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eena\2025\2-MIS\oct-25\"/>
    </mc:Choice>
  </mc:AlternateContent>
  <xr:revisionPtr revIDLastSave="0" documentId="13_ncr:1_{F936BC05-2002-4CC1-952A-0077D5BC70D3}" xr6:coauthVersionLast="47" xr6:coauthVersionMax="47" xr10:uidLastSave="{00000000-0000-0000-0000-000000000000}"/>
  <bookViews>
    <workbookView xWindow="-120" yWindow="-120" windowWidth="20730" windowHeight="11040" tabRatio="875" activeTab="3" xr2:uid="{410977A7-9632-417A-9DC6-E7EBA84A7804}"/>
  </bookViews>
  <sheets>
    <sheet name="GT-SERV" sheetId="4" r:id="rId1"/>
    <sheet name="BI_Actual" sheetId="23" state="hidden" r:id="rId2"/>
    <sheet name="BI-Budget" sheetId="24" state="hidden" r:id="rId3"/>
    <sheet name="GRANDT" sheetId="1" r:id="rId4"/>
    <sheet name="NEW CAR" sheetId="5" r:id="rId5"/>
    <sheet name="PMGR" sheetId="6" r:id="rId6"/>
    <sheet name="BP" sheetId="7" r:id="rId7"/>
    <sheet name="ACCESS" sheetId="8" r:id="rId8"/>
    <sheet name="Jan-25" sheetId="9" state="hidden" r:id="rId9"/>
    <sheet name="Feb-25" sheetId="10" state="hidden" r:id="rId10"/>
    <sheet name="Mar-25" sheetId="11" state="hidden" r:id="rId11"/>
    <sheet name="Apr-25" sheetId="12" state="hidden" r:id="rId12"/>
    <sheet name="May-25" sheetId="13" state="hidden" r:id="rId13"/>
    <sheet name="June-25" sheetId="14" state="hidden" r:id="rId14"/>
    <sheet name="July-25" sheetId="15" state="hidden" r:id="rId15"/>
    <sheet name="Budget" sheetId="22" r:id="rId16"/>
    <sheet name="Aug-25" sheetId="16" state="hidden" r:id="rId17"/>
    <sheet name="Sep-25" sheetId="17" state="hidden" r:id="rId18"/>
    <sheet name="Oct-25" sheetId="18" r:id="rId19"/>
    <sheet name="Nov-25" sheetId="19" state="hidden" r:id="rId20"/>
    <sheet name="Dec-25" sheetId="20" state="hidden" r:id="rId21"/>
  </sheets>
  <externalReferences>
    <externalReference r:id="rId22"/>
  </externalReferences>
  <definedNames>
    <definedName name="_xlnm._FilterDatabase" localSheetId="1" hidden="1">BI_Actual!$A$1:$EC$325</definedName>
    <definedName name="APRIL22">#REF!</definedName>
    <definedName name="AUGUST22">#REF!</definedName>
    <definedName name="BPKOTTAYAM">#REF!</definedName>
    <definedName name="DECEMBER22">#REF!</definedName>
    <definedName name="FEBRUARY22">#REF!</definedName>
    <definedName name="JANUARY22">#REF!</definedName>
    <definedName name="JULY22">#REF!</definedName>
    <definedName name="JUNE22">#REF!</definedName>
    <definedName name="MARCH22">#REF!</definedName>
    <definedName name="MAYY22">#REF!</definedName>
    <definedName name="NOVEMBER22">#REF!</definedName>
    <definedName name="OCTOBER22">#REF!</definedName>
    <definedName name="PMGRKOTTAYAM">#REF!</definedName>
    <definedName name="SEPTEMBER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C24" i="22" l="1"/>
  <c r="EB24" i="22"/>
  <c r="EA24" i="22"/>
  <c r="DZ24" i="22"/>
  <c r="DY24" i="22"/>
  <c r="DX24" i="22"/>
  <c r="DW24" i="22"/>
  <c r="DV24" i="22"/>
  <c r="DU24" i="22"/>
  <c r="DT24" i="22"/>
  <c r="DS24" i="22"/>
  <c r="DR24" i="22"/>
  <c r="DP24" i="22"/>
  <c r="DO24" i="22"/>
  <c r="DN24" i="22"/>
  <c r="DM24" i="22"/>
  <c r="DL24" i="22"/>
  <c r="DK24" i="22"/>
  <c r="DJ24" i="22"/>
  <c r="DI24" i="22"/>
  <c r="DH24" i="22"/>
  <c r="DG24" i="22"/>
  <c r="DF24" i="22"/>
  <c r="DE24" i="22"/>
  <c r="EC23" i="22" l="1"/>
  <c r="FF39" i="6" l="1"/>
  <c r="FE39" i="6"/>
  <c r="FD39" i="6"/>
  <c r="FC39" i="6"/>
  <c r="FB39" i="6"/>
  <c r="FA39" i="6"/>
  <c r="EZ39" i="6"/>
  <c r="AB248" i="5" l="1"/>
  <c r="AB240" i="5"/>
  <c r="AB235" i="5"/>
  <c r="AB232" i="5"/>
  <c r="AB163" i="5"/>
  <c r="AB155" i="5"/>
  <c r="AB114" i="5"/>
  <c r="AB103" i="5"/>
  <c r="AB74" i="5"/>
  <c r="AB73" i="5"/>
  <c r="AB59" i="5"/>
  <c r="AB49" i="5"/>
  <c r="AB48" i="5"/>
  <c r="BR248" i="5"/>
  <c r="BR240" i="5"/>
  <c r="BR235" i="5"/>
  <c r="BR232" i="5"/>
  <c r="BR217" i="5"/>
  <c r="BR163" i="5"/>
  <c r="BR155" i="5"/>
  <c r="BR114" i="5"/>
  <c r="BR103" i="5"/>
  <c r="BR74" i="5"/>
  <c r="BR73" i="5"/>
  <c r="BR59" i="5"/>
  <c r="BR56" i="5"/>
  <c r="BR53" i="5"/>
  <c r="BR52" i="5"/>
  <c r="BR50" i="5"/>
  <c r="BR49" i="5"/>
  <c r="BR48" i="5"/>
  <c r="BR30" i="5"/>
  <c r="DH248" i="5"/>
  <c r="DH240" i="5"/>
  <c r="DH235" i="5"/>
  <c r="DH232" i="5"/>
  <c r="DH217" i="5"/>
  <c r="DH163" i="5"/>
  <c r="DH155" i="5"/>
  <c r="DH114" i="5"/>
  <c r="DH103" i="5"/>
  <c r="DH74" i="5"/>
  <c r="DH73" i="5"/>
  <c r="DH59" i="5"/>
  <c r="DH56" i="5"/>
  <c r="DH53" i="5"/>
  <c r="DH52" i="5"/>
  <c r="DH50" i="5"/>
  <c r="DH49" i="5"/>
  <c r="DH48" i="5"/>
  <c r="DH30" i="5"/>
  <c r="AB248" i="8"/>
  <c r="AB240" i="8"/>
  <c r="AB235" i="8"/>
  <c r="AB232" i="8"/>
  <c r="AB217" i="8"/>
  <c r="AB163" i="8"/>
  <c r="AB155" i="8"/>
  <c r="AB114" i="8"/>
  <c r="AB103" i="8"/>
  <c r="AB74" i="8"/>
  <c r="AB73" i="8"/>
  <c r="AB59" i="8"/>
  <c r="AB56" i="8"/>
  <c r="AB53" i="8"/>
  <c r="AB52" i="8"/>
  <c r="AB50" i="8"/>
  <c r="AB49" i="8"/>
  <c r="AB48" i="8"/>
  <c r="AB30" i="8"/>
  <c r="BR248" i="7"/>
  <c r="BR240" i="7"/>
  <c r="BR235" i="7"/>
  <c r="BR232" i="7"/>
  <c r="BR217" i="7"/>
  <c r="BR163" i="7"/>
  <c r="BR155" i="7"/>
  <c r="BR114" i="7"/>
  <c r="BR103" i="7"/>
  <c r="BR74" i="7"/>
  <c r="BR73" i="7"/>
  <c r="BR59" i="7"/>
  <c r="BR49" i="7"/>
  <c r="BR48" i="7"/>
  <c r="DH248" i="7"/>
  <c r="DH240" i="7"/>
  <c r="DH235" i="7"/>
  <c r="DH232" i="7"/>
  <c r="DH217" i="7"/>
  <c r="DH163" i="7"/>
  <c r="DH155" i="7"/>
  <c r="DH114" i="7"/>
  <c r="DH103" i="7"/>
  <c r="DH74" i="7"/>
  <c r="DH73" i="7"/>
  <c r="DH59" i="7"/>
  <c r="DH49" i="7"/>
  <c r="DH48" i="7"/>
  <c r="AB248" i="7"/>
  <c r="AB240" i="7"/>
  <c r="AB235" i="7"/>
  <c r="AB232" i="7"/>
  <c r="AB163" i="7"/>
  <c r="AB155" i="7"/>
  <c r="AB114" i="7"/>
  <c r="AB103" i="7"/>
  <c r="AB74" i="7"/>
  <c r="AB73" i="7"/>
  <c r="AB59" i="7"/>
  <c r="AB49" i="7"/>
  <c r="AB48" i="7"/>
  <c r="EX248" i="6"/>
  <c r="EX240" i="6"/>
  <c r="EX235" i="6"/>
  <c r="EX232" i="6"/>
  <c r="EX217" i="6"/>
  <c r="EX163" i="6"/>
  <c r="EX155" i="6"/>
  <c r="EX114" i="6"/>
  <c r="EX103" i="6"/>
  <c r="EX74" i="6"/>
  <c r="EX73" i="6"/>
  <c r="EX59" i="6"/>
  <c r="EX56" i="6"/>
  <c r="EX53" i="6"/>
  <c r="EX52" i="6"/>
  <c r="EX50" i="6"/>
  <c r="EX49" i="6"/>
  <c r="EX48" i="6"/>
  <c r="DH248" i="6"/>
  <c r="DH240" i="6"/>
  <c r="DH235" i="6"/>
  <c r="DH232" i="6"/>
  <c r="DH217" i="6"/>
  <c r="DH163" i="6"/>
  <c r="DH155" i="6"/>
  <c r="DH114" i="6"/>
  <c r="DH103" i="6"/>
  <c r="DH74" i="6"/>
  <c r="DH73" i="6"/>
  <c r="DH59" i="6"/>
  <c r="DH56" i="6"/>
  <c r="DH53" i="6"/>
  <c r="DH52" i="6"/>
  <c r="DH50" i="6"/>
  <c r="DH49" i="6"/>
  <c r="DH48" i="6"/>
  <c r="BR248" i="6"/>
  <c r="BR240" i="6"/>
  <c r="BR235" i="6"/>
  <c r="BR232" i="6"/>
  <c r="BR217" i="6"/>
  <c r="BR163" i="6"/>
  <c r="BR155" i="6"/>
  <c r="BR114" i="6"/>
  <c r="BR103" i="6"/>
  <c r="BR74" i="6"/>
  <c r="BR73" i="6"/>
  <c r="BR59" i="6"/>
  <c r="BR56" i="6"/>
  <c r="BR53" i="6"/>
  <c r="BR52" i="6"/>
  <c r="BR50" i="6"/>
  <c r="BR49" i="6"/>
  <c r="BR48" i="6"/>
  <c r="AB248" i="6"/>
  <c r="AB240" i="6"/>
  <c r="AB235" i="6"/>
  <c r="AB232" i="6"/>
  <c r="AB163" i="6"/>
  <c r="AB155" i="6"/>
  <c r="AB114" i="6"/>
  <c r="AB103" i="6"/>
  <c r="AB74" i="6"/>
  <c r="AB73" i="6"/>
  <c r="AB59" i="6"/>
  <c r="AB49" i="6"/>
  <c r="AB48" i="6"/>
  <c r="B126" i="17" l="1"/>
  <c r="D126" i="17"/>
  <c r="E126" i="17"/>
  <c r="F126" i="17"/>
  <c r="G126" i="17"/>
  <c r="H126" i="17"/>
  <c r="I46" i="17" l="1"/>
  <c r="G46" i="17"/>
  <c r="D46" i="17"/>
  <c r="G45" i="17"/>
  <c r="D45" i="17"/>
  <c r="I45" i="17"/>
  <c r="I44" i="17"/>
  <c r="G44" i="17"/>
  <c r="D44" i="17"/>
  <c r="X52" i="8" l="1"/>
  <c r="EB23" i="22" l="1"/>
  <c r="EA23" i="22"/>
  <c r="DM23" i="22"/>
  <c r="FG39" i="6" s="1"/>
  <c r="DP23" i="22" l="1"/>
  <c r="FJ39" i="6" s="1"/>
  <c r="DO23" i="22"/>
  <c r="FI39" i="6" s="1"/>
  <c r="DN23" i="22"/>
  <c r="FH39" i="6" s="1"/>
  <c r="I46" i="14" l="1"/>
  <c r="G46" i="14"/>
  <c r="D46" i="14"/>
  <c r="EX248" i="7" l="1"/>
  <c r="EX240" i="7"/>
  <c r="EX235" i="7"/>
  <c r="EX232" i="7"/>
  <c r="EX217" i="7"/>
  <c r="EX163" i="7"/>
  <c r="EX155" i="7"/>
  <c r="EX114" i="7"/>
  <c r="EX103" i="7"/>
  <c r="EX74" i="7"/>
  <c r="EX73" i="7"/>
  <c r="EX59" i="7"/>
  <c r="EX49" i="7"/>
  <c r="EX48" i="7"/>
  <c r="D168" i="13" l="1"/>
  <c r="D168" i="14"/>
  <c r="D166" i="16"/>
  <c r="EX147" i="22" l="1"/>
  <c r="EW147" i="22"/>
  <c r="EV147" i="22"/>
  <c r="EU147" i="22"/>
  <c r="ET147" i="22"/>
  <c r="ES147" i="22"/>
  <c r="ER147" i="22"/>
  <c r="EQ147" i="22"/>
  <c r="EP147" i="22"/>
  <c r="EO147" i="22"/>
  <c r="EN147" i="22"/>
  <c r="EX146" i="22"/>
  <c r="EW146" i="22"/>
  <c r="EV146" i="22"/>
  <c r="EU146" i="22"/>
  <c r="ET146" i="22"/>
  <c r="ES146" i="22"/>
  <c r="ER146" i="22"/>
  <c r="EQ146" i="22"/>
  <c r="EP146" i="22"/>
  <c r="EO146" i="22"/>
  <c r="EN146" i="22"/>
  <c r="EM147" i="22"/>
  <c r="EM146" i="22"/>
  <c r="B57" i="11" l="1"/>
  <c r="DQ87" i="24" l="1"/>
  <c r="DR87" i="24"/>
  <c r="DS87" i="24"/>
  <c r="DW87" i="24"/>
  <c r="DX87" i="24"/>
  <c r="DQ88" i="24"/>
  <c r="DR88" i="24"/>
  <c r="DS88" i="24"/>
  <c r="DW88" i="24"/>
  <c r="DX88" i="24"/>
  <c r="DQ89" i="24"/>
  <c r="DR89" i="24"/>
  <c r="DS89" i="24"/>
  <c r="DW89" i="24"/>
  <c r="DX89" i="24"/>
  <c r="DQ90" i="24"/>
  <c r="DR90" i="24"/>
  <c r="DS90" i="24"/>
  <c r="DW90" i="24"/>
  <c r="DX90" i="24"/>
  <c r="DQ91" i="24"/>
  <c r="DR91" i="24"/>
  <c r="DS91" i="24"/>
  <c r="DW91" i="24"/>
  <c r="DX91" i="24"/>
  <c r="DQ92" i="24"/>
  <c r="DR92" i="24"/>
  <c r="DS92" i="24"/>
  <c r="DW92" i="24"/>
  <c r="DX92" i="24"/>
  <c r="DQ93" i="24"/>
  <c r="DR93" i="24"/>
  <c r="DS93" i="24"/>
  <c r="DW93" i="24"/>
  <c r="DX93" i="24"/>
  <c r="DQ94" i="24"/>
  <c r="DR94" i="24"/>
  <c r="DS94" i="24"/>
  <c r="DW94" i="24"/>
  <c r="DX94" i="24"/>
  <c r="DQ95" i="24"/>
  <c r="DR95" i="24"/>
  <c r="DS95" i="24"/>
  <c r="DW95" i="24"/>
  <c r="DX95" i="24"/>
  <c r="DQ96" i="24"/>
  <c r="DR96" i="24"/>
  <c r="DS96" i="24"/>
  <c r="DW96" i="24"/>
  <c r="DX96" i="24"/>
  <c r="DQ97" i="24"/>
  <c r="DR97" i="24"/>
  <c r="DS97" i="24"/>
  <c r="DW97" i="24"/>
  <c r="DX97" i="24"/>
  <c r="DQ98" i="24"/>
  <c r="DR98" i="24"/>
  <c r="DS98" i="24"/>
  <c r="DW98" i="24"/>
  <c r="DX98" i="24"/>
  <c r="DQ99" i="24"/>
  <c r="DR99" i="24"/>
  <c r="DS99" i="24"/>
  <c r="DW99" i="24"/>
  <c r="DX99" i="24"/>
  <c r="DQ100" i="24"/>
  <c r="DR100" i="24"/>
  <c r="DS100" i="24"/>
  <c r="DW100" i="24"/>
  <c r="DX100" i="24"/>
  <c r="DQ101" i="24"/>
  <c r="DR101" i="24"/>
  <c r="DS101" i="24"/>
  <c r="DW101" i="24"/>
  <c r="DX101" i="24"/>
  <c r="DQ102" i="24"/>
  <c r="DR102" i="24"/>
  <c r="DS102" i="24"/>
  <c r="DW102" i="24"/>
  <c r="DX102" i="24"/>
  <c r="DQ103" i="24"/>
  <c r="DR103" i="24"/>
  <c r="DS103" i="24"/>
  <c r="DW103" i="24"/>
  <c r="DX103" i="24"/>
  <c r="DQ104" i="24"/>
  <c r="DR104" i="24"/>
  <c r="DS104" i="24"/>
  <c r="DW104" i="24"/>
  <c r="DX104" i="24"/>
  <c r="DQ105" i="24"/>
  <c r="DR105" i="24"/>
  <c r="DS105" i="24"/>
  <c r="DW105" i="24"/>
  <c r="DX105" i="24"/>
  <c r="DQ106" i="24"/>
  <c r="DR106" i="24"/>
  <c r="DS106" i="24"/>
  <c r="DW106" i="24"/>
  <c r="DX106" i="24"/>
  <c r="DQ107" i="24"/>
  <c r="DR107" i="24"/>
  <c r="DS107" i="24"/>
  <c r="DW107" i="24"/>
  <c r="DX107" i="24"/>
  <c r="DQ108" i="24"/>
  <c r="DR108" i="24"/>
  <c r="DS108" i="24"/>
  <c r="DW108" i="24"/>
  <c r="DX108" i="24"/>
  <c r="DQ109" i="24"/>
  <c r="DR109" i="24"/>
  <c r="DS109" i="24"/>
  <c r="DW109" i="24"/>
  <c r="DX109" i="24"/>
  <c r="DX86" i="24"/>
  <c r="DW86" i="24"/>
  <c r="DS86" i="24"/>
  <c r="DR86" i="24"/>
  <c r="DQ86" i="24"/>
  <c r="DQ75" i="24"/>
  <c r="DR75" i="24"/>
  <c r="DS75" i="24"/>
  <c r="DQ76" i="24"/>
  <c r="DR76" i="24"/>
  <c r="DS76" i="24"/>
  <c r="DQ77" i="24"/>
  <c r="DR77" i="24"/>
  <c r="DS77" i="24"/>
  <c r="DQ78" i="24"/>
  <c r="DR78" i="24"/>
  <c r="DS78" i="24"/>
  <c r="DQ79" i="24"/>
  <c r="DR79" i="24"/>
  <c r="DS79" i="24"/>
  <c r="DQ80" i="24"/>
  <c r="DR80" i="24"/>
  <c r="DS80" i="24"/>
  <c r="DQ81" i="24"/>
  <c r="DR81" i="24"/>
  <c r="DS81" i="24"/>
  <c r="DQ82" i="24"/>
  <c r="DR82" i="24"/>
  <c r="DS82" i="24"/>
  <c r="DQ83" i="24"/>
  <c r="DR83" i="24"/>
  <c r="DS83" i="24"/>
  <c r="DQ84" i="24"/>
  <c r="DR84" i="24"/>
  <c r="DS84" i="24"/>
  <c r="DQ85" i="24"/>
  <c r="DR85" i="24"/>
  <c r="DS85" i="24"/>
  <c r="DS74" i="24"/>
  <c r="DR74" i="24"/>
  <c r="DQ74" i="24"/>
  <c r="DQ63" i="24"/>
  <c r="DR63" i="24"/>
  <c r="DS63" i="24"/>
  <c r="DQ64" i="24"/>
  <c r="DR64" i="24"/>
  <c r="DS64" i="24"/>
  <c r="DQ65" i="24"/>
  <c r="DR65" i="24"/>
  <c r="DS65" i="24"/>
  <c r="DQ66" i="24"/>
  <c r="DR66" i="24"/>
  <c r="DS66" i="24"/>
  <c r="DQ67" i="24"/>
  <c r="DR67" i="24"/>
  <c r="DS67" i="24"/>
  <c r="DQ68" i="24"/>
  <c r="DR68" i="24"/>
  <c r="DS68" i="24"/>
  <c r="DQ69" i="24"/>
  <c r="DR69" i="24"/>
  <c r="DS69" i="24"/>
  <c r="DQ70" i="24"/>
  <c r="DR70" i="24"/>
  <c r="DS70" i="24"/>
  <c r="DQ71" i="24"/>
  <c r="DR71" i="24"/>
  <c r="DS71" i="24"/>
  <c r="DQ72" i="24"/>
  <c r="DR72" i="24"/>
  <c r="DS72" i="24"/>
  <c r="DQ73" i="24"/>
  <c r="DR73" i="24"/>
  <c r="DS73" i="24"/>
  <c r="DS62" i="24"/>
  <c r="DR62" i="24"/>
  <c r="DQ62" i="24"/>
  <c r="DQ51" i="24"/>
  <c r="DR51" i="24"/>
  <c r="DS51" i="24"/>
  <c r="DQ52" i="24"/>
  <c r="DR52" i="24"/>
  <c r="DS52" i="24"/>
  <c r="DQ53" i="24"/>
  <c r="DR53" i="24"/>
  <c r="DS53" i="24"/>
  <c r="DQ54" i="24"/>
  <c r="DR54" i="24"/>
  <c r="DS54" i="24"/>
  <c r="DQ55" i="24"/>
  <c r="DR55" i="24"/>
  <c r="DS55" i="24"/>
  <c r="DQ56" i="24"/>
  <c r="DR56" i="24"/>
  <c r="DS56" i="24"/>
  <c r="DQ57" i="24"/>
  <c r="DR57" i="24"/>
  <c r="DS57" i="24"/>
  <c r="DQ58" i="24"/>
  <c r="DR58" i="24"/>
  <c r="DS58" i="24"/>
  <c r="DQ59" i="24"/>
  <c r="DR59" i="24"/>
  <c r="DS59" i="24"/>
  <c r="DQ60" i="24"/>
  <c r="DR60" i="24"/>
  <c r="DS60" i="24"/>
  <c r="DQ61" i="24"/>
  <c r="DR61" i="24"/>
  <c r="DS61" i="24"/>
  <c r="DS50" i="24"/>
  <c r="DR50" i="24"/>
  <c r="DQ50" i="24"/>
  <c r="DR39" i="24"/>
  <c r="DR40" i="24"/>
  <c r="DR41" i="24"/>
  <c r="DR42" i="24"/>
  <c r="DR43" i="24"/>
  <c r="DR44" i="24"/>
  <c r="DR45" i="24"/>
  <c r="DR46" i="24"/>
  <c r="DR47" i="24"/>
  <c r="DR48" i="24"/>
  <c r="DR49" i="24"/>
  <c r="DR38" i="24"/>
  <c r="DR27" i="24"/>
  <c r="DR28" i="24"/>
  <c r="DR29" i="24"/>
  <c r="DR30" i="24"/>
  <c r="DR31" i="24"/>
  <c r="DR32" i="24"/>
  <c r="DR33" i="24"/>
  <c r="DR34" i="24"/>
  <c r="DR35" i="24"/>
  <c r="DR36" i="24"/>
  <c r="DR37" i="24"/>
  <c r="DR26" i="24"/>
  <c r="CE15" i="24"/>
  <c r="DQ15" i="24"/>
  <c r="DR15" i="24"/>
  <c r="CE16" i="24"/>
  <c r="DQ16" i="24"/>
  <c r="DR16" i="24"/>
  <c r="CE17" i="24"/>
  <c r="DQ17" i="24"/>
  <c r="DR17" i="24"/>
  <c r="CE18" i="24"/>
  <c r="DQ18" i="24"/>
  <c r="DR18" i="24"/>
  <c r="CE19" i="24"/>
  <c r="DQ19" i="24"/>
  <c r="DR19" i="24"/>
  <c r="CE20" i="24"/>
  <c r="DQ20" i="24"/>
  <c r="DR20" i="24"/>
  <c r="CE21" i="24"/>
  <c r="DQ21" i="24"/>
  <c r="DR21" i="24"/>
  <c r="CE22" i="24"/>
  <c r="DQ22" i="24"/>
  <c r="DR22" i="24"/>
  <c r="CE23" i="24"/>
  <c r="DQ23" i="24"/>
  <c r="DR23" i="24"/>
  <c r="CE24" i="24"/>
  <c r="DQ24" i="24"/>
  <c r="DR24" i="24"/>
  <c r="CE25" i="24"/>
  <c r="DQ25" i="24"/>
  <c r="DR25" i="24"/>
  <c r="DR14" i="24"/>
  <c r="DQ14" i="24"/>
  <c r="CE14" i="24"/>
  <c r="DR3" i="24"/>
  <c r="DR4" i="24"/>
  <c r="DR5" i="24"/>
  <c r="DR6" i="24"/>
  <c r="DR7" i="24"/>
  <c r="DR8" i="24"/>
  <c r="DR9" i="24"/>
  <c r="DR10" i="24"/>
  <c r="DR11" i="24"/>
  <c r="DR12" i="24"/>
  <c r="DR13" i="24"/>
  <c r="DR2" i="24"/>
  <c r="E303" i="23"/>
  <c r="D303" i="23" s="1"/>
  <c r="G303" i="23"/>
  <c r="H303" i="23"/>
  <c r="I303" i="23"/>
  <c r="J303" i="23"/>
  <c r="K303" i="23"/>
  <c r="L303" i="23"/>
  <c r="M303" i="23"/>
  <c r="N303" i="23"/>
  <c r="O303" i="23"/>
  <c r="P303" i="23"/>
  <c r="Q303" i="23"/>
  <c r="R303" i="23"/>
  <c r="S303" i="23"/>
  <c r="T303" i="23"/>
  <c r="U303" i="23"/>
  <c r="V303" i="23"/>
  <c r="W303" i="23"/>
  <c r="X303" i="23"/>
  <c r="Y303" i="23"/>
  <c r="Z303" i="23"/>
  <c r="AA303" i="23"/>
  <c r="AB303" i="23"/>
  <c r="AC303" i="23"/>
  <c r="AD303" i="23"/>
  <c r="AE303" i="23"/>
  <c r="AF303" i="23"/>
  <c r="AG303" i="23"/>
  <c r="AH303" i="23"/>
  <c r="AI303" i="23"/>
  <c r="AJ303" i="23"/>
  <c r="AK303" i="23"/>
  <c r="AL303" i="23"/>
  <c r="AM303" i="23"/>
  <c r="AN303" i="23"/>
  <c r="AO303" i="23"/>
  <c r="AP303" i="23"/>
  <c r="AQ303" i="23"/>
  <c r="AR303" i="23"/>
  <c r="AS303" i="23"/>
  <c r="AT303" i="23"/>
  <c r="AU303" i="23"/>
  <c r="AV303" i="23"/>
  <c r="AW303" i="23"/>
  <c r="AX303" i="23"/>
  <c r="AY303" i="23"/>
  <c r="AZ303" i="23"/>
  <c r="BA303" i="23"/>
  <c r="BB303" i="23"/>
  <c r="BC303" i="23"/>
  <c r="BD303" i="23"/>
  <c r="BE303" i="23"/>
  <c r="BF303" i="23"/>
  <c r="BG303" i="23"/>
  <c r="BH303" i="23"/>
  <c r="BI303" i="23"/>
  <c r="BJ303" i="23"/>
  <c r="BK303" i="23"/>
  <c r="BL303" i="23"/>
  <c r="BM303" i="23"/>
  <c r="BN303" i="23"/>
  <c r="BO303" i="23"/>
  <c r="BP303" i="23"/>
  <c r="BQ303" i="23"/>
  <c r="BR303" i="23"/>
  <c r="BS303" i="23"/>
  <c r="BT303" i="23"/>
  <c r="BU303" i="23"/>
  <c r="BV303" i="23"/>
  <c r="BW303" i="23"/>
  <c r="BX303" i="23"/>
  <c r="BY303" i="23"/>
  <c r="BZ303" i="23"/>
  <c r="CA303" i="23"/>
  <c r="CB303" i="23"/>
  <c r="CC303" i="23"/>
  <c r="CD303" i="23"/>
  <c r="CE303" i="23"/>
  <c r="CF303" i="23"/>
  <c r="CG303" i="23"/>
  <c r="CH303" i="23"/>
  <c r="CI303" i="23"/>
  <c r="CJ303" i="23"/>
  <c r="CK303" i="23"/>
  <c r="CL303" i="23"/>
  <c r="CM303" i="23"/>
  <c r="CN303" i="23"/>
  <c r="CO303" i="23"/>
  <c r="CP303" i="23"/>
  <c r="CQ303" i="23"/>
  <c r="CR303" i="23"/>
  <c r="CS303" i="23"/>
  <c r="CT303" i="23"/>
  <c r="CU303" i="23"/>
  <c r="CV303" i="23"/>
  <c r="CW303" i="23"/>
  <c r="CX303" i="23"/>
  <c r="CY303" i="23"/>
  <c r="CZ303" i="23"/>
  <c r="DA303" i="23"/>
  <c r="DB303" i="23"/>
  <c r="DC303" i="23"/>
  <c r="DD303" i="23"/>
  <c r="DE303" i="23"/>
  <c r="DF303" i="23"/>
  <c r="DG303" i="23"/>
  <c r="DH303" i="23"/>
  <c r="DI303" i="23"/>
  <c r="DJ303" i="23"/>
  <c r="DK303" i="23"/>
  <c r="DL303" i="23"/>
  <c r="DM303" i="23"/>
  <c r="DN303" i="23"/>
  <c r="DO303" i="23"/>
  <c r="DP303" i="23"/>
  <c r="DQ303" i="23"/>
  <c r="DR303" i="23"/>
  <c r="DS303" i="23"/>
  <c r="DT303" i="23"/>
  <c r="DU303" i="23"/>
  <c r="DV303" i="23"/>
  <c r="DW303" i="23"/>
  <c r="DX303" i="23"/>
  <c r="DY303" i="23"/>
  <c r="DZ303" i="23"/>
  <c r="EA303" i="23"/>
  <c r="E304" i="23"/>
  <c r="D304" i="23" s="1"/>
  <c r="G304" i="23"/>
  <c r="H304" i="23"/>
  <c r="I304" i="23"/>
  <c r="J304" i="23"/>
  <c r="K304" i="23"/>
  <c r="L304" i="23"/>
  <c r="M304" i="23"/>
  <c r="N304" i="23"/>
  <c r="O304" i="23"/>
  <c r="P304" i="23"/>
  <c r="Q304" i="23"/>
  <c r="R304" i="23"/>
  <c r="S304" i="23"/>
  <c r="T304" i="23"/>
  <c r="U304" i="23"/>
  <c r="V304" i="23"/>
  <c r="W304" i="23"/>
  <c r="X304" i="23"/>
  <c r="Y304" i="23"/>
  <c r="Z304" i="23"/>
  <c r="AA304" i="23"/>
  <c r="AB304" i="23"/>
  <c r="AC304" i="23"/>
  <c r="AD304" i="23"/>
  <c r="AE304" i="23"/>
  <c r="AF304" i="23"/>
  <c r="AG304" i="23"/>
  <c r="AH304" i="23"/>
  <c r="AI304" i="23"/>
  <c r="AJ304" i="23"/>
  <c r="AK304" i="23"/>
  <c r="AL304" i="23"/>
  <c r="AM304" i="23"/>
  <c r="AN304" i="23"/>
  <c r="AO304" i="23"/>
  <c r="AP304" i="23"/>
  <c r="AQ304" i="23"/>
  <c r="AR304" i="23"/>
  <c r="AS304" i="23"/>
  <c r="AT304" i="23"/>
  <c r="AU304" i="23"/>
  <c r="AV304" i="23"/>
  <c r="AW304" i="23"/>
  <c r="AX304" i="23"/>
  <c r="AY304" i="23"/>
  <c r="AZ304" i="23"/>
  <c r="BA304" i="23"/>
  <c r="BB304" i="23"/>
  <c r="BC304" i="23"/>
  <c r="BD304" i="23"/>
  <c r="BE304" i="23"/>
  <c r="BF304" i="23"/>
  <c r="BG304" i="23"/>
  <c r="BH304" i="23"/>
  <c r="BI304" i="23"/>
  <c r="BJ304" i="23"/>
  <c r="BK304" i="23"/>
  <c r="BL304" i="23"/>
  <c r="BM304" i="23"/>
  <c r="BN304" i="23"/>
  <c r="BO304" i="23"/>
  <c r="BP304" i="23"/>
  <c r="BQ304" i="23"/>
  <c r="BR304" i="23"/>
  <c r="BS304" i="23"/>
  <c r="BT304" i="23"/>
  <c r="BU304" i="23"/>
  <c r="BV304" i="23"/>
  <c r="BW304" i="23"/>
  <c r="BX304" i="23"/>
  <c r="BY304" i="23"/>
  <c r="BZ304" i="23"/>
  <c r="CA304" i="23"/>
  <c r="CB304" i="23"/>
  <c r="CC304" i="23"/>
  <c r="CD304" i="23"/>
  <c r="CE304" i="23"/>
  <c r="CF304" i="23"/>
  <c r="CG304" i="23"/>
  <c r="CH304" i="23"/>
  <c r="CI304" i="23"/>
  <c r="CJ304" i="23"/>
  <c r="CK304" i="23"/>
  <c r="CL304" i="23"/>
  <c r="CM304" i="23"/>
  <c r="CN304" i="23"/>
  <c r="CO304" i="23"/>
  <c r="CP304" i="23"/>
  <c r="CQ304" i="23"/>
  <c r="CR304" i="23"/>
  <c r="CS304" i="23"/>
  <c r="CT304" i="23"/>
  <c r="CU304" i="23"/>
  <c r="CV304" i="23"/>
  <c r="CW304" i="23"/>
  <c r="CX304" i="23"/>
  <c r="CY304" i="23"/>
  <c r="CZ304" i="23"/>
  <c r="DA304" i="23"/>
  <c r="DB304" i="23"/>
  <c r="DC304" i="23"/>
  <c r="DD304" i="23"/>
  <c r="DE304" i="23"/>
  <c r="DF304" i="23"/>
  <c r="DG304" i="23"/>
  <c r="DH304" i="23"/>
  <c r="DI304" i="23"/>
  <c r="DJ304" i="23"/>
  <c r="DK304" i="23"/>
  <c r="DL304" i="23"/>
  <c r="DM304" i="23"/>
  <c r="DN304" i="23"/>
  <c r="DO304" i="23"/>
  <c r="DP304" i="23"/>
  <c r="DQ304" i="23"/>
  <c r="DR304" i="23"/>
  <c r="DS304" i="23"/>
  <c r="DT304" i="23"/>
  <c r="DU304" i="23"/>
  <c r="DV304" i="23"/>
  <c r="DW304" i="23"/>
  <c r="DX304" i="23"/>
  <c r="DY304" i="23"/>
  <c r="DZ304" i="23"/>
  <c r="EA304" i="23"/>
  <c r="E305" i="23"/>
  <c r="D305" i="23" s="1"/>
  <c r="G305" i="23"/>
  <c r="H305" i="23"/>
  <c r="I305" i="23"/>
  <c r="J305" i="23"/>
  <c r="K305" i="23"/>
  <c r="L305" i="23"/>
  <c r="M305" i="23"/>
  <c r="N305" i="23"/>
  <c r="O305" i="23"/>
  <c r="P305" i="23"/>
  <c r="Q305" i="23"/>
  <c r="R305" i="23"/>
  <c r="S305" i="23"/>
  <c r="T305" i="23"/>
  <c r="U305" i="23"/>
  <c r="V305" i="23"/>
  <c r="W305" i="23"/>
  <c r="X305" i="23"/>
  <c r="Y305" i="23"/>
  <c r="Z305" i="23"/>
  <c r="AA305" i="23"/>
  <c r="AB305" i="23"/>
  <c r="AC305" i="23"/>
  <c r="AD305" i="23"/>
  <c r="AE305" i="23"/>
  <c r="AF305" i="23"/>
  <c r="AG305" i="23"/>
  <c r="AH305" i="23"/>
  <c r="AI305" i="23"/>
  <c r="AJ305" i="23"/>
  <c r="AK305" i="23"/>
  <c r="AL305" i="23"/>
  <c r="AM305" i="23"/>
  <c r="AN305" i="23"/>
  <c r="AO305" i="23"/>
  <c r="AP305" i="23"/>
  <c r="AQ305" i="23"/>
  <c r="AR305" i="23"/>
  <c r="AS305" i="23"/>
  <c r="AT305" i="23"/>
  <c r="AU305" i="23"/>
  <c r="AV305" i="23"/>
  <c r="AW305" i="23"/>
  <c r="AX305" i="23"/>
  <c r="AY305" i="23"/>
  <c r="AZ305" i="23"/>
  <c r="BA305" i="23"/>
  <c r="BB305" i="23"/>
  <c r="BC305" i="23"/>
  <c r="BD305" i="23"/>
  <c r="BE305" i="23"/>
  <c r="BF305" i="23"/>
  <c r="BG305" i="23"/>
  <c r="BH305" i="23"/>
  <c r="BI305" i="23"/>
  <c r="BJ305" i="23"/>
  <c r="BK305" i="23"/>
  <c r="BL305" i="23"/>
  <c r="BM305" i="23"/>
  <c r="BN305" i="23"/>
  <c r="BO305" i="23"/>
  <c r="BP305" i="23"/>
  <c r="BQ305" i="23"/>
  <c r="BR305" i="23"/>
  <c r="BS305" i="23"/>
  <c r="BT305" i="23"/>
  <c r="BU305" i="23"/>
  <c r="BV305" i="23"/>
  <c r="BW305" i="23"/>
  <c r="BX305" i="23"/>
  <c r="BY305" i="23"/>
  <c r="BZ305" i="23"/>
  <c r="CA305" i="23"/>
  <c r="CB305" i="23"/>
  <c r="CC305" i="23"/>
  <c r="CD305" i="23"/>
  <c r="CE305" i="23"/>
  <c r="CF305" i="23"/>
  <c r="CG305" i="23"/>
  <c r="CH305" i="23"/>
  <c r="CI305" i="23"/>
  <c r="CJ305" i="23"/>
  <c r="CK305" i="23"/>
  <c r="CL305" i="23"/>
  <c r="CM305" i="23"/>
  <c r="CN305" i="23"/>
  <c r="CO305" i="23"/>
  <c r="CP305" i="23"/>
  <c r="CQ305" i="23"/>
  <c r="CR305" i="23"/>
  <c r="CS305" i="23"/>
  <c r="CT305" i="23"/>
  <c r="CU305" i="23"/>
  <c r="CV305" i="23"/>
  <c r="CW305" i="23"/>
  <c r="CX305" i="23"/>
  <c r="CY305" i="23"/>
  <c r="CZ305" i="23"/>
  <c r="DA305" i="23"/>
  <c r="DB305" i="23"/>
  <c r="DC305" i="23"/>
  <c r="DD305" i="23"/>
  <c r="DE305" i="23"/>
  <c r="DF305" i="23"/>
  <c r="DG305" i="23"/>
  <c r="DH305" i="23"/>
  <c r="DI305" i="23"/>
  <c r="DJ305" i="23"/>
  <c r="DK305" i="23"/>
  <c r="DL305" i="23"/>
  <c r="DM305" i="23"/>
  <c r="DN305" i="23"/>
  <c r="DO305" i="23"/>
  <c r="DP305" i="23"/>
  <c r="DQ305" i="23"/>
  <c r="DR305" i="23"/>
  <c r="DS305" i="23"/>
  <c r="DT305" i="23"/>
  <c r="DU305" i="23"/>
  <c r="DV305" i="23"/>
  <c r="DW305" i="23"/>
  <c r="DX305" i="23"/>
  <c r="DY305" i="23"/>
  <c r="DZ305" i="23"/>
  <c r="EA305" i="23"/>
  <c r="E306" i="23"/>
  <c r="D306" i="23" s="1"/>
  <c r="G306" i="23"/>
  <c r="H306" i="23"/>
  <c r="I306" i="23"/>
  <c r="J306" i="23"/>
  <c r="K306" i="23"/>
  <c r="L306" i="23"/>
  <c r="M306" i="23"/>
  <c r="N306" i="23"/>
  <c r="O306" i="23"/>
  <c r="P306" i="23"/>
  <c r="Q306" i="23"/>
  <c r="R306" i="23"/>
  <c r="S306" i="23"/>
  <c r="T306" i="23"/>
  <c r="U306" i="23"/>
  <c r="V306" i="23"/>
  <c r="W306" i="23"/>
  <c r="X306" i="23"/>
  <c r="Y306" i="23"/>
  <c r="Z306" i="23"/>
  <c r="AA306" i="23"/>
  <c r="AB306" i="23"/>
  <c r="AC306" i="23"/>
  <c r="AD306" i="23"/>
  <c r="AE306" i="23"/>
  <c r="AF306" i="23"/>
  <c r="AG306" i="23"/>
  <c r="AH306" i="23"/>
  <c r="AI306" i="23"/>
  <c r="AJ306" i="23"/>
  <c r="AK306" i="23"/>
  <c r="AL306" i="23"/>
  <c r="AM306" i="23"/>
  <c r="AN306" i="23"/>
  <c r="AO306" i="23"/>
  <c r="AP306" i="23"/>
  <c r="AQ306" i="23"/>
  <c r="AR306" i="23"/>
  <c r="AS306" i="23"/>
  <c r="AT306" i="23"/>
  <c r="AU306" i="23"/>
  <c r="AV306" i="23"/>
  <c r="AW306" i="23"/>
  <c r="AX306" i="23"/>
  <c r="AY306" i="23"/>
  <c r="AZ306" i="23"/>
  <c r="BA306" i="23"/>
  <c r="BB306" i="23"/>
  <c r="BC306" i="23"/>
  <c r="BD306" i="23"/>
  <c r="BE306" i="23"/>
  <c r="BF306" i="23"/>
  <c r="BG306" i="23"/>
  <c r="BH306" i="23"/>
  <c r="BI306" i="23"/>
  <c r="BJ306" i="23"/>
  <c r="BK306" i="23"/>
  <c r="BL306" i="23"/>
  <c r="BM306" i="23"/>
  <c r="BN306" i="23"/>
  <c r="BO306" i="23"/>
  <c r="BP306" i="23"/>
  <c r="BQ306" i="23"/>
  <c r="BR306" i="23"/>
  <c r="BS306" i="23"/>
  <c r="BT306" i="23"/>
  <c r="BU306" i="23"/>
  <c r="BV306" i="23"/>
  <c r="BW306" i="23"/>
  <c r="BX306" i="23"/>
  <c r="BY306" i="23"/>
  <c r="BZ306" i="23"/>
  <c r="CA306" i="23"/>
  <c r="CB306" i="23"/>
  <c r="CC306" i="23"/>
  <c r="CD306" i="23"/>
  <c r="CE306" i="23"/>
  <c r="CF306" i="23"/>
  <c r="CG306" i="23"/>
  <c r="CH306" i="23"/>
  <c r="CI306" i="23"/>
  <c r="CJ306" i="23"/>
  <c r="CK306" i="23"/>
  <c r="CL306" i="23"/>
  <c r="CM306" i="23"/>
  <c r="CN306" i="23"/>
  <c r="CO306" i="23"/>
  <c r="CP306" i="23"/>
  <c r="CQ306" i="23"/>
  <c r="CR306" i="23"/>
  <c r="CS306" i="23"/>
  <c r="CT306" i="23"/>
  <c r="CU306" i="23"/>
  <c r="CV306" i="23"/>
  <c r="CW306" i="23"/>
  <c r="CX306" i="23"/>
  <c r="CY306" i="23"/>
  <c r="CZ306" i="23"/>
  <c r="DA306" i="23"/>
  <c r="DB306" i="23"/>
  <c r="DC306" i="23"/>
  <c r="DD306" i="23"/>
  <c r="DE306" i="23"/>
  <c r="DF306" i="23"/>
  <c r="DG306" i="23"/>
  <c r="DH306" i="23"/>
  <c r="DI306" i="23"/>
  <c r="DJ306" i="23"/>
  <c r="DK306" i="23"/>
  <c r="DL306" i="23"/>
  <c r="DM306" i="23"/>
  <c r="DN306" i="23"/>
  <c r="DO306" i="23"/>
  <c r="DP306" i="23"/>
  <c r="DQ306" i="23"/>
  <c r="DR306" i="23"/>
  <c r="DS306" i="23"/>
  <c r="DT306" i="23"/>
  <c r="DU306" i="23"/>
  <c r="DV306" i="23"/>
  <c r="DW306" i="23"/>
  <c r="DX306" i="23"/>
  <c r="DY306" i="23"/>
  <c r="DZ306" i="23"/>
  <c r="EA306" i="23"/>
  <c r="E307" i="23"/>
  <c r="D307" i="23" s="1"/>
  <c r="G307" i="23"/>
  <c r="H307" i="23"/>
  <c r="I307" i="23"/>
  <c r="J307" i="23"/>
  <c r="K307" i="23"/>
  <c r="L307" i="23"/>
  <c r="M307" i="23"/>
  <c r="N307" i="23"/>
  <c r="O307" i="23"/>
  <c r="P307" i="23"/>
  <c r="Q307" i="23"/>
  <c r="R307" i="23"/>
  <c r="S307" i="23"/>
  <c r="T307" i="23"/>
  <c r="U307" i="23"/>
  <c r="V307" i="23"/>
  <c r="W307" i="23"/>
  <c r="X307" i="23"/>
  <c r="Y307" i="23"/>
  <c r="Z307" i="23"/>
  <c r="AA307" i="23"/>
  <c r="AB307" i="23"/>
  <c r="AC307" i="23"/>
  <c r="AD307" i="23"/>
  <c r="AE307" i="23"/>
  <c r="AF307" i="23"/>
  <c r="AG307" i="23"/>
  <c r="AH307" i="23"/>
  <c r="AI307" i="23"/>
  <c r="AJ307" i="23"/>
  <c r="AK307" i="23"/>
  <c r="AL307" i="23"/>
  <c r="AM307" i="23"/>
  <c r="AN307" i="23"/>
  <c r="AO307" i="23"/>
  <c r="AP307" i="23"/>
  <c r="AQ307" i="23"/>
  <c r="AR307" i="23"/>
  <c r="AS307" i="23"/>
  <c r="AT307" i="23"/>
  <c r="AU307" i="23"/>
  <c r="AV307" i="23"/>
  <c r="AW307" i="23"/>
  <c r="AX307" i="23"/>
  <c r="AY307" i="23"/>
  <c r="AZ307" i="23"/>
  <c r="BA307" i="23"/>
  <c r="BB307" i="23"/>
  <c r="BC307" i="23"/>
  <c r="BD307" i="23"/>
  <c r="BE307" i="23"/>
  <c r="BF307" i="23"/>
  <c r="BG307" i="23"/>
  <c r="BH307" i="23"/>
  <c r="BI307" i="23"/>
  <c r="BJ307" i="23"/>
  <c r="BK307" i="23"/>
  <c r="BL307" i="23"/>
  <c r="BM307" i="23"/>
  <c r="BN307" i="23"/>
  <c r="BO307" i="23"/>
  <c r="BP307" i="23"/>
  <c r="BQ307" i="23"/>
  <c r="BR307" i="23"/>
  <c r="BS307" i="23"/>
  <c r="BT307" i="23"/>
  <c r="BU307" i="23"/>
  <c r="BV307" i="23"/>
  <c r="BW307" i="23"/>
  <c r="BX307" i="23"/>
  <c r="BY307" i="23"/>
  <c r="BZ307" i="23"/>
  <c r="CA307" i="23"/>
  <c r="CB307" i="23"/>
  <c r="CC307" i="23"/>
  <c r="CD307" i="23"/>
  <c r="CE307" i="23"/>
  <c r="CF307" i="23"/>
  <c r="CG307" i="23"/>
  <c r="CH307" i="23"/>
  <c r="CI307" i="23"/>
  <c r="CJ307" i="23"/>
  <c r="CK307" i="23"/>
  <c r="CL307" i="23"/>
  <c r="CM307" i="23"/>
  <c r="CN307" i="23"/>
  <c r="CO307" i="23"/>
  <c r="CP307" i="23"/>
  <c r="CQ307" i="23"/>
  <c r="CR307" i="23"/>
  <c r="CS307" i="23"/>
  <c r="CT307" i="23"/>
  <c r="CU307" i="23"/>
  <c r="CV307" i="23"/>
  <c r="CW307" i="23"/>
  <c r="CX307" i="23"/>
  <c r="CY307" i="23"/>
  <c r="CZ307" i="23"/>
  <c r="DA307" i="23"/>
  <c r="DB307" i="23"/>
  <c r="DC307" i="23"/>
  <c r="DD307" i="23"/>
  <c r="DE307" i="23"/>
  <c r="DF307" i="23"/>
  <c r="DG307" i="23"/>
  <c r="DH307" i="23"/>
  <c r="DI307" i="23"/>
  <c r="DJ307" i="23"/>
  <c r="DK307" i="23"/>
  <c r="DL307" i="23"/>
  <c r="DM307" i="23"/>
  <c r="DN307" i="23"/>
  <c r="DO307" i="23"/>
  <c r="DP307" i="23"/>
  <c r="DQ307" i="23"/>
  <c r="DR307" i="23"/>
  <c r="DS307" i="23"/>
  <c r="DT307" i="23"/>
  <c r="DU307" i="23"/>
  <c r="DV307" i="23"/>
  <c r="DW307" i="23"/>
  <c r="DX307" i="23"/>
  <c r="DY307" i="23"/>
  <c r="DZ307" i="23"/>
  <c r="EA307" i="23"/>
  <c r="E308" i="23"/>
  <c r="D308" i="23" s="1"/>
  <c r="G308" i="23"/>
  <c r="H308" i="23"/>
  <c r="I308" i="23"/>
  <c r="J308" i="23"/>
  <c r="K308" i="23"/>
  <c r="L308" i="23"/>
  <c r="M308" i="23"/>
  <c r="N308" i="23"/>
  <c r="O308" i="23"/>
  <c r="P308" i="23"/>
  <c r="Q308" i="23"/>
  <c r="R308" i="23"/>
  <c r="S308" i="23"/>
  <c r="T308" i="23"/>
  <c r="U308" i="23"/>
  <c r="V308" i="23"/>
  <c r="W308" i="23"/>
  <c r="X308" i="23"/>
  <c r="Y308" i="23"/>
  <c r="Z308" i="23"/>
  <c r="AA308" i="23"/>
  <c r="AB308" i="23"/>
  <c r="AC308" i="23"/>
  <c r="AD308" i="23"/>
  <c r="AE308" i="23"/>
  <c r="AF308" i="23"/>
  <c r="AG308" i="23"/>
  <c r="AH308" i="23"/>
  <c r="AI308" i="23"/>
  <c r="AJ308" i="23"/>
  <c r="AK308" i="23"/>
  <c r="AL308" i="23"/>
  <c r="AM308" i="23"/>
  <c r="AN308" i="23"/>
  <c r="AO308" i="23"/>
  <c r="AP308" i="23"/>
  <c r="AQ308" i="23"/>
  <c r="AR308" i="23"/>
  <c r="AS308" i="23"/>
  <c r="AT308" i="23"/>
  <c r="AU308" i="23"/>
  <c r="AV308" i="23"/>
  <c r="AW308" i="23"/>
  <c r="AX308" i="23"/>
  <c r="AY308" i="23"/>
  <c r="AZ308" i="23"/>
  <c r="BA308" i="23"/>
  <c r="BB308" i="23"/>
  <c r="BC308" i="23"/>
  <c r="BD308" i="23"/>
  <c r="BE308" i="23"/>
  <c r="BF308" i="23"/>
  <c r="BG308" i="23"/>
  <c r="BH308" i="23"/>
  <c r="BI308" i="23"/>
  <c r="BJ308" i="23"/>
  <c r="BK308" i="23"/>
  <c r="BL308" i="23"/>
  <c r="BM308" i="23"/>
  <c r="BN308" i="23"/>
  <c r="BO308" i="23"/>
  <c r="BP308" i="23"/>
  <c r="BQ308" i="23"/>
  <c r="BR308" i="23"/>
  <c r="BS308" i="23"/>
  <c r="BT308" i="23"/>
  <c r="BU308" i="23"/>
  <c r="BV308" i="23"/>
  <c r="BW308" i="23"/>
  <c r="BX308" i="23"/>
  <c r="BY308" i="23"/>
  <c r="BZ308" i="23"/>
  <c r="CA308" i="23"/>
  <c r="CB308" i="23"/>
  <c r="CC308" i="23"/>
  <c r="CD308" i="23"/>
  <c r="CE308" i="23"/>
  <c r="CF308" i="23"/>
  <c r="CG308" i="23"/>
  <c r="CH308" i="23"/>
  <c r="CI308" i="23"/>
  <c r="CJ308" i="23"/>
  <c r="CK308" i="23"/>
  <c r="CL308" i="23"/>
  <c r="CM308" i="23"/>
  <c r="CN308" i="23"/>
  <c r="CO308" i="23"/>
  <c r="CP308" i="23"/>
  <c r="CQ308" i="23"/>
  <c r="CR308" i="23"/>
  <c r="CS308" i="23"/>
  <c r="CT308" i="23"/>
  <c r="CU308" i="23"/>
  <c r="CV308" i="23"/>
  <c r="CW308" i="23"/>
  <c r="CX308" i="23"/>
  <c r="CY308" i="23"/>
  <c r="CZ308" i="23"/>
  <c r="DA308" i="23"/>
  <c r="DB308" i="23"/>
  <c r="DC308" i="23"/>
  <c r="DD308" i="23"/>
  <c r="DE308" i="23"/>
  <c r="DF308" i="23"/>
  <c r="DG308" i="23"/>
  <c r="DH308" i="23"/>
  <c r="DI308" i="23"/>
  <c r="DJ308" i="23"/>
  <c r="DK308" i="23"/>
  <c r="DL308" i="23"/>
  <c r="DM308" i="23"/>
  <c r="DN308" i="23"/>
  <c r="DO308" i="23"/>
  <c r="DP308" i="23"/>
  <c r="DQ308" i="23"/>
  <c r="DR308" i="23"/>
  <c r="DS308" i="23"/>
  <c r="DT308" i="23"/>
  <c r="DU308" i="23"/>
  <c r="DV308" i="23"/>
  <c r="DW308" i="23"/>
  <c r="DX308" i="23"/>
  <c r="DY308" i="23"/>
  <c r="DZ308" i="23"/>
  <c r="EA308" i="23"/>
  <c r="E309" i="23"/>
  <c r="D309" i="23" s="1"/>
  <c r="G309" i="23"/>
  <c r="H309" i="23"/>
  <c r="I309" i="23"/>
  <c r="J309" i="23"/>
  <c r="K309" i="23"/>
  <c r="L309" i="23"/>
  <c r="M309" i="23"/>
  <c r="N309" i="23"/>
  <c r="O309" i="23"/>
  <c r="P309" i="23"/>
  <c r="Q309" i="23"/>
  <c r="R309" i="23"/>
  <c r="S309" i="23"/>
  <c r="T309" i="23"/>
  <c r="U309" i="23"/>
  <c r="V309" i="23"/>
  <c r="W309" i="23"/>
  <c r="X309" i="23"/>
  <c r="Y309" i="23"/>
  <c r="Z309" i="23"/>
  <c r="AA309" i="23"/>
  <c r="AB309" i="23"/>
  <c r="AC309" i="23"/>
  <c r="AD309" i="23"/>
  <c r="AE309" i="23"/>
  <c r="AF309" i="23"/>
  <c r="AG309" i="23"/>
  <c r="AH309" i="23"/>
  <c r="AI309" i="23"/>
  <c r="AJ309" i="23"/>
  <c r="AK309" i="23"/>
  <c r="AL309" i="23"/>
  <c r="AM309" i="23"/>
  <c r="AN309" i="23"/>
  <c r="AO309" i="23"/>
  <c r="AP309" i="23"/>
  <c r="AQ309" i="23"/>
  <c r="AR309" i="23"/>
  <c r="AS309" i="23"/>
  <c r="AT309" i="23"/>
  <c r="AU309" i="23"/>
  <c r="AV309" i="23"/>
  <c r="AW309" i="23"/>
  <c r="AX309" i="23"/>
  <c r="AY309" i="23"/>
  <c r="AZ309" i="23"/>
  <c r="BA309" i="23"/>
  <c r="BB309" i="23"/>
  <c r="BC309" i="23"/>
  <c r="BD309" i="23"/>
  <c r="BE309" i="23"/>
  <c r="BF309" i="23"/>
  <c r="BG309" i="23"/>
  <c r="BH309" i="23"/>
  <c r="BI309" i="23"/>
  <c r="BJ309" i="23"/>
  <c r="BK309" i="23"/>
  <c r="BL309" i="23"/>
  <c r="BM309" i="23"/>
  <c r="BN309" i="23"/>
  <c r="BO309" i="23"/>
  <c r="BP309" i="23"/>
  <c r="BQ309" i="23"/>
  <c r="BR309" i="23"/>
  <c r="BS309" i="23"/>
  <c r="BT309" i="23"/>
  <c r="BU309" i="23"/>
  <c r="BV309" i="23"/>
  <c r="BW309" i="23"/>
  <c r="BX309" i="23"/>
  <c r="BY309" i="23"/>
  <c r="BZ309" i="23"/>
  <c r="CA309" i="23"/>
  <c r="CB309" i="23"/>
  <c r="CC309" i="23"/>
  <c r="CD309" i="23"/>
  <c r="CE309" i="23"/>
  <c r="CF309" i="23"/>
  <c r="CG309" i="23"/>
  <c r="CH309" i="23"/>
  <c r="CI309" i="23"/>
  <c r="CJ309" i="23"/>
  <c r="CK309" i="23"/>
  <c r="CL309" i="23"/>
  <c r="CM309" i="23"/>
  <c r="CN309" i="23"/>
  <c r="CO309" i="23"/>
  <c r="CP309" i="23"/>
  <c r="CQ309" i="23"/>
  <c r="CR309" i="23"/>
  <c r="CS309" i="23"/>
  <c r="CT309" i="23"/>
  <c r="CU309" i="23"/>
  <c r="CV309" i="23"/>
  <c r="CW309" i="23"/>
  <c r="CX309" i="23"/>
  <c r="CY309" i="23"/>
  <c r="CZ309" i="23"/>
  <c r="DA309" i="23"/>
  <c r="DB309" i="23"/>
  <c r="DC309" i="23"/>
  <c r="DD309" i="23"/>
  <c r="DE309" i="23"/>
  <c r="DF309" i="23"/>
  <c r="DG309" i="23"/>
  <c r="DH309" i="23"/>
  <c r="DI309" i="23"/>
  <c r="DJ309" i="23"/>
  <c r="DK309" i="23"/>
  <c r="DL309" i="23"/>
  <c r="DM309" i="23"/>
  <c r="DN309" i="23"/>
  <c r="DO309" i="23"/>
  <c r="DP309" i="23"/>
  <c r="DQ309" i="23"/>
  <c r="DR309" i="23"/>
  <c r="DS309" i="23"/>
  <c r="DT309" i="23"/>
  <c r="DU309" i="23"/>
  <c r="DV309" i="23"/>
  <c r="DW309" i="23"/>
  <c r="DX309" i="23"/>
  <c r="DY309" i="23"/>
  <c r="DZ309" i="23"/>
  <c r="EA309" i="23"/>
  <c r="E310" i="23"/>
  <c r="D310" i="23" s="1"/>
  <c r="G310" i="23"/>
  <c r="H310" i="23"/>
  <c r="I310" i="23"/>
  <c r="J310" i="23"/>
  <c r="K310" i="23"/>
  <c r="L310" i="23"/>
  <c r="M310" i="23"/>
  <c r="N310" i="23"/>
  <c r="O310" i="23"/>
  <c r="P310" i="23"/>
  <c r="Q310" i="23"/>
  <c r="R310" i="23"/>
  <c r="S310" i="23"/>
  <c r="T310" i="23"/>
  <c r="U310" i="23"/>
  <c r="V310" i="23"/>
  <c r="W310" i="23"/>
  <c r="X310" i="23"/>
  <c r="Y310" i="23"/>
  <c r="Z310" i="23"/>
  <c r="AA310" i="23"/>
  <c r="AB310" i="23"/>
  <c r="AC310" i="23"/>
  <c r="AD310" i="23"/>
  <c r="AE310" i="23"/>
  <c r="AF310" i="23"/>
  <c r="AG310" i="23"/>
  <c r="AH310" i="23"/>
  <c r="AI310" i="23"/>
  <c r="AJ310" i="23"/>
  <c r="AK310" i="23"/>
  <c r="AL310" i="23"/>
  <c r="AM310" i="23"/>
  <c r="AN310" i="23"/>
  <c r="AO310" i="23"/>
  <c r="AP310" i="23"/>
  <c r="AQ310" i="23"/>
  <c r="AR310" i="23"/>
  <c r="AS310" i="23"/>
  <c r="AT310" i="23"/>
  <c r="AU310" i="23"/>
  <c r="AV310" i="23"/>
  <c r="AW310" i="23"/>
  <c r="AX310" i="23"/>
  <c r="AY310" i="23"/>
  <c r="AZ310" i="23"/>
  <c r="BA310" i="23"/>
  <c r="BB310" i="23"/>
  <c r="BC310" i="23"/>
  <c r="BD310" i="23"/>
  <c r="BE310" i="23"/>
  <c r="BF310" i="23"/>
  <c r="BG310" i="23"/>
  <c r="BH310" i="23"/>
  <c r="BI310" i="23"/>
  <c r="BJ310" i="23"/>
  <c r="BK310" i="23"/>
  <c r="BL310" i="23"/>
  <c r="BM310" i="23"/>
  <c r="BN310" i="23"/>
  <c r="BO310" i="23"/>
  <c r="BP310" i="23"/>
  <c r="BQ310" i="23"/>
  <c r="BR310" i="23"/>
  <c r="BS310" i="23"/>
  <c r="BT310" i="23"/>
  <c r="BU310" i="23"/>
  <c r="BV310" i="23"/>
  <c r="BW310" i="23"/>
  <c r="BX310" i="23"/>
  <c r="BY310" i="23"/>
  <c r="BZ310" i="23"/>
  <c r="CA310" i="23"/>
  <c r="CB310" i="23"/>
  <c r="CC310" i="23"/>
  <c r="CD310" i="23"/>
  <c r="CE310" i="23"/>
  <c r="CF310" i="23"/>
  <c r="CG310" i="23"/>
  <c r="CH310" i="23"/>
  <c r="CI310" i="23"/>
  <c r="CJ310" i="23"/>
  <c r="CK310" i="23"/>
  <c r="CL310" i="23"/>
  <c r="CM310" i="23"/>
  <c r="CN310" i="23"/>
  <c r="CO310" i="23"/>
  <c r="CP310" i="23"/>
  <c r="CQ310" i="23"/>
  <c r="CR310" i="23"/>
  <c r="CS310" i="23"/>
  <c r="CT310" i="23"/>
  <c r="CU310" i="23"/>
  <c r="CV310" i="23"/>
  <c r="CW310" i="23"/>
  <c r="CX310" i="23"/>
  <c r="CY310" i="23"/>
  <c r="CZ310" i="23"/>
  <c r="DA310" i="23"/>
  <c r="DB310" i="23"/>
  <c r="DC310" i="23"/>
  <c r="DD310" i="23"/>
  <c r="DE310" i="23"/>
  <c r="DF310" i="23"/>
  <c r="DG310" i="23"/>
  <c r="DH310" i="23"/>
  <c r="DI310" i="23"/>
  <c r="DJ310" i="23"/>
  <c r="DK310" i="23"/>
  <c r="DL310" i="23"/>
  <c r="DM310" i="23"/>
  <c r="DN310" i="23"/>
  <c r="DO310" i="23"/>
  <c r="DP310" i="23"/>
  <c r="DQ310" i="23"/>
  <c r="DR310" i="23"/>
  <c r="DS310" i="23"/>
  <c r="DT310" i="23"/>
  <c r="DU310" i="23"/>
  <c r="DV310" i="23"/>
  <c r="DW310" i="23"/>
  <c r="DX310" i="23"/>
  <c r="DY310" i="23"/>
  <c r="DZ310" i="23"/>
  <c r="EA310" i="23"/>
  <c r="E311" i="23"/>
  <c r="D311" i="23" s="1"/>
  <c r="G311" i="23"/>
  <c r="H311" i="23"/>
  <c r="I311" i="23"/>
  <c r="J311" i="23"/>
  <c r="K311" i="23"/>
  <c r="L311" i="23"/>
  <c r="M311" i="23"/>
  <c r="N311" i="23"/>
  <c r="O311" i="23"/>
  <c r="P311" i="23"/>
  <c r="Q311" i="23"/>
  <c r="R311" i="23"/>
  <c r="S311" i="23"/>
  <c r="T311" i="23"/>
  <c r="U311" i="23"/>
  <c r="V311" i="23"/>
  <c r="W311" i="23"/>
  <c r="X311" i="23"/>
  <c r="Y311" i="23"/>
  <c r="Z311" i="23"/>
  <c r="AA311" i="23"/>
  <c r="AB311" i="23"/>
  <c r="AC311" i="23"/>
  <c r="AD311" i="23"/>
  <c r="AE311" i="23"/>
  <c r="AF311" i="23"/>
  <c r="AG311" i="23"/>
  <c r="AH311" i="23"/>
  <c r="AI311" i="23"/>
  <c r="AJ311" i="23"/>
  <c r="AK311" i="23"/>
  <c r="AL311" i="23"/>
  <c r="AM311" i="23"/>
  <c r="AN311" i="23"/>
  <c r="AO311" i="23"/>
  <c r="AP311" i="23"/>
  <c r="AQ311" i="23"/>
  <c r="AR311" i="23"/>
  <c r="AS311" i="23"/>
  <c r="AT311" i="23"/>
  <c r="AU311" i="23"/>
  <c r="AV311" i="23"/>
  <c r="AW311" i="23"/>
  <c r="AX311" i="23"/>
  <c r="AY311" i="23"/>
  <c r="AZ311" i="23"/>
  <c r="BA311" i="23"/>
  <c r="BB311" i="23"/>
  <c r="BC311" i="23"/>
  <c r="BD311" i="23"/>
  <c r="BE311" i="23"/>
  <c r="BF311" i="23"/>
  <c r="BG311" i="23"/>
  <c r="BH311" i="23"/>
  <c r="BI311" i="23"/>
  <c r="BJ311" i="23"/>
  <c r="BK311" i="23"/>
  <c r="BL311" i="23"/>
  <c r="BM311" i="23"/>
  <c r="BN311" i="23"/>
  <c r="BO311" i="23"/>
  <c r="BP311" i="23"/>
  <c r="BQ311" i="23"/>
  <c r="BR311" i="23"/>
  <c r="BS311" i="23"/>
  <c r="BT311" i="23"/>
  <c r="BU311" i="23"/>
  <c r="BV311" i="23"/>
  <c r="BW311" i="23"/>
  <c r="BX311" i="23"/>
  <c r="BY311" i="23"/>
  <c r="BZ311" i="23"/>
  <c r="CA311" i="23"/>
  <c r="CB311" i="23"/>
  <c r="CC311" i="23"/>
  <c r="CD311" i="23"/>
  <c r="CE311" i="23"/>
  <c r="CF311" i="23"/>
  <c r="CG311" i="23"/>
  <c r="CH311" i="23"/>
  <c r="CI311" i="23"/>
  <c r="CJ311" i="23"/>
  <c r="CK311" i="23"/>
  <c r="CL311" i="23"/>
  <c r="CM311" i="23"/>
  <c r="CN311" i="23"/>
  <c r="CO311" i="23"/>
  <c r="CP311" i="23"/>
  <c r="CQ311" i="23"/>
  <c r="CR311" i="23"/>
  <c r="CS311" i="23"/>
  <c r="CT311" i="23"/>
  <c r="CU311" i="23"/>
  <c r="CV311" i="23"/>
  <c r="CW311" i="23"/>
  <c r="CX311" i="23"/>
  <c r="CY311" i="23"/>
  <c r="CZ311" i="23"/>
  <c r="DA311" i="23"/>
  <c r="DB311" i="23"/>
  <c r="DC311" i="23"/>
  <c r="DD311" i="23"/>
  <c r="DE311" i="23"/>
  <c r="DF311" i="23"/>
  <c r="DG311" i="23"/>
  <c r="DH311" i="23"/>
  <c r="DI311" i="23"/>
  <c r="DJ311" i="23"/>
  <c r="DK311" i="23"/>
  <c r="DL311" i="23"/>
  <c r="DM311" i="23"/>
  <c r="DN311" i="23"/>
  <c r="DO311" i="23"/>
  <c r="DP311" i="23"/>
  <c r="DQ311" i="23"/>
  <c r="DR311" i="23"/>
  <c r="DS311" i="23"/>
  <c r="DT311" i="23"/>
  <c r="DU311" i="23"/>
  <c r="DV311" i="23"/>
  <c r="DW311" i="23"/>
  <c r="DX311" i="23"/>
  <c r="DY311" i="23"/>
  <c r="DZ311" i="23"/>
  <c r="EA311" i="23"/>
  <c r="E312" i="23"/>
  <c r="D312" i="23" s="1"/>
  <c r="G312" i="23"/>
  <c r="H312" i="23"/>
  <c r="I312" i="23"/>
  <c r="J312" i="23"/>
  <c r="K312" i="23"/>
  <c r="L312" i="23"/>
  <c r="M312" i="23"/>
  <c r="N312" i="23"/>
  <c r="O312" i="23"/>
  <c r="P312" i="23"/>
  <c r="Q312" i="23"/>
  <c r="R312" i="23"/>
  <c r="S312" i="23"/>
  <c r="T312" i="23"/>
  <c r="U312" i="23"/>
  <c r="V312" i="23"/>
  <c r="W312" i="23"/>
  <c r="X312" i="23"/>
  <c r="Y312" i="23"/>
  <c r="Z312" i="23"/>
  <c r="AA312" i="23"/>
  <c r="AB312" i="23"/>
  <c r="AC312" i="23"/>
  <c r="AD312" i="23"/>
  <c r="AE312" i="23"/>
  <c r="AF312" i="23"/>
  <c r="AG312" i="23"/>
  <c r="AH312" i="23"/>
  <c r="AI312" i="23"/>
  <c r="AJ312" i="23"/>
  <c r="AK312" i="23"/>
  <c r="AL312" i="23"/>
  <c r="AM312" i="23"/>
  <c r="AN312" i="23"/>
  <c r="AO312" i="23"/>
  <c r="AP312" i="23"/>
  <c r="AQ312" i="23"/>
  <c r="AR312" i="23"/>
  <c r="AS312" i="23"/>
  <c r="AT312" i="23"/>
  <c r="AU312" i="23"/>
  <c r="AV312" i="23"/>
  <c r="AW312" i="23"/>
  <c r="AX312" i="23"/>
  <c r="AY312" i="23"/>
  <c r="AZ312" i="23"/>
  <c r="BA312" i="23"/>
  <c r="BB312" i="23"/>
  <c r="BC312" i="23"/>
  <c r="BD312" i="23"/>
  <c r="BE312" i="23"/>
  <c r="BF312" i="23"/>
  <c r="BG312" i="23"/>
  <c r="BH312" i="23"/>
  <c r="BI312" i="23"/>
  <c r="BJ312" i="23"/>
  <c r="BK312" i="23"/>
  <c r="BL312" i="23"/>
  <c r="BM312" i="23"/>
  <c r="BN312" i="23"/>
  <c r="BO312" i="23"/>
  <c r="BP312" i="23"/>
  <c r="BQ312" i="23"/>
  <c r="BR312" i="23"/>
  <c r="BS312" i="23"/>
  <c r="BT312" i="23"/>
  <c r="BU312" i="23"/>
  <c r="BV312" i="23"/>
  <c r="BW312" i="23"/>
  <c r="BX312" i="23"/>
  <c r="BY312" i="23"/>
  <c r="BZ312" i="23"/>
  <c r="CA312" i="23"/>
  <c r="CB312" i="23"/>
  <c r="CC312" i="23"/>
  <c r="CD312" i="23"/>
  <c r="CE312" i="23"/>
  <c r="CF312" i="23"/>
  <c r="CG312" i="23"/>
  <c r="CH312" i="23"/>
  <c r="CI312" i="23"/>
  <c r="CJ312" i="23"/>
  <c r="CK312" i="23"/>
  <c r="CL312" i="23"/>
  <c r="CM312" i="23"/>
  <c r="CN312" i="23"/>
  <c r="CO312" i="23"/>
  <c r="CP312" i="23"/>
  <c r="CQ312" i="23"/>
  <c r="CR312" i="23"/>
  <c r="CS312" i="23"/>
  <c r="CT312" i="23"/>
  <c r="CU312" i="23"/>
  <c r="CV312" i="23"/>
  <c r="CW312" i="23"/>
  <c r="CX312" i="23"/>
  <c r="CY312" i="23"/>
  <c r="CZ312" i="23"/>
  <c r="DA312" i="23"/>
  <c r="DB312" i="23"/>
  <c r="DC312" i="23"/>
  <c r="DD312" i="23"/>
  <c r="DE312" i="23"/>
  <c r="DF312" i="23"/>
  <c r="DG312" i="23"/>
  <c r="DH312" i="23"/>
  <c r="DI312" i="23"/>
  <c r="DJ312" i="23"/>
  <c r="DK312" i="23"/>
  <c r="DL312" i="23"/>
  <c r="DM312" i="23"/>
  <c r="DN312" i="23"/>
  <c r="DO312" i="23"/>
  <c r="DP312" i="23"/>
  <c r="DQ312" i="23"/>
  <c r="DR312" i="23"/>
  <c r="DS312" i="23"/>
  <c r="DT312" i="23"/>
  <c r="DU312" i="23"/>
  <c r="DV312" i="23"/>
  <c r="DW312" i="23"/>
  <c r="DX312" i="23"/>
  <c r="DY312" i="23"/>
  <c r="DZ312" i="23"/>
  <c r="EA312" i="23"/>
  <c r="E313" i="23"/>
  <c r="D313" i="23" s="1"/>
  <c r="G313" i="23"/>
  <c r="H313" i="23"/>
  <c r="I313" i="23"/>
  <c r="J313" i="23"/>
  <c r="K313" i="23"/>
  <c r="L313" i="23"/>
  <c r="M313" i="23"/>
  <c r="N313" i="23"/>
  <c r="O313" i="23"/>
  <c r="P313" i="23"/>
  <c r="Q313" i="23"/>
  <c r="R313" i="23"/>
  <c r="S313" i="23"/>
  <c r="T313" i="23"/>
  <c r="U313" i="23"/>
  <c r="V313" i="23"/>
  <c r="W313" i="23"/>
  <c r="X313" i="23"/>
  <c r="Y313" i="23"/>
  <c r="Z313" i="23"/>
  <c r="AA313" i="23"/>
  <c r="AB313" i="23"/>
  <c r="AC313" i="23"/>
  <c r="AD313" i="23"/>
  <c r="AE313" i="23"/>
  <c r="AF313" i="23"/>
  <c r="AG313" i="23"/>
  <c r="AH313" i="23"/>
  <c r="AI313" i="23"/>
  <c r="AJ313" i="23"/>
  <c r="AK313" i="23"/>
  <c r="AL313" i="23"/>
  <c r="AM313" i="23"/>
  <c r="AN313" i="23"/>
  <c r="AO313" i="23"/>
  <c r="AP313" i="23"/>
  <c r="AQ313" i="23"/>
  <c r="AR313" i="23"/>
  <c r="AS313" i="23"/>
  <c r="AT313" i="23"/>
  <c r="AU313" i="23"/>
  <c r="AV313" i="23"/>
  <c r="AW313" i="23"/>
  <c r="AX313" i="23"/>
  <c r="AY313" i="23"/>
  <c r="AZ313" i="23"/>
  <c r="BA313" i="23"/>
  <c r="BB313" i="23"/>
  <c r="BC313" i="23"/>
  <c r="BD313" i="23"/>
  <c r="BE313" i="23"/>
  <c r="BF313" i="23"/>
  <c r="BG313" i="23"/>
  <c r="BH313" i="23"/>
  <c r="BI313" i="23"/>
  <c r="BJ313" i="23"/>
  <c r="BK313" i="23"/>
  <c r="BL313" i="23"/>
  <c r="BM313" i="23"/>
  <c r="BN313" i="23"/>
  <c r="BO313" i="23"/>
  <c r="BP313" i="23"/>
  <c r="BQ313" i="23"/>
  <c r="BR313" i="23"/>
  <c r="BS313" i="23"/>
  <c r="BT313" i="23"/>
  <c r="BU313" i="23"/>
  <c r="BV313" i="23"/>
  <c r="BW313" i="23"/>
  <c r="BX313" i="23"/>
  <c r="BY313" i="23"/>
  <c r="BZ313" i="23"/>
  <c r="CA313" i="23"/>
  <c r="CB313" i="23"/>
  <c r="CC313" i="23"/>
  <c r="CD313" i="23"/>
  <c r="CE313" i="23"/>
  <c r="CF313" i="23"/>
  <c r="CG313" i="23"/>
  <c r="CH313" i="23"/>
  <c r="CI313" i="23"/>
  <c r="CJ313" i="23"/>
  <c r="CK313" i="23"/>
  <c r="CL313" i="23"/>
  <c r="CM313" i="23"/>
  <c r="CN313" i="23"/>
  <c r="CO313" i="23"/>
  <c r="CP313" i="23"/>
  <c r="CQ313" i="23"/>
  <c r="CR313" i="23"/>
  <c r="CS313" i="23"/>
  <c r="CT313" i="23"/>
  <c r="CU313" i="23"/>
  <c r="CV313" i="23"/>
  <c r="CW313" i="23"/>
  <c r="CX313" i="23"/>
  <c r="CY313" i="23"/>
  <c r="CZ313" i="23"/>
  <c r="DA313" i="23"/>
  <c r="DB313" i="23"/>
  <c r="DC313" i="23"/>
  <c r="DD313" i="23"/>
  <c r="DE313" i="23"/>
  <c r="DF313" i="23"/>
  <c r="DG313" i="23"/>
  <c r="DH313" i="23"/>
  <c r="DI313" i="23"/>
  <c r="DJ313" i="23"/>
  <c r="DK313" i="23"/>
  <c r="DL313" i="23"/>
  <c r="DM313" i="23"/>
  <c r="DN313" i="23"/>
  <c r="DO313" i="23"/>
  <c r="DP313" i="23"/>
  <c r="DQ313" i="23"/>
  <c r="DR313" i="23"/>
  <c r="DS313" i="23"/>
  <c r="DT313" i="23"/>
  <c r="DU313" i="23"/>
  <c r="DV313" i="23"/>
  <c r="DW313" i="23"/>
  <c r="DX313" i="23"/>
  <c r="DY313" i="23"/>
  <c r="DZ313" i="23"/>
  <c r="EA313" i="23"/>
  <c r="EA302" i="23"/>
  <c r="DZ302" i="23"/>
  <c r="DY302" i="23"/>
  <c r="DX302" i="23"/>
  <c r="DW302" i="23"/>
  <c r="DV302" i="23"/>
  <c r="DU302" i="23"/>
  <c r="DT302" i="23"/>
  <c r="DS302" i="23"/>
  <c r="DR302" i="23"/>
  <c r="DQ302" i="23"/>
  <c r="DP302" i="23"/>
  <c r="DO302" i="23"/>
  <c r="DN302" i="23"/>
  <c r="DM302" i="23"/>
  <c r="DL302" i="23"/>
  <c r="DK302" i="23"/>
  <c r="DJ302" i="23"/>
  <c r="DI302" i="23"/>
  <c r="DH302" i="23"/>
  <c r="DG302" i="23"/>
  <c r="DF302" i="23"/>
  <c r="DE302" i="23"/>
  <c r="DD302" i="23"/>
  <c r="DC302" i="23"/>
  <c r="DB302" i="23"/>
  <c r="DA302" i="23"/>
  <c r="CZ302" i="23"/>
  <c r="CY302" i="23"/>
  <c r="CX302" i="23"/>
  <c r="CW302" i="23"/>
  <c r="CV302" i="23"/>
  <c r="CU302" i="23"/>
  <c r="CT302" i="23"/>
  <c r="CS302" i="23"/>
  <c r="CR302" i="23"/>
  <c r="CQ302" i="23"/>
  <c r="CP302" i="23"/>
  <c r="CO302" i="23"/>
  <c r="CN302" i="23"/>
  <c r="CM302" i="23"/>
  <c r="CL302" i="23"/>
  <c r="CK302" i="23"/>
  <c r="CJ302" i="23"/>
  <c r="CI302" i="23"/>
  <c r="CH302" i="23"/>
  <c r="CG302" i="23"/>
  <c r="CF302" i="23"/>
  <c r="CE302" i="23"/>
  <c r="CD302" i="23"/>
  <c r="CC302" i="23"/>
  <c r="CB302" i="23"/>
  <c r="CA302" i="23"/>
  <c r="BZ302" i="23"/>
  <c r="BY302" i="23"/>
  <c r="BX302" i="23"/>
  <c r="BW302" i="23"/>
  <c r="BV302" i="23"/>
  <c r="BU302" i="23"/>
  <c r="BT302" i="23"/>
  <c r="BS302" i="23"/>
  <c r="BR302" i="23"/>
  <c r="BQ302" i="23"/>
  <c r="BP302" i="23"/>
  <c r="BO302" i="23"/>
  <c r="BN302" i="23"/>
  <c r="BM302" i="23"/>
  <c r="BL302" i="23"/>
  <c r="BK302" i="23"/>
  <c r="BJ302" i="23"/>
  <c r="BI302" i="23"/>
  <c r="BH302" i="23"/>
  <c r="BG302" i="23"/>
  <c r="BF302" i="23"/>
  <c r="BE302" i="23"/>
  <c r="BD302" i="23"/>
  <c r="BC302" i="23"/>
  <c r="BB302" i="23"/>
  <c r="BA302" i="23"/>
  <c r="AZ302" i="23"/>
  <c r="AY302" i="23"/>
  <c r="AX302" i="23"/>
  <c r="AW302" i="23"/>
  <c r="AV302" i="23"/>
  <c r="AU302" i="23"/>
  <c r="AT302" i="23"/>
  <c r="AS302" i="23"/>
  <c r="AR302" i="23"/>
  <c r="AQ302" i="23"/>
  <c r="AP302" i="23"/>
  <c r="AO302" i="23"/>
  <c r="AN302" i="23"/>
  <c r="AM302" i="23"/>
  <c r="AL302" i="23"/>
  <c r="AK302" i="23"/>
  <c r="AJ302" i="23"/>
  <c r="AI302" i="23"/>
  <c r="AH302" i="23"/>
  <c r="AG302" i="23"/>
  <c r="AF302" i="23"/>
  <c r="AE302" i="23"/>
  <c r="AD302" i="23"/>
  <c r="AC302" i="23"/>
  <c r="AB302" i="23"/>
  <c r="AA302" i="23"/>
  <c r="Z302" i="23"/>
  <c r="Y302" i="23"/>
  <c r="X302" i="23"/>
  <c r="W302" i="23"/>
  <c r="V302" i="23"/>
  <c r="U302" i="23"/>
  <c r="T302" i="23"/>
  <c r="S302" i="23"/>
  <c r="R302" i="23"/>
  <c r="Q302" i="23"/>
  <c r="P302" i="23"/>
  <c r="O302" i="23"/>
  <c r="N302" i="23"/>
  <c r="M302" i="23"/>
  <c r="L302" i="23"/>
  <c r="K302" i="23"/>
  <c r="J302" i="23"/>
  <c r="I302" i="23"/>
  <c r="H302" i="23"/>
  <c r="G302" i="23"/>
  <c r="E302" i="23"/>
  <c r="D302" i="23" s="1"/>
  <c r="G231" i="23"/>
  <c r="H231" i="23"/>
  <c r="I231" i="23"/>
  <c r="J231" i="23"/>
  <c r="K231" i="23"/>
  <c r="L231" i="23"/>
  <c r="M231" i="23"/>
  <c r="N231" i="23"/>
  <c r="O231" i="23"/>
  <c r="P231" i="23"/>
  <c r="Q231" i="23"/>
  <c r="R231" i="23"/>
  <c r="S231" i="23"/>
  <c r="T231" i="23"/>
  <c r="U231" i="23"/>
  <c r="V231" i="23"/>
  <c r="W231" i="23"/>
  <c r="X231" i="23"/>
  <c r="Y231" i="23"/>
  <c r="Z231" i="23"/>
  <c r="AA231" i="23"/>
  <c r="AB231" i="23"/>
  <c r="AC231" i="23"/>
  <c r="AD231" i="23"/>
  <c r="AE231" i="23"/>
  <c r="AF231" i="23"/>
  <c r="AG231" i="23"/>
  <c r="AH231" i="23"/>
  <c r="AI231" i="23"/>
  <c r="AJ231" i="23"/>
  <c r="AK231" i="23"/>
  <c r="AL231" i="23"/>
  <c r="AM231" i="23"/>
  <c r="AN231" i="23"/>
  <c r="AO231" i="23"/>
  <c r="AP231" i="23"/>
  <c r="AQ231" i="23"/>
  <c r="AR231" i="23"/>
  <c r="AS231" i="23"/>
  <c r="AT231" i="23"/>
  <c r="AU231" i="23"/>
  <c r="AV231" i="23"/>
  <c r="AW231" i="23"/>
  <c r="AX231" i="23"/>
  <c r="AY231" i="23"/>
  <c r="AZ231" i="23"/>
  <c r="BA231" i="23"/>
  <c r="BB231" i="23"/>
  <c r="BC231" i="23"/>
  <c r="BD231" i="23"/>
  <c r="BE231" i="23"/>
  <c r="BF231" i="23"/>
  <c r="BG231" i="23"/>
  <c r="BH231" i="23"/>
  <c r="BI231" i="23"/>
  <c r="BJ231" i="23"/>
  <c r="BK231" i="23"/>
  <c r="BL231" i="23"/>
  <c r="BM231" i="23"/>
  <c r="BN231" i="23"/>
  <c r="BO231" i="23"/>
  <c r="BP231" i="23"/>
  <c r="BQ231" i="23"/>
  <c r="BR231" i="23"/>
  <c r="BS231" i="23"/>
  <c r="BT231" i="23"/>
  <c r="BU231" i="23"/>
  <c r="BV231" i="23"/>
  <c r="BW231" i="23"/>
  <c r="BX231" i="23"/>
  <c r="BY231" i="23"/>
  <c r="BZ231" i="23"/>
  <c r="CA231" i="23"/>
  <c r="CB231" i="23"/>
  <c r="CC231" i="23"/>
  <c r="CD231" i="23"/>
  <c r="CE231" i="23"/>
  <c r="CF231" i="23"/>
  <c r="CG231" i="23"/>
  <c r="CH231" i="23"/>
  <c r="CI231" i="23"/>
  <c r="CJ231" i="23"/>
  <c r="CK231" i="23"/>
  <c r="CL231" i="23"/>
  <c r="CM231" i="23"/>
  <c r="CN231" i="23"/>
  <c r="CO231" i="23"/>
  <c r="CP231" i="23"/>
  <c r="CQ231" i="23"/>
  <c r="CR231" i="23"/>
  <c r="CS231" i="23"/>
  <c r="CT231" i="23"/>
  <c r="CU231" i="23"/>
  <c r="CV231" i="23"/>
  <c r="CW231" i="23"/>
  <c r="CX231" i="23"/>
  <c r="CY231" i="23"/>
  <c r="CZ231" i="23"/>
  <c r="DA231" i="23"/>
  <c r="DB231" i="23"/>
  <c r="DC231" i="23"/>
  <c r="DD231" i="23"/>
  <c r="DE231" i="23"/>
  <c r="DF231" i="23"/>
  <c r="DG231" i="23"/>
  <c r="DH231" i="23"/>
  <c r="DI231" i="23"/>
  <c r="DJ231" i="23"/>
  <c r="DK231" i="23"/>
  <c r="DL231" i="23"/>
  <c r="DM231" i="23"/>
  <c r="DN231" i="23"/>
  <c r="DO231" i="23"/>
  <c r="DP231" i="23"/>
  <c r="DQ231" i="23"/>
  <c r="DR231" i="23"/>
  <c r="DS231" i="23"/>
  <c r="DT231" i="23"/>
  <c r="DU231" i="23"/>
  <c r="DV231" i="23"/>
  <c r="DW231" i="23"/>
  <c r="DX231" i="23"/>
  <c r="DY231" i="23"/>
  <c r="DZ231" i="23"/>
  <c r="EA231" i="23"/>
  <c r="G232" i="23"/>
  <c r="H232" i="23"/>
  <c r="I232" i="23"/>
  <c r="J232" i="23"/>
  <c r="K232" i="23"/>
  <c r="L232" i="23"/>
  <c r="M232" i="23"/>
  <c r="N232" i="23"/>
  <c r="O232" i="23"/>
  <c r="P232" i="23"/>
  <c r="Q232" i="23"/>
  <c r="R232" i="23"/>
  <c r="S232" i="23"/>
  <c r="T232" i="23"/>
  <c r="U232" i="23"/>
  <c r="V232" i="23"/>
  <c r="W232" i="23"/>
  <c r="X232" i="23"/>
  <c r="Y232" i="23"/>
  <c r="Z232" i="23"/>
  <c r="AA232" i="23"/>
  <c r="AB232" i="23"/>
  <c r="AC232" i="23"/>
  <c r="AD232" i="23"/>
  <c r="AE232" i="23"/>
  <c r="AF232" i="23"/>
  <c r="AG232" i="23"/>
  <c r="AH232" i="23"/>
  <c r="AI232" i="23"/>
  <c r="AJ232" i="23"/>
  <c r="AK232" i="23"/>
  <c r="AL232" i="23"/>
  <c r="AM232" i="23"/>
  <c r="AN232" i="23"/>
  <c r="AO232" i="23"/>
  <c r="AP232" i="23"/>
  <c r="AQ232" i="23"/>
  <c r="AR232" i="23"/>
  <c r="AS232" i="23"/>
  <c r="AT232" i="23"/>
  <c r="AU232" i="23"/>
  <c r="AV232" i="23"/>
  <c r="AW232" i="23"/>
  <c r="AX232" i="23"/>
  <c r="AY232" i="23"/>
  <c r="AZ232" i="23"/>
  <c r="BA232" i="23"/>
  <c r="BB232" i="23"/>
  <c r="BC232" i="23"/>
  <c r="BD232" i="23"/>
  <c r="BE232" i="23"/>
  <c r="BF232" i="23"/>
  <c r="BG232" i="23"/>
  <c r="BH232" i="23"/>
  <c r="BI232" i="23"/>
  <c r="BJ232" i="23"/>
  <c r="BK232" i="23"/>
  <c r="BL232" i="23"/>
  <c r="BM232" i="23"/>
  <c r="BN232" i="23"/>
  <c r="BO232" i="23"/>
  <c r="BP232" i="23"/>
  <c r="BQ232" i="23"/>
  <c r="BR232" i="23"/>
  <c r="BS232" i="23"/>
  <c r="BT232" i="23"/>
  <c r="BU232" i="23"/>
  <c r="BV232" i="23"/>
  <c r="BW232" i="23"/>
  <c r="BX232" i="23"/>
  <c r="BY232" i="23"/>
  <c r="BZ232" i="23"/>
  <c r="CA232" i="23"/>
  <c r="CB232" i="23"/>
  <c r="CC232" i="23"/>
  <c r="CD232" i="23"/>
  <c r="CE232" i="23"/>
  <c r="CF232" i="23"/>
  <c r="CG232" i="23"/>
  <c r="CH232" i="23"/>
  <c r="CI232" i="23"/>
  <c r="CJ232" i="23"/>
  <c r="CK232" i="23"/>
  <c r="CL232" i="23"/>
  <c r="CM232" i="23"/>
  <c r="CN232" i="23"/>
  <c r="CO232" i="23"/>
  <c r="CP232" i="23"/>
  <c r="CQ232" i="23"/>
  <c r="CR232" i="23"/>
  <c r="CS232" i="23"/>
  <c r="CT232" i="23"/>
  <c r="CU232" i="23"/>
  <c r="CV232" i="23"/>
  <c r="CW232" i="23"/>
  <c r="CX232" i="23"/>
  <c r="CY232" i="23"/>
  <c r="CZ232" i="23"/>
  <c r="DA232" i="23"/>
  <c r="DB232" i="23"/>
  <c r="DC232" i="23"/>
  <c r="DD232" i="23"/>
  <c r="DE232" i="23"/>
  <c r="DF232" i="23"/>
  <c r="DG232" i="23"/>
  <c r="DH232" i="23"/>
  <c r="DI232" i="23"/>
  <c r="DJ232" i="23"/>
  <c r="DK232" i="23"/>
  <c r="DL232" i="23"/>
  <c r="DM232" i="23"/>
  <c r="DN232" i="23"/>
  <c r="DO232" i="23"/>
  <c r="DP232" i="23"/>
  <c r="DQ232" i="23"/>
  <c r="DR232" i="23"/>
  <c r="DS232" i="23"/>
  <c r="DT232" i="23"/>
  <c r="DU232" i="23"/>
  <c r="DV232" i="23"/>
  <c r="DW232" i="23"/>
  <c r="DX232" i="23"/>
  <c r="DY232" i="23"/>
  <c r="DZ232" i="23"/>
  <c r="EA232" i="23"/>
  <c r="G233" i="23"/>
  <c r="H233" i="23"/>
  <c r="I233" i="23"/>
  <c r="J233" i="23"/>
  <c r="K233" i="23"/>
  <c r="L233" i="23"/>
  <c r="M233" i="23"/>
  <c r="N233" i="23"/>
  <c r="O233" i="23"/>
  <c r="P233" i="23"/>
  <c r="Q233" i="23"/>
  <c r="R233" i="23"/>
  <c r="S233" i="23"/>
  <c r="T233" i="23"/>
  <c r="U233" i="23"/>
  <c r="V233" i="23"/>
  <c r="W233" i="23"/>
  <c r="X233" i="23"/>
  <c r="Y233" i="23"/>
  <c r="Z233" i="23"/>
  <c r="AA233" i="23"/>
  <c r="AB233" i="23"/>
  <c r="AC233" i="23"/>
  <c r="AD233" i="23"/>
  <c r="AE233" i="23"/>
  <c r="AF233" i="23"/>
  <c r="AG233" i="23"/>
  <c r="AH233" i="23"/>
  <c r="AI233" i="23"/>
  <c r="AJ233" i="23"/>
  <c r="AK233" i="23"/>
  <c r="AL233" i="23"/>
  <c r="AM233" i="23"/>
  <c r="AN233" i="23"/>
  <c r="AO233" i="23"/>
  <c r="AP233" i="23"/>
  <c r="AQ233" i="23"/>
  <c r="AR233" i="23"/>
  <c r="AS233" i="23"/>
  <c r="AT233" i="23"/>
  <c r="AU233" i="23"/>
  <c r="AV233" i="23"/>
  <c r="AW233" i="23"/>
  <c r="AX233" i="23"/>
  <c r="AY233" i="23"/>
  <c r="AZ233" i="23"/>
  <c r="BA233" i="23"/>
  <c r="BB233" i="23"/>
  <c r="BC233" i="23"/>
  <c r="BD233" i="23"/>
  <c r="BE233" i="23"/>
  <c r="BF233" i="23"/>
  <c r="BG233" i="23"/>
  <c r="BH233" i="23"/>
  <c r="BI233" i="23"/>
  <c r="BJ233" i="23"/>
  <c r="BK233" i="23"/>
  <c r="BL233" i="23"/>
  <c r="BM233" i="23"/>
  <c r="BN233" i="23"/>
  <c r="BO233" i="23"/>
  <c r="BP233" i="23"/>
  <c r="BQ233" i="23"/>
  <c r="BR233" i="23"/>
  <c r="BS233" i="23"/>
  <c r="BT233" i="23"/>
  <c r="BU233" i="23"/>
  <c r="BV233" i="23"/>
  <c r="BW233" i="23"/>
  <c r="BX233" i="23"/>
  <c r="BY233" i="23"/>
  <c r="BZ233" i="23"/>
  <c r="CA233" i="23"/>
  <c r="CB233" i="23"/>
  <c r="CC233" i="23"/>
  <c r="CD233" i="23"/>
  <c r="CE233" i="23"/>
  <c r="CF233" i="23"/>
  <c r="CG233" i="23"/>
  <c r="CH233" i="23"/>
  <c r="CI233" i="23"/>
  <c r="CJ233" i="23"/>
  <c r="CK233" i="23"/>
  <c r="CL233" i="23"/>
  <c r="CM233" i="23"/>
  <c r="CN233" i="23"/>
  <c r="CO233" i="23"/>
  <c r="CP233" i="23"/>
  <c r="CQ233" i="23"/>
  <c r="CR233" i="23"/>
  <c r="CS233" i="23"/>
  <c r="CT233" i="23"/>
  <c r="CU233" i="23"/>
  <c r="CV233" i="23"/>
  <c r="CW233" i="23"/>
  <c r="CX233" i="23"/>
  <c r="CY233" i="23"/>
  <c r="CZ233" i="23"/>
  <c r="DA233" i="23"/>
  <c r="DB233" i="23"/>
  <c r="DC233" i="23"/>
  <c r="DD233" i="23"/>
  <c r="DE233" i="23"/>
  <c r="DF233" i="23"/>
  <c r="DG233" i="23"/>
  <c r="DH233" i="23"/>
  <c r="DI233" i="23"/>
  <c r="DJ233" i="23"/>
  <c r="DK233" i="23"/>
  <c r="DL233" i="23"/>
  <c r="DM233" i="23"/>
  <c r="DN233" i="23"/>
  <c r="DO233" i="23"/>
  <c r="DP233" i="23"/>
  <c r="DQ233" i="23"/>
  <c r="DR233" i="23"/>
  <c r="DS233" i="23"/>
  <c r="DT233" i="23"/>
  <c r="DU233" i="23"/>
  <c r="DV233" i="23"/>
  <c r="DW233" i="23"/>
  <c r="DX233" i="23"/>
  <c r="DY233" i="23"/>
  <c r="DZ233" i="23"/>
  <c r="EA233" i="23"/>
  <c r="G234" i="23"/>
  <c r="H234" i="23"/>
  <c r="I234" i="23"/>
  <c r="J234" i="23"/>
  <c r="K234" i="23"/>
  <c r="L234" i="23"/>
  <c r="M234" i="23"/>
  <c r="N234" i="23"/>
  <c r="O234" i="23"/>
  <c r="P234" i="23"/>
  <c r="Q234" i="23"/>
  <c r="R234" i="23"/>
  <c r="S234" i="23"/>
  <c r="T234" i="23"/>
  <c r="U234" i="23"/>
  <c r="V234" i="23"/>
  <c r="W234" i="23"/>
  <c r="X234" i="23"/>
  <c r="Y234" i="23"/>
  <c r="Z234" i="23"/>
  <c r="AA234" i="23"/>
  <c r="AB234" i="23"/>
  <c r="AC234" i="23"/>
  <c r="AD234" i="23"/>
  <c r="AE234" i="23"/>
  <c r="AF234" i="23"/>
  <c r="AG234" i="23"/>
  <c r="AH234" i="23"/>
  <c r="AI234" i="23"/>
  <c r="AJ234" i="23"/>
  <c r="AK234" i="23"/>
  <c r="AL234" i="23"/>
  <c r="AM234" i="23"/>
  <c r="AN234" i="23"/>
  <c r="AO234" i="23"/>
  <c r="AP234" i="23"/>
  <c r="AQ234" i="23"/>
  <c r="AR234" i="23"/>
  <c r="AS234" i="23"/>
  <c r="AT234" i="23"/>
  <c r="AU234" i="23"/>
  <c r="AV234" i="23"/>
  <c r="AW234" i="23"/>
  <c r="AX234" i="23"/>
  <c r="AY234" i="23"/>
  <c r="AZ234" i="23"/>
  <c r="BA234" i="23"/>
  <c r="BB234" i="23"/>
  <c r="BC234" i="23"/>
  <c r="BD234" i="23"/>
  <c r="BE234" i="23"/>
  <c r="BF234" i="23"/>
  <c r="BG234" i="23"/>
  <c r="BH234" i="23"/>
  <c r="BI234" i="23"/>
  <c r="BJ234" i="23"/>
  <c r="BK234" i="23"/>
  <c r="BL234" i="23"/>
  <c r="BM234" i="23"/>
  <c r="BN234" i="23"/>
  <c r="BO234" i="23"/>
  <c r="BP234" i="23"/>
  <c r="BQ234" i="23"/>
  <c r="BR234" i="23"/>
  <c r="BS234" i="23"/>
  <c r="BT234" i="23"/>
  <c r="BU234" i="23"/>
  <c r="BV234" i="23"/>
  <c r="BW234" i="23"/>
  <c r="BX234" i="23"/>
  <c r="BY234" i="23"/>
  <c r="BZ234" i="23"/>
  <c r="CA234" i="23"/>
  <c r="CB234" i="23"/>
  <c r="CC234" i="23"/>
  <c r="CD234" i="23"/>
  <c r="CE234" i="23"/>
  <c r="CF234" i="23"/>
  <c r="CG234" i="23"/>
  <c r="CH234" i="23"/>
  <c r="CI234" i="23"/>
  <c r="CJ234" i="23"/>
  <c r="CK234" i="23"/>
  <c r="CL234" i="23"/>
  <c r="CM234" i="23"/>
  <c r="CN234" i="23"/>
  <c r="CO234" i="23"/>
  <c r="CP234" i="23"/>
  <c r="CQ234" i="23"/>
  <c r="CR234" i="23"/>
  <c r="CS234" i="23"/>
  <c r="CT234" i="23"/>
  <c r="CU234" i="23"/>
  <c r="CV234" i="23"/>
  <c r="CW234" i="23"/>
  <c r="CX234" i="23"/>
  <c r="CY234" i="23"/>
  <c r="CZ234" i="23"/>
  <c r="DA234" i="23"/>
  <c r="DB234" i="23"/>
  <c r="DC234" i="23"/>
  <c r="DD234" i="23"/>
  <c r="DE234" i="23"/>
  <c r="DF234" i="23"/>
  <c r="DG234" i="23"/>
  <c r="DH234" i="23"/>
  <c r="DI234" i="23"/>
  <c r="DJ234" i="23"/>
  <c r="DK234" i="23"/>
  <c r="DL234" i="23"/>
  <c r="DM234" i="23"/>
  <c r="DN234" i="23"/>
  <c r="DO234" i="23"/>
  <c r="DP234" i="23"/>
  <c r="DQ234" i="23"/>
  <c r="DR234" i="23"/>
  <c r="DS234" i="23"/>
  <c r="DT234" i="23"/>
  <c r="DU234" i="23"/>
  <c r="DV234" i="23"/>
  <c r="DW234" i="23"/>
  <c r="DX234" i="23"/>
  <c r="DY234" i="23"/>
  <c r="DZ234" i="23"/>
  <c r="EA234" i="23"/>
  <c r="G235" i="23"/>
  <c r="H235" i="23"/>
  <c r="I235" i="23"/>
  <c r="J235" i="23"/>
  <c r="K235" i="23"/>
  <c r="L235" i="23"/>
  <c r="M235" i="23"/>
  <c r="N235" i="23"/>
  <c r="O235" i="23"/>
  <c r="P235" i="23"/>
  <c r="Q235" i="23"/>
  <c r="R235" i="23"/>
  <c r="S235" i="23"/>
  <c r="T235" i="23"/>
  <c r="U235" i="23"/>
  <c r="V235" i="23"/>
  <c r="W235" i="23"/>
  <c r="X235" i="23"/>
  <c r="Y235" i="23"/>
  <c r="Z235" i="23"/>
  <c r="AA235" i="23"/>
  <c r="AB235" i="23"/>
  <c r="AC235" i="23"/>
  <c r="AD235" i="23"/>
  <c r="AE235" i="23"/>
  <c r="AF235" i="23"/>
  <c r="AG235" i="23"/>
  <c r="AH235" i="23"/>
  <c r="AI235" i="23"/>
  <c r="AJ235" i="23"/>
  <c r="AK235" i="23"/>
  <c r="AL235" i="23"/>
  <c r="AM235" i="23"/>
  <c r="AN235" i="23"/>
  <c r="AO235" i="23"/>
  <c r="AP235" i="23"/>
  <c r="AQ235" i="23"/>
  <c r="AR235" i="23"/>
  <c r="AS235" i="23"/>
  <c r="AT235" i="23"/>
  <c r="AU235" i="23"/>
  <c r="AV235" i="23"/>
  <c r="AW235" i="23"/>
  <c r="AX235" i="23"/>
  <c r="AY235" i="23"/>
  <c r="AZ235" i="23"/>
  <c r="BA235" i="23"/>
  <c r="BB235" i="23"/>
  <c r="BC235" i="23"/>
  <c r="BD235" i="23"/>
  <c r="BE235" i="23"/>
  <c r="BF235" i="23"/>
  <c r="BG235" i="23"/>
  <c r="BH235" i="23"/>
  <c r="BI235" i="23"/>
  <c r="BJ235" i="23"/>
  <c r="BK235" i="23"/>
  <c r="BL235" i="23"/>
  <c r="BM235" i="23"/>
  <c r="BN235" i="23"/>
  <c r="BO235" i="23"/>
  <c r="BP235" i="23"/>
  <c r="BQ235" i="23"/>
  <c r="BR235" i="23"/>
  <c r="BS235" i="23"/>
  <c r="BT235" i="23"/>
  <c r="BU235" i="23"/>
  <c r="BV235" i="23"/>
  <c r="BW235" i="23"/>
  <c r="BX235" i="23"/>
  <c r="BY235" i="23"/>
  <c r="BZ235" i="23"/>
  <c r="CA235" i="23"/>
  <c r="CB235" i="23"/>
  <c r="CC235" i="23"/>
  <c r="CD235" i="23"/>
  <c r="CE235" i="23"/>
  <c r="CF235" i="23"/>
  <c r="CG235" i="23"/>
  <c r="CH235" i="23"/>
  <c r="CI235" i="23"/>
  <c r="CJ235" i="23"/>
  <c r="CK235" i="23"/>
  <c r="CL235" i="23"/>
  <c r="CM235" i="23"/>
  <c r="CN235" i="23"/>
  <c r="CO235" i="23"/>
  <c r="CP235" i="23"/>
  <c r="CQ235" i="23"/>
  <c r="CR235" i="23"/>
  <c r="CS235" i="23"/>
  <c r="CT235" i="23"/>
  <c r="CU235" i="23"/>
  <c r="CV235" i="23"/>
  <c r="CW235" i="23"/>
  <c r="CX235" i="23"/>
  <c r="CY235" i="23"/>
  <c r="CZ235" i="23"/>
  <c r="DA235" i="23"/>
  <c r="DB235" i="23"/>
  <c r="DC235" i="23"/>
  <c r="DD235" i="23"/>
  <c r="DE235" i="23"/>
  <c r="DF235" i="23"/>
  <c r="DG235" i="23"/>
  <c r="DH235" i="23"/>
  <c r="DI235" i="23"/>
  <c r="DJ235" i="23"/>
  <c r="DK235" i="23"/>
  <c r="DL235" i="23"/>
  <c r="DM235" i="23"/>
  <c r="DN235" i="23"/>
  <c r="DO235" i="23"/>
  <c r="DP235" i="23"/>
  <c r="DQ235" i="23"/>
  <c r="DR235" i="23"/>
  <c r="DS235" i="23"/>
  <c r="DT235" i="23"/>
  <c r="DU235" i="23"/>
  <c r="DV235" i="23"/>
  <c r="DW235" i="23"/>
  <c r="DX235" i="23"/>
  <c r="DY235" i="23"/>
  <c r="DZ235" i="23"/>
  <c r="EA235" i="23"/>
  <c r="G236" i="23"/>
  <c r="H236" i="23"/>
  <c r="I236" i="23"/>
  <c r="J236" i="23"/>
  <c r="K236" i="23"/>
  <c r="L236" i="23"/>
  <c r="M236" i="23"/>
  <c r="N236" i="23"/>
  <c r="O236" i="23"/>
  <c r="P236" i="23"/>
  <c r="Q236" i="23"/>
  <c r="R236" i="23"/>
  <c r="S236" i="23"/>
  <c r="T236" i="23"/>
  <c r="U236" i="23"/>
  <c r="V236" i="23"/>
  <c r="W236" i="23"/>
  <c r="X236" i="23"/>
  <c r="Y236" i="23"/>
  <c r="Z236" i="23"/>
  <c r="AA236" i="23"/>
  <c r="AB236" i="23"/>
  <c r="AC236" i="23"/>
  <c r="AD236" i="23"/>
  <c r="AE236" i="23"/>
  <c r="AF236" i="23"/>
  <c r="AG236" i="23"/>
  <c r="AH236" i="23"/>
  <c r="AI236" i="23"/>
  <c r="AJ236" i="23"/>
  <c r="AK236" i="23"/>
  <c r="AL236" i="23"/>
  <c r="AM236" i="23"/>
  <c r="AN236" i="23"/>
  <c r="AO236" i="23"/>
  <c r="AP236" i="23"/>
  <c r="AQ236" i="23"/>
  <c r="AR236" i="23"/>
  <c r="AS236" i="23"/>
  <c r="AT236" i="23"/>
  <c r="AU236" i="23"/>
  <c r="AV236" i="23"/>
  <c r="AW236" i="23"/>
  <c r="AX236" i="23"/>
  <c r="AY236" i="23"/>
  <c r="AZ236" i="23"/>
  <c r="BA236" i="23"/>
  <c r="BB236" i="23"/>
  <c r="BC236" i="23"/>
  <c r="BD236" i="23"/>
  <c r="BE236" i="23"/>
  <c r="BF236" i="23"/>
  <c r="BG236" i="23"/>
  <c r="BH236" i="23"/>
  <c r="BI236" i="23"/>
  <c r="BJ236" i="23"/>
  <c r="BK236" i="23"/>
  <c r="BL236" i="23"/>
  <c r="BM236" i="23"/>
  <c r="BN236" i="23"/>
  <c r="BO236" i="23"/>
  <c r="BP236" i="23"/>
  <c r="BQ236" i="23"/>
  <c r="BR236" i="23"/>
  <c r="BS236" i="23"/>
  <c r="BT236" i="23"/>
  <c r="BU236" i="23"/>
  <c r="BV236" i="23"/>
  <c r="BW236" i="23"/>
  <c r="BX236" i="23"/>
  <c r="BY236" i="23"/>
  <c r="BZ236" i="23"/>
  <c r="CA236" i="23"/>
  <c r="CB236" i="23"/>
  <c r="CC236" i="23"/>
  <c r="CD236" i="23"/>
  <c r="CE236" i="23"/>
  <c r="CF236" i="23"/>
  <c r="CG236" i="23"/>
  <c r="CH236" i="23"/>
  <c r="CI236" i="23"/>
  <c r="CJ236" i="23"/>
  <c r="CK236" i="23"/>
  <c r="CL236" i="23"/>
  <c r="CM236" i="23"/>
  <c r="CN236" i="23"/>
  <c r="CO236" i="23"/>
  <c r="CP236" i="23"/>
  <c r="CQ236" i="23"/>
  <c r="CR236" i="23"/>
  <c r="CS236" i="23"/>
  <c r="CT236" i="23"/>
  <c r="CU236" i="23"/>
  <c r="CV236" i="23"/>
  <c r="CW236" i="23"/>
  <c r="CX236" i="23"/>
  <c r="CY236" i="23"/>
  <c r="CZ236" i="23"/>
  <c r="DA236" i="23"/>
  <c r="DB236" i="23"/>
  <c r="DC236" i="23"/>
  <c r="DD236" i="23"/>
  <c r="DE236" i="23"/>
  <c r="DF236" i="23"/>
  <c r="DG236" i="23"/>
  <c r="DH236" i="23"/>
  <c r="DI236" i="23"/>
  <c r="DJ236" i="23"/>
  <c r="DK236" i="23"/>
  <c r="DL236" i="23"/>
  <c r="DM236" i="23"/>
  <c r="DN236" i="23"/>
  <c r="DO236" i="23"/>
  <c r="DP236" i="23"/>
  <c r="DQ236" i="23"/>
  <c r="DR236" i="23"/>
  <c r="DS236" i="23"/>
  <c r="DT236" i="23"/>
  <c r="DU236" i="23"/>
  <c r="DV236" i="23"/>
  <c r="DW236" i="23"/>
  <c r="DX236" i="23"/>
  <c r="DY236" i="23"/>
  <c r="DZ236" i="23"/>
  <c r="EA236" i="23"/>
  <c r="G237" i="23"/>
  <c r="H237" i="23"/>
  <c r="I237" i="23"/>
  <c r="J237" i="23"/>
  <c r="K237" i="23"/>
  <c r="L237" i="23"/>
  <c r="M237" i="23"/>
  <c r="N237" i="23"/>
  <c r="O237" i="23"/>
  <c r="P237" i="23"/>
  <c r="Q237" i="23"/>
  <c r="R237" i="23"/>
  <c r="S237" i="23"/>
  <c r="T237" i="23"/>
  <c r="U237" i="23"/>
  <c r="V237" i="23"/>
  <c r="W237" i="23"/>
  <c r="X237" i="23"/>
  <c r="Y237" i="23"/>
  <c r="Z237" i="23"/>
  <c r="AA237" i="23"/>
  <c r="AB237" i="23"/>
  <c r="AC237" i="23"/>
  <c r="AD237" i="23"/>
  <c r="AE237" i="23"/>
  <c r="AF237" i="23"/>
  <c r="AG237" i="23"/>
  <c r="AH237" i="23"/>
  <c r="AI237" i="23"/>
  <c r="AJ237" i="23"/>
  <c r="AK237" i="23"/>
  <c r="AL237" i="23"/>
  <c r="AM237" i="23"/>
  <c r="AN237" i="23"/>
  <c r="AO237" i="23"/>
  <c r="AP237" i="23"/>
  <c r="AQ237" i="23"/>
  <c r="AR237" i="23"/>
  <c r="AS237" i="23"/>
  <c r="AT237" i="23"/>
  <c r="AU237" i="23"/>
  <c r="AV237" i="23"/>
  <c r="AW237" i="23"/>
  <c r="AX237" i="23"/>
  <c r="AY237" i="23"/>
  <c r="AZ237" i="23"/>
  <c r="BA237" i="23"/>
  <c r="BB237" i="23"/>
  <c r="BC237" i="23"/>
  <c r="BD237" i="23"/>
  <c r="BE237" i="23"/>
  <c r="BF237" i="23"/>
  <c r="BG237" i="23"/>
  <c r="BH237" i="23"/>
  <c r="BI237" i="23"/>
  <c r="BJ237" i="23"/>
  <c r="BK237" i="23"/>
  <c r="BL237" i="23"/>
  <c r="BM237" i="23"/>
  <c r="BN237" i="23"/>
  <c r="BO237" i="23"/>
  <c r="BP237" i="23"/>
  <c r="BQ237" i="23"/>
  <c r="BR237" i="23"/>
  <c r="BS237" i="23"/>
  <c r="BT237" i="23"/>
  <c r="BU237" i="23"/>
  <c r="BV237" i="23"/>
  <c r="BW237" i="23"/>
  <c r="BX237" i="23"/>
  <c r="BY237" i="23"/>
  <c r="BZ237" i="23"/>
  <c r="CA237" i="23"/>
  <c r="CB237" i="23"/>
  <c r="CC237" i="23"/>
  <c r="CD237" i="23"/>
  <c r="CE237" i="23"/>
  <c r="CF237" i="23"/>
  <c r="CG237" i="23"/>
  <c r="CH237" i="23"/>
  <c r="CI237" i="23"/>
  <c r="CJ237" i="23"/>
  <c r="CK237" i="23"/>
  <c r="CL237" i="23"/>
  <c r="CM237" i="23"/>
  <c r="CN237" i="23"/>
  <c r="CO237" i="23"/>
  <c r="CP237" i="23"/>
  <c r="CQ237" i="23"/>
  <c r="CR237" i="23"/>
  <c r="CS237" i="23"/>
  <c r="CT237" i="23"/>
  <c r="CU237" i="23"/>
  <c r="CV237" i="23"/>
  <c r="CW237" i="23"/>
  <c r="CX237" i="23"/>
  <c r="CY237" i="23"/>
  <c r="CZ237" i="23"/>
  <c r="DA237" i="23"/>
  <c r="DB237" i="23"/>
  <c r="DC237" i="23"/>
  <c r="DD237" i="23"/>
  <c r="DE237" i="23"/>
  <c r="DF237" i="23"/>
  <c r="DG237" i="23"/>
  <c r="DH237" i="23"/>
  <c r="DI237" i="23"/>
  <c r="DJ237" i="23"/>
  <c r="DK237" i="23"/>
  <c r="DL237" i="23"/>
  <c r="DM237" i="23"/>
  <c r="DN237" i="23"/>
  <c r="DO237" i="23"/>
  <c r="DP237" i="23"/>
  <c r="DQ237" i="23"/>
  <c r="DR237" i="23"/>
  <c r="DS237" i="23"/>
  <c r="DT237" i="23"/>
  <c r="DU237" i="23"/>
  <c r="DV237" i="23"/>
  <c r="DW237" i="23"/>
  <c r="DX237" i="23"/>
  <c r="DY237" i="23"/>
  <c r="DZ237" i="23"/>
  <c r="EA237" i="23"/>
  <c r="G238" i="23"/>
  <c r="H238" i="23"/>
  <c r="I238" i="23"/>
  <c r="J238" i="23"/>
  <c r="K238" i="23"/>
  <c r="L238" i="23"/>
  <c r="M238" i="23"/>
  <c r="N238" i="23"/>
  <c r="O238" i="23"/>
  <c r="P238" i="23"/>
  <c r="Q238" i="23"/>
  <c r="R238" i="23"/>
  <c r="S238" i="23"/>
  <c r="T238" i="23"/>
  <c r="U238" i="23"/>
  <c r="V238" i="23"/>
  <c r="W238" i="23"/>
  <c r="X238" i="23"/>
  <c r="Y238" i="23"/>
  <c r="Z238" i="23"/>
  <c r="AA238" i="23"/>
  <c r="AB238" i="23"/>
  <c r="AC238" i="23"/>
  <c r="AD238" i="23"/>
  <c r="AE238" i="23"/>
  <c r="AF238" i="23"/>
  <c r="AG238" i="23"/>
  <c r="AH238" i="23"/>
  <c r="AI238" i="23"/>
  <c r="AJ238" i="23"/>
  <c r="AK238" i="23"/>
  <c r="AL238" i="23"/>
  <c r="AM238" i="23"/>
  <c r="AN238" i="23"/>
  <c r="AO238" i="23"/>
  <c r="AP238" i="23"/>
  <c r="AQ238" i="23"/>
  <c r="AR238" i="23"/>
  <c r="AS238" i="23"/>
  <c r="AT238" i="23"/>
  <c r="AU238" i="23"/>
  <c r="AV238" i="23"/>
  <c r="AW238" i="23"/>
  <c r="AX238" i="23"/>
  <c r="AY238" i="23"/>
  <c r="AZ238" i="23"/>
  <c r="BA238" i="23"/>
  <c r="BB238" i="23"/>
  <c r="BC238" i="23"/>
  <c r="BD238" i="23"/>
  <c r="BE238" i="23"/>
  <c r="BF238" i="23"/>
  <c r="BG238" i="23"/>
  <c r="BH238" i="23"/>
  <c r="BI238" i="23"/>
  <c r="BJ238" i="23"/>
  <c r="BK238" i="23"/>
  <c r="BL238" i="23"/>
  <c r="BM238" i="23"/>
  <c r="BN238" i="23"/>
  <c r="BO238" i="23"/>
  <c r="BP238" i="23"/>
  <c r="BQ238" i="23"/>
  <c r="BR238" i="23"/>
  <c r="BS238" i="23"/>
  <c r="BT238" i="23"/>
  <c r="BU238" i="23"/>
  <c r="BV238" i="23"/>
  <c r="BW238" i="23"/>
  <c r="BX238" i="23"/>
  <c r="BY238" i="23"/>
  <c r="BZ238" i="23"/>
  <c r="CA238" i="23"/>
  <c r="CB238" i="23"/>
  <c r="CC238" i="23"/>
  <c r="CD238" i="23"/>
  <c r="CE238" i="23"/>
  <c r="CF238" i="23"/>
  <c r="CG238" i="23"/>
  <c r="CH238" i="23"/>
  <c r="CI238" i="23"/>
  <c r="CJ238" i="23"/>
  <c r="CK238" i="23"/>
  <c r="CL238" i="23"/>
  <c r="CM238" i="23"/>
  <c r="CN238" i="23"/>
  <c r="CO238" i="23"/>
  <c r="CP238" i="23"/>
  <c r="CQ238" i="23"/>
  <c r="CR238" i="23"/>
  <c r="CS238" i="23"/>
  <c r="CT238" i="23"/>
  <c r="CU238" i="23"/>
  <c r="CV238" i="23"/>
  <c r="CW238" i="23"/>
  <c r="CX238" i="23"/>
  <c r="CY238" i="23"/>
  <c r="CZ238" i="23"/>
  <c r="DA238" i="23"/>
  <c r="DB238" i="23"/>
  <c r="DC238" i="23"/>
  <c r="DD238" i="23"/>
  <c r="DE238" i="23"/>
  <c r="DF238" i="23"/>
  <c r="DG238" i="23"/>
  <c r="DH238" i="23"/>
  <c r="DI238" i="23"/>
  <c r="DJ238" i="23"/>
  <c r="DK238" i="23"/>
  <c r="DL238" i="23"/>
  <c r="DM238" i="23"/>
  <c r="DN238" i="23"/>
  <c r="DO238" i="23"/>
  <c r="DP238" i="23"/>
  <c r="DQ238" i="23"/>
  <c r="DR238" i="23"/>
  <c r="DS238" i="23"/>
  <c r="DT238" i="23"/>
  <c r="DU238" i="23"/>
  <c r="DV238" i="23"/>
  <c r="DW238" i="23"/>
  <c r="DX238" i="23"/>
  <c r="DY238" i="23"/>
  <c r="DZ238" i="23"/>
  <c r="EA238" i="23"/>
  <c r="G239" i="23"/>
  <c r="H239" i="23"/>
  <c r="I239" i="23"/>
  <c r="J239" i="23"/>
  <c r="K239" i="23"/>
  <c r="L239" i="23"/>
  <c r="M239" i="23"/>
  <c r="N239" i="23"/>
  <c r="O239" i="23"/>
  <c r="P239" i="23"/>
  <c r="Q239" i="23"/>
  <c r="R239" i="23"/>
  <c r="S239" i="23"/>
  <c r="T239" i="23"/>
  <c r="U239" i="23"/>
  <c r="V239" i="23"/>
  <c r="W239" i="23"/>
  <c r="X239" i="23"/>
  <c r="Y239" i="23"/>
  <c r="Z239" i="23"/>
  <c r="AA239" i="23"/>
  <c r="AB239" i="23"/>
  <c r="AC239" i="23"/>
  <c r="AD239" i="23"/>
  <c r="AE239" i="23"/>
  <c r="AF239" i="23"/>
  <c r="AG239" i="23"/>
  <c r="AH239" i="23"/>
  <c r="AI239" i="23"/>
  <c r="AJ239" i="23"/>
  <c r="AK239" i="23"/>
  <c r="AL239" i="23"/>
  <c r="AM239" i="23"/>
  <c r="AN239" i="23"/>
  <c r="AO239" i="23"/>
  <c r="AP239" i="23"/>
  <c r="AQ239" i="23"/>
  <c r="AR239" i="23"/>
  <c r="AS239" i="23"/>
  <c r="AT239" i="23"/>
  <c r="AU239" i="23"/>
  <c r="AV239" i="23"/>
  <c r="AW239" i="23"/>
  <c r="AX239" i="23"/>
  <c r="AY239" i="23"/>
  <c r="AZ239" i="23"/>
  <c r="BA239" i="23"/>
  <c r="BB239" i="23"/>
  <c r="BC239" i="23"/>
  <c r="BD239" i="23"/>
  <c r="BE239" i="23"/>
  <c r="BF239" i="23"/>
  <c r="BG239" i="23"/>
  <c r="BH239" i="23"/>
  <c r="BI239" i="23"/>
  <c r="BJ239" i="23"/>
  <c r="BK239" i="23"/>
  <c r="BL239" i="23"/>
  <c r="BM239" i="23"/>
  <c r="BN239" i="23"/>
  <c r="BO239" i="23"/>
  <c r="BP239" i="23"/>
  <c r="BQ239" i="23"/>
  <c r="BR239" i="23"/>
  <c r="BS239" i="23"/>
  <c r="BT239" i="23"/>
  <c r="BU239" i="23"/>
  <c r="BV239" i="23"/>
  <c r="BW239" i="23"/>
  <c r="BX239" i="23"/>
  <c r="BY239" i="23"/>
  <c r="BZ239" i="23"/>
  <c r="CA239" i="23"/>
  <c r="CB239" i="23"/>
  <c r="CC239" i="23"/>
  <c r="CD239" i="23"/>
  <c r="CE239" i="23"/>
  <c r="CF239" i="23"/>
  <c r="CG239" i="23"/>
  <c r="CH239" i="23"/>
  <c r="CI239" i="23"/>
  <c r="CJ239" i="23"/>
  <c r="CK239" i="23"/>
  <c r="CL239" i="23"/>
  <c r="CM239" i="23"/>
  <c r="CN239" i="23"/>
  <c r="CO239" i="23"/>
  <c r="CP239" i="23"/>
  <c r="CQ239" i="23"/>
  <c r="CR239" i="23"/>
  <c r="CS239" i="23"/>
  <c r="CT239" i="23"/>
  <c r="CU239" i="23"/>
  <c r="CV239" i="23"/>
  <c r="CW239" i="23"/>
  <c r="CX239" i="23"/>
  <c r="CY239" i="23"/>
  <c r="CZ239" i="23"/>
  <c r="DA239" i="23"/>
  <c r="DB239" i="23"/>
  <c r="DC239" i="23"/>
  <c r="DD239" i="23"/>
  <c r="DE239" i="23"/>
  <c r="DF239" i="23"/>
  <c r="DG239" i="23"/>
  <c r="DH239" i="23"/>
  <c r="DI239" i="23"/>
  <c r="DJ239" i="23"/>
  <c r="DK239" i="23"/>
  <c r="DL239" i="23"/>
  <c r="DM239" i="23"/>
  <c r="DN239" i="23"/>
  <c r="DO239" i="23"/>
  <c r="DP239" i="23"/>
  <c r="DQ239" i="23"/>
  <c r="DR239" i="23"/>
  <c r="DS239" i="23"/>
  <c r="DT239" i="23"/>
  <c r="DU239" i="23"/>
  <c r="DV239" i="23"/>
  <c r="DW239" i="23"/>
  <c r="DX239" i="23"/>
  <c r="DY239" i="23"/>
  <c r="DZ239" i="23"/>
  <c r="EA239" i="23"/>
  <c r="G240" i="23"/>
  <c r="H240" i="23"/>
  <c r="I240" i="23"/>
  <c r="J240" i="23"/>
  <c r="K240" i="23"/>
  <c r="L240" i="23"/>
  <c r="M240" i="23"/>
  <c r="N240" i="23"/>
  <c r="O240" i="23"/>
  <c r="P240" i="23"/>
  <c r="Q240" i="23"/>
  <c r="R240" i="23"/>
  <c r="S240" i="23"/>
  <c r="T240" i="23"/>
  <c r="U240" i="23"/>
  <c r="V240" i="23"/>
  <c r="W240" i="23"/>
  <c r="X240" i="23"/>
  <c r="Y240" i="23"/>
  <c r="Z240" i="23"/>
  <c r="AA240" i="23"/>
  <c r="AB240" i="23"/>
  <c r="AC240" i="23"/>
  <c r="AD240" i="23"/>
  <c r="AE240" i="23"/>
  <c r="AF240" i="23"/>
  <c r="AG240" i="23"/>
  <c r="AH240" i="23"/>
  <c r="AI240" i="23"/>
  <c r="AJ240" i="23"/>
  <c r="AK240" i="23"/>
  <c r="AL240" i="23"/>
  <c r="AM240" i="23"/>
  <c r="AN240" i="23"/>
  <c r="AO240" i="23"/>
  <c r="AP240" i="23"/>
  <c r="AQ240" i="23"/>
  <c r="AR240" i="23"/>
  <c r="AS240" i="23"/>
  <c r="AT240" i="23"/>
  <c r="AU240" i="23"/>
  <c r="AV240" i="23"/>
  <c r="AW240" i="23"/>
  <c r="AX240" i="23"/>
  <c r="AY240" i="23"/>
  <c r="AZ240" i="23"/>
  <c r="BA240" i="23"/>
  <c r="BB240" i="23"/>
  <c r="BC240" i="23"/>
  <c r="BD240" i="23"/>
  <c r="BE240" i="23"/>
  <c r="BF240" i="23"/>
  <c r="BG240" i="23"/>
  <c r="BH240" i="23"/>
  <c r="BI240" i="23"/>
  <c r="BJ240" i="23"/>
  <c r="BK240" i="23"/>
  <c r="BL240" i="23"/>
  <c r="BM240" i="23"/>
  <c r="BN240" i="23"/>
  <c r="BO240" i="23"/>
  <c r="BP240" i="23"/>
  <c r="BQ240" i="23"/>
  <c r="BR240" i="23"/>
  <c r="BS240" i="23"/>
  <c r="BT240" i="23"/>
  <c r="BU240" i="23"/>
  <c r="BV240" i="23"/>
  <c r="BW240" i="23"/>
  <c r="BX240" i="23"/>
  <c r="BY240" i="23"/>
  <c r="BZ240" i="23"/>
  <c r="CA240" i="23"/>
  <c r="CB240" i="23"/>
  <c r="CC240" i="23"/>
  <c r="CD240" i="23"/>
  <c r="CE240" i="23"/>
  <c r="CF240" i="23"/>
  <c r="CG240" i="23"/>
  <c r="CH240" i="23"/>
  <c r="CI240" i="23"/>
  <c r="CJ240" i="23"/>
  <c r="CK240" i="23"/>
  <c r="CL240" i="23"/>
  <c r="CM240" i="23"/>
  <c r="CN240" i="23"/>
  <c r="CO240" i="23"/>
  <c r="CP240" i="23"/>
  <c r="CQ240" i="23"/>
  <c r="CR240" i="23"/>
  <c r="CS240" i="23"/>
  <c r="CT240" i="23"/>
  <c r="CU240" i="23"/>
  <c r="CV240" i="23"/>
  <c r="CW240" i="23"/>
  <c r="CX240" i="23"/>
  <c r="CY240" i="23"/>
  <c r="CZ240" i="23"/>
  <c r="DA240" i="23"/>
  <c r="DB240" i="23"/>
  <c r="DC240" i="23"/>
  <c r="DD240" i="23"/>
  <c r="DE240" i="23"/>
  <c r="DF240" i="23"/>
  <c r="DG240" i="23"/>
  <c r="DH240" i="23"/>
  <c r="DI240" i="23"/>
  <c r="DJ240" i="23"/>
  <c r="DK240" i="23"/>
  <c r="DL240" i="23"/>
  <c r="DM240" i="23"/>
  <c r="DN240" i="23"/>
  <c r="DO240" i="23"/>
  <c r="DP240" i="23"/>
  <c r="DQ240" i="23"/>
  <c r="DR240" i="23"/>
  <c r="DS240" i="23"/>
  <c r="DT240" i="23"/>
  <c r="DU240" i="23"/>
  <c r="DV240" i="23"/>
  <c r="DW240" i="23"/>
  <c r="DX240" i="23"/>
  <c r="DY240" i="23"/>
  <c r="DZ240" i="23"/>
  <c r="EA240" i="23"/>
  <c r="G241" i="23"/>
  <c r="H241" i="23"/>
  <c r="I241" i="23"/>
  <c r="J241" i="23"/>
  <c r="K241" i="23"/>
  <c r="L241" i="23"/>
  <c r="M241" i="23"/>
  <c r="N241" i="23"/>
  <c r="O241" i="23"/>
  <c r="P241" i="23"/>
  <c r="Q241" i="23"/>
  <c r="R241" i="23"/>
  <c r="S241" i="23"/>
  <c r="T241" i="23"/>
  <c r="U241" i="23"/>
  <c r="V241" i="23"/>
  <c r="W241" i="23"/>
  <c r="X241" i="23"/>
  <c r="Y241" i="23"/>
  <c r="Z241" i="23"/>
  <c r="AA241" i="23"/>
  <c r="AB241" i="23"/>
  <c r="AC241" i="23"/>
  <c r="AD241" i="23"/>
  <c r="AE241" i="23"/>
  <c r="AF241" i="23"/>
  <c r="AG241" i="23"/>
  <c r="AH241" i="23"/>
  <c r="AI241" i="23"/>
  <c r="AJ241" i="23"/>
  <c r="AK241" i="23"/>
  <c r="AL241" i="23"/>
  <c r="AM241" i="23"/>
  <c r="AN241" i="23"/>
  <c r="AO241" i="23"/>
  <c r="AP241" i="23"/>
  <c r="AQ241" i="23"/>
  <c r="AR241" i="23"/>
  <c r="AS241" i="23"/>
  <c r="AT241" i="23"/>
  <c r="AU241" i="23"/>
  <c r="AV241" i="23"/>
  <c r="AW241" i="23"/>
  <c r="AX241" i="23"/>
  <c r="AY241" i="23"/>
  <c r="AZ241" i="23"/>
  <c r="BA241" i="23"/>
  <c r="BB241" i="23"/>
  <c r="BC241" i="23"/>
  <c r="BD241" i="23"/>
  <c r="BE241" i="23"/>
  <c r="BF241" i="23"/>
  <c r="BG241" i="23"/>
  <c r="BH241" i="23"/>
  <c r="BI241" i="23"/>
  <c r="BJ241" i="23"/>
  <c r="BK241" i="23"/>
  <c r="BL241" i="23"/>
  <c r="BM241" i="23"/>
  <c r="BN241" i="23"/>
  <c r="BO241" i="23"/>
  <c r="BP241" i="23"/>
  <c r="BQ241" i="23"/>
  <c r="BR241" i="23"/>
  <c r="BS241" i="23"/>
  <c r="BT241" i="23"/>
  <c r="BU241" i="23"/>
  <c r="BV241" i="23"/>
  <c r="BW241" i="23"/>
  <c r="BX241" i="23"/>
  <c r="BY241" i="23"/>
  <c r="BZ241" i="23"/>
  <c r="CA241" i="23"/>
  <c r="CB241" i="23"/>
  <c r="CC241" i="23"/>
  <c r="CD241" i="23"/>
  <c r="CE241" i="23"/>
  <c r="CF241" i="23"/>
  <c r="CG241" i="23"/>
  <c r="CH241" i="23"/>
  <c r="CI241" i="23"/>
  <c r="CJ241" i="23"/>
  <c r="CK241" i="23"/>
  <c r="CL241" i="23"/>
  <c r="CM241" i="23"/>
  <c r="CN241" i="23"/>
  <c r="CO241" i="23"/>
  <c r="CP241" i="23"/>
  <c r="CQ241" i="23"/>
  <c r="CR241" i="23"/>
  <c r="CS241" i="23"/>
  <c r="CT241" i="23"/>
  <c r="CU241" i="23"/>
  <c r="CV241" i="23"/>
  <c r="CW241" i="23"/>
  <c r="CX241" i="23"/>
  <c r="CY241" i="23"/>
  <c r="CZ241" i="23"/>
  <c r="DA241" i="23"/>
  <c r="DB241" i="23"/>
  <c r="DC241" i="23"/>
  <c r="DD241" i="23"/>
  <c r="DE241" i="23"/>
  <c r="DF241" i="23"/>
  <c r="DG241" i="23"/>
  <c r="DH241" i="23"/>
  <c r="DI241" i="23"/>
  <c r="DJ241" i="23"/>
  <c r="DK241" i="23"/>
  <c r="DL241" i="23"/>
  <c r="DM241" i="23"/>
  <c r="DN241" i="23"/>
  <c r="DO241" i="23"/>
  <c r="DP241" i="23"/>
  <c r="DQ241" i="23"/>
  <c r="DR241" i="23"/>
  <c r="DS241" i="23"/>
  <c r="DT241" i="23"/>
  <c r="DU241" i="23"/>
  <c r="DV241" i="23"/>
  <c r="DW241" i="23"/>
  <c r="DX241" i="23"/>
  <c r="DY241" i="23"/>
  <c r="DZ241" i="23"/>
  <c r="EA241" i="23"/>
  <c r="EA230" i="23"/>
  <c r="DZ230" i="23"/>
  <c r="DY230" i="23"/>
  <c r="DX230" i="23"/>
  <c r="DW230" i="23"/>
  <c r="DV230" i="23"/>
  <c r="DU230" i="23"/>
  <c r="DT230" i="23"/>
  <c r="DS230" i="23"/>
  <c r="DR230" i="23"/>
  <c r="DQ230" i="23"/>
  <c r="DP230" i="23"/>
  <c r="DO230" i="23"/>
  <c r="DN230" i="23"/>
  <c r="DM230" i="23"/>
  <c r="DL230" i="23"/>
  <c r="DK230" i="23"/>
  <c r="DJ230" i="23"/>
  <c r="DI230" i="23"/>
  <c r="DH230" i="23"/>
  <c r="DG230" i="23"/>
  <c r="DF230" i="23"/>
  <c r="DE230" i="23"/>
  <c r="DD230" i="23"/>
  <c r="DC230" i="23"/>
  <c r="DB230" i="23"/>
  <c r="DA230" i="23"/>
  <c r="CZ230" i="23"/>
  <c r="CY230" i="23"/>
  <c r="CX230" i="23"/>
  <c r="CW230" i="23"/>
  <c r="CV230" i="23"/>
  <c r="CU230" i="23"/>
  <c r="CT230" i="23"/>
  <c r="CS230" i="23"/>
  <c r="CR230" i="23"/>
  <c r="CQ230" i="23"/>
  <c r="CP230" i="23"/>
  <c r="CO230" i="23"/>
  <c r="CN230" i="23"/>
  <c r="CM230" i="23"/>
  <c r="CL230" i="23"/>
  <c r="CK230" i="23"/>
  <c r="CJ230" i="23"/>
  <c r="CI230" i="23"/>
  <c r="CH230" i="23"/>
  <c r="CG230" i="23"/>
  <c r="CF230" i="23"/>
  <c r="CE230" i="23"/>
  <c r="CD230" i="23"/>
  <c r="CC230" i="23"/>
  <c r="CB230" i="23"/>
  <c r="CA230" i="23"/>
  <c r="BZ230" i="23"/>
  <c r="BY230" i="23"/>
  <c r="BX230" i="23"/>
  <c r="BW230" i="23"/>
  <c r="BV230" i="23"/>
  <c r="BU230" i="23"/>
  <c r="BT230" i="23"/>
  <c r="BS230" i="23"/>
  <c r="BR230" i="23"/>
  <c r="BQ230" i="23"/>
  <c r="BP230" i="23"/>
  <c r="BO230" i="23"/>
  <c r="BN230" i="23"/>
  <c r="BM230" i="23"/>
  <c r="BL230" i="23"/>
  <c r="BK230" i="23"/>
  <c r="BJ230" i="23"/>
  <c r="BI230" i="23"/>
  <c r="BH230" i="23"/>
  <c r="BG230" i="23"/>
  <c r="BF230" i="23"/>
  <c r="BE230" i="23"/>
  <c r="BD230" i="23"/>
  <c r="BC230" i="23"/>
  <c r="BB230" i="23"/>
  <c r="BA230" i="23"/>
  <c r="AZ230" i="23"/>
  <c r="AY230" i="23"/>
  <c r="AX230" i="23"/>
  <c r="AW230" i="23"/>
  <c r="AV230" i="23"/>
  <c r="AU230" i="23"/>
  <c r="AT230" i="23"/>
  <c r="AS230" i="23"/>
  <c r="AR230" i="23"/>
  <c r="AQ230" i="23"/>
  <c r="AP230" i="23"/>
  <c r="AO230" i="23"/>
  <c r="AN230" i="23"/>
  <c r="AM230" i="23"/>
  <c r="AL230" i="23"/>
  <c r="AK230" i="23"/>
  <c r="AJ230" i="23"/>
  <c r="AI230" i="23"/>
  <c r="AH230" i="23"/>
  <c r="AG230" i="23"/>
  <c r="AF230" i="23"/>
  <c r="AE230" i="23"/>
  <c r="AD230" i="23"/>
  <c r="AC230" i="23"/>
  <c r="AB230" i="23"/>
  <c r="AA230" i="23"/>
  <c r="Z230" i="23"/>
  <c r="Y230" i="23"/>
  <c r="X230" i="23"/>
  <c r="W230" i="23"/>
  <c r="V230" i="23"/>
  <c r="U230" i="23"/>
  <c r="T230" i="23"/>
  <c r="S230" i="23"/>
  <c r="R230" i="23"/>
  <c r="Q230" i="23"/>
  <c r="P230" i="23"/>
  <c r="O230" i="23"/>
  <c r="N230" i="23"/>
  <c r="M230" i="23"/>
  <c r="L230" i="23"/>
  <c r="K230" i="23"/>
  <c r="J230" i="23"/>
  <c r="I230" i="23"/>
  <c r="H230" i="23"/>
  <c r="G230" i="23"/>
  <c r="G195" i="23"/>
  <c r="H195" i="23"/>
  <c r="I195" i="23"/>
  <c r="J195" i="23"/>
  <c r="K195" i="23"/>
  <c r="L195" i="23"/>
  <c r="M195" i="23"/>
  <c r="N195" i="23"/>
  <c r="O195" i="23"/>
  <c r="P195" i="23"/>
  <c r="Q195" i="23"/>
  <c r="R195" i="23"/>
  <c r="S195" i="23"/>
  <c r="T195" i="23"/>
  <c r="U195" i="23"/>
  <c r="V195" i="23"/>
  <c r="W195" i="23"/>
  <c r="X195" i="23"/>
  <c r="Y195" i="23"/>
  <c r="Z195" i="23"/>
  <c r="AA195" i="23"/>
  <c r="AB195" i="23"/>
  <c r="AC195" i="23"/>
  <c r="AD195" i="23"/>
  <c r="AE195" i="23"/>
  <c r="AF195" i="23"/>
  <c r="AG195" i="23"/>
  <c r="AH195" i="23"/>
  <c r="AI195" i="23"/>
  <c r="AJ195" i="23"/>
  <c r="AK195" i="23"/>
  <c r="AL195" i="23"/>
  <c r="AM195" i="23"/>
  <c r="AN195" i="23"/>
  <c r="AO195" i="23"/>
  <c r="AP195" i="23"/>
  <c r="AQ195" i="23"/>
  <c r="AR195" i="23"/>
  <c r="AS195" i="23"/>
  <c r="AT195" i="23"/>
  <c r="AU195" i="23"/>
  <c r="AV195" i="23"/>
  <c r="AW195" i="23"/>
  <c r="AX195" i="23"/>
  <c r="AY195" i="23"/>
  <c r="AZ195" i="23"/>
  <c r="BA195" i="23"/>
  <c r="BB195" i="23"/>
  <c r="BC195" i="23"/>
  <c r="BD195" i="23"/>
  <c r="BE195" i="23"/>
  <c r="BF195" i="23"/>
  <c r="BG195" i="23"/>
  <c r="BH195" i="23"/>
  <c r="BI195" i="23"/>
  <c r="BJ195" i="23"/>
  <c r="BK195" i="23"/>
  <c r="BL195" i="23"/>
  <c r="BM195" i="23"/>
  <c r="BN195" i="23"/>
  <c r="BO195" i="23"/>
  <c r="BP195" i="23"/>
  <c r="BQ195" i="23"/>
  <c r="BR195" i="23"/>
  <c r="BS195" i="23"/>
  <c r="BT195" i="23"/>
  <c r="BU195" i="23"/>
  <c r="BV195" i="23"/>
  <c r="BW195" i="23"/>
  <c r="BX195" i="23"/>
  <c r="BY195" i="23"/>
  <c r="BZ195" i="23"/>
  <c r="CA195" i="23"/>
  <c r="CB195" i="23"/>
  <c r="CC195" i="23"/>
  <c r="CD195" i="23"/>
  <c r="CE195" i="23"/>
  <c r="CF195" i="23"/>
  <c r="CG195" i="23"/>
  <c r="CH195" i="23"/>
  <c r="CI195" i="23"/>
  <c r="CJ195" i="23"/>
  <c r="CK195" i="23"/>
  <c r="CL195" i="23"/>
  <c r="CM195" i="23"/>
  <c r="CN195" i="23"/>
  <c r="CO195" i="23"/>
  <c r="CP195" i="23"/>
  <c r="CQ195" i="23"/>
  <c r="CR195" i="23"/>
  <c r="CS195" i="23"/>
  <c r="CT195" i="23"/>
  <c r="CU195" i="23"/>
  <c r="CV195" i="23"/>
  <c r="CW195" i="23"/>
  <c r="CX195" i="23"/>
  <c r="CY195" i="23"/>
  <c r="CZ195" i="23"/>
  <c r="DA195" i="23"/>
  <c r="DB195" i="23"/>
  <c r="DC195" i="23"/>
  <c r="DD195" i="23"/>
  <c r="DE195" i="23"/>
  <c r="DF195" i="23"/>
  <c r="DG195" i="23"/>
  <c r="DH195" i="23"/>
  <c r="DI195" i="23"/>
  <c r="DJ195" i="23"/>
  <c r="DK195" i="23"/>
  <c r="DL195" i="23"/>
  <c r="DM195" i="23"/>
  <c r="DN195" i="23"/>
  <c r="DO195" i="23"/>
  <c r="DP195" i="23"/>
  <c r="DQ195" i="23"/>
  <c r="DR195" i="23"/>
  <c r="DS195" i="23"/>
  <c r="DT195" i="23"/>
  <c r="DU195" i="23"/>
  <c r="DV195" i="23"/>
  <c r="DW195" i="23"/>
  <c r="DX195" i="23"/>
  <c r="DY195" i="23"/>
  <c r="DZ195" i="23"/>
  <c r="EA195" i="23"/>
  <c r="G196" i="23"/>
  <c r="H196" i="23"/>
  <c r="I196" i="23"/>
  <c r="J196" i="23"/>
  <c r="K196" i="23"/>
  <c r="L196" i="23"/>
  <c r="M196" i="23"/>
  <c r="N196" i="23"/>
  <c r="O196" i="23"/>
  <c r="P196" i="23"/>
  <c r="Q196" i="23"/>
  <c r="R196" i="23"/>
  <c r="S196" i="23"/>
  <c r="T196" i="23"/>
  <c r="U196" i="23"/>
  <c r="V196" i="23"/>
  <c r="W196" i="23"/>
  <c r="X196" i="23"/>
  <c r="Y196" i="23"/>
  <c r="Z196" i="23"/>
  <c r="AA196" i="23"/>
  <c r="AB196" i="23"/>
  <c r="AC196" i="23"/>
  <c r="AD196" i="23"/>
  <c r="AE196" i="23"/>
  <c r="AF196" i="23"/>
  <c r="AG196" i="23"/>
  <c r="AH196" i="23"/>
  <c r="AI196" i="23"/>
  <c r="AJ196" i="23"/>
  <c r="AK196" i="23"/>
  <c r="AL196" i="23"/>
  <c r="AM196" i="23"/>
  <c r="AN196" i="23"/>
  <c r="AO196" i="23"/>
  <c r="AP196" i="23"/>
  <c r="AQ196" i="23"/>
  <c r="AR196" i="23"/>
  <c r="AS196" i="23"/>
  <c r="AT196" i="23"/>
  <c r="AU196" i="23"/>
  <c r="AV196" i="23"/>
  <c r="AW196" i="23"/>
  <c r="AX196" i="23"/>
  <c r="AY196" i="23"/>
  <c r="AZ196" i="23"/>
  <c r="BA196" i="23"/>
  <c r="BB196" i="23"/>
  <c r="BC196" i="23"/>
  <c r="BD196" i="23"/>
  <c r="BE196" i="23"/>
  <c r="BF196" i="23"/>
  <c r="BG196" i="23"/>
  <c r="BH196" i="23"/>
  <c r="BI196" i="23"/>
  <c r="BJ196" i="23"/>
  <c r="BK196" i="23"/>
  <c r="BL196" i="23"/>
  <c r="BM196" i="23"/>
  <c r="BN196" i="23"/>
  <c r="BO196" i="23"/>
  <c r="BP196" i="23"/>
  <c r="BQ196" i="23"/>
  <c r="BR196" i="23"/>
  <c r="BS196" i="23"/>
  <c r="BT196" i="23"/>
  <c r="BU196" i="23"/>
  <c r="BV196" i="23"/>
  <c r="BW196" i="23"/>
  <c r="BX196" i="23"/>
  <c r="BY196" i="23"/>
  <c r="BZ196" i="23"/>
  <c r="CA196" i="23"/>
  <c r="CB196" i="23"/>
  <c r="CC196" i="23"/>
  <c r="CD196" i="23"/>
  <c r="CE196" i="23"/>
  <c r="CF196" i="23"/>
  <c r="CG196" i="23"/>
  <c r="CH196" i="23"/>
  <c r="CI196" i="23"/>
  <c r="CJ196" i="23"/>
  <c r="CK196" i="23"/>
  <c r="CL196" i="23"/>
  <c r="CM196" i="23"/>
  <c r="CN196" i="23"/>
  <c r="CO196" i="23"/>
  <c r="CP196" i="23"/>
  <c r="CQ196" i="23"/>
  <c r="CR196" i="23"/>
  <c r="CS196" i="23"/>
  <c r="CT196" i="23"/>
  <c r="CU196" i="23"/>
  <c r="CV196" i="23"/>
  <c r="CW196" i="23"/>
  <c r="CX196" i="23"/>
  <c r="CY196" i="23"/>
  <c r="CZ196" i="23"/>
  <c r="DA196" i="23"/>
  <c r="DB196" i="23"/>
  <c r="DC196" i="23"/>
  <c r="DD196" i="23"/>
  <c r="DE196" i="23"/>
  <c r="DF196" i="23"/>
  <c r="DG196" i="23"/>
  <c r="DH196" i="23"/>
  <c r="DI196" i="23"/>
  <c r="DJ196" i="23"/>
  <c r="DK196" i="23"/>
  <c r="DL196" i="23"/>
  <c r="DM196" i="23"/>
  <c r="DN196" i="23"/>
  <c r="DO196" i="23"/>
  <c r="DP196" i="23"/>
  <c r="DQ196" i="23"/>
  <c r="DR196" i="23"/>
  <c r="DS196" i="23"/>
  <c r="DT196" i="23"/>
  <c r="DU196" i="23"/>
  <c r="DV196" i="23"/>
  <c r="DW196" i="23"/>
  <c r="DX196" i="23"/>
  <c r="DY196" i="23"/>
  <c r="DZ196" i="23"/>
  <c r="EA196" i="23"/>
  <c r="G197" i="23"/>
  <c r="H197" i="23"/>
  <c r="I197" i="23"/>
  <c r="J197" i="23"/>
  <c r="K197" i="23"/>
  <c r="L197" i="23"/>
  <c r="M197" i="23"/>
  <c r="N197" i="23"/>
  <c r="O197" i="23"/>
  <c r="P197" i="23"/>
  <c r="Q197" i="23"/>
  <c r="R197" i="23"/>
  <c r="S197" i="23"/>
  <c r="T197" i="23"/>
  <c r="U197" i="23"/>
  <c r="V197" i="23"/>
  <c r="W197" i="23"/>
  <c r="X197" i="23"/>
  <c r="Y197" i="23"/>
  <c r="Z197" i="23"/>
  <c r="AA197" i="23"/>
  <c r="AB197" i="23"/>
  <c r="AC197" i="23"/>
  <c r="AD197" i="23"/>
  <c r="AE197" i="23"/>
  <c r="AF197" i="23"/>
  <c r="AG197" i="23"/>
  <c r="AH197" i="23"/>
  <c r="AI197" i="23"/>
  <c r="AJ197" i="23"/>
  <c r="AK197" i="23"/>
  <c r="AL197" i="23"/>
  <c r="AM197" i="23"/>
  <c r="AN197" i="23"/>
  <c r="AO197" i="23"/>
  <c r="AP197" i="23"/>
  <c r="AQ197" i="23"/>
  <c r="AR197" i="23"/>
  <c r="AS197" i="23"/>
  <c r="AT197" i="23"/>
  <c r="AU197" i="23"/>
  <c r="AV197" i="23"/>
  <c r="AW197" i="23"/>
  <c r="AX197" i="23"/>
  <c r="AY197" i="23"/>
  <c r="AZ197" i="23"/>
  <c r="BA197" i="23"/>
  <c r="BB197" i="23"/>
  <c r="BC197" i="23"/>
  <c r="BD197" i="23"/>
  <c r="BE197" i="23"/>
  <c r="BF197" i="23"/>
  <c r="BG197" i="23"/>
  <c r="BH197" i="23"/>
  <c r="BI197" i="23"/>
  <c r="BJ197" i="23"/>
  <c r="BK197" i="23"/>
  <c r="BL197" i="23"/>
  <c r="BM197" i="23"/>
  <c r="BN197" i="23"/>
  <c r="BO197" i="23"/>
  <c r="BP197" i="23"/>
  <c r="BQ197" i="23"/>
  <c r="BR197" i="23"/>
  <c r="BS197" i="23"/>
  <c r="BT197" i="23"/>
  <c r="BU197" i="23"/>
  <c r="BV197" i="23"/>
  <c r="BW197" i="23"/>
  <c r="BX197" i="23"/>
  <c r="BY197" i="23"/>
  <c r="BZ197" i="23"/>
  <c r="CA197" i="23"/>
  <c r="CB197" i="23"/>
  <c r="CC197" i="23"/>
  <c r="CD197" i="23"/>
  <c r="CE197" i="23"/>
  <c r="CF197" i="23"/>
  <c r="CG197" i="23"/>
  <c r="CH197" i="23"/>
  <c r="CI197" i="23"/>
  <c r="CJ197" i="23"/>
  <c r="CK197" i="23"/>
  <c r="CL197" i="23"/>
  <c r="CM197" i="23"/>
  <c r="CN197" i="23"/>
  <c r="CO197" i="23"/>
  <c r="CP197" i="23"/>
  <c r="CQ197" i="23"/>
  <c r="CR197" i="23"/>
  <c r="CS197" i="23"/>
  <c r="CT197" i="23"/>
  <c r="CU197" i="23"/>
  <c r="CV197" i="23"/>
  <c r="CW197" i="23"/>
  <c r="CX197" i="23"/>
  <c r="CY197" i="23"/>
  <c r="CZ197" i="23"/>
  <c r="DA197" i="23"/>
  <c r="DB197" i="23"/>
  <c r="DC197" i="23"/>
  <c r="DD197" i="23"/>
  <c r="DE197" i="23"/>
  <c r="DF197" i="23"/>
  <c r="DG197" i="23"/>
  <c r="DH197" i="23"/>
  <c r="DI197" i="23"/>
  <c r="DJ197" i="23"/>
  <c r="DK197" i="23"/>
  <c r="DL197" i="23"/>
  <c r="DM197" i="23"/>
  <c r="DN197" i="23"/>
  <c r="DO197" i="23"/>
  <c r="DP197" i="23"/>
  <c r="DQ197" i="23"/>
  <c r="DR197" i="23"/>
  <c r="DS197" i="23"/>
  <c r="DT197" i="23"/>
  <c r="DU197" i="23"/>
  <c r="DV197" i="23"/>
  <c r="DW197" i="23"/>
  <c r="DX197" i="23"/>
  <c r="DY197" i="23"/>
  <c r="DZ197" i="23"/>
  <c r="EA197" i="23"/>
  <c r="G198" i="23"/>
  <c r="H198" i="23"/>
  <c r="I198" i="23"/>
  <c r="J198" i="23"/>
  <c r="K198" i="23"/>
  <c r="L198" i="23"/>
  <c r="M198" i="23"/>
  <c r="N198" i="23"/>
  <c r="O198" i="23"/>
  <c r="P198" i="23"/>
  <c r="Q198" i="23"/>
  <c r="R198" i="23"/>
  <c r="S198" i="23"/>
  <c r="T198" i="23"/>
  <c r="U198" i="23"/>
  <c r="V198" i="23"/>
  <c r="W198" i="23"/>
  <c r="X198" i="23"/>
  <c r="Y198" i="23"/>
  <c r="Z198" i="23"/>
  <c r="AA198" i="23"/>
  <c r="AB198" i="23"/>
  <c r="AC198" i="23"/>
  <c r="AD198" i="23"/>
  <c r="AE198" i="23"/>
  <c r="AF198" i="23"/>
  <c r="AG198" i="23"/>
  <c r="AH198" i="23"/>
  <c r="AI198" i="23"/>
  <c r="AJ198" i="23"/>
  <c r="AK198" i="23"/>
  <c r="AL198" i="23"/>
  <c r="AM198" i="23"/>
  <c r="AN198" i="23"/>
  <c r="AO198" i="23"/>
  <c r="AP198" i="23"/>
  <c r="AQ198" i="23"/>
  <c r="AR198" i="23"/>
  <c r="AS198" i="23"/>
  <c r="AT198" i="23"/>
  <c r="AU198" i="23"/>
  <c r="AV198" i="23"/>
  <c r="AW198" i="23"/>
  <c r="AX198" i="23"/>
  <c r="AY198" i="23"/>
  <c r="AZ198" i="23"/>
  <c r="BA198" i="23"/>
  <c r="BB198" i="23"/>
  <c r="BC198" i="23"/>
  <c r="BD198" i="23"/>
  <c r="BE198" i="23"/>
  <c r="BF198" i="23"/>
  <c r="BG198" i="23"/>
  <c r="BH198" i="23"/>
  <c r="BI198" i="23"/>
  <c r="BJ198" i="23"/>
  <c r="BK198" i="23"/>
  <c r="BL198" i="23"/>
  <c r="BM198" i="23"/>
  <c r="BN198" i="23"/>
  <c r="BO198" i="23"/>
  <c r="BP198" i="23"/>
  <c r="BQ198" i="23"/>
  <c r="BR198" i="23"/>
  <c r="BS198" i="23"/>
  <c r="BT198" i="23"/>
  <c r="BU198" i="23"/>
  <c r="BV198" i="23"/>
  <c r="BW198" i="23"/>
  <c r="BX198" i="23"/>
  <c r="BY198" i="23"/>
  <c r="BZ198" i="23"/>
  <c r="CA198" i="23"/>
  <c r="CB198" i="23"/>
  <c r="CC198" i="23"/>
  <c r="CD198" i="23"/>
  <c r="CE198" i="23"/>
  <c r="CF198" i="23"/>
  <c r="CG198" i="23"/>
  <c r="CH198" i="23"/>
  <c r="CI198" i="23"/>
  <c r="CJ198" i="23"/>
  <c r="CK198" i="23"/>
  <c r="CL198" i="23"/>
  <c r="CM198" i="23"/>
  <c r="CN198" i="23"/>
  <c r="CO198" i="23"/>
  <c r="CP198" i="23"/>
  <c r="CQ198" i="23"/>
  <c r="CR198" i="23"/>
  <c r="CS198" i="23"/>
  <c r="CT198" i="23"/>
  <c r="CU198" i="23"/>
  <c r="CV198" i="23"/>
  <c r="CW198" i="23"/>
  <c r="CX198" i="23"/>
  <c r="CY198" i="23"/>
  <c r="CZ198" i="23"/>
  <c r="DA198" i="23"/>
  <c r="DB198" i="23"/>
  <c r="DC198" i="23"/>
  <c r="DD198" i="23"/>
  <c r="DE198" i="23"/>
  <c r="DF198" i="23"/>
  <c r="DG198" i="23"/>
  <c r="DH198" i="23"/>
  <c r="DI198" i="23"/>
  <c r="DJ198" i="23"/>
  <c r="DK198" i="23"/>
  <c r="DL198" i="23"/>
  <c r="DM198" i="23"/>
  <c r="DN198" i="23"/>
  <c r="DO198" i="23"/>
  <c r="DP198" i="23"/>
  <c r="DQ198" i="23"/>
  <c r="DR198" i="23"/>
  <c r="DS198" i="23"/>
  <c r="DT198" i="23"/>
  <c r="DU198" i="23"/>
  <c r="DV198" i="23"/>
  <c r="DW198" i="23"/>
  <c r="DX198" i="23"/>
  <c r="DY198" i="23"/>
  <c r="DZ198" i="23"/>
  <c r="EA198" i="23"/>
  <c r="G199" i="23"/>
  <c r="H199" i="23"/>
  <c r="I199" i="23"/>
  <c r="J199" i="23"/>
  <c r="K199" i="23"/>
  <c r="L199" i="23"/>
  <c r="M199" i="23"/>
  <c r="N199" i="23"/>
  <c r="O199" i="23"/>
  <c r="P199" i="23"/>
  <c r="Q199" i="23"/>
  <c r="R199" i="23"/>
  <c r="S199" i="23"/>
  <c r="T199" i="23"/>
  <c r="U199" i="23"/>
  <c r="V199" i="23"/>
  <c r="W199" i="23"/>
  <c r="X199" i="23"/>
  <c r="Y199" i="23"/>
  <c r="Z199" i="23"/>
  <c r="AA199" i="23"/>
  <c r="AB199" i="23"/>
  <c r="AC199" i="23"/>
  <c r="AD199" i="23"/>
  <c r="AE199" i="23"/>
  <c r="AF199" i="23"/>
  <c r="AG199" i="23"/>
  <c r="AH199" i="23"/>
  <c r="AI199" i="23"/>
  <c r="AJ199" i="23"/>
  <c r="AK199" i="23"/>
  <c r="AL199" i="23"/>
  <c r="AM199" i="23"/>
  <c r="AN199" i="23"/>
  <c r="AO199" i="23"/>
  <c r="AP199" i="23"/>
  <c r="AQ199" i="23"/>
  <c r="AR199" i="23"/>
  <c r="AS199" i="23"/>
  <c r="AT199" i="23"/>
  <c r="AU199" i="23"/>
  <c r="AV199" i="23"/>
  <c r="AW199" i="23"/>
  <c r="AX199" i="23"/>
  <c r="AY199" i="23"/>
  <c r="AZ199" i="23"/>
  <c r="BA199" i="23"/>
  <c r="BB199" i="23"/>
  <c r="BC199" i="23"/>
  <c r="BD199" i="23"/>
  <c r="BE199" i="23"/>
  <c r="BF199" i="23"/>
  <c r="BG199" i="23"/>
  <c r="BH199" i="23"/>
  <c r="BI199" i="23"/>
  <c r="BJ199" i="23"/>
  <c r="BK199" i="23"/>
  <c r="BL199" i="23"/>
  <c r="BM199" i="23"/>
  <c r="BN199" i="23"/>
  <c r="BO199" i="23"/>
  <c r="BP199" i="23"/>
  <c r="BQ199" i="23"/>
  <c r="BR199" i="23"/>
  <c r="BS199" i="23"/>
  <c r="BT199" i="23"/>
  <c r="BU199" i="23"/>
  <c r="BV199" i="23"/>
  <c r="BW199" i="23"/>
  <c r="BX199" i="23"/>
  <c r="BY199" i="23"/>
  <c r="BZ199" i="23"/>
  <c r="CA199" i="23"/>
  <c r="CB199" i="23"/>
  <c r="CC199" i="23"/>
  <c r="CD199" i="23"/>
  <c r="CE199" i="23"/>
  <c r="CF199" i="23"/>
  <c r="CG199" i="23"/>
  <c r="CH199" i="23"/>
  <c r="CI199" i="23"/>
  <c r="CJ199" i="23"/>
  <c r="CK199" i="23"/>
  <c r="CL199" i="23"/>
  <c r="CM199" i="23"/>
  <c r="CN199" i="23"/>
  <c r="CO199" i="23"/>
  <c r="CP199" i="23"/>
  <c r="CQ199" i="23"/>
  <c r="CR199" i="23"/>
  <c r="CS199" i="23"/>
  <c r="CT199" i="23"/>
  <c r="CU199" i="23"/>
  <c r="CV199" i="23"/>
  <c r="CW199" i="23"/>
  <c r="CX199" i="23"/>
  <c r="CY199" i="23"/>
  <c r="CZ199" i="23"/>
  <c r="DA199" i="23"/>
  <c r="DB199" i="23"/>
  <c r="DC199" i="23"/>
  <c r="DD199" i="23"/>
  <c r="DE199" i="23"/>
  <c r="DF199" i="23"/>
  <c r="DG199" i="23"/>
  <c r="DH199" i="23"/>
  <c r="DI199" i="23"/>
  <c r="DJ199" i="23"/>
  <c r="DK199" i="23"/>
  <c r="DL199" i="23"/>
  <c r="DM199" i="23"/>
  <c r="DN199" i="23"/>
  <c r="DO199" i="23"/>
  <c r="DP199" i="23"/>
  <c r="DQ199" i="23"/>
  <c r="DR199" i="23"/>
  <c r="DS199" i="23"/>
  <c r="DT199" i="23"/>
  <c r="DU199" i="23"/>
  <c r="DV199" i="23"/>
  <c r="DW199" i="23"/>
  <c r="DX199" i="23"/>
  <c r="DY199" i="23"/>
  <c r="DZ199" i="23"/>
  <c r="EA199" i="23"/>
  <c r="G200" i="23"/>
  <c r="H200" i="23"/>
  <c r="I200" i="23"/>
  <c r="J200" i="23"/>
  <c r="K200" i="23"/>
  <c r="L200" i="23"/>
  <c r="M200" i="23"/>
  <c r="N200" i="23"/>
  <c r="O200" i="23"/>
  <c r="P200" i="23"/>
  <c r="Q200" i="23"/>
  <c r="R200" i="23"/>
  <c r="S200" i="23"/>
  <c r="T200" i="23"/>
  <c r="U200" i="23"/>
  <c r="V200" i="23"/>
  <c r="W200" i="23"/>
  <c r="X200" i="23"/>
  <c r="Y200" i="23"/>
  <c r="Z200" i="23"/>
  <c r="AA200" i="23"/>
  <c r="AB200" i="23"/>
  <c r="AC200" i="23"/>
  <c r="AD200" i="23"/>
  <c r="AE200" i="23"/>
  <c r="AF200" i="23"/>
  <c r="AG200" i="23"/>
  <c r="AH200" i="23"/>
  <c r="AI200" i="23"/>
  <c r="AJ200" i="23"/>
  <c r="AK200" i="23"/>
  <c r="AL200" i="23"/>
  <c r="AM200" i="23"/>
  <c r="AN200" i="23"/>
  <c r="AO200" i="23"/>
  <c r="AP200" i="23"/>
  <c r="AQ200" i="23"/>
  <c r="AR200" i="23"/>
  <c r="AS200" i="23"/>
  <c r="AT200" i="23"/>
  <c r="AU200" i="23"/>
  <c r="AV200" i="23"/>
  <c r="AW200" i="23"/>
  <c r="AX200" i="23"/>
  <c r="AY200" i="23"/>
  <c r="AZ200" i="23"/>
  <c r="BA200" i="23"/>
  <c r="BB200" i="23"/>
  <c r="BC200" i="23"/>
  <c r="BD200" i="23"/>
  <c r="BE200" i="23"/>
  <c r="BF200" i="23"/>
  <c r="BG200" i="23"/>
  <c r="BH200" i="23"/>
  <c r="BI200" i="23"/>
  <c r="BJ200" i="23"/>
  <c r="BK200" i="23"/>
  <c r="BL200" i="23"/>
  <c r="BM200" i="23"/>
  <c r="BN200" i="23"/>
  <c r="BO200" i="23"/>
  <c r="BP200" i="23"/>
  <c r="BQ200" i="23"/>
  <c r="BR200" i="23"/>
  <c r="BS200" i="23"/>
  <c r="BT200" i="23"/>
  <c r="BU200" i="23"/>
  <c r="BV200" i="23"/>
  <c r="BW200" i="23"/>
  <c r="BX200" i="23"/>
  <c r="BY200" i="23"/>
  <c r="BZ200" i="23"/>
  <c r="CA200" i="23"/>
  <c r="CB200" i="23"/>
  <c r="CC200" i="23"/>
  <c r="CD200" i="23"/>
  <c r="CE200" i="23"/>
  <c r="CF200" i="23"/>
  <c r="CG200" i="23"/>
  <c r="CH200" i="23"/>
  <c r="CI200" i="23"/>
  <c r="CJ200" i="23"/>
  <c r="CK200" i="23"/>
  <c r="CL200" i="23"/>
  <c r="CM200" i="23"/>
  <c r="CN200" i="23"/>
  <c r="CO200" i="23"/>
  <c r="CP200" i="23"/>
  <c r="CQ200" i="23"/>
  <c r="CR200" i="23"/>
  <c r="CS200" i="23"/>
  <c r="CT200" i="23"/>
  <c r="CU200" i="23"/>
  <c r="CV200" i="23"/>
  <c r="CW200" i="23"/>
  <c r="CX200" i="23"/>
  <c r="CY200" i="23"/>
  <c r="CZ200" i="23"/>
  <c r="DA200" i="23"/>
  <c r="DB200" i="23"/>
  <c r="DC200" i="23"/>
  <c r="DD200" i="23"/>
  <c r="DE200" i="23"/>
  <c r="DF200" i="23"/>
  <c r="DG200" i="23"/>
  <c r="DH200" i="23"/>
  <c r="DI200" i="23"/>
  <c r="DJ200" i="23"/>
  <c r="DK200" i="23"/>
  <c r="DL200" i="23"/>
  <c r="DM200" i="23"/>
  <c r="DN200" i="23"/>
  <c r="DO200" i="23"/>
  <c r="DP200" i="23"/>
  <c r="DQ200" i="23"/>
  <c r="DR200" i="23"/>
  <c r="DS200" i="23"/>
  <c r="DT200" i="23"/>
  <c r="DU200" i="23"/>
  <c r="DV200" i="23"/>
  <c r="DW200" i="23"/>
  <c r="DX200" i="23"/>
  <c r="DY200" i="23"/>
  <c r="DZ200" i="23"/>
  <c r="EA200" i="23"/>
  <c r="G201" i="23"/>
  <c r="H201" i="23"/>
  <c r="I201" i="23"/>
  <c r="J201" i="23"/>
  <c r="K201" i="23"/>
  <c r="L201" i="23"/>
  <c r="M201" i="23"/>
  <c r="N201" i="23"/>
  <c r="O201" i="23"/>
  <c r="P201" i="23"/>
  <c r="Q201" i="23"/>
  <c r="R201" i="23"/>
  <c r="S201" i="23"/>
  <c r="T201" i="23"/>
  <c r="U201" i="23"/>
  <c r="V201" i="23"/>
  <c r="W201" i="23"/>
  <c r="X201" i="23"/>
  <c r="Y201" i="23"/>
  <c r="Z201" i="23"/>
  <c r="AA201" i="23"/>
  <c r="AB201" i="23"/>
  <c r="AC201" i="23"/>
  <c r="AD201" i="23"/>
  <c r="AE201" i="23"/>
  <c r="AF201" i="23"/>
  <c r="AG201" i="23"/>
  <c r="AH201" i="23"/>
  <c r="AI201" i="23"/>
  <c r="AJ201" i="23"/>
  <c r="AK201" i="23"/>
  <c r="AL201" i="23"/>
  <c r="AM201" i="23"/>
  <c r="AN201" i="23"/>
  <c r="AO201" i="23"/>
  <c r="AP201" i="23"/>
  <c r="AQ201" i="23"/>
  <c r="AR201" i="23"/>
  <c r="AS201" i="23"/>
  <c r="AT201" i="23"/>
  <c r="AU201" i="23"/>
  <c r="AV201" i="23"/>
  <c r="AW201" i="23"/>
  <c r="AX201" i="23"/>
  <c r="AY201" i="23"/>
  <c r="AZ201" i="23"/>
  <c r="BA201" i="23"/>
  <c r="BB201" i="23"/>
  <c r="BC201" i="23"/>
  <c r="BD201" i="23"/>
  <c r="BE201" i="23"/>
  <c r="BF201" i="23"/>
  <c r="BG201" i="23"/>
  <c r="BH201" i="23"/>
  <c r="BI201" i="23"/>
  <c r="BJ201" i="23"/>
  <c r="BK201" i="23"/>
  <c r="BL201" i="23"/>
  <c r="BM201" i="23"/>
  <c r="BN201" i="23"/>
  <c r="BO201" i="23"/>
  <c r="BP201" i="23"/>
  <c r="BQ201" i="23"/>
  <c r="BR201" i="23"/>
  <c r="BS201" i="23"/>
  <c r="BT201" i="23"/>
  <c r="BU201" i="23"/>
  <c r="BV201" i="23"/>
  <c r="BW201" i="23"/>
  <c r="BX201" i="23"/>
  <c r="BY201" i="23"/>
  <c r="BZ201" i="23"/>
  <c r="CA201" i="23"/>
  <c r="CB201" i="23"/>
  <c r="CC201" i="23"/>
  <c r="CD201" i="23"/>
  <c r="CE201" i="23"/>
  <c r="CF201" i="23"/>
  <c r="CG201" i="23"/>
  <c r="CH201" i="23"/>
  <c r="CI201" i="23"/>
  <c r="CJ201" i="23"/>
  <c r="CK201" i="23"/>
  <c r="CL201" i="23"/>
  <c r="CM201" i="23"/>
  <c r="CN201" i="23"/>
  <c r="CO201" i="23"/>
  <c r="CP201" i="23"/>
  <c r="CQ201" i="23"/>
  <c r="CR201" i="23"/>
  <c r="CS201" i="23"/>
  <c r="CT201" i="23"/>
  <c r="CU201" i="23"/>
  <c r="CV201" i="23"/>
  <c r="CW201" i="23"/>
  <c r="CX201" i="23"/>
  <c r="CY201" i="23"/>
  <c r="CZ201" i="23"/>
  <c r="DA201" i="23"/>
  <c r="DB201" i="23"/>
  <c r="DC201" i="23"/>
  <c r="DD201" i="23"/>
  <c r="DE201" i="23"/>
  <c r="DF201" i="23"/>
  <c r="DG201" i="23"/>
  <c r="DH201" i="23"/>
  <c r="DI201" i="23"/>
  <c r="DJ201" i="23"/>
  <c r="DK201" i="23"/>
  <c r="DL201" i="23"/>
  <c r="DM201" i="23"/>
  <c r="DN201" i="23"/>
  <c r="DO201" i="23"/>
  <c r="DP201" i="23"/>
  <c r="DQ201" i="23"/>
  <c r="DR201" i="23"/>
  <c r="DS201" i="23"/>
  <c r="DT201" i="23"/>
  <c r="DU201" i="23"/>
  <c r="DV201" i="23"/>
  <c r="DW201" i="23"/>
  <c r="DX201" i="23"/>
  <c r="DY201" i="23"/>
  <c r="DZ201" i="23"/>
  <c r="EA201" i="23"/>
  <c r="G202" i="23"/>
  <c r="H202" i="23"/>
  <c r="I202" i="23"/>
  <c r="J202" i="23"/>
  <c r="K202" i="23"/>
  <c r="L202" i="23"/>
  <c r="M202" i="23"/>
  <c r="N202" i="23"/>
  <c r="O202" i="23"/>
  <c r="P202" i="23"/>
  <c r="Q202" i="23"/>
  <c r="R202" i="23"/>
  <c r="S202" i="23"/>
  <c r="T202" i="23"/>
  <c r="U202" i="23"/>
  <c r="V202" i="23"/>
  <c r="W202" i="23"/>
  <c r="X202" i="23"/>
  <c r="Y202" i="23"/>
  <c r="Z202" i="23"/>
  <c r="AA202" i="23"/>
  <c r="AB202" i="23"/>
  <c r="AC202" i="23"/>
  <c r="AD202" i="23"/>
  <c r="AE202" i="23"/>
  <c r="AF202" i="23"/>
  <c r="AG202" i="23"/>
  <c r="AH202" i="23"/>
  <c r="AI202" i="23"/>
  <c r="AJ202" i="23"/>
  <c r="AK202" i="23"/>
  <c r="AL202" i="23"/>
  <c r="AM202" i="23"/>
  <c r="AN202" i="23"/>
  <c r="AO202" i="23"/>
  <c r="AP202" i="23"/>
  <c r="AQ202" i="23"/>
  <c r="AR202" i="23"/>
  <c r="AS202" i="23"/>
  <c r="AT202" i="23"/>
  <c r="AU202" i="23"/>
  <c r="AV202" i="23"/>
  <c r="AW202" i="23"/>
  <c r="AX202" i="23"/>
  <c r="AY202" i="23"/>
  <c r="AZ202" i="23"/>
  <c r="BA202" i="23"/>
  <c r="BB202" i="23"/>
  <c r="BC202" i="23"/>
  <c r="BD202" i="23"/>
  <c r="BE202" i="23"/>
  <c r="BF202" i="23"/>
  <c r="BG202" i="23"/>
  <c r="BH202" i="23"/>
  <c r="BI202" i="23"/>
  <c r="BJ202" i="23"/>
  <c r="BK202" i="23"/>
  <c r="BL202" i="23"/>
  <c r="BM202" i="23"/>
  <c r="BN202" i="23"/>
  <c r="BO202" i="23"/>
  <c r="BP202" i="23"/>
  <c r="BQ202" i="23"/>
  <c r="BR202" i="23"/>
  <c r="BS202" i="23"/>
  <c r="BT202" i="23"/>
  <c r="BU202" i="23"/>
  <c r="BV202" i="23"/>
  <c r="BW202" i="23"/>
  <c r="BX202" i="23"/>
  <c r="BY202" i="23"/>
  <c r="BZ202" i="23"/>
  <c r="CA202" i="23"/>
  <c r="CB202" i="23"/>
  <c r="CC202" i="23"/>
  <c r="CD202" i="23"/>
  <c r="CE202" i="23"/>
  <c r="CF202" i="23"/>
  <c r="CG202" i="23"/>
  <c r="CH202" i="23"/>
  <c r="CI202" i="23"/>
  <c r="CJ202" i="23"/>
  <c r="CK202" i="23"/>
  <c r="CL202" i="23"/>
  <c r="CM202" i="23"/>
  <c r="CN202" i="23"/>
  <c r="CO202" i="23"/>
  <c r="CP202" i="23"/>
  <c r="CQ202" i="23"/>
  <c r="CR202" i="23"/>
  <c r="CS202" i="23"/>
  <c r="CT202" i="23"/>
  <c r="CU202" i="23"/>
  <c r="CV202" i="23"/>
  <c r="CW202" i="23"/>
  <c r="CX202" i="23"/>
  <c r="CY202" i="23"/>
  <c r="CZ202" i="23"/>
  <c r="DA202" i="23"/>
  <c r="DB202" i="23"/>
  <c r="DC202" i="23"/>
  <c r="DD202" i="23"/>
  <c r="DE202" i="23"/>
  <c r="DF202" i="23"/>
  <c r="DG202" i="23"/>
  <c r="DH202" i="23"/>
  <c r="DI202" i="23"/>
  <c r="DJ202" i="23"/>
  <c r="DK202" i="23"/>
  <c r="DL202" i="23"/>
  <c r="DM202" i="23"/>
  <c r="DN202" i="23"/>
  <c r="DO202" i="23"/>
  <c r="DP202" i="23"/>
  <c r="DQ202" i="23"/>
  <c r="DR202" i="23"/>
  <c r="DS202" i="23"/>
  <c r="DT202" i="23"/>
  <c r="DU202" i="23"/>
  <c r="DV202" i="23"/>
  <c r="DW202" i="23"/>
  <c r="DX202" i="23"/>
  <c r="DY202" i="23"/>
  <c r="DZ202" i="23"/>
  <c r="EA202" i="23"/>
  <c r="G203" i="23"/>
  <c r="H203" i="23"/>
  <c r="I203" i="23"/>
  <c r="J203" i="23"/>
  <c r="K203" i="23"/>
  <c r="L203" i="23"/>
  <c r="M203" i="23"/>
  <c r="N203" i="23"/>
  <c r="O203" i="23"/>
  <c r="P203" i="23"/>
  <c r="Q203" i="23"/>
  <c r="R203" i="23"/>
  <c r="S203" i="23"/>
  <c r="T203" i="23"/>
  <c r="U203" i="23"/>
  <c r="V203" i="23"/>
  <c r="W203" i="23"/>
  <c r="X203" i="23"/>
  <c r="Y203" i="23"/>
  <c r="Z203" i="23"/>
  <c r="AA203" i="23"/>
  <c r="AB203" i="23"/>
  <c r="AC203" i="23"/>
  <c r="AD203" i="23"/>
  <c r="AE203" i="23"/>
  <c r="AF203" i="23"/>
  <c r="AG203" i="23"/>
  <c r="AH203" i="23"/>
  <c r="AI203" i="23"/>
  <c r="AJ203" i="23"/>
  <c r="AK203" i="23"/>
  <c r="AL203" i="23"/>
  <c r="AM203" i="23"/>
  <c r="AN203" i="23"/>
  <c r="AO203" i="23"/>
  <c r="AP203" i="23"/>
  <c r="AQ203" i="23"/>
  <c r="AR203" i="23"/>
  <c r="AS203" i="23"/>
  <c r="AT203" i="23"/>
  <c r="AU203" i="23"/>
  <c r="AV203" i="23"/>
  <c r="AW203" i="23"/>
  <c r="AX203" i="23"/>
  <c r="AY203" i="23"/>
  <c r="AZ203" i="23"/>
  <c r="BA203" i="23"/>
  <c r="BB203" i="23"/>
  <c r="BC203" i="23"/>
  <c r="BD203" i="23"/>
  <c r="BE203" i="23"/>
  <c r="BF203" i="23"/>
  <c r="BG203" i="23"/>
  <c r="BH203" i="23"/>
  <c r="BI203" i="23"/>
  <c r="BJ203" i="23"/>
  <c r="BK203" i="23"/>
  <c r="BL203" i="23"/>
  <c r="BM203" i="23"/>
  <c r="BN203" i="23"/>
  <c r="BO203" i="23"/>
  <c r="BP203" i="23"/>
  <c r="BQ203" i="23"/>
  <c r="BR203" i="23"/>
  <c r="BS203" i="23"/>
  <c r="BT203" i="23"/>
  <c r="BU203" i="23"/>
  <c r="BV203" i="23"/>
  <c r="BW203" i="23"/>
  <c r="BX203" i="23"/>
  <c r="BY203" i="23"/>
  <c r="BZ203" i="23"/>
  <c r="CA203" i="23"/>
  <c r="CB203" i="23"/>
  <c r="CC203" i="23"/>
  <c r="CD203" i="23"/>
  <c r="CE203" i="23"/>
  <c r="CF203" i="23"/>
  <c r="CG203" i="23"/>
  <c r="CH203" i="23"/>
  <c r="CI203" i="23"/>
  <c r="CJ203" i="23"/>
  <c r="CK203" i="23"/>
  <c r="CL203" i="23"/>
  <c r="CM203" i="23"/>
  <c r="CN203" i="23"/>
  <c r="CO203" i="23"/>
  <c r="CP203" i="23"/>
  <c r="CQ203" i="23"/>
  <c r="CR203" i="23"/>
  <c r="CS203" i="23"/>
  <c r="CT203" i="23"/>
  <c r="CU203" i="23"/>
  <c r="CV203" i="23"/>
  <c r="CW203" i="23"/>
  <c r="CX203" i="23"/>
  <c r="CY203" i="23"/>
  <c r="CZ203" i="23"/>
  <c r="DA203" i="23"/>
  <c r="DB203" i="23"/>
  <c r="DC203" i="23"/>
  <c r="DD203" i="23"/>
  <c r="DE203" i="23"/>
  <c r="DF203" i="23"/>
  <c r="DG203" i="23"/>
  <c r="DH203" i="23"/>
  <c r="DI203" i="23"/>
  <c r="DJ203" i="23"/>
  <c r="DK203" i="23"/>
  <c r="DL203" i="23"/>
  <c r="DM203" i="23"/>
  <c r="DN203" i="23"/>
  <c r="DO203" i="23"/>
  <c r="DP203" i="23"/>
  <c r="DQ203" i="23"/>
  <c r="DR203" i="23"/>
  <c r="DS203" i="23"/>
  <c r="DT203" i="23"/>
  <c r="DU203" i="23"/>
  <c r="DV203" i="23"/>
  <c r="DW203" i="23"/>
  <c r="DX203" i="23"/>
  <c r="DY203" i="23"/>
  <c r="DZ203" i="23"/>
  <c r="EA203" i="23"/>
  <c r="G204" i="23"/>
  <c r="H204" i="23"/>
  <c r="I204" i="23"/>
  <c r="J204" i="23"/>
  <c r="K204" i="23"/>
  <c r="L204" i="23"/>
  <c r="M204" i="23"/>
  <c r="N204" i="23"/>
  <c r="O204" i="23"/>
  <c r="P204" i="23"/>
  <c r="Q204" i="23"/>
  <c r="R204" i="23"/>
  <c r="S204" i="23"/>
  <c r="T204" i="23"/>
  <c r="U204" i="23"/>
  <c r="V204" i="23"/>
  <c r="W204" i="23"/>
  <c r="X204" i="23"/>
  <c r="Y204" i="23"/>
  <c r="Z204" i="23"/>
  <c r="AA204" i="23"/>
  <c r="AB204" i="23"/>
  <c r="AC204" i="23"/>
  <c r="AD204" i="23"/>
  <c r="AE204" i="23"/>
  <c r="AF204" i="23"/>
  <c r="AG204" i="23"/>
  <c r="AH204" i="23"/>
  <c r="AI204" i="23"/>
  <c r="AJ204" i="23"/>
  <c r="AK204" i="23"/>
  <c r="AL204" i="23"/>
  <c r="AM204" i="23"/>
  <c r="AN204" i="23"/>
  <c r="AO204" i="23"/>
  <c r="AP204" i="23"/>
  <c r="AQ204" i="23"/>
  <c r="AR204" i="23"/>
  <c r="AS204" i="23"/>
  <c r="AT204" i="23"/>
  <c r="AU204" i="23"/>
  <c r="AV204" i="23"/>
  <c r="AW204" i="23"/>
  <c r="AX204" i="23"/>
  <c r="AY204" i="23"/>
  <c r="AZ204" i="23"/>
  <c r="BA204" i="23"/>
  <c r="BB204" i="23"/>
  <c r="BC204" i="23"/>
  <c r="BD204" i="23"/>
  <c r="BE204" i="23"/>
  <c r="BF204" i="23"/>
  <c r="BG204" i="23"/>
  <c r="BH204" i="23"/>
  <c r="BI204" i="23"/>
  <c r="BJ204" i="23"/>
  <c r="BK204" i="23"/>
  <c r="BL204" i="23"/>
  <c r="BM204" i="23"/>
  <c r="BN204" i="23"/>
  <c r="BO204" i="23"/>
  <c r="BP204" i="23"/>
  <c r="BQ204" i="23"/>
  <c r="BR204" i="23"/>
  <c r="BS204" i="23"/>
  <c r="BT204" i="23"/>
  <c r="BU204" i="23"/>
  <c r="BV204" i="23"/>
  <c r="BW204" i="23"/>
  <c r="BX204" i="23"/>
  <c r="BY204" i="23"/>
  <c r="BZ204" i="23"/>
  <c r="CA204" i="23"/>
  <c r="CB204" i="23"/>
  <c r="CC204" i="23"/>
  <c r="CD204" i="23"/>
  <c r="CE204" i="23"/>
  <c r="CF204" i="23"/>
  <c r="CG204" i="23"/>
  <c r="CH204" i="23"/>
  <c r="CI204" i="23"/>
  <c r="CJ204" i="23"/>
  <c r="CK204" i="23"/>
  <c r="CL204" i="23"/>
  <c r="CM204" i="23"/>
  <c r="CN204" i="23"/>
  <c r="CO204" i="23"/>
  <c r="CP204" i="23"/>
  <c r="CQ204" i="23"/>
  <c r="CR204" i="23"/>
  <c r="CS204" i="23"/>
  <c r="CT204" i="23"/>
  <c r="CU204" i="23"/>
  <c r="CV204" i="23"/>
  <c r="CW204" i="23"/>
  <c r="CX204" i="23"/>
  <c r="CY204" i="23"/>
  <c r="CZ204" i="23"/>
  <c r="DA204" i="23"/>
  <c r="DB204" i="23"/>
  <c r="DC204" i="23"/>
  <c r="DD204" i="23"/>
  <c r="DE204" i="23"/>
  <c r="DF204" i="23"/>
  <c r="DG204" i="23"/>
  <c r="DH204" i="23"/>
  <c r="DI204" i="23"/>
  <c r="DJ204" i="23"/>
  <c r="DK204" i="23"/>
  <c r="DL204" i="23"/>
  <c r="DM204" i="23"/>
  <c r="DN204" i="23"/>
  <c r="DO204" i="23"/>
  <c r="DP204" i="23"/>
  <c r="DQ204" i="23"/>
  <c r="DR204" i="23"/>
  <c r="DS204" i="23"/>
  <c r="DT204" i="23"/>
  <c r="DU204" i="23"/>
  <c r="DV204" i="23"/>
  <c r="DW204" i="23"/>
  <c r="DX204" i="23"/>
  <c r="DY204" i="23"/>
  <c r="DZ204" i="23"/>
  <c r="EA204" i="23"/>
  <c r="G205" i="23"/>
  <c r="H205" i="23"/>
  <c r="I205" i="23"/>
  <c r="J205" i="23"/>
  <c r="K205" i="23"/>
  <c r="L205" i="23"/>
  <c r="M205" i="23"/>
  <c r="N205" i="23"/>
  <c r="O205" i="23"/>
  <c r="P205" i="23"/>
  <c r="Q205" i="23"/>
  <c r="R205" i="23"/>
  <c r="S205" i="23"/>
  <c r="T205" i="23"/>
  <c r="U205" i="23"/>
  <c r="V205" i="23"/>
  <c r="W205" i="23"/>
  <c r="X205" i="23"/>
  <c r="Y205" i="23"/>
  <c r="Z205" i="23"/>
  <c r="AA205" i="23"/>
  <c r="AB205" i="23"/>
  <c r="AC205" i="23"/>
  <c r="AD205" i="23"/>
  <c r="AE205" i="23"/>
  <c r="AF205" i="23"/>
  <c r="AG205" i="23"/>
  <c r="AH205" i="23"/>
  <c r="AI205" i="23"/>
  <c r="AJ205" i="23"/>
  <c r="AK205" i="23"/>
  <c r="AL205" i="23"/>
  <c r="AM205" i="23"/>
  <c r="AN205" i="23"/>
  <c r="AO205" i="23"/>
  <c r="AP205" i="23"/>
  <c r="AQ205" i="23"/>
  <c r="AR205" i="23"/>
  <c r="AS205" i="23"/>
  <c r="AT205" i="23"/>
  <c r="AU205" i="23"/>
  <c r="AV205" i="23"/>
  <c r="AW205" i="23"/>
  <c r="AX205" i="23"/>
  <c r="AY205" i="23"/>
  <c r="AZ205" i="23"/>
  <c r="BA205" i="23"/>
  <c r="BB205" i="23"/>
  <c r="BC205" i="23"/>
  <c r="BD205" i="23"/>
  <c r="BE205" i="23"/>
  <c r="BF205" i="23"/>
  <c r="BG205" i="23"/>
  <c r="BH205" i="23"/>
  <c r="BI205" i="23"/>
  <c r="BJ205" i="23"/>
  <c r="BK205" i="23"/>
  <c r="BL205" i="23"/>
  <c r="BM205" i="23"/>
  <c r="BN205" i="23"/>
  <c r="BO205" i="23"/>
  <c r="BP205" i="23"/>
  <c r="BQ205" i="23"/>
  <c r="BR205" i="23"/>
  <c r="BS205" i="23"/>
  <c r="BT205" i="23"/>
  <c r="BU205" i="23"/>
  <c r="BV205" i="23"/>
  <c r="BW205" i="23"/>
  <c r="BX205" i="23"/>
  <c r="BY205" i="23"/>
  <c r="BZ205" i="23"/>
  <c r="CA205" i="23"/>
  <c r="CB205" i="23"/>
  <c r="CC205" i="23"/>
  <c r="CD205" i="23"/>
  <c r="CE205" i="23"/>
  <c r="CF205" i="23"/>
  <c r="CG205" i="23"/>
  <c r="CH205" i="23"/>
  <c r="CI205" i="23"/>
  <c r="CJ205" i="23"/>
  <c r="CK205" i="23"/>
  <c r="CL205" i="23"/>
  <c r="CM205" i="23"/>
  <c r="CN205" i="23"/>
  <c r="CO205" i="23"/>
  <c r="CP205" i="23"/>
  <c r="CQ205" i="23"/>
  <c r="CR205" i="23"/>
  <c r="CS205" i="23"/>
  <c r="CT205" i="23"/>
  <c r="CU205" i="23"/>
  <c r="CV205" i="23"/>
  <c r="CW205" i="23"/>
  <c r="CX205" i="23"/>
  <c r="CY205" i="23"/>
  <c r="CZ205" i="23"/>
  <c r="DA205" i="23"/>
  <c r="DB205" i="23"/>
  <c r="DC205" i="23"/>
  <c r="DD205" i="23"/>
  <c r="DE205" i="23"/>
  <c r="DF205" i="23"/>
  <c r="DG205" i="23"/>
  <c r="DH205" i="23"/>
  <c r="DI205" i="23"/>
  <c r="DJ205" i="23"/>
  <c r="DK205" i="23"/>
  <c r="DL205" i="23"/>
  <c r="DM205" i="23"/>
  <c r="DN205" i="23"/>
  <c r="DO205" i="23"/>
  <c r="DP205" i="23"/>
  <c r="DQ205" i="23"/>
  <c r="DR205" i="23"/>
  <c r="DS205" i="23"/>
  <c r="DT205" i="23"/>
  <c r="DU205" i="23"/>
  <c r="DV205" i="23"/>
  <c r="DW205" i="23"/>
  <c r="DX205" i="23"/>
  <c r="DY205" i="23"/>
  <c r="DZ205" i="23"/>
  <c r="EA205" i="23"/>
  <c r="EA194" i="23"/>
  <c r="DZ194" i="23"/>
  <c r="DY194" i="23"/>
  <c r="DX194" i="23"/>
  <c r="DW194" i="23"/>
  <c r="DV194" i="23"/>
  <c r="DU194" i="23"/>
  <c r="DT194" i="23"/>
  <c r="DS194" i="23"/>
  <c r="DR194" i="23"/>
  <c r="DQ194" i="23"/>
  <c r="DP194" i="23"/>
  <c r="DO194" i="23"/>
  <c r="DN194" i="23"/>
  <c r="DM194" i="23"/>
  <c r="DL194" i="23"/>
  <c r="DK194" i="23"/>
  <c r="DJ194" i="23"/>
  <c r="DI194" i="23"/>
  <c r="DH194" i="23"/>
  <c r="DG194" i="23"/>
  <c r="DF194" i="23"/>
  <c r="DE194" i="23"/>
  <c r="DD194" i="23"/>
  <c r="DC194" i="23"/>
  <c r="DB194" i="23"/>
  <c r="DA194" i="23"/>
  <c r="CZ194" i="23"/>
  <c r="CY194" i="23"/>
  <c r="CX194" i="23"/>
  <c r="CW194" i="23"/>
  <c r="CV194" i="23"/>
  <c r="CU194" i="23"/>
  <c r="CT194" i="23"/>
  <c r="CS194" i="23"/>
  <c r="CR194" i="23"/>
  <c r="CQ194" i="23"/>
  <c r="CP194" i="23"/>
  <c r="CO194" i="23"/>
  <c r="CN194" i="23"/>
  <c r="CM194" i="23"/>
  <c r="CL194" i="23"/>
  <c r="CK194" i="23"/>
  <c r="CJ194" i="23"/>
  <c r="CI194" i="23"/>
  <c r="CH194" i="23"/>
  <c r="CG194" i="23"/>
  <c r="CF194" i="23"/>
  <c r="CE194" i="23"/>
  <c r="CD194" i="23"/>
  <c r="CC194" i="23"/>
  <c r="CB194" i="23"/>
  <c r="CA194" i="23"/>
  <c r="BZ194" i="23"/>
  <c r="BY194" i="23"/>
  <c r="BX194" i="23"/>
  <c r="BW194" i="23"/>
  <c r="BV194" i="23"/>
  <c r="BU194" i="23"/>
  <c r="BT194" i="23"/>
  <c r="BS194" i="23"/>
  <c r="BR194" i="23"/>
  <c r="BQ194" i="23"/>
  <c r="BP194" i="23"/>
  <c r="BO194" i="23"/>
  <c r="BN194" i="23"/>
  <c r="BM194" i="23"/>
  <c r="BL194" i="23"/>
  <c r="BK194" i="23"/>
  <c r="BJ194" i="23"/>
  <c r="BI194" i="23"/>
  <c r="BH194" i="23"/>
  <c r="BG194" i="23"/>
  <c r="BF194" i="23"/>
  <c r="BE194" i="23"/>
  <c r="BD194" i="23"/>
  <c r="BC194" i="23"/>
  <c r="BB194" i="23"/>
  <c r="BA194" i="23"/>
  <c r="AZ194" i="23"/>
  <c r="AY194" i="23"/>
  <c r="AX194" i="23"/>
  <c r="AW194" i="23"/>
  <c r="AV194" i="23"/>
  <c r="AU194" i="23"/>
  <c r="AT194" i="23"/>
  <c r="AS194" i="23"/>
  <c r="AR194" i="23"/>
  <c r="AQ194" i="23"/>
  <c r="AP194" i="23"/>
  <c r="AO194" i="23"/>
  <c r="AN194" i="23"/>
  <c r="AM194" i="23"/>
  <c r="AL194" i="23"/>
  <c r="AK194" i="23"/>
  <c r="AJ194" i="23"/>
  <c r="AI194" i="23"/>
  <c r="AH194" i="23"/>
  <c r="AG194" i="23"/>
  <c r="AF194" i="23"/>
  <c r="AE194" i="23"/>
  <c r="AD194" i="23"/>
  <c r="AC194" i="23"/>
  <c r="AB194" i="23"/>
  <c r="AA194" i="23"/>
  <c r="Z194" i="23"/>
  <c r="Y194" i="23"/>
  <c r="X194" i="23"/>
  <c r="W194" i="23"/>
  <c r="V194" i="23"/>
  <c r="U194" i="23"/>
  <c r="T194" i="23"/>
  <c r="S194" i="23"/>
  <c r="R194" i="23"/>
  <c r="Q194" i="23"/>
  <c r="P194" i="23"/>
  <c r="O194" i="23"/>
  <c r="N194" i="23"/>
  <c r="M194" i="23"/>
  <c r="L194" i="23"/>
  <c r="K194" i="23"/>
  <c r="J194" i="23"/>
  <c r="I194" i="23"/>
  <c r="H194" i="23"/>
  <c r="G194" i="23"/>
  <c r="G123" i="23"/>
  <c r="H123" i="23"/>
  <c r="I123" i="23"/>
  <c r="J123" i="23"/>
  <c r="K123" i="23"/>
  <c r="L123" i="23"/>
  <c r="M123" i="23"/>
  <c r="N123" i="23"/>
  <c r="O123" i="23"/>
  <c r="P123" i="23"/>
  <c r="Q123" i="23"/>
  <c r="R123" i="23"/>
  <c r="S123" i="23"/>
  <c r="T123" i="23"/>
  <c r="U123" i="23"/>
  <c r="V123" i="23"/>
  <c r="W123" i="23"/>
  <c r="X123" i="23"/>
  <c r="Y123" i="23"/>
  <c r="Z123" i="23"/>
  <c r="AA123" i="23"/>
  <c r="AB123" i="23"/>
  <c r="AC123" i="23"/>
  <c r="AD123" i="23"/>
  <c r="AE123" i="23"/>
  <c r="AF123" i="23"/>
  <c r="AG123" i="23"/>
  <c r="AH123" i="23"/>
  <c r="AI123" i="23"/>
  <c r="AJ123" i="23"/>
  <c r="AK123" i="23"/>
  <c r="AL123" i="23"/>
  <c r="AM123" i="23"/>
  <c r="AN123" i="23"/>
  <c r="AO123" i="23"/>
  <c r="AP123" i="23"/>
  <c r="AQ123" i="23"/>
  <c r="AR123" i="23"/>
  <c r="AS123" i="23"/>
  <c r="AT123" i="23"/>
  <c r="AU123" i="23"/>
  <c r="AV123" i="23"/>
  <c r="AW123" i="23"/>
  <c r="AX123" i="23"/>
  <c r="AY123" i="23"/>
  <c r="AZ123" i="23"/>
  <c r="BA123" i="23"/>
  <c r="BB123" i="23"/>
  <c r="BC123" i="23"/>
  <c r="BD123" i="23"/>
  <c r="BE123" i="23"/>
  <c r="BF123" i="23"/>
  <c r="BG123" i="23"/>
  <c r="BH123" i="23"/>
  <c r="BI123" i="23"/>
  <c r="BJ123" i="23"/>
  <c r="BK123" i="23"/>
  <c r="BL123" i="23"/>
  <c r="BM123" i="23"/>
  <c r="BN123" i="23"/>
  <c r="BO123" i="23"/>
  <c r="BP123" i="23"/>
  <c r="BQ123" i="23"/>
  <c r="BR123" i="23"/>
  <c r="BS123" i="23"/>
  <c r="BT123" i="23"/>
  <c r="BU123" i="23"/>
  <c r="BV123" i="23"/>
  <c r="BW123" i="23"/>
  <c r="BX123" i="23"/>
  <c r="BY123" i="23"/>
  <c r="BZ123" i="23"/>
  <c r="CA123" i="23"/>
  <c r="CB123" i="23"/>
  <c r="CC123" i="23"/>
  <c r="CD123" i="23"/>
  <c r="CE123" i="23"/>
  <c r="CF123" i="23"/>
  <c r="CG123" i="23"/>
  <c r="CH123" i="23"/>
  <c r="CI123" i="23"/>
  <c r="CJ123" i="23"/>
  <c r="CK123" i="23"/>
  <c r="CL123" i="23"/>
  <c r="CM123" i="23"/>
  <c r="CN123" i="23"/>
  <c r="CO123" i="23"/>
  <c r="CP123" i="23"/>
  <c r="CQ123" i="23"/>
  <c r="CR123" i="23"/>
  <c r="CS123" i="23"/>
  <c r="CT123" i="23"/>
  <c r="CU123" i="23"/>
  <c r="CV123" i="23"/>
  <c r="CW123" i="23"/>
  <c r="CX123" i="23"/>
  <c r="CY123" i="23"/>
  <c r="CZ123" i="23"/>
  <c r="DA123" i="23"/>
  <c r="DB123" i="23"/>
  <c r="DC123" i="23"/>
  <c r="DD123" i="23"/>
  <c r="DE123" i="23"/>
  <c r="DF123" i="23"/>
  <c r="DG123" i="23"/>
  <c r="DH123" i="23"/>
  <c r="DI123" i="23"/>
  <c r="DJ123" i="23"/>
  <c r="DK123" i="23"/>
  <c r="DL123" i="23"/>
  <c r="DM123" i="23"/>
  <c r="DN123" i="23"/>
  <c r="DO123" i="23"/>
  <c r="DP123" i="23"/>
  <c r="DQ123" i="23"/>
  <c r="DR123" i="23"/>
  <c r="DS123" i="23"/>
  <c r="DT123" i="23"/>
  <c r="DU123" i="23"/>
  <c r="DV123" i="23"/>
  <c r="DW123" i="23"/>
  <c r="DX123" i="23"/>
  <c r="DY123" i="23"/>
  <c r="DZ123" i="23"/>
  <c r="EA123" i="23"/>
  <c r="G124" i="23"/>
  <c r="H124" i="23"/>
  <c r="I124" i="23"/>
  <c r="J124" i="23"/>
  <c r="K124" i="23"/>
  <c r="L124" i="23"/>
  <c r="M124" i="23"/>
  <c r="N124" i="23"/>
  <c r="O124" i="23"/>
  <c r="P124" i="23"/>
  <c r="Q124" i="23"/>
  <c r="R124" i="23"/>
  <c r="S124" i="23"/>
  <c r="T124" i="23"/>
  <c r="U124" i="23"/>
  <c r="V124" i="23"/>
  <c r="W124" i="23"/>
  <c r="X124" i="23"/>
  <c r="Y124" i="23"/>
  <c r="Z124" i="23"/>
  <c r="AA124" i="23"/>
  <c r="AB124" i="23"/>
  <c r="AC124" i="23"/>
  <c r="AD124" i="23"/>
  <c r="AE124" i="23"/>
  <c r="AF124" i="23"/>
  <c r="AG124" i="23"/>
  <c r="AH124" i="23"/>
  <c r="AI124" i="23"/>
  <c r="AJ124" i="23"/>
  <c r="AK124" i="23"/>
  <c r="AL124" i="23"/>
  <c r="AM124" i="23"/>
  <c r="AN124" i="23"/>
  <c r="AO124" i="23"/>
  <c r="AP124" i="23"/>
  <c r="AQ124" i="23"/>
  <c r="AR124" i="23"/>
  <c r="AS124" i="23"/>
  <c r="AT124" i="23"/>
  <c r="AU124" i="23"/>
  <c r="AV124" i="23"/>
  <c r="AW124" i="23"/>
  <c r="AX124" i="23"/>
  <c r="AY124" i="23"/>
  <c r="AZ124" i="23"/>
  <c r="BA124" i="23"/>
  <c r="BB124" i="23"/>
  <c r="BC124" i="23"/>
  <c r="BD124" i="23"/>
  <c r="BE124" i="23"/>
  <c r="BF124" i="23"/>
  <c r="BG124" i="23"/>
  <c r="BH124" i="23"/>
  <c r="BI124" i="23"/>
  <c r="BJ124" i="23"/>
  <c r="BK124" i="23"/>
  <c r="BL124" i="23"/>
  <c r="BM124" i="23"/>
  <c r="BN124" i="23"/>
  <c r="BO124" i="23"/>
  <c r="BP124" i="23"/>
  <c r="BQ124" i="23"/>
  <c r="BR124" i="23"/>
  <c r="BS124" i="23"/>
  <c r="BT124" i="23"/>
  <c r="BU124" i="23"/>
  <c r="BV124" i="23"/>
  <c r="BW124" i="23"/>
  <c r="BX124" i="23"/>
  <c r="BY124" i="23"/>
  <c r="BZ124" i="23"/>
  <c r="CA124" i="23"/>
  <c r="CB124" i="23"/>
  <c r="CC124" i="23"/>
  <c r="CD124" i="23"/>
  <c r="CE124" i="23"/>
  <c r="CF124" i="23"/>
  <c r="CG124" i="23"/>
  <c r="CH124" i="23"/>
  <c r="CI124" i="23"/>
  <c r="CJ124" i="23"/>
  <c r="CK124" i="23"/>
  <c r="CL124" i="23"/>
  <c r="CM124" i="23"/>
  <c r="CN124" i="23"/>
  <c r="CO124" i="23"/>
  <c r="CP124" i="23"/>
  <c r="CQ124" i="23"/>
  <c r="CR124" i="23"/>
  <c r="CS124" i="23"/>
  <c r="CT124" i="23"/>
  <c r="CU124" i="23"/>
  <c r="CV124" i="23"/>
  <c r="CW124" i="23"/>
  <c r="CX124" i="23"/>
  <c r="CY124" i="23"/>
  <c r="CZ124" i="23"/>
  <c r="DA124" i="23"/>
  <c r="DB124" i="23"/>
  <c r="DC124" i="23"/>
  <c r="DD124" i="23"/>
  <c r="DE124" i="23"/>
  <c r="DF124" i="23"/>
  <c r="DG124" i="23"/>
  <c r="DH124" i="23"/>
  <c r="DI124" i="23"/>
  <c r="DJ124" i="23"/>
  <c r="DK124" i="23"/>
  <c r="DL124" i="23"/>
  <c r="DM124" i="23"/>
  <c r="DN124" i="23"/>
  <c r="DO124" i="23"/>
  <c r="DP124" i="23"/>
  <c r="DQ124" i="23"/>
  <c r="DR124" i="23"/>
  <c r="DS124" i="23"/>
  <c r="DT124" i="23"/>
  <c r="DU124" i="23"/>
  <c r="DV124" i="23"/>
  <c r="DW124" i="23"/>
  <c r="DX124" i="23"/>
  <c r="DY124" i="23"/>
  <c r="DZ124" i="23"/>
  <c r="EA124" i="23"/>
  <c r="G125" i="23"/>
  <c r="H125" i="23"/>
  <c r="I125" i="23"/>
  <c r="J125" i="23"/>
  <c r="K125" i="23"/>
  <c r="L125" i="23"/>
  <c r="M125" i="23"/>
  <c r="N125" i="23"/>
  <c r="O125" i="23"/>
  <c r="P125" i="23"/>
  <c r="Q125" i="23"/>
  <c r="R125" i="23"/>
  <c r="S125" i="23"/>
  <c r="T125" i="23"/>
  <c r="U125" i="23"/>
  <c r="V125" i="23"/>
  <c r="W125" i="23"/>
  <c r="X125" i="23"/>
  <c r="Y125" i="23"/>
  <c r="Z125" i="23"/>
  <c r="AA125" i="23"/>
  <c r="AB125" i="23"/>
  <c r="AC125" i="23"/>
  <c r="AD125" i="23"/>
  <c r="AE125" i="23"/>
  <c r="AF125" i="23"/>
  <c r="AG125" i="23"/>
  <c r="AH125" i="23"/>
  <c r="AI125" i="23"/>
  <c r="AJ125" i="23"/>
  <c r="AK125" i="23"/>
  <c r="AL125" i="23"/>
  <c r="AM125" i="23"/>
  <c r="AN125" i="23"/>
  <c r="AO125" i="23"/>
  <c r="AP125" i="23"/>
  <c r="AQ125" i="23"/>
  <c r="AR125" i="23"/>
  <c r="AS125" i="23"/>
  <c r="AT125" i="23"/>
  <c r="AU125" i="23"/>
  <c r="AV125" i="23"/>
  <c r="AW125" i="23"/>
  <c r="AX125" i="23"/>
  <c r="AY125" i="23"/>
  <c r="AZ125" i="23"/>
  <c r="BA125" i="23"/>
  <c r="BB125" i="23"/>
  <c r="BC125" i="23"/>
  <c r="BD125" i="23"/>
  <c r="BE125" i="23"/>
  <c r="BF125" i="23"/>
  <c r="BG125" i="23"/>
  <c r="BH125" i="23"/>
  <c r="BI125" i="23"/>
  <c r="BJ125" i="23"/>
  <c r="BK125" i="23"/>
  <c r="BL125" i="23"/>
  <c r="BM125" i="23"/>
  <c r="BN125" i="23"/>
  <c r="BO125" i="23"/>
  <c r="BP125" i="23"/>
  <c r="BQ125" i="23"/>
  <c r="BR125" i="23"/>
  <c r="BS125" i="23"/>
  <c r="BT125" i="23"/>
  <c r="BU125" i="23"/>
  <c r="BV125" i="23"/>
  <c r="BW125" i="23"/>
  <c r="BX125" i="23"/>
  <c r="BY125" i="23"/>
  <c r="BZ125" i="23"/>
  <c r="CA125" i="23"/>
  <c r="CB125" i="23"/>
  <c r="CC125" i="23"/>
  <c r="CD125" i="23"/>
  <c r="CE125" i="23"/>
  <c r="CF125" i="23"/>
  <c r="CG125" i="23"/>
  <c r="CH125" i="23"/>
  <c r="CI125" i="23"/>
  <c r="CJ125" i="23"/>
  <c r="CK125" i="23"/>
  <c r="CL125" i="23"/>
  <c r="CM125" i="23"/>
  <c r="CN125" i="23"/>
  <c r="CO125" i="23"/>
  <c r="CP125" i="23"/>
  <c r="CQ125" i="23"/>
  <c r="CR125" i="23"/>
  <c r="CS125" i="23"/>
  <c r="CT125" i="23"/>
  <c r="CU125" i="23"/>
  <c r="CV125" i="23"/>
  <c r="CW125" i="23"/>
  <c r="CX125" i="23"/>
  <c r="CY125" i="23"/>
  <c r="CZ125" i="23"/>
  <c r="DA125" i="23"/>
  <c r="DB125" i="23"/>
  <c r="DC125" i="23"/>
  <c r="DD125" i="23"/>
  <c r="DE125" i="23"/>
  <c r="DF125" i="23"/>
  <c r="DG125" i="23"/>
  <c r="DH125" i="23"/>
  <c r="DI125" i="23"/>
  <c r="DJ125" i="23"/>
  <c r="DK125" i="23"/>
  <c r="DL125" i="23"/>
  <c r="DM125" i="23"/>
  <c r="DN125" i="23"/>
  <c r="DO125" i="23"/>
  <c r="DP125" i="23"/>
  <c r="DQ125" i="23"/>
  <c r="DR125" i="23"/>
  <c r="DS125" i="23"/>
  <c r="DT125" i="23"/>
  <c r="DU125" i="23"/>
  <c r="DV125" i="23"/>
  <c r="DW125" i="23"/>
  <c r="DX125" i="23"/>
  <c r="DY125" i="23"/>
  <c r="DZ125" i="23"/>
  <c r="EA125" i="23"/>
  <c r="G126" i="23"/>
  <c r="H126" i="23"/>
  <c r="I126" i="23"/>
  <c r="J126" i="23"/>
  <c r="K126" i="23"/>
  <c r="L126" i="23"/>
  <c r="M126" i="23"/>
  <c r="N126" i="23"/>
  <c r="O126" i="23"/>
  <c r="P126" i="23"/>
  <c r="Q126" i="23"/>
  <c r="R126" i="23"/>
  <c r="S126" i="23"/>
  <c r="T126" i="23"/>
  <c r="U126" i="23"/>
  <c r="V126" i="23"/>
  <c r="W126" i="23"/>
  <c r="X126" i="23"/>
  <c r="Y126" i="23"/>
  <c r="Z126" i="23"/>
  <c r="AA126" i="23"/>
  <c r="AB126" i="23"/>
  <c r="AC126" i="23"/>
  <c r="AD126" i="23"/>
  <c r="AE126" i="23"/>
  <c r="AF126" i="23"/>
  <c r="AG126" i="23"/>
  <c r="AH126" i="23"/>
  <c r="AI126" i="23"/>
  <c r="AJ126" i="23"/>
  <c r="AK126" i="23"/>
  <c r="AL126" i="23"/>
  <c r="AM126" i="23"/>
  <c r="AN126" i="23"/>
  <c r="AO126" i="23"/>
  <c r="AP126" i="23"/>
  <c r="AQ126" i="23"/>
  <c r="AR126" i="23"/>
  <c r="AS126" i="23"/>
  <c r="AT126" i="23"/>
  <c r="AU126" i="23"/>
  <c r="AV126" i="23"/>
  <c r="AW126" i="23"/>
  <c r="AX126" i="23"/>
  <c r="AY126" i="23"/>
  <c r="AZ126" i="23"/>
  <c r="BA126" i="23"/>
  <c r="BB126" i="23"/>
  <c r="BC126" i="23"/>
  <c r="BD126" i="23"/>
  <c r="BE126" i="23"/>
  <c r="BF126" i="23"/>
  <c r="BG126" i="23"/>
  <c r="BH126" i="23"/>
  <c r="BI126" i="23"/>
  <c r="BJ126" i="23"/>
  <c r="BK126" i="23"/>
  <c r="BL126" i="23"/>
  <c r="BM126" i="23"/>
  <c r="BN126" i="23"/>
  <c r="BO126" i="23"/>
  <c r="BP126" i="23"/>
  <c r="BQ126" i="23"/>
  <c r="BR126" i="23"/>
  <c r="BS126" i="23"/>
  <c r="BT126" i="23"/>
  <c r="BU126" i="23"/>
  <c r="BV126" i="23"/>
  <c r="BW126" i="23"/>
  <c r="BX126" i="23"/>
  <c r="BY126" i="23"/>
  <c r="BZ126" i="23"/>
  <c r="CA126" i="23"/>
  <c r="CB126" i="23"/>
  <c r="CC126" i="23"/>
  <c r="CD126" i="23"/>
  <c r="CE126" i="23"/>
  <c r="CF126" i="23"/>
  <c r="CG126" i="23"/>
  <c r="CH126" i="23"/>
  <c r="CI126" i="23"/>
  <c r="CJ126" i="23"/>
  <c r="CK126" i="23"/>
  <c r="CL126" i="23"/>
  <c r="CM126" i="23"/>
  <c r="CN126" i="23"/>
  <c r="CO126" i="23"/>
  <c r="CP126" i="23"/>
  <c r="CQ126" i="23"/>
  <c r="CR126" i="23"/>
  <c r="CS126" i="23"/>
  <c r="CT126" i="23"/>
  <c r="CU126" i="23"/>
  <c r="CV126" i="23"/>
  <c r="CW126" i="23"/>
  <c r="CX126" i="23"/>
  <c r="CY126" i="23"/>
  <c r="CZ126" i="23"/>
  <c r="DA126" i="23"/>
  <c r="DB126" i="23"/>
  <c r="DC126" i="23"/>
  <c r="DD126" i="23"/>
  <c r="DE126" i="23"/>
  <c r="DF126" i="23"/>
  <c r="DG126" i="23"/>
  <c r="DH126" i="23"/>
  <c r="DI126" i="23"/>
  <c r="DJ126" i="23"/>
  <c r="DK126" i="23"/>
  <c r="DL126" i="23"/>
  <c r="DM126" i="23"/>
  <c r="DN126" i="23"/>
  <c r="DO126" i="23"/>
  <c r="DP126" i="23"/>
  <c r="DQ126" i="23"/>
  <c r="DR126" i="23"/>
  <c r="DS126" i="23"/>
  <c r="DT126" i="23"/>
  <c r="DU126" i="23"/>
  <c r="DV126" i="23"/>
  <c r="DW126" i="23"/>
  <c r="DX126" i="23"/>
  <c r="DY126" i="23"/>
  <c r="DZ126" i="23"/>
  <c r="EA126" i="23"/>
  <c r="G127" i="23"/>
  <c r="H127" i="23"/>
  <c r="I127" i="23"/>
  <c r="J127" i="23"/>
  <c r="K127" i="23"/>
  <c r="L127" i="23"/>
  <c r="M127" i="23"/>
  <c r="N127" i="23"/>
  <c r="O127" i="23"/>
  <c r="P127" i="23"/>
  <c r="Q127" i="23"/>
  <c r="R127" i="23"/>
  <c r="S127" i="23"/>
  <c r="T127" i="23"/>
  <c r="U127" i="23"/>
  <c r="V127" i="23"/>
  <c r="W127" i="23"/>
  <c r="X127" i="23"/>
  <c r="Y127" i="23"/>
  <c r="Z127" i="23"/>
  <c r="AA127" i="23"/>
  <c r="AB127" i="23"/>
  <c r="AC127" i="23"/>
  <c r="AD127" i="23"/>
  <c r="AE127" i="23"/>
  <c r="AF127" i="23"/>
  <c r="AG127" i="23"/>
  <c r="AH127" i="23"/>
  <c r="AI127" i="23"/>
  <c r="AJ127" i="23"/>
  <c r="AK127" i="23"/>
  <c r="AL127" i="23"/>
  <c r="AM127" i="23"/>
  <c r="AN127" i="23"/>
  <c r="AO127" i="23"/>
  <c r="AP127" i="23"/>
  <c r="AQ127" i="23"/>
  <c r="AR127" i="23"/>
  <c r="AS127" i="23"/>
  <c r="AT127" i="23"/>
  <c r="AU127" i="23"/>
  <c r="AV127" i="23"/>
  <c r="AW127" i="23"/>
  <c r="AX127" i="23"/>
  <c r="AY127" i="23"/>
  <c r="AZ127" i="23"/>
  <c r="BA127" i="23"/>
  <c r="BB127" i="23"/>
  <c r="BC127" i="23"/>
  <c r="BD127" i="23"/>
  <c r="BE127" i="23"/>
  <c r="BF127" i="23"/>
  <c r="BG127" i="23"/>
  <c r="BH127" i="23"/>
  <c r="BI127" i="23"/>
  <c r="BJ127" i="23"/>
  <c r="BK127" i="23"/>
  <c r="BL127" i="23"/>
  <c r="BM127" i="23"/>
  <c r="BN127" i="23"/>
  <c r="BO127" i="23"/>
  <c r="BP127" i="23"/>
  <c r="BQ127" i="23"/>
  <c r="BR127" i="23"/>
  <c r="BS127" i="23"/>
  <c r="BT127" i="23"/>
  <c r="BU127" i="23"/>
  <c r="BV127" i="23"/>
  <c r="BW127" i="23"/>
  <c r="BX127" i="23"/>
  <c r="BY127" i="23"/>
  <c r="BZ127" i="23"/>
  <c r="CA127" i="23"/>
  <c r="CB127" i="23"/>
  <c r="CC127" i="23"/>
  <c r="CD127" i="23"/>
  <c r="CE127" i="23"/>
  <c r="CF127" i="23"/>
  <c r="CG127" i="23"/>
  <c r="CH127" i="23"/>
  <c r="CI127" i="23"/>
  <c r="CJ127" i="23"/>
  <c r="CK127" i="23"/>
  <c r="CL127" i="23"/>
  <c r="CM127" i="23"/>
  <c r="CN127" i="23"/>
  <c r="CO127" i="23"/>
  <c r="CP127" i="23"/>
  <c r="CQ127" i="23"/>
  <c r="CR127" i="23"/>
  <c r="CS127" i="23"/>
  <c r="CT127" i="23"/>
  <c r="CU127" i="23"/>
  <c r="CV127" i="23"/>
  <c r="CW127" i="23"/>
  <c r="CX127" i="23"/>
  <c r="CY127" i="23"/>
  <c r="CZ127" i="23"/>
  <c r="DA127" i="23"/>
  <c r="DB127" i="23"/>
  <c r="DC127" i="23"/>
  <c r="DD127" i="23"/>
  <c r="DE127" i="23"/>
  <c r="DF127" i="23"/>
  <c r="DG127" i="23"/>
  <c r="DH127" i="23"/>
  <c r="DI127" i="23"/>
  <c r="DJ127" i="23"/>
  <c r="DK127" i="23"/>
  <c r="DL127" i="23"/>
  <c r="DM127" i="23"/>
  <c r="DN127" i="23"/>
  <c r="DO127" i="23"/>
  <c r="DP127" i="23"/>
  <c r="DQ127" i="23"/>
  <c r="DR127" i="23"/>
  <c r="DS127" i="23"/>
  <c r="DT127" i="23"/>
  <c r="DU127" i="23"/>
  <c r="DV127" i="23"/>
  <c r="DW127" i="23"/>
  <c r="DX127" i="23"/>
  <c r="DY127" i="23"/>
  <c r="DZ127" i="23"/>
  <c r="EA127" i="23"/>
  <c r="G128" i="23"/>
  <c r="H128" i="23"/>
  <c r="I128" i="23"/>
  <c r="J128" i="23"/>
  <c r="K128" i="23"/>
  <c r="L128" i="23"/>
  <c r="M128" i="23"/>
  <c r="N128" i="23"/>
  <c r="O128" i="23"/>
  <c r="P128" i="23"/>
  <c r="Q128" i="23"/>
  <c r="R128" i="23"/>
  <c r="S128" i="23"/>
  <c r="T128" i="23"/>
  <c r="U128" i="23"/>
  <c r="V128" i="23"/>
  <c r="W128" i="23"/>
  <c r="X128" i="23"/>
  <c r="Y128" i="23"/>
  <c r="Z128" i="23"/>
  <c r="AA128" i="23"/>
  <c r="AB128" i="23"/>
  <c r="AC128" i="23"/>
  <c r="AD128" i="23"/>
  <c r="AE128" i="23"/>
  <c r="AF128" i="23"/>
  <c r="AG128" i="23"/>
  <c r="AH128" i="23"/>
  <c r="AI128" i="23"/>
  <c r="AJ128" i="23"/>
  <c r="AK128" i="23"/>
  <c r="AL128" i="23"/>
  <c r="AM128" i="23"/>
  <c r="AN128" i="23"/>
  <c r="AO128" i="23"/>
  <c r="AP128" i="23"/>
  <c r="AQ128" i="23"/>
  <c r="AR128" i="23"/>
  <c r="AS128" i="23"/>
  <c r="AT128" i="23"/>
  <c r="AU128" i="23"/>
  <c r="AV128" i="23"/>
  <c r="AW128" i="23"/>
  <c r="AX128" i="23"/>
  <c r="AY128" i="23"/>
  <c r="AZ128" i="23"/>
  <c r="BA128" i="23"/>
  <c r="BB128" i="23"/>
  <c r="BC128" i="23"/>
  <c r="BD128" i="23"/>
  <c r="BE128" i="23"/>
  <c r="BF128" i="23"/>
  <c r="BG128" i="23"/>
  <c r="BH128" i="23"/>
  <c r="BI128" i="23"/>
  <c r="BJ128" i="23"/>
  <c r="BK128" i="23"/>
  <c r="BL128" i="23"/>
  <c r="BM128" i="23"/>
  <c r="BN128" i="23"/>
  <c r="BO128" i="23"/>
  <c r="BP128" i="23"/>
  <c r="BQ128" i="23"/>
  <c r="BR128" i="23"/>
  <c r="BS128" i="23"/>
  <c r="BT128" i="23"/>
  <c r="BU128" i="23"/>
  <c r="BV128" i="23"/>
  <c r="BW128" i="23"/>
  <c r="BX128" i="23"/>
  <c r="BY128" i="23"/>
  <c r="BZ128" i="23"/>
  <c r="CA128" i="23"/>
  <c r="CB128" i="23"/>
  <c r="CC128" i="23"/>
  <c r="CD128" i="23"/>
  <c r="CE128" i="23"/>
  <c r="CF128" i="23"/>
  <c r="CG128" i="23"/>
  <c r="CH128" i="23"/>
  <c r="CI128" i="23"/>
  <c r="CJ128" i="23"/>
  <c r="CK128" i="23"/>
  <c r="CL128" i="23"/>
  <c r="CM128" i="23"/>
  <c r="CN128" i="23"/>
  <c r="CO128" i="23"/>
  <c r="CP128" i="23"/>
  <c r="CQ128" i="23"/>
  <c r="CR128" i="23"/>
  <c r="CS128" i="23"/>
  <c r="CT128" i="23"/>
  <c r="CU128" i="23"/>
  <c r="CV128" i="23"/>
  <c r="CW128" i="23"/>
  <c r="CX128" i="23"/>
  <c r="CY128" i="23"/>
  <c r="CZ128" i="23"/>
  <c r="DA128" i="23"/>
  <c r="DB128" i="23"/>
  <c r="DC128" i="23"/>
  <c r="DD128" i="23"/>
  <c r="DE128" i="23"/>
  <c r="DF128" i="23"/>
  <c r="DG128" i="23"/>
  <c r="DH128" i="23"/>
  <c r="DI128" i="23"/>
  <c r="DJ128" i="23"/>
  <c r="DK128" i="23"/>
  <c r="DL128" i="23"/>
  <c r="DM128" i="23"/>
  <c r="DN128" i="23"/>
  <c r="DO128" i="23"/>
  <c r="DP128" i="23"/>
  <c r="DQ128" i="23"/>
  <c r="DR128" i="23"/>
  <c r="DS128" i="23"/>
  <c r="DT128" i="23"/>
  <c r="DU128" i="23"/>
  <c r="DV128" i="23"/>
  <c r="DW128" i="23"/>
  <c r="DX128" i="23"/>
  <c r="DY128" i="23"/>
  <c r="DZ128" i="23"/>
  <c r="EA128" i="23"/>
  <c r="G129" i="23"/>
  <c r="H129" i="23"/>
  <c r="I129" i="23"/>
  <c r="J129" i="23"/>
  <c r="K129" i="23"/>
  <c r="L129" i="23"/>
  <c r="M129" i="23"/>
  <c r="N129" i="23"/>
  <c r="O129" i="23"/>
  <c r="P129" i="23"/>
  <c r="Q129" i="23"/>
  <c r="R129" i="23"/>
  <c r="S129" i="23"/>
  <c r="T129" i="23"/>
  <c r="U129" i="23"/>
  <c r="V129" i="23"/>
  <c r="W129" i="23"/>
  <c r="X129" i="23"/>
  <c r="Y129" i="23"/>
  <c r="Z129" i="23"/>
  <c r="AA129" i="23"/>
  <c r="AB129" i="23"/>
  <c r="AC129" i="23"/>
  <c r="AD129" i="23"/>
  <c r="AE129" i="23"/>
  <c r="AF129" i="23"/>
  <c r="AG129" i="23"/>
  <c r="AH129" i="23"/>
  <c r="AI129" i="23"/>
  <c r="AJ129" i="23"/>
  <c r="AK129" i="23"/>
  <c r="AL129" i="23"/>
  <c r="AM129" i="23"/>
  <c r="AN129" i="23"/>
  <c r="AO129" i="23"/>
  <c r="AP129" i="23"/>
  <c r="AQ129" i="23"/>
  <c r="AR129" i="23"/>
  <c r="AS129" i="23"/>
  <c r="AT129" i="23"/>
  <c r="AU129" i="23"/>
  <c r="AV129" i="23"/>
  <c r="AW129" i="23"/>
  <c r="AX129" i="23"/>
  <c r="AY129" i="23"/>
  <c r="AZ129" i="23"/>
  <c r="BA129" i="23"/>
  <c r="BB129" i="23"/>
  <c r="BC129" i="23"/>
  <c r="BD129" i="23"/>
  <c r="BE129" i="23"/>
  <c r="BF129" i="23"/>
  <c r="BG129" i="23"/>
  <c r="BH129" i="23"/>
  <c r="BI129" i="23"/>
  <c r="BJ129" i="23"/>
  <c r="BK129" i="23"/>
  <c r="BL129" i="23"/>
  <c r="BM129" i="23"/>
  <c r="BN129" i="23"/>
  <c r="BO129" i="23"/>
  <c r="BP129" i="23"/>
  <c r="BQ129" i="23"/>
  <c r="BR129" i="23"/>
  <c r="BS129" i="23"/>
  <c r="BT129" i="23"/>
  <c r="BU129" i="23"/>
  <c r="BV129" i="23"/>
  <c r="BW129" i="23"/>
  <c r="BX129" i="23"/>
  <c r="BY129" i="23"/>
  <c r="BZ129" i="23"/>
  <c r="CA129" i="23"/>
  <c r="CB129" i="23"/>
  <c r="CC129" i="23"/>
  <c r="CD129" i="23"/>
  <c r="CE129" i="23"/>
  <c r="CF129" i="23"/>
  <c r="CG129" i="23"/>
  <c r="CH129" i="23"/>
  <c r="CI129" i="23"/>
  <c r="CJ129" i="23"/>
  <c r="CK129" i="23"/>
  <c r="CL129" i="23"/>
  <c r="CM129" i="23"/>
  <c r="CN129" i="23"/>
  <c r="CO129" i="23"/>
  <c r="CP129" i="23"/>
  <c r="CQ129" i="23"/>
  <c r="CR129" i="23"/>
  <c r="CS129" i="23"/>
  <c r="CT129" i="23"/>
  <c r="CU129" i="23"/>
  <c r="CV129" i="23"/>
  <c r="CW129" i="23"/>
  <c r="CX129" i="23"/>
  <c r="CY129" i="23"/>
  <c r="CZ129" i="23"/>
  <c r="DA129" i="23"/>
  <c r="DB129" i="23"/>
  <c r="DC129" i="23"/>
  <c r="DD129" i="23"/>
  <c r="DE129" i="23"/>
  <c r="DF129" i="23"/>
  <c r="DG129" i="23"/>
  <c r="DH129" i="23"/>
  <c r="DI129" i="23"/>
  <c r="DJ129" i="23"/>
  <c r="DK129" i="23"/>
  <c r="DL129" i="23"/>
  <c r="DM129" i="23"/>
  <c r="DN129" i="23"/>
  <c r="DO129" i="23"/>
  <c r="DP129" i="23"/>
  <c r="DQ129" i="23"/>
  <c r="DR129" i="23"/>
  <c r="DS129" i="23"/>
  <c r="DT129" i="23"/>
  <c r="DU129" i="23"/>
  <c r="DV129" i="23"/>
  <c r="DW129" i="23"/>
  <c r="DX129" i="23"/>
  <c r="DY129" i="23"/>
  <c r="DZ129" i="23"/>
  <c r="EA129" i="23"/>
  <c r="G130" i="23"/>
  <c r="H130" i="23"/>
  <c r="I130" i="23"/>
  <c r="J130" i="23"/>
  <c r="K130" i="23"/>
  <c r="L130" i="23"/>
  <c r="M130" i="23"/>
  <c r="N130" i="23"/>
  <c r="O130" i="23"/>
  <c r="P130" i="23"/>
  <c r="Q130" i="23"/>
  <c r="R130" i="23"/>
  <c r="S130" i="23"/>
  <c r="T130" i="23"/>
  <c r="U130" i="23"/>
  <c r="V130" i="23"/>
  <c r="W130" i="23"/>
  <c r="X130" i="23"/>
  <c r="Y130" i="23"/>
  <c r="Z130" i="23"/>
  <c r="AA130" i="23"/>
  <c r="AB130" i="23"/>
  <c r="AC130" i="23"/>
  <c r="AD130" i="23"/>
  <c r="AE130" i="23"/>
  <c r="AF130" i="23"/>
  <c r="AG130" i="23"/>
  <c r="AH130" i="23"/>
  <c r="AI130" i="23"/>
  <c r="AJ130" i="23"/>
  <c r="AK130" i="23"/>
  <c r="AL130" i="23"/>
  <c r="AM130" i="23"/>
  <c r="AN130" i="23"/>
  <c r="AO130" i="23"/>
  <c r="AP130" i="23"/>
  <c r="AQ130" i="23"/>
  <c r="AR130" i="23"/>
  <c r="AS130" i="23"/>
  <c r="AT130" i="23"/>
  <c r="AU130" i="23"/>
  <c r="AV130" i="23"/>
  <c r="AW130" i="23"/>
  <c r="AX130" i="23"/>
  <c r="AY130" i="23"/>
  <c r="AZ130" i="23"/>
  <c r="BA130" i="23"/>
  <c r="BB130" i="23"/>
  <c r="BC130" i="23"/>
  <c r="BD130" i="23"/>
  <c r="BE130" i="23"/>
  <c r="BF130" i="23"/>
  <c r="BG130" i="23"/>
  <c r="BH130" i="23"/>
  <c r="BI130" i="23"/>
  <c r="BJ130" i="23"/>
  <c r="BK130" i="23"/>
  <c r="BL130" i="23"/>
  <c r="BM130" i="23"/>
  <c r="BN130" i="23"/>
  <c r="BO130" i="23"/>
  <c r="BP130" i="23"/>
  <c r="BQ130" i="23"/>
  <c r="BR130" i="23"/>
  <c r="BS130" i="23"/>
  <c r="BT130" i="23"/>
  <c r="BU130" i="23"/>
  <c r="BV130" i="23"/>
  <c r="BW130" i="23"/>
  <c r="BX130" i="23"/>
  <c r="BY130" i="23"/>
  <c r="BZ130" i="23"/>
  <c r="CA130" i="23"/>
  <c r="CB130" i="23"/>
  <c r="CC130" i="23"/>
  <c r="CD130" i="23"/>
  <c r="CE130" i="23"/>
  <c r="CF130" i="23"/>
  <c r="CG130" i="23"/>
  <c r="CH130" i="23"/>
  <c r="CI130" i="23"/>
  <c r="CJ130" i="23"/>
  <c r="CK130" i="23"/>
  <c r="CL130" i="23"/>
  <c r="CM130" i="23"/>
  <c r="CN130" i="23"/>
  <c r="CO130" i="23"/>
  <c r="CP130" i="23"/>
  <c r="CQ130" i="23"/>
  <c r="CR130" i="23"/>
  <c r="CS130" i="23"/>
  <c r="CT130" i="23"/>
  <c r="CU130" i="23"/>
  <c r="CV130" i="23"/>
  <c r="CW130" i="23"/>
  <c r="CX130" i="23"/>
  <c r="CY130" i="23"/>
  <c r="CZ130" i="23"/>
  <c r="DA130" i="23"/>
  <c r="DB130" i="23"/>
  <c r="DC130" i="23"/>
  <c r="DD130" i="23"/>
  <c r="DE130" i="23"/>
  <c r="DF130" i="23"/>
  <c r="DG130" i="23"/>
  <c r="DH130" i="23"/>
  <c r="DI130" i="23"/>
  <c r="DJ130" i="23"/>
  <c r="DK130" i="23"/>
  <c r="DL130" i="23"/>
  <c r="DM130" i="23"/>
  <c r="DN130" i="23"/>
  <c r="DO130" i="23"/>
  <c r="DP130" i="23"/>
  <c r="DQ130" i="23"/>
  <c r="DR130" i="23"/>
  <c r="DS130" i="23"/>
  <c r="DT130" i="23"/>
  <c r="DU130" i="23"/>
  <c r="DV130" i="23"/>
  <c r="DW130" i="23"/>
  <c r="DX130" i="23"/>
  <c r="DY130" i="23"/>
  <c r="DZ130" i="23"/>
  <c r="EA130" i="23"/>
  <c r="G131" i="23"/>
  <c r="H131" i="23"/>
  <c r="I131" i="23"/>
  <c r="J131" i="23"/>
  <c r="K131" i="23"/>
  <c r="L131" i="23"/>
  <c r="M131" i="23"/>
  <c r="N131" i="23"/>
  <c r="O131" i="23"/>
  <c r="P131" i="23"/>
  <c r="Q131" i="23"/>
  <c r="R131" i="23"/>
  <c r="S131" i="23"/>
  <c r="T131" i="23"/>
  <c r="U131" i="23"/>
  <c r="V131" i="23"/>
  <c r="W131" i="23"/>
  <c r="X131" i="23"/>
  <c r="Y131" i="23"/>
  <c r="Z131" i="23"/>
  <c r="AA131" i="23"/>
  <c r="AB131" i="23"/>
  <c r="AC131" i="23"/>
  <c r="AD131" i="23"/>
  <c r="AE131" i="23"/>
  <c r="AF131" i="23"/>
  <c r="AG131" i="23"/>
  <c r="AH131" i="23"/>
  <c r="AI131" i="23"/>
  <c r="AJ131" i="23"/>
  <c r="AK131" i="23"/>
  <c r="AL131" i="23"/>
  <c r="AM131" i="23"/>
  <c r="AN131" i="23"/>
  <c r="AO131" i="23"/>
  <c r="AP131" i="23"/>
  <c r="AQ131" i="23"/>
  <c r="AR131" i="23"/>
  <c r="AS131" i="23"/>
  <c r="AT131" i="23"/>
  <c r="AU131" i="23"/>
  <c r="AV131" i="23"/>
  <c r="AW131" i="23"/>
  <c r="AX131" i="23"/>
  <c r="AY131" i="23"/>
  <c r="AZ131" i="23"/>
  <c r="BA131" i="23"/>
  <c r="BB131" i="23"/>
  <c r="BC131" i="23"/>
  <c r="BD131" i="23"/>
  <c r="BE131" i="23"/>
  <c r="BF131" i="23"/>
  <c r="BG131" i="23"/>
  <c r="BH131" i="23"/>
  <c r="BI131" i="23"/>
  <c r="BJ131" i="23"/>
  <c r="BK131" i="23"/>
  <c r="BL131" i="23"/>
  <c r="BM131" i="23"/>
  <c r="BN131" i="23"/>
  <c r="BO131" i="23"/>
  <c r="BP131" i="23"/>
  <c r="BQ131" i="23"/>
  <c r="BR131" i="23"/>
  <c r="BS131" i="23"/>
  <c r="BT131" i="23"/>
  <c r="BU131" i="23"/>
  <c r="BV131" i="23"/>
  <c r="BW131" i="23"/>
  <c r="BX131" i="23"/>
  <c r="BY131" i="23"/>
  <c r="BZ131" i="23"/>
  <c r="CA131" i="23"/>
  <c r="CB131" i="23"/>
  <c r="CC131" i="23"/>
  <c r="CD131" i="23"/>
  <c r="CE131" i="23"/>
  <c r="CF131" i="23"/>
  <c r="CG131" i="23"/>
  <c r="CH131" i="23"/>
  <c r="CI131" i="23"/>
  <c r="CJ131" i="23"/>
  <c r="CK131" i="23"/>
  <c r="CL131" i="23"/>
  <c r="CM131" i="23"/>
  <c r="CN131" i="23"/>
  <c r="CO131" i="23"/>
  <c r="CP131" i="23"/>
  <c r="CQ131" i="23"/>
  <c r="CR131" i="23"/>
  <c r="CS131" i="23"/>
  <c r="CT131" i="23"/>
  <c r="CU131" i="23"/>
  <c r="CV131" i="23"/>
  <c r="CW131" i="23"/>
  <c r="CX131" i="23"/>
  <c r="CY131" i="23"/>
  <c r="CZ131" i="23"/>
  <c r="DA131" i="23"/>
  <c r="DB131" i="23"/>
  <c r="DC131" i="23"/>
  <c r="DD131" i="23"/>
  <c r="DE131" i="23"/>
  <c r="DF131" i="23"/>
  <c r="DG131" i="23"/>
  <c r="DH131" i="23"/>
  <c r="DI131" i="23"/>
  <c r="DJ131" i="23"/>
  <c r="DK131" i="23"/>
  <c r="DL131" i="23"/>
  <c r="DM131" i="23"/>
  <c r="DN131" i="23"/>
  <c r="DO131" i="23"/>
  <c r="DP131" i="23"/>
  <c r="DQ131" i="23"/>
  <c r="DR131" i="23"/>
  <c r="DS131" i="23"/>
  <c r="DT131" i="23"/>
  <c r="DU131" i="23"/>
  <c r="DV131" i="23"/>
  <c r="DW131" i="23"/>
  <c r="DX131" i="23"/>
  <c r="DY131" i="23"/>
  <c r="DZ131" i="23"/>
  <c r="EA131" i="23"/>
  <c r="G132" i="23"/>
  <c r="H132" i="23"/>
  <c r="I132" i="23"/>
  <c r="J132" i="23"/>
  <c r="K132" i="23"/>
  <c r="L132" i="23"/>
  <c r="M132" i="23"/>
  <c r="N132" i="23"/>
  <c r="O132" i="23"/>
  <c r="P132" i="23"/>
  <c r="Q132" i="23"/>
  <c r="R132" i="23"/>
  <c r="S132" i="23"/>
  <c r="T132" i="23"/>
  <c r="U132" i="23"/>
  <c r="V132" i="23"/>
  <c r="W132" i="23"/>
  <c r="X132" i="23"/>
  <c r="Y132" i="23"/>
  <c r="Z132" i="23"/>
  <c r="AA132" i="23"/>
  <c r="AB132" i="23"/>
  <c r="AC132" i="23"/>
  <c r="AD132" i="23"/>
  <c r="AE132" i="23"/>
  <c r="AF132" i="23"/>
  <c r="AG132" i="23"/>
  <c r="AH132" i="23"/>
  <c r="AI132" i="23"/>
  <c r="AJ132" i="23"/>
  <c r="AK132" i="23"/>
  <c r="AL132" i="23"/>
  <c r="AM132" i="23"/>
  <c r="AN132" i="23"/>
  <c r="AO132" i="23"/>
  <c r="AP132" i="23"/>
  <c r="AQ132" i="23"/>
  <c r="AR132" i="23"/>
  <c r="AS132" i="23"/>
  <c r="AT132" i="23"/>
  <c r="AU132" i="23"/>
  <c r="AV132" i="23"/>
  <c r="AW132" i="23"/>
  <c r="AX132" i="23"/>
  <c r="AY132" i="23"/>
  <c r="AZ132" i="23"/>
  <c r="BA132" i="23"/>
  <c r="BB132" i="23"/>
  <c r="BC132" i="23"/>
  <c r="BD132" i="23"/>
  <c r="BE132" i="23"/>
  <c r="BF132" i="23"/>
  <c r="BG132" i="23"/>
  <c r="BH132" i="23"/>
  <c r="BI132" i="23"/>
  <c r="BJ132" i="23"/>
  <c r="BK132" i="23"/>
  <c r="BL132" i="23"/>
  <c r="BM132" i="23"/>
  <c r="BN132" i="23"/>
  <c r="BO132" i="23"/>
  <c r="BP132" i="23"/>
  <c r="BQ132" i="23"/>
  <c r="BR132" i="23"/>
  <c r="BS132" i="23"/>
  <c r="BT132" i="23"/>
  <c r="BU132" i="23"/>
  <c r="BV132" i="23"/>
  <c r="BW132" i="23"/>
  <c r="BX132" i="23"/>
  <c r="BY132" i="23"/>
  <c r="BZ132" i="23"/>
  <c r="CA132" i="23"/>
  <c r="CB132" i="23"/>
  <c r="CC132" i="23"/>
  <c r="CD132" i="23"/>
  <c r="CE132" i="23"/>
  <c r="CF132" i="23"/>
  <c r="CG132" i="23"/>
  <c r="CH132" i="23"/>
  <c r="CI132" i="23"/>
  <c r="CJ132" i="23"/>
  <c r="CK132" i="23"/>
  <c r="CL132" i="23"/>
  <c r="CM132" i="23"/>
  <c r="CN132" i="23"/>
  <c r="CO132" i="23"/>
  <c r="CP132" i="23"/>
  <c r="CQ132" i="23"/>
  <c r="CR132" i="23"/>
  <c r="CS132" i="23"/>
  <c r="CT132" i="23"/>
  <c r="CU132" i="23"/>
  <c r="CV132" i="23"/>
  <c r="CW132" i="23"/>
  <c r="CX132" i="23"/>
  <c r="CY132" i="23"/>
  <c r="CZ132" i="23"/>
  <c r="DA132" i="23"/>
  <c r="DB132" i="23"/>
  <c r="DC132" i="23"/>
  <c r="DD132" i="23"/>
  <c r="DE132" i="23"/>
  <c r="DF132" i="23"/>
  <c r="DG132" i="23"/>
  <c r="DH132" i="23"/>
  <c r="DI132" i="23"/>
  <c r="DJ132" i="23"/>
  <c r="DK132" i="23"/>
  <c r="DL132" i="23"/>
  <c r="DM132" i="23"/>
  <c r="DN132" i="23"/>
  <c r="DO132" i="23"/>
  <c r="DP132" i="23"/>
  <c r="DQ132" i="23"/>
  <c r="DR132" i="23"/>
  <c r="DS132" i="23"/>
  <c r="DT132" i="23"/>
  <c r="DU132" i="23"/>
  <c r="DV132" i="23"/>
  <c r="DW132" i="23"/>
  <c r="DX132" i="23"/>
  <c r="DY132" i="23"/>
  <c r="DZ132" i="23"/>
  <c r="EA132" i="23"/>
  <c r="G133" i="23"/>
  <c r="H133" i="23"/>
  <c r="I133" i="23"/>
  <c r="J133" i="23"/>
  <c r="K133" i="23"/>
  <c r="L133" i="23"/>
  <c r="M133" i="23"/>
  <c r="N133" i="23"/>
  <c r="O133" i="23"/>
  <c r="P133" i="23"/>
  <c r="Q133" i="23"/>
  <c r="R133" i="23"/>
  <c r="S133" i="23"/>
  <c r="T133" i="23"/>
  <c r="U133" i="23"/>
  <c r="V133" i="23"/>
  <c r="W133" i="23"/>
  <c r="X133" i="23"/>
  <c r="Y133" i="23"/>
  <c r="Z133" i="23"/>
  <c r="AA133" i="23"/>
  <c r="AB133" i="23"/>
  <c r="AC133" i="23"/>
  <c r="AD133" i="23"/>
  <c r="AE133" i="23"/>
  <c r="AF133" i="23"/>
  <c r="AG133" i="23"/>
  <c r="AH133" i="23"/>
  <c r="AI133" i="23"/>
  <c r="AJ133" i="23"/>
  <c r="AK133" i="23"/>
  <c r="AL133" i="23"/>
  <c r="AM133" i="23"/>
  <c r="AN133" i="23"/>
  <c r="AO133" i="23"/>
  <c r="AP133" i="23"/>
  <c r="AQ133" i="23"/>
  <c r="AR133" i="23"/>
  <c r="AS133" i="23"/>
  <c r="AT133" i="23"/>
  <c r="AU133" i="23"/>
  <c r="AV133" i="23"/>
  <c r="AW133" i="23"/>
  <c r="AX133" i="23"/>
  <c r="AY133" i="23"/>
  <c r="AZ133" i="23"/>
  <c r="BA133" i="23"/>
  <c r="BB133" i="23"/>
  <c r="BC133" i="23"/>
  <c r="BD133" i="23"/>
  <c r="BE133" i="23"/>
  <c r="BF133" i="23"/>
  <c r="BG133" i="23"/>
  <c r="BH133" i="23"/>
  <c r="BI133" i="23"/>
  <c r="BJ133" i="23"/>
  <c r="BK133" i="23"/>
  <c r="BL133" i="23"/>
  <c r="BM133" i="23"/>
  <c r="BN133" i="23"/>
  <c r="BO133" i="23"/>
  <c r="BP133" i="23"/>
  <c r="BQ133" i="23"/>
  <c r="BR133" i="23"/>
  <c r="BS133" i="23"/>
  <c r="BT133" i="23"/>
  <c r="BU133" i="23"/>
  <c r="BV133" i="23"/>
  <c r="BW133" i="23"/>
  <c r="BX133" i="23"/>
  <c r="BY133" i="23"/>
  <c r="BZ133" i="23"/>
  <c r="CA133" i="23"/>
  <c r="CB133" i="23"/>
  <c r="CC133" i="23"/>
  <c r="CD133" i="23"/>
  <c r="CE133" i="23"/>
  <c r="CF133" i="23"/>
  <c r="CG133" i="23"/>
  <c r="CH133" i="23"/>
  <c r="CI133" i="23"/>
  <c r="CJ133" i="23"/>
  <c r="CK133" i="23"/>
  <c r="CL133" i="23"/>
  <c r="CM133" i="23"/>
  <c r="CN133" i="23"/>
  <c r="CO133" i="23"/>
  <c r="CP133" i="23"/>
  <c r="CQ133" i="23"/>
  <c r="CR133" i="23"/>
  <c r="CS133" i="23"/>
  <c r="CT133" i="23"/>
  <c r="CU133" i="23"/>
  <c r="CV133" i="23"/>
  <c r="CW133" i="23"/>
  <c r="CX133" i="23"/>
  <c r="CY133" i="23"/>
  <c r="CZ133" i="23"/>
  <c r="DA133" i="23"/>
  <c r="DB133" i="23"/>
  <c r="DC133" i="23"/>
  <c r="DD133" i="23"/>
  <c r="DE133" i="23"/>
  <c r="DF133" i="23"/>
  <c r="DG133" i="23"/>
  <c r="DH133" i="23"/>
  <c r="DI133" i="23"/>
  <c r="DJ133" i="23"/>
  <c r="DK133" i="23"/>
  <c r="DL133" i="23"/>
  <c r="DM133" i="23"/>
  <c r="DN133" i="23"/>
  <c r="DO133" i="23"/>
  <c r="DP133" i="23"/>
  <c r="DQ133" i="23"/>
  <c r="DR133" i="23"/>
  <c r="DS133" i="23"/>
  <c r="DT133" i="23"/>
  <c r="DU133" i="23"/>
  <c r="DV133" i="23"/>
  <c r="DW133" i="23"/>
  <c r="DX133" i="23"/>
  <c r="DY133" i="23"/>
  <c r="DZ133" i="23"/>
  <c r="EA133" i="23"/>
  <c r="EA122" i="23"/>
  <c r="DZ122" i="23"/>
  <c r="DY122" i="23"/>
  <c r="DX122" i="23"/>
  <c r="DW122" i="23"/>
  <c r="DV122" i="23"/>
  <c r="DU122" i="23"/>
  <c r="DT122" i="23"/>
  <c r="DS122" i="23"/>
  <c r="DR122" i="23"/>
  <c r="DQ122" i="23"/>
  <c r="DP122" i="23"/>
  <c r="DO122" i="23"/>
  <c r="DN122" i="23"/>
  <c r="DM122" i="23"/>
  <c r="DL122" i="23"/>
  <c r="DK122" i="23"/>
  <c r="DJ122" i="23"/>
  <c r="DI122" i="23"/>
  <c r="DH122" i="23"/>
  <c r="DG122" i="23"/>
  <c r="DF122" i="23"/>
  <c r="DE122" i="23"/>
  <c r="DD122" i="23"/>
  <c r="DC122" i="23"/>
  <c r="DB122" i="23"/>
  <c r="DA122" i="23"/>
  <c r="CZ122" i="23"/>
  <c r="CY122" i="23"/>
  <c r="CX122" i="23"/>
  <c r="CW122" i="23"/>
  <c r="CV122" i="23"/>
  <c r="CU122" i="23"/>
  <c r="CT122" i="23"/>
  <c r="CS122" i="23"/>
  <c r="CR122" i="23"/>
  <c r="CQ122" i="23"/>
  <c r="CP122" i="23"/>
  <c r="CO122" i="23"/>
  <c r="CN122" i="23"/>
  <c r="CM122" i="23"/>
  <c r="CL122" i="23"/>
  <c r="CK122" i="23"/>
  <c r="CJ122" i="23"/>
  <c r="CI122" i="23"/>
  <c r="CH122" i="23"/>
  <c r="CG122" i="23"/>
  <c r="CF122" i="23"/>
  <c r="CE122" i="23"/>
  <c r="CD122" i="23"/>
  <c r="CC122" i="23"/>
  <c r="CB122" i="23"/>
  <c r="CA122" i="23"/>
  <c r="BZ122" i="23"/>
  <c r="BY122" i="23"/>
  <c r="BX122" i="23"/>
  <c r="BW122" i="23"/>
  <c r="BV122" i="23"/>
  <c r="BU122" i="23"/>
  <c r="BT122" i="23"/>
  <c r="BS122" i="23"/>
  <c r="BR122" i="23"/>
  <c r="BQ122" i="23"/>
  <c r="BP122" i="23"/>
  <c r="BO122" i="23"/>
  <c r="BN122" i="23"/>
  <c r="BM122" i="23"/>
  <c r="BL122" i="23"/>
  <c r="BK122" i="23"/>
  <c r="BJ122" i="23"/>
  <c r="BI122" i="23"/>
  <c r="BH122" i="23"/>
  <c r="BG122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G87" i="23"/>
  <c r="H87" i="23"/>
  <c r="I87" i="23"/>
  <c r="J87" i="23"/>
  <c r="K87" i="23"/>
  <c r="L87" i="23"/>
  <c r="M87" i="23"/>
  <c r="N87" i="23"/>
  <c r="O87" i="23"/>
  <c r="P87" i="23"/>
  <c r="Q87" i="23"/>
  <c r="R87" i="23"/>
  <c r="S87" i="23"/>
  <c r="T87" i="23"/>
  <c r="U87" i="23"/>
  <c r="V87" i="23"/>
  <c r="W87" i="23"/>
  <c r="X87" i="23"/>
  <c r="Y87" i="23"/>
  <c r="Z87" i="23"/>
  <c r="AA87" i="23"/>
  <c r="AB87" i="23"/>
  <c r="AC87" i="23"/>
  <c r="AD87" i="23"/>
  <c r="AE87" i="23"/>
  <c r="AF87" i="23"/>
  <c r="AG87" i="23"/>
  <c r="AH87" i="23"/>
  <c r="AI87" i="23"/>
  <c r="AJ87" i="23"/>
  <c r="AK87" i="23"/>
  <c r="AL87" i="23"/>
  <c r="AM87" i="23"/>
  <c r="AN87" i="23"/>
  <c r="AO87" i="23"/>
  <c r="AP87" i="23"/>
  <c r="AQ87" i="23"/>
  <c r="AR87" i="23"/>
  <c r="AS87" i="23"/>
  <c r="AT87" i="23"/>
  <c r="AU87" i="23"/>
  <c r="AV87" i="23"/>
  <c r="AW87" i="23"/>
  <c r="AX87" i="23"/>
  <c r="AY87" i="23"/>
  <c r="AZ87" i="23"/>
  <c r="BA87" i="23"/>
  <c r="BB87" i="23"/>
  <c r="BC87" i="23"/>
  <c r="BD87" i="23"/>
  <c r="BE87" i="23"/>
  <c r="BF87" i="23"/>
  <c r="BG87" i="23"/>
  <c r="BH87" i="23"/>
  <c r="BI87" i="23"/>
  <c r="BJ87" i="23"/>
  <c r="BK87" i="23"/>
  <c r="BL87" i="23"/>
  <c r="BM87" i="23"/>
  <c r="BN87" i="23"/>
  <c r="BO87" i="23"/>
  <c r="BP87" i="23"/>
  <c r="BQ87" i="23"/>
  <c r="BR87" i="23"/>
  <c r="BS87" i="23"/>
  <c r="BT87" i="23"/>
  <c r="BU87" i="23"/>
  <c r="BV87" i="23"/>
  <c r="BW87" i="23"/>
  <c r="BX87" i="23"/>
  <c r="BY87" i="23"/>
  <c r="BZ87" i="23"/>
  <c r="CA87" i="23"/>
  <c r="CB87" i="23"/>
  <c r="CC87" i="23"/>
  <c r="CD87" i="23"/>
  <c r="CE87" i="23"/>
  <c r="CF87" i="23"/>
  <c r="CG87" i="23"/>
  <c r="CH87" i="23"/>
  <c r="CI87" i="23"/>
  <c r="CJ87" i="23"/>
  <c r="CK87" i="23"/>
  <c r="CL87" i="23"/>
  <c r="CM87" i="23"/>
  <c r="CN87" i="23"/>
  <c r="CO87" i="23"/>
  <c r="CP87" i="23"/>
  <c r="CQ87" i="23"/>
  <c r="CR87" i="23"/>
  <c r="CS87" i="23"/>
  <c r="CT87" i="23"/>
  <c r="CU87" i="23"/>
  <c r="CV87" i="23"/>
  <c r="CW87" i="23"/>
  <c r="CX87" i="23"/>
  <c r="CY87" i="23"/>
  <c r="CZ87" i="23"/>
  <c r="DA87" i="23"/>
  <c r="DB87" i="23"/>
  <c r="DC87" i="23"/>
  <c r="DD87" i="23"/>
  <c r="DE87" i="23"/>
  <c r="DF87" i="23"/>
  <c r="DG87" i="23"/>
  <c r="DH87" i="23"/>
  <c r="DI87" i="23"/>
  <c r="DJ87" i="23"/>
  <c r="DK87" i="23"/>
  <c r="DL87" i="23"/>
  <c r="DM87" i="23"/>
  <c r="DN87" i="23"/>
  <c r="DO87" i="23"/>
  <c r="DP87" i="23"/>
  <c r="DQ87" i="23"/>
  <c r="DR87" i="23"/>
  <c r="DS87" i="23"/>
  <c r="DT87" i="23"/>
  <c r="DU87" i="23"/>
  <c r="DV87" i="23"/>
  <c r="DW87" i="23"/>
  <c r="DX87" i="23"/>
  <c r="DY87" i="23"/>
  <c r="DZ87" i="23"/>
  <c r="EA87" i="23"/>
  <c r="G88" i="23"/>
  <c r="H88" i="23"/>
  <c r="I88" i="23"/>
  <c r="J88" i="23"/>
  <c r="K88" i="23"/>
  <c r="L88" i="23"/>
  <c r="M88" i="23"/>
  <c r="N88" i="23"/>
  <c r="O88" i="23"/>
  <c r="P88" i="23"/>
  <c r="Q88" i="23"/>
  <c r="R88" i="23"/>
  <c r="S88" i="23"/>
  <c r="T88" i="23"/>
  <c r="U88" i="23"/>
  <c r="V88" i="23"/>
  <c r="W88" i="23"/>
  <c r="X88" i="23"/>
  <c r="Y88" i="23"/>
  <c r="Z88" i="23"/>
  <c r="AA88" i="23"/>
  <c r="AB88" i="23"/>
  <c r="AC88" i="23"/>
  <c r="AD88" i="23"/>
  <c r="AE88" i="23"/>
  <c r="AF88" i="23"/>
  <c r="AG88" i="23"/>
  <c r="AH88" i="23"/>
  <c r="AI88" i="23"/>
  <c r="AJ88" i="23"/>
  <c r="AK88" i="23"/>
  <c r="AL88" i="23"/>
  <c r="AM88" i="23"/>
  <c r="AN88" i="23"/>
  <c r="AO88" i="23"/>
  <c r="AP88" i="23"/>
  <c r="AQ88" i="23"/>
  <c r="AR88" i="23"/>
  <c r="AS88" i="23"/>
  <c r="AT88" i="23"/>
  <c r="AU88" i="23"/>
  <c r="AV88" i="23"/>
  <c r="AW88" i="23"/>
  <c r="AX88" i="23"/>
  <c r="AY88" i="23"/>
  <c r="AZ88" i="23"/>
  <c r="BA88" i="23"/>
  <c r="BB88" i="23"/>
  <c r="BC88" i="23"/>
  <c r="BD88" i="23"/>
  <c r="BE88" i="23"/>
  <c r="BF88" i="23"/>
  <c r="BG88" i="23"/>
  <c r="BH88" i="23"/>
  <c r="BI88" i="23"/>
  <c r="BJ88" i="23"/>
  <c r="BK88" i="23"/>
  <c r="BL88" i="23"/>
  <c r="BM88" i="23"/>
  <c r="BN88" i="23"/>
  <c r="BO88" i="23"/>
  <c r="BP88" i="23"/>
  <c r="BQ88" i="23"/>
  <c r="BR88" i="23"/>
  <c r="BS88" i="23"/>
  <c r="BT88" i="23"/>
  <c r="BU88" i="23"/>
  <c r="BV88" i="23"/>
  <c r="BW88" i="23"/>
  <c r="BX88" i="23"/>
  <c r="BY88" i="23"/>
  <c r="BZ88" i="23"/>
  <c r="CA88" i="23"/>
  <c r="CB88" i="23"/>
  <c r="CC88" i="23"/>
  <c r="CD88" i="23"/>
  <c r="CE88" i="23"/>
  <c r="CF88" i="23"/>
  <c r="CG88" i="23"/>
  <c r="CH88" i="23"/>
  <c r="CI88" i="23"/>
  <c r="CJ88" i="23"/>
  <c r="CK88" i="23"/>
  <c r="CL88" i="23"/>
  <c r="CM88" i="23"/>
  <c r="CN88" i="23"/>
  <c r="CO88" i="23"/>
  <c r="CP88" i="23"/>
  <c r="CQ88" i="23"/>
  <c r="CR88" i="23"/>
  <c r="CS88" i="23"/>
  <c r="CT88" i="23"/>
  <c r="CU88" i="23"/>
  <c r="CV88" i="23"/>
  <c r="CW88" i="23"/>
  <c r="CX88" i="23"/>
  <c r="CY88" i="23"/>
  <c r="CZ88" i="23"/>
  <c r="DA88" i="23"/>
  <c r="DB88" i="23"/>
  <c r="DC88" i="23"/>
  <c r="DD88" i="23"/>
  <c r="DE88" i="23"/>
  <c r="DF88" i="23"/>
  <c r="DG88" i="23"/>
  <c r="DH88" i="23"/>
  <c r="DI88" i="23"/>
  <c r="DJ88" i="23"/>
  <c r="DK88" i="23"/>
  <c r="DL88" i="23"/>
  <c r="DM88" i="23"/>
  <c r="DN88" i="23"/>
  <c r="DO88" i="23"/>
  <c r="DP88" i="23"/>
  <c r="DQ88" i="23"/>
  <c r="DR88" i="23"/>
  <c r="DS88" i="23"/>
  <c r="DT88" i="23"/>
  <c r="DU88" i="23"/>
  <c r="DV88" i="23"/>
  <c r="DW88" i="23"/>
  <c r="DX88" i="23"/>
  <c r="DY88" i="23"/>
  <c r="DZ88" i="23"/>
  <c r="EA88" i="23"/>
  <c r="G89" i="23"/>
  <c r="H89" i="23"/>
  <c r="I89" i="23"/>
  <c r="J89" i="23"/>
  <c r="K89" i="23"/>
  <c r="L89" i="23"/>
  <c r="M89" i="23"/>
  <c r="N89" i="23"/>
  <c r="O89" i="23"/>
  <c r="P89" i="23"/>
  <c r="Q89" i="23"/>
  <c r="R89" i="23"/>
  <c r="S89" i="23"/>
  <c r="T89" i="23"/>
  <c r="U89" i="23"/>
  <c r="V89" i="23"/>
  <c r="W89" i="23"/>
  <c r="X89" i="23"/>
  <c r="Y89" i="23"/>
  <c r="Z89" i="23"/>
  <c r="AA89" i="23"/>
  <c r="AB89" i="23"/>
  <c r="AC89" i="23"/>
  <c r="AD89" i="23"/>
  <c r="AE89" i="23"/>
  <c r="AF89" i="23"/>
  <c r="AG89" i="23"/>
  <c r="AH89" i="23"/>
  <c r="AI89" i="23"/>
  <c r="AJ89" i="23"/>
  <c r="AK89" i="23"/>
  <c r="AL89" i="23"/>
  <c r="AM89" i="23"/>
  <c r="AN89" i="23"/>
  <c r="AO89" i="23"/>
  <c r="AP89" i="23"/>
  <c r="AQ89" i="23"/>
  <c r="AR89" i="23"/>
  <c r="AS89" i="23"/>
  <c r="AT89" i="23"/>
  <c r="AU89" i="23"/>
  <c r="AV89" i="23"/>
  <c r="AW89" i="23"/>
  <c r="AX89" i="23"/>
  <c r="AY89" i="23"/>
  <c r="AZ89" i="23"/>
  <c r="BA89" i="23"/>
  <c r="BB89" i="23"/>
  <c r="BC89" i="23"/>
  <c r="BD89" i="23"/>
  <c r="BE89" i="23"/>
  <c r="BF89" i="23"/>
  <c r="BG89" i="23"/>
  <c r="BH89" i="23"/>
  <c r="BI89" i="23"/>
  <c r="BJ89" i="23"/>
  <c r="BK89" i="23"/>
  <c r="BL89" i="23"/>
  <c r="BM89" i="23"/>
  <c r="BN89" i="23"/>
  <c r="BO89" i="23"/>
  <c r="BP89" i="23"/>
  <c r="BQ89" i="23"/>
  <c r="BR89" i="23"/>
  <c r="BS89" i="23"/>
  <c r="BT89" i="23"/>
  <c r="BU89" i="23"/>
  <c r="BV89" i="23"/>
  <c r="BW89" i="23"/>
  <c r="BX89" i="23"/>
  <c r="BY89" i="23"/>
  <c r="BZ89" i="23"/>
  <c r="CA89" i="23"/>
  <c r="CB89" i="23"/>
  <c r="CC89" i="23"/>
  <c r="CD89" i="23"/>
  <c r="CE89" i="23"/>
  <c r="CF89" i="23"/>
  <c r="CG89" i="23"/>
  <c r="CH89" i="23"/>
  <c r="CI89" i="23"/>
  <c r="CJ89" i="23"/>
  <c r="CK89" i="23"/>
  <c r="CL89" i="23"/>
  <c r="CM89" i="23"/>
  <c r="CN89" i="23"/>
  <c r="CO89" i="23"/>
  <c r="CP89" i="23"/>
  <c r="CQ89" i="23"/>
  <c r="CR89" i="23"/>
  <c r="CS89" i="23"/>
  <c r="CT89" i="23"/>
  <c r="CU89" i="23"/>
  <c r="CV89" i="23"/>
  <c r="CW89" i="23"/>
  <c r="CX89" i="23"/>
  <c r="CY89" i="23"/>
  <c r="CZ89" i="23"/>
  <c r="DA89" i="23"/>
  <c r="DB89" i="23"/>
  <c r="DC89" i="23"/>
  <c r="DD89" i="23"/>
  <c r="DE89" i="23"/>
  <c r="DF89" i="23"/>
  <c r="DG89" i="23"/>
  <c r="DH89" i="23"/>
  <c r="DI89" i="23"/>
  <c r="DJ89" i="23"/>
  <c r="DK89" i="23"/>
  <c r="DL89" i="23"/>
  <c r="DM89" i="23"/>
  <c r="DN89" i="23"/>
  <c r="DO89" i="23"/>
  <c r="DP89" i="23"/>
  <c r="DQ89" i="23"/>
  <c r="DR89" i="23"/>
  <c r="DS89" i="23"/>
  <c r="DT89" i="23"/>
  <c r="DU89" i="23"/>
  <c r="DV89" i="23"/>
  <c r="DW89" i="23"/>
  <c r="DX89" i="23"/>
  <c r="DY89" i="23"/>
  <c r="DZ89" i="23"/>
  <c r="EA89" i="23"/>
  <c r="G90" i="23"/>
  <c r="H90" i="23"/>
  <c r="I90" i="23"/>
  <c r="J90" i="23"/>
  <c r="K90" i="23"/>
  <c r="L90" i="23"/>
  <c r="M90" i="23"/>
  <c r="N90" i="23"/>
  <c r="O90" i="23"/>
  <c r="P90" i="23"/>
  <c r="Q90" i="23"/>
  <c r="R90" i="23"/>
  <c r="S90" i="23"/>
  <c r="T90" i="23"/>
  <c r="U90" i="23"/>
  <c r="V90" i="23"/>
  <c r="W90" i="23"/>
  <c r="X90" i="23"/>
  <c r="Y90" i="23"/>
  <c r="Z90" i="23"/>
  <c r="AA90" i="23"/>
  <c r="AB90" i="23"/>
  <c r="AC90" i="23"/>
  <c r="AD90" i="23"/>
  <c r="AE90" i="23"/>
  <c r="AF90" i="23"/>
  <c r="AG90" i="23"/>
  <c r="AH90" i="23"/>
  <c r="AI90" i="23"/>
  <c r="AJ90" i="23"/>
  <c r="AK90" i="23"/>
  <c r="AL90" i="23"/>
  <c r="AM90" i="23"/>
  <c r="AN90" i="23"/>
  <c r="AO90" i="23"/>
  <c r="AP90" i="23"/>
  <c r="AQ90" i="23"/>
  <c r="AR90" i="23"/>
  <c r="AS90" i="23"/>
  <c r="AT90" i="23"/>
  <c r="AU90" i="23"/>
  <c r="AV90" i="23"/>
  <c r="AW90" i="23"/>
  <c r="AX90" i="23"/>
  <c r="AY90" i="23"/>
  <c r="AZ90" i="23"/>
  <c r="BA90" i="23"/>
  <c r="BB90" i="23"/>
  <c r="BC90" i="23"/>
  <c r="BD90" i="23"/>
  <c r="BE90" i="23"/>
  <c r="BF90" i="23"/>
  <c r="BG90" i="23"/>
  <c r="BH90" i="23"/>
  <c r="BI90" i="23"/>
  <c r="BJ90" i="23"/>
  <c r="BK90" i="23"/>
  <c r="BL90" i="23"/>
  <c r="BM90" i="23"/>
  <c r="BN90" i="23"/>
  <c r="BO90" i="23"/>
  <c r="BP90" i="23"/>
  <c r="BQ90" i="23"/>
  <c r="BR90" i="23"/>
  <c r="BS90" i="23"/>
  <c r="BT90" i="23"/>
  <c r="BU90" i="23"/>
  <c r="BV90" i="23"/>
  <c r="BW90" i="23"/>
  <c r="BX90" i="23"/>
  <c r="BY90" i="23"/>
  <c r="BZ90" i="23"/>
  <c r="CA90" i="23"/>
  <c r="CB90" i="23"/>
  <c r="CC90" i="23"/>
  <c r="CD90" i="23"/>
  <c r="CE90" i="23"/>
  <c r="CF90" i="23"/>
  <c r="CG90" i="23"/>
  <c r="CH90" i="23"/>
  <c r="CI90" i="23"/>
  <c r="CJ90" i="23"/>
  <c r="CK90" i="23"/>
  <c r="CL90" i="23"/>
  <c r="CM90" i="23"/>
  <c r="CN90" i="23"/>
  <c r="CO90" i="23"/>
  <c r="CP90" i="23"/>
  <c r="CQ90" i="23"/>
  <c r="CR90" i="23"/>
  <c r="CS90" i="23"/>
  <c r="CT90" i="23"/>
  <c r="CU90" i="23"/>
  <c r="CV90" i="23"/>
  <c r="CW90" i="23"/>
  <c r="CX90" i="23"/>
  <c r="CY90" i="23"/>
  <c r="CZ90" i="23"/>
  <c r="DA90" i="23"/>
  <c r="DB90" i="23"/>
  <c r="DC90" i="23"/>
  <c r="DD90" i="23"/>
  <c r="DE90" i="23"/>
  <c r="DF90" i="23"/>
  <c r="DG90" i="23"/>
  <c r="DH90" i="23"/>
  <c r="DI90" i="23"/>
  <c r="DJ90" i="23"/>
  <c r="DK90" i="23"/>
  <c r="DL90" i="23"/>
  <c r="DM90" i="23"/>
  <c r="DN90" i="23"/>
  <c r="DO90" i="23"/>
  <c r="DP90" i="23"/>
  <c r="DQ90" i="23"/>
  <c r="DR90" i="23"/>
  <c r="DS90" i="23"/>
  <c r="DT90" i="23"/>
  <c r="DU90" i="23"/>
  <c r="DV90" i="23"/>
  <c r="DW90" i="23"/>
  <c r="DX90" i="23"/>
  <c r="DY90" i="23"/>
  <c r="DZ90" i="23"/>
  <c r="EA90" i="23"/>
  <c r="G91" i="23"/>
  <c r="H91" i="23"/>
  <c r="I91" i="23"/>
  <c r="J91" i="23"/>
  <c r="K91" i="23"/>
  <c r="L91" i="23"/>
  <c r="M91" i="23"/>
  <c r="N91" i="23"/>
  <c r="O91" i="23"/>
  <c r="P91" i="23"/>
  <c r="Q91" i="23"/>
  <c r="R91" i="23"/>
  <c r="S91" i="23"/>
  <c r="T91" i="23"/>
  <c r="U91" i="23"/>
  <c r="V91" i="23"/>
  <c r="W91" i="23"/>
  <c r="X91" i="23"/>
  <c r="Y91" i="23"/>
  <c r="Z91" i="23"/>
  <c r="AA91" i="23"/>
  <c r="AB91" i="23"/>
  <c r="AC91" i="23"/>
  <c r="AD91" i="23"/>
  <c r="AE91" i="23"/>
  <c r="AF91" i="23"/>
  <c r="AG91" i="23"/>
  <c r="AH91" i="23"/>
  <c r="AI91" i="23"/>
  <c r="AJ91" i="23"/>
  <c r="AK91" i="23"/>
  <c r="AL91" i="23"/>
  <c r="AM91" i="23"/>
  <c r="AN91" i="23"/>
  <c r="AO91" i="23"/>
  <c r="AP91" i="23"/>
  <c r="AQ91" i="23"/>
  <c r="AR91" i="23"/>
  <c r="AS91" i="23"/>
  <c r="AT91" i="23"/>
  <c r="AU91" i="23"/>
  <c r="AV91" i="23"/>
  <c r="AW91" i="23"/>
  <c r="AX91" i="23"/>
  <c r="AY91" i="23"/>
  <c r="AZ91" i="23"/>
  <c r="BA91" i="23"/>
  <c r="BB91" i="23"/>
  <c r="BC91" i="23"/>
  <c r="BD91" i="23"/>
  <c r="BE91" i="23"/>
  <c r="BF91" i="23"/>
  <c r="BG91" i="23"/>
  <c r="BH91" i="23"/>
  <c r="BI91" i="23"/>
  <c r="BJ91" i="23"/>
  <c r="BK91" i="23"/>
  <c r="BL91" i="23"/>
  <c r="BM91" i="23"/>
  <c r="BN91" i="23"/>
  <c r="BO91" i="23"/>
  <c r="BP91" i="23"/>
  <c r="BQ91" i="23"/>
  <c r="BR91" i="23"/>
  <c r="BS91" i="23"/>
  <c r="BT91" i="23"/>
  <c r="BU91" i="23"/>
  <c r="BV91" i="23"/>
  <c r="BW91" i="23"/>
  <c r="BX91" i="23"/>
  <c r="BY91" i="23"/>
  <c r="BZ91" i="23"/>
  <c r="CA91" i="23"/>
  <c r="CB91" i="23"/>
  <c r="CC91" i="23"/>
  <c r="CD91" i="23"/>
  <c r="CE91" i="23"/>
  <c r="CF91" i="23"/>
  <c r="CG91" i="23"/>
  <c r="CH91" i="23"/>
  <c r="CI91" i="23"/>
  <c r="CJ91" i="23"/>
  <c r="CK91" i="23"/>
  <c r="CL91" i="23"/>
  <c r="CM91" i="23"/>
  <c r="CN91" i="23"/>
  <c r="CO91" i="23"/>
  <c r="CP91" i="23"/>
  <c r="CQ91" i="23"/>
  <c r="CR91" i="23"/>
  <c r="CS91" i="23"/>
  <c r="CT91" i="23"/>
  <c r="CU91" i="23"/>
  <c r="CV91" i="23"/>
  <c r="CW91" i="23"/>
  <c r="CX91" i="23"/>
  <c r="CY91" i="23"/>
  <c r="CZ91" i="23"/>
  <c r="DA91" i="23"/>
  <c r="DB91" i="23"/>
  <c r="DC91" i="23"/>
  <c r="DD91" i="23"/>
  <c r="DE91" i="23"/>
  <c r="DF91" i="23"/>
  <c r="DG91" i="23"/>
  <c r="DH91" i="23"/>
  <c r="DI91" i="23"/>
  <c r="DJ91" i="23"/>
  <c r="DK91" i="23"/>
  <c r="DL91" i="23"/>
  <c r="DM91" i="23"/>
  <c r="DN91" i="23"/>
  <c r="DO91" i="23"/>
  <c r="DP91" i="23"/>
  <c r="DQ91" i="23"/>
  <c r="DR91" i="23"/>
  <c r="DS91" i="23"/>
  <c r="DT91" i="23"/>
  <c r="DU91" i="23"/>
  <c r="DV91" i="23"/>
  <c r="DW91" i="23"/>
  <c r="DX91" i="23"/>
  <c r="DY91" i="23"/>
  <c r="DZ91" i="23"/>
  <c r="EA91" i="23"/>
  <c r="G92" i="23"/>
  <c r="H92" i="23"/>
  <c r="I92" i="23"/>
  <c r="J92" i="23"/>
  <c r="K92" i="23"/>
  <c r="L92" i="23"/>
  <c r="M92" i="23"/>
  <c r="N92" i="23"/>
  <c r="O92" i="23"/>
  <c r="P92" i="23"/>
  <c r="Q92" i="23"/>
  <c r="R92" i="23"/>
  <c r="S92" i="23"/>
  <c r="T92" i="23"/>
  <c r="U92" i="23"/>
  <c r="V92" i="23"/>
  <c r="W92" i="23"/>
  <c r="X92" i="23"/>
  <c r="Y92" i="23"/>
  <c r="Z92" i="23"/>
  <c r="AA92" i="23"/>
  <c r="AB92" i="23"/>
  <c r="AC92" i="23"/>
  <c r="AD92" i="23"/>
  <c r="AE92" i="23"/>
  <c r="AF92" i="23"/>
  <c r="AG92" i="23"/>
  <c r="AH92" i="23"/>
  <c r="AI92" i="23"/>
  <c r="AJ92" i="23"/>
  <c r="AK92" i="23"/>
  <c r="AL92" i="23"/>
  <c r="AM92" i="23"/>
  <c r="AN92" i="23"/>
  <c r="AO92" i="23"/>
  <c r="AP92" i="23"/>
  <c r="AQ92" i="23"/>
  <c r="AR92" i="23"/>
  <c r="AS92" i="23"/>
  <c r="AT92" i="23"/>
  <c r="AU92" i="23"/>
  <c r="AV92" i="23"/>
  <c r="AW92" i="23"/>
  <c r="AX92" i="23"/>
  <c r="AY92" i="23"/>
  <c r="AZ92" i="23"/>
  <c r="BA92" i="23"/>
  <c r="BB92" i="23"/>
  <c r="BC92" i="23"/>
  <c r="BD92" i="23"/>
  <c r="BE92" i="23"/>
  <c r="BF92" i="23"/>
  <c r="BG92" i="23"/>
  <c r="BH92" i="23"/>
  <c r="BI92" i="23"/>
  <c r="BJ92" i="23"/>
  <c r="BK92" i="23"/>
  <c r="BL92" i="23"/>
  <c r="BM92" i="23"/>
  <c r="BN92" i="23"/>
  <c r="BO92" i="23"/>
  <c r="BP92" i="23"/>
  <c r="BQ92" i="23"/>
  <c r="BR92" i="23"/>
  <c r="BS92" i="23"/>
  <c r="BT92" i="23"/>
  <c r="BU92" i="23"/>
  <c r="BV92" i="23"/>
  <c r="BW92" i="23"/>
  <c r="BX92" i="23"/>
  <c r="BY92" i="23"/>
  <c r="BZ92" i="23"/>
  <c r="CA92" i="23"/>
  <c r="CB92" i="23"/>
  <c r="CC92" i="23"/>
  <c r="CD92" i="23"/>
  <c r="CE92" i="23"/>
  <c r="CF92" i="23"/>
  <c r="CG92" i="23"/>
  <c r="CH92" i="23"/>
  <c r="CI92" i="23"/>
  <c r="CJ92" i="23"/>
  <c r="CK92" i="23"/>
  <c r="CL92" i="23"/>
  <c r="CM92" i="23"/>
  <c r="CN92" i="23"/>
  <c r="CO92" i="23"/>
  <c r="CP92" i="23"/>
  <c r="CQ92" i="23"/>
  <c r="CR92" i="23"/>
  <c r="CS92" i="23"/>
  <c r="CT92" i="23"/>
  <c r="CU92" i="23"/>
  <c r="CV92" i="23"/>
  <c r="CW92" i="23"/>
  <c r="CX92" i="23"/>
  <c r="CY92" i="23"/>
  <c r="CZ92" i="23"/>
  <c r="DA92" i="23"/>
  <c r="DB92" i="23"/>
  <c r="DC92" i="23"/>
  <c r="DD92" i="23"/>
  <c r="DE92" i="23"/>
  <c r="DF92" i="23"/>
  <c r="DG92" i="23"/>
  <c r="DH92" i="23"/>
  <c r="DI92" i="23"/>
  <c r="DJ92" i="23"/>
  <c r="DK92" i="23"/>
  <c r="DL92" i="23"/>
  <c r="DM92" i="23"/>
  <c r="DN92" i="23"/>
  <c r="DO92" i="23"/>
  <c r="DP92" i="23"/>
  <c r="DQ92" i="23"/>
  <c r="DR92" i="23"/>
  <c r="DS92" i="23"/>
  <c r="DT92" i="23"/>
  <c r="DU92" i="23"/>
  <c r="DV92" i="23"/>
  <c r="DW92" i="23"/>
  <c r="DX92" i="23"/>
  <c r="DY92" i="23"/>
  <c r="DZ92" i="23"/>
  <c r="EA92" i="23"/>
  <c r="G93" i="23"/>
  <c r="H93" i="23"/>
  <c r="I93" i="23"/>
  <c r="J93" i="23"/>
  <c r="K93" i="23"/>
  <c r="L93" i="23"/>
  <c r="M93" i="23"/>
  <c r="N93" i="23"/>
  <c r="O93" i="23"/>
  <c r="P93" i="23"/>
  <c r="Q93" i="23"/>
  <c r="R93" i="23"/>
  <c r="S93" i="23"/>
  <c r="T93" i="23"/>
  <c r="U93" i="23"/>
  <c r="V93" i="23"/>
  <c r="W93" i="23"/>
  <c r="X93" i="23"/>
  <c r="Y93" i="23"/>
  <c r="Z93" i="23"/>
  <c r="AA93" i="23"/>
  <c r="AB93" i="23"/>
  <c r="AC93" i="23"/>
  <c r="AD93" i="23"/>
  <c r="AE93" i="23"/>
  <c r="AF93" i="23"/>
  <c r="AG93" i="23"/>
  <c r="AH93" i="23"/>
  <c r="AI93" i="23"/>
  <c r="AJ93" i="23"/>
  <c r="AK93" i="23"/>
  <c r="AL93" i="23"/>
  <c r="AM93" i="23"/>
  <c r="AN93" i="23"/>
  <c r="AO93" i="23"/>
  <c r="AP93" i="23"/>
  <c r="AQ93" i="23"/>
  <c r="AR93" i="23"/>
  <c r="AS93" i="23"/>
  <c r="AT93" i="23"/>
  <c r="AU93" i="23"/>
  <c r="AV93" i="23"/>
  <c r="AW93" i="23"/>
  <c r="AX93" i="23"/>
  <c r="AY93" i="23"/>
  <c r="AZ93" i="23"/>
  <c r="BA93" i="23"/>
  <c r="BB93" i="23"/>
  <c r="BC93" i="23"/>
  <c r="BD93" i="23"/>
  <c r="BE93" i="23"/>
  <c r="BF93" i="23"/>
  <c r="BG93" i="23"/>
  <c r="BH93" i="23"/>
  <c r="BI93" i="23"/>
  <c r="BJ93" i="23"/>
  <c r="BK93" i="23"/>
  <c r="BL93" i="23"/>
  <c r="BM93" i="23"/>
  <c r="BN93" i="23"/>
  <c r="BO93" i="23"/>
  <c r="BP93" i="23"/>
  <c r="BQ93" i="23"/>
  <c r="BR93" i="23"/>
  <c r="BS93" i="23"/>
  <c r="BT93" i="23"/>
  <c r="BU93" i="23"/>
  <c r="BV93" i="23"/>
  <c r="BW93" i="23"/>
  <c r="BX93" i="23"/>
  <c r="BY93" i="23"/>
  <c r="BZ93" i="23"/>
  <c r="CA93" i="23"/>
  <c r="CB93" i="23"/>
  <c r="CC93" i="23"/>
  <c r="CD93" i="23"/>
  <c r="CE93" i="23"/>
  <c r="CF93" i="23"/>
  <c r="CG93" i="23"/>
  <c r="CH93" i="23"/>
  <c r="CI93" i="23"/>
  <c r="CJ93" i="23"/>
  <c r="CK93" i="23"/>
  <c r="CL93" i="23"/>
  <c r="CM93" i="23"/>
  <c r="CN93" i="23"/>
  <c r="CO93" i="23"/>
  <c r="CP93" i="23"/>
  <c r="CQ93" i="23"/>
  <c r="CR93" i="23"/>
  <c r="CS93" i="23"/>
  <c r="CT93" i="23"/>
  <c r="CU93" i="23"/>
  <c r="CV93" i="23"/>
  <c r="CW93" i="23"/>
  <c r="CX93" i="23"/>
  <c r="CY93" i="23"/>
  <c r="CZ93" i="23"/>
  <c r="DA93" i="23"/>
  <c r="DB93" i="23"/>
  <c r="DC93" i="23"/>
  <c r="DD93" i="23"/>
  <c r="DE93" i="23"/>
  <c r="DF93" i="23"/>
  <c r="DG93" i="23"/>
  <c r="DH93" i="23"/>
  <c r="DI93" i="23"/>
  <c r="DJ93" i="23"/>
  <c r="DK93" i="23"/>
  <c r="DL93" i="23"/>
  <c r="DM93" i="23"/>
  <c r="DN93" i="23"/>
  <c r="DO93" i="23"/>
  <c r="DP93" i="23"/>
  <c r="DQ93" i="23"/>
  <c r="DR93" i="23"/>
  <c r="DS93" i="23"/>
  <c r="DT93" i="23"/>
  <c r="DU93" i="23"/>
  <c r="DV93" i="23"/>
  <c r="DW93" i="23"/>
  <c r="DX93" i="23"/>
  <c r="DY93" i="23"/>
  <c r="DZ93" i="23"/>
  <c r="EA93" i="23"/>
  <c r="G94" i="23"/>
  <c r="H94" i="23"/>
  <c r="I94" i="23"/>
  <c r="J94" i="23"/>
  <c r="K94" i="23"/>
  <c r="L94" i="23"/>
  <c r="M94" i="23"/>
  <c r="N94" i="23"/>
  <c r="O94" i="23"/>
  <c r="P94" i="23"/>
  <c r="Q94" i="23"/>
  <c r="R94" i="23"/>
  <c r="S94" i="23"/>
  <c r="T94" i="23"/>
  <c r="U94" i="23"/>
  <c r="V94" i="23"/>
  <c r="W94" i="23"/>
  <c r="X94" i="23"/>
  <c r="Y94" i="23"/>
  <c r="Z94" i="23"/>
  <c r="AA94" i="23"/>
  <c r="AB94" i="23"/>
  <c r="AC94" i="23"/>
  <c r="AD94" i="23"/>
  <c r="AE94" i="23"/>
  <c r="AF94" i="23"/>
  <c r="AG94" i="23"/>
  <c r="AH94" i="23"/>
  <c r="AI94" i="23"/>
  <c r="AJ94" i="23"/>
  <c r="AK94" i="23"/>
  <c r="AL94" i="23"/>
  <c r="AM94" i="23"/>
  <c r="AN94" i="23"/>
  <c r="AO94" i="23"/>
  <c r="AP94" i="23"/>
  <c r="AQ94" i="23"/>
  <c r="AR94" i="23"/>
  <c r="AS94" i="23"/>
  <c r="AT94" i="23"/>
  <c r="AU94" i="23"/>
  <c r="AV94" i="23"/>
  <c r="AW94" i="23"/>
  <c r="AX94" i="23"/>
  <c r="AY94" i="23"/>
  <c r="AZ94" i="23"/>
  <c r="BA94" i="23"/>
  <c r="BB94" i="23"/>
  <c r="BC94" i="23"/>
  <c r="BD94" i="23"/>
  <c r="BE94" i="23"/>
  <c r="BF94" i="23"/>
  <c r="BG94" i="23"/>
  <c r="BH94" i="23"/>
  <c r="BI94" i="23"/>
  <c r="BJ94" i="23"/>
  <c r="BK94" i="23"/>
  <c r="BL94" i="23"/>
  <c r="BM94" i="23"/>
  <c r="BN94" i="23"/>
  <c r="BO94" i="23"/>
  <c r="BP94" i="23"/>
  <c r="BQ94" i="23"/>
  <c r="BR94" i="23"/>
  <c r="BS94" i="23"/>
  <c r="BT94" i="23"/>
  <c r="BU94" i="23"/>
  <c r="BV94" i="23"/>
  <c r="BW94" i="23"/>
  <c r="BX94" i="23"/>
  <c r="BY94" i="23"/>
  <c r="BZ94" i="23"/>
  <c r="CA94" i="23"/>
  <c r="CB94" i="23"/>
  <c r="CC94" i="23"/>
  <c r="CD94" i="23"/>
  <c r="CE94" i="23"/>
  <c r="CF94" i="23"/>
  <c r="CG94" i="23"/>
  <c r="CH94" i="23"/>
  <c r="CI94" i="23"/>
  <c r="CJ94" i="23"/>
  <c r="CK94" i="23"/>
  <c r="CL94" i="23"/>
  <c r="CM94" i="23"/>
  <c r="CN94" i="23"/>
  <c r="CO94" i="23"/>
  <c r="CP94" i="23"/>
  <c r="CQ94" i="23"/>
  <c r="CR94" i="23"/>
  <c r="CS94" i="23"/>
  <c r="CT94" i="23"/>
  <c r="CU94" i="23"/>
  <c r="CV94" i="23"/>
  <c r="CW94" i="23"/>
  <c r="CX94" i="23"/>
  <c r="CY94" i="23"/>
  <c r="CZ94" i="23"/>
  <c r="DA94" i="23"/>
  <c r="DB94" i="23"/>
  <c r="DC94" i="23"/>
  <c r="DD94" i="23"/>
  <c r="DE94" i="23"/>
  <c r="DF94" i="23"/>
  <c r="DG94" i="23"/>
  <c r="DH94" i="23"/>
  <c r="DI94" i="23"/>
  <c r="DJ94" i="23"/>
  <c r="DK94" i="23"/>
  <c r="DL94" i="23"/>
  <c r="DM94" i="23"/>
  <c r="DN94" i="23"/>
  <c r="DO94" i="23"/>
  <c r="DP94" i="23"/>
  <c r="DQ94" i="23"/>
  <c r="DR94" i="23"/>
  <c r="DS94" i="23"/>
  <c r="DT94" i="23"/>
  <c r="DU94" i="23"/>
  <c r="DV94" i="23"/>
  <c r="DW94" i="23"/>
  <c r="DX94" i="23"/>
  <c r="DY94" i="23"/>
  <c r="DZ94" i="23"/>
  <c r="EA94" i="23"/>
  <c r="G95" i="23"/>
  <c r="H95" i="23"/>
  <c r="I95" i="23"/>
  <c r="J95" i="23"/>
  <c r="K95" i="23"/>
  <c r="L95" i="23"/>
  <c r="M95" i="23"/>
  <c r="N95" i="23"/>
  <c r="O95" i="23"/>
  <c r="P95" i="23"/>
  <c r="Q95" i="23"/>
  <c r="R95" i="23"/>
  <c r="S95" i="23"/>
  <c r="T95" i="23"/>
  <c r="U95" i="23"/>
  <c r="V95" i="23"/>
  <c r="W95" i="23"/>
  <c r="X95" i="23"/>
  <c r="Y95" i="23"/>
  <c r="Z95" i="23"/>
  <c r="AA95" i="23"/>
  <c r="AB95" i="23"/>
  <c r="AC95" i="23"/>
  <c r="AD95" i="23"/>
  <c r="AE95" i="23"/>
  <c r="AF95" i="23"/>
  <c r="AG95" i="23"/>
  <c r="AH95" i="23"/>
  <c r="AI95" i="23"/>
  <c r="AJ95" i="23"/>
  <c r="AK95" i="23"/>
  <c r="AL95" i="23"/>
  <c r="AM95" i="23"/>
  <c r="AN95" i="23"/>
  <c r="AO95" i="23"/>
  <c r="AP95" i="23"/>
  <c r="AQ95" i="23"/>
  <c r="AR95" i="23"/>
  <c r="AS95" i="23"/>
  <c r="AT95" i="23"/>
  <c r="AU95" i="23"/>
  <c r="AV95" i="23"/>
  <c r="AW95" i="23"/>
  <c r="AX95" i="23"/>
  <c r="AY95" i="23"/>
  <c r="AZ95" i="23"/>
  <c r="BA95" i="23"/>
  <c r="BB95" i="23"/>
  <c r="BC95" i="23"/>
  <c r="BD95" i="23"/>
  <c r="BE95" i="23"/>
  <c r="BF95" i="23"/>
  <c r="BG95" i="23"/>
  <c r="BH95" i="23"/>
  <c r="BI95" i="23"/>
  <c r="BJ95" i="23"/>
  <c r="BK95" i="23"/>
  <c r="BL95" i="23"/>
  <c r="BM95" i="23"/>
  <c r="BN95" i="23"/>
  <c r="BO95" i="23"/>
  <c r="BP95" i="23"/>
  <c r="BQ95" i="23"/>
  <c r="BR95" i="23"/>
  <c r="BS95" i="23"/>
  <c r="BT95" i="23"/>
  <c r="BU95" i="23"/>
  <c r="BV95" i="23"/>
  <c r="BW95" i="23"/>
  <c r="BX95" i="23"/>
  <c r="BY95" i="23"/>
  <c r="BZ95" i="23"/>
  <c r="CA95" i="23"/>
  <c r="CB95" i="23"/>
  <c r="CC95" i="23"/>
  <c r="CD95" i="23"/>
  <c r="CE95" i="23"/>
  <c r="CF95" i="23"/>
  <c r="CG95" i="23"/>
  <c r="CH95" i="23"/>
  <c r="CI95" i="23"/>
  <c r="CJ95" i="23"/>
  <c r="CK95" i="23"/>
  <c r="CL95" i="23"/>
  <c r="CM95" i="23"/>
  <c r="CN95" i="23"/>
  <c r="CO95" i="23"/>
  <c r="CP95" i="23"/>
  <c r="CQ95" i="23"/>
  <c r="CR95" i="23"/>
  <c r="CS95" i="23"/>
  <c r="CT95" i="23"/>
  <c r="CU95" i="23"/>
  <c r="CV95" i="23"/>
  <c r="CW95" i="23"/>
  <c r="CX95" i="23"/>
  <c r="CY95" i="23"/>
  <c r="CZ95" i="23"/>
  <c r="DA95" i="23"/>
  <c r="DB95" i="23"/>
  <c r="DC95" i="23"/>
  <c r="DD95" i="23"/>
  <c r="DE95" i="23"/>
  <c r="DF95" i="23"/>
  <c r="DG95" i="23"/>
  <c r="DH95" i="23"/>
  <c r="DI95" i="23"/>
  <c r="DJ95" i="23"/>
  <c r="DK95" i="23"/>
  <c r="DL95" i="23"/>
  <c r="DM95" i="23"/>
  <c r="DN95" i="23"/>
  <c r="DO95" i="23"/>
  <c r="DP95" i="23"/>
  <c r="DQ95" i="23"/>
  <c r="DR95" i="23"/>
  <c r="DS95" i="23"/>
  <c r="DT95" i="23"/>
  <c r="DU95" i="23"/>
  <c r="DV95" i="23"/>
  <c r="DW95" i="23"/>
  <c r="DX95" i="23"/>
  <c r="DY95" i="23"/>
  <c r="DZ95" i="23"/>
  <c r="EA95" i="23"/>
  <c r="G96" i="23"/>
  <c r="H96" i="23"/>
  <c r="I96" i="23"/>
  <c r="J96" i="23"/>
  <c r="K96" i="23"/>
  <c r="L96" i="23"/>
  <c r="M96" i="23"/>
  <c r="N96" i="23"/>
  <c r="O96" i="23"/>
  <c r="P96" i="23"/>
  <c r="Q96" i="23"/>
  <c r="R96" i="23"/>
  <c r="S96" i="23"/>
  <c r="T96" i="23"/>
  <c r="U96" i="23"/>
  <c r="V96" i="23"/>
  <c r="W96" i="23"/>
  <c r="X96" i="23"/>
  <c r="Y96" i="23"/>
  <c r="Z96" i="23"/>
  <c r="AA96" i="23"/>
  <c r="AB96" i="23"/>
  <c r="AC96" i="23"/>
  <c r="AD96" i="23"/>
  <c r="AE96" i="23"/>
  <c r="AF96" i="23"/>
  <c r="AG96" i="23"/>
  <c r="AH96" i="23"/>
  <c r="AI96" i="23"/>
  <c r="AJ96" i="23"/>
  <c r="AK96" i="23"/>
  <c r="AL96" i="23"/>
  <c r="AM96" i="23"/>
  <c r="AN96" i="23"/>
  <c r="AO96" i="23"/>
  <c r="AP96" i="23"/>
  <c r="AQ96" i="23"/>
  <c r="AR96" i="23"/>
  <c r="AS96" i="23"/>
  <c r="AT96" i="23"/>
  <c r="AU96" i="23"/>
  <c r="AV96" i="23"/>
  <c r="AW96" i="23"/>
  <c r="AX96" i="23"/>
  <c r="AY96" i="23"/>
  <c r="AZ96" i="23"/>
  <c r="BA96" i="23"/>
  <c r="BB96" i="23"/>
  <c r="BC96" i="23"/>
  <c r="BD96" i="23"/>
  <c r="BE96" i="23"/>
  <c r="BF96" i="23"/>
  <c r="BG96" i="23"/>
  <c r="BH96" i="23"/>
  <c r="BI96" i="23"/>
  <c r="BJ96" i="23"/>
  <c r="BK96" i="23"/>
  <c r="BL96" i="23"/>
  <c r="BM96" i="23"/>
  <c r="BN96" i="23"/>
  <c r="BO96" i="23"/>
  <c r="BP96" i="23"/>
  <c r="BQ96" i="23"/>
  <c r="BR96" i="23"/>
  <c r="BS96" i="23"/>
  <c r="BT96" i="23"/>
  <c r="BU96" i="23"/>
  <c r="BV96" i="23"/>
  <c r="BW96" i="23"/>
  <c r="BX96" i="23"/>
  <c r="BY96" i="23"/>
  <c r="BZ96" i="23"/>
  <c r="CA96" i="23"/>
  <c r="CB96" i="23"/>
  <c r="CC96" i="23"/>
  <c r="CD96" i="23"/>
  <c r="CE96" i="23"/>
  <c r="CF96" i="23"/>
  <c r="CG96" i="23"/>
  <c r="CH96" i="23"/>
  <c r="CI96" i="23"/>
  <c r="CJ96" i="23"/>
  <c r="CK96" i="23"/>
  <c r="CL96" i="23"/>
  <c r="CM96" i="23"/>
  <c r="CN96" i="23"/>
  <c r="CO96" i="23"/>
  <c r="CP96" i="23"/>
  <c r="CQ96" i="23"/>
  <c r="CR96" i="23"/>
  <c r="CS96" i="23"/>
  <c r="CT96" i="23"/>
  <c r="CU96" i="23"/>
  <c r="CV96" i="23"/>
  <c r="CW96" i="23"/>
  <c r="CX96" i="23"/>
  <c r="CY96" i="23"/>
  <c r="CZ96" i="23"/>
  <c r="DA96" i="23"/>
  <c r="DB96" i="23"/>
  <c r="DC96" i="23"/>
  <c r="DD96" i="23"/>
  <c r="DE96" i="23"/>
  <c r="DF96" i="23"/>
  <c r="DG96" i="23"/>
  <c r="DH96" i="23"/>
  <c r="DI96" i="23"/>
  <c r="DJ96" i="23"/>
  <c r="DK96" i="23"/>
  <c r="DL96" i="23"/>
  <c r="DM96" i="23"/>
  <c r="DN96" i="23"/>
  <c r="DO96" i="23"/>
  <c r="DP96" i="23"/>
  <c r="DQ96" i="23"/>
  <c r="DR96" i="23"/>
  <c r="DS96" i="23"/>
  <c r="DT96" i="23"/>
  <c r="DU96" i="23"/>
  <c r="DV96" i="23"/>
  <c r="DW96" i="23"/>
  <c r="DX96" i="23"/>
  <c r="DY96" i="23"/>
  <c r="DZ96" i="23"/>
  <c r="EA96" i="23"/>
  <c r="G97" i="23"/>
  <c r="H97" i="23"/>
  <c r="I97" i="23"/>
  <c r="J97" i="23"/>
  <c r="K97" i="23"/>
  <c r="L97" i="23"/>
  <c r="M97" i="23"/>
  <c r="N97" i="23"/>
  <c r="O97" i="23"/>
  <c r="P97" i="23"/>
  <c r="Q97" i="23"/>
  <c r="R97" i="23"/>
  <c r="S97" i="23"/>
  <c r="T97" i="23"/>
  <c r="U97" i="23"/>
  <c r="V97" i="23"/>
  <c r="W97" i="23"/>
  <c r="X97" i="23"/>
  <c r="Y97" i="23"/>
  <c r="Z97" i="23"/>
  <c r="AA97" i="23"/>
  <c r="AB97" i="23"/>
  <c r="AC97" i="23"/>
  <c r="AD97" i="23"/>
  <c r="AE97" i="23"/>
  <c r="AF97" i="23"/>
  <c r="AG97" i="23"/>
  <c r="AH97" i="23"/>
  <c r="AI97" i="23"/>
  <c r="AJ97" i="23"/>
  <c r="AK97" i="23"/>
  <c r="AL97" i="23"/>
  <c r="AM97" i="23"/>
  <c r="AN97" i="23"/>
  <c r="AO97" i="23"/>
  <c r="AP97" i="23"/>
  <c r="AQ97" i="23"/>
  <c r="AR97" i="23"/>
  <c r="AS97" i="23"/>
  <c r="AT97" i="23"/>
  <c r="AU97" i="23"/>
  <c r="AV97" i="23"/>
  <c r="AW97" i="23"/>
  <c r="AX97" i="23"/>
  <c r="AY97" i="23"/>
  <c r="AZ97" i="23"/>
  <c r="BA97" i="23"/>
  <c r="BB97" i="23"/>
  <c r="BC97" i="23"/>
  <c r="BD97" i="23"/>
  <c r="BE97" i="23"/>
  <c r="BF97" i="23"/>
  <c r="BG97" i="23"/>
  <c r="BH97" i="23"/>
  <c r="BI97" i="23"/>
  <c r="BJ97" i="23"/>
  <c r="BK97" i="23"/>
  <c r="BL97" i="23"/>
  <c r="BM97" i="23"/>
  <c r="BN97" i="23"/>
  <c r="BO97" i="23"/>
  <c r="BP97" i="23"/>
  <c r="BQ97" i="23"/>
  <c r="BR97" i="23"/>
  <c r="BS97" i="23"/>
  <c r="BT97" i="23"/>
  <c r="BU97" i="23"/>
  <c r="BV97" i="23"/>
  <c r="BW97" i="23"/>
  <c r="BX97" i="23"/>
  <c r="BY97" i="23"/>
  <c r="BZ97" i="23"/>
  <c r="CA97" i="23"/>
  <c r="CB97" i="23"/>
  <c r="CC97" i="23"/>
  <c r="CD97" i="23"/>
  <c r="CE97" i="23"/>
  <c r="CF97" i="23"/>
  <c r="CG97" i="23"/>
  <c r="CH97" i="23"/>
  <c r="CI97" i="23"/>
  <c r="CJ97" i="23"/>
  <c r="CK97" i="23"/>
  <c r="CL97" i="23"/>
  <c r="CM97" i="23"/>
  <c r="CN97" i="23"/>
  <c r="CO97" i="23"/>
  <c r="CP97" i="23"/>
  <c r="CQ97" i="23"/>
  <c r="CR97" i="23"/>
  <c r="CS97" i="23"/>
  <c r="CT97" i="23"/>
  <c r="CU97" i="23"/>
  <c r="CV97" i="23"/>
  <c r="CW97" i="23"/>
  <c r="CX97" i="23"/>
  <c r="CY97" i="23"/>
  <c r="CZ97" i="23"/>
  <c r="DA97" i="23"/>
  <c r="DB97" i="23"/>
  <c r="DC97" i="23"/>
  <c r="DD97" i="23"/>
  <c r="DE97" i="23"/>
  <c r="DF97" i="23"/>
  <c r="DG97" i="23"/>
  <c r="DH97" i="23"/>
  <c r="DI97" i="23"/>
  <c r="DJ97" i="23"/>
  <c r="DK97" i="23"/>
  <c r="DL97" i="23"/>
  <c r="DM97" i="23"/>
  <c r="DN97" i="23"/>
  <c r="DO97" i="23"/>
  <c r="DP97" i="23"/>
  <c r="DQ97" i="23"/>
  <c r="DR97" i="23"/>
  <c r="DS97" i="23"/>
  <c r="DT97" i="23"/>
  <c r="DU97" i="23"/>
  <c r="DV97" i="23"/>
  <c r="DW97" i="23"/>
  <c r="DX97" i="23"/>
  <c r="DY97" i="23"/>
  <c r="DZ97" i="23"/>
  <c r="EA97" i="23"/>
  <c r="EA86" i="23"/>
  <c r="DZ86" i="23"/>
  <c r="DY86" i="23"/>
  <c r="DX86" i="23"/>
  <c r="DW86" i="23"/>
  <c r="DV86" i="23"/>
  <c r="DU86" i="23"/>
  <c r="DT86" i="23"/>
  <c r="DS86" i="23"/>
  <c r="DR86" i="23"/>
  <c r="DQ86" i="23"/>
  <c r="DP86" i="23"/>
  <c r="DO86" i="23"/>
  <c r="DN86" i="23"/>
  <c r="DM86" i="23"/>
  <c r="DL86" i="23"/>
  <c r="DK86" i="23"/>
  <c r="DJ86" i="23"/>
  <c r="DI86" i="23"/>
  <c r="DH86" i="23"/>
  <c r="DG86" i="23"/>
  <c r="DF86" i="23"/>
  <c r="DE86" i="23"/>
  <c r="DD86" i="23"/>
  <c r="DC86" i="23"/>
  <c r="DB86" i="23"/>
  <c r="DA86" i="23"/>
  <c r="CZ86" i="23"/>
  <c r="CY86" i="23"/>
  <c r="CX86" i="23"/>
  <c r="CW86" i="23"/>
  <c r="CV86" i="23"/>
  <c r="CU86" i="23"/>
  <c r="CT86" i="23"/>
  <c r="CS86" i="23"/>
  <c r="CR86" i="23"/>
  <c r="CQ86" i="23"/>
  <c r="CP86" i="23"/>
  <c r="CO86" i="23"/>
  <c r="CN86" i="23"/>
  <c r="CM86" i="23"/>
  <c r="CL86" i="23"/>
  <c r="CK86" i="23"/>
  <c r="CJ86" i="23"/>
  <c r="CI86" i="23"/>
  <c r="CH86" i="23"/>
  <c r="CG86" i="23"/>
  <c r="CF86" i="23"/>
  <c r="CE86" i="23"/>
  <c r="CD86" i="23"/>
  <c r="CC86" i="23"/>
  <c r="CB86" i="23"/>
  <c r="CA86" i="23"/>
  <c r="BZ86" i="23"/>
  <c r="BY86" i="23"/>
  <c r="BX86" i="23"/>
  <c r="BW86" i="23"/>
  <c r="BV86" i="23"/>
  <c r="BU86" i="23"/>
  <c r="BT86" i="23"/>
  <c r="BS86" i="23"/>
  <c r="BR86" i="23"/>
  <c r="BQ86" i="23"/>
  <c r="BP86" i="23"/>
  <c r="BO86" i="23"/>
  <c r="BN86" i="23"/>
  <c r="BM86" i="23"/>
  <c r="BL86" i="23"/>
  <c r="BK86" i="23"/>
  <c r="BJ86" i="23"/>
  <c r="BI86" i="23"/>
  <c r="BH86" i="23"/>
  <c r="BG86" i="23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D51" i="23"/>
  <c r="G51" i="23"/>
  <c r="H51" i="23"/>
  <c r="I51" i="23"/>
  <c r="J51" i="23"/>
  <c r="K51" i="23"/>
  <c r="L51" i="23"/>
  <c r="M51" i="23"/>
  <c r="N51" i="23"/>
  <c r="O51" i="23"/>
  <c r="P51" i="23"/>
  <c r="Q51" i="23"/>
  <c r="R51" i="23"/>
  <c r="S51" i="23"/>
  <c r="T51" i="23"/>
  <c r="U51" i="23"/>
  <c r="V51" i="23"/>
  <c r="W51" i="23"/>
  <c r="X51" i="23"/>
  <c r="Y51" i="23"/>
  <c r="Z51" i="23"/>
  <c r="AA51" i="23"/>
  <c r="AB51" i="23"/>
  <c r="AC51" i="23"/>
  <c r="AD51" i="23"/>
  <c r="AE51" i="23"/>
  <c r="AF51" i="23"/>
  <c r="AG51" i="23"/>
  <c r="AH51" i="23"/>
  <c r="AI51" i="23"/>
  <c r="AJ51" i="23"/>
  <c r="AK51" i="23"/>
  <c r="AL51" i="23"/>
  <c r="AM51" i="23"/>
  <c r="AN51" i="23"/>
  <c r="AO51" i="23"/>
  <c r="AP51" i="23"/>
  <c r="AQ51" i="23"/>
  <c r="AR51" i="23"/>
  <c r="AS51" i="23"/>
  <c r="AT51" i="23"/>
  <c r="AU51" i="23"/>
  <c r="AV51" i="23"/>
  <c r="AW51" i="23"/>
  <c r="AX51" i="23"/>
  <c r="AY51" i="23"/>
  <c r="AZ51" i="23"/>
  <c r="BA51" i="23"/>
  <c r="BB51" i="23"/>
  <c r="BC51" i="23"/>
  <c r="BD51" i="23"/>
  <c r="BE51" i="23"/>
  <c r="BF51" i="23"/>
  <c r="BG51" i="23"/>
  <c r="BH51" i="23"/>
  <c r="BI51" i="23"/>
  <c r="BJ51" i="23"/>
  <c r="BK51" i="23"/>
  <c r="BL51" i="23"/>
  <c r="BM51" i="23"/>
  <c r="BN51" i="23"/>
  <c r="BO51" i="23"/>
  <c r="BP51" i="23"/>
  <c r="BQ51" i="23"/>
  <c r="BR51" i="23"/>
  <c r="BS51" i="23"/>
  <c r="BT51" i="23"/>
  <c r="BU51" i="23"/>
  <c r="BV51" i="23"/>
  <c r="BW51" i="23"/>
  <c r="BX51" i="23"/>
  <c r="BY51" i="23"/>
  <c r="BZ51" i="23"/>
  <c r="CA51" i="23"/>
  <c r="CB51" i="23"/>
  <c r="CC51" i="23"/>
  <c r="CD51" i="23"/>
  <c r="CE51" i="23"/>
  <c r="CF51" i="23"/>
  <c r="CG51" i="23"/>
  <c r="CH51" i="23"/>
  <c r="CI51" i="23"/>
  <c r="CJ51" i="23"/>
  <c r="CK51" i="23"/>
  <c r="CL51" i="23"/>
  <c r="CM51" i="23"/>
  <c r="CN51" i="23"/>
  <c r="CO51" i="23"/>
  <c r="CP51" i="23"/>
  <c r="CQ51" i="23"/>
  <c r="CR51" i="23"/>
  <c r="CS51" i="23"/>
  <c r="CT51" i="23"/>
  <c r="CU51" i="23"/>
  <c r="CV51" i="23"/>
  <c r="CW51" i="23"/>
  <c r="CX51" i="23"/>
  <c r="CY51" i="23"/>
  <c r="CZ51" i="23"/>
  <c r="DA51" i="23"/>
  <c r="DB51" i="23"/>
  <c r="DC51" i="23"/>
  <c r="DD51" i="23"/>
  <c r="DE51" i="23"/>
  <c r="DF51" i="23"/>
  <c r="DG51" i="23"/>
  <c r="DH51" i="23"/>
  <c r="DI51" i="23"/>
  <c r="DJ51" i="23"/>
  <c r="DK51" i="23"/>
  <c r="DL51" i="23"/>
  <c r="DM51" i="23"/>
  <c r="DN51" i="23"/>
  <c r="DO51" i="23"/>
  <c r="DP51" i="23"/>
  <c r="DQ51" i="23"/>
  <c r="DR51" i="23"/>
  <c r="DS51" i="23"/>
  <c r="DT51" i="23"/>
  <c r="DU51" i="23"/>
  <c r="DV51" i="23"/>
  <c r="DW51" i="23"/>
  <c r="DX51" i="23"/>
  <c r="DY51" i="23"/>
  <c r="DZ51" i="23"/>
  <c r="EA51" i="23"/>
  <c r="D52" i="23"/>
  <c r="G52" i="23"/>
  <c r="H52" i="23"/>
  <c r="I52" i="23"/>
  <c r="J52" i="23"/>
  <c r="K52" i="23"/>
  <c r="L52" i="23"/>
  <c r="M52" i="23"/>
  <c r="N52" i="23"/>
  <c r="O52" i="23"/>
  <c r="P52" i="23"/>
  <c r="Q52" i="23"/>
  <c r="R52" i="23"/>
  <c r="S52" i="23"/>
  <c r="T52" i="23"/>
  <c r="U52" i="23"/>
  <c r="V52" i="23"/>
  <c r="W52" i="23"/>
  <c r="X52" i="23"/>
  <c r="Y52" i="23"/>
  <c r="Z52" i="23"/>
  <c r="AA52" i="23"/>
  <c r="AB52" i="23"/>
  <c r="AC52" i="23"/>
  <c r="AD52" i="23"/>
  <c r="AE52" i="23"/>
  <c r="AF52" i="23"/>
  <c r="AG52" i="23"/>
  <c r="AH52" i="23"/>
  <c r="AI52" i="23"/>
  <c r="AJ52" i="23"/>
  <c r="AK52" i="23"/>
  <c r="AL52" i="23"/>
  <c r="AM52" i="23"/>
  <c r="AN52" i="23"/>
  <c r="AO52" i="23"/>
  <c r="AP52" i="23"/>
  <c r="AQ52" i="23"/>
  <c r="AR52" i="23"/>
  <c r="AS52" i="23"/>
  <c r="AT52" i="23"/>
  <c r="AU52" i="23"/>
  <c r="AV52" i="23"/>
  <c r="AW52" i="23"/>
  <c r="AX52" i="23"/>
  <c r="AY52" i="23"/>
  <c r="AZ52" i="23"/>
  <c r="BA52" i="23"/>
  <c r="BB52" i="23"/>
  <c r="BC52" i="23"/>
  <c r="BD52" i="23"/>
  <c r="BE52" i="23"/>
  <c r="BF52" i="23"/>
  <c r="BG52" i="23"/>
  <c r="BH52" i="23"/>
  <c r="BI52" i="23"/>
  <c r="BJ52" i="23"/>
  <c r="BK52" i="23"/>
  <c r="BL52" i="23"/>
  <c r="BM52" i="23"/>
  <c r="BN52" i="23"/>
  <c r="BO52" i="23"/>
  <c r="BP52" i="23"/>
  <c r="BQ52" i="23"/>
  <c r="BR52" i="23"/>
  <c r="BS52" i="23"/>
  <c r="BT52" i="23"/>
  <c r="BU52" i="23"/>
  <c r="BV52" i="23"/>
  <c r="BW52" i="23"/>
  <c r="BX52" i="23"/>
  <c r="BY52" i="23"/>
  <c r="BZ52" i="23"/>
  <c r="CA52" i="23"/>
  <c r="CB52" i="23"/>
  <c r="CC52" i="23"/>
  <c r="CD52" i="23"/>
  <c r="CE52" i="23"/>
  <c r="CF52" i="23"/>
  <c r="CG52" i="23"/>
  <c r="CH52" i="23"/>
  <c r="CI52" i="23"/>
  <c r="CJ52" i="23"/>
  <c r="CK52" i="23"/>
  <c r="CL52" i="23"/>
  <c r="CM52" i="23"/>
  <c r="CN52" i="23"/>
  <c r="CO52" i="23"/>
  <c r="CP52" i="23"/>
  <c r="CQ52" i="23"/>
  <c r="CR52" i="23"/>
  <c r="CS52" i="23"/>
  <c r="CT52" i="23"/>
  <c r="CU52" i="23"/>
  <c r="CV52" i="23"/>
  <c r="CW52" i="23"/>
  <c r="CX52" i="23"/>
  <c r="CY52" i="23"/>
  <c r="CZ52" i="23"/>
  <c r="DA52" i="23"/>
  <c r="DB52" i="23"/>
  <c r="DC52" i="23"/>
  <c r="DD52" i="23"/>
  <c r="DE52" i="23"/>
  <c r="DF52" i="23"/>
  <c r="DG52" i="23"/>
  <c r="DH52" i="23"/>
  <c r="DI52" i="23"/>
  <c r="DJ52" i="23"/>
  <c r="DK52" i="23"/>
  <c r="DL52" i="23"/>
  <c r="DM52" i="23"/>
  <c r="DN52" i="23"/>
  <c r="DO52" i="23"/>
  <c r="DP52" i="23"/>
  <c r="DQ52" i="23"/>
  <c r="DR52" i="23"/>
  <c r="DS52" i="23"/>
  <c r="DT52" i="23"/>
  <c r="DU52" i="23"/>
  <c r="DV52" i="23"/>
  <c r="DW52" i="23"/>
  <c r="DX52" i="23"/>
  <c r="DY52" i="23"/>
  <c r="DZ52" i="23"/>
  <c r="EA52" i="23"/>
  <c r="D53" i="23"/>
  <c r="G53" i="23"/>
  <c r="H53" i="23"/>
  <c r="I53" i="23"/>
  <c r="J53" i="23"/>
  <c r="K53" i="23"/>
  <c r="L53" i="23"/>
  <c r="M53" i="23"/>
  <c r="N53" i="23"/>
  <c r="O53" i="23"/>
  <c r="P53" i="23"/>
  <c r="Q53" i="23"/>
  <c r="R53" i="23"/>
  <c r="S53" i="23"/>
  <c r="T53" i="23"/>
  <c r="U53" i="23"/>
  <c r="V53" i="23"/>
  <c r="W53" i="23"/>
  <c r="X53" i="23"/>
  <c r="Y53" i="23"/>
  <c r="Z53" i="23"/>
  <c r="AA53" i="23"/>
  <c r="AB53" i="23"/>
  <c r="AC53" i="23"/>
  <c r="AD53" i="23"/>
  <c r="AE53" i="23"/>
  <c r="AF53" i="23"/>
  <c r="AG53" i="23"/>
  <c r="AH53" i="23"/>
  <c r="AI53" i="23"/>
  <c r="AJ53" i="23"/>
  <c r="AK53" i="23"/>
  <c r="AL53" i="23"/>
  <c r="AM53" i="23"/>
  <c r="AN53" i="23"/>
  <c r="AO53" i="23"/>
  <c r="AP53" i="23"/>
  <c r="AQ53" i="23"/>
  <c r="AR53" i="23"/>
  <c r="AS53" i="23"/>
  <c r="AT53" i="23"/>
  <c r="AU53" i="23"/>
  <c r="AV53" i="23"/>
  <c r="AW53" i="23"/>
  <c r="AX53" i="23"/>
  <c r="AY53" i="23"/>
  <c r="AZ53" i="23"/>
  <c r="BA53" i="23"/>
  <c r="BB53" i="23"/>
  <c r="BC53" i="23"/>
  <c r="BD53" i="23"/>
  <c r="BE53" i="23"/>
  <c r="BF53" i="23"/>
  <c r="BG53" i="23"/>
  <c r="BH53" i="23"/>
  <c r="BI53" i="23"/>
  <c r="BJ53" i="23"/>
  <c r="BK53" i="23"/>
  <c r="BL53" i="23"/>
  <c r="BM53" i="23"/>
  <c r="BN53" i="23"/>
  <c r="BO53" i="23"/>
  <c r="BP53" i="23"/>
  <c r="BQ53" i="23"/>
  <c r="BR53" i="23"/>
  <c r="BS53" i="23"/>
  <c r="BT53" i="23"/>
  <c r="BU53" i="23"/>
  <c r="BV53" i="23"/>
  <c r="BW53" i="23"/>
  <c r="BX53" i="23"/>
  <c r="BY53" i="23"/>
  <c r="BZ53" i="23"/>
  <c r="CA53" i="23"/>
  <c r="CB53" i="23"/>
  <c r="CC53" i="23"/>
  <c r="CD53" i="23"/>
  <c r="CE53" i="23"/>
  <c r="CF53" i="23"/>
  <c r="CG53" i="23"/>
  <c r="CH53" i="23"/>
  <c r="CI53" i="23"/>
  <c r="CJ53" i="23"/>
  <c r="CK53" i="23"/>
  <c r="CL53" i="23"/>
  <c r="CM53" i="23"/>
  <c r="CN53" i="23"/>
  <c r="CO53" i="23"/>
  <c r="CP53" i="23"/>
  <c r="CQ53" i="23"/>
  <c r="CR53" i="23"/>
  <c r="CS53" i="23"/>
  <c r="CT53" i="23"/>
  <c r="CU53" i="23"/>
  <c r="CV53" i="23"/>
  <c r="CW53" i="23"/>
  <c r="CX53" i="23"/>
  <c r="CY53" i="23"/>
  <c r="CZ53" i="23"/>
  <c r="DA53" i="23"/>
  <c r="DB53" i="23"/>
  <c r="DC53" i="23"/>
  <c r="DD53" i="23"/>
  <c r="DE53" i="23"/>
  <c r="DF53" i="23"/>
  <c r="DG53" i="23"/>
  <c r="DH53" i="23"/>
  <c r="DI53" i="23"/>
  <c r="DJ53" i="23"/>
  <c r="DK53" i="23"/>
  <c r="DL53" i="23"/>
  <c r="DM53" i="23"/>
  <c r="DN53" i="23"/>
  <c r="DO53" i="23"/>
  <c r="DP53" i="23"/>
  <c r="DQ53" i="23"/>
  <c r="DR53" i="23"/>
  <c r="DS53" i="23"/>
  <c r="DT53" i="23"/>
  <c r="DU53" i="23"/>
  <c r="DV53" i="23"/>
  <c r="DW53" i="23"/>
  <c r="DX53" i="23"/>
  <c r="DY53" i="23"/>
  <c r="DZ53" i="23"/>
  <c r="EA53" i="23"/>
  <c r="D54" i="23"/>
  <c r="G54" i="23"/>
  <c r="H54" i="23"/>
  <c r="I54" i="23"/>
  <c r="J54" i="23"/>
  <c r="K54" i="23"/>
  <c r="L54" i="23"/>
  <c r="M54" i="23"/>
  <c r="N54" i="23"/>
  <c r="O54" i="23"/>
  <c r="P54" i="23"/>
  <c r="Q54" i="23"/>
  <c r="R54" i="23"/>
  <c r="S54" i="23"/>
  <c r="T54" i="23"/>
  <c r="U54" i="23"/>
  <c r="V54" i="23"/>
  <c r="W54" i="23"/>
  <c r="X54" i="23"/>
  <c r="Y54" i="23"/>
  <c r="Z54" i="23"/>
  <c r="AA54" i="23"/>
  <c r="AB54" i="23"/>
  <c r="AC54" i="23"/>
  <c r="AD54" i="23"/>
  <c r="AE54" i="23"/>
  <c r="AF54" i="23"/>
  <c r="AG54" i="23"/>
  <c r="AH54" i="23"/>
  <c r="AI54" i="23"/>
  <c r="AJ54" i="23"/>
  <c r="AK54" i="23"/>
  <c r="AL54" i="23"/>
  <c r="AM54" i="23"/>
  <c r="AN54" i="23"/>
  <c r="AO54" i="23"/>
  <c r="AP54" i="23"/>
  <c r="AQ54" i="23"/>
  <c r="AR54" i="23"/>
  <c r="AS54" i="23"/>
  <c r="AT54" i="23"/>
  <c r="AU54" i="23"/>
  <c r="AV54" i="23"/>
  <c r="AW54" i="23"/>
  <c r="AX54" i="23"/>
  <c r="AY54" i="23"/>
  <c r="AZ54" i="23"/>
  <c r="BA54" i="23"/>
  <c r="BB54" i="23"/>
  <c r="BC54" i="23"/>
  <c r="BD54" i="23"/>
  <c r="BE54" i="23"/>
  <c r="BF54" i="23"/>
  <c r="BG54" i="23"/>
  <c r="BH54" i="23"/>
  <c r="BI54" i="23"/>
  <c r="BJ54" i="23"/>
  <c r="BK54" i="23"/>
  <c r="BL54" i="23"/>
  <c r="BM54" i="23"/>
  <c r="BN54" i="23"/>
  <c r="BO54" i="23"/>
  <c r="BP54" i="23"/>
  <c r="BQ54" i="23"/>
  <c r="BR54" i="23"/>
  <c r="BS54" i="23"/>
  <c r="BT54" i="23"/>
  <c r="BU54" i="23"/>
  <c r="BV54" i="23"/>
  <c r="BW54" i="23"/>
  <c r="BX54" i="23"/>
  <c r="BY54" i="23"/>
  <c r="BZ54" i="23"/>
  <c r="CA54" i="23"/>
  <c r="CB54" i="23"/>
  <c r="CC54" i="23"/>
  <c r="CD54" i="23"/>
  <c r="CE54" i="23"/>
  <c r="CF54" i="23"/>
  <c r="CG54" i="23"/>
  <c r="CH54" i="23"/>
  <c r="CI54" i="23"/>
  <c r="CJ54" i="23"/>
  <c r="CK54" i="23"/>
  <c r="CL54" i="23"/>
  <c r="CM54" i="23"/>
  <c r="CN54" i="23"/>
  <c r="CO54" i="23"/>
  <c r="CP54" i="23"/>
  <c r="CQ54" i="23"/>
  <c r="CR54" i="23"/>
  <c r="CS54" i="23"/>
  <c r="CT54" i="23"/>
  <c r="CU54" i="23"/>
  <c r="CV54" i="23"/>
  <c r="CW54" i="23"/>
  <c r="CX54" i="23"/>
  <c r="CY54" i="23"/>
  <c r="CZ54" i="23"/>
  <c r="DA54" i="23"/>
  <c r="DB54" i="23"/>
  <c r="DC54" i="23"/>
  <c r="DD54" i="23"/>
  <c r="DE54" i="23"/>
  <c r="DF54" i="23"/>
  <c r="DG54" i="23"/>
  <c r="DH54" i="23"/>
  <c r="DI54" i="23"/>
  <c r="DJ54" i="23"/>
  <c r="DK54" i="23"/>
  <c r="DL54" i="23"/>
  <c r="DM54" i="23"/>
  <c r="DN54" i="23"/>
  <c r="DO54" i="23"/>
  <c r="DP54" i="23"/>
  <c r="DQ54" i="23"/>
  <c r="DR54" i="23"/>
  <c r="DS54" i="23"/>
  <c r="DT54" i="23"/>
  <c r="DU54" i="23"/>
  <c r="DV54" i="23"/>
  <c r="DW54" i="23"/>
  <c r="DX54" i="23"/>
  <c r="DY54" i="23"/>
  <c r="DZ54" i="23"/>
  <c r="EA54" i="23"/>
  <c r="D55" i="23"/>
  <c r="G55" i="23"/>
  <c r="H55" i="23"/>
  <c r="I55" i="23"/>
  <c r="J55" i="23"/>
  <c r="K55" i="23"/>
  <c r="L55" i="23"/>
  <c r="M55" i="23"/>
  <c r="N55" i="23"/>
  <c r="O55" i="23"/>
  <c r="P55" i="23"/>
  <c r="Q55" i="23"/>
  <c r="R55" i="23"/>
  <c r="S55" i="23"/>
  <c r="T55" i="23"/>
  <c r="U55" i="23"/>
  <c r="V55" i="23"/>
  <c r="W55" i="23"/>
  <c r="X55" i="23"/>
  <c r="Y55" i="23"/>
  <c r="Z55" i="23"/>
  <c r="AA55" i="23"/>
  <c r="AB55" i="23"/>
  <c r="AC55" i="23"/>
  <c r="AD55" i="23"/>
  <c r="AE55" i="23"/>
  <c r="AF55" i="23"/>
  <c r="AG55" i="23"/>
  <c r="AH55" i="23"/>
  <c r="AI55" i="23"/>
  <c r="AJ55" i="23"/>
  <c r="AK55" i="23"/>
  <c r="AL55" i="23"/>
  <c r="AM55" i="23"/>
  <c r="AN55" i="23"/>
  <c r="AO55" i="23"/>
  <c r="AP55" i="23"/>
  <c r="AQ55" i="23"/>
  <c r="AR55" i="23"/>
  <c r="AS55" i="23"/>
  <c r="AT55" i="23"/>
  <c r="AU55" i="23"/>
  <c r="AV55" i="23"/>
  <c r="AW55" i="23"/>
  <c r="AX55" i="23"/>
  <c r="AY55" i="23"/>
  <c r="AZ55" i="23"/>
  <c r="BA55" i="23"/>
  <c r="BB55" i="23"/>
  <c r="BC55" i="23"/>
  <c r="BD55" i="23"/>
  <c r="BE55" i="23"/>
  <c r="BF55" i="23"/>
  <c r="BG55" i="23"/>
  <c r="BH55" i="23"/>
  <c r="BI55" i="23"/>
  <c r="BJ55" i="23"/>
  <c r="BK55" i="23"/>
  <c r="BL55" i="23"/>
  <c r="BM55" i="23"/>
  <c r="BN55" i="23"/>
  <c r="BO55" i="23"/>
  <c r="BP55" i="23"/>
  <c r="BQ55" i="23"/>
  <c r="BR55" i="23"/>
  <c r="BS55" i="23"/>
  <c r="BT55" i="23"/>
  <c r="BU55" i="23"/>
  <c r="BV55" i="23"/>
  <c r="BW55" i="23"/>
  <c r="BX55" i="23"/>
  <c r="BY55" i="23"/>
  <c r="BZ55" i="23"/>
  <c r="CA55" i="23"/>
  <c r="CB55" i="23"/>
  <c r="CC55" i="23"/>
  <c r="CD55" i="23"/>
  <c r="CE55" i="23"/>
  <c r="CF55" i="23"/>
  <c r="CG55" i="23"/>
  <c r="CH55" i="23"/>
  <c r="CI55" i="23"/>
  <c r="CJ55" i="23"/>
  <c r="CK55" i="23"/>
  <c r="CL55" i="23"/>
  <c r="CM55" i="23"/>
  <c r="CN55" i="23"/>
  <c r="CO55" i="23"/>
  <c r="CP55" i="23"/>
  <c r="CQ55" i="23"/>
  <c r="CR55" i="23"/>
  <c r="CS55" i="23"/>
  <c r="CT55" i="23"/>
  <c r="CU55" i="23"/>
  <c r="CV55" i="23"/>
  <c r="CW55" i="23"/>
  <c r="CX55" i="23"/>
  <c r="CY55" i="23"/>
  <c r="CZ55" i="23"/>
  <c r="DA55" i="23"/>
  <c r="DB55" i="23"/>
  <c r="DC55" i="23"/>
  <c r="DD55" i="23"/>
  <c r="DE55" i="23"/>
  <c r="DF55" i="23"/>
  <c r="DG55" i="23"/>
  <c r="DH55" i="23"/>
  <c r="DI55" i="23"/>
  <c r="DJ55" i="23"/>
  <c r="DK55" i="23"/>
  <c r="DL55" i="23"/>
  <c r="DM55" i="23"/>
  <c r="DN55" i="23"/>
  <c r="DO55" i="23"/>
  <c r="DP55" i="23"/>
  <c r="DQ55" i="23"/>
  <c r="DR55" i="23"/>
  <c r="DS55" i="23"/>
  <c r="DT55" i="23"/>
  <c r="DU55" i="23"/>
  <c r="DV55" i="23"/>
  <c r="DW55" i="23"/>
  <c r="DX55" i="23"/>
  <c r="DY55" i="23"/>
  <c r="DZ55" i="23"/>
  <c r="EA55" i="23"/>
  <c r="D56" i="23"/>
  <c r="G56" i="23"/>
  <c r="H56" i="23"/>
  <c r="I56" i="23"/>
  <c r="J56" i="23"/>
  <c r="K56" i="23"/>
  <c r="L56" i="23"/>
  <c r="M56" i="23"/>
  <c r="N56" i="23"/>
  <c r="O56" i="23"/>
  <c r="P56" i="23"/>
  <c r="Q56" i="23"/>
  <c r="R56" i="23"/>
  <c r="S56" i="23"/>
  <c r="T56" i="23"/>
  <c r="U56" i="23"/>
  <c r="V56" i="23"/>
  <c r="W56" i="23"/>
  <c r="X56" i="23"/>
  <c r="Y56" i="23"/>
  <c r="Z56" i="23"/>
  <c r="AA56" i="23"/>
  <c r="AB56" i="23"/>
  <c r="AC56" i="23"/>
  <c r="AD56" i="23"/>
  <c r="AE56" i="23"/>
  <c r="AF56" i="23"/>
  <c r="AG56" i="23"/>
  <c r="AH56" i="23"/>
  <c r="AI56" i="23"/>
  <c r="AJ56" i="23"/>
  <c r="AK56" i="23"/>
  <c r="AL56" i="23"/>
  <c r="AM56" i="23"/>
  <c r="AN56" i="23"/>
  <c r="AO56" i="23"/>
  <c r="AP56" i="23"/>
  <c r="AQ56" i="23"/>
  <c r="AR56" i="23"/>
  <c r="AS56" i="23"/>
  <c r="AT56" i="23"/>
  <c r="AU56" i="23"/>
  <c r="AV56" i="23"/>
  <c r="AW56" i="23"/>
  <c r="AX56" i="23"/>
  <c r="AY56" i="23"/>
  <c r="AZ56" i="23"/>
  <c r="BA56" i="23"/>
  <c r="BB56" i="23"/>
  <c r="BC56" i="23"/>
  <c r="BD56" i="23"/>
  <c r="BE56" i="23"/>
  <c r="BF56" i="23"/>
  <c r="BG56" i="23"/>
  <c r="BH56" i="23"/>
  <c r="BI56" i="23"/>
  <c r="BJ56" i="23"/>
  <c r="BK56" i="23"/>
  <c r="BL56" i="23"/>
  <c r="BM56" i="23"/>
  <c r="BN56" i="23"/>
  <c r="BO56" i="23"/>
  <c r="BP56" i="23"/>
  <c r="BQ56" i="23"/>
  <c r="BR56" i="23"/>
  <c r="BS56" i="23"/>
  <c r="BT56" i="23"/>
  <c r="BU56" i="23"/>
  <c r="BV56" i="23"/>
  <c r="BW56" i="23"/>
  <c r="BX56" i="23"/>
  <c r="BY56" i="23"/>
  <c r="BZ56" i="23"/>
  <c r="CA56" i="23"/>
  <c r="CB56" i="23"/>
  <c r="CC56" i="23"/>
  <c r="CD56" i="23"/>
  <c r="CE56" i="23"/>
  <c r="CF56" i="23"/>
  <c r="CG56" i="23"/>
  <c r="CH56" i="23"/>
  <c r="CI56" i="23"/>
  <c r="CJ56" i="23"/>
  <c r="CK56" i="23"/>
  <c r="CL56" i="23"/>
  <c r="CM56" i="23"/>
  <c r="CN56" i="23"/>
  <c r="CO56" i="23"/>
  <c r="CP56" i="23"/>
  <c r="CQ56" i="23"/>
  <c r="CR56" i="23"/>
  <c r="CS56" i="23"/>
  <c r="CT56" i="23"/>
  <c r="CU56" i="23"/>
  <c r="CV56" i="23"/>
  <c r="CW56" i="23"/>
  <c r="CX56" i="23"/>
  <c r="CY56" i="23"/>
  <c r="CZ56" i="23"/>
  <c r="DA56" i="23"/>
  <c r="DB56" i="23"/>
  <c r="DC56" i="23"/>
  <c r="DD56" i="23"/>
  <c r="DE56" i="23"/>
  <c r="DF56" i="23"/>
  <c r="DG56" i="23"/>
  <c r="DH56" i="23"/>
  <c r="DI56" i="23"/>
  <c r="DJ56" i="23"/>
  <c r="DK56" i="23"/>
  <c r="DL56" i="23"/>
  <c r="DM56" i="23"/>
  <c r="DN56" i="23"/>
  <c r="DO56" i="23"/>
  <c r="DP56" i="23"/>
  <c r="DQ56" i="23"/>
  <c r="DR56" i="23"/>
  <c r="DS56" i="23"/>
  <c r="DT56" i="23"/>
  <c r="DU56" i="23"/>
  <c r="DV56" i="23"/>
  <c r="DW56" i="23"/>
  <c r="DX56" i="23"/>
  <c r="DY56" i="23"/>
  <c r="DZ56" i="23"/>
  <c r="EA56" i="23"/>
  <c r="D57" i="23"/>
  <c r="G57" i="23"/>
  <c r="H57" i="23"/>
  <c r="I57" i="23"/>
  <c r="J57" i="23"/>
  <c r="K57" i="23"/>
  <c r="L57" i="23"/>
  <c r="M57" i="23"/>
  <c r="N57" i="23"/>
  <c r="O57" i="23"/>
  <c r="P57" i="23"/>
  <c r="Q57" i="23"/>
  <c r="R57" i="23"/>
  <c r="S57" i="23"/>
  <c r="T57" i="23"/>
  <c r="U57" i="23"/>
  <c r="V57" i="23"/>
  <c r="W57" i="23"/>
  <c r="X57" i="23"/>
  <c r="Y57" i="23"/>
  <c r="Z57" i="23"/>
  <c r="AA57" i="23"/>
  <c r="AB57" i="23"/>
  <c r="AC57" i="23"/>
  <c r="AD57" i="23"/>
  <c r="AE57" i="23"/>
  <c r="AF57" i="23"/>
  <c r="AG57" i="23"/>
  <c r="AH57" i="23"/>
  <c r="AI57" i="23"/>
  <c r="AJ57" i="23"/>
  <c r="AK57" i="23"/>
  <c r="AL57" i="23"/>
  <c r="AM57" i="23"/>
  <c r="AN57" i="23"/>
  <c r="AO57" i="23"/>
  <c r="AP57" i="23"/>
  <c r="AQ57" i="23"/>
  <c r="AR57" i="23"/>
  <c r="AS57" i="23"/>
  <c r="AT57" i="23"/>
  <c r="AU57" i="23"/>
  <c r="AV57" i="23"/>
  <c r="AW57" i="23"/>
  <c r="AX57" i="23"/>
  <c r="AY57" i="23"/>
  <c r="AZ57" i="23"/>
  <c r="BA57" i="23"/>
  <c r="BB57" i="23"/>
  <c r="BC57" i="23"/>
  <c r="BD57" i="23"/>
  <c r="BE57" i="23"/>
  <c r="BF57" i="23"/>
  <c r="BG57" i="23"/>
  <c r="BH57" i="23"/>
  <c r="BI57" i="23"/>
  <c r="BJ57" i="23"/>
  <c r="BK57" i="23"/>
  <c r="BL57" i="23"/>
  <c r="BM57" i="23"/>
  <c r="BN57" i="23"/>
  <c r="BO57" i="23"/>
  <c r="BP57" i="23"/>
  <c r="BQ57" i="23"/>
  <c r="BR57" i="23"/>
  <c r="BS57" i="23"/>
  <c r="BT57" i="23"/>
  <c r="BU57" i="23"/>
  <c r="BV57" i="23"/>
  <c r="BW57" i="23"/>
  <c r="BX57" i="23"/>
  <c r="BY57" i="23"/>
  <c r="BZ57" i="23"/>
  <c r="CA57" i="23"/>
  <c r="CB57" i="23"/>
  <c r="CC57" i="23"/>
  <c r="CD57" i="23"/>
  <c r="CE57" i="23"/>
  <c r="CF57" i="23"/>
  <c r="CG57" i="23"/>
  <c r="CH57" i="23"/>
  <c r="CI57" i="23"/>
  <c r="CJ57" i="23"/>
  <c r="CK57" i="23"/>
  <c r="CL57" i="23"/>
  <c r="CM57" i="23"/>
  <c r="CN57" i="23"/>
  <c r="CO57" i="23"/>
  <c r="CP57" i="23"/>
  <c r="CQ57" i="23"/>
  <c r="CR57" i="23"/>
  <c r="CS57" i="23"/>
  <c r="CT57" i="23"/>
  <c r="CU57" i="23"/>
  <c r="CV57" i="23"/>
  <c r="CW57" i="23"/>
  <c r="CX57" i="23"/>
  <c r="CY57" i="23"/>
  <c r="CZ57" i="23"/>
  <c r="DA57" i="23"/>
  <c r="DB57" i="23"/>
  <c r="DC57" i="23"/>
  <c r="DD57" i="23"/>
  <c r="DE57" i="23"/>
  <c r="DF57" i="23"/>
  <c r="DG57" i="23"/>
  <c r="DH57" i="23"/>
  <c r="DI57" i="23"/>
  <c r="DJ57" i="23"/>
  <c r="DK57" i="23"/>
  <c r="DL57" i="23"/>
  <c r="DM57" i="23"/>
  <c r="DN57" i="23"/>
  <c r="DO57" i="23"/>
  <c r="DP57" i="23"/>
  <c r="DQ57" i="23"/>
  <c r="DR57" i="23"/>
  <c r="DS57" i="23"/>
  <c r="DT57" i="23"/>
  <c r="DU57" i="23"/>
  <c r="DV57" i="23"/>
  <c r="DW57" i="23"/>
  <c r="DX57" i="23"/>
  <c r="DY57" i="23"/>
  <c r="DZ57" i="23"/>
  <c r="EA57" i="23"/>
  <c r="D58" i="23"/>
  <c r="G58" i="23"/>
  <c r="H58" i="23"/>
  <c r="I58" i="23"/>
  <c r="J58" i="23"/>
  <c r="K58" i="23"/>
  <c r="L58" i="23"/>
  <c r="M58" i="23"/>
  <c r="N58" i="23"/>
  <c r="O58" i="23"/>
  <c r="P58" i="23"/>
  <c r="Q58" i="23"/>
  <c r="R58" i="23"/>
  <c r="S58" i="23"/>
  <c r="T58" i="23"/>
  <c r="U58" i="23"/>
  <c r="V58" i="23"/>
  <c r="W58" i="23"/>
  <c r="X58" i="23"/>
  <c r="Y58" i="23"/>
  <c r="Z58" i="23"/>
  <c r="AA58" i="23"/>
  <c r="AB58" i="23"/>
  <c r="AC58" i="23"/>
  <c r="AD58" i="23"/>
  <c r="AE58" i="23"/>
  <c r="AF58" i="23"/>
  <c r="AG58" i="23"/>
  <c r="AH58" i="23"/>
  <c r="AI58" i="23"/>
  <c r="AJ58" i="23"/>
  <c r="AK58" i="23"/>
  <c r="AL58" i="23"/>
  <c r="AM58" i="23"/>
  <c r="AN58" i="23"/>
  <c r="AO58" i="23"/>
  <c r="AP58" i="23"/>
  <c r="AQ58" i="23"/>
  <c r="AR58" i="23"/>
  <c r="AS58" i="23"/>
  <c r="AT58" i="23"/>
  <c r="AU58" i="23"/>
  <c r="AV58" i="23"/>
  <c r="AW58" i="23"/>
  <c r="AX58" i="23"/>
  <c r="AY58" i="23"/>
  <c r="AZ58" i="23"/>
  <c r="BA58" i="23"/>
  <c r="BB58" i="23"/>
  <c r="BC58" i="23"/>
  <c r="BD58" i="23"/>
  <c r="BE58" i="23"/>
  <c r="BF58" i="23"/>
  <c r="BG58" i="23"/>
  <c r="BH58" i="23"/>
  <c r="BI58" i="23"/>
  <c r="BJ58" i="23"/>
  <c r="BK58" i="23"/>
  <c r="BL58" i="23"/>
  <c r="BM58" i="23"/>
  <c r="BN58" i="23"/>
  <c r="BO58" i="23"/>
  <c r="BP58" i="23"/>
  <c r="BQ58" i="23"/>
  <c r="BR58" i="23"/>
  <c r="BS58" i="23"/>
  <c r="BT58" i="23"/>
  <c r="BU58" i="23"/>
  <c r="BV58" i="23"/>
  <c r="BW58" i="23"/>
  <c r="BX58" i="23"/>
  <c r="BY58" i="23"/>
  <c r="BZ58" i="23"/>
  <c r="CA58" i="23"/>
  <c r="CB58" i="23"/>
  <c r="CC58" i="23"/>
  <c r="CD58" i="23"/>
  <c r="CE58" i="23"/>
  <c r="CF58" i="23"/>
  <c r="CG58" i="23"/>
  <c r="CH58" i="23"/>
  <c r="CI58" i="23"/>
  <c r="CJ58" i="23"/>
  <c r="CK58" i="23"/>
  <c r="CL58" i="23"/>
  <c r="CM58" i="23"/>
  <c r="CN58" i="23"/>
  <c r="CO58" i="23"/>
  <c r="CP58" i="23"/>
  <c r="CQ58" i="23"/>
  <c r="CR58" i="23"/>
  <c r="CS58" i="23"/>
  <c r="CT58" i="23"/>
  <c r="CU58" i="23"/>
  <c r="CV58" i="23"/>
  <c r="CW58" i="23"/>
  <c r="CX58" i="23"/>
  <c r="CY58" i="23"/>
  <c r="CZ58" i="23"/>
  <c r="DA58" i="23"/>
  <c r="DB58" i="23"/>
  <c r="DC58" i="23"/>
  <c r="DD58" i="23"/>
  <c r="DE58" i="23"/>
  <c r="DF58" i="23"/>
  <c r="DG58" i="23"/>
  <c r="DH58" i="23"/>
  <c r="DI58" i="23"/>
  <c r="DJ58" i="23"/>
  <c r="DK58" i="23"/>
  <c r="DL58" i="23"/>
  <c r="DM58" i="23"/>
  <c r="DN58" i="23"/>
  <c r="DO58" i="23"/>
  <c r="DP58" i="23"/>
  <c r="DQ58" i="23"/>
  <c r="DR58" i="23"/>
  <c r="DS58" i="23"/>
  <c r="DT58" i="23"/>
  <c r="DU58" i="23"/>
  <c r="DV58" i="23"/>
  <c r="DW58" i="23"/>
  <c r="DX58" i="23"/>
  <c r="DY58" i="23"/>
  <c r="DZ58" i="23"/>
  <c r="EA58" i="23"/>
  <c r="D59" i="23"/>
  <c r="G59" i="23"/>
  <c r="H59" i="23"/>
  <c r="I59" i="23"/>
  <c r="J59" i="23"/>
  <c r="K59" i="23"/>
  <c r="L59" i="23"/>
  <c r="M59" i="23"/>
  <c r="N59" i="23"/>
  <c r="O59" i="23"/>
  <c r="P59" i="23"/>
  <c r="Q59" i="23"/>
  <c r="R59" i="23"/>
  <c r="S59" i="23"/>
  <c r="T59" i="23"/>
  <c r="U59" i="23"/>
  <c r="V59" i="23"/>
  <c r="W59" i="23"/>
  <c r="X59" i="23"/>
  <c r="Y59" i="23"/>
  <c r="Z59" i="23"/>
  <c r="AA59" i="23"/>
  <c r="AB59" i="23"/>
  <c r="AC59" i="23"/>
  <c r="AD59" i="23"/>
  <c r="AE59" i="23"/>
  <c r="AF59" i="23"/>
  <c r="AG59" i="23"/>
  <c r="AH59" i="23"/>
  <c r="AI59" i="23"/>
  <c r="AJ59" i="23"/>
  <c r="AK59" i="23"/>
  <c r="AL59" i="23"/>
  <c r="AM59" i="23"/>
  <c r="AN59" i="23"/>
  <c r="AO59" i="23"/>
  <c r="AP59" i="23"/>
  <c r="AQ59" i="23"/>
  <c r="AR59" i="23"/>
  <c r="AS59" i="23"/>
  <c r="AT59" i="23"/>
  <c r="AU59" i="23"/>
  <c r="AV59" i="23"/>
  <c r="AW59" i="23"/>
  <c r="AX59" i="23"/>
  <c r="AY59" i="23"/>
  <c r="AZ59" i="23"/>
  <c r="BA59" i="23"/>
  <c r="BB59" i="23"/>
  <c r="BC59" i="23"/>
  <c r="BD59" i="23"/>
  <c r="BE59" i="23"/>
  <c r="BF59" i="23"/>
  <c r="BG59" i="23"/>
  <c r="BH59" i="23"/>
  <c r="BI59" i="23"/>
  <c r="BJ59" i="23"/>
  <c r="BK59" i="23"/>
  <c r="BL59" i="23"/>
  <c r="BM59" i="23"/>
  <c r="BN59" i="23"/>
  <c r="BO59" i="23"/>
  <c r="BP59" i="23"/>
  <c r="BQ59" i="23"/>
  <c r="BR59" i="23"/>
  <c r="BS59" i="23"/>
  <c r="BT59" i="23"/>
  <c r="BU59" i="23"/>
  <c r="BV59" i="23"/>
  <c r="BW59" i="23"/>
  <c r="BX59" i="23"/>
  <c r="BY59" i="23"/>
  <c r="BZ59" i="23"/>
  <c r="CA59" i="23"/>
  <c r="CB59" i="23"/>
  <c r="CC59" i="23"/>
  <c r="CD59" i="23"/>
  <c r="CE59" i="23"/>
  <c r="CF59" i="23"/>
  <c r="CG59" i="23"/>
  <c r="CH59" i="23"/>
  <c r="CI59" i="23"/>
  <c r="CJ59" i="23"/>
  <c r="CK59" i="23"/>
  <c r="CL59" i="23"/>
  <c r="CM59" i="23"/>
  <c r="CN59" i="23"/>
  <c r="CO59" i="23"/>
  <c r="CP59" i="23"/>
  <c r="CQ59" i="23"/>
  <c r="CR59" i="23"/>
  <c r="CS59" i="23"/>
  <c r="CT59" i="23"/>
  <c r="CU59" i="23"/>
  <c r="CV59" i="23"/>
  <c r="CW59" i="23"/>
  <c r="CX59" i="23"/>
  <c r="CY59" i="23"/>
  <c r="CZ59" i="23"/>
  <c r="DA59" i="23"/>
  <c r="DB59" i="23"/>
  <c r="DC59" i="23"/>
  <c r="DD59" i="23"/>
  <c r="DE59" i="23"/>
  <c r="DF59" i="23"/>
  <c r="DG59" i="23"/>
  <c r="DH59" i="23"/>
  <c r="DI59" i="23"/>
  <c r="DJ59" i="23"/>
  <c r="DK59" i="23"/>
  <c r="DL59" i="23"/>
  <c r="DM59" i="23"/>
  <c r="DN59" i="23"/>
  <c r="DO59" i="23"/>
  <c r="DP59" i="23"/>
  <c r="DQ59" i="23"/>
  <c r="DR59" i="23"/>
  <c r="DS59" i="23"/>
  <c r="DT59" i="23"/>
  <c r="DU59" i="23"/>
  <c r="DV59" i="23"/>
  <c r="DW59" i="23"/>
  <c r="DX59" i="23"/>
  <c r="DY59" i="23"/>
  <c r="DZ59" i="23"/>
  <c r="EA59" i="23"/>
  <c r="D60" i="23"/>
  <c r="G60" i="23"/>
  <c r="H60" i="23"/>
  <c r="I60" i="23"/>
  <c r="J60" i="23"/>
  <c r="K60" i="23"/>
  <c r="L60" i="23"/>
  <c r="M60" i="23"/>
  <c r="N60" i="23"/>
  <c r="O60" i="23"/>
  <c r="P60" i="23"/>
  <c r="Q60" i="23"/>
  <c r="R60" i="23"/>
  <c r="S60" i="23"/>
  <c r="T60" i="23"/>
  <c r="U60" i="23"/>
  <c r="V60" i="23"/>
  <c r="W60" i="23"/>
  <c r="X60" i="23"/>
  <c r="Y60" i="23"/>
  <c r="Z60" i="23"/>
  <c r="AA60" i="23"/>
  <c r="AB60" i="23"/>
  <c r="AC60" i="23"/>
  <c r="AD60" i="23"/>
  <c r="AE60" i="23"/>
  <c r="AF60" i="23"/>
  <c r="AG60" i="23"/>
  <c r="AH60" i="23"/>
  <c r="AI60" i="23"/>
  <c r="AJ60" i="23"/>
  <c r="AK60" i="23"/>
  <c r="AL60" i="23"/>
  <c r="AM60" i="23"/>
  <c r="AN60" i="23"/>
  <c r="AO60" i="23"/>
  <c r="AP60" i="23"/>
  <c r="AQ60" i="23"/>
  <c r="AR60" i="23"/>
  <c r="AS60" i="23"/>
  <c r="AT60" i="23"/>
  <c r="AU60" i="23"/>
  <c r="AV60" i="23"/>
  <c r="AW60" i="23"/>
  <c r="AX60" i="23"/>
  <c r="AY60" i="23"/>
  <c r="AZ60" i="23"/>
  <c r="BA60" i="23"/>
  <c r="BB60" i="23"/>
  <c r="BC60" i="23"/>
  <c r="BD60" i="23"/>
  <c r="BE60" i="23"/>
  <c r="BF60" i="23"/>
  <c r="BG60" i="23"/>
  <c r="BH60" i="23"/>
  <c r="BI60" i="23"/>
  <c r="BJ60" i="23"/>
  <c r="BK60" i="23"/>
  <c r="BL60" i="23"/>
  <c r="BM60" i="23"/>
  <c r="BN60" i="23"/>
  <c r="BO60" i="23"/>
  <c r="BP60" i="23"/>
  <c r="BQ60" i="23"/>
  <c r="BR60" i="23"/>
  <c r="BS60" i="23"/>
  <c r="BT60" i="23"/>
  <c r="BU60" i="23"/>
  <c r="BV60" i="23"/>
  <c r="BW60" i="23"/>
  <c r="BX60" i="23"/>
  <c r="BY60" i="23"/>
  <c r="BZ60" i="23"/>
  <c r="CA60" i="23"/>
  <c r="CB60" i="23"/>
  <c r="CC60" i="23"/>
  <c r="CD60" i="23"/>
  <c r="CE60" i="23"/>
  <c r="CF60" i="23"/>
  <c r="CG60" i="23"/>
  <c r="CH60" i="23"/>
  <c r="CI60" i="23"/>
  <c r="CJ60" i="23"/>
  <c r="CK60" i="23"/>
  <c r="CL60" i="23"/>
  <c r="CM60" i="23"/>
  <c r="CN60" i="23"/>
  <c r="CO60" i="23"/>
  <c r="CP60" i="23"/>
  <c r="CQ60" i="23"/>
  <c r="CR60" i="23"/>
  <c r="CS60" i="23"/>
  <c r="CT60" i="23"/>
  <c r="CU60" i="23"/>
  <c r="CV60" i="23"/>
  <c r="CW60" i="23"/>
  <c r="CX60" i="23"/>
  <c r="CY60" i="23"/>
  <c r="CZ60" i="23"/>
  <c r="DA60" i="23"/>
  <c r="DB60" i="23"/>
  <c r="DC60" i="23"/>
  <c r="DD60" i="23"/>
  <c r="DE60" i="23"/>
  <c r="DF60" i="23"/>
  <c r="DG60" i="23"/>
  <c r="DH60" i="23"/>
  <c r="DI60" i="23"/>
  <c r="DJ60" i="23"/>
  <c r="DK60" i="23"/>
  <c r="DL60" i="23"/>
  <c r="DM60" i="23"/>
  <c r="DN60" i="23"/>
  <c r="DO60" i="23"/>
  <c r="DP60" i="23"/>
  <c r="DQ60" i="23"/>
  <c r="DR60" i="23"/>
  <c r="DS60" i="23"/>
  <c r="DT60" i="23"/>
  <c r="DU60" i="23"/>
  <c r="DV60" i="23"/>
  <c r="DW60" i="23"/>
  <c r="DX60" i="23"/>
  <c r="DY60" i="23"/>
  <c r="DZ60" i="23"/>
  <c r="EA60" i="23"/>
  <c r="D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G61" i="23"/>
  <c r="BH61" i="23"/>
  <c r="BI61" i="23"/>
  <c r="BJ61" i="23"/>
  <c r="BK61" i="23"/>
  <c r="BL61" i="23"/>
  <c r="BM61" i="23"/>
  <c r="BN61" i="23"/>
  <c r="BO61" i="23"/>
  <c r="BP61" i="23"/>
  <c r="BQ61" i="23"/>
  <c r="BR61" i="23"/>
  <c r="BS61" i="23"/>
  <c r="BT61" i="23"/>
  <c r="BU61" i="23"/>
  <c r="BV61" i="23"/>
  <c r="BW61" i="23"/>
  <c r="BX61" i="23"/>
  <c r="BY61" i="23"/>
  <c r="BZ61" i="23"/>
  <c r="CA61" i="23"/>
  <c r="CB61" i="23"/>
  <c r="CC61" i="23"/>
  <c r="CD61" i="23"/>
  <c r="CE61" i="23"/>
  <c r="CF61" i="23"/>
  <c r="CG61" i="23"/>
  <c r="CH61" i="23"/>
  <c r="CI61" i="23"/>
  <c r="CJ61" i="23"/>
  <c r="CK61" i="23"/>
  <c r="CL61" i="23"/>
  <c r="CM61" i="23"/>
  <c r="CN61" i="23"/>
  <c r="CO61" i="23"/>
  <c r="CP61" i="23"/>
  <c r="CQ61" i="23"/>
  <c r="CR61" i="23"/>
  <c r="CS61" i="23"/>
  <c r="CT61" i="23"/>
  <c r="CU61" i="23"/>
  <c r="CV61" i="23"/>
  <c r="CW61" i="23"/>
  <c r="CX61" i="23"/>
  <c r="CY61" i="23"/>
  <c r="CZ61" i="23"/>
  <c r="DA61" i="23"/>
  <c r="DB61" i="23"/>
  <c r="DC61" i="23"/>
  <c r="DD61" i="23"/>
  <c r="DE61" i="23"/>
  <c r="DF61" i="23"/>
  <c r="DG61" i="23"/>
  <c r="DH61" i="23"/>
  <c r="DI61" i="23"/>
  <c r="DJ61" i="23"/>
  <c r="DK61" i="23"/>
  <c r="DL61" i="23"/>
  <c r="DM61" i="23"/>
  <c r="DN61" i="23"/>
  <c r="DO61" i="23"/>
  <c r="DP61" i="23"/>
  <c r="DQ61" i="23"/>
  <c r="DR61" i="23"/>
  <c r="DS61" i="23"/>
  <c r="DT61" i="23"/>
  <c r="DU61" i="23"/>
  <c r="DV61" i="23"/>
  <c r="DW61" i="23"/>
  <c r="DX61" i="23"/>
  <c r="DY61" i="23"/>
  <c r="DZ61" i="23"/>
  <c r="EA61" i="23"/>
  <c r="EA50" i="23"/>
  <c r="DZ50" i="23"/>
  <c r="DY50" i="23"/>
  <c r="DX50" i="23"/>
  <c r="DW50" i="23"/>
  <c r="DV50" i="23"/>
  <c r="DU50" i="23"/>
  <c r="DT50" i="23"/>
  <c r="DS50" i="23"/>
  <c r="DR50" i="23"/>
  <c r="DQ50" i="23"/>
  <c r="DP50" i="23"/>
  <c r="DO50" i="23"/>
  <c r="DN50" i="23"/>
  <c r="DM50" i="23"/>
  <c r="DL50" i="23"/>
  <c r="DK50" i="23"/>
  <c r="DJ50" i="23"/>
  <c r="DI50" i="23"/>
  <c r="DH50" i="23"/>
  <c r="DG50" i="23"/>
  <c r="DF50" i="23"/>
  <c r="DE50" i="23"/>
  <c r="DD50" i="23"/>
  <c r="DC50" i="23"/>
  <c r="DB50" i="23"/>
  <c r="DA50" i="23"/>
  <c r="CZ50" i="23"/>
  <c r="CY50" i="23"/>
  <c r="CX50" i="23"/>
  <c r="CW50" i="23"/>
  <c r="CV50" i="23"/>
  <c r="CU50" i="23"/>
  <c r="CT50" i="23"/>
  <c r="CS50" i="23"/>
  <c r="CR50" i="23"/>
  <c r="CQ50" i="23"/>
  <c r="CP50" i="23"/>
  <c r="CO50" i="23"/>
  <c r="CN50" i="23"/>
  <c r="CM50" i="23"/>
  <c r="CL50" i="23"/>
  <c r="CK50" i="23"/>
  <c r="CJ50" i="23"/>
  <c r="CI50" i="23"/>
  <c r="CH50" i="23"/>
  <c r="CG50" i="23"/>
  <c r="CF50" i="23"/>
  <c r="CE50" i="23"/>
  <c r="CD50" i="23"/>
  <c r="CC50" i="23"/>
  <c r="CB50" i="23"/>
  <c r="CA50" i="23"/>
  <c r="BZ50" i="23"/>
  <c r="BY50" i="23"/>
  <c r="BX50" i="23"/>
  <c r="BW50" i="23"/>
  <c r="BV50" i="23"/>
  <c r="BU50" i="23"/>
  <c r="BT50" i="23"/>
  <c r="BS50" i="23"/>
  <c r="BR50" i="23"/>
  <c r="BQ50" i="23"/>
  <c r="BP50" i="23"/>
  <c r="BO50" i="23"/>
  <c r="BN50" i="23"/>
  <c r="BM50" i="23"/>
  <c r="BL50" i="23"/>
  <c r="BK50" i="23"/>
  <c r="BJ50" i="23"/>
  <c r="BI50" i="23"/>
  <c r="BH50" i="23"/>
  <c r="BG50" i="23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D50" i="23"/>
  <c r="D15" i="23"/>
  <c r="G15" i="23"/>
  <c r="H15" i="23"/>
  <c r="I15" i="23"/>
  <c r="J15" i="23"/>
  <c r="K15" i="23"/>
  <c r="L15" i="23"/>
  <c r="M15" i="23"/>
  <c r="N15" i="23"/>
  <c r="O15" i="23"/>
  <c r="P15" i="23"/>
  <c r="Q15" i="23"/>
  <c r="R15" i="23"/>
  <c r="S15" i="23"/>
  <c r="T15" i="23"/>
  <c r="U15" i="23"/>
  <c r="V15" i="23"/>
  <c r="W15" i="23"/>
  <c r="X15" i="23"/>
  <c r="Y15" i="23"/>
  <c r="Z15" i="23"/>
  <c r="AA15" i="23"/>
  <c r="AB15" i="23"/>
  <c r="AC15" i="23"/>
  <c r="AD15" i="23"/>
  <c r="AE15" i="23"/>
  <c r="AF15" i="23"/>
  <c r="AG15" i="23"/>
  <c r="AH15" i="23"/>
  <c r="AI15" i="23"/>
  <c r="AJ15" i="23"/>
  <c r="AK15" i="23"/>
  <c r="AL15" i="23"/>
  <c r="AM15" i="23"/>
  <c r="AN15" i="23"/>
  <c r="AO15" i="23"/>
  <c r="AP15" i="23"/>
  <c r="AQ15" i="23"/>
  <c r="AR15" i="23"/>
  <c r="AS15" i="23"/>
  <c r="AT15" i="23"/>
  <c r="AU15" i="23"/>
  <c r="AV15" i="23"/>
  <c r="AW15" i="23"/>
  <c r="AX15" i="23"/>
  <c r="AY15" i="23"/>
  <c r="AZ15" i="23"/>
  <c r="BA15" i="23"/>
  <c r="BB15" i="23"/>
  <c r="BC15" i="23"/>
  <c r="BD15" i="23"/>
  <c r="BE15" i="23"/>
  <c r="BF15" i="23"/>
  <c r="BG15" i="23"/>
  <c r="BH15" i="23"/>
  <c r="BI15" i="23"/>
  <c r="BJ15" i="23"/>
  <c r="BK15" i="23"/>
  <c r="BL15" i="23"/>
  <c r="BM15" i="23"/>
  <c r="BN15" i="23"/>
  <c r="BO15" i="23"/>
  <c r="BP15" i="23"/>
  <c r="BQ15" i="23"/>
  <c r="BR15" i="23"/>
  <c r="BS15" i="23"/>
  <c r="BT15" i="23"/>
  <c r="BU15" i="23"/>
  <c r="BV15" i="23"/>
  <c r="BW15" i="23"/>
  <c r="BX15" i="23"/>
  <c r="BY15" i="23"/>
  <c r="BZ15" i="23"/>
  <c r="CA15" i="23"/>
  <c r="CB15" i="23"/>
  <c r="CC15" i="23"/>
  <c r="CD15" i="23"/>
  <c r="CE15" i="23"/>
  <c r="CG15" i="23"/>
  <c r="CH15" i="23"/>
  <c r="CI15" i="23"/>
  <c r="CJ15" i="23"/>
  <c r="CK15" i="23"/>
  <c r="CL15" i="23"/>
  <c r="CM15" i="23"/>
  <c r="CN15" i="23"/>
  <c r="CO15" i="23"/>
  <c r="CP15" i="23"/>
  <c r="CR15" i="23"/>
  <c r="CS15" i="23"/>
  <c r="CT15" i="23"/>
  <c r="CU15" i="23"/>
  <c r="CV15" i="23"/>
  <c r="CW15" i="23"/>
  <c r="CX15" i="23"/>
  <c r="CY15" i="23"/>
  <c r="CZ15" i="23"/>
  <c r="DA15" i="23"/>
  <c r="DB15" i="23"/>
  <c r="DC15" i="23"/>
  <c r="DD15" i="23"/>
  <c r="DE15" i="23"/>
  <c r="DF15" i="23"/>
  <c r="DG15" i="23"/>
  <c r="DH15" i="23"/>
  <c r="DI15" i="23"/>
  <c r="DJ15" i="23"/>
  <c r="DK15" i="23"/>
  <c r="DL15" i="23"/>
  <c r="DM15" i="23"/>
  <c r="DN15" i="23"/>
  <c r="DO15" i="23"/>
  <c r="DP15" i="23"/>
  <c r="DQ15" i="23"/>
  <c r="DR15" i="23"/>
  <c r="DS15" i="23"/>
  <c r="DT15" i="23"/>
  <c r="DU15" i="23"/>
  <c r="DV15" i="23"/>
  <c r="DW15" i="23"/>
  <c r="DX15" i="23"/>
  <c r="DY15" i="23"/>
  <c r="DZ15" i="23"/>
  <c r="EA15" i="23"/>
  <c r="D16" i="23"/>
  <c r="G16" i="23"/>
  <c r="H16" i="23"/>
  <c r="I16" i="23"/>
  <c r="J16" i="23"/>
  <c r="K16" i="23"/>
  <c r="L16" i="23"/>
  <c r="M16" i="23"/>
  <c r="N16" i="23"/>
  <c r="O16" i="23"/>
  <c r="P16" i="23"/>
  <c r="Q16" i="23"/>
  <c r="R16" i="23"/>
  <c r="S16" i="23"/>
  <c r="T16" i="23"/>
  <c r="U16" i="23"/>
  <c r="V16" i="23"/>
  <c r="W16" i="23"/>
  <c r="X16" i="23"/>
  <c r="Y16" i="23"/>
  <c r="Z16" i="23"/>
  <c r="AA16" i="23"/>
  <c r="AB16" i="23"/>
  <c r="AC16" i="23"/>
  <c r="AD16" i="23"/>
  <c r="AE16" i="23"/>
  <c r="AF16" i="23"/>
  <c r="AG16" i="23"/>
  <c r="AH16" i="23"/>
  <c r="AI16" i="23"/>
  <c r="AJ16" i="23"/>
  <c r="AK16" i="23"/>
  <c r="AL16" i="23"/>
  <c r="AM16" i="23"/>
  <c r="AN16" i="23"/>
  <c r="AO16" i="23"/>
  <c r="AP16" i="23"/>
  <c r="AQ16" i="23"/>
  <c r="AR16" i="23"/>
  <c r="AS16" i="23"/>
  <c r="AT16" i="23"/>
  <c r="AU16" i="23"/>
  <c r="AV16" i="23"/>
  <c r="AW16" i="23"/>
  <c r="AX16" i="23"/>
  <c r="AY16" i="23"/>
  <c r="AZ16" i="23"/>
  <c r="BA16" i="23"/>
  <c r="BB16" i="23"/>
  <c r="BC16" i="23"/>
  <c r="BD16" i="23"/>
  <c r="BE16" i="23"/>
  <c r="BF16" i="23"/>
  <c r="BG16" i="23"/>
  <c r="BH16" i="23"/>
  <c r="BI16" i="23"/>
  <c r="BJ16" i="23"/>
  <c r="BK16" i="23"/>
  <c r="BL16" i="23"/>
  <c r="BM16" i="23"/>
  <c r="BN16" i="23"/>
  <c r="BO16" i="23"/>
  <c r="BP16" i="23"/>
  <c r="BQ16" i="23"/>
  <c r="BR16" i="23"/>
  <c r="BS16" i="23"/>
  <c r="BT16" i="23"/>
  <c r="BU16" i="23"/>
  <c r="BV16" i="23"/>
  <c r="BW16" i="23"/>
  <c r="BX16" i="23"/>
  <c r="BY16" i="23"/>
  <c r="BZ16" i="23"/>
  <c r="CA16" i="23"/>
  <c r="CB16" i="23"/>
  <c r="CC16" i="23"/>
  <c r="CD16" i="23"/>
  <c r="CE16" i="23"/>
  <c r="CG16" i="23"/>
  <c r="CH16" i="23"/>
  <c r="CI16" i="23"/>
  <c r="CJ16" i="23"/>
  <c r="CK16" i="23"/>
  <c r="CL16" i="23"/>
  <c r="CM16" i="23"/>
  <c r="CN16" i="23"/>
  <c r="CO16" i="23"/>
  <c r="CP16" i="23"/>
  <c r="CR16" i="23"/>
  <c r="CS16" i="23"/>
  <c r="CT16" i="23"/>
  <c r="CU16" i="23"/>
  <c r="CV16" i="23"/>
  <c r="CW16" i="23"/>
  <c r="CX16" i="23"/>
  <c r="CY16" i="23"/>
  <c r="CZ16" i="23"/>
  <c r="DA16" i="23"/>
  <c r="DB16" i="23"/>
  <c r="DC16" i="23"/>
  <c r="DD16" i="23"/>
  <c r="DE16" i="23"/>
  <c r="DF16" i="23"/>
  <c r="DG16" i="23"/>
  <c r="DH16" i="23"/>
  <c r="DI16" i="23"/>
  <c r="DJ16" i="23"/>
  <c r="DK16" i="23"/>
  <c r="DL16" i="23"/>
  <c r="DM16" i="23"/>
  <c r="DN16" i="23"/>
  <c r="DO16" i="23"/>
  <c r="DP16" i="23"/>
  <c r="DQ16" i="23"/>
  <c r="DR16" i="23"/>
  <c r="DS16" i="23"/>
  <c r="DT16" i="23"/>
  <c r="DU16" i="23"/>
  <c r="DV16" i="23"/>
  <c r="DW16" i="23"/>
  <c r="DX16" i="23"/>
  <c r="DY16" i="23"/>
  <c r="DZ16" i="23"/>
  <c r="EA16" i="23"/>
  <c r="D17" i="23"/>
  <c r="G17" i="23"/>
  <c r="H17" i="23"/>
  <c r="I17" i="23"/>
  <c r="J17" i="23"/>
  <c r="K17" i="23"/>
  <c r="L17" i="23"/>
  <c r="M17" i="23"/>
  <c r="N17" i="23"/>
  <c r="O17" i="23"/>
  <c r="P17" i="23"/>
  <c r="Q17" i="23"/>
  <c r="R17" i="23"/>
  <c r="S17" i="23"/>
  <c r="T17" i="23"/>
  <c r="U17" i="23"/>
  <c r="V17" i="23"/>
  <c r="W17" i="23"/>
  <c r="X17" i="23"/>
  <c r="Y17" i="23"/>
  <c r="Z17" i="23"/>
  <c r="AA17" i="23"/>
  <c r="AB17" i="23"/>
  <c r="AC17" i="23"/>
  <c r="AD17" i="23"/>
  <c r="AE17" i="23"/>
  <c r="AF17" i="23"/>
  <c r="AG17" i="23"/>
  <c r="AH17" i="23"/>
  <c r="AI17" i="23"/>
  <c r="AJ17" i="23"/>
  <c r="AK17" i="23"/>
  <c r="AL17" i="23"/>
  <c r="AM17" i="23"/>
  <c r="AN17" i="23"/>
  <c r="AO17" i="23"/>
  <c r="AP17" i="23"/>
  <c r="AQ17" i="23"/>
  <c r="AR17" i="23"/>
  <c r="AS17" i="23"/>
  <c r="AT17" i="23"/>
  <c r="AU17" i="23"/>
  <c r="AV17" i="23"/>
  <c r="AW17" i="23"/>
  <c r="AX17" i="23"/>
  <c r="AY17" i="23"/>
  <c r="AZ17" i="23"/>
  <c r="BA17" i="23"/>
  <c r="BB17" i="23"/>
  <c r="BC17" i="23"/>
  <c r="BD17" i="23"/>
  <c r="BE17" i="23"/>
  <c r="BF17" i="23"/>
  <c r="BG17" i="23"/>
  <c r="BH17" i="23"/>
  <c r="BI17" i="23"/>
  <c r="BJ17" i="23"/>
  <c r="BK17" i="23"/>
  <c r="BL17" i="23"/>
  <c r="BM17" i="23"/>
  <c r="BN17" i="23"/>
  <c r="BO17" i="23"/>
  <c r="BP17" i="23"/>
  <c r="BQ17" i="23"/>
  <c r="BR17" i="23"/>
  <c r="BS17" i="23"/>
  <c r="BT17" i="23"/>
  <c r="BU17" i="23"/>
  <c r="BV17" i="23"/>
  <c r="BW17" i="23"/>
  <c r="BX17" i="23"/>
  <c r="BY17" i="23"/>
  <c r="BZ17" i="23"/>
  <c r="CA17" i="23"/>
  <c r="CB17" i="23"/>
  <c r="CC17" i="23"/>
  <c r="CD17" i="23"/>
  <c r="CE17" i="23"/>
  <c r="CG17" i="23"/>
  <c r="CH17" i="23"/>
  <c r="CI17" i="23"/>
  <c r="CJ17" i="23"/>
  <c r="CK17" i="23"/>
  <c r="CL17" i="23"/>
  <c r="CM17" i="23"/>
  <c r="CN17" i="23"/>
  <c r="CO17" i="23"/>
  <c r="CP17" i="23"/>
  <c r="CR17" i="23"/>
  <c r="CS17" i="23"/>
  <c r="CT17" i="23"/>
  <c r="CU17" i="23"/>
  <c r="CV17" i="23"/>
  <c r="CW17" i="23"/>
  <c r="CX17" i="23"/>
  <c r="CY17" i="23"/>
  <c r="CZ17" i="23"/>
  <c r="DA17" i="23"/>
  <c r="DB17" i="23"/>
  <c r="DC17" i="23"/>
  <c r="DD17" i="23"/>
  <c r="DE17" i="23"/>
  <c r="DF17" i="23"/>
  <c r="DG17" i="23"/>
  <c r="DH17" i="23"/>
  <c r="DI17" i="23"/>
  <c r="DJ17" i="23"/>
  <c r="DK17" i="23"/>
  <c r="DL17" i="23"/>
  <c r="DM17" i="23"/>
  <c r="DN17" i="23"/>
  <c r="DO17" i="23"/>
  <c r="DP17" i="23"/>
  <c r="DQ17" i="23"/>
  <c r="DR17" i="23"/>
  <c r="DS17" i="23"/>
  <c r="DT17" i="23"/>
  <c r="DU17" i="23"/>
  <c r="DV17" i="23"/>
  <c r="DW17" i="23"/>
  <c r="DX17" i="23"/>
  <c r="DY17" i="23"/>
  <c r="DZ17" i="23"/>
  <c r="EA17" i="23"/>
  <c r="D18" i="23"/>
  <c r="G18" i="23"/>
  <c r="H18" i="23"/>
  <c r="I18" i="23"/>
  <c r="J18" i="23"/>
  <c r="K18" i="23"/>
  <c r="L18" i="23"/>
  <c r="M18" i="23"/>
  <c r="N18" i="23"/>
  <c r="O18" i="23"/>
  <c r="P18" i="23"/>
  <c r="Q18" i="23"/>
  <c r="R18" i="23"/>
  <c r="S18" i="23"/>
  <c r="T18" i="23"/>
  <c r="U18" i="23"/>
  <c r="V18" i="23"/>
  <c r="W18" i="23"/>
  <c r="X18" i="23"/>
  <c r="Y18" i="23"/>
  <c r="Z18" i="23"/>
  <c r="AA18" i="23"/>
  <c r="AB18" i="23"/>
  <c r="AC18" i="23"/>
  <c r="AD18" i="23"/>
  <c r="AE18" i="23"/>
  <c r="AF18" i="23"/>
  <c r="AG18" i="23"/>
  <c r="AH18" i="23"/>
  <c r="AI18" i="23"/>
  <c r="AJ18" i="23"/>
  <c r="AK18" i="23"/>
  <c r="AL18" i="23"/>
  <c r="AM18" i="23"/>
  <c r="AN18" i="23"/>
  <c r="AO18" i="23"/>
  <c r="AP18" i="23"/>
  <c r="AQ18" i="23"/>
  <c r="AR18" i="23"/>
  <c r="AS18" i="23"/>
  <c r="AT18" i="23"/>
  <c r="AU18" i="23"/>
  <c r="AV18" i="23"/>
  <c r="AW18" i="23"/>
  <c r="AX18" i="23"/>
  <c r="AY18" i="23"/>
  <c r="AZ18" i="23"/>
  <c r="BA18" i="23"/>
  <c r="BB18" i="23"/>
  <c r="BC18" i="23"/>
  <c r="BD18" i="23"/>
  <c r="BE18" i="23"/>
  <c r="BF18" i="23"/>
  <c r="BG18" i="23"/>
  <c r="BH18" i="23"/>
  <c r="BI18" i="23"/>
  <c r="BJ18" i="23"/>
  <c r="BK18" i="23"/>
  <c r="BL18" i="23"/>
  <c r="BM18" i="23"/>
  <c r="BN18" i="23"/>
  <c r="BO18" i="23"/>
  <c r="BP18" i="23"/>
  <c r="BQ18" i="23"/>
  <c r="BR18" i="23"/>
  <c r="BS18" i="23"/>
  <c r="BT18" i="23"/>
  <c r="BU18" i="23"/>
  <c r="BV18" i="23"/>
  <c r="BW18" i="23"/>
  <c r="BX18" i="23"/>
  <c r="BY18" i="23"/>
  <c r="BZ18" i="23"/>
  <c r="CA18" i="23"/>
  <c r="CB18" i="23"/>
  <c r="CC18" i="23"/>
  <c r="CD18" i="23"/>
  <c r="CE18" i="23"/>
  <c r="CG18" i="23"/>
  <c r="CH18" i="23"/>
  <c r="CI18" i="23"/>
  <c r="CJ18" i="23"/>
  <c r="CK18" i="23"/>
  <c r="CL18" i="23"/>
  <c r="CM18" i="23"/>
  <c r="CN18" i="23"/>
  <c r="CO18" i="23"/>
  <c r="CP18" i="23"/>
  <c r="CR18" i="23"/>
  <c r="CS18" i="23"/>
  <c r="CT18" i="23"/>
  <c r="CU18" i="23"/>
  <c r="CV18" i="23"/>
  <c r="CW18" i="23"/>
  <c r="CX18" i="23"/>
  <c r="CY18" i="23"/>
  <c r="CZ18" i="23"/>
  <c r="DA18" i="23"/>
  <c r="DB18" i="23"/>
  <c r="DC18" i="23"/>
  <c r="DD18" i="23"/>
  <c r="DE18" i="23"/>
  <c r="DF18" i="23"/>
  <c r="DG18" i="23"/>
  <c r="DH18" i="23"/>
  <c r="DI18" i="23"/>
  <c r="DJ18" i="23"/>
  <c r="DK18" i="23"/>
  <c r="DL18" i="23"/>
  <c r="DM18" i="23"/>
  <c r="DN18" i="23"/>
  <c r="DO18" i="23"/>
  <c r="DP18" i="23"/>
  <c r="DQ18" i="23"/>
  <c r="DR18" i="23"/>
  <c r="DS18" i="23"/>
  <c r="DT18" i="23"/>
  <c r="DU18" i="23"/>
  <c r="DV18" i="23"/>
  <c r="DW18" i="23"/>
  <c r="DX18" i="23"/>
  <c r="DY18" i="23"/>
  <c r="DZ18" i="23"/>
  <c r="EA18" i="23"/>
  <c r="D19" i="23"/>
  <c r="G19" i="23"/>
  <c r="H19" i="23"/>
  <c r="I19" i="23"/>
  <c r="J19" i="23"/>
  <c r="K19" i="23"/>
  <c r="L19" i="23"/>
  <c r="M19" i="23"/>
  <c r="N19" i="23"/>
  <c r="O19" i="23"/>
  <c r="P19" i="23"/>
  <c r="Q19" i="23"/>
  <c r="R19" i="23"/>
  <c r="S19" i="23"/>
  <c r="T19" i="23"/>
  <c r="U19" i="23"/>
  <c r="V19" i="23"/>
  <c r="W19" i="23"/>
  <c r="X19" i="23"/>
  <c r="Y19" i="23"/>
  <c r="Z19" i="23"/>
  <c r="AA19" i="23"/>
  <c r="AB19" i="23"/>
  <c r="AC19" i="23"/>
  <c r="AD19" i="23"/>
  <c r="AE19" i="23"/>
  <c r="AF19" i="23"/>
  <c r="AG19" i="23"/>
  <c r="AH19" i="23"/>
  <c r="AI19" i="23"/>
  <c r="AJ19" i="23"/>
  <c r="AK19" i="23"/>
  <c r="AL19" i="23"/>
  <c r="AM19" i="23"/>
  <c r="AN19" i="23"/>
  <c r="AO19" i="23"/>
  <c r="AP19" i="23"/>
  <c r="AQ19" i="23"/>
  <c r="AR19" i="23"/>
  <c r="AS19" i="23"/>
  <c r="AT19" i="23"/>
  <c r="AU19" i="23"/>
  <c r="AV19" i="23"/>
  <c r="AW19" i="23"/>
  <c r="AX19" i="23"/>
  <c r="AY19" i="23"/>
  <c r="AZ19" i="23"/>
  <c r="BA19" i="23"/>
  <c r="BB19" i="23"/>
  <c r="BC19" i="23"/>
  <c r="BD19" i="23"/>
  <c r="BE19" i="23"/>
  <c r="BF19" i="23"/>
  <c r="BG19" i="23"/>
  <c r="BH19" i="23"/>
  <c r="BI19" i="23"/>
  <c r="BJ19" i="23"/>
  <c r="BK19" i="23"/>
  <c r="BL19" i="23"/>
  <c r="BM19" i="23"/>
  <c r="BN19" i="23"/>
  <c r="BO19" i="23"/>
  <c r="BP19" i="23"/>
  <c r="BQ19" i="23"/>
  <c r="BR19" i="23"/>
  <c r="BS19" i="23"/>
  <c r="BT19" i="23"/>
  <c r="BU19" i="23"/>
  <c r="BV19" i="23"/>
  <c r="BW19" i="23"/>
  <c r="BX19" i="23"/>
  <c r="BY19" i="23"/>
  <c r="BZ19" i="23"/>
  <c r="CA19" i="23"/>
  <c r="CB19" i="23"/>
  <c r="CC19" i="23"/>
  <c r="CD19" i="23"/>
  <c r="CE19" i="23"/>
  <c r="CG19" i="23"/>
  <c r="CH19" i="23"/>
  <c r="CI19" i="23"/>
  <c r="CJ19" i="23"/>
  <c r="CK19" i="23"/>
  <c r="CL19" i="23"/>
  <c r="CM19" i="23"/>
  <c r="CN19" i="23"/>
  <c r="CO19" i="23"/>
  <c r="CP19" i="23"/>
  <c r="CR19" i="23"/>
  <c r="CS19" i="23"/>
  <c r="CT19" i="23"/>
  <c r="CU19" i="23"/>
  <c r="CV19" i="23"/>
  <c r="CW19" i="23"/>
  <c r="CX19" i="23"/>
  <c r="CY19" i="23"/>
  <c r="CZ19" i="23"/>
  <c r="DA19" i="23"/>
  <c r="DB19" i="23"/>
  <c r="DC19" i="23"/>
  <c r="DD19" i="23"/>
  <c r="DE19" i="23"/>
  <c r="DF19" i="23"/>
  <c r="DG19" i="23"/>
  <c r="DH19" i="23"/>
  <c r="DI19" i="23"/>
  <c r="DJ19" i="23"/>
  <c r="DK19" i="23"/>
  <c r="DL19" i="23"/>
  <c r="DM19" i="23"/>
  <c r="DN19" i="23"/>
  <c r="DO19" i="23"/>
  <c r="DP19" i="23"/>
  <c r="DQ19" i="23"/>
  <c r="DR19" i="23"/>
  <c r="DS19" i="23"/>
  <c r="DT19" i="23"/>
  <c r="DU19" i="23"/>
  <c r="DV19" i="23"/>
  <c r="DW19" i="23"/>
  <c r="DX19" i="23"/>
  <c r="DY19" i="23"/>
  <c r="DZ19" i="23"/>
  <c r="EA19" i="23"/>
  <c r="D20" i="23"/>
  <c r="G20" i="23"/>
  <c r="H20" i="23"/>
  <c r="I20" i="23"/>
  <c r="J20" i="23"/>
  <c r="K20" i="23"/>
  <c r="L20" i="23"/>
  <c r="M20" i="23"/>
  <c r="N20" i="23"/>
  <c r="O20" i="23"/>
  <c r="P20" i="23"/>
  <c r="Q20" i="23"/>
  <c r="R20" i="23"/>
  <c r="S20" i="23"/>
  <c r="T20" i="23"/>
  <c r="U20" i="23"/>
  <c r="V20" i="23"/>
  <c r="W20" i="23"/>
  <c r="X20" i="23"/>
  <c r="Y20" i="23"/>
  <c r="Z20" i="23"/>
  <c r="AA20" i="23"/>
  <c r="AB20" i="23"/>
  <c r="AC20" i="23"/>
  <c r="AD20" i="23"/>
  <c r="AE20" i="23"/>
  <c r="AF20" i="23"/>
  <c r="AG20" i="23"/>
  <c r="AH20" i="23"/>
  <c r="AI20" i="23"/>
  <c r="AJ20" i="23"/>
  <c r="AK20" i="23"/>
  <c r="AL20" i="23"/>
  <c r="AM20" i="23"/>
  <c r="AN20" i="23"/>
  <c r="AO20" i="23"/>
  <c r="AP20" i="23"/>
  <c r="AQ20" i="23"/>
  <c r="AR20" i="23"/>
  <c r="AS20" i="23"/>
  <c r="AT20" i="23"/>
  <c r="AU20" i="23"/>
  <c r="AV20" i="23"/>
  <c r="AW20" i="23"/>
  <c r="AX20" i="23"/>
  <c r="AY20" i="23"/>
  <c r="AZ20" i="23"/>
  <c r="BA20" i="23"/>
  <c r="BB20" i="23"/>
  <c r="BC20" i="23"/>
  <c r="BD20" i="23"/>
  <c r="BE20" i="23"/>
  <c r="BF20" i="23"/>
  <c r="BG20" i="23"/>
  <c r="BH20" i="23"/>
  <c r="BI20" i="23"/>
  <c r="BJ20" i="23"/>
  <c r="BK20" i="23"/>
  <c r="BL20" i="23"/>
  <c r="BM20" i="23"/>
  <c r="BN20" i="23"/>
  <c r="BO20" i="23"/>
  <c r="BP20" i="23"/>
  <c r="BQ20" i="23"/>
  <c r="BR20" i="23"/>
  <c r="BS20" i="23"/>
  <c r="BT20" i="23"/>
  <c r="BU20" i="23"/>
  <c r="BV20" i="23"/>
  <c r="BW20" i="23"/>
  <c r="BX20" i="23"/>
  <c r="BY20" i="23"/>
  <c r="BZ20" i="23"/>
  <c r="CA20" i="23"/>
  <c r="CB20" i="23"/>
  <c r="CC20" i="23"/>
  <c r="CD20" i="23"/>
  <c r="CE20" i="23"/>
  <c r="CG20" i="23"/>
  <c r="CH20" i="23"/>
  <c r="CI20" i="23"/>
  <c r="CJ20" i="23"/>
  <c r="CK20" i="23"/>
  <c r="CL20" i="23"/>
  <c r="CM20" i="23"/>
  <c r="CN20" i="23"/>
  <c r="CO20" i="23"/>
  <c r="CP20" i="23"/>
  <c r="CR20" i="23"/>
  <c r="CS20" i="23"/>
  <c r="CT20" i="23"/>
  <c r="CU20" i="23"/>
  <c r="CV20" i="23"/>
  <c r="CW20" i="23"/>
  <c r="CX20" i="23"/>
  <c r="CY20" i="23"/>
  <c r="CZ20" i="23"/>
  <c r="DA20" i="23"/>
  <c r="DB20" i="23"/>
  <c r="DC20" i="23"/>
  <c r="DD20" i="23"/>
  <c r="DE20" i="23"/>
  <c r="DF20" i="23"/>
  <c r="DG20" i="23"/>
  <c r="DH20" i="23"/>
  <c r="DI20" i="23"/>
  <c r="DJ20" i="23"/>
  <c r="DK20" i="23"/>
  <c r="DL20" i="23"/>
  <c r="DM20" i="23"/>
  <c r="DN20" i="23"/>
  <c r="DO20" i="23"/>
  <c r="DP20" i="23"/>
  <c r="DQ20" i="23"/>
  <c r="DR20" i="23"/>
  <c r="DS20" i="23"/>
  <c r="DT20" i="23"/>
  <c r="DU20" i="23"/>
  <c r="DV20" i="23"/>
  <c r="DW20" i="23"/>
  <c r="DX20" i="23"/>
  <c r="DY20" i="23"/>
  <c r="DZ20" i="23"/>
  <c r="EA20" i="23"/>
  <c r="D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AG21" i="23"/>
  <c r="AH21" i="23"/>
  <c r="AI21" i="23"/>
  <c r="AJ21" i="23"/>
  <c r="AK21" i="23"/>
  <c r="AL21" i="23"/>
  <c r="AM21" i="23"/>
  <c r="AN21" i="23"/>
  <c r="AO21" i="23"/>
  <c r="AP21" i="23"/>
  <c r="AQ21" i="23"/>
  <c r="AR21" i="23"/>
  <c r="AS21" i="23"/>
  <c r="AT21" i="23"/>
  <c r="AU21" i="23"/>
  <c r="AV21" i="23"/>
  <c r="AW21" i="23"/>
  <c r="AX21" i="23"/>
  <c r="AY21" i="23"/>
  <c r="AZ21" i="23"/>
  <c r="BA21" i="23"/>
  <c r="BB21" i="23"/>
  <c r="BC21" i="23"/>
  <c r="BD21" i="23"/>
  <c r="BE21" i="23"/>
  <c r="BF21" i="23"/>
  <c r="BG21" i="23"/>
  <c r="BH21" i="23"/>
  <c r="BI21" i="23"/>
  <c r="BJ21" i="23"/>
  <c r="BK21" i="23"/>
  <c r="BL21" i="23"/>
  <c r="BM21" i="23"/>
  <c r="BN21" i="23"/>
  <c r="BO21" i="23"/>
  <c r="BP21" i="23"/>
  <c r="BQ21" i="23"/>
  <c r="BR21" i="23"/>
  <c r="BS21" i="23"/>
  <c r="BT21" i="23"/>
  <c r="BU21" i="23"/>
  <c r="BV21" i="23"/>
  <c r="BW21" i="23"/>
  <c r="BX21" i="23"/>
  <c r="BY21" i="23"/>
  <c r="BZ21" i="23"/>
  <c r="CA21" i="23"/>
  <c r="CB21" i="23"/>
  <c r="CC21" i="23"/>
  <c r="CD21" i="23"/>
  <c r="CE21" i="23"/>
  <c r="CG21" i="23"/>
  <c r="CH21" i="23"/>
  <c r="CI21" i="23"/>
  <c r="CJ21" i="23"/>
  <c r="CK21" i="23"/>
  <c r="CL21" i="23"/>
  <c r="CM21" i="23"/>
  <c r="CN21" i="23"/>
  <c r="CO21" i="23"/>
  <c r="CP21" i="23"/>
  <c r="CR21" i="23"/>
  <c r="CS21" i="23"/>
  <c r="CT21" i="23"/>
  <c r="CU21" i="23"/>
  <c r="CV21" i="23"/>
  <c r="CW21" i="23"/>
  <c r="CX21" i="23"/>
  <c r="CY21" i="23"/>
  <c r="CZ21" i="23"/>
  <c r="DA21" i="23"/>
  <c r="DB21" i="23"/>
  <c r="DC21" i="23"/>
  <c r="DD21" i="23"/>
  <c r="DE21" i="23"/>
  <c r="DF21" i="23"/>
  <c r="DG21" i="23"/>
  <c r="DH21" i="23"/>
  <c r="DI21" i="23"/>
  <c r="DJ21" i="23"/>
  <c r="DK21" i="23"/>
  <c r="DL21" i="23"/>
  <c r="DM21" i="23"/>
  <c r="DN21" i="23"/>
  <c r="DO21" i="23"/>
  <c r="DP21" i="23"/>
  <c r="DQ21" i="23"/>
  <c r="DR21" i="23"/>
  <c r="DS21" i="23"/>
  <c r="DT21" i="23"/>
  <c r="DU21" i="23"/>
  <c r="DV21" i="23"/>
  <c r="DW21" i="23"/>
  <c r="DX21" i="23"/>
  <c r="DY21" i="23"/>
  <c r="DZ21" i="23"/>
  <c r="EA21" i="23"/>
  <c r="D22" i="23"/>
  <c r="G22" i="23"/>
  <c r="H22" i="23"/>
  <c r="I22" i="23"/>
  <c r="J22" i="23"/>
  <c r="K22" i="23"/>
  <c r="L22" i="23"/>
  <c r="M22" i="23"/>
  <c r="N22" i="23"/>
  <c r="O22" i="23"/>
  <c r="P22" i="23"/>
  <c r="Q22" i="23"/>
  <c r="R22" i="23"/>
  <c r="S22" i="23"/>
  <c r="T22" i="23"/>
  <c r="U22" i="23"/>
  <c r="V22" i="23"/>
  <c r="W22" i="23"/>
  <c r="X22" i="23"/>
  <c r="Y22" i="23"/>
  <c r="Z22" i="23"/>
  <c r="AA22" i="23"/>
  <c r="AB22" i="23"/>
  <c r="AC22" i="23"/>
  <c r="AD22" i="23"/>
  <c r="AE22" i="23"/>
  <c r="AF22" i="23"/>
  <c r="AG22" i="23"/>
  <c r="AH22" i="23"/>
  <c r="AI22" i="23"/>
  <c r="AJ22" i="23"/>
  <c r="AK22" i="23"/>
  <c r="AL22" i="23"/>
  <c r="AM22" i="23"/>
  <c r="AN22" i="23"/>
  <c r="AO22" i="23"/>
  <c r="AP22" i="23"/>
  <c r="AQ22" i="23"/>
  <c r="AR22" i="23"/>
  <c r="AS22" i="23"/>
  <c r="AT22" i="23"/>
  <c r="AU22" i="23"/>
  <c r="AV22" i="23"/>
  <c r="AW22" i="23"/>
  <c r="AX22" i="23"/>
  <c r="AY22" i="23"/>
  <c r="AZ22" i="23"/>
  <c r="BA22" i="23"/>
  <c r="BB22" i="23"/>
  <c r="BC22" i="23"/>
  <c r="BD22" i="23"/>
  <c r="BE22" i="23"/>
  <c r="BF22" i="23"/>
  <c r="BG22" i="23"/>
  <c r="BH22" i="23"/>
  <c r="BI22" i="23"/>
  <c r="BJ22" i="23"/>
  <c r="BK22" i="23"/>
  <c r="BL22" i="23"/>
  <c r="BM22" i="23"/>
  <c r="BN22" i="23"/>
  <c r="BO22" i="23"/>
  <c r="BP22" i="23"/>
  <c r="BQ22" i="23"/>
  <c r="BR22" i="23"/>
  <c r="BS22" i="23"/>
  <c r="BT22" i="23"/>
  <c r="BU22" i="23"/>
  <c r="BV22" i="23"/>
  <c r="BW22" i="23"/>
  <c r="BX22" i="23"/>
  <c r="BY22" i="23"/>
  <c r="BZ22" i="23"/>
  <c r="CA22" i="23"/>
  <c r="CB22" i="23"/>
  <c r="CC22" i="23"/>
  <c r="CD22" i="23"/>
  <c r="CE22" i="23"/>
  <c r="CG22" i="23"/>
  <c r="CH22" i="23"/>
  <c r="CI22" i="23"/>
  <c r="CJ22" i="23"/>
  <c r="CK22" i="23"/>
  <c r="CL22" i="23"/>
  <c r="CM22" i="23"/>
  <c r="CN22" i="23"/>
  <c r="CO22" i="23"/>
  <c r="CP22" i="23"/>
  <c r="CR22" i="23"/>
  <c r="CS22" i="23"/>
  <c r="CT22" i="23"/>
  <c r="CU22" i="23"/>
  <c r="CV22" i="23"/>
  <c r="CW22" i="23"/>
  <c r="CX22" i="23"/>
  <c r="CY22" i="23"/>
  <c r="CZ22" i="23"/>
  <c r="DA22" i="23"/>
  <c r="DB22" i="23"/>
  <c r="DC22" i="23"/>
  <c r="DD22" i="23"/>
  <c r="DE22" i="23"/>
  <c r="DF22" i="23"/>
  <c r="DG22" i="23"/>
  <c r="DH22" i="23"/>
  <c r="DI22" i="23"/>
  <c r="DJ22" i="23"/>
  <c r="DK22" i="23"/>
  <c r="DL22" i="23"/>
  <c r="DM22" i="23"/>
  <c r="DN22" i="23"/>
  <c r="DO22" i="23"/>
  <c r="DP22" i="23"/>
  <c r="DQ22" i="23"/>
  <c r="DR22" i="23"/>
  <c r="DS22" i="23"/>
  <c r="DT22" i="23"/>
  <c r="DU22" i="23"/>
  <c r="DV22" i="23"/>
  <c r="DW22" i="23"/>
  <c r="DX22" i="23"/>
  <c r="DY22" i="23"/>
  <c r="DZ22" i="23"/>
  <c r="EA22" i="23"/>
  <c r="D23" i="23"/>
  <c r="G23" i="23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/>
  <c r="X23" i="23"/>
  <c r="Y23" i="23"/>
  <c r="Z23" i="23"/>
  <c r="AA23" i="23"/>
  <c r="AB23" i="23"/>
  <c r="AC23" i="23"/>
  <c r="AD23" i="23"/>
  <c r="AE23" i="23"/>
  <c r="AF23" i="23"/>
  <c r="AG23" i="23"/>
  <c r="AH23" i="23"/>
  <c r="AI23" i="23"/>
  <c r="AJ23" i="23"/>
  <c r="AK23" i="23"/>
  <c r="AL23" i="23"/>
  <c r="AM23" i="23"/>
  <c r="AN23" i="23"/>
  <c r="AO23" i="23"/>
  <c r="AP23" i="23"/>
  <c r="AQ23" i="23"/>
  <c r="AR23" i="23"/>
  <c r="AS23" i="23"/>
  <c r="AT23" i="23"/>
  <c r="AU23" i="23"/>
  <c r="AV23" i="23"/>
  <c r="AW23" i="23"/>
  <c r="AX23" i="23"/>
  <c r="AY23" i="23"/>
  <c r="AZ23" i="23"/>
  <c r="BA23" i="23"/>
  <c r="BB23" i="23"/>
  <c r="BC23" i="23"/>
  <c r="BD23" i="23"/>
  <c r="BE23" i="23"/>
  <c r="BF23" i="23"/>
  <c r="BG23" i="23"/>
  <c r="BH23" i="23"/>
  <c r="BI23" i="23"/>
  <c r="BJ23" i="23"/>
  <c r="BK23" i="23"/>
  <c r="BL23" i="23"/>
  <c r="BM23" i="23"/>
  <c r="BN23" i="23"/>
  <c r="BO23" i="23"/>
  <c r="BP23" i="23"/>
  <c r="BQ23" i="23"/>
  <c r="BR23" i="23"/>
  <c r="BS23" i="23"/>
  <c r="BT23" i="23"/>
  <c r="BU23" i="23"/>
  <c r="BV23" i="23"/>
  <c r="BW23" i="23"/>
  <c r="BX23" i="23"/>
  <c r="BY23" i="23"/>
  <c r="BZ23" i="23"/>
  <c r="CA23" i="23"/>
  <c r="CB23" i="23"/>
  <c r="CC23" i="23"/>
  <c r="CD23" i="23"/>
  <c r="CE23" i="23"/>
  <c r="CG23" i="23"/>
  <c r="CH23" i="23"/>
  <c r="CI23" i="23"/>
  <c r="CJ23" i="23"/>
  <c r="CK23" i="23"/>
  <c r="CL23" i="23"/>
  <c r="CM23" i="23"/>
  <c r="CN23" i="23"/>
  <c r="CO23" i="23"/>
  <c r="CP23" i="23"/>
  <c r="CR23" i="23"/>
  <c r="CS23" i="23"/>
  <c r="CT23" i="23"/>
  <c r="CU23" i="23"/>
  <c r="CV23" i="23"/>
  <c r="CW23" i="23"/>
  <c r="CX23" i="23"/>
  <c r="CY23" i="23"/>
  <c r="CZ23" i="23"/>
  <c r="DA23" i="23"/>
  <c r="DB23" i="23"/>
  <c r="DC23" i="23"/>
  <c r="DD23" i="23"/>
  <c r="DE23" i="23"/>
  <c r="DF23" i="23"/>
  <c r="DG23" i="23"/>
  <c r="DH23" i="23"/>
  <c r="DI23" i="23"/>
  <c r="DJ23" i="23"/>
  <c r="DK23" i="23"/>
  <c r="DL23" i="23"/>
  <c r="DM23" i="23"/>
  <c r="DN23" i="23"/>
  <c r="DO23" i="23"/>
  <c r="DP23" i="23"/>
  <c r="DQ23" i="23"/>
  <c r="DR23" i="23"/>
  <c r="DS23" i="23"/>
  <c r="DT23" i="23"/>
  <c r="DU23" i="23"/>
  <c r="DV23" i="23"/>
  <c r="DW23" i="23"/>
  <c r="DX23" i="23"/>
  <c r="DY23" i="23"/>
  <c r="DZ23" i="23"/>
  <c r="EA23" i="23"/>
  <c r="D24" i="23"/>
  <c r="G24" i="23"/>
  <c r="H24" i="23"/>
  <c r="I24" i="23"/>
  <c r="J24" i="23"/>
  <c r="K24" i="23"/>
  <c r="L24" i="23"/>
  <c r="M24" i="23"/>
  <c r="N24" i="23"/>
  <c r="O24" i="23"/>
  <c r="P24" i="23"/>
  <c r="Q24" i="23"/>
  <c r="R24" i="23"/>
  <c r="S24" i="23"/>
  <c r="T24" i="23"/>
  <c r="U24" i="23"/>
  <c r="V24" i="23"/>
  <c r="W24" i="23"/>
  <c r="X24" i="23"/>
  <c r="Y24" i="23"/>
  <c r="Z24" i="23"/>
  <c r="AA24" i="23"/>
  <c r="AB24" i="23"/>
  <c r="AC24" i="23"/>
  <c r="AD24" i="23"/>
  <c r="AE24" i="23"/>
  <c r="AF24" i="23"/>
  <c r="AG24" i="23"/>
  <c r="AH24" i="23"/>
  <c r="AI24" i="23"/>
  <c r="AJ24" i="23"/>
  <c r="AK24" i="23"/>
  <c r="AL24" i="23"/>
  <c r="AM24" i="23"/>
  <c r="AN24" i="23"/>
  <c r="AO24" i="23"/>
  <c r="AP24" i="23"/>
  <c r="AQ24" i="23"/>
  <c r="AR24" i="23"/>
  <c r="AS24" i="23"/>
  <c r="AT24" i="23"/>
  <c r="AU24" i="23"/>
  <c r="AV24" i="23"/>
  <c r="AW24" i="23"/>
  <c r="AX24" i="23"/>
  <c r="AY24" i="23"/>
  <c r="AZ24" i="23"/>
  <c r="BA24" i="23"/>
  <c r="BB24" i="23"/>
  <c r="BC24" i="23"/>
  <c r="BD24" i="23"/>
  <c r="BE24" i="23"/>
  <c r="BF24" i="23"/>
  <c r="BG24" i="23"/>
  <c r="BH24" i="23"/>
  <c r="BI24" i="23"/>
  <c r="BJ24" i="23"/>
  <c r="BK24" i="23"/>
  <c r="BL24" i="23"/>
  <c r="BM24" i="23"/>
  <c r="BN24" i="23"/>
  <c r="BO24" i="23"/>
  <c r="BP24" i="23"/>
  <c r="BQ24" i="23"/>
  <c r="BR24" i="23"/>
  <c r="BS24" i="23"/>
  <c r="BT24" i="23"/>
  <c r="BU24" i="23"/>
  <c r="BV24" i="23"/>
  <c r="BW24" i="23"/>
  <c r="BX24" i="23"/>
  <c r="BY24" i="23"/>
  <c r="BZ24" i="23"/>
  <c r="CA24" i="23"/>
  <c r="CB24" i="23"/>
  <c r="CC24" i="23"/>
  <c r="CD24" i="23"/>
  <c r="CE24" i="23"/>
  <c r="CG24" i="23"/>
  <c r="CH24" i="23"/>
  <c r="CI24" i="23"/>
  <c r="CJ24" i="23"/>
  <c r="CK24" i="23"/>
  <c r="CL24" i="23"/>
  <c r="CM24" i="23"/>
  <c r="CN24" i="23"/>
  <c r="CO24" i="23"/>
  <c r="CP24" i="23"/>
  <c r="CR24" i="23"/>
  <c r="CS24" i="23"/>
  <c r="CT24" i="23"/>
  <c r="CU24" i="23"/>
  <c r="CV24" i="23"/>
  <c r="CW24" i="23"/>
  <c r="CX24" i="23"/>
  <c r="CY24" i="23"/>
  <c r="CZ24" i="23"/>
  <c r="DA24" i="23"/>
  <c r="DB24" i="23"/>
  <c r="DC24" i="23"/>
  <c r="DD24" i="23"/>
  <c r="DE24" i="23"/>
  <c r="DF24" i="23"/>
  <c r="DG24" i="23"/>
  <c r="DH24" i="23"/>
  <c r="DI24" i="23"/>
  <c r="DJ24" i="23"/>
  <c r="DK24" i="23"/>
  <c r="DL24" i="23"/>
  <c r="DM24" i="23"/>
  <c r="DN24" i="23"/>
  <c r="DO24" i="23"/>
  <c r="DP24" i="23"/>
  <c r="DQ24" i="23"/>
  <c r="DR24" i="23"/>
  <c r="DS24" i="23"/>
  <c r="DT24" i="23"/>
  <c r="DU24" i="23"/>
  <c r="DV24" i="23"/>
  <c r="DW24" i="23"/>
  <c r="DX24" i="23"/>
  <c r="DY24" i="23"/>
  <c r="DZ24" i="23"/>
  <c r="EA24" i="23"/>
  <c r="D25" i="23"/>
  <c r="G25" i="23"/>
  <c r="H25" i="23"/>
  <c r="I25" i="23"/>
  <c r="J25" i="23"/>
  <c r="K25" i="23"/>
  <c r="L25" i="23"/>
  <c r="M25" i="23"/>
  <c r="N25" i="23"/>
  <c r="O25" i="23"/>
  <c r="P25" i="23"/>
  <c r="Q25" i="23"/>
  <c r="R25" i="23"/>
  <c r="S25" i="23"/>
  <c r="T25" i="23"/>
  <c r="U25" i="23"/>
  <c r="V25" i="23"/>
  <c r="W25" i="23"/>
  <c r="X25" i="23"/>
  <c r="Y25" i="23"/>
  <c r="Z25" i="23"/>
  <c r="AA25" i="23"/>
  <c r="AB25" i="23"/>
  <c r="AC25" i="23"/>
  <c r="AD25" i="23"/>
  <c r="AE25" i="23"/>
  <c r="AF25" i="23"/>
  <c r="AG25" i="23"/>
  <c r="AH25" i="23"/>
  <c r="AI25" i="23"/>
  <c r="AJ25" i="23"/>
  <c r="AK25" i="23"/>
  <c r="AL25" i="23"/>
  <c r="AM25" i="23"/>
  <c r="AN25" i="23"/>
  <c r="AO25" i="23"/>
  <c r="AP25" i="23"/>
  <c r="AQ25" i="23"/>
  <c r="AR25" i="23"/>
  <c r="AS25" i="23"/>
  <c r="AT25" i="23"/>
  <c r="AU25" i="23"/>
  <c r="AV25" i="23"/>
  <c r="AW25" i="23"/>
  <c r="AX25" i="23"/>
  <c r="AY25" i="23"/>
  <c r="AZ25" i="23"/>
  <c r="BA25" i="23"/>
  <c r="BB25" i="23"/>
  <c r="BC25" i="23"/>
  <c r="BD25" i="23"/>
  <c r="BE25" i="23"/>
  <c r="BF25" i="23"/>
  <c r="BG25" i="23"/>
  <c r="BH25" i="23"/>
  <c r="BI25" i="23"/>
  <c r="BJ25" i="23"/>
  <c r="BK25" i="23"/>
  <c r="BL25" i="23"/>
  <c r="BM25" i="23"/>
  <c r="BN25" i="23"/>
  <c r="BO25" i="23"/>
  <c r="BP25" i="23"/>
  <c r="BQ25" i="23"/>
  <c r="BR25" i="23"/>
  <c r="BS25" i="23"/>
  <c r="BT25" i="23"/>
  <c r="BU25" i="23"/>
  <c r="BV25" i="23"/>
  <c r="BW25" i="23"/>
  <c r="BX25" i="23"/>
  <c r="BY25" i="23"/>
  <c r="BZ25" i="23"/>
  <c r="CA25" i="23"/>
  <c r="CB25" i="23"/>
  <c r="CC25" i="23"/>
  <c r="CD25" i="23"/>
  <c r="CE25" i="23"/>
  <c r="CG25" i="23"/>
  <c r="CH25" i="23"/>
  <c r="CI25" i="23"/>
  <c r="CJ25" i="23"/>
  <c r="CK25" i="23"/>
  <c r="CL25" i="23"/>
  <c r="CM25" i="23"/>
  <c r="CN25" i="23"/>
  <c r="CO25" i="23"/>
  <c r="CP25" i="23"/>
  <c r="CR25" i="23"/>
  <c r="CS25" i="23"/>
  <c r="CT25" i="23"/>
  <c r="CU25" i="23"/>
  <c r="CV25" i="23"/>
  <c r="CW25" i="23"/>
  <c r="CX25" i="23"/>
  <c r="CY25" i="23"/>
  <c r="CZ25" i="23"/>
  <c r="DA25" i="23"/>
  <c r="DB25" i="23"/>
  <c r="DC25" i="23"/>
  <c r="DD25" i="23"/>
  <c r="DE25" i="23"/>
  <c r="DF25" i="23"/>
  <c r="DG25" i="23"/>
  <c r="DH25" i="23"/>
  <c r="DI25" i="23"/>
  <c r="DJ25" i="23"/>
  <c r="DK25" i="23"/>
  <c r="DL25" i="23"/>
  <c r="DM25" i="23"/>
  <c r="DN25" i="23"/>
  <c r="DO25" i="23"/>
  <c r="DP25" i="23"/>
  <c r="DQ25" i="23"/>
  <c r="DR25" i="23"/>
  <c r="DS25" i="23"/>
  <c r="DT25" i="23"/>
  <c r="DU25" i="23"/>
  <c r="DV25" i="23"/>
  <c r="DW25" i="23"/>
  <c r="DX25" i="23"/>
  <c r="DY25" i="23"/>
  <c r="DZ25" i="23"/>
  <c r="EA25" i="23"/>
  <c r="EA14" i="23"/>
  <c r="DZ14" i="23"/>
  <c r="DY14" i="23"/>
  <c r="DX14" i="23"/>
  <c r="DW14" i="23"/>
  <c r="DV14" i="23"/>
  <c r="DU14" i="23"/>
  <c r="DT14" i="23"/>
  <c r="DS14" i="23"/>
  <c r="DR14" i="23"/>
  <c r="DQ14" i="23"/>
  <c r="DP14" i="23"/>
  <c r="DO14" i="23"/>
  <c r="DN14" i="23"/>
  <c r="DM14" i="23"/>
  <c r="DL14" i="23"/>
  <c r="DK14" i="23"/>
  <c r="DJ14" i="23"/>
  <c r="DI14" i="23"/>
  <c r="DH14" i="23"/>
  <c r="DG14" i="23"/>
  <c r="DF14" i="23"/>
  <c r="DE14" i="23"/>
  <c r="DD14" i="23"/>
  <c r="DC14" i="23"/>
  <c r="DB14" i="23"/>
  <c r="DA14" i="23"/>
  <c r="CZ14" i="23"/>
  <c r="CY14" i="23"/>
  <c r="CX14" i="23"/>
  <c r="CW14" i="23"/>
  <c r="CV14" i="23"/>
  <c r="CU14" i="23"/>
  <c r="CT14" i="23"/>
  <c r="CS14" i="23"/>
  <c r="CR14" i="23"/>
  <c r="CP14" i="23"/>
  <c r="CO14" i="23"/>
  <c r="CN14" i="23"/>
  <c r="CM14" i="23"/>
  <c r="CL14" i="23"/>
  <c r="CK14" i="23"/>
  <c r="CJ14" i="23"/>
  <c r="CI14" i="23"/>
  <c r="CH14" i="23"/>
  <c r="CG14" i="23"/>
  <c r="CE14" i="23"/>
  <c r="CD14" i="23"/>
  <c r="CC14" i="23"/>
  <c r="CB14" i="23"/>
  <c r="CA14" i="23"/>
  <c r="BZ14" i="23"/>
  <c r="BY14" i="23"/>
  <c r="BX14" i="23"/>
  <c r="BW14" i="23"/>
  <c r="BV14" i="23"/>
  <c r="BU14" i="23"/>
  <c r="BT14" i="23"/>
  <c r="BS14" i="23"/>
  <c r="BR14" i="23"/>
  <c r="BQ14" i="23"/>
  <c r="BP14" i="23"/>
  <c r="BO14" i="23"/>
  <c r="BN14" i="23"/>
  <c r="BM14" i="23"/>
  <c r="BL14" i="23"/>
  <c r="BK14" i="23"/>
  <c r="BJ14" i="23"/>
  <c r="BI14" i="23"/>
  <c r="BH14" i="23"/>
  <c r="BG14" i="23"/>
  <c r="BF14" i="23"/>
  <c r="BE14" i="23"/>
  <c r="BD14" i="23"/>
  <c r="BC14" i="23"/>
  <c r="BB14" i="23"/>
  <c r="BA14" i="23"/>
  <c r="AZ14" i="23"/>
  <c r="AY14" i="23"/>
  <c r="AX14" i="23"/>
  <c r="AW14" i="23"/>
  <c r="AV14" i="23"/>
  <c r="AU14" i="23"/>
  <c r="AT14" i="23"/>
  <c r="AS14" i="23"/>
  <c r="AR14" i="23"/>
  <c r="AQ14" i="23"/>
  <c r="AP14" i="23"/>
  <c r="AO14" i="23"/>
  <c r="AN14" i="23"/>
  <c r="AM14" i="23"/>
  <c r="AL14" i="23"/>
  <c r="AK14" i="23"/>
  <c r="AJ14" i="23"/>
  <c r="AI14" i="23"/>
  <c r="AH14" i="23"/>
  <c r="AG14" i="23"/>
  <c r="AF14" i="23"/>
  <c r="AE14" i="23"/>
  <c r="AD14" i="23"/>
  <c r="AC14" i="23"/>
  <c r="AB14" i="23"/>
  <c r="AA14" i="23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D14" i="23"/>
  <c r="J241" i="20"/>
  <c r="I241" i="20"/>
  <c r="H241" i="20"/>
  <c r="G241" i="20"/>
  <c r="F241" i="20"/>
  <c r="E241" i="20"/>
  <c r="D241" i="20"/>
  <c r="C241" i="20"/>
  <c r="B241" i="20"/>
  <c r="J236" i="20"/>
  <c r="I236" i="20"/>
  <c r="H236" i="20"/>
  <c r="G236" i="20"/>
  <c r="F236" i="20"/>
  <c r="E236" i="20"/>
  <c r="D236" i="20"/>
  <c r="C236" i="20"/>
  <c r="B236" i="20"/>
  <c r="J227" i="20"/>
  <c r="I227" i="20"/>
  <c r="H227" i="20"/>
  <c r="G227" i="20"/>
  <c r="F227" i="20"/>
  <c r="E227" i="20"/>
  <c r="D227" i="20"/>
  <c r="C227" i="20"/>
  <c r="B227" i="20"/>
  <c r="J223" i="20"/>
  <c r="I223" i="20"/>
  <c r="H223" i="20"/>
  <c r="G223" i="20"/>
  <c r="F223" i="20"/>
  <c r="E223" i="20"/>
  <c r="D223" i="20"/>
  <c r="C223" i="20"/>
  <c r="B223" i="20"/>
  <c r="J219" i="20"/>
  <c r="I219" i="20"/>
  <c r="H219" i="20"/>
  <c r="G219" i="20"/>
  <c r="F219" i="20"/>
  <c r="E219" i="20"/>
  <c r="D219" i="20"/>
  <c r="C219" i="20"/>
  <c r="B219" i="20"/>
  <c r="J214" i="20"/>
  <c r="I214" i="20"/>
  <c r="H214" i="20"/>
  <c r="G214" i="20"/>
  <c r="F214" i="20"/>
  <c r="E214" i="20"/>
  <c r="D214" i="20"/>
  <c r="C214" i="20"/>
  <c r="B214" i="20"/>
  <c r="J209" i="20"/>
  <c r="I209" i="20"/>
  <c r="H209" i="20"/>
  <c r="G209" i="20"/>
  <c r="F209" i="20"/>
  <c r="E209" i="20"/>
  <c r="D209" i="20"/>
  <c r="C209" i="20"/>
  <c r="B209" i="20"/>
  <c r="J205" i="20"/>
  <c r="I205" i="20"/>
  <c r="H205" i="20"/>
  <c r="G205" i="20"/>
  <c r="F205" i="20"/>
  <c r="E205" i="20"/>
  <c r="D205" i="20"/>
  <c r="C205" i="20"/>
  <c r="B205" i="20"/>
  <c r="J193" i="20"/>
  <c r="I193" i="20"/>
  <c r="H193" i="20"/>
  <c r="G193" i="20"/>
  <c r="F193" i="20"/>
  <c r="E193" i="20"/>
  <c r="D193" i="20"/>
  <c r="C193" i="20"/>
  <c r="B193" i="20"/>
  <c r="J187" i="20"/>
  <c r="I187" i="20"/>
  <c r="H187" i="20"/>
  <c r="G187" i="20"/>
  <c r="F187" i="20"/>
  <c r="E187" i="20"/>
  <c r="D187" i="20"/>
  <c r="C187" i="20"/>
  <c r="B187" i="20"/>
  <c r="J182" i="20"/>
  <c r="I182" i="20"/>
  <c r="H182" i="20"/>
  <c r="G182" i="20"/>
  <c r="F182" i="20"/>
  <c r="E182" i="20"/>
  <c r="D182" i="20"/>
  <c r="C182" i="20"/>
  <c r="B182" i="20"/>
  <c r="J178" i="20"/>
  <c r="I178" i="20"/>
  <c r="H178" i="20"/>
  <c r="G178" i="20"/>
  <c r="F178" i="20"/>
  <c r="E178" i="20"/>
  <c r="D178" i="20"/>
  <c r="C178" i="20"/>
  <c r="B178" i="20"/>
  <c r="J172" i="20"/>
  <c r="I172" i="20"/>
  <c r="H172" i="20"/>
  <c r="G172" i="20"/>
  <c r="F172" i="20"/>
  <c r="E172" i="20"/>
  <c r="D172" i="20"/>
  <c r="C172" i="20"/>
  <c r="B172" i="20"/>
  <c r="J164" i="20"/>
  <c r="I164" i="20"/>
  <c r="H164" i="20"/>
  <c r="G164" i="20"/>
  <c r="F164" i="20"/>
  <c r="E164" i="20"/>
  <c r="D164" i="20"/>
  <c r="C164" i="20"/>
  <c r="B164" i="20"/>
  <c r="J157" i="20"/>
  <c r="I157" i="20"/>
  <c r="H157" i="20"/>
  <c r="G157" i="20"/>
  <c r="F157" i="20"/>
  <c r="E157" i="20"/>
  <c r="D157" i="20"/>
  <c r="C157" i="20"/>
  <c r="B157" i="20"/>
  <c r="J150" i="20"/>
  <c r="I150" i="20"/>
  <c r="H150" i="20"/>
  <c r="G150" i="20"/>
  <c r="F150" i="20"/>
  <c r="E150" i="20"/>
  <c r="D150" i="20"/>
  <c r="C150" i="20"/>
  <c r="B150" i="20"/>
  <c r="J146" i="20"/>
  <c r="I146" i="20"/>
  <c r="H146" i="20"/>
  <c r="G146" i="20"/>
  <c r="F146" i="20"/>
  <c r="E146" i="20"/>
  <c r="D146" i="20"/>
  <c r="C146" i="20"/>
  <c r="B146" i="20"/>
  <c r="J138" i="20"/>
  <c r="I138" i="20"/>
  <c r="H138" i="20"/>
  <c r="G138" i="20"/>
  <c r="F138" i="20"/>
  <c r="E138" i="20"/>
  <c r="D138" i="20"/>
  <c r="C138" i="20"/>
  <c r="B138" i="20"/>
  <c r="J133" i="20"/>
  <c r="I133" i="20"/>
  <c r="H133" i="20"/>
  <c r="G133" i="20"/>
  <c r="F133" i="20"/>
  <c r="E133" i="20"/>
  <c r="D133" i="20"/>
  <c r="C133" i="20"/>
  <c r="B133" i="20"/>
  <c r="J129" i="20"/>
  <c r="I129" i="20"/>
  <c r="H129" i="20"/>
  <c r="G129" i="20"/>
  <c r="F129" i="20"/>
  <c r="E129" i="20"/>
  <c r="D129" i="20"/>
  <c r="C129" i="20"/>
  <c r="B129" i="20"/>
  <c r="J116" i="20"/>
  <c r="I116" i="20"/>
  <c r="H116" i="20"/>
  <c r="G116" i="20"/>
  <c r="F116" i="20"/>
  <c r="E116" i="20"/>
  <c r="D116" i="20"/>
  <c r="C116" i="20"/>
  <c r="B116" i="20"/>
  <c r="J104" i="20"/>
  <c r="I104" i="20"/>
  <c r="H104" i="20"/>
  <c r="G104" i="20"/>
  <c r="F104" i="20"/>
  <c r="E104" i="20"/>
  <c r="D104" i="20"/>
  <c r="C104" i="20"/>
  <c r="B104" i="20"/>
  <c r="J90" i="20"/>
  <c r="I90" i="20"/>
  <c r="H90" i="20"/>
  <c r="G90" i="20"/>
  <c r="F90" i="20"/>
  <c r="E90" i="20"/>
  <c r="D90" i="20"/>
  <c r="C90" i="20"/>
  <c r="B90" i="20"/>
  <c r="J87" i="20"/>
  <c r="I87" i="20"/>
  <c r="H87" i="20"/>
  <c r="G87" i="20"/>
  <c r="F87" i="20"/>
  <c r="E87" i="20"/>
  <c r="D87" i="20"/>
  <c r="C87" i="20"/>
  <c r="B87" i="20"/>
  <c r="J76" i="20"/>
  <c r="I76" i="20"/>
  <c r="H76" i="20"/>
  <c r="G76" i="20"/>
  <c r="F76" i="20"/>
  <c r="E76" i="20"/>
  <c r="D76" i="20"/>
  <c r="C76" i="20"/>
  <c r="B76" i="20"/>
  <c r="J60" i="20"/>
  <c r="I60" i="20"/>
  <c r="H60" i="20"/>
  <c r="G60" i="20"/>
  <c r="F60" i="20"/>
  <c r="E60" i="20"/>
  <c r="D60" i="20"/>
  <c r="C60" i="20"/>
  <c r="B60" i="20"/>
  <c r="J57" i="20"/>
  <c r="I57" i="20"/>
  <c r="H57" i="20"/>
  <c r="G57" i="20"/>
  <c r="F57" i="20"/>
  <c r="E57" i="20"/>
  <c r="D57" i="20"/>
  <c r="C57" i="20"/>
  <c r="B57" i="20"/>
  <c r="J49" i="20"/>
  <c r="J54" i="20" s="1"/>
  <c r="I49" i="20"/>
  <c r="I54" i="20" s="1"/>
  <c r="H49" i="20"/>
  <c r="H54" i="20" s="1"/>
  <c r="G49" i="20"/>
  <c r="G54" i="20" s="1"/>
  <c r="F49" i="20"/>
  <c r="F54" i="20" s="1"/>
  <c r="E49" i="20"/>
  <c r="E54" i="20" s="1"/>
  <c r="D49" i="20"/>
  <c r="D54" i="20" s="1"/>
  <c r="C49" i="20"/>
  <c r="C54" i="20" s="1"/>
  <c r="B49" i="20"/>
  <c r="B54" i="20" s="1"/>
  <c r="J38" i="20"/>
  <c r="I38" i="20"/>
  <c r="H38" i="20"/>
  <c r="G38" i="20"/>
  <c r="F38" i="20"/>
  <c r="E38" i="20"/>
  <c r="D38" i="20"/>
  <c r="C38" i="20"/>
  <c r="B38" i="20"/>
  <c r="J29" i="20"/>
  <c r="I29" i="20"/>
  <c r="H29" i="20"/>
  <c r="G29" i="20"/>
  <c r="F29" i="20"/>
  <c r="E29" i="20"/>
  <c r="D29" i="20"/>
  <c r="C29" i="20"/>
  <c r="B29" i="20"/>
  <c r="J27" i="20"/>
  <c r="I27" i="20"/>
  <c r="H27" i="20"/>
  <c r="G27" i="20"/>
  <c r="F27" i="20"/>
  <c r="E27" i="20"/>
  <c r="D27" i="20"/>
  <c r="C27" i="20"/>
  <c r="B27" i="20"/>
  <c r="J13" i="20"/>
  <c r="I13" i="20"/>
  <c r="H13" i="20"/>
  <c r="G13" i="20"/>
  <c r="F13" i="20"/>
  <c r="E13" i="20"/>
  <c r="D13" i="20"/>
  <c r="C13" i="20"/>
  <c r="B13" i="20"/>
  <c r="J8" i="20"/>
  <c r="I8" i="20"/>
  <c r="H8" i="20"/>
  <c r="G8" i="20"/>
  <c r="F8" i="20"/>
  <c r="E8" i="20"/>
  <c r="D8" i="20"/>
  <c r="C8" i="20"/>
  <c r="B8" i="20"/>
  <c r="J241" i="19"/>
  <c r="I241" i="19"/>
  <c r="H241" i="19"/>
  <c r="G241" i="19"/>
  <c r="F241" i="19"/>
  <c r="E241" i="19"/>
  <c r="D241" i="19"/>
  <c r="C241" i="19"/>
  <c r="B241" i="19"/>
  <c r="J236" i="19"/>
  <c r="I236" i="19"/>
  <c r="H236" i="19"/>
  <c r="G236" i="19"/>
  <c r="F236" i="19"/>
  <c r="E236" i="19"/>
  <c r="D236" i="19"/>
  <c r="C236" i="19"/>
  <c r="B236" i="19"/>
  <c r="J227" i="19"/>
  <c r="I227" i="19"/>
  <c r="H227" i="19"/>
  <c r="G227" i="19"/>
  <c r="F227" i="19"/>
  <c r="E227" i="19"/>
  <c r="D227" i="19"/>
  <c r="C227" i="19"/>
  <c r="B227" i="19"/>
  <c r="J223" i="19"/>
  <c r="I223" i="19"/>
  <c r="H223" i="19"/>
  <c r="G223" i="19"/>
  <c r="F223" i="19"/>
  <c r="E223" i="19"/>
  <c r="D223" i="19"/>
  <c r="C223" i="19"/>
  <c r="B223" i="19"/>
  <c r="J219" i="19"/>
  <c r="I219" i="19"/>
  <c r="H219" i="19"/>
  <c r="G219" i="19"/>
  <c r="F219" i="19"/>
  <c r="E219" i="19"/>
  <c r="D219" i="19"/>
  <c r="C219" i="19"/>
  <c r="B219" i="19"/>
  <c r="J214" i="19"/>
  <c r="I214" i="19"/>
  <c r="H214" i="19"/>
  <c r="G214" i="19"/>
  <c r="F214" i="19"/>
  <c r="E214" i="19"/>
  <c r="D214" i="19"/>
  <c r="C214" i="19"/>
  <c r="B214" i="19"/>
  <c r="J209" i="19"/>
  <c r="I209" i="19"/>
  <c r="H209" i="19"/>
  <c r="G209" i="19"/>
  <c r="F209" i="19"/>
  <c r="E209" i="19"/>
  <c r="D209" i="19"/>
  <c r="C209" i="19"/>
  <c r="B209" i="19"/>
  <c r="J205" i="19"/>
  <c r="I205" i="19"/>
  <c r="H205" i="19"/>
  <c r="G205" i="19"/>
  <c r="F205" i="19"/>
  <c r="E205" i="19"/>
  <c r="D205" i="19"/>
  <c r="C205" i="19"/>
  <c r="B205" i="19"/>
  <c r="J193" i="19"/>
  <c r="I193" i="19"/>
  <c r="H193" i="19"/>
  <c r="G193" i="19"/>
  <c r="F193" i="19"/>
  <c r="E193" i="19"/>
  <c r="D193" i="19"/>
  <c r="C193" i="19"/>
  <c r="B193" i="19"/>
  <c r="J187" i="19"/>
  <c r="I187" i="19"/>
  <c r="H187" i="19"/>
  <c r="G187" i="19"/>
  <c r="F187" i="19"/>
  <c r="E187" i="19"/>
  <c r="D187" i="19"/>
  <c r="C187" i="19"/>
  <c r="B187" i="19"/>
  <c r="J182" i="19"/>
  <c r="I182" i="19"/>
  <c r="H182" i="19"/>
  <c r="G182" i="19"/>
  <c r="F182" i="19"/>
  <c r="E182" i="19"/>
  <c r="D182" i="19"/>
  <c r="C182" i="19"/>
  <c r="B182" i="19"/>
  <c r="J178" i="19"/>
  <c r="I178" i="19"/>
  <c r="H178" i="19"/>
  <c r="G178" i="19"/>
  <c r="F178" i="19"/>
  <c r="E178" i="19"/>
  <c r="D178" i="19"/>
  <c r="C178" i="19"/>
  <c r="B178" i="19"/>
  <c r="J172" i="19"/>
  <c r="I172" i="19"/>
  <c r="H172" i="19"/>
  <c r="G172" i="19"/>
  <c r="F172" i="19"/>
  <c r="E172" i="19"/>
  <c r="D172" i="19"/>
  <c r="C172" i="19"/>
  <c r="B172" i="19"/>
  <c r="J164" i="19"/>
  <c r="I164" i="19"/>
  <c r="H164" i="19"/>
  <c r="G164" i="19"/>
  <c r="F164" i="19"/>
  <c r="E164" i="19"/>
  <c r="D164" i="19"/>
  <c r="C164" i="19"/>
  <c r="B164" i="19"/>
  <c r="J157" i="19"/>
  <c r="I157" i="19"/>
  <c r="H157" i="19"/>
  <c r="G157" i="19"/>
  <c r="F157" i="19"/>
  <c r="E157" i="19"/>
  <c r="D157" i="19"/>
  <c r="C157" i="19"/>
  <c r="B157" i="19"/>
  <c r="J150" i="19"/>
  <c r="I150" i="19"/>
  <c r="H150" i="19"/>
  <c r="G150" i="19"/>
  <c r="F150" i="19"/>
  <c r="E150" i="19"/>
  <c r="D150" i="19"/>
  <c r="C150" i="19"/>
  <c r="B150" i="19"/>
  <c r="J146" i="19"/>
  <c r="I146" i="19"/>
  <c r="H146" i="19"/>
  <c r="G146" i="19"/>
  <c r="F146" i="19"/>
  <c r="E146" i="19"/>
  <c r="D146" i="19"/>
  <c r="C146" i="19"/>
  <c r="B146" i="19"/>
  <c r="J138" i="19"/>
  <c r="I138" i="19"/>
  <c r="H138" i="19"/>
  <c r="G138" i="19"/>
  <c r="F138" i="19"/>
  <c r="E138" i="19"/>
  <c r="D138" i="19"/>
  <c r="C138" i="19"/>
  <c r="B138" i="19"/>
  <c r="J133" i="19"/>
  <c r="I133" i="19"/>
  <c r="H133" i="19"/>
  <c r="G133" i="19"/>
  <c r="F133" i="19"/>
  <c r="E133" i="19"/>
  <c r="D133" i="19"/>
  <c r="C133" i="19"/>
  <c r="B133" i="19"/>
  <c r="J129" i="19"/>
  <c r="I129" i="19"/>
  <c r="H129" i="19"/>
  <c r="G129" i="19"/>
  <c r="F129" i="19"/>
  <c r="E129" i="19"/>
  <c r="D129" i="19"/>
  <c r="C129" i="19"/>
  <c r="B129" i="19"/>
  <c r="J116" i="19"/>
  <c r="I116" i="19"/>
  <c r="H116" i="19"/>
  <c r="G116" i="19"/>
  <c r="F116" i="19"/>
  <c r="E116" i="19"/>
  <c r="D116" i="19"/>
  <c r="C116" i="19"/>
  <c r="B116" i="19"/>
  <c r="J104" i="19"/>
  <c r="I104" i="19"/>
  <c r="H104" i="19"/>
  <c r="G104" i="19"/>
  <c r="F104" i="19"/>
  <c r="E104" i="19"/>
  <c r="D104" i="19"/>
  <c r="C104" i="19"/>
  <c r="B104" i="19"/>
  <c r="J90" i="19"/>
  <c r="I90" i="19"/>
  <c r="H90" i="19"/>
  <c r="G90" i="19"/>
  <c r="F90" i="19"/>
  <c r="E90" i="19"/>
  <c r="D90" i="19"/>
  <c r="C90" i="19"/>
  <c r="B90" i="19"/>
  <c r="J87" i="19"/>
  <c r="I87" i="19"/>
  <c r="H87" i="19"/>
  <c r="G87" i="19"/>
  <c r="F87" i="19"/>
  <c r="E87" i="19"/>
  <c r="D87" i="19"/>
  <c r="C87" i="19"/>
  <c r="B87" i="19"/>
  <c r="J76" i="19"/>
  <c r="I76" i="19"/>
  <c r="H76" i="19"/>
  <c r="G76" i="19"/>
  <c r="F76" i="19"/>
  <c r="E76" i="19"/>
  <c r="D76" i="19"/>
  <c r="C76" i="19"/>
  <c r="B76" i="19"/>
  <c r="J60" i="19"/>
  <c r="I60" i="19"/>
  <c r="H60" i="19"/>
  <c r="G60" i="19"/>
  <c r="F60" i="19"/>
  <c r="E60" i="19"/>
  <c r="D60" i="19"/>
  <c r="C60" i="19"/>
  <c r="B60" i="19"/>
  <c r="J57" i="19"/>
  <c r="I57" i="19"/>
  <c r="H57" i="19"/>
  <c r="G57" i="19"/>
  <c r="F57" i="19"/>
  <c r="E57" i="19"/>
  <c r="D57" i="19"/>
  <c r="C57" i="19"/>
  <c r="B57" i="19"/>
  <c r="J49" i="19"/>
  <c r="J54" i="19" s="1"/>
  <c r="I49" i="19"/>
  <c r="I54" i="19" s="1"/>
  <c r="H49" i="19"/>
  <c r="H54" i="19" s="1"/>
  <c r="G49" i="19"/>
  <c r="G54" i="19" s="1"/>
  <c r="F49" i="19"/>
  <c r="F54" i="19" s="1"/>
  <c r="E49" i="19"/>
  <c r="E54" i="19" s="1"/>
  <c r="D49" i="19"/>
  <c r="D54" i="19" s="1"/>
  <c r="C49" i="19"/>
  <c r="C54" i="19" s="1"/>
  <c r="B49" i="19"/>
  <c r="B54" i="19" s="1"/>
  <c r="J38" i="19"/>
  <c r="I38" i="19"/>
  <c r="H38" i="19"/>
  <c r="G38" i="19"/>
  <c r="F38" i="19"/>
  <c r="E38" i="19"/>
  <c r="D38" i="19"/>
  <c r="C38" i="19"/>
  <c r="B38" i="19"/>
  <c r="J29" i="19"/>
  <c r="I29" i="19"/>
  <c r="H29" i="19"/>
  <c r="G29" i="19"/>
  <c r="F29" i="19"/>
  <c r="E29" i="19"/>
  <c r="D29" i="19"/>
  <c r="C29" i="19"/>
  <c r="B29" i="19"/>
  <c r="J27" i="19"/>
  <c r="I27" i="19"/>
  <c r="H27" i="19"/>
  <c r="G27" i="19"/>
  <c r="F27" i="19"/>
  <c r="E27" i="19"/>
  <c r="D27" i="19"/>
  <c r="C27" i="19"/>
  <c r="B27" i="19"/>
  <c r="J13" i="19"/>
  <c r="I13" i="19"/>
  <c r="H13" i="19"/>
  <c r="G13" i="19"/>
  <c r="F13" i="19"/>
  <c r="E13" i="19"/>
  <c r="D13" i="19"/>
  <c r="C13" i="19"/>
  <c r="B13" i="19"/>
  <c r="J8" i="19"/>
  <c r="I8" i="19"/>
  <c r="H8" i="19"/>
  <c r="G8" i="19"/>
  <c r="F8" i="19"/>
  <c r="E8" i="19"/>
  <c r="D8" i="19"/>
  <c r="C8" i="19"/>
  <c r="B8" i="19"/>
  <c r="J241" i="18"/>
  <c r="I241" i="18"/>
  <c r="H241" i="18"/>
  <c r="G241" i="18"/>
  <c r="F241" i="18"/>
  <c r="E241" i="18"/>
  <c r="D241" i="18"/>
  <c r="C241" i="18"/>
  <c r="B241" i="18"/>
  <c r="J236" i="18"/>
  <c r="I236" i="18"/>
  <c r="H236" i="18"/>
  <c r="G236" i="18"/>
  <c r="F236" i="18"/>
  <c r="E236" i="18"/>
  <c r="D236" i="18"/>
  <c r="C236" i="18"/>
  <c r="B236" i="18"/>
  <c r="J227" i="18"/>
  <c r="I227" i="18"/>
  <c r="H227" i="18"/>
  <c r="G227" i="18"/>
  <c r="F227" i="18"/>
  <c r="E227" i="18"/>
  <c r="D227" i="18"/>
  <c r="C227" i="18"/>
  <c r="B227" i="18"/>
  <c r="J223" i="18"/>
  <c r="I223" i="18"/>
  <c r="H223" i="18"/>
  <c r="G223" i="18"/>
  <c r="F223" i="18"/>
  <c r="E223" i="18"/>
  <c r="D223" i="18"/>
  <c r="C223" i="18"/>
  <c r="B223" i="18"/>
  <c r="J219" i="18"/>
  <c r="I219" i="18"/>
  <c r="H219" i="18"/>
  <c r="G219" i="18"/>
  <c r="F219" i="18"/>
  <c r="E219" i="18"/>
  <c r="D219" i="18"/>
  <c r="C219" i="18"/>
  <c r="B219" i="18"/>
  <c r="J214" i="18"/>
  <c r="I214" i="18"/>
  <c r="H214" i="18"/>
  <c r="G214" i="18"/>
  <c r="F214" i="18"/>
  <c r="E214" i="18"/>
  <c r="D214" i="18"/>
  <c r="C214" i="18"/>
  <c r="B214" i="18"/>
  <c r="J209" i="18"/>
  <c r="I209" i="18"/>
  <c r="H209" i="18"/>
  <c r="G209" i="18"/>
  <c r="F209" i="18"/>
  <c r="E209" i="18"/>
  <c r="D209" i="18"/>
  <c r="C209" i="18"/>
  <c r="B209" i="18"/>
  <c r="J205" i="18"/>
  <c r="I205" i="18"/>
  <c r="H205" i="18"/>
  <c r="G205" i="18"/>
  <c r="F205" i="18"/>
  <c r="E205" i="18"/>
  <c r="D205" i="18"/>
  <c r="C205" i="18"/>
  <c r="B205" i="18"/>
  <c r="J193" i="18"/>
  <c r="I193" i="18"/>
  <c r="H193" i="18"/>
  <c r="G193" i="18"/>
  <c r="F193" i="18"/>
  <c r="E193" i="18"/>
  <c r="D193" i="18"/>
  <c r="C193" i="18"/>
  <c r="B193" i="18"/>
  <c r="J187" i="18"/>
  <c r="I187" i="18"/>
  <c r="H187" i="18"/>
  <c r="G187" i="18"/>
  <c r="F187" i="18"/>
  <c r="E187" i="18"/>
  <c r="D187" i="18"/>
  <c r="C187" i="18"/>
  <c r="B187" i="18"/>
  <c r="J182" i="18"/>
  <c r="I182" i="18"/>
  <c r="H182" i="18"/>
  <c r="G182" i="18"/>
  <c r="F182" i="18"/>
  <c r="E182" i="18"/>
  <c r="D182" i="18"/>
  <c r="C182" i="18"/>
  <c r="B182" i="18"/>
  <c r="J178" i="18"/>
  <c r="I178" i="18"/>
  <c r="H178" i="18"/>
  <c r="G178" i="18"/>
  <c r="F178" i="18"/>
  <c r="E178" i="18"/>
  <c r="D178" i="18"/>
  <c r="C178" i="18"/>
  <c r="B178" i="18"/>
  <c r="J172" i="18"/>
  <c r="I172" i="18"/>
  <c r="H172" i="18"/>
  <c r="G172" i="18"/>
  <c r="F172" i="18"/>
  <c r="E172" i="18"/>
  <c r="D172" i="18"/>
  <c r="C172" i="18"/>
  <c r="B172" i="18"/>
  <c r="J164" i="18"/>
  <c r="I164" i="18"/>
  <c r="H164" i="18"/>
  <c r="G164" i="18"/>
  <c r="F164" i="18"/>
  <c r="E164" i="18"/>
  <c r="D164" i="18"/>
  <c r="C164" i="18"/>
  <c r="B164" i="18"/>
  <c r="J157" i="18"/>
  <c r="I157" i="18"/>
  <c r="H157" i="18"/>
  <c r="G157" i="18"/>
  <c r="F157" i="18"/>
  <c r="E157" i="18"/>
  <c r="D157" i="18"/>
  <c r="C157" i="18"/>
  <c r="B157" i="18"/>
  <c r="J150" i="18"/>
  <c r="I150" i="18"/>
  <c r="H150" i="18"/>
  <c r="G150" i="18"/>
  <c r="F150" i="18"/>
  <c r="E150" i="18"/>
  <c r="D150" i="18"/>
  <c r="C150" i="18"/>
  <c r="B150" i="18"/>
  <c r="J146" i="18"/>
  <c r="I146" i="18"/>
  <c r="H146" i="18"/>
  <c r="G146" i="18"/>
  <c r="F146" i="18"/>
  <c r="E146" i="18"/>
  <c r="D146" i="18"/>
  <c r="C146" i="18"/>
  <c r="B146" i="18"/>
  <c r="J138" i="18"/>
  <c r="I138" i="18"/>
  <c r="H138" i="18"/>
  <c r="G138" i="18"/>
  <c r="F138" i="18"/>
  <c r="E138" i="18"/>
  <c r="D138" i="18"/>
  <c r="C138" i="18"/>
  <c r="B138" i="18"/>
  <c r="J133" i="18"/>
  <c r="I133" i="18"/>
  <c r="H133" i="18"/>
  <c r="G133" i="18"/>
  <c r="F133" i="18"/>
  <c r="E133" i="18"/>
  <c r="D133" i="18"/>
  <c r="C133" i="18"/>
  <c r="B133" i="18"/>
  <c r="J129" i="18"/>
  <c r="I129" i="18"/>
  <c r="H129" i="18"/>
  <c r="G129" i="18"/>
  <c r="F129" i="18"/>
  <c r="E129" i="18"/>
  <c r="D129" i="18"/>
  <c r="C129" i="18"/>
  <c r="B129" i="18"/>
  <c r="J116" i="18"/>
  <c r="I116" i="18"/>
  <c r="H116" i="18"/>
  <c r="G116" i="18"/>
  <c r="F116" i="18"/>
  <c r="E116" i="18"/>
  <c r="D116" i="18"/>
  <c r="C116" i="18"/>
  <c r="B116" i="18"/>
  <c r="J104" i="18"/>
  <c r="I104" i="18"/>
  <c r="H104" i="18"/>
  <c r="G104" i="18"/>
  <c r="F104" i="18"/>
  <c r="E104" i="18"/>
  <c r="D104" i="18"/>
  <c r="C104" i="18"/>
  <c r="B104" i="18"/>
  <c r="J90" i="18"/>
  <c r="I90" i="18"/>
  <c r="H90" i="18"/>
  <c r="G90" i="18"/>
  <c r="F90" i="18"/>
  <c r="E90" i="18"/>
  <c r="D90" i="18"/>
  <c r="C90" i="18"/>
  <c r="B90" i="18"/>
  <c r="J87" i="18"/>
  <c r="I87" i="18"/>
  <c r="H87" i="18"/>
  <c r="G87" i="18"/>
  <c r="F87" i="18"/>
  <c r="E87" i="18"/>
  <c r="D87" i="18"/>
  <c r="C87" i="18"/>
  <c r="B87" i="18"/>
  <c r="J76" i="18"/>
  <c r="I76" i="18"/>
  <c r="H76" i="18"/>
  <c r="G76" i="18"/>
  <c r="F76" i="18"/>
  <c r="E76" i="18"/>
  <c r="D76" i="18"/>
  <c r="C76" i="18"/>
  <c r="B76" i="18"/>
  <c r="J60" i="18"/>
  <c r="I60" i="18"/>
  <c r="H60" i="18"/>
  <c r="G60" i="18"/>
  <c r="F60" i="18"/>
  <c r="E60" i="18"/>
  <c r="D60" i="18"/>
  <c r="C60" i="18"/>
  <c r="B60" i="18"/>
  <c r="J57" i="18"/>
  <c r="I57" i="18"/>
  <c r="H57" i="18"/>
  <c r="G57" i="18"/>
  <c r="F57" i="18"/>
  <c r="E57" i="18"/>
  <c r="D57" i="18"/>
  <c r="C57" i="18"/>
  <c r="B57" i="18"/>
  <c r="J49" i="18"/>
  <c r="J54" i="18" s="1"/>
  <c r="I49" i="18"/>
  <c r="I54" i="18" s="1"/>
  <c r="H49" i="18"/>
  <c r="H54" i="18" s="1"/>
  <c r="G49" i="18"/>
  <c r="G54" i="18" s="1"/>
  <c r="F49" i="18"/>
  <c r="F54" i="18" s="1"/>
  <c r="E49" i="18"/>
  <c r="E54" i="18" s="1"/>
  <c r="D49" i="18"/>
  <c r="D54" i="18" s="1"/>
  <c r="C49" i="18"/>
  <c r="C54" i="18" s="1"/>
  <c r="B49" i="18"/>
  <c r="B54" i="18" s="1"/>
  <c r="J38" i="18"/>
  <c r="I38" i="18"/>
  <c r="H38" i="18"/>
  <c r="G38" i="18"/>
  <c r="F38" i="18"/>
  <c r="E38" i="18"/>
  <c r="D38" i="18"/>
  <c r="C38" i="18"/>
  <c r="B38" i="18"/>
  <c r="J29" i="18"/>
  <c r="I29" i="18"/>
  <c r="H29" i="18"/>
  <c r="G29" i="18"/>
  <c r="F29" i="18"/>
  <c r="E29" i="18"/>
  <c r="D29" i="18"/>
  <c r="C29" i="18"/>
  <c r="B29" i="18"/>
  <c r="J27" i="18"/>
  <c r="I27" i="18"/>
  <c r="H27" i="18"/>
  <c r="G27" i="18"/>
  <c r="F27" i="18"/>
  <c r="E27" i="18"/>
  <c r="D27" i="18"/>
  <c r="C27" i="18"/>
  <c r="B27" i="18"/>
  <c r="J13" i="18"/>
  <c r="I13" i="18"/>
  <c r="H13" i="18"/>
  <c r="G13" i="18"/>
  <c r="F13" i="18"/>
  <c r="E13" i="18"/>
  <c r="D13" i="18"/>
  <c r="C13" i="18"/>
  <c r="B13" i="18"/>
  <c r="J8" i="18"/>
  <c r="I8" i="18"/>
  <c r="H8" i="18"/>
  <c r="G8" i="18"/>
  <c r="F8" i="18"/>
  <c r="E8" i="18"/>
  <c r="D8" i="18"/>
  <c r="C8" i="18"/>
  <c r="B8" i="18"/>
  <c r="J241" i="17"/>
  <c r="I241" i="17"/>
  <c r="H241" i="17"/>
  <c r="G241" i="17"/>
  <c r="F241" i="17"/>
  <c r="E241" i="17"/>
  <c r="D241" i="17"/>
  <c r="C241" i="17"/>
  <c r="B241" i="17"/>
  <c r="J236" i="17"/>
  <c r="I236" i="17"/>
  <c r="H236" i="17"/>
  <c r="G236" i="17"/>
  <c r="F236" i="17"/>
  <c r="E236" i="17"/>
  <c r="D236" i="17"/>
  <c r="C236" i="17"/>
  <c r="B236" i="17"/>
  <c r="J227" i="17"/>
  <c r="I227" i="17"/>
  <c r="H227" i="17"/>
  <c r="G227" i="17"/>
  <c r="F227" i="17"/>
  <c r="E227" i="17"/>
  <c r="D227" i="17"/>
  <c r="C227" i="17"/>
  <c r="B227" i="17"/>
  <c r="J223" i="17"/>
  <c r="I223" i="17"/>
  <c r="H223" i="17"/>
  <c r="G223" i="17"/>
  <c r="F223" i="17"/>
  <c r="E223" i="17"/>
  <c r="D223" i="17"/>
  <c r="C223" i="17"/>
  <c r="B223" i="17"/>
  <c r="J219" i="17"/>
  <c r="I219" i="17"/>
  <c r="H219" i="17"/>
  <c r="G219" i="17"/>
  <c r="F219" i="17"/>
  <c r="E219" i="17"/>
  <c r="D219" i="17"/>
  <c r="C219" i="17"/>
  <c r="B219" i="17"/>
  <c r="J214" i="17"/>
  <c r="I214" i="17"/>
  <c r="H214" i="17"/>
  <c r="G214" i="17"/>
  <c r="F214" i="17"/>
  <c r="E214" i="17"/>
  <c r="D214" i="17"/>
  <c r="C214" i="17"/>
  <c r="B214" i="17"/>
  <c r="J209" i="17"/>
  <c r="I209" i="17"/>
  <c r="H209" i="17"/>
  <c r="G209" i="17"/>
  <c r="F209" i="17"/>
  <c r="E209" i="17"/>
  <c r="D209" i="17"/>
  <c r="C209" i="17"/>
  <c r="B209" i="17"/>
  <c r="J205" i="17"/>
  <c r="I205" i="17"/>
  <c r="H205" i="17"/>
  <c r="G205" i="17"/>
  <c r="F205" i="17"/>
  <c r="E205" i="17"/>
  <c r="D205" i="17"/>
  <c r="C205" i="17"/>
  <c r="B205" i="17"/>
  <c r="J193" i="17"/>
  <c r="I193" i="17"/>
  <c r="H193" i="17"/>
  <c r="G193" i="17"/>
  <c r="F193" i="17"/>
  <c r="E193" i="17"/>
  <c r="D193" i="17"/>
  <c r="C193" i="17"/>
  <c r="B193" i="17"/>
  <c r="J187" i="17"/>
  <c r="I187" i="17"/>
  <c r="H187" i="17"/>
  <c r="G187" i="17"/>
  <c r="F187" i="17"/>
  <c r="E187" i="17"/>
  <c r="D187" i="17"/>
  <c r="C187" i="17"/>
  <c r="B187" i="17"/>
  <c r="J182" i="17"/>
  <c r="I182" i="17"/>
  <c r="H182" i="17"/>
  <c r="G182" i="17"/>
  <c r="F182" i="17"/>
  <c r="E182" i="17"/>
  <c r="D182" i="17"/>
  <c r="C182" i="17"/>
  <c r="B182" i="17"/>
  <c r="J178" i="17"/>
  <c r="I178" i="17"/>
  <c r="H178" i="17"/>
  <c r="G178" i="17"/>
  <c r="F178" i="17"/>
  <c r="E178" i="17"/>
  <c r="D178" i="17"/>
  <c r="C178" i="17"/>
  <c r="B178" i="17"/>
  <c r="J172" i="17"/>
  <c r="I172" i="17"/>
  <c r="H172" i="17"/>
  <c r="G172" i="17"/>
  <c r="F172" i="17"/>
  <c r="E172" i="17"/>
  <c r="D172" i="17"/>
  <c r="C172" i="17"/>
  <c r="B172" i="17"/>
  <c r="J164" i="17"/>
  <c r="I164" i="17"/>
  <c r="H164" i="17"/>
  <c r="G164" i="17"/>
  <c r="F164" i="17"/>
  <c r="E164" i="17"/>
  <c r="D164" i="17"/>
  <c r="C164" i="17"/>
  <c r="B164" i="17"/>
  <c r="J157" i="17"/>
  <c r="I157" i="17"/>
  <c r="H157" i="17"/>
  <c r="G157" i="17"/>
  <c r="F157" i="17"/>
  <c r="E157" i="17"/>
  <c r="D157" i="17"/>
  <c r="C157" i="17"/>
  <c r="B157" i="17"/>
  <c r="J150" i="17"/>
  <c r="I150" i="17"/>
  <c r="H150" i="17"/>
  <c r="G150" i="17"/>
  <c r="F150" i="17"/>
  <c r="E150" i="17"/>
  <c r="D150" i="17"/>
  <c r="C150" i="17"/>
  <c r="B150" i="17"/>
  <c r="J146" i="17"/>
  <c r="I146" i="17"/>
  <c r="H146" i="17"/>
  <c r="G146" i="17"/>
  <c r="F146" i="17"/>
  <c r="E146" i="17"/>
  <c r="D146" i="17"/>
  <c r="C146" i="17"/>
  <c r="B146" i="17"/>
  <c r="J138" i="17"/>
  <c r="I138" i="17"/>
  <c r="H138" i="17"/>
  <c r="G138" i="17"/>
  <c r="F138" i="17"/>
  <c r="E138" i="17"/>
  <c r="D138" i="17"/>
  <c r="C138" i="17"/>
  <c r="B138" i="17"/>
  <c r="J133" i="17"/>
  <c r="I133" i="17"/>
  <c r="H133" i="17"/>
  <c r="G133" i="17"/>
  <c r="F133" i="17"/>
  <c r="E133" i="17"/>
  <c r="D133" i="17"/>
  <c r="C133" i="17"/>
  <c r="B133" i="17"/>
  <c r="J129" i="17"/>
  <c r="I129" i="17"/>
  <c r="H129" i="17"/>
  <c r="G129" i="17"/>
  <c r="F129" i="17"/>
  <c r="E129" i="17"/>
  <c r="D129" i="17"/>
  <c r="C129" i="17"/>
  <c r="B129" i="17"/>
  <c r="J116" i="17"/>
  <c r="I116" i="17"/>
  <c r="H116" i="17"/>
  <c r="G116" i="17"/>
  <c r="F116" i="17"/>
  <c r="E116" i="17"/>
  <c r="D116" i="17"/>
  <c r="C116" i="17"/>
  <c r="B116" i="17"/>
  <c r="J104" i="17"/>
  <c r="I104" i="17"/>
  <c r="H104" i="17"/>
  <c r="G104" i="17"/>
  <c r="F104" i="17"/>
  <c r="E104" i="17"/>
  <c r="D104" i="17"/>
  <c r="C104" i="17"/>
  <c r="B104" i="17"/>
  <c r="J90" i="17"/>
  <c r="I90" i="17"/>
  <c r="H90" i="17"/>
  <c r="G90" i="17"/>
  <c r="F90" i="17"/>
  <c r="E90" i="17"/>
  <c r="D90" i="17"/>
  <c r="C90" i="17"/>
  <c r="B90" i="17"/>
  <c r="J87" i="17"/>
  <c r="I87" i="17"/>
  <c r="H87" i="17"/>
  <c r="G87" i="17"/>
  <c r="F87" i="17"/>
  <c r="E87" i="17"/>
  <c r="D87" i="17"/>
  <c r="C87" i="17"/>
  <c r="B87" i="17"/>
  <c r="J76" i="17"/>
  <c r="I76" i="17"/>
  <c r="H76" i="17"/>
  <c r="G76" i="17"/>
  <c r="F76" i="17"/>
  <c r="E76" i="17"/>
  <c r="D76" i="17"/>
  <c r="C76" i="17"/>
  <c r="B76" i="17"/>
  <c r="J60" i="17"/>
  <c r="I60" i="17"/>
  <c r="H60" i="17"/>
  <c r="G60" i="17"/>
  <c r="F60" i="17"/>
  <c r="E60" i="17"/>
  <c r="D60" i="17"/>
  <c r="C60" i="17"/>
  <c r="B60" i="17"/>
  <c r="J57" i="17"/>
  <c r="I57" i="17"/>
  <c r="H57" i="17"/>
  <c r="G57" i="17"/>
  <c r="F57" i="17"/>
  <c r="E57" i="17"/>
  <c r="D57" i="17"/>
  <c r="C57" i="17"/>
  <c r="B57" i="17"/>
  <c r="J49" i="17"/>
  <c r="J54" i="17" s="1"/>
  <c r="I49" i="17"/>
  <c r="I54" i="17" s="1"/>
  <c r="H49" i="17"/>
  <c r="H54" i="17" s="1"/>
  <c r="G49" i="17"/>
  <c r="G54" i="17" s="1"/>
  <c r="F49" i="17"/>
  <c r="F54" i="17" s="1"/>
  <c r="E49" i="17"/>
  <c r="E54" i="17" s="1"/>
  <c r="D49" i="17"/>
  <c r="D54" i="17" s="1"/>
  <c r="C49" i="17"/>
  <c r="C54" i="17" s="1"/>
  <c r="B49" i="17"/>
  <c r="B54" i="17" s="1"/>
  <c r="J38" i="17"/>
  <c r="I38" i="17"/>
  <c r="H38" i="17"/>
  <c r="G38" i="17"/>
  <c r="F38" i="17"/>
  <c r="E38" i="17"/>
  <c r="D38" i="17"/>
  <c r="C38" i="17"/>
  <c r="B38" i="17"/>
  <c r="J29" i="17"/>
  <c r="I29" i="17"/>
  <c r="H29" i="17"/>
  <c r="G29" i="17"/>
  <c r="F29" i="17"/>
  <c r="E29" i="17"/>
  <c r="D29" i="17"/>
  <c r="C29" i="17"/>
  <c r="B29" i="17"/>
  <c r="J27" i="17"/>
  <c r="I27" i="17"/>
  <c r="H27" i="17"/>
  <c r="G27" i="17"/>
  <c r="F27" i="17"/>
  <c r="E27" i="17"/>
  <c r="D27" i="17"/>
  <c r="C27" i="17"/>
  <c r="B27" i="17"/>
  <c r="J13" i="17"/>
  <c r="I13" i="17"/>
  <c r="H13" i="17"/>
  <c r="G13" i="17"/>
  <c r="F13" i="17"/>
  <c r="E13" i="17"/>
  <c r="D13" i="17"/>
  <c r="C13" i="17"/>
  <c r="B13" i="17"/>
  <c r="J8" i="17"/>
  <c r="I8" i="17"/>
  <c r="H8" i="17"/>
  <c r="G8" i="17"/>
  <c r="F8" i="17"/>
  <c r="E8" i="17"/>
  <c r="D8" i="17"/>
  <c r="C8" i="17"/>
  <c r="B8" i="17"/>
  <c r="J241" i="16"/>
  <c r="I241" i="16"/>
  <c r="H241" i="16"/>
  <c r="G241" i="16"/>
  <c r="F241" i="16"/>
  <c r="E241" i="16"/>
  <c r="D241" i="16"/>
  <c r="C241" i="16"/>
  <c r="B241" i="16"/>
  <c r="J236" i="16"/>
  <c r="I236" i="16"/>
  <c r="H236" i="16"/>
  <c r="G236" i="16"/>
  <c r="F236" i="16"/>
  <c r="E236" i="16"/>
  <c r="D236" i="16"/>
  <c r="C236" i="16"/>
  <c r="B236" i="16"/>
  <c r="J227" i="16"/>
  <c r="I227" i="16"/>
  <c r="H227" i="16"/>
  <c r="G227" i="16"/>
  <c r="F227" i="16"/>
  <c r="E227" i="16"/>
  <c r="D227" i="16"/>
  <c r="C227" i="16"/>
  <c r="B227" i="16"/>
  <c r="J223" i="16"/>
  <c r="I223" i="16"/>
  <c r="H223" i="16"/>
  <c r="G223" i="16"/>
  <c r="F223" i="16"/>
  <c r="E223" i="16"/>
  <c r="D223" i="16"/>
  <c r="C223" i="16"/>
  <c r="B223" i="16"/>
  <c r="J219" i="16"/>
  <c r="I219" i="16"/>
  <c r="H219" i="16"/>
  <c r="G219" i="16"/>
  <c r="F219" i="16"/>
  <c r="E219" i="16"/>
  <c r="D219" i="16"/>
  <c r="C219" i="16"/>
  <c r="B219" i="16"/>
  <c r="J214" i="16"/>
  <c r="I214" i="16"/>
  <c r="H214" i="16"/>
  <c r="G214" i="16"/>
  <c r="F214" i="16"/>
  <c r="E214" i="16"/>
  <c r="D214" i="16"/>
  <c r="C214" i="16"/>
  <c r="B214" i="16"/>
  <c r="J209" i="16"/>
  <c r="I209" i="16"/>
  <c r="H209" i="16"/>
  <c r="G209" i="16"/>
  <c r="F209" i="16"/>
  <c r="E209" i="16"/>
  <c r="D209" i="16"/>
  <c r="C209" i="16"/>
  <c r="B209" i="16"/>
  <c r="J205" i="16"/>
  <c r="I205" i="16"/>
  <c r="H205" i="16"/>
  <c r="G205" i="16"/>
  <c r="F205" i="16"/>
  <c r="E205" i="16"/>
  <c r="D205" i="16"/>
  <c r="C205" i="16"/>
  <c r="B205" i="16"/>
  <c r="J193" i="16"/>
  <c r="I193" i="16"/>
  <c r="H193" i="16"/>
  <c r="G193" i="16"/>
  <c r="F193" i="16"/>
  <c r="E193" i="16"/>
  <c r="D193" i="16"/>
  <c r="C193" i="16"/>
  <c r="B193" i="16"/>
  <c r="J187" i="16"/>
  <c r="I187" i="16"/>
  <c r="H187" i="16"/>
  <c r="G187" i="16"/>
  <c r="F187" i="16"/>
  <c r="E187" i="16"/>
  <c r="D187" i="16"/>
  <c r="C187" i="16"/>
  <c r="B187" i="16"/>
  <c r="J182" i="16"/>
  <c r="I182" i="16"/>
  <c r="H182" i="16"/>
  <c r="G182" i="16"/>
  <c r="F182" i="16"/>
  <c r="E182" i="16"/>
  <c r="D182" i="16"/>
  <c r="C182" i="16"/>
  <c r="B182" i="16"/>
  <c r="J178" i="16"/>
  <c r="I178" i="16"/>
  <c r="H178" i="16"/>
  <c r="G178" i="16"/>
  <c r="F178" i="16"/>
  <c r="E178" i="16"/>
  <c r="D178" i="16"/>
  <c r="C178" i="16"/>
  <c r="B178" i="16"/>
  <c r="J172" i="16"/>
  <c r="I172" i="16"/>
  <c r="H172" i="16"/>
  <c r="G172" i="16"/>
  <c r="F172" i="16"/>
  <c r="E172" i="16"/>
  <c r="D172" i="16"/>
  <c r="C172" i="16"/>
  <c r="B172" i="16"/>
  <c r="J164" i="16"/>
  <c r="I164" i="16"/>
  <c r="H164" i="16"/>
  <c r="G164" i="16"/>
  <c r="F164" i="16"/>
  <c r="E164" i="16"/>
  <c r="D164" i="16"/>
  <c r="C164" i="16"/>
  <c r="B164" i="16"/>
  <c r="J157" i="16"/>
  <c r="I157" i="16"/>
  <c r="H157" i="16"/>
  <c r="G157" i="16"/>
  <c r="F157" i="16"/>
  <c r="E157" i="16"/>
  <c r="D157" i="16"/>
  <c r="C157" i="16"/>
  <c r="B157" i="16"/>
  <c r="J150" i="16"/>
  <c r="I150" i="16"/>
  <c r="H150" i="16"/>
  <c r="G150" i="16"/>
  <c r="F150" i="16"/>
  <c r="E150" i="16"/>
  <c r="D150" i="16"/>
  <c r="C150" i="16"/>
  <c r="B150" i="16"/>
  <c r="J146" i="16"/>
  <c r="I146" i="16"/>
  <c r="H146" i="16"/>
  <c r="G146" i="16"/>
  <c r="F146" i="16"/>
  <c r="E146" i="16"/>
  <c r="D146" i="16"/>
  <c r="C146" i="16"/>
  <c r="B146" i="16"/>
  <c r="J138" i="16"/>
  <c r="I138" i="16"/>
  <c r="H138" i="16"/>
  <c r="G138" i="16"/>
  <c r="F138" i="16"/>
  <c r="E138" i="16"/>
  <c r="D138" i="16"/>
  <c r="C138" i="16"/>
  <c r="B138" i="16"/>
  <c r="J133" i="16"/>
  <c r="I133" i="16"/>
  <c r="H133" i="16"/>
  <c r="G133" i="16"/>
  <c r="F133" i="16"/>
  <c r="E133" i="16"/>
  <c r="D133" i="16"/>
  <c r="C133" i="16"/>
  <c r="B133" i="16"/>
  <c r="J129" i="16"/>
  <c r="I129" i="16"/>
  <c r="H129" i="16"/>
  <c r="G129" i="16"/>
  <c r="F129" i="16"/>
  <c r="E129" i="16"/>
  <c r="D129" i="16"/>
  <c r="C129" i="16"/>
  <c r="B129" i="16"/>
  <c r="J116" i="16"/>
  <c r="I116" i="16"/>
  <c r="H116" i="16"/>
  <c r="G116" i="16"/>
  <c r="F116" i="16"/>
  <c r="E116" i="16"/>
  <c r="D116" i="16"/>
  <c r="C116" i="16"/>
  <c r="B116" i="16"/>
  <c r="J104" i="16"/>
  <c r="I104" i="16"/>
  <c r="H104" i="16"/>
  <c r="G104" i="16"/>
  <c r="F104" i="16"/>
  <c r="E104" i="16"/>
  <c r="D104" i="16"/>
  <c r="C104" i="16"/>
  <c r="B104" i="16"/>
  <c r="J90" i="16"/>
  <c r="I90" i="16"/>
  <c r="H90" i="16"/>
  <c r="G90" i="16"/>
  <c r="F90" i="16"/>
  <c r="E90" i="16"/>
  <c r="D90" i="16"/>
  <c r="C90" i="16"/>
  <c r="B90" i="16"/>
  <c r="J87" i="16"/>
  <c r="I87" i="16"/>
  <c r="H87" i="16"/>
  <c r="G87" i="16"/>
  <c r="F87" i="16"/>
  <c r="E87" i="16"/>
  <c r="D87" i="16"/>
  <c r="C87" i="16"/>
  <c r="B87" i="16"/>
  <c r="J76" i="16"/>
  <c r="I76" i="16"/>
  <c r="H76" i="16"/>
  <c r="G76" i="16"/>
  <c r="F76" i="16"/>
  <c r="E76" i="16"/>
  <c r="D76" i="16"/>
  <c r="C76" i="16"/>
  <c r="B76" i="16"/>
  <c r="J60" i="16"/>
  <c r="I60" i="16"/>
  <c r="H60" i="16"/>
  <c r="G60" i="16"/>
  <c r="F60" i="16"/>
  <c r="E60" i="16"/>
  <c r="D60" i="16"/>
  <c r="C60" i="16"/>
  <c r="B60" i="16"/>
  <c r="J57" i="16"/>
  <c r="I57" i="16"/>
  <c r="H57" i="16"/>
  <c r="G57" i="16"/>
  <c r="F57" i="16"/>
  <c r="E57" i="16"/>
  <c r="D57" i="16"/>
  <c r="C57" i="16"/>
  <c r="B57" i="16"/>
  <c r="J49" i="16"/>
  <c r="J54" i="16" s="1"/>
  <c r="I49" i="16"/>
  <c r="I54" i="16" s="1"/>
  <c r="H49" i="16"/>
  <c r="H54" i="16" s="1"/>
  <c r="G49" i="16"/>
  <c r="G54" i="16" s="1"/>
  <c r="F49" i="16"/>
  <c r="F54" i="16" s="1"/>
  <c r="E49" i="16"/>
  <c r="E54" i="16" s="1"/>
  <c r="D49" i="16"/>
  <c r="D54" i="16" s="1"/>
  <c r="C49" i="16"/>
  <c r="C54" i="16" s="1"/>
  <c r="B49" i="16"/>
  <c r="B54" i="16" s="1"/>
  <c r="J38" i="16"/>
  <c r="I38" i="16"/>
  <c r="H38" i="16"/>
  <c r="G38" i="16"/>
  <c r="F38" i="16"/>
  <c r="E38" i="16"/>
  <c r="D38" i="16"/>
  <c r="C38" i="16"/>
  <c r="B38" i="16"/>
  <c r="J29" i="16"/>
  <c r="I29" i="16"/>
  <c r="H29" i="16"/>
  <c r="G29" i="16"/>
  <c r="F29" i="16"/>
  <c r="E29" i="16"/>
  <c r="D29" i="16"/>
  <c r="C29" i="16"/>
  <c r="B29" i="16"/>
  <c r="J27" i="16"/>
  <c r="I27" i="16"/>
  <c r="H27" i="16"/>
  <c r="G27" i="16"/>
  <c r="F27" i="16"/>
  <c r="E27" i="16"/>
  <c r="D27" i="16"/>
  <c r="C27" i="16"/>
  <c r="B27" i="16"/>
  <c r="J13" i="16"/>
  <c r="I13" i="16"/>
  <c r="H13" i="16"/>
  <c r="G13" i="16"/>
  <c r="F13" i="16"/>
  <c r="E13" i="16"/>
  <c r="D13" i="16"/>
  <c r="C13" i="16"/>
  <c r="B13" i="16"/>
  <c r="J8" i="16"/>
  <c r="I8" i="16"/>
  <c r="H8" i="16"/>
  <c r="G8" i="16"/>
  <c r="F8" i="16"/>
  <c r="E8" i="16"/>
  <c r="D8" i="16"/>
  <c r="C8" i="16"/>
  <c r="B8" i="16"/>
  <c r="J241" i="14"/>
  <c r="I241" i="14"/>
  <c r="H241" i="14"/>
  <c r="G241" i="14"/>
  <c r="F241" i="14"/>
  <c r="E241" i="14"/>
  <c r="D241" i="14"/>
  <c r="C241" i="14"/>
  <c r="B241" i="14"/>
  <c r="J236" i="14"/>
  <c r="I236" i="14"/>
  <c r="H236" i="14"/>
  <c r="G236" i="14"/>
  <c r="F236" i="14"/>
  <c r="E236" i="14"/>
  <c r="D236" i="14"/>
  <c r="C236" i="14"/>
  <c r="B236" i="14"/>
  <c r="J227" i="14"/>
  <c r="I227" i="14"/>
  <c r="H227" i="14"/>
  <c r="G227" i="14"/>
  <c r="F227" i="14"/>
  <c r="E227" i="14"/>
  <c r="D227" i="14"/>
  <c r="C227" i="14"/>
  <c r="B227" i="14"/>
  <c r="J223" i="14"/>
  <c r="I223" i="14"/>
  <c r="H223" i="14"/>
  <c r="G223" i="14"/>
  <c r="F223" i="14"/>
  <c r="E223" i="14"/>
  <c r="D223" i="14"/>
  <c r="C223" i="14"/>
  <c r="B223" i="14"/>
  <c r="J219" i="14"/>
  <c r="I219" i="14"/>
  <c r="H219" i="14"/>
  <c r="G219" i="14"/>
  <c r="F219" i="14"/>
  <c r="E219" i="14"/>
  <c r="D219" i="14"/>
  <c r="C219" i="14"/>
  <c r="B219" i="14"/>
  <c r="J214" i="14"/>
  <c r="I214" i="14"/>
  <c r="H214" i="14"/>
  <c r="G214" i="14"/>
  <c r="F214" i="14"/>
  <c r="E214" i="14"/>
  <c r="D214" i="14"/>
  <c r="C214" i="14"/>
  <c r="B214" i="14"/>
  <c r="J209" i="14"/>
  <c r="I209" i="14"/>
  <c r="H209" i="14"/>
  <c r="G209" i="14"/>
  <c r="F209" i="14"/>
  <c r="E209" i="14"/>
  <c r="D209" i="14"/>
  <c r="C209" i="14"/>
  <c r="B209" i="14"/>
  <c r="J205" i="14"/>
  <c r="I205" i="14"/>
  <c r="H205" i="14"/>
  <c r="G205" i="14"/>
  <c r="F205" i="14"/>
  <c r="E205" i="14"/>
  <c r="D205" i="14"/>
  <c r="C205" i="14"/>
  <c r="B205" i="14"/>
  <c r="J193" i="14"/>
  <c r="I193" i="14"/>
  <c r="H193" i="14"/>
  <c r="G193" i="14"/>
  <c r="F193" i="14"/>
  <c r="E193" i="14"/>
  <c r="D193" i="14"/>
  <c r="C193" i="14"/>
  <c r="B193" i="14"/>
  <c r="J187" i="14"/>
  <c r="I187" i="14"/>
  <c r="H187" i="14"/>
  <c r="G187" i="14"/>
  <c r="F187" i="14"/>
  <c r="E187" i="14"/>
  <c r="D187" i="14"/>
  <c r="C187" i="14"/>
  <c r="B187" i="14"/>
  <c r="J182" i="14"/>
  <c r="I182" i="14"/>
  <c r="H182" i="14"/>
  <c r="G182" i="14"/>
  <c r="F182" i="14"/>
  <c r="E182" i="14"/>
  <c r="D182" i="14"/>
  <c r="C182" i="14"/>
  <c r="B182" i="14"/>
  <c r="J178" i="14"/>
  <c r="I178" i="14"/>
  <c r="H178" i="14"/>
  <c r="G178" i="14"/>
  <c r="F178" i="14"/>
  <c r="E178" i="14"/>
  <c r="D178" i="14"/>
  <c r="C178" i="14"/>
  <c r="B178" i="14"/>
  <c r="J172" i="14"/>
  <c r="I172" i="14"/>
  <c r="H172" i="14"/>
  <c r="G172" i="14"/>
  <c r="F172" i="14"/>
  <c r="E172" i="14"/>
  <c r="D172" i="14"/>
  <c r="C172" i="14"/>
  <c r="B172" i="14"/>
  <c r="J164" i="14"/>
  <c r="I164" i="14"/>
  <c r="H164" i="14"/>
  <c r="G164" i="14"/>
  <c r="F164" i="14"/>
  <c r="E164" i="14"/>
  <c r="D164" i="14"/>
  <c r="C164" i="14"/>
  <c r="B164" i="14"/>
  <c r="J157" i="14"/>
  <c r="I157" i="14"/>
  <c r="H157" i="14"/>
  <c r="G157" i="14"/>
  <c r="F157" i="14"/>
  <c r="E157" i="14"/>
  <c r="D157" i="14"/>
  <c r="C157" i="14"/>
  <c r="B157" i="14"/>
  <c r="J150" i="14"/>
  <c r="I150" i="14"/>
  <c r="H150" i="14"/>
  <c r="G150" i="14"/>
  <c r="F150" i="14"/>
  <c r="E150" i="14"/>
  <c r="D150" i="14"/>
  <c r="C150" i="14"/>
  <c r="B150" i="14"/>
  <c r="J146" i="14"/>
  <c r="I146" i="14"/>
  <c r="H146" i="14"/>
  <c r="G146" i="14"/>
  <c r="F146" i="14"/>
  <c r="E146" i="14"/>
  <c r="D146" i="14"/>
  <c r="C146" i="14"/>
  <c r="B146" i="14"/>
  <c r="J138" i="14"/>
  <c r="I138" i="14"/>
  <c r="H138" i="14"/>
  <c r="G138" i="14"/>
  <c r="F138" i="14"/>
  <c r="E138" i="14"/>
  <c r="D138" i="14"/>
  <c r="C138" i="14"/>
  <c r="B138" i="14"/>
  <c r="J133" i="14"/>
  <c r="I133" i="14"/>
  <c r="H133" i="14"/>
  <c r="G133" i="14"/>
  <c r="F133" i="14"/>
  <c r="E133" i="14"/>
  <c r="D133" i="14"/>
  <c r="C133" i="14"/>
  <c r="B133" i="14"/>
  <c r="J129" i="14"/>
  <c r="I129" i="14"/>
  <c r="H129" i="14"/>
  <c r="G129" i="14"/>
  <c r="F129" i="14"/>
  <c r="E129" i="14"/>
  <c r="D129" i="14"/>
  <c r="C129" i="14"/>
  <c r="B129" i="14"/>
  <c r="J116" i="14"/>
  <c r="I116" i="14"/>
  <c r="H116" i="14"/>
  <c r="G116" i="14"/>
  <c r="F116" i="14"/>
  <c r="E116" i="14"/>
  <c r="D116" i="14"/>
  <c r="C116" i="14"/>
  <c r="B116" i="14"/>
  <c r="J104" i="14"/>
  <c r="I104" i="14"/>
  <c r="H104" i="14"/>
  <c r="G104" i="14"/>
  <c r="F104" i="14"/>
  <c r="E104" i="14"/>
  <c r="D104" i="14"/>
  <c r="C104" i="14"/>
  <c r="B104" i="14"/>
  <c r="J90" i="14"/>
  <c r="I90" i="14"/>
  <c r="H90" i="14"/>
  <c r="G90" i="14"/>
  <c r="F90" i="14"/>
  <c r="E90" i="14"/>
  <c r="D90" i="14"/>
  <c r="C90" i="14"/>
  <c r="B90" i="14"/>
  <c r="J87" i="14"/>
  <c r="I87" i="14"/>
  <c r="H87" i="14"/>
  <c r="G87" i="14"/>
  <c r="F87" i="14"/>
  <c r="E87" i="14"/>
  <c r="D87" i="14"/>
  <c r="C87" i="14"/>
  <c r="B87" i="14"/>
  <c r="J76" i="14"/>
  <c r="I76" i="14"/>
  <c r="H76" i="14"/>
  <c r="G76" i="14"/>
  <c r="F76" i="14"/>
  <c r="E76" i="14"/>
  <c r="D76" i="14"/>
  <c r="C76" i="14"/>
  <c r="B76" i="14"/>
  <c r="J60" i="14"/>
  <c r="I60" i="14"/>
  <c r="H60" i="14"/>
  <c r="G60" i="14"/>
  <c r="F60" i="14"/>
  <c r="E60" i="14"/>
  <c r="D60" i="14"/>
  <c r="C60" i="14"/>
  <c r="B60" i="14"/>
  <c r="J57" i="14"/>
  <c r="I57" i="14"/>
  <c r="H57" i="14"/>
  <c r="G57" i="14"/>
  <c r="F57" i="14"/>
  <c r="E57" i="14"/>
  <c r="D57" i="14"/>
  <c r="C57" i="14"/>
  <c r="B57" i="14"/>
  <c r="J49" i="14"/>
  <c r="J54" i="14" s="1"/>
  <c r="I49" i="14"/>
  <c r="I54" i="14" s="1"/>
  <c r="H49" i="14"/>
  <c r="H54" i="14" s="1"/>
  <c r="G49" i="14"/>
  <c r="G54" i="14" s="1"/>
  <c r="F49" i="14"/>
  <c r="F54" i="14" s="1"/>
  <c r="E49" i="14"/>
  <c r="E54" i="14" s="1"/>
  <c r="D49" i="14"/>
  <c r="D54" i="14" s="1"/>
  <c r="C49" i="14"/>
  <c r="C54" i="14" s="1"/>
  <c r="B49" i="14"/>
  <c r="B54" i="14" s="1"/>
  <c r="J38" i="14"/>
  <c r="I38" i="14"/>
  <c r="H38" i="14"/>
  <c r="G38" i="14"/>
  <c r="F38" i="14"/>
  <c r="E38" i="14"/>
  <c r="D38" i="14"/>
  <c r="C38" i="14"/>
  <c r="B38" i="14"/>
  <c r="J29" i="14"/>
  <c r="I29" i="14"/>
  <c r="H29" i="14"/>
  <c r="G29" i="14"/>
  <c r="F29" i="14"/>
  <c r="E29" i="14"/>
  <c r="D29" i="14"/>
  <c r="C29" i="14"/>
  <c r="B29" i="14"/>
  <c r="J27" i="14"/>
  <c r="I27" i="14"/>
  <c r="H27" i="14"/>
  <c r="G27" i="14"/>
  <c r="F27" i="14"/>
  <c r="E27" i="14"/>
  <c r="D27" i="14"/>
  <c r="C27" i="14"/>
  <c r="B27" i="14"/>
  <c r="J13" i="14"/>
  <c r="I13" i="14"/>
  <c r="H13" i="14"/>
  <c r="G13" i="14"/>
  <c r="F13" i="14"/>
  <c r="E13" i="14"/>
  <c r="D13" i="14"/>
  <c r="C13" i="14"/>
  <c r="B13" i="14"/>
  <c r="J8" i="14"/>
  <c r="I8" i="14"/>
  <c r="H8" i="14"/>
  <c r="G8" i="14"/>
  <c r="F8" i="14"/>
  <c r="E8" i="14"/>
  <c r="D8" i="14"/>
  <c r="C8" i="14"/>
  <c r="B8" i="14"/>
  <c r="J241" i="13"/>
  <c r="I241" i="13"/>
  <c r="H241" i="13"/>
  <c r="G241" i="13"/>
  <c r="F241" i="13"/>
  <c r="E241" i="13"/>
  <c r="D241" i="13"/>
  <c r="C241" i="13"/>
  <c r="B241" i="13"/>
  <c r="J236" i="13"/>
  <c r="I236" i="13"/>
  <c r="H236" i="13"/>
  <c r="G236" i="13"/>
  <c r="F236" i="13"/>
  <c r="E236" i="13"/>
  <c r="D236" i="13"/>
  <c r="C236" i="13"/>
  <c r="B236" i="13"/>
  <c r="J227" i="13"/>
  <c r="I227" i="13"/>
  <c r="H227" i="13"/>
  <c r="G227" i="13"/>
  <c r="F227" i="13"/>
  <c r="E227" i="13"/>
  <c r="D227" i="13"/>
  <c r="C227" i="13"/>
  <c r="B227" i="13"/>
  <c r="J223" i="13"/>
  <c r="I223" i="13"/>
  <c r="H223" i="13"/>
  <c r="G223" i="13"/>
  <c r="F223" i="13"/>
  <c r="E223" i="13"/>
  <c r="D223" i="13"/>
  <c r="C223" i="13"/>
  <c r="B223" i="13"/>
  <c r="J219" i="13"/>
  <c r="I219" i="13"/>
  <c r="H219" i="13"/>
  <c r="G219" i="13"/>
  <c r="F219" i="13"/>
  <c r="E219" i="13"/>
  <c r="D219" i="13"/>
  <c r="C219" i="13"/>
  <c r="B219" i="13"/>
  <c r="J214" i="13"/>
  <c r="I214" i="13"/>
  <c r="H214" i="13"/>
  <c r="G214" i="13"/>
  <c r="F214" i="13"/>
  <c r="E214" i="13"/>
  <c r="D214" i="13"/>
  <c r="C214" i="13"/>
  <c r="B214" i="13"/>
  <c r="J209" i="13"/>
  <c r="I209" i="13"/>
  <c r="H209" i="13"/>
  <c r="G209" i="13"/>
  <c r="F209" i="13"/>
  <c r="E209" i="13"/>
  <c r="D209" i="13"/>
  <c r="C209" i="13"/>
  <c r="B209" i="13"/>
  <c r="J205" i="13"/>
  <c r="I205" i="13"/>
  <c r="H205" i="13"/>
  <c r="G205" i="13"/>
  <c r="F205" i="13"/>
  <c r="E205" i="13"/>
  <c r="D205" i="13"/>
  <c r="C205" i="13"/>
  <c r="B205" i="13"/>
  <c r="J193" i="13"/>
  <c r="I193" i="13"/>
  <c r="H193" i="13"/>
  <c r="G193" i="13"/>
  <c r="F193" i="13"/>
  <c r="E193" i="13"/>
  <c r="D193" i="13"/>
  <c r="C193" i="13"/>
  <c r="B193" i="13"/>
  <c r="J187" i="13"/>
  <c r="I187" i="13"/>
  <c r="H187" i="13"/>
  <c r="G187" i="13"/>
  <c r="F187" i="13"/>
  <c r="E187" i="13"/>
  <c r="D187" i="13"/>
  <c r="C187" i="13"/>
  <c r="B187" i="13"/>
  <c r="J182" i="13"/>
  <c r="I182" i="13"/>
  <c r="H182" i="13"/>
  <c r="G182" i="13"/>
  <c r="F182" i="13"/>
  <c r="E182" i="13"/>
  <c r="D182" i="13"/>
  <c r="C182" i="13"/>
  <c r="B182" i="13"/>
  <c r="J178" i="13"/>
  <c r="I178" i="13"/>
  <c r="H178" i="13"/>
  <c r="G178" i="13"/>
  <c r="F178" i="13"/>
  <c r="E178" i="13"/>
  <c r="D178" i="13"/>
  <c r="C178" i="13"/>
  <c r="B178" i="13"/>
  <c r="J172" i="13"/>
  <c r="I172" i="13"/>
  <c r="H172" i="13"/>
  <c r="G172" i="13"/>
  <c r="F172" i="13"/>
  <c r="E172" i="13"/>
  <c r="D172" i="13"/>
  <c r="C172" i="13"/>
  <c r="B172" i="13"/>
  <c r="J164" i="13"/>
  <c r="I164" i="13"/>
  <c r="H164" i="13"/>
  <c r="G164" i="13"/>
  <c r="F164" i="13"/>
  <c r="E164" i="13"/>
  <c r="D164" i="13"/>
  <c r="C164" i="13"/>
  <c r="B164" i="13"/>
  <c r="J157" i="13"/>
  <c r="I157" i="13"/>
  <c r="H157" i="13"/>
  <c r="G157" i="13"/>
  <c r="F157" i="13"/>
  <c r="E157" i="13"/>
  <c r="D157" i="13"/>
  <c r="C157" i="13"/>
  <c r="B157" i="13"/>
  <c r="J150" i="13"/>
  <c r="I150" i="13"/>
  <c r="H150" i="13"/>
  <c r="G150" i="13"/>
  <c r="F150" i="13"/>
  <c r="E150" i="13"/>
  <c r="D150" i="13"/>
  <c r="C150" i="13"/>
  <c r="B150" i="13"/>
  <c r="J146" i="13"/>
  <c r="I146" i="13"/>
  <c r="H146" i="13"/>
  <c r="G146" i="13"/>
  <c r="F146" i="13"/>
  <c r="E146" i="13"/>
  <c r="D146" i="13"/>
  <c r="C146" i="13"/>
  <c r="B146" i="13"/>
  <c r="J138" i="13"/>
  <c r="I138" i="13"/>
  <c r="H138" i="13"/>
  <c r="G138" i="13"/>
  <c r="F138" i="13"/>
  <c r="E138" i="13"/>
  <c r="D138" i="13"/>
  <c r="C138" i="13"/>
  <c r="B138" i="13"/>
  <c r="J133" i="13"/>
  <c r="I133" i="13"/>
  <c r="H133" i="13"/>
  <c r="G133" i="13"/>
  <c r="F133" i="13"/>
  <c r="E133" i="13"/>
  <c r="D133" i="13"/>
  <c r="C133" i="13"/>
  <c r="B133" i="13"/>
  <c r="J129" i="13"/>
  <c r="I129" i="13"/>
  <c r="H129" i="13"/>
  <c r="G129" i="13"/>
  <c r="F129" i="13"/>
  <c r="E129" i="13"/>
  <c r="D129" i="13"/>
  <c r="C129" i="13"/>
  <c r="B129" i="13"/>
  <c r="J116" i="13"/>
  <c r="I116" i="13"/>
  <c r="H116" i="13"/>
  <c r="G116" i="13"/>
  <c r="F116" i="13"/>
  <c r="E116" i="13"/>
  <c r="D116" i="13"/>
  <c r="C116" i="13"/>
  <c r="B116" i="13"/>
  <c r="J104" i="13"/>
  <c r="I104" i="13"/>
  <c r="H104" i="13"/>
  <c r="G104" i="13"/>
  <c r="F104" i="13"/>
  <c r="E104" i="13"/>
  <c r="D104" i="13"/>
  <c r="C104" i="13"/>
  <c r="B104" i="13"/>
  <c r="J90" i="13"/>
  <c r="I90" i="13"/>
  <c r="H90" i="13"/>
  <c r="G90" i="13"/>
  <c r="F90" i="13"/>
  <c r="E90" i="13"/>
  <c r="D90" i="13"/>
  <c r="C90" i="13"/>
  <c r="B90" i="13"/>
  <c r="J87" i="13"/>
  <c r="I87" i="13"/>
  <c r="H87" i="13"/>
  <c r="G87" i="13"/>
  <c r="F87" i="13"/>
  <c r="E87" i="13"/>
  <c r="D87" i="13"/>
  <c r="C87" i="13"/>
  <c r="B87" i="13"/>
  <c r="J76" i="13"/>
  <c r="I76" i="13"/>
  <c r="H76" i="13"/>
  <c r="G76" i="13"/>
  <c r="F76" i="13"/>
  <c r="E76" i="13"/>
  <c r="D76" i="13"/>
  <c r="C76" i="13"/>
  <c r="B76" i="13"/>
  <c r="J60" i="13"/>
  <c r="I60" i="13"/>
  <c r="H60" i="13"/>
  <c r="G60" i="13"/>
  <c r="F60" i="13"/>
  <c r="E60" i="13"/>
  <c r="D60" i="13"/>
  <c r="C60" i="13"/>
  <c r="B60" i="13"/>
  <c r="J57" i="13"/>
  <c r="I57" i="13"/>
  <c r="H57" i="13"/>
  <c r="G57" i="13"/>
  <c r="F57" i="13"/>
  <c r="E57" i="13"/>
  <c r="D57" i="13"/>
  <c r="C57" i="13"/>
  <c r="B57" i="13"/>
  <c r="J49" i="13"/>
  <c r="J54" i="13" s="1"/>
  <c r="I49" i="13"/>
  <c r="I54" i="13" s="1"/>
  <c r="H49" i="13"/>
  <c r="H54" i="13" s="1"/>
  <c r="G49" i="13"/>
  <c r="G54" i="13" s="1"/>
  <c r="F49" i="13"/>
  <c r="F54" i="13" s="1"/>
  <c r="E49" i="13"/>
  <c r="E54" i="13" s="1"/>
  <c r="D49" i="13"/>
  <c r="D54" i="13" s="1"/>
  <c r="C49" i="13"/>
  <c r="C54" i="13" s="1"/>
  <c r="B49" i="13"/>
  <c r="B54" i="13" s="1"/>
  <c r="J38" i="13"/>
  <c r="I38" i="13"/>
  <c r="H38" i="13"/>
  <c r="G38" i="13"/>
  <c r="F38" i="13"/>
  <c r="E38" i="13"/>
  <c r="D38" i="13"/>
  <c r="C38" i="13"/>
  <c r="B38" i="13"/>
  <c r="J29" i="13"/>
  <c r="I29" i="13"/>
  <c r="H29" i="13"/>
  <c r="G29" i="13"/>
  <c r="F29" i="13"/>
  <c r="E29" i="13"/>
  <c r="D29" i="13"/>
  <c r="C29" i="13"/>
  <c r="B29" i="13"/>
  <c r="J27" i="13"/>
  <c r="I27" i="13"/>
  <c r="H27" i="13"/>
  <c r="G27" i="13"/>
  <c r="F27" i="13"/>
  <c r="E27" i="13"/>
  <c r="D27" i="13"/>
  <c r="C27" i="13"/>
  <c r="B27" i="13"/>
  <c r="J13" i="13"/>
  <c r="I13" i="13"/>
  <c r="H13" i="13"/>
  <c r="G13" i="13"/>
  <c r="F13" i="13"/>
  <c r="E13" i="13"/>
  <c r="D13" i="13"/>
  <c r="C13" i="13"/>
  <c r="B13" i="13"/>
  <c r="J8" i="13"/>
  <c r="I8" i="13"/>
  <c r="H8" i="13"/>
  <c r="G8" i="13"/>
  <c r="F8" i="13"/>
  <c r="E8" i="13"/>
  <c r="D8" i="13"/>
  <c r="C8" i="13"/>
  <c r="B8" i="13"/>
  <c r="J241" i="11"/>
  <c r="I241" i="11"/>
  <c r="H241" i="11"/>
  <c r="G241" i="11"/>
  <c r="F241" i="11"/>
  <c r="E241" i="11"/>
  <c r="D241" i="11"/>
  <c r="C241" i="11"/>
  <c r="B241" i="11"/>
  <c r="J236" i="11"/>
  <c r="I236" i="11"/>
  <c r="H236" i="11"/>
  <c r="G236" i="11"/>
  <c r="F236" i="11"/>
  <c r="E236" i="11"/>
  <c r="D236" i="11"/>
  <c r="C236" i="11"/>
  <c r="B236" i="11"/>
  <c r="J227" i="11"/>
  <c r="I227" i="11"/>
  <c r="H227" i="11"/>
  <c r="G227" i="11"/>
  <c r="F227" i="11"/>
  <c r="E227" i="11"/>
  <c r="D227" i="11"/>
  <c r="C227" i="11"/>
  <c r="B227" i="11"/>
  <c r="J223" i="11"/>
  <c r="I223" i="11"/>
  <c r="H223" i="11"/>
  <c r="G223" i="11"/>
  <c r="F223" i="11"/>
  <c r="E223" i="11"/>
  <c r="D223" i="11"/>
  <c r="C223" i="11"/>
  <c r="B223" i="11"/>
  <c r="J219" i="11"/>
  <c r="I219" i="11"/>
  <c r="H219" i="11"/>
  <c r="G219" i="11"/>
  <c r="F219" i="11"/>
  <c r="E219" i="11"/>
  <c r="D219" i="11"/>
  <c r="C219" i="11"/>
  <c r="B219" i="11"/>
  <c r="J214" i="11"/>
  <c r="I214" i="11"/>
  <c r="H214" i="11"/>
  <c r="G214" i="11"/>
  <c r="F214" i="11"/>
  <c r="E214" i="11"/>
  <c r="D214" i="11"/>
  <c r="C214" i="11"/>
  <c r="B214" i="11"/>
  <c r="J209" i="11"/>
  <c r="I209" i="11"/>
  <c r="H209" i="11"/>
  <c r="G209" i="11"/>
  <c r="F209" i="11"/>
  <c r="E209" i="11"/>
  <c r="D209" i="11"/>
  <c r="C209" i="11"/>
  <c r="B209" i="11"/>
  <c r="J205" i="11"/>
  <c r="I205" i="11"/>
  <c r="H205" i="11"/>
  <c r="G205" i="11"/>
  <c r="F205" i="11"/>
  <c r="E205" i="11"/>
  <c r="D205" i="11"/>
  <c r="C205" i="11"/>
  <c r="B205" i="11"/>
  <c r="J193" i="11"/>
  <c r="I193" i="11"/>
  <c r="H193" i="11"/>
  <c r="G193" i="11"/>
  <c r="F193" i="11"/>
  <c r="E193" i="11"/>
  <c r="D193" i="11"/>
  <c r="C193" i="11"/>
  <c r="B193" i="11"/>
  <c r="J187" i="11"/>
  <c r="I187" i="11"/>
  <c r="H187" i="11"/>
  <c r="G187" i="11"/>
  <c r="F187" i="11"/>
  <c r="E187" i="11"/>
  <c r="D187" i="11"/>
  <c r="C187" i="11"/>
  <c r="B187" i="11"/>
  <c r="J182" i="11"/>
  <c r="I182" i="11"/>
  <c r="H182" i="11"/>
  <c r="G182" i="11"/>
  <c r="F182" i="11"/>
  <c r="E182" i="11"/>
  <c r="D182" i="11"/>
  <c r="C182" i="11"/>
  <c r="B182" i="11"/>
  <c r="J178" i="11"/>
  <c r="I178" i="11"/>
  <c r="H178" i="11"/>
  <c r="G178" i="11"/>
  <c r="F178" i="11"/>
  <c r="E178" i="11"/>
  <c r="D178" i="11"/>
  <c r="C178" i="11"/>
  <c r="B178" i="11"/>
  <c r="J172" i="11"/>
  <c r="I172" i="11"/>
  <c r="H172" i="11"/>
  <c r="G172" i="11"/>
  <c r="F172" i="11"/>
  <c r="E172" i="11"/>
  <c r="D172" i="11"/>
  <c r="C172" i="11"/>
  <c r="B172" i="11"/>
  <c r="J164" i="11"/>
  <c r="I164" i="11"/>
  <c r="H164" i="11"/>
  <c r="G164" i="11"/>
  <c r="F164" i="11"/>
  <c r="E164" i="11"/>
  <c r="D164" i="11"/>
  <c r="C164" i="11"/>
  <c r="B164" i="11"/>
  <c r="J157" i="11"/>
  <c r="I157" i="11"/>
  <c r="H157" i="11"/>
  <c r="G157" i="11"/>
  <c r="F157" i="11"/>
  <c r="E157" i="11"/>
  <c r="D157" i="11"/>
  <c r="C157" i="11"/>
  <c r="B157" i="11"/>
  <c r="J150" i="11"/>
  <c r="I150" i="11"/>
  <c r="H150" i="11"/>
  <c r="G150" i="11"/>
  <c r="F150" i="11"/>
  <c r="E150" i="11"/>
  <c r="D150" i="11"/>
  <c r="C150" i="11"/>
  <c r="B150" i="11"/>
  <c r="J146" i="11"/>
  <c r="I146" i="11"/>
  <c r="H146" i="11"/>
  <c r="G146" i="11"/>
  <c r="F146" i="11"/>
  <c r="E146" i="11"/>
  <c r="D146" i="11"/>
  <c r="C146" i="11"/>
  <c r="B146" i="11"/>
  <c r="J138" i="11"/>
  <c r="I138" i="11"/>
  <c r="H138" i="11"/>
  <c r="G138" i="11"/>
  <c r="F138" i="11"/>
  <c r="E138" i="11"/>
  <c r="D138" i="11"/>
  <c r="C138" i="11"/>
  <c r="B138" i="11"/>
  <c r="J133" i="11"/>
  <c r="I133" i="11"/>
  <c r="H133" i="11"/>
  <c r="G133" i="11"/>
  <c r="F133" i="11"/>
  <c r="E133" i="11"/>
  <c r="D133" i="11"/>
  <c r="C133" i="11"/>
  <c r="B133" i="11"/>
  <c r="J129" i="11"/>
  <c r="I129" i="11"/>
  <c r="H129" i="11"/>
  <c r="G129" i="11"/>
  <c r="F129" i="11"/>
  <c r="E129" i="11"/>
  <c r="D129" i="11"/>
  <c r="C129" i="11"/>
  <c r="B129" i="11"/>
  <c r="J116" i="11"/>
  <c r="I116" i="11"/>
  <c r="H116" i="11"/>
  <c r="G116" i="11"/>
  <c r="F116" i="11"/>
  <c r="E116" i="11"/>
  <c r="D116" i="11"/>
  <c r="C116" i="11"/>
  <c r="B116" i="11"/>
  <c r="J104" i="11"/>
  <c r="I104" i="11"/>
  <c r="H104" i="11"/>
  <c r="G104" i="11"/>
  <c r="F104" i="11"/>
  <c r="E104" i="11"/>
  <c r="D104" i="11"/>
  <c r="C104" i="11"/>
  <c r="B104" i="11"/>
  <c r="J90" i="11"/>
  <c r="I90" i="11"/>
  <c r="H90" i="11"/>
  <c r="G90" i="11"/>
  <c r="F90" i="11"/>
  <c r="E90" i="11"/>
  <c r="D90" i="11"/>
  <c r="C90" i="11"/>
  <c r="B90" i="11"/>
  <c r="J87" i="11"/>
  <c r="I87" i="11"/>
  <c r="H87" i="11"/>
  <c r="G87" i="11"/>
  <c r="F87" i="11"/>
  <c r="E87" i="11"/>
  <c r="D87" i="11"/>
  <c r="C87" i="11"/>
  <c r="B87" i="11"/>
  <c r="J76" i="11"/>
  <c r="I76" i="11"/>
  <c r="H76" i="11"/>
  <c r="G76" i="11"/>
  <c r="F76" i="11"/>
  <c r="E76" i="11"/>
  <c r="D76" i="11"/>
  <c r="C76" i="11"/>
  <c r="B76" i="11"/>
  <c r="J60" i="11"/>
  <c r="I60" i="11"/>
  <c r="H60" i="11"/>
  <c r="G60" i="11"/>
  <c r="F60" i="11"/>
  <c r="E60" i="11"/>
  <c r="D60" i="11"/>
  <c r="C60" i="11"/>
  <c r="B60" i="11"/>
  <c r="J57" i="11"/>
  <c r="I57" i="11"/>
  <c r="H57" i="11"/>
  <c r="G57" i="11"/>
  <c r="F57" i="11"/>
  <c r="E57" i="11"/>
  <c r="D57" i="11"/>
  <c r="C57" i="11"/>
  <c r="J49" i="11"/>
  <c r="J54" i="11" s="1"/>
  <c r="I49" i="11"/>
  <c r="I54" i="11" s="1"/>
  <c r="H49" i="11"/>
  <c r="H54" i="11" s="1"/>
  <c r="G49" i="11"/>
  <c r="G54" i="11" s="1"/>
  <c r="F49" i="11"/>
  <c r="F54" i="11" s="1"/>
  <c r="E49" i="11"/>
  <c r="E54" i="11" s="1"/>
  <c r="D49" i="11"/>
  <c r="D54" i="11" s="1"/>
  <c r="C49" i="11"/>
  <c r="C54" i="11" s="1"/>
  <c r="B49" i="11"/>
  <c r="B54" i="11" s="1"/>
  <c r="B58" i="11" s="1"/>
  <c r="J38" i="11"/>
  <c r="I38" i="11"/>
  <c r="H38" i="11"/>
  <c r="G38" i="11"/>
  <c r="F38" i="11"/>
  <c r="E38" i="11"/>
  <c r="D38" i="11"/>
  <c r="C38" i="11"/>
  <c r="B38" i="11"/>
  <c r="J29" i="11"/>
  <c r="I29" i="11"/>
  <c r="H29" i="11"/>
  <c r="G29" i="11"/>
  <c r="F29" i="11"/>
  <c r="E29" i="11"/>
  <c r="D29" i="11"/>
  <c r="C29" i="11"/>
  <c r="B29" i="11"/>
  <c r="J27" i="11"/>
  <c r="I27" i="11"/>
  <c r="H27" i="11"/>
  <c r="G27" i="11"/>
  <c r="F27" i="11"/>
  <c r="E27" i="11"/>
  <c r="D27" i="11"/>
  <c r="C27" i="11"/>
  <c r="B27" i="11"/>
  <c r="J13" i="11"/>
  <c r="I13" i="11"/>
  <c r="H13" i="11"/>
  <c r="G13" i="11"/>
  <c r="F13" i="11"/>
  <c r="E13" i="11"/>
  <c r="D13" i="11"/>
  <c r="C13" i="11"/>
  <c r="B13" i="11"/>
  <c r="J8" i="11"/>
  <c r="I8" i="11"/>
  <c r="H8" i="11"/>
  <c r="G8" i="11"/>
  <c r="F8" i="11"/>
  <c r="E8" i="11"/>
  <c r="D8" i="11"/>
  <c r="C8" i="11"/>
  <c r="B8" i="11"/>
  <c r="J241" i="10"/>
  <c r="I241" i="10"/>
  <c r="H241" i="10"/>
  <c r="G241" i="10"/>
  <c r="F241" i="10"/>
  <c r="E241" i="10"/>
  <c r="D241" i="10"/>
  <c r="C241" i="10"/>
  <c r="B241" i="10"/>
  <c r="J236" i="10"/>
  <c r="I236" i="10"/>
  <c r="H236" i="10"/>
  <c r="G236" i="10"/>
  <c r="F236" i="10"/>
  <c r="E236" i="10"/>
  <c r="D236" i="10"/>
  <c r="C236" i="10"/>
  <c r="B236" i="10"/>
  <c r="J227" i="10"/>
  <c r="I227" i="10"/>
  <c r="H227" i="10"/>
  <c r="G227" i="10"/>
  <c r="F227" i="10"/>
  <c r="E227" i="10"/>
  <c r="D227" i="10"/>
  <c r="C227" i="10"/>
  <c r="B227" i="10"/>
  <c r="J223" i="10"/>
  <c r="I223" i="10"/>
  <c r="H223" i="10"/>
  <c r="G223" i="10"/>
  <c r="F223" i="10"/>
  <c r="E223" i="10"/>
  <c r="D223" i="10"/>
  <c r="C223" i="10"/>
  <c r="B223" i="10"/>
  <c r="J219" i="10"/>
  <c r="I219" i="10"/>
  <c r="H219" i="10"/>
  <c r="G219" i="10"/>
  <c r="F219" i="10"/>
  <c r="E219" i="10"/>
  <c r="D219" i="10"/>
  <c r="C219" i="10"/>
  <c r="B219" i="10"/>
  <c r="J214" i="10"/>
  <c r="I214" i="10"/>
  <c r="H214" i="10"/>
  <c r="G214" i="10"/>
  <c r="F214" i="10"/>
  <c r="E214" i="10"/>
  <c r="D214" i="10"/>
  <c r="C214" i="10"/>
  <c r="B214" i="10"/>
  <c r="J209" i="10"/>
  <c r="I209" i="10"/>
  <c r="H209" i="10"/>
  <c r="G209" i="10"/>
  <c r="F209" i="10"/>
  <c r="E209" i="10"/>
  <c r="D209" i="10"/>
  <c r="C209" i="10"/>
  <c r="B209" i="10"/>
  <c r="J205" i="10"/>
  <c r="I205" i="10"/>
  <c r="H205" i="10"/>
  <c r="G205" i="10"/>
  <c r="F205" i="10"/>
  <c r="E205" i="10"/>
  <c r="D205" i="10"/>
  <c r="C205" i="10"/>
  <c r="B205" i="10"/>
  <c r="J193" i="10"/>
  <c r="I193" i="10"/>
  <c r="H193" i="10"/>
  <c r="G193" i="10"/>
  <c r="F193" i="10"/>
  <c r="E193" i="10"/>
  <c r="D193" i="10"/>
  <c r="C193" i="10"/>
  <c r="B193" i="10"/>
  <c r="J187" i="10"/>
  <c r="I187" i="10"/>
  <c r="H187" i="10"/>
  <c r="G187" i="10"/>
  <c r="F187" i="10"/>
  <c r="E187" i="10"/>
  <c r="D187" i="10"/>
  <c r="C187" i="10"/>
  <c r="B187" i="10"/>
  <c r="J182" i="10"/>
  <c r="I182" i="10"/>
  <c r="H182" i="10"/>
  <c r="G182" i="10"/>
  <c r="F182" i="10"/>
  <c r="E182" i="10"/>
  <c r="D182" i="10"/>
  <c r="C182" i="10"/>
  <c r="B182" i="10"/>
  <c r="J178" i="10"/>
  <c r="I178" i="10"/>
  <c r="H178" i="10"/>
  <c r="G178" i="10"/>
  <c r="F178" i="10"/>
  <c r="E178" i="10"/>
  <c r="D178" i="10"/>
  <c r="C178" i="10"/>
  <c r="B178" i="10"/>
  <c r="J172" i="10"/>
  <c r="I172" i="10"/>
  <c r="H172" i="10"/>
  <c r="G172" i="10"/>
  <c r="F172" i="10"/>
  <c r="E172" i="10"/>
  <c r="D172" i="10"/>
  <c r="C172" i="10"/>
  <c r="B172" i="10"/>
  <c r="J164" i="10"/>
  <c r="I164" i="10"/>
  <c r="H164" i="10"/>
  <c r="G164" i="10"/>
  <c r="F164" i="10"/>
  <c r="E164" i="10"/>
  <c r="D164" i="10"/>
  <c r="C164" i="10"/>
  <c r="B164" i="10"/>
  <c r="J157" i="10"/>
  <c r="I157" i="10"/>
  <c r="H157" i="10"/>
  <c r="G157" i="10"/>
  <c r="F157" i="10"/>
  <c r="E157" i="10"/>
  <c r="D157" i="10"/>
  <c r="C157" i="10"/>
  <c r="B157" i="10"/>
  <c r="J150" i="10"/>
  <c r="I150" i="10"/>
  <c r="H150" i="10"/>
  <c r="G150" i="10"/>
  <c r="F150" i="10"/>
  <c r="E150" i="10"/>
  <c r="D150" i="10"/>
  <c r="C150" i="10"/>
  <c r="B150" i="10"/>
  <c r="J146" i="10"/>
  <c r="I146" i="10"/>
  <c r="H146" i="10"/>
  <c r="G146" i="10"/>
  <c r="F146" i="10"/>
  <c r="E146" i="10"/>
  <c r="D146" i="10"/>
  <c r="C146" i="10"/>
  <c r="B146" i="10"/>
  <c r="J138" i="10"/>
  <c r="I138" i="10"/>
  <c r="H138" i="10"/>
  <c r="G138" i="10"/>
  <c r="F138" i="10"/>
  <c r="E138" i="10"/>
  <c r="D138" i="10"/>
  <c r="C138" i="10"/>
  <c r="B138" i="10"/>
  <c r="J133" i="10"/>
  <c r="I133" i="10"/>
  <c r="H133" i="10"/>
  <c r="G133" i="10"/>
  <c r="F133" i="10"/>
  <c r="E133" i="10"/>
  <c r="D133" i="10"/>
  <c r="C133" i="10"/>
  <c r="B133" i="10"/>
  <c r="J129" i="10"/>
  <c r="I129" i="10"/>
  <c r="H129" i="10"/>
  <c r="G129" i="10"/>
  <c r="F129" i="10"/>
  <c r="E129" i="10"/>
  <c r="D129" i="10"/>
  <c r="C129" i="10"/>
  <c r="B129" i="10"/>
  <c r="J116" i="10"/>
  <c r="I116" i="10"/>
  <c r="H116" i="10"/>
  <c r="G116" i="10"/>
  <c r="F116" i="10"/>
  <c r="E116" i="10"/>
  <c r="D116" i="10"/>
  <c r="C116" i="10"/>
  <c r="B116" i="10"/>
  <c r="J104" i="10"/>
  <c r="I104" i="10"/>
  <c r="H104" i="10"/>
  <c r="G104" i="10"/>
  <c r="F104" i="10"/>
  <c r="E104" i="10"/>
  <c r="D104" i="10"/>
  <c r="C104" i="10"/>
  <c r="B104" i="10"/>
  <c r="J90" i="10"/>
  <c r="I90" i="10"/>
  <c r="H90" i="10"/>
  <c r="G90" i="10"/>
  <c r="F90" i="10"/>
  <c r="E90" i="10"/>
  <c r="D90" i="10"/>
  <c r="C90" i="10"/>
  <c r="B90" i="10"/>
  <c r="J87" i="10"/>
  <c r="I87" i="10"/>
  <c r="H87" i="10"/>
  <c r="G87" i="10"/>
  <c r="F87" i="10"/>
  <c r="E87" i="10"/>
  <c r="D87" i="10"/>
  <c r="C87" i="10"/>
  <c r="B87" i="10"/>
  <c r="J76" i="10"/>
  <c r="I76" i="10"/>
  <c r="H76" i="10"/>
  <c r="G76" i="10"/>
  <c r="F76" i="10"/>
  <c r="E76" i="10"/>
  <c r="D76" i="10"/>
  <c r="C76" i="10"/>
  <c r="B76" i="10"/>
  <c r="J60" i="10"/>
  <c r="I60" i="10"/>
  <c r="H60" i="10"/>
  <c r="G60" i="10"/>
  <c r="F60" i="10"/>
  <c r="E60" i="10"/>
  <c r="D60" i="10"/>
  <c r="C60" i="10"/>
  <c r="B60" i="10"/>
  <c r="J57" i="10"/>
  <c r="I57" i="10"/>
  <c r="H57" i="10"/>
  <c r="G57" i="10"/>
  <c r="F57" i="10"/>
  <c r="E57" i="10"/>
  <c r="D57" i="10"/>
  <c r="C57" i="10"/>
  <c r="B57" i="10"/>
  <c r="J49" i="10"/>
  <c r="J54" i="10" s="1"/>
  <c r="I49" i="10"/>
  <c r="I54" i="10" s="1"/>
  <c r="H49" i="10"/>
  <c r="H54" i="10" s="1"/>
  <c r="G49" i="10"/>
  <c r="G54" i="10" s="1"/>
  <c r="F49" i="10"/>
  <c r="F54" i="10" s="1"/>
  <c r="E49" i="10"/>
  <c r="E54" i="10" s="1"/>
  <c r="D49" i="10"/>
  <c r="D54" i="10" s="1"/>
  <c r="C49" i="10"/>
  <c r="C54" i="10" s="1"/>
  <c r="B49" i="10"/>
  <c r="B54" i="10" s="1"/>
  <c r="J38" i="10"/>
  <c r="I38" i="10"/>
  <c r="H38" i="10"/>
  <c r="G38" i="10"/>
  <c r="F38" i="10"/>
  <c r="E38" i="10"/>
  <c r="D38" i="10"/>
  <c r="C38" i="10"/>
  <c r="B38" i="10"/>
  <c r="J29" i="10"/>
  <c r="I29" i="10"/>
  <c r="H29" i="10"/>
  <c r="G29" i="10"/>
  <c r="F29" i="10"/>
  <c r="E29" i="10"/>
  <c r="D29" i="10"/>
  <c r="C29" i="10"/>
  <c r="B29" i="10"/>
  <c r="J27" i="10"/>
  <c r="I27" i="10"/>
  <c r="H27" i="10"/>
  <c r="G27" i="10"/>
  <c r="F27" i="10"/>
  <c r="E27" i="10"/>
  <c r="D27" i="10"/>
  <c r="C27" i="10"/>
  <c r="B27" i="10"/>
  <c r="J13" i="10"/>
  <c r="I13" i="10"/>
  <c r="H13" i="10"/>
  <c r="G13" i="10"/>
  <c r="F13" i="10"/>
  <c r="E13" i="10"/>
  <c r="D13" i="10"/>
  <c r="C13" i="10"/>
  <c r="B13" i="10"/>
  <c r="J8" i="10"/>
  <c r="I8" i="10"/>
  <c r="H8" i="10"/>
  <c r="G8" i="10"/>
  <c r="F8" i="10"/>
  <c r="E8" i="10"/>
  <c r="D8" i="10"/>
  <c r="C8" i="10"/>
  <c r="B8" i="10"/>
  <c r="J241" i="9"/>
  <c r="I241" i="9"/>
  <c r="H241" i="9"/>
  <c r="G241" i="9"/>
  <c r="F241" i="9"/>
  <c r="E241" i="9"/>
  <c r="D241" i="9"/>
  <c r="C241" i="9"/>
  <c r="B241" i="9"/>
  <c r="J236" i="9"/>
  <c r="I236" i="9"/>
  <c r="H236" i="9"/>
  <c r="G236" i="9"/>
  <c r="F236" i="9"/>
  <c r="E236" i="9"/>
  <c r="D236" i="9"/>
  <c r="C236" i="9"/>
  <c r="B236" i="9"/>
  <c r="J227" i="9"/>
  <c r="I227" i="9"/>
  <c r="H227" i="9"/>
  <c r="G227" i="9"/>
  <c r="F227" i="9"/>
  <c r="E227" i="9"/>
  <c r="D227" i="9"/>
  <c r="C227" i="9"/>
  <c r="B227" i="9"/>
  <c r="J223" i="9"/>
  <c r="I223" i="9"/>
  <c r="H223" i="9"/>
  <c r="G223" i="9"/>
  <c r="F223" i="9"/>
  <c r="E223" i="9"/>
  <c r="D223" i="9"/>
  <c r="C223" i="9"/>
  <c r="B223" i="9"/>
  <c r="J219" i="9"/>
  <c r="I219" i="9"/>
  <c r="H219" i="9"/>
  <c r="G219" i="9"/>
  <c r="F219" i="9"/>
  <c r="E219" i="9"/>
  <c r="D219" i="9"/>
  <c r="C219" i="9"/>
  <c r="B219" i="9"/>
  <c r="J214" i="9"/>
  <c r="I214" i="9"/>
  <c r="H214" i="9"/>
  <c r="G214" i="9"/>
  <c r="F214" i="9"/>
  <c r="E214" i="9"/>
  <c r="D214" i="9"/>
  <c r="C214" i="9"/>
  <c r="B214" i="9"/>
  <c r="J209" i="9"/>
  <c r="I209" i="9"/>
  <c r="H209" i="9"/>
  <c r="G209" i="9"/>
  <c r="F209" i="9"/>
  <c r="E209" i="9"/>
  <c r="D209" i="9"/>
  <c r="C209" i="9"/>
  <c r="B209" i="9"/>
  <c r="J205" i="9"/>
  <c r="I205" i="9"/>
  <c r="H205" i="9"/>
  <c r="G205" i="9"/>
  <c r="F205" i="9"/>
  <c r="E205" i="9"/>
  <c r="D205" i="9"/>
  <c r="C205" i="9"/>
  <c r="B205" i="9"/>
  <c r="J193" i="9"/>
  <c r="I193" i="9"/>
  <c r="H193" i="9"/>
  <c r="G193" i="9"/>
  <c r="F193" i="9"/>
  <c r="E193" i="9"/>
  <c r="D193" i="9"/>
  <c r="C193" i="9"/>
  <c r="B193" i="9"/>
  <c r="J187" i="9"/>
  <c r="I187" i="9"/>
  <c r="H187" i="9"/>
  <c r="G187" i="9"/>
  <c r="F187" i="9"/>
  <c r="E187" i="9"/>
  <c r="D187" i="9"/>
  <c r="C187" i="9"/>
  <c r="B187" i="9"/>
  <c r="J182" i="9"/>
  <c r="I182" i="9"/>
  <c r="H182" i="9"/>
  <c r="G182" i="9"/>
  <c r="F182" i="9"/>
  <c r="E182" i="9"/>
  <c r="D182" i="9"/>
  <c r="C182" i="9"/>
  <c r="B182" i="9"/>
  <c r="J178" i="9"/>
  <c r="I178" i="9"/>
  <c r="H178" i="9"/>
  <c r="G178" i="9"/>
  <c r="F178" i="9"/>
  <c r="E178" i="9"/>
  <c r="D178" i="9"/>
  <c r="C178" i="9"/>
  <c r="B178" i="9"/>
  <c r="J172" i="9"/>
  <c r="I172" i="9"/>
  <c r="H172" i="9"/>
  <c r="G172" i="9"/>
  <c r="F172" i="9"/>
  <c r="E172" i="9"/>
  <c r="D172" i="9"/>
  <c r="C172" i="9"/>
  <c r="B172" i="9"/>
  <c r="J164" i="9"/>
  <c r="I164" i="9"/>
  <c r="H164" i="9"/>
  <c r="G164" i="9"/>
  <c r="F164" i="9"/>
  <c r="E164" i="9"/>
  <c r="D164" i="9"/>
  <c r="C164" i="9"/>
  <c r="B164" i="9"/>
  <c r="J157" i="9"/>
  <c r="I157" i="9"/>
  <c r="H157" i="9"/>
  <c r="G157" i="9"/>
  <c r="F157" i="9"/>
  <c r="E157" i="9"/>
  <c r="D157" i="9"/>
  <c r="C157" i="9"/>
  <c r="B157" i="9"/>
  <c r="J150" i="9"/>
  <c r="I150" i="9"/>
  <c r="H150" i="9"/>
  <c r="G150" i="9"/>
  <c r="F150" i="9"/>
  <c r="E150" i="9"/>
  <c r="D150" i="9"/>
  <c r="C150" i="9"/>
  <c r="B150" i="9"/>
  <c r="J146" i="9"/>
  <c r="I146" i="9"/>
  <c r="H146" i="9"/>
  <c r="G146" i="9"/>
  <c r="F146" i="9"/>
  <c r="E146" i="9"/>
  <c r="D146" i="9"/>
  <c r="C146" i="9"/>
  <c r="B146" i="9"/>
  <c r="J138" i="9"/>
  <c r="I138" i="9"/>
  <c r="H138" i="9"/>
  <c r="G138" i="9"/>
  <c r="F138" i="9"/>
  <c r="E138" i="9"/>
  <c r="D138" i="9"/>
  <c r="C138" i="9"/>
  <c r="B138" i="9"/>
  <c r="J133" i="9"/>
  <c r="I133" i="9"/>
  <c r="H133" i="9"/>
  <c r="G133" i="9"/>
  <c r="F133" i="9"/>
  <c r="E133" i="9"/>
  <c r="D133" i="9"/>
  <c r="C133" i="9"/>
  <c r="B133" i="9"/>
  <c r="J129" i="9"/>
  <c r="I129" i="9"/>
  <c r="H129" i="9"/>
  <c r="G129" i="9"/>
  <c r="F129" i="9"/>
  <c r="E129" i="9"/>
  <c r="D129" i="9"/>
  <c r="C129" i="9"/>
  <c r="B129" i="9"/>
  <c r="J116" i="9"/>
  <c r="I116" i="9"/>
  <c r="H116" i="9"/>
  <c r="G116" i="9"/>
  <c r="F116" i="9"/>
  <c r="E116" i="9"/>
  <c r="D116" i="9"/>
  <c r="C116" i="9"/>
  <c r="B116" i="9"/>
  <c r="J104" i="9"/>
  <c r="I104" i="9"/>
  <c r="H104" i="9"/>
  <c r="G104" i="9"/>
  <c r="F104" i="9"/>
  <c r="E104" i="9"/>
  <c r="D104" i="9"/>
  <c r="C104" i="9"/>
  <c r="B104" i="9"/>
  <c r="J90" i="9"/>
  <c r="I90" i="9"/>
  <c r="H90" i="9"/>
  <c r="G90" i="9"/>
  <c r="F90" i="9"/>
  <c r="E90" i="9"/>
  <c r="D90" i="9"/>
  <c r="C90" i="9"/>
  <c r="B90" i="9"/>
  <c r="J87" i="9"/>
  <c r="I87" i="9"/>
  <c r="H87" i="9"/>
  <c r="G87" i="9"/>
  <c r="F87" i="9"/>
  <c r="E87" i="9"/>
  <c r="D87" i="9"/>
  <c r="C87" i="9"/>
  <c r="B87" i="9"/>
  <c r="J76" i="9"/>
  <c r="I76" i="9"/>
  <c r="H76" i="9"/>
  <c r="G76" i="9"/>
  <c r="F76" i="9"/>
  <c r="E76" i="9"/>
  <c r="D76" i="9"/>
  <c r="C76" i="9"/>
  <c r="B76" i="9"/>
  <c r="J60" i="9"/>
  <c r="I60" i="9"/>
  <c r="H60" i="9"/>
  <c r="G60" i="9"/>
  <c r="F60" i="9"/>
  <c r="E60" i="9"/>
  <c r="D60" i="9"/>
  <c r="C60" i="9"/>
  <c r="B60" i="9"/>
  <c r="J57" i="9"/>
  <c r="I57" i="9"/>
  <c r="H57" i="9"/>
  <c r="G57" i="9"/>
  <c r="F57" i="9"/>
  <c r="E57" i="9"/>
  <c r="D57" i="9"/>
  <c r="C57" i="9"/>
  <c r="B57" i="9"/>
  <c r="J49" i="9"/>
  <c r="J54" i="9" s="1"/>
  <c r="I49" i="9"/>
  <c r="I54" i="9" s="1"/>
  <c r="H49" i="9"/>
  <c r="H54" i="9" s="1"/>
  <c r="G49" i="9"/>
  <c r="G54" i="9" s="1"/>
  <c r="F49" i="9"/>
  <c r="F54" i="9" s="1"/>
  <c r="E49" i="9"/>
  <c r="E54" i="9" s="1"/>
  <c r="D49" i="9"/>
  <c r="D54" i="9" s="1"/>
  <c r="C49" i="9"/>
  <c r="C54" i="9" s="1"/>
  <c r="B49" i="9"/>
  <c r="B54" i="9" s="1"/>
  <c r="J38" i="9"/>
  <c r="I38" i="9"/>
  <c r="H38" i="9"/>
  <c r="G38" i="9"/>
  <c r="F38" i="9"/>
  <c r="E38" i="9"/>
  <c r="D38" i="9"/>
  <c r="C38" i="9"/>
  <c r="B38" i="9"/>
  <c r="J29" i="9"/>
  <c r="I29" i="9"/>
  <c r="H29" i="9"/>
  <c r="G29" i="9"/>
  <c r="F29" i="9"/>
  <c r="E29" i="9"/>
  <c r="D29" i="9"/>
  <c r="C29" i="9"/>
  <c r="B29" i="9"/>
  <c r="J27" i="9"/>
  <c r="I27" i="9"/>
  <c r="H27" i="9"/>
  <c r="G27" i="9"/>
  <c r="F27" i="9"/>
  <c r="E27" i="9"/>
  <c r="D27" i="9"/>
  <c r="C27" i="9"/>
  <c r="B27" i="9"/>
  <c r="J13" i="9"/>
  <c r="I13" i="9"/>
  <c r="H13" i="9"/>
  <c r="G13" i="9"/>
  <c r="F13" i="9"/>
  <c r="E13" i="9"/>
  <c r="D13" i="9"/>
  <c r="C13" i="9"/>
  <c r="B13" i="9"/>
  <c r="J8" i="9"/>
  <c r="I8" i="9"/>
  <c r="H8" i="9"/>
  <c r="G8" i="9"/>
  <c r="F8" i="9"/>
  <c r="E8" i="9"/>
  <c r="D8" i="9"/>
  <c r="C8" i="9"/>
  <c r="B8" i="9"/>
  <c r="J241" i="15"/>
  <c r="I241" i="15"/>
  <c r="H241" i="15"/>
  <c r="G241" i="15"/>
  <c r="F241" i="15"/>
  <c r="E241" i="15"/>
  <c r="D241" i="15"/>
  <c r="C241" i="15"/>
  <c r="B241" i="15"/>
  <c r="J236" i="15"/>
  <c r="I236" i="15"/>
  <c r="H236" i="15"/>
  <c r="G236" i="15"/>
  <c r="F236" i="15"/>
  <c r="E236" i="15"/>
  <c r="D236" i="15"/>
  <c r="C236" i="15"/>
  <c r="B236" i="15"/>
  <c r="J227" i="15"/>
  <c r="I227" i="15"/>
  <c r="H227" i="15"/>
  <c r="G227" i="15"/>
  <c r="F227" i="15"/>
  <c r="E227" i="15"/>
  <c r="D227" i="15"/>
  <c r="C227" i="15"/>
  <c r="B227" i="15"/>
  <c r="J223" i="15"/>
  <c r="I223" i="15"/>
  <c r="H223" i="15"/>
  <c r="G223" i="15"/>
  <c r="F223" i="15"/>
  <c r="E223" i="15"/>
  <c r="D223" i="15"/>
  <c r="C223" i="15"/>
  <c r="B223" i="15"/>
  <c r="J219" i="15"/>
  <c r="I219" i="15"/>
  <c r="H219" i="15"/>
  <c r="G219" i="15"/>
  <c r="F219" i="15"/>
  <c r="E219" i="15"/>
  <c r="D219" i="15"/>
  <c r="C219" i="15"/>
  <c r="B219" i="15"/>
  <c r="J214" i="15"/>
  <c r="I214" i="15"/>
  <c r="H214" i="15"/>
  <c r="G214" i="15"/>
  <c r="F214" i="15"/>
  <c r="E214" i="15"/>
  <c r="D214" i="15"/>
  <c r="C214" i="15"/>
  <c r="B214" i="15"/>
  <c r="J209" i="15"/>
  <c r="I209" i="15"/>
  <c r="H209" i="15"/>
  <c r="G209" i="15"/>
  <c r="F209" i="15"/>
  <c r="E209" i="15"/>
  <c r="D209" i="15"/>
  <c r="C209" i="15"/>
  <c r="B209" i="15"/>
  <c r="J205" i="15"/>
  <c r="I205" i="15"/>
  <c r="H205" i="15"/>
  <c r="G205" i="15"/>
  <c r="F205" i="15"/>
  <c r="E205" i="15"/>
  <c r="D205" i="15"/>
  <c r="C205" i="15"/>
  <c r="B205" i="15"/>
  <c r="J193" i="15"/>
  <c r="I193" i="15"/>
  <c r="H193" i="15"/>
  <c r="G193" i="15"/>
  <c r="F193" i="15"/>
  <c r="E193" i="15"/>
  <c r="D193" i="15"/>
  <c r="C193" i="15"/>
  <c r="B193" i="15"/>
  <c r="J187" i="15"/>
  <c r="I187" i="15"/>
  <c r="H187" i="15"/>
  <c r="G187" i="15"/>
  <c r="F187" i="15"/>
  <c r="E187" i="15"/>
  <c r="D187" i="15"/>
  <c r="C187" i="15"/>
  <c r="B187" i="15"/>
  <c r="J182" i="15"/>
  <c r="I182" i="15"/>
  <c r="H182" i="15"/>
  <c r="G182" i="15"/>
  <c r="F182" i="15"/>
  <c r="E182" i="15"/>
  <c r="D182" i="15"/>
  <c r="C182" i="15"/>
  <c r="B182" i="15"/>
  <c r="J178" i="15"/>
  <c r="I178" i="15"/>
  <c r="H178" i="15"/>
  <c r="G178" i="15"/>
  <c r="F178" i="15"/>
  <c r="E178" i="15"/>
  <c r="D178" i="15"/>
  <c r="C178" i="15"/>
  <c r="B178" i="15"/>
  <c r="J172" i="15"/>
  <c r="I172" i="15"/>
  <c r="H172" i="15"/>
  <c r="G172" i="15"/>
  <c r="F172" i="15"/>
  <c r="E172" i="15"/>
  <c r="D172" i="15"/>
  <c r="C172" i="15"/>
  <c r="B172" i="15"/>
  <c r="J164" i="15"/>
  <c r="I164" i="15"/>
  <c r="H164" i="15"/>
  <c r="G164" i="15"/>
  <c r="F164" i="15"/>
  <c r="E164" i="15"/>
  <c r="D164" i="15"/>
  <c r="C164" i="15"/>
  <c r="B164" i="15"/>
  <c r="J157" i="15"/>
  <c r="I157" i="15"/>
  <c r="H157" i="15"/>
  <c r="G157" i="15"/>
  <c r="F157" i="15"/>
  <c r="E157" i="15"/>
  <c r="D157" i="15"/>
  <c r="C157" i="15"/>
  <c r="B157" i="15"/>
  <c r="J150" i="15"/>
  <c r="I150" i="15"/>
  <c r="H150" i="15"/>
  <c r="G150" i="15"/>
  <c r="F150" i="15"/>
  <c r="E150" i="15"/>
  <c r="D150" i="15"/>
  <c r="C150" i="15"/>
  <c r="B150" i="15"/>
  <c r="J146" i="15"/>
  <c r="I146" i="15"/>
  <c r="H146" i="15"/>
  <c r="G146" i="15"/>
  <c r="F146" i="15"/>
  <c r="E146" i="15"/>
  <c r="D146" i="15"/>
  <c r="C146" i="15"/>
  <c r="B146" i="15"/>
  <c r="J138" i="15"/>
  <c r="I138" i="15"/>
  <c r="H138" i="15"/>
  <c r="G138" i="15"/>
  <c r="F138" i="15"/>
  <c r="E138" i="15"/>
  <c r="D138" i="15"/>
  <c r="C138" i="15"/>
  <c r="B138" i="15"/>
  <c r="J133" i="15"/>
  <c r="I133" i="15"/>
  <c r="H133" i="15"/>
  <c r="G133" i="15"/>
  <c r="F133" i="15"/>
  <c r="E133" i="15"/>
  <c r="D133" i="15"/>
  <c r="C133" i="15"/>
  <c r="B133" i="15"/>
  <c r="J129" i="15"/>
  <c r="I129" i="15"/>
  <c r="H129" i="15"/>
  <c r="G129" i="15"/>
  <c r="F129" i="15"/>
  <c r="E129" i="15"/>
  <c r="D129" i="15"/>
  <c r="C129" i="15"/>
  <c r="B129" i="15"/>
  <c r="J116" i="15"/>
  <c r="I116" i="15"/>
  <c r="H116" i="15"/>
  <c r="G116" i="15"/>
  <c r="F116" i="15"/>
  <c r="E116" i="15"/>
  <c r="D116" i="15"/>
  <c r="C116" i="15"/>
  <c r="B116" i="15"/>
  <c r="J104" i="15"/>
  <c r="I104" i="15"/>
  <c r="H104" i="15"/>
  <c r="G104" i="15"/>
  <c r="F104" i="15"/>
  <c r="E104" i="15"/>
  <c r="D104" i="15"/>
  <c r="C104" i="15"/>
  <c r="B104" i="15"/>
  <c r="J90" i="15"/>
  <c r="I90" i="15"/>
  <c r="H90" i="15"/>
  <c r="G90" i="15"/>
  <c r="F90" i="15"/>
  <c r="E90" i="15"/>
  <c r="D90" i="15"/>
  <c r="C90" i="15"/>
  <c r="B90" i="15"/>
  <c r="J87" i="15"/>
  <c r="I87" i="15"/>
  <c r="H87" i="15"/>
  <c r="G87" i="15"/>
  <c r="F87" i="15"/>
  <c r="E87" i="15"/>
  <c r="D87" i="15"/>
  <c r="C87" i="15"/>
  <c r="B87" i="15"/>
  <c r="J76" i="15"/>
  <c r="I76" i="15"/>
  <c r="H76" i="15"/>
  <c r="G76" i="15"/>
  <c r="F76" i="15"/>
  <c r="E76" i="15"/>
  <c r="D76" i="15"/>
  <c r="C76" i="15"/>
  <c r="B76" i="15"/>
  <c r="J60" i="15"/>
  <c r="I60" i="15"/>
  <c r="H60" i="15"/>
  <c r="G60" i="15"/>
  <c r="F60" i="15"/>
  <c r="E60" i="15"/>
  <c r="D60" i="15"/>
  <c r="C60" i="15"/>
  <c r="B60" i="15"/>
  <c r="J57" i="15"/>
  <c r="I57" i="15"/>
  <c r="H57" i="15"/>
  <c r="G57" i="15"/>
  <c r="F57" i="15"/>
  <c r="E57" i="15"/>
  <c r="D57" i="15"/>
  <c r="C57" i="15"/>
  <c r="B57" i="15"/>
  <c r="J49" i="15"/>
  <c r="J54" i="15" s="1"/>
  <c r="I49" i="15"/>
  <c r="I54" i="15" s="1"/>
  <c r="H49" i="15"/>
  <c r="H54" i="15" s="1"/>
  <c r="G49" i="15"/>
  <c r="G54" i="15" s="1"/>
  <c r="F49" i="15"/>
  <c r="F54" i="15" s="1"/>
  <c r="E49" i="15"/>
  <c r="E54" i="15" s="1"/>
  <c r="D49" i="15"/>
  <c r="D54" i="15" s="1"/>
  <c r="C49" i="15"/>
  <c r="C54" i="15" s="1"/>
  <c r="B49" i="15"/>
  <c r="B54" i="15" s="1"/>
  <c r="J38" i="15"/>
  <c r="I38" i="15"/>
  <c r="H38" i="15"/>
  <c r="G38" i="15"/>
  <c r="F38" i="15"/>
  <c r="E38" i="15"/>
  <c r="D38" i="15"/>
  <c r="C38" i="15"/>
  <c r="B38" i="15"/>
  <c r="J29" i="15"/>
  <c r="I29" i="15"/>
  <c r="H29" i="15"/>
  <c r="G29" i="15"/>
  <c r="F29" i="15"/>
  <c r="E29" i="15"/>
  <c r="D29" i="15"/>
  <c r="C29" i="15"/>
  <c r="B29" i="15"/>
  <c r="J27" i="15"/>
  <c r="I27" i="15"/>
  <c r="H27" i="15"/>
  <c r="G27" i="15"/>
  <c r="F27" i="15"/>
  <c r="E27" i="15"/>
  <c r="D27" i="15"/>
  <c r="C27" i="15"/>
  <c r="B27" i="15"/>
  <c r="J13" i="15"/>
  <c r="I13" i="15"/>
  <c r="H13" i="15"/>
  <c r="G13" i="15"/>
  <c r="F13" i="15"/>
  <c r="E13" i="15"/>
  <c r="D13" i="15"/>
  <c r="C13" i="15"/>
  <c r="B13" i="15"/>
  <c r="J8" i="15"/>
  <c r="I8" i="15"/>
  <c r="H8" i="15"/>
  <c r="G8" i="15"/>
  <c r="F8" i="15"/>
  <c r="E8" i="15"/>
  <c r="D8" i="15"/>
  <c r="C8" i="15"/>
  <c r="B8" i="15"/>
  <c r="B116" i="12"/>
  <c r="D116" i="12"/>
  <c r="I116" i="12"/>
  <c r="F116" i="12"/>
  <c r="E116" i="12"/>
  <c r="H104" i="12"/>
  <c r="D104" i="12"/>
  <c r="I104" i="12"/>
  <c r="C104" i="12"/>
  <c r="J90" i="12"/>
  <c r="H90" i="12"/>
  <c r="G90" i="12"/>
  <c r="F90" i="12"/>
  <c r="D90" i="12"/>
  <c r="B90" i="12"/>
  <c r="G87" i="12"/>
  <c r="C87" i="12"/>
  <c r="F76" i="12"/>
  <c r="H76" i="12"/>
  <c r="D76" i="12"/>
  <c r="H241" i="12"/>
  <c r="D241" i="12"/>
  <c r="J241" i="12"/>
  <c r="I241" i="12"/>
  <c r="F241" i="12"/>
  <c r="E241" i="12"/>
  <c r="B241" i="12"/>
  <c r="G241" i="12"/>
  <c r="C241" i="12"/>
  <c r="H236" i="12"/>
  <c r="D236" i="12"/>
  <c r="J236" i="12"/>
  <c r="I236" i="12"/>
  <c r="F236" i="12"/>
  <c r="E236" i="12"/>
  <c r="B236" i="12"/>
  <c r="G236" i="12"/>
  <c r="C236" i="12"/>
  <c r="I227" i="12"/>
  <c r="H227" i="12"/>
  <c r="E227" i="12"/>
  <c r="D227" i="12"/>
  <c r="J227" i="12"/>
  <c r="G227" i="12"/>
  <c r="F227" i="12"/>
  <c r="C227" i="12"/>
  <c r="B227" i="12"/>
  <c r="G223" i="12"/>
  <c r="C223" i="12"/>
  <c r="I223" i="12"/>
  <c r="H223" i="12"/>
  <c r="E223" i="12"/>
  <c r="D223" i="12"/>
  <c r="J223" i="12"/>
  <c r="F223" i="12"/>
  <c r="B223" i="12"/>
  <c r="G219" i="12"/>
  <c r="C219" i="12"/>
  <c r="I219" i="12"/>
  <c r="H219" i="12"/>
  <c r="E219" i="12"/>
  <c r="D219" i="12"/>
  <c r="J219" i="12"/>
  <c r="F219" i="12"/>
  <c r="B219" i="12"/>
  <c r="I214" i="12"/>
  <c r="H214" i="12"/>
  <c r="E214" i="12"/>
  <c r="D214" i="12"/>
  <c r="J214" i="12"/>
  <c r="G214" i="12"/>
  <c r="F214" i="12"/>
  <c r="C214" i="12"/>
  <c r="B214" i="12"/>
  <c r="H209" i="12"/>
  <c r="D209" i="12"/>
  <c r="J209" i="12"/>
  <c r="I209" i="12"/>
  <c r="F209" i="12"/>
  <c r="E209" i="12"/>
  <c r="B209" i="12"/>
  <c r="G209" i="12"/>
  <c r="C209" i="12"/>
  <c r="H205" i="12"/>
  <c r="D205" i="12"/>
  <c r="J205" i="12"/>
  <c r="I205" i="12"/>
  <c r="F205" i="12"/>
  <c r="E205" i="12"/>
  <c r="B205" i="12"/>
  <c r="G205" i="12"/>
  <c r="C205" i="12"/>
  <c r="H193" i="12"/>
  <c r="D193" i="12"/>
  <c r="J193" i="12"/>
  <c r="G193" i="12"/>
  <c r="F193" i="12"/>
  <c r="B193" i="12"/>
  <c r="C193" i="12"/>
  <c r="J187" i="12"/>
  <c r="B187" i="12"/>
  <c r="H187" i="12"/>
  <c r="G187" i="12"/>
  <c r="E187" i="12"/>
  <c r="D187" i="12"/>
  <c r="C187" i="12"/>
  <c r="I187" i="12"/>
  <c r="F187" i="12"/>
  <c r="C182" i="12"/>
  <c r="I182" i="12"/>
  <c r="H182" i="12"/>
  <c r="F182" i="12"/>
  <c r="E182" i="12"/>
  <c r="D182" i="12"/>
  <c r="J182" i="12"/>
  <c r="G182" i="12"/>
  <c r="B182" i="12"/>
  <c r="C178" i="12"/>
  <c r="I178" i="12"/>
  <c r="H178" i="12"/>
  <c r="F178" i="12"/>
  <c r="E178" i="12"/>
  <c r="D178" i="12"/>
  <c r="J178" i="12"/>
  <c r="G178" i="12"/>
  <c r="B178" i="12"/>
  <c r="H172" i="12"/>
  <c r="I172" i="12"/>
  <c r="J172" i="12"/>
  <c r="G172" i="12"/>
  <c r="F172" i="12"/>
  <c r="C172" i="12"/>
  <c r="B172" i="12"/>
  <c r="E172" i="12"/>
  <c r="D172" i="12"/>
  <c r="H164" i="12"/>
  <c r="J164" i="12"/>
  <c r="G164" i="12"/>
  <c r="F164" i="12"/>
  <c r="C164" i="12"/>
  <c r="B164" i="12"/>
  <c r="I164" i="12"/>
  <c r="E164" i="12"/>
  <c r="D164" i="12"/>
  <c r="G157" i="12"/>
  <c r="J157" i="12"/>
  <c r="F157" i="12"/>
  <c r="B157" i="12"/>
  <c r="C157" i="12"/>
  <c r="I150" i="12"/>
  <c r="H150" i="12"/>
  <c r="G150" i="12"/>
  <c r="D150" i="12"/>
  <c r="C150" i="12"/>
  <c r="E150" i="12"/>
  <c r="I146" i="12"/>
  <c r="E146" i="12"/>
  <c r="J146" i="12"/>
  <c r="G146" i="12"/>
  <c r="D146" i="12"/>
  <c r="C146" i="12"/>
  <c r="H146" i="12"/>
  <c r="F146" i="12"/>
  <c r="B146" i="12"/>
  <c r="I138" i="12"/>
  <c r="E138" i="12"/>
  <c r="H138" i="12"/>
  <c r="G138" i="12"/>
  <c r="D138" i="12"/>
  <c r="C138" i="12"/>
  <c r="F133" i="12"/>
  <c r="B133" i="12"/>
  <c r="H133" i="12"/>
  <c r="D133" i="12"/>
  <c r="I133" i="12"/>
  <c r="E133" i="12"/>
  <c r="J133" i="12"/>
  <c r="I129" i="12"/>
  <c r="J129" i="12"/>
  <c r="F129" i="12"/>
  <c r="G129" i="12"/>
  <c r="E129" i="12"/>
  <c r="D129" i="12"/>
  <c r="C129" i="12"/>
  <c r="H129" i="12"/>
  <c r="B129" i="12"/>
  <c r="H116" i="12"/>
  <c r="J116" i="12"/>
  <c r="E104" i="12"/>
  <c r="I90" i="12"/>
  <c r="E90" i="12"/>
  <c r="C90" i="12"/>
  <c r="D87" i="12"/>
  <c r="I87" i="12"/>
  <c r="H87" i="12"/>
  <c r="E87" i="12"/>
  <c r="J76" i="12"/>
  <c r="J60" i="12"/>
  <c r="I60" i="12"/>
  <c r="H60" i="12"/>
  <c r="G60" i="12"/>
  <c r="F60" i="12"/>
  <c r="E60" i="12"/>
  <c r="D60" i="12"/>
  <c r="C60" i="12"/>
  <c r="B60" i="12"/>
  <c r="J57" i="12"/>
  <c r="I57" i="12"/>
  <c r="H57" i="12"/>
  <c r="G57" i="12"/>
  <c r="F57" i="12"/>
  <c r="E57" i="12"/>
  <c r="D57" i="12"/>
  <c r="C57" i="12"/>
  <c r="B57" i="12"/>
  <c r="J49" i="12"/>
  <c r="J54" i="12" s="1"/>
  <c r="I49" i="12"/>
  <c r="I54" i="12" s="1"/>
  <c r="H49" i="12"/>
  <c r="H54" i="12" s="1"/>
  <c r="G49" i="12"/>
  <c r="G54" i="12" s="1"/>
  <c r="F49" i="12"/>
  <c r="F54" i="12" s="1"/>
  <c r="E49" i="12"/>
  <c r="E54" i="12" s="1"/>
  <c r="D49" i="12"/>
  <c r="D54" i="12" s="1"/>
  <c r="C49" i="12"/>
  <c r="C54" i="12" s="1"/>
  <c r="B49" i="12"/>
  <c r="B54" i="12" s="1"/>
  <c r="J38" i="12"/>
  <c r="I38" i="12"/>
  <c r="H38" i="12"/>
  <c r="G38" i="12"/>
  <c r="F38" i="12"/>
  <c r="E38" i="12"/>
  <c r="D38" i="12"/>
  <c r="C38" i="12"/>
  <c r="B38" i="12"/>
  <c r="J29" i="12"/>
  <c r="I29" i="12"/>
  <c r="H29" i="12"/>
  <c r="G29" i="12"/>
  <c r="F29" i="12"/>
  <c r="E29" i="12"/>
  <c r="D29" i="12"/>
  <c r="C29" i="12"/>
  <c r="B29" i="12"/>
  <c r="J27" i="12"/>
  <c r="I27" i="12"/>
  <c r="H27" i="12"/>
  <c r="G27" i="12"/>
  <c r="F27" i="12"/>
  <c r="E27" i="12"/>
  <c r="D27" i="12"/>
  <c r="C27" i="12"/>
  <c r="B27" i="12"/>
  <c r="J13" i="12"/>
  <c r="I13" i="12"/>
  <c r="H13" i="12"/>
  <c r="G13" i="12"/>
  <c r="F13" i="12"/>
  <c r="E13" i="12"/>
  <c r="D13" i="12"/>
  <c r="C13" i="12"/>
  <c r="B13" i="12"/>
  <c r="J8" i="12"/>
  <c r="I8" i="12"/>
  <c r="H8" i="12"/>
  <c r="G8" i="12"/>
  <c r="F8" i="12"/>
  <c r="E8" i="12"/>
  <c r="D8" i="12"/>
  <c r="C8" i="12"/>
  <c r="B8" i="12"/>
  <c r="E58" i="18" l="1"/>
  <c r="G58" i="18"/>
  <c r="B58" i="18"/>
  <c r="C58" i="18"/>
  <c r="D58" i="18"/>
  <c r="F58" i="18"/>
  <c r="H58" i="18"/>
  <c r="I58" i="18"/>
  <c r="J58" i="18"/>
  <c r="D43" i="9"/>
  <c r="D47" i="9" s="1"/>
  <c r="I43" i="20"/>
  <c r="I47" i="20" s="1"/>
  <c r="C58" i="10"/>
  <c r="D6" i="10"/>
  <c r="F43" i="20"/>
  <c r="F47" i="20" s="1"/>
  <c r="H75" i="19"/>
  <c r="E58" i="11"/>
  <c r="H6" i="10"/>
  <c r="F58" i="13"/>
  <c r="E58" i="12"/>
  <c r="C218" i="12"/>
  <c r="I58" i="9"/>
  <c r="D6" i="18"/>
  <c r="H6" i="15"/>
  <c r="G115" i="18"/>
  <c r="D156" i="19"/>
  <c r="G156" i="19"/>
  <c r="I58" i="10"/>
  <c r="G58" i="14"/>
  <c r="J6" i="16"/>
  <c r="D43" i="16"/>
  <c r="D47" i="16" s="1"/>
  <c r="F6" i="19"/>
  <c r="C43" i="19"/>
  <c r="C47" i="19" s="1"/>
  <c r="H75" i="20"/>
  <c r="J6" i="13"/>
  <c r="B75" i="19"/>
  <c r="H115" i="19"/>
  <c r="E156" i="19"/>
  <c r="F58" i="10"/>
  <c r="J218" i="19"/>
  <c r="H6" i="18"/>
  <c r="E43" i="18"/>
  <c r="E47" i="18" s="1"/>
  <c r="E156" i="18"/>
  <c r="H58" i="10"/>
  <c r="H43" i="13"/>
  <c r="H47" i="13" s="1"/>
  <c r="B58" i="13"/>
  <c r="H58" i="16"/>
  <c r="H6" i="11"/>
  <c r="G218" i="19"/>
  <c r="I75" i="16"/>
  <c r="E6" i="20"/>
  <c r="B43" i="20"/>
  <c r="B47" i="20" s="1"/>
  <c r="I58" i="16"/>
  <c r="I75" i="19"/>
  <c r="C43" i="14"/>
  <c r="C47" i="14" s="1"/>
  <c r="I58" i="14"/>
  <c r="B218" i="16"/>
  <c r="F218" i="17"/>
  <c r="J218" i="20"/>
  <c r="J6" i="12"/>
  <c r="F218" i="15"/>
  <c r="B6" i="10"/>
  <c r="E43" i="14"/>
  <c r="E47" i="14" s="1"/>
  <c r="I156" i="18"/>
  <c r="B75" i="20"/>
  <c r="C58" i="16"/>
  <c r="J218" i="15"/>
  <c r="G43" i="9"/>
  <c r="G47" i="9" s="1"/>
  <c r="B58" i="10"/>
  <c r="D6" i="13"/>
  <c r="G58" i="13"/>
  <c r="J43" i="18"/>
  <c r="J47" i="18" s="1"/>
  <c r="B70" i="19"/>
  <c r="D58" i="11"/>
  <c r="C70" i="19"/>
  <c r="H156" i="20"/>
  <c r="F43" i="15"/>
  <c r="F47" i="15" s="1"/>
  <c r="I218" i="15"/>
  <c r="J43" i="10"/>
  <c r="J47" i="10" s="1"/>
  <c r="D58" i="10"/>
  <c r="I70" i="14"/>
  <c r="D6" i="19"/>
  <c r="I156" i="19"/>
  <c r="F75" i="20"/>
  <c r="C115" i="20"/>
  <c r="F115" i="20"/>
  <c r="F58" i="11"/>
  <c r="J58" i="13"/>
  <c r="G43" i="14"/>
  <c r="G47" i="14" s="1"/>
  <c r="D58" i="16"/>
  <c r="C75" i="18"/>
  <c r="E6" i="19"/>
  <c r="B43" i="19"/>
  <c r="B47" i="19" s="1"/>
  <c r="D115" i="19"/>
  <c r="E58" i="15"/>
  <c r="F6" i="10"/>
  <c r="D6" i="11"/>
  <c r="G58" i="11"/>
  <c r="H6" i="13"/>
  <c r="B43" i="18"/>
  <c r="B47" i="18" s="1"/>
  <c r="D115" i="18"/>
  <c r="I6" i="19"/>
  <c r="E75" i="20"/>
  <c r="E115" i="20"/>
  <c r="F58" i="12"/>
  <c r="D218" i="12"/>
  <c r="J58" i="12"/>
  <c r="F58" i="9"/>
  <c r="I6" i="13"/>
  <c r="F58" i="16"/>
  <c r="D43" i="19"/>
  <c r="D47" i="19" s="1"/>
  <c r="F218" i="19"/>
  <c r="H6" i="20"/>
  <c r="E43" i="20"/>
  <c r="E47" i="20" s="1"/>
  <c r="I58" i="12"/>
  <c r="B43" i="10"/>
  <c r="B47" i="10" s="1"/>
  <c r="D6" i="16"/>
  <c r="I58" i="17"/>
  <c r="H6" i="19"/>
  <c r="G115" i="19"/>
  <c r="J115" i="19"/>
  <c r="I6" i="20"/>
  <c r="F43" i="9"/>
  <c r="F47" i="9" s="1"/>
  <c r="C58" i="13"/>
  <c r="F58" i="14"/>
  <c r="C43" i="16"/>
  <c r="C47" i="16" s="1"/>
  <c r="E218" i="16"/>
  <c r="I6" i="18"/>
  <c r="F43" i="18"/>
  <c r="F47" i="18" s="1"/>
  <c r="J218" i="18"/>
  <c r="H43" i="20"/>
  <c r="H47" i="20" s="1"/>
  <c r="J58" i="9"/>
  <c r="J58" i="16"/>
  <c r="I156" i="20"/>
  <c r="E6" i="15"/>
  <c r="B43" i="15"/>
  <c r="B47" i="15" s="1"/>
  <c r="H6" i="9"/>
  <c r="E43" i="9"/>
  <c r="E47" i="9" s="1"/>
  <c r="F43" i="10"/>
  <c r="F47" i="10" s="1"/>
  <c r="E6" i="13"/>
  <c r="H58" i="14"/>
  <c r="I43" i="19"/>
  <c r="I47" i="19" s="1"/>
  <c r="E75" i="19"/>
  <c r="B218" i="19"/>
  <c r="I6" i="12"/>
  <c r="E75" i="9"/>
  <c r="G58" i="10"/>
  <c r="H58" i="11"/>
  <c r="J43" i="16"/>
  <c r="J47" i="16" s="1"/>
  <c r="H218" i="18"/>
  <c r="C156" i="19"/>
  <c r="I58" i="15"/>
  <c r="E58" i="16"/>
  <c r="I115" i="20"/>
  <c r="B58" i="12"/>
  <c r="D6" i="15"/>
  <c r="J58" i="15"/>
  <c r="D75" i="15"/>
  <c r="J218" i="13"/>
  <c r="I43" i="14"/>
  <c r="I47" i="14" s="1"/>
  <c r="C58" i="14"/>
  <c r="J43" i="19"/>
  <c r="J47" i="19" s="1"/>
  <c r="D75" i="20"/>
  <c r="J75" i="20"/>
  <c r="B218" i="20"/>
  <c r="E218" i="9"/>
  <c r="J58" i="10"/>
  <c r="E75" i="10"/>
  <c r="I6" i="14"/>
  <c r="J43" i="14"/>
  <c r="J47" i="14" s="1"/>
  <c r="D58" i="14"/>
  <c r="G58" i="16"/>
  <c r="E75" i="18"/>
  <c r="C75" i="19"/>
  <c r="E58" i="10"/>
  <c r="E58" i="14"/>
  <c r="H6" i="16"/>
  <c r="G70" i="18"/>
  <c r="D70" i="18"/>
  <c r="G43" i="18"/>
  <c r="G47" i="18" s="1"/>
  <c r="J156" i="19"/>
  <c r="E218" i="15"/>
  <c r="G58" i="9"/>
  <c r="I218" i="19"/>
  <c r="C156" i="20"/>
  <c r="F156" i="20"/>
  <c r="B58" i="15"/>
  <c r="B218" i="18"/>
  <c r="F218" i="20"/>
  <c r="J70" i="9"/>
  <c r="H70" i="10"/>
  <c r="I75" i="10"/>
  <c r="D75" i="19"/>
  <c r="I75" i="20"/>
  <c r="H58" i="12"/>
  <c r="D58" i="15"/>
  <c r="B218" i="15"/>
  <c r="J218" i="9"/>
  <c r="D218" i="18"/>
  <c r="J6" i="19"/>
  <c r="G43" i="19"/>
  <c r="G47" i="19" s="1"/>
  <c r="H156" i="19"/>
  <c r="J43" i="20"/>
  <c r="J47" i="20" s="1"/>
  <c r="G6" i="12"/>
  <c r="I43" i="15"/>
  <c r="I47" i="15" s="1"/>
  <c r="C43" i="13"/>
  <c r="C47" i="13" s="1"/>
  <c r="F43" i="13"/>
  <c r="F47" i="13" s="1"/>
  <c r="I58" i="13"/>
  <c r="B58" i="16"/>
  <c r="I218" i="16"/>
  <c r="I75" i="18"/>
  <c r="H115" i="18"/>
  <c r="F156" i="18"/>
  <c r="F218" i="18"/>
  <c r="F43" i="19"/>
  <c r="F47" i="19" s="1"/>
  <c r="C43" i="20"/>
  <c r="C47" i="20" s="1"/>
  <c r="E156" i="20"/>
  <c r="I70" i="15"/>
  <c r="H75" i="15"/>
  <c r="G70" i="9"/>
  <c r="F218" i="13"/>
  <c r="J218" i="16"/>
  <c r="B156" i="19"/>
  <c r="C58" i="15"/>
  <c r="J6" i="10"/>
  <c r="I58" i="11"/>
  <c r="F43" i="14"/>
  <c r="F47" i="14" s="1"/>
  <c r="I70" i="16"/>
  <c r="F43" i="16"/>
  <c r="F47" i="16" s="1"/>
  <c r="G75" i="20"/>
  <c r="B156" i="20"/>
  <c r="B6" i="15"/>
  <c r="H70" i="15"/>
  <c r="E43" i="10"/>
  <c r="E47" i="10" s="1"/>
  <c r="J218" i="10"/>
  <c r="J58" i="11"/>
  <c r="G43" i="16"/>
  <c r="G47" i="16" s="1"/>
  <c r="F218" i="16"/>
  <c r="D218" i="19"/>
  <c r="D115" i="20"/>
  <c r="D218" i="20"/>
  <c r="G218" i="20"/>
  <c r="G43" i="13"/>
  <c r="G47" i="13" s="1"/>
  <c r="B58" i="14"/>
  <c r="B6" i="16"/>
  <c r="J218" i="17"/>
  <c r="J70" i="18"/>
  <c r="F75" i="18"/>
  <c r="J115" i="18"/>
  <c r="E218" i="18"/>
  <c r="C58" i="12"/>
  <c r="I6" i="15"/>
  <c r="J43" i="15"/>
  <c r="J47" i="15" s="1"/>
  <c r="F58" i="15"/>
  <c r="B58" i="9"/>
  <c r="I218" i="9"/>
  <c r="B6" i="13"/>
  <c r="H70" i="17"/>
  <c r="H43" i="18"/>
  <c r="H47" i="18" s="1"/>
  <c r="E115" i="18"/>
  <c r="C156" i="18"/>
  <c r="F156" i="19"/>
  <c r="I70" i="20"/>
  <c r="D58" i="12"/>
  <c r="G58" i="15"/>
  <c r="I43" i="9"/>
  <c r="I47" i="9" s="1"/>
  <c r="C58" i="9"/>
  <c r="I43" i="18"/>
  <c r="I47" i="18" s="1"/>
  <c r="D156" i="18"/>
  <c r="J156" i="18"/>
  <c r="F70" i="19"/>
  <c r="D6" i="20"/>
  <c r="G115" i="20"/>
  <c r="J115" i="20"/>
  <c r="B6" i="12"/>
  <c r="F6" i="15"/>
  <c r="H58" i="15"/>
  <c r="E75" i="15"/>
  <c r="D6" i="9"/>
  <c r="D58" i="9"/>
  <c r="I43" i="10"/>
  <c r="I47" i="10" s="1"/>
  <c r="D58" i="13"/>
  <c r="G218" i="17"/>
  <c r="G70" i="19"/>
  <c r="F75" i="19"/>
  <c r="E218" i="19"/>
  <c r="H218" i="19"/>
  <c r="E218" i="20"/>
  <c r="H218" i="20"/>
  <c r="B70" i="9"/>
  <c r="E6" i="9"/>
  <c r="B43" i="9"/>
  <c r="B47" i="9" s="1"/>
  <c r="E58" i="9"/>
  <c r="C58" i="11"/>
  <c r="E58" i="13"/>
  <c r="F6" i="16"/>
  <c r="E6" i="18"/>
  <c r="D75" i="18"/>
  <c r="J75" i="18"/>
  <c r="B115" i="18"/>
  <c r="I218" i="18"/>
  <c r="C218" i="18"/>
  <c r="E43" i="19"/>
  <c r="E47" i="19" s="1"/>
  <c r="B115" i="19"/>
  <c r="E115" i="19"/>
  <c r="G58" i="12"/>
  <c r="F6" i="13"/>
  <c r="B218" i="13"/>
  <c r="F6" i="17"/>
  <c r="C70" i="18"/>
  <c r="C43" i="18"/>
  <c r="C47" i="18" s="1"/>
  <c r="C115" i="18"/>
  <c r="I115" i="18"/>
  <c r="G156" i="18"/>
  <c r="D43" i="20"/>
  <c r="D47" i="20" s="1"/>
  <c r="G43" i="20"/>
  <c r="G47" i="20" s="1"/>
  <c r="H6" i="14"/>
  <c r="B43" i="14"/>
  <c r="B47" i="14" s="1"/>
  <c r="E70" i="16"/>
  <c r="B43" i="16"/>
  <c r="B47" i="16" s="1"/>
  <c r="H156" i="18"/>
  <c r="B156" i="18"/>
  <c r="J70" i="19"/>
  <c r="H70" i="20"/>
  <c r="C75" i="20"/>
  <c r="B115" i="20"/>
  <c r="H115" i="20"/>
  <c r="D156" i="20"/>
  <c r="G156" i="20"/>
  <c r="J156" i="20"/>
  <c r="J6" i="15"/>
  <c r="I75" i="15"/>
  <c r="H58" i="9"/>
  <c r="H58" i="13"/>
  <c r="G75" i="18"/>
  <c r="B6" i="19"/>
  <c r="H70" i="19"/>
  <c r="G75" i="19"/>
  <c r="J75" i="19"/>
  <c r="C218" i="19"/>
  <c r="I218" i="20"/>
  <c r="C218" i="20"/>
  <c r="E43" i="15"/>
  <c r="E47" i="15" s="1"/>
  <c r="F70" i="9"/>
  <c r="C43" i="9"/>
  <c r="C47" i="9" s="1"/>
  <c r="G70" i="14"/>
  <c r="J58" i="14"/>
  <c r="F70" i="18"/>
  <c r="H75" i="18"/>
  <c r="B75" i="18"/>
  <c r="F115" i="18"/>
  <c r="G218" i="18"/>
  <c r="C115" i="19"/>
  <c r="F115" i="19"/>
  <c r="I115" i="19"/>
  <c r="B70" i="18"/>
  <c r="I43" i="17"/>
  <c r="I47" i="17" s="1"/>
  <c r="B218" i="17"/>
  <c r="J43" i="17"/>
  <c r="J47" i="17" s="1"/>
  <c r="H156" i="17"/>
  <c r="D6" i="17"/>
  <c r="C115" i="17"/>
  <c r="F115" i="17"/>
  <c r="I156" i="17"/>
  <c r="D115" i="17"/>
  <c r="E75" i="17"/>
  <c r="E115" i="17"/>
  <c r="J6" i="17"/>
  <c r="F75" i="17"/>
  <c r="H6" i="17"/>
  <c r="H218" i="17"/>
  <c r="D218" i="17"/>
  <c r="E218" i="17"/>
  <c r="I218" i="17"/>
  <c r="C218" i="17"/>
  <c r="E156" i="17"/>
  <c r="J156" i="17"/>
  <c r="B156" i="17"/>
  <c r="D156" i="17"/>
  <c r="F156" i="17"/>
  <c r="C156" i="17"/>
  <c r="G156" i="17"/>
  <c r="B115" i="17"/>
  <c r="J115" i="17"/>
  <c r="G115" i="17"/>
  <c r="H115" i="17"/>
  <c r="I115" i="17"/>
  <c r="C75" i="17"/>
  <c r="D75" i="17"/>
  <c r="J75" i="17"/>
  <c r="B75" i="17"/>
  <c r="H75" i="17"/>
  <c r="I75" i="17"/>
  <c r="G75" i="17"/>
  <c r="B58" i="17"/>
  <c r="C58" i="17"/>
  <c r="D58" i="17"/>
  <c r="E58" i="17"/>
  <c r="F58" i="17"/>
  <c r="G58" i="17"/>
  <c r="H58" i="17"/>
  <c r="J58" i="17"/>
  <c r="G70" i="17"/>
  <c r="C70" i="17"/>
  <c r="I70" i="17"/>
  <c r="J70" i="17"/>
  <c r="D43" i="17"/>
  <c r="D47" i="17" s="1"/>
  <c r="E43" i="17"/>
  <c r="E47" i="17" s="1"/>
  <c r="B43" i="17"/>
  <c r="B47" i="17" s="1"/>
  <c r="C43" i="17"/>
  <c r="C47" i="17" s="1"/>
  <c r="F43" i="17"/>
  <c r="F47" i="17" s="1"/>
  <c r="G43" i="17"/>
  <c r="G47" i="17" s="1"/>
  <c r="B70" i="17"/>
  <c r="E70" i="17"/>
  <c r="F70" i="17"/>
  <c r="B6" i="17"/>
  <c r="B75" i="16"/>
  <c r="F75" i="16"/>
  <c r="J75" i="16"/>
  <c r="C115" i="16"/>
  <c r="G115" i="16"/>
  <c r="E156" i="16"/>
  <c r="C218" i="16"/>
  <c r="G218" i="16"/>
  <c r="D218" i="16"/>
  <c r="H218" i="16"/>
  <c r="D156" i="16"/>
  <c r="H156" i="16"/>
  <c r="I156" i="16"/>
  <c r="C156" i="16"/>
  <c r="G156" i="16"/>
  <c r="B156" i="16"/>
  <c r="F156" i="16"/>
  <c r="J156" i="16"/>
  <c r="E115" i="16"/>
  <c r="I115" i="16"/>
  <c r="F115" i="16"/>
  <c r="B115" i="16"/>
  <c r="J115" i="16"/>
  <c r="D115" i="16"/>
  <c r="H115" i="16"/>
  <c r="D75" i="16"/>
  <c r="H75" i="16"/>
  <c r="E75" i="16"/>
  <c r="C75" i="16"/>
  <c r="G75" i="16"/>
  <c r="E43" i="16"/>
  <c r="E47" i="16" s="1"/>
  <c r="I43" i="16"/>
  <c r="I47" i="16" s="1"/>
  <c r="B70" i="16"/>
  <c r="F70" i="16"/>
  <c r="J70" i="16"/>
  <c r="C70" i="16"/>
  <c r="G70" i="16"/>
  <c r="H70" i="16"/>
  <c r="G75" i="15"/>
  <c r="C75" i="15"/>
  <c r="B75" i="15"/>
  <c r="F75" i="15"/>
  <c r="J75" i="15"/>
  <c r="D115" i="15"/>
  <c r="H115" i="15"/>
  <c r="D218" i="15"/>
  <c r="H218" i="15"/>
  <c r="C218" i="15"/>
  <c r="G218" i="15"/>
  <c r="E156" i="15"/>
  <c r="I156" i="15"/>
  <c r="C156" i="15"/>
  <c r="G156" i="15"/>
  <c r="D156" i="15"/>
  <c r="H156" i="15"/>
  <c r="B156" i="15"/>
  <c r="F156" i="15"/>
  <c r="J156" i="15"/>
  <c r="F115" i="15"/>
  <c r="B115" i="15"/>
  <c r="J115" i="15"/>
  <c r="C115" i="15"/>
  <c r="G115" i="15"/>
  <c r="E115" i="15"/>
  <c r="I115" i="15"/>
  <c r="E70" i="15"/>
  <c r="C43" i="15"/>
  <c r="C47" i="15" s="1"/>
  <c r="G43" i="15"/>
  <c r="G47" i="15" s="1"/>
  <c r="D43" i="15"/>
  <c r="D47" i="15" s="1"/>
  <c r="C70" i="15"/>
  <c r="G70" i="15"/>
  <c r="B70" i="15"/>
  <c r="F70" i="15"/>
  <c r="J70" i="15"/>
  <c r="E70" i="14"/>
  <c r="C70" i="14"/>
  <c r="E75" i="14"/>
  <c r="I75" i="14"/>
  <c r="C156" i="14"/>
  <c r="G156" i="14"/>
  <c r="I156" i="14"/>
  <c r="D218" i="14"/>
  <c r="H218" i="14"/>
  <c r="F218" i="14"/>
  <c r="B218" i="14"/>
  <c r="J218" i="14"/>
  <c r="E218" i="14"/>
  <c r="I218" i="14"/>
  <c r="C218" i="14"/>
  <c r="G218" i="14"/>
  <c r="D156" i="14"/>
  <c r="H156" i="14"/>
  <c r="B156" i="14"/>
  <c r="F156" i="14"/>
  <c r="J156" i="14"/>
  <c r="E156" i="14"/>
  <c r="E115" i="14"/>
  <c r="I115" i="14"/>
  <c r="C115" i="14"/>
  <c r="H115" i="14"/>
  <c r="G115" i="14"/>
  <c r="D115" i="14"/>
  <c r="F115" i="14"/>
  <c r="J115" i="14"/>
  <c r="B115" i="14"/>
  <c r="D75" i="14"/>
  <c r="H75" i="14"/>
  <c r="C75" i="14"/>
  <c r="G75" i="14"/>
  <c r="F75" i="14"/>
  <c r="J75" i="14"/>
  <c r="B75" i="14"/>
  <c r="D43" i="14"/>
  <c r="D47" i="14" s="1"/>
  <c r="H43" i="14"/>
  <c r="H47" i="14" s="1"/>
  <c r="F70" i="14"/>
  <c r="J70" i="14"/>
  <c r="B70" i="14"/>
  <c r="D6" i="14"/>
  <c r="E6" i="14"/>
  <c r="F6" i="14"/>
  <c r="J6" i="14"/>
  <c r="I75" i="13"/>
  <c r="E75" i="13"/>
  <c r="H115" i="13"/>
  <c r="E218" i="13"/>
  <c r="I218" i="13"/>
  <c r="D218" i="13"/>
  <c r="H218" i="13"/>
  <c r="C218" i="13"/>
  <c r="G218" i="13"/>
  <c r="I156" i="13"/>
  <c r="E156" i="13"/>
  <c r="D156" i="13"/>
  <c r="H156" i="13"/>
  <c r="B156" i="13"/>
  <c r="J156" i="13"/>
  <c r="F156" i="13"/>
  <c r="G156" i="13"/>
  <c r="C156" i="13"/>
  <c r="D115" i="13"/>
  <c r="C115" i="13"/>
  <c r="G115" i="13"/>
  <c r="B115" i="13"/>
  <c r="F115" i="13"/>
  <c r="J115" i="13"/>
  <c r="E115" i="13"/>
  <c r="I115" i="13"/>
  <c r="C75" i="13"/>
  <c r="G75" i="13"/>
  <c r="D75" i="13"/>
  <c r="H75" i="13"/>
  <c r="F75" i="13"/>
  <c r="J75" i="13"/>
  <c r="B75" i="13"/>
  <c r="E43" i="13"/>
  <c r="E47" i="13" s="1"/>
  <c r="I43" i="13"/>
  <c r="I47" i="13" s="1"/>
  <c r="B43" i="13"/>
  <c r="B47" i="13" s="1"/>
  <c r="J43" i="13"/>
  <c r="J47" i="13" s="1"/>
  <c r="E70" i="13"/>
  <c r="I70" i="13"/>
  <c r="B70" i="13"/>
  <c r="F70" i="13"/>
  <c r="J70" i="13"/>
  <c r="C70" i="13"/>
  <c r="G70" i="13"/>
  <c r="D70" i="13"/>
  <c r="J218" i="12"/>
  <c r="I218" i="12"/>
  <c r="E218" i="12"/>
  <c r="G218" i="12"/>
  <c r="H6" i="12"/>
  <c r="B218" i="11"/>
  <c r="F218" i="11"/>
  <c r="J218" i="11"/>
  <c r="E6" i="11"/>
  <c r="I6" i="11"/>
  <c r="J6" i="11"/>
  <c r="D115" i="10"/>
  <c r="H115" i="10"/>
  <c r="C115" i="10"/>
  <c r="G115" i="10"/>
  <c r="C218" i="10"/>
  <c r="G218" i="10"/>
  <c r="B218" i="10"/>
  <c r="F218" i="10"/>
  <c r="D218" i="10"/>
  <c r="H218" i="10"/>
  <c r="E218" i="10"/>
  <c r="I218" i="10"/>
  <c r="I156" i="10"/>
  <c r="D156" i="10"/>
  <c r="H156" i="10"/>
  <c r="E156" i="10"/>
  <c r="C156" i="10"/>
  <c r="G156" i="10"/>
  <c r="B156" i="10"/>
  <c r="F156" i="10"/>
  <c r="J156" i="10"/>
  <c r="B115" i="10"/>
  <c r="F115" i="10"/>
  <c r="J115" i="10"/>
  <c r="E115" i="10"/>
  <c r="I115" i="10"/>
  <c r="D75" i="10"/>
  <c r="H75" i="10"/>
  <c r="B75" i="10"/>
  <c r="F75" i="10"/>
  <c r="J75" i="10"/>
  <c r="C75" i="10"/>
  <c r="G75" i="10"/>
  <c r="C43" i="10"/>
  <c r="C47" i="10" s="1"/>
  <c r="G43" i="10"/>
  <c r="G47" i="10" s="1"/>
  <c r="D43" i="10"/>
  <c r="D47" i="10" s="1"/>
  <c r="B70" i="10"/>
  <c r="F70" i="10"/>
  <c r="J70" i="10"/>
  <c r="C70" i="10"/>
  <c r="G70" i="10"/>
  <c r="E70" i="10"/>
  <c r="I70" i="10"/>
  <c r="D75" i="9"/>
  <c r="H75" i="9"/>
  <c r="D115" i="9"/>
  <c r="B218" i="9"/>
  <c r="F218" i="9"/>
  <c r="D218" i="9"/>
  <c r="H218" i="9"/>
  <c r="C218" i="9"/>
  <c r="G218" i="9"/>
  <c r="E156" i="9"/>
  <c r="I156" i="9"/>
  <c r="C156" i="9"/>
  <c r="G156" i="9"/>
  <c r="D156" i="9"/>
  <c r="H156" i="9"/>
  <c r="J156" i="9"/>
  <c r="B156" i="9"/>
  <c r="F156" i="9"/>
  <c r="E115" i="9"/>
  <c r="H115" i="9"/>
  <c r="B115" i="9"/>
  <c r="F115" i="9"/>
  <c r="J115" i="9"/>
  <c r="C115" i="9"/>
  <c r="G115" i="9"/>
  <c r="I115" i="9"/>
  <c r="I75" i="9"/>
  <c r="C75" i="9"/>
  <c r="G75" i="9"/>
  <c r="B75" i="9"/>
  <c r="F75" i="9"/>
  <c r="J75" i="9"/>
  <c r="C70" i="9"/>
  <c r="J43" i="9"/>
  <c r="J47" i="9" s="1"/>
  <c r="H70" i="9"/>
  <c r="E70" i="9"/>
  <c r="I70" i="9"/>
  <c r="I6" i="9"/>
  <c r="B6" i="11"/>
  <c r="F6" i="11"/>
  <c r="C43" i="11"/>
  <c r="C47" i="11" s="1"/>
  <c r="G43" i="11"/>
  <c r="G47" i="11" s="1"/>
  <c r="H43" i="11"/>
  <c r="H47" i="11" s="1"/>
  <c r="I75" i="11"/>
  <c r="E75" i="11"/>
  <c r="C115" i="11"/>
  <c r="G115" i="11"/>
  <c r="I156" i="11"/>
  <c r="G70" i="11"/>
  <c r="B43" i="11"/>
  <c r="B47" i="11" s="1"/>
  <c r="F43" i="11"/>
  <c r="F47" i="11" s="1"/>
  <c r="E218" i="11"/>
  <c r="I218" i="11"/>
  <c r="D218" i="11"/>
  <c r="H218" i="11"/>
  <c r="C218" i="11"/>
  <c r="G218" i="11"/>
  <c r="E156" i="11"/>
  <c r="D156" i="11"/>
  <c r="H156" i="11"/>
  <c r="B156" i="11"/>
  <c r="F156" i="11"/>
  <c r="J156" i="11"/>
  <c r="G156" i="11"/>
  <c r="C156" i="11"/>
  <c r="D115" i="11"/>
  <c r="H115" i="11"/>
  <c r="B115" i="11"/>
  <c r="F115" i="11"/>
  <c r="J115" i="11"/>
  <c r="E115" i="11"/>
  <c r="I115" i="11"/>
  <c r="D75" i="11"/>
  <c r="H75" i="11"/>
  <c r="C75" i="11"/>
  <c r="G75" i="11"/>
  <c r="F75" i="11"/>
  <c r="J75" i="11"/>
  <c r="B75" i="11"/>
  <c r="D70" i="11"/>
  <c r="C70" i="11"/>
  <c r="E43" i="11"/>
  <c r="E47" i="11" s="1"/>
  <c r="I43" i="11"/>
  <c r="I47" i="11" s="1"/>
  <c r="J43" i="11"/>
  <c r="J47" i="11" s="1"/>
  <c r="E70" i="11"/>
  <c r="I70" i="11"/>
  <c r="J70" i="11"/>
  <c r="F70" i="11"/>
  <c r="B70" i="11"/>
  <c r="C70" i="20"/>
  <c r="C6" i="20"/>
  <c r="G70" i="20"/>
  <c r="G6" i="20"/>
  <c r="F70" i="20"/>
  <c r="F6" i="20"/>
  <c r="E70" i="20"/>
  <c r="B70" i="20"/>
  <c r="B6" i="20"/>
  <c r="J70" i="20"/>
  <c r="J6" i="20"/>
  <c r="D70" i="20"/>
  <c r="D70" i="19"/>
  <c r="I70" i="19"/>
  <c r="H43" i="19"/>
  <c r="H47" i="19" s="1"/>
  <c r="E70" i="19"/>
  <c r="C6" i="19"/>
  <c r="G6" i="19"/>
  <c r="H70" i="18"/>
  <c r="E70" i="18"/>
  <c r="B6" i="18"/>
  <c r="F6" i="18"/>
  <c r="J6" i="18"/>
  <c r="D43" i="18"/>
  <c r="D47" i="18" s="1"/>
  <c r="I70" i="18"/>
  <c r="C6" i="18"/>
  <c r="G6" i="18"/>
  <c r="D70" i="17"/>
  <c r="E6" i="17"/>
  <c r="I6" i="17"/>
  <c r="H43" i="17"/>
  <c r="H47" i="17" s="1"/>
  <c r="C6" i="17"/>
  <c r="G6" i="17"/>
  <c r="D70" i="16"/>
  <c r="E6" i="16"/>
  <c r="I6" i="16"/>
  <c r="H43" i="16"/>
  <c r="H47" i="16" s="1"/>
  <c r="C6" i="16"/>
  <c r="G6" i="16"/>
  <c r="D70" i="14"/>
  <c r="H70" i="14"/>
  <c r="B6" i="14"/>
  <c r="C6" i="14"/>
  <c r="G6" i="14"/>
  <c r="H70" i="13"/>
  <c r="D43" i="13"/>
  <c r="D47" i="13" s="1"/>
  <c r="C6" i="13"/>
  <c r="G6" i="13"/>
  <c r="H70" i="11"/>
  <c r="D43" i="11"/>
  <c r="D47" i="11" s="1"/>
  <c r="C6" i="11"/>
  <c r="G6" i="11"/>
  <c r="E6" i="10"/>
  <c r="I6" i="10"/>
  <c r="D70" i="10"/>
  <c r="H43" i="10"/>
  <c r="H47" i="10" s="1"/>
  <c r="C6" i="10"/>
  <c r="G6" i="10"/>
  <c r="D70" i="9"/>
  <c r="B6" i="9"/>
  <c r="F6" i="9"/>
  <c r="J6" i="9"/>
  <c r="H43" i="9"/>
  <c r="H47" i="9" s="1"/>
  <c r="C6" i="9"/>
  <c r="G6" i="9"/>
  <c r="D70" i="15"/>
  <c r="H43" i="15"/>
  <c r="H47" i="15" s="1"/>
  <c r="C6" i="15"/>
  <c r="G6" i="15"/>
  <c r="F218" i="12"/>
  <c r="H218" i="12"/>
  <c r="C156" i="12"/>
  <c r="G156" i="12"/>
  <c r="B156" i="12"/>
  <c r="J156" i="12"/>
  <c r="B43" i="12"/>
  <c r="B47" i="12" s="1"/>
  <c r="F43" i="12"/>
  <c r="F47" i="12" s="1"/>
  <c r="J43" i="12"/>
  <c r="J47" i="12" s="1"/>
  <c r="E6" i="12"/>
  <c r="C6" i="12"/>
  <c r="G104" i="12"/>
  <c r="D70" i="12"/>
  <c r="H70" i="12"/>
  <c r="D43" i="12"/>
  <c r="D47" i="12" s="1"/>
  <c r="H43" i="12"/>
  <c r="H47" i="12" s="1"/>
  <c r="F6" i="12"/>
  <c r="H75" i="12"/>
  <c r="D75" i="12"/>
  <c r="B76" i="12"/>
  <c r="C76" i="12"/>
  <c r="C75" i="12" s="1"/>
  <c r="G76" i="12"/>
  <c r="G75" i="12" s="1"/>
  <c r="C43" i="12"/>
  <c r="C47" i="12" s="1"/>
  <c r="G43" i="12"/>
  <c r="G47" i="12" s="1"/>
  <c r="E43" i="12"/>
  <c r="E47" i="12" s="1"/>
  <c r="I43" i="12"/>
  <c r="I47" i="12" s="1"/>
  <c r="J70" i="12"/>
  <c r="B70" i="12"/>
  <c r="F70" i="12"/>
  <c r="C70" i="12"/>
  <c r="G70" i="12"/>
  <c r="D6" i="12"/>
  <c r="E115" i="12"/>
  <c r="I115" i="12"/>
  <c r="D115" i="12"/>
  <c r="H115" i="12"/>
  <c r="F156" i="12"/>
  <c r="I70" i="12"/>
  <c r="E70" i="12"/>
  <c r="E76" i="12"/>
  <c r="E75" i="12" s="1"/>
  <c r="F104" i="12"/>
  <c r="C116" i="12"/>
  <c r="C133" i="12"/>
  <c r="D157" i="12"/>
  <c r="D156" i="12" s="1"/>
  <c r="H157" i="12"/>
  <c r="H156" i="12" s="1"/>
  <c r="I76" i="12"/>
  <c r="I75" i="12" s="1"/>
  <c r="B104" i="12"/>
  <c r="J104" i="12"/>
  <c r="G116" i="12"/>
  <c r="G133" i="12"/>
  <c r="B87" i="12"/>
  <c r="F87" i="12"/>
  <c r="F75" i="12" s="1"/>
  <c r="J87" i="12"/>
  <c r="J75" i="12" s="1"/>
  <c r="B138" i="12"/>
  <c r="F138" i="12"/>
  <c r="J138" i="12"/>
  <c r="B150" i="12"/>
  <c r="F150" i="12"/>
  <c r="J150" i="12"/>
  <c r="E157" i="12"/>
  <c r="I157" i="12"/>
  <c r="E193" i="12"/>
  <c r="I193" i="12"/>
  <c r="B218" i="12"/>
  <c r="I71" i="20" l="1"/>
  <c r="I72" i="20" s="1"/>
  <c r="F71" i="20"/>
  <c r="F72" i="20" s="1"/>
  <c r="J71" i="12"/>
  <c r="J72" i="12" s="1"/>
  <c r="E71" i="18"/>
  <c r="E72" i="18" s="1"/>
  <c r="D71" i="16"/>
  <c r="D72" i="16" s="1"/>
  <c r="J71" i="19"/>
  <c r="J72" i="19" s="1"/>
  <c r="J71" i="20"/>
  <c r="J72" i="20" s="1"/>
  <c r="D230" i="19"/>
  <c r="D231" i="19" s="1"/>
  <c r="C71" i="20"/>
  <c r="C72" i="20" s="1"/>
  <c r="B71" i="10"/>
  <c r="B72" i="10" s="1"/>
  <c r="B71" i="19"/>
  <c r="B72" i="19" s="1"/>
  <c r="H230" i="19"/>
  <c r="H231" i="19" s="1"/>
  <c r="I71" i="12"/>
  <c r="I72" i="12" s="1"/>
  <c r="D71" i="18"/>
  <c r="D72" i="18" s="1"/>
  <c r="H71" i="10"/>
  <c r="H72" i="10" s="1"/>
  <c r="H71" i="18"/>
  <c r="H72" i="18" s="1"/>
  <c r="F71" i="18"/>
  <c r="F72" i="18" s="1"/>
  <c r="E71" i="20"/>
  <c r="E72" i="20" s="1"/>
  <c r="I71" i="17"/>
  <c r="I72" i="17" s="1"/>
  <c r="J230" i="19"/>
  <c r="J231" i="19" s="1"/>
  <c r="J71" i="18"/>
  <c r="J72" i="18" s="1"/>
  <c r="E71" i="13"/>
  <c r="E72" i="13" s="1"/>
  <c r="D71" i="10"/>
  <c r="D72" i="10" s="1"/>
  <c r="I71" i="18"/>
  <c r="I72" i="18" s="1"/>
  <c r="D71" i="11"/>
  <c r="D72" i="11" s="1"/>
  <c r="C71" i="16"/>
  <c r="C72" i="16" s="1"/>
  <c r="G71" i="18"/>
  <c r="G72" i="18" s="1"/>
  <c r="F230" i="18"/>
  <c r="F231" i="18" s="1"/>
  <c r="D71" i="9"/>
  <c r="D72" i="9" s="1"/>
  <c r="I230" i="20"/>
  <c r="I231" i="20" s="1"/>
  <c r="J71" i="16"/>
  <c r="J72" i="16" s="1"/>
  <c r="C71" i="19"/>
  <c r="C72" i="19" s="1"/>
  <c r="F71" i="9"/>
  <c r="F72" i="9" s="1"/>
  <c r="H71" i="16"/>
  <c r="H72" i="16" s="1"/>
  <c r="C71" i="18"/>
  <c r="C72" i="18" s="1"/>
  <c r="H71" i="19"/>
  <c r="F71" i="19"/>
  <c r="F72" i="19" s="1"/>
  <c r="B71" i="18"/>
  <c r="B72" i="18" s="1"/>
  <c r="J71" i="13"/>
  <c r="J72" i="13" s="1"/>
  <c r="D71" i="19"/>
  <c r="D72" i="19" s="1"/>
  <c r="C71" i="10"/>
  <c r="C72" i="10" s="1"/>
  <c r="B71" i="14"/>
  <c r="B72" i="14" s="1"/>
  <c r="I71" i="13"/>
  <c r="I72" i="13" s="1"/>
  <c r="E71" i="14"/>
  <c r="E72" i="14" s="1"/>
  <c r="E71" i="15"/>
  <c r="E72" i="15" s="1"/>
  <c r="F71" i="10"/>
  <c r="F72" i="10" s="1"/>
  <c r="F230" i="19"/>
  <c r="F231" i="19" s="1"/>
  <c r="G71" i="16"/>
  <c r="G72" i="16" s="1"/>
  <c r="B71" i="20"/>
  <c r="D71" i="15"/>
  <c r="D72" i="15" s="1"/>
  <c r="E71" i="9"/>
  <c r="E72" i="9" s="1"/>
  <c r="H71" i="20"/>
  <c r="G230" i="19"/>
  <c r="G231" i="19" s="1"/>
  <c r="C71" i="13"/>
  <c r="C72" i="13" s="1"/>
  <c r="H230" i="20"/>
  <c r="H231" i="20" s="1"/>
  <c r="E71" i="16"/>
  <c r="E72" i="16" s="1"/>
  <c r="D71" i="13"/>
  <c r="D72" i="13" s="1"/>
  <c r="I71" i="15"/>
  <c r="I72" i="15" s="1"/>
  <c r="B230" i="18"/>
  <c r="B231" i="18" s="1"/>
  <c r="B230" i="20"/>
  <c r="B231" i="20" s="1"/>
  <c r="H230" i="18"/>
  <c r="H231" i="18" s="1"/>
  <c r="I230" i="18"/>
  <c r="I231" i="18" s="1"/>
  <c r="E230" i="20"/>
  <c r="E231" i="20" s="1"/>
  <c r="J71" i="10"/>
  <c r="J72" i="10" s="1"/>
  <c r="I71" i="19"/>
  <c r="I72" i="19" s="1"/>
  <c r="E71" i="10"/>
  <c r="E72" i="10" s="1"/>
  <c r="B71" i="13"/>
  <c r="B72" i="13" s="1"/>
  <c r="B71" i="15"/>
  <c r="B72" i="15" s="1"/>
  <c r="E71" i="19"/>
  <c r="E72" i="19" s="1"/>
  <c r="G71" i="15"/>
  <c r="G72" i="15" s="1"/>
  <c r="G71" i="10"/>
  <c r="G72" i="10" s="1"/>
  <c r="I71" i="16"/>
  <c r="I72" i="16" s="1"/>
  <c r="C230" i="18"/>
  <c r="G71" i="9"/>
  <c r="G72" i="9" s="1"/>
  <c r="G71" i="14"/>
  <c r="G72" i="14" s="1"/>
  <c r="C71" i="14"/>
  <c r="C72" i="14" s="1"/>
  <c r="C71" i="17"/>
  <c r="C72" i="17" s="1"/>
  <c r="H71" i="13"/>
  <c r="H72" i="13" s="1"/>
  <c r="D230" i="18"/>
  <c r="D231" i="18" s="1"/>
  <c r="E230" i="19"/>
  <c r="I71" i="14"/>
  <c r="I72" i="14" s="1"/>
  <c r="F71" i="15"/>
  <c r="F72" i="15" s="1"/>
  <c r="H71" i="9"/>
  <c r="H72" i="9" s="1"/>
  <c r="F71" i="14"/>
  <c r="F72" i="14" s="1"/>
  <c r="F71" i="16"/>
  <c r="F72" i="16" s="1"/>
  <c r="J71" i="9"/>
  <c r="J72" i="9" s="1"/>
  <c r="D230" i="20"/>
  <c r="D231" i="20" s="1"/>
  <c r="B71" i="16"/>
  <c r="B72" i="16" s="1"/>
  <c r="F230" i="20"/>
  <c r="F231" i="20" s="1"/>
  <c r="I71" i="10"/>
  <c r="I72" i="10" s="1"/>
  <c r="G71" i="19"/>
  <c r="G72" i="19" s="1"/>
  <c r="I71" i="9"/>
  <c r="I72" i="9" s="1"/>
  <c r="B230" i="19"/>
  <c r="B231" i="19" s="1"/>
  <c r="B71" i="12"/>
  <c r="B72" i="12" s="1"/>
  <c r="G230" i="18"/>
  <c r="G231" i="18" s="1"/>
  <c r="J230" i="18"/>
  <c r="J231" i="18" s="1"/>
  <c r="H230" i="17"/>
  <c r="H231" i="17" s="1"/>
  <c r="F230" i="17"/>
  <c r="F231" i="17" s="1"/>
  <c r="J71" i="17"/>
  <c r="J72" i="17" s="1"/>
  <c r="F71" i="17"/>
  <c r="J230" i="20"/>
  <c r="J231" i="20" s="1"/>
  <c r="G71" i="20"/>
  <c r="D230" i="15"/>
  <c r="D231" i="15" s="1"/>
  <c r="H71" i="11"/>
  <c r="H72" i="11" s="1"/>
  <c r="I230" i="19"/>
  <c r="I231" i="19" s="1"/>
  <c r="J71" i="15"/>
  <c r="J72" i="15" s="1"/>
  <c r="F71" i="13"/>
  <c r="F72" i="13" s="1"/>
  <c r="C230" i="19"/>
  <c r="C231" i="19" s="1"/>
  <c r="H71" i="14"/>
  <c r="H72" i="14" s="1"/>
  <c r="E230" i="18"/>
  <c r="E231" i="18" s="1"/>
  <c r="C230" i="20"/>
  <c r="C231" i="20" s="1"/>
  <c r="C71" i="15"/>
  <c r="C72" i="15" s="1"/>
  <c r="C71" i="9"/>
  <c r="C72" i="9" s="1"/>
  <c r="J230" i="15"/>
  <c r="J231" i="15" s="1"/>
  <c r="H230" i="15"/>
  <c r="H231" i="15" s="1"/>
  <c r="D230" i="10"/>
  <c r="D231" i="10" s="1"/>
  <c r="B71" i="9"/>
  <c r="B72" i="9" s="1"/>
  <c r="J71" i="14"/>
  <c r="J72" i="14" s="1"/>
  <c r="J230" i="17"/>
  <c r="J231" i="17" s="1"/>
  <c r="C71" i="12"/>
  <c r="C72" i="12" s="1"/>
  <c r="G230" i="20"/>
  <c r="G231" i="20" s="1"/>
  <c r="H71" i="15"/>
  <c r="H72" i="15" s="1"/>
  <c r="G71" i="13"/>
  <c r="G72" i="13" s="1"/>
  <c r="D71" i="20"/>
  <c r="D72" i="20" s="1"/>
  <c r="C230" i="15"/>
  <c r="C231" i="15" s="1"/>
  <c r="J71" i="11"/>
  <c r="J72" i="11" s="1"/>
  <c r="E230" i="17"/>
  <c r="E231" i="17" s="1"/>
  <c r="H71" i="17"/>
  <c r="H72" i="17" s="1"/>
  <c r="E71" i="17"/>
  <c r="E72" i="17" s="1"/>
  <c r="B71" i="17"/>
  <c r="B72" i="17" s="1"/>
  <c r="I230" i="17"/>
  <c r="C230" i="17"/>
  <c r="C231" i="17" s="1"/>
  <c r="D230" i="17"/>
  <c r="D231" i="17" s="1"/>
  <c r="B230" i="17"/>
  <c r="B231" i="17" s="1"/>
  <c r="G230" i="17"/>
  <c r="G231" i="17" s="1"/>
  <c r="D71" i="17"/>
  <c r="D72" i="17" s="1"/>
  <c r="G71" i="17"/>
  <c r="J230" i="16"/>
  <c r="F230" i="16"/>
  <c r="F231" i="16" s="1"/>
  <c r="H230" i="16"/>
  <c r="H231" i="16" s="1"/>
  <c r="D230" i="16"/>
  <c r="D231" i="16" s="1"/>
  <c r="G230" i="16"/>
  <c r="G231" i="16" s="1"/>
  <c r="C230" i="16"/>
  <c r="C231" i="16" s="1"/>
  <c r="I230" i="16"/>
  <c r="I231" i="16" s="1"/>
  <c r="B230" i="16"/>
  <c r="E230" i="16"/>
  <c r="E231" i="16" s="1"/>
  <c r="B230" i="15"/>
  <c r="B231" i="15" s="1"/>
  <c r="F230" i="15"/>
  <c r="I230" i="15"/>
  <c r="I231" i="15" s="1"/>
  <c r="E230" i="15"/>
  <c r="E231" i="15" s="1"/>
  <c r="G230" i="15"/>
  <c r="D230" i="14"/>
  <c r="D231" i="14" s="1"/>
  <c r="C230" i="14"/>
  <c r="C231" i="14" s="1"/>
  <c r="G230" i="14"/>
  <c r="G231" i="14" s="1"/>
  <c r="B230" i="14"/>
  <c r="B231" i="14" s="1"/>
  <c r="E230" i="14"/>
  <c r="F230" i="14"/>
  <c r="F231" i="14" s="1"/>
  <c r="I230" i="14"/>
  <c r="I231" i="14" s="1"/>
  <c r="H230" i="14"/>
  <c r="H231" i="14" s="1"/>
  <c r="J230" i="14"/>
  <c r="J231" i="14" s="1"/>
  <c r="D71" i="14"/>
  <c r="D72" i="14" s="1"/>
  <c r="J230" i="13"/>
  <c r="J231" i="13" s="1"/>
  <c r="G230" i="13"/>
  <c r="G231" i="13" s="1"/>
  <c r="D230" i="13"/>
  <c r="D231" i="13" s="1"/>
  <c r="I230" i="13"/>
  <c r="I231" i="13" s="1"/>
  <c r="C230" i="13"/>
  <c r="C231" i="13" s="1"/>
  <c r="H230" i="13"/>
  <c r="H231" i="13" s="1"/>
  <c r="B230" i="13"/>
  <c r="B231" i="13" s="1"/>
  <c r="E230" i="13"/>
  <c r="E231" i="13" s="1"/>
  <c r="F230" i="13"/>
  <c r="F231" i="13" s="1"/>
  <c r="B115" i="12"/>
  <c r="I156" i="12"/>
  <c r="I230" i="12" s="1"/>
  <c r="I231" i="12" s="1"/>
  <c r="E156" i="12"/>
  <c r="E230" i="12" s="1"/>
  <c r="E231" i="12" s="1"/>
  <c r="F115" i="12"/>
  <c r="F230" i="12" s="1"/>
  <c r="F231" i="12" s="1"/>
  <c r="E71" i="12"/>
  <c r="E72" i="12" s="1"/>
  <c r="E71" i="11"/>
  <c r="E72" i="11" s="1"/>
  <c r="I71" i="11"/>
  <c r="I72" i="11" s="1"/>
  <c r="F71" i="11"/>
  <c r="F72" i="11" s="1"/>
  <c r="B71" i="11"/>
  <c r="B72" i="11" s="1"/>
  <c r="G230" i="10"/>
  <c r="G231" i="10" s="1"/>
  <c r="C230" i="10"/>
  <c r="C231" i="10" s="1"/>
  <c r="H230" i="10"/>
  <c r="H231" i="10" s="1"/>
  <c r="I230" i="10"/>
  <c r="I231" i="10" s="1"/>
  <c r="E230" i="10"/>
  <c r="F230" i="10"/>
  <c r="F231" i="10" s="1"/>
  <c r="B230" i="10"/>
  <c r="J230" i="10"/>
  <c r="F230" i="9"/>
  <c r="F231" i="9" s="1"/>
  <c r="E230" i="9"/>
  <c r="B230" i="9"/>
  <c r="B231" i="9" s="1"/>
  <c r="C230" i="9"/>
  <c r="C231" i="9" s="1"/>
  <c r="H230" i="9"/>
  <c r="H231" i="9" s="1"/>
  <c r="D230" i="9"/>
  <c r="D231" i="9" s="1"/>
  <c r="G230" i="9"/>
  <c r="G231" i="9" s="1"/>
  <c r="J230" i="9"/>
  <c r="J231" i="9" s="1"/>
  <c r="I230" i="9"/>
  <c r="I231" i="9" s="1"/>
  <c r="G71" i="11"/>
  <c r="G72" i="11" s="1"/>
  <c r="C71" i="11"/>
  <c r="C72" i="11" s="1"/>
  <c r="E230" i="11"/>
  <c r="E231" i="11" s="1"/>
  <c r="D230" i="11"/>
  <c r="D231" i="11" s="1"/>
  <c r="C230" i="11"/>
  <c r="C231" i="11" s="1"/>
  <c r="I230" i="11"/>
  <c r="I231" i="11" s="1"/>
  <c r="H230" i="11"/>
  <c r="G230" i="11"/>
  <c r="G231" i="11" s="1"/>
  <c r="J230" i="11"/>
  <c r="J231" i="11" s="1"/>
  <c r="F230" i="11"/>
  <c r="B230" i="11"/>
  <c r="B231" i="11" s="1"/>
  <c r="H230" i="12"/>
  <c r="H231" i="12" s="1"/>
  <c r="J115" i="12"/>
  <c r="J230" i="12" s="1"/>
  <c r="G115" i="12"/>
  <c r="G230" i="12" s="1"/>
  <c r="G231" i="12" s="1"/>
  <c r="B75" i="12"/>
  <c r="G71" i="12"/>
  <c r="G72" i="12" s="1"/>
  <c r="F71" i="12"/>
  <c r="F72" i="12" s="1"/>
  <c r="H71" i="12"/>
  <c r="H72" i="12" s="1"/>
  <c r="D230" i="12"/>
  <c r="D231" i="12" s="1"/>
  <c r="D71" i="12"/>
  <c r="D72" i="12" s="1"/>
  <c r="C115" i="12"/>
  <c r="C230" i="12" s="1"/>
  <c r="H233" i="19" l="1"/>
  <c r="H249" i="19" s="1"/>
  <c r="H250" i="19" s="1"/>
  <c r="C233" i="18"/>
  <c r="C234" i="18" s="1"/>
  <c r="J233" i="12"/>
  <c r="J249" i="12" s="1"/>
  <c r="J250" i="12" s="1"/>
  <c r="J233" i="19"/>
  <c r="J249" i="19" s="1"/>
  <c r="J250" i="19" s="1"/>
  <c r="C231" i="18"/>
  <c r="B233" i="10"/>
  <c r="B234" i="10" s="1"/>
  <c r="I233" i="17"/>
  <c r="I234" i="17" s="1"/>
  <c r="D233" i="15"/>
  <c r="D234" i="15" s="1"/>
  <c r="J233" i="16"/>
  <c r="J234" i="16" s="1"/>
  <c r="H72" i="19"/>
  <c r="E233" i="16"/>
  <c r="E249" i="16" s="1"/>
  <c r="E250" i="16" s="1"/>
  <c r="F233" i="18"/>
  <c r="F249" i="18" s="1"/>
  <c r="F252" i="18" s="1"/>
  <c r="C233" i="15"/>
  <c r="C249" i="15" s="1"/>
  <c r="C250" i="15" s="1"/>
  <c r="H233" i="18"/>
  <c r="H249" i="18" s="1"/>
  <c r="H252" i="18" s="1"/>
  <c r="I233" i="20"/>
  <c r="I249" i="20" s="1"/>
  <c r="I250" i="20" s="1"/>
  <c r="E233" i="20"/>
  <c r="E234" i="20" s="1"/>
  <c r="J233" i="13"/>
  <c r="J249" i="13" s="1"/>
  <c r="J250" i="13" s="1"/>
  <c r="D233" i="18"/>
  <c r="D249" i="18" s="1"/>
  <c r="D252" i="18" s="1"/>
  <c r="I233" i="18"/>
  <c r="I234" i="18" s="1"/>
  <c r="H233" i="20"/>
  <c r="H234" i="20" s="1"/>
  <c r="D233" i="10"/>
  <c r="D234" i="10" s="1"/>
  <c r="F233" i="20"/>
  <c r="F234" i="20" s="1"/>
  <c r="H72" i="20"/>
  <c r="B233" i="20"/>
  <c r="B249" i="20" s="1"/>
  <c r="B250" i="20" s="1"/>
  <c r="F233" i="19"/>
  <c r="F249" i="19" s="1"/>
  <c r="F250" i="19" s="1"/>
  <c r="J233" i="15"/>
  <c r="J234" i="15" s="1"/>
  <c r="E233" i="10"/>
  <c r="E234" i="10" s="1"/>
  <c r="G233" i="15"/>
  <c r="G234" i="15" s="1"/>
  <c r="B72" i="20"/>
  <c r="H233" i="11"/>
  <c r="H249" i="11" s="1"/>
  <c r="H250" i="11" s="1"/>
  <c r="D233" i="19"/>
  <c r="D234" i="19" s="1"/>
  <c r="D233" i="20"/>
  <c r="D234" i="20" s="1"/>
  <c r="C233" i="19"/>
  <c r="C249" i="19" s="1"/>
  <c r="C250" i="19" s="1"/>
  <c r="E233" i="17"/>
  <c r="E249" i="17" s="1"/>
  <c r="E250" i="17" s="1"/>
  <c r="E233" i="9"/>
  <c r="E249" i="9" s="1"/>
  <c r="E250" i="9" s="1"/>
  <c r="F233" i="15"/>
  <c r="F234" i="15" s="1"/>
  <c r="G233" i="19"/>
  <c r="G249" i="19" s="1"/>
  <c r="G250" i="19" s="1"/>
  <c r="E233" i="14"/>
  <c r="E234" i="14" s="1"/>
  <c r="C233" i="14"/>
  <c r="C249" i="14" s="1"/>
  <c r="C250" i="14" s="1"/>
  <c r="B233" i="18"/>
  <c r="B234" i="18" s="1"/>
  <c r="B233" i="16"/>
  <c r="B249" i="16" s="1"/>
  <c r="B250" i="16" s="1"/>
  <c r="H233" i="15"/>
  <c r="H249" i="15" s="1"/>
  <c r="H250" i="15" s="1"/>
  <c r="F233" i="17"/>
  <c r="F234" i="17" s="1"/>
  <c r="C233" i="20"/>
  <c r="C249" i="20" s="1"/>
  <c r="C250" i="20" s="1"/>
  <c r="J231" i="16"/>
  <c r="I233" i="19"/>
  <c r="E233" i="19"/>
  <c r="E234" i="19" s="1"/>
  <c r="G233" i="13"/>
  <c r="G249" i="13" s="1"/>
  <c r="G250" i="13" s="1"/>
  <c r="E233" i="18"/>
  <c r="E249" i="18" s="1"/>
  <c r="E252" i="18" s="1"/>
  <c r="G233" i="20"/>
  <c r="G249" i="20" s="1"/>
  <c r="G250" i="20" s="1"/>
  <c r="G72" i="20"/>
  <c r="E231" i="19"/>
  <c r="I231" i="17"/>
  <c r="B233" i="19"/>
  <c r="H233" i="13"/>
  <c r="H234" i="13" s="1"/>
  <c r="F72" i="17"/>
  <c r="C233" i="17"/>
  <c r="C234" i="17" s="1"/>
  <c r="J233" i="18"/>
  <c r="J249" i="18" s="1"/>
  <c r="J252" i="18" s="1"/>
  <c r="J233" i="20"/>
  <c r="J234" i="20" s="1"/>
  <c r="G233" i="18"/>
  <c r="G234" i="18" s="1"/>
  <c r="B233" i="17"/>
  <c r="B234" i="17" s="1"/>
  <c r="J233" i="17"/>
  <c r="J234" i="17" s="1"/>
  <c r="H233" i="17"/>
  <c r="H234" i="17" s="1"/>
  <c r="G231" i="15"/>
  <c r="D233" i="17"/>
  <c r="D234" i="17" s="1"/>
  <c r="G233" i="17"/>
  <c r="G249" i="17" s="1"/>
  <c r="G250" i="17" s="1"/>
  <c r="G72" i="17"/>
  <c r="G233" i="16"/>
  <c r="G234" i="16" s="1"/>
  <c r="H233" i="16"/>
  <c r="H249" i="16" s="1"/>
  <c r="H250" i="16" s="1"/>
  <c r="B231" i="16"/>
  <c r="D233" i="16"/>
  <c r="D234" i="16" s="1"/>
  <c r="F233" i="16"/>
  <c r="F234" i="16" s="1"/>
  <c r="C233" i="16"/>
  <c r="C234" i="16" s="1"/>
  <c r="I233" i="16"/>
  <c r="I234" i="16" s="1"/>
  <c r="F231" i="15"/>
  <c r="B233" i="15"/>
  <c r="B234" i="15" s="1"/>
  <c r="E233" i="15"/>
  <c r="E234" i="15" s="1"/>
  <c r="I233" i="15"/>
  <c r="D233" i="14"/>
  <c r="D249" i="14" s="1"/>
  <c r="D250" i="14" s="1"/>
  <c r="G233" i="14"/>
  <c r="G249" i="14" s="1"/>
  <c r="G250" i="14" s="1"/>
  <c r="J233" i="14"/>
  <c r="J249" i="14" s="1"/>
  <c r="J250" i="14" s="1"/>
  <c r="E231" i="14"/>
  <c r="B233" i="14"/>
  <c r="B234" i="14" s="1"/>
  <c r="H233" i="14"/>
  <c r="H249" i="14" s="1"/>
  <c r="H250" i="14" s="1"/>
  <c r="I233" i="14"/>
  <c r="I234" i="14" s="1"/>
  <c r="F233" i="14"/>
  <c r="F249" i="14" s="1"/>
  <c r="F250" i="14" s="1"/>
  <c r="D233" i="13"/>
  <c r="D234" i="13" s="1"/>
  <c r="C233" i="13"/>
  <c r="C249" i="13" s="1"/>
  <c r="C250" i="13" s="1"/>
  <c r="I233" i="13"/>
  <c r="I249" i="13" s="1"/>
  <c r="I250" i="13" s="1"/>
  <c r="B233" i="13"/>
  <c r="B249" i="13" s="1"/>
  <c r="B250" i="13" s="1"/>
  <c r="E233" i="13"/>
  <c r="F233" i="13"/>
  <c r="F234" i="13" s="1"/>
  <c r="B230" i="12"/>
  <c r="B233" i="12" s="1"/>
  <c r="B234" i="12" s="1"/>
  <c r="J231" i="12"/>
  <c r="F233" i="11"/>
  <c r="F234" i="11" s="1"/>
  <c r="G233" i="10"/>
  <c r="G234" i="10" s="1"/>
  <c r="E231" i="10"/>
  <c r="C233" i="10"/>
  <c r="C249" i="10" s="1"/>
  <c r="C250" i="10" s="1"/>
  <c r="I233" i="10"/>
  <c r="I249" i="10" s="1"/>
  <c r="I250" i="10" s="1"/>
  <c r="H233" i="10"/>
  <c r="H249" i="10" s="1"/>
  <c r="H250" i="10" s="1"/>
  <c r="F233" i="10"/>
  <c r="B231" i="10"/>
  <c r="J231" i="10"/>
  <c r="J233" i="10"/>
  <c r="F233" i="9"/>
  <c r="F234" i="9" s="1"/>
  <c r="H233" i="9"/>
  <c r="H234" i="9" s="1"/>
  <c r="G233" i="9"/>
  <c r="G234" i="9" s="1"/>
  <c r="B233" i="9"/>
  <c r="B234" i="9" s="1"/>
  <c r="D233" i="9"/>
  <c r="D249" i="9" s="1"/>
  <c r="D250" i="9" s="1"/>
  <c r="E231" i="9"/>
  <c r="C233" i="9"/>
  <c r="C234" i="9" s="1"/>
  <c r="J233" i="9"/>
  <c r="J234" i="9" s="1"/>
  <c r="I233" i="9"/>
  <c r="D233" i="11"/>
  <c r="D249" i="11" s="1"/>
  <c r="D250" i="11" s="1"/>
  <c r="I233" i="11"/>
  <c r="I234" i="11" s="1"/>
  <c r="E233" i="11"/>
  <c r="E249" i="11" s="1"/>
  <c r="E250" i="11" s="1"/>
  <c r="C233" i="11"/>
  <c r="C249" i="11" s="1"/>
  <c r="C250" i="11" s="1"/>
  <c r="H231" i="11"/>
  <c r="G233" i="11"/>
  <c r="G249" i="11" s="1"/>
  <c r="G250" i="11" s="1"/>
  <c r="J233" i="11"/>
  <c r="J234" i="11" s="1"/>
  <c r="B233" i="11"/>
  <c r="B249" i="11" s="1"/>
  <c r="B250" i="11" s="1"/>
  <c r="F231" i="11"/>
  <c r="F233" i="12"/>
  <c r="F249" i="12" s="1"/>
  <c r="F250" i="12" s="1"/>
  <c r="H233" i="12"/>
  <c r="H234" i="12" s="1"/>
  <c r="G233" i="12"/>
  <c r="G249" i="12" s="1"/>
  <c r="G250" i="12" s="1"/>
  <c r="D233" i="12"/>
  <c r="D249" i="12" s="1"/>
  <c r="D250" i="12" s="1"/>
  <c r="I233" i="12"/>
  <c r="I249" i="12" s="1"/>
  <c r="I250" i="12" s="1"/>
  <c r="C231" i="12"/>
  <c r="C233" i="12"/>
  <c r="E233" i="12"/>
  <c r="F250" i="18" l="1"/>
  <c r="J250" i="18"/>
  <c r="D250" i="18"/>
  <c r="H250" i="18"/>
  <c r="E250" i="18"/>
  <c r="H234" i="19"/>
  <c r="J234" i="19"/>
  <c r="C249" i="18"/>
  <c r="C252" i="18" s="1"/>
  <c r="B249" i="10"/>
  <c r="B250" i="10" s="1"/>
  <c r="J234" i="12"/>
  <c r="I249" i="17"/>
  <c r="I250" i="17" s="1"/>
  <c r="H234" i="11"/>
  <c r="G234" i="13"/>
  <c r="E234" i="16"/>
  <c r="J249" i="16"/>
  <c r="J250" i="16" s="1"/>
  <c r="D249" i="15"/>
  <c r="D250" i="15" s="1"/>
  <c r="D249" i="10"/>
  <c r="D250" i="10" s="1"/>
  <c r="C234" i="15"/>
  <c r="H234" i="18"/>
  <c r="I234" i="20"/>
  <c r="B234" i="20"/>
  <c r="J249" i="15"/>
  <c r="J250" i="15" s="1"/>
  <c r="F234" i="19"/>
  <c r="E249" i="10"/>
  <c r="E250" i="10" s="1"/>
  <c r="F234" i="18"/>
  <c r="H234" i="15"/>
  <c r="I249" i="18"/>
  <c r="I252" i="18" s="1"/>
  <c r="D234" i="18"/>
  <c r="J234" i="13"/>
  <c r="H249" i="20"/>
  <c r="H250" i="20" s="1"/>
  <c r="D249" i="20"/>
  <c r="D250" i="20" s="1"/>
  <c r="D249" i="19"/>
  <c r="D250" i="19" s="1"/>
  <c r="E249" i="20"/>
  <c r="E250" i="20" s="1"/>
  <c r="G249" i="15"/>
  <c r="G250" i="15" s="1"/>
  <c r="C249" i="17"/>
  <c r="C250" i="17" s="1"/>
  <c r="F249" i="20"/>
  <c r="F250" i="20" s="1"/>
  <c r="H249" i="13"/>
  <c r="H250" i="13" s="1"/>
  <c r="B249" i="18"/>
  <c r="G234" i="19"/>
  <c r="E249" i="14"/>
  <c r="E250" i="14" s="1"/>
  <c r="E234" i="9"/>
  <c r="C234" i="19"/>
  <c r="G234" i="20"/>
  <c r="C234" i="14"/>
  <c r="J234" i="18"/>
  <c r="F249" i="15"/>
  <c r="F250" i="15" s="1"/>
  <c r="C234" i="20"/>
  <c r="E249" i="19"/>
  <c r="E250" i="19" s="1"/>
  <c r="E234" i="17"/>
  <c r="H249" i="9"/>
  <c r="H250" i="9" s="1"/>
  <c r="J234" i="14"/>
  <c r="G249" i="16"/>
  <c r="G250" i="16" s="1"/>
  <c r="B234" i="16"/>
  <c r="F249" i="17"/>
  <c r="F250" i="17" s="1"/>
  <c r="E234" i="18"/>
  <c r="B249" i="9"/>
  <c r="B250" i="9" s="1"/>
  <c r="I249" i="19"/>
  <c r="I250" i="19" s="1"/>
  <c r="I234" i="19"/>
  <c r="G249" i="18"/>
  <c r="G252" i="18" s="1"/>
  <c r="I234" i="10"/>
  <c r="J249" i="20"/>
  <c r="J250" i="20" s="1"/>
  <c r="B231" i="12"/>
  <c r="B249" i="19"/>
  <c r="B250" i="19" s="1"/>
  <c r="B234" i="19"/>
  <c r="H249" i="17"/>
  <c r="H250" i="17" s="1"/>
  <c r="C249" i="16"/>
  <c r="C250" i="16" s="1"/>
  <c r="J249" i="17"/>
  <c r="J250" i="17" s="1"/>
  <c r="B249" i="17"/>
  <c r="B250" i="17" s="1"/>
  <c r="F249" i="11"/>
  <c r="F250" i="11" s="1"/>
  <c r="B249" i="15"/>
  <c r="B250" i="15" s="1"/>
  <c r="F249" i="16"/>
  <c r="F250" i="16" s="1"/>
  <c r="D249" i="13"/>
  <c r="D250" i="13" s="1"/>
  <c r="G234" i="17"/>
  <c r="D249" i="17"/>
  <c r="D250" i="17" s="1"/>
  <c r="G249" i="10"/>
  <c r="G250" i="10" s="1"/>
  <c r="H234" i="16"/>
  <c r="D249" i="16"/>
  <c r="D250" i="16" s="1"/>
  <c r="I249" i="16"/>
  <c r="I250" i="16" s="1"/>
  <c r="E249" i="15"/>
  <c r="E250" i="15" s="1"/>
  <c r="I249" i="15"/>
  <c r="I250" i="15" s="1"/>
  <c r="I234" i="15"/>
  <c r="G234" i="14"/>
  <c r="D234" i="14"/>
  <c r="B249" i="14"/>
  <c r="B250" i="14" s="1"/>
  <c r="F234" i="14"/>
  <c r="H234" i="14"/>
  <c r="I249" i="14"/>
  <c r="I250" i="14" s="1"/>
  <c r="B234" i="13"/>
  <c r="I234" i="13"/>
  <c r="C234" i="13"/>
  <c r="F249" i="13"/>
  <c r="F250" i="13" s="1"/>
  <c r="E234" i="13"/>
  <c r="E249" i="13"/>
  <c r="E250" i="13" s="1"/>
  <c r="G234" i="12"/>
  <c r="B249" i="12"/>
  <c r="B250" i="12" s="1"/>
  <c r="D234" i="11"/>
  <c r="H234" i="10"/>
  <c r="C234" i="10"/>
  <c r="F234" i="10"/>
  <c r="F249" i="10"/>
  <c r="F250" i="10" s="1"/>
  <c r="J249" i="10"/>
  <c r="J250" i="10" s="1"/>
  <c r="J234" i="10"/>
  <c r="C249" i="9"/>
  <c r="C250" i="9" s="1"/>
  <c r="G249" i="9"/>
  <c r="G250" i="9" s="1"/>
  <c r="D234" i="9"/>
  <c r="F249" i="9"/>
  <c r="F250" i="9" s="1"/>
  <c r="J249" i="9"/>
  <c r="J250" i="9" s="1"/>
  <c r="I249" i="9"/>
  <c r="I250" i="9" s="1"/>
  <c r="I234" i="9"/>
  <c r="I249" i="11"/>
  <c r="I250" i="11" s="1"/>
  <c r="E234" i="11"/>
  <c r="C234" i="11"/>
  <c r="B234" i="11"/>
  <c r="J249" i="11"/>
  <c r="J250" i="11" s="1"/>
  <c r="G234" i="11"/>
  <c r="H249" i="12"/>
  <c r="H250" i="12" s="1"/>
  <c r="F234" i="12"/>
  <c r="D234" i="12"/>
  <c r="I234" i="12"/>
  <c r="C249" i="12"/>
  <c r="C250" i="12" s="1"/>
  <c r="C234" i="12"/>
  <c r="E249" i="12"/>
  <c r="E250" i="12" s="1"/>
  <c r="E234" i="12"/>
  <c r="G250" i="18" l="1"/>
  <c r="I250" i="18"/>
  <c r="B250" i="18"/>
  <c r="B252" i="18"/>
  <c r="C250" i="18"/>
  <c r="DF56" i="5"/>
  <c r="DE56" i="5"/>
  <c r="DD56" i="5"/>
  <c r="DC56" i="5"/>
  <c r="DB56" i="5"/>
  <c r="DA56" i="5"/>
  <c r="CZ56" i="5"/>
  <c r="CY56" i="5"/>
  <c r="CX56" i="5"/>
  <c r="CW56" i="5"/>
  <c r="CV56" i="5"/>
  <c r="CU56" i="5"/>
  <c r="DF53" i="5"/>
  <c r="DE53" i="5"/>
  <c r="DD53" i="5"/>
  <c r="DC53" i="5"/>
  <c r="DB53" i="5"/>
  <c r="DA53" i="5"/>
  <c r="CZ53" i="5"/>
  <c r="CY53" i="5"/>
  <c r="CX53" i="5"/>
  <c r="CW53" i="5"/>
  <c r="CV53" i="5"/>
  <c r="CU53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BP56" i="5"/>
  <c r="BO56" i="5"/>
  <c r="BN56" i="5"/>
  <c r="BM56" i="5"/>
  <c r="BL56" i="5"/>
  <c r="BK56" i="5"/>
  <c r="BJ56" i="5"/>
  <c r="BI56" i="5"/>
  <c r="BH56" i="5"/>
  <c r="BG56" i="5"/>
  <c r="BF56" i="5"/>
  <c r="BE56" i="5"/>
  <c r="BP53" i="5"/>
  <c r="BO53" i="5"/>
  <c r="BN53" i="5"/>
  <c r="BM53" i="5"/>
  <c r="BL53" i="5"/>
  <c r="BK53" i="5"/>
  <c r="BJ53" i="5"/>
  <c r="BI53" i="5"/>
  <c r="BH53" i="5"/>
  <c r="BG53" i="5"/>
  <c r="BF53" i="5"/>
  <c r="BE53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P56" i="6"/>
  <c r="BO56" i="6"/>
  <c r="BN56" i="6"/>
  <c r="BM56" i="6"/>
  <c r="BL56" i="6"/>
  <c r="BK56" i="6"/>
  <c r="BJ56" i="6"/>
  <c r="BI56" i="6"/>
  <c r="BH56" i="6"/>
  <c r="BG56" i="6"/>
  <c r="BF56" i="6"/>
  <c r="BE56" i="6"/>
  <c r="BP53" i="6"/>
  <c r="BO53" i="6"/>
  <c r="BN53" i="6"/>
  <c r="BM53" i="6"/>
  <c r="BL53" i="6"/>
  <c r="BK53" i="6"/>
  <c r="BJ53" i="6"/>
  <c r="BI53" i="6"/>
  <c r="BH53" i="6"/>
  <c r="BG53" i="6"/>
  <c r="BF53" i="6"/>
  <c r="BE53" i="6"/>
  <c r="BP52" i="6"/>
  <c r="BO52" i="6"/>
  <c r="BN52" i="6"/>
  <c r="BM52" i="6"/>
  <c r="BL52" i="6"/>
  <c r="BK52" i="6"/>
  <c r="BJ52" i="6"/>
  <c r="BI52" i="6"/>
  <c r="BH52" i="6"/>
  <c r="BG52" i="6"/>
  <c r="BF52" i="6"/>
  <c r="BE52" i="6"/>
  <c r="DF56" i="6"/>
  <c r="DE56" i="6"/>
  <c r="DD56" i="6"/>
  <c r="DC56" i="6"/>
  <c r="DB56" i="6"/>
  <c r="DA56" i="6"/>
  <c r="CZ56" i="6"/>
  <c r="CY56" i="6"/>
  <c r="CX56" i="6"/>
  <c r="CW56" i="6"/>
  <c r="CV56" i="6"/>
  <c r="CU56" i="6"/>
  <c r="DF53" i="6"/>
  <c r="DE53" i="6"/>
  <c r="DD53" i="6"/>
  <c r="DC53" i="6"/>
  <c r="DB53" i="6"/>
  <c r="DA53" i="6"/>
  <c r="CZ53" i="6"/>
  <c r="CY53" i="6"/>
  <c r="CX53" i="6"/>
  <c r="CW53" i="6"/>
  <c r="CV53" i="6"/>
  <c r="CU53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EV56" i="6"/>
  <c r="EU56" i="6"/>
  <c r="ET56" i="6"/>
  <c r="ES56" i="6"/>
  <c r="ER56" i="6"/>
  <c r="EQ56" i="6"/>
  <c r="EP56" i="6"/>
  <c r="EO56" i="6"/>
  <c r="EN56" i="6"/>
  <c r="EM56" i="6"/>
  <c r="EL56" i="6"/>
  <c r="EK56" i="6"/>
  <c r="EV53" i="6"/>
  <c r="EU53" i="6"/>
  <c r="ET53" i="6"/>
  <c r="ES53" i="6"/>
  <c r="ER53" i="6"/>
  <c r="EQ53" i="6"/>
  <c r="EP53" i="6"/>
  <c r="EO53" i="6"/>
  <c r="EN53" i="6"/>
  <c r="EM53" i="6"/>
  <c r="EL53" i="6"/>
  <c r="EK53" i="6"/>
  <c r="EV52" i="6"/>
  <c r="EU52" i="6"/>
  <c r="ET52" i="6"/>
  <c r="ES52" i="6"/>
  <c r="ER52" i="6"/>
  <c r="EQ52" i="6"/>
  <c r="EP52" i="6"/>
  <c r="EO52" i="6"/>
  <c r="EN52" i="6"/>
  <c r="EM52" i="6"/>
  <c r="EL52" i="6"/>
  <c r="EK52" i="6"/>
  <c r="BP56" i="7"/>
  <c r="BO56" i="7"/>
  <c r="BN56" i="7"/>
  <c r="BR56" i="7" s="1"/>
  <c r="BM56" i="7"/>
  <c r="BL56" i="7"/>
  <c r="BK56" i="7"/>
  <c r="BJ56" i="7"/>
  <c r="BI56" i="7"/>
  <c r="BH56" i="7"/>
  <c r="BG56" i="7"/>
  <c r="BF56" i="7"/>
  <c r="BE56" i="7"/>
  <c r="BP53" i="7"/>
  <c r="BO53" i="7"/>
  <c r="BN53" i="7"/>
  <c r="BR53" i="7" s="1"/>
  <c r="BM53" i="7"/>
  <c r="BL53" i="7"/>
  <c r="BK53" i="7"/>
  <c r="BJ53" i="7"/>
  <c r="BI53" i="7"/>
  <c r="BH53" i="7"/>
  <c r="BG53" i="7"/>
  <c r="BF53" i="7"/>
  <c r="BE53" i="7"/>
  <c r="BP52" i="7"/>
  <c r="BO52" i="7"/>
  <c r="BN52" i="7"/>
  <c r="BR52" i="7" s="1"/>
  <c r="BM52" i="7"/>
  <c r="BL52" i="7"/>
  <c r="BK52" i="7"/>
  <c r="BJ52" i="7"/>
  <c r="BI52" i="7"/>
  <c r="BH52" i="7"/>
  <c r="BG52" i="7"/>
  <c r="BF52" i="7"/>
  <c r="BE52" i="7"/>
  <c r="Z56" i="8"/>
  <c r="Y56" i="8"/>
  <c r="X56" i="8"/>
  <c r="W56" i="8"/>
  <c r="V56" i="8"/>
  <c r="U56" i="8"/>
  <c r="T56" i="8"/>
  <c r="S56" i="8"/>
  <c r="R56" i="8"/>
  <c r="Q56" i="8"/>
  <c r="P56" i="8"/>
  <c r="O56" i="8"/>
  <c r="EV56" i="7"/>
  <c r="EU56" i="7"/>
  <c r="ET56" i="7"/>
  <c r="ES56" i="7"/>
  <c r="EX56" i="7" s="1"/>
  <c r="ER56" i="7"/>
  <c r="EQ56" i="7"/>
  <c r="EP56" i="7"/>
  <c r="EO56" i="7"/>
  <c r="EN56" i="7"/>
  <c r="EM56" i="7"/>
  <c r="EL56" i="7"/>
  <c r="EK56" i="7"/>
  <c r="EV53" i="7"/>
  <c r="EU53" i="7"/>
  <c r="ET53" i="7"/>
  <c r="ES53" i="7"/>
  <c r="EX53" i="7" s="1"/>
  <c r="ER53" i="7"/>
  <c r="EQ53" i="7"/>
  <c r="EP53" i="7"/>
  <c r="EO53" i="7"/>
  <c r="EN53" i="7"/>
  <c r="EM53" i="7"/>
  <c r="EL53" i="7"/>
  <c r="EK53" i="7"/>
  <c r="EV52" i="7"/>
  <c r="EU52" i="7"/>
  <c r="ET52" i="7"/>
  <c r="ES52" i="7"/>
  <c r="EX52" i="7" s="1"/>
  <c r="ER52" i="7"/>
  <c r="EQ52" i="7"/>
  <c r="EP52" i="7"/>
  <c r="EO52" i="7"/>
  <c r="EN52" i="7"/>
  <c r="EM52" i="7"/>
  <c r="EL52" i="7"/>
  <c r="EK52" i="7"/>
  <c r="O53" i="8"/>
  <c r="P53" i="8"/>
  <c r="Q53" i="8"/>
  <c r="R53" i="8"/>
  <c r="S53" i="8"/>
  <c r="T53" i="8"/>
  <c r="U53" i="8"/>
  <c r="V53" i="8"/>
  <c r="W53" i="8"/>
  <c r="X53" i="8"/>
  <c r="Y53" i="8"/>
  <c r="Z53" i="8"/>
  <c r="DF56" i="7"/>
  <c r="DE56" i="7"/>
  <c r="DD56" i="7"/>
  <c r="DH56" i="7" s="1"/>
  <c r="DC56" i="7"/>
  <c r="DB56" i="7"/>
  <c r="DA56" i="7"/>
  <c r="CZ56" i="7"/>
  <c r="CY56" i="7"/>
  <c r="CX56" i="7"/>
  <c r="CW56" i="7"/>
  <c r="CV56" i="7"/>
  <c r="CU56" i="7"/>
  <c r="DF53" i="7"/>
  <c r="DE53" i="7"/>
  <c r="DD53" i="7"/>
  <c r="DH53" i="7" s="1"/>
  <c r="DC53" i="7"/>
  <c r="DB53" i="7"/>
  <c r="DA53" i="7"/>
  <c r="CZ53" i="7"/>
  <c r="CY53" i="7"/>
  <c r="CX53" i="7"/>
  <c r="CW53" i="7"/>
  <c r="CV53" i="7"/>
  <c r="CU53" i="7"/>
  <c r="DF52" i="7"/>
  <c r="DE52" i="7"/>
  <c r="DD52" i="7"/>
  <c r="DH52" i="7" s="1"/>
  <c r="DC52" i="7"/>
  <c r="DB52" i="7"/>
  <c r="DA52" i="7"/>
  <c r="CZ52" i="7"/>
  <c r="CY52" i="7"/>
  <c r="CX52" i="7"/>
  <c r="CW52" i="7"/>
  <c r="CV52" i="7"/>
  <c r="CU52" i="7"/>
  <c r="O52" i="8"/>
  <c r="Z52" i="8"/>
  <c r="Y52" i="8"/>
  <c r="W52" i="8"/>
  <c r="V52" i="8"/>
  <c r="T52" i="8"/>
  <c r="S52" i="8"/>
  <c r="R52" i="8"/>
  <c r="Q52" i="8"/>
  <c r="P52" i="8"/>
  <c r="U52" i="8"/>
  <c r="DG52" i="5" l="1"/>
  <c r="M53" i="8"/>
  <c r="M51" i="8"/>
  <c r="M50" i="8"/>
  <c r="M247" i="8"/>
  <c r="M246" i="8"/>
  <c r="M245" i="8"/>
  <c r="M244" i="8"/>
  <c r="M243" i="8"/>
  <c r="M242" i="8"/>
  <c r="M239" i="8"/>
  <c r="M238" i="8"/>
  <c r="M237" i="8"/>
  <c r="M229" i="8"/>
  <c r="M228" i="8"/>
  <c r="M226" i="8"/>
  <c r="M225" i="8"/>
  <c r="M224" i="8"/>
  <c r="M222" i="8"/>
  <c r="M221" i="8"/>
  <c r="M220" i="8"/>
  <c r="M216" i="8"/>
  <c r="M215" i="8"/>
  <c r="M213" i="8"/>
  <c r="M212" i="8"/>
  <c r="M211" i="8"/>
  <c r="M210" i="8"/>
  <c r="M208" i="8"/>
  <c r="M207" i="8"/>
  <c r="M206" i="8"/>
  <c r="M204" i="8"/>
  <c r="M203" i="8"/>
  <c r="M202" i="8"/>
  <c r="M201" i="8"/>
  <c r="M200" i="8"/>
  <c r="M199" i="8"/>
  <c r="M198" i="8"/>
  <c r="M197" i="8"/>
  <c r="M196" i="8"/>
  <c r="M195" i="8"/>
  <c r="M194" i="8"/>
  <c r="M192" i="8"/>
  <c r="M191" i="8"/>
  <c r="M190" i="8"/>
  <c r="M189" i="8"/>
  <c r="M188" i="8"/>
  <c r="M186" i="8"/>
  <c r="M185" i="8"/>
  <c r="M184" i="8"/>
  <c r="M183" i="8"/>
  <c r="M181" i="8"/>
  <c r="M180" i="8"/>
  <c r="M179" i="8"/>
  <c r="M177" i="8"/>
  <c r="M176" i="8"/>
  <c r="M175" i="8"/>
  <c r="M174" i="8"/>
  <c r="M173" i="8"/>
  <c r="M171" i="8"/>
  <c r="M170" i="8"/>
  <c r="M169" i="8"/>
  <c r="M168" i="8"/>
  <c r="M167" i="8"/>
  <c r="M166" i="8"/>
  <c r="M165" i="8"/>
  <c r="M162" i="8"/>
  <c r="M161" i="8"/>
  <c r="M160" i="8"/>
  <c r="M159" i="8"/>
  <c r="M158" i="8"/>
  <c r="M154" i="8"/>
  <c r="M153" i="8"/>
  <c r="M152" i="8"/>
  <c r="M151" i="8"/>
  <c r="M149" i="8"/>
  <c r="M148" i="8"/>
  <c r="M147" i="8"/>
  <c r="M145" i="8"/>
  <c r="M144" i="8"/>
  <c r="M143" i="8"/>
  <c r="M142" i="8"/>
  <c r="M141" i="8"/>
  <c r="M140" i="8"/>
  <c r="M139" i="8"/>
  <c r="M137" i="8"/>
  <c r="M136" i="8"/>
  <c r="M135" i="8"/>
  <c r="M134" i="8"/>
  <c r="M132" i="8"/>
  <c r="M131" i="8"/>
  <c r="M130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3" i="8"/>
  <c r="M112" i="8"/>
  <c r="M111" i="8"/>
  <c r="M110" i="8"/>
  <c r="M109" i="8"/>
  <c r="M108" i="8"/>
  <c r="M107" i="8"/>
  <c r="M106" i="8"/>
  <c r="M105" i="8"/>
  <c r="M102" i="8"/>
  <c r="M101" i="8"/>
  <c r="M100" i="8"/>
  <c r="M99" i="8"/>
  <c r="M98" i="8"/>
  <c r="M97" i="8"/>
  <c r="M96" i="8"/>
  <c r="M95" i="8"/>
  <c r="M94" i="8"/>
  <c r="M93" i="8"/>
  <c r="M92" i="8"/>
  <c r="M91" i="8"/>
  <c r="M89" i="8"/>
  <c r="M88" i="8"/>
  <c r="M86" i="8"/>
  <c r="M85" i="8"/>
  <c r="M84" i="8"/>
  <c r="M83" i="8"/>
  <c r="M82" i="8"/>
  <c r="M81" i="8"/>
  <c r="M80" i="8"/>
  <c r="M79" i="8"/>
  <c r="M78" i="8"/>
  <c r="M77" i="8"/>
  <c r="M69" i="8"/>
  <c r="M68" i="8"/>
  <c r="M67" i="8"/>
  <c r="M66" i="8"/>
  <c r="M65" i="8"/>
  <c r="M64" i="8"/>
  <c r="M63" i="8"/>
  <c r="M62" i="8"/>
  <c r="M61" i="8"/>
  <c r="M56" i="8"/>
  <c r="M55" i="8"/>
  <c r="M52" i="8"/>
  <c r="M46" i="8"/>
  <c r="M45" i="8"/>
  <c r="M44" i="8"/>
  <c r="M42" i="8"/>
  <c r="M41" i="8"/>
  <c r="M40" i="8"/>
  <c r="M39" i="8"/>
  <c r="M37" i="8"/>
  <c r="M36" i="8"/>
  <c r="M35" i="8"/>
  <c r="M34" i="8"/>
  <c r="M33" i="8"/>
  <c r="M32" i="8"/>
  <c r="M31" i="8"/>
  <c r="M30" i="8"/>
  <c r="M26" i="8"/>
  <c r="M25" i="8"/>
  <c r="M24" i="8"/>
  <c r="M23" i="8"/>
  <c r="M21" i="8"/>
  <c r="M20" i="8"/>
  <c r="M19" i="8"/>
  <c r="M18" i="8"/>
  <c r="M16" i="8"/>
  <c r="M15" i="8"/>
  <c r="M14" i="8"/>
  <c r="M12" i="8"/>
  <c r="M11" i="8"/>
  <c r="M10" i="8"/>
  <c r="M9" i="8"/>
  <c r="M7" i="8"/>
  <c r="M4" i="8"/>
  <c r="AO145" i="8"/>
  <c r="AO144" i="8"/>
  <c r="AO143" i="8"/>
  <c r="AO142" i="8"/>
  <c r="AO141" i="8"/>
  <c r="AO140" i="8"/>
  <c r="AO139" i="8"/>
  <c r="AO128" i="8"/>
  <c r="AO127" i="8"/>
  <c r="AO126" i="8"/>
  <c r="AO125" i="8"/>
  <c r="AO124" i="8"/>
  <c r="AO123" i="8"/>
  <c r="AO122" i="8"/>
  <c r="AO121" i="8"/>
  <c r="AO120" i="8"/>
  <c r="AO119" i="8"/>
  <c r="AO118" i="8"/>
  <c r="AO117" i="8"/>
  <c r="AN56" i="8"/>
  <c r="AM56" i="8"/>
  <c r="AL56" i="8"/>
  <c r="AK56" i="8"/>
  <c r="AJ56" i="8"/>
  <c r="AI56" i="8"/>
  <c r="AH56" i="8"/>
  <c r="AG56" i="8"/>
  <c r="AF56" i="8"/>
  <c r="AE56" i="8"/>
  <c r="AD56" i="8"/>
  <c r="AN55" i="8"/>
  <c r="AM55" i="8"/>
  <c r="AL55" i="8"/>
  <c r="AK55" i="8"/>
  <c r="AJ55" i="8"/>
  <c r="AI55" i="8"/>
  <c r="AH55" i="8"/>
  <c r="AG55" i="8"/>
  <c r="AF55" i="8"/>
  <c r="AE55" i="8"/>
  <c r="AD55" i="8"/>
  <c r="AN53" i="8"/>
  <c r="AM53" i="8"/>
  <c r="AL53" i="8"/>
  <c r="AK53" i="8"/>
  <c r="AJ53" i="8"/>
  <c r="AI53" i="8"/>
  <c r="AH53" i="8"/>
  <c r="AG53" i="8"/>
  <c r="AF53" i="8"/>
  <c r="AE53" i="8"/>
  <c r="AD53" i="8"/>
  <c r="AN51" i="8"/>
  <c r="AM51" i="8"/>
  <c r="AL51" i="8"/>
  <c r="AK51" i="8"/>
  <c r="AJ51" i="8"/>
  <c r="AI51" i="8"/>
  <c r="AH51" i="8"/>
  <c r="AG51" i="8"/>
  <c r="AF51" i="8"/>
  <c r="AE51" i="8"/>
  <c r="AD51" i="8"/>
  <c r="AN50" i="8"/>
  <c r="AM50" i="8"/>
  <c r="AL50" i="8"/>
  <c r="AK50" i="8"/>
  <c r="AJ50" i="8"/>
  <c r="AI50" i="8"/>
  <c r="AH50" i="8"/>
  <c r="AG50" i="8"/>
  <c r="AF50" i="8"/>
  <c r="AE50" i="8"/>
  <c r="AD50" i="8"/>
  <c r="AC56" i="8"/>
  <c r="AC55" i="8"/>
  <c r="AC53" i="8"/>
  <c r="AC51" i="8"/>
  <c r="AC50" i="8"/>
  <c r="FJ239" i="7"/>
  <c r="FI239" i="7"/>
  <c r="FH239" i="7"/>
  <c r="FG239" i="7"/>
  <c r="FF239" i="7"/>
  <c r="FE239" i="7"/>
  <c r="FD239" i="7"/>
  <c r="FC239" i="7"/>
  <c r="FB239" i="7"/>
  <c r="FA239" i="7"/>
  <c r="EZ239" i="7"/>
  <c r="EY239" i="7"/>
  <c r="FJ238" i="7"/>
  <c r="FI238" i="7"/>
  <c r="FH238" i="7"/>
  <c r="FG238" i="7"/>
  <c r="FF238" i="7"/>
  <c r="FE238" i="7"/>
  <c r="FD238" i="7"/>
  <c r="FC238" i="7"/>
  <c r="FB238" i="7"/>
  <c r="FA238" i="7"/>
  <c r="EZ238" i="7"/>
  <c r="EY238" i="7"/>
  <c r="FJ237" i="7"/>
  <c r="FI237" i="7"/>
  <c r="FH237" i="7"/>
  <c r="FG237" i="7"/>
  <c r="FF237" i="7"/>
  <c r="FE237" i="7"/>
  <c r="FD237" i="7"/>
  <c r="FC237" i="7"/>
  <c r="FB237" i="7"/>
  <c r="FA237" i="7"/>
  <c r="EZ237" i="7"/>
  <c r="EY237" i="7"/>
  <c r="FK221" i="7"/>
  <c r="FK220" i="7"/>
  <c r="FK35" i="7"/>
  <c r="DT239" i="7"/>
  <c r="EA74" i="24" s="1"/>
  <c r="DS239" i="7"/>
  <c r="EA75" i="24" s="1"/>
  <c r="DR239" i="7"/>
  <c r="EA76" i="24" s="1"/>
  <c r="DQ239" i="7"/>
  <c r="EA77" i="24" s="1"/>
  <c r="DP239" i="7"/>
  <c r="EA78" i="24" s="1"/>
  <c r="DO239" i="7"/>
  <c r="EA79" i="24" s="1"/>
  <c r="DN239" i="7"/>
  <c r="EA80" i="24" s="1"/>
  <c r="DM239" i="7"/>
  <c r="EA81" i="24" s="1"/>
  <c r="DL239" i="7"/>
  <c r="EA82" i="24" s="1"/>
  <c r="DK239" i="7"/>
  <c r="EA83" i="24" s="1"/>
  <c r="DJ239" i="7"/>
  <c r="EA84" i="24" s="1"/>
  <c r="DI239" i="7"/>
  <c r="DT238" i="7"/>
  <c r="DZ74" i="24" s="1"/>
  <c r="DS238" i="7"/>
  <c r="DZ75" i="24" s="1"/>
  <c r="DR238" i="7"/>
  <c r="DZ76" i="24" s="1"/>
  <c r="DQ238" i="7"/>
  <c r="DZ77" i="24" s="1"/>
  <c r="DP238" i="7"/>
  <c r="DZ78" i="24" s="1"/>
  <c r="DO238" i="7"/>
  <c r="DZ79" i="24" s="1"/>
  <c r="DN238" i="7"/>
  <c r="DZ80" i="24" s="1"/>
  <c r="DM238" i="7"/>
  <c r="DZ81" i="24" s="1"/>
  <c r="DL238" i="7"/>
  <c r="DZ82" i="24" s="1"/>
  <c r="DK238" i="7"/>
  <c r="DZ83" i="24" s="1"/>
  <c r="DJ238" i="7"/>
  <c r="DZ84" i="24" s="1"/>
  <c r="DI238" i="7"/>
  <c r="DT237" i="7"/>
  <c r="DY74" i="24" s="1"/>
  <c r="DS237" i="7"/>
  <c r="DY75" i="24" s="1"/>
  <c r="DR237" i="7"/>
  <c r="DY76" i="24" s="1"/>
  <c r="DQ237" i="7"/>
  <c r="DY77" i="24" s="1"/>
  <c r="DP237" i="7"/>
  <c r="DY78" i="24" s="1"/>
  <c r="DO237" i="7"/>
  <c r="DN237" i="7"/>
  <c r="DY80" i="24" s="1"/>
  <c r="DM237" i="7"/>
  <c r="DY81" i="24" s="1"/>
  <c r="DL237" i="7"/>
  <c r="DY82" i="24" s="1"/>
  <c r="DK237" i="7"/>
  <c r="DY83" i="24" s="1"/>
  <c r="DJ237" i="7"/>
  <c r="DY84" i="24" s="1"/>
  <c r="DI237" i="7"/>
  <c r="DY85" i="24" s="1"/>
  <c r="DU221" i="7"/>
  <c r="DU220" i="7"/>
  <c r="DU35" i="7"/>
  <c r="CR219" i="7"/>
  <c r="CD239" i="7"/>
  <c r="EA62" i="24" s="1"/>
  <c r="CC239" i="7"/>
  <c r="EA63" i="24" s="1"/>
  <c r="CB239" i="7"/>
  <c r="EA64" i="24" s="1"/>
  <c r="CA239" i="7"/>
  <c r="EA65" i="24" s="1"/>
  <c r="BZ239" i="7"/>
  <c r="EA66" i="24" s="1"/>
  <c r="BY239" i="7"/>
  <c r="EA67" i="24" s="1"/>
  <c r="BX239" i="7"/>
  <c r="EA68" i="24" s="1"/>
  <c r="BW239" i="7"/>
  <c r="EA69" i="24" s="1"/>
  <c r="BV239" i="7"/>
  <c r="EA70" i="24" s="1"/>
  <c r="BU239" i="7"/>
  <c r="EA71" i="24" s="1"/>
  <c r="BT239" i="7"/>
  <c r="EA72" i="24" s="1"/>
  <c r="BS239" i="7"/>
  <c r="CD238" i="7"/>
  <c r="DZ62" i="24" s="1"/>
  <c r="CC238" i="7"/>
  <c r="DZ63" i="24" s="1"/>
  <c r="CB238" i="7"/>
  <c r="DZ64" i="24" s="1"/>
  <c r="CA238" i="7"/>
  <c r="DZ65" i="24" s="1"/>
  <c r="BZ238" i="7"/>
  <c r="DZ66" i="24" s="1"/>
  <c r="BY238" i="7"/>
  <c r="DZ67" i="24" s="1"/>
  <c r="BX238" i="7"/>
  <c r="DZ68" i="24" s="1"/>
  <c r="BW238" i="7"/>
  <c r="DZ69" i="24" s="1"/>
  <c r="BV238" i="7"/>
  <c r="DZ70" i="24" s="1"/>
  <c r="BU238" i="7"/>
  <c r="DZ71" i="24" s="1"/>
  <c r="BT238" i="7"/>
  <c r="DZ72" i="24" s="1"/>
  <c r="BS238" i="7"/>
  <c r="CD237" i="7"/>
  <c r="DY62" i="24" s="1"/>
  <c r="CC237" i="7"/>
  <c r="DY63" i="24" s="1"/>
  <c r="CB237" i="7"/>
  <c r="DY64" i="24" s="1"/>
  <c r="CA237" i="7"/>
  <c r="DY65" i="24" s="1"/>
  <c r="BZ237" i="7"/>
  <c r="DY66" i="24" s="1"/>
  <c r="BY237" i="7"/>
  <c r="DY67" i="24" s="1"/>
  <c r="BX237" i="7"/>
  <c r="DY68" i="24" s="1"/>
  <c r="BW237" i="7"/>
  <c r="DY69" i="24" s="1"/>
  <c r="BV237" i="7"/>
  <c r="DY70" i="24" s="1"/>
  <c r="BU237" i="7"/>
  <c r="DY71" i="24" s="1"/>
  <c r="BT237" i="7"/>
  <c r="DY72" i="24" s="1"/>
  <c r="BS237" i="7"/>
  <c r="CE221" i="7"/>
  <c r="CE220" i="7"/>
  <c r="CE35" i="7"/>
  <c r="BB219" i="7"/>
  <c r="AQ241" i="7"/>
  <c r="EB205" i="23" s="1"/>
  <c r="AR241" i="7"/>
  <c r="EB204" i="23" s="1"/>
  <c r="AS241" i="7"/>
  <c r="EB203" i="23" s="1"/>
  <c r="AT241" i="7"/>
  <c r="EB202" i="23" s="1"/>
  <c r="AU241" i="7"/>
  <c r="EB201" i="23" s="1"/>
  <c r="AV241" i="7"/>
  <c r="EB200" i="23" s="1"/>
  <c r="AW241" i="7"/>
  <c r="EB199" i="23" s="1"/>
  <c r="AX241" i="7"/>
  <c r="EB198" i="23" s="1"/>
  <c r="AY241" i="7"/>
  <c r="EB197" i="23" s="1"/>
  <c r="AZ241" i="7"/>
  <c r="EB196" i="23" s="1"/>
  <c r="BA241" i="7"/>
  <c r="EB195" i="23" s="1"/>
  <c r="BB241" i="7"/>
  <c r="EB194" i="23" s="1"/>
  <c r="FK229" i="7"/>
  <c r="FK228" i="7"/>
  <c r="FK222" i="7"/>
  <c r="FK217" i="7"/>
  <c r="FK89" i="7"/>
  <c r="FK69" i="7"/>
  <c r="FK68" i="7"/>
  <c r="FK67" i="7"/>
  <c r="FK66" i="7"/>
  <c r="FK65" i="7"/>
  <c r="FK56" i="7"/>
  <c r="FK55" i="7"/>
  <c r="FK53" i="7"/>
  <c r="FK52" i="7"/>
  <c r="FK51" i="7"/>
  <c r="FK50" i="7"/>
  <c r="FK37" i="7"/>
  <c r="FK36" i="7"/>
  <c r="FK26" i="7"/>
  <c r="FK25" i="7"/>
  <c r="FK24" i="7"/>
  <c r="FK23" i="7"/>
  <c r="FK21" i="7"/>
  <c r="FK20" i="7"/>
  <c r="FK19" i="7"/>
  <c r="FK18" i="7"/>
  <c r="FK16" i="7"/>
  <c r="FK15" i="7"/>
  <c r="FK14" i="7"/>
  <c r="FK12" i="7"/>
  <c r="FK11" i="7"/>
  <c r="FK10" i="7"/>
  <c r="FK9" i="7"/>
  <c r="FK7" i="7"/>
  <c r="FK4" i="7"/>
  <c r="EI247" i="7"/>
  <c r="EI246" i="7"/>
  <c r="EI245" i="7"/>
  <c r="EI244" i="7"/>
  <c r="EI243" i="7"/>
  <c r="EI242" i="7"/>
  <c r="EI239" i="7"/>
  <c r="EI238" i="7"/>
  <c r="EI237" i="7"/>
  <c r="EI229" i="7"/>
  <c r="EI228" i="7"/>
  <c r="EI226" i="7"/>
  <c r="EI225" i="7"/>
  <c r="EI224" i="7"/>
  <c r="EI222" i="7"/>
  <c r="EI221" i="7"/>
  <c r="EI220" i="7"/>
  <c r="EI217" i="7"/>
  <c r="EI216" i="7"/>
  <c r="EI215" i="7"/>
  <c r="EI213" i="7"/>
  <c r="EI212" i="7"/>
  <c r="EI211" i="7"/>
  <c r="EI210" i="7"/>
  <c r="EI208" i="7"/>
  <c r="EI207" i="7"/>
  <c r="EI206" i="7"/>
  <c r="EI204" i="7"/>
  <c r="EI203" i="7"/>
  <c r="EI202" i="7"/>
  <c r="EI201" i="7"/>
  <c r="EI200" i="7"/>
  <c r="EI199" i="7"/>
  <c r="EI198" i="7"/>
  <c r="EI197" i="7"/>
  <c r="EI196" i="7"/>
  <c r="EI195" i="7"/>
  <c r="EI194" i="7"/>
  <c r="EI192" i="7"/>
  <c r="EI191" i="7"/>
  <c r="EI190" i="7"/>
  <c r="EI189" i="7"/>
  <c r="EI188" i="7"/>
  <c r="EI186" i="7"/>
  <c r="EI185" i="7"/>
  <c r="EI184" i="7"/>
  <c r="EI183" i="7"/>
  <c r="EI181" i="7"/>
  <c r="EI180" i="7"/>
  <c r="EI179" i="7"/>
  <c r="EI177" i="7"/>
  <c r="EI176" i="7"/>
  <c r="EI175" i="7"/>
  <c r="EI174" i="7"/>
  <c r="EI173" i="7"/>
  <c r="EI171" i="7"/>
  <c r="EI170" i="7"/>
  <c r="EI169" i="7"/>
  <c r="EI168" i="7"/>
  <c r="EI167" i="7"/>
  <c r="EI166" i="7"/>
  <c r="EI165" i="7"/>
  <c r="EI162" i="7"/>
  <c r="EI161" i="7"/>
  <c r="EI160" i="7"/>
  <c r="EI159" i="7"/>
  <c r="EI158" i="7"/>
  <c r="EI154" i="7"/>
  <c r="EI153" i="7"/>
  <c r="EI152" i="7"/>
  <c r="EI151" i="7"/>
  <c r="EI149" i="7"/>
  <c r="EI148" i="7"/>
  <c r="EI147" i="7"/>
  <c r="EI145" i="7"/>
  <c r="EI144" i="7"/>
  <c r="EI143" i="7"/>
  <c r="EI142" i="7"/>
  <c r="EI141" i="7"/>
  <c r="EI140" i="7"/>
  <c r="EI139" i="7"/>
  <c r="EI137" i="7"/>
  <c r="EI136" i="7"/>
  <c r="EI135" i="7"/>
  <c r="EI134" i="7"/>
  <c r="EI132" i="7"/>
  <c r="EI131" i="7"/>
  <c r="EI130" i="7"/>
  <c r="EI128" i="7"/>
  <c r="EI127" i="7"/>
  <c r="EI126" i="7"/>
  <c r="EI125" i="7"/>
  <c r="EI124" i="7"/>
  <c r="EI123" i="7"/>
  <c r="EI122" i="7"/>
  <c r="EI121" i="7"/>
  <c r="EI120" i="7"/>
  <c r="EI119" i="7"/>
  <c r="EI118" i="7"/>
  <c r="EI117" i="7"/>
  <c r="EI113" i="7"/>
  <c r="EI112" i="7"/>
  <c r="EI111" i="7"/>
  <c r="EI110" i="7"/>
  <c r="EI109" i="7"/>
  <c r="EI108" i="7"/>
  <c r="EI107" i="7"/>
  <c r="EI106" i="7"/>
  <c r="EI105" i="7"/>
  <c r="EI102" i="7"/>
  <c r="EI101" i="7"/>
  <c r="EI100" i="7"/>
  <c r="EI99" i="7"/>
  <c r="EI98" i="7"/>
  <c r="EI97" i="7"/>
  <c r="EI96" i="7"/>
  <c r="EI95" i="7"/>
  <c r="EI94" i="7"/>
  <c r="EI93" i="7"/>
  <c r="EI92" i="7"/>
  <c r="EI91" i="7"/>
  <c r="EI89" i="7"/>
  <c r="EI88" i="7"/>
  <c r="EI86" i="7"/>
  <c r="EI85" i="7"/>
  <c r="EI84" i="7"/>
  <c r="EI83" i="7"/>
  <c r="EI82" i="7"/>
  <c r="EI81" i="7"/>
  <c r="EI80" i="7"/>
  <c r="EI79" i="7"/>
  <c r="EI78" i="7"/>
  <c r="EI77" i="7"/>
  <c r="EI69" i="7"/>
  <c r="EI68" i="7"/>
  <c r="EI67" i="7"/>
  <c r="EI66" i="7"/>
  <c r="EI65" i="7"/>
  <c r="EI64" i="7"/>
  <c r="EI63" i="7"/>
  <c r="EI62" i="7"/>
  <c r="EI61" i="7"/>
  <c r="EI56" i="7"/>
  <c r="EI55" i="7"/>
  <c r="EI53" i="7"/>
  <c r="EI52" i="7"/>
  <c r="EI51" i="7"/>
  <c r="EI50" i="7"/>
  <c r="EI46" i="7"/>
  <c r="EI45" i="7"/>
  <c r="EI44" i="7"/>
  <c r="EI42" i="7"/>
  <c r="EI41" i="7"/>
  <c r="EI40" i="7"/>
  <c r="EI39" i="7"/>
  <c r="EI37" i="7"/>
  <c r="EI36" i="7"/>
  <c r="EI35" i="7"/>
  <c r="EI34" i="7"/>
  <c r="EI33" i="7"/>
  <c r="EI32" i="7"/>
  <c r="EI31" i="7"/>
  <c r="EI30" i="7"/>
  <c r="EI26" i="7"/>
  <c r="EI25" i="7"/>
  <c r="EI24" i="7"/>
  <c r="EI23" i="7"/>
  <c r="EI21" i="7"/>
  <c r="EI20" i="7"/>
  <c r="EI19" i="7"/>
  <c r="EI18" i="7"/>
  <c r="EI16" i="7"/>
  <c r="EI15" i="7"/>
  <c r="EI14" i="7"/>
  <c r="EI12" i="7"/>
  <c r="EI11" i="7"/>
  <c r="EI10" i="7"/>
  <c r="EI9" i="7"/>
  <c r="EI7" i="7"/>
  <c r="EI4" i="7"/>
  <c r="DU222" i="7"/>
  <c r="DU217" i="7"/>
  <c r="DU89" i="7"/>
  <c r="DU69" i="7"/>
  <c r="DU68" i="7"/>
  <c r="DU67" i="7"/>
  <c r="DU66" i="7"/>
  <c r="DU65" i="7"/>
  <c r="DU64" i="7"/>
  <c r="DU63" i="7"/>
  <c r="DU62" i="7"/>
  <c r="DU61" i="7"/>
  <c r="DU56" i="7"/>
  <c r="DU55" i="7"/>
  <c r="DU53" i="7"/>
  <c r="DU52" i="7"/>
  <c r="DU51" i="7"/>
  <c r="DU50" i="7"/>
  <c r="DU37" i="7"/>
  <c r="DU36" i="7"/>
  <c r="DU26" i="7"/>
  <c r="DU25" i="7"/>
  <c r="DU24" i="7"/>
  <c r="DU23" i="7"/>
  <c r="DU21" i="7"/>
  <c r="DU20" i="7"/>
  <c r="DU19" i="7"/>
  <c r="DU18" i="7"/>
  <c r="DU16" i="7"/>
  <c r="DU15" i="7"/>
  <c r="DU14" i="7"/>
  <c r="DU12" i="7"/>
  <c r="DU11" i="7"/>
  <c r="DU10" i="7"/>
  <c r="DU9" i="7"/>
  <c r="DU7" i="7"/>
  <c r="DU4" i="7"/>
  <c r="CS247" i="7"/>
  <c r="CS246" i="7"/>
  <c r="CS245" i="7"/>
  <c r="CS244" i="7"/>
  <c r="CS243" i="7"/>
  <c r="CS242" i="7"/>
  <c r="CS239" i="7"/>
  <c r="CS238" i="7"/>
  <c r="CS237" i="7"/>
  <c r="CS229" i="7"/>
  <c r="CS228" i="7"/>
  <c r="CS226" i="7"/>
  <c r="CS225" i="7"/>
  <c r="CS224" i="7"/>
  <c r="CS222" i="7"/>
  <c r="CS221" i="7"/>
  <c r="CS220" i="7"/>
  <c r="CS217" i="7"/>
  <c r="CS216" i="7"/>
  <c r="CS215" i="7"/>
  <c r="CS213" i="7"/>
  <c r="CS212" i="7"/>
  <c r="CS211" i="7"/>
  <c r="CS210" i="7"/>
  <c r="CS208" i="7"/>
  <c r="CS207" i="7"/>
  <c r="CS206" i="7"/>
  <c r="CS204" i="7"/>
  <c r="CS203" i="7"/>
  <c r="CS202" i="7"/>
  <c r="CS201" i="7"/>
  <c r="CS200" i="7"/>
  <c r="CS199" i="7"/>
  <c r="CS198" i="7"/>
  <c r="CS197" i="7"/>
  <c r="CS196" i="7"/>
  <c r="CS195" i="7"/>
  <c r="CS194" i="7"/>
  <c r="CS192" i="7"/>
  <c r="CS191" i="7"/>
  <c r="CS190" i="7"/>
  <c r="CS189" i="7"/>
  <c r="CS188" i="7"/>
  <c r="CS186" i="7"/>
  <c r="CS185" i="7"/>
  <c r="CS184" i="7"/>
  <c r="CS183" i="7"/>
  <c r="CS181" i="7"/>
  <c r="CS180" i="7"/>
  <c r="CS179" i="7"/>
  <c r="CS177" i="7"/>
  <c r="CS176" i="7"/>
  <c r="CS175" i="7"/>
  <c r="CS174" i="7"/>
  <c r="CS173" i="7"/>
  <c r="CS171" i="7"/>
  <c r="CS170" i="7"/>
  <c r="CS169" i="7"/>
  <c r="CS168" i="7"/>
  <c r="CS167" i="7"/>
  <c r="CS166" i="7"/>
  <c r="CS165" i="7"/>
  <c r="CS162" i="7"/>
  <c r="CS161" i="7"/>
  <c r="CS160" i="7"/>
  <c r="CS159" i="7"/>
  <c r="CS158" i="7"/>
  <c r="CS154" i="7"/>
  <c r="CS153" i="7"/>
  <c r="CS152" i="7"/>
  <c r="CS151" i="7"/>
  <c r="CS149" i="7"/>
  <c r="CS148" i="7"/>
  <c r="CS147" i="7"/>
  <c r="CS145" i="7"/>
  <c r="CS144" i="7"/>
  <c r="CS143" i="7"/>
  <c r="CS142" i="7"/>
  <c r="CS141" i="7"/>
  <c r="CS140" i="7"/>
  <c r="CS139" i="7"/>
  <c r="CS137" i="7"/>
  <c r="CS136" i="7"/>
  <c r="CS135" i="7"/>
  <c r="CS134" i="7"/>
  <c r="CS132" i="7"/>
  <c r="CS131" i="7"/>
  <c r="CS130" i="7"/>
  <c r="CS128" i="7"/>
  <c r="CS127" i="7"/>
  <c r="CS126" i="7"/>
  <c r="CS125" i="7"/>
  <c r="CS124" i="7"/>
  <c r="CS123" i="7"/>
  <c r="CS122" i="7"/>
  <c r="CS121" i="7"/>
  <c r="CS120" i="7"/>
  <c r="CS119" i="7"/>
  <c r="CS118" i="7"/>
  <c r="CS117" i="7"/>
  <c r="CS113" i="7"/>
  <c r="CS112" i="7"/>
  <c r="CS111" i="7"/>
  <c r="CS110" i="7"/>
  <c r="CS109" i="7"/>
  <c r="CS108" i="7"/>
  <c r="CS107" i="7"/>
  <c r="CS106" i="7"/>
  <c r="CS105" i="7"/>
  <c r="CS102" i="7"/>
  <c r="CS101" i="7"/>
  <c r="CS100" i="7"/>
  <c r="CS99" i="7"/>
  <c r="CS98" i="7"/>
  <c r="CS97" i="7"/>
  <c r="CS96" i="7"/>
  <c r="CS95" i="7"/>
  <c r="CS94" i="7"/>
  <c r="CS93" i="7"/>
  <c r="CS92" i="7"/>
  <c r="CS91" i="7"/>
  <c r="CS89" i="7"/>
  <c r="CS88" i="7"/>
  <c r="CS86" i="7"/>
  <c r="CS85" i="7"/>
  <c r="CS84" i="7"/>
  <c r="CS83" i="7"/>
  <c r="CS82" i="7"/>
  <c r="CS81" i="7"/>
  <c r="CS80" i="7"/>
  <c r="CS79" i="7"/>
  <c r="CS78" i="7"/>
  <c r="CS77" i="7"/>
  <c r="CS69" i="7"/>
  <c r="CS68" i="7"/>
  <c r="CS67" i="7"/>
  <c r="CS66" i="7"/>
  <c r="CS65" i="7"/>
  <c r="CS64" i="7"/>
  <c r="CS63" i="7"/>
  <c r="CS62" i="7"/>
  <c r="CS61" i="7"/>
  <c r="CS56" i="7"/>
  <c r="CS55" i="7"/>
  <c r="CS53" i="7"/>
  <c r="CS52" i="7"/>
  <c r="CS51" i="7"/>
  <c r="CS50" i="7"/>
  <c r="CS46" i="7"/>
  <c r="CS45" i="7"/>
  <c r="CS44" i="7"/>
  <c r="CS42" i="7"/>
  <c r="CS41" i="7"/>
  <c r="CS40" i="7"/>
  <c r="CS39" i="7"/>
  <c r="CS37" i="7"/>
  <c r="CS36" i="7"/>
  <c r="CS35" i="7"/>
  <c r="CS34" i="7"/>
  <c r="CS33" i="7"/>
  <c r="CS32" i="7"/>
  <c r="CS31" i="7"/>
  <c r="CS30" i="7"/>
  <c r="CS26" i="7"/>
  <c r="CS25" i="7"/>
  <c r="CS24" i="7"/>
  <c r="CS23" i="7"/>
  <c r="CS21" i="7"/>
  <c r="CS20" i="7"/>
  <c r="CS19" i="7"/>
  <c r="CS18" i="7"/>
  <c r="CS16" i="7"/>
  <c r="CS15" i="7"/>
  <c r="CS14" i="7"/>
  <c r="CS12" i="7"/>
  <c r="CS11" i="7"/>
  <c r="CS10" i="7"/>
  <c r="CS9" i="7"/>
  <c r="CS7" i="7"/>
  <c r="CS4" i="7"/>
  <c r="CE222" i="7"/>
  <c r="CE217" i="7"/>
  <c r="CE89" i="7"/>
  <c r="CE69" i="7"/>
  <c r="CE68" i="7"/>
  <c r="CE67" i="7"/>
  <c r="CE66" i="7"/>
  <c r="CE65" i="7"/>
  <c r="CE64" i="7"/>
  <c r="CE63" i="7"/>
  <c r="CE61" i="7"/>
  <c r="CE56" i="7"/>
  <c r="CE55" i="7"/>
  <c r="CE53" i="7"/>
  <c r="CE52" i="7"/>
  <c r="CE51" i="7"/>
  <c r="CE50" i="7"/>
  <c r="CE37" i="7"/>
  <c r="CE36" i="7"/>
  <c r="CE26" i="7"/>
  <c r="CE25" i="7"/>
  <c r="CE24" i="7"/>
  <c r="CE23" i="7"/>
  <c r="CE21" i="7"/>
  <c r="CE20" i="7"/>
  <c r="CE19" i="7"/>
  <c r="CE18" i="7"/>
  <c r="CE16" i="7"/>
  <c r="CE15" i="7"/>
  <c r="CE14" i="7"/>
  <c r="CE12" i="7"/>
  <c r="CE11" i="7"/>
  <c r="CE10" i="7"/>
  <c r="CE9" i="7"/>
  <c r="CE7" i="7"/>
  <c r="CE4" i="7"/>
  <c r="BC247" i="7"/>
  <c r="BC246" i="7"/>
  <c r="BC245" i="7"/>
  <c r="BC244" i="7"/>
  <c r="BC243" i="7"/>
  <c r="BC242" i="7"/>
  <c r="BC239" i="7"/>
  <c r="BC238" i="7"/>
  <c r="BC237" i="7"/>
  <c r="BC229" i="7"/>
  <c r="BC228" i="7"/>
  <c r="BC226" i="7"/>
  <c r="BC225" i="7"/>
  <c r="BC224" i="7"/>
  <c r="BC222" i="7"/>
  <c r="BC221" i="7"/>
  <c r="BC220" i="7"/>
  <c r="BC217" i="7"/>
  <c r="BC216" i="7"/>
  <c r="BC215" i="7"/>
  <c r="BC213" i="7"/>
  <c r="BC212" i="7"/>
  <c r="BC211" i="7"/>
  <c r="BC210" i="7"/>
  <c r="BC208" i="7"/>
  <c r="BC207" i="7"/>
  <c r="BC206" i="7"/>
  <c r="BC204" i="7"/>
  <c r="BC203" i="7"/>
  <c r="BC202" i="7"/>
  <c r="BC201" i="7"/>
  <c r="BC200" i="7"/>
  <c r="BC199" i="7"/>
  <c r="BC198" i="7"/>
  <c r="BC197" i="7"/>
  <c r="BC196" i="7"/>
  <c r="BC195" i="7"/>
  <c r="BC194" i="7"/>
  <c r="BC192" i="7"/>
  <c r="BC191" i="7"/>
  <c r="BC190" i="7"/>
  <c r="BC189" i="7"/>
  <c r="BC188" i="7"/>
  <c r="BC186" i="7"/>
  <c r="BC185" i="7"/>
  <c r="BC184" i="7"/>
  <c r="BC183" i="7"/>
  <c r="BC181" i="7"/>
  <c r="BC180" i="7"/>
  <c r="BC179" i="7"/>
  <c r="BC177" i="7"/>
  <c r="BC176" i="7"/>
  <c r="BC175" i="7"/>
  <c r="BC174" i="7"/>
  <c r="BC173" i="7"/>
  <c r="BC171" i="7"/>
  <c r="BC170" i="7"/>
  <c r="BC169" i="7"/>
  <c r="BC168" i="7"/>
  <c r="BC167" i="7"/>
  <c r="BC166" i="7"/>
  <c r="BC165" i="7"/>
  <c r="BC162" i="7"/>
  <c r="BC161" i="7"/>
  <c r="BC160" i="7"/>
  <c r="BC159" i="7"/>
  <c r="BC158" i="7"/>
  <c r="BC154" i="7"/>
  <c r="BC153" i="7"/>
  <c r="BC152" i="7"/>
  <c r="BC151" i="7"/>
  <c r="BC149" i="7"/>
  <c r="BC148" i="7"/>
  <c r="BC147" i="7"/>
  <c r="BC145" i="7"/>
  <c r="BC144" i="7"/>
  <c r="BC143" i="7"/>
  <c r="BC142" i="7"/>
  <c r="BC141" i="7"/>
  <c r="BC140" i="7"/>
  <c r="BC139" i="7"/>
  <c r="BC137" i="7"/>
  <c r="BC136" i="7"/>
  <c r="BC135" i="7"/>
  <c r="BC134" i="7"/>
  <c r="BC132" i="7"/>
  <c r="BC131" i="7"/>
  <c r="BC130" i="7"/>
  <c r="BC128" i="7"/>
  <c r="BC127" i="7"/>
  <c r="BC126" i="7"/>
  <c r="BC125" i="7"/>
  <c r="BC124" i="7"/>
  <c r="BC123" i="7"/>
  <c r="BC122" i="7"/>
  <c r="BC121" i="7"/>
  <c r="BC120" i="7"/>
  <c r="BC119" i="7"/>
  <c r="BC118" i="7"/>
  <c r="BC117" i="7"/>
  <c r="BC113" i="7"/>
  <c r="BC112" i="7"/>
  <c r="BC111" i="7"/>
  <c r="BC110" i="7"/>
  <c r="BC109" i="7"/>
  <c r="BC108" i="7"/>
  <c r="BC107" i="7"/>
  <c r="BC106" i="7"/>
  <c r="BC105" i="7"/>
  <c r="BC102" i="7"/>
  <c r="BC101" i="7"/>
  <c r="BC100" i="7"/>
  <c r="BC99" i="7"/>
  <c r="BC98" i="7"/>
  <c r="BC97" i="7"/>
  <c r="BC96" i="7"/>
  <c r="BC95" i="7"/>
  <c r="BC94" i="7"/>
  <c r="BC93" i="7"/>
  <c r="BC92" i="7"/>
  <c r="BC91" i="7"/>
  <c r="BC89" i="7"/>
  <c r="BC88" i="7"/>
  <c r="BC86" i="7"/>
  <c r="BC85" i="7"/>
  <c r="BC84" i="7"/>
  <c r="BC83" i="7"/>
  <c r="BC82" i="7"/>
  <c r="BC81" i="7"/>
  <c r="BC80" i="7"/>
  <c r="BC79" i="7"/>
  <c r="BC78" i="7"/>
  <c r="BC77" i="7"/>
  <c r="BC69" i="7"/>
  <c r="BC68" i="7"/>
  <c r="BC67" i="7"/>
  <c r="BC66" i="7"/>
  <c r="BC65" i="7"/>
  <c r="BC64" i="7"/>
  <c r="BC63" i="7"/>
  <c r="BC62" i="7"/>
  <c r="BC61" i="7"/>
  <c r="BC56" i="7"/>
  <c r="BC55" i="7"/>
  <c r="BC53" i="7"/>
  <c r="BC52" i="7"/>
  <c r="BC51" i="7"/>
  <c r="BC50" i="7"/>
  <c r="BC46" i="7"/>
  <c r="BC45" i="7"/>
  <c r="BC44" i="7"/>
  <c r="BC42" i="7"/>
  <c r="BC41" i="7"/>
  <c r="BC40" i="7"/>
  <c r="BC39" i="7"/>
  <c r="BC37" i="7"/>
  <c r="BC36" i="7"/>
  <c r="BC35" i="7"/>
  <c r="BC34" i="7"/>
  <c r="BC33" i="7"/>
  <c r="BC32" i="7"/>
  <c r="BC31" i="7"/>
  <c r="BC30" i="7"/>
  <c r="BC26" i="7"/>
  <c r="BC25" i="7"/>
  <c r="BC24" i="7"/>
  <c r="BC23" i="7"/>
  <c r="BC21" i="7"/>
  <c r="BC20" i="7"/>
  <c r="BC19" i="7"/>
  <c r="BC18" i="7"/>
  <c r="BC16" i="7"/>
  <c r="BC15" i="7"/>
  <c r="BC14" i="7"/>
  <c r="BC12" i="7"/>
  <c r="BC11" i="7"/>
  <c r="BC10" i="7"/>
  <c r="BC9" i="7"/>
  <c r="BC7" i="7"/>
  <c r="BC4" i="7"/>
  <c r="FJ56" i="6"/>
  <c r="FI56" i="6"/>
  <c r="FH56" i="6"/>
  <c r="FG56" i="6"/>
  <c r="FF56" i="6"/>
  <c r="FE56" i="6"/>
  <c r="FD56" i="6"/>
  <c r="FC56" i="6"/>
  <c r="FB56" i="6"/>
  <c r="FA56" i="6"/>
  <c r="EZ56" i="6"/>
  <c r="EY56" i="6"/>
  <c r="FJ239" i="6"/>
  <c r="EA50" i="24" s="1"/>
  <c r="FI239" i="6"/>
  <c r="EA51" i="24" s="1"/>
  <c r="FH239" i="6"/>
  <c r="EA52" i="24" s="1"/>
  <c r="FG239" i="6"/>
  <c r="EA53" i="24" s="1"/>
  <c r="FF239" i="6"/>
  <c r="EA54" i="24" s="1"/>
  <c r="FE239" i="6"/>
  <c r="EA55" i="24" s="1"/>
  <c r="FD239" i="6"/>
  <c r="EA56" i="24" s="1"/>
  <c r="FC239" i="6"/>
  <c r="EA57" i="24" s="1"/>
  <c r="FB239" i="6"/>
  <c r="EA58" i="24" s="1"/>
  <c r="FA239" i="6"/>
  <c r="EA59" i="24" s="1"/>
  <c r="EZ239" i="6"/>
  <c r="EA60" i="24" s="1"/>
  <c r="EY239" i="6"/>
  <c r="FJ238" i="6"/>
  <c r="DZ50" i="24" s="1"/>
  <c r="FI238" i="6"/>
  <c r="DZ51" i="24" s="1"/>
  <c r="FH238" i="6"/>
  <c r="DZ52" i="24" s="1"/>
  <c r="FG238" i="6"/>
  <c r="DZ53" i="24" s="1"/>
  <c r="FF238" i="6"/>
  <c r="DZ54" i="24" s="1"/>
  <c r="FE238" i="6"/>
  <c r="DZ55" i="24" s="1"/>
  <c r="FD238" i="6"/>
  <c r="DZ56" i="24" s="1"/>
  <c r="FC238" i="6"/>
  <c r="DZ57" i="24" s="1"/>
  <c r="FB238" i="6"/>
  <c r="DZ58" i="24" s="1"/>
  <c r="FA238" i="6"/>
  <c r="DZ59" i="24" s="1"/>
  <c r="EZ238" i="6"/>
  <c r="DZ60" i="24" s="1"/>
  <c r="EY238" i="6"/>
  <c r="FJ237" i="6"/>
  <c r="DY50" i="24" s="1"/>
  <c r="FI237" i="6"/>
  <c r="DY51" i="24" s="1"/>
  <c r="FH237" i="6"/>
  <c r="DY52" i="24" s="1"/>
  <c r="FG237" i="6"/>
  <c r="DY53" i="24" s="1"/>
  <c r="FF237" i="6"/>
  <c r="DY54" i="24" s="1"/>
  <c r="FE237" i="6"/>
  <c r="DY55" i="24" s="1"/>
  <c r="FD237" i="6"/>
  <c r="DY56" i="24" s="1"/>
  <c r="FC237" i="6"/>
  <c r="DY57" i="24" s="1"/>
  <c r="FB237" i="6"/>
  <c r="DY58" i="24" s="1"/>
  <c r="FA237" i="6"/>
  <c r="DY59" i="24" s="1"/>
  <c r="EZ237" i="6"/>
  <c r="DY60" i="24" s="1"/>
  <c r="EY237" i="6"/>
  <c r="FK37" i="6"/>
  <c r="FK35" i="6"/>
  <c r="DT56" i="6"/>
  <c r="DS56" i="6"/>
  <c r="DR56" i="6"/>
  <c r="DQ56" i="6"/>
  <c r="DP56" i="6"/>
  <c r="DO56" i="6"/>
  <c r="DN56" i="6"/>
  <c r="DM56" i="6"/>
  <c r="DL56" i="6"/>
  <c r="DK56" i="6"/>
  <c r="DJ56" i="6"/>
  <c r="DI56" i="6"/>
  <c r="DU65" i="6"/>
  <c r="DU89" i="6"/>
  <c r="DU221" i="6"/>
  <c r="DT239" i="6"/>
  <c r="EA38" i="24" s="1"/>
  <c r="DS239" i="6"/>
  <c r="EA39" i="24" s="1"/>
  <c r="DR239" i="6"/>
  <c r="EA40" i="24" s="1"/>
  <c r="DQ239" i="6"/>
  <c r="EA41" i="24" s="1"/>
  <c r="DP239" i="6"/>
  <c r="EA42" i="24" s="1"/>
  <c r="DO239" i="6"/>
  <c r="EA43" i="24" s="1"/>
  <c r="DN239" i="6"/>
  <c r="EA44" i="24" s="1"/>
  <c r="DM239" i="6"/>
  <c r="EA45" i="24" s="1"/>
  <c r="DL239" i="6"/>
  <c r="EA46" i="24" s="1"/>
  <c r="DK239" i="6"/>
  <c r="EA47" i="24" s="1"/>
  <c r="DJ239" i="6"/>
  <c r="EA48" i="24" s="1"/>
  <c r="DI239" i="6"/>
  <c r="DT238" i="6"/>
  <c r="DZ38" i="24" s="1"/>
  <c r="DS238" i="6"/>
  <c r="DZ39" i="24" s="1"/>
  <c r="DR238" i="6"/>
  <c r="DZ40" i="24" s="1"/>
  <c r="DQ238" i="6"/>
  <c r="DZ41" i="24" s="1"/>
  <c r="DP238" i="6"/>
  <c r="DZ42" i="24" s="1"/>
  <c r="DO238" i="6"/>
  <c r="DZ43" i="24" s="1"/>
  <c r="DN238" i="6"/>
  <c r="DZ44" i="24" s="1"/>
  <c r="DM238" i="6"/>
  <c r="DZ45" i="24" s="1"/>
  <c r="DL238" i="6"/>
  <c r="DZ46" i="24" s="1"/>
  <c r="DK238" i="6"/>
  <c r="DZ47" i="24" s="1"/>
  <c r="DJ238" i="6"/>
  <c r="DZ48" i="24" s="1"/>
  <c r="DI238" i="6"/>
  <c r="DT237" i="6"/>
  <c r="DY38" i="24" s="1"/>
  <c r="DS237" i="6"/>
  <c r="DY39" i="24" s="1"/>
  <c r="DR237" i="6"/>
  <c r="DY40" i="24" s="1"/>
  <c r="DQ237" i="6"/>
  <c r="DY41" i="24" s="1"/>
  <c r="DP237" i="6"/>
  <c r="DY42" i="24" s="1"/>
  <c r="DO237" i="6"/>
  <c r="DY43" i="24" s="1"/>
  <c r="DN237" i="6"/>
  <c r="DY44" i="24" s="1"/>
  <c r="DM237" i="6"/>
  <c r="DY45" i="24" s="1"/>
  <c r="DL237" i="6"/>
  <c r="DY46" i="24" s="1"/>
  <c r="DK237" i="6"/>
  <c r="DY47" i="24" s="1"/>
  <c r="DJ237" i="6"/>
  <c r="DY48" i="24" s="1"/>
  <c r="DI237" i="6"/>
  <c r="DY49" i="24" s="1"/>
  <c r="DU35" i="6"/>
  <c r="CD56" i="6"/>
  <c r="CC56" i="6"/>
  <c r="CB56" i="6"/>
  <c r="CA56" i="6"/>
  <c r="BZ56" i="6"/>
  <c r="BY56" i="6"/>
  <c r="BX56" i="6"/>
  <c r="BW56" i="6"/>
  <c r="BV56" i="6"/>
  <c r="BU56" i="6"/>
  <c r="BT56" i="6"/>
  <c r="BS56" i="6"/>
  <c r="CD239" i="6"/>
  <c r="EA26" i="24" s="1"/>
  <c r="CC239" i="6"/>
  <c r="EA27" i="24" s="1"/>
  <c r="CB239" i="6"/>
  <c r="EA28" i="24" s="1"/>
  <c r="CA239" i="6"/>
  <c r="EA29" i="24" s="1"/>
  <c r="BZ239" i="6"/>
  <c r="EA30" i="24" s="1"/>
  <c r="BY239" i="6"/>
  <c r="EA31" i="24" s="1"/>
  <c r="BX239" i="6"/>
  <c r="EA32" i="24" s="1"/>
  <c r="BW239" i="6"/>
  <c r="EA33" i="24" s="1"/>
  <c r="BV239" i="6"/>
  <c r="EA34" i="24" s="1"/>
  <c r="BU239" i="6"/>
  <c r="EA35" i="24" s="1"/>
  <c r="BT239" i="6"/>
  <c r="EA36" i="24" s="1"/>
  <c r="BS239" i="6"/>
  <c r="CD238" i="6"/>
  <c r="DZ26" i="24" s="1"/>
  <c r="CC238" i="6"/>
  <c r="DZ27" i="24" s="1"/>
  <c r="CB238" i="6"/>
  <c r="DZ28" i="24" s="1"/>
  <c r="CA238" i="6"/>
  <c r="DZ29" i="24" s="1"/>
  <c r="BZ238" i="6"/>
  <c r="DZ30" i="24" s="1"/>
  <c r="BY238" i="6"/>
  <c r="DZ31" i="24" s="1"/>
  <c r="BX238" i="6"/>
  <c r="DZ32" i="24" s="1"/>
  <c r="BW238" i="6"/>
  <c r="DZ33" i="24" s="1"/>
  <c r="BV238" i="6"/>
  <c r="DZ34" i="24" s="1"/>
  <c r="BU238" i="6"/>
  <c r="DZ35" i="24" s="1"/>
  <c r="BT238" i="6"/>
  <c r="DZ36" i="24" s="1"/>
  <c r="BS238" i="6"/>
  <c r="CD237" i="6"/>
  <c r="DY26" i="24" s="1"/>
  <c r="CC237" i="6"/>
  <c r="DY27" i="24" s="1"/>
  <c r="CB237" i="6"/>
  <c r="DY28" i="24" s="1"/>
  <c r="CA237" i="6"/>
  <c r="DY29" i="24" s="1"/>
  <c r="BZ237" i="6"/>
  <c r="DY30" i="24" s="1"/>
  <c r="BY237" i="6"/>
  <c r="DY31" i="24" s="1"/>
  <c r="BX237" i="6"/>
  <c r="DY32" i="24" s="1"/>
  <c r="BW237" i="6"/>
  <c r="BV237" i="6"/>
  <c r="DY34" i="24" s="1"/>
  <c r="BU237" i="6"/>
  <c r="DY35" i="24" s="1"/>
  <c r="BT237" i="6"/>
  <c r="DY36" i="24" s="1"/>
  <c r="BS237" i="6"/>
  <c r="DY37" i="24" s="1"/>
  <c r="CE221" i="6"/>
  <c r="CE68" i="6"/>
  <c r="CE66" i="6"/>
  <c r="FK222" i="6"/>
  <c r="FK221" i="6"/>
  <c r="FK220" i="6"/>
  <c r="FK217" i="6"/>
  <c r="FK89" i="6"/>
  <c r="FK69" i="6"/>
  <c r="FK68" i="6"/>
  <c r="FK67" i="6"/>
  <c r="FK66" i="6"/>
  <c r="FK65" i="6"/>
  <c r="FK64" i="6"/>
  <c r="FK63" i="6"/>
  <c r="FK62" i="6"/>
  <c r="FK61" i="6"/>
  <c r="FK53" i="6"/>
  <c r="FK52" i="6"/>
  <c r="FK51" i="6"/>
  <c r="FK50" i="6"/>
  <c r="FK36" i="6"/>
  <c r="FK26" i="6"/>
  <c r="FK25" i="6"/>
  <c r="FK24" i="6"/>
  <c r="FK23" i="6"/>
  <c r="FK21" i="6"/>
  <c r="FK20" i="6"/>
  <c r="FK19" i="6"/>
  <c r="FK18" i="6"/>
  <c r="FK16" i="6"/>
  <c r="FK15" i="6"/>
  <c r="FK14" i="6"/>
  <c r="FK12" i="6"/>
  <c r="FK11" i="6"/>
  <c r="FK10" i="6"/>
  <c r="FK9" i="6"/>
  <c r="FK7" i="6"/>
  <c r="FK4" i="6"/>
  <c r="EI247" i="6"/>
  <c r="EI246" i="6"/>
  <c r="EI245" i="6"/>
  <c r="EI244" i="6"/>
  <c r="EI243" i="6"/>
  <c r="EI242" i="6"/>
  <c r="EI239" i="6"/>
  <c r="EI238" i="6"/>
  <c r="EI237" i="6"/>
  <c r="EI229" i="6"/>
  <c r="EI228" i="6"/>
  <c r="EI226" i="6"/>
  <c r="EI225" i="6"/>
  <c r="EI224" i="6"/>
  <c r="EI222" i="6"/>
  <c r="EI221" i="6"/>
  <c r="EI220" i="6"/>
  <c r="EI217" i="6"/>
  <c r="EI216" i="6"/>
  <c r="EI215" i="6"/>
  <c r="EI213" i="6"/>
  <c r="EI212" i="6"/>
  <c r="EI211" i="6"/>
  <c r="EI210" i="6"/>
  <c r="EI208" i="6"/>
  <c r="EI207" i="6"/>
  <c r="EI206" i="6"/>
  <c r="EI204" i="6"/>
  <c r="EI203" i="6"/>
  <c r="EI202" i="6"/>
  <c r="EI201" i="6"/>
  <c r="EI200" i="6"/>
  <c r="EI199" i="6"/>
  <c r="EI198" i="6"/>
  <c r="EI197" i="6"/>
  <c r="EI196" i="6"/>
  <c r="EI195" i="6"/>
  <c r="EI194" i="6"/>
  <c r="EI192" i="6"/>
  <c r="EI191" i="6"/>
  <c r="EI190" i="6"/>
  <c r="EI189" i="6"/>
  <c r="EI188" i="6"/>
  <c r="EI186" i="6"/>
  <c r="EI185" i="6"/>
  <c r="EI184" i="6"/>
  <c r="EI183" i="6"/>
  <c r="EI181" i="6"/>
  <c r="EI180" i="6"/>
  <c r="EI179" i="6"/>
  <c r="EI177" i="6"/>
  <c r="EI176" i="6"/>
  <c r="EI175" i="6"/>
  <c r="EI174" i="6"/>
  <c r="EI173" i="6"/>
  <c r="EI171" i="6"/>
  <c r="EI170" i="6"/>
  <c r="EI169" i="6"/>
  <c r="EI168" i="6"/>
  <c r="EI167" i="6"/>
  <c r="EI166" i="6"/>
  <c r="EI165" i="6"/>
  <c r="EI162" i="6"/>
  <c r="EI161" i="6"/>
  <c r="EI160" i="6"/>
  <c r="EI159" i="6"/>
  <c r="EI158" i="6"/>
  <c r="EI154" i="6"/>
  <c r="EI153" i="6"/>
  <c r="EI152" i="6"/>
  <c r="EI151" i="6"/>
  <c r="EI149" i="6"/>
  <c r="EI148" i="6"/>
  <c r="EI147" i="6"/>
  <c r="EI145" i="6"/>
  <c r="EI144" i="6"/>
  <c r="EI143" i="6"/>
  <c r="EI142" i="6"/>
  <c r="EI141" i="6"/>
  <c r="EI140" i="6"/>
  <c r="EI139" i="6"/>
  <c r="EI137" i="6"/>
  <c r="EI136" i="6"/>
  <c r="EI135" i="6"/>
  <c r="EI134" i="6"/>
  <c r="EI132" i="6"/>
  <c r="EI131" i="6"/>
  <c r="EI130" i="6"/>
  <c r="EI128" i="6"/>
  <c r="EI127" i="6"/>
  <c r="EI126" i="6"/>
  <c r="EI125" i="6"/>
  <c r="EI124" i="6"/>
  <c r="EI123" i="6"/>
  <c r="EI122" i="6"/>
  <c r="EI121" i="6"/>
  <c r="EI120" i="6"/>
  <c r="EI119" i="6"/>
  <c r="EI118" i="6"/>
  <c r="EI117" i="6"/>
  <c r="EI113" i="6"/>
  <c r="EI112" i="6"/>
  <c r="EI111" i="6"/>
  <c r="EI110" i="6"/>
  <c r="EI109" i="6"/>
  <c r="EI108" i="6"/>
  <c r="EI107" i="6"/>
  <c r="EI106" i="6"/>
  <c r="EI105" i="6"/>
  <c r="EI102" i="6"/>
  <c r="EI101" i="6"/>
  <c r="EI100" i="6"/>
  <c r="EI99" i="6"/>
  <c r="EI98" i="6"/>
  <c r="EI97" i="6"/>
  <c r="EI96" i="6"/>
  <c r="EI95" i="6"/>
  <c r="EI94" i="6"/>
  <c r="EI93" i="6"/>
  <c r="EI92" i="6"/>
  <c r="EI91" i="6"/>
  <c r="EI89" i="6"/>
  <c r="EI88" i="6"/>
  <c r="EI86" i="6"/>
  <c r="EI85" i="6"/>
  <c r="EI84" i="6"/>
  <c r="EI83" i="6"/>
  <c r="EI82" i="6"/>
  <c r="EI81" i="6"/>
  <c r="EI80" i="6"/>
  <c r="EI79" i="6"/>
  <c r="EI78" i="6"/>
  <c r="EI77" i="6"/>
  <c r="EI69" i="6"/>
  <c r="EI68" i="6"/>
  <c r="EI67" i="6"/>
  <c r="EI66" i="6"/>
  <c r="EI65" i="6"/>
  <c r="EI64" i="6"/>
  <c r="EI63" i="6"/>
  <c r="EI62" i="6"/>
  <c r="EI61" i="6"/>
  <c r="EI56" i="6"/>
  <c r="EI55" i="6"/>
  <c r="EI53" i="6"/>
  <c r="EI52" i="6"/>
  <c r="EI51" i="6"/>
  <c r="EI50" i="6"/>
  <c r="EI46" i="6"/>
  <c r="EI45" i="6"/>
  <c r="EI44" i="6"/>
  <c r="EI42" i="6"/>
  <c r="EI41" i="6"/>
  <c r="EI40" i="6"/>
  <c r="EI39" i="6"/>
  <c r="EI37" i="6"/>
  <c r="EI36" i="6"/>
  <c r="EI35" i="6"/>
  <c r="EI34" i="6"/>
  <c r="EI33" i="6"/>
  <c r="EI32" i="6"/>
  <c r="EI31" i="6"/>
  <c r="EI30" i="6"/>
  <c r="EI26" i="6"/>
  <c r="EI25" i="6"/>
  <c r="EI24" i="6"/>
  <c r="EI23" i="6"/>
  <c r="EI21" i="6"/>
  <c r="EI20" i="6"/>
  <c r="EI19" i="6"/>
  <c r="EI18" i="6"/>
  <c r="EI16" i="6"/>
  <c r="EI15" i="6"/>
  <c r="EI14" i="6"/>
  <c r="EI12" i="6"/>
  <c r="EI11" i="6"/>
  <c r="EI10" i="6"/>
  <c r="EI9" i="6"/>
  <c r="EI7" i="6"/>
  <c r="EI4" i="6"/>
  <c r="DU217" i="6"/>
  <c r="DU69" i="6"/>
  <c r="DU68" i="6"/>
  <c r="DU67" i="6"/>
  <c r="DU66" i="6"/>
  <c r="DU53" i="6"/>
  <c r="DU52" i="6"/>
  <c r="DU51" i="6"/>
  <c r="DU50" i="6"/>
  <c r="DU37" i="6"/>
  <c r="DU36" i="6"/>
  <c r="DU26" i="6"/>
  <c r="DU25" i="6"/>
  <c r="DU24" i="6"/>
  <c r="DU23" i="6"/>
  <c r="DU21" i="6"/>
  <c r="DU20" i="6"/>
  <c r="DU19" i="6"/>
  <c r="DU18" i="6"/>
  <c r="DU16" i="6"/>
  <c r="DU15" i="6"/>
  <c r="DU14" i="6"/>
  <c r="DU12" i="6"/>
  <c r="DU11" i="6"/>
  <c r="DU10" i="6"/>
  <c r="DU9" i="6"/>
  <c r="DU7" i="6"/>
  <c r="DU4" i="6"/>
  <c r="CS247" i="6"/>
  <c r="CS246" i="6"/>
  <c r="CS245" i="6"/>
  <c r="CS244" i="6"/>
  <c r="CS243" i="6"/>
  <c r="CS242" i="6"/>
  <c r="CS239" i="6"/>
  <c r="CS238" i="6"/>
  <c r="CS237" i="6"/>
  <c r="CS229" i="6"/>
  <c r="CS228" i="6"/>
  <c r="CS226" i="6"/>
  <c r="CS225" i="6"/>
  <c r="CS224" i="6"/>
  <c r="CS222" i="6"/>
  <c r="CS221" i="6"/>
  <c r="CS220" i="6"/>
  <c r="CS217" i="6"/>
  <c r="CS216" i="6"/>
  <c r="CS215" i="6"/>
  <c r="CS213" i="6"/>
  <c r="CS212" i="6"/>
  <c r="CS211" i="6"/>
  <c r="CS210" i="6"/>
  <c r="CS208" i="6"/>
  <c r="CS207" i="6"/>
  <c r="CS206" i="6"/>
  <c r="CS204" i="6"/>
  <c r="CS203" i="6"/>
  <c r="CS202" i="6"/>
  <c r="CS201" i="6"/>
  <c r="CS200" i="6"/>
  <c r="CS199" i="6"/>
  <c r="CS198" i="6"/>
  <c r="CS197" i="6"/>
  <c r="CS196" i="6"/>
  <c r="CS195" i="6"/>
  <c r="CS194" i="6"/>
  <c r="CS192" i="6"/>
  <c r="CS191" i="6"/>
  <c r="CS190" i="6"/>
  <c r="CS189" i="6"/>
  <c r="CS188" i="6"/>
  <c r="CS186" i="6"/>
  <c r="CS185" i="6"/>
  <c r="CS184" i="6"/>
  <c r="CS183" i="6"/>
  <c r="CS181" i="6"/>
  <c r="CS180" i="6"/>
  <c r="CS179" i="6"/>
  <c r="CS177" i="6"/>
  <c r="CS176" i="6"/>
  <c r="CS175" i="6"/>
  <c r="CS174" i="6"/>
  <c r="CS173" i="6"/>
  <c r="CS171" i="6"/>
  <c r="CS170" i="6"/>
  <c r="CS169" i="6"/>
  <c r="CS168" i="6"/>
  <c r="CS167" i="6"/>
  <c r="CS166" i="6"/>
  <c r="CS165" i="6"/>
  <c r="CS162" i="6"/>
  <c r="CS161" i="6"/>
  <c r="CS160" i="6"/>
  <c r="CS159" i="6"/>
  <c r="CS158" i="6"/>
  <c r="CS154" i="6"/>
  <c r="CS153" i="6"/>
  <c r="CS152" i="6"/>
  <c r="CS151" i="6"/>
  <c r="CS149" i="6"/>
  <c r="CS148" i="6"/>
  <c r="CS147" i="6"/>
  <c r="CS145" i="6"/>
  <c r="CS144" i="6"/>
  <c r="CS143" i="6"/>
  <c r="CS142" i="6"/>
  <c r="CS141" i="6"/>
  <c r="CS140" i="6"/>
  <c r="CS139" i="6"/>
  <c r="CS137" i="6"/>
  <c r="CS136" i="6"/>
  <c r="CS135" i="6"/>
  <c r="CS134" i="6"/>
  <c r="CS132" i="6"/>
  <c r="CS131" i="6"/>
  <c r="CS130" i="6"/>
  <c r="CS128" i="6"/>
  <c r="CS127" i="6"/>
  <c r="CS126" i="6"/>
  <c r="CS125" i="6"/>
  <c r="CS124" i="6"/>
  <c r="CS123" i="6"/>
  <c r="CS122" i="6"/>
  <c r="CS121" i="6"/>
  <c r="CS120" i="6"/>
  <c r="CS119" i="6"/>
  <c r="CS118" i="6"/>
  <c r="CS117" i="6"/>
  <c r="CS113" i="6"/>
  <c r="CS112" i="6"/>
  <c r="CS111" i="6"/>
  <c r="CS110" i="6"/>
  <c r="CS109" i="6"/>
  <c r="CS108" i="6"/>
  <c r="CS107" i="6"/>
  <c r="CS106" i="6"/>
  <c r="CS105" i="6"/>
  <c r="CS102" i="6"/>
  <c r="CS101" i="6"/>
  <c r="CS100" i="6"/>
  <c r="CS99" i="6"/>
  <c r="CS98" i="6"/>
  <c r="CS97" i="6"/>
  <c r="CS96" i="6"/>
  <c r="CS95" i="6"/>
  <c r="CS94" i="6"/>
  <c r="CS93" i="6"/>
  <c r="CS92" i="6"/>
  <c r="CS91" i="6"/>
  <c r="CS89" i="6"/>
  <c r="CS88" i="6"/>
  <c r="CS86" i="6"/>
  <c r="CS85" i="6"/>
  <c r="CS84" i="6"/>
  <c r="CS83" i="6"/>
  <c r="CS82" i="6"/>
  <c r="CS81" i="6"/>
  <c r="CS80" i="6"/>
  <c r="CS79" i="6"/>
  <c r="CS78" i="6"/>
  <c r="CS77" i="6"/>
  <c r="CS69" i="6"/>
  <c r="CS68" i="6"/>
  <c r="CS67" i="6"/>
  <c r="CS66" i="6"/>
  <c r="CS65" i="6"/>
  <c r="CS64" i="6"/>
  <c r="CS63" i="6"/>
  <c r="CS62" i="6"/>
  <c r="CS61" i="6"/>
  <c r="CS56" i="6"/>
  <c r="CS55" i="6"/>
  <c r="CS53" i="6"/>
  <c r="CS52" i="6"/>
  <c r="CS51" i="6"/>
  <c r="CS50" i="6"/>
  <c r="CS46" i="6"/>
  <c r="CS45" i="6"/>
  <c r="CS44" i="6"/>
  <c r="CS42" i="6"/>
  <c r="CS41" i="6"/>
  <c r="CS40" i="6"/>
  <c r="CS39" i="6"/>
  <c r="CS37" i="6"/>
  <c r="CS36" i="6"/>
  <c r="CS35" i="6"/>
  <c r="CS34" i="6"/>
  <c r="CS33" i="6"/>
  <c r="CS32" i="6"/>
  <c r="CS31" i="6"/>
  <c r="CS30" i="6"/>
  <c r="CS26" i="6"/>
  <c r="CS25" i="6"/>
  <c r="CS24" i="6"/>
  <c r="CS23" i="6"/>
  <c r="CS21" i="6"/>
  <c r="CS20" i="6"/>
  <c r="CS19" i="6"/>
  <c r="CS18" i="6"/>
  <c r="CS16" i="6"/>
  <c r="CS15" i="6"/>
  <c r="CS14" i="6"/>
  <c r="CS12" i="6"/>
  <c r="CS11" i="6"/>
  <c r="CS10" i="6"/>
  <c r="CS9" i="6"/>
  <c r="CS7" i="6"/>
  <c r="CS4" i="6"/>
  <c r="CE217" i="6"/>
  <c r="CE89" i="6"/>
  <c r="CE69" i="6"/>
  <c r="CE65" i="6"/>
  <c r="CE53" i="6"/>
  <c r="CE52" i="6"/>
  <c r="CE51" i="6"/>
  <c r="CE50" i="6"/>
  <c r="CE37" i="6"/>
  <c r="CE36" i="6"/>
  <c r="CE35" i="6"/>
  <c r="CE26" i="6"/>
  <c r="CE25" i="6"/>
  <c r="CE24" i="6"/>
  <c r="CE23" i="6"/>
  <c r="CE21" i="6"/>
  <c r="CE20" i="6"/>
  <c r="CE19" i="6"/>
  <c r="CE18" i="6"/>
  <c r="CE16" i="6"/>
  <c r="CE15" i="6"/>
  <c r="CE14" i="6"/>
  <c r="CE12" i="6"/>
  <c r="CE11" i="6"/>
  <c r="CE10" i="6"/>
  <c r="CE9" i="6"/>
  <c r="CE7" i="6"/>
  <c r="CE4" i="6"/>
  <c r="BC247" i="6"/>
  <c r="BC246" i="6"/>
  <c r="BC245" i="6"/>
  <c r="BC244" i="6"/>
  <c r="BC243" i="6"/>
  <c r="BC242" i="6"/>
  <c r="BC239" i="6"/>
  <c r="BC238" i="6"/>
  <c r="BC237" i="6"/>
  <c r="BC229" i="6"/>
  <c r="BC228" i="6"/>
  <c r="BC226" i="6"/>
  <c r="BC225" i="6"/>
  <c r="BC224" i="6"/>
  <c r="BC222" i="6"/>
  <c r="BC221" i="6"/>
  <c r="BC220" i="6"/>
  <c r="BC217" i="6"/>
  <c r="BC216" i="6"/>
  <c r="BC215" i="6"/>
  <c r="BC213" i="6"/>
  <c r="BC212" i="6"/>
  <c r="BC211" i="6"/>
  <c r="BC210" i="6"/>
  <c r="M210" i="6" s="1"/>
  <c r="BC208" i="6"/>
  <c r="BC207" i="6"/>
  <c r="BC206" i="6"/>
  <c r="BC204" i="6"/>
  <c r="BC203" i="6"/>
  <c r="BC202" i="6"/>
  <c r="BC201" i="6"/>
  <c r="BC200" i="6"/>
  <c r="BC199" i="6"/>
  <c r="BC198" i="6"/>
  <c r="BC197" i="6"/>
  <c r="BC196" i="6"/>
  <c r="M196" i="6" s="1"/>
  <c r="BC195" i="6"/>
  <c r="M195" i="6" s="1"/>
  <c r="BC194" i="6"/>
  <c r="BC192" i="6"/>
  <c r="BC191" i="6"/>
  <c r="BC190" i="6"/>
  <c r="BC189" i="6"/>
  <c r="BC188" i="6"/>
  <c r="BC186" i="6"/>
  <c r="BC185" i="6"/>
  <c r="BC184" i="6"/>
  <c r="BC183" i="6"/>
  <c r="BC181" i="6"/>
  <c r="M181" i="6" s="1"/>
  <c r="BC180" i="6"/>
  <c r="M180" i="6" s="1"/>
  <c r="BC179" i="6"/>
  <c r="BC177" i="6"/>
  <c r="BC176" i="6"/>
  <c r="BC175" i="6"/>
  <c r="BC174" i="6"/>
  <c r="BC173" i="6"/>
  <c r="BC171" i="6"/>
  <c r="BC170" i="6"/>
  <c r="BC169" i="6"/>
  <c r="BC168" i="6"/>
  <c r="BC167" i="6"/>
  <c r="BC166" i="6"/>
  <c r="BC165" i="6"/>
  <c r="BC162" i="6"/>
  <c r="BC161" i="6"/>
  <c r="BC160" i="6"/>
  <c r="BC159" i="6"/>
  <c r="BC158" i="6"/>
  <c r="BC154" i="6"/>
  <c r="BC153" i="6"/>
  <c r="BC152" i="6"/>
  <c r="BC151" i="6"/>
  <c r="BC149" i="6"/>
  <c r="BC148" i="6"/>
  <c r="BC147" i="6"/>
  <c r="BC145" i="6"/>
  <c r="BC144" i="6"/>
  <c r="BC143" i="6"/>
  <c r="BC142" i="6"/>
  <c r="BC141" i="6"/>
  <c r="BC140" i="6"/>
  <c r="BC139" i="6"/>
  <c r="BC137" i="6"/>
  <c r="BC136" i="6"/>
  <c r="BC135" i="6"/>
  <c r="BC134" i="6"/>
  <c r="BC132" i="6"/>
  <c r="BC131" i="6"/>
  <c r="BC130" i="6"/>
  <c r="BC128" i="6"/>
  <c r="BC127" i="6"/>
  <c r="BC126" i="6"/>
  <c r="BC125" i="6"/>
  <c r="BC124" i="6"/>
  <c r="BC123" i="6"/>
  <c r="BC122" i="6"/>
  <c r="BC121" i="6"/>
  <c r="BC120" i="6"/>
  <c r="BC119" i="6"/>
  <c r="BC118" i="6"/>
  <c r="BC117" i="6"/>
  <c r="BC113" i="6"/>
  <c r="BC112" i="6"/>
  <c r="BC111" i="6"/>
  <c r="BC110" i="6"/>
  <c r="BC109" i="6"/>
  <c r="BC108" i="6"/>
  <c r="BC107" i="6"/>
  <c r="BC106" i="6"/>
  <c r="BC105" i="6"/>
  <c r="BC102" i="6"/>
  <c r="BC101" i="6"/>
  <c r="BC100" i="6"/>
  <c r="BC99" i="6"/>
  <c r="BC98" i="6"/>
  <c r="BC97" i="6"/>
  <c r="BC96" i="6"/>
  <c r="BC95" i="6"/>
  <c r="BC94" i="6"/>
  <c r="BC93" i="6"/>
  <c r="BC92" i="6"/>
  <c r="BC91" i="6"/>
  <c r="BC89" i="6"/>
  <c r="BC88" i="6"/>
  <c r="BC86" i="6"/>
  <c r="BC85" i="6"/>
  <c r="BC84" i="6"/>
  <c r="BC83" i="6"/>
  <c r="BC82" i="6"/>
  <c r="BC81" i="6"/>
  <c r="BC80" i="6"/>
  <c r="BC79" i="6"/>
  <c r="BC78" i="6"/>
  <c r="BC77" i="6"/>
  <c r="BC69" i="6"/>
  <c r="BC68" i="6"/>
  <c r="BC67" i="6"/>
  <c r="BC66" i="6"/>
  <c r="BC65" i="6"/>
  <c r="BC64" i="6"/>
  <c r="BC63" i="6"/>
  <c r="BC62" i="6"/>
  <c r="BC61" i="6"/>
  <c r="BC56" i="6"/>
  <c r="BC55" i="6"/>
  <c r="BC53" i="6"/>
  <c r="BC52" i="6"/>
  <c r="BC51" i="6"/>
  <c r="BC50" i="6"/>
  <c r="BC46" i="6"/>
  <c r="BC45" i="6"/>
  <c r="BC44" i="6"/>
  <c r="BC42" i="6"/>
  <c r="BC41" i="6"/>
  <c r="BC40" i="6"/>
  <c r="BC39" i="6"/>
  <c r="BC37" i="6"/>
  <c r="BC36" i="6"/>
  <c r="BC35" i="6"/>
  <c r="BC34" i="6"/>
  <c r="BC33" i="6"/>
  <c r="BC32" i="6"/>
  <c r="BC31" i="6"/>
  <c r="BC30" i="6"/>
  <c r="BC26" i="6"/>
  <c r="BC25" i="6"/>
  <c r="BC24" i="6"/>
  <c r="BC23" i="6"/>
  <c r="BC21" i="6"/>
  <c r="BC20" i="6"/>
  <c r="BC19" i="6"/>
  <c r="BC18" i="6"/>
  <c r="BC16" i="6"/>
  <c r="BC15" i="6"/>
  <c r="BC14" i="6"/>
  <c r="BC12" i="6"/>
  <c r="BC11" i="6"/>
  <c r="BC10" i="6"/>
  <c r="BC9" i="6"/>
  <c r="BC7" i="6"/>
  <c r="BC4" i="6"/>
  <c r="DT239" i="5"/>
  <c r="EA14" i="24" s="1"/>
  <c r="DS239" i="5"/>
  <c r="EA15" i="24" s="1"/>
  <c r="DR239" i="5"/>
  <c r="EA16" i="24" s="1"/>
  <c r="DQ239" i="5"/>
  <c r="EA17" i="24" s="1"/>
  <c r="DP239" i="5"/>
  <c r="EA18" i="24" s="1"/>
  <c r="DO239" i="5"/>
  <c r="EA19" i="24" s="1"/>
  <c r="DN239" i="5"/>
  <c r="EA20" i="24" s="1"/>
  <c r="DM239" i="5"/>
  <c r="EA21" i="24" s="1"/>
  <c r="DL239" i="5"/>
  <c r="EA22" i="24" s="1"/>
  <c r="DK239" i="5"/>
  <c r="EA23" i="24" s="1"/>
  <c r="DJ239" i="5"/>
  <c r="EA24" i="24" s="1"/>
  <c r="DI239" i="5"/>
  <c r="DT238" i="5"/>
  <c r="DZ14" i="24" s="1"/>
  <c r="DS238" i="5"/>
  <c r="DZ15" i="24" s="1"/>
  <c r="DR238" i="5"/>
  <c r="DZ16" i="24" s="1"/>
  <c r="DQ238" i="5"/>
  <c r="DZ17" i="24" s="1"/>
  <c r="DP238" i="5"/>
  <c r="DZ18" i="24" s="1"/>
  <c r="DO238" i="5"/>
  <c r="DZ19" i="24" s="1"/>
  <c r="DN238" i="5"/>
  <c r="DZ20" i="24" s="1"/>
  <c r="DM238" i="5"/>
  <c r="DZ21" i="24" s="1"/>
  <c r="DL238" i="5"/>
  <c r="DZ22" i="24" s="1"/>
  <c r="DK238" i="5"/>
  <c r="DZ23" i="24" s="1"/>
  <c r="DJ238" i="5"/>
  <c r="DZ24" i="24" s="1"/>
  <c r="DI238" i="5"/>
  <c r="DT237" i="5"/>
  <c r="DY14" i="24" s="1"/>
  <c r="DS237" i="5"/>
  <c r="DY15" i="24" s="1"/>
  <c r="DR237" i="5"/>
  <c r="DY16" i="24" s="1"/>
  <c r="DQ237" i="5"/>
  <c r="DY17" i="24" s="1"/>
  <c r="DP237" i="5"/>
  <c r="DY18" i="24" s="1"/>
  <c r="DO237" i="5"/>
  <c r="DY19" i="24" s="1"/>
  <c r="DN237" i="5"/>
  <c r="DY20" i="24" s="1"/>
  <c r="DM237" i="5"/>
  <c r="DY21" i="24" s="1"/>
  <c r="DL237" i="5"/>
  <c r="DY22" i="24" s="1"/>
  <c r="DK237" i="5"/>
  <c r="DY23" i="24" s="1"/>
  <c r="DJ237" i="5"/>
  <c r="DY24" i="24" s="1"/>
  <c r="DI237" i="5"/>
  <c r="DY25" i="24" s="1"/>
  <c r="DU221" i="5"/>
  <c r="DU220" i="5"/>
  <c r="DU68" i="5"/>
  <c r="DU66" i="5"/>
  <c r="DT12" i="5"/>
  <c r="DS12" i="5"/>
  <c r="DR12" i="5"/>
  <c r="DQ12" i="5"/>
  <c r="DP12" i="5"/>
  <c r="DO12" i="5"/>
  <c r="DN12" i="5"/>
  <c r="DM12" i="5"/>
  <c r="DL12" i="5"/>
  <c r="DK12" i="5"/>
  <c r="DJ12" i="5"/>
  <c r="DI12" i="5"/>
  <c r="DT11" i="5"/>
  <c r="DS11" i="5"/>
  <c r="DR11" i="5"/>
  <c r="DQ11" i="5"/>
  <c r="DP11" i="5"/>
  <c r="DO11" i="5"/>
  <c r="DN11" i="5"/>
  <c r="DM11" i="5"/>
  <c r="DL11" i="5"/>
  <c r="DK11" i="5"/>
  <c r="DJ11" i="5"/>
  <c r="DI11" i="5"/>
  <c r="DT10" i="5"/>
  <c r="DS10" i="5"/>
  <c r="DR10" i="5"/>
  <c r="DQ10" i="5"/>
  <c r="DP10" i="5"/>
  <c r="DO10" i="5"/>
  <c r="DN10" i="5"/>
  <c r="DM10" i="5"/>
  <c r="DL10" i="5"/>
  <c r="DK10" i="5"/>
  <c r="DJ10" i="5"/>
  <c r="DI10" i="5"/>
  <c r="DT9" i="5"/>
  <c r="DS9" i="5"/>
  <c r="DR9" i="5"/>
  <c r="DQ9" i="5"/>
  <c r="DP9" i="5"/>
  <c r="DO9" i="5"/>
  <c r="DN9" i="5"/>
  <c r="DM9" i="5"/>
  <c r="DL9" i="5"/>
  <c r="DK9" i="5"/>
  <c r="DJ9" i="5"/>
  <c r="DI9" i="5"/>
  <c r="DU248" i="5"/>
  <c r="DU240" i="5"/>
  <c r="DU217" i="5"/>
  <c r="DU171" i="5"/>
  <c r="DU69" i="5"/>
  <c r="DU65" i="5"/>
  <c r="DU56" i="5"/>
  <c r="DU55" i="5"/>
  <c r="DU53" i="5"/>
  <c r="DU52" i="5"/>
  <c r="DU51" i="5"/>
  <c r="DU50" i="5"/>
  <c r="DU46" i="5"/>
  <c r="DU45" i="5"/>
  <c r="DU44" i="5"/>
  <c r="DU42" i="5"/>
  <c r="DU41" i="5"/>
  <c r="DU40" i="5"/>
  <c r="DU39" i="5"/>
  <c r="DU36" i="5"/>
  <c r="DU35" i="5"/>
  <c r="DU34" i="5"/>
  <c r="DU33" i="5"/>
  <c r="DU32" i="5"/>
  <c r="DU31" i="5"/>
  <c r="DU26" i="5"/>
  <c r="DU25" i="5"/>
  <c r="DU24" i="5"/>
  <c r="DU21" i="5"/>
  <c r="DU20" i="5"/>
  <c r="DU19" i="5"/>
  <c r="DU18" i="5"/>
  <c r="DG248" i="5"/>
  <c r="DG240" i="5"/>
  <c r="DG217" i="5"/>
  <c r="CS88" i="5"/>
  <c r="CS87" i="5" s="1"/>
  <c r="CR157" i="5"/>
  <c r="BC128" i="5"/>
  <c r="CS128" i="5"/>
  <c r="CS248" i="5"/>
  <c r="CS247" i="5"/>
  <c r="CS246" i="5"/>
  <c r="CS245" i="5"/>
  <c r="CS244" i="5"/>
  <c r="CS243" i="5"/>
  <c r="CS242" i="5"/>
  <c r="CS240" i="5"/>
  <c r="CS239" i="5"/>
  <c r="CS238" i="5"/>
  <c r="CS237" i="5"/>
  <c r="CS229" i="5"/>
  <c r="CS228" i="5"/>
  <c r="CS226" i="5"/>
  <c r="CS225" i="5"/>
  <c r="CS224" i="5"/>
  <c r="CS222" i="5"/>
  <c r="CS221" i="5"/>
  <c r="CS220" i="5"/>
  <c r="CS217" i="5"/>
  <c r="CS216" i="5"/>
  <c r="CS215" i="5"/>
  <c r="CS213" i="5"/>
  <c r="CS212" i="5"/>
  <c r="CS211" i="5"/>
  <c r="CS210" i="5"/>
  <c r="CS208" i="5"/>
  <c r="CS207" i="5"/>
  <c r="CS206" i="5"/>
  <c r="CS204" i="5"/>
  <c r="CS203" i="5"/>
  <c r="CS202" i="5"/>
  <c r="CS201" i="5"/>
  <c r="CS200" i="5"/>
  <c r="CS199" i="5"/>
  <c r="CS198" i="5"/>
  <c r="CS197" i="5"/>
  <c r="CS196" i="5"/>
  <c r="CS195" i="5"/>
  <c r="CS194" i="5"/>
  <c r="CS192" i="5"/>
  <c r="CS191" i="5"/>
  <c r="CS190" i="5"/>
  <c r="CS189" i="5"/>
  <c r="CS188" i="5"/>
  <c r="CS186" i="5"/>
  <c r="CS185" i="5"/>
  <c r="CS184" i="5"/>
  <c r="CS183" i="5"/>
  <c r="CS181" i="5"/>
  <c r="CS180" i="5"/>
  <c r="CS179" i="5"/>
  <c r="CS177" i="5"/>
  <c r="CS176" i="5"/>
  <c r="CS175" i="5"/>
  <c r="CS174" i="5"/>
  <c r="CS173" i="5"/>
  <c r="CS171" i="5"/>
  <c r="CS170" i="5"/>
  <c r="CS169" i="5"/>
  <c r="CS168" i="5"/>
  <c r="CS167" i="5"/>
  <c r="CS166" i="5"/>
  <c r="CS165" i="5"/>
  <c r="CS162" i="5"/>
  <c r="CS161" i="5"/>
  <c r="CS160" i="5"/>
  <c r="CS159" i="5"/>
  <c r="CS158" i="5"/>
  <c r="CS154" i="5"/>
  <c r="CS153" i="5"/>
  <c r="CS152" i="5"/>
  <c r="CS151" i="5"/>
  <c r="CS149" i="5"/>
  <c r="CS148" i="5"/>
  <c r="CS147" i="5"/>
  <c r="CS145" i="5"/>
  <c r="CS144" i="5"/>
  <c r="CS143" i="5"/>
  <c r="CS142" i="5"/>
  <c r="CS141" i="5"/>
  <c r="CS140" i="5"/>
  <c r="CS139" i="5"/>
  <c r="CS137" i="5"/>
  <c r="CS136" i="5"/>
  <c r="CS135" i="5"/>
  <c r="CS134" i="5"/>
  <c r="CS132" i="5"/>
  <c r="CS131" i="5"/>
  <c r="CS130" i="5"/>
  <c r="CS127" i="5"/>
  <c r="CS126" i="5"/>
  <c r="CS125" i="5"/>
  <c r="CS124" i="5"/>
  <c r="CS123" i="5"/>
  <c r="CS122" i="5"/>
  <c r="CS121" i="5"/>
  <c r="CS120" i="5"/>
  <c r="CS119" i="5"/>
  <c r="CS118" i="5"/>
  <c r="CS117" i="5"/>
  <c r="CS113" i="5"/>
  <c r="CS112" i="5"/>
  <c r="CS111" i="5"/>
  <c r="CS110" i="5"/>
  <c r="CS109" i="5"/>
  <c r="CS108" i="5"/>
  <c r="CS107" i="5"/>
  <c r="CS106" i="5"/>
  <c r="CS105" i="5"/>
  <c r="CS102" i="5"/>
  <c r="CS101" i="5"/>
  <c r="CS100" i="5"/>
  <c r="CS99" i="5"/>
  <c r="CS98" i="5"/>
  <c r="CS97" i="5"/>
  <c r="CS96" i="5"/>
  <c r="CS95" i="5"/>
  <c r="CS94" i="5"/>
  <c r="CS93" i="5"/>
  <c r="CS92" i="5"/>
  <c r="CS91" i="5"/>
  <c r="CS86" i="5"/>
  <c r="CS85" i="5"/>
  <c r="CS84" i="5"/>
  <c r="CS83" i="5"/>
  <c r="CS82" i="5"/>
  <c r="CS81" i="5"/>
  <c r="CS80" i="5"/>
  <c r="CS79" i="5"/>
  <c r="CS78" i="5"/>
  <c r="CS77" i="5"/>
  <c r="CS69" i="5"/>
  <c r="CS68" i="5"/>
  <c r="CS67" i="5"/>
  <c r="CS66" i="5"/>
  <c r="CS65" i="5"/>
  <c r="CS64" i="5"/>
  <c r="CS63" i="5"/>
  <c r="CS62" i="5"/>
  <c r="CS61" i="5"/>
  <c r="CS56" i="5"/>
  <c r="CS55" i="5"/>
  <c r="CS53" i="5"/>
  <c r="CS52" i="5"/>
  <c r="CS51" i="5"/>
  <c r="CS50" i="5"/>
  <c r="CS46" i="5"/>
  <c r="CS45" i="5"/>
  <c r="CS44" i="5"/>
  <c r="CS42" i="5"/>
  <c r="CS41" i="5"/>
  <c r="CS40" i="5"/>
  <c r="CS39" i="5"/>
  <c r="CS36" i="5"/>
  <c r="CS35" i="5"/>
  <c r="CS34" i="5"/>
  <c r="CS33" i="5"/>
  <c r="CS32" i="5"/>
  <c r="CS31" i="5"/>
  <c r="CS26" i="5"/>
  <c r="CS25" i="5"/>
  <c r="CS24" i="5"/>
  <c r="CS21" i="5"/>
  <c r="CS20" i="5"/>
  <c r="CS19" i="5"/>
  <c r="CS18" i="5"/>
  <c r="CS16" i="5"/>
  <c r="CS15" i="5"/>
  <c r="CS14" i="5"/>
  <c r="CS12" i="5"/>
  <c r="CS11" i="5"/>
  <c r="CS10" i="5"/>
  <c r="CS9" i="5"/>
  <c r="CS7" i="5"/>
  <c r="CS4" i="5"/>
  <c r="CE217" i="5"/>
  <c r="CE221" i="5"/>
  <c r="BS12" i="5" a="1"/>
  <c r="BS12" i="5" s="1"/>
  <c r="CE12" i="5" s="1"/>
  <c r="BS11" i="5" a="1"/>
  <c r="BS11" i="5" s="1"/>
  <c r="CE11" i="5" s="1"/>
  <c r="BS10" i="5" a="1"/>
  <c r="BS10" i="5" s="1"/>
  <c r="CE10" i="5" s="1"/>
  <c r="BS9" i="5" a="1"/>
  <c r="BS9" i="5" s="1"/>
  <c r="CE9" i="5" s="1"/>
  <c r="CE66" i="5"/>
  <c r="CE65" i="5"/>
  <c r="BD249" i="6"/>
  <c r="BD249" i="4"/>
  <c r="CE69" i="5"/>
  <c r="CE68" i="5"/>
  <c r="BS239" i="5" a="1"/>
  <c r="BS238" i="5" a="1"/>
  <c r="BS237" i="5" a="1"/>
  <c r="CR241" i="7"/>
  <c r="EB230" i="23" s="1"/>
  <c r="CQ241" i="7"/>
  <c r="EB231" i="23" s="1"/>
  <c r="CP241" i="7"/>
  <c r="EB232" i="23" s="1"/>
  <c r="CO241" i="7"/>
  <c r="EB233" i="23" s="1"/>
  <c r="CN241" i="7"/>
  <c r="EB234" i="23" s="1"/>
  <c r="CM241" i="7"/>
  <c r="EB235" i="23" s="1"/>
  <c r="CL241" i="7"/>
  <c r="EB236" i="23" s="1"/>
  <c r="CK241" i="7"/>
  <c r="EB237" i="23" s="1"/>
  <c r="CJ241" i="7"/>
  <c r="EB238" i="23" s="1"/>
  <c r="CI241" i="7"/>
  <c r="EB239" i="23" s="1"/>
  <c r="CH241" i="7"/>
  <c r="EB240" i="23" s="1"/>
  <c r="CG241" i="7"/>
  <c r="EB241" i="23" s="1"/>
  <c r="CR236" i="7"/>
  <c r="CQ236" i="7"/>
  <c r="CP236" i="7"/>
  <c r="CO236" i="7"/>
  <c r="CN236" i="7"/>
  <c r="CM236" i="7"/>
  <c r="CL236" i="7"/>
  <c r="CK236" i="7"/>
  <c r="CJ236" i="7"/>
  <c r="CI236" i="7"/>
  <c r="CH236" i="7"/>
  <c r="CG236" i="7"/>
  <c r="CR227" i="7"/>
  <c r="CQ227" i="7"/>
  <c r="CP227" i="7"/>
  <c r="CO227" i="7"/>
  <c r="CN227" i="7"/>
  <c r="CM227" i="7"/>
  <c r="CL227" i="7"/>
  <c r="CK227" i="7"/>
  <c r="CJ227" i="7"/>
  <c r="CI227" i="7"/>
  <c r="CH227" i="7"/>
  <c r="CG227" i="7"/>
  <c r="CR223" i="7"/>
  <c r="CQ223" i="7"/>
  <c r="CP223" i="7"/>
  <c r="CO223" i="7"/>
  <c r="CN223" i="7"/>
  <c r="CM223" i="7"/>
  <c r="CL223" i="7"/>
  <c r="CK223" i="7"/>
  <c r="CJ223" i="7"/>
  <c r="CI223" i="7"/>
  <c r="CH223" i="7"/>
  <c r="CG223" i="7"/>
  <c r="CQ219" i="7"/>
  <c r="CP219" i="7"/>
  <c r="CO219" i="7"/>
  <c r="CN219" i="7"/>
  <c r="CM219" i="7"/>
  <c r="CL219" i="7"/>
  <c r="CK219" i="7"/>
  <c r="CJ219" i="7"/>
  <c r="CI219" i="7"/>
  <c r="CH219" i="7"/>
  <c r="CG219" i="7"/>
  <c r="CR214" i="7"/>
  <c r="CQ214" i="7"/>
  <c r="CP214" i="7"/>
  <c r="CO214" i="7"/>
  <c r="CN214" i="7"/>
  <c r="CM214" i="7"/>
  <c r="CL214" i="7"/>
  <c r="CK214" i="7"/>
  <c r="CJ214" i="7"/>
  <c r="CI214" i="7"/>
  <c r="CH214" i="7"/>
  <c r="CG214" i="7"/>
  <c r="CR209" i="7"/>
  <c r="CQ209" i="7"/>
  <c r="CP209" i="7"/>
  <c r="CO209" i="7"/>
  <c r="CN209" i="7"/>
  <c r="CM209" i="7"/>
  <c r="CL209" i="7"/>
  <c r="CK209" i="7"/>
  <c r="CJ209" i="7"/>
  <c r="CI209" i="7"/>
  <c r="CH209" i="7"/>
  <c r="CG209" i="7"/>
  <c r="CR205" i="7"/>
  <c r="CQ205" i="7"/>
  <c r="CP205" i="7"/>
  <c r="CO205" i="7"/>
  <c r="CN205" i="7"/>
  <c r="CM205" i="7"/>
  <c r="CL205" i="7"/>
  <c r="CK205" i="7"/>
  <c r="CJ205" i="7"/>
  <c r="CI205" i="7"/>
  <c r="CH205" i="7"/>
  <c r="CG205" i="7"/>
  <c r="CR193" i="7"/>
  <c r="CQ193" i="7"/>
  <c r="CP193" i="7"/>
  <c r="CO193" i="7"/>
  <c r="CN193" i="7"/>
  <c r="CM193" i="7"/>
  <c r="CL193" i="7"/>
  <c r="CK193" i="7"/>
  <c r="CJ193" i="7"/>
  <c r="CI193" i="7"/>
  <c r="CH193" i="7"/>
  <c r="CG193" i="7"/>
  <c r="CR187" i="7"/>
  <c r="CQ187" i="7"/>
  <c r="CP187" i="7"/>
  <c r="CO187" i="7"/>
  <c r="CN187" i="7"/>
  <c r="CM187" i="7"/>
  <c r="CL187" i="7"/>
  <c r="CK187" i="7"/>
  <c r="CJ187" i="7"/>
  <c r="CI187" i="7"/>
  <c r="CH187" i="7"/>
  <c r="CG187" i="7"/>
  <c r="CR182" i="7"/>
  <c r="CQ182" i="7"/>
  <c r="CP182" i="7"/>
  <c r="CO182" i="7"/>
  <c r="CN182" i="7"/>
  <c r="CM182" i="7"/>
  <c r="CL182" i="7"/>
  <c r="CK182" i="7"/>
  <c r="CJ182" i="7"/>
  <c r="CI182" i="7"/>
  <c r="CH182" i="7"/>
  <c r="CG182" i="7"/>
  <c r="CR178" i="7"/>
  <c r="CQ178" i="7"/>
  <c r="CP178" i="7"/>
  <c r="CO178" i="7"/>
  <c r="CN178" i="7"/>
  <c r="CM178" i="7"/>
  <c r="CL178" i="7"/>
  <c r="CK178" i="7"/>
  <c r="CJ178" i="7"/>
  <c r="CI178" i="7"/>
  <c r="CH178" i="7"/>
  <c r="CG178" i="7"/>
  <c r="CR172" i="7"/>
  <c r="CQ172" i="7"/>
  <c r="CP172" i="7"/>
  <c r="CO172" i="7"/>
  <c r="CN172" i="7"/>
  <c r="CM172" i="7"/>
  <c r="CL172" i="7"/>
  <c r="CK172" i="7"/>
  <c r="CJ172" i="7"/>
  <c r="CI172" i="7"/>
  <c r="CH172" i="7"/>
  <c r="CG172" i="7"/>
  <c r="CR164" i="7"/>
  <c r="CQ164" i="7"/>
  <c r="CP164" i="7"/>
  <c r="CO164" i="7"/>
  <c r="CN164" i="7"/>
  <c r="CM164" i="7"/>
  <c r="CL164" i="7"/>
  <c r="CK164" i="7"/>
  <c r="CJ164" i="7"/>
  <c r="CI164" i="7"/>
  <c r="CH164" i="7"/>
  <c r="CG164" i="7"/>
  <c r="CR157" i="7"/>
  <c r="CQ157" i="7"/>
  <c r="CP157" i="7"/>
  <c r="CO157" i="7"/>
  <c r="CN157" i="7"/>
  <c r="CM157" i="7"/>
  <c r="CL157" i="7"/>
  <c r="CK157" i="7"/>
  <c r="CJ157" i="7"/>
  <c r="CI157" i="7"/>
  <c r="CH157" i="7"/>
  <c r="CG157" i="7"/>
  <c r="CR150" i="7"/>
  <c r="CQ150" i="7"/>
  <c r="CP150" i="7"/>
  <c r="CO150" i="7"/>
  <c r="CN150" i="7"/>
  <c r="CM150" i="7"/>
  <c r="CL150" i="7"/>
  <c r="CK150" i="7"/>
  <c r="CJ150" i="7"/>
  <c r="CI150" i="7"/>
  <c r="CH150" i="7"/>
  <c r="CG150" i="7"/>
  <c r="CR146" i="7"/>
  <c r="CQ146" i="7"/>
  <c r="CP146" i="7"/>
  <c r="CO146" i="7"/>
  <c r="CN146" i="7"/>
  <c r="CM146" i="7"/>
  <c r="CL146" i="7"/>
  <c r="CK146" i="7"/>
  <c r="CJ146" i="7"/>
  <c r="CI146" i="7"/>
  <c r="CH146" i="7"/>
  <c r="CG146" i="7"/>
  <c r="CR138" i="7"/>
  <c r="CQ138" i="7"/>
  <c r="CP138" i="7"/>
  <c r="CO138" i="7"/>
  <c r="CN138" i="7"/>
  <c r="CM138" i="7"/>
  <c r="CL138" i="7"/>
  <c r="CK138" i="7"/>
  <c r="CJ138" i="7"/>
  <c r="CI138" i="7"/>
  <c r="CH138" i="7"/>
  <c r="CG138" i="7"/>
  <c r="CR133" i="7"/>
  <c r="CQ133" i="7"/>
  <c r="CP133" i="7"/>
  <c r="CO133" i="7"/>
  <c r="CN133" i="7"/>
  <c r="CM133" i="7"/>
  <c r="CL133" i="7"/>
  <c r="CK133" i="7"/>
  <c r="CJ133" i="7"/>
  <c r="CI133" i="7"/>
  <c r="CH133" i="7"/>
  <c r="CG133" i="7"/>
  <c r="CR129" i="7"/>
  <c r="CQ129" i="7"/>
  <c r="CP129" i="7"/>
  <c r="CO129" i="7"/>
  <c r="CN129" i="7"/>
  <c r="CM129" i="7"/>
  <c r="CL129" i="7"/>
  <c r="CK129" i="7"/>
  <c r="CJ129" i="7"/>
  <c r="CI129" i="7"/>
  <c r="CH129" i="7"/>
  <c r="CG129" i="7"/>
  <c r="CR116" i="7"/>
  <c r="CQ116" i="7"/>
  <c r="CP116" i="7"/>
  <c r="CO116" i="7"/>
  <c r="CN116" i="7"/>
  <c r="CM116" i="7"/>
  <c r="CL116" i="7"/>
  <c r="CK116" i="7"/>
  <c r="CJ116" i="7"/>
  <c r="CI116" i="7"/>
  <c r="CH116" i="7"/>
  <c r="CG116" i="7"/>
  <c r="CR104" i="7"/>
  <c r="CQ104" i="7"/>
  <c r="CP104" i="7"/>
  <c r="CO104" i="7"/>
  <c r="CN104" i="7"/>
  <c r="CM104" i="7"/>
  <c r="CL104" i="7"/>
  <c r="CK104" i="7"/>
  <c r="CJ104" i="7"/>
  <c r="CI104" i="7"/>
  <c r="CH104" i="7"/>
  <c r="CG104" i="7"/>
  <c r="CR90" i="7"/>
  <c r="CQ90" i="7"/>
  <c r="CP90" i="7"/>
  <c r="CO90" i="7"/>
  <c r="CN90" i="7"/>
  <c r="CM90" i="7"/>
  <c r="CL90" i="7"/>
  <c r="CK90" i="7"/>
  <c r="CJ90" i="7"/>
  <c r="CI90" i="7"/>
  <c r="CH90" i="7"/>
  <c r="CG90" i="7"/>
  <c r="CR87" i="7"/>
  <c r="CQ87" i="7"/>
  <c r="CP87" i="7"/>
  <c r="CO87" i="7"/>
  <c r="CN87" i="7"/>
  <c r="CM87" i="7"/>
  <c r="CL87" i="7"/>
  <c r="CK87" i="7"/>
  <c r="CJ87" i="7"/>
  <c r="CI87" i="7"/>
  <c r="CH87" i="7"/>
  <c r="CG87" i="7"/>
  <c r="CR76" i="7"/>
  <c r="CQ76" i="7"/>
  <c r="CP76" i="7"/>
  <c r="CO76" i="7"/>
  <c r="CN76" i="7"/>
  <c r="CM76" i="7"/>
  <c r="CL76" i="7"/>
  <c r="CK76" i="7"/>
  <c r="CJ76" i="7"/>
  <c r="CI76" i="7"/>
  <c r="CH76" i="7"/>
  <c r="CG76" i="7"/>
  <c r="CR60" i="7"/>
  <c r="CQ60" i="7"/>
  <c r="CP60" i="7"/>
  <c r="CO60" i="7"/>
  <c r="CN60" i="7"/>
  <c r="CM60" i="7"/>
  <c r="CL60" i="7"/>
  <c r="CK60" i="7"/>
  <c r="CJ60" i="7"/>
  <c r="CI60" i="7"/>
  <c r="CH60" i="7"/>
  <c r="CG60" i="7"/>
  <c r="CR57" i="7"/>
  <c r="CQ57" i="7"/>
  <c r="CP57" i="7"/>
  <c r="CO57" i="7"/>
  <c r="CN57" i="7"/>
  <c r="CM57" i="7"/>
  <c r="CL57" i="7"/>
  <c r="CK57" i="7"/>
  <c r="CJ57" i="7"/>
  <c r="CI57" i="7"/>
  <c r="CH57" i="7"/>
  <c r="CG57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R38" i="7"/>
  <c r="F230" i="23" s="1"/>
  <c r="CQ38" i="7"/>
  <c r="F231" i="23" s="1"/>
  <c r="CP38" i="7"/>
  <c r="F232" i="23" s="1"/>
  <c r="CO38" i="7"/>
  <c r="F233" i="23" s="1"/>
  <c r="CN38" i="7"/>
  <c r="F234" i="23" s="1"/>
  <c r="CM38" i="7"/>
  <c r="F235" i="23" s="1"/>
  <c r="CL38" i="7"/>
  <c r="F236" i="23" s="1"/>
  <c r="CK38" i="7"/>
  <c r="CJ38" i="7"/>
  <c r="F238" i="23" s="1"/>
  <c r="CI38" i="7"/>
  <c r="F239" i="23" s="1"/>
  <c r="CH38" i="7"/>
  <c r="F240" i="23" s="1"/>
  <c r="CG38" i="7"/>
  <c r="F241" i="23" s="1"/>
  <c r="CR29" i="7"/>
  <c r="CQ29" i="7"/>
  <c r="CP29" i="7"/>
  <c r="CO29" i="7"/>
  <c r="CN29" i="7"/>
  <c r="CM29" i="7"/>
  <c r="CL29" i="7"/>
  <c r="CK29" i="7"/>
  <c r="CJ29" i="7"/>
  <c r="CI29" i="7"/>
  <c r="CH29" i="7"/>
  <c r="CG29" i="7"/>
  <c r="CR27" i="7"/>
  <c r="CQ27" i="7"/>
  <c r="CP27" i="7"/>
  <c r="CO27" i="7"/>
  <c r="CN27" i="7"/>
  <c r="CM27" i="7"/>
  <c r="CL27" i="7"/>
  <c r="CK27" i="7"/>
  <c r="CJ27" i="7"/>
  <c r="CI27" i="7"/>
  <c r="CH27" i="7"/>
  <c r="CG27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R8" i="7"/>
  <c r="CQ8" i="7"/>
  <c r="CP8" i="7"/>
  <c r="CO8" i="7"/>
  <c r="CN8" i="7"/>
  <c r="CM8" i="7"/>
  <c r="CL8" i="7"/>
  <c r="CK8" i="7"/>
  <c r="CJ8" i="7"/>
  <c r="CI8" i="7"/>
  <c r="CH8" i="7"/>
  <c r="CG8" i="7"/>
  <c r="AN30" i="5"/>
  <c r="AM30" i="5"/>
  <c r="AL30" i="5"/>
  <c r="AK30" i="5"/>
  <c r="AJ30" i="5"/>
  <c r="AI30" i="5"/>
  <c r="AH30" i="5"/>
  <c r="AG30" i="5"/>
  <c r="AF30" i="5"/>
  <c r="AE30" i="5"/>
  <c r="AD30" i="5"/>
  <c r="AC30" i="5"/>
  <c r="BC12" i="5"/>
  <c r="BC11" i="5"/>
  <c r="BC10" i="5"/>
  <c r="BC9" i="5"/>
  <c r="BC16" i="5"/>
  <c r="BC15" i="5"/>
  <c r="BC14" i="5"/>
  <c r="BC21" i="5"/>
  <c r="BC20" i="5"/>
  <c r="BC19" i="5"/>
  <c r="BC36" i="5"/>
  <c r="BC35" i="5"/>
  <c r="BC34" i="5"/>
  <c r="BC33" i="5"/>
  <c r="BC32" i="5"/>
  <c r="BC31" i="5"/>
  <c r="BC42" i="5"/>
  <c r="BC41" i="5"/>
  <c r="BC40" i="5"/>
  <c r="BC39" i="5"/>
  <c r="BC46" i="5"/>
  <c r="BC45" i="5"/>
  <c r="BC44" i="5"/>
  <c r="BC50" i="5"/>
  <c r="BC56" i="5"/>
  <c r="BC55" i="5"/>
  <c r="BC53" i="5"/>
  <c r="BC52" i="5"/>
  <c r="BC51" i="5"/>
  <c r="BC69" i="5"/>
  <c r="BC68" i="5"/>
  <c r="BC67" i="5"/>
  <c r="BC66" i="5"/>
  <c r="BC65" i="5"/>
  <c r="BC64" i="5"/>
  <c r="BC63" i="5"/>
  <c r="BC62" i="5"/>
  <c r="BC61" i="5"/>
  <c r="BC86" i="5"/>
  <c r="BC85" i="5"/>
  <c r="BC84" i="5"/>
  <c r="BC83" i="5"/>
  <c r="BC82" i="5"/>
  <c r="BC81" i="5"/>
  <c r="BC80" i="5"/>
  <c r="BC79" i="5"/>
  <c r="BC78" i="5"/>
  <c r="BC77" i="5"/>
  <c r="BC102" i="5"/>
  <c r="BC101" i="5"/>
  <c r="BC100" i="5"/>
  <c r="BC99" i="5"/>
  <c r="BC98" i="5"/>
  <c r="BC97" i="5"/>
  <c r="BC96" i="5"/>
  <c r="BC95" i="5"/>
  <c r="BC94" i="5"/>
  <c r="BC93" i="5"/>
  <c r="BC92" i="5"/>
  <c r="BC91" i="5"/>
  <c r="BC113" i="5"/>
  <c r="BC112" i="5"/>
  <c r="BC111" i="5"/>
  <c r="BC110" i="5"/>
  <c r="BC109" i="5"/>
  <c r="BC108" i="5"/>
  <c r="BC107" i="5"/>
  <c r="BC106" i="5"/>
  <c r="BC105" i="5"/>
  <c r="BC127" i="5"/>
  <c r="BC126" i="5"/>
  <c r="BC125" i="5"/>
  <c r="BC124" i="5"/>
  <c r="BC123" i="5"/>
  <c r="BC122" i="5"/>
  <c r="BC121" i="5"/>
  <c r="BC120" i="5"/>
  <c r="BC119" i="5"/>
  <c r="BC118" i="5"/>
  <c r="BC117" i="5"/>
  <c r="BC132" i="5"/>
  <c r="BC131" i="5"/>
  <c r="BC130" i="5"/>
  <c r="BC137" i="5"/>
  <c r="BC136" i="5"/>
  <c r="BC135" i="5"/>
  <c r="BC134" i="5"/>
  <c r="BC145" i="5"/>
  <c r="BC144" i="5"/>
  <c r="BC143" i="5"/>
  <c r="BC142" i="5"/>
  <c r="BC141" i="5"/>
  <c r="BC140" i="5"/>
  <c r="BC139" i="5"/>
  <c r="BC149" i="5"/>
  <c r="BC148" i="5"/>
  <c r="BC147" i="5"/>
  <c r="BC154" i="5"/>
  <c r="BC153" i="5"/>
  <c r="BC152" i="5"/>
  <c r="BC151" i="5"/>
  <c r="BC162" i="5"/>
  <c r="BC161" i="5"/>
  <c r="BC160" i="5"/>
  <c r="BC159" i="5"/>
  <c r="BC158" i="5"/>
  <c r="BC171" i="5"/>
  <c r="BC170" i="5"/>
  <c r="BC169" i="5"/>
  <c r="BC168" i="5"/>
  <c r="BC167" i="5"/>
  <c r="BC166" i="5"/>
  <c r="BC165" i="5"/>
  <c r="BC177" i="5"/>
  <c r="BC176" i="5"/>
  <c r="BC175" i="5"/>
  <c r="BC174" i="5"/>
  <c r="BC181" i="5"/>
  <c r="BC180" i="5"/>
  <c r="BC179" i="5"/>
  <c r="BC185" i="5"/>
  <c r="BC184" i="5"/>
  <c r="BC183" i="5"/>
  <c r="BC192" i="5"/>
  <c r="BC191" i="5"/>
  <c r="BC190" i="5"/>
  <c r="BC189" i="5"/>
  <c r="BC188" i="5"/>
  <c r="BC204" i="5"/>
  <c r="BC203" i="5"/>
  <c r="BC202" i="5"/>
  <c r="BC201" i="5"/>
  <c r="BC200" i="5"/>
  <c r="BC199" i="5"/>
  <c r="BC198" i="5"/>
  <c r="BC197" i="5"/>
  <c r="BC196" i="5"/>
  <c r="BC195" i="5"/>
  <c r="BC194" i="5"/>
  <c r="BC208" i="5"/>
  <c r="BC207" i="5"/>
  <c r="BC206" i="5"/>
  <c r="BC213" i="5"/>
  <c r="BC212" i="5"/>
  <c r="BC211" i="5"/>
  <c r="BC210" i="5"/>
  <c r="BC217" i="5"/>
  <c r="BC216" i="5"/>
  <c r="BC215" i="5"/>
  <c r="BC222" i="5"/>
  <c r="BC221" i="5"/>
  <c r="BC220" i="5"/>
  <c r="BC226" i="5"/>
  <c r="BC225" i="5"/>
  <c r="BC224" i="5"/>
  <c r="BC229" i="5"/>
  <c r="BC228" i="5"/>
  <c r="BC248" i="5"/>
  <c r="BC247" i="5"/>
  <c r="BC246" i="5"/>
  <c r="BC245" i="5"/>
  <c r="BC244" i="5"/>
  <c r="BC243" i="5"/>
  <c r="BC242" i="5"/>
  <c r="BC240" i="5"/>
  <c r="BC239" i="5"/>
  <c r="BC238" i="5"/>
  <c r="BC237" i="5"/>
  <c r="M183" i="6" l="1"/>
  <c r="M197" i="6"/>
  <c r="M211" i="6"/>
  <c r="M174" i="6"/>
  <c r="M189" i="6"/>
  <c r="M202" i="6"/>
  <c r="M184" i="6"/>
  <c r="M198" i="6"/>
  <c r="M212" i="6"/>
  <c r="M209" i="6" s="1"/>
  <c r="M185" i="6"/>
  <c r="M182" i="6" s="1"/>
  <c r="M199" i="6"/>
  <c r="M213" i="6"/>
  <c r="M186" i="6"/>
  <c r="M200" i="6"/>
  <c r="M173" i="6"/>
  <c r="M188" i="6"/>
  <c r="M201" i="6"/>
  <c r="M175" i="6"/>
  <c r="M190" i="6"/>
  <c r="M203" i="6"/>
  <c r="M176" i="6"/>
  <c r="M191" i="6"/>
  <c r="M204" i="6"/>
  <c r="M177" i="6"/>
  <c r="M192" i="6"/>
  <c r="M179" i="6"/>
  <c r="M178" i="6" s="1"/>
  <c r="M194" i="6"/>
  <c r="E237" i="23"/>
  <c r="D237" i="23" s="1"/>
  <c r="CM75" i="7"/>
  <c r="CM58" i="7"/>
  <c r="CR6" i="7"/>
  <c r="CH115" i="7"/>
  <c r="CH58" i="7"/>
  <c r="CH6" i="7"/>
  <c r="CI58" i="7"/>
  <c r="CN6" i="7"/>
  <c r="CJ58" i="7"/>
  <c r="CM6" i="7"/>
  <c r="CQ58" i="7"/>
  <c r="CQ75" i="7"/>
  <c r="CI6" i="7"/>
  <c r="CJ6" i="7"/>
  <c r="CP6" i="7"/>
  <c r="M214" i="8"/>
  <c r="EI87" i="7"/>
  <c r="CH75" i="7"/>
  <c r="BC54" i="7"/>
  <c r="CS54" i="7"/>
  <c r="CS87" i="7"/>
  <c r="FK54" i="7"/>
  <c r="CS54" i="5"/>
  <c r="CS209" i="5"/>
  <c r="CQ6" i="7"/>
  <c r="M87" i="8"/>
  <c r="BC87" i="6"/>
  <c r="M157" i="8"/>
  <c r="CE56" i="6"/>
  <c r="CL6" i="7"/>
  <c r="CS133" i="6"/>
  <c r="FK54" i="6"/>
  <c r="AO50" i="8"/>
  <c r="EI54" i="6"/>
  <c r="AO51" i="8"/>
  <c r="CS227" i="7"/>
  <c r="AO53" i="8"/>
  <c r="M178" i="8"/>
  <c r="AO55" i="8"/>
  <c r="AO56" i="8"/>
  <c r="M227" i="8"/>
  <c r="M236" i="8"/>
  <c r="CS57" i="6"/>
  <c r="CS223" i="7"/>
  <c r="CE57" i="7"/>
  <c r="EI146" i="7"/>
  <c r="DU56" i="6"/>
  <c r="CE54" i="6"/>
  <c r="FK56" i="6"/>
  <c r="CR218" i="7"/>
  <c r="M29" i="8"/>
  <c r="DU57" i="5"/>
  <c r="DU54" i="6"/>
  <c r="BC241" i="7"/>
  <c r="CS29" i="7"/>
  <c r="CS223" i="5"/>
  <c r="DU38" i="5"/>
  <c r="EI157" i="6"/>
  <c r="M205" i="8"/>
  <c r="CS133" i="5"/>
  <c r="CE27" i="6"/>
  <c r="EI29" i="6"/>
  <c r="EI241" i="6"/>
  <c r="CE54" i="7"/>
  <c r="DU54" i="7"/>
  <c r="DU60" i="7"/>
  <c r="EI236" i="7"/>
  <c r="EI27" i="7"/>
  <c r="FK27" i="6"/>
  <c r="BC157" i="6"/>
  <c r="CI115" i="7"/>
  <c r="CI156" i="7"/>
  <c r="CO58" i="7"/>
  <c r="CR156" i="7"/>
  <c r="CS57" i="7"/>
  <c r="CI75" i="7"/>
  <c r="CN58" i="7"/>
  <c r="CP75" i="7"/>
  <c r="CQ115" i="7"/>
  <c r="CR75" i="7"/>
  <c r="EI57" i="7"/>
  <c r="CL75" i="7"/>
  <c r="CM156" i="7"/>
  <c r="CP115" i="7"/>
  <c r="CQ156" i="7"/>
  <c r="CL115" i="7"/>
  <c r="CM115" i="7"/>
  <c r="CJ218" i="7"/>
  <c r="CS214" i="5"/>
  <c r="CK218" i="7"/>
  <c r="CO218" i="7"/>
  <c r="CL58" i="7"/>
  <c r="CP58" i="7"/>
  <c r="CR58" i="7"/>
  <c r="CG58" i="7"/>
  <c r="CK58" i="7"/>
  <c r="CS60" i="7"/>
  <c r="EI157" i="7"/>
  <c r="EI116" i="7"/>
  <c r="CS8" i="7"/>
  <c r="EI90" i="7"/>
  <c r="CS164" i="7"/>
  <c r="CS182" i="7"/>
  <c r="CS187" i="7"/>
  <c r="CS205" i="7"/>
  <c r="BC90" i="7"/>
  <c r="EI60" i="7"/>
  <c r="BC150" i="7"/>
  <c r="EI29" i="7"/>
  <c r="BC27" i="7"/>
  <c r="CE27" i="7"/>
  <c r="CS27" i="7"/>
  <c r="DU27" i="7"/>
  <c r="CN218" i="7"/>
  <c r="CS13" i="7"/>
  <c r="CS172" i="7"/>
  <c r="CS193" i="7"/>
  <c r="CS209" i="7"/>
  <c r="EI150" i="7"/>
  <c r="CS76" i="6"/>
  <c r="CS27" i="6"/>
  <c r="DU27" i="6"/>
  <c r="EI87" i="6"/>
  <c r="CS54" i="6"/>
  <c r="EI150" i="6"/>
  <c r="EI38" i="6"/>
  <c r="EI60" i="6"/>
  <c r="EI27" i="6"/>
  <c r="EI138" i="6"/>
  <c r="CS90" i="6"/>
  <c r="DU238" i="6"/>
  <c r="DZ49" i="24"/>
  <c r="BC29" i="6"/>
  <c r="DU237" i="6"/>
  <c r="CS87" i="6"/>
  <c r="DU239" i="6"/>
  <c r="EA49" i="24"/>
  <c r="BC116" i="6"/>
  <c r="FK237" i="6"/>
  <c r="DY61" i="24"/>
  <c r="FK238" i="6"/>
  <c r="DZ61" i="24"/>
  <c r="BC90" i="6"/>
  <c r="EI116" i="6"/>
  <c r="FK239" i="6"/>
  <c r="EA61" i="24"/>
  <c r="BC133" i="6"/>
  <c r="CS157" i="6"/>
  <c r="EI76" i="6"/>
  <c r="EI90" i="6"/>
  <c r="EI57" i="6"/>
  <c r="EI104" i="6"/>
  <c r="EI133" i="6"/>
  <c r="EI236" i="6"/>
  <c r="EI129" i="6"/>
  <c r="CS138" i="6"/>
  <c r="EI146" i="6"/>
  <c r="CS57" i="5"/>
  <c r="CE239" i="6"/>
  <c r="EA37" i="24"/>
  <c r="CE237" i="6"/>
  <c r="DY33" i="24"/>
  <c r="CE238" i="6"/>
  <c r="DZ37" i="24"/>
  <c r="FK57" i="7"/>
  <c r="CE239" i="7"/>
  <c r="EA73" i="24"/>
  <c r="EA94" i="24"/>
  <c r="EA106" i="24"/>
  <c r="DZ93" i="24"/>
  <c r="DZ105" i="24"/>
  <c r="DY104" i="24"/>
  <c r="DY92" i="24"/>
  <c r="DY91" i="24"/>
  <c r="DY103" i="24"/>
  <c r="EI76" i="7"/>
  <c r="CJ156" i="7"/>
  <c r="CS157" i="7"/>
  <c r="CO6" i="7"/>
  <c r="CO43" i="7"/>
  <c r="CO47" i="7" s="1"/>
  <c r="E233" i="23"/>
  <c r="D233" i="23" s="1"/>
  <c r="CP70" i="7"/>
  <c r="E232" i="23"/>
  <c r="D232" i="23" s="1"/>
  <c r="CQ70" i="7"/>
  <c r="E231" i="23"/>
  <c r="D231" i="23" s="1"/>
  <c r="CG43" i="7"/>
  <c r="CG47" i="7" s="1"/>
  <c r="E241" i="23"/>
  <c r="D241" i="23" s="1"/>
  <c r="DY73" i="24"/>
  <c r="CE237" i="7"/>
  <c r="CE238" i="7"/>
  <c r="DZ73" i="24"/>
  <c r="DY94" i="24"/>
  <c r="DY106" i="24"/>
  <c r="DZ94" i="24"/>
  <c r="DZ106" i="24"/>
  <c r="DY79" i="24"/>
  <c r="DU237" i="7"/>
  <c r="DY93" i="24"/>
  <c r="DY105" i="24"/>
  <c r="EA93" i="24"/>
  <c r="EA105" i="24"/>
  <c r="DZ92" i="24"/>
  <c r="DZ104" i="24"/>
  <c r="EA92" i="24"/>
  <c r="EA104" i="24"/>
  <c r="DZ103" i="24"/>
  <c r="DZ91" i="24"/>
  <c r="EA103" i="24"/>
  <c r="EA91" i="24"/>
  <c r="CS178" i="7"/>
  <c r="EI129" i="7"/>
  <c r="CS214" i="7"/>
  <c r="EI38" i="7"/>
  <c r="CS116" i="7"/>
  <c r="BC60" i="7"/>
  <c r="CR43" i="7"/>
  <c r="CR47" i="7" s="1"/>
  <c r="E230" i="23"/>
  <c r="D230" i="23" s="1"/>
  <c r="DZ90" i="24"/>
  <c r="DZ102" i="24"/>
  <c r="DY89" i="24"/>
  <c r="DY101" i="24"/>
  <c r="EA89" i="24"/>
  <c r="EA101" i="24"/>
  <c r="CS146" i="7"/>
  <c r="EI133" i="7"/>
  <c r="DU239" i="7"/>
  <c r="EA85" i="24"/>
  <c r="DZ88" i="24"/>
  <c r="DZ100" i="24"/>
  <c r="EA100" i="24"/>
  <c r="EA88" i="24"/>
  <c r="CJ43" i="7"/>
  <c r="CJ47" i="7" s="1"/>
  <c r="E238" i="23"/>
  <c r="D238" i="23" s="1"/>
  <c r="BC29" i="7"/>
  <c r="DY99" i="24"/>
  <c r="DY87" i="24"/>
  <c r="BC157" i="7"/>
  <c r="DY86" i="24"/>
  <c r="DY98" i="24"/>
  <c r="EA98" i="24"/>
  <c r="EA86" i="24"/>
  <c r="CL70" i="7"/>
  <c r="E236" i="23"/>
  <c r="D236" i="23" s="1"/>
  <c r="BC116" i="7"/>
  <c r="FK238" i="7"/>
  <c r="DZ97" i="24"/>
  <c r="DZ109" i="24"/>
  <c r="FK239" i="7"/>
  <c r="EA97" i="24"/>
  <c r="EA109" i="24"/>
  <c r="CM43" i="7"/>
  <c r="CM47" i="7" s="1"/>
  <c r="E235" i="23"/>
  <c r="D235" i="23" s="1"/>
  <c r="BC76" i="7"/>
  <c r="BC146" i="7"/>
  <c r="EI54" i="7"/>
  <c r="FK27" i="7"/>
  <c r="DY96" i="24"/>
  <c r="DY108" i="24"/>
  <c r="DZ108" i="24"/>
  <c r="DZ96" i="24"/>
  <c r="EA108" i="24"/>
  <c r="EA96" i="24"/>
  <c r="DY90" i="24"/>
  <c r="DY102" i="24"/>
  <c r="EA90" i="24"/>
  <c r="EA102" i="24"/>
  <c r="CH70" i="7"/>
  <c r="E240" i="23"/>
  <c r="D240" i="23" s="1"/>
  <c r="EI104" i="7"/>
  <c r="EI223" i="7"/>
  <c r="DZ89" i="24"/>
  <c r="DZ101" i="24"/>
  <c r="CI43" i="7"/>
  <c r="CI47" i="7" s="1"/>
  <c r="E239" i="23"/>
  <c r="D239" i="23" s="1"/>
  <c r="DU238" i="7"/>
  <c r="DZ85" i="24"/>
  <c r="DY88" i="24"/>
  <c r="DY100" i="24"/>
  <c r="DZ87" i="24"/>
  <c r="DZ99" i="24"/>
  <c r="EA87" i="24"/>
  <c r="EA99" i="24"/>
  <c r="CK6" i="7"/>
  <c r="CK43" i="7"/>
  <c r="CK47" i="7" s="1"/>
  <c r="F237" i="23"/>
  <c r="EI138" i="7"/>
  <c r="DZ98" i="24"/>
  <c r="DZ86" i="24"/>
  <c r="CS90" i="7"/>
  <c r="FK237" i="7"/>
  <c r="DY97" i="24"/>
  <c r="DY109" i="24"/>
  <c r="CN43" i="7"/>
  <c r="CN47" i="7" s="1"/>
  <c r="E234" i="23"/>
  <c r="D234" i="23" s="1"/>
  <c r="BC57" i="7"/>
  <c r="DU57" i="7"/>
  <c r="EI241" i="7"/>
  <c r="DY95" i="24"/>
  <c r="DY107" i="24"/>
  <c r="DZ107" i="24"/>
  <c r="DZ95" i="24"/>
  <c r="EA95" i="24"/>
  <c r="EA107" i="24"/>
  <c r="M60" i="8"/>
  <c r="M223" i="8"/>
  <c r="M27" i="8"/>
  <c r="M182" i="8"/>
  <c r="M219" i="8"/>
  <c r="M90" i="8"/>
  <c r="M38" i="8"/>
  <c r="M209" i="8"/>
  <c r="M172" i="8"/>
  <c r="M116" i="8"/>
  <c r="M76" i="8"/>
  <c r="M129" i="8"/>
  <c r="M187" i="8"/>
  <c r="M146" i="8"/>
  <c r="M164" i="8"/>
  <c r="M241" i="8"/>
  <c r="M133" i="8"/>
  <c r="M193" i="8"/>
  <c r="M150" i="8"/>
  <c r="M138" i="8"/>
  <c r="DU10" i="5"/>
  <c r="DU54" i="5"/>
  <c r="CS138" i="5"/>
  <c r="CS219" i="5"/>
  <c r="BS239" i="5"/>
  <c r="EA5" i="24"/>
  <c r="EA9" i="24"/>
  <c r="EA12" i="24"/>
  <c r="EA2" i="24"/>
  <c r="EA4" i="24"/>
  <c r="EA6" i="24"/>
  <c r="EA8" i="24"/>
  <c r="EA11" i="24"/>
  <c r="EA7" i="24"/>
  <c r="EA10" i="24"/>
  <c r="EA3" i="24"/>
  <c r="DU29" i="5"/>
  <c r="DU238" i="5"/>
  <c r="DZ25" i="24"/>
  <c r="AO30" i="5"/>
  <c r="CS182" i="5"/>
  <c r="CS60" i="5"/>
  <c r="DU237" i="5"/>
  <c r="BS237" i="5"/>
  <c r="DY3" i="24"/>
  <c r="DY6" i="24"/>
  <c r="DY9" i="24"/>
  <c r="DY4" i="24"/>
  <c r="DY2" i="24"/>
  <c r="DY8" i="24"/>
  <c r="DY11" i="24"/>
  <c r="DY7" i="24"/>
  <c r="DY5" i="24"/>
  <c r="DY12" i="24"/>
  <c r="DY10" i="24"/>
  <c r="BS238" i="5"/>
  <c r="DZ2" i="24"/>
  <c r="DZ4" i="24"/>
  <c r="DZ6" i="24"/>
  <c r="DZ8" i="24"/>
  <c r="DZ11" i="24"/>
  <c r="DZ7" i="24"/>
  <c r="DZ5" i="24"/>
  <c r="DZ12" i="24"/>
  <c r="DZ9" i="24"/>
  <c r="DZ10" i="24"/>
  <c r="DZ3" i="24"/>
  <c r="CS157" i="5"/>
  <c r="CS193" i="5"/>
  <c r="DU9" i="5"/>
  <c r="DU11" i="5"/>
  <c r="DU12" i="5"/>
  <c r="CS27" i="5"/>
  <c r="DU27" i="5"/>
  <c r="CS29" i="5"/>
  <c r="CS129" i="5"/>
  <c r="CS205" i="5"/>
  <c r="DU239" i="5"/>
  <c r="EA25" i="24"/>
  <c r="M104" i="8"/>
  <c r="M57" i="8"/>
  <c r="M54" i="8"/>
  <c r="CS241" i="7"/>
  <c r="CS236" i="7"/>
  <c r="CS219" i="7"/>
  <c r="CG218" i="7"/>
  <c r="CH218" i="7"/>
  <c r="CL218" i="7"/>
  <c r="CP218" i="7"/>
  <c r="CI218" i="7"/>
  <c r="CM218" i="7"/>
  <c r="CQ218" i="7"/>
  <c r="CN156" i="7"/>
  <c r="CO156" i="7"/>
  <c r="CH156" i="7"/>
  <c r="CL156" i="7"/>
  <c r="CG156" i="7"/>
  <c r="CK156" i="7"/>
  <c r="CP156" i="7"/>
  <c r="CS150" i="7"/>
  <c r="CS138" i="7"/>
  <c r="CS133" i="7"/>
  <c r="CS129" i="7"/>
  <c r="CO115" i="7"/>
  <c r="CG115" i="7"/>
  <c r="CK115" i="7"/>
  <c r="CJ115" i="7"/>
  <c r="CN115" i="7"/>
  <c r="CR115" i="7"/>
  <c r="CS104" i="7"/>
  <c r="CJ75" i="7"/>
  <c r="CG75" i="7"/>
  <c r="CK75" i="7"/>
  <c r="CO75" i="7"/>
  <c r="CS76" i="7"/>
  <c r="CN75" i="7"/>
  <c r="CS38" i="7"/>
  <c r="BC236" i="7"/>
  <c r="BC223" i="7"/>
  <c r="BC138" i="7"/>
  <c r="BC133" i="7"/>
  <c r="BC129" i="7"/>
  <c r="BC104" i="7"/>
  <c r="BC87" i="7"/>
  <c r="BC38" i="7"/>
  <c r="FK60" i="6"/>
  <c r="CS241" i="6"/>
  <c r="CS236" i="6"/>
  <c r="CS150" i="6"/>
  <c r="CS146" i="6"/>
  <c r="CS129" i="6"/>
  <c r="CS116" i="6"/>
  <c r="CS104" i="6"/>
  <c r="CS60" i="6"/>
  <c r="CS38" i="6"/>
  <c r="CS29" i="6"/>
  <c r="BC60" i="6"/>
  <c r="BC76" i="6"/>
  <c r="BC27" i="6"/>
  <c r="BC54" i="6"/>
  <c r="BC146" i="6"/>
  <c r="BC241" i="6"/>
  <c r="BC236" i="6"/>
  <c r="BC150" i="6"/>
  <c r="BC138" i="6"/>
  <c r="BC129" i="6"/>
  <c r="BC104" i="6"/>
  <c r="BC57" i="6"/>
  <c r="BC38" i="6"/>
  <c r="CS227" i="5"/>
  <c r="CS187" i="5"/>
  <c r="CS178" i="5"/>
  <c r="CS172" i="5"/>
  <c r="CS164" i="5"/>
  <c r="CS150" i="5"/>
  <c r="CS146" i="5"/>
  <c r="CS116" i="5"/>
  <c r="CS104" i="5"/>
  <c r="CS90" i="5"/>
  <c r="CS76" i="5"/>
  <c r="CS38" i="5"/>
  <c r="CM70" i="7"/>
  <c r="CH43" i="7"/>
  <c r="CH47" i="7" s="1"/>
  <c r="CL43" i="7"/>
  <c r="CL47" i="7" s="1"/>
  <c r="CP43" i="7"/>
  <c r="CP47" i="7" s="1"/>
  <c r="CJ70" i="7"/>
  <c r="CN70" i="7"/>
  <c r="CR70" i="7"/>
  <c r="CI70" i="7"/>
  <c r="CG6" i="7"/>
  <c r="CQ43" i="7"/>
  <c r="CQ47" i="7" s="1"/>
  <c r="CG70" i="7"/>
  <c r="CK70" i="7"/>
  <c r="CO70" i="7"/>
  <c r="BA236" i="5"/>
  <c r="AZ209" i="5"/>
  <c r="BA193" i="5"/>
  <c r="BA178" i="5"/>
  <c r="AY164" i="5"/>
  <c r="AZ129" i="5"/>
  <c r="BC26" i="5"/>
  <c r="BC25" i="5"/>
  <c r="BC24" i="5"/>
  <c r="BC18" i="5"/>
  <c r="BC7" i="5"/>
  <c r="BC4" i="5"/>
  <c r="FJ239" i="4"/>
  <c r="FI239" i="4"/>
  <c r="FH239" i="4"/>
  <c r="FG239" i="4"/>
  <c r="FF239" i="4"/>
  <c r="FE239" i="4"/>
  <c r="FD239" i="4"/>
  <c r="FC239" i="4"/>
  <c r="FB239" i="4"/>
  <c r="FA239" i="4"/>
  <c r="EZ239" i="4"/>
  <c r="EY239" i="4"/>
  <c r="FJ238" i="4"/>
  <c r="FI238" i="4"/>
  <c r="FH238" i="4"/>
  <c r="FG238" i="4"/>
  <c r="FF238" i="4"/>
  <c r="FE238" i="4"/>
  <c r="FD238" i="4"/>
  <c r="FC238" i="4"/>
  <c r="FB238" i="4"/>
  <c r="FA238" i="4"/>
  <c r="EZ238" i="4"/>
  <c r="EY238" i="4"/>
  <c r="FJ237" i="4"/>
  <c r="FI237" i="4"/>
  <c r="FH237" i="4"/>
  <c r="FG237" i="4"/>
  <c r="FF237" i="4"/>
  <c r="FE237" i="4"/>
  <c r="FD237" i="4"/>
  <c r="FC237" i="4"/>
  <c r="FB237" i="4"/>
  <c r="FA237" i="4"/>
  <c r="EZ237" i="4"/>
  <c r="EY237" i="4"/>
  <c r="FJ222" i="4"/>
  <c r="FI222" i="4"/>
  <c r="FH222" i="4"/>
  <c r="FG222" i="4"/>
  <c r="FF222" i="4"/>
  <c r="FE222" i="4"/>
  <c r="FD222" i="4"/>
  <c r="FC222" i="4"/>
  <c r="FB222" i="4"/>
  <c r="FA222" i="4"/>
  <c r="EZ222" i="4"/>
  <c r="EY222" i="4"/>
  <c r="FJ221" i="4"/>
  <c r="FI221" i="4"/>
  <c r="FH221" i="4"/>
  <c r="FG221" i="4"/>
  <c r="FF221" i="4"/>
  <c r="FE221" i="4"/>
  <c r="FD221" i="4"/>
  <c r="FC221" i="4"/>
  <c r="FB221" i="4"/>
  <c r="FA221" i="4"/>
  <c r="EZ221" i="4"/>
  <c r="EY221" i="4"/>
  <c r="FJ220" i="4"/>
  <c r="FI220" i="4"/>
  <c r="FH220" i="4"/>
  <c r="FG220" i="4"/>
  <c r="FF220" i="4"/>
  <c r="FE220" i="4"/>
  <c r="FD220" i="4"/>
  <c r="FC220" i="4"/>
  <c r="FB220" i="4"/>
  <c r="FA220" i="4"/>
  <c r="EZ220" i="4"/>
  <c r="EY220" i="4"/>
  <c r="FJ89" i="4"/>
  <c r="FI89" i="4"/>
  <c r="FH89" i="4"/>
  <c r="FG89" i="4"/>
  <c r="FF89" i="4"/>
  <c r="FE89" i="4"/>
  <c r="FD89" i="4"/>
  <c r="FC89" i="4"/>
  <c r="FB89" i="4"/>
  <c r="FA89" i="4"/>
  <c r="EZ89" i="4"/>
  <c r="EY89" i="4"/>
  <c r="FJ69" i="4"/>
  <c r="FI69" i="4"/>
  <c r="FH69" i="4"/>
  <c r="FG69" i="4"/>
  <c r="FF69" i="4"/>
  <c r="FE69" i="4"/>
  <c r="FD69" i="4"/>
  <c r="FC69" i="4"/>
  <c r="FB69" i="4"/>
  <c r="FA69" i="4"/>
  <c r="EZ69" i="4"/>
  <c r="EY69" i="4"/>
  <c r="FJ68" i="4"/>
  <c r="FI68" i="4"/>
  <c r="FH68" i="4"/>
  <c r="FG68" i="4"/>
  <c r="FF68" i="4"/>
  <c r="FE68" i="4"/>
  <c r="FD68" i="4"/>
  <c r="FC68" i="4"/>
  <c r="FB68" i="4"/>
  <c r="FA68" i="4"/>
  <c r="EZ68" i="4"/>
  <c r="EY68" i="4"/>
  <c r="FJ67" i="4"/>
  <c r="FI67" i="4"/>
  <c r="FH67" i="4"/>
  <c r="FG67" i="4"/>
  <c r="FF67" i="4"/>
  <c r="FE67" i="4"/>
  <c r="FD67" i="4"/>
  <c r="FC67" i="4"/>
  <c r="FB67" i="4"/>
  <c r="FA67" i="4"/>
  <c r="EZ67" i="4"/>
  <c r="EY67" i="4"/>
  <c r="FJ66" i="4"/>
  <c r="FI66" i="4"/>
  <c r="FH66" i="4"/>
  <c r="FG66" i="4"/>
  <c r="FF66" i="4"/>
  <c r="FE66" i="4"/>
  <c r="FD66" i="4"/>
  <c r="FC66" i="4"/>
  <c r="FB66" i="4"/>
  <c r="FA66" i="4"/>
  <c r="EZ66" i="4"/>
  <c r="EY66" i="4"/>
  <c r="FJ65" i="4"/>
  <c r="FI65" i="4"/>
  <c r="FH65" i="4"/>
  <c r="FG65" i="4"/>
  <c r="FF65" i="4"/>
  <c r="FE65" i="4"/>
  <c r="FD65" i="4"/>
  <c r="FC65" i="4"/>
  <c r="FB65" i="4"/>
  <c r="FA65" i="4"/>
  <c r="EZ65" i="4"/>
  <c r="EY65" i="4"/>
  <c r="FJ56" i="4"/>
  <c r="FI56" i="4"/>
  <c r="FH56" i="4"/>
  <c r="FG56" i="4"/>
  <c r="FF56" i="4"/>
  <c r="FE56" i="4"/>
  <c r="FD56" i="4"/>
  <c r="FC56" i="4"/>
  <c r="FB56" i="4"/>
  <c r="FA56" i="4"/>
  <c r="EZ56" i="4"/>
  <c r="EY56" i="4"/>
  <c r="FJ53" i="4"/>
  <c r="FI53" i="4"/>
  <c r="FH53" i="4"/>
  <c r="FG53" i="4"/>
  <c r="FF53" i="4"/>
  <c r="FE53" i="4"/>
  <c r="FD53" i="4"/>
  <c r="FC53" i="4"/>
  <c r="FB53" i="4"/>
  <c r="FA53" i="4"/>
  <c r="EZ53" i="4"/>
  <c r="EY53" i="4"/>
  <c r="FJ52" i="4"/>
  <c r="FI52" i="4"/>
  <c r="FH52" i="4"/>
  <c r="FG52" i="4"/>
  <c r="FF52" i="4"/>
  <c r="FE52" i="4"/>
  <c r="FD52" i="4"/>
  <c r="FC52" i="4"/>
  <c r="FB52" i="4"/>
  <c r="FA52" i="4"/>
  <c r="EZ52" i="4"/>
  <c r="EY52" i="4"/>
  <c r="FJ51" i="4"/>
  <c r="FI51" i="4"/>
  <c r="FH51" i="4"/>
  <c r="FG51" i="4"/>
  <c r="FF51" i="4"/>
  <c r="FE51" i="4"/>
  <c r="FD51" i="4"/>
  <c r="FC51" i="4"/>
  <c r="FB51" i="4"/>
  <c r="FA51" i="4"/>
  <c r="EZ51" i="4"/>
  <c r="EY51" i="4"/>
  <c r="FJ50" i="4"/>
  <c r="FI50" i="4"/>
  <c r="FH50" i="4"/>
  <c r="FG50" i="4"/>
  <c r="FF50" i="4"/>
  <c r="FE50" i="4"/>
  <c r="FD50" i="4"/>
  <c r="FC50" i="4"/>
  <c r="FB50" i="4"/>
  <c r="FA50" i="4"/>
  <c r="EZ50" i="4"/>
  <c r="EY50" i="4"/>
  <c r="FJ37" i="4"/>
  <c r="FI37" i="4"/>
  <c r="FH37" i="4"/>
  <c r="FG37" i="4"/>
  <c r="FF37" i="4"/>
  <c r="FE37" i="4"/>
  <c r="FD37" i="4"/>
  <c r="FC37" i="4"/>
  <c r="FB37" i="4"/>
  <c r="FA37" i="4"/>
  <c r="EZ37" i="4"/>
  <c r="EY37" i="4"/>
  <c r="FJ36" i="4"/>
  <c r="FI36" i="4"/>
  <c r="FH36" i="4"/>
  <c r="FG36" i="4"/>
  <c r="FF36" i="4"/>
  <c r="FE36" i="4"/>
  <c r="FD36" i="4"/>
  <c r="FC36" i="4"/>
  <c r="FB36" i="4"/>
  <c r="FA36" i="4"/>
  <c r="EZ36" i="4"/>
  <c r="EY36" i="4"/>
  <c r="FJ35" i="4"/>
  <c r="FI35" i="4"/>
  <c r="FH35" i="4"/>
  <c r="FG35" i="4"/>
  <c r="FF35" i="4"/>
  <c r="FE35" i="4"/>
  <c r="FD35" i="4"/>
  <c r="FC35" i="4"/>
  <c r="FB35" i="4"/>
  <c r="FA35" i="4"/>
  <c r="EZ35" i="4"/>
  <c r="EY35" i="4"/>
  <c r="FJ26" i="4"/>
  <c r="FI26" i="4"/>
  <c r="FH26" i="4"/>
  <c r="FG26" i="4"/>
  <c r="FF26" i="4"/>
  <c r="FE26" i="4"/>
  <c r="FD26" i="4"/>
  <c r="FC26" i="4"/>
  <c r="FB26" i="4"/>
  <c r="FA26" i="4"/>
  <c r="EZ26" i="4"/>
  <c r="EY26" i="4"/>
  <c r="FJ25" i="4"/>
  <c r="FI25" i="4"/>
  <c r="FH25" i="4"/>
  <c r="FG25" i="4"/>
  <c r="FF25" i="4"/>
  <c r="FE25" i="4"/>
  <c r="FD25" i="4"/>
  <c r="FC25" i="4"/>
  <c r="FB25" i="4"/>
  <c r="FA25" i="4"/>
  <c r="EZ25" i="4"/>
  <c r="EY25" i="4"/>
  <c r="FJ24" i="4"/>
  <c r="FI24" i="4"/>
  <c r="FH24" i="4"/>
  <c r="FG24" i="4"/>
  <c r="FF24" i="4"/>
  <c r="FF27" i="4" s="1"/>
  <c r="FE24" i="4"/>
  <c r="FE27" i="4" s="1"/>
  <c r="FD24" i="4"/>
  <c r="FC24" i="4"/>
  <c r="FB24" i="4"/>
  <c r="FA24" i="4"/>
  <c r="EZ24" i="4"/>
  <c r="EY24" i="4"/>
  <c r="FJ23" i="4"/>
  <c r="FI23" i="4"/>
  <c r="FH23" i="4"/>
  <c r="FG23" i="4"/>
  <c r="FF23" i="4"/>
  <c r="FE23" i="4"/>
  <c r="FD23" i="4"/>
  <c r="FC23" i="4"/>
  <c r="FB23" i="4"/>
  <c r="FA23" i="4"/>
  <c r="EZ23" i="4"/>
  <c r="EY23" i="4"/>
  <c r="FJ21" i="4"/>
  <c r="FI21" i="4"/>
  <c r="FH21" i="4"/>
  <c r="FG21" i="4"/>
  <c r="FF21" i="4"/>
  <c r="FE21" i="4"/>
  <c r="FD21" i="4"/>
  <c r="FC21" i="4"/>
  <c r="FB21" i="4"/>
  <c r="FA21" i="4"/>
  <c r="EZ21" i="4"/>
  <c r="EY21" i="4"/>
  <c r="FJ20" i="4"/>
  <c r="FI20" i="4"/>
  <c r="FH20" i="4"/>
  <c r="FG20" i="4"/>
  <c r="FF20" i="4"/>
  <c r="FE20" i="4"/>
  <c r="FD20" i="4"/>
  <c r="FC20" i="4"/>
  <c r="FB20" i="4"/>
  <c r="FA20" i="4"/>
  <c r="EZ20" i="4"/>
  <c r="EY20" i="4"/>
  <c r="FJ19" i="4"/>
  <c r="FI19" i="4"/>
  <c r="FH19" i="4"/>
  <c r="FG19" i="4"/>
  <c r="FF19" i="4"/>
  <c r="FE19" i="4"/>
  <c r="FD19" i="4"/>
  <c r="FC19" i="4"/>
  <c r="FB19" i="4"/>
  <c r="FA19" i="4"/>
  <c r="EZ19" i="4"/>
  <c r="EY19" i="4"/>
  <c r="FJ18" i="4"/>
  <c r="FI18" i="4"/>
  <c r="FH18" i="4"/>
  <c r="FG18" i="4"/>
  <c r="FF18" i="4"/>
  <c r="FE18" i="4"/>
  <c r="FD18" i="4"/>
  <c r="FC18" i="4"/>
  <c r="FB18" i="4"/>
  <c r="FA18" i="4"/>
  <c r="EZ18" i="4"/>
  <c r="EY18" i="4"/>
  <c r="FJ16" i="4"/>
  <c r="FI16" i="4"/>
  <c r="FH16" i="4"/>
  <c r="FG16" i="4"/>
  <c r="FF16" i="4"/>
  <c r="FE16" i="4"/>
  <c r="FD16" i="4"/>
  <c r="FC16" i="4"/>
  <c r="FB16" i="4"/>
  <c r="FA16" i="4"/>
  <c r="EZ16" i="4"/>
  <c r="EY16" i="4"/>
  <c r="FJ15" i="4"/>
  <c r="FI15" i="4"/>
  <c r="FH15" i="4"/>
  <c r="FG15" i="4"/>
  <c r="FF15" i="4"/>
  <c r="FE15" i="4"/>
  <c r="FD15" i="4"/>
  <c r="FC15" i="4"/>
  <c r="FB15" i="4"/>
  <c r="FA15" i="4"/>
  <c r="EZ15" i="4"/>
  <c r="EY15" i="4"/>
  <c r="FJ14" i="4"/>
  <c r="FI14" i="4"/>
  <c r="FH14" i="4"/>
  <c r="FG14" i="4"/>
  <c r="FF14" i="4"/>
  <c r="FE14" i="4"/>
  <c r="FD14" i="4"/>
  <c r="FC14" i="4"/>
  <c r="FB14" i="4"/>
  <c r="FA14" i="4"/>
  <c r="EZ14" i="4"/>
  <c r="EY14" i="4"/>
  <c r="FJ12" i="4"/>
  <c r="FI12" i="4"/>
  <c r="FH12" i="4"/>
  <c r="FG12" i="4"/>
  <c r="FF12" i="4"/>
  <c r="FE12" i="4"/>
  <c r="FD12" i="4"/>
  <c r="FC12" i="4"/>
  <c r="FB12" i="4"/>
  <c r="FA12" i="4"/>
  <c r="EZ12" i="4"/>
  <c r="EY12" i="4"/>
  <c r="FJ11" i="4"/>
  <c r="FI11" i="4"/>
  <c r="FH11" i="4"/>
  <c r="FG11" i="4"/>
  <c r="FF11" i="4"/>
  <c r="FE11" i="4"/>
  <c r="FD11" i="4"/>
  <c r="FC11" i="4"/>
  <c r="FB11" i="4"/>
  <c r="FA11" i="4"/>
  <c r="EZ11" i="4"/>
  <c r="EY11" i="4"/>
  <c r="FJ10" i="4"/>
  <c r="FI10" i="4"/>
  <c r="FH10" i="4"/>
  <c r="FG10" i="4"/>
  <c r="FF10" i="4"/>
  <c r="FE10" i="4"/>
  <c r="FD10" i="4"/>
  <c r="FC10" i="4"/>
  <c r="FB10" i="4"/>
  <c r="FA10" i="4"/>
  <c r="EZ10" i="4"/>
  <c r="EY10" i="4"/>
  <c r="FJ9" i="4"/>
  <c r="FI9" i="4"/>
  <c r="FH9" i="4"/>
  <c r="FG9" i="4"/>
  <c r="FF9" i="4"/>
  <c r="FE9" i="4"/>
  <c r="FD9" i="4"/>
  <c r="FC9" i="4"/>
  <c r="FB9" i="4"/>
  <c r="FA9" i="4"/>
  <c r="EZ9" i="4"/>
  <c r="EY9" i="4"/>
  <c r="FJ7" i="4"/>
  <c r="FI7" i="4"/>
  <c r="FH7" i="4"/>
  <c r="FG7" i="4"/>
  <c r="FF7" i="4"/>
  <c r="FE7" i="4"/>
  <c r="FD7" i="4"/>
  <c r="FC7" i="4"/>
  <c r="FB7" i="4"/>
  <c r="FA7" i="4"/>
  <c r="EZ7" i="4"/>
  <c r="EY7" i="4"/>
  <c r="FJ5" i="4"/>
  <c r="FI5" i="4"/>
  <c r="FH5" i="4"/>
  <c r="FG5" i="4"/>
  <c r="FF5" i="4"/>
  <c r="FE5" i="4"/>
  <c r="FD5" i="4"/>
  <c r="FC5" i="4"/>
  <c r="FB5" i="4"/>
  <c r="FA5" i="4"/>
  <c r="EZ5" i="4"/>
  <c r="EY5" i="4"/>
  <c r="FJ4" i="4"/>
  <c r="FI4" i="4"/>
  <c r="FH4" i="4"/>
  <c r="FG4" i="4"/>
  <c r="FF4" i="4"/>
  <c r="FE4" i="4"/>
  <c r="FD4" i="4"/>
  <c r="FC4" i="4"/>
  <c r="FB4" i="4"/>
  <c r="FA4" i="4"/>
  <c r="EZ4" i="4"/>
  <c r="EY4" i="4"/>
  <c r="EV5" i="4"/>
  <c r="EU5" i="4"/>
  <c r="ET5" i="4"/>
  <c r="ES5" i="4"/>
  <c r="ER5" i="4"/>
  <c r="EQ5" i="4"/>
  <c r="EP5" i="4"/>
  <c r="EO5" i="4"/>
  <c r="EN5" i="4"/>
  <c r="EM5" i="4"/>
  <c r="EL5" i="4"/>
  <c r="EK5" i="4"/>
  <c r="EH247" i="4"/>
  <c r="EG247" i="4"/>
  <c r="EF247" i="4"/>
  <c r="EE247" i="4"/>
  <c r="ED247" i="4"/>
  <c r="EC247" i="4"/>
  <c r="EB247" i="4"/>
  <c r="EA247" i="4"/>
  <c r="DZ247" i="4"/>
  <c r="DY247" i="4"/>
  <c r="DX247" i="4"/>
  <c r="DW247" i="4"/>
  <c r="EH246" i="4"/>
  <c r="EG246" i="4"/>
  <c r="EF246" i="4"/>
  <c r="EE246" i="4"/>
  <c r="ED246" i="4"/>
  <c r="EC246" i="4"/>
  <c r="EB246" i="4"/>
  <c r="EA246" i="4"/>
  <c r="DZ246" i="4"/>
  <c r="DY246" i="4"/>
  <c r="DX246" i="4"/>
  <c r="DW246" i="4"/>
  <c r="EH245" i="4"/>
  <c r="EG245" i="4"/>
  <c r="EF245" i="4"/>
  <c r="EE245" i="4"/>
  <c r="ED245" i="4"/>
  <c r="EC245" i="4"/>
  <c r="EB245" i="4"/>
  <c r="EA245" i="4"/>
  <c r="DZ245" i="4"/>
  <c r="DY245" i="4"/>
  <c r="DX245" i="4"/>
  <c r="DW245" i="4"/>
  <c r="EH244" i="4"/>
  <c r="EG244" i="4"/>
  <c r="EF244" i="4"/>
  <c r="EE244" i="4"/>
  <c r="ED244" i="4"/>
  <c r="EC244" i="4"/>
  <c r="EB244" i="4"/>
  <c r="EA244" i="4"/>
  <c r="DZ244" i="4"/>
  <c r="DY244" i="4"/>
  <c r="DX244" i="4"/>
  <c r="DW244" i="4"/>
  <c r="EH243" i="4"/>
  <c r="EG243" i="4"/>
  <c r="EF243" i="4"/>
  <c r="EE243" i="4"/>
  <c r="ED243" i="4"/>
  <c r="EC243" i="4"/>
  <c r="EB243" i="4"/>
  <c r="EA243" i="4"/>
  <c r="DZ243" i="4"/>
  <c r="DY243" i="4"/>
  <c r="DX243" i="4"/>
  <c r="DW243" i="4"/>
  <c r="EH242" i="4"/>
  <c r="EG242" i="4"/>
  <c r="EF242" i="4"/>
  <c r="EE242" i="4"/>
  <c r="ED242" i="4"/>
  <c r="EC242" i="4"/>
  <c r="EB242" i="4"/>
  <c r="EA242" i="4"/>
  <c r="DZ242" i="4"/>
  <c r="DY242" i="4"/>
  <c r="DX242" i="4"/>
  <c r="DW242" i="4"/>
  <c r="EH239" i="4"/>
  <c r="EG239" i="4"/>
  <c r="EF239" i="4"/>
  <c r="EE239" i="4"/>
  <c r="ED239" i="4"/>
  <c r="EC239" i="4"/>
  <c r="EB239" i="4"/>
  <c r="EA239" i="4"/>
  <c r="DZ239" i="4"/>
  <c r="DY239" i="4"/>
  <c r="DX239" i="4"/>
  <c r="DW239" i="4"/>
  <c r="EH238" i="4"/>
  <c r="EG238" i="4"/>
  <c r="EF238" i="4"/>
  <c r="EE238" i="4"/>
  <c r="ED238" i="4"/>
  <c r="EC238" i="4"/>
  <c r="EB238" i="4"/>
  <c r="EA238" i="4"/>
  <c r="DZ238" i="4"/>
  <c r="DY238" i="4"/>
  <c r="DX238" i="4"/>
  <c r="DW238" i="4"/>
  <c r="EH237" i="4"/>
  <c r="EG237" i="4"/>
  <c r="EF237" i="4"/>
  <c r="EE237" i="4"/>
  <c r="EE236" i="4" s="1"/>
  <c r="ED237" i="4"/>
  <c r="EC237" i="4"/>
  <c r="EB237" i="4"/>
  <c r="EA237" i="4"/>
  <c r="DZ237" i="4"/>
  <c r="DY237" i="4"/>
  <c r="DX237" i="4"/>
  <c r="DW237" i="4"/>
  <c r="EH229" i="4"/>
  <c r="EG229" i="4"/>
  <c r="EF229" i="4"/>
  <c r="EE229" i="4"/>
  <c r="ED229" i="4"/>
  <c r="EC229" i="4"/>
  <c r="EB229" i="4"/>
  <c r="EA229" i="4"/>
  <c r="DZ229" i="4"/>
  <c r="DY229" i="4"/>
  <c r="DX229" i="4"/>
  <c r="DW229" i="4"/>
  <c r="EH228" i="4"/>
  <c r="EG228" i="4"/>
  <c r="EF228" i="4"/>
  <c r="EE228" i="4"/>
  <c r="ED228" i="4"/>
  <c r="EC228" i="4"/>
  <c r="EB228" i="4"/>
  <c r="EA228" i="4"/>
  <c r="DZ228" i="4"/>
  <c r="DY228" i="4"/>
  <c r="DX228" i="4"/>
  <c r="DW228" i="4"/>
  <c r="EH226" i="4"/>
  <c r="EG226" i="4"/>
  <c r="EF226" i="4"/>
  <c r="EE226" i="4"/>
  <c r="ED226" i="4"/>
  <c r="EC226" i="4"/>
  <c r="EB226" i="4"/>
  <c r="EA226" i="4"/>
  <c r="DZ226" i="4"/>
  <c r="DY226" i="4"/>
  <c r="DX226" i="4"/>
  <c r="DW226" i="4"/>
  <c r="EH225" i="4"/>
  <c r="EG225" i="4"/>
  <c r="EF225" i="4"/>
  <c r="EE225" i="4"/>
  <c r="ED225" i="4"/>
  <c r="EC225" i="4"/>
  <c r="EB225" i="4"/>
  <c r="EA225" i="4"/>
  <c r="DZ225" i="4"/>
  <c r="DY225" i="4"/>
  <c r="DX225" i="4"/>
  <c r="DW225" i="4"/>
  <c r="EH224" i="4"/>
  <c r="EG224" i="4"/>
  <c r="EF224" i="4"/>
  <c r="EE224" i="4"/>
  <c r="ED224" i="4"/>
  <c r="ED223" i="4" s="1"/>
  <c r="EC224" i="4"/>
  <c r="EB224" i="4"/>
  <c r="EA224" i="4"/>
  <c r="DZ224" i="4"/>
  <c r="DY224" i="4"/>
  <c r="DX224" i="4"/>
  <c r="DW224" i="4"/>
  <c r="EH222" i="4"/>
  <c r="EG222" i="4"/>
  <c r="EF222" i="4"/>
  <c r="EE222" i="4"/>
  <c r="ED222" i="4"/>
  <c r="EC222" i="4"/>
  <c r="EB222" i="4"/>
  <c r="EA222" i="4"/>
  <c r="DZ222" i="4"/>
  <c r="DY222" i="4"/>
  <c r="DX222" i="4"/>
  <c r="DW222" i="4"/>
  <c r="EH221" i="4"/>
  <c r="EG221" i="4"/>
  <c r="EF221" i="4"/>
  <c r="EE221" i="4"/>
  <c r="ED221" i="4"/>
  <c r="EC221" i="4"/>
  <c r="EB221" i="4"/>
  <c r="EA221" i="4"/>
  <c r="DZ221" i="4"/>
  <c r="DY221" i="4"/>
  <c r="DX221" i="4"/>
  <c r="DW221" i="4"/>
  <c r="EH220" i="4"/>
  <c r="EG220" i="4"/>
  <c r="EF220" i="4"/>
  <c r="EE220" i="4"/>
  <c r="ED220" i="4"/>
  <c r="EC220" i="4"/>
  <c r="EB220" i="4"/>
  <c r="EA220" i="4"/>
  <c r="DZ220" i="4"/>
  <c r="DY220" i="4"/>
  <c r="DX220" i="4"/>
  <c r="DW220" i="4"/>
  <c r="EH216" i="4"/>
  <c r="EG216" i="4"/>
  <c r="EF216" i="4"/>
  <c r="EE216" i="4"/>
  <c r="ED216" i="4"/>
  <c r="EC216" i="4"/>
  <c r="EB216" i="4"/>
  <c r="EA216" i="4"/>
  <c r="DZ216" i="4"/>
  <c r="DY216" i="4"/>
  <c r="DX216" i="4"/>
  <c r="DW216" i="4"/>
  <c r="EH215" i="4"/>
  <c r="EG215" i="4"/>
  <c r="EF215" i="4"/>
  <c r="EE215" i="4"/>
  <c r="EE214" i="4" s="1"/>
  <c r="ED215" i="4"/>
  <c r="ED214" i="4" s="1"/>
  <c r="EC215" i="4"/>
  <c r="EB215" i="4"/>
  <c r="EA215" i="4"/>
  <c r="DZ215" i="4"/>
  <c r="DY215" i="4"/>
  <c r="DX215" i="4"/>
  <c r="DW215" i="4"/>
  <c r="EH213" i="4"/>
  <c r="EG213" i="4"/>
  <c r="EF213" i="4"/>
  <c r="EE213" i="4"/>
  <c r="ED213" i="4"/>
  <c r="EC213" i="4"/>
  <c r="EB213" i="4"/>
  <c r="EA213" i="4"/>
  <c r="DZ213" i="4"/>
  <c r="DY213" i="4"/>
  <c r="DX213" i="4"/>
  <c r="DW213" i="4"/>
  <c r="EH212" i="4"/>
  <c r="EG212" i="4"/>
  <c r="EF212" i="4"/>
  <c r="EE212" i="4"/>
  <c r="ED212" i="4"/>
  <c r="EC212" i="4"/>
  <c r="EB212" i="4"/>
  <c r="EA212" i="4"/>
  <c r="DZ212" i="4"/>
  <c r="DY212" i="4"/>
  <c r="DX212" i="4"/>
  <c r="DW212" i="4"/>
  <c r="EH211" i="4"/>
  <c r="EG211" i="4"/>
  <c r="EF211" i="4"/>
  <c r="EE211" i="4"/>
  <c r="ED211" i="4"/>
  <c r="EC211" i="4"/>
  <c r="EB211" i="4"/>
  <c r="EA211" i="4"/>
  <c r="DZ211" i="4"/>
  <c r="DY211" i="4"/>
  <c r="DX211" i="4"/>
  <c r="DW211" i="4"/>
  <c r="EH210" i="4"/>
  <c r="EG210" i="4"/>
  <c r="EF210" i="4"/>
  <c r="EE210" i="4"/>
  <c r="ED210" i="4"/>
  <c r="EC210" i="4"/>
  <c r="EB210" i="4"/>
  <c r="EA210" i="4"/>
  <c r="DZ210" i="4"/>
  <c r="DY210" i="4"/>
  <c r="DX210" i="4"/>
  <c r="DW210" i="4"/>
  <c r="EH208" i="4"/>
  <c r="EG208" i="4"/>
  <c r="EF208" i="4"/>
  <c r="EE208" i="4"/>
  <c r="ED208" i="4"/>
  <c r="EC208" i="4"/>
  <c r="EB208" i="4"/>
  <c r="EA208" i="4"/>
  <c r="DZ208" i="4"/>
  <c r="DY208" i="4"/>
  <c r="DX208" i="4"/>
  <c r="DW208" i="4"/>
  <c r="EH207" i="4"/>
  <c r="EG207" i="4"/>
  <c r="EF207" i="4"/>
  <c r="EE207" i="4"/>
  <c r="ED207" i="4"/>
  <c r="EC207" i="4"/>
  <c r="EB207" i="4"/>
  <c r="EA207" i="4"/>
  <c r="DZ207" i="4"/>
  <c r="DY207" i="4"/>
  <c r="DX207" i="4"/>
  <c r="DW207" i="4"/>
  <c r="EH206" i="4"/>
  <c r="EG206" i="4"/>
  <c r="EF206" i="4"/>
  <c r="EE206" i="4"/>
  <c r="ED206" i="4"/>
  <c r="EC206" i="4"/>
  <c r="EB206" i="4"/>
  <c r="EA206" i="4"/>
  <c r="DZ206" i="4"/>
  <c r="DY206" i="4"/>
  <c r="DX206" i="4"/>
  <c r="DW206" i="4"/>
  <c r="EH204" i="4"/>
  <c r="EG204" i="4"/>
  <c r="EF204" i="4"/>
  <c r="EE204" i="4"/>
  <c r="ED204" i="4"/>
  <c r="EC204" i="4"/>
  <c r="EB204" i="4"/>
  <c r="EA204" i="4"/>
  <c r="DZ204" i="4"/>
  <c r="DY204" i="4"/>
  <c r="DX204" i="4"/>
  <c r="DW204" i="4"/>
  <c r="EH203" i="4"/>
  <c r="EG203" i="4"/>
  <c r="EF203" i="4"/>
  <c r="EE203" i="4"/>
  <c r="ED203" i="4"/>
  <c r="EC203" i="4"/>
  <c r="EB203" i="4"/>
  <c r="EA203" i="4"/>
  <c r="DZ203" i="4"/>
  <c r="DY203" i="4"/>
  <c r="DX203" i="4"/>
  <c r="DW203" i="4"/>
  <c r="EH202" i="4"/>
  <c r="EG202" i="4"/>
  <c r="EF202" i="4"/>
  <c r="EE202" i="4"/>
  <c r="ED202" i="4"/>
  <c r="EC202" i="4"/>
  <c r="EB202" i="4"/>
  <c r="EA202" i="4"/>
  <c r="DZ202" i="4"/>
  <c r="DY202" i="4"/>
  <c r="DX202" i="4"/>
  <c r="DW202" i="4"/>
  <c r="EH201" i="4"/>
  <c r="EG201" i="4"/>
  <c r="EF201" i="4"/>
  <c r="EE201" i="4"/>
  <c r="ED201" i="4"/>
  <c r="EC201" i="4"/>
  <c r="EB201" i="4"/>
  <c r="EA201" i="4"/>
  <c r="DZ201" i="4"/>
  <c r="DY201" i="4"/>
  <c r="DX201" i="4"/>
  <c r="DW201" i="4"/>
  <c r="EH200" i="4"/>
  <c r="EG200" i="4"/>
  <c r="EF200" i="4"/>
  <c r="EE200" i="4"/>
  <c r="ED200" i="4"/>
  <c r="EC200" i="4"/>
  <c r="EB200" i="4"/>
  <c r="EA200" i="4"/>
  <c r="DZ200" i="4"/>
  <c r="DY200" i="4"/>
  <c r="DX200" i="4"/>
  <c r="DW200" i="4"/>
  <c r="EH199" i="4"/>
  <c r="EG199" i="4"/>
  <c r="EF199" i="4"/>
  <c r="EE199" i="4"/>
  <c r="ED199" i="4"/>
  <c r="EC199" i="4"/>
  <c r="EB199" i="4"/>
  <c r="EA199" i="4"/>
  <c r="DZ199" i="4"/>
  <c r="DY199" i="4"/>
  <c r="DX199" i="4"/>
  <c r="DW199" i="4"/>
  <c r="EH198" i="4"/>
  <c r="EG198" i="4"/>
  <c r="EF198" i="4"/>
  <c r="EE198" i="4"/>
  <c r="ED198" i="4"/>
  <c r="EC198" i="4"/>
  <c r="EB198" i="4"/>
  <c r="EA198" i="4"/>
  <c r="DZ198" i="4"/>
  <c r="DY198" i="4"/>
  <c r="DX198" i="4"/>
  <c r="DW198" i="4"/>
  <c r="EH197" i="4"/>
  <c r="EG197" i="4"/>
  <c r="EF197" i="4"/>
  <c r="EE197" i="4"/>
  <c r="ED197" i="4"/>
  <c r="EC197" i="4"/>
  <c r="EB197" i="4"/>
  <c r="EA197" i="4"/>
  <c r="DZ197" i="4"/>
  <c r="DY197" i="4"/>
  <c r="DX197" i="4"/>
  <c r="DW197" i="4"/>
  <c r="EH196" i="4"/>
  <c r="EG196" i="4"/>
  <c r="EF196" i="4"/>
  <c r="EE196" i="4"/>
  <c r="ED196" i="4"/>
  <c r="EC196" i="4"/>
  <c r="EB196" i="4"/>
  <c r="EA196" i="4"/>
  <c r="DZ196" i="4"/>
  <c r="DY196" i="4"/>
  <c r="DX196" i="4"/>
  <c r="DW196" i="4"/>
  <c r="EH195" i="4"/>
  <c r="EG195" i="4"/>
  <c r="EF195" i="4"/>
  <c r="EE195" i="4"/>
  <c r="ED195" i="4"/>
  <c r="EC195" i="4"/>
  <c r="EB195" i="4"/>
  <c r="EA195" i="4"/>
  <c r="DZ195" i="4"/>
  <c r="DY195" i="4"/>
  <c r="DX195" i="4"/>
  <c r="DW195" i="4"/>
  <c r="EH194" i="4"/>
  <c r="EG194" i="4"/>
  <c r="EF194" i="4"/>
  <c r="EE194" i="4"/>
  <c r="ED194" i="4"/>
  <c r="EC194" i="4"/>
  <c r="EB194" i="4"/>
  <c r="EA194" i="4"/>
  <c r="DZ194" i="4"/>
  <c r="DY194" i="4"/>
  <c r="DX194" i="4"/>
  <c r="DW194" i="4"/>
  <c r="EH192" i="4"/>
  <c r="EG192" i="4"/>
  <c r="EF192" i="4"/>
  <c r="EE192" i="4"/>
  <c r="ED192" i="4"/>
  <c r="EC192" i="4"/>
  <c r="EB192" i="4"/>
  <c r="EA192" i="4"/>
  <c r="DZ192" i="4"/>
  <c r="DY192" i="4"/>
  <c r="DX192" i="4"/>
  <c r="DW192" i="4"/>
  <c r="EH191" i="4"/>
  <c r="EG191" i="4"/>
  <c r="EF191" i="4"/>
  <c r="EE191" i="4"/>
  <c r="ED191" i="4"/>
  <c r="EC191" i="4"/>
  <c r="EB191" i="4"/>
  <c r="EA191" i="4"/>
  <c r="DZ191" i="4"/>
  <c r="DY191" i="4"/>
  <c r="DX191" i="4"/>
  <c r="DW191" i="4"/>
  <c r="EH190" i="4"/>
  <c r="EG190" i="4"/>
  <c r="EF190" i="4"/>
  <c r="EE190" i="4"/>
  <c r="ED190" i="4"/>
  <c r="EC190" i="4"/>
  <c r="EB190" i="4"/>
  <c r="EA190" i="4"/>
  <c r="DZ190" i="4"/>
  <c r="DY190" i="4"/>
  <c r="DX190" i="4"/>
  <c r="DW190" i="4"/>
  <c r="EH189" i="4"/>
  <c r="EG189" i="4"/>
  <c r="EF189" i="4"/>
  <c r="EE189" i="4"/>
  <c r="ED189" i="4"/>
  <c r="EC189" i="4"/>
  <c r="EB189" i="4"/>
  <c r="EA189" i="4"/>
  <c r="DZ189" i="4"/>
  <c r="DY189" i="4"/>
  <c r="DX189" i="4"/>
  <c r="DW189" i="4"/>
  <c r="EH188" i="4"/>
  <c r="EG188" i="4"/>
  <c r="EF188" i="4"/>
  <c r="EE188" i="4"/>
  <c r="ED188" i="4"/>
  <c r="EC188" i="4"/>
  <c r="EB188" i="4"/>
  <c r="EA188" i="4"/>
  <c r="DZ188" i="4"/>
  <c r="DY188" i="4"/>
  <c r="DX188" i="4"/>
  <c r="DW188" i="4"/>
  <c r="EH186" i="4"/>
  <c r="EG186" i="4"/>
  <c r="EF186" i="4"/>
  <c r="EE186" i="4"/>
  <c r="ED186" i="4"/>
  <c r="EC186" i="4"/>
  <c r="EB186" i="4"/>
  <c r="EA186" i="4"/>
  <c r="DZ186" i="4"/>
  <c r="DY186" i="4"/>
  <c r="DX186" i="4"/>
  <c r="DW186" i="4"/>
  <c r="EH185" i="4"/>
  <c r="EG185" i="4"/>
  <c r="EF185" i="4"/>
  <c r="EE185" i="4"/>
  <c r="ED185" i="4"/>
  <c r="EC185" i="4"/>
  <c r="EB185" i="4"/>
  <c r="EA185" i="4"/>
  <c r="DZ185" i="4"/>
  <c r="DY185" i="4"/>
  <c r="DX185" i="4"/>
  <c r="DW185" i="4"/>
  <c r="EH184" i="4"/>
  <c r="EG184" i="4"/>
  <c r="EF184" i="4"/>
  <c r="EE184" i="4"/>
  <c r="ED184" i="4"/>
  <c r="EC184" i="4"/>
  <c r="EB184" i="4"/>
  <c r="EA184" i="4"/>
  <c r="DZ184" i="4"/>
  <c r="DY184" i="4"/>
  <c r="DX184" i="4"/>
  <c r="DW184" i="4"/>
  <c r="EH183" i="4"/>
  <c r="EG183" i="4"/>
  <c r="EF183" i="4"/>
  <c r="EE183" i="4"/>
  <c r="ED183" i="4"/>
  <c r="EC183" i="4"/>
  <c r="EB183" i="4"/>
  <c r="EA183" i="4"/>
  <c r="DZ183" i="4"/>
  <c r="DY183" i="4"/>
  <c r="DX183" i="4"/>
  <c r="DW183" i="4"/>
  <c r="EH181" i="4"/>
  <c r="EG181" i="4"/>
  <c r="EF181" i="4"/>
  <c r="EE181" i="4"/>
  <c r="ED181" i="4"/>
  <c r="EC181" i="4"/>
  <c r="EB181" i="4"/>
  <c r="EA181" i="4"/>
  <c r="DZ181" i="4"/>
  <c r="DY181" i="4"/>
  <c r="DX181" i="4"/>
  <c r="DW181" i="4"/>
  <c r="EH180" i="4"/>
  <c r="EG180" i="4"/>
  <c r="EF180" i="4"/>
  <c r="EE180" i="4"/>
  <c r="ED180" i="4"/>
  <c r="EC180" i="4"/>
  <c r="EB180" i="4"/>
  <c r="EA180" i="4"/>
  <c r="DZ180" i="4"/>
  <c r="DY180" i="4"/>
  <c r="DX180" i="4"/>
  <c r="DW180" i="4"/>
  <c r="EH179" i="4"/>
  <c r="EG179" i="4"/>
  <c r="EF179" i="4"/>
  <c r="EE179" i="4"/>
  <c r="ED179" i="4"/>
  <c r="ED178" i="4" s="1"/>
  <c r="EC179" i="4"/>
  <c r="EB179" i="4"/>
  <c r="EA179" i="4"/>
  <c r="DZ179" i="4"/>
  <c r="DY179" i="4"/>
  <c r="DX179" i="4"/>
  <c r="DW179" i="4"/>
  <c r="EH177" i="4"/>
  <c r="EG177" i="4"/>
  <c r="EF177" i="4"/>
  <c r="EE177" i="4"/>
  <c r="ED177" i="4"/>
  <c r="EC177" i="4"/>
  <c r="EB177" i="4"/>
  <c r="EA177" i="4"/>
  <c r="DZ177" i="4"/>
  <c r="DY177" i="4"/>
  <c r="DX177" i="4"/>
  <c r="DW177" i="4"/>
  <c r="EH176" i="4"/>
  <c r="EG176" i="4"/>
  <c r="EF176" i="4"/>
  <c r="EE176" i="4"/>
  <c r="ED176" i="4"/>
  <c r="EC176" i="4"/>
  <c r="EB176" i="4"/>
  <c r="EA176" i="4"/>
  <c r="DZ176" i="4"/>
  <c r="DY176" i="4"/>
  <c r="DX176" i="4"/>
  <c r="DW176" i="4"/>
  <c r="EH175" i="4"/>
  <c r="EG175" i="4"/>
  <c r="EF175" i="4"/>
  <c r="EE175" i="4"/>
  <c r="ED175" i="4"/>
  <c r="EC175" i="4"/>
  <c r="EB175" i="4"/>
  <c r="EA175" i="4"/>
  <c r="DZ175" i="4"/>
  <c r="DY175" i="4"/>
  <c r="DX175" i="4"/>
  <c r="DW175" i="4"/>
  <c r="EH174" i="4"/>
  <c r="EG174" i="4"/>
  <c r="EF174" i="4"/>
  <c r="EE174" i="4"/>
  <c r="ED174" i="4"/>
  <c r="EC174" i="4"/>
  <c r="EB174" i="4"/>
  <c r="EA174" i="4"/>
  <c r="DZ174" i="4"/>
  <c r="DY174" i="4"/>
  <c r="DX174" i="4"/>
  <c r="DW174" i="4"/>
  <c r="EH173" i="4"/>
  <c r="EG173" i="4"/>
  <c r="EF173" i="4"/>
  <c r="EE173" i="4"/>
  <c r="ED173" i="4"/>
  <c r="EC173" i="4"/>
  <c r="EB173" i="4"/>
  <c r="EA173" i="4"/>
  <c r="DZ173" i="4"/>
  <c r="DY173" i="4"/>
  <c r="DX173" i="4"/>
  <c r="DW173" i="4"/>
  <c r="EH171" i="4"/>
  <c r="EG171" i="4"/>
  <c r="EF171" i="4"/>
  <c r="EE171" i="4"/>
  <c r="ED171" i="4"/>
  <c r="EC171" i="4"/>
  <c r="EB171" i="4"/>
  <c r="EA171" i="4"/>
  <c r="DZ171" i="4"/>
  <c r="DY171" i="4"/>
  <c r="DX171" i="4"/>
  <c r="DW171" i="4"/>
  <c r="EH170" i="4"/>
  <c r="EG170" i="4"/>
  <c r="EF170" i="4"/>
  <c r="EE170" i="4"/>
  <c r="ED170" i="4"/>
  <c r="EC170" i="4"/>
  <c r="EB170" i="4"/>
  <c r="EA170" i="4"/>
  <c r="DZ170" i="4"/>
  <c r="DY170" i="4"/>
  <c r="DX170" i="4"/>
  <c r="DW170" i="4"/>
  <c r="EH169" i="4"/>
  <c r="EG169" i="4"/>
  <c r="EF169" i="4"/>
  <c r="EE169" i="4"/>
  <c r="ED169" i="4"/>
  <c r="EC169" i="4"/>
  <c r="EB169" i="4"/>
  <c r="EA169" i="4"/>
  <c r="DZ169" i="4"/>
  <c r="DY169" i="4"/>
  <c r="DX169" i="4"/>
  <c r="DW169" i="4"/>
  <c r="EH168" i="4"/>
  <c r="EG168" i="4"/>
  <c r="EF168" i="4"/>
  <c r="EE168" i="4"/>
  <c r="ED168" i="4"/>
  <c r="EC168" i="4"/>
  <c r="EB168" i="4"/>
  <c r="EA168" i="4"/>
  <c r="DZ168" i="4"/>
  <c r="DY168" i="4"/>
  <c r="DX168" i="4"/>
  <c r="DW168" i="4"/>
  <c r="EH167" i="4"/>
  <c r="EG167" i="4"/>
  <c r="EF167" i="4"/>
  <c r="EE167" i="4"/>
  <c r="ED167" i="4"/>
  <c r="EC167" i="4"/>
  <c r="EB167" i="4"/>
  <c r="EA167" i="4"/>
  <c r="DZ167" i="4"/>
  <c r="DY167" i="4"/>
  <c r="DX167" i="4"/>
  <c r="DW167" i="4"/>
  <c r="EH166" i="4"/>
  <c r="EG166" i="4"/>
  <c r="EF166" i="4"/>
  <c r="EE166" i="4"/>
  <c r="ED166" i="4"/>
  <c r="EC166" i="4"/>
  <c r="EB166" i="4"/>
  <c r="EA166" i="4"/>
  <c r="DZ166" i="4"/>
  <c r="DY166" i="4"/>
  <c r="DX166" i="4"/>
  <c r="DW166" i="4"/>
  <c r="EH165" i="4"/>
  <c r="EG165" i="4"/>
  <c r="EF165" i="4"/>
  <c r="EE165" i="4"/>
  <c r="ED165" i="4"/>
  <c r="EC165" i="4"/>
  <c r="EB165" i="4"/>
  <c r="EA165" i="4"/>
  <c r="DZ165" i="4"/>
  <c r="DY165" i="4"/>
  <c r="DX165" i="4"/>
  <c r="DW165" i="4"/>
  <c r="EH162" i="4"/>
  <c r="EG162" i="4"/>
  <c r="EF162" i="4"/>
  <c r="EE162" i="4"/>
  <c r="ED162" i="4"/>
  <c r="EC162" i="4"/>
  <c r="EB162" i="4"/>
  <c r="EA162" i="4"/>
  <c r="DZ162" i="4"/>
  <c r="DY162" i="4"/>
  <c r="DX162" i="4"/>
  <c r="DW162" i="4"/>
  <c r="EH161" i="4"/>
  <c r="EG161" i="4"/>
  <c r="EF161" i="4"/>
  <c r="EE161" i="4"/>
  <c r="ED161" i="4"/>
  <c r="EC161" i="4"/>
  <c r="EB161" i="4"/>
  <c r="EA161" i="4"/>
  <c r="DZ161" i="4"/>
  <c r="DY161" i="4"/>
  <c r="DX161" i="4"/>
  <c r="DW161" i="4"/>
  <c r="EH160" i="4"/>
  <c r="EG160" i="4"/>
  <c r="EF160" i="4"/>
  <c r="EE160" i="4"/>
  <c r="ED160" i="4"/>
  <c r="EC160" i="4"/>
  <c r="EB160" i="4"/>
  <c r="EA160" i="4"/>
  <c r="DZ160" i="4"/>
  <c r="DY160" i="4"/>
  <c r="DX160" i="4"/>
  <c r="DW160" i="4"/>
  <c r="EH159" i="4"/>
  <c r="EG159" i="4"/>
  <c r="EF159" i="4"/>
  <c r="EE159" i="4"/>
  <c r="ED159" i="4"/>
  <c r="EC159" i="4"/>
  <c r="EB159" i="4"/>
  <c r="EA159" i="4"/>
  <c r="DZ159" i="4"/>
  <c r="DY159" i="4"/>
  <c r="DX159" i="4"/>
  <c r="DW159" i="4"/>
  <c r="EH158" i="4"/>
  <c r="EG158" i="4"/>
  <c r="EF158" i="4"/>
  <c r="EE158" i="4"/>
  <c r="ED158" i="4"/>
  <c r="EC158" i="4"/>
  <c r="EB158" i="4"/>
  <c r="EA158" i="4"/>
  <c r="DZ158" i="4"/>
  <c r="DY158" i="4"/>
  <c r="DX158" i="4"/>
  <c r="DW158" i="4"/>
  <c r="EH154" i="4"/>
  <c r="EG154" i="4"/>
  <c r="EF154" i="4"/>
  <c r="EE154" i="4"/>
  <c r="ED154" i="4"/>
  <c r="EC154" i="4"/>
  <c r="EB154" i="4"/>
  <c r="EA154" i="4"/>
  <c r="DZ154" i="4"/>
  <c r="DY154" i="4"/>
  <c r="DX154" i="4"/>
  <c r="DW154" i="4"/>
  <c r="EH153" i="4"/>
  <c r="EG153" i="4"/>
  <c r="EF153" i="4"/>
  <c r="EE153" i="4"/>
  <c r="ED153" i="4"/>
  <c r="EC153" i="4"/>
  <c r="EB153" i="4"/>
  <c r="EA153" i="4"/>
  <c r="DZ153" i="4"/>
  <c r="DY153" i="4"/>
  <c r="DX153" i="4"/>
  <c r="DW153" i="4"/>
  <c r="EH152" i="4"/>
  <c r="EG152" i="4"/>
  <c r="EF152" i="4"/>
  <c r="EE152" i="4"/>
  <c r="ED152" i="4"/>
  <c r="EC152" i="4"/>
  <c r="EB152" i="4"/>
  <c r="EA152" i="4"/>
  <c r="DZ152" i="4"/>
  <c r="DY152" i="4"/>
  <c r="DX152" i="4"/>
  <c r="DW152" i="4"/>
  <c r="EH151" i="4"/>
  <c r="EG151" i="4"/>
  <c r="EF151" i="4"/>
  <c r="EE151" i="4"/>
  <c r="ED151" i="4"/>
  <c r="EC151" i="4"/>
  <c r="EB151" i="4"/>
  <c r="EA151" i="4"/>
  <c r="DZ151" i="4"/>
  <c r="DY151" i="4"/>
  <c r="DX151" i="4"/>
  <c r="DW151" i="4"/>
  <c r="EH149" i="4"/>
  <c r="EG149" i="4"/>
  <c r="EF149" i="4"/>
  <c r="EE149" i="4"/>
  <c r="ED149" i="4"/>
  <c r="EC149" i="4"/>
  <c r="EB149" i="4"/>
  <c r="EA149" i="4"/>
  <c r="DZ149" i="4"/>
  <c r="DY149" i="4"/>
  <c r="DX149" i="4"/>
  <c r="DW149" i="4"/>
  <c r="EH148" i="4"/>
  <c r="EG148" i="4"/>
  <c r="EF148" i="4"/>
  <c r="EE148" i="4"/>
  <c r="ED148" i="4"/>
  <c r="EC148" i="4"/>
  <c r="EB148" i="4"/>
  <c r="EA148" i="4"/>
  <c r="DZ148" i="4"/>
  <c r="DY148" i="4"/>
  <c r="DX148" i="4"/>
  <c r="DW148" i="4"/>
  <c r="EH147" i="4"/>
  <c r="EG147" i="4"/>
  <c r="EF147" i="4"/>
  <c r="EE147" i="4"/>
  <c r="EE146" i="4" s="1"/>
  <c r="ED147" i="4"/>
  <c r="EC147" i="4"/>
  <c r="EB147" i="4"/>
  <c r="EA147" i="4"/>
  <c r="DZ147" i="4"/>
  <c r="DY147" i="4"/>
  <c r="DX147" i="4"/>
  <c r="DW147" i="4"/>
  <c r="EH145" i="4"/>
  <c r="EG145" i="4"/>
  <c r="EF145" i="4"/>
  <c r="EE145" i="4"/>
  <c r="ED145" i="4"/>
  <c r="EC145" i="4"/>
  <c r="EB145" i="4"/>
  <c r="EA145" i="4"/>
  <c r="DZ145" i="4"/>
  <c r="DY145" i="4"/>
  <c r="DX145" i="4"/>
  <c r="DW145" i="4"/>
  <c r="EH144" i="4"/>
  <c r="EG144" i="4"/>
  <c r="EF144" i="4"/>
  <c r="EE144" i="4"/>
  <c r="ED144" i="4"/>
  <c r="EC144" i="4"/>
  <c r="EB144" i="4"/>
  <c r="EA144" i="4"/>
  <c r="DZ144" i="4"/>
  <c r="DY144" i="4"/>
  <c r="DX144" i="4"/>
  <c r="DW144" i="4"/>
  <c r="EH143" i="4"/>
  <c r="EG143" i="4"/>
  <c r="EF143" i="4"/>
  <c r="EE143" i="4"/>
  <c r="ED143" i="4"/>
  <c r="EC143" i="4"/>
  <c r="EB143" i="4"/>
  <c r="EA143" i="4"/>
  <c r="DZ143" i="4"/>
  <c r="DY143" i="4"/>
  <c r="DX143" i="4"/>
  <c r="DW143" i="4"/>
  <c r="EH142" i="4"/>
  <c r="EG142" i="4"/>
  <c r="EF142" i="4"/>
  <c r="EE142" i="4"/>
  <c r="ED142" i="4"/>
  <c r="EC142" i="4"/>
  <c r="EB142" i="4"/>
  <c r="EA142" i="4"/>
  <c r="DZ142" i="4"/>
  <c r="DY142" i="4"/>
  <c r="DX142" i="4"/>
  <c r="DW142" i="4"/>
  <c r="EH141" i="4"/>
  <c r="EG141" i="4"/>
  <c r="EF141" i="4"/>
  <c r="EE141" i="4"/>
  <c r="ED141" i="4"/>
  <c r="EC141" i="4"/>
  <c r="EB141" i="4"/>
  <c r="EA141" i="4"/>
  <c r="DZ141" i="4"/>
  <c r="DY141" i="4"/>
  <c r="DX141" i="4"/>
  <c r="DW141" i="4"/>
  <c r="EH140" i="4"/>
  <c r="EG140" i="4"/>
  <c r="EF140" i="4"/>
  <c r="EE140" i="4"/>
  <c r="ED140" i="4"/>
  <c r="EC140" i="4"/>
  <c r="EB140" i="4"/>
  <c r="EA140" i="4"/>
  <c r="DZ140" i="4"/>
  <c r="DY140" i="4"/>
  <c r="DX140" i="4"/>
  <c r="DW140" i="4"/>
  <c r="EH139" i="4"/>
  <c r="EG139" i="4"/>
  <c r="EF139" i="4"/>
  <c r="EE139" i="4"/>
  <c r="ED139" i="4"/>
  <c r="EC139" i="4"/>
  <c r="EB139" i="4"/>
  <c r="EA139" i="4"/>
  <c r="DZ139" i="4"/>
  <c r="DY139" i="4"/>
  <c r="DX139" i="4"/>
  <c r="DW139" i="4"/>
  <c r="EH137" i="4"/>
  <c r="EG137" i="4"/>
  <c r="EF137" i="4"/>
  <c r="EE137" i="4"/>
  <c r="ED137" i="4"/>
  <c r="EC137" i="4"/>
  <c r="EB137" i="4"/>
  <c r="EA137" i="4"/>
  <c r="DZ137" i="4"/>
  <c r="DY137" i="4"/>
  <c r="DX137" i="4"/>
  <c r="DW137" i="4"/>
  <c r="EH136" i="4"/>
  <c r="EG136" i="4"/>
  <c r="EF136" i="4"/>
  <c r="EE136" i="4"/>
  <c r="ED136" i="4"/>
  <c r="EC136" i="4"/>
  <c r="EB136" i="4"/>
  <c r="EA136" i="4"/>
  <c r="DZ136" i="4"/>
  <c r="DY136" i="4"/>
  <c r="DX136" i="4"/>
  <c r="DW136" i="4"/>
  <c r="EH135" i="4"/>
  <c r="EG135" i="4"/>
  <c r="EF135" i="4"/>
  <c r="EE135" i="4"/>
  <c r="ED135" i="4"/>
  <c r="EC135" i="4"/>
  <c r="EB135" i="4"/>
  <c r="EA135" i="4"/>
  <c r="DZ135" i="4"/>
  <c r="DY135" i="4"/>
  <c r="DX135" i="4"/>
  <c r="DW135" i="4"/>
  <c r="EH134" i="4"/>
  <c r="EG134" i="4"/>
  <c r="EF134" i="4"/>
  <c r="EE134" i="4"/>
  <c r="ED134" i="4"/>
  <c r="EC134" i="4"/>
  <c r="EB134" i="4"/>
  <c r="EA134" i="4"/>
  <c r="DZ134" i="4"/>
  <c r="DY134" i="4"/>
  <c r="DX134" i="4"/>
  <c r="DW134" i="4"/>
  <c r="EH132" i="4"/>
  <c r="EG132" i="4"/>
  <c r="EF132" i="4"/>
  <c r="EE132" i="4"/>
  <c r="ED132" i="4"/>
  <c r="EC132" i="4"/>
  <c r="EB132" i="4"/>
  <c r="EA132" i="4"/>
  <c r="DZ132" i="4"/>
  <c r="DY132" i="4"/>
  <c r="DX132" i="4"/>
  <c r="DW132" i="4"/>
  <c r="EH131" i="4"/>
  <c r="EG131" i="4"/>
  <c r="EF131" i="4"/>
  <c r="EE131" i="4"/>
  <c r="ED131" i="4"/>
  <c r="EC131" i="4"/>
  <c r="EB131" i="4"/>
  <c r="EA131" i="4"/>
  <c r="DZ131" i="4"/>
  <c r="DY131" i="4"/>
  <c r="DX131" i="4"/>
  <c r="DW131" i="4"/>
  <c r="EH130" i="4"/>
  <c r="EG130" i="4"/>
  <c r="EF130" i="4"/>
  <c r="EE130" i="4"/>
  <c r="ED130" i="4"/>
  <c r="EC130" i="4"/>
  <c r="EB130" i="4"/>
  <c r="EA130" i="4"/>
  <c r="DZ130" i="4"/>
  <c r="DY130" i="4"/>
  <c r="DX130" i="4"/>
  <c r="DW130" i="4"/>
  <c r="EH128" i="4"/>
  <c r="EG128" i="4"/>
  <c r="EF128" i="4"/>
  <c r="EE128" i="4"/>
  <c r="ED128" i="4"/>
  <c r="EC128" i="4"/>
  <c r="EB128" i="4"/>
  <c r="EA128" i="4"/>
  <c r="DZ128" i="4"/>
  <c r="DY128" i="4"/>
  <c r="DX128" i="4"/>
  <c r="DW128" i="4"/>
  <c r="EH127" i="4"/>
  <c r="EG127" i="4"/>
  <c r="EF127" i="4"/>
  <c r="EE127" i="4"/>
  <c r="ED127" i="4"/>
  <c r="EC127" i="4"/>
  <c r="EB127" i="4"/>
  <c r="EA127" i="4"/>
  <c r="DZ127" i="4"/>
  <c r="DY127" i="4"/>
  <c r="DX127" i="4"/>
  <c r="DW127" i="4"/>
  <c r="EH126" i="4"/>
  <c r="EG126" i="4"/>
  <c r="EF126" i="4"/>
  <c r="EE126" i="4"/>
  <c r="ED126" i="4"/>
  <c r="EC126" i="4"/>
  <c r="EB126" i="4"/>
  <c r="EA126" i="4"/>
  <c r="DZ126" i="4"/>
  <c r="DY126" i="4"/>
  <c r="DX126" i="4"/>
  <c r="DW126" i="4"/>
  <c r="EH125" i="4"/>
  <c r="EG125" i="4"/>
  <c r="EF125" i="4"/>
  <c r="EE125" i="4"/>
  <c r="ED125" i="4"/>
  <c r="EC125" i="4"/>
  <c r="EB125" i="4"/>
  <c r="EA125" i="4"/>
  <c r="DZ125" i="4"/>
  <c r="DY125" i="4"/>
  <c r="DX125" i="4"/>
  <c r="DW125" i="4"/>
  <c r="EH124" i="4"/>
  <c r="EG124" i="4"/>
  <c r="EF124" i="4"/>
  <c r="EE124" i="4"/>
  <c r="ED124" i="4"/>
  <c r="EC124" i="4"/>
  <c r="EB124" i="4"/>
  <c r="EA124" i="4"/>
  <c r="DZ124" i="4"/>
  <c r="DY124" i="4"/>
  <c r="DX124" i="4"/>
  <c r="DW124" i="4"/>
  <c r="EH123" i="4"/>
  <c r="EG123" i="4"/>
  <c r="EF123" i="4"/>
  <c r="EE123" i="4"/>
  <c r="ED123" i="4"/>
  <c r="EC123" i="4"/>
  <c r="EB123" i="4"/>
  <c r="EA123" i="4"/>
  <c r="DZ123" i="4"/>
  <c r="DY123" i="4"/>
  <c r="DX123" i="4"/>
  <c r="DW123" i="4"/>
  <c r="EH122" i="4"/>
  <c r="EG122" i="4"/>
  <c r="EF122" i="4"/>
  <c r="EE122" i="4"/>
  <c r="ED122" i="4"/>
  <c r="EC122" i="4"/>
  <c r="EB122" i="4"/>
  <c r="EA122" i="4"/>
  <c r="DZ122" i="4"/>
  <c r="DY122" i="4"/>
  <c r="DX122" i="4"/>
  <c r="DW122" i="4"/>
  <c r="EH121" i="4"/>
  <c r="EG121" i="4"/>
  <c r="EF121" i="4"/>
  <c r="EE121" i="4"/>
  <c r="ED121" i="4"/>
  <c r="EC121" i="4"/>
  <c r="EB121" i="4"/>
  <c r="EA121" i="4"/>
  <c r="DZ121" i="4"/>
  <c r="DY121" i="4"/>
  <c r="DX121" i="4"/>
  <c r="DW121" i="4"/>
  <c r="EH120" i="4"/>
  <c r="EG120" i="4"/>
  <c r="EF120" i="4"/>
  <c r="EE120" i="4"/>
  <c r="ED120" i="4"/>
  <c r="EC120" i="4"/>
  <c r="EB120" i="4"/>
  <c r="EA120" i="4"/>
  <c r="DZ120" i="4"/>
  <c r="DY120" i="4"/>
  <c r="DX120" i="4"/>
  <c r="DW120" i="4"/>
  <c r="EH119" i="4"/>
  <c r="EG119" i="4"/>
  <c r="EF119" i="4"/>
  <c r="EE119" i="4"/>
  <c r="ED119" i="4"/>
  <c r="EC119" i="4"/>
  <c r="EB119" i="4"/>
  <c r="EA119" i="4"/>
  <c r="DZ119" i="4"/>
  <c r="DY119" i="4"/>
  <c r="DX119" i="4"/>
  <c r="DW119" i="4"/>
  <c r="EH118" i="4"/>
  <c r="EG118" i="4"/>
  <c r="EF118" i="4"/>
  <c r="EE118" i="4"/>
  <c r="ED118" i="4"/>
  <c r="EC118" i="4"/>
  <c r="EB118" i="4"/>
  <c r="EA118" i="4"/>
  <c r="DZ118" i="4"/>
  <c r="DY118" i="4"/>
  <c r="DX118" i="4"/>
  <c r="DW118" i="4"/>
  <c r="EH117" i="4"/>
  <c r="EG117" i="4"/>
  <c r="EF117" i="4"/>
  <c r="EE117" i="4"/>
  <c r="ED117" i="4"/>
  <c r="EC117" i="4"/>
  <c r="EB117" i="4"/>
  <c r="EA117" i="4"/>
  <c r="DZ117" i="4"/>
  <c r="DY117" i="4"/>
  <c r="DX117" i="4"/>
  <c r="DW117" i="4"/>
  <c r="EH113" i="4"/>
  <c r="EG113" i="4"/>
  <c r="EF113" i="4"/>
  <c r="EE113" i="4"/>
  <c r="ED113" i="4"/>
  <c r="EC113" i="4"/>
  <c r="EB113" i="4"/>
  <c r="EA113" i="4"/>
  <c r="DZ113" i="4"/>
  <c r="DY113" i="4"/>
  <c r="DX113" i="4"/>
  <c r="DW113" i="4"/>
  <c r="EH112" i="4"/>
  <c r="EG112" i="4"/>
  <c r="EF112" i="4"/>
  <c r="EE112" i="4"/>
  <c r="ED112" i="4"/>
  <c r="EC112" i="4"/>
  <c r="EB112" i="4"/>
  <c r="EA112" i="4"/>
  <c r="DZ112" i="4"/>
  <c r="DY112" i="4"/>
  <c r="DX112" i="4"/>
  <c r="DW112" i="4"/>
  <c r="EH111" i="4"/>
  <c r="EG111" i="4"/>
  <c r="EF111" i="4"/>
  <c r="EE111" i="4"/>
  <c r="ED111" i="4"/>
  <c r="EC111" i="4"/>
  <c r="EB111" i="4"/>
  <c r="EA111" i="4"/>
  <c r="DZ111" i="4"/>
  <c r="DY111" i="4"/>
  <c r="DX111" i="4"/>
  <c r="DW111" i="4"/>
  <c r="EH110" i="4"/>
  <c r="EG110" i="4"/>
  <c r="EF110" i="4"/>
  <c r="EE110" i="4"/>
  <c r="ED110" i="4"/>
  <c r="EC110" i="4"/>
  <c r="EB110" i="4"/>
  <c r="EA110" i="4"/>
  <c r="DZ110" i="4"/>
  <c r="DY110" i="4"/>
  <c r="DX110" i="4"/>
  <c r="DW110" i="4"/>
  <c r="EH109" i="4"/>
  <c r="EG109" i="4"/>
  <c r="EF109" i="4"/>
  <c r="EE109" i="4"/>
  <c r="ED109" i="4"/>
  <c r="EC109" i="4"/>
  <c r="EB109" i="4"/>
  <c r="EA109" i="4"/>
  <c r="DZ109" i="4"/>
  <c r="DY109" i="4"/>
  <c r="DX109" i="4"/>
  <c r="DW109" i="4"/>
  <c r="EH108" i="4"/>
  <c r="EG108" i="4"/>
  <c r="EF108" i="4"/>
  <c r="EE108" i="4"/>
  <c r="ED108" i="4"/>
  <c r="EC108" i="4"/>
  <c r="EB108" i="4"/>
  <c r="EA108" i="4"/>
  <c r="DZ108" i="4"/>
  <c r="DY108" i="4"/>
  <c r="DX108" i="4"/>
  <c r="DW108" i="4"/>
  <c r="EH107" i="4"/>
  <c r="EG107" i="4"/>
  <c r="EF107" i="4"/>
  <c r="EE107" i="4"/>
  <c r="ED107" i="4"/>
  <c r="EC107" i="4"/>
  <c r="EB107" i="4"/>
  <c r="EA107" i="4"/>
  <c r="DZ107" i="4"/>
  <c r="DY107" i="4"/>
  <c r="DX107" i="4"/>
  <c r="DW107" i="4"/>
  <c r="EH106" i="4"/>
  <c r="EG106" i="4"/>
  <c r="EF106" i="4"/>
  <c r="EE106" i="4"/>
  <c r="ED106" i="4"/>
  <c r="EC106" i="4"/>
  <c r="EB106" i="4"/>
  <c r="EA106" i="4"/>
  <c r="DZ106" i="4"/>
  <c r="DY106" i="4"/>
  <c r="DX106" i="4"/>
  <c r="DW106" i="4"/>
  <c r="EH105" i="4"/>
  <c r="EG105" i="4"/>
  <c r="EF105" i="4"/>
  <c r="EE105" i="4"/>
  <c r="ED105" i="4"/>
  <c r="EC105" i="4"/>
  <c r="EB105" i="4"/>
  <c r="EA105" i="4"/>
  <c r="DZ105" i="4"/>
  <c r="DY105" i="4"/>
  <c r="DX105" i="4"/>
  <c r="DW105" i="4"/>
  <c r="EH102" i="4"/>
  <c r="EG102" i="4"/>
  <c r="EF102" i="4"/>
  <c r="EE102" i="4"/>
  <c r="ED102" i="4"/>
  <c r="EC102" i="4"/>
  <c r="EB102" i="4"/>
  <c r="EA102" i="4"/>
  <c r="DZ102" i="4"/>
  <c r="DY102" i="4"/>
  <c r="DX102" i="4"/>
  <c r="DW102" i="4"/>
  <c r="EH101" i="4"/>
  <c r="EG101" i="4"/>
  <c r="EF101" i="4"/>
  <c r="EE101" i="4"/>
  <c r="ED101" i="4"/>
  <c r="EC101" i="4"/>
  <c r="EB101" i="4"/>
  <c r="EA101" i="4"/>
  <c r="DZ101" i="4"/>
  <c r="DY101" i="4"/>
  <c r="DX101" i="4"/>
  <c r="DW101" i="4"/>
  <c r="EH100" i="4"/>
  <c r="EG100" i="4"/>
  <c r="EF100" i="4"/>
  <c r="EE100" i="4"/>
  <c r="ED100" i="4"/>
  <c r="EC100" i="4"/>
  <c r="EB100" i="4"/>
  <c r="EA100" i="4"/>
  <c r="DZ100" i="4"/>
  <c r="DY100" i="4"/>
  <c r="DX100" i="4"/>
  <c r="DW100" i="4"/>
  <c r="EH99" i="4"/>
  <c r="EG99" i="4"/>
  <c r="EF99" i="4"/>
  <c r="EE99" i="4"/>
  <c r="ED99" i="4"/>
  <c r="EC99" i="4"/>
  <c r="EB99" i="4"/>
  <c r="EA99" i="4"/>
  <c r="DZ99" i="4"/>
  <c r="DY99" i="4"/>
  <c r="DX99" i="4"/>
  <c r="DW99" i="4"/>
  <c r="EH98" i="4"/>
  <c r="EG98" i="4"/>
  <c r="EF98" i="4"/>
  <c r="EE98" i="4"/>
  <c r="ED98" i="4"/>
  <c r="EC98" i="4"/>
  <c r="EB98" i="4"/>
  <c r="EA98" i="4"/>
  <c r="DZ98" i="4"/>
  <c r="DY98" i="4"/>
  <c r="DX98" i="4"/>
  <c r="DW98" i="4"/>
  <c r="EH97" i="4"/>
  <c r="EG97" i="4"/>
  <c r="EF97" i="4"/>
  <c r="EE97" i="4"/>
  <c r="ED97" i="4"/>
  <c r="EC97" i="4"/>
  <c r="EB97" i="4"/>
  <c r="EA97" i="4"/>
  <c r="DZ97" i="4"/>
  <c r="DY97" i="4"/>
  <c r="DX97" i="4"/>
  <c r="DW97" i="4"/>
  <c r="EH96" i="4"/>
  <c r="EG96" i="4"/>
  <c r="EF96" i="4"/>
  <c r="EE96" i="4"/>
  <c r="ED96" i="4"/>
  <c r="EC96" i="4"/>
  <c r="EB96" i="4"/>
  <c r="EA96" i="4"/>
  <c r="DZ96" i="4"/>
  <c r="DY96" i="4"/>
  <c r="DX96" i="4"/>
  <c r="DW96" i="4"/>
  <c r="EH95" i="4"/>
  <c r="EG95" i="4"/>
  <c r="EF95" i="4"/>
  <c r="EE95" i="4"/>
  <c r="ED95" i="4"/>
  <c r="EC95" i="4"/>
  <c r="EB95" i="4"/>
  <c r="EA95" i="4"/>
  <c r="DZ95" i="4"/>
  <c r="DY95" i="4"/>
  <c r="DX95" i="4"/>
  <c r="DW95" i="4"/>
  <c r="EH94" i="4"/>
  <c r="EG94" i="4"/>
  <c r="EF94" i="4"/>
  <c r="EE94" i="4"/>
  <c r="ED94" i="4"/>
  <c r="EC94" i="4"/>
  <c r="EB94" i="4"/>
  <c r="EA94" i="4"/>
  <c r="DZ94" i="4"/>
  <c r="DY94" i="4"/>
  <c r="DX94" i="4"/>
  <c r="DW94" i="4"/>
  <c r="EH93" i="4"/>
  <c r="EG93" i="4"/>
  <c r="EF93" i="4"/>
  <c r="EE93" i="4"/>
  <c r="ED93" i="4"/>
  <c r="EC93" i="4"/>
  <c r="EB93" i="4"/>
  <c r="EA93" i="4"/>
  <c r="DZ93" i="4"/>
  <c r="DY93" i="4"/>
  <c r="DX93" i="4"/>
  <c r="DW93" i="4"/>
  <c r="EH92" i="4"/>
  <c r="EG92" i="4"/>
  <c r="EF92" i="4"/>
  <c r="EE92" i="4"/>
  <c r="ED92" i="4"/>
  <c r="EC92" i="4"/>
  <c r="EB92" i="4"/>
  <c r="EA92" i="4"/>
  <c r="DZ92" i="4"/>
  <c r="DY92" i="4"/>
  <c r="DX92" i="4"/>
  <c r="DW92" i="4"/>
  <c r="EH91" i="4"/>
  <c r="EG91" i="4"/>
  <c r="EF91" i="4"/>
  <c r="EE91" i="4"/>
  <c r="ED91" i="4"/>
  <c r="EC91" i="4"/>
  <c r="EB91" i="4"/>
  <c r="EA91" i="4"/>
  <c r="DZ91" i="4"/>
  <c r="DY91" i="4"/>
  <c r="DX91" i="4"/>
  <c r="DW91" i="4"/>
  <c r="EH89" i="4"/>
  <c r="EG89" i="4"/>
  <c r="EF89" i="4"/>
  <c r="EE89" i="4"/>
  <c r="ED89" i="4"/>
  <c r="EC89" i="4"/>
  <c r="EB89" i="4"/>
  <c r="EA89" i="4"/>
  <c r="DZ89" i="4"/>
  <c r="DY89" i="4"/>
  <c r="DX89" i="4"/>
  <c r="DW89" i="4"/>
  <c r="EH88" i="4"/>
  <c r="EG88" i="4"/>
  <c r="EF88" i="4"/>
  <c r="EE88" i="4"/>
  <c r="ED88" i="4"/>
  <c r="EC88" i="4"/>
  <c r="EB88" i="4"/>
  <c r="EA88" i="4"/>
  <c r="DZ88" i="4"/>
  <c r="DY88" i="4"/>
  <c r="DX88" i="4"/>
  <c r="DW88" i="4"/>
  <c r="EH86" i="4"/>
  <c r="EG86" i="4"/>
  <c r="EF86" i="4"/>
  <c r="EE86" i="4"/>
  <c r="ED86" i="4"/>
  <c r="EC86" i="4"/>
  <c r="EB86" i="4"/>
  <c r="EA86" i="4"/>
  <c r="DZ86" i="4"/>
  <c r="DY86" i="4"/>
  <c r="DX86" i="4"/>
  <c r="DW86" i="4"/>
  <c r="EH85" i="4"/>
  <c r="EG85" i="4"/>
  <c r="EF85" i="4"/>
  <c r="EE85" i="4"/>
  <c r="ED85" i="4"/>
  <c r="EC85" i="4"/>
  <c r="EB85" i="4"/>
  <c r="EA85" i="4"/>
  <c r="DZ85" i="4"/>
  <c r="DY85" i="4"/>
  <c r="DX85" i="4"/>
  <c r="DW85" i="4"/>
  <c r="EH84" i="4"/>
  <c r="EG84" i="4"/>
  <c r="EF84" i="4"/>
  <c r="EE84" i="4"/>
  <c r="ED84" i="4"/>
  <c r="EC84" i="4"/>
  <c r="EB84" i="4"/>
  <c r="EA84" i="4"/>
  <c r="DZ84" i="4"/>
  <c r="DY84" i="4"/>
  <c r="DX84" i="4"/>
  <c r="DW84" i="4"/>
  <c r="EH83" i="4"/>
  <c r="EG83" i="4"/>
  <c r="EF83" i="4"/>
  <c r="EE83" i="4"/>
  <c r="ED83" i="4"/>
  <c r="EC83" i="4"/>
  <c r="EB83" i="4"/>
  <c r="EA83" i="4"/>
  <c r="DZ83" i="4"/>
  <c r="DY83" i="4"/>
  <c r="DX83" i="4"/>
  <c r="DW83" i="4"/>
  <c r="EH82" i="4"/>
  <c r="EG82" i="4"/>
  <c r="EF82" i="4"/>
  <c r="EE82" i="4"/>
  <c r="ED82" i="4"/>
  <c r="EC82" i="4"/>
  <c r="EB82" i="4"/>
  <c r="EA82" i="4"/>
  <c r="DZ82" i="4"/>
  <c r="DY82" i="4"/>
  <c r="DX82" i="4"/>
  <c r="DW82" i="4"/>
  <c r="EH81" i="4"/>
  <c r="EG81" i="4"/>
  <c r="EF81" i="4"/>
  <c r="EE81" i="4"/>
  <c r="ED81" i="4"/>
  <c r="EC81" i="4"/>
  <c r="EB81" i="4"/>
  <c r="EA81" i="4"/>
  <c r="DZ81" i="4"/>
  <c r="DY81" i="4"/>
  <c r="DX81" i="4"/>
  <c r="DW81" i="4"/>
  <c r="EH80" i="4"/>
  <c r="EG80" i="4"/>
  <c r="EF80" i="4"/>
  <c r="EE80" i="4"/>
  <c r="ED80" i="4"/>
  <c r="EC80" i="4"/>
  <c r="EB80" i="4"/>
  <c r="EA80" i="4"/>
  <c r="DZ80" i="4"/>
  <c r="DY80" i="4"/>
  <c r="DX80" i="4"/>
  <c r="DW80" i="4"/>
  <c r="EH79" i="4"/>
  <c r="EG79" i="4"/>
  <c r="EF79" i="4"/>
  <c r="EE79" i="4"/>
  <c r="ED79" i="4"/>
  <c r="EC79" i="4"/>
  <c r="EB79" i="4"/>
  <c r="EA79" i="4"/>
  <c r="DZ79" i="4"/>
  <c r="DY79" i="4"/>
  <c r="DX79" i="4"/>
  <c r="DW79" i="4"/>
  <c r="EH78" i="4"/>
  <c r="EG78" i="4"/>
  <c r="EF78" i="4"/>
  <c r="EE78" i="4"/>
  <c r="ED78" i="4"/>
  <c r="EC78" i="4"/>
  <c r="EB78" i="4"/>
  <c r="EA78" i="4"/>
  <c r="DZ78" i="4"/>
  <c r="DY78" i="4"/>
  <c r="DX78" i="4"/>
  <c r="DW78" i="4"/>
  <c r="EH77" i="4"/>
  <c r="EG77" i="4"/>
  <c r="EF77" i="4"/>
  <c r="EE77" i="4"/>
  <c r="ED77" i="4"/>
  <c r="EC77" i="4"/>
  <c r="EB77" i="4"/>
  <c r="EA77" i="4"/>
  <c r="DZ77" i="4"/>
  <c r="DY77" i="4"/>
  <c r="DX77" i="4"/>
  <c r="DW77" i="4"/>
  <c r="EH69" i="4"/>
  <c r="EG69" i="4"/>
  <c r="EF69" i="4"/>
  <c r="EE69" i="4"/>
  <c r="ED69" i="4"/>
  <c r="EC69" i="4"/>
  <c r="EB69" i="4"/>
  <c r="EA69" i="4"/>
  <c r="DZ69" i="4"/>
  <c r="DY69" i="4"/>
  <c r="DX69" i="4"/>
  <c r="DW69" i="4"/>
  <c r="EH68" i="4"/>
  <c r="EG68" i="4"/>
  <c r="EF68" i="4"/>
  <c r="EE68" i="4"/>
  <c r="ED68" i="4"/>
  <c r="EC68" i="4"/>
  <c r="EB68" i="4"/>
  <c r="EA68" i="4"/>
  <c r="DZ68" i="4"/>
  <c r="DY68" i="4"/>
  <c r="DX68" i="4"/>
  <c r="DW68" i="4"/>
  <c r="EH67" i="4"/>
  <c r="EG67" i="4"/>
  <c r="EF67" i="4"/>
  <c r="EE67" i="4"/>
  <c r="ED67" i="4"/>
  <c r="EC67" i="4"/>
  <c r="EB67" i="4"/>
  <c r="EA67" i="4"/>
  <c r="DZ67" i="4"/>
  <c r="DY67" i="4"/>
  <c r="DX67" i="4"/>
  <c r="DW67" i="4"/>
  <c r="EH66" i="4"/>
  <c r="EG66" i="4"/>
  <c r="EF66" i="4"/>
  <c r="EE66" i="4"/>
  <c r="ED66" i="4"/>
  <c r="EC66" i="4"/>
  <c r="EB66" i="4"/>
  <c r="EA66" i="4"/>
  <c r="DZ66" i="4"/>
  <c r="DY66" i="4"/>
  <c r="DX66" i="4"/>
  <c r="DW66" i="4"/>
  <c r="EH65" i="4"/>
  <c r="EG65" i="4"/>
  <c r="EF65" i="4"/>
  <c r="EE65" i="4"/>
  <c r="ED65" i="4"/>
  <c r="EC65" i="4"/>
  <c r="EB65" i="4"/>
  <c r="EA65" i="4"/>
  <c r="DZ65" i="4"/>
  <c r="DY65" i="4"/>
  <c r="DX65" i="4"/>
  <c r="DW65" i="4"/>
  <c r="EH64" i="4"/>
  <c r="EG64" i="4"/>
  <c r="EF64" i="4"/>
  <c r="EE64" i="4"/>
  <c r="ED64" i="4"/>
  <c r="EC64" i="4"/>
  <c r="EB64" i="4"/>
  <c r="EA64" i="4"/>
  <c r="DZ64" i="4"/>
  <c r="DY64" i="4"/>
  <c r="DX64" i="4"/>
  <c r="DW64" i="4"/>
  <c r="EH63" i="4"/>
  <c r="EG63" i="4"/>
  <c r="EF63" i="4"/>
  <c r="EE63" i="4"/>
  <c r="ED63" i="4"/>
  <c r="EC63" i="4"/>
  <c r="EB63" i="4"/>
  <c r="EA63" i="4"/>
  <c r="DZ63" i="4"/>
  <c r="DY63" i="4"/>
  <c r="DX63" i="4"/>
  <c r="DW63" i="4"/>
  <c r="EH62" i="4"/>
  <c r="EG62" i="4"/>
  <c r="EF62" i="4"/>
  <c r="EE62" i="4"/>
  <c r="ED62" i="4"/>
  <c r="EC62" i="4"/>
  <c r="EB62" i="4"/>
  <c r="EA62" i="4"/>
  <c r="DZ62" i="4"/>
  <c r="DY62" i="4"/>
  <c r="DX62" i="4"/>
  <c r="DW62" i="4"/>
  <c r="EH61" i="4"/>
  <c r="EG61" i="4"/>
  <c r="EF61" i="4"/>
  <c r="EE61" i="4"/>
  <c r="ED61" i="4"/>
  <c r="EC61" i="4"/>
  <c r="EB61" i="4"/>
  <c r="EA61" i="4"/>
  <c r="DZ61" i="4"/>
  <c r="DY61" i="4"/>
  <c r="DX61" i="4"/>
  <c r="DW61" i="4"/>
  <c r="EH56" i="4"/>
  <c r="EG56" i="4"/>
  <c r="EF56" i="4"/>
  <c r="EE56" i="4"/>
  <c r="ED56" i="4"/>
  <c r="EC56" i="4"/>
  <c r="EB56" i="4"/>
  <c r="EA56" i="4"/>
  <c r="DZ56" i="4"/>
  <c r="DY56" i="4"/>
  <c r="DX56" i="4"/>
  <c r="DW56" i="4"/>
  <c r="EH55" i="4"/>
  <c r="EG55" i="4"/>
  <c r="EF55" i="4"/>
  <c r="EE55" i="4"/>
  <c r="ED55" i="4"/>
  <c r="EC55" i="4"/>
  <c r="EB55" i="4"/>
  <c r="EA55" i="4"/>
  <c r="DZ55" i="4"/>
  <c r="DY55" i="4"/>
  <c r="DX55" i="4"/>
  <c r="DW55" i="4"/>
  <c r="EH53" i="4"/>
  <c r="EG53" i="4"/>
  <c r="EF53" i="4"/>
  <c r="EE53" i="4"/>
  <c r="ED53" i="4"/>
  <c r="EC53" i="4"/>
  <c r="EB53" i="4"/>
  <c r="EA53" i="4"/>
  <c r="DZ53" i="4"/>
  <c r="DY53" i="4"/>
  <c r="DX53" i="4"/>
  <c r="DW53" i="4"/>
  <c r="EH52" i="4"/>
  <c r="EG52" i="4"/>
  <c r="EF52" i="4"/>
  <c r="EE52" i="4"/>
  <c r="ED52" i="4"/>
  <c r="EC52" i="4"/>
  <c r="EB52" i="4"/>
  <c r="EA52" i="4"/>
  <c r="DZ52" i="4"/>
  <c r="DY52" i="4"/>
  <c r="DX52" i="4"/>
  <c r="DW52" i="4"/>
  <c r="EH51" i="4"/>
  <c r="EG51" i="4"/>
  <c r="EF51" i="4"/>
  <c r="EE51" i="4"/>
  <c r="EE54" i="4" s="1"/>
  <c r="ED51" i="4"/>
  <c r="EC51" i="4"/>
  <c r="EB51" i="4"/>
  <c r="EA51" i="4"/>
  <c r="DZ51" i="4"/>
  <c r="DY51" i="4"/>
  <c r="DX51" i="4"/>
  <c r="DW51" i="4"/>
  <c r="EH50" i="4"/>
  <c r="EG50" i="4"/>
  <c r="EF50" i="4"/>
  <c r="EE50" i="4"/>
  <c r="ED50" i="4"/>
  <c r="EC50" i="4"/>
  <c r="EB50" i="4"/>
  <c r="EA50" i="4"/>
  <c r="DZ50" i="4"/>
  <c r="DY50" i="4"/>
  <c r="DX50" i="4"/>
  <c r="DW50" i="4"/>
  <c r="EH46" i="4"/>
  <c r="EG46" i="4"/>
  <c r="EF46" i="4"/>
  <c r="EE46" i="4"/>
  <c r="ED46" i="4"/>
  <c r="EC46" i="4"/>
  <c r="EB46" i="4"/>
  <c r="EA46" i="4"/>
  <c r="DZ46" i="4"/>
  <c r="DY46" i="4"/>
  <c r="DX46" i="4"/>
  <c r="DW46" i="4"/>
  <c r="EH45" i="4"/>
  <c r="EG45" i="4"/>
  <c r="EF45" i="4"/>
  <c r="EE45" i="4"/>
  <c r="ED45" i="4"/>
  <c r="EC45" i="4"/>
  <c r="EB45" i="4"/>
  <c r="EA45" i="4"/>
  <c r="DZ45" i="4"/>
  <c r="DY45" i="4"/>
  <c r="DX45" i="4"/>
  <c r="DW45" i="4"/>
  <c r="EH44" i="4"/>
  <c r="EG44" i="4"/>
  <c r="EF44" i="4"/>
  <c r="EE44" i="4"/>
  <c r="ED44" i="4"/>
  <c r="EC44" i="4"/>
  <c r="EB44" i="4"/>
  <c r="EA44" i="4"/>
  <c r="DZ44" i="4"/>
  <c r="DY44" i="4"/>
  <c r="DX44" i="4"/>
  <c r="DW44" i="4"/>
  <c r="EH42" i="4"/>
  <c r="EG42" i="4"/>
  <c r="EF42" i="4"/>
  <c r="EE42" i="4"/>
  <c r="ED42" i="4"/>
  <c r="EC42" i="4"/>
  <c r="EB42" i="4"/>
  <c r="EA42" i="4"/>
  <c r="DZ42" i="4"/>
  <c r="DY42" i="4"/>
  <c r="DX42" i="4"/>
  <c r="DW42" i="4"/>
  <c r="EH41" i="4"/>
  <c r="EG41" i="4"/>
  <c r="EF41" i="4"/>
  <c r="EE41" i="4"/>
  <c r="ED41" i="4"/>
  <c r="EC41" i="4"/>
  <c r="EB41" i="4"/>
  <c r="EA41" i="4"/>
  <c r="DZ41" i="4"/>
  <c r="DY41" i="4"/>
  <c r="DX41" i="4"/>
  <c r="DW41" i="4"/>
  <c r="EH40" i="4"/>
  <c r="EG40" i="4"/>
  <c r="EF40" i="4"/>
  <c r="EE40" i="4"/>
  <c r="ED40" i="4"/>
  <c r="EC40" i="4"/>
  <c r="EB40" i="4"/>
  <c r="EA40" i="4"/>
  <c r="DZ40" i="4"/>
  <c r="DY40" i="4"/>
  <c r="DX40" i="4"/>
  <c r="DW40" i="4"/>
  <c r="EH39" i="4"/>
  <c r="EG39" i="4"/>
  <c r="EF39" i="4"/>
  <c r="EE39" i="4"/>
  <c r="ED39" i="4"/>
  <c r="EC39" i="4"/>
  <c r="EB39" i="4"/>
  <c r="EA39" i="4"/>
  <c r="DZ39" i="4"/>
  <c r="DY39" i="4"/>
  <c r="DX39" i="4"/>
  <c r="DW39" i="4"/>
  <c r="EH37" i="4"/>
  <c r="EG37" i="4"/>
  <c r="EF37" i="4"/>
  <c r="EE37" i="4"/>
  <c r="ED37" i="4"/>
  <c r="EC37" i="4"/>
  <c r="EB37" i="4"/>
  <c r="EA37" i="4"/>
  <c r="DZ37" i="4"/>
  <c r="DY37" i="4"/>
  <c r="DX37" i="4"/>
  <c r="DW37" i="4"/>
  <c r="EH36" i="4"/>
  <c r="EG36" i="4"/>
  <c r="EF36" i="4"/>
  <c r="EE36" i="4"/>
  <c r="ED36" i="4"/>
  <c r="EC36" i="4"/>
  <c r="EB36" i="4"/>
  <c r="EA36" i="4"/>
  <c r="DZ36" i="4"/>
  <c r="DY36" i="4"/>
  <c r="DX36" i="4"/>
  <c r="DW36" i="4"/>
  <c r="EH35" i="4"/>
  <c r="EG35" i="4"/>
  <c r="EF35" i="4"/>
  <c r="EE35" i="4"/>
  <c r="ED35" i="4"/>
  <c r="EC35" i="4"/>
  <c r="EB35" i="4"/>
  <c r="EA35" i="4"/>
  <c r="DZ35" i="4"/>
  <c r="DY35" i="4"/>
  <c r="DX35" i="4"/>
  <c r="DW35" i="4"/>
  <c r="EH34" i="4"/>
  <c r="EG34" i="4"/>
  <c r="EF34" i="4"/>
  <c r="EE34" i="4"/>
  <c r="ED34" i="4"/>
  <c r="EC34" i="4"/>
  <c r="EB34" i="4"/>
  <c r="EA34" i="4"/>
  <c r="DZ34" i="4"/>
  <c r="DY34" i="4"/>
  <c r="DX34" i="4"/>
  <c r="DW34" i="4"/>
  <c r="EH33" i="4"/>
  <c r="EG33" i="4"/>
  <c r="EF33" i="4"/>
  <c r="EE33" i="4"/>
  <c r="ED33" i="4"/>
  <c r="EC33" i="4"/>
  <c r="EB33" i="4"/>
  <c r="EA33" i="4"/>
  <c r="DZ33" i="4"/>
  <c r="DY33" i="4"/>
  <c r="DX33" i="4"/>
  <c r="DW33" i="4"/>
  <c r="EH32" i="4"/>
  <c r="EG32" i="4"/>
  <c r="EF32" i="4"/>
  <c r="EE32" i="4"/>
  <c r="ED32" i="4"/>
  <c r="EC32" i="4"/>
  <c r="EB32" i="4"/>
  <c r="EA32" i="4"/>
  <c r="DZ32" i="4"/>
  <c r="DY32" i="4"/>
  <c r="DX32" i="4"/>
  <c r="DW32" i="4"/>
  <c r="EH31" i="4"/>
  <c r="EG31" i="4"/>
  <c r="EF31" i="4"/>
  <c r="EE31" i="4"/>
  <c r="ED31" i="4"/>
  <c r="EC31" i="4"/>
  <c r="EB31" i="4"/>
  <c r="EA31" i="4"/>
  <c r="DZ31" i="4"/>
  <c r="DY31" i="4"/>
  <c r="DX31" i="4"/>
  <c r="DW31" i="4"/>
  <c r="EH30" i="4"/>
  <c r="EG30" i="4"/>
  <c r="EF30" i="4"/>
  <c r="EE30" i="4"/>
  <c r="ED30" i="4"/>
  <c r="EC30" i="4"/>
  <c r="EB30" i="4"/>
  <c r="EA30" i="4"/>
  <c r="DZ30" i="4"/>
  <c r="DY30" i="4"/>
  <c r="DX30" i="4"/>
  <c r="DW30" i="4"/>
  <c r="EH26" i="4"/>
  <c r="EG26" i="4"/>
  <c r="EF26" i="4"/>
  <c r="EE26" i="4"/>
  <c r="ED26" i="4"/>
  <c r="EC26" i="4"/>
  <c r="EB26" i="4"/>
  <c r="EA26" i="4"/>
  <c r="DZ26" i="4"/>
  <c r="DY26" i="4"/>
  <c r="DX26" i="4"/>
  <c r="DW26" i="4"/>
  <c r="EH25" i="4"/>
  <c r="EG25" i="4"/>
  <c r="EF25" i="4"/>
  <c r="EE25" i="4"/>
  <c r="ED25" i="4"/>
  <c r="EC25" i="4"/>
  <c r="EB25" i="4"/>
  <c r="EA25" i="4"/>
  <c r="DZ25" i="4"/>
  <c r="DY25" i="4"/>
  <c r="DX25" i="4"/>
  <c r="DW25" i="4"/>
  <c r="EH24" i="4"/>
  <c r="EG24" i="4"/>
  <c r="EF24" i="4"/>
  <c r="EE24" i="4"/>
  <c r="ED24" i="4"/>
  <c r="EC24" i="4"/>
  <c r="EB24" i="4"/>
  <c r="EA24" i="4"/>
  <c r="DZ24" i="4"/>
  <c r="DY24" i="4"/>
  <c r="DX24" i="4"/>
  <c r="DW24" i="4"/>
  <c r="EH23" i="4"/>
  <c r="EG23" i="4"/>
  <c r="EF23" i="4"/>
  <c r="EE23" i="4"/>
  <c r="ED23" i="4"/>
  <c r="EC23" i="4"/>
  <c r="EB23" i="4"/>
  <c r="EA23" i="4"/>
  <c r="DZ23" i="4"/>
  <c r="DY23" i="4"/>
  <c r="DX23" i="4"/>
  <c r="DW23" i="4"/>
  <c r="EH21" i="4"/>
  <c r="EG21" i="4"/>
  <c r="EF21" i="4"/>
  <c r="EE21" i="4"/>
  <c r="ED21" i="4"/>
  <c r="EC21" i="4"/>
  <c r="EB21" i="4"/>
  <c r="EA21" i="4"/>
  <c r="DZ21" i="4"/>
  <c r="DY21" i="4"/>
  <c r="DX21" i="4"/>
  <c r="DW21" i="4"/>
  <c r="EH20" i="4"/>
  <c r="EG20" i="4"/>
  <c r="EF20" i="4"/>
  <c r="EE20" i="4"/>
  <c r="ED20" i="4"/>
  <c r="EC20" i="4"/>
  <c r="EB20" i="4"/>
  <c r="EA20" i="4"/>
  <c r="DZ20" i="4"/>
  <c r="DY20" i="4"/>
  <c r="DX20" i="4"/>
  <c r="DW20" i="4"/>
  <c r="EH19" i="4"/>
  <c r="EG19" i="4"/>
  <c r="EF19" i="4"/>
  <c r="EE19" i="4"/>
  <c r="ED19" i="4"/>
  <c r="EC19" i="4"/>
  <c r="EB19" i="4"/>
  <c r="EA19" i="4"/>
  <c r="DZ19" i="4"/>
  <c r="DY19" i="4"/>
  <c r="DX19" i="4"/>
  <c r="DW19" i="4"/>
  <c r="EH18" i="4"/>
  <c r="EG18" i="4"/>
  <c r="EF18" i="4"/>
  <c r="EE18" i="4"/>
  <c r="ED18" i="4"/>
  <c r="EC18" i="4"/>
  <c r="EB18" i="4"/>
  <c r="EA18" i="4"/>
  <c r="DZ18" i="4"/>
  <c r="DY18" i="4"/>
  <c r="DX18" i="4"/>
  <c r="DW18" i="4"/>
  <c r="EH16" i="4"/>
  <c r="EG16" i="4"/>
  <c r="EF16" i="4"/>
  <c r="EE16" i="4"/>
  <c r="ED16" i="4"/>
  <c r="EC16" i="4"/>
  <c r="EB16" i="4"/>
  <c r="EA16" i="4"/>
  <c r="DZ16" i="4"/>
  <c r="DY16" i="4"/>
  <c r="DX16" i="4"/>
  <c r="DW16" i="4"/>
  <c r="EH15" i="4"/>
  <c r="EG15" i="4"/>
  <c r="EF15" i="4"/>
  <c r="EE15" i="4"/>
  <c r="ED15" i="4"/>
  <c r="EC15" i="4"/>
  <c r="EB15" i="4"/>
  <c r="EA15" i="4"/>
  <c r="DZ15" i="4"/>
  <c r="DY15" i="4"/>
  <c r="DX15" i="4"/>
  <c r="DW15" i="4"/>
  <c r="EH14" i="4"/>
  <c r="EG14" i="4"/>
  <c r="EF14" i="4"/>
  <c r="EE14" i="4"/>
  <c r="ED14" i="4"/>
  <c r="EC14" i="4"/>
  <c r="EB14" i="4"/>
  <c r="EA14" i="4"/>
  <c r="DZ14" i="4"/>
  <c r="DY14" i="4"/>
  <c r="DX14" i="4"/>
  <c r="DW14" i="4"/>
  <c r="EH12" i="4"/>
  <c r="EG12" i="4"/>
  <c r="EF12" i="4"/>
  <c r="EE12" i="4"/>
  <c r="ED12" i="4"/>
  <c r="EC12" i="4"/>
  <c r="EB12" i="4"/>
  <c r="EA12" i="4"/>
  <c r="DZ12" i="4"/>
  <c r="DY12" i="4"/>
  <c r="DX12" i="4"/>
  <c r="DW12" i="4"/>
  <c r="EH11" i="4"/>
  <c r="EG11" i="4"/>
  <c r="EF11" i="4"/>
  <c r="EE11" i="4"/>
  <c r="ED11" i="4"/>
  <c r="EC11" i="4"/>
  <c r="EB11" i="4"/>
  <c r="EA11" i="4"/>
  <c r="DZ11" i="4"/>
  <c r="DY11" i="4"/>
  <c r="DX11" i="4"/>
  <c r="DW11" i="4"/>
  <c r="EH10" i="4"/>
  <c r="EG10" i="4"/>
  <c r="EF10" i="4"/>
  <c r="EE10" i="4"/>
  <c r="ED10" i="4"/>
  <c r="EC10" i="4"/>
  <c r="EB10" i="4"/>
  <c r="EA10" i="4"/>
  <c r="DZ10" i="4"/>
  <c r="DY10" i="4"/>
  <c r="DX10" i="4"/>
  <c r="DW10" i="4"/>
  <c r="EH9" i="4"/>
  <c r="EG9" i="4"/>
  <c r="EF9" i="4"/>
  <c r="EE9" i="4"/>
  <c r="ED9" i="4"/>
  <c r="EC9" i="4"/>
  <c r="EB9" i="4"/>
  <c r="EA9" i="4"/>
  <c r="DZ9" i="4"/>
  <c r="DY9" i="4"/>
  <c r="DX9" i="4"/>
  <c r="DW9" i="4"/>
  <c r="EH7" i="4"/>
  <c r="EG7" i="4"/>
  <c r="EF7" i="4"/>
  <c r="EE7" i="4"/>
  <c r="ED7" i="4"/>
  <c r="EC7" i="4"/>
  <c r="EB7" i="4"/>
  <c r="EA7" i="4"/>
  <c r="DZ7" i="4"/>
  <c r="DY7" i="4"/>
  <c r="DX7" i="4"/>
  <c r="DW7" i="4"/>
  <c r="EH5" i="4"/>
  <c r="EG5" i="4"/>
  <c r="EF5" i="4"/>
  <c r="EE5" i="4"/>
  <c r="ED5" i="4"/>
  <c r="EC5" i="4"/>
  <c r="EB5" i="4"/>
  <c r="EA5" i="4"/>
  <c r="DZ5" i="4"/>
  <c r="DY5" i="4"/>
  <c r="DX5" i="4"/>
  <c r="DW5" i="4"/>
  <c r="EH4" i="4"/>
  <c r="EG4" i="4"/>
  <c r="EF4" i="4"/>
  <c r="EE4" i="4"/>
  <c r="ED4" i="4"/>
  <c r="EC4" i="4"/>
  <c r="EB4" i="4"/>
  <c r="EA4" i="4"/>
  <c r="DZ4" i="4"/>
  <c r="DY4" i="4"/>
  <c r="DX4" i="4"/>
  <c r="DW4" i="4"/>
  <c r="DT239" i="4"/>
  <c r="DS239" i="4"/>
  <c r="DR239" i="4"/>
  <c r="DQ239" i="4"/>
  <c r="DP239" i="4"/>
  <c r="DO239" i="4"/>
  <c r="DN239" i="4"/>
  <c r="DM239" i="4"/>
  <c r="DL239" i="4"/>
  <c r="DK239" i="4"/>
  <c r="DJ239" i="4"/>
  <c r="DI239" i="4"/>
  <c r="DT238" i="4"/>
  <c r="DS238" i="4"/>
  <c r="DR238" i="4"/>
  <c r="DQ238" i="4"/>
  <c r="DP238" i="4"/>
  <c r="DO238" i="4"/>
  <c r="DN238" i="4"/>
  <c r="DM238" i="4"/>
  <c r="DL238" i="4"/>
  <c r="DK238" i="4"/>
  <c r="DJ238" i="4"/>
  <c r="DI238" i="4"/>
  <c r="DT237" i="4"/>
  <c r="DS237" i="4"/>
  <c r="DR237" i="4"/>
  <c r="DQ237" i="4"/>
  <c r="DP237" i="4"/>
  <c r="DO237" i="4"/>
  <c r="DN237" i="4"/>
  <c r="DM237" i="4"/>
  <c r="DL237" i="4"/>
  <c r="DK237" i="4"/>
  <c r="DJ237" i="4"/>
  <c r="DI237" i="4"/>
  <c r="DT221" i="4"/>
  <c r="DS221" i="4"/>
  <c r="DR221" i="4"/>
  <c r="DQ221" i="4"/>
  <c r="DP221" i="4"/>
  <c r="DO221" i="4"/>
  <c r="DN221" i="4"/>
  <c r="DM221" i="4"/>
  <c r="DL221" i="4"/>
  <c r="DK221" i="4"/>
  <c r="DJ221" i="4"/>
  <c r="DI221" i="4"/>
  <c r="DT89" i="4"/>
  <c r="DS89" i="4"/>
  <c r="DR89" i="4"/>
  <c r="DQ89" i="4"/>
  <c r="DP89" i="4"/>
  <c r="DO89" i="4"/>
  <c r="DN89" i="4"/>
  <c r="DM89" i="4"/>
  <c r="DL89" i="4"/>
  <c r="DK89" i="4"/>
  <c r="DJ89" i="4"/>
  <c r="DI89" i="4"/>
  <c r="DT69" i="4"/>
  <c r="DS69" i="4"/>
  <c r="DR69" i="4"/>
  <c r="DQ69" i="4"/>
  <c r="DP69" i="4"/>
  <c r="DO69" i="4"/>
  <c r="DN69" i="4"/>
  <c r="DM69" i="4"/>
  <c r="DL69" i="4"/>
  <c r="DK69" i="4"/>
  <c r="DJ69" i="4"/>
  <c r="DI69" i="4"/>
  <c r="DT68" i="4"/>
  <c r="DS68" i="4"/>
  <c r="DR68" i="4"/>
  <c r="DQ68" i="4"/>
  <c r="DP68" i="4"/>
  <c r="DO68" i="4"/>
  <c r="DN68" i="4"/>
  <c r="DM68" i="4"/>
  <c r="DL68" i="4"/>
  <c r="DK68" i="4"/>
  <c r="DJ68" i="4"/>
  <c r="DI68" i="4"/>
  <c r="DT67" i="4"/>
  <c r="DS67" i="4"/>
  <c r="DR67" i="4"/>
  <c r="DQ67" i="4"/>
  <c r="DP67" i="4"/>
  <c r="DO67" i="4"/>
  <c r="DN67" i="4"/>
  <c r="DM67" i="4"/>
  <c r="DL67" i="4"/>
  <c r="DK67" i="4"/>
  <c r="DJ67" i="4"/>
  <c r="DI67" i="4"/>
  <c r="DT66" i="4"/>
  <c r="DS66" i="4"/>
  <c r="DR66" i="4"/>
  <c r="DQ66" i="4"/>
  <c r="DP66" i="4"/>
  <c r="DO66" i="4"/>
  <c r="DN66" i="4"/>
  <c r="DM66" i="4"/>
  <c r="DL66" i="4"/>
  <c r="DK66" i="4"/>
  <c r="DJ66" i="4"/>
  <c r="DI66" i="4"/>
  <c r="DT65" i="4"/>
  <c r="DS65" i="4"/>
  <c r="DR65" i="4"/>
  <c r="DQ65" i="4"/>
  <c r="DP65" i="4"/>
  <c r="DO65" i="4"/>
  <c r="DN65" i="4"/>
  <c r="DM65" i="4"/>
  <c r="DL65" i="4"/>
  <c r="DK65" i="4"/>
  <c r="DJ65" i="4"/>
  <c r="DI65" i="4"/>
  <c r="DT56" i="4"/>
  <c r="DS56" i="4"/>
  <c r="DR56" i="4"/>
  <c r="DQ56" i="4"/>
  <c r="DP56" i="4"/>
  <c r="DO56" i="4"/>
  <c r="DN56" i="4"/>
  <c r="DM56" i="4"/>
  <c r="DL56" i="4"/>
  <c r="DK56" i="4"/>
  <c r="DJ56" i="4"/>
  <c r="DI56" i="4"/>
  <c r="DT53" i="4"/>
  <c r="DS53" i="4"/>
  <c r="DR53" i="4"/>
  <c r="DQ53" i="4"/>
  <c r="DP53" i="4"/>
  <c r="DO53" i="4"/>
  <c r="DN53" i="4"/>
  <c r="DM53" i="4"/>
  <c r="DL53" i="4"/>
  <c r="DK53" i="4"/>
  <c r="DJ53" i="4"/>
  <c r="DI53" i="4"/>
  <c r="DT52" i="4"/>
  <c r="DS52" i="4"/>
  <c r="DR52" i="4"/>
  <c r="DQ52" i="4"/>
  <c r="DP52" i="4"/>
  <c r="DO52" i="4"/>
  <c r="DN52" i="4"/>
  <c r="DM52" i="4"/>
  <c r="DL52" i="4"/>
  <c r="DK52" i="4"/>
  <c r="DJ52" i="4"/>
  <c r="DI52" i="4"/>
  <c r="DT51" i="4"/>
  <c r="DS51" i="4"/>
  <c r="DR51" i="4"/>
  <c r="DQ51" i="4"/>
  <c r="DP51" i="4"/>
  <c r="DO51" i="4"/>
  <c r="DN51" i="4"/>
  <c r="DM51" i="4"/>
  <c r="DL51" i="4"/>
  <c r="DK51" i="4"/>
  <c r="DJ51" i="4"/>
  <c r="DI51" i="4"/>
  <c r="DT50" i="4"/>
  <c r="DS50" i="4"/>
  <c r="DR50" i="4"/>
  <c r="DQ50" i="4"/>
  <c r="DP50" i="4"/>
  <c r="DO50" i="4"/>
  <c r="DN50" i="4"/>
  <c r="DM50" i="4"/>
  <c r="DL50" i="4"/>
  <c r="DK50" i="4"/>
  <c r="DJ50" i="4"/>
  <c r="DI50" i="4"/>
  <c r="DT37" i="4"/>
  <c r="DS37" i="4"/>
  <c r="DR37" i="4"/>
  <c r="DQ37" i="4"/>
  <c r="DP37" i="4"/>
  <c r="DO37" i="4"/>
  <c r="DN37" i="4"/>
  <c r="DM37" i="4"/>
  <c r="DL37" i="4"/>
  <c r="DK37" i="4"/>
  <c r="DJ37" i="4"/>
  <c r="DI37" i="4"/>
  <c r="DT36" i="4"/>
  <c r="DS36" i="4"/>
  <c r="DR36" i="4"/>
  <c r="DQ36" i="4"/>
  <c r="DP36" i="4"/>
  <c r="DO36" i="4"/>
  <c r="DN36" i="4"/>
  <c r="DM36" i="4"/>
  <c r="DL36" i="4"/>
  <c r="DK36" i="4"/>
  <c r="DJ36" i="4"/>
  <c r="DI36" i="4"/>
  <c r="DT35" i="4"/>
  <c r="DS35" i="4"/>
  <c r="DR35" i="4"/>
  <c r="DQ35" i="4"/>
  <c r="DP35" i="4"/>
  <c r="DO35" i="4"/>
  <c r="DN35" i="4"/>
  <c r="DM35" i="4"/>
  <c r="DL35" i="4"/>
  <c r="DK35" i="4"/>
  <c r="DJ35" i="4"/>
  <c r="DI35" i="4"/>
  <c r="DT26" i="4"/>
  <c r="DS26" i="4"/>
  <c r="DR26" i="4"/>
  <c r="DQ26" i="4"/>
  <c r="DP26" i="4"/>
  <c r="DO26" i="4"/>
  <c r="DN26" i="4"/>
  <c r="DM26" i="4"/>
  <c r="DL26" i="4"/>
  <c r="DK26" i="4"/>
  <c r="DJ26" i="4"/>
  <c r="DI26" i="4"/>
  <c r="DT25" i="4"/>
  <c r="DS25" i="4"/>
  <c r="DR25" i="4"/>
  <c r="DQ25" i="4"/>
  <c r="DP25" i="4"/>
  <c r="DO25" i="4"/>
  <c r="DN25" i="4"/>
  <c r="DM25" i="4"/>
  <c r="DL25" i="4"/>
  <c r="DK25" i="4"/>
  <c r="DJ25" i="4"/>
  <c r="DI25" i="4"/>
  <c r="DT24" i="4"/>
  <c r="DS24" i="4"/>
  <c r="DR24" i="4"/>
  <c r="DQ24" i="4"/>
  <c r="DP24" i="4"/>
  <c r="DO24" i="4"/>
  <c r="DN24" i="4"/>
  <c r="DM24" i="4"/>
  <c r="DL24" i="4"/>
  <c r="DK24" i="4"/>
  <c r="DJ24" i="4"/>
  <c r="DI24" i="4"/>
  <c r="DT23" i="4"/>
  <c r="DS23" i="4"/>
  <c r="DR23" i="4"/>
  <c r="DQ23" i="4"/>
  <c r="DP23" i="4"/>
  <c r="DO23" i="4"/>
  <c r="DN23" i="4"/>
  <c r="DM23" i="4"/>
  <c r="DL23" i="4"/>
  <c r="DK23" i="4"/>
  <c r="DJ23" i="4"/>
  <c r="DI23" i="4"/>
  <c r="DT21" i="4"/>
  <c r="DS21" i="4"/>
  <c r="DR21" i="4"/>
  <c r="DQ21" i="4"/>
  <c r="DP21" i="4"/>
  <c r="DO21" i="4"/>
  <c r="DN21" i="4"/>
  <c r="DM21" i="4"/>
  <c r="DL21" i="4"/>
  <c r="DK21" i="4"/>
  <c r="DJ21" i="4"/>
  <c r="DI21" i="4"/>
  <c r="DT20" i="4"/>
  <c r="DS20" i="4"/>
  <c r="DR20" i="4"/>
  <c r="DQ20" i="4"/>
  <c r="DP20" i="4"/>
  <c r="DO20" i="4"/>
  <c r="DN20" i="4"/>
  <c r="DM20" i="4"/>
  <c r="DL20" i="4"/>
  <c r="DK20" i="4"/>
  <c r="DJ20" i="4"/>
  <c r="DI20" i="4"/>
  <c r="DT19" i="4"/>
  <c r="DS19" i="4"/>
  <c r="DR19" i="4"/>
  <c r="DQ19" i="4"/>
  <c r="DP19" i="4"/>
  <c r="DO19" i="4"/>
  <c r="DN19" i="4"/>
  <c r="DM19" i="4"/>
  <c r="DL19" i="4"/>
  <c r="DK19" i="4"/>
  <c r="DJ19" i="4"/>
  <c r="DI19" i="4"/>
  <c r="DT18" i="4"/>
  <c r="DS18" i="4"/>
  <c r="DR18" i="4"/>
  <c r="DQ18" i="4"/>
  <c r="DP18" i="4"/>
  <c r="DO18" i="4"/>
  <c r="DN18" i="4"/>
  <c r="DM18" i="4"/>
  <c r="DL18" i="4"/>
  <c r="DK18" i="4"/>
  <c r="DJ18" i="4"/>
  <c r="DI18" i="4"/>
  <c r="DT16" i="4"/>
  <c r="DS16" i="4"/>
  <c r="DR16" i="4"/>
  <c r="DQ16" i="4"/>
  <c r="DP16" i="4"/>
  <c r="DO16" i="4"/>
  <c r="DN16" i="4"/>
  <c r="DM16" i="4"/>
  <c r="DL16" i="4"/>
  <c r="DK16" i="4"/>
  <c r="DJ16" i="4"/>
  <c r="DI16" i="4"/>
  <c r="DT15" i="4"/>
  <c r="DS15" i="4"/>
  <c r="DR15" i="4"/>
  <c r="DQ15" i="4"/>
  <c r="DP15" i="4"/>
  <c r="DO15" i="4"/>
  <c r="DN15" i="4"/>
  <c r="DM15" i="4"/>
  <c r="DL15" i="4"/>
  <c r="DK15" i="4"/>
  <c r="DJ15" i="4"/>
  <c r="DI15" i="4"/>
  <c r="DT14" i="4"/>
  <c r="DS14" i="4"/>
  <c r="DR14" i="4"/>
  <c r="DR13" i="4" s="1"/>
  <c r="DQ14" i="4"/>
  <c r="DP14" i="4"/>
  <c r="DO14" i="4"/>
  <c r="DN14" i="4"/>
  <c r="DM14" i="4"/>
  <c r="DL14" i="4"/>
  <c r="DK14" i="4"/>
  <c r="DJ14" i="4"/>
  <c r="DI14" i="4"/>
  <c r="DT12" i="4"/>
  <c r="DS12" i="4"/>
  <c r="DR12" i="4"/>
  <c r="DQ12" i="4"/>
  <c r="DP12" i="4"/>
  <c r="DO12" i="4"/>
  <c r="DN12" i="4"/>
  <c r="DM12" i="4"/>
  <c r="DL12" i="4"/>
  <c r="DK12" i="4"/>
  <c r="DJ12" i="4"/>
  <c r="DI12" i="4"/>
  <c r="DT11" i="4"/>
  <c r="DS11" i="4"/>
  <c r="DR11" i="4"/>
  <c r="DQ11" i="4"/>
  <c r="DP11" i="4"/>
  <c r="DO11" i="4"/>
  <c r="DN11" i="4"/>
  <c r="DM11" i="4"/>
  <c r="DL11" i="4"/>
  <c r="DK11" i="4"/>
  <c r="DJ11" i="4"/>
  <c r="DI11" i="4"/>
  <c r="DT10" i="4"/>
  <c r="DS10" i="4"/>
  <c r="DR10" i="4"/>
  <c r="DQ10" i="4"/>
  <c r="DP10" i="4"/>
  <c r="DO10" i="4"/>
  <c r="DN10" i="4"/>
  <c r="DM10" i="4"/>
  <c r="DL10" i="4"/>
  <c r="DK10" i="4"/>
  <c r="DJ10" i="4"/>
  <c r="DI10" i="4"/>
  <c r="DT9" i="4"/>
  <c r="DS9" i="4"/>
  <c r="DR9" i="4"/>
  <c r="DQ9" i="4"/>
  <c r="DP9" i="4"/>
  <c r="DO9" i="4"/>
  <c r="DN9" i="4"/>
  <c r="DM9" i="4"/>
  <c r="DL9" i="4"/>
  <c r="DK9" i="4"/>
  <c r="DJ9" i="4"/>
  <c r="DI9" i="4"/>
  <c r="DT7" i="4"/>
  <c r="DS7" i="4"/>
  <c r="DR7" i="4"/>
  <c r="DQ7" i="4"/>
  <c r="DP7" i="4"/>
  <c r="DO7" i="4"/>
  <c r="DN7" i="4"/>
  <c r="DM7" i="4"/>
  <c r="DL7" i="4"/>
  <c r="DK7" i="4"/>
  <c r="DJ7" i="4"/>
  <c r="DI7" i="4"/>
  <c r="DT5" i="4"/>
  <c r="DS5" i="4"/>
  <c r="DR5" i="4"/>
  <c r="DQ5" i="4"/>
  <c r="DP5" i="4"/>
  <c r="DO5" i="4"/>
  <c r="DN5" i="4"/>
  <c r="DM5" i="4"/>
  <c r="DL5" i="4"/>
  <c r="DK5" i="4"/>
  <c r="DJ5" i="4"/>
  <c r="DI5" i="4"/>
  <c r="DT4" i="4"/>
  <c r="DS4" i="4"/>
  <c r="DR4" i="4"/>
  <c r="DQ4" i="4"/>
  <c r="DP4" i="4"/>
  <c r="DO4" i="4"/>
  <c r="DN4" i="4"/>
  <c r="DM4" i="4"/>
  <c r="DL4" i="4"/>
  <c r="DK4" i="4"/>
  <c r="DJ4" i="4"/>
  <c r="DI4" i="4"/>
  <c r="DF5" i="4"/>
  <c r="DE5" i="4"/>
  <c r="DD5" i="4"/>
  <c r="DC5" i="4"/>
  <c r="DB5" i="4"/>
  <c r="DA5" i="4"/>
  <c r="CZ5" i="4"/>
  <c r="CY5" i="4"/>
  <c r="CX5" i="4"/>
  <c r="CW5" i="4"/>
  <c r="CV5" i="4"/>
  <c r="CU5" i="4"/>
  <c r="CR247" i="4"/>
  <c r="CQ247" i="4"/>
  <c r="CP247" i="4"/>
  <c r="CO247" i="4"/>
  <c r="CN247" i="4"/>
  <c r="CM247" i="4"/>
  <c r="CL247" i="4"/>
  <c r="CK247" i="4"/>
  <c r="CJ247" i="4"/>
  <c r="CI247" i="4"/>
  <c r="CH247" i="4"/>
  <c r="CG247" i="4"/>
  <c r="CR246" i="4"/>
  <c r="CQ246" i="4"/>
  <c r="CP246" i="4"/>
  <c r="CO246" i="4"/>
  <c r="CN246" i="4"/>
  <c r="CM246" i="4"/>
  <c r="CL246" i="4"/>
  <c r="CK246" i="4"/>
  <c r="CJ246" i="4"/>
  <c r="CI246" i="4"/>
  <c r="CH246" i="4"/>
  <c r="CG246" i="4"/>
  <c r="CR245" i="4"/>
  <c r="CQ245" i="4"/>
  <c r="CP245" i="4"/>
  <c r="CO245" i="4"/>
  <c r="CN245" i="4"/>
  <c r="CM245" i="4"/>
  <c r="CL245" i="4"/>
  <c r="CK245" i="4"/>
  <c r="CJ245" i="4"/>
  <c r="CI245" i="4"/>
  <c r="CH245" i="4"/>
  <c r="CG245" i="4"/>
  <c r="CR244" i="4"/>
  <c r="CQ244" i="4"/>
  <c r="CP244" i="4"/>
  <c r="CO244" i="4"/>
  <c r="CN244" i="4"/>
  <c r="CM244" i="4"/>
  <c r="CL244" i="4"/>
  <c r="CK244" i="4"/>
  <c r="CJ244" i="4"/>
  <c r="CI244" i="4"/>
  <c r="CH244" i="4"/>
  <c r="CG244" i="4"/>
  <c r="CR243" i="4"/>
  <c r="CQ243" i="4"/>
  <c r="CP243" i="4"/>
  <c r="CO243" i="4"/>
  <c r="CN243" i="4"/>
  <c r="CM243" i="4"/>
  <c r="CL243" i="4"/>
  <c r="CK243" i="4"/>
  <c r="CJ243" i="4"/>
  <c r="CI243" i="4"/>
  <c r="CH243" i="4"/>
  <c r="CG243" i="4"/>
  <c r="CR242" i="4"/>
  <c r="CQ242" i="4"/>
  <c r="CP242" i="4"/>
  <c r="CO242" i="4"/>
  <c r="CN242" i="4"/>
  <c r="CM242" i="4"/>
  <c r="CL242" i="4"/>
  <c r="CK242" i="4"/>
  <c r="CJ242" i="4"/>
  <c r="CI242" i="4"/>
  <c r="CH242" i="4"/>
  <c r="CG242" i="4"/>
  <c r="CR239" i="4"/>
  <c r="CQ239" i="4"/>
  <c r="CP239" i="4"/>
  <c r="CO239" i="4"/>
  <c r="CN239" i="4"/>
  <c r="CM239" i="4"/>
  <c r="CL239" i="4"/>
  <c r="CK239" i="4"/>
  <c r="CJ239" i="4"/>
  <c r="CI239" i="4"/>
  <c r="CH239" i="4"/>
  <c r="CG239" i="4"/>
  <c r="CR238" i="4"/>
  <c r="CQ238" i="4"/>
  <c r="CP238" i="4"/>
  <c r="CO238" i="4"/>
  <c r="CN238" i="4"/>
  <c r="CM238" i="4"/>
  <c r="CL238" i="4"/>
  <c r="CK238" i="4"/>
  <c r="CJ238" i="4"/>
  <c r="CI238" i="4"/>
  <c r="CH238" i="4"/>
  <c r="CG238" i="4"/>
  <c r="CR237" i="4"/>
  <c r="CQ237" i="4"/>
  <c r="CP237" i="4"/>
  <c r="CP236" i="4" s="1"/>
  <c r="CO237" i="4"/>
  <c r="CN237" i="4"/>
  <c r="CM237" i="4"/>
  <c r="CL237" i="4"/>
  <c r="CK237" i="4"/>
  <c r="CJ237" i="4"/>
  <c r="CI237" i="4"/>
  <c r="CH237" i="4"/>
  <c r="CG237" i="4"/>
  <c r="CR229" i="4"/>
  <c r="CQ229" i="4"/>
  <c r="CP229" i="4"/>
  <c r="CO229" i="4"/>
  <c r="CN229" i="4"/>
  <c r="CM229" i="4"/>
  <c r="CL229" i="4"/>
  <c r="CK229" i="4"/>
  <c r="CJ229" i="4"/>
  <c r="CI229" i="4"/>
  <c r="CH229" i="4"/>
  <c r="CG229" i="4"/>
  <c r="CR228" i="4"/>
  <c r="CQ228" i="4"/>
  <c r="CP228" i="4"/>
  <c r="CP227" i="4" s="1"/>
  <c r="CO228" i="4"/>
  <c r="CN228" i="4"/>
  <c r="CM228" i="4"/>
  <c r="CL228" i="4"/>
  <c r="CK228" i="4"/>
  <c r="CJ228" i="4"/>
  <c r="CI228" i="4"/>
  <c r="CH228" i="4"/>
  <c r="CG228" i="4"/>
  <c r="CR226" i="4"/>
  <c r="CQ226" i="4"/>
  <c r="CP226" i="4"/>
  <c r="CO226" i="4"/>
  <c r="CN226" i="4"/>
  <c r="CM226" i="4"/>
  <c r="CL226" i="4"/>
  <c r="CK226" i="4"/>
  <c r="CJ226" i="4"/>
  <c r="CI226" i="4"/>
  <c r="CH226" i="4"/>
  <c r="CG226" i="4"/>
  <c r="CR225" i="4"/>
  <c r="CQ225" i="4"/>
  <c r="CP225" i="4"/>
  <c r="CO225" i="4"/>
  <c r="CN225" i="4"/>
  <c r="CM225" i="4"/>
  <c r="CL225" i="4"/>
  <c r="CK225" i="4"/>
  <c r="CJ225" i="4"/>
  <c r="CI225" i="4"/>
  <c r="CH225" i="4"/>
  <c r="CG225" i="4"/>
  <c r="CR224" i="4"/>
  <c r="CQ224" i="4"/>
  <c r="CP224" i="4"/>
  <c r="CO224" i="4"/>
  <c r="CN224" i="4"/>
  <c r="CM224" i="4"/>
  <c r="CL224" i="4"/>
  <c r="CK224" i="4"/>
  <c r="CJ224" i="4"/>
  <c r="CI224" i="4"/>
  <c r="CH224" i="4"/>
  <c r="CG224" i="4"/>
  <c r="CR222" i="4"/>
  <c r="CQ222" i="4"/>
  <c r="CP222" i="4"/>
  <c r="CO222" i="4"/>
  <c r="CN222" i="4"/>
  <c r="CM222" i="4"/>
  <c r="CL222" i="4"/>
  <c r="CK222" i="4"/>
  <c r="CJ222" i="4"/>
  <c r="CI222" i="4"/>
  <c r="CH222" i="4"/>
  <c r="CG222" i="4"/>
  <c r="CR221" i="4"/>
  <c r="CQ221" i="4"/>
  <c r="CP221" i="4"/>
  <c r="CO221" i="4"/>
  <c r="CN221" i="4"/>
  <c r="CM221" i="4"/>
  <c r="CL221" i="4"/>
  <c r="CK221" i="4"/>
  <c r="CJ221" i="4"/>
  <c r="CI221" i="4"/>
  <c r="CH221" i="4"/>
  <c r="CG221" i="4"/>
  <c r="CR220" i="4"/>
  <c r="CQ220" i="4"/>
  <c r="CP220" i="4"/>
  <c r="CO220" i="4"/>
  <c r="CN220" i="4"/>
  <c r="CM220" i="4"/>
  <c r="CL220" i="4"/>
  <c r="CK220" i="4"/>
  <c r="CJ220" i="4"/>
  <c r="CI220" i="4"/>
  <c r="CH220" i="4"/>
  <c r="CG220" i="4"/>
  <c r="CR216" i="4"/>
  <c r="CQ216" i="4"/>
  <c r="CP216" i="4"/>
  <c r="CO216" i="4"/>
  <c r="CN216" i="4"/>
  <c r="CM216" i="4"/>
  <c r="CL216" i="4"/>
  <c r="CK216" i="4"/>
  <c r="CJ216" i="4"/>
  <c r="CI216" i="4"/>
  <c r="CH216" i="4"/>
  <c r="CG216" i="4"/>
  <c r="CR215" i="4"/>
  <c r="CQ215" i="4"/>
  <c r="CP215" i="4"/>
  <c r="CP214" i="4" s="1"/>
  <c r="CO215" i="4"/>
  <c r="CN215" i="4"/>
  <c r="CM215" i="4"/>
  <c r="CL215" i="4"/>
  <c r="CK215" i="4"/>
  <c r="CJ215" i="4"/>
  <c r="CI215" i="4"/>
  <c r="CH215" i="4"/>
  <c r="CG215" i="4"/>
  <c r="CR213" i="4"/>
  <c r="CQ213" i="4"/>
  <c r="CP213" i="4"/>
  <c r="CO213" i="4"/>
  <c r="CN213" i="4"/>
  <c r="CM213" i="4"/>
  <c r="CL213" i="4"/>
  <c r="CK213" i="4"/>
  <c r="CJ213" i="4"/>
  <c r="CI213" i="4"/>
  <c r="CH213" i="4"/>
  <c r="CG213" i="4"/>
  <c r="CR212" i="4"/>
  <c r="CQ212" i="4"/>
  <c r="CP212" i="4"/>
  <c r="CO212" i="4"/>
  <c r="CN212" i="4"/>
  <c r="CM212" i="4"/>
  <c r="CL212" i="4"/>
  <c r="CK212" i="4"/>
  <c r="CJ212" i="4"/>
  <c r="CI212" i="4"/>
  <c r="CH212" i="4"/>
  <c r="CG212" i="4"/>
  <c r="CR211" i="4"/>
  <c r="CQ211" i="4"/>
  <c r="CP211" i="4"/>
  <c r="CO211" i="4"/>
  <c r="CN211" i="4"/>
  <c r="CM211" i="4"/>
  <c r="CL211" i="4"/>
  <c r="CK211" i="4"/>
  <c r="CJ211" i="4"/>
  <c r="CI211" i="4"/>
  <c r="CH211" i="4"/>
  <c r="CG211" i="4"/>
  <c r="CR210" i="4"/>
  <c r="CQ210" i="4"/>
  <c r="CP210" i="4"/>
  <c r="CO210" i="4"/>
  <c r="CN210" i="4"/>
  <c r="CM210" i="4"/>
  <c r="CL210" i="4"/>
  <c r="CK210" i="4"/>
  <c r="CJ210" i="4"/>
  <c r="CI210" i="4"/>
  <c r="CH210" i="4"/>
  <c r="CG210" i="4"/>
  <c r="CR208" i="4"/>
  <c r="CQ208" i="4"/>
  <c r="CP208" i="4"/>
  <c r="CO208" i="4"/>
  <c r="CN208" i="4"/>
  <c r="CM208" i="4"/>
  <c r="CL208" i="4"/>
  <c r="CK208" i="4"/>
  <c r="CJ208" i="4"/>
  <c r="CI208" i="4"/>
  <c r="CH208" i="4"/>
  <c r="CG208" i="4"/>
  <c r="CR207" i="4"/>
  <c r="CQ207" i="4"/>
  <c r="CP207" i="4"/>
  <c r="CO207" i="4"/>
  <c r="CN207" i="4"/>
  <c r="CM207" i="4"/>
  <c r="CL207" i="4"/>
  <c r="CK207" i="4"/>
  <c r="CJ207" i="4"/>
  <c r="CI207" i="4"/>
  <c r="CH207" i="4"/>
  <c r="CG207" i="4"/>
  <c r="CR206" i="4"/>
  <c r="CQ206" i="4"/>
  <c r="CP206" i="4"/>
  <c r="CO206" i="4"/>
  <c r="CN206" i="4"/>
  <c r="CM206" i="4"/>
  <c r="CL206" i="4"/>
  <c r="CK206" i="4"/>
  <c r="CJ206" i="4"/>
  <c r="CI206" i="4"/>
  <c r="CH206" i="4"/>
  <c r="CG206" i="4"/>
  <c r="CR204" i="4"/>
  <c r="CQ204" i="4"/>
  <c r="CP204" i="4"/>
  <c r="CO204" i="4"/>
  <c r="CN204" i="4"/>
  <c r="CM204" i="4"/>
  <c r="CL204" i="4"/>
  <c r="CK204" i="4"/>
  <c r="CJ204" i="4"/>
  <c r="CI204" i="4"/>
  <c r="CH204" i="4"/>
  <c r="CG204" i="4"/>
  <c r="CR203" i="4"/>
  <c r="CQ203" i="4"/>
  <c r="CP203" i="4"/>
  <c r="CO203" i="4"/>
  <c r="CN203" i="4"/>
  <c r="CM203" i="4"/>
  <c r="CL203" i="4"/>
  <c r="CK203" i="4"/>
  <c r="CJ203" i="4"/>
  <c r="CI203" i="4"/>
  <c r="CH203" i="4"/>
  <c r="CG203" i="4"/>
  <c r="CR202" i="4"/>
  <c r="CQ202" i="4"/>
  <c r="CP202" i="4"/>
  <c r="CO202" i="4"/>
  <c r="CN202" i="4"/>
  <c r="CM202" i="4"/>
  <c r="CL202" i="4"/>
  <c r="CK202" i="4"/>
  <c r="CJ202" i="4"/>
  <c r="CI202" i="4"/>
  <c r="CH202" i="4"/>
  <c r="CG202" i="4"/>
  <c r="CR201" i="4"/>
  <c r="CQ201" i="4"/>
  <c r="CP201" i="4"/>
  <c r="CO201" i="4"/>
  <c r="CN201" i="4"/>
  <c r="CM201" i="4"/>
  <c r="CL201" i="4"/>
  <c r="CK201" i="4"/>
  <c r="CJ201" i="4"/>
  <c r="CI201" i="4"/>
  <c r="CH201" i="4"/>
  <c r="CG201" i="4"/>
  <c r="CR200" i="4"/>
  <c r="CQ200" i="4"/>
  <c r="CP200" i="4"/>
  <c r="CO200" i="4"/>
  <c r="CN200" i="4"/>
  <c r="CM200" i="4"/>
  <c r="CL200" i="4"/>
  <c r="CK200" i="4"/>
  <c r="CJ200" i="4"/>
  <c r="CI200" i="4"/>
  <c r="CH200" i="4"/>
  <c r="CG200" i="4"/>
  <c r="CR199" i="4"/>
  <c r="CQ199" i="4"/>
  <c r="CP199" i="4"/>
  <c r="CO199" i="4"/>
  <c r="CN199" i="4"/>
  <c r="CM199" i="4"/>
  <c r="CL199" i="4"/>
  <c r="CK199" i="4"/>
  <c r="CJ199" i="4"/>
  <c r="CI199" i="4"/>
  <c r="CH199" i="4"/>
  <c r="CG199" i="4"/>
  <c r="CR198" i="4"/>
  <c r="CQ198" i="4"/>
  <c r="CP198" i="4"/>
  <c r="CO198" i="4"/>
  <c r="CN198" i="4"/>
  <c r="CM198" i="4"/>
  <c r="CL198" i="4"/>
  <c r="CK198" i="4"/>
  <c r="CJ198" i="4"/>
  <c r="CI198" i="4"/>
  <c r="CH198" i="4"/>
  <c r="CG198" i="4"/>
  <c r="CR197" i="4"/>
  <c r="CQ197" i="4"/>
  <c r="CP197" i="4"/>
  <c r="CO197" i="4"/>
  <c r="CN197" i="4"/>
  <c r="CM197" i="4"/>
  <c r="CL197" i="4"/>
  <c r="CK197" i="4"/>
  <c r="CJ197" i="4"/>
  <c r="CI197" i="4"/>
  <c r="CH197" i="4"/>
  <c r="CG197" i="4"/>
  <c r="CR196" i="4"/>
  <c r="CQ196" i="4"/>
  <c r="CP196" i="4"/>
  <c r="CO196" i="4"/>
  <c r="CN196" i="4"/>
  <c r="CM196" i="4"/>
  <c r="CL196" i="4"/>
  <c r="CK196" i="4"/>
  <c r="CJ196" i="4"/>
  <c r="CI196" i="4"/>
  <c r="CH196" i="4"/>
  <c r="CG196" i="4"/>
  <c r="CR195" i="4"/>
  <c r="CQ195" i="4"/>
  <c r="CP195" i="4"/>
  <c r="CO195" i="4"/>
  <c r="CN195" i="4"/>
  <c r="CM195" i="4"/>
  <c r="CL195" i="4"/>
  <c r="CK195" i="4"/>
  <c r="CJ195" i="4"/>
  <c r="CI195" i="4"/>
  <c r="CH195" i="4"/>
  <c r="CG195" i="4"/>
  <c r="CR194" i="4"/>
  <c r="CQ194" i="4"/>
  <c r="CP194" i="4"/>
  <c r="CO194" i="4"/>
  <c r="CN194" i="4"/>
  <c r="CM194" i="4"/>
  <c r="CL194" i="4"/>
  <c r="CK194" i="4"/>
  <c r="CJ194" i="4"/>
  <c r="CI194" i="4"/>
  <c r="CH194" i="4"/>
  <c r="CG194" i="4"/>
  <c r="CR192" i="4"/>
  <c r="CQ192" i="4"/>
  <c r="CP192" i="4"/>
  <c r="CO192" i="4"/>
  <c r="CN192" i="4"/>
  <c r="CM192" i="4"/>
  <c r="CL192" i="4"/>
  <c r="CK192" i="4"/>
  <c r="CJ192" i="4"/>
  <c r="CI192" i="4"/>
  <c r="CH192" i="4"/>
  <c r="CG192" i="4"/>
  <c r="CR191" i="4"/>
  <c r="CQ191" i="4"/>
  <c r="CP191" i="4"/>
  <c r="CO191" i="4"/>
  <c r="CN191" i="4"/>
  <c r="CM191" i="4"/>
  <c r="CL191" i="4"/>
  <c r="CK191" i="4"/>
  <c r="CJ191" i="4"/>
  <c r="CI191" i="4"/>
  <c r="CH191" i="4"/>
  <c r="CG191" i="4"/>
  <c r="CR190" i="4"/>
  <c r="CQ190" i="4"/>
  <c r="CP190" i="4"/>
  <c r="CO190" i="4"/>
  <c r="CN190" i="4"/>
  <c r="CM190" i="4"/>
  <c r="CL190" i="4"/>
  <c r="CK190" i="4"/>
  <c r="CJ190" i="4"/>
  <c r="CI190" i="4"/>
  <c r="CH190" i="4"/>
  <c r="CG190" i="4"/>
  <c r="CR189" i="4"/>
  <c r="CQ189" i="4"/>
  <c r="CP189" i="4"/>
  <c r="CO189" i="4"/>
  <c r="CN189" i="4"/>
  <c r="CM189" i="4"/>
  <c r="CL189" i="4"/>
  <c r="CK189" i="4"/>
  <c r="CJ189" i="4"/>
  <c r="CI189" i="4"/>
  <c r="CH189" i="4"/>
  <c r="CG189" i="4"/>
  <c r="CR188" i="4"/>
  <c r="CQ188" i="4"/>
  <c r="CP188" i="4"/>
  <c r="CO188" i="4"/>
  <c r="CN188" i="4"/>
  <c r="CM188" i="4"/>
  <c r="CL188" i="4"/>
  <c r="CK188" i="4"/>
  <c r="CJ188" i="4"/>
  <c r="CI188" i="4"/>
  <c r="CH188" i="4"/>
  <c r="CG188" i="4"/>
  <c r="CR186" i="4"/>
  <c r="CQ186" i="4"/>
  <c r="CP186" i="4"/>
  <c r="CO186" i="4"/>
  <c r="CN186" i="4"/>
  <c r="CM186" i="4"/>
  <c r="CL186" i="4"/>
  <c r="CK186" i="4"/>
  <c r="CJ186" i="4"/>
  <c r="CI186" i="4"/>
  <c r="CH186" i="4"/>
  <c r="CG186" i="4"/>
  <c r="CR185" i="4"/>
  <c r="CQ185" i="4"/>
  <c r="CP185" i="4"/>
  <c r="CO185" i="4"/>
  <c r="CN185" i="4"/>
  <c r="CM185" i="4"/>
  <c r="CL185" i="4"/>
  <c r="CK185" i="4"/>
  <c r="CJ185" i="4"/>
  <c r="CI185" i="4"/>
  <c r="CH185" i="4"/>
  <c r="CG185" i="4"/>
  <c r="CR184" i="4"/>
  <c r="CQ184" i="4"/>
  <c r="CP184" i="4"/>
  <c r="CO184" i="4"/>
  <c r="CN184" i="4"/>
  <c r="CM184" i="4"/>
  <c r="CL184" i="4"/>
  <c r="CK184" i="4"/>
  <c r="CJ184" i="4"/>
  <c r="CI184" i="4"/>
  <c r="CH184" i="4"/>
  <c r="CG184" i="4"/>
  <c r="CR183" i="4"/>
  <c r="CQ183" i="4"/>
  <c r="CP183" i="4"/>
  <c r="CO183" i="4"/>
  <c r="CN183" i="4"/>
  <c r="CM183" i="4"/>
  <c r="CL183" i="4"/>
  <c r="CK183" i="4"/>
  <c r="CJ183" i="4"/>
  <c r="CI183" i="4"/>
  <c r="CH183" i="4"/>
  <c r="CG183" i="4"/>
  <c r="CR181" i="4"/>
  <c r="CQ181" i="4"/>
  <c r="CP181" i="4"/>
  <c r="CO181" i="4"/>
  <c r="CN181" i="4"/>
  <c r="CM181" i="4"/>
  <c r="CL181" i="4"/>
  <c r="CK181" i="4"/>
  <c r="CJ181" i="4"/>
  <c r="CI181" i="4"/>
  <c r="CH181" i="4"/>
  <c r="CG181" i="4"/>
  <c r="CR180" i="4"/>
  <c r="CQ180" i="4"/>
  <c r="CP180" i="4"/>
  <c r="CO180" i="4"/>
  <c r="CN180" i="4"/>
  <c r="CM180" i="4"/>
  <c r="CL180" i="4"/>
  <c r="CK180" i="4"/>
  <c r="CJ180" i="4"/>
  <c r="CI180" i="4"/>
  <c r="CH180" i="4"/>
  <c r="CG180" i="4"/>
  <c r="CR179" i="4"/>
  <c r="CQ179" i="4"/>
  <c r="CP179" i="4"/>
  <c r="CO179" i="4"/>
  <c r="CN179" i="4"/>
  <c r="CM179" i="4"/>
  <c r="CL179" i="4"/>
  <c r="CK179" i="4"/>
  <c r="CJ179" i="4"/>
  <c r="CI179" i="4"/>
  <c r="CH179" i="4"/>
  <c r="CG179" i="4"/>
  <c r="CR177" i="4"/>
  <c r="CQ177" i="4"/>
  <c r="CP177" i="4"/>
  <c r="CO177" i="4"/>
  <c r="CN177" i="4"/>
  <c r="CM177" i="4"/>
  <c r="CL177" i="4"/>
  <c r="CK177" i="4"/>
  <c r="CJ177" i="4"/>
  <c r="CI177" i="4"/>
  <c r="CH177" i="4"/>
  <c r="CG177" i="4"/>
  <c r="CR176" i="4"/>
  <c r="CQ176" i="4"/>
  <c r="CP176" i="4"/>
  <c r="CO176" i="4"/>
  <c r="CN176" i="4"/>
  <c r="CM176" i="4"/>
  <c r="CL176" i="4"/>
  <c r="CK176" i="4"/>
  <c r="CJ176" i="4"/>
  <c r="CI176" i="4"/>
  <c r="CH176" i="4"/>
  <c r="CG176" i="4"/>
  <c r="CR175" i="4"/>
  <c r="CQ175" i="4"/>
  <c r="CP175" i="4"/>
  <c r="CO175" i="4"/>
  <c r="CN175" i="4"/>
  <c r="CM175" i="4"/>
  <c r="CL175" i="4"/>
  <c r="CK175" i="4"/>
  <c r="CJ175" i="4"/>
  <c r="CI175" i="4"/>
  <c r="CH175" i="4"/>
  <c r="CG175" i="4"/>
  <c r="CR174" i="4"/>
  <c r="CQ174" i="4"/>
  <c r="CP174" i="4"/>
  <c r="CO174" i="4"/>
  <c r="CN174" i="4"/>
  <c r="CM174" i="4"/>
  <c r="CL174" i="4"/>
  <c r="CK174" i="4"/>
  <c r="CJ174" i="4"/>
  <c r="CI174" i="4"/>
  <c r="CH174" i="4"/>
  <c r="CG174" i="4"/>
  <c r="CR173" i="4"/>
  <c r="CQ173" i="4"/>
  <c r="CP173" i="4"/>
  <c r="CO173" i="4"/>
  <c r="CN173" i="4"/>
  <c r="CM173" i="4"/>
  <c r="CL173" i="4"/>
  <c r="CK173" i="4"/>
  <c r="CJ173" i="4"/>
  <c r="CI173" i="4"/>
  <c r="CH173" i="4"/>
  <c r="CG173" i="4"/>
  <c r="CR171" i="4"/>
  <c r="CQ171" i="4"/>
  <c r="CP171" i="4"/>
  <c r="CO171" i="4"/>
  <c r="CN171" i="4"/>
  <c r="CM171" i="4"/>
  <c r="CL171" i="4"/>
  <c r="CK171" i="4"/>
  <c r="CJ171" i="4"/>
  <c r="CI171" i="4"/>
  <c r="CH171" i="4"/>
  <c r="CG171" i="4"/>
  <c r="CR170" i="4"/>
  <c r="CQ170" i="4"/>
  <c r="CP170" i="4"/>
  <c r="CO170" i="4"/>
  <c r="CN170" i="4"/>
  <c r="CM170" i="4"/>
  <c r="CL170" i="4"/>
  <c r="CK170" i="4"/>
  <c r="CJ170" i="4"/>
  <c r="CI170" i="4"/>
  <c r="CH170" i="4"/>
  <c r="CG170" i="4"/>
  <c r="CR169" i="4"/>
  <c r="CQ169" i="4"/>
  <c r="CP169" i="4"/>
  <c r="CO169" i="4"/>
  <c r="CN169" i="4"/>
  <c r="CM169" i="4"/>
  <c r="CL169" i="4"/>
  <c r="CK169" i="4"/>
  <c r="CJ169" i="4"/>
  <c r="CI169" i="4"/>
  <c r="CH169" i="4"/>
  <c r="CG169" i="4"/>
  <c r="CR168" i="4"/>
  <c r="CQ168" i="4"/>
  <c r="CP168" i="4"/>
  <c r="CO168" i="4"/>
  <c r="CN168" i="4"/>
  <c r="CM168" i="4"/>
  <c r="CL168" i="4"/>
  <c r="CK168" i="4"/>
  <c r="CJ168" i="4"/>
  <c r="CI168" i="4"/>
  <c r="CH168" i="4"/>
  <c r="CG168" i="4"/>
  <c r="CR167" i="4"/>
  <c r="CQ167" i="4"/>
  <c r="CP167" i="4"/>
  <c r="CO167" i="4"/>
  <c r="CN167" i="4"/>
  <c r="CM167" i="4"/>
  <c r="CL167" i="4"/>
  <c r="CK167" i="4"/>
  <c r="CJ167" i="4"/>
  <c r="CI167" i="4"/>
  <c r="CH167" i="4"/>
  <c r="CG167" i="4"/>
  <c r="CR166" i="4"/>
  <c r="CQ166" i="4"/>
  <c r="CP166" i="4"/>
  <c r="CO166" i="4"/>
  <c r="CN166" i="4"/>
  <c r="CM166" i="4"/>
  <c r="CL166" i="4"/>
  <c r="CK166" i="4"/>
  <c r="CJ166" i="4"/>
  <c r="CI166" i="4"/>
  <c r="CH166" i="4"/>
  <c r="CG166" i="4"/>
  <c r="CR165" i="4"/>
  <c r="CQ165" i="4"/>
  <c r="CP165" i="4"/>
  <c r="CO165" i="4"/>
  <c r="CN165" i="4"/>
  <c r="CM165" i="4"/>
  <c r="CL165" i="4"/>
  <c r="CK165" i="4"/>
  <c r="CJ165" i="4"/>
  <c r="CI165" i="4"/>
  <c r="CH165" i="4"/>
  <c r="CG165" i="4"/>
  <c r="CR162" i="4"/>
  <c r="CQ162" i="4"/>
  <c r="CP162" i="4"/>
  <c r="CO162" i="4"/>
  <c r="CN162" i="4"/>
  <c r="CM162" i="4"/>
  <c r="CL162" i="4"/>
  <c r="CK162" i="4"/>
  <c r="CJ162" i="4"/>
  <c r="CI162" i="4"/>
  <c r="CH162" i="4"/>
  <c r="CG162" i="4"/>
  <c r="CR161" i="4"/>
  <c r="CQ161" i="4"/>
  <c r="CP161" i="4"/>
  <c r="CO161" i="4"/>
  <c r="CN161" i="4"/>
  <c r="CM161" i="4"/>
  <c r="CL161" i="4"/>
  <c r="CK161" i="4"/>
  <c r="CJ161" i="4"/>
  <c r="CI161" i="4"/>
  <c r="CH161" i="4"/>
  <c r="CG161" i="4"/>
  <c r="CR160" i="4"/>
  <c r="CQ160" i="4"/>
  <c r="CP160" i="4"/>
  <c r="CO160" i="4"/>
  <c r="CN160" i="4"/>
  <c r="CM160" i="4"/>
  <c r="CL160" i="4"/>
  <c r="CK160" i="4"/>
  <c r="CJ160" i="4"/>
  <c r="CI160" i="4"/>
  <c r="CH160" i="4"/>
  <c r="CG160" i="4"/>
  <c r="CR159" i="4"/>
  <c r="CQ159" i="4"/>
  <c r="CP159" i="4"/>
  <c r="CO159" i="4"/>
  <c r="CN159" i="4"/>
  <c r="CM159" i="4"/>
  <c r="CL159" i="4"/>
  <c r="CK159" i="4"/>
  <c r="CJ159" i="4"/>
  <c r="CI159" i="4"/>
  <c r="CH159" i="4"/>
  <c r="CG159" i="4"/>
  <c r="CR158" i="4"/>
  <c r="CQ158" i="4"/>
  <c r="CP158" i="4"/>
  <c r="CO158" i="4"/>
  <c r="CN158" i="4"/>
  <c r="CM158" i="4"/>
  <c r="CL158" i="4"/>
  <c r="CK158" i="4"/>
  <c r="CJ158" i="4"/>
  <c r="CI158" i="4"/>
  <c r="CH158" i="4"/>
  <c r="CG158" i="4"/>
  <c r="CR154" i="4"/>
  <c r="CQ154" i="4"/>
  <c r="CP154" i="4"/>
  <c r="CO154" i="4"/>
  <c r="CN154" i="4"/>
  <c r="CM154" i="4"/>
  <c r="CL154" i="4"/>
  <c r="CK154" i="4"/>
  <c r="CJ154" i="4"/>
  <c r="CI154" i="4"/>
  <c r="CH154" i="4"/>
  <c r="CG154" i="4"/>
  <c r="CR153" i="4"/>
  <c r="CQ153" i="4"/>
  <c r="CP153" i="4"/>
  <c r="CO153" i="4"/>
  <c r="CN153" i="4"/>
  <c r="CM153" i="4"/>
  <c r="CL153" i="4"/>
  <c r="CK153" i="4"/>
  <c r="CJ153" i="4"/>
  <c r="CI153" i="4"/>
  <c r="CH153" i="4"/>
  <c r="CG153" i="4"/>
  <c r="CR152" i="4"/>
  <c r="CQ152" i="4"/>
  <c r="CP152" i="4"/>
  <c r="CO152" i="4"/>
  <c r="CN152" i="4"/>
  <c r="CM152" i="4"/>
  <c r="CL152" i="4"/>
  <c r="CK152" i="4"/>
  <c r="CJ152" i="4"/>
  <c r="CI152" i="4"/>
  <c r="CH152" i="4"/>
  <c r="CG152" i="4"/>
  <c r="CR151" i="4"/>
  <c r="CQ151" i="4"/>
  <c r="CP151" i="4"/>
  <c r="CO151" i="4"/>
  <c r="CN151" i="4"/>
  <c r="CM151" i="4"/>
  <c r="CL151" i="4"/>
  <c r="CK151" i="4"/>
  <c r="CJ151" i="4"/>
  <c r="CI151" i="4"/>
  <c r="CH151" i="4"/>
  <c r="CG151" i="4"/>
  <c r="CR149" i="4"/>
  <c r="CQ149" i="4"/>
  <c r="CP149" i="4"/>
  <c r="CO149" i="4"/>
  <c r="CN149" i="4"/>
  <c r="CM149" i="4"/>
  <c r="CL149" i="4"/>
  <c r="CK149" i="4"/>
  <c r="CJ149" i="4"/>
  <c r="CI149" i="4"/>
  <c r="CH149" i="4"/>
  <c r="CG149" i="4"/>
  <c r="CR148" i="4"/>
  <c r="CQ148" i="4"/>
  <c r="CP148" i="4"/>
  <c r="CO148" i="4"/>
  <c r="CN148" i="4"/>
  <c r="CM148" i="4"/>
  <c r="CL148" i="4"/>
  <c r="CK148" i="4"/>
  <c r="CJ148" i="4"/>
  <c r="CI148" i="4"/>
  <c r="CH148" i="4"/>
  <c r="CG148" i="4"/>
  <c r="CR147" i="4"/>
  <c r="CQ147" i="4"/>
  <c r="CP147" i="4"/>
  <c r="CO147" i="4"/>
  <c r="CN147" i="4"/>
  <c r="CM147" i="4"/>
  <c r="CL147" i="4"/>
  <c r="CK147" i="4"/>
  <c r="CJ147" i="4"/>
  <c r="CI147" i="4"/>
  <c r="CH147" i="4"/>
  <c r="CG147" i="4"/>
  <c r="CR145" i="4"/>
  <c r="CQ145" i="4"/>
  <c r="CP145" i="4"/>
  <c r="CO145" i="4"/>
  <c r="CN145" i="4"/>
  <c r="CM145" i="4"/>
  <c r="CL145" i="4"/>
  <c r="CK145" i="4"/>
  <c r="CJ145" i="4"/>
  <c r="CI145" i="4"/>
  <c r="CH145" i="4"/>
  <c r="CG145" i="4"/>
  <c r="CR144" i="4"/>
  <c r="CQ144" i="4"/>
  <c r="CP144" i="4"/>
  <c r="CO144" i="4"/>
  <c r="CN144" i="4"/>
  <c r="CM144" i="4"/>
  <c r="CL144" i="4"/>
  <c r="CK144" i="4"/>
  <c r="CJ144" i="4"/>
  <c r="CI144" i="4"/>
  <c r="CH144" i="4"/>
  <c r="CG144" i="4"/>
  <c r="CR143" i="4"/>
  <c r="CQ143" i="4"/>
  <c r="CP143" i="4"/>
  <c r="CO143" i="4"/>
  <c r="CN143" i="4"/>
  <c r="CM143" i="4"/>
  <c r="CL143" i="4"/>
  <c r="CK143" i="4"/>
  <c r="CJ143" i="4"/>
  <c r="CI143" i="4"/>
  <c r="CH143" i="4"/>
  <c r="CG143" i="4"/>
  <c r="CR142" i="4"/>
  <c r="CQ142" i="4"/>
  <c r="CP142" i="4"/>
  <c r="CO142" i="4"/>
  <c r="CN142" i="4"/>
  <c r="CM142" i="4"/>
  <c r="CL142" i="4"/>
  <c r="CK142" i="4"/>
  <c r="CJ142" i="4"/>
  <c r="CI142" i="4"/>
  <c r="CH142" i="4"/>
  <c r="CG142" i="4"/>
  <c r="CR141" i="4"/>
  <c r="CQ141" i="4"/>
  <c r="CP141" i="4"/>
  <c r="CO141" i="4"/>
  <c r="CN141" i="4"/>
  <c r="CM141" i="4"/>
  <c r="CL141" i="4"/>
  <c r="CK141" i="4"/>
  <c r="CJ141" i="4"/>
  <c r="CI141" i="4"/>
  <c r="CH141" i="4"/>
  <c r="CG141" i="4"/>
  <c r="CR140" i="4"/>
  <c r="CQ140" i="4"/>
  <c r="CP140" i="4"/>
  <c r="CO140" i="4"/>
  <c r="CN140" i="4"/>
  <c r="CM140" i="4"/>
  <c r="CL140" i="4"/>
  <c r="CK140" i="4"/>
  <c r="CJ140" i="4"/>
  <c r="CI140" i="4"/>
  <c r="CH140" i="4"/>
  <c r="CG140" i="4"/>
  <c r="CR139" i="4"/>
  <c r="CQ139" i="4"/>
  <c r="CP139" i="4"/>
  <c r="CO139" i="4"/>
  <c r="CN139" i="4"/>
  <c r="CM139" i="4"/>
  <c r="CL139" i="4"/>
  <c r="CK139" i="4"/>
  <c r="CJ139" i="4"/>
  <c r="CI139" i="4"/>
  <c r="CH139" i="4"/>
  <c r="CG139" i="4"/>
  <c r="CR137" i="4"/>
  <c r="CQ137" i="4"/>
  <c r="CP137" i="4"/>
  <c r="CO137" i="4"/>
  <c r="CN137" i="4"/>
  <c r="CM137" i="4"/>
  <c r="CL137" i="4"/>
  <c r="CK137" i="4"/>
  <c r="CJ137" i="4"/>
  <c r="CI137" i="4"/>
  <c r="CH137" i="4"/>
  <c r="CG137" i="4"/>
  <c r="CR136" i="4"/>
  <c r="CQ136" i="4"/>
  <c r="CP136" i="4"/>
  <c r="CO136" i="4"/>
  <c r="CN136" i="4"/>
  <c r="CM136" i="4"/>
  <c r="CL136" i="4"/>
  <c r="CK136" i="4"/>
  <c r="CJ136" i="4"/>
  <c r="CI136" i="4"/>
  <c r="CH136" i="4"/>
  <c r="CG136" i="4"/>
  <c r="CR135" i="4"/>
  <c r="CQ135" i="4"/>
  <c r="CP135" i="4"/>
  <c r="CO135" i="4"/>
  <c r="CN135" i="4"/>
  <c r="CM135" i="4"/>
  <c r="CL135" i="4"/>
  <c r="CK135" i="4"/>
  <c r="CJ135" i="4"/>
  <c r="CI135" i="4"/>
  <c r="CH135" i="4"/>
  <c r="CG135" i="4"/>
  <c r="CR134" i="4"/>
  <c r="CQ134" i="4"/>
  <c r="CP134" i="4"/>
  <c r="CO134" i="4"/>
  <c r="CN134" i="4"/>
  <c r="CM134" i="4"/>
  <c r="CL134" i="4"/>
  <c r="CK134" i="4"/>
  <c r="CJ134" i="4"/>
  <c r="CI134" i="4"/>
  <c r="CH134" i="4"/>
  <c r="CG134" i="4"/>
  <c r="CR132" i="4"/>
  <c r="CQ132" i="4"/>
  <c r="CP132" i="4"/>
  <c r="CO132" i="4"/>
  <c r="CN132" i="4"/>
  <c r="CM132" i="4"/>
  <c r="CL132" i="4"/>
  <c r="CK132" i="4"/>
  <c r="CJ132" i="4"/>
  <c r="CI132" i="4"/>
  <c r="CH132" i="4"/>
  <c r="CG132" i="4"/>
  <c r="CR131" i="4"/>
  <c r="CQ131" i="4"/>
  <c r="CP131" i="4"/>
  <c r="CO131" i="4"/>
  <c r="CN131" i="4"/>
  <c r="CM131" i="4"/>
  <c r="CL131" i="4"/>
  <c r="CK131" i="4"/>
  <c r="CJ131" i="4"/>
  <c r="CI131" i="4"/>
  <c r="CH131" i="4"/>
  <c r="CG131" i="4"/>
  <c r="CR130" i="4"/>
  <c r="CQ130" i="4"/>
  <c r="CP130" i="4"/>
  <c r="CO130" i="4"/>
  <c r="CN130" i="4"/>
  <c r="CN129" i="4" s="1"/>
  <c r="CM130" i="4"/>
  <c r="CL130" i="4"/>
  <c r="CK130" i="4"/>
  <c r="CJ130" i="4"/>
  <c r="CI130" i="4"/>
  <c r="CH130" i="4"/>
  <c r="CG130" i="4"/>
  <c r="CR128" i="4"/>
  <c r="CQ128" i="4"/>
  <c r="CP128" i="4"/>
  <c r="CO128" i="4"/>
  <c r="CN128" i="4"/>
  <c r="CM128" i="4"/>
  <c r="CL128" i="4"/>
  <c r="CK128" i="4"/>
  <c r="CJ128" i="4"/>
  <c r="CI128" i="4"/>
  <c r="CH128" i="4"/>
  <c r="CG128" i="4"/>
  <c r="CR127" i="4"/>
  <c r="CQ127" i="4"/>
  <c r="CP127" i="4"/>
  <c r="CO127" i="4"/>
  <c r="CN127" i="4"/>
  <c r="CM127" i="4"/>
  <c r="CL127" i="4"/>
  <c r="CK127" i="4"/>
  <c r="CJ127" i="4"/>
  <c r="CI127" i="4"/>
  <c r="CH127" i="4"/>
  <c r="CG127" i="4"/>
  <c r="CR126" i="4"/>
  <c r="CQ126" i="4"/>
  <c r="CP126" i="4"/>
  <c r="CO126" i="4"/>
  <c r="CN126" i="4"/>
  <c r="CM126" i="4"/>
  <c r="CL126" i="4"/>
  <c r="CK126" i="4"/>
  <c r="CJ126" i="4"/>
  <c r="CI126" i="4"/>
  <c r="CH126" i="4"/>
  <c r="CG126" i="4"/>
  <c r="CR125" i="4"/>
  <c r="CQ125" i="4"/>
  <c r="CP125" i="4"/>
  <c r="CO125" i="4"/>
  <c r="CN125" i="4"/>
  <c r="CM125" i="4"/>
  <c r="CL125" i="4"/>
  <c r="CK125" i="4"/>
  <c r="CJ125" i="4"/>
  <c r="CI125" i="4"/>
  <c r="CH125" i="4"/>
  <c r="CG125" i="4"/>
  <c r="CR124" i="4"/>
  <c r="CQ124" i="4"/>
  <c r="CP124" i="4"/>
  <c r="CO124" i="4"/>
  <c r="CN124" i="4"/>
  <c r="CM124" i="4"/>
  <c r="CL124" i="4"/>
  <c r="CK124" i="4"/>
  <c r="CJ124" i="4"/>
  <c r="CI124" i="4"/>
  <c r="CH124" i="4"/>
  <c r="CG124" i="4"/>
  <c r="CR123" i="4"/>
  <c r="CQ123" i="4"/>
  <c r="CP123" i="4"/>
  <c r="CO123" i="4"/>
  <c r="CN123" i="4"/>
  <c r="CM123" i="4"/>
  <c r="CL123" i="4"/>
  <c r="CK123" i="4"/>
  <c r="CJ123" i="4"/>
  <c r="CI123" i="4"/>
  <c r="CH123" i="4"/>
  <c r="CG123" i="4"/>
  <c r="CR122" i="4"/>
  <c r="CQ122" i="4"/>
  <c r="CP122" i="4"/>
  <c r="CO122" i="4"/>
  <c r="CN122" i="4"/>
  <c r="CM122" i="4"/>
  <c r="CL122" i="4"/>
  <c r="CK122" i="4"/>
  <c r="CJ122" i="4"/>
  <c r="CI122" i="4"/>
  <c r="CH122" i="4"/>
  <c r="CG122" i="4"/>
  <c r="CR121" i="4"/>
  <c r="CQ121" i="4"/>
  <c r="CP121" i="4"/>
  <c r="CO121" i="4"/>
  <c r="CN121" i="4"/>
  <c r="CM121" i="4"/>
  <c r="CL121" i="4"/>
  <c r="CK121" i="4"/>
  <c r="CJ121" i="4"/>
  <c r="CI121" i="4"/>
  <c r="CH121" i="4"/>
  <c r="CG121" i="4"/>
  <c r="CR120" i="4"/>
  <c r="CQ120" i="4"/>
  <c r="CP120" i="4"/>
  <c r="CO120" i="4"/>
  <c r="CN120" i="4"/>
  <c r="CM120" i="4"/>
  <c r="CL120" i="4"/>
  <c r="CK120" i="4"/>
  <c r="CJ120" i="4"/>
  <c r="CI120" i="4"/>
  <c r="CH120" i="4"/>
  <c r="CG120" i="4"/>
  <c r="CR119" i="4"/>
  <c r="CQ119" i="4"/>
  <c r="CP119" i="4"/>
  <c r="CO119" i="4"/>
  <c r="CN119" i="4"/>
  <c r="CM119" i="4"/>
  <c r="CL119" i="4"/>
  <c r="CK119" i="4"/>
  <c r="CJ119" i="4"/>
  <c r="CI119" i="4"/>
  <c r="CH119" i="4"/>
  <c r="CG119" i="4"/>
  <c r="CR118" i="4"/>
  <c r="CQ118" i="4"/>
  <c r="CP118" i="4"/>
  <c r="CO118" i="4"/>
  <c r="CN118" i="4"/>
  <c r="CM118" i="4"/>
  <c r="CL118" i="4"/>
  <c r="CK118" i="4"/>
  <c r="CJ118" i="4"/>
  <c r="CI118" i="4"/>
  <c r="CH118" i="4"/>
  <c r="CG118" i="4"/>
  <c r="CR117" i="4"/>
  <c r="CQ117" i="4"/>
  <c r="CP117" i="4"/>
  <c r="CO117" i="4"/>
  <c r="CN117" i="4"/>
  <c r="CM117" i="4"/>
  <c r="CL117" i="4"/>
  <c r="CK117" i="4"/>
  <c r="CJ117" i="4"/>
  <c r="CI117" i="4"/>
  <c r="CH117" i="4"/>
  <c r="CG117" i="4"/>
  <c r="CR113" i="4"/>
  <c r="CQ113" i="4"/>
  <c r="CP113" i="4"/>
  <c r="CO113" i="4"/>
  <c r="CN113" i="4"/>
  <c r="CM113" i="4"/>
  <c r="CL113" i="4"/>
  <c r="CK113" i="4"/>
  <c r="CJ113" i="4"/>
  <c r="CI113" i="4"/>
  <c r="CH113" i="4"/>
  <c r="CG113" i="4"/>
  <c r="CR112" i="4"/>
  <c r="CQ112" i="4"/>
  <c r="CP112" i="4"/>
  <c r="CO112" i="4"/>
  <c r="CN112" i="4"/>
  <c r="CM112" i="4"/>
  <c r="CL112" i="4"/>
  <c r="CK112" i="4"/>
  <c r="CJ112" i="4"/>
  <c r="CI112" i="4"/>
  <c r="CH112" i="4"/>
  <c r="CG112" i="4"/>
  <c r="CR111" i="4"/>
  <c r="CQ111" i="4"/>
  <c r="CP111" i="4"/>
  <c r="CO111" i="4"/>
  <c r="CN111" i="4"/>
  <c r="CM111" i="4"/>
  <c r="CL111" i="4"/>
  <c r="CK111" i="4"/>
  <c r="CJ111" i="4"/>
  <c r="CI111" i="4"/>
  <c r="CH111" i="4"/>
  <c r="CG111" i="4"/>
  <c r="CR110" i="4"/>
  <c r="CQ110" i="4"/>
  <c r="CP110" i="4"/>
  <c r="CO110" i="4"/>
  <c r="CN110" i="4"/>
  <c r="CM110" i="4"/>
  <c r="CL110" i="4"/>
  <c r="CK110" i="4"/>
  <c r="CJ110" i="4"/>
  <c r="CI110" i="4"/>
  <c r="CH110" i="4"/>
  <c r="CG110" i="4"/>
  <c r="CR109" i="4"/>
  <c r="CQ109" i="4"/>
  <c r="CP109" i="4"/>
  <c r="CO109" i="4"/>
  <c r="CN109" i="4"/>
  <c r="CM109" i="4"/>
  <c r="CL109" i="4"/>
  <c r="CK109" i="4"/>
  <c r="CJ109" i="4"/>
  <c r="CI109" i="4"/>
  <c r="CH109" i="4"/>
  <c r="CG109" i="4"/>
  <c r="CR108" i="4"/>
  <c r="CQ108" i="4"/>
  <c r="CP108" i="4"/>
  <c r="CO108" i="4"/>
  <c r="CN108" i="4"/>
  <c r="CM108" i="4"/>
  <c r="CL108" i="4"/>
  <c r="CK108" i="4"/>
  <c r="CJ108" i="4"/>
  <c r="CI108" i="4"/>
  <c r="CH108" i="4"/>
  <c r="CG108" i="4"/>
  <c r="CR107" i="4"/>
  <c r="CQ107" i="4"/>
  <c r="CP107" i="4"/>
  <c r="CO107" i="4"/>
  <c r="CN107" i="4"/>
  <c r="CM107" i="4"/>
  <c r="CL107" i="4"/>
  <c r="CK107" i="4"/>
  <c r="CJ107" i="4"/>
  <c r="CI107" i="4"/>
  <c r="CH107" i="4"/>
  <c r="CG107" i="4"/>
  <c r="CR106" i="4"/>
  <c r="CQ106" i="4"/>
  <c r="CP106" i="4"/>
  <c r="CO106" i="4"/>
  <c r="CN106" i="4"/>
  <c r="CM106" i="4"/>
  <c r="CL106" i="4"/>
  <c r="CK106" i="4"/>
  <c r="CJ106" i="4"/>
  <c r="CI106" i="4"/>
  <c r="CH106" i="4"/>
  <c r="CG106" i="4"/>
  <c r="CR105" i="4"/>
  <c r="CQ105" i="4"/>
  <c r="CP105" i="4"/>
  <c r="CP104" i="4" s="1"/>
  <c r="CO105" i="4"/>
  <c r="CN105" i="4"/>
  <c r="CM105" i="4"/>
  <c r="CL105" i="4"/>
  <c r="CK105" i="4"/>
  <c r="CJ105" i="4"/>
  <c r="CI105" i="4"/>
  <c r="CH105" i="4"/>
  <c r="CG105" i="4"/>
  <c r="CR102" i="4"/>
  <c r="CQ102" i="4"/>
  <c r="CP102" i="4"/>
  <c r="CO102" i="4"/>
  <c r="CN102" i="4"/>
  <c r="CM102" i="4"/>
  <c r="CL102" i="4"/>
  <c r="CK102" i="4"/>
  <c r="CJ102" i="4"/>
  <c r="CI102" i="4"/>
  <c r="CH102" i="4"/>
  <c r="CG102" i="4"/>
  <c r="CR101" i="4"/>
  <c r="CQ101" i="4"/>
  <c r="CP101" i="4"/>
  <c r="CO101" i="4"/>
  <c r="CN101" i="4"/>
  <c r="CM101" i="4"/>
  <c r="CL101" i="4"/>
  <c r="CK101" i="4"/>
  <c r="CJ101" i="4"/>
  <c r="CI101" i="4"/>
  <c r="CH101" i="4"/>
  <c r="CG101" i="4"/>
  <c r="CR100" i="4"/>
  <c r="CQ100" i="4"/>
  <c r="CP100" i="4"/>
  <c r="CO100" i="4"/>
  <c r="CN100" i="4"/>
  <c r="CM100" i="4"/>
  <c r="CL100" i="4"/>
  <c r="CK100" i="4"/>
  <c r="CJ100" i="4"/>
  <c r="CI100" i="4"/>
  <c r="CH100" i="4"/>
  <c r="CG100" i="4"/>
  <c r="CR99" i="4"/>
  <c r="CQ99" i="4"/>
  <c r="CP99" i="4"/>
  <c r="CO99" i="4"/>
  <c r="CN99" i="4"/>
  <c r="CM99" i="4"/>
  <c r="CL99" i="4"/>
  <c r="CK99" i="4"/>
  <c r="CJ99" i="4"/>
  <c r="CI99" i="4"/>
  <c r="CH99" i="4"/>
  <c r="CG99" i="4"/>
  <c r="CR98" i="4"/>
  <c r="CQ98" i="4"/>
  <c r="CP98" i="4"/>
  <c r="CO98" i="4"/>
  <c r="CN98" i="4"/>
  <c r="CM98" i="4"/>
  <c r="CL98" i="4"/>
  <c r="CK98" i="4"/>
  <c r="CJ98" i="4"/>
  <c r="CI98" i="4"/>
  <c r="CH98" i="4"/>
  <c r="CG98" i="4"/>
  <c r="CR97" i="4"/>
  <c r="CQ97" i="4"/>
  <c r="CP97" i="4"/>
  <c r="CO97" i="4"/>
  <c r="CN97" i="4"/>
  <c r="CM97" i="4"/>
  <c r="CL97" i="4"/>
  <c r="CK97" i="4"/>
  <c r="CJ97" i="4"/>
  <c r="CI97" i="4"/>
  <c r="CH97" i="4"/>
  <c r="CG97" i="4"/>
  <c r="CR96" i="4"/>
  <c r="CQ96" i="4"/>
  <c r="CP96" i="4"/>
  <c r="CO96" i="4"/>
  <c r="CN96" i="4"/>
  <c r="CM96" i="4"/>
  <c r="CL96" i="4"/>
  <c r="CK96" i="4"/>
  <c r="CJ96" i="4"/>
  <c r="CI96" i="4"/>
  <c r="CH96" i="4"/>
  <c r="CG96" i="4"/>
  <c r="CR95" i="4"/>
  <c r="CQ95" i="4"/>
  <c r="CP95" i="4"/>
  <c r="CO95" i="4"/>
  <c r="CN95" i="4"/>
  <c r="CM95" i="4"/>
  <c r="CL95" i="4"/>
  <c r="CK95" i="4"/>
  <c r="CJ95" i="4"/>
  <c r="CI95" i="4"/>
  <c r="CH95" i="4"/>
  <c r="CG95" i="4"/>
  <c r="CR94" i="4"/>
  <c r="CQ94" i="4"/>
  <c r="CP94" i="4"/>
  <c r="CO94" i="4"/>
  <c r="CN94" i="4"/>
  <c r="CM94" i="4"/>
  <c r="CL94" i="4"/>
  <c r="CK94" i="4"/>
  <c r="CJ94" i="4"/>
  <c r="CI94" i="4"/>
  <c r="CH94" i="4"/>
  <c r="CG94" i="4"/>
  <c r="CR93" i="4"/>
  <c r="CQ93" i="4"/>
  <c r="CP93" i="4"/>
  <c r="CO93" i="4"/>
  <c r="CN93" i="4"/>
  <c r="CM93" i="4"/>
  <c r="CL93" i="4"/>
  <c r="CK93" i="4"/>
  <c r="CJ93" i="4"/>
  <c r="CI93" i="4"/>
  <c r="CH93" i="4"/>
  <c r="CG93" i="4"/>
  <c r="CR92" i="4"/>
  <c r="CQ92" i="4"/>
  <c r="CP92" i="4"/>
  <c r="CO92" i="4"/>
  <c r="CN92" i="4"/>
  <c r="CM92" i="4"/>
  <c r="CL92" i="4"/>
  <c r="CK92" i="4"/>
  <c r="CJ92" i="4"/>
  <c r="CI92" i="4"/>
  <c r="CH92" i="4"/>
  <c r="CG92" i="4"/>
  <c r="CR91" i="4"/>
  <c r="CQ91" i="4"/>
  <c r="CP91" i="4"/>
  <c r="CO91" i="4"/>
  <c r="CN91" i="4"/>
  <c r="CM91" i="4"/>
  <c r="CL91" i="4"/>
  <c r="CK91" i="4"/>
  <c r="CJ91" i="4"/>
  <c r="CI91" i="4"/>
  <c r="CH91" i="4"/>
  <c r="CG91" i="4"/>
  <c r="CR89" i="4"/>
  <c r="CQ89" i="4"/>
  <c r="CP89" i="4"/>
  <c r="CO89" i="4"/>
  <c r="CN89" i="4"/>
  <c r="CM89" i="4"/>
  <c r="CL89" i="4"/>
  <c r="CK89" i="4"/>
  <c r="CJ89" i="4"/>
  <c r="CI89" i="4"/>
  <c r="CH89" i="4"/>
  <c r="CG89" i="4"/>
  <c r="CR88" i="4"/>
  <c r="CQ88" i="4"/>
  <c r="CP88" i="4"/>
  <c r="CO88" i="4"/>
  <c r="CN88" i="4"/>
  <c r="CM88" i="4"/>
  <c r="CL88" i="4"/>
  <c r="CK88" i="4"/>
  <c r="CJ88" i="4"/>
  <c r="CI88" i="4"/>
  <c r="CH88" i="4"/>
  <c r="CG88" i="4"/>
  <c r="CR86" i="4"/>
  <c r="CQ86" i="4"/>
  <c r="CP86" i="4"/>
  <c r="CO86" i="4"/>
  <c r="CN86" i="4"/>
  <c r="CM86" i="4"/>
  <c r="CL86" i="4"/>
  <c r="CK86" i="4"/>
  <c r="CJ86" i="4"/>
  <c r="CI86" i="4"/>
  <c r="CH86" i="4"/>
  <c r="CG86" i="4"/>
  <c r="CR85" i="4"/>
  <c r="CQ85" i="4"/>
  <c r="CP85" i="4"/>
  <c r="CO85" i="4"/>
  <c r="CN85" i="4"/>
  <c r="CM85" i="4"/>
  <c r="CL85" i="4"/>
  <c r="CK85" i="4"/>
  <c r="CJ85" i="4"/>
  <c r="CI85" i="4"/>
  <c r="CH85" i="4"/>
  <c r="CG85" i="4"/>
  <c r="CR84" i="4"/>
  <c r="CQ84" i="4"/>
  <c r="CP84" i="4"/>
  <c r="CO84" i="4"/>
  <c r="CN84" i="4"/>
  <c r="CM84" i="4"/>
  <c r="CL84" i="4"/>
  <c r="CK84" i="4"/>
  <c r="CJ84" i="4"/>
  <c r="CI84" i="4"/>
  <c r="CH84" i="4"/>
  <c r="CG84" i="4"/>
  <c r="CR83" i="4"/>
  <c r="CQ83" i="4"/>
  <c r="CP83" i="4"/>
  <c r="CO83" i="4"/>
  <c r="CN83" i="4"/>
  <c r="CM83" i="4"/>
  <c r="CL83" i="4"/>
  <c r="CK83" i="4"/>
  <c r="CJ83" i="4"/>
  <c r="CI83" i="4"/>
  <c r="CH83" i="4"/>
  <c r="CG83" i="4"/>
  <c r="CR82" i="4"/>
  <c r="CQ82" i="4"/>
  <c r="CP82" i="4"/>
  <c r="CO82" i="4"/>
  <c r="CN82" i="4"/>
  <c r="CM82" i="4"/>
  <c r="CL82" i="4"/>
  <c r="CK82" i="4"/>
  <c r="CJ82" i="4"/>
  <c r="CI82" i="4"/>
  <c r="CH82" i="4"/>
  <c r="CG82" i="4"/>
  <c r="CR81" i="4"/>
  <c r="CQ81" i="4"/>
  <c r="CP81" i="4"/>
  <c r="CO81" i="4"/>
  <c r="CN81" i="4"/>
  <c r="CM81" i="4"/>
  <c r="CL81" i="4"/>
  <c r="CK81" i="4"/>
  <c r="CJ81" i="4"/>
  <c r="CI81" i="4"/>
  <c r="CH81" i="4"/>
  <c r="CG81" i="4"/>
  <c r="CR80" i="4"/>
  <c r="CQ80" i="4"/>
  <c r="CP80" i="4"/>
  <c r="CO80" i="4"/>
  <c r="CN80" i="4"/>
  <c r="CM80" i="4"/>
  <c r="CL80" i="4"/>
  <c r="CK80" i="4"/>
  <c r="CJ80" i="4"/>
  <c r="CI80" i="4"/>
  <c r="CH80" i="4"/>
  <c r="CG80" i="4"/>
  <c r="CR79" i="4"/>
  <c r="CQ79" i="4"/>
  <c r="CP79" i="4"/>
  <c r="CO79" i="4"/>
  <c r="CN79" i="4"/>
  <c r="CM79" i="4"/>
  <c r="CL79" i="4"/>
  <c r="CK79" i="4"/>
  <c r="CJ79" i="4"/>
  <c r="CI79" i="4"/>
  <c r="CH79" i="4"/>
  <c r="CG79" i="4"/>
  <c r="CR78" i="4"/>
  <c r="CQ78" i="4"/>
  <c r="CP78" i="4"/>
  <c r="CO78" i="4"/>
  <c r="CN78" i="4"/>
  <c r="CM78" i="4"/>
  <c r="CL78" i="4"/>
  <c r="CK78" i="4"/>
  <c r="CJ78" i="4"/>
  <c r="CI78" i="4"/>
  <c r="CH78" i="4"/>
  <c r="CG78" i="4"/>
  <c r="CR77" i="4"/>
  <c r="CQ77" i="4"/>
  <c r="CP77" i="4"/>
  <c r="CO77" i="4"/>
  <c r="CN77" i="4"/>
  <c r="CM77" i="4"/>
  <c r="CL77" i="4"/>
  <c r="CK77" i="4"/>
  <c r="CJ77" i="4"/>
  <c r="CI77" i="4"/>
  <c r="CH77" i="4"/>
  <c r="CG77" i="4"/>
  <c r="CR69" i="4"/>
  <c r="CQ69" i="4"/>
  <c r="CP69" i="4"/>
  <c r="CO69" i="4"/>
  <c r="CN69" i="4"/>
  <c r="CM69" i="4"/>
  <c r="CL69" i="4"/>
  <c r="CK69" i="4"/>
  <c r="CJ69" i="4"/>
  <c r="CI69" i="4"/>
  <c r="CH69" i="4"/>
  <c r="CG69" i="4"/>
  <c r="CR68" i="4"/>
  <c r="CQ68" i="4"/>
  <c r="CP68" i="4"/>
  <c r="CO68" i="4"/>
  <c r="CN68" i="4"/>
  <c r="CM68" i="4"/>
  <c r="CL68" i="4"/>
  <c r="CK68" i="4"/>
  <c r="CJ68" i="4"/>
  <c r="CI68" i="4"/>
  <c r="CH68" i="4"/>
  <c r="CG68" i="4"/>
  <c r="CR67" i="4"/>
  <c r="CQ67" i="4"/>
  <c r="CP67" i="4"/>
  <c r="CO67" i="4"/>
  <c r="CN67" i="4"/>
  <c r="CM67" i="4"/>
  <c r="CL67" i="4"/>
  <c r="CK67" i="4"/>
  <c r="CJ67" i="4"/>
  <c r="CI67" i="4"/>
  <c r="CH67" i="4"/>
  <c r="CG67" i="4"/>
  <c r="CR66" i="4"/>
  <c r="CQ66" i="4"/>
  <c r="CP66" i="4"/>
  <c r="CO66" i="4"/>
  <c r="CN66" i="4"/>
  <c r="CM66" i="4"/>
  <c r="CL66" i="4"/>
  <c r="CK66" i="4"/>
  <c r="CJ66" i="4"/>
  <c r="CI66" i="4"/>
  <c r="CH66" i="4"/>
  <c r="CG66" i="4"/>
  <c r="CR65" i="4"/>
  <c r="CQ65" i="4"/>
  <c r="CP65" i="4"/>
  <c r="CO65" i="4"/>
  <c r="CN65" i="4"/>
  <c r="CM65" i="4"/>
  <c r="CL65" i="4"/>
  <c r="CK65" i="4"/>
  <c r="CJ65" i="4"/>
  <c r="CI65" i="4"/>
  <c r="CH65" i="4"/>
  <c r="CG65" i="4"/>
  <c r="CR64" i="4"/>
  <c r="CQ64" i="4"/>
  <c r="CP64" i="4"/>
  <c r="CO64" i="4"/>
  <c r="CN64" i="4"/>
  <c r="CM64" i="4"/>
  <c r="CL64" i="4"/>
  <c r="CK64" i="4"/>
  <c r="CJ64" i="4"/>
  <c r="CI64" i="4"/>
  <c r="CH64" i="4"/>
  <c r="CG64" i="4"/>
  <c r="CR63" i="4"/>
  <c r="CQ63" i="4"/>
  <c r="CP63" i="4"/>
  <c r="CO63" i="4"/>
  <c r="CN63" i="4"/>
  <c r="CM63" i="4"/>
  <c r="CL63" i="4"/>
  <c r="CK63" i="4"/>
  <c r="CJ63" i="4"/>
  <c r="CI63" i="4"/>
  <c r="CH63" i="4"/>
  <c r="CG63" i="4"/>
  <c r="CR62" i="4"/>
  <c r="CQ62" i="4"/>
  <c r="CP62" i="4"/>
  <c r="CO62" i="4"/>
  <c r="CN62" i="4"/>
  <c r="CM62" i="4"/>
  <c r="CL62" i="4"/>
  <c r="CK62" i="4"/>
  <c r="CJ62" i="4"/>
  <c r="CI62" i="4"/>
  <c r="CH62" i="4"/>
  <c r="CG62" i="4"/>
  <c r="CR61" i="4"/>
  <c r="CQ61" i="4"/>
  <c r="CP61" i="4"/>
  <c r="CO61" i="4"/>
  <c r="CN61" i="4"/>
  <c r="CM61" i="4"/>
  <c r="CL61" i="4"/>
  <c r="CK61" i="4"/>
  <c r="CJ61" i="4"/>
  <c r="CI61" i="4"/>
  <c r="CH61" i="4"/>
  <c r="CG61" i="4"/>
  <c r="CR56" i="4"/>
  <c r="CQ56" i="4"/>
  <c r="CP56" i="4"/>
  <c r="CO56" i="4"/>
  <c r="CN56" i="4"/>
  <c r="CM56" i="4"/>
  <c r="CL56" i="4"/>
  <c r="CK56" i="4"/>
  <c r="CJ56" i="4"/>
  <c r="CI56" i="4"/>
  <c r="CH56" i="4"/>
  <c r="CG56" i="4"/>
  <c r="CR55" i="4"/>
  <c r="CQ55" i="4"/>
  <c r="CP55" i="4"/>
  <c r="CO55" i="4"/>
  <c r="CN55" i="4"/>
  <c r="CM55" i="4"/>
  <c r="CL55" i="4"/>
  <c r="CK55" i="4"/>
  <c r="CJ55" i="4"/>
  <c r="CI55" i="4"/>
  <c r="CH55" i="4"/>
  <c r="CG55" i="4"/>
  <c r="CR53" i="4"/>
  <c r="CQ53" i="4"/>
  <c r="CP53" i="4"/>
  <c r="CO53" i="4"/>
  <c r="CN53" i="4"/>
  <c r="CM53" i="4"/>
  <c r="CL53" i="4"/>
  <c r="CK53" i="4"/>
  <c r="CJ53" i="4"/>
  <c r="CI53" i="4"/>
  <c r="CH53" i="4"/>
  <c r="CG53" i="4"/>
  <c r="CR52" i="4"/>
  <c r="CQ52" i="4"/>
  <c r="CP52" i="4"/>
  <c r="CO52" i="4"/>
  <c r="CN52" i="4"/>
  <c r="CM52" i="4"/>
  <c r="CL52" i="4"/>
  <c r="CK52" i="4"/>
  <c r="CJ52" i="4"/>
  <c r="CI52" i="4"/>
  <c r="CH52" i="4"/>
  <c r="CG52" i="4"/>
  <c r="CR51" i="4"/>
  <c r="CQ51" i="4"/>
  <c r="CP51" i="4"/>
  <c r="CP54" i="4" s="1"/>
  <c r="CO51" i="4"/>
  <c r="CO54" i="4" s="1"/>
  <c r="CN51" i="4"/>
  <c r="CM51" i="4"/>
  <c r="CL51" i="4"/>
  <c r="CK51" i="4"/>
  <c r="CJ51" i="4"/>
  <c r="CI51" i="4"/>
  <c r="CH51" i="4"/>
  <c r="CG51" i="4"/>
  <c r="CR50" i="4"/>
  <c r="CQ50" i="4"/>
  <c r="CP50" i="4"/>
  <c r="CO50" i="4"/>
  <c r="CN50" i="4"/>
  <c r="CM50" i="4"/>
  <c r="CL50" i="4"/>
  <c r="CK50" i="4"/>
  <c r="CJ50" i="4"/>
  <c r="CI50" i="4"/>
  <c r="CH50" i="4"/>
  <c r="CG50" i="4"/>
  <c r="CR46" i="4"/>
  <c r="CQ46" i="4"/>
  <c r="CP46" i="4"/>
  <c r="CO46" i="4"/>
  <c r="CN46" i="4"/>
  <c r="CM46" i="4"/>
  <c r="CL46" i="4"/>
  <c r="CK46" i="4"/>
  <c r="CJ46" i="4"/>
  <c r="CI46" i="4"/>
  <c r="CH46" i="4"/>
  <c r="CG46" i="4"/>
  <c r="CR45" i="4"/>
  <c r="CQ45" i="4"/>
  <c r="CP45" i="4"/>
  <c r="CO45" i="4"/>
  <c r="CN45" i="4"/>
  <c r="CM45" i="4"/>
  <c r="CL45" i="4"/>
  <c r="CK45" i="4"/>
  <c r="CJ45" i="4"/>
  <c r="CI45" i="4"/>
  <c r="CH45" i="4"/>
  <c r="CG45" i="4"/>
  <c r="CR44" i="4"/>
  <c r="CQ44" i="4"/>
  <c r="CP44" i="4"/>
  <c r="CO44" i="4"/>
  <c r="CN44" i="4"/>
  <c r="CM44" i="4"/>
  <c r="CL44" i="4"/>
  <c r="CK44" i="4"/>
  <c r="CJ44" i="4"/>
  <c r="CI44" i="4"/>
  <c r="CH44" i="4"/>
  <c r="CG44" i="4"/>
  <c r="CR42" i="4"/>
  <c r="CQ42" i="4"/>
  <c r="CP42" i="4"/>
  <c r="CO42" i="4"/>
  <c r="CN42" i="4"/>
  <c r="CM42" i="4"/>
  <c r="CL42" i="4"/>
  <c r="CK42" i="4"/>
  <c r="CJ42" i="4"/>
  <c r="CI42" i="4"/>
  <c r="CH42" i="4"/>
  <c r="CG42" i="4"/>
  <c r="CR41" i="4"/>
  <c r="CQ41" i="4"/>
  <c r="CP41" i="4"/>
  <c r="CO41" i="4"/>
  <c r="CN41" i="4"/>
  <c r="CM41" i="4"/>
  <c r="CL41" i="4"/>
  <c r="CK41" i="4"/>
  <c r="CJ41" i="4"/>
  <c r="CI41" i="4"/>
  <c r="CH41" i="4"/>
  <c r="CG41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R39" i="4"/>
  <c r="CQ39" i="4"/>
  <c r="CP39" i="4"/>
  <c r="CP38" i="4" s="1"/>
  <c r="CO39" i="4"/>
  <c r="CN39" i="4"/>
  <c r="CM39" i="4"/>
  <c r="CL39" i="4"/>
  <c r="CK39" i="4"/>
  <c r="CJ39" i="4"/>
  <c r="CI39" i="4"/>
  <c r="CH39" i="4"/>
  <c r="CG39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R14" i="4"/>
  <c r="CQ14" i="4"/>
  <c r="CP14" i="4"/>
  <c r="CO14" i="4"/>
  <c r="CO13" i="4" s="1"/>
  <c r="CN14" i="4"/>
  <c r="CM14" i="4"/>
  <c r="CL14" i="4"/>
  <c r="CK14" i="4"/>
  <c r="CJ14" i="4"/>
  <c r="CI14" i="4"/>
  <c r="CH14" i="4"/>
  <c r="CG14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R10" i="4"/>
  <c r="CQ10" i="4"/>
  <c r="CP10" i="4"/>
  <c r="CO10" i="4"/>
  <c r="CN10" i="4"/>
  <c r="CM10" i="4"/>
  <c r="CL10" i="4"/>
  <c r="CK10" i="4"/>
  <c r="CJ10" i="4"/>
  <c r="CI10" i="4"/>
  <c r="CH10" i="4"/>
  <c r="CG10" i="4"/>
  <c r="CR9" i="4"/>
  <c r="CQ9" i="4"/>
  <c r="CP9" i="4"/>
  <c r="CO9" i="4"/>
  <c r="CN9" i="4"/>
  <c r="CM9" i="4"/>
  <c r="CL9" i="4"/>
  <c r="CK9" i="4"/>
  <c r="CJ9" i="4"/>
  <c r="CI9" i="4"/>
  <c r="CH9" i="4"/>
  <c r="CG9" i="4"/>
  <c r="CR7" i="4"/>
  <c r="CQ7" i="4"/>
  <c r="CP7" i="4"/>
  <c r="CO7" i="4"/>
  <c r="CN7" i="4"/>
  <c r="CM7" i="4"/>
  <c r="CL7" i="4"/>
  <c r="CK7" i="4"/>
  <c r="CJ7" i="4"/>
  <c r="CI7" i="4"/>
  <c r="CH7" i="4"/>
  <c r="CG7" i="4"/>
  <c r="CR5" i="4"/>
  <c r="CQ5" i="4"/>
  <c r="CP5" i="4"/>
  <c r="CO5" i="4"/>
  <c r="CN5" i="4"/>
  <c r="CM5" i="4"/>
  <c r="CL5" i="4"/>
  <c r="CK5" i="4"/>
  <c r="CJ5" i="4"/>
  <c r="CI5" i="4"/>
  <c r="CH5" i="4"/>
  <c r="CG5" i="4"/>
  <c r="CR4" i="4"/>
  <c r="CQ4" i="4"/>
  <c r="CP4" i="4"/>
  <c r="CO4" i="4"/>
  <c r="CN4" i="4"/>
  <c r="CM4" i="4"/>
  <c r="CL4" i="4"/>
  <c r="CK4" i="4"/>
  <c r="CJ4" i="4"/>
  <c r="CI4" i="4"/>
  <c r="CH4" i="4"/>
  <c r="CG4" i="4"/>
  <c r="CD239" i="4"/>
  <c r="CC239" i="4"/>
  <c r="CB239" i="4"/>
  <c r="CA239" i="4"/>
  <c r="BZ239" i="4"/>
  <c r="BY239" i="4"/>
  <c r="BX239" i="4"/>
  <c r="BW239" i="4"/>
  <c r="BV239" i="4"/>
  <c r="BU239" i="4"/>
  <c r="BT239" i="4"/>
  <c r="BS239" i="4"/>
  <c r="CD238" i="4"/>
  <c r="CC238" i="4"/>
  <c r="CB238" i="4"/>
  <c r="CA238" i="4"/>
  <c r="BZ238" i="4"/>
  <c r="BY238" i="4"/>
  <c r="BX238" i="4"/>
  <c r="BW238" i="4"/>
  <c r="BV238" i="4"/>
  <c r="BU238" i="4"/>
  <c r="BT238" i="4"/>
  <c r="BS238" i="4"/>
  <c r="CD237" i="4"/>
  <c r="CC237" i="4"/>
  <c r="CB237" i="4"/>
  <c r="CA237" i="4"/>
  <c r="CA236" i="4" s="1"/>
  <c r="BZ237" i="4"/>
  <c r="BY237" i="4"/>
  <c r="BX237" i="4"/>
  <c r="BW237" i="4"/>
  <c r="BV237" i="4"/>
  <c r="BU237" i="4"/>
  <c r="BT237" i="4"/>
  <c r="BS237" i="4"/>
  <c r="CD221" i="4"/>
  <c r="CC221" i="4"/>
  <c r="CB221" i="4"/>
  <c r="CA221" i="4"/>
  <c r="BZ221" i="4"/>
  <c r="BY221" i="4"/>
  <c r="BX221" i="4"/>
  <c r="BW221" i="4"/>
  <c r="BV221" i="4"/>
  <c r="BU221" i="4"/>
  <c r="BT221" i="4"/>
  <c r="BS221" i="4"/>
  <c r="CD89" i="4"/>
  <c r="CC89" i="4"/>
  <c r="CB89" i="4"/>
  <c r="CA89" i="4"/>
  <c r="BZ89" i="4"/>
  <c r="BY89" i="4"/>
  <c r="BX89" i="4"/>
  <c r="BW89" i="4"/>
  <c r="BV89" i="4"/>
  <c r="BU89" i="4"/>
  <c r="BT89" i="4"/>
  <c r="BS89" i="4"/>
  <c r="CD69" i="4"/>
  <c r="CC69" i="4"/>
  <c r="CB69" i="4"/>
  <c r="CA69" i="4"/>
  <c r="BZ69" i="4"/>
  <c r="BY69" i="4"/>
  <c r="BX69" i="4"/>
  <c r="BW69" i="4"/>
  <c r="BV69" i="4"/>
  <c r="BU69" i="4"/>
  <c r="BT69" i="4"/>
  <c r="BS69" i="4"/>
  <c r="CD68" i="4"/>
  <c r="CC68" i="4"/>
  <c r="CB68" i="4"/>
  <c r="CA68" i="4"/>
  <c r="BZ68" i="4"/>
  <c r="BY68" i="4"/>
  <c r="BX68" i="4"/>
  <c r="BW68" i="4"/>
  <c r="BV68" i="4"/>
  <c r="BU68" i="4"/>
  <c r="BT68" i="4"/>
  <c r="BS68" i="4"/>
  <c r="CD66" i="4"/>
  <c r="CC66" i="4"/>
  <c r="CB66" i="4"/>
  <c r="CA66" i="4"/>
  <c r="BZ66" i="4"/>
  <c r="BY66" i="4"/>
  <c r="BX66" i="4"/>
  <c r="BW66" i="4"/>
  <c r="BV66" i="4"/>
  <c r="BU66" i="4"/>
  <c r="BT66" i="4"/>
  <c r="BS66" i="4"/>
  <c r="CD65" i="4"/>
  <c r="CC65" i="4"/>
  <c r="CB65" i="4"/>
  <c r="CA65" i="4"/>
  <c r="BZ65" i="4"/>
  <c r="BY65" i="4"/>
  <c r="BX65" i="4"/>
  <c r="BW65" i="4"/>
  <c r="BV65" i="4"/>
  <c r="BU65" i="4"/>
  <c r="BT65" i="4"/>
  <c r="BS65" i="4"/>
  <c r="CD56" i="4"/>
  <c r="CC56" i="4"/>
  <c r="CB56" i="4"/>
  <c r="CA56" i="4"/>
  <c r="BZ56" i="4"/>
  <c r="BY56" i="4"/>
  <c r="BX56" i="4"/>
  <c r="BW56" i="4"/>
  <c r="BV56" i="4"/>
  <c r="BU56" i="4"/>
  <c r="BT56" i="4"/>
  <c r="BS56" i="4"/>
  <c r="CD53" i="4"/>
  <c r="CC53" i="4"/>
  <c r="CB53" i="4"/>
  <c r="CA53" i="4"/>
  <c r="BZ53" i="4"/>
  <c r="BY53" i="4"/>
  <c r="BX53" i="4"/>
  <c r="BW53" i="4"/>
  <c r="BV53" i="4"/>
  <c r="BU53" i="4"/>
  <c r="BT53" i="4"/>
  <c r="BS53" i="4"/>
  <c r="CD52" i="4"/>
  <c r="CC52" i="4"/>
  <c r="CB52" i="4"/>
  <c r="CA52" i="4"/>
  <c r="BZ52" i="4"/>
  <c r="BY52" i="4"/>
  <c r="BX52" i="4"/>
  <c r="BW52" i="4"/>
  <c r="BV52" i="4"/>
  <c r="BU52" i="4"/>
  <c r="BT52" i="4"/>
  <c r="BS52" i="4"/>
  <c r="CD51" i="4"/>
  <c r="CC51" i="4"/>
  <c r="CB51" i="4"/>
  <c r="CA51" i="4"/>
  <c r="BZ51" i="4"/>
  <c r="BY51" i="4"/>
  <c r="BX51" i="4"/>
  <c r="BW51" i="4"/>
  <c r="BV51" i="4"/>
  <c r="BU51" i="4"/>
  <c r="BT51" i="4"/>
  <c r="BS51" i="4"/>
  <c r="CD50" i="4"/>
  <c r="CC50" i="4"/>
  <c r="CB50" i="4"/>
  <c r="CA50" i="4"/>
  <c r="BZ50" i="4"/>
  <c r="BY50" i="4"/>
  <c r="BX50" i="4"/>
  <c r="BW50" i="4"/>
  <c r="BV50" i="4"/>
  <c r="BU50" i="4"/>
  <c r="BT50" i="4"/>
  <c r="BS50" i="4"/>
  <c r="CD37" i="4"/>
  <c r="CC37" i="4"/>
  <c r="CB37" i="4"/>
  <c r="CA37" i="4"/>
  <c r="BZ37" i="4"/>
  <c r="BY37" i="4"/>
  <c r="BX37" i="4"/>
  <c r="BW37" i="4"/>
  <c r="BV37" i="4"/>
  <c r="BU37" i="4"/>
  <c r="BT37" i="4"/>
  <c r="BS37" i="4"/>
  <c r="CD36" i="4"/>
  <c r="CC36" i="4"/>
  <c r="CB36" i="4"/>
  <c r="CA36" i="4"/>
  <c r="BZ36" i="4"/>
  <c r="BY36" i="4"/>
  <c r="BX36" i="4"/>
  <c r="BW36" i="4"/>
  <c r="BV36" i="4"/>
  <c r="BU36" i="4"/>
  <c r="BT36" i="4"/>
  <c r="BS36" i="4"/>
  <c r="CD35" i="4"/>
  <c r="CC35" i="4"/>
  <c r="CB35" i="4"/>
  <c r="CA35" i="4"/>
  <c r="BZ35" i="4"/>
  <c r="BY35" i="4"/>
  <c r="BX35" i="4"/>
  <c r="BW35" i="4"/>
  <c r="BV35" i="4"/>
  <c r="BU35" i="4"/>
  <c r="BT35" i="4"/>
  <c r="BS35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CD24" i="4"/>
  <c r="CC24" i="4"/>
  <c r="CB24" i="4"/>
  <c r="CB27" i="4" s="1"/>
  <c r="CA24" i="4"/>
  <c r="BZ24" i="4"/>
  <c r="BY24" i="4"/>
  <c r="BX24" i="4"/>
  <c r="BW24" i="4"/>
  <c r="BV24" i="4"/>
  <c r="BU24" i="4"/>
  <c r="BT24" i="4"/>
  <c r="BS24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CD19" i="4"/>
  <c r="CC19" i="4"/>
  <c r="CB19" i="4"/>
  <c r="CA19" i="4"/>
  <c r="BZ19" i="4"/>
  <c r="BY19" i="4"/>
  <c r="BX19" i="4"/>
  <c r="BW19" i="4"/>
  <c r="BV19" i="4"/>
  <c r="BU19" i="4"/>
  <c r="BT19" i="4"/>
  <c r="BS19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CD9" i="4"/>
  <c r="CC9" i="4"/>
  <c r="CB9" i="4"/>
  <c r="CA9" i="4"/>
  <c r="BZ9" i="4"/>
  <c r="BY9" i="4"/>
  <c r="BX9" i="4"/>
  <c r="BW9" i="4"/>
  <c r="BV9" i="4"/>
  <c r="BU9" i="4"/>
  <c r="BT9" i="4"/>
  <c r="BS9" i="4"/>
  <c r="CD7" i="4"/>
  <c r="CC7" i="4"/>
  <c r="CB7" i="4"/>
  <c r="CA7" i="4"/>
  <c r="BZ7" i="4"/>
  <c r="BY7" i="4"/>
  <c r="BX7" i="4"/>
  <c r="BW7" i="4"/>
  <c r="BV7" i="4"/>
  <c r="BU7" i="4"/>
  <c r="BT7" i="4"/>
  <c r="BS7" i="4"/>
  <c r="CD5" i="4"/>
  <c r="CC5" i="4"/>
  <c r="CB5" i="4"/>
  <c r="CA5" i="4"/>
  <c r="BZ5" i="4"/>
  <c r="BY5" i="4"/>
  <c r="BX5" i="4"/>
  <c r="BW5" i="4"/>
  <c r="BV5" i="4"/>
  <c r="BU5" i="4"/>
  <c r="BT5" i="4"/>
  <c r="BS5" i="4"/>
  <c r="CD4" i="4"/>
  <c r="CC4" i="4"/>
  <c r="CB4" i="4"/>
  <c r="CA4" i="4"/>
  <c r="BZ4" i="4"/>
  <c r="BY4" i="4"/>
  <c r="BX4" i="4"/>
  <c r="BW4" i="4"/>
  <c r="BV4" i="4"/>
  <c r="BU4" i="4"/>
  <c r="BT4" i="4"/>
  <c r="BS4" i="4"/>
  <c r="BB247" i="4"/>
  <c r="BA247" i="4"/>
  <c r="AZ247" i="4"/>
  <c r="AY247" i="4"/>
  <c r="AX247" i="4"/>
  <c r="AW247" i="4"/>
  <c r="AV247" i="4"/>
  <c r="AU247" i="4"/>
  <c r="AT247" i="4"/>
  <c r="AS247" i="4"/>
  <c r="AR247" i="4"/>
  <c r="AQ247" i="4"/>
  <c r="BB246" i="4"/>
  <c r="BA246" i="4"/>
  <c r="AZ246" i="4"/>
  <c r="AY246" i="4"/>
  <c r="AX246" i="4"/>
  <c r="AW246" i="4"/>
  <c r="AV246" i="4"/>
  <c r="AU246" i="4"/>
  <c r="AT246" i="4"/>
  <c r="AS246" i="4"/>
  <c r="AR246" i="4"/>
  <c r="AQ246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BB244" i="4"/>
  <c r="BA244" i="4"/>
  <c r="AZ244" i="4"/>
  <c r="AY244" i="4"/>
  <c r="AX244" i="4"/>
  <c r="AW244" i="4"/>
  <c r="AV244" i="4"/>
  <c r="AU244" i="4"/>
  <c r="AT244" i="4"/>
  <c r="AS244" i="4"/>
  <c r="AR244" i="4"/>
  <c r="AQ244" i="4"/>
  <c r="BB243" i="4"/>
  <c r="BA243" i="4"/>
  <c r="AZ243" i="4"/>
  <c r="AY243" i="4"/>
  <c r="AX243" i="4"/>
  <c r="AW243" i="4"/>
  <c r="AV243" i="4"/>
  <c r="AU243" i="4"/>
  <c r="AT243" i="4"/>
  <c r="AS243" i="4"/>
  <c r="AR243" i="4"/>
  <c r="AQ243" i="4"/>
  <c r="BB242" i="4"/>
  <c r="BA242" i="4"/>
  <c r="AZ242" i="4"/>
  <c r="AY242" i="4"/>
  <c r="AY241" i="4" s="1"/>
  <c r="AX242" i="4"/>
  <c r="AW242" i="4"/>
  <c r="AV242" i="4"/>
  <c r="AU242" i="4"/>
  <c r="AT242" i="4"/>
  <c r="AS242" i="4"/>
  <c r="AR242" i="4"/>
  <c r="AQ242" i="4"/>
  <c r="BB239" i="4"/>
  <c r="BA239" i="4"/>
  <c r="AZ239" i="4"/>
  <c r="AY239" i="4"/>
  <c r="AX239" i="4"/>
  <c r="AW239" i="4"/>
  <c r="AV239" i="4"/>
  <c r="AU239" i="4"/>
  <c r="AT239" i="4"/>
  <c r="AS239" i="4"/>
  <c r="AR239" i="4"/>
  <c r="AQ239" i="4"/>
  <c r="BB238" i="4"/>
  <c r="BA238" i="4"/>
  <c r="AZ238" i="4"/>
  <c r="AY238" i="4"/>
  <c r="AX238" i="4"/>
  <c r="AW238" i="4"/>
  <c r="AV238" i="4"/>
  <c r="AU238" i="4"/>
  <c r="AT238" i="4"/>
  <c r="AS238" i="4"/>
  <c r="AR238" i="4"/>
  <c r="AQ238" i="4"/>
  <c r="BB237" i="4"/>
  <c r="BA237" i="4"/>
  <c r="AZ237" i="4"/>
  <c r="AY237" i="4"/>
  <c r="AY236" i="4" s="1"/>
  <c r="AX237" i="4"/>
  <c r="AW237" i="4"/>
  <c r="AV237" i="4"/>
  <c r="AU237" i="4"/>
  <c r="AT237" i="4"/>
  <c r="AS237" i="4"/>
  <c r="AR237" i="4"/>
  <c r="AQ237" i="4"/>
  <c r="BB229" i="4"/>
  <c r="BA229" i="4"/>
  <c r="AZ229" i="4"/>
  <c r="AY229" i="4"/>
  <c r="AX229" i="4"/>
  <c r="AW229" i="4"/>
  <c r="AV229" i="4"/>
  <c r="AU229" i="4"/>
  <c r="AT229" i="4"/>
  <c r="AS229" i="4"/>
  <c r="AR229" i="4"/>
  <c r="AQ229" i="4"/>
  <c r="BB228" i="4"/>
  <c r="BA228" i="4"/>
  <c r="AZ228" i="4"/>
  <c r="AZ227" i="4" s="1"/>
  <c r="AY228" i="4"/>
  <c r="AX228" i="4"/>
  <c r="AW228" i="4"/>
  <c r="AV228" i="4"/>
  <c r="AU228" i="4"/>
  <c r="AT228" i="4"/>
  <c r="AS228" i="4"/>
  <c r="AR228" i="4"/>
  <c r="AQ228" i="4"/>
  <c r="BB226" i="4"/>
  <c r="BA226" i="4"/>
  <c r="AZ226" i="4"/>
  <c r="AY226" i="4"/>
  <c r="AX226" i="4"/>
  <c r="AW226" i="4"/>
  <c r="AV226" i="4"/>
  <c r="AU226" i="4"/>
  <c r="AT226" i="4"/>
  <c r="AS226" i="4"/>
  <c r="AR226" i="4"/>
  <c r="AQ226" i="4"/>
  <c r="BB225" i="4"/>
  <c r="BA225" i="4"/>
  <c r="AZ225" i="4"/>
  <c r="AY225" i="4"/>
  <c r="AX225" i="4"/>
  <c r="AW225" i="4"/>
  <c r="AV225" i="4"/>
  <c r="AU225" i="4"/>
  <c r="AT225" i="4"/>
  <c r="AS225" i="4"/>
  <c r="AR225" i="4"/>
  <c r="AQ225" i="4"/>
  <c r="BB224" i="4"/>
  <c r="BA224" i="4"/>
  <c r="AZ224" i="4"/>
  <c r="AY224" i="4"/>
  <c r="AX224" i="4"/>
  <c r="AX223" i="4" s="1"/>
  <c r="AW224" i="4"/>
  <c r="AV224" i="4"/>
  <c r="AU224" i="4"/>
  <c r="AT224" i="4"/>
  <c r="AS224" i="4"/>
  <c r="AR224" i="4"/>
  <c r="AQ224" i="4"/>
  <c r="BB222" i="4"/>
  <c r="BA222" i="4"/>
  <c r="AZ222" i="4"/>
  <c r="AY222" i="4"/>
  <c r="AX222" i="4"/>
  <c r="AW222" i="4"/>
  <c r="AV222" i="4"/>
  <c r="AU222" i="4"/>
  <c r="AT222" i="4"/>
  <c r="AS222" i="4"/>
  <c r="AR222" i="4"/>
  <c r="AQ222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BB220" i="4"/>
  <c r="BA220" i="4"/>
  <c r="AZ220" i="4"/>
  <c r="AY220" i="4"/>
  <c r="AX220" i="4"/>
  <c r="AW220" i="4"/>
  <c r="AV220" i="4"/>
  <c r="AU220" i="4"/>
  <c r="AT220" i="4"/>
  <c r="AS220" i="4"/>
  <c r="AR220" i="4"/>
  <c r="AQ220" i="4"/>
  <c r="BB216" i="4"/>
  <c r="BA216" i="4"/>
  <c r="AZ216" i="4"/>
  <c r="AY216" i="4"/>
  <c r="AX216" i="4"/>
  <c r="AW216" i="4"/>
  <c r="AV216" i="4"/>
  <c r="AU216" i="4"/>
  <c r="AT216" i="4"/>
  <c r="AS216" i="4"/>
  <c r="AR216" i="4"/>
  <c r="AQ216" i="4"/>
  <c r="BB215" i="4"/>
  <c r="BA215" i="4"/>
  <c r="AZ215" i="4"/>
  <c r="AY215" i="4"/>
  <c r="AX215" i="4"/>
  <c r="AW215" i="4"/>
  <c r="AV215" i="4"/>
  <c r="AU215" i="4"/>
  <c r="AT215" i="4"/>
  <c r="AS215" i="4"/>
  <c r="AR215" i="4"/>
  <c r="AQ215" i="4"/>
  <c r="BB213" i="4"/>
  <c r="BA213" i="4"/>
  <c r="AZ213" i="4"/>
  <c r="AY213" i="4"/>
  <c r="AX213" i="4"/>
  <c r="AW213" i="4"/>
  <c r="AV213" i="4"/>
  <c r="AU213" i="4"/>
  <c r="AT213" i="4"/>
  <c r="AS213" i="4"/>
  <c r="AR213" i="4"/>
  <c r="AQ213" i="4"/>
  <c r="BB212" i="4"/>
  <c r="BA212" i="4"/>
  <c r="AZ212" i="4"/>
  <c r="AY212" i="4"/>
  <c r="AX212" i="4"/>
  <c r="AW212" i="4"/>
  <c r="AV212" i="4"/>
  <c r="AU212" i="4"/>
  <c r="AT212" i="4"/>
  <c r="AS212" i="4"/>
  <c r="AR212" i="4"/>
  <c r="AQ212" i="4"/>
  <c r="BB211" i="4"/>
  <c r="BA211" i="4"/>
  <c r="AZ211" i="4"/>
  <c r="AY211" i="4"/>
  <c r="AX211" i="4"/>
  <c r="AW211" i="4"/>
  <c r="AV211" i="4"/>
  <c r="AU211" i="4"/>
  <c r="AT211" i="4"/>
  <c r="AS211" i="4"/>
  <c r="AR211" i="4"/>
  <c r="AQ211" i="4"/>
  <c r="BB210" i="4"/>
  <c r="BA210" i="4"/>
  <c r="AZ210" i="4"/>
  <c r="AY210" i="4"/>
  <c r="AX210" i="4"/>
  <c r="AW210" i="4"/>
  <c r="AV210" i="4"/>
  <c r="AU210" i="4"/>
  <c r="AT210" i="4"/>
  <c r="AS210" i="4"/>
  <c r="AR210" i="4"/>
  <c r="AQ210" i="4"/>
  <c r="BB208" i="4"/>
  <c r="BA208" i="4"/>
  <c r="AZ208" i="4"/>
  <c r="AY208" i="4"/>
  <c r="AX208" i="4"/>
  <c r="AW208" i="4"/>
  <c r="AV208" i="4"/>
  <c r="AU208" i="4"/>
  <c r="AT208" i="4"/>
  <c r="AS208" i="4"/>
  <c r="AR208" i="4"/>
  <c r="AQ208" i="4"/>
  <c r="BB207" i="4"/>
  <c r="BA207" i="4"/>
  <c r="AZ207" i="4"/>
  <c r="AY207" i="4"/>
  <c r="AX207" i="4"/>
  <c r="AW207" i="4"/>
  <c r="AV207" i="4"/>
  <c r="AU207" i="4"/>
  <c r="AT207" i="4"/>
  <c r="AS207" i="4"/>
  <c r="AR207" i="4"/>
  <c r="AQ207" i="4"/>
  <c r="BB206" i="4"/>
  <c r="BA206" i="4"/>
  <c r="AZ206" i="4"/>
  <c r="AY206" i="4"/>
  <c r="AX206" i="4"/>
  <c r="AW206" i="4"/>
  <c r="AV206" i="4"/>
  <c r="AU206" i="4"/>
  <c r="AT206" i="4"/>
  <c r="AS206" i="4"/>
  <c r="AR206" i="4"/>
  <c r="AQ206" i="4"/>
  <c r="BB204" i="4"/>
  <c r="BA204" i="4"/>
  <c r="AZ204" i="4"/>
  <c r="AY204" i="4"/>
  <c r="AX204" i="4"/>
  <c r="AW204" i="4"/>
  <c r="AV204" i="4"/>
  <c r="AU204" i="4"/>
  <c r="AT204" i="4"/>
  <c r="AS204" i="4"/>
  <c r="AR204" i="4"/>
  <c r="AQ204" i="4"/>
  <c r="BB203" i="4"/>
  <c r="BA203" i="4"/>
  <c r="AZ203" i="4"/>
  <c r="AY203" i="4"/>
  <c r="AX203" i="4"/>
  <c r="AW203" i="4"/>
  <c r="AV203" i="4"/>
  <c r="AU203" i="4"/>
  <c r="AT203" i="4"/>
  <c r="AS203" i="4"/>
  <c r="AR203" i="4"/>
  <c r="AQ203" i="4"/>
  <c r="BB202" i="4"/>
  <c r="BA202" i="4"/>
  <c r="AZ202" i="4"/>
  <c r="AY202" i="4"/>
  <c r="AX202" i="4"/>
  <c r="AW202" i="4"/>
  <c r="AV202" i="4"/>
  <c r="AU202" i="4"/>
  <c r="AT202" i="4"/>
  <c r="AS202" i="4"/>
  <c r="AR202" i="4"/>
  <c r="AQ202" i="4"/>
  <c r="BB201" i="4"/>
  <c r="BA201" i="4"/>
  <c r="AZ201" i="4"/>
  <c r="AY201" i="4"/>
  <c r="AX201" i="4"/>
  <c r="AW201" i="4"/>
  <c r="AV201" i="4"/>
  <c r="AU201" i="4"/>
  <c r="AT201" i="4"/>
  <c r="AS201" i="4"/>
  <c r="AR201" i="4"/>
  <c r="AQ201" i="4"/>
  <c r="BB200" i="4"/>
  <c r="BA200" i="4"/>
  <c r="AZ200" i="4"/>
  <c r="AY200" i="4"/>
  <c r="AX200" i="4"/>
  <c r="AW200" i="4"/>
  <c r="AV200" i="4"/>
  <c r="AU200" i="4"/>
  <c r="AT200" i="4"/>
  <c r="AS200" i="4"/>
  <c r="AR200" i="4"/>
  <c r="AQ200" i="4"/>
  <c r="BB199" i="4"/>
  <c r="BA199" i="4"/>
  <c r="AZ199" i="4"/>
  <c r="AY199" i="4"/>
  <c r="AX199" i="4"/>
  <c r="AW199" i="4"/>
  <c r="AV199" i="4"/>
  <c r="AU199" i="4"/>
  <c r="AT199" i="4"/>
  <c r="AS199" i="4"/>
  <c r="AR199" i="4"/>
  <c r="AQ199" i="4"/>
  <c r="BB198" i="4"/>
  <c r="BA198" i="4"/>
  <c r="AZ198" i="4"/>
  <c r="AY198" i="4"/>
  <c r="AX198" i="4"/>
  <c r="AW198" i="4"/>
  <c r="AV198" i="4"/>
  <c r="AU198" i="4"/>
  <c r="AT198" i="4"/>
  <c r="AS198" i="4"/>
  <c r="AR198" i="4"/>
  <c r="AQ198" i="4"/>
  <c r="BB197" i="4"/>
  <c r="BA197" i="4"/>
  <c r="AZ197" i="4"/>
  <c r="AY197" i="4"/>
  <c r="AX197" i="4"/>
  <c r="AW197" i="4"/>
  <c r="AV197" i="4"/>
  <c r="AU197" i="4"/>
  <c r="AT197" i="4"/>
  <c r="AS197" i="4"/>
  <c r="AR197" i="4"/>
  <c r="AQ197" i="4"/>
  <c r="BB196" i="4"/>
  <c r="BA196" i="4"/>
  <c r="AZ196" i="4"/>
  <c r="AY196" i="4"/>
  <c r="AX196" i="4"/>
  <c r="AW196" i="4"/>
  <c r="AV196" i="4"/>
  <c r="AU196" i="4"/>
  <c r="AT196" i="4"/>
  <c r="AS196" i="4"/>
  <c r="AR196" i="4"/>
  <c r="AQ196" i="4"/>
  <c r="BB195" i="4"/>
  <c r="BA195" i="4"/>
  <c r="AZ195" i="4"/>
  <c r="AY195" i="4"/>
  <c r="AX195" i="4"/>
  <c r="AW195" i="4"/>
  <c r="AV195" i="4"/>
  <c r="AU195" i="4"/>
  <c r="AT195" i="4"/>
  <c r="AS195" i="4"/>
  <c r="AR195" i="4"/>
  <c r="AQ195" i="4"/>
  <c r="BB194" i="4"/>
  <c r="BA194" i="4"/>
  <c r="AZ194" i="4"/>
  <c r="AY194" i="4"/>
  <c r="AX194" i="4"/>
  <c r="AW194" i="4"/>
  <c r="AV194" i="4"/>
  <c r="AU194" i="4"/>
  <c r="AT194" i="4"/>
  <c r="AS194" i="4"/>
  <c r="AR194" i="4"/>
  <c r="AQ194" i="4"/>
  <c r="BB192" i="4"/>
  <c r="BA192" i="4"/>
  <c r="AZ192" i="4"/>
  <c r="AY192" i="4"/>
  <c r="AX192" i="4"/>
  <c r="AW192" i="4"/>
  <c r="AV192" i="4"/>
  <c r="AU192" i="4"/>
  <c r="AT192" i="4"/>
  <c r="AS192" i="4"/>
  <c r="AR192" i="4"/>
  <c r="AQ192" i="4"/>
  <c r="BB191" i="4"/>
  <c r="BA191" i="4"/>
  <c r="AZ191" i="4"/>
  <c r="AY191" i="4"/>
  <c r="AX191" i="4"/>
  <c r="AW191" i="4"/>
  <c r="AV191" i="4"/>
  <c r="AU191" i="4"/>
  <c r="AT191" i="4"/>
  <c r="AS191" i="4"/>
  <c r="AR191" i="4"/>
  <c r="AQ191" i="4"/>
  <c r="BB190" i="4"/>
  <c r="BA190" i="4"/>
  <c r="AZ190" i="4"/>
  <c r="AY190" i="4"/>
  <c r="AX190" i="4"/>
  <c r="AW190" i="4"/>
  <c r="AV190" i="4"/>
  <c r="AU190" i="4"/>
  <c r="AT190" i="4"/>
  <c r="AS190" i="4"/>
  <c r="AR190" i="4"/>
  <c r="AQ190" i="4"/>
  <c r="BB189" i="4"/>
  <c r="BA189" i="4"/>
  <c r="AZ189" i="4"/>
  <c r="AY189" i="4"/>
  <c r="AX189" i="4"/>
  <c r="AW189" i="4"/>
  <c r="AV189" i="4"/>
  <c r="AU189" i="4"/>
  <c r="AT189" i="4"/>
  <c r="AS189" i="4"/>
  <c r="AR189" i="4"/>
  <c r="AQ189" i="4"/>
  <c r="BB188" i="4"/>
  <c r="BA188" i="4"/>
  <c r="AZ188" i="4"/>
  <c r="AY188" i="4"/>
  <c r="AX188" i="4"/>
  <c r="AW188" i="4"/>
  <c r="AV188" i="4"/>
  <c r="AU188" i="4"/>
  <c r="AT188" i="4"/>
  <c r="AS188" i="4"/>
  <c r="AR188" i="4"/>
  <c r="AQ188" i="4"/>
  <c r="BB186" i="4"/>
  <c r="BA186" i="4"/>
  <c r="AZ186" i="4"/>
  <c r="AY186" i="4"/>
  <c r="AX186" i="4"/>
  <c r="AW186" i="4"/>
  <c r="AV186" i="4"/>
  <c r="AU186" i="4"/>
  <c r="AT186" i="4"/>
  <c r="AS186" i="4"/>
  <c r="AR186" i="4"/>
  <c r="AQ186" i="4"/>
  <c r="BB185" i="4"/>
  <c r="BA185" i="4"/>
  <c r="AZ185" i="4"/>
  <c r="AY185" i="4"/>
  <c r="AX185" i="4"/>
  <c r="AW185" i="4"/>
  <c r="AV185" i="4"/>
  <c r="AU185" i="4"/>
  <c r="AT185" i="4"/>
  <c r="AS185" i="4"/>
  <c r="AR185" i="4"/>
  <c r="AQ185" i="4"/>
  <c r="BB184" i="4"/>
  <c r="BA184" i="4"/>
  <c r="AZ184" i="4"/>
  <c r="AY184" i="4"/>
  <c r="AX184" i="4"/>
  <c r="AW184" i="4"/>
  <c r="AV184" i="4"/>
  <c r="AU184" i="4"/>
  <c r="AT184" i="4"/>
  <c r="AS184" i="4"/>
  <c r="AR184" i="4"/>
  <c r="AQ184" i="4"/>
  <c r="BB183" i="4"/>
  <c r="BA183" i="4"/>
  <c r="AZ183" i="4"/>
  <c r="AY183" i="4"/>
  <c r="AX183" i="4"/>
  <c r="AW183" i="4"/>
  <c r="AV183" i="4"/>
  <c r="AU183" i="4"/>
  <c r="AT183" i="4"/>
  <c r="AS183" i="4"/>
  <c r="AR183" i="4"/>
  <c r="AQ183" i="4"/>
  <c r="BB181" i="4"/>
  <c r="BA181" i="4"/>
  <c r="AZ181" i="4"/>
  <c r="AY181" i="4"/>
  <c r="AX181" i="4"/>
  <c r="AW181" i="4"/>
  <c r="AV181" i="4"/>
  <c r="AU181" i="4"/>
  <c r="AT181" i="4"/>
  <c r="AS181" i="4"/>
  <c r="AR181" i="4"/>
  <c r="AQ181" i="4"/>
  <c r="BB180" i="4"/>
  <c r="BA180" i="4"/>
  <c r="AZ180" i="4"/>
  <c r="AY180" i="4"/>
  <c r="AX180" i="4"/>
  <c r="AW180" i="4"/>
  <c r="AV180" i="4"/>
  <c r="AU180" i="4"/>
  <c r="AT180" i="4"/>
  <c r="AS180" i="4"/>
  <c r="AR180" i="4"/>
  <c r="AQ180" i="4"/>
  <c r="BB179" i="4"/>
  <c r="BA179" i="4"/>
  <c r="AZ179" i="4"/>
  <c r="AY179" i="4"/>
  <c r="AX179" i="4"/>
  <c r="AW179" i="4"/>
  <c r="AV179" i="4"/>
  <c r="AU179" i="4"/>
  <c r="AT179" i="4"/>
  <c r="AS179" i="4"/>
  <c r="AR179" i="4"/>
  <c r="AQ179" i="4"/>
  <c r="BB177" i="4"/>
  <c r="BA177" i="4"/>
  <c r="AZ177" i="4"/>
  <c r="AY177" i="4"/>
  <c r="AX177" i="4"/>
  <c r="AW177" i="4"/>
  <c r="AV177" i="4"/>
  <c r="AU177" i="4"/>
  <c r="AT177" i="4"/>
  <c r="AS177" i="4"/>
  <c r="AR177" i="4"/>
  <c r="AQ177" i="4"/>
  <c r="BB176" i="4"/>
  <c r="BA176" i="4"/>
  <c r="AZ176" i="4"/>
  <c r="AY176" i="4"/>
  <c r="AX176" i="4"/>
  <c r="AW176" i="4"/>
  <c r="AV176" i="4"/>
  <c r="AU176" i="4"/>
  <c r="AT176" i="4"/>
  <c r="AS176" i="4"/>
  <c r="AR176" i="4"/>
  <c r="AQ176" i="4"/>
  <c r="BB175" i="4"/>
  <c r="BA175" i="4"/>
  <c r="AZ175" i="4"/>
  <c r="AY175" i="4"/>
  <c r="AX175" i="4"/>
  <c r="AW175" i="4"/>
  <c r="AV175" i="4"/>
  <c r="AU175" i="4"/>
  <c r="AT175" i="4"/>
  <c r="AS175" i="4"/>
  <c r="AR175" i="4"/>
  <c r="AQ175" i="4"/>
  <c r="BB174" i="4"/>
  <c r="BA174" i="4"/>
  <c r="AZ174" i="4"/>
  <c r="AY174" i="4"/>
  <c r="AX174" i="4"/>
  <c r="AW174" i="4"/>
  <c r="AV174" i="4"/>
  <c r="AU174" i="4"/>
  <c r="AT174" i="4"/>
  <c r="AS174" i="4"/>
  <c r="AR174" i="4"/>
  <c r="AQ174" i="4"/>
  <c r="BB173" i="4"/>
  <c r="BA173" i="4"/>
  <c r="AZ173" i="4"/>
  <c r="AY173" i="4"/>
  <c r="AX173" i="4"/>
  <c r="AW173" i="4"/>
  <c r="AV173" i="4"/>
  <c r="AU173" i="4"/>
  <c r="AT173" i="4"/>
  <c r="AS173" i="4"/>
  <c r="AR173" i="4"/>
  <c r="AQ173" i="4"/>
  <c r="BB171" i="4"/>
  <c r="BA171" i="4"/>
  <c r="AZ171" i="4"/>
  <c r="AY171" i="4"/>
  <c r="AX171" i="4"/>
  <c r="AW171" i="4"/>
  <c r="AV171" i="4"/>
  <c r="AU171" i="4"/>
  <c r="AT171" i="4"/>
  <c r="AS171" i="4"/>
  <c r="AR171" i="4"/>
  <c r="AQ171" i="4"/>
  <c r="BB170" i="4"/>
  <c r="BA170" i="4"/>
  <c r="AZ170" i="4"/>
  <c r="AY170" i="4"/>
  <c r="AX170" i="4"/>
  <c r="AW170" i="4"/>
  <c r="AV170" i="4"/>
  <c r="AU170" i="4"/>
  <c r="AT170" i="4"/>
  <c r="AS170" i="4"/>
  <c r="AR170" i="4"/>
  <c r="AQ170" i="4"/>
  <c r="BB169" i="4"/>
  <c r="BA169" i="4"/>
  <c r="AZ169" i="4"/>
  <c r="AY169" i="4"/>
  <c r="AX169" i="4"/>
  <c r="AW169" i="4"/>
  <c r="AV169" i="4"/>
  <c r="AU169" i="4"/>
  <c r="AT169" i="4"/>
  <c r="AS169" i="4"/>
  <c r="AR169" i="4"/>
  <c r="AQ169" i="4"/>
  <c r="BB168" i="4"/>
  <c r="BA168" i="4"/>
  <c r="AZ168" i="4"/>
  <c r="AY168" i="4"/>
  <c r="AX168" i="4"/>
  <c r="AW168" i="4"/>
  <c r="AV168" i="4"/>
  <c r="AU168" i="4"/>
  <c r="AT168" i="4"/>
  <c r="AS168" i="4"/>
  <c r="AR168" i="4"/>
  <c r="AQ168" i="4"/>
  <c r="BB167" i="4"/>
  <c r="BA167" i="4"/>
  <c r="AZ167" i="4"/>
  <c r="AY167" i="4"/>
  <c r="AX167" i="4"/>
  <c r="AW167" i="4"/>
  <c r="AV167" i="4"/>
  <c r="AU167" i="4"/>
  <c r="AT167" i="4"/>
  <c r="AS167" i="4"/>
  <c r="AR167" i="4"/>
  <c r="AQ167" i="4"/>
  <c r="BB166" i="4"/>
  <c r="BA166" i="4"/>
  <c r="AZ166" i="4"/>
  <c r="AY166" i="4"/>
  <c r="AX166" i="4"/>
  <c r="AW166" i="4"/>
  <c r="AV166" i="4"/>
  <c r="AU166" i="4"/>
  <c r="AT166" i="4"/>
  <c r="AS166" i="4"/>
  <c r="AR166" i="4"/>
  <c r="AQ166" i="4"/>
  <c r="BB165" i="4"/>
  <c r="BA165" i="4"/>
  <c r="AZ165" i="4"/>
  <c r="AY165" i="4"/>
  <c r="AX165" i="4"/>
  <c r="AW165" i="4"/>
  <c r="AV165" i="4"/>
  <c r="AU165" i="4"/>
  <c r="AT165" i="4"/>
  <c r="AS165" i="4"/>
  <c r="AR165" i="4"/>
  <c r="AQ165" i="4"/>
  <c r="BB162" i="4"/>
  <c r="BA162" i="4"/>
  <c r="AZ162" i="4"/>
  <c r="AY162" i="4"/>
  <c r="AX162" i="4"/>
  <c r="AW162" i="4"/>
  <c r="AV162" i="4"/>
  <c r="AU162" i="4"/>
  <c r="AT162" i="4"/>
  <c r="AS162" i="4"/>
  <c r="AR162" i="4"/>
  <c r="AQ162" i="4"/>
  <c r="BB161" i="4"/>
  <c r="BA161" i="4"/>
  <c r="AZ161" i="4"/>
  <c r="AY161" i="4"/>
  <c r="AX161" i="4"/>
  <c r="AW161" i="4"/>
  <c r="AV161" i="4"/>
  <c r="AU161" i="4"/>
  <c r="AT161" i="4"/>
  <c r="AS161" i="4"/>
  <c r="AR161" i="4"/>
  <c r="AQ161" i="4"/>
  <c r="BB160" i="4"/>
  <c r="BA160" i="4"/>
  <c r="AZ160" i="4"/>
  <c r="AY160" i="4"/>
  <c r="AX160" i="4"/>
  <c r="AW160" i="4"/>
  <c r="AV160" i="4"/>
  <c r="AU160" i="4"/>
  <c r="AT160" i="4"/>
  <c r="AS160" i="4"/>
  <c r="AR160" i="4"/>
  <c r="AQ160" i="4"/>
  <c r="BB159" i="4"/>
  <c r="BA159" i="4"/>
  <c r="AZ159" i="4"/>
  <c r="AY159" i="4"/>
  <c r="AX159" i="4"/>
  <c r="AW159" i="4"/>
  <c r="AV159" i="4"/>
  <c r="AU159" i="4"/>
  <c r="AT159" i="4"/>
  <c r="AS159" i="4"/>
  <c r="AR159" i="4"/>
  <c r="AQ159" i="4"/>
  <c r="BB158" i="4"/>
  <c r="BA158" i="4"/>
  <c r="AZ158" i="4"/>
  <c r="AY158" i="4"/>
  <c r="AX158" i="4"/>
  <c r="AW158" i="4"/>
  <c r="AV158" i="4"/>
  <c r="AU158" i="4"/>
  <c r="AT158" i="4"/>
  <c r="AS158" i="4"/>
  <c r="AR158" i="4"/>
  <c r="AQ158" i="4"/>
  <c r="BB154" i="4"/>
  <c r="BA154" i="4"/>
  <c r="AZ154" i="4"/>
  <c r="AY154" i="4"/>
  <c r="AX154" i="4"/>
  <c r="AW154" i="4"/>
  <c r="AV154" i="4"/>
  <c r="AU154" i="4"/>
  <c r="AT154" i="4"/>
  <c r="AS154" i="4"/>
  <c r="AR154" i="4"/>
  <c r="AQ154" i="4"/>
  <c r="BB153" i="4"/>
  <c r="BA153" i="4"/>
  <c r="AZ153" i="4"/>
  <c r="AY153" i="4"/>
  <c r="AX153" i="4"/>
  <c r="AW153" i="4"/>
  <c r="AV153" i="4"/>
  <c r="AU153" i="4"/>
  <c r="AT153" i="4"/>
  <c r="AS153" i="4"/>
  <c r="AR153" i="4"/>
  <c r="AQ153" i="4"/>
  <c r="BB152" i="4"/>
  <c r="BA152" i="4"/>
  <c r="AZ152" i="4"/>
  <c r="AY152" i="4"/>
  <c r="AX152" i="4"/>
  <c r="AW152" i="4"/>
  <c r="AV152" i="4"/>
  <c r="AU152" i="4"/>
  <c r="AT152" i="4"/>
  <c r="AS152" i="4"/>
  <c r="AR152" i="4"/>
  <c r="AQ152" i="4"/>
  <c r="BB151" i="4"/>
  <c r="BA151" i="4"/>
  <c r="AZ151" i="4"/>
  <c r="AY151" i="4"/>
  <c r="AX151" i="4"/>
  <c r="AW151" i="4"/>
  <c r="AV151" i="4"/>
  <c r="AU151" i="4"/>
  <c r="AT151" i="4"/>
  <c r="AS151" i="4"/>
  <c r="AR151" i="4"/>
  <c r="AQ151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BB148" i="4"/>
  <c r="BA148" i="4"/>
  <c r="AZ148" i="4"/>
  <c r="AY148" i="4"/>
  <c r="AX148" i="4"/>
  <c r="AW148" i="4"/>
  <c r="AV148" i="4"/>
  <c r="AU148" i="4"/>
  <c r="AT148" i="4"/>
  <c r="AS148" i="4"/>
  <c r="AR148" i="4"/>
  <c r="AQ148" i="4"/>
  <c r="BB147" i="4"/>
  <c r="BA147" i="4"/>
  <c r="AZ147" i="4"/>
  <c r="AY147" i="4"/>
  <c r="AX147" i="4"/>
  <c r="AW147" i="4"/>
  <c r="AV147" i="4"/>
  <c r="AU147" i="4"/>
  <c r="AT147" i="4"/>
  <c r="AS147" i="4"/>
  <c r="AR147" i="4"/>
  <c r="AQ147" i="4"/>
  <c r="BB145" i="4"/>
  <c r="BA145" i="4"/>
  <c r="AZ145" i="4"/>
  <c r="AY145" i="4"/>
  <c r="AX145" i="4"/>
  <c r="AW145" i="4"/>
  <c r="AV145" i="4"/>
  <c r="AU145" i="4"/>
  <c r="AT145" i="4"/>
  <c r="AS145" i="4"/>
  <c r="AR145" i="4"/>
  <c r="AQ145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BB143" i="4"/>
  <c r="BA143" i="4"/>
  <c r="AZ143" i="4"/>
  <c r="AY143" i="4"/>
  <c r="AX143" i="4"/>
  <c r="AW143" i="4"/>
  <c r="AV143" i="4"/>
  <c r="AU143" i="4"/>
  <c r="AT143" i="4"/>
  <c r="AS143" i="4"/>
  <c r="AR143" i="4"/>
  <c r="AQ143" i="4"/>
  <c r="BB142" i="4"/>
  <c r="BA142" i="4"/>
  <c r="AZ142" i="4"/>
  <c r="AY142" i="4"/>
  <c r="AX142" i="4"/>
  <c r="AW142" i="4"/>
  <c r="AV142" i="4"/>
  <c r="AU142" i="4"/>
  <c r="AT142" i="4"/>
  <c r="AS142" i="4"/>
  <c r="AR142" i="4"/>
  <c r="AQ142" i="4"/>
  <c r="BB141" i="4"/>
  <c r="BA141" i="4"/>
  <c r="AZ141" i="4"/>
  <c r="AY141" i="4"/>
  <c r="AX141" i="4"/>
  <c r="AW141" i="4"/>
  <c r="AV141" i="4"/>
  <c r="AU141" i="4"/>
  <c r="AT141" i="4"/>
  <c r="AS141" i="4"/>
  <c r="AR141" i="4"/>
  <c r="AQ141" i="4"/>
  <c r="BB140" i="4"/>
  <c r="BA140" i="4"/>
  <c r="AZ140" i="4"/>
  <c r="AY140" i="4"/>
  <c r="AX140" i="4"/>
  <c r="AW140" i="4"/>
  <c r="AV140" i="4"/>
  <c r="AU140" i="4"/>
  <c r="AT140" i="4"/>
  <c r="AS140" i="4"/>
  <c r="AR140" i="4"/>
  <c r="AQ140" i="4"/>
  <c r="BB139" i="4"/>
  <c r="BA139" i="4"/>
  <c r="AZ139" i="4"/>
  <c r="AY139" i="4"/>
  <c r="AX139" i="4"/>
  <c r="AW139" i="4"/>
  <c r="AV139" i="4"/>
  <c r="AU139" i="4"/>
  <c r="AT139" i="4"/>
  <c r="AS139" i="4"/>
  <c r="AR139" i="4"/>
  <c r="AQ139" i="4"/>
  <c r="BB137" i="4"/>
  <c r="BA137" i="4"/>
  <c r="AZ137" i="4"/>
  <c r="AY137" i="4"/>
  <c r="AX137" i="4"/>
  <c r="AW137" i="4"/>
  <c r="AV137" i="4"/>
  <c r="AU137" i="4"/>
  <c r="AT137" i="4"/>
  <c r="AS137" i="4"/>
  <c r="AR137" i="4"/>
  <c r="AQ137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BB135" i="4"/>
  <c r="BA135" i="4"/>
  <c r="AZ135" i="4"/>
  <c r="AY135" i="4"/>
  <c r="AX135" i="4"/>
  <c r="AW135" i="4"/>
  <c r="AV135" i="4"/>
  <c r="AU135" i="4"/>
  <c r="AT135" i="4"/>
  <c r="AS135" i="4"/>
  <c r="AR135" i="4"/>
  <c r="AQ135" i="4"/>
  <c r="BB134" i="4"/>
  <c r="BA134" i="4"/>
  <c r="AZ134" i="4"/>
  <c r="AZ133" i="4" s="1"/>
  <c r="AY134" i="4"/>
  <c r="AX134" i="4"/>
  <c r="AW134" i="4"/>
  <c r="AV134" i="4"/>
  <c r="AU134" i="4"/>
  <c r="AT134" i="4"/>
  <c r="AS134" i="4"/>
  <c r="AR134" i="4"/>
  <c r="AQ134" i="4"/>
  <c r="BB132" i="4"/>
  <c r="BA132" i="4"/>
  <c r="AZ132" i="4"/>
  <c r="AY132" i="4"/>
  <c r="AX132" i="4"/>
  <c r="AW132" i="4"/>
  <c r="AV132" i="4"/>
  <c r="AU132" i="4"/>
  <c r="AT132" i="4"/>
  <c r="AS132" i="4"/>
  <c r="AR132" i="4"/>
  <c r="AQ132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BB130" i="4"/>
  <c r="BA130" i="4"/>
  <c r="AZ130" i="4"/>
  <c r="AY130" i="4"/>
  <c r="AX130" i="4"/>
  <c r="AW130" i="4"/>
  <c r="AV130" i="4"/>
  <c r="AU130" i="4"/>
  <c r="AT130" i="4"/>
  <c r="AS130" i="4"/>
  <c r="AR130" i="4"/>
  <c r="AQ130" i="4"/>
  <c r="BB128" i="4"/>
  <c r="BA128" i="4"/>
  <c r="AZ128" i="4"/>
  <c r="AY128" i="4"/>
  <c r="AX128" i="4"/>
  <c r="AW128" i="4"/>
  <c r="AV128" i="4"/>
  <c r="AU128" i="4"/>
  <c r="AT128" i="4"/>
  <c r="AS128" i="4"/>
  <c r="AR128" i="4"/>
  <c r="AQ128" i="4"/>
  <c r="BB127" i="4"/>
  <c r="BA127" i="4"/>
  <c r="AZ127" i="4"/>
  <c r="AY127" i="4"/>
  <c r="AX127" i="4"/>
  <c r="AW127" i="4"/>
  <c r="AV127" i="4"/>
  <c r="AU127" i="4"/>
  <c r="AT127" i="4"/>
  <c r="AS127" i="4"/>
  <c r="AR127" i="4"/>
  <c r="AQ127" i="4"/>
  <c r="BB126" i="4"/>
  <c r="BA126" i="4"/>
  <c r="AZ126" i="4"/>
  <c r="AY126" i="4"/>
  <c r="AX126" i="4"/>
  <c r="AW126" i="4"/>
  <c r="AV126" i="4"/>
  <c r="AU126" i="4"/>
  <c r="AT126" i="4"/>
  <c r="AS126" i="4"/>
  <c r="AR126" i="4"/>
  <c r="AQ126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BB124" i="4"/>
  <c r="BA124" i="4"/>
  <c r="AZ124" i="4"/>
  <c r="AY124" i="4"/>
  <c r="AX124" i="4"/>
  <c r="AW124" i="4"/>
  <c r="AV124" i="4"/>
  <c r="AU124" i="4"/>
  <c r="AT124" i="4"/>
  <c r="AS124" i="4"/>
  <c r="AR124" i="4"/>
  <c r="AQ124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BB121" i="4"/>
  <c r="BA121" i="4"/>
  <c r="AZ121" i="4"/>
  <c r="AY121" i="4"/>
  <c r="AX121" i="4"/>
  <c r="AW121" i="4"/>
  <c r="AV121" i="4"/>
  <c r="AU121" i="4"/>
  <c r="AT121" i="4"/>
  <c r="AS121" i="4"/>
  <c r="AR121" i="4"/>
  <c r="AQ121" i="4"/>
  <c r="BB120" i="4"/>
  <c r="BA120" i="4"/>
  <c r="AZ120" i="4"/>
  <c r="AY120" i="4"/>
  <c r="AX120" i="4"/>
  <c r="AW120" i="4"/>
  <c r="AV120" i="4"/>
  <c r="AU120" i="4"/>
  <c r="AT120" i="4"/>
  <c r="AS120" i="4"/>
  <c r="AR120" i="4"/>
  <c r="AQ120" i="4"/>
  <c r="BB119" i="4"/>
  <c r="BA119" i="4"/>
  <c r="AZ119" i="4"/>
  <c r="AY119" i="4"/>
  <c r="AX119" i="4"/>
  <c r="AW119" i="4"/>
  <c r="AV119" i="4"/>
  <c r="AU119" i="4"/>
  <c r="AT119" i="4"/>
  <c r="AS119" i="4"/>
  <c r="AR119" i="4"/>
  <c r="AQ119" i="4"/>
  <c r="BB118" i="4"/>
  <c r="BA118" i="4"/>
  <c r="AZ118" i="4"/>
  <c r="AY118" i="4"/>
  <c r="AX118" i="4"/>
  <c r="AW118" i="4"/>
  <c r="AV118" i="4"/>
  <c r="AU118" i="4"/>
  <c r="AT118" i="4"/>
  <c r="AS118" i="4"/>
  <c r="AR118" i="4"/>
  <c r="AQ118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BB14" i="4"/>
  <c r="BA14" i="4"/>
  <c r="AZ14" i="4"/>
  <c r="AZ13" i="4" s="1"/>
  <c r="AY14" i="4"/>
  <c r="AX14" i="4"/>
  <c r="AW14" i="4"/>
  <c r="AV14" i="4"/>
  <c r="AU14" i="4"/>
  <c r="AT14" i="4"/>
  <c r="AS14" i="4"/>
  <c r="AR14" i="4"/>
  <c r="AQ14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BB9" i="4"/>
  <c r="BA9" i="4"/>
  <c r="AZ9" i="4"/>
  <c r="AZ8" i="4" s="1"/>
  <c r="AY9" i="4"/>
  <c r="AX9" i="4"/>
  <c r="AW9" i="4"/>
  <c r="AV9" i="4"/>
  <c r="AU9" i="4"/>
  <c r="AT9" i="4"/>
  <c r="AS9" i="4"/>
  <c r="AR9" i="4"/>
  <c r="AQ9" i="4"/>
  <c r="BB7" i="4"/>
  <c r="BA7" i="4"/>
  <c r="AZ7" i="4"/>
  <c r="AY7" i="4"/>
  <c r="AX7" i="4"/>
  <c r="AW7" i="4"/>
  <c r="AV7" i="4"/>
  <c r="AU7" i="4"/>
  <c r="AT7" i="4"/>
  <c r="AS7" i="4"/>
  <c r="AR7" i="4"/>
  <c r="AQ7" i="4"/>
  <c r="BB5" i="4"/>
  <c r="BA5" i="4"/>
  <c r="AZ5" i="4"/>
  <c r="AY5" i="4"/>
  <c r="AX5" i="4"/>
  <c r="AW5" i="4"/>
  <c r="AV5" i="4"/>
  <c r="AU5" i="4"/>
  <c r="AT5" i="4"/>
  <c r="AS5" i="4"/>
  <c r="AR5" i="4"/>
  <c r="AQ5" i="4"/>
  <c r="BB4" i="4"/>
  <c r="BA4" i="4"/>
  <c r="AZ4" i="4"/>
  <c r="AY4" i="4"/>
  <c r="AX4" i="4"/>
  <c r="AW4" i="4"/>
  <c r="AV4" i="4"/>
  <c r="AU4" i="4"/>
  <c r="AT4" i="4"/>
  <c r="AS4" i="4"/>
  <c r="AR4" i="4"/>
  <c r="AQ4" i="4"/>
  <c r="BP5" i="4"/>
  <c r="BO5" i="4"/>
  <c r="BN5" i="4"/>
  <c r="BM5" i="4"/>
  <c r="BL5" i="4"/>
  <c r="BK5" i="4"/>
  <c r="BJ5" i="4"/>
  <c r="BI5" i="4"/>
  <c r="BH5" i="4"/>
  <c r="BG5" i="4"/>
  <c r="BF5" i="4"/>
  <c r="BE5" i="4"/>
  <c r="BP50" i="5"/>
  <c r="BO50" i="5"/>
  <c r="BN50" i="5"/>
  <c r="BM50" i="5"/>
  <c r="BL50" i="5"/>
  <c r="BK50" i="5"/>
  <c r="BJ50" i="5"/>
  <c r="BI50" i="5"/>
  <c r="BH50" i="5"/>
  <c r="BG50" i="5"/>
  <c r="BF50" i="5"/>
  <c r="BE50" i="5"/>
  <c r="BP30" i="5"/>
  <c r="BO30" i="5"/>
  <c r="BN30" i="5"/>
  <c r="BM30" i="5"/>
  <c r="BL30" i="5"/>
  <c r="BK30" i="5"/>
  <c r="BJ30" i="5"/>
  <c r="BI30" i="5"/>
  <c r="BH30" i="5"/>
  <c r="BG30" i="5"/>
  <c r="BF30" i="5"/>
  <c r="BE30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P4" i="5"/>
  <c r="BO4" i="5"/>
  <c r="BN4" i="5"/>
  <c r="BM4" i="5"/>
  <c r="BL4" i="5"/>
  <c r="BK4" i="5"/>
  <c r="BJ4" i="5"/>
  <c r="BI4" i="5"/>
  <c r="BH4" i="5"/>
  <c r="BG4" i="5"/>
  <c r="BF4" i="5"/>
  <c r="BE4" i="5"/>
  <c r="DF50" i="5"/>
  <c r="DE50" i="5"/>
  <c r="DD50" i="5"/>
  <c r="DC50" i="5"/>
  <c r="DB50" i="5"/>
  <c r="DA50" i="5"/>
  <c r="CZ50" i="5"/>
  <c r="CY50" i="5"/>
  <c r="CX50" i="5"/>
  <c r="CW50" i="5"/>
  <c r="CV50" i="5"/>
  <c r="CU5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DF4" i="5"/>
  <c r="DE4" i="5"/>
  <c r="DD4" i="5"/>
  <c r="DC4" i="5"/>
  <c r="DB4" i="5"/>
  <c r="DA4" i="5"/>
  <c r="CZ4" i="5"/>
  <c r="CY4" i="5"/>
  <c r="CX4" i="5"/>
  <c r="CW4" i="5"/>
  <c r="CV4" i="5"/>
  <c r="CU4" i="5"/>
  <c r="DF239" i="5"/>
  <c r="EA38" i="23" s="1"/>
  <c r="DE239" i="5"/>
  <c r="EA39" i="23" s="1"/>
  <c r="DD239" i="5"/>
  <c r="DC239" i="5"/>
  <c r="DB239" i="5"/>
  <c r="EA42" i="23" s="1"/>
  <c r="DA239" i="5"/>
  <c r="EA43" i="23" s="1"/>
  <c r="CZ239" i="5"/>
  <c r="EA44" i="23" s="1"/>
  <c r="CY239" i="5"/>
  <c r="EA45" i="23" s="1"/>
  <c r="CX239" i="5"/>
  <c r="EA46" i="23" s="1"/>
  <c r="CW239" i="5"/>
  <c r="EA47" i="23" s="1"/>
  <c r="CV239" i="5"/>
  <c r="EA48" i="23" s="1"/>
  <c r="CU239" i="5"/>
  <c r="EA49" i="23" s="1"/>
  <c r="DF238" i="5"/>
  <c r="DZ38" i="23" s="1"/>
  <c r="DE238" i="5"/>
  <c r="DZ39" i="23" s="1"/>
  <c r="DD238" i="5"/>
  <c r="DH238" i="5" s="1"/>
  <c r="DC238" i="5"/>
  <c r="DB238" i="5"/>
  <c r="DZ42" i="23" s="1"/>
  <c r="DA238" i="5"/>
  <c r="DZ43" i="23" s="1"/>
  <c r="CZ238" i="5"/>
  <c r="DZ44" i="23" s="1"/>
  <c r="CY238" i="5"/>
  <c r="DZ45" i="23" s="1"/>
  <c r="CX238" i="5"/>
  <c r="DZ46" i="23" s="1"/>
  <c r="CW238" i="5"/>
  <c r="DZ47" i="23" s="1"/>
  <c r="CV238" i="5"/>
  <c r="DZ48" i="23" s="1"/>
  <c r="CU238" i="5"/>
  <c r="DZ49" i="23" s="1"/>
  <c r="DF237" i="5"/>
  <c r="DY38" i="23" s="1"/>
  <c r="DE237" i="5"/>
  <c r="DD237" i="5"/>
  <c r="DC237" i="5"/>
  <c r="DB237" i="5"/>
  <c r="DY42" i="23" s="1"/>
  <c r="DA237" i="5"/>
  <c r="DY43" i="23" s="1"/>
  <c r="CZ237" i="5"/>
  <c r="CY237" i="5"/>
  <c r="CX237" i="5"/>
  <c r="DY46" i="23" s="1"/>
  <c r="CW237" i="5"/>
  <c r="DY47" i="23" s="1"/>
  <c r="CV237" i="5"/>
  <c r="DY48" i="23" s="1"/>
  <c r="CU237" i="5"/>
  <c r="DG56" i="5"/>
  <c r="DG53" i="5"/>
  <c r="DF37" i="5"/>
  <c r="DE37" i="5"/>
  <c r="DD37" i="5"/>
  <c r="DH37" i="5" s="1"/>
  <c r="DC37" i="5"/>
  <c r="DB37" i="5"/>
  <c r="DA37" i="5"/>
  <c r="CZ37" i="5"/>
  <c r="CY37" i="5"/>
  <c r="CX37" i="5"/>
  <c r="CW37" i="5"/>
  <c r="CV37" i="5"/>
  <c r="CU37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DF9" i="5"/>
  <c r="DE9" i="5"/>
  <c r="DD9" i="5"/>
  <c r="DC9" i="5"/>
  <c r="DB9" i="5"/>
  <c r="DA9" i="5"/>
  <c r="CZ9" i="5"/>
  <c r="CY9" i="5"/>
  <c r="CX9" i="5"/>
  <c r="CW9" i="5"/>
  <c r="CV9" i="5"/>
  <c r="CU9" i="5"/>
  <c r="BP239" i="5"/>
  <c r="EA2" i="23" s="1"/>
  <c r="BO239" i="5"/>
  <c r="EA3" i="23" s="1"/>
  <c r="BN239" i="5"/>
  <c r="BM239" i="5"/>
  <c r="BL239" i="5"/>
  <c r="EA6" i="23" s="1"/>
  <c r="BK239" i="5"/>
  <c r="EA7" i="23" s="1"/>
  <c r="BJ239" i="5"/>
  <c r="EA8" i="23" s="1"/>
  <c r="BI239" i="5"/>
  <c r="EA9" i="23" s="1"/>
  <c r="BH239" i="5"/>
  <c r="EA10" i="23" s="1"/>
  <c r="BG239" i="5"/>
  <c r="EA11" i="23" s="1"/>
  <c r="BF239" i="5"/>
  <c r="EA12" i="23" s="1"/>
  <c r="BE239" i="5"/>
  <c r="EA13" i="23" s="1"/>
  <c r="BP238" i="5"/>
  <c r="DZ2" i="23" s="1"/>
  <c r="BO238" i="5"/>
  <c r="DZ3" i="23" s="1"/>
  <c r="BN238" i="5"/>
  <c r="BR238" i="5" s="1"/>
  <c r="BM238" i="5"/>
  <c r="BL238" i="5"/>
  <c r="DZ6" i="23" s="1"/>
  <c r="BK238" i="5"/>
  <c r="DZ7" i="23" s="1"/>
  <c r="BJ238" i="5"/>
  <c r="DZ8" i="23" s="1"/>
  <c r="BI238" i="5"/>
  <c r="DZ9" i="23" s="1"/>
  <c r="BH238" i="5"/>
  <c r="DZ10" i="23" s="1"/>
  <c r="BG238" i="5"/>
  <c r="DZ11" i="23" s="1"/>
  <c r="BF238" i="5"/>
  <c r="DZ12" i="23" s="1"/>
  <c r="BE238" i="5"/>
  <c r="DZ13" i="23" s="1"/>
  <c r="BP237" i="5"/>
  <c r="BO237" i="5"/>
  <c r="BN237" i="5"/>
  <c r="BR237" i="5" s="1"/>
  <c r="BM237" i="5"/>
  <c r="BL237" i="5"/>
  <c r="BK237" i="5"/>
  <c r="DY7" i="23" s="1"/>
  <c r="BJ237" i="5"/>
  <c r="BI237" i="5"/>
  <c r="BH237" i="5"/>
  <c r="DY10" i="23" s="1"/>
  <c r="BG237" i="5"/>
  <c r="BF237" i="5"/>
  <c r="BE237" i="5"/>
  <c r="DY13" i="23" s="1"/>
  <c r="BP37" i="5"/>
  <c r="BO37" i="5"/>
  <c r="BN37" i="5"/>
  <c r="BR37" i="5" s="1"/>
  <c r="BM37" i="5"/>
  <c r="BL37" i="5"/>
  <c r="BK37" i="5"/>
  <c r="BJ37" i="5"/>
  <c r="BI37" i="5"/>
  <c r="BH37" i="5"/>
  <c r="BG37" i="5"/>
  <c r="BF37" i="5"/>
  <c r="BE37" i="5"/>
  <c r="BP12" i="5"/>
  <c r="BO12" i="5"/>
  <c r="BN12" i="5"/>
  <c r="BM12" i="5"/>
  <c r="BL12" i="5"/>
  <c r="BK12" i="5"/>
  <c r="BJ12" i="5"/>
  <c r="BI12" i="5"/>
  <c r="BH12" i="5"/>
  <c r="BG12" i="5"/>
  <c r="BF12" i="5"/>
  <c r="BE12" i="5"/>
  <c r="BP11" i="5"/>
  <c r="BO11" i="5"/>
  <c r="BN11" i="5"/>
  <c r="BM11" i="5"/>
  <c r="BL11" i="5"/>
  <c r="BK11" i="5"/>
  <c r="BJ11" i="5"/>
  <c r="BI11" i="5"/>
  <c r="BH11" i="5"/>
  <c r="BG11" i="5"/>
  <c r="BF11" i="5"/>
  <c r="BE11" i="5"/>
  <c r="BP10" i="5"/>
  <c r="BO10" i="5"/>
  <c r="BN10" i="5"/>
  <c r="BM10" i="5"/>
  <c r="BL10" i="5"/>
  <c r="BK10" i="5"/>
  <c r="BJ10" i="5"/>
  <c r="BI10" i="5"/>
  <c r="BH10" i="5"/>
  <c r="BG10" i="5"/>
  <c r="BF10" i="5"/>
  <c r="BE10" i="5"/>
  <c r="BP9" i="5"/>
  <c r="BO9" i="5"/>
  <c r="BN9" i="5"/>
  <c r="BM9" i="5"/>
  <c r="BL9" i="5"/>
  <c r="BK9" i="5"/>
  <c r="BJ9" i="5"/>
  <c r="BI9" i="5"/>
  <c r="BH9" i="5"/>
  <c r="BG9" i="5"/>
  <c r="BF9" i="5"/>
  <c r="BE9" i="5"/>
  <c r="EV239" i="6"/>
  <c r="EA146" i="23" s="1"/>
  <c r="EU239" i="6"/>
  <c r="EA147" i="23" s="1"/>
  <c r="ET239" i="6"/>
  <c r="ES239" i="6"/>
  <c r="ER239" i="6"/>
  <c r="EQ239" i="6"/>
  <c r="EA151" i="23" s="1"/>
  <c r="EP239" i="6"/>
  <c r="EA152" i="23" s="1"/>
  <c r="EO239" i="6"/>
  <c r="EA153" i="23" s="1"/>
  <c r="EN239" i="6"/>
  <c r="EA154" i="23" s="1"/>
  <c r="EM239" i="6"/>
  <c r="EL239" i="6"/>
  <c r="EA156" i="23" s="1"/>
  <c r="EK239" i="6"/>
  <c r="EV238" i="6"/>
  <c r="DZ146" i="23" s="1"/>
  <c r="EU238" i="6"/>
  <c r="DZ147" i="23" s="1"/>
  <c r="ET238" i="6"/>
  <c r="ES238" i="6"/>
  <c r="ER238" i="6"/>
  <c r="EQ238" i="6"/>
  <c r="DZ151" i="23" s="1"/>
  <c r="EP238" i="6"/>
  <c r="DZ152" i="23" s="1"/>
  <c r="EO238" i="6"/>
  <c r="DZ153" i="23" s="1"/>
  <c r="EN238" i="6"/>
  <c r="DZ154" i="23" s="1"/>
  <c r="EM238" i="6"/>
  <c r="EL238" i="6"/>
  <c r="DZ156" i="23" s="1"/>
  <c r="EK238" i="6"/>
  <c r="EV237" i="6"/>
  <c r="DY146" i="23" s="1"/>
  <c r="EU237" i="6"/>
  <c r="DY147" i="23" s="1"/>
  <c r="ET237" i="6"/>
  <c r="ES237" i="6"/>
  <c r="ER237" i="6"/>
  <c r="EQ237" i="6"/>
  <c r="DY151" i="23" s="1"/>
  <c r="EP237" i="6"/>
  <c r="DY152" i="23" s="1"/>
  <c r="EO237" i="6"/>
  <c r="EN237" i="6"/>
  <c r="DY154" i="23" s="1"/>
  <c r="EM237" i="6"/>
  <c r="EL237" i="6"/>
  <c r="DY156" i="23" s="1"/>
  <c r="EK237" i="6"/>
  <c r="EV37" i="6"/>
  <c r="EU37" i="6"/>
  <c r="ET37" i="6"/>
  <c r="EX37" i="6" s="1"/>
  <c r="ES37" i="6"/>
  <c r="ER37" i="6"/>
  <c r="EQ37" i="6"/>
  <c r="EP37" i="6"/>
  <c r="EO37" i="6"/>
  <c r="EN37" i="6"/>
  <c r="EM37" i="6"/>
  <c r="EL37" i="6"/>
  <c r="EK37" i="6"/>
  <c r="EV12" i="6"/>
  <c r="EU12" i="6"/>
  <c r="ET12" i="6"/>
  <c r="ES12" i="6"/>
  <c r="ER12" i="6"/>
  <c r="EQ12" i="6"/>
  <c r="EP12" i="6"/>
  <c r="EO12" i="6"/>
  <c r="EN12" i="6"/>
  <c r="EM12" i="6"/>
  <c r="EL12" i="6"/>
  <c r="EK12" i="6"/>
  <c r="EV11" i="6"/>
  <c r="EU11" i="6"/>
  <c r="ET11" i="6"/>
  <c r="ES11" i="6"/>
  <c r="ER11" i="6"/>
  <c r="EQ11" i="6"/>
  <c r="EP11" i="6"/>
  <c r="EO11" i="6"/>
  <c r="EN11" i="6"/>
  <c r="EM11" i="6"/>
  <c r="EL11" i="6"/>
  <c r="EK11" i="6"/>
  <c r="EV10" i="6"/>
  <c r="EU10" i="6"/>
  <c r="ET10" i="6"/>
  <c r="ES10" i="6"/>
  <c r="ER10" i="6"/>
  <c r="EQ10" i="6"/>
  <c r="EP10" i="6"/>
  <c r="EO10" i="6"/>
  <c r="EN10" i="6"/>
  <c r="EM10" i="6"/>
  <c r="EL10" i="6"/>
  <c r="EK10" i="6"/>
  <c r="EV9" i="6"/>
  <c r="EU9" i="6"/>
  <c r="ET9" i="6"/>
  <c r="ES9" i="6"/>
  <c r="ER9" i="6"/>
  <c r="EQ9" i="6"/>
  <c r="EP9" i="6"/>
  <c r="EO9" i="6"/>
  <c r="EN9" i="6"/>
  <c r="EM9" i="6"/>
  <c r="EL9" i="6"/>
  <c r="EK9" i="6"/>
  <c r="DF239" i="6"/>
  <c r="EA110" i="23" s="1"/>
  <c r="DE239" i="6"/>
  <c r="EA111" i="23" s="1"/>
  <c r="DD239" i="6"/>
  <c r="DC239" i="6"/>
  <c r="DB239" i="6"/>
  <c r="EA114" i="23" s="1"/>
  <c r="DA239" i="6"/>
  <c r="EA115" i="23" s="1"/>
  <c r="CZ239" i="6"/>
  <c r="EA116" i="23" s="1"/>
  <c r="CY239" i="6"/>
  <c r="EA117" i="23" s="1"/>
  <c r="CX239" i="6"/>
  <c r="EA118" i="23" s="1"/>
  <c r="CW239" i="6"/>
  <c r="EA119" i="23" s="1"/>
  <c r="CV239" i="6"/>
  <c r="EA120" i="23" s="1"/>
  <c r="CU239" i="6"/>
  <c r="EA121" i="23" s="1"/>
  <c r="DF238" i="6"/>
  <c r="DZ110" i="23" s="1"/>
  <c r="DE238" i="6"/>
  <c r="DZ111" i="23" s="1"/>
  <c r="DD238" i="6"/>
  <c r="DC238" i="6"/>
  <c r="DB238" i="6"/>
  <c r="DZ114" i="23" s="1"/>
  <c r="DA238" i="6"/>
  <c r="DZ115" i="23" s="1"/>
  <c r="CZ238" i="6"/>
  <c r="DZ116" i="23" s="1"/>
  <c r="CY238" i="6"/>
  <c r="DZ117" i="23" s="1"/>
  <c r="CX238" i="6"/>
  <c r="DZ118" i="23" s="1"/>
  <c r="CW238" i="6"/>
  <c r="DZ119" i="23" s="1"/>
  <c r="CV238" i="6"/>
  <c r="DZ120" i="23" s="1"/>
  <c r="CU238" i="6"/>
  <c r="DZ121" i="23" s="1"/>
  <c r="DF237" i="6"/>
  <c r="DY110" i="23" s="1"/>
  <c r="DE237" i="6"/>
  <c r="DY111" i="23" s="1"/>
  <c r="DD237" i="6"/>
  <c r="DC237" i="6"/>
  <c r="DB237" i="6"/>
  <c r="DY114" i="23" s="1"/>
  <c r="DA237" i="6"/>
  <c r="DY115" i="23" s="1"/>
  <c r="CZ237" i="6"/>
  <c r="DY116" i="23" s="1"/>
  <c r="CY237" i="6"/>
  <c r="DY117" i="23" s="1"/>
  <c r="CX237" i="6"/>
  <c r="DY118" i="23" s="1"/>
  <c r="CW237" i="6"/>
  <c r="DY119" i="23" s="1"/>
  <c r="CV237" i="6"/>
  <c r="DY120" i="23" s="1"/>
  <c r="CU237" i="6"/>
  <c r="DY121" i="23" s="1"/>
  <c r="DF37" i="6"/>
  <c r="DE37" i="6"/>
  <c r="DD37" i="6"/>
  <c r="DH37" i="6" s="1"/>
  <c r="DC37" i="6"/>
  <c r="DB37" i="6"/>
  <c r="DA37" i="6"/>
  <c r="CZ37" i="6"/>
  <c r="CY37" i="6"/>
  <c r="CX37" i="6"/>
  <c r="CW37" i="6"/>
  <c r="CV37" i="6"/>
  <c r="CU37" i="6"/>
  <c r="DF12" i="6"/>
  <c r="DE12" i="6"/>
  <c r="DD12" i="6"/>
  <c r="DC12" i="6"/>
  <c r="DB12" i="6"/>
  <c r="DA12" i="6"/>
  <c r="CZ12" i="6"/>
  <c r="CY12" i="6"/>
  <c r="CX12" i="6"/>
  <c r="CW12" i="6"/>
  <c r="CV12" i="6"/>
  <c r="CU12" i="6"/>
  <c r="DF11" i="6"/>
  <c r="DE11" i="6"/>
  <c r="DD11" i="6"/>
  <c r="DC11" i="6"/>
  <c r="DB11" i="6"/>
  <c r="DA11" i="6"/>
  <c r="CZ11" i="6"/>
  <c r="CY11" i="6"/>
  <c r="CX11" i="6"/>
  <c r="CW11" i="6"/>
  <c r="CV11" i="6"/>
  <c r="CU11" i="6"/>
  <c r="DF10" i="6"/>
  <c r="DE10" i="6"/>
  <c r="DD10" i="6"/>
  <c r="DC10" i="6"/>
  <c r="DB10" i="6"/>
  <c r="DA10" i="6"/>
  <c r="CZ10" i="6"/>
  <c r="CY10" i="6"/>
  <c r="CX10" i="6"/>
  <c r="CW10" i="6"/>
  <c r="CV10" i="6"/>
  <c r="CU10" i="6"/>
  <c r="DF9" i="6"/>
  <c r="DE9" i="6"/>
  <c r="DD9" i="6"/>
  <c r="DC9" i="6"/>
  <c r="DB9" i="6"/>
  <c r="DA9" i="6"/>
  <c r="CZ9" i="6"/>
  <c r="CY9" i="6"/>
  <c r="CX9" i="6"/>
  <c r="CW9" i="6"/>
  <c r="CV9" i="6"/>
  <c r="CU9" i="6"/>
  <c r="BP239" i="6"/>
  <c r="EA74" i="23" s="1"/>
  <c r="BO239" i="6"/>
  <c r="EA75" i="23" s="1"/>
  <c r="BN239" i="6"/>
  <c r="BM239" i="6"/>
  <c r="BL239" i="6"/>
  <c r="EA78" i="23" s="1"/>
  <c r="BK239" i="6"/>
  <c r="EA79" i="23" s="1"/>
  <c r="BJ239" i="6"/>
  <c r="EA80" i="23" s="1"/>
  <c r="BI239" i="6"/>
  <c r="EA81" i="23" s="1"/>
  <c r="BH239" i="6"/>
  <c r="EA82" i="23" s="1"/>
  <c r="BG239" i="6"/>
  <c r="EA83" i="23" s="1"/>
  <c r="BF239" i="6"/>
  <c r="EA84" i="23" s="1"/>
  <c r="BE239" i="6"/>
  <c r="EA85" i="23" s="1"/>
  <c r="BP238" i="6"/>
  <c r="DZ74" i="23" s="1"/>
  <c r="BO238" i="6"/>
  <c r="DZ75" i="23" s="1"/>
  <c r="BN238" i="6"/>
  <c r="BM238" i="6"/>
  <c r="BL238" i="6"/>
  <c r="DZ78" i="23" s="1"/>
  <c r="BK238" i="6"/>
  <c r="DZ79" i="23" s="1"/>
  <c r="BJ238" i="6"/>
  <c r="DZ80" i="23" s="1"/>
  <c r="BI238" i="6"/>
  <c r="DZ81" i="23" s="1"/>
  <c r="BH238" i="6"/>
  <c r="DZ82" i="23" s="1"/>
  <c r="BG238" i="6"/>
  <c r="DZ83" i="23" s="1"/>
  <c r="BF238" i="6"/>
  <c r="DZ84" i="23" s="1"/>
  <c r="BE238" i="6"/>
  <c r="DZ85" i="23" s="1"/>
  <c r="BP237" i="6"/>
  <c r="DY74" i="23" s="1"/>
  <c r="BO237" i="6"/>
  <c r="BN237" i="6"/>
  <c r="BM237" i="6"/>
  <c r="BL237" i="6"/>
  <c r="DY78" i="23" s="1"/>
  <c r="BK237" i="6"/>
  <c r="DY79" i="23" s="1"/>
  <c r="BJ237" i="6"/>
  <c r="DY80" i="23" s="1"/>
  <c r="BI237" i="6"/>
  <c r="DY81" i="23" s="1"/>
  <c r="BH237" i="6"/>
  <c r="DY82" i="23" s="1"/>
  <c r="BG237" i="6"/>
  <c r="BF237" i="6"/>
  <c r="DY84" i="23" s="1"/>
  <c r="BE237" i="6"/>
  <c r="DY85" i="23" s="1"/>
  <c r="BP37" i="6"/>
  <c r="BO37" i="6"/>
  <c r="BN37" i="6"/>
  <c r="BR37" i="6" s="1"/>
  <c r="BM37" i="6"/>
  <c r="BL37" i="6"/>
  <c r="BK37" i="6"/>
  <c r="BJ37" i="6"/>
  <c r="BI37" i="6"/>
  <c r="BH37" i="6"/>
  <c r="BG37" i="6"/>
  <c r="BF37" i="6"/>
  <c r="BE37" i="6"/>
  <c r="BP12" i="6"/>
  <c r="BO12" i="6"/>
  <c r="BN12" i="6"/>
  <c r="BM12" i="6"/>
  <c r="BL12" i="6"/>
  <c r="BK12" i="6"/>
  <c r="BJ12" i="6"/>
  <c r="BI12" i="6"/>
  <c r="BH12" i="6"/>
  <c r="BG12" i="6"/>
  <c r="BF12" i="6"/>
  <c r="BE12" i="6"/>
  <c r="BP11" i="6"/>
  <c r="BO11" i="6"/>
  <c r="BN11" i="6"/>
  <c r="BM11" i="6"/>
  <c r="BL11" i="6"/>
  <c r="BK11" i="6"/>
  <c r="BJ11" i="6"/>
  <c r="BI11" i="6"/>
  <c r="BH11" i="6"/>
  <c r="BG11" i="6"/>
  <c r="BF11" i="6"/>
  <c r="BE11" i="6"/>
  <c r="BP10" i="6"/>
  <c r="BO10" i="6"/>
  <c r="BN10" i="6"/>
  <c r="BM10" i="6"/>
  <c r="BL10" i="6"/>
  <c r="BK10" i="6"/>
  <c r="BJ10" i="6"/>
  <c r="BI10" i="6"/>
  <c r="BH10" i="6"/>
  <c r="BG10" i="6"/>
  <c r="BF10" i="6"/>
  <c r="BE10" i="6"/>
  <c r="BP9" i="6"/>
  <c r="BO9" i="6"/>
  <c r="BN9" i="6"/>
  <c r="BM9" i="6"/>
  <c r="BL9" i="6"/>
  <c r="BK9" i="6"/>
  <c r="BJ9" i="6"/>
  <c r="BI9" i="6"/>
  <c r="BH9" i="6"/>
  <c r="BG9" i="6"/>
  <c r="BF9" i="6"/>
  <c r="BE9" i="6"/>
  <c r="EV50" i="6"/>
  <c r="EU50" i="6"/>
  <c r="ET50" i="6"/>
  <c r="ES50" i="6"/>
  <c r="ER50" i="6"/>
  <c r="EQ50" i="6"/>
  <c r="EP50" i="6"/>
  <c r="EO50" i="6"/>
  <c r="EN50" i="6"/>
  <c r="EM50" i="6"/>
  <c r="EL50" i="6"/>
  <c r="EK50" i="6"/>
  <c r="EV30" i="6"/>
  <c r="EU30" i="6"/>
  <c r="ET30" i="6"/>
  <c r="ES30" i="6"/>
  <c r="ER30" i="6"/>
  <c r="EQ30" i="6"/>
  <c r="EP30" i="6"/>
  <c r="EO30" i="6"/>
  <c r="EN30" i="6"/>
  <c r="EM30" i="6"/>
  <c r="EL30" i="6"/>
  <c r="EK30" i="6"/>
  <c r="EV23" i="6"/>
  <c r="EU23" i="6"/>
  <c r="ET23" i="6"/>
  <c r="ES23" i="6"/>
  <c r="ER23" i="6"/>
  <c r="EQ23" i="6"/>
  <c r="EP23" i="6"/>
  <c r="EO23" i="6"/>
  <c r="EN23" i="6"/>
  <c r="EM23" i="6"/>
  <c r="EL23" i="6"/>
  <c r="EK23" i="6"/>
  <c r="EV18" i="6"/>
  <c r="EU18" i="6"/>
  <c r="ET18" i="6"/>
  <c r="ES18" i="6"/>
  <c r="ER18" i="6"/>
  <c r="EQ18" i="6"/>
  <c r="EP18" i="6"/>
  <c r="EO18" i="6"/>
  <c r="EN18" i="6"/>
  <c r="EM18" i="6"/>
  <c r="EL18" i="6"/>
  <c r="EK18" i="6"/>
  <c r="EV4" i="6"/>
  <c r="EU4" i="6"/>
  <c r="ET4" i="6"/>
  <c r="ES4" i="6"/>
  <c r="ER4" i="6"/>
  <c r="EQ4" i="6"/>
  <c r="EP4" i="6"/>
  <c r="EO4" i="6"/>
  <c r="EN4" i="6"/>
  <c r="EM4" i="6"/>
  <c r="EL4" i="6"/>
  <c r="EK4" i="6"/>
  <c r="DF50" i="6"/>
  <c r="DE50" i="6"/>
  <c r="DD50" i="6"/>
  <c r="DC50" i="6"/>
  <c r="DB50" i="6"/>
  <c r="DA50" i="6"/>
  <c r="CZ50" i="6"/>
  <c r="CY50" i="6"/>
  <c r="CX50" i="6"/>
  <c r="CW50" i="6"/>
  <c r="CV50" i="6"/>
  <c r="CU50" i="6"/>
  <c r="DF30" i="6"/>
  <c r="DE30" i="6"/>
  <c r="DD30" i="6"/>
  <c r="DC30" i="6"/>
  <c r="DB30" i="6"/>
  <c r="DA30" i="6"/>
  <c r="CZ30" i="6"/>
  <c r="CY30" i="6"/>
  <c r="CX30" i="6"/>
  <c r="CW30" i="6"/>
  <c r="CV30" i="6"/>
  <c r="CU30" i="6"/>
  <c r="DF23" i="6"/>
  <c r="DE23" i="6"/>
  <c r="DD23" i="6"/>
  <c r="DC23" i="6"/>
  <c r="DB23" i="6"/>
  <c r="DA23" i="6"/>
  <c r="CZ23" i="6"/>
  <c r="CY23" i="6"/>
  <c r="CX23" i="6"/>
  <c r="CW23" i="6"/>
  <c r="CV23" i="6"/>
  <c r="CU23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DF4" i="6"/>
  <c r="DE4" i="6"/>
  <c r="DD4" i="6"/>
  <c r="DC4" i="6"/>
  <c r="DB4" i="6"/>
  <c r="DA4" i="6"/>
  <c r="CZ4" i="6"/>
  <c r="CY4" i="6"/>
  <c r="CX4" i="6"/>
  <c r="CW4" i="6"/>
  <c r="CV4" i="6"/>
  <c r="CU4" i="6"/>
  <c r="BP50" i="6"/>
  <c r="BO50" i="6"/>
  <c r="BN50" i="6"/>
  <c r="BM50" i="6"/>
  <c r="BL50" i="6"/>
  <c r="BK50" i="6"/>
  <c r="BJ50" i="6"/>
  <c r="BI50" i="6"/>
  <c r="BH50" i="6"/>
  <c r="BG50" i="6"/>
  <c r="BF50" i="6"/>
  <c r="BE50" i="6"/>
  <c r="BP30" i="6"/>
  <c r="BO30" i="6"/>
  <c r="BN30" i="6"/>
  <c r="BM30" i="6"/>
  <c r="BL30" i="6"/>
  <c r="BK30" i="6"/>
  <c r="BJ30" i="6"/>
  <c r="BI30" i="6"/>
  <c r="BH30" i="6"/>
  <c r="BG30" i="6"/>
  <c r="BF30" i="6"/>
  <c r="BE30" i="6"/>
  <c r="BP23" i="6"/>
  <c r="BO23" i="6"/>
  <c r="BN23" i="6"/>
  <c r="BM23" i="6"/>
  <c r="BL23" i="6"/>
  <c r="BK23" i="6"/>
  <c r="BJ23" i="6"/>
  <c r="BI23" i="6"/>
  <c r="BH23" i="6"/>
  <c r="BG23" i="6"/>
  <c r="BF23" i="6"/>
  <c r="BE23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P4" i="6"/>
  <c r="BO4" i="6"/>
  <c r="BN4" i="6"/>
  <c r="BM4" i="6"/>
  <c r="BL4" i="6"/>
  <c r="BK4" i="6"/>
  <c r="BJ4" i="6"/>
  <c r="BI4" i="6"/>
  <c r="BH4" i="6"/>
  <c r="BG4" i="6"/>
  <c r="BF4" i="6"/>
  <c r="BE4" i="6"/>
  <c r="DT236" i="5"/>
  <c r="DS236" i="5"/>
  <c r="DR236" i="5"/>
  <c r="DQ236" i="5"/>
  <c r="DP236" i="5"/>
  <c r="DO236" i="5"/>
  <c r="DN236" i="5"/>
  <c r="DM236" i="5"/>
  <c r="DL236" i="5"/>
  <c r="DK236" i="5"/>
  <c r="DJ236" i="5"/>
  <c r="DI236" i="5"/>
  <c r="DT57" i="5"/>
  <c r="DS57" i="5"/>
  <c r="DR57" i="5"/>
  <c r="DQ57" i="5"/>
  <c r="DP57" i="5"/>
  <c r="DO57" i="5"/>
  <c r="DN57" i="5"/>
  <c r="DM57" i="5"/>
  <c r="DL57" i="5"/>
  <c r="DK57" i="5"/>
  <c r="DJ57" i="5"/>
  <c r="DI57" i="5"/>
  <c r="DT54" i="5"/>
  <c r="DS54" i="5"/>
  <c r="DR54" i="5"/>
  <c r="DQ54" i="5"/>
  <c r="DP54" i="5"/>
  <c r="DO54" i="5"/>
  <c r="DN54" i="5"/>
  <c r="DM54" i="5"/>
  <c r="DL54" i="5"/>
  <c r="DK54" i="5"/>
  <c r="DJ54" i="5"/>
  <c r="DI54" i="5"/>
  <c r="DT38" i="5"/>
  <c r="DS38" i="5"/>
  <c r="DR38" i="5"/>
  <c r="DQ38" i="5"/>
  <c r="DP38" i="5"/>
  <c r="DO38" i="5"/>
  <c r="DN38" i="5"/>
  <c r="DM38" i="5"/>
  <c r="DL38" i="5"/>
  <c r="DK38" i="5"/>
  <c r="DJ38" i="5"/>
  <c r="DI38" i="5"/>
  <c r="DT29" i="5"/>
  <c r="DS29" i="5"/>
  <c r="DR29" i="5"/>
  <c r="DQ29" i="5"/>
  <c r="DP29" i="5"/>
  <c r="DO29" i="5"/>
  <c r="DN29" i="5"/>
  <c r="DM29" i="5"/>
  <c r="DL29" i="5"/>
  <c r="DK29" i="5"/>
  <c r="DJ29" i="5"/>
  <c r="DI29" i="5"/>
  <c r="DT27" i="5"/>
  <c r="DS27" i="5"/>
  <c r="DR27" i="5"/>
  <c r="DQ27" i="5"/>
  <c r="DP27" i="5"/>
  <c r="DO27" i="5"/>
  <c r="DN27" i="5"/>
  <c r="DM27" i="5"/>
  <c r="DL27" i="5"/>
  <c r="DK27" i="5"/>
  <c r="DJ27" i="5"/>
  <c r="DI27" i="5"/>
  <c r="DT8" i="5"/>
  <c r="DS8" i="5"/>
  <c r="DR8" i="5"/>
  <c r="DQ8" i="5"/>
  <c r="DP8" i="5"/>
  <c r="DO8" i="5"/>
  <c r="DN8" i="5"/>
  <c r="DM8" i="5"/>
  <c r="DL8" i="5"/>
  <c r="DK8" i="5"/>
  <c r="DJ8" i="5"/>
  <c r="DI8" i="5"/>
  <c r="CR241" i="5"/>
  <c r="EB50" i="23" s="1"/>
  <c r="CQ241" i="5"/>
  <c r="EB51" i="23" s="1"/>
  <c r="CP241" i="5"/>
  <c r="EB52" i="23" s="1"/>
  <c r="CO241" i="5"/>
  <c r="EB53" i="23" s="1"/>
  <c r="CN241" i="5"/>
  <c r="EB54" i="23" s="1"/>
  <c r="CM241" i="5"/>
  <c r="EB55" i="23" s="1"/>
  <c r="CL241" i="5"/>
  <c r="EB56" i="23" s="1"/>
  <c r="CK241" i="5"/>
  <c r="EB57" i="23" s="1"/>
  <c r="CJ241" i="5"/>
  <c r="EB58" i="23" s="1"/>
  <c r="CI241" i="5"/>
  <c r="EB59" i="23" s="1"/>
  <c r="CH241" i="5"/>
  <c r="EB60" i="23" s="1"/>
  <c r="CG241" i="5"/>
  <c r="EB61" i="23" s="1"/>
  <c r="CR236" i="5"/>
  <c r="CQ236" i="5"/>
  <c r="CP236" i="5"/>
  <c r="CO236" i="5"/>
  <c r="CN236" i="5"/>
  <c r="CM236" i="5"/>
  <c r="CL236" i="5"/>
  <c r="CK236" i="5"/>
  <c r="CJ236" i="5"/>
  <c r="CI236" i="5"/>
  <c r="CH236" i="5"/>
  <c r="CG236" i="5"/>
  <c r="CR227" i="5"/>
  <c r="CQ227" i="5"/>
  <c r="CP227" i="5"/>
  <c r="CO227" i="5"/>
  <c r="CN227" i="5"/>
  <c r="CM227" i="5"/>
  <c r="CL227" i="5"/>
  <c r="CK227" i="5"/>
  <c r="CJ227" i="5"/>
  <c r="CI227" i="5"/>
  <c r="CH227" i="5"/>
  <c r="CG227" i="5"/>
  <c r="CR223" i="5"/>
  <c r="CQ223" i="5"/>
  <c r="CP223" i="5"/>
  <c r="CO223" i="5"/>
  <c r="CN223" i="5"/>
  <c r="CM223" i="5"/>
  <c r="CL223" i="5"/>
  <c r="CK223" i="5"/>
  <c r="CJ223" i="5"/>
  <c r="CI223" i="5"/>
  <c r="CH223" i="5"/>
  <c r="CG223" i="5"/>
  <c r="CR219" i="5"/>
  <c r="CQ219" i="5"/>
  <c r="CP219" i="5"/>
  <c r="CO219" i="5"/>
  <c r="CN219" i="5"/>
  <c r="CM219" i="5"/>
  <c r="CL219" i="5"/>
  <c r="CK219" i="5"/>
  <c r="CJ219" i="5"/>
  <c r="CI219" i="5"/>
  <c r="CH219" i="5"/>
  <c r="CG219" i="5"/>
  <c r="CR214" i="5"/>
  <c r="CQ214" i="5"/>
  <c r="CP214" i="5"/>
  <c r="CO214" i="5"/>
  <c r="CN214" i="5"/>
  <c r="CM214" i="5"/>
  <c r="CL214" i="5"/>
  <c r="CK214" i="5"/>
  <c r="CJ214" i="5"/>
  <c r="CI214" i="5"/>
  <c r="CH214" i="5"/>
  <c r="CG214" i="5"/>
  <c r="CR209" i="5"/>
  <c r="CQ209" i="5"/>
  <c r="CP209" i="5"/>
  <c r="CO209" i="5"/>
  <c r="CN209" i="5"/>
  <c r="CM209" i="5"/>
  <c r="CL209" i="5"/>
  <c r="CK209" i="5"/>
  <c r="CJ209" i="5"/>
  <c r="CI209" i="5"/>
  <c r="CH209" i="5"/>
  <c r="CG209" i="5"/>
  <c r="CR205" i="5"/>
  <c r="CQ205" i="5"/>
  <c r="CP205" i="5"/>
  <c r="CO205" i="5"/>
  <c r="CN205" i="5"/>
  <c r="CM205" i="5"/>
  <c r="CL205" i="5"/>
  <c r="CK205" i="5"/>
  <c r="CJ205" i="5"/>
  <c r="CI205" i="5"/>
  <c r="CH205" i="5"/>
  <c r="CG205" i="5"/>
  <c r="CR193" i="5"/>
  <c r="CQ193" i="5"/>
  <c r="CP193" i="5"/>
  <c r="CO193" i="5"/>
  <c r="CN193" i="5"/>
  <c r="CM193" i="5"/>
  <c r="CL193" i="5"/>
  <c r="CK193" i="5"/>
  <c r="CJ193" i="5"/>
  <c r="CI193" i="5"/>
  <c r="CH193" i="5"/>
  <c r="CG193" i="5"/>
  <c r="CR187" i="5"/>
  <c r="CQ187" i="5"/>
  <c r="CP187" i="5"/>
  <c r="CO187" i="5"/>
  <c r="CN187" i="5"/>
  <c r="CM187" i="5"/>
  <c r="CL187" i="5"/>
  <c r="CK187" i="5"/>
  <c r="CJ187" i="5"/>
  <c r="CI187" i="5"/>
  <c r="CH187" i="5"/>
  <c r="CG187" i="5"/>
  <c r="CR182" i="5"/>
  <c r="CQ182" i="5"/>
  <c r="CP182" i="5"/>
  <c r="CO182" i="5"/>
  <c r="CN182" i="5"/>
  <c r="CM182" i="5"/>
  <c r="CL182" i="5"/>
  <c r="CK182" i="5"/>
  <c r="CJ182" i="5"/>
  <c r="CI182" i="5"/>
  <c r="CH182" i="5"/>
  <c r="CG182" i="5"/>
  <c r="CR178" i="5"/>
  <c r="CQ178" i="5"/>
  <c r="CP178" i="5"/>
  <c r="CO178" i="5"/>
  <c r="CN178" i="5"/>
  <c r="CM178" i="5"/>
  <c r="CL178" i="5"/>
  <c r="CK178" i="5"/>
  <c r="CJ178" i="5"/>
  <c r="CI178" i="5"/>
  <c r="CH178" i="5"/>
  <c r="CG178" i="5"/>
  <c r="CR172" i="5"/>
  <c r="CQ172" i="5"/>
  <c r="CP172" i="5"/>
  <c r="CO172" i="5"/>
  <c r="CN172" i="5"/>
  <c r="CM172" i="5"/>
  <c r="CL172" i="5"/>
  <c r="CK172" i="5"/>
  <c r="CJ172" i="5"/>
  <c r="CI172" i="5"/>
  <c r="CH172" i="5"/>
  <c r="CG172" i="5"/>
  <c r="CR164" i="5"/>
  <c r="CQ164" i="5"/>
  <c r="CP164" i="5"/>
  <c r="CO164" i="5"/>
  <c r="CN164" i="5"/>
  <c r="CM164" i="5"/>
  <c r="CL164" i="5"/>
  <c r="CK164" i="5"/>
  <c r="CJ164" i="5"/>
  <c r="CI164" i="5"/>
  <c r="CH164" i="5"/>
  <c r="CG164" i="5"/>
  <c r="CQ157" i="5"/>
  <c r="CP157" i="5"/>
  <c r="CO157" i="5"/>
  <c r="CN157" i="5"/>
  <c r="CM157" i="5"/>
  <c r="CL157" i="5"/>
  <c r="CK157" i="5"/>
  <c r="CJ157" i="5"/>
  <c r="CI157" i="5"/>
  <c r="CH157" i="5"/>
  <c r="CG157" i="5"/>
  <c r="CR150" i="5"/>
  <c r="CQ150" i="5"/>
  <c r="CP150" i="5"/>
  <c r="CO150" i="5"/>
  <c r="CN150" i="5"/>
  <c r="CM150" i="5"/>
  <c r="CL150" i="5"/>
  <c r="CK150" i="5"/>
  <c r="CJ150" i="5"/>
  <c r="CI150" i="5"/>
  <c r="CH150" i="5"/>
  <c r="CG150" i="5"/>
  <c r="CR146" i="5"/>
  <c r="CQ146" i="5"/>
  <c r="CP146" i="5"/>
  <c r="CO146" i="5"/>
  <c r="CN146" i="5"/>
  <c r="CM146" i="5"/>
  <c r="CL146" i="5"/>
  <c r="CK146" i="5"/>
  <c r="CJ146" i="5"/>
  <c r="CI146" i="5"/>
  <c r="CH146" i="5"/>
  <c r="CG146" i="5"/>
  <c r="CR138" i="5"/>
  <c r="CQ138" i="5"/>
  <c r="CP138" i="5"/>
  <c r="CO138" i="5"/>
  <c r="CN138" i="5"/>
  <c r="CM138" i="5"/>
  <c r="CL138" i="5"/>
  <c r="CK138" i="5"/>
  <c r="CJ138" i="5"/>
  <c r="CI138" i="5"/>
  <c r="CH138" i="5"/>
  <c r="CG138" i="5"/>
  <c r="CR133" i="5"/>
  <c r="CQ133" i="5"/>
  <c r="CP133" i="5"/>
  <c r="CO133" i="5"/>
  <c r="CN133" i="5"/>
  <c r="CM133" i="5"/>
  <c r="CL133" i="5"/>
  <c r="CK133" i="5"/>
  <c r="CJ133" i="5"/>
  <c r="CI133" i="5"/>
  <c r="CH133" i="5"/>
  <c r="CG133" i="5"/>
  <c r="CR129" i="5"/>
  <c r="CQ129" i="5"/>
  <c r="CP129" i="5"/>
  <c r="CO129" i="5"/>
  <c r="CN129" i="5"/>
  <c r="CM129" i="5"/>
  <c r="CL129" i="5"/>
  <c r="CK129" i="5"/>
  <c r="CJ129" i="5"/>
  <c r="CI129" i="5"/>
  <c r="CH129" i="5"/>
  <c r="CG129" i="5"/>
  <c r="CR116" i="5"/>
  <c r="CQ116" i="5"/>
  <c r="CP116" i="5"/>
  <c r="CO116" i="5"/>
  <c r="CN116" i="5"/>
  <c r="CM116" i="5"/>
  <c r="CL116" i="5"/>
  <c r="CK116" i="5"/>
  <c r="CJ116" i="5"/>
  <c r="CI116" i="5"/>
  <c r="CH116" i="5"/>
  <c r="CG116" i="5"/>
  <c r="CR104" i="5"/>
  <c r="CQ104" i="5"/>
  <c r="CP104" i="5"/>
  <c r="CO104" i="5"/>
  <c r="CN104" i="5"/>
  <c r="CM104" i="5"/>
  <c r="CL104" i="5"/>
  <c r="CK104" i="5"/>
  <c r="CJ104" i="5"/>
  <c r="CI104" i="5"/>
  <c r="CH104" i="5"/>
  <c r="CG104" i="5"/>
  <c r="CR90" i="5"/>
  <c r="CQ90" i="5"/>
  <c r="CP90" i="5"/>
  <c r="CO90" i="5"/>
  <c r="CN90" i="5"/>
  <c r="CM90" i="5"/>
  <c r="CL90" i="5"/>
  <c r="CK90" i="5"/>
  <c r="CJ90" i="5"/>
  <c r="CI90" i="5"/>
  <c r="CH90" i="5"/>
  <c r="CG90" i="5"/>
  <c r="CR87" i="5"/>
  <c r="CQ87" i="5"/>
  <c r="CP87" i="5"/>
  <c r="CO87" i="5"/>
  <c r="CN87" i="5"/>
  <c r="CM87" i="5"/>
  <c r="CL87" i="5"/>
  <c r="CK87" i="5"/>
  <c r="CJ87" i="5"/>
  <c r="CI87" i="5"/>
  <c r="CH87" i="5"/>
  <c r="CG87" i="5"/>
  <c r="CR76" i="5"/>
  <c r="CQ76" i="5"/>
  <c r="CP76" i="5"/>
  <c r="CO76" i="5"/>
  <c r="CN76" i="5"/>
  <c r="CM76" i="5"/>
  <c r="CL76" i="5"/>
  <c r="CK76" i="5"/>
  <c r="CJ76" i="5"/>
  <c r="CI76" i="5"/>
  <c r="CH76" i="5"/>
  <c r="CG76" i="5"/>
  <c r="CR60" i="5"/>
  <c r="CQ60" i="5"/>
  <c r="CP60" i="5"/>
  <c r="CO60" i="5"/>
  <c r="CN60" i="5"/>
  <c r="CM60" i="5"/>
  <c r="CL60" i="5"/>
  <c r="CK60" i="5"/>
  <c r="CJ60" i="5"/>
  <c r="CI60" i="5"/>
  <c r="CH60" i="5"/>
  <c r="CG60" i="5"/>
  <c r="CR57" i="5"/>
  <c r="CQ57" i="5"/>
  <c r="CP57" i="5"/>
  <c r="CO57" i="5"/>
  <c r="CN57" i="5"/>
  <c r="CM57" i="5"/>
  <c r="CL57" i="5"/>
  <c r="CK57" i="5"/>
  <c r="CJ57" i="5"/>
  <c r="CI57" i="5"/>
  <c r="CH57" i="5"/>
  <c r="CG57" i="5"/>
  <c r="CR54" i="5"/>
  <c r="CQ54" i="5"/>
  <c r="CP54" i="5"/>
  <c r="CO54" i="5"/>
  <c r="CN54" i="5"/>
  <c r="CM54" i="5"/>
  <c r="CL54" i="5"/>
  <c r="CK54" i="5"/>
  <c r="CJ54" i="5"/>
  <c r="CI54" i="5"/>
  <c r="CH54" i="5"/>
  <c r="CG54" i="5"/>
  <c r="CR38" i="5"/>
  <c r="CQ38" i="5"/>
  <c r="CP38" i="5"/>
  <c r="CO38" i="5"/>
  <c r="CN38" i="5"/>
  <c r="CM38" i="5"/>
  <c r="CL38" i="5"/>
  <c r="CK38" i="5"/>
  <c r="CJ38" i="5"/>
  <c r="CI38" i="5"/>
  <c r="CH38" i="5"/>
  <c r="CG38" i="5"/>
  <c r="CR29" i="5"/>
  <c r="CQ29" i="5"/>
  <c r="CP29" i="5"/>
  <c r="CO29" i="5"/>
  <c r="CN29" i="5"/>
  <c r="CM29" i="5"/>
  <c r="CL29" i="5"/>
  <c r="CK29" i="5"/>
  <c r="CJ29" i="5"/>
  <c r="CI29" i="5"/>
  <c r="CH29" i="5"/>
  <c r="CG29" i="5"/>
  <c r="CR27" i="5"/>
  <c r="CQ27" i="5"/>
  <c r="CP27" i="5"/>
  <c r="CO27" i="5"/>
  <c r="CN27" i="5"/>
  <c r="CM27" i="5"/>
  <c r="CL27" i="5"/>
  <c r="CK27" i="5"/>
  <c r="CJ27" i="5"/>
  <c r="CI27" i="5"/>
  <c r="CH27" i="5"/>
  <c r="CG27" i="5"/>
  <c r="CR13" i="5"/>
  <c r="CQ13" i="5"/>
  <c r="CP13" i="5"/>
  <c r="CO13" i="5"/>
  <c r="CN13" i="5"/>
  <c r="CM13" i="5"/>
  <c r="CL13" i="5"/>
  <c r="CK13" i="5"/>
  <c r="CJ13" i="5"/>
  <c r="CI13" i="5"/>
  <c r="CH13" i="5"/>
  <c r="CG13" i="5"/>
  <c r="CR8" i="5"/>
  <c r="CQ8" i="5"/>
  <c r="CP8" i="5"/>
  <c r="CO8" i="5"/>
  <c r="CN8" i="5"/>
  <c r="CM8" i="5"/>
  <c r="CL8" i="5"/>
  <c r="CK8" i="5"/>
  <c r="CJ8" i="5"/>
  <c r="CI8" i="5"/>
  <c r="CH8" i="5"/>
  <c r="CG8" i="5"/>
  <c r="CD236" i="5"/>
  <c r="CC236" i="5"/>
  <c r="CB236" i="5"/>
  <c r="CA236" i="5"/>
  <c r="BZ236" i="5"/>
  <c r="BY236" i="5"/>
  <c r="BX236" i="5"/>
  <c r="BW236" i="5"/>
  <c r="BV236" i="5"/>
  <c r="BU236" i="5"/>
  <c r="BT236" i="5"/>
  <c r="CE57" i="5"/>
  <c r="CD57" i="5"/>
  <c r="CC57" i="5"/>
  <c r="CB57" i="5"/>
  <c r="CA57" i="5"/>
  <c r="BZ57" i="5"/>
  <c r="BY57" i="5"/>
  <c r="BX57" i="5"/>
  <c r="BW57" i="5"/>
  <c r="BV57" i="5"/>
  <c r="BU57" i="5"/>
  <c r="BT57" i="5"/>
  <c r="BS57" i="5"/>
  <c r="CE54" i="5"/>
  <c r="CD54" i="5"/>
  <c r="CC54" i="5"/>
  <c r="CB54" i="5"/>
  <c r="CA54" i="5"/>
  <c r="BZ54" i="5"/>
  <c r="BY54" i="5"/>
  <c r="BX54" i="5"/>
  <c r="BW54" i="5"/>
  <c r="BV54" i="5"/>
  <c r="BU54" i="5"/>
  <c r="BT54" i="5"/>
  <c r="BS54" i="5"/>
  <c r="CE38" i="5"/>
  <c r="CD38" i="5"/>
  <c r="CC38" i="5"/>
  <c r="CB38" i="5"/>
  <c r="CA38" i="5"/>
  <c r="BZ38" i="5"/>
  <c r="BY38" i="5"/>
  <c r="BX38" i="5"/>
  <c r="BW38" i="5"/>
  <c r="BV38" i="5"/>
  <c r="BU38" i="5"/>
  <c r="BT38" i="5"/>
  <c r="BS38" i="5"/>
  <c r="CE29" i="5"/>
  <c r="CD29" i="5"/>
  <c r="CC29" i="5"/>
  <c r="CB29" i="5"/>
  <c r="CA29" i="5"/>
  <c r="BZ29" i="5"/>
  <c r="BY29" i="5"/>
  <c r="BX29" i="5"/>
  <c r="BW29" i="5"/>
  <c r="BV29" i="5"/>
  <c r="BU29" i="5"/>
  <c r="BT29" i="5"/>
  <c r="BS29" i="5"/>
  <c r="CE27" i="5"/>
  <c r="CD27" i="5"/>
  <c r="CC27" i="5"/>
  <c r="CB27" i="5"/>
  <c r="CA27" i="5"/>
  <c r="BZ27" i="5"/>
  <c r="BY27" i="5"/>
  <c r="BX27" i="5"/>
  <c r="BW27" i="5"/>
  <c r="BV27" i="5"/>
  <c r="BU27" i="5"/>
  <c r="BT27" i="5"/>
  <c r="BS27" i="5"/>
  <c r="CD8" i="5"/>
  <c r="CC8" i="5"/>
  <c r="CB8" i="5"/>
  <c r="CA8" i="5"/>
  <c r="BZ8" i="5"/>
  <c r="BY8" i="5"/>
  <c r="BX8" i="5"/>
  <c r="BW8" i="5"/>
  <c r="BV8" i="5"/>
  <c r="BU8" i="5"/>
  <c r="BT8" i="5"/>
  <c r="BS8" i="5"/>
  <c r="BB236" i="5"/>
  <c r="AX236" i="5"/>
  <c r="AT236" i="5"/>
  <c r="BC227" i="5"/>
  <c r="BB227" i="5"/>
  <c r="AX227" i="5"/>
  <c r="AT227" i="5"/>
  <c r="BC223" i="5"/>
  <c r="BC219" i="5"/>
  <c r="BC214" i="5"/>
  <c r="AT214" i="5"/>
  <c r="BC209" i="5"/>
  <c r="BC205" i="5"/>
  <c r="BC193" i="5"/>
  <c r="BC187" i="5"/>
  <c r="BC178" i="5"/>
  <c r="BC164" i="5"/>
  <c r="BC157" i="5"/>
  <c r="BC150" i="5"/>
  <c r="BC146" i="5"/>
  <c r="AZ146" i="5"/>
  <c r="BC138" i="5"/>
  <c r="BC133" i="5"/>
  <c r="BC129" i="5"/>
  <c r="BC116" i="5"/>
  <c r="BC104" i="5"/>
  <c r="BC90" i="5"/>
  <c r="BC87" i="5"/>
  <c r="BC76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BC29" i="5"/>
  <c r="BA13" i="5"/>
  <c r="FJ236" i="6"/>
  <c r="FI236" i="6"/>
  <c r="FH236" i="6"/>
  <c r="FG236" i="6"/>
  <c r="FF236" i="6"/>
  <c r="FE236" i="6"/>
  <c r="FD236" i="6"/>
  <c r="FC236" i="6"/>
  <c r="FB236" i="6"/>
  <c r="FA236" i="6"/>
  <c r="EZ236" i="6"/>
  <c r="EY236" i="6"/>
  <c r="FJ219" i="6"/>
  <c r="FI219" i="6"/>
  <c r="FH219" i="6"/>
  <c r="FG219" i="6"/>
  <c r="FF219" i="6"/>
  <c r="FE219" i="6"/>
  <c r="FD219" i="6"/>
  <c r="FC219" i="6"/>
  <c r="FB219" i="6"/>
  <c r="FA219" i="6"/>
  <c r="EZ219" i="6"/>
  <c r="EY219" i="6"/>
  <c r="FJ60" i="6"/>
  <c r="FI60" i="6"/>
  <c r="FH60" i="6"/>
  <c r="FG60" i="6"/>
  <c r="FF60" i="6"/>
  <c r="FE60" i="6"/>
  <c r="FD60" i="6"/>
  <c r="FC60" i="6"/>
  <c r="FB60" i="6"/>
  <c r="FA60" i="6"/>
  <c r="EZ60" i="6"/>
  <c r="EY60" i="6"/>
  <c r="FJ54" i="6"/>
  <c r="FI54" i="6"/>
  <c r="FH54" i="6"/>
  <c r="FG54" i="6"/>
  <c r="FF54" i="6"/>
  <c r="FE54" i="6"/>
  <c r="FD54" i="6"/>
  <c r="FC54" i="6"/>
  <c r="FB54" i="6"/>
  <c r="FA54" i="6"/>
  <c r="EZ54" i="6"/>
  <c r="EY54" i="6"/>
  <c r="FJ27" i="6"/>
  <c r="FI27" i="6"/>
  <c r="FH27" i="6"/>
  <c r="FG27" i="6"/>
  <c r="FF27" i="6"/>
  <c r="FE27" i="6"/>
  <c r="FD27" i="6"/>
  <c r="FC27" i="6"/>
  <c r="FB27" i="6"/>
  <c r="FA27" i="6"/>
  <c r="EZ27" i="6"/>
  <c r="EY27" i="6"/>
  <c r="FJ13" i="6"/>
  <c r="FI13" i="6"/>
  <c r="FH13" i="6"/>
  <c r="FG13" i="6"/>
  <c r="FF13" i="6"/>
  <c r="FE13" i="6"/>
  <c r="FD13" i="6"/>
  <c r="FC13" i="6"/>
  <c r="FB13" i="6"/>
  <c r="FA13" i="6"/>
  <c r="EZ13" i="6"/>
  <c r="EY13" i="6"/>
  <c r="FJ8" i="6"/>
  <c r="FI8" i="6"/>
  <c r="FH8" i="6"/>
  <c r="FG8" i="6"/>
  <c r="FF8" i="6"/>
  <c r="FE8" i="6"/>
  <c r="FD8" i="6"/>
  <c r="FC8" i="6"/>
  <c r="FB8" i="6"/>
  <c r="FA8" i="6"/>
  <c r="EZ8" i="6"/>
  <c r="EY8" i="6"/>
  <c r="EH241" i="6"/>
  <c r="EG241" i="6"/>
  <c r="EF241" i="6"/>
  <c r="EE241" i="6"/>
  <c r="ED241" i="6"/>
  <c r="EC241" i="6"/>
  <c r="EB241" i="6"/>
  <c r="EA241" i="6"/>
  <c r="DZ241" i="6"/>
  <c r="DY241" i="6"/>
  <c r="DX241" i="6"/>
  <c r="DW241" i="6"/>
  <c r="EH236" i="6"/>
  <c r="EG236" i="6"/>
  <c r="EF236" i="6"/>
  <c r="EE236" i="6"/>
  <c r="ED236" i="6"/>
  <c r="EC236" i="6"/>
  <c r="EB236" i="6"/>
  <c r="EA236" i="6"/>
  <c r="DZ236" i="6"/>
  <c r="DY236" i="6"/>
  <c r="DX236" i="6"/>
  <c r="DW236" i="6"/>
  <c r="EH227" i="6"/>
  <c r="EG227" i="6"/>
  <c r="EF227" i="6"/>
  <c r="EE227" i="6"/>
  <c r="ED227" i="6"/>
  <c r="EC227" i="6"/>
  <c r="EB227" i="6"/>
  <c r="EA227" i="6"/>
  <c r="DZ227" i="6"/>
  <c r="DY227" i="6"/>
  <c r="DX227" i="6"/>
  <c r="DW227" i="6"/>
  <c r="EH223" i="6"/>
  <c r="EG223" i="6"/>
  <c r="EF223" i="6"/>
  <c r="EE223" i="6"/>
  <c r="ED223" i="6"/>
  <c r="EC223" i="6"/>
  <c r="EB223" i="6"/>
  <c r="EA223" i="6"/>
  <c r="DZ223" i="6"/>
  <c r="DY223" i="6"/>
  <c r="DX223" i="6"/>
  <c r="DW223" i="6"/>
  <c r="EH219" i="6"/>
  <c r="EG219" i="6"/>
  <c r="EF219" i="6"/>
  <c r="EE219" i="6"/>
  <c r="ED219" i="6"/>
  <c r="EC219" i="6"/>
  <c r="EB219" i="6"/>
  <c r="EA219" i="6"/>
  <c r="DZ219" i="6"/>
  <c r="DY219" i="6"/>
  <c r="DX219" i="6"/>
  <c r="DW219" i="6"/>
  <c r="EH214" i="6"/>
  <c r="EG214" i="6"/>
  <c r="EF214" i="6"/>
  <c r="EE214" i="6"/>
  <c r="ED214" i="6"/>
  <c r="EC214" i="6"/>
  <c r="EB214" i="6"/>
  <c r="EA214" i="6"/>
  <c r="DZ214" i="6"/>
  <c r="DY214" i="6"/>
  <c r="DX214" i="6"/>
  <c r="DW214" i="6"/>
  <c r="EH209" i="6"/>
  <c r="EG209" i="6"/>
  <c r="EF209" i="6"/>
  <c r="EE209" i="6"/>
  <c r="ED209" i="6"/>
  <c r="EC209" i="6"/>
  <c r="EB209" i="6"/>
  <c r="EA209" i="6"/>
  <c r="DZ209" i="6"/>
  <c r="DY209" i="6"/>
  <c r="DX209" i="6"/>
  <c r="DW209" i="6"/>
  <c r="EH205" i="6"/>
  <c r="EG205" i="6"/>
  <c r="EF205" i="6"/>
  <c r="EE205" i="6"/>
  <c r="ED205" i="6"/>
  <c r="EC205" i="6"/>
  <c r="EB205" i="6"/>
  <c r="EA205" i="6"/>
  <c r="DZ205" i="6"/>
  <c r="DY205" i="6"/>
  <c r="DX205" i="6"/>
  <c r="DW205" i="6"/>
  <c r="EH193" i="6"/>
  <c r="EG193" i="6"/>
  <c r="EF193" i="6"/>
  <c r="EE193" i="6"/>
  <c r="ED193" i="6"/>
  <c r="EC193" i="6"/>
  <c r="EB193" i="6"/>
  <c r="EA193" i="6"/>
  <c r="DZ193" i="6"/>
  <c r="DY193" i="6"/>
  <c r="DX193" i="6"/>
  <c r="DW193" i="6"/>
  <c r="EH187" i="6"/>
  <c r="EG187" i="6"/>
  <c r="EF187" i="6"/>
  <c r="EE187" i="6"/>
  <c r="ED187" i="6"/>
  <c r="EC187" i="6"/>
  <c r="EB187" i="6"/>
  <c r="EA187" i="6"/>
  <c r="DZ187" i="6"/>
  <c r="DY187" i="6"/>
  <c r="DX187" i="6"/>
  <c r="DW187" i="6"/>
  <c r="EH182" i="6"/>
  <c r="EG182" i="6"/>
  <c r="EF182" i="6"/>
  <c r="EE182" i="6"/>
  <c r="ED182" i="6"/>
  <c r="EC182" i="6"/>
  <c r="EB182" i="6"/>
  <c r="EA182" i="6"/>
  <c r="DZ182" i="6"/>
  <c r="DY182" i="6"/>
  <c r="DX182" i="6"/>
  <c r="DW182" i="6"/>
  <c r="EH178" i="6"/>
  <c r="EG178" i="6"/>
  <c r="EF178" i="6"/>
  <c r="EE178" i="6"/>
  <c r="ED178" i="6"/>
  <c r="EC178" i="6"/>
  <c r="EB178" i="6"/>
  <c r="EA178" i="6"/>
  <c r="DZ178" i="6"/>
  <c r="DY178" i="6"/>
  <c r="DX178" i="6"/>
  <c r="DW178" i="6"/>
  <c r="EH172" i="6"/>
  <c r="EG172" i="6"/>
  <c r="EF172" i="6"/>
  <c r="EE172" i="6"/>
  <c r="ED172" i="6"/>
  <c r="EC172" i="6"/>
  <c r="EB172" i="6"/>
  <c r="EA172" i="6"/>
  <c r="DZ172" i="6"/>
  <c r="DY172" i="6"/>
  <c r="DX172" i="6"/>
  <c r="DW172" i="6"/>
  <c r="EH164" i="6"/>
  <c r="EG164" i="6"/>
  <c r="EF164" i="6"/>
  <c r="EE164" i="6"/>
  <c r="ED164" i="6"/>
  <c r="EC164" i="6"/>
  <c r="EB164" i="6"/>
  <c r="EA164" i="6"/>
  <c r="DZ164" i="6"/>
  <c r="DY164" i="6"/>
  <c r="DX164" i="6"/>
  <c r="DW164" i="6"/>
  <c r="EH157" i="6"/>
  <c r="EG157" i="6"/>
  <c r="EF157" i="6"/>
  <c r="EE157" i="6"/>
  <c r="ED157" i="6"/>
  <c r="EC157" i="6"/>
  <c r="EB157" i="6"/>
  <c r="EA157" i="6"/>
  <c r="DZ157" i="6"/>
  <c r="DY157" i="6"/>
  <c r="DX157" i="6"/>
  <c r="DW157" i="6"/>
  <c r="EH150" i="6"/>
  <c r="EG150" i="6"/>
  <c r="EF150" i="6"/>
  <c r="EE150" i="6"/>
  <c r="ED150" i="6"/>
  <c r="EC150" i="6"/>
  <c r="EB150" i="6"/>
  <c r="EA150" i="6"/>
  <c r="DZ150" i="6"/>
  <c r="DY150" i="6"/>
  <c r="DX150" i="6"/>
  <c r="DW150" i="6"/>
  <c r="EH146" i="6"/>
  <c r="EG146" i="6"/>
  <c r="EF146" i="6"/>
  <c r="EE146" i="6"/>
  <c r="ED146" i="6"/>
  <c r="EC146" i="6"/>
  <c r="EB146" i="6"/>
  <c r="EA146" i="6"/>
  <c r="DZ146" i="6"/>
  <c r="DY146" i="6"/>
  <c r="DX146" i="6"/>
  <c r="DW146" i="6"/>
  <c r="EH138" i="6"/>
  <c r="EG138" i="6"/>
  <c r="EF138" i="6"/>
  <c r="EE138" i="6"/>
  <c r="ED138" i="6"/>
  <c r="EC138" i="6"/>
  <c r="EB138" i="6"/>
  <c r="EA138" i="6"/>
  <c r="DZ138" i="6"/>
  <c r="DY138" i="6"/>
  <c r="DX138" i="6"/>
  <c r="DW138" i="6"/>
  <c r="EH133" i="6"/>
  <c r="EG133" i="6"/>
  <c r="EF133" i="6"/>
  <c r="EE133" i="6"/>
  <c r="ED133" i="6"/>
  <c r="EC133" i="6"/>
  <c r="EB133" i="6"/>
  <c r="EA133" i="6"/>
  <c r="DZ133" i="6"/>
  <c r="DY133" i="6"/>
  <c r="DX133" i="6"/>
  <c r="DW133" i="6"/>
  <c r="EH129" i="6"/>
  <c r="EG129" i="6"/>
  <c r="EF129" i="6"/>
  <c r="EE129" i="6"/>
  <c r="ED129" i="6"/>
  <c r="EC129" i="6"/>
  <c r="EB129" i="6"/>
  <c r="EA129" i="6"/>
  <c r="DZ129" i="6"/>
  <c r="DY129" i="6"/>
  <c r="DX129" i="6"/>
  <c r="DW129" i="6"/>
  <c r="EH116" i="6"/>
  <c r="EG116" i="6"/>
  <c r="EF116" i="6"/>
  <c r="EE116" i="6"/>
  <c r="ED116" i="6"/>
  <c r="EC116" i="6"/>
  <c r="EB116" i="6"/>
  <c r="EA116" i="6"/>
  <c r="DZ116" i="6"/>
  <c r="DY116" i="6"/>
  <c r="DX116" i="6"/>
  <c r="DW116" i="6"/>
  <c r="EH104" i="6"/>
  <c r="EG104" i="6"/>
  <c r="EF104" i="6"/>
  <c r="EE104" i="6"/>
  <c r="ED104" i="6"/>
  <c r="EC104" i="6"/>
  <c r="EB104" i="6"/>
  <c r="EA104" i="6"/>
  <c r="DZ104" i="6"/>
  <c r="DY104" i="6"/>
  <c r="DX104" i="6"/>
  <c r="DW104" i="6"/>
  <c r="EH90" i="6"/>
  <c r="EG90" i="6"/>
  <c r="EF90" i="6"/>
  <c r="EE90" i="6"/>
  <c r="ED90" i="6"/>
  <c r="EC90" i="6"/>
  <c r="EB90" i="6"/>
  <c r="EA90" i="6"/>
  <c r="DZ90" i="6"/>
  <c r="DY90" i="6"/>
  <c r="DX90" i="6"/>
  <c r="DW90" i="6"/>
  <c r="EH87" i="6"/>
  <c r="EG87" i="6"/>
  <c r="EF87" i="6"/>
  <c r="EE87" i="6"/>
  <c r="ED87" i="6"/>
  <c r="EC87" i="6"/>
  <c r="EB87" i="6"/>
  <c r="EA87" i="6"/>
  <c r="DZ87" i="6"/>
  <c r="DY87" i="6"/>
  <c r="DX87" i="6"/>
  <c r="DW87" i="6"/>
  <c r="EH76" i="6"/>
  <c r="EG76" i="6"/>
  <c r="EF76" i="6"/>
  <c r="EE76" i="6"/>
  <c r="ED76" i="6"/>
  <c r="EC76" i="6"/>
  <c r="EB76" i="6"/>
  <c r="EA76" i="6"/>
  <c r="DZ76" i="6"/>
  <c r="DY76" i="6"/>
  <c r="DX76" i="6"/>
  <c r="DW76" i="6"/>
  <c r="EH60" i="6"/>
  <c r="EG60" i="6"/>
  <c r="EF60" i="6"/>
  <c r="EE60" i="6"/>
  <c r="ED60" i="6"/>
  <c r="EC60" i="6"/>
  <c r="EB60" i="6"/>
  <c r="EA60" i="6"/>
  <c r="DZ60" i="6"/>
  <c r="DY60" i="6"/>
  <c r="DX60" i="6"/>
  <c r="DW60" i="6"/>
  <c r="EH57" i="6"/>
  <c r="EG57" i="6"/>
  <c r="EF57" i="6"/>
  <c r="EE57" i="6"/>
  <c r="ED57" i="6"/>
  <c r="EC57" i="6"/>
  <c r="EB57" i="6"/>
  <c r="EA57" i="6"/>
  <c r="DZ57" i="6"/>
  <c r="DY57" i="6"/>
  <c r="DX57" i="6"/>
  <c r="DW57" i="6"/>
  <c r="EH54" i="6"/>
  <c r="EG54" i="6"/>
  <c r="EF54" i="6"/>
  <c r="EE54" i="6"/>
  <c r="ED54" i="6"/>
  <c r="EC54" i="6"/>
  <c r="EB54" i="6"/>
  <c r="EA54" i="6"/>
  <c r="DZ54" i="6"/>
  <c r="DY54" i="6"/>
  <c r="DX54" i="6"/>
  <c r="DW54" i="6"/>
  <c r="EH38" i="6"/>
  <c r="EG38" i="6"/>
  <c r="EF38" i="6"/>
  <c r="EE38" i="6"/>
  <c r="ED38" i="6"/>
  <c r="EC38" i="6"/>
  <c r="EB38" i="6"/>
  <c r="EA38" i="6"/>
  <c r="DZ38" i="6"/>
  <c r="DY38" i="6"/>
  <c r="DX38" i="6"/>
  <c r="DW38" i="6"/>
  <c r="EH29" i="6"/>
  <c r="EG29" i="6"/>
  <c r="EF29" i="6"/>
  <c r="EE29" i="6"/>
  <c r="ED29" i="6"/>
  <c r="EC29" i="6"/>
  <c r="EB29" i="6"/>
  <c r="EA29" i="6"/>
  <c r="DZ29" i="6"/>
  <c r="DY29" i="6"/>
  <c r="DX29" i="6"/>
  <c r="DW29" i="6"/>
  <c r="EH27" i="6"/>
  <c r="EG27" i="6"/>
  <c r="EF27" i="6"/>
  <c r="EE27" i="6"/>
  <c r="ED27" i="6"/>
  <c r="EC27" i="6"/>
  <c r="EB27" i="6"/>
  <c r="EA27" i="6"/>
  <c r="DZ27" i="6"/>
  <c r="DY27" i="6"/>
  <c r="DX27" i="6"/>
  <c r="DW27" i="6"/>
  <c r="EH13" i="6"/>
  <c r="EG13" i="6"/>
  <c r="EF13" i="6"/>
  <c r="EE13" i="6"/>
  <c r="ED13" i="6"/>
  <c r="EC13" i="6"/>
  <c r="EB13" i="6"/>
  <c r="EA13" i="6"/>
  <c r="DZ13" i="6"/>
  <c r="DY13" i="6"/>
  <c r="DX13" i="6"/>
  <c r="DW13" i="6"/>
  <c r="EH8" i="6"/>
  <c r="EG8" i="6"/>
  <c r="EF8" i="6"/>
  <c r="EE8" i="6"/>
  <c r="ED8" i="6"/>
  <c r="EC8" i="6"/>
  <c r="EB8" i="6"/>
  <c r="EA8" i="6"/>
  <c r="DZ8" i="6"/>
  <c r="DY8" i="6"/>
  <c r="DX8" i="6"/>
  <c r="DW8" i="6"/>
  <c r="DT236" i="6"/>
  <c r="DS236" i="6"/>
  <c r="DR236" i="6"/>
  <c r="DQ236" i="6"/>
  <c r="DP236" i="6"/>
  <c r="DO236" i="6"/>
  <c r="DN236" i="6"/>
  <c r="DM236" i="6"/>
  <c r="DL236" i="6"/>
  <c r="DK236" i="6"/>
  <c r="DJ236" i="6"/>
  <c r="DI236" i="6"/>
  <c r="DT54" i="6"/>
  <c r="DS54" i="6"/>
  <c r="DR54" i="6"/>
  <c r="DQ54" i="6"/>
  <c r="DP54" i="6"/>
  <c r="DO54" i="6"/>
  <c r="DN54" i="6"/>
  <c r="DM54" i="6"/>
  <c r="DL54" i="6"/>
  <c r="DK54" i="6"/>
  <c r="DJ54" i="6"/>
  <c r="DI54" i="6"/>
  <c r="DT27" i="6"/>
  <c r="DS27" i="6"/>
  <c r="DR27" i="6"/>
  <c r="DQ27" i="6"/>
  <c r="DP27" i="6"/>
  <c r="DO27" i="6"/>
  <c r="DN27" i="6"/>
  <c r="DM27" i="6"/>
  <c r="DL27" i="6"/>
  <c r="DK27" i="6"/>
  <c r="DJ27" i="6"/>
  <c r="DI27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T8" i="6"/>
  <c r="DS8" i="6"/>
  <c r="DR8" i="6"/>
  <c r="DQ8" i="6"/>
  <c r="DP8" i="6"/>
  <c r="DO8" i="6"/>
  <c r="DN8" i="6"/>
  <c r="DM8" i="6"/>
  <c r="DL8" i="6"/>
  <c r="DK8" i="6"/>
  <c r="DJ8" i="6"/>
  <c r="DI8" i="6"/>
  <c r="CR241" i="6"/>
  <c r="EB122" i="23" s="1"/>
  <c r="CQ241" i="6"/>
  <c r="EB123" i="23" s="1"/>
  <c r="CP241" i="6"/>
  <c r="EB124" i="23" s="1"/>
  <c r="CO241" i="6"/>
  <c r="EB125" i="23" s="1"/>
  <c r="CN241" i="6"/>
  <c r="EB126" i="23" s="1"/>
  <c r="CM241" i="6"/>
  <c r="EB127" i="23" s="1"/>
  <c r="CL241" i="6"/>
  <c r="EB128" i="23" s="1"/>
  <c r="CK241" i="6"/>
  <c r="EB129" i="23" s="1"/>
  <c r="CJ241" i="6"/>
  <c r="EB130" i="23" s="1"/>
  <c r="CI241" i="6"/>
  <c r="EB131" i="23" s="1"/>
  <c r="CH241" i="6"/>
  <c r="EB132" i="23" s="1"/>
  <c r="CG241" i="6"/>
  <c r="EB133" i="23" s="1"/>
  <c r="CR236" i="6"/>
  <c r="CQ236" i="6"/>
  <c r="CP236" i="6"/>
  <c r="CO236" i="6"/>
  <c r="CN236" i="6"/>
  <c r="CM236" i="6"/>
  <c r="CL236" i="6"/>
  <c r="CK236" i="6"/>
  <c r="CJ236" i="6"/>
  <c r="CI236" i="6"/>
  <c r="CH236" i="6"/>
  <c r="CG236" i="6"/>
  <c r="CR227" i="6"/>
  <c r="CQ227" i="6"/>
  <c r="CP227" i="6"/>
  <c r="CO227" i="6"/>
  <c r="CN227" i="6"/>
  <c r="CM227" i="6"/>
  <c r="CL227" i="6"/>
  <c r="CK227" i="6"/>
  <c r="CJ227" i="6"/>
  <c r="CI227" i="6"/>
  <c r="CH227" i="6"/>
  <c r="CG227" i="6"/>
  <c r="CR223" i="6"/>
  <c r="CQ223" i="6"/>
  <c r="CP223" i="6"/>
  <c r="CO223" i="6"/>
  <c r="CN223" i="6"/>
  <c r="CM223" i="6"/>
  <c r="CL223" i="6"/>
  <c r="CK223" i="6"/>
  <c r="CJ223" i="6"/>
  <c r="CI223" i="6"/>
  <c r="CH223" i="6"/>
  <c r="CG223" i="6"/>
  <c r="CR219" i="6"/>
  <c r="CQ219" i="6"/>
  <c r="CP219" i="6"/>
  <c r="CO219" i="6"/>
  <c r="CN219" i="6"/>
  <c r="CM219" i="6"/>
  <c r="CL219" i="6"/>
  <c r="CK219" i="6"/>
  <c r="CJ219" i="6"/>
  <c r="CI219" i="6"/>
  <c r="CH219" i="6"/>
  <c r="CG219" i="6"/>
  <c r="CR214" i="6"/>
  <c r="CQ214" i="6"/>
  <c r="CP214" i="6"/>
  <c r="CO214" i="6"/>
  <c r="CN214" i="6"/>
  <c r="CM214" i="6"/>
  <c r="CL214" i="6"/>
  <c r="CK214" i="6"/>
  <c r="CJ214" i="6"/>
  <c r="CI214" i="6"/>
  <c r="CH214" i="6"/>
  <c r="CG214" i="6"/>
  <c r="CR209" i="6"/>
  <c r="CQ209" i="6"/>
  <c r="CP209" i="6"/>
  <c r="CO209" i="6"/>
  <c r="CN209" i="6"/>
  <c r="CM209" i="6"/>
  <c r="CL209" i="6"/>
  <c r="CK209" i="6"/>
  <c r="CJ209" i="6"/>
  <c r="CI209" i="6"/>
  <c r="CH209" i="6"/>
  <c r="CG209" i="6"/>
  <c r="CR205" i="6"/>
  <c r="CQ205" i="6"/>
  <c r="CP205" i="6"/>
  <c r="CO205" i="6"/>
  <c r="CN205" i="6"/>
  <c r="CM205" i="6"/>
  <c r="CL205" i="6"/>
  <c r="CK205" i="6"/>
  <c r="CJ205" i="6"/>
  <c r="CI205" i="6"/>
  <c r="CH205" i="6"/>
  <c r="CG205" i="6"/>
  <c r="CR193" i="6"/>
  <c r="CQ193" i="6"/>
  <c r="CP193" i="6"/>
  <c r="CO193" i="6"/>
  <c r="CN193" i="6"/>
  <c r="CM193" i="6"/>
  <c r="CL193" i="6"/>
  <c r="CK193" i="6"/>
  <c r="CJ193" i="6"/>
  <c r="CI193" i="6"/>
  <c r="CH193" i="6"/>
  <c r="CG193" i="6"/>
  <c r="CR187" i="6"/>
  <c r="CQ187" i="6"/>
  <c r="CP187" i="6"/>
  <c r="CO187" i="6"/>
  <c r="CN187" i="6"/>
  <c r="CM187" i="6"/>
  <c r="CL187" i="6"/>
  <c r="CK187" i="6"/>
  <c r="CJ187" i="6"/>
  <c r="CI187" i="6"/>
  <c r="CH187" i="6"/>
  <c r="CG187" i="6"/>
  <c r="CR182" i="6"/>
  <c r="CQ182" i="6"/>
  <c r="CP182" i="6"/>
  <c r="CO182" i="6"/>
  <c r="CN182" i="6"/>
  <c r="CM182" i="6"/>
  <c r="CL182" i="6"/>
  <c r="CK182" i="6"/>
  <c r="CJ182" i="6"/>
  <c r="CI182" i="6"/>
  <c r="CH182" i="6"/>
  <c r="CG182" i="6"/>
  <c r="CR178" i="6"/>
  <c r="CQ178" i="6"/>
  <c r="CP178" i="6"/>
  <c r="CO178" i="6"/>
  <c r="CN178" i="6"/>
  <c r="CM178" i="6"/>
  <c r="CL178" i="6"/>
  <c r="CK178" i="6"/>
  <c r="CJ178" i="6"/>
  <c r="CI178" i="6"/>
  <c r="CH178" i="6"/>
  <c r="CG178" i="6"/>
  <c r="CR172" i="6"/>
  <c r="CQ172" i="6"/>
  <c r="CP172" i="6"/>
  <c r="CO172" i="6"/>
  <c r="CN172" i="6"/>
  <c r="CM172" i="6"/>
  <c r="CL172" i="6"/>
  <c r="CK172" i="6"/>
  <c r="CJ172" i="6"/>
  <c r="CI172" i="6"/>
  <c r="CH172" i="6"/>
  <c r="CG172" i="6"/>
  <c r="CR164" i="6"/>
  <c r="CQ164" i="6"/>
  <c r="CP164" i="6"/>
  <c r="CO164" i="6"/>
  <c r="CN164" i="6"/>
  <c r="CM164" i="6"/>
  <c r="CL164" i="6"/>
  <c r="CK164" i="6"/>
  <c r="CJ164" i="6"/>
  <c r="CI164" i="6"/>
  <c r="CH164" i="6"/>
  <c r="CG164" i="6"/>
  <c r="CR157" i="6"/>
  <c r="CQ157" i="6"/>
  <c r="CP157" i="6"/>
  <c r="CO157" i="6"/>
  <c r="CN157" i="6"/>
  <c r="CM157" i="6"/>
  <c r="CL157" i="6"/>
  <c r="CK157" i="6"/>
  <c r="CJ157" i="6"/>
  <c r="CI157" i="6"/>
  <c r="CH157" i="6"/>
  <c r="CG157" i="6"/>
  <c r="CR150" i="6"/>
  <c r="CQ150" i="6"/>
  <c r="CP150" i="6"/>
  <c r="CO150" i="6"/>
  <c r="CN150" i="6"/>
  <c r="CM150" i="6"/>
  <c r="CL150" i="6"/>
  <c r="CK150" i="6"/>
  <c r="CJ150" i="6"/>
  <c r="CI150" i="6"/>
  <c r="CH150" i="6"/>
  <c r="CG150" i="6"/>
  <c r="CR146" i="6"/>
  <c r="CQ146" i="6"/>
  <c r="CP146" i="6"/>
  <c r="CO146" i="6"/>
  <c r="CN146" i="6"/>
  <c r="CM146" i="6"/>
  <c r="CL146" i="6"/>
  <c r="CK146" i="6"/>
  <c r="CJ146" i="6"/>
  <c r="CI146" i="6"/>
  <c r="CH146" i="6"/>
  <c r="CG146" i="6"/>
  <c r="CR138" i="6"/>
  <c r="CQ138" i="6"/>
  <c r="CP138" i="6"/>
  <c r="CO138" i="6"/>
  <c r="CN138" i="6"/>
  <c r="CM138" i="6"/>
  <c r="CL138" i="6"/>
  <c r="CK138" i="6"/>
  <c r="CJ138" i="6"/>
  <c r="CI138" i="6"/>
  <c r="CH138" i="6"/>
  <c r="CG138" i="6"/>
  <c r="CR133" i="6"/>
  <c r="CQ133" i="6"/>
  <c r="CP133" i="6"/>
  <c r="CO133" i="6"/>
  <c r="CN133" i="6"/>
  <c r="CM133" i="6"/>
  <c r="CL133" i="6"/>
  <c r="CK133" i="6"/>
  <c r="CJ133" i="6"/>
  <c r="CI133" i="6"/>
  <c r="CH133" i="6"/>
  <c r="CG133" i="6"/>
  <c r="CR129" i="6"/>
  <c r="CQ129" i="6"/>
  <c r="CP129" i="6"/>
  <c r="CO129" i="6"/>
  <c r="CN129" i="6"/>
  <c r="CM129" i="6"/>
  <c r="CL129" i="6"/>
  <c r="CK129" i="6"/>
  <c r="CJ129" i="6"/>
  <c r="CI129" i="6"/>
  <c r="CH129" i="6"/>
  <c r="CG129" i="6"/>
  <c r="CR116" i="6"/>
  <c r="CQ116" i="6"/>
  <c r="CP116" i="6"/>
  <c r="CO116" i="6"/>
  <c r="CN116" i="6"/>
  <c r="CM116" i="6"/>
  <c r="CL116" i="6"/>
  <c r="CK116" i="6"/>
  <c r="CJ116" i="6"/>
  <c r="CI116" i="6"/>
  <c r="CH116" i="6"/>
  <c r="CG116" i="6"/>
  <c r="CR104" i="6"/>
  <c r="CQ104" i="6"/>
  <c r="CP104" i="6"/>
  <c r="CO104" i="6"/>
  <c r="CN104" i="6"/>
  <c r="CM104" i="6"/>
  <c r="CL104" i="6"/>
  <c r="CK104" i="6"/>
  <c r="CJ104" i="6"/>
  <c r="CI104" i="6"/>
  <c r="CH104" i="6"/>
  <c r="CG104" i="6"/>
  <c r="CR90" i="6"/>
  <c r="CQ90" i="6"/>
  <c r="CP90" i="6"/>
  <c r="CO90" i="6"/>
  <c r="CN90" i="6"/>
  <c r="CM90" i="6"/>
  <c r="CL90" i="6"/>
  <c r="CK90" i="6"/>
  <c r="CJ90" i="6"/>
  <c r="CI90" i="6"/>
  <c r="CH90" i="6"/>
  <c r="CG90" i="6"/>
  <c r="CR87" i="6"/>
  <c r="CQ87" i="6"/>
  <c r="CP87" i="6"/>
  <c r="CO87" i="6"/>
  <c r="CN87" i="6"/>
  <c r="CM87" i="6"/>
  <c r="CL87" i="6"/>
  <c r="CK87" i="6"/>
  <c r="CJ87" i="6"/>
  <c r="CI87" i="6"/>
  <c r="CH87" i="6"/>
  <c r="CG87" i="6"/>
  <c r="CR76" i="6"/>
  <c r="CQ76" i="6"/>
  <c r="CP76" i="6"/>
  <c r="CO76" i="6"/>
  <c r="CN76" i="6"/>
  <c r="CM76" i="6"/>
  <c r="CL76" i="6"/>
  <c r="CK76" i="6"/>
  <c r="CJ76" i="6"/>
  <c r="CI76" i="6"/>
  <c r="CH76" i="6"/>
  <c r="CG76" i="6"/>
  <c r="CR60" i="6"/>
  <c r="CQ60" i="6"/>
  <c r="CP60" i="6"/>
  <c r="CO60" i="6"/>
  <c r="CN60" i="6"/>
  <c r="CM60" i="6"/>
  <c r="CL60" i="6"/>
  <c r="CK60" i="6"/>
  <c r="CJ60" i="6"/>
  <c r="CI60" i="6"/>
  <c r="CH60" i="6"/>
  <c r="CG60" i="6"/>
  <c r="CR57" i="6"/>
  <c r="CQ57" i="6"/>
  <c r="CP57" i="6"/>
  <c r="CO57" i="6"/>
  <c r="CN57" i="6"/>
  <c r="CM57" i="6"/>
  <c r="CL57" i="6"/>
  <c r="CK57" i="6"/>
  <c r="CJ57" i="6"/>
  <c r="CI57" i="6"/>
  <c r="CH57" i="6"/>
  <c r="CG57" i="6"/>
  <c r="CR54" i="6"/>
  <c r="CQ54" i="6"/>
  <c r="CP54" i="6"/>
  <c r="CO54" i="6"/>
  <c r="CN54" i="6"/>
  <c r="CM54" i="6"/>
  <c r="CL54" i="6"/>
  <c r="CK54" i="6"/>
  <c r="CJ54" i="6"/>
  <c r="CI54" i="6"/>
  <c r="CH54" i="6"/>
  <c r="CG54" i="6"/>
  <c r="CR38" i="6"/>
  <c r="F122" i="23" s="1"/>
  <c r="CQ38" i="6"/>
  <c r="F123" i="23" s="1"/>
  <c r="CP38" i="6"/>
  <c r="F124" i="23" s="1"/>
  <c r="CO38" i="6"/>
  <c r="F125" i="23" s="1"/>
  <c r="CN38" i="6"/>
  <c r="F126" i="23" s="1"/>
  <c r="CM38" i="6"/>
  <c r="F127" i="23" s="1"/>
  <c r="CL38" i="6"/>
  <c r="F128" i="23" s="1"/>
  <c r="CK38" i="6"/>
  <c r="F129" i="23" s="1"/>
  <c r="CJ38" i="6"/>
  <c r="F130" i="23" s="1"/>
  <c r="CI38" i="6"/>
  <c r="F131" i="23" s="1"/>
  <c r="CH38" i="6"/>
  <c r="F132" i="23" s="1"/>
  <c r="CG38" i="6"/>
  <c r="F133" i="23" s="1"/>
  <c r="CR29" i="6"/>
  <c r="CQ29" i="6"/>
  <c r="E123" i="23" s="1"/>
  <c r="D123" i="23" s="1"/>
  <c r="CP29" i="6"/>
  <c r="E124" i="23" s="1"/>
  <c r="D124" i="23" s="1"/>
  <c r="CO29" i="6"/>
  <c r="CN29" i="6"/>
  <c r="E126" i="23" s="1"/>
  <c r="D126" i="23" s="1"/>
  <c r="CM29" i="6"/>
  <c r="CL29" i="6"/>
  <c r="E128" i="23" s="1"/>
  <c r="D128" i="23" s="1"/>
  <c r="CK29" i="6"/>
  <c r="CJ29" i="6"/>
  <c r="E130" i="23" s="1"/>
  <c r="D130" i="23" s="1"/>
  <c r="CI29" i="6"/>
  <c r="CH29" i="6"/>
  <c r="E132" i="23" s="1"/>
  <c r="D132" i="23" s="1"/>
  <c r="CG29" i="6"/>
  <c r="CR27" i="6"/>
  <c r="CQ27" i="6"/>
  <c r="CP27" i="6"/>
  <c r="CO27" i="6"/>
  <c r="CN27" i="6"/>
  <c r="CM27" i="6"/>
  <c r="CL27" i="6"/>
  <c r="CK27" i="6"/>
  <c r="CJ27" i="6"/>
  <c r="CI27" i="6"/>
  <c r="CH27" i="6"/>
  <c r="CG27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R8" i="6"/>
  <c r="CQ8" i="6"/>
  <c r="CP8" i="6"/>
  <c r="CO8" i="6"/>
  <c r="CN8" i="6"/>
  <c r="CM8" i="6"/>
  <c r="CL8" i="6"/>
  <c r="CK8" i="6"/>
  <c r="CJ8" i="6"/>
  <c r="CI8" i="6"/>
  <c r="CH8" i="6"/>
  <c r="CG8" i="6"/>
  <c r="CD236" i="6"/>
  <c r="CC236" i="6"/>
  <c r="CB236" i="6"/>
  <c r="CA236" i="6"/>
  <c r="BZ236" i="6"/>
  <c r="BY236" i="6"/>
  <c r="BX236" i="6"/>
  <c r="BW236" i="6"/>
  <c r="BV236" i="6"/>
  <c r="BU236" i="6"/>
  <c r="BT236" i="6"/>
  <c r="BS236" i="6"/>
  <c r="CD54" i="6"/>
  <c r="CC54" i="6"/>
  <c r="CB54" i="6"/>
  <c r="CA54" i="6"/>
  <c r="BZ54" i="6"/>
  <c r="BY54" i="6"/>
  <c r="BX54" i="6"/>
  <c r="BW54" i="6"/>
  <c r="BV54" i="6"/>
  <c r="BU54" i="6"/>
  <c r="BT54" i="6"/>
  <c r="BS54" i="6"/>
  <c r="CD27" i="6"/>
  <c r="CC27" i="6"/>
  <c r="CB27" i="6"/>
  <c r="CA27" i="6"/>
  <c r="BZ27" i="6"/>
  <c r="BY27" i="6"/>
  <c r="BX27" i="6"/>
  <c r="BW27" i="6"/>
  <c r="BV27" i="6"/>
  <c r="BU27" i="6"/>
  <c r="BT27" i="6"/>
  <c r="BS27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CD8" i="6"/>
  <c r="CC8" i="6"/>
  <c r="CB8" i="6"/>
  <c r="CA8" i="6"/>
  <c r="BZ8" i="6"/>
  <c r="BY8" i="6"/>
  <c r="BX8" i="6"/>
  <c r="BW8" i="6"/>
  <c r="BV8" i="6"/>
  <c r="BU8" i="6"/>
  <c r="BT8" i="6"/>
  <c r="BS8" i="6"/>
  <c r="BB241" i="6"/>
  <c r="EB86" i="23" s="1"/>
  <c r="BA241" i="6"/>
  <c r="EB87" i="23" s="1"/>
  <c r="AZ241" i="6"/>
  <c r="EB88" i="23" s="1"/>
  <c r="AY241" i="6"/>
  <c r="EB89" i="23" s="1"/>
  <c r="AX241" i="6"/>
  <c r="EB90" i="23" s="1"/>
  <c r="AW241" i="6"/>
  <c r="EB91" i="23" s="1"/>
  <c r="AV241" i="6"/>
  <c r="EB92" i="23" s="1"/>
  <c r="AU241" i="6"/>
  <c r="EB93" i="23" s="1"/>
  <c r="AT241" i="6"/>
  <c r="EB94" i="23" s="1"/>
  <c r="AS241" i="6"/>
  <c r="EB95" i="23" s="1"/>
  <c r="AR241" i="6"/>
  <c r="EB96" i="23" s="1"/>
  <c r="AQ241" i="6"/>
  <c r="EB97" i="23" s="1"/>
  <c r="BB236" i="6"/>
  <c r="BA236" i="6"/>
  <c r="AZ236" i="6"/>
  <c r="AY236" i="6"/>
  <c r="AX236" i="6"/>
  <c r="AW236" i="6"/>
  <c r="AV236" i="6"/>
  <c r="AU236" i="6"/>
  <c r="AT236" i="6"/>
  <c r="AS236" i="6"/>
  <c r="AR236" i="6"/>
  <c r="AQ236" i="6"/>
  <c r="BB227" i="6"/>
  <c r="BA227" i="6"/>
  <c r="AZ227" i="6"/>
  <c r="AY227" i="6"/>
  <c r="AX227" i="6"/>
  <c r="AW227" i="6"/>
  <c r="AV227" i="6"/>
  <c r="AU227" i="6"/>
  <c r="AT227" i="6"/>
  <c r="AS227" i="6"/>
  <c r="AR227" i="6"/>
  <c r="AQ227" i="6"/>
  <c r="BB223" i="6"/>
  <c r="BA223" i="6"/>
  <c r="AZ223" i="6"/>
  <c r="AY223" i="6"/>
  <c r="AX223" i="6"/>
  <c r="AW223" i="6"/>
  <c r="AV223" i="6"/>
  <c r="AU223" i="6"/>
  <c r="AT223" i="6"/>
  <c r="AS223" i="6"/>
  <c r="AR223" i="6"/>
  <c r="AQ223" i="6"/>
  <c r="BB219" i="6"/>
  <c r="BA219" i="6"/>
  <c r="AZ219" i="6"/>
  <c r="AY219" i="6"/>
  <c r="AX219" i="6"/>
  <c r="AW219" i="6"/>
  <c r="AV219" i="6"/>
  <c r="AU219" i="6"/>
  <c r="AT219" i="6"/>
  <c r="AS219" i="6"/>
  <c r="AR219" i="6"/>
  <c r="AQ219" i="6"/>
  <c r="BB214" i="6"/>
  <c r="BA214" i="6"/>
  <c r="AZ214" i="6"/>
  <c r="AY214" i="6"/>
  <c r="AX214" i="6"/>
  <c r="AW214" i="6"/>
  <c r="AV214" i="6"/>
  <c r="AU214" i="6"/>
  <c r="AT214" i="6"/>
  <c r="AS214" i="6"/>
  <c r="AR214" i="6"/>
  <c r="AQ214" i="6"/>
  <c r="BB209" i="6"/>
  <c r="BA209" i="6"/>
  <c r="AZ209" i="6"/>
  <c r="AY209" i="6"/>
  <c r="AX209" i="6"/>
  <c r="AW209" i="6"/>
  <c r="AV209" i="6"/>
  <c r="AU209" i="6"/>
  <c r="AT209" i="6"/>
  <c r="AS209" i="6"/>
  <c r="AR209" i="6"/>
  <c r="AQ209" i="6"/>
  <c r="BB205" i="6"/>
  <c r="BA205" i="6"/>
  <c r="AZ205" i="6"/>
  <c r="AY205" i="6"/>
  <c r="AX205" i="6"/>
  <c r="AW205" i="6"/>
  <c r="AV205" i="6"/>
  <c r="AU205" i="6"/>
  <c r="AT205" i="6"/>
  <c r="AS205" i="6"/>
  <c r="AR205" i="6"/>
  <c r="AQ205" i="6"/>
  <c r="BB193" i="6"/>
  <c r="BA193" i="6"/>
  <c r="AZ193" i="6"/>
  <c r="AY193" i="6"/>
  <c r="AX193" i="6"/>
  <c r="AW193" i="6"/>
  <c r="AV193" i="6"/>
  <c r="AU193" i="6"/>
  <c r="AT193" i="6"/>
  <c r="AS193" i="6"/>
  <c r="AR193" i="6"/>
  <c r="AQ193" i="6"/>
  <c r="BB187" i="6"/>
  <c r="BA187" i="6"/>
  <c r="AZ187" i="6"/>
  <c r="AY187" i="6"/>
  <c r="AX187" i="6"/>
  <c r="AW187" i="6"/>
  <c r="AV187" i="6"/>
  <c r="AU187" i="6"/>
  <c r="AT187" i="6"/>
  <c r="AS187" i="6"/>
  <c r="AR187" i="6"/>
  <c r="AQ187" i="6"/>
  <c r="BB182" i="6"/>
  <c r="BA182" i="6"/>
  <c r="AZ182" i="6"/>
  <c r="AY182" i="6"/>
  <c r="AX182" i="6"/>
  <c r="AW182" i="6"/>
  <c r="AV182" i="6"/>
  <c r="AU182" i="6"/>
  <c r="AT182" i="6"/>
  <c r="AS182" i="6"/>
  <c r="AR182" i="6"/>
  <c r="AQ182" i="6"/>
  <c r="BB178" i="6"/>
  <c r="BA178" i="6"/>
  <c r="AZ178" i="6"/>
  <c r="AY178" i="6"/>
  <c r="AX178" i="6"/>
  <c r="AW178" i="6"/>
  <c r="AV178" i="6"/>
  <c r="AU178" i="6"/>
  <c r="AT178" i="6"/>
  <c r="AS178" i="6"/>
  <c r="AR178" i="6"/>
  <c r="AQ178" i="6"/>
  <c r="BB172" i="6"/>
  <c r="BA172" i="6"/>
  <c r="AZ172" i="6"/>
  <c r="AY172" i="6"/>
  <c r="AX172" i="6"/>
  <c r="AW172" i="6"/>
  <c r="AV172" i="6"/>
  <c r="AU172" i="6"/>
  <c r="AT172" i="6"/>
  <c r="AS172" i="6"/>
  <c r="AR172" i="6"/>
  <c r="AQ172" i="6"/>
  <c r="BB164" i="6"/>
  <c r="BA164" i="6"/>
  <c r="AZ164" i="6"/>
  <c r="AY164" i="6"/>
  <c r="AX164" i="6"/>
  <c r="AW164" i="6"/>
  <c r="AV164" i="6"/>
  <c r="AU164" i="6"/>
  <c r="AT164" i="6"/>
  <c r="AS164" i="6"/>
  <c r="AR164" i="6"/>
  <c r="AQ164" i="6"/>
  <c r="BB157" i="6"/>
  <c r="BA157" i="6"/>
  <c r="AZ157" i="6"/>
  <c r="AY157" i="6"/>
  <c r="AX157" i="6"/>
  <c r="AW157" i="6"/>
  <c r="AV157" i="6"/>
  <c r="AU157" i="6"/>
  <c r="AT157" i="6"/>
  <c r="AS157" i="6"/>
  <c r="AR157" i="6"/>
  <c r="AQ157" i="6"/>
  <c r="BB150" i="6"/>
  <c r="BA150" i="6"/>
  <c r="AZ150" i="6"/>
  <c r="AY150" i="6"/>
  <c r="AX150" i="6"/>
  <c r="AW150" i="6"/>
  <c r="AV150" i="6"/>
  <c r="AU150" i="6"/>
  <c r="AT150" i="6"/>
  <c r="AS150" i="6"/>
  <c r="AR150" i="6"/>
  <c r="AQ150" i="6"/>
  <c r="BB146" i="6"/>
  <c r="BA146" i="6"/>
  <c r="AZ146" i="6"/>
  <c r="AY146" i="6"/>
  <c r="AX146" i="6"/>
  <c r="AW146" i="6"/>
  <c r="AV146" i="6"/>
  <c r="AU146" i="6"/>
  <c r="AT146" i="6"/>
  <c r="AS146" i="6"/>
  <c r="AR146" i="6"/>
  <c r="AQ146" i="6"/>
  <c r="BB138" i="6"/>
  <c r="BA138" i="6"/>
  <c r="AZ138" i="6"/>
  <c r="AY138" i="6"/>
  <c r="AX138" i="6"/>
  <c r="AW138" i="6"/>
  <c r="AV138" i="6"/>
  <c r="AU138" i="6"/>
  <c r="AT138" i="6"/>
  <c r="AS138" i="6"/>
  <c r="AR138" i="6"/>
  <c r="AQ138" i="6"/>
  <c r="BB133" i="6"/>
  <c r="BA133" i="6"/>
  <c r="AZ133" i="6"/>
  <c r="AY133" i="6"/>
  <c r="AX133" i="6"/>
  <c r="AW133" i="6"/>
  <c r="AV133" i="6"/>
  <c r="AU133" i="6"/>
  <c r="AT133" i="6"/>
  <c r="AS133" i="6"/>
  <c r="AR133" i="6"/>
  <c r="AQ133" i="6"/>
  <c r="BB129" i="6"/>
  <c r="BA129" i="6"/>
  <c r="AZ129" i="6"/>
  <c r="AY129" i="6"/>
  <c r="AX129" i="6"/>
  <c r="AW129" i="6"/>
  <c r="AV129" i="6"/>
  <c r="AU129" i="6"/>
  <c r="AT129" i="6"/>
  <c r="AS129" i="6"/>
  <c r="AR129" i="6"/>
  <c r="AQ129" i="6"/>
  <c r="BB116" i="6"/>
  <c r="BA116" i="6"/>
  <c r="AZ116" i="6"/>
  <c r="AY116" i="6"/>
  <c r="AX116" i="6"/>
  <c r="AW116" i="6"/>
  <c r="AV116" i="6"/>
  <c r="AU116" i="6"/>
  <c r="AT116" i="6"/>
  <c r="AS116" i="6"/>
  <c r="AR116" i="6"/>
  <c r="AQ116" i="6"/>
  <c r="BB104" i="6"/>
  <c r="BA104" i="6"/>
  <c r="AZ104" i="6"/>
  <c r="AY104" i="6"/>
  <c r="AX104" i="6"/>
  <c r="AW104" i="6"/>
  <c r="AV104" i="6"/>
  <c r="AU104" i="6"/>
  <c r="AT104" i="6"/>
  <c r="AS104" i="6"/>
  <c r="AR104" i="6"/>
  <c r="AQ104" i="6"/>
  <c r="BB90" i="6"/>
  <c r="BA90" i="6"/>
  <c r="AZ90" i="6"/>
  <c r="AY90" i="6"/>
  <c r="AX90" i="6"/>
  <c r="AW90" i="6"/>
  <c r="AV90" i="6"/>
  <c r="AU90" i="6"/>
  <c r="AT90" i="6"/>
  <c r="AS90" i="6"/>
  <c r="AR90" i="6"/>
  <c r="AQ90" i="6"/>
  <c r="BB87" i="6"/>
  <c r="BA87" i="6"/>
  <c r="AZ87" i="6"/>
  <c r="AY87" i="6"/>
  <c r="AX87" i="6"/>
  <c r="AW87" i="6"/>
  <c r="AV87" i="6"/>
  <c r="AU87" i="6"/>
  <c r="AT87" i="6"/>
  <c r="AS87" i="6"/>
  <c r="AR87" i="6"/>
  <c r="AQ87" i="6"/>
  <c r="BB76" i="6"/>
  <c r="BA76" i="6"/>
  <c r="AZ76" i="6"/>
  <c r="AY76" i="6"/>
  <c r="AX76" i="6"/>
  <c r="AW76" i="6"/>
  <c r="AV76" i="6"/>
  <c r="AU76" i="6"/>
  <c r="AT76" i="6"/>
  <c r="AS76" i="6"/>
  <c r="AR76" i="6"/>
  <c r="AQ76" i="6"/>
  <c r="BB60" i="6"/>
  <c r="BA60" i="6"/>
  <c r="AZ60" i="6"/>
  <c r="AY60" i="6"/>
  <c r="AX60" i="6"/>
  <c r="AW60" i="6"/>
  <c r="AV60" i="6"/>
  <c r="AU60" i="6"/>
  <c r="AT60" i="6"/>
  <c r="AS60" i="6"/>
  <c r="AR60" i="6"/>
  <c r="AQ60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BB38" i="6"/>
  <c r="F86" i="23" s="1"/>
  <c r="BA38" i="6"/>
  <c r="F87" i="23" s="1"/>
  <c r="AZ38" i="6"/>
  <c r="F88" i="23" s="1"/>
  <c r="AY38" i="6"/>
  <c r="F89" i="23" s="1"/>
  <c r="AX38" i="6"/>
  <c r="F90" i="23" s="1"/>
  <c r="AW38" i="6"/>
  <c r="F91" i="23" s="1"/>
  <c r="AV38" i="6"/>
  <c r="F92" i="23" s="1"/>
  <c r="AU38" i="6"/>
  <c r="F93" i="23" s="1"/>
  <c r="AT38" i="6"/>
  <c r="F94" i="23" s="1"/>
  <c r="AS38" i="6"/>
  <c r="F95" i="23" s="1"/>
  <c r="AR38" i="6"/>
  <c r="F96" i="23" s="1"/>
  <c r="AQ38" i="6"/>
  <c r="F97" i="23" s="1"/>
  <c r="BB29" i="6"/>
  <c r="BA29" i="6"/>
  <c r="E87" i="23" s="1"/>
  <c r="D87" i="23" s="1"/>
  <c r="AZ29" i="6"/>
  <c r="E88" i="23" s="1"/>
  <c r="D88" i="23" s="1"/>
  <c r="AY29" i="6"/>
  <c r="E89" i="23" s="1"/>
  <c r="D89" i="23" s="1"/>
  <c r="AX29" i="6"/>
  <c r="E90" i="23" s="1"/>
  <c r="D90" i="23" s="1"/>
  <c r="AW29" i="6"/>
  <c r="AV29" i="6"/>
  <c r="E92" i="23" s="1"/>
  <c r="D92" i="23" s="1"/>
  <c r="AU29" i="6"/>
  <c r="E93" i="23" s="1"/>
  <c r="D93" i="23" s="1"/>
  <c r="AT29" i="6"/>
  <c r="AS29" i="6"/>
  <c r="AR29" i="6"/>
  <c r="AQ29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BB8" i="6"/>
  <c r="BA8" i="6"/>
  <c r="AZ8" i="6"/>
  <c r="AY8" i="6"/>
  <c r="AX8" i="6"/>
  <c r="AW8" i="6"/>
  <c r="AV8" i="6"/>
  <c r="AU8" i="6"/>
  <c r="AT8" i="6"/>
  <c r="AS8" i="6"/>
  <c r="AR8" i="6"/>
  <c r="AQ8" i="6"/>
  <c r="FJ236" i="7"/>
  <c r="FI236" i="7"/>
  <c r="FH236" i="7"/>
  <c r="FG236" i="7"/>
  <c r="FF236" i="7"/>
  <c r="FE236" i="7"/>
  <c r="FD236" i="7"/>
  <c r="FC236" i="7"/>
  <c r="FB236" i="7"/>
  <c r="FA236" i="7"/>
  <c r="EZ236" i="7"/>
  <c r="EY236" i="7"/>
  <c r="FJ227" i="7"/>
  <c r="FI227" i="7"/>
  <c r="FH227" i="7"/>
  <c r="FG227" i="7"/>
  <c r="FF227" i="7"/>
  <c r="FE227" i="7"/>
  <c r="FD227" i="7"/>
  <c r="FC227" i="7"/>
  <c r="FB227" i="7"/>
  <c r="FA227" i="7"/>
  <c r="EZ227" i="7"/>
  <c r="EY227" i="7"/>
  <c r="FJ219" i="7"/>
  <c r="FI219" i="7"/>
  <c r="FH219" i="7"/>
  <c r="FG219" i="7"/>
  <c r="FF219" i="7"/>
  <c r="FE219" i="7"/>
  <c r="FD219" i="7"/>
  <c r="FC219" i="7"/>
  <c r="FB219" i="7"/>
  <c r="FA219" i="7"/>
  <c r="EZ219" i="7"/>
  <c r="EY219" i="7"/>
  <c r="FJ57" i="7"/>
  <c r="FI57" i="7"/>
  <c r="FH57" i="7"/>
  <c r="FG57" i="7"/>
  <c r="FF57" i="7"/>
  <c r="FE57" i="7"/>
  <c r="FD57" i="7"/>
  <c r="FC57" i="7"/>
  <c r="FB57" i="7"/>
  <c r="FA57" i="7"/>
  <c r="EZ57" i="7"/>
  <c r="EY57" i="7"/>
  <c r="FJ54" i="7"/>
  <c r="FI54" i="7"/>
  <c r="FH54" i="7"/>
  <c r="FG54" i="7"/>
  <c r="FF54" i="7"/>
  <c r="FE54" i="7"/>
  <c r="FD54" i="7"/>
  <c r="FC54" i="7"/>
  <c r="FB54" i="7"/>
  <c r="FA54" i="7"/>
  <c r="EZ54" i="7"/>
  <c r="EY54" i="7"/>
  <c r="FJ27" i="7"/>
  <c r="FI27" i="7"/>
  <c r="FH27" i="7"/>
  <c r="FG27" i="7"/>
  <c r="FF27" i="7"/>
  <c r="FE27" i="7"/>
  <c r="FD27" i="7"/>
  <c r="FC27" i="7"/>
  <c r="FB27" i="7"/>
  <c r="FA27" i="7"/>
  <c r="EZ27" i="7"/>
  <c r="EY27" i="7"/>
  <c r="FJ13" i="7"/>
  <c r="FI13" i="7"/>
  <c r="FH13" i="7"/>
  <c r="FG13" i="7"/>
  <c r="FF13" i="7"/>
  <c r="FE13" i="7"/>
  <c r="FD13" i="7"/>
  <c r="FC13" i="7"/>
  <c r="FB13" i="7"/>
  <c r="FA13" i="7"/>
  <c r="EZ13" i="7"/>
  <c r="EY13" i="7"/>
  <c r="FJ8" i="7"/>
  <c r="FI8" i="7"/>
  <c r="FH8" i="7"/>
  <c r="FG8" i="7"/>
  <c r="FF8" i="7"/>
  <c r="FE8" i="7"/>
  <c r="FD8" i="7"/>
  <c r="FC8" i="7"/>
  <c r="FB8" i="7"/>
  <c r="FA8" i="7"/>
  <c r="EZ8" i="7"/>
  <c r="EY8" i="7"/>
  <c r="EH241" i="7"/>
  <c r="EG241" i="7"/>
  <c r="EF241" i="7"/>
  <c r="EE241" i="7"/>
  <c r="ED241" i="7"/>
  <c r="EC241" i="7"/>
  <c r="EB241" i="7"/>
  <c r="EA241" i="7"/>
  <c r="DZ241" i="7"/>
  <c r="DY241" i="7"/>
  <c r="DX241" i="7"/>
  <c r="DW241" i="7"/>
  <c r="EH236" i="7"/>
  <c r="EG236" i="7"/>
  <c r="EF236" i="7"/>
  <c r="EE236" i="7"/>
  <c r="ED236" i="7"/>
  <c r="EC236" i="7"/>
  <c r="EB236" i="7"/>
  <c r="EA236" i="7"/>
  <c r="DZ236" i="7"/>
  <c r="DY236" i="7"/>
  <c r="DX236" i="7"/>
  <c r="DW236" i="7"/>
  <c r="EH227" i="7"/>
  <c r="EG227" i="7"/>
  <c r="EF227" i="7"/>
  <c r="EE227" i="7"/>
  <c r="ED227" i="7"/>
  <c r="EC227" i="7"/>
  <c r="EB227" i="7"/>
  <c r="EA227" i="7"/>
  <c r="DZ227" i="7"/>
  <c r="DY227" i="7"/>
  <c r="DX227" i="7"/>
  <c r="DW227" i="7"/>
  <c r="EH223" i="7"/>
  <c r="EG223" i="7"/>
  <c r="EF223" i="7"/>
  <c r="EE223" i="7"/>
  <c r="ED223" i="7"/>
  <c r="EC223" i="7"/>
  <c r="EB223" i="7"/>
  <c r="EA223" i="7"/>
  <c r="DZ223" i="7"/>
  <c r="DY223" i="7"/>
  <c r="DX223" i="7"/>
  <c r="DW223" i="7"/>
  <c r="EH219" i="7"/>
  <c r="EG219" i="7"/>
  <c r="EF219" i="7"/>
  <c r="EE219" i="7"/>
  <c r="ED219" i="7"/>
  <c r="EC219" i="7"/>
  <c r="EB219" i="7"/>
  <c r="EA219" i="7"/>
  <c r="DZ219" i="7"/>
  <c r="DY219" i="7"/>
  <c r="DX219" i="7"/>
  <c r="DW219" i="7"/>
  <c r="EH214" i="7"/>
  <c r="EG214" i="7"/>
  <c r="EF214" i="7"/>
  <c r="EE214" i="7"/>
  <c r="ED214" i="7"/>
  <c r="EC214" i="7"/>
  <c r="EB214" i="7"/>
  <c r="EA214" i="7"/>
  <c r="DZ214" i="7"/>
  <c r="DY214" i="7"/>
  <c r="DX214" i="7"/>
  <c r="DW214" i="7"/>
  <c r="EH209" i="7"/>
  <c r="EG209" i="7"/>
  <c r="EF209" i="7"/>
  <c r="EE209" i="7"/>
  <c r="ED209" i="7"/>
  <c r="EC209" i="7"/>
  <c r="EB209" i="7"/>
  <c r="EA209" i="7"/>
  <c r="DZ209" i="7"/>
  <c r="DY209" i="7"/>
  <c r="DX209" i="7"/>
  <c r="DW209" i="7"/>
  <c r="EH205" i="7"/>
  <c r="EG205" i="7"/>
  <c r="EF205" i="7"/>
  <c r="EE205" i="7"/>
  <c r="ED205" i="7"/>
  <c r="EC205" i="7"/>
  <c r="EB205" i="7"/>
  <c r="EA205" i="7"/>
  <c r="DZ205" i="7"/>
  <c r="DY205" i="7"/>
  <c r="DX205" i="7"/>
  <c r="DW205" i="7"/>
  <c r="EH193" i="7"/>
  <c r="EG193" i="7"/>
  <c r="EF193" i="7"/>
  <c r="EE193" i="7"/>
  <c r="ED193" i="7"/>
  <c r="EC193" i="7"/>
  <c r="EB193" i="7"/>
  <c r="EA193" i="7"/>
  <c r="DZ193" i="7"/>
  <c r="DY193" i="7"/>
  <c r="DX193" i="7"/>
  <c r="DW193" i="7"/>
  <c r="EH187" i="7"/>
  <c r="EG187" i="7"/>
  <c r="EF187" i="7"/>
  <c r="EE187" i="7"/>
  <c r="ED187" i="7"/>
  <c r="EC187" i="7"/>
  <c r="EB187" i="7"/>
  <c r="EA187" i="7"/>
  <c r="DZ187" i="7"/>
  <c r="DY187" i="7"/>
  <c r="DX187" i="7"/>
  <c r="DW187" i="7"/>
  <c r="EH182" i="7"/>
  <c r="EG182" i="7"/>
  <c r="EF182" i="7"/>
  <c r="EE182" i="7"/>
  <c r="ED182" i="7"/>
  <c r="EC182" i="7"/>
  <c r="EB182" i="7"/>
  <c r="EA182" i="7"/>
  <c r="DZ182" i="7"/>
  <c r="DY182" i="7"/>
  <c r="DX182" i="7"/>
  <c r="DW182" i="7"/>
  <c r="EH178" i="7"/>
  <c r="EG178" i="7"/>
  <c r="EF178" i="7"/>
  <c r="EE178" i="7"/>
  <c r="ED178" i="7"/>
  <c r="EC178" i="7"/>
  <c r="EB178" i="7"/>
  <c r="EA178" i="7"/>
  <c r="DZ178" i="7"/>
  <c r="DY178" i="7"/>
  <c r="DX178" i="7"/>
  <c r="DW178" i="7"/>
  <c r="EH172" i="7"/>
  <c r="EG172" i="7"/>
  <c r="EF172" i="7"/>
  <c r="EE172" i="7"/>
  <c r="ED172" i="7"/>
  <c r="EC172" i="7"/>
  <c r="EB172" i="7"/>
  <c r="EA172" i="7"/>
  <c r="DZ172" i="7"/>
  <c r="DY172" i="7"/>
  <c r="DX172" i="7"/>
  <c r="DW172" i="7"/>
  <c r="EH164" i="7"/>
  <c r="EG164" i="7"/>
  <c r="EF164" i="7"/>
  <c r="EE164" i="7"/>
  <c r="ED164" i="7"/>
  <c r="EC164" i="7"/>
  <c r="EB164" i="7"/>
  <c r="EA164" i="7"/>
  <c r="DZ164" i="7"/>
  <c r="DY164" i="7"/>
  <c r="DX164" i="7"/>
  <c r="DW164" i="7"/>
  <c r="EH157" i="7"/>
  <c r="EG157" i="7"/>
  <c r="EF157" i="7"/>
  <c r="EE157" i="7"/>
  <c r="ED157" i="7"/>
  <c r="EC157" i="7"/>
  <c r="EB157" i="7"/>
  <c r="EA157" i="7"/>
  <c r="DZ157" i="7"/>
  <c r="DY157" i="7"/>
  <c r="DX157" i="7"/>
  <c r="DW157" i="7"/>
  <c r="EH150" i="7"/>
  <c r="EG150" i="7"/>
  <c r="EF150" i="7"/>
  <c r="EE150" i="7"/>
  <c r="ED150" i="7"/>
  <c r="EC150" i="7"/>
  <c r="EB150" i="7"/>
  <c r="EA150" i="7"/>
  <c r="DZ150" i="7"/>
  <c r="DY150" i="7"/>
  <c r="DX150" i="7"/>
  <c r="DW150" i="7"/>
  <c r="EH146" i="7"/>
  <c r="EG146" i="7"/>
  <c r="EF146" i="7"/>
  <c r="EE146" i="7"/>
  <c r="ED146" i="7"/>
  <c r="EC146" i="7"/>
  <c r="EB146" i="7"/>
  <c r="EA146" i="7"/>
  <c r="DZ146" i="7"/>
  <c r="DY146" i="7"/>
  <c r="DX146" i="7"/>
  <c r="DW146" i="7"/>
  <c r="EH138" i="7"/>
  <c r="EG138" i="7"/>
  <c r="EF138" i="7"/>
  <c r="EE138" i="7"/>
  <c r="ED138" i="7"/>
  <c r="EC138" i="7"/>
  <c r="EB138" i="7"/>
  <c r="EA138" i="7"/>
  <c r="DZ138" i="7"/>
  <c r="DY138" i="7"/>
  <c r="DX138" i="7"/>
  <c r="DW138" i="7"/>
  <c r="EH133" i="7"/>
  <c r="EG133" i="7"/>
  <c r="EF133" i="7"/>
  <c r="EE133" i="7"/>
  <c r="ED133" i="7"/>
  <c r="EC133" i="7"/>
  <c r="EB133" i="7"/>
  <c r="EA133" i="7"/>
  <c r="DZ133" i="7"/>
  <c r="DY133" i="7"/>
  <c r="DX133" i="7"/>
  <c r="DW133" i="7"/>
  <c r="EH129" i="7"/>
  <c r="EG129" i="7"/>
  <c r="EF129" i="7"/>
  <c r="EE129" i="7"/>
  <c r="ED129" i="7"/>
  <c r="EC129" i="7"/>
  <c r="EB129" i="7"/>
  <c r="EA129" i="7"/>
  <c r="DZ129" i="7"/>
  <c r="DY129" i="7"/>
  <c r="DX129" i="7"/>
  <c r="DW129" i="7"/>
  <c r="EH116" i="7"/>
  <c r="EG116" i="7"/>
  <c r="EF116" i="7"/>
  <c r="EE116" i="7"/>
  <c r="ED116" i="7"/>
  <c r="EC116" i="7"/>
  <c r="EB116" i="7"/>
  <c r="EA116" i="7"/>
  <c r="DZ116" i="7"/>
  <c r="DY116" i="7"/>
  <c r="DX116" i="7"/>
  <c r="DW116" i="7"/>
  <c r="EH104" i="7"/>
  <c r="EG104" i="7"/>
  <c r="EF104" i="7"/>
  <c r="EE104" i="7"/>
  <c r="ED104" i="7"/>
  <c r="EC104" i="7"/>
  <c r="EB104" i="7"/>
  <c r="EA104" i="7"/>
  <c r="DZ104" i="7"/>
  <c r="DY104" i="7"/>
  <c r="DX104" i="7"/>
  <c r="DW104" i="7"/>
  <c r="EH90" i="7"/>
  <c r="EG90" i="7"/>
  <c r="EF90" i="7"/>
  <c r="EE90" i="7"/>
  <c r="ED90" i="7"/>
  <c r="EC90" i="7"/>
  <c r="EB90" i="7"/>
  <c r="EA90" i="7"/>
  <c r="DZ90" i="7"/>
  <c r="DY90" i="7"/>
  <c r="DX90" i="7"/>
  <c r="DW90" i="7"/>
  <c r="EH87" i="7"/>
  <c r="EG87" i="7"/>
  <c r="EF87" i="7"/>
  <c r="EE87" i="7"/>
  <c r="ED87" i="7"/>
  <c r="EC87" i="7"/>
  <c r="EB87" i="7"/>
  <c r="EA87" i="7"/>
  <c r="DZ87" i="7"/>
  <c r="DY87" i="7"/>
  <c r="DX87" i="7"/>
  <c r="DW87" i="7"/>
  <c r="EH76" i="7"/>
  <c r="EG76" i="7"/>
  <c r="EF76" i="7"/>
  <c r="EE76" i="7"/>
  <c r="ED76" i="7"/>
  <c r="EC76" i="7"/>
  <c r="EB76" i="7"/>
  <c r="EA76" i="7"/>
  <c r="DZ76" i="7"/>
  <c r="DY76" i="7"/>
  <c r="DX76" i="7"/>
  <c r="DW76" i="7"/>
  <c r="EH60" i="7"/>
  <c r="EG60" i="7"/>
  <c r="EF60" i="7"/>
  <c r="EE60" i="7"/>
  <c r="ED60" i="7"/>
  <c r="EC60" i="7"/>
  <c r="EB60" i="7"/>
  <c r="EA60" i="7"/>
  <c r="DZ60" i="7"/>
  <c r="DY60" i="7"/>
  <c r="DX60" i="7"/>
  <c r="DW60" i="7"/>
  <c r="EH57" i="7"/>
  <c r="EG57" i="7"/>
  <c r="EF57" i="7"/>
  <c r="EE57" i="7"/>
  <c r="ED57" i="7"/>
  <c r="EC57" i="7"/>
  <c r="EB57" i="7"/>
  <c r="EA57" i="7"/>
  <c r="DZ57" i="7"/>
  <c r="DY57" i="7"/>
  <c r="DX57" i="7"/>
  <c r="DW57" i="7"/>
  <c r="EH54" i="7"/>
  <c r="EG54" i="7"/>
  <c r="EF54" i="7"/>
  <c r="EE54" i="7"/>
  <c r="ED54" i="7"/>
  <c r="EC54" i="7"/>
  <c r="EB54" i="7"/>
  <c r="EA54" i="7"/>
  <c r="DZ54" i="7"/>
  <c r="DY54" i="7"/>
  <c r="DX54" i="7"/>
  <c r="DW54" i="7"/>
  <c r="EH38" i="7"/>
  <c r="EG38" i="7"/>
  <c r="EF38" i="7"/>
  <c r="EE38" i="7"/>
  <c r="ED38" i="7"/>
  <c r="EC38" i="7"/>
  <c r="EB38" i="7"/>
  <c r="EA38" i="7"/>
  <c r="DZ38" i="7"/>
  <c r="DY38" i="7"/>
  <c r="DX38" i="7"/>
  <c r="DW38" i="7"/>
  <c r="EH29" i="7"/>
  <c r="EG29" i="7"/>
  <c r="EF29" i="7"/>
  <c r="EE29" i="7"/>
  <c r="ED29" i="7"/>
  <c r="EC29" i="7"/>
  <c r="EB29" i="7"/>
  <c r="EA29" i="7"/>
  <c r="DZ29" i="7"/>
  <c r="DY29" i="7"/>
  <c r="DX29" i="7"/>
  <c r="DW29" i="7"/>
  <c r="EH27" i="7"/>
  <c r="EG27" i="7"/>
  <c r="EF27" i="7"/>
  <c r="EE27" i="7"/>
  <c r="ED27" i="7"/>
  <c r="EC27" i="7"/>
  <c r="EB27" i="7"/>
  <c r="EA27" i="7"/>
  <c r="DZ27" i="7"/>
  <c r="DY27" i="7"/>
  <c r="DX27" i="7"/>
  <c r="DW27" i="7"/>
  <c r="EH13" i="7"/>
  <c r="EG13" i="7"/>
  <c r="EF13" i="7"/>
  <c r="EE13" i="7"/>
  <c r="ED13" i="7"/>
  <c r="EC13" i="7"/>
  <c r="EB13" i="7"/>
  <c r="EA13" i="7"/>
  <c r="DZ13" i="7"/>
  <c r="DY13" i="7"/>
  <c r="DX13" i="7"/>
  <c r="DW13" i="7"/>
  <c r="EH8" i="7"/>
  <c r="EG8" i="7"/>
  <c r="EF8" i="7"/>
  <c r="EE8" i="7"/>
  <c r="ED8" i="7"/>
  <c r="EC8" i="7"/>
  <c r="EB8" i="7"/>
  <c r="EA8" i="7"/>
  <c r="DZ8" i="7"/>
  <c r="DY8" i="7"/>
  <c r="DX8" i="7"/>
  <c r="DW8" i="7"/>
  <c r="DT236" i="7"/>
  <c r="DS236" i="7"/>
  <c r="DR236" i="7"/>
  <c r="DQ236" i="7"/>
  <c r="DP236" i="7"/>
  <c r="DO236" i="7"/>
  <c r="DN236" i="7"/>
  <c r="DM236" i="7"/>
  <c r="DL236" i="7"/>
  <c r="DK236" i="7"/>
  <c r="DJ236" i="7"/>
  <c r="DI236" i="7"/>
  <c r="DT219" i="7"/>
  <c r="DS219" i="7"/>
  <c r="DR219" i="7"/>
  <c r="DQ219" i="7"/>
  <c r="DP219" i="7"/>
  <c r="DO219" i="7"/>
  <c r="DN219" i="7"/>
  <c r="DM219" i="7"/>
  <c r="DL219" i="7"/>
  <c r="DK219" i="7"/>
  <c r="DJ219" i="7"/>
  <c r="DI219" i="7"/>
  <c r="DT60" i="7"/>
  <c r="DS60" i="7"/>
  <c r="DR60" i="7"/>
  <c r="DQ60" i="7"/>
  <c r="DP60" i="7"/>
  <c r="DO60" i="7"/>
  <c r="DN60" i="7"/>
  <c r="DM60" i="7"/>
  <c r="DL60" i="7"/>
  <c r="DK60" i="7"/>
  <c r="DJ60" i="7"/>
  <c r="DI60" i="7"/>
  <c r="DT57" i="7"/>
  <c r="DS57" i="7"/>
  <c r="DR57" i="7"/>
  <c r="DQ57" i="7"/>
  <c r="DP57" i="7"/>
  <c r="DO57" i="7"/>
  <c r="DN57" i="7"/>
  <c r="DM57" i="7"/>
  <c r="DL57" i="7"/>
  <c r="DK57" i="7"/>
  <c r="DJ57" i="7"/>
  <c r="DI57" i="7"/>
  <c r="DT54" i="7"/>
  <c r="DS54" i="7"/>
  <c r="DR54" i="7"/>
  <c r="DQ54" i="7"/>
  <c r="DP54" i="7"/>
  <c r="DO54" i="7"/>
  <c r="DN54" i="7"/>
  <c r="DM54" i="7"/>
  <c r="DL54" i="7"/>
  <c r="DK54" i="7"/>
  <c r="DJ54" i="7"/>
  <c r="DI54" i="7"/>
  <c r="DT27" i="7"/>
  <c r="DS27" i="7"/>
  <c r="DR27" i="7"/>
  <c r="DQ27" i="7"/>
  <c r="DP27" i="7"/>
  <c r="DO27" i="7"/>
  <c r="DN27" i="7"/>
  <c r="DM27" i="7"/>
  <c r="DL27" i="7"/>
  <c r="DK27" i="7"/>
  <c r="DJ27" i="7"/>
  <c r="DI27" i="7"/>
  <c r="DT13" i="7"/>
  <c r="DS13" i="7"/>
  <c r="DR13" i="7"/>
  <c r="DQ13" i="7"/>
  <c r="DP13" i="7"/>
  <c r="DO13" i="7"/>
  <c r="DN13" i="7"/>
  <c r="DM13" i="7"/>
  <c r="DL13" i="7"/>
  <c r="DK13" i="7"/>
  <c r="DJ13" i="7"/>
  <c r="DI13" i="7"/>
  <c r="DT8" i="7"/>
  <c r="DS8" i="7"/>
  <c r="DR8" i="7"/>
  <c r="DQ8" i="7"/>
  <c r="DP8" i="7"/>
  <c r="DO8" i="7"/>
  <c r="DN8" i="7"/>
  <c r="DM8" i="7"/>
  <c r="DL8" i="7"/>
  <c r="DK8" i="7"/>
  <c r="DJ8" i="7"/>
  <c r="DI8" i="7"/>
  <c r="EV50" i="7"/>
  <c r="EU50" i="7"/>
  <c r="ET50" i="7"/>
  <c r="ES50" i="7"/>
  <c r="EX50" i="7" s="1"/>
  <c r="ER50" i="7"/>
  <c r="EQ50" i="7"/>
  <c r="EP50" i="7"/>
  <c r="EO50" i="7"/>
  <c r="EN50" i="7"/>
  <c r="EM50" i="7"/>
  <c r="EL50" i="7"/>
  <c r="EK50" i="7"/>
  <c r="EV30" i="7"/>
  <c r="EU30" i="7"/>
  <c r="ET30" i="7"/>
  <c r="ES30" i="7"/>
  <c r="ER30" i="7"/>
  <c r="EQ30" i="7"/>
  <c r="EP30" i="7"/>
  <c r="EO30" i="7"/>
  <c r="EN30" i="7"/>
  <c r="EM30" i="7"/>
  <c r="EL30" i="7"/>
  <c r="EK30" i="7"/>
  <c r="EV23" i="7"/>
  <c r="EU23" i="7"/>
  <c r="ET23" i="7"/>
  <c r="ES23" i="7"/>
  <c r="ER23" i="7"/>
  <c r="EQ23" i="7"/>
  <c r="EP23" i="7"/>
  <c r="EO23" i="7"/>
  <c r="EN23" i="7"/>
  <c r="EM23" i="7"/>
  <c r="EL23" i="7"/>
  <c r="EK23" i="7"/>
  <c r="EV18" i="7"/>
  <c r="EU18" i="7"/>
  <c r="ET18" i="7"/>
  <c r="ES18" i="7"/>
  <c r="ER18" i="7"/>
  <c r="EQ18" i="7"/>
  <c r="EP18" i="7"/>
  <c r="EO18" i="7"/>
  <c r="EN18" i="7"/>
  <c r="EM18" i="7"/>
  <c r="EL18" i="7"/>
  <c r="EK18" i="7"/>
  <c r="EV4" i="7"/>
  <c r="EU4" i="7"/>
  <c r="ET4" i="7"/>
  <c r="ES4" i="7"/>
  <c r="ER4" i="7"/>
  <c r="EQ4" i="7"/>
  <c r="EP4" i="7"/>
  <c r="EO4" i="7"/>
  <c r="EN4" i="7"/>
  <c r="EM4" i="7"/>
  <c r="EL4" i="7"/>
  <c r="EK4" i="7"/>
  <c r="EV239" i="7"/>
  <c r="EA254" i="23" s="1"/>
  <c r="EU239" i="7"/>
  <c r="EA255" i="23" s="1"/>
  <c r="ET239" i="7"/>
  <c r="EA256" i="23" s="1"/>
  <c r="ES239" i="7"/>
  <c r="ER239" i="7"/>
  <c r="EA258" i="23" s="1"/>
  <c r="EQ239" i="7"/>
  <c r="EA259" i="23" s="1"/>
  <c r="EP239" i="7"/>
  <c r="EA260" i="23" s="1"/>
  <c r="EO239" i="7"/>
  <c r="EA261" i="23" s="1"/>
  <c r="EN239" i="7"/>
  <c r="EA262" i="23" s="1"/>
  <c r="EM239" i="7"/>
  <c r="EA263" i="23" s="1"/>
  <c r="EL239" i="7"/>
  <c r="EA264" i="23" s="1"/>
  <c r="EK239" i="7"/>
  <c r="EA265" i="23" s="1"/>
  <c r="EV238" i="7"/>
  <c r="DZ254" i="23" s="1"/>
  <c r="EU238" i="7"/>
  <c r="DZ255" i="23" s="1"/>
  <c r="ET238" i="7"/>
  <c r="DZ256" i="23" s="1"/>
  <c r="ES238" i="7"/>
  <c r="ER238" i="7"/>
  <c r="DZ258" i="23" s="1"/>
  <c r="EQ238" i="7"/>
  <c r="DZ259" i="23" s="1"/>
  <c r="EP238" i="7"/>
  <c r="DZ260" i="23" s="1"/>
  <c r="EO238" i="7"/>
  <c r="DZ261" i="23" s="1"/>
  <c r="EN238" i="7"/>
  <c r="DZ262" i="23" s="1"/>
  <c r="EM238" i="7"/>
  <c r="DZ263" i="23" s="1"/>
  <c r="EL238" i="7"/>
  <c r="DZ264" i="23" s="1"/>
  <c r="EK238" i="7"/>
  <c r="DZ265" i="23" s="1"/>
  <c r="EV237" i="7"/>
  <c r="EU237" i="7"/>
  <c r="ET237" i="7"/>
  <c r="DY256" i="23" s="1"/>
  <c r="ES237" i="7"/>
  <c r="ER237" i="7"/>
  <c r="DY258" i="23" s="1"/>
  <c r="EQ237" i="7"/>
  <c r="DY259" i="23" s="1"/>
  <c r="EP237" i="7"/>
  <c r="DY260" i="23" s="1"/>
  <c r="EO237" i="7"/>
  <c r="DY261" i="23" s="1"/>
  <c r="EN237" i="7"/>
  <c r="DY262" i="23" s="1"/>
  <c r="EM237" i="7"/>
  <c r="DY263" i="23" s="1"/>
  <c r="EL237" i="7"/>
  <c r="DY264" i="23" s="1"/>
  <c r="EK237" i="7"/>
  <c r="DY265" i="23" s="1"/>
  <c r="EV37" i="7"/>
  <c r="EU37" i="7"/>
  <c r="ET37" i="7"/>
  <c r="ES37" i="7"/>
  <c r="EX37" i="7" s="1"/>
  <c r="ER37" i="7"/>
  <c r="EQ37" i="7"/>
  <c r="EP37" i="7"/>
  <c r="EO37" i="7"/>
  <c r="EN37" i="7"/>
  <c r="EM37" i="7"/>
  <c r="EL37" i="7"/>
  <c r="EK37" i="7"/>
  <c r="EV12" i="7"/>
  <c r="EU12" i="7"/>
  <c r="ET12" i="7"/>
  <c r="ES12" i="7"/>
  <c r="ER12" i="7"/>
  <c r="EQ12" i="7"/>
  <c r="EP12" i="7"/>
  <c r="EO12" i="7"/>
  <c r="EN12" i="7"/>
  <c r="EM12" i="7"/>
  <c r="EL12" i="7"/>
  <c r="EK12" i="7"/>
  <c r="EV11" i="7"/>
  <c r="EU11" i="7"/>
  <c r="ET11" i="7"/>
  <c r="ES11" i="7"/>
  <c r="ER11" i="7"/>
  <c r="EQ11" i="7"/>
  <c r="EP11" i="7"/>
  <c r="EO11" i="7"/>
  <c r="EN11" i="7"/>
  <c r="EM11" i="7"/>
  <c r="EL11" i="7"/>
  <c r="EK11" i="7"/>
  <c r="EV10" i="7"/>
  <c r="EU10" i="7"/>
  <c r="ET10" i="7"/>
  <c r="ES10" i="7"/>
  <c r="ER10" i="7"/>
  <c r="EQ10" i="7"/>
  <c r="EP10" i="7"/>
  <c r="EO10" i="7"/>
  <c r="EN10" i="7"/>
  <c r="EM10" i="7"/>
  <c r="EL10" i="7"/>
  <c r="EK10" i="7"/>
  <c r="EV9" i="7"/>
  <c r="EU9" i="7"/>
  <c r="ET9" i="7"/>
  <c r="ES9" i="7"/>
  <c r="ER9" i="7"/>
  <c r="EQ9" i="7"/>
  <c r="EP9" i="7"/>
  <c r="EO9" i="7"/>
  <c r="EN9" i="7"/>
  <c r="EM9" i="7"/>
  <c r="EL9" i="7"/>
  <c r="EK9" i="7"/>
  <c r="DF50" i="7"/>
  <c r="DE50" i="7"/>
  <c r="DD50" i="7"/>
  <c r="DH50" i="7" s="1"/>
  <c r="DC50" i="7"/>
  <c r="DB50" i="7"/>
  <c r="DA50" i="7"/>
  <c r="CZ50" i="7"/>
  <c r="CY50" i="7"/>
  <c r="CX50" i="7"/>
  <c r="CW50" i="7"/>
  <c r="CV50" i="7"/>
  <c r="CU50" i="7"/>
  <c r="DF30" i="7"/>
  <c r="DE30" i="7"/>
  <c r="DD30" i="7"/>
  <c r="DC30" i="7"/>
  <c r="DB30" i="7"/>
  <c r="DA30" i="7"/>
  <c r="CZ30" i="7"/>
  <c r="CY30" i="7"/>
  <c r="CX30" i="7"/>
  <c r="CW30" i="7"/>
  <c r="CV30" i="7"/>
  <c r="CU30" i="7"/>
  <c r="DF23" i="7"/>
  <c r="DE23" i="7"/>
  <c r="DD23" i="7"/>
  <c r="DC23" i="7"/>
  <c r="DB23" i="7"/>
  <c r="DA23" i="7"/>
  <c r="CZ23" i="7"/>
  <c r="CY23" i="7"/>
  <c r="CX23" i="7"/>
  <c r="CW23" i="7"/>
  <c r="CV23" i="7"/>
  <c r="CU23" i="7"/>
  <c r="DF18" i="7"/>
  <c r="DE18" i="7"/>
  <c r="DD18" i="7"/>
  <c r="DC18" i="7"/>
  <c r="DB18" i="7"/>
  <c r="DA18" i="7"/>
  <c r="CZ18" i="7"/>
  <c r="CY18" i="7"/>
  <c r="CX18" i="7"/>
  <c r="CW18" i="7"/>
  <c r="CV18" i="7"/>
  <c r="CU18" i="7"/>
  <c r="DF4" i="7"/>
  <c r="DE4" i="7"/>
  <c r="DD4" i="7"/>
  <c r="DC4" i="7"/>
  <c r="DB4" i="7"/>
  <c r="DA4" i="7"/>
  <c r="CZ4" i="7"/>
  <c r="CY4" i="7"/>
  <c r="CX4" i="7"/>
  <c r="CW4" i="7"/>
  <c r="CV4" i="7"/>
  <c r="CU4" i="7"/>
  <c r="BP50" i="7"/>
  <c r="BO50" i="7"/>
  <c r="BN50" i="7"/>
  <c r="BR50" i="7" s="1"/>
  <c r="BM50" i="7"/>
  <c r="BL50" i="7"/>
  <c r="BK50" i="7"/>
  <c r="BJ50" i="7"/>
  <c r="BI50" i="7"/>
  <c r="BH50" i="7"/>
  <c r="BG50" i="7"/>
  <c r="BF50" i="7"/>
  <c r="BE50" i="7"/>
  <c r="BP30" i="7"/>
  <c r="BO30" i="7"/>
  <c r="BN30" i="7"/>
  <c r="BM30" i="7"/>
  <c r="BL30" i="7"/>
  <c r="BK30" i="7"/>
  <c r="BJ30" i="7"/>
  <c r="BI30" i="7"/>
  <c r="BH30" i="7"/>
  <c r="BG30" i="7"/>
  <c r="BF30" i="7"/>
  <c r="BE30" i="7"/>
  <c r="BP23" i="7"/>
  <c r="BO23" i="7"/>
  <c r="BN23" i="7"/>
  <c r="BM23" i="7"/>
  <c r="BL23" i="7"/>
  <c r="BK23" i="7"/>
  <c r="BJ23" i="7"/>
  <c r="BI23" i="7"/>
  <c r="BH23" i="7"/>
  <c r="BG23" i="7"/>
  <c r="BF23" i="7"/>
  <c r="BE23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P4" i="7"/>
  <c r="BO4" i="7"/>
  <c r="BN4" i="7"/>
  <c r="BM4" i="7"/>
  <c r="BL4" i="7"/>
  <c r="BK4" i="7"/>
  <c r="BJ4" i="7"/>
  <c r="BI4" i="7"/>
  <c r="BH4" i="7"/>
  <c r="BG4" i="7"/>
  <c r="BF4" i="7"/>
  <c r="BE4" i="7"/>
  <c r="DF239" i="7"/>
  <c r="EA218" i="23" s="1"/>
  <c r="DE239" i="7"/>
  <c r="EA219" i="23" s="1"/>
  <c r="DD239" i="7"/>
  <c r="DC239" i="7"/>
  <c r="DB239" i="7"/>
  <c r="EA222" i="23" s="1"/>
  <c r="DA239" i="7"/>
  <c r="EA223" i="23" s="1"/>
  <c r="CZ239" i="7"/>
  <c r="EA224" i="23" s="1"/>
  <c r="CY239" i="7"/>
  <c r="EA225" i="23" s="1"/>
  <c r="CX239" i="7"/>
  <c r="EA226" i="23" s="1"/>
  <c r="CW239" i="7"/>
  <c r="EA227" i="23" s="1"/>
  <c r="CV239" i="7"/>
  <c r="EA228" i="23" s="1"/>
  <c r="CU239" i="7"/>
  <c r="EA229" i="23" s="1"/>
  <c r="DF238" i="7"/>
  <c r="DZ218" i="23" s="1"/>
  <c r="DE238" i="7"/>
  <c r="DZ219" i="23" s="1"/>
  <c r="DD238" i="7"/>
  <c r="DC238" i="7"/>
  <c r="DB238" i="7"/>
  <c r="DZ222" i="23" s="1"/>
  <c r="DA238" i="7"/>
  <c r="DZ223" i="23" s="1"/>
  <c r="CZ238" i="7"/>
  <c r="DZ224" i="23" s="1"/>
  <c r="CY238" i="7"/>
  <c r="DZ225" i="23" s="1"/>
  <c r="CX238" i="7"/>
  <c r="DZ226" i="23" s="1"/>
  <c r="CW238" i="7"/>
  <c r="DZ227" i="23" s="1"/>
  <c r="CV238" i="7"/>
  <c r="DZ228" i="23" s="1"/>
  <c r="CU238" i="7"/>
  <c r="DZ229" i="23" s="1"/>
  <c r="DF237" i="7"/>
  <c r="DY218" i="23" s="1"/>
  <c r="DE237" i="7"/>
  <c r="DD237" i="7"/>
  <c r="DH237" i="7" s="1"/>
  <c r="DC237" i="7"/>
  <c r="DB237" i="7"/>
  <c r="DY222" i="23" s="1"/>
  <c r="DA237" i="7"/>
  <c r="DY223" i="23" s="1"/>
  <c r="CZ237" i="7"/>
  <c r="CY237" i="7"/>
  <c r="CX237" i="7"/>
  <c r="DY226" i="23" s="1"/>
  <c r="CW237" i="7"/>
  <c r="DY227" i="23" s="1"/>
  <c r="CV237" i="7"/>
  <c r="CU237" i="7"/>
  <c r="DF37" i="7"/>
  <c r="DE37" i="7"/>
  <c r="DD37" i="7"/>
  <c r="DH37" i="7" s="1"/>
  <c r="DC37" i="7"/>
  <c r="DB37" i="7"/>
  <c r="DA37" i="7"/>
  <c r="CZ37" i="7"/>
  <c r="CY37" i="7"/>
  <c r="CX37" i="7"/>
  <c r="CW37" i="7"/>
  <c r="CV37" i="7"/>
  <c r="CU37" i="7"/>
  <c r="DF12" i="7"/>
  <c r="DE12" i="7"/>
  <c r="DD12" i="7"/>
  <c r="DC12" i="7"/>
  <c r="DB12" i="7"/>
  <c r="DA12" i="7"/>
  <c r="CZ12" i="7"/>
  <c r="CY12" i="7"/>
  <c r="CX12" i="7"/>
  <c r="CW12" i="7"/>
  <c r="CV12" i="7"/>
  <c r="CU12" i="7"/>
  <c r="DF11" i="7"/>
  <c r="DE11" i="7"/>
  <c r="DD11" i="7"/>
  <c r="DC11" i="7"/>
  <c r="DB11" i="7"/>
  <c r="DA11" i="7"/>
  <c r="CZ11" i="7"/>
  <c r="CY11" i="7"/>
  <c r="CX11" i="7"/>
  <c r="CW11" i="7"/>
  <c r="CV11" i="7"/>
  <c r="CU11" i="7"/>
  <c r="DF10" i="7"/>
  <c r="DE10" i="7"/>
  <c r="DD10" i="7"/>
  <c r="DC10" i="7"/>
  <c r="DB10" i="7"/>
  <c r="DA10" i="7"/>
  <c r="CZ10" i="7"/>
  <c r="CY10" i="7"/>
  <c r="CX10" i="7"/>
  <c r="CW10" i="7"/>
  <c r="CV10" i="7"/>
  <c r="CU10" i="7"/>
  <c r="DF9" i="7"/>
  <c r="DE9" i="7"/>
  <c r="DD9" i="7"/>
  <c r="DC9" i="7"/>
  <c r="DB9" i="7"/>
  <c r="DA9" i="7"/>
  <c r="CZ9" i="7"/>
  <c r="CY9" i="7"/>
  <c r="CX9" i="7"/>
  <c r="CW9" i="7"/>
  <c r="CV9" i="7"/>
  <c r="CU9" i="7"/>
  <c r="BP239" i="7"/>
  <c r="EA182" i="23" s="1"/>
  <c r="BO239" i="7"/>
  <c r="EA183" i="23" s="1"/>
  <c r="BN239" i="7"/>
  <c r="BM239" i="7"/>
  <c r="BL239" i="7"/>
  <c r="EA186" i="23" s="1"/>
  <c r="BK239" i="7"/>
  <c r="EA187" i="23" s="1"/>
  <c r="BJ239" i="7"/>
  <c r="EA188" i="23" s="1"/>
  <c r="BI239" i="7"/>
  <c r="EA189" i="23" s="1"/>
  <c r="BH239" i="7"/>
  <c r="EA190" i="23" s="1"/>
  <c r="BG239" i="7"/>
  <c r="EA191" i="23" s="1"/>
  <c r="BF239" i="7"/>
  <c r="EA192" i="23" s="1"/>
  <c r="BE239" i="7"/>
  <c r="EA193" i="23" s="1"/>
  <c r="BP238" i="7"/>
  <c r="DZ182" i="23" s="1"/>
  <c r="BO238" i="7"/>
  <c r="DZ183" i="23" s="1"/>
  <c r="BN238" i="7"/>
  <c r="BM238" i="7"/>
  <c r="BL238" i="7"/>
  <c r="DZ186" i="23" s="1"/>
  <c r="BK238" i="7"/>
  <c r="DZ187" i="23" s="1"/>
  <c r="BJ238" i="7"/>
  <c r="DZ188" i="23" s="1"/>
  <c r="BI238" i="7"/>
  <c r="DZ189" i="23" s="1"/>
  <c r="BH238" i="7"/>
  <c r="DZ190" i="23" s="1"/>
  <c r="BG238" i="7"/>
  <c r="DZ191" i="23" s="1"/>
  <c r="BF238" i="7"/>
  <c r="DZ192" i="23" s="1"/>
  <c r="BE238" i="7"/>
  <c r="DZ193" i="23" s="1"/>
  <c r="BP237" i="7"/>
  <c r="BO237" i="7"/>
  <c r="BN237" i="7"/>
  <c r="BR237" i="7" s="1"/>
  <c r="BM237" i="7"/>
  <c r="BL237" i="7"/>
  <c r="BK237" i="7"/>
  <c r="DY187" i="23" s="1"/>
  <c r="BJ237" i="7"/>
  <c r="BI237" i="7"/>
  <c r="BH237" i="7"/>
  <c r="DY190" i="23" s="1"/>
  <c r="BG237" i="7"/>
  <c r="BF237" i="7"/>
  <c r="DY192" i="23" s="1"/>
  <c r="BE237" i="7"/>
  <c r="BP37" i="7"/>
  <c r="BO37" i="7"/>
  <c r="BN37" i="7"/>
  <c r="BR37" i="7" s="1"/>
  <c r="BM37" i="7"/>
  <c r="BL37" i="7"/>
  <c r="BK37" i="7"/>
  <c r="BJ37" i="7"/>
  <c r="BI37" i="7"/>
  <c r="BH37" i="7"/>
  <c r="BG37" i="7"/>
  <c r="BF37" i="7"/>
  <c r="BE37" i="7"/>
  <c r="BP12" i="7"/>
  <c r="BO12" i="7"/>
  <c r="BN12" i="7"/>
  <c r="BM12" i="7"/>
  <c r="BL12" i="7"/>
  <c r="BK12" i="7"/>
  <c r="BJ12" i="7"/>
  <c r="BI12" i="7"/>
  <c r="BH12" i="7"/>
  <c r="BG12" i="7"/>
  <c r="BF12" i="7"/>
  <c r="BE12" i="7"/>
  <c r="BP11" i="7"/>
  <c r="BO11" i="7"/>
  <c r="BN11" i="7"/>
  <c r="BM11" i="7"/>
  <c r="BL11" i="7"/>
  <c r="BK11" i="7"/>
  <c r="BJ11" i="7"/>
  <c r="BI11" i="7"/>
  <c r="BH11" i="7"/>
  <c r="BG11" i="7"/>
  <c r="BF11" i="7"/>
  <c r="BE11" i="7"/>
  <c r="BP10" i="7"/>
  <c r="BO10" i="7"/>
  <c r="BN10" i="7"/>
  <c r="BM10" i="7"/>
  <c r="BL10" i="7"/>
  <c r="BK10" i="7"/>
  <c r="BJ10" i="7"/>
  <c r="BI10" i="7"/>
  <c r="BH10" i="7"/>
  <c r="BG10" i="7"/>
  <c r="BF10" i="7"/>
  <c r="BE10" i="7"/>
  <c r="BP9" i="7"/>
  <c r="BO9" i="7"/>
  <c r="BN9" i="7"/>
  <c r="BM9" i="7"/>
  <c r="BL9" i="7"/>
  <c r="BK9" i="7"/>
  <c r="BJ9" i="7"/>
  <c r="BI9" i="7"/>
  <c r="BH9" i="7"/>
  <c r="BG9" i="7"/>
  <c r="BF9" i="7"/>
  <c r="BE9" i="7"/>
  <c r="CT9" i="7"/>
  <c r="CT10" i="7"/>
  <c r="CT11" i="7"/>
  <c r="CT12" i="7"/>
  <c r="CD236" i="7"/>
  <c r="CC236" i="7"/>
  <c r="CB236" i="7"/>
  <c r="CA236" i="7"/>
  <c r="BZ236" i="7"/>
  <c r="BY236" i="7"/>
  <c r="BX236" i="7"/>
  <c r="BW236" i="7"/>
  <c r="BV236" i="7"/>
  <c r="BU236" i="7"/>
  <c r="BT236" i="7"/>
  <c r="BS236" i="7"/>
  <c r="CD219" i="7"/>
  <c r="CC219" i="7"/>
  <c r="CB219" i="7"/>
  <c r="CA219" i="7"/>
  <c r="BZ219" i="7"/>
  <c r="BY219" i="7"/>
  <c r="BX219" i="7"/>
  <c r="BW219" i="7"/>
  <c r="BV219" i="7"/>
  <c r="BU219" i="7"/>
  <c r="BT219" i="7"/>
  <c r="BS219" i="7"/>
  <c r="CD57" i="7"/>
  <c r="CC57" i="7"/>
  <c r="CB57" i="7"/>
  <c r="CA57" i="7"/>
  <c r="BZ57" i="7"/>
  <c r="BY57" i="7"/>
  <c r="BX57" i="7"/>
  <c r="BW57" i="7"/>
  <c r="BV57" i="7"/>
  <c r="BU57" i="7"/>
  <c r="BT57" i="7"/>
  <c r="BS57" i="7"/>
  <c r="CD54" i="7"/>
  <c r="CC54" i="7"/>
  <c r="CB54" i="7"/>
  <c r="CA54" i="7"/>
  <c r="BZ54" i="7"/>
  <c r="BY54" i="7"/>
  <c r="BX54" i="7"/>
  <c r="BW54" i="7"/>
  <c r="BV54" i="7"/>
  <c r="BU54" i="7"/>
  <c r="BT54" i="7"/>
  <c r="BS54" i="7"/>
  <c r="CD27" i="7"/>
  <c r="CC27" i="7"/>
  <c r="CB27" i="7"/>
  <c r="CA27" i="7"/>
  <c r="BZ27" i="7"/>
  <c r="BY27" i="7"/>
  <c r="BX27" i="7"/>
  <c r="BW27" i="7"/>
  <c r="BV27" i="7"/>
  <c r="BU27" i="7"/>
  <c r="BT27" i="7"/>
  <c r="BS27" i="7"/>
  <c r="CD13" i="7"/>
  <c r="CC13" i="7"/>
  <c r="CB13" i="7"/>
  <c r="CA13" i="7"/>
  <c r="BZ13" i="7"/>
  <c r="BY13" i="7"/>
  <c r="BX13" i="7"/>
  <c r="BW13" i="7"/>
  <c r="BV13" i="7"/>
  <c r="BU13" i="7"/>
  <c r="BT13" i="7"/>
  <c r="BS13" i="7"/>
  <c r="CD8" i="7"/>
  <c r="CC8" i="7"/>
  <c r="CB8" i="7"/>
  <c r="CA8" i="7"/>
  <c r="BZ8" i="7"/>
  <c r="BY8" i="7"/>
  <c r="BX8" i="7"/>
  <c r="BW8" i="7"/>
  <c r="BV8" i="7"/>
  <c r="BU8" i="7"/>
  <c r="BT8" i="7"/>
  <c r="BS8" i="7"/>
  <c r="O30" i="8"/>
  <c r="Z30" i="8"/>
  <c r="Y30" i="8"/>
  <c r="X30" i="8"/>
  <c r="W30" i="8"/>
  <c r="V30" i="8"/>
  <c r="U30" i="8"/>
  <c r="T30" i="8"/>
  <c r="S30" i="8"/>
  <c r="R30" i="8"/>
  <c r="Q30" i="8"/>
  <c r="P30" i="8"/>
  <c r="Z23" i="8"/>
  <c r="Y23" i="8"/>
  <c r="X23" i="8"/>
  <c r="W23" i="8"/>
  <c r="V23" i="8"/>
  <c r="U23" i="8"/>
  <c r="T23" i="8"/>
  <c r="S23" i="8"/>
  <c r="R23" i="8"/>
  <c r="Q23" i="8"/>
  <c r="P23" i="8"/>
  <c r="O23" i="8"/>
  <c r="Z18" i="8"/>
  <c r="Y18" i="8"/>
  <c r="X18" i="8"/>
  <c r="W18" i="8"/>
  <c r="V18" i="8"/>
  <c r="U18" i="8"/>
  <c r="T18" i="8"/>
  <c r="S18" i="8"/>
  <c r="R18" i="8"/>
  <c r="Q18" i="8"/>
  <c r="P18" i="8"/>
  <c r="O18" i="8"/>
  <c r="Z4" i="8"/>
  <c r="Y4" i="8"/>
  <c r="X4" i="8"/>
  <c r="W4" i="8"/>
  <c r="V4" i="8"/>
  <c r="U4" i="8"/>
  <c r="T4" i="8"/>
  <c r="S4" i="8"/>
  <c r="R4" i="8"/>
  <c r="Q4" i="8"/>
  <c r="P4" i="8"/>
  <c r="O4" i="8"/>
  <c r="BB236" i="7"/>
  <c r="BA236" i="7"/>
  <c r="AZ236" i="7"/>
  <c r="AY236" i="7"/>
  <c r="AX236" i="7"/>
  <c r="AW236" i="7"/>
  <c r="AV236" i="7"/>
  <c r="AU236" i="7"/>
  <c r="AT236" i="7"/>
  <c r="AS236" i="7"/>
  <c r="AR236" i="7"/>
  <c r="AQ236" i="7"/>
  <c r="BB227" i="7"/>
  <c r="BA227" i="7"/>
  <c r="AZ227" i="7"/>
  <c r="AY227" i="7"/>
  <c r="AX227" i="7"/>
  <c r="AW227" i="7"/>
  <c r="AV227" i="7"/>
  <c r="AU227" i="7"/>
  <c r="AT227" i="7"/>
  <c r="AS227" i="7"/>
  <c r="AR227" i="7"/>
  <c r="AQ227" i="7"/>
  <c r="BB223" i="7"/>
  <c r="BA223" i="7"/>
  <c r="AZ223" i="7"/>
  <c r="AY223" i="7"/>
  <c r="AX223" i="7"/>
  <c r="AW223" i="7"/>
  <c r="AV223" i="7"/>
  <c r="AU223" i="7"/>
  <c r="AT223" i="7"/>
  <c r="AS223" i="7"/>
  <c r="AR223" i="7"/>
  <c r="AQ223" i="7"/>
  <c r="BA219" i="7"/>
  <c r="AZ219" i="7"/>
  <c r="AY219" i="7"/>
  <c r="AX219" i="7"/>
  <c r="AW219" i="7"/>
  <c r="AV219" i="7"/>
  <c r="AU219" i="7"/>
  <c r="AT219" i="7"/>
  <c r="AS219" i="7"/>
  <c r="AR219" i="7"/>
  <c r="AQ219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BB205" i="7"/>
  <c r="BA205" i="7"/>
  <c r="AZ205" i="7"/>
  <c r="AY205" i="7"/>
  <c r="AX205" i="7"/>
  <c r="AW205" i="7"/>
  <c r="AV205" i="7"/>
  <c r="AU205" i="7"/>
  <c r="AT205" i="7"/>
  <c r="AS205" i="7"/>
  <c r="AR205" i="7"/>
  <c r="AQ205" i="7"/>
  <c r="BB193" i="7"/>
  <c r="BA193" i="7"/>
  <c r="AZ193" i="7"/>
  <c r="AY193" i="7"/>
  <c r="AX193" i="7"/>
  <c r="AW193" i="7"/>
  <c r="AV193" i="7"/>
  <c r="AU193" i="7"/>
  <c r="AT193" i="7"/>
  <c r="AS193" i="7"/>
  <c r="AR193" i="7"/>
  <c r="AQ193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BB178" i="7"/>
  <c r="BA178" i="7"/>
  <c r="AZ178" i="7"/>
  <c r="AY178" i="7"/>
  <c r="AX178" i="7"/>
  <c r="AW178" i="7"/>
  <c r="AV178" i="7"/>
  <c r="AU178" i="7"/>
  <c r="AT178" i="7"/>
  <c r="AS178" i="7"/>
  <c r="AR178" i="7"/>
  <c r="AQ178" i="7"/>
  <c r="BB172" i="7"/>
  <c r="BA172" i="7"/>
  <c r="AZ172" i="7"/>
  <c r="AY172" i="7"/>
  <c r="AX172" i="7"/>
  <c r="AW172" i="7"/>
  <c r="AV172" i="7"/>
  <c r="AU172" i="7"/>
  <c r="AT172" i="7"/>
  <c r="AS172" i="7"/>
  <c r="AR172" i="7"/>
  <c r="AQ172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BB157" i="7"/>
  <c r="BA157" i="7"/>
  <c r="AZ157" i="7"/>
  <c r="AY157" i="7"/>
  <c r="AX157" i="7"/>
  <c r="AW157" i="7"/>
  <c r="AV157" i="7"/>
  <c r="AU157" i="7"/>
  <c r="AT157" i="7"/>
  <c r="AS157" i="7"/>
  <c r="AR157" i="7"/>
  <c r="AQ157" i="7"/>
  <c r="BB150" i="7"/>
  <c r="BA150" i="7"/>
  <c r="AZ150" i="7"/>
  <c r="AY150" i="7"/>
  <c r="AX150" i="7"/>
  <c r="AW150" i="7"/>
  <c r="AV150" i="7"/>
  <c r="AU150" i="7"/>
  <c r="AT150" i="7"/>
  <c r="AS150" i="7"/>
  <c r="AR150" i="7"/>
  <c r="AQ150" i="7"/>
  <c r="BB146" i="7"/>
  <c r="BA146" i="7"/>
  <c r="AZ146" i="7"/>
  <c r="AY146" i="7"/>
  <c r="AX146" i="7"/>
  <c r="AW146" i="7"/>
  <c r="AV146" i="7"/>
  <c r="AU146" i="7"/>
  <c r="AT146" i="7"/>
  <c r="AS146" i="7"/>
  <c r="AR146" i="7"/>
  <c r="AQ146" i="7"/>
  <c r="BB138" i="7"/>
  <c r="BA138" i="7"/>
  <c r="AZ138" i="7"/>
  <c r="AY138" i="7"/>
  <c r="AX138" i="7"/>
  <c r="AW138" i="7"/>
  <c r="AV138" i="7"/>
  <c r="AU138" i="7"/>
  <c r="AT138" i="7"/>
  <c r="AS138" i="7"/>
  <c r="AR138" i="7"/>
  <c r="AQ138" i="7"/>
  <c r="BB133" i="7"/>
  <c r="BA133" i="7"/>
  <c r="AZ133" i="7"/>
  <c r="AY133" i="7"/>
  <c r="AX133" i="7"/>
  <c r="AW133" i="7"/>
  <c r="AV133" i="7"/>
  <c r="AU133" i="7"/>
  <c r="AT133" i="7"/>
  <c r="AS133" i="7"/>
  <c r="AR133" i="7"/>
  <c r="AQ133" i="7"/>
  <c r="BB129" i="7"/>
  <c r="BA129" i="7"/>
  <c r="AZ129" i="7"/>
  <c r="AY129" i="7"/>
  <c r="AX129" i="7"/>
  <c r="AW129" i="7"/>
  <c r="AV129" i="7"/>
  <c r="AU129" i="7"/>
  <c r="AT129" i="7"/>
  <c r="AS129" i="7"/>
  <c r="AR129" i="7"/>
  <c r="AQ129" i="7"/>
  <c r="BB116" i="7"/>
  <c r="BA116" i="7"/>
  <c r="AZ116" i="7"/>
  <c r="AY116" i="7"/>
  <c r="AX116" i="7"/>
  <c r="AW116" i="7"/>
  <c r="AV116" i="7"/>
  <c r="AU116" i="7"/>
  <c r="AT116" i="7"/>
  <c r="AS116" i="7"/>
  <c r="AR116" i="7"/>
  <c r="AQ116" i="7"/>
  <c r="BB104" i="7"/>
  <c r="BA104" i="7"/>
  <c r="AZ104" i="7"/>
  <c r="AY104" i="7"/>
  <c r="AX104" i="7"/>
  <c r="AW104" i="7"/>
  <c r="AV104" i="7"/>
  <c r="AU104" i="7"/>
  <c r="AT104" i="7"/>
  <c r="AS104" i="7"/>
  <c r="AR104" i="7"/>
  <c r="AQ104" i="7"/>
  <c r="BB90" i="7"/>
  <c r="BA90" i="7"/>
  <c r="AZ90" i="7"/>
  <c r="AY90" i="7"/>
  <c r="AX90" i="7"/>
  <c r="AW90" i="7"/>
  <c r="AV90" i="7"/>
  <c r="AU90" i="7"/>
  <c r="AT90" i="7"/>
  <c r="AS90" i="7"/>
  <c r="AR90" i="7"/>
  <c r="AQ90" i="7"/>
  <c r="BB87" i="7"/>
  <c r="BA87" i="7"/>
  <c r="AZ87" i="7"/>
  <c r="AY87" i="7"/>
  <c r="AX87" i="7"/>
  <c r="AW87" i="7"/>
  <c r="AV87" i="7"/>
  <c r="AU87" i="7"/>
  <c r="AT87" i="7"/>
  <c r="AS87" i="7"/>
  <c r="AR87" i="7"/>
  <c r="AQ87" i="7"/>
  <c r="BB76" i="7"/>
  <c r="BA76" i="7"/>
  <c r="AZ76" i="7"/>
  <c r="AY76" i="7"/>
  <c r="AX76" i="7"/>
  <c r="AW76" i="7"/>
  <c r="AV76" i="7"/>
  <c r="AU76" i="7"/>
  <c r="AT76" i="7"/>
  <c r="AS76" i="7"/>
  <c r="AR76" i="7"/>
  <c r="AQ76" i="7"/>
  <c r="BB60" i="7"/>
  <c r="BA60" i="7"/>
  <c r="AZ60" i="7"/>
  <c r="AY60" i="7"/>
  <c r="AX60" i="7"/>
  <c r="AW60" i="7"/>
  <c r="AV60" i="7"/>
  <c r="AU60" i="7"/>
  <c r="AT60" i="7"/>
  <c r="AS60" i="7"/>
  <c r="AR60" i="7"/>
  <c r="AQ60" i="7"/>
  <c r="BB57" i="7"/>
  <c r="BA57" i="7"/>
  <c r="AZ57" i="7"/>
  <c r="AY57" i="7"/>
  <c r="AX57" i="7"/>
  <c r="AW57" i="7"/>
  <c r="AV57" i="7"/>
  <c r="AU57" i="7"/>
  <c r="AT57" i="7"/>
  <c r="AS57" i="7"/>
  <c r="AR57" i="7"/>
  <c r="AQ57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BB38" i="7"/>
  <c r="F194" i="23" s="1"/>
  <c r="BA38" i="7"/>
  <c r="F195" i="23" s="1"/>
  <c r="AZ38" i="7"/>
  <c r="F196" i="23" s="1"/>
  <c r="AY38" i="7"/>
  <c r="F197" i="23" s="1"/>
  <c r="AX38" i="7"/>
  <c r="F198" i="23" s="1"/>
  <c r="AW38" i="7"/>
  <c r="F199" i="23" s="1"/>
  <c r="AV38" i="7"/>
  <c r="F200" i="23" s="1"/>
  <c r="AU38" i="7"/>
  <c r="F201" i="23" s="1"/>
  <c r="AT38" i="7"/>
  <c r="F202" i="23" s="1"/>
  <c r="AS38" i="7"/>
  <c r="F203" i="23" s="1"/>
  <c r="AR38" i="7"/>
  <c r="F204" i="23" s="1"/>
  <c r="AQ38" i="7"/>
  <c r="F205" i="23" s="1"/>
  <c r="BB29" i="7"/>
  <c r="BA29" i="7"/>
  <c r="AZ29" i="7"/>
  <c r="AY29" i="7"/>
  <c r="AX29" i="7"/>
  <c r="AW29" i="7"/>
  <c r="AV29" i="7"/>
  <c r="AU29" i="7"/>
  <c r="AT29" i="7"/>
  <c r="AS29" i="7"/>
  <c r="AR29" i="7"/>
  <c r="AQ29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BB8" i="7"/>
  <c r="BA8" i="7"/>
  <c r="AZ8" i="7"/>
  <c r="AY8" i="7"/>
  <c r="AX8" i="7"/>
  <c r="AW8" i="7"/>
  <c r="AV8" i="7"/>
  <c r="AU8" i="7"/>
  <c r="AT8" i="7"/>
  <c r="AS8" i="7"/>
  <c r="AR8" i="7"/>
  <c r="AQ8" i="7"/>
  <c r="L8" i="8"/>
  <c r="K8" i="8"/>
  <c r="J8" i="8"/>
  <c r="I8" i="8"/>
  <c r="H8" i="8"/>
  <c r="G8" i="8"/>
  <c r="F8" i="8"/>
  <c r="E8" i="8"/>
  <c r="D8" i="8"/>
  <c r="C8" i="8"/>
  <c r="B8" i="8"/>
  <c r="A8" i="8"/>
  <c r="L13" i="8"/>
  <c r="K13" i="8"/>
  <c r="J13" i="8"/>
  <c r="I13" i="8"/>
  <c r="H13" i="8"/>
  <c r="G13" i="8"/>
  <c r="F13" i="8"/>
  <c r="E13" i="8"/>
  <c r="D13" i="8"/>
  <c r="C13" i="8"/>
  <c r="B13" i="8"/>
  <c r="A13" i="8"/>
  <c r="L27" i="8"/>
  <c r="K27" i="8"/>
  <c r="J27" i="8"/>
  <c r="I27" i="8"/>
  <c r="H27" i="8"/>
  <c r="G27" i="8"/>
  <c r="F27" i="8"/>
  <c r="E27" i="8"/>
  <c r="D27" i="8"/>
  <c r="C27" i="8"/>
  <c r="B27" i="8"/>
  <c r="A27" i="8"/>
  <c r="L29" i="8"/>
  <c r="K29" i="8"/>
  <c r="J29" i="8"/>
  <c r="I29" i="8"/>
  <c r="H29" i="8"/>
  <c r="G29" i="8"/>
  <c r="F29" i="8"/>
  <c r="E29" i="8"/>
  <c r="D29" i="8"/>
  <c r="C29" i="8"/>
  <c r="B29" i="8"/>
  <c r="A29" i="8"/>
  <c r="L38" i="8"/>
  <c r="K38" i="8"/>
  <c r="J38" i="8"/>
  <c r="I38" i="8"/>
  <c r="H38" i="8"/>
  <c r="G38" i="8"/>
  <c r="F38" i="8"/>
  <c r="E38" i="8"/>
  <c r="D38" i="8"/>
  <c r="C38" i="8"/>
  <c r="B38" i="8"/>
  <c r="A38" i="8"/>
  <c r="L54" i="8"/>
  <c r="K54" i="8"/>
  <c r="J54" i="8"/>
  <c r="I54" i="8"/>
  <c r="H54" i="8"/>
  <c r="G54" i="8"/>
  <c r="F54" i="8"/>
  <c r="E54" i="8"/>
  <c r="D54" i="8"/>
  <c r="C54" i="8"/>
  <c r="B54" i="8"/>
  <c r="A54" i="8"/>
  <c r="L57" i="8"/>
  <c r="F302" i="23" s="1"/>
  <c r="K57" i="8"/>
  <c r="F303" i="23" s="1"/>
  <c r="J57" i="8"/>
  <c r="F304" i="23" s="1"/>
  <c r="I57" i="8"/>
  <c r="F305" i="23" s="1"/>
  <c r="H57" i="8"/>
  <c r="F306" i="23" s="1"/>
  <c r="G57" i="8"/>
  <c r="F307" i="23" s="1"/>
  <c r="F57" i="8"/>
  <c r="F308" i="23" s="1"/>
  <c r="E57" i="8"/>
  <c r="F309" i="23" s="1"/>
  <c r="D57" i="8"/>
  <c r="F310" i="23" s="1"/>
  <c r="C57" i="8"/>
  <c r="F311" i="23" s="1"/>
  <c r="B57" i="8"/>
  <c r="F312" i="23" s="1"/>
  <c r="A57" i="8"/>
  <c r="F313" i="23" s="1"/>
  <c r="L60" i="8"/>
  <c r="K60" i="8"/>
  <c r="J60" i="8"/>
  <c r="I60" i="8"/>
  <c r="H60" i="8"/>
  <c r="G60" i="8"/>
  <c r="F60" i="8"/>
  <c r="E60" i="8"/>
  <c r="D60" i="8"/>
  <c r="C60" i="8"/>
  <c r="B60" i="8"/>
  <c r="A60" i="8"/>
  <c r="L76" i="8"/>
  <c r="K76" i="8"/>
  <c r="J76" i="8"/>
  <c r="I76" i="8"/>
  <c r="H76" i="8"/>
  <c r="G76" i="8"/>
  <c r="F76" i="8"/>
  <c r="E76" i="8"/>
  <c r="D76" i="8"/>
  <c r="C76" i="8"/>
  <c r="B76" i="8"/>
  <c r="A76" i="8"/>
  <c r="L87" i="8"/>
  <c r="K87" i="8"/>
  <c r="J87" i="8"/>
  <c r="I87" i="8"/>
  <c r="H87" i="8"/>
  <c r="G87" i="8"/>
  <c r="F87" i="8"/>
  <c r="E87" i="8"/>
  <c r="D87" i="8"/>
  <c r="C87" i="8"/>
  <c r="B87" i="8"/>
  <c r="A87" i="8"/>
  <c r="L90" i="8"/>
  <c r="K90" i="8"/>
  <c r="J90" i="8"/>
  <c r="I90" i="8"/>
  <c r="H90" i="8"/>
  <c r="G90" i="8"/>
  <c r="F90" i="8"/>
  <c r="E90" i="8"/>
  <c r="D90" i="8"/>
  <c r="C90" i="8"/>
  <c r="B90" i="8"/>
  <c r="A90" i="8"/>
  <c r="L104" i="8"/>
  <c r="K104" i="8"/>
  <c r="J104" i="8"/>
  <c r="I104" i="8"/>
  <c r="H104" i="8"/>
  <c r="G104" i="8"/>
  <c r="F104" i="8"/>
  <c r="E104" i="8"/>
  <c r="D104" i="8"/>
  <c r="C104" i="8"/>
  <c r="B104" i="8"/>
  <c r="A104" i="8"/>
  <c r="L116" i="8"/>
  <c r="K116" i="8"/>
  <c r="J116" i="8"/>
  <c r="I116" i="8"/>
  <c r="H116" i="8"/>
  <c r="G116" i="8"/>
  <c r="F116" i="8"/>
  <c r="E116" i="8"/>
  <c r="D116" i="8"/>
  <c r="C116" i="8"/>
  <c r="B116" i="8"/>
  <c r="A116" i="8"/>
  <c r="L129" i="8"/>
  <c r="K129" i="8"/>
  <c r="J129" i="8"/>
  <c r="I129" i="8"/>
  <c r="H129" i="8"/>
  <c r="G129" i="8"/>
  <c r="F129" i="8"/>
  <c r="E129" i="8"/>
  <c r="D129" i="8"/>
  <c r="C129" i="8"/>
  <c r="B129" i="8"/>
  <c r="A129" i="8"/>
  <c r="L133" i="8"/>
  <c r="K133" i="8"/>
  <c r="J133" i="8"/>
  <c r="I133" i="8"/>
  <c r="H133" i="8"/>
  <c r="G133" i="8"/>
  <c r="F133" i="8"/>
  <c r="E133" i="8"/>
  <c r="D133" i="8"/>
  <c r="C133" i="8"/>
  <c r="B133" i="8"/>
  <c r="A133" i="8"/>
  <c r="L138" i="8"/>
  <c r="K138" i="8"/>
  <c r="J138" i="8"/>
  <c r="I138" i="8"/>
  <c r="H138" i="8"/>
  <c r="G138" i="8"/>
  <c r="F138" i="8"/>
  <c r="E138" i="8"/>
  <c r="D138" i="8"/>
  <c r="C138" i="8"/>
  <c r="B138" i="8"/>
  <c r="A138" i="8"/>
  <c r="L146" i="8"/>
  <c r="K146" i="8"/>
  <c r="J146" i="8"/>
  <c r="I146" i="8"/>
  <c r="H146" i="8"/>
  <c r="G146" i="8"/>
  <c r="F146" i="8"/>
  <c r="E146" i="8"/>
  <c r="D146" i="8"/>
  <c r="C146" i="8"/>
  <c r="B146" i="8"/>
  <c r="A146" i="8"/>
  <c r="L150" i="8"/>
  <c r="K150" i="8"/>
  <c r="J150" i="8"/>
  <c r="I150" i="8"/>
  <c r="H150" i="8"/>
  <c r="G150" i="8"/>
  <c r="F150" i="8"/>
  <c r="E150" i="8"/>
  <c r="D150" i="8"/>
  <c r="C150" i="8"/>
  <c r="B150" i="8"/>
  <c r="A150" i="8"/>
  <c r="L157" i="8"/>
  <c r="K157" i="8"/>
  <c r="J157" i="8"/>
  <c r="I157" i="8"/>
  <c r="H157" i="8"/>
  <c r="G157" i="8"/>
  <c r="F157" i="8"/>
  <c r="E157" i="8"/>
  <c r="D157" i="8"/>
  <c r="C157" i="8"/>
  <c r="B157" i="8"/>
  <c r="A157" i="8"/>
  <c r="L164" i="8"/>
  <c r="K164" i="8"/>
  <c r="J164" i="8"/>
  <c r="I164" i="8"/>
  <c r="H164" i="8"/>
  <c r="G164" i="8"/>
  <c r="F164" i="8"/>
  <c r="E164" i="8"/>
  <c r="D164" i="8"/>
  <c r="C164" i="8"/>
  <c r="B164" i="8"/>
  <c r="A164" i="8"/>
  <c r="L172" i="8"/>
  <c r="K172" i="8"/>
  <c r="J172" i="8"/>
  <c r="I172" i="8"/>
  <c r="H172" i="8"/>
  <c r="G172" i="8"/>
  <c r="F172" i="8"/>
  <c r="E172" i="8"/>
  <c r="D172" i="8"/>
  <c r="C172" i="8"/>
  <c r="B172" i="8"/>
  <c r="A172" i="8"/>
  <c r="L178" i="8"/>
  <c r="K178" i="8"/>
  <c r="J178" i="8"/>
  <c r="I178" i="8"/>
  <c r="H178" i="8"/>
  <c r="G178" i="8"/>
  <c r="F178" i="8"/>
  <c r="E178" i="8"/>
  <c r="D178" i="8"/>
  <c r="C178" i="8"/>
  <c r="B178" i="8"/>
  <c r="A178" i="8"/>
  <c r="L182" i="8"/>
  <c r="K182" i="8"/>
  <c r="J182" i="8"/>
  <c r="I182" i="8"/>
  <c r="H182" i="8"/>
  <c r="G182" i="8"/>
  <c r="F182" i="8"/>
  <c r="E182" i="8"/>
  <c r="D182" i="8"/>
  <c r="C182" i="8"/>
  <c r="B182" i="8"/>
  <c r="A182" i="8"/>
  <c r="L187" i="8"/>
  <c r="K187" i="8"/>
  <c r="J187" i="8"/>
  <c r="I187" i="8"/>
  <c r="H187" i="8"/>
  <c r="G187" i="8"/>
  <c r="F187" i="8"/>
  <c r="E187" i="8"/>
  <c r="D187" i="8"/>
  <c r="C187" i="8"/>
  <c r="B187" i="8"/>
  <c r="A187" i="8"/>
  <c r="L193" i="8"/>
  <c r="K193" i="8"/>
  <c r="J193" i="8"/>
  <c r="I193" i="8"/>
  <c r="H193" i="8"/>
  <c r="G193" i="8"/>
  <c r="F193" i="8"/>
  <c r="E193" i="8"/>
  <c r="D193" i="8"/>
  <c r="C193" i="8"/>
  <c r="B193" i="8"/>
  <c r="A193" i="8"/>
  <c r="L205" i="8"/>
  <c r="K205" i="8"/>
  <c r="J205" i="8"/>
  <c r="I205" i="8"/>
  <c r="H205" i="8"/>
  <c r="G205" i="8"/>
  <c r="F205" i="8"/>
  <c r="E205" i="8"/>
  <c r="D205" i="8"/>
  <c r="C205" i="8"/>
  <c r="B205" i="8"/>
  <c r="A205" i="8"/>
  <c r="L209" i="8"/>
  <c r="K209" i="8"/>
  <c r="J209" i="8"/>
  <c r="I209" i="8"/>
  <c r="H209" i="8"/>
  <c r="G209" i="8"/>
  <c r="F209" i="8"/>
  <c r="E209" i="8"/>
  <c r="D209" i="8"/>
  <c r="C209" i="8"/>
  <c r="B209" i="8"/>
  <c r="A209" i="8"/>
  <c r="L214" i="8"/>
  <c r="K214" i="8"/>
  <c r="J214" i="8"/>
  <c r="I214" i="8"/>
  <c r="H214" i="8"/>
  <c r="G214" i="8"/>
  <c r="F214" i="8"/>
  <c r="E214" i="8"/>
  <c r="D214" i="8"/>
  <c r="C214" i="8"/>
  <c r="B214" i="8"/>
  <c r="A214" i="8"/>
  <c r="L219" i="8"/>
  <c r="K219" i="8"/>
  <c r="J219" i="8"/>
  <c r="I219" i="8"/>
  <c r="H219" i="8"/>
  <c r="G219" i="8"/>
  <c r="F219" i="8"/>
  <c r="E219" i="8"/>
  <c r="D219" i="8"/>
  <c r="C219" i="8"/>
  <c r="B219" i="8"/>
  <c r="A219" i="8"/>
  <c r="L223" i="8"/>
  <c r="K223" i="8"/>
  <c r="J223" i="8"/>
  <c r="I223" i="8"/>
  <c r="H223" i="8"/>
  <c r="G223" i="8"/>
  <c r="F223" i="8"/>
  <c r="E223" i="8"/>
  <c r="D223" i="8"/>
  <c r="C223" i="8"/>
  <c r="B223" i="8"/>
  <c r="A223" i="8"/>
  <c r="L227" i="8"/>
  <c r="K227" i="8"/>
  <c r="J227" i="8"/>
  <c r="I227" i="8"/>
  <c r="H227" i="8"/>
  <c r="G227" i="8"/>
  <c r="F227" i="8"/>
  <c r="E227" i="8"/>
  <c r="D227" i="8"/>
  <c r="C227" i="8"/>
  <c r="B227" i="8"/>
  <c r="A227" i="8"/>
  <c r="L236" i="8"/>
  <c r="K236" i="8"/>
  <c r="J236" i="8"/>
  <c r="I236" i="8"/>
  <c r="H236" i="8"/>
  <c r="G236" i="8"/>
  <c r="F236" i="8"/>
  <c r="E236" i="8"/>
  <c r="D236" i="8"/>
  <c r="C236" i="8"/>
  <c r="B236" i="8"/>
  <c r="A236" i="8"/>
  <c r="L241" i="8"/>
  <c r="EB302" i="23" s="1"/>
  <c r="K241" i="8"/>
  <c r="EB303" i="23" s="1"/>
  <c r="J241" i="8"/>
  <c r="EB304" i="23" s="1"/>
  <c r="I241" i="8"/>
  <c r="EB305" i="23" s="1"/>
  <c r="H241" i="8"/>
  <c r="EB306" i="23" s="1"/>
  <c r="G241" i="8"/>
  <c r="EB307" i="23" s="1"/>
  <c r="F241" i="8"/>
  <c r="EB308" i="23" s="1"/>
  <c r="E241" i="8"/>
  <c r="EB309" i="23" s="1"/>
  <c r="D241" i="8"/>
  <c r="EB310" i="23" s="1"/>
  <c r="C241" i="8"/>
  <c r="EB311" i="23" s="1"/>
  <c r="B241" i="8"/>
  <c r="EB312" i="23" s="1"/>
  <c r="A241" i="8"/>
  <c r="EB313" i="23" s="1"/>
  <c r="AO241" i="8"/>
  <c r="AN241" i="8"/>
  <c r="AM241" i="8"/>
  <c r="AL241" i="8"/>
  <c r="AK241" i="8"/>
  <c r="AJ241" i="8"/>
  <c r="AI241" i="8"/>
  <c r="AH241" i="8"/>
  <c r="AG241" i="8"/>
  <c r="AF241" i="8"/>
  <c r="AE241" i="8"/>
  <c r="AD241" i="8"/>
  <c r="AC241" i="8"/>
  <c r="AO236" i="8"/>
  <c r="AN236" i="8"/>
  <c r="AM236" i="8"/>
  <c r="AL236" i="8"/>
  <c r="AK236" i="8"/>
  <c r="AJ236" i="8"/>
  <c r="AI236" i="8"/>
  <c r="AH236" i="8"/>
  <c r="AG236" i="8"/>
  <c r="AF236" i="8"/>
  <c r="AE236" i="8"/>
  <c r="AD236" i="8"/>
  <c r="AC236" i="8"/>
  <c r="AO227" i="8"/>
  <c r="AN227" i="8"/>
  <c r="AM227" i="8"/>
  <c r="AL227" i="8"/>
  <c r="AK227" i="8"/>
  <c r="AJ227" i="8"/>
  <c r="AI227" i="8"/>
  <c r="AH227" i="8"/>
  <c r="AG227" i="8"/>
  <c r="AF227" i="8"/>
  <c r="AE227" i="8"/>
  <c r="AD227" i="8"/>
  <c r="AC227" i="8"/>
  <c r="AO223" i="8"/>
  <c r="AN223" i="8"/>
  <c r="AM223" i="8"/>
  <c r="AL223" i="8"/>
  <c r="AK223" i="8"/>
  <c r="AJ223" i="8"/>
  <c r="AI223" i="8"/>
  <c r="AH223" i="8"/>
  <c r="AG223" i="8"/>
  <c r="AF223" i="8"/>
  <c r="AE223" i="8"/>
  <c r="AD223" i="8"/>
  <c r="AC223" i="8"/>
  <c r="AO219" i="8"/>
  <c r="AN219" i="8"/>
  <c r="AM219" i="8"/>
  <c r="AL219" i="8"/>
  <c r="AK219" i="8"/>
  <c r="AJ219" i="8"/>
  <c r="AI219" i="8"/>
  <c r="AH219" i="8"/>
  <c r="AG219" i="8"/>
  <c r="AF219" i="8"/>
  <c r="AE219" i="8"/>
  <c r="AD219" i="8"/>
  <c r="AC219" i="8"/>
  <c r="AO214" i="8"/>
  <c r="AN214" i="8"/>
  <c r="AM214" i="8"/>
  <c r="AL214" i="8"/>
  <c r="AK214" i="8"/>
  <c r="AJ214" i="8"/>
  <c r="AI214" i="8"/>
  <c r="AH214" i="8"/>
  <c r="AG214" i="8"/>
  <c r="AF214" i="8"/>
  <c r="AE214" i="8"/>
  <c r="AD214" i="8"/>
  <c r="AC214" i="8"/>
  <c r="AO209" i="8"/>
  <c r="AN209" i="8"/>
  <c r="AM209" i="8"/>
  <c r="AL209" i="8"/>
  <c r="AK209" i="8"/>
  <c r="AJ209" i="8"/>
  <c r="AI209" i="8"/>
  <c r="AH209" i="8"/>
  <c r="AG209" i="8"/>
  <c r="AF209" i="8"/>
  <c r="AE209" i="8"/>
  <c r="AD209" i="8"/>
  <c r="AC209" i="8"/>
  <c r="AO205" i="8"/>
  <c r="AN205" i="8"/>
  <c r="AM205" i="8"/>
  <c r="AL205" i="8"/>
  <c r="AK205" i="8"/>
  <c r="AJ205" i="8"/>
  <c r="AI205" i="8"/>
  <c r="AH205" i="8"/>
  <c r="AG205" i="8"/>
  <c r="AF205" i="8"/>
  <c r="AE205" i="8"/>
  <c r="AD205" i="8"/>
  <c r="AC205" i="8"/>
  <c r="AO193" i="8"/>
  <c r="AN193" i="8"/>
  <c r="AM193" i="8"/>
  <c r="AL193" i="8"/>
  <c r="AK193" i="8"/>
  <c r="AJ193" i="8"/>
  <c r="AI193" i="8"/>
  <c r="AH193" i="8"/>
  <c r="AG193" i="8"/>
  <c r="AF193" i="8"/>
  <c r="AE193" i="8"/>
  <c r="AD193" i="8"/>
  <c r="AC193" i="8"/>
  <c r="AO187" i="8"/>
  <c r="AN187" i="8"/>
  <c r="AM187" i="8"/>
  <c r="AL187" i="8"/>
  <c r="AK187" i="8"/>
  <c r="AJ187" i="8"/>
  <c r="AI187" i="8"/>
  <c r="AH187" i="8"/>
  <c r="AG187" i="8"/>
  <c r="AF187" i="8"/>
  <c r="AE187" i="8"/>
  <c r="AD187" i="8"/>
  <c r="AC187" i="8"/>
  <c r="AO182" i="8"/>
  <c r="AN182" i="8"/>
  <c r="AM182" i="8"/>
  <c r="AL182" i="8"/>
  <c r="AK182" i="8"/>
  <c r="AJ182" i="8"/>
  <c r="AI182" i="8"/>
  <c r="AH182" i="8"/>
  <c r="AG182" i="8"/>
  <c r="AF182" i="8"/>
  <c r="AE182" i="8"/>
  <c r="AD182" i="8"/>
  <c r="AC182" i="8"/>
  <c r="AO178" i="8"/>
  <c r="AN178" i="8"/>
  <c r="AM178" i="8"/>
  <c r="AL178" i="8"/>
  <c r="AK178" i="8"/>
  <c r="AJ178" i="8"/>
  <c r="AI178" i="8"/>
  <c r="AH178" i="8"/>
  <c r="AG178" i="8"/>
  <c r="AF178" i="8"/>
  <c r="AE178" i="8"/>
  <c r="AD178" i="8"/>
  <c r="AC178" i="8"/>
  <c r="AO172" i="8"/>
  <c r="AN172" i="8"/>
  <c r="AM172" i="8"/>
  <c r="AL172" i="8"/>
  <c r="AK172" i="8"/>
  <c r="AJ172" i="8"/>
  <c r="AI172" i="8"/>
  <c r="AH172" i="8"/>
  <c r="AG172" i="8"/>
  <c r="AF172" i="8"/>
  <c r="AE172" i="8"/>
  <c r="AD172" i="8"/>
  <c r="AC172" i="8"/>
  <c r="AO164" i="8"/>
  <c r="AN164" i="8"/>
  <c r="AM164" i="8"/>
  <c r="AL164" i="8"/>
  <c r="AK164" i="8"/>
  <c r="AJ164" i="8"/>
  <c r="AI164" i="8"/>
  <c r="AH164" i="8"/>
  <c r="AG164" i="8"/>
  <c r="AF164" i="8"/>
  <c r="AE164" i="8"/>
  <c r="AD164" i="8"/>
  <c r="AC164" i="8"/>
  <c r="AO157" i="8"/>
  <c r="AN157" i="8"/>
  <c r="AM157" i="8"/>
  <c r="AL157" i="8"/>
  <c r="AK157" i="8"/>
  <c r="AJ157" i="8"/>
  <c r="AI157" i="8"/>
  <c r="AH157" i="8"/>
  <c r="AG157" i="8"/>
  <c r="AF157" i="8"/>
  <c r="AE157" i="8"/>
  <c r="AD157" i="8"/>
  <c r="AC157" i="8"/>
  <c r="AO150" i="8"/>
  <c r="AN150" i="8"/>
  <c r="AM150" i="8"/>
  <c r="AL150" i="8"/>
  <c r="AK150" i="8"/>
  <c r="AJ150" i="8"/>
  <c r="AI150" i="8"/>
  <c r="AH150" i="8"/>
  <c r="AG150" i="8"/>
  <c r="AF150" i="8"/>
  <c r="AE150" i="8"/>
  <c r="AD150" i="8"/>
  <c r="AC150" i="8"/>
  <c r="AO146" i="8"/>
  <c r="AN146" i="8"/>
  <c r="AM146" i="8"/>
  <c r="AL146" i="8"/>
  <c r="AK146" i="8"/>
  <c r="AJ146" i="8"/>
  <c r="AI146" i="8"/>
  <c r="AH146" i="8"/>
  <c r="AG146" i="8"/>
  <c r="AF146" i="8"/>
  <c r="AE146" i="8"/>
  <c r="AD146" i="8"/>
  <c r="AC146" i="8"/>
  <c r="AO138" i="8"/>
  <c r="AN138" i="8"/>
  <c r="AM138" i="8"/>
  <c r="AL138" i="8"/>
  <c r="AK138" i="8"/>
  <c r="AJ138" i="8"/>
  <c r="AI138" i="8"/>
  <c r="AH138" i="8"/>
  <c r="AG138" i="8"/>
  <c r="AF138" i="8"/>
  <c r="AE138" i="8"/>
  <c r="AD138" i="8"/>
  <c r="AC138" i="8"/>
  <c r="AO133" i="8"/>
  <c r="AN133" i="8"/>
  <c r="AM133" i="8"/>
  <c r="AL133" i="8"/>
  <c r="AK133" i="8"/>
  <c r="AJ133" i="8"/>
  <c r="AI133" i="8"/>
  <c r="AH133" i="8"/>
  <c r="AG133" i="8"/>
  <c r="AF133" i="8"/>
  <c r="AE133" i="8"/>
  <c r="AD133" i="8"/>
  <c r="AC133" i="8"/>
  <c r="AO129" i="8"/>
  <c r="AN129" i="8"/>
  <c r="AM129" i="8"/>
  <c r="AL129" i="8"/>
  <c r="AK129" i="8"/>
  <c r="AJ129" i="8"/>
  <c r="AI129" i="8"/>
  <c r="AH129" i="8"/>
  <c r="AG129" i="8"/>
  <c r="AF129" i="8"/>
  <c r="AE129" i="8"/>
  <c r="AD129" i="8"/>
  <c r="AC129" i="8"/>
  <c r="AO116" i="8"/>
  <c r="AN116" i="8"/>
  <c r="AM116" i="8"/>
  <c r="AL116" i="8"/>
  <c r="AK116" i="8"/>
  <c r="AJ116" i="8"/>
  <c r="AI116" i="8"/>
  <c r="AH116" i="8"/>
  <c r="AG116" i="8"/>
  <c r="AF116" i="8"/>
  <c r="AE116" i="8"/>
  <c r="AD116" i="8"/>
  <c r="AC116" i="8"/>
  <c r="AO104" i="8"/>
  <c r="AN104" i="8"/>
  <c r="AM104" i="8"/>
  <c r="AL104" i="8"/>
  <c r="AK104" i="8"/>
  <c r="AJ104" i="8"/>
  <c r="AI104" i="8"/>
  <c r="AH104" i="8"/>
  <c r="AG104" i="8"/>
  <c r="AF104" i="8"/>
  <c r="AE104" i="8"/>
  <c r="AD104" i="8"/>
  <c r="AC104" i="8"/>
  <c r="AO90" i="8"/>
  <c r="AN90" i="8"/>
  <c r="AM90" i="8"/>
  <c r="AL90" i="8"/>
  <c r="AK90" i="8"/>
  <c r="AJ90" i="8"/>
  <c r="AI90" i="8"/>
  <c r="AH90" i="8"/>
  <c r="AG90" i="8"/>
  <c r="AF90" i="8"/>
  <c r="AE90" i="8"/>
  <c r="AD90" i="8"/>
  <c r="AC90" i="8"/>
  <c r="AO76" i="8"/>
  <c r="AN76" i="8"/>
  <c r="AM76" i="8"/>
  <c r="AL76" i="8"/>
  <c r="AK76" i="8"/>
  <c r="AJ76" i="8"/>
  <c r="AI76" i="8"/>
  <c r="AH76" i="8"/>
  <c r="AG76" i="8"/>
  <c r="AF76" i="8"/>
  <c r="AE76" i="8"/>
  <c r="AD76" i="8"/>
  <c r="AC76" i="8"/>
  <c r="AO60" i="8"/>
  <c r="AN60" i="8"/>
  <c r="AM60" i="8"/>
  <c r="AL60" i="8"/>
  <c r="AK60" i="8"/>
  <c r="AJ60" i="8"/>
  <c r="AI60" i="8"/>
  <c r="AH60" i="8"/>
  <c r="AG60" i="8"/>
  <c r="AF60" i="8"/>
  <c r="AE60" i="8"/>
  <c r="AD60" i="8"/>
  <c r="AC60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L50" i="1"/>
  <c r="K50" i="1"/>
  <c r="J50" i="1"/>
  <c r="I50" i="1"/>
  <c r="H50" i="1"/>
  <c r="G50" i="1"/>
  <c r="F50" i="1"/>
  <c r="E50" i="1"/>
  <c r="D50" i="1"/>
  <c r="C50" i="1"/>
  <c r="B50" i="1"/>
  <c r="A50" i="1"/>
  <c r="Z50" i="8"/>
  <c r="Y50" i="8"/>
  <c r="Y51" i="8"/>
  <c r="X50" i="8"/>
  <c r="W50" i="8"/>
  <c r="V50" i="8"/>
  <c r="U50" i="8"/>
  <c r="T50" i="8"/>
  <c r="S50" i="8"/>
  <c r="R50" i="8"/>
  <c r="U51" i="8"/>
  <c r="Q50" i="8"/>
  <c r="P50" i="8"/>
  <c r="O50" i="8"/>
  <c r="AA49" i="8"/>
  <c r="AA48" i="8"/>
  <c r="Z247" i="8"/>
  <c r="Z246" i="8"/>
  <c r="Z245" i="8"/>
  <c r="Z244" i="8"/>
  <c r="Z243" i="8"/>
  <c r="Z242" i="8"/>
  <c r="Z239" i="8"/>
  <c r="EA290" i="23" s="1"/>
  <c r="Z238" i="8"/>
  <c r="DZ290" i="23" s="1"/>
  <c r="Z237" i="8"/>
  <c r="DY290" i="23" s="1"/>
  <c r="Z229" i="8"/>
  <c r="DX290" i="23" s="1"/>
  <c r="Z228" i="8"/>
  <c r="DW290" i="23" s="1"/>
  <c r="Z226" i="8"/>
  <c r="DV290" i="23" s="1"/>
  <c r="Z225" i="8"/>
  <c r="DU290" i="23" s="1"/>
  <c r="Z224" i="8"/>
  <c r="DT290" i="23" s="1"/>
  <c r="Z222" i="8"/>
  <c r="DS290" i="23" s="1"/>
  <c r="Z221" i="8"/>
  <c r="DR290" i="23" s="1"/>
  <c r="Z220" i="8"/>
  <c r="DQ290" i="23" s="1"/>
  <c r="Z216" i="8"/>
  <c r="DP290" i="23" s="1"/>
  <c r="Z215" i="8"/>
  <c r="DO290" i="23" s="1"/>
  <c r="Z213" i="8"/>
  <c r="DN290" i="23" s="1"/>
  <c r="Z212" i="8"/>
  <c r="DM290" i="23" s="1"/>
  <c r="Z211" i="8"/>
  <c r="DL290" i="23" s="1"/>
  <c r="Z210" i="8"/>
  <c r="DK290" i="23" s="1"/>
  <c r="Z208" i="8"/>
  <c r="DJ290" i="23" s="1"/>
  <c r="Z207" i="8"/>
  <c r="DI290" i="23" s="1"/>
  <c r="Z206" i="8"/>
  <c r="DH290" i="23" s="1"/>
  <c r="Z204" i="8"/>
  <c r="DG290" i="23" s="1"/>
  <c r="Z203" i="8"/>
  <c r="DF290" i="23" s="1"/>
  <c r="Z202" i="8"/>
  <c r="DE290" i="23" s="1"/>
  <c r="Z201" i="8"/>
  <c r="DD290" i="23" s="1"/>
  <c r="Z200" i="8"/>
  <c r="DC290" i="23" s="1"/>
  <c r="Z199" i="8"/>
  <c r="DB290" i="23" s="1"/>
  <c r="Z198" i="8"/>
  <c r="DA290" i="23" s="1"/>
  <c r="Z197" i="8"/>
  <c r="CZ290" i="23" s="1"/>
  <c r="Z196" i="8"/>
  <c r="CY290" i="23" s="1"/>
  <c r="Z195" i="8"/>
  <c r="CX290" i="23" s="1"/>
  <c r="Z194" i="8"/>
  <c r="CW290" i="23" s="1"/>
  <c r="Z192" i="8"/>
  <c r="CV290" i="23" s="1"/>
  <c r="Z191" i="8"/>
  <c r="CU290" i="23" s="1"/>
  <c r="Z190" i="8"/>
  <c r="CT290" i="23" s="1"/>
  <c r="Z189" i="8"/>
  <c r="CS290" i="23" s="1"/>
  <c r="Z188" i="8"/>
  <c r="CR290" i="23" s="1"/>
  <c r="Z186" i="8"/>
  <c r="CQ290" i="23" s="1"/>
  <c r="Z185" i="8"/>
  <c r="CP290" i="23" s="1"/>
  <c r="Z184" i="8"/>
  <c r="CO290" i="23" s="1"/>
  <c r="Z183" i="8"/>
  <c r="CN290" i="23" s="1"/>
  <c r="Z181" i="8"/>
  <c r="CM290" i="23" s="1"/>
  <c r="Z180" i="8"/>
  <c r="CL290" i="23" s="1"/>
  <c r="Z179" i="8"/>
  <c r="CK290" i="23" s="1"/>
  <c r="Z177" i="8"/>
  <c r="CJ290" i="23" s="1"/>
  <c r="Z176" i="8"/>
  <c r="CI290" i="23" s="1"/>
  <c r="Z175" i="8"/>
  <c r="CH290" i="23" s="1"/>
  <c r="Z174" i="8"/>
  <c r="CG290" i="23" s="1"/>
  <c r="Z173" i="8"/>
  <c r="CF290" i="23" s="1"/>
  <c r="Z171" i="8"/>
  <c r="CE290" i="23" s="1"/>
  <c r="Z170" i="8"/>
  <c r="CD290" i="23" s="1"/>
  <c r="Z169" i="8"/>
  <c r="CC290" i="23" s="1"/>
  <c r="Z168" i="8"/>
  <c r="CB290" i="23" s="1"/>
  <c r="Z167" i="8"/>
  <c r="CA290" i="23" s="1"/>
  <c r="Z166" i="8"/>
  <c r="BZ290" i="23" s="1"/>
  <c r="Z165" i="8"/>
  <c r="BY290" i="23" s="1"/>
  <c r="Z162" i="8"/>
  <c r="BX290" i="23" s="1"/>
  <c r="Z161" i="8"/>
  <c r="BW290" i="23" s="1"/>
  <c r="Z160" i="8"/>
  <c r="BV290" i="23" s="1"/>
  <c r="Z159" i="8"/>
  <c r="BU290" i="23" s="1"/>
  <c r="Z158" i="8"/>
  <c r="BT290" i="23" s="1"/>
  <c r="Z154" i="8"/>
  <c r="BS290" i="23" s="1"/>
  <c r="Z153" i="8"/>
  <c r="BR290" i="23" s="1"/>
  <c r="Z152" i="8"/>
  <c r="BQ290" i="23" s="1"/>
  <c r="Z151" i="8"/>
  <c r="BP290" i="23" s="1"/>
  <c r="Z149" i="8"/>
  <c r="BO290" i="23" s="1"/>
  <c r="Z148" i="8"/>
  <c r="BN290" i="23" s="1"/>
  <c r="Z147" i="8"/>
  <c r="BM290" i="23" s="1"/>
  <c r="Z145" i="8"/>
  <c r="BL290" i="23" s="1"/>
  <c r="Z144" i="8"/>
  <c r="BK290" i="23" s="1"/>
  <c r="Z143" i="8"/>
  <c r="BJ290" i="23" s="1"/>
  <c r="Z142" i="8"/>
  <c r="BI290" i="23" s="1"/>
  <c r="Z141" i="8"/>
  <c r="BH290" i="23" s="1"/>
  <c r="Z140" i="8"/>
  <c r="BG290" i="23" s="1"/>
  <c r="Z139" i="8"/>
  <c r="BF290" i="23" s="1"/>
  <c r="Z137" i="8"/>
  <c r="BE290" i="23" s="1"/>
  <c r="Z136" i="8"/>
  <c r="BD290" i="23" s="1"/>
  <c r="Z135" i="8"/>
  <c r="BC290" i="23" s="1"/>
  <c r="Z134" i="8"/>
  <c r="BB290" i="23" s="1"/>
  <c r="Z132" i="8"/>
  <c r="BA290" i="23" s="1"/>
  <c r="Z131" i="8"/>
  <c r="AZ290" i="23" s="1"/>
  <c r="Z130" i="8"/>
  <c r="AY290" i="23" s="1"/>
  <c r="Z128" i="8"/>
  <c r="AX290" i="23" s="1"/>
  <c r="Z127" i="8"/>
  <c r="AW290" i="23" s="1"/>
  <c r="Z126" i="8"/>
  <c r="AV290" i="23" s="1"/>
  <c r="Z125" i="8"/>
  <c r="AU290" i="23" s="1"/>
  <c r="Z124" i="8"/>
  <c r="AT290" i="23" s="1"/>
  <c r="Z123" i="8"/>
  <c r="AS290" i="23" s="1"/>
  <c r="Z122" i="8"/>
  <c r="AR290" i="23" s="1"/>
  <c r="Z121" i="8"/>
  <c r="AQ290" i="23" s="1"/>
  <c r="Z120" i="8"/>
  <c r="AP290" i="23" s="1"/>
  <c r="Z119" i="8"/>
  <c r="AO290" i="23" s="1"/>
  <c r="Z118" i="8"/>
  <c r="AN290" i="23" s="1"/>
  <c r="Z117" i="8"/>
  <c r="AM290" i="23" s="1"/>
  <c r="Z113" i="8"/>
  <c r="AL290" i="23" s="1"/>
  <c r="Z112" i="8"/>
  <c r="AK290" i="23" s="1"/>
  <c r="Z111" i="8"/>
  <c r="AJ290" i="23" s="1"/>
  <c r="Z110" i="8"/>
  <c r="AI290" i="23" s="1"/>
  <c r="Z109" i="8"/>
  <c r="AH290" i="23" s="1"/>
  <c r="Z108" i="8"/>
  <c r="AG290" i="23" s="1"/>
  <c r="Z107" i="8"/>
  <c r="AF290" i="23" s="1"/>
  <c r="Z106" i="8"/>
  <c r="AE290" i="23" s="1"/>
  <c r="Z105" i="8"/>
  <c r="AD290" i="23" s="1"/>
  <c r="Z102" i="8"/>
  <c r="AC290" i="23" s="1"/>
  <c r="Z101" i="8"/>
  <c r="AB290" i="23" s="1"/>
  <c r="Z100" i="8"/>
  <c r="AA290" i="23" s="1"/>
  <c r="Z99" i="8"/>
  <c r="Z290" i="23" s="1"/>
  <c r="Z98" i="8"/>
  <c r="Y290" i="23" s="1"/>
  <c r="Z97" i="8"/>
  <c r="X290" i="23" s="1"/>
  <c r="Z96" i="8"/>
  <c r="W290" i="23" s="1"/>
  <c r="Z95" i="8"/>
  <c r="V290" i="23" s="1"/>
  <c r="Z94" i="8"/>
  <c r="U290" i="23" s="1"/>
  <c r="Z93" i="8"/>
  <c r="T290" i="23" s="1"/>
  <c r="Z92" i="8"/>
  <c r="S290" i="23" s="1"/>
  <c r="Z91" i="8"/>
  <c r="R290" i="23" s="1"/>
  <c r="Z89" i="8"/>
  <c r="Z88" i="8"/>
  <c r="Q290" i="23" s="1"/>
  <c r="Z86" i="8"/>
  <c r="P290" i="23" s="1"/>
  <c r="Z85" i="8"/>
  <c r="O290" i="23" s="1"/>
  <c r="Z84" i="8"/>
  <c r="N290" i="23" s="1"/>
  <c r="Z83" i="8"/>
  <c r="M290" i="23" s="1"/>
  <c r="Z82" i="8"/>
  <c r="L290" i="23" s="1"/>
  <c r="Z81" i="8"/>
  <c r="K290" i="23" s="1"/>
  <c r="Z80" i="8"/>
  <c r="J290" i="23" s="1"/>
  <c r="Z79" i="8"/>
  <c r="I290" i="23" s="1"/>
  <c r="Z78" i="8"/>
  <c r="H290" i="23" s="1"/>
  <c r="Z77" i="8"/>
  <c r="G290" i="23" s="1"/>
  <c r="Z69" i="8"/>
  <c r="Z68" i="8"/>
  <c r="Z67" i="8"/>
  <c r="Z66" i="8"/>
  <c r="Z65" i="8"/>
  <c r="Z64" i="8"/>
  <c r="Z63" i="8"/>
  <c r="Z62" i="8"/>
  <c r="Z61" i="8"/>
  <c r="Z55" i="8"/>
  <c r="Z51" i="8"/>
  <c r="Z46" i="8"/>
  <c r="Z45" i="8"/>
  <c r="Z44" i="8"/>
  <c r="Z42" i="8"/>
  <c r="Z41" i="8"/>
  <c r="Z40" i="8"/>
  <c r="Z39" i="8"/>
  <c r="Z37" i="8"/>
  <c r="Z36" i="8"/>
  <c r="Z35" i="8"/>
  <c r="Z34" i="8"/>
  <c r="Z33" i="8"/>
  <c r="Z32" i="8"/>
  <c r="Z31" i="8"/>
  <c r="Z26" i="8"/>
  <c r="Z25" i="8"/>
  <c r="Z24" i="8"/>
  <c r="Z21" i="8"/>
  <c r="Z20" i="8"/>
  <c r="Z19" i="8"/>
  <c r="Z16" i="8"/>
  <c r="Z15" i="8"/>
  <c r="Z14" i="8"/>
  <c r="Z12" i="8"/>
  <c r="Z11" i="8"/>
  <c r="Z10" i="8"/>
  <c r="Z9" i="8"/>
  <c r="Z7" i="8"/>
  <c r="Y247" i="8"/>
  <c r="Y246" i="8"/>
  <c r="Y245" i="8"/>
  <c r="Y244" i="8"/>
  <c r="Y243" i="8"/>
  <c r="Y242" i="8"/>
  <c r="Y239" i="8"/>
  <c r="EA291" i="23" s="1"/>
  <c r="Y238" i="8"/>
  <c r="DZ291" i="23" s="1"/>
  <c r="Y237" i="8"/>
  <c r="DY291" i="23" s="1"/>
  <c r="Y229" i="8"/>
  <c r="DX291" i="23" s="1"/>
  <c r="Y228" i="8"/>
  <c r="DW291" i="23" s="1"/>
  <c r="Y226" i="8"/>
  <c r="DV291" i="23" s="1"/>
  <c r="Y225" i="8"/>
  <c r="DU291" i="23" s="1"/>
  <c r="Y224" i="8"/>
  <c r="DT291" i="23" s="1"/>
  <c r="Y222" i="8"/>
  <c r="DS291" i="23" s="1"/>
  <c r="Y221" i="8"/>
  <c r="DR291" i="23" s="1"/>
  <c r="Y220" i="8"/>
  <c r="DQ291" i="23" s="1"/>
  <c r="Y216" i="8"/>
  <c r="DP291" i="23" s="1"/>
  <c r="Y215" i="8"/>
  <c r="DO291" i="23" s="1"/>
  <c r="Y213" i="8"/>
  <c r="DN291" i="23" s="1"/>
  <c r="Y212" i="8"/>
  <c r="DM291" i="23" s="1"/>
  <c r="Y211" i="8"/>
  <c r="DL291" i="23" s="1"/>
  <c r="Y210" i="8"/>
  <c r="DK291" i="23" s="1"/>
  <c r="Y208" i="8"/>
  <c r="DJ291" i="23" s="1"/>
  <c r="Y207" i="8"/>
  <c r="DI291" i="23" s="1"/>
  <c r="Y206" i="8"/>
  <c r="DH291" i="23" s="1"/>
  <c r="Y204" i="8"/>
  <c r="DG291" i="23" s="1"/>
  <c r="Y203" i="8"/>
  <c r="DF291" i="23" s="1"/>
  <c r="Y202" i="8"/>
  <c r="DE291" i="23" s="1"/>
  <c r="Y201" i="8"/>
  <c r="DD291" i="23" s="1"/>
  <c r="Y200" i="8"/>
  <c r="DC291" i="23" s="1"/>
  <c r="Y199" i="8"/>
  <c r="DB291" i="23" s="1"/>
  <c r="Y198" i="8"/>
  <c r="DA291" i="23" s="1"/>
  <c r="Y197" i="8"/>
  <c r="CZ291" i="23" s="1"/>
  <c r="Y196" i="8"/>
  <c r="CY291" i="23" s="1"/>
  <c r="Y195" i="8"/>
  <c r="CX291" i="23" s="1"/>
  <c r="Y194" i="8"/>
  <c r="CW291" i="23" s="1"/>
  <c r="Y192" i="8"/>
  <c r="CV291" i="23" s="1"/>
  <c r="Y191" i="8"/>
  <c r="CU291" i="23" s="1"/>
  <c r="Y190" i="8"/>
  <c r="CT291" i="23" s="1"/>
  <c r="Y189" i="8"/>
  <c r="CS291" i="23" s="1"/>
  <c r="Y188" i="8"/>
  <c r="CR291" i="23" s="1"/>
  <c r="Y186" i="8"/>
  <c r="CQ291" i="23" s="1"/>
  <c r="Y185" i="8"/>
  <c r="CP291" i="23" s="1"/>
  <c r="Y184" i="8"/>
  <c r="CO291" i="23" s="1"/>
  <c r="Y183" i="8"/>
  <c r="CN291" i="23" s="1"/>
  <c r="Y181" i="8"/>
  <c r="CM291" i="23" s="1"/>
  <c r="Y180" i="8"/>
  <c r="CL291" i="23" s="1"/>
  <c r="Y179" i="8"/>
  <c r="CK291" i="23" s="1"/>
  <c r="Y177" i="8"/>
  <c r="CJ291" i="23" s="1"/>
  <c r="Y176" i="8"/>
  <c r="CI291" i="23" s="1"/>
  <c r="Y175" i="8"/>
  <c r="CH291" i="23" s="1"/>
  <c r="Y174" i="8"/>
  <c r="CG291" i="23" s="1"/>
  <c r="Y173" i="8"/>
  <c r="CF291" i="23" s="1"/>
  <c r="Y171" i="8"/>
  <c r="CE291" i="23" s="1"/>
  <c r="Y170" i="8"/>
  <c r="CD291" i="23" s="1"/>
  <c r="Y169" i="8"/>
  <c r="CC291" i="23" s="1"/>
  <c r="Y168" i="8"/>
  <c r="CB291" i="23" s="1"/>
  <c r="Y167" i="8"/>
  <c r="CA291" i="23" s="1"/>
  <c r="Y166" i="8"/>
  <c r="BZ291" i="23" s="1"/>
  <c r="Y165" i="8"/>
  <c r="BY291" i="23" s="1"/>
  <c r="Y162" i="8"/>
  <c r="BX291" i="23" s="1"/>
  <c r="Y161" i="8"/>
  <c r="BW291" i="23" s="1"/>
  <c r="Y160" i="8"/>
  <c r="BV291" i="23" s="1"/>
  <c r="Y159" i="8"/>
  <c r="BU291" i="23" s="1"/>
  <c r="Y158" i="8"/>
  <c r="BT291" i="23" s="1"/>
  <c r="Y154" i="8"/>
  <c r="BS291" i="23" s="1"/>
  <c r="Y153" i="8"/>
  <c r="BR291" i="23" s="1"/>
  <c r="Y152" i="8"/>
  <c r="BQ291" i="23" s="1"/>
  <c r="Y151" i="8"/>
  <c r="BP291" i="23" s="1"/>
  <c r="Y149" i="8"/>
  <c r="BO291" i="23" s="1"/>
  <c r="Y148" i="8"/>
  <c r="BN291" i="23" s="1"/>
  <c r="Y147" i="8"/>
  <c r="BM291" i="23" s="1"/>
  <c r="Y145" i="8"/>
  <c r="BL291" i="23" s="1"/>
  <c r="Y144" i="8"/>
  <c r="BK291" i="23" s="1"/>
  <c r="Y143" i="8"/>
  <c r="BJ291" i="23" s="1"/>
  <c r="Y142" i="8"/>
  <c r="BI291" i="23" s="1"/>
  <c r="Y141" i="8"/>
  <c r="BH291" i="23" s="1"/>
  <c r="Y140" i="8"/>
  <c r="BG291" i="23" s="1"/>
  <c r="Y139" i="8"/>
  <c r="BF291" i="23" s="1"/>
  <c r="Y137" i="8"/>
  <c r="BE291" i="23" s="1"/>
  <c r="Y136" i="8"/>
  <c r="BD291" i="23" s="1"/>
  <c r="Y135" i="8"/>
  <c r="BC291" i="23" s="1"/>
  <c r="Y134" i="8"/>
  <c r="BB291" i="23" s="1"/>
  <c r="Y132" i="8"/>
  <c r="BA291" i="23" s="1"/>
  <c r="Y131" i="8"/>
  <c r="AZ291" i="23" s="1"/>
  <c r="Y130" i="8"/>
  <c r="AY291" i="23" s="1"/>
  <c r="Y128" i="8"/>
  <c r="AX291" i="23" s="1"/>
  <c r="Y127" i="8"/>
  <c r="AW291" i="23" s="1"/>
  <c r="Y126" i="8"/>
  <c r="AV291" i="23" s="1"/>
  <c r="Y125" i="8"/>
  <c r="AU291" i="23" s="1"/>
  <c r="Y124" i="8"/>
  <c r="AT291" i="23" s="1"/>
  <c r="Y123" i="8"/>
  <c r="AS291" i="23" s="1"/>
  <c r="Y122" i="8"/>
  <c r="AR291" i="23" s="1"/>
  <c r="Y121" i="8"/>
  <c r="AQ291" i="23" s="1"/>
  <c r="Y120" i="8"/>
  <c r="AP291" i="23" s="1"/>
  <c r="Y119" i="8"/>
  <c r="AO291" i="23" s="1"/>
  <c r="Y118" i="8"/>
  <c r="AN291" i="23" s="1"/>
  <c r="Y117" i="8"/>
  <c r="AM291" i="23" s="1"/>
  <c r="Y113" i="8"/>
  <c r="AL291" i="23" s="1"/>
  <c r="Y112" i="8"/>
  <c r="AK291" i="23" s="1"/>
  <c r="Y111" i="8"/>
  <c r="AJ291" i="23" s="1"/>
  <c r="Y110" i="8"/>
  <c r="AI291" i="23" s="1"/>
  <c r="Y109" i="8"/>
  <c r="AH291" i="23" s="1"/>
  <c r="Y108" i="8"/>
  <c r="AG291" i="23" s="1"/>
  <c r="Y107" i="8"/>
  <c r="AF291" i="23" s="1"/>
  <c r="Y106" i="8"/>
  <c r="AE291" i="23" s="1"/>
  <c r="Y105" i="8"/>
  <c r="AD291" i="23" s="1"/>
  <c r="Y102" i="8"/>
  <c r="AC291" i="23" s="1"/>
  <c r="Y101" i="8"/>
  <c r="AB291" i="23" s="1"/>
  <c r="Y100" i="8"/>
  <c r="AA291" i="23" s="1"/>
  <c r="Y99" i="8"/>
  <c r="Z291" i="23" s="1"/>
  <c r="Y98" i="8"/>
  <c r="Y291" i="23" s="1"/>
  <c r="Y97" i="8"/>
  <c r="X291" i="23" s="1"/>
  <c r="Y96" i="8"/>
  <c r="W291" i="23" s="1"/>
  <c r="Y95" i="8"/>
  <c r="V291" i="23" s="1"/>
  <c r="Y94" i="8"/>
  <c r="U291" i="23" s="1"/>
  <c r="Y93" i="8"/>
  <c r="T291" i="23" s="1"/>
  <c r="Y92" i="8"/>
  <c r="S291" i="23" s="1"/>
  <c r="Y91" i="8"/>
  <c r="R291" i="23" s="1"/>
  <c r="Y89" i="8"/>
  <c r="Y88" i="8"/>
  <c r="Q291" i="23" s="1"/>
  <c r="Y86" i="8"/>
  <c r="P291" i="23" s="1"/>
  <c r="Y85" i="8"/>
  <c r="O291" i="23" s="1"/>
  <c r="Y84" i="8"/>
  <c r="N291" i="23" s="1"/>
  <c r="Y83" i="8"/>
  <c r="M291" i="23" s="1"/>
  <c r="Y82" i="8"/>
  <c r="L291" i="23" s="1"/>
  <c r="Y81" i="8"/>
  <c r="K291" i="23" s="1"/>
  <c r="Y80" i="8"/>
  <c r="J291" i="23" s="1"/>
  <c r="Y79" i="8"/>
  <c r="I291" i="23" s="1"/>
  <c r="Y78" i="8"/>
  <c r="H291" i="23" s="1"/>
  <c r="Y77" i="8"/>
  <c r="G291" i="23" s="1"/>
  <c r="Y69" i="8"/>
  <c r="Y68" i="8"/>
  <c r="Y67" i="8"/>
  <c r="Y66" i="8"/>
  <c r="Y65" i="8"/>
  <c r="Y64" i="8"/>
  <c r="Y63" i="8"/>
  <c r="Y62" i="8"/>
  <c r="Y61" i="8"/>
  <c r="Y55" i="8"/>
  <c r="Y46" i="8"/>
  <c r="Y45" i="8"/>
  <c r="Y44" i="8"/>
  <c r="Y42" i="8"/>
  <c r="Y41" i="8"/>
  <c r="Y40" i="8"/>
  <c r="Y39" i="8"/>
  <c r="Y37" i="8"/>
  <c r="Y36" i="8"/>
  <c r="Y35" i="8"/>
  <c r="Y34" i="8"/>
  <c r="Y33" i="8"/>
  <c r="Y32" i="8"/>
  <c r="Y31" i="8"/>
  <c r="Y26" i="8"/>
  <c r="Y25" i="8"/>
  <c r="Y24" i="8"/>
  <c r="Y21" i="8"/>
  <c r="Y20" i="8"/>
  <c r="Y19" i="8"/>
  <c r="Y16" i="8"/>
  <c r="Y15" i="8"/>
  <c r="Y14" i="8"/>
  <c r="Y12" i="8"/>
  <c r="Y11" i="8"/>
  <c r="Y10" i="8"/>
  <c r="Y9" i="8"/>
  <c r="Y7" i="8"/>
  <c r="X247" i="8"/>
  <c r="AB247" i="8" s="1"/>
  <c r="X246" i="8"/>
  <c r="AB246" i="8" s="1"/>
  <c r="X245" i="8"/>
  <c r="AB245" i="8" s="1"/>
  <c r="X244" i="8"/>
  <c r="AB244" i="8" s="1"/>
  <c r="X243" i="8"/>
  <c r="AB243" i="8" s="1"/>
  <c r="X242" i="8"/>
  <c r="AB242" i="8" s="1"/>
  <c r="X239" i="8"/>
  <c r="X238" i="8"/>
  <c r="X237" i="8"/>
  <c r="X229" i="8"/>
  <c r="X228" i="8"/>
  <c r="X226" i="8"/>
  <c r="X225" i="8"/>
  <c r="X224" i="8"/>
  <c r="X222" i="8"/>
  <c r="X221" i="8"/>
  <c r="X220" i="8"/>
  <c r="X216" i="8"/>
  <c r="X215" i="8"/>
  <c r="X213" i="8"/>
  <c r="X212" i="8"/>
  <c r="X211" i="8"/>
  <c r="X210" i="8"/>
  <c r="X208" i="8"/>
  <c r="X207" i="8"/>
  <c r="X206" i="8"/>
  <c r="X204" i="8"/>
  <c r="X203" i="8"/>
  <c r="X202" i="8"/>
  <c r="X201" i="8"/>
  <c r="X200" i="8"/>
  <c r="X199" i="8"/>
  <c r="X198" i="8"/>
  <c r="X197" i="8"/>
  <c r="X196" i="8"/>
  <c r="X195" i="8"/>
  <c r="X194" i="8"/>
  <c r="X192" i="8"/>
  <c r="X191" i="8"/>
  <c r="X190" i="8"/>
  <c r="X189" i="8"/>
  <c r="X188" i="8"/>
  <c r="X186" i="8"/>
  <c r="X185" i="8"/>
  <c r="X184" i="8"/>
  <c r="X183" i="8"/>
  <c r="X181" i="8"/>
  <c r="X180" i="8"/>
  <c r="X179" i="8"/>
  <c r="X177" i="8"/>
  <c r="X176" i="8"/>
  <c r="X175" i="8"/>
  <c r="X174" i="8"/>
  <c r="X173" i="8"/>
  <c r="X171" i="8"/>
  <c r="X170" i="8"/>
  <c r="X169" i="8"/>
  <c r="X168" i="8"/>
  <c r="X167" i="8"/>
  <c r="X166" i="8"/>
  <c r="X165" i="8"/>
  <c r="X162" i="8"/>
  <c r="X161" i="8"/>
  <c r="X160" i="8"/>
  <c r="X159" i="8"/>
  <c r="X158" i="8"/>
  <c r="X154" i="8"/>
  <c r="X153" i="8"/>
  <c r="X152" i="8"/>
  <c r="X151" i="8"/>
  <c r="X149" i="8"/>
  <c r="X148" i="8"/>
  <c r="X147" i="8"/>
  <c r="X145" i="8"/>
  <c r="X144" i="8"/>
  <c r="X143" i="8"/>
  <c r="X142" i="8"/>
  <c r="X141" i="8"/>
  <c r="X140" i="8"/>
  <c r="X139" i="8"/>
  <c r="X137" i="8"/>
  <c r="X136" i="8"/>
  <c r="X135" i="8"/>
  <c r="X134" i="8"/>
  <c r="X132" i="8"/>
  <c r="X131" i="8"/>
  <c r="X130" i="8"/>
  <c r="X128" i="8"/>
  <c r="X127" i="8"/>
  <c r="X126" i="8"/>
  <c r="X125" i="8"/>
  <c r="X124" i="8"/>
  <c r="X123" i="8"/>
  <c r="X122" i="8"/>
  <c r="X121" i="8"/>
  <c r="X120" i="8"/>
  <c r="X119" i="8"/>
  <c r="X118" i="8"/>
  <c r="X117" i="8"/>
  <c r="X113" i="8"/>
  <c r="X112" i="8"/>
  <c r="X111" i="8"/>
  <c r="X110" i="8"/>
  <c r="X109" i="8"/>
  <c r="X108" i="8"/>
  <c r="X107" i="8"/>
  <c r="X106" i="8"/>
  <c r="X105" i="8"/>
  <c r="X102" i="8"/>
  <c r="X101" i="8"/>
  <c r="X100" i="8"/>
  <c r="X99" i="8"/>
  <c r="X98" i="8"/>
  <c r="X97" i="8"/>
  <c r="X96" i="8"/>
  <c r="X95" i="8"/>
  <c r="X94" i="8"/>
  <c r="X93" i="8"/>
  <c r="X92" i="8"/>
  <c r="X91" i="8"/>
  <c r="X89" i="8"/>
  <c r="AB89" i="8" s="1"/>
  <c r="X88" i="8"/>
  <c r="X86" i="8"/>
  <c r="X85" i="8"/>
  <c r="X84" i="8"/>
  <c r="X83" i="8"/>
  <c r="X82" i="8"/>
  <c r="X81" i="8"/>
  <c r="X80" i="8"/>
  <c r="X79" i="8"/>
  <c r="X78" i="8"/>
  <c r="X77" i="8"/>
  <c r="X69" i="8"/>
  <c r="AB69" i="8" s="1"/>
  <c r="X68" i="8"/>
  <c r="AB68" i="8" s="1"/>
  <c r="X67" i="8"/>
  <c r="AB67" i="8" s="1"/>
  <c r="X66" i="8"/>
  <c r="AB66" i="8" s="1"/>
  <c r="X65" i="8"/>
  <c r="AB65" i="8" s="1"/>
  <c r="X64" i="8"/>
  <c r="AB64" i="8" s="1"/>
  <c r="X63" i="8"/>
  <c r="AB63" i="8" s="1"/>
  <c r="X62" i="8"/>
  <c r="AB62" i="8" s="1"/>
  <c r="X61" i="8"/>
  <c r="AB61" i="8" s="1"/>
  <c r="X55" i="8"/>
  <c r="AB55" i="8" s="1"/>
  <c r="X51" i="8"/>
  <c r="AB51" i="8" s="1"/>
  <c r="X46" i="8"/>
  <c r="AB46" i="8" s="1"/>
  <c r="X45" i="8"/>
  <c r="AB45" i="8" s="1"/>
  <c r="X44" i="8"/>
  <c r="AB44" i="8" s="1"/>
  <c r="X42" i="8"/>
  <c r="AB42" i="8" s="1"/>
  <c r="X41" i="8"/>
  <c r="AB41" i="8" s="1"/>
  <c r="X40" i="8"/>
  <c r="AB40" i="8" s="1"/>
  <c r="X39" i="8"/>
  <c r="AB39" i="8" s="1"/>
  <c r="X37" i="8"/>
  <c r="AB37" i="8" s="1"/>
  <c r="X36" i="8"/>
  <c r="AB36" i="8" s="1"/>
  <c r="X35" i="8"/>
  <c r="AB35" i="8" s="1"/>
  <c r="X34" i="8"/>
  <c r="AB34" i="8" s="1"/>
  <c r="X33" i="8"/>
  <c r="AB33" i="8" s="1"/>
  <c r="X32" i="8"/>
  <c r="AB32" i="8" s="1"/>
  <c r="X31" i="8"/>
  <c r="AB31" i="8" s="1"/>
  <c r="X26" i="8"/>
  <c r="X25" i="8"/>
  <c r="X24" i="8"/>
  <c r="X21" i="8"/>
  <c r="X20" i="8"/>
  <c r="X19" i="8"/>
  <c r="X16" i="8"/>
  <c r="X15" i="8"/>
  <c r="X14" i="8"/>
  <c r="X12" i="8"/>
  <c r="X11" i="8"/>
  <c r="X10" i="8"/>
  <c r="X9" i="8"/>
  <c r="X7" i="8"/>
  <c r="W247" i="8"/>
  <c r="W246" i="8"/>
  <c r="W245" i="8"/>
  <c r="W244" i="8"/>
  <c r="W243" i="8"/>
  <c r="W242" i="8"/>
  <c r="W239" i="8"/>
  <c r="W238" i="8"/>
  <c r="W237" i="8"/>
  <c r="W229" i="8"/>
  <c r="W228" i="8"/>
  <c r="W226" i="8"/>
  <c r="W225" i="8"/>
  <c r="W224" i="8"/>
  <c r="W222" i="8"/>
  <c r="W221" i="8"/>
  <c r="W220" i="8"/>
  <c r="W216" i="8"/>
  <c r="W215" i="8"/>
  <c r="W213" i="8"/>
  <c r="W212" i="8"/>
  <c r="W211" i="8"/>
  <c r="W210" i="8"/>
  <c r="W208" i="8"/>
  <c r="W207" i="8"/>
  <c r="W206" i="8"/>
  <c r="W204" i="8"/>
  <c r="W203" i="8"/>
  <c r="W202" i="8"/>
  <c r="W201" i="8"/>
  <c r="W200" i="8"/>
  <c r="W199" i="8"/>
  <c r="W198" i="8"/>
  <c r="W197" i="8"/>
  <c r="W196" i="8"/>
  <c r="W195" i="8"/>
  <c r="W194" i="8"/>
  <c r="W192" i="8"/>
  <c r="W191" i="8"/>
  <c r="W190" i="8"/>
  <c r="W189" i="8"/>
  <c r="W188" i="8"/>
  <c r="W186" i="8"/>
  <c r="W185" i="8"/>
  <c r="W184" i="8"/>
  <c r="W183" i="8"/>
  <c r="W181" i="8"/>
  <c r="W180" i="8"/>
  <c r="W179" i="8"/>
  <c r="W177" i="8"/>
  <c r="W176" i="8"/>
  <c r="W175" i="8"/>
  <c r="W174" i="8"/>
  <c r="W173" i="8"/>
  <c r="W171" i="8"/>
  <c r="W170" i="8"/>
  <c r="W169" i="8"/>
  <c r="W168" i="8"/>
  <c r="W167" i="8"/>
  <c r="W166" i="8"/>
  <c r="W165" i="8"/>
  <c r="W162" i="8"/>
  <c r="W161" i="8"/>
  <c r="W160" i="8"/>
  <c r="W159" i="8"/>
  <c r="W158" i="8"/>
  <c r="W154" i="8"/>
  <c r="W153" i="8"/>
  <c r="W152" i="8"/>
  <c r="W151" i="8"/>
  <c r="W149" i="8"/>
  <c r="W148" i="8"/>
  <c r="W147" i="8"/>
  <c r="W145" i="8"/>
  <c r="W144" i="8"/>
  <c r="W143" i="8"/>
  <c r="W142" i="8"/>
  <c r="W141" i="8"/>
  <c r="W140" i="8"/>
  <c r="W139" i="8"/>
  <c r="W137" i="8"/>
  <c r="W136" i="8"/>
  <c r="W135" i="8"/>
  <c r="W134" i="8"/>
  <c r="W132" i="8"/>
  <c r="W131" i="8"/>
  <c r="W130" i="8"/>
  <c r="W128" i="8"/>
  <c r="W127" i="8"/>
  <c r="W126" i="8"/>
  <c r="W125" i="8"/>
  <c r="W124" i="8"/>
  <c r="W123" i="8"/>
  <c r="W122" i="8"/>
  <c r="W121" i="8"/>
  <c r="W120" i="8"/>
  <c r="W119" i="8"/>
  <c r="W118" i="8"/>
  <c r="W117" i="8"/>
  <c r="W113" i="8"/>
  <c r="W112" i="8"/>
  <c r="W111" i="8"/>
  <c r="W110" i="8"/>
  <c r="W109" i="8"/>
  <c r="W108" i="8"/>
  <c r="W107" i="8"/>
  <c r="W106" i="8"/>
  <c r="W105" i="8"/>
  <c r="W102" i="8"/>
  <c r="W101" i="8"/>
  <c r="W100" i="8"/>
  <c r="W99" i="8"/>
  <c r="W98" i="8"/>
  <c r="W97" i="8"/>
  <c r="W96" i="8"/>
  <c r="W95" i="8"/>
  <c r="W94" i="8"/>
  <c r="W93" i="8"/>
  <c r="W92" i="8"/>
  <c r="W91" i="8"/>
  <c r="W89" i="8"/>
  <c r="W88" i="8"/>
  <c r="W86" i="8"/>
  <c r="W85" i="8"/>
  <c r="W84" i="8"/>
  <c r="W83" i="8"/>
  <c r="W82" i="8"/>
  <c r="W81" i="8"/>
  <c r="W80" i="8"/>
  <c r="W79" i="8"/>
  <c r="W78" i="8"/>
  <c r="W77" i="8"/>
  <c r="W69" i="8"/>
  <c r="W68" i="8"/>
  <c r="W67" i="8"/>
  <c r="W66" i="8"/>
  <c r="W65" i="8"/>
  <c r="W64" i="8"/>
  <c r="W63" i="8"/>
  <c r="W62" i="8"/>
  <c r="W61" i="8"/>
  <c r="W55" i="8"/>
  <c r="W51" i="8"/>
  <c r="W46" i="8"/>
  <c r="W45" i="8"/>
  <c r="W44" i="8"/>
  <c r="W42" i="8"/>
  <c r="W41" i="8"/>
  <c r="W40" i="8"/>
  <c r="W39" i="8"/>
  <c r="W37" i="8"/>
  <c r="W36" i="8"/>
  <c r="W35" i="8"/>
  <c r="W34" i="8"/>
  <c r="W33" i="8"/>
  <c r="W32" i="8"/>
  <c r="W31" i="8"/>
  <c r="W26" i="8"/>
  <c r="W25" i="8"/>
  <c r="W24" i="8"/>
  <c r="W21" i="8"/>
  <c r="W20" i="8"/>
  <c r="W19" i="8"/>
  <c r="W16" i="8"/>
  <c r="W15" i="8"/>
  <c r="W14" i="8"/>
  <c r="W12" i="8"/>
  <c r="W11" i="8"/>
  <c r="W10" i="8"/>
  <c r="W9" i="8"/>
  <c r="W7" i="8"/>
  <c r="V247" i="8"/>
  <c r="V246" i="8"/>
  <c r="V245" i="8"/>
  <c r="V244" i="8"/>
  <c r="V243" i="8"/>
  <c r="V242" i="8"/>
  <c r="V239" i="8"/>
  <c r="EA294" i="23" s="1"/>
  <c r="V238" i="8"/>
  <c r="DZ294" i="23" s="1"/>
  <c r="V237" i="8"/>
  <c r="DY294" i="23" s="1"/>
  <c r="V229" i="8"/>
  <c r="DX294" i="23" s="1"/>
  <c r="V228" i="8"/>
  <c r="DW294" i="23" s="1"/>
  <c r="V226" i="8"/>
  <c r="DV294" i="23" s="1"/>
  <c r="V225" i="8"/>
  <c r="DU294" i="23" s="1"/>
  <c r="V224" i="8"/>
  <c r="DT294" i="23" s="1"/>
  <c r="V222" i="8"/>
  <c r="DS294" i="23" s="1"/>
  <c r="V221" i="8"/>
  <c r="DR294" i="23" s="1"/>
  <c r="V220" i="8"/>
  <c r="DQ294" i="23" s="1"/>
  <c r="V216" i="8"/>
  <c r="DP294" i="23" s="1"/>
  <c r="V215" i="8"/>
  <c r="DO294" i="23" s="1"/>
  <c r="V213" i="8"/>
  <c r="DN294" i="23" s="1"/>
  <c r="V212" i="8"/>
  <c r="DM294" i="23" s="1"/>
  <c r="V211" i="8"/>
  <c r="DL294" i="23" s="1"/>
  <c r="V210" i="8"/>
  <c r="DK294" i="23" s="1"/>
  <c r="V208" i="8"/>
  <c r="DJ294" i="23" s="1"/>
  <c r="V207" i="8"/>
  <c r="DI294" i="23" s="1"/>
  <c r="V206" i="8"/>
  <c r="DH294" i="23" s="1"/>
  <c r="V204" i="8"/>
  <c r="DG294" i="23" s="1"/>
  <c r="V203" i="8"/>
  <c r="DF294" i="23" s="1"/>
  <c r="V202" i="8"/>
  <c r="DE294" i="23" s="1"/>
  <c r="V201" i="8"/>
  <c r="DD294" i="23" s="1"/>
  <c r="V200" i="8"/>
  <c r="DC294" i="23" s="1"/>
  <c r="V199" i="8"/>
  <c r="DB294" i="23" s="1"/>
  <c r="V198" i="8"/>
  <c r="DA294" i="23" s="1"/>
  <c r="V197" i="8"/>
  <c r="CZ294" i="23" s="1"/>
  <c r="V196" i="8"/>
  <c r="CY294" i="23" s="1"/>
  <c r="V195" i="8"/>
  <c r="CX294" i="23" s="1"/>
  <c r="V194" i="8"/>
  <c r="CW294" i="23" s="1"/>
  <c r="V192" i="8"/>
  <c r="CV294" i="23" s="1"/>
  <c r="V191" i="8"/>
  <c r="CU294" i="23" s="1"/>
  <c r="V190" i="8"/>
  <c r="CT294" i="23" s="1"/>
  <c r="V189" i="8"/>
  <c r="CS294" i="23" s="1"/>
  <c r="V188" i="8"/>
  <c r="CR294" i="23" s="1"/>
  <c r="V186" i="8"/>
  <c r="CQ294" i="23" s="1"/>
  <c r="V185" i="8"/>
  <c r="CP294" i="23" s="1"/>
  <c r="V184" i="8"/>
  <c r="CO294" i="23" s="1"/>
  <c r="V183" i="8"/>
  <c r="CN294" i="23" s="1"/>
  <c r="V181" i="8"/>
  <c r="CM294" i="23" s="1"/>
  <c r="V180" i="8"/>
  <c r="CL294" i="23" s="1"/>
  <c r="V179" i="8"/>
  <c r="CK294" i="23" s="1"/>
  <c r="V177" i="8"/>
  <c r="CJ294" i="23" s="1"/>
  <c r="V176" i="8"/>
  <c r="CI294" i="23" s="1"/>
  <c r="V175" i="8"/>
  <c r="CH294" i="23" s="1"/>
  <c r="V174" i="8"/>
  <c r="CG294" i="23" s="1"/>
  <c r="V173" i="8"/>
  <c r="CF294" i="23" s="1"/>
  <c r="V171" i="8"/>
  <c r="CE294" i="23" s="1"/>
  <c r="V170" i="8"/>
  <c r="CD294" i="23" s="1"/>
  <c r="V169" i="8"/>
  <c r="CC294" i="23" s="1"/>
  <c r="V168" i="8"/>
  <c r="CB294" i="23" s="1"/>
  <c r="V167" i="8"/>
  <c r="CA294" i="23" s="1"/>
  <c r="V166" i="8"/>
  <c r="BZ294" i="23" s="1"/>
  <c r="V165" i="8"/>
  <c r="BY294" i="23" s="1"/>
  <c r="V162" i="8"/>
  <c r="BX294" i="23" s="1"/>
  <c r="V161" i="8"/>
  <c r="BW294" i="23" s="1"/>
  <c r="V160" i="8"/>
  <c r="BV294" i="23" s="1"/>
  <c r="V159" i="8"/>
  <c r="BU294" i="23" s="1"/>
  <c r="V158" i="8"/>
  <c r="BT294" i="23" s="1"/>
  <c r="V154" i="8"/>
  <c r="BS294" i="23" s="1"/>
  <c r="V153" i="8"/>
  <c r="BR294" i="23" s="1"/>
  <c r="V152" i="8"/>
  <c r="BQ294" i="23" s="1"/>
  <c r="V151" i="8"/>
  <c r="BP294" i="23" s="1"/>
  <c r="V149" i="8"/>
  <c r="BO294" i="23" s="1"/>
  <c r="V148" i="8"/>
  <c r="BN294" i="23" s="1"/>
  <c r="V147" i="8"/>
  <c r="BM294" i="23" s="1"/>
  <c r="V145" i="8"/>
  <c r="BL294" i="23" s="1"/>
  <c r="V144" i="8"/>
  <c r="BK294" i="23" s="1"/>
  <c r="V143" i="8"/>
  <c r="BJ294" i="23" s="1"/>
  <c r="V142" i="8"/>
  <c r="BI294" i="23" s="1"/>
  <c r="V141" i="8"/>
  <c r="BH294" i="23" s="1"/>
  <c r="V140" i="8"/>
  <c r="BG294" i="23" s="1"/>
  <c r="V139" i="8"/>
  <c r="BF294" i="23" s="1"/>
  <c r="V137" i="8"/>
  <c r="BE294" i="23" s="1"/>
  <c r="V136" i="8"/>
  <c r="BD294" i="23" s="1"/>
  <c r="V135" i="8"/>
  <c r="BC294" i="23" s="1"/>
  <c r="V134" i="8"/>
  <c r="BB294" i="23" s="1"/>
  <c r="V132" i="8"/>
  <c r="BA294" i="23" s="1"/>
  <c r="V131" i="8"/>
  <c r="AZ294" i="23" s="1"/>
  <c r="V130" i="8"/>
  <c r="AY294" i="23" s="1"/>
  <c r="V128" i="8"/>
  <c r="AX294" i="23" s="1"/>
  <c r="V127" i="8"/>
  <c r="AW294" i="23" s="1"/>
  <c r="V126" i="8"/>
  <c r="AV294" i="23" s="1"/>
  <c r="V125" i="8"/>
  <c r="AU294" i="23" s="1"/>
  <c r="V124" i="8"/>
  <c r="AT294" i="23" s="1"/>
  <c r="V123" i="8"/>
  <c r="AS294" i="23" s="1"/>
  <c r="V122" i="8"/>
  <c r="AR294" i="23" s="1"/>
  <c r="V121" i="8"/>
  <c r="AQ294" i="23" s="1"/>
  <c r="V120" i="8"/>
  <c r="AP294" i="23" s="1"/>
  <c r="V119" i="8"/>
  <c r="AO294" i="23" s="1"/>
  <c r="V118" i="8"/>
  <c r="AN294" i="23" s="1"/>
  <c r="V117" i="8"/>
  <c r="AM294" i="23" s="1"/>
  <c r="V113" i="8"/>
  <c r="AL294" i="23" s="1"/>
  <c r="V112" i="8"/>
  <c r="AK294" i="23" s="1"/>
  <c r="V111" i="8"/>
  <c r="AJ294" i="23" s="1"/>
  <c r="V110" i="8"/>
  <c r="AI294" i="23" s="1"/>
  <c r="V109" i="8"/>
  <c r="AH294" i="23" s="1"/>
  <c r="V108" i="8"/>
  <c r="AG294" i="23" s="1"/>
  <c r="V107" i="8"/>
  <c r="AF294" i="23" s="1"/>
  <c r="V106" i="8"/>
  <c r="AE294" i="23" s="1"/>
  <c r="V105" i="8"/>
  <c r="AD294" i="23" s="1"/>
  <c r="V102" i="8"/>
  <c r="AC294" i="23" s="1"/>
  <c r="V101" i="8"/>
  <c r="AB294" i="23" s="1"/>
  <c r="V100" i="8"/>
  <c r="AA294" i="23" s="1"/>
  <c r="V99" i="8"/>
  <c r="Z294" i="23" s="1"/>
  <c r="V98" i="8"/>
  <c r="Y294" i="23" s="1"/>
  <c r="V97" i="8"/>
  <c r="X294" i="23" s="1"/>
  <c r="V96" i="8"/>
  <c r="W294" i="23" s="1"/>
  <c r="V95" i="8"/>
  <c r="V294" i="23" s="1"/>
  <c r="V94" i="8"/>
  <c r="U294" i="23" s="1"/>
  <c r="V93" i="8"/>
  <c r="T294" i="23" s="1"/>
  <c r="V92" i="8"/>
  <c r="S294" i="23" s="1"/>
  <c r="V91" i="8"/>
  <c r="R294" i="23" s="1"/>
  <c r="V89" i="8"/>
  <c r="V88" i="8"/>
  <c r="Q294" i="23" s="1"/>
  <c r="V86" i="8"/>
  <c r="P294" i="23" s="1"/>
  <c r="V85" i="8"/>
  <c r="O294" i="23" s="1"/>
  <c r="V84" i="8"/>
  <c r="N294" i="23" s="1"/>
  <c r="V83" i="8"/>
  <c r="M294" i="23" s="1"/>
  <c r="V82" i="8"/>
  <c r="L294" i="23" s="1"/>
  <c r="V81" i="8"/>
  <c r="K294" i="23" s="1"/>
  <c r="V80" i="8"/>
  <c r="J294" i="23" s="1"/>
  <c r="V79" i="8"/>
  <c r="I294" i="23" s="1"/>
  <c r="V78" i="8"/>
  <c r="H294" i="23" s="1"/>
  <c r="V77" i="8"/>
  <c r="G294" i="23" s="1"/>
  <c r="V69" i="8"/>
  <c r="V68" i="8"/>
  <c r="V67" i="8"/>
  <c r="V66" i="8"/>
  <c r="V65" i="8"/>
  <c r="V64" i="8"/>
  <c r="V63" i="8"/>
  <c r="V62" i="8"/>
  <c r="V61" i="8"/>
  <c r="V55" i="8"/>
  <c r="V51" i="8"/>
  <c r="V46" i="8"/>
  <c r="V45" i="8"/>
  <c r="V44" i="8"/>
  <c r="V42" i="8"/>
  <c r="V41" i="8"/>
  <c r="V40" i="8"/>
  <c r="V39" i="8"/>
  <c r="V37" i="8"/>
  <c r="V36" i="8"/>
  <c r="V35" i="8"/>
  <c r="V34" i="8"/>
  <c r="V33" i="8"/>
  <c r="V32" i="8"/>
  <c r="V31" i="8"/>
  <c r="V26" i="8"/>
  <c r="V25" i="8"/>
  <c r="V24" i="8"/>
  <c r="V21" i="8"/>
  <c r="V20" i="8"/>
  <c r="V19" i="8"/>
  <c r="V16" i="8"/>
  <c r="V15" i="8"/>
  <c r="V14" i="8"/>
  <c r="V12" i="8"/>
  <c r="V11" i="8"/>
  <c r="V10" i="8"/>
  <c r="V9" i="8"/>
  <c r="V7" i="8"/>
  <c r="U247" i="8"/>
  <c r="U246" i="8"/>
  <c r="U245" i="8"/>
  <c r="U244" i="8"/>
  <c r="U243" i="8"/>
  <c r="U242" i="8"/>
  <c r="U239" i="8"/>
  <c r="EA295" i="23" s="1"/>
  <c r="U238" i="8"/>
  <c r="DZ295" i="23" s="1"/>
  <c r="U237" i="8"/>
  <c r="DY295" i="23" s="1"/>
  <c r="U229" i="8"/>
  <c r="DX295" i="23" s="1"/>
  <c r="U228" i="8"/>
  <c r="DW295" i="23" s="1"/>
  <c r="U226" i="8"/>
  <c r="DV295" i="23" s="1"/>
  <c r="U225" i="8"/>
  <c r="DU295" i="23" s="1"/>
  <c r="U224" i="8"/>
  <c r="DT295" i="23" s="1"/>
  <c r="U222" i="8"/>
  <c r="DS295" i="23" s="1"/>
  <c r="U221" i="8"/>
  <c r="DR295" i="23" s="1"/>
  <c r="U220" i="8"/>
  <c r="DQ295" i="23" s="1"/>
  <c r="U216" i="8"/>
  <c r="DP295" i="23" s="1"/>
  <c r="U215" i="8"/>
  <c r="DO295" i="23" s="1"/>
  <c r="U213" i="8"/>
  <c r="DN295" i="23" s="1"/>
  <c r="U212" i="8"/>
  <c r="DM295" i="23" s="1"/>
  <c r="U211" i="8"/>
  <c r="DL295" i="23" s="1"/>
  <c r="U210" i="8"/>
  <c r="DK295" i="23" s="1"/>
  <c r="U208" i="8"/>
  <c r="DJ295" i="23" s="1"/>
  <c r="U207" i="8"/>
  <c r="DI295" i="23" s="1"/>
  <c r="U206" i="8"/>
  <c r="DH295" i="23" s="1"/>
  <c r="U204" i="8"/>
  <c r="DG295" i="23" s="1"/>
  <c r="U203" i="8"/>
  <c r="DF295" i="23" s="1"/>
  <c r="U202" i="8"/>
  <c r="DE295" i="23" s="1"/>
  <c r="U201" i="8"/>
  <c r="DD295" i="23" s="1"/>
  <c r="U200" i="8"/>
  <c r="DC295" i="23" s="1"/>
  <c r="U199" i="8"/>
  <c r="DB295" i="23" s="1"/>
  <c r="U198" i="8"/>
  <c r="DA295" i="23" s="1"/>
  <c r="U197" i="8"/>
  <c r="CZ295" i="23" s="1"/>
  <c r="U196" i="8"/>
  <c r="CY295" i="23" s="1"/>
  <c r="U195" i="8"/>
  <c r="CX295" i="23" s="1"/>
  <c r="U194" i="8"/>
  <c r="CW295" i="23" s="1"/>
  <c r="U192" i="8"/>
  <c r="CV295" i="23" s="1"/>
  <c r="U191" i="8"/>
  <c r="CU295" i="23" s="1"/>
  <c r="U190" i="8"/>
  <c r="CT295" i="23" s="1"/>
  <c r="U189" i="8"/>
  <c r="CS295" i="23" s="1"/>
  <c r="U188" i="8"/>
  <c r="CR295" i="23" s="1"/>
  <c r="U186" i="8"/>
  <c r="CQ295" i="23" s="1"/>
  <c r="U185" i="8"/>
  <c r="CP295" i="23" s="1"/>
  <c r="U184" i="8"/>
  <c r="CO295" i="23" s="1"/>
  <c r="U183" i="8"/>
  <c r="CN295" i="23" s="1"/>
  <c r="U181" i="8"/>
  <c r="CM295" i="23" s="1"/>
  <c r="U180" i="8"/>
  <c r="CL295" i="23" s="1"/>
  <c r="U179" i="8"/>
  <c r="CK295" i="23" s="1"/>
  <c r="U177" i="8"/>
  <c r="CJ295" i="23" s="1"/>
  <c r="U176" i="8"/>
  <c r="CI295" i="23" s="1"/>
  <c r="U175" i="8"/>
  <c r="CH295" i="23" s="1"/>
  <c r="U174" i="8"/>
  <c r="CG295" i="23" s="1"/>
  <c r="U173" i="8"/>
  <c r="CF295" i="23" s="1"/>
  <c r="U171" i="8"/>
  <c r="CE295" i="23" s="1"/>
  <c r="U170" i="8"/>
  <c r="CD295" i="23" s="1"/>
  <c r="U169" i="8"/>
  <c r="CC295" i="23" s="1"/>
  <c r="U168" i="8"/>
  <c r="CB295" i="23" s="1"/>
  <c r="U167" i="8"/>
  <c r="CA295" i="23" s="1"/>
  <c r="U166" i="8"/>
  <c r="BZ295" i="23" s="1"/>
  <c r="U165" i="8"/>
  <c r="BY295" i="23" s="1"/>
  <c r="U162" i="8"/>
  <c r="BX295" i="23" s="1"/>
  <c r="U161" i="8"/>
  <c r="BW295" i="23" s="1"/>
  <c r="U160" i="8"/>
  <c r="BV295" i="23" s="1"/>
  <c r="U159" i="8"/>
  <c r="BU295" i="23" s="1"/>
  <c r="U158" i="8"/>
  <c r="BT295" i="23" s="1"/>
  <c r="U154" i="8"/>
  <c r="BS295" i="23" s="1"/>
  <c r="U153" i="8"/>
  <c r="BR295" i="23" s="1"/>
  <c r="U152" i="8"/>
  <c r="BQ295" i="23" s="1"/>
  <c r="U151" i="8"/>
  <c r="BP295" i="23" s="1"/>
  <c r="U149" i="8"/>
  <c r="BO295" i="23" s="1"/>
  <c r="U148" i="8"/>
  <c r="BN295" i="23" s="1"/>
  <c r="U147" i="8"/>
  <c r="BM295" i="23" s="1"/>
  <c r="U145" i="8"/>
  <c r="BL295" i="23" s="1"/>
  <c r="U144" i="8"/>
  <c r="BK295" i="23" s="1"/>
  <c r="U143" i="8"/>
  <c r="BJ295" i="23" s="1"/>
  <c r="U142" i="8"/>
  <c r="BI295" i="23" s="1"/>
  <c r="U141" i="8"/>
  <c r="BH295" i="23" s="1"/>
  <c r="U140" i="8"/>
  <c r="BG295" i="23" s="1"/>
  <c r="U139" i="8"/>
  <c r="BF295" i="23" s="1"/>
  <c r="U137" i="8"/>
  <c r="BE295" i="23" s="1"/>
  <c r="U136" i="8"/>
  <c r="BD295" i="23" s="1"/>
  <c r="U135" i="8"/>
  <c r="BC295" i="23" s="1"/>
  <c r="U134" i="8"/>
  <c r="BB295" i="23" s="1"/>
  <c r="U132" i="8"/>
  <c r="BA295" i="23" s="1"/>
  <c r="U131" i="8"/>
  <c r="AZ295" i="23" s="1"/>
  <c r="U130" i="8"/>
  <c r="AY295" i="23" s="1"/>
  <c r="U128" i="8"/>
  <c r="AX295" i="23" s="1"/>
  <c r="U127" i="8"/>
  <c r="AW295" i="23" s="1"/>
  <c r="U126" i="8"/>
  <c r="AV295" i="23" s="1"/>
  <c r="U125" i="8"/>
  <c r="AU295" i="23" s="1"/>
  <c r="U124" i="8"/>
  <c r="AT295" i="23" s="1"/>
  <c r="U123" i="8"/>
  <c r="AS295" i="23" s="1"/>
  <c r="U122" i="8"/>
  <c r="AR295" i="23" s="1"/>
  <c r="U121" i="8"/>
  <c r="AQ295" i="23" s="1"/>
  <c r="U120" i="8"/>
  <c r="AP295" i="23" s="1"/>
  <c r="U119" i="8"/>
  <c r="AO295" i="23" s="1"/>
  <c r="U118" i="8"/>
  <c r="AN295" i="23" s="1"/>
  <c r="U117" i="8"/>
  <c r="AM295" i="23" s="1"/>
  <c r="U113" i="8"/>
  <c r="AL295" i="23" s="1"/>
  <c r="U112" i="8"/>
  <c r="AK295" i="23" s="1"/>
  <c r="U111" i="8"/>
  <c r="AJ295" i="23" s="1"/>
  <c r="U110" i="8"/>
  <c r="AI295" i="23" s="1"/>
  <c r="U109" i="8"/>
  <c r="AH295" i="23" s="1"/>
  <c r="U108" i="8"/>
  <c r="AG295" i="23" s="1"/>
  <c r="U107" i="8"/>
  <c r="AF295" i="23" s="1"/>
  <c r="U106" i="8"/>
  <c r="AE295" i="23" s="1"/>
  <c r="U105" i="8"/>
  <c r="AD295" i="23" s="1"/>
  <c r="U102" i="8"/>
  <c r="AC295" i="23" s="1"/>
  <c r="U101" i="8"/>
  <c r="AB295" i="23" s="1"/>
  <c r="U100" i="8"/>
  <c r="AA295" i="23" s="1"/>
  <c r="U99" i="8"/>
  <c r="Z295" i="23" s="1"/>
  <c r="U98" i="8"/>
  <c r="Y295" i="23" s="1"/>
  <c r="U97" i="8"/>
  <c r="X295" i="23" s="1"/>
  <c r="U96" i="8"/>
  <c r="W295" i="23" s="1"/>
  <c r="U95" i="8"/>
  <c r="V295" i="23" s="1"/>
  <c r="U94" i="8"/>
  <c r="U295" i="23" s="1"/>
  <c r="U93" i="8"/>
  <c r="T295" i="23" s="1"/>
  <c r="U92" i="8"/>
  <c r="S295" i="23" s="1"/>
  <c r="U91" i="8"/>
  <c r="R295" i="23" s="1"/>
  <c r="U89" i="8"/>
  <c r="U88" i="8"/>
  <c r="Q295" i="23" s="1"/>
  <c r="U86" i="8"/>
  <c r="P295" i="23" s="1"/>
  <c r="U85" i="8"/>
  <c r="O295" i="23" s="1"/>
  <c r="U84" i="8"/>
  <c r="N295" i="23" s="1"/>
  <c r="U83" i="8"/>
  <c r="M295" i="23" s="1"/>
  <c r="U82" i="8"/>
  <c r="L295" i="23" s="1"/>
  <c r="U81" i="8"/>
  <c r="K295" i="23" s="1"/>
  <c r="U80" i="8"/>
  <c r="J295" i="23" s="1"/>
  <c r="U79" i="8"/>
  <c r="I295" i="23" s="1"/>
  <c r="U78" i="8"/>
  <c r="H295" i="23" s="1"/>
  <c r="U77" i="8"/>
  <c r="G295" i="23" s="1"/>
  <c r="U69" i="8"/>
  <c r="U68" i="8"/>
  <c r="U67" i="8"/>
  <c r="U66" i="8"/>
  <c r="U65" i="8"/>
  <c r="U64" i="8"/>
  <c r="U63" i="8"/>
  <c r="U62" i="8"/>
  <c r="U61" i="8"/>
  <c r="U55" i="8"/>
  <c r="U46" i="8"/>
  <c r="U45" i="8"/>
  <c r="U44" i="8"/>
  <c r="U42" i="8"/>
  <c r="U41" i="8"/>
  <c r="U40" i="8"/>
  <c r="U39" i="8"/>
  <c r="U37" i="8"/>
  <c r="U36" i="8"/>
  <c r="U35" i="8"/>
  <c r="U34" i="8"/>
  <c r="U33" i="8"/>
  <c r="U32" i="8"/>
  <c r="U31" i="8"/>
  <c r="U26" i="8"/>
  <c r="U25" i="8"/>
  <c r="U24" i="8"/>
  <c r="U21" i="8"/>
  <c r="U20" i="8"/>
  <c r="U19" i="8"/>
  <c r="U16" i="8"/>
  <c r="U15" i="8"/>
  <c r="U14" i="8"/>
  <c r="U12" i="8"/>
  <c r="U11" i="8"/>
  <c r="U10" i="8"/>
  <c r="U9" i="8"/>
  <c r="U7" i="8"/>
  <c r="T247" i="8"/>
  <c r="T246" i="8"/>
  <c r="T245" i="8"/>
  <c r="T244" i="8"/>
  <c r="T243" i="8"/>
  <c r="T242" i="8"/>
  <c r="T239" i="8"/>
  <c r="EA296" i="23" s="1"/>
  <c r="T238" i="8"/>
  <c r="DZ296" i="23" s="1"/>
  <c r="T237" i="8"/>
  <c r="DY296" i="23" s="1"/>
  <c r="T229" i="8"/>
  <c r="DX296" i="23" s="1"/>
  <c r="T228" i="8"/>
  <c r="DW296" i="23" s="1"/>
  <c r="T226" i="8"/>
  <c r="DV296" i="23" s="1"/>
  <c r="T225" i="8"/>
  <c r="DU296" i="23" s="1"/>
  <c r="T224" i="8"/>
  <c r="DT296" i="23" s="1"/>
  <c r="T222" i="8"/>
  <c r="DS296" i="23" s="1"/>
  <c r="T221" i="8"/>
  <c r="DR296" i="23" s="1"/>
  <c r="T220" i="8"/>
  <c r="DQ296" i="23" s="1"/>
  <c r="T216" i="8"/>
  <c r="DP296" i="23" s="1"/>
  <c r="T215" i="8"/>
  <c r="DO296" i="23" s="1"/>
  <c r="T213" i="8"/>
  <c r="DN296" i="23" s="1"/>
  <c r="T212" i="8"/>
  <c r="DM296" i="23" s="1"/>
  <c r="T211" i="8"/>
  <c r="DL296" i="23" s="1"/>
  <c r="T210" i="8"/>
  <c r="DK296" i="23" s="1"/>
  <c r="T208" i="8"/>
  <c r="DJ296" i="23" s="1"/>
  <c r="T207" i="8"/>
  <c r="DI296" i="23" s="1"/>
  <c r="T206" i="8"/>
  <c r="DH296" i="23" s="1"/>
  <c r="T204" i="8"/>
  <c r="DG296" i="23" s="1"/>
  <c r="T203" i="8"/>
  <c r="DF296" i="23" s="1"/>
  <c r="T202" i="8"/>
  <c r="DE296" i="23" s="1"/>
  <c r="T201" i="8"/>
  <c r="DD296" i="23" s="1"/>
  <c r="T200" i="8"/>
  <c r="DC296" i="23" s="1"/>
  <c r="T199" i="8"/>
  <c r="DB296" i="23" s="1"/>
  <c r="T198" i="8"/>
  <c r="DA296" i="23" s="1"/>
  <c r="T197" i="8"/>
  <c r="CZ296" i="23" s="1"/>
  <c r="T196" i="8"/>
  <c r="CY296" i="23" s="1"/>
  <c r="T195" i="8"/>
  <c r="CX296" i="23" s="1"/>
  <c r="T194" i="8"/>
  <c r="CW296" i="23" s="1"/>
  <c r="T192" i="8"/>
  <c r="CV296" i="23" s="1"/>
  <c r="T191" i="8"/>
  <c r="CU296" i="23" s="1"/>
  <c r="T190" i="8"/>
  <c r="CT296" i="23" s="1"/>
  <c r="T189" i="8"/>
  <c r="CS296" i="23" s="1"/>
  <c r="T188" i="8"/>
  <c r="CR296" i="23" s="1"/>
  <c r="T186" i="8"/>
  <c r="CQ296" i="23" s="1"/>
  <c r="T185" i="8"/>
  <c r="CP296" i="23" s="1"/>
  <c r="T184" i="8"/>
  <c r="CO296" i="23" s="1"/>
  <c r="T183" i="8"/>
  <c r="CN296" i="23" s="1"/>
  <c r="T181" i="8"/>
  <c r="CM296" i="23" s="1"/>
  <c r="T180" i="8"/>
  <c r="CL296" i="23" s="1"/>
  <c r="T179" i="8"/>
  <c r="CK296" i="23" s="1"/>
  <c r="T177" i="8"/>
  <c r="CJ296" i="23" s="1"/>
  <c r="T176" i="8"/>
  <c r="CI296" i="23" s="1"/>
  <c r="T175" i="8"/>
  <c r="CH296" i="23" s="1"/>
  <c r="T174" i="8"/>
  <c r="CG296" i="23" s="1"/>
  <c r="T173" i="8"/>
  <c r="CF296" i="23" s="1"/>
  <c r="T171" i="8"/>
  <c r="CE296" i="23" s="1"/>
  <c r="T170" i="8"/>
  <c r="CD296" i="23" s="1"/>
  <c r="T169" i="8"/>
  <c r="CC296" i="23" s="1"/>
  <c r="T168" i="8"/>
  <c r="CB296" i="23" s="1"/>
  <c r="T167" i="8"/>
  <c r="CA296" i="23" s="1"/>
  <c r="T166" i="8"/>
  <c r="BZ296" i="23" s="1"/>
  <c r="T165" i="8"/>
  <c r="BY296" i="23" s="1"/>
  <c r="T162" i="8"/>
  <c r="BX296" i="23" s="1"/>
  <c r="T161" i="8"/>
  <c r="BW296" i="23" s="1"/>
  <c r="T160" i="8"/>
  <c r="BV296" i="23" s="1"/>
  <c r="T159" i="8"/>
  <c r="BU296" i="23" s="1"/>
  <c r="T158" i="8"/>
  <c r="BT296" i="23" s="1"/>
  <c r="T154" i="8"/>
  <c r="BS296" i="23" s="1"/>
  <c r="T153" i="8"/>
  <c r="BR296" i="23" s="1"/>
  <c r="T152" i="8"/>
  <c r="BQ296" i="23" s="1"/>
  <c r="T151" i="8"/>
  <c r="BP296" i="23" s="1"/>
  <c r="T149" i="8"/>
  <c r="BO296" i="23" s="1"/>
  <c r="T148" i="8"/>
  <c r="BN296" i="23" s="1"/>
  <c r="T147" i="8"/>
  <c r="BM296" i="23" s="1"/>
  <c r="T145" i="8"/>
  <c r="BL296" i="23" s="1"/>
  <c r="T144" i="8"/>
  <c r="BK296" i="23" s="1"/>
  <c r="T143" i="8"/>
  <c r="BJ296" i="23" s="1"/>
  <c r="T142" i="8"/>
  <c r="BI296" i="23" s="1"/>
  <c r="T141" i="8"/>
  <c r="BH296" i="23" s="1"/>
  <c r="T140" i="8"/>
  <c r="BG296" i="23" s="1"/>
  <c r="T139" i="8"/>
  <c r="BF296" i="23" s="1"/>
  <c r="T137" i="8"/>
  <c r="BE296" i="23" s="1"/>
  <c r="T136" i="8"/>
  <c r="BD296" i="23" s="1"/>
  <c r="T135" i="8"/>
  <c r="BC296" i="23" s="1"/>
  <c r="T134" i="8"/>
  <c r="BB296" i="23" s="1"/>
  <c r="T132" i="8"/>
  <c r="BA296" i="23" s="1"/>
  <c r="T131" i="8"/>
  <c r="AZ296" i="23" s="1"/>
  <c r="T130" i="8"/>
  <c r="AY296" i="23" s="1"/>
  <c r="T128" i="8"/>
  <c r="AX296" i="23" s="1"/>
  <c r="T127" i="8"/>
  <c r="AW296" i="23" s="1"/>
  <c r="T126" i="8"/>
  <c r="AV296" i="23" s="1"/>
  <c r="T125" i="8"/>
  <c r="AU296" i="23" s="1"/>
  <c r="T124" i="8"/>
  <c r="AT296" i="23" s="1"/>
  <c r="T123" i="8"/>
  <c r="AS296" i="23" s="1"/>
  <c r="T122" i="8"/>
  <c r="AR296" i="23" s="1"/>
  <c r="T121" i="8"/>
  <c r="AQ296" i="23" s="1"/>
  <c r="T120" i="8"/>
  <c r="AP296" i="23" s="1"/>
  <c r="T119" i="8"/>
  <c r="AO296" i="23" s="1"/>
  <c r="T118" i="8"/>
  <c r="AN296" i="23" s="1"/>
  <c r="T117" i="8"/>
  <c r="AM296" i="23" s="1"/>
  <c r="T113" i="8"/>
  <c r="AL296" i="23" s="1"/>
  <c r="T112" i="8"/>
  <c r="AK296" i="23" s="1"/>
  <c r="T111" i="8"/>
  <c r="AJ296" i="23" s="1"/>
  <c r="T110" i="8"/>
  <c r="AI296" i="23" s="1"/>
  <c r="T109" i="8"/>
  <c r="AH296" i="23" s="1"/>
  <c r="T108" i="8"/>
  <c r="AG296" i="23" s="1"/>
  <c r="T107" i="8"/>
  <c r="AF296" i="23" s="1"/>
  <c r="T106" i="8"/>
  <c r="AE296" i="23" s="1"/>
  <c r="T105" i="8"/>
  <c r="AD296" i="23" s="1"/>
  <c r="T102" i="8"/>
  <c r="AC296" i="23" s="1"/>
  <c r="T101" i="8"/>
  <c r="AB296" i="23" s="1"/>
  <c r="T100" i="8"/>
  <c r="AA296" i="23" s="1"/>
  <c r="T99" i="8"/>
  <c r="Z296" i="23" s="1"/>
  <c r="T98" i="8"/>
  <c r="Y296" i="23" s="1"/>
  <c r="T97" i="8"/>
  <c r="X296" i="23" s="1"/>
  <c r="T96" i="8"/>
  <c r="W296" i="23" s="1"/>
  <c r="T95" i="8"/>
  <c r="V296" i="23" s="1"/>
  <c r="T94" i="8"/>
  <c r="U296" i="23" s="1"/>
  <c r="T93" i="8"/>
  <c r="T296" i="23" s="1"/>
  <c r="T92" i="8"/>
  <c r="S296" i="23" s="1"/>
  <c r="T91" i="8"/>
  <c r="R296" i="23" s="1"/>
  <c r="T89" i="8"/>
  <c r="T88" i="8"/>
  <c r="Q296" i="23" s="1"/>
  <c r="T86" i="8"/>
  <c r="P296" i="23" s="1"/>
  <c r="T85" i="8"/>
  <c r="O296" i="23" s="1"/>
  <c r="T84" i="8"/>
  <c r="N296" i="23" s="1"/>
  <c r="T83" i="8"/>
  <c r="M296" i="23" s="1"/>
  <c r="T82" i="8"/>
  <c r="L296" i="23" s="1"/>
  <c r="T81" i="8"/>
  <c r="K296" i="23" s="1"/>
  <c r="T80" i="8"/>
  <c r="J296" i="23" s="1"/>
  <c r="T79" i="8"/>
  <c r="I296" i="23" s="1"/>
  <c r="T78" i="8"/>
  <c r="H296" i="23" s="1"/>
  <c r="T77" i="8"/>
  <c r="G296" i="23" s="1"/>
  <c r="T69" i="8"/>
  <c r="T68" i="8"/>
  <c r="T67" i="8"/>
  <c r="T66" i="8"/>
  <c r="T65" i="8"/>
  <c r="T64" i="8"/>
  <c r="T63" i="8"/>
  <c r="T62" i="8"/>
  <c r="T61" i="8"/>
  <c r="T55" i="8"/>
  <c r="T51" i="8"/>
  <c r="T46" i="8"/>
  <c r="T45" i="8"/>
  <c r="T44" i="8"/>
  <c r="T42" i="8"/>
  <c r="T41" i="8"/>
  <c r="T40" i="8"/>
  <c r="T39" i="8"/>
  <c r="T37" i="8"/>
  <c r="T36" i="8"/>
  <c r="T35" i="8"/>
  <c r="T34" i="8"/>
  <c r="T33" i="8"/>
  <c r="T32" i="8"/>
  <c r="T31" i="8"/>
  <c r="T26" i="8"/>
  <c r="T25" i="8"/>
  <c r="T24" i="8"/>
  <c r="T21" i="8"/>
  <c r="T20" i="8"/>
  <c r="T19" i="8"/>
  <c r="T16" i="8"/>
  <c r="T15" i="8"/>
  <c r="T14" i="8"/>
  <c r="T12" i="8"/>
  <c r="T11" i="8"/>
  <c r="T10" i="8"/>
  <c r="T9" i="8"/>
  <c r="T7" i="8"/>
  <c r="S247" i="8"/>
  <c r="S246" i="8"/>
  <c r="S245" i="8"/>
  <c r="S244" i="8"/>
  <c r="S243" i="8"/>
  <c r="S242" i="8"/>
  <c r="S239" i="8"/>
  <c r="EA297" i="23" s="1"/>
  <c r="S238" i="8"/>
  <c r="DZ297" i="23" s="1"/>
  <c r="S237" i="8"/>
  <c r="DY297" i="23" s="1"/>
  <c r="S229" i="8"/>
  <c r="DX297" i="23" s="1"/>
  <c r="S228" i="8"/>
  <c r="DW297" i="23" s="1"/>
  <c r="S226" i="8"/>
  <c r="DV297" i="23" s="1"/>
  <c r="S225" i="8"/>
  <c r="DU297" i="23" s="1"/>
  <c r="S224" i="8"/>
  <c r="DT297" i="23" s="1"/>
  <c r="S222" i="8"/>
  <c r="DS297" i="23" s="1"/>
  <c r="S221" i="8"/>
  <c r="DR297" i="23" s="1"/>
  <c r="S220" i="8"/>
  <c r="DQ297" i="23" s="1"/>
  <c r="S216" i="8"/>
  <c r="DP297" i="23" s="1"/>
  <c r="S215" i="8"/>
  <c r="DO297" i="23" s="1"/>
  <c r="S213" i="8"/>
  <c r="DN297" i="23" s="1"/>
  <c r="S212" i="8"/>
  <c r="DM297" i="23" s="1"/>
  <c r="S211" i="8"/>
  <c r="DL297" i="23" s="1"/>
  <c r="S210" i="8"/>
  <c r="DK297" i="23" s="1"/>
  <c r="S208" i="8"/>
  <c r="DJ297" i="23" s="1"/>
  <c r="S207" i="8"/>
  <c r="DI297" i="23" s="1"/>
  <c r="S206" i="8"/>
  <c r="DH297" i="23" s="1"/>
  <c r="S204" i="8"/>
  <c r="DG297" i="23" s="1"/>
  <c r="S203" i="8"/>
  <c r="DF297" i="23" s="1"/>
  <c r="S202" i="8"/>
  <c r="DE297" i="23" s="1"/>
  <c r="S201" i="8"/>
  <c r="DD297" i="23" s="1"/>
  <c r="S200" i="8"/>
  <c r="DC297" i="23" s="1"/>
  <c r="S199" i="8"/>
  <c r="DB297" i="23" s="1"/>
  <c r="S198" i="8"/>
  <c r="DA297" i="23" s="1"/>
  <c r="S197" i="8"/>
  <c r="CZ297" i="23" s="1"/>
  <c r="S196" i="8"/>
  <c r="CY297" i="23" s="1"/>
  <c r="S195" i="8"/>
  <c r="CX297" i="23" s="1"/>
  <c r="S194" i="8"/>
  <c r="CW297" i="23" s="1"/>
  <c r="S192" i="8"/>
  <c r="CV297" i="23" s="1"/>
  <c r="S191" i="8"/>
  <c r="CU297" i="23" s="1"/>
  <c r="S190" i="8"/>
  <c r="CT297" i="23" s="1"/>
  <c r="S189" i="8"/>
  <c r="CS297" i="23" s="1"/>
  <c r="S188" i="8"/>
  <c r="CR297" i="23" s="1"/>
  <c r="S186" i="8"/>
  <c r="CQ297" i="23" s="1"/>
  <c r="S185" i="8"/>
  <c r="CP297" i="23" s="1"/>
  <c r="S184" i="8"/>
  <c r="CO297" i="23" s="1"/>
  <c r="S183" i="8"/>
  <c r="CN297" i="23" s="1"/>
  <c r="S181" i="8"/>
  <c r="CM297" i="23" s="1"/>
  <c r="S180" i="8"/>
  <c r="CL297" i="23" s="1"/>
  <c r="S179" i="8"/>
  <c r="CK297" i="23" s="1"/>
  <c r="S177" i="8"/>
  <c r="CJ297" i="23" s="1"/>
  <c r="S176" i="8"/>
  <c r="CI297" i="23" s="1"/>
  <c r="S175" i="8"/>
  <c r="CH297" i="23" s="1"/>
  <c r="S174" i="8"/>
  <c r="CG297" i="23" s="1"/>
  <c r="S173" i="8"/>
  <c r="CF297" i="23" s="1"/>
  <c r="S171" i="8"/>
  <c r="CE297" i="23" s="1"/>
  <c r="S170" i="8"/>
  <c r="CD297" i="23" s="1"/>
  <c r="S169" i="8"/>
  <c r="CC297" i="23" s="1"/>
  <c r="S168" i="8"/>
  <c r="CB297" i="23" s="1"/>
  <c r="S167" i="8"/>
  <c r="CA297" i="23" s="1"/>
  <c r="S166" i="8"/>
  <c r="BZ297" i="23" s="1"/>
  <c r="S165" i="8"/>
  <c r="BY297" i="23" s="1"/>
  <c r="S162" i="8"/>
  <c r="BX297" i="23" s="1"/>
  <c r="S161" i="8"/>
  <c r="BW297" i="23" s="1"/>
  <c r="S160" i="8"/>
  <c r="BV297" i="23" s="1"/>
  <c r="S159" i="8"/>
  <c r="BU297" i="23" s="1"/>
  <c r="S158" i="8"/>
  <c r="BT297" i="23" s="1"/>
  <c r="S154" i="8"/>
  <c r="BS297" i="23" s="1"/>
  <c r="S153" i="8"/>
  <c r="BR297" i="23" s="1"/>
  <c r="S152" i="8"/>
  <c r="BQ297" i="23" s="1"/>
  <c r="S151" i="8"/>
  <c r="BP297" i="23" s="1"/>
  <c r="S149" i="8"/>
  <c r="BO297" i="23" s="1"/>
  <c r="S148" i="8"/>
  <c r="BN297" i="23" s="1"/>
  <c r="S147" i="8"/>
  <c r="BM297" i="23" s="1"/>
  <c r="S145" i="8"/>
  <c r="BL297" i="23" s="1"/>
  <c r="S144" i="8"/>
  <c r="BK297" i="23" s="1"/>
  <c r="S143" i="8"/>
  <c r="BJ297" i="23" s="1"/>
  <c r="S142" i="8"/>
  <c r="BI297" i="23" s="1"/>
  <c r="S141" i="8"/>
  <c r="BH297" i="23" s="1"/>
  <c r="S140" i="8"/>
  <c r="BG297" i="23" s="1"/>
  <c r="S139" i="8"/>
  <c r="BF297" i="23" s="1"/>
  <c r="S137" i="8"/>
  <c r="BE297" i="23" s="1"/>
  <c r="S136" i="8"/>
  <c r="BD297" i="23" s="1"/>
  <c r="S135" i="8"/>
  <c r="BC297" i="23" s="1"/>
  <c r="S134" i="8"/>
  <c r="BB297" i="23" s="1"/>
  <c r="S132" i="8"/>
  <c r="BA297" i="23" s="1"/>
  <c r="S131" i="8"/>
  <c r="AZ297" i="23" s="1"/>
  <c r="S130" i="8"/>
  <c r="AY297" i="23" s="1"/>
  <c r="S128" i="8"/>
  <c r="AX297" i="23" s="1"/>
  <c r="S127" i="8"/>
  <c r="AW297" i="23" s="1"/>
  <c r="S126" i="8"/>
  <c r="AV297" i="23" s="1"/>
  <c r="S125" i="8"/>
  <c r="AU297" i="23" s="1"/>
  <c r="S124" i="8"/>
  <c r="AT297" i="23" s="1"/>
  <c r="S123" i="8"/>
  <c r="AS297" i="23" s="1"/>
  <c r="S122" i="8"/>
  <c r="AR297" i="23" s="1"/>
  <c r="S121" i="8"/>
  <c r="AQ297" i="23" s="1"/>
  <c r="S120" i="8"/>
  <c r="AP297" i="23" s="1"/>
  <c r="S119" i="8"/>
  <c r="AO297" i="23" s="1"/>
  <c r="S118" i="8"/>
  <c r="AN297" i="23" s="1"/>
  <c r="S117" i="8"/>
  <c r="AM297" i="23" s="1"/>
  <c r="S113" i="8"/>
  <c r="AL297" i="23" s="1"/>
  <c r="S112" i="8"/>
  <c r="AK297" i="23" s="1"/>
  <c r="S111" i="8"/>
  <c r="AJ297" i="23" s="1"/>
  <c r="S110" i="8"/>
  <c r="AI297" i="23" s="1"/>
  <c r="S109" i="8"/>
  <c r="AH297" i="23" s="1"/>
  <c r="S108" i="8"/>
  <c r="AG297" i="23" s="1"/>
  <c r="S107" i="8"/>
  <c r="AF297" i="23" s="1"/>
  <c r="S106" i="8"/>
  <c r="AE297" i="23" s="1"/>
  <c r="S105" i="8"/>
  <c r="AD297" i="23" s="1"/>
  <c r="S102" i="8"/>
  <c r="AC297" i="23" s="1"/>
  <c r="S101" i="8"/>
  <c r="AB297" i="23" s="1"/>
  <c r="S100" i="8"/>
  <c r="AA297" i="23" s="1"/>
  <c r="S99" i="8"/>
  <c r="Z297" i="23" s="1"/>
  <c r="S98" i="8"/>
  <c r="Y297" i="23" s="1"/>
  <c r="S97" i="8"/>
  <c r="X297" i="23" s="1"/>
  <c r="S96" i="8"/>
  <c r="W297" i="23" s="1"/>
  <c r="S95" i="8"/>
  <c r="V297" i="23" s="1"/>
  <c r="S94" i="8"/>
  <c r="U297" i="23" s="1"/>
  <c r="S93" i="8"/>
  <c r="T297" i="23" s="1"/>
  <c r="S92" i="8"/>
  <c r="S297" i="23" s="1"/>
  <c r="S91" i="8"/>
  <c r="R297" i="23" s="1"/>
  <c r="S89" i="8"/>
  <c r="S88" i="8"/>
  <c r="Q297" i="23" s="1"/>
  <c r="S86" i="8"/>
  <c r="P297" i="23" s="1"/>
  <c r="S85" i="8"/>
  <c r="O297" i="23" s="1"/>
  <c r="S84" i="8"/>
  <c r="N297" i="23" s="1"/>
  <c r="S83" i="8"/>
  <c r="M297" i="23" s="1"/>
  <c r="S82" i="8"/>
  <c r="L297" i="23" s="1"/>
  <c r="S81" i="8"/>
  <c r="K297" i="23" s="1"/>
  <c r="S80" i="8"/>
  <c r="J297" i="23" s="1"/>
  <c r="S79" i="8"/>
  <c r="I297" i="23" s="1"/>
  <c r="S78" i="8"/>
  <c r="H297" i="23" s="1"/>
  <c r="S77" i="8"/>
  <c r="G297" i="23" s="1"/>
  <c r="S69" i="8"/>
  <c r="S68" i="8"/>
  <c r="S67" i="8"/>
  <c r="S66" i="8"/>
  <c r="S65" i="8"/>
  <c r="S64" i="8"/>
  <c r="S63" i="8"/>
  <c r="S62" i="8"/>
  <c r="S61" i="8"/>
  <c r="S55" i="8"/>
  <c r="S51" i="8"/>
  <c r="S46" i="8"/>
  <c r="S45" i="8"/>
  <c r="S44" i="8"/>
  <c r="S42" i="8"/>
  <c r="S41" i="8"/>
  <c r="S40" i="8"/>
  <c r="S39" i="8"/>
  <c r="S37" i="8"/>
  <c r="S36" i="8"/>
  <c r="S35" i="8"/>
  <c r="S34" i="8"/>
  <c r="S33" i="8"/>
  <c r="S32" i="8"/>
  <c r="S31" i="8"/>
  <c r="S26" i="8"/>
  <c r="S25" i="8"/>
  <c r="S24" i="8"/>
  <c r="S21" i="8"/>
  <c r="S20" i="8"/>
  <c r="S19" i="8"/>
  <c r="S16" i="8"/>
  <c r="S15" i="8"/>
  <c r="S14" i="8"/>
  <c r="S12" i="8"/>
  <c r="S11" i="8"/>
  <c r="S10" i="8"/>
  <c r="S9" i="8"/>
  <c r="S7" i="8"/>
  <c r="R247" i="8"/>
  <c r="R246" i="8"/>
  <c r="R245" i="8"/>
  <c r="R244" i="8"/>
  <c r="R243" i="8"/>
  <c r="R242" i="8"/>
  <c r="R239" i="8"/>
  <c r="EA298" i="23" s="1"/>
  <c r="R238" i="8"/>
  <c r="DZ298" i="23" s="1"/>
  <c r="R237" i="8"/>
  <c r="DY298" i="23" s="1"/>
  <c r="R229" i="8"/>
  <c r="DX298" i="23" s="1"/>
  <c r="R228" i="8"/>
  <c r="DW298" i="23" s="1"/>
  <c r="R226" i="8"/>
  <c r="DV298" i="23" s="1"/>
  <c r="R225" i="8"/>
  <c r="DU298" i="23" s="1"/>
  <c r="R224" i="8"/>
  <c r="DT298" i="23" s="1"/>
  <c r="R222" i="8"/>
  <c r="DS298" i="23" s="1"/>
  <c r="R221" i="8"/>
  <c r="DR298" i="23" s="1"/>
  <c r="R220" i="8"/>
  <c r="DQ298" i="23" s="1"/>
  <c r="R216" i="8"/>
  <c r="DP298" i="23" s="1"/>
  <c r="R215" i="8"/>
  <c r="DO298" i="23" s="1"/>
  <c r="R213" i="8"/>
  <c r="DN298" i="23" s="1"/>
  <c r="R212" i="8"/>
  <c r="DM298" i="23" s="1"/>
  <c r="R211" i="8"/>
  <c r="DL298" i="23" s="1"/>
  <c r="R210" i="8"/>
  <c r="DK298" i="23" s="1"/>
  <c r="R208" i="8"/>
  <c r="DJ298" i="23" s="1"/>
  <c r="R207" i="8"/>
  <c r="DI298" i="23" s="1"/>
  <c r="R206" i="8"/>
  <c r="DH298" i="23" s="1"/>
  <c r="R204" i="8"/>
  <c r="DG298" i="23" s="1"/>
  <c r="R203" i="8"/>
  <c r="DF298" i="23" s="1"/>
  <c r="R202" i="8"/>
  <c r="DE298" i="23" s="1"/>
  <c r="R201" i="8"/>
  <c r="DD298" i="23" s="1"/>
  <c r="R200" i="8"/>
  <c r="DC298" i="23" s="1"/>
  <c r="R199" i="8"/>
  <c r="DB298" i="23" s="1"/>
  <c r="R198" i="8"/>
  <c r="DA298" i="23" s="1"/>
  <c r="R197" i="8"/>
  <c r="CZ298" i="23" s="1"/>
  <c r="R196" i="8"/>
  <c r="CY298" i="23" s="1"/>
  <c r="R195" i="8"/>
  <c r="CX298" i="23" s="1"/>
  <c r="R194" i="8"/>
  <c r="CW298" i="23" s="1"/>
  <c r="R192" i="8"/>
  <c r="CV298" i="23" s="1"/>
  <c r="R191" i="8"/>
  <c r="CU298" i="23" s="1"/>
  <c r="R190" i="8"/>
  <c r="CT298" i="23" s="1"/>
  <c r="R189" i="8"/>
  <c r="CS298" i="23" s="1"/>
  <c r="R188" i="8"/>
  <c r="CR298" i="23" s="1"/>
  <c r="R186" i="8"/>
  <c r="CQ298" i="23" s="1"/>
  <c r="R185" i="8"/>
  <c r="CP298" i="23" s="1"/>
  <c r="R184" i="8"/>
  <c r="CO298" i="23" s="1"/>
  <c r="R183" i="8"/>
  <c r="CN298" i="23" s="1"/>
  <c r="R181" i="8"/>
  <c r="CM298" i="23" s="1"/>
  <c r="R180" i="8"/>
  <c r="CL298" i="23" s="1"/>
  <c r="R179" i="8"/>
  <c r="CK298" i="23" s="1"/>
  <c r="R177" i="8"/>
  <c r="CJ298" i="23" s="1"/>
  <c r="R176" i="8"/>
  <c r="CI298" i="23" s="1"/>
  <c r="R175" i="8"/>
  <c r="CH298" i="23" s="1"/>
  <c r="R174" i="8"/>
  <c r="CG298" i="23" s="1"/>
  <c r="R173" i="8"/>
  <c r="CF298" i="23" s="1"/>
  <c r="R171" i="8"/>
  <c r="CE298" i="23" s="1"/>
  <c r="R170" i="8"/>
  <c r="CD298" i="23" s="1"/>
  <c r="R169" i="8"/>
  <c r="CC298" i="23" s="1"/>
  <c r="R168" i="8"/>
  <c r="CB298" i="23" s="1"/>
  <c r="R167" i="8"/>
  <c r="CA298" i="23" s="1"/>
  <c r="R166" i="8"/>
  <c r="BZ298" i="23" s="1"/>
  <c r="R165" i="8"/>
  <c r="BY298" i="23" s="1"/>
  <c r="R162" i="8"/>
  <c r="BX298" i="23" s="1"/>
  <c r="R161" i="8"/>
  <c r="BW298" i="23" s="1"/>
  <c r="R160" i="8"/>
  <c r="BV298" i="23" s="1"/>
  <c r="R159" i="8"/>
  <c r="BU298" i="23" s="1"/>
  <c r="R158" i="8"/>
  <c r="BT298" i="23" s="1"/>
  <c r="R154" i="8"/>
  <c r="BS298" i="23" s="1"/>
  <c r="R153" i="8"/>
  <c r="BR298" i="23" s="1"/>
  <c r="R152" i="8"/>
  <c r="BQ298" i="23" s="1"/>
  <c r="R151" i="8"/>
  <c r="BP298" i="23" s="1"/>
  <c r="R149" i="8"/>
  <c r="BO298" i="23" s="1"/>
  <c r="R148" i="8"/>
  <c r="BN298" i="23" s="1"/>
  <c r="R147" i="8"/>
  <c r="BM298" i="23" s="1"/>
  <c r="R145" i="8"/>
  <c r="BL298" i="23" s="1"/>
  <c r="R144" i="8"/>
  <c r="BK298" i="23" s="1"/>
  <c r="R143" i="8"/>
  <c r="BJ298" i="23" s="1"/>
  <c r="R142" i="8"/>
  <c r="BI298" i="23" s="1"/>
  <c r="R141" i="8"/>
  <c r="BH298" i="23" s="1"/>
  <c r="R140" i="8"/>
  <c r="BG298" i="23" s="1"/>
  <c r="R139" i="8"/>
  <c r="BF298" i="23" s="1"/>
  <c r="R137" i="8"/>
  <c r="BE298" i="23" s="1"/>
  <c r="R136" i="8"/>
  <c r="BD298" i="23" s="1"/>
  <c r="R135" i="8"/>
  <c r="BC298" i="23" s="1"/>
  <c r="R134" i="8"/>
  <c r="BB298" i="23" s="1"/>
  <c r="R132" i="8"/>
  <c r="BA298" i="23" s="1"/>
  <c r="R131" i="8"/>
  <c r="AZ298" i="23" s="1"/>
  <c r="R130" i="8"/>
  <c r="AY298" i="23" s="1"/>
  <c r="R128" i="8"/>
  <c r="AX298" i="23" s="1"/>
  <c r="R127" i="8"/>
  <c r="AW298" i="23" s="1"/>
  <c r="R126" i="8"/>
  <c r="AV298" i="23" s="1"/>
  <c r="R125" i="8"/>
  <c r="AU298" i="23" s="1"/>
  <c r="R124" i="8"/>
  <c r="AT298" i="23" s="1"/>
  <c r="R123" i="8"/>
  <c r="AS298" i="23" s="1"/>
  <c r="R122" i="8"/>
  <c r="AR298" i="23" s="1"/>
  <c r="R121" i="8"/>
  <c r="AQ298" i="23" s="1"/>
  <c r="R120" i="8"/>
  <c r="AP298" i="23" s="1"/>
  <c r="R119" i="8"/>
  <c r="AO298" i="23" s="1"/>
  <c r="R118" i="8"/>
  <c r="AN298" i="23" s="1"/>
  <c r="R117" i="8"/>
  <c r="AM298" i="23" s="1"/>
  <c r="R113" i="8"/>
  <c r="AL298" i="23" s="1"/>
  <c r="R112" i="8"/>
  <c r="AK298" i="23" s="1"/>
  <c r="R111" i="8"/>
  <c r="AJ298" i="23" s="1"/>
  <c r="R110" i="8"/>
  <c r="AI298" i="23" s="1"/>
  <c r="R109" i="8"/>
  <c r="AH298" i="23" s="1"/>
  <c r="R108" i="8"/>
  <c r="AG298" i="23" s="1"/>
  <c r="R107" i="8"/>
  <c r="AF298" i="23" s="1"/>
  <c r="R106" i="8"/>
  <c r="AE298" i="23" s="1"/>
  <c r="R105" i="8"/>
  <c r="AD298" i="23" s="1"/>
  <c r="R102" i="8"/>
  <c r="AC298" i="23" s="1"/>
  <c r="R101" i="8"/>
  <c r="AB298" i="23" s="1"/>
  <c r="R100" i="8"/>
  <c r="AA298" i="23" s="1"/>
  <c r="R99" i="8"/>
  <c r="Z298" i="23" s="1"/>
  <c r="R98" i="8"/>
  <c r="Y298" i="23" s="1"/>
  <c r="R97" i="8"/>
  <c r="X298" i="23" s="1"/>
  <c r="R96" i="8"/>
  <c r="W298" i="23" s="1"/>
  <c r="R95" i="8"/>
  <c r="V298" i="23" s="1"/>
  <c r="R94" i="8"/>
  <c r="U298" i="23" s="1"/>
  <c r="R93" i="8"/>
  <c r="T298" i="23" s="1"/>
  <c r="R92" i="8"/>
  <c r="S298" i="23" s="1"/>
  <c r="R91" i="8"/>
  <c r="R298" i="23" s="1"/>
  <c r="R89" i="8"/>
  <c r="R88" i="8"/>
  <c r="Q298" i="23" s="1"/>
  <c r="R86" i="8"/>
  <c r="P298" i="23" s="1"/>
  <c r="R85" i="8"/>
  <c r="O298" i="23" s="1"/>
  <c r="R84" i="8"/>
  <c r="N298" i="23" s="1"/>
  <c r="R83" i="8"/>
  <c r="M298" i="23" s="1"/>
  <c r="R82" i="8"/>
  <c r="L298" i="23" s="1"/>
  <c r="R81" i="8"/>
  <c r="K298" i="23" s="1"/>
  <c r="R80" i="8"/>
  <c r="J298" i="23" s="1"/>
  <c r="R79" i="8"/>
  <c r="I298" i="23" s="1"/>
  <c r="R78" i="8"/>
  <c r="H298" i="23" s="1"/>
  <c r="R77" i="8"/>
  <c r="G298" i="23" s="1"/>
  <c r="R69" i="8"/>
  <c r="R68" i="8"/>
  <c r="R67" i="8"/>
  <c r="R66" i="8"/>
  <c r="R65" i="8"/>
  <c r="R64" i="8"/>
  <c r="R63" i="8"/>
  <c r="R62" i="8"/>
  <c r="R61" i="8"/>
  <c r="R55" i="8"/>
  <c r="R51" i="8"/>
  <c r="R46" i="8"/>
  <c r="R45" i="8"/>
  <c r="R44" i="8"/>
  <c r="R42" i="8"/>
  <c r="R41" i="8"/>
  <c r="R40" i="8"/>
  <c r="R39" i="8"/>
  <c r="R37" i="8"/>
  <c r="R36" i="8"/>
  <c r="R35" i="8"/>
  <c r="R34" i="8"/>
  <c r="R33" i="8"/>
  <c r="R32" i="8"/>
  <c r="R31" i="8"/>
  <c r="R26" i="8"/>
  <c r="R25" i="8"/>
  <c r="R24" i="8"/>
  <c r="R21" i="8"/>
  <c r="R20" i="8"/>
  <c r="R19" i="8"/>
  <c r="R16" i="8"/>
  <c r="R15" i="8"/>
  <c r="R14" i="8"/>
  <c r="R12" i="8"/>
  <c r="R11" i="8"/>
  <c r="R10" i="8"/>
  <c r="R9" i="8"/>
  <c r="R7" i="8"/>
  <c r="Q247" i="8"/>
  <c r="Q246" i="8"/>
  <c r="Q245" i="8"/>
  <c r="Q244" i="8"/>
  <c r="Q243" i="8"/>
  <c r="Q242" i="8"/>
  <c r="Q239" i="8"/>
  <c r="EA299" i="23" s="1"/>
  <c r="Q238" i="8"/>
  <c r="DZ299" i="23" s="1"/>
  <c r="Q237" i="8"/>
  <c r="DY299" i="23" s="1"/>
  <c r="Q229" i="8"/>
  <c r="DX299" i="23" s="1"/>
  <c r="Q228" i="8"/>
  <c r="DW299" i="23" s="1"/>
  <c r="Q226" i="8"/>
  <c r="DV299" i="23" s="1"/>
  <c r="Q225" i="8"/>
  <c r="DU299" i="23" s="1"/>
  <c r="Q224" i="8"/>
  <c r="DT299" i="23" s="1"/>
  <c r="Q222" i="8"/>
  <c r="DS299" i="23" s="1"/>
  <c r="Q221" i="8"/>
  <c r="DR299" i="23" s="1"/>
  <c r="Q220" i="8"/>
  <c r="DQ299" i="23" s="1"/>
  <c r="Q216" i="8"/>
  <c r="DP299" i="23" s="1"/>
  <c r="Q215" i="8"/>
  <c r="DO299" i="23" s="1"/>
  <c r="Q213" i="8"/>
  <c r="DN299" i="23" s="1"/>
  <c r="Q212" i="8"/>
  <c r="DM299" i="23" s="1"/>
  <c r="Q211" i="8"/>
  <c r="DL299" i="23" s="1"/>
  <c r="Q210" i="8"/>
  <c r="DK299" i="23" s="1"/>
  <c r="Q208" i="8"/>
  <c r="DJ299" i="23" s="1"/>
  <c r="Q207" i="8"/>
  <c r="DI299" i="23" s="1"/>
  <c r="Q206" i="8"/>
  <c r="DH299" i="23" s="1"/>
  <c r="Q204" i="8"/>
  <c r="DG299" i="23" s="1"/>
  <c r="Q203" i="8"/>
  <c r="DF299" i="23" s="1"/>
  <c r="Q202" i="8"/>
  <c r="DE299" i="23" s="1"/>
  <c r="Q201" i="8"/>
  <c r="DD299" i="23" s="1"/>
  <c r="Q200" i="8"/>
  <c r="DC299" i="23" s="1"/>
  <c r="Q199" i="8"/>
  <c r="DB299" i="23" s="1"/>
  <c r="Q198" i="8"/>
  <c r="DA299" i="23" s="1"/>
  <c r="Q197" i="8"/>
  <c r="CZ299" i="23" s="1"/>
  <c r="Q196" i="8"/>
  <c r="CY299" i="23" s="1"/>
  <c r="Q195" i="8"/>
  <c r="CX299" i="23" s="1"/>
  <c r="Q194" i="8"/>
  <c r="CW299" i="23" s="1"/>
  <c r="Q192" i="8"/>
  <c r="CV299" i="23" s="1"/>
  <c r="Q191" i="8"/>
  <c r="CU299" i="23" s="1"/>
  <c r="Q190" i="8"/>
  <c r="CT299" i="23" s="1"/>
  <c r="Q189" i="8"/>
  <c r="CS299" i="23" s="1"/>
  <c r="Q188" i="8"/>
  <c r="CR299" i="23" s="1"/>
  <c r="Q186" i="8"/>
  <c r="CQ299" i="23" s="1"/>
  <c r="Q185" i="8"/>
  <c r="CP299" i="23" s="1"/>
  <c r="Q184" i="8"/>
  <c r="CO299" i="23" s="1"/>
  <c r="Q183" i="8"/>
  <c r="CN299" i="23" s="1"/>
  <c r="Q181" i="8"/>
  <c r="CM299" i="23" s="1"/>
  <c r="Q180" i="8"/>
  <c r="CL299" i="23" s="1"/>
  <c r="Q179" i="8"/>
  <c r="CK299" i="23" s="1"/>
  <c r="Q177" i="8"/>
  <c r="CJ299" i="23" s="1"/>
  <c r="Q176" i="8"/>
  <c r="CI299" i="23" s="1"/>
  <c r="Q175" i="8"/>
  <c r="CH299" i="23" s="1"/>
  <c r="Q174" i="8"/>
  <c r="CG299" i="23" s="1"/>
  <c r="Q173" i="8"/>
  <c r="CF299" i="23" s="1"/>
  <c r="Q171" i="8"/>
  <c r="CE299" i="23" s="1"/>
  <c r="Q170" i="8"/>
  <c r="CD299" i="23" s="1"/>
  <c r="Q169" i="8"/>
  <c r="CC299" i="23" s="1"/>
  <c r="Q168" i="8"/>
  <c r="CB299" i="23" s="1"/>
  <c r="Q167" i="8"/>
  <c r="CA299" i="23" s="1"/>
  <c r="Q166" i="8"/>
  <c r="BZ299" i="23" s="1"/>
  <c r="Q165" i="8"/>
  <c r="BY299" i="23" s="1"/>
  <c r="Q162" i="8"/>
  <c r="BX299" i="23" s="1"/>
  <c r="Q161" i="8"/>
  <c r="BW299" i="23" s="1"/>
  <c r="Q160" i="8"/>
  <c r="BV299" i="23" s="1"/>
  <c r="Q159" i="8"/>
  <c r="BU299" i="23" s="1"/>
  <c r="Q158" i="8"/>
  <c r="BT299" i="23" s="1"/>
  <c r="Q154" i="8"/>
  <c r="BS299" i="23" s="1"/>
  <c r="Q153" i="8"/>
  <c r="BR299" i="23" s="1"/>
  <c r="Q152" i="8"/>
  <c r="BQ299" i="23" s="1"/>
  <c r="Q151" i="8"/>
  <c r="BP299" i="23" s="1"/>
  <c r="Q149" i="8"/>
  <c r="BO299" i="23" s="1"/>
  <c r="Q148" i="8"/>
  <c r="BN299" i="23" s="1"/>
  <c r="Q147" i="8"/>
  <c r="BM299" i="23" s="1"/>
  <c r="Q145" i="8"/>
  <c r="BL299" i="23" s="1"/>
  <c r="Q144" i="8"/>
  <c r="BK299" i="23" s="1"/>
  <c r="Q143" i="8"/>
  <c r="BJ299" i="23" s="1"/>
  <c r="Q142" i="8"/>
  <c r="BI299" i="23" s="1"/>
  <c r="Q141" i="8"/>
  <c r="BH299" i="23" s="1"/>
  <c r="Q140" i="8"/>
  <c r="BG299" i="23" s="1"/>
  <c r="Q139" i="8"/>
  <c r="BF299" i="23" s="1"/>
  <c r="Q137" i="8"/>
  <c r="BE299" i="23" s="1"/>
  <c r="Q136" i="8"/>
  <c r="BD299" i="23" s="1"/>
  <c r="Q135" i="8"/>
  <c r="BC299" i="23" s="1"/>
  <c r="Q134" i="8"/>
  <c r="BB299" i="23" s="1"/>
  <c r="Q132" i="8"/>
  <c r="BA299" i="23" s="1"/>
  <c r="Q131" i="8"/>
  <c r="AZ299" i="23" s="1"/>
  <c r="Q130" i="8"/>
  <c r="AY299" i="23" s="1"/>
  <c r="Q128" i="8"/>
  <c r="AX299" i="23" s="1"/>
  <c r="Q127" i="8"/>
  <c r="AW299" i="23" s="1"/>
  <c r="Q126" i="8"/>
  <c r="AV299" i="23" s="1"/>
  <c r="Q125" i="8"/>
  <c r="AU299" i="23" s="1"/>
  <c r="Q124" i="8"/>
  <c r="AT299" i="23" s="1"/>
  <c r="Q123" i="8"/>
  <c r="AS299" i="23" s="1"/>
  <c r="Q122" i="8"/>
  <c r="AR299" i="23" s="1"/>
  <c r="Q121" i="8"/>
  <c r="AQ299" i="23" s="1"/>
  <c r="Q120" i="8"/>
  <c r="AP299" i="23" s="1"/>
  <c r="Q119" i="8"/>
  <c r="AO299" i="23" s="1"/>
  <c r="Q118" i="8"/>
  <c r="AN299" i="23" s="1"/>
  <c r="Q117" i="8"/>
  <c r="AM299" i="23" s="1"/>
  <c r="Q113" i="8"/>
  <c r="AL299" i="23" s="1"/>
  <c r="Q112" i="8"/>
  <c r="AK299" i="23" s="1"/>
  <c r="Q111" i="8"/>
  <c r="AJ299" i="23" s="1"/>
  <c r="Q110" i="8"/>
  <c r="AI299" i="23" s="1"/>
  <c r="Q109" i="8"/>
  <c r="AH299" i="23" s="1"/>
  <c r="Q108" i="8"/>
  <c r="AG299" i="23" s="1"/>
  <c r="Q107" i="8"/>
  <c r="AF299" i="23" s="1"/>
  <c r="Q106" i="8"/>
  <c r="AE299" i="23" s="1"/>
  <c r="Q105" i="8"/>
  <c r="AD299" i="23" s="1"/>
  <c r="Q102" i="8"/>
  <c r="AC299" i="23" s="1"/>
  <c r="Q101" i="8"/>
  <c r="AB299" i="23" s="1"/>
  <c r="Q100" i="8"/>
  <c r="AA299" i="23" s="1"/>
  <c r="Q99" i="8"/>
  <c r="Z299" i="23" s="1"/>
  <c r="Q98" i="8"/>
  <c r="Y299" i="23" s="1"/>
  <c r="Q97" i="8"/>
  <c r="X299" i="23" s="1"/>
  <c r="Q96" i="8"/>
  <c r="W299" i="23" s="1"/>
  <c r="Q95" i="8"/>
  <c r="V299" i="23" s="1"/>
  <c r="Q94" i="8"/>
  <c r="U299" i="23" s="1"/>
  <c r="Q93" i="8"/>
  <c r="T299" i="23" s="1"/>
  <c r="Q92" i="8"/>
  <c r="S299" i="23" s="1"/>
  <c r="Q91" i="8"/>
  <c r="R299" i="23" s="1"/>
  <c r="Q89" i="8"/>
  <c r="Q88" i="8"/>
  <c r="Q299" i="23" s="1"/>
  <c r="Q86" i="8"/>
  <c r="P299" i="23" s="1"/>
  <c r="Q85" i="8"/>
  <c r="O299" i="23" s="1"/>
  <c r="Q84" i="8"/>
  <c r="N299" i="23" s="1"/>
  <c r="Q83" i="8"/>
  <c r="M299" i="23" s="1"/>
  <c r="Q82" i="8"/>
  <c r="L299" i="23" s="1"/>
  <c r="Q81" i="8"/>
  <c r="K299" i="23" s="1"/>
  <c r="Q80" i="8"/>
  <c r="J299" i="23" s="1"/>
  <c r="Q79" i="8"/>
  <c r="I299" i="23" s="1"/>
  <c r="Q78" i="8"/>
  <c r="H299" i="23" s="1"/>
  <c r="Q77" i="8"/>
  <c r="G299" i="23" s="1"/>
  <c r="Q69" i="8"/>
  <c r="Q68" i="8"/>
  <c r="Q67" i="8"/>
  <c r="Q66" i="8"/>
  <c r="Q65" i="8"/>
  <c r="Q64" i="8"/>
  <c r="Q63" i="8"/>
  <c r="Q62" i="8"/>
  <c r="Q61" i="8"/>
  <c r="Q55" i="8"/>
  <c r="Q51" i="8"/>
  <c r="Q46" i="8"/>
  <c r="Q45" i="8"/>
  <c r="Q44" i="8"/>
  <c r="Q42" i="8"/>
  <c r="Q41" i="8"/>
  <c r="Q40" i="8"/>
  <c r="Q39" i="8"/>
  <c r="Q37" i="8"/>
  <c r="Q36" i="8"/>
  <c r="Q35" i="8"/>
  <c r="Q34" i="8"/>
  <c r="Q33" i="8"/>
  <c r="Q32" i="8"/>
  <c r="Q31" i="8"/>
  <c r="Q26" i="8"/>
  <c r="Q25" i="8"/>
  <c r="Q24" i="8"/>
  <c r="Q21" i="8"/>
  <c r="Q20" i="8"/>
  <c r="Q19" i="8"/>
  <c r="Q16" i="8"/>
  <c r="Q15" i="8"/>
  <c r="Q14" i="8"/>
  <c r="Q12" i="8"/>
  <c r="Q11" i="8"/>
  <c r="Q10" i="8"/>
  <c r="Q9" i="8"/>
  <c r="Q7" i="8"/>
  <c r="AZ116" i="4" l="1"/>
  <c r="CP8" i="4"/>
  <c r="DR54" i="4"/>
  <c r="AY214" i="4"/>
  <c r="EF214" i="4"/>
  <c r="M172" i="6"/>
  <c r="M187" i="6"/>
  <c r="W292" i="23"/>
  <c r="AB96" i="8"/>
  <c r="EA292" i="23"/>
  <c r="AB239" i="8"/>
  <c r="AJ292" i="23"/>
  <c r="AB111" i="8"/>
  <c r="Y292" i="23"/>
  <c r="AB98" i="8"/>
  <c r="AW292" i="23"/>
  <c r="AB127" i="8"/>
  <c r="BI292" i="23"/>
  <c r="AB142" i="8"/>
  <c r="BU292" i="23"/>
  <c r="AB159" i="8"/>
  <c r="CG292" i="23"/>
  <c r="AB174" i="8"/>
  <c r="CS292" i="23"/>
  <c r="AB189" i="8"/>
  <c r="O292" i="23"/>
  <c r="AB85" i="8"/>
  <c r="Z292" i="23"/>
  <c r="AB99" i="8"/>
  <c r="AL292" i="23"/>
  <c r="AB113" i="8"/>
  <c r="AX292" i="23"/>
  <c r="AB128" i="8"/>
  <c r="BJ292" i="23"/>
  <c r="AB143" i="8"/>
  <c r="BV292" i="23"/>
  <c r="AB160" i="8"/>
  <c r="CH292" i="23"/>
  <c r="AB175" i="8"/>
  <c r="CT292" i="23"/>
  <c r="AB190" i="8"/>
  <c r="DF292" i="23"/>
  <c r="AB203" i="8"/>
  <c r="DR292" i="23"/>
  <c r="AB221" i="8"/>
  <c r="BG292" i="23"/>
  <c r="AB140" i="8"/>
  <c r="BH292" i="23"/>
  <c r="AB141" i="8"/>
  <c r="P292" i="23"/>
  <c r="AB86" i="8"/>
  <c r="AA292" i="23"/>
  <c r="AB100" i="8"/>
  <c r="AM292" i="23"/>
  <c r="AB117" i="8"/>
  <c r="AY292" i="23"/>
  <c r="AB130" i="8"/>
  <c r="BK292" i="23"/>
  <c r="AB144" i="8"/>
  <c r="BW292" i="23"/>
  <c r="AB161" i="8"/>
  <c r="CI292" i="23"/>
  <c r="AB176" i="8"/>
  <c r="CU292" i="23"/>
  <c r="AB191" i="8"/>
  <c r="DG292" i="23"/>
  <c r="AB204" i="8"/>
  <c r="DS292" i="23"/>
  <c r="AB222" i="8"/>
  <c r="AU292" i="23"/>
  <c r="AB125" i="8"/>
  <c r="M292" i="23"/>
  <c r="AB83" i="8"/>
  <c r="EA40" i="23"/>
  <c r="DH239" i="5"/>
  <c r="Q292" i="23"/>
  <c r="AB88" i="8"/>
  <c r="AB292" i="23"/>
  <c r="AB101" i="8"/>
  <c r="AN292" i="23"/>
  <c r="AB118" i="8"/>
  <c r="AZ292" i="23"/>
  <c r="AB131" i="8"/>
  <c r="BL292" i="23"/>
  <c r="AB145" i="8"/>
  <c r="BX292" i="23"/>
  <c r="AB162" i="8"/>
  <c r="CJ292" i="23"/>
  <c r="AB177" i="8"/>
  <c r="CV292" i="23"/>
  <c r="AB192" i="8"/>
  <c r="DH292" i="23"/>
  <c r="AB206" i="8"/>
  <c r="DT292" i="23"/>
  <c r="AB224" i="8"/>
  <c r="DC292" i="23"/>
  <c r="AB200" i="8"/>
  <c r="CF292" i="23"/>
  <c r="AB173" i="8"/>
  <c r="AC292" i="23"/>
  <c r="AB102" i="8"/>
  <c r="AO292" i="23"/>
  <c r="AB119" i="8"/>
  <c r="BA292" i="23"/>
  <c r="AB132" i="8"/>
  <c r="BM292" i="23"/>
  <c r="AB147" i="8"/>
  <c r="BY292" i="23"/>
  <c r="AB165" i="8"/>
  <c r="CK292" i="23"/>
  <c r="AB179" i="8"/>
  <c r="CW292" i="23"/>
  <c r="AB194" i="8"/>
  <c r="DI292" i="23"/>
  <c r="AB207" i="8"/>
  <c r="DU292" i="23"/>
  <c r="AB225" i="8"/>
  <c r="CE292" i="23"/>
  <c r="AB171" i="8"/>
  <c r="BT292" i="23"/>
  <c r="AB158" i="8"/>
  <c r="N292" i="23"/>
  <c r="AB84" i="8"/>
  <c r="G292" i="23"/>
  <c r="AB77" i="8"/>
  <c r="R292" i="23"/>
  <c r="AB91" i="8"/>
  <c r="AD292" i="23"/>
  <c r="AB105" i="8"/>
  <c r="AP292" i="23"/>
  <c r="AB120" i="8"/>
  <c r="BB292" i="23"/>
  <c r="AB134" i="8"/>
  <c r="BN292" i="23"/>
  <c r="AB148" i="8"/>
  <c r="BZ292" i="23"/>
  <c r="AB166" i="8"/>
  <c r="CL292" i="23"/>
  <c r="AB180" i="8"/>
  <c r="CX292" i="23"/>
  <c r="AB195" i="8"/>
  <c r="DJ292" i="23"/>
  <c r="AB208" i="8"/>
  <c r="DV292" i="23"/>
  <c r="AB226" i="8"/>
  <c r="BS292" i="23"/>
  <c r="AB154" i="8"/>
  <c r="DY40" i="23"/>
  <c r="DH237" i="5"/>
  <c r="H292" i="23"/>
  <c r="AB78" i="8"/>
  <c r="S292" i="23"/>
  <c r="AB92" i="8"/>
  <c r="AE292" i="23"/>
  <c r="AB106" i="8"/>
  <c r="AQ292" i="23"/>
  <c r="AB121" i="8"/>
  <c r="BC292" i="23"/>
  <c r="AB135" i="8"/>
  <c r="BO292" i="23"/>
  <c r="AB149" i="8"/>
  <c r="CA292" i="23"/>
  <c r="AB167" i="8"/>
  <c r="CM292" i="23"/>
  <c r="AB181" i="8"/>
  <c r="CY292" i="23"/>
  <c r="AB196" i="8"/>
  <c r="DK292" i="23"/>
  <c r="AB210" i="8"/>
  <c r="DW292" i="23"/>
  <c r="AB228" i="8"/>
  <c r="CQ292" i="23"/>
  <c r="AB186" i="8"/>
  <c r="CR292" i="23"/>
  <c r="AB188" i="8"/>
  <c r="DQ292" i="23"/>
  <c r="AB220" i="8"/>
  <c r="I292" i="23"/>
  <c r="AB79" i="8"/>
  <c r="AF292" i="23"/>
  <c r="AB107" i="8"/>
  <c r="BP292" i="23"/>
  <c r="AB151" i="8"/>
  <c r="CB292" i="23"/>
  <c r="AB168" i="8"/>
  <c r="CN292" i="23"/>
  <c r="AB183" i="8"/>
  <c r="CZ292" i="23"/>
  <c r="AB197" i="8"/>
  <c r="DL292" i="23"/>
  <c r="AB211" i="8"/>
  <c r="DX292" i="23"/>
  <c r="AB229" i="8"/>
  <c r="DZ184" i="23"/>
  <c r="BR238" i="7"/>
  <c r="EA184" i="23"/>
  <c r="BR239" i="7"/>
  <c r="DZ220" i="23"/>
  <c r="DH238" i="7"/>
  <c r="EA220" i="23"/>
  <c r="DH239" i="7"/>
  <c r="AI292" i="23"/>
  <c r="AB110" i="8"/>
  <c r="DP292" i="23"/>
  <c r="AB216" i="8"/>
  <c r="DE292" i="23"/>
  <c r="AB202" i="8"/>
  <c r="AR292" i="23"/>
  <c r="AB122" i="8"/>
  <c r="J292" i="23"/>
  <c r="AB80" i="8"/>
  <c r="U292" i="23"/>
  <c r="AB94" i="8"/>
  <c r="AG292" i="23"/>
  <c r="AB108" i="8"/>
  <c r="AS292" i="23"/>
  <c r="AB123" i="8"/>
  <c r="BE292" i="23"/>
  <c r="AB137" i="8"/>
  <c r="BQ292" i="23"/>
  <c r="AB152" i="8"/>
  <c r="CC292" i="23"/>
  <c r="AB169" i="8"/>
  <c r="CO292" i="23"/>
  <c r="AB184" i="8"/>
  <c r="DA292" i="23"/>
  <c r="AB198" i="8"/>
  <c r="DM292" i="23"/>
  <c r="AB212" i="8"/>
  <c r="DY292" i="23"/>
  <c r="AB237" i="8"/>
  <c r="L292" i="23"/>
  <c r="AB82" i="8"/>
  <c r="DO292" i="23"/>
  <c r="AB215" i="8"/>
  <c r="X292" i="23"/>
  <c r="AB97" i="8"/>
  <c r="AV292" i="23"/>
  <c r="AB126" i="8"/>
  <c r="DD292" i="23"/>
  <c r="AB201" i="8"/>
  <c r="AK292" i="23"/>
  <c r="AB112" i="8"/>
  <c r="T292" i="23"/>
  <c r="AB93" i="8"/>
  <c r="BD292" i="23"/>
  <c r="AB136" i="8"/>
  <c r="K292" i="23"/>
  <c r="AB81" i="8"/>
  <c r="V292" i="23"/>
  <c r="AB95" i="8"/>
  <c r="AH292" i="23"/>
  <c r="AB109" i="8"/>
  <c r="AT292" i="23"/>
  <c r="AB124" i="8"/>
  <c r="BF292" i="23"/>
  <c r="AB139" i="8"/>
  <c r="BR292" i="23"/>
  <c r="AB153" i="8"/>
  <c r="CD292" i="23"/>
  <c r="AB170" i="8"/>
  <c r="CP292" i="23"/>
  <c r="AB185" i="8"/>
  <c r="DB292" i="23"/>
  <c r="AB199" i="8"/>
  <c r="DN292" i="23"/>
  <c r="AB213" i="8"/>
  <c r="DZ292" i="23"/>
  <c r="AB238" i="8"/>
  <c r="DY76" i="23"/>
  <c r="BR237" i="6"/>
  <c r="DZ76" i="23"/>
  <c r="BR238" i="6"/>
  <c r="EA76" i="23"/>
  <c r="BR239" i="6"/>
  <c r="DY112" i="23"/>
  <c r="DH237" i="6"/>
  <c r="DZ112" i="23"/>
  <c r="DH238" i="6"/>
  <c r="EA112" i="23"/>
  <c r="DH239" i="6"/>
  <c r="DY148" i="23"/>
  <c r="EX237" i="6"/>
  <c r="DZ148" i="23"/>
  <c r="EX238" i="6"/>
  <c r="EA148" i="23"/>
  <c r="EX239" i="6"/>
  <c r="EA4" i="23"/>
  <c r="BR239" i="5"/>
  <c r="EF205" i="4"/>
  <c r="M193" i="6"/>
  <c r="EF133" i="4"/>
  <c r="DZ4" i="23"/>
  <c r="DZ40" i="23"/>
  <c r="BV54" i="4"/>
  <c r="CO38" i="4"/>
  <c r="AR8" i="4"/>
  <c r="DO58" i="7"/>
  <c r="CQ115" i="5"/>
  <c r="AZ54" i="4"/>
  <c r="AZ205" i="4"/>
  <c r="AZ236" i="4"/>
  <c r="AZ241" i="4"/>
  <c r="CP13" i="4"/>
  <c r="CP6" i="4" s="1"/>
  <c r="CP57" i="4"/>
  <c r="CP58" i="4" s="1"/>
  <c r="CP129" i="4"/>
  <c r="CP182" i="4"/>
  <c r="DR236" i="4"/>
  <c r="AZ129" i="4"/>
  <c r="EV8" i="6"/>
  <c r="CQ6" i="5"/>
  <c r="E51" i="23" s="1"/>
  <c r="DO6" i="7"/>
  <c r="EF6" i="6"/>
  <c r="AS87" i="4"/>
  <c r="DY27" i="4"/>
  <c r="AZ157" i="4"/>
  <c r="CH214" i="4"/>
  <c r="DP6" i="6"/>
  <c r="DZ6" i="7"/>
  <c r="AR241" i="4"/>
  <c r="DK27" i="4"/>
  <c r="E94" i="23"/>
  <c r="D94" i="23" s="1"/>
  <c r="AR57" i="4"/>
  <c r="AS29" i="4"/>
  <c r="CI146" i="4"/>
  <c r="FD27" i="4"/>
  <c r="CH236" i="4"/>
  <c r="CH227" i="4"/>
  <c r="EA43" i="6"/>
  <c r="EA47" i="6" s="1"/>
  <c r="DX27" i="4"/>
  <c r="AS38" i="4"/>
  <c r="E196" i="23"/>
  <c r="D196" i="23" s="1"/>
  <c r="CG193" i="4"/>
  <c r="CH13" i="4"/>
  <c r="CI157" i="4"/>
  <c r="AQ236" i="4"/>
  <c r="DI27" i="4"/>
  <c r="AR116" i="4"/>
  <c r="CH8" i="4"/>
  <c r="AQ227" i="4"/>
  <c r="CH87" i="4"/>
  <c r="DX57" i="4"/>
  <c r="AQ223" i="4"/>
  <c r="CH205" i="4"/>
  <c r="DL6" i="6"/>
  <c r="AR157" i="4"/>
  <c r="CG116" i="4"/>
  <c r="DY57" i="4"/>
  <c r="AQ87" i="4"/>
  <c r="CG219" i="4"/>
  <c r="BT54" i="4"/>
  <c r="AR214" i="4"/>
  <c r="BT8" i="4"/>
  <c r="AS150" i="4"/>
  <c r="AQ60" i="4"/>
  <c r="AS58" i="6"/>
  <c r="AR236" i="4"/>
  <c r="BT27" i="4"/>
  <c r="CG182" i="4"/>
  <c r="DW214" i="4"/>
  <c r="CK58" i="5"/>
  <c r="AS27" i="4"/>
  <c r="AS133" i="4"/>
  <c r="CG223" i="4"/>
  <c r="DJ54" i="4"/>
  <c r="DW87" i="4"/>
  <c r="DJ13" i="4"/>
  <c r="DX13" i="4"/>
  <c r="DX133" i="4"/>
  <c r="AS187" i="4"/>
  <c r="DW223" i="4"/>
  <c r="BV6" i="6"/>
  <c r="DX76" i="4"/>
  <c r="CR219" i="4"/>
  <c r="FB6" i="7"/>
  <c r="DW209" i="4"/>
  <c r="BB27" i="4"/>
  <c r="DW76" i="4"/>
  <c r="DW227" i="4"/>
  <c r="AT6" i="6"/>
  <c r="DW38" i="4"/>
  <c r="AQ187" i="4"/>
  <c r="AS6" i="6"/>
  <c r="CR6" i="5"/>
  <c r="E50" i="23" s="1"/>
  <c r="CH58" i="5"/>
  <c r="DZ43" i="7"/>
  <c r="DZ47" i="7" s="1"/>
  <c r="CQ54" i="4"/>
  <c r="DS13" i="4"/>
  <c r="AS57" i="4"/>
  <c r="CR58" i="5"/>
  <c r="AS146" i="4"/>
  <c r="EB6" i="7"/>
  <c r="CG38" i="4"/>
  <c r="CJ58" i="5"/>
  <c r="BA104" i="4"/>
  <c r="EH57" i="4"/>
  <c r="EF43" i="7"/>
  <c r="EF47" i="7" s="1"/>
  <c r="DW27" i="4"/>
  <c r="EG172" i="4"/>
  <c r="BZ6" i="7"/>
  <c r="DW219" i="4"/>
  <c r="AS75" i="6"/>
  <c r="CJ6" i="6"/>
  <c r="DY87" i="4"/>
  <c r="BB178" i="4"/>
  <c r="CJ43" i="5"/>
  <c r="CJ47" i="5" s="1"/>
  <c r="BB29" i="4"/>
  <c r="AV58" i="7"/>
  <c r="CJ75" i="6"/>
  <c r="DY129" i="4"/>
  <c r="DY13" i="4"/>
  <c r="EH27" i="4"/>
  <c r="FJ13" i="4"/>
  <c r="BA38" i="4"/>
  <c r="DK58" i="7"/>
  <c r="E95" i="23"/>
  <c r="D95" i="23" s="1"/>
  <c r="BA178" i="4"/>
  <c r="CQ57" i="4"/>
  <c r="DK6" i="6"/>
  <c r="CR75" i="5"/>
  <c r="EH146" i="4"/>
  <c r="CG236" i="4"/>
  <c r="EG13" i="4"/>
  <c r="BA138" i="4"/>
  <c r="FB6" i="6"/>
  <c r="EH129" i="4"/>
  <c r="DI236" i="4"/>
  <c r="BA150" i="4"/>
  <c r="BB146" i="4"/>
  <c r="EH8" i="4"/>
  <c r="AR227" i="4"/>
  <c r="DY43" i="7"/>
  <c r="DY47" i="7" s="1"/>
  <c r="DZ58" i="7"/>
  <c r="EH219" i="4"/>
  <c r="DI43" i="5"/>
  <c r="DI47" i="5" s="1"/>
  <c r="FJ54" i="4"/>
  <c r="DT13" i="4"/>
  <c r="ED58" i="7"/>
  <c r="CG58" i="5"/>
  <c r="EH223" i="4"/>
  <c r="AW58" i="6"/>
  <c r="CH157" i="4"/>
  <c r="DM43" i="5"/>
  <c r="DM47" i="5" s="1"/>
  <c r="DW13" i="4"/>
  <c r="CH182" i="4"/>
  <c r="CK218" i="5"/>
  <c r="BU13" i="4"/>
  <c r="CI138" i="4"/>
  <c r="DK8" i="4"/>
  <c r="CG157" i="4"/>
  <c r="CG205" i="4"/>
  <c r="EH150" i="4"/>
  <c r="EH214" i="4"/>
  <c r="CG227" i="4"/>
  <c r="DW133" i="4"/>
  <c r="EH182" i="4"/>
  <c r="AR205" i="4"/>
  <c r="CH57" i="4"/>
  <c r="DX116" i="4"/>
  <c r="AR193" i="4"/>
  <c r="FI13" i="4"/>
  <c r="AR133" i="4"/>
  <c r="CH172" i="4"/>
  <c r="CN156" i="6"/>
  <c r="EC43" i="6"/>
  <c r="EC47" i="6" s="1"/>
  <c r="AW75" i="6"/>
  <c r="CI172" i="4"/>
  <c r="DY133" i="4"/>
  <c r="BU54" i="4"/>
  <c r="AS164" i="4"/>
  <c r="AS76" i="4"/>
  <c r="CI87" i="4"/>
  <c r="DP6" i="7"/>
  <c r="CB6" i="6"/>
  <c r="DZ129" i="4"/>
  <c r="EE43" i="7"/>
  <c r="EE47" i="7" s="1"/>
  <c r="EE43" i="6"/>
  <c r="EE47" i="6" s="1"/>
  <c r="CP157" i="4"/>
  <c r="CP241" i="4"/>
  <c r="DJ27" i="4"/>
  <c r="AZ219" i="4"/>
  <c r="FC27" i="4"/>
  <c r="AY133" i="4"/>
  <c r="CO150" i="4"/>
  <c r="AZ27" i="4"/>
  <c r="AZ193" i="4"/>
  <c r="ED150" i="4"/>
  <c r="FG8" i="4"/>
  <c r="EF227" i="4"/>
  <c r="FF8" i="4"/>
  <c r="EA58" i="6"/>
  <c r="EE218" i="7"/>
  <c r="EB157" i="4"/>
  <c r="ED13" i="4"/>
  <c r="EC187" i="4"/>
  <c r="CN27" i="4"/>
  <c r="EB236" i="4"/>
  <c r="EB214" i="4"/>
  <c r="ED146" i="4"/>
  <c r="EE205" i="4"/>
  <c r="BB6" i="7"/>
  <c r="CN87" i="4"/>
  <c r="EG54" i="4"/>
  <c r="DT43" i="5"/>
  <c r="DT47" i="5" s="1"/>
  <c r="EF13" i="4"/>
  <c r="AZ6" i="6"/>
  <c r="ED138" i="4"/>
  <c r="EB205" i="4"/>
  <c r="AX227" i="4"/>
  <c r="CN178" i="4"/>
  <c r="CO58" i="6"/>
  <c r="DR6" i="6"/>
  <c r="CO87" i="4"/>
  <c r="CO178" i="4"/>
  <c r="CO223" i="4"/>
  <c r="AZ214" i="4"/>
  <c r="AZ223" i="4"/>
  <c r="CP133" i="4"/>
  <c r="EF60" i="4"/>
  <c r="EF8" i="4"/>
  <c r="FH6" i="6"/>
  <c r="CO187" i="4"/>
  <c r="CO219" i="4"/>
  <c r="EC164" i="4"/>
  <c r="CP29" i="4"/>
  <c r="CP43" i="4" s="1"/>
  <c r="CP47" i="4" s="1"/>
  <c r="ED57" i="4"/>
  <c r="CO133" i="4"/>
  <c r="CO214" i="4"/>
  <c r="DZ218" i="7"/>
  <c r="EF58" i="7"/>
  <c r="AY116" i="4"/>
  <c r="CO241" i="4"/>
  <c r="CP172" i="4"/>
  <c r="EF129" i="4"/>
  <c r="ED182" i="4"/>
  <c r="AX219" i="4"/>
  <c r="BZ54" i="4"/>
  <c r="AY54" i="4"/>
  <c r="AY178" i="4"/>
  <c r="AY223" i="4"/>
  <c r="EE27" i="4"/>
  <c r="EE90" i="4"/>
  <c r="DP27" i="4"/>
  <c r="CO205" i="4"/>
  <c r="EC146" i="4"/>
  <c r="AY60" i="4"/>
  <c r="AY90" i="4"/>
  <c r="EE13" i="4"/>
  <c r="FD236" i="4"/>
  <c r="CN138" i="4"/>
  <c r="ED8" i="4"/>
  <c r="FC236" i="4"/>
  <c r="AY172" i="4"/>
  <c r="AY219" i="4"/>
  <c r="EE87" i="4"/>
  <c r="CO116" i="4"/>
  <c r="EE6" i="6"/>
  <c r="ED219" i="4"/>
  <c r="AT218" i="6"/>
  <c r="DZ6" i="6"/>
  <c r="DZ75" i="6"/>
  <c r="FF13" i="4"/>
  <c r="DR6" i="7"/>
  <c r="AY87" i="4"/>
  <c r="DL6" i="7"/>
  <c r="CR178" i="4"/>
  <c r="BA87" i="4"/>
  <c r="CR87" i="4"/>
  <c r="BY6" i="7"/>
  <c r="BC58" i="7"/>
  <c r="CB58" i="7"/>
  <c r="EB193" i="4"/>
  <c r="FC54" i="4"/>
  <c r="CO236" i="4"/>
  <c r="FE13" i="4"/>
  <c r="EF236" i="4"/>
  <c r="EB241" i="4"/>
  <c r="AY205" i="4"/>
  <c r="CO129" i="4"/>
  <c r="CQ87" i="4"/>
  <c r="EF57" i="4"/>
  <c r="AZ57" i="4"/>
  <c r="CP87" i="4"/>
  <c r="AX6" i="7"/>
  <c r="DS58" i="7"/>
  <c r="EG6" i="7"/>
  <c r="CP58" i="5"/>
  <c r="EG58" i="7"/>
  <c r="BA6" i="6"/>
  <c r="FI58" i="7"/>
  <c r="BB8" i="4"/>
  <c r="FG219" i="4"/>
  <c r="EH133" i="4"/>
  <c r="BB60" i="4"/>
  <c r="BB227" i="4"/>
  <c r="CR146" i="4"/>
  <c r="BB129" i="4"/>
  <c r="BB150" i="4"/>
  <c r="EH38" i="4"/>
  <c r="EF157" i="4"/>
  <c r="AW6" i="6"/>
  <c r="CR57" i="4"/>
  <c r="EH29" i="4"/>
  <c r="FG27" i="4"/>
  <c r="BB214" i="4"/>
  <c r="CR214" i="4"/>
  <c r="CR182" i="4"/>
  <c r="CQ187" i="4"/>
  <c r="AX129" i="4"/>
  <c r="CN13" i="4"/>
  <c r="CN29" i="4"/>
  <c r="AX178" i="4"/>
  <c r="DY156" i="6"/>
  <c r="AT90" i="4"/>
  <c r="BB90" i="4"/>
  <c r="BB182" i="4"/>
  <c r="BY6" i="6"/>
  <c r="AX6" i="6"/>
  <c r="CI43" i="5"/>
  <c r="CI47" i="5" s="1"/>
  <c r="CI115" i="5"/>
  <c r="AQ205" i="4"/>
  <c r="AQ209" i="4"/>
  <c r="AQ219" i="4"/>
  <c r="CH115" i="5"/>
  <c r="CH43" i="5"/>
  <c r="CH47" i="5" s="1"/>
  <c r="CW8" i="6"/>
  <c r="AS193" i="4"/>
  <c r="DK13" i="4"/>
  <c r="CP6" i="6"/>
  <c r="EF6" i="7"/>
  <c r="AS129" i="4"/>
  <c r="BS6" i="7"/>
  <c r="CB6" i="7"/>
  <c r="AV6" i="6"/>
  <c r="CN146" i="4"/>
  <c r="EB227" i="4"/>
  <c r="DY6" i="7"/>
  <c r="CI6" i="6"/>
  <c r="CN227" i="4"/>
  <c r="AW133" i="4"/>
  <c r="EA223" i="4"/>
  <c r="FC8" i="4"/>
  <c r="AW146" i="4"/>
  <c r="EB146" i="4"/>
  <c r="DX58" i="7"/>
  <c r="BT6" i="6"/>
  <c r="BY54" i="4"/>
  <c r="EA241" i="4"/>
  <c r="BY13" i="4"/>
  <c r="EA236" i="4"/>
  <c r="AW38" i="4"/>
  <c r="E96" i="23"/>
  <c r="D96" i="23" s="1"/>
  <c r="CM87" i="4"/>
  <c r="EC8" i="4"/>
  <c r="AW76" i="4"/>
  <c r="EC138" i="4"/>
  <c r="CL57" i="4"/>
  <c r="E97" i="23"/>
  <c r="D97" i="23" s="1"/>
  <c r="AV227" i="4"/>
  <c r="AX218" i="6"/>
  <c r="AX58" i="6"/>
  <c r="ED43" i="7"/>
  <c r="ED47" i="7" s="1"/>
  <c r="CN75" i="5"/>
  <c r="CL172" i="4"/>
  <c r="CL104" i="4"/>
  <c r="CL133" i="4"/>
  <c r="FA13" i="4"/>
  <c r="EC13" i="4"/>
  <c r="EC57" i="4"/>
  <c r="EA205" i="4"/>
  <c r="CL13" i="4"/>
  <c r="DO8" i="4"/>
  <c r="EC27" i="4"/>
  <c r="EA150" i="4"/>
  <c r="AU227" i="4"/>
  <c r="CH6" i="6"/>
  <c r="EC133" i="4"/>
  <c r="AV187" i="4"/>
  <c r="CL209" i="4"/>
  <c r="EC54" i="4"/>
  <c r="EA157" i="4"/>
  <c r="EB129" i="4"/>
  <c r="AW150" i="4"/>
  <c r="AW164" i="4"/>
  <c r="AW29" i="4"/>
  <c r="DW218" i="6"/>
  <c r="AV236" i="4"/>
  <c r="CL236" i="4"/>
  <c r="CL214" i="4"/>
  <c r="DN27" i="4"/>
  <c r="CG218" i="6"/>
  <c r="CK187" i="4"/>
  <c r="CK214" i="4"/>
  <c r="DM236" i="4"/>
  <c r="CK129" i="4"/>
  <c r="AU146" i="4"/>
  <c r="DW43" i="6"/>
  <c r="DW47" i="6" s="1"/>
  <c r="FA27" i="4"/>
  <c r="EA27" i="4"/>
  <c r="BX27" i="4"/>
  <c r="DN54" i="4"/>
  <c r="CK227" i="4"/>
  <c r="AV214" i="4"/>
  <c r="CL129" i="4"/>
  <c r="AV27" i="4"/>
  <c r="E122" i="23"/>
  <c r="D122" i="23" s="1"/>
  <c r="AV129" i="4"/>
  <c r="AV178" i="4"/>
  <c r="BX8" i="4"/>
  <c r="AU57" i="4"/>
  <c r="BW6" i="7"/>
  <c r="BB75" i="6"/>
  <c r="CK150" i="4"/>
  <c r="CL182" i="4"/>
  <c r="DZ178" i="4"/>
  <c r="EB116" i="4"/>
  <c r="AV90" i="4"/>
  <c r="BX54" i="4"/>
  <c r="AW6" i="7"/>
  <c r="FJ6" i="6"/>
  <c r="E86" i="23"/>
  <c r="D86" i="23" s="1"/>
  <c r="DP43" i="5"/>
  <c r="DP47" i="5" s="1"/>
  <c r="CK146" i="4"/>
  <c r="CK223" i="4"/>
  <c r="EZ236" i="4"/>
  <c r="DM27" i="4"/>
  <c r="DW58" i="6"/>
  <c r="CL205" i="4"/>
  <c r="DN236" i="4"/>
  <c r="AV8" i="4"/>
  <c r="EB76" i="4"/>
  <c r="AV57" i="4"/>
  <c r="FB219" i="4"/>
  <c r="AW8" i="4"/>
  <c r="AW182" i="4"/>
  <c r="DQ58" i="5"/>
  <c r="CL8" i="4"/>
  <c r="AU133" i="4"/>
  <c r="AU209" i="4"/>
  <c r="BW236" i="4"/>
  <c r="CK133" i="4"/>
  <c r="EA87" i="4"/>
  <c r="AV29" i="4"/>
  <c r="CL193" i="4"/>
  <c r="DY187" i="4"/>
  <c r="BB218" i="6"/>
  <c r="CK90" i="4"/>
  <c r="CK209" i="4"/>
  <c r="DQ43" i="5"/>
  <c r="DQ47" i="5" s="1"/>
  <c r="EF172" i="4"/>
  <c r="BB38" i="4"/>
  <c r="BB187" i="4"/>
  <c r="EC75" i="7"/>
  <c r="CM75" i="6"/>
  <c r="DK43" i="5"/>
  <c r="DK47" i="5" s="1"/>
  <c r="FG236" i="4"/>
  <c r="EC6" i="6"/>
  <c r="BB104" i="4"/>
  <c r="CR133" i="4"/>
  <c r="L43" i="8"/>
  <c r="L47" i="8" s="1"/>
  <c r="CL157" i="4"/>
  <c r="DW58" i="7"/>
  <c r="DW75" i="7"/>
  <c r="EE58" i="6"/>
  <c r="BO8" i="7"/>
  <c r="BU6" i="7"/>
  <c r="EG75" i="7"/>
  <c r="EG115" i="7"/>
  <c r="AR58" i="7"/>
  <c r="DM6" i="7"/>
  <c r="AX75" i="7"/>
  <c r="CK58" i="6"/>
  <c r="AR6" i="6"/>
  <c r="CL241" i="4"/>
  <c r="DZ150" i="4"/>
  <c r="DZ223" i="4"/>
  <c r="CO58" i="5"/>
  <c r="BN8" i="5"/>
  <c r="FA6" i="6"/>
  <c r="CK116" i="4"/>
  <c r="AV133" i="4"/>
  <c r="FA6" i="7"/>
  <c r="EB57" i="4"/>
  <c r="FA58" i="7"/>
  <c r="DY75" i="7"/>
  <c r="AV193" i="4"/>
  <c r="AT29" i="4"/>
  <c r="AT219" i="4"/>
  <c r="CJ57" i="4"/>
  <c r="CJ87" i="4"/>
  <c r="DL8" i="4"/>
  <c r="DZ87" i="4"/>
  <c r="DX205" i="4"/>
  <c r="DX227" i="4"/>
  <c r="AT6" i="7"/>
  <c r="AU178" i="4"/>
  <c r="AU205" i="4"/>
  <c r="AU223" i="4"/>
  <c r="AU236" i="4"/>
  <c r="CK13" i="4"/>
  <c r="CK157" i="4"/>
  <c r="CK178" i="4"/>
  <c r="CK193" i="4"/>
  <c r="CK219" i="4"/>
  <c r="CK236" i="4"/>
  <c r="DM54" i="4"/>
  <c r="EA38" i="4"/>
  <c r="EA54" i="4"/>
  <c r="EA90" i="4"/>
  <c r="CN43" i="5"/>
  <c r="CN47" i="5" s="1"/>
  <c r="CO218" i="5"/>
  <c r="EH58" i="7"/>
  <c r="ED6" i="7"/>
  <c r="ED218" i="7"/>
  <c r="CM6" i="6"/>
  <c r="BA6" i="7"/>
  <c r="ER8" i="7"/>
  <c r="DK58" i="5"/>
  <c r="CQ6" i="6"/>
  <c r="DZ27" i="4"/>
  <c r="AT214" i="4"/>
  <c r="AT75" i="7"/>
  <c r="DT6" i="6"/>
  <c r="DW43" i="7"/>
  <c r="DW47" i="7" s="1"/>
  <c r="BA75" i="6"/>
  <c r="BB58" i="6"/>
  <c r="DZ29" i="4"/>
  <c r="EH75" i="7"/>
  <c r="BB6" i="6"/>
  <c r="EH6" i="7"/>
  <c r="AT87" i="4"/>
  <c r="AT178" i="4"/>
  <c r="BT58" i="7"/>
  <c r="FH6" i="7"/>
  <c r="EF115" i="7"/>
  <c r="AQ75" i="7"/>
  <c r="EB6" i="6"/>
  <c r="FD6" i="6"/>
  <c r="EG133" i="4"/>
  <c r="EC115" i="7"/>
  <c r="BA164" i="4"/>
  <c r="EE157" i="4"/>
  <c r="EE193" i="4"/>
  <c r="BA133" i="4"/>
  <c r="CC13" i="4"/>
  <c r="CQ150" i="4"/>
  <c r="EF146" i="4"/>
  <c r="DN6" i="6"/>
  <c r="EG87" i="4"/>
  <c r="BX6" i="6"/>
  <c r="EG156" i="6"/>
  <c r="EH156" i="7"/>
  <c r="FI6" i="6"/>
  <c r="BP8" i="7"/>
  <c r="DF8" i="7"/>
  <c r="AZ6" i="7"/>
  <c r="CJ133" i="4"/>
  <c r="AT60" i="4"/>
  <c r="CC6" i="6"/>
  <c r="CL6" i="6"/>
  <c r="BA76" i="4"/>
  <c r="DS8" i="4"/>
  <c r="EE58" i="7"/>
  <c r="BA29" i="4"/>
  <c r="CC54" i="4"/>
  <c r="EG129" i="4"/>
  <c r="CC27" i="4"/>
  <c r="EG57" i="4"/>
  <c r="CC8" i="4"/>
  <c r="EE241" i="4"/>
  <c r="BA13" i="4"/>
  <c r="BA129" i="4"/>
  <c r="BA182" i="4"/>
  <c r="EG27" i="4"/>
  <c r="EG76" i="4"/>
  <c r="EE223" i="4"/>
  <c r="CL58" i="5"/>
  <c r="AT129" i="4"/>
  <c r="CJ219" i="4"/>
  <c r="DX115" i="7"/>
  <c r="CQ156" i="6"/>
  <c r="DO43" i="5"/>
  <c r="DO47" i="5" s="1"/>
  <c r="AT150" i="4"/>
  <c r="AT223" i="4"/>
  <c r="CJ13" i="4"/>
  <c r="CJ227" i="4"/>
  <c r="CQ75" i="6"/>
  <c r="DY58" i="7"/>
  <c r="DK6" i="7"/>
  <c r="EZ58" i="7"/>
  <c r="AV6" i="7"/>
  <c r="FG58" i="7"/>
  <c r="AV115" i="6"/>
  <c r="AW57" i="4"/>
  <c r="AW13" i="4"/>
  <c r="AW157" i="4"/>
  <c r="EA209" i="4"/>
  <c r="EZ6" i="6"/>
  <c r="AW87" i="4"/>
  <c r="DD8" i="7"/>
  <c r="AQ115" i="7"/>
  <c r="E91" i="23"/>
  <c r="D91" i="23" s="1"/>
  <c r="AZ115" i="6"/>
  <c r="AU75" i="7"/>
  <c r="AU156" i="7"/>
  <c r="AU6" i="7"/>
  <c r="AX75" i="6"/>
  <c r="CH71" i="7"/>
  <c r="CH72" i="7" s="1"/>
  <c r="AX156" i="6"/>
  <c r="AU218" i="6"/>
  <c r="EH43" i="7"/>
  <c r="EH47" i="7" s="1"/>
  <c r="CN6" i="6"/>
  <c r="EC6" i="7"/>
  <c r="AX104" i="4"/>
  <c r="CP115" i="5"/>
  <c r="CN133" i="4"/>
  <c r="BU6" i="6"/>
  <c r="AX38" i="4"/>
  <c r="ED87" i="4"/>
  <c r="DY6" i="6"/>
  <c r="CN214" i="4"/>
  <c r="DP13" i="4"/>
  <c r="AX133" i="4"/>
  <c r="AX214" i="4"/>
  <c r="CN57" i="4"/>
  <c r="CN182" i="4"/>
  <c r="CN219" i="4"/>
  <c r="ED38" i="4"/>
  <c r="CM156" i="6"/>
  <c r="FH58" i="7"/>
  <c r="AW156" i="6"/>
  <c r="DO6" i="6"/>
  <c r="BV6" i="7"/>
  <c r="EH87" i="4"/>
  <c r="EG146" i="4"/>
  <c r="DT8" i="4"/>
  <c r="AQ54" i="4"/>
  <c r="AQ178" i="4"/>
  <c r="CR29" i="4"/>
  <c r="CI75" i="5"/>
  <c r="CR227" i="4"/>
  <c r="ED75" i="6"/>
  <c r="CI58" i="5"/>
  <c r="DL58" i="5"/>
  <c r="CR223" i="4"/>
  <c r="EH13" i="4"/>
  <c r="EH6" i="4" s="1"/>
  <c r="FF6" i="6"/>
  <c r="AQ90" i="4"/>
  <c r="CR76" i="4"/>
  <c r="AQ133" i="4"/>
  <c r="BB219" i="4"/>
  <c r="AQ57" i="4"/>
  <c r="AQ138" i="4"/>
  <c r="CR27" i="4"/>
  <c r="CN71" i="7"/>
  <c r="CN72" i="7" s="1"/>
  <c r="CM71" i="7"/>
  <c r="CM72" i="7" s="1"/>
  <c r="CI71" i="7"/>
  <c r="CI72" i="7" s="1"/>
  <c r="FD58" i="7"/>
  <c r="CI156" i="6"/>
  <c r="EU8" i="6"/>
  <c r="DY75" i="6"/>
  <c r="AT58" i="6"/>
  <c r="DY115" i="6"/>
  <c r="DS43" i="5"/>
  <c r="DS47" i="5" s="1"/>
  <c r="FK58" i="7"/>
  <c r="AO54" i="8"/>
  <c r="CG58" i="6"/>
  <c r="CI57" i="4"/>
  <c r="DX172" i="4"/>
  <c r="CL43" i="5"/>
  <c r="CL47" i="5" s="1"/>
  <c r="DO58" i="5"/>
  <c r="AU29" i="4"/>
  <c r="EY236" i="4"/>
  <c r="EA58" i="7"/>
  <c r="AT38" i="4"/>
  <c r="AT104" i="4"/>
  <c r="AT133" i="4"/>
  <c r="BU27" i="4"/>
  <c r="CI164" i="4"/>
  <c r="CI187" i="4"/>
  <c r="DY76" i="4"/>
  <c r="DX146" i="4"/>
  <c r="DW236" i="4"/>
  <c r="FJ219" i="4"/>
  <c r="AU182" i="4"/>
  <c r="CJ76" i="4"/>
  <c r="CJ182" i="4"/>
  <c r="AX115" i="7"/>
  <c r="DY104" i="4"/>
  <c r="CL115" i="5"/>
  <c r="FC58" i="7"/>
  <c r="EA43" i="7"/>
  <c r="EA47" i="7" s="1"/>
  <c r="CM115" i="5"/>
  <c r="EC58" i="7"/>
  <c r="EB115" i="7"/>
  <c r="AU116" i="4"/>
  <c r="CJ29" i="4"/>
  <c r="DL13" i="4"/>
  <c r="AU60" i="4"/>
  <c r="AU150" i="4"/>
  <c r="AT187" i="4"/>
  <c r="AT227" i="4"/>
  <c r="CJ38" i="4"/>
  <c r="CJ90" i="4"/>
  <c r="CJ129" i="4"/>
  <c r="CJ146" i="4"/>
  <c r="CJ178" i="4"/>
  <c r="DZ57" i="4"/>
  <c r="DY146" i="4"/>
  <c r="EC43" i="7"/>
  <c r="EC47" i="7" s="1"/>
  <c r="CI75" i="6"/>
  <c r="CJ27" i="4"/>
  <c r="DP58" i="5"/>
  <c r="AU54" i="4"/>
  <c r="CJ71" i="7"/>
  <c r="CJ72" i="7" s="1"/>
  <c r="CM75" i="5"/>
  <c r="AU87" i="4"/>
  <c r="DX236" i="4"/>
  <c r="CD6" i="6"/>
  <c r="EG6" i="6"/>
  <c r="FG6" i="6"/>
  <c r="AQ193" i="4"/>
  <c r="CG90" i="4"/>
  <c r="FH27" i="4"/>
  <c r="AY75" i="7"/>
  <c r="AY115" i="7"/>
  <c r="EA75" i="7"/>
  <c r="CS43" i="7"/>
  <c r="CS47" i="7" s="1"/>
  <c r="DN6" i="7"/>
  <c r="EG187" i="4"/>
  <c r="EA218" i="7"/>
  <c r="CR6" i="6"/>
  <c r="DS6" i="6"/>
  <c r="DM58" i="5"/>
  <c r="AR54" i="4"/>
  <c r="AR129" i="4"/>
  <c r="BC75" i="6"/>
  <c r="CQ71" i="7"/>
  <c r="CQ72" i="7" s="1"/>
  <c r="AJ218" i="8"/>
  <c r="CR71" i="7"/>
  <c r="CR72" i="7" s="1"/>
  <c r="EI58" i="6"/>
  <c r="AR115" i="6"/>
  <c r="CQ115" i="6"/>
  <c r="DU43" i="5"/>
  <c r="DU47" i="5" s="1"/>
  <c r="EB43" i="7"/>
  <c r="EB47" i="7" s="1"/>
  <c r="DU58" i="7"/>
  <c r="CS58" i="6"/>
  <c r="CE58" i="7"/>
  <c r="CS58" i="7"/>
  <c r="AO57" i="8"/>
  <c r="CS58" i="5"/>
  <c r="D70" i="8"/>
  <c r="AN6" i="8"/>
  <c r="AS8" i="4"/>
  <c r="E290" i="23"/>
  <c r="D290" i="23" s="1"/>
  <c r="C75" i="8"/>
  <c r="AQ218" i="7"/>
  <c r="M75" i="8"/>
  <c r="DU58" i="5"/>
  <c r="BB75" i="7"/>
  <c r="AT75" i="6"/>
  <c r="AS13" i="4"/>
  <c r="AR209" i="4"/>
  <c r="AR219" i="4"/>
  <c r="BT13" i="4"/>
  <c r="CH29" i="4"/>
  <c r="CH38" i="4"/>
  <c r="CH104" i="4"/>
  <c r="CH129" i="4"/>
  <c r="EH227" i="4"/>
  <c r="BO4" i="4"/>
  <c r="BO18" i="4"/>
  <c r="BO23" i="4"/>
  <c r="BO30" i="4"/>
  <c r="BO50" i="4"/>
  <c r="DE4" i="4"/>
  <c r="DE18" i="4"/>
  <c r="DE23" i="4"/>
  <c r="DE30" i="4"/>
  <c r="DE50" i="4"/>
  <c r="EU4" i="4"/>
  <c r="EU18" i="4"/>
  <c r="EU23" i="4"/>
  <c r="EU30" i="4"/>
  <c r="EU50" i="4"/>
  <c r="M43" i="8"/>
  <c r="M47" i="8" s="1"/>
  <c r="FE6" i="7"/>
  <c r="AT156" i="6"/>
  <c r="DJ236" i="4"/>
  <c r="CH54" i="4"/>
  <c r="FJ8" i="4"/>
  <c r="AT58" i="5"/>
  <c r="EI43" i="6"/>
  <c r="EI47" i="6" s="1"/>
  <c r="BB115" i="7"/>
  <c r="M218" i="8"/>
  <c r="AJ6" i="8"/>
  <c r="AH43" i="8"/>
  <c r="AH47" i="8" s="1"/>
  <c r="CS115" i="6"/>
  <c r="BX6" i="7"/>
  <c r="BO8" i="5"/>
  <c r="AK6" i="8"/>
  <c r="AI43" i="8"/>
  <c r="AI47" i="8" s="1"/>
  <c r="BZ43" i="5"/>
  <c r="BZ47" i="5" s="1"/>
  <c r="BX58" i="5"/>
  <c r="EN18" i="4"/>
  <c r="EN23" i="4"/>
  <c r="EN50" i="4"/>
  <c r="EO18" i="4"/>
  <c r="EO23" i="4"/>
  <c r="EO50" i="4"/>
  <c r="EA218" i="6"/>
  <c r="DS58" i="5"/>
  <c r="AX150" i="4"/>
  <c r="AX172" i="4"/>
  <c r="CM8" i="4"/>
  <c r="CM138" i="4"/>
  <c r="CM187" i="4"/>
  <c r="AM6" i="8"/>
  <c r="AK43" i="8"/>
  <c r="AK47" i="8" s="1"/>
  <c r="AK218" i="8"/>
  <c r="BJ4" i="4"/>
  <c r="BJ18" i="4"/>
  <c r="BJ23" i="4"/>
  <c r="BJ50" i="4"/>
  <c r="CZ4" i="4"/>
  <c r="AL43" i="8"/>
  <c r="AL47" i="8" s="1"/>
  <c r="BK4" i="4"/>
  <c r="BK18" i="4"/>
  <c r="BK23" i="4"/>
  <c r="BK50" i="4"/>
  <c r="DA4" i="4"/>
  <c r="DA18" i="4"/>
  <c r="DA23" i="4"/>
  <c r="DA50" i="4"/>
  <c r="DE8" i="6"/>
  <c r="DX75" i="6"/>
  <c r="ER4" i="4"/>
  <c r="ER18" i="4"/>
  <c r="ER23" i="4"/>
  <c r="ER30" i="4"/>
  <c r="ER50" i="4"/>
  <c r="M58" i="8"/>
  <c r="BX58" i="7"/>
  <c r="BF8" i="7"/>
  <c r="AX146" i="4"/>
  <c r="CM57" i="4"/>
  <c r="AN43" i="8"/>
  <c r="AN47" i="8" s="1"/>
  <c r="AL58" i="8"/>
  <c r="AL88" i="8" s="1"/>
  <c r="AL87" i="8" s="1"/>
  <c r="AL75" i="8" s="1"/>
  <c r="M156" i="8"/>
  <c r="BC43" i="6"/>
  <c r="BC47" i="6" s="1"/>
  <c r="DJ6" i="7"/>
  <c r="EA6" i="6"/>
  <c r="DE8" i="5"/>
  <c r="AX90" i="4"/>
  <c r="AX182" i="4"/>
  <c r="BY8" i="4"/>
  <c r="CM146" i="4"/>
  <c r="ET4" i="4"/>
  <c r="ET18" i="4"/>
  <c r="ET23" i="4"/>
  <c r="ET30" i="4"/>
  <c r="ET50" i="4"/>
  <c r="CM54" i="4"/>
  <c r="BP4" i="4"/>
  <c r="BP18" i="4"/>
  <c r="BP23" i="4"/>
  <c r="BP30" i="4"/>
  <c r="BP50" i="4"/>
  <c r="DF4" i="4"/>
  <c r="DF18" i="4"/>
  <c r="DF23" i="4"/>
  <c r="DF30" i="4"/>
  <c r="DF50" i="4"/>
  <c r="EV18" i="4"/>
  <c r="EV23" i="4"/>
  <c r="EV30" i="4"/>
  <c r="EV50" i="4"/>
  <c r="AI6" i="8"/>
  <c r="AG43" i="8"/>
  <c r="AG47" i="8" s="1"/>
  <c r="AG218" i="8"/>
  <c r="DX43" i="7"/>
  <c r="DX47" i="7" s="1"/>
  <c r="BG23" i="4"/>
  <c r="CW4" i="4"/>
  <c r="CW23" i="4"/>
  <c r="EM4" i="4"/>
  <c r="EM23" i="4"/>
  <c r="CE236" i="6"/>
  <c r="DD8" i="5"/>
  <c r="ET8" i="7"/>
  <c r="BN8" i="7"/>
  <c r="FB27" i="4"/>
  <c r="FD6" i="7"/>
  <c r="AR13" i="4"/>
  <c r="AR27" i="4"/>
  <c r="DQ6" i="7"/>
  <c r="DX8" i="4"/>
  <c r="FI27" i="4"/>
  <c r="FF6" i="7"/>
  <c r="AT8" i="4"/>
  <c r="AT27" i="4"/>
  <c r="CI8" i="4"/>
  <c r="DY8" i="4"/>
  <c r="FJ27" i="4"/>
  <c r="EU8" i="7"/>
  <c r="DZ8" i="4"/>
  <c r="DT6" i="7"/>
  <c r="CK8" i="4"/>
  <c r="DI6" i="7"/>
  <c r="FI6" i="7"/>
  <c r="FB8" i="4"/>
  <c r="FJ6" i="7"/>
  <c r="AX27" i="4"/>
  <c r="DO27" i="4"/>
  <c r="EZ6" i="7"/>
  <c r="EE8" i="4"/>
  <c r="DE8" i="7"/>
  <c r="EZ27" i="4"/>
  <c r="DW90" i="4"/>
  <c r="CA8" i="4"/>
  <c r="EI75" i="7"/>
  <c r="EK8" i="7"/>
  <c r="EV8" i="7"/>
  <c r="EL8" i="7"/>
  <c r="ES8" i="7"/>
  <c r="AV58" i="5"/>
  <c r="CA43" i="5"/>
  <c r="CA47" i="5" s="1"/>
  <c r="AD293" i="23"/>
  <c r="BZ293" i="23"/>
  <c r="CX293" i="23"/>
  <c r="AF293" i="23"/>
  <c r="CN293" i="23"/>
  <c r="DX293" i="23"/>
  <c r="U293" i="23"/>
  <c r="BQ293" i="23"/>
  <c r="DM293" i="23"/>
  <c r="K293" i="23"/>
  <c r="BF293" i="23"/>
  <c r="CP293" i="23"/>
  <c r="DB293" i="23"/>
  <c r="AU293" i="23"/>
  <c r="CE293" i="23"/>
  <c r="EA293" i="23"/>
  <c r="X293" i="23"/>
  <c r="BT293" i="23"/>
  <c r="DP293" i="23"/>
  <c r="AW293" i="23"/>
  <c r="CG293" i="23"/>
  <c r="DQ293" i="23"/>
  <c r="AL293" i="23"/>
  <c r="CH293" i="23"/>
  <c r="DR293" i="23"/>
  <c r="P293" i="23"/>
  <c r="AA293" i="23"/>
  <c r="AM293" i="23"/>
  <c r="AY293" i="23"/>
  <c r="BK293" i="23"/>
  <c r="BW293" i="23"/>
  <c r="CI293" i="23"/>
  <c r="CU293" i="23"/>
  <c r="DG293" i="23"/>
  <c r="DS293" i="23"/>
  <c r="R293" i="23"/>
  <c r="BN293" i="23"/>
  <c r="DV293" i="23"/>
  <c r="H293" i="23"/>
  <c r="CA293" i="23"/>
  <c r="CY293" i="23"/>
  <c r="DW293" i="23"/>
  <c r="AR293" i="23"/>
  <c r="CB293" i="23"/>
  <c r="DL293" i="23"/>
  <c r="AG293" i="23"/>
  <c r="CC293" i="23"/>
  <c r="DA293" i="23"/>
  <c r="V293" i="23"/>
  <c r="BR293" i="23"/>
  <c r="CD293" i="23"/>
  <c r="DZ293" i="23"/>
  <c r="AI293" i="23"/>
  <c r="BS293" i="23"/>
  <c r="DO293" i="23"/>
  <c r="M293" i="23"/>
  <c r="AV293" i="23"/>
  <c r="CR293" i="23"/>
  <c r="AK293" i="23"/>
  <c r="BU293" i="23"/>
  <c r="AX293" i="23"/>
  <c r="BV293" i="23"/>
  <c r="DF293" i="23"/>
  <c r="Q293" i="23"/>
  <c r="AB293" i="23"/>
  <c r="AN293" i="23"/>
  <c r="AZ293" i="23"/>
  <c r="BL293" i="23"/>
  <c r="BX293" i="23"/>
  <c r="CJ293" i="23"/>
  <c r="CV293" i="23"/>
  <c r="DH293" i="23"/>
  <c r="DT293" i="23"/>
  <c r="G293" i="23"/>
  <c r="AP293" i="23"/>
  <c r="BB293" i="23"/>
  <c r="CL293" i="23"/>
  <c r="DJ293" i="23"/>
  <c r="S293" i="23"/>
  <c r="AE293" i="23"/>
  <c r="AQ293" i="23"/>
  <c r="BC293" i="23"/>
  <c r="BO293" i="23"/>
  <c r="CM293" i="23"/>
  <c r="DK293" i="23"/>
  <c r="I293" i="23"/>
  <c r="T293" i="23"/>
  <c r="BD293" i="23"/>
  <c r="BP293" i="23"/>
  <c r="CZ293" i="23"/>
  <c r="J293" i="23"/>
  <c r="AS293" i="23"/>
  <c r="BE293" i="23"/>
  <c r="CO293" i="23"/>
  <c r="DY293" i="23"/>
  <c r="AH293" i="23"/>
  <c r="AT293" i="23"/>
  <c r="DN293" i="23"/>
  <c r="L293" i="23"/>
  <c r="W293" i="23"/>
  <c r="BG293" i="23"/>
  <c r="CQ293" i="23"/>
  <c r="DC293" i="23"/>
  <c r="AJ293" i="23"/>
  <c r="BH293" i="23"/>
  <c r="CF293" i="23"/>
  <c r="DD293" i="23"/>
  <c r="N293" i="23"/>
  <c r="Y293" i="23"/>
  <c r="BI293" i="23"/>
  <c r="CS293" i="23"/>
  <c r="DE293" i="23"/>
  <c r="O293" i="23"/>
  <c r="Z293" i="23"/>
  <c r="BJ293" i="23"/>
  <c r="CT293" i="23"/>
  <c r="AC293" i="23"/>
  <c r="AO293" i="23"/>
  <c r="BA293" i="23"/>
  <c r="BM293" i="23"/>
  <c r="BY293" i="23"/>
  <c r="CK293" i="23"/>
  <c r="CW293" i="23"/>
  <c r="DI293" i="23"/>
  <c r="DU293" i="23"/>
  <c r="DL43" i="5"/>
  <c r="DL47" i="5" s="1"/>
  <c r="EA5" i="23"/>
  <c r="DZ41" i="23"/>
  <c r="EA41" i="23"/>
  <c r="DZ5" i="23"/>
  <c r="CJ214" i="4"/>
  <c r="DZ13" i="4"/>
  <c r="DZ77" i="23"/>
  <c r="EA113" i="23"/>
  <c r="DZ149" i="23"/>
  <c r="AV13" i="4"/>
  <c r="BX13" i="4"/>
  <c r="DZ138" i="4"/>
  <c r="DY77" i="23"/>
  <c r="EA149" i="23"/>
  <c r="AV182" i="4"/>
  <c r="AU187" i="4"/>
  <c r="CK241" i="4"/>
  <c r="EA138" i="4"/>
  <c r="DN13" i="4"/>
  <c r="EB8" i="4"/>
  <c r="EB133" i="4"/>
  <c r="CN75" i="6"/>
  <c r="AX60" i="4"/>
  <c r="AU90" i="4"/>
  <c r="EA77" i="23"/>
  <c r="DY113" i="23"/>
  <c r="DZ113" i="23"/>
  <c r="DY149" i="23"/>
  <c r="BA58" i="6"/>
  <c r="BA156" i="6"/>
  <c r="CM150" i="4"/>
  <c r="DO13" i="4"/>
  <c r="EC76" i="4"/>
  <c r="CN38" i="4"/>
  <c r="ED6" i="6"/>
  <c r="FC6" i="6"/>
  <c r="DQ236" i="4"/>
  <c r="BA57" i="4"/>
  <c r="ED227" i="4"/>
  <c r="BA187" i="4"/>
  <c r="EF75" i="6"/>
  <c r="CM157" i="4"/>
  <c r="AV157" i="4"/>
  <c r="AS104" i="4"/>
  <c r="AW104" i="4"/>
  <c r="AY218" i="6"/>
  <c r="AU219" i="4"/>
  <c r="CL227" i="4"/>
  <c r="EA227" i="4"/>
  <c r="EE219" i="4"/>
  <c r="DW241" i="4"/>
  <c r="DX214" i="4"/>
  <c r="DX241" i="4"/>
  <c r="AV241" i="4"/>
  <c r="BW8" i="4"/>
  <c r="EA13" i="4"/>
  <c r="AX8" i="4"/>
  <c r="AX29" i="4"/>
  <c r="CL29" i="4"/>
  <c r="DY115" i="7"/>
  <c r="DY172" i="4"/>
  <c r="DZ75" i="7"/>
  <c r="AW187" i="4"/>
  <c r="DZ227" i="4"/>
  <c r="AY138" i="4"/>
  <c r="CM164" i="4"/>
  <c r="EC87" i="4"/>
  <c r="EI58" i="7"/>
  <c r="CQ164" i="4"/>
  <c r="CQ172" i="4"/>
  <c r="CI230" i="7"/>
  <c r="CI231" i="7" s="1"/>
  <c r="CA6" i="7"/>
  <c r="AW129" i="4"/>
  <c r="AW138" i="4"/>
  <c r="EC157" i="4"/>
  <c r="CB13" i="4"/>
  <c r="EE178" i="4"/>
  <c r="CO90" i="4"/>
  <c r="DX75" i="7"/>
  <c r="ED75" i="7"/>
  <c r="BB87" i="4"/>
  <c r="EF70" i="7"/>
  <c r="CC6" i="7"/>
  <c r="CR230" i="7"/>
  <c r="EG70" i="7"/>
  <c r="AR178" i="4"/>
  <c r="CE236" i="7"/>
  <c r="AS75" i="7"/>
  <c r="DZ182" i="4"/>
  <c r="DZ214" i="4"/>
  <c r="AZ187" i="4"/>
  <c r="CO157" i="4"/>
  <c r="AT182" i="4"/>
  <c r="AV205" i="4"/>
  <c r="CK205" i="4"/>
  <c r="DY156" i="7"/>
  <c r="AW205" i="4"/>
  <c r="AW209" i="4"/>
  <c r="DY164" i="4"/>
  <c r="DZ156" i="7"/>
  <c r="AY209" i="4"/>
  <c r="AZ209" i="4"/>
  <c r="EA214" i="4"/>
  <c r="EC156" i="7"/>
  <c r="ED156" i="7"/>
  <c r="AQ214" i="4"/>
  <c r="EG156" i="7"/>
  <c r="AT172" i="4"/>
  <c r="BB172" i="4"/>
  <c r="CB54" i="4"/>
  <c r="EO8" i="7"/>
  <c r="DZ185" i="23"/>
  <c r="DY257" i="23"/>
  <c r="EX237" i="7"/>
  <c r="DX129" i="4"/>
  <c r="EG157" i="4"/>
  <c r="CS70" i="7"/>
  <c r="CJ138" i="4"/>
  <c r="AW75" i="7"/>
  <c r="CM230" i="7"/>
  <c r="CM231" i="7" s="1"/>
  <c r="EA193" i="4"/>
  <c r="CQ157" i="4"/>
  <c r="CR38" i="4"/>
  <c r="EG104" i="4"/>
  <c r="EA185" i="23"/>
  <c r="DZ221" i="23"/>
  <c r="EH218" i="7"/>
  <c r="EE209" i="4"/>
  <c r="CP71" i="7"/>
  <c r="CP72" i="7" s="1"/>
  <c r="EA257" i="23"/>
  <c r="EX239" i="7"/>
  <c r="BU8" i="4"/>
  <c r="EG164" i="4"/>
  <c r="CU8" i="7"/>
  <c r="EH178" i="4"/>
  <c r="DX157" i="4"/>
  <c r="DW205" i="4"/>
  <c r="BA8" i="4"/>
  <c r="EE138" i="4"/>
  <c r="EI8" i="7"/>
  <c r="EF27" i="4"/>
  <c r="EF76" i="4"/>
  <c r="EB172" i="4"/>
  <c r="EG138" i="4"/>
  <c r="DY185" i="23"/>
  <c r="EA221" i="23"/>
  <c r="AS172" i="4"/>
  <c r="CG209" i="4"/>
  <c r="CG241" i="4"/>
  <c r="DZ257" i="23"/>
  <c r="EX238" i="7"/>
  <c r="CL71" i="7"/>
  <c r="CL72" i="7" s="1"/>
  <c r="AY6" i="7"/>
  <c r="AU214" i="4"/>
  <c r="DX150" i="4"/>
  <c r="CQ230" i="7"/>
  <c r="E204" i="23"/>
  <c r="D204" i="23" s="1"/>
  <c r="EI43" i="7"/>
  <c r="EI47" i="7" s="1"/>
  <c r="EC150" i="4"/>
  <c r="ED129" i="4"/>
  <c r="AQ116" i="4"/>
  <c r="CQ138" i="4"/>
  <c r="CR138" i="4"/>
  <c r="EE150" i="4"/>
  <c r="BA146" i="4"/>
  <c r="CO146" i="4"/>
  <c r="EE133" i="4"/>
  <c r="CH133" i="4"/>
  <c r="EI115" i="7"/>
  <c r="AT146" i="4"/>
  <c r="EG150" i="4"/>
  <c r="EA219" i="4"/>
  <c r="BB223" i="4"/>
  <c r="EG218" i="7"/>
  <c r="DT58" i="5"/>
  <c r="BE8" i="5"/>
  <c r="CQ58" i="5"/>
  <c r="AX58" i="5"/>
  <c r="CC43" i="5"/>
  <c r="CC47" i="5" s="1"/>
  <c r="DG9" i="5"/>
  <c r="CU8" i="5"/>
  <c r="DG11" i="5"/>
  <c r="DG12" i="5"/>
  <c r="CJ75" i="5"/>
  <c r="DG10" i="5"/>
  <c r="DG37" i="5"/>
  <c r="AY58" i="5"/>
  <c r="CD43" i="5"/>
  <c r="CD47" i="5" s="1"/>
  <c r="BS236" i="5"/>
  <c r="AZ58" i="5"/>
  <c r="CE43" i="5"/>
  <c r="CE47" i="5" s="1"/>
  <c r="M115" i="8"/>
  <c r="AF43" i="8"/>
  <c r="AF47" i="8" s="1"/>
  <c r="AD58" i="8"/>
  <c r="AD88" i="8" s="1"/>
  <c r="AD87" i="8" s="1"/>
  <c r="AD75" i="8" s="1"/>
  <c r="AF218" i="8"/>
  <c r="FH219" i="4"/>
  <c r="AU218" i="7"/>
  <c r="FC219" i="4"/>
  <c r="CO218" i="6"/>
  <c r="AV60" i="4"/>
  <c r="CL60" i="4"/>
  <c r="FB54" i="4"/>
  <c r="FE54" i="4"/>
  <c r="DK54" i="4"/>
  <c r="FE58" i="7"/>
  <c r="CK71" i="7"/>
  <c r="CK72" i="7" s="1"/>
  <c r="CI54" i="4"/>
  <c r="DO54" i="4"/>
  <c r="FF54" i="4"/>
  <c r="FG54" i="4"/>
  <c r="EF54" i="4"/>
  <c r="FA54" i="4"/>
  <c r="CK54" i="4"/>
  <c r="DS54" i="4"/>
  <c r="DY54" i="4"/>
  <c r="AS6" i="7"/>
  <c r="CS6" i="7"/>
  <c r="DU236" i="7"/>
  <c r="CH230" i="7"/>
  <c r="ED70" i="7"/>
  <c r="BC75" i="7"/>
  <c r="ET236" i="7"/>
  <c r="BC43" i="7"/>
  <c r="BC47" i="7" s="1"/>
  <c r="CS156" i="7"/>
  <c r="BC115" i="7"/>
  <c r="EB70" i="7"/>
  <c r="CJ230" i="7"/>
  <c r="CJ231" i="7" s="1"/>
  <c r="CE219" i="7"/>
  <c r="EC70" i="7"/>
  <c r="EE70" i="7"/>
  <c r="CO71" i="7"/>
  <c r="CO72" i="7" s="1"/>
  <c r="CS75" i="6"/>
  <c r="CI115" i="6"/>
  <c r="EC156" i="6"/>
  <c r="CR13" i="4"/>
  <c r="CG8" i="4"/>
  <c r="EA133" i="4"/>
  <c r="DY150" i="4"/>
  <c r="CG129" i="4"/>
  <c r="EB27" i="4"/>
  <c r="CO227" i="4"/>
  <c r="DX6" i="6"/>
  <c r="FK236" i="6"/>
  <c r="DU236" i="6"/>
  <c r="EC75" i="6"/>
  <c r="ED156" i="6"/>
  <c r="CP205" i="4"/>
  <c r="CG133" i="4"/>
  <c r="EB29" i="4"/>
  <c r="DY157" i="4"/>
  <c r="BA27" i="4"/>
  <c r="AU193" i="4"/>
  <c r="ED27" i="4"/>
  <c r="ED133" i="4"/>
  <c r="FI54" i="4"/>
  <c r="AS156" i="6"/>
  <c r="FK8" i="6"/>
  <c r="FK13" i="6"/>
  <c r="EI115" i="6"/>
  <c r="AQ241" i="4"/>
  <c r="CN223" i="4"/>
  <c r="DL27" i="4"/>
  <c r="DZ38" i="4"/>
  <c r="DW157" i="4"/>
  <c r="AX87" i="4"/>
  <c r="CG13" i="4"/>
  <c r="CR129" i="4"/>
  <c r="EA8" i="4"/>
  <c r="EA104" i="4"/>
  <c r="DW193" i="4"/>
  <c r="EE227" i="4"/>
  <c r="FF219" i="4"/>
  <c r="BT236" i="4"/>
  <c r="EB13" i="4"/>
  <c r="EA146" i="4"/>
  <c r="EF241" i="4"/>
  <c r="EH6" i="6"/>
  <c r="FE6" i="6"/>
  <c r="EC129" i="4"/>
  <c r="FH236" i="4"/>
  <c r="BZ6" i="6"/>
  <c r="DJ6" i="6"/>
  <c r="EG115" i="6"/>
  <c r="AV209" i="4"/>
  <c r="AU241" i="4"/>
  <c r="DP8" i="4"/>
  <c r="EH75" i="6"/>
  <c r="BB133" i="4"/>
  <c r="EZ219" i="4"/>
  <c r="BB156" i="6"/>
  <c r="EG75" i="6"/>
  <c r="EB75" i="6"/>
  <c r="AR70" i="6"/>
  <c r="CH70" i="6"/>
  <c r="EE75" i="6"/>
  <c r="DZ133" i="4"/>
  <c r="DY138" i="4"/>
  <c r="BC164" i="6"/>
  <c r="BC182" i="6"/>
  <c r="BC209" i="6"/>
  <c r="CI43" i="6"/>
  <c r="CI47" i="6" s="1"/>
  <c r="E131" i="23"/>
  <c r="D131" i="23" s="1"/>
  <c r="CI70" i="6"/>
  <c r="EI13" i="6"/>
  <c r="BY27" i="4"/>
  <c r="EC104" i="4"/>
  <c r="CS178" i="6"/>
  <c r="EE156" i="6"/>
  <c r="AY227" i="4"/>
  <c r="DZ146" i="4"/>
  <c r="AU70" i="6"/>
  <c r="CK43" i="6"/>
  <c r="CK47" i="6" s="1"/>
  <c r="E129" i="23"/>
  <c r="D129" i="23" s="1"/>
  <c r="CK70" i="6"/>
  <c r="CS219" i="6"/>
  <c r="EE129" i="4"/>
  <c r="CJ223" i="4"/>
  <c r="EH156" i="6"/>
  <c r="BC58" i="6"/>
  <c r="AX70" i="6"/>
  <c r="CE13" i="6"/>
  <c r="CN70" i="6"/>
  <c r="DW156" i="6"/>
  <c r="EI172" i="6"/>
  <c r="EI178" i="6"/>
  <c r="EI187" i="6"/>
  <c r="EI205" i="6"/>
  <c r="EI209" i="6"/>
  <c r="EI214" i="6"/>
  <c r="AY70" i="6"/>
  <c r="CO43" i="6"/>
  <c r="CO47" i="6" s="1"/>
  <c r="E125" i="23"/>
  <c r="D125" i="23" s="1"/>
  <c r="CO70" i="6"/>
  <c r="DX156" i="6"/>
  <c r="EI219" i="6"/>
  <c r="AZ70" i="6"/>
  <c r="CP70" i="6"/>
  <c r="EA75" i="6"/>
  <c r="CQ70" i="6"/>
  <c r="DU8" i="6"/>
  <c r="BC115" i="6"/>
  <c r="BB70" i="6"/>
  <c r="CR70" i="6"/>
  <c r="EA156" i="6"/>
  <c r="AS70" i="6"/>
  <c r="BC172" i="6"/>
  <c r="BC178" i="6"/>
  <c r="BC187" i="6"/>
  <c r="BC193" i="6"/>
  <c r="BC205" i="6"/>
  <c r="BC214" i="6"/>
  <c r="EI8" i="6"/>
  <c r="AY193" i="4"/>
  <c r="ED29" i="4"/>
  <c r="EI75" i="6"/>
  <c r="AT70" i="6"/>
  <c r="CJ70" i="6"/>
  <c r="CS182" i="6"/>
  <c r="EF156" i="6"/>
  <c r="CO8" i="4"/>
  <c r="CO6" i="4" s="1"/>
  <c r="DR27" i="4"/>
  <c r="AV70" i="6"/>
  <c r="CL70" i="6"/>
  <c r="DW75" i="6"/>
  <c r="BO236" i="6"/>
  <c r="DY75" i="23"/>
  <c r="AW27" i="4"/>
  <c r="DS27" i="4"/>
  <c r="EG8" i="4"/>
  <c r="AW70" i="6"/>
  <c r="CM43" i="6"/>
  <c r="CM47" i="6" s="1"/>
  <c r="E127" i="23"/>
  <c r="D127" i="23" s="1"/>
  <c r="CM70" i="6"/>
  <c r="CQ8" i="4"/>
  <c r="CE8" i="6"/>
  <c r="EI164" i="6"/>
  <c r="EI182" i="6"/>
  <c r="EI193" i="6"/>
  <c r="BA70" i="6"/>
  <c r="DU13" i="6"/>
  <c r="DZ156" i="6"/>
  <c r="AQ70" i="6"/>
  <c r="CS8" i="6"/>
  <c r="CS13" i="6"/>
  <c r="CG43" i="6"/>
  <c r="CG47" i="6" s="1"/>
  <c r="E133" i="23"/>
  <c r="D133" i="23" s="1"/>
  <c r="CG70" i="6"/>
  <c r="EC115" i="6"/>
  <c r="EB156" i="6"/>
  <c r="BA58" i="5"/>
  <c r="CD58" i="5"/>
  <c r="CQ75" i="5"/>
  <c r="CN218" i="5"/>
  <c r="BT43" i="5"/>
  <c r="BT47" i="5" s="1"/>
  <c r="BB58" i="5"/>
  <c r="CE58" i="5"/>
  <c r="DD236" i="5"/>
  <c r="DH236" i="5" s="1"/>
  <c r="AQ58" i="5"/>
  <c r="BC58" i="5"/>
  <c r="BV43" i="5"/>
  <c r="BV47" i="5" s="1"/>
  <c r="BT58" i="5"/>
  <c r="BP8" i="5"/>
  <c r="BL8" i="5"/>
  <c r="DI58" i="5"/>
  <c r="AR58" i="5"/>
  <c r="BW43" i="5"/>
  <c r="BW47" i="5" s="1"/>
  <c r="CM58" i="5"/>
  <c r="CV8" i="5"/>
  <c r="CS218" i="5"/>
  <c r="CJ218" i="5"/>
  <c r="DN58" i="5"/>
  <c r="AU58" i="5"/>
  <c r="CN58" i="5"/>
  <c r="AW58" i="5"/>
  <c r="CB43" i="5"/>
  <c r="CB47" i="5" s="1"/>
  <c r="BZ58" i="5"/>
  <c r="CK70" i="5"/>
  <c r="BI8" i="5"/>
  <c r="CY8" i="7"/>
  <c r="BI8" i="7"/>
  <c r="CZ8" i="5"/>
  <c r="EP8" i="6"/>
  <c r="BJ8" i="5"/>
  <c r="BS236" i="4"/>
  <c r="BX236" i="4"/>
  <c r="CB236" i="4"/>
  <c r="DC8" i="7"/>
  <c r="BM8" i="7"/>
  <c r="ES236" i="7"/>
  <c r="EX236" i="7" s="1"/>
  <c r="E293" i="23"/>
  <c r="D293" i="23" s="1"/>
  <c r="BM236" i="7"/>
  <c r="BV58" i="7"/>
  <c r="FD54" i="4"/>
  <c r="EY58" i="7"/>
  <c r="EB54" i="4"/>
  <c r="AS58" i="7"/>
  <c r="BW58" i="7"/>
  <c r="CL54" i="4"/>
  <c r="BY58" i="7"/>
  <c r="FB58" i="7"/>
  <c r="DQ54" i="4"/>
  <c r="AV54" i="4"/>
  <c r="CD54" i="4"/>
  <c r="AY57" i="4"/>
  <c r="DX54" i="4"/>
  <c r="DW6" i="7"/>
  <c r="EI13" i="7"/>
  <c r="CD6" i="7"/>
  <c r="CE8" i="7"/>
  <c r="AY218" i="7"/>
  <c r="CL87" i="4"/>
  <c r="DX156" i="7"/>
  <c r="AS138" i="4"/>
  <c r="DY183" i="23"/>
  <c r="BO236" i="7"/>
  <c r="DX6" i="7"/>
  <c r="BT6" i="7"/>
  <c r="FG6" i="7"/>
  <c r="BN236" i="7"/>
  <c r="BR236" i="7" s="1"/>
  <c r="DY184" i="23"/>
  <c r="DR58" i="7"/>
  <c r="CB8" i="4"/>
  <c r="AX58" i="7"/>
  <c r="CD58" i="7"/>
  <c r="DY228" i="23"/>
  <c r="CV236" i="7"/>
  <c r="EA115" i="7"/>
  <c r="AZ58" i="7"/>
  <c r="AX218" i="7"/>
  <c r="CE13" i="7"/>
  <c r="EA178" i="4"/>
  <c r="AX70" i="7"/>
  <c r="E198" i="23"/>
  <c r="D198" i="23" s="1"/>
  <c r="BP236" i="7"/>
  <c r="DY182" i="23"/>
  <c r="AY70" i="7"/>
  <c r="E197" i="23"/>
  <c r="D197" i="23" s="1"/>
  <c r="AY58" i="7"/>
  <c r="BS58" i="7"/>
  <c r="EI219" i="7"/>
  <c r="DZ219" i="4"/>
  <c r="BC214" i="7"/>
  <c r="BB58" i="7"/>
  <c r="DY255" i="23"/>
  <c r="EU236" i="7"/>
  <c r="DU13" i="7"/>
  <c r="AT70" i="7"/>
  <c r="E202" i="23"/>
  <c r="D202" i="23" s="1"/>
  <c r="AT58" i="7"/>
  <c r="BZ58" i="7"/>
  <c r="DY254" i="23"/>
  <c r="EV236" i="7"/>
  <c r="CA58" i="7"/>
  <c r="EE75" i="7"/>
  <c r="BA70" i="7"/>
  <c r="E195" i="23"/>
  <c r="D195" i="23" s="1"/>
  <c r="BA58" i="7"/>
  <c r="BC178" i="7"/>
  <c r="BC209" i="7"/>
  <c r="DI58" i="7"/>
  <c r="EA129" i="4"/>
  <c r="BB70" i="7"/>
  <c r="E194" i="23"/>
  <c r="D194" i="23" s="1"/>
  <c r="DJ58" i="7"/>
  <c r="EA6" i="7"/>
  <c r="BC8" i="7"/>
  <c r="AQ58" i="7"/>
  <c r="DS6" i="7"/>
  <c r="CO193" i="4"/>
  <c r="CO209" i="4"/>
  <c r="AR6" i="7"/>
  <c r="BC227" i="7"/>
  <c r="DU219" i="7"/>
  <c r="AS70" i="7"/>
  <c r="E203" i="23"/>
  <c r="D203" i="23" s="1"/>
  <c r="EH115" i="7"/>
  <c r="EE156" i="7"/>
  <c r="DN58" i="7"/>
  <c r="EE6" i="7"/>
  <c r="DW115" i="7"/>
  <c r="EF156" i="7"/>
  <c r="FC6" i="7"/>
  <c r="AS218" i="7"/>
  <c r="EA70" i="7"/>
  <c r="E200" i="23"/>
  <c r="D200" i="23" s="1"/>
  <c r="AT218" i="7"/>
  <c r="DD236" i="7"/>
  <c r="DH236" i="7" s="1"/>
  <c r="DY220" i="23"/>
  <c r="DP58" i="7"/>
  <c r="ET9" i="4"/>
  <c r="ET10" i="4"/>
  <c r="ET11" i="4"/>
  <c r="ET12" i="4"/>
  <c r="ET37" i="4"/>
  <c r="ET237" i="4"/>
  <c r="ET238" i="4"/>
  <c r="ET239" i="4"/>
  <c r="DT58" i="7"/>
  <c r="DT27" i="4"/>
  <c r="BU58" i="7"/>
  <c r="BC13" i="7"/>
  <c r="AQ70" i="7"/>
  <c r="E205" i="23"/>
  <c r="D205" i="23" s="1"/>
  <c r="FK236" i="7"/>
  <c r="AT115" i="7"/>
  <c r="CE65" i="4"/>
  <c r="AU115" i="7"/>
  <c r="DU8" i="7"/>
  <c r="EB218" i="7"/>
  <c r="EB58" i="7"/>
  <c r="EC218" i="7"/>
  <c r="AQ6" i="7"/>
  <c r="AU70" i="7"/>
  <c r="E201" i="23"/>
  <c r="D201" i="23" s="1"/>
  <c r="AU58" i="7"/>
  <c r="DC236" i="7"/>
  <c r="DY221" i="23"/>
  <c r="AW70" i="7"/>
  <c r="E199" i="23"/>
  <c r="D199" i="23" s="1"/>
  <c r="AW58" i="7"/>
  <c r="CC58" i="7"/>
  <c r="DE236" i="7"/>
  <c r="DY219" i="23"/>
  <c r="DQ58" i="7"/>
  <c r="EB75" i="7"/>
  <c r="DZ115" i="7"/>
  <c r="EI164" i="7"/>
  <c r="DW156" i="7"/>
  <c r="EI172" i="7"/>
  <c r="EI178" i="7"/>
  <c r="EI182" i="7"/>
  <c r="EI187" i="7"/>
  <c r="EI193" i="7"/>
  <c r="EI205" i="7"/>
  <c r="EI209" i="7"/>
  <c r="EI214" i="7"/>
  <c r="DW218" i="7"/>
  <c r="EF218" i="7"/>
  <c r="EH70" i="7"/>
  <c r="EF75" i="7"/>
  <c r="DL58" i="7"/>
  <c r="DW70" i="7"/>
  <c r="CS10" i="4"/>
  <c r="CS11" i="4"/>
  <c r="CS12" i="4"/>
  <c r="DM58" i="7"/>
  <c r="DX70" i="7"/>
  <c r="FF58" i="7"/>
  <c r="ED115" i="7"/>
  <c r="EA156" i="7"/>
  <c r="DX218" i="7"/>
  <c r="CS75" i="7"/>
  <c r="DY70" i="7"/>
  <c r="EE115" i="7"/>
  <c r="EB156" i="7"/>
  <c r="DY218" i="7"/>
  <c r="FJ58" i="7"/>
  <c r="DZ70" i="7"/>
  <c r="FK8" i="7"/>
  <c r="FK13" i="7"/>
  <c r="EI89" i="4"/>
  <c r="EI93" i="4"/>
  <c r="EI94" i="4"/>
  <c r="EI95" i="4"/>
  <c r="EI99" i="4"/>
  <c r="EI100" i="4"/>
  <c r="CN230" i="7"/>
  <c r="CN231" i="7" s="1"/>
  <c r="CS115" i="7"/>
  <c r="A43" i="8"/>
  <c r="A47" i="8" s="1"/>
  <c r="AC6" i="8"/>
  <c r="AM43" i="8"/>
  <c r="AM47" i="8" s="1"/>
  <c r="D43" i="8"/>
  <c r="D47" i="8" s="1"/>
  <c r="I6" i="8"/>
  <c r="AK115" i="8"/>
  <c r="AD70" i="8"/>
  <c r="AE70" i="8"/>
  <c r="AC43" i="8"/>
  <c r="AC47" i="8" s="1"/>
  <c r="AO43" i="8"/>
  <c r="AO47" i="8" s="1"/>
  <c r="AC218" i="8"/>
  <c r="AO218" i="8"/>
  <c r="L218" i="8"/>
  <c r="K218" i="8"/>
  <c r="K115" i="8"/>
  <c r="K6" i="8"/>
  <c r="E115" i="8"/>
  <c r="H218" i="8"/>
  <c r="L115" i="8"/>
  <c r="AG70" i="8"/>
  <c r="C43" i="8"/>
  <c r="C47" i="8" s="1"/>
  <c r="AN218" i="8"/>
  <c r="H156" i="8"/>
  <c r="I156" i="8"/>
  <c r="A6" i="8"/>
  <c r="K156" i="8"/>
  <c r="H115" i="8"/>
  <c r="B6" i="8"/>
  <c r="L156" i="8"/>
  <c r="I115" i="8"/>
  <c r="H75" i="8"/>
  <c r="C6" i="8"/>
  <c r="AJ43" i="8"/>
  <c r="AJ47" i="8" s="1"/>
  <c r="AF70" i="8"/>
  <c r="A218" i="8"/>
  <c r="A156" i="8"/>
  <c r="J115" i="8"/>
  <c r="E43" i="8"/>
  <c r="E47" i="8" s="1"/>
  <c r="D6" i="8"/>
  <c r="B218" i="8"/>
  <c r="E6" i="8"/>
  <c r="AH70" i="8"/>
  <c r="AN156" i="8"/>
  <c r="C218" i="8"/>
  <c r="C156" i="8"/>
  <c r="G43" i="8"/>
  <c r="G47" i="8" s="1"/>
  <c r="AI70" i="8"/>
  <c r="D218" i="8"/>
  <c r="D156" i="8"/>
  <c r="A115" i="8"/>
  <c r="H43" i="8"/>
  <c r="H47" i="8" s="1"/>
  <c r="G6" i="8"/>
  <c r="AJ70" i="8"/>
  <c r="E218" i="8"/>
  <c r="E156" i="8"/>
  <c r="B115" i="8"/>
  <c r="I43" i="8"/>
  <c r="I47" i="8" s="1"/>
  <c r="AF6" i="8"/>
  <c r="AD43" i="8"/>
  <c r="AD47" i="8" s="1"/>
  <c r="AK70" i="8"/>
  <c r="AG115" i="8"/>
  <c r="F218" i="8"/>
  <c r="F156" i="8"/>
  <c r="AE218" i="8"/>
  <c r="I218" i="8"/>
  <c r="L6" i="8"/>
  <c r="J156" i="8"/>
  <c r="AG6" i="8"/>
  <c r="AE43" i="8"/>
  <c r="AE47" i="8" s="1"/>
  <c r="G218" i="8"/>
  <c r="G156" i="8"/>
  <c r="D115" i="8"/>
  <c r="D75" i="8"/>
  <c r="I75" i="8"/>
  <c r="AF156" i="8"/>
  <c r="E70" i="8"/>
  <c r="F70" i="8"/>
  <c r="E291" i="23"/>
  <c r="D291" i="23" s="1"/>
  <c r="AI58" i="8"/>
  <c r="AG156" i="8"/>
  <c r="K75" i="8"/>
  <c r="G70" i="8"/>
  <c r="A75" i="8"/>
  <c r="I70" i="8"/>
  <c r="AM58" i="8"/>
  <c r="C115" i="8"/>
  <c r="K70" i="8"/>
  <c r="L70" i="8"/>
  <c r="AN70" i="8"/>
  <c r="AM70" i="8"/>
  <c r="E75" i="8"/>
  <c r="A70" i="8"/>
  <c r="H6" i="8"/>
  <c r="E292" i="23"/>
  <c r="D292" i="23" s="1"/>
  <c r="AC115" i="8"/>
  <c r="J218" i="8"/>
  <c r="F115" i="8"/>
  <c r="B70" i="8"/>
  <c r="AH58" i="8"/>
  <c r="M8" i="8"/>
  <c r="AO13" i="8"/>
  <c r="AO6" i="8" s="1"/>
  <c r="AE115" i="8"/>
  <c r="AJ156" i="8"/>
  <c r="L75" i="8"/>
  <c r="H70" i="8"/>
  <c r="AE6" i="8"/>
  <c r="J70" i="8"/>
  <c r="K43" i="8"/>
  <c r="K47" i="8" s="1"/>
  <c r="AI218" i="8"/>
  <c r="F6" i="8"/>
  <c r="AL70" i="8"/>
  <c r="M13" i="8"/>
  <c r="AE58" i="8"/>
  <c r="AC70" i="8"/>
  <c r="B156" i="8"/>
  <c r="G115" i="8"/>
  <c r="G75" i="8"/>
  <c r="C70" i="8"/>
  <c r="J6" i="8"/>
  <c r="BM8" i="5"/>
  <c r="CR218" i="5"/>
  <c r="BC27" i="5"/>
  <c r="BX43" i="5"/>
  <c r="BX47" i="5" s="1"/>
  <c r="BV58" i="5"/>
  <c r="CR70" i="5"/>
  <c r="DR43" i="5"/>
  <c r="DR47" i="5" s="1"/>
  <c r="CP43" i="5"/>
  <c r="CP47" i="5" s="1"/>
  <c r="CQ43" i="5"/>
  <c r="CQ47" i="5" s="1"/>
  <c r="CG43" i="5"/>
  <c r="CG47" i="5" s="1"/>
  <c r="CR43" i="5"/>
  <c r="CR47" i="5" s="1"/>
  <c r="BN236" i="5"/>
  <c r="BR236" i="5" s="1"/>
  <c r="DY4" i="23"/>
  <c r="BP236" i="5"/>
  <c r="DY2" i="23"/>
  <c r="CM156" i="5"/>
  <c r="CN156" i="5"/>
  <c r="DE236" i="5"/>
  <c r="DY39" i="23"/>
  <c r="CK43" i="5"/>
  <c r="CK47" i="5" s="1"/>
  <c r="CQ156" i="5"/>
  <c r="CR156" i="5"/>
  <c r="DJ58" i="5"/>
  <c r="BU43" i="5"/>
  <c r="BU47" i="5" s="1"/>
  <c r="DF236" i="5"/>
  <c r="BM236" i="5"/>
  <c r="DY5" i="23"/>
  <c r="CM6" i="5"/>
  <c r="E55" i="23" s="1"/>
  <c r="CG218" i="5"/>
  <c r="CN70" i="5"/>
  <c r="DJ43" i="5"/>
  <c r="DJ47" i="5" s="1"/>
  <c r="AS58" i="5"/>
  <c r="BS43" i="5"/>
  <c r="BS47" i="5" s="1"/>
  <c r="CO70" i="5"/>
  <c r="CO43" i="5"/>
  <c r="CO47" i="5" s="1"/>
  <c r="CI156" i="5"/>
  <c r="CJ156" i="5"/>
  <c r="DR58" i="5"/>
  <c r="CI6" i="5"/>
  <c r="E59" i="23" s="1"/>
  <c r="DN43" i="5"/>
  <c r="DN47" i="5" s="1"/>
  <c r="DC236" i="5"/>
  <c r="DY41" i="23"/>
  <c r="CB58" i="5"/>
  <c r="CJ70" i="5"/>
  <c r="CJ6" i="5"/>
  <c r="E58" i="23" s="1"/>
  <c r="BO236" i="5"/>
  <c r="DY3" i="23"/>
  <c r="DZ13" i="24"/>
  <c r="CE238" i="5"/>
  <c r="DY13" i="24"/>
  <c r="CE237" i="5"/>
  <c r="CS115" i="5"/>
  <c r="AQ172" i="5"/>
  <c r="CF16" i="23"/>
  <c r="CF19" i="23"/>
  <c r="CF22" i="23"/>
  <c r="CF20" i="23"/>
  <c r="CF14" i="23"/>
  <c r="CF17" i="23"/>
  <c r="CF21" i="23"/>
  <c r="CF23" i="23"/>
  <c r="CF15" i="23"/>
  <c r="CF18" i="23"/>
  <c r="CF24" i="23"/>
  <c r="CS156" i="5"/>
  <c r="CQ19" i="23"/>
  <c r="CQ15" i="23"/>
  <c r="CQ14" i="23"/>
  <c r="CQ21" i="23"/>
  <c r="CQ23" i="23"/>
  <c r="CQ16" i="23"/>
  <c r="CQ20" i="23"/>
  <c r="CQ18" i="23"/>
  <c r="CQ24" i="23"/>
  <c r="CQ17" i="23"/>
  <c r="CQ22" i="23"/>
  <c r="EA13" i="24"/>
  <c r="CE239" i="5"/>
  <c r="CS43" i="5"/>
  <c r="CS47" i="5" s="1"/>
  <c r="E294" i="23"/>
  <c r="D294" i="23" s="1"/>
  <c r="BL236" i="7"/>
  <c r="DY186" i="23"/>
  <c r="ER236" i="7"/>
  <c r="BL236" i="5"/>
  <c r="DY6" i="23"/>
  <c r="ER10" i="4"/>
  <c r="ER11" i="4"/>
  <c r="ER12" i="4"/>
  <c r="ER37" i="4"/>
  <c r="ER237" i="4"/>
  <c r="DY150" i="23"/>
  <c r="ER238" i="4"/>
  <c r="DZ150" i="23"/>
  <c r="ER239" i="4"/>
  <c r="EA150" i="23"/>
  <c r="EQ8" i="7"/>
  <c r="EQ236" i="7"/>
  <c r="E295" i="23"/>
  <c r="D295" i="23" s="1"/>
  <c r="CZ8" i="7"/>
  <c r="EP8" i="7"/>
  <c r="BJ30" i="4"/>
  <c r="E296" i="23"/>
  <c r="D296" i="23" s="1"/>
  <c r="BJ236" i="6"/>
  <c r="BJ236" i="5"/>
  <c r="DY8" i="23"/>
  <c r="CZ236" i="7"/>
  <c r="DY224" i="23"/>
  <c r="EP236" i="7"/>
  <c r="BJ236" i="7"/>
  <c r="DY188" i="23"/>
  <c r="CZ236" i="5"/>
  <c r="DY44" i="23"/>
  <c r="EO30" i="4"/>
  <c r="EO236" i="7"/>
  <c r="CY236" i="5"/>
  <c r="DY45" i="23"/>
  <c r="EO236" i="6"/>
  <c r="DY153" i="23"/>
  <c r="E297" i="23"/>
  <c r="D297" i="23" s="1"/>
  <c r="BI236" i="7"/>
  <c r="DY189" i="23"/>
  <c r="CY236" i="7"/>
  <c r="DY225" i="23"/>
  <c r="BI236" i="5"/>
  <c r="DY9" i="23"/>
  <c r="EN8" i="7"/>
  <c r="EN30" i="4"/>
  <c r="EN236" i="7"/>
  <c r="E298" i="23"/>
  <c r="D298" i="23" s="1"/>
  <c r="BG8" i="7"/>
  <c r="BG18" i="4"/>
  <c r="CW18" i="4"/>
  <c r="EM18" i="4"/>
  <c r="CV236" i="5"/>
  <c r="BF8" i="5"/>
  <c r="BQ18" i="5"/>
  <c r="BF236" i="5"/>
  <c r="DY12" i="23"/>
  <c r="EL236" i="7"/>
  <c r="EK9" i="4"/>
  <c r="EK10" i="4"/>
  <c r="EK11" i="4"/>
  <c r="EK12" i="4"/>
  <c r="EK37" i="4"/>
  <c r="EK237" i="4"/>
  <c r="DY157" i="23"/>
  <c r="EK238" i="4"/>
  <c r="DZ157" i="23"/>
  <c r="EK239" i="4"/>
  <c r="EA157" i="23"/>
  <c r="CU236" i="5"/>
  <c r="DY49" i="23"/>
  <c r="BE236" i="7"/>
  <c r="DY193" i="23"/>
  <c r="CU236" i="7"/>
  <c r="DY229" i="23"/>
  <c r="EK236" i="7"/>
  <c r="BG8" i="5"/>
  <c r="EM236" i="7"/>
  <c r="BG50" i="4"/>
  <c r="CW50" i="4"/>
  <c r="EM50" i="4"/>
  <c r="BG4" i="4"/>
  <c r="BG30" i="4"/>
  <c r="CW30" i="4"/>
  <c r="EM30" i="4"/>
  <c r="EM8" i="7"/>
  <c r="CW8" i="5"/>
  <c r="CW8" i="7"/>
  <c r="CW236" i="5"/>
  <c r="E299" i="23"/>
  <c r="D299" i="23" s="1"/>
  <c r="BG236" i="5"/>
  <c r="DY11" i="23"/>
  <c r="BG236" i="6"/>
  <c r="DY83" i="23"/>
  <c r="EM237" i="4"/>
  <c r="DY155" i="23"/>
  <c r="EM238" i="4"/>
  <c r="DZ155" i="23"/>
  <c r="EM239" i="4"/>
  <c r="EA155" i="23"/>
  <c r="BG236" i="7"/>
  <c r="DY191" i="23"/>
  <c r="BP10" i="4"/>
  <c r="BP12" i="4"/>
  <c r="BP37" i="4"/>
  <c r="BP238" i="4"/>
  <c r="DF11" i="4"/>
  <c r="DF37" i="4"/>
  <c r="DF238" i="4"/>
  <c r="Z30" i="5"/>
  <c r="BP11" i="4"/>
  <c r="BP237" i="4"/>
  <c r="BP239" i="4"/>
  <c r="DF10" i="4"/>
  <c r="DF12" i="4"/>
  <c r="DF237" i="4"/>
  <c r="DF239" i="4"/>
  <c r="BO9" i="4"/>
  <c r="BO10" i="4"/>
  <c r="BO11" i="4"/>
  <c r="BO12" i="4"/>
  <c r="BO37" i="4"/>
  <c r="DE237" i="4"/>
  <c r="DE238" i="4"/>
  <c r="DE239" i="4"/>
  <c r="Y30" i="5"/>
  <c r="BN18" i="4"/>
  <c r="BN30" i="4"/>
  <c r="DD23" i="4"/>
  <c r="DD30" i="4"/>
  <c r="BN10" i="4"/>
  <c r="BN37" i="4"/>
  <c r="BN239" i="4"/>
  <c r="DD12" i="4"/>
  <c r="DD238" i="4"/>
  <c r="BN23" i="4"/>
  <c r="DD18" i="4"/>
  <c r="BN12" i="4"/>
  <c r="BN238" i="4"/>
  <c r="DD37" i="4"/>
  <c r="DD239" i="4"/>
  <c r="X30" i="5"/>
  <c r="AB30" i="5" s="1"/>
  <c r="BN4" i="4"/>
  <c r="BN50" i="4"/>
  <c r="DD4" i="4"/>
  <c r="DD50" i="4"/>
  <c r="BN9" i="4"/>
  <c r="BN11" i="4"/>
  <c r="BN237" i="4"/>
  <c r="DD10" i="4"/>
  <c r="DD11" i="4"/>
  <c r="BN236" i="6"/>
  <c r="BR236" i="6" s="1"/>
  <c r="BM30" i="4"/>
  <c r="DC18" i="4"/>
  <c r="DC30" i="4"/>
  <c r="ES4" i="4"/>
  <c r="ES23" i="4"/>
  <c r="ES50" i="4"/>
  <c r="ES10" i="4"/>
  <c r="ES12" i="4"/>
  <c r="ES37" i="4"/>
  <c r="ES238" i="4"/>
  <c r="W30" i="5"/>
  <c r="BM18" i="4"/>
  <c r="BM23" i="4"/>
  <c r="BM50" i="4"/>
  <c r="DC23" i="4"/>
  <c r="DC50" i="4"/>
  <c r="ES18" i="4"/>
  <c r="ES30" i="4"/>
  <c r="ES11" i="4"/>
  <c r="ES239" i="4"/>
  <c r="V30" i="5"/>
  <c r="BL18" i="4"/>
  <c r="BL23" i="4"/>
  <c r="BL30" i="4"/>
  <c r="BL50" i="4"/>
  <c r="DB18" i="4"/>
  <c r="DB23" i="4"/>
  <c r="DB30" i="4"/>
  <c r="DB50" i="4"/>
  <c r="CZ18" i="4"/>
  <c r="CZ23" i="4"/>
  <c r="CZ30" i="4"/>
  <c r="CZ50" i="4"/>
  <c r="EP4" i="4"/>
  <c r="EP18" i="4"/>
  <c r="EP23" i="4"/>
  <c r="EP30" i="4"/>
  <c r="EP50" i="4"/>
  <c r="BJ10" i="4"/>
  <c r="BJ11" i="4"/>
  <c r="BJ12" i="4"/>
  <c r="BJ37" i="4"/>
  <c r="BJ237" i="4"/>
  <c r="BJ238" i="4"/>
  <c r="BJ239" i="4"/>
  <c r="CZ10" i="4"/>
  <c r="CZ11" i="4"/>
  <c r="CZ12" i="4"/>
  <c r="CZ37" i="4"/>
  <c r="CZ238" i="4"/>
  <c r="CZ239" i="4"/>
  <c r="EP9" i="4"/>
  <c r="EP10" i="4"/>
  <c r="EP11" i="4"/>
  <c r="EP12" i="4"/>
  <c r="EP37" i="4"/>
  <c r="EP238" i="4"/>
  <c r="EP239" i="4"/>
  <c r="DG18" i="5"/>
  <c r="DG18" i="7"/>
  <c r="T30" i="5"/>
  <c r="BI4" i="4"/>
  <c r="BI18" i="4"/>
  <c r="BI23" i="4"/>
  <c r="BI30" i="4"/>
  <c r="BI50" i="4"/>
  <c r="CY4" i="4"/>
  <c r="CY18" i="4"/>
  <c r="CY23" i="4"/>
  <c r="CY30" i="4"/>
  <c r="CY50" i="4"/>
  <c r="BI10" i="4"/>
  <c r="BI11" i="4"/>
  <c r="BI12" i="4"/>
  <c r="BI37" i="4"/>
  <c r="BI238" i="4"/>
  <c r="BI239" i="4"/>
  <c r="CY9" i="4"/>
  <c r="CY10" i="4"/>
  <c r="CY11" i="4"/>
  <c r="CY12" i="4"/>
  <c r="CY37" i="4"/>
  <c r="CY238" i="4"/>
  <c r="CY239" i="4"/>
  <c r="DG50" i="5"/>
  <c r="S30" i="5"/>
  <c r="CY8" i="6"/>
  <c r="BG9" i="4"/>
  <c r="BG10" i="4"/>
  <c r="BG11" i="4"/>
  <c r="BG12" i="4"/>
  <c r="BG37" i="4"/>
  <c r="CW37" i="4"/>
  <c r="EM9" i="4"/>
  <c r="EM10" i="4"/>
  <c r="EM11" i="4"/>
  <c r="EM12" i="4"/>
  <c r="EM37" i="4"/>
  <c r="Q30" i="5"/>
  <c r="BF18" i="4"/>
  <c r="BF50" i="4"/>
  <c r="CV23" i="4"/>
  <c r="EL4" i="4"/>
  <c r="EL30" i="4"/>
  <c r="EW30" i="7"/>
  <c r="BF23" i="4"/>
  <c r="CV18" i="4"/>
  <c r="CV50" i="4"/>
  <c r="EL50" i="4"/>
  <c r="P30" i="5"/>
  <c r="BF30" i="4"/>
  <c r="CV30" i="4"/>
  <c r="EL18" i="4"/>
  <c r="EL23" i="4"/>
  <c r="O30" i="5"/>
  <c r="AA18" i="8"/>
  <c r="CU237" i="4"/>
  <c r="CU238" i="4"/>
  <c r="CU239" i="4"/>
  <c r="AA23" i="8"/>
  <c r="EQ4" i="4"/>
  <c r="EQ18" i="4"/>
  <c r="EQ23" i="4"/>
  <c r="EQ30" i="4"/>
  <c r="EQ50" i="4"/>
  <c r="EW18" i="7"/>
  <c r="EW23" i="7"/>
  <c r="EW50" i="7"/>
  <c r="U30" i="5"/>
  <c r="BH8" i="5"/>
  <c r="BH236" i="5"/>
  <c r="BH236" i="7"/>
  <c r="BH8" i="7"/>
  <c r="DG4" i="5"/>
  <c r="DG23" i="7"/>
  <c r="AA30" i="8"/>
  <c r="R30" i="5"/>
  <c r="BQ30" i="5"/>
  <c r="BQ50" i="5"/>
  <c r="BH4" i="4"/>
  <c r="BH18" i="4"/>
  <c r="BH23" i="4"/>
  <c r="BH30" i="4"/>
  <c r="BH50" i="4"/>
  <c r="CX4" i="4"/>
  <c r="CX18" i="4"/>
  <c r="CX23" i="4"/>
  <c r="CX30" i="4"/>
  <c r="CX50" i="4"/>
  <c r="BH11" i="4"/>
  <c r="BH12" i="4"/>
  <c r="BH239" i="4"/>
  <c r="CX11" i="4"/>
  <c r="CX12" i="4"/>
  <c r="CX239" i="4"/>
  <c r="CX8" i="7"/>
  <c r="BH10" i="4"/>
  <c r="BH37" i="4"/>
  <c r="BH238" i="4"/>
  <c r="CX10" i="4"/>
  <c r="CX37" i="4"/>
  <c r="CX238" i="4"/>
  <c r="BH9" i="4"/>
  <c r="BH237" i="4"/>
  <c r="CX237" i="4"/>
  <c r="DG238" i="5"/>
  <c r="DG239" i="5"/>
  <c r="DA30" i="4"/>
  <c r="DG30" i="7"/>
  <c r="BK30" i="4"/>
  <c r="DA236" i="7"/>
  <c r="BK8" i="5"/>
  <c r="BK8" i="7"/>
  <c r="DA8" i="7"/>
  <c r="EQ236" i="6"/>
  <c r="BK236" i="5"/>
  <c r="BK236" i="7"/>
  <c r="EQ9" i="4"/>
  <c r="EQ11" i="4"/>
  <c r="EQ237" i="4"/>
  <c r="EQ239" i="4"/>
  <c r="EQ10" i="4"/>
  <c r="EQ12" i="4"/>
  <c r="EQ37" i="4"/>
  <c r="EQ238" i="4"/>
  <c r="EQ8" i="6"/>
  <c r="DA8" i="6"/>
  <c r="DA8" i="5"/>
  <c r="BK9" i="4"/>
  <c r="BK10" i="4"/>
  <c r="BK11" i="4"/>
  <c r="BK12" i="4"/>
  <c r="BK37" i="4"/>
  <c r="BK238" i="4"/>
  <c r="BK239" i="4"/>
  <c r="DA10" i="4"/>
  <c r="DA11" i="4"/>
  <c r="DA12" i="4"/>
  <c r="DA37" i="4"/>
  <c r="DA237" i="4"/>
  <c r="DA238" i="4"/>
  <c r="DA239" i="4"/>
  <c r="DA236" i="5"/>
  <c r="DG237" i="5"/>
  <c r="F75" i="8"/>
  <c r="B75" i="8"/>
  <c r="J75" i="8"/>
  <c r="B58" i="8"/>
  <c r="F58" i="8"/>
  <c r="J58" i="8"/>
  <c r="A58" i="8"/>
  <c r="E58" i="8"/>
  <c r="I58" i="8"/>
  <c r="C58" i="8"/>
  <c r="G58" i="8"/>
  <c r="K58" i="8"/>
  <c r="D58" i="8"/>
  <c r="H58" i="8"/>
  <c r="L58" i="8"/>
  <c r="AO115" i="8"/>
  <c r="AF58" i="8"/>
  <c r="AJ58" i="8"/>
  <c r="AN58" i="8"/>
  <c r="AG58" i="8"/>
  <c r="AK58" i="8"/>
  <c r="AC58" i="8"/>
  <c r="AF115" i="8"/>
  <c r="AJ115" i="8"/>
  <c r="AI115" i="8"/>
  <c r="FK219" i="7"/>
  <c r="CL230" i="7"/>
  <c r="CP230" i="7"/>
  <c r="CP231" i="7" s="1"/>
  <c r="CS218" i="7"/>
  <c r="CK230" i="7"/>
  <c r="CK231" i="7" s="1"/>
  <c r="CG230" i="7"/>
  <c r="CG231" i="7" s="1"/>
  <c r="CI150" i="4"/>
  <c r="CQ146" i="4"/>
  <c r="CO230" i="7"/>
  <c r="AW218" i="7"/>
  <c r="BA218" i="7"/>
  <c r="BB218" i="7"/>
  <c r="BC219" i="7"/>
  <c r="BC205" i="7"/>
  <c r="BC193" i="7"/>
  <c r="BC187" i="7"/>
  <c r="BC182" i="7"/>
  <c r="BC172" i="7"/>
  <c r="BC164" i="7"/>
  <c r="AQ156" i="7"/>
  <c r="AY156" i="7"/>
  <c r="BA156" i="7"/>
  <c r="AS115" i="7"/>
  <c r="BA75" i="7"/>
  <c r="BC79" i="4"/>
  <c r="BC80" i="4"/>
  <c r="BC81" i="4"/>
  <c r="BC82" i="4"/>
  <c r="BC83" i="4"/>
  <c r="BC86" i="4"/>
  <c r="AR70" i="7"/>
  <c r="AV70" i="7"/>
  <c r="AZ70" i="7"/>
  <c r="AW43" i="7"/>
  <c r="AW47" i="7" s="1"/>
  <c r="AT43" i="7"/>
  <c r="AT47" i="7" s="1"/>
  <c r="AX43" i="7"/>
  <c r="AX47" i="7" s="1"/>
  <c r="BB43" i="7"/>
  <c r="BB47" i="7" s="1"/>
  <c r="AS43" i="7"/>
  <c r="AS47" i="7" s="1"/>
  <c r="BA43" i="7"/>
  <c r="BA47" i="7" s="1"/>
  <c r="AQ43" i="7"/>
  <c r="AQ47" i="7" s="1"/>
  <c r="AU43" i="7"/>
  <c r="AU47" i="7" s="1"/>
  <c r="AY43" i="7"/>
  <c r="AY47" i="7" s="1"/>
  <c r="AR43" i="7"/>
  <c r="AR47" i="7" s="1"/>
  <c r="AV43" i="7"/>
  <c r="AV47" i="7" s="1"/>
  <c r="AZ43" i="7"/>
  <c r="AZ47" i="7" s="1"/>
  <c r="FK219" i="6"/>
  <c r="CK218" i="6"/>
  <c r="CH218" i="6"/>
  <c r="CL218" i="6"/>
  <c r="CP218" i="6"/>
  <c r="CS214" i="6"/>
  <c r="CS209" i="6"/>
  <c r="CS205" i="6"/>
  <c r="CS193" i="6"/>
  <c r="CS198" i="4"/>
  <c r="CS199" i="4"/>
  <c r="CS201" i="4"/>
  <c r="CS202" i="4"/>
  <c r="CS204" i="4"/>
  <c r="CS187" i="6"/>
  <c r="CS172" i="6"/>
  <c r="CK156" i="6"/>
  <c r="CS164" i="6"/>
  <c r="CH156" i="6"/>
  <c r="CL156" i="6"/>
  <c r="CP156" i="6"/>
  <c r="CR156" i="6"/>
  <c r="CJ156" i="6"/>
  <c r="CG156" i="6"/>
  <c r="CO156" i="6"/>
  <c r="CM115" i="6"/>
  <c r="CG75" i="6"/>
  <c r="CK75" i="6"/>
  <c r="CO75" i="6"/>
  <c r="CR75" i="6"/>
  <c r="CH75" i="6"/>
  <c r="CL75" i="6"/>
  <c r="CP75" i="6"/>
  <c r="CS43" i="6"/>
  <c r="CS47" i="6" s="1"/>
  <c r="AQ218" i="6"/>
  <c r="BC219" i="6"/>
  <c r="DY70" i="6"/>
  <c r="BA115" i="6"/>
  <c r="AW115" i="6"/>
  <c r="AS115" i="6"/>
  <c r="CK6" i="6"/>
  <c r="CO6" i="6"/>
  <c r="CJ43" i="6"/>
  <c r="CJ47" i="6" s="1"/>
  <c r="CN43" i="6"/>
  <c r="CN47" i="6" s="1"/>
  <c r="CR43" i="6"/>
  <c r="CR47" i="6" s="1"/>
  <c r="CH58" i="6"/>
  <c r="CL58" i="6"/>
  <c r="CP58" i="6"/>
  <c r="DZ43" i="6"/>
  <c r="DZ47" i="6" s="1"/>
  <c r="ED43" i="6"/>
  <c r="ED47" i="6" s="1"/>
  <c r="EH43" i="6"/>
  <c r="EH47" i="6" s="1"/>
  <c r="DX58" i="6"/>
  <c r="EB58" i="6"/>
  <c r="EF58" i="6"/>
  <c r="DZ70" i="6"/>
  <c r="ED70" i="6"/>
  <c r="EH70" i="6"/>
  <c r="EG70" i="6"/>
  <c r="BC8" i="6"/>
  <c r="BC13" i="6"/>
  <c r="AU6" i="6"/>
  <c r="AY6" i="6"/>
  <c r="AQ43" i="6"/>
  <c r="AQ47" i="6" s="1"/>
  <c r="AU43" i="6"/>
  <c r="AU47" i="6" s="1"/>
  <c r="AQ58" i="6"/>
  <c r="AU58" i="6"/>
  <c r="AY58" i="6"/>
  <c r="BW6" i="6"/>
  <c r="CA6" i="6"/>
  <c r="CI58" i="6"/>
  <c r="CM58" i="6"/>
  <c r="CQ58" i="6"/>
  <c r="CH115" i="6"/>
  <c r="CL115" i="6"/>
  <c r="CP115" i="6"/>
  <c r="CG115" i="6"/>
  <c r="CK115" i="6"/>
  <c r="CO115" i="6"/>
  <c r="CJ115" i="6"/>
  <c r="CN115" i="6"/>
  <c r="CR115" i="6"/>
  <c r="DY58" i="6"/>
  <c r="EC58" i="6"/>
  <c r="EG58" i="6"/>
  <c r="DW70" i="6"/>
  <c r="EA70" i="6"/>
  <c r="EE70" i="6"/>
  <c r="DX115" i="6"/>
  <c r="EB115" i="6"/>
  <c r="EF115" i="6"/>
  <c r="DW115" i="6"/>
  <c r="EA115" i="6"/>
  <c r="EE115" i="6"/>
  <c r="DZ218" i="6"/>
  <c r="ED218" i="6"/>
  <c r="EH218" i="6"/>
  <c r="DY218" i="6"/>
  <c r="EC218" i="6"/>
  <c r="EG218" i="6"/>
  <c r="DX218" i="6"/>
  <c r="EB218" i="6"/>
  <c r="EF218" i="6"/>
  <c r="EC70" i="6"/>
  <c r="AV43" i="6"/>
  <c r="AV47" i="6" s="1"/>
  <c r="AZ43" i="6"/>
  <c r="AZ47" i="6" s="1"/>
  <c r="AR58" i="6"/>
  <c r="AV58" i="6"/>
  <c r="AZ58" i="6"/>
  <c r="CH43" i="6"/>
  <c r="CH47" i="6" s="1"/>
  <c r="CL43" i="6"/>
  <c r="CL47" i="6" s="1"/>
  <c r="CP43" i="6"/>
  <c r="CP47" i="6" s="1"/>
  <c r="CJ58" i="6"/>
  <c r="CN58" i="6"/>
  <c r="CR58" i="6"/>
  <c r="CJ218" i="6"/>
  <c r="CN218" i="6"/>
  <c r="CR218" i="6"/>
  <c r="CI218" i="6"/>
  <c r="CM218" i="6"/>
  <c r="CQ218" i="6"/>
  <c r="DM6" i="6"/>
  <c r="DQ6" i="6"/>
  <c r="DX43" i="6"/>
  <c r="DX47" i="6" s="1"/>
  <c r="EB43" i="6"/>
  <c r="EB47" i="6" s="1"/>
  <c r="EF43" i="6"/>
  <c r="EF47" i="6" s="1"/>
  <c r="DZ58" i="6"/>
  <c r="ED58" i="6"/>
  <c r="EH58" i="6"/>
  <c r="DX70" i="6"/>
  <c r="EB70" i="6"/>
  <c r="EF70" i="6"/>
  <c r="EE218" i="6"/>
  <c r="BK237" i="4"/>
  <c r="BK236" i="6"/>
  <c r="DZ115" i="6"/>
  <c r="ED115" i="6"/>
  <c r="EH115" i="6"/>
  <c r="BQ18" i="6"/>
  <c r="BE18" i="4"/>
  <c r="BQ23" i="6"/>
  <c r="BE23" i="4"/>
  <c r="BQ30" i="6"/>
  <c r="BE30" i="4"/>
  <c r="BQ50" i="6"/>
  <c r="BE50" i="4"/>
  <c r="DG18" i="6"/>
  <c r="CU18" i="4"/>
  <c r="DG23" i="6"/>
  <c r="CU23" i="4"/>
  <c r="DG30" i="6"/>
  <c r="CU30" i="4"/>
  <c r="DG50" i="6"/>
  <c r="CU50" i="4"/>
  <c r="EW18" i="6"/>
  <c r="EK18" i="4"/>
  <c r="EW23" i="6"/>
  <c r="EK23" i="4"/>
  <c r="EW30" i="6"/>
  <c r="EK30" i="4"/>
  <c r="EW50" i="6"/>
  <c r="EK50" i="4"/>
  <c r="CE7" i="4"/>
  <c r="CE36" i="4"/>
  <c r="BC130" i="4"/>
  <c r="BC131" i="4"/>
  <c r="AZ6" i="4"/>
  <c r="CS105" i="4"/>
  <c r="CS106" i="4"/>
  <c r="CS107" i="4"/>
  <c r="CS108" i="4"/>
  <c r="CS110" i="4"/>
  <c r="CS111" i="4"/>
  <c r="CS112" i="4"/>
  <c r="CS119" i="4"/>
  <c r="CS120" i="4"/>
  <c r="CS121" i="4"/>
  <c r="CS125" i="4"/>
  <c r="CS126" i="4"/>
  <c r="EI30" i="4"/>
  <c r="EI34" i="4"/>
  <c r="EI35" i="4"/>
  <c r="EI36" i="4"/>
  <c r="EI161" i="4"/>
  <c r="EI162" i="4"/>
  <c r="EI239" i="4"/>
  <c r="EI9" i="4"/>
  <c r="EI10" i="4"/>
  <c r="EI11" i="4"/>
  <c r="EI12" i="4"/>
  <c r="EI180" i="4"/>
  <c r="EI181" i="4"/>
  <c r="EI183" i="4"/>
  <c r="EI184" i="4"/>
  <c r="EI185" i="4"/>
  <c r="EI188" i="4"/>
  <c r="EI189" i="4"/>
  <c r="EI207" i="4"/>
  <c r="EI208" i="4"/>
  <c r="EI211" i="4"/>
  <c r="EI212" i="4"/>
  <c r="FK10" i="4"/>
  <c r="FK11" i="4"/>
  <c r="FK12" i="4"/>
  <c r="FK221" i="4"/>
  <c r="FK222" i="4"/>
  <c r="AW54" i="4"/>
  <c r="BA54" i="4"/>
  <c r="FB13" i="4"/>
  <c r="BC4" i="4"/>
  <c r="BC7" i="4"/>
  <c r="BC30" i="4"/>
  <c r="BC107" i="4"/>
  <c r="BC108" i="4"/>
  <c r="BC109" i="4"/>
  <c r="BC110" i="4"/>
  <c r="BC112" i="4"/>
  <c r="AS227" i="4"/>
  <c r="AW227" i="4"/>
  <c r="BA227" i="4"/>
  <c r="AS236" i="4"/>
  <c r="AW236" i="4"/>
  <c r="BA236" i="4"/>
  <c r="AS241" i="4"/>
  <c r="AW241" i="4"/>
  <c r="BA241" i="4"/>
  <c r="CE56" i="4"/>
  <c r="DY60" i="4"/>
  <c r="EC60" i="4"/>
  <c r="EG60" i="4"/>
  <c r="ED76" i="4"/>
  <c r="CG214" i="4"/>
  <c r="BC11" i="4"/>
  <c r="BC12" i="4"/>
  <c r="BC50" i="4"/>
  <c r="BC52" i="4"/>
  <c r="BC134" i="4"/>
  <c r="BC137" i="4"/>
  <c r="BC192" i="4"/>
  <c r="AT236" i="4"/>
  <c r="AX236" i="4"/>
  <c r="BB236" i="4"/>
  <c r="AT241" i="4"/>
  <c r="AX241" i="4"/>
  <c r="BB241" i="4"/>
  <c r="BV8" i="4"/>
  <c r="BZ8" i="4"/>
  <c r="CD8" i="4"/>
  <c r="CE14" i="4"/>
  <c r="BS13" i="4"/>
  <c r="BW13" i="4"/>
  <c r="CA13" i="4"/>
  <c r="CE20" i="4"/>
  <c r="CE21" i="4"/>
  <c r="CE23" i="4"/>
  <c r="CE24" i="4"/>
  <c r="BS27" i="4"/>
  <c r="BW27" i="4"/>
  <c r="CA27" i="4"/>
  <c r="CE50" i="4"/>
  <c r="BS54" i="4"/>
  <c r="BW54" i="4"/>
  <c r="CA54" i="4"/>
  <c r="CE53" i="4"/>
  <c r="DL236" i="4"/>
  <c r="DP236" i="4"/>
  <c r="DT236" i="4"/>
  <c r="AS54" i="4"/>
  <c r="BC15" i="4"/>
  <c r="BC16" i="4"/>
  <c r="BC18" i="4"/>
  <c r="BC19" i="4"/>
  <c r="BC20" i="4"/>
  <c r="BC25" i="4"/>
  <c r="BC26" i="4"/>
  <c r="BC56" i="4"/>
  <c r="BC117" i="4"/>
  <c r="BC118" i="4"/>
  <c r="BC119" i="4"/>
  <c r="BC120" i="4"/>
  <c r="BC121" i="4"/>
  <c r="BC124" i="4"/>
  <c r="BC125" i="4"/>
  <c r="BC126" i="4"/>
  <c r="BC127" i="4"/>
  <c r="BC128" i="4"/>
  <c r="AS219" i="4"/>
  <c r="BC228" i="4"/>
  <c r="BC229" i="4"/>
  <c r="BC246" i="4"/>
  <c r="BC247" i="4"/>
  <c r="CE4" i="4"/>
  <c r="CE10" i="4"/>
  <c r="CE11" i="4"/>
  <c r="BU236" i="4"/>
  <c r="BY236" i="4"/>
  <c r="CC236" i="4"/>
  <c r="DU14" i="4"/>
  <c r="DU15" i="4"/>
  <c r="DM13" i="4"/>
  <c r="DQ13" i="4"/>
  <c r="DU16" i="4"/>
  <c r="DU18" i="4"/>
  <c r="DU19" i="4"/>
  <c r="DU20" i="4"/>
  <c r="DU21" i="4"/>
  <c r="DU25" i="4"/>
  <c r="DU26" i="4"/>
  <c r="DU35" i="4"/>
  <c r="DU36" i="4"/>
  <c r="DU37" i="4"/>
  <c r="DU56" i="4"/>
  <c r="DY38" i="4"/>
  <c r="EC38" i="4"/>
  <c r="EG38" i="4"/>
  <c r="DY214" i="4"/>
  <c r="EC214" i="4"/>
  <c r="EG214" i="4"/>
  <c r="BV236" i="4"/>
  <c r="BZ236" i="4"/>
  <c r="CD236" i="4"/>
  <c r="CS211" i="4"/>
  <c r="CS212" i="4"/>
  <c r="DU9" i="4"/>
  <c r="DU10" i="4"/>
  <c r="DU11" i="4"/>
  <c r="DM8" i="4"/>
  <c r="DQ8" i="4"/>
  <c r="DU12" i="4"/>
  <c r="DU50" i="4"/>
  <c r="DU51" i="4"/>
  <c r="DU52" i="4"/>
  <c r="DU65" i="4"/>
  <c r="DU67" i="4"/>
  <c r="DU69" i="4"/>
  <c r="EI31" i="4"/>
  <c r="DW29" i="4"/>
  <c r="DZ172" i="4"/>
  <c r="ED172" i="4"/>
  <c r="EH172" i="4"/>
  <c r="CE69" i="4"/>
  <c r="CE239" i="4"/>
  <c r="CS141" i="4"/>
  <c r="CS142" i="4"/>
  <c r="CS143" i="4"/>
  <c r="CS144" i="4"/>
  <c r="CS145" i="4"/>
  <c r="DU4" i="4"/>
  <c r="DJ8" i="4"/>
  <c r="DN8" i="4"/>
  <c r="DR8" i="4"/>
  <c r="DR6" i="4" s="1"/>
  <c r="DU89" i="4"/>
  <c r="EF116" i="4"/>
  <c r="EI179" i="4"/>
  <c r="DW178" i="4"/>
  <c r="DW182" i="4"/>
  <c r="EA182" i="4"/>
  <c r="EE182" i="4"/>
  <c r="DW187" i="4"/>
  <c r="EA187" i="4"/>
  <c r="EE187" i="4"/>
  <c r="DZ193" i="4"/>
  <c r="ED193" i="4"/>
  <c r="EH193" i="4"/>
  <c r="DX223" i="4"/>
  <c r="EB223" i="4"/>
  <c r="EF223" i="4"/>
  <c r="DK236" i="4"/>
  <c r="DO236" i="4"/>
  <c r="DS236" i="4"/>
  <c r="EI4" i="4"/>
  <c r="EI7" i="4"/>
  <c r="DX29" i="4"/>
  <c r="EF29" i="4"/>
  <c r="DZ54" i="4"/>
  <c r="ED54" i="4"/>
  <c r="EH54" i="4"/>
  <c r="DW57" i="4"/>
  <c r="EA57" i="4"/>
  <c r="EE57" i="4"/>
  <c r="EE58" i="4" s="1"/>
  <c r="EI79" i="4"/>
  <c r="EI80" i="4"/>
  <c r="EI81" i="4"/>
  <c r="EI82" i="4"/>
  <c r="EI83" i="4"/>
  <c r="EI85" i="4"/>
  <c r="EI86" i="4"/>
  <c r="DX87" i="4"/>
  <c r="EB87" i="4"/>
  <c r="EF87" i="4"/>
  <c r="DX90" i="4"/>
  <c r="EB90" i="4"/>
  <c r="EF90" i="4"/>
  <c r="EI105" i="4"/>
  <c r="EI108" i="4"/>
  <c r="EI109" i="4"/>
  <c r="EI110" i="4"/>
  <c r="EI111" i="4"/>
  <c r="DW104" i="4"/>
  <c r="EE104" i="4"/>
  <c r="EI134" i="4"/>
  <c r="EI137" i="4"/>
  <c r="EI151" i="4"/>
  <c r="EI153" i="4"/>
  <c r="EI154" i="4"/>
  <c r="DW172" i="4"/>
  <c r="EA172" i="4"/>
  <c r="EE172" i="4"/>
  <c r="EI175" i="4"/>
  <c r="EI176" i="4"/>
  <c r="EI177" i="4"/>
  <c r="DX178" i="4"/>
  <c r="EB178" i="4"/>
  <c r="EF178" i="4"/>
  <c r="DX182" i="4"/>
  <c r="EB182" i="4"/>
  <c r="EF182" i="4"/>
  <c r="DX187" i="4"/>
  <c r="EB187" i="4"/>
  <c r="EF187" i="4"/>
  <c r="EI198" i="4"/>
  <c r="EI199" i="4"/>
  <c r="EI201" i="4"/>
  <c r="EI202" i="4"/>
  <c r="EI204" i="4"/>
  <c r="DX209" i="4"/>
  <c r="EB209" i="4"/>
  <c r="EF209" i="4"/>
  <c r="DX219" i="4"/>
  <c r="EB219" i="4"/>
  <c r="EF219" i="4"/>
  <c r="DY223" i="4"/>
  <c r="EC223" i="4"/>
  <c r="EG223" i="4"/>
  <c r="EI228" i="4"/>
  <c r="EI229" i="4"/>
  <c r="DY241" i="4"/>
  <c r="EC241" i="4"/>
  <c r="EG241" i="4"/>
  <c r="FA8" i="4"/>
  <c r="FE8" i="4"/>
  <c r="FI8" i="4"/>
  <c r="DY29" i="4"/>
  <c r="EC29" i="4"/>
  <c r="EG29" i="4"/>
  <c r="EI39" i="4"/>
  <c r="EI40" i="4"/>
  <c r="EI42" i="4"/>
  <c r="EE38" i="4"/>
  <c r="EI44" i="4"/>
  <c r="EI46" i="4"/>
  <c r="EI50" i="4"/>
  <c r="EI52" i="4"/>
  <c r="EI53" i="4"/>
  <c r="EI62" i="4"/>
  <c r="EI65" i="4"/>
  <c r="EI66" i="4"/>
  <c r="EI67" i="4"/>
  <c r="EI69" i="4"/>
  <c r="DX104" i="4"/>
  <c r="EB104" i="4"/>
  <c r="EF104" i="4"/>
  <c r="EI130" i="4"/>
  <c r="EH138" i="4"/>
  <c r="EI147" i="4"/>
  <c r="EI149" i="4"/>
  <c r="EB150" i="4"/>
  <c r="EF150" i="4"/>
  <c r="DY178" i="4"/>
  <c r="EC178" i="4"/>
  <c r="EG178" i="4"/>
  <c r="DY182" i="4"/>
  <c r="EC182" i="4"/>
  <c r="EG182" i="4"/>
  <c r="DX193" i="4"/>
  <c r="EF193" i="4"/>
  <c r="DY205" i="4"/>
  <c r="EC205" i="4"/>
  <c r="EG205" i="4"/>
  <c r="DY209" i="4"/>
  <c r="EC209" i="4"/>
  <c r="EG209" i="4"/>
  <c r="DY219" i="4"/>
  <c r="EC219" i="4"/>
  <c r="EG219" i="4"/>
  <c r="DY236" i="4"/>
  <c r="EC236" i="4"/>
  <c r="EG236" i="4"/>
  <c r="DZ241" i="4"/>
  <c r="ED241" i="4"/>
  <c r="EH241" i="4"/>
  <c r="EZ13" i="4"/>
  <c r="FD13" i="4"/>
  <c r="FH13" i="4"/>
  <c r="EI15" i="4"/>
  <c r="EI16" i="4"/>
  <c r="EI18" i="4"/>
  <c r="EI19" i="4"/>
  <c r="EI20" i="4"/>
  <c r="EI21" i="4"/>
  <c r="EI23" i="4"/>
  <c r="EI25" i="4"/>
  <c r="EI26" i="4"/>
  <c r="DX38" i="4"/>
  <c r="EB38" i="4"/>
  <c r="EF38" i="4"/>
  <c r="DX60" i="4"/>
  <c r="EB60" i="4"/>
  <c r="EI118" i="4"/>
  <c r="EI119" i="4"/>
  <c r="EI120" i="4"/>
  <c r="EI121" i="4"/>
  <c r="EI125" i="4"/>
  <c r="EI126" i="4"/>
  <c r="DW129" i="4"/>
  <c r="EI141" i="4"/>
  <c r="EI142" i="4"/>
  <c r="EI143" i="4"/>
  <c r="EI145" i="4"/>
  <c r="DZ157" i="4"/>
  <c r="ED157" i="4"/>
  <c r="EH157" i="4"/>
  <c r="DW164" i="4"/>
  <c r="EA164" i="4"/>
  <c r="EE164" i="4"/>
  <c r="EI167" i="4"/>
  <c r="EI168" i="4"/>
  <c r="EI170" i="4"/>
  <c r="EI171" i="4"/>
  <c r="EC172" i="4"/>
  <c r="DZ187" i="4"/>
  <c r="ED187" i="4"/>
  <c r="EH187" i="4"/>
  <c r="DZ205" i="4"/>
  <c r="ED205" i="4"/>
  <c r="EH205" i="4"/>
  <c r="DZ209" i="4"/>
  <c r="ED209" i="4"/>
  <c r="EH209" i="4"/>
  <c r="DY227" i="4"/>
  <c r="EC227" i="4"/>
  <c r="EG227" i="4"/>
  <c r="DZ236" i="4"/>
  <c r="ED236" i="4"/>
  <c r="EH236" i="4"/>
  <c r="EI244" i="4"/>
  <c r="EI245" i="4"/>
  <c r="EI246" i="4"/>
  <c r="FK9" i="4"/>
  <c r="EY8" i="4"/>
  <c r="FK14" i="4"/>
  <c r="FK15" i="4"/>
  <c r="EY13" i="4"/>
  <c r="FC13" i="4"/>
  <c r="FG13" i="4"/>
  <c r="FK18" i="4"/>
  <c r="FK19" i="4"/>
  <c r="FK20" i="4"/>
  <c r="FK21" i="4"/>
  <c r="FK23" i="4"/>
  <c r="FK24" i="4"/>
  <c r="FK25" i="4"/>
  <c r="FK26" i="4"/>
  <c r="FK220" i="4"/>
  <c r="EY219" i="4"/>
  <c r="FK50" i="4"/>
  <c r="FK51" i="4"/>
  <c r="FK52" i="4"/>
  <c r="FK53" i="4"/>
  <c r="EY54" i="4"/>
  <c r="FK4" i="4"/>
  <c r="FK7" i="4"/>
  <c r="EZ8" i="4"/>
  <c r="FD8" i="4"/>
  <c r="FH8" i="4"/>
  <c r="FK35" i="4"/>
  <c r="FK36" i="4"/>
  <c r="FK37" i="4"/>
  <c r="EZ54" i="4"/>
  <c r="FK67" i="4"/>
  <c r="FK68" i="4"/>
  <c r="FK89" i="4"/>
  <c r="FD219" i="4"/>
  <c r="FA236" i="4"/>
  <c r="FE236" i="4"/>
  <c r="FI236" i="4"/>
  <c r="FA219" i="4"/>
  <c r="FE219" i="4"/>
  <c r="FI219" i="4"/>
  <c r="FB236" i="4"/>
  <c r="FF236" i="4"/>
  <c r="FJ236" i="4"/>
  <c r="FK238" i="4"/>
  <c r="AS223" i="4"/>
  <c r="AW223" i="4"/>
  <c r="BC224" i="4"/>
  <c r="BC225" i="4"/>
  <c r="BA223" i="4"/>
  <c r="AR223" i="4"/>
  <c r="AV223" i="4"/>
  <c r="AR218" i="6"/>
  <c r="AV218" i="6"/>
  <c r="AZ218" i="6"/>
  <c r="AW219" i="4"/>
  <c r="AS218" i="6"/>
  <c r="AW218" i="6"/>
  <c r="BA218" i="6"/>
  <c r="BC220" i="4"/>
  <c r="BC221" i="4"/>
  <c r="BC222" i="4"/>
  <c r="BA219" i="4"/>
  <c r="AV219" i="4"/>
  <c r="AW214" i="4"/>
  <c r="AS214" i="4"/>
  <c r="BA214" i="4"/>
  <c r="AS209" i="4"/>
  <c r="AT209" i="4"/>
  <c r="AX209" i="4"/>
  <c r="BB209" i="4"/>
  <c r="BA209" i="4"/>
  <c r="BC211" i="4"/>
  <c r="AT205" i="4"/>
  <c r="AX205" i="4"/>
  <c r="BB205" i="4"/>
  <c r="BC207" i="4"/>
  <c r="AS205" i="4"/>
  <c r="BA205" i="4"/>
  <c r="AT193" i="4"/>
  <c r="AX193" i="4"/>
  <c r="BB193" i="4"/>
  <c r="AW193" i="4"/>
  <c r="BA193" i="4"/>
  <c r="BC195" i="4"/>
  <c r="BC198" i="4"/>
  <c r="BC199" i="4"/>
  <c r="BC200" i="4"/>
  <c r="BC201" i="4"/>
  <c r="BC202" i="4"/>
  <c r="BC203" i="4"/>
  <c r="AX187" i="4"/>
  <c r="BC189" i="4"/>
  <c r="BC190" i="4"/>
  <c r="AY187" i="4"/>
  <c r="BC191" i="4"/>
  <c r="AR187" i="4"/>
  <c r="BC183" i="4"/>
  <c r="BC185" i="4"/>
  <c r="AQ182" i="4"/>
  <c r="AR182" i="4"/>
  <c r="AZ182" i="4"/>
  <c r="BC184" i="4"/>
  <c r="AY182" i="4"/>
  <c r="AS182" i="4"/>
  <c r="AS178" i="4"/>
  <c r="AW178" i="4"/>
  <c r="AZ178" i="4"/>
  <c r="AQ172" i="4"/>
  <c r="AU172" i="4"/>
  <c r="AW172" i="4"/>
  <c r="BA172" i="4"/>
  <c r="AX164" i="4"/>
  <c r="BB164" i="4"/>
  <c r="BC168" i="4"/>
  <c r="BC169" i="4"/>
  <c r="AQ164" i="4"/>
  <c r="AQ156" i="6"/>
  <c r="AU156" i="6"/>
  <c r="AY156" i="6"/>
  <c r="AS157" i="4"/>
  <c r="BA157" i="4"/>
  <c r="AR156" i="6"/>
  <c r="AV156" i="6"/>
  <c r="AZ156" i="6"/>
  <c r="BC159" i="4"/>
  <c r="BC161" i="4"/>
  <c r="BC162" i="4"/>
  <c r="BC152" i="4"/>
  <c r="AQ150" i="4"/>
  <c r="AY150" i="4"/>
  <c r="BC154" i="4"/>
  <c r="AR150" i="4"/>
  <c r="AV150" i="4"/>
  <c r="AZ150" i="4"/>
  <c r="BC148" i="4"/>
  <c r="AQ146" i="4"/>
  <c r="AY146" i="4"/>
  <c r="AR146" i="4"/>
  <c r="AV146" i="4"/>
  <c r="AZ146" i="4"/>
  <c r="AT138" i="4"/>
  <c r="AX138" i="4"/>
  <c r="BB138" i="4"/>
  <c r="AU138" i="4"/>
  <c r="BC142" i="4"/>
  <c r="BC144" i="4"/>
  <c r="BC145" i="4"/>
  <c r="AR138" i="4"/>
  <c r="AV138" i="4"/>
  <c r="AZ138" i="4"/>
  <c r="AQ129" i="4"/>
  <c r="AY129" i="4"/>
  <c r="AU129" i="4"/>
  <c r="AV116" i="4"/>
  <c r="AT115" i="6"/>
  <c r="AX115" i="6"/>
  <c r="BB115" i="6"/>
  <c r="AQ115" i="6"/>
  <c r="AU115" i="6"/>
  <c r="AY115" i="6"/>
  <c r="AQ104" i="4"/>
  <c r="AU104" i="4"/>
  <c r="AY104" i="4"/>
  <c r="AR90" i="4"/>
  <c r="AZ90" i="4"/>
  <c r="AS90" i="4"/>
  <c r="BA90" i="4"/>
  <c r="AW90" i="4"/>
  <c r="BC94" i="4"/>
  <c r="BC95" i="4"/>
  <c r="BC96" i="4"/>
  <c r="BC97" i="4"/>
  <c r="BC98" i="4"/>
  <c r="BC99" i="4"/>
  <c r="BC102" i="4"/>
  <c r="AR87" i="4"/>
  <c r="AV87" i="4"/>
  <c r="AZ87" i="4"/>
  <c r="AQ75" i="6"/>
  <c r="AU75" i="6"/>
  <c r="AY75" i="6"/>
  <c r="AR75" i="6"/>
  <c r="AV75" i="6"/>
  <c r="AZ75" i="6"/>
  <c r="AT76" i="4"/>
  <c r="AX76" i="4"/>
  <c r="BB76" i="4"/>
  <c r="AW60" i="4"/>
  <c r="BA60" i="4"/>
  <c r="BC64" i="4"/>
  <c r="BC65" i="4"/>
  <c r="BC66" i="4"/>
  <c r="BC67" i="4"/>
  <c r="BC68" i="4"/>
  <c r="BC69" i="4"/>
  <c r="AS60" i="4"/>
  <c r="AR60" i="4"/>
  <c r="AZ60" i="4"/>
  <c r="AT57" i="4"/>
  <c r="AX57" i="4"/>
  <c r="BB57" i="4"/>
  <c r="BC44" i="4"/>
  <c r="BC45" i="4"/>
  <c r="BC46" i="4"/>
  <c r="BC39" i="4"/>
  <c r="BC40" i="4"/>
  <c r="AQ38" i="4"/>
  <c r="AU38" i="4"/>
  <c r="AY38" i="4"/>
  <c r="BC42" i="4"/>
  <c r="AR38" i="4"/>
  <c r="AV38" i="4"/>
  <c r="AZ38" i="4"/>
  <c r="AT43" i="6"/>
  <c r="AT47" i="6" s="1"/>
  <c r="AX43" i="6"/>
  <c r="AX47" i="6" s="1"/>
  <c r="BB43" i="6"/>
  <c r="BB47" i="6" s="1"/>
  <c r="BC33" i="4"/>
  <c r="BC34" i="4"/>
  <c r="AY29" i="4"/>
  <c r="BC35" i="4"/>
  <c r="BC36" i="4"/>
  <c r="BC37" i="4"/>
  <c r="AY43" i="6"/>
  <c r="AY47" i="6" s="1"/>
  <c r="AR29" i="4"/>
  <c r="AZ29" i="4"/>
  <c r="AR43" i="6"/>
  <c r="AR47" i="6" s="1"/>
  <c r="AS43" i="6"/>
  <c r="AS47" i="6" s="1"/>
  <c r="BA43" i="6"/>
  <c r="BA47" i="6" s="1"/>
  <c r="DU236" i="5"/>
  <c r="DU8" i="5"/>
  <c r="CS241" i="5"/>
  <c r="CS236" i="5"/>
  <c r="CH218" i="5"/>
  <c r="CP218" i="5"/>
  <c r="CI218" i="5"/>
  <c r="CM218" i="5"/>
  <c r="CQ218" i="5"/>
  <c r="CL218" i="5"/>
  <c r="CP156" i="5"/>
  <c r="CH156" i="5"/>
  <c r="CL156" i="5"/>
  <c r="CG156" i="5"/>
  <c r="CK156" i="5"/>
  <c r="CO156" i="5"/>
  <c r="CJ115" i="5"/>
  <c r="CN115" i="5"/>
  <c r="CR115" i="5"/>
  <c r="CG115" i="5"/>
  <c r="CK115" i="5"/>
  <c r="CO115" i="5"/>
  <c r="CS75" i="5"/>
  <c r="CG75" i="5"/>
  <c r="CK75" i="5"/>
  <c r="CO75" i="5"/>
  <c r="CH75" i="5"/>
  <c r="CL75" i="5"/>
  <c r="CP75" i="5"/>
  <c r="CI70" i="5"/>
  <c r="CM70" i="5"/>
  <c r="CQ70" i="5"/>
  <c r="CS13" i="5"/>
  <c r="CS8" i="5"/>
  <c r="CG70" i="5"/>
  <c r="CK6" i="5"/>
  <c r="CO6" i="5"/>
  <c r="E53" i="23" s="1"/>
  <c r="CN6" i="5"/>
  <c r="CH6" i="5"/>
  <c r="CH70" i="5"/>
  <c r="CL6" i="5"/>
  <c r="CL70" i="5"/>
  <c r="CP6" i="5"/>
  <c r="CP70" i="5"/>
  <c r="BS58" i="5"/>
  <c r="BW58" i="5"/>
  <c r="CA58" i="5"/>
  <c r="BU58" i="5"/>
  <c r="BY58" i="5"/>
  <c r="CC58" i="5"/>
  <c r="CE8" i="5"/>
  <c r="CI29" i="4"/>
  <c r="CQ38" i="4"/>
  <c r="CH60" i="4"/>
  <c r="CH90" i="4"/>
  <c r="CI178" i="4"/>
  <c r="CH187" i="4"/>
  <c r="CS4" i="4"/>
  <c r="CS7" i="4"/>
  <c r="CI13" i="4"/>
  <c r="CM13" i="4"/>
  <c r="CQ13" i="4"/>
  <c r="CI27" i="4"/>
  <c r="CM27" i="4"/>
  <c r="CQ27" i="4"/>
  <c r="CJ54" i="4"/>
  <c r="CN54" i="4"/>
  <c r="CR54" i="4"/>
  <c r="CI60" i="4"/>
  <c r="CS77" i="4"/>
  <c r="CS80" i="4"/>
  <c r="CS82" i="4"/>
  <c r="CS83" i="4"/>
  <c r="CS85" i="4"/>
  <c r="CS86" i="4"/>
  <c r="CG87" i="4"/>
  <c r="CK87" i="4"/>
  <c r="CH116" i="4"/>
  <c r="CL116" i="4"/>
  <c r="CP116" i="4"/>
  <c r="CI129" i="4"/>
  <c r="CM129" i="4"/>
  <c r="CQ129" i="4"/>
  <c r="CH223" i="4"/>
  <c r="CL223" i="4"/>
  <c r="CP223" i="4"/>
  <c r="CI241" i="4"/>
  <c r="CM241" i="4"/>
  <c r="CQ241" i="4"/>
  <c r="CQ29" i="4"/>
  <c r="CM38" i="4"/>
  <c r="CP60" i="4"/>
  <c r="CN76" i="4"/>
  <c r="CP90" i="4"/>
  <c r="CO104" i="4"/>
  <c r="CQ178" i="4"/>
  <c r="CL187" i="4"/>
  <c r="CS30" i="4"/>
  <c r="CS34" i="4"/>
  <c r="CS35" i="4"/>
  <c r="CS36" i="4"/>
  <c r="CS37" i="4"/>
  <c r="CS39" i="4"/>
  <c r="CS40" i="4"/>
  <c r="CS41" i="4"/>
  <c r="CS42" i="4"/>
  <c r="CK38" i="4"/>
  <c r="CS44" i="4"/>
  <c r="CS45" i="4"/>
  <c r="CS46" i="4"/>
  <c r="CS50" i="4"/>
  <c r="CS51" i="4"/>
  <c r="CS52" i="4"/>
  <c r="CS53" i="4"/>
  <c r="CJ60" i="4"/>
  <c r="CN60" i="4"/>
  <c r="CR60" i="4"/>
  <c r="CH76" i="4"/>
  <c r="CL76" i="4"/>
  <c r="CP76" i="4"/>
  <c r="CN90" i="4"/>
  <c r="CR90" i="4"/>
  <c r="CI104" i="4"/>
  <c r="CM104" i="4"/>
  <c r="CQ104" i="4"/>
  <c r="CH146" i="4"/>
  <c r="CL146" i="4"/>
  <c r="CP146" i="4"/>
  <c r="CH150" i="4"/>
  <c r="CL150" i="4"/>
  <c r="CP150" i="4"/>
  <c r="CJ164" i="4"/>
  <c r="CN164" i="4"/>
  <c r="CR164" i="4"/>
  <c r="CI214" i="4"/>
  <c r="CM214" i="4"/>
  <c r="CQ214" i="4"/>
  <c r="CM29" i="4"/>
  <c r="CI38" i="4"/>
  <c r="CL90" i="4"/>
  <c r="CK104" i="4"/>
  <c r="CM178" i="4"/>
  <c r="CP187" i="4"/>
  <c r="CJ8" i="4"/>
  <c r="CN8" i="4"/>
  <c r="CR8" i="4"/>
  <c r="CS14" i="4"/>
  <c r="CS15" i="4"/>
  <c r="CS16" i="4"/>
  <c r="CS18" i="4"/>
  <c r="CS19" i="4"/>
  <c r="CS20" i="4"/>
  <c r="CS21" i="4"/>
  <c r="CS23" i="4"/>
  <c r="CS25" i="4"/>
  <c r="CS26" i="4"/>
  <c r="CL38" i="4"/>
  <c r="CS55" i="4"/>
  <c r="CS56" i="4"/>
  <c r="CK57" i="4"/>
  <c r="CO57" i="4"/>
  <c r="CO58" i="4" s="1"/>
  <c r="CS65" i="4"/>
  <c r="CS66" i="4"/>
  <c r="CS67" i="4"/>
  <c r="CS68" i="4"/>
  <c r="CS69" i="4"/>
  <c r="CS93" i="4"/>
  <c r="CS95" i="4"/>
  <c r="CS99" i="4"/>
  <c r="CS100" i="4"/>
  <c r="CS101" i="4"/>
  <c r="CS102" i="4"/>
  <c r="CG104" i="4"/>
  <c r="CJ116" i="4"/>
  <c r="CN116" i="4"/>
  <c r="CR116" i="4"/>
  <c r="CS130" i="4"/>
  <c r="CS134" i="4"/>
  <c r="CS137" i="4"/>
  <c r="CH138" i="4"/>
  <c r="CL138" i="4"/>
  <c r="CP138" i="4"/>
  <c r="CJ157" i="4"/>
  <c r="CN157" i="4"/>
  <c r="CR157" i="4"/>
  <c r="CS165" i="4"/>
  <c r="CG164" i="4"/>
  <c r="CK164" i="4"/>
  <c r="CO164" i="4"/>
  <c r="CS168" i="4"/>
  <c r="CS170" i="4"/>
  <c r="CS171" i="4"/>
  <c r="CM172" i="4"/>
  <c r="CI182" i="4"/>
  <c r="CM182" i="4"/>
  <c r="CQ182" i="4"/>
  <c r="CH193" i="4"/>
  <c r="CP193" i="4"/>
  <c r="CI205" i="4"/>
  <c r="CM205" i="4"/>
  <c r="CQ205" i="4"/>
  <c r="CH209" i="4"/>
  <c r="CP209" i="4"/>
  <c r="CH219" i="4"/>
  <c r="CL219" i="4"/>
  <c r="CP219" i="4"/>
  <c r="CI223" i="4"/>
  <c r="CM223" i="4"/>
  <c r="CQ223" i="4"/>
  <c r="CS228" i="4"/>
  <c r="CS229" i="4"/>
  <c r="CJ241" i="4"/>
  <c r="CN241" i="4"/>
  <c r="CR241" i="4"/>
  <c r="CG71" i="7"/>
  <c r="CJ150" i="4"/>
  <c r="CN150" i="4"/>
  <c r="CR150" i="4"/>
  <c r="CS159" i="4"/>
  <c r="CS161" i="4"/>
  <c r="CJ172" i="4"/>
  <c r="CN172" i="4"/>
  <c r="CR172" i="4"/>
  <c r="CS179" i="4"/>
  <c r="CS180" i="4"/>
  <c r="CS181" i="4"/>
  <c r="CJ187" i="4"/>
  <c r="CN187" i="4"/>
  <c r="CR187" i="4"/>
  <c r="CJ205" i="4"/>
  <c r="CN205" i="4"/>
  <c r="CR205" i="4"/>
  <c r="CI209" i="4"/>
  <c r="CM209" i="4"/>
  <c r="CQ209" i="4"/>
  <c r="CS215" i="4"/>
  <c r="CI219" i="4"/>
  <c r="CM219" i="4"/>
  <c r="CQ219" i="4"/>
  <c r="CI236" i="4"/>
  <c r="CM236" i="4"/>
  <c r="CQ236" i="4"/>
  <c r="CS246" i="4"/>
  <c r="CS247" i="4"/>
  <c r="CI133" i="4"/>
  <c r="CM133" i="4"/>
  <c r="CQ133" i="4"/>
  <c r="CS147" i="4"/>
  <c r="CS148" i="4"/>
  <c r="CS149" i="4"/>
  <c r="CS151" i="4"/>
  <c r="CS152" i="4"/>
  <c r="CS153" i="4"/>
  <c r="CG172" i="4"/>
  <c r="CK172" i="4"/>
  <c r="CO172" i="4"/>
  <c r="CS175" i="4"/>
  <c r="CS176" i="4"/>
  <c r="CS177" i="4"/>
  <c r="CG178" i="4"/>
  <c r="CH178" i="4"/>
  <c r="CL178" i="4"/>
  <c r="CP178" i="4"/>
  <c r="CS183" i="4"/>
  <c r="CS184" i="4"/>
  <c r="CS185" i="4"/>
  <c r="CS186" i="4"/>
  <c r="CK182" i="4"/>
  <c r="CO182" i="4"/>
  <c r="CS188" i="4"/>
  <c r="CS189" i="4"/>
  <c r="CS190" i="4"/>
  <c r="CJ193" i="4"/>
  <c r="CN193" i="4"/>
  <c r="CR193" i="4"/>
  <c r="CS208" i="4"/>
  <c r="CJ209" i="4"/>
  <c r="CN209" i="4"/>
  <c r="CR209" i="4"/>
  <c r="CI227" i="4"/>
  <c r="CM227" i="4"/>
  <c r="CQ227" i="4"/>
  <c r="CJ236" i="4"/>
  <c r="CN236" i="4"/>
  <c r="CR236" i="4"/>
  <c r="CH241" i="4"/>
  <c r="BC43" i="5"/>
  <c r="BC47" i="5" s="1"/>
  <c r="BC218" i="5"/>
  <c r="AS157" i="5"/>
  <c r="AS8" i="5"/>
  <c r="AT223" i="5"/>
  <c r="AY8" i="5"/>
  <c r="AT27" i="5"/>
  <c r="AT29" i="5"/>
  <c r="AT43" i="5" s="1"/>
  <c r="AT47" i="5" s="1"/>
  <c r="AR164" i="5"/>
  <c r="AS13" i="5"/>
  <c r="AX27" i="5"/>
  <c r="AX29" i="5"/>
  <c r="AV116" i="5"/>
  <c r="AS209" i="5"/>
  <c r="AX214" i="5"/>
  <c r="AW13" i="5"/>
  <c r="BB27" i="5"/>
  <c r="BB29" i="5"/>
  <c r="BB43" i="5" s="1"/>
  <c r="BB47" i="5" s="1"/>
  <c r="AV146" i="5"/>
  <c r="AU193" i="5"/>
  <c r="AW209" i="5"/>
  <c r="AU8" i="5"/>
  <c r="AZ8" i="5"/>
  <c r="AT13" i="5"/>
  <c r="AX13" i="5"/>
  <c r="BB13" i="5"/>
  <c r="AU27" i="5"/>
  <c r="AY27" i="5"/>
  <c r="AU29" i="5"/>
  <c r="AY29" i="5"/>
  <c r="AY43" i="5" s="1"/>
  <c r="AY47" i="5" s="1"/>
  <c r="AS90" i="5"/>
  <c r="AX116" i="5"/>
  <c r="AS129" i="5"/>
  <c r="AW157" i="5"/>
  <c r="AV164" i="5"/>
  <c r="AT178" i="5"/>
  <c r="AT182" i="5"/>
  <c r="AU187" i="5"/>
  <c r="AY193" i="5"/>
  <c r="AZ76" i="5"/>
  <c r="BA104" i="5"/>
  <c r="AZ157" i="5"/>
  <c r="AV8" i="5"/>
  <c r="BA8" i="5"/>
  <c r="BA6" i="5" s="1"/>
  <c r="AU13" i="5"/>
  <c r="AY13" i="5"/>
  <c r="AR27" i="5"/>
  <c r="AV27" i="5"/>
  <c r="AZ27" i="5"/>
  <c r="AR29" i="5"/>
  <c r="AV29" i="5"/>
  <c r="AZ29" i="5"/>
  <c r="AW90" i="5"/>
  <c r="AR116" i="5"/>
  <c r="AZ116" i="5"/>
  <c r="AW129" i="5"/>
  <c r="BA157" i="5"/>
  <c r="AZ164" i="5"/>
  <c r="AX178" i="5"/>
  <c r="AX182" i="5"/>
  <c r="AY187" i="5"/>
  <c r="BA209" i="5"/>
  <c r="BB214" i="5"/>
  <c r="AX223" i="5"/>
  <c r="AZ133" i="5"/>
  <c r="AY146" i="5"/>
  <c r="BA182" i="5"/>
  <c r="BA214" i="5"/>
  <c r="AR8" i="5"/>
  <c r="AW8" i="5"/>
  <c r="AR13" i="5"/>
  <c r="AV13" i="5"/>
  <c r="AZ13" i="5"/>
  <c r="AS27" i="5"/>
  <c r="AW27" i="5"/>
  <c r="BA27" i="5"/>
  <c r="AS29" i="5"/>
  <c r="AW29" i="5"/>
  <c r="AW43" i="5" s="1"/>
  <c r="AW47" i="5" s="1"/>
  <c r="BA29" i="5"/>
  <c r="BA90" i="5"/>
  <c r="AT116" i="5"/>
  <c r="BB116" i="5"/>
  <c r="BA129" i="5"/>
  <c r="AR146" i="5"/>
  <c r="BB178" i="5"/>
  <c r="BB182" i="5"/>
  <c r="BB223" i="5"/>
  <c r="AY116" i="5"/>
  <c r="AZ138" i="5"/>
  <c r="BB187" i="5"/>
  <c r="BA223" i="5"/>
  <c r="BA227" i="5"/>
  <c r="AU236" i="5"/>
  <c r="AY236" i="5"/>
  <c r="AQ236" i="5"/>
  <c r="AR236" i="5"/>
  <c r="AV236" i="5"/>
  <c r="AZ236" i="5"/>
  <c r="AS236" i="5"/>
  <c r="AW236" i="5"/>
  <c r="BB241" i="5"/>
  <c r="EB14" i="23" s="1"/>
  <c r="AX241" i="5"/>
  <c r="EB18" i="23" s="1"/>
  <c r="AT241" i="5"/>
  <c r="EB22" i="23" s="1"/>
  <c r="AR241" i="5"/>
  <c r="EB24" i="23" s="1"/>
  <c r="AV241" i="5"/>
  <c r="EB20" i="23" s="1"/>
  <c r="AZ241" i="5"/>
  <c r="EB16" i="23" s="1"/>
  <c r="AS241" i="5"/>
  <c r="EB23" i="23" s="1"/>
  <c r="AW241" i="5"/>
  <c r="EB19" i="23" s="1"/>
  <c r="BA241" i="5"/>
  <c r="EB15" i="23" s="1"/>
  <c r="AQ241" i="5"/>
  <c r="AU241" i="5"/>
  <c r="EB21" i="23" s="1"/>
  <c r="AY241" i="5"/>
  <c r="EB17" i="23" s="1"/>
  <c r="AU227" i="5"/>
  <c r="AY227" i="5"/>
  <c r="AQ227" i="5"/>
  <c r="AR227" i="5"/>
  <c r="AV227" i="5"/>
  <c r="AZ227" i="5"/>
  <c r="AS227" i="5"/>
  <c r="AW227" i="5"/>
  <c r="AU223" i="5"/>
  <c r="AY223" i="5"/>
  <c r="AQ223" i="5"/>
  <c r="AR223" i="5"/>
  <c r="AV223" i="5"/>
  <c r="AZ223" i="5"/>
  <c r="AS223" i="5"/>
  <c r="AW223" i="5"/>
  <c r="BB219" i="5"/>
  <c r="AX219" i="5"/>
  <c r="AT219" i="5"/>
  <c r="AZ219" i="5"/>
  <c r="AV219" i="5"/>
  <c r="AR219" i="5"/>
  <c r="AQ219" i="5"/>
  <c r="AS219" i="5"/>
  <c r="AW219" i="5"/>
  <c r="BA219" i="5"/>
  <c r="AU219" i="5"/>
  <c r="AY219" i="5"/>
  <c r="AU214" i="5"/>
  <c r="AY214" i="5"/>
  <c r="AQ214" i="5"/>
  <c r="AR214" i="5"/>
  <c r="AV214" i="5"/>
  <c r="AZ214" i="5"/>
  <c r="AS214" i="5"/>
  <c r="AW214" i="5"/>
  <c r="AT209" i="5"/>
  <c r="AX209" i="5"/>
  <c r="BB209" i="5"/>
  <c r="AQ209" i="5"/>
  <c r="AU209" i="5"/>
  <c r="AY209" i="5"/>
  <c r="AR209" i="5"/>
  <c r="AV209" i="5"/>
  <c r="AQ205" i="5"/>
  <c r="AY205" i="5"/>
  <c r="AU205" i="5"/>
  <c r="AS205" i="5"/>
  <c r="AW205" i="5"/>
  <c r="BA205" i="5"/>
  <c r="AT205" i="5"/>
  <c r="AX205" i="5"/>
  <c r="BB205" i="5"/>
  <c r="AR205" i="5"/>
  <c r="AV205" i="5"/>
  <c r="AZ205" i="5"/>
  <c r="AR193" i="5"/>
  <c r="AV193" i="5"/>
  <c r="AZ193" i="5"/>
  <c r="AQ193" i="5"/>
  <c r="AS193" i="5"/>
  <c r="AW193" i="5"/>
  <c r="AT193" i="5"/>
  <c r="AX193" i="5"/>
  <c r="BB193" i="5"/>
  <c r="AR187" i="5"/>
  <c r="AV187" i="5"/>
  <c r="AZ187" i="5"/>
  <c r="AQ187" i="5"/>
  <c r="AS187" i="5"/>
  <c r="AW187" i="5"/>
  <c r="BA187" i="5"/>
  <c r="AT187" i="5"/>
  <c r="AX187" i="5"/>
  <c r="AU182" i="5"/>
  <c r="AY182" i="5"/>
  <c r="AR182" i="5"/>
  <c r="AV182" i="5"/>
  <c r="AZ182" i="5"/>
  <c r="AS182" i="5"/>
  <c r="AW182" i="5"/>
  <c r="AU178" i="5"/>
  <c r="AY178" i="5"/>
  <c r="AQ178" i="5"/>
  <c r="AR178" i="5"/>
  <c r="AV178" i="5"/>
  <c r="AZ178" i="5"/>
  <c r="AS178" i="5"/>
  <c r="AW178" i="5"/>
  <c r="AR172" i="5"/>
  <c r="AV172" i="5"/>
  <c r="AZ172" i="5"/>
  <c r="AT172" i="5"/>
  <c r="AX172" i="5"/>
  <c r="BB172" i="5"/>
  <c r="AU172" i="5"/>
  <c r="AY172" i="5"/>
  <c r="AS172" i="5"/>
  <c r="AW172" i="5"/>
  <c r="BA172" i="5"/>
  <c r="AS164" i="5"/>
  <c r="BA164" i="5"/>
  <c r="AQ164" i="5"/>
  <c r="AT164" i="5"/>
  <c r="AX164" i="5"/>
  <c r="BB164" i="5"/>
  <c r="AW164" i="5"/>
  <c r="AU164" i="5"/>
  <c r="AT157" i="5"/>
  <c r="BB157" i="5"/>
  <c r="AU157" i="5"/>
  <c r="AY157" i="5"/>
  <c r="AX157" i="5"/>
  <c r="AQ157" i="5"/>
  <c r="AR157" i="5"/>
  <c r="AV157" i="5"/>
  <c r="BA150" i="5"/>
  <c r="AW150" i="5"/>
  <c r="AS150" i="5"/>
  <c r="BB150" i="5"/>
  <c r="AT150" i="5"/>
  <c r="AZ150" i="5"/>
  <c r="AV150" i="5"/>
  <c r="AR150" i="5"/>
  <c r="AX150" i="5"/>
  <c r="AQ150" i="5"/>
  <c r="AY150" i="5"/>
  <c r="AU150" i="5"/>
  <c r="AW146" i="5"/>
  <c r="AT146" i="5"/>
  <c r="AX146" i="5"/>
  <c r="BB146" i="5"/>
  <c r="AS146" i="5"/>
  <c r="BA146" i="5"/>
  <c r="AQ146" i="5"/>
  <c r="AU146" i="5"/>
  <c r="BB138" i="5"/>
  <c r="AX138" i="5"/>
  <c r="AT138" i="5"/>
  <c r="AU138" i="5"/>
  <c r="AY138" i="5"/>
  <c r="AQ138" i="5"/>
  <c r="AR138" i="5"/>
  <c r="AV138" i="5"/>
  <c r="BC115" i="5"/>
  <c r="AS138" i="5"/>
  <c r="AW138" i="5"/>
  <c r="BA138" i="5"/>
  <c r="AQ133" i="5"/>
  <c r="AU133" i="5"/>
  <c r="AY133" i="5"/>
  <c r="AS133" i="5"/>
  <c r="AW133" i="5"/>
  <c r="BA133" i="5"/>
  <c r="AT133" i="5"/>
  <c r="AX133" i="5"/>
  <c r="BB133" i="5"/>
  <c r="AR133" i="5"/>
  <c r="AV133" i="5"/>
  <c r="AT129" i="5"/>
  <c r="AX129" i="5"/>
  <c r="BB129" i="5"/>
  <c r="AQ129" i="5"/>
  <c r="AU129" i="5"/>
  <c r="AY129" i="5"/>
  <c r="AR129" i="5"/>
  <c r="AV129" i="5"/>
  <c r="AS116" i="5"/>
  <c r="AW116" i="5"/>
  <c r="BA116" i="5"/>
  <c r="AQ116" i="5"/>
  <c r="AU116" i="5"/>
  <c r="AX104" i="5"/>
  <c r="AT104" i="5"/>
  <c r="BB104" i="5"/>
  <c r="AU104" i="5"/>
  <c r="AY104" i="5"/>
  <c r="AR104" i="5"/>
  <c r="AV104" i="5"/>
  <c r="AZ104" i="5"/>
  <c r="AS104" i="5"/>
  <c r="AW104" i="5"/>
  <c r="AT90" i="5"/>
  <c r="BB90" i="5"/>
  <c r="AQ90" i="5"/>
  <c r="AZ90" i="5"/>
  <c r="AV90" i="5"/>
  <c r="AR90" i="5"/>
  <c r="AY90" i="5"/>
  <c r="AU90" i="5"/>
  <c r="AX90" i="5"/>
  <c r="BA87" i="5"/>
  <c r="AW87" i="5"/>
  <c r="AS87" i="5"/>
  <c r="AZ87" i="5"/>
  <c r="AV87" i="5"/>
  <c r="AR87" i="5"/>
  <c r="AQ87" i="5"/>
  <c r="AY87" i="5"/>
  <c r="AU87" i="5"/>
  <c r="AT87" i="5"/>
  <c r="AX87" i="5"/>
  <c r="BB87" i="5"/>
  <c r="AY76" i="5"/>
  <c r="AU76" i="5"/>
  <c r="AS76" i="5"/>
  <c r="AW76" i="5"/>
  <c r="BA76" i="5"/>
  <c r="BC75" i="5"/>
  <c r="AT76" i="5"/>
  <c r="AX76" i="5"/>
  <c r="BB76" i="5"/>
  <c r="AQ76" i="5"/>
  <c r="AR76" i="5"/>
  <c r="AV76" i="5"/>
  <c r="AQ29" i="5"/>
  <c r="AQ43" i="5" s="1"/>
  <c r="AQ47" i="5" s="1"/>
  <c r="AQ27" i="5"/>
  <c r="AQ13" i="5"/>
  <c r="AQ8" i="5"/>
  <c r="AT8" i="5"/>
  <c r="AX8" i="5"/>
  <c r="BB8" i="5"/>
  <c r="EV10" i="4"/>
  <c r="EV12" i="4"/>
  <c r="EV37" i="4"/>
  <c r="EV237" i="4"/>
  <c r="EV236" i="6"/>
  <c r="EV239" i="4"/>
  <c r="EV4" i="4"/>
  <c r="BP8" i="6"/>
  <c r="BP9" i="4"/>
  <c r="DF9" i="4"/>
  <c r="DF8" i="6"/>
  <c r="EV11" i="4"/>
  <c r="EV238" i="4"/>
  <c r="EV9" i="4"/>
  <c r="BO8" i="6"/>
  <c r="BO237" i="4"/>
  <c r="DE10" i="4"/>
  <c r="EU9" i="4"/>
  <c r="EU12" i="4"/>
  <c r="EU237" i="4"/>
  <c r="BO238" i="4"/>
  <c r="DE11" i="4"/>
  <c r="DE37" i="4"/>
  <c r="EU10" i="4"/>
  <c r="EU238" i="4"/>
  <c r="DE236" i="6"/>
  <c r="EU236" i="6"/>
  <c r="BO239" i="4"/>
  <c r="DE9" i="4"/>
  <c r="DE12" i="4"/>
  <c r="EU11" i="4"/>
  <c r="EU37" i="4"/>
  <c r="EU239" i="4"/>
  <c r="DD8" i="6"/>
  <c r="DD9" i="4"/>
  <c r="DD236" i="6"/>
  <c r="DH236" i="6" s="1"/>
  <c r="DD237" i="4"/>
  <c r="BN8" i="6"/>
  <c r="ET8" i="6"/>
  <c r="ET236" i="6"/>
  <c r="EX236" i="6" s="1"/>
  <c r="BM4" i="4"/>
  <c r="BM8" i="6"/>
  <c r="BM9" i="4"/>
  <c r="BM12" i="4"/>
  <c r="BM239" i="4"/>
  <c r="DC8" i="6"/>
  <c r="DC9" i="4"/>
  <c r="DC11" i="4"/>
  <c r="DC37" i="4"/>
  <c r="DC238" i="4"/>
  <c r="ES9" i="4"/>
  <c r="ES8" i="6"/>
  <c r="DC4" i="4"/>
  <c r="BM11" i="4"/>
  <c r="BM37" i="4"/>
  <c r="BM238" i="4"/>
  <c r="DC10" i="4"/>
  <c r="DC239" i="4"/>
  <c r="BM10" i="4"/>
  <c r="BM236" i="6"/>
  <c r="BM237" i="4"/>
  <c r="DC12" i="4"/>
  <c r="DC237" i="4"/>
  <c r="DC236" i="6"/>
  <c r="ES237" i="4"/>
  <c r="ES236" i="6"/>
  <c r="BL12" i="4"/>
  <c r="BL238" i="4"/>
  <c r="DB4" i="4"/>
  <c r="BL8" i="6"/>
  <c r="BL9" i="4"/>
  <c r="BL10" i="4"/>
  <c r="BL37" i="4"/>
  <c r="BL239" i="4"/>
  <c r="DB10" i="4"/>
  <c r="BL8" i="7"/>
  <c r="DB8" i="7"/>
  <c r="BL4" i="4"/>
  <c r="BL11" i="4"/>
  <c r="BL237" i="4"/>
  <c r="DB9" i="4"/>
  <c r="DB12" i="4"/>
  <c r="DB238" i="4"/>
  <c r="ER8" i="6"/>
  <c r="ER9" i="4"/>
  <c r="ER236" i="6"/>
  <c r="DB11" i="4"/>
  <c r="DB37" i="4"/>
  <c r="DB237" i="4"/>
  <c r="DB8" i="6"/>
  <c r="DB239" i="4"/>
  <c r="DA9" i="4"/>
  <c r="DA236" i="6"/>
  <c r="BK8" i="6"/>
  <c r="BJ8" i="6"/>
  <c r="BJ9" i="4"/>
  <c r="EP237" i="4"/>
  <c r="EP236" i="6"/>
  <c r="CZ9" i="4"/>
  <c r="CZ8" i="6"/>
  <c r="CZ236" i="6"/>
  <c r="CZ237" i="4"/>
  <c r="EO4" i="4"/>
  <c r="BI8" i="6"/>
  <c r="BI9" i="4"/>
  <c r="BI236" i="6"/>
  <c r="BI237" i="4"/>
  <c r="CY236" i="6"/>
  <c r="CY237" i="4"/>
  <c r="EO9" i="4"/>
  <c r="EO8" i="6"/>
  <c r="EO10" i="4"/>
  <c r="EO11" i="4"/>
  <c r="EO12" i="4"/>
  <c r="EO37" i="4"/>
  <c r="EO238" i="4"/>
  <c r="EO239" i="4"/>
  <c r="EO237" i="4"/>
  <c r="EN4" i="4"/>
  <c r="EN8" i="6"/>
  <c r="EN9" i="4"/>
  <c r="EN237" i="4"/>
  <c r="EN236" i="6"/>
  <c r="EN239" i="4"/>
  <c r="EN12" i="4"/>
  <c r="EN238" i="4"/>
  <c r="EW4" i="7"/>
  <c r="EN11" i="4"/>
  <c r="EN37" i="4"/>
  <c r="BH8" i="6"/>
  <c r="CX9" i="4"/>
  <c r="CX8" i="6"/>
  <c r="EN10" i="4"/>
  <c r="BQ10" i="5"/>
  <c r="BQ37" i="5"/>
  <c r="BG8" i="6"/>
  <c r="BG238" i="4"/>
  <c r="CW12" i="4"/>
  <c r="CW239" i="4"/>
  <c r="BG239" i="4"/>
  <c r="CW9" i="4"/>
  <c r="CW11" i="4"/>
  <c r="CW238" i="4"/>
  <c r="AA4" i="8"/>
  <c r="EM8" i="6"/>
  <c r="BG237" i="4"/>
  <c r="CW10" i="4"/>
  <c r="CW237" i="4"/>
  <c r="CW236" i="6"/>
  <c r="EM236" i="6"/>
  <c r="BF11" i="4"/>
  <c r="BF237" i="4"/>
  <c r="BF236" i="6"/>
  <c r="CV10" i="4"/>
  <c r="CV4" i="4"/>
  <c r="BF10" i="4"/>
  <c r="BF239" i="4"/>
  <c r="CV11" i="4"/>
  <c r="BF4" i="4"/>
  <c r="BF8" i="6"/>
  <c r="BF9" i="4"/>
  <c r="BF12" i="4"/>
  <c r="BF37" i="4"/>
  <c r="BF238" i="4"/>
  <c r="CV9" i="4"/>
  <c r="CV8" i="6"/>
  <c r="CV12" i="4"/>
  <c r="CV37" i="4"/>
  <c r="EL10" i="4"/>
  <c r="BQ9" i="7"/>
  <c r="BQ52" i="7"/>
  <c r="BQ239" i="7"/>
  <c r="DG12" i="7"/>
  <c r="DG37" i="7"/>
  <c r="DG52" i="7"/>
  <c r="DG53" i="7"/>
  <c r="DG56" i="7"/>
  <c r="DG239" i="7"/>
  <c r="DG4" i="7"/>
  <c r="EW239" i="7"/>
  <c r="CV237" i="4"/>
  <c r="EL8" i="6"/>
  <c r="EL9" i="4"/>
  <c r="EL238" i="4"/>
  <c r="CV238" i="4"/>
  <c r="EL12" i="4"/>
  <c r="EL237" i="4"/>
  <c r="EL236" i="6"/>
  <c r="CV239" i="4"/>
  <c r="EL11" i="4"/>
  <c r="EL37" i="4"/>
  <c r="EL239" i="4"/>
  <c r="CV236" i="6"/>
  <c r="EW12" i="6"/>
  <c r="BQ4" i="6"/>
  <c r="BQ9" i="6"/>
  <c r="BQ10" i="6"/>
  <c r="BQ11" i="6"/>
  <c r="BQ12" i="6"/>
  <c r="BQ37" i="6"/>
  <c r="BQ11" i="5"/>
  <c r="BQ52" i="5"/>
  <c r="BQ53" i="5"/>
  <c r="BQ56" i="5"/>
  <c r="BQ239" i="5"/>
  <c r="BQ4" i="5"/>
  <c r="BE8" i="7"/>
  <c r="EW4" i="6"/>
  <c r="EK4" i="4"/>
  <c r="BE238" i="4"/>
  <c r="CU10" i="4"/>
  <c r="CU12" i="4"/>
  <c r="DG37" i="6"/>
  <c r="CU37" i="4"/>
  <c r="BE239" i="4"/>
  <c r="CU8" i="6"/>
  <c r="CU9" i="4"/>
  <c r="DG11" i="6"/>
  <c r="CU11" i="4"/>
  <c r="BE4" i="4"/>
  <c r="BE9" i="4"/>
  <c r="BE10" i="4"/>
  <c r="BE11" i="4"/>
  <c r="BE12" i="4"/>
  <c r="BE37" i="4"/>
  <c r="DG4" i="6"/>
  <c r="CU4" i="4"/>
  <c r="BE236" i="6"/>
  <c r="BE237" i="4"/>
  <c r="BE236" i="5"/>
  <c r="EK236" i="6"/>
  <c r="CU236" i="6"/>
  <c r="EW238" i="6"/>
  <c r="DG9" i="6"/>
  <c r="DG10" i="6"/>
  <c r="DG12" i="6"/>
  <c r="EW11" i="6"/>
  <c r="FK16" i="4"/>
  <c r="EY27" i="4"/>
  <c r="FK237" i="4"/>
  <c r="FK66" i="4"/>
  <c r="FH54" i="4"/>
  <c r="FK56" i="4"/>
  <c r="FK69" i="4"/>
  <c r="FK65" i="4"/>
  <c r="FK239" i="4"/>
  <c r="EI14" i="4"/>
  <c r="EI24" i="4"/>
  <c r="EA29" i="4"/>
  <c r="EE29" i="4"/>
  <c r="DW60" i="4"/>
  <c r="EA60" i="4"/>
  <c r="EE60" i="4"/>
  <c r="EI61" i="4"/>
  <c r="DZ60" i="4"/>
  <c r="ED60" i="4"/>
  <c r="EH60" i="4"/>
  <c r="EI91" i="4"/>
  <c r="EI186" i="4"/>
  <c r="DW8" i="4"/>
  <c r="EI32" i="4"/>
  <c r="EI33" i="4"/>
  <c r="EI63" i="4"/>
  <c r="EI64" i="4"/>
  <c r="EI37" i="4"/>
  <c r="EI41" i="4"/>
  <c r="EI45" i="4"/>
  <c r="EI51" i="4"/>
  <c r="EI55" i="4"/>
  <c r="EI56" i="4"/>
  <c r="EI68" i="4"/>
  <c r="DZ76" i="4"/>
  <c r="EH76" i="4"/>
  <c r="EI112" i="4"/>
  <c r="EI84" i="4"/>
  <c r="EI88" i="4"/>
  <c r="EI92" i="4"/>
  <c r="EI113" i="4"/>
  <c r="EI122" i="4"/>
  <c r="EI123" i="4"/>
  <c r="EI124" i="4"/>
  <c r="EI190" i="4"/>
  <c r="DW54" i="4"/>
  <c r="EI96" i="4"/>
  <c r="EI97" i="4"/>
  <c r="EI98" i="4"/>
  <c r="DZ104" i="4"/>
  <c r="ED104" i="4"/>
  <c r="EH104" i="4"/>
  <c r="DZ116" i="4"/>
  <c r="ED116" i="4"/>
  <c r="EH116" i="4"/>
  <c r="DY116" i="4"/>
  <c r="EC116" i="4"/>
  <c r="EG116" i="4"/>
  <c r="EI127" i="4"/>
  <c r="EI128" i="4"/>
  <c r="EI131" i="4"/>
  <c r="EI132" i="4"/>
  <c r="EI135" i="4"/>
  <c r="EI136" i="4"/>
  <c r="EI139" i="4"/>
  <c r="EI140" i="4"/>
  <c r="EI158" i="4"/>
  <c r="EI237" i="4"/>
  <c r="EI242" i="4"/>
  <c r="EI77" i="4"/>
  <c r="EI78" i="4"/>
  <c r="EA76" i="4"/>
  <c r="EE76" i="4"/>
  <c r="DZ90" i="4"/>
  <c r="ED90" i="4"/>
  <c r="EH90" i="4"/>
  <c r="DY90" i="4"/>
  <c r="EC90" i="4"/>
  <c r="EG90" i="4"/>
  <c r="EI101" i="4"/>
  <c r="EI102" i="4"/>
  <c r="EI106" i="4"/>
  <c r="EI107" i="4"/>
  <c r="DW116" i="4"/>
  <c r="EA116" i="4"/>
  <c r="EE116" i="4"/>
  <c r="EI117" i="4"/>
  <c r="DX138" i="4"/>
  <c r="EB138" i="4"/>
  <c r="EF138" i="4"/>
  <c r="EI144" i="4"/>
  <c r="EI148" i="4"/>
  <c r="EI152" i="4"/>
  <c r="EI159" i="4"/>
  <c r="EI194" i="4"/>
  <c r="DW138" i="4"/>
  <c r="DW146" i="4"/>
  <c r="DW150" i="4"/>
  <c r="EI191" i="4"/>
  <c r="EI192" i="4"/>
  <c r="EI195" i="4"/>
  <c r="EI196" i="4"/>
  <c r="EI197" i="4"/>
  <c r="EI220" i="4"/>
  <c r="EI221" i="4"/>
  <c r="EI222" i="4"/>
  <c r="EI224" i="4"/>
  <c r="EI225" i="4"/>
  <c r="EI226" i="4"/>
  <c r="EI238" i="4"/>
  <c r="EI243" i="4"/>
  <c r="EI160" i="4"/>
  <c r="EI165" i="4"/>
  <c r="EI166" i="4"/>
  <c r="DZ164" i="4"/>
  <c r="ED164" i="4"/>
  <c r="EH164" i="4"/>
  <c r="EI200" i="4"/>
  <c r="EI206" i="4"/>
  <c r="EI210" i="4"/>
  <c r="EI215" i="4"/>
  <c r="EI216" i="4"/>
  <c r="EI247" i="4"/>
  <c r="DX164" i="4"/>
  <c r="EB164" i="4"/>
  <c r="EF164" i="4"/>
  <c r="EI169" i="4"/>
  <c r="EI173" i="4"/>
  <c r="EI174" i="4"/>
  <c r="DY193" i="4"/>
  <c r="EC193" i="4"/>
  <c r="EG193" i="4"/>
  <c r="EI203" i="4"/>
  <c r="EI213" i="4"/>
  <c r="DI8" i="4"/>
  <c r="DU53" i="4"/>
  <c r="DU7" i="4"/>
  <c r="DI13" i="4"/>
  <c r="DU23" i="4"/>
  <c r="DQ27" i="4"/>
  <c r="DU24" i="4"/>
  <c r="DL54" i="4"/>
  <c r="DP54" i="4"/>
  <c r="DT54" i="4"/>
  <c r="DU66" i="4"/>
  <c r="DU68" i="4"/>
  <c r="DI54" i="4"/>
  <c r="DU237" i="4"/>
  <c r="DU221" i="4"/>
  <c r="DU238" i="4"/>
  <c r="DU239" i="4"/>
  <c r="CS9" i="4"/>
  <c r="CG27" i="4"/>
  <c r="CK27" i="4"/>
  <c r="CO27" i="4"/>
  <c r="CS24" i="4"/>
  <c r="CG29" i="4"/>
  <c r="CK29" i="4"/>
  <c r="CO29" i="4"/>
  <c r="CS31" i="4"/>
  <c r="CG57" i="4"/>
  <c r="CM60" i="4"/>
  <c r="CQ60" i="4"/>
  <c r="CS78" i="4"/>
  <c r="CG76" i="4"/>
  <c r="CK76" i="4"/>
  <c r="CO76" i="4"/>
  <c r="CS79" i="4"/>
  <c r="CH27" i="4"/>
  <c r="CL27" i="4"/>
  <c r="CP27" i="4"/>
  <c r="CS32" i="4"/>
  <c r="CS33" i="4"/>
  <c r="CG60" i="4"/>
  <c r="CK60" i="4"/>
  <c r="CO60" i="4"/>
  <c r="CS61" i="4"/>
  <c r="CS81" i="4"/>
  <c r="CS194" i="4"/>
  <c r="CS62" i="4"/>
  <c r="CS63" i="4"/>
  <c r="CS64" i="4"/>
  <c r="CI76" i="4"/>
  <c r="CM76" i="4"/>
  <c r="CQ76" i="4"/>
  <c r="CS91" i="4"/>
  <c r="CS117" i="4"/>
  <c r="CS84" i="4"/>
  <c r="CS88" i="4"/>
  <c r="CS89" i="4"/>
  <c r="CS92" i="4"/>
  <c r="CS109" i="4"/>
  <c r="CS118" i="4"/>
  <c r="CS154" i="4"/>
  <c r="CG54" i="4"/>
  <c r="CI90" i="4"/>
  <c r="CM90" i="4"/>
  <c r="CQ90" i="4"/>
  <c r="CS94" i="4"/>
  <c r="CS113" i="4"/>
  <c r="CI116" i="4"/>
  <c r="CM116" i="4"/>
  <c r="CQ116" i="4"/>
  <c r="CS122" i="4"/>
  <c r="CS123" i="4"/>
  <c r="CS124" i="4"/>
  <c r="CS242" i="4"/>
  <c r="CS96" i="4"/>
  <c r="CS97" i="4"/>
  <c r="CS98" i="4"/>
  <c r="CJ104" i="4"/>
  <c r="CN104" i="4"/>
  <c r="CR104" i="4"/>
  <c r="CS127" i="4"/>
  <c r="CS128" i="4"/>
  <c r="CS131" i="4"/>
  <c r="CS132" i="4"/>
  <c r="CS135" i="4"/>
  <c r="CS136" i="4"/>
  <c r="CS139" i="4"/>
  <c r="CK138" i="4"/>
  <c r="CO138" i="4"/>
  <c r="CS140" i="4"/>
  <c r="CS158" i="4"/>
  <c r="CS237" i="4"/>
  <c r="CG138" i="4"/>
  <c r="CG146" i="4"/>
  <c r="CG150" i="4"/>
  <c r="CS191" i="4"/>
  <c r="CS192" i="4"/>
  <c r="CS195" i="4"/>
  <c r="CS196" i="4"/>
  <c r="CS197" i="4"/>
  <c r="CS220" i="4"/>
  <c r="CS221" i="4"/>
  <c r="CS222" i="4"/>
  <c r="CS224" i="4"/>
  <c r="CS225" i="4"/>
  <c r="CS226" i="4"/>
  <c r="CS238" i="4"/>
  <c r="CS239" i="4"/>
  <c r="CS243" i="4"/>
  <c r="CS244" i="4"/>
  <c r="CS245" i="4"/>
  <c r="CS160" i="4"/>
  <c r="CS166" i="4"/>
  <c r="CI193" i="4"/>
  <c r="CM193" i="4"/>
  <c r="CQ193" i="4"/>
  <c r="CS200" i="4"/>
  <c r="CS206" i="4"/>
  <c r="CS210" i="4"/>
  <c r="CS216" i="4"/>
  <c r="CS162" i="4"/>
  <c r="CH164" i="4"/>
  <c r="CL164" i="4"/>
  <c r="CP164" i="4"/>
  <c r="CS167" i="4"/>
  <c r="CS169" i="4"/>
  <c r="CS173" i="4"/>
  <c r="CS174" i="4"/>
  <c r="CS203" i="4"/>
  <c r="CS207" i="4"/>
  <c r="CS213" i="4"/>
  <c r="CG187" i="4"/>
  <c r="BV13" i="4"/>
  <c r="BZ13" i="4"/>
  <c r="CD13" i="4"/>
  <c r="CE26" i="4"/>
  <c r="CE35" i="4"/>
  <c r="CE37" i="4"/>
  <c r="CE51" i="4"/>
  <c r="CE52" i="4"/>
  <c r="CE66" i="4"/>
  <c r="CE68" i="4"/>
  <c r="CE25" i="4"/>
  <c r="CE9" i="4"/>
  <c r="BS8" i="4"/>
  <c r="CE15" i="4"/>
  <c r="CE12" i="4"/>
  <c r="CE16" i="4"/>
  <c r="CE18" i="4"/>
  <c r="CE19" i="4"/>
  <c r="BV27" i="4"/>
  <c r="BZ27" i="4"/>
  <c r="CD27" i="4"/>
  <c r="CE89" i="4"/>
  <c r="CE237" i="4"/>
  <c r="CE221" i="4"/>
  <c r="CE238" i="4"/>
  <c r="BC41" i="4"/>
  <c r="BC51" i="4"/>
  <c r="BC55" i="4"/>
  <c r="BC111" i="4"/>
  <c r="BC132" i="4"/>
  <c r="BC170" i="4"/>
  <c r="BC61" i="4"/>
  <c r="BC91" i="4"/>
  <c r="BC237" i="4"/>
  <c r="BC9" i="4"/>
  <c r="AQ8" i="4"/>
  <c r="AU8" i="4"/>
  <c r="AY8" i="4"/>
  <c r="BC10" i="4"/>
  <c r="AQ13" i="4"/>
  <c r="AU13" i="4"/>
  <c r="AY13" i="4"/>
  <c r="BC14" i="4"/>
  <c r="AT13" i="4"/>
  <c r="AX13" i="4"/>
  <c r="BB13" i="4"/>
  <c r="BC21" i="4"/>
  <c r="BC23" i="4"/>
  <c r="AQ27" i="4"/>
  <c r="AU27" i="4"/>
  <c r="AY27" i="4"/>
  <c r="BC24" i="4"/>
  <c r="AQ29" i="4"/>
  <c r="BC31" i="4"/>
  <c r="BC32" i="4"/>
  <c r="BC53" i="4"/>
  <c r="BC62" i="4"/>
  <c r="BC63" i="4"/>
  <c r="BC77" i="4"/>
  <c r="AQ76" i="4"/>
  <c r="AU76" i="4"/>
  <c r="AY76" i="4"/>
  <c r="BC78" i="4"/>
  <c r="BC84" i="4"/>
  <c r="BC85" i="4"/>
  <c r="BC88" i="4"/>
  <c r="BC89" i="4"/>
  <c r="BC92" i="4"/>
  <c r="BC93" i="4"/>
  <c r="BC100" i="4"/>
  <c r="BC101" i="4"/>
  <c r="BC105" i="4"/>
  <c r="BC106" i="4"/>
  <c r="BC113" i="4"/>
  <c r="AT116" i="4"/>
  <c r="AX116" i="4"/>
  <c r="BB116" i="4"/>
  <c r="AS116" i="4"/>
  <c r="AW116" i="4"/>
  <c r="BA116" i="4"/>
  <c r="BC122" i="4"/>
  <c r="BC123" i="4"/>
  <c r="BC141" i="4"/>
  <c r="BC194" i="4"/>
  <c r="BC238" i="4"/>
  <c r="BC242" i="4"/>
  <c r="AT54" i="4"/>
  <c r="AX54" i="4"/>
  <c r="BB54" i="4"/>
  <c r="AR76" i="4"/>
  <c r="AV76" i="4"/>
  <c r="AZ76" i="4"/>
  <c r="AR104" i="4"/>
  <c r="AV104" i="4"/>
  <c r="AZ104" i="4"/>
  <c r="BC186" i="4"/>
  <c r="BC243" i="4"/>
  <c r="BC143" i="4"/>
  <c r="BC147" i="4"/>
  <c r="BC149" i="4"/>
  <c r="BC151" i="4"/>
  <c r="BC153" i="4"/>
  <c r="BC171" i="4"/>
  <c r="BC215" i="4"/>
  <c r="AT164" i="4"/>
  <c r="BC173" i="4"/>
  <c r="BC174" i="4"/>
  <c r="BC179" i="4"/>
  <c r="BC180" i="4"/>
  <c r="BC181" i="4"/>
  <c r="BC188" i="4"/>
  <c r="BC206" i="4"/>
  <c r="BC210" i="4"/>
  <c r="BC226" i="4"/>
  <c r="BC135" i="4"/>
  <c r="BC136" i="4"/>
  <c r="BC139" i="4"/>
  <c r="BC140" i="4"/>
  <c r="AQ157" i="4"/>
  <c r="AU157" i="4"/>
  <c r="AY157" i="4"/>
  <c r="BC158" i="4"/>
  <c r="AT157" i="4"/>
  <c r="AX157" i="4"/>
  <c r="BB157" i="4"/>
  <c r="BC166" i="4"/>
  <c r="AU164" i="4"/>
  <c r="BC167" i="4"/>
  <c r="AY164" i="4"/>
  <c r="BC175" i="4"/>
  <c r="BC176" i="4"/>
  <c r="BC177" i="4"/>
  <c r="BC160" i="4"/>
  <c r="BC165" i="4"/>
  <c r="AR172" i="4"/>
  <c r="AV172" i="4"/>
  <c r="AZ172" i="4"/>
  <c r="BC196" i="4"/>
  <c r="BC197" i="4"/>
  <c r="BC204" i="4"/>
  <c r="BC208" i="4"/>
  <c r="BC212" i="4"/>
  <c r="BC213" i="4"/>
  <c r="BC216" i="4"/>
  <c r="BC239" i="4"/>
  <c r="BC244" i="4"/>
  <c r="BC245" i="4"/>
  <c r="AR164" i="4"/>
  <c r="AV164" i="4"/>
  <c r="AZ164" i="4"/>
  <c r="EW9" i="6"/>
  <c r="EW37" i="6"/>
  <c r="EW10" i="6"/>
  <c r="CY8" i="5"/>
  <c r="DC8" i="5"/>
  <c r="CX8" i="5"/>
  <c r="DB8" i="5"/>
  <c r="DF8" i="5"/>
  <c r="CX236" i="5"/>
  <c r="DB236" i="5"/>
  <c r="BQ9" i="5"/>
  <c r="BQ23" i="5"/>
  <c r="BQ12" i="5"/>
  <c r="BQ237" i="5"/>
  <c r="BQ238" i="5"/>
  <c r="EK8" i="6"/>
  <c r="EW237" i="6"/>
  <c r="EW239" i="6"/>
  <c r="DG237" i="6"/>
  <c r="DG238" i="6"/>
  <c r="DG239" i="6"/>
  <c r="CX236" i="6"/>
  <c r="DB236" i="6"/>
  <c r="DF236" i="6"/>
  <c r="BE8" i="6"/>
  <c r="BQ237" i="6"/>
  <c r="BQ238" i="6"/>
  <c r="BQ239" i="6"/>
  <c r="BH236" i="6"/>
  <c r="BL236" i="6"/>
  <c r="BP236" i="6"/>
  <c r="CG6" i="5"/>
  <c r="E61" i="23" s="1"/>
  <c r="CM43" i="5"/>
  <c r="CM47" i="5" s="1"/>
  <c r="BY43" i="5"/>
  <c r="BY47" i="5" s="1"/>
  <c r="EY6" i="6"/>
  <c r="DW6" i="6"/>
  <c r="DY43" i="6"/>
  <c r="DY47" i="6" s="1"/>
  <c r="EG43" i="6"/>
  <c r="EG47" i="6" s="1"/>
  <c r="DI6" i="6"/>
  <c r="CG6" i="6"/>
  <c r="CQ43" i="6"/>
  <c r="CQ47" i="6" s="1"/>
  <c r="BS6" i="6"/>
  <c r="AQ6" i="6"/>
  <c r="AW43" i="6"/>
  <c r="AW47" i="6" s="1"/>
  <c r="EY6" i="7"/>
  <c r="EG43" i="7"/>
  <c r="EG47" i="7" s="1"/>
  <c r="EW9" i="7"/>
  <c r="EW37" i="7"/>
  <c r="EW10" i="7"/>
  <c r="EW11" i="7"/>
  <c r="EW12" i="7"/>
  <c r="EW53" i="7"/>
  <c r="EW52" i="7"/>
  <c r="EW56" i="7"/>
  <c r="EW237" i="7"/>
  <c r="EW238" i="7"/>
  <c r="DG50" i="7"/>
  <c r="CV8" i="7"/>
  <c r="DG9" i="7"/>
  <c r="DG10" i="7"/>
  <c r="DG11" i="7"/>
  <c r="DG237" i="7"/>
  <c r="DG238" i="7"/>
  <c r="CW236" i="7"/>
  <c r="CX236" i="7"/>
  <c r="DB236" i="7"/>
  <c r="DF236" i="7"/>
  <c r="BQ4" i="7"/>
  <c r="BQ11" i="7"/>
  <c r="BQ37" i="7"/>
  <c r="BQ50" i="7"/>
  <c r="BQ30" i="7"/>
  <c r="BQ56" i="7"/>
  <c r="BQ237" i="7"/>
  <c r="BJ8" i="7"/>
  <c r="BQ12" i="7"/>
  <c r="BQ18" i="7"/>
  <c r="BQ23" i="7"/>
  <c r="BQ10" i="7"/>
  <c r="BQ238" i="7"/>
  <c r="BF236" i="7"/>
  <c r="BQ53" i="7"/>
  <c r="AR218" i="7"/>
  <c r="AV218" i="7"/>
  <c r="AZ218" i="7"/>
  <c r="AT156" i="7"/>
  <c r="AX156" i="7"/>
  <c r="BB156" i="7"/>
  <c r="AS156" i="7"/>
  <c r="AW156" i="7"/>
  <c r="AZ156" i="7"/>
  <c r="AV156" i="7"/>
  <c r="AR156" i="7"/>
  <c r="AW115" i="7"/>
  <c r="BA115" i="7"/>
  <c r="AR115" i="7"/>
  <c r="AV115" i="7"/>
  <c r="AZ115" i="7"/>
  <c r="AR75" i="7"/>
  <c r="AV75" i="7"/>
  <c r="AZ75" i="7"/>
  <c r="B43" i="8"/>
  <c r="B47" i="8" s="1"/>
  <c r="F43" i="8"/>
  <c r="F47" i="8" s="1"/>
  <c r="J43" i="8"/>
  <c r="J47" i="8" s="1"/>
  <c r="AM218" i="8"/>
  <c r="AD218" i="8"/>
  <c r="AH218" i="8"/>
  <c r="AL218" i="8"/>
  <c r="AI156" i="8"/>
  <c r="AO156" i="8"/>
  <c r="AC156" i="8"/>
  <c r="AM156" i="8"/>
  <c r="AE156" i="8"/>
  <c r="AK156" i="8"/>
  <c r="AD156" i="8"/>
  <c r="AH156" i="8"/>
  <c r="AL156" i="8"/>
  <c r="AN115" i="8"/>
  <c r="AM115" i="8"/>
  <c r="AD115" i="8"/>
  <c r="AH115" i="8"/>
  <c r="AL115" i="8"/>
  <c r="AD6" i="8"/>
  <c r="AH6" i="8"/>
  <c r="AL6" i="8"/>
  <c r="M50" i="1"/>
  <c r="AA50" i="8"/>
  <c r="X241" i="8"/>
  <c r="X227" i="8"/>
  <c r="AB227" i="8" s="1"/>
  <c r="X223" i="8"/>
  <c r="AB223" i="8" s="1"/>
  <c r="X219" i="8"/>
  <c r="AB219" i="8" s="1"/>
  <c r="X214" i="8"/>
  <c r="AB214" i="8" s="1"/>
  <c r="X205" i="8"/>
  <c r="AB205" i="8" s="1"/>
  <c r="X193" i="8"/>
  <c r="AB193" i="8" s="1"/>
  <c r="X187" i="8"/>
  <c r="AB187" i="8" s="1"/>
  <c r="X182" i="8"/>
  <c r="AB182" i="8" s="1"/>
  <c r="X178" i="8"/>
  <c r="AB178" i="8" s="1"/>
  <c r="X172" i="8"/>
  <c r="AB172" i="8" s="1"/>
  <c r="X164" i="8"/>
  <c r="AB164" i="8" s="1"/>
  <c r="X157" i="8"/>
  <c r="AB157" i="8" s="1"/>
  <c r="X150" i="8"/>
  <c r="AB150" i="8" s="1"/>
  <c r="X146" i="8"/>
  <c r="AB146" i="8" s="1"/>
  <c r="X138" i="8"/>
  <c r="AB138" i="8" s="1"/>
  <c r="X133" i="8"/>
  <c r="AB133" i="8" s="1"/>
  <c r="X116" i="8"/>
  <c r="AB116" i="8" s="1"/>
  <c r="X104" i="8"/>
  <c r="AB104" i="8" s="1"/>
  <c r="X90" i="8"/>
  <c r="AB90" i="8" s="1"/>
  <c r="X76" i="8"/>
  <c r="AB76" i="8" s="1"/>
  <c r="X60" i="8"/>
  <c r="AB60" i="8" s="1"/>
  <c r="X57" i="8"/>
  <c r="X54" i="8"/>
  <c r="AB54" i="8" s="1"/>
  <c r="X29" i="8"/>
  <c r="AB29" i="8" s="1"/>
  <c r="X27" i="8"/>
  <c r="X13" i="8"/>
  <c r="X8" i="8"/>
  <c r="W236" i="8"/>
  <c r="W187" i="8"/>
  <c r="W133" i="8"/>
  <c r="W87" i="8"/>
  <c r="W38" i="8"/>
  <c r="W13" i="8"/>
  <c r="V227" i="8"/>
  <c r="V214" i="8"/>
  <c r="V209" i="8"/>
  <c r="V178" i="8"/>
  <c r="V146" i="8"/>
  <c r="V104" i="8"/>
  <c r="V54" i="8"/>
  <c r="U227" i="8"/>
  <c r="U214" i="8"/>
  <c r="U205" i="8"/>
  <c r="U129" i="8"/>
  <c r="U116" i="8"/>
  <c r="U87" i="8"/>
  <c r="U60" i="8"/>
  <c r="U57" i="8"/>
  <c r="F295" i="23" s="1"/>
  <c r="U38" i="8"/>
  <c r="T241" i="8"/>
  <c r="EB296" i="23" s="1"/>
  <c r="T236" i="8"/>
  <c r="T223" i="8"/>
  <c r="T219" i="8"/>
  <c r="T214" i="8"/>
  <c r="T209" i="8"/>
  <c r="T205" i="8"/>
  <c r="T193" i="8"/>
  <c r="T187" i="8"/>
  <c r="T182" i="8"/>
  <c r="T178" i="8"/>
  <c r="T172" i="8"/>
  <c r="T164" i="8"/>
  <c r="T157" i="8"/>
  <c r="T150" i="8"/>
  <c r="T146" i="8"/>
  <c r="T138" i="8"/>
  <c r="T133" i="8"/>
  <c r="T129" i="8"/>
  <c r="T116" i="8"/>
  <c r="T104" i="8"/>
  <c r="T90" i="8"/>
  <c r="T76" i="8"/>
  <c r="T60" i="8"/>
  <c r="T57" i="8"/>
  <c r="F296" i="23" s="1"/>
  <c r="T54" i="8"/>
  <c r="T38" i="8"/>
  <c r="T29" i="8"/>
  <c r="T27" i="8"/>
  <c r="T13" i="8"/>
  <c r="T8" i="8"/>
  <c r="S223" i="8"/>
  <c r="S205" i="8"/>
  <c r="S129" i="8"/>
  <c r="S87" i="8"/>
  <c r="S76" i="8"/>
  <c r="S13" i="8"/>
  <c r="R236" i="8"/>
  <c r="R227" i="8"/>
  <c r="R187" i="8"/>
  <c r="R150" i="8"/>
  <c r="R129" i="8"/>
  <c r="R116" i="8"/>
  <c r="R90" i="8"/>
  <c r="R87" i="8"/>
  <c r="R57" i="8"/>
  <c r="F298" i="23" s="1"/>
  <c r="R54" i="8"/>
  <c r="Q241" i="8"/>
  <c r="EB299" i="23" s="1"/>
  <c r="Q236" i="8"/>
  <c r="Q223" i="8"/>
  <c r="Q219" i="8"/>
  <c r="Q205" i="8"/>
  <c r="Q193" i="8"/>
  <c r="Q187" i="8"/>
  <c r="Q182" i="8"/>
  <c r="Q178" i="8"/>
  <c r="Q157" i="8"/>
  <c r="Q150" i="8"/>
  <c r="Q146" i="8"/>
  <c r="Q138" i="8"/>
  <c r="Q133" i="8"/>
  <c r="Q129" i="8"/>
  <c r="Q116" i="8"/>
  <c r="Q90" i="8"/>
  <c r="Q76" i="8"/>
  <c r="Q57" i="8"/>
  <c r="F299" i="23" s="1"/>
  <c r="Q54" i="8"/>
  <c r="Q38" i="8"/>
  <c r="Q29" i="8"/>
  <c r="Q27" i="8"/>
  <c r="Q13" i="8"/>
  <c r="Q8" i="8"/>
  <c r="Y187" i="8"/>
  <c r="Z182" i="8"/>
  <c r="Q172" i="8"/>
  <c r="Y164" i="8"/>
  <c r="Z157" i="8"/>
  <c r="Y157" i="8"/>
  <c r="Y150" i="8"/>
  <c r="Y138" i="8"/>
  <c r="Z133" i="8"/>
  <c r="Y133" i="8"/>
  <c r="Y129" i="8"/>
  <c r="Y104" i="8"/>
  <c r="Q104" i="8"/>
  <c r="Z90" i="8"/>
  <c r="Y90" i="8"/>
  <c r="Y87" i="8"/>
  <c r="Y60" i="8"/>
  <c r="W60" i="8"/>
  <c r="Z57" i="8"/>
  <c r="F290" i="23" s="1"/>
  <c r="Y57" i="8"/>
  <c r="F291" i="23" s="1"/>
  <c r="Y54" i="8"/>
  <c r="Y29" i="8"/>
  <c r="Z27" i="8"/>
  <c r="Y27" i="8"/>
  <c r="Y13" i="8"/>
  <c r="P247" i="8"/>
  <c r="P246" i="8"/>
  <c r="P245" i="8"/>
  <c r="P244" i="8"/>
  <c r="P243" i="8"/>
  <c r="P242" i="8"/>
  <c r="P239" i="8"/>
  <c r="EA300" i="23" s="1"/>
  <c r="P238" i="8"/>
  <c r="DZ300" i="23" s="1"/>
  <c r="P237" i="8"/>
  <c r="DY300" i="23" s="1"/>
  <c r="P229" i="8"/>
  <c r="DX300" i="23" s="1"/>
  <c r="P228" i="8"/>
  <c r="DW300" i="23" s="1"/>
  <c r="P226" i="8"/>
  <c r="DV300" i="23" s="1"/>
  <c r="P225" i="8"/>
  <c r="DU300" i="23" s="1"/>
  <c r="P224" i="8"/>
  <c r="DT300" i="23" s="1"/>
  <c r="P222" i="8"/>
  <c r="DS300" i="23" s="1"/>
  <c r="P221" i="8"/>
  <c r="DR300" i="23" s="1"/>
  <c r="P220" i="8"/>
  <c r="DQ300" i="23" s="1"/>
  <c r="P216" i="8"/>
  <c r="DP300" i="23" s="1"/>
  <c r="P215" i="8"/>
  <c r="DO300" i="23" s="1"/>
  <c r="P213" i="8"/>
  <c r="DN300" i="23" s="1"/>
  <c r="P212" i="8"/>
  <c r="DM300" i="23" s="1"/>
  <c r="P211" i="8"/>
  <c r="DL300" i="23" s="1"/>
  <c r="P210" i="8"/>
  <c r="DK300" i="23" s="1"/>
  <c r="P208" i="8"/>
  <c r="DJ300" i="23" s="1"/>
  <c r="P207" i="8"/>
  <c r="DI300" i="23" s="1"/>
  <c r="P206" i="8"/>
  <c r="DH300" i="23" s="1"/>
  <c r="P204" i="8"/>
  <c r="DG300" i="23" s="1"/>
  <c r="P203" i="8"/>
  <c r="DF300" i="23" s="1"/>
  <c r="P202" i="8"/>
  <c r="DE300" i="23" s="1"/>
  <c r="P201" i="8"/>
  <c r="DD300" i="23" s="1"/>
  <c r="P200" i="8"/>
  <c r="DC300" i="23" s="1"/>
  <c r="P199" i="8"/>
  <c r="DB300" i="23" s="1"/>
  <c r="P198" i="8"/>
  <c r="DA300" i="23" s="1"/>
  <c r="P197" i="8"/>
  <c r="CZ300" i="23" s="1"/>
  <c r="P196" i="8"/>
  <c r="CY300" i="23" s="1"/>
  <c r="P195" i="8"/>
  <c r="CX300" i="23" s="1"/>
  <c r="P194" i="8"/>
  <c r="CW300" i="23" s="1"/>
  <c r="P192" i="8"/>
  <c r="CV300" i="23" s="1"/>
  <c r="P191" i="8"/>
  <c r="CU300" i="23" s="1"/>
  <c r="P190" i="8"/>
  <c r="CT300" i="23" s="1"/>
  <c r="P189" i="8"/>
  <c r="CS300" i="23" s="1"/>
  <c r="P188" i="8"/>
  <c r="CR300" i="23" s="1"/>
  <c r="P186" i="8"/>
  <c r="CQ300" i="23" s="1"/>
  <c r="P185" i="8"/>
  <c r="CP300" i="23" s="1"/>
  <c r="P184" i="8"/>
  <c r="CO300" i="23" s="1"/>
  <c r="P183" i="8"/>
  <c r="CN300" i="23" s="1"/>
  <c r="P181" i="8"/>
  <c r="CM300" i="23" s="1"/>
  <c r="P180" i="8"/>
  <c r="CL300" i="23" s="1"/>
  <c r="P179" i="8"/>
  <c r="CK300" i="23" s="1"/>
  <c r="P177" i="8"/>
  <c r="CJ300" i="23" s="1"/>
  <c r="P176" i="8"/>
  <c r="CI300" i="23" s="1"/>
  <c r="P175" i="8"/>
  <c r="CH300" i="23" s="1"/>
  <c r="P174" i="8"/>
  <c r="CG300" i="23" s="1"/>
  <c r="P173" i="8"/>
  <c r="CF300" i="23" s="1"/>
  <c r="P171" i="8"/>
  <c r="CE300" i="23" s="1"/>
  <c r="P170" i="8"/>
  <c r="CD300" i="23" s="1"/>
  <c r="P169" i="8"/>
  <c r="CC300" i="23" s="1"/>
  <c r="P168" i="8"/>
  <c r="CB300" i="23" s="1"/>
  <c r="P167" i="8"/>
  <c r="CA300" i="23" s="1"/>
  <c r="P166" i="8"/>
  <c r="BZ300" i="23" s="1"/>
  <c r="P165" i="8"/>
  <c r="BY300" i="23" s="1"/>
  <c r="P162" i="8"/>
  <c r="BX300" i="23" s="1"/>
  <c r="P161" i="8"/>
  <c r="BW300" i="23" s="1"/>
  <c r="P160" i="8"/>
  <c r="BV300" i="23" s="1"/>
  <c r="P159" i="8"/>
  <c r="BU300" i="23" s="1"/>
  <c r="P158" i="8"/>
  <c r="BT300" i="23" s="1"/>
  <c r="P154" i="8"/>
  <c r="BS300" i="23" s="1"/>
  <c r="P153" i="8"/>
  <c r="BR300" i="23" s="1"/>
  <c r="P152" i="8"/>
  <c r="BQ300" i="23" s="1"/>
  <c r="P151" i="8"/>
  <c r="BP300" i="23" s="1"/>
  <c r="P149" i="8"/>
  <c r="BO300" i="23" s="1"/>
  <c r="P148" i="8"/>
  <c r="BN300" i="23" s="1"/>
  <c r="P147" i="8"/>
  <c r="BM300" i="23" s="1"/>
  <c r="P145" i="8"/>
  <c r="BL300" i="23" s="1"/>
  <c r="P144" i="8"/>
  <c r="BK300" i="23" s="1"/>
  <c r="P143" i="8"/>
  <c r="BJ300" i="23" s="1"/>
  <c r="P142" i="8"/>
  <c r="BI300" i="23" s="1"/>
  <c r="P141" i="8"/>
  <c r="BH300" i="23" s="1"/>
  <c r="P140" i="8"/>
  <c r="BG300" i="23" s="1"/>
  <c r="P139" i="8"/>
  <c r="BF300" i="23" s="1"/>
  <c r="P137" i="8"/>
  <c r="BE300" i="23" s="1"/>
  <c r="P136" i="8"/>
  <c r="BD300" i="23" s="1"/>
  <c r="P135" i="8"/>
  <c r="BC300" i="23" s="1"/>
  <c r="P134" i="8"/>
  <c r="BB300" i="23" s="1"/>
  <c r="P132" i="8"/>
  <c r="BA300" i="23" s="1"/>
  <c r="P131" i="8"/>
  <c r="AZ300" i="23" s="1"/>
  <c r="P130" i="8"/>
  <c r="AY300" i="23" s="1"/>
  <c r="P128" i="8"/>
  <c r="AX300" i="23" s="1"/>
  <c r="P127" i="8"/>
  <c r="AW300" i="23" s="1"/>
  <c r="P126" i="8"/>
  <c r="AV300" i="23" s="1"/>
  <c r="P125" i="8"/>
  <c r="AU300" i="23" s="1"/>
  <c r="P124" i="8"/>
  <c r="AT300" i="23" s="1"/>
  <c r="P123" i="8"/>
  <c r="AS300" i="23" s="1"/>
  <c r="P122" i="8"/>
  <c r="AR300" i="23" s="1"/>
  <c r="P121" i="8"/>
  <c r="AQ300" i="23" s="1"/>
  <c r="P120" i="8"/>
  <c r="AP300" i="23" s="1"/>
  <c r="P119" i="8"/>
  <c r="AO300" i="23" s="1"/>
  <c r="P118" i="8"/>
  <c r="AN300" i="23" s="1"/>
  <c r="P117" i="8"/>
  <c r="AM300" i="23" s="1"/>
  <c r="P113" i="8"/>
  <c r="AL300" i="23" s="1"/>
  <c r="P112" i="8"/>
  <c r="AK300" i="23" s="1"/>
  <c r="P111" i="8"/>
  <c r="AJ300" i="23" s="1"/>
  <c r="P110" i="8"/>
  <c r="AI300" i="23" s="1"/>
  <c r="P109" i="8"/>
  <c r="AH300" i="23" s="1"/>
  <c r="P108" i="8"/>
  <c r="AG300" i="23" s="1"/>
  <c r="P107" i="8"/>
  <c r="AF300" i="23" s="1"/>
  <c r="P106" i="8"/>
  <c r="AE300" i="23" s="1"/>
  <c r="P105" i="8"/>
  <c r="AD300" i="23" s="1"/>
  <c r="P102" i="8"/>
  <c r="AC300" i="23" s="1"/>
  <c r="P101" i="8"/>
  <c r="AB300" i="23" s="1"/>
  <c r="P100" i="8"/>
  <c r="AA300" i="23" s="1"/>
  <c r="P99" i="8"/>
  <c r="Z300" i="23" s="1"/>
  <c r="P98" i="8"/>
  <c r="Y300" i="23" s="1"/>
  <c r="P97" i="8"/>
  <c r="X300" i="23" s="1"/>
  <c r="P96" i="8"/>
  <c r="W300" i="23" s="1"/>
  <c r="P95" i="8"/>
  <c r="V300" i="23" s="1"/>
  <c r="P94" i="8"/>
  <c r="U300" i="23" s="1"/>
  <c r="P93" i="8"/>
  <c r="T300" i="23" s="1"/>
  <c r="P92" i="8"/>
  <c r="S300" i="23" s="1"/>
  <c r="P91" i="8"/>
  <c r="R300" i="23" s="1"/>
  <c r="P89" i="8"/>
  <c r="P88" i="8"/>
  <c r="Q300" i="23" s="1"/>
  <c r="P86" i="8"/>
  <c r="P300" i="23" s="1"/>
  <c r="P85" i="8"/>
  <c r="O300" i="23" s="1"/>
  <c r="P84" i="8"/>
  <c r="N300" i="23" s="1"/>
  <c r="P83" i="8"/>
  <c r="M300" i="23" s="1"/>
  <c r="P82" i="8"/>
  <c r="L300" i="23" s="1"/>
  <c r="P81" i="8"/>
  <c r="K300" i="23" s="1"/>
  <c r="P80" i="8"/>
  <c r="J300" i="23" s="1"/>
  <c r="P79" i="8"/>
  <c r="I300" i="23" s="1"/>
  <c r="P78" i="8"/>
  <c r="H300" i="23" s="1"/>
  <c r="P77" i="8"/>
  <c r="G300" i="23" s="1"/>
  <c r="P69" i="8"/>
  <c r="P68" i="8"/>
  <c r="P67" i="8"/>
  <c r="P66" i="8"/>
  <c r="P65" i="8"/>
  <c r="P64" i="8"/>
  <c r="P63" i="8"/>
  <c r="P62" i="8"/>
  <c r="P61" i="8"/>
  <c r="P55" i="8"/>
  <c r="P51" i="8"/>
  <c r="P46" i="8"/>
  <c r="P45" i="8"/>
  <c r="P44" i="8"/>
  <c r="P42" i="8"/>
  <c r="P41" i="8"/>
  <c r="P40" i="8"/>
  <c r="P39" i="8"/>
  <c r="P37" i="8"/>
  <c r="P36" i="8"/>
  <c r="P35" i="8"/>
  <c r="P34" i="8"/>
  <c r="P33" i="8"/>
  <c r="P32" i="8"/>
  <c r="P31" i="8"/>
  <c r="P26" i="8"/>
  <c r="P25" i="8"/>
  <c r="P24" i="8"/>
  <c r="P21" i="8"/>
  <c r="P20" i="8"/>
  <c r="P19" i="8"/>
  <c r="P16" i="8"/>
  <c r="P15" i="8"/>
  <c r="P14" i="8"/>
  <c r="P12" i="8"/>
  <c r="P11" i="8"/>
  <c r="P10" i="8"/>
  <c r="P9" i="8"/>
  <c r="P7" i="8"/>
  <c r="Z241" i="8"/>
  <c r="EB290" i="23" s="1"/>
  <c r="Z236" i="8"/>
  <c r="Z227" i="8"/>
  <c r="Z223" i="8"/>
  <c r="Z219" i="8"/>
  <c r="Z214" i="8"/>
  <c r="Z209" i="8"/>
  <c r="Z205" i="8"/>
  <c r="Z193" i="8"/>
  <c r="Z187" i="8"/>
  <c r="Z178" i="8"/>
  <c r="Z172" i="8"/>
  <c r="Z164" i="8"/>
  <c r="Z150" i="8"/>
  <c r="Z146" i="8"/>
  <c r="Z138" i="8"/>
  <c r="Z129" i="8"/>
  <c r="Z116" i="8"/>
  <c r="Z104" i="8"/>
  <c r="Z87" i="8"/>
  <c r="Z76" i="8"/>
  <c r="Z60" i="8"/>
  <c r="Z54" i="8"/>
  <c r="Z38" i="8"/>
  <c r="Z29" i="8"/>
  <c r="Z13" i="8"/>
  <c r="Z8" i="8"/>
  <c r="Y241" i="8"/>
  <c r="EB291" i="23" s="1"/>
  <c r="Y236" i="8"/>
  <c r="Y227" i="8"/>
  <c r="Y223" i="8"/>
  <c r="Y219" i="8"/>
  <c r="Y214" i="8"/>
  <c r="Y209" i="8"/>
  <c r="Y205" i="8"/>
  <c r="Y193" i="8"/>
  <c r="Y182" i="8"/>
  <c r="Y178" i="8"/>
  <c r="Y172" i="8"/>
  <c r="Y146" i="8"/>
  <c r="Y116" i="8"/>
  <c r="Y76" i="8"/>
  <c r="Y38" i="8"/>
  <c r="Y8" i="8"/>
  <c r="X236" i="8"/>
  <c r="AB236" i="8" s="1"/>
  <c r="X129" i="8"/>
  <c r="AB129" i="8" s="1"/>
  <c r="X87" i="8"/>
  <c r="AB87" i="8" s="1"/>
  <c r="X38" i="8"/>
  <c r="AB38" i="8" s="1"/>
  <c r="W214" i="8"/>
  <c r="W57" i="8"/>
  <c r="V87" i="8"/>
  <c r="U223" i="8"/>
  <c r="T227" i="8"/>
  <c r="T87" i="8"/>
  <c r="S227" i="8"/>
  <c r="S214" i="8"/>
  <c r="S172" i="8"/>
  <c r="S57" i="8"/>
  <c r="F297" i="23" s="1"/>
  <c r="R214" i="8"/>
  <c r="R13" i="8"/>
  <c r="Q227" i="8"/>
  <c r="Q214" i="8"/>
  <c r="Q209" i="8"/>
  <c r="Q164" i="8"/>
  <c r="Q87" i="8"/>
  <c r="Q60" i="8"/>
  <c r="O247" i="8"/>
  <c r="O246" i="8"/>
  <c r="O245" i="8"/>
  <c r="O244" i="8"/>
  <c r="O243" i="8"/>
  <c r="O242" i="8"/>
  <c r="O239" i="8"/>
  <c r="O238" i="8"/>
  <c r="O237" i="8"/>
  <c r="DY301" i="23" s="1"/>
  <c r="O229" i="8"/>
  <c r="DX301" i="23" s="1"/>
  <c r="O228" i="8"/>
  <c r="O226" i="8"/>
  <c r="O225" i="8"/>
  <c r="DU301" i="23" s="1"/>
  <c r="O224" i="8"/>
  <c r="DT301" i="23" s="1"/>
  <c r="O222" i="8"/>
  <c r="O221" i="8"/>
  <c r="O220" i="8"/>
  <c r="DQ301" i="23" s="1"/>
  <c r="O216" i="8"/>
  <c r="DP301" i="23" s="1"/>
  <c r="O215" i="8"/>
  <c r="O213" i="8"/>
  <c r="O212" i="8"/>
  <c r="DM301" i="23" s="1"/>
  <c r="O211" i="8"/>
  <c r="DL301" i="23" s="1"/>
  <c r="O210" i="8"/>
  <c r="O208" i="8"/>
  <c r="O207" i="8"/>
  <c r="DI301" i="23" s="1"/>
  <c r="O206" i="8"/>
  <c r="DH301" i="23" s="1"/>
  <c r="O204" i="8"/>
  <c r="O203" i="8"/>
  <c r="O202" i="8"/>
  <c r="DE301" i="23" s="1"/>
  <c r="O201" i="8"/>
  <c r="DD301" i="23" s="1"/>
  <c r="O200" i="8"/>
  <c r="O199" i="8"/>
  <c r="O198" i="8"/>
  <c r="DA301" i="23" s="1"/>
  <c r="O197" i="8"/>
  <c r="CZ301" i="23" s="1"/>
  <c r="O196" i="8"/>
  <c r="O195" i="8"/>
  <c r="O194" i="8"/>
  <c r="CW301" i="23" s="1"/>
  <c r="O192" i="8"/>
  <c r="CV301" i="23" s="1"/>
  <c r="O191" i="8"/>
  <c r="O190" i="8"/>
  <c r="O189" i="8"/>
  <c r="CS301" i="23" s="1"/>
  <c r="O188" i="8"/>
  <c r="CR301" i="23" s="1"/>
  <c r="O186" i="8"/>
  <c r="O185" i="8"/>
  <c r="O184" i="8"/>
  <c r="CO301" i="23" s="1"/>
  <c r="O183" i="8"/>
  <c r="CN301" i="23" s="1"/>
  <c r="O181" i="8"/>
  <c r="O180" i="8"/>
  <c r="O179" i="8"/>
  <c r="CK301" i="23" s="1"/>
  <c r="O177" i="8"/>
  <c r="CJ301" i="23" s="1"/>
  <c r="O176" i="8"/>
  <c r="O175" i="8"/>
  <c r="O174" i="8"/>
  <c r="CG301" i="23" s="1"/>
  <c r="O173" i="8"/>
  <c r="CF301" i="23" s="1"/>
  <c r="O171" i="8"/>
  <c r="O170" i="8"/>
  <c r="O169" i="8"/>
  <c r="CC301" i="23" s="1"/>
  <c r="O168" i="8"/>
  <c r="CB301" i="23" s="1"/>
  <c r="O167" i="8"/>
  <c r="O166" i="8"/>
  <c r="O165" i="8"/>
  <c r="BY301" i="23" s="1"/>
  <c r="O162" i="8"/>
  <c r="BX301" i="23" s="1"/>
  <c r="O161" i="8"/>
  <c r="O160" i="8"/>
  <c r="O159" i="8"/>
  <c r="BU301" i="23" s="1"/>
  <c r="O158" i="8"/>
  <c r="BT301" i="23" s="1"/>
  <c r="O154" i="8"/>
  <c r="O153" i="8"/>
  <c r="O152" i="8"/>
  <c r="BQ301" i="23" s="1"/>
  <c r="O151" i="8"/>
  <c r="BP301" i="23" s="1"/>
  <c r="O149" i="8"/>
  <c r="O148" i="8"/>
  <c r="O147" i="8"/>
  <c r="BM301" i="23" s="1"/>
  <c r="O145" i="8"/>
  <c r="BL301" i="23" s="1"/>
  <c r="O144" i="8"/>
  <c r="BK301" i="23" s="1"/>
  <c r="O143" i="8"/>
  <c r="O142" i="8"/>
  <c r="BI301" i="23" s="1"/>
  <c r="O141" i="8"/>
  <c r="BH301" i="23" s="1"/>
  <c r="O140" i="8"/>
  <c r="BG301" i="23" s="1"/>
  <c r="O139" i="8"/>
  <c r="O137" i="8"/>
  <c r="BE301" i="23" s="1"/>
  <c r="O136" i="8"/>
  <c r="BD301" i="23" s="1"/>
  <c r="O135" i="8"/>
  <c r="BC301" i="23" s="1"/>
  <c r="O134" i="8"/>
  <c r="O132" i="8"/>
  <c r="BA301" i="23" s="1"/>
  <c r="O131" i="8"/>
  <c r="AZ301" i="23" s="1"/>
  <c r="O130" i="8"/>
  <c r="AY301" i="23" s="1"/>
  <c r="O128" i="8"/>
  <c r="O127" i="8"/>
  <c r="AW301" i="23" s="1"/>
  <c r="O126" i="8"/>
  <c r="AV301" i="23" s="1"/>
  <c r="O125" i="8"/>
  <c r="AU301" i="23" s="1"/>
  <c r="O124" i="8"/>
  <c r="O123" i="8"/>
  <c r="AS301" i="23" s="1"/>
  <c r="O122" i="8"/>
  <c r="AR301" i="23" s="1"/>
  <c r="O121" i="8"/>
  <c r="AQ301" i="23" s="1"/>
  <c r="O120" i="8"/>
  <c r="O119" i="8"/>
  <c r="AO301" i="23" s="1"/>
  <c r="O118" i="8"/>
  <c r="AN301" i="23" s="1"/>
  <c r="O117" i="8"/>
  <c r="AM301" i="23" s="1"/>
  <c r="O113" i="8"/>
  <c r="O112" i="8"/>
  <c r="AK301" i="23" s="1"/>
  <c r="O111" i="8"/>
  <c r="AJ301" i="23" s="1"/>
  <c r="O110" i="8"/>
  <c r="AI301" i="23" s="1"/>
  <c r="O109" i="8"/>
  <c r="O108" i="8"/>
  <c r="AG301" i="23" s="1"/>
  <c r="O107" i="8"/>
  <c r="AF301" i="23" s="1"/>
  <c r="O106" i="8"/>
  <c r="AE301" i="23" s="1"/>
  <c r="O105" i="8"/>
  <c r="O102" i="8"/>
  <c r="AC301" i="23" s="1"/>
  <c r="O101" i="8"/>
  <c r="AB301" i="23" s="1"/>
  <c r="O100" i="8"/>
  <c r="AA301" i="23" s="1"/>
  <c r="O99" i="8"/>
  <c r="O98" i="8"/>
  <c r="Y301" i="23" s="1"/>
  <c r="O97" i="8"/>
  <c r="X301" i="23" s="1"/>
  <c r="O96" i="8"/>
  <c r="W301" i="23" s="1"/>
  <c r="O95" i="8"/>
  <c r="O94" i="8"/>
  <c r="U301" i="23" s="1"/>
  <c r="O93" i="8"/>
  <c r="T301" i="23" s="1"/>
  <c r="O92" i="8"/>
  <c r="S301" i="23" s="1"/>
  <c r="O91" i="8"/>
  <c r="O89" i="8"/>
  <c r="O88" i="8"/>
  <c r="Q301" i="23" s="1"/>
  <c r="O86" i="8"/>
  <c r="P301" i="23" s="1"/>
  <c r="O85" i="8"/>
  <c r="O84" i="8"/>
  <c r="N301" i="23" s="1"/>
  <c r="O83" i="8"/>
  <c r="M301" i="23" s="1"/>
  <c r="O82" i="8"/>
  <c r="L301" i="23" s="1"/>
  <c r="O81" i="8"/>
  <c r="O80" i="8"/>
  <c r="J301" i="23" s="1"/>
  <c r="O79" i="8"/>
  <c r="I301" i="23" s="1"/>
  <c r="O78" i="8"/>
  <c r="H301" i="23" s="1"/>
  <c r="O77" i="8"/>
  <c r="O69" i="8"/>
  <c r="O68" i="8"/>
  <c r="O67" i="8"/>
  <c r="O66" i="8"/>
  <c r="O65" i="8"/>
  <c r="O64" i="8"/>
  <c r="O63" i="8"/>
  <c r="O62" i="8"/>
  <c r="O61" i="8"/>
  <c r="O55" i="8"/>
  <c r="AA53" i="8"/>
  <c r="AA52" i="8"/>
  <c r="O51" i="8"/>
  <c r="O46" i="8"/>
  <c r="O45" i="8"/>
  <c r="O44" i="8"/>
  <c r="O42" i="8"/>
  <c r="O41" i="8"/>
  <c r="O40" i="8"/>
  <c r="O39" i="8"/>
  <c r="O37" i="8"/>
  <c r="O36" i="8"/>
  <c r="O35" i="8"/>
  <c r="O34" i="8"/>
  <c r="O33" i="8"/>
  <c r="O32" i="8"/>
  <c r="O31" i="8"/>
  <c r="O26" i="8"/>
  <c r="O25" i="8"/>
  <c r="O24" i="8"/>
  <c r="O21" i="8"/>
  <c r="O20" i="8"/>
  <c r="O19" i="8"/>
  <c r="O16" i="8"/>
  <c r="O15" i="8"/>
  <c r="O14" i="8"/>
  <c r="O12" i="8"/>
  <c r="O11" i="8"/>
  <c r="O10" i="8"/>
  <c r="O9" i="8"/>
  <c r="O7" i="8"/>
  <c r="BD250" i="4"/>
  <c r="CT250" i="4" s="1"/>
  <c r="EJ250" i="4" s="1"/>
  <c r="CT249" i="4"/>
  <c r="EJ249" i="4" s="1"/>
  <c r="BD248" i="4"/>
  <c r="CT248" i="4" s="1"/>
  <c r="EJ248" i="4" s="1"/>
  <c r="BD247" i="4"/>
  <c r="CT247" i="4" s="1"/>
  <c r="EJ247" i="4" s="1"/>
  <c r="L247" i="4"/>
  <c r="K247" i="4"/>
  <c r="J247" i="4"/>
  <c r="I247" i="4"/>
  <c r="H247" i="4"/>
  <c r="G247" i="4"/>
  <c r="F247" i="4"/>
  <c r="E247" i="4"/>
  <c r="D247" i="4"/>
  <c r="C247" i="4"/>
  <c r="B247" i="4"/>
  <c r="A247" i="4"/>
  <c r="BD246" i="4"/>
  <c r="CT246" i="4" s="1"/>
  <c r="EJ246" i="4" s="1"/>
  <c r="L246" i="4"/>
  <c r="K246" i="4"/>
  <c r="J246" i="4"/>
  <c r="I246" i="4"/>
  <c r="H246" i="4"/>
  <c r="G246" i="4"/>
  <c r="F246" i="4"/>
  <c r="E246" i="4"/>
  <c r="D246" i="4"/>
  <c r="C246" i="4"/>
  <c r="B246" i="4"/>
  <c r="A246" i="4"/>
  <c r="BD245" i="4"/>
  <c r="CT245" i="4" s="1"/>
  <c r="EJ245" i="4" s="1"/>
  <c r="L245" i="4"/>
  <c r="K245" i="4"/>
  <c r="J245" i="4"/>
  <c r="I245" i="4"/>
  <c r="H245" i="4"/>
  <c r="G245" i="4"/>
  <c r="F245" i="4"/>
  <c r="E245" i="4"/>
  <c r="D245" i="4"/>
  <c r="C245" i="4"/>
  <c r="B245" i="4"/>
  <c r="A245" i="4"/>
  <c r="BD244" i="4"/>
  <c r="CT244" i="4" s="1"/>
  <c r="EJ244" i="4" s="1"/>
  <c r="L244" i="4"/>
  <c r="K244" i="4"/>
  <c r="J244" i="4"/>
  <c r="I244" i="4"/>
  <c r="H244" i="4"/>
  <c r="G244" i="4"/>
  <c r="F244" i="4"/>
  <c r="E244" i="4"/>
  <c r="D244" i="4"/>
  <c r="C244" i="4"/>
  <c r="B244" i="4"/>
  <c r="A244" i="4"/>
  <c r="BD243" i="4"/>
  <c r="CT243" i="4" s="1"/>
  <c r="EJ243" i="4" s="1"/>
  <c r="L243" i="4"/>
  <c r="K243" i="4"/>
  <c r="J243" i="4"/>
  <c r="I243" i="4"/>
  <c r="H243" i="4"/>
  <c r="G243" i="4"/>
  <c r="F243" i="4"/>
  <c r="E243" i="4"/>
  <c r="D243" i="4"/>
  <c r="C243" i="4"/>
  <c r="B243" i="4"/>
  <c r="A243" i="4"/>
  <c r="BD242" i="4"/>
  <c r="CT242" i="4" s="1"/>
  <c r="EJ242" i="4" s="1"/>
  <c r="L242" i="4"/>
  <c r="K242" i="4"/>
  <c r="J242" i="4"/>
  <c r="I242" i="4"/>
  <c r="H242" i="4"/>
  <c r="G242" i="4"/>
  <c r="F242" i="4"/>
  <c r="E242" i="4"/>
  <c r="D242" i="4"/>
  <c r="C242" i="4"/>
  <c r="B242" i="4"/>
  <c r="A242" i="4"/>
  <c r="BD241" i="4"/>
  <c r="CT241" i="4" s="1"/>
  <c r="EJ241" i="4" s="1"/>
  <c r="CT240" i="4"/>
  <c r="EJ240" i="4" s="1"/>
  <c r="AN239" i="4"/>
  <c r="AM239" i="4"/>
  <c r="AL239" i="4"/>
  <c r="AK239" i="4"/>
  <c r="AJ239" i="4"/>
  <c r="AI239" i="4"/>
  <c r="AH239" i="4"/>
  <c r="AG239" i="4"/>
  <c r="AF239" i="4"/>
  <c r="AE239" i="4"/>
  <c r="AD239" i="4"/>
  <c r="AC239" i="4"/>
  <c r="L239" i="4"/>
  <c r="K239" i="4"/>
  <c r="J239" i="4"/>
  <c r="I239" i="4"/>
  <c r="H239" i="4"/>
  <c r="G239" i="4"/>
  <c r="F239" i="4"/>
  <c r="E239" i="4"/>
  <c r="D239" i="4"/>
  <c r="C239" i="4"/>
  <c r="B239" i="4"/>
  <c r="A239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L238" i="4"/>
  <c r="K238" i="4"/>
  <c r="J238" i="4"/>
  <c r="I238" i="4"/>
  <c r="H238" i="4"/>
  <c r="G238" i="4"/>
  <c r="F238" i="4"/>
  <c r="E238" i="4"/>
  <c r="D238" i="4"/>
  <c r="C238" i="4"/>
  <c r="B238" i="4"/>
  <c r="A238" i="4"/>
  <c r="AN237" i="4"/>
  <c r="AM237" i="4"/>
  <c r="AL237" i="4"/>
  <c r="AK237" i="4"/>
  <c r="AJ237" i="4"/>
  <c r="AI237" i="4"/>
  <c r="AH237" i="4"/>
  <c r="AG237" i="4"/>
  <c r="AF237" i="4"/>
  <c r="AE237" i="4"/>
  <c r="AD237" i="4"/>
  <c r="AC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BD236" i="4"/>
  <c r="CT236" i="4" s="1"/>
  <c r="EJ236" i="4" s="1"/>
  <c r="BD235" i="4"/>
  <c r="CT235" i="4" s="1"/>
  <c r="EJ235" i="4" s="1"/>
  <c r="BD234" i="4"/>
  <c r="CT234" i="4" s="1"/>
  <c r="EJ234" i="4" s="1"/>
  <c r="BD233" i="4"/>
  <c r="CT233" i="4" s="1"/>
  <c r="EJ233" i="4" s="1"/>
  <c r="BD232" i="4"/>
  <c r="CT232" i="4" s="1"/>
  <c r="EJ232" i="4" s="1"/>
  <c r="BD231" i="4"/>
  <c r="CT231" i="4" s="1"/>
  <c r="EJ231" i="4" s="1"/>
  <c r="BD230" i="4"/>
  <c r="CT230" i="4" s="1"/>
  <c r="EJ230" i="4" s="1"/>
  <c r="BD229" i="4"/>
  <c r="CT229" i="4" s="1"/>
  <c r="EJ229" i="4" s="1"/>
  <c r="L229" i="4"/>
  <c r="K229" i="4"/>
  <c r="J229" i="4"/>
  <c r="I229" i="4"/>
  <c r="H229" i="4"/>
  <c r="G229" i="4"/>
  <c r="F229" i="4"/>
  <c r="E229" i="4"/>
  <c r="D229" i="4"/>
  <c r="C229" i="4"/>
  <c r="B229" i="4"/>
  <c r="A229" i="4"/>
  <c r="BD228" i="4"/>
  <c r="CT228" i="4" s="1"/>
  <c r="EJ228" i="4" s="1"/>
  <c r="L228" i="4"/>
  <c r="K228" i="4"/>
  <c r="J228" i="4"/>
  <c r="I228" i="4"/>
  <c r="H228" i="4"/>
  <c r="G228" i="4"/>
  <c r="F228" i="4"/>
  <c r="E228" i="4"/>
  <c r="D228" i="4"/>
  <c r="C228" i="4"/>
  <c r="B228" i="4"/>
  <c r="A228" i="4"/>
  <c r="BD227" i="4"/>
  <c r="CT227" i="4" s="1"/>
  <c r="EJ227" i="4" s="1"/>
  <c r="BD226" i="4"/>
  <c r="CT226" i="4" s="1"/>
  <c r="EJ226" i="4" s="1"/>
  <c r="L226" i="4"/>
  <c r="K226" i="4"/>
  <c r="J226" i="4"/>
  <c r="I226" i="4"/>
  <c r="H226" i="4"/>
  <c r="G226" i="4"/>
  <c r="F226" i="4"/>
  <c r="E226" i="4"/>
  <c r="D226" i="4"/>
  <c r="C226" i="4"/>
  <c r="B226" i="4"/>
  <c r="A226" i="4"/>
  <c r="BD225" i="4"/>
  <c r="CT225" i="4" s="1"/>
  <c r="EJ225" i="4" s="1"/>
  <c r="L225" i="4"/>
  <c r="K225" i="4"/>
  <c r="J225" i="4"/>
  <c r="I225" i="4"/>
  <c r="H225" i="4"/>
  <c r="G225" i="4"/>
  <c r="F225" i="4"/>
  <c r="E225" i="4"/>
  <c r="D225" i="4"/>
  <c r="C225" i="4"/>
  <c r="B225" i="4"/>
  <c r="A225" i="4"/>
  <c r="BD224" i="4"/>
  <c r="CT224" i="4" s="1"/>
  <c r="EJ224" i="4" s="1"/>
  <c r="L224" i="4"/>
  <c r="K224" i="4"/>
  <c r="J224" i="4"/>
  <c r="I224" i="4"/>
  <c r="H224" i="4"/>
  <c r="G224" i="4"/>
  <c r="F224" i="4"/>
  <c r="E224" i="4"/>
  <c r="D224" i="4"/>
  <c r="C224" i="4"/>
  <c r="B224" i="4"/>
  <c r="A224" i="4"/>
  <c r="BD223" i="4"/>
  <c r="CT223" i="4" s="1"/>
  <c r="EJ223" i="4" s="1"/>
  <c r="BD222" i="4"/>
  <c r="CT222" i="4" s="1"/>
  <c r="EJ222" i="4" s="1"/>
  <c r="L222" i="4"/>
  <c r="K222" i="4"/>
  <c r="J222" i="4"/>
  <c r="I222" i="4"/>
  <c r="H222" i="4"/>
  <c r="G222" i="4"/>
  <c r="F222" i="4"/>
  <c r="E222" i="4"/>
  <c r="D222" i="4"/>
  <c r="C222" i="4"/>
  <c r="B222" i="4"/>
  <c r="A222" i="4"/>
  <c r="BD221" i="4"/>
  <c r="CT221" i="4" s="1"/>
  <c r="EJ221" i="4" s="1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L221" i="4"/>
  <c r="K221" i="4"/>
  <c r="J221" i="4"/>
  <c r="I221" i="4"/>
  <c r="H221" i="4"/>
  <c r="G221" i="4"/>
  <c r="F221" i="4"/>
  <c r="E221" i="4"/>
  <c r="D221" i="4"/>
  <c r="C221" i="4"/>
  <c r="B221" i="4"/>
  <c r="A221" i="4"/>
  <c r="BD220" i="4"/>
  <c r="CT220" i="4" s="1"/>
  <c r="EJ220" i="4" s="1"/>
  <c r="L220" i="4"/>
  <c r="K220" i="4"/>
  <c r="J220" i="4"/>
  <c r="I220" i="4"/>
  <c r="H220" i="4"/>
  <c r="G220" i="4"/>
  <c r="F220" i="4"/>
  <c r="E220" i="4"/>
  <c r="D220" i="4"/>
  <c r="C220" i="4"/>
  <c r="B220" i="4"/>
  <c r="A220" i="4"/>
  <c r="BD219" i="4"/>
  <c r="CT219" i="4" s="1"/>
  <c r="EJ219" i="4" s="1"/>
  <c r="BD218" i="4"/>
  <c r="CT218" i="4" s="1"/>
  <c r="EJ218" i="4" s="1"/>
  <c r="BD217" i="4"/>
  <c r="CT217" i="4" s="1"/>
  <c r="EJ217" i="4" s="1"/>
  <c r="AN217" i="4"/>
  <c r="AM217" i="4"/>
  <c r="AL217" i="4"/>
  <c r="AK217" i="4"/>
  <c r="AJ217" i="4"/>
  <c r="AI217" i="4"/>
  <c r="AH217" i="4"/>
  <c r="AG217" i="4"/>
  <c r="AF217" i="4"/>
  <c r="AE217" i="4"/>
  <c r="AD217" i="4"/>
  <c r="AC217" i="4"/>
  <c r="Z217" i="4"/>
  <c r="Y217" i="4"/>
  <c r="X217" i="4"/>
  <c r="W217" i="4"/>
  <c r="V217" i="4"/>
  <c r="U217" i="4"/>
  <c r="T217" i="4"/>
  <c r="S217" i="4"/>
  <c r="R217" i="4"/>
  <c r="Q217" i="4"/>
  <c r="P217" i="4"/>
  <c r="O217" i="4"/>
  <c r="L217" i="4"/>
  <c r="K217" i="4"/>
  <c r="J217" i="4"/>
  <c r="I217" i="4"/>
  <c r="H217" i="4"/>
  <c r="G217" i="4"/>
  <c r="F217" i="4"/>
  <c r="E217" i="4"/>
  <c r="D217" i="4"/>
  <c r="C217" i="4"/>
  <c r="B217" i="4"/>
  <c r="A217" i="4"/>
  <c r="BD216" i="4"/>
  <c r="CT216" i="4" s="1"/>
  <c r="EJ216" i="4" s="1"/>
  <c r="L216" i="4"/>
  <c r="K216" i="4"/>
  <c r="J216" i="4"/>
  <c r="I216" i="4"/>
  <c r="H216" i="4"/>
  <c r="G216" i="4"/>
  <c r="F216" i="4"/>
  <c r="E216" i="4"/>
  <c r="D216" i="4"/>
  <c r="C216" i="4"/>
  <c r="B216" i="4"/>
  <c r="A216" i="4"/>
  <c r="BD215" i="4"/>
  <c r="CT215" i="4" s="1"/>
  <c r="EJ215" i="4" s="1"/>
  <c r="L215" i="4"/>
  <c r="K215" i="4"/>
  <c r="J215" i="4"/>
  <c r="I215" i="4"/>
  <c r="H215" i="4"/>
  <c r="G215" i="4"/>
  <c r="F215" i="4"/>
  <c r="E215" i="4"/>
  <c r="D215" i="4"/>
  <c r="C215" i="4"/>
  <c r="B215" i="4"/>
  <c r="A215" i="4"/>
  <c r="BD214" i="4"/>
  <c r="CT214" i="4" s="1"/>
  <c r="EJ214" i="4" s="1"/>
  <c r="BD213" i="4"/>
  <c r="CT213" i="4" s="1"/>
  <c r="EJ213" i="4" s="1"/>
  <c r="L213" i="4"/>
  <c r="K213" i="4"/>
  <c r="J213" i="4"/>
  <c r="I213" i="4"/>
  <c r="H213" i="4"/>
  <c r="G213" i="4"/>
  <c r="F213" i="4"/>
  <c r="E213" i="4"/>
  <c r="D213" i="4"/>
  <c r="C213" i="4"/>
  <c r="B213" i="4"/>
  <c r="A213" i="4"/>
  <c r="BD212" i="4"/>
  <c r="CT212" i="4" s="1"/>
  <c r="EJ212" i="4" s="1"/>
  <c r="L212" i="4"/>
  <c r="K212" i="4"/>
  <c r="J212" i="4"/>
  <c r="I212" i="4"/>
  <c r="H212" i="4"/>
  <c r="G212" i="4"/>
  <c r="F212" i="4"/>
  <c r="E212" i="4"/>
  <c r="D212" i="4"/>
  <c r="C212" i="4"/>
  <c r="B212" i="4"/>
  <c r="A212" i="4"/>
  <c r="BD211" i="4"/>
  <c r="CT211" i="4" s="1"/>
  <c r="EJ211" i="4" s="1"/>
  <c r="L211" i="4"/>
  <c r="K211" i="4"/>
  <c r="J211" i="4"/>
  <c r="I211" i="4"/>
  <c r="H211" i="4"/>
  <c r="G211" i="4"/>
  <c r="F211" i="4"/>
  <c r="E211" i="4"/>
  <c r="D211" i="4"/>
  <c r="C211" i="4"/>
  <c r="B211" i="4"/>
  <c r="A211" i="4"/>
  <c r="BD210" i="4"/>
  <c r="CT210" i="4" s="1"/>
  <c r="EJ210" i="4" s="1"/>
  <c r="L210" i="4"/>
  <c r="K210" i="4"/>
  <c r="J210" i="4"/>
  <c r="I210" i="4"/>
  <c r="H210" i="4"/>
  <c r="G210" i="4"/>
  <c r="F210" i="4"/>
  <c r="E210" i="4"/>
  <c r="D210" i="4"/>
  <c r="C210" i="4"/>
  <c r="B210" i="4"/>
  <c r="A210" i="4"/>
  <c r="BD209" i="4"/>
  <c r="CT209" i="4" s="1"/>
  <c r="EJ209" i="4" s="1"/>
  <c r="BD208" i="4"/>
  <c r="CT208" i="4" s="1"/>
  <c r="EJ208" i="4" s="1"/>
  <c r="L208" i="4"/>
  <c r="K208" i="4"/>
  <c r="J208" i="4"/>
  <c r="I208" i="4"/>
  <c r="H208" i="4"/>
  <c r="G208" i="4"/>
  <c r="F208" i="4"/>
  <c r="E208" i="4"/>
  <c r="D208" i="4"/>
  <c r="C208" i="4"/>
  <c r="B208" i="4"/>
  <c r="A208" i="4"/>
  <c r="BD207" i="4"/>
  <c r="CT207" i="4" s="1"/>
  <c r="EJ207" i="4" s="1"/>
  <c r="L207" i="4"/>
  <c r="K207" i="4"/>
  <c r="J207" i="4"/>
  <c r="I207" i="4"/>
  <c r="H207" i="4"/>
  <c r="G207" i="4"/>
  <c r="F207" i="4"/>
  <c r="E207" i="4"/>
  <c r="D207" i="4"/>
  <c r="C207" i="4"/>
  <c r="B207" i="4"/>
  <c r="A207" i="4"/>
  <c r="BD206" i="4"/>
  <c r="CT206" i="4" s="1"/>
  <c r="EJ206" i="4" s="1"/>
  <c r="L206" i="4"/>
  <c r="K206" i="4"/>
  <c r="J206" i="4"/>
  <c r="I206" i="4"/>
  <c r="H206" i="4"/>
  <c r="G206" i="4"/>
  <c r="F206" i="4"/>
  <c r="E206" i="4"/>
  <c r="D206" i="4"/>
  <c r="C206" i="4"/>
  <c r="B206" i="4"/>
  <c r="A206" i="4"/>
  <c r="BD205" i="4"/>
  <c r="CT205" i="4" s="1"/>
  <c r="EJ205" i="4" s="1"/>
  <c r="BD204" i="4"/>
  <c r="CT204" i="4" s="1"/>
  <c r="EJ204" i="4" s="1"/>
  <c r="L204" i="4"/>
  <c r="K204" i="4"/>
  <c r="J204" i="4"/>
  <c r="I204" i="4"/>
  <c r="H204" i="4"/>
  <c r="G204" i="4"/>
  <c r="F204" i="4"/>
  <c r="E204" i="4"/>
  <c r="D204" i="4"/>
  <c r="C204" i="4"/>
  <c r="B204" i="4"/>
  <c r="A204" i="4"/>
  <c r="BD203" i="4"/>
  <c r="CT203" i="4" s="1"/>
  <c r="EJ203" i="4" s="1"/>
  <c r="L203" i="4"/>
  <c r="K203" i="4"/>
  <c r="J203" i="4"/>
  <c r="I203" i="4"/>
  <c r="H203" i="4"/>
  <c r="G203" i="4"/>
  <c r="F203" i="4"/>
  <c r="E203" i="4"/>
  <c r="D203" i="4"/>
  <c r="C203" i="4"/>
  <c r="B203" i="4"/>
  <c r="A203" i="4"/>
  <c r="BD202" i="4"/>
  <c r="CT202" i="4" s="1"/>
  <c r="EJ202" i="4" s="1"/>
  <c r="L202" i="4"/>
  <c r="K202" i="4"/>
  <c r="J202" i="4"/>
  <c r="I202" i="4"/>
  <c r="H202" i="4"/>
  <c r="G202" i="4"/>
  <c r="F202" i="4"/>
  <c r="E202" i="4"/>
  <c r="D202" i="4"/>
  <c r="C202" i="4"/>
  <c r="B202" i="4"/>
  <c r="A202" i="4"/>
  <c r="BD201" i="4"/>
  <c r="CT201" i="4" s="1"/>
  <c r="EJ201" i="4" s="1"/>
  <c r="L201" i="4"/>
  <c r="K201" i="4"/>
  <c r="J201" i="4"/>
  <c r="I201" i="4"/>
  <c r="H201" i="4"/>
  <c r="G201" i="4"/>
  <c r="F201" i="4"/>
  <c r="E201" i="4"/>
  <c r="D201" i="4"/>
  <c r="C201" i="4"/>
  <c r="B201" i="4"/>
  <c r="A201" i="4"/>
  <c r="BD200" i="4"/>
  <c r="CT200" i="4" s="1"/>
  <c r="EJ200" i="4" s="1"/>
  <c r="L200" i="4"/>
  <c r="K200" i="4"/>
  <c r="J200" i="4"/>
  <c r="I200" i="4"/>
  <c r="H200" i="4"/>
  <c r="G200" i="4"/>
  <c r="F200" i="4"/>
  <c r="E200" i="4"/>
  <c r="D200" i="4"/>
  <c r="C200" i="4"/>
  <c r="B200" i="4"/>
  <c r="A200" i="4"/>
  <c r="BD199" i="4"/>
  <c r="CT199" i="4" s="1"/>
  <c r="EJ199" i="4" s="1"/>
  <c r="L199" i="4"/>
  <c r="K199" i="4"/>
  <c r="J199" i="4"/>
  <c r="I199" i="4"/>
  <c r="H199" i="4"/>
  <c r="G199" i="4"/>
  <c r="F199" i="4"/>
  <c r="E199" i="4"/>
  <c r="D199" i="4"/>
  <c r="C199" i="4"/>
  <c r="B199" i="4"/>
  <c r="A199" i="4"/>
  <c r="BD198" i="4"/>
  <c r="CT198" i="4" s="1"/>
  <c r="EJ198" i="4" s="1"/>
  <c r="L198" i="4"/>
  <c r="K198" i="4"/>
  <c r="J198" i="4"/>
  <c r="I198" i="4"/>
  <c r="H198" i="4"/>
  <c r="G198" i="4"/>
  <c r="F198" i="4"/>
  <c r="E198" i="4"/>
  <c r="D198" i="4"/>
  <c r="C198" i="4"/>
  <c r="B198" i="4"/>
  <c r="A198" i="4"/>
  <c r="BD197" i="4"/>
  <c r="CT197" i="4" s="1"/>
  <c r="EJ197" i="4" s="1"/>
  <c r="L197" i="4"/>
  <c r="K197" i="4"/>
  <c r="J197" i="4"/>
  <c r="I197" i="4"/>
  <c r="H197" i="4"/>
  <c r="G197" i="4"/>
  <c r="F197" i="4"/>
  <c r="E197" i="4"/>
  <c r="D197" i="4"/>
  <c r="C197" i="4"/>
  <c r="B197" i="4"/>
  <c r="A197" i="4"/>
  <c r="BD196" i="4"/>
  <c r="CT196" i="4" s="1"/>
  <c r="EJ196" i="4" s="1"/>
  <c r="L196" i="4"/>
  <c r="K196" i="4"/>
  <c r="J196" i="4"/>
  <c r="I196" i="4"/>
  <c r="H196" i="4"/>
  <c r="G196" i="4"/>
  <c r="F196" i="4"/>
  <c r="E196" i="4"/>
  <c r="D196" i="4"/>
  <c r="C196" i="4"/>
  <c r="B196" i="4"/>
  <c r="A196" i="4"/>
  <c r="BD195" i="4"/>
  <c r="CT195" i="4" s="1"/>
  <c r="EJ195" i="4" s="1"/>
  <c r="L195" i="4"/>
  <c r="K195" i="4"/>
  <c r="J195" i="4"/>
  <c r="I195" i="4"/>
  <c r="H195" i="4"/>
  <c r="G195" i="4"/>
  <c r="F195" i="4"/>
  <c r="E195" i="4"/>
  <c r="D195" i="4"/>
  <c r="C195" i="4"/>
  <c r="B195" i="4"/>
  <c r="A195" i="4"/>
  <c r="BD194" i="4"/>
  <c r="CT194" i="4" s="1"/>
  <c r="EJ194" i="4" s="1"/>
  <c r="L194" i="4"/>
  <c r="K194" i="4"/>
  <c r="J194" i="4"/>
  <c r="I194" i="4"/>
  <c r="H194" i="4"/>
  <c r="G194" i="4"/>
  <c r="F194" i="4"/>
  <c r="E194" i="4"/>
  <c r="D194" i="4"/>
  <c r="C194" i="4"/>
  <c r="B194" i="4"/>
  <c r="A194" i="4"/>
  <c r="BD193" i="4"/>
  <c r="CT193" i="4" s="1"/>
  <c r="EJ193" i="4" s="1"/>
  <c r="BD192" i="4"/>
  <c r="CT192" i="4" s="1"/>
  <c r="EJ192" i="4" s="1"/>
  <c r="L192" i="4"/>
  <c r="K192" i="4"/>
  <c r="J192" i="4"/>
  <c r="I192" i="4"/>
  <c r="H192" i="4"/>
  <c r="G192" i="4"/>
  <c r="F192" i="4"/>
  <c r="E192" i="4"/>
  <c r="D192" i="4"/>
  <c r="C192" i="4"/>
  <c r="B192" i="4"/>
  <c r="A192" i="4"/>
  <c r="BD191" i="4"/>
  <c r="CT191" i="4" s="1"/>
  <c r="EJ191" i="4" s="1"/>
  <c r="L191" i="4"/>
  <c r="K191" i="4"/>
  <c r="J191" i="4"/>
  <c r="I191" i="4"/>
  <c r="H191" i="4"/>
  <c r="G191" i="4"/>
  <c r="F191" i="4"/>
  <c r="E191" i="4"/>
  <c r="D191" i="4"/>
  <c r="C191" i="4"/>
  <c r="B191" i="4"/>
  <c r="A191" i="4"/>
  <c r="BD190" i="4"/>
  <c r="CT190" i="4" s="1"/>
  <c r="EJ190" i="4" s="1"/>
  <c r="L190" i="4"/>
  <c r="K190" i="4"/>
  <c r="J190" i="4"/>
  <c r="I190" i="4"/>
  <c r="H190" i="4"/>
  <c r="G190" i="4"/>
  <c r="F190" i="4"/>
  <c r="E190" i="4"/>
  <c r="D190" i="4"/>
  <c r="C190" i="4"/>
  <c r="B190" i="4"/>
  <c r="A190" i="4"/>
  <c r="BD189" i="4"/>
  <c r="CT189" i="4" s="1"/>
  <c r="EJ189" i="4" s="1"/>
  <c r="L189" i="4"/>
  <c r="K189" i="4"/>
  <c r="J189" i="4"/>
  <c r="I189" i="4"/>
  <c r="H189" i="4"/>
  <c r="G189" i="4"/>
  <c r="F189" i="4"/>
  <c r="E189" i="4"/>
  <c r="D189" i="4"/>
  <c r="C189" i="4"/>
  <c r="B189" i="4"/>
  <c r="A189" i="4"/>
  <c r="BD188" i="4"/>
  <c r="CT188" i="4" s="1"/>
  <c r="EJ188" i="4" s="1"/>
  <c r="L188" i="4"/>
  <c r="K188" i="4"/>
  <c r="J188" i="4"/>
  <c r="I188" i="4"/>
  <c r="H188" i="4"/>
  <c r="G188" i="4"/>
  <c r="F188" i="4"/>
  <c r="E188" i="4"/>
  <c r="D188" i="4"/>
  <c r="C188" i="4"/>
  <c r="B188" i="4"/>
  <c r="A188" i="4"/>
  <c r="BD187" i="4"/>
  <c r="CT187" i="4" s="1"/>
  <c r="EJ187" i="4" s="1"/>
  <c r="BD186" i="4"/>
  <c r="CT186" i="4" s="1"/>
  <c r="EJ186" i="4" s="1"/>
  <c r="L186" i="4"/>
  <c r="K186" i="4"/>
  <c r="J186" i="4"/>
  <c r="I186" i="4"/>
  <c r="H186" i="4"/>
  <c r="G186" i="4"/>
  <c r="F186" i="4"/>
  <c r="E186" i="4"/>
  <c r="D186" i="4"/>
  <c r="C186" i="4"/>
  <c r="B186" i="4"/>
  <c r="A186" i="4"/>
  <c r="BD185" i="4"/>
  <c r="CT185" i="4" s="1"/>
  <c r="EJ185" i="4" s="1"/>
  <c r="L185" i="4"/>
  <c r="K185" i="4"/>
  <c r="J185" i="4"/>
  <c r="I185" i="4"/>
  <c r="H185" i="4"/>
  <c r="G185" i="4"/>
  <c r="F185" i="4"/>
  <c r="E185" i="4"/>
  <c r="D185" i="4"/>
  <c r="C185" i="4"/>
  <c r="B185" i="4"/>
  <c r="A185" i="4"/>
  <c r="BD184" i="4"/>
  <c r="CT184" i="4" s="1"/>
  <c r="EJ184" i="4" s="1"/>
  <c r="L184" i="4"/>
  <c r="K184" i="4"/>
  <c r="J184" i="4"/>
  <c r="I184" i="4"/>
  <c r="H184" i="4"/>
  <c r="G184" i="4"/>
  <c r="F184" i="4"/>
  <c r="E184" i="4"/>
  <c r="D184" i="4"/>
  <c r="C184" i="4"/>
  <c r="B184" i="4"/>
  <c r="A184" i="4"/>
  <c r="BD183" i="4"/>
  <c r="CT183" i="4" s="1"/>
  <c r="EJ183" i="4" s="1"/>
  <c r="L183" i="4"/>
  <c r="K183" i="4"/>
  <c r="J183" i="4"/>
  <c r="I183" i="4"/>
  <c r="H183" i="4"/>
  <c r="G183" i="4"/>
  <c r="F183" i="4"/>
  <c r="E183" i="4"/>
  <c r="D183" i="4"/>
  <c r="C183" i="4"/>
  <c r="B183" i="4"/>
  <c r="A183" i="4"/>
  <c r="BD182" i="4"/>
  <c r="CT182" i="4" s="1"/>
  <c r="EJ182" i="4" s="1"/>
  <c r="BD181" i="4"/>
  <c r="CT181" i="4" s="1"/>
  <c r="EJ181" i="4" s="1"/>
  <c r="L181" i="4"/>
  <c r="K181" i="4"/>
  <c r="J181" i="4"/>
  <c r="I181" i="4"/>
  <c r="H181" i="4"/>
  <c r="G181" i="4"/>
  <c r="F181" i="4"/>
  <c r="E181" i="4"/>
  <c r="D181" i="4"/>
  <c r="C181" i="4"/>
  <c r="B181" i="4"/>
  <c r="A181" i="4"/>
  <c r="BD180" i="4"/>
  <c r="CT180" i="4" s="1"/>
  <c r="EJ180" i="4" s="1"/>
  <c r="L180" i="4"/>
  <c r="K180" i="4"/>
  <c r="J180" i="4"/>
  <c r="I180" i="4"/>
  <c r="H180" i="4"/>
  <c r="G180" i="4"/>
  <c r="F180" i="4"/>
  <c r="E180" i="4"/>
  <c r="D180" i="4"/>
  <c r="C180" i="4"/>
  <c r="B180" i="4"/>
  <c r="A180" i="4"/>
  <c r="BD179" i="4"/>
  <c r="CT179" i="4" s="1"/>
  <c r="EJ179" i="4" s="1"/>
  <c r="L179" i="4"/>
  <c r="K179" i="4"/>
  <c r="J179" i="4"/>
  <c r="I179" i="4"/>
  <c r="H179" i="4"/>
  <c r="G179" i="4"/>
  <c r="F179" i="4"/>
  <c r="E179" i="4"/>
  <c r="D179" i="4"/>
  <c r="C179" i="4"/>
  <c r="B179" i="4"/>
  <c r="A179" i="4"/>
  <c r="BD178" i="4"/>
  <c r="CT178" i="4" s="1"/>
  <c r="EJ178" i="4" s="1"/>
  <c r="BD177" i="4"/>
  <c r="CT177" i="4" s="1"/>
  <c r="EJ177" i="4" s="1"/>
  <c r="L177" i="4"/>
  <c r="K177" i="4"/>
  <c r="J177" i="4"/>
  <c r="I177" i="4"/>
  <c r="H177" i="4"/>
  <c r="G177" i="4"/>
  <c r="F177" i="4"/>
  <c r="E177" i="4"/>
  <c r="D177" i="4"/>
  <c r="C177" i="4"/>
  <c r="B177" i="4"/>
  <c r="A177" i="4"/>
  <c r="BD176" i="4"/>
  <c r="CT176" i="4" s="1"/>
  <c r="EJ176" i="4" s="1"/>
  <c r="L176" i="4"/>
  <c r="K176" i="4"/>
  <c r="J176" i="4"/>
  <c r="I176" i="4"/>
  <c r="H176" i="4"/>
  <c r="G176" i="4"/>
  <c r="F176" i="4"/>
  <c r="E176" i="4"/>
  <c r="D176" i="4"/>
  <c r="C176" i="4"/>
  <c r="B176" i="4"/>
  <c r="A176" i="4"/>
  <c r="BD175" i="4"/>
  <c r="CT175" i="4" s="1"/>
  <c r="EJ175" i="4" s="1"/>
  <c r="L175" i="4"/>
  <c r="K175" i="4"/>
  <c r="J175" i="4"/>
  <c r="I175" i="4"/>
  <c r="H175" i="4"/>
  <c r="G175" i="4"/>
  <c r="F175" i="4"/>
  <c r="E175" i="4"/>
  <c r="D175" i="4"/>
  <c r="C175" i="4"/>
  <c r="B175" i="4"/>
  <c r="A175" i="4"/>
  <c r="BD174" i="4"/>
  <c r="CT174" i="4" s="1"/>
  <c r="EJ174" i="4" s="1"/>
  <c r="L174" i="4"/>
  <c r="K174" i="4"/>
  <c r="J174" i="4"/>
  <c r="I174" i="4"/>
  <c r="H174" i="4"/>
  <c r="G174" i="4"/>
  <c r="F174" i="4"/>
  <c r="E174" i="4"/>
  <c r="D174" i="4"/>
  <c r="C174" i="4"/>
  <c r="B174" i="4"/>
  <c r="A174" i="4"/>
  <c r="BD173" i="4"/>
  <c r="CT173" i="4" s="1"/>
  <c r="EJ173" i="4" s="1"/>
  <c r="L173" i="4"/>
  <c r="K173" i="4"/>
  <c r="J173" i="4"/>
  <c r="I173" i="4"/>
  <c r="H173" i="4"/>
  <c r="G173" i="4"/>
  <c r="F173" i="4"/>
  <c r="E173" i="4"/>
  <c r="D173" i="4"/>
  <c r="C173" i="4"/>
  <c r="B173" i="4"/>
  <c r="A173" i="4"/>
  <c r="BD172" i="4"/>
  <c r="CT172" i="4" s="1"/>
  <c r="EJ172" i="4" s="1"/>
  <c r="BD171" i="4"/>
  <c r="CT171" i="4" s="1"/>
  <c r="EJ171" i="4" s="1"/>
  <c r="L171" i="4"/>
  <c r="K171" i="4"/>
  <c r="J171" i="4"/>
  <c r="I171" i="4"/>
  <c r="H171" i="4"/>
  <c r="G171" i="4"/>
  <c r="F171" i="4"/>
  <c r="E171" i="4"/>
  <c r="D171" i="4"/>
  <c r="C171" i="4"/>
  <c r="B171" i="4"/>
  <c r="A171" i="4"/>
  <c r="BD170" i="4"/>
  <c r="CT170" i="4" s="1"/>
  <c r="EJ170" i="4" s="1"/>
  <c r="L170" i="4"/>
  <c r="K170" i="4"/>
  <c r="J170" i="4"/>
  <c r="I170" i="4"/>
  <c r="H170" i="4"/>
  <c r="G170" i="4"/>
  <c r="F170" i="4"/>
  <c r="E170" i="4"/>
  <c r="D170" i="4"/>
  <c r="C170" i="4"/>
  <c r="B170" i="4"/>
  <c r="A170" i="4"/>
  <c r="BD169" i="4"/>
  <c r="CT169" i="4" s="1"/>
  <c r="EJ169" i="4" s="1"/>
  <c r="L169" i="4"/>
  <c r="K169" i="4"/>
  <c r="J169" i="4"/>
  <c r="I169" i="4"/>
  <c r="H169" i="4"/>
  <c r="G169" i="4"/>
  <c r="F169" i="4"/>
  <c r="E169" i="4"/>
  <c r="D169" i="4"/>
  <c r="C169" i="4"/>
  <c r="B169" i="4"/>
  <c r="A169" i="4"/>
  <c r="BD168" i="4"/>
  <c r="CT168" i="4" s="1"/>
  <c r="EJ168" i="4" s="1"/>
  <c r="L168" i="4"/>
  <c r="K168" i="4"/>
  <c r="J168" i="4"/>
  <c r="I168" i="4"/>
  <c r="H168" i="4"/>
  <c r="G168" i="4"/>
  <c r="F168" i="4"/>
  <c r="E168" i="4"/>
  <c r="D168" i="4"/>
  <c r="C168" i="4"/>
  <c r="B168" i="4"/>
  <c r="A168" i="4"/>
  <c r="BD167" i="4"/>
  <c r="CT167" i="4" s="1"/>
  <c r="EJ167" i="4" s="1"/>
  <c r="L167" i="4"/>
  <c r="K167" i="4"/>
  <c r="J167" i="4"/>
  <c r="I167" i="4"/>
  <c r="H167" i="4"/>
  <c r="G167" i="4"/>
  <c r="F167" i="4"/>
  <c r="E167" i="4"/>
  <c r="D167" i="4"/>
  <c r="C167" i="4"/>
  <c r="B167" i="4"/>
  <c r="A167" i="4"/>
  <c r="BD166" i="4"/>
  <c r="CT166" i="4" s="1"/>
  <c r="EJ166" i="4" s="1"/>
  <c r="L166" i="4"/>
  <c r="K166" i="4"/>
  <c r="J166" i="4"/>
  <c r="I166" i="4"/>
  <c r="H166" i="4"/>
  <c r="G166" i="4"/>
  <c r="F166" i="4"/>
  <c r="E166" i="4"/>
  <c r="D166" i="4"/>
  <c r="C166" i="4"/>
  <c r="B166" i="4"/>
  <c r="A166" i="4"/>
  <c r="BD165" i="4"/>
  <c r="CT165" i="4" s="1"/>
  <c r="EJ165" i="4" s="1"/>
  <c r="L165" i="4"/>
  <c r="K165" i="4"/>
  <c r="J165" i="4"/>
  <c r="I165" i="4"/>
  <c r="H165" i="4"/>
  <c r="G165" i="4"/>
  <c r="F165" i="4"/>
  <c r="E165" i="4"/>
  <c r="D165" i="4"/>
  <c r="C165" i="4"/>
  <c r="B165" i="4"/>
  <c r="A165" i="4"/>
  <c r="BD164" i="4"/>
  <c r="CT164" i="4" s="1"/>
  <c r="EJ164" i="4" s="1"/>
  <c r="BD163" i="4"/>
  <c r="CT163" i="4" s="1"/>
  <c r="EJ163" i="4" s="1"/>
  <c r="BD162" i="4"/>
  <c r="CT162" i="4" s="1"/>
  <c r="EJ162" i="4" s="1"/>
  <c r="L162" i="4"/>
  <c r="K162" i="4"/>
  <c r="J162" i="4"/>
  <c r="I162" i="4"/>
  <c r="H162" i="4"/>
  <c r="G162" i="4"/>
  <c r="F162" i="4"/>
  <c r="E162" i="4"/>
  <c r="D162" i="4"/>
  <c r="C162" i="4"/>
  <c r="B162" i="4"/>
  <c r="A162" i="4"/>
  <c r="BD161" i="4"/>
  <c r="CT161" i="4" s="1"/>
  <c r="EJ161" i="4" s="1"/>
  <c r="L161" i="4"/>
  <c r="K161" i="4"/>
  <c r="J161" i="4"/>
  <c r="I161" i="4"/>
  <c r="H161" i="4"/>
  <c r="G161" i="4"/>
  <c r="F161" i="4"/>
  <c r="E161" i="4"/>
  <c r="D161" i="4"/>
  <c r="C161" i="4"/>
  <c r="B161" i="4"/>
  <c r="A161" i="4"/>
  <c r="BD160" i="4"/>
  <c r="CT160" i="4" s="1"/>
  <c r="EJ160" i="4" s="1"/>
  <c r="L160" i="4"/>
  <c r="K160" i="4"/>
  <c r="J160" i="4"/>
  <c r="I160" i="4"/>
  <c r="H160" i="4"/>
  <c r="G160" i="4"/>
  <c r="F160" i="4"/>
  <c r="E160" i="4"/>
  <c r="D160" i="4"/>
  <c r="C160" i="4"/>
  <c r="B160" i="4"/>
  <c r="A160" i="4"/>
  <c r="BD159" i="4"/>
  <c r="CT159" i="4" s="1"/>
  <c r="EJ159" i="4" s="1"/>
  <c r="L159" i="4"/>
  <c r="K159" i="4"/>
  <c r="J159" i="4"/>
  <c r="I159" i="4"/>
  <c r="H159" i="4"/>
  <c r="G159" i="4"/>
  <c r="F159" i="4"/>
  <c r="E159" i="4"/>
  <c r="D159" i="4"/>
  <c r="C159" i="4"/>
  <c r="B159" i="4"/>
  <c r="A159" i="4"/>
  <c r="BD158" i="4"/>
  <c r="CT158" i="4" s="1"/>
  <c r="EJ158" i="4" s="1"/>
  <c r="L158" i="4"/>
  <c r="K158" i="4"/>
  <c r="J158" i="4"/>
  <c r="I158" i="4"/>
  <c r="H158" i="4"/>
  <c r="G158" i="4"/>
  <c r="F158" i="4"/>
  <c r="E158" i="4"/>
  <c r="D158" i="4"/>
  <c r="C158" i="4"/>
  <c r="B158" i="4"/>
  <c r="A158" i="4"/>
  <c r="BD157" i="4"/>
  <c r="CT157" i="4" s="1"/>
  <c r="EJ157" i="4" s="1"/>
  <c r="BD156" i="4"/>
  <c r="CT156" i="4" s="1"/>
  <c r="EJ156" i="4" s="1"/>
  <c r="BD155" i="4"/>
  <c r="CT155" i="4" s="1"/>
  <c r="EJ155" i="4" s="1"/>
  <c r="BD154" i="4"/>
  <c r="CT154" i="4" s="1"/>
  <c r="EJ154" i="4" s="1"/>
  <c r="L154" i="4"/>
  <c r="K154" i="4"/>
  <c r="J154" i="4"/>
  <c r="I154" i="4"/>
  <c r="H154" i="4"/>
  <c r="G154" i="4"/>
  <c r="F154" i="4"/>
  <c r="E154" i="4"/>
  <c r="D154" i="4"/>
  <c r="C154" i="4"/>
  <c r="B154" i="4"/>
  <c r="A154" i="4"/>
  <c r="BD153" i="4"/>
  <c r="CT153" i="4" s="1"/>
  <c r="EJ153" i="4" s="1"/>
  <c r="L153" i="4"/>
  <c r="K153" i="4"/>
  <c r="J153" i="4"/>
  <c r="I153" i="4"/>
  <c r="H153" i="4"/>
  <c r="G153" i="4"/>
  <c r="F153" i="4"/>
  <c r="E153" i="4"/>
  <c r="D153" i="4"/>
  <c r="C153" i="4"/>
  <c r="B153" i="4"/>
  <c r="A153" i="4"/>
  <c r="BD152" i="4"/>
  <c r="CT152" i="4" s="1"/>
  <c r="EJ152" i="4" s="1"/>
  <c r="L152" i="4"/>
  <c r="K152" i="4"/>
  <c r="J152" i="4"/>
  <c r="I152" i="4"/>
  <c r="H152" i="4"/>
  <c r="G152" i="4"/>
  <c r="F152" i="4"/>
  <c r="E152" i="4"/>
  <c r="D152" i="4"/>
  <c r="C152" i="4"/>
  <c r="B152" i="4"/>
  <c r="A152" i="4"/>
  <c r="BD151" i="4"/>
  <c r="CT151" i="4" s="1"/>
  <c r="EJ151" i="4" s="1"/>
  <c r="L151" i="4"/>
  <c r="K151" i="4"/>
  <c r="J151" i="4"/>
  <c r="I151" i="4"/>
  <c r="H151" i="4"/>
  <c r="G151" i="4"/>
  <c r="F151" i="4"/>
  <c r="E151" i="4"/>
  <c r="D151" i="4"/>
  <c r="C151" i="4"/>
  <c r="B151" i="4"/>
  <c r="A151" i="4"/>
  <c r="BD150" i="4"/>
  <c r="CT150" i="4" s="1"/>
  <c r="EJ150" i="4" s="1"/>
  <c r="BD149" i="4"/>
  <c r="CT149" i="4" s="1"/>
  <c r="EJ149" i="4" s="1"/>
  <c r="L149" i="4"/>
  <c r="K149" i="4"/>
  <c r="J149" i="4"/>
  <c r="I149" i="4"/>
  <c r="H149" i="4"/>
  <c r="G149" i="4"/>
  <c r="F149" i="4"/>
  <c r="E149" i="4"/>
  <c r="D149" i="4"/>
  <c r="C149" i="4"/>
  <c r="B149" i="4"/>
  <c r="A149" i="4"/>
  <c r="BD148" i="4"/>
  <c r="CT148" i="4" s="1"/>
  <c r="EJ148" i="4" s="1"/>
  <c r="L148" i="4"/>
  <c r="K148" i="4"/>
  <c r="J148" i="4"/>
  <c r="I148" i="4"/>
  <c r="H148" i="4"/>
  <c r="G148" i="4"/>
  <c r="F148" i="4"/>
  <c r="E148" i="4"/>
  <c r="D148" i="4"/>
  <c r="C148" i="4"/>
  <c r="B148" i="4"/>
  <c r="A148" i="4"/>
  <c r="BD147" i="4"/>
  <c r="CT147" i="4" s="1"/>
  <c r="EJ147" i="4" s="1"/>
  <c r="L147" i="4"/>
  <c r="K147" i="4"/>
  <c r="J147" i="4"/>
  <c r="I147" i="4"/>
  <c r="H147" i="4"/>
  <c r="G147" i="4"/>
  <c r="F147" i="4"/>
  <c r="E147" i="4"/>
  <c r="D147" i="4"/>
  <c r="C147" i="4"/>
  <c r="B147" i="4"/>
  <c r="A147" i="4"/>
  <c r="BD146" i="4"/>
  <c r="CT146" i="4" s="1"/>
  <c r="EJ146" i="4" s="1"/>
  <c r="BD145" i="4"/>
  <c r="CT145" i="4" s="1"/>
  <c r="EJ145" i="4" s="1"/>
  <c r="L145" i="4"/>
  <c r="K145" i="4"/>
  <c r="J145" i="4"/>
  <c r="I145" i="4"/>
  <c r="H145" i="4"/>
  <c r="G145" i="4"/>
  <c r="F145" i="4"/>
  <c r="E145" i="4"/>
  <c r="D145" i="4"/>
  <c r="C145" i="4"/>
  <c r="B145" i="4"/>
  <c r="A145" i="4"/>
  <c r="BD144" i="4"/>
  <c r="CT144" i="4" s="1"/>
  <c r="EJ144" i="4" s="1"/>
  <c r="L144" i="4"/>
  <c r="K144" i="4"/>
  <c r="J144" i="4"/>
  <c r="I144" i="4"/>
  <c r="H144" i="4"/>
  <c r="G144" i="4"/>
  <c r="F144" i="4"/>
  <c r="E144" i="4"/>
  <c r="D144" i="4"/>
  <c r="C144" i="4"/>
  <c r="B144" i="4"/>
  <c r="A144" i="4"/>
  <c r="BD143" i="4"/>
  <c r="CT143" i="4" s="1"/>
  <c r="EJ143" i="4" s="1"/>
  <c r="L143" i="4"/>
  <c r="K143" i="4"/>
  <c r="J143" i="4"/>
  <c r="I143" i="4"/>
  <c r="H143" i="4"/>
  <c r="G143" i="4"/>
  <c r="F143" i="4"/>
  <c r="E143" i="4"/>
  <c r="D143" i="4"/>
  <c r="C143" i="4"/>
  <c r="B143" i="4"/>
  <c r="A143" i="4"/>
  <c r="BD142" i="4"/>
  <c r="CT142" i="4" s="1"/>
  <c r="EJ142" i="4" s="1"/>
  <c r="L142" i="4"/>
  <c r="K142" i="4"/>
  <c r="J142" i="4"/>
  <c r="I142" i="4"/>
  <c r="H142" i="4"/>
  <c r="G142" i="4"/>
  <c r="F142" i="4"/>
  <c r="E142" i="4"/>
  <c r="D142" i="4"/>
  <c r="C142" i="4"/>
  <c r="B142" i="4"/>
  <c r="A142" i="4"/>
  <c r="BD141" i="4"/>
  <c r="CT141" i="4" s="1"/>
  <c r="EJ141" i="4" s="1"/>
  <c r="L141" i="4"/>
  <c r="K141" i="4"/>
  <c r="J141" i="4"/>
  <c r="I141" i="4"/>
  <c r="H141" i="4"/>
  <c r="G141" i="4"/>
  <c r="F141" i="4"/>
  <c r="E141" i="4"/>
  <c r="D141" i="4"/>
  <c r="C141" i="4"/>
  <c r="B141" i="4"/>
  <c r="A141" i="4"/>
  <c r="BD140" i="4"/>
  <c r="CT140" i="4" s="1"/>
  <c r="EJ140" i="4" s="1"/>
  <c r="L140" i="4"/>
  <c r="K140" i="4"/>
  <c r="J140" i="4"/>
  <c r="I140" i="4"/>
  <c r="H140" i="4"/>
  <c r="G140" i="4"/>
  <c r="F140" i="4"/>
  <c r="E140" i="4"/>
  <c r="D140" i="4"/>
  <c r="C140" i="4"/>
  <c r="B140" i="4"/>
  <c r="A140" i="4"/>
  <c r="BD139" i="4"/>
  <c r="CT139" i="4" s="1"/>
  <c r="EJ139" i="4" s="1"/>
  <c r="L139" i="4"/>
  <c r="K139" i="4"/>
  <c r="J139" i="4"/>
  <c r="I139" i="4"/>
  <c r="H139" i="4"/>
  <c r="G139" i="4"/>
  <c r="F139" i="4"/>
  <c r="E139" i="4"/>
  <c r="D139" i="4"/>
  <c r="C139" i="4"/>
  <c r="B139" i="4"/>
  <c r="A139" i="4"/>
  <c r="BD138" i="4"/>
  <c r="CT138" i="4" s="1"/>
  <c r="EJ138" i="4" s="1"/>
  <c r="BD137" i="4"/>
  <c r="CT137" i="4" s="1"/>
  <c r="EJ137" i="4" s="1"/>
  <c r="L137" i="4"/>
  <c r="K137" i="4"/>
  <c r="J137" i="4"/>
  <c r="I137" i="4"/>
  <c r="H137" i="4"/>
  <c r="G137" i="4"/>
  <c r="F137" i="4"/>
  <c r="E137" i="4"/>
  <c r="D137" i="4"/>
  <c r="C137" i="4"/>
  <c r="B137" i="4"/>
  <c r="A137" i="4"/>
  <c r="BD136" i="4"/>
  <c r="CT136" i="4" s="1"/>
  <c r="EJ136" i="4" s="1"/>
  <c r="L136" i="4"/>
  <c r="K136" i="4"/>
  <c r="J136" i="4"/>
  <c r="I136" i="4"/>
  <c r="H136" i="4"/>
  <c r="G136" i="4"/>
  <c r="F136" i="4"/>
  <c r="E136" i="4"/>
  <c r="D136" i="4"/>
  <c r="C136" i="4"/>
  <c r="B136" i="4"/>
  <c r="A136" i="4"/>
  <c r="BD135" i="4"/>
  <c r="CT135" i="4" s="1"/>
  <c r="EJ135" i="4" s="1"/>
  <c r="L135" i="4"/>
  <c r="K135" i="4"/>
  <c r="J135" i="4"/>
  <c r="I135" i="4"/>
  <c r="H135" i="4"/>
  <c r="G135" i="4"/>
  <c r="F135" i="4"/>
  <c r="E135" i="4"/>
  <c r="D135" i="4"/>
  <c r="C135" i="4"/>
  <c r="B135" i="4"/>
  <c r="A135" i="4"/>
  <c r="BD134" i="4"/>
  <c r="CT134" i="4" s="1"/>
  <c r="EJ134" i="4" s="1"/>
  <c r="L134" i="4"/>
  <c r="K134" i="4"/>
  <c r="J134" i="4"/>
  <c r="I134" i="4"/>
  <c r="H134" i="4"/>
  <c r="G134" i="4"/>
  <c r="F134" i="4"/>
  <c r="E134" i="4"/>
  <c r="D134" i="4"/>
  <c r="C134" i="4"/>
  <c r="B134" i="4"/>
  <c r="A134" i="4"/>
  <c r="BD133" i="4"/>
  <c r="CT133" i="4" s="1"/>
  <c r="EJ133" i="4" s="1"/>
  <c r="BD132" i="4"/>
  <c r="CT132" i="4" s="1"/>
  <c r="EJ132" i="4" s="1"/>
  <c r="L132" i="4"/>
  <c r="K132" i="4"/>
  <c r="J132" i="4"/>
  <c r="I132" i="4"/>
  <c r="H132" i="4"/>
  <c r="G132" i="4"/>
  <c r="F132" i="4"/>
  <c r="E132" i="4"/>
  <c r="D132" i="4"/>
  <c r="C132" i="4"/>
  <c r="B132" i="4"/>
  <c r="A132" i="4"/>
  <c r="BD131" i="4"/>
  <c r="CT131" i="4" s="1"/>
  <c r="EJ131" i="4" s="1"/>
  <c r="L131" i="4"/>
  <c r="K131" i="4"/>
  <c r="J131" i="4"/>
  <c r="I131" i="4"/>
  <c r="H131" i="4"/>
  <c r="G131" i="4"/>
  <c r="F131" i="4"/>
  <c r="E131" i="4"/>
  <c r="D131" i="4"/>
  <c r="C131" i="4"/>
  <c r="B131" i="4"/>
  <c r="A131" i="4"/>
  <c r="BD130" i="4"/>
  <c r="CT130" i="4" s="1"/>
  <c r="EJ130" i="4" s="1"/>
  <c r="L130" i="4"/>
  <c r="K130" i="4"/>
  <c r="J130" i="4"/>
  <c r="I130" i="4"/>
  <c r="H130" i="4"/>
  <c r="G130" i="4"/>
  <c r="F130" i="4"/>
  <c r="E130" i="4"/>
  <c r="D130" i="4"/>
  <c r="C130" i="4"/>
  <c r="B130" i="4"/>
  <c r="A130" i="4"/>
  <c r="BD129" i="4"/>
  <c r="CT129" i="4" s="1"/>
  <c r="EJ129" i="4" s="1"/>
  <c r="BD128" i="4"/>
  <c r="CT128" i="4" s="1"/>
  <c r="EJ128" i="4" s="1"/>
  <c r="L128" i="4"/>
  <c r="K128" i="4"/>
  <c r="J128" i="4"/>
  <c r="I128" i="4"/>
  <c r="H128" i="4"/>
  <c r="G128" i="4"/>
  <c r="F128" i="4"/>
  <c r="E128" i="4"/>
  <c r="D128" i="4"/>
  <c r="C128" i="4"/>
  <c r="B128" i="4"/>
  <c r="A128" i="4"/>
  <c r="BD127" i="4"/>
  <c r="CT127" i="4" s="1"/>
  <c r="EJ127" i="4" s="1"/>
  <c r="L127" i="4"/>
  <c r="K127" i="4"/>
  <c r="J127" i="4"/>
  <c r="I127" i="4"/>
  <c r="H127" i="4"/>
  <c r="G127" i="4"/>
  <c r="F127" i="4"/>
  <c r="E127" i="4"/>
  <c r="D127" i="4"/>
  <c r="C127" i="4"/>
  <c r="B127" i="4"/>
  <c r="A127" i="4"/>
  <c r="BD126" i="4"/>
  <c r="CT126" i="4" s="1"/>
  <c r="EJ126" i="4" s="1"/>
  <c r="L126" i="4"/>
  <c r="K126" i="4"/>
  <c r="J126" i="4"/>
  <c r="I126" i="4"/>
  <c r="H126" i="4"/>
  <c r="G126" i="4"/>
  <c r="F126" i="4"/>
  <c r="E126" i="4"/>
  <c r="D126" i="4"/>
  <c r="C126" i="4"/>
  <c r="B126" i="4"/>
  <c r="A126" i="4"/>
  <c r="BD125" i="4"/>
  <c r="CT125" i="4" s="1"/>
  <c r="EJ125" i="4" s="1"/>
  <c r="L125" i="4"/>
  <c r="K125" i="4"/>
  <c r="J125" i="4"/>
  <c r="I125" i="4"/>
  <c r="H125" i="4"/>
  <c r="G125" i="4"/>
  <c r="F125" i="4"/>
  <c r="E125" i="4"/>
  <c r="D125" i="4"/>
  <c r="C125" i="4"/>
  <c r="B125" i="4"/>
  <c r="A125" i="4"/>
  <c r="BD124" i="4"/>
  <c r="CT124" i="4" s="1"/>
  <c r="EJ124" i="4" s="1"/>
  <c r="L124" i="4"/>
  <c r="K124" i="4"/>
  <c r="J124" i="4"/>
  <c r="I124" i="4"/>
  <c r="H124" i="4"/>
  <c r="G124" i="4"/>
  <c r="F124" i="4"/>
  <c r="E124" i="4"/>
  <c r="D124" i="4"/>
  <c r="C124" i="4"/>
  <c r="B124" i="4"/>
  <c r="A124" i="4"/>
  <c r="BD123" i="4"/>
  <c r="CT123" i="4" s="1"/>
  <c r="EJ123" i="4" s="1"/>
  <c r="L123" i="4"/>
  <c r="K123" i="4"/>
  <c r="J123" i="4"/>
  <c r="I123" i="4"/>
  <c r="H123" i="4"/>
  <c r="G123" i="4"/>
  <c r="F123" i="4"/>
  <c r="E123" i="4"/>
  <c r="D123" i="4"/>
  <c r="C123" i="4"/>
  <c r="B123" i="4"/>
  <c r="A123" i="4"/>
  <c r="BD122" i="4"/>
  <c r="CT122" i="4" s="1"/>
  <c r="EJ122" i="4" s="1"/>
  <c r="L122" i="4"/>
  <c r="K122" i="4"/>
  <c r="J122" i="4"/>
  <c r="I122" i="4"/>
  <c r="H122" i="4"/>
  <c r="G122" i="4"/>
  <c r="F122" i="4"/>
  <c r="E122" i="4"/>
  <c r="D122" i="4"/>
  <c r="C122" i="4"/>
  <c r="B122" i="4"/>
  <c r="A122" i="4"/>
  <c r="BD121" i="4"/>
  <c r="CT121" i="4" s="1"/>
  <c r="EJ121" i="4" s="1"/>
  <c r="L121" i="4"/>
  <c r="K121" i="4"/>
  <c r="J121" i="4"/>
  <c r="I121" i="4"/>
  <c r="H121" i="4"/>
  <c r="G121" i="4"/>
  <c r="F121" i="4"/>
  <c r="E121" i="4"/>
  <c r="D121" i="4"/>
  <c r="C121" i="4"/>
  <c r="B121" i="4"/>
  <c r="A121" i="4"/>
  <c r="BD120" i="4"/>
  <c r="CT120" i="4" s="1"/>
  <c r="EJ120" i="4" s="1"/>
  <c r="L120" i="4"/>
  <c r="K120" i="4"/>
  <c r="J120" i="4"/>
  <c r="I120" i="4"/>
  <c r="H120" i="4"/>
  <c r="G120" i="4"/>
  <c r="F120" i="4"/>
  <c r="E120" i="4"/>
  <c r="D120" i="4"/>
  <c r="C120" i="4"/>
  <c r="B120" i="4"/>
  <c r="A120" i="4"/>
  <c r="BD119" i="4"/>
  <c r="CT119" i="4" s="1"/>
  <c r="EJ119" i="4" s="1"/>
  <c r="L119" i="4"/>
  <c r="K119" i="4"/>
  <c r="J119" i="4"/>
  <c r="I119" i="4"/>
  <c r="H119" i="4"/>
  <c r="G119" i="4"/>
  <c r="F119" i="4"/>
  <c r="E119" i="4"/>
  <c r="D119" i="4"/>
  <c r="C119" i="4"/>
  <c r="B119" i="4"/>
  <c r="A119" i="4"/>
  <c r="BD118" i="4"/>
  <c r="CT118" i="4" s="1"/>
  <c r="EJ118" i="4" s="1"/>
  <c r="L118" i="4"/>
  <c r="K118" i="4"/>
  <c r="J118" i="4"/>
  <c r="I118" i="4"/>
  <c r="H118" i="4"/>
  <c r="G118" i="4"/>
  <c r="F118" i="4"/>
  <c r="E118" i="4"/>
  <c r="D118" i="4"/>
  <c r="C118" i="4"/>
  <c r="B118" i="4"/>
  <c r="A118" i="4"/>
  <c r="BD117" i="4"/>
  <c r="CT117" i="4" s="1"/>
  <c r="EJ117" i="4" s="1"/>
  <c r="L117" i="4"/>
  <c r="K117" i="4"/>
  <c r="J117" i="4"/>
  <c r="I117" i="4"/>
  <c r="H117" i="4"/>
  <c r="G117" i="4"/>
  <c r="F117" i="4"/>
  <c r="E117" i="4"/>
  <c r="D117" i="4"/>
  <c r="C117" i="4"/>
  <c r="B117" i="4"/>
  <c r="A117" i="4"/>
  <c r="BD116" i="4"/>
  <c r="CT116" i="4" s="1"/>
  <c r="EJ116" i="4" s="1"/>
  <c r="CT115" i="4"/>
  <c r="EJ115" i="4" s="1"/>
  <c r="BD114" i="4"/>
  <c r="CT114" i="4" s="1"/>
  <c r="EJ114" i="4" s="1"/>
  <c r="BD113" i="4"/>
  <c r="CT113" i="4" s="1"/>
  <c r="EJ113" i="4" s="1"/>
  <c r="L113" i="4"/>
  <c r="K113" i="4"/>
  <c r="J113" i="4"/>
  <c r="I113" i="4"/>
  <c r="H113" i="4"/>
  <c r="G113" i="4"/>
  <c r="F113" i="4"/>
  <c r="E113" i="4"/>
  <c r="D113" i="4"/>
  <c r="C113" i="4"/>
  <c r="B113" i="4"/>
  <c r="A113" i="4"/>
  <c r="BD112" i="4"/>
  <c r="CT112" i="4" s="1"/>
  <c r="EJ112" i="4" s="1"/>
  <c r="L112" i="4"/>
  <c r="K112" i="4"/>
  <c r="J112" i="4"/>
  <c r="I112" i="4"/>
  <c r="H112" i="4"/>
  <c r="G112" i="4"/>
  <c r="F112" i="4"/>
  <c r="E112" i="4"/>
  <c r="D112" i="4"/>
  <c r="C112" i="4"/>
  <c r="B112" i="4"/>
  <c r="A112" i="4"/>
  <c r="BD111" i="4"/>
  <c r="CT111" i="4" s="1"/>
  <c r="EJ111" i="4" s="1"/>
  <c r="L111" i="4"/>
  <c r="K111" i="4"/>
  <c r="J111" i="4"/>
  <c r="I111" i="4"/>
  <c r="H111" i="4"/>
  <c r="G111" i="4"/>
  <c r="F111" i="4"/>
  <c r="E111" i="4"/>
  <c r="D111" i="4"/>
  <c r="C111" i="4"/>
  <c r="B111" i="4"/>
  <c r="A111" i="4"/>
  <c r="BD110" i="4"/>
  <c r="CT110" i="4" s="1"/>
  <c r="EJ110" i="4" s="1"/>
  <c r="L110" i="4"/>
  <c r="K110" i="4"/>
  <c r="J110" i="4"/>
  <c r="I110" i="4"/>
  <c r="H110" i="4"/>
  <c r="G110" i="4"/>
  <c r="F110" i="4"/>
  <c r="E110" i="4"/>
  <c r="D110" i="4"/>
  <c r="C110" i="4"/>
  <c r="B110" i="4"/>
  <c r="A110" i="4"/>
  <c r="BD109" i="4"/>
  <c r="CT109" i="4" s="1"/>
  <c r="EJ109" i="4" s="1"/>
  <c r="L109" i="4"/>
  <c r="K109" i="4"/>
  <c r="J109" i="4"/>
  <c r="I109" i="4"/>
  <c r="H109" i="4"/>
  <c r="G109" i="4"/>
  <c r="F109" i="4"/>
  <c r="E109" i="4"/>
  <c r="D109" i="4"/>
  <c r="C109" i="4"/>
  <c r="B109" i="4"/>
  <c r="A109" i="4"/>
  <c r="BD108" i="4"/>
  <c r="CT108" i="4" s="1"/>
  <c r="EJ108" i="4" s="1"/>
  <c r="L108" i="4"/>
  <c r="K108" i="4"/>
  <c r="J108" i="4"/>
  <c r="I108" i="4"/>
  <c r="H108" i="4"/>
  <c r="G108" i="4"/>
  <c r="F108" i="4"/>
  <c r="E108" i="4"/>
  <c r="D108" i="4"/>
  <c r="C108" i="4"/>
  <c r="B108" i="4"/>
  <c r="A108" i="4"/>
  <c r="BD107" i="4"/>
  <c r="CT107" i="4" s="1"/>
  <c r="EJ107" i="4" s="1"/>
  <c r="L107" i="4"/>
  <c r="K107" i="4"/>
  <c r="J107" i="4"/>
  <c r="I107" i="4"/>
  <c r="H107" i="4"/>
  <c r="G107" i="4"/>
  <c r="F107" i="4"/>
  <c r="E107" i="4"/>
  <c r="D107" i="4"/>
  <c r="C107" i="4"/>
  <c r="B107" i="4"/>
  <c r="A107" i="4"/>
  <c r="BD106" i="4"/>
  <c r="CT106" i="4" s="1"/>
  <c r="EJ106" i="4" s="1"/>
  <c r="L106" i="4"/>
  <c r="K106" i="4"/>
  <c r="J106" i="4"/>
  <c r="I106" i="4"/>
  <c r="H106" i="4"/>
  <c r="G106" i="4"/>
  <c r="F106" i="4"/>
  <c r="E106" i="4"/>
  <c r="D106" i="4"/>
  <c r="C106" i="4"/>
  <c r="B106" i="4"/>
  <c r="A106" i="4"/>
  <c r="BD105" i="4"/>
  <c r="CT105" i="4" s="1"/>
  <c r="EJ105" i="4" s="1"/>
  <c r="L105" i="4"/>
  <c r="K105" i="4"/>
  <c r="J105" i="4"/>
  <c r="I105" i="4"/>
  <c r="H105" i="4"/>
  <c r="G105" i="4"/>
  <c r="F105" i="4"/>
  <c r="E105" i="4"/>
  <c r="D105" i="4"/>
  <c r="C105" i="4"/>
  <c r="B105" i="4"/>
  <c r="A105" i="4"/>
  <c r="BD104" i="4"/>
  <c r="CT104" i="4" s="1"/>
  <c r="EJ104" i="4" s="1"/>
  <c r="BD103" i="4"/>
  <c r="CT103" i="4" s="1"/>
  <c r="EJ103" i="4" s="1"/>
  <c r="BD102" i="4"/>
  <c r="CT102" i="4" s="1"/>
  <c r="EJ102" i="4" s="1"/>
  <c r="L102" i="4"/>
  <c r="K102" i="4"/>
  <c r="J102" i="4"/>
  <c r="I102" i="4"/>
  <c r="H102" i="4"/>
  <c r="G102" i="4"/>
  <c r="F102" i="4"/>
  <c r="E102" i="4"/>
  <c r="D102" i="4"/>
  <c r="C102" i="4"/>
  <c r="B102" i="4"/>
  <c r="A102" i="4"/>
  <c r="BD101" i="4"/>
  <c r="CT101" i="4" s="1"/>
  <c r="EJ101" i="4" s="1"/>
  <c r="L101" i="4"/>
  <c r="K101" i="4"/>
  <c r="J101" i="4"/>
  <c r="I101" i="4"/>
  <c r="H101" i="4"/>
  <c r="G101" i="4"/>
  <c r="F101" i="4"/>
  <c r="E101" i="4"/>
  <c r="D101" i="4"/>
  <c r="C101" i="4"/>
  <c r="B101" i="4"/>
  <c r="A101" i="4"/>
  <c r="BD100" i="4"/>
  <c r="CT100" i="4" s="1"/>
  <c r="EJ100" i="4" s="1"/>
  <c r="L100" i="4"/>
  <c r="K100" i="4"/>
  <c r="J100" i="4"/>
  <c r="I100" i="4"/>
  <c r="H100" i="4"/>
  <c r="G100" i="4"/>
  <c r="F100" i="4"/>
  <c r="E100" i="4"/>
  <c r="D100" i="4"/>
  <c r="C100" i="4"/>
  <c r="B100" i="4"/>
  <c r="A100" i="4"/>
  <c r="BD99" i="4"/>
  <c r="CT99" i="4" s="1"/>
  <c r="EJ99" i="4" s="1"/>
  <c r="L99" i="4"/>
  <c r="K99" i="4"/>
  <c r="J99" i="4"/>
  <c r="I99" i="4"/>
  <c r="H99" i="4"/>
  <c r="G99" i="4"/>
  <c r="F99" i="4"/>
  <c r="E99" i="4"/>
  <c r="D99" i="4"/>
  <c r="C99" i="4"/>
  <c r="B99" i="4"/>
  <c r="A99" i="4"/>
  <c r="BD98" i="4"/>
  <c r="CT98" i="4" s="1"/>
  <c r="EJ98" i="4" s="1"/>
  <c r="L98" i="4"/>
  <c r="K98" i="4"/>
  <c r="J98" i="4"/>
  <c r="I98" i="4"/>
  <c r="H98" i="4"/>
  <c r="G98" i="4"/>
  <c r="F98" i="4"/>
  <c r="E98" i="4"/>
  <c r="D98" i="4"/>
  <c r="C98" i="4"/>
  <c r="B98" i="4"/>
  <c r="A98" i="4"/>
  <c r="BD97" i="4"/>
  <c r="CT97" i="4" s="1"/>
  <c r="EJ97" i="4" s="1"/>
  <c r="L97" i="4"/>
  <c r="K97" i="4"/>
  <c r="J97" i="4"/>
  <c r="I97" i="4"/>
  <c r="H97" i="4"/>
  <c r="G97" i="4"/>
  <c r="F97" i="4"/>
  <c r="E97" i="4"/>
  <c r="D97" i="4"/>
  <c r="C97" i="4"/>
  <c r="B97" i="4"/>
  <c r="A97" i="4"/>
  <c r="BD96" i="4"/>
  <c r="CT96" i="4" s="1"/>
  <c r="EJ96" i="4" s="1"/>
  <c r="L96" i="4"/>
  <c r="K96" i="4"/>
  <c r="J96" i="4"/>
  <c r="I96" i="4"/>
  <c r="H96" i="4"/>
  <c r="G96" i="4"/>
  <c r="F96" i="4"/>
  <c r="E96" i="4"/>
  <c r="D96" i="4"/>
  <c r="C96" i="4"/>
  <c r="B96" i="4"/>
  <c r="A96" i="4"/>
  <c r="BD95" i="4"/>
  <c r="CT95" i="4" s="1"/>
  <c r="EJ95" i="4" s="1"/>
  <c r="L95" i="4"/>
  <c r="K95" i="4"/>
  <c r="J95" i="4"/>
  <c r="I95" i="4"/>
  <c r="H95" i="4"/>
  <c r="G95" i="4"/>
  <c r="F95" i="4"/>
  <c r="E95" i="4"/>
  <c r="D95" i="4"/>
  <c r="C95" i="4"/>
  <c r="B95" i="4"/>
  <c r="A95" i="4"/>
  <c r="BD94" i="4"/>
  <c r="CT94" i="4" s="1"/>
  <c r="EJ94" i="4" s="1"/>
  <c r="L94" i="4"/>
  <c r="K94" i="4"/>
  <c r="J94" i="4"/>
  <c r="I94" i="4"/>
  <c r="H94" i="4"/>
  <c r="G94" i="4"/>
  <c r="F94" i="4"/>
  <c r="E94" i="4"/>
  <c r="D94" i="4"/>
  <c r="C94" i="4"/>
  <c r="B94" i="4"/>
  <c r="A94" i="4"/>
  <c r="BD93" i="4"/>
  <c r="CT93" i="4" s="1"/>
  <c r="EJ93" i="4" s="1"/>
  <c r="L93" i="4"/>
  <c r="K93" i="4"/>
  <c r="J93" i="4"/>
  <c r="I93" i="4"/>
  <c r="H93" i="4"/>
  <c r="G93" i="4"/>
  <c r="F93" i="4"/>
  <c r="E93" i="4"/>
  <c r="D93" i="4"/>
  <c r="C93" i="4"/>
  <c r="B93" i="4"/>
  <c r="A93" i="4"/>
  <c r="BD92" i="4"/>
  <c r="CT92" i="4" s="1"/>
  <c r="EJ92" i="4" s="1"/>
  <c r="L92" i="4"/>
  <c r="K92" i="4"/>
  <c r="J92" i="4"/>
  <c r="I92" i="4"/>
  <c r="H92" i="4"/>
  <c r="G92" i="4"/>
  <c r="F92" i="4"/>
  <c r="E92" i="4"/>
  <c r="D92" i="4"/>
  <c r="C92" i="4"/>
  <c r="B92" i="4"/>
  <c r="A92" i="4"/>
  <c r="BD91" i="4"/>
  <c r="CT91" i="4" s="1"/>
  <c r="EJ91" i="4" s="1"/>
  <c r="L91" i="4"/>
  <c r="K91" i="4"/>
  <c r="J91" i="4"/>
  <c r="I91" i="4"/>
  <c r="H91" i="4"/>
  <c r="G91" i="4"/>
  <c r="F91" i="4"/>
  <c r="E91" i="4"/>
  <c r="D91" i="4"/>
  <c r="C91" i="4"/>
  <c r="B91" i="4"/>
  <c r="A91" i="4"/>
  <c r="BD90" i="4"/>
  <c r="CT90" i="4" s="1"/>
  <c r="EJ90" i="4" s="1"/>
  <c r="BD89" i="4"/>
  <c r="CT89" i="4" s="1"/>
  <c r="EJ89" i="4" s="1"/>
  <c r="AN89" i="4"/>
  <c r="AM89" i="4"/>
  <c r="AL89" i="4"/>
  <c r="AK89" i="4"/>
  <c r="AJ89" i="4"/>
  <c r="AI89" i="4"/>
  <c r="AH89" i="4"/>
  <c r="AG89" i="4"/>
  <c r="AF89" i="4"/>
  <c r="AE89" i="4"/>
  <c r="AD89" i="4"/>
  <c r="AC89" i="4"/>
  <c r="L89" i="4"/>
  <c r="K89" i="4"/>
  <c r="J89" i="4"/>
  <c r="I89" i="4"/>
  <c r="H89" i="4"/>
  <c r="G89" i="4"/>
  <c r="F89" i="4"/>
  <c r="E89" i="4"/>
  <c r="D89" i="4"/>
  <c r="C89" i="4"/>
  <c r="B89" i="4"/>
  <c r="A89" i="4"/>
  <c r="BD88" i="4"/>
  <c r="CT88" i="4" s="1"/>
  <c r="EJ88" i="4" s="1"/>
  <c r="L88" i="4"/>
  <c r="K88" i="4"/>
  <c r="J88" i="4"/>
  <c r="I88" i="4"/>
  <c r="H88" i="4"/>
  <c r="G88" i="4"/>
  <c r="F88" i="4"/>
  <c r="E88" i="4"/>
  <c r="D88" i="4"/>
  <c r="C88" i="4"/>
  <c r="B88" i="4"/>
  <c r="A88" i="4"/>
  <c r="BD87" i="4"/>
  <c r="CT87" i="4" s="1"/>
  <c r="EJ87" i="4" s="1"/>
  <c r="BD86" i="4"/>
  <c r="CT86" i="4" s="1"/>
  <c r="EJ86" i="4" s="1"/>
  <c r="L86" i="4"/>
  <c r="K86" i="4"/>
  <c r="J86" i="4"/>
  <c r="I86" i="4"/>
  <c r="H86" i="4"/>
  <c r="G86" i="4"/>
  <c r="F86" i="4"/>
  <c r="E86" i="4"/>
  <c r="D86" i="4"/>
  <c r="C86" i="4"/>
  <c r="B86" i="4"/>
  <c r="A86" i="4"/>
  <c r="BD85" i="4"/>
  <c r="CT85" i="4" s="1"/>
  <c r="EJ85" i="4" s="1"/>
  <c r="L85" i="4"/>
  <c r="K85" i="4"/>
  <c r="J85" i="4"/>
  <c r="I85" i="4"/>
  <c r="H85" i="4"/>
  <c r="G85" i="4"/>
  <c r="F85" i="4"/>
  <c r="E85" i="4"/>
  <c r="D85" i="4"/>
  <c r="C85" i="4"/>
  <c r="B85" i="4"/>
  <c r="A85" i="4"/>
  <c r="BD84" i="4"/>
  <c r="CT84" i="4" s="1"/>
  <c r="EJ84" i="4" s="1"/>
  <c r="L84" i="4"/>
  <c r="K84" i="4"/>
  <c r="J84" i="4"/>
  <c r="I84" i="4"/>
  <c r="H84" i="4"/>
  <c r="G84" i="4"/>
  <c r="F84" i="4"/>
  <c r="E84" i="4"/>
  <c r="D84" i="4"/>
  <c r="C84" i="4"/>
  <c r="B84" i="4"/>
  <c r="A84" i="4"/>
  <c r="BD83" i="4"/>
  <c r="CT83" i="4" s="1"/>
  <c r="EJ83" i="4" s="1"/>
  <c r="L83" i="4"/>
  <c r="K83" i="4"/>
  <c r="J83" i="4"/>
  <c r="I83" i="4"/>
  <c r="H83" i="4"/>
  <c r="G83" i="4"/>
  <c r="F83" i="4"/>
  <c r="E83" i="4"/>
  <c r="D83" i="4"/>
  <c r="C83" i="4"/>
  <c r="B83" i="4"/>
  <c r="A83" i="4"/>
  <c r="BD82" i="4"/>
  <c r="CT82" i="4" s="1"/>
  <c r="EJ82" i="4" s="1"/>
  <c r="L82" i="4"/>
  <c r="K82" i="4"/>
  <c r="J82" i="4"/>
  <c r="I82" i="4"/>
  <c r="H82" i="4"/>
  <c r="G82" i="4"/>
  <c r="F82" i="4"/>
  <c r="E82" i="4"/>
  <c r="D82" i="4"/>
  <c r="C82" i="4"/>
  <c r="B82" i="4"/>
  <c r="A82" i="4"/>
  <c r="BD81" i="4"/>
  <c r="CT81" i="4" s="1"/>
  <c r="EJ81" i="4" s="1"/>
  <c r="L81" i="4"/>
  <c r="K81" i="4"/>
  <c r="J81" i="4"/>
  <c r="I81" i="4"/>
  <c r="H81" i="4"/>
  <c r="G81" i="4"/>
  <c r="F81" i="4"/>
  <c r="E81" i="4"/>
  <c r="D81" i="4"/>
  <c r="C81" i="4"/>
  <c r="B81" i="4"/>
  <c r="A81" i="4"/>
  <c r="BD80" i="4"/>
  <c r="CT80" i="4" s="1"/>
  <c r="EJ80" i="4" s="1"/>
  <c r="L80" i="4"/>
  <c r="K80" i="4"/>
  <c r="J80" i="4"/>
  <c r="I80" i="4"/>
  <c r="H80" i="4"/>
  <c r="G80" i="4"/>
  <c r="F80" i="4"/>
  <c r="E80" i="4"/>
  <c r="D80" i="4"/>
  <c r="C80" i="4"/>
  <c r="B80" i="4"/>
  <c r="A80" i="4"/>
  <c r="BD79" i="4"/>
  <c r="CT79" i="4" s="1"/>
  <c r="EJ79" i="4" s="1"/>
  <c r="L79" i="4"/>
  <c r="K79" i="4"/>
  <c r="J79" i="4"/>
  <c r="I79" i="4"/>
  <c r="H79" i="4"/>
  <c r="G79" i="4"/>
  <c r="F79" i="4"/>
  <c r="E79" i="4"/>
  <c r="D79" i="4"/>
  <c r="C79" i="4"/>
  <c r="B79" i="4"/>
  <c r="A79" i="4"/>
  <c r="BD78" i="4"/>
  <c r="CT78" i="4" s="1"/>
  <c r="EJ78" i="4" s="1"/>
  <c r="L78" i="4"/>
  <c r="K78" i="4"/>
  <c r="J78" i="4"/>
  <c r="I78" i="4"/>
  <c r="H78" i="4"/>
  <c r="G78" i="4"/>
  <c r="F78" i="4"/>
  <c r="E78" i="4"/>
  <c r="D78" i="4"/>
  <c r="C78" i="4"/>
  <c r="B78" i="4"/>
  <c r="A78" i="4"/>
  <c r="BD77" i="4"/>
  <c r="CT77" i="4" s="1"/>
  <c r="EJ77" i="4" s="1"/>
  <c r="L77" i="4"/>
  <c r="K77" i="4"/>
  <c r="J77" i="4"/>
  <c r="I77" i="4"/>
  <c r="H77" i="4"/>
  <c r="G77" i="4"/>
  <c r="F77" i="4"/>
  <c r="E77" i="4"/>
  <c r="D77" i="4"/>
  <c r="C77" i="4"/>
  <c r="B77" i="4"/>
  <c r="A77" i="4"/>
  <c r="BD76" i="4"/>
  <c r="CT76" i="4" s="1"/>
  <c r="EJ76" i="4" s="1"/>
  <c r="BD75" i="4"/>
  <c r="CT75" i="4" s="1"/>
  <c r="EJ75" i="4" s="1"/>
  <c r="BD74" i="4"/>
  <c r="CT74" i="4" s="1"/>
  <c r="EJ74" i="4" s="1"/>
  <c r="BD73" i="4"/>
  <c r="CT73" i="4" s="1"/>
  <c r="EJ73" i="4" s="1"/>
  <c r="BD72" i="4"/>
  <c r="BD71" i="4"/>
  <c r="CT71" i="4" s="1"/>
  <c r="EJ71" i="4" s="1"/>
  <c r="BD70" i="4"/>
  <c r="CT70" i="4" s="1"/>
  <c r="EJ70" i="4" s="1"/>
  <c r="BD69" i="4"/>
  <c r="CT69" i="4" s="1"/>
  <c r="EJ69" i="4" s="1"/>
  <c r="AN69" i="4"/>
  <c r="AM69" i="4"/>
  <c r="AL69" i="4"/>
  <c r="AK69" i="4"/>
  <c r="AJ69" i="4"/>
  <c r="AI69" i="4"/>
  <c r="AH69" i="4"/>
  <c r="AG69" i="4"/>
  <c r="AF69" i="4"/>
  <c r="AE69" i="4"/>
  <c r="AD69" i="4"/>
  <c r="AC69" i="4"/>
  <c r="L69" i="4"/>
  <c r="K69" i="4"/>
  <c r="J69" i="4"/>
  <c r="I69" i="4"/>
  <c r="H69" i="4"/>
  <c r="G69" i="4"/>
  <c r="F69" i="4"/>
  <c r="E69" i="4"/>
  <c r="D69" i="4"/>
  <c r="C69" i="4"/>
  <c r="B69" i="4"/>
  <c r="A69" i="4"/>
  <c r="BD68" i="4"/>
  <c r="CT68" i="4" s="1"/>
  <c r="EJ68" i="4" s="1"/>
  <c r="AN68" i="4"/>
  <c r="AM68" i="4"/>
  <c r="AL68" i="4"/>
  <c r="AK68" i="4"/>
  <c r="AJ68" i="4"/>
  <c r="AI68" i="4"/>
  <c r="AH68" i="4"/>
  <c r="AG68" i="4"/>
  <c r="AF68" i="4"/>
  <c r="AE68" i="4"/>
  <c r="AD68" i="4"/>
  <c r="AC68" i="4"/>
  <c r="L68" i="4"/>
  <c r="K68" i="4"/>
  <c r="J68" i="4"/>
  <c r="I68" i="4"/>
  <c r="H68" i="4"/>
  <c r="G68" i="4"/>
  <c r="F68" i="4"/>
  <c r="E68" i="4"/>
  <c r="D68" i="4"/>
  <c r="C68" i="4"/>
  <c r="B68" i="4"/>
  <c r="A68" i="4"/>
  <c r="BD67" i="4"/>
  <c r="CT67" i="4" s="1"/>
  <c r="EJ67" i="4" s="1"/>
  <c r="L67" i="4"/>
  <c r="K67" i="4"/>
  <c r="J67" i="4"/>
  <c r="I67" i="4"/>
  <c r="H67" i="4"/>
  <c r="G67" i="4"/>
  <c r="F67" i="4"/>
  <c r="E67" i="4"/>
  <c r="D67" i="4"/>
  <c r="C67" i="4"/>
  <c r="B67" i="4"/>
  <c r="A67" i="4"/>
  <c r="BD66" i="4"/>
  <c r="CT66" i="4" s="1"/>
  <c r="EJ66" i="4" s="1"/>
  <c r="AN66" i="4"/>
  <c r="AM66" i="4"/>
  <c r="AL66" i="4"/>
  <c r="AK66" i="4"/>
  <c r="AJ66" i="4"/>
  <c r="AI66" i="4"/>
  <c r="AH66" i="4"/>
  <c r="AG66" i="4"/>
  <c r="AF66" i="4"/>
  <c r="AE66" i="4"/>
  <c r="AD66" i="4"/>
  <c r="AC66" i="4"/>
  <c r="L66" i="4"/>
  <c r="K66" i="4"/>
  <c r="J66" i="4"/>
  <c r="I66" i="4"/>
  <c r="H66" i="4"/>
  <c r="G66" i="4"/>
  <c r="F66" i="4"/>
  <c r="E66" i="4"/>
  <c r="D66" i="4"/>
  <c r="C66" i="4"/>
  <c r="B66" i="4"/>
  <c r="A66" i="4"/>
  <c r="BD65" i="4"/>
  <c r="CT65" i="4" s="1"/>
  <c r="EJ65" i="4" s="1"/>
  <c r="AN65" i="4"/>
  <c r="AM65" i="4"/>
  <c r="AL65" i="4"/>
  <c r="AK65" i="4"/>
  <c r="AJ65" i="4"/>
  <c r="AI65" i="4"/>
  <c r="AH65" i="4"/>
  <c r="AG65" i="4"/>
  <c r="AF65" i="4"/>
  <c r="AE65" i="4"/>
  <c r="AD65" i="4"/>
  <c r="AC65" i="4"/>
  <c r="L65" i="4"/>
  <c r="K65" i="4"/>
  <c r="J65" i="4"/>
  <c r="I65" i="4"/>
  <c r="H65" i="4"/>
  <c r="G65" i="4"/>
  <c r="F65" i="4"/>
  <c r="E65" i="4"/>
  <c r="D65" i="4"/>
  <c r="C65" i="4"/>
  <c r="B65" i="4"/>
  <c r="A65" i="4"/>
  <c r="BD64" i="4"/>
  <c r="CT64" i="4" s="1"/>
  <c r="EJ64" i="4" s="1"/>
  <c r="L64" i="4"/>
  <c r="K64" i="4"/>
  <c r="J64" i="4"/>
  <c r="I64" i="4"/>
  <c r="H64" i="4"/>
  <c r="G64" i="4"/>
  <c r="F64" i="4"/>
  <c r="E64" i="4"/>
  <c r="D64" i="4"/>
  <c r="C64" i="4"/>
  <c r="B64" i="4"/>
  <c r="A64" i="4"/>
  <c r="BD63" i="4"/>
  <c r="CT63" i="4" s="1"/>
  <c r="EJ63" i="4" s="1"/>
  <c r="L63" i="4"/>
  <c r="K63" i="4"/>
  <c r="J63" i="4"/>
  <c r="I63" i="4"/>
  <c r="H63" i="4"/>
  <c r="G63" i="4"/>
  <c r="F63" i="4"/>
  <c r="E63" i="4"/>
  <c r="D63" i="4"/>
  <c r="C63" i="4"/>
  <c r="B63" i="4"/>
  <c r="A63" i="4"/>
  <c r="BD62" i="4"/>
  <c r="CT62" i="4" s="1"/>
  <c r="EJ62" i="4" s="1"/>
  <c r="L62" i="4"/>
  <c r="K62" i="4"/>
  <c r="J62" i="4"/>
  <c r="I62" i="4"/>
  <c r="H62" i="4"/>
  <c r="G62" i="4"/>
  <c r="F62" i="4"/>
  <c r="E62" i="4"/>
  <c r="D62" i="4"/>
  <c r="C62" i="4"/>
  <c r="B62" i="4"/>
  <c r="A62" i="4"/>
  <c r="BD61" i="4"/>
  <c r="CT61" i="4" s="1"/>
  <c r="EJ61" i="4" s="1"/>
  <c r="L61" i="4"/>
  <c r="K61" i="4"/>
  <c r="J61" i="4"/>
  <c r="I61" i="4"/>
  <c r="H61" i="4"/>
  <c r="G61" i="4"/>
  <c r="F61" i="4"/>
  <c r="E61" i="4"/>
  <c r="D61" i="4"/>
  <c r="C61" i="4"/>
  <c r="B61" i="4"/>
  <c r="A61" i="4"/>
  <c r="BD60" i="4"/>
  <c r="CT60" i="4" s="1"/>
  <c r="EJ60" i="4" s="1"/>
  <c r="BD59" i="4"/>
  <c r="CT59" i="4" s="1"/>
  <c r="EJ59" i="4" s="1"/>
  <c r="BD58" i="4"/>
  <c r="CT58" i="4" s="1"/>
  <c r="EJ58" i="4" s="1"/>
  <c r="BD57" i="4"/>
  <c r="CT57" i="4" s="1"/>
  <c r="EJ57" i="4" s="1"/>
  <c r="BD56" i="4"/>
  <c r="CT56" i="4" s="1"/>
  <c r="EJ56" i="4" s="1"/>
  <c r="AN56" i="4"/>
  <c r="AM56" i="4"/>
  <c r="AL56" i="4"/>
  <c r="AK56" i="4"/>
  <c r="AJ56" i="4"/>
  <c r="AI56" i="4"/>
  <c r="AH56" i="4"/>
  <c r="AG56" i="4"/>
  <c r="AF56" i="4"/>
  <c r="AE56" i="4"/>
  <c r="AD56" i="4"/>
  <c r="AC56" i="4"/>
  <c r="L56" i="4"/>
  <c r="K56" i="4"/>
  <c r="J56" i="4"/>
  <c r="I56" i="4"/>
  <c r="H56" i="4"/>
  <c r="G56" i="4"/>
  <c r="F56" i="4"/>
  <c r="E56" i="4"/>
  <c r="D56" i="4"/>
  <c r="C56" i="4"/>
  <c r="B56" i="4"/>
  <c r="A56" i="4"/>
  <c r="BD55" i="4"/>
  <c r="CT55" i="4" s="1"/>
  <c r="EJ55" i="4" s="1"/>
  <c r="L55" i="4"/>
  <c r="K55" i="4"/>
  <c r="J55" i="4"/>
  <c r="I55" i="4"/>
  <c r="H55" i="4"/>
  <c r="G55" i="4"/>
  <c r="F55" i="4"/>
  <c r="E55" i="4"/>
  <c r="D55" i="4"/>
  <c r="C55" i="4"/>
  <c r="B55" i="4"/>
  <c r="A55" i="4"/>
  <c r="BD54" i="4"/>
  <c r="CT54" i="4" s="1"/>
  <c r="EJ54" i="4" s="1"/>
  <c r="BD53" i="4"/>
  <c r="CT53" i="4" s="1"/>
  <c r="EJ53" i="4" s="1"/>
  <c r="AN53" i="4"/>
  <c r="AM53" i="4"/>
  <c r="AL53" i="4"/>
  <c r="AK53" i="4"/>
  <c r="AJ53" i="4"/>
  <c r="AI53" i="4"/>
  <c r="AH53" i="4"/>
  <c r="AG53" i="4"/>
  <c r="AF53" i="4"/>
  <c r="AE53" i="4"/>
  <c r="AD53" i="4"/>
  <c r="AC53" i="4"/>
  <c r="L53" i="4"/>
  <c r="K53" i="4"/>
  <c r="J53" i="4"/>
  <c r="I53" i="4"/>
  <c r="H53" i="4"/>
  <c r="G53" i="4"/>
  <c r="F53" i="4"/>
  <c r="E53" i="4"/>
  <c r="D53" i="4"/>
  <c r="C53" i="4"/>
  <c r="B53" i="4"/>
  <c r="A53" i="4"/>
  <c r="BD52" i="4"/>
  <c r="CT52" i="4" s="1"/>
  <c r="EJ52" i="4" s="1"/>
  <c r="AN52" i="4"/>
  <c r="AM52" i="4"/>
  <c r="AL52" i="4"/>
  <c r="AK52" i="4"/>
  <c r="AJ52" i="4"/>
  <c r="AI52" i="4"/>
  <c r="AH52" i="4"/>
  <c r="AG52" i="4"/>
  <c r="AF52" i="4"/>
  <c r="AE52" i="4"/>
  <c r="AD52" i="4"/>
  <c r="AC52" i="4"/>
  <c r="L52" i="4"/>
  <c r="K52" i="4"/>
  <c r="J52" i="4"/>
  <c r="I52" i="4"/>
  <c r="H52" i="4"/>
  <c r="G52" i="4"/>
  <c r="F52" i="4"/>
  <c r="E52" i="4"/>
  <c r="D52" i="4"/>
  <c r="C52" i="4"/>
  <c r="B52" i="4"/>
  <c r="A52" i="4"/>
  <c r="BD51" i="4"/>
  <c r="CT51" i="4" s="1"/>
  <c r="EJ51" i="4" s="1"/>
  <c r="AN51" i="4"/>
  <c r="AM51" i="4"/>
  <c r="AL51" i="4"/>
  <c r="AK51" i="4"/>
  <c r="AJ51" i="4"/>
  <c r="AI51" i="4"/>
  <c r="AH51" i="4"/>
  <c r="AG51" i="4"/>
  <c r="AF51" i="4"/>
  <c r="AE51" i="4"/>
  <c r="AD51" i="4"/>
  <c r="AC51" i="4"/>
  <c r="L51" i="4"/>
  <c r="K51" i="4"/>
  <c r="J51" i="4"/>
  <c r="I51" i="4"/>
  <c r="H51" i="4"/>
  <c r="G51" i="4"/>
  <c r="F51" i="4"/>
  <c r="E51" i="4"/>
  <c r="D51" i="4"/>
  <c r="C51" i="4"/>
  <c r="B51" i="4"/>
  <c r="A51" i="4"/>
  <c r="BD50" i="4"/>
  <c r="CT50" i="4" s="1"/>
  <c r="EJ50" i="4" s="1"/>
  <c r="AN50" i="4"/>
  <c r="AM50" i="4"/>
  <c r="AL50" i="4"/>
  <c r="AK50" i="4"/>
  <c r="AJ50" i="4"/>
  <c r="AI50" i="4"/>
  <c r="AH50" i="4"/>
  <c r="AG50" i="4"/>
  <c r="AF50" i="4"/>
  <c r="AE50" i="4"/>
  <c r="AD50" i="4"/>
  <c r="AC50" i="4"/>
  <c r="L50" i="4"/>
  <c r="K50" i="4"/>
  <c r="J50" i="4"/>
  <c r="I50" i="4"/>
  <c r="H50" i="4"/>
  <c r="G50" i="4"/>
  <c r="F50" i="4"/>
  <c r="E50" i="4"/>
  <c r="D50" i="4"/>
  <c r="C50" i="4"/>
  <c r="B50" i="4"/>
  <c r="A50" i="4"/>
  <c r="BD49" i="4"/>
  <c r="CT49" i="4" s="1"/>
  <c r="EJ49" i="4" s="1"/>
  <c r="BD48" i="4"/>
  <c r="CT48" i="4" s="1"/>
  <c r="EJ48" i="4" s="1"/>
  <c r="BD47" i="4"/>
  <c r="CT47" i="4" s="1"/>
  <c r="EJ47" i="4" s="1"/>
  <c r="BD46" i="4"/>
  <c r="CT46" i="4" s="1"/>
  <c r="EJ46" i="4" s="1"/>
  <c r="L46" i="4"/>
  <c r="K46" i="4"/>
  <c r="J46" i="4"/>
  <c r="I46" i="4"/>
  <c r="H46" i="4"/>
  <c r="G46" i="4"/>
  <c r="F46" i="4"/>
  <c r="E46" i="4"/>
  <c r="D46" i="4"/>
  <c r="C46" i="4"/>
  <c r="B46" i="4"/>
  <c r="A46" i="4"/>
  <c r="BD45" i="4"/>
  <c r="CT45" i="4" s="1"/>
  <c r="EJ45" i="4" s="1"/>
  <c r="L45" i="4"/>
  <c r="K45" i="4"/>
  <c r="J45" i="4"/>
  <c r="I45" i="4"/>
  <c r="H45" i="4"/>
  <c r="G45" i="4"/>
  <c r="F45" i="4"/>
  <c r="E45" i="4"/>
  <c r="D45" i="4"/>
  <c r="C45" i="4"/>
  <c r="B45" i="4"/>
  <c r="A45" i="4"/>
  <c r="BD44" i="4"/>
  <c r="CT44" i="4" s="1"/>
  <c r="EJ44" i="4" s="1"/>
  <c r="L44" i="4"/>
  <c r="K44" i="4"/>
  <c r="J44" i="4"/>
  <c r="I44" i="4"/>
  <c r="H44" i="4"/>
  <c r="G44" i="4"/>
  <c r="F44" i="4"/>
  <c r="E44" i="4"/>
  <c r="D44" i="4"/>
  <c r="C44" i="4"/>
  <c r="B44" i="4"/>
  <c r="A44" i="4"/>
  <c r="BD43" i="4"/>
  <c r="CT43" i="4" s="1"/>
  <c r="EJ43" i="4" s="1"/>
  <c r="BD42" i="4"/>
  <c r="CT42" i="4" s="1"/>
  <c r="EJ42" i="4" s="1"/>
  <c r="L42" i="4"/>
  <c r="K42" i="4"/>
  <c r="J42" i="4"/>
  <c r="I42" i="4"/>
  <c r="H42" i="4"/>
  <c r="G42" i="4"/>
  <c r="F42" i="4"/>
  <c r="E42" i="4"/>
  <c r="D42" i="4"/>
  <c r="C42" i="4"/>
  <c r="B42" i="4"/>
  <c r="A42" i="4"/>
  <c r="BD41" i="4"/>
  <c r="CT41" i="4" s="1"/>
  <c r="EJ41" i="4" s="1"/>
  <c r="L41" i="4"/>
  <c r="K41" i="4"/>
  <c r="J41" i="4"/>
  <c r="I41" i="4"/>
  <c r="H41" i="4"/>
  <c r="G41" i="4"/>
  <c r="F41" i="4"/>
  <c r="E41" i="4"/>
  <c r="D41" i="4"/>
  <c r="C41" i="4"/>
  <c r="B41" i="4"/>
  <c r="A41" i="4"/>
  <c r="BD40" i="4"/>
  <c r="CT40" i="4" s="1"/>
  <c r="EJ40" i="4" s="1"/>
  <c r="L40" i="4"/>
  <c r="K40" i="4"/>
  <c r="J40" i="4"/>
  <c r="I40" i="4"/>
  <c r="H40" i="4"/>
  <c r="G40" i="4"/>
  <c r="F40" i="4"/>
  <c r="E40" i="4"/>
  <c r="D40" i="4"/>
  <c r="C40" i="4"/>
  <c r="B40" i="4"/>
  <c r="A40" i="4"/>
  <c r="BD39" i="4"/>
  <c r="CT39" i="4" s="1"/>
  <c r="EJ39" i="4" s="1"/>
  <c r="L39" i="4"/>
  <c r="K39" i="4"/>
  <c r="J39" i="4"/>
  <c r="I39" i="4"/>
  <c r="H39" i="4"/>
  <c r="G39" i="4"/>
  <c r="F39" i="4"/>
  <c r="E39" i="4"/>
  <c r="D39" i="4"/>
  <c r="C39" i="4"/>
  <c r="B39" i="4"/>
  <c r="A39" i="4"/>
  <c r="BD38" i="4"/>
  <c r="CT38" i="4" s="1"/>
  <c r="EJ38" i="4" s="1"/>
  <c r="CT37" i="4"/>
  <c r="EJ37" i="4" s="1"/>
  <c r="AN37" i="4"/>
  <c r="AM37" i="4"/>
  <c r="AL37" i="4"/>
  <c r="AK37" i="4"/>
  <c r="AJ37" i="4"/>
  <c r="AI37" i="4"/>
  <c r="AH37" i="4"/>
  <c r="AG37" i="4"/>
  <c r="AF37" i="4"/>
  <c r="AE37" i="4"/>
  <c r="AD37" i="4"/>
  <c r="AC37" i="4"/>
  <c r="L37" i="4"/>
  <c r="K37" i="4"/>
  <c r="J37" i="4"/>
  <c r="I37" i="4"/>
  <c r="H37" i="4"/>
  <c r="G37" i="4"/>
  <c r="F37" i="4"/>
  <c r="E37" i="4"/>
  <c r="D37" i="4"/>
  <c r="C37" i="4"/>
  <c r="B37" i="4"/>
  <c r="A37" i="4"/>
  <c r="BD36" i="4"/>
  <c r="CT36" i="4" s="1"/>
  <c r="EJ36" i="4" s="1"/>
  <c r="AN36" i="4"/>
  <c r="AM36" i="4"/>
  <c r="AL36" i="4"/>
  <c r="AK36" i="4"/>
  <c r="AJ36" i="4"/>
  <c r="AI36" i="4"/>
  <c r="AH36" i="4"/>
  <c r="AG36" i="4"/>
  <c r="AF36" i="4"/>
  <c r="AE36" i="4"/>
  <c r="AD36" i="4"/>
  <c r="AC36" i="4"/>
  <c r="L36" i="4"/>
  <c r="K36" i="4"/>
  <c r="J36" i="4"/>
  <c r="I36" i="4"/>
  <c r="H36" i="4"/>
  <c r="G36" i="4"/>
  <c r="F36" i="4"/>
  <c r="E36" i="4"/>
  <c r="D36" i="4"/>
  <c r="C36" i="4"/>
  <c r="B36" i="4"/>
  <c r="A36" i="4"/>
  <c r="BD35" i="4"/>
  <c r="CT35" i="4" s="1"/>
  <c r="EJ35" i="4" s="1"/>
  <c r="AN35" i="4"/>
  <c r="AM35" i="4"/>
  <c r="AL35" i="4"/>
  <c r="AK35" i="4"/>
  <c r="AJ35" i="4"/>
  <c r="AI35" i="4"/>
  <c r="AH35" i="4"/>
  <c r="AG35" i="4"/>
  <c r="AF35" i="4"/>
  <c r="AE35" i="4"/>
  <c r="AD35" i="4"/>
  <c r="AC35" i="4"/>
  <c r="L35" i="4"/>
  <c r="K35" i="4"/>
  <c r="J35" i="4"/>
  <c r="I35" i="4"/>
  <c r="H35" i="4"/>
  <c r="G35" i="4"/>
  <c r="F35" i="4"/>
  <c r="E35" i="4"/>
  <c r="D35" i="4"/>
  <c r="C35" i="4"/>
  <c r="B35" i="4"/>
  <c r="A35" i="4"/>
  <c r="BD34" i="4"/>
  <c r="CT34" i="4" s="1"/>
  <c r="EJ34" i="4" s="1"/>
  <c r="L34" i="4"/>
  <c r="K34" i="4"/>
  <c r="J34" i="4"/>
  <c r="I34" i="4"/>
  <c r="H34" i="4"/>
  <c r="G34" i="4"/>
  <c r="F34" i="4"/>
  <c r="E34" i="4"/>
  <c r="D34" i="4"/>
  <c r="C34" i="4"/>
  <c r="B34" i="4"/>
  <c r="A34" i="4"/>
  <c r="BD33" i="4"/>
  <c r="CT33" i="4" s="1"/>
  <c r="EJ33" i="4" s="1"/>
  <c r="L33" i="4"/>
  <c r="K33" i="4"/>
  <c r="J33" i="4"/>
  <c r="I33" i="4"/>
  <c r="H33" i="4"/>
  <c r="G33" i="4"/>
  <c r="F33" i="4"/>
  <c r="E33" i="4"/>
  <c r="D33" i="4"/>
  <c r="C33" i="4"/>
  <c r="B33" i="4"/>
  <c r="A33" i="4"/>
  <c r="BD32" i="4"/>
  <c r="CT32" i="4" s="1"/>
  <c r="EJ32" i="4" s="1"/>
  <c r="L32" i="4"/>
  <c r="K32" i="4"/>
  <c r="J32" i="4"/>
  <c r="I32" i="4"/>
  <c r="H32" i="4"/>
  <c r="G32" i="4"/>
  <c r="F32" i="4"/>
  <c r="E32" i="4"/>
  <c r="D32" i="4"/>
  <c r="C32" i="4"/>
  <c r="B32" i="4"/>
  <c r="A32" i="4"/>
  <c r="BD31" i="4"/>
  <c r="CT31" i="4" s="1"/>
  <c r="EJ31" i="4" s="1"/>
  <c r="L31" i="4"/>
  <c r="K31" i="4"/>
  <c r="J31" i="4"/>
  <c r="I31" i="4"/>
  <c r="H31" i="4"/>
  <c r="G31" i="4"/>
  <c r="F31" i="4"/>
  <c r="E31" i="4"/>
  <c r="D31" i="4"/>
  <c r="C31" i="4"/>
  <c r="B31" i="4"/>
  <c r="A31" i="4"/>
  <c r="BD30" i="4"/>
  <c r="CT30" i="4" s="1"/>
  <c r="EJ30" i="4" s="1"/>
  <c r="L30" i="4"/>
  <c r="K30" i="4"/>
  <c r="J30" i="4"/>
  <c r="I30" i="4"/>
  <c r="H30" i="4"/>
  <c r="G30" i="4"/>
  <c r="F30" i="4"/>
  <c r="E30" i="4"/>
  <c r="D30" i="4"/>
  <c r="C30" i="4"/>
  <c r="B30" i="4"/>
  <c r="A30" i="4"/>
  <c r="BD29" i="4"/>
  <c r="CT29" i="4" s="1"/>
  <c r="EJ29" i="4" s="1"/>
  <c r="BD28" i="4"/>
  <c r="CT28" i="4" s="1"/>
  <c r="EJ28" i="4" s="1"/>
  <c r="BD27" i="4"/>
  <c r="CT27" i="4" s="1"/>
  <c r="EJ27" i="4" s="1"/>
  <c r="BD26" i="4"/>
  <c r="CT26" i="4" s="1"/>
  <c r="EJ26" i="4" s="1"/>
  <c r="AN26" i="4"/>
  <c r="AM26" i="4"/>
  <c r="AL26" i="4"/>
  <c r="AK26" i="4"/>
  <c r="AJ26" i="4"/>
  <c r="AI26" i="4"/>
  <c r="AH26" i="4"/>
  <c r="AG26" i="4"/>
  <c r="AF26" i="4"/>
  <c r="AE26" i="4"/>
  <c r="AD26" i="4"/>
  <c r="AC26" i="4"/>
  <c r="L26" i="4"/>
  <c r="K26" i="4"/>
  <c r="J26" i="4"/>
  <c r="I26" i="4"/>
  <c r="H26" i="4"/>
  <c r="G26" i="4"/>
  <c r="F26" i="4"/>
  <c r="E26" i="4"/>
  <c r="D26" i="4"/>
  <c r="C26" i="4"/>
  <c r="B26" i="4"/>
  <c r="A26" i="4"/>
  <c r="BD25" i="4"/>
  <c r="CT25" i="4" s="1"/>
  <c r="EJ25" i="4" s="1"/>
  <c r="AN25" i="4"/>
  <c r="AM25" i="4"/>
  <c r="AL25" i="4"/>
  <c r="AK25" i="4"/>
  <c r="AJ25" i="4"/>
  <c r="AI25" i="4"/>
  <c r="AH25" i="4"/>
  <c r="AG25" i="4"/>
  <c r="AF25" i="4"/>
  <c r="AE25" i="4"/>
  <c r="AD25" i="4"/>
  <c r="AC25" i="4"/>
  <c r="L25" i="4"/>
  <c r="K25" i="4"/>
  <c r="J25" i="4"/>
  <c r="I25" i="4"/>
  <c r="H25" i="4"/>
  <c r="G25" i="4"/>
  <c r="F25" i="4"/>
  <c r="E25" i="4"/>
  <c r="D25" i="4"/>
  <c r="C25" i="4"/>
  <c r="B25" i="4"/>
  <c r="A25" i="4"/>
  <c r="BD24" i="4"/>
  <c r="CT24" i="4" s="1"/>
  <c r="EJ24" i="4" s="1"/>
  <c r="AN24" i="4"/>
  <c r="AM24" i="4"/>
  <c r="AL24" i="4"/>
  <c r="AK24" i="4"/>
  <c r="AJ24" i="4"/>
  <c r="AI24" i="4"/>
  <c r="AH24" i="4"/>
  <c r="AG24" i="4"/>
  <c r="AF24" i="4"/>
  <c r="AE24" i="4"/>
  <c r="AD24" i="4"/>
  <c r="AC24" i="4"/>
  <c r="L24" i="4"/>
  <c r="K24" i="4"/>
  <c r="J24" i="4"/>
  <c r="I24" i="4"/>
  <c r="H24" i="4"/>
  <c r="G24" i="4"/>
  <c r="F24" i="4"/>
  <c r="E24" i="4"/>
  <c r="D24" i="4"/>
  <c r="C24" i="4"/>
  <c r="B24" i="4"/>
  <c r="A24" i="4"/>
  <c r="BD23" i="4"/>
  <c r="CT23" i="4" s="1"/>
  <c r="EJ23" i="4" s="1"/>
  <c r="AN23" i="4"/>
  <c r="AM23" i="4"/>
  <c r="AL23" i="4"/>
  <c r="AK23" i="4"/>
  <c r="AJ23" i="4"/>
  <c r="AI23" i="4"/>
  <c r="AH23" i="4"/>
  <c r="AG23" i="4"/>
  <c r="AF23" i="4"/>
  <c r="AE23" i="4"/>
  <c r="AD23" i="4"/>
  <c r="AC23" i="4"/>
  <c r="L23" i="4"/>
  <c r="K23" i="4"/>
  <c r="J23" i="4"/>
  <c r="I23" i="4"/>
  <c r="H23" i="4"/>
  <c r="G23" i="4"/>
  <c r="F23" i="4"/>
  <c r="E23" i="4"/>
  <c r="D23" i="4"/>
  <c r="C23" i="4"/>
  <c r="B23" i="4"/>
  <c r="A23" i="4"/>
  <c r="BD22" i="4"/>
  <c r="CT22" i="4" s="1"/>
  <c r="EJ22" i="4" s="1"/>
  <c r="BD21" i="4"/>
  <c r="CT21" i="4" s="1"/>
  <c r="EJ21" i="4" s="1"/>
  <c r="AN21" i="4"/>
  <c r="AM21" i="4"/>
  <c r="AL21" i="4"/>
  <c r="AK21" i="4"/>
  <c r="AJ21" i="4"/>
  <c r="AI21" i="4"/>
  <c r="AH21" i="4"/>
  <c r="AG21" i="4"/>
  <c r="AF21" i="4"/>
  <c r="AE21" i="4"/>
  <c r="AD21" i="4"/>
  <c r="AC21" i="4"/>
  <c r="L21" i="4"/>
  <c r="K21" i="4"/>
  <c r="J21" i="4"/>
  <c r="I21" i="4"/>
  <c r="H21" i="4"/>
  <c r="G21" i="4"/>
  <c r="F21" i="4"/>
  <c r="E21" i="4"/>
  <c r="D21" i="4"/>
  <c r="C21" i="4"/>
  <c r="B21" i="4"/>
  <c r="A21" i="4"/>
  <c r="BD20" i="4"/>
  <c r="CT20" i="4" s="1"/>
  <c r="EJ20" i="4" s="1"/>
  <c r="AN20" i="4"/>
  <c r="AM20" i="4"/>
  <c r="AL20" i="4"/>
  <c r="AK20" i="4"/>
  <c r="AJ20" i="4"/>
  <c r="AI20" i="4"/>
  <c r="AH20" i="4"/>
  <c r="AG20" i="4"/>
  <c r="AF20" i="4"/>
  <c r="AE20" i="4"/>
  <c r="AD20" i="4"/>
  <c r="AC20" i="4"/>
  <c r="L20" i="4"/>
  <c r="K20" i="4"/>
  <c r="J20" i="4"/>
  <c r="I20" i="4"/>
  <c r="H20" i="4"/>
  <c r="G20" i="4"/>
  <c r="F20" i="4"/>
  <c r="E20" i="4"/>
  <c r="D20" i="4"/>
  <c r="C20" i="4"/>
  <c r="B20" i="4"/>
  <c r="A20" i="4"/>
  <c r="BD19" i="4"/>
  <c r="CT19" i="4" s="1"/>
  <c r="EJ19" i="4" s="1"/>
  <c r="AN19" i="4"/>
  <c r="AM19" i="4"/>
  <c r="AL19" i="4"/>
  <c r="AK19" i="4"/>
  <c r="AJ19" i="4"/>
  <c r="AI19" i="4"/>
  <c r="AH19" i="4"/>
  <c r="AG19" i="4"/>
  <c r="AF19" i="4"/>
  <c r="AE19" i="4"/>
  <c r="AD19" i="4"/>
  <c r="AC19" i="4"/>
  <c r="L19" i="4"/>
  <c r="K19" i="4"/>
  <c r="J19" i="4"/>
  <c r="I19" i="4"/>
  <c r="H19" i="4"/>
  <c r="G19" i="4"/>
  <c r="F19" i="4"/>
  <c r="E19" i="4"/>
  <c r="D19" i="4"/>
  <c r="C19" i="4"/>
  <c r="B19" i="4"/>
  <c r="A19" i="4"/>
  <c r="BD18" i="4"/>
  <c r="CT18" i="4" s="1"/>
  <c r="EJ18" i="4" s="1"/>
  <c r="AN18" i="4"/>
  <c r="AM18" i="4"/>
  <c r="AL18" i="4"/>
  <c r="AK18" i="4"/>
  <c r="AJ18" i="4"/>
  <c r="AI18" i="4"/>
  <c r="AH18" i="4"/>
  <c r="AG18" i="4"/>
  <c r="AF18" i="4"/>
  <c r="AE18" i="4"/>
  <c r="AD18" i="4"/>
  <c r="AC18" i="4"/>
  <c r="L18" i="4"/>
  <c r="K18" i="4"/>
  <c r="J18" i="4"/>
  <c r="I18" i="4"/>
  <c r="H18" i="4"/>
  <c r="G18" i="4"/>
  <c r="F18" i="4"/>
  <c r="E18" i="4"/>
  <c r="D18" i="4"/>
  <c r="C18" i="4"/>
  <c r="B18" i="4"/>
  <c r="A18" i="4"/>
  <c r="BD17" i="4"/>
  <c r="CT17" i="4" s="1"/>
  <c r="EJ17" i="4" s="1"/>
  <c r="BD16" i="4"/>
  <c r="CT16" i="4" s="1"/>
  <c r="EJ16" i="4" s="1"/>
  <c r="AN16" i="4"/>
  <c r="AM16" i="4"/>
  <c r="AL16" i="4"/>
  <c r="AK16" i="4"/>
  <c r="AJ16" i="4"/>
  <c r="AI16" i="4"/>
  <c r="AH16" i="4"/>
  <c r="AG16" i="4"/>
  <c r="AF16" i="4"/>
  <c r="AE16" i="4"/>
  <c r="AD16" i="4"/>
  <c r="AC16" i="4"/>
  <c r="L16" i="4"/>
  <c r="K16" i="4"/>
  <c r="J16" i="4"/>
  <c r="I16" i="4"/>
  <c r="H16" i="4"/>
  <c r="G16" i="4"/>
  <c r="F16" i="4"/>
  <c r="E16" i="4"/>
  <c r="D16" i="4"/>
  <c r="C16" i="4"/>
  <c r="B16" i="4"/>
  <c r="A16" i="4"/>
  <c r="BD15" i="4"/>
  <c r="CT15" i="4" s="1"/>
  <c r="EJ15" i="4" s="1"/>
  <c r="AN15" i="4"/>
  <c r="AM15" i="4"/>
  <c r="AL15" i="4"/>
  <c r="AK15" i="4"/>
  <c r="AJ15" i="4"/>
  <c r="AI15" i="4"/>
  <c r="AH15" i="4"/>
  <c r="AG15" i="4"/>
  <c r="AF15" i="4"/>
  <c r="AE15" i="4"/>
  <c r="AD15" i="4"/>
  <c r="AC15" i="4"/>
  <c r="L15" i="4"/>
  <c r="K15" i="4"/>
  <c r="J15" i="4"/>
  <c r="I15" i="4"/>
  <c r="H15" i="4"/>
  <c r="G15" i="4"/>
  <c r="F15" i="4"/>
  <c r="E15" i="4"/>
  <c r="D15" i="4"/>
  <c r="C15" i="4"/>
  <c r="B15" i="4"/>
  <c r="A15" i="4"/>
  <c r="BD14" i="4"/>
  <c r="CT14" i="4" s="1"/>
  <c r="EJ14" i="4" s="1"/>
  <c r="AN14" i="4"/>
  <c r="AM14" i="4"/>
  <c r="AL14" i="4"/>
  <c r="AK14" i="4"/>
  <c r="AJ14" i="4"/>
  <c r="AI14" i="4"/>
  <c r="AH14" i="4"/>
  <c r="AG14" i="4"/>
  <c r="AF14" i="4"/>
  <c r="AE14" i="4"/>
  <c r="AD14" i="4"/>
  <c r="AC14" i="4"/>
  <c r="L14" i="4"/>
  <c r="K14" i="4"/>
  <c r="J14" i="4"/>
  <c r="I14" i="4"/>
  <c r="H14" i="4"/>
  <c r="G14" i="4"/>
  <c r="F14" i="4"/>
  <c r="E14" i="4"/>
  <c r="D14" i="4"/>
  <c r="C14" i="4"/>
  <c r="B14" i="4"/>
  <c r="A14" i="4"/>
  <c r="BD13" i="4"/>
  <c r="CT13" i="4" s="1"/>
  <c r="EJ13" i="4" s="1"/>
  <c r="AN12" i="4"/>
  <c r="AM12" i="4"/>
  <c r="AL12" i="4"/>
  <c r="AK12" i="4"/>
  <c r="AJ12" i="4"/>
  <c r="AI12" i="4"/>
  <c r="AH12" i="4"/>
  <c r="AG12" i="4"/>
  <c r="AF12" i="4"/>
  <c r="AE12" i="4"/>
  <c r="AD12" i="4"/>
  <c r="AC12" i="4"/>
  <c r="L12" i="4"/>
  <c r="K12" i="4"/>
  <c r="J12" i="4"/>
  <c r="I12" i="4"/>
  <c r="H12" i="4"/>
  <c r="G12" i="4"/>
  <c r="F12" i="4"/>
  <c r="E12" i="4"/>
  <c r="D12" i="4"/>
  <c r="C12" i="4"/>
  <c r="B12" i="4"/>
  <c r="A12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L11" i="4"/>
  <c r="K11" i="4"/>
  <c r="J11" i="4"/>
  <c r="I11" i="4"/>
  <c r="H11" i="4"/>
  <c r="G11" i="4"/>
  <c r="F11" i="4"/>
  <c r="E11" i="4"/>
  <c r="D11" i="4"/>
  <c r="C11" i="4"/>
  <c r="B11" i="4"/>
  <c r="A11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L10" i="4"/>
  <c r="K10" i="4"/>
  <c r="J10" i="4"/>
  <c r="I10" i="4"/>
  <c r="H10" i="4"/>
  <c r="G10" i="4"/>
  <c r="F10" i="4"/>
  <c r="E10" i="4"/>
  <c r="D10" i="4"/>
  <c r="C10" i="4"/>
  <c r="B10" i="4"/>
  <c r="A10" i="4"/>
  <c r="AN9" i="4"/>
  <c r="AM9" i="4"/>
  <c r="AL9" i="4"/>
  <c r="AK9" i="4"/>
  <c r="AJ9" i="4"/>
  <c r="AI9" i="4"/>
  <c r="AH9" i="4"/>
  <c r="AG9" i="4"/>
  <c r="AF9" i="4"/>
  <c r="AE9" i="4"/>
  <c r="AD9" i="4"/>
  <c r="AC9" i="4"/>
  <c r="L9" i="4"/>
  <c r="K9" i="4"/>
  <c r="J9" i="4"/>
  <c r="I9" i="4"/>
  <c r="H9" i="4"/>
  <c r="G9" i="4"/>
  <c r="F9" i="4"/>
  <c r="E9" i="4"/>
  <c r="D9" i="4"/>
  <c r="C9" i="4"/>
  <c r="B9" i="4"/>
  <c r="A9" i="4"/>
  <c r="BD8" i="4"/>
  <c r="CT8" i="4" s="1"/>
  <c r="EJ8" i="4" s="1"/>
  <c r="BD7" i="4"/>
  <c r="CT7" i="4" s="1"/>
  <c r="EJ7" i="4" s="1"/>
  <c r="AN7" i="4"/>
  <c r="AM7" i="4"/>
  <c r="AL7" i="4"/>
  <c r="AK7" i="4"/>
  <c r="AJ7" i="4"/>
  <c r="AI7" i="4"/>
  <c r="AH7" i="4"/>
  <c r="AG7" i="4"/>
  <c r="AF7" i="4"/>
  <c r="AE7" i="4"/>
  <c r="AD7" i="4"/>
  <c r="AC7" i="4"/>
  <c r="L7" i="4"/>
  <c r="K7" i="4"/>
  <c r="J7" i="4"/>
  <c r="I7" i="4"/>
  <c r="H7" i="4"/>
  <c r="G7" i="4"/>
  <c r="F7" i="4"/>
  <c r="E7" i="4"/>
  <c r="D7" i="4"/>
  <c r="C7" i="4"/>
  <c r="B7" i="4"/>
  <c r="A7" i="4"/>
  <c r="BD6" i="4"/>
  <c r="CT6" i="4" s="1"/>
  <c r="EJ6" i="4" s="1"/>
  <c r="BD5" i="4"/>
  <c r="CT5" i="4" s="1"/>
  <c r="EJ5" i="4" s="1"/>
  <c r="BD4" i="4"/>
  <c r="CT4" i="4" s="1"/>
  <c r="EJ4" i="4" s="1"/>
  <c r="AN4" i="4"/>
  <c r="AM4" i="4"/>
  <c r="AL4" i="4"/>
  <c r="AK4" i="4"/>
  <c r="AJ4" i="4"/>
  <c r="AI4" i="4"/>
  <c r="AH4" i="4"/>
  <c r="AG4" i="4"/>
  <c r="AF4" i="4"/>
  <c r="AE4" i="4"/>
  <c r="AD4" i="4"/>
  <c r="AC4" i="4"/>
  <c r="L4" i="4"/>
  <c r="K4" i="4"/>
  <c r="J4" i="4"/>
  <c r="I4" i="4"/>
  <c r="H4" i="4"/>
  <c r="G4" i="4"/>
  <c r="F4" i="4"/>
  <c r="E4" i="4"/>
  <c r="D4" i="4"/>
  <c r="C4" i="4"/>
  <c r="B4" i="4"/>
  <c r="A4" i="4"/>
  <c r="BD3" i="4"/>
  <c r="CT3" i="4" s="1"/>
  <c r="EJ3" i="4" s="1"/>
  <c r="BD1" i="4"/>
  <c r="CT1" i="4" s="1"/>
  <c r="EJ1" i="4" s="1"/>
  <c r="L30" i="5"/>
  <c r="K30" i="5"/>
  <c r="J30" i="5"/>
  <c r="I30" i="5"/>
  <c r="H30" i="5"/>
  <c r="G30" i="5"/>
  <c r="F30" i="5"/>
  <c r="E30" i="5"/>
  <c r="D30" i="5"/>
  <c r="C30" i="5"/>
  <c r="B30" i="5"/>
  <c r="A30" i="5"/>
  <c r="AN239" i="5"/>
  <c r="AM239" i="5"/>
  <c r="AL239" i="5"/>
  <c r="AK239" i="5"/>
  <c r="AJ239" i="5"/>
  <c r="AI239" i="5"/>
  <c r="AH239" i="5"/>
  <c r="AG239" i="5"/>
  <c r="AF239" i="5"/>
  <c r="AE239" i="5"/>
  <c r="AD239" i="5"/>
  <c r="AC239" i="5"/>
  <c r="AN238" i="5"/>
  <c r="AM238" i="5"/>
  <c r="AL238" i="5"/>
  <c r="AK238" i="5"/>
  <c r="AJ238" i="5"/>
  <c r="AI238" i="5"/>
  <c r="AH238" i="5"/>
  <c r="AG238" i="5"/>
  <c r="AF238" i="5"/>
  <c r="AE238" i="5"/>
  <c r="AD238" i="5"/>
  <c r="AC238" i="5"/>
  <c r="AN237" i="5"/>
  <c r="AM237" i="5"/>
  <c r="AL237" i="5"/>
  <c r="AK237" i="5"/>
  <c r="AJ237" i="5"/>
  <c r="AI237" i="5"/>
  <c r="AH237" i="5"/>
  <c r="AG237" i="5"/>
  <c r="AF237" i="5"/>
  <c r="AE237" i="5"/>
  <c r="AD237" i="5"/>
  <c r="AC237" i="5"/>
  <c r="AN221" i="5"/>
  <c r="AM221" i="5"/>
  <c r="AL221" i="5"/>
  <c r="AK221" i="5"/>
  <c r="AJ221" i="5"/>
  <c r="AI221" i="5"/>
  <c r="AH221" i="5"/>
  <c r="AG221" i="5"/>
  <c r="AF221" i="5"/>
  <c r="AE221" i="5"/>
  <c r="AD221" i="5"/>
  <c r="AC221" i="5"/>
  <c r="AN217" i="5"/>
  <c r="AM217" i="5"/>
  <c r="AL217" i="5"/>
  <c r="AK217" i="5"/>
  <c r="AJ217" i="5"/>
  <c r="AI217" i="5"/>
  <c r="AH217" i="5"/>
  <c r="AG217" i="5"/>
  <c r="AF217" i="5"/>
  <c r="AE217" i="5"/>
  <c r="AD217" i="5"/>
  <c r="AC217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N9" i="5"/>
  <c r="AM9" i="5"/>
  <c r="AL9" i="5"/>
  <c r="AK9" i="5"/>
  <c r="AJ9" i="5"/>
  <c r="AI9" i="5"/>
  <c r="AH9" i="5"/>
  <c r="AG9" i="5"/>
  <c r="AF9" i="5"/>
  <c r="AE9" i="5"/>
  <c r="AD9" i="5"/>
  <c r="AC9" i="5"/>
  <c r="Z239" i="5"/>
  <c r="Y239" i="5"/>
  <c r="X239" i="5"/>
  <c r="AB239" i="5" s="1"/>
  <c r="W239" i="5"/>
  <c r="V239" i="5"/>
  <c r="U239" i="5"/>
  <c r="T239" i="5"/>
  <c r="S239" i="5"/>
  <c r="R239" i="5"/>
  <c r="Q239" i="5"/>
  <c r="P239" i="5"/>
  <c r="O239" i="5"/>
  <c r="Z238" i="5"/>
  <c r="Y238" i="5"/>
  <c r="X238" i="5"/>
  <c r="AB238" i="5" s="1"/>
  <c r="W238" i="5"/>
  <c r="V238" i="5"/>
  <c r="U238" i="5"/>
  <c r="T238" i="5"/>
  <c r="S238" i="5"/>
  <c r="R238" i="5"/>
  <c r="Q238" i="5"/>
  <c r="P238" i="5"/>
  <c r="O238" i="5"/>
  <c r="Z237" i="5"/>
  <c r="Y237" i="5"/>
  <c r="X237" i="5"/>
  <c r="AB237" i="5" s="1"/>
  <c r="W237" i="5"/>
  <c r="V237" i="5"/>
  <c r="U237" i="5"/>
  <c r="T237" i="5"/>
  <c r="S237" i="5"/>
  <c r="R237" i="5"/>
  <c r="Q237" i="5"/>
  <c r="P237" i="5"/>
  <c r="O237" i="5"/>
  <c r="Z217" i="5"/>
  <c r="Y217" i="5"/>
  <c r="X217" i="5"/>
  <c r="AB217" i="5" s="1"/>
  <c r="W217" i="5"/>
  <c r="V217" i="5"/>
  <c r="U217" i="5"/>
  <c r="T217" i="5"/>
  <c r="S217" i="5"/>
  <c r="R217" i="5"/>
  <c r="Q217" i="5"/>
  <c r="P217" i="5"/>
  <c r="O217" i="5"/>
  <c r="Z56" i="5"/>
  <c r="Y56" i="5"/>
  <c r="X56" i="5"/>
  <c r="AB56" i="5" s="1"/>
  <c r="W56" i="5"/>
  <c r="V56" i="5"/>
  <c r="U56" i="5"/>
  <c r="T56" i="5"/>
  <c r="S56" i="5"/>
  <c r="R56" i="5"/>
  <c r="Q56" i="5"/>
  <c r="P56" i="5"/>
  <c r="O56" i="5"/>
  <c r="Z53" i="5"/>
  <c r="Y53" i="5"/>
  <c r="X53" i="5"/>
  <c r="AB53" i="5" s="1"/>
  <c r="W53" i="5"/>
  <c r="V53" i="5"/>
  <c r="U53" i="5"/>
  <c r="T53" i="5"/>
  <c r="S53" i="5"/>
  <c r="R53" i="5"/>
  <c r="Q53" i="5"/>
  <c r="P53" i="5"/>
  <c r="O53" i="5"/>
  <c r="Z52" i="5"/>
  <c r="Y52" i="5"/>
  <c r="X52" i="5"/>
  <c r="AB52" i="5" s="1"/>
  <c r="W52" i="5"/>
  <c r="V52" i="5"/>
  <c r="U52" i="5"/>
  <c r="T52" i="5"/>
  <c r="S52" i="5"/>
  <c r="R52" i="5"/>
  <c r="Q52" i="5"/>
  <c r="P52" i="5"/>
  <c r="O52" i="5"/>
  <c r="Z50" i="5"/>
  <c r="Y50" i="5"/>
  <c r="X50" i="5"/>
  <c r="AB50" i="5" s="1"/>
  <c r="W50" i="5"/>
  <c r="V50" i="5"/>
  <c r="U50" i="5"/>
  <c r="T50" i="5"/>
  <c r="S50" i="5"/>
  <c r="R50" i="5"/>
  <c r="Q50" i="5"/>
  <c r="P50" i="5"/>
  <c r="O50" i="5"/>
  <c r="Z37" i="5"/>
  <c r="Y37" i="5"/>
  <c r="X37" i="5"/>
  <c r="AB37" i="5" s="1"/>
  <c r="W37" i="5"/>
  <c r="V37" i="5"/>
  <c r="U37" i="5"/>
  <c r="T37" i="5"/>
  <c r="S37" i="5"/>
  <c r="R37" i="5"/>
  <c r="Q37" i="5"/>
  <c r="P37" i="5"/>
  <c r="O37" i="5"/>
  <c r="Z23" i="5"/>
  <c r="Y23" i="5"/>
  <c r="X23" i="5"/>
  <c r="W23" i="5"/>
  <c r="V23" i="5"/>
  <c r="U23" i="5"/>
  <c r="T23" i="5"/>
  <c r="S23" i="5"/>
  <c r="R23" i="5"/>
  <c r="Q23" i="5"/>
  <c r="P23" i="5"/>
  <c r="O23" i="5"/>
  <c r="Z18" i="5"/>
  <c r="Y18" i="5"/>
  <c r="X18" i="5"/>
  <c r="W18" i="5"/>
  <c r="V18" i="5"/>
  <c r="U18" i="5"/>
  <c r="T18" i="5"/>
  <c r="S18" i="5"/>
  <c r="R18" i="5"/>
  <c r="Q18" i="5"/>
  <c r="P18" i="5"/>
  <c r="O18" i="5"/>
  <c r="Z12" i="5"/>
  <c r="Y12" i="5"/>
  <c r="X12" i="5"/>
  <c r="W12" i="5"/>
  <c r="V12" i="5"/>
  <c r="U12" i="5"/>
  <c r="T12" i="5"/>
  <c r="S12" i="5"/>
  <c r="R12" i="5"/>
  <c r="Q12" i="5"/>
  <c r="P12" i="5"/>
  <c r="O12" i="5"/>
  <c r="Z11" i="5"/>
  <c r="Y11" i="5"/>
  <c r="X11" i="5"/>
  <c r="W11" i="5"/>
  <c r="V11" i="5"/>
  <c r="U11" i="5"/>
  <c r="T11" i="5"/>
  <c r="S11" i="5"/>
  <c r="R11" i="5"/>
  <c r="Q11" i="5"/>
  <c r="P11" i="5"/>
  <c r="O11" i="5"/>
  <c r="Z10" i="5"/>
  <c r="Y10" i="5"/>
  <c r="X10" i="5"/>
  <c r="W10" i="5"/>
  <c r="V10" i="5"/>
  <c r="U10" i="5"/>
  <c r="T10" i="5"/>
  <c r="S10" i="5"/>
  <c r="R10" i="5"/>
  <c r="Q10" i="5"/>
  <c r="P10" i="5"/>
  <c r="O10" i="5"/>
  <c r="Z9" i="5"/>
  <c r="Y9" i="5"/>
  <c r="X9" i="5"/>
  <c r="W9" i="5"/>
  <c r="V9" i="5"/>
  <c r="U9" i="5"/>
  <c r="T9" i="5"/>
  <c r="S9" i="5"/>
  <c r="R9" i="5"/>
  <c r="Q9" i="5"/>
  <c r="P9" i="5"/>
  <c r="O9" i="5"/>
  <c r="Z4" i="5"/>
  <c r="Y4" i="5"/>
  <c r="X4" i="5"/>
  <c r="W4" i="5"/>
  <c r="V4" i="5"/>
  <c r="U4" i="5"/>
  <c r="T4" i="5"/>
  <c r="S4" i="5"/>
  <c r="R4" i="5"/>
  <c r="Q4" i="5"/>
  <c r="P4" i="5"/>
  <c r="O4" i="5"/>
  <c r="CO43" i="4" l="1"/>
  <c r="CO47" i="4" s="1"/>
  <c r="EG6" i="4"/>
  <c r="EB292" i="23"/>
  <c r="AB241" i="8"/>
  <c r="F292" i="23"/>
  <c r="AB57" i="8"/>
  <c r="CN43" i="4"/>
  <c r="CN47" i="4" s="1"/>
  <c r="AZ58" i="4"/>
  <c r="AR6" i="4"/>
  <c r="AR58" i="4"/>
  <c r="AS43" i="4"/>
  <c r="AS47" i="4" s="1"/>
  <c r="CH6" i="4"/>
  <c r="DX58" i="4"/>
  <c r="DX6" i="4"/>
  <c r="AQ218" i="4"/>
  <c r="BT6" i="4"/>
  <c r="DY58" i="4"/>
  <c r="CG218" i="4"/>
  <c r="DJ6" i="4"/>
  <c r="AS58" i="4"/>
  <c r="AS71" i="6"/>
  <c r="AS72" i="6" s="1"/>
  <c r="CR71" i="5"/>
  <c r="CR72" i="5" s="1"/>
  <c r="DW75" i="4"/>
  <c r="DW43" i="4"/>
  <c r="DW47" i="4" s="1"/>
  <c r="DS6" i="4"/>
  <c r="DZ71" i="7"/>
  <c r="DZ72" i="7" s="1"/>
  <c r="DW218" i="4"/>
  <c r="CG43" i="4"/>
  <c r="CG47" i="4" s="1"/>
  <c r="CQ58" i="4"/>
  <c r="EH58" i="4"/>
  <c r="BU6" i="4"/>
  <c r="FJ6" i="4"/>
  <c r="BB43" i="4"/>
  <c r="BB47" i="4" s="1"/>
  <c r="DY6" i="4"/>
  <c r="EA71" i="6"/>
  <c r="EA72" i="6" s="1"/>
  <c r="BA43" i="4"/>
  <c r="BA47" i="4" s="1"/>
  <c r="EH218" i="4"/>
  <c r="DT6" i="4"/>
  <c r="DK6" i="4"/>
  <c r="CH58" i="4"/>
  <c r="FI6" i="4"/>
  <c r="AZ218" i="4"/>
  <c r="AS75" i="4"/>
  <c r="FG6" i="4"/>
  <c r="EF6" i="4"/>
  <c r="ED6" i="4"/>
  <c r="FF6" i="4"/>
  <c r="EG58" i="4"/>
  <c r="EF71" i="7"/>
  <c r="EF72" i="7" s="1"/>
  <c r="ED58" i="4"/>
  <c r="AX218" i="4"/>
  <c r="CO218" i="4"/>
  <c r="AY218" i="4"/>
  <c r="EE6" i="4"/>
  <c r="EE75" i="4"/>
  <c r="AY58" i="4"/>
  <c r="ED218" i="4"/>
  <c r="EE71" i="6"/>
  <c r="EE72" i="6" s="1"/>
  <c r="AY75" i="4"/>
  <c r="FE6" i="4"/>
  <c r="EF58" i="4"/>
  <c r="EG71" i="7"/>
  <c r="EG72" i="7" s="1"/>
  <c r="CQ233" i="7"/>
  <c r="CQ249" i="7" s="1"/>
  <c r="CQ250" i="7" s="1"/>
  <c r="CN6" i="4"/>
  <c r="AW71" i="6"/>
  <c r="AW72" i="6" s="1"/>
  <c r="CR58" i="4"/>
  <c r="EH43" i="4"/>
  <c r="EH47" i="4" s="1"/>
  <c r="EI70" i="6"/>
  <c r="EB6" i="4"/>
  <c r="DY71" i="7"/>
  <c r="DY72" i="7" s="1"/>
  <c r="AX71" i="6"/>
  <c r="AX72" i="6" s="1"/>
  <c r="BY6" i="4"/>
  <c r="FC6" i="4"/>
  <c r="AW43" i="4"/>
  <c r="AW47" i="4" s="1"/>
  <c r="EC6" i="4"/>
  <c r="CL58" i="4"/>
  <c r="FA6" i="4"/>
  <c r="AV43" i="4"/>
  <c r="AV47" i="4" s="1"/>
  <c r="ED71" i="7"/>
  <c r="ED72" i="7" s="1"/>
  <c r="DO6" i="4"/>
  <c r="EC58" i="4"/>
  <c r="CL6" i="4"/>
  <c r="BX6" i="4"/>
  <c r="EC71" i="6"/>
  <c r="EC72" i="6" s="1"/>
  <c r="CJ6" i="4"/>
  <c r="AU58" i="4"/>
  <c r="CK218" i="4"/>
  <c r="CK115" i="4"/>
  <c r="AV58" i="4"/>
  <c r="AQ75" i="4"/>
  <c r="AV6" i="4"/>
  <c r="EA75" i="4"/>
  <c r="CC6" i="4"/>
  <c r="AW6" i="4"/>
  <c r="BA75" i="4"/>
  <c r="CJ58" i="4"/>
  <c r="EG75" i="4"/>
  <c r="CK6" i="4"/>
  <c r="AT43" i="4"/>
  <c r="AT47" i="4" s="1"/>
  <c r="DL6" i="4"/>
  <c r="AU218" i="4"/>
  <c r="EA58" i="4"/>
  <c r="EB58" i="4"/>
  <c r="AT75" i="4"/>
  <c r="EA43" i="4"/>
  <c r="EA47" i="4" s="1"/>
  <c r="AW75" i="4"/>
  <c r="DW71" i="7"/>
  <c r="DW72" i="7" s="1"/>
  <c r="BB71" i="6"/>
  <c r="BB72" i="6" s="1"/>
  <c r="DZ43" i="4"/>
  <c r="DZ47" i="4" s="1"/>
  <c r="BA6" i="4"/>
  <c r="CI233" i="7"/>
  <c r="CI249" i="7" s="1"/>
  <c r="CI250" i="7" s="1"/>
  <c r="EH71" i="7"/>
  <c r="EH72" i="7" s="1"/>
  <c r="EE71" i="7"/>
  <c r="EE72" i="7" s="1"/>
  <c r="AU43" i="4"/>
  <c r="AU47" i="4" s="1"/>
  <c r="DZ58" i="4"/>
  <c r="CN58" i="4"/>
  <c r="AV71" i="7"/>
  <c r="AV72" i="7" s="1"/>
  <c r="AX230" i="6"/>
  <c r="CJ218" i="4"/>
  <c r="AT218" i="4"/>
  <c r="AW58" i="4"/>
  <c r="EH70" i="4"/>
  <c r="CR218" i="4"/>
  <c r="ED43" i="4"/>
  <c r="ED47" i="4" s="1"/>
  <c r="CH233" i="7"/>
  <c r="CH249" i="7" s="1"/>
  <c r="CH250" i="7" s="1"/>
  <c r="CA6" i="4"/>
  <c r="DP6" i="4"/>
  <c r="CN218" i="4"/>
  <c r="EC71" i="7"/>
  <c r="EC72" i="7" s="1"/>
  <c r="AO58" i="8"/>
  <c r="AO71" i="8" s="1"/>
  <c r="AX43" i="4"/>
  <c r="AX47" i="4" s="1"/>
  <c r="AS70" i="4"/>
  <c r="CJ71" i="5"/>
  <c r="CJ72" i="5" s="1"/>
  <c r="CJ43" i="4"/>
  <c r="CJ47" i="4" s="1"/>
  <c r="AQ58" i="4"/>
  <c r="BB218" i="4"/>
  <c r="EA71" i="7"/>
  <c r="EA72" i="7" s="1"/>
  <c r="AT71" i="6"/>
  <c r="AT72" i="6" s="1"/>
  <c r="CR43" i="4"/>
  <c r="CR47" i="4" s="1"/>
  <c r="CR75" i="4"/>
  <c r="EB71" i="7"/>
  <c r="EB72" i="7" s="1"/>
  <c r="DY230" i="6"/>
  <c r="DY231" i="6" s="1"/>
  <c r="Z30" i="4"/>
  <c r="Z30" i="1" s="1"/>
  <c r="Y4" i="4"/>
  <c r="Y4" i="1" s="1"/>
  <c r="CJ75" i="4"/>
  <c r="AQ230" i="7"/>
  <c r="AQ231" i="7" s="1"/>
  <c r="DY230" i="7"/>
  <c r="DY231" i="7" s="1"/>
  <c r="AL71" i="8"/>
  <c r="AL72" i="8" s="1"/>
  <c r="AR218" i="4"/>
  <c r="CI58" i="4"/>
  <c r="Z23" i="4"/>
  <c r="Z23" i="1" s="1"/>
  <c r="DY75" i="4"/>
  <c r="EG71" i="6"/>
  <c r="CI230" i="6"/>
  <c r="CI231" i="6" s="1"/>
  <c r="AS6" i="4"/>
  <c r="CR233" i="7"/>
  <c r="CR249" i="7" s="1"/>
  <c r="CR250" i="7" s="1"/>
  <c r="Y30" i="4"/>
  <c r="Y30" i="1" s="1"/>
  <c r="Y50" i="4"/>
  <c r="Y50" i="1" s="1"/>
  <c r="Y23" i="4"/>
  <c r="Y23" i="1" s="1"/>
  <c r="Z4" i="4"/>
  <c r="Z4" i="1" s="1"/>
  <c r="AT230" i="6"/>
  <c r="AT231" i="6" s="1"/>
  <c r="U23" i="4"/>
  <c r="U23" i="1" s="1"/>
  <c r="DX71" i="7"/>
  <c r="DX72" i="7" s="1"/>
  <c r="CS71" i="7"/>
  <c r="CS72" i="7" s="1"/>
  <c r="U18" i="4"/>
  <c r="U18" i="1" s="1"/>
  <c r="CH43" i="4"/>
  <c r="CH47" i="4" s="1"/>
  <c r="CM6" i="4"/>
  <c r="CQ230" i="6"/>
  <c r="CQ231" i="6" s="1"/>
  <c r="U4" i="4"/>
  <c r="U4" i="1" s="1"/>
  <c r="D71" i="8"/>
  <c r="D72" i="8" s="1"/>
  <c r="Z50" i="4"/>
  <c r="Z50" i="1" s="1"/>
  <c r="Y18" i="4"/>
  <c r="Y18" i="1" s="1"/>
  <c r="CQ71" i="5"/>
  <c r="CQ72" i="5" s="1"/>
  <c r="DZ71" i="6"/>
  <c r="DZ72" i="6" s="1"/>
  <c r="AF38" i="5"/>
  <c r="M230" i="8"/>
  <c r="AI26" i="1"/>
  <c r="EG230" i="6"/>
  <c r="EG231" i="6" s="1"/>
  <c r="Q23" i="4"/>
  <c r="Q23" i="1" s="1"/>
  <c r="Z18" i="4"/>
  <c r="Z18" i="1" s="1"/>
  <c r="DU6" i="6"/>
  <c r="L71" i="8"/>
  <c r="L72" i="8" s="1"/>
  <c r="Q4" i="4"/>
  <c r="Q4" i="1" s="1"/>
  <c r="BC70" i="6"/>
  <c r="E230" i="8"/>
  <c r="E231" i="8" s="1"/>
  <c r="EF230" i="7"/>
  <c r="EF231" i="7" s="1"/>
  <c r="DZ6" i="4"/>
  <c r="AQ6" i="5"/>
  <c r="E25" i="23" s="1"/>
  <c r="DU6" i="7"/>
  <c r="CM58" i="4"/>
  <c r="CJ71" i="6"/>
  <c r="CJ72" i="6" s="1"/>
  <c r="CK71" i="6"/>
  <c r="CK72" i="6" s="1"/>
  <c r="F71" i="8"/>
  <c r="F72" i="8" s="1"/>
  <c r="U50" i="4"/>
  <c r="U50" i="1" s="1"/>
  <c r="CM71" i="6"/>
  <c r="CM72" i="6" s="1"/>
  <c r="CI6" i="4"/>
  <c r="FB6" i="4"/>
  <c r="CR231" i="7"/>
  <c r="DZ218" i="4"/>
  <c r="AJ26" i="1"/>
  <c r="AG217" i="1"/>
  <c r="AH217" i="1"/>
  <c r="DZ70" i="4"/>
  <c r="AI217" i="1"/>
  <c r="AK217" i="1"/>
  <c r="AL217" i="1"/>
  <c r="AU75" i="4"/>
  <c r="AJ217" i="1"/>
  <c r="AM217" i="1"/>
  <c r="EA6" i="4"/>
  <c r="F293" i="23"/>
  <c r="BW6" i="4"/>
  <c r="AW230" i="6"/>
  <c r="AW231" i="6" s="1"/>
  <c r="DN6" i="4"/>
  <c r="AZ71" i="6"/>
  <c r="AZ72" i="6" s="1"/>
  <c r="BC6" i="6"/>
  <c r="BC71" i="6" s="1"/>
  <c r="CB6" i="4"/>
  <c r="ED71" i="6"/>
  <c r="ED72" i="6" s="1"/>
  <c r="EG115" i="4"/>
  <c r="CR6" i="4"/>
  <c r="CQ71" i="6"/>
  <c r="CL43" i="4"/>
  <c r="CL47" i="4" s="1"/>
  <c r="EA218" i="4"/>
  <c r="EC75" i="4"/>
  <c r="CO75" i="4"/>
  <c r="AR71" i="6"/>
  <c r="AR72" i="6" s="1"/>
  <c r="AV70" i="4"/>
  <c r="CN230" i="6"/>
  <c r="CN231" i="6" s="1"/>
  <c r="BA71" i="6"/>
  <c r="BA72" i="6" s="1"/>
  <c r="AF10" i="1"/>
  <c r="AF11" i="1"/>
  <c r="AF12" i="1"/>
  <c r="AF69" i="1"/>
  <c r="CS6" i="6"/>
  <c r="CS71" i="6" s="1"/>
  <c r="V4" i="4"/>
  <c r="V4" i="1" s="1"/>
  <c r="BA58" i="4"/>
  <c r="CG230" i="6"/>
  <c r="CG231" i="6" s="1"/>
  <c r="EF230" i="6"/>
  <c r="EF231" i="6" s="1"/>
  <c r="EE218" i="4"/>
  <c r="DF236" i="4"/>
  <c r="AW115" i="4"/>
  <c r="CL70" i="4"/>
  <c r="W18" i="4"/>
  <c r="W18" i="1" s="1"/>
  <c r="BB75" i="4"/>
  <c r="ED230" i="7"/>
  <c r="ED231" i="7" s="1"/>
  <c r="AG10" i="1"/>
  <c r="AG12" i="1"/>
  <c r="Z37" i="4"/>
  <c r="Z37" i="1" s="1"/>
  <c r="CE6" i="7"/>
  <c r="AG11" i="1"/>
  <c r="S4" i="4"/>
  <c r="S4" i="1" s="1"/>
  <c r="X9" i="4"/>
  <c r="X9" i="1" s="1"/>
  <c r="BC70" i="7"/>
  <c r="EH230" i="7"/>
  <c r="EH231" i="7" s="1"/>
  <c r="DX230" i="7"/>
  <c r="DX231" i="7" s="1"/>
  <c r="DZ230" i="7"/>
  <c r="DZ231" i="7" s="1"/>
  <c r="EC230" i="7"/>
  <c r="EG230" i="7"/>
  <c r="EG231" i="7" s="1"/>
  <c r="CQ231" i="7"/>
  <c r="CM233" i="7"/>
  <c r="CM249" i="7" s="1"/>
  <c r="CM250" i="7" s="1"/>
  <c r="EF70" i="4"/>
  <c r="EC115" i="4"/>
  <c r="EA230" i="7"/>
  <c r="DX115" i="4"/>
  <c r="X18" i="4"/>
  <c r="X18" i="1" s="1"/>
  <c r="EI70" i="7"/>
  <c r="EI13" i="4"/>
  <c r="CO233" i="7"/>
  <c r="CO249" i="7" s="1"/>
  <c r="CO250" i="7" s="1"/>
  <c r="Z237" i="4"/>
  <c r="Z237" i="1" s="1"/>
  <c r="BA70" i="4"/>
  <c r="CO115" i="4"/>
  <c r="AU230" i="7"/>
  <c r="AU231" i="7" s="1"/>
  <c r="BA115" i="4"/>
  <c r="B227" i="4"/>
  <c r="AK38" i="5"/>
  <c r="DG8" i="5"/>
  <c r="AM38" i="5"/>
  <c r="J71" i="8"/>
  <c r="J72" i="8" s="1"/>
  <c r="H71" i="8"/>
  <c r="H72" i="8" s="1"/>
  <c r="L230" i="8"/>
  <c r="L231" i="8" s="1"/>
  <c r="CJ233" i="7"/>
  <c r="CJ249" i="7" s="1"/>
  <c r="CJ250" i="7" s="1"/>
  <c r="CN233" i="7"/>
  <c r="CN249" i="7" s="1"/>
  <c r="CN250" i="7" s="1"/>
  <c r="CH231" i="7"/>
  <c r="CP233" i="7"/>
  <c r="CP249" i="7" s="1"/>
  <c r="CP250" i="7" s="1"/>
  <c r="EI218" i="6"/>
  <c r="DX230" i="6"/>
  <c r="DX231" i="6" s="1"/>
  <c r="AG69" i="1"/>
  <c r="AS71" i="7"/>
  <c r="AS72" i="7" s="1"/>
  <c r="W50" i="4"/>
  <c r="AD50" i="1"/>
  <c r="CK58" i="4"/>
  <c r="P50" i="4"/>
  <c r="P50" i="1" s="1"/>
  <c r="V50" i="4"/>
  <c r="V50" i="1" s="1"/>
  <c r="AF51" i="1"/>
  <c r="BA71" i="7"/>
  <c r="BA72" i="7" s="1"/>
  <c r="AH10" i="1"/>
  <c r="AH11" i="1"/>
  <c r="AH69" i="1"/>
  <c r="AI11" i="1"/>
  <c r="AI69" i="1"/>
  <c r="EI205" i="4"/>
  <c r="AJ10" i="1"/>
  <c r="AJ12" i="1"/>
  <c r="AJ69" i="1"/>
  <c r="EI218" i="7"/>
  <c r="AK11" i="1"/>
  <c r="AL10" i="1"/>
  <c r="DY115" i="4"/>
  <c r="CQ6" i="4"/>
  <c r="CG6" i="4"/>
  <c r="AN24" i="1"/>
  <c r="AC18" i="1"/>
  <c r="AC53" i="1"/>
  <c r="AY230" i="7"/>
  <c r="AY231" i="7" s="1"/>
  <c r="AD10" i="1"/>
  <c r="AD11" i="1"/>
  <c r="AD12" i="1"/>
  <c r="AD18" i="1"/>
  <c r="AD19" i="1"/>
  <c r="AD23" i="1"/>
  <c r="AD25" i="1"/>
  <c r="AD52" i="1"/>
  <c r="AD53" i="1"/>
  <c r="AD65" i="1"/>
  <c r="AD69" i="1"/>
  <c r="R18" i="4"/>
  <c r="R18" i="1" s="1"/>
  <c r="S23" i="4"/>
  <c r="S23" i="1" s="1"/>
  <c r="X237" i="4"/>
  <c r="X237" i="1" s="1"/>
  <c r="EE230" i="7"/>
  <c r="EE231" i="7" s="1"/>
  <c r="AH12" i="1"/>
  <c r="CO156" i="4"/>
  <c r="AI10" i="1"/>
  <c r="AI12" i="1"/>
  <c r="AI68" i="1"/>
  <c r="AV156" i="4"/>
  <c r="AJ11" i="1"/>
  <c r="X4" i="4"/>
  <c r="X4" i="1" s="1"/>
  <c r="AK10" i="1"/>
  <c r="AN10" i="1"/>
  <c r="AN11" i="1"/>
  <c r="AN19" i="1"/>
  <c r="AN20" i="1"/>
  <c r="T18" i="4"/>
  <c r="T18" i="1" s="1"/>
  <c r="X238" i="4"/>
  <c r="X238" i="1" s="1"/>
  <c r="Z10" i="4"/>
  <c r="Z10" i="1" s="1"/>
  <c r="AC23" i="1"/>
  <c r="AC65" i="1"/>
  <c r="R23" i="4"/>
  <c r="R23" i="1" s="1"/>
  <c r="P23" i="4"/>
  <c r="P23" i="1" s="1"/>
  <c r="V18" i="4"/>
  <c r="V18" i="1" s="1"/>
  <c r="AE10" i="1"/>
  <c r="AE11" i="1"/>
  <c r="AE12" i="1"/>
  <c r="AE50" i="1"/>
  <c r="AE51" i="1"/>
  <c r="AE52" i="1"/>
  <c r="AE69" i="1"/>
  <c r="W4" i="4"/>
  <c r="W4" i="1" s="1"/>
  <c r="AW70" i="4"/>
  <c r="EB43" i="4"/>
  <c r="EB47" i="4" s="1"/>
  <c r="R4" i="4"/>
  <c r="R4" i="1" s="1"/>
  <c r="T30" i="4"/>
  <c r="T30" i="1" s="1"/>
  <c r="EW4" i="4"/>
  <c r="AD20" i="1"/>
  <c r="DW230" i="6"/>
  <c r="DW231" i="6" s="1"/>
  <c r="AF19" i="1"/>
  <c r="AF21" i="1"/>
  <c r="AF237" i="1"/>
  <c r="CR71" i="6"/>
  <c r="CR72" i="6" s="1"/>
  <c r="CO71" i="6"/>
  <c r="CO72" i="6" s="1"/>
  <c r="AG19" i="1"/>
  <c r="AG20" i="1"/>
  <c r="AG26" i="1"/>
  <c r="AG50" i="1"/>
  <c r="AG68" i="1"/>
  <c r="DX75" i="4"/>
  <c r="EH230" i="6"/>
  <c r="EH231" i="6" s="1"/>
  <c r="U30" i="4"/>
  <c r="U30" i="1" s="1"/>
  <c r="AX75" i="4"/>
  <c r="CS70" i="6"/>
  <c r="AF20" i="1"/>
  <c r="AF26" i="1"/>
  <c r="AF50" i="1"/>
  <c r="EA156" i="4"/>
  <c r="AH19" i="1"/>
  <c r="AH26" i="1"/>
  <c r="F227" i="4"/>
  <c r="EI6" i="6"/>
  <c r="EI71" i="6" s="1"/>
  <c r="FK6" i="6"/>
  <c r="AE20" i="1"/>
  <c r="BB230" i="6"/>
  <c r="BB231" i="6" s="1"/>
  <c r="ED115" i="4"/>
  <c r="AU71" i="6"/>
  <c r="AU72" i="6" s="1"/>
  <c r="EB230" i="6"/>
  <c r="EB231" i="6" s="1"/>
  <c r="AE19" i="1"/>
  <c r="EB70" i="4"/>
  <c r="AK26" i="1"/>
  <c r="AL25" i="1"/>
  <c r="EE230" i="6"/>
  <c r="EE231" i="6" s="1"/>
  <c r="AD21" i="1"/>
  <c r="AE21" i="1"/>
  <c r="AE68" i="1"/>
  <c r="EH71" i="6"/>
  <c r="EH72" i="6" s="1"/>
  <c r="ED70" i="4"/>
  <c r="AK68" i="1"/>
  <c r="AU230" i="6"/>
  <c r="AU231" i="6" s="1"/>
  <c r="BA230" i="6"/>
  <c r="CM230" i="6"/>
  <c r="AV71" i="6"/>
  <c r="AV72" i="6" s="1"/>
  <c r="ED230" i="6"/>
  <c r="ED231" i="6" s="1"/>
  <c r="AE53" i="1"/>
  <c r="AF18" i="1"/>
  <c r="AF52" i="1"/>
  <c r="AS230" i="6"/>
  <c r="FH6" i="4"/>
  <c r="BC227" i="4"/>
  <c r="AG18" i="1"/>
  <c r="FD6" i="4"/>
  <c r="BC156" i="6"/>
  <c r="CD6" i="4"/>
  <c r="EZ6" i="4"/>
  <c r="Q18" i="4"/>
  <c r="Q18" i="1" s="1"/>
  <c r="AI18" i="1"/>
  <c r="AI50" i="1"/>
  <c r="BZ6" i="4"/>
  <c r="P4" i="4"/>
  <c r="P4" i="1" s="1"/>
  <c r="EI178" i="4"/>
  <c r="BV6" i="4"/>
  <c r="O30" i="4"/>
  <c r="O30" i="1" s="1"/>
  <c r="AK69" i="1"/>
  <c r="DZ230" i="6"/>
  <c r="EB115" i="4"/>
  <c r="DZ115" i="4"/>
  <c r="AL50" i="1"/>
  <c r="AR75" i="4"/>
  <c r="DM6" i="4"/>
  <c r="O23" i="4"/>
  <c r="O23" i="1" s="1"/>
  <c r="CH230" i="6"/>
  <c r="CH231" i="6" s="1"/>
  <c r="V23" i="4"/>
  <c r="V23" i="1" s="1"/>
  <c r="X10" i="4"/>
  <c r="AM56" i="1"/>
  <c r="T50" i="4"/>
  <c r="T50" i="1" s="1"/>
  <c r="AN18" i="1"/>
  <c r="AN21" i="1"/>
  <c r="AN23" i="1"/>
  <c r="AN50" i="1"/>
  <c r="AN51" i="1"/>
  <c r="AN52" i="1"/>
  <c r="AN53" i="1"/>
  <c r="AN66" i="1"/>
  <c r="AN69" i="1"/>
  <c r="AN89" i="1"/>
  <c r="EE115" i="4"/>
  <c r="EA70" i="4"/>
  <c r="EF75" i="4"/>
  <c r="X23" i="4"/>
  <c r="X23" i="1" s="1"/>
  <c r="AE18" i="1"/>
  <c r="AE23" i="1"/>
  <c r="AY115" i="4"/>
  <c r="EA230" i="6"/>
  <c r="EA231" i="6" s="1"/>
  <c r="Y238" i="4"/>
  <c r="Y238" i="1" s="1"/>
  <c r="AH18" i="1"/>
  <c r="AH50" i="1"/>
  <c r="AJ50" i="1"/>
  <c r="AZ75" i="4"/>
  <c r="AK50" i="1"/>
  <c r="DY71" i="6"/>
  <c r="AV75" i="4"/>
  <c r="CS214" i="4"/>
  <c r="DQ6" i="4"/>
  <c r="CL230" i="6"/>
  <c r="CL231" i="6" s="1"/>
  <c r="X37" i="4"/>
  <c r="X37" i="1" s="1"/>
  <c r="EI156" i="6"/>
  <c r="DU27" i="4"/>
  <c r="AM50" i="1"/>
  <c r="CE6" i="6"/>
  <c r="EI87" i="4"/>
  <c r="EC230" i="6"/>
  <c r="EC231" i="6" s="1"/>
  <c r="CI71" i="6"/>
  <c r="CI72" i="6" s="1"/>
  <c r="CS156" i="6"/>
  <c r="AC10" i="1"/>
  <c r="AC11" i="1"/>
  <c r="AC12" i="1"/>
  <c r="AC50" i="1"/>
  <c r="AC52" i="1"/>
  <c r="AC68" i="1"/>
  <c r="AC69" i="1"/>
  <c r="EA115" i="4"/>
  <c r="AY71" i="6"/>
  <c r="AY72" i="6" s="1"/>
  <c r="EE156" i="4"/>
  <c r="EB75" i="4"/>
  <c r="T23" i="4"/>
  <c r="T23" i="1" s="1"/>
  <c r="AI38" i="5"/>
  <c r="AC29" i="5"/>
  <c r="AE29" i="5"/>
  <c r="AG38" i="5"/>
  <c r="AN38" i="5"/>
  <c r="AE38" i="5"/>
  <c r="CO230" i="5"/>
  <c r="CO231" i="5" s="1"/>
  <c r="BA75" i="5"/>
  <c r="AL35" i="1"/>
  <c r="AL36" i="1"/>
  <c r="AL37" i="1"/>
  <c r="CN230" i="5"/>
  <c r="CN231" i="5" s="1"/>
  <c r="CJ230" i="5"/>
  <c r="V217" i="1"/>
  <c r="X217" i="1"/>
  <c r="AZ6" i="5"/>
  <c r="E16" i="23" s="1"/>
  <c r="CM230" i="5"/>
  <c r="CM231" i="5" s="1"/>
  <c r="AM29" i="5"/>
  <c r="AZ218" i="5"/>
  <c r="AV6" i="5"/>
  <c r="E20" i="23" s="1"/>
  <c r="AZ75" i="5"/>
  <c r="AG238" i="1"/>
  <c r="AJ237" i="1"/>
  <c r="W12" i="4"/>
  <c r="W12" i="1" s="1"/>
  <c r="ES236" i="4"/>
  <c r="W238" i="4"/>
  <c r="W11" i="4"/>
  <c r="W11" i="1" s="1"/>
  <c r="EW50" i="4"/>
  <c r="R50" i="4"/>
  <c r="R50" i="1" s="1"/>
  <c r="S50" i="4"/>
  <c r="S50" i="1" s="1"/>
  <c r="BB58" i="4"/>
  <c r="AU71" i="7"/>
  <c r="AX58" i="4"/>
  <c r="O50" i="4"/>
  <c r="O50" i="1" s="1"/>
  <c r="AQ71" i="7"/>
  <c r="AE26" i="1"/>
  <c r="CL231" i="7"/>
  <c r="CL233" i="7"/>
  <c r="CL249" i="7" s="1"/>
  <c r="CL250" i="7" s="1"/>
  <c r="FK6" i="7"/>
  <c r="AE25" i="1"/>
  <c r="AS115" i="4"/>
  <c r="BQ18" i="4"/>
  <c r="O18" i="4"/>
  <c r="O18" i="1" s="1"/>
  <c r="W239" i="4"/>
  <c r="Z239" i="4"/>
  <c r="Z239" i="1" s="1"/>
  <c r="EB230" i="7"/>
  <c r="EB231" i="7" s="1"/>
  <c r="BP236" i="4"/>
  <c r="BQ4" i="4"/>
  <c r="O4" i="4"/>
  <c r="O4" i="1" s="1"/>
  <c r="Y9" i="4"/>
  <c r="Y9" i="1" s="1"/>
  <c r="AD26" i="1"/>
  <c r="P30" i="4"/>
  <c r="P30" i="1" s="1"/>
  <c r="AD89" i="1"/>
  <c r="Z12" i="4"/>
  <c r="Z12" i="1" s="1"/>
  <c r="DW156" i="4"/>
  <c r="W37" i="4"/>
  <c r="W9" i="4"/>
  <c r="W9" i="1" s="1"/>
  <c r="DG18" i="4"/>
  <c r="V30" i="4"/>
  <c r="V30" i="1" s="1"/>
  <c r="DE236" i="4"/>
  <c r="DW230" i="7"/>
  <c r="DW231" i="7" s="1"/>
  <c r="BP8" i="4"/>
  <c r="S30" i="4"/>
  <c r="S30" i="1" s="1"/>
  <c r="X239" i="4"/>
  <c r="X239" i="1" s="1"/>
  <c r="AF23" i="1"/>
  <c r="AE89" i="1"/>
  <c r="AF24" i="1"/>
  <c r="AF25" i="1"/>
  <c r="DD236" i="4"/>
  <c r="EF218" i="4"/>
  <c r="AG23" i="1"/>
  <c r="BB230" i="7"/>
  <c r="BB231" i="7" s="1"/>
  <c r="W23" i="4"/>
  <c r="W23" i="1" s="1"/>
  <c r="AH25" i="1"/>
  <c r="AX230" i="7"/>
  <c r="DD8" i="4"/>
  <c r="AI25" i="1"/>
  <c r="AH89" i="1"/>
  <c r="AJ23" i="1"/>
  <c r="AJ25" i="1"/>
  <c r="EE43" i="4"/>
  <c r="EE47" i="4" s="1"/>
  <c r="Y239" i="4"/>
  <c r="Y239" i="1" s="1"/>
  <c r="AT71" i="7"/>
  <c r="AT72" i="7" s="1"/>
  <c r="AK12" i="1"/>
  <c r="AK23" i="1"/>
  <c r="AK25" i="1"/>
  <c r="T4" i="4"/>
  <c r="T4" i="1" s="1"/>
  <c r="EB156" i="4"/>
  <c r="W10" i="4"/>
  <c r="W10" i="1" s="1"/>
  <c r="ES8" i="4"/>
  <c r="AY43" i="4"/>
  <c r="AY47" i="4" s="1"/>
  <c r="AW71" i="7"/>
  <c r="AW72" i="7" s="1"/>
  <c r="S18" i="4"/>
  <c r="S18" i="1" s="1"/>
  <c r="W30" i="4"/>
  <c r="EW8" i="7"/>
  <c r="BC6" i="7"/>
  <c r="BC71" i="7" s="1"/>
  <c r="ET8" i="4"/>
  <c r="X30" i="4"/>
  <c r="X30" i="1" s="1"/>
  <c r="AH23" i="1"/>
  <c r="X11" i="4"/>
  <c r="X11" i="1" s="1"/>
  <c r="AZ71" i="7"/>
  <c r="AZ72" i="7" s="1"/>
  <c r="AL11" i="1"/>
  <c r="AL12" i="1"/>
  <c r="AL23" i="1"/>
  <c r="DX156" i="4"/>
  <c r="EH115" i="4"/>
  <c r="AR71" i="7"/>
  <c r="AR72" i="7" s="1"/>
  <c r="CS230" i="7"/>
  <c r="CS231" i="7" s="1"/>
  <c r="X50" i="4"/>
  <c r="X50" i="1" s="1"/>
  <c r="EI156" i="7"/>
  <c r="AG25" i="1"/>
  <c r="AF89" i="1"/>
  <c r="DC236" i="4"/>
  <c r="AV218" i="4"/>
  <c r="BN236" i="4"/>
  <c r="CM115" i="4"/>
  <c r="BB71" i="7"/>
  <c r="BB72" i="7" s="1"/>
  <c r="X12" i="4"/>
  <c r="X12" i="1" s="1"/>
  <c r="AI23" i="1"/>
  <c r="AH221" i="1"/>
  <c r="AT230" i="7"/>
  <c r="AT231" i="7" s="1"/>
  <c r="Y11" i="4"/>
  <c r="Y11" i="1" s="1"/>
  <c r="CH75" i="4"/>
  <c r="AX71" i="7"/>
  <c r="AX72" i="7" s="1"/>
  <c r="AJ24" i="1"/>
  <c r="EF156" i="4"/>
  <c r="EF115" i="4"/>
  <c r="EV236" i="4"/>
  <c r="AM10" i="1"/>
  <c r="AM11" i="1"/>
  <c r="AM12" i="1"/>
  <c r="AM23" i="1"/>
  <c r="AZ156" i="4"/>
  <c r="ED75" i="4"/>
  <c r="EI54" i="4"/>
  <c r="Y12" i="4"/>
  <c r="Y12" i="1" s="1"/>
  <c r="CS54" i="4"/>
  <c r="AY71" i="7"/>
  <c r="AY72" i="7" s="1"/>
  <c r="Q50" i="4"/>
  <c r="Q50" i="1" s="1"/>
  <c r="ET236" i="4"/>
  <c r="EI6" i="7"/>
  <c r="EI71" i="7" s="1"/>
  <c r="D230" i="8"/>
  <c r="D231" i="8" s="1"/>
  <c r="C230" i="8"/>
  <c r="C231" i="8" s="1"/>
  <c r="J230" i="8"/>
  <c r="J231" i="8" s="1"/>
  <c r="AD71" i="8"/>
  <c r="AD72" i="8" s="1"/>
  <c r="Z43" i="8"/>
  <c r="Z47" i="8" s="1"/>
  <c r="H230" i="8"/>
  <c r="H231" i="8" s="1"/>
  <c r="B71" i="8"/>
  <c r="B72" i="8" s="1"/>
  <c r="B230" i="8"/>
  <c r="B231" i="8" s="1"/>
  <c r="M70" i="8"/>
  <c r="M6" i="8"/>
  <c r="M71" i="8" s="1"/>
  <c r="G71" i="8"/>
  <c r="G72" i="8" s="1"/>
  <c r="C71" i="8"/>
  <c r="C72" i="8" s="1"/>
  <c r="I230" i="8"/>
  <c r="I231" i="8" s="1"/>
  <c r="I71" i="8"/>
  <c r="I72" i="8" s="1"/>
  <c r="A230" i="8"/>
  <c r="A231" i="8" s="1"/>
  <c r="E71" i="8"/>
  <c r="G230" i="8"/>
  <c r="G231" i="8" s="1"/>
  <c r="A71" i="8"/>
  <c r="K230" i="8"/>
  <c r="K231" i="8" s="1"/>
  <c r="F230" i="8"/>
  <c r="AH71" i="8"/>
  <c r="AH88" i="8"/>
  <c r="AH87" i="8" s="1"/>
  <c r="AH75" i="8" s="1"/>
  <c r="AH230" i="8" s="1"/>
  <c r="AH231" i="8" s="1"/>
  <c r="AM71" i="8"/>
  <c r="AM88" i="8"/>
  <c r="AM87" i="8" s="1"/>
  <c r="AM75" i="8" s="1"/>
  <c r="AM230" i="8" s="1"/>
  <c r="AM231" i="8" s="1"/>
  <c r="AG71" i="8"/>
  <c r="AG88" i="8"/>
  <c r="AG87" i="8" s="1"/>
  <c r="AG75" i="8" s="1"/>
  <c r="AG230" i="8" s="1"/>
  <c r="AG231" i="8" s="1"/>
  <c r="AO70" i="8"/>
  <c r="AC71" i="8"/>
  <c r="AC88" i="8"/>
  <c r="AN71" i="8"/>
  <c r="AN88" i="8"/>
  <c r="AN87" i="8" s="1"/>
  <c r="AN75" i="8" s="1"/>
  <c r="AN230" i="8" s="1"/>
  <c r="AN231" i="8" s="1"/>
  <c r="K71" i="8"/>
  <c r="AF71" i="8"/>
  <c r="AF88" i="8"/>
  <c r="AF87" i="8" s="1"/>
  <c r="AF75" i="8" s="1"/>
  <c r="AF230" i="8" s="1"/>
  <c r="AF231" i="8" s="1"/>
  <c r="AK71" i="8"/>
  <c r="AK88" i="8"/>
  <c r="AJ71" i="8"/>
  <c r="AJ88" i="8"/>
  <c r="AJ87" i="8" s="1"/>
  <c r="AJ75" i="8" s="1"/>
  <c r="AJ230" i="8" s="1"/>
  <c r="AJ231" i="8" s="1"/>
  <c r="AE71" i="8"/>
  <c r="AE88" i="8"/>
  <c r="AE87" i="8" s="1"/>
  <c r="AE75" i="8" s="1"/>
  <c r="AE230" i="8" s="1"/>
  <c r="AE231" i="8" s="1"/>
  <c r="AI71" i="8"/>
  <c r="AI88" i="8"/>
  <c r="AI87" i="8" s="1"/>
  <c r="AI75" i="8" s="1"/>
  <c r="AI230" i="8" s="1"/>
  <c r="AI231" i="8" s="1"/>
  <c r="AX6" i="5"/>
  <c r="E18" i="23" s="1"/>
  <c r="AN35" i="1"/>
  <c r="P217" i="1"/>
  <c r="Q217" i="1"/>
  <c r="AN37" i="1"/>
  <c r="AC37" i="1"/>
  <c r="T217" i="1"/>
  <c r="AQ70" i="5"/>
  <c r="BB6" i="5"/>
  <c r="BB71" i="5" s="1"/>
  <c r="CQ230" i="5"/>
  <c r="Z217" i="1"/>
  <c r="O217" i="1"/>
  <c r="CS230" i="5"/>
  <c r="AN36" i="1"/>
  <c r="CH230" i="5"/>
  <c r="CH231" i="5" s="1"/>
  <c r="CE236" i="5"/>
  <c r="AD37" i="1"/>
  <c r="U217" i="1"/>
  <c r="CI230" i="5"/>
  <c r="CI231" i="5" s="1"/>
  <c r="AG35" i="1"/>
  <c r="AH35" i="1"/>
  <c r="AG36" i="1"/>
  <c r="AE37" i="1"/>
  <c r="AY70" i="5"/>
  <c r="AW70" i="5"/>
  <c r="AF36" i="1"/>
  <c r="AG37" i="1"/>
  <c r="AI29" i="5"/>
  <c r="AF35" i="1"/>
  <c r="AE36" i="1"/>
  <c r="AR43" i="5"/>
  <c r="AR47" i="5" s="1"/>
  <c r="AR70" i="5"/>
  <c r="EB25" i="23"/>
  <c r="BC241" i="5"/>
  <c r="CH71" i="5"/>
  <c r="CH72" i="5" s="1"/>
  <c r="E60" i="23"/>
  <c r="AS43" i="5"/>
  <c r="AS47" i="5" s="1"/>
  <c r="AS70" i="5"/>
  <c r="AU43" i="5"/>
  <c r="AU47" i="5" s="1"/>
  <c r="AU70" i="5"/>
  <c r="AV43" i="5"/>
  <c r="AV47" i="5" s="1"/>
  <c r="AV70" i="5"/>
  <c r="AT6" i="5"/>
  <c r="AT70" i="5"/>
  <c r="BB70" i="5"/>
  <c r="AZ43" i="5"/>
  <c r="AZ47" i="5" s="1"/>
  <c r="AZ70" i="5"/>
  <c r="BC186" i="5"/>
  <c r="BC182" i="5" s="1"/>
  <c r="CQ25" i="23"/>
  <c r="AQ182" i="5"/>
  <c r="AQ156" i="5" s="1"/>
  <c r="CL230" i="5"/>
  <c r="CL231" i="5" s="1"/>
  <c r="AJ35" i="1"/>
  <c r="AI36" i="1"/>
  <c r="E54" i="23"/>
  <c r="CN71" i="5"/>
  <c r="CN72" i="5" s="1"/>
  <c r="AV218" i="5"/>
  <c r="CK230" i="5"/>
  <c r="CK231" i="5" s="1"/>
  <c r="AX43" i="5"/>
  <c r="AX47" i="5" s="1"/>
  <c r="AX70" i="5"/>
  <c r="CK71" i="5"/>
  <c r="E57" i="23"/>
  <c r="AK36" i="1"/>
  <c r="AI37" i="1"/>
  <c r="E15" i="23"/>
  <c r="AM35" i="1"/>
  <c r="AJ37" i="1"/>
  <c r="CI71" i="5"/>
  <c r="AW6" i="5"/>
  <c r="E19" i="23" s="1"/>
  <c r="AR6" i="5"/>
  <c r="AD35" i="1"/>
  <c r="AC36" i="1"/>
  <c r="AM37" i="1"/>
  <c r="R217" i="1"/>
  <c r="BA43" i="5"/>
  <c r="BA47" i="5" s="1"/>
  <c r="BA71" i="5" s="1"/>
  <c r="BA70" i="5"/>
  <c r="CO71" i="5"/>
  <c r="BC236" i="5"/>
  <c r="BC13" i="5"/>
  <c r="AM36" i="1"/>
  <c r="AK37" i="1"/>
  <c r="BB218" i="5"/>
  <c r="AU6" i="5"/>
  <c r="AC35" i="1"/>
  <c r="AE35" i="1"/>
  <c r="AD36" i="1"/>
  <c r="S217" i="1"/>
  <c r="CR230" i="5"/>
  <c r="CR231" i="5" s="1"/>
  <c r="AI35" i="1"/>
  <c r="AH36" i="1"/>
  <c r="AF37" i="1"/>
  <c r="W217" i="1"/>
  <c r="CP71" i="5"/>
  <c r="CP72" i="5" s="1"/>
  <c r="E52" i="23"/>
  <c r="AK35" i="1"/>
  <c r="AJ36" i="1"/>
  <c r="AH37" i="1"/>
  <c r="Y217" i="1"/>
  <c r="CM71" i="5"/>
  <c r="CL71" i="5"/>
  <c r="CL72" i="5" s="1"/>
  <c r="E56" i="23"/>
  <c r="CP230" i="5"/>
  <c r="CP231" i="5" s="1"/>
  <c r="BC173" i="5"/>
  <c r="BC172" i="5" s="1"/>
  <c r="CF25" i="23"/>
  <c r="AF53" i="1"/>
  <c r="AG52" i="1"/>
  <c r="AG53" i="1"/>
  <c r="AH52" i="1"/>
  <c r="AI51" i="1"/>
  <c r="AJ51" i="1"/>
  <c r="AC56" i="1"/>
  <c r="AC66" i="1"/>
  <c r="EI182" i="4"/>
  <c r="FK8" i="4"/>
  <c r="AE56" i="1"/>
  <c r="AG239" i="1"/>
  <c r="CK156" i="4"/>
  <c r="AF9" i="1"/>
  <c r="CE54" i="4"/>
  <c r="AG21" i="1"/>
  <c r="AE65" i="1"/>
  <c r="BC129" i="4"/>
  <c r="EI116" i="4"/>
  <c r="FK13" i="4"/>
  <c r="CN115" i="4"/>
  <c r="EB218" i="4"/>
  <c r="AI9" i="1"/>
  <c r="AH20" i="1"/>
  <c r="AH21" i="1"/>
  <c r="AF66" i="1"/>
  <c r="BC150" i="4"/>
  <c r="BB115" i="4"/>
  <c r="CK43" i="4"/>
  <c r="CK47" i="4" s="1"/>
  <c r="DU13" i="4"/>
  <c r="CJ115" i="4"/>
  <c r="DX218" i="4"/>
  <c r="AJ9" i="1"/>
  <c r="AI19" i="1"/>
  <c r="AI20" i="1"/>
  <c r="AI21" i="1"/>
  <c r="AG56" i="1"/>
  <c r="AG65" i="1"/>
  <c r="AG66" i="1"/>
  <c r="AX115" i="4"/>
  <c r="CE27" i="4"/>
  <c r="EI27" i="4"/>
  <c r="AJ18" i="1"/>
  <c r="AJ20" i="1"/>
  <c r="AH65" i="1"/>
  <c r="BC27" i="4"/>
  <c r="AJ19" i="1"/>
  <c r="AJ21" i="1"/>
  <c r="AH53" i="1"/>
  <c r="AT115" i="4"/>
  <c r="BC57" i="4"/>
  <c r="EG43" i="4"/>
  <c r="EG47" i="4" s="1"/>
  <c r="AK18" i="1"/>
  <c r="AK20" i="1"/>
  <c r="AI52" i="1"/>
  <c r="AI53" i="1"/>
  <c r="AI56" i="1"/>
  <c r="AI65" i="1"/>
  <c r="AN217" i="1"/>
  <c r="AL221" i="1"/>
  <c r="AK238" i="1"/>
  <c r="AU70" i="4"/>
  <c r="DU54" i="4"/>
  <c r="EC156" i="4"/>
  <c r="CS146" i="4"/>
  <c r="CL218" i="4"/>
  <c r="CQ43" i="4"/>
  <c r="CQ47" i="4" s="1"/>
  <c r="EC43" i="4"/>
  <c r="EC47" i="4" s="1"/>
  <c r="BC187" i="4"/>
  <c r="AT58" i="4"/>
  <c r="CS27" i="4"/>
  <c r="EG156" i="4"/>
  <c r="EI38" i="4"/>
  <c r="CP218" i="4"/>
  <c r="AK19" i="1"/>
  <c r="AK21" i="1"/>
  <c r="AI89" i="1"/>
  <c r="AK239" i="1"/>
  <c r="AL18" i="1"/>
  <c r="AL19" i="1"/>
  <c r="AL20" i="1"/>
  <c r="AL21" i="1"/>
  <c r="AL26" i="1"/>
  <c r="AJ52" i="1"/>
  <c r="AJ53" i="1"/>
  <c r="AJ66" i="1"/>
  <c r="AJ89" i="1"/>
  <c r="AU6" i="4"/>
  <c r="BC38" i="4"/>
  <c r="CK75" i="4"/>
  <c r="DU8" i="4"/>
  <c r="DY156" i="4"/>
  <c r="DX70" i="4"/>
  <c r="DY43" i="4"/>
  <c r="DY47" i="4" s="1"/>
  <c r="AC217" i="1"/>
  <c r="AN9" i="1"/>
  <c r="AN12" i="1"/>
  <c r="AM18" i="1"/>
  <c r="AM19" i="1"/>
  <c r="AM20" i="1"/>
  <c r="AM21" i="1"/>
  <c r="AM25" i="1"/>
  <c r="AM26" i="1"/>
  <c r="AK52" i="1"/>
  <c r="AK53" i="1"/>
  <c r="AK56" i="1"/>
  <c r="AK65" i="1"/>
  <c r="AK66" i="1"/>
  <c r="AD217" i="1"/>
  <c r="BC182" i="4"/>
  <c r="EH156" i="4"/>
  <c r="EI150" i="4"/>
  <c r="AN25" i="1"/>
  <c r="AN26" i="1"/>
  <c r="AL52" i="1"/>
  <c r="AL53" i="1"/>
  <c r="AL65" i="1"/>
  <c r="AL69" i="1"/>
  <c r="AL89" i="1"/>
  <c r="AE217" i="1"/>
  <c r="AN237" i="1"/>
  <c r="ED156" i="4"/>
  <c r="EI146" i="4"/>
  <c r="AC19" i="1"/>
  <c r="AC20" i="1"/>
  <c r="AC21" i="1"/>
  <c r="AC25" i="1"/>
  <c r="AC26" i="1"/>
  <c r="AM51" i="1"/>
  <c r="AM52" i="1"/>
  <c r="AM53" i="1"/>
  <c r="AM65" i="1"/>
  <c r="AM68" i="1"/>
  <c r="AM69" i="1"/>
  <c r="AM89" i="1"/>
  <c r="AF217" i="1"/>
  <c r="AD221" i="1"/>
  <c r="AC238" i="1"/>
  <c r="AC239" i="1"/>
  <c r="J227" i="4"/>
  <c r="CG58" i="4"/>
  <c r="CQ70" i="4"/>
  <c r="DZ156" i="4"/>
  <c r="DW58" i="4"/>
  <c r="EE70" i="4"/>
  <c r="V11" i="4"/>
  <c r="V11" i="1" s="1"/>
  <c r="V238" i="4"/>
  <c r="V238" i="1" s="1"/>
  <c r="V9" i="4"/>
  <c r="V9" i="1" s="1"/>
  <c r="ER8" i="4"/>
  <c r="ER236" i="4"/>
  <c r="V12" i="4"/>
  <c r="V12" i="1" s="1"/>
  <c r="V10" i="4"/>
  <c r="V10" i="1" s="1"/>
  <c r="V237" i="4"/>
  <c r="V237" i="1" s="1"/>
  <c r="V37" i="4"/>
  <c r="V37" i="1" s="1"/>
  <c r="V239" i="4"/>
  <c r="V239" i="1" s="1"/>
  <c r="CZ236" i="4"/>
  <c r="T9" i="4"/>
  <c r="T9" i="1" s="1"/>
  <c r="T238" i="4"/>
  <c r="T238" i="1" s="1"/>
  <c r="T10" i="4"/>
  <c r="T10" i="1" s="1"/>
  <c r="T37" i="4"/>
  <c r="T37" i="1" s="1"/>
  <c r="T12" i="4"/>
  <c r="T12" i="1" s="1"/>
  <c r="T11" i="4"/>
  <c r="T11" i="1" s="1"/>
  <c r="EP236" i="4"/>
  <c r="T239" i="4"/>
  <c r="T239" i="1" s="1"/>
  <c r="BJ236" i="4"/>
  <c r="S12" i="4"/>
  <c r="S12" i="1" s="1"/>
  <c r="S239" i="4"/>
  <c r="S239" i="1" s="1"/>
  <c r="BI236" i="4"/>
  <c r="S238" i="4"/>
  <c r="S238" i="1" s="1"/>
  <c r="S10" i="4"/>
  <c r="S10" i="1" s="1"/>
  <c r="S37" i="4"/>
  <c r="S37" i="1" s="1"/>
  <c r="S11" i="4"/>
  <c r="S11" i="1" s="1"/>
  <c r="CY236" i="4"/>
  <c r="BI8" i="4"/>
  <c r="AA245" i="8"/>
  <c r="AA244" i="8"/>
  <c r="AA55" i="8"/>
  <c r="AA11" i="8"/>
  <c r="AA16" i="8"/>
  <c r="AA32" i="8"/>
  <c r="AA36" i="8"/>
  <c r="AA41" i="8"/>
  <c r="AA46" i="8"/>
  <c r="AA62" i="8"/>
  <c r="AA66" i="8"/>
  <c r="AA44" i="8"/>
  <c r="E300" i="23"/>
  <c r="D300" i="23" s="1"/>
  <c r="AA9" i="8"/>
  <c r="AA14" i="8"/>
  <c r="AA20" i="8"/>
  <c r="AA26" i="8"/>
  <c r="AA34" i="8"/>
  <c r="AA39" i="8"/>
  <c r="P239" i="4"/>
  <c r="P239" i="1" s="1"/>
  <c r="O238" i="4"/>
  <c r="O238" i="1" s="1"/>
  <c r="EK236" i="4"/>
  <c r="O237" i="4"/>
  <c r="O237" i="1" s="1"/>
  <c r="O12" i="4"/>
  <c r="O12" i="1" s="1"/>
  <c r="EW30" i="4"/>
  <c r="O9" i="4"/>
  <c r="O10" i="4"/>
  <c r="O10" i="1" s="1"/>
  <c r="O11" i="4"/>
  <c r="O11" i="1" s="1"/>
  <c r="EK8" i="4"/>
  <c r="O54" i="8"/>
  <c r="E301" i="23"/>
  <c r="D301" i="23" s="1"/>
  <c r="O37" i="4"/>
  <c r="O37" i="1" s="1"/>
  <c r="AA77" i="8"/>
  <c r="G301" i="23"/>
  <c r="AA81" i="8"/>
  <c r="K301" i="23"/>
  <c r="AA85" i="8"/>
  <c r="O301" i="23"/>
  <c r="AA91" i="8"/>
  <c r="R301" i="23"/>
  <c r="AA95" i="8"/>
  <c r="V301" i="23"/>
  <c r="AA99" i="8"/>
  <c r="Z301" i="23"/>
  <c r="AA105" i="8"/>
  <c r="AD301" i="23"/>
  <c r="AA109" i="8"/>
  <c r="AH301" i="23"/>
  <c r="AA113" i="8"/>
  <c r="AL301" i="23"/>
  <c r="AA120" i="8"/>
  <c r="AP301" i="23"/>
  <c r="AA124" i="8"/>
  <c r="AT301" i="23"/>
  <c r="AA128" i="8"/>
  <c r="AX301" i="23"/>
  <c r="AA134" i="8"/>
  <c r="BB301" i="23"/>
  <c r="AA139" i="8"/>
  <c r="BF301" i="23"/>
  <c r="AA143" i="8"/>
  <c r="BJ301" i="23"/>
  <c r="AA148" i="8"/>
  <c r="BN301" i="23"/>
  <c r="AA153" i="8"/>
  <c r="BR301" i="23"/>
  <c r="AA160" i="8"/>
  <c r="BV301" i="23"/>
  <c r="AA166" i="8"/>
  <c r="BZ301" i="23"/>
  <c r="AA170" i="8"/>
  <c r="CD301" i="23"/>
  <c r="AA175" i="8"/>
  <c r="CH301" i="23"/>
  <c r="AA180" i="8"/>
  <c r="CL301" i="23"/>
  <c r="AA185" i="8"/>
  <c r="CP301" i="23"/>
  <c r="AA190" i="8"/>
  <c r="CT301" i="23"/>
  <c r="AA195" i="8"/>
  <c r="CX301" i="23"/>
  <c r="AA199" i="8"/>
  <c r="DB301" i="23"/>
  <c r="AA203" i="8"/>
  <c r="DF301" i="23"/>
  <c r="AA208" i="8"/>
  <c r="DJ301" i="23"/>
  <c r="AA213" i="8"/>
  <c r="DN301" i="23"/>
  <c r="AA221" i="8"/>
  <c r="DR301" i="23"/>
  <c r="AA226" i="8"/>
  <c r="DV301" i="23"/>
  <c r="AA238" i="8"/>
  <c r="DZ301" i="23"/>
  <c r="O239" i="4"/>
  <c r="O239" i="1" s="1"/>
  <c r="AA149" i="8"/>
  <c r="BO301" i="23"/>
  <c r="AA154" i="8"/>
  <c r="BS301" i="23"/>
  <c r="AA161" i="8"/>
  <c r="BW301" i="23"/>
  <c r="AA167" i="8"/>
  <c r="CA301" i="23"/>
  <c r="AA171" i="8"/>
  <c r="CE301" i="23"/>
  <c r="AA176" i="8"/>
  <c r="CI301" i="23"/>
  <c r="AA181" i="8"/>
  <c r="CM301" i="23"/>
  <c r="AA186" i="8"/>
  <c r="CQ301" i="23"/>
  <c r="AA191" i="8"/>
  <c r="CU301" i="23"/>
  <c r="AA196" i="8"/>
  <c r="CY301" i="23"/>
  <c r="AA200" i="8"/>
  <c r="DC301" i="23"/>
  <c r="AA204" i="8"/>
  <c r="DG301" i="23"/>
  <c r="AA210" i="8"/>
  <c r="DK301" i="23"/>
  <c r="AA215" i="8"/>
  <c r="DO301" i="23"/>
  <c r="AA222" i="8"/>
  <c r="DS301" i="23"/>
  <c r="AA228" i="8"/>
  <c r="DW301" i="23"/>
  <c r="AA239" i="8"/>
  <c r="EA301" i="23"/>
  <c r="Q30" i="4"/>
  <c r="Q30" i="1" s="1"/>
  <c r="Q10" i="4"/>
  <c r="Q10" i="1" s="1"/>
  <c r="Q9" i="4"/>
  <c r="Q9" i="1" s="1"/>
  <c r="Q238" i="4"/>
  <c r="Q238" i="1" s="1"/>
  <c r="EM236" i="4"/>
  <c r="Q239" i="4"/>
  <c r="Q239" i="1" s="1"/>
  <c r="Q11" i="4"/>
  <c r="Q11" i="1" s="1"/>
  <c r="EM8" i="4"/>
  <c r="Q37" i="4"/>
  <c r="Q37" i="1" s="1"/>
  <c r="BG8" i="4"/>
  <c r="Z238" i="4"/>
  <c r="Z70" i="8"/>
  <c r="DF8" i="4"/>
  <c r="BO8" i="4"/>
  <c r="Y70" i="8"/>
  <c r="Y237" i="4"/>
  <c r="BN8" i="4"/>
  <c r="X70" i="8"/>
  <c r="AB70" i="8" s="1"/>
  <c r="W237" i="4"/>
  <c r="DG30" i="4"/>
  <c r="BQ23" i="4"/>
  <c r="BQ50" i="4"/>
  <c r="T70" i="8"/>
  <c r="BJ8" i="4"/>
  <c r="EW18" i="4"/>
  <c r="T237" i="4"/>
  <c r="T237" i="1" s="1"/>
  <c r="CZ8" i="4"/>
  <c r="EP8" i="4"/>
  <c r="CY8" i="4"/>
  <c r="DG4" i="4"/>
  <c r="DG50" i="4"/>
  <c r="S9" i="4"/>
  <c r="S9" i="1" s="1"/>
  <c r="S237" i="4"/>
  <c r="Q12" i="4"/>
  <c r="Q12" i="1" s="1"/>
  <c r="Q70" i="8"/>
  <c r="AA10" i="8"/>
  <c r="AA15" i="8"/>
  <c r="AA21" i="8"/>
  <c r="AA31" i="8"/>
  <c r="AA35" i="8"/>
  <c r="AA40" i="8"/>
  <c r="AA45" i="8"/>
  <c r="AA63" i="8"/>
  <c r="AA67" i="8"/>
  <c r="AA78" i="8"/>
  <c r="AA82" i="8"/>
  <c r="AA86" i="8"/>
  <c r="AA92" i="8"/>
  <c r="AA96" i="8"/>
  <c r="AA100" i="8"/>
  <c r="AA106" i="8"/>
  <c r="AA110" i="8"/>
  <c r="AA117" i="8"/>
  <c r="AA121" i="8"/>
  <c r="AA125" i="8"/>
  <c r="AA130" i="8"/>
  <c r="AA135" i="8"/>
  <c r="AA140" i="8"/>
  <c r="AA144" i="8"/>
  <c r="P18" i="4"/>
  <c r="P18" i="1" s="1"/>
  <c r="AA61" i="8"/>
  <c r="AA65" i="8"/>
  <c r="AA69" i="8"/>
  <c r="AA80" i="8"/>
  <c r="AA84" i="8"/>
  <c r="AA89" i="8"/>
  <c r="AA94" i="8"/>
  <c r="AA98" i="8"/>
  <c r="AA102" i="8"/>
  <c r="AA108" i="8"/>
  <c r="AA112" i="8"/>
  <c r="AA119" i="8"/>
  <c r="AA123" i="8"/>
  <c r="AA127" i="8"/>
  <c r="AA132" i="8"/>
  <c r="AA137" i="8"/>
  <c r="AA142" i="8"/>
  <c r="AA147" i="8"/>
  <c r="AA152" i="8"/>
  <c r="AA159" i="8"/>
  <c r="AA165" i="8"/>
  <c r="AA169" i="8"/>
  <c r="AA174" i="8"/>
  <c r="AA184" i="8"/>
  <c r="AA189" i="8"/>
  <c r="AA194" i="8"/>
  <c r="AA198" i="8"/>
  <c r="AA202" i="8"/>
  <c r="AA207" i="8"/>
  <c r="AA212" i="8"/>
  <c r="AA220" i="8"/>
  <c r="AA225" i="8"/>
  <c r="AA237" i="8"/>
  <c r="AA243" i="8"/>
  <c r="AA247" i="8"/>
  <c r="P129" i="8"/>
  <c r="P214" i="8"/>
  <c r="P227" i="8"/>
  <c r="AA30" i="5"/>
  <c r="CU236" i="4"/>
  <c r="EW23" i="4"/>
  <c r="BQ8" i="5"/>
  <c r="R30" i="4"/>
  <c r="R30" i="1" s="1"/>
  <c r="BQ30" i="4"/>
  <c r="BQ8" i="7"/>
  <c r="R237" i="4"/>
  <c r="R237" i="1" s="1"/>
  <c r="CX236" i="4"/>
  <c r="DG23" i="4"/>
  <c r="DG238" i="4"/>
  <c r="R238" i="4"/>
  <c r="R238" i="1" s="1"/>
  <c r="R11" i="4"/>
  <c r="R11" i="1" s="1"/>
  <c r="EW237" i="4"/>
  <c r="EN8" i="4"/>
  <c r="CX8" i="4"/>
  <c r="R37" i="4"/>
  <c r="R37" i="1" s="1"/>
  <c r="R10" i="4"/>
  <c r="R10" i="1" s="1"/>
  <c r="R239" i="4"/>
  <c r="BH8" i="4"/>
  <c r="R12" i="4"/>
  <c r="R12" i="1" s="1"/>
  <c r="R9" i="4"/>
  <c r="R9" i="1" s="1"/>
  <c r="DG236" i="5"/>
  <c r="DG239" i="4"/>
  <c r="EW10" i="4"/>
  <c r="BH236" i="4"/>
  <c r="X58" i="8"/>
  <c r="AB58" i="8" s="1"/>
  <c r="DG8" i="7"/>
  <c r="BQ12" i="4"/>
  <c r="EQ236" i="4"/>
  <c r="BQ37" i="4"/>
  <c r="U238" i="4"/>
  <c r="BQ11" i="4"/>
  <c r="EQ8" i="4"/>
  <c r="U11" i="4"/>
  <c r="U9" i="4"/>
  <c r="U9" i="1" s="1"/>
  <c r="BK236" i="4"/>
  <c r="U37" i="4"/>
  <c r="U37" i="1" s="1"/>
  <c r="BQ10" i="4"/>
  <c r="U239" i="4"/>
  <c r="U239" i="1" s="1"/>
  <c r="DA236" i="4"/>
  <c r="U10" i="4"/>
  <c r="U10" i="1" s="1"/>
  <c r="U12" i="4"/>
  <c r="U12" i="1" s="1"/>
  <c r="DA8" i="4"/>
  <c r="U237" i="4"/>
  <c r="U237" i="1" s="1"/>
  <c r="BK8" i="4"/>
  <c r="AD230" i="8"/>
  <c r="AD231" i="8" s="1"/>
  <c r="AL230" i="8"/>
  <c r="AF65" i="1"/>
  <c r="AJ65" i="1"/>
  <c r="AN65" i="1"/>
  <c r="AF68" i="1"/>
  <c r="AJ68" i="1"/>
  <c r="AN68" i="1"/>
  <c r="AD66" i="1"/>
  <c r="AH66" i="1"/>
  <c r="AL66" i="1"/>
  <c r="CO231" i="7"/>
  <c r="CK233" i="7"/>
  <c r="CK249" i="7" s="1"/>
  <c r="CK250" i="7" s="1"/>
  <c r="A214" i="4"/>
  <c r="E214" i="4"/>
  <c r="I214" i="4"/>
  <c r="AE221" i="1"/>
  <c r="AI221" i="1"/>
  <c r="AM221" i="1"/>
  <c r="AW218" i="4"/>
  <c r="BA218" i="4"/>
  <c r="BC218" i="7"/>
  <c r="AW156" i="4"/>
  <c r="AX156" i="4"/>
  <c r="AQ156" i="4"/>
  <c r="BC156" i="7"/>
  <c r="AW230" i="7"/>
  <c r="AW231" i="7" s="1"/>
  <c r="AT156" i="4"/>
  <c r="AS230" i="7"/>
  <c r="AS231" i="7" s="1"/>
  <c r="AQ115" i="4"/>
  <c r="AZ115" i="4"/>
  <c r="AU115" i="4"/>
  <c r="AR230" i="7"/>
  <c r="AR231" i="7" s="1"/>
  <c r="AZ230" i="7"/>
  <c r="AZ231" i="7" s="1"/>
  <c r="AV230" i="7"/>
  <c r="AV231" i="7" s="1"/>
  <c r="BA230" i="7"/>
  <c r="BA231" i="7" s="1"/>
  <c r="B30" i="1"/>
  <c r="F30" i="1"/>
  <c r="J30" i="1"/>
  <c r="A30" i="1"/>
  <c r="E30" i="1"/>
  <c r="I30" i="1"/>
  <c r="D30" i="1"/>
  <c r="H30" i="1"/>
  <c r="L30" i="1"/>
  <c r="AI236" i="4"/>
  <c r="AM236" i="4"/>
  <c r="AE238" i="1"/>
  <c r="AI238" i="1"/>
  <c r="AM238" i="1"/>
  <c r="AE239" i="1"/>
  <c r="AI239" i="1"/>
  <c r="AM239" i="1"/>
  <c r="AC221" i="1"/>
  <c r="AG221" i="1"/>
  <c r="AK221" i="1"/>
  <c r="AC89" i="1"/>
  <c r="AG89" i="1"/>
  <c r="AK89" i="1"/>
  <c r="AC237" i="1"/>
  <c r="AG237" i="1"/>
  <c r="AK237" i="1"/>
  <c r="AH236" i="4"/>
  <c r="AL236" i="4"/>
  <c r="AD238" i="1"/>
  <c r="AH238" i="1"/>
  <c r="AL238" i="1"/>
  <c r="AD239" i="1"/>
  <c r="AH239" i="1"/>
  <c r="AL239" i="1"/>
  <c r="CS218" i="6"/>
  <c r="D227" i="4"/>
  <c r="CK230" i="6"/>
  <c r="CK231" i="6" s="1"/>
  <c r="CS187" i="4"/>
  <c r="CS182" i="4"/>
  <c r="CM156" i="4"/>
  <c r="CQ156" i="4"/>
  <c r="CL156" i="4"/>
  <c r="CO230" i="6"/>
  <c r="CO231" i="6" s="1"/>
  <c r="CQ115" i="4"/>
  <c r="CP230" i="6"/>
  <c r="CP231" i="6" s="1"/>
  <c r="CR115" i="4"/>
  <c r="CJ230" i="6"/>
  <c r="CJ231" i="6" s="1"/>
  <c r="CP75" i="4"/>
  <c r="CR230" i="6"/>
  <c r="CR231" i="6" s="1"/>
  <c r="CN71" i="6"/>
  <c r="CN72" i="6" s="1"/>
  <c r="CG70" i="4"/>
  <c r="AF56" i="1"/>
  <c r="AJ56" i="1"/>
  <c r="AN56" i="1"/>
  <c r="AE237" i="1"/>
  <c r="AF236" i="4"/>
  <c r="AJ236" i="4"/>
  <c r="AN236" i="4"/>
  <c r="AF238" i="1"/>
  <c r="AJ238" i="1"/>
  <c r="AN238" i="1"/>
  <c r="AF239" i="1"/>
  <c r="AJ239" i="1"/>
  <c r="AN239" i="1"/>
  <c r="AF221" i="1"/>
  <c r="AJ221" i="1"/>
  <c r="AN221" i="1"/>
  <c r="AD68" i="1"/>
  <c r="AH68" i="1"/>
  <c r="AL68" i="1"/>
  <c r="AE66" i="1"/>
  <c r="AI66" i="1"/>
  <c r="AM66" i="1"/>
  <c r="AD56" i="1"/>
  <c r="AH56" i="1"/>
  <c r="AL56" i="1"/>
  <c r="BC218" i="6"/>
  <c r="C30" i="1"/>
  <c r="G30" i="1"/>
  <c r="K30" i="1"/>
  <c r="B8" i="4"/>
  <c r="F8" i="4"/>
  <c r="J8" i="4"/>
  <c r="AF8" i="4"/>
  <c r="AJ8" i="4"/>
  <c r="AN8" i="4"/>
  <c r="AC8" i="4"/>
  <c r="AG8" i="4"/>
  <c r="AK8" i="4"/>
  <c r="CG71" i="6"/>
  <c r="CS133" i="4"/>
  <c r="CM218" i="4"/>
  <c r="DX71" i="6"/>
  <c r="DX72" i="6" s="1"/>
  <c r="CL71" i="6"/>
  <c r="CL72" i="6" s="1"/>
  <c r="EY6" i="4"/>
  <c r="CH71" i="6"/>
  <c r="CH72" i="6" s="1"/>
  <c r="EF71" i="6"/>
  <c r="EB71" i="6"/>
  <c r="EB72" i="6" s="1"/>
  <c r="CP71" i="6"/>
  <c r="CP72" i="6" s="1"/>
  <c r="AS218" i="4"/>
  <c r="BC87" i="4"/>
  <c r="BB6" i="4"/>
  <c r="BB70" i="4"/>
  <c r="AY6" i="4"/>
  <c r="BC116" i="4"/>
  <c r="AX6" i="4"/>
  <c r="AX70" i="4"/>
  <c r="BC54" i="4"/>
  <c r="AT6" i="4"/>
  <c r="AT70" i="4"/>
  <c r="CS164" i="4"/>
  <c r="CS76" i="4"/>
  <c r="EI129" i="4"/>
  <c r="EI187" i="4"/>
  <c r="EO236" i="4"/>
  <c r="BL236" i="4"/>
  <c r="BL8" i="4"/>
  <c r="AY70" i="4"/>
  <c r="BC219" i="4"/>
  <c r="FK54" i="4"/>
  <c r="EC218" i="4"/>
  <c r="EI227" i="4"/>
  <c r="EG70" i="4"/>
  <c r="EI29" i="4"/>
  <c r="P10" i="4"/>
  <c r="P10" i="1" s="1"/>
  <c r="DY218" i="4"/>
  <c r="EC70" i="4"/>
  <c r="CS172" i="4"/>
  <c r="EI104" i="4"/>
  <c r="EI133" i="4"/>
  <c r="P11" i="4"/>
  <c r="P11" i="1" s="1"/>
  <c r="BM236" i="4"/>
  <c r="CS57" i="4"/>
  <c r="CH70" i="4"/>
  <c r="FK27" i="4"/>
  <c r="EF43" i="4"/>
  <c r="EF47" i="4" s="1"/>
  <c r="DY70" i="4"/>
  <c r="CS104" i="4"/>
  <c r="DW70" i="4"/>
  <c r="DG237" i="4"/>
  <c r="Y37" i="4"/>
  <c r="Y37" i="1" s="1"/>
  <c r="EW9" i="4"/>
  <c r="DE8" i="4"/>
  <c r="EW11" i="4"/>
  <c r="EW239" i="4"/>
  <c r="CN156" i="4"/>
  <c r="CJ156" i="4"/>
  <c r="CS129" i="4"/>
  <c r="CR156" i="4"/>
  <c r="CL115" i="4"/>
  <c r="CH115" i="4"/>
  <c r="CP115" i="4"/>
  <c r="CS13" i="4"/>
  <c r="AR115" i="4"/>
  <c r="EG218" i="4"/>
  <c r="DX43" i="4"/>
  <c r="DX47" i="4" s="1"/>
  <c r="BC223" i="4"/>
  <c r="BB156" i="4"/>
  <c r="AR156" i="4"/>
  <c r="AS156" i="4"/>
  <c r="BC178" i="4"/>
  <c r="AV230" i="6"/>
  <c r="AV231" i="6" s="1"/>
  <c r="BA156" i="4"/>
  <c r="AR230" i="6"/>
  <c r="AR231" i="6" s="1"/>
  <c r="AZ230" i="6"/>
  <c r="AZ231" i="6" s="1"/>
  <c r="BC146" i="4"/>
  <c r="AV115" i="4"/>
  <c r="BC138" i="4"/>
  <c r="BC133" i="4"/>
  <c r="AY230" i="6"/>
  <c r="AQ230" i="6"/>
  <c r="AQ231" i="6" s="1"/>
  <c r="AZ43" i="4"/>
  <c r="AZ47" i="4" s="1"/>
  <c r="AZ70" i="4"/>
  <c r="BC29" i="4"/>
  <c r="AR43" i="4"/>
  <c r="AR47" i="4" s="1"/>
  <c r="AR70" i="4"/>
  <c r="AQ43" i="4"/>
  <c r="AQ47" i="4" s="1"/>
  <c r="AQ70" i="4"/>
  <c r="CG230" i="5"/>
  <c r="CG231" i="5" s="1"/>
  <c r="CS70" i="5"/>
  <c r="CS6" i="5"/>
  <c r="CS71" i="5" s="1"/>
  <c r="AE236" i="5"/>
  <c r="AD54" i="5"/>
  <c r="AD51" i="1"/>
  <c r="AH54" i="5"/>
  <c r="AH51" i="1"/>
  <c r="AL54" i="5"/>
  <c r="AL51" i="1"/>
  <c r="AC54" i="5"/>
  <c r="AC51" i="1"/>
  <c r="AG54" i="5"/>
  <c r="AG51" i="1"/>
  <c r="AK54" i="5"/>
  <c r="AK51" i="1"/>
  <c r="AF57" i="5"/>
  <c r="AJ57" i="5"/>
  <c r="AN57" i="5"/>
  <c r="AC57" i="5"/>
  <c r="AG57" i="5"/>
  <c r="AK57" i="5"/>
  <c r="AE57" i="5"/>
  <c r="AM57" i="5"/>
  <c r="AD57" i="5"/>
  <c r="AH57" i="5"/>
  <c r="AL57" i="5"/>
  <c r="AI57" i="5"/>
  <c r="AD236" i="5"/>
  <c r="AD237" i="1"/>
  <c r="AH236" i="5"/>
  <c r="AH237" i="1"/>
  <c r="AL236" i="5"/>
  <c r="AL237" i="1"/>
  <c r="AI236" i="5"/>
  <c r="AI237" i="1"/>
  <c r="AM236" i="5"/>
  <c r="AM237" i="1"/>
  <c r="AC27" i="5"/>
  <c r="AC24" i="1"/>
  <c r="AG27" i="5"/>
  <c r="AG24" i="1"/>
  <c r="AK27" i="5"/>
  <c r="AK24" i="1"/>
  <c r="AD27" i="5"/>
  <c r="AD24" i="1"/>
  <c r="AH27" i="5"/>
  <c r="AH24" i="1"/>
  <c r="AL27" i="5"/>
  <c r="AL24" i="1"/>
  <c r="AE27" i="5"/>
  <c r="AE24" i="1"/>
  <c r="AI27" i="5"/>
  <c r="AI24" i="1"/>
  <c r="AM27" i="5"/>
  <c r="AM24" i="1"/>
  <c r="AE8" i="5"/>
  <c r="AE9" i="1"/>
  <c r="AM8" i="5"/>
  <c r="AM9" i="1"/>
  <c r="AD8" i="5"/>
  <c r="AD9" i="1"/>
  <c r="AL8" i="5"/>
  <c r="AL9" i="1"/>
  <c r="AH8" i="5"/>
  <c r="AH9" i="1"/>
  <c r="AC8" i="5"/>
  <c r="AC9" i="1"/>
  <c r="AG8" i="5"/>
  <c r="AG9" i="1"/>
  <c r="AK8" i="5"/>
  <c r="AK9" i="1"/>
  <c r="CH156" i="4"/>
  <c r="CI156" i="4"/>
  <c r="CI218" i="4"/>
  <c r="CG233" i="7"/>
  <c r="CG249" i="7" s="1"/>
  <c r="CG72" i="7"/>
  <c r="CS227" i="4"/>
  <c r="CR70" i="4"/>
  <c r="D8" i="4"/>
  <c r="H8" i="4"/>
  <c r="L8" i="4"/>
  <c r="D87" i="4"/>
  <c r="L87" i="4"/>
  <c r="A205" i="4"/>
  <c r="E205" i="4"/>
  <c r="I205" i="4"/>
  <c r="B209" i="4"/>
  <c r="F209" i="4"/>
  <c r="A236" i="4"/>
  <c r="E236" i="4"/>
  <c r="I236" i="4"/>
  <c r="CI115" i="4"/>
  <c r="CO70" i="4"/>
  <c r="CM70" i="4"/>
  <c r="CS178" i="4"/>
  <c r="CM43" i="4"/>
  <c r="CM47" i="4" s="1"/>
  <c r="CN70" i="4"/>
  <c r="CN75" i="4"/>
  <c r="CI43" i="4"/>
  <c r="CI47" i="4" s="1"/>
  <c r="B236" i="4"/>
  <c r="F236" i="4"/>
  <c r="J236" i="4"/>
  <c r="CG156" i="4"/>
  <c r="CP156" i="4"/>
  <c r="CS219" i="4"/>
  <c r="CG115" i="4"/>
  <c r="CS150" i="4"/>
  <c r="CK70" i="4"/>
  <c r="CP71" i="4"/>
  <c r="CG75" i="4"/>
  <c r="CS8" i="4"/>
  <c r="CQ218" i="4"/>
  <c r="CH218" i="4"/>
  <c r="CL75" i="4"/>
  <c r="CJ70" i="4"/>
  <c r="CS38" i="4"/>
  <c r="CP70" i="4"/>
  <c r="CI70" i="4"/>
  <c r="AY6" i="5"/>
  <c r="AS6" i="5"/>
  <c r="AT75" i="5"/>
  <c r="AU75" i="5"/>
  <c r="AW75" i="5"/>
  <c r="BB115" i="5"/>
  <c r="AT218" i="5"/>
  <c r="AX218" i="5"/>
  <c r="AR75" i="5"/>
  <c r="AT115" i="5"/>
  <c r="AW218" i="5"/>
  <c r="AQ75" i="5"/>
  <c r="BA115" i="5"/>
  <c r="AV115" i="5"/>
  <c r="AU218" i="5"/>
  <c r="AV75" i="5"/>
  <c r="AY115" i="5"/>
  <c r="AZ115" i="5"/>
  <c r="BA218" i="5"/>
  <c r="AY75" i="5"/>
  <c r="AS156" i="5"/>
  <c r="AV156" i="5"/>
  <c r="AY218" i="5"/>
  <c r="AR218" i="5"/>
  <c r="AY156" i="5"/>
  <c r="AS218" i="5"/>
  <c r="AQ218" i="5"/>
  <c r="AX156" i="5"/>
  <c r="AZ156" i="5"/>
  <c r="AW156" i="5"/>
  <c r="AR156" i="5"/>
  <c r="BA156" i="5"/>
  <c r="AU156" i="5"/>
  <c r="BB156" i="5"/>
  <c r="AT156" i="5"/>
  <c r="AU115" i="5"/>
  <c r="AW115" i="5"/>
  <c r="AR115" i="5"/>
  <c r="AS115" i="5"/>
  <c r="AX115" i="5"/>
  <c r="AQ115" i="5"/>
  <c r="AQ104" i="5"/>
  <c r="AX75" i="5"/>
  <c r="AS75" i="5"/>
  <c r="BB75" i="5"/>
  <c r="BC8" i="5"/>
  <c r="Z236" i="5"/>
  <c r="EW37" i="4"/>
  <c r="Z9" i="4"/>
  <c r="Z9" i="1" s="1"/>
  <c r="Z11" i="4"/>
  <c r="Z11" i="1" s="1"/>
  <c r="EV8" i="4"/>
  <c r="DG10" i="4"/>
  <c r="EU8" i="4"/>
  <c r="EU236" i="4"/>
  <c r="Y10" i="4"/>
  <c r="BO236" i="4"/>
  <c r="W8" i="5"/>
  <c r="DC8" i="4"/>
  <c r="BM8" i="4"/>
  <c r="V236" i="5"/>
  <c r="DB8" i="4"/>
  <c r="DB236" i="4"/>
  <c r="T8" i="5"/>
  <c r="T43" i="8"/>
  <c r="T47" i="8" s="1"/>
  <c r="DG8" i="6"/>
  <c r="EO8" i="4"/>
  <c r="S8" i="5"/>
  <c r="R236" i="5"/>
  <c r="EN236" i="4"/>
  <c r="Q237" i="4"/>
  <c r="BQ236" i="7"/>
  <c r="BQ239" i="4"/>
  <c r="DG12" i="4"/>
  <c r="BQ238" i="4"/>
  <c r="BG236" i="4"/>
  <c r="CW8" i="4"/>
  <c r="CW236" i="4"/>
  <c r="P236" i="5"/>
  <c r="AA7" i="8"/>
  <c r="AA12" i="8"/>
  <c r="AA19" i="8"/>
  <c r="AA25" i="8"/>
  <c r="AA33" i="8"/>
  <c r="AA37" i="8"/>
  <c r="AA42" i="8"/>
  <c r="AA56" i="8"/>
  <c r="AA64" i="8"/>
  <c r="AA68" i="8"/>
  <c r="AA79" i="8"/>
  <c r="AA83" i="8"/>
  <c r="AA93" i="8"/>
  <c r="AA97" i="8"/>
  <c r="AA101" i="8"/>
  <c r="AA107" i="8"/>
  <c r="AA111" i="8"/>
  <c r="AA118" i="8"/>
  <c r="AA122" i="8"/>
  <c r="AA126" i="8"/>
  <c r="AA131" i="8"/>
  <c r="AA136" i="8"/>
  <c r="AA141" i="8"/>
  <c r="AA145" i="8"/>
  <c r="AA151" i="8"/>
  <c r="AA158" i="8"/>
  <c r="AA162" i="8"/>
  <c r="AA168" i="8"/>
  <c r="AA173" i="8"/>
  <c r="AA177" i="8"/>
  <c r="AA183" i="8"/>
  <c r="AA188" i="8"/>
  <c r="AA192" i="8"/>
  <c r="AA197" i="8"/>
  <c r="AA201" i="8"/>
  <c r="AA211" i="8"/>
  <c r="AA216" i="8"/>
  <c r="AA229" i="8"/>
  <c r="AA242" i="8"/>
  <c r="AA246" i="8"/>
  <c r="P57" i="8"/>
  <c r="F300" i="23" s="1"/>
  <c r="BF236" i="4"/>
  <c r="P237" i="4"/>
  <c r="P237" i="1" s="1"/>
  <c r="EW12" i="4"/>
  <c r="P12" i="4"/>
  <c r="P12" i="1" s="1"/>
  <c r="EW238" i="4"/>
  <c r="P238" i="4"/>
  <c r="P238" i="1" s="1"/>
  <c r="P37" i="4"/>
  <c r="P37" i="1" s="1"/>
  <c r="CV8" i="4"/>
  <c r="P9" i="4"/>
  <c r="P9" i="1" s="1"/>
  <c r="DG37" i="4"/>
  <c r="P87" i="8"/>
  <c r="P236" i="8"/>
  <c r="EL8" i="4"/>
  <c r="CV236" i="4"/>
  <c r="DG11" i="4"/>
  <c r="BQ8" i="6"/>
  <c r="EL236" i="4"/>
  <c r="BF8" i="4"/>
  <c r="O178" i="8"/>
  <c r="AA179" i="8"/>
  <c r="BE236" i="4"/>
  <c r="BQ237" i="4"/>
  <c r="O8" i="5"/>
  <c r="AA51" i="8"/>
  <c r="AA54" i="8" s="1"/>
  <c r="O27" i="8"/>
  <c r="AA24" i="8"/>
  <c r="DG9" i="4"/>
  <c r="CU8" i="4"/>
  <c r="O87" i="8"/>
  <c r="AA88" i="8"/>
  <c r="O205" i="8"/>
  <c r="AA206" i="8"/>
  <c r="O223" i="8"/>
  <c r="AA224" i="8"/>
  <c r="BE8" i="4"/>
  <c r="BQ9" i="4"/>
  <c r="FK236" i="4"/>
  <c r="EI138" i="4"/>
  <c r="EI60" i="4"/>
  <c r="E146" i="4"/>
  <c r="L193" i="4"/>
  <c r="EI172" i="4"/>
  <c r="EI214" i="4"/>
  <c r="EI164" i="4"/>
  <c r="EI193" i="4"/>
  <c r="EI76" i="4"/>
  <c r="I146" i="4"/>
  <c r="D57" i="4"/>
  <c r="H57" i="4"/>
  <c r="L57" i="4"/>
  <c r="F223" i="4"/>
  <c r="J223" i="4"/>
  <c r="EI209" i="4"/>
  <c r="EI219" i="4"/>
  <c r="EI241" i="4"/>
  <c r="EH75" i="4"/>
  <c r="EI223" i="4"/>
  <c r="DW115" i="4"/>
  <c r="EI236" i="4"/>
  <c r="EI157" i="4"/>
  <c r="DZ75" i="4"/>
  <c r="EI57" i="4"/>
  <c r="EI8" i="4"/>
  <c r="DW6" i="4"/>
  <c r="EI90" i="4"/>
  <c r="AE236" i="4"/>
  <c r="DU236" i="4"/>
  <c r="DI6" i="4"/>
  <c r="CS90" i="4"/>
  <c r="D146" i="4"/>
  <c r="CS209" i="4"/>
  <c r="CS223" i="4"/>
  <c r="CS87" i="4"/>
  <c r="CQ75" i="4"/>
  <c r="CS116" i="4"/>
  <c r="H104" i="4"/>
  <c r="A219" i="4"/>
  <c r="I219" i="4"/>
  <c r="A223" i="4"/>
  <c r="E223" i="4"/>
  <c r="I223" i="4"/>
  <c r="H227" i="4"/>
  <c r="L227" i="4"/>
  <c r="CS205" i="4"/>
  <c r="CS236" i="4"/>
  <c r="CS138" i="4"/>
  <c r="CM75" i="4"/>
  <c r="CS60" i="4"/>
  <c r="CS193" i="4"/>
  <c r="A90" i="4"/>
  <c r="B223" i="4"/>
  <c r="CS157" i="4"/>
  <c r="CS241" i="4"/>
  <c r="CI75" i="4"/>
  <c r="CO71" i="4"/>
  <c r="CS29" i="4"/>
  <c r="CE236" i="4"/>
  <c r="CE13" i="4"/>
  <c r="CE8" i="4"/>
  <c r="BS6" i="4"/>
  <c r="AF13" i="4"/>
  <c r="AJ13" i="4"/>
  <c r="AN13" i="4"/>
  <c r="A13" i="4"/>
  <c r="E13" i="4"/>
  <c r="I13" i="4"/>
  <c r="A87" i="4"/>
  <c r="BC164" i="4"/>
  <c r="AU156" i="4"/>
  <c r="BC172" i="4"/>
  <c r="BC214" i="4"/>
  <c r="BC241" i="4"/>
  <c r="BC193" i="4"/>
  <c r="BC104" i="4"/>
  <c r="AY156" i="4"/>
  <c r="L29" i="4"/>
  <c r="D178" i="4"/>
  <c r="H178" i="4"/>
  <c r="L178" i="4"/>
  <c r="C178" i="4"/>
  <c r="E227" i="4"/>
  <c r="BC209" i="4"/>
  <c r="BC76" i="4"/>
  <c r="BC13" i="4"/>
  <c r="BC8" i="4"/>
  <c r="AQ6" i="4"/>
  <c r="BC90" i="4"/>
  <c r="BC60" i="4"/>
  <c r="G13" i="4"/>
  <c r="K13" i="4"/>
  <c r="C87" i="4"/>
  <c r="G87" i="4"/>
  <c r="K87" i="4"/>
  <c r="G90" i="4"/>
  <c r="B129" i="4"/>
  <c r="I157" i="4"/>
  <c r="M165" i="4"/>
  <c r="E164" i="4"/>
  <c r="I164" i="4"/>
  <c r="BC157" i="4"/>
  <c r="BC205" i="4"/>
  <c r="BC236" i="4"/>
  <c r="AE54" i="4"/>
  <c r="AI54" i="4"/>
  <c r="AM54" i="4"/>
  <c r="AA217" i="4"/>
  <c r="C29" i="4"/>
  <c r="M33" i="4"/>
  <c r="M36" i="4"/>
  <c r="B38" i="4"/>
  <c r="J38" i="4"/>
  <c r="B54" i="4"/>
  <c r="F54" i="4"/>
  <c r="J54" i="4"/>
  <c r="H60" i="4"/>
  <c r="M126" i="4"/>
  <c r="D193" i="4"/>
  <c r="H193" i="4"/>
  <c r="F133" i="4"/>
  <c r="M136" i="4"/>
  <c r="D138" i="4"/>
  <c r="H138" i="4"/>
  <c r="M141" i="4"/>
  <c r="A209" i="4"/>
  <c r="E209" i="4"/>
  <c r="I209" i="4"/>
  <c r="C214" i="4"/>
  <c r="G214" i="4"/>
  <c r="K214" i="4"/>
  <c r="F193" i="4"/>
  <c r="M195" i="4"/>
  <c r="AO89" i="4"/>
  <c r="B13" i="4"/>
  <c r="F13" i="4"/>
  <c r="F182" i="4"/>
  <c r="C38" i="4"/>
  <c r="E133" i="4"/>
  <c r="I133" i="4"/>
  <c r="C150" i="4"/>
  <c r="K150" i="4"/>
  <c r="H150" i="4"/>
  <c r="C227" i="4"/>
  <c r="G227" i="4"/>
  <c r="K227" i="4"/>
  <c r="G76" i="4"/>
  <c r="H87" i="4"/>
  <c r="E172" i="4"/>
  <c r="D223" i="4"/>
  <c r="H223" i="4"/>
  <c r="L223" i="4"/>
  <c r="E241" i="4"/>
  <c r="D116" i="4"/>
  <c r="L116" i="4"/>
  <c r="G146" i="4"/>
  <c r="K146" i="4"/>
  <c r="E219" i="4"/>
  <c r="A227" i="4"/>
  <c r="I227" i="4"/>
  <c r="AO4" i="4"/>
  <c r="AE13" i="4"/>
  <c r="AI13" i="4"/>
  <c r="AM13" i="4"/>
  <c r="AE27" i="4"/>
  <c r="AI27" i="4"/>
  <c r="AM27" i="4"/>
  <c r="AC13" i="4"/>
  <c r="AG13" i="4"/>
  <c r="AK13" i="4"/>
  <c r="AO20" i="4"/>
  <c r="AO36" i="4"/>
  <c r="AO68" i="4"/>
  <c r="M4" i="4"/>
  <c r="B27" i="4"/>
  <c r="F27" i="4"/>
  <c r="J27" i="4"/>
  <c r="D29" i="4"/>
  <c r="H29" i="4"/>
  <c r="K29" i="4"/>
  <c r="A54" i="4"/>
  <c r="E54" i="4"/>
  <c r="I54" i="4"/>
  <c r="K60" i="4"/>
  <c r="C60" i="4"/>
  <c r="A76" i="4"/>
  <c r="E76" i="4"/>
  <c r="I76" i="4"/>
  <c r="D104" i="4"/>
  <c r="L104" i="4"/>
  <c r="M107" i="4"/>
  <c r="M124" i="4"/>
  <c r="F129" i="4"/>
  <c r="J129" i="4"/>
  <c r="H146" i="4"/>
  <c r="L146" i="4"/>
  <c r="B150" i="4"/>
  <c r="F150" i="4"/>
  <c r="J150" i="4"/>
  <c r="B157" i="4"/>
  <c r="F157" i="4"/>
  <c r="J157" i="4"/>
  <c r="M159" i="4"/>
  <c r="E157" i="4"/>
  <c r="D209" i="4"/>
  <c r="H209" i="4"/>
  <c r="L209" i="4"/>
  <c r="A27" i="4"/>
  <c r="E27" i="4"/>
  <c r="I27" i="4"/>
  <c r="D38" i="4"/>
  <c r="H38" i="4"/>
  <c r="L38" i="4"/>
  <c r="G38" i="4"/>
  <c r="K38" i="4"/>
  <c r="M45" i="4"/>
  <c r="D54" i="4"/>
  <c r="B57" i="4"/>
  <c r="F57" i="4"/>
  <c r="J57" i="4"/>
  <c r="D60" i="4"/>
  <c r="L60" i="4"/>
  <c r="M63" i="4"/>
  <c r="I90" i="4"/>
  <c r="A104" i="4"/>
  <c r="I104" i="4"/>
  <c r="M122" i="4"/>
  <c r="M132" i="4"/>
  <c r="E129" i="4"/>
  <c r="F164" i="4"/>
  <c r="M170" i="4"/>
  <c r="M226" i="4"/>
  <c r="F241" i="4"/>
  <c r="J241" i="4"/>
  <c r="A241" i="4"/>
  <c r="I241" i="4"/>
  <c r="C241" i="4"/>
  <c r="G241" i="4"/>
  <c r="K241" i="4"/>
  <c r="J13" i="4"/>
  <c r="D27" i="4"/>
  <c r="H27" i="4"/>
  <c r="M56" i="4"/>
  <c r="C76" i="4"/>
  <c r="K76" i="4"/>
  <c r="B87" i="4"/>
  <c r="F87" i="4"/>
  <c r="J87" i="4"/>
  <c r="M89" i="4"/>
  <c r="E87" i="4"/>
  <c r="I87" i="4"/>
  <c r="F90" i="4"/>
  <c r="J90" i="4"/>
  <c r="M92" i="4"/>
  <c r="E90" i="4"/>
  <c r="K90" i="4"/>
  <c r="M96" i="4"/>
  <c r="M100" i="4"/>
  <c r="M111" i="4"/>
  <c r="B116" i="4"/>
  <c r="F116" i="4"/>
  <c r="J116" i="4"/>
  <c r="H116" i="4"/>
  <c r="M120" i="4"/>
  <c r="M128" i="4"/>
  <c r="A133" i="4"/>
  <c r="M167" i="4"/>
  <c r="K178" i="4"/>
  <c r="M181" i="4"/>
  <c r="A187" i="4"/>
  <c r="E187" i="4"/>
  <c r="I187" i="4"/>
  <c r="G187" i="4"/>
  <c r="B193" i="4"/>
  <c r="J193" i="4"/>
  <c r="M217" i="4"/>
  <c r="B219" i="4"/>
  <c r="F219" i="4"/>
  <c r="J219" i="4"/>
  <c r="C219" i="4"/>
  <c r="G219" i="4"/>
  <c r="K219" i="4"/>
  <c r="AA238" i="5"/>
  <c r="BQ236" i="5"/>
  <c r="EW236" i="6"/>
  <c r="EW8" i="6"/>
  <c r="DG236" i="6"/>
  <c r="BQ236" i="6"/>
  <c r="CG71" i="5"/>
  <c r="DW71" i="6"/>
  <c r="AQ71" i="6"/>
  <c r="EW236" i="7"/>
  <c r="DG236" i="7"/>
  <c r="Y58" i="8"/>
  <c r="X115" i="8"/>
  <c r="AB115" i="8" s="1"/>
  <c r="X43" i="8"/>
  <c r="P13" i="8"/>
  <c r="P29" i="8"/>
  <c r="P54" i="8"/>
  <c r="P60" i="8"/>
  <c r="P76" i="8"/>
  <c r="P90" i="8"/>
  <c r="P104" i="8"/>
  <c r="P133" i="8"/>
  <c r="P138" i="8"/>
  <c r="P146" i="8"/>
  <c r="P150" i="8"/>
  <c r="P157" i="8"/>
  <c r="P164" i="8"/>
  <c r="P172" i="8"/>
  <c r="P178" i="8"/>
  <c r="P182" i="8"/>
  <c r="P187" i="8"/>
  <c r="P193" i="8"/>
  <c r="P209" i="8"/>
  <c r="R60" i="8"/>
  <c r="U172" i="8"/>
  <c r="V8" i="8"/>
  <c r="P27" i="8"/>
  <c r="P8" i="8"/>
  <c r="P38" i="8"/>
  <c r="P116" i="8"/>
  <c r="S8" i="8"/>
  <c r="S6" i="8" s="1"/>
  <c r="S29" i="8"/>
  <c r="S150" i="8"/>
  <c r="P219" i="8"/>
  <c r="P223" i="8"/>
  <c r="S133" i="8"/>
  <c r="S146" i="8"/>
  <c r="S157" i="8"/>
  <c r="S182" i="8"/>
  <c r="S187" i="8"/>
  <c r="S209" i="8"/>
  <c r="S219" i="8"/>
  <c r="S218" i="8" s="1"/>
  <c r="S241" i="8"/>
  <c r="EB297" i="23" s="1"/>
  <c r="W29" i="8"/>
  <c r="W43" i="8" s="1"/>
  <c r="W47" i="8" s="1"/>
  <c r="W76" i="8"/>
  <c r="W104" i="8"/>
  <c r="W116" i="8"/>
  <c r="W138" i="8"/>
  <c r="W150" i="8"/>
  <c r="W164" i="8"/>
  <c r="W178" i="8"/>
  <c r="W193" i="8"/>
  <c r="W205" i="8"/>
  <c r="W223" i="8"/>
  <c r="X209" i="8"/>
  <c r="R8" i="8"/>
  <c r="R6" i="8" s="1"/>
  <c r="R27" i="8"/>
  <c r="R29" i="8"/>
  <c r="R38" i="8"/>
  <c r="R76" i="8"/>
  <c r="R75" i="8" s="1"/>
  <c r="R104" i="8"/>
  <c r="R133" i="8"/>
  <c r="R138" i="8"/>
  <c r="R146" i="8"/>
  <c r="R157" i="8"/>
  <c r="R164" i="8"/>
  <c r="R172" i="8"/>
  <c r="R178" i="8"/>
  <c r="R182" i="8"/>
  <c r="R193" i="8"/>
  <c r="R205" i="8"/>
  <c r="R209" i="8"/>
  <c r="R219" i="8"/>
  <c r="R223" i="8"/>
  <c r="R241" i="8"/>
  <c r="EB298" i="23" s="1"/>
  <c r="V13" i="8"/>
  <c r="V27" i="8"/>
  <c r="V29" i="8"/>
  <c r="V38" i="8"/>
  <c r="V60" i="8"/>
  <c r="V76" i="8"/>
  <c r="V90" i="8"/>
  <c r="V116" i="8"/>
  <c r="V133" i="8"/>
  <c r="V138" i="8"/>
  <c r="V150" i="8"/>
  <c r="V157" i="8"/>
  <c r="V164" i="8"/>
  <c r="V172" i="8"/>
  <c r="V182" i="8"/>
  <c r="V187" i="8"/>
  <c r="V193" i="8"/>
  <c r="V205" i="8"/>
  <c r="V219" i="8"/>
  <c r="V223" i="8"/>
  <c r="V236" i="8"/>
  <c r="V241" i="8"/>
  <c r="EB294" i="23" s="1"/>
  <c r="W129" i="8"/>
  <c r="W209" i="8"/>
  <c r="W227" i="8"/>
  <c r="P205" i="8"/>
  <c r="P241" i="8"/>
  <c r="EB300" i="23" s="1"/>
  <c r="S27" i="8"/>
  <c r="S38" i="8"/>
  <c r="S60" i="8"/>
  <c r="S90" i="8"/>
  <c r="S75" i="8" s="1"/>
  <c r="S104" i="8"/>
  <c r="S116" i="8"/>
  <c r="S138" i="8"/>
  <c r="S164" i="8"/>
  <c r="S178" i="8"/>
  <c r="S193" i="8"/>
  <c r="S236" i="8"/>
  <c r="W8" i="8"/>
  <c r="W6" i="8" s="1"/>
  <c r="W27" i="8"/>
  <c r="W54" i="8"/>
  <c r="W90" i="8"/>
  <c r="W146" i="8"/>
  <c r="W157" i="8"/>
  <c r="W172" i="8"/>
  <c r="W182" i="8"/>
  <c r="W219" i="8"/>
  <c r="W241" i="8"/>
  <c r="S54" i="8"/>
  <c r="S58" i="8" s="1"/>
  <c r="U8" i="8"/>
  <c r="U13" i="8"/>
  <c r="U27" i="8"/>
  <c r="U29" i="8"/>
  <c r="U43" i="8" s="1"/>
  <c r="U47" i="8" s="1"/>
  <c r="U54" i="8"/>
  <c r="U58" i="8" s="1"/>
  <c r="U76" i="8"/>
  <c r="U90" i="8"/>
  <c r="U104" i="8"/>
  <c r="U133" i="8"/>
  <c r="U138" i="8"/>
  <c r="U146" i="8"/>
  <c r="U150" i="8"/>
  <c r="U157" i="8"/>
  <c r="U164" i="8"/>
  <c r="U178" i="8"/>
  <c r="U182" i="8"/>
  <c r="U187" i="8"/>
  <c r="U193" i="8"/>
  <c r="U209" i="8"/>
  <c r="U219" i="8"/>
  <c r="U218" i="8" s="1"/>
  <c r="U236" i="8"/>
  <c r="U241" i="8"/>
  <c r="EB295" i="23" s="1"/>
  <c r="V57" i="8"/>
  <c r="V129" i="8"/>
  <c r="O57" i="8"/>
  <c r="O116" i="8"/>
  <c r="O209" i="8"/>
  <c r="O214" i="8"/>
  <c r="O227" i="8"/>
  <c r="O38" i="8"/>
  <c r="O60" i="8"/>
  <c r="O90" i="8"/>
  <c r="O129" i="8"/>
  <c r="O150" i="8"/>
  <c r="O157" i="8"/>
  <c r="O172" i="8"/>
  <c r="O182" i="8"/>
  <c r="O187" i="8"/>
  <c r="O241" i="8"/>
  <c r="EB301" i="23" s="1"/>
  <c r="O8" i="8"/>
  <c r="O13" i="8"/>
  <c r="O29" i="8"/>
  <c r="O146" i="8"/>
  <c r="O164" i="8"/>
  <c r="O193" i="8"/>
  <c r="O219" i="8"/>
  <c r="O236" i="8"/>
  <c r="O76" i="8"/>
  <c r="O104" i="8"/>
  <c r="O133" i="8"/>
  <c r="O138" i="8"/>
  <c r="Q75" i="8"/>
  <c r="Q156" i="8"/>
  <c r="Y43" i="8"/>
  <c r="Y47" i="8" s="1"/>
  <c r="Y218" i="8"/>
  <c r="Y156" i="8"/>
  <c r="T6" i="8"/>
  <c r="T156" i="8"/>
  <c r="X75" i="8"/>
  <c r="AB75" i="8" s="1"/>
  <c r="Z6" i="8"/>
  <c r="Z75" i="8"/>
  <c r="Z218" i="8"/>
  <c r="Q6" i="8"/>
  <c r="X6" i="8"/>
  <c r="Y6" i="8"/>
  <c r="Y75" i="8"/>
  <c r="Z115" i="8"/>
  <c r="Q43" i="8"/>
  <c r="Q47" i="8" s="1"/>
  <c r="Q218" i="8"/>
  <c r="T75" i="8"/>
  <c r="T218" i="8"/>
  <c r="X218" i="8"/>
  <c r="AB218" i="8" s="1"/>
  <c r="Z156" i="8"/>
  <c r="Z58" i="8"/>
  <c r="Y115" i="8"/>
  <c r="T115" i="8"/>
  <c r="T58" i="8"/>
  <c r="R58" i="8"/>
  <c r="Q115" i="8"/>
  <c r="Q58" i="8"/>
  <c r="AO45" i="5"/>
  <c r="AO46" i="5"/>
  <c r="AO52" i="5"/>
  <c r="AI8" i="4"/>
  <c r="M42" i="4"/>
  <c r="J209" i="4"/>
  <c r="D13" i="4"/>
  <c r="H13" i="4"/>
  <c r="L13" i="4"/>
  <c r="C13" i="4"/>
  <c r="M18" i="4"/>
  <c r="AO18" i="4"/>
  <c r="M21" i="4"/>
  <c r="AO21" i="4"/>
  <c r="C27" i="4"/>
  <c r="G27" i="4"/>
  <c r="K27" i="4"/>
  <c r="L27" i="4"/>
  <c r="M34" i="4"/>
  <c r="F38" i="4"/>
  <c r="C54" i="4"/>
  <c r="G54" i="4"/>
  <c r="K54" i="4"/>
  <c r="H54" i="4"/>
  <c r="L54" i="4"/>
  <c r="A57" i="4"/>
  <c r="E57" i="4"/>
  <c r="I57" i="4"/>
  <c r="A60" i="4"/>
  <c r="E60" i="4"/>
  <c r="AO66" i="4"/>
  <c r="M69" i="4"/>
  <c r="M80" i="4"/>
  <c r="M82" i="4"/>
  <c r="M88" i="4"/>
  <c r="C90" i="4"/>
  <c r="AM8" i="4"/>
  <c r="A8" i="4"/>
  <c r="E8" i="4"/>
  <c r="I8" i="4"/>
  <c r="AO12" i="4"/>
  <c r="AO14" i="4"/>
  <c r="M19" i="4"/>
  <c r="AO19" i="4"/>
  <c r="A29" i="4"/>
  <c r="E29" i="4"/>
  <c r="I29" i="4"/>
  <c r="AO37" i="4"/>
  <c r="M50" i="4"/>
  <c r="B60" i="4"/>
  <c r="F60" i="4"/>
  <c r="J60" i="4"/>
  <c r="M64" i="4"/>
  <c r="M67" i="4"/>
  <c r="G60" i="4"/>
  <c r="M78" i="4"/>
  <c r="L138" i="4"/>
  <c r="AE8" i="4"/>
  <c r="M9" i="4"/>
  <c r="AO10" i="4"/>
  <c r="M11" i="4"/>
  <c r="AD8" i="4"/>
  <c r="AH8" i="4"/>
  <c r="AL8" i="4"/>
  <c r="AD13" i="4"/>
  <c r="AH13" i="4"/>
  <c r="AL13" i="4"/>
  <c r="AO15" i="4"/>
  <c r="AC27" i="4"/>
  <c r="AG27" i="4"/>
  <c r="AK27" i="4"/>
  <c r="AD27" i="4"/>
  <c r="AH27" i="4"/>
  <c r="AL27" i="4"/>
  <c r="M26" i="4"/>
  <c r="M30" i="4"/>
  <c r="G29" i="4"/>
  <c r="B29" i="4"/>
  <c r="F29" i="4"/>
  <c r="J29" i="4"/>
  <c r="AO35" i="4"/>
  <c r="A38" i="4"/>
  <c r="E38" i="4"/>
  <c r="I38" i="4"/>
  <c r="M41" i="4"/>
  <c r="AC54" i="4"/>
  <c r="AG54" i="4"/>
  <c r="AK54" i="4"/>
  <c r="AD54" i="4"/>
  <c r="AH54" i="4"/>
  <c r="AL54" i="4"/>
  <c r="M53" i="4"/>
  <c r="C57" i="4"/>
  <c r="G57" i="4"/>
  <c r="K57" i="4"/>
  <c r="M62" i="4"/>
  <c r="M65" i="4"/>
  <c r="AO65" i="4"/>
  <c r="M79" i="4"/>
  <c r="C116" i="4"/>
  <c r="G116" i="4"/>
  <c r="K116" i="4"/>
  <c r="M118" i="4"/>
  <c r="A116" i="4"/>
  <c r="E116" i="4"/>
  <c r="I116" i="4"/>
  <c r="B90" i="4"/>
  <c r="M93" i="4"/>
  <c r="M97" i="4"/>
  <c r="M101" i="4"/>
  <c r="B104" i="4"/>
  <c r="F104" i="4"/>
  <c r="J104" i="4"/>
  <c r="M130" i="4"/>
  <c r="I129" i="4"/>
  <c r="C133" i="4"/>
  <c r="G133" i="4"/>
  <c r="K133" i="4"/>
  <c r="A138" i="4"/>
  <c r="E138" i="4"/>
  <c r="I138" i="4"/>
  <c r="M142" i="4"/>
  <c r="M145" i="4"/>
  <c r="D90" i="4"/>
  <c r="H90" i="4"/>
  <c r="L90" i="4"/>
  <c r="M94" i="4"/>
  <c r="M98" i="4"/>
  <c r="M102" i="4"/>
  <c r="C104" i="4"/>
  <c r="G104" i="4"/>
  <c r="K104" i="4"/>
  <c r="M106" i="4"/>
  <c r="E104" i="4"/>
  <c r="M108" i="4"/>
  <c r="M110" i="4"/>
  <c r="M112" i="4"/>
  <c r="M119" i="4"/>
  <c r="M123" i="4"/>
  <c r="M127" i="4"/>
  <c r="D133" i="4"/>
  <c r="H133" i="4"/>
  <c r="L133" i="4"/>
  <c r="B133" i="4"/>
  <c r="J133" i="4"/>
  <c r="M137" i="4"/>
  <c r="M143" i="4"/>
  <c r="M147" i="4"/>
  <c r="A146" i="4"/>
  <c r="A157" i="4"/>
  <c r="M91" i="4"/>
  <c r="M95" i="4"/>
  <c r="M99" i="4"/>
  <c r="C138" i="4"/>
  <c r="G138" i="4"/>
  <c r="K138" i="4"/>
  <c r="M140" i="4"/>
  <c r="C187" i="4"/>
  <c r="K187" i="4"/>
  <c r="M148" i="4"/>
  <c r="D150" i="4"/>
  <c r="L150" i="4"/>
  <c r="G150" i="4"/>
  <c r="A150" i="4"/>
  <c r="M162" i="4"/>
  <c r="M175" i="4"/>
  <c r="D172" i="4"/>
  <c r="H172" i="4"/>
  <c r="L172" i="4"/>
  <c r="G178" i="4"/>
  <c r="M186" i="4"/>
  <c r="B187" i="4"/>
  <c r="F187" i="4"/>
  <c r="J187" i="4"/>
  <c r="M196" i="4"/>
  <c r="H157" i="4"/>
  <c r="C164" i="4"/>
  <c r="G164" i="4"/>
  <c r="K164" i="4"/>
  <c r="M166" i="4"/>
  <c r="M168" i="4"/>
  <c r="A172" i="4"/>
  <c r="I172" i="4"/>
  <c r="A178" i="4"/>
  <c r="E178" i="4"/>
  <c r="I178" i="4"/>
  <c r="M184" i="4"/>
  <c r="C182" i="4"/>
  <c r="G182" i="4"/>
  <c r="K182" i="4"/>
  <c r="B182" i="4"/>
  <c r="J182" i="4"/>
  <c r="C205" i="4"/>
  <c r="G205" i="4"/>
  <c r="K205" i="4"/>
  <c r="C146" i="4"/>
  <c r="M151" i="4"/>
  <c r="M153" i="4"/>
  <c r="M177" i="4"/>
  <c r="AD236" i="4"/>
  <c r="M198" i="4"/>
  <c r="M200" i="4"/>
  <c r="M202" i="4"/>
  <c r="M211" i="4"/>
  <c r="M215" i="4"/>
  <c r="C236" i="4"/>
  <c r="G236" i="4"/>
  <c r="K236" i="4"/>
  <c r="B241" i="4"/>
  <c r="M244" i="4"/>
  <c r="M222" i="4"/>
  <c r="C223" i="4"/>
  <c r="G223" i="4"/>
  <c r="K223" i="4"/>
  <c r="M225" i="4"/>
  <c r="M229" i="4"/>
  <c r="D236" i="4"/>
  <c r="H236" i="4"/>
  <c r="L236" i="4"/>
  <c r="D241" i="4"/>
  <c r="H241" i="4"/>
  <c r="L241" i="4"/>
  <c r="M197" i="4"/>
  <c r="M199" i="4"/>
  <c r="M201" i="4"/>
  <c r="M203" i="4"/>
  <c r="M212" i="4"/>
  <c r="M220" i="4"/>
  <c r="AO237" i="4"/>
  <c r="M238" i="4"/>
  <c r="AC236" i="4"/>
  <c r="AG236" i="4"/>
  <c r="AK236" i="4"/>
  <c r="M242" i="4"/>
  <c r="M246" i="4"/>
  <c r="I60" i="4"/>
  <c r="M61" i="4"/>
  <c r="AO26" i="4"/>
  <c r="M32" i="4"/>
  <c r="M35" i="4"/>
  <c r="AO53" i="4"/>
  <c r="M66" i="4"/>
  <c r="AO69" i="4"/>
  <c r="B76" i="4"/>
  <c r="F76" i="4"/>
  <c r="J76" i="4"/>
  <c r="M10" i="4"/>
  <c r="M15" i="4"/>
  <c r="M16" i="4"/>
  <c r="AO16" i="4"/>
  <c r="M20" i="4"/>
  <c r="M23" i="4"/>
  <c r="AO23" i="4"/>
  <c r="M37" i="4"/>
  <c r="M44" i="4"/>
  <c r="AO50" i="4"/>
  <c r="AO56" i="4"/>
  <c r="M68" i="4"/>
  <c r="M77" i="4"/>
  <c r="M7" i="4"/>
  <c r="C8" i="4"/>
  <c r="G8" i="4"/>
  <c r="K8" i="4"/>
  <c r="AO11" i="4"/>
  <c r="M12" i="4"/>
  <c r="M24" i="4"/>
  <c r="AF27" i="4"/>
  <c r="AJ27" i="4"/>
  <c r="AN27" i="4"/>
  <c r="AO25" i="4"/>
  <c r="M31" i="4"/>
  <c r="M40" i="4"/>
  <c r="M46" i="4"/>
  <c r="M51" i="4"/>
  <c r="AF54" i="4"/>
  <c r="AJ54" i="4"/>
  <c r="AN54" i="4"/>
  <c r="AO52" i="4"/>
  <c r="D76" i="4"/>
  <c r="H76" i="4"/>
  <c r="L76" i="4"/>
  <c r="AO9" i="4"/>
  <c r="M14" i="4"/>
  <c r="AO24" i="4"/>
  <c r="M25" i="4"/>
  <c r="M39" i="4"/>
  <c r="AO51" i="4"/>
  <c r="M52" i="4"/>
  <c r="M81" i="4"/>
  <c r="M85" i="4"/>
  <c r="M152" i="4"/>
  <c r="M154" i="4"/>
  <c r="M161" i="4"/>
  <c r="AO7" i="4"/>
  <c r="M84" i="4"/>
  <c r="M86" i="4"/>
  <c r="M105" i="4"/>
  <c r="M109" i="4"/>
  <c r="M113" i="4"/>
  <c r="M117" i="4"/>
  <c r="M121" i="4"/>
  <c r="M125" i="4"/>
  <c r="M131" i="4"/>
  <c r="B146" i="4"/>
  <c r="F146" i="4"/>
  <c r="J146" i="4"/>
  <c r="E150" i="4"/>
  <c r="M179" i="4"/>
  <c r="M55" i="4"/>
  <c r="M83" i="4"/>
  <c r="C129" i="4"/>
  <c r="G129" i="4"/>
  <c r="K129" i="4"/>
  <c r="M144" i="4"/>
  <c r="A129" i="4"/>
  <c r="D129" i="4"/>
  <c r="H129" i="4"/>
  <c r="L129" i="4"/>
  <c r="M135" i="4"/>
  <c r="A164" i="4"/>
  <c r="M210" i="4"/>
  <c r="M134" i="4"/>
  <c r="M139" i="4"/>
  <c r="M160" i="4"/>
  <c r="A193" i="4"/>
  <c r="E193" i="4"/>
  <c r="I193" i="4"/>
  <c r="M194" i="4"/>
  <c r="M149" i="4"/>
  <c r="I150" i="4"/>
  <c r="C157" i="4"/>
  <c r="G157" i="4"/>
  <c r="K157" i="4"/>
  <c r="D157" i="4"/>
  <c r="L157" i="4"/>
  <c r="D164" i="4"/>
  <c r="H164" i="4"/>
  <c r="L164" i="4"/>
  <c r="B164" i="4"/>
  <c r="J164" i="4"/>
  <c r="M169" i="4"/>
  <c r="M173" i="4"/>
  <c r="M176" i="4"/>
  <c r="B178" i="4"/>
  <c r="F178" i="4"/>
  <c r="J178" i="4"/>
  <c r="M191" i="4"/>
  <c r="B138" i="4"/>
  <c r="F138" i="4"/>
  <c r="J138" i="4"/>
  <c r="M158" i="4"/>
  <c r="M171" i="4"/>
  <c r="B172" i="4"/>
  <c r="F172" i="4"/>
  <c r="J172" i="4"/>
  <c r="M174" i="4"/>
  <c r="D182" i="4"/>
  <c r="H182" i="4"/>
  <c r="L182" i="4"/>
  <c r="M185" i="4"/>
  <c r="B205" i="4"/>
  <c r="F205" i="4"/>
  <c r="J205" i="4"/>
  <c r="M224" i="4"/>
  <c r="C172" i="4"/>
  <c r="G172" i="4"/>
  <c r="K172" i="4"/>
  <c r="M180" i="4"/>
  <c r="A182" i="4"/>
  <c r="E182" i="4"/>
  <c r="I182" i="4"/>
  <c r="M188" i="4"/>
  <c r="M192" i="4"/>
  <c r="M183" i="4"/>
  <c r="M190" i="4"/>
  <c r="M204" i="4"/>
  <c r="D205" i="4"/>
  <c r="H205" i="4"/>
  <c r="L205" i="4"/>
  <c r="M207" i="4"/>
  <c r="M213" i="4"/>
  <c r="D187" i="4"/>
  <c r="H187" i="4"/>
  <c r="L187" i="4"/>
  <c r="M189" i="4"/>
  <c r="C193" i="4"/>
  <c r="G193" i="4"/>
  <c r="K193" i="4"/>
  <c r="M206" i="4"/>
  <c r="M208" i="4"/>
  <c r="C209" i="4"/>
  <c r="G209" i="4"/>
  <c r="K209" i="4"/>
  <c r="B214" i="4"/>
  <c r="F214" i="4"/>
  <c r="J214" i="4"/>
  <c r="D219" i="4"/>
  <c r="H219" i="4"/>
  <c r="L219" i="4"/>
  <c r="M221" i="4"/>
  <c r="AO221" i="4"/>
  <c r="M228" i="4"/>
  <c r="D214" i="4"/>
  <c r="H214" i="4"/>
  <c r="L214" i="4"/>
  <c r="M216" i="4"/>
  <c r="AO217" i="4"/>
  <c r="AO238" i="4"/>
  <c r="M239" i="4"/>
  <c r="AO239" i="4"/>
  <c r="M243" i="4"/>
  <c r="M245" i="4"/>
  <c r="M247" i="4"/>
  <c r="M237" i="4"/>
  <c r="AN236" i="5"/>
  <c r="U8" i="5"/>
  <c r="P8" i="5"/>
  <c r="AJ236" i="5"/>
  <c r="Q8" i="5"/>
  <c r="AA18" i="5"/>
  <c r="AA23" i="5"/>
  <c r="R8" i="5"/>
  <c r="V8" i="5"/>
  <c r="Z8" i="5"/>
  <c r="AA237" i="5"/>
  <c r="O236" i="5"/>
  <c r="S236" i="5"/>
  <c r="W236" i="5"/>
  <c r="AF236" i="5"/>
  <c r="Y8" i="5"/>
  <c r="AA4" i="5"/>
  <c r="T236" i="5"/>
  <c r="X236" i="5"/>
  <c r="AO9" i="5"/>
  <c r="AO10" i="5"/>
  <c r="AD38" i="5"/>
  <c r="AH38" i="5"/>
  <c r="AL38" i="5"/>
  <c r="AA50" i="5"/>
  <c r="AA53" i="5"/>
  <c r="Q236" i="5"/>
  <c r="U236" i="5"/>
  <c r="Y236" i="5"/>
  <c r="X8" i="5"/>
  <c r="AI8" i="5"/>
  <c r="AF27" i="5"/>
  <c r="AJ27" i="5"/>
  <c r="AN27" i="5"/>
  <c r="AO19" i="5"/>
  <c r="AO20" i="5"/>
  <c r="AO21" i="5"/>
  <c r="AO23" i="5"/>
  <c r="AO26" i="5"/>
  <c r="AO31" i="5"/>
  <c r="AO32" i="5"/>
  <c r="AO33" i="5"/>
  <c r="AG29" i="5"/>
  <c r="AK29" i="5"/>
  <c r="AO35" i="5"/>
  <c r="AO37" i="5"/>
  <c r="AO237" i="5"/>
  <c r="AC236" i="5"/>
  <c r="AG236" i="5"/>
  <c r="AK236" i="5"/>
  <c r="AJ38" i="5"/>
  <c r="AO39" i="5"/>
  <c r="AO41" i="5"/>
  <c r="AO42" i="5"/>
  <c r="AF54" i="5"/>
  <c r="AJ54" i="5"/>
  <c r="AN54" i="5"/>
  <c r="AO56" i="5"/>
  <c r="AO66" i="5"/>
  <c r="AO68" i="5"/>
  <c r="AO69" i="5"/>
  <c r="AO24" i="5"/>
  <c r="AF8" i="5"/>
  <c r="AJ8" i="5"/>
  <c r="AN8" i="5"/>
  <c r="AO25" i="5"/>
  <c r="AD29" i="5"/>
  <c r="AH29" i="5"/>
  <c r="AL29" i="5"/>
  <c r="AO34" i="5"/>
  <c r="AO36" i="5"/>
  <c r="AO40" i="5"/>
  <c r="AO44" i="5"/>
  <c r="AO50" i="5"/>
  <c r="AO51" i="5"/>
  <c r="AO55" i="5"/>
  <c r="AO65" i="5"/>
  <c r="AO53" i="5"/>
  <c r="AO11" i="5"/>
  <c r="AO12" i="5"/>
  <c r="AO18" i="5"/>
  <c r="AF29" i="5"/>
  <c r="AJ29" i="5"/>
  <c r="AN29" i="5"/>
  <c r="AE54" i="5"/>
  <c r="AI54" i="5"/>
  <c r="AM54" i="5"/>
  <c r="AC38" i="5"/>
  <c r="AO89" i="5"/>
  <c r="AO238" i="5"/>
  <c r="AO239" i="5"/>
  <c r="AO217" i="5"/>
  <c r="AO221" i="5"/>
  <c r="AA37" i="5"/>
  <c r="AA52" i="5"/>
  <c r="AA56" i="5"/>
  <c r="AA9" i="5"/>
  <c r="AA10" i="5"/>
  <c r="AA11" i="5"/>
  <c r="AA12" i="5"/>
  <c r="AA239" i="5"/>
  <c r="AA217" i="5"/>
  <c r="L247" i="5"/>
  <c r="L247" i="1" s="1"/>
  <c r="K247" i="5"/>
  <c r="K247" i="1" s="1"/>
  <c r="J247" i="5"/>
  <c r="J247" i="1" s="1"/>
  <c r="I247" i="5"/>
  <c r="I247" i="1" s="1"/>
  <c r="H247" i="5"/>
  <c r="H247" i="1" s="1"/>
  <c r="G247" i="5"/>
  <c r="G247" i="1" s="1"/>
  <c r="F247" i="5"/>
  <c r="F247" i="1" s="1"/>
  <c r="E247" i="5"/>
  <c r="E247" i="1" s="1"/>
  <c r="D247" i="5"/>
  <c r="D247" i="1" s="1"/>
  <c r="C247" i="5"/>
  <c r="C247" i="1" s="1"/>
  <c r="B247" i="5"/>
  <c r="B247" i="1" s="1"/>
  <c r="A247" i="5"/>
  <c r="A247" i="1" s="1"/>
  <c r="L246" i="5"/>
  <c r="L246" i="1" s="1"/>
  <c r="K246" i="5"/>
  <c r="K246" i="1" s="1"/>
  <c r="J246" i="5"/>
  <c r="J246" i="1" s="1"/>
  <c r="I246" i="5"/>
  <c r="I246" i="1" s="1"/>
  <c r="H246" i="5"/>
  <c r="H246" i="1" s="1"/>
  <c r="G246" i="5"/>
  <c r="G246" i="1" s="1"/>
  <c r="F246" i="5"/>
  <c r="F246" i="1" s="1"/>
  <c r="E246" i="5"/>
  <c r="E246" i="1" s="1"/>
  <c r="D246" i="5"/>
  <c r="D246" i="1" s="1"/>
  <c r="C246" i="5"/>
  <c r="C246" i="1" s="1"/>
  <c r="B246" i="5"/>
  <c r="B246" i="1" s="1"/>
  <c r="A246" i="5"/>
  <c r="A246" i="1" s="1"/>
  <c r="L245" i="5"/>
  <c r="L245" i="1" s="1"/>
  <c r="K245" i="5"/>
  <c r="K245" i="1" s="1"/>
  <c r="J245" i="5"/>
  <c r="J245" i="1" s="1"/>
  <c r="I245" i="5"/>
  <c r="I245" i="1" s="1"/>
  <c r="H245" i="5"/>
  <c r="H245" i="1" s="1"/>
  <c r="G245" i="5"/>
  <c r="G245" i="1" s="1"/>
  <c r="F245" i="5"/>
  <c r="F245" i="1" s="1"/>
  <c r="E245" i="5"/>
  <c r="E245" i="1" s="1"/>
  <c r="D245" i="5"/>
  <c r="D245" i="1" s="1"/>
  <c r="C245" i="5"/>
  <c r="C245" i="1" s="1"/>
  <c r="B245" i="5"/>
  <c r="B245" i="1" s="1"/>
  <c r="A245" i="5"/>
  <c r="A245" i="1" s="1"/>
  <c r="L244" i="5"/>
  <c r="L244" i="1" s="1"/>
  <c r="K244" i="5"/>
  <c r="K244" i="1" s="1"/>
  <c r="J244" i="5"/>
  <c r="J244" i="1" s="1"/>
  <c r="I244" i="5"/>
  <c r="I244" i="1" s="1"/>
  <c r="H244" i="5"/>
  <c r="H244" i="1" s="1"/>
  <c r="G244" i="5"/>
  <c r="G244" i="1" s="1"/>
  <c r="F244" i="5"/>
  <c r="F244" i="1" s="1"/>
  <c r="E244" i="5"/>
  <c r="E244" i="1" s="1"/>
  <c r="D244" i="5"/>
  <c r="D244" i="1" s="1"/>
  <c r="C244" i="5"/>
  <c r="C244" i="1" s="1"/>
  <c r="B244" i="5"/>
  <c r="B244" i="1" s="1"/>
  <c r="A244" i="5"/>
  <c r="A244" i="1" s="1"/>
  <c r="L243" i="5"/>
  <c r="L243" i="1" s="1"/>
  <c r="K243" i="5"/>
  <c r="K243" i="1" s="1"/>
  <c r="J243" i="5"/>
  <c r="J243" i="1" s="1"/>
  <c r="I243" i="5"/>
  <c r="I243" i="1" s="1"/>
  <c r="H243" i="5"/>
  <c r="H243" i="1" s="1"/>
  <c r="G243" i="5"/>
  <c r="G243" i="1" s="1"/>
  <c r="F243" i="5"/>
  <c r="F243" i="1" s="1"/>
  <c r="E243" i="5"/>
  <c r="E243" i="1" s="1"/>
  <c r="D243" i="5"/>
  <c r="D243" i="1" s="1"/>
  <c r="C243" i="5"/>
  <c r="C243" i="1" s="1"/>
  <c r="B243" i="5"/>
  <c r="B243" i="1" s="1"/>
  <c r="A243" i="5"/>
  <c r="A243" i="1" s="1"/>
  <c r="L242" i="5"/>
  <c r="L242" i="1" s="1"/>
  <c r="K242" i="5"/>
  <c r="K242" i="1" s="1"/>
  <c r="J242" i="5"/>
  <c r="J242" i="1" s="1"/>
  <c r="I242" i="5"/>
  <c r="I242" i="1" s="1"/>
  <c r="H242" i="5"/>
  <c r="H242" i="1" s="1"/>
  <c r="G242" i="5"/>
  <c r="G242" i="1" s="1"/>
  <c r="F242" i="5"/>
  <c r="F242" i="1" s="1"/>
  <c r="E242" i="5"/>
  <c r="E242" i="1" s="1"/>
  <c r="D242" i="5"/>
  <c r="D242" i="1" s="1"/>
  <c r="C242" i="5"/>
  <c r="C242" i="1" s="1"/>
  <c r="B242" i="5"/>
  <c r="B242" i="1" s="1"/>
  <c r="A242" i="5"/>
  <c r="A242" i="1" s="1"/>
  <c r="L239" i="5"/>
  <c r="L239" i="1" s="1"/>
  <c r="K239" i="5"/>
  <c r="K239" i="1" s="1"/>
  <c r="J239" i="5"/>
  <c r="J239" i="1" s="1"/>
  <c r="I239" i="5"/>
  <c r="I239" i="1" s="1"/>
  <c r="H239" i="5"/>
  <c r="H239" i="1" s="1"/>
  <c r="G239" i="5"/>
  <c r="G239" i="1" s="1"/>
  <c r="F239" i="5"/>
  <c r="F239" i="1" s="1"/>
  <c r="E239" i="5"/>
  <c r="E239" i="1" s="1"/>
  <c r="D239" i="5"/>
  <c r="D239" i="1" s="1"/>
  <c r="C239" i="5"/>
  <c r="C239" i="1" s="1"/>
  <c r="B239" i="5"/>
  <c r="B239" i="1" s="1"/>
  <c r="A239" i="5"/>
  <c r="A239" i="1" s="1"/>
  <c r="L238" i="5"/>
  <c r="L238" i="1" s="1"/>
  <c r="K238" i="5"/>
  <c r="K238" i="1" s="1"/>
  <c r="J238" i="5"/>
  <c r="J238" i="1" s="1"/>
  <c r="I238" i="5"/>
  <c r="I238" i="1" s="1"/>
  <c r="H238" i="5"/>
  <c r="H238" i="1" s="1"/>
  <c r="G238" i="5"/>
  <c r="G238" i="1" s="1"/>
  <c r="F238" i="5"/>
  <c r="F238" i="1" s="1"/>
  <c r="E238" i="5"/>
  <c r="E238" i="1" s="1"/>
  <c r="D238" i="5"/>
  <c r="D238" i="1" s="1"/>
  <c r="C238" i="5"/>
  <c r="C238" i="1" s="1"/>
  <c r="B238" i="5"/>
  <c r="B238" i="1" s="1"/>
  <c r="A238" i="5"/>
  <c r="A238" i="1" s="1"/>
  <c r="L237" i="5"/>
  <c r="K237" i="5"/>
  <c r="J237" i="5"/>
  <c r="J237" i="1" s="1"/>
  <c r="I237" i="5"/>
  <c r="I237" i="1" s="1"/>
  <c r="H237" i="5"/>
  <c r="H237" i="1" s="1"/>
  <c r="G237" i="5"/>
  <c r="G237" i="1" s="1"/>
  <c r="F237" i="5"/>
  <c r="F237" i="1" s="1"/>
  <c r="E237" i="5"/>
  <c r="D237" i="5"/>
  <c r="C237" i="5"/>
  <c r="B237" i="5"/>
  <c r="B237" i="1" s="1"/>
  <c r="A237" i="5"/>
  <c r="A237" i="1" s="1"/>
  <c r="L229" i="5"/>
  <c r="L229" i="1" s="1"/>
  <c r="K229" i="5"/>
  <c r="K229" i="1" s="1"/>
  <c r="J229" i="5"/>
  <c r="J229" i="1" s="1"/>
  <c r="I229" i="5"/>
  <c r="I229" i="1" s="1"/>
  <c r="H229" i="5"/>
  <c r="H229" i="1" s="1"/>
  <c r="G229" i="5"/>
  <c r="G229" i="1" s="1"/>
  <c r="F229" i="5"/>
  <c r="F229" i="1" s="1"/>
  <c r="E229" i="5"/>
  <c r="E229" i="1" s="1"/>
  <c r="D229" i="5"/>
  <c r="D229" i="1" s="1"/>
  <c r="C229" i="5"/>
  <c r="C229" i="1" s="1"/>
  <c r="B229" i="5"/>
  <c r="B229" i="1" s="1"/>
  <c r="A229" i="5"/>
  <c r="A229" i="1" s="1"/>
  <c r="L228" i="5"/>
  <c r="L228" i="1" s="1"/>
  <c r="K228" i="5"/>
  <c r="K228" i="1" s="1"/>
  <c r="J228" i="5"/>
  <c r="J228" i="1" s="1"/>
  <c r="I228" i="5"/>
  <c r="I228" i="1" s="1"/>
  <c r="H228" i="5"/>
  <c r="H228" i="1" s="1"/>
  <c r="G228" i="5"/>
  <c r="G228" i="1" s="1"/>
  <c r="F228" i="5"/>
  <c r="F228" i="1" s="1"/>
  <c r="E228" i="5"/>
  <c r="E228" i="1" s="1"/>
  <c r="D228" i="5"/>
  <c r="D228" i="1" s="1"/>
  <c r="C228" i="5"/>
  <c r="C228" i="1" s="1"/>
  <c r="B228" i="5"/>
  <c r="B228" i="1" s="1"/>
  <c r="A228" i="5"/>
  <c r="A228" i="1" s="1"/>
  <c r="L226" i="5"/>
  <c r="L226" i="1" s="1"/>
  <c r="K226" i="5"/>
  <c r="K226" i="1" s="1"/>
  <c r="J226" i="5"/>
  <c r="J226" i="1" s="1"/>
  <c r="I226" i="5"/>
  <c r="I226" i="1" s="1"/>
  <c r="H226" i="5"/>
  <c r="H226" i="1" s="1"/>
  <c r="G226" i="5"/>
  <c r="G226" i="1" s="1"/>
  <c r="F226" i="5"/>
  <c r="F226" i="1" s="1"/>
  <c r="E226" i="5"/>
  <c r="E226" i="1" s="1"/>
  <c r="D226" i="5"/>
  <c r="D226" i="1" s="1"/>
  <c r="C226" i="5"/>
  <c r="C226" i="1" s="1"/>
  <c r="B226" i="5"/>
  <c r="B226" i="1" s="1"/>
  <c r="A226" i="5"/>
  <c r="A226" i="1" s="1"/>
  <c r="L225" i="5"/>
  <c r="L225" i="1" s="1"/>
  <c r="K225" i="5"/>
  <c r="K225" i="1" s="1"/>
  <c r="J225" i="5"/>
  <c r="J225" i="1" s="1"/>
  <c r="I225" i="5"/>
  <c r="I225" i="1" s="1"/>
  <c r="H225" i="5"/>
  <c r="H225" i="1" s="1"/>
  <c r="G225" i="5"/>
  <c r="G225" i="1" s="1"/>
  <c r="F225" i="5"/>
  <c r="F225" i="1" s="1"/>
  <c r="E225" i="5"/>
  <c r="E225" i="1" s="1"/>
  <c r="D225" i="5"/>
  <c r="D225" i="1" s="1"/>
  <c r="C225" i="5"/>
  <c r="C225" i="1" s="1"/>
  <c r="B225" i="5"/>
  <c r="B225" i="1" s="1"/>
  <c r="A225" i="5"/>
  <c r="A225" i="1" s="1"/>
  <c r="L224" i="5"/>
  <c r="L224" i="1" s="1"/>
  <c r="K224" i="5"/>
  <c r="K224" i="1" s="1"/>
  <c r="J224" i="5"/>
  <c r="J224" i="1" s="1"/>
  <c r="I224" i="5"/>
  <c r="I224" i="1" s="1"/>
  <c r="H224" i="5"/>
  <c r="H224" i="1" s="1"/>
  <c r="G224" i="5"/>
  <c r="G224" i="1" s="1"/>
  <c r="F224" i="5"/>
  <c r="F224" i="1" s="1"/>
  <c r="E224" i="5"/>
  <c r="E224" i="1" s="1"/>
  <c r="D224" i="5"/>
  <c r="D224" i="1" s="1"/>
  <c r="C224" i="5"/>
  <c r="C224" i="1" s="1"/>
  <c r="B224" i="5"/>
  <c r="B224" i="1" s="1"/>
  <c r="A224" i="5"/>
  <c r="L222" i="5"/>
  <c r="L222" i="1" s="1"/>
  <c r="K222" i="5"/>
  <c r="K222" i="1" s="1"/>
  <c r="J222" i="5"/>
  <c r="J222" i="1" s="1"/>
  <c r="I222" i="5"/>
  <c r="I222" i="1" s="1"/>
  <c r="H222" i="5"/>
  <c r="H222" i="1" s="1"/>
  <c r="G222" i="5"/>
  <c r="G222" i="1" s="1"/>
  <c r="F222" i="5"/>
  <c r="F222" i="1" s="1"/>
  <c r="E222" i="5"/>
  <c r="E222" i="1" s="1"/>
  <c r="D222" i="5"/>
  <c r="D222" i="1" s="1"/>
  <c r="C222" i="5"/>
  <c r="C222" i="1" s="1"/>
  <c r="B222" i="5"/>
  <c r="B222" i="1" s="1"/>
  <c r="A222" i="5"/>
  <c r="A222" i="1" s="1"/>
  <c r="L221" i="5"/>
  <c r="L221" i="1" s="1"/>
  <c r="K221" i="5"/>
  <c r="K221" i="1" s="1"/>
  <c r="J221" i="5"/>
  <c r="J221" i="1" s="1"/>
  <c r="I221" i="5"/>
  <c r="I221" i="1" s="1"/>
  <c r="H221" i="5"/>
  <c r="H221" i="1" s="1"/>
  <c r="G221" i="5"/>
  <c r="G221" i="1" s="1"/>
  <c r="F221" i="5"/>
  <c r="F221" i="1" s="1"/>
  <c r="E221" i="5"/>
  <c r="E221" i="1" s="1"/>
  <c r="D221" i="5"/>
  <c r="D221" i="1" s="1"/>
  <c r="C221" i="5"/>
  <c r="C221" i="1" s="1"/>
  <c r="B221" i="5"/>
  <c r="B221" i="1" s="1"/>
  <c r="A221" i="5"/>
  <c r="A221" i="1" s="1"/>
  <c r="L220" i="5"/>
  <c r="L220" i="1" s="1"/>
  <c r="K220" i="5"/>
  <c r="K220" i="1" s="1"/>
  <c r="J220" i="5"/>
  <c r="J220" i="1" s="1"/>
  <c r="I220" i="5"/>
  <c r="I220" i="1" s="1"/>
  <c r="H220" i="5"/>
  <c r="H220" i="1" s="1"/>
  <c r="G220" i="5"/>
  <c r="G220" i="1" s="1"/>
  <c r="F220" i="5"/>
  <c r="F220" i="1" s="1"/>
  <c r="E220" i="5"/>
  <c r="E220" i="1" s="1"/>
  <c r="D220" i="5"/>
  <c r="D220" i="1" s="1"/>
  <c r="C220" i="5"/>
  <c r="C220" i="1" s="1"/>
  <c r="B220" i="5"/>
  <c r="A220" i="5"/>
  <c r="A220" i="1" s="1"/>
  <c r="L217" i="5"/>
  <c r="L217" i="1" s="1"/>
  <c r="K217" i="5"/>
  <c r="K217" i="1" s="1"/>
  <c r="J217" i="5"/>
  <c r="J217" i="1" s="1"/>
  <c r="I217" i="5"/>
  <c r="I217" i="1" s="1"/>
  <c r="H217" i="5"/>
  <c r="H217" i="1" s="1"/>
  <c r="G217" i="5"/>
  <c r="G217" i="1" s="1"/>
  <c r="F217" i="5"/>
  <c r="F217" i="1" s="1"/>
  <c r="E217" i="5"/>
  <c r="E217" i="1" s="1"/>
  <c r="D217" i="5"/>
  <c r="D217" i="1" s="1"/>
  <c r="C217" i="5"/>
  <c r="C217" i="1" s="1"/>
  <c r="B217" i="5"/>
  <c r="B217" i="1" s="1"/>
  <c r="A217" i="5"/>
  <c r="A217" i="1" s="1"/>
  <c r="L216" i="5"/>
  <c r="L216" i="1" s="1"/>
  <c r="K216" i="5"/>
  <c r="K216" i="1" s="1"/>
  <c r="J216" i="5"/>
  <c r="J216" i="1" s="1"/>
  <c r="I216" i="5"/>
  <c r="I216" i="1" s="1"/>
  <c r="H216" i="5"/>
  <c r="H216" i="1" s="1"/>
  <c r="G216" i="5"/>
  <c r="G216" i="1" s="1"/>
  <c r="F216" i="5"/>
  <c r="F216" i="1" s="1"/>
  <c r="E216" i="5"/>
  <c r="E216" i="1" s="1"/>
  <c r="D216" i="5"/>
  <c r="D216" i="1" s="1"/>
  <c r="C216" i="5"/>
  <c r="C216" i="1" s="1"/>
  <c r="B216" i="5"/>
  <c r="B216" i="1" s="1"/>
  <c r="A216" i="5"/>
  <c r="A216" i="1" s="1"/>
  <c r="L215" i="5"/>
  <c r="L215" i="1" s="1"/>
  <c r="K215" i="5"/>
  <c r="K215" i="1" s="1"/>
  <c r="J215" i="5"/>
  <c r="J215" i="1" s="1"/>
  <c r="I215" i="5"/>
  <c r="I215" i="1" s="1"/>
  <c r="H215" i="5"/>
  <c r="H215" i="1" s="1"/>
  <c r="G215" i="5"/>
  <c r="F215" i="5"/>
  <c r="F215" i="1" s="1"/>
  <c r="E215" i="5"/>
  <c r="E215" i="1" s="1"/>
  <c r="D215" i="5"/>
  <c r="D215" i="1" s="1"/>
  <c r="C215" i="5"/>
  <c r="B215" i="5"/>
  <c r="B215" i="1" s="1"/>
  <c r="A215" i="5"/>
  <c r="A215" i="1" s="1"/>
  <c r="L213" i="5"/>
  <c r="L213" i="1" s="1"/>
  <c r="K213" i="5"/>
  <c r="K213" i="1" s="1"/>
  <c r="J213" i="5"/>
  <c r="J213" i="1" s="1"/>
  <c r="I213" i="5"/>
  <c r="I213" i="1" s="1"/>
  <c r="H213" i="5"/>
  <c r="H213" i="1" s="1"/>
  <c r="G213" i="5"/>
  <c r="G213" i="1" s="1"/>
  <c r="F213" i="5"/>
  <c r="F213" i="1" s="1"/>
  <c r="E213" i="5"/>
  <c r="E213" i="1" s="1"/>
  <c r="D213" i="5"/>
  <c r="D213" i="1" s="1"/>
  <c r="C213" i="5"/>
  <c r="C213" i="1" s="1"/>
  <c r="B213" i="5"/>
  <c r="B213" i="1" s="1"/>
  <c r="A213" i="5"/>
  <c r="A213" i="1" s="1"/>
  <c r="L212" i="5"/>
  <c r="L212" i="1" s="1"/>
  <c r="K212" i="5"/>
  <c r="K212" i="1" s="1"/>
  <c r="J212" i="5"/>
  <c r="J212" i="1" s="1"/>
  <c r="I212" i="5"/>
  <c r="I212" i="1" s="1"/>
  <c r="H212" i="5"/>
  <c r="H212" i="1" s="1"/>
  <c r="G212" i="5"/>
  <c r="G212" i="1" s="1"/>
  <c r="F212" i="5"/>
  <c r="F212" i="1" s="1"/>
  <c r="E212" i="5"/>
  <c r="E212" i="1" s="1"/>
  <c r="D212" i="5"/>
  <c r="D212" i="1" s="1"/>
  <c r="C212" i="5"/>
  <c r="C212" i="1" s="1"/>
  <c r="B212" i="5"/>
  <c r="B212" i="1" s="1"/>
  <c r="A212" i="5"/>
  <c r="A212" i="1" s="1"/>
  <c r="L211" i="5"/>
  <c r="L211" i="1" s="1"/>
  <c r="K211" i="5"/>
  <c r="K211" i="1" s="1"/>
  <c r="J211" i="5"/>
  <c r="J211" i="1" s="1"/>
  <c r="I211" i="5"/>
  <c r="I211" i="1" s="1"/>
  <c r="H211" i="5"/>
  <c r="H211" i="1" s="1"/>
  <c r="G211" i="5"/>
  <c r="G211" i="1" s="1"/>
  <c r="F211" i="5"/>
  <c r="F211" i="1" s="1"/>
  <c r="E211" i="5"/>
  <c r="E211" i="1" s="1"/>
  <c r="D211" i="5"/>
  <c r="D211" i="1" s="1"/>
  <c r="C211" i="5"/>
  <c r="C211" i="1" s="1"/>
  <c r="B211" i="5"/>
  <c r="B211" i="1" s="1"/>
  <c r="A211" i="5"/>
  <c r="A211" i="1" s="1"/>
  <c r="L210" i="5"/>
  <c r="L210" i="1" s="1"/>
  <c r="K210" i="5"/>
  <c r="K210" i="1" s="1"/>
  <c r="J210" i="5"/>
  <c r="J210" i="1" s="1"/>
  <c r="I210" i="5"/>
  <c r="I210" i="1" s="1"/>
  <c r="H210" i="5"/>
  <c r="H210" i="1" s="1"/>
  <c r="G210" i="5"/>
  <c r="G210" i="1" s="1"/>
  <c r="F210" i="5"/>
  <c r="F210" i="1" s="1"/>
  <c r="E210" i="5"/>
  <c r="E210" i="1" s="1"/>
  <c r="D210" i="5"/>
  <c r="D210" i="1" s="1"/>
  <c r="C210" i="5"/>
  <c r="C210" i="1" s="1"/>
  <c r="B210" i="5"/>
  <c r="B210" i="1" s="1"/>
  <c r="A210" i="5"/>
  <c r="A210" i="1" s="1"/>
  <c r="L208" i="5"/>
  <c r="L208" i="1" s="1"/>
  <c r="K208" i="5"/>
  <c r="K208" i="1" s="1"/>
  <c r="J208" i="5"/>
  <c r="J208" i="1" s="1"/>
  <c r="I208" i="5"/>
  <c r="I208" i="1" s="1"/>
  <c r="H208" i="5"/>
  <c r="H208" i="1" s="1"/>
  <c r="G208" i="5"/>
  <c r="G208" i="1" s="1"/>
  <c r="F208" i="5"/>
  <c r="F208" i="1" s="1"/>
  <c r="E208" i="5"/>
  <c r="E208" i="1" s="1"/>
  <c r="D208" i="5"/>
  <c r="D208" i="1" s="1"/>
  <c r="C208" i="5"/>
  <c r="C208" i="1" s="1"/>
  <c r="B208" i="5"/>
  <c r="B208" i="1" s="1"/>
  <c r="A208" i="5"/>
  <c r="A208" i="1" s="1"/>
  <c r="L207" i="5"/>
  <c r="L207" i="1" s="1"/>
  <c r="K207" i="5"/>
  <c r="K207" i="1" s="1"/>
  <c r="J207" i="5"/>
  <c r="J207" i="1" s="1"/>
  <c r="I207" i="5"/>
  <c r="I207" i="1" s="1"/>
  <c r="H207" i="5"/>
  <c r="H207" i="1" s="1"/>
  <c r="G207" i="5"/>
  <c r="G207" i="1" s="1"/>
  <c r="F207" i="5"/>
  <c r="F207" i="1" s="1"/>
  <c r="E207" i="5"/>
  <c r="E207" i="1" s="1"/>
  <c r="D207" i="5"/>
  <c r="D207" i="1" s="1"/>
  <c r="C207" i="5"/>
  <c r="C207" i="1" s="1"/>
  <c r="B207" i="5"/>
  <c r="B207" i="1" s="1"/>
  <c r="A207" i="5"/>
  <c r="A207" i="1" s="1"/>
  <c r="L206" i="5"/>
  <c r="L206" i="1" s="1"/>
  <c r="K206" i="5"/>
  <c r="K206" i="1" s="1"/>
  <c r="J206" i="5"/>
  <c r="J206" i="1" s="1"/>
  <c r="I206" i="5"/>
  <c r="I206" i="1" s="1"/>
  <c r="H206" i="5"/>
  <c r="H206" i="1" s="1"/>
  <c r="G206" i="5"/>
  <c r="G206" i="1" s="1"/>
  <c r="F206" i="5"/>
  <c r="F206" i="1" s="1"/>
  <c r="E206" i="5"/>
  <c r="E206" i="1" s="1"/>
  <c r="D206" i="5"/>
  <c r="D206" i="1" s="1"/>
  <c r="C206" i="5"/>
  <c r="C206" i="1" s="1"/>
  <c r="B206" i="5"/>
  <c r="B206" i="1" s="1"/>
  <c r="A206" i="5"/>
  <c r="A206" i="1" s="1"/>
  <c r="L204" i="5"/>
  <c r="L204" i="1" s="1"/>
  <c r="K204" i="5"/>
  <c r="K204" i="1" s="1"/>
  <c r="J204" i="5"/>
  <c r="J204" i="1" s="1"/>
  <c r="I204" i="5"/>
  <c r="I204" i="1" s="1"/>
  <c r="H204" i="5"/>
  <c r="H204" i="1" s="1"/>
  <c r="G204" i="5"/>
  <c r="G204" i="1" s="1"/>
  <c r="F204" i="5"/>
  <c r="F204" i="1" s="1"/>
  <c r="E204" i="5"/>
  <c r="E204" i="1" s="1"/>
  <c r="D204" i="5"/>
  <c r="D204" i="1" s="1"/>
  <c r="C204" i="5"/>
  <c r="C204" i="1" s="1"/>
  <c r="B204" i="5"/>
  <c r="B204" i="1" s="1"/>
  <c r="A204" i="5"/>
  <c r="A204" i="1" s="1"/>
  <c r="L203" i="5"/>
  <c r="L203" i="1" s="1"/>
  <c r="K203" i="5"/>
  <c r="K203" i="1" s="1"/>
  <c r="J203" i="5"/>
  <c r="J203" i="1" s="1"/>
  <c r="I203" i="5"/>
  <c r="I203" i="1" s="1"/>
  <c r="H203" i="5"/>
  <c r="H203" i="1" s="1"/>
  <c r="G203" i="5"/>
  <c r="G203" i="1" s="1"/>
  <c r="F203" i="5"/>
  <c r="F203" i="1" s="1"/>
  <c r="E203" i="5"/>
  <c r="E203" i="1" s="1"/>
  <c r="D203" i="5"/>
  <c r="D203" i="1" s="1"/>
  <c r="C203" i="5"/>
  <c r="C203" i="1" s="1"/>
  <c r="B203" i="5"/>
  <c r="B203" i="1" s="1"/>
  <c r="A203" i="5"/>
  <c r="A203" i="1" s="1"/>
  <c r="L202" i="5"/>
  <c r="L202" i="1" s="1"/>
  <c r="K202" i="5"/>
  <c r="K202" i="1" s="1"/>
  <c r="J202" i="5"/>
  <c r="J202" i="1" s="1"/>
  <c r="I202" i="5"/>
  <c r="I202" i="1" s="1"/>
  <c r="H202" i="5"/>
  <c r="H202" i="1" s="1"/>
  <c r="G202" i="5"/>
  <c r="G202" i="1" s="1"/>
  <c r="F202" i="5"/>
  <c r="F202" i="1" s="1"/>
  <c r="E202" i="5"/>
  <c r="E202" i="1" s="1"/>
  <c r="D202" i="5"/>
  <c r="D202" i="1" s="1"/>
  <c r="C202" i="5"/>
  <c r="C202" i="1" s="1"/>
  <c r="B202" i="5"/>
  <c r="B202" i="1" s="1"/>
  <c r="A202" i="5"/>
  <c r="A202" i="1" s="1"/>
  <c r="L201" i="5"/>
  <c r="L201" i="1" s="1"/>
  <c r="K201" i="5"/>
  <c r="K201" i="1" s="1"/>
  <c r="J201" i="5"/>
  <c r="J201" i="1" s="1"/>
  <c r="I201" i="5"/>
  <c r="I201" i="1" s="1"/>
  <c r="H201" i="5"/>
  <c r="H201" i="1" s="1"/>
  <c r="G201" i="5"/>
  <c r="G201" i="1" s="1"/>
  <c r="F201" i="5"/>
  <c r="F201" i="1" s="1"/>
  <c r="E201" i="5"/>
  <c r="E201" i="1" s="1"/>
  <c r="D201" i="5"/>
  <c r="D201" i="1" s="1"/>
  <c r="C201" i="5"/>
  <c r="C201" i="1" s="1"/>
  <c r="B201" i="5"/>
  <c r="B201" i="1" s="1"/>
  <c r="A201" i="5"/>
  <c r="A201" i="1" s="1"/>
  <c r="L200" i="5"/>
  <c r="L200" i="1" s="1"/>
  <c r="K200" i="5"/>
  <c r="K200" i="1" s="1"/>
  <c r="J200" i="5"/>
  <c r="J200" i="1" s="1"/>
  <c r="I200" i="5"/>
  <c r="I200" i="1" s="1"/>
  <c r="H200" i="5"/>
  <c r="H200" i="1" s="1"/>
  <c r="G200" i="5"/>
  <c r="G200" i="1" s="1"/>
  <c r="F200" i="5"/>
  <c r="F200" i="1" s="1"/>
  <c r="E200" i="5"/>
  <c r="E200" i="1" s="1"/>
  <c r="D200" i="5"/>
  <c r="D200" i="1" s="1"/>
  <c r="C200" i="5"/>
  <c r="C200" i="1" s="1"/>
  <c r="B200" i="5"/>
  <c r="B200" i="1" s="1"/>
  <c r="A200" i="5"/>
  <c r="A200" i="1" s="1"/>
  <c r="L199" i="5"/>
  <c r="L199" i="1" s="1"/>
  <c r="K199" i="5"/>
  <c r="K199" i="1" s="1"/>
  <c r="J199" i="5"/>
  <c r="J199" i="1" s="1"/>
  <c r="I199" i="5"/>
  <c r="I199" i="1" s="1"/>
  <c r="H199" i="5"/>
  <c r="H199" i="1" s="1"/>
  <c r="G199" i="5"/>
  <c r="G199" i="1" s="1"/>
  <c r="F199" i="5"/>
  <c r="F199" i="1" s="1"/>
  <c r="E199" i="5"/>
  <c r="E199" i="1" s="1"/>
  <c r="D199" i="5"/>
  <c r="D199" i="1" s="1"/>
  <c r="C199" i="5"/>
  <c r="C199" i="1" s="1"/>
  <c r="B199" i="5"/>
  <c r="B199" i="1" s="1"/>
  <c r="A199" i="5"/>
  <c r="A199" i="1" s="1"/>
  <c r="L198" i="5"/>
  <c r="L198" i="1" s="1"/>
  <c r="K198" i="5"/>
  <c r="K198" i="1" s="1"/>
  <c r="J198" i="5"/>
  <c r="J198" i="1" s="1"/>
  <c r="I198" i="5"/>
  <c r="I198" i="1" s="1"/>
  <c r="H198" i="5"/>
  <c r="H198" i="1" s="1"/>
  <c r="G198" i="5"/>
  <c r="G198" i="1" s="1"/>
  <c r="F198" i="5"/>
  <c r="F198" i="1" s="1"/>
  <c r="E198" i="5"/>
  <c r="E198" i="1" s="1"/>
  <c r="D198" i="5"/>
  <c r="D198" i="1" s="1"/>
  <c r="C198" i="5"/>
  <c r="C198" i="1" s="1"/>
  <c r="B198" i="5"/>
  <c r="B198" i="1" s="1"/>
  <c r="A198" i="5"/>
  <c r="A198" i="1" s="1"/>
  <c r="L197" i="5"/>
  <c r="L197" i="1" s="1"/>
  <c r="K197" i="5"/>
  <c r="K197" i="1" s="1"/>
  <c r="J197" i="5"/>
  <c r="J197" i="1" s="1"/>
  <c r="I197" i="5"/>
  <c r="I197" i="1" s="1"/>
  <c r="H197" i="5"/>
  <c r="H197" i="1" s="1"/>
  <c r="G197" i="5"/>
  <c r="G197" i="1" s="1"/>
  <c r="F197" i="5"/>
  <c r="F197" i="1" s="1"/>
  <c r="E197" i="5"/>
  <c r="E197" i="1" s="1"/>
  <c r="D197" i="5"/>
  <c r="D197" i="1" s="1"/>
  <c r="C197" i="5"/>
  <c r="C197" i="1" s="1"/>
  <c r="B197" i="5"/>
  <c r="B197" i="1" s="1"/>
  <c r="A197" i="5"/>
  <c r="A197" i="1" s="1"/>
  <c r="L196" i="5"/>
  <c r="L196" i="1" s="1"/>
  <c r="K196" i="5"/>
  <c r="K196" i="1" s="1"/>
  <c r="J196" i="5"/>
  <c r="J196" i="1" s="1"/>
  <c r="I196" i="5"/>
  <c r="I196" i="1" s="1"/>
  <c r="H196" i="5"/>
  <c r="H196" i="1" s="1"/>
  <c r="G196" i="5"/>
  <c r="G196" i="1" s="1"/>
  <c r="F196" i="5"/>
  <c r="F196" i="1" s="1"/>
  <c r="E196" i="5"/>
  <c r="E196" i="1" s="1"/>
  <c r="D196" i="5"/>
  <c r="D196" i="1" s="1"/>
  <c r="C196" i="5"/>
  <c r="C196" i="1" s="1"/>
  <c r="B196" i="5"/>
  <c r="B196" i="1" s="1"/>
  <c r="A196" i="5"/>
  <c r="A196" i="1" s="1"/>
  <c r="L195" i="5"/>
  <c r="L195" i="1" s="1"/>
  <c r="K195" i="5"/>
  <c r="K195" i="1" s="1"/>
  <c r="J195" i="5"/>
  <c r="J195" i="1" s="1"/>
  <c r="I195" i="5"/>
  <c r="I195" i="1" s="1"/>
  <c r="H195" i="5"/>
  <c r="H195" i="1" s="1"/>
  <c r="G195" i="5"/>
  <c r="G195" i="1" s="1"/>
  <c r="F195" i="5"/>
  <c r="F195" i="1" s="1"/>
  <c r="E195" i="5"/>
  <c r="E195" i="1" s="1"/>
  <c r="D195" i="5"/>
  <c r="D195" i="1" s="1"/>
  <c r="C195" i="5"/>
  <c r="C195" i="1" s="1"/>
  <c r="B195" i="5"/>
  <c r="B195" i="1" s="1"/>
  <c r="A195" i="5"/>
  <c r="A195" i="1" s="1"/>
  <c r="L194" i="5"/>
  <c r="L194" i="1" s="1"/>
  <c r="K194" i="5"/>
  <c r="K194" i="1" s="1"/>
  <c r="J194" i="5"/>
  <c r="J194" i="1" s="1"/>
  <c r="I194" i="5"/>
  <c r="I194" i="1" s="1"/>
  <c r="H194" i="5"/>
  <c r="G194" i="5"/>
  <c r="G194" i="1" s="1"/>
  <c r="F194" i="5"/>
  <c r="F194" i="1" s="1"/>
  <c r="E194" i="5"/>
  <c r="E194" i="1" s="1"/>
  <c r="D194" i="5"/>
  <c r="C194" i="5"/>
  <c r="C194" i="1" s="1"/>
  <c r="B194" i="5"/>
  <c r="B194" i="1" s="1"/>
  <c r="A194" i="5"/>
  <c r="A194" i="1" s="1"/>
  <c r="L192" i="5"/>
  <c r="L192" i="1" s="1"/>
  <c r="K192" i="5"/>
  <c r="K192" i="1" s="1"/>
  <c r="J192" i="5"/>
  <c r="J192" i="1" s="1"/>
  <c r="I192" i="5"/>
  <c r="I192" i="1" s="1"/>
  <c r="H192" i="5"/>
  <c r="H192" i="1" s="1"/>
  <c r="G192" i="5"/>
  <c r="G192" i="1" s="1"/>
  <c r="F192" i="5"/>
  <c r="F192" i="1" s="1"/>
  <c r="E192" i="5"/>
  <c r="E192" i="1" s="1"/>
  <c r="D192" i="5"/>
  <c r="D192" i="1" s="1"/>
  <c r="C192" i="5"/>
  <c r="C192" i="1" s="1"/>
  <c r="B192" i="5"/>
  <c r="B192" i="1" s="1"/>
  <c r="A192" i="5"/>
  <c r="A192" i="1" s="1"/>
  <c r="L191" i="5"/>
  <c r="L191" i="1" s="1"/>
  <c r="K191" i="5"/>
  <c r="K191" i="1" s="1"/>
  <c r="J191" i="5"/>
  <c r="J191" i="1" s="1"/>
  <c r="I191" i="5"/>
  <c r="I191" i="1" s="1"/>
  <c r="H191" i="5"/>
  <c r="H191" i="1" s="1"/>
  <c r="G191" i="5"/>
  <c r="G191" i="1" s="1"/>
  <c r="F191" i="5"/>
  <c r="F191" i="1" s="1"/>
  <c r="E191" i="5"/>
  <c r="E191" i="1" s="1"/>
  <c r="D191" i="5"/>
  <c r="D191" i="1" s="1"/>
  <c r="C191" i="5"/>
  <c r="C191" i="1" s="1"/>
  <c r="B191" i="5"/>
  <c r="B191" i="1" s="1"/>
  <c r="A191" i="5"/>
  <c r="A191" i="1" s="1"/>
  <c r="L190" i="5"/>
  <c r="L190" i="1" s="1"/>
  <c r="K190" i="5"/>
  <c r="K190" i="1" s="1"/>
  <c r="J190" i="5"/>
  <c r="J190" i="1" s="1"/>
  <c r="I190" i="5"/>
  <c r="I190" i="1" s="1"/>
  <c r="H190" i="5"/>
  <c r="H190" i="1" s="1"/>
  <c r="G190" i="5"/>
  <c r="G190" i="1" s="1"/>
  <c r="F190" i="5"/>
  <c r="F190" i="1" s="1"/>
  <c r="E190" i="5"/>
  <c r="E190" i="1" s="1"/>
  <c r="D190" i="5"/>
  <c r="D190" i="1" s="1"/>
  <c r="C190" i="5"/>
  <c r="C190" i="1" s="1"/>
  <c r="B190" i="5"/>
  <c r="B190" i="1" s="1"/>
  <c r="A190" i="5"/>
  <c r="A190" i="1" s="1"/>
  <c r="L189" i="5"/>
  <c r="L189" i="1" s="1"/>
  <c r="K189" i="5"/>
  <c r="K189" i="1" s="1"/>
  <c r="J189" i="5"/>
  <c r="J189" i="1" s="1"/>
  <c r="I189" i="5"/>
  <c r="I189" i="1" s="1"/>
  <c r="H189" i="5"/>
  <c r="H189" i="1" s="1"/>
  <c r="G189" i="5"/>
  <c r="G189" i="1" s="1"/>
  <c r="F189" i="5"/>
  <c r="F189" i="1" s="1"/>
  <c r="E189" i="5"/>
  <c r="E189" i="1" s="1"/>
  <c r="D189" i="5"/>
  <c r="D189" i="1" s="1"/>
  <c r="C189" i="5"/>
  <c r="C189" i="1" s="1"/>
  <c r="B189" i="5"/>
  <c r="B189" i="1" s="1"/>
  <c r="A189" i="5"/>
  <c r="A189" i="1" s="1"/>
  <c r="L188" i="5"/>
  <c r="L188" i="1" s="1"/>
  <c r="K188" i="5"/>
  <c r="K188" i="1" s="1"/>
  <c r="J188" i="5"/>
  <c r="J188" i="1" s="1"/>
  <c r="I188" i="5"/>
  <c r="I188" i="1" s="1"/>
  <c r="H188" i="5"/>
  <c r="H188" i="1" s="1"/>
  <c r="G188" i="5"/>
  <c r="G188" i="1" s="1"/>
  <c r="F188" i="5"/>
  <c r="F188" i="1" s="1"/>
  <c r="E188" i="5"/>
  <c r="E188" i="1" s="1"/>
  <c r="D188" i="5"/>
  <c r="D188" i="1" s="1"/>
  <c r="C188" i="5"/>
  <c r="C188" i="1" s="1"/>
  <c r="B188" i="5"/>
  <c r="B188" i="1" s="1"/>
  <c r="A188" i="5"/>
  <c r="A188" i="1" s="1"/>
  <c r="L186" i="5"/>
  <c r="L186" i="1" s="1"/>
  <c r="K186" i="5"/>
  <c r="K186" i="1" s="1"/>
  <c r="J186" i="5"/>
  <c r="J186" i="1" s="1"/>
  <c r="I186" i="5"/>
  <c r="I186" i="1" s="1"/>
  <c r="H186" i="5"/>
  <c r="H186" i="1" s="1"/>
  <c r="G186" i="5"/>
  <c r="G186" i="1" s="1"/>
  <c r="F186" i="5"/>
  <c r="F186" i="1" s="1"/>
  <c r="E186" i="5"/>
  <c r="E186" i="1" s="1"/>
  <c r="D186" i="5"/>
  <c r="D186" i="1" s="1"/>
  <c r="C186" i="5"/>
  <c r="C186" i="1" s="1"/>
  <c r="B186" i="5"/>
  <c r="B186" i="1" s="1"/>
  <c r="A186" i="5"/>
  <c r="A186" i="1" s="1"/>
  <c r="L185" i="5"/>
  <c r="L185" i="1" s="1"/>
  <c r="K185" i="5"/>
  <c r="K185" i="1" s="1"/>
  <c r="J185" i="5"/>
  <c r="J185" i="1" s="1"/>
  <c r="I185" i="5"/>
  <c r="I185" i="1" s="1"/>
  <c r="H185" i="5"/>
  <c r="H185" i="1" s="1"/>
  <c r="G185" i="5"/>
  <c r="G185" i="1" s="1"/>
  <c r="F185" i="5"/>
  <c r="F185" i="1" s="1"/>
  <c r="E185" i="5"/>
  <c r="E185" i="1" s="1"/>
  <c r="D185" i="5"/>
  <c r="D185" i="1" s="1"/>
  <c r="C185" i="5"/>
  <c r="C185" i="1" s="1"/>
  <c r="B185" i="5"/>
  <c r="B185" i="1" s="1"/>
  <c r="A185" i="5"/>
  <c r="A185" i="1" s="1"/>
  <c r="L184" i="5"/>
  <c r="L184" i="1" s="1"/>
  <c r="K184" i="5"/>
  <c r="K184" i="1" s="1"/>
  <c r="J184" i="5"/>
  <c r="J184" i="1" s="1"/>
  <c r="I184" i="5"/>
  <c r="I184" i="1" s="1"/>
  <c r="H184" i="5"/>
  <c r="H184" i="1" s="1"/>
  <c r="G184" i="5"/>
  <c r="G184" i="1" s="1"/>
  <c r="F184" i="5"/>
  <c r="F184" i="1" s="1"/>
  <c r="E184" i="5"/>
  <c r="E184" i="1" s="1"/>
  <c r="D184" i="5"/>
  <c r="D184" i="1" s="1"/>
  <c r="C184" i="5"/>
  <c r="C184" i="1" s="1"/>
  <c r="B184" i="5"/>
  <c r="B184" i="1" s="1"/>
  <c r="A184" i="5"/>
  <c r="A184" i="1" s="1"/>
  <c r="L183" i="5"/>
  <c r="L183" i="1" s="1"/>
  <c r="K183" i="5"/>
  <c r="K183" i="1" s="1"/>
  <c r="J183" i="5"/>
  <c r="J183" i="1" s="1"/>
  <c r="I183" i="5"/>
  <c r="I183" i="1" s="1"/>
  <c r="H183" i="5"/>
  <c r="H183" i="1" s="1"/>
  <c r="G183" i="5"/>
  <c r="G183" i="1" s="1"/>
  <c r="F183" i="5"/>
  <c r="F183" i="1" s="1"/>
  <c r="E183" i="5"/>
  <c r="E183" i="1" s="1"/>
  <c r="D183" i="5"/>
  <c r="D183" i="1" s="1"/>
  <c r="C183" i="5"/>
  <c r="C183" i="1" s="1"/>
  <c r="B183" i="5"/>
  <c r="B183" i="1" s="1"/>
  <c r="A183" i="5"/>
  <c r="A183" i="1" s="1"/>
  <c r="L181" i="5"/>
  <c r="L181" i="1" s="1"/>
  <c r="K181" i="5"/>
  <c r="K181" i="1" s="1"/>
  <c r="J181" i="5"/>
  <c r="J181" i="1" s="1"/>
  <c r="I181" i="5"/>
  <c r="I181" i="1" s="1"/>
  <c r="H181" i="5"/>
  <c r="H181" i="1" s="1"/>
  <c r="G181" i="5"/>
  <c r="G181" i="1" s="1"/>
  <c r="F181" i="5"/>
  <c r="F181" i="1" s="1"/>
  <c r="E181" i="5"/>
  <c r="E181" i="1" s="1"/>
  <c r="D181" i="5"/>
  <c r="D181" i="1" s="1"/>
  <c r="C181" i="5"/>
  <c r="C181" i="1" s="1"/>
  <c r="B181" i="5"/>
  <c r="B181" i="1" s="1"/>
  <c r="A181" i="5"/>
  <c r="A181" i="1" s="1"/>
  <c r="L180" i="5"/>
  <c r="L180" i="1" s="1"/>
  <c r="K180" i="5"/>
  <c r="K180" i="1" s="1"/>
  <c r="J180" i="5"/>
  <c r="J180" i="1" s="1"/>
  <c r="I180" i="5"/>
  <c r="I180" i="1" s="1"/>
  <c r="H180" i="5"/>
  <c r="H180" i="1" s="1"/>
  <c r="G180" i="5"/>
  <c r="G180" i="1" s="1"/>
  <c r="F180" i="5"/>
  <c r="F180" i="1" s="1"/>
  <c r="E180" i="5"/>
  <c r="E180" i="1" s="1"/>
  <c r="D180" i="5"/>
  <c r="D180" i="1" s="1"/>
  <c r="C180" i="5"/>
  <c r="C180" i="1" s="1"/>
  <c r="B180" i="5"/>
  <c r="B180" i="1" s="1"/>
  <c r="A180" i="5"/>
  <c r="A180" i="1" s="1"/>
  <c r="L179" i="5"/>
  <c r="L179" i="1" s="1"/>
  <c r="K179" i="5"/>
  <c r="K179" i="1" s="1"/>
  <c r="J179" i="5"/>
  <c r="J179" i="1" s="1"/>
  <c r="I179" i="5"/>
  <c r="I179" i="1" s="1"/>
  <c r="H179" i="5"/>
  <c r="H179" i="1" s="1"/>
  <c r="G179" i="5"/>
  <c r="G179" i="1" s="1"/>
  <c r="F179" i="5"/>
  <c r="F179" i="1" s="1"/>
  <c r="E179" i="5"/>
  <c r="E179" i="1" s="1"/>
  <c r="D179" i="5"/>
  <c r="D179" i="1" s="1"/>
  <c r="C179" i="5"/>
  <c r="C179" i="1" s="1"/>
  <c r="B179" i="5"/>
  <c r="A179" i="5"/>
  <c r="A179" i="1" s="1"/>
  <c r="L177" i="5"/>
  <c r="L177" i="1" s="1"/>
  <c r="K177" i="5"/>
  <c r="K177" i="1" s="1"/>
  <c r="J177" i="5"/>
  <c r="J177" i="1" s="1"/>
  <c r="I177" i="5"/>
  <c r="I177" i="1" s="1"/>
  <c r="H177" i="5"/>
  <c r="H177" i="1" s="1"/>
  <c r="G177" i="5"/>
  <c r="G177" i="1" s="1"/>
  <c r="F177" i="5"/>
  <c r="F177" i="1" s="1"/>
  <c r="E177" i="5"/>
  <c r="E177" i="1" s="1"/>
  <c r="D177" i="5"/>
  <c r="D177" i="1" s="1"/>
  <c r="C177" i="5"/>
  <c r="C177" i="1" s="1"/>
  <c r="B177" i="5"/>
  <c r="B177" i="1" s="1"/>
  <c r="A177" i="5"/>
  <c r="A177" i="1" s="1"/>
  <c r="L176" i="5"/>
  <c r="L176" i="1" s="1"/>
  <c r="K176" i="5"/>
  <c r="K176" i="1" s="1"/>
  <c r="J176" i="5"/>
  <c r="J176" i="1" s="1"/>
  <c r="I176" i="5"/>
  <c r="I176" i="1" s="1"/>
  <c r="H176" i="5"/>
  <c r="H176" i="1" s="1"/>
  <c r="G176" i="5"/>
  <c r="G176" i="1" s="1"/>
  <c r="F176" i="5"/>
  <c r="F176" i="1" s="1"/>
  <c r="E176" i="5"/>
  <c r="E176" i="1" s="1"/>
  <c r="D176" i="5"/>
  <c r="D176" i="1" s="1"/>
  <c r="C176" i="5"/>
  <c r="C176" i="1" s="1"/>
  <c r="B176" i="5"/>
  <c r="B176" i="1" s="1"/>
  <c r="A176" i="5"/>
  <c r="A176" i="1" s="1"/>
  <c r="L175" i="5"/>
  <c r="L175" i="1" s="1"/>
  <c r="K175" i="5"/>
  <c r="K175" i="1" s="1"/>
  <c r="J175" i="5"/>
  <c r="J175" i="1" s="1"/>
  <c r="I175" i="5"/>
  <c r="I175" i="1" s="1"/>
  <c r="H175" i="5"/>
  <c r="H175" i="1" s="1"/>
  <c r="G175" i="5"/>
  <c r="G175" i="1" s="1"/>
  <c r="F175" i="5"/>
  <c r="F175" i="1" s="1"/>
  <c r="E175" i="5"/>
  <c r="E175" i="1" s="1"/>
  <c r="D175" i="5"/>
  <c r="D175" i="1" s="1"/>
  <c r="C175" i="5"/>
  <c r="C175" i="1" s="1"/>
  <c r="B175" i="5"/>
  <c r="B175" i="1" s="1"/>
  <c r="A175" i="5"/>
  <c r="A175" i="1" s="1"/>
  <c r="L174" i="5"/>
  <c r="L174" i="1" s="1"/>
  <c r="K174" i="5"/>
  <c r="K174" i="1" s="1"/>
  <c r="J174" i="5"/>
  <c r="J174" i="1" s="1"/>
  <c r="I174" i="5"/>
  <c r="I174" i="1" s="1"/>
  <c r="H174" i="5"/>
  <c r="H174" i="1" s="1"/>
  <c r="G174" i="5"/>
  <c r="G174" i="1" s="1"/>
  <c r="F174" i="5"/>
  <c r="F174" i="1" s="1"/>
  <c r="E174" i="5"/>
  <c r="E174" i="1" s="1"/>
  <c r="D174" i="5"/>
  <c r="D174" i="1" s="1"/>
  <c r="C174" i="5"/>
  <c r="C174" i="1" s="1"/>
  <c r="B174" i="5"/>
  <c r="B174" i="1" s="1"/>
  <c r="A174" i="5"/>
  <c r="A174" i="1" s="1"/>
  <c r="L173" i="5"/>
  <c r="L173" i="1" s="1"/>
  <c r="K173" i="5"/>
  <c r="K173" i="1" s="1"/>
  <c r="J173" i="5"/>
  <c r="J173" i="1" s="1"/>
  <c r="I173" i="5"/>
  <c r="I173" i="1" s="1"/>
  <c r="H173" i="5"/>
  <c r="H173" i="1" s="1"/>
  <c r="G173" i="5"/>
  <c r="G173" i="1" s="1"/>
  <c r="F173" i="5"/>
  <c r="F173" i="1" s="1"/>
  <c r="E173" i="5"/>
  <c r="E173" i="1" s="1"/>
  <c r="D173" i="5"/>
  <c r="D173" i="1" s="1"/>
  <c r="C173" i="5"/>
  <c r="C173" i="1" s="1"/>
  <c r="B173" i="5"/>
  <c r="B173" i="1" s="1"/>
  <c r="A173" i="5"/>
  <c r="A173" i="1" s="1"/>
  <c r="L171" i="5"/>
  <c r="L171" i="1" s="1"/>
  <c r="K171" i="5"/>
  <c r="K171" i="1" s="1"/>
  <c r="J171" i="5"/>
  <c r="J171" i="1" s="1"/>
  <c r="I171" i="5"/>
  <c r="I171" i="1" s="1"/>
  <c r="H171" i="5"/>
  <c r="H171" i="1" s="1"/>
  <c r="G171" i="5"/>
  <c r="G171" i="1" s="1"/>
  <c r="F171" i="5"/>
  <c r="F171" i="1" s="1"/>
  <c r="E171" i="5"/>
  <c r="E171" i="1" s="1"/>
  <c r="D171" i="5"/>
  <c r="D171" i="1" s="1"/>
  <c r="C171" i="5"/>
  <c r="C171" i="1" s="1"/>
  <c r="B171" i="5"/>
  <c r="B171" i="1" s="1"/>
  <c r="A171" i="5"/>
  <c r="A171" i="1" s="1"/>
  <c r="L170" i="5"/>
  <c r="L170" i="1" s="1"/>
  <c r="K170" i="5"/>
  <c r="K170" i="1" s="1"/>
  <c r="J170" i="5"/>
  <c r="J170" i="1" s="1"/>
  <c r="I170" i="5"/>
  <c r="I170" i="1" s="1"/>
  <c r="H170" i="5"/>
  <c r="H170" i="1" s="1"/>
  <c r="G170" i="5"/>
  <c r="G170" i="1" s="1"/>
  <c r="F170" i="5"/>
  <c r="F170" i="1" s="1"/>
  <c r="E170" i="5"/>
  <c r="E170" i="1" s="1"/>
  <c r="D170" i="5"/>
  <c r="D170" i="1" s="1"/>
  <c r="C170" i="5"/>
  <c r="C170" i="1" s="1"/>
  <c r="B170" i="5"/>
  <c r="B170" i="1" s="1"/>
  <c r="A170" i="5"/>
  <c r="A170" i="1" s="1"/>
  <c r="L169" i="5"/>
  <c r="L169" i="1" s="1"/>
  <c r="K169" i="5"/>
  <c r="K169" i="1" s="1"/>
  <c r="J169" i="5"/>
  <c r="J169" i="1" s="1"/>
  <c r="I169" i="5"/>
  <c r="I169" i="1" s="1"/>
  <c r="H169" i="5"/>
  <c r="H169" i="1" s="1"/>
  <c r="G169" i="5"/>
  <c r="G169" i="1" s="1"/>
  <c r="F169" i="5"/>
  <c r="F169" i="1" s="1"/>
  <c r="E169" i="5"/>
  <c r="E169" i="1" s="1"/>
  <c r="D169" i="5"/>
  <c r="D169" i="1" s="1"/>
  <c r="C169" i="5"/>
  <c r="C169" i="1" s="1"/>
  <c r="B169" i="5"/>
  <c r="B169" i="1" s="1"/>
  <c r="A169" i="5"/>
  <c r="A169" i="1" s="1"/>
  <c r="L168" i="5"/>
  <c r="L168" i="1" s="1"/>
  <c r="K168" i="5"/>
  <c r="K168" i="1" s="1"/>
  <c r="J168" i="5"/>
  <c r="J168" i="1" s="1"/>
  <c r="I168" i="5"/>
  <c r="I168" i="1" s="1"/>
  <c r="H168" i="5"/>
  <c r="H168" i="1" s="1"/>
  <c r="G168" i="5"/>
  <c r="G168" i="1" s="1"/>
  <c r="F168" i="5"/>
  <c r="F168" i="1" s="1"/>
  <c r="E168" i="5"/>
  <c r="E168" i="1" s="1"/>
  <c r="D168" i="5"/>
  <c r="D168" i="1" s="1"/>
  <c r="C168" i="5"/>
  <c r="C168" i="1" s="1"/>
  <c r="B168" i="5"/>
  <c r="B168" i="1" s="1"/>
  <c r="A168" i="5"/>
  <c r="A168" i="1" s="1"/>
  <c r="L167" i="5"/>
  <c r="L167" i="1" s="1"/>
  <c r="K167" i="5"/>
  <c r="K167" i="1" s="1"/>
  <c r="J167" i="5"/>
  <c r="J167" i="1" s="1"/>
  <c r="I167" i="5"/>
  <c r="I167" i="1" s="1"/>
  <c r="H167" i="5"/>
  <c r="H167" i="1" s="1"/>
  <c r="G167" i="5"/>
  <c r="G167" i="1" s="1"/>
  <c r="F167" i="5"/>
  <c r="F167" i="1" s="1"/>
  <c r="E167" i="5"/>
  <c r="E167" i="1" s="1"/>
  <c r="D167" i="5"/>
  <c r="D167" i="1" s="1"/>
  <c r="C167" i="5"/>
  <c r="C167" i="1" s="1"/>
  <c r="B167" i="5"/>
  <c r="B167" i="1" s="1"/>
  <c r="A167" i="5"/>
  <c r="A167" i="1" s="1"/>
  <c r="L166" i="5"/>
  <c r="L166" i="1" s="1"/>
  <c r="K166" i="5"/>
  <c r="K166" i="1" s="1"/>
  <c r="J166" i="5"/>
  <c r="J166" i="1" s="1"/>
  <c r="I166" i="5"/>
  <c r="I166" i="1" s="1"/>
  <c r="H166" i="5"/>
  <c r="H166" i="1" s="1"/>
  <c r="G166" i="5"/>
  <c r="G166" i="1" s="1"/>
  <c r="F166" i="5"/>
  <c r="F166" i="1" s="1"/>
  <c r="E166" i="5"/>
  <c r="E166" i="1" s="1"/>
  <c r="D166" i="5"/>
  <c r="D166" i="1" s="1"/>
  <c r="C166" i="5"/>
  <c r="C166" i="1" s="1"/>
  <c r="B166" i="5"/>
  <c r="B166" i="1" s="1"/>
  <c r="A166" i="5"/>
  <c r="A166" i="1" s="1"/>
  <c r="L165" i="5"/>
  <c r="L165" i="1" s="1"/>
  <c r="K165" i="5"/>
  <c r="K165" i="1" s="1"/>
  <c r="J165" i="5"/>
  <c r="J165" i="1" s="1"/>
  <c r="I165" i="5"/>
  <c r="I165" i="1" s="1"/>
  <c r="H165" i="5"/>
  <c r="H165" i="1" s="1"/>
  <c r="G165" i="5"/>
  <c r="G165" i="1" s="1"/>
  <c r="F165" i="5"/>
  <c r="F165" i="1" s="1"/>
  <c r="E165" i="5"/>
  <c r="E165" i="1" s="1"/>
  <c r="D165" i="5"/>
  <c r="D165" i="1" s="1"/>
  <c r="C165" i="5"/>
  <c r="C165" i="1" s="1"/>
  <c r="B165" i="5"/>
  <c r="B165" i="1" s="1"/>
  <c r="A165" i="5"/>
  <c r="A165" i="1" s="1"/>
  <c r="L162" i="5"/>
  <c r="L162" i="1" s="1"/>
  <c r="K162" i="5"/>
  <c r="K162" i="1" s="1"/>
  <c r="J162" i="5"/>
  <c r="J162" i="1" s="1"/>
  <c r="I162" i="5"/>
  <c r="I162" i="1" s="1"/>
  <c r="H162" i="5"/>
  <c r="H162" i="1" s="1"/>
  <c r="G162" i="5"/>
  <c r="G162" i="1" s="1"/>
  <c r="F162" i="5"/>
  <c r="F162" i="1" s="1"/>
  <c r="E162" i="5"/>
  <c r="E162" i="1" s="1"/>
  <c r="D162" i="5"/>
  <c r="D162" i="1" s="1"/>
  <c r="C162" i="5"/>
  <c r="C162" i="1" s="1"/>
  <c r="B162" i="5"/>
  <c r="B162" i="1" s="1"/>
  <c r="A162" i="5"/>
  <c r="A162" i="1" s="1"/>
  <c r="L161" i="5"/>
  <c r="L161" i="1" s="1"/>
  <c r="K161" i="5"/>
  <c r="K161" i="1" s="1"/>
  <c r="J161" i="5"/>
  <c r="J161" i="1" s="1"/>
  <c r="I161" i="5"/>
  <c r="I161" i="1" s="1"/>
  <c r="H161" i="5"/>
  <c r="H161" i="1" s="1"/>
  <c r="G161" i="5"/>
  <c r="G161" i="1" s="1"/>
  <c r="F161" i="5"/>
  <c r="F161" i="1" s="1"/>
  <c r="E161" i="5"/>
  <c r="E161" i="1" s="1"/>
  <c r="D161" i="5"/>
  <c r="D161" i="1" s="1"/>
  <c r="C161" i="5"/>
  <c r="C161" i="1" s="1"/>
  <c r="B161" i="5"/>
  <c r="B161" i="1" s="1"/>
  <c r="A161" i="5"/>
  <c r="A161" i="1" s="1"/>
  <c r="L160" i="5"/>
  <c r="L160" i="1" s="1"/>
  <c r="K160" i="5"/>
  <c r="K160" i="1" s="1"/>
  <c r="J160" i="5"/>
  <c r="J160" i="1" s="1"/>
  <c r="I160" i="5"/>
  <c r="I160" i="1" s="1"/>
  <c r="H160" i="5"/>
  <c r="H160" i="1" s="1"/>
  <c r="G160" i="5"/>
  <c r="G160" i="1" s="1"/>
  <c r="F160" i="5"/>
  <c r="F160" i="1" s="1"/>
  <c r="E160" i="5"/>
  <c r="E160" i="1" s="1"/>
  <c r="D160" i="5"/>
  <c r="D160" i="1" s="1"/>
  <c r="C160" i="5"/>
  <c r="C160" i="1" s="1"/>
  <c r="B160" i="5"/>
  <c r="B160" i="1" s="1"/>
  <c r="A160" i="5"/>
  <c r="A160" i="1" s="1"/>
  <c r="L159" i="5"/>
  <c r="L159" i="1" s="1"/>
  <c r="K159" i="5"/>
  <c r="K159" i="1" s="1"/>
  <c r="J159" i="5"/>
  <c r="J159" i="1" s="1"/>
  <c r="I159" i="5"/>
  <c r="I159" i="1" s="1"/>
  <c r="H159" i="5"/>
  <c r="H159" i="1" s="1"/>
  <c r="G159" i="5"/>
  <c r="G159" i="1" s="1"/>
  <c r="F159" i="5"/>
  <c r="F159" i="1" s="1"/>
  <c r="E159" i="5"/>
  <c r="E159" i="1" s="1"/>
  <c r="D159" i="5"/>
  <c r="D159" i="1" s="1"/>
  <c r="C159" i="5"/>
  <c r="C159" i="1" s="1"/>
  <c r="B159" i="5"/>
  <c r="B159" i="1" s="1"/>
  <c r="A159" i="5"/>
  <c r="A159" i="1" s="1"/>
  <c r="L158" i="5"/>
  <c r="L158" i="1" s="1"/>
  <c r="K158" i="5"/>
  <c r="K158" i="1" s="1"/>
  <c r="J158" i="5"/>
  <c r="J158" i="1" s="1"/>
  <c r="I158" i="5"/>
  <c r="I158" i="1" s="1"/>
  <c r="H158" i="5"/>
  <c r="H158" i="1" s="1"/>
  <c r="G158" i="5"/>
  <c r="G158" i="1" s="1"/>
  <c r="F158" i="5"/>
  <c r="F158" i="1" s="1"/>
  <c r="E158" i="5"/>
  <c r="E158" i="1" s="1"/>
  <c r="D158" i="5"/>
  <c r="D158" i="1" s="1"/>
  <c r="C158" i="5"/>
  <c r="C158" i="1" s="1"/>
  <c r="B158" i="5"/>
  <c r="B158" i="1" s="1"/>
  <c r="A158" i="5"/>
  <c r="A158" i="1" s="1"/>
  <c r="L154" i="5"/>
  <c r="L154" i="1" s="1"/>
  <c r="K154" i="5"/>
  <c r="K154" i="1" s="1"/>
  <c r="J154" i="5"/>
  <c r="J154" i="1" s="1"/>
  <c r="I154" i="5"/>
  <c r="I154" i="1" s="1"/>
  <c r="H154" i="5"/>
  <c r="H154" i="1" s="1"/>
  <c r="G154" i="5"/>
  <c r="G154" i="1" s="1"/>
  <c r="F154" i="5"/>
  <c r="F154" i="1" s="1"/>
  <c r="E154" i="5"/>
  <c r="E154" i="1" s="1"/>
  <c r="D154" i="5"/>
  <c r="D154" i="1" s="1"/>
  <c r="C154" i="5"/>
  <c r="C154" i="1" s="1"/>
  <c r="B154" i="5"/>
  <c r="B154" i="1" s="1"/>
  <c r="A154" i="5"/>
  <c r="A154" i="1" s="1"/>
  <c r="L153" i="5"/>
  <c r="L153" i="1" s="1"/>
  <c r="K153" i="5"/>
  <c r="K153" i="1" s="1"/>
  <c r="J153" i="5"/>
  <c r="J153" i="1" s="1"/>
  <c r="I153" i="5"/>
  <c r="I153" i="1" s="1"/>
  <c r="H153" i="5"/>
  <c r="H153" i="1" s="1"/>
  <c r="G153" i="5"/>
  <c r="G153" i="1" s="1"/>
  <c r="F153" i="5"/>
  <c r="F153" i="1" s="1"/>
  <c r="E153" i="5"/>
  <c r="E153" i="1" s="1"/>
  <c r="D153" i="5"/>
  <c r="D153" i="1" s="1"/>
  <c r="C153" i="5"/>
  <c r="C153" i="1" s="1"/>
  <c r="B153" i="5"/>
  <c r="B153" i="1" s="1"/>
  <c r="A153" i="5"/>
  <c r="A153" i="1" s="1"/>
  <c r="L152" i="5"/>
  <c r="L152" i="1" s="1"/>
  <c r="K152" i="5"/>
  <c r="K152" i="1" s="1"/>
  <c r="J152" i="5"/>
  <c r="J152" i="1" s="1"/>
  <c r="I152" i="5"/>
  <c r="I152" i="1" s="1"/>
  <c r="H152" i="5"/>
  <c r="H152" i="1" s="1"/>
  <c r="G152" i="5"/>
  <c r="G152" i="1" s="1"/>
  <c r="F152" i="5"/>
  <c r="F152" i="1" s="1"/>
  <c r="E152" i="5"/>
  <c r="E152" i="1" s="1"/>
  <c r="D152" i="5"/>
  <c r="D152" i="1" s="1"/>
  <c r="C152" i="5"/>
  <c r="C152" i="1" s="1"/>
  <c r="B152" i="5"/>
  <c r="B152" i="1" s="1"/>
  <c r="A152" i="5"/>
  <c r="A152" i="1" s="1"/>
  <c r="L151" i="5"/>
  <c r="L151" i="1" s="1"/>
  <c r="K151" i="5"/>
  <c r="K151" i="1" s="1"/>
  <c r="J151" i="5"/>
  <c r="I151" i="5"/>
  <c r="I151" i="1" s="1"/>
  <c r="H151" i="5"/>
  <c r="H151" i="1" s="1"/>
  <c r="G151" i="5"/>
  <c r="G151" i="1" s="1"/>
  <c r="F151" i="5"/>
  <c r="F151" i="1" s="1"/>
  <c r="E151" i="5"/>
  <c r="E151" i="1" s="1"/>
  <c r="D151" i="5"/>
  <c r="D151" i="1" s="1"/>
  <c r="C151" i="5"/>
  <c r="C151" i="1" s="1"/>
  <c r="B151" i="5"/>
  <c r="A151" i="5"/>
  <c r="A151" i="1" s="1"/>
  <c r="L149" i="5"/>
  <c r="L149" i="1" s="1"/>
  <c r="K149" i="5"/>
  <c r="K149" i="1" s="1"/>
  <c r="J149" i="5"/>
  <c r="J149" i="1" s="1"/>
  <c r="I149" i="5"/>
  <c r="I149" i="1" s="1"/>
  <c r="H149" i="5"/>
  <c r="H149" i="1" s="1"/>
  <c r="G149" i="5"/>
  <c r="G149" i="1" s="1"/>
  <c r="F149" i="5"/>
  <c r="F149" i="1" s="1"/>
  <c r="E149" i="5"/>
  <c r="E149" i="1" s="1"/>
  <c r="D149" i="5"/>
  <c r="D149" i="1" s="1"/>
  <c r="C149" i="5"/>
  <c r="C149" i="1" s="1"/>
  <c r="B149" i="5"/>
  <c r="B149" i="1" s="1"/>
  <c r="A149" i="5"/>
  <c r="A149" i="1" s="1"/>
  <c r="L148" i="5"/>
  <c r="L148" i="1" s="1"/>
  <c r="K148" i="5"/>
  <c r="K148" i="1" s="1"/>
  <c r="J148" i="5"/>
  <c r="J148" i="1" s="1"/>
  <c r="I148" i="5"/>
  <c r="I148" i="1" s="1"/>
  <c r="H148" i="5"/>
  <c r="H148" i="1" s="1"/>
  <c r="G148" i="5"/>
  <c r="G148" i="1" s="1"/>
  <c r="F148" i="5"/>
  <c r="F148" i="1" s="1"/>
  <c r="E148" i="5"/>
  <c r="E148" i="1" s="1"/>
  <c r="D148" i="5"/>
  <c r="D148" i="1" s="1"/>
  <c r="C148" i="5"/>
  <c r="C148" i="1" s="1"/>
  <c r="B148" i="5"/>
  <c r="B148" i="1" s="1"/>
  <c r="A148" i="5"/>
  <c r="A148" i="1" s="1"/>
  <c r="L147" i="5"/>
  <c r="L147" i="1" s="1"/>
  <c r="K147" i="5"/>
  <c r="K147" i="1" s="1"/>
  <c r="J147" i="5"/>
  <c r="I147" i="5"/>
  <c r="I147" i="1" s="1"/>
  <c r="H147" i="5"/>
  <c r="H147" i="1" s="1"/>
  <c r="G147" i="5"/>
  <c r="G147" i="1" s="1"/>
  <c r="F147" i="5"/>
  <c r="F147" i="1" s="1"/>
  <c r="E147" i="5"/>
  <c r="E147" i="1" s="1"/>
  <c r="D147" i="5"/>
  <c r="D147" i="1" s="1"/>
  <c r="C147" i="5"/>
  <c r="C147" i="1" s="1"/>
  <c r="B147" i="5"/>
  <c r="A147" i="5"/>
  <c r="A147" i="1" s="1"/>
  <c r="L145" i="5"/>
  <c r="L145" i="1" s="1"/>
  <c r="K145" i="5"/>
  <c r="K145" i="1" s="1"/>
  <c r="J145" i="5"/>
  <c r="J145" i="1" s="1"/>
  <c r="I145" i="5"/>
  <c r="I145" i="1" s="1"/>
  <c r="H145" i="5"/>
  <c r="H145" i="1" s="1"/>
  <c r="G145" i="5"/>
  <c r="G145" i="1" s="1"/>
  <c r="F145" i="5"/>
  <c r="F145" i="1" s="1"/>
  <c r="E145" i="5"/>
  <c r="E145" i="1" s="1"/>
  <c r="D145" i="5"/>
  <c r="D145" i="1" s="1"/>
  <c r="C145" i="5"/>
  <c r="C145" i="1" s="1"/>
  <c r="B145" i="5"/>
  <c r="B145" i="1" s="1"/>
  <c r="A145" i="5"/>
  <c r="A145" i="1" s="1"/>
  <c r="L144" i="5"/>
  <c r="L144" i="1" s="1"/>
  <c r="K144" i="5"/>
  <c r="K144" i="1" s="1"/>
  <c r="J144" i="5"/>
  <c r="J144" i="1" s="1"/>
  <c r="I144" i="5"/>
  <c r="I144" i="1" s="1"/>
  <c r="H144" i="5"/>
  <c r="H144" i="1" s="1"/>
  <c r="G144" i="5"/>
  <c r="G144" i="1" s="1"/>
  <c r="F144" i="5"/>
  <c r="F144" i="1" s="1"/>
  <c r="E144" i="5"/>
  <c r="E144" i="1" s="1"/>
  <c r="D144" i="5"/>
  <c r="D144" i="1" s="1"/>
  <c r="C144" i="5"/>
  <c r="C144" i="1" s="1"/>
  <c r="B144" i="5"/>
  <c r="B144" i="1" s="1"/>
  <c r="A144" i="5"/>
  <c r="A144" i="1" s="1"/>
  <c r="L143" i="5"/>
  <c r="L143" i="1" s="1"/>
  <c r="K143" i="5"/>
  <c r="K143" i="1" s="1"/>
  <c r="J143" i="5"/>
  <c r="J143" i="1" s="1"/>
  <c r="I143" i="5"/>
  <c r="I143" i="1" s="1"/>
  <c r="H143" i="5"/>
  <c r="H143" i="1" s="1"/>
  <c r="G143" i="5"/>
  <c r="G143" i="1" s="1"/>
  <c r="F143" i="5"/>
  <c r="F143" i="1" s="1"/>
  <c r="E143" i="5"/>
  <c r="E143" i="1" s="1"/>
  <c r="D143" i="5"/>
  <c r="D143" i="1" s="1"/>
  <c r="C143" i="5"/>
  <c r="C143" i="1" s="1"/>
  <c r="B143" i="5"/>
  <c r="B143" i="1" s="1"/>
  <c r="A143" i="5"/>
  <c r="A143" i="1" s="1"/>
  <c r="L142" i="5"/>
  <c r="L142" i="1" s="1"/>
  <c r="K142" i="5"/>
  <c r="K142" i="1" s="1"/>
  <c r="J142" i="5"/>
  <c r="J142" i="1" s="1"/>
  <c r="I142" i="5"/>
  <c r="I142" i="1" s="1"/>
  <c r="H142" i="5"/>
  <c r="H142" i="1" s="1"/>
  <c r="G142" i="5"/>
  <c r="G142" i="1" s="1"/>
  <c r="F142" i="5"/>
  <c r="F142" i="1" s="1"/>
  <c r="E142" i="5"/>
  <c r="E142" i="1" s="1"/>
  <c r="D142" i="5"/>
  <c r="D142" i="1" s="1"/>
  <c r="C142" i="5"/>
  <c r="C142" i="1" s="1"/>
  <c r="B142" i="5"/>
  <c r="B142" i="1" s="1"/>
  <c r="A142" i="5"/>
  <c r="A142" i="1" s="1"/>
  <c r="L141" i="5"/>
  <c r="L141" i="1" s="1"/>
  <c r="K141" i="5"/>
  <c r="K141" i="1" s="1"/>
  <c r="J141" i="5"/>
  <c r="J141" i="1" s="1"/>
  <c r="I141" i="5"/>
  <c r="I141" i="1" s="1"/>
  <c r="H141" i="5"/>
  <c r="H141" i="1" s="1"/>
  <c r="G141" i="5"/>
  <c r="G141" i="1" s="1"/>
  <c r="F141" i="5"/>
  <c r="F141" i="1" s="1"/>
  <c r="E141" i="5"/>
  <c r="E141" i="1" s="1"/>
  <c r="D141" i="5"/>
  <c r="D141" i="1" s="1"/>
  <c r="C141" i="5"/>
  <c r="C141" i="1" s="1"/>
  <c r="B141" i="5"/>
  <c r="B141" i="1" s="1"/>
  <c r="A141" i="5"/>
  <c r="A141" i="1" s="1"/>
  <c r="L140" i="5"/>
  <c r="L140" i="1" s="1"/>
  <c r="K140" i="5"/>
  <c r="K140" i="1" s="1"/>
  <c r="J140" i="5"/>
  <c r="J140" i="1" s="1"/>
  <c r="I140" i="5"/>
  <c r="I140" i="1" s="1"/>
  <c r="H140" i="5"/>
  <c r="H140" i="1" s="1"/>
  <c r="G140" i="5"/>
  <c r="G140" i="1" s="1"/>
  <c r="F140" i="5"/>
  <c r="F140" i="1" s="1"/>
  <c r="E140" i="5"/>
  <c r="E140" i="1" s="1"/>
  <c r="D140" i="5"/>
  <c r="D140" i="1" s="1"/>
  <c r="C140" i="5"/>
  <c r="C140" i="1" s="1"/>
  <c r="B140" i="5"/>
  <c r="B140" i="1" s="1"/>
  <c r="A140" i="5"/>
  <c r="A140" i="1" s="1"/>
  <c r="L139" i="5"/>
  <c r="L139" i="1" s="1"/>
  <c r="K139" i="5"/>
  <c r="K139" i="1" s="1"/>
  <c r="J139" i="5"/>
  <c r="J139" i="1" s="1"/>
  <c r="I139" i="5"/>
  <c r="I139" i="1" s="1"/>
  <c r="H139" i="5"/>
  <c r="H139" i="1" s="1"/>
  <c r="G139" i="5"/>
  <c r="G139" i="1" s="1"/>
  <c r="F139" i="5"/>
  <c r="F139" i="1" s="1"/>
  <c r="E139" i="5"/>
  <c r="E139" i="1" s="1"/>
  <c r="D139" i="5"/>
  <c r="D139" i="1" s="1"/>
  <c r="C139" i="5"/>
  <c r="C139" i="1" s="1"/>
  <c r="B139" i="5"/>
  <c r="B139" i="1" s="1"/>
  <c r="A139" i="5"/>
  <c r="A139" i="1" s="1"/>
  <c r="L137" i="5"/>
  <c r="L137" i="1" s="1"/>
  <c r="K137" i="5"/>
  <c r="K137" i="1" s="1"/>
  <c r="J137" i="5"/>
  <c r="J137" i="1" s="1"/>
  <c r="I137" i="5"/>
  <c r="I137" i="1" s="1"/>
  <c r="H137" i="5"/>
  <c r="H137" i="1" s="1"/>
  <c r="G137" i="5"/>
  <c r="G137" i="1" s="1"/>
  <c r="F137" i="5"/>
  <c r="F137" i="1" s="1"/>
  <c r="E137" i="5"/>
  <c r="E137" i="1" s="1"/>
  <c r="D137" i="5"/>
  <c r="D137" i="1" s="1"/>
  <c r="C137" i="5"/>
  <c r="C137" i="1" s="1"/>
  <c r="B137" i="5"/>
  <c r="B137" i="1" s="1"/>
  <c r="A137" i="5"/>
  <c r="A137" i="1" s="1"/>
  <c r="L136" i="5"/>
  <c r="L136" i="1" s="1"/>
  <c r="K136" i="5"/>
  <c r="K136" i="1" s="1"/>
  <c r="J136" i="5"/>
  <c r="J136" i="1" s="1"/>
  <c r="I136" i="5"/>
  <c r="I136" i="1" s="1"/>
  <c r="H136" i="5"/>
  <c r="H136" i="1" s="1"/>
  <c r="G136" i="5"/>
  <c r="G136" i="1" s="1"/>
  <c r="F136" i="5"/>
  <c r="F136" i="1" s="1"/>
  <c r="E136" i="5"/>
  <c r="E136" i="1" s="1"/>
  <c r="D136" i="5"/>
  <c r="D136" i="1" s="1"/>
  <c r="C136" i="5"/>
  <c r="C136" i="1" s="1"/>
  <c r="B136" i="5"/>
  <c r="B136" i="1" s="1"/>
  <c r="A136" i="5"/>
  <c r="A136" i="1" s="1"/>
  <c r="L135" i="5"/>
  <c r="L135" i="1" s="1"/>
  <c r="K135" i="5"/>
  <c r="K135" i="1" s="1"/>
  <c r="J135" i="5"/>
  <c r="J135" i="1" s="1"/>
  <c r="I135" i="5"/>
  <c r="I135" i="1" s="1"/>
  <c r="H135" i="5"/>
  <c r="H135" i="1" s="1"/>
  <c r="G135" i="5"/>
  <c r="G135" i="1" s="1"/>
  <c r="F135" i="5"/>
  <c r="F135" i="1" s="1"/>
  <c r="E135" i="5"/>
  <c r="E135" i="1" s="1"/>
  <c r="D135" i="5"/>
  <c r="D135" i="1" s="1"/>
  <c r="C135" i="5"/>
  <c r="C135" i="1" s="1"/>
  <c r="B135" i="5"/>
  <c r="B135" i="1" s="1"/>
  <c r="A135" i="5"/>
  <c r="A135" i="1" s="1"/>
  <c r="L134" i="5"/>
  <c r="K134" i="5"/>
  <c r="K134" i="1" s="1"/>
  <c r="J134" i="5"/>
  <c r="J134" i="1" s="1"/>
  <c r="I134" i="5"/>
  <c r="I134" i="1" s="1"/>
  <c r="H134" i="5"/>
  <c r="H134" i="1" s="1"/>
  <c r="G134" i="5"/>
  <c r="F134" i="5"/>
  <c r="F134" i="1" s="1"/>
  <c r="E134" i="5"/>
  <c r="E134" i="1" s="1"/>
  <c r="D134" i="5"/>
  <c r="C134" i="5"/>
  <c r="C134" i="1" s="1"/>
  <c r="B134" i="5"/>
  <c r="B134" i="1" s="1"/>
  <c r="A134" i="5"/>
  <c r="A134" i="1" s="1"/>
  <c r="L132" i="5"/>
  <c r="L132" i="1" s="1"/>
  <c r="K132" i="5"/>
  <c r="K132" i="1" s="1"/>
  <c r="J132" i="5"/>
  <c r="J132" i="1" s="1"/>
  <c r="I132" i="5"/>
  <c r="I132" i="1" s="1"/>
  <c r="H132" i="5"/>
  <c r="H132" i="1" s="1"/>
  <c r="G132" i="5"/>
  <c r="G132" i="1" s="1"/>
  <c r="F132" i="5"/>
  <c r="F132" i="1" s="1"/>
  <c r="E132" i="5"/>
  <c r="E132" i="1" s="1"/>
  <c r="D132" i="5"/>
  <c r="D132" i="1" s="1"/>
  <c r="C132" i="5"/>
  <c r="C132" i="1" s="1"/>
  <c r="B132" i="5"/>
  <c r="B132" i="1" s="1"/>
  <c r="A132" i="5"/>
  <c r="A132" i="1" s="1"/>
  <c r="L131" i="5"/>
  <c r="L131" i="1" s="1"/>
  <c r="K131" i="5"/>
  <c r="K131" i="1" s="1"/>
  <c r="J131" i="5"/>
  <c r="J131" i="1" s="1"/>
  <c r="I131" i="5"/>
  <c r="I131" i="1" s="1"/>
  <c r="H131" i="5"/>
  <c r="H131" i="1" s="1"/>
  <c r="G131" i="5"/>
  <c r="G131" i="1" s="1"/>
  <c r="F131" i="5"/>
  <c r="F131" i="1" s="1"/>
  <c r="E131" i="5"/>
  <c r="E131" i="1" s="1"/>
  <c r="D131" i="5"/>
  <c r="D131" i="1" s="1"/>
  <c r="C131" i="5"/>
  <c r="C131" i="1" s="1"/>
  <c r="B131" i="5"/>
  <c r="B131" i="1" s="1"/>
  <c r="A131" i="5"/>
  <c r="A131" i="1" s="1"/>
  <c r="L130" i="5"/>
  <c r="L130" i="1" s="1"/>
  <c r="K130" i="5"/>
  <c r="K130" i="1" s="1"/>
  <c r="J130" i="5"/>
  <c r="J130" i="1" s="1"/>
  <c r="I130" i="5"/>
  <c r="I130" i="1" s="1"/>
  <c r="H130" i="5"/>
  <c r="H130" i="1" s="1"/>
  <c r="G130" i="5"/>
  <c r="G130" i="1" s="1"/>
  <c r="F130" i="5"/>
  <c r="F130" i="1" s="1"/>
  <c r="E130" i="5"/>
  <c r="D130" i="5"/>
  <c r="C130" i="5"/>
  <c r="C130" i="1" s="1"/>
  <c r="B130" i="5"/>
  <c r="B130" i="1" s="1"/>
  <c r="A130" i="5"/>
  <c r="L128" i="5"/>
  <c r="L128" i="1" s="1"/>
  <c r="K128" i="5"/>
  <c r="K128" i="1" s="1"/>
  <c r="J128" i="5"/>
  <c r="J128" i="1" s="1"/>
  <c r="I128" i="5"/>
  <c r="I128" i="1" s="1"/>
  <c r="H128" i="5"/>
  <c r="H128" i="1" s="1"/>
  <c r="G128" i="5"/>
  <c r="G128" i="1" s="1"/>
  <c r="F128" i="5"/>
  <c r="F128" i="1" s="1"/>
  <c r="E128" i="5"/>
  <c r="E128" i="1" s="1"/>
  <c r="D128" i="5"/>
  <c r="D128" i="1" s="1"/>
  <c r="C128" i="5"/>
  <c r="C128" i="1" s="1"/>
  <c r="B128" i="5"/>
  <c r="B128" i="1" s="1"/>
  <c r="A128" i="5"/>
  <c r="A128" i="1" s="1"/>
  <c r="L127" i="5"/>
  <c r="L127" i="1" s="1"/>
  <c r="K127" i="5"/>
  <c r="K127" i="1" s="1"/>
  <c r="J127" i="5"/>
  <c r="J127" i="1" s="1"/>
  <c r="I127" i="5"/>
  <c r="I127" i="1" s="1"/>
  <c r="H127" i="5"/>
  <c r="H127" i="1" s="1"/>
  <c r="G127" i="5"/>
  <c r="G127" i="1" s="1"/>
  <c r="F127" i="5"/>
  <c r="F127" i="1" s="1"/>
  <c r="E127" i="5"/>
  <c r="E127" i="1" s="1"/>
  <c r="D127" i="5"/>
  <c r="D127" i="1" s="1"/>
  <c r="C127" i="5"/>
  <c r="C127" i="1" s="1"/>
  <c r="B127" i="5"/>
  <c r="B127" i="1" s="1"/>
  <c r="A127" i="5"/>
  <c r="A127" i="1" s="1"/>
  <c r="L126" i="5"/>
  <c r="L126" i="1" s="1"/>
  <c r="K126" i="5"/>
  <c r="K126" i="1" s="1"/>
  <c r="J126" i="5"/>
  <c r="J126" i="1" s="1"/>
  <c r="I126" i="5"/>
  <c r="I126" i="1" s="1"/>
  <c r="H126" i="5"/>
  <c r="H126" i="1" s="1"/>
  <c r="G126" i="5"/>
  <c r="G126" i="1" s="1"/>
  <c r="F126" i="5"/>
  <c r="F126" i="1" s="1"/>
  <c r="E126" i="5"/>
  <c r="E126" i="1" s="1"/>
  <c r="D126" i="5"/>
  <c r="D126" i="1" s="1"/>
  <c r="C126" i="5"/>
  <c r="C126" i="1" s="1"/>
  <c r="B126" i="5"/>
  <c r="B126" i="1" s="1"/>
  <c r="A126" i="5"/>
  <c r="A126" i="1" s="1"/>
  <c r="L125" i="5"/>
  <c r="L125" i="1" s="1"/>
  <c r="K125" i="5"/>
  <c r="K125" i="1" s="1"/>
  <c r="J125" i="5"/>
  <c r="J125" i="1" s="1"/>
  <c r="I125" i="5"/>
  <c r="I125" i="1" s="1"/>
  <c r="H125" i="5"/>
  <c r="H125" i="1" s="1"/>
  <c r="G125" i="5"/>
  <c r="G125" i="1" s="1"/>
  <c r="F125" i="5"/>
  <c r="F125" i="1" s="1"/>
  <c r="E125" i="5"/>
  <c r="E125" i="1" s="1"/>
  <c r="D125" i="5"/>
  <c r="D125" i="1" s="1"/>
  <c r="C125" i="5"/>
  <c r="C125" i="1" s="1"/>
  <c r="B125" i="5"/>
  <c r="B125" i="1" s="1"/>
  <c r="A125" i="5"/>
  <c r="A125" i="1" s="1"/>
  <c r="L124" i="5"/>
  <c r="L124" i="1" s="1"/>
  <c r="K124" i="5"/>
  <c r="K124" i="1" s="1"/>
  <c r="J124" i="5"/>
  <c r="J124" i="1" s="1"/>
  <c r="I124" i="5"/>
  <c r="I124" i="1" s="1"/>
  <c r="H124" i="5"/>
  <c r="H124" i="1" s="1"/>
  <c r="G124" i="5"/>
  <c r="G124" i="1" s="1"/>
  <c r="F124" i="5"/>
  <c r="F124" i="1" s="1"/>
  <c r="E124" i="5"/>
  <c r="E124" i="1" s="1"/>
  <c r="D124" i="5"/>
  <c r="D124" i="1" s="1"/>
  <c r="C124" i="5"/>
  <c r="C124" i="1" s="1"/>
  <c r="B124" i="5"/>
  <c r="B124" i="1" s="1"/>
  <c r="A124" i="5"/>
  <c r="A124" i="1" s="1"/>
  <c r="L123" i="5"/>
  <c r="L123" i="1" s="1"/>
  <c r="K123" i="5"/>
  <c r="K123" i="1" s="1"/>
  <c r="J123" i="5"/>
  <c r="J123" i="1" s="1"/>
  <c r="I123" i="5"/>
  <c r="I123" i="1" s="1"/>
  <c r="H123" i="5"/>
  <c r="H123" i="1" s="1"/>
  <c r="G123" i="5"/>
  <c r="G123" i="1" s="1"/>
  <c r="F123" i="5"/>
  <c r="F123" i="1" s="1"/>
  <c r="E123" i="5"/>
  <c r="E123" i="1" s="1"/>
  <c r="D123" i="5"/>
  <c r="D123" i="1" s="1"/>
  <c r="C123" i="5"/>
  <c r="C123" i="1" s="1"/>
  <c r="B123" i="5"/>
  <c r="B123" i="1" s="1"/>
  <c r="A123" i="5"/>
  <c r="A123" i="1" s="1"/>
  <c r="L122" i="5"/>
  <c r="L122" i="1" s="1"/>
  <c r="K122" i="5"/>
  <c r="K122" i="1" s="1"/>
  <c r="J122" i="5"/>
  <c r="J122" i="1" s="1"/>
  <c r="I122" i="5"/>
  <c r="I122" i="1" s="1"/>
  <c r="H122" i="5"/>
  <c r="H122" i="1" s="1"/>
  <c r="G122" i="5"/>
  <c r="G122" i="1" s="1"/>
  <c r="F122" i="5"/>
  <c r="F122" i="1" s="1"/>
  <c r="E122" i="5"/>
  <c r="E122" i="1" s="1"/>
  <c r="D122" i="5"/>
  <c r="D122" i="1" s="1"/>
  <c r="C122" i="5"/>
  <c r="C122" i="1" s="1"/>
  <c r="B122" i="5"/>
  <c r="B122" i="1" s="1"/>
  <c r="A122" i="5"/>
  <c r="A122" i="1" s="1"/>
  <c r="L121" i="5"/>
  <c r="L121" i="1" s="1"/>
  <c r="K121" i="5"/>
  <c r="K121" i="1" s="1"/>
  <c r="J121" i="5"/>
  <c r="J121" i="1" s="1"/>
  <c r="I121" i="5"/>
  <c r="I121" i="1" s="1"/>
  <c r="H121" i="5"/>
  <c r="H121" i="1" s="1"/>
  <c r="G121" i="5"/>
  <c r="G121" i="1" s="1"/>
  <c r="F121" i="5"/>
  <c r="F121" i="1" s="1"/>
  <c r="E121" i="5"/>
  <c r="E121" i="1" s="1"/>
  <c r="D121" i="5"/>
  <c r="D121" i="1" s="1"/>
  <c r="C121" i="5"/>
  <c r="C121" i="1" s="1"/>
  <c r="B121" i="5"/>
  <c r="B121" i="1" s="1"/>
  <c r="A121" i="5"/>
  <c r="A121" i="1" s="1"/>
  <c r="L120" i="5"/>
  <c r="L120" i="1" s="1"/>
  <c r="K120" i="5"/>
  <c r="K120" i="1" s="1"/>
  <c r="J120" i="5"/>
  <c r="J120" i="1" s="1"/>
  <c r="I120" i="5"/>
  <c r="I120" i="1" s="1"/>
  <c r="H120" i="5"/>
  <c r="H120" i="1" s="1"/>
  <c r="G120" i="5"/>
  <c r="G120" i="1" s="1"/>
  <c r="F120" i="5"/>
  <c r="F120" i="1" s="1"/>
  <c r="E120" i="5"/>
  <c r="E120" i="1" s="1"/>
  <c r="D120" i="5"/>
  <c r="D120" i="1" s="1"/>
  <c r="C120" i="5"/>
  <c r="C120" i="1" s="1"/>
  <c r="B120" i="5"/>
  <c r="B120" i="1" s="1"/>
  <c r="A120" i="5"/>
  <c r="A120" i="1" s="1"/>
  <c r="L119" i="5"/>
  <c r="L119" i="1" s="1"/>
  <c r="K119" i="5"/>
  <c r="K119" i="1" s="1"/>
  <c r="J119" i="5"/>
  <c r="J119" i="1" s="1"/>
  <c r="I119" i="5"/>
  <c r="I119" i="1" s="1"/>
  <c r="H119" i="5"/>
  <c r="H119" i="1" s="1"/>
  <c r="G119" i="5"/>
  <c r="G119" i="1" s="1"/>
  <c r="F119" i="5"/>
  <c r="F119" i="1" s="1"/>
  <c r="E119" i="5"/>
  <c r="E119" i="1" s="1"/>
  <c r="D119" i="5"/>
  <c r="D119" i="1" s="1"/>
  <c r="C119" i="5"/>
  <c r="C119" i="1" s="1"/>
  <c r="B119" i="5"/>
  <c r="B119" i="1" s="1"/>
  <c r="A119" i="5"/>
  <c r="A119" i="1" s="1"/>
  <c r="L118" i="5"/>
  <c r="L118" i="1" s="1"/>
  <c r="K118" i="5"/>
  <c r="K118" i="1" s="1"/>
  <c r="J118" i="5"/>
  <c r="J118" i="1" s="1"/>
  <c r="I118" i="5"/>
  <c r="I118" i="1" s="1"/>
  <c r="H118" i="5"/>
  <c r="H118" i="1" s="1"/>
  <c r="G118" i="5"/>
  <c r="G118" i="1" s="1"/>
  <c r="F118" i="5"/>
  <c r="F118" i="1" s="1"/>
  <c r="E118" i="5"/>
  <c r="E118" i="1" s="1"/>
  <c r="D118" i="5"/>
  <c r="D118" i="1" s="1"/>
  <c r="C118" i="5"/>
  <c r="C118" i="1" s="1"/>
  <c r="B118" i="5"/>
  <c r="B118" i="1" s="1"/>
  <c r="A118" i="5"/>
  <c r="A118" i="1" s="1"/>
  <c r="L117" i="5"/>
  <c r="L117" i="1" s="1"/>
  <c r="K117" i="5"/>
  <c r="K117" i="1" s="1"/>
  <c r="J117" i="5"/>
  <c r="J117" i="1" s="1"/>
  <c r="I117" i="5"/>
  <c r="I117" i="1" s="1"/>
  <c r="H117" i="5"/>
  <c r="H117" i="1" s="1"/>
  <c r="G117" i="5"/>
  <c r="G117" i="1" s="1"/>
  <c r="F117" i="5"/>
  <c r="F117" i="1" s="1"/>
  <c r="E117" i="5"/>
  <c r="D117" i="5"/>
  <c r="D117" i="1" s="1"/>
  <c r="C117" i="5"/>
  <c r="C117" i="1" s="1"/>
  <c r="B117" i="5"/>
  <c r="B117" i="1" s="1"/>
  <c r="A117" i="5"/>
  <c r="A117" i="1" s="1"/>
  <c r="L113" i="5"/>
  <c r="L113" i="1" s="1"/>
  <c r="K113" i="5"/>
  <c r="K113" i="1" s="1"/>
  <c r="J113" i="5"/>
  <c r="J113" i="1" s="1"/>
  <c r="I113" i="5"/>
  <c r="I113" i="1" s="1"/>
  <c r="H113" i="5"/>
  <c r="H113" i="1" s="1"/>
  <c r="G113" i="5"/>
  <c r="G113" i="1" s="1"/>
  <c r="F113" i="5"/>
  <c r="F113" i="1" s="1"/>
  <c r="E113" i="5"/>
  <c r="E113" i="1" s="1"/>
  <c r="D113" i="5"/>
  <c r="D113" i="1" s="1"/>
  <c r="C113" i="5"/>
  <c r="C113" i="1" s="1"/>
  <c r="B113" i="5"/>
  <c r="B113" i="1" s="1"/>
  <c r="A113" i="5"/>
  <c r="A113" i="1" s="1"/>
  <c r="L112" i="5"/>
  <c r="L112" i="1" s="1"/>
  <c r="K112" i="5"/>
  <c r="K112" i="1" s="1"/>
  <c r="J112" i="5"/>
  <c r="J112" i="1" s="1"/>
  <c r="I112" i="5"/>
  <c r="I112" i="1" s="1"/>
  <c r="H112" i="5"/>
  <c r="H112" i="1" s="1"/>
  <c r="G112" i="5"/>
  <c r="G112" i="1" s="1"/>
  <c r="F112" i="5"/>
  <c r="F112" i="1" s="1"/>
  <c r="E112" i="5"/>
  <c r="E112" i="1" s="1"/>
  <c r="D112" i="5"/>
  <c r="D112" i="1" s="1"/>
  <c r="C112" i="5"/>
  <c r="C112" i="1" s="1"/>
  <c r="B112" i="5"/>
  <c r="B112" i="1" s="1"/>
  <c r="A112" i="5"/>
  <c r="A112" i="1" s="1"/>
  <c r="L111" i="5"/>
  <c r="L111" i="1" s="1"/>
  <c r="K111" i="5"/>
  <c r="K111" i="1" s="1"/>
  <c r="J111" i="5"/>
  <c r="J111" i="1" s="1"/>
  <c r="I111" i="5"/>
  <c r="I111" i="1" s="1"/>
  <c r="H111" i="5"/>
  <c r="H111" i="1" s="1"/>
  <c r="G111" i="5"/>
  <c r="G111" i="1" s="1"/>
  <c r="F111" i="5"/>
  <c r="F111" i="1" s="1"/>
  <c r="E111" i="5"/>
  <c r="E111" i="1" s="1"/>
  <c r="D111" i="5"/>
  <c r="D111" i="1" s="1"/>
  <c r="C111" i="5"/>
  <c r="C111" i="1" s="1"/>
  <c r="B111" i="5"/>
  <c r="B111" i="1" s="1"/>
  <c r="A111" i="5"/>
  <c r="A111" i="1" s="1"/>
  <c r="L110" i="5"/>
  <c r="L110" i="1" s="1"/>
  <c r="K110" i="5"/>
  <c r="K110" i="1" s="1"/>
  <c r="J110" i="5"/>
  <c r="J110" i="1" s="1"/>
  <c r="I110" i="5"/>
  <c r="I110" i="1" s="1"/>
  <c r="H110" i="5"/>
  <c r="H110" i="1" s="1"/>
  <c r="G110" i="5"/>
  <c r="G110" i="1" s="1"/>
  <c r="F110" i="5"/>
  <c r="F110" i="1" s="1"/>
  <c r="E110" i="5"/>
  <c r="E110" i="1" s="1"/>
  <c r="D110" i="5"/>
  <c r="D110" i="1" s="1"/>
  <c r="C110" i="5"/>
  <c r="C110" i="1" s="1"/>
  <c r="B110" i="5"/>
  <c r="B110" i="1" s="1"/>
  <c r="A110" i="5"/>
  <c r="A110" i="1" s="1"/>
  <c r="L109" i="5"/>
  <c r="L109" i="1" s="1"/>
  <c r="K109" i="5"/>
  <c r="K109" i="1" s="1"/>
  <c r="J109" i="5"/>
  <c r="J109" i="1" s="1"/>
  <c r="I109" i="5"/>
  <c r="I109" i="1" s="1"/>
  <c r="H109" i="5"/>
  <c r="H109" i="1" s="1"/>
  <c r="G109" i="5"/>
  <c r="G109" i="1" s="1"/>
  <c r="F109" i="5"/>
  <c r="F109" i="1" s="1"/>
  <c r="E109" i="5"/>
  <c r="E109" i="1" s="1"/>
  <c r="D109" i="5"/>
  <c r="D109" i="1" s="1"/>
  <c r="C109" i="5"/>
  <c r="C109" i="1" s="1"/>
  <c r="B109" i="5"/>
  <c r="B109" i="1" s="1"/>
  <c r="A109" i="5"/>
  <c r="A109" i="1" s="1"/>
  <c r="L108" i="5"/>
  <c r="L108" i="1" s="1"/>
  <c r="K108" i="5"/>
  <c r="K108" i="1" s="1"/>
  <c r="J108" i="5"/>
  <c r="J108" i="1" s="1"/>
  <c r="I108" i="5"/>
  <c r="I108" i="1" s="1"/>
  <c r="H108" i="5"/>
  <c r="H108" i="1" s="1"/>
  <c r="G108" i="5"/>
  <c r="G108" i="1" s="1"/>
  <c r="F108" i="5"/>
  <c r="F108" i="1" s="1"/>
  <c r="E108" i="5"/>
  <c r="E108" i="1" s="1"/>
  <c r="D108" i="5"/>
  <c r="D108" i="1" s="1"/>
  <c r="C108" i="5"/>
  <c r="C108" i="1" s="1"/>
  <c r="B108" i="5"/>
  <c r="B108" i="1" s="1"/>
  <c r="A108" i="5"/>
  <c r="A108" i="1" s="1"/>
  <c r="L107" i="5"/>
  <c r="L107" i="1" s="1"/>
  <c r="K107" i="5"/>
  <c r="K107" i="1" s="1"/>
  <c r="J107" i="5"/>
  <c r="J107" i="1" s="1"/>
  <c r="I107" i="5"/>
  <c r="I107" i="1" s="1"/>
  <c r="H107" i="5"/>
  <c r="H107" i="1" s="1"/>
  <c r="G107" i="5"/>
  <c r="G107" i="1" s="1"/>
  <c r="F107" i="5"/>
  <c r="F107" i="1" s="1"/>
  <c r="E107" i="5"/>
  <c r="E107" i="1" s="1"/>
  <c r="D107" i="5"/>
  <c r="D107" i="1" s="1"/>
  <c r="C107" i="5"/>
  <c r="C107" i="1" s="1"/>
  <c r="B107" i="5"/>
  <c r="B107" i="1" s="1"/>
  <c r="A107" i="5"/>
  <c r="A107" i="1" s="1"/>
  <c r="L106" i="5"/>
  <c r="L106" i="1" s="1"/>
  <c r="K106" i="5"/>
  <c r="K106" i="1" s="1"/>
  <c r="J106" i="5"/>
  <c r="J106" i="1" s="1"/>
  <c r="I106" i="5"/>
  <c r="I106" i="1" s="1"/>
  <c r="H106" i="5"/>
  <c r="H106" i="1" s="1"/>
  <c r="G106" i="5"/>
  <c r="G106" i="1" s="1"/>
  <c r="F106" i="5"/>
  <c r="F106" i="1" s="1"/>
  <c r="E106" i="5"/>
  <c r="E106" i="1" s="1"/>
  <c r="D106" i="5"/>
  <c r="D106" i="1" s="1"/>
  <c r="C106" i="5"/>
  <c r="C106" i="1" s="1"/>
  <c r="B106" i="5"/>
  <c r="B106" i="1" s="1"/>
  <c r="A106" i="5"/>
  <c r="A106" i="1" s="1"/>
  <c r="L105" i="5"/>
  <c r="L105" i="1" s="1"/>
  <c r="K105" i="5"/>
  <c r="K105" i="1" s="1"/>
  <c r="J105" i="5"/>
  <c r="J105" i="1" s="1"/>
  <c r="I105" i="5"/>
  <c r="I105" i="1" s="1"/>
  <c r="H105" i="5"/>
  <c r="H105" i="1" s="1"/>
  <c r="G105" i="5"/>
  <c r="G105" i="1" s="1"/>
  <c r="F105" i="5"/>
  <c r="F105" i="1" s="1"/>
  <c r="E105" i="5"/>
  <c r="E105" i="1" s="1"/>
  <c r="D105" i="5"/>
  <c r="D105" i="1" s="1"/>
  <c r="C105" i="5"/>
  <c r="C105" i="1" s="1"/>
  <c r="B105" i="5"/>
  <c r="B105" i="1" s="1"/>
  <c r="A105" i="5"/>
  <c r="A105" i="1" s="1"/>
  <c r="L102" i="5"/>
  <c r="L102" i="1" s="1"/>
  <c r="K102" i="5"/>
  <c r="K102" i="1" s="1"/>
  <c r="J102" i="5"/>
  <c r="J102" i="1" s="1"/>
  <c r="I102" i="5"/>
  <c r="I102" i="1" s="1"/>
  <c r="H102" i="5"/>
  <c r="H102" i="1" s="1"/>
  <c r="G102" i="5"/>
  <c r="G102" i="1" s="1"/>
  <c r="F102" i="5"/>
  <c r="F102" i="1" s="1"/>
  <c r="E102" i="5"/>
  <c r="E102" i="1" s="1"/>
  <c r="D102" i="5"/>
  <c r="D102" i="1" s="1"/>
  <c r="C102" i="5"/>
  <c r="C102" i="1" s="1"/>
  <c r="B102" i="5"/>
  <c r="B102" i="1" s="1"/>
  <c r="A102" i="5"/>
  <c r="A102" i="1" s="1"/>
  <c r="L101" i="5"/>
  <c r="L101" i="1" s="1"/>
  <c r="K101" i="5"/>
  <c r="K101" i="1" s="1"/>
  <c r="J101" i="5"/>
  <c r="J101" i="1" s="1"/>
  <c r="I101" i="5"/>
  <c r="I101" i="1" s="1"/>
  <c r="H101" i="5"/>
  <c r="H101" i="1" s="1"/>
  <c r="G101" i="5"/>
  <c r="G101" i="1" s="1"/>
  <c r="F101" i="5"/>
  <c r="F101" i="1" s="1"/>
  <c r="E101" i="5"/>
  <c r="E101" i="1" s="1"/>
  <c r="D101" i="5"/>
  <c r="D101" i="1" s="1"/>
  <c r="C101" i="5"/>
  <c r="C101" i="1" s="1"/>
  <c r="B101" i="5"/>
  <c r="B101" i="1" s="1"/>
  <c r="A101" i="5"/>
  <c r="A101" i="1" s="1"/>
  <c r="L100" i="5"/>
  <c r="L100" i="1" s="1"/>
  <c r="K100" i="5"/>
  <c r="K100" i="1" s="1"/>
  <c r="J100" i="5"/>
  <c r="J100" i="1" s="1"/>
  <c r="I100" i="5"/>
  <c r="I100" i="1" s="1"/>
  <c r="H100" i="5"/>
  <c r="H100" i="1" s="1"/>
  <c r="G100" i="5"/>
  <c r="G100" i="1" s="1"/>
  <c r="F100" i="5"/>
  <c r="F100" i="1" s="1"/>
  <c r="E100" i="5"/>
  <c r="E100" i="1" s="1"/>
  <c r="D100" i="5"/>
  <c r="D100" i="1" s="1"/>
  <c r="C100" i="5"/>
  <c r="C100" i="1" s="1"/>
  <c r="B100" i="5"/>
  <c r="B100" i="1" s="1"/>
  <c r="A100" i="5"/>
  <c r="A100" i="1" s="1"/>
  <c r="L99" i="5"/>
  <c r="L99" i="1" s="1"/>
  <c r="K99" i="5"/>
  <c r="K99" i="1" s="1"/>
  <c r="J99" i="5"/>
  <c r="J99" i="1" s="1"/>
  <c r="I99" i="5"/>
  <c r="I99" i="1" s="1"/>
  <c r="H99" i="5"/>
  <c r="H99" i="1" s="1"/>
  <c r="G99" i="5"/>
  <c r="G99" i="1" s="1"/>
  <c r="F99" i="5"/>
  <c r="F99" i="1" s="1"/>
  <c r="E99" i="5"/>
  <c r="E99" i="1" s="1"/>
  <c r="D99" i="5"/>
  <c r="D99" i="1" s="1"/>
  <c r="C99" i="5"/>
  <c r="C99" i="1" s="1"/>
  <c r="B99" i="5"/>
  <c r="B99" i="1" s="1"/>
  <c r="A99" i="5"/>
  <c r="A99" i="1" s="1"/>
  <c r="L98" i="5"/>
  <c r="L98" i="1" s="1"/>
  <c r="K98" i="5"/>
  <c r="K98" i="1" s="1"/>
  <c r="J98" i="5"/>
  <c r="J98" i="1" s="1"/>
  <c r="I98" i="5"/>
  <c r="I98" i="1" s="1"/>
  <c r="H98" i="5"/>
  <c r="H98" i="1" s="1"/>
  <c r="G98" i="5"/>
  <c r="G98" i="1" s="1"/>
  <c r="F98" i="5"/>
  <c r="F98" i="1" s="1"/>
  <c r="E98" i="5"/>
  <c r="E98" i="1" s="1"/>
  <c r="D98" i="5"/>
  <c r="D98" i="1" s="1"/>
  <c r="C98" i="5"/>
  <c r="C98" i="1" s="1"/>
  <c r="B98" i="5"/>
  <c r="B98" i="1" s="1"/>
  <c r="A98" i="5"/>
  <c r="A98" i="1" s="1"/>
  <c r="L97" i="5"/>
  <c r="L97" i="1" s="1"/>
  <c r="K97" i="5"/>
  <c r="K97" i="1" s="1"/>
  <c r="J97" i="5"/>
  <c r="J97" i="1" s="1"/>
  <c r="I97" i="5"/>
  <c r="I97" i="1" s="1"/>
  <c r="H97" i="5"/>
  <c r="H97" i="1" s="1"/>
  <c r="G97" i="5"/>
  <c r="G97" i="1" s="1"/>
  <c r="F97" i="5"/>
  <c r="F97" i="1" s="1"/>
  <c r="E97" i="5"/>
  <c r="E97" i="1" s="1"/>
  <c r="D97" i="5"/>
  <c r="D97" i="1" s="1"/>
  <c r="C97" i="5"/>
  <c r="C97" i="1" s="1"/>
  <c r="B97" i="5"/>
  <c r="B97" i="1" s="1"/>
  <c r="A97" i="5"/>
  <c r="A97" i="1" s="1"/>
  <c r="L96" i="5"/>
  <c r="L96" i="1" s="1"/>
  <c r="K96" i="5"/>
  <c r="K96" i="1" s="1"/>
  <c r="J96" i="5"/>
  <c r="J96" i="1" s="1"/>
  <c r="I96" i="5"/>
  <c r="I96" i="1" s="1"/>
  <c r="H96" i="5"/>
  <c r="H96" i="1" s="1"/>
  <c r="G96" i="5"/>
  <c r="G96" i="1" s="1"/>
  <c r="F96" i="5"/>
  <c r="F96" i="1" s="1"/>
  <c r="E96" i="5"/>
  <c r="E96" i="1" s="1"/>
  <c r="D96" i="5"/>
  <c r="D96" i="1" s="1"/>
  <c r="C96" i="5"/>
  <c r="C96" i="1" s="1"/>
  <c r="B96" i="5"/>
  <c r="B96" i="1" s="1"/>
  <c r="A96" i="5"/>
  <c r="A96" i="1" s="1"/>
  <c r="L95" i="5"/>
  <c r="L95" i="1" s="1"/>
  <c r="K95" i="5"/>
  <c r="K95" i="1" s="1"/>
  <c r="J95" i="5"/>
  <c r="J95" i="1" s="1"/>
  <c r="I95" i="5"/>
  <c r="I95" i="1" s="1"/>
  <c r="H95" i="5"/>
  <c r="H95" i="1" s="1"/>
  <c r="G95" i="5"/>
  <c r="G95" i="1" s="1"/>
  <c r="F95" i="5"/>
  <c r="F95" i="1" s="1"/>
  <c r="E95" i="5"/>
  <c r="E95" i="1" s="1"/>
  <c r="D95" i="5"/>
  <c r="D95" i="1" s="1"/>
  <c r="C95" i="5"/>
  <c r="C95" i="1" s="1"/>
  <c r="B95" i="5"/>
  <c r="B95" i="1" s="1"/>
  <c r="A95" i="5"/>
  <c r="A95" i="1" s="1"/>
  <c r="L94" i="5"/>
  <c r="L94" i="1" s="1"/>
  <c r="K94" i="5"/>
  <c r="K94" i="1" s="1"/>
  <c r="J94" i="5"/>
  <c r="J94" i="1" s="1"/>
  <c r="I94" i="5"/>
  <c r="I94" i="1" s="1"/>
  <c r="H94" i="5"/>
  <c r="H94" i="1" s="1"/>
  <c r="G94" i="5"/>
  <c r="G94" i="1" s="1"/>
  <c r="F94" i="5"/>
  <c r="F94" i="1" s="1"/>
  <c r="E94" i="5"/>
  <c r="E94" i="1" s="1"/>
  <c r="D94" i="5"/>
  <c r="D94" i="1" s="1"/>
  <c r="C94" i="5"/>
  <c r="C94" i="1" s="1"/>
  <c r="B94" i="5"/>
  <c r="B94" i="1" s="1"/>
  <c r="A94" i="5"/>
  <c r="A94" i="1" s="1"/>
  <c r="L93" i="5"/>
  <c r="L93" i="1" s="1"/>
  <c r="K93" i="5"/>
  <c r="K93" i="1" s="1"/>
  <c r="J93" i="5"/>
  <c r="J93" i="1" s="1"/>
  <c r="I93" i="5"/>
  <c r="I93" i="1" s="1"/>
  <c r="H93" i="5"/>
  <c r="H93" i="1" s="1"/>
  <c r="G93" i="5"/>
  <c r="G93" i="1" s="1"/>
  <c r="F93" i="5"/>
  <c r="F93" i="1" s="1"/>
  <c r="E93" i="5"/>
  <c r="E93" i="1" s="1"/>
  <c r="D93" i="5"/>
  <c r="D93" i="1" s="1"/>
  <c r="C93" i="5"/>
  <c r="C93" i="1" s="1"/>
  <c r="B93" i="5"/>
  <c r="B93" i="1" s="1"/>
  <c r="A93" i="5"/>
  <c r="A93" i="1" s="1"/>
  <c r="L92" i="5"/>
  <c r="L92" i="1" s="1"/>
  <c r="K92" i="5"/>
  <c r="K92" i="1" s="1"/>
  <c r="J92" i="5"/>
  <c r="J92" i="1" s="1"/>
  <c r="I92" i="5"/>
  <c r="I92" i="1" s="1"/>
  <c r="H92" i="5"/>
  <c r="H92" i="1" s="1"/>
  <c r="G92" i="5"/>
  <c r="G92" i="1" s="1"/>
  <c r="F92" i="5"/>
  <c r="F92" i="1" s="1"/>
  <c r="E92" i="5"/>
  <c r="E92" i="1" s="1"/>
  <c r="D92" i="5"/>
  <c r="D92" i="1" s="1"/>
  <c r="C92" i="5"/>
  <c r="C92" i="1" s="1"/>
  <c r="B92" i="5"/>
  <c r="B92" i="1" s="1"/>
  <c r="A92" i="5"/>
  <c r="A92" i="1" s="1"/>
  <c r="L91" i="5"/>
  <c r="L91" i="1" s="1"/>
  <c r="K91" i="5"/>
  <c r="K91" i="1" s="1"/>
  <c r="J91" i="5"/>
  <c r="J91" i="1" s="1"/>
  <c r="I91" i="5"/>
  <c r="I91" i="1" s="1"/>
  <c r="H91" i="5"/>
  <c r="H91" i="1" s="1"/>
  <c r="G91" i="5"/>
  <c r="G91" i="1" s="1"/>
  <c r="F91" i="5"/>
  <c r="F91" i="1" s="1"/>
  <c r="E91" i="5"/>
  <c r="E91" i="1" s="1"/>
  <c r="D91" i="5"/>
  <c r="D91" i="1" s="1"/>
  <c r="C91" i="5"/>
  <c r="C91" i="1" s="1"/>
  <c r="B91" i="5"/>
  <c r="B91" i="1" s="1"/>
  <c r="A91" i="5"/>
  <c r="A91" i="1" s="1"/>
  <c r="L89" i="5"/>
  <c r="L89" i="1" s="1"/>
  <c r="K89" i="5"/>
  <c r="K89" i="1" s="1"/>
  <c r="J89" i="5"/>
  <c r="J89" i="1" s="1"/>
  <c r="I89" i="5"/>
  <c r="I89" i="1" s="1"/>
  <c r="H89" i="5"/>
  <c r="H89" i="1" s="1"/>
  <c r="G89" i="5"/>
  <c r="G89" i="1" s="1"/>
  <c r="F89" i="5"/>
  <c r="F89" i="1" s="1"/>
  <c r="E89" i="5"/>
  <c r="E89" i="1" s="1"/>
  <c r="D89" i="5"/>
  <c r="D89" i="1" s="1"/>
  <c r="C89" i="5"/>
  <c r="C89" i="1" s="1"/>
  <c r="B89" i="5"/>
  <c r="B89" i="1" s="1"/>
  <c r="A89" i="5"/>
  <c r="A89" i="1" s="1"/>
  <c r="L88" i="5"/>
  <c r="L88" i="1" s="1"/>
  <c r="K88" i="5"/>
  <c r="K88" i="1" s="1"/>
  <c r="J88" i="5"/>
  <c r="J88" i="1" s="1"/>
  <c r="I88" i="5"/>
  <c r="I88" i="1" s="1"/>
  <c r="H88" i="5"/>
  <c r="H88" i="1" s="1"/>
  <c r="G88" i="5"/>
  <c r="G88" i="1" s="1"/>
  <c r="F88" i="5"/>
  <c r="F88" i="1" s="1"/>
  <c r="E88" i="5"/>
  <c r="E88" i="1" s="1"/>
  <c r="D88" i="5"/>
  <c r="C88" i="5"/>
  <c r="C88" i="1" s="1"/>
  <c r="B88" i="5"/>
  <c r="B88" i="1" s="1"/>
  <c r="A88" i="5"/>
  <c r="A88" i="1" s="1"/>
  <c r="L86" i="5"/>
  <c r="L86" i="1" s="1"/>
  <c r="K86" i="5"/>
  <c r="K86" i="1" s="1"/>
  <c r="J86" i="5"/>
  <c r="J86" i="1" s="1"/>
  <c r="I86" i="5"/>
  <c r="I86" i="1" s="1"/>
  <c r="H86" i="5"/>
  <c r="H86" i="1" s="1"/>
  <c r="G86" i="5"/>
  <c r="G86" i="1" s="1"/>
  <c r="F86" i="5"/>
  <c r="F86" i="1" s="1"/>
  <c r="E86" i="5"/>
  <c r="E86" i="1" s="1"/>
  <c r="D86" i="5"/>
  <c r="D86" i="1" s="1"/>
  <c r="C86" i="5"/>
  <c r="C86" i="1" s="1"/>
  <c r="B86" i="5"/>
  <c r="B86" i="1" s="1"/>
  <c r="A86" i="5"/>
  <c r="A86" i="1" s="1"/>
  <c r="L85" i="5"/>
  <c r="L85" i="1" s="1"/>
  <c r="K85" i="5"/>
  <c r="K85" i="1" s="1"/>
  <c r="J85" i="5"/>
  <c r="J85" i="1" s="1"/>
  <c r="I85" i="5"/>
  <c r="I85" i="1" s="1"/>
  <c r="H85" i="5"/>
  <c r="H85" i="1" s="1"/>
  <c r="G85" i="5"/>
  <c r="G85" i="1" s="1"/>
  <c r="F85" i="5"/>
  <c r="F85" i="1" s="1"/>
  <c r="E85" i="5"/>
  <c r="E85" i="1" s="1"/>
  <c r="D85" i="5"/>
  <c r="D85" i="1" s="1"/>
  <c r="C85" i="5"/>
  <c r="C85" i="1" s="1"/>
  <c r="B85" i="5"/>
  <c r="B85" i="1" s="1"/>
  <c r="A85" i="5"/>
  <c r="A85" i="1" s="1"/>
  <c r="L84" i="5"/>
  <c r="L84" i="1" s="1"/>
  <c r="K84" i="5"/>
  <c r="K84" i="1" s="1"/>
  <c r="J84" i="5"/>
  <c r="J84" i="1" s="1"/>
  <c r="I84" i="5"/>
  <c r="I84" i="1" s="1"/>
  <c r="H84" i="5"/>
  <c r="H84" i="1" s="1"/>
  <c r="G84" i="5"/>
  <c r="G84" i="1" s="1"/>
  <c r="F84" i="5"/>
  <c r="F84" i="1" s="1"/>
  <c r="E84" i="5"/>
  <c r="E84" i="1" s="1"/>
  <c r="D84" i="5"/>
  <c r="D84" i="1" s="1"/>
  <c r="C84" i="5"/>
  <c r="C84" i="1" s="1"/>
  <c r="B84" i="5"/>
  <c r="B84" i="1" s="1"/>
  <c r="A84" i="5"/>
  <c r="A84" i="1" s="1"/>
  <c r="L83" i="5"/>
  <c r="L83" i="1" s="1"/>
  <c r="K83" i="5"/>
  <c r="K83" i="1" s="1"/>
  <c r="J83" i="5"/>
  <c r="J83" i="1" s="1"/>
  <c r="I83" i="5"/>
  <c r="I83" i="1" s="1"/>
  <c r="H83" i="5"/>
  <c r="H83" i="1" s="1"/>
  <c r="G83" i="5"/>
  <c r="G83" i="1" s="1"/>
  <c r="F83" i="5"/>
  <c r="F83" i="1" s="1"/>
  <c r="E83" i="5"/>
  <c r="E83" i="1" s="1"/>
  <c r="D83" i="5"/>
  <c r="D83" i="1" s="1"/>
  <c r="C83" i="5"/>
  <c r="C83" i="1" s="1"/>
  <c r="B83" i="5"/>
  <c r="B83" i="1" s="1"/>
  <c r="A83" i="5"/>
  <c r="A83" i="1" s="1"/>
  <c r="L82" i="5"/>
  <c r="L82" i="1" s="1"/>
  <c r="K82" i="5"/>
  <c r="K82" i="1" s="1"/>
  <c r="J82" i="5"/>
  <c r="J82" i="1" s="1"/>
  <c r="I82" i="5"/>
  <c r="I82" i="1" s="1"/>
  <c r="H82" i="5"/>
  <c r="H82" i="1" s="1"/>
  <c r="G82" i="5"/>
  <c r="G82" i="1" s="1"/>
  <c r="F82" i="5"/>
  <c r="F82" i="1" s="1"/>
  <c r="E82" i="5"/>
  <c r="E82" i="1" s="1"/>
  <c r="D82" i="5"/>
  <c r="D82" i="1" s="1"/>
  <c r="C82" i="5"/>
  <c r="C82" i="1" s="1"/>
  <c r="B82" i="5"/>
  <c r="B82" i="1" s="1"/>
  <c r="A82" i="5"/>
  <c r="A82" i="1" s="1"/>
  <c r="L81" i="5"/>
  <c r="L81" i="1" s="1"/>
  <c r="K81" i="5"/>
  <c r="K81" i="1" s="1"/>
  <c r="J81" i="5"/>
  <c r="J81" i="1" s="1"/>
  <c r="I81" i="5"/>
  <c r="I81" i="1" s="1"/>
  <c r="H81" i="5"/>
  <c r="H81" i="1" s="1"/>
  <c r="G81" i="5"/>
  <c r="G81" i="1" s="1"/>
  <c r="F81" i="5"/>
  <c r="F81" i="1" s="1"/>
  <c r="E81" i="5"/>
  <c r="E81" i="1" s="1"/>
  <c r="D81" i="5"/>
  <c r="D81" i="1" s="1"/>
  <c r="C81" i="5"/>
  <c r="C81" i="1" s="1"/>
  <c r="B81" i="5"/>
  <c r="B81" i="1" s="1"/>
  <c r="A81" i="5"/>
  <c r="A81" i="1" s="1"/>
  <c r="L80" i="5"/>
  <c r="L80" i="1" s="1"/>
  <c r="K80" i="5"/>
  <c r="K80" i="1" s="1"/>
  <c r="J80" i="5"/>
  <c r="J80" i="1" s="1"/>
  <c r="I80" i="5"/>
  <c r="I80" i="1" s="1"/>
  <c r="H80" i="5"/>
  <c r="H80" i="1" s="1"/>
  <c r="G80" i="5"/>
  <c r="G80" i="1" s="1"/>
  <c r="F80" i="5"/>
  <c r="F80" i="1" s="1"/>
  <c r="E80" i="5"/>
  <c r="E80" i="1" s="1"/>
  <c r="D80" i="5"/>
  <c r="D80" i="1" s="1"/>
  <c r="C80" i="5"/>
  <c r="C80" i="1" s="1"/>
  <c r="B80" i="5"/>
  <c r="B80" i="1" s="1"/>
  <c r="A80" i="5"/>
  <c r="A80" i="1" s="1"/>
  <c r="L79" i="5"/>
  <c r="L79" i="1" s="1"/>
  <c r="K79" i="5"/>
  <c r="K79" i="1" s="1"/>
  <c r="J79" i="5"/>
  <c r="J79" i="1" s="1"/>
  <c r="I79" i="5"/>
  <c r="I79" i="1" s="1"/>
  <c r="H79" i="5"/>
  <c r="H79" i="1" s="1"/>
  <c r="G79" i="5"/>
  <c r="G79" i="1" s="1"/>
  <c r="F79" i="5"/>
  <c r="F79" i="1" s="1"/>
  <c r="E79" i="5"/>
  <c r="E79" i="1" s="1"/>
  <c r="D79" i="5"/>
  <c r="D79" i="1" s="1"/>
  <c r="C79" i="5"/>
  <c r="C79" i="1" s="1"/>
  <c r="B79" i="5"/>
  <c r="B79" i="1" s="1"/>
  <c r="A79" i="5"/>
  <c r="A79" i="1" s="1"/>
  <c r="L78" i="5"/>
  <c r="L78" i="1" s="1"/>
  <c r="K78" i="5"/>
  <c r="K78" i="1" s="1"/>
  <c r="J78" i="5"/>
  <c r="J78" i="1" s="1"/>
  <c r="I78" i="5"/>
  <c r="I78" i="1" s="1"/>
  <c r="H78" i="5"/>
  <c r="H78" i="1" s="1"/>
  <c r="G78" i="5"/>
  <c r="G78" i="1" s="1"/>
  <c r="F78" i="5"/>
  <c r="F78" i="1" s="1"/>
  <c r="E78" i="5"/>
  <c r="E78" i="1" s="1"/>
  <c r="D78" i="5"/>
  <c r="D78" i="1" s="1"/>
  <c r="C78" i="5"/>
  <c r="C78" i="1" s="1"/>
  <c r="B78" i="5"/>
  <c r="B78" i="1" s="1"/>
  <c r="A78" i="5"/>
  <c r="A78" i="1" s="1"/>
  <c r="L77" i="5"/>
  <c r="L77" i="1" s="1"/>
  <c r="K77" i="5"/>
  <c r="K77" i="1" s="1"/>
  <c r="J77" i="5"/>
  <c r="J77" i="1" s="1"/>
  <c r="I77" i="5"/>
  <c r="I77" i="1" s="1"/>
  <c r="H77" i="5"/>
  <c r="H77" i="1" s="1"/>
  <c r="G77" i="5"/>
  <c r="G77" i="1" s="1"/>
  <c r="F77" i="5"/>
  <c r="F77" i="1" s="1"/>
  <c r="E77" i="5"/>
  <c r="E77" i="1" s="1"/>
  <c r="D77" i="5"/>
  <c r="D77" i="1" s="1"/>
  <c r="C77" i="5"/>
  <c r="C77" i="1" s="1"/>
  <c r="B77" i="5"/>
  <c r="B77" i="1" s="1"/>
  <c r="A77" i="5"/>
  <c r="A77" i="1" s="1"/>
  <c r="L69" i="5"/>
  <c r="L69" i="1" s="1"/>
  <c r="K69" i="5"/>
  <c r="K69" i="1" s="1"/>
  <c r="J69" i="5"/>
  <c r="J69" i="1" s="1"/>
  <c r="I69" i="5"/>
  <c r="I69" i="1" s="1"/>
  <c r="H69" i="5"/>
  <c r="H69" i="1" s="1"/>
  <c r="G69" i="5"/>
  <c r="G69" i="1" s="1"/>
  <c r="F69" i="5"/>
  <c r="F69" i="1" s="1"/>
  <c r="E69" i="5"/>
  <c r="E69" i="1" s="1"/>
  <c r="D69" i="5"/>
  <c r="D69" i="1" s="1"/>
  <c r="C69" i="5"/>
  <c r="C69" i="1" s="1"/>
  <c r="B69" i="5"/>
  <c r="B69" i="1" s="1"/>
  <c r="A69" i="5"/>
  <c r="A69" i="1" s="1"/>
  <c r="L68" i="5"/>
  <c r="L68" i="1" s="1"/>
  <c r="K68" i="5"/>
  <c r="K68" i="1" s="1"/>
  <c r="J68" i="5"/>
  <c r="J68" i="1" s="1"/>
  <c r="I68" i="5"/>
  <c r="I68" i="1" s="1"/>
  <c r="H68" i="5"/>
  <c r="H68" i="1" s="1"/>
  <c r="G68" i="5"/>
  <c r="G68" i="1" s="1"/>
  <c r="F68" i="5"/>
  <c r="F68" i="1" s="1"/>
  <c r="E68" i="5"/>
  <c r="E68" i="1" s="1"/>
  <c r="D68" i="5"/>
  <c r="D68" i="1" s="1"/>
  <c r="C68" i="5"/>
  <c r="C68" i="1" s="1"/>
  <c r="B68" i="5"/>
  <c r="B68" i="1" s="1"/>
  <c r="A68" i="5"/>
  <c r="A68" i="1" s="1"/>
  <c r="L67" i="5"/>
  <c r="L67" i="1" s="1"/>
  <c r="K67" i="5"/>
  <c r="K67" i="1" s="1"/>
  <c r="J67" i="5"/>
  <c r="J67" i="1" s="1"/>
  <c r="I67" i="5"/>
  <c r="I67" i="1" s="1"/>
  <c r="H67" i="5"/>
  <c r="H67" i="1" s="1"/>
  <c r="G67" i="5"/>
  <c r="G67" i="1" s="1"/>
  <c r="F67" i="5"/>
  <c r="F67" i="1" s="1"/>
  <c r="E67" i="5"/>
  <c r="E67" i="1" s="1"/>
  <c r="D67" i="5"/>
  <c r="D67" i="1" s="1"/>
  <c r="C67" i="5"/>
  <c r="C67" i="1" s="1"/>
  <c r="B67" i="5"/>
  <c r="B67" i="1" s="1"/>
  <c r="A67" i="5"/>
  <c r="A67" i="1" s="1"/>
  <c r="L66" i="5"/>
  <c r="L66" i="1" s="1"/>
  <c r="K66" i="5"/>
  <c r="K66" i="1" s="1"/>
  <c r="J66" i="5"/>
  <c r="J66" i="1" s="1"/>
  <c r="I66" i="5"/>
  <c r="I66" i="1" s="1"/>
  <c r="H66" i="5"/>
  <c r="H66" i="1" s="1"/>
  <c r="G66" i="5"/>
  <c r="G66" i="1" s="1"/>
  <c r="F66" i="5"/>
  <c r="F66" i="1" s="1"/>
  <c r="E66" i="5"/>
  <c r="E66" i="1" s="1"/>
  <c r="D66" i="5"/>
  <c r="D66" i="1" s="1"/>
  <c r="C66" i="5"/>
  <c r="C66" i="1" s="1"/>
  <c r="B66" i="5"/>
  <c r="B66" i="1" s="1"/>
  <c r="A66" i="5"/>
  <c r="A66" i="1" s="1"/>
  <c r="L65" i="5"/>
  <c r="L65" i="1" s="1"/>
  <c r="K65" i="5"/>
  <c r="K65" i="1" s="1"/>
  <c r="J65" i="5"/>
  <c r="J65" i="1" s="1"/>
  <c r="I65" i="5"/>
  <c r="I65" i="1" s="1"/>
  <c r="H65" i="5"/>
  <c r="H65" i="1" s="1"/>
  <c r="G65" i="5"/>
  <c r="G65" i="1" s="1"/>
  <c r="F65" i="5"/>
  <c r="F65" i="1" s="1"/>
  <c r="E65" i="5"/>
  <c r="E65" i="1" s="1"/>
  <c r="D65" i="5"/>
  <c r="D65" i="1" s="1"/>
  <c r="C65" i="5"/>
  <c r="C65" i="1" s="1"/>
  <c r="B65" i="5"/>
  <c r="B65" i="1" s="1"/>
  <c r="A65" i="5"/>
  <c r="A65" i="1" s="1"/>
  <c r="L64" i="5"/>
  <c r="L64" i="1" s="1"/>
  <c r="K64" i="5"/>
  <c r="K64" i="1" s="1"/>
  <c r="J64" i="5"/>
  <c r="J64" i="1" s="1"/>
  <c r="I64" i="5"/>
  <c r="I64" i="1" s="1"/>
  <c r="H64" i="5"/>
  <c r="H64" i="1" s="1"/>
  <c r="G64" i="5"/>
  <c r="G64" i="1" s="1"/>
  <c r="F64" i="5"/>
  <c r="F64" i="1" s="1"/>
  <c r="E64" i="5"/>
  <c r="E64" i="1" s="1"/>
  <c r="D64" i="5"/>
  <c r="D64" i="1" s="1"/>
  <c r="C64" i="5"/>
  <c r="C64" i="1" s="1"/>
  <c r="B64" i="5"/>
  <c r="B64" i="1" s="1"/>
  <c r="A64" i="5"/>
  <c r="A64" i="1" s="1"/>
  <c r="L63" i="5"/>
  <c r="L63" i="1" s="1"/>
  <c r="K63" i="5"/>
  <c r="K63" i="1" s="1"/>
  <c r="J63" i="5"/>
  <c r="J63" i="1" s="1"/>
  <c r="I63" i="5"/>
  <c r="I63" i="1" s="1"/>
  <c r="H63" i="5"/>
  <c r="H63" i="1" s="1"/>
  <c r="G63" i="5"/>
  <c r="G63" i="1" s="1"/>
  <c r="F63" i="5"/>
  <c r="F63" i="1" s="1"/>
  <c r="E63" i="5"/>
  <c r="E63" i="1" s="1"/>
  <c r="D63" i="5"/>
  <c r="D63" i="1" s="1"/>
  <c r="C63" i="5"/>
  <c r="C63" i="1" s="1"/>
  <c r="B63" i="5"/>
  <c r="B63" i="1" s="1"/>
  <c r="A63" i="5"/>
  <c r="A63" i="1" s="1"/>
  <c r="L62" i="5"/>
  <c r="L62" i="1" s="1"/>
  <c r="K62" i="5"/>
  <c r="K62" i="1" s="1"/>
  <c r="J62" i="5"/>
  <c r="J62" i="1" s="1"/>
  <c r="I62" i="5"/>
  <c r="I62" i="1" s="1"/>
  <c r="H62" i="5"/>
  <c r="H62" i="1" s="1"/>
  <c r="G62" i="5"/>
  <c r="G62" i="1" s="1"/>
  <c r="F62" i="5"/>
  <c r="F62" i="1" s="1"/>
  <c r="E62" i="5"/>
  <c r="E62" i="1" s="1"/>
  <c r="D62" i="5"/>
  <c r="D62" i="1" s="1"/>
  <c r="C62" i="5"/>
  <c r="C62" i="1" s="1"/>
  <c r="B62" i="5"/>
  <c r="B62" i="1" s="1"/>
  <c r="A62" i="5"/>
  <c r="A62" i="1" s="1"/>
  <c r="L61" i="5"/>
  <c r="L61" i="1" s="1"/>
  <c r="K61" i="5"/>
  <c r="K61" i="1" s="1"/>
  <c r="J61" i="5"/>
  <c r="J61" i="1" s="1"/>
  <c r="I61" i="5"/>
  <c r="I61" i="1" s="1"/>
  <c r="H61" i="5"/>
  <c r="H61" i="1" s="1"/>
  <c r="G61" i="5"/>
  <c r="G61" i="1" s="1"/>
  <c r="F61" i="5"/>
  <c r="F61" i="1" s="1"/>
  <c r="E61" i="5"/>
  <c r="E61" i="1" s="1"/>
  <c r="D61" i="5"/>
  <c r="D61" i="1" s="1"/>
  <c r="C61" i="5"/>
  <c r="C61" i="1" s="1"/>
  <c r="B61" i="5"/>
  <c r="B61" i="1" s="1"/>
  <c r="A61" i="5"/>
  <c r="A61" i="1" s="1"/>
  <c r="L56" i="5"/>
  <c r="L56" i="1" s="1"/>
  <c r="K56" i="5"/>
  <c r="K56" i="1" s="1"/>
  <c r="J56" i="5"/>
  <c r="J56" i="1" s="1"/>
  <c r="I56" i="5"/>
  <c r="I56" i="1" s="1"/>
  <c r="H56" i="5"/>
  <c r="H56" i="1" s="1"/>
  <c r="G56" i="5"/>
  <c r="G56" i="1" s="1"/>
  <c r="F56" i="5"/>
  <c r="F56" i="1" s="1"/>
  <c r="E56" i="5"/>
  <c r="E56" i="1" s="1"/>
  <c r="D56" i="5"/>
  <c r="D56" i="1" s="1"/>
  <c r="C56" i="5"/>
  <c r="C56" i="1" s="1"/>
  <c r="B56" i="5"/>
  <c r="B56" i="1" s="1"/>
  <c r="A56" i="5"/>
  <c r="A56" i="1" s="1"/>
  <c r="L55" i="5"/>
  <c r="L55" i="1" s="1"/>
  <c r="K55" i="5"/>
  <c r="K55" i="1" s="1"/>
  <c r="J55" i="5"/>
  <c r="J55" i="1" s="1"/>
  <c r="I55" i="5"/>
  <c r="I55" i="1" s="1"/>
  <c r="H55" i="5"/>
  <c r="H55" i="1" s="1"/>
  <c r="G55" i="5"/>
  <c r="G55" i="1" s="1"/>
  <c r="F55" i="5"/>
  <c r="F55" i="1" s="1"/>
  <c r="E55" i="5"/>
  <c r="E55" i="1" s="1"/>
  <c r="D55" i="5"/>
  <c r="D55" i="1" s="1"/>
  <c r="C55" i="5"/>
  <c r="C55" i="1" s="1"/>
  <c r="B55" i="5"/>
  <c r="B55" i="1" s="1"/>
  <c r="A55" i="5"/>
  <c r="A55" i="1" s="1"/>
  <c r="L53" i="5"/>
  <c r="L53" i="1" s="1"/>
  <c r="K53" i="5"/>
  <c r="K53" i="1" s="1"/>
  <c r="J53" i="5"/>
  <c r="J53" i="1" s="1"/>
  <c r="I53" i="5"/>
  <c r="I53" i="1" s="1"/>
  <c r="H53" i="5"/>
  <c r="H53" i="1" s="1"/>
  <c r="G53" i="5"/>
  <c r="G53" i="1" s="1"/>
  <c r="F53" i="5"/>
  <c r="F53" i="1" s="1"/>
  <c r="E53" i="5"/>
  <c r="E53" i="1" s="1"/>
  <c r="D53" i="5"/>
  <c r="D53" i="1" s="1"/>
  <c r="C53" i="5"/>
  <c r="C53" i="1" s="1"/>
  <c r="B53" i="5"/>
  <c r="B53" i="1" s="1"/>
  <c r="A53" i="5"/>
  <c r="A53" i="1" s="1"/>
  <c r="L52" i="5"/>
  <c r="L52" i="1" s="1"/>
  <c r="K52" i="5"/>
  <c r="K52" i="1" s="1"/>
  <c r="J52" i="5"/>
  <c r="J52" i="1" s="1"/>
  <c r="I52" i="5"/>
  <c r="I52" i="1" s="1"/>
  <c r="H52" i="5"/>
  <c r="H52" i="1" s="1"/>
  <c r="G52" i="5"/>
  <c r="G52" i="1" s="1"/>
  <c r="F52" i="5"/>
  <c r="F52" i="1" s="1"/>
  <c r="E52" i="5"/>
  <c r="E52" i="1" s="1"/>
  <c r="D52" i="5"/>
  <c r="D52" i="1" s="1"/>
  <c r="C52" i="5"/>
  <c r="C52" i="1" s="1"/>
  <c r="B52" i="5"/>
  <c r="B52" i="1" s="1"/>
  <c r="A52" i="5"/>
  <c r="A52" i="1" s="1"/>
  <c r="L51" i="5"/>
  <c r="L51" i="1" s="1"/>
  <c r="K51" i="5"/>
  <c r="K51" i="1" s="1"/>
  <c r="J51" i="5"/>
  <c r="J51" i="1" s="1"/>
  <c r="I51" i="5"/>
  <c r="I51" i="1" s="1"/>
  <c r="H51" i="5"/>
  <c r="H51" i="1" s="1"/>
  <c r="G51" i="5"/>
  <c r="G51" i="1" s="1"/>
  <c r="F51" i="5"/>
  <c r="F51" i="1" s="1"/>
  <c r="E51" i="5"/>
  <c r="E51" i="1" s="1"/>
  <c r="D51" i="5"/>
  <c r="D51" i="1" s="1"/>
  <c r="C51" i="5"/>
  <c r="C51" i="1" s="1"/>
  <c r="B51" i="5"/>
  <c r="B51" i="1" s="1"/>
  <c r="A51" i="5"/>
  <c r="A51" i="1" s="1"/>
  <c r="L50" i="5"/>
  <c r="K50" i="5"/>
  <c r="J50" i="5"/>
  <c r="I50" i="5"/>
  <c r="H50" i="5"/>
  <c r="G50" i="5"/>
  <c r="F50" i="5"/>
  <c r="E50" i="5"/>
  <c r="D50" i="5"/>
  <c r="C50" i="5"/>
  <c r="B50" i="5"/>
  <c r="A50" i="5"/>
  <c r="L46" i="5"/>
  <c r="L46" i="1" s="1"/>
  <c r="K46" i="5"/>
  <c r="K46" i="1" s="1"/>
  <c r="J46" i="5"/>
  <c r="J46" i="1" s="1"/>
  <c r="I46" i="5"/>
  <c r="I46" i="1" s="1"/>
  <c r="H46" i="5"/>
  <c r="H46" i="1" s="1"/>
  <c r="G46" i="5"/>
  <c r="G46" i="1" s="1"/>
  <c r="F46" i="5"/>
  <c r="F46" i="1" s="1"/>
  <c r="E46" i="5"/>
  <c r="E46" i="1" s="1"/>
  <c r="D46" i="5"/>
  <c r="D46" i="1" s="1"/>
  <c r="C46" i="5"/>
  <c r="C46" i="1" s="1"/>
  <c r="B46" i="5"/>
  <c r="B46" i="1" s="1"/>
  <c r="A46" i="5"/>
  <c r="A46" i="1" s="1"/>
  <c r="L45" i="5"/>
  <c r="L45" i="1" s="1"/>
  <c r="K45" i="5"/>
  <c r="K45" i="1" s="1"/>
  <c r="J45" i="5"/>
  <c r="J45" i="1" s="1"/>
  <c r="I45" i="5"/>
  <c r="I45" i="1" s="1"/>
  <c r="H45" i="5"/>
  <c r="H45" i="1" s="1"/>
  <c r="G45" i="5"/>
  <c r="G45" i="1" s="1"/>
  <c r="F45" i="5"/>
  <c r="F45" i="1" s="1"/>
  <c r="E45" i="5"/>
  <c r="E45" i="1" s="1"/>
  <c r="D45" i="5"/>
  <c r="D45" i="1" s="1"/>
  <c r="C45" i="5"/>
  <c r="C45" i="1" s="1"/>
  <c r="B45" i="5"/>
  <c r="B45" i="1" s="1"/>
  <c r="A45" i="5"/>
  <c r="A45" i="1" s="1"/>
  <c r="L44" i="5"/>
  <c r="L44" i="1" s="1"/>
  <c r="K44" i="5"/>
  <c r="K44" i="1" s="1"/>
  <c r="J44" i="5"/>
  <c r="J44" i="1" s="1"/>
  <c r="I44" i="5"/>
  <c r="I44" i="1" s="1"/>
  <c r="H44" i="5"/>
  <c r="H44" i="1" s="1"/>
  <c r="G44" i="5"/>
  <c r="G44" i="1" s="1"/>
  <c r="F44" i="5"/>
  <c r="F44" i="1" s="1"/>
  <c r="E44" i="5"/>
  <c r="E44" i="1" s="1"/>
  <c r="D44" i="5"/>
  <c r="D44" i="1" s="1"/>
  <c r="C44" i="5"/>
  <c r="C44" i="1" s="1"/>
  <c r="B44" i="5"/>
  <c r="B44" i="1" s="1"/>
  <c r="A44" i="5"/>
  <c r="A44" i="1" s="1"/>
  <c r="L42" i="5"/>
  <c r="L42" i="1" s="1"/>
  <c r="K42" i="5"/>
  <c r="K42" i="1" s="1"/>
  <c r="J42" i="5"/>
  <c r="J42" i="1" s="1"/>
  <c r="I42" i="5"/>
  <c r="I42" i="1" s="1"/>
  <c r="H42" i="5"/>
  <c r="H42" i="1" s="1"/>
  <c r="G42" i="5"/>
  <c r="G42" i="1" s="1"/>
  <c r="F42" i="5"/>
  <c r="F42" i="1" s="1"/>
  <c r="E42" i="5"/>
  <c r="E42" i="1" s="1"/>
  <c r="D42" i="5"/>
  <c r="D42" i="1" s="1"/>
  <c r="C42" i="5"/>
  <c r="C42" i="1" s="1"/>
  <c r="B42" i="5"/>
  <c r="B42" i="1" s="1"/>
  <c r="A42" i="5"/>
  <c r="A42" i="1" s="1"/>
  <c r="L41" i="5"/>
  <c r="L41" i="1" s="1"/>
  <c r="K41" i="5"/>
  <c r="K41" i="1" s="1"/>
  <c r="J41" i="5"/>
  <c r="J41" i="1" s="1"/>
  <c r="I41" i="5"/>
  <c r="I41" i="1" s="1"/>
  <c r="H41" i="5"/>
  <c r="H41" i="1" s="1"/>
  <c r="G41" i="5"/>
  <c r="G41" i="1" s="1"/>
  <c r="F41" i="5"/>
  <c r="F41" i="1" s="1"/>
  <c r="E41" i="5"/>
  <c r="E41" i="1" s="1"/>
  <c r="D41" i="5"/>
  <c r="D41" i="1" s="1"/>
  <c r="C41" i="5"/>
  <c r="C41" i="1" s="1"/>
  <c r="B41" i="5"/>
  <c r="B41" i="1" s="1"/>
  <c r="A41" i="5"/>
  <c r="A41" i="1" s="1"/>
  <c r="L40" i="5"/>
  <c r="L40" i="1" s="1"/>
  <c r="K40" i="5"/>
  <c r="K40" i="1" s="1"/>
  <c r="J40" i="5"/>
  <c r="J40" i="1" s="1"/>
  <c r="I40" i="5"/>
  <c r="I40" i="1" s="1"/>
  <c r="H40" i="5"/>
  <c r="H40" i="1" s="1"/>
  <c r="G40" i="5"/>
  <c r="G40" i="1" s="1"/>
  <c r="F40" i="5"/>
  <c r="F40" i="1" s="1"/>
  <c r="E40" i="5"/>
  <c r="E40" i="1" s="1"/>
  <c r="D40" i="5"/>
  <c r="D40" i="1" s="1"/>
  <c r="C40" i="5"/>
  <c r="C40" i="1" s="1"/>
  <c r="B40" i="5"/>
  <c r="B40" i="1" s="1"/>
  <c r="A40" i="5"/>
  <c r="A40" i="1" s="1"/>
  <c r="L39" i="5"/>
  <c r="L39" i="1" s="1"/>
  <c r="K39" i="5"/>
  <c r="K39" i="1" s="1"/>
  <c r="J39" i="5"/>
  <c r="J39" i="1" s="1"/>
  <c r="I39" i="5"/>
  <c r="I39" i="1" s="1"/>
  <c r="H39" i="5"/>
  <c r="H39" i="1" s="1"/>
  <c r="G39" i="5"/>
  <c r="G39" i="1" s="1"/>
  <c r="F39" i="5"/>
  <c r="F39" i="1" s="1"/>
  <c r="E39" i="5"/>
  <c r="E39" i="1" s="1"/>
  <c r="D39" i="5"/>
  <c r="C39" i="5"/>
  <c r="C39" i="1" s="1"/>
  <c r="B39" i="5"/>
  <c r="B39" i="1" s="1"/>
  <c r="A39" i="5"/>
  <c r="A39" i="1" s="1"/>
  <c r="L37" i="5"/>
  <c r="L37" i="1" s="1"/>
  <c r="K37" i="5"/>
  <c r="K37" i="1" s="1"/>
  <c r="J37" i="5"/>
  <c r="J37" i="1" s="1"/>
  <c r="I37" i="5"/>
  <c r="I37" i="1" s="1"/>
  <c r="H37" i="5"/>
  <c r="H37" i="1" s="1"/>
  <c r="G37" i="5"/>
  <c r="G37" i="1" s="1"/>
  <c r="F37" i="5"/>
  <c r="F37" i="1" s="1"/>
  <c r="E37" i="5"/>
  <c r="E37" i="1" s="1"/>
  <c r="D37" i="5"/>
  <c r="D37" i="1" s="1"/>
  <c r="C37" i="5"/>
  <c r="C37" i="1" s="1"/>
  <c r="B37" i="5"/>
  <c r="B37" i="1" s="1"/>
  <c r="A37" i="5"/>
  <c r="A37" i="1" s="1"/>
  <c r="L36" i="5"/>
  <c r="L36" i="1" s="1"/>
  <c r="K36" i="5"/>
  <c r="K36" i="1" s="1"/>
  <c r="J36" i="5"/>
  <c r="J36" i="1" s="1"/>
  <c r="I36" i="5"/>
  <c r="I36" i="1" s="1"/>
  <c r="H36" i="5"/>
  <c r="H36" i="1" s="1"/>
  <c r="G36" i="5"/>
  <c r="G36" i="1" s="1"/>
  <c r="F36" i="5"/>
  <c r="F36" i="1" s="1"/>
  <c r="E36" i="5"/>
  <c r="E36" i="1" s="1"/>
  <c r="D36" i="5"/>
  <c r="D36" i="1" s="1"/>
  <c r="C36" i="5"/>
  <c r="C36" i="1" s="1"/>
  <c r="B36" i="5"/>
  <c r="B36" i="1" s="1"/>
  <c r="A36" i="5"/>
  <c r="A36" i="1" s="1"/>
  <c r="L35" i="5"/>
  <c r="L35" i="1" s="1"/>
  <c r="K35" i="5"/>
  <c r="K35" i="1" s="1"/>
  <c r="J35" i="5"/>
  <c r="J35" i="1" s="1"/>
  <c r="I35" i="5"/>
  <c r="I35" i="1" s="1"/>
  <c r="H35" i="5"/>
  <c r="H35" i="1" s="1"/>
  <c r="G35" i="5"/>
  <c r="G35" i="1" s="1"/>
  <c r="F35" i="5"/>
  <c r="F35" i="1" s="1"/>
  <c r="E35" i="5"/>
  <c r="E35" i="1" s="1"/>
  <c r="D35" i="5"/>
  <c r="D35" i="1" s="1"/>
  <c r="C35" i="5"/>
  <c r="C35" i="1" s="1"/>
  <c r="B35" i="5"/>
  <c r="B35" i="1" s="1"/>
  <c r="A35" i="5"/>
  <c r="A35" i="1" s="1"/>
  <c r="L34" i="5"/>
  <c r="L34" i="1" s="1"/>
  <c r="K34" i="5"/>
  <c r="K34" i="1" s="1"/>
  <c r="J34" i="5"/>
  <c r="J34" i="1" s="1"/>
  <c r="I34" i="5"/>
  <c r="I34" i="1" s="1"/>
  <c r="H34" i="5"/>
  <c r="H34" i="1" s="1"/>
  <c r="G34" i="5"/>
  <c r="G34" i="1" s="1"/>
  <c r="F34" i="5"/>
  <c r="F34" i="1" s="1"/>
  <c r="E34" i="5"/>
  <c r="E34" i="1" s="1"/>
  <c r="D34" i="5"/>
  <c r="D34" i="1" s="1"/>
  <c r="C34" i="5"/>
  <c r="C34" i="1" s="1"/>
  <c r="B34" i="5"/>
  <c r="B34" i="1" s="1"/>
  <c r="A34" i="5"/>
  <c r="A34" i="1" s="1"/>
  <c r="L33" i="5"/>
  <c r="L33" i="1" s="1"/>
  <c r="K33" i="5"/>
  <c r="K33" i="1" s="1"/>
  <c r="J33" i="5"/>
  <c r="J33" i="1" s="1"/>
  <c r="I33" i="5"/>
  <c r="I33" i="1" s="1"/>
  <c r="H33" i="5"/>
  <c r="H33" i="1" s="1"/>
  <c r="G33" i="5"/>
  <c r="G33" i="1" s="1"/>
  <c r="F33" i="5"/>
  <c r="F33" i="1" s="1"/>
  <c r="E33" i="5"/>
  <c r="E33" i="1" s="1"/>
  <c r="D33" i="5"/>
  <c r="D33" i="1" s="1"/>
  <c r="C33" i="5"/>
  <c r="C33" i="1" s="1"/>
  <c r="B33" i="5"/>
  <c r="B33" i="1" s="1"/>
  <c r="A33" i="5"/>
  <c r="A33" i="1" s="1"/>
  <c r="L32" i="5"/>
  <c r="L32" i="1" s="1"/>
  <c r="K32" i="5"/>
  <c r="K32" i="1" s="1"/>
  <c r="J32" i="5"/>
  <c r="J32" i="1" s="1"/>
  <c r="I32" i="5"/>
  <c r="I32" i="1" s="1"/>
  <c r="H32" i="5"/>
  <c r="H32" i="1" s="1"/>
  <c r="G32" i="5"/>
  <c r="G32" i="1" s="1"/>
  <c r="F32" i="5"/>
  <c r="F32" i="1" s="1"/>
  <c r="E32" i="5"/>
  <c r="E32" i="1" s="1"/>
  <c r="D32" i="5"/>
  <c r="D32" i="1" s="1"/>
  <c r="C32" i="5"/>
  <c r="C32" i="1" s="1"/>
  <c r="B32" i="5"/>
  <c r="B32" i="1" s="1"/>
  <c r="A32" i="5"/>
  <c r="A32" i="1" s="1"/>
  <c r="L31" i="5"/>
  <c r="L31" i="1" s="1"/>
  <c r="K31" i="5"/>
  <c r="K31" i="1" s="1"/>
  <c r="J31" i="5"/>
  <c r="J31" i="1" s="1"/>
  <c r="I31" i="5"/>
  <c r="I31" i="1" s="1"/>
  <c r="H31" i="5"/>
  <c r="H31" i="1" s="1"/>
  <c r="G31" i="5"/>
  <c r="G31" i="1" s="1"/>
  <c r="F31" i="5"/>
  <c r="F31" i="1" s="1"/>
  <c r="E31" i="5"/>
  <c r="E31" i="1" s="1"/>
  <c r="D31" i="5"/>
  <c r="D31" i="1" s="1"/>
  <c r="C31" i="5"/>
  <c r="C31" i="1" s="1"/>
  <c r="B31" i="5"/>
  <c r="B31" i="1" s="1"/>
  <c r="A31" i="5"/>
  <c r="A31" i="1" s="1"/>
  <c r="L26" i="5"/>
  <c r="L26" i="1" s="1"/>
  <c r="K26" i="5"/>
  <c r="K26" i="1" s="1"/>
  <c r="J26" i="5"/>
  <c r="J26" i="1" s="1"/>
  <c r="I26" i="5"/>
  <c r="I26" i="1" s="1"/>
  <c r="H26" i="5"/>
  <c r="H26" i="1" s="1"/>
  <c r="G26" i="5"/>
  <c r="G26" i="1" s="1"/>
  <c r="F26" i="5"/>
  <c r="F26" i="1" s="1"/>
  <c r="E26" i="5"/>
  <c r="E26" i="1" s="1"/>
  <c r="D26" i="5"/>
  <c r="D26" i="1" s="1"/>
  <c r="C26" i="5"/>
  <c r="C26" i="1" s="1"/>
  <c r="B26" i="5"/>
  <c r="B26" i="1" s="1"/>
  <c r="A26" i="5"/>
  <c r="A26" i="1" s="1"/>
  <c r="L25" i="5"/>
  <c r="L25" i="1" s="1"/>
  <c r="K25" i="5"/>
  <c r="K25" i="1" s="1"/>
  <c r="J25" i="5"/>
  <c r="J25" i="1" s="1"/>
  <c r="I25" i="5"/>
  <c r="I25" i="1" s="1"/>
  <c r="H25" i="5"/>
  <c r="H25" i="1" s="1"/>
  <c r="G25" i="5"/>
  <c r="G25" i="1" s="1"/>
  <c r="F25" i="5"/>
  <c r="F25" i="1" s="1"/>
  <c r="E25" i="5"/>
  <c r="E25" i="1" s="1"/>
  <c r="D25" i="5"/>
  <c r="D25" i="1" s="1"/>
  <c r="C25" i="5"/>
  <c r="C25" i="1" s="1"/>
  <c r="B25" i="5"/>
  <c r="B25" i="1" s="1"/>
  <c r="A25" i="5"/>
  <c r="A25" i="1" s="1"/>
  <c r="L24" i="5"/>
  <c r="L24" i="1" s="1"/>
  <c r="K24" i="5"/>
  <c r="K24" i="1" s="1"/>
  <c r="J24" i="5"/>
  <c r="J24" i="1" s="1"/>
  <c r="I24" i="5"/>
  <c r="I24" i="1" s="1"/>
  <c r="H24" i="5"/>
  <c r="H24" i="1" s="1"/>
  <c r="G24" i="5"/>
  <c r="G24" i="1" s="1"/>
  <c r="F24" i="5"/>
  <c r="F24" i="1" s="1"/>
  <c r="E24" i="5"/>
  <c r="E24" i="1" s="1"/>
  <c r="D24" i="5"/>
  <c r="D24" i="1" s="1"/>
  <c r="C24" i="5"/>
  <c r="C24" i="1" s="1"/>
  <c r="B24" i="5"/>
  <c r="B24" i="1" s="1"/>
  <c r="A24" i="5"/>
  <c r="A24" i="1" s="1"/>
  <c r="L23" i="5"/>
  <c r="L23" i="1" s="1"/>
  <c r="K23" i="5"/>
  <c r="K23" i="1" s="1"/>
  <c r="J23" i="5"/>
  <c r="J23" i="1" s="1"/>
  <c r="I23" i="5"/>
  <c r="I23" i="1" s="1"/>
  <c r="H23" i="5"/>
  <c r="H23" i="1" s="1"/>
  <c r="G23" i="5"/>
  <c r="G23" i="1" s="1"/>
  <c r="F23" i="5"/>
  <c r="F23" i="1" s="1"/>
  <c r="E23" i="5"/>
  <c r="E23" i="1" s="1"/>
  <c r="D23" i="5"/>
  <c r="D23" i="1" s="1"/>
  <c r="C23" i="5"/>
  <c r="C23" i="1" s="1"/>
  <c r="B23" i="5"/>
  <c r="B23" i="1" s="1"/>
  <c r="A23" i="5"/>
  <c r="A23" i="1" s="1"/>
  <c r="L21" i="5"/>
  <c r="L21" i="1" s="1"/>
  <c r="K21" i="5"/>
  <c r="K21" i="1" s="1"/>
  <c r="J21" i="5"/>
  <c r="J21" i="1" s="1"/>
  <c r="I21" i="5"/>
  <c r="I21" i="1" s="1"/>
  <c r="H21" i="5"/>
  <c r="H21" i="1" s="1"/>
  <c r="G21" i="5"/>
  <c r="G21" i="1" s="1"/>
  <c r="F21" i="5"/>
  <c r="F21" i="1" s="1"/>
  <c r="E21" i="5"/>
  <c r="E21" i="1" s="1"/>
  <c r="D21" i="5"/>
  <c r="D21" i="1" s="1"/>
  <c r="C21" i="5"/>
  <c r="C21" i="1" s="1"/>
  <c r="B21" i="5"/>
  <c r="B21" i="1" s="1"/>
  <c r="A21" i="5"/>
  <c r="A21" i="1" s="1"/>
  <c r="L20" i="5"/>
  <c r="L20" i="1" s="1"/>
  <c r="K20" i="5"/>
  <c r="K20" i="1" s="1"/>
  <c r="J20" i="5"/>
  <c r="J20" i="1" s="1"/>
  <c r="I20" i="5"/>
  <c r="I20" i="1" s="1"/>
  <c r="H20" i="5"/>
  <c r="H20" i="1" s="1"/>
  <c r="G20" i="5"/>
  <c r="G20" i="1" s="1"/>
  <c r="F20" i="5"/>
  <c r="F20" i="1" s="1"/>
  <c r="E20" i="5"/>
  <c r="E20" i="1" s="1"/>
  <c r="D20" i="5"/>
  <c r="D20" i="1" s="1"/>
  <c r="C20" i="5"/>
  <c r="C20" i="1" s="1"/>
  <c r="B20" i="5"/>
  <c r="B20" i="1" s="1"/>
  <c r="A20" i="5"/>
  <c r="A20" i="1" s="1"/>
  <c r="L19" i="5"/>
  <c r="L19" i="1" s="1"/>
  <c r="K19" i="5"/>
  <c r="K19" i="1" s="1"/>
  <c r="J19" i="5"/>
  <c r="J19" i="1" s="1"/>
  <c r="I19" i="5"/>
  <c r="I19" i="1" s="1"/>
  <c r="H19" i="5"/>
  <c r="H19" i="1" s="1"/>
  <c r="G19" i="5"/>
  <c r="G19" i="1" s="1"/>
  <c r="F19" i="5"/>
  <c r="F19" i="1" s="1"/>
  <c r="E19" i="5"/>
  <c r="E19" i="1" s="1"/>
  <c r="D19" i="5"/>
  <c r="D19" i="1" s="1"/>
  <c r="C19" i="5"/>
  <c r="C19" i="1" s="1"/>
  <c r="B19" i="5"/>
  <c r="B19" i="1" s="1"/>
  <c r="A19" i="5"/>
  <c r="A19" i="1" s="1"/>
  <c r="L18" i="5"/>
  <c r="L18" i="1" s="1"/>
  <c r="K18" i="5"/>
  <c r="K18" i="1" s="1"/>
  <c r="J18" i="5"/>
  <c r="J18" i="1" s="1"/>
  <c r="I18" i="5"/>
  <c r="I18" i="1" s="1"/>
  <c r="H18" i="5"/>
  <c r="H18" i="1" s="1"/>
  <c r="G18" i="5"/>
  <c r="G18" i="1" s="1"/>
  <c r="F18" i="5"/>
  <c r="F18" i="1" s="1"/>
  <c r="E18" i="5"/>
  <c r="E18" i="1" s="1"/>
  <c r="D18" i="5"/>
  <c r="D18" i="1" s="1"/>
  <c r="C18" i="5"/>
  <c r="C18" i="1" s="1"/>
  <c r="B18" i="5"/>
  <c r="B18" i="1" s="1"/>
  <c r="A18" i="5"/>
  <c r="A18" i="1" s="1"/>
  <c r="L16" i="5"/>
  <c r="L16" i="1" s="1"/>
  <c r="K16" i="5"/>
  <c r="K16" i="1" s="1"/>
  <c r="J16" i="5"/>
  <c r="J16" i="1" s="1"/>
  <c r="I16" i="5"/>
  <c r="I16" i="1" s="1"/>
  <c r="H16" i="5"/>
  <c r="H16" i="1" s="1"/>
  <c r="G16" i="5"/>
  <c r="G16" i="1" s="1"/>
  <c r="F16" i="5"/>
  <c r="F16" i="1" s="1"/>
  <c r="E16" i="5"/>
  <c r="E16" i="1" s="1"/>
  <c r="D16" i="5"/>
  <c r="D16" i="1" s="1"/>
  <c r="C16" i="5"/>
  <c r="C16" i="1" s="1"/>
  <c r="B16" i="5"/>
  <c r="B16" i="1" s="1"/>
  <c r="A16" i="5"/>
  <c r="A16" i="1" s="1"/>
  <c r="L15" i="5"/>
  <c r="L15" i="1" s="1"/>
  <c r="K15" i="5"/>
  <c r="K15" i="1" s="1"/>
  <c r="J15" i="5"/>
  <c r="J15" i="1" s="1"/>
  <c r="I15" i="5"/>
  <c r="I15" i="1" s="1"/>
  <c r="H15" i="5"/>
  <c r="H15" i="1" s="1"/>
  <c r="G15" i="5"/>
  <c r="G15" i="1" s="1"/>
  <c r="F15" i="5"/>
  <c r="F15" i="1" s="1"/>
  <c r="E15" i="5"/>
  <c r="E15" i="1" s="1"/>
  <c r="D15" i="5"/>
  <c r="D15" i="1" s="1"/>
  <c r="C15" i="5"/>
  <c r="C15" i="1" s="1"/>
  <c r="B15" i="5"/>
  <c r="B15" i="1" s="1"/>
  <c r="A15" i="5"/>
  <c r="A15" i="1" s="1"/>
  <c r="L14" i="5"/>
  <c r="L14" i="1" s="1"/>
  <c r="K14" i="5"/>
  <c r="K14" i="1" s="1"/>
  <c r="J14" i="5"/>
  <c r="J14" i="1" s="1"/>
  <c r="I14" i="5"/>
  <c r="I14" i="1" s="1"/>
  <c r="H14" i="5"/>
  <c r="H14" i="1" s="1"/>
  <c r="G14" i="5"/>
  <c r="G14" i="1" s="1"/>
  <c r="F14" i="5"/>
  <c r="F14" i="1" s="1"/>
  <c r="E14" i="5"/>
  <c r="E14" i="1" s="1"/>
  <c r="D14" i="5"/>
  <c r="D14" i="1" s="1"/>
  <c r="C14" i="5"/>
  <c r="B14" i="5"/>
  <c r="A14" i="5"/>
  <c r="A14" i="1" s="1"/>
  <c r="L12" i="5"/>
  <c r="L12" i="1" s="1"/>
  <c r="K12" i="5"/>
  <c r="K12" i="1" s="1"/>
  <c r="J12" i="5"/>
  <c r="J12" i="1" s="1"/>
  <c r="I12" i="5"/>
  <c r="I12" i="1" s="1"/>
  <c r="H12" i="5"/>
  <c r="H12" i="1" s="1"/>
  <c r="G12" i="5"/>
  <c r="G12" i="1" s="1"/>
  <c r="F12" i="5"/>
  <c r="F12" i="1" s="1"/>
  <c r="E12" i="5"/>
  <c r="E12" i="1" s="1"/>
  <c r="D12" i="5"/>
  <c r="D12" i="1" s="1"/>
  <c r="C12" i="5"/>
  <c r="C12" i="1" s="1"/>
  <c r="B12" i="5"/>
  <c r="B12" i="1" s="1"/>
  <c r="L11" i="5"/>
  <c r="L11" i="1" s="1"/>
  <c r="K11" i="5"/>
  <c r="K11" i="1" s="1"/>
  <c r="J11" i="5"/>
  <c r="J11" i="1" s="1"/>
  <c r="I11" i="5"/>
  <c r="I11" i="1" s="1"/>
  <c r="H11" i="5"/>
  <c r="H11" i="1" s="1"/>
  <c r="G11" i="5"/>
  <c r="G11" i="1" s="1"/>
  <c r="F11" i="5"/>
  <c r="F11" i="1" s="1"/>
  <c r="E11" i="5"/>
  <c r="E11" i="1" s="1"/>
  <c r="D11" i="5"/>
  <c r="D11" i="1" s="1"/>
  <c r="C11" i="5"/>
  <c r="C11" i="1" s="1"/>
  <c r="B11" i="5"/>
  <c r="B11" i="1" s="1"/>
  <c r="L10" i="5"/>
  <c r="L10" i="1" s="1"/>
  <c r="K10" i="5"/>
  <c r="K10" i="1" s="1"/>
  <c r="J10" i="5"/>
  <c r="J10" i="1" s="1"/>
  <c r="I10" i="5"/>
  <c r="I10" i="1" s="1"/>
  <c r="H10" i="5"/>
  <c r="H10" i="1" s="1"/>
  <c r="G10" i="5"/>
  <c r="G10" i="1" s="1"/>
  <c r="F10" i="5"/>
  <c r="F10" i="1" s="1"/>
  <c r="E10" i="5"/>
  <c r="E10" i="1" s="1"/>
  <c r="D10" i="5"/>
  <c r="D10" i="1" s="1"/>
  <c r="C10" i="5"/>
  <c r="C10" i="1" s="1"/>
  <c r="B10" i="5"/>
  <c r="B10" i="1" s="1"/>
  <c r="L9" i="5"/>
  <c r="L9" i="1" s="1"/>
  <c r="K9" i="5"/>
  <c r="K9" i="1" s="1"/>
  <c r="J9" i="5"/>
  <c r="J9" i="1" s="1"/>
  <c r="I9" i="5"/>
  <c r="I9" i="1" s="1"/>
  <c r="H9" i="5"/>
  <c r="H9" i="1" s="1"/>
  <c r="G9" i="5"/>
  <c r="G9" i="1" s="1"/>
  <c r="F9" i="5"/>
  <c r="F9" i="1" s="1"/>
  <c r="E9" i="5"/>
  <c r="E9" i="1" s="1"/>
  <c r="D9" i="5"/>
  <c r="D9" i="1" s="1"/>
  <c r="C9" i="5"/>
  <c r="C9" i="1" s="1"/>
  <c r="B9" i="5"/>
  <c r="B9" i="1" s="1"/>
  <c r="A12" i="5"/>
  <c r="A12" i="1" s="1"/>
  <c r="A11" i="5"/>
  <c r="A11" i="1" s="1"/>
  <c r="A10" i="5"/>
  <c r="A10" i="1" s="1"/>
  <c r="A9" i="5"/>
  <c r="A9" i="1" s="1"/>
  <c r="L7" i="5"/>
  <c r="K7" i="5"/>
  <c r="J7" i="5"/>
  <c r="I7" i="5"/>
  <c r="H7" i="5"/>
  <c r="G7" i="5"/>
  <c r="F7" i="5"/>
  <c r="E7" i="5"/>
  <c r="D7" i="5"/>
  <c r="C7" i="5"/>
  <c r="B7" i="5"/>
  <c r="A7" i="5"/>
  <c r="L4" i="5"/>
  <c r="L4" i="1" s="1"/>
  <c r="K4" i="5"/>
  <c r="K4" i="1" s="1"/>
  <c r="J4" i="5"/>
  <c r="J4" i="1" s="1"/>
  <c r="I4" i="5"/>
  <c r="I4" i="1" s="1"/>
  <c r="H4" i="5"/>
  <c r="H4" i="1" s="1"/>
  <c r="G4" i="5"/>
  <c r="G4" i="1" s="1"/>
  <c r="F4" i="5"/>
  <c r="F4" i="1" s="1"/>
  <c r="E4" i="5"/>
  <c r="E4" i="1" s="1"/>
  <c r="D4" i="5"/>
  <c r="D4" i="1" s="1"/>
  <c r="C4" i="5"/>
  <c r="C4" i="1" s="1"/>
  <c r="B4" i="5"/>
  <c r="B4" i="1" s="1"/>
  <c r="A4" i="5"/>
  <c r="A4" i="1" s="1"/>
  <c r="BD250" i="5"/>
  <c r="CT250" i="5" s="1"/>
  <c r="BD249" i="5"/>
  <c r="CT249" i="5" s="1"/>
  <c r="BD248" i="5"/>
  <c r="CT248" i="5" s="1"/>
  <c r="BD247" i="5"/>
  <c r="BD246" i="5"/>
  <c r="BD245" i="5"/>
  <c r="BD244" i="5"/>
  <c r="BD243" i="5"/>
  <c r="BD242" i="5"/>
  <c r="BD241" i="5"/>
  <c r="CT241" i="5" s="1"/>
  <c r="CT240" i="5"/>
  <c r="BD236" i="5"/>
  <c r="CT236" i="5" s="1"/>
  <c r="BD235" i="5"/>
  <c r="CT235" i="5" s="1"/>
  <c r="BD234" i="5"/>
  <c r="CT234" i="5" s="1"/>
  <c r="BD233" i="5"/>
  <c r="CT233" i="5" s="1"/>
  <c r="BD232" i="5"/>
  <c r="CT232" i="5" s="1"/>
  <c r="BD231" i="5"/>
  <c r="CT231" i="5" s="1"/>
  <c r="BD230" i="5"/>
  <c r="CT230" i="5" s="1"/>
  <c r="BD229" i="5"/>
  <c r="BD228" i="5"/>
  <c r="BD227" i="5"/>
  <c r="CT227" i="5" s="1"/>
  <c r="BD226" i="5"/>
  <c r="BD225" i="5"/>
  <c r="BD224" i="5"/>
  <c r="BD223" i="5"/>
  <c r="CT223" i="5" s="1"/>
  <c r="BD222" i="5"/>
  <c r="BD221" i="5"/>
  <c r="BD220" i="5"/>
  <c r="BD219" i="5"/>
  <c r="CT219" i="5" s="1"/>
  <c r="BD218" i="5"/>
  <c r="CT218" i="5" s="1"/>
  <c r="BD217" i="5"/>
  <c r="CT217" i="5" s="1"/>
  <c r="BD216" i="5"/>
  <c r="BD215" i="5"/>
  <c r="BD214" i="5"/>
  <c r="CT214" i="5" s="1"/>
  <c r="BD213" i="5"/>
  <c r="BD212" i="5"/>
  <c r="BD211" i="5"/>
  <c r="BD210" i="5"/>
  <c r="BD209" i="5"/>
  <c r="CT209" i="5" s="1"/>
  <c r="BD208" i="5"/>
  <c r="BD207" i="5"/>
  <c r="BD206" i="5"/>
  <c r="BD205" i="5"/>
  <c r="CT205" i="5" s="1"/>
  <c r="BD204" i="5"/>
  <c r="BD203" i="5"/>
  <c r="BD202" i="5"/>
  <c r="BD201" i="5"/>
  <c r="BD200" i="5"/>
  <c r="BD199" i="5"/>
  <c r="BD198" i="5"/>
  <c r="BD197" i="5"/>
  <c r="BD196" i="5"/>
  <c r="BD195" i="5"/>
  <c r="BD194" i="5"/>
  <c r="BD193" i="5"/>
  <c r="CT193" i="5" s="1"/>
  <c r="BD192" i="5"/>
  <c r="BD191" i="5"/>
  <c r="BD190" i="5"/>
  <c r="BD189" i="5"/>
  <c r="BD188" i="5"/>
  <c r="BD187" i="5"/>
  <c r="CT187" i="5" s="1"/>
  <c r="BD186" i="5"/>
  <c r="BD185" i="5"/>
  <c r="BD184" i="5"/>
  <c r="BD183" i="5"/>
  <c r="BD182" i="5"/>
  <c r="CT182" i="5" s="1"/>
  <c r="BD181" i="5"/>
  <c r="BD180" i="5"/>
  <c r="BD179" i="5"/>
  <c r="BD178" i="5"/>
  <c r="CT178" i="5" s="1"/>
  <c r="BD177" i="5"/>
  <c r="BD176" i="5"/>
  <c r="BD175" i="5"/>
  <c r="BD174" i="5"/>
  <c r="BD173" i="5"/>
  <c r="BD172" i="5"/>
  <c r="CT172" i="5" s="1"/>
  <c r="BD171" i="5"/>
  <c r="BD170" i="5"/>
  <c r="BD169" i="5"/>
  <c r="BD168" i="5"/>
  <c r="BD167" i="5"/>
  <c r="BD166" i="5"/>
  <c r="BD165" i="5"/>
  <c r="BD164" i="5"/>
  <c r="CT164" i="5" s="1"/>
  <c r="BD163" i="5"/>
  <c r="CT163" i="5" s="1"/>
  <c r="BD162" i="5"/>
  <c r="BD161" i="5"/>
  <c r="BD160" i="5"/>
  <c r="BD159" i="5"/>
  <c r="BD158" i="5"/>
  <c r="BD157" i="5"/>
  <c r="CT157" i="5" s="1"/>
  <c r="BD156" i="5"/>
  <c r="CT156" i="5" s="1"/>
  <c r="BD155" i="5"/>
  <c r="CT155" i="5" s="1"/>
  <c r="BD154" i="5"/>
  <c r="BD153" i="5"/>
  <c r="BD152" i="5"/>
  <c r="BD151" i="5"/>
  <c r="BD150" i="5"/>
  <c r="CT150" i="5" s="1"/>
  <c r="BD149" i="5"/>
  <c r="BD148" i="5"/>
  <c r="BD147" i="5"/>
  <c r="BD146" i="5"/>
  <c r="CT146" i="5" s="1"/>
  <c r="BD145" i="5"/>
  <c r="BD144" i="5"/>
  <c r="BD143" i="5"/>
  <c r="BD142" i="5"/>
  <c r="BD141" i="5"/>
  <c r="BD140" i="5"/>
  <c r="BD139" i="5"/>
  <c r="BD138" i="5"/>
  <c r="CT138" i="5" s="1"/>
  <c r="BD137" i="5"/>
  <c r="BD136" i="5"/>
  <c r="BD135" i="5"/>
  <c r="BD134" i="5"/>
  <c r="BD133" i="5"/>
  <c r="CT133" i="5" s="1"/>
  <c r="BD132" i="5"/>
  <c r="BD131" i="5"/>
  <c r="BD130" i="5"/>
  <c r="BD129" i="5"/>
  <c r="CT129" i="5" s="1"/>
  <c r="BD128" i="5"/>
  <c r="BD127" i="5"/>
  <c r="BD126" i="5"/>
  <c r="BD125" i="5"/>
  <c r="BD124" i="5"/>
  <c r="BD123" i="5"/>
  <c r="BD122" i="5"/>
  <c r="BD121" i="5"/>
  <c r="BD120" i="5"/>
  <c r="BD119" i="5"/>
  <c r="BD118" i="5"/>
  <c r="BD117" i="5"/>
  <c r="BD116" i="5"/>
  <c r="CT116" i="5" s="1"/>
  <c r="CT115" i="5"/>
  <c r="BD114" i="5"/>
  <c r="CT114" i="5" s="1"/>
  <c r="BD113" i="5"/>
  <c r="BD112" i="5"/>
  <c r="BD111" i="5"/>
  <c r="BD110" i="5"/>
  <c r="BD109" i="5"/>
  <c r="BD108" i="5"/>
  <c r="BD107" i="5"/>
  <c r="BD106" i="5"/>
  <c r="BD105" i="5"/>
  <c r="BD104" i="5"/>
  <c r="CT104" i="5" s="1"/>
  <c r="BD103" i="5"/>
  <c r="CT103" i="5" s="1"/>
  <c r="BD102" i="5"/>
  <c r="BD101" i="5"/>
  <c r="BD100" i="5"/>
  <c r="BD99" i="5"/>
  <c r="BD98" i="5"/>
  <c r="BD97" i="5"/>
  <c r="BD96" i="5"/>
  <c r="BD95" i="5"/>
  <c r="BD94" i="5"/>
  <c r="BD93" i="5"/>
  <c r="BD92" i="5"/>
  <c r="BD91" i="5"/>
  <c r="BD90" i="5"/>
  <c r="CT90" i="5" s="1"/>
  <c r="BD89" i="5"/>
  <c r="BD88" i="5"/>
  <c r="BD87" i="5"/>
  <c r="CT87" i="5" s="1"/>
  <c r="BD86" i="5"/>
  <c r="BD85" i="5"/>
  <c r="BD84" i="5"/>
  <c r="BD83" i="5"/>
  <c r="BD82" i="5"/>
  <c r="BD81" i="5"/>
  <c r="BD80" i="5"/>
  <c r="BD79" i="5"/>
  <c r="BD78" i="5"/>
  <c r="BD77" i="5"/>
  <c r="BD76" i="5"/>
  <c r="CT76" i="5" s="1"/>
  <c r="BD75" i="5"/>
  <c r="CT75" i="5" s="1"/>
  <c r="BD74" i="5"/>
  <c r="CT74" i="5" s="1"/>
  <c r="BD73" i="5"/>
  <c r="CT73" i="5" s="1"/>
  <c r="BD72" i="5"/>
  <c r="BD71" i="5"/>
  <c r="CT71" i="5" s="1"/>
  <c r="BD70" i="5"/>
  <c r="CT70" i="5" s="1"/>
  <c r="BD69" i="5"/>
  <c r="BD68" i="5"/>
  <c r="BD67" i="5"/>
  <c r="BD66" i="5"/>
  <c r="BD65" i="5"/>
  <c r="BD64" i="5"/>
  <c r="BD63" i="5"/>
  <c r="BD62" i="5"/>
  <c r="BD61" i="5"/>
  <c r="BD60" i="5"/>
  <c r="CT60" i="5" s="1"/>
  <c r="BD59" i="5"/>
  <c r="CT59" i="5" s="1"/>
  <c r="BD58" i="5"/>
  <c r="CT58" i="5" s="1"/>
  <c r="BD57" i="5"/>
  <c r="CT57" i="5" s="1"/>
  <c r="BD56" i="5"/>
  <c r="CT56" i="5" s="1"/>
  <c r="BD55" i="5"/>
  <c r="BD54" i="5"/>
  <c r="CT54" i="5" s="1"/>
  <c r="BD53" i="5"/>
  <c r="CT53" i="5" s="1"/>
  <c r="BD52" i="5"/>
  <c r="CT52" i="5" s="1"/>
  <c r="BD51" i="5"/>
  <c r="BD50" i="5"/>
  <c r="CT50" i="5" s="1"/>
  <c r="BD49" i="5"/>
  <c r="CT49" i="5" s="1"/>
  <c r="BD48" i="5"/>
  <c r="CT48" i="5" s="1"/>
  <c r="BD47" i="5"/>
  <c r="CT47" i="5" s="1"/>
  <c r="BD46" i="5"/>
  <c r="BD45" i="5"/>
  <c r="BD44" i="5"/>
  <c r="BD43" i="5"/>
  <c r="CT43" i="5" s="1"/>
  <c r="BD42" i="5"/>
  <c r="BD41" i="5"/>
  <c r="BD40" i="5"/>
  <c r="BD39" i="5"/>
  <c r="BD38" i="5"/>
  <c r="CT38" i="5" s="1"/>
  <c r="CT37" i="5"/>
  <c r="BD36" i="5"/>
  <c r="BD35" i="5"/>
  <c r="BD34" i="5"/>
  <c r="BD33" i="5"/>
  <c r="BD32" i="5"/>
  <c r="BD31" i="5"/>
  <c r="BD30" i="5"/>
  <c r="CT30" i="5" s="1"/>
  <c r="BD29" i="5"/>
  <c r="CT29" i="5" s="1"/>
  <c r="BD28" i="5"/>
  <c r="CT28" i="5" s="1"/>
  <c r="BD27" i="5"/>
  <c r="CT27" i="5" s="1"/>
  <c r="BD26" i="5"/>
  <c r="BD25" i="5"/>
  <c r="BD24" i="5"/>
  <c r="BD23" i="5"/>
  <c r="CT23" i="5" s="1"/>
  <c r="BD22" i="5"/>
  <c r="CT22" i="5" s="1"/>
  <c r="BD21" i="5"/>
  <c r="BD20" i="5"/>
  <c r="BD19" i="5"/>
  <c r="BD18" i="5"/>
  <c r="CT18" i="5" s="1"/>
  <c r="BD17" i="5"/>
  <c r="CT17" i="5" s="1"/>
  <c r="BD16" i="5"/>
  <c r="BD15" i="5"/>
  <c r="BD14" i="5"/>
  <c r="BD13" i="5"/>
  <c r="CT13" i="5" s="1"/>
  <c r="BD8" i="5"/>
  <c r="CT8" i="5" s="1"/>
  <c r="BD7" i="5"/>
  <c r="BD6" i="5"/>
  <c r="CT6" i="5" s="1"/>
  <c r="BD5" i="5"/>
  <c r="CT5" i="5" s="1"/>
  <c r="BD4" i="5"/>
  <c r="BD3" i="5"/>
  <c r="CT3" i="5" s="1"/>
  <c r="BD1" i="5"/>
  <c r="CT1" i="5" s="1"/>
  <c r="BD250" i="6"/>
  <c r="CT250" i="6" s="1"/>
  <c r="EJ250" i="6" s="1"/>
  <c r="CT249" i="6"/>
  <c r="EJ249" i="6" s="1"/>
  <c r="BD248" i="6"/>
  <c r="CT248" i="6" s="1"/>
  <c r="EJ248" i="6" s="1"/>
  <c r="BD247" i="6"/>
  <c r="L247" i="6"/>
  <c r="K247" i="6"/>
  <c r="J247" i="6"/>
  <c r="I247" i="6"/>
  <c r="H247" i="6"/>
  <c r="G247" i="6"/>
  <c r="F247" i="6"/>
  <c r="E247" i="6"/>
  <c r="D247" i="6"/>
  <c r="C247" i="6"/>
  <c r="B247" i="6"/>
  <c r="A247" i="6"/>
  <c r="BD246" i="6"/>
  <c r="L246" i="6"/>
  <c r="K246" i="6"/>
  <c r="J246" i="6"/>
  <c r="I246" i="6"/>
  <c r="H246" i="6"/>
  <c r="G246" i="6"/>
  <c r="F246" i="6"/>
  <c r="E246" i="6"/>
  <c r="D246" i="6"/>
  <c r="C246" i="6"/>
  <c r="B246" i="6"/>
  <c r="A246" i="6"/>
  <c r="BD245" i="6"/>
  <c r="L245" i="6"/>
  <c r="K245" i="6"/>
  <c r="J245" i="6"/>
  <c r="I245" i="6"/>
  <c r="H245" i="6"/>
  <c r="G245" i="6"/>
  <c r="F245" i="6"/>
  <c r="E245" i="6"/>
  <c r="D245" i="6"/>
  <c r="C245" i="6"/>
  <c r="B245" i="6"/>
  <c r="A245" i="6"/>
  <c r="BD244" i="6"/>
  <c r="L244" i="6"/>
  <c r="K244" i="6"/>
  <c r="J244" i="6"/>
  <c r="I244" i="6"/>
  <c r="H244" i="6"/>
  <c r="G244" i="6"/>
  <c r="F244" i="6"/>
  <c r="E244" i="6"/>
  <c r="D244" i="6"/>
  <c r="C244" i="6"/>
  <c r="B244" i="6"/>
  <c r="A244" i="6"/>
  <c r="BD243" i="6"/>
  <c r="L243" i="6"/>
  <c r="K243" i="6"/>
  <c r="J243" i="6"/>
  <c r="I243" i="6"/>
  <c r="H243" i="6"/>
  <c r="G243" i="6"/>
  <c r="F243" i="6"/>
  <c r="E243" i="6"/>
  <c r="D243" i="6"/>
  <c r="C243" i="6"/>
  <c r="B243" i="6"/>
  <c r="A243" i="6"/>
  <c r="BD242" i="6"/>
  <c r="L242" i="6"/>
  <c r="K242" i="6"/>
  <c r="J242" i="6"/>
  <c r="I242" i="6"/>
  <c r="H242" i="6"/>
  <c r="G242" i="6"/>
  <c r="F242" i="6"/>
  <c r="E242" i="6"/>
  <c r="D242" i="6"/>
  <c r="C242" i="6"/>
  <c r="B242" i="6"/>
  <c r="A242" i="6"/>
  <c r="BD241" i="6"/>
  <c r="CT241" i="6" s="1"/>
  <c r="EJ241" i="6" s="1"/>
  <c r="CT240" i="6"/>
  <c r="EJ240" i="6" s="1"/>
  <c r="AN239" i="6"/>
  <c r="AM239" i="6"/>
  <c r="AL239" i="6"/>
  <c r="AK239" i="6"/>
  <c r="AJ239" i="6"/>
  <c r="AI239" i="6"/>
  <c r="AH239" i="6"/>
  <c r="AG239" i="6"/>
  <c r="AF239" i="6"/>
  <c r="AE239" i="6"/>
  <c r="AD239" i="6"/>
  <c r="AC239" i="6"/>
  <c r="Z239" i="6"/>
  <c r="Y239" i="6"/>
  <c r="X239" i="6"/>
  <c r="AB239" i="6" s="1"/>
  <c r="W239" i="6"/>
  <c r="V239" i="6"/>
  <c r="U239" i="6"/>
  <c r="T239" i="6"/>
  <c r="S239" i="6"/>
  <c r="R239" i="6"/>
  <c r="Q239" i="6"/>
  <c r="P239" i="6"/>
  <c r="O239" i="6"/>
  <c r="L239" i="6"/>
  <c r="K239" i="6"/>
  <c r="J239" i="6"/>
  <c r="I239" i="6"/>
  <c r="H239" i="6"/>
  <c r="G239" i="6"/>
  <c r="F239" i="6"/>
  <c r="E239" i="6"/>
  <c r="D239" i="6"/>
  <c r="C239" i="6"/>
  <c r="B239" i="6"/>
  <c r="A239" i="6"/>
  <c r="AN238" i="6"/>
  <c r="AM238" i="6"/>
  <c r="AL238" i="6"/>
  <c r="AK238" i="6"/>
  <c r="AJ238" i="6"/>
  <c r="AI238" i="6"/>
  <c r="AH238" i="6"/>
  <c r="AG238" i="6"/>
  <c r="AF238" i="6"/>
  <c r="AE238" i="6"/>
  <c r="AD238" i="6"/>
  <c r="AC238" i="6"/>
  <c r="Z238" i="6"/>
  <c r="Y238" i="6"/>
  <c r="X238" i="6"/>
  <c r="W238" i="6"/>
  <c r="V238" i="6"/>
  <c r="U238" i="6"/>
  <c r="T238" i="6"/>
  <c r="S238" i="6"/>
  <c r="R238" i="6"/>
  <c r="Q238" i="6"/>
  <c r="P238" i="6"/>
  <c r="O238" i="6"/>
  <c r="L238" i="6"/>
  <c r="K238" i="6"/>
  <c r="J238" i="6"/>
  <c r="I238" i="6"/>
  <c r="H238" i="6"/>
  <c r="G238" i="6"/>
  <c r="F238" i="6"/>
  <c r="E238" i="6"/>
  <c r="D238" i="6"/>
  <c r="C238" i="6"/>
  <c r="B238" i="6"/>
  <c r="A238" i="6"/>
  <c r="AN237" i="6"/>
  <c r="AM237" i="6"/>
  <c r="AL237" i="6"/>
  <c r="AK237" i="6"/>
  <c r="AJ237" i="6"/>
  <c r="AI237" i="6"/>
  <c r="AH237" i="6"/>
  <c r="AG237" i="6"/>
  <c r="AF237" i="6"/>
  <c r="AE237" i="6"/>
  <c r="AD237" i="6"/>
  <c r="AC237" i="6"/>
  <c r="Z237" i="6"/>
  <c r="Y237" i="6"/>
  <c r="X237" i="6"/>
  <c r="AB237" i="6" s="1"/>
  <c r="W237" i="6"/>
  <c r="V237" i="6"/>
  <c r="U237" i="6"/>
  <c r="T237" i="6"/>
  <c r="S237" i="6"/>
  <c r="R237" i="6"/>
  <c r="Q237" i="6"/>
  <c r="P237" i="6"/>
  <c r="O237" i="6"/>
  <c r="L237" i="6"/>
  <c r="K237" i="6"/>
  <c r="J237" i="6"/>
  <c r="I237" i="6"/>
  <c r="H237" i="6"/>
  <c r="G237" i="6"/>
  <c r="F237" i="6"/>
  <c r="E237" i="6"/>
  <c r="D237" i="6"/>
  <c r="C237" i="6"/>
  <c r="B237" i="6"/>
  <c r="A237" i="6"/>
  <c r="BD236" i="6"/>
  <c r="CT236" i="6" s="1"/>
  <c r="EJ236" i="6" s="1"/>
  <c r="BD235" i="6"/>
  <c r="CT235" i="6" s="1"/>
  <c r="EJ235" i="6" s="1"/>
  <c r="BD234" i="6"/>
  <c r="CT234" i="6" s="1"/>
  <c r="EJ234" i="6" s="1"/>
  <c r="BD233" i="6"/>
  <c r="CT233" i="6" s="1"/>
  <c r="EJ233" i="6" s="1"/>
  <c r="BD232" i="6"/>
  <c r="CT232" i="6" s="1"/>
  <c r="EJ232" i="6" s="1"/>
  <c r="BD231" i="6"/>
  <c r="CT231" i="6" s="1"/>
  <c r="EJ231" i="6" s="1"/>
  <c r="BD230" i="6"/>
  <c r="CT230" i="6" s="1"/>
  <c r="EJ230" i="6" s="1"/>
  <c r="BD229" i="6"/>
  <c r="L229" i="6"/>
  <c r="K229" i="6"/>
  <c r="J229" i="6"/>
  <c r="I229" i="6"/>
  <c r="H229" i="6"/>
  <c r="G229" i="6"/>
  <c r="F229" i="6"/>
  <c r="E229" i="6"/>
  <c r="D229" i="6"/>
  <c r="C229" i="6"/>
  <c r="B229" i="6"/>
  <c r="A229" i="6"/>
  <c r="BD228" i="6"/>
  <c r="L228" i="6"/>
  <c r="K228" i="6"/>
  <c r="J228" i="6"/>
  <c r="I228" i="6"/>
  <c r="H228" i="6"/>
  <c r="G228" i="6"/>
  <c r="F228" i="6"/>
  <c r="E228" i="6"/>
  <c r="D228" i="6"/>
  <c r="C228" i="6"/>
  <c r="B228" i="6"/>
  <c r="A228" i="6"/>
  <c r="BD227" i="6"/>
  <c r="CT227" i="6" s="1"/>
  <c r="EJ227" i="6" s="1"/>
  <c r="BD226" i="6"/>
  <c r="L226" i="6"/>
  <c r="K226" i="6"/>
  <c r="J226" i="6"/>
  <c r="I226" i="6"/>
  <c r="H226" i="6"/>
  <c r="G226" i="6"/>
  <c r="F226" i="6"/>
  <c r="E226" i="6"/>
  <c r="D226" i="6"/>
  <c r="C226" i="6"/>
  <c r="B226" i="6"/>
  <c r="A226" i="6"/>
  <c r="BD225" i="6"/>
  <c r="L225" i="6"/>
  <c r="K225" i="6"/>
  <c r="J225" i="6"/>
  <c r="I225" i="6"/>
  <c r="H225" i="6"/>
  <c r="G225" i="6"/>
  <c r="F225" i="6"/>
  <c r="E225" i="6"/>
  <c r="D225" i="6"/>
  <c r="C225" i="6"/>
  <c r="B225" i="6"/>
  <c r="A225" i="6"/>
  <c r="BD224" i="6"/>
  <c r="L224" i="6"/>
  <c r="K224" i="6"/>
  <c r="J224" i="6"/>
  <c r="I224" i="6"/>
  <c r="H224" i="6"/>
  <c r="G224" i="6"/>
  <c r="F224" i="6"/>
  <c r="E224" i="6"/>
  <c r="D224" i="6"/>
  <c r="C224" i="6"/>
  <c r="B224" i="6"/>
  <c r="A224" i="6"/>
  <c r="BD223" i="6"/>
  <c r="CT223" i="6" s="1"/>
  <c r="EJ223" i="6" s="1"/>
  <c r="BD222" i="6"/>
  <c r="L222" i="6"/>
  <c r="K222" i="6"/>
  <c r="J222" i="6"/>
  <c r="I222" i="6"/>
  <c r="H222" i="6"/>
  <c r="G222" i="6"/>
  <c r="F222" i="6"/>
  <c r="E222" i="6"/>
  <c r="D222" i="6"/>
  <c r="C222" i="6"/>
  <c r="B222" i="6"/>
  <c r="A222" i="6"/>
  <c r="BD221" i="6"/>
  <c r="AN221" i="6"/>
  <c r="AM221" i="6"/>
  <c r="AL221" i="6"/>
  <c r="AK221" i="6"/>
  <c r="AJ221" i="6"/>
  <c r="AI221" i="6"/>
  <c r="AH221" i="6"/>
  <c r="AG221" i="6"/>
  <c r="AF221" i="6"/>
  <c r="AE221" i="6"/>
  <c r="AD221" i="6"/>
  <c r="AC221" i="6"/>
  <c r="L221" i="6"/>
  <c r="K221" i="6"/>
  <c r="J221" i="6"/>
  <c r="I221" i="6"/>
  <c r="H221" i="6"/>
  <c r="G221" i="6"/>
  <c r="F221" i="6"/>
  <c r="E221" i="6"/>
  <c r="D221" i="6"/>
  <c r="C221" i="6"/>
  <c r="B221" i="6"/>
  <c r="A221" i="6"/>
  <c r="BD220" i="6"/>
  <c r="L220" i="6"/>
  <c r="K220" i="6"/>
  <c r="J220" i="6"/>
  <c r="I220" i="6"/>
  <c r="H220" i="6"/>
  <c r="G220" i="6"/>
  <c r="F220" i="6"/>
  <c r="E220" i="6"/>
  <c r="D220" i="6"/>
  <c r="C220" i="6"/>
  <c r="B220" i="6"/>
  <c r="A220" i="6"/>
  <c r="BD219" i="6"/>
  <c r="CT219" i="6" s="1"/>
  <c r="EJ219" i="6" s="1"/>
  <c r="BD218" i="6"/>
  <c r="CT218" i="6" s="1"/>
  <c r="EJ218" i="6" s="1"/>
  <c r="BD217" i="6"/>
  <c r="CT217" i="6" s="1"/>
  <c r="EJ217" i="6" s="1"/>
  <c r="AN217" i="6"/>
  <c r="AM217" i="6"/>
  <c r="AL217" i="6"/>
  <c r="AK217" i="6"/>
  <c r="AJ217" i="6"/>
  <c r="AI217" i="6"/>
  <c r="AH217" i="6"/>
  <c r="AG217" i="6"/>
  <c r="AF217" i="6"/>
  <c r="AE217" i="6"/>
  <c r="AD217" i="6"/>
  <c r="AC217" i="6"/>
  <c r="Z217" i="6"/>
  <c r="Y217" i="6"/>
  <c r="X217" i="6"/>
  <c r="AB217" i="6" s="1"/>
  <c r="W217" i="6"/>
  <c r="V217" i="6"/>
  <c r="U217" i="6"/>
  <c r="T217" i="6"/>
  <c r="S217" i="6"/>
  <c r="R217" i="6"/>
  <c r="Q217" i="6"/>
  <c r="P217" i="6"/>
  <c r="O217" i="6"/>
  <c r="L217" i="6"/>
  <c r="K217" i="6"/>
  <c r="J217" i="6"/>
  <c r="I217" i="6"/>
  <c r="H217" i="6"/>
  <c r="G217" i="6"/>
  <c r="F217" i="6"/>
  <c r="E217" i="6"/>
  <c r="D217" i="6"/>
  <c r="C217" i="6"/>
  <c r="B217" i="6"/>
  <c r="A217" i="6"/>
  <c r="BD216" i="6"/>
  <c r="L216" i="6"/>
  <c r="K216" i="6"/>
  <c r="J216" i="6"/>
  <c r="I216" i="6"/>
  <c r="H216" i="6"/>
  <c r="G216" i="6"/>
  <c r="F216" i="6"/>
  <c r="E216" i="6"/>
  <c r="D216" i="6"/>
  <c r="C216" i="6"/>
  <c r="B216" i="6"/>
  <c r="A216" i="6"/>
  <c r="BD215" i="6"/>
  <c r="L215" i="6"/>
  <c r="K215" i="6"/>
  <c r="J215" i="6"/>
  <c r="I215" i="6"/>
  <c r="H215" i="6"/>
  <c r="G215" i="6"/>
  <c r="F215" i="6"/>
  <c r="E215" i="6"/>
  <c r="D215" i="6"/>
  <c r="C215" i="6"/>
  <c r="B215" i="6"/>
  <c r="A215" i="6"/>
  <c r="BD214" i="6"/>
  <c r="CT214" i="6" s="1"/>
  <c r="EJ214" i="6" s="1"/>
  <c r="BD213" i="6"/>
  <c r="L213" i="6"/>
  <c r="K213" i="6"/>
  <c r="J213" i="6"/>
  <c r="I213" i="6"/>
  <c r="H213" i="6"/>
  <c r="G213" i="6"/>
  <c r="F213" i="6"/>
  <c r="E213" i="6"/>
  <c r="D213" i="6"/>
  <c r="C213" i="6"/>
  <c r="B213" i="6"/>
  <c r="A213" i="6"/>
  <c r="BD212" i="6"/>
  <c r="L212" i="6"/>
  <c r="K212" i="6"/>
  <c r="J212" i="6"/>
  <c r="I212" i="6"/>
  <c r="H212" i="6"/>
  <c r="G212" i="6"/>
  <c r="F212" i="6"/>
  <c r="E212" i="6"/>
  <c r="D212" i="6"/>
  <c r="C212" i="6"/>
  <c r="B212" i="6"/>
  <c r="A212" i="6"/>
  <c r="BD211" i="6"/>
  <c r="L211" i="6"/>
  <c r="K211" i="6"/>
  <c r="J211" i="6"/>
  <c r="I211" i="6"/>
  <c r="H211" i="6"/>
  <c r="G211" i="6"/>
  <c r="F211" i="6"/>
  <c r="E211" i="6"/>
  <c r="D211" i="6"/>
  <c r="C211" i="6"/>
  <c r="B211" i="6"/>
  <c r="A211" i="6"/>
  <c r="BD210" i="6"/>
  <c r="L210" i="6"/>
  <c r="K210" i="6"/>
  <c r="J210" i="6"/>
  <c r="I210" i="6"/>
  <c r="H210" i="6"/>
  <c r="G210" i="6"/>
  <c r="F210" i="6"/>
  <c r="E210" i="6"/>
  <c r="D210" i="6"/>
  <c r="C210" i="6"/>
  <c r="B210" i="6"/>
  <c r="A210" i="6"/>
  <c r="BD209" i="6"/>
  <c r="CT209" i="6" s="1"/>
  <c r="EJ209" i="6" s="1"/>
  <c r="BD208" i="6"/>
  <c r="L208" i="6"/>
  <c r="K208" i="6"/>
  <c r="J208" i="6"/>
  <c r="I208" i="6"/>
  <c r="H208" i="6"/>
  <c r="G208" i="6"/>
  <c r="F208" i="6"/>
  <c r="E208" i="6"/>
  <c r="D208" i="6"/>
  <c r="C208" i="6"/>
  <c r="B208" i="6"/>
  <c r="A208" i="6"/>
  <c r="BD207" i="6"/>
  <c r="L207" i="6"/>
  <c r="K207" i="6"/>
  <c r="J207" i="6"/>
  <c r="I207" i="6"/>
  <c r="H207" i="6"/>
  <c r="G207" i="6"/>
  <c r="F207" i="6"/>
  <c r="E207" i="6"/>
  <c r="D207" i="6"/>
  <c r="C207" i="6"/>
  <c r="B207" i="6"/>
  <c r="A207" i="6"/>
  <c r="BD206" i="6"/>
  <c r="L206" i="6"/>
  <c r="K206" i="6"/>
  <c r="J206" i="6"/>
  <c r="I206" i="6"/>
  <c r="H206" i="6"/>
  <c r="G206" i="6"/>
  <c r="F206" i="6"/>
  <c r="E206" i="6"/>
  <c r="D206" i="6"/>
  <c r="C206" i="6"/>
  <c r="B206" i="6"/>
  <c r="A206" i="6"/>
  <c r="BD205" i="6"/>
  <c r="CT205" i="6" s="1"/>
  <c r="EJ205" i="6" s="1"/>
  <c r="BD204" i="6"/>
  <c r="L204" i="6"/>
  <c r="K204" i="6"/>
  <c r="J204" i="6"/>
  <c r="I204" i="6"/>
  <c r="H204" i="6"/>
  <c r="G204" i="6"/>
  <c r="F204" i="6"/>
  <c r="E204" i="6"/>
  <c r="D204" i="6"/>
  <c r="C204" i="6"/>
  <c r="B204" i="6"/>
  <c r="A204" i="6"/>
  <c r="BD203" i="6"/>
  <c r="L203" i="6"/>
  <c r="K203" i="6"/>
  <c r="J203" i="6"/>
  <c r="I203" i="6"/>
  <c r="H203" i="6"/>
  <c r="G203" i="6"/>
  <c r="F203" i="6"/>
  <c r="E203" i="6"/>
  <c r="D203" i="6"/>
  <c r="C203" i="6"/>
  <c r="B203" i="6"/>
  <c r="A203" i="6"/>
  <c r="BD202" i="6"/>
  <c r="L202" i="6"/>
  <c r="K202" i="6"/>
  <c r="J202" i="6"/>
  <c r="I202" i="6"/>
  <c r="H202" i="6"/>
  <c r="G202" i="6"/>
  <c r="F202" i="6"/>
  <c r="E202" i="6"/>
  <c r="D202" i="6"/>
  <c r="C202" i="6"/>
  <c r="B202" i="6"/>
  <c r="A202" i="6"/>
  <c r="BD201" i="6"/>
  <c r="L201" i="6"/>
  <c r="K201" i="6"/>
  <c r="J201" i="6"/>
  <c r="I201" i="6"/>
  <c r="H201" i="6"/>
  <c r="G201" i="6"/>
  <c r="F201" i="6"/>
  <c r="E201" i="6"/>
  <c r="D201" i="6"/>
  <c r="C201" i="6"/>
  <c r="B201" i="6"/>
  <c r="A201" i="6"/>
  <c r="BD200" i="6"/>
  <c r="L200" i="6"/>
  <c r="K200" i="6"/>
  <c r="J200" i="6"/>
  <c r="I200" i="6"/>
  <c r="H200" i="6"/>
  <c r="G200" i="6"/>
  <c r="F200" i="6"/>
  <c r="E200" i="6"/>
  <c r="D200" i="6"/>
  <c r="C200" i="6"/>
  <c r="B200" i="6"/>
  <c r="A200" i="6"/>
  <c r="BD199" i="6"/>
  <c r="L199" i="6"/>
  <c r="K199" i="6"/>
  <c r="J199" i="6"/>
  <c r="I199" i="6"/>
  <c r="H199" i="6"/>
  <c r="G199" i="6"/>
  <c r="F199" i="6"/>
  <c r="E199" i="6"/>
  <c r="D199" i="6"/>
  <c r="C199" i="6"/>
  <c r="B199" i="6"/>
  <c r="A199" i="6"/>
  <c r="BD198" i="6"/>
  <c r="L198" i="6"/>
  <c r="K198" i="6"/>
  <c r="J198" i="6"/>
  <c r="I198" i="6"/>
  <c r="H198" i="6"/>
  <c r="G198" i="6"/>
  <c r="F198" i="6"/>
  <c r="E198" i="6"/>
  <c r="D198" i="6"/>
  <c r="C198" i="6"/>
  <c r="B198" i="6"/>
  <c r="A198" i="6"/>
  <c r="BD197" i="6"/>
  <c r="L197" i="6"/>
  <c r="K197" i="6"/>
  <c r="J197" i="6"/>
  <c r="I197" i="6"/>
  <c r="H197" i="6"/>
  <c r="G197" i="6"/>
  <c r="F197" i="6"/>
  <c r="E197" i="6"/>
  <c r="D197" i="6"/>
  <c r="C197" i="6"/>
  <c r="B197" i="6"/>
  <c r="A197" i="6"/>
  <c r="BD196" i="6"/>
  <c r="L196" i="6"/>
  <c r="K196" i="6"/>
  <c r="J196" i="6"/>
  <c r="I196" i="6"/>
  <c r="H196" i="6"/>
  <c r="G196" i="6"/>
  <c r="F196" i="6"/>
  <c r="E196" i="6"/>
  <c r="D196" i="6"/>
  <c r="C196" i="6"/>
  <c r="B196" i="6"/>
  <c r="A196" i="6"/>
  <c r="BD195" i="6"/>
  <c r="L195" i="6"/>
  <c r="K195" i="6"/>
  <c r="J195" i="6"/>
  <c r="I195" i="6"/>
  <c r="H195" i="6"/>
  <c r="G195" i="6"/>
  <c r="F195" i="6"/>
  <c r="E195" i="6"/>
  <c r="D195" i="6"/>
  <c r="C195" i="6"/>
  <c r="B195" i="6"/>
  <c r="A195" i="6"/>
  <c r="BD194" i="6"/>
  <c r="L194" i="6"/>
  <c r="K194" i="6"/>
  <c r="J194" i="6"/>
  <c r="I194" i="6"/>
  <c r="H194" i="6"/>
  <c r="G194" i="6"/>
  <c r="F194" i="6"/>
  <c r="E194" i="6"/>
  <c r="D194" i="6"/>
  <c r="C194" i="6"/>
  <c r="B194" i="6"/>
  <c r="A194" i="6"/>
  <c r="BD193" i="6"/>
  <c r="CT193" i="6" s="1"/>
  <c r="EJ193" i="6" s="1"/>
  <c r="BD192" i="6"/>
  <c r="L192" i="6"/>
  <c r="K192" i="6"/>
  <c r="J192" i="6"/>
  <c r="I192" i="6"/>
  <c r="H192" i="6"/>
  <c r="G192" i="6"/>
  <c r="F192" i="6"/>
  <c r="E192" i="6"/>
  <c r="D192" i="6"/>
  <c r="C192" i="6"/>
  <c r="B192" i="6"/>
  <c r="A192" i="6"/>
  <c r="BD191" i="6"/>
  <c r="L191" i="6"/>
  <c r="K191" i="6"/>
  <c r="J191" i="6"/>
  <c r="I191" i="6"/>
  <c r="H191" i="6"/>
  <c r="G191" i="6"/>
  <c r="F191" i="6"/>
  <c r="E191" i="6"/>
  <c r="D191" i="6"/>
  <c r="C191" i="6"/>
  <c r="B191" i="6"/>
  <c r="A191" i="6"/>
  <c r="BD190" i="6"/>
  <c r="L190" i="6"/>
  <c r="K190" i="6"/>
  <c r="J190" i="6"/>
  <c r="I190" i="6"/>
  <c r="H190" i="6"/>
  <c r="G190" i="6"/>
  <c r="F190" i="6"/>
  <c r="E190" i="6"/>
  <c r="D190" i="6"/>
  <c r="C190" i="6"/>
  <c r="B190" i="6"/>
  <c r="A190" i="6"/>
  <c r="BD189" i="6"/>
  <c r="L189" i="6"/>
  <c r="K189" i="6"/>
  <c r="J189" i="6"/>
  <c r="I189" i="6"/>
  <c r="H189" i="6"/>
  <c r="G189" i="6"/>
  <c r="F189" i="6"/>
  <c r="E189" i="6"/>
  <c r="D189" i="6"/>
  <c r="C189" i="6"/>
  <c r="B189" i="6"/>
  <c r="A189" i="6"/>
  <c r="BD188" i="6"/>
  <c r="L188" i="6"/>
  <c r="K188" i="6"/>
  <c r="J188" i="6"/>
  <c r="I188" i="6"/>
  <c r="H188" i="6"/>
  <c r="G188" i="6"/>
  <c r="F188" i="6"/>
  <c r="E188" i="6"/>
  <c r="D188" i="6"/>
  <c r="C188" i="6"/>
  <c r="B188" i="6"/>
  <c r="A188" i="6"/>
  <c r="BD187" i="6"/>
  <c r="CT187" i="6" s="1"/>
  <c r="EJ187" i="6" s="1"/>
  <c r="BD186" i="6"/>
  <c r="L186" i="6"/>
  <c r="K186" i="6"/>
  <c r="J186" i="6"/>
  <c r="I186" i="6"/>
  <c r="H186" i="6"/>
  <c r="G186" i="6"/>
  <c r="F186" i="6"/>
  <c r="E186" i="6"/>
  <c r="D186" i="6"/>
  <c r="C186" i="6"/>
  <c r="B186" i="6"/>
  <c r="A186" i="6"/>
  <c r="BD185" i="6"/>
  <c r="CT185" i="6" s="1"/>
  <c r="L185" i="6"/>
  <c r="K185" i="6"/>
  <c r="J185" i="6"/>
  <c r="I185" i="6"/>
  <c r="H185" i="6"/>
  <c r="G185" i="6"/>
  <c r="F185" i="6"/>
  <c r="E185" i="6"/>
  <c r="D185" i="6"/>
  <c r="C185" i="6"/>
  <c r="B185" i="6"/>
  <c r="A185" i="6"/>
  <c r="BD184" i="6"/>
  <c r="L184" i="6"/>
  <c r="K184" i="6"/>
  <c r="J184" i="6"/>
  <c r="I184" i="6"/>
  <c r="H184" i="6"/>
  <c r="G184" i="6"/>
  <c r="F184" i="6"/>
  <c r="E184" i="6"/>
  <c r="D184" i="6"/>
  <c r="C184" i="6"/>
  <c r="B184" i="6"/>
  <c r="A184" i="6"/>
  <c r="BD183" i="6"/>
  <c r="L183" i="6"/>
  <c r="K183" i="6"/>
  <c r="J183" i="6"/>
  <c r="I183" i="6"/>
  <c r="H183" i="6"/>
  <c r="G183" i="6"/>
  <c r="F183" i="6"/>
  <c r="E183" i="6"/>
  <c r="D183" i="6"/>
  <c r="C183" i="6"/>
  <c r="B183" i="6"/>
  <c r="A183" i="6"/>
  <c r="BD182" i="6"/>
  <c r="CT182" i="6" s="1"/>
  <c r="EJ182" i="6" s="1"/>
  <c r="BD181" i="6"/>
  <c r="L181" i="6"/>
  <c r="K181" i="6"/>
  <c r="J181" i="6"/>
  <c r="I181" i="6"/>
  <c r="H181" i="6"/>
  <c r="G181" i="6"/>
  <c r="F181" i="6"/>
  <c r="E181" i="6"/>
  <c r="D181" i="6"/>
  <c r="C181" i="6"/>
  <c r="B181" i="6"/>
  <c r="A181" i="6"/>
  <c r="BD180" i="6"/>
  <c r="L180" i="6"/>
  <c r="K180" i="6"/>
  <c r="J180" i="6"/>
  <c r="I180" i="6"/>
  <c r="H180" i="6"/>
  <c r="G180" i="6"/>
  <c r="F180" i="6"/>
  <c r="E180" i="6"/>
  <c r="D180" i="6"/>
  <c r="C180" i="6"/>
  <c r="B180" i="6"/>
  <c r="A180" i="6"/>
  <c r="BD179" i="6"/>
  <c r="L179" i="6"/>
  <c r="K179" i="6"/>
  <c r="J179" i="6"/>
  <c r="I179" i="6"/>
  <c r="H179" i="6"/>
  <c r="G179" i="6"/>
  <c r="F179" i="6"/>
  <c r="E179" i="6"/>
  <c r="D179" i="6"/>
  <c r="C179" i="6"/>
  <c r="B179" i="6"/>
  <c r="A179" i="6"/>
  <c r="BD178" i="6"/>
  <c r="CT178" i="6" s="1"/>
  <c r="EJ178" i="6" s="1"/>
  <c r="BD177" i="6"/>
  <c r="L177" i="6"/>
  <c r="K177" i="6"/>
  <c r="J177" i="6"/>
  <c r="I177" i="6"/>
  <c r="H177" i="6"/>
  <c r="G177" i="6"/>
  <c r="F177" i="6"/>
  <c r="E177" i="6"/>
  <c r="D177" i="6"/>
  <c r="C177" i="6"/>
  <c r="B177" i="6"/>
  <c r="A177" i="6"/>
  <c r="BD176" i="6"/>
  <c r="L176" i="6"/>
  <c r="K176" i="6"/>
  <c r="J176" i="6"/>
  <c r="I176" i="6"/>
  <c r="H176" i="6"/>
  <c r="G176" i="6"/>
  <c r="F176" i="6"/>
  <c r="E176" i="6"/>
  <c r="D176" i="6"/>
  <c r="C176" i="6"/>
  <c r="B176" i="6"/>
  <c r="A176" i="6"/>
  <c r="BD175" i="6"/>
  <c r="L175" i="6"/>
  <c r="K175" i="6"/>
  <c r="J175" i="6"/>
  <c r="I175" i="6"/>
  <c r="H175" i="6"/>
  <c r="G175" i="6"/>
  <c r="F175" i="6"/>
  <c r="E175" i="6"/>
  <c r="D175" i="6"/>
  <c r="C175" i="6"/>
  <c r="B175" i="6"/>
  <c r="A175" i="6"/>
  <c r="BD174" i="6"/>
  <c r="L174" i="6"/>
  <c r="K174" i="6"/>
  <c r="J174" i="6"/>
  <c r="I174" i="6"/>
  <c r="H174" i="6"/>
  <c r="G174" i="6"/>
  <c r="F174" i="6"/>
  <c r="E174" i="6"/>
  <c r="D174" i="6"/>
  <c r="C174" i="6"/>
  <c r="B174" i="6"/>
  <c r="A174" i="6"/>
  <c r="BD173" i="6"/>
  <c r="L173" i="6"/>
  <c r="K173" i="6"/>
  <c r="J173" i="6"/>
  <c r="I173" i="6"/>
  <c r="H173" i="6"/>
  <c r="G173" i="6"/>
  <c r="F173" i="6"/>
  <c r="E173" i="6"/>
  <c r="D173" i="6"/>
  <c r="C173" i="6"/>
  <c r="B173" i="6"/>
  <c r="A173" i="6"/>
  <c r="BD172" i="6"/>
  <c r="CT172" i="6" s="1"/>
  <c r="EJ172" i="6" s="1"/>
  <c r="BD171" i="6"/>
  <c r="L171" i="6"/>
  <c r="K171" i="6"/>
  <c r="J171" i="6"/>
  <c r="I171" i="6"/>
  <c r="H171" i="6"/>
  <c r="G171" i="6"/>
  <c r="F171" i="6"/>
  <c r="E171" i="6"/>
  <c r="D171" i="6"/>
  <c r="C171" i="6"/>
  <c r="B171" i="6"/>
  <c r="A171" i="6"/>
  <c r="BD170" i="6"/>
  <c r="L170" i="6"/>
  <c r="K170" i="6"/>
  <c r="J170" i="6"/>
  <c r="I170" i="6"/>
  <c r="H170" i="6"/>
  <c r="G170" i="6"/>
  <c r="F170" i="6"/>
  <c r="E170" i="6"/>
  <c r="D170" i="6"/>
  <c r="C170" i="6"/>
  <c r="B170" i="6"/>
  <c r="A170" i="6"/>
  <c r="BD169" i="6"/>
  <c r="L169" i="6"/>
  <c r="K169" i="6"/>
  <c r="J169" i="6"/>
  <c r="I169" i="6"/>
  <c r="H169" i="6"/>
  <c r="G169" i="6"/>
  <c r="F169" i="6"/>
  <c r="E169" i="6"/>
  <c r="D169" i="6"/>
  <c r="C169" i="6"/>
  <c r="B169" i="6"/>
  <c r="A169" i="6"/>
  <c r="BD168" i="6"/>
  <c r="L168" i="6"/>
  <c r="K168" i="6"/>
  <c r="J168" i="6"/>
  <c r="I168" i="6"/>
  <c r="H168" i="6"/>
  <c r="G168" i="6"/>
  <c r="F168" i="6"/>
  <c r="E168" i="6"/>
  <c r="D168" i="6"/>
  <c r="C168" i="6"/>
  <c r="B168" i="6"/>
  <c r="A168" i="6"/>
  <c r="BD167" i="6"/>
  <c r="L167" i="6"/>
  <c r="K167" i="6"/>
  <c r="J167" i="6"/>
  <c r="I167" i="6"/>
  <c r="H167" i="6"/>
  <c r="G167" i="6"/>
  <c r="F167" i="6"/>
  <c r="E167" i="6"/>
  <c r="D167" i="6"/>
  <c r="C167" i="6"/>
  <c r="B167" i="6"/>
  <c r="A167" i="6"/>
  <c r="BD166" i="6"/>
  <c r="L166" i="6"/>
  <c r="K166" i="6"/>
  <c r="J166" i="6"/>
  <c r="I166" i="6"/>
  <c r="H166" i="6"/>
  <c r="G166" i="6"/>
  <c r="F166" i="6"/>
  <c r="E166" i="6"/>
  <c r="D166" i="6"/>
  <c r="C166" i="6"/>
  <c r="B166" i="6"/>
  <c r="A166" i="6"/>
  <c r="BD165" i="6"/>
  <c r="L165" i="6"/>
  <c r="K165" i="6"/>
  <c r="J165" i="6"/>
  <c r="I165" i="6"/>
  <c r="H165" i="6"/>
  <c r="G165" i="6"/>
  <c r="F165" i="6"/>
  <c r="E165" i="6"/>
  <c r="D165" i="6"/>
  <c r="C165" i="6"/>
  <c r="B165" i="6"/>
  <c r="A165" i="6"/>
  <c r="BD164" i="6"/>
  <c r="CT164" i="6" s="1"/>
  <c r="EJ164" i="6" s="1"/>
  <c r="BD163" i="6"/>
  <c r="CT163" i="6" s="1"/>
  <c r="EJ163" i="6" s="1"/>
  <c r="BD162" i="6"/>
  <c r="L162" i="6"/>
  <c r="K162" i="6"/>
  <c r="J162" i="6"/>
  <c r="I162" i="6"/>
  <c r="H162" i="6"/>
  <c r="G162" i="6"/>
  <c r="F162" i="6"/>
  <c r="E162" i="6"/>
  <c r="D162" i="6"/>
  <c r="C162" i="6"/>
  <c r="B162" i="6"/>
  <c r="A162" i="6"/>
  <c r="BD161" i="6"/>
  <c r="L161" i="6"/>
  <c r="K161" i="6"/>
  <c r="J161" i="6"/>
  <c r="I161" i="6"/>
  <c r="H161" i="6"/>
  <c r="G161" i="6"/>
  <c r="F161" i="6"/>
  <c r="E161" i="6"/>
  <c r="D161" i="6"/>
  <c r="C161" i="6"/>
  <c r="B161" i="6"/>
  <c r="A161" i="6"/>
  <c r="BD160" i="6"/>
  <c r="L160" i="6"/>
  <c r="K160" i="6"/>
  <c r="J160" i="6"/>
  <c r="I160" i="6"/>
  <c r="H160" i="6"/>
  <c r="G160" i="6"/>
  <c r="F160" i="6"/>
  <c r="E160" i="6"/>
  <c r="D160" i="6"/>
  <c r="C160" i="6"/>
  <c r="B160" i="6"/>
  <c r="A160" i="6"/>
  <c r="BD159" i="6"/>
  <c r="L159" i="6"/>
  <c r="K159" i="6"/>
  <c r="J159" i="6"/>
  <c r="I159" i="6"/>
  <c r="H159" i="6"/>
  <c r="G159" i="6"/>
  <c r="F159" i="6"/>
  <c r="E159" i="6"/>
  <c r="D159" i="6"/>
  <c r="C159" i="6"/>
  <c r="B159" i="6"/>
  <c r="A159" i="6"/>
  <c r="BD158" i="6"/>
  <c r="L158" i="6"/>
  <c r="K158" i="6"/>
  <c r="J158" i="6"/>
  <c r="I158" i="6"/>
  <c r="H158" i="6"/>
  <c r="G158" i="6"/>
  <c r="F158" i="6"/>
  <c r="E158" i="6"/>
  <c r="D158" i="6"/>
  <c r="C158" i="6"/>
  <c r="B158" i="6"/>
  <c r="A158" i="6"/>
  <c r="BD157" i="6"/>
  <c r="CT157" i="6" s="1"/>
  <c r="EJ157" i="6" s="1"/>
  <c r="BD156" i="6"/>
  <c r="CT156" i="6" s="1"/>
  <c r="EJ156" i="6" s="1"/>
  <c r="BD155" i="6"/>
  <c r="CT155" i="6" s="1"/>
  <c r="EJ155" i="6" s="1"/>
  <c r="BD154" i="6"/>
  <c r="L154" i="6"/>
  <c r="K154" i="6"/>
  <c r="J154" i="6"/>
  <c r="I154" i="6"/>
  <c r="H154" i="6"/>
  <c r="G154" i="6"/>
  <c r="F154" i="6"/>
  <c r="E154" i="6"/>
  <c r="D154" i="6"/>
  <c r="C154" i="6"/>
  <c r="B154" i="6"/>
  <c r="A154" i="6"/>
  <c r="BD153" i="6"/>
  <c r="L153" i="6"/>
  <c r="K153" i="6"/>
  <c r="J153" i="6"/>
  <c r="I153" i="6"/>
  <c r="H153" i="6"/>
  <c r="G153" i="6"/>
  <c r="F153" i="6"/>
  <c r="E153" i="6"/>
  <c r="D153" i="6"/>
  <c r="C153" i="6"/>
  <c r="B153" i="6"/>
  <c r="A153" i="6"/>
  <c r="BD152" i="6"/>
  <c r="L152" i="6"/>
  <c r="K152" i="6"/>
  <c r="J152" i="6"/>
  <c r="I152" i="6"/>
  <c r="H152" i="6"/>
  <c r="G152" i="6"/>
  <c r="F152" i="6"/>
  <c r="E152" i="6"/>
  <c r="D152" i="6"/>
  <c r="C152" i="6"/>
  <c r="B152" i="6"/>
  <c r="A152" i="6"/>
  <c r="BD151" i="6"/>
  <c r="L151" i="6"/>
  <c r="K151" i="6"/>
  <c r="J151" i="6"/>
  <c r="I151" i="6"/>
  <c r="H151" i="6"/>
  <c r="G151" i="6"/>
  <c r="F151" i="6"/>
  <c r="E151" i="6"/>
  <c r="D151" i="6"/>
  <c r="C151" i="6"/>
  <c r="B151" i="6"/>
  <c r="A151" i="6"/>
  <c r="BD150" i="6"/>
  <c r="CT150" i="6" s="1"/>
  <c r="EJ150" i="6" s="1"/>
  <c r="BD149" i="6"/>
  <c r="L149" i="6"/>
  <c r="K149" i="6"/>
  <c r="J149" i="6"/>
  <c r="I149" i="6"/>
  <c r="H149" i="6"/>
  <c r="G149" i="6"/>
  <c r="F149" i="6"/>
  <c r="E149" i="6"/>
  <c r="D149" i="6"/>
  <c r="C149" i="6"/>
  <c r="B149" i="6"/>
  <c r="A149" i="6"/>
  <c r="BD148" i="6"/>
  <c r="L148" i="6"/>
  <c r="K148" i="6"/>
  <c r="J148" i="6"/>
  <c r="I148" i="6"/>
  <c r="H148" i="6"/>
  <c r="G148" i="6"/>
  <c r="F148" i="6"/>
  <c r="E148" i="6"/>
  <c r="D148" i="6"/>
  <c r="C148" i="6"/>
  <c r="B148" i="6"/>
  <c r="A148" i="6"/>
  <c r="BD147" i="6"/>
  <c r="L147" i="6"/>
  <c r="K147" i="6"/>
  <c r="J147" i="6"/>
  <c r="I147" i="6"/>
  <c r="H147" i="6"/>
  <c r="G147" i="6"/>
  <c r="F147" i="6"/>
  <c r="E147" i="6"/>
  <c r="D147" i="6"/>
  <c r="C147" i="6"/>
  <c r="B147" i="6"/>
  <c r="A147" i="6"/>
  <c r="BD146" i="6"/>
  <c r="CT146" i="6" s="1"/>
  <c r="EJ146" i="6" s="1"/>
  <c r="BD145" i="6"/>
  <c r="L145" i="6"/>
  <c r="K145" i="6"/>
  <c r="J145" i="6"/>
  <c r="I145" i="6"/>
  <c r="H145" i="6"/>
  <c r="G145" i="6"/>
  <c r="F145" i="6"/>
  <c r="E145" i="6"/>
  <c r="D145" i="6"/>
  <c r="C145" i="6"/>
  <c r="B145" i="6"/>
  <c r="A145" i="6"/>
  <c r="BD144" i="6"/>
  <c r="L144" i="6"/>
  <c r="K144" i="6"/>
  <c r="J144" i="6"/>
  <c r="I144" i="6"/>
  <c r="H144" i="6"/>
  <c r="G144" i="6"/>
  <c r="F144" i="6"/>
  <c r="E144" i="6"/>
  <c r="D144" i="6"/>
  <c r="C144" i="6"/>
  <c r="B144" i="6"/>
  <c r="A144" i="6"/>
  <c r="BD143" i="6"/>
  <c r="L143" i="6"/>
  <c r="K143" i="6"/>
  <c r="J143" i="6"/>
  <c r="I143" i="6"/>
  <c r="H143" i="6"/>
  <c r="G143" i="6"/>
  <c r="F143" i="6"/>
  <c r="E143" i="6"/>
  <c r="D143" i="6"/>
  <c r="C143" i="6"/>
  <c r="B143" i="6"/>
  <c r="A143" i="6"/>
  <c r="BD142" i="6"/>
  <c r="L142" i="6"/>
  <c r="K142" i="6"/>
  <c r="J142" i="6"/>
  <c r="I142" i="6"/>
  <c r="H142" i="6"/>
  <c r="G142" i="6"/>
  <c r="F142" i="6"/>
  <c r="E142" i="6"/>
  <c r="D142" i="6"/>
  <c r="C142" i="6"/>
  <c r="B142" i="6"/>
  <c r="A142" i="6"/>
  <c r="BD141" i="6"/>
  <c r="L141" i="6"/>
  <c r="K141" i="6"/>
  <c r="J141" i="6"/>
  <c r="I141" i="6"/>
  <c r="H141" i="6"/>
  <c r="G141" i="6"/>
  <c r="F141" i="6"/>
  <c r="E141" i="6"/>
  <c r="D141" i="6"/>
  <c r="C141" i="6"/>
  <c r="B141" i="6"/>
  <c r="A141" i="6"/>
  <c r="BD140" i="6"/>
  <c r="L140" i="6"/>
  <c r="K140" i="6"/>
  <c r="J140" i="6"/>
  <c r="I140" i="6"/>
  <c r="H140" i="6"/>
  <c r="G140" i="6"/>
  <c r="F140" i="6"/>
  <c r="E140" i="6"/>
  <c r="D140" i="6"/>
  <c r="C140" i="6"/>
  <c r="B140" i="6"/>
  <c r="A140" i="6"/>
  <c r="BD139" i="6"/>
  <c r="L139" i="6"/>
  <c r="K139" i="6"/>
  <c r="J139" i="6"/>
  <c r="I139" i="6"/>
  <c r="H139" i="6"/>
  <c r="G139" i="6"/>
  <c r="F139" i="6"/>
  <c r="E139" i="6"/>
  <c r="D139" i="6"/>
  <c r="C139" i="6"/>
  <c r="B139" i="6"/>
  <c r="A139" i="6"/>
  <c r="BD138" i="6"/>
  <c r="CT138" i="6" s="1"/>
  <c r="EJ138" i="6" s="1"/>
  <c r="BD137" i="6"/>
  <c r="L137" i="6"/>
  <c r="K137" i="6"/>
  <c r="J137" i="6"/>
  <c r="I137" i="6"/>
  <c r="H137" i="6"/>
  <c r="G137" i="6"/>
  <c r="F137" i="6"/>
  <c r="E137" i="6"/>
  <c r="D137" i="6"/>
  <c r="C137" i="6"/>
  <c r="B137" i="6"/>
  <c r="A137" i="6"/>
  <c r="BD136" i="6"/>
  <c r="L136" i="6"/>
  <c r="K136" i="6"/>
  <c r="J136" i="6"/>
  <c r="I136" i="6"/>
  <c r="H136" i="6"/>
  <c r="G136" i="6"/>
  <c r="F136" i="6"/>
  <c r="E136" i="6"/>
  <c r="D136" i="6"/>
  <c r="C136" i="6"/>
  <c r="B136" i="6"/>
  <c r="A136" i="6"/>
  <c r="BD135" i="6"/>
  <c r="L135" i="6"/>
  <c r="K135" i="6"/>
  <c r="J135" i="6"/>
  <c r="I135" i="6"/>
  <c r="H135" i="6"/>
  <c r="G135" i="6"/>
  <c r="F135" i="6"/>
  <c r="E135" i="6"/>
  <c r="D135" i="6"/>
  <c r="C135" i="6"/>
  <c r="B135" i="6"/>
  <c r="A135" i="6"/>
  <c r="BD134" i="6"/>
  <c r="L134" i="6"/>
  <c r="K134" i="6"/>
  <c r="J134" i="6"/>
  <c r="I134" i="6"/>
  <c r="H134" i="6"/>
  <c r="G134" i="6"/>
  <c r="F134" i="6"/>
  <c r="E134" i="6"/>
  <c r="D134" i="6"/>
  <c r="C134" i="6"/>
  <c r="B134" i="6"/>
  <c r="A134" i="6"/>
  <c r="BD133" i="6"/>
  <c r="CT133" i="6" s="1"/>
  <c r="EJ133" i="6" s="1"/>
  <c r="BD132" i="6"/>
  <c r="L132" i="6"/>
  <c r="K132" i="6"/>
  <c r="J132" i="6"/>
  <c r="I132" i="6"/>
  <c r="H132" i="6"/>
  <c r="G132" i="6"/>
  <c r="F132" i="6"/>
  <c r="E132" i="6"/>
  <c r="D132" i="6"/>
  <c r="C132" i="6"/>
  <c r="B132" i="6"/>
  <c r="A132" i="6"/>
  <c r="BD131" i="6"/>
  <c r="L131" i="6"/>
  <c r="K131" i="6"/>
  <c r="J131" i="6"/>
  <c r="I131" i="6"/>
  <c r="H131" i="6"/>
  <c r="G131" i="6"/>
  <c r="F131" i="6"/>
  <c r="E131" i="6"/>
  <c r="D131" i="6"/>
  <c r="C131" i="6"/>
  <c r="B131" i="6"/>
  <c r="A131" i="6"/>
  <c r="BD130" i="6"/>
  <c r="L130" i="6"/>
  <c r="K130" i="6"/>
  <c r="J130" i="6"/>
  <c r="I130" i="6"/>
  <c r="H130" i="6"/>
  <c r="G130" i="6"/>
  <c r="F130" i="6"/>
  <c r="E130" i="6"/>
  <c r="D130" i="6"/>
  <c r="C130" i="6"/>
  <c r="B130" i="6"/>
  <c r="A130" i="6"/>
  <c r="BD129" i="6"/>
  <c r="CT129" i="6" s="1"/>
  <c r="EJ129" i="6" s="1"/>
  <c r="BD128" i="6"/>
  <c r="L128" i="6"/>
  <c r="K128" i="6"/>
  <c r="J128" i="6"/>
  <c r="I128" i="6"/>
  <c r="H128" i="6"/>
  <c r="G128" i="6"/>
  <c r="F128" i="6"/>
  <c r="E128" i="6"/>
  <c r="D128" i="6"/>
  <c r="C128" i="6"/>
  <c r="B128" i="6"/>
  <c r="A128" i="6"/>
  <c r="BD127" i="6"/>
  <c r="L127" i="6"/>
  <c r="K127" i="6"/>
  <c r="J127" i="6"/>
  <c r="I127" i="6"/>
  <c r="H127" i="6"/>
  <c r="G127" i="6"/>
  <c r="F127" i="6"/>
  <c r="E127" i="6"/>
  <c r="D127" i="6"/>
  <c r="C127" i="6"/>
  <c r="B127" i="6"/>
  <c r="A127" i="6"/>
  <c r="BD126" i="6"/>
  <c r="L126" i="6"/>
  <c r="K126" i="6"/>
  <c r="J126" i="6"/>
  <c r="I126" i="6"/>
  <c r="H126" i="6"/>
  <c r="G126" i="6"/>
  <c r="F126" i="6"/>
  <c r="E126" i="6"/>
  <c r="D126" i="6"/>
  <c r="C126" i="6"/>
  <c r="B126" i="6"/>
  <c r="A126" i="6"/>
  <c r="BD125" i="6"/>
  <c r="L125" i="6"/>
  <c r="K125" i="6"/>
  <c r="J125" i="6"/>
  <c r="I125" i="6"/>
  <c r="H125" i="6"/>
  <c r="G125" i="6"/>
  <c r="F125" i="6"/>
  <c r="E125" i="6"/>
  <c r="D125" i="6"/>
  <c r="C125" i="6"/>
  <c r="B125" i="6"/>
  <c r="A125" i="6"/>
  <c r="BD124" i="6"/>
  <c r="L124" i="6"/>
  <c r="K124" i="6"/>
  <c r="J124" i="6"/>
  <c r="I124" i="6"/>
  <c r="H124" i="6"/>
  <c r="G124" i="6"/>
  <c r="F124" i="6"/>
  <c r="E124" i="6"/>
  <c r="D124" i="6"/>
  <c r="C124" i="6"/>
  <c r="B124" i="6"/>
  <c r="A124" i="6"/>
  <c r="BD123" i="6"/>
  <c r="L123" i="6"/>
  <c r="K123" i="6"/>
  <c r="J123" i="6"/>
  <c r="I123" i="6"/>
  <c r="H123" i="6"/>
  <c r="G123" i="6"/>
  <c r="F123" i="6"/>
  <c r="E123" i="6"/>
  <c r="D123" i="6"/>
  <c r="C123" i="6"/>
  <c r="B123" i="6"/>
  <c r="A123" i="6"/>
  <c r="BD122" i="6"/>
  <c r="L122" i="6"/>
  <c r="K122" i="6"/>
  <c r="J122" i="6"/>
  <c r="I122" i="6"/>
  <c r="H122" i="6"/>
  <c r="G122" i="6"/>
  <c r="F122" i="6"/>
  <c r="E122" i="6"/>
  <c r="D122" i="6"/>
  <c r="C122" i="6"/>
  <c r="B122" i="6"/>
  <c r="A122" i="6"/>
  <c r="BD121" i="6"/>
  <c r="L121" i="6"/>
  <c r="K121" i="6"/>
  <c r="J121" i="6"/>
  <c r="I121" i="6"/>
  <c r="H121" i="6"/>
  <c r="G121" i="6"/>
  <c r="F121" i="6"/>
  <c r="E121" i="6"/>
  <c r="D121" i="6"/>
  <c r="C121" i="6"/>
  <c r="B121" i="6"/>
  <c r="A121" i="6"/>
  <c r="BD120" i="6"/>
  <c r="L120" i="6"/>
  <c r="K120" i="6"/>
  <c r="J120" i="6"/>
  <c r="I120" i="6"/>
  <c r="H120" i="6"/>
  <c r="G120" i="6"/>
  <c r="F120" i="6"/>
  <c r="E120" i="6"/>
  <c r="D120" i="6"/>
  <c r="C120" i="6"/>
  <c r="B120" i="6"/>
  <c r="A120" i="6"/>
  <c r="BD119" i="6"/>
  <c r="L119" i="6"/>
  <c r="K119" i="6"/>
  <c r="J119" i="6"/>
  <c r="I119" i="6"/>
  <c r="H119" i="6"/>
  <c r="G119" i="6"/>
  <c r="F119" i="6"/>
  <c r="E119" i="6"/>
  <c r="D119" i="6"/>
  <c r="C119" i="6"/>
  <c r="B119" i="6"/>
  <c r="A119" i="6"/>
  <c r="BD118" i="6"/>
  <c r="L118" i="6"/>
  <c r="K118" i="6"/>
  <c r="J118" i="6"/>
  <c r="I118" i="6"/>
  <c r="H118" i="6"/>
  <c r="G118" i="6"/>
  <c r="F118" i="6"/>
  <c r="E118" i="6"/>
  <c r="D118" i="6"/>
  <c r="C118" i="6"/>
  <c r="B118" i="6"/>
  <c r="A118" i="6"/>
  <c r="BD117" i="6"/>
  <c r="L117" i="6"/>
  <c r="K117" i="6"/>
  <c r="J117" i="6"/>
  <c r="I117" i="6"/>
  <c r="H117" i="6"/>
  <c r="G117" i="6"/>
  <c r="F117" i="6"/>
  <c r="E117" i="6"/>
  <c r="D117" i="6"/>
  <c r="C117" i="6"/>
  <c r="B117" i="6"/>
  <c r="A117" i="6"/>
  <c r="BD116" i="6"/>
  <c r="CT116" i="6" s="1"/>
  <c r="EJ116" i="6" s="1"/>
  <c r="CT115" i="6"/>
  <c r="EJ115" i="6" s="1"/>
  <c r="BD114" i="6"/>
  <c r="CT114" i="6" s="1"/>
  <c r="EJ114" i="6" s="1"/>
  <c r="BD113" i="6"/>
  <c r="L113" i="6"/>
  <c r="K113" i="6"/>
  <c r="J113" i="6"/>
  <c r="I113" i="6"/>
  <c r="H113" i="6"/>
  <c r="G113" i="6"/>
  <c r="F113" i="6"/>
  <c r="E113" i="6"/>
  <c r="D113" i="6"/>
  <c r="C113" i="6"/>
  <c r="B113" i="6"/>
  <c r="A113" i="6"/>
  <c r="BD112" i="6"/>
  <c r="L112" i="6"/>
  <c r="K112" i="6"/>
  <c r="J112" i="6"/>
  <c r="I112" i="6"/>
  <c r="H112" i="6"/>
  <c r="G112" i="6"/>
  <c r="F112" i="6"/>
  <c r="E112" i="6"/>
  <c r="D112" i="6"/>
  <c r="C112" i="6"/>
  <c r="B112" i="6"/>
  <c r="A112" i="6"/>
  <c r="BD111" i="6"/>
  <c r="L111" i="6"/>
  <c r="K111" i="6"/>
  <c r="J111" i="6"/>
  <c r="I111" i="6"/>
  <c r="H111" i="6"/>
  <c r="G111" i="6"/>
  <c r="F111" i="6"/>
  <c r="E111" i="6"/>
  <c r="D111" i="6"/>
  <c r="C111" i="6"/>
  <c r="B111" i="6"/>
  <c r="A111" i="6"/>
  <c r="BD110" i="6"/>
  <c r="L110" i="6"/>
  <c r="K110" i="6"/>
  <c r="J110" i="6"/>
  <c r="I110" i="6"/>
  <c r="H110" i="6"/>
  <c r="G110" i="6"/>
  <c r="F110" i="6"/>
  <c r="E110" i="6"/>
  <c r="D110" i="6"/>
  <c r="C110" i="6"/>
  <c r="B110" i="6"/>
  <c r="A110" i="6"/>
  <c r="BD109" i="6"/>
  <c r="L109" i="6"/>
  <c r="K109" i="6"/>
  <c r="J109" i="6"/>
  <c r="I109" i="6"/>
  <c r="H109" i="6"/>
  <c r="G109" i="6"/>
  <c r="F109" i="6"/>
  <c r="E109" i="6"/>
  <c r="D109" i="6"/>
  <c r="C109" i="6"/>
  <c r="B109" i="6"/>
  <c r="A109" i="6"/>
  <c r="BD108" i="6"/>
  <c r="L108" i="6"/>
  <c r="K108" i="6"/>
  <c r="J108" i="6"/>
  <c r="I108" i="6"/>
  <c r="H108" i="6"/>
  <c r="G108" i="6"/>
  <c r="F108" i="6"/>
  <c r="E108" i="6"/>
  <c r="D108" i="6"/>
  <c r="C108" i="6"/>
  <c r="B108" i="6"/>
  <c r="A108" i="6"/>
  <c r="BD107" i="6"/>
  <c r="L107" i="6"/>
  <c r="K107" i="6"/>
  <c r="J107" i="6"/>
  <c r="I107" i="6"/>
  <c r="H107" i="6"/>
  <c r="G107" i="6"/>
  <c r="F107" i="6"/>
  <c r="E107" i="6"/>
  <c r="D107" i="6"/>
  <c r="C107" i="6"/>
  <c r="B107" i="6"/>
  <c r="A107" i="6"/>
  <c r="BD106" i="6"/>
  <c r="L106" i="6"/>
  <c r="K106" i="6"/>
  <c r="J106" i="6"/>
  <c r="I106" i="6"/>
  <c r="H106" i="6"/>
  <c r="G106" i="6"/>
  <c r="F106" i="6"/>
  <c r="E106" i="6"/>
  <c r="D106" i="6"/>
  <c r="C106" i="6"/>
  <c r="B106" i="6"/>
  <c r="A106" i="6"/>
  <c r="BD105" i="6"/>
  <c r="L105" i="6"/>
  <c r="K105" i="6"/>
  <c r="J105" i="6"/>
  <c r="I105" i="6"/>
  <c r="H105" i="6"/>
  <c r="G105" i="6"/>
  <c r="F105" i="6"/>
  <c r="E105" i="6"/>
  <c r="D105" i="6"/>
  <c r="C105" i="6"/>
  <c r="B105" i="6"/>
  <c r="A105" i="6"/>
  <c r="BD104" i="6"/>
  <c r="CT104" i="6" s="1"/>
  <c r="EJ104" i="6" s="1"/>
  <c r="BD103" i="6"/>
  <c r="CT103" i="6" s="1"/>
  <c r="EJ103" i="6" s="1"/>
  <c r="BD102" i="6"/>
  <c r="L102" i="6"/>
  <c r="K102" i="6"/>
  <c r="J102" i="6"/>
  <c r="I102" i="6"/>
  <c r="H102" i="6"/>
  <c r="G102" i="6"/>
  <c r="F102" i="6"/>
  <c r="E102" i="6"/>
  <c r="D102" i="6"/>
  <c r="C102" i="6"/>
  <c r="B102" i="6"/>
  <c r="A102" i="6"/>
  <c r="BD101" i="6"/>
  <c r="L101" i="6"/>
  <c r="K101" i="6"/>
  <c r="J101" i="6"/>
  <c r="I101" i="6"/>
  <c r="H101" i="6"/>
  <c r="G101" i="6"/>
  <c r="F101" i="6"/>
  <c r="E101" i="6"/>
  <c r="D101" i="6"/>
  <c r="C101" i="6"/>
  <c r="B101" i="6"/>
  <c r="A101" i="6"/>
  <c r="BD100" i="6"/>
  <c r="L100" i="6"/>
  <c r="K100" i="6"/>
  <c r="J100" i="6"/>
  <c r="I100" i="6"/>
  <c r="H100" i="6"/>
  <c r="G100" i="6"/>
  <c r="F100" i="6"/>
  <c r="E100" i="6"/>
  <c r="D100" i="6"/>
  <c r="C100" i="6"/>
  <c r="B100" i="6"/>
  <c r="A100" i="6"/>
  <c r="BD99" i="6"/>
  <c r="L99" i="6"/>
  <c r="K99" i="6"/>
  <c r="J99" i="6"/>
  <c r="I99" i="6"/>
  <c r="H99" i="6"/>
  <c r="G99" i="6"/>
  <c r="F99" i="6"/>
  <c r="E99" i="6"/>
  <c r="D99" i="6"/>
  <c r="C99" i="6"/>
  <c r="B99" i="6"/>
  <c r="A99" i="6"/>
  <c r="BD98" i="6"/>
  <c r="L98" i="6"/>
  <c r="K98" i="6"/>
  <c r="J98" i="6"/>
  <c r="I98" i="6"/>
  <c r="H98" i="6"/>
  <c r="G98" i="6"/>
  <c r="F98" i="6"/>
  <c r="E98" i="6"/>
  <c r="D98" i="6"/>
  <c r="C98" i="6"/>
  <c r="B98" i="6"/>
  <c r="A98" i="6"/>
  <c r="BD97" i="6"/>
  <c r="L97" i="6"/>
  <c r="K97" i="6"/>
  <c r="J97" i="6"/>
  <c r="I97" i="6"/>
  <c r="H97" i="6"/>
  <c r="G97" i="6"/>
  <c r="F97" i="6"/>
  <c r="E97" i="6"/>
  <c r="D97" i="6"/>
  <c r="C97" i="6"/>
  <c r="B97" i="6"/>
  <c r="A97" i="6"/>
  <c r="BD96" i="6"/>
  <c r="L96" i="6"/>
  <c r="K96" i="6"/>
  <c r="J96" i="6"/>
  <c r="I96" i="6"/>
  <c r="H96" i="6"/>
  <c r="G96" i="6"/>
  <c r="F96" i="6"/>
  <c r="E96" i="6"/>
  <c r="D96" i="6"/>
  <c r="C96" i="6"/>
  <c r="B96" i="6"/>
  <c r="A96" i="6"/>
  <c r="BD95" i="6"/>
  <c r="L95" i="6"/>
  <c r="K95" i="6"/>
  <c r="J95" i="6"/>
  <c r="I95" i="6"/>
  <c r="H95" i="6"/>
  <c r="G95" i="6"/>
  <c r="F95" i="6"/>
  <c r="E95" i="6"/>
  <c r="D95" i="6"/>
  <c r="C95" i="6"/>
  <c r="B95" i="6"/>
  <c r="A95" i="6"/>
  <c r="BD94" i="6"/>
  <c r="L94" i="6"/>
  <c r="K94" i="6"/>
  <c r="J94" i="6"/>
  <c r="I94" i="6"/>
  <c r="H94" i="6"/>
  <c r="G94" i="6"/>
  <c r="F94" i="6"/>
  <c r="E94" i="6"/>
  <c r="D94" i="6"/>
  <c r="C94" i="6"/>
  <c r="B94" i="6"/>
  <c r="A94" i="6"/>
  <c r="BD93" i="6"/>
  <c r="L93" i="6"/>
  <c r="K93" i="6"/>
  <c r="J93" i="6"/>
  <c r="I93" i="6"/>
  <c r="H93" i="6"/>
  <c r="G93" i="6"/>
  <c r="F93" i="6"/>
  <c r="E93" i="6"/>
  <c r="D93" i="6"/>
  <c r="C93" i="6"/>
  <c r="B93" i="6"/>
  <c r="A93" i="6"/>
  <c r="BD92" i="6"/>
  <c r="L92" i="6"/>
  <c r="K92" i="6"/>
  <c r="J92" i="6"/>
  <c r="I92" i="6"/>
  <c r="H92" i="6"/>
  <c r="G92" i="6"/>
  <c r="F92" i="6"/>
  <c r="E92" i="6"/>
  <c r="D92" i="6"/>
  <c r="C92" i="6"/>
  <c r="B92" i="6"/>
  <c r="A92" i="6"/>
  <c r="BD91" i="6"/>
  <c r="L91" i="6"/>
  <c r="K91" i="6"/>
  <c r="J91" i="6"/>
  <c r="I91" i="6"/>
  <c r="H91" i="6"/>
  <c r="G91" i="6"/>
  <c r="F91" i="6"/>
  <c r="E91" i="6"/>
  <c r="D91" i="6"/>
  <c r="C91" i="6"/>
  <c r="B91" i="6"/>
  <c r="A91" i="6"/>
  <c r="BD90" i="6"/>
  <c r="CT90" i="6" s="1"/>
  <c r="EJ90" i="6" s="1"/>
  <c r="BD89" i="6"/>
  <c r="AN89" i="6"/>
  <c r="AM89" i="6"/>
  <c r="AL89" i="6"/>
  <c r="AK89" i="6"/>
  <c r="AJ89" i="6"/>
  <c r="AI89" i="6"/>
  <c r="AH89" i="6"/>
  <c r="AG89" i="6"/>
  <c r="AF89" i="6"/>
  <c r="AE89" i="6"/>
  <c r="AD89" i="6"/>
  <c r="AC89" i="6"/>
  <c r="L89" i="6"/>
  <c r="K89" i="6"/>
  <c r="J89" i="6"/>
  <c r="I89" i="6"/>
  <c r="H89" i="6"/>
  <c r="G89" i="6"/>
  <c r="F89" i="6"/>
  <c r="E89" i="6"/>
  <c r="D89" i="6"/>
  <c r="C89" i="6"/>
  <c r="B89" i="6"/>
  <c r="A89" i="6"/>
  <c r="BD88" i="6"/>
  <c r="L88" i="6"/>
  <c r="K88" i="6"/>
  <c r="J88" i="6"/>
  <c r="I88" i="6"/>
  <c r="H88" i="6"/>
  <c r="G88" i="6"/>
  <c r="F88" i="6"/>
  <c r="E88" i="6"/>
  <c r="D88" i="6"/>
  <c r="C88" i="6"/>
  <c r="B88" i="6"/>
  <c r="A88" i="6"/>
  <c r="BD87" i="6"/>
  <c r="CT87" i="6" s="1"/>
  <c r="EJ87" i="6" s="1"/>
  <c r="BD86" i="6"/>
  <c r="L86" i="6"/>
  <c r="K86" i="6"/>
  <c r="J86" i="6"/>
  <c r="I86" i="6"/>
  <c r="H86" i="6"/>
  <c r="G86" i="6"/>
  <c r="F86" i="6"/>
  <c r="E86" i="6"/>
  <c r="D86" i="6"/>
  <c r="C86" i="6"/>
  <c r="B86" i="6"/>
  <c r="A86" i="6"/>
  <c r="BD85" i="6"/>
  <c r="L85" i="6"/>
  <c r="K85" i="6"/>
  <c r="J85" i="6"/>
  <c r="I85" i="6"/>
  <c r="H85" i="6"/>
  <c r="G85" i="6"/>
  <c r="F85" i="6"/>
  <c r="E85" i="6"/>
  <c r="D85" i="6"/>
  <c r="C85" i="6"/>
  <c r="B85" i="6"/>
  <c r="A85" i="6"/>
  <c r="BD84" i="6"/>
  <c r="L84" i="6"/>
  <c r="K84" i="6"/>
  <c r="J84" i="6"/>
  <c r="I84" i="6"/>
  <c r="H84" i="6"/>
  <c r="G84" i="6"/>
  <c r="F84" i="6"/>
  <c r="E84" i="6"/>
  <c r="D84" i="6"/>
  <c r="C84" i="6"/>
  <c r="B84" i="6"/>
  <c r="A84" i="6"/>
  <c r="BD83" i="6"/>
  <c r="L83" i="6"/>
  <c r="K83" i="6"/>
  <c r="J83" i="6"/>
  <c r="I83" i="6"/>
  <c r="H83" i="6"/>
  <c r="G83" i="6"/>
  <c r="F83" i="6"/>
  <c r="E83" i="6"/>
  <c r="D83" i="6"/>
  <c r="C83" i="6"/>
  <c r="B83" i="6"/>
  <c r="A83" i="6"/>
  <c r="BD82" i="6"/>
  <c r="L82" i="6"/>
  <c r="K82" i="6"/>
  <c r="J82" i="6"/>
  <c r="I82" i="6"/>
  <c r="H82" i="6"/>
  <c r="G82" i="6"/>
  <c r="F82" i="6"/>
  <c r="E82" i="6"/>
  <c r="D82" i="6"/>
  <c r="C82" i="6"/>
  <c r="B82" i="6"/>
  <c r="A82" i="6"/>
  <c r="BD81" i="6"/>
  <c r="L81" i="6"/>
  <c r="K81" i="6"/>
  <c r="J81" i="6"/>
  <c r="I81" i="6"/>
  <c r="H81" i="6"/>
  <c r="G81" i="6"/>
  <c r="F81" i="6"/>
  <c r="E81" i="6"/>
  <c r="D81" i="6"/>
  <c r="C81" i="6"/>
  <c r="B81" i="6"/>
  <c r="A81" i="6"/>
  <c r="BD80" i="6"/>
  <c r="L80" i="6"/>
  <c r="K80" i="6"/>
  <c r="J80" i="6"/>
  <c r="I80" i="6"/>
  <c r="H80" i="6"/>
  <c r="G80" i="6"/>
  <c r="F80" i="6"/>
  <c r="E80" i="6"/>
  <c r="D80" i="6"/>
  <c r="C80" i="6"/>
  <c r="B80" i="6"/>
  <c r="A80" i="6"/>
  <c r="BD79" i="6"/>
  <c r="L79" i="6"/>
  <c r="K79" i="6"/>
  <c r="J79" i="6"/>
  <c r="I79" i="6"/>
  <c r="H79" i="6"/>
  <c r="G79" i="6"/>
  <c r="F79" i="6"/>
  <c r="E79" i="6"/>
  <c r="D79" i="6"/>
  <c r="C79" i="6"/>
  <c r="B79" i="6"/>
  <c r="A79" i="6"/>
  <c r="BD78" i="6"/>
  <c r="L78" i="6"/>
  <c r="K78" i="6"/>
  <c r="J78" i="6"/>
  <c r="I78" i="6"/>
  <c r="H78" i="6"/>
  <c r="G78" i="6"/>
  <c r="F78" i="6"/>
  <c r="E78" i="6"/>
  <c r="D78" i="6"/>
  <c r="C78" i="6"/>
  <c r="B78" i="6"/>
  <c r="A78" i="6"/>
  <c r="BD77" i="6"/>
  <c r="L77" i="6"/>
  <c r="K77" i="6"/>
  <c r="J77" i="6"/>
  <c r="I77" i="6"/>
  <c r="H77" i="6"/>
  <c r="G77" i="6"/>
  <c r="F77" i="6"/>
  <c r="E77" i="6"/>
  <c r="D77" i="6"/>
  <c r="C77" i="6"/>
  <c r="B77" i="6"/>
  <c r="A77" i="6"/>
  <c r="BD76" i="6"/>
  <c r="CT76" i="6" s="1"/>
  <c r="EJ76" i="6" s="1"/>
  <c r="BD75" i="6"/>
  <c r="CT75" i="6" s="1"/>
  <c r="EJ75" i="6" s="1"/>
  <c r="BD74" i="6"/>
  <c r="CT74" i="6" s="1"/>
  <c r="EJ74" i="6" s="1"/>
  <c r="BD73" i="6"/>
  <c r="CT73" i="6" s="1"/>
  <c r="EJ73" i="6" s="1"/>
  <c r="BD72" i="6"/>
  <c r="BD71" i="6"/>
  <c r="CT71" i="6" s="1"/>
  <c r="EJ71" i="6" s="1"/>
  <c r="BD70" i="6"/>
  <c r="CT70" i="6" s="1"/>
  <c r="EJ70" i="6" s="1"/>
  <c r="BD69" i="6"/>
  <c r="AN69" i="6"/>
  <c r="AM69" i="6"/>
  <c r="AL69" i="6"/>
  <c r="AK69" i="6"/>
  <c r="AJ69" i="6"/>
  <c r="AI69" i="6"/>
  <c r="AH69" i="6"/>
  <c r="AG69" i="6"/>
  <c r="AF69" i="6"/>
  <c r="AE69" i="6"/>
  <c r="AD69" i="6"/>
  <c r="AC69" i="6"/>
  <c r="L69" i="6"/>
  <c r="K69" i="6"/>
  <c r="J69" i="6"/>
  <c r="I69" i="6"/>
  <c r="H69" i="6"/>
  <c r="G69" i="6"/>
  <c r="F69" i="6"/>
  <c r="E69" i="6"/>
  <c r="D69" i="6"/>
  <c r="C69" i="6"/>
  <c r="B69" i="6"/>
  <c r="A69" i="6"/>
  <c r="BD68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L68" i="6"/>
  <c r="K68" i="6"/>
  <c r="J68" i="6"/>
  <c r="I68" i="6"/>
  <c r="H68" i="6"/>
  <c r="G68" i="6"/>
  <c r="F68" i="6"/>
  <c r="E68" i="6"/>
  <c r="D68" i="6"/>
  <c r="C68" i="6"/>
  <c r="B68" i="6"/>
  <c r="A68" i="6"/>
  <c r="BD67" i="6"/>
  <c r="L67" i="6"/>
  <c r="K67" i="6"/>
  <c r="J67" i="6"/>
  <c r="I67" i="6"/>
  <c r="H67" i="6"/>
  <c r="G67" i="6"/>
  <c r="F67" i="6"/>
  <c r="E67" i="6"/>
  <c r="D67" i="6"/>
  <c r="C67" i="6"/>
  <c r="B67" i="6"/>
  <c r="A67" i="6"/>
  <c r="BD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L66" i="6"/>
  <c r="K66" i="6"/>
  <c r="J66" i="6"/>
  <c r="I66" i="6"/>
  <c r="H66" i="6"/>
  <c r="G66" i="6"/>
  <c r="F66" i="6"/>
  <c r="E66" i="6"/>
  <c r="D66" i="6"/>
  <c r="C66" i="6"/>
  <c r="B66" i="6"/>
  <c r="A66" i="6"/>
  <c r="BD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L65" i="6"/>
  <c r="K65" i="6"/>
  <c r="J65" i="6"/>
  <c r="I65" i="6"/>
  <c r="H65" i="6"/>
  <c r="G65" i="6"/>
  <c r="F65" i="6"/>
  <c r="E65" i="6"/>
  <c r="D65" i="6"/>
  <c r="C65" i="6"/>
  <c r="B65" i="6"/>
  <c r="A65" i="6"/>
  <c r="BD64" i="6"/>
  <c r="L64" i="6"/>
  <c r="K64" i="6"/>
  <c r="J64" i="6"/>
  <c r="I64" i="6"/>
  <c r="H64" i="6"/>
  <c r="G64" i="6"/>
  <c r="F64" i="6"/>
  <c r="E64" i="6"/>
  <c r="D64" i="6"/>
  <c r="C64" i="6"/>
  <c r="B64" i="6"/>
  <c r="A64" i="6"/>
  <c r="BD63" i="6"/>
  <c r="L63" i="6"/>
  <c r="K63" i="6"/>
  <c r="J63" i="6"/>
  <c r="I63" i="6"/>
  <c r="H63" i="6"/>
  <c r="G63" i="6"/>
  <c r="F63" i="6"/>
  <c r="E63" i="6"/>
  <c r="D63" i="6"/>
  <c r="C63" i="6"/>
  <c r="B63" i="6"/>
  <c r="A63" i="6"/>
  <c r="BD62" i="6"/>
  <c r="L62" i="6"/>
  <c r="K62" i="6"/>
  <c r="J62" i="6"/>
  <c r="I62" i="6"/>
  <c r="H62" i="6"/>
  <c r="G62" i="6"/>
  <c r="F62" i="6"/>
  <c r="E62" i="6"/>
  <c r="D62" i="6"/>
  <c r="C62" i="6"/>
  <c r="B62" i="6"/>
  <c r="A62" i="6"/>
  <c r="BD61" i="6"/>
  <c r="L61" i="6"/>
  <c r="K61" i="6"/>
  <c r="J61" i="6"/>
  <c r="I61" i="6"/>
  <c r="H61" i="6"/>
  <c r="G61" i="6"/>
  <c r="F61" i="6"/>
  <c r="E61" i="6"/>
  <c r="D61" i="6"/>
  <c r="C61" i="6"/>
  <c r="B61" i="6"/>
  <c r="A61" i="6"/>
  <c r="BD60" i="6"/>
  <c r="CT60" i="6" s="1"/>
  <c r="EJ60" i="6" s="1"/>
  <c r="BD59" i="6"/>
  <c r="CT59" i="6" s="1"/>
  <c r="EJ59" i="6" s="1"/>
  <c r="BD58" i="6"/>
  <c r="CT58" i="6" s="1"/>
  <c r="EJ58" i="6" s="1"/>
  <c r="BD57" i="6"/>
  <c r="CT57" i="6" s="1"/>
  <c r="EJ57" i="6" s="1"/>
  <c r="BD56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L56" i="6"/>
  <c r="K56" i="6"/>
  <c r="J56" i="6"/>
  <c r="I56" i="6"/>
  <c r="H56" i="6"/>
  <c r="G56" i="6"/>
  <c r="F56" i="6"/>
  <c r="E56" i="6"/>
  <c r="D56" i="6"/>
  <c r="C56" i="6"/>
  <c r="B56" i="6"/>
  <c r="A56" i="6"/>
  <c r="BD55" i="6"/>
  <c r="L55" i="6"/>
  <c r="K55" i="6"/>
  <c r="J55" i="6"/>
  <c r="I55" i="6"/>
  <c r="H55" i="6"/>
  <c r="G55" i="6"/>
  <c r="F55" i="6"/>
  <c r="E55" i="6"/>
  <c r="D55" i="6"/>
  <c r="C55" i="6"/>
  <c r="B55" i="6"/>
  <c r="A55" i="6"/>
  <c r="BD54" i="6"/>
  <c r="CT54" i="6" s="1"/>
  <c r="EJ54" i="6" s="1"/>
  <c r="BD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L53" i="6"/>
  <c r="K53" i="6"/>
  <c r="J53" i="6"/>
  <c r="I53" i="6"/>
  <c r="H53" i="6"/>
  <c r="G53" i="6"/>
  <c r="F53" i="6"/>
  <c r="E53" i="6"/>
  <c r="D53" i="6"/>
  <c r="C53" i="6"/>
  <c r="B53" i="6"/>
  <c r="A53" i="6"/>
  <c r="BD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L52" i="6"/>
  <c r="K52" i="6"/>
  <c r="J52" i="6"/>
  <c r="I52" i="6"/>
  <c r="H52" i="6"/>
  <c r="G52" i="6"/>
  <c r="F52" i="6"/>
  <c r="E52" i="6"/>
  <c r="D52" i="6"/>
  <c r="C52" i="6"/>
  <c r="B52" i="6"/>
  <c r="A52" i="6"/>
  <c r="BD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L51" i="6"/>
  <c r="K51" i="6"/>
  <c r="J51" i="6"/>
  <c r="I51" i="6"/>
  <c r="H51" i="6"/>
  <c r="G51" i="6"/>
  <c r="F51" i="6"/>
  <c r="E51" i="6"/>
  <c r="D51" i="6"/>
  <c r="C51" i="6"/>
  <c r="B51" i="6"/>
  <c r="A51" i="6"/>
  <c r="BD50" i="6"/>
  <c r="CT50" i="6" s="1"/>
  <c r="EJ50" i="6" s="1"/>
  <c r="AN50" i="6"/>
  <c r="AM50" i="6"/>
  <c r="AL50" i="6"/>
  <c r="AK50" i="6"/>
  <c r="AJ50" i="6"/>
  <c r="AI50" i="6"/>
  <c r="AH50" i="6"/>
  <c r="AG50" i="6"/>
  <c r="AF50" i="6"/>
  <c r="AE50" i="6"/>
  <c r="AD50" i="6"/>
  <c r="AC50" i="6"/>
  <c r="Z50" i="6"/>
  <c r="Y50" i="6"/>
  <c r="X50" i="6"/>
  <c r="AB50" i="6" s="1"/>
  <c r="W50" i="6"/>
  <c r="V50" i="6"/>
  <c r="U50" i="6"/>
  <c r="T50" i="6"/>
  <c r="S50" i="6"/>
  <c r="R50" i="6"/>
  <c r="Q50" i="6"/>
  <c r="P50" i="6"/>
  <c r="O50" i="6"/>
  <c r="L50" i="6"/>
  <c r="K50" i="6"/>
  <c r="J50" i="6"/>
  <c r="I50" i="6"/>
  <c r="H50" i="6"/>
  <c r="G50" i="6"/>
  <c r="F50" i="6"/>
  <c r="E50" i="6"/>
  <c r="D50" i="6"/>
  <c r="C50" i="6"/>
  <c r="B50" i="6"/>
  <c r="A50" i="6"/>
  <c r="BD49" i="6"/>
  <c r="CT49" i="6" s="1"/>
  <c r="EJ49" i="6" s="1"/>
  <c r="BD48" i="6"/>
  <c r="CT48" i="6" s="1"/>
  <c r="EJ48" i="6" s="1"/>
  <c r="BD47" i="6"/>
  <c r="CT47" i="6" s="1"/>
  <c r="EJ47" i="6" s="1"/>
  <c r="BD46" i="6"/>
  <c r="L46" i="6"/>
  <c r="K46" i="6"/>
  <c r="J46" i="6"/>
  <c r="I46" i="6"/>
  <c r="H46" i="6"/>
  <c r="G46" i="6"/>
  <c r="F46" i="6"/>
  <c r="E46" i="6"/>
  <c r="D46" i="6"/>
  <c r="C46" i="6"/>
  <c r="B46" i="6"/>
  <c r="A46" i="6"/>
  <c r="BD45" i="6"/>
  <c r="L45" i="6"/>
  <c r="K45" i="6"/>
  <c r="J45" i="6"/>
  <c r="I45" i="6"/>
  <c r="H45" i="6"/>
  <c r="G45" i="6"/>
  <c r="F45" i="6"/>
  <c r="E45" i="6"/>
  <c r="D45" i="6"/>
  <c r="C45" i="6"/>
  <c r="B45" i="6"/>
  <c r="A45" i="6"/>
  <c r="BD44" i="6"/>
  <c r="L44" i="6"/>
  <c r="K44" i="6"/>
  <c r="J44" i="6"/>
  <c r="I44" i="6"/>
  <c r="H44" i="6"/>
  <c r="G44" i="6"/>
  <c r="F44" i="6"/>
  <c r="E44" i="6"/>
  <c r="D44" i="6"/>
  <c r="C44" i="6"/>
  <c r="B44" i="6"/>
  <c r="A44" i="6"/>
  <c r="BD43" i="6"/>
  <c r="CT43" i="6" s="1"/>
  <c r="EJ43" i="6" s="1"/>
  <c r="BD42" i="6"/>
  <c r="L42" i="6"/>
  <c r="K42" i="6"/>
  <c r="J42" i="6"/>
  <c r="I42" i="6"/>
  <c r="H42" i="6"/>
  <c r="G42" i="6"/>
  <c r="F42" i="6"/>
  <c r="E42" i="6"/>
  <c r="D42" i="6"/>
  <c r="C42" i="6"/>
  <c r="B42" i="6"/>
  <c r="A42" i="6"/>
  <c r="BD41" i="6"/>
  <c r="L41" i="6"/>
  <c r="K41" i="6"/>
  <c r="J41" i="6"/>
  <c r="I41" i="6"/>
  <c r="H41" i="6"/>
  <c r="G41" i="6"/>
  <c r="F41" i="6"/>
  <c r="E41" i="6"/>
  <c r="D41" i="6"/>
  <c r="C41" i="6"/>
  <c r="B41" i="6"/>
  <c r="A41" i="6"/>
  <c r="BD40" i="6"/>
  <c r="L40" i="6"/>
  <c r="K40" i="6"/>
  <c r="J40" i="6"/>
  <c r="I40" i="6"/>
  <c r="H40" i="6"/>
  <c r="G40" i="6"/>
  <c r="F40" i="6"/>
  <c r="E40" i="6"/>
  <c r="D40" i="6"/>
  <c r="C40" i="6"/>
  <c r="B40" i="6"/>
  <c r="A40" i="6"/>
  <c r="BD39" i="6"/>
  <c r="L39" i="6"/>
  <c r="K39" i="6"/>
  <c r="J39" i="6"/>
  <c r="I39" i="6"/>
  <c r="H39" i="6"/>
  <c r="G39" i="6"/>
  <c r="F39" i="6"/>
  <c r="E39" i="6"/>
  <c r="D39" i="6"/>
  <c r="C39" i="6"/>
  <c r="B39" i="6"/>
  <c r="A39" i="6"/>
  <c r="BD38" i="6"/>
  <c r="CT38" i="6" s="1"/>
  <c r="EJ38" i="6" s="1"/>
  <c r="CT37" i="6"/>
  <c r="EJ37" i="6" s="1"/>
  <c r="AN37" i="6"/>
  <c r="AM37" i="6"/>
  <c r="AL37" i="6"/>
  <c r="AK37" i="6"/>
  <c r="AJ37" i="6"/>
  <c r="AI37" i="6"/>
  <c r="AH37" i="6"/>
  <c r="AG37" i="6"/>
  <c r="AF37" i="6"/>
  <c r="AE37" i="6"/>
  <c r="AD37" i="6"/>
  <c r="AC37" i="6"/>
  <c r="Z37" i="6"/>
  <c r="Y37" i="6"/>
  <c r="X37" i="6"/>
  <c r="AB37" i="6" s="1"/>
  <c r="W37" i="6"/>
  <c r="V37" i="6"/>
  <c r="U37" i="6"/>
  <c r="T37" i="6"/>
  <c r="S37" i="6"/>
  <c r="R37" i="6"/>
  <c r="Q37" i="6"/>
  <c r="P37" i="6"/>
  <c r="O37" i="6"/>
  <c r="L37" i="6"/>
  <c r="K37" i="6"/>
  <c r="J37" i="6"/>
  <c r="I37" i="6"/>
  <c r="H37" i="6"/>
  <c r="G37" i="6"/>
  <c r="F37" i="6"/>
  <c r="E37" i="6"/>
  <c r="D37" i="6"/>
  <c r="C37" i="6"/>
  <c r="B37" i="6"/>
  <c r="A37" i="6"/>
  <c r="BD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L36" i="6"/>
  <c r="K36" i="6"/>
  <c r="J36" i="6"/>
  <c r="I36" i="6"/>
  <c r="H36" i="6"/>
  <c r="G36" i="6"/>
  <c r="F36" i="6"/>
  <c r="E36" i="6"/>
  <c r="D36" i="6"/>
  <c r="C36" i="6"/>
  <c r="B36" i="6"/>
  <c r="A36" i="6"/>
  <c r="BD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L35" i="6"/>
  <c r="K35" i="6"/>
  <c r="J35" i="6"/>
  <c r="I35" i="6"/>
  <c r="H35" i="6"/>
  <c r="G35" i="6"/>
  <c r="F35" i="6"/>
  <c r="E35" i="6"/>
  <c r="D35" i="6"/>
  <c r="C35" i="6"/>
  <c r="B35" i="6"/>
  <c r="A35" i="6"/>
  <c r="BD34" i="6"/>
  <c r="L34" i="6"/>
  <c r="K34" i="6"/>
  <c r="J34" i="6"/>
  <c r="I34" i="6"/>
  <c r="H34" i="6"/>
  <c r="G34" i="6"/>
  <c r="F34" i="6"/>
  <c r="E34" i="6"/>
  <c r="D34" i="6"/>
  <c r="C34" i="6"/>
  <c r="B34" i="6"/>
  <c r="A34" i="6"/>
  <c r="BD33" i="6"/>
  <c r="L33" i="6"/>
  <c r="K33" i="6"/>
  <c r="J33" i="6"/>
  <c r="I33" i="6"/>
  <c r="H33" i="6"/>
  <c r="G33" i="6"/>
  <c r="F33" i="6"/>
  <c r="E33" i="6"/>
  <c r="D33" i="6"/>
  <c r="C33" i="6"/>
  <c r="B33" i="6"/>
  <c r="A33" i="6"/>
  <c r="BD32" i="6"/>
  <c r="L32" i="6"/>
  <c r="K32" i="6"/>
  <c r="J32" i="6"/>
  <c r="I32" i="6"/>
  <c r="H32" i="6"/>
  <c r="G32" i="6"/>
  <c r="F32" i="6"/>
  <c r="E32" i="6"/>
  <c r="D32" i="6"/>
  <c r="C32" i="6"/>
  <c r="B32" i="6"/>
  <c r="A32" i="6"/>
  <c r="BD31" i="6"/>
  <c r="L31" i="6"/>
  <c r="K31" i="6"/>
  <c r="J31" i="6"/>
  <c r="I31" i="6"/>
  <c r="H31" i="6"/>
  <c r="G31" i="6"/>
  <c r="F31" i="6"/>
  <c r="E31" i="6"/>
  <c r="D31" i="6"/>
  <c r="C31" i="6"/>
  <c r="B31" i="6"/>
  <c r="A31" i="6"/>
  <c r="BD30" i="6"/>
  <c r="Z30" i="6"/>
  <c r="Y30" i="6"/>
  <c r="X30" i="6"/>
  <c r="W30" i="6"/>
  <c r="V30" i="6"/>
  <c r="U30" i="6"/>
  <c r="T30" i="6"/>
  <c r="S30" i="6"/>
  <c r="R30" i="6"/>
  <c r="Q30" i="6"/>
  <c r="P30" i="6"/>
  <c r="O30" i="6"/>
  <c r="L30" i="6"/>
  <c r="K30" i="6"/>
  <c r="J30" i="6"/>
  <c r="I30" i="6"/>
  <c r="H30" i="6"/>
  <c r="G30" i="6"/>
  <c r="F30" i="6"/>
  <c r="E30" i="6"/>
  <c r="D30" i="6"/>
  <c r="C30" i="6"/>
  <c r="B30" i="6"/>
  <c r="A30" i="6"/>
  <c r="BD29" i="6"/>
  <c r="CT29" i="6" s="1"/>
  <c r="EJ29" i="6" s="1"/>
  <c r="BD28" i="6"/>
  <c r="CT28" i="6" s="1"/>
  <c r="EJ28" i="6" s="1"/>
  <c r="BD27" i="6"/>
  <c r="CT27" i="6" s="1"/>
  <c r="EJ27" i="6" s="1"/>
  <c r="BD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L26" i="6"/>
  <c r="K26" i="6"/>
  <c r="J26" i="6"/>
  <c r="I26" i="6"/>
  <c r="H26" i="6"/>
  <c r="G26" i="6"/>
  <c r="F26" i="6"/>
  <c r="E26" i="6"/>
  <c r="D26" i="6"/>
  <c r="C26" i="6"/>
  <c r="B26" i="6"/>
  <c r="A26" i="6"/>
  <c r="BD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L25" i="6"/>
  <c r="K25" i="6"/>
  <c r="J25" i="6"/>
  <c r="I25" i="6"/>
  <c r="H25" i="6"/>
  <c r="G25" i="6"/>
  <c r="F25" i="6"/>
  <c r="E25" i="6"/>
  <c r="D25" i="6"/>
  <c r="C25" i="6"/>
  <c r="B25" i="6"/>
  <c r="A25" i="6"/>
  <c r="BD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L24" i="6"/>
  <c r="K24" i="6"/>
  <c r="J24" i="6"/>
  <c r="I24" i="6"/>
  <c r="H24" i="6"/>
  <c r="G24" i="6"/>
  <c r="F24" i="6"/>
  <c r="E24" i="6"/>
  <c r="D24" i="6"/>
  <c r="C24" i="6"/>
  <c r="B24" i="6"/>
  <c r="A24" i="6"/>
  <c r="BD23" i="6"/>
  <c r="CT23" i="6" s="1"/>
  <c r="EJ23" i="6" s="1"/>
  <c r="AN23" i="6"/>
  <c r="AM23" i="6"/>
  <c r="AL23" i="6"/>
  <c r="AK23" i="6"/>
  <c r="AJ23" i="6"/>
  <c r="AI23" i="6"/>
  <c r="AH23" i="6"/>
  <c r="AG23" i="6"/>
  <c r="AF23" i="6"/>
  <c r="AE23" i="6"/>
  <c r="AD23" i="6"/>
  <c r="AC23" i="6"/>
  <c r="Z23" i="6"/>
  <c r="Y23" i="6"/>
  <c r="X23" i="6"/>
  <c r="W23" i="6"/>
  <c r="V23" i="6"/>
  <c r="U23" i="6"/>
  <c r="T23" i="6"/>
  <c r="S23" i="6"/>
  <c r="R23" i="6"/>
  <c r="Q23" i="6"/>
  <c r="P23" i="6"/>
  <c r="O23" i="6"/>
  <c r="L23" i="6"/>
  <c r="K23" i="6"/>
  <c r="J23" i="6"/>
  <c r="I23" i="6"/>
  <c r="H23" i="6"/>
  <c r="G23" i="6"/>
  <c r="F23" i="6"/>
  <c r="E23" i="6"/>
  <c r="D23" i="6"/>
  <c r="C23" i="6"/>
  <c r="B23" i="6"/>
  <c r="A23" i="6"/>
  <c r="BD22" i="6"/>
  <c r="CT22" i="6" s="1"/>
  <c r="EJ22" i="6" s="1"/>
  <c r="BD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L21" i="6"/>
  <c r="K21" i="6"/>
  <c r="J21" i="6"/>
  <c r="I21" i="6"/>
  <c r="H21" i="6"/>
  <c r="G21" i="6"/>
  <c r="F21" i="6"/>
  <c r="E21" i="6"/>
  <c r="D21" i="6"/>
  <c r="C21" i="6"/>
  <c r="B21" i="6"/>
  <c r="A21" i="6"/>
  <c r="BD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L20" i="6"/>
  <c r="K20" i="6"/>
  <c r="J20" i="6"/>
  <c r="I20" i="6"/>
  <c r="H20" i="6"/>
  <c r="G20" i="6"/>
  <c r="F20" i="6"/>
  <c r="E20" i="6"/>
  <c r="D20" i="6"/>
  <c r="C20" i="6"/>
  <c r="B20" i="6"/>
  <c r="A20" i="6"/>
  <c r="BD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L19" i="6"/>
  <c r="K19" i="6"/>
  <c r="J19" i="6"/>
  <c r="I19" i="6"/>
  <c r="H19" i="6"/>
  <c r="G19" i="6"/>
  <c r="F19" i="6"/>
  <c r="E19" i="6"/>
  <c r="D19" i="6"/>
  <c r="C19" i="6"/>
  <c r="B19" i="6"/>
  <c r="A19" i="6"/>
  <c r="BD18" i="6"/>
  <c r="CT18" i="6" s="1"/>
  <c r="EJ18" i="6" s="1"/>
  <c r="AN18" i="6"/>
  <c r="AM18" i="6"/>
  <c r="AL18" i="6"/>
  <c r="AK18" i="6"/>
  <c r="AJ18" i="6"/>
  <c r="AI18" i="6"/>
  <c r="AH18" i="6"/>
  <c r="AG18" i="6"/>
  <c r="AF18" i="6"/>
  <c r="AE18" i="6"/>
  <c r="AD18" i="6"/>
  <c r="AC18" i="6"/>
  <c r="Z18" i="6"/>
  <c r="Y18" i="6"/>
  <c r="X18" i="6"/>
  <c r="W18" i="6"/>
  <c r="V18" i="6"/>
  <c r="U18" i="6"/>
  <c r="T18" i="6"/>
  <c r="S18" i="6"/>
  <c r="R18" i="6"/>
  <c r="Q18" i="6"/>
  <c r="P18" i="6"/>
  <c r="O18" i="6"/>
  <c r="L18" i="6"/>
  <c r="K18" i="6"/>
  <c r="J18" i="6"/>
  <c r="I18" i="6"/>
  <c r="H18" i="6"/>
  <c r="G18" i="6"/>
  <c r="F18" i="6"/>
  <c r="E18" i="6"/>
  <c r="D18" i="6"/>
  <c r="C18" i="6"/>
  <c r="B18" i="6"/>
  <c r="A18" i="6"/>
  <c r="BD17" i="6"/>
  <c r="CT17" i="6" s="1"/>
  <c r="EJ17" i="6" s="1"/>
  <c r="BD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L16" i="6"/>
  <c r="K16" i="6"/>
  <c r="J16" i="6"/>
  <c r="I16" i="6"/>
  <c r="H16" i="6"/>
  <c r="G16" i="6"/>
  <c r="F16" i="6"/>
  <c r="E16" i="6"/>
  <c r="D16" i="6"/>
  <c r="C16" i="6"/>
  <c r="B16" i="6"/>
  <c r="A16" i="6"/>
  <c r="BD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L15" i="6"/>
  <c r="K15" i="6"/>
  <c r="J15" i="6"/>
  <c r="I15" i="6"/>
  <c r="H15" i="6"/>
  <c r="G15" i="6"/>
  <c r="F15" i="6"/>
  <c r="E15" i="6"/>
  <c r="D15" i="6"/>
  <c r="C15" i="6"/>
  <c r="B15" i="6"/>
  <c r="A15" i="6"/>
  <c r="BD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L14" i="6"/>
  <c r="K14" i="6"/>
  <c r="J14" i="6"/>
  <c r="I14" i="6"/>
  <c r="H14" i="6"/>
  <c r="G14" i="6"/>
  <c r="F14" i="6"/>
  <c r="E14" i="6"/>
  <c r="D14" i="6"/>
  <c r="C14" i="6"/>
  <c r="B14" i="6"/>
  <c r="A14" i="6"/>
  <c r="BD13" i="6"/>
  <c r="CT13" i="6" s="1"/>
  <c r="EJ13" i="6" s="1"/>
  <c r="AN12" i="6"/>
  <c r="AM12" i="6"/>
  <c r="AL12" i="6"/>
  <c r="AK12" i="6"/>
  <c r="AJ12" i="6"/>
  <c r="AI12" i="6"/>
  <c r="AH12" i="6"/>
  <c r="AG12" i="6"/>
  <c r="AF12" i="6"/>
  <c r="AE12" i="6"/>
  <c r="AD12" i="6"/>
  <c r="AC12" i="6"/>
  <c r="Z12" i="6"/>
  <c r="Y12" i="6"/>
  <c r="X12" i="6"/>
  <c r="W12" i="6"/>
  <c r="V12" i="6"/>
  <c r="U12" i="6"/>
  <c r="T12" i="6"/>
  <c r="S12" i="6"/>
  <c r="R12" i="6"/>
  <c r="Q12" i="6"/>
  <c r="P12" i="6"/>
  <c r="O12" i="6"/>
  <c r="L12" i="6"/>
  <c r="K12" i="6"/>
  <c r="J12" i="6"/>
  <c r="I12" i="6"/>
  <c r="H12" i="6"/>
  <c r="G12" i="6"/>
  <c r="F12" i="6"/>
  <c r="E12" i="6"/>
  <c r="D12" i="6"/>
  <c r="C12" i="6"/>
  <c r="B12" i="6"/>
  <c r="A12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Z11" i="6"/>
  <c r="Y11" i="6"/>
  <c r="X11" i="6"/>
  <c r="W11" i="6"/>
  <c r="V11" i="6"/>
  <c r="U11" i="6"/>
  <c r="T11" i="6"/>
  <c r="S11" i="6"/>
  <c r="R11" i="6"/>
  <c r="Q11" i="6"/>
  <c r="P11" i="6"/>
  <c r="O11" i="6"/>
  <c r="L11" i="6"/>
  <c r="K11" i="6"/>
  <c r="J11" i="6"/>
  <c r="I11" i="6"/>
  <c r="H11" i="6"/>
  <c r="G11" i="6"/>
  <c r="F11" i="6"/>
  <c r="E11" i="6"/>
  <c r="D11" i="6"/>
  <c r="C11" i="6"/>
  <c r="B11" i="6"/>
  <c r="A11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Z10" i="6"/>
  <c r="Y10" i="6"/>
  <c r="X10" i="6"/>
  <c r="W10" i="6"/>
  <c r="V10" i="6"/>
  <c r="U10" i="6"/>
  <c r="T10" i="6"/>
  <c r="S10" i="6"/>
  <c r="R10" i="6"/>
  <c r="Q10" i="6"/>
  <c r="P10" i="6"/>
  <c r="O10" i="6"/>
  <c r="L10" i="6"/>
  <c r="K10" i="6"/>
  <c r="J10" i="6"/>
  <c r="I10" i="6"/>
  <c r="H10" i="6"/>
  <c r="G10" i="6"/>
  <c r="F10" i="6"/>
  <c r="E10" i="6"/>
  <c r="D10" i="6"/>
  <c r="C10" i="6"/>
  <c r="B10" i="6"/>
  <c r="A10" i="6"/>
  <c r="AN9" i="6"/>
  <c r="AM9" i="6"/>
  <c r="AL9" i="6"/>
  <c r="AK9" i="6"/>
  <c r="AJ9" i="6"/>
  <c r="AI9" i="6"/>
  <c r="AH9" i="6"/>
  <c r="AG9" i="6"/>
  <c r="AF9" i="6"/>
  <c r="AE9" i="6"/>
  <c r="AD9" i="6"/>
  <c r="AC9" i="6"/>
  <c r="Z9" i="6"/>
  <c r="Y9" i="6"/>
  <c r="X9" i="6"/>
  <c r="W9" i="6"/>
  <c r="V9" i="6"/>
  <c r="U9" i="6"/>
  <c r="T9" i="6"/>
  <c r="S9" i="6"/>
  <c r="R9" i="6"/>
  <c r="Q9" i="6"/>
  <c r="P9" i="6"/>
  <c r="O9" i="6"/>
  <c r="L9" i="6"/>
  <c r="K9" i="6"/>
  <c r="J9" i="6"/>
  <c r="I9" i="6"/>
  <c r="H9" i="6"/>
  <c r="G9" i="6"/>
  <c r="F9" i="6"/>
  <c r="E9" i="6"/>
  <c r="D9" i="6"/>
  <c r="C9" i="6"/>
  <c r="B9" i="6"/>
  <c r="A9" i="6"/>
  <c r="BD8" i="6"/>
  <c r="CT8" i="6" s="1"/>
  <c r="EJ8" i="6" s="1"/>
  <c r="BD7" i="6"/>
  <c r="AN7" i="6"/>
  <c r="AM7" i="6"/>
  <c r="AL7" i="6"/>
  <c r="AK7" i="6"/>
  <c r="AJ7" i="6"/>
  <c r="AI7" i="6"/>
  <c r="AH7" i="6"/>
  <c r="AG7" i="6"/>
  <c r="AF7" i="6"/>
  <c r="AE7" i="6"/>
  <c r="AD7" i="6"/>
  <c r="AC7" i="6"/>
  <c r="L7" i="6"/>
  <c r="K7" i="6"/>
  <c r="J7" i="6"/>
  <c r="I7" i="6"/>
  <c r="H7" i="6"/>
  <c r="G7" i="6"/>
  <c r="F7" i="6"/>
  <c r="E7" i="6"/>
  <c r="D7" i="6"/>
  <c r="C7" i="6"/>
  <c r="B7" i="6"/>
  <c r="A7" i="6"/>
  <c r="BD6" i="6"/>
  <c r="CT6" i="6" s="1"/>
  <c r="EJ6" i="6" s="1"/>
  <c r="BD5" i="6"/>
  <c r="CT5" i="6" s="1"/>
  <c r="EJ5" i="6" s="1"/>
  <c r="BD4" i="6"/>
  <c r="CT4" i="6" s="1"/>
  <c r="EJ4" i="6" s="1"/>
  <c r="AN4" i="6"/>
  <c r="AM4" i="6"/>
  <c r="AL4" i="6"/>
  <c r="AK4" i="6"/>
  <c r="AJ4" i="6"/>
  <c r="AI4" i="6"/>
  <c r="AH4" i="6"/>
  <c r="AG4" i="6"/>
  <c r="AF4" i="6"/>
  <c r="AE4" i="6"/>
  <c r="AD4" i="6"/>
  <c r="AC4" i="6"/>
  <c r="Z4" i="6"/>
  <c r="Y4" i="6"/>
  <c r="X4" i="6"/>
  <c r="W4" i="6"/>
  <c r="V4" i="6"/>
  <c r="U4" i="6"/>
  <c r="T4" i="6"/>
  <c r="S4" i="6"/>
  <c r="R4" i="6"/>
  <c r="Q4" i="6"/>
  <c r="P4" i="6"/>
  <c r="O4" i="6"/>
  <c r="L4" i="6"/>
  <c r="K4" i="6"/>
  <c r="J4" i="6"/>
  <c r="I4" i="6"/>
  <c r="H4" i="6"/>
  <c r="G4" i="6"/>
  <c r="F4" i="6"/>
  <c r="E4" i="6"/>
  <c r="D4" i="6"/>
  <c r="C4" i="6"/>
  <c r="B4" i="6"/>
  <c r="A4" i="6"/>
  <c r="BD3" i="6"/>
  <c r="CT3" i="6" s="1"/>
  <c r="EJ3" i="6" s="1"/>
  <c r="BD1" i="6"/>
  <c r="CT1" i="6" s="1"/>
  <c r="EJ1" i="6" s="1"/>
  <c r="AN69" i="7"/>
  <c r="AM69" i="7"/>
  <c r="AL69" i="7"/>
  <c r="AK69" i="7"/>
  <c r="AJ69" i="7"/>
  <c r="AI69" i="7"/>
  <c r="AH69" i="7"/>
  <c r="AG69" i="7"/>
  <c r="AF69" i="7"/>
  <c r="AE69" i="7"/>
  <c r="AD69" i="7"/>
  <c r="AC69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N66" i="7"/>
  <c r="AM66" i="7"/>
  <c r="AL66" i="7"/>
  <c r="AK66" i="7"/>
  <c r="AJ66" i="7"/>
  <c r="AI66" i="7"/>
  <c r="AH66" i="7"/>
  <c r="AG66" i="7"/>
  <c r="AF66" i="7"/>
  <c r="AE66" i="7"/>
  <c r="AD66" i="7"/>
  <c r="AC66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N9" i="7"/>
  <c r="AM9" i="7"/>
  <c r="AL9" i="7"/>
  <c r="AK9" i="7"/>
  <c r="AJ9" i="7"/>
  <c r="AI9" i="7"/>
  <c r="AH9" i="7"/>
  <c r="AG9" i="7"/>
  <c r="AF9" i="7"/>
  <c r="AE9" i="7"/>
  <c r="AD9" i="7"/>
  <c r="AC9" i="7"/>
  <c r="AN7" i="7"/>
  <c r="AM7" i="7"/>
  <c r="AL7" i="7"/>
  <c r="AK7" i="7"/>
  <c r="AJ7" i="7"/>
  <c r="AI7" i="7"/>
  <c r="AH7" i="7"/>
  <c r="AG7" i="7"/>
  <c r="AF7" i="7"/>
  <c r="AE7" i="7"/>
  <c r="AD7" i="7"/>
  <c r="AC7" i="7"/>
  <c r="AN4" i="7"/>
  <c r="AM4" i="7"/>
  <c r="AL4" i="7"/>
  <c r="AK4" i="7"/>
  <c r="AJ4" i="7"/>
  <c r="AI4" i="7"/>
  <c r="AH4" i="7"/>
  <c r="AG4" i="7"/>
  <c r="AF4" i="7"/>
  <c r="AE4" i="7"/>
  <c r="AD4" i="7"/>
  <c r="AC4" i="7"/>
  <c r="Z56" i="7"/>
  <c r="Y56" i="7"/>
  <c r="X56" i="7"/>
  <c r="AB56" i="7" s="1"/>
  <c r="W56" i="7"/>
  <c r="V56" i="7"/>
  <c r="U56" i="7"/>
  <c r="T56" i="7"/>
  <c r="S56" i="7"/>
  <c r="R56" i="7"/>
  <c r="Q56" i="7"/>
  <c r="P56" i="7"/>
  <c r="O56" i="7"/>
  <c r="Z53" i="7"/>
  <c r="Y53" i="7"/>
  <c r="X53" i="7"/>
  <c r="AB53" i="7" s="1"/>
  <c r="W53" i="7"/>
  <c r="V53" i="7"/>
  <c r="U53" i="7"/>
  <c r="T53" i="7"/>
  <c r="S53" i="7"/>
  <c r="R53" i="7"/>
  <c r="Q53" i="7"/>
  <c r="P53" i="7"/>
  <c r="O53" i="7"/>
  <c r="Z52" i="7"/>
  <c r="Y52" i="7"/>
  <c r="X52" i="7"/>
  <c r="AB52" i="7" s="1"/>
  <c r="W52" i="7"/>
  <c r="V52" i="7"/>
  <c r="U52" i="7"/>
  <c r="T52" i="7"/>
  <c r="S52" i="7"/>
  <c r="R52" i="7"/>
  <c r="Q52" i="7"/>
  <c r="P52" i="7"/>
  <c r="O52" i="7"/>
  <c r="Z50" i="7"/>
  <c r="Y50" i="7"/>
  <c r="X50" i="7"/>
  <c r="AB50" i="7" s="1"/>
  <c r="W50" i="7"/>
  <c r="V50" i="7"/>
  <c r="U50" i="7"/>
  <c r="T50" i="7"/>
  <c r="S50" i="7"/>
  <c r="R50" i="7"/>
  <c r="Q50" i="7"/>
  <c r="P50" i="7"/>
  <c r="O50" i="7"/>
  <c r="Z37" i="7"/>
  <c r="Y37" i="7"/>
  <c r="X37" i="7"/>
  <c r="AB37" i="7" s="1"/>
  <c r="W37" i="7"/>
  <c r="V37" i="7"/>
  <c r="U37" i="7"/>
  <c r="T37" i="7"/>
  <c r="S37" i="7"/>
  <c r="R37" i="7"/>
  <c r="Q37" i="7"/>
  <c r="P37" i="7"/>
  <c r="O37" i="7"/>
  <c r="Z30" i="7"/>
  <c r="Y30" i="7"/>
  <c r="X30" i="7"/>
  <c r="W30" i="7"/>
  <c r="V30" i="7"/>
  <c r="U30" i="7"/>
  <c r="T30" i="7"/>
  <c r="S30" i="7"/>
  <c r="R30" i="7"/>
  <c r="Q30" i="7"/>
  <c r="P30" i="7"/>
  <c r="O30" i="7"/>
  <c r="Z23" i="7"/>
  <c r="Y23" i="7"/>
  <c r="X23" i="7"/>
  <c r="W23" i="7"/>
  <c r="V23" i="7"/>
  <c r="U23" i="7"/>
  <c r="T23" i="7"/>
  <c r="S23" i="7"/>
  <c r="R23" i="7"/>
  <c r="Q23" i="7"/>
  <c r="P23" i="7"/>
  <c r="O23" i="7"/>
  <c r="Z18" i="7"/>
  <c r="Y18" i="7"/>
  <c r="X18" i="7"/>
  <c r="W18" i="7"/>
  <c r="V18" i="7"/>
  <c r="U18" i="7"/>
  <c r="T18" i="7"/>
  <c r="S18" i="7"/>
  <c r="R18" i="7"/>
  <c r="Q18" i="7"/>
  <c r="P18" i="7"/>
  <c r="O18" i="7"/>
  <c r="Z12" i="7"/>
  <c r="Y12" i="7"/>
  <c r="X12" i="7"/>
  <c r="W12" i="7"/>
  <c r="V12" i="7"/>
  <c r="U12" i="7"/>
  <c r="T12" i="7"/>
  <c r="S12" i="7"/>
  <c r="R12" i="7"/>
  <c r="Q12" i="7"/>
  <c r="P12" i="7"/>
  <c r="O12" i="7"/>
  <c r="Z11" i="7"/>
  <c r="Y11" i="7"/>
  <c r="X11" i="7"/>
  <c r="W11" i="7"/>
  <c r="V11" i="7"/>
  <c r="U11" i="7"/>
  <c r="T11" i="7"/>
  <c r="S11" i="7"/>
  <c r="R11" i="7"/>
  <c r="Q11" i="7"/>
  <c r="P11" i="7"/>
  <c r="O11" i="7"/>
  <c r="Z10" i="7"/>
  <c r="Y10" i="7"/>
  <c r="X10" i="7"/>
  <c r="W10" i="7"/>
  <c r="V10" i="7"/>
  <c r="U10" i="7"/>
  <c r="T10" i="7"/>
  <c r="S10" i="7"/>
  <c r="R10" i="7"/>
  <c r="Q10" i="7"/>
  <c r="P10" i="7"/>
  <c r="O10" i="7"/>
  <c r="Z9" i="7"/>
  <c r="Y9" i="7"/>
  <c r="X9" i="7"/>
  <c r="W9" i="7"/>
  <c r="V9" i="7"/>
  <c r="U9" i="7"/>
  <c r="T9" i="7"/>
  <c r="S9" i="7"/>
  <c r="R9" i="7"/>
  <c r="Q9" i="7"/>
  <c r="P9" i="7"/>
  <c r="O9" i="7"/>
  <c r="Z4" i="7"/>
  <c r="Y4" i="7"/>
  <c r="X4" i="7"/>
  <c r="W4" i="7"/>
  <c r="V4" i="7"/>
  <c r="U4" i="7"/>
  <c r="T4" i="7"/>
  <c r="S4" i="7"/>
  <c r="R4" i="7"/>
  <c r="Q4" i="7"/>
  <c r="P4" i="7"/>
  <c r="O4" i="7"/>
  <c r="L69" i="7"/>
  <c r="K69" i="7"/>
  <c r="J69" i="7"/>
  <c r="I69" i="7"/>
  <c r="H69" i="7"/>
  <c r="G69" i="7"/>
  <c r="F69" i="7"/>
  <c r="E69" i="7"/>
  <c r="D69" i="7"/>
  <c r="C69" i="7"/>
  <c r="B69" i="7"/>
  <c r="L68" i="7"/>
  <c r="K68" i="7"/>
  <c r="J68" i="7"/>
  <c r="I68" i="7"/>
  <c r="H68" i="7"/>
  <c r="G68" i="7"/>
  <c r="F68" i="7"/>
  <c r="E68" i="7"/>
  <c r="D68" i="7"/>
  <c r="C68" i="7"/>
  <c r="B68" i="7"/>
  <c r="L67" i="7"/>
  <c r="K67" i="7"/>
  <c r="J67" i="7"/>
  <c r="I67" i="7"/>
  <c r="H67" i="7"/>
  <c r="G67" i="7"/>
  <c r="F67" i="7"/>
  <c r="E67" i="7"/>
  <c r="D67" i="7"/>
  <c r="C67" i="7"/>
  <c r="B67" i="7"/>
  <c r="L66" i="7"/>
  <c r="K66" i="7"/>
  <c r="J66" i="7"/>
  <c r="I66" i="7"/>
  <c r="H66" i="7"/>
  <c r="G66" i="7"/>
  <c r="F66" i="7"/>
  <c r="E66" i="7"/>
  <c r="D66" i="7"/>
  <c r="C66" i="7"/>
  <c r="B66" i="7"/>
  <c r="L65" i="7"/>
  <c r="K65" i="7"/>
  <c r="J65" i="7"/>
  <c r="I65" i="7"/>
  <c r="H65" i="7"/>
  <c r="G65" i="7"/>
  <c r="F65" i="7"/>
  <c r="E65" i="7"/>
  <c r="D65" i="7"/>
  <c r="C65" i="7"/>
  <c r="B65" i="7"/>
  <c r="L64" i="7"/>
  <c r="K64" i="7"/>
  <c r="J64" i="7"/>
  <c r="I64" i="7"/>
  <c r="H64" i="7"/>
  <c r="G64" i="7"/>
  <c r="F64" i="7"/>
  <c r="E64" i="7"/>
  <c r="D64" i="7"/>
  <c r="C64" i="7"/>
  <c r="B64" i="7"/>
  <c r="L63" i="7"/>
  <c r="K63" i="7"/>
  <c r="J63" i="7"/>
  <c r="I63" i="7"/>
  <c r="H63" i="7"/>
  <c r="G63" i="7"/>
  <c r="F63" i="7"/>
  <c r="E63" i="7"/>
  <c r="D63" i="7"/>
  <c r="C63" i="7"/>
  <c r="B63" i="7"/>
  <c r="L62" i="7"/>
  <c r="K62" i="7"/>
  <c r="J62" i="7"/>
  <c r="I62" i="7"/>
  <c r="H62" i="7"/>
  <c r="G62" i="7"/>
  <c r="F62" i="7"/>
  <c r="E62" i="7"/>
  <c r="D62" i="7"/>
  <c r="C62" i="7"/>
  <c r="B62" i="7"/>
  <c r="L61" i="7"/>
  <c r="K61" i="7"/>
  <c r="J61" i="7"/>
  <c r="I61" i="7"/>
  <c r="H61" i="7"/>
  <c r="G61" i="7"/>
  <c r="F61" i="7"/>
  <c r="E61" i="7"/>
  <c r="D61" i="7"/>
  <c r="C61" i="7"/>
  <c r="B61" i="7"/>
  <c r="A69" i="7"/>
  <c r="A68" i="7"/>
  <c r="A67" i="7"/>
  <c r="A66" i="7"/>
  <c r="A65" i="7"/>
  <c r="A64" i="7"/>
  <c r="A63" i="7"/>
  <c r="A62" i="7"/>
  <c r="A61" i="7"/>
  <c r="L56" i="7"/>
  <c r="K56" i="7"/>
  <c r="J56" i="7"/>
  <c r="I56" i="7"/>
  <c r="H56" i="7"/>
  <c r="G56" i="7"/>
  <c r="F56" i="7"/>
  <c r="E56" i="7"/>
  <c r="D56" i="7"/>
  <c r="C56" i="7"/>
  <c r="B56" i="7"/>
  <c r="L55" i="7"/>
  <c r="K55" i="7"/>
  <c r="J55" i="7"/>
  <c r="I55" i="7"/>
  <c r="H55" i="7"/>
  <c r="G55" i="7"/>
  <c r="F55" i="7"/>
  <c r="E55" i="7"/>
  <c r="D55" i="7"/>
  <c r="C55" i="7"/>
  <c r="B55" i="7"/>
  <c r="A56" i="7"/>
  <c r="A55" i="7"/>
  <c r="L53" i="7"/>
  <c r="K53" i="7"/>
  <c r="J53" i="7"/>
  <c r="I53" i="7"/>
  <c r="H53" i="7"/>
  <c r="G53" i="7"/>
  <c r="F53" i="7"/>
  <c r="E53" i="7"/>
  <c r="D53" i="7"/>
  <c r="C53" i="7"/>
  <c r="B53" i="7"/>
  <c r="L52" i="7"/>
  <c r="K52" i="7"/>
  <c r="J52" i="7"/>
  <c r="I52" i="7"/>
  <c r="H52" i="7"/>
  <c r="G52" i="7"/>
  <c r="F52" i="7"/>
  <c r="E52" i="7"/>
  <c r="D52" i="7"/>
  <c r="C52" i="7"/>
  <c r="B52" i="7"/>
  <c r="L51" i="7"/>
  <c r="K51" i="7"/>
  <c r="J51" i="7"/>
  <c r="I51" i="7"/>
  <c r="H51" i="7"/>
  <c r="G51" i="7"/>
  <c r="F51" i="7"/>
  <c r="E51" i="7"/>
  <c r="D51" i="7"/>
  <c r="C51" i="7"/>
  <c r="B51" i="7"/>
  <c r="L50" i="7"/>
  <c r="K50" i="7"/>
  <c r="J50" i="7"/>
  <c r="I50" i="7"/>
  <c r="H50" i="7"/>
  <c r="G50" i="7"/>
  <c r="F50" i="7"/>
  <c r="E50" i="7"/>
  <c r="D50" i="7"/>
  <c r="C50" i="7"/>
  <c r="B50" i="7"/>
  <c r="A53" i="7"/>
  <c r="A52" i="7"/>
  <c r="A51" i="7"/>
  <c r="A50" i="7"/>
  <c r="L46" i="7"/>
  <c r="K46" i="7"/>
  <c r="J46" i="7"/>
  <c r="I46" i="7"/>
  <c r="H46" i="7"/>
  <c r="G46" i="7"/>
  <c r="F46" i="7"/>
  <c r="E46" i="7"/>
  <c r="D46" i="7"/>
  <c r="C46" i="7"/>
  <c r="B46" i="7"/>
  <c r="A46" i="7"/>
  <c r="L45" i="7"/>
  <c r="K45" i="7"/>
  <c r="J45" i="7"/>
  <c r="I45" i="7"/>
  <c r="H45" i="7"/>
  <c r="G45" i="7"/>
  <c r="F45" i="7"/>
  <c r="E45" i="7"/>
  <c r="D45" i="7"/>
  <c r="C45" i="7"/>
  <c r="B45" i="7"/>
  <c r="A45" i="7"/>
  <c r="L44" i="7"/>
  <c r="K44" i="7"/>
  <c r="J44" i="7"/>
  <c r="I44" i="7"/>
  <c r="H44" i="7"/>
  <c r="G44" i="7"/>
  <c r="F44" i="7"/>
  <c r="E44" i="7"/>
  <c r="D44" i="7"/>
  <c r="C44" i="7"/>
  <c r="B44" i="7"/>
  <c r="A44" i="7"/>
  <c r="L42" i="7"/>
  <c r="K42" i="7"/>
  <c r="J42" i="7"/>
  <c r="I42" i="7"/>
  <c r="H42" i="7"/>
  <c r="G42" i="7"/>
  <c r="F42" i="7"/>
  <c r="E42" i="7"/>
  <c r="D42" i="7"/>
  <c r="C42" i="7"/>
  <c r="B42" i="7"/>
  <c r="L41" i="7"/>
  <c r="K41" i="7"/>
  <c r="J41" i="7"/>
  <c r="I41" i="7"/>
  <c r="H41" i="7"/>
  <c r="G41" i="7"/>
  <c r="F41" i="7"/>
  <c r="E41" i="7"/>
  <c r="D41" i="7"/>
  <c r="C41" i="7"/>
  <c r="B41" i="7"/>
  <c r="L40" i="7"/>
  <c r="K40" i="7"/>
  <c r="J40" i="7"/>
  <c r="I40" i="7"/>
  <c r="H40" i="7"/>
  <c r="G40" i="7"/>
  <c r="F40" i="7"/>
  <c r="E40" i="7"/>
  <c r="D40" i="7"/>
  <c r="C40" i="7"/>
  <c r="B40" i="7"/>
  <c r="L39" i="7"/>
  <c r="K39" i="7"/>
  <c r="J39" i="7"/>
  <c r="I39" i="7"/>
  <c r="H39" i="7"/>
  <c r="G39" i="7"/>
  <c r="F39" i="7"/>
  <c r="E39" i="7"/>
  <c r="D39" i="7"/>
  <c r="C39" i="7"/>
  <c r="B39" i="7"/>
  <c r="A42" i="7"/>
  <c r="A41" i="7"/>
  <c r="A40" i="7"/>
  <c r="A39" i="7"/>
  <c r="L37" i="7"/>
  <c r="K37" i="7"/>
  <c r="J37" i="7"/>
  <c r="I37" i="7"/>
  <c r="H37" i="7"/>
  <c r="G37" i="7"/>
  <c r="F37" i="7"/>
  <c r="E37" i="7"/>
  <c r="D37" i="7"/>
  <c r="C37" i="7"/>
  <c r="B37" i="7"/>
  <c r="L36" i="7"/>
  <c r="K36" i="7"/>
  <c r="J36" i="7"/>
  <c r="I36" i="7"/>
  <c r="H36" i="7"/>
  <c r="G36" i="7"/>
  <c r="F36" i="7"/>
  <c r="E36" i="7"/>
  <c r="D36" i="7"/>
  <c r="C36" i="7"/>
  <c r="B36" i="7"/>
  <c r="L35" i="7"/>
  <c r="K35" i="7"/>
  <c r="J35" i="7"/>
  <c r="I35" i="7"/>
  <c r="H35" i="7"/>
  <c r="G35" i="7"/>
  <c r="F35" i="7"/>
  <c r="E35" i="7"/>
  <c r="D35" i="7"/>
  <c r="C35" i="7"/>
  <c r="B35" i="7"/>
  <c r="L34" i="7"/>
  <c r="K34" i="7"/>
  <c r="J34" i="7"/>
  <c r="I34" i="7"/>
  <c r="H34" i="7"/>
  <c r="G34" i="7"/>
  <c r="F34" i="7"/>
  <c r="E34" i="7"/>
  <c r="D34" i="7"/>
  <c r="C34" i="7"/>
  <c r="B34" i="7"/>
  <c r="L33" i="7"/>
  <c r="K33" i="7"/>
  <c r="J33" i="7"/>
  <c r="I33" i="7"/>
  <c r="H33" i="7"/>
  <c r="G33" i="7"/>
  <c r="F33" i="7"/>
  <c r="E33" i="7"/>
  <c r="D33" i="7"/>
  <c r="C33" i="7"/>
  <c r="B33" i="7"/>
  <c r="L32" i="7"/>
  <c r="K32" i="7"/>
  <c r="J32" i="7"/>
  <c r="I32" i="7"/>
  <c r="H32" i="7"/>
  <c r="G32" i="7"/>
  <c r="F32" i="7"/>
  <c r="E32" i="7"/>
  <c r="D32" i="7"/>
  <c r="C32" i="7"/>
  <c r="B32" i="7"/>
  <c r="L31" i="7"/>
  <c r="K31" i="7"/>
  <c r="J31" i="7"/>
  <c r="I31" i="7"/>
  <c r="H31" i="7"/>
  <c r="G31" i="7"/>
  <c r="F31" i="7"/>
  <c r="E31" i="7"/>
  <c r="D31" i="7"/>
  <c r="C31" i="7"/>
  <c r="B31" i="7"/>
  <c r="L30" i="7"/>
  <c r="K30" i="7"/>
  <c r="J30" i="7"/>
  <c r="I30" i="7"/>
  <c r="H30" i="7"/>
  <c r="G30" i="7"/>
  <c r="F30" i="7"/>
  <c r="E30" i="7"/>
  <c r="D30" i="7"/>
  <c r="C30" i="7"/>
  <c r="B30" i="7"/>
  <c r="A30" i="7"/>
  <c r="A37" i="7"/>
  <c r="A36" i="7"/>
  <c r="A35" i="7"/>
  <c r="A34" i="7"/>
  <c r="A33" i="7"/>
  <c r="A32" i="7"/>
  <c r="A31" i="7"/>
  <c r="L26" i="7"/>
  <c r="K26" i="7"/>
  <c r="J26" i="7"/>
  <c r="I26" i="7"/>
  <c r="H26" i="7"/>
  <c r="G26" i="7"/>
  <c r="F26" i="7"/>
  <c r="E26" i="7"/>
  <c r="D26" i="7"/>
  <c r="C26" i="7"/>
  <c r="B26" i="7"/>
  <c r="L25" i="7"/>
  <c r="K25" i="7"/>
  <c r="J25" i="7"/>
  <c r="I25" i="7"/>
  <c r="H25" i="7"/>
  <c r="G25" i="7"/>
  <c r="F25" i="7"/>
  <c r="E25" i="7"/>
  <c r="D25" i="7"/>
  <c r="C25" i="7"/>
  <c r="B25" i="7"/>
  <c r="L24" i="7"/>
  <c r="K24" i="7"/>
  <c r="J24" i="7"/>
  <c r="I24" i="7"/>
  <c r="H24" i="7"/>
  <c r="G24" i="7"/>
  <c r="F24" i="7"/>
  <c r="E24" i="7"/>
  <c r="D24" i="7"/>
  <c r="C24" i="7"/>
  <c r="B24" i="7"/>
  <c r="L23" i="7"/>
  <c r="K23" i="7"/>
  <c r="J23" i="7"/>
  <c r="I23" i="7"/>
  <c r="H23" i="7"/>
  <c r="G23" i="7"/>
  <c r="F23" i="7"/>
  <c r="E23" i="7"/>
  <c r="D23" i="7"/>
  <c r="C23" i="7"/>
  <c r="B23" i="7"/>
  <c r="L21" i="7"/>
  <c r="K21" i="7"/>
  <c r="J21" i="7"/>
  <c r="I21" i="7"/>
  <c r="H21" i="7"/>
  <c r="G21" i="7"/>
  <c r="F21" i="7"/>
  <c r="E21" i="7"/>
  <c r="D21" i="7"/>
  <c r="C21" i="7"/>
  <c r="B21" i="7"/>
  <c r="L20" i="7"/>
  <c r="K20" i="7"/>
  <c r="J20" i="7"/>
  <c r="I20" i="7"/>
  <c r="H20" i="7"/>
  <c r="G20" i="7"/>
  <c r="F20" i="7"/>
  <c r="E20" i="7"/>
  <c r="D20" i="7"/>
  <c r="C20" i="7"/>
  <c r="B20" i="7"/>
  <c r="L19" i="7"/>
  <c r="K19" i="7"/>
  <c r="J19" i="7"/>
  <c r="I19" i="7"/>
  <c r="H19" i="7"/>
  <c r="G19" i="7"/>
  <c r="F19" i="7"/>
  <c r="E19" i="7"/>
  <c r="D19" i="7"/>
  <c r="C19" i="7"/>
  <c r="B19" i="7"/>
  <c r="L18" i="7"/>
  <c r="K18" i="7"/>
  <c r="J18" i="7"/>
  <c r="I18" i="7"/>
  <c r="H18" i="7"/>
  <c r="G18" i="7"/>
  <c r="F18" i="7"/>
  <c r="E18" i="7"/>
  <c r="D18" i="7"/>
  <c r="C18" i="7"/>
  <c r="B18" i="7"/>
  <c r="L16" i="7"/>
  <c r="K16" i="7"/>
  <c r="J16" i="7"/>
  <c r="I16" i="7"/>
  <c r="H16" i="7"/>
  <c r="G16" i="7"/>
  <c r="F16" i="7"/>
  <c r="E16" i="7"/>
  <c r="D16" i="7"/>
  <c r="C16" i="7"/>
  <c r="B16" i="7"/>
  <c r="L15" i="7"/>
  <c r="K15" i="7"/>
  <c r="J15" i="7"/>
  <c r="I15" i="7"/>
  <c r="H15" i="7"/>
  <c r="G15" i="7"/>
  <c r="F15" i="7"/>
  <c r="E15" i="7"/>
  <c r="D15" i="7"/>
  <c r="C15" i="7"/>
  <c r="B15" i="7"/>
  <c r="L14" i="7"/>
  <c r="K14" i="7"/>
  <c r="J14" i="7"/>
  <c r="I14" i="7"/>
  <c r="H14" i="7"/>
  <c r="G14" i="7"/>
  <c r="F14" i="7"/>
  <c r="E14" i="7"/>
  <c r="D14" i="7"/>
  <c r="C14" i="7"/>
  <c r="B14" i="7"/>
  <c r="L12" i="7"/>
  <c r="K12" i="7"/>
  <c r="J12" i="7"/>
  <c r="I12" i="7"/>
  <c r="H12" i="7"/>
  <c r="G12" i="7"/>
  <c r="F12" i="7"/>
  <c r="E12" i="7"/>
  <c r="D12" i="7"/>
  <c r="C12" i="7"/>
  <c r="B12" i="7"/>
  <c r="L11" i="7"/>
  <c r="K11" i="7"/>
  <c r="J11" i="7"/>
  <c r="I11" i="7"/>
  <c r="H11" i="7"/>
  <c r="G11" i="7"/>
  <c r="F11" i="7"/>
  <c r="E11" i="7"/>
  <c r="D11" i="7"/>
  <c r="C11" i="7"/>
  <c r="B11" i="7"/>
  <c r="L10" i="7"/>
  <c r="K10" i="7"/>
  <c r="J10" i="7"/>
  <c r="I10" i="7"/>
  <c r="H10" i="7"/>
  <c r="G10" i="7"/>
  <c r="F10" i="7"/>
  <c r="E10" i="7"/>
  <c r="D10" i="7"/>
  <c r="C10" i="7"/>
  <c r="B10" i="7"/>
  <c r="L9" i="7"/>
  <c r="K9" i="7"/>
  <c r="J9" i="7"/>
  <c r="I9" i="7"/>
  <c r="H9" i="7"/>
  <c r="G9" i="7"/>
  <c r="F9" i="7"/>
  <c r="E9" i="7"/>
  <c r="D9" i="7"/>
  <c r="C9" i="7"/>
  <c r="B9" i="7"/>
  <c r="L7" i="7"/>
  <c r="K7" i="7"/>
  <c r="J7" i="7"/>
  <c r="I7" i="7"/>
  <c r="H7" i="7"/>
  <c r="G7" i="7"/>
  <c r="F7" i="7"/>
  <c r="E7" i="7"/>
  <c r="D7" i="7"/>
  <c r="C7" i="7"/>
  <c r="B7" i="7"/>
  <c r="L4" i="7"/>
  <c r="K4" i="7"/>
  <c r="J4" i="7"/>
  <c r="I4" i="7"/>
  <c r="H4" i="7"/>
  <c r="G4" i="7"/>
  <c r="F4" i="7"/>
  <c r="E4" i="7"/>
  <c r="D4" i="7"/>
  <c r="C4" i="7"/>
  <c r="B4" i="7"/>
  <c r="AN239" i="7"/>
  <c r="AM239" i="7"/>
  <c r="AL239" i="7"/>
  <c r="AK239" i="7"/>
  <c r="AJ239" i="7"/>
  <c r="AI239" i="7"/>
  <c r="AH239" i="7"/>
  <c r="AG239" i="7"/>
  <c r="AF239" i="7"/>
  <c r="AE239" i="7"/>
  <c r="AD239" i="7"/>
  <c r="AC239" i="7"/>
  <c r="AN238" i="7"/>
  <c r="AM238" i="7"/>
  <c r="AL238" i="7"/>
  <c r="AK238" i="7"/>
  <c r="AJ238" i="7"/>
  <c r="AI238" i="7"/>
  <c r="AH238" i="7"/>
  <c r="AG238" i="7"/>
  <c r="AF238" i="7"/>
  <c r="AE238" i="7"/>
  <c r="AD238" i="7"/>
  <c r="AC238" i="7"/>
  <c r="AN237" i="7"/>
  <c r="AM237" i="7"/>
  <c r="AL237" i="7"/>
  <c r="AK237" i="7"/>
  <c r="AJ237" i="7"/>
  <c r="AI237" i="7"/>
  <c r="AH237" i="7"/>
  <c r="AG237" i="7"/>
  <c r="AF237" i="7"/>
  <c r="AE237" i="7"/>
  <c r="AD237" i="7"/>
  <c r="AC237" i="7"/>
  <c r="AN222" i="7"/>
  <c r="AM222" i="7"/>
  <c r="AL222" i="7"/>
  <c r="AK222" i="7"/>
  <c r="AJ222" i="7"/>
  <c r="AI222" i="7"/>
  <c r="AH222" i="7"/>
  <c r="AG222" i="7"/>
  <c r="AF222" i="7"/>
  <c r="AE222" i="7"/>
  <c r="AD222" i="7"/>
  <c r="AC222" i="7"/>
  <c r="AN221" i="7"/>
  <c r="AM221" i="7"/>
  <c r="AL221" i="7"/>
  <c r="AK221" i="7"/>
  <c r="AJ221" i="7"/>
  <c r="AI221" i="7"/>
  <c r="AH221" i="7"/>
  <c r="AG221" i="7"/>
  <c r="AF221" i="7"/>
  <c r="AE221" i="7"/>
  <c r="AD221" i="7"/>
  <c r="AC221" i="7"/>
  <c r="AN220" i="7"/>
  <c r="AM220" i="7"/>
  <c r="AL220" i="7"/>
  <c r="AK220" i="7"/>
  <c r="AJ220" i="7"/>
  <c r="AI220" i="7"/>
  <c r="AH220" i="7"/>
  <c r="AG220" i="7"/>
  <c r="AF220" i="7"/>
  <c r="AE220" i="7"/>
  <c r="AD220" i="7"/>
  <c r="AC220" i="7"/>
  <c r="AN217" i="7"/>
  <c r="AM217" i="7"/>
  <c r="AL217" i="7"/>
  <c r="AK217" i="7"/>
  <c r="AJ217" i="7"/>
  <c r="AI217" i="7"/>
  <c r="AH217" i="7"/>
  <c r="AG217" i="7"/>
  <c r="AF217" i="7"/>
  <c r="AE217" i="7"/>
  <c r="AD217" i="7"/>
  <c r="AC217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Z239" i="7"/>
  <c r="Y239" i="7"/>
  <c r="X239" i="7"/>
  <c r="AB239" i="7" s="1"/>
  <c r="W239" i="7"/>
  <c r="V239" i="7"/>
  <c r="U239" i="7"/>
  <c r="T239" i="7"/>
  <c r="S239" i="7"/>
  <c r="R239" i="7"/>
  <c r="Q239" i="7"/>
  <c r="P239" i="7"/>
  <c r="O239" i="7"/>
  <c r="Z238" i="7"/>
  <c r="Y238" i="7"/>
  <c r="X238" i="7"/>
  <c r="AB238" i="7" s="1"/>
  <c r="W238" i="7"/>
  <c r="V238" i="7"/>
  <c r="U238" i="7"/>
  <c r="T238" i="7"/>
  <c r="S238" i="7"/>
  <c r="R238" i="7"/>
  <c r="Q238" i="7"/>
  <c r="P238" i="7"/>
  <c r="O238" i="7"/>
  <c r="Z237" i="7"/>
  <c r="Y237" i="7"/>
  <c r="X237" i="7"/>
  <c r="AB237" i="7" s="1"/>
  <c r="W237" i="7"/>
  <c r="V237" i="7"/>
  <c r="U237" i="7"/>
  <c r="T237" i="7"/>
  <c r="S237" i="7"/>
  <c r="R237" i="7"/>
  <c r="Q237" i="7"/>
  <c r="P237" i="7"/>
  <c r="O237" i="7"/>
  <c r="Z217" i="7"/>
  <c r="Y217" i="7"/>
  <c r="X217" i="7"/>
  <c r="AB217" i="7" s="1"/>
  <c r="W217" i="7"/>
  <c r="V217" i="7"/>
  <c r="U217" i="7"/>
  <c r="T217" i="7"/>
  <c r="S217" i="7"/>
  <c r="R217" i="7"/>
  <c r="Q217" i="7"/>
  <c r="P217" i="7"/>
  <c r="O217" i="7"/>
  <c r="A7" i="7"/>
  <c r="AB238" i="6" l="1"/>
  <c r="AB236" i="5"/>
  <c r="AZ71" i="4"/>
  <c r="X47" i="8"/>
  <c r="AB47" i="8" s="1"/>
  <c r="AB43" i="8"/>
  <c r="X156" i="8"/>
  <c r="AB156" i="8" s="1"/>
  <c r="AB209" i="8"/>
  <c r="AR71" i="4"/>
  <c r="DX71" i="4"/>
  <c r="DX72" i="4" s="1"/>
  <c r="AS233" i="6"/>
  <c r="AS249" i="6" s="1"/>
  <c r="AS250" i="6" s="1"/>
  <c r="AS71" i="4"/>
  <c r="AS72" i="4" s="1"/>
  <c r="DY71" i="4"/>
  <c r="DY72" i="4" s="1"/>
  <c r="EH71" i="4"/>
  <c r="EH72" i="4" s="1"/>
  <c r="CH71" i="4"/>
  <c r="CH72" i="4" s="1"/>
  <c r="EG71" i="4"/>
  <c r="EG72" i="4" s="1"/>
  <c r="ED71" i="4"/>
  <c r="ED72" i="4" s="1"/>
  <c r="EE71" i="4"/>
  <c r="EE72" i="4" s="1"/>
  <c r="CQ234" i="7"/>
  <c r="EF71" i="4"/>
  <c r="EF72" i="4" s="1"/>
  <c r="EI72" i="6"/>
  <c r="J227" i="1"/>
  <c r="CJ71" i="4"/>
  <c r="CJ72" i="4" s="1"/>
  <c r="CN71" i="4"/>
  <c r="CN72" i="4" s="1"/>
  <c r="EC71" i="4"/>
  <c r="EC72" i="4" s="1"/>
  <c r="AX233" i="6"/>
  <c r="AX249" i="6" s="1"/>
  <c r="AX250" i="6" s="1"/>
  <c r="B214" i="1"/>
  <c r="K219" i="1"/>
  <c r="CL71" i="4"/>
  <c r="CL72" i="4" s="1"/>
  <c r="D214" i="1"/>
  <c r="AW71" i="4"/>
  <c r="AW72" i="4" s="1"/>
  <c r="AV71" i="4"/>
  <c r="AV72" i="4" s="1"/>
  <c r="K146" i="1"/>
  <c r="L214" i="1"/>
  <c r="CI234" i="7"/>
  <c r="EA71" i="4"/>
  <c r="EA72" i="4" s="1"/>
  <c r="EB71" i="4"/>
  <c r="EB72" i="4" s="1"/>
  <c r="AU71" i="4"/>
  <c r="AU72" i="4" s="1"/>
  <c r="L187" i="1"/>
  <c r="AX231" i="6"/>
  <c r="BA71" i="4"/>
  <c r="BA72" i="4" s="1"/>
  <c r="CR234" i="7"/>
  <c r="D146" i="1"/>
  <c r="L178" i="1"/>
  <c r="DZ71" i="4"/>
  <c r="DZ72" i="4" s="1"/>
  <c r="B129" i="1"/>
  <c r="K178" i="1"/>
  <c r="K214" i="1"/>
  <c r="V236" i="6"/>
  <c r="CH234" i="7"/>
  <c r="AT233" i="6"/>
  <c r="AT249" i="6" s="1"/>
  <c r="AT250" i="6" s="1"/>
  <c r="AH236" i="6"/>
  <c r="E8" i="6"/>
  <c r="CI71" i="4"/>
  <c r="CI72" i="4" s="1"/>
  <c r="DY233" i="7"/>
  <c r="DY249" i="7" s="1"/>
  <c r="DY250" i="7" s="1"/>
  <c r="AL233" i="8"/>
  <c r="AL234" i="8" s="1"/>
  <c r="AW233" i="6"/>
  <c r="AW249" i="6" s="1"/>
  <c r="AW250" i="6" s="1"/>
  <c r="CQ233" i="5"/>
  <c r="CQ249" i="5" s="1"/>
  <c r="CQ250" i="5" s="1"/>
  <c r="E233" i="8"/>
  <c r="E249" i="8" s="1"/>
  <c r="E250" i="8" s="1"/>
  <c r="L146" i="1"/>
  <c r="AI219" i="7"/>
  <c r="EC233" i="7"/>
  <c r="EC249" i="7" s="1"/>
  <c r="EC250" i="7" s="1"/>
  <c r="R236" i="6"/>
  <c r="J8" i="6"/>
  <c r="B236" i="6"/>
  <c r="AQ71" i="5"/>
  <c r="AQ72" i="5" s="1"/>
  <c r="F236" i="6"/>
  <c r="AH236" i="7"/>
  <c r="Z8" i="6"/>
  <c r="CR71" i="4"/>
  <c r="CR72" i="4" s="1"/>
  <c r="AF8" i="6"/>
  <c r="I157" i="1"/>
  <c r="CG233" i="6"/>
  <c r="CG249" i="6" s="1"/>
  <c r="CG250" i="6" s="1"/>
  <c r="AL27" i="7"/>
  <c r="AI236" i="6"/>
  <c r="AE8" i="6"/>
  <c r="E236" i="6"/>
  <c r="CJ233" i="5"/>
  <c r="CJ249" i="5" s="1"/>
  <c r="CJ250" i="5" s="1"/>
  <c r="DY233" i="6"/>
  <c r="DY249" i="6" s="1"/>
  <c r="DY250" i="6" s="1"/>
  <c r="AL57" i="7"/>
  <c r="CQ233" i="6"/>
  <c r="CQ249" i="6" s="1"/>
  <c r="CQ250" i="6" s="1"/>
  <c r="C8" i="6"/>
  <c r="EA233" i="7"/>
  <c r="EA249" i="7" s="1"/>
  <c r="EA250" i="7" s="1"/>
  <c r="B8" i="6"/>
  <c r="EF233" i="7"/>
  <c r="EF249" i="7" s="1"/>
  <c r="EF250" i="7" s="1"/>
  <c r="DZ233" i="6"/>
  <c r="DZ249" i="6" s="1"/>
  <c r="DZ250" i="6" s="1"/>
  <c r="CQ72" i="6"/>
  <c r="EG233" i="6"/>
  <c r="EG249" i="6" s="1"/>
  <c r="EG250" i="6" s="1"/>
  <c r="EG72" i="6"/>
  <c r="AQ233" i="7"/>
  <c r="AQ234" i="7" s="1"/>
  <c r="AF236" i="6"/>
  <c r="P8" i="6"/>
  <c r="AN57" i="7"/>
  <c r="AH57" i="7"/>
  <c r="AH13" i="7"/>
  <c r="AI236" i="7"/>
  <c r="AF43" i="5"/>
  <c r="AF47" i="5" s="1"/>
  <c r="AI27" i="7"/>
  <c r="A236" i="6"/>
  <c r="A8" i="6"/>
  <c r="S236" i="6"/>
  <c r="K57" i="1"/>
  <c r="L87" i="1"/>
  <c r="AJ8" i="6"/>
  <c r="AM8" i="6"/>
  <c r="I236" i="6"/>
  <c r="C87" i="1"/>
  <c r="Y236" i="6"/>
  <c r="M233" i="8"/>
  <c r="M234" i="8" s="1"/>
  <c r="AC8" i="6"/>
  <c r="L13" i="1"/>
  <c r="Y236" i="7"/>
  <c r="K129" i="1"/>
  <c r="Q236" i="6"/>
  <c r="AN8" i="6"/>
  <c r="F87" i="1"/>
  <c r="Y8" i="7"/>
  <c r="E27" i="1"/>
  <c r="F150" i="1"/>
  <c r="AG8" i="6"/>
  <c r="U236" i="7"/>
  <c r="AF57" i="7"/>
  <c r="C27" i="1"/>
  <c r="EI230" i="6"/>
  <c r="EI231" i="6" s="1"/>
  <c r="F233" i="8"/>
  <c r="F234" i="8" s="1"/>
  <c r="AM27" i="7"/>
  <c r="S8" i="6"/>
  <c r="G209" i="1"/>
  <c r="AL236" i="7"/>
  <c r="G8" i="6"/>
  <c r="AJ57" i="7"/>
  <c r="Q8" i="7"/>
  <c r="AI8" i="6"/>
  <c r="Z236" i="6"/>
  <c r="AI13" i="7"/>
  <c r="AK8" i="7"/>
  <c r="AK8" i="6"/>
  <c r="AH27" i="7"/>
  <c r="L233" i="8"/>
  <c r="L234" i="8" s="1"/>
  <c r="AE219" i="7"/>
  <c r="AE236" i="6"/>
  <c r="J236" i="6"/>
  <c r="V8" i="6"/>
  <c r="AC8" i="7"/>
  <c r="AE13" i="7"/>
  <c r="AF8" i="7"/>
  <c r="AE57" i="7"/>
  <c r="AL13" i="7"/>
  <c r="M231" i="8"/>
  <c r="CM71" i="4"/>
  <c r="CM72" i="4" s="1"/>
  <c r="CM233" i="6"/>
  <c r="CM249" i="6" s="1"/>
  <c r="CM250" i="6" s="1"/>
  <c r="BA233" i="6"/>
  <c r="BA249" i="6" s="1"/>
  <c r="BA250" i="6" s="1"/>
  <c r="AJ219" i="7"/>
  <c r="G178" i="1"/>
  <c r="H214" i="6"/>
  <c r="A233" i="8"/>
  <c r="A234" i="8" s="1"/>
  <c r="AJ8" i="7"/>
  <c r="AC58" i="5"/>
  <c r="AK87" i="8"/>
  <c r="AE43" i="5"/>
  <c r="AE47" i="5" s="1"/>
  <c r="H87" i="6"/>
  <c r="J233" i="8"/>
  <c r="J234" i="8" s="1"/>
  <c r="F8" i="6"/>
  <c r="T8" i="6"/>
  <c r="AE236" i="7"/>
  <c r="AD57" i="7"/>
  <c r="CS72" i="6"/>
  <c r="X236" i="7"/>
  <c r="X8" i="6"/>
  <c r="AN8" i="7"/>
  <c r="AM8" i="7"/>
  <c r="AN27" i="7"/>
  <c r="AM13" i="7"/>
  <c r="I76" i="1"/>
  <c r="ED233" i="7"/>
  <c r="ED249" i="7" s="1"/>
  <c r="ED250" i="7" s="1"/>
  <c r="D54" i="7"/>
  <c r="AM236" i="7"/>
  <c r="AM236" i="6"/>
  <c r="D54" i="1"/>
  <c r="EI6" i="4"/>
  <c r="E138" i="1"/>
  <c r="G150" i="1"/>
  <c r="J138" i="1"/>
  <c r="EB293" i="23"/>
  <c r="W58" i="8"/>
  <c r="B187" i="1"/>
  <c r="D13" i="1"/>
  <c r="AM43" i="5"/>
  <c r="AM47" i="5" s="1"/>
  <c r="B138" i="1"/>
  <c r="B182" i="1"/>
  <c r="H90" i="1"/>
  <c r="I57" i="1"/>
  <c r="AK43" i="5"/>
  <c r="AK47" i="5" s="1"/>
  <c r="CS6" i="4"/>
  <c r="CN233" i="6"/>
  <c r="CN249" i="6" s="1"/>
  <c r="CN250" i="6" s="1"/>
  <c r="DX233" i="6"/>
  <c r="DX249" i="6" s="1"/>
  <c r="DX250" i="6" s="1"/>
  <c r="AF8" i="1"/>
  <c r="EH233" i="6"/>
  <c r="EH249" i="6" s="1"/>
  <c r="EH250" i="6" s="1"/>
  <c r="BC230" i="6"/>
  <c r="BC233" i="6" s="1"/>
  <c r="BC249" i="6" s="1"/>
  <c r="BC250" i="6" s="1"/>
  <c r="L214" i="6"/>
  <c r="F104" i="1"/>
  <c r="DZ231" i="6"/>
  <c r="EC233" i="6"/>
  <c r="EC249" i="6" s="1"/>
  <c r="EC250" i="6" s="1"/>
  <c r="EE233" i="6"/>
  <c r="EE249" i="6" s="1"/>
  <c r="EE250" i="6" s="1"/>
  <c r="EG233" i="7"/>
  <c r="EG249" i="7" s="1"/>
  <c r="EG250" i="7" s="1"/>
  <c r="U8" i="7"/>
  <c r="BC72" i="7"/>
  <c r="CO230" i="4"/>
  <c r="CO233" i="4" s="1"/>
  <c r="CO249" i="4" s="1"/>
  <c r="AE8" i="7"/>
  <c r="AD13" i="7"/>
  <c r="AG27" i="7"/>
  <c r="AG8" i="1"/>
  <c r="AU233" i="7"/>
  <c r="AU234" i="7" s="1"/>
  <c r="DX233" i="7"/>
  <c r="DX249" i="7" s="1"/>
  <c r="DX250" i="7" s="1"/>
  <c r="DZ233" i="7"/>
  <c r="DZ249" i="7" s="1"/>
  <c r="DZ250" i="7" s="1"/>
  <c r="EH233" i="7"/>
  <c r="EH249" i="7" s="1"/>
  <c r="EH250" i="7" s="1"/>
  <c r="AJ13" i="7"/>
  <c r="CG71" i="4"/>
  <c r="CG72" i="4" s="1"/>
  <c r="AK27" i="7"/>
  <c r="EC231" i="7"/>
  <c r="CM234" i="7"/>
  <c r="EA231" i="7"/>
  <c r="AD236" i="7"/>
  <c r="DW230" i="4"/>
  <c r="DW231" i="4" s="1"/>
  <c r="AU72" i="7"/>
  <c r="CO234" i="7"/>
  <c r="W50" i="1"/>
  <c r="W30" i="1"/>
  <c r="W238" i="1"/>
  <c r="AD27" i="7"/>
  <c r="AE27" i="7"/>
  <c r="W37" i="1"/>
  <c r="W239" i="1"/>
  <c r="X8" i="4"/>
  <c r="AN54" i="1"/>
  <c r="AN43" i="5"/>
  <c r="AN47" i="5" s="1"/>
  <c r="AM219" i="7"/>
  <c r="CP234" i="7"/>
  <c r="CN234" i="7"/>
  <c r="CS233" i="7"/>
  <c r="CS249" i="7" s="1"/>
  <c r="CS250" i="7" s="1"/>
  <c r="CJ234" i="7"/>
  <c r="BC230" i="7"/>
  <c r="BC233" i="7" s="1"/>
  <c r="B60" i="1"/>
  <c r="B157" i="1"/>
  <c r="AH8" i="1"/>
  <c r="AC43" i="5"/>
  <c r="AC47" i="5" s="1"/>
  <c r="AI43" i="5"/>
  <c r="AI47" i="5" s="1"/>
  <c r="D187" i="1"/>
  <c r="E219" i="1"/>
  <c r="F214" i="1"/>
  <c r="G227" i="1"/>
  <c r="H214" i="1"/>
  <c r="J205" i="1"/>
  <c r="L219" i="1"/>
  <c r="L227" i="1"/>
  <c r="AA219" i="8"/>
  <c r="AE8" i="1"/>
  <c r="F13" i="1"/>
  <c r="AA223" i="8"/>
  <c r="AA227" i="8"/>
  <c r="J223" i="1"/>
  <c r="B233" i="8"/>
  <c r="B234" i="8" s="1"/>
  <c r="AF219" i="7"/>
  <c r="DW233" i="7"/>
  <c r="DW249" i="7" s="1"/>
  <c r="DW250" i="7" s="1"/>
  <c r="AV230" i="4"/>
  <c r="AV231" i="4" s="1"/>
  <c r="AU233" i="6"/>
  <c r="AU249" i="6" s="1"/>
  <c r="AU250" i="6" s="1"/>
  <c r="AD54" i="7"/>
  <c r="AE54" i="7"/>
  <c r="G57" i="7"/>
  <c r="AD54" i="1"/>
  <c r="CK71" i="4"/>
  <c r="CK72" i="4" s="1"/>
  <c r="AE54" i="1"/>
  <c r="L54" i="7"/>
  <c r="EH230" i="4"/>
  <c r="EH231" i="4" s="1"/>
  <c r="X10" i="1"/>
  <c r="X8" i="1" s="1"/>
  <c r="AX230" i="4"/>
  <c r="AX71" i="4"/>
  <c r="AX72" i="4" s="1"/>
  <c r="AY230" i="4"/>
  <c r="AY231" i="4" s="1"/>
  <c r="AJ8" i="1"/>
  <c r="Z8" i="7"/>
  <c r="AQ72" i="7"/>
  <c r="AI8" i="1"/>
  <c r="EI230" i="7"/>
  <c r="EI231" i="7" s="1"/>
  <c r="AY71" i="4"/>
  <c r="CL234" i="7"/>
  <c r="AD8" i="1"/>
  <c r="AN6" i="4"/>
  <c r="CQ71" i="4"/>
  <c r="CQ72" i="4" s="1"/>
  <c r="EE233" i="7"/>
  <c r="EE249" i="7" s="1"/>
  <c r="EE250" i="7" s="1"/>
  <c r="EE230" i="4"/>
  <c r="EE231" i="4" s="1"/>
  <c r="AO50" i="1"/>
  <c r="ED233" i="6"/>
  <c r="ED249" i="6" s="1"/>
  <c r="ED250" i="6" s="1"/>
  <c r="CM231" i="6"/>
  <c r="BA231" i="6"/>
  <c r="BB233" i="6"/>
  <c r="BB249" i="6" s="1"/>
  <c r="BB250" i="6" s="1"/>
  <c r="CI233" i="6"/>
  <c r="CI249" i="6" s="1"/>
  <c r="CI250" i="6" s="1"/>
  <c r="EI58" i="4"/>
  <c r="EB233" i="6"/>
  <c r="EB249" i="6" s="1"/>
  <c r="EB250" i="6" s="1"/>
  <c r="D214" i="6"/>
  <c r="I8" i="6"/>
  <c r="K8" i="6"/>
  <c r="CS230" i="6"/>
  <c r="CS233" i="6" s="1"/>
  <c r="EA230" i="4"/>
  <c r="EA231" i="4" s="1"/>
  <c r="B6" i="4"/>
  <c r="AN236" i="6"/>
  <c r="H164" i="6"/>
  <c r="AK6" i="4"/>
  <c r="AQ230" i="4"/>
  <c r="AQ231" i="4" s="1"/>
  <c r="EJ185" i="6"/>
  <c r="DR185" i="6"/>
  <c r="CP40" i="24" s="1"/>
  <c r="DP185" i="6"/>
  <c r="CP42" i="24" s="1"/>
  <c r="DQ185" i="6"/>
  <c r="CP41" i="24" s="1"/>
  <c r="DI185" i="6"/>
  <c r="DT185" i="6"/>
  <c r="CP38" i="24" s="1"/>
  <c r="DS185" i="6"/>
  <c r="CP39" i="24" s="1"/>
  <c r="DO185" i="6"/>
  <c r="CP43" i="24" s="1"/>
  <c r="DK185" i="6"/>
  <c r="CP47" i="24" s="1"/>
  <c r="DN185" i="6"/>
  <c r="CP44" i="24" s="1"/>
  <c r="DM185" i="6"/>
  <c r="CP45" i="24" s="1"/>
  <c r="DL185" i="6"/>
  <c r="CP46" i="24" s="1"/>
  <c r="DJ185" i="6"/>
  <c r="CP48" i="24" s="1"/>
  <c r="BW112" i="6"/>
  <c r="BV112" i="6"/>
  <c r="BU112" i="6"/>
  <c r="BT112" i="6"/>
  <c r="CD112" i="6"/>
  <c r="CC112" i="6"/>
  <c r="BS112" i="6"/>
  <c r="BY112" i="6"/>
  <c r="CB112" i="6"/>
  <c r="CA112" i="6"/>
  <c r="BZ112" i="6"/>
  <c r="BX112" i="6"/>
  <c r="BW158" i="6"/>
  <c r="BU158" i="6"/>
  <c r="BV158" i="6"/>
  <c r="CD158" i="6"/>
  <c r="CC158" i="6"/>
  <c r="CB158" i="6"/>
  <c r="CA158" i="6"/>
  <c r="BZ158" i="6"/>
  <c r="BY158" i="6"/>
  <c r="BX158" i="6"/>
  <c r="BT158" i="6"/>
  <c r="BS158" i="6"/>
  <c r="CT170" i="6"/>
  <c r="BW170" i="6"/>
  <c r="BU170" i="6"/>
  <c r="BV170" i="6"/>
  <c r="BZ170" i="6"/>
  <c r="BX170" i="6"/>
  <c r="BT170" i="6"/>
  <c r="BS170" i="6"/>
  <c r="BY170" i="6"/>
  <c r="CD170" i="6"/>
  <c r="CC170" i="6"/>
  <c r="CB170" i="6"/>
  <c r="CA170" i="6"/>
  <c r="BZ33" i="6"/>
  <c r="BY33" i="6"/>
  <c r="CC33" i="6"/>
  <c r="CA33" i="6"/>
  <c r="BU33" i="6"/>
  <c r="CB33" i="6"/>
  <c r="BX33" i="6"/>
  <c r="BW33" i="6"/>
  <c r="BV33" i="6"/>
  <c r="CD33" i="6"/>
  <c r="BT33" i="6"/>
  <c r="BS33" i="6"/>
  <c r="BW101" i="6"/>
  <c r="BV101" i="6"/>
  <c r="BU101" i="6"/>
  <c r="CD101" i="6"/>
  <c r="CC101" i="6"/>
  <c r="CB101" i="6"/>
  <c r="CA101" i="6"/>
  <c r="BZ101" i="6"/>
  <c r="BY101" i="6"/>
  <c r="BX101" i="6"/>
  <c r="BT101" i="6"/>
  <c r="BS101" i="6"/>
  <c r="BW125" i="6"/>
  <c r="BV125" i="6"/>
  <c r="BU125" i="6"/>
  <c r="CC125" i="6"/>
  <c r="BZ125" i="6"/>
  <c r="CB125" i="6"/>
  <c r="CA125" i="6"/>
  <c r="BY125" i="6"/>
  <c r="BX125" i="6"/>
  <c r="BT125" i="6"/>
  <c r="CD125" i="6"/>
  <c r="BS125" i="6"/>
  <c r="BW137" i="6"/>
  <c r="BV137" i="6"/>
  <c r="BU137" i="6"/>
  <c r="BT137" i="6"/>
  <c r="BS137" i="6"/>
  <c r="CD137" i="6"/>
  <c r="CC137" i="6"/>
  <c r="CB137" i="6"/>
  <c r="CA137" i="6"/>
  <c r="BZ137" i="6"/>
  <c r="BY137" i="6"/>
  <c r="BX137" i="6"/>
  <c r="BW148" i="6"/>
  <c r="BU148" i="6"/>
  <c r="BV148" i="6"/>
  <c r="BZ148" i="6"/>
  <c r="BX148" i="6"/>
  <c r="BS148" i="6"/>
  <c r="BY148" i="6"/>
  <c r="BT148" i="6"/>
  <c r="CD148" i="6"/>
  <c r="CC148" i="6"/>
  <c r="CB148" i="6"/>
  <c r="CA148" i="6"/>
  <c r="BW159" i="6"/>
  <c r="BV159" i="6"/>
  <c r="BU159" i="6"/>
  <c r="BT159" i="6"/>
  <c r="CD159" i="6"/>
  <c r="BS159" i="6"/>
  <c r="CC159" i="6"/>
  <c r="CB159" i="6"/>
  <c r="CA159" i="6"/>
  <c r="BZ159" i="6"/>
  <c r="BY159" i="6"/>
  <c r="BX159" i="6"/>
  <c r="CT171" i="6"/>
  <c r="BW171" i="6"/>
  <c r="BU171" i="6"/>
  <c r="BV171" i="6"/>
  <c r="CC171" i="6"/>
  <c r="BY171" i="6"/>
  <c r="BX171" i="6"/>
  <c r="BT171" i="6"/>
  <c r="CB171" i="6"/>
  <c r="CA171" i="6"/>
  <c r="BZ171" i="6"/>
  <c r="CD171" i="6"/>
  <c r="BS171" i="6"/>
  <c r="BW194" i="6"/>
  <c r="BU194" i="6"/>
  <c r="BV194" i="6"/>
  <c r="BT194" i="6"/>
  <c r="CD194" i="6"/>
  <c r="CC194" i="6"/>
  <c r="BS194" i="6"/>
  <c r="BY194" i="6"/>
  <c r="BX194" i="6"/>
  <c r="CB194" i="6"/>
  <c r="CA194" i="6"/>
  <c r="BZ194" i="6"/>
  <c r="BW215" i="6"/>
  <c r="BU215" i="6"/>
  <c r="BV215" i="6"/>
  <c r="CC215" i="6"/>
  <c r="CA215" i="6"/>
  <c r="BY215" i="6"/>
  <c r="BX215" i="6"/>
  <c r="BT215" i="6"/>
  <c r="CB215" i="6"/>
  <c r="BZ215" i="6"/>
  <c r="BS215" i="6"/>
  <c r="CD215" i="6"/>
  <c r="BV226" i="6"/>
  <c r="BT226" i="6"/>
  <c r="BU226" i="6"/>
  <c r="BS226" i="6"/>
  <c r="CD226" i="6"/>
  <c r="CC226" i="6"/>
  <c r="CB226" i="6"/>
  <c r="BZ226" i="6"/>
  <c r="BX226" i="6"/>
  <c r="BY226" i="6"/>
  <c r="BW226" i="6"/>
  <c r="CA226" i="6"/>
  <c r="BZ34" i="6"/>
  <c r="BY34" i="6"/>
  <c r="CD34" i="6"/>
  <c r="CB34" i="6"/>
  <c r="BX34" i="6"/>
  <c r="BW34" i="6"/>
  <c r="CC34" i="6"/>
  <c r="CA34" i="6"/>
  <c r="BV34" i="6"/>
  <c r="BU34" i="6"/>
  <c r="BT34" i="6"/>
  <c r="BS34" i="6"/>
  <c r="BW102" i="6"/>
  <c r="BU102" i="6"/>
  <c r="BV102" i="6"/>
  <c r="BT102" i="6"/>
  <c r="CD102" i="6"/>
  <c r="CC102" i="6"/>
  <c r="BS102" i="6"/>
  <c r="CA102" i="6"/>
  <c r="BZ102" i="6"/>
  <c r="BY102" i="6"/>
  <c r="BX102" i="6"/>
  <c r="CB102" i="6"/>
  <c r="BW126" i="6"/>
  <c r="BU126" i="6"/>
  <c r="BV126" i="6"/>
  <c r="CB126" i="6"/>
  <c r="CA126" i="6"/>
  <c r="BZ126" i="6"/>
  <c r="CD126" i="6"/>
  <c r="CC126" i="6"/>
  <c r="BX126" i="6"/>
  <c r="BY126" i="6"/>
  <c r="BT126" i="6"/>
  <c r="BS126" i="6"/>
  <c r="CT148" i="6"/>
  <c r="BW206" i="6"/>
  <c r="BU206" i="6"/>
  <c r="BV206" i="6"/>
  <c r="CD206" i="6"/>
  <c r="CC206" i="6"/>
  <c r="CB206" i="6"/>
  <c r="CA206" i="6"/>
  <c r="BZ206" i="6"/>
  <c r="BX206" i="6"/>
  <c r="BY206" i="6"/>
  <c r="BT206" i="6"/>
  <c r="BS206" i="6"/>
  <c r="BW80" i="6"/>
  <c r="BV80" i="6"/>
  <c r="BZ80" i="6"/>
  <c r="BT80" i="6"/>
  <c r="BS80" i="6"/>
  <c r="BY80" i="6"/>
  <c r="BX80" i="6"/>
  <c r="BU80" i="6"/>
  <c r="CB80" i="6"/>
  <c r="CA80" i="6"/>
  <c r="CD80" i="6"/>
  <c r="CC80" i="6"/>
  <c r="BW91" i="6"/>
  <c r="BV91" i="6"/>
  <c r="CB91" i="6"/>
  <c r="BY91" i="6"/>
  <c r="BX91" i="6"/>
  <c r="BT91" i="6"/>
  <c r="CA91" i="6"/>
  <c r="BZ91" i="6"/>
  <c r="BU91" i="6"/>
  <c r="CD91" i="6"/>
  <c r="CC91" i="6"/>
  <c r="BS91" i="6"/>
  <c r="BW127" i="6"/>
  <c r="BV127" i="6"/>
  <c r="BU127" i="6"/>
  <c r="BT127" i="6"/>
  <c r="CD127" i="6"/>
  <c r="BS127" i="6"/>
  <c r="CC127" i="6"/>
  <c r="BX127" i="6"/>
  <c r="CB127" i="6"/>
  <c r="CA127" i="6"/>
  <c r="BZ127" i="6"/>
  <c r="BY127" i="6"/>
  <c r="BW196" i="6"/>
  <c r="BU196" i="6"/>
  <c r="BV196" i="6"/>
  <c r="CC196" i="6"/>
  <c r="CA196" i="6"/>
  <c r="BZ196" i="6"/>
  <c r="BY196" i="6"/>
  <c r="BX196" i="6"/>
  <c r="BT196" i="6"/>
  <c r="CB196" i="6"/>
  <c r="BS196" i="6"/>
  <c r="CD196" i="6"/>
  <c r="BW207" i="6"/>
  <c r="BU207" i="6"/>
  <c r="BV207" i="6"/>
  <c r="BT207" i="6"/>
  <c r="CD207" i="6"/>
  <c r="CC207" i="6"/>
  <c r="BS207" i="6"/>
  <c r="BX207" i="6"/>
  <c r="CB207" i="6"/>
  <c r="CA207" i="6"/>
  <c r="BZ207" i="6"/>
  <c r="BY207" i="6"/>
  <c r="BV242" i="6"/>
  <c r="BT242" i="6"/>
  <c r="BU242" i="6"/>
  <c r="CC242" i="6"/>
  <c r="CA242" i="6"/>
  <c r="BZ242" i="6"/>
  <c r="BY242" i="6"/>
  <c r="CD242" i="6"/>
  <c r="CB242" i="6"/>
  <c r="BX242" i="6"/>
  <c r="BW242" i="6"/>
  <c r="BS242" i="6"/>
  <c r="CE6" i="4"/>
  <c r="BW81" i="6"/>
  <c r="BV81" i="6"/>
  <c r="CB81" i="6"/>
  <c r="BZ81" i="6"/>
  <c r="BY81" i="6"/>
  <c r="CA81" i="6"/>
  <c r="BX81" i="6"/>
  <c r="BU81" i="6"/>
  <c r="BT81" i="6"/>
  <c r="BS81" i="6"/>
  <c r="CD81" i="6"/>
  <c r="CC81" i="6"/>
  <c r="BW92" i="6"/>
  <c r="BV92" i="6"/>
  <c r="CD92" i="6"/>
  <c r="CC92" i="6"/>
  <c r="CB92" i="6"/>
  <c r="BY92" i="6"/>
  <c r="CA92" i="6"/>
  <c r="BZ92" i="6"/>
  <c r="BX92" i="6"/>
  <c r="BU92" i="6"/>
  <c r="BT92" i="6"/>
  <c r="BS92" i="6"/>
  <c r="BW128" i="6"/>
  <c r="BU128" i="6"/>
  <c r="BV128" i="6"/>
  <c r="BZ128" i="6"/>
  <c r="BS128" i="6"/>
  <c r="BY128" i="6"/>
  <c r="BX128" i="6"/>
  <c r="BT128" i="6"/>
  <c r="CD128" i="6"/>
  <c r="CC128" i="6"/>
  <c r="CB128" i="6"/>
  <c r="CA128" i="6"/>
  <c r="BW162" i="6"/>
  <c r="BU162" i="6"/>
  <c r="BV162" i="6"/>
  <c r="CD162" i="6"/>
  <c r="CC162" i="6"/>
  <c r="CB162" i="6"/>
  <c r="CA162" i="6"/>
  <c r="BZ162" i="6"/>
  <c r="BY162" i="6"/>
  <c r="BX162" i="6"/>
  <c r="BT162" i="6"/>
  <c r="BS162" i="6"/>
  <c r="BW197" i="6"/>
  <c r="BU197" i="6"/>
  <c r="BV197" i="6"/>
  <c r="CD197" i="6"/>
  <c r="CC197" i="6"/>
  <c r="CB197" i="6"/>
  <c r="CA197" i="6"/>
  <c r="BZ197" i="6"/>
  <c r="BS197" i="6"/>
  <c r="BY197" i="6"/>
  <c r="BX197" i="6"/>
  <c r="BT197" i="6"/>
  <c r="DU6" i="4"/>
  <c r="BW82" i="6"/>
  <c r="BV82" i="6"/>
  <c r="CD82" i="6"/>
  <c r="BZ82" i="6"/>
  <c r="BY82" i="6"/>
  <c r="BX82" i="6"/>
  <c r="CC82" i="6"/>
  <c r="CB82" i="6"/>
  <c r="CA82" i="6"/>
  <c r="BU82" i="6"/>
  <c r="BT82" i="6"/>
  <c r="BS82" i="6"/>
  <c r="BW141" i="6"/>
  <c r="BU141" i="6"/>
  <c r="BV141" i="6"/>
  <c r="CD141" i="6"/>
  <c r="CC141" i="6"/>
  <c r="CB141" i="6"/>
  <c r="CA141" i="6"/>
  <c r="BZ141" i="6"/>
  <c r="BY141" i="6"/>
  <c r="BX141" i="6"/>
  <c r="BT141" i="6"/>
  <c r="BS141" i="6"/>
  <c r="BW175" i="6"/>
  <c r="BU175" i="6"/>
  <c r="BV175" i="6"/>
  <c r="BZ175" i="6"/>
  <c r="BX175" i="6"/>
  <c r="BT175" i="6"/>
  <c r="BS175" i="6"/>
  <c r="BY175" i="6"/>
  <c r="CD175" i="6"/>
  <c r="CC175" i="6"/>
  <c r="CB175" i="6"/>
  <c r="CA175" i="6"/>
  <c r="BW186" i="6"/>
  <c r="BU186" i="6"/>
  <c r="BV186" i="6"/>
  <c r="CC186" i="6"/>
  <c r="CA186" i="6"/>
  <c r="BY186" i="6"/>
  <c r="BX186" i="6"/>
  <c r="CB186" i="6"/>
  <c r="BZ186" i="6"/>
  <c r="BT186" i="6"/>
  <c r="CD186" i="6"/>
  <c r="BS186" i="6"/>
  <c r="BW198" i="6"/>
  <c r="BU198" i="6"/>
  <c r="BV198" i="6"/>
  <c r="BT198" i="6"/>
  <c r="CD198" i="6"/>
  <c r="CC198" i="6"/>
  <c r="BS198" i="6"/>
  <c r="CB198" i="6"/>
  <c r="CA198" i="6"/>
  <c r="BZ198" i="6"/>
  <c r="BY198" i="6"/>
  <c r="BX198" i="6"/>
  <c r="BV244" i="6"/>
  <c r="BU244" i="6"/>
  <c r="BT244" i="6"/>
  <c r="BY244" i="6"/>
  <c r="BW244" i="6"/>
  <c r="BX244" i="6"/>
  <c r="BS244" i="6"/>
  <c r="CD244" i="6"/>
  <c r="CB244" i="6"/>
  <c r="CC244" i="6"/>
  <c r="CA244" i="6"/>
  <c r="BZ244" i="6"/>
  <c r="BC58" i="4"/>
  <c r="AA50" i="4"/>
  <c r="CT82" i="6"/>
  <c r="BW106" i="6"/>
  <c r="BU106" i="6"/>
  <c r="BV106" i="6"/>
  <c r="CC106" i="6"/>
  <c r="BZ106" i="6"/>
  <c r="BY106" i="6"/>
  <c r="BX106" i="6"/>
  <c r="CB106" i="6"/>
  <c r="CA106" i="6"/>
  <c r="BT106" i="6"/>
  <c r="CD106" i="6"/>
  <c r="BS106" i="6"/>
  <c r="BW220" i="6"/>
  <c r="BU220" i="6"/>
  <c r="BV220" i="6"/>
  <c r="BT220" i="6"/>
  <c r="CD220" i="6"/>
  <c r="CC220" i="6"/>
  <c r="BS220" i="6"/>
  <c r="CB220" i="6"/>
  <c r="CA220" i="6"/>
  <c r="BZ220" i="6"/>
  <c r="BY220" i="6"/>
  <c r="BX220" i="6"/>
  <c r="BV245" i="6"/>
  <c r="BT245" i="6"/>
  <c r="BU245" i="6"/>
  <c r="CB245" i="6"/>
  <c r="BZ245" i="6"/>
  <c r="BX245" i="6"/>
  <c r="BW245" i="6"/>
  <c r="BS245" i="6"/>
  <c r="CA245" i="6"/>
  <c r="BY245" i="6"/>
  <c r="CD245" i="6"/>
  <c r="CC245" i="6"/>
  <c r="BW95" i="6"/>
  <c r="BU95" i="6"/>
  <c r="BV95" i="6"/>
  <c r="BZ95" i="6"/>
  <c r="BY95" i="6"/>
  <c r="BX95" i="6"/>
  <c r="BT95" i="6"/>
  <c r="BS95" i="6"/>
  <c r="CC95" i="6"/>
  <c r="CD95" i="6"/>
  <c r="CB95" i="6"/>
  <c r="CA95" i="6"/>
  <c r="BW119" i="6"/>
  <c r="BV119" i="6"/>
  <c r="BU119" i="6"/>
  <c r="BT119" i="6"/>
  <c r="CD119" i="6"/>
  <c r="BS119" i="6"/>
  <c r="CC119" i="6"/>
  <c r="CB119" i="6"/>
  <c r="CA119" i="6"/>
  <c r="BZ119" i="6"/>
  <c r="BY119" i="6"/>
  <c r="BX119" i="6"/>
  <c r="BW131" i="6"/>
  <c r="BU131" i="6"/>
  <c r="BV131" i="6"/>
  <c r="CD131" i="6"/>
  <c r="CA131" i="6"/>
  <c r="CC131" i="6"/>
  <c r="CB131" i="6"/>
  <c r="BZ131" i="6"/>
  <c r="BT131" i="6"/>
  <c r="BX131" i="6"/>
  <c r="BS131" i="6"/>
  <c r="BY131" i="6"/>
  <c r="BW153" i="6"/>
  <c r="BU153" i="6"/>
  <c r="BV153" i="6"/>
  <c r="BZ153" i="6"/>
  <c r="BX153" i="6"/>
  <c r="BS153" i="6"/>
  <c r="BY153" i="6"/>
  <c r="BT153" i="6"/>
  <c r="CD153" i="6"/>
  <c r="CC153" i="6"/>
  <c r="CB153" i="6"/>
  <c r="CA153" i="6"/>
  <c r="CT165" i="6"/>
  <c r="BW165" i="6"/>
  <c r="BU165" i="6"/>
  <c r="BV165" i="6"/>
  <c r="BT165" i="6"/>
  <c r="CD165" i="6"/>
  <c r="CC165" i="6"/>
  <c r="BS165" i="6"/>
  <c r="CA165" i="6"/>
  <c r="CB165" i="6"/>
  <c r="BZ165" i="6"/>
  <c r="BY165" i="6"/>
  <c r="BX165" i="6"/>
  <c r="BW188" i="6"/>
  <c r="BU188" i="6"/>
  <c r="BV188" i="6"/>
  <c r="CD188" i="6"/>
  <c r="CC188" i="6"/>
  <c r="CB188" i="6"/>
  <c r="CA188" i="6"/>
  <c r="BZ188" i="6"/>
  <c r="BX188" i="6"/>
  <c r="BY188" i="6"/>
  <c r="BT188" i="6"/>
  <c r="BS188" i="6"/>
  <c r="BW200" i="6"/>
  <c r="BV200" i="6"/>
  <c r="BU200" i="6"/>
  <c r="CC200" i="6"/>
  <c r="CA200" i="6"/>
  <c r="BZ200" i="6"/>
  <c r="BY200" i="6"/>
  <c r="BX200" i="6"/>
  <c r="CB200" i="6"/>
  <c r="BT200" i="6"/>
  <c r="CD200" i="6"/>
  <c r="BS200" i="6"/>
  <c r="AS231" i="6"/>
  <c r="AO10" i="1"/>
  <c r="BY61" i="6"/>
  <c r="BX61" i="6"/>
  <c r="BV61" i="6"/>
  <c r="BT61" i="6"/>
  <c r="BS61" i="6"/>
  <c r="BU61" i="6"/>
  <c r="CD61" i="6"/>
  <c r="BZ61" i="6"/>
  <c r="CA61" i="6"/>
  <c r="BW61" i="6"/>
  <c r="CC61" i="6"/>
  <c r="CB61" i="6"/>
  <c r="BW96" i="6"/>
  <c r="BV96" i="6"/>
  <c r="BU96" i="6"/>
  <c r="CC96" i="6"/>
  <c r="CA96" i="6"/>
  <c r="BZ96" i="6"/>
  <c r="BY96" i="6"/>
  <c r="BT96" i="6"/>
  <c r="CB96" i="6"/>
  <c r="BX96" i="6"/>
  <c r="BS96" i="6"/>
  <c r="CD96" i="6"/>
  <c r="BW120" i="6"/>
  <c r="BU120" i="6"/>
  <c r="BV120" i="6"/>
  <c r="BZ120" i="6"/>
  <c r="BS120" i="6"/>
  <c r="BY120" i="6"/>
  <c r="BX120" i="6"/>
  <c r="BT120" i="6"/>
  <c r="CB120" i="6"/>
  <c r="CA120" i="6"/>
  <c r="CD120" i="6"/>
  <c r="CC120" i="6"/>
  <c r="BW132" i="6"/>
  <c r="BU132" i="6"/>
  <c r="BV132" i="6"/>
  <c r="BT132" i="6"/>
  <c r="CD132" i="6"/>
  <c r="CC132" i="6"/>
  <c r="BS132" i="6"/>
  <c r="CB132" i="6"/>
  <c r="BX132" i="6"/>
  <c r="CA132" i="6"/>
  <c r="BZ132" i="6"/>
  <c r="BY132" i="6"/>
  <c r="BW154" i="6"/>
  <c r="BV154" i="6"/>
  <c r="BU154" i="6"/>
  <c r="CC154" i="6"/>
  <c r="BZ154" i="6"/>
  <c r="BY154" i="6"/>
  <c r="CB154" i="6"/>
  <c r="CA154" i="6"/>
  <c r="BX154" i="6"/>
  <c r="BT154" i="6"/>
  <c r="BS154" i="6"/>
  <c r="CD154" i="6"/>
  <c r="BW201" i="6"/>
  <c r="BU201" i="6"/>
  <c r="BV201" i="6"/>
  <c r="CD201" i="6"/>
  <c r="CC201" i="6"/>
  <c r="CB201" i="6"/>
  <c r="CA201" i="6"/>
  <c r="BZ201" i="6"/>
  <c r="BY201" i="6"/>
  <c r="BX201" i="6"/>
  <c r="BT201" i="6"/>
  <c r="BS201" i="6"/>
  <c r="BY62" i="6"/>
  <c r="BX62" i="6"/>
  <c r="BZ62" i="6"/>
  <c r="BS62" i="6"/>
  <c r="BW62" i="6"/>
  <c r="BV62" i="6"/>
  <c r="BU62" i="6"/>
  <c r="BT62" i="6"/>
  <c r="CD62" i="6"/>
  <c r="CC62" i="6"/>
  <c r="CB62" i="6"/>
  <c r="CA62" i="6"/>
  <c r="BW85" i="6"/>
  <c r="BV85" i="6"/>
  <c r="BX85" i="6"/>
  <c r="BU85" i="6"/>
  <c r="BS85" i="6"/>
  <c r="BT85" i="6"/>
  <c r="CD85" i="6"/>
  <c r="BZ85" i="6"/>
  <c r="CC85" i="6"/>
  <c r="CB85" i="6"/>
  <c r="CA85" i="6"/>
  <c r="BY85" i="6"/>
  <c r="BW97" i="6"/>
  <c r="BU97" i="6"/>
  <c r="BV97" i="6"/>
  <c r="CA97" i="6"/>
  <c r="CD97" i="6"/>
  <c r="CC97" i="6"/>
  <c r="CB97" i="6"/>
  <c r="BZ97" i="6"/>
  <c r="BY97" i="6"/>
  <c r="BX97" i="6"/>
  <c r="BT97" i="6"/>
  <c r="BS97" i="6"/>
  <c r="BW109" i="6"/>
  <c r="BV109" i="6"/>
  <c r="BU109" i="6"/>
  <c r="BZ109" i="6"/>
  <c r="BX109" i="6"/>
  <c r="BT109" i="6"/>
  <c r="BS109" i="6"/>
  <c r="BY109" i="6"/>
  <c r="CD109" i="6"/>
  <c r="CC109" i="6"/>
  <c r="CB109" i="6"/>
  <c r="CA109" i="6"/>
  <c r="BW121" i="6"/>
  <c r="BV121" i="6"/>
  <c r="BU121" i="6"/>
  <c r="CC121" i="6"/>
  <c r="BX121" i="6"/>
  <c r="BT121" i="6"/>
  <c r="CB121" i="6"/>
  <c r="CA121" i="6"/>
  <c r="BZ121" i="6"/>
  <c r="BY121" i="6"/>
  <c r="CD121" i="6"/>
  <c r="BS121" i="6"/>
  <c r="BW190" i="6"/>
  <c r="BU190" i="6"/>
  <c r="BV190" i="6"/>
  <c r="BZ190" i="6"/>
  <c r="BX190" i="6"/>
  <c r="BT190" i="6"/>
  <c r="BS190" i="6"/>
  <c r="BY190" i="6"/>
  <c r="CA190" i="6"/>
  <c r="CD190" i="6"/>
  <c r="CC190" i="6"/>
  <c r="CB190" i="6"/>
  <c r="BW212" i="6"/>
  <c r="BU212" i="6"/>
  <c r="BV212" i="6"/>
  <c r="BT212" i="6"/>
  <c r="CD212" i="6"/>
  <c r="CC212" i="6"/>
  <c r="BS212" i="6"/>
  <c r="BY212" i="6"/>
  <c r="CB212" i="6"/>
  <c r="CA212" i="6"/>
  <c r="BZ212" i="6"/>
  <c r="BX212" i="6"/>
  <c r="AT230" i="4"/>
  <c r="AT231" i="4" s="1"/>
  <c r="CK230" i="4"/>
  <c r="CK231" i="4" s="1"/>
  <c r="CT30" i="6"/>
  <c r="BZ30" i="6"/>
  <c r="BY30" i="6"/>
  <c r="CC30" i="6"/>
  <c r="CB30" i="6"/>
  <c r="BR30" i="6" s="1"/>
  <c r="CA30" i="6"/>
  <c r="BV30" i="6"/>
  <c r="BX30" i="6"/>
  <c r="BW30" i="6"/>
  <c r="BU30" i="6"/>
  <c r="BT30" i="6"/>
  <c r="CD30" i="6"/>
  <c r="BS30" i="6"/>
  <c r="BZ42" i="6"/>
  <c r="BY42" i="6"/>
  <c r="CA42" i="6"/>
  <c r="BX42" i="6"/>
  <c r="BW42" i="6"/>
  <c r="BV42" i="6"/>
  <c r="BS42" i="6"/>
  <c r="BU42" i="6"/>
  <c r="BT42" i="6"/>
  <c r="CD42" i="6"/>
  <c r="CC42" i="6"/>
  <c r="CB42" i="6"/>
  <c r="BY63" i="6"/>
  <c r="BX63" i="6"/>
  <c r="CB63" i="6"/>
  <c r="CA63" i="6"/>
  <c r="BZ63" i="6"/>
  <c r="BW63" i="6"/>
  <c r="BV63" i="6"/>
  <c r="BT63" i="6"/>
  <c r="BU63" i="6"/>
  <c r="CD63" i="6"/>
  <c r="CC63" i="6"/>
  <c r="BS63" i="6"/>
  <c r="BW86" i="6"/>
  <c r="BV86" i="6"/>
  <c r="BZ86" i="6"/>
  <c r="BY86" i="6"/>
  <c r="BX86" i="6"/>
  <c r="BU86" i="6"/>
  <c r="BT86" i="6"/>
  <c r="BS86" i="6"/>
  <c r="CA86" i="6"/>
  <c r="CD86" i="6"/>
  <c r="CC86" i="6"/>
  <c r="CB86" i="6"/>
  <c r="CT98" i="6"/>
  <c r="BW98" i="6"/>
  <c r="BV98" i="6"/>
  <c r="BU98" i="6"/>
  <c r="BT98" i="6"/>
  <c r="BS98" i="6"/>
  <c r="CD98" i="6"/>
  <c r="CC98" i="6"/>
  <c r="BZ98" i="6"/>
  <c r="BY98" i="6"/>
  <c r="CB98" i="6"/>
  <c r="CA98" i="6"/>
  <c r="BX98" i="6"/>
  <c r="BW110" i="6"/>
  <c r="BU110" i="6"/>
  <c r="BV110" i="6"/>
  <c r="CC110" i="6"/>
  <c r="BX110" i="6"/>
  <c r="BT110" i="6"/>
  <c r="CB110" i="6"/>
  <c r="CA110" i="6"/>
  <c r="BZ110" i="6"/>
  <c r="BY110" i="6"/>
  <c r="CD110" i="6"/>
  <c r="BS110" i="6"/>
  <c r="BW122" i="6"/>
  <c r="BU122" i="6"/>
  <c r="BV122" i="6"/>
  <c r="CB122" i="6"/>
  <c r="CA122" i="6"/>
  <c r="CD122" i="6"/>
  <c r="CC122" i="6"/>
  <c r="BZ122" i="6"/>
  <c r="BS122" i="6"/>
  <c r="BY122" i="6"/>
  <c r="BX122" i="6"/>
  <c r="BT122" i="6"/>
  <c r="BW134" i="6"/>
  <c r="BV134" i="6"/>
  <c r="BU134" i="6"/>
  <c r="BZ134" i="6"/>
  <c r="BX134" i="6"/>
  <c r="BS134" i="6"/>
  <c r="BY134" i="6"/>
  <c r="BT134" i="6"/>
  <c r="CC134" i="6"/>
  <c r="CD134" i="6"/>
  <c r="CB134" i="6"/>
  <c r="CA134" i="6"/>
  <c r="BW145" i="6"/>
  <c r="BU145" i="6"/>
  <c r="BV145" i="6"/>
  <c r="CC145" i="6"/>
  <c r="CB145" i="6"/>
  <c r="CA145" i="6"/>
  <c r="BZ145" i="6"/>
  <c r="CD145" i="6"/>
  <c r="BS145" i="6"/>
  <c r="BY145" i="6"/>
  <c r="BX145" i="6"/>
  <c r="BT145" i="6"/>
  <c r="D164" i="6"/>
  <c r="BW168" i="6"/>
  <c r="BU168" i="6"/>
  <c r="BV168" i="6"/>
  <c r="CD168" i="6"/>
  <c r="CC168" i="6"/>
  <c r="CB168" i="6"/>
  <c r="CA168" i="6"/>
  <c r="BZ168" i="6"/>
  <c r="BX168" i="6"/>
  <c r="BS168" i="6"/>
  <c r="BY168" i="6"/>
  <c r="BT168" i="6"/>
  <c r="BW180" i="6"/>
  <c r="BU180" i="6"/>
  <c r="BV180" i="6"/>
  <c r="BZ180" i="6"/>
  <c r="BX180" i="6"/>
  <c r="BT180" i="6"/>
  <c r="BS180" i="6"/>
  <c r="BY180" i="6"/>
  <c r="CB180" i="6"/>
  <c r="CD180" i="6"/>
  <c r="CC180" i="6"/>
  <c r="CA180" i="6"/>
  <c r="BW191" i="6"/>
  <c r="BU191" i="6"/>
  <c r="BV191" i="6"/>
  <c r="CC191" i="6"/>
  <c r="CA191" i="6"/>
  <c r="BZ191" i="6"/>
  <c r="BX191" i="6"/>
  <c r="BT191" i="6"/>
  <c r="CB191" i="6"/>
  <c r="BY191" i="6"/>
  <c r="CD191" i="6"/>
  <c r="BS191" i="6"/>
  <c r="BW202" i="6"/>
  <c r="BU202" i="6"/>
  <c r="BV202" i="6"/>
  <c r="BT202" i="6"/>
  <c r="CD202" i="6"/>
  <c r="CC202" i="6"/>
  <c r="BS202" i="6"/>
  <c r="CA202" i="6"/>
  <c r="CB202" i="6"/>
  <c r="BZ202" i="6"/>
  <c r="BY202" i="6"/>
  <c r="BX202" i="6"/>
  <c r="CT212" i="6"/>
  <c r="DY72" i="6"/>
  <c r="EI43" i="4"/>
  <c r="EI47" i="4" s="1"/>
  <c r="ED230" i="4"/>
  <c r="BZ32" i="6"/>
  <c r="BY32" i="6"/>
  <c r="CA32" i="6"/>
  <c r="BX32" i="6"/>
  <c r="BV32" i="6"/>
  <c r="BU32" i="6"/>
  <c r="BT32" i="6"/>
  <c r="BW32" i="6"/>
  <c r="BS32" i="6"/>
  <c r="CB32" i="6"/>
  <c r="CD32" i="6"/>
  <c r="CC32" i="6"/>
  <c r="BW77" i="6"/>
  <c r="BV77" i="6"/>
  <c r="CB77" i="6"/>
  <c r="CA77" i="6"/>
  <c r="BZ77" i="6"/>
  <c r="CD77" i="6"/>
  <c r="CC77" i="6"/>
  <c r="BY77" i="6"/>
  <c r="BS77" i="6"/>
  <c r="BX77" i="6"/>
  <c r="BU77" i="6"/>
  <c r="BT77" i="6"/>
  <c r="BW100" i="6"/>
  <c r="BV100" i="6"/>
  <c r="BU100" i="6"/>
  <c r="CC100" i="6"/>
  <c r="CB100" i="6"/>
  <c r="BX100" i="6"/>
  <c r="BT100" i="6"/>
  <c r="CA100" i="6"/>
  <c r="BZ100" i="6"/>
  <c r="BY100" i="6"/>
  <c r="CD100" i="6"/>
  <c r="BS100" i="6"/>
  <c r="BW124" i="6"/>
  <c r="BU124" i="6"/>
  <c r="BV124" i="6"/>
  <c r="BZ124" i="6"/>
  <c r="BS124" i="6"/>
  <c r="BY124" i="6"/>
  <c r="BX124" i="6"/>
  <c r="BT124" i="6"/>
  <c r="CA124" i="6"/>
  <c r="CD124" i="6"/>
  <c r="CC124" i="6"/>
  <c r="CB124" i="6"/>
  <c r="BW136" i="6"/>
  <c r="BV136" i="6"/>
  <c r="BU136" i="6"/>
  <c r="CD136" i="6"/>
  <c r="CB136" i="6"/>
  <c r="CA136" i="6"/>
  <c r="BZ136" i="6"/>
  <c r="CC136" i="6"/>
  <c r="BX136" i="6"/>
  <c r="BS136" i="6"/>
  <c r="BY136" i="6"/>
  <c r="BT136" i="6"/>
  <c r="BW147" i="6"/>
  <c r="BV147" i="6"/>
  <c r="BU147" i="6"/>
  <c r="BT147" i="6"/>
  <c r="CD147" i="6"/>
  <c r="BS147" i="6"/>
  <c r="CC147" i="6"/>
  <c r="BX147" i="6"/>
  <c r="CA147" i="6"/>
  <c r="BZ147" i="6"/>
  <c r="BY147" i="6"/>
  <c r="CB147" i="6"/>
  <c r="BW204" i="6"/>
  <c r="BU204" i="6"/>
  <c r="BV204" i="6"/>
  <c r="CC204" i="6"/>
  <c r="CA204" i="6"/>
  <c r="BZ204" i="6"/>
  <c r="BY204" i="6"/>
  <c r="BX204" i="6"/>
  <c r="BT204" i="6"/>
  <c r="CB204" i="6"/>
  <c r="CD204" i="6"/>
  <c r="BS204" i="6"/>
  <c r="BV225" i="6"/>
  <c r="BT225" i="6"/>
  <c r="BU225" i="6"/>
  <c r="CC225" i="6"/>
  <c r="CB225" i="6"/>
  <c r="CA225" i="6"/>
  <c r="BZ225" i="6"/>
  <c r="BY225" i="6"/>
  <c r="CD225" i="6"/>
  <c r="BX225" i="6"/>
  <c r="BW225" i="6"/>
  <c r="BS225" i="6"/>
  <c r="BZ44" i="6"/>
  <c r="BY44" i="6"/>
  <c r="CC44" i="6"/>
  <c r="BV44" i="6"/>
  <c r="CB44" i="6"/>
  <c r="CA44" i="6"/>
  <c r="BX44" i="6"/>
  <c r="BW44" i="6"/>
  <c r="BU44" i="6"/>
  <c r="BS44" i="6"/>
  <c r="CD44" i="6"/>
  <c r="BT44" i="6"/>
  <c r="BP78" i="6"/>
  <c r="H74" i="23" s="1"/>
  <c r="BW78" i="6"/>
  <c r="BV78" i="6"/>
  <c r="BT78" i="6"/>
  <c r="BS78" i="6"/>
  <c r="CD78" i="6"/>
  <c r="CC78" i="6"/>
  <c r="CB78" i="6"/>
  <c r="BU78" i="6"/>
  <c r="CA78" i="6"/>
  <c r="BZ78" i="6"/>
  <c r="BY78" i="6"/>
  <c r="BX78" i="6"/>
  <c r="BW113" i="6"/>
  <c r="BU113" i="6"/>
  <c r="BV113" i="6"/>
  <c r="BZ113" i="6"/>
  <c r="BY113" i="6"/>
  <c r="BX113" i="6"/>
  <c r="BT113" i="6"/>
  <c r="BS113" i="6"/>
  <c r="CA113" i="6"/>
  <c r="CD113" i="6"/>
  <c r="CC113" i="6"/>
  <c r="CB113" i="6"/>
  <c r="BW183" i="6"/>
  <c r="BU183" i="6"/>
  <c r="BV183" i="6"/>
  <c r="CD183" i="6"/>
  <c r="CC183" i="6"/>
  <c r="CB183" i="6"/>
  <c r="CA183" i="6"/>
  <c r="BZ183" i="6"/>
  <c r="BY183" i="6"/>
  <c r="BX183" i="6"/>
  <c r="BT183" i="6"/>
  <c r="BS183" i="6"/>
  <c r="DZ230" i="4"/>
  <c r="DZ231" i="4" s="1"/>
  <c r="CT44" i="6"/>
  <c r="BZ55" i="6"/>
  <c r="BY55" i="6"/>
  <c r="BU55" i="6"/>
  <c r="CC55" i="6"/>
  <c r="BT55" i="6"/>
  <c r="BS55" i="6"/>
  <c r="CD55" i="6"/>
  <c r="BX55" i="6"/>
  <c r="CB55" i="6"/>
  <c r="CA55" i="6"/>
  <c r="BW55" i="6"/>
  <c r="BV55" i="6"/>
  <c r="BX67" i="6"/>
  <c r="BW67" i="6"/>
  <c r="CC67" i="6"/>
  <c r="CB67" i="6"/>
  <c r="CA67" i="6"/>
  <c r="CD67" i="6"/>
  <c r="BZ67" i="6"/>
  <c r="BY67" i="6"/>
  <c r="BT67" i="6"/>
  <c r="BS67" i="6"/>
  <c r="BV67" i="6"/>
  <c r="BU67" i="6"/>
  <c r="BW79" i="6"/>
  <c r="BV79" i="6"/>
  <c r="BX79" i="6"/>
  <c r="BT79" i="6"/>
  <c r="BS79" i="6"/>
  <c r="CD79" i="6"/>
  <c r="BU79" i="6"/>
  <c r="CC79" i="6"/>
  <c r="CB79" i="6"/>
  <c r="CA79" i="6"/>
  <c r="BZ79" i="6"/>
  <c r="BY79" i="6"/>
  <c r="BW160" i="6"/>
  <c r="BU160" i="6"/>
  <c r="BV160" i="6"/>
  <c r="BZ160" i="6"/>
  <c r="BX160" i="6"/>
  <c r="BS160" i="6"/>
  <c r="BY160" i="6"/>
  <c r="BT160" i="6"/>
  <c r="CB160" i="6"/>
  <c r="CD160" i="6"/>
  <c r="CA160" i="6"/>
  <c r="CC160" i="6"/>
  <c r="BW184" i="6"/>
  <c r="BU184" i="6"/>
  <c r="BV184" i="6"/>
  <c r="BT184" i="6"/>
  <c r="CC184" i="6"/>
  <c r="BS184" i="6"/>
  <c r="CD184" i="6"/>
  <c r="CA184" i="6"/>
  <c r="BZ184" i="6"/>
  <c r="BY184" i="6"/>
  <c r="BX184" i="6"/>
  <c r="CB184" i="6"/>
  <c r="BW195" i="6"/>
  <c r="BU195" i="6"/>
  <c r="BV195" i="6"/>
  <c r="BZ195" i="6"/>
  <c r="BX195" i="6"/>
  <c r="BS195" i="6"/>
  <c r="BY195" i="6"/>
  <c r="BT195" i="6"/>
  <c r="CA195" i="6"/>
  <c r="CD195" i="6"/>
  <c r="CC195" i="6"/>
  <c r="CB195" i="6"/>
  <c r="BW216" i="6"/>
  <c r="BU216" i="6"/>
  <c r="BV216" i="6"/>
  <c r="CD216" i="6"/>
  <c r="CC216" i="6"/>
  <c r="CB216" i="6"/>
  <c r="CA216" i="6"/>
  <c r="BZ216" i="6"/>
  <c r="BX216" i="6"/>
  <c r="BT216" i="6"/>
  <c r="BY216" i="6"/>
  <c r="BS216" i="6"/>
  <c r="EC230" i="4"/>
  <c r="EC231" i="4" s="1"/>
  <c r="BZ45" i="6"/>
  <c r="BY45" i="6"/>
  <c r="CD45" i="6"/>
  <c r="CC45" i="6"/>
  <c r="CB45" i="6"/>
  <c r="BW45" i="6"/>
  <c r="CA45" i="6"/>
  <c r="BX45" i="6"/>
  <c r="BU45" i="6"/>
  <c r="BS45" i="6"/>
  <c r="BV45" i="6"/>
  <c r="BT45" i="6"/>
  <c r="BW139" i="6"/>
  <c r="BU139" i="6"/>
  <c r="BV139" i="6"/>
  <c r="BZ139" i="6"/>
  <c r="BX139" i="6"/>
  <c r="BT139" i="6"/>
  <c r="BS139" i="6"/>
  <c r="BY139" i="6"/>
  <c r="CB139" i="6"/>
  <c r="CC139" i="6"/>
  <c r="CA139" i="6"/>
  <c r="CD139" i="6"/>
  <c r="BW149" i="6"/>
  <c r="BV149" i="6"/>
  <c r="BU149" i="6"/>
  <c r="CC149" i="6"/>
  <c r="CA149" i="6"/>
  <c r="BZ149" i="6"/>
  <c r="BX149" i="6"/>
  <c r="BT149" i="6"/>
  <c r="CB149" i="6"/>
  <c r="BY149" i="6"/>
  <c r="CD149" i="6"/>
  <c r="BS149" i="6"/>
  <c r="CT161" i="6"/>
  <c r="BW161" i="6"/>
  <c r="BV161" i="6"/>
  <c r="BU161" i="6"/>
  <c r="CC161" i="6"/>
  <c r="CA161" i="6"/>
  <c r="BZ161" i="6"/>
  <c r="BY161" i="6"/>
  <c r="BX161" i="6"/>
  <c r="BT161" i="6"/>
  <c r="CB161" i="6"/>
  <c r="CD161" i="6"/>
  <c r="BS161" i="6"/>
  <c r="BW173" i="6"/>
  <c r="BV173" i="6"/>
  <c r="BU173" i="6"/>
  <c r="CD173" i="6"/>
  <c r="CC173" i="6"/>
  <c r="CB173" i="6"/>
  <c r="CA173" i="6"/>
  <c r="BZ173" i="6"/>
  <c r="BT173" i="6"/>
  <c r="BY173" i="6"/>
  <c r="BX173" i="6"/>
  <c r="BS173" i="6"/>
  <c r="BW185" i="6"/>
  <c r="BV185" i="6"/>
  <c r="BU185" i="6"/>
  <c r="BZ185" i="6"/>
  <c r="BX185" i="6"/>
  <c r="BT185" i="6"/>
  <c r="BS185" i="6"/>
  <c r="BY185" i="6"/>
  <c r="CC185" i="6"/>
  <c r="CB185" i="6"/>
  <c r="CD185" i="6"/>
  <c r="CA185" i="6"/>
  <c r="BV228" i="6"/>
  <c r="BT228" i="6"/>
  <c r="BU228" i="6"/>
  <c r="BY228" i="6"/>
  <c r="BW228" i="6"/>
  <c r="BS228" i="6"/>
  <c r="BX228" i="6"/>
  <c r="CB228" i="6"/>
  <c r="CA228" i="6"/>
  <c r="BZ228" i="6"/>
  <c r="CD228" i="6"/>
  <c r="CC228" i="6"/>
  <c r="BZ46" i="6"/>
  <c r="BY46" i="6"/>
  <c r="BS46" i="6"/>
  <c r="CB46" i="6"/>
  <c r="CD46" i="6"/>
  <c r="CC46" i="6"/>
  <c r="CA46" i="6"/>
  <c r="BT46" i="6"/>
  <c r="BW46" i="6"/>
  <c r="BV46" i="6"/>
  <c r="BX46" i="6"/>
  <c r="BU46" i="6"/>
  <c r="BW140" i="6"/>
  <c r="BV140" i="6"/>
  <c r="BU140" i="6"/>
  <c r="CC140" i="6"/>
  <c r="BZ140" i="6"/>
  <c r="BX140" i="6"/>
  <c r="BT140" i="6"/>
  <c r="CB140" i="6"/>
  <c r="CA140" i="6"/>
  <c r="BY140" i="6"/>
  <c r="CD140" i="6"/>
  <c r="BS140" i="6"/>
  <c r="BW174" i="6"/>
  <c r="BU174" i="6"/>
  <c r="BV174" i="6"/>
  <c r="BT174" i="6"/>
  <c r="CD174" i="6"/>
  <c r="BS174" i="6"/>
  <c r="CC174" i="6"/>
  <c r="BY174" i="6"/>
  <c r="CB174" i="6"/>
  <c r="CA174" i="6"/>
  <c r="BZ174" i="6"/>
  <c r="BX174" i="6"/>
  <c r="BW208" i="6"/>
  <c r="BU208" i="6"/>
  <c r="BV208" i="6"/>
  <c r="BZ208" i="6"/>
  <c r="BX208" i="6"/>
  <c r="BT208" i="6"/>
  <c r="BS208" i="6"/>
  <c r="BY208" i="6"/>
  <c r="CD208" i="6"/>
  <c r="CC208" i="6"/>
  <c r="CB208" i="6"/>
  <c r="CA208" i="6"/>
  <c r="BV229" i="6"/>
  <c r="BT229" i="6"/>
  <c r="BU229" i="6"/>
  <c r="CB229" i="6"/>
  <c r="BZ229" i="6"/>
  <c r="BY229" i="6"/>
  <c r="BX229" i="6"/>
  <c r="BW229" i="6"/>
  <c r="BS229" i="6"/>
  <c r="CA229" i="6"/>
  <c r="CD229" i="6"/>
  <c r="CC229" i="6"/>
  <c r="BV243" i="6"/>
  <c r="BT243" i="6"/>
  <c r="BU243" i="6"/>
  <c r="BS243" i="6"/>
  <c r="CC243" i="6"/>
  <c r="CB243" i="6"/>
  <c r="CD243" i="6"/>
  <c r="BW243" i="6"/>
  <c r="CA243" i="6"/>
  <c r="BZ243" i="6"/>
  <c r="BY243" i="6"/>
  <c r="BX243" i="6"/>
  <c r="BW93" i="6"/>
  <c r="BV93" i="6"/>
  <c r="CC93" i="6"/>
  <c r="CB93" i="6"/>
  <c r="BZ93" i="6"/>
  <c r="CD93" i="6"/>
  <c r="CA93" i="6"/>
  <c r="BU93" i="6"/>
  <c r="BX93" i="6"/>
  <c r="BT93" i="6"/>
  <c r="BS93" i="6"/>
  <c r="BY93" i="6"/>
  <c r="BW105" i="6"/>
  <c r="BV105" i="6"/>
  <c r="BU105" i="6"/>
  <c r="BZ105" i="6"/>
  <c r="BY105" i="6"/>
  <c r="BX105" i="6"/>
  <c r="BT105" i="6"/>
  <c r="BS105" i="6"/>
  <c r="CC105" i="6"/>
  <c r="CB105" i="6"/>
  <c r="CD105" i="6"/>
  <c r="CA105" i="6"/>
  <c r="BW117" i="6"/>
  <c r="BV117" i="6"/>
  <c r="BU117" i="6"/>
  <c r="CC117" i="6"/>
  <c r="BY117" i="6"/>
  <c r="BX117" i="6"/>
  <c r="CB117" i="6"/>
  <c r="CA117" i="6"/>
  <c r="BZ117" i="6"/>
  <c r="BT117" i="6"/>
  <c r="BS117" i="6"/>
  <c r="CD117" i="6"/>
  <c r="BW151" i="6"/>
  <c r="BU151" i="6"/>
  <c r="BV151" i="6"/>
  <c r="CD151" i="6"/>
  <c r="CC151" i="6"/>
  <c r="CB151" i="6"/>
  <c r="CA151" i="6"/>
  <c r="BZ151" i="6"/>
  <c r="BT151" i="6"/>
  <c r="BS151" i="6"/>
  <c r="BY151" i="6"/>
  <c r="BX151" i="6"/>
  <c r="BW94" i="6"/>
  <c r="BV94" i="6"/>
  <c r="BU94" i="6"/>
  <c r="BT94" i="6"/>
  <c r="CD94" i="6"/>
  <c r="BS94" i="6"/>
  <c r="CC94" i="6"/>
  <c r="CA94" i="6"/>
  <c r="BX94" i="6"/>
  <c r="CB94" i="6"/>
  <c r="BZ94" i="6"/>
  <c r="BY94" i="6"/>
  <c r="BW118" i="6"/>
  <c r="BU118" i="6"/>
  <c r="BV118" i="6"/>
  <c r="CD118" i="6"/>
  <c r="CC118" i="6"/>
  <c r="BZ118" i="6"/>
  <c r="CB118" i="6"/>
  <c r="CA118" i="6"/>
  <c r="BT118" i="6"/>
  <c r="BY118" i="6"/>
  <c r="BX118" i="6"/>
  <c r="BS118" i="6"/>
  <c r="BW130" i="6"/>
  <c r="BV130" i="6"/>
  <c r="BU130" i="6"/>
  <c r="CC130" i="6"/>
  <c r="BY130" i="6"/>
  <c r="BX130" i="6"/>
  <c r="BT130" i="6"/>
  <c r="CB130" i="6"/>
  <c r="CA130" i="6"/>
  <c r="BZ130" i="6"/>
  <c r="CD130" i="6"/>
  <c r="BS130" i="6"/>
  <c r="BW142" i="6"/>
  <c r="BV142" i="6"/>
  <c r="BU142" i="6"/>
  <c r="BT142" i="6"/>
  <c r="CD142" i="6"/>
  <c r="CC142" i="6"/>
  <c r="BS142" i="6"/>
  <c r="CA142" i="6"/>
  <c r="BY142" i="6"/>
  <c r="BZ142" i="6"/>
  <c r="BX142" i="6"/>
  <c r="CB142" i="6"/>
  <c r="BW152" i="6"/>
  <c r="BV152" i="6"/>
  <c r="BU152" i="6"/>
  <c r="BT152" i="6"/>
  <c r="CD152" i="6"/>
  <c r="CC152" i="6"/>
  <c r="BS152" i="6"/>
  <c r="BY152" i="6"/>
  <c r="CB152" i="6"/>
  <c r="CA152" i="6"/>
  <c r="BZ152" i="6"/>
  <c r="BX152" i="6"/>
  <c r="L164" i="6"/>
  <c r="BW176" i="6"/>
  <c r="BV176" i="6"/>
  <c r="BU176" i="6"/>
  <c r="CC176" i="6"/>
  <c r="CA176" i="6"/>
  <c r="BZ176" i="6"/>
  <c r="BY176" i="6"/>
  <c r="BX176" i="6"/>
  <c r="BT176" i="6"/>
  <c r="CB176" i="6"/>
  <c r="BS176" i="6"/>
  <c r="CD176" i="6"/>
  <c r="BW199" i="6"/>
  <c r="BU199" i="6"/>
  <c r="BV199" i="6"/>
  <c r="BZ199" i="6"/>
  <c r="BX199" i="6"/>
  <c r="BT199" i="6"/>
  <c r="BS199" i="6"/>
  <c r="BY199" i="6"/>
  <c r="CB199" i="6"/>
  <c r="CD199" i="6"/>
  <c r="CA199" i="6"/>
  <c r="CC199" i="6"/>
  <c r="BW210" i="6"/>
  <c r="BU210" i="6"/>
  <c r="BV210" i="6"/>
  <c r="CC210" i="6"/>
  <c r="CA210" i="6"/>
  <c r="BZ210" i="6"/>
  <c r="BY210" i="6"/>
  <c r="BX210" i="6"/>
  <c r="CB210" i="6"/>
  <c r="BT210" i="6"/>
  <c r="CD210" i="6"/>
  <c r="BS210" i="6"/>
  <c r="AU230" i="4"/>
  <c r="AA4" i="4"/>
  <c r="BZ39" i="6"/>
  <c r="BY39" i="6"/>
  <c r="BS39" i="6"/>
  <c r="CD39" i="6"/>
  <c r="CC39" i="6"/>
  <c r="CB39" i="6"/>
  <c r="CA39" i="6"/>
  <c r="BU39" i="6"/>
  <c r="BX39" i="6"/>
  <c r="BW39" i="6"/>
  <c r="BT39" i="6"/>
  <c r="BV39" i="6"/>
  <c r="BW83" i="6"/>
  <c r="BV83" i="6"/>
  <c r="CD83" i="6"/>
  <c r="CC83" i="6"/>
  <c r="CB83" i="6"/>
  <c r="CA83" i="6"/>
  <c r="BZ83" i="6"/>
  <c r="BX83" i="6"/>
  <c r="BT83" i="6"/>
  <c r="BY83" i="6"/>
  <c r="BU83" i="6"/>
  <c r="BS83" i="6"/>
  <c r="BW107" i="6"/>
  <c r="BV107" i="6"/>
  <c r="BU107" i="6"/>
  <c r="BZ107" i="6"/>
  <c r="CD107" i="6"/>
  <c r="CC107" i="6"/>
  <c r="CB107" i="6"/>
  <c r="CA107" i="6"/>
  <c r="BX107" i="6"/>
  <c r="BY107" i="6"/>
  <c r="BT107" i="6"/>
  <c r="BS107" i="6"/>
  <c r="CT142" i="6"/>
  <c r="BW177" i="6"/>
  <c r="BU177" i="6"/>
  <c r="BV177" i="6"/>
  <c r="CD177" i="6"/>
  <c r="CB177" i="6"/>
  <c r="CA177" i="6"/>
  <c r="BZ177" i="6"/>
  <c r="CC177" i="6"/>
  <c r="BX177" i="6"/>
  <c r="BT177" i="6"/>
  <c r="BY177" i="6"/>
  <c r="BS177" i="6"/>
  <c r="CT210" i="6"/>
  <c r="BV246" i="6"/>
  <c r="BT246" i="6"/>
  <c r="BU246" i="6"/>
  <c r="CC246" i="6"/>
  <c r="CA246" i="6"/>
  <c r="BZ246" i="6"/>
  <c r="CD246" i="6"/>
  <c r="CB246" i="6"/>
  <c r="BY246" i="6"/>
  <c r="BS246" i="6"/>
  <c r="BX246" i="6"/>
  <c r="BW246" i="6"/>
  <c r="BZ40" i="6"/>
  <c r="BY40" i="6"/>
  <c r="BU40" i="6"/>
  <c r="BT40" i="6"/>
  <c r="BS40" i="6"/>
  <c r="CD40" i="6"/>
  <c r="CC40" i="6"/>
  <c r="CB40" i="6"/>
  <c r="CA40" i="6"/>
  <c r="BX40" i="6"/>
  <c r="BW40" i="6"/>
  <c r="BV40" i="6"/>
  <c r="BW84" i="6"/>
  <c r="BV84" i="6"/>
  <c r="BT84" i="6"/>
  <c r="CD84" i="6"/>
  <c r="CC84" i="6"/>
  <c r="CB84" i="6"/>
  <c r="BS84" i="6"/>
  <c r="BZ84" i="6"/>
  <c r="BU84" i="6"/>
  <c r="CA84" i="6"/>
  <c r="BY84" i="6"/>
  <c r="BX84" i="6"/>
  <c r="BW108" i="6"/>
  <c r="BU108" i="6"/>
  <c r="BV108" i="6"/>
  <c r="BT108" i="6"/>
  <c r="CD108" i="6"/>
  <c r="BS108" i="6"/>
  <c r="CC108" i="6"/>
  <c r="BX108" i="6"/>
  <c r="BY108" i="6"/>
  <c r="CB108" i="6"/>
  <c r="CA108" i="6"/>
  <c r="BZ108" i="6"/>
  <c r="BW143" i="6"/>
  <c r="BU143" i="6"/>
  <c r="BV143" i="6"/>
  <c r="BZ143" i="6"/>
  <c r="BY143" i="6"/>
  <c r="BX143" i="6"/>
  <c r="BS143" i="6"/>
  <c r="BT143" i="6"/>
  <c r="CC143" i="6"/>
  <c r="CD143" i="6"/>
  <c r="CB143" i="6"/>
  <c r="CA143" i="6"/>
  <c r="BW166" i="6"/>
  <c r="BV166" i="6"/>
  <c r="BU166" i="6"/>
  <c r="BZ166" i="6"/>
  <c r="BX166" i="6"/>
  <c r="BT166" i="6"/>
  <c r="BS166" i="6"/>
  <c r="BY166" i="6"/>
  <c r="CC166" i="6"/>
  <c r="CD166" i="6"/>
  <c r="CB166" i="6"/>
  <c r="CA166" i="6"/>
  <c r="BW189" i="6"/>
  <c r="BU189" i="6"/>
  <c r="BV189" i="6"/>
  <c r="BT189" i="6"/>
  <c r="CD189" i="6"/>
  <c r="CC189" i="6"/>
  <c r="BS189" i="6"/>
  <c r="BX189" i="6"/>
  <c r="CB189" i="6"/>
  <c r="BZ189" i="6"/>
  <c r="BY189" i="6"/>
  <c r="CA189" i="6"/>
  <c r="BW211" i="6"/>
  <c r="BU211" i="6"/>
  <c r="BV211" i="6"/>
  <c r="CD211" i="6"/>
  <c r="CC211" i="6"/>
  <c r="CB211" i="6"/>
  <c r="CA211" i="6"/>
  <c r="BZ211" i="6"/>
  <c r="BT211" i="6"/>
  <c r="BY211" i="6"/>
  <c r="BX211" i="6"/>
  <c r="BS211" i="6"/>
  <c r="BW222" i="6"/>
  <c r="BU222" i="6"/>
  <c r="BV222" i="6"/>
  <c r="BZ222" i="6"/>
  <c r="BX222" i="6"/>
  <c r="BT222" i="6"/>
  <c r="BS222" i="6"/>
  <c r="BY222" i="6"/>
  <c r="CB222" i="6"/>
  <c r="CD222" i="6"/>
  <c r="CC222" i="6"/>
  <c r="CA222" i="6"/>
  <c r="BV247" i="6"/>
  <c r="BT247" i="6"/>
  <c r="BU247" i="6"/>
  <c r="BS247" i="6"/>
  <c r="CD247" i="6"/>
  <c r="CB247" i="6"/>
  <c r="CC247" i="6"/>
  <c r="BX247" i="6"/>
  <c r="BW247" i="6"/>
  <c r="CA247" i="6"/>
  <c r="BZ247" i="6"/>
  <c r="BY247" i="6"/>
  <c r="BZ41" i="6"/>
  <c r="BY41" i="6"/>
  <c r="BW41" i="6"/>
  <c r="BS41" i="6"/>
  <c r="BV41" i="6"/>
  <c r="BU41" i="6"/>
  <c r="BT41" i="6"/>
  <c r="CC41" i="6"/>
  <c r="CD41" i="6"/>
  <c r="CB41" i="6"/>
  <c r="CA41" i="6"/>
  <c r="BX41" i="6"/>
  <c r="BW144" i="6"/>
  <c r="BV144" i="6"/>
  <c r="BU144" i="6"/>
  <c r="CC144" i="6"/>
  <c r="CA144" i="6"/>
  <c r="BZ144" i="6"/>
  <c r="BY144" i="6"/>
  <c r="BX144" i="6"/>
  <c r="CB144" i="6"/>
  <c r="BT144" i="6"/>
  <c r="CD144" i="6"/>
  <c r="BS144" i="6"/>
  <c r="CT167" i="6"/>
  <c r="BW167" i="6"/>
  <c r="BU167" i="6"/>
  <c r="BV167" i="6"/>
  <c r="CC167" i="6"/>
  <c r="CA167" i="6"/>
  <c r="BX167" i="6"/>
  <c r="BT167" i="6"/>
  <c r="CB167" i="6"/>
  <c r="BZ167" i="6"/>
  <c r="BY167" i="6"/>
  <c r="BS167" i="6"/>
  <c r="CD167" i="6"/>
  <c r="BW179" i="6"/>
  <c r="BU179" i="6"/>
  <c r="BV179" i="6"/>
  <c r="BT179" i="6"/>
  <c r="CD179" i="6"/>
  <c r="BS179" i="6"/>
  <c r="CC179" i="6"/>
  <c r="CB179" i="6"/>
  <c r="BY179" i="6"/>
  <c r="CA179" i="6"/>
  <c r="BZ179" i="6"/>
  <c r="BX179" i="6"/>
  <c r="CT201" i="6"/>
  <c r="AY233" i="6"/>
  <c r="AY249" i="6" s="1"/>
  <c r="AY250" i="6" s="1"/>
  <c r="BZ31" i="6"/>
  <c r="BY31" i="6"/>
  <c r="BW31" i="6"/>
  <c r="BV31" i="6"/>
  <c r="BT31" i="6"/>
  <c r="BU31" i="6"/>
  <c r="BS31" i="6"/>
  <c r="CD31" i="6"/>
  <c r="CB31" i="6"/>
  <c r="BX31" i="6"/>
  <c r="CC31" i="6"/>
  <c r="CA31" i="6"/>
  <c r="CT42" i="6"/>
  <c r="CT64" i="6"/>
  <c r="BY64" i="6"/>
  <c r="BX64" i="6"/>
  <c r="CD64" i="6"/>
  <c r="BW64" i="6"/>
  <c r="BV64" i="6"/>
  <c r="CC64" i="6"/>
  <c r="CB64" i="6"/>
  <c r="CA64" i="6"/>
  <c r="BZ64" i="6"/>
  <c r="BT64" i="6"/>
  <c r="BS64" i="6"/>
  <c r="BU64" i="6"/>
  <c r="BW99" i="6"/>
  <c r="BU99" i="6"/>
  <c r="BV99" i="6"/>
  <c r="BZ99" i="6"/>
  <c r="BT99" i="6"/>
  <c r="BS99" i="6"/>
  <c r="BY99" i="6"/>
  <c r="BX99" i="6"/>
  <c r="CB99" i="6"/>
  <c r="CD99" i="6"/>
  <c r="CC99" i="6"/>
  <c r="CA99" i="6"/>
  <c r="BW111" i="6"/>
  <c r="BV111" i="6"/>
  <c r="BU111" i="6"/>
  <c r="CC111" i="6"/>
  <c r="CB111" i="6"/>
  <c r="CD111" i="6"/>
  <c r="CA111" i="6"/>
  <c r="BZ111" i="6"/>
  <c r="BT111" i="6"/>
  <c r="BY111" i="6"/>
  <c r="BS111" i="6"/>
  <c r="BX111" i="6"/>
  <c r="BW123" i="6"/>
  <c r="BV123" i="6"/>
  <c r="BU123" i="6"/>
  <c r="BT123" i="6"/>
  <c r="CD123" i="6"/>
  <c r="CC123" i="6"/>
  <c r="BS123" i="6"/>
  <c r="CA123" i="6"/>
  <c r="BX123" i="6"/>
  <c r="CB123" i="6"/>
  <c r="BZ123" i="6"/>
  <c r="BY123" i="6"/>
  <c r="BW135" i="6"/>
  <c r="BU135" i="6"/>
  <c r="BV135" i="6"/>
  <c r="CC135" i="6"/>
  <c r="BY135" i="6"/>
  <c r="BX135" i="6"/>
  <c r="CB135" i="6"/>
  <c r="CA135" i="6"/>
  <c r="BZ135" i="6"/>
  <c r="BT135" i="6"/>
  <c r="BS135" i="6"/>
  <c r="CD135" i="6"/>
  <c r="CT169" i="6"/>
  <c r="BW169" i="6"/>
  <c r="BV169" i="6"/>
  <c r="BU169" i="6"/>
  <c r="BT169" i="6"/>
  <c r="CD169" i="6"/>
  <c r="BS169" i="6"/>
  <c r="CC169" i="6"/>
  <c r="BX169" i="6"/>
  <c r="CB169" i="6"/>
  <c r="CA169" i="6"/>
  <c r="BZ169" i="6"/>
  <c r="BY169" i="6"/>
  <c r="BW181" i="6"/>
  <c r="BU181" i="6"/>
  <c r="BV181" i="6"/>
  <c r="CC181" i="6"/>
  <c r="CA181" i="6"/>
  <c r="BZ181" i="6"/>
  <c r="BY181" i="6"/>
  <c r="BX181" i="6"/>
  <c r="BT181" i="6"/>
  <c r="CB181" i="6"/>
  <c r="CD181" i="6"/>
  <c r="BS181" i="6"/>
  <c r="BW192" i="6"/>
  <c r="BU192" i="6"/>
  <c r="BV192" i="6"/>
  <c r="CC192" i="6"/>
  <c r="CB192" i="6"/>
  <c r="CA192" i="6"/>
  <c r="CD192" i="6"/>
  <c r="BZ192" i="6"/>
  <c r="BT192" i="6"/>
  <c r="BS192" i="6"/>
  <c r="BY192" i="6"/>
  <c r="BX192" i="6"/>
  <c r="BW203" i="6"/>
  <c r="BU203" i="6"/>
  <c r="BV203" i="6"/>
  <c r="BZ203" i="6"/>
  <c r="BX203" i="6"/>
  <c r="BS203" i="6"/>
  <c r="BY203" i="6"/>
  <c r="BT203" i="6"/>
  <c r="CC203" i="6"/>
  <c r="CD203" i="6"/>
  <c r="CB203" i="6"/>
  <c r="CA203" i="6"/>
  <c r="BW213" i="6"/>
  <c r="BU213" i="6"/>
  <c r="BV213" i="6"/>
  <c r="BZ213" i="6"/>
  <c r="BX213" i="6"/>
  <c r="BT213" i="6"/>
  <c r="BS213" i="6"/>
  <c r="BY213" i="6"/>
  <c r="CC213" i="6"/>
  <c r="CD213" i="6"/>
  <c r="CB213" i="6"/>
  <c r="CA213" i="6"/>
  <c r="BV224" i="6"/>
  <c r="BT224" i="6"/>
  <c r="BU224" i="6"/>
  <c r="CB224" i="6"/>
  <c r="BZ224" i="6"/>
  <c r="BY224" i="6"/>
  <c r="BX224" i="6"/>
  <c r="BW224" i="6"/>
  <c r="CA224" i="6"/>
  <c r="BS224" i="6"/>
  <c r="CD224" i="6"/>
  <c r="CC224" i="6"/>
  <c r="EA233" i="6"/>
  <c r="EA249" i="6" s="1"/>
  <c r="EA250" i="6" s="1"/>
  <c r="EB230" i="4"/>
  <c r="AF54" i="1"/>
  <c r="C116" i="1"/>
  <c r="C205" i="1"/>
  <c r="E87" i="1"/>
  <c r="G182" i="1"/>
  <c r="I236" i="1"/>
  <c r="J236" i="1"/>
  <c r="AG43" i="5"/>
  <c r="AG47" i="5" s="1"/>
  <c r="C157" i="1"/>
  <c r="D182" i="1"/>
  <c r="D223" i="1"/>
  <c r="E146" i="1"/>
  <c r="H133" i="1"/>
  <c r="I13" i="1"/>
  <c r="I133" i="1"/>
  <c r="B241" i="1"/>
  <c r="E164" i="1"/>
  <c r="F219" i="1"/>
  <c r="I193" i="1"/>
  <c r="G187" i="1"/>
  <c r="J178" i="1"/>
  <c r="D209" i="1"/>
  <c r="H223" i="1"/>
  <c r="D157" i="1"/>
  <c r="D227" i="1"/>
  <c r="D178" i="1"/>
  <c r="E150" i="1"/>
  <c r="E205" i="1"/>
  <c r="F138" i="1"/>
  <c r="G116" i="1"/>
  <c r="H164" i="1"/>
  <c r="I129" i="1"/>
  <c r="J182" i="1"/>
  <c r="B104" i="1"/>
  <c r="B133" i="1"/>
  <c r="B205" i="1"/>
  <c r="C76" i="1"/>
  <c r="E57" i="1"/>
  <c r="G172" i="1"/>
  <c r="I27" i="1"/>
  <c r="C138" i="1"/>
  <c r="D104" i="1"/>
  <c r="F29" i="1"/>
  <c r="I146" i="1"/>
  <c r="G223" i="1"/>
  <c r="I60" i="1"/>
  <c r="I209" i="1"/>
  <c r="J76" i="1"/>
  <c r="H178" i="1"/>
  <c r="I87" i="1"/>
  <c r="I241" i="1"/>
  <c r="J87" i="1"/>
  <c r="K87" i="1"/>
  <c r="L205" i="1"/>
  <c r="H76" i="1"/>
  <c r="H236" i="1"/>
  <c r="AJ27" i="1"/>
  <c r="AK27" i="1"/>
  <c r="J164" i="1"/>
  <c r="AV71" i="5"/>
  <c r="AV72" i="5" s="1"/>
  <c r="K205" i="1"/>
  <c r="E13" i="1"/>
  <c r="F172" i="1"/>
  <c r="G13" i="1"/>
  <c r="G104" i="1"/>
  <c r="H146" i="1"/>
  <c r="H205" i="1"/>
  <c r="I116" i="1"/>
  <c r="I172" i="1"/>
  <c r="J27" i="1"/>
  <c r="J60" i="1"/>
  <c r="J133" i="1"/>
  <c r="K116" i="1"/>
  <c r="L150" i="1"/>
  <c r="L157" i="1"/>
  <c r="L172" i="1"/>
  <c r="K13" i="1"/>
  <c r="AI27" i="1"/>
  <c r="AO23" i="1"/>
  <c r="AZ71" i="5"/>
  <c r="AZ72" i="5" s="1"/>
  <c r="C104" i="1"/>
  <c r="F146" i="1"/>
  <c r="CJ231" i="5"/>
  <c r="K209" i="1"/>
  <c r="AK58" i="5"/>
  <c r="B76" i="1"/>
  <c r="B116" i="1"/>
  <c r="B223" i="1"/>
  <c r="C57" i="1"/>
  <c r="C129" i="1"/>
  <c r="C182" i="1"/>
  <c r="AG58" i="5"/>
  <c r="CM233" i="5"/>
  <c r="CM249" i="5" s="1"/>
  <c r="CM250" i="5" s="1"/>
  <c r="E193" i="1"/>
  <c r="AI58" i="5"/>
  <c r="G27" i="1"/>
  <c r="C172" i="1"/>
  <c r="E178" i="1"/>
  <c r="G205" i="1"/>
  <c r="CK233" i="5"/>
  <c r="CK249" i="5" s="1"/>
  <c r="CK250" i="5" s="1"/>
  <c r="B164" i="1"/>
  <c r="B209" i="1"/>
  <c r="C164" i="1"/>
  <c r="C219" i="1"/>
  <c r="F227" i="1"/>
  <c r="I219" i="1"/>
  <c r="I227" i="1"/>
  <c r="C150" i="1"/>
  <c r="C227" i="1"/>
  <c r="E90" i="1"/>
  <c r="F116" i="1"/>
  <c r="F187" i="1"/>
  <c r="F193" i="1"/>
  <c r="G138" i="1"/>
  <c r="H87" i="1"/>
  <c r="CL233" i="5"/>
  <c r="CL249" i="5" s="1"/>
  <c r="CL250" i="5" s="1"/>
  <c r="I104" i="1"/>
  <c r="AF58" i="5"/>
  <c r="AL58" i="5"/>
  <c r="CI233" i="5"/>
  <c r="CI249" i="5" s="1"/>
  <c r="CI250" i="5" s="1"/>
  <c r="AO11" i="1"/>
  <c r="D205" i="1"/>
  <c r="E214" i="1"/>
  <c r="F209" i="1"/>
  <c r="CS233" i="5"/>
  <c r="CS249" i="5" s="1"/>
  <c r="CS250" i="5" s="1"/>
  <c r="G29" i="1"/>
  <c r="I138" i="1"/>
  <c r="I182" i="1"/>
  <c r="AK8" i="1"/>
  <c r="CQ231" i="5"/>
  <c r="AD27" i="1"/>
  <c r="AF27" i="1"/>
  <c r="C60" i="1"/>
  <c r="D57" i="1"/>
  <c r="G90" i="1"/>
  <c r="AL8" i="1"/>
  <c r="CS231" i="5"/>
  <c r="H13" i="1"/>
  <c r="BB72" i="5"/>
  <c r="J54" i="1"/>
  <c r="K150" i="1"/>
  <c r="K227" i="1"/>
  <c r="AX71" i="5"/>
  <c r="AX72" i="5" s="1"/>
  <c r="T236" i="7"/>
  <c r="W8" i="6"/>
  <c r="AJ236" i="6"/>
  <c r="W236" i="6"/>
  <c r="P236" i="7"/>
  <c r="AL54" i="7"/>
  <c r="M57" i="4"/>
  <c r="BB71" i="4"/>
  <c r="BB72" i="4" s="1"/>
  <c r="CS58" i="4"/>
  <c r="AG54" i="7"/>
  <c r="AI54" i="7"/>
  <c r="AK54" i="7"/>
  <c r="AM54" i="7"/>
  <c r="CK234" i="7"/>
  <c r="AY233" i="7"/>
  <c r="AY234" i="7" s="1"/>
  <c r="L54" i="1"/>
  <c r="AI57" i="7"/>
  <c r="A57" i="1"/>
  <c r="F58" i="4"/>
  <c r="AM57" i="7"/>
  <c r="G57" i="1"/>
  <c r="W236" i="4"/>
  <c r="W237" i="1"/>
  <c r="F43" i="4"/>
  <c r="F47" i="4" s="1"/>
  <c r="V8" i="7"/>
  <c r="Z238" i="1"/>
  <c r="Z236" i="1" s="1"/>
  <c r="Z236" i="4"/>
  <c r="J38" i="7"/>
  <c r="X236" i="4"/>
  <c r="AI8" i="7"/>
  <c r="I57" i="7"/>
  <c r="AX231" i="7"/>
  <c r="AX233" i="7"/>
  <c r="K104" i="1"/>
  <c r="K164" i="1"/>
  <c r="K182" i="1"/>
  <c r="L43" i="4"/>
  <c r="L47" i="4" s="1"/>
  <c r="AG27" i="1"/>
  <c r="Y8" i="4"/>
  <c r="M53" i="7"/>
  <c r="C57" i="7"/>
  <c r="AJ6" i="4"/>
  <c r="W8" i="4"/>
  <c r="G129" i="1"/>
  <c r="L6" i="4"/>
  <c r="AF6" i="4"/>
  <c r="EF230" i="4"/>
  <c r="EF231" i="4" s="1"/>
  <c r="E57" i="7"/>
  <c r="H6" i="4"/>
  <c r="D58" i="4"/>
  <c r="AT233" i="7"/>
  <c r="AT234" i="7" s="1"/>
  <c r="AW230" i="4"/>
  <c r="AT71" i="4"/>
  <c r="Q236" i="7"/>
  <c r="K57" i="7"/>
  <c r="C178" i="1"/>
  <c r="C187" i="1"/>
  <c r="AE27" i="1"/>
  <c r="M42" i="7"/>
  <c r="AA23" i="4"/>
  <c r="D6" i="4"/>
  <c r="EI156" i="4"/>
  <c r="AM8" i="1"/>
  <c r="AH27" i="1"/>
  <c r="BB233" i="7"/>
  <c r="AZ230" i="4"/>
  <c r="AZ233" i="4" s="1"/>
  <c r="AZ249" i="4" s="1"/>
  <c r="AZ250" i="4" s="1"/>
  <c r="Y236" i="4"/>
  <c r="EI72" i="7"/>
  <c r="E8" i="7"/>
  <c r="H58" i="4"/>
  <c r="AO55" i="7"/>
  <c r="M68" i="7"/>
  <c r="Z8" i="4"/>
  <c r="DY230" i="4"/>
  <c r="AO12" i="1"/>
  <c r="DX230" i="4"/>
  <c r="DX231" i="4" s="1"/>
  <c r="EB233" i="7"/>
  <c r="O43" i="8"/>
  <c r="O47" i="8" s="1"/>
  <c r="H233" i="8"/>
  <c r="H234" i="8" s="1"/>
  <c r="A72" i="8"/>
  <c r="D233" i="8"/>
  <c r="D234" i="8" s="1"/>
  <c r="L223" i="1"/>
  <c r="F223" i="1"/>
  <c r="G193" i="1"/>
  <c r="H157" i="1"/>
  <c r="H172" i="1"/>
  <c r="J157" i="1"/>
  <c r="I164" i="1"/>
  <c r="F231" i="8"/>
  <c r="B193" i="1"/>
  <c r="C241" i="1"/>
  <c r="H219" i="1"/>
  <c r="M72" i="8"/>
  <c r="F57" i="1"/>
  <c r="E72" i="8"/>
  <c r="G233" i="8"/>
  <c r="G234" i="8" s="1"/>
  <c r="I233" i="8"/>
  <c r="G236" i="1"/>
  <c r="G241" i="1"/>
  <c r="D219" i="1"/>
  <c r="F236" i="1"/>
  <c r="C233" i="8"/>
  <c r="C234" i="8" s="1"/>
  <c r="J90" i="1"/>
  <c r="L90" i="1"/>
  <c r="F76" i="1"/>
  <c r="J104" i="1"/>
  <c r="AF72" i="8"/>
  <c r="AF233" i="8"/>
  <c r="AJ72" i="8"/>
  <c r="AJ233" i="8"/>
  <c r="J116" i="1"/>
  <c r="AG72" i="8"/>
  <c r="AG233" i="8"/>
  <c r="AI72" i="8"/>
  <c r="AI233" i="8"/>
  <c r="W75" i="8"/>
  <c r="AD233" i="8"/>
  <c r="AO88" i="8"/>
  <c r="AO87" i="8" s="1"/>
  <c r="AO75" i="8" s="1"/>
  <c r="AO230" i="8" s="1"/>
  <c r="AO231" i="8" s="1"/>
  <c r="AC87" i="8"/>
  <c r="AC75" i="8" s="1"/>
  <c r="AC230" i="8" s="1"/>
  <c r="AC231" i="8" s="1"/>
  <c r="AH72" i="8"/>
  <c r="AH233" i="8"/>
  <c r="AK72" i="8"/>
  <c r="J57" i="1"/>
  <c r="D150" i="1"/>
  <c r="AE72" i="8"/>
  <c r="AE233" i="8"/>
  <c r="AC72" i="8"/>
  <c r="AM72" i="8"/>
  <c r="AM233" i="8"/>
  <c r="K72" i="8"/>
  <c r="K233" i="8"/>
  <c r="K234" i="8" s="1"/>
  <c r="B27" i="1"/>
  <c r="B90" i="1"/>
  <c r="AN72" i="8"/>
  <c r="AN233" i="8"/>
  <c r="AL231" i="8"/>
  <c r="AO72" i="8"/>
  <c r="B54" i="1"/>
  <c r="K223" i="1"/>
  <c r="L27" i="1"/>
  <c r="L104" i="1"/>
  <c r="L116" i="1"/>
  <c r="L138" i="1"/>
  <c r="L193" i="1"/>
  <c r="L209" i="1"/>
  <c r="B57" i="1"/>
  <c r="B87" i="1"/>
  <c r="B172" i="1"/>
  <c r="B227" i="1"/>
  <c r="C54" i="1"/>
  <c r="C90" i="1"/>
  <c r="C133" i="1"/>
  <c r="C146" i="1"/>
  <c r="C193" i="1"/>
  <c r="C209" i="1"/>
  <c r="D164" i="1"/>
  <c r="D172" i="1"/>
  <c r="AM58" i="5"/>
  <c r="E76" i="1"/>
  <c r="E104" i="1"/>
  <c r="E133" i="1"/>
  <c r="E223" i="1"/>
  <c r="E227" i="1"/>
  <c r="E241" i="1"/>
  <c r="F60" i="1"/>
  <c r="F182" i="1"/>
  <c r="CM72" i="5"/>
  <c r="C87" i="5"/>
  <c r="K54" i="1"/>
  <c r="B60" i="5"/>
  <c r="AO36" i="1"/>
  <c r="H54" i="1"/>
  <c r="I54" i="1"/>
  <c r="AW71" i="5"/>
  <c r="AW72" i="5" s="1"/>
  <c r="AO35" i="1"/>
  <c r="F54" i="1"/>
  <c r="F129" i="1"/>
  <c r="F133" i="1"/>
  <c r="G76" i="1"/>
  <c r="G146" i="1"/>
  <c r="G164" i="1"/>
  <c r="CR233" i="5"/>
  <c r="CR249" i="5" s="1"/>
  <c r="CR250" i="5" s="1"/>
  <c r="AO89" i="1"/>
  <c r="AA217" i="1"/>
  <c r="C182" i="5"/>
  <c r="H60" i="1"/>
  <c r="AL27" i="1"/>
  <c r="E14" i="23"/>
  <c r="H129" i="1"/>
  <c r="H187" i="1"/>
  <c r="H227" i="1"/>
  <c r="AN58" i="5"/>
  <c r="AI54" i="1"/>
  <c r="M44" i="1"/>
  <c r="CN233" i="5"/>
  <c r="CN249" i="5" s="1"/>
  <c r="CN250" i="5" s="1"/>
  <c r="M46" i="1"/>
  <c r="AH43" i="5"/>
  <c r="AH47" i="5" s="1"/>
  <c r="CI72" i="5"/>
  <c r="BA72" i="5"/>
  <c r="CK72" i="5"/>
  <c r="CP233" i="5"/>
  <c r="CP249" i="5" s="1"/>
  <c r="CP250" i="5" s="1"/>
  <c r="M45" i="1"/>
  <c r="E54" i="1"/>
  <c r="AO52" i="1"/>
  <c r="M53" i="1"/>
  <c r="AO25" i="1"/>
  <c r="CT215" i="5"/>
  <c r="BS215" i="5" a="1"/>
  <c r="DB215" i="5"/>
  <c r="CY215" i="5"/>
  <c r="DF215" i="5"/>
  <c r="DD215" i="5"/>
  <c r="BO215" i="5"/>
  <c r="BH215" i="5"/>
  <c r="BG215" i="5"/>
  <c r="CV215" i="5"/>
  <c r="CU215" i="5"/>
  <c r="BP215" i="5"/>
  <c r="DA215" i="5"/>
  <c r="BE215" i="5"/>
  <c r="CZ215" i="5"/>
  <c r="CX215" i="5"/>
  <c r="CW215" i="5"/>
  <c r="BM215" i="5"/>
  <c r="DE215" i="5"/>
  <c r="BI215" i="5"/>
  <c r="BF215" i="5"/>
  <c r="BN215" i="5"/>
  <c r="BL215" i="5"/>
  <c r="BK215" i="5"/>
  <c r="BJ215" i="5"/>
  <c r="DC215" i="5"/>
  <c r="CT242" i="5"/>
  <c r="BS242" i="5" a="1"/>
  <c r="DB242" i="5"/>
  <c r="DA242" i="5"/>
  <c r="CY242" i="5"/>
  <c r="CW242" i="5"/>
  <c r="CV242" i="5"/>
  <c r="DE242" i="5"/>
  <c r="BE242" i="5"/>
  <c r="DC242" i="5"/>
  <c r="BO242" i="5"/>
  <c r="BG242" i="5"/>
  <c r="BF242" i="5"/>
  <c r="DD242" i="5"/>
  <c r="BK242" i="5"/>
  <c r="CZ242" i="5"/>
  <c r="BJ242" i="5"/>
  <c r="CX242" i="5"/>
  <c r="BI242" i="5"/>
  <c r="CU242" i="5"/>
  <c r="BH242" i="5"/>
  <c r="DF242" i="5"/>
  <c r="BP242" i="5"/>
  <c r="BN242" i="5"/>
  <c r="BR242" i="5" s="1"/>
  <c r="BM242" i="5"/>
  <c r="BL242" i="5"/>
  <c r="D27" i="1"/>
  <c r="D29" i="1"/>
  <c r="CT243" i="5"/>
  <c r="BS243" i="5" a="1"/>
  <c r="DB243" i="5"/>
  <c r="DA243" i="5"/>
  <c r="CY243" i="5"/>
  <c r="CW243" i="5"/>
  <c r="CV243" i="5"/>
  <c r="BE243" i="5"/>
  <c r="BO243" i="5"/>
  <c r="DD243" i="5"/>
  <c r="BI243" i="5"/>
  <c r="DC243" i="5"/>
  <c r="BH243" i="5"/>
  <c r="BP243" i="5"/>
  <c r="BN243" i="5"/>
  <c r="BR243" i="5" s="1"/>
  <c r="BM243" i="5"/>
  <c r="BL243" i="5"/>
  <c r="CZ243" i="5"/>
  <c r="CX243" i="5"/>
  <c r="BK243" i="5"/>
  <c r="CU243" i="5"/>
  <c r="BJ243" i="5"/>
  <c r="BG243" i="5"/>
  <c r="DF243" i="5"/>
  <c r="DE243" i="5"/>
  <c r="BF243" i="5"/>
  <c r="E60" i="1"/>
  <c r="E187" i="1"/>
  <c r="CT16" i="5"/>
  <c r="BS16" i="5" a="1"/>
  <c r="CU16" i="5"/>
  <c r="DE16" i="5"/>
  <c r="DC16" i="5"/>
  <c r="BI16" i="5"/>
  <c r="DB16" i="5"/>
  <c r="BH16" i="5"/>
  <c r="CW16" i="5"/>
  <c r="BG16" i="5"/>
  <c r="CV16" i="5"/>
  <c r="BF16" i="5"/>
  <c r="BE16" i="5"/>
  <c r="DF16" i="5"/>
  <c r="DD16" i="5"/>
  <c r="BP16" i="5"/>
  <c r="DA16" i="5"/>
  <c r="BO16" i="5"/>
  <c r="CZ16" i="5"/>
  <c r="BN16" i="5"/>
  <c r="BL16" i="5"/>
  <c r="BK16" i="5"/>
  <c r="BJ16" i="5"/>
  <c r="CY16" i="5"/>
  <c r="BM16" i="5"/>
  <c r="CX16" i="5"/>
  <c r="CT40" i="5"/>
  <c r="CU40" i="5"/>
  <c r="DE40" i="5"/>
  <c r="BI40" i="5"/>
  <c r="BH40" i="5"/>
  <c r="DA40" i="5"/>
  <c r="BM40" i="5"/>
  <c r="CZ40" i="5"/>
  <c r="BL40" i="5"/>
  <c r="CY40" i="5"/>
  <c r="BK40" i="5"/>
  <c r="CX40" i="5"/>
  <c r="CW40" i="5"/>
  <c r="BG40" i="5"/>
  <c r="CV40" i="5"/>
  <c r="BF40" i="5"/>
  <c r="BE40" i="5"/>
  <c r="BJ40" i="5"/>
  <c r="DF40" i="5"/>
  <c r="BP40" i="5"/>
  <c r="DD40" i="5"/>
  <c r="DH40" i="5" s="1"/>
  <c r="BO40" i="5"/>
  <c r="DC40" i="5"/>
  <c r="BN40" i="5"/>
  <c r="BR40" i="5" s="1"/>
  <c r="DB40" i="5"/>
  <c r="CT110" i="5"/>
  <c r="BS110" i="5" a="1"/>
  <c r="DB110" i="5"/>
  <c r="AI42" i="23" s="1"/>
  <c r="CW110" i="5"/>
  <c r="AI47" i="23" s="1"/>
  <c r="CU110" i="5"/>
  <c r="CY110" i="5"/>
  <c r="AI45" i="23" s="1"/>
  <c r="BI110" i="5"/>
  <c r="CX110" i="5"/>
  <c r="AI46" i="23" s="1"/>
  <c r="BH110" i="5"/>
  <c r="DF110" i="5"/>
  <c r="AI38" i="23" s="1"/>
  <c r="BG110" i="5"/>
  <c r="DE110" i="5"/>
  <c r="AI39" i="23" s="1"/>
  <c r="BF110" i="5"/>
  <c r="DD110" i="5"/>
  <c r="BE110" i="5"/>
  <c r="DC110" i="5"/>
  <c r="DA110" i="5"/>
  <c r="AI43" i="23" s="1"/>
  <c r="BN110" i="5"/>
  <c r="BR110" i="5" s="1"/>
  <c r="CZ110" i="5"/>
  <c r="AI44" i="23" s="1"/>
  <c r="BM110" i="5"/>
  <c r="CV110" i="5"/>
  <c r="AI48" i="23" s="1"/>
  <c r="BL110" i="5"/>
  <c r="BK110" i="5"/>
  <c r="BP110" i="5"/>
  <c r="BJ110" i="5"/>
  <c r="BO110" i="5"/>
  <c r="CT170" i="5"/>
  <c r="BS170" i="5" a="1"/>
  <c r="DB170" i="5"/>
  <c r="CD42" i="23" s="1"/>
  <c r="CY170" i="5"/>
  <c r="CD45" i="23" s="1"/>
  <c r="DD170" i="5"/>
  <c r="DA170" i="5"/>
  <c r="CD43" i="23" s="1"/>
  <c r="DC170" i="5"/>
  <c r="BI170" i="5"/>
  <c r="CZ170" i="5"/>
  <c r="CD44" i="23" s="1"/>
  <c r="BH170" i="5"/>
  <c r="DF170" i="5"/>
  <c r="CD38" i="23" s="1"/>
  <c r="BE170" i="5"/>
  <c r="DE170" i="5"/>
  <c r="CD39" i="23" s="1"/>
  <c r="CX170" i="5"/>
  <c r="CD46" i="23" s="1"/>
  <c r="CW170" i="5"/>
  <c r="CD47" i="23" s="1"/>
  <c r="BG170" i="5"/>
  <c r="BF170" i="5"/>
  <c r="CV170" i="5"/>
  <c r="CD48" i="23" s="1"/>
  <c r="BP170" i="5"/>
  <c r="BJ170" i="5"/>
  <c r="CU170" i="5"/>
  <c r="BO170" i="5"/>
  <c r="BN170" i="5"/>
  <c r="BR170" i="5" s="1"/>
  <c r="BM170" i="5"/>
  <c r="BL170" i="5"/>
  <c r="BK170" i="5"/>
  <c r="CT244" i="5"/>
  <c r="BS244" i="5" a="1"/>
  <c r="DB244" i="5"/>
  <c r="DA244" i="5"/>
  <c r="CY244" i="5"/>
  <c r="CW244" i="5"/>
  <c r="CV244" i="5"/>
  <c r="DC244" i="5"/>
  <c r="BE244" i="5"/>
  <c r="CX244" i="5"/>
  <c r="BO244" i="5"/>
  <c r="BK244" i="5"/>
  <c r="BJ244" i="5"/>
  <c r="DF244" i="5"/>
  <c r="DE244" i="5"/>
  <c r="DD244" i="5"/>
  <c r="BF244" i="5"/>
  <c r="BM244" i="5"/>
  <c r="CZ244" i="5"/>
  <c r="CU244" i="5"/>
  <c r="BI244" i="5"/>
  <c r="BP244" i="5"/>
  <c r="BN244" i="5"/>
  <c r="BL244" i="5"/>
  <c r="BH244" i="5"/>
  <c r="BG244" i="5"/>
  <c r="F38" i="5"/>
  <c r="F157" i="1"/>
  <c r="CH233" i="5"/>
  <c r="CH249" i="5" s="1"/>
  <c r="CH250" i="5" s="1"/>
  <c r="CT123" i="5"/>
  <c r="BS123" i="5" a="1"/>
  <c r="DB123" i="5"/>
  <c r="AS42" i="23" s="1"/>
  <c r="CU123" i="5"/>
  <c r="DF123" i="5"/>
  <c r="AS38" i="23" s="1"/>
  <c r="DD123" i="5"/>
  <c r="BI123" i="5"/>
  <c r="DC123" i="5"/>
  <c r="BH123" i="5"/>
  <c r="CY123" i="5"/>
  <c r="AS45" i="23" s="1"/>
  <c r="CX123" i="5"/>
  <c r="AS46" i="23" s="1"/>
  <c r="BP123" i="5"/>
  <c r="CW123" i="5"/>
  <c r="AS47" i="23" s="1"/>
  <c r="BO123" i="5"/>
  <c r="CV123" i="5"/>
  <c r="AS48" i="23" s="1"/>
  <c r="BJ123" i="5"/>
  <c r="BG123" i="5"/>
  <c r="BF123" i="5"/>
  <c r="BE123" i="5"/>
  <c r="BL123" i="5"/>
  <c r="CZ123" i="5"/>
  <c r="AS44" i="23" s="1"/>
  <c r="BN123" i="5"/>
  <c r="BR123" i="5" s="1"/>
  <c r="DE123" i="5"/>
  <c r="AS39" i="23" s="1"/>
  <c r="BM123" i="5"/>
  <c r="DA123" i="5"/>
  <c r="AS43" i="23" s="1"/>
  <c r="BK123" i="5"/>
  <c r="CT159" i="5"/>
  <c r="BS159" i="5" a="1"/>
  <c r="DB159" i="5"/>
  <c r="BU42" i="23" s="1"/>
  <c r="CY159" i="5"/>
  <c r="BU45" i="23" s="1"/>
  <c r="CV159" i="5"/>
  <c r="BU48" i="23" s="1"/>
  <c r="DF159" i="5"/>
  <c r="BU38" i="23" s="1"/>
  <c r="BI159" i="5"/>
  <c r="DE159" i="5"/>
  <c r="BU39" i="23" s="1"/>
  <c r="BH159" i="5"/>
  <c r="BM159" i="5"/>
  <c r="BL159" i="5"/>
  <c r="DD159" i="5"/>
  <c r="BK159" i="5"/>
  <c r="DC159" i="5"/>
  <c r="CU159" i="5"/>
  <c r="BP159" i="5"/>
  <c r="BO159" i="5"/>
  <c r="BJ159" i="5"/>
  <c r="BG159" i="5"/>
  <c r="DA159" i="5"/>
  <c r="BU43" i="23" s="1"/>
  <c r="BE159" i="5"/>
  <c r="CZ159" i="5"/>
  <c r="BU44" i="23" s="1"/>
  <c r="CX159" i="5"/>
  <c r="BU46" i="23" s="1"/>
  <c r="BN159" i="5"/>
  <c r="BR159" i="5" s="1"/>
  <c r="BF159" i="5"/>
  <c r="CW159" i="5"/>
  <c r="BU47" i="23" s="1"/>
  <c r="CT206" i="5"/>
  <c r="BS206" i="5" a="1"/>
  <c r="DB206" i="5"/>
  <c r="CY206" i="5"/>
  <c r="DD206" i="5"/>
  <c r="DA206" i="5"/>
  <c r="BO206" i="5"/>
  <c r="DF206" i="5"/>
  <c r="BM206" i="5"/>
  <c r="DE206" i="5"/>
  <c r="BL206" i="5"/>
  <c r="CV206" i="5"/>
  <c r="BI206" i="5"/>
  <c r="CU206" i="5"/>
  <c r="BH206" i="5"/>
  <c r="BG206" i="5"/>
  <c r="BF206" i="5"/>
  <c r="BP206" i="5"/>
  <c r="BN206" i="5"/>
  <c r="BR206" i="5" s="1"/>
  <c r="BK206" i="5"/>
  <c r="CZ206" i="5"/>
  <c r="CW206" i="5"/>
  <c r="BJ206" i="5"/>
  <c r="BE206" i="5"/>
  <c r="DC206" i="5"/>
  <c r="CX206" i="5"/>
  <c r="CT245" i="5"/>
  <c r="BS245" i="5" a="1"/>
  <c r="DB245" i="5"/>
  <c r="DA245" i="5"/>
  <c r="CY245" i="5"/>
  <c r="CW245" i="5"/>
  <c r="CV245" i="5"/>
  <c r="BE245" i="5"/>
  <c r="DF245" i="5"/>
  <c r="BO245" i="5"/>
  <c r="DD245" i="5"/>
  <c r="BM245" i="5"/>
  <c r="DC245" i="5"/>
  <c r="BL245" i="5"/>
  <c r="CU245" i="5"/>
  <c r="BI245" i="5"/>
  <c r="BH245" i="5"/>
  <c r="BG245" i="5"/>
  <c r="BF245" i="5"/>
  <c r="BP245" i="5"/>
  <c r="BN245" i="5"/>
  <c r="BR245" i="5" s="1"/>
  <c r="BK245" i="5"/>
  <c r="BJ245" i="5"/>
  <c r="CX245" i="5"/>
  <c r="DE245" i="5"/>
  <c r="CZ245" i="5"/>
  <c r="G54" i="1"/>
  <c r="G87" i="1"/>
  <c r="G157" i="1"/>
  <c r="G215" i="1"/>
  <c r="G214" i="1" s="1"/>
  <c r="G214" i="5"/>
  <c r="CT42" i="5"/>
  <c r="CU42" i="5"/>
  <c r="DE42" i="5"/>
  <c r="CY42" i="5"/>
  <c r="BI42" i="5"/>
  <c r="CX42" i="5"/>
  <c r="BH42" i="5"/>
  <c r="BP42" i="5"/>
  <c r="BO42" i="5"/>
  <c r="DA42" i="5"/>
  <c r="BE42" i="5"/>
  <c r="CZ42" i="5"/>
  <c r="CW42" i="5"/>
  <c r="CV42" i="5"/>
  <c r="BN42" i="5"/>
  <c r="BR42" i="5" s="1"/>
  <c r="BK42" i="5"/>
  <c r="DD42" i="5"/>
  <c r="DH42" i="5" s="1"/>
  <c r="BJ42" i="5"/>
  <c r="BG42" i="5"/>
  <c r="DB42" i="5"/>
  <c r="BM42" i="5"/>
  <c r="BL42" i="5"/>
  <c r="DF42" i="5"/>
  <c r="DC42" i="5"/>
  <c r="BF42" i="5"/>
  <c r="CT65" i="5"/>
  <c r="DB65" i="5"/>
  <c r="CY65" i="5"/>
  <c r="CW65" i="5"/>
  <c r="CX65" i="5"/>
  <c r="BI65" i="5"/>
  <c r="CV65" i="5"/>
  <c r="BH65" i="5"/>
  <c r="DA65" i="5"/>
  <c r="BM65" i="5"/>
  <c r="CZ65" i="5"/>
  <c r="BL65" i="5"/>
  <c r="CU65" i="5"/>
  <c r="BK65" i="5"/>
  <c r="BP65" i="5"/>
  <c r="BO65" i="5"/>
  <c r="DF65" i="5"/>
  <c r="BN65" i="5"/>
  <c r="BR65" i="5" s="1"/>
  <c r="DC65" i="5"/>
  <c r="DE65" i="5"/>
  <c r="BJ65" i="5"/>
  <c r="DD65" i="5"/>
  <c r="DH65" i="5" s="1"/>
  <c r="BG65" i="5"/>
  <c r="BF65" i="5"/>
  <c r="BE65" i="5"/>
  <c r="CT77" i="5"/>
  <c r="BS77" i="5" a="1"/>
  <c r="DB77" i="5"/>
  <c r="DE77" i="5"/>
  <c r="DC77" i="5"/>
  <c r="CZ77" i="5"/>
  <c r="BI77" i="5"/>
  <c r="CY77" i="5"/>
  <c r="BH77" i="5"/>
  <c r="CV77" i="5"/>
  <c r="BK77" i="5"/>
  <c r="CU77" i="5"/>
  <c r="BJ77" i="5"/>
  <c r="BG77" i="5"/>
  <c r="BP77" i="5"/>
  <c r="BO77" i="5"/>
  <c r="BN77" i="5"/>
  <c r="BR77" i="5" s="1"/>
  <c r="DF77" i="5"/>
  <c r="BM77" i="5"/>
  <c r="DD77" i="5"/>
  <c r="DA77" i="5"/>
  <c r="BF77" i="5"/>
  <c r="BE77" i="5"/>
  <c r="CW77" i="5"/>
  <c r="BL77" i="5"/>
  <c r="CX77" i="5"/>
  <c r="CT88" i="5"/>
  <c r="BS88" i="5" a="1"/>
  <c r="DB88" i="5"/>
  <c r="DC88" i="5"/>
  <c r="CZ88" i="5"/>
  <c r="BI88" i="5"/>
  <c r="DF88" i="5"/>
  <c r="BH88" i="5"/>
  <c r="BE88" i="5"/>
  <c r="DE88" i="5"/>
  <c r="DD88" i="5"/>
  <c r="DA88" i="5"/>
  <c r="BL88" i="5"/>
  <c r="CY88" i="5"/>
  <c r="BK88" i="5"/>
  <c r="CX88" i="5"/>
  <c r="BJ88" i="5"/>
  <c r="CW88" i="5"/>
  <c r="BG88" i="5"/>
  <c r="CV88" i="5"/>
  <c r="BO88" i="5"/>
  <c r="BN88" i="5"/>
  <c r="BR88" i="5" s="1"/>
  <c r="BF88" i="5"/>
  <c r="CU88" i="5"/>
  <c r="BP88" i="5"/>
  <c r="BM88" i="5"/>
  <c r="CT100" i="5"/>
  <c r="BS100" i="5" a="1"/>
  <c r="DB100" i="5"/>
  <c r="AA42" i="23" s="1"/>
  <c r="DA100" i="5"/>
  <c r="AA43" i="23" s="1"/>
  <c r="CY100" i="5"/>
  <c r="AA45" i="23" s="1"/>
  <c r="CZ100" i="5"/>
  <c r="AA44" i="23" s="1"/>
  <c r="BI100" i="5"/>
  <c r="CX100" i="5"/>
  <c r="AA46" i="23" s="1"/>
  <c r="BH100" i="5"/>
  <c r="BP100" i="5"/>
  <c r="DF100" i="5"/>
  <c r="AA38" i="23" s="1"/>
  <c r="BO100" i="5"/>
  <c r="DE100" i="5"/>
  <c r="AA39" i="23" s="1"/>
  <c r="BM100" i="5"/>
  <c r="BL100" i="5"/>
  <c r="BK100" i="5"/>
  <c r="BJ100" i="5"/>
  <c r="BG100" i="5"/>
  <c r="CW100" i="5"/>
  <c r="AA47" i="23" s="1"/>
  <c r="BN100" i="5"/>
  <c r="DD100" i="5"/>
  <c r="DC100" i="5"/>
  <c r="BF100" i="5"/>
  <c r="BE100" i="5"/>
  <c r="CV100" i="5"/>
  <c r="AA48" i="23" s="1"/>
  <c r="CU100" i="5"/>
  <c r="CT112" i="5"/>
  <c r="BS112" i="5" a="1"/>
  <c r="DB112" i="5"/>
  <c r="AK42" i="23" s="1"/>
  <c r="CY112" i="5"/>
  <c r="AK45" i="23" s="1"/>
  <c r="CW112" i="5"/>
  <c r="AK47" i="23" s="1"/>
  <c r="DF112" i="5"/>
  <c r="AK38" i="23" s="1"/>
  <c r="BI112" i="5"/>
  <c r="DE112" i="5"/>
  <c r="AK39" i="23" s="1"/>
  <c r="BH112" i="5"/>
  <c r="DA112" i="5"/>
  <c r="AK43" i="23" s="1"/>
  <c r="BM112" i="5"/>
  <c r="CZ112" i="5"/>
  <c r="AK44" i="23" s="1"/>
  <c r="BL112" i="5"/>
  <c r="CX112" i="5"/>
  <c r="AK46" i="23" s="1"/>
  <c r="BK112" i="5"/>
  <c r="CV112" i="5"/>
  <c r="AK48" i="23" s="1"/>
  <c r="BG112" i="5"/>
  <c r="BF112" i="5"/>
  <c r="DD112" i="5"/>
  <c r="BE112" i="5"/>
  <c r="DC112" i="5"/>
  <c r="BP112" i="5"/>
  <c r="BJ112" i="5"/>
  <c r="CU112" i="5"/>
  <c r="BO112" i="5"/>
  <c r="BN112" i="5"/>
  <c r="CT124" i="5"/>
  <c r="BS124" i="5" a="1"/>
  <c r="DB124" i="5"/>
  <c r="AT42" i="23" s="1"/>
  <c r="CV124" i="5"/>
  <c r="AT48" i="23" s="1"/>
  <c r="BI124" i="5"/>
  <c r="DF124" i="5"/>
  <c r="AT38" i="23" s="1"/>
  <c r="BH124" i="5"/>
  <c r="DE124" i="5"/>
  <c r="AT39" i="23" s="1"/>
  <c r="BE124" i="5"/>
  <c r="DD124" i="5"/>
  <c r="DC124" i="5"/>
  <c r="DA124" i="5"/>
  <c r="AT43" i="23" s="1"/>
  <c r="BO124" i="5"/>
  <c r="BN124" i="5"/>
  <c r="BM124" i="5"/>
  <c r="BL124" i="5"/>
  <c r="BK124" i="5"/>
  <c r="BF124" i="5"/>
  <c r="BP124" i="5"/>
  <c r="CZ124" i="5"/>
  <c r="AT44" i="23" s="1"/>
  <c r="CY124" i="5"/>
  <c r="AT45" i="23" s="1"/>
  <c r="BJ124" i="5"/>
  <c r="CX124" i="5"/>
  <c r="AT46" i="23" s="1"/>
  <c r="BG124" i="5"/>
  <c r="CW124" i="5"/>
  <c r="AT47" i="23" s="1"/>
  <c r="CU124" i="5"/>
  <c r="CT136" i="5"/>
  <c r="BS136" i="5" a="1"/>
  <c r="DB136" i="5"/>
  <c r="BD42" i="23" s="1"/>
  <c r="CY136" i="5"/>
  <c r="BD45" i="23" s="1"/>
  <c r="CX136" i="5"/>
  <c r="BD46" i="23" s="1"/>
  <c r="CV136" i="5"/>
  <c r="BD48" i="23" s="1"/>
  <c r="DD136" i="5"/>
  <c r="BI136" i="5"/>
  <c r="DC136" i="5"/>
  <c r="BH136" i="5"/>
  <c r="DF136" i="5"/>
  <c r="BD38" i="23" s="1"/>
  <c r="BO136" i="5"/>
  <c r="DE136" i="5"/>
  <c r="BD39" i="23" s="1"/>
  <c r="BN136" i="5"/>
  <c r="BR136" i="5" s="1"/>
  <c r="DA136" i="5"/>
  <c r="BD43" i="23" s="1"/>
  <c r="BM136" i="5"/>
  <c r="CZ136" i="5"/>
  <c r="BD44" i="23" s="1"/>
  <c r="BK136" i="5"/>
  <c r="BJ136" i="5"/>
  <c r="BG136" i="5"/>
  <c r="BF136" i="5"/>
  <c r="BE136" i="5"/>
  <c r="BL136" i="5"/>
  <c r="CW136" i="5"/>
  <c r="BD47" i="23" s="1"/>
  <c r="CU136" i="5"/>
  <c r="BP136" i="5"/>
  <c r="CT148" i="5"/>
  <c r="BS148" i="5" a="1"/>
  <c r="DB148" i="5"/>
  <c r="BN42" i="23" s="1"/>
  <c r="CY148" i="5"/>
  <c r="BN45" i="23" s="1"/>
  <c r="DF148" i="5"/>
  <c r="BN38" i="23" s="1"/>
  <c r="DD148" i="5"/>
  <c r="BI148" i="5"/>
  <c r="DC148" i="5"/>
  <c r="BH148" i="5"/>
  <c r="BK148" i="5"/>
  <c r="BJ148" i="5"/>
  <c r="BG148" i="5"/>
  <c r="DE148" i="5"/>
  <c r="BN39" i="23" s="1"/>
  <c r="BE148" i="5"/>
  <c r="DA148" i="5"/>
  <c r="BN43" i="23" s="1"/>
  <c r="CX148" i="5"/>
  <c r="BN46" i="23" s="1"/>
  <c r="BP148" i="5"/>
  <c r="BN148" i="5"/>
  <c r="BR148" i="5" s="1"/>
  <c r="CU148" i="5"/>
  <c r="BM148" i="5"/>
  <c r="BF148" i="5"/>
  <c r="CZ148" i="5"/>
  <c r="BN44" i="23" s="1"/>
  <c r="CW148" i="5"/>
  <c r="BN47" i="23" s="1"/>
  <c r="BO148" i="5"/>
  <c r="CV148" i="5"/>
  <c r="BN48" i="23" s="1"/>
  <c r="BL148" i="5"/>
  <c r="CT160" i="5"/>
  <c r="BS160" i="5" a="1"/>
  <c r="DB160" i="5"/>
  <c r="BV42" i="23" s="1"/>
  <c r="CY160" i="5"/>
  <c r="BV45" i="23" s="1"/>
  <c r="CX160" i="5"/>
  <c r="BV46" i="23" s="1"/>
  <c r="CV160" i="5"/>
  <c r="BV48" i="23" s="1"/>
  <c r="BI160" i="5"/>
  <c r="BH160" i="5"/>
  <c r="CW160" i="5"/>
  <c r="BV47" i="23" s="1"/>
  <c r="BO160" i="5"/>
  <c r="CU160" i="5"/>
  <c r="BN160" i="5"/>
  <c r="BM160" i="5"/>
  <c r="BF160" i="5"/>
  <c r="BE160" i="5"/>
  <c r="DF160" i="5"/>
  <c r="BV38" i="23" s="1"/>
  <c r="DE160" i="5"/>
  <c r="BV39" i="23" s="1"/>
  <c r="DC160" i="5"/>
  <c r="CZ160" i="5"/>
  <c r="BV44" i="23" s="1"/>
  <c r="BP160" i="5"/>
  <c r="BJ160" i="5"/>
  <c r="BG160" i="5"/>
  <c r="DD160" i="5"/>
  <c r="DA160" i="5"/>
  <c r="BV43" i="23" s="1"/>
  <c r="BL160" i="5"/>
  <c r="BK160" i="5"/>
  <c r="CT195" i="5"/>
  <c r="BS195" i="5" a="1"/>
  <c r="DB195" i="5"/>
  <c r="CX42" i="23" s="1"/>
  <c r="CY195" i="5"/>
  <c r="CX45" i="23" s="1"/>
  <c r="DF195" i="5"/>
  <c r="CX38" i="23" s="1"/>
  <c r="DD195" i="5"/>
  <c r="BI195" i="5"/>
  <c r="DC195" i="5"/>
  <c r="BH195" i="5"/>
  <c r="BK195" i="5"/>
  <c r="BJ195" i="5"/>
  <c r="BG195" i="5"/>
  <c r="BF195" i="5"/>
  <c r="BO195" i="5"/>
  <c r="DA195" i="5"/>
  <c r="CX43" i="23" s="1"/>
  <c r="CW195" i="5"/>
  <c r="CX47" i="23" s="1"/>
  <c r="CU195" i="5"/>
  <c r="BP195" i="5"/>
  <c r="DE195" i="5"/>
  <c r="CX39" i="23" s="1"/>
  <c r="BN195" i="5"/>
  <c r="BR195" i="5" s="1"/>
  <c r="CZ195" i="5"/>
  <c r="CX44" i="23" s="1"/>
  <c r="BM195" i="5"/>
  <c r="CX195" i="5"/>
  <c r="CX46" i="23" s="1"/>
  <c r="BL195" i="5"/>
  <c r="BE195" i="5"/>
  <c r="CV195" i="5"/>
  <c r="CX48" i="23" s="1"/>
  <c r="CT207" i="5"/>
  <c r="BS207" i="5" a="1"/>
  <c r="DB207" i="5"/>
  <c r="DI42" i="23" s="1"/>
  <c r="CY207" i="5"/>
  <c r="DI45" i="23" s="1"/>
  <c r="DF207" i="5"/>
  <c r="DI38" i="23" s="1"/>
  <c r="DD207" i="5"/>
  <c r="BO207" i="5"/>
  <c r="BN207" i="5"/>
  <c r="BM207" i="5"/>
  <c r="DE207" i="5"/>
  <c r="DI39" i="23" s="1"/>
  <c r="BL207" i="5"/>
  <c r="DC207" i="5"/>
  <c r="BK207" i="5"/>
  <c r="DA207" i="5"/>
  <c r="DI43" i="23" s="1"/>
  <c r="BJ207" i="5"/>
  <c r="CZ207" i="5"/>
  <c r="DI44" i="23" s="1"/>
  <c r="BI207" i="5"/>
  <c r="BE207" i="5"/>
  <c r="CV207" i="5"/>
  <c r="DI48" i="23" s="1"/>
  <c r="BF207" i="5"/>
  <c r="CX207" i="5"/>
  <c r="DI46" i="23" s="1"/>
  <c r="CW207" i="5"/>
  <c r="DI47" i="23" s="1"/>
  <c r="CU207" i="5"/>
  <c r="BP207" i="5"/>
  <c r="BH207" i="5"/>
  <c r="BG207" i="5"/>
  <c r="H57" i="1"/>
  <c r="AO65" i="1"/>
  <c r="AN27" i="1"/>
  <c r="M51" i="1"/>
  <c r="D60" i="1"/>
  <c r="D116" i="1"/>
  <c r="M52" i="1"/>
  <c r="CT216" i="5"/>
  <c r="BS216" i="5" a="1"/>
  <c r="DB216" i="5"/>
  <c r="DP42" i="23" s="1"/>
  <c r="CY216" i="5"/>
  <c r="DP45" i="23" s="1"/>
  <c r="DF216" i="5"/>
  <c r="DP38" i="23" s="1"/>
  <c r="BO216" i="5"/>
  <c r="CV216" i="5"/>
  <c r="DP48" i="23" s="1"/>
  <c r="BI216" i="5"/>
  <c r="CU216" i="5"/>
  <c r="BH216" i="5"/>
  <c r="DD216" i="5"/>
  <c r="BG216" i="5"/>
  <c r="DC216" i="5"/>
  <c r="BF216" i="5"/>
  <c r="DA216" i="5"/>
  <c r="DP43" i="23" s="1"/>
  <c r="BE216" i="5"/>
  <c r="CZ216" i="5"/>
  <c r="DP44" i="23" s="1"/>
  <c r="BN216" i="5"/>
  <c r="BM216" i="5"/>
  <c r="BL216" i="5"/>
  <c r="BK216" i="5"/>
  <c r="DE216" i="5"/>
  <c r="DP39" i="23" s="1"/>
  <c r="CX216" i="5"/>
  <c r="DP46" i="23" s="1"/>
  <c r="CW216" i="5"/>
  <c r="DP47" i="23" s="1"/>
  <c r="BP216" i="5"/>
  <c r="BJ216" i="5"/>
  <c r="E172" i="1"/>
  <c r="E182" i="1"/>
  <c r="CT122" i="5"/>
  <c r="BS122" i="5" a="1"/>
  <c r="DB122" i="5"/>
  <c r="AR42" i="23" s="1"/>
  <c r="DE122" i="5"/>
  <c r="AR39" i="23" s="1"/>
  <c r="CZ122" i="5"/>
  <c r="AR44" i="23" s="1"/>
  <c r="BI122" i="5"/>
  <c r="CY122" i="5"/>
  <c r="AR45" i="23" s="1"/>
  <c r="BH122" i="5"/>
  <c r="BO122" i="5"/>
  <c r="BN122" i="5"/>
  <c r="BM122" i="5"/>
  <c r="DF122" i="5"/>
  <c r="AR38" i="23" s="1"/>
  <c r="DD122" i="5"/>
  <c r="DC122" i="5"/>
  <c r="DA122" i="5"/>
  <c r="AR43" i="23" s="1"/>
  <c r="CX122" i="5"/>
  <c r="AR46" i="23" s="1"/>
  <c r="BL122" i="5"/>
  <c r="CV122" i="5"/>
  <c r="AR48" i="23" s="1"/>
  <c r="BK122" i="5"/>
  <c r="CU122" i="5"/>
  <c r="BJ122" i="5"/>
  <c r="BG122" i="5"/>
  <c r="BF122" i="5"/>
  <c r="BP122" i="5"/>
  <c r="CW122" i="5"/>
  <c r="AR47" i="23" s="1"/>
  <c r="BE122" i="5"/>
  <c r="CT158" i="5"/>
  <c r="BS158" i="5" a="1"/>
  <c r="DB158" i="5"/>
  <c r="CY158" i="5"/>
  <c r="DF158" i="5"/>
  <c r="DA158" i="5"/>
  <c r="BI158" i="5"/>
  <c r="CZ158" i="5"/>
  <c r="BH158" i="5"/>
  <c r="CX158" i="5"/>
  <c r="BK158" i="5"/>
  <c r="CW158" i="5"/>
  <c r="BJ158" i="5"/>
  <c r="CV158" i="5"/>
  <c r="BG158" i="5"/>
  <c r="CU158" i="5"/>
  <c r="BM158" i="5"/>
  <c r="DE158" i="5"/>
  <c r="BL158" i="5"/>
  <c r="DD158" i="5"/>
  <c r="BF158" i="5"/>
  <c r="DC158" i="5"/>
  <c r="BE158" i="5"/>
  <c r="BP158" i="5"/>
  <c r="BO158" i="5"/>
  <c r="BN158" i="5"/>
  <c r="BR158" i="5" s="1"/>
  <c r="F241" i="1"/>
  <c r="CT41" i="5"/>
  <c r="CU41" i="5"/>
  <c r="DE41" i="5"/>
  <c r="CW41" i="5"/>
  <c r="BI41" i="5"/>
  <c r="CV41" i="5"/>
  <c r="BH41" i="5"/>
  <c r="DF41" i="5"/>
  <c r="BO41" i="5"/>
  <c r="DD41" i="5"/>
  <c r="DH41" i="5" s="1"/>
  <c r="BN41" i="5"/>
  <c r="BR41" i="5" s="1"/>
  <c r="DC41" i="5"/>
  <c r="BM41" i="5"/>
  <c r="DB41" i="5"/>
  <c r="BP41" i="5"/>
  <c r="BL41" i="5"/>
  <c r="BK41" i="5"/>
  <c r="CZ41" i="5"/>
  <c r="BG41" i="5"/>
  <c r="CY41" i="5"/>
  <c r="BF41" i="5"/>
  <c r="BE41" i="5"/>
  <c r="DA41" i="5"/>
  <c r="BJ41" i="5"/>
  <c r="CX41" i="5"/>
  <c r="CT64" i="5"/>
  <c r="BS64" i="5" a="1"/>
  <c r="DB64" i="5"/>
  <c r="CX64" i="5"/>
  <c r="CV64" i="5"/>
  <c r="BI64" i="5"/>
  <c r="BH64" i="5"/>
  <c r="BK64" i="5"/>
  <c r="BG64" i="5"/>
  <c r="BJ64" i="5"/>
  <c r="DF64" i="5"/>
  <c r="CZ64" i="5"/>
  <c r="BM64" i="5"/>
  <c r="CY64" i="5"/>
  <c r="BL64" i="5"/>
  <c r="CW64" i="5"/>
  <c r="BF64" i="5"/>
  <c r="CU64" i="5"/>
  <c r="BE64" i="5"/>
  <c r="DD64" i="5"/>
  <c r="BP64" i="5"/>
  <c r="DC64" i="5"/>
  <c r="BO64" i="5"/>
  <c r="DA64" i="5"/>
  <c r="DE64" i="5"/>
  <c r="BN64" i="5"/>
  <c r="BR64" i="5" s="1"/>
  <c r="CT99" i="5"/>
  <c r="BS99" i="5" a="1"/>
  <c r="DB99" i="5"/>
  <c r="Z42" i="23" s="1"/>
  <c r="CZ99" i="5"/>
  <c r="Z44" i="23" s="1"/>
  <c r="CX99" i="5"/>
  <c r="Z46" i="23" s="1"/>
  <c r="CV99" i="5"/>
  <c r="Z48" i="23" s="1"/>
  <c r="BI99" i="5"/>
  <c r="CU99" i="5"/>
  <c r="BH99" i="5"/>
  <c r="DC99" i="5"/>
  <c r="BO99" i="5"/>
  <c r="DA99" i="5"/>
  <c r="Z43" i="23" s="1"/>
  <c r="BN99" i="5"/>
  <c r="CY99" i="5"/>
  <c r="Z45" i="23" s="1"/>
  <c r="BM99" i="5"/>
  <c r="CW99" i="5"/>
  <c r="Z47" i="23" s="1"/>
  <c r="BF99" i="5"/>
  <c r="BE99" i="5"/>
  <c r="BK99" i="5"/>
  <c r="BJ99" i="5"/>
  <c r="DD99" i="5"/>
  <c r="BP99" i="5"/>
  <c r="BL99" i="5"/>
  <c r="DF99" i="5"/>
  <c r="Z38" i="23" s="1"/>
  <c r="DE99" i="5"/>
  <c r="Z39" i="23" s="1"/>
  <c r="BG99" i="5"/>
  <c r="CT147" i="5"/>
  <c r="BS147" i="5" a="1"/>
  <c r="DB147" i="5"/>
  <c r="CY147" i="5"/>
  <c r="DF147" i="5"/>
  <c r="DD147" i="5"/>
  <c r="CX147" i="5"/>
  <c r="BI147" i="5"/>
  <c r="CW147" i="5"/>
  <c r="BH147" i="5"/>
  <c r="DA147" i="5"/>
  <c r="BG147" i="5"/>
  <c r="CZ147" i="5"/>
  <c r="BF147" i="5"/>
  <c r="CV147" i="5"/>
  <c r="BE147" i="5"/>
  <c r="CU147" i="5"/>
  <c r="BP147" i="5"/>
  <c r="BO147" i="5"/>
  <c r="BN147" i="5"/>
  <c r="BR147" i="5" s="1"/>
  <c r="BM147" i="5"/>
  <c r="BJ147" i="5"/>
  <c r="DC147" i="5"/>
  <c r="BL147" i="5"/>
  <c r="BK147" i="5"/>
  <c r="DE147" i="5"/>
  <c r="CO233" i="5"/>
  <c r="CO249" i="5" s="1"/>
  <c r="CO250" i="5" s="1"/>
  <c r="CO72" i="5"/>
  <c r="M56" i="1"/>
  <c r="M55" i="1"/>
  <c r="E21" i="23"/>
  <c r="AU71" i="5"/>
  <c r="AU72" i="5" s="1"/>
  <c r="AO26" i="1"/>
  <c r="AH54" i="1"/>
  <c r="D38" i="5"/>
  <c r="D76" i="1"/>
  <c r="D90" i="1"/>
  <c r="M37" i="1"/>
  <c r="CT228" i="5"/>
  <c r="BS228" i="5" a="1"/>
  <c r="DB228" i="5"/>
  <c r="CY228" i="5"/>
  <c r="CV228" i="5"/>
  <c r="BO228" i="5"/>
  <c r="CX228" i="5"/>
  <c r="CW228" i="5"/>
  <c r="BP228" i="5"/>
  <c r="DD228" i="5"/>
  <c r="DC228" i="5"/>
  <c r="DA228" i="5"/>
  <c r="BN228" i="5"/>
  <c r="CZ228" i="5"/>
  <c r="BM228" i="5"/>
  <c r="CU228" i="5"/>
  <c r="BE228" i="5"/>
  <c r="BL228" i="5"/>
  <c r="BK228" i="5"/>
  <c r="BG228" i="5"/>
  <c r="BF228" i="5"/>
  <c r="BJ228" i="5"/>
  <c r="BI228" i="5"/>
  <c r="BH228" i="5"/>
  <c r="DF228" i="5"/>
  <c r="DE228" i="5"/>
  <c r="E29" i="1"/>
  <c r="E157" i="1"/>
  <c r="E209" i="1"/>
  <c r="AO37" i="1"/>
  <c r="AR71" i="5"/>
  <c r="AR72" i="5" s="1"/>
  <c r="E24" i="23"/>
  <c r="BC6" i="5"/>
  <c r="BC71" i="5" s="1"/>
  <c r="CT63" i="5"/>
  <c r="BS63" i="5" a="1"/>
  <c r="DB63" i="5"/>
  <c r="CW63" i="5"/>
  <c r="CU63" i="5"/>
  <c r="DF63" i="5"/>
  <c r="BI63" i="5"/>
  <c r="DE63" i="5"/>
  <c r="BH63" i="5"/>
  <c r="DD63" i="5"/>
  <c r="BG63" i="5"/>
  <c r="DC63" i="5"/>
  <c r="BF63" i="5"/>
  <c r="DA63" i="5"/>
  <c r="BE63" i="5"/>
  <c r="CZ63" i="5"/>
  <c r="BO63" i="5"/>
  <c r="CV63" i="5"/>
  <c r="BN63" i="5"/>
  <c r="BM63" i="5"/>
  <c r="BL63" i="5"/>
  <c r="CY63" i="5"/>
  <c r="BP63" i="5"/>
  <c r="CX63" i="5"/>
  <c r="BK63" i="5"/>
  <c r="BJ63" i="5"/>
  <c r="CT98" i="5"/>
  <c r="BS98" i="5" a="1"/>
  <c r="DB98" i="5"/>
  <c r="Y42" i="23" s="1"/>
  <c r="CY98" i="5"/>
  <c r="Y45" i="23" s="1"/>
  <c r="CW98" i="5"/>
  <c r="Y47" i="23" s="1"/>
  <c r="BI98" i="5"/>
  <c r="BH98" i="5"/>
  <c r="CU98" i="5"/>
  <c r="BM98" i="5"/>
  <c r="BL98" i="5"/>
  <c r="BK98" i="5"/>
  <c r="DF98" i="5"/>
  <c r="Y38" i="23" s="1"/>
  <c r="DE98" i="5"/>
  <c r="Y39" i="23" s="1"/>
  <c r="DD98" i="5"/>
  <c r="BP98" i="5"/>
  <c r="DC98" i="5"/>
  <c r="BO98" i="5"/>
  <c r="DA98" i="5"/>
  <c r="Y43" i="23" s="1"/>
  <c r="BJ98" i="5"/>
  <c r="BG98" i="5"/>
  <c r="CV98" i="5"/>
  <c r="Y48" i="23" s="1"/>
  <c r="BF98" i="5"/>
  <c r="BE98" i="5"/>
  <c r="BN98" i="5"/>
  <c r="CZ98" i="5"/>
  <c r="Y44" i="23" s="1"/>
  <c r="CX98" i="5"/>
  <c r="Y46" i="23" s="1"/>
  <c r="CT134" i="5"/>
  <c r="BS134" i="5" a="1"/>
  <c r="DB134" i="5"/>
  <c r="CY134" i="5"/>
  <c r="DF134" i="5"/>
  <c r="BI134" i="5"/>
  <c r="BH134" i="5"/>
  <c r="BK134" i="5"/>
  <c r="DE134" i="5"/>
  <c r="BJ134" i="5"/>
  <c r="DD134" i="5"/>
  <c r="BG134" i="5"/>
  <c r="DC134" i="5"/>
  <c r="DA134" i="5"/>
  <c r="BP134" i="5"/>
  <c r="CZ134" i="5"/>
  <c r="BO134" i="5"/>
  <c r="CX134" i="5"/>
  <c r="BN134" i="5"/>
  <c r="CW134" i="5"/>
  <c r="BM134" i="5"/>
  <c r="CV134" i="5"/>
  <c r="BL134" i="5"/>
  <c r="BF134" i="5"/>
  <c r="BE134" i="5"/>
  <c r="CU134" i="5"/>
  <c r="CT229" i="5"/>
  <c r="BS229" i="5" a="1"/>
  <c r="DB229" i="5"/>
  <c r="DX42" i="23" s="1"/>
  <c r="CY229" i="5"/>
  <c r="DX45" i="23" s="1"/>
  <c r="CX229" i="5"/>
  <c r="DX46" i="23" s="1"/>
  <c r="CV229" i="5"/>
  <c r="DX48" i="23" s="1"/>
  <c r="BO229" i="5"/>
  <c r="DD229" i="5"/>
  <c r="BE229" i="5"/>
  <c r="DC229" i="5"/>
  <c r="BG229" i="5"/>
  <c r="BF229" i="5"/>
  <c r="BL229" i="5"/>
  <c r="BK229" i="5"/>
  <c r="BJ229" i="5"/>
  <c r="BI229" i="5"/>
  <c r="DA229" i="5"/>
  <c r="DX43" i="23" s="1"/>
  <c r="CU229" i="5"/>
  <c r="BM229" i="5"/>
  <c r="DF229" i="5"/>
  <c r="DX38" i="23" s="1"/>
  <c r="BH229" i="5"/>
  <c r="DE229" i="5"/>
  <c r="DX39" i="23" s="1"/>
  <c r="CZ229" i="5"/>
  <c r="DX44" i="23" s="1"/>
  <c r="CW229" i="5"/>
  <c r="DX47" i="23" s="1"/>
  <c r="BP229" i="5"/>
  <c r="BN229" i="5"/>
  <c r="BR229" i="5" s="1"/>
  <c r="F205" i="1"/>
  <c r="CT111" i="5"/>
  <c r="BS111" i="5" a="1"/>
  <c r="DB111" i="5"/>
  <c r="AJ42" i="23" s="1"/>
  <c r="CX111" i="5"/>
  <c r="AJ46" i="23" s="1"/>
  <c r="CV111" i="5"/>
  <c r="AJ48" i="23" s="1"/>
  <c r="DC111" i="5"/>
  <c r="BI111" i="5"/>
  <c r="DA111" i="5"/>
  <c r="AJ43" i="23" s="1"/>
  <c r="BH111" i="5"/>
  <c r="BK111" i="5"/>
  <c r="BJ111" i="5"/>
  <c r="BG111" i="5"/>
  <c r="BP111" i="5"/>
  <c r="BO111" i="5"/>
  <c r="BE111" i="5"/>
  <c r="CU111" i="5"/>
  <c r="DF111" i="5"/>
  <c r="AJ38" i="23" s="1"/>
  <c r="BN111" i="5"/>
  <c r="BR111" i="5" s="1"/>
  <c r="DE111" i="5"/>
  <c r="AJ39" i="23" s="1"/>
  <c r="BM111" i="5"/>
  <c r="DD111" i="5"/>
  <c r="BL111" i="5"/>
  <c r="CZ111" i="5"/>
  <c r="AJ44" i="23" s="1"/>
  <c r="BF111" i="5"/>
  <c r="CY111" i="5"/>
  <c r="AJ45" i="23" s="1"/>
  <c r="CW111" i="5"/>
  <c r="AJ47" i="23" s="1"/>
  <c r="CT135" i="5"/>
  <c r="BS135" i="5" a="1"/>
  <c r="DB135" i="5"/>
  <c r="BC42" i="23" s="1"/>
  <c r="CY135" i="5"/>
  <c r="BC45" i="23" s="1"/>
  <c r="CV135" i="5"/>
  <c r="BC48" i="23" s="1"/>
  <c r="CX135" i="5"/>
  <c r="BC46" i="23" s="1"/>
  <c r="BI135" i="5"/>
  <c r="CW135" i="5"/>
  <c r="BC47" i="23" s="1"/>
  <c r="BH135" i="5"/>
  <c r="CU135" i="5"/>
  <c r="BM135" i="5"/>
  <c r="BL135" i="5"/>
  <c r="BK135" i="5"/>
  <c r="BN135" i="5"/>
  <c r="DC135" i="5"/>
  <c r="BF135" i="5"/>
  <c r="CZ135" i="5"/>
  <c r="BC44" i="23" s="1"/>
  <c r="BP135" i="5"/>
  <c r="DF135" i="5"/>
  <c r="BC38" i="23" s="1"/>
  <c r="BO135" i="5"/>
  <c r="DE135" i="5"/>
  <c r="BC39" i="23" s="1"/>
  <c r="DD135" i="5"/>
  <c r="BJ135" i="5"/>
  <c r="BG135" i="5"/>
  <c r="DA135" i="5"/>
  <c r="BC43" i="23" s="1"/>
  <c r="BE135" i="5"/>
  <c r="CT171" i="5"/>
  <c r="BS171" i="5" a="1"/>
  <c r="DB171" i="5"/>
  <c r="CE42" i="23" s="1"/>
  <c r="CY171" i="5"/>
  <c r="CE45" i="23" s="1"/>
  <c r="DF171" i="5"/>
  <c r="CE38" i="23" s="1"/>
  <c r="DD171" i="5"/>
  <c r="BI171" i="5"/>
  <c r="BH171" i="5"/>
  <c r="BG171" i="5"/>
  <c r="BF171" i="5"/>
  <c r="BE171" i="5"/>
  <c r="CX171" i="5"/>
  <c r="CE46" i="23" s="1"/>
  <c r="BN171" i="5"/>
  <c r="CW171" i="5"/>
  <c r="CE47" i="23" s="1"/>
  <c r="BM171" i="5"/>
  <c r="CV171" i="5"/>
  <c r="CE48" i="23" s="1"/>
  <c r="BL171" i="5"/>
  <c r="CU171" i="5"/>
  <c r="BK171" i="5"/>
  <c r="DE171" i="5"/>
  <c r="CE39" i="23" s="1"/>
  <c r="DC171" i="5"/>
  <c r="DA171" i="5"/>
  <c r="CE43" i="23" s="1"/>
  <c r="BP171" i="5"/>
  <c r="BO171" i="5"/>
  <c r="BJ171" i="5"/>
  <c r="CZ171" i="5"/>
  <c r="CE44" i="23" s="1"/>
  <c r="CT183" i="5"/>
  <c r="BS183" i="5" a="1"/>
  <c r="DB183" i="5"/>
  <c r="CY183" i="5"/>
  <c r="CX183" i="5"/>
  <c r="CV183" i="5"/>
  <c r="DD183" i="5"/>
  <c r="BI183" i="5"/>
  <c r="DC183" i="5"/>
  <c r="BH183" i="5"/>
  <c r="BO183" i="5"/>
  <c r="BN183" i="5"/>
  <c r="DF183" i="5"/>
  <c r="BM183" i="5"/>
  <c r="DE183" i="5"/>
  <c r="BL183" i="5"/>
  <c r="CW183" i="5"/>
  <c r="DA183" i="5"/>
  <c r="BP183" i="5"/>
  <c r="CZ183" i="5"/>
  <c r="BK183" i="5"/>
  <c r="CU183" i="5"/>
  <c r="BJ183" i="5"/>
  <c r="BG183" i="5"/>
  <c r="BF183" i="5"/>
  <c r="BE183" i="5"/>
  <c r="CT194" i="5"/>
  <c r="BS194" i="5" a="1"/>
  <c r="DB194" i="5"/>
  <c r="CY194" i="5"/>
  <c r="DF194" i="5"/>
  <c r="DD194" i="5"/>
  <c r="CX194" i="5"/>
  <c r="BI194" i="5"/>
  <c r="CW194" i="5"/>
  <c r="BH194" i="5"/>
  <c r="DE194" i="5"/>
  <c r="BG194" i="5"/>
  <c r="DC194" i="5"/>
  <c r="BF194" i="5"/>
  <c r="DA194" i="5"/>
  <c r="BE194" i="5"/>
  <c r="CZ194" i="5"/>
  <c r="CV194" i="5"/>
  <c r="BN194" i="5"/>
  <c r="CU194" i="5"/>
  <c r="BM194" i="5"/>
  <c r="BL194" i="5"/>
  <c r="BK194" i="5"/>
  <c r="BO194" i="5"/>
  <c r="BJ194" i="5"/>
  <c r="BP194" i="5"/>
  <c r="CT19" i="5"/>
  <c r="CU19" i="5"/>
  <c r="DE19" i="5"/>
  <c r="DF19" i="5"/>
  <c r="BI19" i="5"/>
  <c r="DD19" i="5"/>
  <c r="BH19" i="5"/>
  <c r="DA19" i="5"/>
  <c r="BK19" i="5"/>
  <c r="CZ19" i="5"/>
  <c r="BJ19" i="5"/>
  <c r="CY19" i="5"/>
  <c r="BG19" i="5"/>
  <c r="CX19" i="5"/>
  <c r="DB19" i="5"/>
  <c r="BM19" i="5"/>
  <c r="CW19" i="5"/>
  <c r="BL19" i="5"/>
  <c r="CV19" i="5"/>
  <c r="BF19" i="5"/>
  <c r="BE19" i="5"/>
  <c r="BP19" i="5"/>
  <c r="BO19" i="5"/>
  <c r="DC19" i="5"/>
  <c r="BN19" i="5"/>
  <c r="CT31" i="5"/>
  <c r="CU31" i="5"/>
  <c r="DE31" i="5"/>
  <c r="DF31" i="5"/>
  <c r="BI31" i="5"/>
  <c r="DD31" i="5"/>
  <c r="DH31" i="5" s="1"/>
  <c r="BH31" i="5"/>
  <c r="CY31" i="5"/>
  <c r="BK31" i="5"/>
  <c r="CX31" i="5"/>
  <c r="BJ31" i="5"/>
  <c r="CW31" i="5"/>
  <c r="BG31" i="5"/>
  <c r="DC31" i="5"/>
  <c r="BP31" i="5"/>
  <c r="DB31" i="5"/>
  <c r="BO31" i="5"/>
  <c r="DA31" i="5"/>
  <c r="BN31" i="5"/>
  <c r="BR31" i="5" s="1"/>
  <c r="CZ31" i="5"/>
  <c r="BM31" i="5"/>
  <c r="CV31" i="5"/>
  <c r="BL31" i="5"/>
  <c r="BF31" i="5"/>
  <c r="BE31" i="5"/>
  <c r="CT55" i="5"/>
  <c r="DC55" i="5"/>
  <c r="CU55" i="5"/>
  <c r="DF55" i="5"/>
  <c r="DF57" i="5" s="1"/>
  <c r="CW55" i="5"/>
  <c r="CW57" i="5" s="1"/>
  <c r="BI55" i="5"/>
  <c r="CV55" i="5"/>
  <c r="CV57" i="5" s="1"/>
  <c r="BH55" i="5"/>
  <c r="DD55" i="5"/>
  <c r="BO55" i="5"/>
  <c r="DB55" i="5"/>
  <c r="DB57" i="5" s="1"/>
  <c r="BN55" i="5"/>
  <c r="BR55" i="5" s="1"/>
  <c r="DA55" i="5"/>
  <c r="DA57" i="5" s="1"/>
  <c r="BM55" i="5"/>
  <c r="CZ55" i="5"/>
  <c r="CZ57" i="5" s="1"/>
  <c r="BK55" i="5"/>
  <c r="DE55" i="5"/>
  <c r="DE57" i="5" s="1"/>
  <c r="BJ55" i="5"/>
  <c r="CX55" i="5"/>
  <c r="CX57" i="5" s="1"/>
  <c r="BP55" i="5"/>
  <c r="BL55" i="5"/>
  <c r="CY55" i="5"/>
  <c r="CY57" i="5" s="1"/>
  <c r="BG55" i="5"/>
  <c r="BF55" i="5"/>
  <c r="BE55" i="5"/>
  <c r="CT66" i="5"/>
  <c r="DB66" i="5"/>
  <c r="CZ66" i="5"/>
  <c r="CX66" i="5"/>
  <c r="DC66" i="5"/>
  <c r="BI66" i="5"/>
  <c r="DA66" i="5"/>
  <c r="BH66" i="5"/>
  <c r="BO66" i="5"/>
  <c r="DF66" i="5"/>
  <c r="BN66" i="5"/>
  <c r="BR66" i="5" s="1"/>
  <c r="DE66" i="5"/>
  <c r="BM66" i="5"/>
  <c r="DD66" i="5"/>
  <c r="DH66" i="5" s="1"/>
  <c r="CY66" i="5"/>
  <c r="BF66" i="5"/>
  <c r="CW66" i="5"/>
  <c r="BE66" i="5"/>
  <c r="CV66" i="5"/>
  <c r="CU66" i="5"/>
  <c r="BP66" i="5"/>
  <c r="BL66" i="5"/>
  <c r="BG66" i="5"/>
  <c r="BK66" i="5"/>
  <c r="BJ66" i="5"/>
  <c r="CT78" i="5"/>
  <c r="BS78" i="5" a="1"/>
  <c r="DB78" i="5"/>
  <c r="H42" i="23" s="1"/>
  <c r="DF78" i="5"/>
  <c r="H38" i="23" s="1"/>
  <c r="DD78" i="5"/>
  <c r="DE78" i="5"/>
  <c r="H39" i="23" s="1"/>
  <c r="BI78" i="5"/>
  <c r="DC78" i="5"/>
  <c r="BH78" i="5"/>
  <c r="DA78" i="5"/>
  <c r="H43" i="23" s="1"/>
  <c r="BM78" i="5"/>
  <c r="CZ78" i="5"/>
  <c r="H44" i="23" s="1"/>
  <c r="BL78" i="5"/>
  <c r="CY78" i="5"/>
  <c r="H45" i="23" s="1"/>
  <c r="BK78" i="5"/>
  <c r="CX78" i="5"/>
  <c r="H46" i="23" s="1"/>
  <c r="CW78" i="5"/>
  <c r="H47" i="23" s="1"/>
  <c r="CV78" i="5"/>
  <c r="H48" i="23" s="1"/>
  <c r="CU78" i="5"/>
  <c r="BG78" i="5"/>
  <c r="BF78" i="5"/>
  <c r="BP78" i="5"/>
  <c r="BO78" i="5"/>
  <c r="BN78" i="5"/>
  <c r="BJ78" i="5"/>
  <c r="BE78" i="5"/>
  <c r="CT89" i="5"/>
  <c r="DB89" i="5"/>
  <c r="DD89" i="5"/>
  <c r="DH89" i="5" s="1"/>
  <c r="DA89" i="5"/>
  <c r="CU89" i="5"/>
  <c r="BI89" i="5"/>
  <c r="BH89" i="5"/>
  <c r="CW89" i="5"/>
  <c r="BG89" i="5"/>
  <c r="CV89" i="5"/>
  <c r="BF89" i="5"/>
  <c r="BE89" i="5"/>
  <c r="BP89" i="5"/>
  <c r="BO89" i="5"/>
  <c r="BN89" i="5"/>
  <c r="BR89" i="5" s="1"/>
  <c r="BM89" i="5"/>
  <c r="DF89" i="5"/>
  <c r="CX89" i="5"/>
  <c r="BL89" i="5"/>
  <c r="BK89" i="5"/>
  <c r="DE89" i="5"/>
  <c r="BJ89" i="5"/>
  <c r="DC89" i="5"/>
  <c r="CZ89" i="5"/>
  <c r="CY89" i="5"/>
  <c r="CT101" i="5"/>
  <c r="BS101" i="5" a="1"/>
  <c r="DB101" i="5"/>
  <c r="AB42" i="23" s="1"/>
  <c r="DC101" i="5"/>
  <c r="CZ101" i="5"/>
  <c r="AB44" i="23" s="1"/>
  <c r="DE101" i="5"/>
  <c r="AB39" i="23" s="1"/>
  <c r="BI101" i="5"/>
  <c r="DD101" i="5"/>
  <c r="BH101" i="5"/>
  <c r="CV101" i="5"/>
  <c r="AB48" i="23" s="1"/>
  <c r="BE101" i="5"/>
  <c r="CU101" i="5"/>
  <c r="DA101" i="5"/>
  <c r="AB43" i="23" s="1"/>
  <c r="CY101" i="5"/>
  <c r="AB45" i="23" s="1"/>
  <c r="CX101" i="5"/>
  <c r="AB46" i="23" s="1"/>
  <c r="BP101" i="5"/>
  <c r="CW101" i="5"/>
  <c r="AB47" i="23" s="1"/>
  <c r="BO101" i="5"/>
  <c r="BM101" i="5"/>
  <c r="BL101" i="5"/>
  <c r="BK101" i="5"/>
  <c r="BJ101" i="5"/>
  <c r="BN101" i="5"/>
  <c r="BG101" i="5"/>
  <c r="BF101" i="5"/>
  <c r="DF101" i="5"/>
  <c r="AB38" i="23" s="1"/>
  <c r="CT113" i="5"/>
  <c r="BS113" i="5" a="1"/>
  <c r="DB113" i="5"/>
  <c r="AL42" i="23" s="1"/>
  <c r="CZ113" i="5"/>
  <c r="AL44" i="23" s="1"/>
  <c r="CX113" i="5"/>
  <c r="AL46" i="23" s="1"/>
  <c r="BI113" i="5"/>
  <c r="BH113" i="5"/>
  <c r="BO113" i="5"/>
  <c r="DF113" i="5"/>
  <c r="AL38" i="23" s="1"/>
  <c r="BN113" i="5"/>
  <c r="DE113" i="5"/>
  <c r="AL39" i="23" s="1"/>
  <c r="BM113" i="5"/>
  <c r="DD113" i="5"/>
  <c r="CV113" i="5"/>
  <c r="AL48" i="23" s="1"/>
  <c r="CU113" i="5"/>
  <c r="BP113" i="5"/>
  <c r="BL113" i="5"/>
  <c r="BK113" i="5"/>
  <c r="BG113" i="5"/>
  <c r="BF113" i="5"/>
  <c r="BE113" i="5"/>
  <c r="DC113" i="5"/>
  <c r="DA113" i="5"/>
  <c r="AL43" i="23" s="1"/>
  <c r="CY113" i="5"/>
  <c r="AL45" i="23" s="1"/>
  <c r="BJ113" i="5"/>
  <c r="CW113" i="5"/>
  <c r="AL47" i="23" s="1"/>
  <c r="CT125" i="5"/>
  <c r="BS125" i="5" a="1"/>
  <c r="DB125" i="5"/>
  <c r="AU42" i="23" s="1"/>
  <c r="CW125" i="5"/>
  <c r="AU47" i="23" s="1"/>
  <c r="CU125" i="5"/>
  <c r="CV125" i="5"/>
  <c r="AU48" i="23" s="1"/>
  <c r="BI125" i="5"/>
  <c r="BH125" i="5"/>
  <c r="BG125" i="5"/>
  <c r="BF125" i="5"/>
  <c r="BE125" i="5"/>
  <c r="DA125" i="5"/>
  <c r="AU43" i="23" s="1"/>
  <c r="CZ125" i="5"/>
  <c r="AU44" i="23" s="1"/>
  <c r="CY125" i="5"/>
  <c r="AU45" i="23" s="1"/>
  <c r="CX125" i="5"/>
  <c r="AU46" i="23" s="1"/>
  <c r="BO125" i="5"/>
  <c r="BN125" i="5"/>
  <c r="DF125" i="5"/>
  <c r="AU38" i="23" s="1"/>
  <c r="BL125" i="5"/>
  <c r="DE125" i="5"/>
  <c r="AU39" i="23" s="1"/>
  <c r="BK125" i="5"/>
  <c r="DD125" i="5"/>
  <c r="BP125" i="5"/>
  <c r="BM125" i="5"/>
  <c r="BJ125" i="5"/>
  <c r="DC125" i="5"/>
  <c r="CT137" i="5"/>
  <c r="BS137" i="5" a="1"/>
  <c r="DB137" i="5"/>
  <c r="BE42" i="23" s="1"/>
  <c r="CY137" i="5"/>
  <c r="BE45" i="23" s="1"/>
  <c r="DA137" i="5"/>
  <c r="BE43" i="23" s="1"/>
  <c r="CX137" i="5"/>
  <c r="BE46" i="23" s="1"/>
  <c r="BI137" i="5"/>
  <c r="BH137" i="5"/>
  <c r="BP137" i="5"/>
  <c r="BO137" i="5"/>
  <c r="CZ137" i="5"/>
  <c r="BE44" i="23" s="1"/>
  <c r="CW137" i="5"/>
  <c r="BE47" i="23" s="1"/>
  <c r="CV137" i="5"/>
  <c r="BE48" i="23" s="1"/>
  <c r="BN137" i="5"/>
  <c r="BR137" i="5" s="1"/>
  <c r="CU137" i="5"/>
  <c r="BM137" i="5"/>
  <c r="BK137" i="5"/>
  <c r="BJ137" i="5"/>
  <c r="DF137" i="5"/>
  <c r="BE38" i="23" s="1"/>
  <c r="BF137" i="5"/>
  <c r="BE137" i="5"/>
  <c r="DD137" i="5"/>
  <c r="BL137" i="5"/>
  <c r="BG137" i="5"/>
  <c r="DE137" i="5"/>
  <c r="BE39" i="23" s="1"/>
  <c r="DC137" i="5"/>
  <c r="CT149" i="5"/>
  <c r="BS149" i="5" a="1"/>
  <c r="DB149" i="5"/>
  <c r="BO42" i="23" s="1"/>
  <c r="CY149" i="5"/>
  <c r="BO45" i="23" s="1"/>
  <c r="CV149" i="5"/>
  <c r="BO48" i="23" s="1"/>
  <c r="BI149" i="5"/>
  <c r="BH149" i="5"/>
  <c r="CX149" i="5"/>
  <c r="BO46" i="23" s="1"/>
  <c r="BM149" i="5"/>
  <c r="CW149" i="5"/>
  <c r="BO47" i="23" s="1"/>
  <c r="BL149" i="5"/>
  <c r="CU149" i="5"/>
  <c r="BK149" i="5"/>
  <c r="DD149" i="5"/>
  <c r="BO149" i="5"/>
  <c r="DC149" i="5"/>
  <c r="BN149" i="5"/>
  <c r="BR149" i="5" s="1"/>
  <c r="DA149" i="5"/>
  <c r="BO43" i="23" s="1"/>
  <c r="BJ149" i="5"/>
  <c r="CZ149" i="5"/>
  <c r="BO44" i="23" s="1"/>
  <c r="BG149" i="5"/>
  <c r="BE149" i="5"/>
  <c r="DF149" i="5"/>
  <c r="BO38" i="23" s="1"/>
  <c r="BP149" i="5"/>
  <c r="BF149" i="5"/>
  <c r="DE149" i="5"/>
  <c r="BO39" i="23" s="1"/>
  <c r="CT161" i="5"/>
  <c r="BS161" i="5" a="1"/>
  <c r="DB161" i="5"/>
  <c r="BW42" i="23" s="1"/>
  <c r="CY161" i="5"/>
  <c r="BW45" i="23" s="1"/>
  <c r="DA161" i="5"/>
  <c r="BW43" i="23" s="1"/>
  <c r="CX161" i="5"/>
  <c r="BW46" i="23" s="1"/>
  <c r="CZ161" i="5"/>
  <c r="BW44" i="23" s="1"/>
  <c r="BI161" i="5"/>
  <c r="CW161" i="5"/>
  <c r="BW47" i="23" s="1"/>
  <c r="BH161" i="5"/>
  <c r="DF161" i="5"/>
  <c r="BW38" i="23" s="1"/>
  <c r="DE161" i="5"/>
  <c r="BW39" i="23" s="1"/>
  <c r="BP161" i="5"/>
  <c r="DD161" i="5"/>
  <c r="BO161" i="5"/>
  <c r="DC161" i="5"/>
  <c r="CV161" i="5"/>
  <c r="BW48" i="23" s="1"/>
  <c r="BM161" i="5"/>
  <c r="CU161" i="5"/>
  <c r="BL161" i="5"/>
  <c r="BK161" i="5"/>
  <c r="BJ161" i="5"/>
  <c r="BG161" i="5"/>
  <c r="BN161" i="5"/>
  <c r="BF161" i="5"/>
  <c r="BE161" i="5"/>
  <c r="CT173" i="5"/>
  <c r="BS173" i="5" a="1"/>
  <c r="DB173" i="5"/>
  <c r="CY173" i="5"/>
  <c r="DF173" i="5"/>
  <c r="CV173" i="5"/>
  <c r="BI173" i="5"/>
  <c r="CU173" i="5"/>
  <c r="BH173" i="5"/>
  <c r="DA173" i="5"/>
  <c r="BK173" i="5"/>
  <c r="CZ173" i="5"/>
  <c r="BJ173" i="5"/>
  <c r="CX173" i="5"/>
  <c r="BG173" i="5"/>
  <c r="CW173" i="5"/>
  <c r="BP173" i="5"/>
  <c r="BM173" i="5"/>
  <c r="DC173" i="5"/>
  <c r="BL173" i="5"/>
  <c r="BF173" i="5"/>
  <c r="BO173" i="5"/>
  <c r="DE173" i="5"/>
  <c r="BN173" i="5"/>
  <c r="DD173" i="5"/>
  <c r="BE173" i="5"/>
  <c r="CT184" i="5"/>
  <c r="BS184" i="5" a="1"/>
  <c r="DB184" i="5"/>
  <c r="CO42" i="23" s="1"/>
  <c r="CY184" i="5"/>
  <c r="CO45" i="23" s="1"/>
  <c r="DA184" i="5"/>
  <c r="CO43" i="23" s="1"/>
  <c r="CX184" i="5"/>
  <c r="CO46" i="23" s="1"/>
  <c r="BI184" i="5"/>
  <c r="BH184" i="5"/>
  <c r="CV184" i="5"/>
  <c r="CO48" i="23" s="1"/>
  <c r="CU184" i="5"/>
  <c r="BP184" i="5"/>
  <c r="BO184" i="5"/>
  <c r="DD184" i="5"/>
  <c r="BJ184" i="5"/>
  <c r="DC184" i="5"/>
  <c r="BG184" i="5"/>
  <c r="CZ184" i="5"/>
  <c r="CO44" i="23" s="1"/>
  <c r="BF184" i="5"/>
  <c r="CW184" i="5"/>
  <c r="CO47" i="23" s="1"/>
  <c r="BE184" i="5"/>
  <c r="DF184" i="5"/>
  <c r="CO38" i="23" s="1"/>
  <c r="BL184" i="5"/>
  <c r="BK184" i="5"/>
  <c r="BN184" i="5"/>
  <c r="BM184" i="5"/>
  <c r="DE184" i="5"/>
  <c r="CO39" i="23" s="1"/>
  <c r="CT196" i="5"/>
  <c r="BS196" i="5" a="1"/>
  <c r="DB196" i="5"/>
  <c r="CY42" i="23" s="1"/>
  <c r="CY196" i="5"/>
  <c r="CY45" i="23" s="1"/>
  <c r="CV196" i="5"/>
  <c r="CY48" i="23" s="1"/>
  <c r="BI196" i="5"/>
  <c r="BH196" i="5"/>
  <c r="DA196" i="5"/>
  <c r="CY43" i="23" s="1"/>
  <c r="BM196" i="5"/>
  <c r="CZ196" i="5"/>
  <c r="CY44" i="23" s="1"/>
  <c r="BL196" i="5"/>
  <c r="CX196" i="5"/>
  <c r="CY46" i="23" s="1"/>
  <c r="BK196" i="5"/>
  <c r="CW196" i="5"/>
  <c r="CY47" i="23" s="1"/>
  <c r="BJ196" i="5"/>
  <c r="DF196" i="5"/>
  <c r="CY38" i="23" s="1"/>
  <c r="BN196" i="5"/>
  <c r="DE196" i="5"/>
  <c r="CY39" i="23" s="1"/>
  <c r="BG196" i="5"/>
  <c r="DD196" i="5"/>
  <c r="BF196" i="5"/>
  <c r="DC196" i="5"/>
  <c r="BE196" i="5"/>
  <c r="BP196" i="5"/>
  <c r="BO196" i="5"/>
  <c r="CU196" i="5"/>
  <c r="CT208" i="5"/>
  <c r="BS208" i="5" a="1"/>
  <c r="DB208" i="5"/>
  <c r="DJ42" i="23" s="1"/>
  <c r="CY208" i="5"/>
  <c r="DJ45" i="23" s="1"/>
  <c r="DF208" i="5"/>
  <c r="DJ38" i="23" s="1"/>
  <c r="BO208" i="5"/>
  <c r="CX208" i="5"/>
  <c r="DJ46" i="23" s="1"/>
  <c r="BP208" i="5"/>
  <c r="CW208" i="5"/>
  <c r="DJ47" i="23" s="1"/>
  <c r="BN208" i="5"/>
  <c r="BR208" i="5" s="1"/>
  <c r="BM208" i="5"/>
  <c r="BL208" i="5"/>
  <c r="DA208" i="5"/>
  <c r="DJ43" i="23" s="1"/>
  <c r="CZ208" i="5"/>
  <c r="DJ44" i="23" s="1"/>
  <c r="BK208" i="5"/>
  <c r="CV208" i="5"/>
  <c r="DJ48" i="23" s="1"/>
  <c r="BJ208" i="5"/>
  <c r="CU208" i="5"/>
  <c r="BI208" i="5"/>
  <c r="BG208" i="5"/>
  <c r="BE208" i="5"/>
  <c r="DE208" i="5"/>
  <c r="DJ39" i="23" s="1"/>
  <c r="DD208" i="5"/>
  <c r="BH208" i="5"/>
  <c r="BF208" i="5"/>
  <c r="DC208" i="5"/>
  <c r="CT4" i="5"/>
  <c r="BS4" i="5" a="1"/>
  <c r="CT20" i="5"/>
  <c r="CU20" i="5"/>
  <c r="DE20" i="5"/>
  <c r="BI20" i="5"/>
  <c r="BH20" i="5"/>
  <c r="DF20" i="5"/>
  <c r="BM20" i="5"/>
  <c r="DD20" i="5"/>
  <c r="BL20" i="5"/>
  <c r="DC20" i="5"/>
  <c r="BK20" i="5"/>
  <c r="DB20" i="5"/>
  <c r="BP20" i="5"/>
  <c r="BO20" i="5"/>
  <c r="BN20" i="5"/>
  <c r="DA20" i="5"/>
  <c r="CY20" i="5"/>
  <c r="BF20" i="5"/>
  <c r="BE20" i="5"/>
  <c r="CW20" i="5"/>
  <c r="CV20" i="5"/>
  <c r="BJ20" i="5"/>
  <c r="CZ20" i="5"/>
  <c r="BG20" i="5"/>
  <c r="CX20" i="5"/>
  <c r="CT32" i="5"/>
  <c r="CU32" i="5"/>
  <c r="DE32" i="5"/>
  <c r="BI32" i="5"/>
  <c r="BH32" i="5"/>
  <c r="DC32" i="5"/>
  <c r="BM32" i="5"/>
  <c r="DB32" i="5"/>
  <c r="BL32" i="5"/>
  <c r="DA32" i="5"/>
  <c r="BK32" i="5"/>
  <c r="CZ32" i="5"/>
  <c r="DF32" i="5"/>
  <c r="BN32" i="5"/>
  <c r="BR32" i="5" s="1"/>
  <c r="BJ32" i="5"/>
  <c r="BG32" i="5"/>
  <c r="BF32" i="5"/>
  <c r="BE32" i="5"/>
  <c r="BP32" i="5"/>
  <c r="BO32" i="5"/>
  <c r="DD32" i="5"/>
  <c r="DH32" i="5" s="1"/>
  <c r="CY32" i="5"/>
  <c r="CX32" i="5"/>
  <c r="CW32" i="5"/>
  <c r="CV32" i="5"/>
  <c r="CT44" i="5"/>
  <c r="CU44" i="5"/>
  <c r="DE44" i="5"/>
  <c r="DA44" i="5"/>
  <c r="BI44" i="5"/>
  <c r="CZ44" i="5"/>
  <c r="BH44" i="5"/>
  <c r="CY44" i="5"/>
  <c r="BE44" i="5"/>
  <c r="CX44" i="5"/>
  <c r="CW44" i="5"/>
  <c r="CV44" i="5"/>
  <c r="BL44" i="5"/>
  <c r="BK44" i="5"/>
  <c r="BJ44" i="5"/>
  <c r="BG44" i="5"/>
  <c r="DF44" i="5"/>
  <c r="BF44" i="5"/>
  <c r="DC44" i="5"/>
  <c r="DB44" i="5"/>
  <c r="BM44" i="5"/>
  <c r="DD44" i="5"/>
  <c r="DH44" i="5" s="1"/>
  <c r="BP44" i="5"/>
  <c r="BO44" i="5"/>
  <c r="BN44" i="5"/>
  <c r="BR44" i="5" s="1"/>
  <c r="CT67" i="5"/>
  <c r="BS67" i="5" a="1"/>
  <c r="DB67" i="5"/>
  <c r="DA67" i="5"/>
  <c r="CY67" i="5"/>
  <c r="DF67" i="5"/>
  <c r="BI67" i="5"/>
  <c r="DE67" i="5"/>
  <c r="BH67" i="5"/>
  <c r="CU67" i="5"/>
  <c r="BP67" i="5"/>
  <c r="BO67" i="5"/>
  <c r="BM67" i="5"/>
  <c r="BL67" i="5"/>
  <c r="BK67" i="5"/>
  <c r="BJ67" i="5"/>
  <c r="BF67" i="5"/>
  <c r="DD67" i="5"/>
  <c r="BE67" i="5"/>
  <c r="BG67" i="5"/>
  <c r="DC67" i="5"/>
  <c r="CZ67" i="5"/>
  <c r="CX67" i="5"/>
  <c r="CW67" i="5"/>
  <c r="CV67" i="5"/>
  <c r="BN67" i="5"/>
  <c r="BR67" i="5" s="1"/>
  <c r="CT79" i="5"/>
  <c r="BS79" i="5" a="1"/>
  <c r="DB79" i="5"/>
  <c r="I42" i="23" s="1"/>
  <c r="DE79" i="5"/>
  <c r="I39" i="23" s="1"/>
  <c r="BI79" i="5"/>
  <c r="BH79" i="5"/>
  <c r="BO79" i="5"/>
  <c r="BN79" i="5"/>
  <c r="DF79" i="5"/>
  <c r="I38" i="23" s="1"/>
  <c r="BM79" i="5"/>
  <c r="DD79" i="5"/>
  <c r="BK79" i="5"/>
  <c r="BJ79" i="5"/>
  <c r="BG79" i="5"/>
  <c r="BF79" i="5"/>
  <c r="CZ79" i="5"/>
  <c r="I44" i="23" s="1"/>
  <c r="CU79" i="5"/>
  <c r="BL79" i="5"/>
  <c r="DC79" i="5"/>
  <c r="BE79" i="5"/>
  <c r="DA79" i="5"/>
  <c r="I43" i="23" s="1"/>
  <c r="CY79" i="5"/>
  <c r="I45" i="23" s="1"/>
  <c r="CX79" i="5"/>
  <c r="I46" i="23" s="1"/>
  <c r="CW79" i="5"/>
  <c r="I47" i="23" s="1"/>
  <c r="CV79" i="5"/>
  <c r="I48" i="23" s="1"/>
  <c r="BP79" i="5"/>
  <c r="CT102" i="5"/>
  <c r="BS102" i="5" a="1"/>
  <c r="DB102" i="5"/>
  <c r="AC42" i="23" s="1"/>
  <c r="DD102" i="5"/>
  <c r="DA102" i="5"/>
  <c r="AC43" i="23" s="1"/>
  <c r="BI102" i="5"/>
  <c r="BH102" i="5"/>
  <c r="DC102" i="5"/>
  <c r="BG102" i="5"/>
  <c r="CZ102" i="5"/>
  <c r="AC44" i="23" s="1"/>
  <c r="BF102" i="5"/>
  <c r="CY102" i="5"/>
  <c r="AC45" i="23" s="1"/>
  <c r="BE102" i="5"/>
  <c r="CX102" i="5"/>
  <c r="AC46" i="23" s="1"/>
  <c r="BK102" i="5"/>
  <c r="BJ102" i="5"/>
  <c r="DE102" i="5"/>
  <c r="AC39" i="23" s="1"/>
  <c r="CW102" i="5"/>
  <c r="AC47" i="23" s="1"/>
  <c r="CV102" i="5"/>
  <c r="AC48" i="23" s="1"/>
  <c r="BN102" i="5"/>
  <c r="CU102" i="5"/>
  <c r="BM102" i="5"/>
  <c r="DF102" i="5"/>
  <c r="AC38" i="23" s="1"/>
  <c r="BP102" i="5"/>
  <c r="BO102" i="5"/>
  <c r="BL102" i="5"/>
  <c r="CT126" i="5"/>
  <c r="BS126" i="5" a="1"/>
  <c r="DB126" i="5"/>
  <c r="AV42" i="23" s="1"/>
  <c r="CX126" i="5"/>
  <c r="AV46" i="23" s="1"/>
  <c r="CV126" i="5"/>
  <c r="AV48" i="23" s="1"/>
  <c r="CZ126" i="5"/>
  <c r="AV44" i="23" s="1"/>
  <c r="BI126" i="5"/>
  <c r="CY126" i="5"/>
  <c r="AV45" i="23" s="1"/>
  <c r="BH126" i="5"/>
  <c r="DC126" i="5"/>
  <c r="BK126" i="5"/>
  <c r="DA126" i="5"/>
  <c r="AV43" i="23" s="1"/>
  <c r="BJ126" i="5"/>
  <c r="CW126" i="5"/>
  <c r="AV47" i="23" s="1"/>
  <c r="BG126" i="5"/>
  <c r="CU126" i="5"/>
  <c r="BM126" i="5"/>
  <c r="BL126" i="5"/>
  <c r="BF126" i="5"/>
  <c r="BE126" i="5"/>
  <c r="DE126" i="5"/>
  <c r="AV39" i="23" s="1"/>
  <c r="DD126" i="5"/>
  <c r="BO126" i="5"/>
  <c r="DF126" i="5"/>
  <c r="AV38" i="23" s="1"/>
  <c r="BP126" i="5"/>
  <c r="BN126" i="5"/>
  <c r="BR126" i="5" s="1"/>
  <c r="CT162" i="5"/>
  <c r="BS162" i="5" a="1"/>
  <c r="DB162" i="5"/>
  <c r="BX42" i="23" s="1"/>
  <c r="CY162" i="5"/>
  <c r="BX45" i="23" s="1"/>
  <c r="DD162" i="5"/>
  <c r="DA162" i="5"/>
  <c r="BX43" i="23" s="1"/>
  <c r="DF162" i="5"/>
  <c r="BX38" i="23" s="1"/>
  <c r="BI162" i="5"/>
  <c r="DE162" i="5"/>
  <c r="BX39" i="23" s="1"/>
  <c r="BH162" i="5"/>
  <c r="BE162" i="5"/>
  <c r="BP162" i="5"/>
  <c r="BO162" i="5"/>
  <c r="BM162" i="5"/>
  <c r="DC162" i="5"/>
  <c r="BL162" i="5"/>
  <c r="BJ162" i="5"/>
  <c r="BG162" i="5"/>
  <c r="CU162" i="5"/>
  <c r="BN162" i="5"/>
  <c r="BR162" i="5" s="1"/>
  <c r="CZ162" i="5"/>
  <c r="BX44" i="23" s="1"/>
  <c r="BK162" i="5"/>
  <c r="CX162" i="5"/>
  <c r="BX46" i="23" s="1"/>
  <c r="CW162" i="5"/>
  <c r="BX47" i="23" s="1"/>
  <c r="CV162" i="5"/>
  <c r="BX48" i="23" s="1"/>
  <c r="BF162" i="5"/>
  <c r="CT174" i="5"/>
  <c r="BS174" i="5" a="1"/>
  <c r="DB174" i="5"/>
  <c r="CG42" i="23" s="1"/>
  <c r="CY174" i="5"/>
  <c r="CG45" i="23" s="1"/>
  <c r="CV174" i="5"/>
  <c r="CG48" i="23" s="1"/>
  <c r="DA174" i="5"/>
  <c r="CG43" i="23" s="1"/>
  <c r="BI174" i="5"/>
  <c r="CZ174" i="5"/>
  <c r="CG44" i="23" s="1"/>
  <c r="BH174" i="5"/>
  <c r="BM174" i="5"/>
  <c r="BL174" i="5"/>
  <c r="DF174" i="5"/>
  <c r="CG38" i="23" s="1"/>
  <c r="BK174" i="5"/>
  <c r="DE174" i="5"/>
  <c r="CG39" i="23" s="1"/>
  <c r="DD174" i="5"/>
  <c r="BG174" i="5"/>
  <c r="DC174" i="5"/>
  <c r="BF174" i="5"/>
  <c r="CX174" i="5"/>
  <c r="CG46" i="23" s="1"/>
  <c r="BE174" i="5"/>
  <c r="CW174" i="5"/>
  <c r="CG47" i="23" s="1"/>
  <c r="CU174" i="5"/>
  <c r="BP174" i="5"/>
  <c r="BO174" i="5"/>
  <c r="BN174" i="5"/>
  <c r="BJ174" i="5"/>
  <c r="CT185" i="5"/>
  <c r="BS185" i="5" a="1"/>
  <c r="DB185" i="5"/>
  <c r="CP42" i="23" s="1"/>
  <c r="CY185" i="5"/>
  <c r="CP45" i="23" s="1"/>
  <c r="DD185" i="5"/>
  <c r="DA185" i="5"/>
  <c r="CP43" i="23" s="1"/>
  <c r="CV185" i="5"/>
  <c r="CP48" i="23" s="1"/>
  <c r="BI185" i="5"/>
  <c r="CU185" i="5"/>
  <c r="BH185" i="5"/>
  <c r="DF185" i="5"/>
  <c r="CP38" i="23" s="1"/>
  <c r="BE185" i="5"/>
  <c r="DE185" i="5"/>
  <c r="CP39" i="23" s="1"/>
  <c r="DC185" i="5"/>
  <c r="CZ185" i="5"/>
  <c r="CP44" i="23" s="1"/>
  <c r="BO185" i="5"/>
  <c r="BN185" i="5"/>
  <c r="BR185" i="5" s="1"/>
  <c r="BM185" i="5"/>
  <c r="BL185" i="5"/>
  <c r="BG185" i="5"/>
  <c r="BF185" i="5"/>
  <c r="CX185" i="5"/>
  <c r="CP46" i="23" s="1"/>
  <c r="CW185" i="5"/>
  <c r="CP47" i="23" s="1"/>
  <c r="BP185" i="5"/>
  <c r="BK185" i="5"/>
  <c r="BJ185" i="5"/>
  <c r="CT197" i="5"/>
  <c r="BS197" i="5" a="1"/>
  <c r="DB197" i="5"/>
  <c r="CZ42" i="23" s="1"/>
  <c r="CY197" i="5"/>
  <c r="CZ45" i="23" s="1"/>
  <c r="CX197" i="5"/>
  <c r="CZ46" i="23" s="1"/>
  <c r="CV197" i="5"/>
  <c r="CZ48" i="23" s="1"/>
  <c r="CW197" i="5"/>
  <c r="CZ47" i="23" s="1"/>
  <c r="BI197" i="5"/>
  <c r="CU197" i="5"/>
  <c r="BH197" i="5"/>
  <c r="BO197" i="5"/>
  <c r="BN197" i="5"/>
  <c r="BR197" i="5" s="1"/>
  <c r="DF197" i="5"/>
  <c r="CZ38" i="23" s="1"/>
  <c r="BM197" i="5"/>
  <c r="DE197" i="5"/>
  <c r="CZ39" i="23" s="1"/>
  <c r="BL197" i="5"/>
  <c r="BJ197" i="5"/>
  <c r="BG197" i="5"/>
  <c r="DD197" i="5"/>
  <c r="DC197" i="5"/>
  <c r="DA197" i="5"/>
  <c r="CZ43" i="23" s="1"/>
  <c r="BP197" i="5"/>
  <c r="BK197" i="5"/>
  <c r="BF197" i="5"/>
  <c r="BE197" i="5"/>
  <c r="CZ197" i="5"/>
  <c r="CZ44" i="23" s="1"/>
  <c r="A54" i="1"/>
  <c r="H104" i="1"/>
  <c r="AS71" i="5"/>
  <c r="AS72" i="5" s="1"/>
  <c r="E23" i="23"/>
  <c r="CT246" i="5"/>
  <c r="BS246" i="5" a="1"/>
  <c r="DB246" i="5"/>
  <c r="DA246" i="5"/>
  <c r="CY246" i="5"/>
  <c r="CW246" i="5"/>
  <c r="CV246" i="5"/>
  <c r="CX246" i="5"/>
  <c r="BE246" i="5"/>
  <c r="BO246" i="5"/>
  <c r="BP246" i="5"/>
  <c r="BN246" i="5"/>
  <c r="BM246" i="5"/>
  <c r="BL246" i="5"/>
  <c r="BK246" i="5"/>
  <c r="DF246" i="5"/>
  <c r="BJ246" i="5"/>
  <c r="DE246" i="5"/>
  <c r="BF246" i="5"/>
  <c r="DD246" i="5"/>
  <c r="DC246" i="5"/>
  <c r="CZ246" i="5"/>
  <c r="BH246" i="5"/>
  <c r="BG246" i="5"/>
  <c r="CU246" i="5"/>
  <c r="BI246" i="5"/>
  <c r="H27" i="1"/>
  <c r="H29" i="1"/>
  <c r="H116" i="1"/>
  <c r="AO18" i="1"/>
  <c r="CT127" i="5"/>
  <c r="BS127" i="5" a="1"/>
  <c r="DB127" i="5"/>
  <c r="AW42" i="23" s="1"/>
  <c r="CY127" i="5"/>
  <c r="AW45" i="23" s="1"/>
  <c r="CW127" i="5"/>
  <c r="AW47" i="23" s="1"/>
  <c r="DD127" i="5"/>
  <c r="BI127" i="5"/>
  <c r="DC127" i="5"/>
  <c r="BH127" i="5"/>
  <c r="BM127" i="5"/>
  <c r="BL127" i="5"/>
  <c r="DF127" i="5"/>
  <c r="AW38" i="23" s="1"/>
  <c r="BK127" i="5"/>
  <c r="DE127" i="5"/>
  <c r="AW39" i="23" s="1"/>
  <c r="DA127" i="5"/>
  <c r="AW43" i="23" s="1"/>
  <c r="CZ127" i="5"/>
  <c r="AW44" i="23" s="1"/>
  <c r="CX127" i="5"/>
  <c r="AW46" i="23" s="1"/>
  <c r="BP127" i="5"/>
  <c r="CV127" i="5"/>
  <c r="AW48" i="23" s="1"/>
  <c r="BO127" i="5"/>
  <c r="CU127" i="5"/>
  <c r="BN127" i="5"/>
  <c r="BR127" i="5" s="1"/>
  <c r="BF127" i="5"/>
  <c r="BJ127" i="5"/>
  <c r="BG127" i="5"/>
  <c r="BE127" i="5"/>
  <c r="I187" i="1"/>
  <c r="I214" i="1"/>
  <c r="CT34" i="5"/>
  <c r="CU34" i="5"/>
  <c r="DE34" i="5"/>
  <c r="CY34" i="5"/>
  <c r="BI34" i="5"/>
  <c r="CX34" i="5"/>
  <c r="BH34" i="5"/>
  <c r="CW34" i="5"/>
  <c r="CV34" i="5"/>
  <c r="BP34" i="5"/>
  <c r="BO34" i="5"/>
  <c r="BN34" i="5"/>
  <c r="BR34" i="5" s="1"/>
  <c r="BM34" i="5"/>
  <c r="BL34" i="5"/>
  <c r="BK34" i="5"/>
  <c r="DF34" i="5"/>
  <c r="BJ34" i="5"/>
  <c r="DD34" i="5"/>
  <c r="DH34" i="5" s="1"/>
  <c r="BF34" i="5"/>
  <c r="DB34" i="5"/>
  <c r="BE34" i="5"/>
  <c r="CZ34" i="5"/>
  <c r="BG34" i="5"/>
  <c r="DC34" i="5"/>
  <c r="DA34" i="5"/>
  <c r="CT199" i="5"/>
  <c r="BS199" i="5" a="1"/>
  <c r="DB199" i="5"/>
  <c r="DB42" i="23" s="1"/>
  <c r="CY199" i="5"/>
  <c r="DB45" i="23" s="1"/>
  <c r="DD199" i="5"/>
  <c r="DA199" i="5"/>
  <c r="DB43" i="23" s="1"/>
  <c r="BI199" i="5"/>
  <c r="BH199" i="5"/>
  <c r="DF199" i="5"/>
  <c r="DB38" i="23" s="1"/>
  <c r="BE199" i="5"/>
  <c r="DE199" i="5"/>
  <c r="DB39" i="23" s="1"/>
  <c r="DC199" i="5"/>
  <c r="CZ199" i="5"/>
  <c r="DB44" i="23" s="1"/>
  <c r="BP199" i="5"/>
  <c r="CX199" i="5"/>
  <c r="DB46" i="23" s="1"/>
  <c r="CW199" i="5"/>
  <c r="DB47" i="23" s="1"/>
  <c r="BO199" i="5"/>
  <c r="CV199" i="5"/>
  <c r="DB48" i="23" s="1"/>
  <c r="BN199" i="5"/>
  <c r="BR199" i="5" s="1"/>
  <c r="CU199" i="5"/>
  <c r="BM199" i="5"/>
  <c r="BK199" i="5"/>
  <c r="BL199" i="5"/>
  <c r="BJ199" i="5"/>
  <c r="BG199" i="5"/>
  <c r="BF199" i="5"/>
  <c r="J172" i="1"/>
  <c r="J193" i="1"/>
  <c r="J209" i="1"/>
  <c r="J214" i="1"/>
  <c r="CT82" i="5"/>
  <c r="BS82" i="5" a="1"/>
  <c r="DB82" i="5"/>
  <c r="L42" i="23" s="1"/>
  <c r="CW82" i="5"/>
  <c r="L47" i="23" s="1"/>
  <c r="CU82" i="5"/>
  <c r="DD82" i="5"/>
  <c r="BI82" i="5"/>
  <c r="DC82" i="5"/>
  <c r="BH82" i="5"/>
  <c r="BG82" i="5"/>
  <c r="BF82" i="5"/>
  <c r="BE82" i="5"/>
  <c r="DF82" i="5"/>
  <c r="L38" i="23" s="1"/>
  <c r="BN82" i="5"/>
  <c r="BR82" i="5" s="1"/>
  <c r="DE82" i="5"/>
  <c r="L39" i="23" s="1"/>
  <c r="BM82" i="5"/>
  <c r="DA82" i="5"/>
  <c r="L43" i="23" s="1"/>
  <c r="BL82" i="5"/>
  <c r="CZ82" i="5"/>
  <c r="L44" i="23" s="1"/>
  <c r="BK82" i="5"/>
  <c r="CY82" i="5"/>
  <c r="L45" i="23" s="1"/>
  <c r="BO82" i="5"/>
  <c r="BJ82" i="5"/>
  <c r="CX82" i="5"/>
  <c r="L46" i="23" s="1"/>
  <c r="CV82" i="5"/>
  <c r="L48" i="23" s="1"/>
  <c r="BP82" i="5"/>
  <c r="CT93" i="5"/>
  <c r="BS93" i="5" a="1"/>
  <c r="DB93" i="5"/>
  <c r="T42" i="23" s="1"/>
  <c r="DE93" i="5"/>
  <c r="T39" i="23" s="1"/>
  <c r="DF93" i="5"/>
  <c r="T38" i="23" s="1"/>
  <c r="BI93" i="5"/>
  <c r="DD93" i="5"/>
  <c r="BH93" i="5"/>
  <c r="CX93" i="5"/>
  <c r="T46" i="23" s="1"/>
  <c r="BO93" i="5"/>
  <c r="CW93" i="5"/>
  <c r="T47" i="23" s="1"/>
  <c r="BN93" i="5"/>
  <c r="CV93" i="5"/>
  <c r="T48" i="23" s="1"/>
  <c r="BM93" i="5"/>
  <c r="CU93" i="5"/>
  <c r="DC93" i="5"/>
  <c r="BP93" i="5"/>
  <c r="CY93" i="5"/>
  <c r="T45" i="23" s="1"/>
  <c r="BF93" i="5"/>
  <c r="BE93" i="5"/>
  <c r="DA93" i="5"/>
  <c r="T43" i="23" s="1"/>
  <c r="BL93" i="5"/>
  <c r="CZ93" i="5"/>
  <c r="T44" i="23" s="1"/>
  <c r="BK93" i="5"/>
  <c r="BJ93" i="5"/>
  <c r="BG93" i="5"/>
  <c r="CT117" i="5"/>
  <c r="BS117" i="5" a="1"/>
  <c r="DB117" i="5"/>
  <c r="DA117" i="5"/>
  <c r="CY117" i="5"/>
  <c r="CW117" i="5"/>
  <c r="BI117" i="5"/>
  <c r="CV117" i="5"/>
  <c r="BH117" i="5"/>
  <c r="CU117" i="5"/>
  <c r="BP117" i="5"/>
  <c r="BO117" i="5"/>
  <c r="BE117" i="5"/>
  <c r="DF117" i="5"/>
  <c r="DE117" i="5"/>
  <c r="DD117" i="5"/>
  <c r="CZ117" i="5"/>
  <c r="BM117" i="5"/>
  <c r="CX117" i="5"/>
  <c r="BG117" i="5"/>
  <c r="DC117" i="5"/>
  <c r="BN117" i="5"/>
  <c r="BR117" i="5" s="1"/>
  <c r="BL117" i="5"/>
  <c r="BK117" i="5"/>
  <c r="BJ117" i="5"/>
  <c r="BF117" i="5"/>
  <c r="CT153" i="5"/>
  <c r="BS153" i="5" a="1"/>
  <c r="DB153" i="5"/>
  <c r="BR42" i="23" s="1"/>
  <c r="CY153" i="5"/>
  <c r="BR45" i="23" s="1"/>
  <c r="DD153" i="5"/>
  <c r="DA153" i="5"/>
  <c r="BR43" i="23" s="1"/>
  <c r="BI153" i="5"/>
  <c r="BH153" i="5"/>
  <c r="DC153" i="5"/>
  <c r="BE153" i="5"/>
  <c r="CZ153" i="5"/>
  <c r="BR44" i="23" s="1"/>
  <c r="CX153" i="5"/>
  <c r="BR46" i="23" s="1"/>
  <c r="CW153" i="5"/>
  <c r="BR47" i="23" s="1"/>
  <c r="CV153" i="5"/>
  <c r="BR48" i="23" s="1"/>
  <c r="BO153" i="5"/>
  <c r="CU153" i="5"/>
  <c r="BN153" i="5"/>
  <c r="BR153" i="5" s="1"/>
  <c r="BM153" i="5"/>
  <c r="BL153" i="5"/>
  <c r="BJ153" i="5"/>
  <c r="BG153" i="5"/>
  <c r="DE153" i="5"/>
  <c r="BR39" i="23" s="1"/>
  <c r="BP153" i="5"/>
  <c r="BK153" i="5"/>
  <c r="BF153" i="5"/>
  <c r="DF153" i="5"/>
  <c r="BR38" i="23" s="1"/>
  <c r="CT188" i="5"/>
  <c r="BS188" i="5" a="1"/>
  <c r="DB188" i="5"/>
  <c r="CY188" i="5"/>
  <c r="DF188" i="5"/>
  <c r="BI188" i="5"/>
  <c r="DE188" i="5"/>
  <c r="BH188" i="5"/>
  <c r="DA188" i="5"/>
  <c r="BK188" i="5"/>
  <c r="CZ188" i="5"/>
  <c r="BJ188" i="5"/>
  <c r="CX188" i="5"/>
  <c r="BG188" i="5"/>
  <c r="CW188" i="5"/>
  <c r="CV188" i="5"/>
  <c r="BM188" i="5"/>
  <c r="CU188" i="5"/>
  <c r="BL188" i="5"/>
  <c r="BF188" i="5"/>
  <c r="BE188" i="5"/>
  <c r="BO188" i="5"/>
  <c r="DC188" i="5"/>
  <c r="BN188" i="5"/>
  <c r="BP188" i="5"/>
  <c r="DD188" i="5"/>
  <c r="CT222" i="5"/>
  <c r="BS222" i="5" a="1"/>
  <c r="DB222" i="5"/>
  <c r="DS42" i="23" s="1"/>
  <c r="CY222" i="5"/>
  <c r="DS45" i="23" s="1"/>
  <c r="DA222" i="5"/>
  <c r="DS43" i="23" s="1"/>
  <c r="CX222" i="5"/>
  <c r="DS46" i="23" s="1"/>
  <c r="BO222" i="5"/>
  <c r="BL222" i="5"/>
  <c r="BK222" i="5"/>
  <c r="DF222" i="5"/>
  <c r="DS38" i="23" s="1"/>
  <c r="DE222" i="5"/>
  <c r="DS39" i="23" s="1"/>
  <c r="BP222" i="5"/>
  <c r="BE222" i="5"/>
  <c r="CZ222" i="5"/>
  <c r="DS44" i="23" s="1"/>
  <c r="BM222" i="5"/>
  <c r="CU222" i="5"/>
  <c r="BG222" i="5"/>
  <c r="BF222" i="5"/>
  <c r="DD222" i="5"/>
  <c r="DC222" i="5"/>
  <c r="BN222" i="5"/>
  <c r="CW222" i="5"/>
  <c r="DS47" i="23" s="1"/>
  <c r="BJ222" i="5"/>
  <c r="CV222" i="5"/>
  <c r="DS48" i="23" s="1"/>
  <c r="BI222" i="5"/>
  <c r="BH222" i="5"/>
  <c r="AD43" i="5"/>
  <c r="AD47" i="5" s="1"/>
  <c r="CT24" i="5"/>
  <c r="CU24" i="5"/>
  <c r="DE24" i="5"/>
  <c r="CY24" i="5"/>
  <c r="BI24" i="5"/>
  <c r="CX24" i="5"/>
  <c r="BH24" i="5"/>
  <c r="DA24" i="5"/>
  <c r="CZ24" i="5"/>
  <c r="BP24" i="5"/>
  <c r="CW24" i="5"/>
  <c r="BO24" i="5"/>
  <c r="CV24" i="5"/>
  <c r="BM24" i="5"/>
  <c r="BL24" i="5"/>
  <c r="BK24" i="5"/>
  <c r="BJ24" i="5"/>
  <c r="BG24" i="5"/>
  <c r="DF24" i="5"/>
  <c r="BF24" i="5"/>
  <c r="DD24" i="5"/>
  <c r="BE24" i="5"/>
  <c r="BN24" i="5"/>
  <c r="DC24" i="5"/>
  <c r="DB24" i="5"/>
  <c r="CT83" i="5"/>
  <c r="BS83" i="5" a="1"/>
  <c r="DB83" i="5"/>
  <c r="M42" i="23" s="1"/>
  <c r="CX83" i="5"/>
  <c r="M46" i="23" s="1"/>
  <c r="CV83" i="5"/>
  <c r="M48" i="23" s="1"/>
  <c r="BI83" i="5"/>
  <c r="DF83" i="5"/>
  <c r="M38" i="23" s="1"/>
  <c r="BH83" i="5"/>
  <c r="CZ83" i="5"/>
  <c r="M44" i="23" s="1"/>
  <c r="BK83" i="5"/>
  <c r="CY83" i="5"/>
  <c r="M45" i="23" s="1"/>
  <c r="BJ83" i="5"/>
  <c r="CW83" i="5"/>
  <c r="M47" i="23" s="1"/>
  <c r="BG83" i="5"/>
  <c r="CU83" i="5"/>
  <c r="BP83" i="5"/>
  <c r="BO83" i="5"/>
  <c r="BN83" i="5"/>
  <c r="BM83" i="5"/>
  <c r="BL83" i="5"/>
  <c r="BF83" i="5"/>
  <c r="DA83" i="5"/>
  <c r="M43" i="23" s="1"/>
  <c r="DE83" i="5"/>
  <c r="M39" i="23" s="1"/>
  <c r="DD83" i="5"/>
  <c r="BE83" i="5"/>
  <c r="DC83" i="5"/>
  <c r="CT118" i="5"/>
  <c r="BS118" i="5" a="1"/>
  <c r="DB118" i="5"/>
  <c r="AN42" i="23" s="1"/>
  <c r="DC118" i="5"/>
  <c r="CZ118" i="5"/>
  <c r="AN44" i="23" s="1"/>
  <c r="DA118" i="5"/>
  <c r="AN43" i="23" s="1"/>
  <c r="BI118" i="5"/>
  <c r="CY118" i="5"/>
  <c r="AN45" i="23" s="1"/>
  <c r="BH118" i="5"/>
  <c r="DE118" i="5"/>
  <c r="AN39" i="23" s="1"/>
  <c r="BE118" i="5"/>
  <c r="DD118" i="5"/>
  <c r="CX118" i="5"/>
  <c r="AN46" i="23" s="1"/>
  <c r="CW118" i="5"/>
  <c r="AN47" i="23" s="1"/>
  <c r="CV118" i="5"/>
  <c r="AN48" i="23" s="1"/>
  <c r="BL118" i="5"/>
  <c r="CU118" i="5"/>
  <c r="BK118" i="5"/>
  <c r="BJ118" i="5"/>
  <c r="BG118" i="5"/>
  <c r="BF118" i="5"/>
  <c r="BP118" i="5"/>
  <c r="BO118" i="5"/>
  <c r="DF118" i="5"/>
  <c r="AN38" i="23" s="1"/>
  <c r="BM118" i="5"/>
  <c r="BN118" i="5"/>
  <c r="BR118" i="5" s="1"/>
  <c r="CT130" i="5"/>
  <c r="BS130" i="5" a="1"/>
  <c r="DB130" i="5"/>
  <c r="DA130" i="5"/>
  <c r="CY130" i="5"/>
  <c r="CU130" i="5"/>
  <c r="BI130" i="5"/>
  <c r="BH130" i="5"/>
  <c r="DD130" i="5"/>
  <c r="DC130" i="5"/>
  <c r="BP130" i="5"/>
  <c r="CZ130" i="5"/>
  <c r="BO130" i="5"/>
  <c r="CX130" i="5"/>
  <c r="BM130" i="5"/>
  <c r="BL130" i="5"/>
  <c r="DF130" i="5"/>
  <c r="BK130" i="5"/>
  <c r="DE130" i="5"/>
  <c r="BJ130" i="5"/>
  <c r="BG130" i="5"/>
  <c r="BF130" i="5"/>
  <c r="BE130" i="5"/>
  <c r="CW130" i="5"/>
  <c r="CV130" i="5"/>
  <c r="BN130" i="5"/>
  <c r="CT166" i="5"/>
  <c r="BS166" i="5" a="1"/>
  <c r="DB166" i="5"/>
  <c r="BZ42" i="23" s="1"/>
  <c r="CY166" i="5"/>
  <c r="BZ45" i="23" s="1"/>
  <c r="DF166" i="5"/>
  <c r="BZ38" i="23" s="1"/>
  <c r="CX166" i="5"/>
  <c r="BZ46" i="23" s="1"/>
  <c r="BI166" i="5"/>
  <c r="CW166" i="5"/>
  <c r="BZ47" i="23" s="1"/>
  <c r="BH166" i="5"/>
  <c r="BK166" i="5"/>
  <c r="BJ166" i="5"/>
  <c r="BG166" i="5"/>
  <c r="DE166" i="5"/>
  <c r="BZ39" i="23" s="1"/>
  <c r="CV166" i="5"/>
  <c r="BZ48" i="23" s="1"/>
  <c r="BP166" i="5"/>
  <c r="CU166" i="5"/>
  <c r="BO166" i="5"/>
  <c r="BN166" i="5"/>
  <c r="BR166" i="5" s="1"/>
  <c r="BM166" i="5"/>
  <c r="BL166" i="5"/>
  <c r="DD166" i="5"/>
  <c r="DC166" i="5"/>
  <c r="DA166" i="5"/>
  <c r="BZ43" i="23" s="1"/>
  <c r="BF166" i="5"/>
  <c r="BE166" i="5"/>
  <c r="CZ166" i="5"/>
  <c r="BZ44" i="23" s="1"/>
  <c r="CT213" i="5"/>
  <c r="BS213" i="5" a="1"/>
  <c r="DB213" i="5"/>
  <c r="DN42" i="23" s="1"/>
  <c r="CY213" i="5"/>
  <c r="DN45" i="23" s="1"/>
  <c r="DD213" i="5"/>
  <c r="DA213" i="5"/>
  <c r="DN43" i="23" s="1"/>
  <c r="BO213" i="5"/>
  <c r="DC213" i="5"/>
  <c r="BG213" i="5"/>
  <c r="CZ213" i="5"/>
  <c r="DN44" i="23" s="1"/>
  <c r="BF213" i="5"/>
  <c r="BP213" i="5"/>
  <c r="BN213" i="5"/>
  <c r="DF213" i="5"/>
  <c r="DN38" i="23" s="1"/>
  <c r="BM213" i="5"/>
  <c r="DE213" i="5"/>
  <c r="DN39" i="23" s="1"/>
  <c r="BL213" i="5"/>
  <c r="BK213" i="5"/>
  <c r="BJ213" i="5"/>
  <c r="BI213" i="5"/>
  <c r="BE213" i="5"/>
  <c r="CV213" i="5"/>
  <c r="DN48" i="23" s="1"/>
  <c r="CX213" i="5"/>
  <c r="DN46" i="23" s="1"/>
  <c r="BH213" i="5"/>
  <c r="CW213" i="5"/>
  <c r="DN47" i="23" s="1"/>
  <c r="CU213" i="5"/>
  <c r="CT25" i="5"/>
  <c r="CU25" i="5"/>
  <c r="DE25" i="5"/>
  <c r="DA25" i="5"/>
  <c r="BI25" i="5"/>
  <c r="CZ25" i="5"/>
  <c r="BH25" i="5"/>
  <c r="DF25" i="5"/>
  <c r="BE25" i="5"/>
  <c r="DD25" i="5"/>
  <c r="DC25" i="5"/>
  <c r="DB25" i="5"/>
  <c r="CY25" i="5"/>
  <c r="CX25" i="5"/>
  <c r="BP25" i="5"/>
  <c r="CW25" i="5"/>
  <c r="BO25" i="5"/>
  <c r="CV25" i="5"/>
  <c r="BN25" i="5"/>
  <c r="BK25" i="5"/>
  <c r="BJ25" i="5"/>
  <c r="BG25" i="5"/>
  <c r="BF25" i="5"/>
  <c r="BM25" i="5"/>
  <c r="BL25" i="5"/>
  <c r="CT84" i="5"/>
  <c r="BS84" i="5" a="1"/>
  <c r="DB84" i="5"/>
  <c r="N42" i="23" s="1"/>
  <c r="CY84" i="5"/>
  <c r="N45" i="23" s="1"/>
  <c r="CW84" i="5"/>
  <c r="N47" i="23" s="1"/>
  <c r="CU84" i="5"/>
  <c r="BI84" i="5"/>
  <c r="BH84" i="5"/>
  <c r="DF84" i="5"/>
  <c r="N38" i="23" s="1"/>
  <c r="BM84" i="5"/>
  <c r="DE84" i="5"/>
  <c r="N39" i="23" s="1"/>
  <c r="BL84" i="5"/>
  <c r="DD84" i="5"/>
  <c r="BK84" i="5"/>
  <c r="DC84" i="5"/>
  <c r="BG84" i="5"/>
  <c r="BF84" i="5"/>
  <c r="BE84" i="5"/>
  <c r="CX84" i="5"/>
  <c r="N46" i="23" s="1"/>
  <c r="BO84" i="5"/>
  <c r="BN84" i="5"/>
  <c r="DA84" i="5"/>
  <c r="N43" i="23" s="1"/>
  <c r="CZ84" i="5"/>
  <c r="N44" i="23" s="1"/>
  <c r="CV84" i="5"/>
  <c r="N48" i="23" s="1"/>
  <c r="BP84" i="5"/>
  <c r="BJ84" i="5"/>
  <c r="CT95" i="5"/>
  <c r="BS95" i="5" a="1"/>
  <c r="DB95" i="5"/>
  <c r="V42" i="23" s="1"/>
  <c r="CV95" i="5"/>
  <c r="V48" i="23" s="1"/>
  <c r="CX95" i="5"/>
  <c r="V46" i="23" s="1"/>
  <c r="BI95" i="5"/>
  <c r="CW95" i="5"/>
  <c r="V47" i="23" s="1"/>
  <c r="BH95" i="5"/>
  <c r="BE95" i="5"/>
  <c r="DF95" i="5"/>
  <c r="V38" i="23" s="1"/>
  <c r="BO95" i="5"/>
  <c r="BN95" i="5"/>
  <c r="BM95" i="5"/>
  <c r="BL95" i="5"/>
  <c r="BJ95" i="5"/>
  <c r="DC95" i="5"/>
  <c r="BG95" i="5"/>
  <c r="BF95" i="5"/>
  <c r="DE95" i="5"/>
  <c r="V39" i="23" s="1"/>
  <c r="BK95" i="5"/>
  <c r="DD95" i="5"/>
  <c r="DA95" i="5"/>
  <c r="V43" i="23" s="1"/>
  <c r="CZ95" i="5"/>
  <c r="V44" i="23" s="1"/>
  <c r="CY95" i="5"/>
  <c r="V45" i="23" s="1"/>
  <c r="CU95" i="5"/>
  <c r="BP95" i="5"/>
  <c r="CT107" i="5"/>
  <c r="BS107" i="5" a="1"/>
  <c r="DB107" i="5"/>
  <c r="AF42" i="23" s="1"/>
  <c r="DE107" i="5"/>
  <c r="AF39" i="23" s="1"/>
  <c r="DC107" i="5"/>
  <c r="BI107" i="5"/>
  <c r="DA107" i="5"/>
  <c r="AF43" i="23" s="1"/>
  <c r="BH107" i="5"/>
  <c r="DF107" i="5"/>
  <c r="AF38" i="23" s="1"/>
  <c r="BO107" i="5"/>
  <c r="DD107" i="5"/>
  <c r="BN107" i="5"/>
  <c r="BR107" i="5" s="1"/>
  <c r="CZ107" i="5"/>
  <c r="AF44" i="23" s="1"/>
  <c r="BM107" i="5"/>
  <c r="CY107" i="5"/>
  <c r="AF45" i="23" s="1"/>
  <c r="BK107" i="5"/>
  <c r="BJ107" i="5"/>
  <c r="BG107" i="5"/>
  <c r="BF107" i="5"/>
  <c r="CV107" i="5"/>
  <c r="AF48" i="23" s="1"/>
  <c r="BP107" i="5"/>
  <c r="CX107" i="5"/>
  <c r="AF46" i="23" s="1"/>
  <c r="BE107" i="5"/>
  <c r="CW107" i="5"/>
  <c r="AF47" i="23" s="1"/>
  <c r="CU107" i="5"/>
  <c r="BL107" i="5"/>
  <c r="CT119" i="5"/>
  <c r="BS119" i="5" a="1"/>
  <c r="DB119" i="5"/>
  <c r="AO42" i="23" s="1"/>
  <c r="DD119" i="5"/>
  <c r="DA119" i="5"/>
  <c r="AO43" i="23" s="1"/>
  <c r="DF119" i="5"/>
  <c r="AO38" i="23" s="1"/>
  <c r="BI119" i="5"/>
  <c r="DE119" i="5"/>
  <c r="AO39" i="23" s="1"/>
  <c r="BH119" i="5"/>
  <c r="BG119" i="5"/>
  <c r="BF119" i="5"/>
  <c r="BE119" i="5"/>
  <c r="BP119" i="5"/>
  <c r="BO119" i="5"/>
  <c r="BN119" i="5"/>
  <c r="BR119" i="5" s="1"/>
  <c r="BL119" i="5"/>
  <c r="BK119" i="5"/>
  <c r="BJ119" i="5"/>
  <c r="DC119" i="5"/>
  <c r="BM119" i="5"/>
  <c r="CZ119" i="5"/>
  <c r="AO44" i="23" s="1"/>
  <c r="CY119" i="5"/>
  <c r="AO45" i="23" s="1"/>
  <c r="CX119" i="5"/>
  <c r="AO46" i="23" s="1"/>
  <c r="CW119" i="5"/>
  <c r="AO47" i="23" s="1"/>
  <c r="CV119" i="5"/>
  <c r="AO48" i="23" s="1"/>
  <c r="CU119" i="5"/>
  <c r="CT131" i="5"/>
  <c r="BS131" i="5" a="1"/>
  <c r="DB131" i="5"/>
  <c r="AZ42" i="23" s="1"/>
  <c r="CY131" i="5"/>
  <c r="AZ45" i="23" s="1"/>
  <c r="DD131" i="5"/>
  <c r="DA131" i="5"/>
  <c r="AZ43" i="23" s="1"/>
  <c r="CX131" i="5"/>
  <c r="AZ46" i="23" s="1"/>
  <c r="BI131" i="5"/>
  <c r="CW131" i="5"/>
  <c r="AZ47" i="23" s="1"/>
  <c r="BH131" i="5"/>
  <c r="BE131" i="5"/>
  <c r="CV131" i="5"/>
  <c r="AZ48" i="23" s="1"/>
  <c r="CU131" i="5"/>
  <c r="BP131" i="5"/>
  <c r="BO131" i="5"/>
  <c r="BK131" i="5"/>
  <c r="DF131" i="5"/>
  <c r="AZ38" i="23" s="1"/>
  <c r="DE131" i="5"/>
  <c r="AZ39" i="23" s="1"/>
  <c r="DC131" i="5"/>
  <c r="BF131" i="5"/>
  <c r="BN131" i="5"/>
  <c r="BM131" i="5"/>
  <c r="BL131" i="5"/>
  <c r="BJ131" i="5"/>
  <c r="BG131" i="5"/>
  <c r="CZ131" i="5"/>
  <c r="AZ44" i="23" s="1"/>
  <c r="CT143" i="5"/>
  <c r="BS143" i="5" a="1"/>
  <c r="DB143" i="5"/>
  <c r="BJ42" i="23" s="1"/>
  <c r="CY143" i="5"/>
  <c r="BJ45" i="23" s="1"/>
  <c r="CX143" i="5"/>
  <c r="BJ46" i="23" s="1"/>
  <c r="CV143" i="5"/>
  <c r="BJ48" i="23" s="1"/>
  <c r="DA143" i="5"/>
  <c r="BJ43" i="23" s="1"/>
  <c r="BI143" i="5"/>
  <c r="CZ143" i="5"/>
  <c r="BJ44" i="23" s="1"/>
  <c r="BH143" i="5"/>
  <c r="BO143" i="5"/>
  <c r="BN143" i="5"/>
  <c r="BM143" i="5"/>
  <c r="DD143" i="5"/>
  <c r="DC143" i="5"/>
  <c r="BP143" i="5"/>
  <c r="CW143" i="5"/>
  <c r="BJ47" i="23" s="1"/>
  <c r="BL143" i="5"/>
  <c r="CU143" i="5"/>
  <c r="BK143" i="5"/>
  <c r="BJ143" i="5"/>
  <c r="BE143" i="5"/>
  <c r="DF143" i="5"/>
  <c r="BJ38" i="23" s="1"/>
  <c r="BG143" i="5"/>
  <c r="BF143" i="5"/>
  <c r="DE143" i="5"/>
  <c r="BJ39" i="23" s="1"/>
  <c r="CT190" i="5"/>
  <c r="BS190" i="5" a="1"/>
  <c r="DB190" i="5"/>
  <c r="CT42" i="23" s="1"/>
  <c r="CY190" i="5"/>
  <c r="CT45" i="23" s="1"/>
  <c r="CX190" i="5"/>
  <c r="CT46" i="23" s="1"/>
  <c r="CV190" i="5"/>
  <c r="CT48" i="23" s="1"/>
  <c r="DA190" i="5"/>
  <c r="CT43" i="23" s="1"/>
  <c r="BI190" i="5"/>
  <c r="CZ190" i="5"/>
  <c r="CT44" i="23" s="1"/>
  <c r="BH190" i="5"/>
  <c r="CW190" i="5"/>
  <c r="CT47" i="23" s="1"/>
  <c r="BO190" i="5"/>
  <c r="CU190" i="5"/>
  <c r="BN190" i="5"/>
  <c r="BR190" i="5" s="1"/>
  <c r="BM190" i="5"/>
  <c r="BL190" i="5"/>
  <c r="DF190" i="5"/>
  <c r="CT38" i="23" s="1"/>
  <c r="BF190" i="5"/>
  <c r="DE190" i="5"/>
  <c r="CT39" i="23" s="1"/>
  <c r="BE190" i="5"/>
  <c r="DD190" i="5"/>
  <c r="DC190" i="5"/>
  <c r="BG190" i="5"/>
  <c r="BP190" i="5"/>
  <c r="BK190" i="5"/>
  <c r="BJ190" i="5"/>
  <c r="CT202" i="5"/>
  <c r="BS202" i="5" a="1"/>
  <c r="DB202" i="5"/>
  <c r="DE42" i="23" s="1"/>
  <c r="CY202" i="5"/>
  <c r="DE45" i="23" s="1"/>
  <c r="CV202" i="5"/>
  <c r="DE48" i="23" s="1"/>
  <c r="BO202" i="5"/>
  <c r="DF202" i="5"/>
  <c r="DE38" i="23" s="1"/>
  <c r="BJ202" i="5"/>
  <c r="DE202" i="5"/>
  <c r="DE39" i="23" s="1"/>
  <c r="BI202" i="5"/>
  <c r="BN202" i="5"/>
  <c r="BM202" i="5"/>
  <c r="BL202" i="5"/>
  <c r="BK202" i="5"/>
  <c r="CX202" i="5"/>
  <c r="DE46" i="23" s="1"/>
  <c r="BE202" i="5"/>
  <c r="CW202" i="5"/>
  <c r="DE47" i="23" s="1"/>
  <c r="CU202" i="5"/>
  <c r="DD202" i="5"/>
  <c r="DC202" i="5"/>
  <c r="DA202" i="5"/>
  <c r="DE43" i="23" s="1"/>
  <c r="BF202" i="5"/>
  <c r="BP202" i="5"/>
  <c r="BH202" i="5"/>
  <c r="BG202" i="5"/>
  <c r="CZ202" i="5"/>
  <c r="DE44" i="23" s="1"/>
  <c r="CT224" i="5"/>
  <c r="BS224" i="5" a="1"/>
  <c r="DB224" i="5"/>
  <c r="CY224" i="5"/>
  <c r="DD224" i="5"/>
  <c r="DA224" i="5"/>
  <c r="BO224" i="5"/>
  <c r="CX224" i="5"/>
  <c r="BM224" i="5"/>
  <c r="CW224" i="5"/>
  <c r="BL224" i="5"/>
  <c r="CV224" i="5"/>
  <c r="BG224" i="5"/>
  <c r="CU224" i="5"/>
  <c r="BF224" i="5"/>
  <c r="BE224" i="5"/>
  <c r="DF224" i="5"/>
  <c r="BN224" i="5"/>
  <c r="BR224" i="5" s="1"/>
  <c r="DE224" i="5"/>
  <c r="BK224" i="5"/>
  <c r="DC224" i="5"/>
  <c r="BJ224" i="5"/>
  <c r="CZ224" i="5"/>
  <c r="BI224" i="5"/>
  <c r="BP224" i="5"/>
  <c r="BH224" i="5"/>
  <c r="AM27" i="1"/>
  <c r="AH58" i="5"/>
  <c r="AT71" i="5"/>
  <c r="AT72" i="5" s="1"/>
  <c r="E22" i="23"/>
  <c r="I205" i="1"/>
  <c r="I223" i="1"/>
  <c r="AE58" i="5"/>
  <c r="AA4" i="1"/>
  <c r="CT46" i="5"/>
  <c r="CU46" i="5"/>
  <c r="DE46" i="5"/>
  <c r="DF46" i="5"/>
  <c r="BI46" i="5"/>
  <c r="DD46" i="5"/>
  <c r="DH46" i="5" s="1"/>
  <c r="BH46" i="5"/>
  <c r="BK46" i="5"/>
  <c r="BJ46" i="5"/>
  <c r="BG46" i="5"/>
  <c r="BE46" i="5"/>
  <c r="DA46" i="5"/>
  <c r="BN46" i="5"/>
  <c r="BR46" i="5" s="1"/>
  <c r="BM46" i="5"/>
  <c r="BL46" i="5"/>
  <c r="DC46" i="5"/>
  <c r="DB46" i="5"/>
  <c r="BP46" i="5"/>
  <c r="CZ46" i="5"/>
  <c r="BO46" i="5"/>
  <c r="CY46" i="5"/>
  <c r="CX46" i="5"/>
  <c r="CW46" i="5"/>
  <c r="CV46" i="5"/>
  <c r="BF46" i="5"/>
  <c r="CT69" i="5"/>
  <c r="DB69" i="5"/>
  <c r="DD69" i="5"/>
  <c r="DH69" i="5" s="1"/>
  <c r="DA69" i="5"/>
  <c r="CW69" i="5"/>
  <c r="BI69" i="5"/>
  <c r="CV69" i="5"/>
  <c r="BH69" i="5"/>
  <c r="BG69" i="5"/>
  <c r="BF69" i="5"/>
  <c r="DF69" i="5"/>
  <c r="BE69" i="5"/>
  <c r="DE69" i="5"/>
  <c r="CU69" i="5"/>
  <c r="BK69" i="5"/>
  <c r="BJ69" i="5"/>
  <c r="BP69" i="5"/>
  <c r="BO69" i="5"/>
  <c r="CZ69" i="5"/>
  <c r="CY69" i="5"/>
  <c r="CX69" i="5"/>
  <c r="BL69" i="5"/>
  <c r="DC69" i="5"/>
  <c r="BN69" i="5"/>
  <c r="BR69" i="5" s="1"/>
  <c r="BM69" i="5"/>
  <c r="CT152" i="5"/>
  <c r="BS152" i="5" a="1"/>
  <c r="DB152" i="5"/>
  <c r="BQ42" i="23" s="1"/>
  <c r="CY152" i="5"/>
  <c r="BQ45" i="23" s="1"/>
  <c r="DA152" i="5"/>
  <c r="BQ43" i="23" s="1"/>
  <c r="CX152" i="5"/>
  <c r="BQ46" i="23" s="1"/>
  <c r="DD152" i="5"/>
  <c r="BI152" i="5"/>
  <c r="DC152" i="5"/>
  <c r="BH152" i="5"/>
  <c r="BP152" i="5"/>
  <c r="BO152" i="5"/>
  <c r="BJ152" i="5"/>
  <c r="BG152" i="5"/>
  <c r="DF152" i="5"/>
  <c r="BQ38" i="23" s="1"/>
  <c r="BF152" i="5"/>
  <c r="DE152" i="5"/>
  <c r="BQ39" i="23" s="1"/>
  <c r="BE152" i="5"/>
  <c r="CU152" i="5"/>
  <c r="BN152" i="5"/>
  <c r="BR152" i="5" s="1"/>
  <c r="BM152" i="5"/>
  <c r="CZ152" i="5"/>
  <c r="BQ44" i="23" s="1"/>
  <c r="CW152" i="5"/>
  <c r="BQ47" i="23" s="1"/>
  <c r="CV152" i="5"/>
  <c r="BQ48" i="23" s="1"/>
  <c r="BL152" i="5"/>
  <c r="BK152" i="5"/>
  <c r="CT176" i="5"/>
  <c r="BS176" i="5" a="1"/>
  <c r="DB176" i="5"/>
  <c r="CI42" i="23" s="1"/>
  <c r="CY176" i="5"/>
  <c r="CI45" i="23" s="1"/>
  <c r="DA176" i="5"/>
  <c r="CI43" i="23" s="1"/>
  <c r="CX176" i="5"/>
  <c r="CI46" i="23" s="1"/>
  <c r="BI176" i="5"/>
  <c r="BH176" i="5"/>
  <c r="DF176" i="5"/>
  <c r="CI38" i="23" s="1"/>
  <c r="DE176" i="5"/>
  <c r="CI39" i="23" s="1"/>
  <c r="BP176" i="5"/>
  <c r="DD176" i="5"/>
  <c r="BO176" i="5"/>
  <c r="DC176" i="5"/>
  <c r="BE176" i="5"/>
  <c r="CW176" i="5"/>
  <c r="CI47" i="23" s="1"/>
  <c r="CV176" i="5"/>
  <c r="CI48" i="23" s="1"/>
  <c r="BM176" i="5"/>
  <c r="BL176" i="5"/>
  <c r="BG176" i="5"/>
  <c r="BF176" i="5"/>
  <c r="CZ176" i="5"/>
  <c r="CI44" i="23" s="1"/>
  <c r="BN176" i="5"/>
  <c r="CU176" i="5"/>
  <c r="BK176" i="5"/>
  <c r="BJ176" i="5"/>
  <c r="CT211" i="5"/>
  <c r="BS211" i="5" a="1"/>
  <c r="DB211" i="5"/>
  <c r="DL42" i="23" s="1"/>
  <c r="CY211" i="5"/>
  <c r="DL45" i="23" s="1"/>
  <c r="CX211" i="5"/>
  <c r="DL46" i="23" s="1"/>
  <c r="CV211" i="5"/>
  <c r="DL48" i="23" s="1"/>
  <c r="BO211" i="5"/>
  <c r="BE211" i="5"/>
  <c r="BI211" i="5"/>
  <c r="BH211" i="5"/>
  <c r="DF211" i="5"/>
  <c r="DL38" i="23" s="1"/>
  <c r="BG211" i="5"/>
  <c r="DE211" i="5"/>
  <c r="DL39" i="23" s="1"/>
  <c r="BF211" i="5"/>
  <c r="DD211" i="5"/>
  <c r="BN211" i="5"/>
  <c r="BR211" i="5" s="1"/>
  <c r="DC211" i="5"/>
  <c r="BM211" i="5"/>
  <c r="DA211" i="5"/>
  <c r="DL43" i="23" s="1"/>
  <c r="BL211" i="5"/>
  <c r="CZ211" i="5"/>
  <c r="DL44" i="23" s="1"/>
  <c r="BK211" i="5"/>
  <c r="BP211" i="5"/>
  <c r="CW211" i="5"/>
  <c r="DL47" i="23" s="1"/>
  <c r="BJ211" i="5"/>
  <c r="CU211" i="5"/>
  <c r="CT221" i="5"/>
  <c r="DB221" i="5"/>
  <c r="DR42" i="23" s="1"/>
  <c r="CY221" i="5"/>
  <c r="DR45" i="23" s="1"/>
  <c r="CX221" i="5"/>
  <c r="DR46" i="23" s="1"/>
  <c r="CV221" i="5"/>
  <c r="DR48" i="23" s="1"/>
  <c r="BO221" i="5"/>
  <c r="DF221" i="5"/>
  <c r="DR38" i="23" s="1"/>
  <c r="BK221" i="5"/>
  <c r="DE221" i="5"/>
  <c r="DR39" i="23" s="1"/>
  <c r="BJ221" i="5"/>
  <c r="DA221" i="5"/>
  <c r="DR43" i="23" s="1"/>
  <c r="BP221" i="5"/>
  <c r="CZ221" i="5"/>
  <c r="DR44" i="23" s="1"/>
  <c r="BN221" i="5"/>
  <c r="BR221" i="5" s="1"/>
  <c r="CW221" i="5"/>
  <c r="DR47" i="23" s="1"/>
  <c r="BM221" i="5"/>
  <c r="CU221" i="5"/>
  <c r="BL221" i="5"/>
  <c r="BI221" i="5"/>
  <c r="BH221" i="5"/>
  <c r="BG221" i="5"/>
  <c r="BE221" i="5"/>
  <c r="DC221" i="5"/>
  <c r="BF221" i="5"/>
  <c r="DD221" i="5"/>
  <c r="J29" i="1"/>
  <c r="J187" i="1"/>
  <c r="J219" i="1"/>
  <c r="J241" i="1"/>
  <c r="AG54" i="1"/>
  <c r="AO20" i="1"/>
  <c r="CT7" i="5"/>
  <c r="BE7" i="5"/>
  <c r="BS7" i="5" a="1"/>
  <c r="CU7" i="5"/>
  <c r="DE7" i="5"/>
  <c r="CW7" i="5"/>
  <c r="BI7" i="5"/>
  <c r="CV7" i="5"/>
  <c r="BH7" i="5"/>
  <c r="CY7" i="5"/>
  <c r="BO7" i="5"/>
  <c r="CX7" i="5"/>
  <c r="BN7" i="5"/>
  <c r="BM7" i="5"/>
  <c r="CZ7" i="5"/>
  <c r="BL7" i="5"/>
  <c r="BK7" i="5"/>
  <c r="DF7" i="5"/>
  <c r="BJ7" i="5"/>
  <c r="BF7" i="5"/>
  <c r="BP7" i="5"/>
  <c r="DD7" i="5"/>
  <c r="BG7" i="5"/>
  <c r="DC7" i="5"/>
  <c r="DB7" i="5"/>
  <c r="DA7" i="5"/>
  <c r="CT35" i="5"/>
  <c r="CU35" i="5"/>
  <c r="DE35" i="5"/>
  <c r="DA35" i="5"/>
  <c r="BI35" i="5"/>
  <c r="CZ35" i="5"/>
  <c r="BH35" i="5"/>
  <c r="DC35" i="5"/>
  <c r="BE35" i="5"/>
  <c r="DB35" i="5"/>
  <c r="CY35" i="5"/>
  <c r="CX35" i="5"/>
  <c r="BG35" i="5"/>
  <c r="BF35" i="5"/>
  <c r="DF35" i="5"/>
  <c r="DD35" i="5"/>
  <c r="DH35" i="5" s="1"/>
  <c r="CW35" i="5"/>
  <c r="CV35" i="5"/>
  <c r="BN35" i="5"/>
  <c r="BR35" i="5" s="1"/>
  <c r="BM35" i="5"/>
  <c r="BL35" i="5"/>
  <c r="BK35" i="5"/>
  <c r="BJ35" i="5"/>
  <c r="BP35" i="5"/>
  <c r="BO35" i="5"/>
  <c r="CT165" i="5"/>
  <c r="BS165" i="5" a="1"/>
  <c r="DB165" i="5"/>
  <c r="CY165" i="5"/>
  <c r="DF165" i="5"/>
  <c r="DD165" i="5"/>
  <c r="BI165" i="5"/>
  <c r="BH165" i="5"/>
  <c r="DA165" i="5"/>
  <c r="BG165" i="5"/>
  <c r="CZ165" i="5"/>
  <c r="BF165" i="5"/>
  <c r="CX165" i="5"/>
  <c r="BE165" i="5"/>
  <c r="CW165" i="5"/>
  <c r="BK165" i="5"/>
  <c r="BJ165" i="5"/>
  <c r="DE165" i="5"/>
  <c r="DC165" i="5"/>
  <c r="BP165" i="5"/>
  <c r="BO165" i="5"/>
  <c r="BM165" i="5"/>
  <c r="BL165" i="5"/>
  <c r="CV165" i="5"/>
  <c r="CU165" i="5"/>
  <c r="BN165" i="5"/>
  <c r="CT212" i="5"/>
  <c r="BS212" i="5" a="1"/>
  <c r="DB212" i="5"/>
  <c r="DM42" i="23" s="1"/>
  <c r="CY212" i="5"/>
  <c r="DM45" i="23" s="1"/>
  <c r="DA212" i="5"/>
  <c r="DM43" i="23" s="1"/>
  <c r="CX212" i="5"/>
  <c r="DM46" i="23" s="1"/>
  <c r="BO212" i="5"/>
  <c r="CV212" i="5"/>
  <c r="DM48" i="23" s="1"/>
  <c r="BF212" i="5"/>
  <c r="CU212" i="5"/>
  <c r="BE212" i="5"/>
  <c r="CZ212" i="5"/>
  <c r="DM44" i="23" s="1"/>
  <c r="BL212" i="5"/>
  <c r="CW212" i="5"/>
  <c r="DM47" i="23" s="1"/>
  <c r="BK212" i="5"/>
  <c r="BJ212" i="5"/>
  <c r="BI212" i="5"/>
  <c r="BN212" i="5"/>
  <c r="DE212" i="5"/>
  <c r="DM39" i="23" s="1"/>
  <c r="DC212" i="5"/>
  <c r="BP212" i="5"/>
  <c r="DF212" i="5"/>
  <c r="DM38" i="23" s="1"/>
  <c r="BM212" i="5"/>
  <c r="BH212" i="5"/>
  <c r="DD212" i="5"/>
  <c r="BG212" i="5"/>
  <c r="K27" i="1"/>
  <c r="K29" i="1"/>
  <c r="K133" i="1"/>
  <c r="K138" i="1"/>
  <c r="K157" i="1"/>
  <c r="K172" i="1"/>
  <c r="K241" i="1"/>
  <c r="CT36" i="5"/>
  <c r="CU36" i="5"/>
  <c r="DE36" i="5"/>
  <c r="DC36" i="5"/>
  <c r="BI36" i="5"/>
  <c r="DB36" i="5"/>
  <c r="BH36" i="5"/>
  <c r="BG36" i="5"/>
  <c r="DF36" i="5"/>
  <c r="BF36" i="5"/>
  <c r="BE36" i="5"/>
  <c r="DD36" i="5"/>
  <c r="DH36" i="5" s="1"/>
  <c r="CW36" i="5"/>
  <c r="BN36" i="5"/>
  <c r="BR36" i="5" s="1"/>
  <c r="CV36" i="5"/>
  <c r="BM36" i="5"/>
  <c r="BL36" i="5"/>
  <c r="BK36" i="5"/>
  <c r="BJ36" i="5"/>
  <c r="BP36" i="5"/>
  <c r="BO36" i="5"/>
  <c r="DA36" i="5"/>
  <c r="CZ36" i="5"/>
  <c r="CY36" i="5"/>
  <c r="CX36" i="5"/>
  <c r="CT106" i="5"/>
  <c r="BS106" i="5" a="1"/>
  <c r="DB106" i="5"/>
  <c r="AE42" i="23" s="1"/>
  <c r="DF106" i="5"/>
  <c r="AE38" i="23" s="1"/>
  <c r="DD106" i="5"/>
  <c r="CY106" i="5"/>
  <c r="AE45" i="23" s="1"/>
  <c r="BI106" i="5"/>
  <c r="CX106" i="5"/>
  <c r="AE46" i="23" s="1"/>
  <c r="BH106" i="5"/>
  <c r="CW106" i="5"/>
  <c r="AE47" i="23" s="1"/>
  <c r="BM106" i="5"/>
  <c r="CV106" i="5"/>
  <c r="AE48" i="23" s="1"/>
  <c r="BL106" i="5"/>
  <c r="CU106" i="5"/>
  <c r="BK106" i="5"/>
  <c r="BP106" i="5"/>
  <c r="BO106" i="5"/>
  <c r="BN106" i="5"/>
  <c r="BJ106" i="5"/>
  <c r="CZ106" i="5"/>
  <c r="AE44" i="23" s="1"/>
  <c r="BE106" i="5"/>
  <c r="DE106" i="5"/>
  <c r="AE39" i="23" s="1"/>
  <c r="DC106" i="5"/>
  <c r="BG106" i="5"/>
  <c r="DA106" i="5"/>
  <c r="AE43" i="23" s="1"/>
  <c r="BF106" i="5"/>
  <c r="CT142" i="5"/>
  <c r="BS142" i="5" a="1"/>
  <c r="DB142" i="5"/>
  <c r="BI42" i="23" s="1"/>
  <c r="CY142" i="5"/>
  <c r="BI45" i="23" s="1"/>
  <c r="CV142" i="5"/>
  <c r="BI48" i="23" s="1"/>
  <c r="CU142" i="5"/>
  <c r="BI142" i="5"/>
  <c r="BH142" i="5"/>
  <c r="DF142" i="5"/>
  <c r="BI38" i="23" s="1"/>
  <c r="BM142" i="5"/>
  <c r="DE142" i="5"/>
  <c r="BI39" i="23" s="1"/>
  <c r="BL142" i="5"/>
  <c r="DD142" i="5"/>
  <c r="BK142" i="5"/>
  <c r="DC142" i="5"/>
  <c r="BG142" i="5"/>
  <c r="BF142" i="5"/>
  <c r="BE142" i="5"/>
  <c r="BN142" i="5"/>
  <c r="DA142" i="5"/>
  <c r="BI43" i="23" s="1"/>
  <c r="CZ142" i="5"/>
  <c r="BI44" i="23" s="1"/>
  <c r="CX142" i="5"/>
  <c r="BI46" i="23" s="1"/>
  <c r="CW142" i="5"/>
  <c r="BI47" i="23" s="1"/>
  <c r="BP142" i="5"/>
  <c r="BO142" i="5"/>
  <c r="BJ142" i="5"/>
  <c r="CT189" i="5"/>
  <c r="BS189" i="5" a="1"/>
  <c r="DB189" i="5"/>
  <c r="CS42" i="23" s="1"/>
  <c r="CY189" i="5"/>
  <c r="CS45" i="23" s="1"/>
  <c r="CV189" i="5"/>
  <c r="CS48" i="23" s="1"/>
  <c r="CU189" i="5"/>
  <c r="BI189" i="5"/>
  <c r="BH189" i="5"/>
  <c r="BM189" i="5"/>
  <c r="BL189" i="5"/>
  <c r="DF189" i="5"/>
  <c r="CS38" i="23" s="1"/>
  <c r="BK189" i="5"/>
  <c r="DE189" i="5"/>
  <c r="CS39" i="23" s="1"/>
  <c r="BP189" i="5"/>
  <c r="BO189" i="5"/>
  <c r="DA189" i="5"/>
  <c r="CS43" i="23" s="1"/>
  <c r="BG189" i="5"/>
  <c r="BF189" i="5"/>
  <c r="CW189" i="5"/>
  <c r="CS47" i="23" s="1"/>
  <c r="DD189" i="5"/>
  <c r="BN189" i="5"/>
  <c r="DC189" i="5"/>
  <c r="BJ189" i="5"/>
  <c r="CZ189" i="5"/>
  <c r="CS44" i="23" s="1"/>
  <c r="CX189" i="5"/>
  <c r="CS46" i="23" s="1"/>
  <c r="BE189" i="5"/>
  <c r="L76" i="1"/>
  <c r="CT179" i="5"/>
  <c r="BS179" i="5" a="1"/>
  <c r="DB179" i="5"/>
  <c r="CY179" i="5"/>
  <c r="DF179" i="5"/>
  <c r="DD179" i="5"/>
  <c r="DE179" i="5"/>
  <c r="BI179" i="5"/>
  <c r="DC179" i="5"/>
  <c r="BH179" i="5"/>
  <c r="DA179" i="5"/>
  <c r="BG179" i="5"/>
  <c r="CZ179" i="5"/>
  <c r="BF179" i="5"/>
  <c r="CX179" i="5"/>
  <c r="BE179" i="5"/>
  <c r="CW179" i="5"/>
  <c r="BP179" i="5"/>
  <c r="BO179" i="5"/>
  <c r="BN179" i="5"/>
  <c r="BR179" i="5" s="1"/>
  <c r="BM179" i="5"/>
  <c r="BL179" i="5"/>
  <c r="CV179" i="5"/>
  <c r="CU179" i="5"/>
  <c r="BK179" i="5"/>
  <c r="BJ179" i="5"/>
  <c r="CT14" i="5"/>
  <c r="BS14" i="5" a="1"/>
  <c r="CU14" i="5"/>
  <c r="DE14" i="5"/>
  <c r="CY14" i="5"/>
  <c r="BI14" i="5"/>
  <c r="CX14" i="5"/>
  <c r="BH14" i="5"/>
  <c r="DC14" i="5"/>
  <c r="DB14" i="5"/>
  <c r="BP14" i="5"/>
  <c r="DA14" i="5"/>
  <c r="BO14" i="5"/>
  <c r="CZ14" i="5"/>
  <c r="BJ14" i="5"/>
  <c r="BG14" i="5"/>
  <c r="BF14" i="5"/>
  <c r="BE14" i="5"/>
  <c r="DD14" i="5"/>
  <c r="CW14" i="5"/>
  <c r="BN14" i="5"/>
  <c r="BM14" i="5"/>
  <c r="BL14" i="5"/>
  <c r="BK14" i="5"/>
  <c r="DF14" i="5"/>
  <c r="CV14" i="5"/>
  <c r="CT26" i="5"/>
  <c r="CU26" i="5"/>
  <c r="DE26" i="5"/>
  <c r="DC26" i="5"/>
  <c r="BI26" i="5"/>
  <c r="DB26" i="5"/>
  <c r="BH26" i="5"/>
  <c r="BG26" i="5"/>
  <c r="BF26" i="5"/>
  <c r="BE26" i="5"/>
  <c r="CV26" i="5"/>
  <c r="BK26" i="5"/>
  <c r="BJ26" i="5"/>
  <c r="DF26" i="5"/>
  <c r="DA26" i="5"/>
  <c r="BO26" i="5"/>
  <c r="CY26" i="5"/>
  <c r="BN26" i="5"/>
  <c r="CX26" i="5"/>
  <c r="BM26" i="5"/>
  <c r="CW26" i="5"/>
  <c r="BL26" i="5"/>
  <c r="DD26" i="5"/>
  <c r="BP26" i="5"/>
  <c r="CZ26" i="5"/>
  <c r="CT61" i="5"/>
  <c r="BS61" i="5" a="1"/>
  <c r="DB61" i="5"/>
  <c r="CU61" i="5"/>
  <c r="DF61" i="5"/>
  <c r="CY61" i="5"/>
  <c r="BI61" i="5"/>
  <c r="CX61" i="5"/>
  <c r="BH61" i="5"/>
  <c r="BP61" i="5"/>
  <c r="BO61" i="5"/>
  <c r="DE61" i="5"/>
  <c r="DD61" i="5"/>
  <c r="BJ61" i="5"/>
  <c r="DC61" i="5"/>
  <c r="BG61" i="5"/>
  <c r="DA61" i="5"/>
  <c r="BF61" i="5"/>
  <c r="CZ61" i="5"/>
  <c r="BE61" i="5"/>
  <c r="CW61" i="5"/>
  <c r="BM61" i="5"/>
  <c r="BL61" i="5"/>
  <c r="CV61" i="5"/>
  <c r="BN61" i="5"/>
  <c r="BK61" i="5"/>
  <c r="CT85" i="5"/>
  <c r="BS85" i="5" a="1"/>
  <c r="DB85" i="5"/>
  <c r="O42" i="23" s="1"/>
  <c r="CZ85" i="5"/>
  <c r="O44" i="23" s="1"/>
  <c r="CX85" i="5"/>
  <c r="O46" i="23" s="1"/>
  <c r="CY85" i="5"/>
  <c r="O45" i="23" s="1"/>
  <c r="BI85" i="5"/>
  <c r="CW85" i="5"/>
  <c r="O47" i="23" s="1"/>
  <c r="BH85" i="5"/>
  <c r="BO85" i="5"/>
  <c r="BN85" i="5"/>
  <c r="BM85" i="5"/>
  <c r="DC85" i="5"/>
  <c r="DA85" i="5"/>
  <c r="O43" i="23" s="1"/>
  <c r="BP85" i="5"/>
  <c r="CV85" i="5"/>
  <c r="O48" i="23" s="1"/>
  <c r="BL85" i="5"/>
  <c r="CU85" i="5"/>
  <c r="BK85" i="5"/>
  <c r="DF85" i="5"/>
  <c r="O38" i="23" s="1"/>
  <c r="DE85" i="5"/>
  <c r="O39" i="23" s="1"/>
  <c r="BJ85" i="5"/>
  <c r="BG85" i="5"/>
  <c r="BF85" i="5"/>
  <c r="BE85" i="5"/>
  <c r="DD85" i="5"/>
  <c r="CT96" i="5"/>
  <c r="BS96" i="5" a="1"/>
  <c r="DB96" i="5"/>
  <c r="W42" i="23" s="1"/>
  <c r="CW96" i="5"/>
  <c r="W47" i="23" s="1"/>
  <c r="CU96" i="5"/>
  <c r="DA96" i="5"/>
  <c r="W43" i="23" s="1"/>
  <c r="BI96" i="5"/>
  <c r="CZ96" i="5"/>
  <c r="W44" i="23" s="1"/>
  <c r="BH96" i="5"/>
  <c r="CY96" i="5"/>
  <c r="W45" i="23" s="1"/>
  <c r="BG96" i="5"/>
  <c r="CX96" i="5"/>
  <c r="W46" i="23" s="1"/>
  <c r="BF96" i="5"/>
  <c r="CV96" i="5"/>
  <c r="W48" i="23" s="1"/>
  <c r="BE96" i="5"/>
  <c r="DF96" i="5"/>
  <c r="W38" i="23" s="1"/>
  <c r="DE96" i="5"/>
  <c r="W39" i="23" s="1"/>
  <c r="DD96" i="5"/>
  <c r="DC96" i="5"/>
  <c r="BP96" i="5"/>
  <c r="BK96" i="5"/>
  <c r="BJ96" i="5"/>
  <c r="BO96" i="5"/>
  <c r="BN96" i="5"/>
  <c r="BR96" i="5" s="1"/>
  <c r="BM96" i="5"/>
  <c r="BL96" i="5"/>
  <c r="CT108" i="5"/>
  <c r="BS108" i="5" a="1"/>
  <c r="DB108" i="5"/>
  <c r="AG42" i="23" s="1"/>
  <c r="CU108" i="5"/>
  <c r="DF108" i="5"/>
  <c r="AG38" i="23" s="1"/>
  <c r="BI108" i="5"/>
  <c r="DE108" i="5"/>
  <c r="AG39" i="23" s="1"/>
  <c r="BH108" i="5"/>
  <c r="BP108" i="5"/>
  <c r="BO108" i="5"/>
  <c r="CY108" i="5"/>
  <c r="AG45" i="23" s="1"/>
  <c r="CX108" i="5"/>
  <c r="AG46" i="23" s="1"/>
  <c r="CW108" i="5"/>
  <c r="AG47" i="23" s="1"/>
  <c r="BN108" i="5"/>
  <c r="CV108" i="5"/>
  <c r="AG48" i="23" s="1"/>
  <c r="BM108" i="5"/>
  <c r="BL108" i="5"/>
  <c r="DD108" i="5"/>
  <c r="DC108" i="5"/>
  <c r="BE108" i="5"/>
  <c r="DA108" i="5"/>
  <c r="AG43" i="23" s="1"/>
  <c r="BK108" i="5"/>
  <c r="BJ108" i="5"/>
  <c r="BG108" i="5"/>
  <c r="BF108" i="5"/>
  <c r="CZ108" i="5"/>
  <c r="AG44" i="23" s="1"/>
  <c r="CT120" i="5"/>
  <c r="BS120" i="5" a="1"/>
  <c r="DB120" i="5"/>
  <c r="AP42" i="23" s="1"/>
  <c r="DE120" i="5"/>
  <c r="AP39" i="23" s="1"/>
  <c r="DC120" i="5"/>
  <c r="BI120" i="5"/>
  <c r="BH120" i="5"/>
  <c r="CX120" i="5"/>
  <c r="AP46" i="23" s="1"/>
  <c r="BK120" i="5"/>
  <c r="CW120" i="5"/>
  <c r="AP47" i="23" s="1"/>
  <c r="BJ120" i="5"/>
  <c r="CV120" i="5"/>
  <c r="AP48" i="23" s="1"/>
  <c r="BG120" i="5"/>
  <c r="CU120" i="5"/>
  <c r="DD120" i="5"/>
  <c r="BE120" i="5"/>
  <c r="DA120" i="5"/>
  <c r="AP43" i="23" s="1"/>
  <c r="CZ120" i="5"/>
  <c r="AP44" i="23" s="1"/>
  <c r="CY120" i="5"/>
  <c r="AP45" i="23" s="1"/>
  <c r="BL120" i="5"/>
  <c r="BP120" i="5"/>
  <c r="BO120" i="5"/>
  <c r="BN120" i="5"/>
  <c r="BR120" i="5" s="1"/>
  <c r="BM120" i="5"/>
  <c r="DF120" i="5"/>
  <c r="AP38" i="23" s="1"/>
  <c r="BF120" i="5"/>
  <c r="CT132" i="5"/>
  <c r="BS132" i="5" a="1"/>
  <c r="DB132" i="5"/>
  <c r="BA42" i="23" s="1"/>
  <c r="CY132" i="5"/>
  <c r="BA45" i="23" s="1"/>
  <c r="DF132" i="5"/>
  <c r="BA38" i="23" s="1"/>
  <c r="DD132" i="5"/>
  <c r="DE132" i="5"/>
  <c r="BA39" i="23" s="1"/>
  <c r="BI132" i="5"/>
  <c r="DC132" i="5"/>
  <c r="BH132" i="5"/>
  <c r="CX132" i="5"/>
  <c r="BA46" i="23" s="1"/>
  <c r="BG132" i="5"/>
  <c r="CW132" i="5"/>
  <c r="BA47" i="23" s="1"/>
  <c r="BF132" i="5"/>
  <c r="CV132" i="5"/>
  <c r="BA48" i="23" s="1"/>
  <c r="BE132" i="5"/>
  <c r="CU132" i="5"/>
  <c r="BK132" i="5"/>
  <c r="BJ132" i="5"/>
  <c r="DA132" i="5"/>
  <c r="BA43" i="23" s="1"/>
  <c r="CZ132" i="5"/>
  <c r="BA44" i="23" s="1"/>
  <c r="BO132" i="5"/>
  <c r="BN132" i="5"/>
  <c r="BL132" i="5"/>
  <c r="BP132" i="5"/>
  <c r="BM132" i="5"/>
  <c r="CT144" i="5"/>
  <c r="BS144" i="5" a="1"/>
  <c r="DB144" i="5"/>
  <c r="BK42" i="23" s="1"/>
  <c r="CY144" i="5"/>
  <c r="BK45" i="23" s="1"/>
  <c r="DA144" i="5"/>
  <c r="BK43" i="23" s="1"/>
  <c r="CX144" i="5"/>
  <c r="BK46" i="23" s="1"/>
  <c r="DF144" i="5"/>
  <c r="BK38" i="23" s="1"/>
  <c r="BI144" i="5"/>
  <c r="DE144" i="5"/>
  <c r="BK39" i="23" s="1"/>
  <c r="BH144" i="5"/>
  <c r="DD144" i="5"/>
  <c r="DC144" i="5"/>
  <c r="BP144" i="5"/>
  <c r="CZ144" i="5"/>
  <c r="BK44" i="23" s="1"/>
  <c r="BO144" i="5"/>
  <c r="CW144" i="5"/>
  <c r="BK47" i="23" s="1"/>
  <c r="BE144" i="5"/>
  <c r="BN144" i="5"/>
  <c r="BM144" i="5"/>
  <c r="CV144" i="5"/>
  <c r="BK48" i="23" s="1"/>
  <c r="BK144" i="5"/>
  <c r="CU144" i="5"/>
  <c r="BJ144" i="5"/>
  <c r="BF144" i="5"/>
  <c r="BL144" i="5"/>
  <c r="BG144" i="5"/>
  <c r="CT168" i="5"/>
  <c r="BS168" i="5" a="1"/>
  <c r="DB168" i="5"/>
  <c r="CB42" i="23" s="1"/>
  <c r="CY168" i="5"/>
  <c r="CB45" i="23" s="1"/>
  <c r="CX168" i="5"/>
  <c r="CB46" i="23" s="1"/>
  <c r="CV168" i="5"/>
  <c r="CB48" i="23" s="1"/>
  <c r="BI168" i="5"/>
  <c r="BH168" i="5"/>
  <c r="DF168" i="5"/>
  <c r="CB38" i="23" s="1"/>
  <c r="BO168" i="5"/>
  <c r="DE168" i="5"/>
  <c r="CB39" i="23" s="1"/>
  <c r="BN168" i="5"/>
  <c r="DD168" i="5"/>
  <c r="BM168" i="5"/>
  <c r="DC168" i="5"/>
  <c r="DA168" i="5"/>
  <c r="CB43" i="23" s="1"/>
  <c r="BK168" i="5"/>
  <c r="CZ168" i="5"/>
  <c r="CB44" i="23" s="1"/>
  <c r="BJ168" i="5"/>
  <c r="CW168" i="5"/>
  <c r="CB47" i="23" s="1"/>
  <c r="BG168" i="5"/>
  <c r="CU168" i="5"/>
  <c r="BF168" i="5"/>
  <c r="BP168" i="5"/>
  <c r="BL168" i="5"/>
  <c r="BE168" i="5"/>
  <c r="CT180" i="5"/>
  <c r="BS180" i="5" a="1"/>
  <c r="DB180" i="5"/>
  <c r="CL42" i="23" s="1"/>
  <c r="CY180" i="5"/>
  <c r="CL45" i="23" s="1"/>
  <c r="DF180" i="5"/>
  <c r="CL38" i="23" s="1"/>
  <c r="BI180" i="5"/>
  <c r="BH180" i="5"/>
  <c r="BK180" i="5"/>
  <c r="BJ180" i="5"/>
  <c r="BG180" i="5"/>
  <c r="DE180" i="5"/>
  <c r="CL39" i="23" s="1"/>
  <c r="DD180" i="5"/>
  <c r="BE180" i="5"/>
  <c r="DC180" i="5"/>
  <c r="DA180" i="5"/>
  <c r="CL43" i="23" s="1"/>
  <c r="CZ180" i="5"/>
  <c r="CL44" i="23" s="1"/>
  <c r="BP180" i="5"/>
  <c r="CU180" i="5"/>
  <c r="BO180" i="5"/>
  <c r="BN180" i="5"/>
  <c r="BM180" i="5"/>
  <c r="BL180" i="5"/>
  <c r="BF180" i="5"/>
  <c r="CX180" i="5"/>
  <c r="CL46" i="23" s="1"/>
  <c r="CW180" i="5"/>
  <c r="CL47" i="23" s="1"/>
  <c r="CV180" i="5"/>
  <c r="CL48" i="23" s="1"/>
  <c r="CT191" i="5"/>
  <c r="BS191" i="5" a="1"/>
  <c r="DB191" i="5"/>
  <c r="CU42" i="23" s="1"/>
  <c r="CY191" i="5"/>
  <c r="CU45" i="23" s="1"/>
  <c r="DA191" i="5"/>
  <c r="CU43" i="23" s="1"/>
  <c r="CX191" i="5"/>
  <c r="CU46" i="23" s="1"/>
  <c r="DF191" i="5"/>
  <c r="CU38" i="23" s="1"/>
  <c r="BI191" i="5"/>
  <c r="DE191" i="5"/>
  <c r="CU39" i="23" s="1"/>
  <c r="BH191" i="5"/>
  <c r="BP191" i="5"/>
  <c r="DD191" i="5"/>
  <c r="BO191" i="5"/>
  <c r="DC191" i="5"/>
  <c r="BN191" i="5"/>
  <c r="BM191" i="5"/>
  <c r="BL191" i="5"/>
  <c r="BK191" i="5"/>
  <c r="BG191" i="5"/>
  <c r="CZ191" i="5"/>
  <c r="CU44" i="23" s="1"/>
  <c r="CW191" i="5"/>
  <c r="CU47" i="23" s="1"/>
  <c r="CV191" i="5"/>
  <c r="CU48" i="23" s="1"/>
  <c r="BJ191" i="5"/>
  <c r="BF191" i="5"/>
  <c r="BE191" i="5"/>
  <c r="CU191" i="5"/>
  <c r="CT203" i="5"/>
  <c r="BS203" i="5" a="1"/>
  <c r="DB203" i="5"/>
  <c r="DF42" i="23" s="1"/>
  <c r="CY203" i="5"/>
  <c r="DF45" i="23" s="1"/>
  <c r="CX203" i="5"/>
  <c r="DF46" i="23" s="1"/>
  <c r="CV203" i="5"/>
  <c r="DF48" i="23" s="1"/>
  <c r="BO203" i="5"/>
  <c r="BK203" i="5"/>
  <c r="BJ203" i="5"/>
  <c r="DA203" i="5"/>
  <c r="DF43" i="23" s="1"/>
  <c r="CZ203" i="5"/>
  <c r="DF44" i="23" s="1"/>
  <c r="CW203" i="5"/>
  <c r="DF47" i="23" s="1"/>
  <c r="BP203" i="5"/>
  <c r="CU203" i="5"/>
  <c r="BN203" i="5"/>
  <c r="BR203" i="5" s="1"/>
  <c r="BM203" i="5"/>
  <c r="BL203" i="5"/>
  <c r="BI203" i="5"/>
  <c r="BG203" i="5"/>
  <c r="DC203" i="5"/>
  <c r="BE203" i="5"/>
  <c r="DF203" i="5"/>
  <c r="DF38" i="23" s="1"/>
  <c r="BH203" i="5"/>
  <c r="DE203" i="5"/>
  <c r="DF39" i="23" s="1"/>
  <c r="DD203" i="5"/>
  <c r="BF203" i="5"/>
  <c r="CT225" i="5"/>
  <c r="BS225" i="5" a="1"/>
  <c r="DB225" i="5"/>
  <c r="DU42" i="23" s="1"/>
  <c r="CY225" i="5"/>
  <c r="DU45" i="23" s="1"/>
  <c r="DF225" i="5"/>
  <c r="DU38" i="23" s="1"/>
  <c r="DD225" i="5"/>
  <c r="BO225" i="5"/>
  <c r="DE225" i="5"/>
  <c r="DU39" i="23" s="1"/>
  <c r="BN225" i="5"/>
  <c r="BR225" i="5" s="1"/>
  <c r="DC225" i="5"/>
  <c r="BM225" i="5"/>
  <c r="BJ225" i="5"/>
  <c r="BI225" i="5"/>
  <c r="DA225" i="5"/>
  <c r="DU43" i="23" s="1"/>
  <c r="BH225" i="5"/>
  <c r="CZ225" i="5"/>
  <c r="DU44" i="23" s="1"/>
  <c r="BG225" i="5"/>
  <c r="BL225" i="5"/>
  <c r="CX225" i="5"/>
  <c r="DU46" i="23" s="1"/>
  <c r="CW225" i="5"/>
  <c r="DU47" i="23" s="1"/>
  <c r="CV225" i="5"/>
  <c r="DU48" i="23" s="1"/>
  <c r="BP225" i="5"/>
  <c r="BK225" i="5"/>
  <c r="BF225" i="5"/>
  <c r="BE225" i="5"/>
  <c r="CU225" i="5"/>
  <c r="B29" i="1"/>
  <c r="BC70" i="5"/>
  <c r="AJ58" i="5"/>
  <c r="CT21" i="5"/>
  <c r="CU21" i="5"/>
  <c r="DE21" i="5"/>
  <c r="CW21" i="5"/>
  <c r="BI21" i="5"/>
  <c r="CV21" i="5"/>
  <c r="BH21" i="5"/>
  <c r="BO21" i="5"/>
  <c r="BN21" i="5"/>
  <c r="BM21" i="5"/>
  <c r="DB21" i="5"/>
  <c r="BF21" i="5"/>
  <c r="DA21" i="5"/>
  <c r="BE21" i="5"/>
  <c r="CZ21" i="5"/>
  <c r="CY21" i="5"/>
  <c r="CX21" i="5"/>
  <c r="BL21" i="5"/>
  <c r="BK21" i="5"/>
  <c r="BJ21" i="5"/>
  <c r="BG21" i="5"/>
  <c r="BP21" i="5"/>
  <c r="DF21" i="5"/>
  <c r="DD21" i="5"/>
  <c r="DC21" i="5"/>
  <c r="CT33" i="5"/>
  <c r="CU33" i="5"/>
  <c r="DE33" i="5"/>
  <c r="CW33" i="5"/>
  <c r="BI33" i="5"/>
  <c r="CV33" i="5"/>
  <c r="BH33" i="5"/>
  <c r="BO33" i="5"/>
  <c r="BN33" i="5"/>
  <c r="BR33" i="5" s="1"/>
  <c r="DF33" i="5"/>
  <c r="BM33" i="5"/>
  <c r="DD33" i="5"/>
  <c r="DH33" i="5" s="1"/>
  <c r="DC33" i="5"/>
  <c r="BK33" i="5"/>
  <c r="DB33" i="5"/>
  <c r="BJ33" i="5"/>
  <c r="DA33" i="5"/>
  <c r="BG33" i="5"/>
  <c r="CZ33" i="5"/>
  <c r="BF33" i="5"/>
  <c r="CY33" i="5"/>
  <c r="BE33" i="5"/>
  <c r="CX33" i="5"/>
  <c r="BP33" i="5"/>
  <c r="BL33" i="5"/>
  <c r="CT45" i="5"/>
  <c r="CU45" i="5"/>
  <c r="DE45" i="5"/>
  <c r="DC45" i="5"/>
  <c r="BI45" i="5"/>
  <c r="DB45" i="5"/>
  <c r="BH45" i="5"/>
  <c r="DF45" i="5"/>
  <c r="BG45" i="5"/>
  <c r="DD45" i="5"/>
  <c r="DH45" i="5" s="1"/>
  <c r="BF45" i="5"/>
  <c r="DA45" i="5"/>
  <c r="BE45" i="5"/>
  <c r="CZ45" i="5"/>
  <c r="CY45" i="5"/>
  <c r="CX45" i="5"/>
  <c r="BP45" i="5"/>
  <c r="CW45" i="5"/>
  <c r="BO45" i="5"/>
  <c r="CV45" i="5"/>
  <c r="BN45" i="5"/>
  <c r="BR45" i="5" s="1"/>
  <c r="BK45" i="5"/>
  <c r="BJ45" i="5"/>
  <c r="BM45" i="5"/>
  <c r="BL45" i="5"/>
  <c r="CT68" i="5"/>
  <c r="DB68" i="5"/>
  <c r="DC68" i="5"/>
  <c r="CZ68" i="5"/>
  <c r="BI68" i="5"/>
  <c r="BH68" i="5"/>
  <c r="DA68" i="5"/>
  <c r="BE68" i="5"/>
  <c r="CY68" i="5"/>
  <c r="CX68" i="5"/>
  <c r="CW68" i="5"/>
  <c r="DF68" i="5"/>
  <c r="DE68" i="5"/>
  <c r="BP68" i="5"/>
  <c r="DD68" i="5"/>
  <c r="DH68" i="5" s="1"/>
  <c r="BO68" i="5"/>
  <c r="BN68" i="5"/>
  <c r="BR68" i="5" s="1"/>
  <c r="BG68" i="5"/>
  <c r="BF68" i="5"/>
  <c r="CV68" i="5"/>
  <c r="CU68" i="5"/>
  <c r="BM68" i="5"/>
  <c r="BL68" i="5"/>
  <c r="BK68" i="5"/>
  <c r="BJ68" i="5"/>
  <c r="CT80" i="5"/>
  <c r="BS80" i="5" a="1"/>
  <c r="DB80" i="5"/>
  <c r="J42" i="23" s="1"/>
  <c r="CU80" i="5"/>
  <c r="DF80" i="5"/>
  <c r="J38" i="23" s="1"/>
  <c r="CW80" i="5"/>
  <c r="J47" i="23" s="1"/>
  <c r="BI80" i="5"/>
  <c r="CV80" i="5"/>
  <c r="J48" i="23" s="1"/>
  <c r="BH80" i="5"/>
  <c r="CY80" i="5"/>
  <c r="J45" i="23" s="1"/>
  <c r="CX80" i="5"/>
  <c r="J46" i="23" s="1"/>
  <c r="BP80" i="5"/>
  <c r="BO80" i="5"/>
  <c r="DD80" i="5"/>
  <c r="DC80" i="5"/>
  <c r="DA80" i="5"/>
  <c r="J43" i="23" s="1"/>
  <c r="BN80" i="5"/>
  <c r="BR80" i="5" s="1"/>
  <c r="CZ80" i="5"/>
  <c r="J44" i="23" s="1"/>
  <c r="BM80" i="5"/>
  <c r="BL80" i="5"/>
  <c r="BK80" i="5"/>
  <c r="BJ80" i="5"/>
  <c r="BG80" i="5"/>
  <c r="BF80" i="5"/>
  <c r="BE80" i="5"/>
  <c r="DE80" i="5"/>
  <c r="J39" i="23" s="1"/>
  <c r="CT91" i="5"/>
  <c r="BS91" i="5" a="1"/>
  <c r="DB91" i="5"/>
  <c r="DE91" i="5"/>
  <c r="DC91" i="5"/>
  <c r="CX91" i="5"/>
  <c r="BI91" i="5"/>
  <c r="CW91" i="5"/>
  <c r="BH91" i="5"/>
  <c r="DD91" i="5"/>
  <c r="BK91" i="5"/>
  <c r="DA91" i="5"/>
  <c r="BJ91" i="5"/>
  <c r="CZ91" i="5"/>
  <c r="BG91" i="5"/>
  <c r="CY91" i="5"/>
  <c r="BE91" i="5"/>
  <c r="DF91" i="5"/>
  <c r="BP91" i="5"/>
  <c r="BO91" i="5"/>
  <c r="BN91" i="5"/>
  <c r="BR91" i="5" s="1"/>
  <c r="BF91" i="5"/>
  <c r="CV91" i="5"/>
  <c r="CU91" i="5"/>
  <c r="BM91" i="5"/>
  <c r="BL91" i="5"/>
  <c r="CT139" i="5"/>
  <c r="BS139" i="5" a="1"/>
  <c r="DB139" i="5"/>
  <c r="CY139" i="5"/>
  <c r="DD139" i="5"/>
  <c r="DA139" i="5"/>
  <c r="CV139" i="5"/>
  <c r="BI139" i="5"/>
  <c r="CU139" i="5"/>
  <c r="BH139" i="5"/>
  <c r="DC139" i="5"/>
  <c r="BE139" i="5"/>
  <c r="CZ139" i="5"/>
  <c r="CX139" i="5"/>
  <c r="CW139" i="5"/>
  <c r="BG139" i="5"/>
  <c r="BF139" i="5"/>
  <c r="DF139" i="5"/>
  <c r="DE139" i="5"/>
  <c r="BN139" i="5"/>
  <c r="BR139" i="5" s="1"/>
  <c r="BK139" i="5"/>
  <c r="BP139" i="5"/>
  <c r="BO139" i="5"/>
  <c r="BM139" i="5"/>
  <c r="BL139" i="5"/>
  <c r="BJ139" i="5"/>
  <c r="CT151" i="5"/>
  <c r="BS151" i="5" a="1"/>
  <c r="DB151" i="5"/>
  <c r="CY151" i="5"/>
  <c r="CX151" i="5"/>
  <c r="CV151" i="5"/>
  <c r="CW151" i="5"/>
  <c r="BI151" i="5"/>
  <c r="CU151" i="5"/>
  <c r="BH151" i="5"/>
  <c r="DF151" i="5"/>
  <c r="BO151" i="5"/>
  <c r="DE151" i="5"/>
  <c r="BN151" i="5"/>
  <c r="DD151" i="5"/>
  <c r="BM151" i="5"/>
  <c r="DC151" i="5"/>
  <c r="BP151" i="5"/>
  <c r="BJ151" i="5"/>
  <c r="DA151" i="5"/>
  <c r="CZ151" i="5"/>
  <c r="BE151" i="5"/>
  <c r="BL151" i="5"/>
  <c r="BK151" i="5"/>
  <c r="BG151" i="5"/>
  <c r="BF151" i="5"/>
  <c r="CT175" i="5"/>
  <c r="BS175" i="5" a="1"/>
  <c r="DB175" i="5"/>
  <c r="CH42" i="23" s="1"/>
  <c r="CY175" i="5"/>
  <c r="CH45" i="23" s="1"/>
  <c r="CX175" i="5"/>
  <c r="CH46" i="23" s="1"/>
  <c r="CV175" i="5"/>
  <c r="CH48" i="23" s="1"/>
  <c r="DF175" i="5"/>
  <c r="CH38" i="23" s="1"/>
  <c r="BI175" i="5"/>
  <c r="DE175" i="5"/>
  <c r="CH39" i="23" s="1"/>
  <c r="BH175" i="5"/>
  <c r="CW175" i="5"/>
  <c r="CH47" i="23" s="1"/>
  <c r="BO175" i="5"/>
  <c r="CU175" i="5"/>
  <c r="BN175" i="5"/>
  <c r="BM175" i="5"/>
  <c r="BP175" i="5"/>
  <c r="BL175" i="5"/>
  <c r="BK175" i="5"/>
  <c r="BG175" i="5"/>
  <c r="DC175" i="5"/>
  <c r="CZ175" i="5"/>
  <c r="CH44" i="23" s="1"/>
  <c r="BJ175" i="5"/>
  <c r="BF175" i="5"/>
  <c r="BE175" i="5"/>
  <c r="DD175" i="5"/>
  <c r="DA175" i="5"/>
  <c r="CH43" i="23" s="1"/>
  <c r="CT186" i="5"/>
  <c r="BS186" i="5" a="1"/>
  <c r="DB186" i="5"/>
  <c r="CQ42" i="23" s="1"/>
  <c r="CY186" i="5"/>
  <c r="CQ45" i="23" s="1"/>
  <c r="DF186" i="5"/>
  <c r="CQ38" i="23" s="1"/>
  <c r="DD186" i="5"/>
  <c r="DA186" i="5"/>
  <c r="CQ43" i="23" s="1"/>
  <c r="BI186" i="5"/>
  <c r="CZ186" i="5"/>
  <c r="CQ44" i="23" s="1"/>
  <c r="BH186" i="5"/>
  <c r="BG186" i="5"/>
  <c r="BF186" i="5"/>
  <c r="BE186" i="5"/>
  <c r="DE186" i="5"/>
  <c r="CQ39" i="23" s="1"/>
  <c r="DC186" i="5"/>
  <c r="BO186" i="5"/>
  <c r="CU186" i="5"/>
  <c r="CX186" i="5"/>
  <c r="CQ46" i="23" s="1"/>
  <c r="BP186" i="5"/>
  <c r="CW186" i="5"/>
  <c r="CQ47" i="23" s="1"/>
  <c r="CV186" i="5"/>
  <c r="CQ48" i="23" s="1"/>
  <c r="BN186" i="5"/>
  <c r="BM186" i="5"/>
  <c r="BL186" i="5"/>
  <c r="BK186" i="5"/>
  <c r="BJ186" i="5"/>
  <c r="CT198" i="5"/>
  <c r="BS198" i="5" a="1"/>
  <c r="DB198" i="5"/>
  <c r="DA42" i="23" s="1"/>
  <c r="CY198" i="5"/>
  <c r="DA45" i="23" s="1"/>
  <c r="DA198" i="5"/>
  <c r="DA43" i="23" s="1"/>
  <c r="CX198" i="5"/>
  <c r="DA46" i="23" s="1"/>
  <c r="DD198" i="5"/>
  <c r="BI198" i="5"/>
  <c r="DC198" i="5"/>
  <c r="BH198" i="5"/>
  <c r="CV198" i="5"/>
  <c r="DA48" i="23" s="1"/>
  <c r="CU198" i="5"/>
  <c r="BP198" i="5"/>
  <c r="BO198" i="5"/>
  <c r="BN198" i="5"/>
  <c r="BJ198" i="5"/>
  <c r="BG198" i="5"/>
  <c r="BF198" i="5"/>
  <c r="BE198" i="5"/>
  <c r="CW198" i="5"/>
  <c r="DA47" i="23" s="1"/>
  <c r="BK198" i="5"/>
  <c r="DF198" i="5"/>
  <c r="DA38" i="23" s="1"/>
  <c r="DE198" i="5"/>
  <c r="DA39" i="23" s="1"/>
  <c r="CZ198" i="5"/>
  <c r="DA44" i="23" s="1"/>
  <c r="BM198" i="5"/>
  <c r="BL198" i="5"/>
  <c r="CT210" i="5"/>
  <c r="BS210" i="5" a="1"/>
  <c r="DB210" i="5"/>
  <c r="CY210" i="5"/>
  <c r="CV210" i="5"/>
  <c r="BO210" i="5"/>
  <c r="DD210" i="5"/>
  <c r="DC210" i="5"/>
  <c r="BP210" i="5"/>
  <c r="DA210" i="5"/>
  <c r="BF210" i="5"/>
  <c r="CZ210" i="5"/>
  <c r="BE210" i="5"/>
  <c r="CX210" i="5"/>
  <c r="CW210" i="5"/>
  <c r="BG210" i="5"/>
  <c r="BM210" i="5"/>
  <c r="DE210" i="5"/>
  <c r="CU210" i="5"/>
  <c r="BI210" i="5"/>
  <c r="BH210" i="5"/>
  <c r="BN210" i="5"/>
  <c r="BR210" i="5" s="1"/>
  <c r="DF210" i="5"/>
  <c r="BL210" i="5"/>
  <c r="BK210" i="5"/>
  <c r="BJ210" i="5"/>
  <c r="CT220" i="5"/>
  <c r="BS220" i="5" a="1"/>
  <c r="DB220" i="5"/>
  <c r="CY220" i="5"/>
  <c r="CV220" i="5"/>
  <c r="BO220" i="5"/>
  <c r="DA220" i="5"/>
  <c r="BJ220" i="5"/>
  <c r="CZ220" i="5"/>
  <c r="BI220" i="5"/>
  <c r="BL220" i="5"/>
  <c r="BK220" i="5"/>
  <c r="BH220" i="5"/>
  <c r="BG220" i="5"/>
  <c r="DF220" i="5"/>
  <c r="DE220" i="5"/>
  <c r="DD220" i="5"/>
  <c r="DH220" i="5" s="1"/>
  <c r="DC220" i="5"/>
  <c r="BN220" i="5"/>
  <c r="BR220" i="5" s="1"/>
  <c r="CX220" i="5"/>
  <c r="CW220" i="5"/>
  <c r="CU220" i="5"/>
  <c r="BP220" i="5"/>
  <c r="BM220" i="5"/>
  <c r="BF220" i="5"/>
  <c r="BE220" i="5"/>
  <c r="CT247" i="5"/>
  <c r="BS247" i="5" a="1"/>
  <c r="DB247" i="5"/>
  <c r="DA247" i="5"/>
  <c r="CY247" i="5"/>
  <c r="CW247" i="5"/>
  <c r="CV247" i="5"/>
  <c r="DF247" i="5"/>
  <c r="BE247" i="5"/>
  <c r="DD247" i="5"/>
  <c r="BO247" i="5"/>
  <c r="DE247" i="5"/>
  <c r="DC247" i="5"/>
  <c r="CZ247" i="5"/>
  <c r="CX247" i="5"/>
  <c r="CU247" i="5"/>
  <c r="BP247" i="5"/>
  <c r="BN247" i="5"/>
  <c r="BR247" i="5" s="1"/>
  <c r="BM247" i="5"/>
  <c r="BL247" i="5"/>
  <c r="BK247" i="5"/>
  <c r="BJ247" i="5"/>
  <c r="BH247" i="5"/>
  <c r="BI247" i="5"/>
  <c r="BG247" i="5"/>
  <c r="BF247" i="5"/>
  <c r="I29" i="1"/>
  <c r="I178" i="1"/>
  <c r="AY71" i="5"/>
  <c r="AY72" i="5" s="1"/>
  <c r="E17" i="23"/>
  <c r="AO21" i="1"/>
  <c r="L57" i="1"/>
  <c r="CT81" i="5"/>
  <c r="BS81" i="5" a="1"/>
  <c r="DB81" i="5"/>
  <c r="K42" i="23" s="1"/>
  <c r="CV81" i="5"/>
  <c r="K48" i="23" s="1"/>
  <c r="CZ81" i="5"/>
  <c r="K44" i="23" s="1"/>
  <c r="BI81" i="5"/>
  <c r="CY81" i="5"/>
  <c r="K45" i="23" s="1"/>
  <c r="BH81" i="5"/>
  <c r="DE81" i="5"/>
  <c r="K39" i="23" s="1"/>
  <c r="BE81" i="5"/>
  <c r="DD81" i="5"/>
  <c r="DC81" i="5"/>
  <c r="DA81" i="5"/>
  <c r="K43" i="23" s="1"/>
  <c r="BG81" i="5"/>
  <c r="BF81" i="5"/>
  <c r="DF81" i="5"/>
  <c r="K38" i="23" s="1"/>
  <c r="CX81" i="5"/>
  <c r="K46" i="23" s="1"/>
  <c r="CW81" i="5"/>
  <c r="K47" i="23" s="1"/>
  <c r="BL81" i="5"/>
  <c r="CU81" i="5"/>
  <c r="BK81" i="5"/>
  <c r="BP81" i="5"/>
  <c r="BO81" i="5"/>
  <c r="BN81" i="5"/>
  <c r="BM81" i="5"/>
  <c r="BJ81" i="5"/>
  <c r="CT92" i="5"/>
  <c r="BS92" i="5" a="1"/>
  <c r="DB92" i="5"/>
  <c r="S42" i="23" s="1"/>
  <c r="DF92" i="5"/>
  <c r="S38" i="23" s="1"/>
  <c r="DD92" i="5"/>
  <c r="DA92" i="5"/>
  <c r="S43" i="23" s="1"/>
  <c r="BI92" i="5"/>
  <c r="CZ92" i="5"/>
  <c r="S44" i="23" s="1"/>
  <c r="BH92" i="5"/>
  <c r="BM92" i="5"/>
  <c r="BL92" i="5"/>
  <c r="BK92" i="5"/>
  <c r="CW92" i="5"/>
  <c r="S47" i="23" s="1"/>
  <c r="BO92" i="5"/>
  <c r="CV92" i="5"/>
  <c r="S48" i="23" s="1"/>
  <c r="BN92" i="5"/>
  <c r="BR92" i="5" s="1"/>
  <c r="CU92" i="5"/>
  <c r="BJ92" i="5"/>
  <c r="BG92" i="5"/>
  <c r="BE92" i="5"/>
  <c r="DE92" i="5"/>
  <c r="S39" i="23" s="1"/>
  <c r="DC92" i="5"/>
  <c r="CY92" i="5"/>
  <c r="S45" i="23" s="1"/>
  <c r="BF92" i="5"/>
  <c r="CX92" i="5"/>
  <c r="S46" i="23" s="1"/>
  <c r="BP92" i="5"/>
  <c r="CT128" i="5"/>
  <c r="BS128" i="5" a="1"/>
  <c r="DB128" i="5"/>
  <c r="AX42" i="23" s="1"/>
  <c r="CZ128" i="5"/>
  <c r="AX44" i="23" s="1"/>
  <c r="CX128" i="5"/>
  <c r="AX46" i="23" s="1"/>
  <c r="BI128" i="5"/>
  <c r="DF128" i="5"/>
  <c r="AX38" i="23" s="1"/>
  <c r="BH128" i="5"/>
  <c r="CV128" i="5"/>
  <c r="AX48" i="23" s="1"/>
  <c r="BO128" i="5"/>
  <c r="CU128" i="5"/>
  <c r="BN128" i="5"/>
  <c r="BM128" i="5"/>
  <c r="BF128" i="5"/>
  <c r="BE128" i="5"/>
  <c r="BL128" i="5"/>
  <c r="BK128" i="5"/>
  <c r="CW128" i="5"/>
  <c r="AX47" i="23" s="1"/>
  <c r="BG128" i="5"/>
  <c r="DE128" i="5"/>
  <c r="AX39" i="23" s="1"/>
  <c r="DD128" i="5"/>
  <c r="BP128" i="5"/>
  <c r="DC128" i="5"/>
  <c r="DA128" i="5"/>
  <c r="AX43" i="23" s="1"/>
  <c r="CY128" i="5"/>
  <c r="AX45" i="23" s="1"/>
  <c r="BJ128" i="5"/>
  <c r="CT140" i="5"/>
  <c r="BS140" i="5" a="1"/>
  <c r="DB140" i="5"/>
  <c r="BG42" i="23" s="1"/>
  <c r="CY140" i="5"/>
  <c r="BG45" i="23" s="1"/>
  <c r="DF140" i="5"/>
  <c r="BG38" i="23" s="1"/>
  <c r="DD140" i="5"/>
  <c r="DA140" i="5"/>
  <c r="BG43" i="23" s="1"/>
  <c r="BI140" i="5"/>
  <c r="CZ140" i="5"/>
  <c r="BG44" i="23" s="1"/>
  <c r="BH140" i="5"/>
  <c r="BG140" i="5"/>
  <c r="BF140" i="5"/>
  <c r="BE140" i="5"/>
  <c r="DE140" i="5"/>
  <c r="BG39" i="23" s="1"/>
  <c r="BN140" i="5"/>
  <c r="DC140" i="5"/>
  <c r="BM140" i="5"/>
  <c r="CX140" i="5"/>
  <c r="BG46" i="23" s="1"/>
  <c r="BL140" i="5"/>
  <c r="CW140" i="5"/>
  <c r="BG47" i="23" s="1"/>
  <c r="BK140" i="5"/>
  <c r="CV140" i="5"/>
  <c r="BG48" i="23" s="1"/>
  <c r="BJ140" i="5"/>
  <c r="BO140" i="5"/>
  <c r="CU140" i="5"/>
  <c r="BP140" i="5"/>
  <c r="J13" i="1"/>
  <c r="J129" i="1"/>
  <c r="CT105" i="5"/>
  <c r="BS105" i="5" a="1"/>
  <c r="DB105" i="5"/>
  <c r="DE105" i="5"/>
  <c r="DC105" i="5"/>
  <c r="CV105" i="5"/>
  <c r="BI105" i="5"/>
  <c r="CU105" i="5"/>
  <c r="BH105" i="5"/>
  <c r="BK105" i="5"/>
  <c r="BJ105" i="5"/>
  <c r="BG105" i="5"/>
  <c r="DF105" i="5"/>
  <c r="DD105" i="5"/>
  <c r="BP105" i="5"/>
  <c r="DA105" i="5"/>
  <c r="BO105" i="5"/>
  <c r="CZ105" i="5"/>
  <c r="BN105" i="5"/>
  <c r="BR105" i="5" s="1"/>
  <c r="CY105" i="5"/>
  <c r="BM105" i="5"/>
  <c r="CX105" i="5"/>
  <c r="BL105" i="5"/>
  <c r="CW105" i="5"/>
  <c r="BF105" i="5"/>
  <c r="BE105" i="5"/>
  <c r="CT141" i="5"/>
  <c r="BS141" i="5" a="1"/>
  <c r="DB141" i="5"/>
  <c r="BH42" i="23" s="1"/>
  <c r="CY141" i="5"/>
  <c r="BH45" i="23" s="1"/>
  <c r="DF141" i="5"/>
  <c r="BH38" i="23" s="1"/>
  <c r="BI141" i="5"/>
  <c r="DE141" i="5"/>
  <c r="BH39" i="23" s="1"/>
  <c r="BH141" i="5"/>
  <c r="CX141" i="5"/>
  <c r="BH46" i="23" s="1"/>
  <c r="BK141" i="5"/>
  <c r="CW141" i="5"/>
  <c r="BH47" i="23" s="1"/>
  <c r="BJ141" i="5"/>
  <c r="CV141" i="5"/>
  <c r="BH48" i="23" s="1"/>
  <c r="BG141" i="5"/>
  <c r="CU141" i="5"/>
  <c r="BP141" i="5"/>
  <c r="BN141" i="5"/>
  <c r="BR141" i="5" s="1"/>
  <c r="BM141" i="5"/>
  <c r="BF141" i="5"/>
  <c r="DC141" i="5"/>
  <c r="BE141" i="5"/>
  <c r="CZ141" i="5"/>
  <c r="BH44" i="23" s="1"/>
  <c r="BO141" i="5"/>
  <c r="BL141" i="5"/>
  <c r="DD141" i="5"/>
  <c r="DA141" i="5"/>
  <c r="BH43" i="23" s="1"/>
  <c r="CT177" i="5"/>
  <c r="BS177" i="5" a="1"/>
  <c r="DB177" i="5"/>
  <c r="CJ42" i="23" s="1"/>
  <c r="CY177" i="5"/>
  <c r="CJ45" i="23" s="1"/>
  <c r="DD177" i="5"/>
  <c r="DA177" i="5"/>
  <c r="CJ43" i="23" s="1"/>
  <c r="CX177" i="5"/>
  <c r="CJ46" i="23" s="1"/>
  <c r="BI177" i="5"/>
  <c r="CW177" i="5"/>
  <c r="CJ47" i="23" s="1"/>
  <c r="BH177" i="5"/>
  <c r="BE177" i="5"/>
  <c r="DC177" i="5"/>
  <c r="BL177" i="5"/>
  <c r="CZ177" i="5"/>
  <c r="CJ44" i="23" s="1"/>
  <c r="BK177" i="5"/>
  <c r="CV177" i="5"/>
  <c r="CJ48" i="23" s="1"/>
  <c r="BJ177" i="5"/>
  <c r="CU177" i="5"/>
  <c r="BG177" i="5"/>
  <c r="DF177" i="5"/>
  <c r="CJ38" i="23" s="1"/>
  <c r="BM177" i="5"/>
  <c r="BF177" i="5"/>
  <c r="BP177" i="5"/>
  <c r="BO177" i="5"/>
  <c r="BN177" i="5"/>
  <c r="DE177" i="5"/>
  <c r="CJ39" i="23" s="1"/>
  <c r="CT200" i="5"/>
  <c r="BS200" i="5" a="1"/>
  <c r="DB200" i="5"/>
  <c r="DC42" i="23" s="1"/>
  <c r="CY200" i="5"/>
  <c r="DC45" i="23" s="1"/>
  <c r="DF200" i="5"/>
  <c r="DC38" i="23" s="1"/>
  <c r="DD200" i="5"/>
  <c r="CV200" i="5"/>
  <c r="DC48" i="23" s="1"/>
  <c r="BI200" i="5"/>
  <c r="CU200" i="5"/>
  <c r="BH200" i="5"/>
  <c r="BG200" i="5"/>
  <c r="BF200" i="5"/>
  <c r="BE200" i="5"/>
  <c r="BJ200" i="5"/>
  <c r="DE200" i="5"/>
  <c r="DC39" i="23" s="1"/>
  <c r="BP200" i="5"/>
  <c r="CZ200" i="5"/>
  <c r="DC44" i="23" s="1"/>
  <c r="BL200" i="5"/>
  <c r="CW200" i="5"/>
  <c r="DC47" i="23" s="1"/>
  <c r="BK200" i="5"/>
  <c r="DC200" i="5"/>
  <c r="BO200" i="5"/>
  <c r="DA200" i="5"/>
  <c r="DC43" i="23" s="1"/>
  <c r="BN200" i="5"/>
  <c r="BM200" i="5"/>
  <c r="CX200" i="5"/>
  <c r="DC46" i="23" s="1"/>
  <c r="K76" i="1"/>
  <c r="K90" i="1"/>
  <c r="K187" i="1"/>
  <c r="K193" i="1"/>
  <c r="AA23" i="1"/>
  <c r="AO19" i="1"/>
  <c r="CT94" i="5"/>
  <c r="BS94" i="5" a="1"/>
  <c r="DB94" i="5"/>
  <c r="U42" i="23" s="1"/>
  <c r="CU94" i="5"/>
  <c r="DF94" i="5"/>
  <c r="U38" i="23" s="1"/>
  <c r="BI94" i="5"/>
  <c r="BH94" i="5"/>
  <c r="DD94" i="5"/>
  <c r="DC94" i="5"/>
  <c r="BP94" i="5"/>
  <c r="DA94" i="5"/>
  <c r="U43" i="23" s="1"/>
  <c r="BO94" i="5"/>
  <c r="CZ94" i="5"/>
  <c r="U44" i="23" s="1"/>
  <c r="CY94" i="5"/>
  <c r="U45" i="23" s="1"/>
  <c r="BJ94" i="5"/>
  <c r="CX94" i="5"/>
  <c r="U46" i="23" s="1"/>
  <c r="BG94" i="5"/>
  <c r="CW94" i="5"/>
  <c r="U47" i="23" s="1"/>
  <c r="BF94" i="5"/>
  <c r="CV94" i="5"/>
  <c r="U48" i="23" s="1"/>
  <c r="BE94" i="5"/>
  <c r="BN94" i="5"/>
  <c r="BR94" i="5" s="1"/>
  <c r="DE94" i="5"/>
  <c r="U39" i="23" s="1"/>
  <c r="BK94" i="5"/>
  <c r="BM94" i="5"/>
  <c r="BL94" i="5"/>
  <c r="CT154" i="5"/>
  <c r="BS154" i="5" a="1"/>
  <c r="DB154" i="5"/>
  <c r="BS42" i="23" s="1"/>
  <c r="CY154" i="5"/>
  <c r="BS45" i="23" s="1"/>
  <c r="DF154" i="5"/>
  <c r="BS38" i="23" s="1"/>
  <c r="DD154" i="5"/>
  <c r="CV154" i="5"/>
  <c r="BS48" i="23" s="1"/>
  <c r="BI154" i="5"/>
  <c r="CU154" i="5"/>
  <c r="BH154" i="5"/>
  <c r="BG154" i="5"/>
  <c r="BF154" i="5"/>
  <c r="BE154" i="5"/>
  <c r="BP154" i="5"/>
  <c r="DA154" i="5"/>
  <c r="BS43" i="23" s="1"/>
  <c r="BM154" i="5"/>
  <c r="CW154" i="5"/>
  <c r="BS47" i="23" s="1"/>
  <c r="BJ154" i="5"/>
  <c r="DE154" i="5"/>
  <c r="BS39" i="23" s="1"/>
  <c r="DC154" i="5"/>
  <c r="BO154" i="5"/>
  <c r="BN154" i="5"/>
  <c r="CZ154" i="5"/>
  <c r="BS44" i="23" s="1"/>
  <c r="CX154" i="5"/>
  <c r="BS46" i="23" s="1"/>
  <c r="BL154" i="5"/>
  <c r="BK154" i="5"/>
  <c r="CT201" i="5"/>
  <c r="BS201" i="5" a="1"/>
  <c r="DB201" i="5"/>
  <c r="DD42" i="23" s="1"/>
  <c r="CY201" i="5"/>
  <c r="DD45" i="23" s="1"/>
  <c r="DF201" i="5"/>
  <c r="DD38" i="23" s="1"/>
  <c r="BO201" i="5"/>
  <c r="DA201" i="5"/>
  <c r="DD43" i="23" s="1"/>
  <c r="BI201" i="5"/>
  <c r="CZ201" i="5"/>
  <c r="DD44" i="23" s="1"/>
  <c r="BH201" i="5"/>
  <c r="DD201" i="5"/>
  <c r="BK201" i="5"/>
  <c r="DC201" i="5"/>
  <c r="BJ201" i="5"/>
  <c r="CX201" i="5"/>
  <c r="DD46" i="23" s="1"/>
  <c r="BG201" i="5"/>
  <c r="CW201" i="5"/>
  <c r="DD47" i="23" s="1"/>
  <c r="BF201" i="5"/>
  <c r="BP201" i="5"/>
  <c r="BN201" i="5"/>
  <c r="DE201" i="5"/>
  <c r="DD39" i="23" s="1"/>
  <c r="BM201" i="5"/>
  <c r="CV201" i="5"/>
  <c r="DD48" i="23" s="1"/>
  <c r="BL201" i="5"/>
  <c r="CU201" i="5"/>
  <c r="BE201" i="5"/>
  <c r="L29" i="1"/>
  <c r="L60" i="1"/>
  <c r="L129" i="1"/>
  <c r="CT167" i="5"/>
  <c r="BS167" i="5" a="1"/>
  <c r="DB167" i="5"/>
  <c r="CA42" i="23" s="1"/>
  <c r="CY167" i="5"/>
  <c r="CA45" i="23" s="1"/>
  <c r="CV167" i="5"/>
  <c r="CA48" i="23" s="1"/>
  <c r="DD167" i="5"/>
  <c r="BI167" i="5"/>
  <c r="DC167" i="5"/>
  <c r="BH167" i="5"/>
  <c r="CX167" i="5"/>
  <c r="CA46" i="23" s="1"/>
  <c r="BM167" i="5"/>
  <c r="CW167" i="5"/>
  <c r="CA47" i="23" s="1"/>
  <c r="BL167" i="5"/>
  <c r="CU167" i="5"/>
  <c r="BK167" i="5"/>
  <c r="BP167" i="5"/>
  <c r="BO167" i="5"/>
  <c r="CZ167" i="5"/>
  <c r="CA44" i="23" s="1"/>
  <c r="BG167" i="5"/>
  <c r="BE167" i="5"/>
  <c r="DF167" i="5"/>
  <c r="CA38" i="23" s="1"/>
  <c r="DE167" i="5"/>
  <c r="CA39" i="23" s="1"/>
  <c r="DA167" i="5"/>
  <c r="CA43" i="23" s="1"/>
  <c r="BN167" i="5"/>
  <c r="BJ167" i="5"/>
  <c r="BF167" i="5"/>
  <c r="CT15" i="5"/>
  <c r="BS15" i="5" a="1"/>
  <c r="CU15" i="5"/>
  <c r="DE15" i="5"/>
  <c r="DA15" i="5"/>
  <c r="BI15" i="5"/>
  <c r="CZ15" i="5"/>
  <c r="BH15" i="5"/>
  <c r="BE15" i="5"/>
  <c r="DF15" i="5"/>
  <c r="DD15" i="5"/>
  <c r="CX15" i="5"/>
  <c r="BO15" i="5"/>
  <c r="CW15" i="5"/>
  <c r="BN15" i="5"/>
  <c r="CV15" i="5"/>
  <c r="BM15" i="5"/>
  <c r="BL15" i="5"/>
  <c r="BK15" i="5"/>
  <c r="BF15" i="5"/>
  <c r="BP15" i="5"/>
  <c r="BJ15" i="5"/>
  <c r="BG15" i="5"/>
  <c r="DC15" i="5"/>
  <c r="DB15" i="5"/>
  <c r="CY15" i="5"/>
  <c r="CT39" i="5"/>
  <c r="CU39" i="5"/>
  <c r="DE39" i="5"/>
  <c r="DF39" i="5"/>
  <c r="BI39" i="5"/>
  <c r="DD39" i="5"/>
  <c r="DH39" i="5" s="1"/>
  <c r="BH39" i="5"/>
  <c r="CW39" i="5"/>
  <c r="BK39" i="5"/>
  <c r="CV39" i="5"/>
  <c r="BJ39" i="5"/>
  <c r="BG39" i="5"/>
  <c r="DC39" i="5"/>
  <c r="DB39" i="5"/>
  <c r="BP39" i="5"/>
  <c r="DA39" i="5"/>
  <c r="BO39" i="5"/>
  <c r="CY39" i="5"/>
  <c r="CX39" i="5"/>
  <c r="BF39" i="5"/>
  <c r="BE39" i="5"/>
  <c r="CZ39" i="5"/>
  <c r="BN39" i="5"/>
  <c r="BR39" i="5" s="1"/>
  <c r="BM39" i="5"/>
  <c r="BL39" i="5"/>
  <c r="CT51" i="5"/>
  <c r="DD51" i="5"/>
  <c r="CU51" i="5"/>
  <c r="DF51" i="5"/>
  <c r="DF54" i="5" s="1"/>
  <c r="BI51" i="5"/>
  <c r="BH51" i="5"/>
  <c r="CY51" i="5"/>
  <c r="CY54" i="5" s="1"/>
  <c r="BM51" i="5"/>
  <c r="CX51" i="5"/>
  <c r="CX54" i="5" s="1"/>
  <c r="BL51" i="5"/>
  <c r="CW51" i="5"/>
  <c r="CW54" i="5" s="1"/>
  <c r="BK51" i="5"/>
  <c r="CV51" i="5"/>
  <c r="CV54" i="5" s="1"/>
  <c r="DC51" i="5"/>
  <c r="BO51" i="5"/>
  <c r="DB51" i="5"/>
  <c r="DB54" i="5" s="1"/>
  <c r="BN51" i="5"/>
  <c r="BR51" i="5" s="1"/>
  <c r="DA51" i="5"/>
  <c r="DA54" i="5" s="1"/>
  <c r="BJ51" i="5"/>
  <c r="CZ51" i="5"/>
  <c r="CZ54" i="5" s="1"/>
  <c r="BG51" i="5"/>
  <c r="BF51" i="5"/>
  <c r="BE51" i="5"/>
  <c r="DE51" i="5"/>
  <c r="DE54" i="5" s="1"/>
  <c r="BP51" i="5"/>
  <c r="CT62" i="5"/>
  <c r="BS62" i="5" a="1"/>
  <c r="DB62" i="5"/>
  <c r="CV62" i="5"/>
  <c r="DC62" i="5"/>
  <c r="BI62" i="5"/>
  <c r="DA62" i="5"/>
  <c r="BH62" i="5"/>
  <c r="CX62" i="5"/>
  <c r="BE62" i="5"/>
  <c r="CW62" i="5"/>
  <c r="CU62" i="5"/>
  <c r="BO62" i="5"/>
  <c r="BN62" i="5"/>
  <c r="BM62" i="5"/>
  <c r="BL62" i="5"/>
  <c r="BK62" i="5"/>
  <c r="BJ62" i="5"/>
  <c r="BP62" i="5"/>
  <c r="BG62" i="5"/>
  <c r="DF62" i="5"/>
  <c r="BF62" i="5"/>
  <c r="DE62" i="5"/>
  <c r="DD62" i="5"/>
  <c r="CZ62" i="5"/>
  <c r="CY62" i="5"/>
  <c r="CT86" i="5"/>
  <c r="BS86" i="5" a="1"/>
  <c r="DB86" i="5"/>
  <c r="P42" i="23" s="1"/>
  <c r="DA86" i="5"/>
  <c r="P43" i="23" s="1"/>
  <c r="CY86" i="5"/>
  <c r="P45" i="23" s="1"/>
  <c r="DD86" i="5"/>
  <c r="BI86" i="5"/>
  <c r="DC86" i="5"/>
  <c r="BH86" i="5"/>
  <c r="CZ86" i="5"/>
  <c r="P44" i="23" s="1"/>
  <c r="CX86" i="5"/>
  <c r="P46" i="23" s="1"/>
  <c r="BP86" i="5"/>
  <c r="CW86" i="5"/>
  <c r="P47" i="23" s="1"/>
  <c r="BO86" i="5"/>
  <c r="CV86" i="5"/>
  <c r="P48" i="23" s="1"/>
  <c r="BE86" i="5"/>
  <c r="BN86" i="5"/>
  <c r="BR86" i="5" s="1"/>
  <c r="BM86" i="5"/>
  <c r="DE86" i="5"/>
  <c r="P39" i="23" s="1"/>
  <c r="BL86" i="5"/>
  <c r="CU86" i="5"/>
  <c r="BK86" i="5"/>
  <c r="BF86" i="5"/>
  <c r="DF86" i="5"/>
  <c r="P38" i="23" s="1"/>
  <c r="BJ86" i="5"/>
  <c r="BG86" i="5"/>
  <c r="CT97" i="5"/>
  <c r="BS97" i="5" a="1"/>
  <c r="DB97" i="5"/>
  <c r="X42" i="23" s="1"/>
  <c r="CX97" i="5"/>
  <c r="X46" i="23" s="1"/>
  <c r="CV97" i="5"/>
  <c r="X48" i="23" s="1"/>
  <c r="DE97" i="5"/>
  <c r="X39" i="23" s="1"/>
  <c r="BI97" i="5"/>
  <c r="DD97" i="5"/>
  <c r="BH97" i="5"/>
  <c r="BK97" i="5"/>
  <c r="DF97" i="5"/>
  <c r="X38" i="23" s="1"/>
  <c r="BJ97" i="5"/>
  <c r="DC97" i="5"/>
  <c r="BG97" i="5"/>
  <c r="DA97" i="5"/>
  <c r="X43" i="23" s="1"/>
  <c r="BM97" i="5"/>
  <c r="BL97" i="5"/>
  <c r="BF97" i="5"/>
  <c r="BE97" i="5"/>
  <c r="CZ97" i="5"/>
  <c r="X44" i="23" s="1"/>
  <c r="CY97" i="5"/>
  <c r="X45" i="23" s="1"/>
  <c r="CW97" i="5"/>
  <c r="X47" i="23" s="1"/>
  <c r="BN97" i="5"/>
  <c r="BP97" i="5"/>
  <c r="BO97" i="5"/>
  <c r="CU97" i="5"/>
  <c r="CT109" i="5"/>
  <c r="BS109" i="5" a="1"/>
  <c r="DB109" i="5"/>
  <c r="AH42" i="23" s="1"/>
  <c r="CV109" i="5"/>
  <c r="AH48" i="23" s="1"/>
  <c r="CU109" i="5"/>
  <c r="BI109" i="5"/>
  <c r="BH109" i="5"/>
  <c r="CZ109" i="5"/>
  <c r="AH44" i="23" s="1"/>
  <c r="BE109" i="5"/>
  <c r="CY109" i="5"/>
  <c r="AH45" i="23" s="1"/>
  <c r="CX109" i="5"/>
  <c r="AH46" i="23" s="1"/>
  <c r="CW109" i="5"/>
  <c r="AH47" i="23" s="1"/>
  <c r="BG109" i="5"/>
  <c r="BF109" i="5"/>
  <c r="DF109" i="5"/>
  <c r="AH38" i="23" s="1"/>
  <c r="DE109" i="5"/>
  <c r="AH39" i="23" s="1"/>
  <c r="BP109" i="5"/>
  <c r="DC109" i="5"/>
  <c r="BO109" i="5"/>
  <c r="DA109" i="5"/>
  <c r="AH43" i="23" s="1"/>
  <c r="BN109" i="5"/>
  <c r="BM109" i="5"/>
  <c r="BJ109" i="5"/>
  <c r="DD109" i="5"/>
  <c r="BL109" i="5"/>
  <c r="BK109" i="5"/>
  <c r="CT121" i="5"/>
  <c r="BS121" i="5" a="1"/>
  <c r="DB121" i="5"/>
  <c r="AQ42" i="23" s="1"/>
  <c r="DF121" i="5"/>
  <c r="AQ38" i="23" s="1"/>
  <c r="DD121" i="5"/>
  <c r="CW121" i="5"/>
  <c r="AQ47" i="23" s="1"/>
  <c r="BI121" i="5"/>
  <c r="CV121" i="5"/>
  <c r="AQ48" i="23" s="1"/>
  <c r="BH121" i="5"/>
  <c r="DE121" i="5"/>
  <c r="AQ39" i="23" s="1"/>
  <c r="BM121" i="5"/>
  <c r="DC121" i="5"/>
  <c r="BL121" i="5"/>
  <c r="DA121" i="5"/>
  <c r="AQ43" i="23" s="1"/>
  <c r="BK121" i="5"/>
  <c r="CZ121" i="5"/>
  <c r="AQ44" i="23" s="1"/>
  <c r="BO121" i="5"/>
  <c r="BN121" i="5"/>
  <c r="BR121" i="5" s="1"/>
  <c r="BJ121" i="5"/>
  <c r="BG121" i="5"/>
  <c r="BF121" i="5"/>
  <c r="CY121" i="5"/>
  <c r="AQ45" i="23" s="1"/>
  <c r="CX121" i="5"/>
  <c r="AQ46" i="23" s="1"/>
  <c r="CU121" i="5"/>
  <c r="BP121" i="5"/>
  <c r="BE121" i="5"/>
  <c r="CT145" i="5"/>
  <c r="BS145" i="5" a="1"/>
  <c r="DB145" i="5"/>
  <c r="BL42" i="23" s="1"/>
  <c r="CY145" i="5"/>
  <c r="BL45" i="23" s="1"/>
  <c r="DD145" i="5"/>
  <c r="DA145" i="5"/>
  <c r="BL43" i="23" s="1"/>
  <c r="BI145" i="5"/>
  <c r="BH145" i="5"/>
  <c r="BE145" i="5"/>
  <c r="DF145" i="5"/>
  <c r="BL38" i="23" s="1"/>
  <c r="BL145" i="5"/>
  <c r="DE145" i="5"/>
  <c r="BL39" i="23" s="1"/>
  <c r="BK145" i="5"/>
  <c r="DC145" i="5"/>
  <c r="BJ145" i="5"/>
  <c r="CZ145" i="5"/>
  <c r="BL44" i="23" s="1"/>
  <c r="BG145" i="5"/>
  <c r="CU145" i="5"/>
  <c r="BN145" i="5"/>
  <c r="BR145" i="5" s="1"/>
  <c r="CX145" i="5"/>
  <c r="BL46" i="23" s="1"/>
  <c r="BF145" i="5"/>
  <c r="CW145" i="5"/>
  <c r="BL47" i="23" s="1"/>
  <c r="CV145" i="5"/>
  <c r="BL48" i="23" s="1"/>
  <c r="BP145" i="5"/>
  <c r="BO145" i="5"/>
  <c r="BM145" i="5"/>
  <c r="CT169" i="5"/>
  <c r="BS169" i="5" a="1"/>
  <c r="DB169" i="5"/>
  <c r="CC42" i="23" s="1"/>
  <c r="CY169" i="5"/>
  <c r="CC45" i="23" s="1"/>
  <c r="DA169" i="5"/>
  <c r="CC43" i="23" s="1"/>
  <c r="CX169" i="5"/>
  <c r="CC46" i="23" s="1"/>
  <c r="CV169" i="5"/>
  <c r="CC48" i="23" s="1"/>
  <c r="BI169" i="5"/>
  <c r="CU169" i="5"/>
  <c r="BH169" i="5"/>
  <c r="BP169" i="5"/>
  <c r="BO169" i="5"/>
  <c r="BN169" i="5"/>
  <c r="BM169" i="5"/>
  <c r="DF169" i="5"/>
  <c r="CC38" i="23" s="1"/>
  <c r="BJ169" i="5"/>
  <c r="BG169" i="5"/>
  <c r="BF169" i="5"/>
  <c r="DC169" i="5"/>
  <c r="CW169" i="5"/>
  <c r="CC47" i="23" s="1"/>
  <c r="BL169" i="5"/>
  <c r="BK169" i="5"/>
  <c r="DE169" i="5"/>
  <c r="CC39" i="23" s="1"/>
  <c r="DD169" i="5"/>
  <c r="BE169" i="5"/>
  <c r="CZ169" i="5"/>
  <c r="CC44" i="23" s="1"/>
  <c r="CT181" i="5"/>
  <c r="BS181" i="5" a="1"/>
  <c r="DB181" i="5"/>
  <c r="CM42" i="23" s="1"/>
  <c r="CY181" i="5"/>
  <c r="CM45" i="23" s="1"/>
  <c r="CV181" i="5"/>
  <c r="CM48" i="23" s="1"/>
  <c r="CX181" i="5"/>
  <c r="CM46" i="23" s="1"/>
  <c r="BI181" i="5"/>
  <c r="CW181" i="5"/>
  <c r="CM47" i="23" s="1"/>
  <c r="BH181" i="5"/>
  <c r="DA181" i="5"/>
  <c r="CM43" i="23" s="1"/>
  <c r="BM181" i="5"/>
  <c r="CZ181" i="5"/>
  <c r="CM44" i="23" s="1"/>
  <c r="BL181" i="5"/>
  <c r="CU181" i="5"/>
  <c r="BK181" i="5"/>
  <c r="BO181" i="5"/>
  <c r="BN181" i="5"/>
  <c r="BR181" i="5" s="1"/>
  <c r="BJ181" i="5"/>
  <c r="BG181" i="5"/>
  <c r="DE181" i="5"/>
  <c r="CM39" i="23" s="1"/>
  <c r="DC181" i="5"/>
  <c r="BP181" i="5"/>
  <c r="BF181" i="5"/>
  <c r="BE181" i="5"/>
  <c r="DF181" i="5"/>
  <c r="CM38" i="23" s="1"/>
  <c r="DD181" i="5"/>
  <c r="CT192" i="5"/>
  <c r="BS192" i="5" a="1"/>
  <c r="DB192" i="5"/>
  <c r="CV42" i="23" s="1"/>
  <c r="CY192" i="5"/>
  <c r="CV45" i="23" s="1"/>
  <c r="DD192" i="5"/>
  <c r="DA192" i="5"/>
  <c r="CV43" i="23" s="1"/>
  <c r="BI192" i="5"/>
  <c r="BH192" i="5"/>
  <c r="CV192" i="5"/>
  <c r="CV48" i="23" s="1"/>
  <c r="BE192" i="5"/>
  <c r="CU192" i="5"/>
  <c r="BP192" i="5"/>
  <c r="BF192" i="5"/>
  <c r="DF192" i="5"/>
  <c r="CV38" i="23" s="1"/>
  <c r="DE192" i="5"/>
  <c r="CV39" i="23" s="1"/>
  <c r="BN192" i="5"/>
  <c r="BR192" i="5" s="1"/>
  <c r="CW192" i="5"/>
  <c r="CV47" i="23" s="1"/>
  <c r="BM192" i="5"/>
  <c r="BJ192" i="5"/>
  <c r="BG192" i="5"/>
  <c r="DC192" i="5"/>
  <c r="CZ192" i="5"/>
  <c r="CV44" i="23" s="1"/>
  <c r="BO192" i="5"/>
  <c r="CX192" i="5"/>
  <c r="CV46" i="23" s="1"/>
  <c r="BL192" i="5"/>
  <c r="BK192" i="5"/>
  <c r="CT204" i="5"/>
  <c r="BS204" i="5" a="1"/>
  <c r="DB204" i="5"/>
  <c r="DG42" i="23" s="1"/>
  <c r="CY204" i="5"/>
  <c r="DG45" i="23" s="1"/>
  <c r="DA204" i="5"/>
  <c r="DG43" i="23" s="1"/>
  <c r="CX204" i="5"/>
  <c r="DG46" i="23" s="1"/>
  <c r="BO204" i="5"/>
  <c r="CZ204" i="5"/>
  <c r="DG44" i="23" s="1"/>
  <c r="BL204" i="5"/>
  <c r="CW204" i="5"/>
  <c r="DG47" i="23" s="1"/>
  <c r="BK204" i="5"/>
  <c r="BF204" i="5"/>
  <c r="BE204" i="5"/>
  <c r="DF204" i="5"/>
  <c r="DG38" i="23" s="1"/>
  <c r="DE204" i="5"/>
  <c r="DG39" i="23" s="1"/>
  <c r="DD204" i="5"/>
  <c r="BG204" i="5"/>
  <c r="DC204" i="5"/>
  <c r="CV204" i="5"/>
  <c r="DG48" i="23" s="1"/>
  <c r="CU204" i="5"/>
  <c r="BP204" i="5"/>
  <c r="BM204" i="5"/>
  <c r="BI204" i="5"/>
  <c r="BH204" i="5"/>
  <c r="BN204" i="5"/>
  <c r="BJ204" i="5"/>
  <c r="K214" i="5"/>
  <c r="CT226" i="5"/>
  <c r="BS226" i="5" a="1"/>
  <c r="DB226" i="5"/>
  <c r="DV42" i="23" s="1"/>
  <c r="CY226" i="5"/>
  <c r="DV45" i="23" s="1"/>
  <c r="DF226" i="5"/>
  <c r="DV38" i="23" s="1"/>
  <c r="BO226" i="5"/>
  <c r="BP226" i="5"/>
  <c r="BN226" i="5"/>
  <c r="BR226" i="5" s="1"/>
  <c r="CV226" i="5"/>
  <c r="DV48" i="23" s="1"/>
  <c r="BM226" i="5"/>
  <c r="CU226" i="5"/>
  <c r="BL226" i="5"/>
  <c r="BK226" i="5"/>
  <c r="BJ226" i="5"/>
  <c r="DE226" i="5"/>
  <c r="DV39" i="23" s="1"/>
  <c r="BI226" i="5"/>
  <c r="DD226" i="5"/>
  <c r="BH226" i="5"/>
  <c r="DC226" i="5"/>
  <c r="BG226" i="5"/>
  <c r="CW226" i="5"/>
  <c r="DV47" i="23" s="1"/>
  <c r="DA226" i="5"/>
  <c r="DV43" i="23" s="1"/>
  <c r="BF226" i="5"/>
  <c r="CZ226" i="5"/>
  <c r="DV44" i="23" s="1"/>
  <c r="BE226" i="5"/>
  <c r="CX226" i="5"/>
  <c r="DV46" i="23" s="1"/>
  <c r="C29" i="1"/>
  <c r="AD58" i="5"/>
  <c r="AO69" i="1"/>
  <c r="AO217" i="1"/>
  <c r="BC156" i="5"/>
  <c r="BC230" i="5" s="1"/>
  <c r="AO53" i="1"/>
  <c r="AJ54" i="1"/>
  <c r="AK54" i="1"/>
  <c r="AR72" i="4"/>
  <c r="I150" i="1"/>
  <c r="FK6" i="4"/>
  <c r="AM54" i="1"/>
  <c r="AZ72" i="4"/>
  <c r="AN8" i="1"/>
  <c r="AA30" i="4"/>
  <c r="AG6" i="4"/>
  <c r="AC6" i="4"/>
  <c r="I70" i="4"/>
  <c r="A58" i="4"/>
  <c r="J218" i="4"/>
  <c r="CS218" i="4"/>
  <c r="AG236" i="1"/>
  <c r="G219" i="1"/>
  <c r="J6" i="4"/>
  <c r="BA230" i="4"/>
  <c r="BA231" i="4" s="1"/>
  <c r="AE6" i="4"/>
  <c r="F6" i="4"/>
  <c r="EI115" i="4"/>
  <c r="CJ230" i="4"/>
  <c r="G6" i="4"/>
  <c r="CS43" i="4"/>
  <c r="CS47" i="4" s="1"/>
  <c r="EG230" i="4"/>
  <c r="EG231" i="4" s="1"/>
  <c r="C6" i="4"/>
  <c r="BB230" i="4"/>
  <c r="AL54" i="1"/>
  <c r="AK236" i="1"/>
  <c r="A6" i="4"/>
  <c r="B58" i="4"/>
  <c r="AC236" i="1"/>
  <c r="V236" i="4"/>
  <c r="V8" i="4"/>
  <c r="V8" i="1"/>
  <c r="V6" i="8"/>
  <c r="V75" i="8"/>
  <c r="V70" i="8"/>
  <c r="V58" i="8"/>
  <c r="F294" i="23"/>
  <c r="T8" i="4"/>
  <c r="T236" i="4"/>
  <c r="T236" i="1"/>
  <c r="T71" i="8"/>
  <c r="T72" i="8" s="1"/>
  <c r="S236" i="4"/>
  <c r="AA236" i="8"/>
  <c r="S8" i="4"/>
  <c r="S8" i="1"/>
  <c r="P8" i="4"/>
  <c r="AA57" i="8"/>
  <c r="AA58" i="8" s="1"/>
  <c r="P43" i="8"/>
  <c r="P47" i="8" s="1"/>
  <c r="P236" i="4"/>
  <c r="P6" i="8"/>
  <c r="P58" i="8"/>
  <c r="P70" i="8"/>
  <c r="O236" i="6"/>
  <c r="AA214" i="8"/>
  <c r="O236" i="1"/>
  <c r="O236" i="4"/>
  <c r="O8" i="4"/>
  <c r="O9" i="1"/>
  <c r="AA9" i="1" s="1"/>
  <c r="O75" i="8"/>
  <c r="O6" i="8"/>
  <c r="O218" i="8"/>
  <c r="AA178" i="8"/>
  <c r="AA146" i="8"/>
  <c r="O58" i="8"/>
  <c r="F301" i="23"/>
  <c r="Q8" i="4"/>
  <c r="Q8" i="1"/>
  <c r="Q236" i="4"/>
  <c r="AA150" i="8"/>
  <c r="Q237" i="1"/>
  <c r="Y237" i="1"/>
  <c r="Y236" i="1" s="1"/>
  <c r="AA205" i="8"/>
  <c r="X71" i="8"/>
  <c r="AA18" i="1"/>
  <c r="W8" i="1"/>
  <c r="AA8" i="8"/>
  <c r="W70" i="8"/>
  <c r="W218" i="8"/>
  <c r="AA129" i="8"/>
  <c r="V236" i="1"/>
  <c r="T8" i="1"/>
  <c r="S70" i="8"/>
  <c r="S115" i="8"/>
  <c r="S237" i="1"/>
  <c r="S236" i="1" s="1"/>
  <c r="AA182" i="8"/>
  <c r="AA133" i="8"/>
  <c r="AA18" i="4"/>
  <c r="P218" i="8"/>
  <c r="P115" i="8"/>
  <c r="AA209" i="8"/>
  <c r="AA164" i="8"/>
  <c r="P156" i="8"/>
  <c r="P75" i="8"/>
  <c r="AA87" i="8"/>
  <c r="AA38" i="8"/>
  <c r="O70" i="8"/>
  <c r="R8" i="7"/>
  <c r="R8" i="6"/>
  <c r="AA11" i="4"/>
  <c r="AA238" i="4"/>
  <c r="R236" i="4"/>
  <c r="R239" i="1"/>
  <c r="R236" i="1" s="1"/>
  <c r="R8" i="4"/>
  <c r="R70" i="8"/>
  <c r="DG236" i="4"/>
  <c r="U11" i="1"/>
  <c r="AA11" i="1" s="1"/>
  <c r="AA239" i="4"/>
  <c r="U8" i="4"/>
  <c r="AA237" i="4"/>
  <c r="AA37" i="4"/>
  <c r="AA9" i="4"/>
  <c r="U238" i="1"/>
  <c r="U236" i="4"/>
  <c r="AA193" i="8"/>
  <c r="AA60" i="8"/>
  <c r="U236" i="6"/>
  <c r="BQ236" i="4"/>
  <c r="AA29" i="8"/>
  <c r="EW236" i="4"/>
  <c r="U156" i="8"/>
  <c r="AA12" i="1"/>
  <c r="U70" i="8"/>
  <c r="AN236" i="1"/>
  <c r="AO66" i="1"/>
  <c r="AO68" i="1"/>
  <c r="AE236" i="1"/>
  <c r="AH236" i="1"/>
  <c r="CR230" i="4"/>
  <c r="L164" i="1"/>
  <c r="D138" i="1"/>
  <c r="H138" i="1"/>
  <c r="AD236" i="1"/>
  <c r="AJ236" i="1"/>
  <c r="AO238" i="1"/>
  <c r="AI236" i="1"/>
  <c r="AO221" i="1"/>
  <c r="C223" i="1"/>
  <c r="BC218" i="4"/>
  <c r="AS233" i="7"/>
  <c r="AS234" i="7" s="1"/>
  <c r="AW233" i="7"/>
  <c r="AW234" i="7" s="1"/>
  <c r="AR230" i="4"/>
  <c r="AR231" i="4" s="1"/>
  <c r="H150" i="1"/>
  <c r="AR233" i="7"/>
  <c r="AR249" i="7" s="1"/>
  <c r="AR250" i="7" s="1"/>
  <c r="AZ233" i="7"/>
  <c r="AZ249" i="7" s="1"/>
  <c r="AZ250" i="7" s="1"/>
  <c r="AV233" i="7"/>
  <c r="AV249" i="7" s="1"/>
  <c r="AV250" i="7" s="1"/>
  <c r="BA233" i="7"/>
  <c r="M30" i="1"/>
  <c r="AM236" i="1"/>
  <c r="AL236" i="1"/>
  <c r="AF236" i="1"/>
  <c r="CK233" i="6"/>
  <c r="C227" i="6"/>
  <c r="G227" i="6"/>
  <c r="K227" i="6"/>
  <c r="F218" i="4"/>
  <c r="CM230" i="4"/>
  <c r="CM231" i="4" s="1"/>
  <c r="CO233" i="6"/>
  <c r="CO249" i="6" s="1"/>
  <c r="CO250" i="6" s="1"/>
  <c r="CQ230" i="4"/>
  <c r="CQ231" i="4" s="1"/>
  <c r="CL230" i="4"/>
  <c r="CL231" i="4" s="1"/>
  <c r="CN230" i="4"/>
  <c r="CP233" i="6"/>
  <c r="CP249" i="6" s="1"/>
  <c r="CP250" i="6" s="1"/>
  <c r="CI230" i="4"/>
  <c r="CI231" i="4" s="1"/>
  <c r="CJ233" i="6"/>
  <c r="CJ249" i="6" s="1"/>
  <c r="CJ250" i="6" s="1"/>
  <c r="CP230" i="4"/>
  <c r="CP231" i="4" s="1"/>
  <c r="CS75" i="4"/>
  <c r="CR233" i="6"/>
  <c r="CR249" i="6" s="1"/>
  <c r="CR250" i="6" s="1"/>
  <c r="D75" i="4"/>
  <c r="K60" i="1"/>
  <c r="G60" i="1"/>
  <c r="CL233" i="6"/>
  <c r="CL249" i="6" s="1"/>
  <c r="CL250" i="6" s="1"/>
  <c r="CG72" i="6"/>
  <c r="L58" i="4"/>
  <c r="F38" i="6"/>
  <c r="J38" i="6"/>
  <c r="CH233" i="6"/>
  <c r="CH249" i="6" s="1"/>
  <c r="CH250" i="6" s="1"/>
  <c r="AO56" i="1"/>
  <c r="AO239" i="1"/>
  <c r="B236" i="1"/>
  <c r="D218" i="4"/>
  <c r="AS230" i="4"/>
  <c r="AS231" i="4" s="1"/>
  <c r="H218" i="4"/>
  <c r="L218" i="4"/>
  <c r="CT16" i="6"/>
  <c r="EJ16" i="6" s="1"/>
  <c r="ET16" i="6"/>
  <c r="EP16" i="6"/>
  <c r="EL16" i="6"/>
  <c r="ES16" i="6"/>
  <c r="EO16" i="6"/>
  <c r="EK16" i="6"/>
  <c r="ER16" i="6"/>
  <c r="EQ16" i="6"/>
  <c r="EV16" i="6"/>
  <c r="EN16" i="6"/>
  <c r="EU16" i="6"/>
  <c r="EM16" i="6"/>
  <c r="DD16" i="6"/>
  <c r="CZ16" i="6"/>
  <c r="CV16" i="6"/>
  <c r="BN16" i="6"/>
  <c r="BJ16" i="6"/>
  <c r="BF16" i="6"/>
  <c r="DC16" i="6"/>
  <c r="CY16" i="6"/>
  <c r="CU16" i="6"/>
  <c r="BM16" i="6"/>
  <c r="BI16" i="6"/>
  <c r="BE16" i="6"/>
  <c r="DF16" i="6"/>
  <c r="DB16" i="6"/>
  <c r="CX16" i="6"/>
  <c r="BP16" i="6"/>
  <c r="BL16" i="6"/>
  <c r="BH16" i="6"/>
  <c r="BK16" i="6"/>
  <c r="DE16" i="6"/>
  <c r="BG16" i="6"/>
  <c r="CW16" i="6"/>
  <c r="DA16" i="6"/>
  <c r="BO16" i="6"/>
  <c r="CT62" i="6"/>
  <c r="ET62" i="6"/>
  <c r="EX62" i="6" s="1"/>
  <c r="EP62" i="6"/>
  <c r="EL62" i="6"/>
  <c r="ES62" i="6"/>
  <c r="EO62" i="6"/>
  <c r="EK62" i="6"/>
  <c r="ER62" i="6"/>
  <c r="EQ62" i="6"/>
  <c r="EV62" i="6"/>
  <c r="EN62" i="6"/>
  <c r="EM62" i="6"/>
  <c r="DC62" i="6"/>
  <c r="CY62" i="6"/>
  <c r="CU62" i="6"/>
  <c r="DF62" i="6"/>
  <c r="DB62" i="6"/>
  <c r="CX62" i="6"/>
  <c r="DE62" i="6"/>
  <c r="DA62" i="6"/>
  <c r="CW62" i="6"/>
  <c r="BN62" i="6"/>
  <c r="BR62" i="6" s="1"/>
  <c r="BJ62" i="6"/>
  <c r="BF62" i="6"/>
  <c r="DD62" i="6"/>
  <c r="BM62" i="6"/>
  <c r="BI62" i="6"/>
  <c r="BE62" i="6"/>
  <c r="EU62" i="6"/>
  <c r="CZ62" i="6"/>
  <c r="BP62" i="6"/>
  <c r="BL62" i="6"/>
  <c r="BH62" i="6"/>
  <c r="CV62" i="6"/>
  <c r="BG62" i="6"/>
  <c r="BO62" i="6"/>
  <c r="BK62" i="6"/>
  <c r="CT68" i="6"/>
  <c r="EJ68" i="6" s="1"/>
  <c r="ET68" i="6"/>
  <c r="EX68" i="6" s="1"/>
  <c r="EP68" i="6"/>
  <c r="EL68" i="6"/>
  <c r="ES68" i="6"/>
  <c r="EO68" i="6"/>
  <c r="EK68" i="6"/>
  <c r="ER68" i="6"/>
  <c r="EQ68" i="6"/>
  <c r="EV68" i="6"/>
  <c r="EN68" i="6"/>
  <c r="DC68" i="6"/>
  <c r="CY68" i="6"/>
  <c r="CU68" i="6"/>
  <c r="DF68" i="6"/>
  <c r="DB68" i="6"/>
  <c r="CX68" i="6"/>
  <c r="EU68" i="6"/>
  <c r="DE68" i="6"/>
  <c r="DA68" i="6"/>
  <c r="CW68" i="6"/>
  <c r="EM68" i="6"/>
  <c r="CZ68" i="6"/>
  <c r="BN68" i="6"/>
  <c r="BR68" i="6" s="1"/>
  <c r="BJ68" i="6"/>
  <c r="BF68" i="6"/>
  <c r="CV68" i="6"/>
  <c r="BM68" i="6"/>
  <c r="BI68" i="6"/>
  <c r="BE68" i="6"/>
  <c r="BP68" i="6"/>
  <c r="BL68" i="6"/>
  <c r="BH68" i="6"/>
  <c r="BK68" i="6"/>
  <c r="BG68" i="6"/>
  <c r="BO68" i="6"/>
  <c r="DD68" i="6"/>
  <c r="DH68" i="6" s="1"/>
  <c r="CT79" i="6"/>
  <c r="ET79" i="6"/>
  <c r="EP79" i="6"/>
  <c r="EL79" i="6"/>
  <c r="ES79" i="6"/>
  <c r="EO79" i="6"/>
  <c r="EK79" i="6"/>
  <c r="I157" i="23" s="1"/>
  <c r="ER79" i="6"/>
  <c r="EQ79" i="6"/>
  <c r="EV79" i="6"/>
  <c r="I146" i="23" s="1"/>
  <c r="EN79" i="6"/>
  <c r="EU79" i="6"/>
  <c r="I147" i="23" s="1"/>
  <c r="DC79" i="6"/>
  <c r="CY79" i="6"/>
  <c r="CU79" i="6"/>
  <c r="I121" i="23" s="1"/>
  <c r="EM79" i="6"/>
  <c r="DF79" i="6"/>
  <c r="I110" i="23" s="1"/>
  <c r="DB79" i="6"/>
  <c r="CX79" i="6"/>
  <c r="DE79" i="6"/>
  <c r="I111" i="23" s="1"/>
  <c r="DA79" i="6"/>
  <c r="CW79" i="6"/>
  <c r="CZ79" i="6"/>
  <c r="BN79" i="6"/>
  <c r="BJ79" i="6"/>
  <c r="I80" i="23" s="1"/>
  <c r="BF79" i="6"/>
  <c r="I84" i="23" s="1"/>
  <c r="CV79" i="6"/>
  <c r="BM79" i="6"/>
  <c r="BI79" i="6"/>
  <c r="I81" i="23" s="1"/>
  <c r="BE79" i="6"/>
  <c r="I85" i="23" s="1"/>
  <c r="BP79" i="6"/>
  <c r="I74" i="23" s="1"/>
  <c r="BL79" i="6"/>
  <c r="I78" i="23" s="1"/>
  <c r="BH79" i="6"/>
  <c r="I82" i="23" s="1"/>
  <c r="BK79" i="6"/>
  <c r="I79" i="23" s="1"/>
  <c r="DD79" i="6"/>
  <c r="BG79" i="6"/>
  <c r="I83" i="23" s="1"/>
  <c r="BO79" i="6"/>
  <c r="I75" i="23" s="1"/>
  <c r="CT86" i="6"/>
  <c r="ET86" i="6"/>
  <c r="EP86" i="6"/>
  <c r="EL86" i="6"/>
  <c r="ES86" i="6"/>
  <c r="EO86" i="6"/>
  <c r="EK86" i="6"/>
  <c r="P157" i="23" s="1"/>
  <c r="EV86" i="6"/>
  <c r="P146" i="23" s="1"/>
  <c r="ER86" i="6"/>
  <c r="EN86" i="6"/>
  <c r="EU86" i="6"/>
  <c r="P147" i="23" s="1"/>
  <c r="EQ86" i="6"/>
  <c r="DC86" i="6"/>
  <c r="CY86" i="6"/>
  <c r="CU86" i="6"/>
  <c r="P121" i="23" s="1"/>
  <c r="DF86" i="6"/>
  <c r="P110" i="23" s="1"/>
  <c r="DB86" i="6"/>
  <c r="CX86" i="6"/>
  <c r="EM86" i="6"/>
  <c r="DE86" i="6"/>
  <c r="P111" i="23" s="1"/>
  <c r="DA86" i="6"/>
  <c r="CW86" i="6"/>
  <c r="CV86" i="6"/>
  <c r="BN86" i="6"/>
  <c r="BJ86" i="6"/>
  <c r="P80" i="23" s="1"/>
  <c r="BF86" i="6"/>
  <c r="P84" i="23" s="1"/>
  <c r="BM86" i="6"/>
  <c r="BI86" i="6"/>
  <c r="P81" i="23" s="1"/>
  <c r="BE86" i="6"/>
  <c r="P85" i="23" s="1"/>
  <c r="DD86" i="6"/>
  <c r="BP86" i="6"/>
  <c r="P74" i="23" s="1"/>
  <c r="BL86" i="6"/>
  <c r="P78" i="23" s="1"/>
  <c r="BH86" i="6"/>
  <c r="P82" i="23" s="1"/>
  <c r="BG86" i="6"/>
  <c r="P83" i="23" s="1"/>
  <c r="CZ86" i="6"/>
  <c r="BO86" i="6"/>
  <c r="P75" i="23" s="1"/>
  <c r="BK86" i="6"/>
  <c r="P79" i="23" s="1"/>
  <c r="CT92" i="6"/>
  <c r="ET92" i="6"/>
  <c r="EP92" i="6"/>
  <c r="EL92" i="6"/>
  <c r="ES92" i="6"/>
  <c r="EO92" i="6"/>
  <c r="EK92" i="6"/>
  <c r="S157" i="23" s="1"/>
  <c r="EV92" i="6"/>
  <c r="S146" i="23" s="1"/>
  <c r="ER92" i="6"/>
  <c r="EN92" i="6"/>
  <c r="EU92" i="6"/>
  <c r="S147" i="23" s="1"/>
  <c r="EQ92" i="6"/>
  <c r="DC92" i="6"/>
  <c r="CY92" i="6"/>
  <c r="CU92" i="6"/>
  <c r="S121" i="23" s="1"/>
  <c r="DF92" i="6"/>
  <c r="S110" i="23" s="1"/>
  <c r="DB92" i="6"/>
  <c r="CX92" i="6"/>
  <c r="DE92" i="6"/>
  <c r="S111" i="23" s="1"/>
  <c r="DA92" i="6"/>
  <c r="CW92" i="6"/>
  <c r="EM92" i="6"/>
  <c r="CV92" i="6"/>
  <c r="BN92" i="6"/>
  <c r="BJ92" i="6"/>
  <c r="S80" i="23" s="1"/>
  <c r="BF92" i="6"/>
  <c r="S84" i="23" s="1"/>
  <c r="BM92" i="6"/>
  <c r="BI92" i="6"/>
  <c r="S81" i="23" s="1"/>
  <c r="BE92" i="6"/>
  <c r="S85" i="23" s="1"/>
  <c r="DD92" i="6"/>
  <c r="BP92" i="6"/>
  <c r="S74" i="23" s="1"/>
  <c r="BL92" i="6"/>
  <c r="S78" i="23" s="1"/>
  <c r="BH92" i="6"/>
  <c r="S82" i="23" s="1"/>
  <c r="BG92" i="6"/>
  <c r="S83" i="23" s="1"/>
  <c r="CZ92" i="6"/>
  <c r="BO92" i="6"/>
  <c r="S75" i="23" s="1"/>
  <c r="BK92" i="6"/>
  <c r="S79" i="23" s="1"/>
  <c r="CT127" i="6"/>
  <c r="EU127" i="6"/>
  <c r="AW147" i="23" s="1"/>
  <c r="EQ127" i="6"/>
  <c r="EM127" i="6"/>
  <c r="ES127" i="6"/>
  <c r="EO127" i="6"/>
  <c r="EK127" i="6"/>
  <c r="AW157" i="23" s="1"/>
  <c r="EV127" i="6"/>
  <c r="AW146" i="23" s="1"/>
  <c r="EN127" i="6"/>
  <c r="ET127" i="6"/>
  <c r="EL127" i="6"/>
  <c r="ER127" i="6"/>
  <c r="EP127" i="6"/>
  <c r="DC127" i="6"/>
  <c r="CY127" i="6"/>
  <c r="CU127" i="6"/>
  <c r="AW121" i="23" s="1"/>
  <c r="DF127" i="6"/>
  <c r="AW110" i="23" s="1"/>
  <c r="DB127" i="6"/>
  <c r="CX127" i="6"/>
  <c r="DE127" i="6"/>
  <c r="AW111" i="23" s="1"/>
  <c r="DA127" i="6"/>
  <c r="CW127" i="6"/>
  <c r="DD127" i="6"/>
  <c r="BN127" i="6"/>
  <c r="BJ127" i="6"/>
  <c r="AW80" i="23" s="1"/>
  <c r="BF127" i="6"/>
  <c r="AW84" i="23" s="1"/>
  <c r="CZ127" i="6"/>
  <c r="BM127" i="6"/>
  <c r="BI127" i="6"/>
  <c r="AW81" i="23" s="1"/>
  <c r="BE127" i="6"/>
  <c r="AW85" i="23" s="1"/>
  <c r="CV127" i="6"/>
  <c r="BP127" i="6"/>
  <c r="AW74" i="23" s="1"/>
  <c r="BL127" i="6"/>
  <c r="AW78" i="23" s="1"/>
  <c r="BH127" i="6"/>
  <c r="AW82" i="23" s="1"/>
  <c r="BO127" i="6"/>
  <c r="AW75" i="23" s="1"/>
  <c r="BK127" i="6"/>
  <c r="AW79" i="23" s="1"/>
  <c r="BG127" i="6"/>
  <c r="AW83" i="23" s="1"/>
  <c r="CT131" i="6"/>
  <c r="EU131" i="6"/>
  <c r="AZ147" i="23" s="1"/>
  <c r="EQ131" i="6"/>
  <c r="EM131" i="6"/>
  <c r="ES131" i="6"/>
  <c r="EO131" i="6"/>
  <c r="EK131" i="6"/>
  <c r="AZ157" i="23" s="1"/>
  <c r="ER131" i="6"/>
  <c r="EP131" i="6"/>
  <c r="EV131" i="6"/>
  <c r="AZ146" i="23" s="1"/>
  <c r="EN131" i="6"/>
  <c r="EL131" i="6"/>
  <c r="DC131" i="6"/>
  <c r="CY131" i="6"/>
  <c r="CU131" i="6"/>
  <c r="AZ121" i="23" s="1"/>
  <c r="DF131" i="6"/>
  <c r="AZ110" i="23" s="1"/>
  <c r="DB131" i="6"/>
  <c r="CX131" i="6"/>
  <c r="DE131" i="6"/>
  <c r="AZ111" i="23" s="1"/>
  <c r="DA131" i="6"/>
  <c r="CW131" i="6"/>
  <c r="CZ131" i="6"/>
  <c r="BN131" i="6"/>
  <c r="BJ131" i="6"/>
  <c r="AZ80" i="23" s="1"/>
  <c r="BF131" i="6"/>
  <c r="AZ84" i="23" s="1"/>
  <c r="CV131" i="6"/>
  <c r="BM131" i="6"/>
  <c r="BI131" i="6"/>
  <c r="AZ81" i="23" s="1"/>
  <c r="BE131" i="6"/>
  <c r="AZ85" i="23" s="1"/>
  <c r="BP131" i="6"/>
  <c r="AZ74" i="23" s="1"/>
  <c r="BL131" i="6"/>
  <c r="AZ78" i="23" s="1"/>
  <c r="BH131" i="6"/>
  <c r="AZ82" i="23" s="1"/>
  <c r="ET131" i="6"/>
  <c r="BK131" i="6"/>
  <c r="AZ79" i="23" s="1"/>
  <c r="BG131" i="6"/>
  <c r="AZ83" i="23" s="1"/>
  <c r="DD131" i="6"/>
  <c r="BO131" i="6"/>
  <c r="AZ75" i="23" s="1"/>
  <c r="CT135" i="6"/>
  <c r="EU135" i="6"/>
  <c r="BC147" i="23" s="1"/>
  <c r="EQ135" i="6"/>
  <c r="EM135" i="6"/>
  <c r="ES135" i="6"/>
  <c r="EO135" i="6"/>
  <c r="EK135" i="6"/>
  <c r="BC157" i="23" s="1"/>
  <c r="EV135" i="6"/>
  <c r="BC146" i="23" s="1"/>
  <c r="EN135" i="6"/>
  <c r="ET135" i="6"/>
  <c r="EL135" i="6"/>
  <c r="ER135" i="6"/>
  <c r="DC135" i="6"/>
  <c r="CY135" i="6"/>
  <c r="CU135" i="6"/>
  <c r="BC121" i="23" s="1"/>
  <c r="DF135" i="6"/>
  <c r="BC110" i="23" s="1"/>
  <c r="DB135" i="6"/>
  <c r="CX135" i="6"/>
  <c r="EP135" i="6"/>
  <c r="DE135" i="6"/>
  <c r="BC111" i="23" s="1"/>
  <c r="DA135" i="6"/>
  <c r="CW135" i="6"/>
  <c r="CV135" i="6"/>
  <c r="BN135" i="6"/>
  <c r="BJ135" i="6"/>
  <c r="BC80" i="23" s="1"/>
  <c r="BF135" i="6"/>
  <c r="BC84" i="23" s="1"/>
  <c r="BM135" i="6"/>
  <c r="BI135" i="6"/>
  <c r="BC81" i="23" s="1"/>
  <c r="BE135" i="6"/>
  <c r="BC85" i="23" s="1"/>
  <c r="DD135" i="6"/>
  <c r="BP135" i="6"/>
  <c r="BC74" i="23" s="1"/>
  <c r="BL135" i="6"/>
  <c r="BC78" i="23" s="1"/>
  <c r="BH135" i="6"/>
  <c r="BC82" i="23" s="1"/>
  <c r="CZ135" i="6"/>
  <c r="BG135" i="6"/>
  <c r="BC83" i="23" s="1"/>
  <c r="BK135" i="6"/>
  <c r="BC79" i="23" s="1"/>
  <c r="BO135" i="6"/>
  <c r="BC75" i="23" s="1"/>
  <c r="CT151" i="6"/>
  <c r="EU151" i="6"/>
  <c r="BP147" i="23" s="1"/>
  <c r="EQ151" i="6"/>
  <c r="BP151" i="23" s="1"/>
  <c r="EM151" i="6"/>
  <c r="BP155" i="23" s="1"/>
  <c r="ES151" i="6"/>
  <c r="EO151" i="6"/>
  <c r="BP153" i="23" s="1"/>
  <c r="EK151" i="6"/>
  <c r="BP157" i="23" s="1"/>
  <c r="ER151" i="6"/>
  <c r="BP150" i="23" s="1"/>
  <c r="EP151" i="6"/>
  <c r="BP152" i="23" s="1"/>
  <c r="EV151" i="6"/>
  <c r="BP146" i="23" s="1"/>
  <c r="EN151" i="6"/>
  <c r="BP154" i="23" s="1"/>
  <c r="EL151" i="6"/>
  <c r="BP156" i="23" s="1"/>
  <c r="DE151" i="6"/>
  <c r="BP111" i="23" s="1"/>
  <c r="DA151" i="6"/>
  <c r="BP115" i="23" s="1"/>
  <c r="CW151" i="6"/>
  <c r="BP119" i="23" s="1"/>
  <c r="DD151" i="6"/>
  <c r="CZ151" i="6"/>
  <c r="BP116" i="23" s="1"/>
  <c r="CV151" i="6"/>
  <c r="BP120" i="23" s="1"/>
  <c r="DC151" i="6"/>
  <c r="CU151" i="6"/>
  <c r="BP121" i="23" s="1"/>
  <c r="ET151" i="6"/>
  <c r="DB151" i="6"/>
  <c r="BP114" i="23" s="1"/>
  <c r="CY151" i="6"/>
  <c r="BP117" i="23" s="1"/>
  <c r="BN151" i="6"/>
  <c r="BJ151" i="6"/>
  <c r="BP80" i="23" s="1"/>
  <c r="BF151" i="6"/>
  <c r="BP84" i="23" s="1"/>
  <c r="DF151" i="6"/>
  <c r="BP110" i="23" s="1"/>
  <c r="BM151" i="6"/>
  <c r="BI151" i="6"/>
  <c r="BP81" i="23" s="1"/>
  <c r="BE151" i="6"/>
  <c r="BP85" i="23" s="1"/>
  <c r="CX151" i="6"/>
  <c r="BP118" i="23" s="1"/>
  <c r="BP151" i="6"/>
  <c r="BP74" i="23" s="1"/>
  <c r="BL151" i="6"/>
  <c r="BP78" i="23" s="1"/>
  <c r="BH151" i="6"/>
  <c r="BP82" i="23" s="1"/>
  <c r="BK151" i="6"/>
  <c r="BP79" i="23" s="1"/>
  <c r="BO151" i="6"/>
  <c r="BP75" i="23" s="1"/>
  <c r="BG151" i="6"/>
  <c r="BP83" i="23" s="1"/>
  <c r="EV166" i="6"/>
  <c r="BZ146" i="23" s="1"/>
  <c r="ER166" i="6"/>
  <c r="EN166" i="6"/>
  <c r="ET166" i="6"/>
  <c r="EO166" i="6"/>
  <c r="EP166" i="6"/>
  <c r="ES166" i="6"/>
  <c r="EL166" i="6"/>
  <c r="EQ166" i="6"/>
  <c r="EM166" i="6"/>
  <c r="EK166" i="6"/>
  <c r="BZ157" i="23" s="1"/>
  <c r="DE166" i="6"/>
  <c r="BZ111" i="23" s="1"/>
  <c r="DA166" i="6"/>
  <c r="CW166" i="6"/>
  <c r="DD166" i="6"/>
  <c r="CZ166" i="6"/>
  <c r="CV166" i="6"/>
  <c r="DC166" i="6"/>
  <c r="CY166" i="6"/>
  <c r="CU166" i="6"/>
  <c r="BZ121" i="23" s="1"/>
  <c r="DF166" i="6"/>
  <c r="BZ110" i="23" s="1"/>
  <c r="EU166" i="6"/>
  <c r="BZ147" i="23" s="1"/>
  <c r="DB166" i="6"/>
  <c r="CX166" i="6"/>
  <c r="BN166" i="6"/>
  <c r="BJ166" i="6"/>
  <c r="BZ80" i="23" s="1"/>
  <c r="BF166" i="6"/>
  <c r="BZ84" i="23" s="1"/>
  <c r="BM166" i="6"/>
  <c r="BI166" i="6"/>
  <c r="BZ81" i="23" s="1"/>
  <c r="BE166" i="6"/>
  <c r="BZ85" i="23" s="1"/>
  <c r="BP166" i="6"/>
  <c r="BZ74" i="23" s="1"/>
  <c r="BL166" i="6"/>
  <c r="BZ78" i="23" s="1"/>
  <c r="BH166" i="6"/>
  <c r="BZ82" i="23" s="1"/>
  <c r="BO166" i="6"/>
  <c r="BZ75" i="23" s="1"/>
  <c r="BK166" i="6"/>
  <c r="BZ79" i="23" s="1"/>
  <c r="BG166" i="6"/>
  <c r="BZ83" i="23" s="1"/>
  <c r="EV168" i="6"/>
  <c r="CB146" i="23" s="1"/>
  <c r="ER168" i="6"/>
  <c r="EN168" i="6"/>
  <c r="EQ168" i="6"/>
  <c r="EL168" i="6"/>
  <c r="ET168" i="6"/>
  <c r="EM168" i="6"/>
  <c r="EP168" i="6"/>
  <c r="EU168" i="6"/>
  <c r="CB147" i="23" s="1"/>
  <c r="ES168" i="6"/>
  <c r="EO168" i="6"/>
  <c r="DE168" i="6"/>
  <c r="CB111" i="23" s="1"/>
  <c r="DA168" i="6"/>
  <c r="CW168" i="6"/>
  <c r="DD168" i="6"/>
  <c r="CZ168" i="6"/>
  <c r="CV168" i="6"/>
  <c r="EK168" i="6"/>
  <c r="CB157" i="23" s="1"/>
  <c r="DC168" i="6"/>
  <c r="CY168" i="6"/>
  <c r="CU168" i="6"/>
  <c r="CB121" i="23" s="1"/>
  <c r="DB168" i="6"/>
  <c r="CX168" i="6"/>
  <c r="BN168" i="6"/>
  <c r="BJ168" i="6"/>
  <c r="CB80" i="23" s="1"/>
  <c r="BF168" i="6"/>
  <c r="CB84" i="23" s="1"/>
  <c r="BM168" i="6"/>
  <c r="BI168" i="6"/>
  <c r="CB81" i="23" s="1"/>
  <c r="BE168" i="6"/>
  <c r="CB85" i="23" s="1"/>
  <c r="DF168" i="6"/>
  <c r="CB110" i="23" s="1"/>
  <c r="BP168" i="6"/>
  <c r="CB74" i="23" s="1"/>
  <c r="BL168" i="6"/>
  <c r="CB78" i="23" s="1"/>
  <c r="BH168" i="6"/>
  <c r="CB82" i="23" s="1"/>
  <c r="BK168" i="6"/>
  <c r="CB79" i="23" s="1"/>
  <c r="BG168" i="6"/>
  <c r="CB83" i="23" s="1"/>
  <c r="BO168" i="6"/>
  <c r="CB75" i="23" s="1"/>
  <c r="CT25" i="6"/>
  <c r="EJ25" i="6" s="1"/>
  <c r="ET25" i="6"/>
  <c r="EP25" i="6"/>
  <c r="EL25" i="6"/>
  <c r="ES25" i="6"/>
  <c r="EO25" i="6"/>
  <c r="EK25" i="6"/>
  <c r="EV25" i="6"/>
  <c r="EN25" i="6"/>
  <c r="EU25" i="6"/>
  <c r="EM25" i="6"/>
  <c r="ER25" i="6"/>
  <c r="DF25" i="6"/>
  <c r="DB25" i="6"/>
  <c r="CX25" i="6"/>
  <c r="DE25" i="6"/>
  <c r="DA25" i="6"/>
  <c r="CW25" i="6"/>
  <c r="CY25" i="6"/>
  <c r="BN25" i="6"/>
  <c r="BJ25" i="6"/>
  <c r="BF25" i="6"/>
  <c r="DD25" i="6"/>
  <c r="CV25" i="6"/>
  <c r="BM25" i="6"/>
  <c r="BI25" i="6"/>
  <c r="BE25" i="6"/>
  <c r="EQ25" i="6"/>
  <c r="DC25" i="6"/>
  <c r="CU25" i="6"/>
  <c r="BP25" i="6"/>
  <c r="BL25" i="6"/>
  <c r="BH25" i="6"/>
  <c r="BO25" i="6"/>
  <c r="CZ25" i="6"/>
  <c r="BK25" i="6"/>
  <c r="BG25" i="6"/>
  <c r="CT32" i="6"/>
  <c r="ET32" i="6"/>
  <c r="EP32" i="6"/>
  <c r="EL32" i="6"/>
  <c r="ES32" i="6"/>
  <c r="EO32" i="6"/>
  <c r="EK32" i="6"/>
  <c r="ER32" i="6"/>
  <c r="EQ32" i="6"/>
  <c r="EV32" i="6"/>
  <c r="EN32" i="6"/>
  <c r="DC32" i="6"/>
  <c r="CY32" i="6"/>
  <c r="CU32" i="6"/>
  <c r="DF32" i="6"/>
  <c r="DB32" i="6"/>
  <c r="CX32" i="6"/>
  <c r="EU32" i="6"/>
  <c r="DE32" i="6"/>
  <c r="DA32" i="6"/>
  <c r="CW32" i="6"/>
  <c r="CZ32" i="6"/>
  <c r="BN32" i="6"/>
  <c r="BR32" i="6" s="1"/>
  <c r="BJ32" i="6"/>
  <c r="BF32" i="6"/>
  <c r="EM32" i="6"/>
  <c r="CV32" i="6"/>
  <c r="BM32" i="6"/>
  <c r="BI32" i="6"/>
  <c r="BE32" i="6"/>
  <c r="BP32" i="6"/>
  <c r="BL32" i="6"/>
  <c r="BH32" i="6"/>
  <c r="DD32" i="6"/>
  <c r="BK32" i="6"/>
  <c r="BG32" i="6"/>
  <c r="BO32" i="6"/>
  <c r="CT36" i="6"/>
  <c r="EJ36" i="6" s="1"/>
  <c r="ET36" i="6"/>
  <c r="EX36" i="6" s="1"/>
  <c r="EP36" i="6"/>
  <c r="EL36" i="6"/>
  <c r="ES36" i="6"/>
  <c r="EO36" i="6"/>
  <c r="EK36" i="6"/>
  <c r="ER36" i="6"/>
  <c r="EQ36" i="6"/>
  <c r="EV36" i="6"/>
  <c r="EN36" i="6"/>
  <c r="EU36" i="6"/>
  <c r="DC36" i="6"/>
  <c r="CY36" i="6"/>
  <c r="CU36" i="6"/>
  <c r="EM36" i="6"/>
  <c r="DF36" i="6"/>
  <c r="DB36" i="6"/>
  <c r="CX36" i="6"/>
  <c r="DE36" i="6"/>
  <c r="DA36" i="6"/>
  <c r="CW36" i="6"/>
  <c r="CZ36" i="6"/>
  <c r="BN36" i="6"/>
  <c r="BR36" i="6" s="1"/>
  <c r="BJ36" i="6"/>
  <c r="BF36" i="6"/>
  <c r="CV36" i="6"/>
  <c r="BM36" i="6"/>
  <c r="BI36" i="6"/>
  <c r="BE36" i="6"/>
  <c r="BP36" i="6"/>
  <c r="BL36" i="6"/>
  <c r="BH36" i="6"/>
  <c r="BK36" i="6"/>
  <c r="DD36" i="6"/>
  <c r="DH36" i="6" s="1"/>
  <c r="BG36" i="6"/>
  <c r="BO36" i="6"/>
  <c r="CT39" i="6"/>
  <c r="ET39" i="6"/>
  <c r="EP39" i="6"/>
  <c r="EL39" i="6"/>
  <c r="ES39" i="6"/>
  <c r="EO39" i="6"/>
  <c r="EK39" i="6"/>
  <c r="EV39" i="6"/>
  <c r="EN39" i="6"/>
  <c r="EU39" i="6"/>
  <c r="EM39" i="6"/>
  <c r="ER39" i="6"/>
  <c r="DC39" i="6"/>
  <c r="CY39" i="6"/>
  <c r="CU39" i="6"/>
  <c r="DF39" i="6"/>
  <c r="DB39" i="6"/>
  <c r="CX39" i="6"/>
  <c r="DE39" i="6"/>
  <c r="DA39" i="6"/>
  <c r="CW39" i="6"/>
  <c r="DD39" i="6"/>
  <c r="BN39" i="6"/>
  <c r="BR39" i="6" s="1"/>
  <c r="BJ39" i="6"/>
  <c r="BF39" i="6"/>
  <c r="CZ39" i="6"/>
  <c r="BM39" i="6"/>
  <c r="BI39" i="6"/>
  <c r="BE39" i="6"/>
  <c r="CV39" i="6"/>
  <c r="BP39" i="6"/>
  <c r="BL39" i="6"/>
  <c r="BH39" i="6"/>
  <c r="EQ39" i="6"/>
  <c r="BO39" i="6"/>
  <c r="BK39" i="6"/>
  <c r="BG39" i="6"/>
  <c r="ET42" i="6"/>
  <c r="EP42" i="6"/>
  <c r="EL42" i="6"/>
  <c r="ES42" i="6"/>
  <c r="EO42" i="6"/>
  <c r="EK42" i="6"/>
  <c r="ER42" i="6"/>
  <c r="EQ42" i="6"/>
  <c r="EV42" i="6"/>
  <c r="EN42" i="6"/>
  <c r="DC42" i="6"/>
  <c r="CY42" i="6"/>
  <c r="CU42" i="6"/>
  <c r="DF42" i="6"/>
  <c r="DB42" i="6"/>
  <c r="CX42" i="6"/>
  <c r="EU42" i="6"/>
  <c r="DE42" i="6"/>
  <c r="DA42" i="6"/>
  <c r="CW42" i="6"/>
  <c r="CZ42" i="6"/>
  <c r="BN42" i="6"/>
  <c r="BR42" i="6" s="1"/>
  <c r="BJ42" i="6"/>
  <c r="BF42" i="6"/>
  <c r="CV42" i="6"/>
  <c r="BM42" i="6"/>
  <c r="BI42" i="6"/>
  <c r="BE42" i="6"/>
  <c r="EM42" i="6"/>
  <c r="BP42" i="6"/>
  <c r="BL42" i="6"/>
  <c r="BH42" i="6"/>
  <c r="BK42" i="6"/>
  <c r="BG42" i="6"/>
  <c r="DD42" i="6"/>
  <c r="BO42" i="6"/>
  <c r="ET44" i="6"/>
  <c r="EP44" i="6"/>
  <c r="EL44" i="6"/>
  <c r="ES44" i="6"/>
  <c r="EO44" i="6"/>
  <c r="EK44" i="6"/>
  <c r="EV44" i="6"/>
  <c r="EN44" i="6"/>
  <c r="EU44" i="6"/>
  <c r="EM44" i="6"/>
  <c r="ER44" i="6"/>
  <c r="DC44" i="6"/>
  <c r="CY44" i="6"/>
  <c r="CU44" i="6"/>
  <c r="EQ44" i="6"/>
  <c r="DF44" i="6"/>
  <c r="DB44" i="6"/>
  <c r="CX44" i="6"/>
  <c r="DE44" i="6"/>
  <c r="DA44" i="6"/>
  <c r="CW44" i="6"/>
  <c r="DD44" i="6"/>
  <c r="BN44" i="6"/>
  <c r="BR44" i="6" s="1"/>
  <c r="BJ44" i="6"/>
  <c r="BF44" i="6"/>
  <c r="CZ44" i="6"/>
  <c r="BM44" i="6"/>
  <c r="BI44" i="6"/>
  <c r="BE44" i="6"/>
  <c r="CV44" i="6"/>
  <c r="BP44" i="6"/>
  <c r="BL44" i="6"/>
  <c r="BH44" i="6"/>
  <c r="BO44" i="6"/>
  <c r="BK44" i="6"/>
  <c r="BG44" i="6"/>
  <c r="CT46" i="6"/>
  <c r="ET46" i="6"/>
  <c r="EP46" i="6"/>
  <c r="EL46" i="6"/>
  <c r="ES46" i="6"/>
  <c r="EO46" i="6"/>
  <c r="EK46" i="6"/>
  <c r="EV46" i="6"/>
  <c r="EN46" i="6"/>
  <c r="EU46" i="6"/>
  <c r="EM46" i="6"/>
  <c r="ER46" i="6"/>
  <c r="DC46" i="6"/>
  <c r="CY46" i="6"/>
  <c r="CU46" i="6"/>
  <c r="DF46" i="6"/>
  <c r="DB46" i="6"/>
  <c r="CX46" i="6"/>
  <c r="EQ46" i="6"/>
  <c r="DE46" i="6"/>
  <c r="DA46" i="6"/>
  <c r="CW46" i="6"/>
  <c r="CV46" i="6"/>
  <c r="BN46" i="6"/>
  <c r="BJ46" i="6"/>
  <c r="BF46" i="6"/>
  <c r="BM46" i="6"/>
  <c r="BI46" i="6"/>
  <c r="BE46" i="6"/>
  <c r="DD46" i="6"/>
  <c r="BP46" i="6"/>
  <c r="BL46" i="6"/>
  <c r="BH46" i="6"/>
  <c r="CZ46" i="6"/>
  <c r="BG46" i="6"/>
  <c r="BK46" i="6"/>
  <c r="BO46" i="6"/>
  <c r="CT52" i="6"/>
  <c r="EJ52" i="6" s="1"/>
  <c r="ET52" i="4"/>
  <c r="EP52" i="4"/>
  <c r="EL52" i="4"/>
  <c r="ES52" i="4"/>
  <c r="EO52" i="4"/>
  <c r="EV52" i="4"/>
  <c r="EN52" i="4"/>
  <c r="EU52" i="4"/>
  <c r="EM52" i="4"/>
  <c r="ER52" i="4"/>
  <c r="DC52" i="4"/>
  <c r="CY52" i="4"/>
  <c r="DF52" i="4"/>
  <c r="DB52" i="4"/>
  <c r="CX52" i="4"/>
  <c r="DE52" i="4"/>
  <c r="DA52" i="4"/>
  <c r="CW52" i="4"/>
  <c r="EQ52" i="4"/>
  <c r="DD52" i="4"/>
  <c r="CZ52" i="4"/>
  <c r="CV52" i="4"/>
  <c r="CT61" i="6"/>
  <c r="ET61" i="6"/>
  <c r="EP61" i="6"/>
  <c r="EL61" i="6"/>
  <c r="ES61" i="6"/>
  <c r="EO61" i="6"/>
  <c r="EK61" i="6"/>
  <c r="EV61" i="6"/>
  <c r="EN61" i="6"/>
  <c r="EU61" i="6"/>
  <c r="EM61" i="6"/>
  <c r="ER61" i="6"/>
  <c r="DC61" i="6"/>
  <c r="CY61" i="6"/>
  <c r="CU61" i="6"/>
  <c r="EQ61" i="6"/>
  <c r="DF61" i="6"/>
  <c r="DB61" i="6"/>
  <c r="CX61" i="6"/>
  <c r="DE61" i="6"/>
  <c r="DA61" i="6"/>
  <c r="CW61" i="6"/>
  <c r="DD61" i="6"/>
  <c r="BN61" i="6"/>
  <c r="BJ61" i="6"/>
  <c r="BF61" i="6"/>
  <c r="CZ61" i="6"/>
  <c r="BM61" i="6"/>
  <c r="BI61" i="6"/>
  <c r="BE61" i="6"/>
  <c r="CV61" i="6"/>
  <c r="BP61" i="6"/>
  <c r="BL61" i="6"/>
  <c r="BH61" i="6"/>
  <c r="BO61" i="6"/>
  <c r="BK61" i="6"/>
  <c r="BG61" i="6"/>
  <c r="CT67" i="6"/>
  <c r="EJ67" i="6" s="1"/>
  <c r="ET67" i="6"/>
  <c r="EX67" i="6" s="1"/>
  <c r="EP67" i="6"/>
  <c r="EL67" i="6"/>
  <c r="ES67" i="6"/>
  <c r="EO67" i="6"/>
  <c r="EK67" i="6"/>
  <c r="EV67" i="6"/>
  <c r="EN67" i="6"/>
  <c r="EU67" i="6"/>
  <c r="EM67" i="6"/>
  <c r="ER67" i="6"/>
  <c r="EQ67" i="6"/>
  <c r="DC67" i="6"/>
  <c r="CY67" i="6"/>
  <c r="CU67" i="6"/>
  <c r="DF67" i="6"/>
  <c r="DB67" i="6"/>
  <c r="CX67" i="6"/>
  <c r="DE67" i="6"/>
  <c r="DA67" i="6"/>
  <c r="CW67" i="6"/>
  <c r="CV67" i="6"/>
  <c r="BN67" i="6"/>
  <c r="BJ67" i="6"/>
  <c r="BF67" i="6"/>
  <c r="BM67" i="6"/>
  <c r="BI67" i="6"/>
  <c r="BE67" i="6"/>
  <c r="DD67" i="6"/>
  <c r="DH67" i="6" s="1"/>
  <c r="BP67" i="6"/>
  <c r="BL67" i="6"/>
  <c r="BH67" i="6"/>
  <c r="BG67" i="6"/>
  <c r="CZ67" i="6"/>
  <c r="BO67" i="6"/>
  <c r="BK67" i="6"/>
  <c r="CT78" i="6"/>
  <c r="ET78" i="6"/>
  <c r="EP78" i="6"/>
  <c r="EL78" i="6"/>
  <c r="ES78" i="6"/>
  <c r="EO78" i="6"/>
  <c r="EK78" i="6"/>
  <c r="H157" i="23" s="1"/>
  <c r="EV78" i="6"/>
  <c r="H146" i="23" s="1"/>
  <c r="EN78" i="6"/>
  <c r="EU78" i="6"/>
  <c r="H147" i="23" s="1"/>
  <c r="EM78" i="6"/>
  <c r="ER78" i="6"/>
  <c r="DC78" i="6"/>
  <c r="CY78" i="6"/>
  <c r="CU78" i="6"/>
  <c r="H121" i="23" s="1"/>
  <c r="DF78" i="6"/>
  <c r="H110" i="23" s="1"/>
  <c r="DB78" i="6"/>
  <c r="CX78" i="6"/>
  <c r="EQ78" i="6"/>
  <c r="DE78" i="6"/>
  <c r="H111" i="23" s="1"/>
  <c r="DA78" i="6"/>
  <c r="CW78" i="6"/>
  <c r="CV78" i="6"/>
  <c r="BN78" i="6"/>
  <c r="BJ78" i="6"/>
  <c r="H80" i="23" s="1"/>
  <c r="BF78" i="6"/>
  <c r="H84" i="23" s="1"/>
  <c r="BM78" i="6"/>
  <c r="BI78" i="6"/>
  <c r="H81" i="23" s="1"/>
  <c r="BE78" i="6"/>
  <c r="H85" i="23" s="1"/>
  <c r="DD78" i="6"/>
  <c r="BL78" i="6"/>
  <c r="H78" i="23" s="1"/>
  <c r="BH78" i="6"/>
  <c r="H82" i="23" s="1"/>
  <c r="CZ78" i="6"/>
  <c r="BG78" i="6"/>
  <c r="H83" i="23" s="1"/>
  <c r="BO78" i="6"/>
  <c r="H75" i="23" s="1"/>
  <c r="BK78" i="6"/>
  <c r="H79" i="23" s="1"/>
  <c r="ET82" i="6"/>
  <c r="EP82" i="6"/>
  <c r="EL82" i="6"/>
  <c r="ES82" i="6"/>
  <c r="EO82" i="6"/>
  <c r="EK82" i="6"/>
  <c r="L157" i="23" s="1"/>
  <c r="EV82" i="6"/>
  <c r="L146" i="23" s="1"/>
  <c r="ER82" i="6"/>
  <c r="EN82" i="6"/>
  <c r="EU82" i="6"/>
  <c r="L147" i="23" s="1"/>
  <c r="EQ82" i="6"/>
  <c r="DC82" i="6"/>
  <c r="CY82" i="6"/>
  <c r="CU82" i="6"/>
  <c r="L121" i="23" s="1"/>
  <c r="EM82" i="6"/>
  <c r="DF82" i="6"/>
  <c r="L110" i="23" s="1"/>
  <c r="DB82" i="6"/>
  <c r="CX82" i="6"/>
  <c r="DE82" i="6"/>
  <c r="L111" i="23" s="1"/>
  <c r="DA82" i="6"/>
  <c r="CW82" i="6"/>
  <c r="CV82" i="6"/>
  <c r="BN82" i="6"/>
  <c r="BJ82" i="6"/>
  <c r="L80" i="23" s="1"/>
  <c r="BF82" i="6"/>
  <c r="L84" i="23" s="1"/>
  <c r="BM82" i="6"/>
  <c r="BI82" i="6"/>
  <c r="L81" i="23" s="1"/>
  <c r="BE82" i="6"/>
  <c r="L85" i="23" s="1"/>
  <c r="DD82" i="6"/>
  <c r="BP82" i="6"/>
  <c r="L74" i="23" s="1"/>
  <c r="BL82" i="6"/>
  <c r="L78" i="23" s="1"/>
  <c r="BH82" i="6"/>
  <c r="L82" i="23" s="1"/>
  <c r="BG82" i="6"/>
  <c r="L83" i="23" s="1"/>
  <c r="CZ82" i="6"/>
  <c r="BO82" i="6"/>
  <c r="L75" i="23" s="1"/>
  <c r="BK82" i="6"/>
  <c r="L79" i="23" s="1"/>
  <c r="CT85" i="6"/>
  <c r="ET85" i="6"/>
  <c r="EP85" i="6"/>
  <c r="EL85" i="6"/>
  <c r="ES85" i="6"/>
  <c r="EO85" i="6"/>
  <c r="EK85" i="6"/>
  <c r="O157" i="23" s="1"/>
  <c r="EV85" i="6"/>
  <c r="O146" i="23" s="1"/>
  <c r="ER85" i="6"/>
  <c r="EN85" i="6"/>
  <c r="EU85" i="6"/>
  <c r="O147" i="23" s="1"/>
  <c r="EQ85" i="6"/>
  <c r="EM85" i="6"/>
  <c r="DC85" i="6"/>
  <c r="CY85" i="6"/>
  <c r="CU85" i="6"/>
  <c r="O121" i="23" s="1"/>
  <c r="DF85" i="6"/>
  <c r="O110" i="23" s="1"/>
  <c r="DB85" i="6"/>
  <c r="CX85" i="6"/>
  <c r="DE85" i="6"/>
  <c r="O111" i="23" s="1"/>
  <c r="DA85" i="6"/>
  <c r="CW85" i="6"/>
  <c r="BN85" i="6"/>
  <c r="BJ85" i="6"/>
  <c r="O80" i="23" s="1"/>
  <c r="BF85" i="6"/>
  <c r="O84" i="23" s="1"/>
  <c r="DD85" i="6"/>
  <c r="BM85" i="6"/>
  <c r="BI85" i="6"/>
  <c r="O81" i="23" s="1"/>
  <c r="BE85" i="6"/>
  <c r="O85" i="23" s="1"/>
  <c r="CZ85" i="6"/>
  <c r="BP85" i="6"/>
  <c r="O74" i="23" s="1"/>
  <c r="BL85" i="6"/>
  <c r="O78" i="23" s="1"/>
  <c r="BH85" i="6"/>
  <c r="O82" i="23" s="1"/>
  <c r="BG85" i="6"/>
  <c r="O83" i="23" s="1"/>
  <c r="BO85" i="6"/>
  <c r="O75" i="23" s="1"/>
  <c r="CV85" i="6"/>
  <c r="BK85" i="6"/>
  <c r="O79" i="23" s="1"/>
  <c r="CT88" i="6"/>
  <c r="EJ88" i="6" s="1"/>
  <c r="ET88" i="6"/>
  <c r="EP88" i="6"/>
  <c r="Q152" i="23" s="1"/>
  <c r="EL88" i="6"/>
  <c r="Q156" i="23" s="1"/>
  <c r="ES88" i="6"/>
  <c r="EO88" i="6"/>
  <c r="Q153" i="23" s="1"/>
  <c r="EK88" i="6"/>
  <c r="Q157" i="23" s="1"/>
  <c r="EV88" i="6"/>
  <c r="Q146" i="23" s="1"/>
  <c r="ER88" i="6"/>
  <c r="Q150" i="23" s="1"/>
  <c r="EN88" i="6"/>
  <c r="Q154" i="23" s="1"/>
  <c r="EM88" i="6"/>
  <c r="Q155" i="23" s="1"/>
  <c r="EU88" i="6"/>
  <c r="Q147" i="23" s="1"/>
  <c r="DC88" i="6"/>
  <c r="CY88" i="6"/>
  <c r="Q117" i="23" s="1"/>
  <c r="CU88" i="6"/>
  <c r="Q121" i="23" s="1"/>
  <c r="EQ88" i="6"/>
  <c r="Q151" i="23" s="1"/>
  <c r="DF88" i="6"/>
  <c r="Q110" i="23" s="1"/>
  <c r="DB88" i="6"/>
  <c r="Q114" i="23" s="1"/>
  <c r="CX88" i="6"/>
  <c r="Q118" i="23" s="1"/>
  <c r="DE88" i="6"/>
  <c r="Q111" i="23" s="1"/>
  <c r="DA88" i="6"/>
  <c r="Q115" i="23" s="1"/>
  <c r="CW88" i="6"/>
  <c r="Q119" i="23" s="1"/>
  <c r="CZ88" i="6"/>
  <c r="Q116" i="23" s="1"/>
  <c r="BN88" i="6"/>
  <c r="BJ88" i="6"/>
  <c r="Q80" i="23" s="1"/>
  <c r="BF88" i="6"/>
  <c r="Q84" i="23" s="1"/>
  <c r="CV88" i="6"/>
  <c r="Q120" i="23" s="1"/>
  <c r="BM88" i="6"/>
  <c r="BI88" i="6"/>
  <c r="Q81" i="23" s="1"/>
  <c r="BE88" i="6"/>
  <c r="Q85" i="23" s="1"/>
  <c r="BP88" i="6"/>
  <c r="Q74" i="23" s="1"/>
  <c r="BL88" i="6"/>
  <c r="Q78" i="23" s="1"/>
  <c r="BH88" i="6"/>
  <c r="Q82" i="23" s="1"/>
  <c r="BK88" i="6"/>
  <c r="Q79" i="23" s="1"/>
  <c r="DD88" i="6"/>
  <c r="BG88" i="6"/>
  <c r="Q83" i="23" s="1"/>
  <c r="BO88" i="6"/>
  <c r="Q75" i="23" s="1"/>
  <c r="CT91" i="6"/>
  <c r="ET91" i="6"/>
  <c r="EP91" i="6"/>
  <c r="R152" i="23" s="1"/>
  <c r="EL91" i="6"/>
  <c r="R156" i="23" s="1"/>
  <c r="ES91" i="6"/>
  <c r="EO91" i="6"/>
  <c r="R153" i="23" s="1"/>
  <c r="EK91" i="6"/>
  <c r="R157" i="23" s="1"/>
  <c r="EV91" i="6"/>
  <c r="R146" i="23" s="1"/>
  <c r="ER91" i="6"/>
  <c r="R150" i="23" s="1"/>
  <c r="EN91" i="6"/>
  <c r="R154" i="23" s="1"/>
  <c r="EU91" i="6"/>
  <c r="R147" i="23" s="1"/>
  <c r="EQ91" i="6"/>
  <c r="R151" i="23" s="1"/>
  <c r="EM91" i="6"/>
  <c r="R155" i="23" s="1"/>
  <c r="DC91" i="6"/>
  <c r="CY91" i="6"/>
  <c r="R117" i="23" s="1"/>
  <c r="CU91" i="6"/>
  <c r="R121" i="23" s="1"/>
  <c r="DF91" i="6"/>
  <c r="R110" i="23" s="1"/>
  <c r="DB91" i="6"/>
  <c r="R114" i="23" s="1"/>
  <c r="CX91" i="6"/>
  <c r="R118" i="23" s="1"/>
  <c r="DE91" i="6"/>
  <c r="R111" i="23" s="1"/>
  <c r="DA91" i="6"/>
  <c r="R115" i="23" s="1"/>
  <c r="CW91" i="6"/>
  <c r="R119" i="23" s="1"/>
  <c r="BN91" i="6"/>
  <c r="BJ91" i="6"/>
  <c r="R80" i="23" s="1"/>
  <c r="BF91" i="6"/>
  <c r="R84" i="23" s="1"/>
  <c r="DD91" i="6"/>
  <c r="BM91" i="6"/>
  <c r="BI91" i="6"/>
  <c r="R81" i="23" s="1"/>
  <c r="BE91" i="6"/>
  <c r="R85" i="23" s="1"/>
  <c r="CZ91" i="6"/>
  <c r="R116" i="23" s="1"/>
  <c r="BP91" i="6"/>
  <c r="R74" i="23" s="1"/>
  <c r="BL91" i="6"/>
  <c r="R78" i="23" s="1"/>
  <c r="BH91" i="6"/>
  <c r="R82" i="23" s="1"/>
  <c r="CV91" i="6"/>
  <c r="R120" i="23" s="1"/>
  <c r="BG91" i="6"/>
  <c r="R83" i="23" s="1"/>
  <c r="BO91" i="6"/>
  <c r="R75" i="23" s="1"/>
  <c r="BK91" i="6"/>
  <c r="R79" i="23" s="1"/>
  <c r="CT95" i="6"/>
  <c r="ET95" i="6"/>
  <c r="EP95" i="6"/>
  <c r="EL95" i="6"/>
  <c r="ES95" i="6"/>
  <c r="EO95" i="6"/>
  <c r="EK95" i="6"/>
  <c r="V157" i="23" s="1"/>
  <c r="EV95" i="6"/>
  <c r="V146" i="23" s="1"/>
  <c r="ER95" i="6"/>
  <c r="EN95" i="6"/>
  <c r="EU95" i="6"/>
  <c r="V147" i="23" s="1"/>
  <c r="EQ95" i="6"/>
  <c r="EM95" i="6"/>
  <c r="DC95" i="6"/>
  <c r="CY95" i="6"/>
  <c r="CU95" i="6"/>
  <c r="V121" i="23" s="1"/>
  <c r="DF95" i="6"/>
  <c r="V110" i="23" s="1"/>
  <c r="DB95" i="6"/>
  <c r="CX95" i="6"/>
  <c r="DE95" i="6"/>
  <c r="V111" i="23" s="1"/>
  <c r="DA95" i="6"/>
  <c r="CW95" i="6"/>
  <c r="BN95" i="6"/>
  <c r="BJ95" i="6"/>
  <c r="V80" i="23" s="1"/>
  <c r="BF95" i="6"/>
  <c r="V84" i="23" s="1"/>
  <c r="DD95" i="6"/>
  <c r="BM95" i="6"/>
  <c r="BI95" i="6"/>
  <c r="V81" i="23" s="1"/>
  <c r="BE95" i="6"/>
  <c r="V85" i="23" s="1"/>
  <c r="CZ95" i="6"/>
  <c r="BP95" i="6"/>
  <c r="V74" i="23" s="1"/>
  <c r="BL95" i="6"/>
  <c r="V78" i="23" s="1"/>
  <c r="BH95" i="6"/>
  <c r="V82" i="23" s="1"/>
  <c r="CV95" i="6"/>
  <c r="BO95" i="6"/>
  <c r="V75" i="23" s="1"/>
  <c r="BG95" i="6"/>
  <c r="V83" i="23" s="1"/>
  <c r="BK95" i="6"/>
  <c r="V79" i="23" s="1"/>
  <c r="CT102" i="6"/>
  <c r="ET102" i="6"/>
  <c r="EP102" i="6"/>
  <c r="EL102" i="6"/>
  <c r="ES102" i="6"/>
  <c r="EO102" i="6"/>
  <c r="EK102" i="6"/>
  <c r="AC157" i="23" s="1"/>
  <c r="EV102" i="6"/>
  <c r="AC146" i="23" s="1"/>
  <c r="ER102" i="6"/>
  <c r="EN102" i="6"/>
  <c r="EQ102" i="6"/>
  <c r="EM102" i="6"/>
  <c r="DC102" i="6"/>
  <c r="CY102" i="6"/>
  <c r="CU102" i="6"/>
  <c r="AC121" i="23" s="1"/>
  <c r="DF102" i="6"/>
  <c r="AC110" i="23" s="1"/>
  <c r="DB102" i="6"/>
  <c r="CX102" i="6"/>
  <c r="DE102" i="6"/>
  <c r="AC111" i="23" s="1"/>
  <c r="DA102" i="6"/>
  <c r="CW102" i="6"/>
  <c r="DD102" i="6"/>
  <c r="BN102" i="6"/>
  <c r="BJ102" i="6"/>
  <c r="AC80" i="23" s="1"/>
  <c r="BF102" i="6"/>
  <c r="AC84" i="23" s="1"/>
  <c r="CZ102" i="6"/>
  <c r="BM102" i="6"/>
  <c r="BI102" i="6"/>
  <c r="AC81" i="23" s="1"/>
  <c r="BE102" i="6"/>
  <c r="AC85" i="23" s="1"/>
  <c r="EU102" i="6"/>
  <c r="AC147" i="23" s="1"/>
  <c r="CV102" i="6"/>
  <c r="BP102" i="6"/>
  <c r="AC74" i="23" s="1"/>
  <c r="BL102" i="6"/>
  <c r="AC78" i="23" s="1"/>
  <c r="BH102" i="6"/>
  <c r="AC82" i="23" s="1"/>
  <c r="BO102" i="6"/>
  <c r="AC75" i="23" s="1"/>
  <c r="BK102" i="6"/>
  <c r="AC79" i="23" s="1"/>
  <c r="BG102" i="6"/>
  <c r="AC83" i="23" s="1"/>
  <c r="CT107" i="6"/>
  <c r="ET107" i="6"/>
  <c r="EP107" i="6"/>
  <c r="EL107" i="6"/>
  <c r="ES107" i="6"/>
  <c r="EO107" i="6"/>
  <c r="EK107" i="6"/>
  <c r="AF157" i="23" s="1"/>
  <c r="EV107" i="6"/>
  <c r="AF146" i="23" s="1"/>
  <c r="ER107" i="6"/>
  <c r="EN107" i="6"/>
  <c r="EM107" i="6"/>
  <c r="EU107" i="6"/>
  <c r="AF147" i="23" s="1"/>
  <c r="DC107" i="6"/>
  <c r="CY107" i="6"/>
  <c r="CU107" i="6"/>
  <c r="AF121" i="23" s="1"/>
  <c r="EQ107" i="6"/>
  <c r="DF107" i="6"/>
  <c r="AF110" i="23" s="1"/>
  <c r="DB107" i="6"/>
  <c r="CX107" i="6"/>
  <c r="DE107" i="6"/>
  <c r="AF111" i="23" s="1"/>
  <c r="DA107" i="6"/>
  <c r="CW107" i="6"/>
  <c r="CZ107" i="6"/>
  <c r="BN107" i="6"/>
  <c r="BJ107" i="6"/>
  <c r="AF80" i="23" s="1"/>
  <c r="BF107" i="6"/>
  <c r="AF84" i="23" s="1"/>
  <c r="CV107" i="6"/>
  <c r="BM107" i="6"/>
  <c r="BI107" i="6"/>
  <c r="AF81" i="23" s="1"/>
  <c r="BE107" i="6"/>
  <c r="AF85" i="23" s="1"/>
  <c r="BP107" i="6"/>
  <c r="AF74" i="23" s="1"/>
  <c r="BL107" i="6"/>
  <c r="AF78" i="23" s="1"/>
  <c r="BH107" i="6"/>
  <c r="AF82" i="23" s="1"/>
  <c r="BK107" i="6"/>
  <c r="AF79" i="23" s="1"/>
  <c r="BO107" i="6"/>
  <c r="AF75" i="23" s="1"/>
  <c r="DD107" i="6"/>
  <c r="BG107" i="6"/>
  <c r="AF83" i="23" s="1"/>
  <c r="CT111" i="6"/>
  <c r="ET111" i="6"/>
  <c r="EP111" i="6"/>
  <c r="EL111" i="6"/>
  <c r="ES111" i="6"/>
  <c r="EO111" i="6"/>
  <c r="EK111" i="6"/>
  <c r="AJ157" i="23" s="1"/>
  <c r="EV111" i="6"/>
  <c r="AJ146" i="23" s="1"/>
  <c r="ER111" i="6"/>
  <c r="EN111" i="6"/>
  <c r="EM111" i="6"/>
  <c r="EU111" i="6"/>
  <c r="AJ147" i="23" s="1"/>
  <c r="DC111" i="6"/>
  <c r="CY111" i="6"/>
  <c r="CU111" i="6"/>
  <c r="AJ121" i="23" s="1"/>
  <c r="DF111" i="6"/>
  <c r="AJ110" i="23" s="1"/>
  <c r="DB111" i="6"/>
  <c r="CX111" i="6"/>
  <c r="EQ111" i="6"/>
  <c r="DE111" i="6"/>
  <c r="AJ111" i="23" s="1"/>
  <c r="DA111" i="6"/>
  <c r="CW111" i="6"/>
  <c r="CZ111" i="6"/>
  <c r="BN111" i="6"/>
  <c r="BJ111" i="6"/>
  <c r="AJ80" i="23" s="1"/>
  <c r="BF111" i="6"/>
  <c r="AJ84" i="23" s="1"/>
  <c r="CV111" i="6"/>
  <c r="BM111" i="6"/>
  <c r="BI111" i="6"/>
  <c r="AJ81" i="23" s="1"/>
  <c r="BE111" i="6"/>
  <c r="AJ85" i="23" s="1"/>
  <c r="BP111" i="6"/>
  <c r="AJ74" i="23" s="1"/>
  <c r="BL111" i="6"/>
  <c r="AJ78" i="23" s="1"/>
  <c r="BH111" i="6"/>
  <c r="AJ82" i="23" s="1"/>
  <c r="BK111" i="6"/>
  <c r="AJ79" i="23" s="1"/>
  <c r="BG111" i="6"/>
  <c r="AJ83" i="23" s="1"/>
  <c r="DD111" i="6"/>
  <c r="BO111" i="6"/>
  <c r="AJ75" i="23" s="1"/>
  <c r="CT118" i="6"/>
  <c r="EU118" i="6"/>
  <c r="AN147" i="23" s="1"/>
  <c r="EQ118" i="6"/>
  <c r="EM118" i="6"/>
  <c r="ES118" i="6"/>
  <c r="EO118" i="6"/>
  <c r="EK118" i="6"/>
  <c r="AN157" i="23" s="1"/>
  <c r="ER118" i="6"/>
  <c r="EP118" i="6"/>
  <c r="EV118" i="6"/>
  <c r="AN146" i="23" s="1"/>
  <c r="EN118" i="6"/>
  <c r="ET118" i="6"/>
  <c r="EL118" i="6"/>
  <c r="DC118" i="6"/>
  <c r="CY118" i="6"/>
  <c r="CU118" i="6"/>
  <c r="AN121" i="23" s="1"/>
  <c r="DF118" i="6"/>
  <c r="AN110" i="23" s="1"/>
  <c r="DB118" i="6"/>
  <c r="CX118" i="6"/>
  <c r="DE118" i="6"/>
  <c r="AN111" i="23" s="1"/>
  <c r="DA118" i="6"/>
  <c r="CW118" i="6"/>
  <c r="CZ118" i="6"/>
  <c r="BN118" i="6"/>
  <c r="BJ118" i="6"/>
  <c r="AN80" i="23" s="1"/>
  <c r="BF118" i="6"/>
  <c r="AN84" i="23" s="1"/>
  <c r="CV118" i="6"/>
  <c r="BM118" i="6"/>
  <c r="BI118" i="6"/>
  <c r="AN81" i="23" s="1"/>
  <c r="BE118" i="6"/>
  <c r="AN85" i="23" s="1"/>
  <c r="BP118" i="6"/>
  <c r="AN74" i="23" s="1"/>
  <c r="BL118" i="6"/>
  <c r="AN78" i="23" s="1"/>
  <c r="BH118" i="6"/>
  <c r="AN82" i="23" s="1"/>
  <c r="BK118" i="6"/>
  <c r="AN79" i="23" s="1"/>
  <c r="DD118" i="6"/>
  <c r="BG118" i="6"/>
  <c r="AN83" i="23" s="1"/>
  <c r="BO118" i="6"/>
  <c r="AN75" i="23" s="1"/>
  <c r="CT122" i="6"/>
  <c r="EU122" i="6"/>
  <c r="AR147" i="23" s="1"/>
  <c r="EQ122" i="6"/>
  <c r="EM122" i="6"/>
  <c r="ES122" i="6"/>
  <c r="EO122" i="6"/>
  <c r="EK122" i="6"/>
  <c r="AR157" i="23" s="1"/>
  <c r="ER122" i="6"/>
  <c r="EP122" i="6"/>
  <c r="EV122" i="6"/>
  <c r="AR146" i="23" s="1"/>
  <c r="EN122" i="6"/>
  <c r="EL122" i="6"/>
  <c r="DC122" i="6"/>
  <c r="CY122" i="6"/>
  <c r="CU122" i="6"/>
  <c r="AR121" i="23" s="1"/>
  <c r="DF122" i="6"/>
  <c r="AR110" i="23" s="1"/>
  <c r="DB122" i="6"/>
  <c r="CX122" i="6"/>
  <c r="ET122" i="6"/>
  <c r="DE122" i="6"/>
  <c r="AR111" i="23" s="1"/>
  <c r="DA122" i="6"/>
  <c r="CW122" i="6"/>
  <c r="CZ122" i="6"/>
  <c r="BN122" i="6"/>
  <c r="BJ122" i="6"/>
  <c r="AR80" i="23" s="1"/>
  <c r="BF122" i="6"/>
  <c r="AR84" i="23" s="1"/>
  <c r="CV122" i="6"/>
  <c r="BM122" i="6"/>
  <c r="BI122" i="6"/>
  <c r="AR81" i="23" s="1"/>
  <c r="BE122" i="6"/>
  <c r="AR85" i="23" s="1"/>
  <c r="BP122" i="6"/>
  <c r="AR74" i="23" s="1"/>
  <c r="BL122" i="6"/>
  <c r="AR78" i="23" s="1"/>
  <c r="BH122" i="6"/>
  <c r="AR82" i="23" s="1"/>
  <c r="DD122" i="6"/>
  <c r="BK122" i="6"/>
  <c r="AR79" i="23" s="1"/>
  <c r="BG122" i="6"/>
  <c r="AR83" i="23" s="1"/>
  <c r="BO122" i="6"/>
  <c r="AR75" i="23" s="1"/>
  <c r="CT126" i="6"/>
  <c r="EU126" i="6"/>
  <c r="AV147" i="23" s="1"/>
  <c r="EQ126" i="6"/>
  <c r="EM126" i="6"/>
  <c r="ES126" i="6"/>
  <c r="EO126" i="6"/>
  <c r="EK126" i="6"/>
  <c r="AV157" i="23" s="1"/>
  <c r="ER126" i="6"/>
  <c r="EP126" i="6"/>
  <c r="EV126" i="6"/>
  <c r="AV146" i="23" s="1"/>
  <c r="EN126" i="6"/>
  <c r="ET126" i="6"/>
  <c r="EL126" i="6"/>
  <c r="DC126" i="6"/>
  <c r="CY126" i="6"/>
  <c r="CU126" i="6"/>
  <c r="AV121" i="23" s="1"/>
  <c r="DF126" i="6"/>
  <c r="AV110" i="23" s="1"/>
  <c r="DB126" i="6"/>
  <c r="CX126" i="6"/>
  <c r="DE126" i="6"/>
  <c r="AV111" i="23" s="1"/>
  <c r="DA126" i="6"/>
  <c r="CW126" i="6"/>
  <c r="CZ126" i="6"/>
  <c r="BN126" i="6"/>
  <c r="BJ126" i="6"/>
  <c r="AV80" i="23" s="1"/>
  <c r="BF126" i="6"/>
  <c r="AV84" i="23" s="1"/>
  <c r="CV126" i="6"/>
  <c r="BM126" i="6"/>
  <c r="BI126" i="6"/>
  <c r="AV81" i="23" s="1"/>
  <c r="BE126" i="6"/>
  <c r="AV85" i="23" s="1"/>
  <c r="BP126" i="6"/>
  <c r="AV74" i="23" s="1"/>
  <c r="BL126" i="6"/>
  <c r="AV78" i="23" s="1"/>
  <c r="BH126" i="6"/>
  <c r="AV82" i="23" s="1"/>
  <c r="BK126" i="6"/>
  <c r="AV79" i="23" s="1"/>
  <c r="DD126" i="6"/>
  <c r="BG126" i="6"/>
  <c r="AV83" i="23" s="1"/>
  <c r="BO126" i="6"/>
  <c r="AV75" i="23" s="1"/>
  <c r="CT130" i="6"/>
  <c r="EU130" i="6"/>
  <c r="AY147" i="23" s="1"/>
  <c r="EQ130" i="6"/>
  <c r="AY151" i="23" s="1"/>
  <c r="EM130" i="6"/>
  <c r="AY155" i="23" s="1"/>
  <c r="ES130" i="6"/>
  <c r="EO130" i="6"/>
  <c r="AY153" i="23" s="1"/>
  <c r="EK130" i="6"/>
  <c r="AY157" i="23" s="1"/>
  <c r="EV130" i="6"/>
  <c r="AY146" i="23" s="1"/>
  <c r="EN130" i="6"/>
  <c r="AY154" i="23" s="1"/>
  <c r="ET130" i="6"/>
  <c r="EL130" i="6"/>
  <c r="AY156" i="23" s="1"/>
  <c r="ER130" i="6"/>
  <c r="AY150" i="23" s="1"/>
  <c r="EP130" i="6"/>
  <c r="AY152" i="23" s="1"/>
  <c r="DC130" i="6"/>
  <c r="CY130" i="6"/>
  <c r="AY117" i="23" s="1"/>
  <c r="CU130" i="6"/>
  <c r="AY121" i="23" s="1"/>
  <c r="DF130" i="6"/>
  <c r="AY110" i="23" s="1"/>
  <c r="DB130" i="6"/>
  <c r="AY114" i="23" s="1"/>
  <c r="CX130" i="6"/>
  <c r="AY118" i="23" s="1"/>
  <c r="DE130" i="6"/>
  <c r="AY111" i="23" s="1"/>
  <c r="DA130" i="6"/>
  <c r="AY115" i="23" s="1"/>
  <c r="CW130" i="6"/>
  <c r="AY119" i="23" s="1"/>
  <c r="CV130" i="6"/>
  <c r="AY120" i="23" s="1"/>
  <c r="BN130" i="6"/>
  <c r="BJ130" i="6"/>
  <c r="AY80" i="23" s="1"/>
  <c r="BF130" i="6"/>
  <c r="AY84" i="23" s="1"/>
  <c r="BM130" i="6"/>
  <c r="BI130" i="6"/>
  <c r="AY81" i="23" s="1"/>
  <c r="BE130" i="6"/>
  <c r="AY85" i="23" s="1"/>
  <c r="DD130" i="6"/>
  <c r="BP130" i="6"/>
  <c r="AY74" i="23" s="1"/>
  <c r="BL130" i="6"/>
  <c r="AY78" i="23" s="1"/>
  <c r="BH130" i="6"/>
  <c r="AY82" i="23" s="1"/>
  <c r="BG130" i="6"/>
  <c r="AY83" i="23" s="1"/>
  <c r="CZ130" i="6"/>
  <c r="AY116" i="23" s="1"/>
  <c r="BK130" i="6"/>
  <c r="AY79" i="23" s="1"/>
  <c r="BO130" i="6"/>
  <c r="AY75" i="23" s="1"/>
  <c r="CT134" i="6"/>
  <c r="EU134" i="6"/>
  <c r="BB147" i="23" s="1"/>
  <c r="EQ134" i="6"/>
  <c r="BB151" i="23" s="1"/>
  <c r="EM134" i="6"/>
  <c r="BB155" i="23" s="1"/>
  <c r="ES134" i="6"/>
  <c r="EO134" i="6"/>
  <c r="BB153" i="23" s="1"/>
  <c r="EK134" i="6"/>
  <c r="BB157" i="23" s="1"/>
  <c r="ER134" i="6"/>
  <c r="BB150" i="23" s="1"/>
  <c r="EP134" i="6"/>
  <c r="BB152" i="23" s="1"/>
  <c r="EV134" i="6"/>
  <c r="BB146" i="23" s="1"/>
  <c r="EN134" i="6"/>
  <c r="BB154" i="23" s="1"/>
  <c r="ET134" i="6"/>
  <c r="EL134" i="6"/>
  <c r="BB156" i="23" s="1"/>
  <c r="DC134" i="6"/>
  <c r="CY134" i="6"/>
  <c r="BB117" i="23" s="1"/>
  <c r="CU134" i="6"/>
  <c r="BB121" i="23" s="1"/>
  <c r="DF134" i="6"/>
  <c r="BB110" i="23" s="1"/>
  <c r="DB134" i="6"/>
  <c r="BB114" i="23" s="1"/>
  <c r="CX134" i="6"/>
  <c r="BB118" i="23" s="1"/>
  <c r="DE134" i="6"/>
  <c r="BB111" i="23" s="1"/>
  <c r="DA134" i="6"/>
  <c r="BB115" i="23" s="1"/>
  <c r="CW134" i="6"/>
  <c r="BB119" i="23" s="1"/>
  <c r="BN134" i="6"/>
  <c r="BJ134" i="6"/>
  <c r="BB80" i="23" s="1"/>
  <c r="BF134" i="6"/>
  <c r="BB84" i="23" s="1"/>
  <c r="DD134" i="6"/>
  <c r="BM134" i="6"/>
  <c r="BI134" i="6"/>
  <c r="BB81" i="23" s="1"/>
  <c r="BE134" i="6"/>
  <c r="BB85" i="23" s="1"/>
  <c r="CZ134" i="6"/>
  <c r="BB116" i="23" s="1"/>
  <c r="BP134" i="6"/>
  <c r="BB74" i="23" s="1"/>
  <c r="BL134" i="6"/>
  <c r="BB78" i="23" s="1"/>
  <c r="BH134" i="6"/>
  <c r="BB82" i="23" s="1"/>
  <c r="BG134" i="6"/>
  <c r="BB83" i="23" s="1"/>
  <c r="CV134" i="6"/>
  <c r="BB120" i="23" s="1"/>
  <c r="BO134" i="6"/>
  <c r="BB75" i="23" s="1"/>
  <c r="BK134" i="6"/>
  <c r="BB79" i="23" s="1"/>
  <c r="EU142" i="6"/>
  <c r="BI147" i="23" s="1"/>
  <c r="EQ142" i="6"/>
  <c r="EM142" i="6"/>
  <c r="ES142" i="6"/>
  <c r="EO142" i="6"/>
  <c r="EK142" i="6"/>
  <c r="BI157" i="23" s="1"/>
  <c r="EV142" i="6"/>
  <c r="BI146" i="23" s="1"/>
  <c r="EN142" i="6"/>
  <c r="ET142" i="6"/>
  <c r="EL142" i="6"/>
  <c r="ER142" i="6"/>
  <c r="DE142" i="6"/>
  <c r="BI111" i="23" s="1"/>
  <c r="DA142" i="6"/>
  <c r="CW142" i="6"/>
  <c r="DD142" i="6"/>
  <c r="CZ142" i="6"/>
  <c r="CV142" i="6"/>
  <c r="EP142" i="6"/>
  <c r="CY142" i="6"/>
  <c r="DF142" i="6"/>
  <c r="BI110" i="23" s="1"/>
  <c r="CX142" i="6"/>
  <c r="DC142" i="6"/>
  <c r="CU142" i="6"/>
  <c r="BI121" i="23" s="1"/>
  <c r="DB142" i="6"/>
  <c r="BN142" i="6"/>
  <c r="BJ142" i="6"/>
  <c r="BI80" i="23" s="1"/>
  <c r="BF142" i="6"/>
  <c r="BI84" i="23" s="1"/>
  <c r="BM142" i="6"/>
  <c r="BI142" i="6"/>
  <c r="BI81" i="23" s="1"/>
  <c r="BE142" i="6"/>
  <c r="BI85" i="23" s="1"/>
  <c r="BP142" i="6"/>
  <c r="BI74" i="23" s="1"/>
  <c r="BL142" i="6"/>
  <c r="BI78" i="23" s="1"/>
  <c r="BH142" i="6"/>
  <c r="BI82" i="23" s="1"/>
  <c r="BO142" i="6"/>
  <c r="BI75" i="23" s="1"/>
  <c r="BK142" i="6"/>
  <c r="BI79" i="23" s="1"/>
  <c r="BG142" i="6"/>
  <c r="BI83" i="23" s="1"/>
  <c r="CT145" i="6"/>
  <c r="EU145" i="6"/>
  <c r="BL147" i="23" s="1"/>
  <c r="EQ145" i="6"/>
  <c r="EM145" i="6"/>
  <c r="ES145" i="6"/>
  <c r="EO145" i="6"/>
  <c r="EK145" i="6"/>
  <c r="BL157" i="23" s="1"/>
  <c r="ER145" i="6"/>
  <c r="EP145" i="6"/>
  <c r="EV145" i="6"/>
  <c r="BL146" i="23" s="1"/>
  <c r="EN145" i="6"/>
  <c r="DE145" i="6"/>
  <c r="BL111" i="23" s="1"/>
  <c r="DA145" i="6"/>
  <c r="CW145" i="6"/>
  <c r="ET145" i="6"/>
  <c r="DD145" i="6"/>
  <c r="CZ145" i="6"/>
  <c r="CV145" i="6"/>
  <c r="EL145" i="6"/>
  <c r="DC145" i="6"/>
  <c r="CU145" i="6"/>
  <c r="BL121" i="23" s="1"/>
  <c r="DB145" i="6"/>
  <c r="CY145" i="6"/>
  <c r="CX145" i="6"/>
  <c r="BN145" i="6"/>
  <c r="BJ145" i="6"/>
  <c r="BL80" i="23" s="1"/>
  <c r="BF145" i="6"/>
  <c r="BL84" i="23" s="1"/>
  <c r="BM145" i="6"/>
  <c r="BI145" i="6"/>
  <c r="BL81" i="23" s="1"/>
  <c r="BE145" i="6"/>
  <c r="BL85" i="23" s="1"/>
  <c r="BP145" i="6"/>
  <c r="BL74" i="23" s="1"/>
  <c r="BL145" i="6"/>
  <c r="BL78" i="23" s="1"/>
  <c r="BH145" i="6"/>
  <c r="BL82" i="23" s="1"/>
  <c r="DF145" i="6"/>
  <c r="BL110" i="23" s="1"/>
  <c r="BK145" i="6"/>
  <c r="BL79" i="23" s="1"/>
  <c r="BO145" i="6"/>
  <c r="BL75" i="23" s="1"/>
  <c r="BG145" i="6"/>
  <c r="BL83" i="23" s="1"/>
  <c r="EU148" i="6"/>
  <c r="BN147" i="23" s="1"/>
  <c r="EQ148" i="6"/>
  <c r="EM148" i="6"/>
  <c r="ES148" i="6"/>
  <c r="EO148" i="6"/>
  <c r="EK148" i="6"/>
  <c r="BN157" i="23" s="1"/>
  <c r="ER148" i="6"/>
  <c r="EP148" i="6"/>
  <c r="EV148" i="6"/>
  <c r="BN146" i="23" s="1"/>
  <c r="EN148" i="6"/>
  <c r="DE148" i="6"/>
  <c r="BN111" i="23" s="1"/>
  <c r="DA148" i="6"/>
  <c r="CW148" i="6"/>
  <c r="DD148" i="6"/>
  <c r="CZ148" i="6"/>
  <c r="CV148" i="6"/>
  <c r="ET148" i="6"/>
  <c r="DC148" i="6"/>
  <c r="CU148" i="6"/>
  <c r="BN121" i="23" s="1"/>
  <c r="DB148" i="6"/>
  <c r="EL148" i="6"/>
  <c r="CY148" i="6"/>
  <c r="DF148" i="6"/>
  <c r="BN110" i="23" s="1"/>
  <c r="BN148" i="6"/>
  <c r="BJ148" i="6"/>
  <c r="BN80" i="23" s="1"/>
  <c r="BF148" i="6"/>
  <c r="BN84" i="23" s="1"/>
  <c r="CX148" i="6"/>
  <c r="BM148" i="6"/>
  <c r="BI148" i="6"/>
  <c r="BN81" i="23" s="1"/>
  <c r="BE148" i="6"/>
  <c r="BN85" i="23" s="1"/>
  <c r="BP148" i="6"/>
  <c r="BN74" i="23" s="1"/>
  <c r="BL148" i="6"/>
  <c r="BN78" i="23" s="1"/>
  <c r="BH148" i="6"/>
  <c r="BN82" i="23" s="1"/>
  <c r="BO148" i="6"/>
  <c r="BN75" i="23" s="1"/>
  <c r="BK148" i="6"/>
  <c r="BN79" i="23" s="1"/>
  <c r="BG148" i="6"/>
  <c r="BN83" i="23" s="1"/>
  <c r="CT154" i="6"/>
  <c r="EU154" i="6"/>
  <c r="BS147" i="23" s="1"/>
  <c r="EQ154" i="6"/>
  <c r="EM154" i="6"/>
  <c r="ES154" i="6"/>
  <c r="EO154" i="6"/>
  <c r="EK154" i="6"/>
  <c r="BS157" i="23" s="1"/>
  <c r="EV154" i="6"/>
  <c r="BS146" i="23" s="1"/>
  <c r="EN154" i="6"/>
  <c r="ET154" i="6"/>
  <c r="EL154" i="6"/>
  <c r="ER154" i="6"/>
  <c r="DE154" i="6"/>
  <c r="BS111" i="23" s="1"/>
  <c r="DA154" i="6"/>
  <c r="CW154" i="6"/>
  <c r="DD154" i="6"/>
  <c r="CZ154" i="6"/>
  <c r="CV154" i="6"/>
  <c r="DC154" i="6"/>
  <c r="EP154" i="6"/>
  <c r="CY154" i="6"/>
  <c r="CX154" i="6"/>
  <c r="DF154" i="6"/>
  <c r="BS110" i="23" s="1"/>
  <c r="CU154" i="6"/>
  <c r="BS121" i="23" s="1"/>
  <c r="BN154" i="6"/>
  <c r="BJ154" i="6"/>
  <c r="BS80" i="23" s="1"/>
  <c r="BF154" i="6"/>
  <c r="BS84" i="23" s="1"/>
  <c r="DB154" i="6"/>
  <c r="BM154" i="6"/>
  <c r="BI154" i="6"/>
  <c r="BS81" i="23" s="1"/>
  <c r="BE154" i="6"/>
  <c r="BS85" i="23" s="1"/>
  <c r="BP154" i="6"/>
  <c r="BS74" i="23" s="1"/>
  <c r="BL154" i="6"/>
  <c r="BS78" i="23" s="1"/>
  <c r="BH154" i="6"/>
  <c r="BS82" i="23" s="1"/>
  <c r="BG154" i="6"/>
  <c r="BS83" i="23" s="1"/>
  <c r="BK154" i="6"/>
  <c r="BS79" i="23" s="1"/>
  <c r="BO154" i="6"/>
  <c r="BS75" i="23" s="1"/>
  <c r="CT160" i="6"/>
  <c r="EV160" i="6"/>
  <c r="BV146" i="23" s="1"/>
  <c r="ER160" i="6"/>
  <c r="EN160" i="6"/>
  <c r="EU160" i="6"/>
  <c r="BV147" i="23" s="1"/>
  <c r="EP160" i="6"/>
  <c r="EK160" i="6"/>
  <c r="BV157" i="23" s="1"/>
  <c r="ES160" i="6"/>
  <c r="EM160" i="6"/>
  <c r="EQ160" i="6"/>
  <c r="EO160" i="6"/>
  <c r="EL160" i="6"/>
  <c r="DE160" i="6"/>
  <c r="BV111" i="23" s="1"/>
  <c r="DA160" i="6"/>
  <c r="CW160" i="6"/>
  <c r="DD160" i="6"/>
  <c r="CZ160" i="6"/>
  <c r="CV160" i="6"/>
  <c r="DC160" i="6"/>
  <c r="CY160" i="6"/>
  <c r="CU160" i="6"/>
  <c r="BV121" i="23" s="1"/>
  <c r="DF160" i="6"/>
  <c r="BV110" i="23" s="1"/>
  <c r="DB160" i="6"/>
  <c r="BN160" i="6"/>
  <c r="BJ160" i="6"/>
  <c r="BV80" i="23" s="1"/>
  <c r="BF160" i="6"/>
  <c r="BV84" i="23" s="1"/>
  <c r="ET160" i="6"/>
  <c r="BM160" i="6"/>
  <c r="BI160" i="6"/>
  <c r="BV81" i="23" s="1"/>
  <c r="BE160" i="6"/>
  <c r="BV85" i="23" s="1"/>
  <c r="BP160" i="6"/>
  <c r="BV74" i="23" s="1"/>
  <c r="BL160" i="6"/>
  <c r="BV78" i="23" s="1"/>
  <c r="BH160" i="6"/>
  <c r="BV82" i="23" s="1"/>
  <c r="CX160" i="6"/>
  <c r="BO160" i="6"/>
  <c r="BV75" i="23" s="1"/>
  <c r="BK160" i="6"/>
  <c r="BV79" i="23" s="1"/>
  <c r="BG160" i="6"/>
  <c r="BV83" i="23" s="1"/>
  <c r="CT175" i="6"/>
  <c r="ES175" i="6"/>
  <c r="EO175" i="6"/>
  <c r="EK175" i="6"/>
  <c r="CH157" i="23" s="1"/>
  <c r="EV175" i="6"/>
  <c r="CH146" i="23" s="1"/>
  <c r="ER175" i="6"/>
  <c r="EN175" i="6"/>
  <c r="EU175" i="6"/>
  <c r="CH147" i="23" s="1"/>
  <c r="EM175" i="6"/>
  <c r="EP175" i="6"/>
  <c r="ET175" i="6"/>
  <c r="EQ175" i="6"/>
  <c r="EL175" i="6"/>
  <c r="DE175" i="6"/>
  <c r="CH111" i="23" s="1"/>
  <c r="DA175" i="6"/>
  <c r="CW175" i="6"/>
  <c r="DD175" i="6"/>
  <c r="CZ175" i="6"/>
  <c r="CV175" i="6"/>
  <c r="DC175" i="6"/>
  <c r="CY175" i="6"/>
  <c r="CU175" i="6"/>
  <c r="CH121" i="23" s="1"/>
  <c r="DF175" i="6"/>
  <c r="CH110" i="23" s="1"/>
  <c r="DB175" i="6"/>
  <c r="BN175" i="6"/>
  <c r="BJ175" i="6"/>
  <c r="CH80" i="23" s="1"/>
  <c r="BF175" i="6"/>
  <c r="CH84" i="23" s="1"/>
  <c r="BM175" i="6"/>
  <c r="BI175" i="6"/>
  <c r="CH81" i="23" s="1"/>
  <c r="BE175" i="6"/>
  <c r="CH85" i="23" s="1"/>
  <c r="CX175" i="6"/>
  <c r="BP175" i="6"/>
  <c r="CH74" i="23" s="1"/>
  <c r="BL175" i="6"/>
  <c r="CH78" i="23" s="1"/>
  <c r="BH175" i="6"/>
  <c r="CH82" i="23" s="1"/>
  <c r="BO175" i="6"/>
  <c r="CH75" i="23" s="1"/>
  <c r="BK175" i="6"/>
  <c r="CH79" i="23" s="1"/>
  <c r="BG175" i="6"/>
  <c r="CH83" i="23" s="1"/>
  <c r="CT179" i="6"/>
  <c r="ES179" i="6"/>
  <c r="EO179" i="6"/>
  <c r="CK153" i="23" s="1"/>
  <c r="EK179" i="6"/>
  <c r="CK157" i="23" s="1"/>
  <c r="EV179" i="6"/>
  <c r="CK146" i="23" s="1"/>
  <c r="ER179" i="6"/>
  <c r="CK150" i="23" s="1"/>
  <c r="EN179" i="6"/>
  <c r="CK154" i="23" s="1"/>
  <c r="EQ179" i="6"/>
  <c r="CK151" i="23" s="1"/>
  <c r="EU179" i="6"/>
  <c r="CK147" i="23" s="1"/>
  <c r="EL179" i="6"/>
  <c r="CK156" i="23" s="1"/>
  <c r="EP179" i="6"/>
  <c r="CK152" i="23" s="1"/>
  <c r="ET179" i="6"/>
  <c r="EM179" i="6"/>
  <c r="CK155" i="23" s="1"/>
  <c r="DE179" i="6"/>
  <c r="CK111" i="23" s="1"/>
  <c r="DA179" i="6"/>
  <c r="CK115" i="23" s="1"/>
  <c r="CW179" i="6"/>
  <c r="CK119" i="23" s="1"/>
  <c r="DD179" i="6"/>
  <c r="CZ179" i="6"/>
  <c r="CK116" i="23" s="1"/>
  <c r="CV179" i="6"/>
  <c r="CK120" i="23" s="1"/>
  <c r="DC179" i="6"/>
  <c r="CY179" i="6"/>
  <c r="CK117" i="23" s="1"/>
  <c r="CU179" i="6"/>
  <c r="CK121" i="23" s="1"/>
  <c r="DF179" i="6"/>
  <c r="CK110" i="23" s="1"/>
  <c r="DB179" i="6"/>
  <c r="CK114" i="23" s="1"/>
  <c r="CX179" i="6"/>
  <c r="CK118" i="23" s="1"/>
  <c r="BN179" i="6"/>
  <c r="BJ179" i="6"/>
  <c r="CK80" i="23" s="1"/>
  <c r="BF179" i="6"/>
  <c r="CK84" i="23" s="1"/>
  <c r="BM179" i="6"/>
  <c r="BI179" i="6"/>
  <c r="CK81" i="23" s="1"/>
  <c r="BE179" i="6"/>
  <c r="CK85" i="23" s="1"/>
  <c r="BP179" i="6"/>
  <c r="CK74" i="23" s="1"/>
  <c r="BL179" i="6"/>
  <c r="CK78" i="23" s="1"/>
  <c r="BH179" i="6"/>
  <c r="CK82" i="23" s="1"/>
  <c r="BO179" i="6"/>
  <c r="CK75" i="23" s="1"/>
  <c r="BK179" i="6"/>
  <c r="CK79" i="23" s="1"/>
  <c r="BG179" i="6"/>
  <c r="CK83" i="23" s="1"/>
  <c r="ES185" i="6"/>
  <c r="EO185" i="6"/>
  <c r="EK185" i="6"/>
  <c r="CP157" i="23" s="1"/>
  <c r="EV185" i="6"/>
  <c r="CP146" i="23" s="1"/>
  <c r="ER185" i="6"/>
  <c r="EN185" i="6"/>
  <c r="EU185" i="6"/>
  <c r="CP147" i="23" s="1"/>
  <c r="EM185" i="6"/>
  <c r="EP185" i="6"/>
  <c r="ET185" i="6"/>
  <c r="EQ185" i="6"/>
  <c r="DE185" i="6"/>
  <c r="CP111" i="23" s="1"/>
  <c r="DA185" i="6"/>
  <c r="CW185" i="6"/>
  <c r="EL185" i="6"/>
  <c r="DD185" i="6"/>
  <c r="CZ185" i="6"/>
  <c r="CV185" i="6"/>
  <c r="DC185" i="6"/>
  <c r="CY185" i="6"/>
  <c r="CU185" i="6"/>
  <c r="CP121" i="23" s="1"/>
  <c r="DF185" i="6"/>
  <c r="CP110" i="23" s="1"/>
  <c r="DB185" i="6"/>
  <c r="CX185" i="6"/>
  <c r="BN185" i="6"/>
  <c r="BJ185" i="6"/>
  <c r="CP80" i="23" s="1"/>
  <c r="BF185" i="6"/>
  <c r="CP84" i="23" s="1"/>
  <c r="BM185" i="6"/>
  <c r="BI185" i="6"/>
  <c r="CP81" i="23" s="1"/>
  <c r="BE185" i="6"/>
  <c r="CP85" i="23" s="1"/>
  <c r="BP185" i="6"/>
  <c r="CP74" i="23" s="1"/>
  <c r="BL185" i="6"/>
  <c r="CP78" i="23" s="1"/>
  <c r="BH185" i="6"/>
  <c r="CP82" i="23" s="1"/>
  <c r="BO185" i="6"/>
  <c r="CP75" i="23" s="1"/>
  <c r="BK185" i="6"/>
  <c r="CP79" i="23" s="1"/>
  <c r="BG185" i="6"/>
  <c r="CP83" i="23" s="1"/>
  <c r="CT188" i="6"/>
  <c r="ES188" i="6"/>
  <c r="EO188" i="6"/>
  <c r="CR153" i="23" s="1"/>
  <c r="EK188" i="6"/>
  <c r="CR157" i="23" s="1"/>
  <c r="EV188" i="6"/>
  <c r="CR146" i="23" s="1"/>
  <c r="ER188" i="6"/>
  <c r="CR150" i="23" s="1"/>
  <c r="EN188" i="6"/>
  <c r="CR154" i="23" s="1"/>
  <c r="EU188" i="6"/>
  <c r="CR147" i="23" s="1"/>
  <c r="EM188" i="6"/>
  <c r="CR155" i="23" s="1"/>
  <c r="EL188" i="6"/>
  <c r="CR156" i="23" s="1"/>
  <c r="EQ188" i="6"/>
  <c r="CR151" i="23" s="1"/>
  <c r="ET188" i="6"/>
  <c r="EP188" i="6"/>
  <c r="CR152" i="23" s="1"/>
  <c r="DE188" i="6"/>
  <c r="CR111" i="23" s="1"/>
  <c r="DA188" i="6"/>
  <c r="CR115" i="23" s="1"/>
  <c r="CW188" i="6"/>
  <c r="CR119" i="23" s="1"/>
  <c r="DD188" i="6"/>
  <c r="CZ188" i="6"/>
  <c r="CR116" i="23" s="1"/>
  <c r="CV188" i="6"/>
  <c r="CR120" i="23" s="1"/>
  <c r="DC188" i="6"/>
  <c r="CY188" i="6"/>
  <c r="CR117" i="23" s="1"/>
  <c r="CU188" i="6"/>
  <c r="CR121" i="23" s="1"/>
  <c r="DB188" i="6"/>
  <c r="CR114" i="23" s="1"/>
  <c r="CX188" i="6"/>
  <c r="CR118" i="23" s="1"/>
  <c r="BN188" i="6"/>
  <c r="BJ188" i="6"/>
  <c r="CR80" i="23" s="1"/>
  <c r="BF188" i="6"/>
  <c r="CR84" i="23" s="1"/>
  <c r="BM188" i="6"/>
  <c r="BI188" i="6"/>
  <c r="CR81" i="23" s="1"/>
  <c r="BE188" i="6"/>
  <c r="CR85" i="23" s="1"/>
  <c r="DF188" i="6"/>
  <c r="CR110" i="23" s="1"/>
  <c r="BP188" i="6"/>
  <c r="CR74" i="23" s="1"/>
  <c r="BL188" i="6"/>
  <c r="CR78" i="23" s="1"/>
  <c r="BH188" i="6"/>
  <c r="CR82" i="23" s="1"/>
  <c r="BK188" i="6"/>
  <c r="CR79" i="23" s="1"/>
  <c r="BG188" i="6"/>
  <c r="CR83" i="23" s="1"/>
  <c r="BO188" i="6"/>
  <c r="CR75" i="23" s="1"/>
  <c r="CT192" i="6"/>
  <c r="ES192" i="6"/>
  <c r="EO192" i="6"/>
  <c r="EK192" i="6"/>
  <c r="CV157" i="23" s="1"/>
  <c r="EV192" i="6"/>
  <c r="CV146" i="23" s="1"/>
  <c r="ER192" i="6"/>
  <c r="EN192" i="6"/>
  <c r="EU192" i="6"/>
  <c r="CV147" i="23" s="1"/>
  <c r="EM192" i="6"/>
  <c r="EQ192" i="6"/>
  <c r="EL192" i="6"/>
  <c r="ET192" i="6"/>
  <c r="EP192" i="6"/>
  <c r="DE192" i="6"/>
  <c r="CV111" i="23" s="1"/>
  <c r="DA192" i="6"/>
  <c r="CW192" i="6"/>
  <c r="DD192" i="6"/>
  <c r="CZ192" i="6"/>
  <c r="CV192" i="6"/>
  <c r="DC192" i="6"/>
  <c r="CY192" i="6"/>
  <c r="CU192" i="6"/>
  <c r="CV121" i="23" s="1"/>
  <c r="DB192" i="6"/>
  <c r="CX192" i="6"/>
  <c r="BN192" i="6"/>
  <c r="BJ192" i="6"/>
  <c r="CV80" i="23" s="1"/>
  <c r="BF192" i="6"/>
  <c r="CV84" i="23" s="1"/>
  <c r="BM192" i="6"/>
  <c r="BI192" i="6"/>
  <c r="CV81" i="23" s="1"/>
  <c r="BE192" i="6"/>
  <c r="CV85" i="23" s="1"/>
  <c r="BP192" i="6"/>
  <c r="CV74" i="23" s="1"/>
  <c r="BL192" i="6"/>
  <c r="CV78" i="23" s="1"/>
  <c r="BH192" i="6"/>
  <c r="CV82" i="23" s="1"/>
  <c r="DF192" i="6"/>
  <c r="CV110" i="23" s="1"/>
  <c r="BK192" i="6"/>
  <c r="CV79" i="23" s="1"/>
  <c r="BG192" i="6"/>
  <c r="CV83" i="23" s="1"/>
  <c r="BO192" i="6"/>
  <c r="CV75" i="23" s="1"/>
  <c r="CT195" i="6"/>
  <c r="ES195" i="6"/>
  <c r="EO195" i="6"/>
  <c r="EK195" i="6"/>
  <c r="CX157" i="23" s="1"/>
  <c r="EV195" i="6"/>
  <c r="CX146" i="23" s="1"/>
  <c r="ER195" i="6"/>
  <c r="EN195" i="6"/>
  <c r="EU195" i="6"/>
  <c r="CX147" i="23" s="1"/>
  <c r="EM195" i="6"/>
  <c r="EP195" i="6"/>
  <c r="ET195" i="6"/>
  <c r="EQ195" i="6"/>
  <c r="EL195" i="6"/>
  <c r="DE195" i="6"/>
  <c r="CX111" i="23" s="1"/>
  <c r="DA195" i="6"/>
  <c r="CW195" i="6"/>
  <c r="DD195" i="6"/>
  <c r="CZ195" i="6"/>
  <c r="CV195" i="6"/>
  <c r="DC195" i="6"/>
  <c r="CY195" i="6"/>
  <c r="CU195" i="6"/>
  <c r="CX121" i="23" s="1"/>
  <c r="DF195" i="6"/>
  <c r="CX110" i="23" s="1"/>
  <c r="DB195" i="6"/>
  <c r="BN195" i="6"/>
  <c r="BJ195" i="6"/>
  <c r="CX80" i="23" s="1"/>
  <c r="BF195" i="6"/>
  <c r="CX84" i="23" s="1"/>
  <c r="BM195" i="6"/>
  <c r="BI195" i="6"/>
  <c r="CX81" i="23" s="1"/>
  <c r="BE195" i="6"/>
  <c r="CX85" i="23" s="1"/>
  <c r="CX195" i="6"/>
  <c r="BP195" i="6"/>
  <c r="CX74" i="23" s="1"/>
  <c r="BL195" i="6"/>
  <c r="CX78" i="23" s="1"/>
  <c r="BH195" i="6"/>
  <c r="CX82" i="23" s="1"/>
  <c r="BG195" i="6"/>
  <c r="CX83" i="23" s="1"/>
  <c r="BO195" i="6"/>
  <c r="CX75" i="23" s="1"/>
  <c r="BK195" i="6"/>
  <c r="CX79" i="23" s="1"/>
  <c r="CT198" i="6"/>
  <c r="ES198" i="6"/>
  <c r="EO198" i="6"/>
  <c r="EK198" i="6"/>
  <c r="DA157" i="23" s="1"/>
  <c r="EV198" i="6"/>
  <c r="DA146" i="23" s="1"/>
  <c r="ER198" i="6"/>
  <c r="EN198" i="6"/>
  <c r="EQ198" i="6"/>
  <c r="EU198" i="6"/>
  <c r="DA147" i="23" s="1"/>
  <c r="EL198" i="6"/>
  <c r="EP198" i="6"/>
  <c r="ET198" i="6"/>
  <c r="EM198" i="6"/>
  <c r="DE198" i="6"/>
  <c r="DA111" i="23" s="1"/>
  <c r="DA198" i="6"/>
  <c r="CW198" i="6"/>
  <c r="DD198" i="6"/>
  <c r="CZ198" i="6"/>
  <c r="CV198" i="6"/>
  <c r="DC198" i="6"/>
  <c r="CY198" i="6"/>
  <c r="CU198" i="6"/>
  <c r="DA121" i="23" s="1"/>
  <c r="DF198" i="6"/>
  <c r="DA110" i="23" s="1"/>
  <c r="DB198" i="6"/>
  <c r="CX198" i="6"/>
  <c r="BN198" i="6"/>
  <c r="BJ198" i="6"/>
  <c r="DA80" i="23" s="1"/>
  <c r="BF198" i="6"/>
  <c r="DA84" i="23" s="1"/>
  <c r="BM198" i="6"/>
  <c r="BI198" i="6"/>
  <c r="DA81" i="23" s="1"/>
  <c r="BE198" i="6"/>
  <c r="DA85" i="23" s="1"/>
  <c r="BP198" i="6"/>
  <c r="DA74" i="23" s="1"/>
  <c r="BL198" i="6"/>
  <c r="DA78" i="23" s="1"/>
  <c r="BH198" i="6"/>
  <c r="DA82" i="23" s="1"/>
  <c r="BO198" i="6"/>
  <c r="DA75" i="23" s="1"/>
  <c r="BK198" i="6"/>
  <c r="DA79" i="23" s="1"/>
  <c r="BG198" i="6"/>
  <c r="DA83" i="23" s="1"/>
  <c r="ES201" i="6"/>
  <c r="EO201" i="6"/>
  <c r="EK201" i="6"/>
  <c r="DD157" i="23" s="1"/>
  <c r="EV201" i="6"/>
  <c r="DD146" i="23" s="1"/>
  <c r="ER201" i="6"/>
  <c r="EN201" i="6"/>
  <c r="EU201" i="6"/>
  <c r="DD147" i="23" s="1"/>
  <c r="EM201" i="6"/>
  <c r="EQ201" i="6"/>
  <c r="EL201" i="6"/>
  <c r="ET201" i="6"/>
  <c r="DE201" i="6"/>
  <c r="DD111" i="23" s="1"/>
  <c r="DA201" i="6"/>
  <c r="CW201" i="6"/>
  <c r="EP201" i="6"/>
  <c r="DD201" i="6"/>
  <c r="CZ201" i="6"/>
  <c r="CV201" i="6"/>
  <c r="DC201" i="6"/>
  <c r="CY201" i="6"/>
  <c r="CU201" i="6"/>
  <c r="DD121" i="23" s="1"/>
  <c r="DB201" i="6"/>
  <c r="CX201" i="6"/>
  <c r="BN201" i="6"/>
  <c r="BJ201" i="6"/>
  <c r="DD80" i="23" s="1"/>
  <c r="BF201" i="6"/>
  <c r="DD84" i="23" s="1"/>
  <c r="DF201" i="6"/>
  <c r="DD110" i="23" s="1"/>
  <c r="BM201" i="6"/>
  <c r="BI201" i="6"/>
  <c r="DD81" i="23" s="1"/>
  <c r="BE201" i="6"/>
  <c r="DD85" i="23" s="1"/>
  <c r="BP201" i="6"/>
  <c r="DD74" i="23" s="1"/>
  <c r="BL201" i="6"/>
  <c r="DD78" i="23" s="1"/>
  <c r="BH201" i="6"/>
  <c r="DD82" i="23" s="1"/>
  <c r="BK201" i="6"/>
  <c r="DD79" i="23" s="1"/>
  <c r="BO201" i="6"/>
  <c r="DD75" i="23" s="1"/>
  <c r="BG201" i="6"/>
  <c r="DD83" i="23" s="1"/>
  <c r="CT204" i="6"/>
  <c r="ES204" i="6"/>
  <c r="EO204" i="6"/>
  <c r="EK204" i="6"/>
  <c r="DG157" i="23" s="1"/>
  <c r="EV204" i="6"/>
  <c r="DG146" i="23" s="1"/>
  <c r="ER204" i="6"/>
  <c r="EN204" i="6"/>
  <c r="EQ204" i="6"/>
  <c r="EM204" i="6"/>
  <c r="ET204" i="6"/>
  <c r="EP204" i="6"/>
  <c r="EL204" i="6"/>
  <c r="DE204" i="6"/>
  <c r="DG111" i="23" s="1"/>
  <c r="DA204" i="6"/>
  <c r="CW204" i="6"/>
  <c r="DD204" i="6"/>
  <c r="CZ204" i="6"/>
  <c r="CV204" i="6"/>
  <c r="DC204" i="6"/>
  <c r="CY204" i="6"/>
  <c r="CU204" i="6"/>
  <c r="DG121" i="23" s="1"/>
  <c r="CX204" i="6"/>
  <c r="EU204" i="6"/>
  <c r="DG147" i="23" s="1"/>
  <c r="DF204" i="6"/>
  <c r="DG110" i="23" s="1"/>
  <c r="BN204" i="6"/>
  <c r="BJ204" i="6"/>
  <c r="DG80" i="23" s="1"/>
  <c r="BF204" i="6"/>
  <c r="DG84" i="23" s="1"/>
  <c r="BM204" i="6"/>
  <c r="BI204" i="6"/>
  <c r="DG81" i="23" s="1"/>
  <c r="BE204" i="6"/>
  <c r="DG85" i="23" s="1"/>
  <c r="BP204" i="6"/>
  <c r="DG74" i="23" s="1"/>
  <c r="BL204" i="6"/>
  <c r="DG78" i="23" s="1"/>
  <c r="BH204" i="6"/>
  <c r="DG82" i="23" s="1"/>
  <c r="BG204" i="6"/>
  <c r="DG83" i="23" s="1"/>
  <c r="BK204" i="6"/>
  <c r="DG79" i="23" s="1"/>
  <c r="DB204" i="6"/>
  <c r="BO204" i="6"/>
  <c r="DG75" i="23" s="1"/>
  <c r="CT208" i="6"/>
  <c r="ES208" i="6"/>
  <c r="EO208" i="6"/>
  <c r="EK208" i="6"/>
  <c r="DJ157" i="23" s="1"/>
  <c r="EV208" i="6"/>
  <c r="DJ146" i="23" s="1"/>
  <c r="ER208" i="6"/>
  <c r="EN208" i="6"/>
  <c r="EU208" i="6"/>
  <c r="DJ147" i="23" s="1"/>
  <c r="EM208" i="6"/>
  <c r="ET208" i="6"/>
  <c r="EP208" i="6"/>
  <c r="EQ208" i="6"/>
  <c r="EL208" i="6"/>
  <c r="DE208" i="6"/>
  <c r="DJ111" i="23" s="1"/>
  <c r="DA208" i="6"/>
  <c r="CW208" i="6"/>
  <c r="DD208" i="6"/>
  <c r="CZ208" i="6"/>
  <c r="CV208" i="6"/>
  <c r="DC208" i="6"/>
  <c r="CY208" i="6"/>
  <c r="CU208" i="6"/>
  <c r="DJ121" i="23" s="1"/>
  <c r="DF208" i="6"/>
  <c r="DJ110" i="23" s="1"/>
  <c r="DB208" i="6"/>
  <c r="BN208" i="6"/>
  <c r="BJ208" i="6"/>
  <c r="DJ80" i="23" s="1"/>
  <c r="BF208" i="6"/>
  <c r="DJ84" i="23" s="1"/>
  <c r="CX208" i="6"/>
  <c r="BM208" i="6"/>
  <c r="BI208" i="6"/>
  <c r="DJ81" i="23" s="1"/>
  <c r="BE208" i="6"/>
  <c r="DJ85" i="23" s="1"/>
  <c r="BP208" i="6"/>
  <c r="DJ74" i="23" s="1"/>
  <c r="BL208" i="6"/>
  <c r="DJ78" i="23" s="1"/>
  <c r="BH208" i="6"/>
  <c r="DJ82" i="23" s="1"/>
  <c r="BO208" i="6"/>
  <c r="DJ75" i="23" s="1"/>
  <c r="BK208" i="6"/>
  <c r="DJ79" i="23" s="1"/>
  <c r="BG208" i="6"/>
  <c r="DJ83" i="23" s="1"/>
  <c r="CT211" i="6"/>
  <c r="ES211" i="6"/>
  <c r="EO211" i="6"/>
  <c r="EK211" i="6"/>
  <c r="DL157" i="23" s="1"/>
  <c r="EV211" i="6"/>
  <c r="DL146" i="23" s="1"/>
  <c r="ER211" i="6"/>
  <c r="EN211" i="6"/>
  <c r="EU211" i="6"/>
  <c r="DL147" i="23" s="1"/>
  <c r="EM211" i="6"/>
  <c r="EQ211" i="6"/>
  <c r="EL211" i="6"/>
  <c r="ET211" i="6"/>
  <c r="EP211" i="6"/>
  <c r="DE211" i="6"/>
  <c r="DL111" i="23" s="1"/>
  <c r="DA211" i="6"/>
  <c r="CW211" i="6"/>
  <c r="DD211" i="6"/>
  <c r="CZ211" i="6"/>
  <c r="CV211" i="6"/>
  <c r="DC211" i="6"/>
  <c r="CY211" i="6"/>
  <c r="CU211" i="6"/>
  <c r="DL121" i="23" s="1"/>
  <c r="DB211" i="6"/>
  <c r="CX211" i="6"/>
  <c r="BN211" i="6"/>
  <c r="BJ211" i="6"/>
  <c r="DL80" i="23" s="1"/>
  <c r="BF211" i="6"/>
  <c r="DL84" i="23" s="1"/>
  <c r="BM211" i="6"/>
  <c r="BI211" i="6"/>
  <c r="DL81" i="23" s="1"/>
  <c r="BE211" i="6"/>
  <c r="DL85" i="23" s="1"/>
  <c r="BP211" i="6"/>
  <c r="DL74" i="23" s="1"/>
  <c r="BL211" i="6"/>
  <c r="DL78" i="23" s="1"/>
  <c r="BH211" i="6"/>
  <c r="DL82" i="23" s="1"/>
  <c r="BK211" i="6"/>
  <c r="DL79" i="23" s="1"/>
  <c r="BO211" i="6"/>
  <c r="DL75" i="23" s="1"/>
  <c r="DF211" i="6"/>
  <c r="DL110" i="23" s="1"/>
  <c r="BG211" i="6"/>
  <c r="DL83" i="23" s="1"/>
  <c r="CT222" i="6"/>
  <c r="ES222" i="6"/>
  <c r="EO222" i="6"/>
  <c r="EK222" i="6"/>
  <c r="DS157" i="23" s="1"/>
  <c r="EV222" i="6"/>
  <c r="DS146" i="23" s="1"/>
  <c r="ER222" i="6"/>
  <c r="EN222" i="6"/>
  <c r="ET222" i="6"/>
  <c r="EL222" i="6"/>
  <c r="EQ222" i="6"/>
  <c r="EP222" i="6"/>
  <c r="EM222" i="6"/>
  <c r="EU222" i="6"/>
  <c r="DS147" i="23" s="1"/>
  <c r="DE222" i="6"/>
  <c r="DS111" i="23" s="1"/>
  <c r="DA222" i="6"/>
  <c r="CW222" i="6"/>
  <c r="DD222" i="6"/>
  <c r="CZ222" i="6"/>
  <c r="CV222" i="6"/>
  <c r="DC222" i="6"/>
  <c r="CY222" i="6"/>
  <c r="CU222" i="6"/>
  <c r="DS121" i="23" s="1"/>
  <c r="CX222" i="6"/>
  <c r="DF222" i="6"/>
  <c r="DS110" i="23" s="1"/>
  <c r="BN222" i="6"/>
  <c r="BJ222" i="6"/>
  <c r="DS80" i="23" s="1"/>
  <c r="BF222" i="6"/>
  <c r="DS84" i="23" s="1"/>
  <c r="BM222" i="6"/>
  <c r="BI222" i="6"/>
  <c r="DS81" i="23" s="1"/>
  <c r="BE222" i="6"/>
  <c r="DS85" i="23" s="1"/>
  <c r="DB222" i="6"/>
  <c r="BP222" i="6"/>
  <c r="DS74" i="23" s="1"/>
  <c r="BL222" i="6"/>
  <c r="DS78" i="23" s="1"/>
  <c r="BH222" i="6"/>
  <c r="DS82" i="23" s="1"/>
  <c r="BG222" i="6"/>
  <c r="DS83" i="23" s="1"/>
  <c r="BK222" i="6"/>
  <c r="DS79" i="23" s="1"/>
  <c r="BO222" i="6"/>
  <c r="DS75" i="23" s="1"/>
  <c r="CT225" i="6"/>
  <c r="ES225" i="6"/>
  <c r="EO225" i="6"/>
  <c r="EK225" i="6"/>
  <c r="DU157" i="23" s="1"/>
  <c r="EV225" i="6"/>
  <c r="DU146" i="23" s="1"/>
  <c r="ER225" i="6"/>
  <c r="EN225" i="6"/>
  <c r="ET225" i="6"/>
  <c r="EL225" i="6"/>
  <c r="EQ225" i="6"/>
  <c r="EM225" i="6"/>
  <c r="EU225" i="6"/>
  <c r="DU147" i="23" s="1"/>
  <c r="EP225" i="6"/>
  <c r="DE225" i="6"/>
  <c r="DU111" i="23" s="1"/>
  <c r="DA225" i="6"/>
  <c r="CW225" i="6"/>
  <c r="DD225" i="6"/>
  <c r="CZ225" i="6"/>
  <c r="CV225" i="6"/>
  <c r="DC225" i="6"/>
  <c r="CY225" i="6"/>
  <c r="CU225" i="6"/>
  <c r="DU121" i="23" s="1"/>
  <c r="DF225" i="6"/>
  <c r="DU110" i="23" s="1"/>
  <c r="DB225" i="6"/>
  <c r="CX225" i="6"/>
  <c r="BN225" i="6"/>
  <c r="BJ225" i="6"/>
  <c r="DU80" i="23" s="1"/>
  <c r="BF225" i="6"/>
  <c r="DU84" i="23" s="1"/>
  <c r="BM225" i="6"/>
  <c r="BI225" i="6"/>
  <c r="DU81" i="23" s="1"/>
  <c r="BE225" i="6"/>
  <c r="DU85" i="23" s="1"/>
  <c r="BP225" i="6"/>
  <c r="DU74" i="23" s="1"/>
  <c r="BL225" i="6"/>
  <c r="DU78" i="23" s="1"/>
  <c r="BH225" i="6"/>
  <c r="DU82" i="23" s="1"/>
  <c r="BO225" i="6"/>
  <c r="DU75" i="23" s="1"/>
  <c r="BK225" i="6"/>
  <c r="DU79" i="23" s="1"/>
  <c r="BG225" i="6"/>
  <c r="DU83" i="23" s="1"/>
  <c r="CT228" i="6"/>
  <c r="ES228" i="6"/>
  <c r="EO228" i="6"/>
  <c r="DW153" i="23" s="1"/>
  <c r="EK228" i="6"/>
  <c r="DW157" i="23" s="1"/>
  <c r="EV228" i="6"/>
  <c r="DW146" i="23" s="1"/>
  <c r="ER228" i="6"/>
  <c r="DW150" i="23" s="1"/>
  <c r="EN228" i="6"/>
  <c r="DW154" i="23" s="1"/>
  <c r="ET228" i="6"/>
  <c r="EL228" i="6"/>
  <c r="DW156" i="23" s="1"/>
  <c r="EQ228" i="6"/>
  <c r="DW151" i="23" s="1"/>
  <c r="EP228" i="6"/>
  <c r="DW152" i="23" s="1"/>
  <c r="EU228" i="6"/>
  <c r="DW147" i="23" s="1"/>
  <c r="EM228" i="6"/>
  <c r="DW155" i="23" s="1"/>
  <c r="DE228" i="6"/>
  <c r="DW111" i="23" s="1"/>
  <c r="DA228" i="6"/>
  <c r="DW115" i="23" s="1"/>
  <c r="CW228" i="6"/>
  <c r="DW119" i="23" s="1"/>
  <c r="DD228" i="6"/>
  <c r="CZ228" i="6"/>
  <c r="DW116" i="23" s="1"/>
  <c r="CV228" i="6"/>
  <c r="DW120" i="23" s="1"/>
  <c r="DC228" i="6"/>
  <c r="CY228" i="6"/>
  <c r="DW117" i="23" s="1"/>
  <c r="CU228" i="6"/>
  <c r="DW121" i="23" s="1"/>
  <c r="CX228" i="6"/>
  <c r="DW118" i="23" s="1"/>
  <c r="DF228" i="6"/>
  <c r="DW110" i="23" s="1"/>
  <c r="BN228" i="6"/>
  <c r="BJ228" i="6"/>
  <c r="DW80" i="23" s="1"/>
  <c r="BF228" i="6"/>
  <c r="DW84" i="23" s="1"/>
  <c r="BM228" i="6"/>
  <c r="BI228" i="6"/>
  <c r="DW81" i="23" s="1"/>
  <c r="BE228" i="6"/>
  <c r="DW85" i="23" s="1"/>
  <c r="BP228" i="6"/>
  <c r="DW74" i="23" s="1"/>
  <c r="BL228" i="6"/>
  <c r="DW78" i="23" s="1"/>
  <c r="BH228" i="6"/>
  <c r="DW82" i="23" s="1"/>
  <c r="BG228" i="6"/>
  <c r="DW83" i="23" s="1"/>
  <c r="DB228" i="6"/>
  <c r="DW114" i="23" s="1"/>
  <c r="BO228" i="6"/>
  <c r="DW75" i="23" s="1"/>
  <c r="BK228" i="6"/>
  <c r="DW79" i="23" s="1"/>
  <c r="CT245" i="6"/>
  <c r="ES245" i="6"/>
  <c r="EO245" i="6"/>
  <c r="EK245" i="6"/>
  <c r="EV245" i="6"/>
  <c r="ER245" i="6"/>
  <c r="EN245" i="6"/>
  <c r="EU245" i="6"/>
  <c r="EQ245" i="6"/>
  <c r="EM245" i="6"/>
  <c r="ET245" i="6"/>
  <c r="EP245" i="6"/>
  <c r="EL245" i="6"/>
  <c r="DE245" i="6"/>
  <c r="DA245" i="6"/>
  <c r="CW245" i="6"/>
  <c r="DD245" i="6"/>
  <c r="CZ245" i="6"/>
  <c r="CV245" i="6"/>
  <c r="DC245" i="6"/>
  <c r="CY245" i="6"/>
  <c r="CU245" i="6"/>
  <c r="DB245" i="6"/>
  <c r="CX245" i="6"/>
  <c r="BN245" i="6"/>
  <c r="BR245" i="6" s="1"/>
  <c r="BJ245" i="6"/>
  <c r="BF245" i="6"/>
  <c r="BM245" i="6"/>
  <c r="BI245" i="6"/>
  <c r="BE245" i="6"/>
  <c r="BP245" i="6"/>
  <c r="BL245" i="6"/>
  <c r="BH245" i="6"/>
  <c r="BK245" i="6"/>
  <c r="BO245" i="6"/>
  <c r="BG245" i="6"/>
  <c r="DF245" i="6"/>
  <c r="CT180" i="6"/>
  <c r="ES180" i="6"/>
  <c r="EO180" i="6"/>
  <c r="EK180" i="6"/>
  <c r="CL157" i="23" s="1"/>
  <c r="EV180" i="6"/>
  <c r="CL146" i="23" s="1"/>
  <c r="ER180" i="6"/>
  <c r="EN180" i="6"/>
  <c r="EU180" i="6"/>
  <c r="CL147" i="23" s="1"/>
  <c r="EM180" i="6"/>
  <c r="ET180" i="6"/>
  <c r="EP180" i="6"/>
  <c r="EL180" i="6"/>
  <c r="DE180" i="6"/>
  <c r="CL111" i="23" s="1"/>
  <c r="DA180" i="6"/>
  <c r="CW180" i="6"/>
  <c r="DD180" i="6"/>
  <c r="CZ180" i="6"/>
  <c r="CV180" i="6"/>
  <c r="DC180" i="6"/>
  <c r="CY180" i="6"/>
  <c r="CU180" i="6"/>
  <c r="CL121" i="23" s="1"/>
  <c r="EQ180" i="6"/>
  <c r="DF180" i="6"/>
  <c r="CL110" i="23" s="1"/>
  <c r="DB180" i="6"/>
  <c r="BN180" i="6"/>
  <c r="BJ180" i="6"/>
  <c r="CL80" i="23" s="1"/>
  <c r="BF180" i="6"/>
  <c r="CL84" i="23" s="1"/>
  <c r="BM180" i="6"/>
  <c r="BI180" i="6"/>
  <c r="CL81" i="23" s="1"/>
  <c r="BE180" i="6"/>
  <c r="CL85" i="23" s="1"/>
  <c r="BP180" i="6"/>
  <c r="CL74" i="23" s="1"/>
  <c r="BL180" i="6"/>
  <c r="CL78" i="23" s="1"/>
  <c r="BH180" i="6"/>
  <c r="CL82" i="23" s="1"/>
  <c r="BO180" i="6"/>
  <c r="CL75" i="23" s="1"/>
  <c r="CX180" i="6"/>
  <c r="BK180" i="6"/>
  <c r="CL79" i="23" s="1"/>
  <c r="BG180" i="6"/>
  <c r="CL83" i="23" s="1"/>
  <c r="ES183" i="6"/>
  <c r="EO183" i="6"/>
  <c r="CN153" i="23" s="1"/>
  <c r="EK183" i="6"/>
  <c r="CN157" i="23" s="1"/>
  <c r="EV183" i="6"/>
  <c r="CN146" i="23" s="1"/>
  <c r="ER183" i="6"/>
  <c r="CN150" i="23" s="1"/>
  <c r="EN183" i="6"/>
  <c r="CN154" i="23" s="1"/>
  <c r="EU183" i="6"/>
  <c r="CN147" i="23" s="1"/>
  <c r="EM183" i="6"/>
  <c r="CN155" i="23" s="1"/>
  <c r="EQ183" i="6"/>
  <c r="CN151" i="23" s="1"/>
  <c r="EL183" i="6"/>
  <c r="CN156" i="23" s="1"/>
  <c r="ET183" i="6"/>
  <c r="DE183" i="6"/>
  <c r="CN111" i="23" s="1"/>
  <c r="DA183" i="6"/>
  <c r="CN115" i="23" s="1"/>
  <c r="CW183" i="6"/>
  <c r="CN119" i="23" s="1"/>
  <c r="DD183" i="6"/>
  <c r="CZ183" i="6"/>
  <c r="CN116" i="23" s="1"/>
  <c r="CV183" i="6"/>
  <c r="CN120" i="23" s="1"/>
  <c r="EP183" i="6"/>
  <c r="CN152" i="23" s="1"/>
  <c r="DC183" i="6"/>
  <c r="CY183" i="6"/>
  <c r="CN117" i="23" s="1"/>
  <c r="CU183" i="6"/>
  <c r="CN121" i="23" s="1"/>
  <c r="DB183" i="6"/>
  <c r="CN114" i="23" s="1"/>
  <c r="CX183" i="6"/>
  <c r="CN118" i="23" s="1"/>
  <c r="BN183" i="6"/>
  <c r="BJ183" i="6"/>
  <c r="CN80" i="23" s="1"/>
  <c r="BF183" i="6"/>
  <c r="CN84" i="23" s="1"/>
  <c r="DF183" i="6"/>
  <c r="CN110" i="23" s="1"/>
  <c r="BM183" i="6"/>
  <c r="BI183" i="6"/>
  <c r="CN81" i="23" s="1"/>
  <c r="BE183" i="6"/>
  <c r="CN85" i="23" s="1"/>
  <c r="BP183" i="6"/>
  <c r="CN74" i="23" s="1"/>
  <c r="BL183" i="6"/>
  <c r="CN78" i="23" s="1"/>
  <c r="BH183" i="6"/>
  <c r="CN82" i="23" s="1"/>
  <c r="BK183" i="6"/>
  <c r="CN79" i="23" s="1"/>
  <c r="BG183" i="6"/>
  <c r="CN83" i="23" s="1"/>
  <c r="BO183" i="6"/>
  <c r="CN75" i="23" s="1"/>
  <c r="CT189" i="6"/>
  <c r="ES189" i="6"/>
  <c r="EO189" i="6"/>
  <c r="EK189" i="6"/>
  <c r="CS157" i="23" s="1"/>
  <c r="EV189" i="6"/>
  <c r="CS146" i="23" s="1"/>
  <c r="ER189" i="6"/>
  <c r="EN189" i="6"/>
  <c r="EQ189" i="6"/>
  <c r="EU189" i="6"/>
  <c r="CS147" i="23" s="1"/>
  <c r="EL189" i="6"/>
  <c r="EP189" i="6"/>
  <c r="EM189" i="6"/>
  <c r="DE189" i="6"/>
  <c r="CS111" i="23" s="1"/>
  <c r="DA189" i="6"/>
  <c r="CW189" i="6"/>
  <c r="DD189" i="6"/>
  <c r="CZ189" i="6"/>
  <c r="CV189" i="6"/>
  <c r="DC189" i="6"/>
  <c r="CY189" i="6"/>
  <c r="CU189" i="6"/>
  <c r="CS121" i="23" s="1"/>
  <c r="DF189" i="6"/>
  <c r="CS110" i="23" s="1"/>
  <c r="DB189" i="6"/>
  <c r="CX189" i="6"/>
  <c r="ET189" i="6"/>
  <c r="BN189" i="6"/>
  <c r="BJ189" i="6"/>
  <c r="CS80" i="23" s="1"/>
  <c r="BF189" i="6"/>
  <c r="CS84" i="23" s="1"/>
  <c r="BM189" i="6"/>
  <c r="BI189" i="6"/>
  <c r="CS81" i="23" s="1"/>
  <c r="BE189" i="6"/>
  <c r="CS85" i="23" s="1"/>
  <c r="BP189" i="6"/>
  <c r="CS74" i="23" s="1"/>
  <c r="BL189" i="6"/>
  <c r="CS78" i="23" s="1"/>
  <c r="BH189" i="6"/>
  <c r="CS82" i="23" s="1"/>
  <c r="BO189" i="6"/>
  <c r="CS75" i="23" s="1"/>
  <c r="BK189" i="6"/>
  <c r="CS79" i="23" s="1"/>
  <c r="BG189" i="6"/>
  <c r="CS83" i="23" s="1"/>
  <c r="CT196" i="6"/>
  <c r="ES196" i="6"/>
  <c r="EO196" i="6"/>
  <c r="EK196" i="6"/>
  <c r="CY157" i="23" s="1"/>
  <c r="EV196" i="6"/>
  <c r="CY146" i="23" s="1"/>
  <c r="ER196" i="6"/>
  <c r="EN196" i="6"/>
  <c r="EQ196" i="6"/>
  <c r="EM196" i="6"/>
  <c r="ET196" i="6"/>
  <c r="EU196" i="6"/>
  <c r="CY147" i="23" s="1"/>
  <c r="EP196" i="6"/>
  <c r="EL196" i="6"/>
  <c r="DE196" i="6"/>
  <c r="CY111" i="23" s="1"/>
  <c r="DA196" i="6"/>
  <c r="CW196" i="6"/>
  <c r="DD196" i="6"/>
  <c r="CZ196" i="6"/>
  <c r="CV196" i="6"/>
  <c r="DC196" i="6"/>
  <c r="CY196" i="6"/>
  <c r="CU196" i="6"/>
  <c r="CY121" i="23" s="1"/>
  <c r="CX196" i="6"/>
  <c r="DF196" i="6"/>
  <c r="CY110" i="23" s="1"/>
  <c r="BN196" i="6"/>
  <c r="BJ196" i="6"/>
  <c r="CY80" i="23" s="1"/>
  <c r="BF196" i="6"/>
  <c r="CY84" i="23" s="1"/>
  <c r="DB196" i="6"/>
  <c r="BM196" i="6"/>
  <c r="BI196" i="6"/>
  <c r="CY81" i="23" s="1"/>
  <c r="BE196" i="6"/>
  <c r="CY85" i="23" s="1"/>
  <c r="BP196" i="6"/>
  <c r="CY74" i="23" s="1"/>
  <c r="BL196" i="6"/>
  <c r="CY78" i="23" s="1"/>
  <c r="BH196" i="6"/>
  <c r="CY82" i="23" s="1"/>
  <c r="BG196" i="6"/>
  <c r="CY83" i="23" s="1"/>
  <c r="BO196" i="6"/>
  <c r="CY75" i="23" s="1"/>
  <c r="BK196" i="6"/>
  <c r="CY79" i="23" s="1"/>
  <c r="ES199" i="6"/>
  <c r="EO199" i="6"/>
  <c r="EK199" i="6"/>
  <c r="DB157" i="23" s="1"/>
  <c r="EV199" i="6"/>
  <c r="DB146" i="23" s="1"/>
  <c r="ER199" i="6"/>
  <c r="EN199" i="6"/>
  <c r="EU199" i="6"/>
  <c r="DB147" i="23" s="1"/>
  <c r="EM199" i="6"/>
  <c r="ET199" i="6"/>
  <c r="EP199" i="6"/>
  <c r="EL199" i="6"/>
  <c r="DE199" i="6"/>
  <c r="DB111" i="23" s="1"/>
  <c r="DA199" i="6"/>
  <c r="CW199" i="6"/>
  <c r="DD199" i="6"/>
  <c r="CZ199" i="6"/>
  <c r="CV199" i="6"/>
  <c r="EQ199" i="6"/>
  <c r="DC199" i="6"/>
  <c r="CY199" i="6"/>
  <c r="CU199" i="6"/>
  <c r="DB121" i="23" s="1"/>
  <c r="DF199" i="6"/>
  <c r="DB110" i="23" s="1"/>
  <c r="DB199" i="6"/>
  <c r="BN199" i="6"/>
  <c r="BJ199" i="6"/>
  <c r="DB80" i="23" s="1"/>
  <c r="BF199" i="6"/>
  <c r="DB84" i="23" s="1"/>
  <c r="BM199" i="6"/>
  <c r="BI199" i="6"/>
  <c r="DB81" i="23" s="1"/>
  <c r="BE199" i="6"/>
  <c r="DB85" i="23" s="1"/>
  <c r="BP199" i="6"/>
  <c r="DB74" i="23" s="1"/>
  <c r="BL199" i="6"/>
  <c r="DB78" i="23" s="1"/>
  <c r="BH199" i="6"/>
  <c r="DB82" i="23" s="1"/>
  <c r="CX199" i="6"/>
  <c r="BO199" i="6"/>
  <c r="DB75" i="23" s="1"/>
  <c r="BG199" i="6"/>
  <c r="DB83" i="23" s="1"/>
  <c r="BK199" i="6"/>
  <c r="DB79" i="23" s="1"/>
  <c r="ES212" i="6"/>
  <c r="EO212" i="6"/>
  <c r="EK212" i="6"/>
  <c r="DM157" i="23" s="1"/>
  <c r="EV212" i="6"/>
  <c r="DM146" i="23" s="1"/>
  <c r="ER212" i="6"/>
  <c r="EN212" i="6"/>
  <c r="EQ212" i="6"/>
  <c r="EP212" i="6"/>
  <c r="EU212" i="6"/>
  <c r="DM147" i="23" s="1"/>
  <c r="EL212" i="6"/>
  <c r="ET212" i="6"/>
  <c r="EM212" i="6"/>
  <c r="DE212" i="6"/>
  <c r="DM111" i="23" s="1"/>
  <c r="DA212" i="6"/>
  <c r="CW212" i="6"/>
  <c r="DD212" i="6"/>
  <c r="CZ212" i="6"/>
  <c r="CV212" i="6"/>
  <c r="DC212" i="6"/>
  <c r="CY212" i="6"/>
  <c r="CU212" i="6"/>
  <c r="DM121" i="23" s="1"/>
  <c r="DF212" i="6"/>
  <c r="DM110" i="23" s="1"/>
  <c r="DB212" i="6"/>
  <c r="CX212" i="6"/>
  <c r="BN212" i="6"/>
  <c r="BJ212" i="6"/>
  <c r="DM80" i="23" s="1"/>
  <c r="BF212" i="6"/>
  <c r="DM84" i="23" s="1"/>
  <c r="BM212" i="6"/>
  <c r="BI212" i="6"/>
  <c r="DM81" i="23" s="1"/>
  <c r="BE212" i="6"/>
  <c r="DM85" i="23" s="1"/>
  <c r="BP212" i="6"/>
  <c r="DM74" i="23" s="1"/>
  <c r="BL212" i="6"/>
  <c r="DM78" i="23" s="1"/>
  <c r="BH212" i="6"/>
  <c r="DM82" i="23" s="1"/>
  <c r="BO212" i="6"/>
  <c r="DM75" i="23" s="1"/>
  <c r="BK212" i="6"/>
  <c r="DM79" i="23" s="1"/>
  <c r="BG212" i="6"/>
  <c r="DM83" i="23" s="1"/>
  <c r="CT215" i="6"/>
  <c r="ES215" i="6"/>
  <c r="EO215" i="6"/>
  <c r="DO153" i="23" s="1"/>
  <c r="EK215" i="6"/>
  <c r="DO157" i="23" s="1"/>
  <c r="EV215" i="6"/>
  <c r="DO146" i="23" s="1"/>
  <c r="ER215" i="6"/>
  <c r="DO150" i="23" s="1"/>
  <c r="EN215" i="6"/>
  <c r="DO154" i="23" s="1"/>
  <c r="EQ215" i="6"/>
  <c r="DO151" i="23" s="1"/>
  <c r="EM215" i="6"/>
  <c r="DO155" i="23" s="1"/>
  <c r="ET215" i="6"/>
  <c r="EU215" i="6"/>
  <c r="DO147" i="23" s="1"/>
  <c r="EP215" i="6"/>
  <c r="DO152" i="23" s="1"/>
  <c r="DE215" i="6"/>
  <c r="DO111" i="23" s="1"/>
  <c r="DA215" i="6"/>
  <c r="DO115" i="23" s="1"/>
  <c r="CW215" i="6"/>
  <c r="DO119" i="23" s="1"/>
  <c r="DD215" i="6"/>
  <c r="CZ215" i="6"/>
  <c r="DO116" i="23" s="1"/>
  <c r="CV215" i="6"/>
  <c r="DO120" i="23" s="1"/>
  <c r="DC215" i="6"/>
  <c r="CY215" i="6"/>
  <c r="DO117" i="23" s="1"/>
  <c r="CU215" i="6"/>
  <c r="DO121" i="23" s="1"/>
  <c r="EL215" i="6"/>
  <c r="DO156" i="23" s="1"/>
  <c r="CX215" i="6"/>
  <c r="DO118" i="23" s="1"/>
  <c r="DF215" i="6"/>
  <c r="DO110" i="23" s="1"/>
  <c r="BN215" i="6"/>
  <c r="BJ215" i="6"/>
  <c r="DO80" i="23" s="1"/>
  <c r="BF215" i="6"/>
  <c r="DO84" i="23" s="1"/>
  <c r="DB215" i="6"/>
  <c r="DO114" i="23" s="1"/>
  <c r="BM215" i="6"/>
  <c r="BI215" i="6"/>
  <c r="DO81" i="23" s="1"/>
  <c r="BE215" i="6"/>
  <c r="DO85" i="23" s="1"/>
  <c r="BP215" i="6"/>
  <c r="DO74" i="23" s="1"/>
  <c r="BL215" i="6"/>
  <c r="DO78" i="23" s="1"/>
  <c r="BH215" i="6"/>
  <c r="DO82" i="23" s="1"/>
  <c r="BG215" i="6"/>
  <c r="DO83" i="23" s="1"/>
  <c r="BK215" i="6"/>
  <c r="DO79" i="23" s="1"/>
  <c r="BO215" i="6"/>
  <c r="DO75" i="23" s="1"/>
  <c r="CT226" i="6"/>
  <c r="ES226" i="6"/>
  <c r="EO226" i="6"/>
  <c r="EK226" i="6"/>
  <c r="DV157" i="23" s="1"/>
  <c r="EV226" i="6"/>
  <c r="DV146" i="23" s="1"/>
  <c r="ER226" i="6"/>
  <c r="EN226" i="6"/>
  <c r="EP226" i="6"/>
  <c r="EU226" i="6"/>
  <c r="DV147" i="23" s="1"/>
  <c r="EM226" i="6"/>
  <c r="EL226" i="6"/>
  <c r="ET226" i="6"/>
  <c r="EQ226" i="6"/>
  <c r="DE226" i="6"/>
  <c r="DV111" i="23" s="1"/>
  <c r="DA226" i="6"/>
  <c r="CW226" i="6"/>
  <c r="DD226" i="6"/>
  <c r="CZ226" i="6"/>
  <c r="CV226" i="6"/>
  <c r="DC226" i="6"/>
  <c r="CY226" i="6"/>
  <c r="CU226" i="6"/>
  <c r="DV121" i="23" s="1"/>
  <c r="DF226" i="6"/>
  <c r="DV110" i="23" s="1"/>
  <c r="DB226" i="6"/>
  <c r="CX226" i="6"/>
  <c r="BN226" i="6"/>
  <c r="BJ226" i="6"/>
  <c r="DV80" i="23" s="1"/>
  <c r="BF226" i="6"/>
  <c r="DV84" i="23" s="1"/>
  <c r="BM226" i="6"/>
  <c r="BI226" i="6"/>
  <c r="DV81" i="23" s="1"/>
  <c r="BE226" i="6"/>
  <c r="DV85" i="23" s="1"/>
  <c r="BP226" i="6"/>
  <c r="DV74" i="23" s="1"/>
  <c r="BL226" i="6"/>
  <c r="DV78" i="23" s="1"/>
  <c r="BH226" i="6"/>
  <c r="DV82" i="23" s="1"/>
  <c r="BO226" i="6"/>
  <c r="DV75" i="23" s="1"/>
  <c r="BG226" i="6"/>
  <c r="DV83" i="23" s="1"/>
  <c r="BK226" i="6"/>
  <c r="DV79" i="23" s="1"/>
  <c r="CT229" i="6"/>
  <c r="ES229" i="6"/>
  <c r="EO229" i="6"/>
  <c r="EK229" i="6"/>
  <c r="DX157" i="23" s="1"/>
  <c r="EV229" i="6"/>
  <c r="DX146" i="23" s="1"/>
  <c r="ER229" i="6"/>
  <c r="EN229" i="6"/>
  <c r="EP229" i="6"/>
  <c r="EU229" i="6"/>
  <c r="DX147" i="23" s="1"/>
  <c r="EM229" i="6"/>
  <c r="ET229" i="6"/>
  <c r="EQ229" i="6"/>
  <c r="EL229" i="6"/>
  <c r="DE229" i="6"/>
  <c r="DX111" i="23" s="1"/>
  <c r="DA229" i="6"/>
  <c r="CW229" i="6"/>
  <c r="DD229" i="6"/>
  <c r="CZ229" i="6"/>
  <c r="CV229" i="6"/>
  <c r="DC229" i="6"/>
  <c r="CY229" i="6"/>
  <c r="CU229" i="6"/>
  <c r="DX121" i="23" s="1"/>
  <c r="DB229" i="6"/>
  <c r="CX229" i="6"/>
  <c r="BN229" i="6"/>
  <c r="BJ229" i="6"/>
  <c r="DX80" i="23" s="1"/>
  <c r="BF229" i="6"/>
  <c r="DX84" i="23" s="1"/>
  <c r="BM229" i="6"/>
  <c r="BI229" i="6"/>
  <c r="DX81" i="23" s="1"/>
  <c r="BE229" i="6"/>
  <c r="DX85" i="23" s="1"/>
  <c r="DF229" i="6"/>
  <c r="DX110" i="23" s="1"/>
  <c r="BP229" i="6"/>
  <c r="DX74" i="23" s="1"/>
  <c r="BL229" i="6"/>
  <c r="DX78" i="23" s="1"/>
  <c r="BH229" i="6"/>
  <c r="DX82" i="23" s="1"/>
  <c r="BK229" i="6"/>
  <c r="DX79" i="23" s="1"/>
  <c r="BO229" i="6"/>
  <c r="DX75" i="23" s="1"/>
  <c r="BG229" i="6"/>
  <c r="DX83" i="23" s="1"/>
  <c r="CT242" i="6"/>
  <c r="ES242" i="6"/>
  <c r="EO242" i="6"/>
  <c r="EK242" i="6"/>
  <c r="EV242" i="6"/>
  <c r="ER242" i="6"/>
  <c r="EN242" i="6"/>
  <c r="EU242" i="6"/>
  <c r="EQ242" i="6"/>
  <c r="EM242" i="6"/>
  <c r="EL242" i="6"/>
  <c r="ET242" i="6"/>
  <c r="EP242" i="6"/>
  <c r="DE242" i="6"/>
  <c r="DA242" i="6"/>
  <c r="CW242" i="6"/>
  <c r="DD242" i="6"/>
  <c r="CZ242" i="6"/>
  <c r="CV242" i="6"/>
  <c r="DC242" i="6"/>
  <c r="CY242" i="6"/>
  <c r="CU242" i="6"/>
  <c r="DF242" i="6"/>
  <c r="DB242" i="6"/>
  <c r="CX242" i="6"/>
  <c r="BN242" i="6"/>
  <c r="BR242" i="6" s="1"/>
  <c r="BJ242" i="6"/>
  <c r="BF242" i="6"/>
  <c r="BM242" i="6"/>
  <c r="BI242" i="6"/>
  <c r="BE242" i="6"/>
  <c r="BP242" i="6"/>
  <c r="BL242" i="6"/>
  <c r="BH242" i="6"/>
  <c r="BO242" i="6"/>
  <c r="BK242" i="6"/>
  <c r="BG242" i="6"/>
  <c r="CT246" i="6"/>
  <c r="ES246" i="6"/>
  <c r="EO246" i="6"/>
  <c r="EK246" i="6"/>
  <c r="EV246" i="6"/>
  <c r="ER246" i="6"/>
  <c r="EN246" i="6"/>
  <c r="EU246" i="6"/>
  <c r="EQ246" i="6"/>
  <c r="EM246" i="6"/>
  <c r="EL246" i="6"/>
  <c r="EP246" i="6"/>
  <c r="ET246" i="6"/>
  <c r="DE246" i="6"/>
  <c r="DA246" i="6"/>
  <c r="CW246" i="6"/>
  <c r="DD246" i="6"/>
  <c r="CZ246" i="6"/>
  <c r="CV246" i="6"/>
  <c r="DC246" i="6"/>
  <c r="CY246" i="6"/>
  <c r="CU246" i="6"/>
  <c r="DF246" i="6"/>
  <c r="DB246" i="6"/>
  <c r="CX246" i="6"/>
  <c r="BN246" i="6"/>
  <c r="BR246" i="6" s="1"/>
  <c r="BJ246" i="6"/>
  <c r="BF246" i="6"/>
  <c r="BM246" i="6"/>
  <c r="BI246" i="6"/>
  <c r="BE246" i="6"/>
  <c r="BP246" i="6"/>
  <c r="BL246" i="6"/>
  <c r="BH246" i="6"/>
  <c r="BO246" i="6"/>
  <c r="BK246" i="6"/>
  <c r="BG246" i="6"/>
  <c r="CT7" i="6"/>
  <c r="EJ7" i="6" s="1"/>
  <c r="ES7" i="6"/>
  <c r="EV7" i="6"/>
  <c r="EQ7" i="6"/>
  <c r="EM7" i="6"/>
  <c r="EU7" i="6"/>
  <c r="EP7" i="6"/>
  <c r="EL7" i="6"/>
  <c r="ET7" i="6"/>
  <c r="EO7" i="6"/>
  <c r="EK7" i="6"/>
  <c r="EN7" i="6"/>
  <c r="DD7" i="6"/>
  <c r="CZ7" i="6"/>
  <c r="CV7" i="6"/>
  <c r="ER7" i="6"/>
  <c r="DC7" i="6"/>
  <c r="CY7" i="6"/>
  <c r="CU7" i="6"/>
  <c r="BM7" i="6"/>
  <c r="BI7" i="6"/>
  <c r="BE7" i="6"/>
  <c r="DF7" i="6"/>
  <c r="DB7" i="6"/>
  <c r="CX7" i="6"/>
  <c r="BP7" i="6"/>
  <c r="BL7" i="6"/>
  <c r="BH7" i="6"/>
  <c r="CW7" i="6"/>
  <c r="BO7" i="6"/>
  <c r="BG7" i="6"/>
  <c r="DA7" i="6"/>
  <c r="BJ7" i="6"/>
  <c r="BN7" i="6"/>
  <c r="BF7" i="6"/>
  <c r="DE7" i="6"/>
  <c r="BK7" i="6"/>
  <c r="CT33" i="6"/>
  <c r="ET33" i="6"/>
  <c r="EP33" i="6"/>
  <c r="EL33" i="6"/>
  <c r="ES33" i="6"/>
  <c r="EO33" i="6"/>
  <c r="EK33" i="6"/>
  <c r="EV33" i="6"/>
  <c r="EN33" i="6"/>
  <c r="EU33" i="6"/>
  <c r="EM33" i="6"/>
  <c r="ER33" i="6"/>
  <c r="DC33" i="6"/>
  <c r="CY33" i="6"/>
  <c r="CU33" i="6"/>
  <c r="EQ33" i="6"/>
  <c r="DF33" i="6"/>
  <c r="DB33" i="6"/>
  <c r="CX33" i="6"/>
  <c r="DE33" i="6"/>
  <c r="DA33" i="6"/>
  <c r="CW33" i="6"/>
  <c r="DD33" i="6"/>
  <c r="BN33" i="6"/>
  <c r="BJ33" i="6"/>
  <c r="BF33" i="6"/>
  <c r="CZ33" i="6"/>
  <c r="BM33" i="6"/>
  <c r="BI33" i="6"/>
  <c r="BE33" i="6"/>
  <c r="CV33" i="6"/>
  <c r="BP33" i="6"/>
  <c r="BL33" i="6"/>
  <c r="BH33" i="6"/>
  <c r="BO33" i="6"/>
  <c r="BK33" i="6"/>
  <c r="BG33" i="6"/>
  <c r="ET53" i="4"/>
  <c r="EP53" i="4"/>
  <c r="EL53" i="4"/>
  <c r="ES53" i="4"/>
  <c r="EO53" i="4"/>
  <c r="ER53" i="4"/>
  <c r="EQ53" i="4"/>
  <c r="EV53" i="4"/>
  <c r="EN53" i="4"/>
  <c r="DC53" i="4"/>
  <c r="CY53" i="4"/>
  <c r="EU53" i="4"/>
  <c r="DF53" i="4"/>
  <c r="DB53" i="4"/>
  <c r="CX53" i="4"/>
  <c r="EM53" i="4"/>
  <c r="DE53" i="4"/>
  <c r="DA53" i="4"/>
  <c r="CW53" i="4"/>
  <c r="DD53" i="4"/>
  <c r="CZ53" i="4"/>
  <c r="CV53" i="4"/>
  <c r="CT65" i="6"/>
  <c r="EJ65" i="6" s="1"/>
  <c r="ET65" i="6"/>
  <c r="EX65" i="6" s="1"/>
  <c r="EP65" i="6"/>
  <c r="EL65" i="6"/>
  <c r="ES65" i="6"/>
  <c r="EO65" i="6"/>
  <c r="EK65" i="6"/>
  <c r="EV65" i="6"/>
  <c r="EN65" i="6"/>
  <c r="EU65" i="6"/>
  <c r="EM65" i="6"/>
  <c r="ER65" i="6"/>
  <c r="DC65" i="6"/>
  <c r="CY65" i="6"/>
  <c r="CU65" i="6"/>
  <c r="DF65" i="6"/>
  <c r="DB65" i="6"/>
  <c r="CX65" i="6"/>
  <c r="DE65" i="6"/>
  <c r="DA65" i="6"/>
  <c r="CW65" i="6"/>
  <c r="DD65" i="6"/>
  <c r="DH65" i="6" s="1"/>
  <c r="BN65" i="6"/>
  <c r="BR65" i="6" s="1"/>
  <c r="BJ65" i="6"/>
  <c r="BF65" i="6"/>
  <c r="EQ65" i="6"/>
  <c r="CZ65" i="6"/>
  <c r="BM65" i="6"/>
  <c r="BI65" i="6"/>
  <c r="BE65" i="6"/>
  <c r="CV65" i="6"/>
  <c r="BP65" i="6"/>
  <c r="BL65" i="6"/>
  <c r="BH65" i="6"/>
  <c r="BO65" i="6"/>
  <c r="BK65" i="6"/>
  <c r="BG65" i="6"/>
  <c r="CT96" i="6"/>
  <c r="ET96" i="6"/>
  <c r="EP96" i="6"/>
  <c r="EL96" i="6"/>
  <c r="ES96" i="6"/>
  <c r="EO96" i="6"/>
  <c r="EK96" i="6"/>
  <c r="W157" i="23" s="1"/>
  <c r="EV96" i="6"/>
  <c r="W146" i="23" s="1"/>
  <c r="ER96" i="6"/>
  <c r="EN96" i="6"/>
  <c r="EU96" i="6"/>
  <c r="W147" i="23" s="1"/>
  <c r="EQ96" i="6"/>
  <c r="EM96" i="6"/>
  <c r="DC96" i="6"/>
  <c r="CY96" i="6"/>
  <c r="CU96" i="6"/>
  <c r="W121" i="23" s="1"/>
  <c r="DF96" i="6"/>
  <c r="W110" i="23" s="1"/>
  <c r="DB96" i="6"/>
  <c r="CX96" i="6"/>
  <c r="DE96" i="6"/>
  <c r="W111" i="23" s="1"/>
  <c r="DA96" i="6"/>
  <c r="CW96" i="6"/>
  <c r="CV96" i="6"/>
  <c r="BN96" i="6"/>
  <c r="BJ96" i="6"/>
  <c r="W80" i="23" s="1"/>
  <c r="BF96" i="6"/>
  <c r="W84" i="23" s="1"/>
  <c r="BM96" i="6"/>
  <c r="BI96" i="6"/>
  <c r="W81" i="23" s="1"/>
  <c r="BE96" i="6"/>
  <c r="W85" i="23" s="1"/>
  <c r="DD96" i="6"/>
  <c r="BP96" i="6"/>
  <c r="W74" i="23" s="1"/>
  <c r="BL96" i="6"/>
  <c r="W78" i="23" s="1"/>
  <c r="BH96" i="6"/>
  <c r="W82" i="23" s="1"/>
  <c r="CZ96" i="6"/>
  <c r="BG96" i="6"/>
  <c r="W83" i="23" s="1"/>
  <c r="BO96" i="6"/>
  <c r="W75" i="23" s="1"/>
  <c r="BK96" i="6"/>
  <c r="W79" i="23" s="1"/>
  <c r="CT119" i="6"/>
  <c r="EU119" i="6"/>
  <c r="AO147" i="23" s="1"/>
  <c r="EQ119" i="6"/>
  <c r="EM119" i="6"/>
  <c r="ES119" i="6"/>
  <c r="EO119" i="6"/>
  <c r="EK119" i="6"/>
  <c r="AO157" i="23" s="1"/>
  <c r="EV119" i="6"/>
  <c r="AO146" i="23" s="1"/>
  <c r="EN119" i="6"/>
  <c r="ET119" i="6"/>
  <c r="EL119" i="6"/>
  <c r="ER119" i="6"/>
  <c r="EP119" i="6"/>
  <c r="DC119" i="6"/>
  <c r="CY119" i="6"/>
  <c r="CU119" i="6"/>
  <c r="AO121" i="23" s="1"/>
  <c r="DF119" i="6"/>
  <c r="AO110" i="23" s="1"/>
  <c r="DB119" i="6"/>
  <c r="CX119" i="6"/>
  <c r="DE119" i="6"/>
  <c r="AO111" i="23" s="1"/>
  <c r="DA119" i="6"/>
  <c r="CW119" i="6"/>
  <c r="DD119" i="6"/>
  <c r="BN119" i="6"/>
  <c r="BJ119" i="6"/>
  <c r="AO80" i="23" s="1"/>
  <c r="BF119" i="6"/>
  <c r="AO84" i="23" s="1"/>
  <c r="CZ119" i="6"/>
  <c r="BM119" i="6"/>
  <c r="BI119" i="6"/>
  <c r="AO81" i="23" s="1"/>
  <c r="BE119" i="6"/>
  <c r="AO85" i="23" s="1"/>
  <c r="CV119" i="6"/>
  <c r="BP119" i="6"/>
  <c r="AO74" i="23" s="1"/>
  <c r="BL119" i="6"/>
  <c r="AO78" i="23" s="1"/>
  <c r="BH119" i="6"/>
  <c r="AO82" i="23" s="1"/>
  <c r="BO119" i="6"/>
  <c r="AO75" i="23" s="1"/>
  <c r="BK119" i="6"/>
  <c r="AO79" i="23" s="1"/>
  <c r="BG119" i="6"/>
  <c r="AO83" i="23" s="1"/>
  <c r="CT123" i="6"/>
  <c r="EU123" i="6"/>
  <c r="AS147" i="23" s="1"/>
  <c r="EQ123" i="6"/>
  <c r="EM123" i="6"/>
  <c r="ES123" i="6"/>
  <c r="EO123" i="6"/>
  <c r="EK123" i="6"/>
  <c r="AS157" i="23" s="1"/>
  <c r="EV123" i="6"/>
  <c r="AS146" i="23" s="1"/>
  <c r="EN123" i="6"/>
  <c r="ET123" i="6"/>
  <c r="EL123" i="6"/>
  <c r="ER123" i="6"/>
  <c r="EP123" i="6"/>
  <c r="DC123" i="6"/>
  <c r="CY123" i="6"/>
  <c r="CU123" i="6"/>
  <c r="AS121" i="23" s="1"/>
  <c r="DF123" i="6"/>
  <c r="AS110" i="23" s="1"/>
  <c r="DB123" i="6"/>
  <c r="CX123" i="6"/>
  <c r="DE123" i="6"/>
  <c r="AS111" i="23" s="1"/>
  <c r="DA123" i="6"/>
  <c r="CW123" i="6"/>
  <c r="DD123" i="6"/>
  <c r="BN123" i="6"/>
  <c r="BJ123" i="6"/>
  <c r="AS80" i="23" s="1"/>
  <c r="BF123" i="6"/>
  <c r="AS84" i="23" s="1"/>
  <c r="CZ123" i="6"/>
  <c r="BM123" i="6"/>
  <c r="BI123" i="6"/>
  <c r="AS81" i="23" s="1"/>
  <c r="BE123" i="6"/>
  <c r="AS85" i="23" s="1"/>
  <c r="CV123" i="6"/>
  <c r="BP123" i="6"/>
  <c r="AS74" i="23" s="1"/>
  <c r="BL123" i="6"/>
  <c r="AS78" i="23" s="1"/>
  <c r="BH123" i="6"/>
  <c r="AS82" i="23" s="1"/>
  <c r="BO123" i="6"/>
  <c r="AS75" i="23" s="1"/>
  <c r="BK123" i="6"/>
  <c r="AS79" i="23" s="1"/>
  <c r="BG123" i="6"/>
  <c r="AS83" i="23" s="1"/>
  <c r="CT14" i="6"/>
  <c r="EJ14" i="6" s="1"/>
  <c r="ET14" i="6"/>
  <c r="EP14" i="6"/>
  <c r="EL14" i="6"/>
  <c r="ES14" i="6"/>
  <c r="EO14" i="6"/>
  <c r="EK14" i="6"/>
  <c r="ER14" i="6"/>
  <c r="EQ14" i="6"/>
  <c r="EV14" i="6"/>
  <c r="EN14" i="6"/>
  <c r="EU14" i="6"/>
  <c r="EM14" i="6"/>
  <c r="DD14" i="6"/>
  <c r="CZ14" i="6"/>
  <c r="CV14" i="6"/>
  <c r="BN14" i="6"/>
  <c r="BJ14" i="6"/>
  <c r="BF14" i="6"/>
  <c r="DC14" i="6"/>
  <c r="CY14" i="6"/>
  <c r="CU14" i="6"/>
  <c r="BM14" i="6"/>
  <c r="BI14" i="6"/>
  <c r="BE14" i="6"/>
  <c r="DF14" i="6"/>
  <c r="DB14" i="6"/>
  <c r="CX14" i="6"/>
  <c r="BP14" i="6"/>
  <c r="BL14" i="6"/>
  <c r="BH14" i="6"/>
  <c r="DA14" i="6"/>
  <c r="DE14" i="6"/>
  <c r="CW14" i="6"/>
  <c r="BO14" i="6"/>
  <c r="BG14" i="6"/>
  <c r="BK14" i="6"/>
  <c r="ET19" i="6"/>
  <c r="EP19" i="6"/>
  <c r="EL19" i="6"/>
  <c r="ES19" i="6"/>
  <c r="EO19" i="6"/>
  <c r="EK19" i="6"/>
  <c r="EV19" i="6"/>
  <c r="EN19" i="6"/>
  <c r="EU19" i="6"/>
  <c r="EM19" i="6"/>
  <c r="ER19" i="6"/>
  <c r="EQ19" i="6"/>
  <c r="DD19" i="6"/>
  <c r="CZ19" i="6"/>
  <c r="CV19" i="6"/>
  <c r="BN19" i="6"/>
  <c r="BJ19" i="6"/>
  <c r="BF19" i="6"/>
  <c r="DC19" i="6"/>
  <c r="CY19" i="6"/>
  <c r="CU19" i="6"/>
  <c r="BM19" i="6"/>
  <c r="BI19" i="6"/>
  <c r="BE19" i="6"/>
  <c r="DF19" i="6"/>
  <c r="DB19" i="6"/>
  <c r="CX19" i="6"/>
  <c r="BP19" i="6"/>
  <c r="BL19" i="6"/>
  <c r="BH19" i="6"/>
  <c r="CW19" i="6"/>
  <c r="BO19" i="6"/>
  <c r="DA19" i="6"/>
  <c r="BK19" i="6"/>
  <c r="DE19" i="6"/>
  <c r="BG19" i="6"/>
  <c r="ET21" i="6"/>
  <c r="EP21" i="6"/>
  <c r="EL21" i="6"/>
  <c r="ES21" i="6"/>
  <c r="EO21" i="6"/>
  <c r="EK21" i="6"/>
  <c r="EV21" i="6"/>
  <c r="EN21" i="6"/>
  <c r="EU21" i="6"/>
  <c r="EM21" i="6"/>
  <c r="ER21" i="6"/>
  <c r="DF21" i="6"/>
  <c r="DB21" i="6"/>
  <c r="CX21" i="6"/>
  <c r="EQ21" i="6"/>
  <c r="DE21" i="6"/>
  <c r="DA21" i="6"/>
  <c r="CW21" i="6"/>
  <c r="CY21" i="6"/>
  <c r="BN21" i="6"/>
  <c r="BJ21" i="6"/>
  <c r="BF21" i="6"/>
  <c r="DD21" i="6"/>
  <c r="CV21" i="6"/>
  <c r="BM21" i="6"/>
  <c r="BI21" i="6"/>
  <c r="BE21" i="6"/>
  <c r="DC21" i="6"/>
  <c r="CU21" i="6"/>
  <c r="BP21" i="6"/>
  <c r="BL21" i="6"/>
  <c r="BH21" i="6"/>
  <c r="BG21" i="6"/>
  <c r="BK21" i="6"/>
  <c r="CZ21" i="6"/>
  <c r="BO21" i="6"/>
  <c r="CT34" i="6"/>
  <c r="ET34" i="6"/>
  <c r="EP34" i="6"/>
  <c r="EL34" i="6"/>
  <c r="ES34" i="6"/>
  <c r="EO34" i="6"/>
  <c r="EK34" i="6"/>
  <c r="ER34" i="6"/>
  <c r="EQ34" i="6"/>
  <c r="EV34" i="6"/>
  <c r="EN34" i="6"/>
  <c r="EM34" i="6"/>
  <c r="DC34" i="6"/>
  <c r="CY34" i="6"/>
  <c r="CU34" i="6"/>
  <c r="DF34" i="6"/>
  <c r="DB34" i="6"/>
  <c r="CX34" i="6"/>
  <c r="DE34" i="6"/>
  <c r="DA34" i="6"/>
  <c r="CW34" i="6"/>
  <c r="EU34" i="6"/>
  <c r="BN34" i="6"/>
  <c r="BJ34" i="6"/>
  <c r="BF34" i="6"/>
  <c r="DD34" i="6"/>
  <c r="BM34" i="6"/>
  <c r="BI34" i="6"/>
  <c r="BE34" i="6"/>
  <c r="CZ34" i="6"/>
  <c r="BP34" i="6"/>
  <c r="BL34" i="6"/>
  <c r="BH34" i="6"/>
  <c r="BG34" i="6"/>
  <c r="BO34" i="6"/>
  <c r="CV34" i="6"/>
  <c r="BK34" i="6"/>
  <c r="ET45" i="6"/>
  <c r="EP45" i="6"/>
  <c r="EL45" i="6"/>
  <c r="ES45" i="6"/>
  <c r="EO45" i="6"/>
  <c r="EK45" i="6"/>
  <c r="ER45" i="6"/>
  <c r="EQ45" i="6"/>
  <c r="EV45" i="6"/>
  <c r="EN45" i="6"/>
  <c r="EM45" i="6"/>
  <c r="DC45" i="6"/>
  <c r="CY45" i="6"/>
  <c r="CU45" i="6"/>
  <c r="DF45" i="6"/>
  <c r="DB45" i="6"/>
  <c r="CX45" i="6"/>
  <c r="DE45" i="6"/>
  <c r="DA45" i="6"/>
  <c r="CW45" i="6"/>
  <c r="BN45" i="6"/>
  <c r="BR45" i="6" s="1"/>
  <c r="BJ45" i="6"/>
  <c r="BF45" i="6"/>
  <c r="EU45" i="6"/>
  <c r="DD45" i="6"/>
  <c r="BM45" i="6"/>
  <c r="BI45" i="6"/>
  <c r="BE45" i="6"/>
  <c r="CZ45" i="6"/>
  <c r="BP45" i="6"/>
  <c r="BL45" i="6"/>
  <c r="BH45" i="6"/>
  <c r="CV45" i="6"/>
  <c r="BO45" i="6"/>
  <c r="BG45" i="6"/>
  <c r="BK45" i="6"/>
  <c r="CT51" i="6"/>
  <c r="EJ51" i="6" s="1"/>
  <c r="ET51" i="6"/>
  <c r="EX51" i="6" s="1"/>
  <c r="EP51" i="6"/>
  <c r="EL51" i="6"/>
  <c r="ES51" i="6"/>
  <c r="EO51" i="6"/>
  <c r="EK51" i="6"/>
  <c r="ER51" i="6"/>
  <c r="EQ51" i="6"/>
  <c r="EV51" i="6"/>
  <c r="EN51" i="6"/>
  <c r="EU51" i="6"/>
  <c r="DC51" i="6"/>
  <c r="CY51" i="6"/>
  <c r="CU51" i="6"/>
  <c r="EM51" i="6"/>
  <c r="DF51" i="6"/>
  <c r="DB51" i="6"/>
  <c r="CX51" i="6"/>
  <c r="DE51" i="6"/>
  <c r="DA51" i="6"/>
  <c r="CW51" i="6"/>
  <c r="CZ51" i="6"/>
  <c r="BN51" i="6"/>
  <c r="BR51" i="6" s="1"/>
  <c r="BJ51" i="6"/>
  <c r="BF51" i="6"/>
  <c r="CV51" i="6"/>
  <c r="BM51" i="6"/>
  <c r="BI51" i="6"/>
  <c r="BE51" i="6"/>
  <c r="BP51" i="6"/>
  <c r="BL51" i="6"/>
  <c r="BH51" i="6"/>
  <c r="BK51" i="6"/>
  <c r="BG51" i="6"/>
  <c r="DD51" i="6"/>
  <c r="DH51" i="6" s="1"/>
  <c r="BO51" i="6"/>
  <c r="CT53" i="6"/>
  <c r="EJ53" i="6" s="1"/>
  <c r="CT55" i="6"/>
  <c r="ET55" i="6"/>
  <c r="ET57" i="6" s="1"/>
  <c r="EP55" i="6"/>
  <c r="EL55" i="6"/>
  <c r="ES55" i="6"/>
  <c r="EO55" i="6"/>
  <c r="EK55" i="6"/>
  <c r="EV55" i="6"/>
  <c r="EN55" i="6"/>
  <c r="EU55" i="6"/>
  <c r="EM55" i="6"/>
  <c r="ER55" i="6"/>
  <c r="EQ55" i="6"/>
  <c r="DC55" i="6"/>
  <c r="CY55" i="6"/>
  <c r="CU55" i="6"/>
  <c r="DF55" i="6"/>
  <c r="DB55" i="6"/>
  <c r="CX55" i="6"/>
  <c r="DE55" i="6"/>
  <c r="DA55" i="6"/>
  <c r="CW55" i="6"/>
  <c r="CV55" i="6"/>
  <c r="BN55" i="6"/>
  <c r="BR55" i="6" s="1"/>
  <c r="BJ55" i="6"/>
  <c r="BF55" i="6"/>
  <c r="BM55" i="6"/>
  <c r="BI55" i="6"/>
  <c r="BE55" i="6"/>
  <c r="DD55" i="6"/>
  <c r="BP55" i="6"/>
  <c r="BL55" i="6"/>
  <c r="BH55" i="6"/>
  <c r="BG55" i="6"/>
  <c r="CZ55" i="6"/>
  <c r="BK55" i="6"/>
  <c r="BO55" i="6"/>
  <c r="CT63" i="6"/>
  <c r="ET63" i="6"/>
  <c r="EX63" i="6" s="1"/>
  <c r="EP63" i="6"/>
  <c r="EL63" i="6"/>
  <c r="ES63" i="6"/>
  <c r="EO63" i="6"/>
  <c r="EK63" i="6"/>
  <c r="EV63" i="6"/>
  <c r="EN63" i="6"/>
  <c r="EU63" i="6"/>
  <c r="EM63" i="6"/>
  <c r="ER63" i="6"/>
  <c r="DC63" i="6"/>
  <c r="CY63" i="6"/>
  <c r="CU63" i="6"/>
  <c r="DF63" i="6"/>
  <c r="DB63" i="6"/>
  <c r="CX63" i="6"/>
  <c r="EQ63" i="6"/>
  <c r="DE63" i="6"/>
  <c r="DA63" i="6"/>
  <c r="CW63" i="6"/>
  <c r="CV63" i="6"/>
  <c r="BN63" i="6"/>
  <c r="BJ63" i="6"/>
  <c r="BF63" i="6"/>
  <c r="BM63" i="6"/>
  <c r="BI63" i="6"/>
  <c r="BE63" i="6"/>
  <c r="DD63" i="6"/>
  <c r="BP63" i="6"/>
  <c r="BL63" i="6"/>
  <c r="BH63" i="6"/>
  <c r="BG63" i="6"/>
  <c r="BK63" i="6"/>
  <c r="CZ63" i="6"/>
  <c r="BO63" i="6"/>
  <c r="ET66" i="6"/>
  <c r="EX66" i="6" s="1"/>
  <c r="EP66" i="6"/>
  <c r="EL66" i="6"/>
  <c r="ES66" i="6"/>
  <c r="EO66" i="6"/>
  <c r="EK66" i="6"/>
  <c r="ER66" i="6"/>
  <c r="EQ66" i="6"/>
  <c r="EV66" i="6"/>
  <c r="EN66" i="6"/>
  <c r="DC66" i="6"/>
  <c r="CY66" i="6"/>
  <c r="CU66" i="6"/>
  <c r="EU66" i="6"/>
  <c r="DF66" i="6"/>
  <c r="DB66" i="6"/>
  <c r="CX66" i="6"/>
  <c r="EM66" i="6"/>
  <c r="DE66" i="6"/>
  <c r="DA66" i="6"/>
  <c r="CW66" i="6"/>
  <c r="BN66" i="6"/>
  <c r="BR66" i="6" s="1"/>
  <c r="BJ66" i="6"/>
  <c r="BF66" i="6"/>
  <c r="DD66" i="6"/>
  <c r="DH66" i="6" s="1"/>
  <c r="BM66" i="6"/>
  <c r="BI66" i="6"/>
  <c r="BE66" i="6"/>
  <c r="CZ66" i="6"/>
  <c r="BP66" i="6"/>
  <c r="BL66" i="6"/>
  <c r="BH66" i="6"/>
  <c r="CV66" i="6"/>
  <c r="BG66" i="6"/>
  <c r="BO66" i="6"/>
  <c r="BK66" i="6"/>
  <c r="CT69" i="6"/>
  <c r="EJ69" i="6" s="1"/>
  <c r="ET69" i="6"/>
  <c r="EX69" i="6" s="1"/>
  <c r="EP69" i="6"/>
  <c r="EL69" i="6"/>
  <c r="ES69" i="6"/>
  <c r="EO69" i="6"/>
  <c r="EK69" i="6"/>
  <c r="EV69" i="6"/>
  <c r="EN69" i="6"/>
  <c r="EU69" i="6"/>
  <c r="EM69" i="6"/>
  <c r="ER69" i="6"/>
  <c r="DC69" i="6"/>
  <c r="CY69" i="6"/>
  <c r="CU69" i="6"/>
  <c r="EQ69" i="6"/>
  <c r="DF69" i="6"/>
  <c r="DB69" i="6"/>
  <c r="CX69" i="6"/>
  <c r="DE69" i="6"/>
  <c r="DA69" i="6"/>
  <c r="CW69" i="6"/>
  <c r="DD69" i="6"/>
  <c r="DH69" i="6" s="1"/>
  <c r="BN69" i="6"/>
  <c r="BR69" i="6" s="1"/>
  <c r="BJ69" i="6"/>
  <c r="BF69" i="6"/>
  <c r="CZ69" i="6"/>
  <c r="BM69" i="6"/>
  <c r="BI69" i="6"/>
  <c r="BE69" i="6"/>
  <c r="CV69" i="6"/>
  <c r="BP69" i="6"/>
  <c r="BL69" i="6"/>
  <c r="BH69" i="6"/>
  <c r="BO69" i="6"/>
  <c r="BK69" i="6"/>
  <c r="BG69" i="6"/>
  <c r="CT80" i="6"/>
  <c r="ET80" i="6"/>
  <c r="EP80" i="6"/>
  <c r="EL80" i="6"/>
  <c r="ES80" i="6"/>
  <c r="EO80" i="6"/>
  <c r="EK80" i="6"/>
  <c r="J157" i="23" s="1"/>
  <c r="EV80" i="6"/>
  <c r="J146" i="23" s="1"/>
  <c r="EN80" i="6"/>
  <c r="EU80" i="6"/>
  <c r="J147" i="23" s="1"/>
  <c r="EM80" i="6"/>
  <c r="ER80" i="6"/>
  <c r="DC80" i="6"/>
  <c r="CY80" i="6"/>
  <c r="CU80" i="6"/>
  <c r="J121" i="23" s="1"/>
  <c r="DF80" i="6"/>
  <c r="J110" i="23" s="1"/>
  <c r="DB80" i="6"/>
  <c r="CX80" i="6"/>
  <c r="DE80" i="6"/>
  <c r="J111" i="23" s="1"/>
  <c r="DA80" i="6"/>
  <c r="CW80" i="6"/>
  <c r="DD80" i="6"/>
  <c r="BN80" i="6"/>
  <c r="BJ80" i="6"/>
  <c r="J80" i="23" s="1"/>
  <c r="BF80" i="6"/>
  <c r="J84" i="23" s="1"/>
  <c r="CZ80" i="6"/>
  <c r="BM80" i="6"/>
  <c r="BI80" i="6"/>
  <c r="J81" i="23" s="1"/>
  <c r="BE80" i="6"/>
  <c r="J85" i="23" s="1"/>
  <c r="EQ80" i="6"/>
  <c r="CV80" i="6"/>
  <c r="BP80" i="6"/>
  <c r="J74" i="23" s="1"/>
  <c r="BL80" i="6"/>
  <c r="J78" i="23" s="1"/>
  <c r="BH80" i="6"/>
  <c r="J82" i="23" s="1"/>
  <c r="BO80" i="6"/>
  <c r="J75" i="23" s="1"/>
  <c r="BK80" i="6"/>
  <c r="J79" i="23" s="1"/>
  <c r="BG80" i="6"/>
  <c r="J83" i="23" s="1"/>
  <c r="CT83" i="6"/>
  <c r="ET83" i="6"/>
  <c r="EP83" i="6"/>
  <c r="EL83" i="6"/>
  <c r="ES83" i="6"/>
  <c r="EO83" i="6"/>
  <c r="EK83" i="6"/>
  <c r="M157" i="23" s="1"/>
  <c r="EV83" i="6"/>
  <c r="M146" i="23" s="1"/>
  <c r="ER83" i="6"/>
  <c r="EN83" i="6"/>
  <c r="EM83" i="6"/>
  <c r="EU83" i="6"/>
  <c r="M147" i="23" s="1"/>
  <c r="EQ83" i="6"/>
  <c r="DC83" i="6"/>
  <c r="CY83" i="6"/>
  <c r="CU83" i="6"/>
  <c r="M121" i="23" s="1"/>
  <c r="DF83" i="6"/>
  <c r="M110" i="23" s="1"/>
  <c r="DB83" i="6"/>
  <c r="CX83" i="6"/>
  <c r="DE83" i="6"/>
  <c r="M111" i="23" s="1"/>
  <c r="DA83" i="6"/>
  <c r="CW83" i="6"/>
  <c r="CZ83" i="6"/>
  <c r="BN83" i="6"/>
  <c r="BJ83" i="6"/>
  <c r="M80" i="23" s="1"/>
  <c r="BF83" i="6"/>
  <c r="M84" i="23" s="1"/>
  <c r="CV83" i="6"/>
  <c r="BM83" i="6"/>
  <c r="BI83" i="6"/>
  <c r="M81" i="23" s="1"/>
  <c r="BE83" i="6"/>
  <c r="M85" i="23" s="1"/>
  <c r="BP83" i="6"/>
  <c r="M74" i="23" s="1"/>
  <c r="BL83" i="6"/>
  <c r="M78" i="23" s="1"/>
  <c r="BH83" i="6"/>
  <c r="M82" i="23" s="1"/>
  <c r="DD83" i="6"/>
  <c r="BK83" i="6"/>
  <c r="M79" i="23" s="1"/>
  <c r="BG83" i="6"/>
  <c r="M83" i="23" s="1"/>
  <c r="BO83" i="6"/>
  <c r="M75" i="23" s="1"/>
  <c r="CT93" i="6"/>
  <c r="ET93" i="6"/>
  <c r="EP93" i="6"/>
  <c r="EL93" i="6"/>
  <c r="ES93" i="6"/>
  <c r="EO93" i="6"/>
  <c r="EK93" i="6"/>
  <c r="T157" i="23" s="1"/>
  <c r="EV93" i="6"/>
  <c r="T146" i="23" s="1"/>
  <c r="ER93" i="6"/>
  <c r="EN93" i="6"/>
  <c r="EM93" i="6"/>
  <c r="EU93" i="6"/>
  <c r="T147" i="23" s="1"/>
  <c r="DC93" i="6"/>
  <c r="CY93" i="6"/>
  <c r="CU93" i="6"/>
  <c r="T121" i="23" s="1"/>
  <c r="DF93" i="6"/>
  <c r="T110" i="23" s="1"/>
  <c r="DB93" i="6"/>
  <c r="CX93" i="6"/>
  <c r="EQ93" i="6"/>
  <c r="DE93" i="6"/>
  <c r="T111" i="23" s="1"/>
  <c r="DA93" i="6"/>
  <c r="CW93" i="6"/>
  <c r="CZ93" i="6"/>
  <c r="BN93" i="6"/>
  <c r="BJ93" i="6"/>
  <c r="T80" i="23" s="1"/>
  <c r="BF93" i="6"/>
  <c r="T84" i="23" s="1"/>
  <c r="CV93" i="6"/>
  <c r="BM93" i="6"/>
  <c r="BI93" i="6"/>
  <c r="T81" i="23" s="1"/>
  <c r="BE93" i="6"/>
  <c r="T85" i="23" s="1"/>
  <c r="BP93" i="6"/>
  <c r="T74" i="23" s="1"/>
  <c r="BL93" i="6"/>
  <c r="T78" i="23" s="1"/>
  <c r="BH93" i="6"/>
  <c r="T82" i="23" s="1"/>
  <c r="BK93" i="6"/>
  <c r="T79" i="23" s="1"/>
  <c r="BO93" i="6"/>
  <c r="T75" i="23" s="1"/>
  <c r="BG93" i="6"/>
  <c r="T83" i="23" s="1"/>
  <c r="DD93" i="6"/>
  <c r="CT97" i="6"/>
  <c r="ET97" i="6"/>
  <c r="EP97" i="6"/>
  <c r="EL97" i="6"/>
  <c r="ES97" i="6"/>
  <c r="EO97" i="6"/>
  <c r="EK97" i="6"/>
  <c r="X157" i="23" s="1"/>
  <c r="EV97" i="6"/>
  <c r="X146" i="23" s="1"/>
  <c r="ER97" i="6"/>
  <c r="EN97" i="6"/>
  <c r="EM97" i="6"/>
  <c r="EU97" i="6"/>
  <c r="X147" i="23" s="1"/>
  <c r="DC97" i="6"/>
  <c r="CY97" i="6"/>
  <c r="CU97" i="6"/>
  <c r="X121" i="23" s="1"/>
  <c r="DF97" i="6"/>
  <c r="X110" i="23" s="1"/>
  <c r="DB97" i="6"/>
  <c r="CX97" i="6"/>
  <c r="DE97" i="6"/>
  <c r="X111" i="23" s="1"/>
  <c r="DA97" i="6"/>
  <c r="CW97" i="6"/>
  <c r="CZ97" i="6"/>
  <c r="BN97" i="6"/>
  <c r="BJ97" i="6"/>
  <c r="X80" i="23" s="1"/>
  <c r="BF97" i="6"/>
  <c r="X84" i="23" s="1"/>
  <c r="CV97" i="6"/>
  <c r="BM97" i="6"/>
  <c r="BI97" i="6"/>
  <c r="X81" i="23" s="1"/>
  <c r="BE97" i="6"/>
  <c r="X85" i="23" s="1"/>
  <c r="BP97" i="6"/>
  <c r="X74" i="23" s="1"/>
  <c r="BL97" i="6"/>
  <c r="X78" i="23" s="1"/>
  <c r="BH97" i="6"/>
  <c r="X82" i="23" s="1"/>
  <c r="BK97" i="6"/>
  <c r="X79" i="23" s="1"/>
  <c r="BO97" i="6"/>
  <c r="X75" i="23" s="1"/>
  <c r="EQ97" i="6"/>
  <c r="BG97" i="6"/>
  <c r="X83" i="23" s="1"/>
  <c r="DD97" i="6"/>
  <c r="CT100" i="6"/>
  <c r="ET100" i="6"/>
  <c r="EP100" i="6"/>
  <c r="EL100" i="6"/>
  <c r="ES100" i="6"/>
  <c r="EO100" i="6"/>
  <c r="EK100" i="6"/>
  <c r="AA157" i="23" s="1"/>
  <c r="EV100" i="6"/>
  <c r="AA146" i="23" s="1"/>
  <c r="ER100" i="6"/>
  <c r="EN100" i="6"/>
  <c r="EU100" i="6"/>
  <c r="AA147" i="23" s="1"/>
  <c r="EQ100" i="6"/>
  <c r="DC100" i="6"/>
  <c r="CY100" i="6"/>
  <c r="CU100" i="6"/>
  <c r="AA121" i="23" s="1"/>
  <c r="EM100" i="6"/>
  <c r="DF100" i="6"/>
  <c r="AA110" i="23" s="1"/>
  <c r="DB100" i="6"/>
  <c r="CX100" i="6"/>
  <c r="DE100" i="6"/>
  <c r="AA111" i="23" s="1"/>
  <c r="DA100" i="6"/>
  <c r="CW100" i="6"/>
  <c r="CV100" i="6"/>
  <c r="BN100" i="6"/>
  <c r="BJ100" i="6"/>
  <c r="AA80" i="23" s="1"/>
  <c r="BF100" i="6"/>
  <c r="AA84" i="23" s="1"/>
  <c r="BM100" i="6"/>
  <c r="BI100" i="6"/>
  <c r="AA81" i="23" s="1"/>
  <c r="BE100" i="6"/>
  <c r="AA85" i="23" s="1"/>
  <c r="DD100" i="6"/>
  <c r="BP100" i="6"/>
  <c r="AA74" i="23" s="1"/>
  <c r="BL100" i="6"/>
  <c r="AA78" i="23" s="1"/>
  <c r="BH100" i="6"/>
  <c r="AA82" i="23" s="1"/>
  <c r="BG100" i="6"/>
  <c r="AA83" i="23" s="1"/>
  <c r="CZ100" i="6"/>
  <c r="BO100" i="6"/>
  <c r="AA75" i="23" s="1"/>
  <c r="BK100" i="6"/>
  <c r="AA79" i="23" s="1"/>
  <c r="CT109" i="6"/>
  <c r="ET109" i="6"/>
  <c r="EP109" i="6"/>
  <c r="EL109" i="6"/>
  <c r="ES109" i="6"/>
  <c r="EO109" i="6"/>
  <c r="EK109" i="6"/>
  <c r="AH157" i="23" s="1"/>
  <c r="EV109" i="6"/>
  <c r="AH146" i="23" s="1"/>
  <c r="ER109" i="6"/>
  <c r="EN109" i="6"/>
  <c r="EU109" i="6"/>
  <c r="AH147" i="23" s="1"/>
  <c r="EQ109" i="6"/>
  <c r="EM109" i="6"/>
  <c r="DC109" i="6"/>
  <c r="CY109" i="6"/>
  <c r="CU109" i="6"/>
  <c r="AH121" i="23" s="1"/>
  <c r="DF109" i="6"/>
  <c r="AH110" i="23" s="1"/>
  <c r="DB109" i="6"/>
  <c r="CX109" i="6"/>
  <c r="DE109" i="6"/>
  <c r="AH111" i="23" s="1"/>
  <c r="DA109" i="6"/>
  <c r="CW109" i="6"/>
  <c r="BN109" i="6"/>
  <c r="BJ109" i="6"/>
  <c r="AH80" i="23" s="1"/>
  <c r="BF109" i="6"/>
  <c r="AH84" i="23" s="1"/>
  <c r="DD109" i="6"/>
  <c r="BM109" i="6"/>
  <c r="BI109" i="6"/>
  <c r="AH81" i="23" s="1"/>
  <c r="BE109" i="6"/>
  <c r="AH85" i="23" s="1"/>
  <c r="CZ109" i="6"/>
  <c r="BP109" i="6"/>
  <c r="AH74" i="23" s="1"/>
  <c r="BL109" i="6"/>
  <c r="AH78" i="23" s="1"/>
  <c r="BH109" i="6"/>
  <c r="AH82" i="23" s="1"/>
  <c r="CV109" i="6"/>
  <c r="BO109" i="6"/>
  <c r="AH75" i="23" s="1"/>
  <c r="BG109" i="6"/>
  <c r="AH83" i="23" s="1"/>
  <c r="BK109" i="6"/>
  <c r="AH79" i="23" s="1"/>
  <c r="CT112" i="6"/>
  <c r="ET112" i="6"/>
  <c r="EP112" i="6"/>
  <c r="EL112" i="6"/>
  <c r="ES112" i="6"/>
  <c r="EO112" i="6"/>
  <c r="EK112" i="6"/>
  <c r="AK157" i="23" s="1"/>
  <c r="EV112" i="6"/>
  <c r="AK146" i="23" s="1"/>
  <c r="ER112" i="6"/>
  <c r="EN112" i="6"/>
  <c r="EQ112" i="6"/>
  <c r="EM112" i="6"/>
  <c r="DC112" i="6"/>
  <c r="CY112" i="6"/>
  <c r="CU112" i="6"/>
  <c r="AK121" i="23" s="1"/>
  <c r="EU112" i="6"/>
  <c r="AK147" i="23" s="1"/>
  <c r="DF112" i="6"/>
  <c r="AK110" i="23" s="1"/>
  <c r="DB112" i="6"/>
  <c r="CX112" i="6"/>
  <c r="DE112" i="6"/>
  <c r="AK111" i="23" s="1"/>
  <c r="DA112" i="6"/>
  <c r="CW112" i="6"/>
  <c r="DD112" i="6"/>
  <c r="BN112" i="6"/>
  <c r="BJ112" i="6"/>
  <c r="AK80" i="23" s="1"/>
  <c r="BF112" i="6"/>
  <c r="AK84" i="23" s="1"/>
  <c r="CZ112" i="6"/>
  <c r="BM112" i="6"/>
  <c r="BI112" i="6"/>
  <c r="AK81" i="23" s="1"/>
  <c r="BE112" i="6"/>
  <c r="AK85" i="23" s="1"/>
  <c r="CV112" i="6"/>
  <c r="BP112" i="6"/>
  <c r="AK74" i="23" s="1"/>
  <c r="BL112" i="6"/>
  <c r="AK78" i="23" s="1"/>
  <c r="BH112" i="6"/>
  <c r="AK82" i="23" s="1"/>
  <c r="BO112" i="6"/>
  <c r="AK75" i="23" s="1"/>
  <c r="BK112" i="6"/>
  <c r="AK79" i="23" s="1"/>
  <c r="BG112" i="6"/>
  <c r="AK83" i="23" s="1"/>
  <c r="CT120" i="6"/>
  <c r="EU120" i="6"/>
  <c r="AP147" i="23" s="1"/>
  <c r="EQ120" i="6"/>
  <c r="EM120" i="6"/>
  <c r="ES120" i="6"/>
  <c r="EO120" i="6"/>
  <c r="EK120" i="6"/>
  <c r="AP157" i="23" s="1"/>
  <c r="ER120" i="6"/>
  <c r="EP120" i="6"/>
  <c r="EV120" i="6"/>
  <c r="AP146" i="23" s="1"/>
  <c r="EN120" i="6"/>
  <c r="ET120" i="6"/>
  <c r="DC120" i="6"/>
  <c r="CY120" i="6"/>
  <c r="CU120" i="6"/>
  <c r="AP121" i="23" s="1"/>
  <c r="DF120" i="6"/>
  <c r="AP110" i="23" s="1"/>
  <c r="DB120" i="6"/>
  <c r="CX120" i="6"/>
  <c r="DE120" i="6"/>
  <c r="AP111" i="23" s="1"/>
  <c r="DA120" i="6"/>
  <c r="CW120" i="6"/>
  <c r="EL120" i="6"/>
  <c r="BN120" i="6"/>
  <c r="BJ120" i="6"/>
  <c r="AP80" i="23" s="1"/>
  <c r="BF120" i="6"/>
  <c r="AP84" i="23" s="1"/>
  <c r="DD120" i="6"/>
  <c r="BM120" i="6"/>
  <c r="BI120" i="6"/>
  <c r="AP81" i="23" s="1"/>
  <c r="BE120" i="6"/>
  <c r="AP85" i="23" s="1"/>
  <c r="CZ120" i="6"/>
  <c r="BP120" i="6"/>
  <c r="AP74" i="23" s="1"/>
  <c r="BL120" i="6"/>
  <c r="AP78" i="23" s="1"/>
  <c r="BH120" i="6"/>
  <c r="AP82" i="23" s="1"/>
  <c r="BO120" i="6"/>
  <c r="AP75" i="23" s="1"/>
  <c r="BG120" i="6"/>
  <c r="AP83" i="23" s="1"/>
  <c r="CV120" i="6"/>
  <c r="BK120" i="6"/>
  <c r="AP79" i="23" s="1"/>
  <c r="CT124" i="6"/>
  <c r="EU124" i="6"/>
  <c r="AT147" i="23" s="1"/>
  <c r="EQ124" i="6"/>
  <c r="EM124" i="6"/>
  <c r="ES124" i="6"/>
  <c r="EO124" i="6"/>
  <c r="EK124" i="6"/>
  <c r="AT157" i="23" s="1"/>
  <c r="ER124" i="6"/>
  <c r="EP124" i="6"/>
  <c r="EV124" i="6"/>
  <c r="AT146" i="23" s="1"/>
  <c r="EN124" i="6"/>
  <c r="ET124" i="6"/>
  <c r="EL124" i="6"/>
  <c r="DC124" i="6"/>
  <c r="CY124" i="6"/>
  <c r="CU124" i="6"/>
  <c r="AT121" i="23" s="1"/>
  <c r="DF124" i="6"/>
  <c r="AT110" i="23" s="1"/>
  <c r="DB124" i="6"/>
  <c r="CX124" i="6"/>
  <c r="DE124" i="6"/>
  <c r="AT111" i="23" s="1"/>
  <c r="DA124" i="6"/>
  <c r="CW124" i="6"/>
  <c r="BN124" i="6"/>
  <c r="BJ124" i="6"/>
  <c r="AT80" i="23" s="1"/>
  <c r="BF124" i="6"/>
  <c r="AT84" i="23" s="1"/>
  <c r="DD124" i="6"/>
  <c r="BM124" i="6"/>
  <c r="BI124" i="6"/>
  <c r="AT81" i="23" s="1"/>
  <c r="BE124" i="6"/>
  <c r="AT85" i="23" s="1"/>
  <c r="CZ124" i="6"/>
  <c r="BP124" i="6"/>
  <c r="AT74" i="23" s="1"/>
  <c r="BL124" i="6"/>
  <c r="AT78" i="23" s="1"/>
  <c r="BH124" i="6"/>
  <c r="AT82" i="23" s="1"/>
  <c r="CV124" i="6"/>
  <c r="BG124" i="6"/>
  <c r="AT83" i="23" s="1"/>
  <c r="BO124" i="6"/>
  <c r="AT75" i="23" s="1"/>
  <c r="BK124" i="6"/>
  <c r="AT79" i="23" s="1"/>
  <c r="CT128" i="6"/>
  <c r="EU128" i="6"/>
  <c r="AX147" i="23" s="1"/>
  <c r="EQ128" i="6"/>
  <c r="EM128" i="6"/>
  <c r="ES128" i="6"/>
  <c r="EO128" i="6"/>
  <c r="EK128" i="6"/>
  <c r="AX157" i="23" s="1"/>
  <c r="ER128" i="6"/>
  <c r="EP128" i="6"/>
  <c r="EV128" i="6"/>
  <c r="AX146" i="23" s="1"/>
  <c r="EN128" i="6"/>
  <c r="ET128" i="6"/>
  <c r="EL128" i="6"/>
  <c r="DC128" i="6"/>
  <c r="CY128" i="6"/>
  <c r="CU128" i="6"/>
  <c r="AX121" i="23" s="1"/>
  <c r="DF128" i="6"/>
  <c r="AX110" i="23" s="1"/>
  <c r="DB128" i="6"/>
  <c r="CX128" i="6"/>
  <c r="DE128" i="6"/>
  <c r="AX111" i="23" s="1"/>
  <c r="DA128" i="6"/>
  <c r="CW128" i="6"/>
  <c r="BN128" i="6"/>
  <c r="BJ128" i="6"/>
  <c r="AX80" i="23" s="1"/>
  <c r="BF128" i="6"/>
  <c r="AX84" i="23" s="1"/>
  <c r="DD128" i="6"/>
  <c r="BM128" i="6"/>
  <c r="BI128" i="6"/>
  <c r="AX81" i="23" s="1"/>
  <c r="BE128" i="6"/>
  <c r="AX85" i="23" s="1"/>
  <c r="CZ128" i="6"/>
  <c r="BP128" i="6"/>
  <c r="AX74" i="23" s="1"/>
  <c r="BL128" i="6"/>
  <c r="AX78" i="23" s="1"/>
  <c r="BH128" i="6"/>
  <c r="AX82" i="23" s="1"/>
  <c r="CV128" i="6"/>
  <c r="BG128" i="6"/>
  <c r="AX83" i="23" s="1"/>
  <c r="BO128" i="6"/>
  <c r="AX75" i="23" s="1"/>
  <c r="BK128" i="6"/>
  <c r="AX79" i="23" s="1"/>
  <c r="CT132" i="6"/>
  <c r="EU132" i="6"/>
  <c r="BA147" i="23" s="1"/>
  <c r="EQ132" i="6"/>
  <c r="EM132" i="6"/>
  <c r="ES132" i="6"/>
  <c r="EO132" i="6"/>
  <c r="EK132" i="6"/>
  <c r="BA157" i="23" s="1"/>
  <c r="EV132" i="6"/>
  <c r="BA146" i="23" s="1"/>
  <c r="EN132" i="6"/>
  <c r="ET132" i="6"/>
  <c r="EL132" i="6"/>
  <c r="ER132" i="6"/>
  <c r="EP132" i="6"/>
  <c r="DC132" i="6"/>
  <c r="CY132" i="6"/>
  <c r="CU132" i="6"/>
  <c r="BA121" i="23" s="1"/>
  <c r="DF132" i="6"/>
  <c r="BA110" i="23" s="1"/>
  <c r="DB132" i="6"/>
  <c r="CX132" i="6"/>
  <c r="DE132" i="6"/>
  <c r="BA111" i="23" s="1"/>
  <c r="DA132" i="6"/>
  <c r="CW132" i="6"/>
  <c r="DD132" i="6"/>
  <c r="BN132" i="6"/>
  <c r="BJ132" i="6"/>
  <c r="BA80" i="23" s="1"/>
  <c r="BF132" i="6"/>
  <c r="BA84" i="23" s="1"/>
  <c r="CZ132" i="6"/>
  <c r="BM132" i="6"/>
  <c r="BI132" i="6"/>
  <c r="BA81" i="23" s="1"/>
  <c r="BE132" i="6"/>
  <c r="BA85" i="23" s="1"/>
  <c r="CV132" i="6"/>
  <c r="BP132" i="6"/>
  <c r="BA74" i="23" s="1"/>
  <c r="BL132" i="6"/>
  <c r="BA78" i="23" s="1"/>
  <c r="BH132" i="6"/>
  <c r="BA82" i="23" s="1"/>
  <c r="BO132" i="6"/>
  <c r="BA75" i="23" s="1"/>
  <c r="BK132" i="6"/>
  <c r="BA79" i="23" s="1"/>
  <c r="BG132" i="6"/>
  <c r="BA83" i="23" s="1"/>
  <c r="CT136" i="6"/>
  <c r="EU136" i="6"/>
  <c r="BD147" i="23" s="1"/>
  <c r="EQ136" i="6"/>
  <c r="EM136" i="6"/>
  <c r="ES136" i="6"/>
  <c r="EO136" i="6"/>
  <c r="EK136" i="6"/>
  <c r="BD157" i="23" s="1"/>
  <c r="ER136" i="6"/>
  <c r="EP136" i="6"/>
  <c r="EV136" i="6"/>
  <c r="BD146" i="23" s="1"/>
  <c r="EN136" i="6"/>
  <c r="DE136" i="6"/>
  <c r="BD111" i="23" s="1"/>
  <c r="ET136" i="6"/>
  <c r="DD136" i="6"/>
  <c r="EL136" i="6"/>
  <c r="DC136" i="6"/>
  <c r="CY136" i="6"/>
  <c r="CU136" i="6"/>
  <c r="BD121" i="23" s="1"/>
  <c r="DB136" i="6"/>
  <c r="CX136" i="6"/>
  <c r="DA136" i="6"/>
  <c r="CW136" i="6"/>
  <c r="CZ136" i="6"/>
  <c r="BN136" i="6"/>
  <c r="BJ136" i="6"/>
  <c r="BD80" i="23" s="1"/>
  <c r="BF136" i="6"/>
  <c r="BD84" i="23" s="1"/>
  <c r="CV136" i="6"/>
  <c r="BM136" i="6"/>
  <c r="BI136" i="6"/>
  <c r="BD81" i="23" s="1"/>
  <c r="BE136" i="6"/>
  <c r="BD85" i="23" s="1"/>
  <c r="BP136" i="6"/>
  <c r="BD74" i="23" s="1"/>
  <c r="BL136" i="6"/>
  <c r="BD78" i="23" s="1"/>
  <c r="BH136" i="6"/>
  <c r="BD82" i="23" s="1"/>
  <c r="BK136" i="6"/>
  <c r="BD79" i="23" s="1"/>
  <c r="DF136" i="6"/>
  <c r="BD110" i="23" s="1"/>
  <c r="BG136" i="6"/>
  <c r="BD83" i="23" s="1"/>
  <c r="BO136" i="6"/>
  <c r="BD75" i="23" s="1"/>
  <c r="CT140" i="6"/>
  <c r="EU140" i="6"/>
  <c r="BG147" i="23" s="1"/>
  <c r="EQ140" i="6"/>
  <c r="EM140" i="6"/>
  <c r="ES140" i="6"/>
  <c r="EO140" i="6"/>
  <c r="EK140" i="6"/>
  <c r="BG157" i="23" s="1"/>
  <c r="EV140" i="6"/>
  <c r="BG146" i="23" s="1"/>
  <c r="EN140" i="6"/>
  <c r="ET140" i="6"/>
  <c r="EL140" i="6"/>
  <c r="ER140" i="6"/>
  <c r="DE140" i="6"/>
  <c r="BG111" i="23" s="1"/>
  <c r="DA140" i="6"/>
  <c r="CW140" i="6"/>
  <c r="EP140" i="6"/>
  <c r="DD140" i="6"/>
  <c r="CZ140" i="6"/>
  <c r="CV140" i="6"/>
  <c r="CY140" i="6"/>
  <c r="DF140" i="6"/>
  <c r="BG110" i="23" s="1"/>
  <c r="CX140" i="6"/>
  <c r="DC140" i="6"/>
  <c r="CU140" i="6"/>
  <c r="BG121" i="23" s="1"/>
  <c r="BN140" i="6"/>
  <c r="BJ140" i="6"/>
  <c r="BG80" i="23" s="1"/>
  <c r="BF140" i="6"/>
  <c r="BG84" i="23" s="1"/>
  <c r="BM140" i="6"/>
  <c r="BI140" i="6"/>
  <c r="BG81" i="23" s="1"/>
  <c r="BE140" i="6"/>
  <c r="BG85" i="23" s="1"/>
  <c r="BP140" i="6"/>
  <c r="BG74" i="23" s="1"/>
  <c r="BL140" i="6"/>
  <c r="BG78" i="23" s="1"/>
  <c r="BH140" i="6"/>
  <c r="BG82" i="23" s="1"/>
  <c r="BG140" i="6"/>
  <c r="BG83" i="23" s="1"/>
  <c r="DB140" i="6"/>
  <c r="BO140" i="6"/>
  <c r="BG75" i="23" s="1"/>
  <c r="BK140" i="6"/>
  <c r="BG79" i="23" s="1"/>
  <c r="CT143" i="6"/>
  <c r="EU143" i="6"/>
  <c r="BJ147" i="23" s="1"/>
  <c r="EQ143" i="6"/>
  <c r="EM143" i="6"/>
  <c r="ES143" i="6"/>
  <c r="EO143" i="6"/>
  <c r="EK143" i="6"/>
  <c r="BJ157" i="23" s="1"/>
  <c r="ER143" i="6"/>
  <c r="EP143" i="6"/>
  <c r="EV143" i="6"/>
  <c r="BJ146" i="23" s="1"/>
  <c r="EN143" i="6"/>
  <c r="ET143" i="6"/>
  <c r="DE143" i="6"/>
  <c r="BJ111" i="23" s="1"/>
  <c r="DA143" i="6"/>
  <c r="CW143" i="6"/>
  <c r="EL143" i="6"/>
  <c r="DD143" i="6"/>
  <c r="CZ143" i="6"/>
  <c r="CV143" i="6"/>
  <c r="DC143" i="6"/>
  <c r="CU143" i="6"/>
  <c r="BJ121" i="23" s="1"/>
  <c r="DB143" i="6"/>
  <c r="CY143" i="6"/>
  <c r="BN143" i="6"/>
  <c r="BJ143" i="6"/>
  <c r="BJ80" i="23" s="1"/>
  <c r="BF143" i="6"/>
  <c r="BJ84" i="23" s="1"/>
  <c r="BM143" i="6"/>
  <c r="BI143" i="6"/>
  <c r="BJ81" i="23" s="1"/>
  <c r="BE143" i="6"/>
  <c r="BJ85" i="23" s="1"/>
  <c r="DF143" i="6"/>
  <c r="BJ110" i="23" s="1"/>
  <c r="BP143" i="6"/>
  <c r="BJ74" i="23" s="1"/>
  <c r="BL143" i="6"/>
  <c r="BJ78" i="23" s="1"/>
  <c r="BH143" i="6"/>
  <c r="BJ82" i="23" s="1"/>
  <c r="CX143" i="6"/>
  <c r="BO143" i="6"/>
  <c r="BJ75" i="23" s="1"/>
  <c r="BG143" i="6"/>
  <c r="BJ83" i="23" s="1"/>
  <c r="BK143" i="6"/>
  <c r="BJ79" i="23" s="1"/>
  <c r="CT147" i="6"/>
  <c r="EU147" i="6"/>
  <c r="BM147" i="23" s="1"/>
  <c r="EQ147" i="6"/>
  <c r="BM151" i="23" s="1"/>
  <c r="EM147" i="6"/>
  <c r="BM155" i="23" s="1"/>
  <c r="ES147" i="6"/>
  <c r="EO147" i="6"/>
  <c r="BM153" i="23" s="1"/>
  <c r="EK147" i="6"/>
  <c r="BM157" i="23" s="1"/>
  <c r="EV147" i="6"/>
  <c r="BM146" i="23" s="1"/>
  <c r="EN147" i="6"/>
  <c r="BM154" i="23" s="1"/>
  <c r="ET147" i="6"/>
  <c r="EL147" i="6"/>
  <c r="BM156" i="23" s="1"/>
  <c r="ER147" i="6"/>
  <c r="BM150" i="23" s="1"/>
  <c r="EP147" i="6"/>
  <c r="BM152" i="23" s="1"/>
  <c r="DE147" i="6"/>
  <c r="BM111" i="23" s="1"/>
  <c r="DA147" i="6"/>
  <c r="BM115" i="23" s="1"/>
  <c r="CW147" i="6"/>
  <c r="BM119" i="23" s="1"/>
  <c r="DD147" i="6"/>
  <c r="CZ147" i="6"/>
  <c r="BM116" i="23" s="1"/>
  <c r="CV147" i="6"/>
  <c r="BM120" i="23" s="1"/>
  <c r="CY147" i="6"/>
  <c r="BM117" i="23" s="1"/>
  <c r="DF147" i="6"/>
  <c r="BM110" i="23" s="1"/>
  <c r="CX147" i="6"/>
  <c r="BM118" i="23" s="1"/>
  <c r="DC147" i="6"/>
  <c r="CU147" i="6"/>
  <c r="BM121" i="23" s="1"/>
  <c r="BN147" i="6"/>
  <c r="BJ147" i="6"/>
  <c r="BM80" i="23" s="1"/>
  <c r="BF147" i="6"/>
  <c r="BM84" i="23" s="1"/>
  <c r="BM147" i="6"/>
  <c r="BI147" i="6"/>
  <c r="BM81" i="23" s="1"/>
  <c r="BE147" i="6"/>
  <c r="BM85" i="23" s="1"/>
  <c r="DB147" i="6"/>
  <c r="BM114" i="23" s="1"/>
  <c r="BP147" i="6"/>
  <c r="BM74" i="23" s="1"/>
  <c r="BL147" i="6"/>
  <c r="BM78" i="23" s="1"/>
  <c r="BH147" i="6"/>
  <c r="BM82" i="23" s="1"/>
  <c r="BO147" i="6"/>
  <c r="BM75" i="23" s="1"/>
  <c r="BK147" i="6"/>
  <c r="BM79" i="23" s="1"/>
  <c r="BG147" i="6"/>
  <c r="BM83" i="23" s="1"/>
  <c r="CT149" i="6"/>
  <c r="EU149" i="6"/>
  <c r="BO147" i="23" s="1"/>
  <c r="EQ149" i="6"/>
  <c r="EM149" i="6"/>
  <c r="ES149" i="6"/>
  <c r="EO149" i="6"/>
  <c r="EK149" i="6"/>
  <c r="BO157" i="23" s="1"/>
  <c r="EV149" i="6"/>
  <c r="BO146" i="23" s="1"/>
  <c r="EN149" i="6"/>
  <c r="ET149" i="6"/>
  <c r="EL149" i="6"/>
  <c r="ER149" i="6"/>
  <c r="DE149" i="6"/>
  <c r="BO111" i="23" s="1"/>
  <c r="DA149" i="6"/>
  <c r="CW149" i="6"/>
  <c r="EP149" i="6"/>
  <c r="DD149" i="6"/>
  <c r="CZ149" i="6"/>
  <c r="CV149" i="6"/>
  <c r="CY149" i="6"/>
  <c r="DF149" i="6"/>
  <c r="BO110" i="23" s="1"/>
  <c r="CX149" i="6"/>
  <c r="DC149" i="6"/>
  <c r="CU149" i="6"/>
  <c r="BO121" i="23" s="1"/>
  <c r="BN149" i="6"/>
  <c r="BJ149" i="6"/>
  <c r="BO80" i="23" s="1"/>
  <c r="BF149" i="6"/>
  <c r="BO84" i="23" s="1"/>
  <c r="BM149" i="6"/>
  <c r="BI149" i="6"/>
  <c r="BO81" i="23" s="1"/>
  <c r="BE149" i="6"/>
  <c r="BO85" i="23" s="1"/>
  <c r="BP149" i="6"/>
  <c r="BO74" i="23" s="1"/>
  <c r="BL149" i="6"/>
  <c r="BO78" i="23" s="1"/>
  <c r="BH149" i="6"/>
  <c r="BO82" i="23" s="1"/>
  <c r="BG149" i="6"/>
  <c r="BO83" i="23" s="1"/>
  <c r="DB149" i="6"/>
  <c r="BK149" i="6"/>
  <c r="BO79" i="23" s="1"/>
  <c r="BO149" i="6"/>
  <c r="BO75" i="23" s="1"/>
  <c r="CT152" i="6"/>
  <c r="EU152" i="6"/>
  <c r="BQ147" i="23" s="1"/>
  <c r="EQ152" i="6"/>
  <c r="EM152" i="6"/>
  <c r="ES152" i="6"/>
  <c r="EO152" i="6"/>
  <c r="EK152" i="6"/>
  <c r="BQ157" i="23" s="1"/>
  <c r="EV152" i="6"/>
  <c r="BQ146" i="23" s="1"/>
  <c r="EN152" i="6"/>
  <c r="ET152" i="6"/>
  <c r="EL152" i="6"/>
  <c r="ER152" i="6"/>
  <c r="DE152" i="6"/>
  <c r="BQ111" i="23" s="1"/>
  <c r="DA152" i="6"/>
  <c r="CW152" i="6"/>
  <c r="DD152" i="6"/>
  <c r="CZ152" i="6"/>
  <c r="CV152" i="6"/>
  <c r="EP152" i="6"/>
  <c r="CY152" i="6"/>
  <c r="DF152" i="6"/>
  <c r="BQ110" i="23" s="1"/>
  <c r="CX152" i="6"/>
  <c r="DC152" i="6"/>
  <c r="CU152" i="6"/>
  <c r="BQ121" i="23" s="1"/>
  <c r="DB152" i="6"/>
  <c r="BN152" i="6"/>
  <c r="BJ152" i="6"/>
  <c r="BQ80" i="23" s="1"/>
  <c r="BF152" i="6"/>
  <c r="BQ84" i="23" s="1"/>
  <c r="BM152" i="6"/>
  <c r="BI152" i="6"/>
  <c r="BQ81" i="23" s="1"/>
  <c r="BE152" i="6"/>
  <c r="BQ85" i="23" s="1"/>
  <c r="BP152" i="6"/>
  <c r="BQ74" i="23" s="1"/>
  <c r="BL152" i="6"/>
  <c r="BQ78" i="23" s="1"/>
  <c r="BH152" i="6"/>
  <c r="BQ82" i="23" s="1"/>
  <c r="BO152" i="6"/>
  <c r="BQ75" i="23" s="1"/>
  <c r="BK152" i="6"/>
  <c r="BQ79" i="23" s="1"/>
  <c r="BG152" i="6"/>
  <c r="BQ83" i="23" s="1"/>
  <c r="EV159" i="6"/>
  <c r="BU146" i="23" s="1"/>
  <c r="ER159" i="6"/>
  <c r="EN159" i="6"/>
  <c r="EQ159" i="6"/>
  <c r="EL159" i="6"/>
  <c r="ET159" i="6"/>
  <c r="EO159" i="6"/>
  <c r="ES159" i="6"/>
  <c r="EP159" i="6"/>
  <c r="EM159" i="6"/>
  <c r="EU159" i="6"/>
  <c r="BU147" i="23" s="1"/>
  <c r="DE159" i="6"/>
  <c r="BU111" i="23" s="1"/>
  <c r="DA159" i="6"/>
  <c r="CW159" i="6"/>
  <c r="EK159" i="6"/>
  <c r="BU157" i="23" s="1"/>
  <c r="DD159" i="6"/>
  <c r="CZ159" i="6"/>
  <c r="CV159" i="6"/>
  <c r="DC159" i="6"/>
  <c r="CY159" i="6"/>
  <c r="CU159" i="6"/>
  <c r="BU121" i="23" s="1"/>
  <c r="DF159" i="6"/>
  <c r="BU110" i="23" s="1"/>
  <c r="DB159" i="6"/>
  <c r="CX159" i="6"/>
  <c r="BN159" i="6"/>
  <c r="BJ159" i="6"/>
  <c r="BU80" i="23" s="1"/>
  <c r="BF159" i="6"/>
  <c r="BU84" i="23" s="1"/>
  <c r="BM159" i="6"/>
  <c r="BI159" i="6"/>
  <c r="BU81" i="23" s="1"/>
  <c r="BE159" i="6"/>
  <c r="BU85" i="23" s="1"/>
  <c r="BP159" i="6"/>
  <c r="BU74" i="23" s="1"/>
  <c r="BL159" i="6"/>
  <c r="BU78" i="23" s="1"/>
  <c r="BH159" i="6"/>
  <c r="BU82" i="23" s="1"/>
  <c r="BO159" i="6"/>
  <c r="BU75" i="23" s="1"/>
  <c r="BK159" i="6"/>
  <c r="BU79" i="23" s="1"/>
  <c r="BG159" i="6"/>
  <c r="BU83" i="23" s="1"/>
  <c r="CT166" i="6"/>
  <c r="CT168" i="6"/>
  <c r="CT173" i="6"/>
  <c r="ES173" i="6"/>
  <c r="EO173" i="6"/>
  <c r="CF153" i="23" s="1"/>
  <c r="EK173" i="6"/>
  <c r="CF157" i="23" s="1"/>
  <c r="EV173" i="6"/>
  <c r="CF146" i="23" s="1"/>
  <c r="ER173" i="6"/>
  <c r="CF150" i="23" s="1"/>
  <c r="EN173" i="6"/>
  <c r="CF154" i="23" s="1"/>
  <c r="EU173" i="6"/>
  <c r="CF147" i="23" s="1"/>
  <c r="EM173" i="6"/>
  <c r="CF155" i="23" s="1"/>
  <c r="EQ173" i="6"/>
  <c r="CF151" i="23" s="1"/>
  <c r="EL173" i="6"/>
  <c r="CF156" i="23" s="1"/>
  <c r="ET173" i="6"/>
  <c r="EP173" i="6"/>
  <c r="CF152" i="23" s="1"/>
  <c r="DE173" i="6"/>
  <c r="CF111" i="23" s="1"/>
  <c r="DA173" i="6"/>
  <c r="CF115" i="23" s="1"/>
  <c r="CW173" i="6"/>
  <c r="CF119" i="23" s="1"/>
  <c r="DD173" i="6"/>
  <c r="CZ173" i="6"/>
  <c r="CF116" i="23" s="1"/>
  <c r="CV173" i="6"/>
  <c r="CF120" i="23" s="1"/>
  <c r="DC173" i="6"/>
  <c r="CY173" i="6"/>
  <c r="CF117" i="23" s="1"/>
  <c r="CU173" i="6"/>
  <c r="CF121" i="23" s="1"/>
  <c r="DB173" i="6"/>
  <c r="CF114" i="23" s="1"/>
  <c r="CX173" i="6"/>
  <c r="CF118" i="23" s="1"/>
  <c r="BN173" i="6"/>
  <c r="BJ173" i="6"/>
  <c r="CF80" i="23" s="1"/>
  <c r="BF173" i="6"/>
  <c r="CF84" i="23" s="1"/>
  <c r="BM173" i="6"/>
  <c r="BI173" i="6"/>
  <c r="CF81" i="23" s="1"/>
  <c r="BE173" i="6"/>
  <c r="CF85" i="23" s="1"/>
  <c r="BP173" i="6"/>
  <c r="CF74" i="23" s="1"/>
  <c r="BL173" i="6"/>
  <c r="CF78" i="23" s="1"/>
  <c r="BH173" i="6"/>
  <c r="CF82" i="23" s="1"/>
  <c r="BK173" i="6"/>
  <c r="CF79" i="23" s="1"/>
  <c r="BG173" i="6"/>
  <c r="CF83" i="23" s="1"/>
  <c r="DF173" i="6"/>
  <c r="CF110" i="23" s="1"/>
  <c r="BO173" i="6"/>
  <c r="CF75" i="23" s="1"/>
  <c r="CT177" i="6"/>
  <c r="ES177" i="6"/>
  <c r="EO177" i="6"/>
  <c r="EK177" i="6"/>
  <c r="CJ157" i="23" s="1"/>
  <c r="EV177" i="6"/>
  <c r="CJ146" i="23" s="1"/>
  <c r="ER177" i="6"/>
  <c r="EN177" i="6"/>
  <c r="EU177" i="6"/>
  <c r="CJ147" i="23" s="1"/>
  <c r="EM177" i="6"/>
  <c r="EL177" i="6"/>
  <c r="EQ177" i="6"/>
  <c r="EP177" i="6"/>
  <c r="ET177" i="6"/>
  <c r="DE177" i="6"/>
  <c r="CJ111" i="23" s="1"/>
  <c r="DA177" i="6"/>
  <c r="CW177" i="6"/>
  <c r="DD177" i="6"/>
  <c r="CZ177" i="6"/>
  <c r="CV177" i="6"/>
  <c r="DC177" i="6"/>
  <c r="CY177" i="6"/>
  <c r="CU177" i="6"/>
  <c r="CJ121" i="23" s="1"/>
  <c r="DB177" i="6"/>
  <c r="CX177" i="6"/>
  <c r="DF177" i="6"/>
  <c r="CJ110" i="23" s="1"/>
  <c r="BN177" i="6"/>
  <c r="BJ177" i="6"/>
  <c r="CJ80" i="23" s="1"/>
  <c r="BF177" i="6"/>
  <c r="CJ84" i="23" s="1"/>
  <c r="BM177" i="6"/>
  <c r="BI177" i="6"/>
  <c r="CJ81" i="23" s="1"/>
  <c r="BE177" i="6"/>
  <c r="CJ85" i="23" s="1"/>
  <c r="BP177" i="6"/>
  <c r="CJ74" i="23" s="1"/>
  <c r="BL177" i="6"/>
  <c r="CJ78" i="23" s="1"/>
  <c r="BH177" i="6"/>
  <c r="CJ82" i="23" s="1"/>
  <c r="BK177" i="6"/>
  <c r="CJ79" i="23" s="1"/>
  <c r="BG177" i="6"/>
  <c r="CJ83" i="23" s="1"/>
  <c r="BO177" i="6"/>
  <c r="CJ75" i="23" s="1"/>
  <c r="CT181" i="6"/>
  <c r="ES181" i="6"/>
  <c r="EO181" i="6"/>
  <c r="EK181" i="6"/>
  <c r="CM157" i="23" s="1"/>
  <c r="EV181" i="6"/>
  <c r="CM146" i="23" s="1"/>
  <c r="ER181" i="6"/>
  <c r="EN181" i="6"/>
  <c r="EQ181" i="6"/>
  <c r="ET181" i="6"/>
  <c r="EM181" i="6"/>
  <c r="EU181" i="6"/>
  <c r="CM147" i="23" s="1"/>
  <c r="EP181" i="6"/>
  <c r="EL181" i="6"/>
  <c r="DE181" i="6"/>
  <c r="CM111" i="23" s="1"/>
  <c r="DA181" i="6"/>
  <c r="CW181" i="6"/>
  <c r="DD181" i="6"/>
  <c r="CZ181" i="6"/>
  <c r="CV181" i="6"/>
  <c r="DC181" i="6"/>
  <c r="CY181" i="6"/>
  <c r="CU181" i="6"/>
  <c r="CM121" i="23" s="1"/>
  <c r="CX181" i="6"/>
  <c r="DF181" i="6"/>
  <c r="CM110" i="23" s="1"/>
  <c r="BN181" i="6"/>
  <c r="BJ181" i="6"/>
  <c r="CM80" i="23" s="1"/>
  <c r="BF181" i="6"/>
  <c r="CM84" i="23" s="1"/>
  <c r="BM181" i="6"/>
  <c r="BI181" i="6"/>
  <c r="CM81" i="23" s="1"/>
  <c r="BE181" i="6"/>
  <c r="CM85" i="23" s="1"/>
  <c r="DB181" i="6"/>
  <c r="BP181" i="6"/>
  <c r="CM74" i="23" s="1"/>
  <c r="BL181" i="6"/>
  <c r="CM78" i="23" s="1"/>
  <c r="BH181" i="6"/>
  <c r="CM82" i="23" s="1"/>
  <c r="BG181" i="6"/>
  <c r="CM83" i="23" s="1"/>
  <c r="BK181" i="6"/>
  <c r="CM79" i="23" s="1"/>
  <c r="BO181" i="6"/>
  <c r="CM75" i="23" s="1"/>
  <c r="CT183" i="6"/>
  <c r="CT186" i="6"/>
  <c r="ES186" i="6"/>
  <c r="EO186" i="6"/>
  <c r="EK186" i="6"/>
  <c r="CQ157" i="23" s="1"/>
  <c r="EV186" i="6"/>
  <c r="CQ146" i="23" s="1"/>
  <c r="ER186" i="6"/>
  <c r="EN186" i="6"/>
  <c r="EQ186" i="6"/>
  <c r="EM186" i="6"/>
  <c r="ET186" i="6"/>
  <c r="EP186" i="6"/>
  <c r="EL186" i="6"/>
  <c r="EU186" i="6"/>
  <c r="CQ147" i="23" s="1"/>
  <c r="DE186" i="6"/>
  <c r="CQ111" i="23" s="1"/>
  <c r="DA186" i="6"/>
  <c r="CW186" i="6"/>
  <c r="DD186" i="6"/>
  <c r="CZ186" i="6"/>
  <c r="CV186" i="6"/>
  <c r="DC186" i="6"/>
  <c r="CY186" i="6"/>
  <c r="CU186" i="6"/>
  <c r="CQ121" i="23" s="1"/>
  <c r="CX186" i="6"/>
  <c r="DF186" i="6"/>
  <c r="CQ110" i="23" s="1"/>
  <c r="BN186" i="6"/>
  <c r="BJ186" i="6"/>
  <c r="CQ80" i="23" s="1"/>
  <c r="BF186" i="6"/>
  <c r="CQ84" i="23" s="1"/>
  <c r="BM186" i="6"/>
  <c r="BI186" i="6"/>
  <c r="CQ81" i="23" s="1"/>
  <c r="BE186" i="6"/>
  <c r="CQ85" i="23" s="1"/>
  <c r="BP186" i="6"/>
  <c r="CQ74" i="23" s="1"/>
  <c r="BL186" i="6"/>
  <c r="CQ78" i="23" s="1"/>
  <c r="BH186" i="6"/>
  <c r="CQ82" i="23" s="1"/>
  <c r="BG186" i="6"/>
  <c r="CQ83" i="23" s="1"/>
  <c r="BK186" i="6"/>
  <c r="CQ79" i="23" s="1"/>
  <c r="DB186" i="6"/>
  <c r="BO186" i="6"/>
  <c r="CQ75" i="23" s="1"/>
  <c r="CT190" i="6"/>
  <c r="ES190" i="6"/>
  <c r="EO190" i="6"/>
  <c r="EK190" i="6"/>
  <c r="CT157" i="23" s="1"/>
  <c r="EV190" i="6"/>
  <c r="CT146" i="23" s="1"/>
  <c r="ER190" i="6"/>
  <c r="EN190" i="6"/>
  <c r="EU190" i="6"/>
  <c r="CT147" i="23" s="1"/>
  <c r="EM190" i="6"/>
  <c r="ET190" i="6"/>
  <c r="EP190" i="6"/>
  <c r="EQ190" i="6"/>
  <c r="EL190" i="6"/>
  <c r="DE190" i="6"/>
  <c r="CT111" i="23" s="1"/>
  <c r="DA190" i="6"/>
  <c r="CW190" i="6"/>
  <c r="DD190" i="6"/>
  <c r="CZ190" i="6"/>
  <c r="CV190" i="6"/>
  <c r="DC190" i="6"/>
  <c r="CY190" i="6"/>
  <c r="CU190" i="6"/>
  <c r="CT121" i="23" s="1"/>
  <c r="DF190" i="6"/>
  <c r="CT110" i="23" s="1"/>
  <c r="DB190" i="6"/>
  <c r="BN190" i="6"/>
  <c r="BJ190" i="6"/>
  <c r="CT80" i="23" s="1"/>
  <c r="BF190" i="6"/>
  <c r="CT84" i="23" s="1"/>
  <c r="CX190" i="6"/>
  <c r="BM190" i="6"/>
  <c r="BI190" i="6"/>
  <c r="CT81" i="23" s="1"/>
  <c r="BE190" i="6"/>
  <c r="CT85" i="23" s="1"/>
  <c r="BP190" i="6"/>
  <c r="CT74" i="23" s="1"/>
  <c r="BL190" i="6"/>
  <c r="CT78" i="23" s="1"/>
  <c r="BH190" i="6"/>
  <c r="CT82" i="23" s="1"/>
  <c r="BG190" i="6"/>
  <c r="CT83" i="23" s="1"/>
  <c r="BO190" i="6"/>
  <c r="CT75" i="23" s="1"/>
  <c r="BK190" i="6"/>
  <c r="CT79" i="23" s="1"/>
  <c r="ES194" i="6"/>
  <c r="EO194" i="6"/>
  <c r="CW153" i="23" s="1"/>
  <c r="EK194" i="6"/>
  <c r="CW157" i="23" s="1"/>
  <c r="EV194" i="6"/>
  <c r="CW146" i="23" s="1"/>
  <c r="ER194" i="6"/>
  <c r="CW150" i="23" s="1"/>
  <c r="EN194" i="6"/>
  <c r="CW154" i="23" s="1"/>
  <c r="EQ194" i="6"/>
  <c r="CW151" i="23" s="1"/>
  <c r="EP194" i="6"/>
  <c r="CW152" i="23" s="1"/>
  <c r="EU194" i="6"/>
  <c r="CW147" i="23" s="1"/>
  <c r="EL194" i="6"/>
  <c r="CW156" i="23" s="1"/>
  <c r="ET194" i="6"/>
  <c r="DE194" i="6"/>
  <c r="CW111" i="23" s="1"/>
  <c r="DA194" i="6"/>
  <c r="CW115" i="23" s="1"/>
  <c r="CW194" i="6"/>
  <c r="CW119" i="23" s="1"/>
  <c r="EM194" i="6"/>
  <c r="CW155" i="23" s="1"/>
  <c r="DD194" i="6"/>
  <c r="CZ194" i="6"/>
  <c r="CW116" i="23" s="1"/>
  <c r="CV194" i="6"/>
  <c r="CW120" i="23" s="1"/>
  <c r="DC194" i="6"/>
  <c r="CY194" i="6"/>
  <c r="CW117" i="23" s="1"/>
  <c r="CU194" i="6"/>
  <c r="CW121" i="23" s="1"/>
  <c r="DF194" i="6"/>
  <c r="CW110" i="23" s="1"/>
  <c r="DB194" i="6"/>
  <c r="CW114" i="23" s="1"/>
  <c r="CX194" i="6"/>
  <c r="CW118" i="23" s="1"/>
  <c r="BN194" i="6"/>
  <c r="BJ194" i="6"/>
  <c r="CW80" i="23" s="1"/>
  <c r="BF194" i="6"/>
  <c r="CW84" i="23" s="1"/>
  <c r="BM194" i="6"/>
  <c r="BI194" i="6"/>
  <c r="CW81" i="23" s="1"/>
  <c r="BE194" i="6"/>
  <c r="CW85" i="23" s="1"/>
  <c r="BP194" i="6"/>
  <c r="CW74" i="23" s="1"/>
  <c r="BL194" i="6"/>
  <c r="CW78" i="23" s="1"/>
  <c r="BH194" i="6"/>
  <c r="CW82" i="23" s="1"/>
  <c r="BO194" i="6"/>
  <c r="CW75" i="23" s="1"/>
  <c r="BK194" i="6"/>
  <c r="CW79" i="23" s="1"/>
  <c r="BG194" i="6"/>
  <c r="CW83" i="23" s="1"/>
  <c r="ES197" i="6"/>
  <c r="EO197" i="6"/>
  <c r="EK197" i="6"/>
  <c r="CZ157" i="23" s="1"/>
  <c r="EV197" i="6"/>
  <c r="CZ146" i="23" s="1"/>
  <c r="ER197" i="6"/>
  <c r="EN197" i="6"/>
  <c r="EU197" i="6"/>
  <c r="CZ147" i="23" s="1"/>
  <c r="EM197" i="6"/>
  <c r="EL197" i="6"/>
  <c r="EQ197" i="6"/>
  <c r="EP197" i="6"/>
  <c r="DE197" i="6"/>
  <c r="CZ111" i="23" s="1"/>
  <c r="DA197" i="6"/>
  <c r="CW197" i="6"/>
  <c r="DD197" i="6"/>
  <c r="CZ197" i="6"/>
  <c r="CV197" i="6"/>
  <c r="DC197" i="6"/>
  <c r="CY197" i="6"/>
  <c r="CU197" i="6"/>
  <c r="CZ121" i="23" s="1"/>
  <c r="DB197" i="6"/>
  <c r="CX197" i="6"/>
  <c r="ET197" i="6"/>
  <c r="DF197" i="6"/>
  <c r="CZ110" i="23" s="1"/>
  <c r="BN197" i="6"/>
  <c r="BJ197" i="6"/>
  <c r="CZ80" i="23" s="1"/>
  <c r="BF197" i="6"/>
  <c r="CZ84" i="23" s="1"/>
  <c r="BM197" i="6"/>
  <c r="BI197" i="6"/>
  <c r="CZ81" i="23" s="1"/>
  <c r="BE197" i="6"/>
  <c r="CZ85" i="23" s="1"/>
  <c r="BP197" i="6"/>
  <c r="CZ74" i="23" s="1"/>
  <c r="BL197" i="6"/>
  <c r="CZ78" i="23" s="1"/>
  <c r="BH197" i="6"/>
  <c r="CZ82" i="23" s="1"/>
  <c r="BK197" i="6"/>
  <c r="CZ79" i="23" s="1"/>
  <c r="BO197" i="6"/>
  <c r="CZ75" i="23" s="1"/>
  <c r="BG197" i="6"/>
  <c r="CZ83" i="23" s="1"/>
  <c r="CT199" i="6"/>
  <c r="CT202" i="6"/>
  <c r="ES202" i="6"/>
  <c r="EO202" i="6"/>
  <c r="EK202" i="6"/>
  <c r="DE157" i="23" s="1"/>
  <c r="EV202" i="6"/>
  <c r="DE146" i="23" s="1"/>
  <c r="ER202" i="6"/>
  <c r="EN202" i="6"/>
  <c r="EQ202" i="6"/>
  <c r="EP202" i="6"/>
  <c r="EU202" i="6"/>
  <c r="DE147" i="23" s="1"/>
  <c r="EL202" i="6"/>
  <c r="ET202" i="6"/>
  <c r="EM202" i="6"/>
  <c r="DE202" i="6"/>
  <c r="DE111" i="23" s="1"/>
  <c r="DA202" i="6"/>
  <c r="CW202" i="6"/>
  <c r="DD202" i="6"/>
  <c r="CZ202" i="6"/>
  <c r="CV202" i="6"/>
  <c r="DC202" i="6"/>
  <c r="CY202" i="6"/>
  <c r="CU202" i="6"/>
  <c r="DE121" i="23" s="1"/>
  <c r="DF202" i="6"/>
  <c r="DE110" i="23" s="1"/>
  <c r="DB202" i="6"/>
  <c r="CX202" i="6"/>
  <c r="BN202" i="6"/>
  <c r="BJ202" i="6"/>
  <c r="DE80" i="23" s="1"/>
  <c r="BF202" i="6"/>
  <c r="DE84" i="23" s="1"/>
  <c r="BM202" i="6"/>
  <c r="BI202" i="6"/>
  <c r="DE81" i="23" s="1"/>
  <c r="BE202" i="6"/>
  <c r="DE85" i="23" s="1"/>
  <c r="BP202" i="6"/>
  <c r="DE74" i="23" s="1"/>
  <c r="BL202" i="6"/>
  <c r="DE78" i="23" s="1"/>
  <c r="BH202" i="6"/>
  <c r="DE82" i="23" s="1"/>
  <c r="BO202" i="6"/>
  <c r="DE75" i="23" s="1"/>
  <c r="BK202" i="6"/>
  <c r="DE79" i="23" s="1"/>
  <c r="BG202" i="6"/>
  <c r="DE83" i="23" s="1"/>
  <c r="CT206" i="6"/>
  <c r="ES206" i="6"/>
  <c r="EO206" i="6"/>
  <c r="DH153" i="23" s="1"/>
  <c r="EK206" i="6"/>
  <c r="DH157" i="23" s="1"/>
  <c r="EV206" i="6"/>
  <c r="DH146" i="23" s="1"/>
  <c r="ER206" i="6"/>
  <c r="DH150" i="23" s="1"/>
  <c r="EN206" i="6"/>
  <c r="DH154" i="23" s="1"/>
  <c r="EU206" i="6"/>
  <c r="DH147" i="23" s="1"/>
  <c r="EM206" i="6"/>
  <c r="DH155" i="23" s="1"/>
  <c r="EL206" i="6"/>
  <c r="DH156" i="23" s="1"/>
  <c r="EQ206" i="6"/>
  <c r="DH151" i="23" s="1"/>
  <c r="ET206" i="6"/>
  <c r="EP206" i="6"/>
  <c r="DH152" i="23" s="1"/>
  <c r="DE206" i="6"/>
  <c r="DH111" i="23" s="1"/>
  <c r="DA206" i="6"/>
  <c r="DH115" i="23" s="1"/>
  <c r="CW206" i="6"/>
  <c r="DH119" i="23" s="1"/>
  <c r="DD206" i="6"/>
  <c r="CZ206" i="6"/>
  <c r="DH116" i="23" s="1"/>
  <c r="CV206" i="6"/>
  <c r="DH120" i="23" s="1"/>
  <c r="DC206" i="6"/>
  <c r="CY206" i="6"/>
  <c r="DH117" i="23" s="1"/>
  <c r="CU206" i="6"/>
  <c r="DH121" i="23" s="1"/>
  <c r="DB206" i="6"/>
  <c r="DH114" i="23" s="1"/>
  <c r="CX206" i="6"/>
  <c r="DH118" i="23" s="1"/>
  <c r="BN206" i="6"/>
  <c r="BJ206" i="6"/>
  <c r="DH80" i="23" s="1"/>
  <c r="BF206" i="6"/>
  <c r="DH84" i="23" s="1"/>
  <c r="BM206" i="6"/>
  <c r="BI206" i="6"/>
  <c r="DH81" i="23" s="1"/>
  <c r="BE206" i="6"/>
  <c r="DH85" i="23" s="1"/>
  <c r="DF206" i="6"/>
  <c r="DH110" i="23" s="1"/>
  <c r="BP206" i="6"/>
  <c r="DH74" i="23" s="1"/>
  <c r="BL206" i="6"/>
  <c r="DH78" i="23" s="1"/>
  <c r="BH206" i="6"/>
  <c r="DH82" i="23" s="1"/>
  <c r="BK206" i="6"/>
  <c r="DH79" i="23" s="1"/>
  <c r="BO206" i="6"/>
  <c r="DH75" i="23" s="1"/>
  <c r="BG206" i="6"/>
  <c r="DH83" i="23" s="1"/>
  <c r="ES210" i="6"/>
  <c r="EO210" i="6"/>
  <c r="DK153" i="23" s="1"/>
  <c r="EK210" i="6"/>
  <c r="DK157" i="23" s="1"/>
  <c r="EV210" i="6"/>
  <c r="DK146" i="23" s="1"/>
  <c r="ER210" i="6"/>
  <c r="DK150" i="23" s="1"/>
  <c r="EN210" i="6"/>
  <c r="DK154" i="23" s="1"/>
  <c r="EQ210" i="6"/>
  <c r="DK151" i="23" s="1"/>
  <c r="ET210" i="6"/>
  <c r="EM210" i="6"/>
  <c r="DK155" i="23" s="1"/>
  <c r="EL210" i="6"/>
  <c r="DK156" i="23" s="1"/>
  <c r="EU210" i="6"/>
  <c r="DK147" i="23" s="1"/>
  <c r="DE210" i="6"/>
  <c r="DK111" i="23" s="1"/>
  <c r="DA210" i="6"/>
  <c r="DK115" i="23" s="1"/>
  <c r="CW210" i="6"/>
  <c r="DK119" i="23" s="1"/>
  <c r="EP210" i="6"/>
  <c r="DK152" i="23" s="1"/>
  <c r="DD210" i="6"/>
  <c r="CZ210" i="6"/>
  <c r="DK116" i="23" s="1"/>
  <c r="CV210" i="6"/>
  <c r="DK120" i="23" s="1"/>
  <c r="DC210" i="6"/>
  <c r="CY210" i="6"/>
  <c r="DK117" i="23" s="1"/>
  <c r="CU210" i="6"/>
  <c r="DK121" i="23" s="1"/>
  <c r="CX210" i="6"/>
  <c r="DK118" i="23" s="1"/>
  <c r="DF210" i="6"/>
  <c r="DK110" i="23" s="1"/>
  <c r="DB210" i="6"/>
  <c r="DK114" i="23" s="1"/>
  <c r="BN210" i="6"/>
  <c r="BJ210" i="6"/>
  <c r="DK80" i="23" s="1"/>
  <c r="BF210" i="6"/>
  <c r="DK84" i="23" s="1"/>
  <c r="BM210" i="6"/>
  <c r="BI210" i="6"/>
  <c r="DK81" i="23" s="1"/>
  <c r="BE210" i="6"/>
  <c r="DK85" i="23" s="1"/>
  <c r="BP210" i="6"/>
  <c r="DK74" i="23" s="1"/>
  <c r="BL210" i="6"/>
  <c r="DK78" i="23" s="1"/>
  <c r="BH210" i="6"/>
  <c r="DK82" i="23" s="1"/>
  <c r="BG210" i="6"/>
  <c r="DK83" i="23" s="1"/>
  <c r="BK210" i="6"/>
  <c r="DK79" i="23" s="1"/>
  <c r="BO210" i="6"/>
  <c r="DK75" i="23" s="1"/>
  <c r="B214" i="6"/>
  <c r="F214" i="6"/>
  <c r="J214" i="6"/>
  <c r="CT216" i="6"/>
  <c r="ES216" i="6"/>
  <c r="EO216" i="6"/>
  <c r="EK216" i="6"/>
  <c r="DP157" i="23" s="1"/>
  <c r="EV216" i="6"/>
  <c r="DP146" i="23" s="1"/>
  <c r="ER216" i="6"/>
  <c r="EN216" i="6"/>
  <c r="EU216" i="6"/>
  <c r="DP147" i="23" s="1"/>
  <c r="EM216" i="6"/>
  <c r="EL216" i="6"/>
  <c r="EQ216" i="6"/>
  <c r="EP216" i="6"/>
  <c r="DE216" i="6"/>
  <c r="DP111" i="23" s="1"/>
  <c r="DA216" i="6"/>
  <c r="CW216" i="6"/>
  <c r="DD216" i="6"/>
  <c r="CZ216" i="6"/>
  <c r="CV216" i="6"/>
  <c r="ET216" i="6"/>
  <c r="DC216" i="6"/>
  <c r="CY216" i="6"/>
  <c r="CU216" i="6"/>
  <c r="DP121" i="23" s="1"/>
  <c r="DB216" i="6"/>
  <c r="CX216" i="6"/>
  <c r="DF216" i="6"/>
  <c r="DP110" i="23" s="1"/>
  <c r="BN216" i="6"/>
  <c r="BJ216" i="6"/>
  <c r="DP80" i="23" s="1"/>
  <c r="BF216" i="6"/>
  <c r="DP84" i="23" s="1"/>
  <c r="BM216" i="6"/>
  <c r="BI216" i="6"/>
  <c r="DP81" i="23" s="1"/>
  <c r="BE216" i="6"/>
  <c r="DP85" i="23" s="1"/>
  <c r="BP216" i="6"/>
  <c r="DP74" i="23" s="1"/>
  <c r="BL216" i="6"/>
  <c r="DP78" i="23" s="1"/>
  <c r="BH216" i="6"/>
  <c r="DP82" i="23" s="1"/>
  <c r="BK216" i="6"/>
  <c r="DP79" i="23" s="1"/>
  <c r="BO216" i="6"/>
  <c r="DP75" i="23" s="1"/>
  <c r="BG216" i="6"/>
  <c r="DP83" i="23" s="1"/>
  <c r="CT220" i="6"/>
  <c r="ES220" i="6"/>
  <c r="EO220" i="6"/>
  <c r="DQ153" i="23" s="1"/>
  <c r="EK220" i="6"/>
  <c r="DQ157" i="23" s="1"/>
  <c r="EV220" i="6"/>
  <c r="DQ146" i="23" s="1"/>
  <c r="ER220" i="6"/>
  <c r="DQ150" i="23" s="1"/>
  <c r="EN220" i="6"/>
  <c r="DQ154" i="23" s="1"/>
  <c r="EQ220" i="6"/>
  <c r="DQ151" i="23" s="1"/>
  <c r="EU220" i="6"/>
  <c r="DQ147" i="23" s="1"/>
  <c r="EL220" i="6"/>
  <c r="DQ156" i="23" s="1"/>
  <c r="EP220" i="6"/>
  <c r="DQ152" i="23" s="1"/>
  <c r="ET220" i="6"/>
  <c r="EM220" i="6"/>
  <c r="DQ155" i="23" s="1"/>
  <c r="DE220" i="6"/>
  <c r="DQ111" i="23" s="1"/>
  <c r="DA220" i="6"/>
  <c r="DQ115" i="23" s="1"/>
  <c r="CW220" i="6"/>
  <c r="DQ119" i="23" s="1"/>
  <c r="DD220" i="6"/>
  <c r="CZ220" i="6"/>
  <c r="DQ116" i="23" s="1"/>
  <c r="CV220" i="6"/>
  <c r="DQ120" i="23" s="1"/>
  <c r="DC220" i="6"/>
  <c r="CY220" i="6"/>
  <c r="DQ117" i="23" s="1"/>
  <c r="CU220" i="6"/>
  <c r="DQ121" i="23" s="1"/>
  <c r="DF220" i="6"/>
  <c r="DQ110" i="23" s="1"/>
  <c r="DB220" i="6"/>
  <c r="DQ114" i="23" s="1"/>
  <c r="CX220" i="6"/>
  <c r="DQ118" i="23" s="1"/>
  <c r="BN220" i="6"/>
  <c r="BJ220" i="6"/>
  <c r="DQ80" i="23" s="1"/>
  <c r="BF220" i="6"/>
  <c r="DQ84" i="23" s="1"/>
  <c r="BM220" i="6"/>
  <c r="BI220" i="6"/>
  <c r="DQ81" i="23" s="1"/>
  <c r="BE220" i="6"/>
  <c r="DQ85" i="23" s="1"/>
  <c r="BP220" i="6"/>
  <c r="DQ74" i="23" s="1"/>
  <c r="BL220" i="6"/>
  <c r="DQ78" i="23" s="1"/>
  <c r="BH220" i="6"/>
  <c r="DQ82" i="23" s="1"/>
  <c r="BO220" i="6"/>
  <c r="DQ75" i="23" s="1"/>
  <c r="BK220" i="6"/>
  <c r="DQ79" i="23" s="1"/>
  <c r="BG220" i="6"/>
  <c r="DQ83" i="23" s="1"/>
  <c r="CT243" i="6"/>
  <c r="ES243" i="6"/>
  <c r="EO243" i="6"/>
  <c r="EK243" i="6"/>
  <c r="EV243" i="6"/>
  <c r="ER243" i="6"/>
  <c r="EN243" i="6"/>
  <c r="EU243" i="6"/>
  <c r="EQ243" i="6"/>
  <c r="EM243" i="6"/>
  <c r="EP243" i="6"/>
  <c r="EL243" i="6"/>
  <c r="ET243" i="6"/>
  <c r="DE243" i="6"/>
  <c r="DA243" i="6"/>
  <c r="CW243" i="6"/>
  <c r="DD243" i="6"/>
  <c r="CZ243" i="6"/>
  <c r="CV243" i="6"/>
  <c r="DC243" i="6"/>
  <c r="CY243" i="6"/>
  <c r="CU243" i="6"/>
  <c r="DF243" i="6"/>
  <c r="DB243" i="6"/>
  <c r="BN243" i="6"/>
  <c r="BJ243" i="6"/>
  <c r="BF243" i="6"/>
  <c r="CX243" i="6"/>
  <c r="BM243" i="6"/>
  <c r="BI243" i="6"/>
  <c r="BE243" i="6"/>
  <c r="BP243" i="6"/>
  <c r="BL243" i="6"/>
  <c r="BH243" i="6"/>
  <c r="BG243" i="6"/>
  <c r="BO243" i="6"/>
  <c r="BK243" i="6"/>
  <c r="CT247" i="6"/>
  <c r="ES247" i="6"/>
  <c r="EO247" i="6"/>
  <c r="EK247" i="6"/>
  <c r="EV247" i="6"/>
  <c r="ER247" i="6"/>
  <c r="EN247" i="6"/>
  <c r="EU247" i="6"/>
  <c r="EQ247" i="6"/>
  <c r="EM247" i="6"/>
  <c r="EP247" i="6"/>
  <c r="EL247" i="6"/>
  <c r="ET247" i="6"/>
  <c r="DE247" i="6"/>
  <c r="DA247" i="6"/>
  <c r="CW247" i="6"/>
  <c r="DD247" i="6"/>
  <c r="CZ247" i="6"/>
  <c r="CV247" i="6"/>
  <c r="DC247" i="6"/>
  <c r="CY247" i="6"/>
  <c r="CU247" i="6"/>
  <c r="DF247" i="6"/>
  <c r="DB247" i="6"/>
  <c r="BN247" i="6"/>
  <c r="BR247" i="6" s="1"/>
  <c r="BJ247" i="6"/>
  <c r="BF247" i="6"/>
  <c r="BM247" i="6"/>
  <c r="BI247" i="6"/>
  <c r="BE247" i="6"/>
  <c r="CX247" i="6"/>
  <c r="BP247" i="6"/>
  <c r="BL247" i="6"/>
  <c r="BH247" i="6"/>
  <c r="BO247" i="6"/>
  <c r="BG247" i="6"/>
  <c r="BK247" i="6"/>
  <c r="CT20" i="6"/>
  <c r="EJ20" i="6" s="1"/>
  <c r="ET20" i="6"/>
  <c r="EP20" i="6"/>
  <c r="EL20" i="6"/>
  <c r="ES20" i="6"/>
  <c r="EO20" i="6"/>
  <c r="EK20" i="6"/>
  <c r="ER20" i="6"/>
  <c r="EQ20" i="6"/>
  <c r="EV20" i="6"/>
  <c r="EN20" i="6"/>
  <c r="EM20" i="6"/>
  <c r="DF20" i="6"/>
  <c r="DD20" i="6"/>
  <c r="CZ20" i="6"/>
  <c r="CV20" i="6"/>
  <c r="BN20" i="6"/>
  <c r="BJ20" i="6"/>
  <c r="BF20" i="6"/>
  <c r="DC20" i="6"/>
  <c r="CY20" i="6"/>
  <c r="CU20" i="6"/>
  <c r="BM20" i="6"/>
  <c r="BI20" i="6"/>
  <c r="BE20" i="6"/>
  <c r="DB20" i="6"/>
  <c r="CX20" i="6"/>
  <c r="BP20" i="6"/>
  <c r="BL20" i="6"/>
  <c r="BH20" i="6"/>
  <c r="DA20" i="6"/>
  <c r="EU20" i="6"/>
  <c r="CW20" i="6"/>
  <c r="BO20" i="6"/>
  <c r="DE20" i="6"/>
  <c r="BG20" i="6"/>
  <c r="BK20" i="6"/>
  <c r="CT26" i="6"/>
  <c r="EJ26" i="6" s="1"/>
  <c r="ET26" i="6"/>
  <c r="EP26" i="6"/>
  <c r="EL26" i="6"/>
  <c r="ES26" i="6"/>
  <c r="EO26" i="6"/>
  <c r="EK26" i="6"/>
  <c r="ER26" i="6"/>
  <c r="EQ26" i="6"/>
  <c r="EV26" i="6"/>
  <c r="EN26" i="6"/>
  <c r="DC26" i="6"/>
  <c r="CY26" i="6"/>
  <c r="EU26" i="6"/>
  <c r="DF26" i="6"/>
  <c r="DB26" i="6"/>
  <c r="CX26" i="6"/>
  <c r="EM26" i="6"/>
  <c r="DE26" i="6"/>
  <c r="DA26" i="6"/>
  <c r="CW26" i="6"/>
  <c r="CU26" i="6"/>
  <c r="BN26" i="6"/>
  <c r="BJ26" i="6"/>
  <c r="BF26" i="6"/>
  <c r="DD26" i="6"/>
  <c r="BM26" i="6"/>
  <c r="BI26" i="6"/>
  <c r="BE26" i="6"/>
  <c r="CZ26" i="6"/>
  <c r="BP26" i="6"/>
  <c r="BL26" i="6"/>
  <c r="BH26" i="6"/>
  <c r="BO26" i="6"/>
  <c r="BG26" i="6"/>
  <c r="CV26" i="6"/>
  <c r="BK26" i="6"/>
  <c r="CT40" i="6"/>
  <c r="ET40" i="6"/>
  <c r="EP40" i="6"/>
  <c r="EL40" i="6"/>
  <c r="ES40" i="6"/>
  <c r="EO40" i="6"/>
  <c r="EK40" i="6"/>
  <c r="ER40" i="6"/>
  <c r="EQ40" i="6"/>
  <c r="EV40" i="6"/>
  <c r="EN40" i="6"/>
  <c r="DC40" i="6"/>
  <c r="CY40" i="6"/>
  <c r="CU40" i="6"/>
  <c r="EU40" i="6"/>
  <c r="DF40" i="6"/>
  <c r="DB40" i="6"/>
  <c r="CX40" i="6"/>
  <c r="EM40" i="6"/>
  <c r="DE40" i="6"/>
  <c r="DA40" i="6"/>
  <c r="CW40" i="6"/>
  <c r="BN40" i="6"/>
  <c r="BR40" i="6" s="1"/>
  <c r="BJ40" i="6"/>
  <c r="BF40" i="6"/>
  <c r="DD40" i="6"/>
  <c r="BM40" i="6"/>
  <c r="BI40" i="6"/>
  <c r="BE40" i="6"/>
  <c r="CZ40" i="6"/>
  <c r="BP40" i="6"/>
  <c r="BL40" i="6"/>
  <c r="BH40" i="6"/>
  <c r="CV40" i="6"/>
  <c r="BO40" i="6"/>
  <c r="BG40" i="6"/>
  <c r="BK40" i="6"/>
  <c r="CT89" i="6"/>
  <c r="EJ89" i="6" s="1"/>
  <c r="ET89" i="6"/>
  <c r="EX89" i="6" s="1"/>
  <c r="EP89" i="6"/>
  <c r="EL89" i="6"/>
  <c r="ES89" i="6"/>
  <c r="EO89" i="6"/>
  <c r="EK89" i="6"/>
  <c r="EV89" i="6"/>
  <c r="ER89" i="6"/>
  <c r="EN89" i="6"/>
  <c r="EQ89" i="6"/>
  <c r="EM89" i="6"/>
  <c r="EU89" i="6"/>
  <c r="DC89" i="6"/>
  <c r="CY89" i="6"/>
  <c r="CU89" i="6"/>
  <c r="DF89" i="6"/>
  <c r="DB89" i="6"/>
  <c r="CX89" i="6"/>
  <c r="DE89" i="6"/>
  <c r="DA89" i="6"/>
  <c r="CW89" i="6"/>
  <c r="DD89" i="6"/>
  <c r="DH89" i="6" s="1"/>
  <c r="BN89" i="6"/>
  <c r="BR89" i="6" s="1"/>
  <c r="BJ89" i="6"/>
  <c r="BF89" i="6"/>
  <c r="CZ89" i="6"/>
  <c r="BM89" i="6"/>
  <c r="BI89" i="6"/>
  <c r="BE89" i="6"/>
  <c r="CV89" i="6"/>
  <c r="BP89" i="6"/>
  <c r="BL89" i="6"/>
  <c r="BH89" i="6"/>
  <c r="BO89" i="6"/>
  <c r="BK89" i="6"/>
  <c r="BG89" i="6"/>
  <c r="CT99" i="6"/>
  <c r="ET99" i="6"/>
  <c r="EP99" i="6"/>
  <c r="EL99" i="6"/>
  <c r="ES99" i="6"/>
  <c r="EO99" i="6"/>
  <c r="EK99" i="6"/>
  <c r="Z157" i="23" s="1"/>
  <c r="EV99" i="6"/>
  <c r="Z146" i="23" s="1"/>
  <c r="ER99" i="6"/>
  <c r="EN99" i="6"/>
  <c r="EU99" i="6"/>
  <c r="Z147" i="23" s="1"/>
  <c r="EQ99" i="6"/>
  <c r="EM99" i="6"/>
  <c r="DC99" i="6"/>
  <c r="CY99" i="6"/>
  <c r="CU99" i="6"/>
  <c r="Z121" i="23" s="1"/>
  <c r="DF99" i="6"/>
  <c r="Z110" i="23" s="1"/>
  <c r="DB99" i="6"/>
  <c r="CX99" i="6"/>
  <c r="DE99" i="6"/>
  <c r="Z111" i="23" s="1"/>
  <c r="DA99" i="6"/>
  <c r="CW99" i="6"/>
  <c r="BN99" i="6"/>
  <c r="BJ99" i="6"/>
  <c r="Z80" i="23" s="1"/>
  <c r="BF99" i="6"/>
  <c r="Z84" i="23" s="1"/>
  <c r="DD99" i="6"/>
  <c r="BM99" i="6"/>
  <c r="BI99" i="6"/>
  <c r="Z81" i="23" s="1"/>
  <c r="BE99" i="6"/>
  <c r="Z85" i="23" s="1"/>
  <c r="CZ99" i="6"/>
  <c r="BP99" i="6"/>
  <c r="Z74" i="23" s="1"/>
  <c r="BL99" i="6"/>
  <c r="Z78" i="23" s="1"/>
  <c r="BH99" i="6"/>
  <c r="Z82" i="23" s="1"/>
  <c r="BO99" i="6"/>
  <c r="Z75" i="23" s="1"/>
  <c r="BG99" i="6"/>
  <c r="Z83" i="23" s="1"/>
  <c r="CV99" i="6"/>
  <c r="BK99" i="6"/>
  <c r="Z79" i="23" s="1"/>
  <c r="CT105" i="6"/>
  <c r="ET105" i="6"/>
  <c r="EP105" i="6"/>
  <c r="AD152" i="23" s="1"/>
  <c r="EL105" i="6"/>
  <c r="AD156" i="23" s="1"/>
  <c r="ES105" i="6"/>
  <c r="EO105" i="6"/>
  <c r="AD153" i="23" s="1"/>
  <c r="EK105" i="6"/>
  <c r="AD157" i="23" s="1"/>
  <c r="EV105" i="6"/>
  <c r="AD146" i="23" s="1"/>
  <c r="ER105" i="6"/>
  <c r="AD150" i="23" s="1"/>
  <c r="EN105" i="6"/>
  <c r="AD154" i="23" s="1"/>
  <c r="EU105" i="6"/>
  <c r="AD147" i="23" s="1"/>
  <c r="EQ105" i="6"/>
  <c r="AD151" i="23" s="1"/>
  <c r="EM105" i="6"/>
  <c r="AD155" i="23" s="1"/>
  <c r="DC105" i="6"/>
  <c r="CY105" i="6"/>
  <c r="AD117" i="23" s="1"/>
  <c r="CU105" i="6"/>
  <c r="AD121" i="23" s="1"/>
  <c r="DF105" i="6"/>
  <c r="AD110" i="23" s="1"/>
  <c r="DB105" i="6"/>
  <c r="AD114" i="23" s="1"/>
  <c r="CX105" i="6"/>
  <c r="AD118" i="23" s="1"/>
  <c r="DE105" i="6"/>
  <c r="AD111" i="23" s="1"/>
  <c r="DA105" i="6"/>
  <c r="AD115" i="23" s="1"/>
  <c r="CW105" i="6"/>
  <c r="AD119" i="23" s="1"/>
  <c r="BN105" i="6"/>
  <c r="BJ105" i="6"/>
  <c r="AD80" i="23" s="1"/>
  <c r="BF105" i="6"/>
  <c r="AD84" i="23" s="1"/>
  <c r="DD105" i="6"/>
  <c r="BM105" i="6"/>
  <c r="BI105" i="6"/>
  <c r="AD81" i="23" s="1"/>
  <c r="BE105" i="6"/>
  <c r="AD85" i="23" s="1"/>
  <c r="CZ105" i="6"/>
  <c r="AD116" i="23" s="1"/>
  <c r="BP105" i="6"/>
  <c r="AD74" i="23" s="1"/>
  <c r="BL105" i="6"/>
  <c r="AD78" i="23" s="1"/>
  <c r="BH105" i="6"/>
  <c r="AD82" i="23" s="1"/>
  <c r="CV105" i="6"/>
  <c r="AD120" i="23" s="1"/>
  <c r="BO105" i="6"/>
  <c r="AD75" i="23" s="1"/>
  <c r="BG105" i="6"/>
  <c r="AD83" i="23" s="1"/>
  <c r="BK105" i="6"/>
  <c r="AD79" i="23" s="1"/>
  <c r="CT108" i="6"/>
  <c r="ET108" i="6"/>
  <c r="EP108" i="6"/>
  <c r="EL108" i="6"/>
  <c r="ES108" i="6"/>
  <c r="EO108" i="6"/>
  <c r="EK108" i="6"/>
  <c r="AG157" i="23" s="1"/>
  <c r="EV108" i="6"/>
  <c r="AG146" i="23" s="1"/>
  <c r="ER108" i="6"/>
  <c r="EN108" i="6"/>
  <c r="EQ108" i="6"/>
  <c r="EM108" i="6"/>
  <c r="EU108" i="6"/>
  <c r="AG147" i="23" s="1"/>
  <c r="DC108" i="6"/>
  <c r="CY108" i="6"/>
  <c r="CU108" i="6"/>
  <c r="AG121" i="23" s="1"/>
  <c r="DF108" i="6"/>
  <c r="AG110" i="23" s="1"/>
  <c r="DB108" i="6"/>
  <c r="CX108" i="6"/>
  <c r="DE108" i="6"/>
  <c r="AG111" i="23" s="1"/>
  <c r="DA108" i="6"/>
  <c r="CW108" i="6"/>
  <c r="DD108" i="6"/>
  <c r="BN108" i="6"/>
  <c r="BJ108" i="6"/>
  <c r="AG80" i="23" s="1"/>
  <c r="BF108" i="6"/>
  <c r="AG84" i="23" s="1"/>
  <c r="CZ108" i="6"/>
  <c r="BM108" i="6"/>
  <c r="BI108" i="6"/>
  <c r="AG81" i="23" s="1"/>
  <c r="BE108" i="6"/>
  <c r="AG85" i="23" s="1"/>
  <c r="CV108" i="6"/>
  <c r="BP108" i="6"/>
  <c r="AG74" i="23" s="1"/>
  <c r="BL108" i="6"/>
  <c r="AG78" i="23" s="1"/>
  <c r="BH108" i="6"/>
  <c r="AG82" i="23" s="1"/>
  <c r="BO108" i="6"/>
  <c r="AG75" i="23" s="1"/>
  <c r="BK108" i="6"/>
  <c r="AG79" i="23" s="1"/>
  <c r="BG108" i="6"/>
  <c r="AG83" i="23" s="1"/>
  <c r="CT139" i="6"/>
  <c r="EU139" i="6"/>
  <c r="BF147" i="23" s="1"/>
  <c r="EQ139" i="6"/>
  <c r="BF151" i="23" s="1"/>
  <c r="EM139" i="6"/>
  <c r="BF155" i="23" s="1"/>
  <c r="ES139" i="6"/>
  <c r="EO139" i="6"/>
  <c r="BF153" i="23" s="1"/>
  <c r="EK139" i="6"/>
  <c r="BF157" i="23" s="1"/>
  <c r="ER139" i="6"/>
  <c r="BF150" i="23" s="1"/>
  <c r="EP139" i="6"/>
  <c r="BF152" i="23" s="1"/>
  <c r="EV139" i="6"/>
  <c r="BF146" i="23" s="1"/>
  <c r="EN139" i="6"/>
  <c r="BF154" i="23" s="1"/>
  <c r="DE139" i="6"/>
  <c r="BF111" i="23" s="1"/>
  <c r="DA139" i="6"/>
  <c r="BF115" i="23" s="1"/>
  <c r="CW139" i="6"/>
  <c r="BF119" i="23" s="1"/>
  <c r="DD139" i="6"/>
  <c r="CZ139" i="6"/>
  <c r="BF116" i="23" s="1"/>
  <c r="CV139" i="6"/>
  <c r="BF120" i="23" s="1"/>
  <c r="ET139" i="6"/>
  <c r="DC139" i="6"/>
  <c r="CU139" i="6"/>
  <c r="BF121" i="23" s="1"/>
  <c r="EL139" i="6"/>
  <c r="BF156" i="23" s="1"/>
  <c r="DB139" i="6"/>
  <c r="BF114" i="23" s="1"/>
  <c r="CY139" i="6"/>
  <c r="BF117" i="23" s="1"/>
  <c r="DF139" i="6"/>
  <c r="BF110" i="23" s="1"/>
  <c r="BN139" i="6"/>
  <c r="BJ139" i="6"/>
  <c r="BF80" i="23" s="1"/>
  <c r="BF139" i="6"/>
  <c r="BF84" i="23" s="1"/>
  <c r="CX139" i="6"/>
  <c r="BF118" i="23" s="1"/>
  <c r="BM139" i="6"/>
  <c r="BI139" i="6"/>
  <c r="BF81" i="23" s="1"/>
  <c r="BE139" i="6"/>
  <c r="BF85" i="23" s="1"/>
  <c r="BP139" i="6"/>
  <c r="BF74" i="23" s="1"/>
  <c r="BL139" i="6"/>
  <c r="BF78" i="23" s="1"/>
  <c r="BH139" i="6"/>
  <c r="BF82" i="23" s="1"/>
  <c r="BG139" i="6"/>
  <c r="BF83" i="23" s="1"/>
  <c r="BO139" i="6"/>
  <c r="BF75" i="23" s="1"/>
  <c r="BK139" i="6"/>
  <c r="BF79" i="23" s="1"/>
  <c r="CT158" i="6"/>
  <c r="EV158" i="6"/>
  <c r="BT146" i="23" s="1"/>
  <c r="ER158" i="6"/>
  <c r="BT150" i="23" s="1"/>
  <c r="EN158" i="6"/>
  <c r="BT154" i="23" s="1"/>
  <c r="ES158" i="6"/>
  <c r="EM158" i="6"/>
  <c r="BT155" i="23" s="1"/>
  <c r="EU158" i="6"/>
  <c r="BT147" i="23" s="1"/>
  <c r="EP158" i="6"/>
  <c r="BT152" i="23" s="1"/>
  <c r="EK158" i="6"/>
  <c r="BT157" i="23" s="1"/>
  <c r="ET158" i="6"/>
  <c r="EQ158" i="6"/>
  <c r="BT151" i="23" s="1"/>
  <c r="EO158" i="6"/>
  <c r="BT153" i="23" s="1"/>
  <c r="DE158" i="6"/>
  <c r="BT111" i="23" s="1"/>
  <c r="DA158" i="6"/>
  <c r="BT115" i="23" s="1"/>
  <c r="CW158" i="6"/>
  <c r="BT119" i="23" s="1"/>
  <c r="DD158" i="6"/>
  <c r="CZ158" i="6"/>
  <c r="BT116" i="23" s="1"/>
  <c r="CV158" i="6"/>
  <c r="BT120" i="23" s="1"/>
  <c r="EL158" i="6"/>
  <c r="BT156" i="23" s="1"/>
  <c r="DC158" i="6"/>
  <c r="CY158" i="6"/>
  <c r="BT117" i="23" s="1"/>
  <c r="CU158" i="6"/>
  <c r="BT121" i="23" s="1"/>
  <c r="DB158" i="6"/>
  <c r="BT114" i="23" s="1"/>
  <c r="CX158" i="6"/>
  <c r="BT118" i="23" s="1"/>
  <c r="DF158" i="6"/>
  <c r="BT110" i="23" s="1"/>
  <c r="BN158" i="6"/>
  <c r="BJ158" i="6"/>
  <c r="BT80" i="23" s="1"/>
  <c r="BF158" i="6"/>
  <c r="BT84" i="23" s="1"/>
  <c r="BM158" i="6"/>
  <c r="BI158" i="6"/>
  <c r="BT81" i="23" s="1"/>
  <c r="BE158" i="6"/>
  <c r="BT85" i="23" s="1"/>
  <c r="BP158" i="6"/>
  <c r="BT74" i="23" s="1"/>
  <c r="BL158" i="6"/>
  <c r="BT78" i="23" s="1"/>
  <c r="BH158" i="6"/>
  <c r="BT82" i="23" s="1"/>
  <c r="BK158" i="6"/>
  <c r="BT79" i="23" s="1"/>
  <c r="BG158" i="6"/>
  <c r="BT83" i="23" s="1"/>
  <c r="BO158" i="6"/>
  <c r="BT75" i="23" s="1"/>
  <c r="EV161" i="6"/>
  <c r="BW146" i="23" s="1"/>
  <c r="ER161" i="6"/>
  <c r="EN161" i="6"/>
  <c r="ET161" i="6"/>
  <c r="EO161" i="6"/>
  <c r="EQ161" i="6"/>
  <c r="EL161" i="6"/>
  <c r="EP161" i="6"/>
  <c r="EM161" i="6"/>
  <c r="EU161" i="6"/>
  <c r="BW147" i="23" s="1"/>
  <c r="EK161" i="6"/>
  <c r="BW157" i="23" s="1"/>
  <c r="DE161" i="6"/>
  <c r="BW111" i="23" s="1"/>
  <c r="DA161" i="6"/>
  <c r="CW161" i="6"/>
  <c r="DD161" i="6"/>
  <c r="CZ161" i="6"/>
  <c r="CV161" i="6"/>
  <c r="ES161" i="6"/>
  <c r="DC161" i="6"/>
  <c r="CY161" i="6"/>
  <c r="CU161" i="6"/>
  <c r="BW121" i="23" s="1"/>
  <c r="CX161" i="6"/>
  <c r="DF161" i="6"/>
  <c r="BW110" i="23" s="1"/>
  <c r="BN161" i="6"/>
  <c r="BJ161" i="6"/>
  <c r="BW80" i="23" s="1"/>
  <c r="BF161" i="6"/>
  <c r="BW84" i="23" s="1"/>
  <c r="BM161" i="6"/>
  <c r="BI161" i="6"/>
  <c r="BW81" i="23" s="1"/>
  <c r="BE161" i="6"/>
  <c r="BW85" i="23" s="1"/>
  <c r="DB161" i="6"/>
  <c r="BP161" i="6"/>
  <c r="BW74" i="23" s="1"/>
  <c r="BL161" i="6"/>
  <c r="BW78" i="23" s="1"/>
  <c r="BH161" i="6"/>
  <c r="BW82" i="23" s="1"/>
  <c r="BG161" i="6"/>
  <c r="BW83" i="23" s="1"/>
  <c r="BK161" i="6"/>
  <c r="BW79" i="23" s="1"/>
  <c r="BO161" i="6"/>
  <c r="BW75" i="23" s="1"/>
  <c r="EV170" i="6"/>
  <c r="CD146" i="23" s="1"/>
  <c r="ER170" i="6"/>
  <c r="EN170" i="6"/>
  <c r="ET170" i="6"/>
  <c r="EO170" i="6"/>
  <c r="EQ170" i="6"/>
  <c r="EK170" i="6"/>
  <c r="CD157" i="23" s="1"/>
  <c r="EU170" i="6"/>
  <c r="CD147" i="23" s="1"/>
  <c r="EM170" i="6"/>
  <c r="EL170" i="6"/>
  <c r="ES170" i="6"/>
  <c r="EP170" i="6"/>
  <c r="DE170" i="6"/>
  <c r="CD111" i="23" s="1"/>
  <c r="DA170" i="6"/>
  <c r="CW170" i="6"/>
  <c r="DD170" i="6"/>
  <c r="CZ170" i="6"/>
  <c r="CV170" i="6"/>
  <c r="DC170" i="6"/>
  <c r="CY170" i="6"/>
  <c r="CU170" i="6"/>
  <c r="CD121" i="23" s="1"/>
  <c r="DF170" i="6"/>
  <c r="CD110" i="23" s="1"/>
  <c r="DB170" i="6"/>
  <c r="BN170" i="6"/>
  <c r="BJ170" i="6"/>
  <c r="CD80" i="23" s="1"/>
  <c r="BF170" i="6"/>
  <c r="CD84" i="23" s="1"/>
  <c r="CX170" i="6"/>
  <c r="BM170" i="6"/>
  <c r="BI170" i="6"/>
  <c r="CD81" i="23" s="1"/>
  <c r="BE170" i="6"/>
  <c r="CD85" i="23" s="1"/>
  <c r="BP170" i="6"/>
  <c r="CD74" i="23" s="1"/>
  <c r="BL170" i="6"/>
  <c r="CD78" i="23" s="1"/>
  <c r="BH170" i="6"/>
  <c r="CD82" i="23" s="1"/>
  <c r="BO170" i="6"/>
  <c r="CD75" i="23" s="1"/>
  <c r="BK170" i="6"/>
  <c r="CD79" i="23" s="1"/>
  <c r="BG170" i="6"/>
  <c r="CD83" i="23" s="1"/>
  <c r="CT176" i="6"/>
  <c r="ES176" i="6"/>
  <c r="EO176" i="6"/>
  <c r="EK176" i="6"/>
  <c r="CI157" i="23" s="1"/>
  <c r="EV176" i="6"/>
  <c r="CI146" i="23" s="1"/>
  <c r="ER176" i="6"/>
  <c r="EN176" i="6"/>
  <c r="EQ176" i="6"/>
  <c r="EM176" i="6"/>
  <c r="ET176" i="6"/>
  <c r="EU176" i="6"/>
  <c r="CI147" i="23" s="1"/>
  <c r="EP176" i="6"/>
  <c r="DE176" i="6"/>
  <c r="CI111" i="23" s="1"/>
  <c r="DA176" i="6"/>
  <c r="CW176" i="6"/>
  <c r="EL176" i="6"/>
  <c r="DD176" i="6"/>
  <c r="CZ176" i="6"/>
  <c r="CV176" i="6"/>
  <c r="DC176" i="6"/>
  <c r="CY176" i="6"/>
  <c r="CU176" i="6"/>
  <c r="CI121" i="23" s="1"/>
  <c r="CX176" i="6"/>
  <c r="DF176" i="6"/>
  <c r="CI110" i="23" s="1"/>
  <c r="BN176" i="6"/>
  <c r="BJ176" i="6"/>
  <c r="CI80" i="23" s="1"/>
  <c r="BF176" i="6"/>
  <c r="CI84" i="23" s="1"/>
  <c r="DB176" i="6"/>
  <c r="BM176" i="6"/>
  <c r="BI176" i="6"/>
  <c r="CI81" i="23" s="1"/>
  <c r="BE176" i="6"/>
  <c r="CI85" i="23" s="1"/>
  <c r="BP176" i="6"/>
  <c r="CI74" i="23" s="1"/>
  <c r="BL176" i="6"/>
  <c r="CI78" i="23" s="1"/>
  <c r="BH176" i="6"/>
  <c r="CI82" i="23" s="1"/>
  <c r="BG176" i="6"/>
  <c r="CI83" i="23" s="1"/>
  <c r="BK176" i="6"/>
  <c r="CI79" i="23" s="1"/>
  <c r="BO176" i="6"/>
  <c r="CI75" i="23" s="1"/>
  <c r="CT15" i="6"/>
  <c r="EJ15" i="6" s="1"/>
  <c r="ET15" i="6"/>
  <c r="EP15" i="6"/>
  <c r="EL15" i="6"/>
  <c r="ES15" i="6"/>
  <c r="EO15" i="6"/>
  <c r="EK15" i="6"/>
  <c r="EV15" i="6"/>
  <c r="EN15" i="6"/>
  <c r="EU15" i="6"/>
  <c r="EM15" i="6"/>
  <c r="ER15" i="6"/>
  <c r="EQ15" i="6"/>
  <c r="DD15" i="6"/>
  <c r="CZ15" i="6"/>
  <c r="CV15" i="6"/>
  <c r="BN15" i="6"/>
  <c r="BJ15" i="6"/>
  <c r="BF15" i="6"/>
  <c r="DC15" i="6"/>
  <c r="CY15" i="6"/>
  <c r="CU15" i="6"/>
  <c r="BM15" i="6"/>
  <c r="BI15" i="6"/>
  <c r="BE15" i="6"/>
  <c r="DF15" i="6"/>
  <c r="DB15" i="6"/>
  <c r="CX15" i="6"/>
  <c r="BP15" i="6"/>
  <c r="BL15" i="6"/>
  <c r="BH15" i="6"/>
  <c r="DE15" i="6"/>
  <c r="BG15" i="6"/>
  <c r="BK15" i="6"/>
  <c r="DA15" i="6"/>
  <c r="CW15" i="6"/>
  <c r="BO15" i="6"/>
  <c r="CT19" i="6"/>
  <c r="EJ19" i="6" s="1"/>
  <c r="CT21" i="6"/>
  <c r="EJ21" i="6" s="1"/>
  <c r="CT24" i="6"/>
  <c r="EJ24" i="6" s="1"/>
  <c r="ET24" i="6"/>
  <c r="EP24" i="6"/>
  <c r="EL24" i="6"/>
  <c r="ES24" i="6"/>
  <c r="EO24" i="6"/>
  <c r="EK24" i="6"/>
  <c r="ER24" i="6"/>
  <c r="EQ24" i="6"/>
  <c r="EV24" i="6"/>
  <c r="EN24" i="6"/>
  <c r="EU24" i="6"/>
  <c r="EM24" i="6"/>
  <c r="DF24" i="6"/>
  <c r="DB24" i="6"/>
  <c r="CX24" i="6"/>
  <c r="DE24" i="6"/>
  <c r="DA24" i="6"/>
  <c r="CW24" i="6"/>
  <c r="DC24" i="6"/>
  <c r="CU24" i="6"/>
  <c r="BN24" i="6"/>
  <c r="BJ24" i="6"/>
  <c r="BF24" i="6"/>
  <c r="CZ24" i="6"/>
  <c r="BM24" i="6"/>
  <c r="BI24" i="6"/>
  <c r="BE24" i="6"/>
  <c r="CY24" i="6"/>
  <c r="BP24" i="6"/>
  <c r="BL24" i="6"/>
  <c r="BH24" i="6"/>
  <c r="DD24" i="6"/>
  <c r="BK24" i="6"/>
  <c r="CV24" i="6"/>
  <c r="BG24" i="6"/>
  <c r="BO24" i="6"/>
  <c r="CT31" i="6"/>
  <c r="ET31" i="6"/>
  <c r="EP31" i="6"/>
  <c r="EL31" i="6"/>
  <c r="ES31" i="6"/>
  <c r="EO31" i="6"/>
  <c r="EK31" i="6"/>
  <c r="EV31" i="6"/>
  <c r="EN31" i="6"/>
  <c r="EU31" i="6"/>
  <c r="EM31" i="6"/>
  <c r="ER31" i="6"/>
  <c r="EQ31" i="6"/>
  <c r="DC31" i="6"/>
  <c r="CY31" i="6"/>
  <c r="CU31" i="6"/>
  <c r="DF31" i="6"/>
  <c r="DB31" i="6"/>
  <c r="CX31" i="6"/>
  <c r="DE31" i="6"/>
  <c r="DA31" i="6"/>
  <c r="CW31" i="6"/>
  <c r="CV31" i="6"/>
  <c r="BN31" i="6"/>
  <c r="BJ31" i="6"/>
  <c r="BF31" i="6"/>
  <c r="BM31" i="6"/>
  <c r="BI31" i="6"/>
  <c r="BE31" i="6"/>
  <c r="DD31" i="6"/>
  <c r="BP31" i="6"/>
  <c r="BL31" i="6"/>
  <c r="BH31" i="6"/>
  <c r="BG31" i="6"/>
  <c r="BK31" i="6"/>
  <c r="CZ31" i="6"/>
  <c r="BO31" i="6"/>
  <c r="CT35" i="6"/>
  <c r="EJ35" i="6" s="1"/>
  <c r="ET35" i="6"/>
  <c r="EX35" i="6" s="1"/>
  <c r="EP35" i="6"/>
  <c r="EL35" i="6"/>
  <c r="ES35" i="6"/>
  <c r="EO35" i="6"/>
  <c r="EK35" i="6"/>
  <c r="EV35" i="6"/>
  <c r="EN35" i="6"/>
  <c r="EU35" i="6"/>
  <c r="EM35" i="6"/>
  <c r="ER35" i="6"/>
  <c r="DC35" i="6"/>
  <c r="CY35" i="6"/>
  <c r="CU35" i="6"/>
  <c r="DF35" i="6"/>
  <c r="DB35" i="6"/>
  <c r="CX35" i="6"/>
  <c r="EQ35" i="6"/>
  <c r="DE35" i="6"/>
  <c r="DA35" i="6"/>
  <c r="CW35" i="6"/>
  <c r="CV35" i="6"/>
  <c r="BN35" i="6"/>
  <c r="BR35" i="6" s="1"/>
  <c r="BJ35" i="6"/>
  <c r="BF35" i="6"/>
  <c r="BM35" i="6"/>
  <c r="BI35" i="6"/>
  <c r="BE35" i="6"/>
  <c r="DD35" i="6"/>
  <c r="DH35" i="6" s="1"/>
  <c r="BP35" i="6"/>
  <c r="BL35" i="6"/>
  <c r="BH35" i="6"/>
  <c r="BG35" i="6"/>
  <c r="BK35" i="6"/>
  <c r="CZ35" i="6"/>
  <c r="BO35" i="6"/>
  <c r="CT41" i="6"/>
  <c r="ET41" i="6"/>
  <c r="EP41" i="6"/>
  <c r="EL41" i="6"/>
  <c r="ES41" i="6"/>
  <c r="EO41" i="6"/>
  <c r="EK41" i="6"/>
  <c r="EV41" i="6"/>
  <c r="EN41" i="6"/>
  <c r="EU41" i="6"/>
  <c r="EM41" i="6"/>
  <c r="ER41" i="6"/>
  <c r="EQ41" i="6"/>
  <c r="DC41" i="6"/>
  <c r="CY41" i="6"/>
  <c r="CU41" i="6"/>
  <c r="DF41" i="6"/>
  <c r="DB41" i="6"/>
  <c r="CX41" i="6"/>
  <c r="DE41" i="6"/>
  <c r="DA41" i="6"/>
  <c r="CW41" i="6"/>
  <c r="CV41" i="6"/>
  <c r="BN41" i="6"/>
  <c r="BJ41" i="6"/>
  <c r="BF41" i="6"/>
  <c r="BM41" i="6"/>
  <c r="BI41" i="6"/>
  <c r="BE41" i="6"/>
  <c r="DD41" i="6"/>
  <c r="BP41" i="6"/>
  <c r="BL41" i="6"/>
  <c r="BH41" i="6"/>
  <c r="BG41" i="6"/>
  <c r="CZ41" i="6"/>
  <c r="BK41" i="6"/>
  <c r="BO41" i="6"/>
  <c r="CT45" i="6"/>
  <c r="CT56" i="6"/>
  <c r="EJ56" i="6" s="1"/>
  <c r="ET56" i="4"/>
  <c r="EP56" i="4"/>
  <c r="EL56" i="4"/>
  <c r="ES56" i="4"/>
  <c r="EO56" i="4"/>
  <c r="ER56" i="4"/>
  <c r="EQ56" i="4"/>
  <c r="EV56" i="4"/>
  <c r="EN56" i="4"/>
  <c r="DC56" i="4"/>
  <c r="CY56" i="4"/>
  <c r="DF56" i="4"/>
  <c r="DB56" i="4"/>
  <c r="CX56" i="4"/>
  <c r="EU56" i="4"/>
  <c r="DE56" i="4"/>
  <c r="DA56" i="4"/>
  <c r="CW56" i="4"/>
  <c r="CZ56" i="4"/>
  <c r="CV56" i="4"/>
  <c r="DD56" i="4"/>
  <c r="EM56" i="4"/>
  <c r="ET64" i="6"/>
  <c r="EX64" i="6" s="1"/>
  <c r="EP64" i="6"/>
  <c r="EL64" i="6"/>
  <c r="ES64" i="6"/>
  <c r="EO64" i="6"/>
  <c r="EK64" i="6"/>
  <c r="ER64" i="6"/>
  <c r="EQ64" i="6"/>
  <c r="EV64" i="6"/>
  <c r="EN64" i="6"/>
  <c r="EU64" i="6"/>
  <c r="DC64" i="6"/>
  <c r="CY64" i="6"/>
  <c r="CU64" i="6"/>
  <c r="EM64" i="6"/>
  <c r="DF64" i="6"/>
  <c r="DB64" i="6"/>
  <c r="CX64" i="6"/>
  <c r="DE64" i="6"/>
  <c r="DA64" i="6"/>
  <c r="CW64" i="6"/>
  <c r="CZ64" i="6"/>
  <c r="BN64" i="6"/>
  <c r="BJ64" i="6"/>
  <c r="BF64" i="6"/>
  <c r="CV64" i="6"/>
  <c r="BM64" i="6"/>
  <c r="BI64" i="6"/>
  <c r="BE64" i="6"/>
  <c r="BP64" i="6"/>
  <c r="BL64" i="6"/>
  <c r="BH64" i="6"/>
  <c r="BK64" i="6"/>
  <c r="DD64" i="6"/>
  <c r="BG64" i="6"/>
  <c r="BO64" i="6"/>
  <c r="CT66" i="6"/>
  <c r="EJ66" i="6" s="1"/>
  <c r="CT77" i="6"/>
  <c r="ET77" i="6"/>
  <c r="EP77" i="6"/>
  <c r="G152" i="23" s="1"/>
  <c r="EL77" i="6"/>
  <c r="G156" i="23" s="1"/>
  <c r="ES77" i="6"/>
  <c r="EO77" i="6"/>
  <c r="G153" i="23" s="1"/>
  <c r="EK77" i="6"/>
  <c r="G157" i="23" s="1"/>
  <c r="ER77" i="6"/>
  <c r="G150" i="23" s="1"/>
  <c r="EQ77" i="6"/>
  <c r="G151" i="23" s="1"/>
  <c r="EV77" i="6"/>
  <c r="G146" i="23" s="1"/>
  <c r="EN77" i="6"/>
  <c r="G154" i="23" s="1"/>
  <c r="EM77" i="6"/>
  <c r="G155" i="23" s="1"/>
  <c r="DC77" i="6"/>
  <c r="CY77" i="6"/>
  <c r="G117" i="23" s="1"/>
  <c r="CU77" i="6"/>
  <c r="G121" i="23" s="1"/>
  <c r="DF77" i="6"/>
  <c r="G110" i="23" s="1"/>
  <c r="DB77" i="6"/>
  <c r="G114" i="23" s="1"/>
  <c r="CX77" i="6"/>
  <c r="G118" i="23" s="1"/>
  <c r="DE77" i="6"/>
  <c r="G111" i="23" s="1"/>
  <c r="DA77" i="6"/>
  <c r="G115" i="23" s="1"/>
  <c r="CW77" i="6"/>
  <c r="G119" i="23" s="1"/>
  <c r="BN77" i="6"/>
  <c r="BJ77" i="6"/>
  <c r="G80" i="23" s="1"/>
  <c r="BF77" i="6"/>
  <c r="G84" i="23" s="1"/>
  <c r="DD77" i="6"/>
  <c r="BM77" i="6"/>
  <c r="BI77" i="6"/>
  <c r="G81" i="23" s="1"/>
  <c r="BE77" i="6"/>
  <c r="G85" i="23" s="1"/>
  <c r="CZ77" i="6"/>
  <c r="G116" i="23" s="1"/>
  <c r="BP77" i="6"/>
  <c r="G74" i="23" s="1"/>
  <c r="BL77" i="6"/>
  <c r="G78" i="23" s="1"/>
  <c r="BH77" i="6"/>
  <c r="G82" i="23" s="1"/>
  <c r="BG77" i="6"/>
  <c r="G83" i="23" s="1"/>
  <c r="CV77" i="6"/>
  <c r="G120" i="23" s="1"/>
  <c r="BO77" i="6"/>
  <c r="G75" i="23" s="1"/>
  <c r="EU77" i="6"/>
  <c r="G147" i="23" s="1"/>
  <c r="BK77" i="6"/>
  <c r="G79" i="23" s="1"/>
  <c r="CT81" i="6"/>
  <c r="ET81" i="6"/>
  <c r="EP81" i="6"/>
  <c r="EL81" i="6"/>
  <c r="ES81" i="6"/>
  <c r="EO81" i="6"/>
  <c r="EK81" i="6"/>
  <c r="K157" i="23" s="1"/>
  <c r="EV81" i="6"/>
  <c r="K146" i="23" s="1"/>
  <c r="ER81" i="6"/>
  <c r="EU81" i="6"/>
  <c r="K147" i="23" s="1"/>
  <c r="EQ81" i="6"/>
  <c r="EN81" i="6"/>
  <c r="DC81" i="6"/>
  <c r="CY81" i="6"/>
  <c r="CU81" i="6"/>
  <c r="K121" i="23" s="1"/>
  <c r="DF81" i="6"/>
  <c r="K110" i="23" s="1"/>
  <c r="DB81" i="6"/>
  <c r="CX81" i="6"/>
  <c r="EM81" i="6"/>
  <c r="DE81" i="6"/>
  <c r="K111" i="23" s="1"/>
  <c r="DA81" i="6"/>
  <c r="CW81" i="6"/>
  <c r="BN81" i="6"/>
  <c r="BJ81" i="6"/>
  <c r="K80" i="23" s="1"/>
  <c r="BF81" i="6"/>
  <c r="K84" i="23" s="1"/>
  <c r="DD81" i="6"/>
  <c r="BM81" i="6"/>
  <c r="BI81" i="6"/>
  <c r="K81" i="23" s="1"/>
  <c r="BE81" i="6"/>
  <c r="K85" i="23" s="1"/>
  <c r="CZ81" i="6"/>
  <c r="BP81" i="6"/>
  <c r="K74" i="23" s="1"/>
  <c r="BL81" i="6"/>
  <c r="K78" i="23" s="1"/>
  <c r="BH81" i="6"/>
  <c r="K82" i="23" s="1"/>
  <c r="BG81" i="6"/>
  <c r="K83" i="23" s="1"/>
  <c r="BO81" i="6"/>
  <c r="K75" i="23" s="1"/>
  <c r="CV81" i="6"/>
  <c r="BK81" i="6"/>
  <c r="K79" i="23" s="1"/>
  <c r="CT84" i="6"/>
  <c r="ET84" i="6"/>
  <c r="EP84" i="6"/>
  <c r="EL84" i="6"/>
  <c r="ES84" i="6"/>
  <c r="EO84" i="6"/>
  <c r="EK84" i="6"/>
  <c r="N157" i="23" s="1"/>
  <c r="EV84" i="6"/>
  <c r="N146" i="23" s="1"/>
  <c r="ER84" i="6"/>
  <c r="EN84" i="6"/>
  <c r="EQ84" i="6"/>
  <c r="EM84" i="6"/>
  <c r="DC84" i="6"/>
  <c r="CY84" i="6"/>
  <c r="CU84" i="6"/>
  <c r="N121" i="23" s="1"/>
  <c r="DF84" i="6"/>
  <c r="N110" i="23" s="1"/>
  <c r="DB84" i="6"/>
  <c r="CX84" i="6"/>
  <c r="DE84" i="6"/>
  <c r="N111" i="23" s="1"/>
  <c r="DA84" i="6"/>
  <c r="CW84" i="6"/>
  <c r="DD84" i="6"/>
  <c r="BN84" i="6"/>
  <c r="BJ84" i="6"/>
  <c r="N80" i="23" s="1"/>
  <c r="BF84" i="6"/>
  <c r="N84" i="23" s="1"/>
  <c r="EU84" i="6"/>
  <c r="N147" i="23" s="1"/>
  <c r="CZ84" i="6"/>
  <c r="BM84" i="6"/>
  <c r="BI84" i="6"/>
  <c r="N81" i="23" s="1"/>
  <c r="BE84" i="6"/>
  <c r="N85" i="23" s="1"/>
  <c r="CV84" i="6"/>
  <c r="BP84" i="6"/>
  <c r="N74" i="23" s="1"/>
  <c r="BL84" i="6"/>
  <c r="N78" i="23" s="1"/>
  <c r="BH84" i="6"/>
  <c r="N82" i="23" s="1"/>
  <c r="BO84" i="6"/>
  <c r="N75" i="23" s="1"/>
  <c r="BK84" i="6"/>
  <c r="N79" i="23" s="1"/>
  <c r="BG84" i="6"/>
  <c r="N83" i="23" s="1"/>
  <c r="CT94" i="6"/>
  <c r="ET94" i="6"/>
  <c r="EP94" i="6"/>
  <c r="EL94" i="6"/>
  <c r="ES94" i="6"/>
  <c r="EO94" i="6"/>
  <c r="EK94" i="6"/>
  <c r="U157" i="23" s="1"/>
  <c r="EV94" i="6"/>
  <c r="U146" i="23" s="1"/>
  <c r="ER94" i="6"/>
  <c r="EN94" i="6"/>
  <c r="EQ94" i="6"/>
  <c r="EM94" i="6"/>
  <c r="DC94" i="6"/>
  <c r="CY94" i="6"/>
  <c r="CU94" i="6"/>
  <c r="U121" i="23" s="1"/>
  <c r="EU94" i="6"/>
  <c r="U147" i="23" s="1"/>
  <c r="DF94" i="6"/>
  <c r="U110" i="23" s="1"/>
  <c r="DB94" i="6"/>
  <c r="CX94" i="6"/>
  <c r="DE94" i="6"/>
  <c r="U111" i="23" s="1"/>
  <c r="DA94" i="6"/>
  <c r="CW94" i="6"/>
  <c r="DD94" i="6"/>
  <c r="BN94" i="6"/>
  <c r="BJ94" i="6"/>
  <c r="U80" i="23" s="1"/>
  <c r="BF94" i="6"/>
  <c r="U84" i="23" s="1"/>
  <c r="CZ94" i="6"/>
  <c r="BM94" i="6"/>
  <c r="BI94" i="6"/>
  <c r="U81" i="23" s="1"/>
  <c r="BE94" i="6"/>
  <c r="U85" i="23" s="1"/>
  <c r="CV94" i="6"/>
  <c r="BP94" i="6"/>
  <c r="U74" i="23" s="1"/>
  <c r="BL94" i="6"/>
  <c r="U78" i="23" s="1"/>
  <c r="BH94" i="6"/>
  <c r="U82" i="23" s="1"/>
  <c r="BO94" i="6"/>
  <c r="U75" i="23" s="1"/>
  <c r="BK94" i="6"/>
  <c r="U79" i="23" s="1"/>
  <c r="BG94" i="6"/>
  <c r="U83" i="23" s="1"/>
  <c r="ET98" i="6"/>
  <c r="EP98" i="6"/>
  <c r="EL98" i="6"/>
  <c r="ES98" i="6"/>
  <c r="EO98" i="6"/>
  <c r="EK98" i="6"/>
  <c r="Y157" i="23" s="1"/>
  <c r="EV98" i="6"/>
  <c r="Y146" i="23" s="1"/>
  <c r="ER98" i="6"/>
  <c r="EN98" i="6"/>
  <c r="EQ98" i="6"/>
  <c r="EM98" i="6"/>
  <c r="DC98" i="6"/>
  <c r="CY98" i="6"/>
  <c r="CU98" i="6"/>
  <c r="Y121" i="23" s="1"/>
  <c r="DF98" i="6"/>
  <c r="Y110" i="23" s="1"/>
  <c r="DB98" i="6"/>
  <c r="CX98" i="6"/>
  <c r="EU98" i="6"/>
  <c r="Y147" i="23" s="1"/>
  <c r="DE98" i="6"/>
  <c r="Y111" i="23" s="1"/>
  <c r="DA98" i="6"/>
  <c r="CW98" i="6"/>
  <c r="DD98" i="6"/>
  <c r="BN98" i="6"/>
  <c r="BJ98" i="6"/>
  <c r="Y80" i="23" s="1"/>
  <c r="BF98" i="6"/>
  <c r="Y84" i="23" s="1"/>
  <c r="CZ98" i="6"/>
  <c r="BM98" i="6"/>
  <c r="BI98" i="6"/>
  <c r="Y81" i="23" s="1"/>
  <c r="BE98" i="6"/>
  <c r="Y85" i="23" s="1"/>
  <c r="CV98" i="6"/>
  <c r="BP98" i="6"/>
  <c r="Y74" i="23" s="1"/>
  <c r="BL98" i="6"/>
  <c r="Y78" i="23" s="1"/>
  <c r="BH98" i="6"/>
  <c r="Y82" i="23" s="1"/>
  <c r="BO98" i="6"/>
  <c r="Y75" i="23" s="1"/>
  <c r="BK98" i="6"/>
  <c r="Y79" i="23" s="1"/>
  <c r="BG98" i="6"/>
  <c r="Y83" i="23" s="1"/>
  <c r="CT101" i="6"/>
  <c r="ET101" i="6"/>
  <c r="EP101" i="6"/>
  <c r="EL101" i="6"/>
  <c r="ES101" i="6"/>
  <c r="EO101" i="6"/>
  <c r="EK101" i="6"/>
  <c r="AB157" i="23" s="1"/>
  <c r="EV101" i="6"/>
  <c r="AB146" i="23" s="1"/>
  <c r="ER101" i="6"/>
  <c r="EN101" i="6"/>
  <c r="EM101" i="6"/>
  <c r="EU101" i="6"/>
  <c r="AB147" i="23" s="1"/>
  <c r="EQ101" i="6"/>
  <c r="DC101" i="6"/>
  <c r="CY101" i="6"/>
  <c r="CU101" i="6"/>
  <c r="AB121" i="23" s="1"/>
  <c r="DF101" i="6"/>
  <c r="AB110" i="23" s="1"/>
  <c r="DB101" i="6"/>
  <c r="CX101" i="6"/>
  <c r="DE101" i="6"/>
  <c r="AB111" i="23" s="1"/>
  <c r="DA101" i="6"/>
  <c r="CW101" i="6"/>
  <c r="CZ101" i="6"/>
  <c r="BN101" i="6"/>
  <c r="BJ101" i="6"/>
  <c r="AB80" i="23" s="1"/>
  <c r="BF101" i="6"/>
  <c r="AB84" i="23" s="1"/>
  <c r="CV101" i="6"/>
  <c r="BM101" i="6"/>
  <c r="BI101" i="6"/>
  <c r="AB81" i="23" s="1"/>
  <c r="BE101" i="6"/>
  <c r="AB85" i="23" s="1"/>
  <c r="BP101" i="6"/>
  <c r="AB74" i="23" s="1"/>
  <c r="BL101" i="6"/>
  <c r="AB78" i="23" s="1"/>
  <c r="BH101" i="6"/>
  <c r="AB82" i="23" s="1"/>
  <c r="DD101" i="6"/>
  <c r="BK101" i="6"/>
  <c r="AB79" i="23" s="1"/>
  <c r="BO101" i="6"/>
  <c r="AB75" i="23" s="1"/>
  <c r="BG101" i="6"/>
  <c r="AB83" i="23" s="1"/>
  <c r="CT106" i="6"/>
  <c r="ET106" i="6"/>
  <c r="EP106" i="6"/>
  <c r="EL106" i="6"/>
  <c r="ES106" i="6"/>
  <c r="EO106" i="6"/>
  <c r="EK106" i="6"/>
  <c r="AE157" i="23" s="1"/>
  <c r="EV106" i="6"/>
  <c r="AE146" i="23" s="1"/>
  <c r="ER106" i="6"/>
  <c r="EN106" i="6"/>
  <c r="EU106" i="6"/>
  <c r="AE147" i="23" s="1"/>
  <c r="EQ106" i="6"/>
  <c r="DC106" i="6"/>
  <c r="CY106" i="6"/>
  <c r="CU106" i="6"/>
  <c r="AE121" i="23" s="1"/>
  <c r="DF106" i="6"/>
  <c r="AE110" i="23" s="1"/>
  <c r="DB106" i="6"/>
  <c r="CX106" i="6"/>
  <c r="EM106" i="6"/>
  <c r="DE106" i="6"/>
  <c r="AE111" i="23" s="1"/>
  <c r="DA106" i="6"/>
  <c r="CW106" i="6"/>
  <c r="CV106" i="6"/>
  <c r="BN106" i="6"/>
  <c r="BJ106" i="6"/>
  <c r="AE80" i="23" s="1"/>
  <c r="BF106" i="6"/>
  <c r="AE84" i="23" s="1"/>
  <c r="BM106" i="6"/>
  <c r="BI106" i="6"/>
  <c r="AE81" i="23" s="1"/>
  <c r="BE106" i="6"/>
  <c r="AE85" i="23" s="1"/>
  <c r="DD106" i="6"/>
  <c r="BP106" i="6"/>
  <c r="AE74" i="23" s="1"/>
  <c r="BL106" i="6"/>
  <c r="AE78" i="23" s="1"/>
  <c r="BH106" i="6"/>
  <c r="AE82" i="23" s="1"/>
  <c r="BG106" i="6"/>
  <c r="AE83" i="23" s="1"/>
  <c r="CZ106" i="6"/>
  <c r="BO106" i="6"/>
  <c r="AE75" i="23" s="1"/>
  <c r="BK106" i="6"/>
  <c r="AE79" i="23" s="1"/>
  <c r="CT110" i="6"/>
  <c r="ET110" i="6"/>
  <c r="EP110" i="6"/>
  <c r="EL110" i="6"/>
  <c r="ES110" i="6"/>
  <c r="EO110" i="6"/>
  <c r="EK110" i="6"/>
  <c r="AI157" i="23" s="1"/>
  <c r="EV110" i="6"/>
  <c r="AI146" i="23" s="1"/>
  <c r="ER110" i="6"/>
  <c r="EN110" i="6"/>
  <c r="EU110" i="6"/>
  <c r="AI147" i="23" s="1"/>
  <c r="EQ110" i="6"/>
  <c r="DC110" i="6"/>
  <c r="CY110" i="6"/>
  <c r="CU110" i="6"/>
  <c r="AI121" i="23" s="1"/>
  <c r="DF110" i="6"/>
  <c r="AI110" i="23" s="1"/>
  <c r="DB110" i="6"/>
  <c r="CX110" i="6"/>
  <c r="DE110" i="6"/>
  <c r="AI111" i="23" s="1"/>
  <c r="DA110" i="6"/>
  <c r="CW110" i="6"/>
  <c r="CV110" i="6"/>
  <c r="BN110" i="6"/>
  <c r="BJ110" i="6"/>
  <c r="AI80" i="23" s="1"/>
  <c r="BF110" i="6"/>
  <c r="AI84" i="23" s="1"/>
  <c r="EM110" i="6"/>
  <c r="BM110" i="6"/>
  <c r="BI110" i="6"/>
  <c r="AI81" i="23" s="1"/>
  <c r="BE110" i="6"/>
  <c r="AI85" i="23" s="1"/>
  <c r="DD110" i="6"/>
  <c r="BP110" i="6"/>
  <c r="AI74" i="23" s="1"/>
  <c r="BL110" i="6"/>
  <c r="AI78" i="23" s="1"/>
  <c r="BH110" i="6"/>
  <c r="AI82" i="23" s="1"/>
  <c r="BG110" i="6"/>
  <c r="AI83" i="23" s="1"/>
  <c r="BK110" i="6"/>
  <c r="AI79" i="23" s="1"/>
  <c r="CZ110" i="6"/>
  <c r="BO110" i="6"/>
  <c r="AI75" i="23" s="1"/>
  <c r="CT113" i="6"/>
  <c r="ET113" i="6"/>
  <c r="EP113" i="6"/>
  <c r="EL113" i="6"/>
  <c r="ES113" i="6"/>
  <c r="EO113" i="6"/>
  <c r="EK113" i="6"/>
  <c r="AL157" i="23" s="1"/>
  <c r="EV113" i="6"/>
  <c r="AL146" i="23" s="1"/>
  <c r="ER113" i="6"/>
  <c r="EN113" i="6"/>
  <c r="EU113" i="6"/>
  <c r="AL147" i="23" s="1"/>
  <c r="EQ113" i="6"/>
  <c r="EM113" i="6"/>
  <c r="DC113" i="6"/>
  <c r="CY113" i="6"/>
  <c r="CU113" i="6"/>
  <c r="AL121" i="23" s="1"/>
  <c r="DF113" i="6"/>
  <c r="AL110" i="23" s="1"/>
  <c r="DB113" i="6"/>
  <c r="CX113" i="6"/>
  <c r="DE113" i="6"/>
  <c r="AL111" i="23" s="1"/>
  <c r="DA113" i="6"/>
  <c r="CW113" i="6"/>
  <c r="BN113" i="6"/>
  <c r="BJ113" i="6"/>
  <c r="AL80" i="23" s="1"/>
  <c r="BF113" i="6"/>
  <c r="AL84" i="23" s="1"/>
  <c r="DD113" i="6"/>
  <c r="BM113" i="6"/>
  <c r="BI113" i="6"/>
  <c r="AL81" i="23" s="1"/>
  <c r="BE113" i="6"/>
  <c r="AL85" i="23" s="1"/>
  <c r="CZ113" i="6"/>
  <c r="BP113" i="6"/>
  <c r="AL74" i="23" s="1"/>
  <c r="BL113" i="6"/>
  <c r="AL78" i="23" s="1"/>
  <c r="BH113" i="6"/>
  <c r="AL82" i="23" s="1"/>
  <c r="CV113" i="6"/>
  <c r="BO113" i="6"/>
  <c r="AL75" i="23" s="1"/>
  <c r="BG113" i="6"/>
  <c r="AL83" i="23" s="1"/>
  <c r="BK113" i="6"/>
  <c r="AL79" i="23" s="1"/>
  <c r="CT117" i="6"/>
  <c r="EU117" i="6"/>
  <c r="AM147" i="23" s="1"/>
  <c r="EQ117" i="6"/>
  <c r="AM151" i="23" s="1"/>
  <c r="EM117" i="6"/>
  <c r="AM155" i="23" s="1"/>
  <c r="ES117" i="6"/>
  <c r="EO117" i="6"/>
  <c r="AM153" i="23" s="1"/>
  <c r="EK117" i="6"/>
  <c r="AM157" i="23" s="1"/>
  <c r="EV117" i="6"/>
  <c r="AM146" i="23" s="1"/>
  <c r="EN117" i="6"/>
  <c r="AM154" i="23" s="1"/>
  <c r="ET117" i="6"/>
  <c r="EL117" i="6"/>
  <c r="AM156" i="23" s="1"/>
  <c r="ER117" i="6"/>
  <c r="AM150" i="23" s="1"/>
  <c r="EP117" i="6"/>
  <c r="AM152" i="23" s="1"/>
  <c r="DC117" i="6"/>
  <c r="CY117" i="6"/>
  <c r="AM117" i="23" s="1"/>
  <c r="CU117" i="6"/>
  <c r="AM121" i="23" s="1"/>
  <c r="DF117" i="6"/>
  <c r="AM110" i="23" s="1"/>
  <c r="DB117" i="6"/>
  <c r="AM114" i="23" s="1"/>
  <c r="CX117" i="6"/>
  <c r="AM118" i="23" s="1"/>
  <c r="DE117" i="6"/>
  <c r="AM111" i="23" s="1"/>
  <c r="DA117" i="6"/>
  <c r="AM115" i="23" s="1"/>
  <c r="CW117" i="6"/>
  <c r="AM119" i="23" s="1"/>
  <c r="CV117" i="6"/>
  <c r="AM120" i="23" s="1"/>
  <c r="BN117" i="6"/>
  <c r="BJ117" i="6"/>
  <c r="AM80" i="23" s="1"/>
  <c r="BF117" i="6"/>
  <c r="AM84" i="23" s="1"/>
  <c r="BM117" i="6"/>
  <c r="BI117" i="6"/>
  <c r="AM81" i="23" s="1"/>
  <c r="BE117" i="6"/>
  <c r="AM85" i="23" s="1"/>
  <c r="DD117" i="6"/>
  <c r="BP117" i="6"/>
  <c r="AM74" i="23" s="1"/>
  <c r="BL117" i="6"/>
  <c r="AM78" i="23" s="1"/>
  <c r="BH117" i="6"/>
  <c r="AM82" i="23" s="1"/>
  <c r="CZ117" i="6"/>
  <c r="AM116" i="23" s="1"/>
  <c r="BG117" i="6"/>
  <c r="AM83" i="23" s="1"/>
  <c r="BK117" i="6"/>
  <c r="AM79" i="23" s="1"/>
  <c r="BO117" i="6"/>
  <c r="AM75" i="23" s="1"/>
  <c r="CT121" i="6"/>
  <c r="EU121" i="6"/>
  <c r="AQ147" i="23" s="1"/>
  <c r="EQ121" i="6"/>
  <c r="EM121" i="6"/>
  <c r="ES121" i="6"/>
  <c r="EO121" i="6"/>
  <c r="EK121" i="6"/>
  <c r="AQ157" i="23" s="1"/>
  <c r="EV121" i="6"/>
  <c r="AQ146" i="23" s="1"/>
  <c r="EN121" i="6"/>
  <c r="ET121" i="6"/>
  <c r="EL121" i="6"/>
  <c r="ER121" i="6"/>
  <c r="EP121" i="6"/>
  <c r="DC121" i="6"/>
  <c r="CY121" i="6"/>
  <c r="CU121" i="6"/>
  <c r="AQ121" i="23" s="1"/>
  <c r="DF121" i="6"/>
  <c r="AQ110" i="23" s="1"/>
  <c r="DB121" i="6"/>
  <c r="CX121" i="6"/>
  <c r="DE121" i="6"/>
  <c r="AQ111" i="23" s="1"/>
  <c r="DA121" i="6"/>
  <c r="CW121" i="6"/>
  <c r="CV121" i="6"/>
  <c r="BN121" i="6"/>
  <c r="BJ121" i="6"/>
  <c r="AQ80" i="23" s="1"/>
  <c r="BF121" i="6"/>
  <c r="AQ84" i="23" s="1"/>
  <c r="BM121" i="6"/>
  <c r="BI121" i="6"/>
  <c r="AQ81" i="23" s="1"/>
  <c r="BE121" i="6"/>
  <c r="AQ85" i="23" s="1"/>
  <c r="DD121" i="6"/>
  <c r="BP121" i="6"/>
  <c r="AQ74" i="23" s="1"/>
  <c r="BL121" i="6"/>
  <c r="AQ78" i="23" s="1"/>
  <c r="BH121" i="6"/>
  <c r="AQ82" i="23" s="1"/>
  <c r="BG121" i="6"/>
  <c r="AQ83" i="23" s="1"/>
  <c r="BK121" i="6"/>
  <c r="AQ79" i="23" s="1"/>
  <c r="CZ121" i="6"/>
  <c r="BO121" i="6"/>
  <c r="AQ75" i="23" s="1"/>
  <c r="CT125" i="6"/>
  <c r="EU125" i="6"/>
  <c r="AU147" i="23" s="1"/>
  <c r="EQ125" i="6"/>
  <c r="EM125" i="6"/>
  <c r="ES125" i="6"/>
  <c r="EO125" i="6"/>
  <c r="EK125" i="6"/>
  <c r="AU157" i="23" s="1"/>
  <c r="EV125" i="6"/>
  <c r="AU146" i="23" s="1"/>
  <c r="EN125" i="6"/>
  <c r="ET125" i="6"/>
  <c r="EL125" i="6"/>
  <c r="ER125" i="6"/>
  <c r="DC125" i="6"/>
  <c r="CY125" i="6"/>
  <c r="CU125" i="6"/>
  <c r="AU121" i="23" s="1"/>
  <c r="EP125" i="6"/>
  <c r="DF125" i="6"/>
  <c r="AU110" i="23" s="1"/>
  <c r="DB125" i="6"/>
  <c r="CX125" i="6"/>
  <c r="DE125" i="6"/>
  <c r="AU111" i="23" s="1"/>
  <c r="DA125" i="6"/>
  <c r="CW125" i="6"/>
  <c r="CV125" i="6"/>
  <c r="BN125" i="6"/>
  <c r="BJ125" i="6"/>
  <c r="AU80" i="23" s="1"/>
  <c r="BF125" i="6"/>
  <c r="AU84" i="23" s="1"/>
  <c r="BM125" i="6"/>
  <c r="BI125" i="6"/>
  <c r="AU81" i="23" s="1"/>
  <c r="BE125" i="6"/>
  <c r="AU85" i="23" s="1"/>
  <c r="DD125" i="6"/>
  <c r="BP125" i="6"/>
  <c r="AU74" i="23" s="1"/>
  <c r="BL125" i="6"/>
  <c r="AU78" i="23" s="1"/>
  <c r="BH125" i="6"/>
  <c r="AU82" i="23" s="1"/>
  <c r="BG125" i="6"/>
  <c r="AU83" i="23" s="1"/>
  <c r="BK125" i="6"/>
  <c r="AU79" i="23" s="1"/>
  <c r="CZ125" i="6"/>
  <c r="BO125" i="6"/>
  <c r="AU75" i="23" s="1"/>
  <c r="CT137" i="6"/>
  <c r="EU137" i="6"/>
  <c r="BE147" i="23" s="1"/>
  <c r="EQ137" i="6"/>
  <c r="EM137" i="6"/>
  <c r="ES137" i="6"/>
  <c r="EO137" i="6"/>
  <c r="EK137" i="6"/>
  <c r="BE157" i="23" s="1"/>
  <c r="EV137" i="6"/>
  <c r="BE146" i="23" s="1"/>
  <c r="EN137" i="6"/>
  <c r="ET137" i="6"/>
  <c r="EL137" i="6"/>
  <c r="ER137" i="6"/>
  <c r="EP137" i="6"/>
  <c r="DE137" i="6"/>
  <c r="BE111" i="23" s="1"/>
  <c r="DA137" i="6"/>
  <c r="CW137" i="6"/>
  <c r="DD137" i="6"/>
  <c r="CZ137" i="6"/>
  <c r="CV137" i="6"/>
  <c r="CY137" i="6"/>
  <c r="DF137" i="6"/>
  <c r="BE110" i="23" s="1"/>
  <c r="CX137" i="6"/>
  <c r="DC137" i="6"/>
  <c r="CU137" i="6"/>
  <c r="BE121" i="23" s="1"/>
  <c r="BN137" i="6"/>
  <c r="BJ137" i="6"/>
  <c r="BE80" i="23" s="1"/>
  <c r="BF137" i="6"/>
  <c r="BE84" i="23" s="1"/>
  <c r="BM137" i="6"/>
  <c r="BI137" i="6"/>
  <c r="BE81" i="23" s="1"/>
  <c r="BE137" i="6"/>
  <c r="BE85" i="23" s="1"/>
  <c r="DB137" i="6"/>
  <c r="BP137" i="6"/>
  <c r="BE74" i="23" s="1"/>
  <c r="BL137" i="6"/>
  <c r="BE78" i="23" s="1"/>
  <c r="BH137" i="6"/>
  <c r="BE82" i="23" s="1"/>
  <c r="BO137" i="6"/>
  <c r="BE75" i="23" s="1"/>
  <c r="BK137" i="6"/>
  <c r="BE79" i="23" s="1"/>
  <c r="BG137" i="6"/>
  <c r="BE83" i="23" s="1"/>
  <c r="CT141" i="6"/>
  <c r="EU141" i="6"/>
  <c r="BH147" i="23" s="1"/>
  <c r="EQ141" i="6"/>
  <c r="EM141" i="6"/>
  <c r="ES141" i="6"/>
  <c r="EO141" i="6"/>
  <c r="EK141" i="6"/>
  <c r="BH157" i="23" s="1"/>
  <c r="ER141" i="6"/>
  <c r="EP141" i="6"/>
  <c r="EV141" i="6"/>
  <c r="BH146" i="23" s="1"/>
  <c r="EN141" i="6"/>
  <c r="EL141" i="6"/>
  <c r="DE141" i="6"/>
  <c r="BH111" i="23" s="1"/>
  <c r="DA141" i="6"/>
  <c r="CW141" i="6"/>
  <c r="DD141" i="6"/>
  <c r="CZ141" i="6"/>
  <c r="CV141" i="6"/>
  <c r="ET141" i="6"/>
  <c r="DC141" i="6"/>
  <c r="CU141" i="6"/>
  <c r="BH121" i="23" s="1"/>
  <c r="DB141" i="6"/>
  <c r="CY141" i="6"/>
  <c r="BN141" i="6"/>
  <c r="BJ141" i="6"/>
  <c r="BH80" i="23" s="1"/>
  <c r="BF141" i="6"/>
  <c r="BH84" i="23" s="1"/>
  <c r="DF141" i="6"/>
  <c r="BH110" i="23" s="1"/>
  <c r="BM141" i="6"/>
  <c r="BI141" i="6"/>
  <c r="BH81" i="23" s="1"/>
  <c r="BE141" i="6"/>
  <c r="BH85" i="23" s="1"/>
  <c r="CX141" i="6"/>
  <c r="BP141" i="6"/>
  <c r="BH74" i="23" s="1"/>
  <c r="BL141" i="6"/>
  <c r="BH78" i="23" s="1"/>
  <c r="BH141" i="6"/>
  <c r="BH82" i="23" s="1"/>
  <c r="BK141" i="6"/>
  <c r="BH79" i="23" s="1"/>
  <c r="BO141" i="6"/>
  <c r="BH75" i="23" s="1"/>
  <c r="BG141" i="6"/>
  <c r="BH83" i="23" s="1"/>
  <c r="CT144" i="6"/>
  <c r="EU144" i="6"/>
  <c r="BK147" i="23" s="1"/>
  <c r="EQ144" i="6"/>
  <c r="EM144" i="6"/>
  <c r="ES144" i="6"/>
  <c r="EO144" i="6"/>
  <c r="EK144" i="6"/>
  <c r="BK157" i="23" s="1"/>
  <c r="EV144" i="6"/>
  <c r="BK146" i="23" s="1"/>
  <c r="EN144" i="6"/>
  <c r="ET144" i="6"/>
  <c r="EL144" i="6"/>
  <c r="ER144" i="6"/>
  <c r="DE144" i="6"/>
  <c r="BK111" i="23" s="1"/>
  <c r="DA144" i="6"/>
  <c r="CW144" i="6"/>
  <c r="DD144" i="6"/>
  <c r="CZ144" i="6"/>
  <c r="CV144" i="6"/>
  <c r="CY144" i="6"/>
  <c r="DF144" i="6"/>
  <c r="BK110" i="23" s="1"/>
  <c r="CX144" i="6"/>
  <c r="DC144" i="6"/>
  <c r="CU144" i="6"/>
  <c r="BK121" i="23" s="1"/>
  <c r="BN144" i="6"/>
  <c r="BJ144" i="6"/>
  <c r="BK80" i="23" s="1"/>
  <c r="BF144" i="6"/>
  <c r="BK84" i="23" s="1"/>
  <c r="DB144" i="6"/>
  <c r="BM144" i="6"/>
  <c r="BI144" i="6"/>
  <c r="BK81" i="23" s="1"/>
  <c r="BE144" i="6"/>
  <c r="BK85" i="23" s="1"/>
  <c r="EP144" i="6"/>
  <c r="BP144" i="6"/>
  <c r="BK74" i="23" s="1"/>
  <c r="BL144" i="6"/>
  <c r="BK78" i="23" s="1"/>
  <c r="BH144" i="6"/>
  <c r="BK82" i="23" s="1"/>
  <c r="BG144" i="6"/>
  <c r="BK83" i="23" s="1"/>
  <c r="BO144" i="6"/>
  <c r="BK75" i="23" s="1"/>
  <c r="BK144" i="6"/>
  <c r="BK79" i="23" s="1"/>
  <c r="CT153" i="6"/>
  <c r="EU153" i="6"/>
  <c r="BR147" i="23" s="1"/>
  <c r="EQ153" i="6"/>
  <c r="EM153" i="6"/>
  <c r="ES153" i="6"/>
  <c r="EO153" i="6"/>
  <c r="EK153" i="6"/>
  <c r="BR157" i="23" s="1"/>
  <c r="ER153" i="6"/>
  <c r="EP153" i="6"/>
  <c r="EV153" i="6"/>
  <c r="BR146" i="23" s="1"/>
  <c r="EN153" i="6"/>
  <c r="ET153" i="6"/>
  <c r="DE153" i="6"/>
  <c r="BR111" i="23" s="1"/>
  <c r="DA153" i="6"/>
  <c r="CW153" i="6"/>
  <c r="EL153" i="6"/>
  <c r="DD153" i="6"/>
  <c r="CZ153" i="6"/>
  <c r="CV153" i="6"/>
  <c r="DC153" i="6"/>
  <c r="CU153" i="6"/>
  <c r="BR121" i="23" s="1"/>
  <c r="DB153" i="6"/>
  <c r="CY153" i="6"/>
  <c r="BN153" i="6"/>
  <c r="BJ153" i="6"/>
  <c r="BR80" i="23" s="1"/>
  <c r="BF153" i="6"/>
  <c r="BR84" i="23" s="1"/>
  <c r="BM153" i="6"/>
  <c r="BI153" i="6"/>
  <c r="BR81" i="23" s="1"/>
  <c r="BE153" i="6"/>
  <c r="BR85" i="23" s="1"/>
  <c r="DF153" i="6"/>
  <c r="BR110" i="23" s="1"/>
  <c r="BP153" i="6"/>
  <c r="BR74" i="23" s="1"/>
  <c r="BL153" i="6"/>
  <c r="BR78" i="23" s="1"/>
  <c r="BH153" i="6"/>
  <c r="BR82" i="23" s="1"/>
  <c r="BO153" i="6"/>
  <c r="BR75" i="23" s="1"/>
  <c r="CX153" i="6"/>
  <c r="BK153" i="6"/>
  <c r="BR79" i="23" s="1"/>
  <c r="BG153" i="6"/>
  <c r="BR83" i="23" s="1"/>
  <c r="CT159" i="6"/>
  <c r="CT162" i="6"/>
  <c r="EV162" i="6"/>
  <c r="BX146" i="23" s="1"/>
  <c r="ER162" i="6"/>
  <c r="EN162" i="6"/>
  <c r="ES162" i="6"/>
  <c r="EM162" i="6"/>
  <c r="EU162" i="6"/>
  <c r="BX147" i="23" s="1"/>
  <c r="EP162" i="6"/>
  <c r="EK162" i="6"/>
  <c r="BX157" i="23" s="1"/>
  <c r="EO162" i="6"/>
  <c r="EL162" i="6"/>
  <c r="ET162" i="6"/>
  <c r="DE162" i="6"/>
  <c r="BX111" i="23" s="1"/>
  <c r="DA162" i="6"/>
  <c r="CW162" i="6"/>
  <c r="EQ162" i="6"/>
  <c r="DD162" i="6"/>
  <c r="CZ162" i="6"/>
  <c r="CV162" i="6"/>
  <c r="DC162" i="6"/>
  <c r="CY162" i="6"/>
  <c r="CU162" i="6"/>
  <c r="BX121" i="23" s="1"/>
  <c r="DB162" i="6"/>
  <c r="CX162" i="6"/>
  <c r="BN162" i="6"/>
  <c r="BJ162" i="6"/>
  <c r="BX80" i="23" s="1"/>
  <c r="BF162" i="6"/>
  <c r="BX84" i="23" s="1"/>
  <c r="DF162" i="6"/>
  <c r="BX110" i="23" s="1"/>
  <c r="BM162" i="6"/>
  <c r="BI162" i="6"/>
  <c r="BX81" i="23" s="1"/>
  <c r="BE162" i="6"/>
  <c r="BX85" i="23" s="1"/>
  <c r="BP162" i="6"/>
  <c r="BX74" i="23" s="1"/>
  <c r="BL162" i="6"/>
  <c r="BX78" i="23" s="1"/>
  <c r="BH162" i="6"/>
  <c r="BX82" i="23" s="1"/>
  <c r="BK162" i="6"/>
  <c r="BX79" i="23" s="1"/>
  <c r="BG162" i="6"/>
  <c r="BX83" i="23" s="1"/>
  <c r="BO162" i="6"/>
  <c r="BX75" i="23" s="1"/>
  <c r="EV165" i="6"/>
  <c r="BY146" i="23" s="1"/>
  <c r="ER165" i="6"/>
  <c r="BY150" i="23" s="1"/>
  <c r="EN165" i="6"/>
  <c r="BY154" i="23" s="1"/>
  <c r="EU165" i="6"/>
  <c r="BY147" i="23" s="1"/>
  <c r="EP165" i="6"/>
  <c r="BY152" i="23" s="1"/>
  <c r="EK165" i="6"/>
  <c r="BY157" i="23" s="1"/>
  <c r="ET165" i="6"/>
  <c r="EM165" i="6"/>
  <c r="BY155" i="23" s="1"/>
  <c r="EQ165" i="6"/>
  <c r="BY151" i="23" s="1"/>
  <c r="EO165" i="6"/>
  <c r="BY153" i="23" s="1"/>
  <c r="EL165" i="6"/>
  <c r="BY156" i="23" s="1"/>
  <c r="ES165" i="6"/>
  <c r="DE165" i="6"/>
  <c r="BY111" i="23" s="1"/>
  <c r="DA165" i="6"/>
  <c r="BY115" i="23" s="1"/>
  <c r="CW165" i="6"/>
  <c r="BY119" i="23" s="1"/>
  <c r="DD165" i="6"/>
  <c r="CZ165" i="6"/>
  <c r="BY116" i="23" s="1"/>
  <c r="CV165" i="6"/>
  <c r="BY120" i="23" s="1"/>
  <c r="DC165" i="6"/>
  <c r="CY165" i="6"/>
  <c r="BY117" i="23" s="1"/>
  <c r="CU165" i="6"/>
  <c r="BY121" i="23" s="1"/>
  <c r="DF165" i="6"/>
  <c r="BY110" i="23" s="1"/>
  <c r="DB165" i="6"/>
  <c r="BY114" i="23" s="1"/>
  <c r="CX165" i="6"/>
  <c r="BY118" i="23" s="1"/>
  <c r="BN165" i="6"/>
  <c r="BJ165" i="6"/>
  <c r="BY80" i="23" s="1"/>
  <c r="BF165" i="6"/>
  <c r="BY84" i="23" s="1"/>
  <c r="BM165" i="6"/>
  <c r="BI165" i="6"/>
  <c r="BY81" i="23" s="1"/>
  <c r="BE165" i="6"/>
  <c r="BY85" i="23" s="1"/>
  <c r="BP165" i="6"/>
  <c r="BY74" i="23" s="1"/>
  <c r="BL165" i="6"/>
  <c r="BY78" i="23" s="1"/>
  <c r="BH165" i="6"/>
  <c r="BY82" i="23" s="1"/>
  <c r="BO165" i="6"/>
  <c r="BY75" i="23" s="1"/>
  <c r="BK165" i="6"/>
  <c r="BY79" i="23" s="1"/>
  <c r="BG165" i="6"/>
  <c r="BY83" i="23" s="1"/>
  <c r="EV167" i="6"/>
  <c r="CA146" i="23" s="1"/>
  <c r="ER167" i="6"/>
  <c r="EN167" i="6"/>
  <c r="ES167" i="6"/>
  <c r="EM167" i="6"/>
  <c r="EQ167" i="6"/>
  <c r="EK167" i="6"/>
  <c r="CA157" i="23" s="1"/>
  <c r="EU167" i="6"/>
  <c r="CA147" i="23" s="1"/>
  <c r="EO167" i="6"/>
  <c r="ET167" i="6"/>
  <c r="EP167" i="6"/>
  <c r="EL167" i="6"/>
  <c r="DE167" i="6"/>
  <c r="CA111" i="23" s="1"/>
  <c r="DA167" i="6"/>
  <c r="CW167" i="6"/>
  <c r="DD167" i="6"/>
  <c r="CZ167" i="6"/>
  <c r="CV167" i="6"/>
  <c r="DC167" i="6"/>
  <c r="CY167" i="6"/>
  <c r="CU167" i="6"/>
  <c r="CA121" i="23" s="1"/>
  <c r="CX167" i="6"/>
  <c r="DF167" i="6"/>
  <c r="CA110" i="23" s="1"/>
  <c r="BN167" i="6"/>
  <c r="BJ167" i="6"/>
  <c r="CA80" i="23" s="1"/>
  <c r="BF167" i="6"/>
  <c r="CA84" i="23" s="1"/>
  <c r="BM167" i="6"/>
  <c r="BI167" i="6"/>
  <c r="CA81" i="23" s="1"/>
  <c r="BE167" i="6"/>
  <c r="CA85" i="23" s="1"/>
  <c r="BP167" i="6"/>
  <c r="CA74" i="23" s="1"/>
  <c r="BL167" i="6"/>
  <c r="CA78" i="23" s="1"/>
  <c r="BH167" i="6"/>
  <c r="CA82" i="23" s="1"/>
  <c r="DB167" i="6"/>
  <c r="BG167" i="6"/>
  <c r="CA83" i="23" s="1"/>
  <c r="BK167" i="6"/>
  <c r="CA79" i="23" s="1"/>
  <c r="BO167" i="6"/>
  <c r="CA75" i="23" s="1"/>
  <c r="EV169" i="6"/>
  <c r="CC146" i="23" s="1"/>
  <c r="ER169" i="6"/>
  <c r="EN169" i="6"/>
  <c r="EU169" i="6"/>
  <c r="CC147" i="23" s="1"/>
  <c r="EP169" i="6"/>
  <c r="EK169" i="6"/>
  <c r="CC157" i="23" s="1"/>
  <c r="EO169" i="6"/>
  <c r="ES169" i="6"/>
  <c r="EL169" i="6"/>
  <c r="ET169" i="6"/>
  <c r="EQ169" i="6"/>
  <c r="DE169" i="6"/>
  <c r="CC111" i="23" s="1"/>
  <c r="DA169" i="6"/>
  <c r="CW169" i="6"/>
  <c r="EM169" i="6"/>
  <c r="DD169" i="6"/>
  <c r="CZ169" i="6"/>
  <c r="CV169" i="6"/>
  <c r="DC169" i="6"/>
  <c r="CY169" i="6"/>
  <c r="CU169" i="6"/>
  <c r="CC121" i="23" s="1"/>
  <c r="DF169" i="6"/>
  <c r="CC110" i="23" s="1"/>
  <c r="DB169" i="6"/>
  <c r="CX169" i="6"/>
  <c r="BN169" i="6"/>
  <c r="BJ169" i="6"/>
  <c r="CC80" i="23" s="1"/>
  <c r="BF169" i="6"/>
  <c r="CC84" i="23" s="1"/>
  <c r="BM169" i="6"/>
  <c r="BI169" i="6"/>
  <c r="CC81" i="23" s="1"/>
  <c r="BE169" i="6"/>
  <c r="CC85" i="23" s="1"/>
  <c r="BP169" i="6"/>
  <c r="CC74" i="23" s="1"/>
  <c r="BL169" i="6"/>
  <c r="CC78" i="23" s="1"/>
  <c r="BH169" i="6"/>
  <c r="CC82" i="23" s="1"/>
  <c r="BO169" i="6"/>
  <c r="CC75" i="23" s="1"/>
  <c r="BK169" i="6"/>
  <c r="CC79" i="23" s="1"/>
  <c r="BG169" i="6"/>
  <c r="CC83" i="23" s="1"/>
  <c r="EV171" i="6"/>
  <c r="CE146" i="23" s="1"/>
  <c r="ER171" i="6"/>
  <c r="EN171" i="6"/>
  <c r="ES171" i="6"/>
  <c r="EM171" i="6"/>
  <c r="ET171" i="6"/>
  <c r="EL171" i="6"/>
  <c r="EP171" i="6"/>
  <c r="EO171" i="6"/>
  <c r="EK171" i="6"/>
  <c r="CE157" i="23" s="1"/>
  <c r="EU171" i="6"/>
  <c r="CE147" i="23" s="1"/>
  <c r="DE171" i="6"/>
  <c r="CE111" i="23" s="1"/>
  <c r="DA171" i="6"/>
  <c r="CW171" i="6"/>
  <c r="DD171" i="6"/>
  <c r="CZ171" i="6"/>
  <c r="CV171" i="6"/>
  <c r="DC171" i="6"/>
  <c r="CY171" i="6"/>
  <c r="CU171" i="6"/>
  <c r="CE121" i="23" s="1"/>
  <c r="CX171" i="6"/>
  <c r="EQ171" i="6"/>
  <c r="DF171" i="6"/>
  <c r="CE110" i="23" s="1"/>
  <c r="DB171" i="6"/>
  <c r="BN171" i="6"/>
  <c r="BJ171" i="6"/>
  <c r="CE80" i="23" s="1"/>
  <c r="BF171" i="6"/>
  <c r="CE84" i="23" s="1"/>
  <c r="BM171" i="6"/>
  <c r="BI171" i="6"/>
  <c r="CE81" i="23" s="1"/>
  <c r="BE171" i="6"/>
  <c r="CE85" i="23" s="1"/>
  <c r="BP171" i="6"/>
  <c r="CE74" i="23" s="1"/>
  <c r="BL171" i="6"/>
  <c r="CE78" i="23" s="1"/>
  <c r="BH171" i="6"/>
  <c r="CE82" i="23" s="1"/>
  <c r="BG171" i="6"/>
  <c r="CE83" i="23" s="1"/>
  <c r="BK171" i="6"/>
  <c r="CE79" i="23" s="1"/>
  <c r="BO171" i="6"/>
  <c r="CE75" i="23" s="1"/>
  <c r="CT174" i="6"/>
  <c r="ES174" i="6"/>
  <c r="EO174" i="6"/>
  <c r="EK174" i="6"/>
  <c r="CG157" i="23" s="1"/>
  <c r="EV174" i="6"/>
  <c r="CG146" i="23" s="1"/>
  <c r="ER174" i="6"/>
  <c r="EN174" i="6"/>
  <c r="EQ174" i="6"/>
  <c r="EP174" i="6"/>
  <c r="EU174" i="6"/>
  <c r="CG147" i="23" s="1"/>
  <c r="EL174" i="6"/>
  <c r="ET174" i="6"/>
  <c r="DE174" i="6"/>
  <c r="CG111" i="23" s="1"/>
  <c r="DA174" i="6"/>
  <c r="CW174" i="6"/>
  <c r="DD174" i="6"/>
  <c r="CZ174" i="6"/>
  <c r="CV174" i="6"/>
  <c r="EM174" i="6"/>
  <c r="DC174" i="6"/>
  <c r="CY174" i="6"/>
  <c r="CU174" i="6"/>
  <c r="CG121" i="23" s="1"/>
  <c r="DF174" i="6"/>
  <c r="CG110" i="23" s="1"/>
  <c r="DB174" i="6"/>
  <c r="CX174" i="6"/>
  <c r="BN174" i="6"/>
  <c r="BJ174" i="6"/>
  <c r="CG80" i="23" s="1"/>
  <c r="BF174" i="6"/>
  <c r="CG84" i="23" s="1"/>
  <c r="BM174" i="6"/>
  <c r="BI174" i="6"/>
  <c r="CG81" i="23" s="1"/>
  <c r="BE174" i="6"/>
  <c r="CG85" i="23" s="1"/>
  <c r="BP174" i="6"/>
  <c r="CG74" i="23" s="1"/>
  <c r="BL174" i="6"/>
  <c r="CG78" i="23" s="1"/>
  <c r="BH174" i="6"/>
  <c r="CG82" i="23" s="1"/>
  <c r="BO174" i="6"/>
  <c r="CG75" i="23" s="1"/>
  <c r="BK174" i="6"/>
  <c r="CG79" i="23" s="1"/>
  <c r="BG174" i="6"/>
  <c r="CG83" i="23" s="1"/>
  <c r="CT184" i="6"/>
  <c r="ES184" i="6"/>
  <c r="EO184" i="6"/>
  <c r="EK184" i="6"/>
  <c r="CO157" i="23" s="1"/>
  <c r="EV184" i="6"/>
  <c r="CO146" i="23" s="1"/>
  <c r="ER184" i="6"/>
  <c r="EN184" i="6"/>
  <c r="EQ184" i="6"/>
  <c r="EP184" i="6"/>
  <c r="EU184" i="6"/>
  <c r="CO147" i="23" s="1"/>
  <c r="EL184" i="6"/>
  <c r="ET184" i="6"/>
  <c r="EM184" i="6"/>
  <c r="DE184" i="6"/>
  <c r="CO111" i="23" s="1"/>
  <c r="DA184" i="6"/>
  <c r="CW184" i="6"/>
  <c r="DD184" i="6"/>
  <c r="CZ184" i="6"/>
  <c r="CV184" i="6"/>
  <c r="DC184" i="6"/>
  <c r="CY184" i="6"/>
  <c r="CU184" i="6"/>
  <c r="CO121" i="23" s="1"/>
  <c r="DF184" i="6"/>
  <c r="CO110" i="23" s="1"/>
  <c r="DB184" i="6"/>
  <c r="CX184" i="6"/>
  <c r="BN184" i="6"/>
  <c r="BJ184" i="6"/>
  <c r="CO80" i="23" s="1"/>
  <c r="BF184" i="6"/>
  <c r="CO84" i="23" s="1"/>
  <c r="BM184" i="6"/>
  <c r="BI184" i="6"/>
  <c r="CO81" i="23" s="1"/>
  <c r="BE184" i="6"/>
  <c r="CO85" i="23" s="1"/>
  <c r="BP184" i="6"/>
  <c r="CO74" i="23" s="1"/>
  <c r="BL184" i="6"/>
  <c r="CO78" i="23" s="1"/>
  <c r="BH184" i="6"/>
  <c r="CO82" i="23" s="1"/>
  <c r="BO184" i="6"/>
  <c r="CO75" i="23" s="1"/>
  <c r="BK184" i="6"/>
  <c r="CO79" i="23" s="1"/>
  <c r="BG184" i="6"/>
  <c r="CO83" i="23" s="1"/>
  <c r="CT191" i="6"/>
  <c r="ES191" i="6"/>
  <c r="EO191" i="6"/>
  <c r="EK191" i="6"/>
  <c r="CU157" i="23" s="1"/>
  <c r="EV191" i="6"/>
  <c r="CU146" i="23" s="1"/>
  <c r="ER191" i="6"/>
  <c r="EN191" i="6"/>
  <c r="EQ191" i="6"/>
  <c r="ET191" i="6"/>
  <c r="EM191" i="6"/>
  <c r="EL191" i="6"/>
  <c r="EU191" i="6"/>
  <c r="CU147" i="23" s="1"/>
  <c r="DE191" i="6"/>
  <c r="CU111" i="23" s="1"/>
  <c r="DA191" i="6"/>
  <c r="CW191" i="6"/>
  <c r="DD191" i="6"/>
  <c r="CZ191" i="6"/>
  <c r="CV191" i="6"/>
  <c r="EP191" i="6"/>
  <c r="DC191" i="6"/>
  <c r="CY191" i="6"/>
  <c r="CU191" i="6"/>
  <c r="CU121" i="23" s="1"/>
  <c r="CX191" i="6"/>
  <c r="DF191" i="6"/>
  <c r="CU110" i="23" s="1"/>
  <c r="DB191" i="6"/>
  <c r="BN191" i="6"/>
  <c r="BJ191" i="6"/>
  <c r="CU80" i="23" s="1"/>
  <c r="BF191" i="6"/>
  <c r="CU84" i="23" s="1"/>
  <c r="BM191" i="6"/>
  <c r="BI191" i="6"/>
  <c r="CU81" i="23" s="1"/>
  <c r="BE191" i="6"/>
  <c r="CU85" i="23" s="1"/>
  <c r="BP191" i="6"/>
  <c r="CU74" i="23" s="1"/>
  <c r="BL191" i="6"/>
  <c r="CU78" i="23" s="1"/>
  <c r="BH191" i="6"/>
  <c r="CU82" i="23" s="1"/>
  <c r="BG191" i="6"/>
  <c r="CU83" i="23" s="1"/>
  <c r="BO191" i="6"/>
  <c r="CU75" i="23" s="1"/>
  <c r="BK191" i="6"/>
  <c r="CU79" i="23" s="1"/>
  <c r="CT194" i="6"/>
  <c r="CT197" i="6"/>
  <c r="CT200" i="6"/>
  <c r="ES200" i="6"/>
  <c r="EO200" i="6"/>
  <c r="EK200" i="6"/>
  <c r="DC157" i="23" s="1"/>
  <c r="EV200" i="6"/>
  <c r="DC146" i="23" s="1"/>
  <c r="ER200" i="6"/>
  <c r="EN200" i="6"/>
  <c r="EQ200" i="6"/>
  <c r="ET200" i="6"/>
  <c r="EM200" i="6"/>
  <c r="EU200" i="6"/>
  <c r="DC147" i="23" s="1"/>
  <c r="EP200" i="6"/>
  <c r="EL200" i="6"/>
  <c r="DE200" i="6"/>
  <c r="DC111" i="23" s="1"/>
  <c r="DA200" i="6"/>
  <c r="CW200" i="6"/>
  <c r="DD200" i="6"/>
  <c r="CZ200" i="6"/>
  <c r="CV200" i="6"/>
  <c r="DC200" i="6"/>
  <c r="CY200" i="6"/>
  <c r="CU200" i="6"/>
  <c r="DC121" i="23" s="1"/>
  <c r="CX200" i="6"/>
  <c r="DF200" i="6"/>
  <c r="DC110" i="23" s="1"/>
  <c r="BN200" i="6"/>
  <c r="BJ200" i="6"/>
  <c r="DC80" i="23" s="1"/>
  <c r="BF200" i="6"/>
  <c r="DC84" i="23" s="1"/>
  <c r="BM200" i="6"/>
  <c r="BI200" i="6"/>
  <c r="DC81" i="23" s="1"/>
  <c r="BE200" i="6"/>
  <c r="DC85" i="23" s="1"/>
  <c r="DB200" i="6"/>
  <c r="BP200" i="6"/>
  <c r="DC74" i="23" s="1"/>
  <c r="BL200" i="6"/>
  <c r="DC78" i="23" s="1"/>
  <c r="BH200" i="6"/>
  <c r="DC82" i="23" s="1"/>
  <c r="BG200" i="6"/>
  <c r="DC83" i="23" s="1"/>
  <c r="BO200" i="6"/>
  <c r="DC75" i="23" s="1"/>
  <c r="BK200" i="6"/>
  <c r="DC79" i="23" s="1"/>
  <c r="CT203" i="6"/>
  <c r="ES203" i="6"/>
  <c r="EO203" i="6"/>
  <c r="EK203" i="6"/>
  <c r="DF157" i="23" s="1"/>
  <c r="EV203" i="6"/>
  <c r="DF146" i="23" s="1"/>
  <c r="ER203" i="6"/>
  <c r="EN203" i="6"/>
  <c r="EU203" i="6"/>
  <c r="DF147" i="23" s="1"/>
  <c r="EM203" i="6"/>
  <c r="EP203" i="6"/>
  <c r="ET203" i="6"/>
  <c r="EQ203" i="6"/>
  <c r="EL203" i="6"/>
  <c r="DE203" i="6"/>
  <c r="DF111" i="23" s="1"/>
  <c r="DA203" i="6"/>
  <c r="CW203" i="6"/>
  <c r="DD203" i="6"/>
  <c r="CZ203" i="6"/>
  <c r="CV203" i="6"/>
  <c r="DC203" i="6"/>
  <c r="CY203" i="6"/>
  <c r="CU203" i="6"/>
  <c r="DF121" i="23" s="1"/>
  <c r="DF203" i="6"/>
  <c r="DF110" i="23" s="1"/>
  <c r="DB203" i="6"/>
  <c r="CX203" i="6"/>
  <c r="BN203" i="6"/>
  <c r="BJ203" i="6"/>
  <c r="DF80" i="23" s="1"/>
  <c r="BF203" i="6"/>
  <c r="DF84" i="23" s="1"/>
  <c r="BM203" i="6"/>
  <c r="BI203" i="6"/>
  <c r="DF81" i="23" s="1"/>
  <c r="BE203" i="6"/>
  <c r="DF85" i="23" s="1"/>
  <c r="BP203" i="6"/>
  <c r="DF74" i="23" s="1"/>
  <c r="BL203" i="6"/>
  <c r="DF78" i="23" s="1"/>
  <c r="BH203" i="6"/>
  <c r="DF82" i="23" s="1"/>
  <c r="BO203" i="6"/>
  <c r="DF75" i="23" s="1"/>
  <c r="BK203" i="6"/>
  <c r="DF79" i="23" s="1"/>
  <c r="BG203" i="6"/>
  <c r="DF83" i="23" s="1"/>
  <c r="CT207" i="6"/>
  <c r="ES207" i="6"/>
  <c r="EO207" i="6"/>
  <c r="EK207" i="6"/>
  <c r="DI157" i="23" s="1"/>
  <c r="EV207" i="6"/>
  <c r="DI146" i="23" s="1"/>
  <c r="ER207" i="6"/>
  <c r="EN207" i="6"/>
  <c r="EQ207" i="6"/>
  <c r="EU207" i="6"/>
  <c r="DI147" i="23" s="1"/>
  <c r="EL207" i="6"/>
  <c r="EP207" i="6"/>
  <c r="EM207" i="6"/>
  <c r="DE207" i="6"/>
  <c r="DI111" i="23" s="1"/>
  <c r="DA207" i="6"/>
  <c r="CW207" i="6"/>
  <c r="DD207" i="6"/>
  <c r="CZ207" i="6"/>
  <c r="CV207" i="6"/>
  <c r="ET207" i="6"/>
  <c r="DC207" i="6"/>
  <c r="CY207" i="6"/>
  <c r="CU207" i="6"/>
  <c r="DI121" i="23" s="1"/>
  <c r="DF207" i="6"/>
  <c r="DI110" i="23" s="1"/>
  <c r="DB207" i="6"/>
  <c r="CX207" i="6"/>
  <c r="BN207" i="6"/>
  <c r="BJ207" i="6"/>
  <c r="DI80" i="23" s="1"/>
  <c r="BF207" i="6"/>
  <c r="DI84" i="23" s="1"/>
  <c r="BM207" i="6"/>
  <c r="BI207" i="6"/>
  <c r="DI81" i="23" s="1"/>
  <c r="BE207" i="6"/>
  <c r="DI85" i="23" s="1"/>
  <c r="BP207" i="6"/>
  <c r="DI74" i="23" s="1"/>
  <c r="BL207" i="6"/>
  <c r="DI78" i="23" s="1"/>
  <c r="BH207" i="6"/>
  <c r="DI82" i="23" s="1"/>
  <c r="BO207" i="6"/>
  <c r="DI75" i="23" s="1"/>
  <c r="BK207" i="6"/>
  <c r="DI79" i="23" s="1"/>
  <c r="BG207" i="6"/>
  <c r="DI83" i="23" s="1"/>
  <c r="CT213" i="6"/>
  <c r="ES213" i="6"/>
  <c r="EO213" i="6"/>
  <c r="EK213" i="6"/>
  <c r="DN157" i="23" s="1"/>
  <c r="EV213" i="6"/>
  <c r="DN146" i="23" s="1"/>
  <c r="ER213" i="6"/>
  <c r="EN213" i="6"/>
  <c r="EU213" i="6"/>
  <c r="DN147" i="23" s="1"/>
  <c r="EM213" i="6"/>
  <c r="EP213" i="6"/>
  <c r="ET213" i="6"/>
  <c r="EQ213" i="6"/>
  <c r="EL213" i="6"/>
  <c r="DE213" i="6"/>
  <c r="DN111" i="23" s="1"/>
  <c r="DA213" i="6"/>
  <c r="CW213" i="6"/>
  <c r="DD213" i="6"/>
  <c r="CZ213" i="6"/>
  <c r="CV213" i="6"/>
  <c r="DC213" i="6"/>
  <c r="CY213" i="6"/>
  <c r="CU213" i="6"/>
  <c r="DN121" i="23" s="1"/>
  <c r="DF213" i="6"/>
  <c r="DN110" i="23" s="1"/>
  <c r="DB213" i="6"/>
  <c r="BN213" i="6"/>
  <c r="BJ213" i="6"/>
  <c r="DN80" i="23" s="1"/>
  <c r="BF213" i="6"/>
  <c r="DN84" i="23" s="1"/>
  <c r="BM213" i="6"/>
  <c r="BI213" i="6"/>
  <c r="DN81" i="23" s="1"/>
  <c r="BE213" i="6"/>
  <c r="DN85" i="23" s="1"/>
  <c r="CX213" i="6"/>
  <c r="BP213" i="6"/>
  <c r="DN74" i="23" s="1"/>
  <c r="BL213" i="6"/>
  <c r="DN78" i="23" s="1"/>
  <c r="BH213" i="6"/>
  <c r="DN82" i="23" s="1"/>
  <c r="BO213" i="6"/>
  <c r="DN75" i="23" s="1"/>
  <c r="BK213" i="6"/>
  <c r="DN79" i="23" s="1"/>
  <c r="BG213" i="6"/>
  <c r="DN83" i="23" s="1"/>
  <c r="CT221" i="6"/>
  <c r="EJ221" i="6" s="1"/>
  <c r="ES221" i="6"/>
  <c r="EV221" i="6"/>
  <c r="DR146" i="23" s="1"/>
  <c r="ER221" i="6"/>
  <c r="EN221" i="6"/>
  <c r="EP221" i="6"/>
  <c r="EK221" i="6"/>
  <c r="DR157" i="23" s="1"/>
  <c r="EU221" i="6"/>
  <c r="DR147" i="23" s="1"/>
  <c r="EO221" i="6"/>
  <c r="EM221" i="6"/>
  <c r="EQ221" i="6"/>
  <c r="EL221" i="6"/>
  <c r="DE221" i="6"/>
  <c r="DR111" i="23" s="1"/>
  <c r="DA221" i="6"/>
  <c r="CW221" i="6"/>
  <c r="ET221" i="6"/>
  <c r="DD221" i="6"/>
  <c r="CZ221" i="6"/>
  <c r="CV221" i="6"/>
  <c r="DC221" i="6"/>
  <c r="CY221" i="6"/>
  <c r="CU221" i="6"/>
  <c r="DR121" i="23" s="1"/>
  <c r="DF221" i="6"/>
  <c r="DR110" i="23" s="1"/>
  <c r="DB221" i="6"/>
  <c r="BN221" i="6"/>
  <c r="BJ221" i="6"/>
  <c r="DR80" i="23" s="1"/>
  <c r="BF221" i="6"/>
  <c r="DR84" i="23" s="1"/>
  <c r="BM221" i="6"/>
  <c r="BI221" i="6"/>
  <c r="DR81" i="23" s="1"/>
  <c r="BE221" i="6"/>
  <c r="DR85" i="23" s="1"/>
  <c r="BP221" i="6"/>
  <c r="DR74" i="23" s="1"/>
  <c r="BL221" i="6"/>
  <c r="DR78" i="23" s="1"/>
  <c r="BH221" i="6"/>
  <c r="DR82" i="23" s="1"/>
  <c r="CX221" i="6"/>
  <c r="BO221" i="6"/>
  <c r="DR75" i="23" s="1"/>
  <c r="BK221" i="6"/>
  <c r="DR79" i="23" s="1"/>
  <c r="BG221" i="6"/>
  <c r="DR83" i="23" s="1"/>
  <c r="CT224" i="6"/>
  <c r="ES224" i="6"/>
  <c r="EO224" i="6"/>
  <c r="DT153" i="23" s="1"/>
  <c r="EK224" i="6"/>
  <c r="DT157" i="23" s="1"/>
  <c r="EV224" i="6"/>
  <c r="DT146" i="23" s="1"/>
  <c r="ER224" i="6"/>
  <c r="DT150" i="23" s="1"/>
  <c r="EN224" i="6"/>
  <c r="DT154" i="23" s="1"/>
  <c r="EP224" i="6"/>
  <c r="DT152" i="23" s="1"/>
  <c r="EU224" i="6"/>
  <c r="DT147" i="23" s="1"/>
  <c r="EM224" i="6"/>
  <c r="DT155" i="23" s="1"/>
  <c r="ET224" i="6"/>
  <c r="EL224" i="6"/>
  <c r="DT156" i="23" s="1"/>
  <c r="EQ224" i="6"/>
  <c r="DT151" i="23" s="1"/>
  <c r="DE224" i="6"/>
  <c r="DT111" i="23" s="1"/>
  <c r="DA224" i="6"/>
  <c r="DT115" i="23" s="1"/>
  <c r="CW224" i="6"/>
  <c r="DT119" i="23" s="1"/>
  <c r="DD224" i="6"/>
  <c r="CZ224" i="6"/>
  <c r="DT116" i="23" s="1"/>
  <c r="CV224" i="6"/>
  <c r="DT120" i="23" s="1"/>
  <c r="DC224" i="6"/>
  <c r="CY224" i="6"/>
  <c r="DT117" i="23" s="1"/>
  <c r="CU224" i="6"/>
  <c r="DT121" i="23" s="1"/>
  <c r="DB224" i="6"/>
  <c r="DT114" i="23" s="1"/>
  <c r="CX224" i="6"/>
  <c r="DT118" i="23" s="1"/>
  <c r="BN224" i="6"/>
  <c r="BJ224" i="6"/>
  <c r="DT80" i="23" s="1"/>
  <c r="BF224" i="6"/>
  <c r="DT84" i="23" s="1"/>
  <c r="DF224" i="6"/>
  <c r="DT110" i="23" s="1"/>
  <c r="BM224" i="6"/>
  <c r="BI224" i="6"/>
  <c r="DT81" i="23" s="1"/>
  <c r="BE224" i="6"/>
  <c r="DT85" i="23" s="1"/>
  <c r="BP224" i="6"/>
  <c r="DT74" i="23" s="1"/>
  <c r="BL224" i="6"/>
  <c r="DT78" i="23" s="1"/>
  <c r="BH224" i="6"/>
  <c r="DT82" i="23" s="1"/>
  <c r="BK224" i="6"/>
  <c r="DT79" i="23" s="1"/>
  <c r="BO224" i="6"/>
  <c r="DT75" i="23" s="1"/>
  <c r="BG224" i="6"/>
  <c r="DT83" i="23" s="1"/>
  <c r="CT244" i="6"/>
  <c r="ES244" i="6"/>
  <c r="EO244" i="6"/>
  <c r="EK244" i="6"/>
  <c r="EV244" i="6"/>
  <c r="ER244" i="6"/>
  <c r="EN244" i="6"/>
  <c r="EU244" i="6"/>
  <c r="EQ244" i="6"/>
  <c r="EM244" i="6"/>
  <c r="ET244" i="6"/>
  <c r="EP244" i="6"/>
  <c r="EL244" i="6"/>
  <c r="DE244" i="6"/>
  <c r="DA244" i="6"/>
  <c r="CW244" i="6"/>
  <c r="DD244" i="6"/>
  <c r="CZ244" i="6"/>
  <c r="CV244" i="6"/>
  <c r="DC244" i="6"/>
  <c r="CY244" i="6"/>
  <c r="CU244" i="6"/>
  <c r="CX244" i="6"/>
  <c r="DF244" i="6"/>
  <c r="DB244" i="6"/>
  <c r="BN244" i="6"/>
  <c r="BR244" i="6" s="1"/>
  <c r="BJ244" i="6"/>
  <c r="BF244" i="6"/>
  <c r="BM244" i="6"/>
  <c r="BI244" i="6"/>
  <c r="BE244" i="6"/>
  <c r="BP244" i="6"/>
  <c r="BL244" i="6"/>
  <c r="BH244" i="6"/>
  <c r="BG244" i="6"/>
  <c r="BK244" i="6"/>
  <c r="BO244" i="6"/>
  <c r="BC115" i="4"/>
  <c r="EF233" i="6"/>
  <c r="EF249" i="6" s="1"/>
  <c r="EF72" i="6"/>
  <c r="BC72" i="6"/>
  <c r="X236" i="1"/>
  <c r="EI218" i="4"/>
  <c r="EI70" i="4"/>
  <c r="DW71" i="4"/>
  <c r="R8" i="1"/>
  <c r="H182" i="1"/>
  <c r="L182" i="1"/>
  <c r="AV233" i="6"/>
  <c r="AV249" i="6" s="1"/>
  <c r="AV250" i="6" s="1"/>
  <c r="AR233" i="6"/>
  <c r="AR249" i="6" s="1"/>
  <c r="AR250" i="6" s="1"/>
  <c r="C178" i="6"/>
  <c r="H172" i="6"/>
  <c r="AY231" i="6"/>
  <c r="AZ233" i="6"/>
  <c r="AZ249" i="6" s="1"/>
  <c r="AZ250" i="6" s="1"/>
  <c r="A146" i="6"/>
  <c r="E146" i="6"/>
  <c r="I146" i="6"/>
  <c r="I90" i="1"/>
  <c r="M87" i="4"/>
  <c r="C29" i="6"/>
  <c r="BC43" i="4"/>
  <c r="BC47" i="4" s="1"/>
  <c r="BC70" i="4"/>
  <c r="B223" i="5"/>
  <c r="M221" i="1"/>
  <c r="F178" i="1"/>
  <c r="C38" i="1"/>
  <c r="M40" i="1"/>
  <c r="H38" i="1"/>
  <c r="L38" i="1"/>
  <c r="CS72" i="5"/>
  <c r="D39" i="1"/>
  <c r="M39" i="1" s="1"/>
  <c r="G38" i="1"/>
  <c r="E38" i="1"/>
  <c r="I38" i="1"/>
  <c r="B38" i="1"/>
  <c r="F38" i="1"/>
  <c r="J38" i="1"/>
  <c r="D7" i="1"/>
  <c r="H7" i="1"/>
  <c r="L7" i="1"/>
  <c r="A7" i="1"/>
  <c r="E7" i="1"/>
  <c r="I7" i="1"/>
  <c r="B7" i="1"/>
  <c r="F7" i="1"/>
  <c r="J7" i="1"/>
  <c r="C7" i="1"/>
  <c r="G7" i="1"/>
  <c r="K7" i="1"/>
  <c r="AO237" i="1"/>
  <c r="AO51" i="1"/>
  <c r="AC54" i="1"/>
  <c r="AO24" i="1"/>
  <c r="AC27" i="1"/>
  <c r="AC8" i="1"/>
  <c r="AO9" i="1"/>
  <c r="I13" i="7"/>
  <c r="D27" i="7"/>
  <c r="H27" i="7"/>
  <c r="L27" i="7"/>
  <c r="K54" i="7"/>
  <c r="A57" i="7"/>
  <c r="I60" i="7"/>
  <c r="F70" i="4"/>
  <c r="E70" i="4"/>
  <c r="L70" i="4"/>
  <c r="CS70" i="4"/>
  <c r="CG230" i="4"/>
  <c r="CG231" i="4" s="1"/>
  <c r="J29" i="7"/>
  <c r="H54" i="7"/>
  <c r="B70" i="4"/>
  <c r="A70" i="4"/>
  <c r="C58" i="4"/>
  <c r="D70" i="4"/>
  <c r="C70" i="4"/>
  <c r="CH230" i="4"/>
  <c r="F164" i="1"/>
  <c r="C13" i="7"/>
  <c r="G13" i="7"/>
  <c r="K13" i="7"/>
  <c r="M67" i="7"/>
  <c r="F8" i="1"/>
  <c r="J8" i="1"/>
  <c r="M42" i="1"/>
  <c r="M62" i="1"/>
  <c r="M63" i="1"/>
  <c r="M64" i="1"/>
  <c r="M65" i="1"/>
  <c r="M68" i="1"/>
  <c r="M69" i="1"/>
  <c r="M80" i="1"/>
  <c r="M82" i="1"/>
  <c r="M83" i="1"/>
  <c r="M84" i="1"/>
  <c r="M85" i="1"/>
  <c r="M113" i="1"/>
  <c r="M118" i="1"/>
  <c r="M119" i="1"/>
  <c r="M120" i="1"/>
  <c r="M128" i="1"/>
  <c r="M132" i="1"/>
  <c r="M141" i="1"/>
  <c r="M152" i="1"/>
  <c r="M222" i="1"/>
  <c r="K70" i="4"/>
  <c r="G70" i="4"/>
  <c r="J70" i="4"/>
  <c r="H70" i="4"/>
  <c r="A218" i="4"/>
  <c r="CG234" i="7"/>
  <c r="CG250" i="7"/>
  <c r="F27" i="1"/>
  <c r="M4" i="1"/>
  <c r="M23" i="1"/>
  <c r="M25" i="1"/>
  <c r="M32" i="1"/>
  <c r="M33" i="1"/>
  <c r="M34" i="1"/>
  <c r="M35" i="1"/>
  <c r="M36" i="1"/>
  <c r="A38" i="1"/>
  <c r="M41" i="1"/>
  <c r="K38" i="1"/>
  <c r="A60" i="1"/>
  <c r="M61" i="1"/>
  <c r="M66" i="1"/>
  <c r="M67" i="1"/>
  <c r="M89" i="1"/>
  <c r="F90" i="1"/>
  <c r="AV230" i="5"/>
  <c r="M142" i="1"/>
  <c r="M140" i="1"/>
  <c r="M143" i="1"/>
  <c r="M144" i="1"/>
  <c r="M145" i="1"/>
  <c r="AZ230" i="5"/>
  <c r="AZ231" i="5" s="1"/>
  <c r="AU230" i="5"/>
  <c r="AU231" i="5" s="1"/>
  <c r="M175" i="1"/>
  <c r="M176" i="1"/>
  <c r="M177" i="1"/>
  <c r="M196" i="1"/>
  <c r="M203" i="1"/>
  <c r="M208" i="1"/>
  <c r="H209" i="1"/>
  <c r="AY230" i="5"/>
  <c r="AY231" i="5" s="1"/>
  <c r="H236" i="5"/>
  <c r="M243" i="1"/>
  <c r="M244" i="1"/>
  <c r="M245" i="1"/>
  <c r="M246" i="1"/>
  <c r="M247" i="1"/>
  <c r="AT230" i="5"/>
  <c r="AT231" i="5" s="1"/>
  <c r="BA230" i="5"/>
  <c r="BA233" i="5" s="1"/>
  <c r="BA249" i="5" s="1"/>
  <c r="M180" i="1"/>
  <c r="M181" i="1"/>
  <c r="M12" i="1"/>
  <c r="E8" i="1"/>
  <c r="I8" i="1"/>
  <c r="AR230" i="5"/>
  <c r="AR231" i="5" s="1"/>
  <c r="M216" i="1"/>
  <c r="M10" i="1"/>
  <c r="G8" i="1"/>
  <c r="K8" i="1"/>
  <c r="M11" i="1"/>
  <c r="D8" i="1"/>
  <c r="H8" i="1"/>
  <c r="L8" i="1"/>
  <c r="C236" i="5"/>
  <c r="C237" i="1"/>
  <c r="C236" i="1" s="1"/>
  <c r="K236" i="5"/>
  <c r="K237" i="1"/>
  <c r="K236" i="1" s="1"/>
  <c r="G236" i="5"/>
  <c r="D236" i="5"/>
  <c r="D237" i="1"/>
  <c r="D236" i="1" s="1"/>
  <c r="L236" i="5"/>
  <c r="L237" i="1"/>
  <c r="L236" i="1" s="1"/>
  <c r="A236" i="1"/>
  <c r="E236" i="5"/>
  <c r="E237" i="1"/>
  <c r="E236" i="1" s="1"/>
  <c r="M238" i="1"/>
  <c r="M239" i="1"/>
  <c r="D241" i="1"/>
  <c r="H241" i="1"/>
  <c r="L241" i="1"/>
  <c r="A241" i="1"/>
  <c r="M242" i="1"/>
  <c r="A227" i="1"/>
  <c r="M228" i="1"/>
  <c r="M229" i="1"/>
  <c r="A223" i="5"/>
  <c r="A224" i="1"/>
  <c r="M225" i="1"/>
  <c r="M226" i="1"/>
  <c r="A219" i="1"/>
  <c r="B219" i="5"/>
  <c r="B220" i="1"/>
  <c r="B219" i="1" s="1"/>
  <c r="C214" i="5"/>
  <c r="C215" i="1"/>
  <c r="C214" i="1" s="1"/>
  <c r="A214" i="1"/>
  <c r="M217" i="1"/>
  <c r="A209" i="1"/>
  <c r="M210" i="1"/>
  <c r="M211" i="1"/>
  <c r="M212" i="1"/>
  <c r="M213" i="1"/>
  <c r="M206" i="1"/>
  <c r="A205" i="1"/>
  <c r="M207" i="1"/>
  <c r="A193" i="1"/>
  <c r="M195" i="1"/>
  <c r="M197" i="1"/>
  <c r="M198" i="1"/>
  <c r="M199" i="1"/>
  <c r="M200" i="1"/>
  <c r="M201" i="1"/>
  <c r="M202" i="1"/>
  <c r="M204" i="1"/>
  <c r="D193" i="5"/>
  <c r="D194" i="1"/>
  <c r="D193" i="1" s="1"/>
  <c r="H193" i="5"/>
  <c r="H194" i="1"/>
  <c r="H193" i="1" s="1"/>
  <c r="M188" i="1"/>
  <c r="A187" i="1"/>
  <c r="M189" i="1"/>
  <c r="M190" i="1"/>
  <c r="M191" i="1"/>
  <c r="M192" i="1"/>
  <c r="A182" i="1"/>
  <c r="M183" i="1"/>
  <c r="M184" i="1"/>
  <c r="M185" i="1"/>
  <c r="M186" i="1"/>
  <c r="AW230" i="5"/>
  <c r="B178" i="5"/>
  <c r="B179" i="1"/>
  <c r="B178" i="1" s="1"/>
  <c r="A178" i="1"/>
  <c r="BB230" i="5"/>
  <c r="M173" i="1"/>
  <c r="A172" i="1"/>
  <c r="M174" i="1"/>
  <c r="M165" i="1"/>
  <c r="A164" i="1"/>
  <c r="M166" i="1"/>
  <c r="M167" i="1"/>
  <c r="M168" i="1"/>
  <c r="M169" i="1"/>
  <c r="M170" i="1"/>
  <c r="M171" i="1"/>
  <c r="M158" i="1"/>
  <c r="A157" i="1"/>
  <c r="M159" i="1"/>
  <c r="M160" i="1"/>
  <c r="M161" i="1"/>
  <c r="M162" i="1"/>
  <c r="A150" i="1"/>
  <c r="M153" i="1"/>
  <c r="M154" i="1"/>
  <c r="B150" i="5"/>
  <c r="B151" i="1"/>
  <c r="B150" i="1" s="1"/>
  <c r="J150" i="5"/>
  <c r="J151" i="1"/>
  <c r="J150" i="1" s="1"/>
  <c r="C146" i="5"/>
  <c r="A146" i="1"/>
  <c r="M148" i="1"/>
  <c r="M149" i="1"/>
  <c r="B146" i="5"/>
  <c r="B147" i="1"/>
  <c r="B146" i="1" s="1"/>
  <c r="J146" i="5"/>
  <c r="J147" i="1"/>
  <c r="J146" i="1" s="1"/>
  <c r="AS230" i="5"/>
  <c r="A138" i="1"/>
  <c r="M139" i="1"/>
  <c r="A133" i="1"/>
  <c r="M135" i="1"/>
  <c r="M136" i="1"/>
  <c r="M137" i="1"/>
  <c r="AX230" i="5"/>
  <c r="AX231" i="5" s="1"/>
  <c r="D133" i="5"/>
  <c r="D134" i="1"/>
  <c r="D133" i="1" s="1"/>
  <c r="L133" i="5"/>
  <c r="L134" i="1"/>
  <c r="L133" i="1" s="1"/>
  <c r="G133" i="5"/>
  <c r="G134" i="1"/>
  <c r="G133" i="1" s="1"/>
  <c r="D129" i="5"/>
  <c r="D130" i="1"/>
  <c r="D129" i="1" s="1"/>
  <c r="AQ230" i="5"/>
  <c r="AQ231" i="5" s="1"/>
  <c r="A129" i="5"/>
  <c r="A130" i="1"/>
  <c r="E129" i="5"/>
  <c r="E130" i="1"/>
  <c r="E129" i="1" s="1"/>
  <c r="M131" i="1"/>
  <c r="A116" i="1"/>
  <c r="E116" i="5"/>
  <c r="E117" i="1"/>
  <c r="E116" i="1" s="1"/>
  <c r="M121" i="1"/>
  <c r="M122" i="1"/>
  <c r="M123" i="1"/>
  <c r="M124" i="1"/>
  <c r="M125" i="1"/>
  <c r="M126" i="1"/>
  <c r="M127" i="1"/>
  <c r="A104" i="1"/>
  <c r="M105" i="1"/>
  <c r="M106" i="1"/>
  <c r="M107" i="1"/>
  <c r="M108" i="1"/>
  <c r="M109" i="1"/>
  <c r="M110" i="1"/>
  <c r="M111" i="1"/>
  <c r="M112" i="1"/>
  <c r="A90" i="1"/>
  <c r="M91" i="1"/>
  <c r="M92" i="1"/>
  <c r="M93" i="1"/>
  <c r="M94" i="1"/>
  <c r="M95" i="1"/>
  <c r="M96" i="1"/>
  <c r="M97" i="1"/>
  <c r="M98" i="1"/>
  <c r="M99" i="1"/>
  <c r="M100" i="1"/>
  <c r="M101" i="1"/>
  <c r="M102" i="1"/>
  <c r="D87" i="5"/>
  <c r="D88" i="1"/>
  <c r="D87" i="1" s="1"/>
  <c r="A87" i="1"/>
  <c r="M77" i="1"/>
  <c r="A76" i="1"/>
  <c r="M78" i="1"/>
  <c r="M79" i="1"/>
  <c r="M81" i="1"/>
  <c r="M86" i="1"/>
  <c r="M31" i="1"/>
  <c r="A29" i="1"/>
  <c r="M26" i="1"/>
  <c r="A27" i="1"/>
  <c r="M24" i="1"/>
  <c r="M21" i="1"/>
  <c r="M20" i="1"/>
  <c r="M19" i="1"/>
  <c r="M18" i="1"/>
  <c r="M16" i="1"/>
  <c r="M15" i="1"/>
  <c r="C13" i="5"/>
  <c r="C14" i="1"/>
  <c r="C13" i="1" s="1"/>
  <c r="A13" i="1"/>
  <c r="B13" i="5"/>
  <c r="B14" i="1"/>
  <c r="B13" i="1" s="1"/>
  <c r="B8" i="1"/>
  <c r="C8" i="1"/>
  <c r="A8" i="1"/>
  <c r="M9" i="1"/>
  <c r="Z8" i="1"/>
  <c r="AA90" i="8"/>
  <c r="Y71" i="8"/>
  <c r="AA104" i="8"/>
  <c r="AA10" i="4"/>
  <c r="Y10" i="1"/>
  <c r="W156" i="8"/>
  <c r="W115" i="8"/>
  <c r="V156" i="8"/>
  <c r="V115" i="8"/>
  <c r="U6" i="8"/>
  <c r="U71" i="8" s="1"/>
  <c r="AA187" i="8"/>
  <c r="S156" i="8"/>
  <c r="R115" i="8"/>
  <c r="AA241" i="8"/>
  <c r="AA138" i="8"/>
  <c r="AA116" i="8"/>
  <c r="AA76" i="8"/>
  <c r="AA157" i="8"/>
  <c r="DG8" i="4"/>
  <c r="AA172" i="8"/>
  <c r="P236" i="1"/>
  <c r="P8" i="1"/>
  <c r="AA236" i="5"/>
  <c r="AA12" i="4"/>
  <c r="AA13" i="8"/>
  <c r="AA27" i="8"/>
  <c r="EW8" i="4"/>
  <c r="O156" i="8"/>
  <c r="BQ8" i="4"/>
  <c r="AO27" i="4"/>
  <c r="B218" i="4"/>
  <c r="I218" i="4"/>
  <c r="E218" i="4"/>
  <c r="EI75" i="4"/>
  <c r="K6" i="4"/>
  <c r="K218" i="4"/>
  <c r="E6" i="4"/>
  <c r="G75" i="4"/>
  <c r="E58" i="4"/>
  <c r="AM6" i="4"/>
  <c r="I75" i="4"/>
  <c r="CO72" i="4"/>
  <c r="CS156" i="4"/>
  <c r="CP72" i="4"/>
  <c r="A75" i="4"/>
  <c r="J43" i="4"/>
  <c r="J47" i="4" s="1"/>
  <c r="CS115" i="4"/>
  <c r="AI6" i="4"/>
  <c r="F75" i="4"/>
  <c r="I6" i="4"/>
  <c r="C43" i="4"/>
  <c r="C47" i="4" s="1"/>
  <c r="J58" i="4"/>
  <c r="B43" i="4"/>
  <c r="B47" i="4" s="1"/>
  <c r="H75" i="4"/>
  <c r="C218" i="4"/>
  <c r="C75" i="4"/>
  <c r="BC156" i="4"/>
  <c r="BC6" i="4"/>
  <c r="AQ71" i="4"/>
  <c r="H115" i="4"/>
  <c r="M129" i="4"/>
  <c r="K58" i="4"/>
  <c r="G218" i="4"/>
  <c r="BC75" i="4"/>
  <c r="M38" i="4"/>
  <c r="J75" i="4"/>
  <c r="K115" i="4"/>
  <c r="M29" i="4"/>
  <c r="G58" i="4"/>
  <c r="E75" i="4"/>
  <c r="I58" i="4"/>
  <c r="AO13" i="4"/>
  <c r="AL6" i="4"/>
  <c r="M157" i="4"/>
  <c r="M156" i="4" s="1"/>
  <c r="B115" i="4"/>
  <c r="L75" i="4"/>
  <c r="M13" i="4"/>
  <c r="H43" i="4"/>
  <c r="H47" i="4" s="1"/>
  <c r="K75" i="4"/>
  <c r="D43" i="4"/>
  <c r="D47" i="4" s="1"/>
  <c r="I156" i="4"/>
  <c r="G43" i="4"/>
  <c r="G47" i="4" s="1"/>
  <c r="J115" i="4"/>
  <c r="A115" i="4"/>
  <c r="M90" i="4"/>
  <c r="E43" i="4"/>
  <c r="E47" i="4" s="1"/>
  <c r="K43" i="4"/>
  <c r="K47" i="4" s="1"/>
  <c r="AA8" i="5"/>
  <c r="AA238" i="6"/>
  <c r="AA239" i="6"/>
  <c r="AA50" i="6"/>
  <c r="AA23" i="6"/>
  <c r="AO57" i="5"/>
  <c r="AL43" i="5"/>
  <c r="AL47" i="5" s="1"/>
  <c r="M4" i="5"/>
  <c r="M15" i="5"/>
  <c r="CG72" i="5"/>
  <c r="CG233" i="5"/>
  <c r="CG249" i="5" s="1"/>
  <c r="M19" i="5"/>
  <c r="M23" i="5"/>
  <c r="M35" i="5"/>
  <c r="D8" i="5"/>
  <c r="I8" i="5"/>
  <c r="AD13" i="6"/>
  <c r="AH13" i="6"/>
  <c r="AL13" i="6"/>
  <c r="AF54" i="6"/>
  <c r="AJ54" i="6"/>
  <c r="AN54" i="6"/>
  <c r="K13" i="6"/>
  <c r="A227" i="6"/>
  <c r="E227" i="6"/>
  <c r="I227" i="6"/>
  <c r="DW72" i="6"/>
  <c r="DW233" i="6"/>
  <c r="DW249" i="6" s="1"/>
  <c r="F13" i="6"/>
  <c r="C205" i="6"/>
  <c r="G205" i="6"/>
  <c r="K205" i="6"/>
  <c r="C214" i="6"/>
  <c r="G214" i="6"/>
  <c r="K214" i="6"/>
  <c r="D219" i="6"/>
  <c r="H219" i="6"/>
  <c r="L219" i="6"/>
  <c r="K38" i="6"/>
  <c r="D60" i="6"/>
  <c r="H60" i="6"/>
  <c r="L60" i="6"/>
  <c r="F60" i="6"/>
  <c r="H138" i="6"/>
  <c r="B172" i="6"/>
  <c r="J172" i="6"/>
  <c r="I172" i="6"/>
  <c r="B223" i="6"/>
  <c r="AO35" i="6"/>
  <c r="M14" i="6"/>
  <c r="E13" i="6"/>
  <c r="I13" i="6"/>
  <c r="M23" i="6"/>
  <c r="A29" i="6"/>
  <c r="G29" i="6"/>
  <c r="B76" i="6"/>
  <c r="D87" i="6"/>
  <c r="L87" i="6"/>
  <c r="C157" i="6"/>
  <c r="G157" i="6"/>
  <c r="K157" i="6"/>
  <c r="B157" i="6"/>
  <c r="F157" i="6"/>
  <c r="J157" i="6"/>
  <c r="A187" i="6"/>
  <c r="E187" i="6"/>
  <c r="I187" i="6"/>
  <c r="C187" i="6"/>
  <c r="K187" i="6"/>
  <c r="C219" i="6"/>
  <c r="G219" i="6"/>
  <c r="K219" i="6"/>
  <c r="F223" i="6"/>
  <c r="J223" i="6"/>
  <c r="M226" i="6"/>
  <c r="B87" i="6"/>
  <c r="F87" i="6"/>
  <c r="J87" i="6"/>
  <c r="D116" i="6"/>
  <c r="H116" i="6"/>
  <c r="C116" i="6"/>
  <c r="M124" i="6"/>
  <c r="D150" i="6"/>
  <c r="H150" i="6"/>
  <c r="L150" i="6"/>
  <c r="B150" i="6"/>
  <c r="J150" i="6"/>
  <c r="M154" i="6"/>
  <c r="A164" i="6"/>
  <c r="E164" i="6"/>
  <c r="I164" i="6"/>
  <c r="B182" i="6"/>
  <c r="F182" i="6"/>
  <c r="J182" i="6"/>
  <c r="D182" i="6"/>
  <c r="H182" i="6"/>
  <c r="L182" i="6"/>
  <c r="A219" i="6"/>
  <c r="E219" i="6"/>
  <c r="I219" i="6"/>
  <c r="D223" i="6"/>
  <c r="H223" i="6"/>
  <c r="L223" i="6"/>
  <c r="E241" i="6"/>
  <c r="I241" i="6"/>
  <c r="C241" i="6"/>
  <c r="G241" i="6"/>
  <c r="K241" i="6"/>
  <c r="M246" i="6"/>
  <c r="E27" i="6"/>
  <c r="I27" i="6"/>
  <c r="A57" i="6"/>
  <c r="E57" i="6"/>
  <c r="I57" i="6"/>
  <c r="E90" i="6"/>
  <c r="I90" i="6"/>
  <c r="D90" i="6"/>
  <c r="G129" i="6"/>
  <c r="K129" i="6"/>
  <c r="D133" i="6"/>
  <c r="H133" i="6"/>
  <c r="L133" i="6"/>
  <c r="C133" i="6"/>
  <c r="G133" i="6"/>
  <c r="K133" i="6"/>
  <c r="B133" i="6"/>
  <c r="E178" i="6"/>
  <c r="B205" i="6"/>
  <c r="F205" i="6"/>
  <c r="J205" i="6"/>
  <c r="E205" i="6"/>
  <c r="I205" i="6"/>
  <c r="M238" i="6"/>
  <c r="AF13" i="6"/>
  <c r="AN13" i="6"/>
  <c r="AO25" i="6"/>
  <c r="AO69" i="6"/>
  <c r="AO237" i="6"/>
  <c r="AE54" i="6"/>
  <c r="AI54" i="6"/>
  <c r="AM54" i="6"/>
  <c r="AO52" i="6"/>
  <c r="AO89" i="6"/>
  <c r="AG13" i="6"/>
  <c r="AK13" i="6"/>
  <c r="AO23" i="6"/>
  <c r="AO50" i="6"/>
  <c r="B13" i="6"/>
  <c r="J13" i="6"/>
  <c r="A38" i="6"/>
  <c r="E38" i="6"/>
  <c r="I38" i="6"/>
  <c r="C54" i="6"/>
  <c r="G54" i="6"/>
  <c r="K54" i="6"/>
  <c r="A54" i="6"/>
  <c r="E54" i="6"/>
  <c r="I54" i="6"/>
  <c r="B60" i="6"/>
  <c r="J60" i="6"/>
  <c r="M62" i="6"/>
  <c r="B90" i="6"/>
  <c r="J90" i="6"/>
  <c r="M96" i="6"/>
  <c r="E104" i="6"/>
  <c r="I104" i="6"/>
  <c r="C129" i="6"/>
  <c r="D172" i="6"/>
  <c r="B193" i="6"/>
  <c r="F193" i="6"/>
  <c r="J193" i="6"/>
  <c r="D193" i="6"/>
  <c r="H193" i="6"/>
  <c r="L193" i="6"/>
  <c r="B27" i="6"/>
  <c r="F27" i="6"/>
  <c r="J27" i="6"/>
  <c r="M25" i="6"/>
  <c r="M50" i="6"/>
  <c r="D54" i="6"/>
  <c r="H54" i="6"/>
  <c r="M69" i="6"/>
  <c r="J76" i="6"/>
  <c r="M118" i="6"/>
  <c r="K116" i="6"/>
  <c r="M122" i="6"/>
  <c r="B146" i="6"/>
  <c r="F146" i="6"/>
  <c r="J146" i="6"/>
  <c r="D146" i="6"/>
  <c r="B164" i="6"/>
  <c r="F164" i="6"/>
  <c r="J164" i="6"/>
  <c r="E214" i="6"/>
  <c r="I214" i="6"/>
  <c r="L29" i="6"/>
  <c r="AQ233" i="6"/>
  <c r="AQ249" i="6" s="1"/>
  <c r="AQ72" i="6"/>
  <c r="C13" i="6"/>
  <c r="G13" i="6"/>
  <c r="M31" i="6"/>
  <c r="E29" i="6"/>
  <c r="I29" i="6"/>
  <c r="H29" i="6"/>
  <c r="M35" i="6"/>
  <c r="D38" i="6"/>
  <c r="M79" i="6"/>
  <c r="M94" i="6"/>
  <c r="C104" i="6"/>
  <c r="G104" i="6"/>
  <c r="K104" i="6"/>
  <c r="I116" i="6"/>
  <c r="B138" i="6"/>
  <c r="F138" i="6"/>
  <c r="J138" i="6"/>
  <c r="M140" i="6"/>
  <c r="E138" i="6"/>
  <c r="D138" i="6"/>
  <c r="L138" i="6"/>
  <c r="E172" i="6"/>
  <c r="A182" i="6"/>
  <c r="E182" i="6"/>
  <c r="I182" i="6"/>
  <c r="D209" i="6"/>
  <c r="H209" i="6"/>
  <c r="L209" i="6"/>
  <c r="F209" i="6"/>
  <c r="J209" i="6"/>
  <c r="AH54" i="7"/>
  <c r="AO16" i="7"/>
  <c r="AO18" i="7"/>
  <c r="AO19" i="7"/>
  <c r="AO20" i="7"/>
  <c r="AO21" i="7"/>
  <c r="AO25" i="7"/>
  <c r="AO26" i="7"/>
  <c r="AO51" i="7"/>
  <c r="AO52" i="7"/>
  <c r="E13" i="7"/>
  <c r="C27" i="7"/>
  <c r="M56" i="7"/>
  <c r="D57" i="7"/>
  <c r="H57" i="7"/>
  <c r="L57" i="7"/>
  <c r="M64" i="7"/>
  <c r="E60" i="7"/>
  <c r="B13" i="7"/>
  <c r="F13" i="7"/>
  <c r="J13" i="7"/>
  <c r="D13" i="7"/>
  <c r="H13" i="7"/>
  <c r="L13" i="7"/>
  <c r="M36" i="7"/>
  <c r="M7" i="7"/>
  <c r="I8" i="7"/>
  <c r="M34" i="7"/>
  <c r="M30" i="7"/>
  <c r="B29" i="7"/>
  <c r="F29" i="7"/>
  <c r="M32" i="7"/>
  <c r="M33" i="7"/>
  <c r="M37" i="7"/>
  <c r="M45" i="7"/>
  <c r="M52" i="7"/>
  <c r="E54" i="7"/>
  <c r="I54" i="7"/>
  <c r="C54" i="7"/>
  <c r="G54" i="7"/>
  <c r="B57" i="7"/>
  <c r="F57" i="7"/>
  <c r="J57" i="7"/>
  <c r="AA237" i="7"/>
  <c r="AA4" i="7"/>
  <c r="Y230" i="8"/>
  <c r="Y231" i="8" s="1"/>
  <c r="V218" i="8"/>
  <c r="U115" i="8"/>
  <c r="U75" i="8"/>
  <c r="R218" i="8"/>
  <c r="T230" i="8"/>
  <c r="T231" i="8" s="1"/>
  <c r="V43" i="8"/>
  <c r="V47" i="8" s="1"/>
  <c r="R43" i="8"/>
  <c r="R47" i="8" s="1"/>
  <c r="R71" i="8" s="1"/>
  <c r="R156" i="8"/>
  <c r="Z71" i="8"/>
  <c r="S43" i="8"/>
  <c r="S47" i="8" s="1"/>
  <c r="S71" i="8" s="1"/>
  <c r="O115" i="8"/>
  <c r="Z230" i="8"/>
  <c r="Z231" i="8" s="1"/>
  <c r="Q71" i="8"/>
  <c r="Q230" i="8"/>
  <c r="Q231" i="8" s="1"/>
  <c r="I27" i="7"/>
  <c r="O236" i="7"/>
  <c r="S236" i="7"/>
  <c r="W236" i="7"/>
  <c r="E27" i="7"/>
  <c r="X8" i="7"/>
  <c r="AO69" i="7"/>
  <c r="M31" i="7"/>
  <c r="M35" i="7"/>
  <c r="M46" i="7"/>
  <c r="M51" i="7"/>
  <c r="M63" i="7"/>
  <c r="P8" i="7"/>
  <c r="T8" i="7"/>
  <c r="AC57" i="7"/>
  <c r="AG57" i="7"/>
  <c r="AK57" i="7"/>
  <c r="AO65" i="7"/>
  <c r="AO66" i="7"/>
  <c r="AO68" i="7"/>
  <c r="M41" i="7"/>
  <c r="AC13" i="7"/>
  <c r="AG13" i="7"/>
  <c r="AK13" i="7"/>
  <c r="AO220" i="7"/>
  <c r="AC219" i="7"/>
  <c r="AG219" i="7"/>
  <c r="AK219" i="7"/>
  <c r="AF236" i="7"/>
  <c r="AJ236" i="7"/>
  <c r="AN236" i="7"/>
  <c r="B8" i="7"/>
  <c r="F8" i="7"/>
  <c r="J8" i="7"/>
  <c r="C8" i="7"/>
  <c r="G8" i="7"/>
  <c r="K8" i="7"/>
  <c r="D8" i="7"/>
  <c r="H8" i="7"/>
  <c r="L8" i="7"/>
  <c r="B27" i="7"/>
  <c r="F27" i="7"/>
  <c r="J27" i="7"/>
  <c r="A29" i="7"/>
  <c r="A38" i="7"/>
  <c r="B38" i="7"/>
  <c r="F38" i="7"/>
  <c r="C38" i="7"/>
  <c r="G38" i="7"/>
  <c r="K38" i="7"/>
  <c r="M39" i="7"/>
  <c r="B54" i="7"/>
  <c r="F54" i="7"/>
  <c r="J54" i="7"/>
  <c r="M61" i="7"/>
  <c r="M65" i="7"/>
  <c r="M69" i="7"/>
  <c r="AA30" i="7"/>
  <c r="AA37" i="7"/>
  <c r="AD219" i="7"/>
  <c r="AH219" i="7"/>
  <c r="AL219" i="7"/>
  <c r="AO237" i="7"/>
  <c r="AC236" i="7"/>
  <c r="AG236" i="7"/>
  <c r="AK236" i="7"/>
  <c r="G27" i="7"/>
  <c r="K27" i="7"/>
  <c r="M40" i="7"/>
  <c r="M44" i="7"/>
  <c r="M50" i="7"/>
  <c r="M55" i="7"/>
  <c r="M66" i="7"/>
  <c r="AA9" i="7"/>
  <c r="AA10" i="7"/>
  <c r="O8" i="7"/>
  <c r="S8" i="7"/>
  <c r="W8" i="7"/>
  <c r="AA12" i="7"/>
  <c r="AA50" i="7"/>
  <c r="AA52" i="7"/>
  <c r="AA53" i="7"/>
  <c r="AO4" i="7"/>
  <c r="AO11" i="7"/>
  <c r="AG8" i="7"/>
  <c r="AO12" i="7"/>
  <c r="AF54" i="7"/>
  <c r="AJ54" i="7"/>
  <c r="AN54" i="7"/>
  <c r="C29" i="7"/>
  <c r="G29" i="7"/>
  <c r="K29" i="7"/>
  <c r="D29" i="7"/>
  <c r="H29" i="7"/>
  <c r="L29" i="7"/>
  <c r="E29" i="7"/>
  <c r="I29" i="7"/>
  <c r="D38" i="7"/>
  <c r="H38" i="7"/>
  <c r="L38" i="7"/>
  <c r="E38" i="7"/>
  <c r="I38" i="7"/>
  <c r="A54" i="7"/>
  <c r="B60" i="7"/>
  <c r="F60" i="7"/>
  <c r="J60" i="7"/>
  <c r="AD8" i="7"/>
  <c r="AH8" i="7"/>
  <c r="AL8" i="7"/>
  <c r="A60" i="7"/>
  <c r="C60" i="7"/>
  <c r="G60" i="7"/>
  <c r="K60" i="7"/>
  <c r="D60" i="7"/>
  <c r="H60" i="7"/>
  <c r="L60" i="7"/>
  <c r="M62" i="7"/>
  <c r="AA18" i="7"/>
  <c r="AA23" i="7"/>
  <c r="AA56" i="7"/>
  <c r="AF13" i="7"/>
  <c r="AN13" i="7"/>
  <c r="AF27" i="7"/>
  <c r="AJ27" i="7"/>
  <c r="AO35" i="7"/>
  <c r="AO37" i="7"/>
  <c r="AL8" i="6"/>
  <c r="M91" i="6"/>
  <c r="A90" i="6"/>
  <c r="M242" i="6"/>
  <c r="A241" i="6"/>
  <c r="Q8" i="6"/>
  <c r="Y8" i="6"/>
  <c r="G38" i="6"/>
  <c r="M41" i="6"/>
  <c r="M86" i="6"/>
  <c r="M102" i="6"/>
  <c r="A133" i="6"/>
  <c r="E133" i="6"/>
  <c r="I133" i="6"/>
  <c r="AC236" i="6"/>
  <c r="AG236" i="6"/>
  <c r="AK236" i="6"/>
  <c r="F241" i="6"/>
  <c r="AJ13" i="6"/>
  <c r="C27" i="6"/>
  <c r="G27" i="6"/>
  <c r="K27" i="6"/>
  <c r="AD27" i="6"/>
  <c r="AH27" i="6"/>
  <c r="AL27" i="6"/>
  <c r="M30" i="6"/>
  <c r="AA30" i="6"/>
  <c r="D29" i="6"/>
  <c r="K29" i="6"/>
  <c r="M34" i="6"/>
  <c r="M37" i="6"/>
  <c r="AA37" i="6"/>
  <c r="AO37" i="6"/>
  <c r="B38" i="6"/>
  <c r="H38" i="6"/>
  <c r="L38" i="6"/>
  <c r="M44" i="6"/>
  <c r="M46" i="6"/>
  <c r="M64" i="6"/>
  <c r="D76" i="6"/>
  <c r="H76" i="6"/>
  <c r="L76" i="6"/>
  <c r="F76" i="6"/>
  <c r="M80" i="6"/>
  <c r="A87" i="6"/>
  <c r="E87" i="6"/>
  <c r="I87" i="6"/>
  <c r="M99" i="6"/>
  <c r="M207" i="6"/>
  <c r="A205" i="6"/>
  <c r="AD8" i="6"/>
  <c r="AH8" i="6"/>
  <c r="U8" i="6"/>
  <c r="AO14" i="6"/>
  <c r="AC13" i="6"/>
  <c r="M16" i="6"/>
  <c r="AO16" i="6"/>
  <c r="C38" i="6"/>
  <c r="D57" i="6"/>
  <c r="H57" i="6"/>
  <c r="L57" i="6"/>
  <c r="M61" i="6"/>
  <c r="E60" i="6"/>
  <c r="H90" i="6"/>
  <c r="L90" i="6"/>
  <c r="F90" i="6"/>
  <c r="D104" i="6"/>
  <c r="H104" i="6"/>
  <c r="L104" i="6"/>
  <c r="B116" i="6"/>
  <c r="F116" i="6"/>
  <c r="J116" i="6"/>
  <c r="E116" i="6"/>
  <c r="M149" i="6"/>
  <c r="M159" i="6"/>
  <c r="A157" i="6"/>
  <c r="I157" i="6"/>
  <c r="H8" i="6"/>
  <c r="AI13" i="6"/>
  <c r="M15" i="6"/>
  <c r="AO15" i="6"/>
  <c r="M18" i="6"/>
  <c r="M20" i="6"/>
  <c r="AF27" i="6"/>
  <c r="AN27" i="6"/>
  <c r="AE27" i="6"/>
  <c r="AM27" i="6"/>
  <c r="M32" i="6"/>
  <c r="M36" i="6"/>
  <c r="AO36" i="6"/>
  <c r="M40" i="6"/>
  <c r="M51" i="6"/>
  <c r="AC54" i="6"/>
  <c r="AG54" i="6"/>
  <c r="AK54" i="6"/>
  <c r="AO56" i="6"/>
  <c r="AO65" i="6"/>
  <c r="M68" i="6"/>
  <c r="I60" i="6"/>
  <c r="M78" i="6"/>
  <c r="E76" i="6"/>
  <c r="I76" i="6"/>
  <c r="M81" i="6"/>
  <c r="M84" i="6"/>
  <c r="M92" i="6"/>
  <c r="M97" i="6"/>
  <c r="M100" i="6"/>
  <c r="M105" i="6"/>
  <c r="M107" i="6"/>
  <c r="M111" i="6"/>
  <c r="M113" i="6"/>
  <c r="L116" i="6"/>
  <c r="G116" i="6"/>
  <c r="M120" i="6"/>
  <c r="M208" i="6"/>
  <c r="D8" i="6"/>
  <c r="L8" i="6"/>
  <c r="AE13" i="6"/>
  <c r="AM13" i="6"/>
  <c r="AA18" i="6"/>
  <c r="AO18" i="6"/>
  <c r="AO20" i="6"/>
  <c r="AJ27" i="6"/>
  <c r="AI27" i="6"/>
  <c r="M26" i="6"/>
  <c r="AO26" i="6"/>
  <c r="M4" i="6"/>
  <c r="AA4" i="6"/>
  <c r="AO4" i="6"/>
  <c r="M7" i="6"/>
  <c r="AO7" i="6"/>
  <c r="M9" i="6"/>
  <c r="AA9" i="6"/>
  <c r="M10" i="6"/>
  <c r="AA10" i="6"/>
  <c r="AO10" i="6"/>
  <c r="M11" i="6"/>
  <c r="AA11" i="6"/>
  <c r="AO11" i="6"/>
  <c r="M12" i="6"/>
  <c r="AA12" i="6"/>
  <c r="AO12" i="6"/>
  <c r="D13" i="6"/>
  <c r="H13" i="6"/>
  <c r="L13" i="6"/>
  <c r="M19" i="6"/>
  <c r="AO19" i="6"/>
  <c r="M21" i="6"/>
  <c r="AO21" i="6"/>
  <c r="M24" i="6"/>
  <c r="AC27" i="6"/>
  <c r="AG27" i="6"/>
  <c r="AK27" i="6"/>
  <c r="D27" i="6"/>
  <c r="H27" i="6"/>
  <c r="L27" i="6"/>
  <c r="B29" i="6"/>
  <c r="F29" i="6"/>
  <c r="J29" i="6"/>
  <c r="M33" i="6"/>
  <c r="M42" i="6"/>
  <c r="M45" i="6"/>
  <c r="B54" i="6"/>
  <c r="F54" i="6"/>
  <c r="J54" i="6"/>
  <c r="M53" i="6"/>
  <c r="AO53" i="6"/>
  <c r="C57" i="6"/>
  <c r="G57" i="6"/>
  <c r="K57" i="6"/>
  <c r="M63" i="6"/>
  <c r="M66" i="6"/>
  <c r="AO66" i="6"/>
  <c r="C76" i="6"/>
  <c r="G76" i="6"/>
  <c r="K76" i="6"/>
  <c r="M82" i="6"/>
  <c r="C87" i="6"/>
  <c r="G87" i="6"/>
  <c r="K87" i="6"/>
  <c r="M98" i="6"/>
  <c r="M117" i="6"/>
  <c r="A116" i="6"/>
  <c r="A129" i="6"/>
  <c r="E129" i="6"/>
  <c r="I129" i="6"/>
  <c r="M144" i="6"/>
  <c r="G178" i="6"/>
  <c r="K178" i="6"/>
  <c r="D236" i="6"/>
  <c r="H236" i="6"/>
  <c r="L236" i="6"/>
  <c r="M128" i="6"/>
  <c r="M151" i="6"/>
  <c r="D157" i="6"/>
  <c r="H157" i="6"/>
  <c r="L157" i="6"/>
  <c r="M160" i="6"/>
  <c r="A172" i="6"/>
  <c r="A178" i="6"/>
  <c r="I178" i="6"/>
  <c r="G187" i="6"/>
  <c r="M112" i="6"/>
  <c r="M126" i="6"/>
  <c r="D129" i="6"/>
  <c r="H129" i="6"/>
  <c r="L129" i="6"/>
  <c r="F133" i="6"/>
  <c r="J133" i="6"/>
  <c r="M136" i="6"/>
  <c r="A138" i="6"/>
  <c r="I138" i="6"/>
  <c r="H146" i="6"/>
  <c r="L146" i="6"/>
  <c r="F150" i="6"/>
  <c r="M152" i="6"/>
  <c r="E150" i="6"/>
  <c r="I150" i="6"/>
  <c r="E157" i="6"/>
  <c r="M161" i="6"/>
  <c r="M167" i="6"/>
  <c r="M171" i="6"/>
  <c r="F172" i="6"/>
  <c r="L172" i="6"/>
  <c r="B209" i="6"/>
  <c r="C182" i="6"/>
  <c r="G182" i="6"/>
  <c r="K182" i="6"/>
  <c r="D205" i="6"/>
  <c r="H205" i="6"/>
  <c r="L205" i="6"/>
  <c r="M216" i="6"/>
  <c r="A214" i="6"/>
  <c r="AO221" i="6"/>
  <c r="M225" i="6"/>
  <c r="B129" i="6"/>
  <c r="F129" i="6"/>
  <c r="J129" i="6"/>
  <c r="M132" i="6"/>
  <c r="M142" i="6"/>
  <c r="C146" i="6"/>
  <c r="M148" i="6"/>
  <c r="C150" i="6"/>
  <c r="G150" i="6"/>
  <c r="K150" i="6"/>
  <c r="C164" i="6"/>
  <c r="G164" i="6"/>
  <c r="K164" i="6"/>
  <c r="M166" i="6"/>
  <c r="M168" i="6"/>
  <c r="M170" i="6"/>
  <c r="A193" i="6"/>
  <c r="E193" i="6"/>
  <c r="I193" i="6"/>
  <c r="C223" i="6"/>
  <c r="G223" i="6"/>
  <c r="K223" i="6"/>
  <c r="M228" i="6"/>
  <c r="P236" i="6"/>
  <c r="T236" i="6"/>
  <c r="X236" i="6"/>
  <c r="AD236" i="6"/>
  <c r="AL236" i="6"/>
  <c r="B241" i="6"/>
  <c r="J241" i="6"/>
  <c r="M244" i="6"/>
  <c r="M206" i="6"/>
  <c r="M205" i="6" s="1"/>
  <c r="A209" i="6"/>
  <c r="E209" i="6"/>
  <c r="I209" i="6"/>
  <c r="B227" i="6"/>
  <c r="F227" i="6"/>
  <c r="J227" i="6"/>
  <c r="C236" i="6"/>
  <c r="G236" i="6"/>
  <c r="K236" i="6"/>
  <c r="D241" i="6"/>
  <c r="H241" i="6"/>
  <c r="L241" i="6"/>
  <c r="AO38" i="5"/>
  <c r="AO27" i="5"/>
  <c r="F156" i="4"/>
  <c r="F115" i="4"/>
  <c r="M133" i="4"/>
  <c r="L115" i="4"/>
  <c r="E115" i="4"/>
  <c r="AH6" i="4"/>
  <c r="A43" i="4"/>
  <c r="A47" i="4" s="1"/>
  <c r="A156" i="4"/>
  <c r="M241" i="4"/>
  <c r="I115" i="4"/>
  <c r="G115" i="4"/>
  <c r="M27" i="4"/>
  <c r="AO8" i="4"/>
  <c r="AD6" i="4"/>
  <c r="H156" i="4"/>
  <c r="AO236" i="4"/>
  <c r="E156" i="4"/>
  <c r="B156" i="4"/>
  <c r="M146" i="4"/>
  <c r="M138" i="4"/>
  <c r="D115" i="4"/>
  <c r="C115" i="4"/>
  <c r="M150" i="4"/>
  <c r="AO54" i="4"/>
  <c r="B75" i="4"/>
  <c r="I43" i="4"/>
  <c r="I47" i="4" s="1"/>
  <c r="C156" i="4"/>
  <c r="M236" i="4"/>
  <c r="D156" i="4"/>
  <c r="M116" i="4"/>
  <c r="M8" i="4"/>
  <c r="L156" i="4"/>
  <c r="K156" i="4"/>
  <c r="M54" i="4"/>
  <c r="M60" i="4"/>
  <c r="J156" i="4"/>
  <c r="G156" i="4"/>
  <c r="M104" i="4"/>
  <c r="M76" i="4"/>
  <c r="B8" i="5"/>
  <c r="F8" i="5"/>
  <c r="J8" i="5"/>
  <c r="E8" i="5"/>
  <c r="M31" i="5"/>
  <c r="M42" i="5"/>
  <c r="M46" i="5"/>
  <c r="M50" i="5"/>
  <c r="M110" i="5"/>
  <c r="M186" i="5"/>
  <c r="M190" i="5"/>
  <c r="M244" i="5"/>
  <c r="AO236" i="5"/>
  <c r="AJ43" i="5"/>
  <c r="AJ47" i="5" s="1"/>
  <c r="AO29" i="5"/>
  <c r="H8" i="5"/>
  <c r="L8" i="5"/>
  <c r="AO8" i="5"/>
  <c r="AO54" i="5"/>
  <c r="M20" i="5"/>
  <c r="B29" i="5"/>
  <c r="M36" i="5"/>
  <c r="M39" i="5"/>
  <c r="M67" i="5"/>
  <c r="A133" i="5"/>
  <c r="M176" i="5"/>
  <c r="A182" i="5"/>
  <c r="M198" i="5"/>
  <c r="M202" i="5"/>
  <c r="M217" i="5"/>
  <c r="M225" i="5"/>
  <c r="D241" i="5"/>
  <c r="M9" i="5"/>
  <c r="M10" i="5"/>
  <c r="M11" i="5"/>
  <c r="M12" i="5"/>
  <c r="D13" i="5"/>
  <c r="M21" i="5"/>
  <c r="M25" i="5"/>
  <c r="C29" i="5"/>
  <c r="M33" i="5"/>
  <c r="M37" i="5"/>
  <c r="B38" i="5"/>
  <c r="M40" i="5"/>
  <c r="M44" i="5"/>
  <c r="M52" i="5"/>
  <c r="M96" i="5"/>
  <c r="D104" i="5"/>
  <c r="M108" i="5"/>
  <c r="M119" i="5"/>
  <c r="M127" i="5"/>
  <c r="B129" i="5"/>
  <c r="M131" i="5"/>
  <c r="B133" i="5"/>
  <c r="M135" i="5"/>
  <c r="M139" i="5"/>
  <c r="D157" i="5"/>
  <c r="M161" i="5"/>
  <c r="A164" i="5"/>
  <c r="A172" i="5"/>
  <c r="E172" i="5"/>
  <c r="M177" i="5"/>
  <c r="M181" i="5"/>
  <c r="M184" i="5"/>
  <c r="A187" i="5"/>
  <c r="E187" i="5"/>
  <c r="M192" i="5"/>
  <c r="M195" i="5"/>
  <c r="B205" i="5"/>
  <c r="B209" i="5"/>
  <c r="C219" i="5"/>
  <c r="C223" i="5"/>
  <c r="M246" i="5"/>
  <c r="M16" i="5"/>
  <c r="M24" i="5"/>
  <c r="E38" i="5"/>
  <c r="M51" i="5"/>
  <c r="M63" i="5"/>
  <c r="M79" i="5"/>
  <c r="M99" i="5"/>
  <c r="M107" i="5"/>
  <c r="M122" i="5"/>
  <c r="E133" i="5"/>
  <c r="M142" i="5"/>
  <c r="C150" i="5"/>
  <c r="E182" i="5"/>
  <c r="M7" i="5"/>
  <c r="M14" i="5"/>
  <c r="E13" i="5"/>
  <c r="I13" i="5"/>
  <c r="M18" i="5"/>
  <c r="M26" i="5"/>
  <c r="M30" i="5"/>
  <c r="M34" i="5"/>
  <c r="C38" i="5"/>
  <c r="G38" i="5"/>
  <c r="K38" i="5"/>
  <c r="M41" i="5"/>
  <c r="M45" i="5"/>
  <c r="M53" i="5"/>
  <c r="M65" i="5"/>
  <c r="M69" i="5"/>
  <c r="M81" i="5"/>
  <c r="M85" i="5"/>
  <c r="B87" i="5"/>
  <c r="M89" i="5"/>
  <c r="M93" i="5"/>
  <c r="M97" i="5"/>
  <c r="M101" i="5"/>
  <c r="M120" i="5"/>
  <c r="M128" i="5"/>
  <c r="C129" i="5"/>
  <c r="M132" i="5"/>
  <c r="M136" i="5"/>
  <c r="M140" i="5"/>
  <c r="A157" i="5"/>
  <c r="M166" i="5"/>
  <c r="M170" i="5"/>
  <c r="D178" i="5"/>
  <c r="L178" i="5"/>
  <c r="M196" i="5"/>
  <c r="M200" i="5"/>
  <c r="M204" i="5"/>
  <c r="C209" i="5"/>
  <c r="M212" i="5"/>
  <c r="H227" i="5"/>
  <c r="M239" i="5"/>
  <c r="F13" i="5"/>
  <c r="J13" i="5"/>
  <c r="H38" i="5"/>
  <c r="L38" i="5"/>
  <c r="J60" i="5"/>
  <c r="G150" i="5"/>
  <c r="K150" i="5"/>
  <c r="H172" i="5"/>
  <c r="L172" i="5"/>
  <c r="D223" i="5"/>
  <c r="H223" i="5"/>
  <c r="L223" i="5"/>
  <c r="G13" i="5"/>
  <c r="K13" i="5"/>
  <c r="F29" i="5"/>
  <c r="J29" i="5"/>
  <c r="I38" i="5"/>
  <c r="G129" i="5"/>
  <c r="K129" i="5"/>
  <c r="L157" i="5"/>
  <c r="I172" i="5"/>
  <c r="F219" i="5"/>
  <c r="J219" i="5"/>
  <c r="H241" i="5"/>
  <c r="J38" i="5"/>
  <c r="H87" i="5"/>
  <c r="L87" i="5"/>
  <c r="H129" i="5"/>
  <c r="L129" i="5"/>
  <c r="F138" i="5"/>
  <c r="F205" i="5"/>
  <c r="J205" i="5"/>
  <c r="F209" i="5"/>
  <c r="J209" i="5"/>
  <c r="G219" i="5"/>
  <c r="K219" i="5"/>
  <c r="G223" i="5"/>
  <c r="K223" i="5"/>
  <c r="E157" i="5"/>
  <c r="I157" i="5"/>
  <c r="G182" i="5"/>
  <c r="K182" i="5"/>
  <c r="B227" i="5"/>
  <c r="F227" i="5"/>
  <c r="J227" i="5"/>
  <c r="B104" i="5"/>
  <c r="F76" i="5"/>
  <c r="F104" i="5"/>
  <c r="B214" i="5"/>
  <c r="B76" i="5"/>
  <c r="C90" i="5"/>
  <c r="G90" i="5"/>
  <c r="K90" i="5"/>
  <c r="H133" i="5"/>
  <c r="J104" i="5"/>
  <c r="E164" i="5"/>
  <c r="F214" i="5"/>
  <c r="D29" i="5"/>
  <c r="G29" i="5"/>
  <c r="K29" i="5"/>
  <c r="B57" i="5"/>
  <c r="F57" i="5"/>
  <c r="J57" i="5"/>
  <c r="C60" i="5"/>
  <c r="G60" i="5"/>
  <c r="K60" i="5"/>
  <c r="A219" i="5"/>
  <c r="E219" i="5"/>
  <c r="A29" i="5"/>
  <c r="E29" i="5"/>
  <c r="I29" i="5"/>
  <c r="E27" i="5"/>
  <c r="I27" i="5"/>
  <c r="B54" i="5"/>
  <c r="F54" i="5"/>
  <c r="J54" i="5"/>
  <c r="A150" i="5"/>
  <c r="E150" i="5"/>
  <c r="I150" i="5"/>
  <c r="D182" i="5"/>
  <c r="D214" i="5"/>
  <c r="H214" i="5"/>
  <c r="L214" i="5"/>
  <c r="E223" i="5"/>
  <c r="I223" i="5"/>
  <c r="E227" i="5"/>
  <c r="I227" i="5"/>
  <c r="C227" i="5"/>
  <c r="G227" i="5"/>
  <c r="K227" i="5"/>
  <c r="C178" i="5"/>
  <c r="A214" i="5"/>
  <c r="E214" i="5"/>
  <c r="I214" i="5"/>
  <c r="C8" i="5"/>
  <c r="B27" i="5"/>
  <c r="F27" i="5"/>
  <c r="J27" i="5"/>
  <c r="C27" i="5"/>
  <c r="G27" i="5"/>
  <c r="K27" i="5"/>
  <c r="A38" i="5"/>
  <c r="E54" i="5"/>
  <c r="I54" i="5"/>
  <c r="A57" i="5"/>
  <c r="E57" i="5"/>
  <c r="I57" i="5"/>
  <c r="H104" i="5"/>
  <c r="L104" i="5"/>
  <c r="I164" i="5"/>
  <c r="K8" i="5"/>
  <c r="A13" i="5"/>
  <c r="H13" i="5"/>
  <c r="L13" i="5"/>
  <c r="D27" i="5"/>
  <c r="H27" i="5"/>
  <c r="L27" i="5"/>
  <c r="C54" i="5"/>
  <c r="G54" i="5"/>
  <c r="K54" i="5"/>
  <c r="J76" i="5"/>
  <c r="F87" i="5"/>
  <c r="J87" i="5"/>
  <c r="E87" i="5"/>
  <c r="I87" i="5"/>
  <c r="B90" i="5"/>
  <c r="F90" i="5"/>
  <c r="J90" i="5"/>
  <c r="G8" i="5"/>
  <c r="H29" i="5"/>
  <c r="L29" i="5"/>
  <c r="D54" i="5"/>
  <c r="H54" i="5"/>
  <c r="L54" i="5"/>
  <c r="F60" i="5"/>
  <c r="G87" i="5"/>
  <c r="K87" i="5"/>
  <c r="I129" i="5"/>
  <c r="C133" i="5"/>
  <c r="K133" i="5"/>
  <c r="A146" i="5"/>
  <c r="E146" i="5"/>
  <c r="I146" i="5"/>
  <c r="H157" i="5"/>
  <c r="H178" i="5"/>
  <c r="G178" i="5"/>
  <c r="K178" i="5"/>
  <c r="J214" i="5"/>
  <c r="A104" i="5"/>
  <c r="E104" i="5"/>
  <c r="I104" i="5"/>
  <c r="A116" i="5"/>
  <c r="I116" i="5"/>
  <c r="F129" i="5"/>
  <c r="J129" i="5"/>
  <c r="I133" i="5"/>
  <c r="A138" i="5"/>
  <c r="I138" i="5"/>
  <c r="G146" i="5"/>
  <c r="K146" i="5"/>
  <c r="F146" i="5"/>
  <c r="I182" i="5"/>
  <c r="F133" i="5"/>
  <c r="J133" i="5"/>
  <c r="E138" i="5"/>
  <c r="B138" i="5"/>
  <c r="J138" i="5"/>
  <c r="F157" i="5"/>
  <c r="B164" i="5"/>
  <c r="J164" i="5"/>
  <c r="H187" i="5"/>
  <c r="L187" i="5"/>
  <c r="I219" i="5"/>
  <c r="F178" i="5"/>
  <c r="J178" i="5"/>
  <c r="B182" i="5"/>
  <c r="F182" i="5"/>
  <c r="J182" i="5"/>
  <c r="H182" i="5"/>
  <c r="L182" i="5"/>
  <c r="B193" i="5"/>
  <c r="F193" i="5"/>
  <c r="J193" i="5"/>
  <c r="C193" i="5"/>
  <c r="G193" i="5"/>
  <c r="K193" i="5"/>
  <c r="D172" i="5"/>
  <c r="I187" i="5"/>
  <c r="C187" i="5"/>
  <c r="G187" i="5"/>
  <c r="K187" i="5"/>
  <c r="M228" i="5"/>
  <c r="A227" i="5"/>
  <c r="A236" i="5"/>
  <c r="I236" i="5"/>
  <c r="L193" i="5"/>
  <c r="G209" i="5"/>
  <c r="K209" i="5"/>
  <c r="D227" i="5"/>
  <c r="L227" i="5"/>
  <c r="B236" i="5"/>
  <c r="F236" i="5"/>
  <c r="J236" i="5"/>
  <c r="A205" i="5"/>
  <c r="E205" i="5"/>
  <c r="I205" i="5"/>
  <c r="G205" i="5"/>
  <c r="A209" i="5"/>
  <c r="E209" i="5"/>
  <c r="I209" i="5"/>
  <c r="F223" i="5"/>
  <c r="J223" i="5"/>
  <c r="L241" i="5"/>
  <c r="C241" i="5"/>
  <c r="G241" i="5"/>
  <c r="K241" i="5"/>
  <c r="J241" i="5"/>
  <c r="M32" i="5"/>
  <c r="M152" i="5"/>
  <c r="A8" i="5"/>
  <c r="A27" i="5"/>
  <c r="A54" i="5"/>
  <c r="C57" i="5"/>
  <c r="G57" i="5"/>
  <c r="K57" i="5"/>
  <c r="M56" i="5"/>
  <c r="D60" i="5"/>
  <c r="H60" i="5"/>
  <c r="L60" i="5"/>
  <c r="M62" i="5"/>
  <c r="M66" i="5"/>
  <c r="M80" i="5"/>
  <c r="M83" i="5"/>
  <c r="M118" i="5"/>
  <c r="M124" i="5"/>
  <c r="F150" i="5"/>
  <c r="M154" i="5"/>
  <c r="D57" i="5"/>
  <c r="H57" i="5"/>
  <c r="L57" i="5"/>
  <c r="A60" i="5"/>
  <c r="E60" i="5"/>
  <c r="I60" i="5"/>
  <c r="M61" i="5"/>
  <c r="A76" i="5"/>
  <c r="E76" i="5"/>
  <c r="I76" i="5"/>
  <c r="M77" i="5"/>
  <c r="M84" i="5"/>
  <c r="M95" i="5"/>
  <c r="B116" i="5"/>
  <c r="F116" i="5"/>
  <c r="J116" i="5"/>
  <c r="M126" i="5"/>
  <c r="M144" i="5"/>
  <c r="M55" i="5"/>
  <c r="M64" i="5"/>
  <c r="C76" i="5"/>
  <c r="G76" i="5"/>
  <c r="K76" i="5"/>
  <c r="M106" i="5"/>
  <c r="M112" i="5"/>
  <c r="D116" i="5"/>
  <c r="H116" i="5"/>
  <c r="L116" i="5"/>
  <c r="M148" i="5"/>
  <c r="M173" i="5"/>
  <c r="D76" i="5"/>
  <c r="H76" i="5"/>
  <c r="L76" i="5"/>
  <c r="M78" i="5"/>
  <c r="M86" i="5"/>
  <c r="A87" i="5"/>
  <c r="M94" i="5"/>
  <c r="M102" i="5"/>
  <c r="M105" i="5"/>
  <c r="M113" i="5"/>
  <c r="M117" i="5"/>
  <c r="M125" i="5"/>
  <c r="M145" i="5"/>
  <c r="D146" i="5"/>
  <c r="H146" i="5"/>
  <c r="L146" i="5"/>
  <c r="M149" i="5"/>
  <c r="D150" i="5"/>
  <c r="H150" i="5"/>
  <c r="L150" i="5"/>
  <c r="M153" i="5"/>
  <c r="C164" i="5"/>
  <c r="G164" i="5"/>
  <c r="K164" i="5"/>
  <c r="M213" i="5"/>
  <c r="M88" i="5"/>
  <c r="D90" i="5"/>
  <c r="H90" i="5"/>
  <c r="L90" i="5"/>
  <c r="M92" i="5"/>
  <c r="M100" i="5"/>
  <c r="M111" i="5"/>
  <c r="M123" i="5"/>
  <c r="C138" i="5"/>
  <c r="G138" i="5"/>
  <c r="K138" i="5"/>
  <c r="M143" i="5"/>
  <c r="M147" i="5"/>
  <c r="M151" i="5"/>
  <c r="M68" i="5"/>
  <c r="M82" i="5"/>
  <c r="A90" i="5"/>
  <c r="E90" i="5"/>
  <c r="I90" i="5"/>
  <c r="M91" i="5"/>
  <c r="M98" i="5"/>
  <c r="C104" i="5"/>
  <c r="G104" i="5"/>
  <c r="K104" i="5"/>
  <c r="M109" i="5"/>
  <c r="C116" i="5"/>
  <c r="G116" i="5"/>
  <c r="K116" i="5"/>
  <c r="M121" i="5"/>
  <c r="M130" i="5"/>
  <c r="M134" i="5"/>
  <c r="M137" i="5"/>
  <c r="D138" i="5"/>
  <c r="H138" i="5"/>
  <c r="L138" i="5"/>
  <c r="M141" i="5"/>
  <c r="M158" i="5"/>
  <c r="M159" i="5"/>
  <c r="M165" i="5"/>
  <c r="M168" i="5"/>
  <c r="M175" i="5"/>
  <c r="M183" i="5"/>
  <c r="A193" i="5"/>
  <c r="E193" i="5"/>
  <c r="I193" i="5"/>
  <c r="M194" i="5"/>
  <c r="B157" i="5"/>
  <c r="J157" i="5"/>
  <c r="M160" i="5"/>
  <c r="F164" i="5"/>
  <c r="M169" i="5"/>
  <c r="M180" i="5"/>
  <c r="M185" i="5"/>
  <c r="M188" i="5"/>
  <c r="M207" i="5"/>
  <c r="M211" i="5"/>
  <c r="M171" i="5"/>
  <c r="B172" i="5"/>
  <c r="F172" i="5"/>
  <c r="J172" i="5"/>
  <c r="M174" i="5"/>
  <c r="M215" i="5"/>
  <c r="M224" i="5"/>
  <c r="M226" i="5"/>
  <c r="C157" i="5"/>
  <c r="G157" i="5"/>
  <c r="K157" i="5"/>
  <c r="M162" i="5"/>
  <c r="D164" i="5"/>
  <c r="H164" i="5"/>
  <c r="L164" i="5"/>
  <c r="M167" i="5"/>
  <c r="C172" i="5"/>
  <c r="G172" i="5"/>
  <c r="K172" i="5"/>
  <c r="A178" i="5"/>
  <c r="E178" i="5"/>
  <c r="I178" i="5"/>
  <c r="M179" i="5"/>
  <c r="D187" i="5"/>
  <c r="C205" i="5"/>
  <c r="K205" i="5"/>
  <c r="M210" i="5"/>
  <c r="D209" i="5"/>
  <c r="H209" i="5"/>
  <c r="L209" i="5"/>
  <c r="M221" i="5"/>
  <c r="B187" i="5"/>
  <c r="F187" i="5"/>
  <c r="J187" i="5"/>
  <c r="M189" i="5"/>
  <c r="M191" i="5"/>
  <c r="M199" i="5"/>
  <c r="M201" i="5"/>
  <c r="M203" i="5"/>
  <c r="D205" i="5"/>
  <c r="H205" i="5"/>
  <c r="L205" i="5"/>
  <c r="M208" i="5"/>
  <c r="D219" i="5"/>
  <c r="H219" i="5"/>
  <c r="L219" i="5"/>
  <c r="M222" i="5"/>
  <c r="M238" i="5"/>
  <c r="M197" i="5"/>
  <c r="M206" i="5"/>
  <c r="M216" i="5"/>
  <c r="M220" i="5"/>
  <c r="M229" i="5"/>
  <c r="M245" i="5"/>
  <c r="B241" i="5"/>
  <c r="F241" i="5"/>
  <c r="M237" i="5"/>
  <c r="A241" i="5"/>
  <c r="E241" i="5"/>
  <c r="I241" i="5"/>
  <c r="M242" i="5"/>
  <c r="M243" i="5"/>
  <c r="M247" i="5"/>
  <c r="AO9" i="6"/>
  <c r="M39" i="6"/>
  <c r="M52" i="6"/>
  <c r="O8" i="6"/>
  <c r="L54" i="6"/>
  <c r="AD54" i="6"/>
  <c r="AH54" i="6"/>
  <c r="AL54" i="6"/>
  <c r="B57" i="6"/>
  <c r="F57" i="6"/>
  <c r="J57" i="6"/>
  <c r="M56" i="6"/>
  <c r="A60" i="6"/>
  <c r="C60" i="6"/>
  <c r="G60" i="6"/>
  <c r="K60" i="6"/>
  <c r="M65" i="6"/>
  <c r="AO68" i="6"/>
  <c r="A76" i="6"/>
  <c r="M83" i="6"/>
  <c r="AO24" i="6"/>
  <c r="A27" i="6"/>
  <c r="A13" i="6"/>
  <c r="M67" i="6"/>
  <c r="M77" i="6"/>
  <c r="M85" i="6"/>
  <c r="M89" i="6"/>
  <c r="C90" i="6"/>
  <c r="G90" i="6"/>
  <c r="K90" i="6"/>
  <c r="AO51" i="6"/>
  <c r="AO238" i="6"/>
  <c r="M88" i="6"/>
  <c r="M55" i="6"/>
  <c r="M106" i="6"/>
  <c r="M119" i="6"/>
  <c r="M121" i="6"/>
  <c r="M123" i="6"/>
  <c r="M125" i="6"/>
  <c r="M127" i="6"/>
  <c r="M135" i="6"/>
  <c r="M137" i="6"/>
  <c r="C138" i="6"/>
  <c r="G138" i="6"/>
  <c r="K138" i="6"/>
  <c r="A150" i="6"/>
  <c r="M93" i="6"/>
  <c r="M101" i="6"/>
  <c r="B104" i="6"/>
  <c r="F104" i="6"/>
  <c r="J104" i="6"/>
  <c r="M108" i="6"/>
  <c r="M95" i="6"/>
  <c r="M109" i="6"/>
  <c r="M110" i="6"/>
  <c r="M131" i="6"/>
  <c r="M139" i="6"/>
  <c r="M141" i="6"/>
  <c r="A104" i="6"/>
  <c r="M130" i="6"/>
  <c r="M134" i="6"/>
  <c r="G146" i="6"/>
  <c r="K146" i="6"/>
  <c r="M143" i="6"/>
  <c r="M158" i="6"/>
  <c r="M162" i="6"/>
  <c r="M169" i="6"/>
  <c r="C172" i="6"/>
  <c r="G172" i="6"/>
  <c r="K172" i="6"/>
  <c r="D187" i="6"/>
  <c r="H187" i="6"/>
  <c r="L187" i="6"/>
  <c r="M145" i="6"/>
  <c r="M147" i="6"/>
  <c r="M153" i="6"/>
  <c r="B178" i="6"/>
  <c r="F178" i="6"/>
  <c r="J178" i="6"/>
  <c r="D227" i="6"/>
  <c r="H227" i="6"/>
  <c r="L227" i="6"/>
  <c r="M229" i="6"/>
  <c r="M165" i="6"/>
  <c r="B187" i="6"/>
  <c r="F187" i="6"/>
  <c r="J187" i="6"/>
  <c r="C193" i="6"/>
  <c r="G193" i="6"/>
  <c r="K193" i="6"/>
  <c r="C209" i="6"/>
  <c r="G209" i="6"/>
  <c r="K209" i="6"/>
  <c r="M220" i="6"/>
  <c r="M222" i="6"/>
  <c r="A223" i="6"/>
  <c r="E223" i="6"/>
  <c r="I223" i="6"/>
  <c r="D178" i="6"/>
  <c r="H178" i="6"/>
  <c r="L178" i="6"/>
  <c r="M215" i="6"/>
  <c r="M217" i="6"/>
  <c r="AA217" i="6"/>
  <c r="AO217" i="6"/>
  <c r="B219" i="6"/>
  <c r="F219" i="6"/>
  <c r="J219" i="6"/>
  <c r="M221" i="6"/>
  <c r="M239" i="6"/>
  <c r="AO239" i="6"/>
  <c r="M243" i="6"/>
  <c r="M245" i="6"/>
  <c r="M247" i="6"/>
  <c r="M224" i="6"/>
  <c r="M237" i="6"/>
  <c r="AA237" i="6"/>
  <c r="AO7" i="7"/>
  <c r="AO9" i="7"/>
  <c r="AO10" i="7"/>
  <c r="AO14" i="7"/>
  <c r="AO15" i="7"/>
  <c r="AO23" i="7"/>
  <c r="AO24" i="7"/>
  <c r="AO36" i="7"/>
  <c r="AO50" i="7"/>
  <c r="AO56" i="7"/>
  <c r="AO67" i="7"/>
  <c r="AO53" i="7"/>
  <c r="AC27" i="7"/>
  <c r="AC54" i="7"/>
  <c r="AA11" i="7"/>
  <c r="AO238" i="7"/>
  <c r="AO89" i="7"/>
  <c r="AO239" i="7"/>
  <c r="AO217" i="7"/>
  <c r="AO221" i="7"/>
  <c r="AO222" i="7"/>
  <c r="AA238" i="7"/>
  <c r="AA239" i="7"/>
  <c r="AA217" i="7"/>
  <c r="R236" i="7"/>
  <c r="V236" i="7"/>
  <c r="Z236" i="7"/>
  <c r="X230" i="8" l="1"/>
  <c r="BR212" i="5"/>
  <c r="BR216" i="5"/>
  <c r="BR215" i="5"/>
  <c r="AB236" i="6"/>
  <c r="BR100" i="5"/>
  <c r="BR167" i="5"/>
  <c r="BR140" i="5"/>
  <c r="DH191" i="5"/>
  <c r="BR144" i="5"/>
  <c r="BR106" i="5"/>
  <c r="DH165" i="5"/>
  <c r="BR95" i="5"/>
  <c r="DH246" i="5"/>
  <c r="BR63" i="5"/>
  <c r="DH81" i="5"/>
  <c r="BR108" i="5"/>
  <c r="DH135" i="5"/>
  <c r="DH160" i="5"/>
  <c r="BR204" i="5"/>
  <c r="DH154" i="5"/>
  <c r="DH94" i="5"/>
  <c r="BR175" i="5"/>
  <c r="DH85" i="5"/>
  <c r="BR186" i="5"/>
  <c r="DH162" i="5"/>
  <c r="DH79" i="5"/>
  <c r="BR184" i="5"/>
  <c r="BR112" i="5"/>
  <c r="BR62" i="5"/>
  <c r="BR143" i="5"/>
  <c r="DH119" i="5"/>
  <c r="BR213" i="5"/>
  <c r="BR102" i="5"/>
  <c r="DH134" i="5"/>
  <c r="DH67" i="5"/>
  <c r="DH100" i="5"/>
  <c r="DH200" i="5"/>
  <c r="BR202" i="5"/>
  <c r="DH84" i="5"/>
  <c r="BR93" i="5"/>
  <c r="DH137" i="5"/>
  <c r="BR124" i="5"/>
  <c r="DH145" i="5"/>
  <c r="BR109" i="5"/>
  <c r="BR151" i="5"/>
  <c r="DH153" i="5"/>
  <c r="BR169" i="5"/>
  <c r="BR200" i="5"/>
  <c r="BR85" i="5"/>
  <c r="DH61" i="5"/>
  <c r="DH179" i="5"/>
  <c r="DH224" i="5"/>
  <c r="BR84" i="5"/>
  <c r="BR173" i="5"/>
  <c r="BR113" i="5"/>
  <c r="BR171" i="5"/>
  <c r="BR98" i="5"/>
  <c r="DH148" i="5"/>
  <c r="DH97" i="5"/>
  <c r="DH201" i="5"/>
  <c r="BR180" i="5"/>
  <c r="DH93" i="5"/>
  <c r="BR79" i="5"/>
  <c r="BR101" i="5"/>
  <c r="DH247" i="5"/>
  <c r="BR130" i="5"/>
  <c r="BR83" i="5"/>
  <c r="BR188" i="5"/>
  <c r="BR161" i="5"/>
  <c r="BR99" i="5"/>
  <c r="DH141" i="5"/>
  <c r="BR198" i="5"/>
  <c r="BR222" i="5"/>
  <c r="BR246" i="5"/>
  <c r="BR196" i="5"/>
  <c r="BR125" i="5"/>
  <c r="BR78" i="5"/>
  <c r="DH194" i="5"/>
  <c r="BR134" i="5"/>
  <c r="BR244" i="5"/>
  <c r="DH86" i="5"/>
  <c r="DH99" i="5"/>
  <c r="DH92" i="5"/>
  <c r="DH151" i="5"/>
  <c r="DH139" i="5"/>
  <c r="DH180" i="5"/>
  <c r="BR97" i="5"/>
  <c r="DH152" i="5"/>
  <c r="DH125" i="5"/>
  <c r="BR228" i="5"/>
  <c r="DH77" i="5"/>
  <c r="DH244" i="5"/>
  <c r="BR168" i="5"/>
  <c r="BR165" i="5"/>
  <c r="BR183" i="5"/>
  <c r="DH170" i="5"/>
  <c r="BR128" i="5"/>
  <c r="BR61" i="5"/>
  <c r="BR189" i="5"/>
  <c r="DH190" i="5"/>
  <c r="BR174" i="5"/>
  <c r="DH161" i="5"/>
  <c r="BR177" i="5"/>
  <c r="DH108" i="5"/>
  <c r="DH189" i="5"/>
  <c r="BR135" i="5"/>
  <c r="BR122" i="5"/>
  <c r="DH215" i="5"/>
  <c r="BR194" i="5"/>
  <c r="BR201" i="5"/>
  <c r="BR154" i="5"/>
  <c r="DH140" i="5"/>
  <c r="BR81" i="5"/>
  <c r="DH80" i="5"/>
  <c r="BR191" i="5"/>
  <c r="BR132" i="5"/>
  <c r="BR142" i="5"/>
  <c r="BR176" i="5"/>
  <c r="BR131" i="5"/>
  <c r="BR207" i="5"/>
  <c r="BR160" i="5"/>
  <c r="EX61" i="6"/>
  <c r="ET60" i="6"/>
  <c r="ET29" i="6"/>
  <c r="ET38" i="6"/>
  <c r="AB236" i="7"/>
  <c r="BR64" i="6"/>
  <c r="BR41" i="6"/>
  <c r="DH243" i="6"/>
  <c r="BR33" i="6"/>
  <c r="BR34" i="6"/>
  <c r="BR31" i="6"/>
  <c r="BR67" i="6"/>
  <c r="DH246" i="6"/>
  <c r="BR61" i="6"/>
  <c r="BR46" i="6"/>
  <c r="DH62" i="6"/>
  <c r="BR243" i="6"/>
  <c r="BR63" i="6"/>
  <c r="DH61" i="6"/>
  <c r="DH41" i="6"/>
  <c r="DC112" i="23"/>
  <c r="DQ148" i="23"/>
  <c r="EX220" i="6"/>
  <c r="AF148" i="23"/>
  <c r="AM112" i="23"/>
  <c r="G148" i="23"/>
  <c r="G112" i="23"/>
  <c r="DS112" i="23"/>
  <c r="AF112" i="23"/>
  <c r="L112" i="23"/>
  <c r="BZ40" i="23"/>
  <c r="CA148" i="23"/>
  <c r="AQ112" i="23"/>
  <c r="Y76" i="23"/>
  <c r="BR98" i="6"/>
  <c r="BW76" i="23"/>
  <c r="BR161" i="6"/>
  <c r="BA148" i="23"/>
  <c r="DG148" i="23"/>
  <c r="AN76" i="23"/>
  <c r="BR118" i="6"/>
  <c r="CI40" i="23"/>
  <c r="U112" i="23"/>
  <c r="AP148" i="23"/>
  <c r="CR76" i="23"/>
  <c r="BR188" i="6"/>
  <c r="CI148" i="23"/>
  <c r="CM148" i="23"/>
  <c r="BJ112" i="23"/>
  <c r="CL76" i="23"/>
  <c r="BR180" i="6"/>
  <c r="BS112" i="23"/>
  <c r="V148" i="23"/>
  <c r="BP76" i="23"/>
  <c r="BR151" i="6"/>
  <c r="AK40" i="23"/>
  <c r="DH112" i="5"/>
  <c r="DN148" i="23"/>
  <c r="BY148" i="23"/>
  <c r="BH76" i="23"/>
  <c r="BR141" i="6"/>
  <c r="BE76" i="23"/>
  <c r="BR137" i="6"/>
  <c r="AI112" i="23"/>
  <c r="N112" i="23"/>
  <c r="K76" i="23"/>
  <c r="BR81" i="6"/>
  <c r="BT148" i="23"/>
  <c r="AG76" i="23"/>
  <c r="BR108" i="6"/>
  <c r="Z112" i="23"/>
  <c r="Z148" i="23"/>
  <c r="DK76" i="23"/>
  <c r="BR210" i="6"/>
  <c r="CW112" i="23"/>
  <c r="CT112" i="23"/>
  <c r="BG112" i="23"/>
  <c r="AK112" i="23"/>
  <c r="X148" i="23"/>
  <c r="DB148" i="23"/>
  <c r="CY148" i="23"/>
  <c r="CN148" i="23"/>
  <c r="DL112" i="23"/>
  <c r="CK148" i="23"/>
  <c r="CH76" i="23"/>
  <c r="BR175" i="6"/>
  <c r="BL112" i="23"/>
  <c r="AY112" i="23"/>
  <c r="R112" i="23"/>
  <c r="R148" i="23"/>
  <c r="BC76" i="23"/>
  <c r="BR135" i="6"/>
  <c r="X231" i="8"/>
  <c r="AB231" i="8" s="1"/>
  <c r="AB230" i="8"/>
  <c r="U76" i="23"/>
  <c r="BR94" i="6"/>
  <c r="AK148" i="23"/>
  <c r="DW112" i="23"/>
  <c r="Y112" i="23"/>
  <c r="AH112" i="23"/>
  <c r="AN112" i="23"/>
  <c r="AA148" i="23"/>
  <c r="BV148" i="23"/>
  <c r="DC76" i="23"/>
  <c r="BR200" i="6"/>
  <c r="CU112" i="23"/>
  <c r="CO112" i="23"/>
  <c r="CE148" i="23"/>
  <c r="BK148" i="23"/>
  <c r="AE112" i="23"/>
  <c r="AG112" i="23"/>
  <c r="DH76" i="23"/>
  <c r="BR206" i="6"/>
  <c r="DE76" i="23"/>
  <c r="BR202" i="6"/>
  <c r="CZ112" i="23"/>
  <c r="CQ112" i="23"/>
  <c r="BO76" i="23"/>
  <c r="BR149" i="6"/>
  <c r="AH76" i="23"/>
  <c r="BR109" i="6"/>
  <c r="AA76" i="23"/>
  <c r="BR100" i="6"/>
  <c r="X112" i="23"/>
  <c r="T148" i="23"/>
  <c r="AS76" i="23"/>
  <c r="BR123" i="6"/>
  <c r="W148" i="23"/>
  <c r="DW76" i="23"/>
  <c r="BR228" i="6"/>
  <c r="DU76" i="23"/>
  <c r="BR225" i="6"/>
  <c r="DJ112" i="23"/>
  <c r="CP148" i="23"/>
  <c r="BN112" i="23"/>
  <c r="DH148" i="6"/>
  <c r="BL148" i="23"/>
  <c r="BI112" i="23"/>
  <c r="AR148" i="23"/>
  <c r="AC76" i="23"/>
  <c r="BR102" i="6"/>
  <c r="Q148" i="23"/>
  <c r="AZ112" i="23"/>
  <c r="DH131" i="6"/>
  <c r="S148" i="23"/>
  <c r="AH40" i="23"/>
  <c r="CE40" i="23"/>
  <c r="DH171" i="5"/>
  <c r="K112" i="23"/>
  <c r="CF76" i="23"/>
  <c r="BR173" i="6"/>
  <c r="AX76" i="23"/>
  <c r="BR128" i="6"/>
  <c r="W112" i="23"/>
  <c r="S112" i="23"/>
  <c r="X72" i="8"/>
  <c r="AB72" i="8" s="1"/>
  <c r="AB71" i="8"/>
  <c r="BR76" i="23"/>
  <c r="BR153" i="6"/>
  <c r="CF148" i="23"/>
  <c r="AR112" i="23"/>
  <c r="DH122" i="6"/>
  <c r="N76" i="23"/>
  <c r="BR84" i="6"/>
  <c r="CR148" i="23"/>
  <c r="DF148" i="23"/>
  <c r="AU76" i="23"/>
  <c r="BR125" i="6"/>
  <c r="G76" i="23"/>
  <c r="BR77" i="6"/>
  <c r="AD76" i="23"/>
  <c r="BR105" i="6"/>
  <c r="DH148" i="23"/>
  <c r="BM76" i="23"/>
  <c r="BR147" i="6"/>
  <c r="T112" i="23"/>
  <c r="M148" i="23"/>
  <c r="AS112" i="23"/>
  <c r="AO76" i="23"/>
  <c r="BR119" i="6"/>
  <c r="DX112" i="23"/>
  <c r="CL148" i="23"/>
  <c r="CH148" i="23"/>
  <c r="BV76" i="23"/>
  <c r="BR160" i="6"/>
  <c r="BS76" i="23"/>
  <c r="BR154" i="6"/>
  <c r="AC112" i="23"/>
  <c r="DH102" i="6"/>
  <c r="V76" i="23"/>
  <c r="BR95" i="6"/>
  <c r="O112" i="23"/>
  <c r="O148" i="23"/>
  <c r="H148" i="23"/>
  <c r="BP148" i="23"/>
  <c r="BC148" i="23"/>
  <c r="AZ76" i="23"/>
  <c r="BR131" i="6"/>
  <c r="AW76" i="23"/>
  <c r="BR127" i="6"/>
  <c r="P148" i="23"/>
  <c r="DD57" i="5"/>
  <c r="DH57" i="5" s="1"/>
  <c r="DH55" i="5"/>
  <c r="AJ40" i="23"/>
  <c r="BO112" i="23"/>
  <c r="DH149" i="6"/>
  <c r="DG40" i="23"/>
  <c r="DI76" i="23"/>
  <c r="BR207" i="6"/>
  <c r="AG148" i="23"/>
  <c r="AT76" i="23"/>
  <c r="BR124" i="6"/>
  <c r="CX148" i="23"/>
  <c r="AJ76" i="23"/>
  <c r="BR111" i="6"/>
  <c r="P112" i="23"/>
  <c r="AF76" i="23"/>
  <c r="BR107" i="6"/>
  <c r="CU76" i="23"/>
  <c r="BR191" i="6"/>
  <c r="CG112" i="23"/>
  <c r="CC112" i="23"/>
  <c r="DH169" i="6"/>
  <c r="CA112" i="23"/>
  <c r="DH167" i="6"/>
  <c r="BY112" i="23"/>
  <c r="BX112" i="23"/>
  <c r="BE148" i="23"/>
  <c r="AQ76" i="23"/>
  <c r="BR121" i="6"/>
  <c r="AL112" i="23"/>
  <c r="DH113" i="6"/>
  <c r="AL148" i="23"/>
  <c r="Z76" i="23"/>
  <c r="BR99" i="6"/>
  <c r="DP148" i="23"/>
  <c r="DE148" i="23"/>
  <c r="CZ76" i="23"/>
  <c r="BR197" i="6"/>
  <c r="CW76" i="23"/>
  <c r="BR194" i="6"/>
  <c r="CM112" i="23"/>
  <c r="DH181" i="6"/>
  <c r="BQ148" i="23"/>
  <c r="X76" i="23"/>
  <c r="BR97" i="6"/>
  <c r="T76" i="23"/>
  <c r="BR93" i="6"/>
  <c r="J148" i="23"/>
  <c r="AS148" i="23"/>
  <c r="AO112" i="23"/>
  <c r="DH119" i="6"/>
  <c r="W76" i="23"/>
  <c r="BR96" i="6"/>
  <c r="DV112" i="23"/>
  <c r="DS76" i="23"/>
  <c r="BR222" i="6"/>
  <c r="DG112" i="23"/>
  <c r="DD112" i="23"/>
  <c r="DH201" i="6"/>
  <c r="DA112" i="23"/>
  <c r="DH198" i="6"/>
  <c r="BN76" i="23"/>
  <c r="BR148" i="6"/>
  <c r="BL76" i="23"/>
  <c r="BR145" i="6"/>
  <c r="BI76" i="23"/>
  <c r="BR142" i="6"/>
  <c r="BB112" i="23"/>
  <c r="R76" i="23"/>
  <c r="BR91" i="6"/>
  <c r="Q76" i="23"/>
  <c r="BR88" i="6"/>
  <c r="L148" i="23"/>
  <c r="AW112" i="23"/>
  <c r="S76" i="23"/>
  <c r="BR92" i="6"/>
  <c r="I148" i="23"/>
  <c r="CM40" i="23"/>
  <c r="CH40" i="23"/>
  <c r="DH175" i="5"/>
  <c r="DU40" i="23"/>
  <c r="AL40" i="23"/>
  <c r="DK112" i="23"/>
  <c r="AT148" i="23"/>
  <c r="AN148" i="23"/>
  <c r="DT148" i="23"/>
  <c r="AH148" i="23"/>
  <c r="CP76" i="23"/>
  <c r="BR185" i="6"/>
  <c r="H112" i="23"/>
  <c r="BQ76" i="23"/>
  <c r="BR152" i="6"/>
  <c r="DO148" i="23"/>
  <c r="DT112" i="23"/>
  <c r="DH224" i="6"/>
  <c r="CO76" i="23"/>
  <c r="BR184" i="6"/>
  <c r="CE112" i="23"/>
  <c r="AU148" i="23"/>
  <c r="AM76" i="23"/>
  <c r="BR117" i="6"/>
  <c r="AI148" i="23"/>
  <c r="CI112" i="23"/>
  <c r="DH176" i="6"/>
  <c r="DQ112" i="23"/>
  <c r="CT76" i="23"/>
  <c r="BR190" i="6"/>
  <c r="CJ112" i="23"/>
  <c r="BO148" i="23"/>
  <c r="BJ76" i="23"/>
  <c r="BR143" i="6"/>
  <c r="BJ148" i="23"/>
  <c r="BG76" i="23"/>
  <c r="BR140" i="6"/>
  <c r="BD112" i="23"/>
  <c r="M76" i="23"/>
  <c r="BR83" i="6"/>
  <c r="AO148" i="23"/>
  <c r="DL76" i="23"/>
  <c r="BR211" i="6"/>
  <c r="CX112" i="23"/>
  <c r="DH195" i="6"/>
  <c r="Q112" i="23"/>
  <c r="H76" i="23"/>
  <c r="BR78" i="6"/>
  <c r="CB148" i="23"/>
  <c r="AZ148" i="23"/>
  <c r="AW148" i="23"/>
  <c r="P76" i="23"/>
  <c r="BR86" i="6"/>
  <c r="CB40" i="23"/>
  <c r="DR40" i="23"/>
  <c r="DH221" i="5"/>
  <c r="DL40" i="23"/>
  <c r="CG40" i="23"/>
  <c r="DH174" i="5"/>
  <c r="DR76" i="23"/>
  <c r="BR221" i="6"/>
  <c r="CS76" i="23"/>
  <c r="BR189" i="6"/>
  <c r="DE112" i="23"/>
  <c r="DU112" i="23"/>
  <c r="AJ112" i="23"/>
  <c r="DF40" i="23"/>
  <c r="DF76" i="23"/>
  <c r="BR203" i="6"/>
  <c r="BU76" i="23"/>
  <c r="BR159" i="6"/>
  <c r="AP76" i="23"/>
  <c r="BR120" i="6"/>
  <c r="DR112" i="23"/>
  <c r="DH221" i="6"/>
  <c r="DI148" i="23"/>
  <c r="DC148" i="23"/>
  <c r="CG76" i="23"/>
  <c r="BR174" i="6"/>
  <c r="BR112" i="23"/>
  <c r="DH153" i="6"/>
  <c r="BH148" i="23"/>
  <c r="AQ148" i="23"/>
  <c r="AE148" i="23"/>
  <c r="CD112" i="23"/>
  <c r="CD148" i="23"/>
  <c r="BW148" i="23"/>
  <c r="BF148" i="23"/>
  <c r="DK148" i="23"/>
  <c r="CZ148" i="23"/>
  <c r="CW148" i="23"/>
  <c r="CQ76" i="23"/>
  <c r="BR186" i="6"/>
  <c r="CF112" i="23"/>
  <c r="DH173" i="6"/>
  <c r="BM148" i="23"/>
  <c r="BD148" i="23"/>
  <c r="DO112" i="23"/>
  <c r="DM112" i="23"/>
  <c r="CY112" i="23"/>
  <c r="DL148" i="23"/>
  <c r="DJ76" i="23"/>
  <c r="BR208" i="6"/>
  <c r="CV112" i="23"/>
  <c r="BS148" i="23"/>
  <c r="BB148" i="23"/>
  <c r="O76" i="23"/>
  <c r="BR85" i="6"/>
  <c r="L76" i="23"/>
  <c r="BR82" i="6"/>
  <c r="I76" i="23"/>
  <c r="BR79" i="6"/>
  <c r="DV40" i="23"/>
  <c r="CC148" i="23"/>
  <c r="DH112" i="23"/>
  <c r="CY76" i="23"/>
  <c r="BR196" i="6"/>
  <c r="BR148" i="23"/>
  <c r="BF76" i="23"/>
  <c r="BR139" i="6"/>
  <c r="CS148" i="23"/>
  <c r="CK76" i="23"/>
  <c r="BR179" i="6"/>
  <c r="AC148" i="23"/>
  <c r="CB76" i="23"/>
  <c r="BR168" i="6"/>
  <c r="V112" i="23"/>
  <c r="DR148" i="23"/>
  <c r="EX221" i="6"/>
  <c r="CC76" i="23"/>
  <c r="BR169" i="6"/>
  <c r="AL76" i="23"/>
  <c r="BR113" i="6"/>
  <c r="AB148" i="23"/>
  <c r="BW112" i="23"/>
  <c r="DH161" i="6"/>
  <c r="BT112" i="23"/>
  <c r="DH158" i="6"/>
  <c r="DP112" i="23"/>
  <c r="BU148" i="23"/>
  <c r="BD76" i="23"/>
  <c r="BR136" i="6"/>
  <c r="AX112" i="23"/>
  <c r="M112" i="23"/>
  <c r="J76" i="23"/>
  <c r="BR80" i="6"/>
  <c r="DX76" i="23"/>
  <c r="BR229" i="6"/>
  <c r="DV76" i="23"/>
  <c r="BR226" i="6"/>
  <c r="DB112" i="23"/>
  <c r="DW148" i="23"/>
  <c r="DG76" i="23"/>
  <c r="BR204" i="6"/>
  <c r="DA76" i="23"/>
  <c r="BR198" i="6"/>
  <c r="CR112" i="23"/>
  <c r="BB76" i="23"/>
  <c r="BR134" i="6"/>
  <c r="AY76" i="23"/>
  <c r="BR130" i="6"/>
  <c r="BZ148" i="23"/>
  <c r="BC112" i="23"/>
  <c r="DH135" i="6"/>
  <c r="I112" i="23"/>
  <c r="DH79" i="6"/>
  <c r="DD54" i="5"/>
  <c r="DH54" i="5" s="1"/>
  <c r="DH51" i="5"/>
  <c r="DX40" i="23"/>
  <c r="CD76" i="23"/>
  <c r="BR170" i="6"/>
  <c r="DB76" i="23"/>
  <c r="BR199" i="6"/>
  <c r="DN76" i="23"/>
  <c r="BR213" i="6"/>
  <c r="DM148" i="23"/>
  <c r="BN148" i="23"/>
  <c r="AD148" i="23"/>
  <c r="CN76" i="23"/>
  <c r="BR183" i="6"/>
  <c r="AM148" i="23"/>
  <c r="CA76" i="23"/>
  <c r="BR167" i="6"/>
  <c r="BX76" i="23"/>
  <c r="BR162" i="6"/>
  <c r="BK112" i="23"/>
  <c r="AI76" i="23"/>
  <c r="BR110" i="6"/>
  <c r="AE76" i="23"/>
  <c r="BR106" i="6"/>
  <c r="Y148" i="23"/>
  <c r="U148" i="23"/>
  <c r="DQ76" i="23"/>
  <c r="BR220" i="6"/>
  <c r="CT148" i="23"/>
  <c r="CM76" i="23"/>
  <c r="BR181" i="6"/>
  <c r="CJ76" i="23"/>
  <c r="BR177" i="6"/>
  <c r="BG148" i="23"/>
  <c r="BA76" i="23"/>
  <c r="BR132" i="6"/>
  <c r="AT112" i="23"/>
  <c r="DH124" i="6"/>
  <c r="AA112" i="23"/>
  <c r="J112" i="23"/>
  <c r="CS112" i="23"/>
  <c r="DU148" i="23"/>
  <c r="DD76" i="23"/>
  <c r="BR201" i="6"/>
  <c r="CP112" i="23"/>
  <c r="DH185" i="6"/>
  <c r="CK112" i="23"/>
  <c r="BI148" i="23"/>
  <c r="AV76" i="23"/>
  <c r="BR126" i="6"/>
  <c r="AV148" i="23"/>
  <c r="CB112" i="23"/>
  <c r="DH168" i="6"/>
  <c r="BZ112" i="23"/>
  <c r="DH166" i="6"/>
  <c r="BP112" i="23"/>
  <c r="CC40" i="23"/>
  <c r="DH169" i="5"/>
  <c r="CA40" i="23"/>
  <c r="DH167" i="5"/>
  <c r="K148" i="23"/>
  <c r="BQ112" i="23"/>
  <c r="CV76" i="23"/>
  <c r="BR192" i="6"/>
  <c r="BZ76" i="23"/>
  <c r="BR166" i="6"/>
  <c r="AB112" i="23"/>
  <c r="BM112" i="23"/>
  <c r="CV148" i="23"/>
  <c r="BV112" i="23"/>
  <c r="CV40" i="23"/>
  <c r="BK76" i="23"/>
  <c r="BR144" i="6"/>
  <c r="AD112" i="23"/>
  <c r="AK76" i="23"/>
  <c r="BR112" i="6"/>
  <c r="DN112" i="23"/>
  <c r="CO148" i="23"/>
  <c r="CE76" i="23"/>
  <c r="BR171" i="6"/>
  <c r="BY76" i="23"/>
  <c r="BR165" i="6"/>
  <c r="CG148" i="23"/>
  <c r="DT76" i="23"/>
  <c r="BR224" i="6"/>
  <c r="DI112" i="23"/>
  <c r="DF112" i="23"/>
  <c r="DH203" i="6"/>
  <c r="CU148" i="23"/>
  <c r="BX148" i="23"/>
  <c r="BH112" i="23"/>
  <c r="BE112" i="23"/>
  <c r="AU112" i="23"/>
  <c r="AB76" i="23"/>
  <c r="BR101" i="6"/>
  <c r="N148" i="23"/>
  <c r="CI76" i="23"/>
  <c r="BR176" i="6"/>
  <c r="BT76" i="23"/>
  <c r="BR158" i="6"/>
  <c r="BF112" i="23"/>
  <c r="DP76" i="23"/>
  <c r="BR216" i="6"/>
  <c r="CQ148" i="23"/>
  <c r="CJ148" i="23"/>
  <c r="BU112" i="23"/>
  <c r="BA112" i="23"/>
  <c r="AX148" i="23"/>
  <c r="AP112" i="23"/>
  <c r="DX148" i="23"/>
  <c r="DV148" i="23"/>
  <c r="DO76" i="23"/>
  <c r="BR215" i="6"/>
  <c r="DM76" i="23"/>
  <c r="BR212" i="6"/>
  <c r="CN112" i="23"/>
  <c r="CL112" i="23"/>
  <c r="DS148" i="23"/>
  <c r="EX222" i="6"/>
  <c r="DJ148" i="23"/>
  <c r="DD148" i="23"/>
  <c r="DA148" i="23"/>
  <c r="CX76" i="23"/>
  <c r="BR195" i="6"/>
  <c r="CH112" i="23"/>
  <c r="AY148" i="23"/>
  <c r="AV112" i="23"/>
  <c r="DH126" i="6"/>
  <c r="AR76" i="23"/>
  <c r="BR122" i="6"/>
  <c r="AJ148" i="23"/>
  <c r="CQ40" i="23"/>
  <c r="CZ40" i="23"/>
  <c r="M214" i="6"/>
  <c r="AS234" i="6"/>
  <c r="DN40" i="23"/>
  <c r="AV40" i="23"/>
  <c r="DJ40" i="23"/>
  <c r="BU40" i="23"/>
  <c r="AE40" i="23"/>
  <c r="AZ40" i="23"/>
  <c r="BE40" i="23"/>
  <c r="CX40" i="23"/>
  <c r="CJ40" i="23"/>
  <c r="S40" i="23"/>
  <c r="CL40" i="23"/>
  <c r="BA40" i="23"/>
  <c r="O40" i="23"/>
  <c r="BJ40" i="23"/>
  <c r="CO40" i="23"/>
  <c r="BL40" i="23"/>
  <c r="BI40" i="23"/>
  <c r="DM40" i="23"/>
  <c r="BQ40" i="23"/>
  <c r="V40" i="23"/>
  <c r="BX40" i="23"/>
  <c r="I40" i="23"/>
  <c r="AU40" i="23"/>
  <c r="H40" i="23"/>
  <c r="Y40" i="23"/>
  <c r="AR40" i="23"/>
  <c r="U40" i="23"/>
  <c r="N40" i="23"/>
  <c r="DA40" i="23"/>
  <c r="AO40" i="23"/>
  <c r="BR40" i="23"/>
  <c r="DB40" i="23"/>
  <c r="CD40" i="23"/>
  <c r="M40" i="23"/>
  <c r="AQ40" i="23"/>
  <c r="DE40" i="23"/>
  <c r="CT40" i="23"/>
  <c r="CY40" i="23"/>
  <c r="BW40" i="23"/>
  <c r="BN40" i="23"/>
  <c r="AT40" i="23"/>
  <c r="CU40" i="23"/>
  <c r="BS40" i="23"/>
  <c r="X40" i="23"/>
  <c r="DD40" i="23"/>
  <c r="AG40" i="23"/>
  <c r="CS40" i="23"/>
  <c r="T40" i="23"/>
  <c r="BD40" i="23"/>
  <c r="BK40" i="23"/>
  <c r="BO40" i="23"/>
  <c r="BH40" i="23"/>
  <c r="AX40" i="23"/>
  <c r="W40" i="23"/>
  <c r="AW40" i="23"/>
  <c r="AC40" i="23"/>
  <c r="AS40" i="23"/>
  <c r="AP40" i="23"/>
  <c r="BG40" i="23"/>
  <c r="J40" i="23"/>
  <c r="L40" i="23"/>
  <c r="AB40" i="23"/>
  <c r="DP40" i="23"/>
  <c r="AI40" i="23"/>
  <c r="P40" i="23"/>
  <c r="K40" i="23"/>
  <c r="DS40" i="23"/>
  <c r="BC40" i="23"/>
  <c r="BV40" i="23"/>
  <c r="AA40" i="23"/>
  <c r="DC40" i="23"/>
  <c r="AF40" i="23"/>
  <c r="AN40" i="23"/>
  <c r="CP40" i="23"/>
  <c r="Z40" i="23"/>
  <c r="DI40" i="23"/>
  <c r="ED233" i="4"/>
  <c r="ED249" i="4" s="1"/>
  <c r="ED250" i="4" s="1"/>
  <c r="V64" i="5"/>
  <c r="AX234" i="6"/>
  <c r="CG234" i="6"/>
  <c r="BA234" i="6"/>
  <c r="CN234" i="6"/>
  <c r="F6" i="6"/>
  <c r="ED234" i="7"/>
  <c r="G6" i="6"/>
  <c r="W71" i="8"/>
  <c r="DZ234" i="6"/>
  <c r="D58" i="7"/>
  <c r="E6" i="6"/>
  <c r="AE6" i="6"/>
  <c r="EG234" i="6"/>
  <c r="AG6" i="6"/>
  <c r="EH234" i="6"/>
  <c r="AI6" i="6"/>
  <c r="AC6" i="7"/>
  <c r="CJ234" i="5"/>
  <c r="DY234" i="7"/>
  <c r="DY234" i="6"/>
  <c r="BC234" i="6"/>
  <c r="BC231" i="6"/>
  <c r="AF58" i="7"/>
  <c r="AK6" i="6"/>
  <c r="AK6" i="7"/>
  <c r="AW234" i="6"/>
  <c r="AI6" i="7"/>
  <c r="AN6" i="7"/>
  <c r="AF6" i="7"/>
  <c r="CQ234" i="6"/>
  <c r="CQ234" i="5"/>
  <c r="AJ6" i="6"/>
  <c r="AU233" i="4"/>
  <c r="AU249" i="4" s="1"/>
  <c r="AU250" i="4" s="1"/>
  <c r="AJ58" i="7"/>
  <c r="J6" i="6"/>
  <c r="AM6" i="6"/>
  <c r="AE58" i="7"/>
  <c r="AN58" i="7"/>
  <c r="C6" i="6"/>
  <c r="AF6" i="6"/>
  <c r="EA234" i="7"/>
  <c r="AH58" i="7"/>
  <c r="AH6" i="7"/>
  <c r="AT234" i="6"/>
  <c r="B6" i="6"/>
  <c r="AN6" i="6"/>
  <c r="CM234" i="6"/>
  <c r="EF234" i="7"/>
  <c r="EC234" i="7"/>
  <c r="AM6" i="7"/>
  <c r="AL6" i="7"/>
  <c r="F249" i="8"/>
  <c r="F250" i="8" s="1"/>
  <c r="AL249" i="8"/>
  <c r="AL250" i="8" s="1"/>
  <c r="K58" i="1"/>
  <c r="AL58" i="7"/>
  <c r="E234" i="8"/>
  <c r="AQ249" i="7"/>
  <c r="AQ250" i="7" s="1"/>
  <c r="A249" i="8"/>
  <c r="A250" i="8" s="1"/>
  <c r="M249" i="8"/>
  <c r="M250" i="8" s="1"/>
  <c r="DX234" i="6"/>
  <c r="L249" i="8"/>
  <c r="L250" i="8" s="1"/>
  <c r="J249" i="8"/>
  <c r="J250" i="8" s="1"/>
  <c r="EI233" i="6"/>
  <c r="EI249" i="6" s="1"/>
  <c r="EI250" i="6" s="1"/>
  <c r="AE6" i="7"/>
  <c r="AJ6" i="7"/>
  <c r="P46" i="5"/>
  <c r="Z16" i="5"/>
  <c r="J58" i="6"/>
  <c r="AD58" i="7"/>
  <c r="K6" i="6"/>
  <c r="H43" i="6"/>
  <c r="H47" i="6" s="1"/>
  <c r="P19" i="5"/>
  <c r="Q16" i="5"/>
  <c r="AK75" i="8"/>
  <c r="AK230" i="8" s="1"/>
  <c r="X41" i="5"/>
  <c r="AB41" i="5" s="1"/>
  <c r="B6" i="7"/>
  <c r="D58" i="1"/>
  <c r="EH234" i="7"/>
  <c r="E6" i="7"/>
  <c r="Q40" i="5"/>
  <c r="DZ234" i="7"/>
  <c r="EG234" i="7"/>
  <c r="CS234" i="7"/>
  <c r="DX234" i="7"/>
  <c r="P245" i="5"/>
  <c r="CS41" i="23"/>
  <c r="O41" i="23"/>
  <c r="BW41" i="23"/>
  <c r="DX41" i="23"/>
  <c r="BN41" i="23"/>
  <c r="CA41" i="23"/>
  <c r="AC41" i="23"/>
  <c r="AP41" i="23"/>
  <c r="BC41" i="23"/>
  <c r="BL41" i="23"/>
  <c r="CZ41" i="23"/>
  <c r="CM41" i="23"/>
  <c r="W41" i="23"/>
  <c r="AE41" i="23"/>
  <c r="I41" i="23"/>
  <c r="P41" i="23"/>
  <c r="BE41" i="23"/>
  <c r="AQ41" i="23"/>
  <c r="Z41" i="23"/>
  <c r="BS41" i="23"/>
  <c r="N41" i="23"/>
  <c r="AU41" i="23"/>
  <c r="U41" i="23"/>
  <c r="CL41" i="23"/>
  <c r="BR41" i="23"/>
  <c r="AV41" i="23"/>
  <c r="CO41" i="23"/>
  <c r="H41" i="23"/>
  <c r="DD41" i="23"/>
  <c r="DE41" i="23"/>
  <c r="CT41" i="23"/>
  <c r="AJ41" i="23"/>
  <c r="BD41" i="23"/>
  <c r="AT41" i="23"/>
  <c r="DC54" i="5"/>
  <c r="AG41" i="23"/>
  <c r="DR41" i="23"/>
  <c r="BX41" i="23"/>
  <c r="AL41" i="23"/>
  <c r="DI41" i="23"/>
  <c r="DG41" i="23"/>
  <c r="BK41" i="23"/>
  <c r="AW41" i="23"/>
  <c r="CJ41" i="23"/>
  <c r="L41" i="23"/>
  <c r="DP41" i="23"/>
  <c r="J41" i="23"/>
  <c r="DC57" i="5"/>
  <c r="K41" i="23"/>
  <c r="BZ41" i="23"/>
  <c r="DJ41" i="23"/>
  <c r="AA41" i="23"/>
  <c r="DU41" i="23"/>
  <c r="CU41" i="23"/>
  <c r="CC41" i="23"/>
  <c r="BA41" i="23"/>
  <c r="M41" i="23"/>
  <c r="CX41" i="23"/>
  <c r="BH41" i="23"/>
  <c r="CB41" i="23"/>
  <c r="BI41" i="23"/>
  <c r="DL41" i="23"/>
  <c r="BQ41" i="23"/>
  <c r="BJ41" i="23"/>
  <c r="AO41" i="23"/>
  <c r="CG41" i="23"/>
  <c r="AB41" i="23"/>
  <c r="Y41" i="23"/>
  <c r="CY41" i="23"/>
  <c r="BV41" i="23"/>
  <c r="CV41" i="23"/>
  <c r="AF41" i="23"/>
  <c r="BO41" i="23"/>
  <c r="AH41" i="23"/>
  <c r="AX41" i="23"/>
  <c r="CI41" i="23"/>
  <c r="AS41" i="23"/>
  <c r="CH41" i="23"/>
  <c r="AN41" i="23"/>
  <c r="AI41" i="23"/>
  <c r="DC41" i="23"/>
  <c r="DM41" i="23"/>
  <c r="V41" i="23"/>
  <c r="AK41" i="23"/>
  <c r="S41" i="23"/>
  <c r="DN41" i="23"/>
  <c r="DS41" i="23"/>
  <c r="T41" i="23"/>
  <c r="DB41" i="23"/>
  <c r="CE41" i="23"/>
  <c r="I58" i="1"/>
  <c r="CQ41" i="23"/>
  <c r="BU41" i="23"/>
  <c r="BG41" i="23"/>
  <c r="AZ41" i="23"/>
  <c r="AA37" i="1"/>
  <c r="X41" i="23"/>
  <c r="DV41" i="23"/>
  <c r="DA41" i="23"/>
  <c r="DF41" i="23"/>
  <c r="CP41" i="23"/>
  <c r="AR41" i="23"/>
  <c r="CD41" i="23"/>
  <c r="CQ77" i="23"/>
  <c r="CV113" i="23"/>
  <c r="O113" i="23"/>
  <c r="DN113" i="23"/>
  <c r="CU149" i="23"/>
  <c r="K58" i="6"/>
  <c r="AD6" i="6"/>
  <c r="BH113" i="23"/>
  <c r="Y149" i="23"/>
  <c r="U149" i="23"/>
  <c r="CI77" i="23"/>
  <c r="CM77" i="23"/>
  <c r="CJ77" i="23"/>
  <c r="J113" i="23"/>
  <c r="CS113" i="23"/>
  <c r="CN113" i="23"/>
  <c r="DJ149" i="23"/>
  <c r="CP113" i="23"/>
  <c r="CK113" i="23"/>
  <c r="AY113" i="23"/>
  <c r="AR77" i="23"/>
  <c r="AN149" i="23"/>
  <c r="BP113" i="23"/>
  <c r="I113" i="23"/>
  <c r="G58" i="6"/>
  <c r="AM149" i="23"/>
  <c r="Z77" i="23"/>
  <c r="T77" i="23"/>
  <c r="V113" i="23"/>
  <c r="R77" i="23"/>
  <c r="Q77" i="23"/>
  <c r="BC113" i="23"/>
  <c r="CU77" i="23"/>
  <c r="CA113" i="23"/>
  <c r="BG149" i="23"/>
  <c r="W77" i="23"/>
  <c r="BL77" i="23"/>
  <c r="BI77" i="23"/>
  <c r="R113" i="23"/>
  <c r="I149" i="23"/>
  <c r="CO77" i="23"/>
  <c r="CE113" i="23"/>
  <c r="AM77" i="23"/>
  <c r="X113" i="23"/>
  <c r="DL77" i="23"/>
  <c r="I77" i="23"/>
  <c r="BR113" i="23"/>
  <c r="BE113" i="23"/>
  <c r="AM113" i="23"/>
  <c r="CD113" i="23"/>
  <c r="CF113" i="23"/>
  <c r="BD113" i="23"/>
  <c r="BA149" i="23"/>
  <c r="J77" i="23"/>
  <c r="DM113" i="23"/>
  <c r="DB113" i="23"/>
  <c r="BB77" i="23"/>
  <c r="AV149" i="23"/>
  <c r="L77" i="23"/>
  <c r="CE77" i="23"/>
  <c r="CC77" i="23"/>
  <c r="BY77" i="23"/>
  <c r="AB149" i="23"/>
  <c r="CG149" i="23"/>
  <c r="BR149" i="23"/>
  <c r="U77" i="23"/>
  <c r="CD77" i="23"/>
  <c r="AP149" i="23"/>
  <c r="CY77" i="23"/>
  <c r="DC113" i="23"/>
  <c r="N77" i="23"/>
  <c r="K149" i="23"/>
  <c r="DK113" i="23"/>
  <c r="BN149" i="23"/>
  <c r="AC113" i="23"/>
  <c r="O149" i="23"/>
  <c r="P149" i="23"/>
  <c r="DK149" i="23"/>
  <c r="CZ77" i="23"/>
  <c r="CW77" i="23"/>
  <c r="M77" i="23"/>
  <c r="AO113" i="23"/>
  <c r="DG113" i="23"/>
  <c r="DD113" i="23"/>
  <c r="BI149" i="23"/>
  <c r="L149" i="23"/>
  <c r="CB149" i="23"/>
  <c r="BK113" i="23"/>
  <c r="AQ113" i="23"/>
  <c r="CI113" i="23"/>
  <c r="CJ113" i="23"/>
  <c r="BJ77" i="23"/>
  <c r="BG77" i="23"/>
  <c r="BD149" i="23"/>
  <c r="CX113" i="23"/>
  <c r="H77" i="23"/>
  <c r="P77" i="23"/>
  <c r="BB113" i="23"/>
  <c r="AY77" i="23"/>
  <c r="AV77" i="23"/>
  <c r="H113" i="23"/>
  <c r="P113" i="23"/>
  <c r="DI113" i="23"/>
  <c r="CO149" i="23"/>
  <c r="CA77" i="23"/>
  <c r="AB77" i="23"/>
  <c r="BF113" i="23"/>
  <c r="CQ149" i="23"/>
  <c r="BM113" i="23"/>
  <c r="AT149" i="23"/>
  <c r="L113" i="23"/>
  <c r="BZ113" i="23"/>
  <c r="DF113" i="23"/>
  <c r="BA113" i="23"/>
  <c r="DM77" i="23"/>
  <c r="DG149" i="23"/>
  <c r="CX77" i="23"/>
  <c r="AN77" i="23"/>
  <c r="BK149" i="23"/>
  <c r="BF149" i="23"/>
  <c r="DH113" i="23"/>
  <c r="CM149" i="23"/>
  <c r="CF77" i="23"/>
  <c r="BG113" i="23"/>
  <c r="AX113" i="23"/>
  <c r="AT77" i="23"/>
  <c r="DB77" i="23"/>
  <c r="CS77" i="23"/>
  <c r="DD149" i="23"/>
  <c r="DN77" i="23"/>
  <c r="DI77" i="23"/>
  <c r="BY149" i="23"/>
  <c r="BR77" i="23"/>
  <c r="BK77" i="23"/>
  <c r="G149" i="23"/>
  <c r="DE113" i="23"/>
  <c r="CJ149" i="23"/>
  <c r="CN77" i="23"/>
  <c r="CP77" i="23"/>
  <c r="CB77" i="23"/>
  <c r="BP77" i="23"/>
  <c r="BE149" i="23"/>
  <c r="Y113" i="23"/>
  <c r="K77" i="23"/>
  <c r="CF149" i="23"/>
  <c r="BQ77" i="23"/>
  <c r="BQ149" i="23"/>
  <c r="AS149" i="23"/>
  <c r="DB149" i="23"/>
  <c r="CL77" i="23"/>
  <c r="CV149" i="23"/>
  <c r="BS113" i="23"/>
  <c r="BL113" i="23"/>
  <c r="V149" i="23"/>
  <c r="AZ149" i="23"/>
  <c r="CU113" i="23"/>
  <c r="BE77" i="23"/>
  <c r="AU149" i="23"/>
  <c r="N113" i="23"/>
  <c r="DK77" i="23"/>
  <c r="CW113" i="23"/>
  <c r="BO149" i="23"/>
  <c r="AP113" i="23"/>
  <c r="AS77" i="23"/>
  <c r="AO149" i="23"/>
  <c r="CS149" i="23"/>
  <c r="DL113" i="23"/>
  <c r="CR149" i="23"/>
  <c r="CH77" i="23"/>
  <c r="BN113" i="23"/>
  <c r="AC77" i="23"/>
  <c r="R149" i="23"/>
  <c r="BC77" i="23"/>
  <c r="AW149" i="23"/>
  <c r="DF149" i="23"/>
  <c r="CG113" i="23"/>
  <c r="CC149" i="23"/>
  <c r="AU77" i="23"/>
  <c r="G113" i="23"/>
  <c r="BM77" i="23"/>
  <c r="BJ149" i="23"/>
  <c r="X77" i="23"/>
  <c r="M149" i="23"/>
  <c r="AS113" i="23"/>
  <c r="CH149" i="23"/>
  <c r="BN77" i="23"/>
  <c r="BL149" i="23"/>
  <c r="H149" i="23"/>
  <c r="DC149" i="23"/>
  <c r="CC113" i="23"/>
  <c r="BY113" i="23"/>
  <c r="AQ77" i="23"/>
  <c r="Z113" i="23"/>
  <c r="DH149" i="23"/>
  <c r="CT77" i="23"/>
  <c r="CM113" i="23"/>
  <c r="AA113" i="23"/>
  <c r="J149" i="23"/>
  <c r="DA113" i="23"/>
  <c r="BB149" i="23"/>
  <c r="AZ113" i="23"/>
  <c r="AW113" i="23"/>
  <c r="S77" i="23"/>
  <c r="AU113" i="23"/>
  <c r="DE149" i="23"/>
  <c r="W113" i="23"/>
  <c r="DJ77" i="23"/>
  <c r="AY149" i="23"/>
  <c r="O77" i="23"/>
  <c r="CG77" i="23"/>
  <c r="BQ113" i="23"/>
  <c r="BD77" i="23"/>
  <c r="T113" i="23"/>
  <c r="M113" i="23"/>
  <c r="CY113" i="23"/>
  <c r="Q113" i="23"/>
  <c r="S113" i="23"/>
  <c r="CE149" i="23"/>
  <c r="CA149" i="23"/>
  <c r="CZ149" i="23"/>
  <c r="CW149" i="23"/>
  <c r="CT149" i="23"/>
  <c r="BO113" i="23"/>
  <c r="BA77" i="23"/>
  <c r="AX149" i="23"/>
  <c r="DL149" i="23"/>
  <c r="DG77" i="23"/>
  <c r="DD77" i="23"/>
  <c r="DA77" i="23"/>
  <c r="CR113" i="23"/>
  <c r="AR149" i="23"/>
  <c r="CB113" i="23"/>
  <c r="BZ149" i="23"/>
  <c r="Y77" i="23"/>
  <c r="N149" i="23"/>
  <c r="AX77" i="23"/>
  <c r="CL113" i="23"/>
  <c r="CH113" i="23"/>
  <c r="AV113" i="23"/>
  <c r="AB113" i="23"/>
  <c r="BF77" i="23"/>
  <c r="DA149" i="23"/>
  <c r="CV77" i="23"/>
  <c r="BI113" i="23"/>
  <c r="BZ77" i="23"/>
  <c r="BP149" i="23"/>
  <c r="BH149" i="23"/>
  <c r="CI149" i="23"/>
  <c r="AT113" i="23"/>
  <c r="AP77" i="23"/>
  <c r="CX149" i="23"/>
  <c r="CR77" i="23"/>
  <c r="CK77" i="23"/>
  <c r="AR113" i="23"/>
  <c r="AN113" i="23"/>
  <c r="AC149" i="23"/>
  <c r="BC149" i="23"/>
  <c r="DF77" i="23"/>
  <c r="BH77" i="23"/>
  <c r="U113" i="23"/>
  <c r="BJ113" i="23"/>
  <c r="AA149" i="23"/>
  <c r="DM149" i="23"/>
  <c r="CY149" i="23"/>
  <c r="DN149" i="23"/>
  <c r="Z149" i="23"/>
  <c r="CT113" i="23"/>
  <c r="X149" i="23"/>
  <c r="M8" i="6"/>
  <c r="DI149" i="23"/>
  <c r="DC77" i="23"/>
  <c r="CO113" i="23"/>
  <c r="AQ149" i="23"/>
  <c r="K113" i="23"/>
  <c r="G77" i="23"/>
  <c r="CD149" i="23"/>
  <c r="DH77" i="23"/>
  <c r="DE77" i="23"/>
  <c r="CZ113" i="23"/>
  <c r="CQ113" i="23"/>
  <c r="BO77" i="23"/>
  <c r="BM149" i="23"/>
  <c r="AA77" i="23"/>
  <c r="T149" i="23"/>
  <c r="AO77" i="23"/>
  <c r="W149" i="23"/>
  <c r="CN149" i="23"/>
  <c r="CL149" i="23"/>
  <c r="DJ113" i="23"/>
  <c r="CP149" i="23"/>
  <c r="CK149" i="23"/>
  <c r="BS77" i="23"/>
  <c r="BS149" i="23"/>
  <c r="V77" i="23"/>
  <c r="Q149" i="23"/>
  <c r="AZ77" i="23"/>
  <c r="AW77" i="23"/>
  <c r="S149" i="23"/>
  <c r="BT149" i="23"/>
  <c r="BW77" i="23"/>
  <c r="BU77" i="23"/>
  <c r="BV77" i="23"/>
  <c r="EC234" i="6"/>
  <c r="BW113" i="23"/>
  <c r="BT113" i="23"/>
  <c r="BX77" i="23"/>
  <c r="BX149" i="23"/>
  <c r="BW149" i="23"/>
  <c r="BT77" i="23"/>
  <c r="BU113" i="23"/>
  <c r="BV149" i="23"/>
  <c r="BV113" i="23"/>
  <c r="BX113" i="23"/>
  <c r="BU149" i="23"/>
  <c r="DP77" i="23"/>
  <c r="AU234" i="6"/>
  <c r="EB234" i="6"/>
  <c r="DP113" i="23"/>
  <c r="DO113" i="23"/>
  <c r="DO149" i="23"/>
  <c r="DP149" i="23"/>
  <c r="DO77" i="23"/>
  <c r="CO231" i="4"/>
  <c r="AE77" i="23"/>
  <c r="AI113" i="23"/>
  <c r="AJ149" i="23"/>
  <c r="AE113" i="23"/>
  <c r="AK149" i="23"/>
  <c r="AJ77" i="23"/>
  <c r="AF149" i="23"/>
  <c r="AG149" i="23"/>
  <c r="AK77" i="23"/>
  <c r="AG77" i="23"/>
  <c r="AD149" i="23"/>
  <c r="AJ113" i="23"/>
  <c r="AK113" i="23"/>
  <c r="AH113" i="23"/>
  <c r="AF113" i="23"/>
  <c r="AI149" i="23"/>
  <c r="EE234" i="6"/>
  <c r="AL77" i="23"/>
  <c r="AE149" i="23"/>
  <c r="AH149" i="23"/>
  <c r="AF77" i="23"/>
  <c r="AH77" i="23"/>
  <c r="CS231" i="6"/>
  <c r="AG113" i="23"/>
  <c r="AD77" i="23"/>
  <c r="AD113" i="23"/>
  <c r="AL149" i="23"/>
  <c r="AL113" i="23"/>
  <c r="AI77" i="23"/>
  <c r="DT77" i="23"/>
  <c r="DX149" i="23"/>
  <c r="DR77" i="23"/>
  <c r="DV149" i="23"/>
  <c r="DW113" i="23"/>
  <c r="DT149" i="23"/>
  <c r="DR149" i="23"/>
  <c r="DW77" i="23"/>
  <c r="DU77" i="23"/>
  <c r="DU149" i="23"/>
  <c r="DR113" i="23"/>
  <c r="DS149" i="23"/>
  <c r="DQ77" i="23"/>
  <c r="DQ149" i="23"/>
  <c r="DU113" i="23"/>
  <c r="ED234" i="6"/>
  <c r="DS113" i="23"/>
  <c r="DW233" i="4"/>
  <c r="DX113" i="23"/>
  <c r="DV113" i="23"/>
  <c r="DW149" i="23"/>
  <c r="DS77" i="23"/>
  <c r="DT113" i="23"/>
  <c r="DQ113" i="23"/>
  <c r="DX77" i="23"/>
  <c r="DV77" i="23"/>
  <c r="AU249" i="7"/>
  <c r="AU250" i="7" s="1"/>
  <c r="AD6" i="7"/>
  <c r="J6" i="7"/>
  <c r="G58" i="7"/>
  <c r="E58" i="7"/>
  <c r="AM58" i="7"/>
  <c r="B58" i="7"/>
  <c r="F6" i="7"/>
  <c r="I6" i="7"/>
  <c r="DW234" i="7"/>
  <c r="C6" i="7"/>
  <c r="D6" i="7"/>
  <c r="F43" i="7"/>
  <c r="F47" i="7" s="1"/>
  <c r="AG6" i="7"/>
  <c r="B70" i="7"/>
  <c r="W236" i="1"/>
  <c r="AX233" i="4"/>
  <c r="AX249" i="4" s="1"/>
  <c r="AX250" i="4" s="1"/>
  <c r="K6" i="7"/>
  <c r="AA30" i="1"/>
  <c r="AA50" i="1"/>
  <c r="AX231" i="4"/>
  <c r="Z40" i="5"/>
  <c r="AV233" i="4"/>
  <c r="AV249" i="4" s="1"/>
  <c r="AV250" i="4" s="1"/>
  <c r="DZ233" i="4"/>
  <c r="J218" i="1"/>
  <c r="BC231" i="7"/>
  <c r="X89" i="5"/>
  <c r="AB89" i="5" s="1"/>
  <c r="P64" i="5"/>
  <c r="CW60" i="5"/>
  <c r="DG69" i="5"/>
  <c r="CZ60" i="5"/>
  <c r="DG61" i="5"/>
  <c r="CU60" i="5"/>
  <c r="DG68" i="5"/>
  <c r="DG7" i="5"/>
  <c r="CV60" i="5"/>
  <c r="DG14" i="5"/>
  <c r="CU13" i="5"/>
  <c r="CU6" i="5" s="1"/>
  <c r="DG67" i="5"/>
  <c r="DG31" i="5"/>
  <c r="CX60" i="5"/>
  <c r="DG65" i="5"/>
  <c r="DG42" i="5"/>
  <c r="CY60" i="5"/>
  <c r="DG66" i="5"/>
  <c r="DC60" i="5"/>
  <c r="DG64" i="5"/>
  <c r="DG62" i="5"/>
  <c r="DG15" i="5"/>
  <c r="DG16" i="5"/>
  <c r="AA10" i="1"/>
  <c r="DA60" i="5"/>
  <c r="DG63" i="5"/>
  <c r="DB60" i="5"/>
  <c r="R42" i="5"/>
  <c r="AV233" i="5"/>
  <c r="AV249" i="5" s="1"/>
  <c r="AV250" i="5" s="1"/>
  <c r="L218" i="1"/>
  <c r="B249" i="8"/>
  <c r="B250" i="8" s="1"/>
  <c r="H249" i="8"/>
  <c r="H250" i="8" s="1"/>
  <c r="AY233" i="4"/>
  <c r="AY249" i="4" s="1"/>
  <c r="AY250" i="4" s="1"/>
  <c r="EI233" i="7"/>
  <c r="EI249" i="7" s="1"/>
  <c r="EI250" i="7" s="1"/>
  <c r="CI234" i="6"/>
  <c r="EH233" i="4"/>
  <c r="EE233" i="4"/>
  <c r="EA233" i="4"/>
  <c r="AY234" i="6"/>
  <c r="BB234" i="6"/>
  <c r="H58" i="7"/>
  <c r="EI71" i="4"/>
  <c r="EI72" i="4" s="1"/>
  <c r="L58" i="7"/>
  <c r="AT249" i="7"/>
  <c r="AT250" i="7" s="1"/>
  <c r="CS71" i="4"/>
  <c r="CS72" i="4" s="1"/>
  <c r="AU231" i="4"/>
  <c r="AY72" i="4"/>
  <c r="L6" i="7"/>
  <c r="L71" i="4"/>
  <c r="L72" i="4" s="1"/>
  <c r="AO8" i="7"/>
  <c r="EG233" i="4"/>
  <c r="AK58" i="7"/>
  <c r="AG58" i="7"/>
  <c r="EE234" i="7"/>
  <c r="I6" i="6"/>
  <c r="EC233" i="4"/>
  <c r="CK233" i="4"/>
  <c r="M58" i="4"/>
  <c r="K218" i="1"/>
  <c r="CN36" i="24"/>
  <c r="BT182" i="6"/>
  <c r="CK249" i="6"/>
  <c r="CK250" i="6" s="1"/>
  <c r="CK234" i="6"/>
  <c r="DU37" i="24"/>
  <c r="CE225" i="6"/>
  <c r="AL27" i="24"/>
  <c r="H31" i="24"/>
  <c r="AT28" i="24"/>
  <c r="DE26" i="24"/>
  <c r="CB27" i="24"/>
  <c r="AI36" i="24"/>
  <c r="DM29" i="24"/>
  <c r="AH27" i="24"/>
  <c r="O28" i="24"/>
  <c r="BA29" i="24"/>
  <c r="CE200" i="6"/>
  <c r="DC37" i="24"/>
  <c r="BR33" i="24"/>
  <c r="V33" i="24"/>
  <c r="CH30" i="24"/>
  <c r="L30" i="24"/>
  <c r="CE128" i="6"/>
  <c r="AX37" i="24"/>
  <c r="DI27" i="24"/>
  <c r="CE127" i="6"/>
  <c r="AW37" i="24"/>
  <c r="J31" i="24"/>
  <c r="CE102" i="6"/>
  <c r="AC37" i="24"/>
  <c r="DO32" i="24"/>
  <c r="BX214" i="6"/>
  <c r="BU28" i="24"/>
  <c r="AK28" i="24"/>
  <c r="DT32" i="24"/>
  <c r="BX223" i="6"/>
  <c r="CV26" i="24"/>
  <c r="BC29" i="24"/>
  <c r="CK32" i="24"/>
  <c r="BX178" i="6"/>
  <c r="CS33" i="24"/>
  <c r="M26" i="24"/>
  <c r="BS38" i="6"/>
  <c r="F37" i="24" s="1"/>
  <c r="BQ27" i="24"/>
  <c r="AN30" i="24"/>
  <c r="AM32" i="24"/>
  <c r="BX116" i="6"/>
  <c r="DX31" i="24"/>
  <c r="BG32" i="24"/>
  <c r="CP36" i="24"/>
  <c r="DP30" i="24"/>
  <c r="BV36" i="24"/>
  <c r="BY67" i="4"/>
  <c r="AI67" i="4" s="1"/>
  <c r="AI67" i="6"/>
  <c r="DU33" i="24"/>
  <c r="BD31" i="24"/>
  <c r="G35" i="24"/>
  <c r="BU76" i="6"/>
  <c r="CL30" i="24"/>
  <c r="BB32" i="24"/>
  <c r="BX133" i="6"/>
  <c r="P35" i="24"/>
  <c r="DM28" i="24"/>
  <c r="X31" i="24"/>
  <c r="BA32" i="24"/>
  <c r="CA61" i="4"/>
  <c r="CA60" i="6"/>
  <c r="BY31" i="24"/>
  <c r="BY164" i="6"/>
  <c r="AO32" i="24"/>
  <c r="DQ32" i="24"/>
  <c r="BX220" i="4"/>
  <c r="BX219" i="6"/>
  <c r="CQ34" i="24"/>
  <c r="CZ26" i="24"/>
  <c r="CA241" i="6"/>
  <c r="EB29" i="24" s="1"/>
  <c r="R32" i="24"/>
  <c r="BX90" i="6"/>
  <c r="AV30" i="24"/>
  <c r="DO31" i="24"/>
  <c r="BY214" i="6"/>
  <c r="BN31" i="24"/>
  <c r="AK31" i="24"/>
  <c r="CS249" i="6"/>
  <c r="CS250" i="6" s="1"/>
  <c r="CS234" i="6"/>
  <c r="DF37" i="24"/>
  <c r="CE203" i="6"/>
  <c r="CE169" i="6"/>
  <c r="CC37" i="24"/>
  <c r="Z31" i="24"/>
  <c r="CA37" i="24"/>
  <c r="CE167" i="6"/>
  <c r="DL37" i="24"/>
  <c r="CE211" i="6"/>
  <c r="BJ29" i="24"/>
  <c r="N32" i="24"/>
  <c r="AF34" i="24"/>
  <c r="DB30" i="24"/>
  <c r="BI26" i="24"/>
  <c r="U26" i="24"/>
  <c r="CG26" i="24"/>
  <c r="CF27" i="24"/>
  <c r="CC172" i="6"/>
  <c r="BF36" i="24"/>
  <c r="BT138" i="6"/>
  <c r="CX31" i="24"/>
  <c r="CN31" i="24"/>
  <c r="BY182" i="6"/>
  <c r="DG28" i="24"/>
  <c r="AT26" i="24"/>
  <c r="CL34" i="24"/>
  <c r="BB30" i="24"/>
  <c r="BZ133" i="6"/>
  <c r="Y36" i="24"/>
  <c r="AQ29" i="24"/>
  <c r="DD30" i="24"/>
  <c r="AP36" i="24"/>
  <c r="BZ60" i="6"/>
  <c r="BZ61" i="4"/>
  <c r="BY30" i="24"/>
  <c r="BZ164" i="6"/>
  <c r="AE26" i="24"/>
  <c r="CQ35" i="24"/>
  <c r="CZ34" i="24"/>
  <c r="CC241" i="6"/>
  <c r="EB27" i="24" s="1"/>
  <c r="R31" i="24"/>
  <c r="BY90" i="6"/>
  <c r="DV26" i="24"/>
  <c r="CE31" i="24"/>
  <c r="BE26" i="24"/>
  <c r="EJ207" i="6"/>
  <c r="DR207" i="6"/>
  <c r="DI40" i="24" s="1"/>
  <c r="DQ207" i="6"/>
  <c r="DI41" i="24" s="1"/>
  <c r="DP207" i="6"/>
  <c r="DI42" i="24" s="1"/>
  <c r="DI207" i="6"/>
  <c r="DS207" i="6"/>
  <c r="DI39" i="24" s="1"/>
  <c r="DT207" i="6"/>
  <c r="DI38" i="24" s="1"/>
  <c r="DO207" i="6"/>
  <c r="DI43" i="24" s="1"/>
  <c r="DL207" i="6"/>
  <c r="DN207" i="6"/>
  <c r="DK207" i="6"/>
  <c r="DJ207" i="6"/>
  <c r="DM207" i="6"/>
  <c r="AW35" i="24"/>
  <c r="J30" i="24"/>
  <c r="CE226" i="6"/>
  <c r="DV37" i="24"/>
  <c r="CE27" i="24"/>
  <c r="CE137" i="6"/>
  <c r="BE37" i="24"/>
  <c r="BT28" i="24"/>
  <c r="CB157" i="6"/>
  <c r="EJ100" i="6"/>
  <c r="DR100" i="6"/>
  <c r="AA40" i="24" s="1"/>
  <c r="DQ100" i="6"/>
  <c r="AA41" i="24" s="1"/>
  <c r="DP100" i="6"/>
  <c r="AA42" i="24" s="1"/>
  <c r="DL100" i="6"/>
  <c r="AA46" i="24" s="1"/>
  <c r="DJ100" i="6"/>
  <c r="DI100" i="6"/>
  <c r="DK100" i="6"/>
  <c r="DM100" i="6"/>
  <c r="DT100" i="6"/>
  <c r="AA38" i="24" s="1"/>
  <c r="DO100" i="6"/>
  <c r="DS100" i="6"/>
  <c r="AA39" i="24" s="1"/>
  <c r="DN100" i="6"/>
  <c r="AA44" i="24" s="1"/>
  <c r="DT28" i="24"/>
  <c r="CB223" i="6"/>
  <c r="CM27" i="24"/>
  <c r="AS26" i="24"/>
  <c r="BV64" i="4"/>
  <c r="BS29" i="6"/>
  <c r="CE31" i="6"/>
  <c r="CS30" i="24"/>
  <c r="AG28" i="24"/>
  <c r="AF37" i="24"/>
  <c r="CE107" i="6"/>
  <c r="DK35" i="24"/>
  <c r="BU209" i="6"/>
  <c r="BI35" i="24"/>
  <c r="U35" i="24"/>
  <c r="AD35" i="24"/>
  <c r="BU104" i="6"/>
  <c r="T27" i="24"/>
  <c r="DJ34" i="24"/>
  <c r="CE46" i="6"/>
  <c r="CF35" i="24"/>
  <c r="BU172" i="6"/>
  <c r="DP27" i="24"/>
  <c r="BV32" i="24"/>
  <c r="BT55" i="4"/>
  <c r="BT57" i="6"/>
  <c r="BT58" i="6" s="1"/>
  <c r="DU31" i="24"/>
  <c r="BD27" i="24"/>
  <c r="G31" i="24"/>
  <c r="BY76" i="6"/>
  <c r="CL33" i="24"/>
  <c r="BB34" i="24"/>
  <c r="BV133" i="6"/>
  <c r="Y34" i="24"/>
  <c r="CB63" i="4"/>
  <c r="AQ36" i="24"/>
  <c r="DD28" i="24"/>
  <c r="AP31" i="24"/>
  <c r="BU61" i="4"/>
  <c r="BU60" i="6"/>
  <c r="BY29" i="24"/>
  <c r="CA164" i="6"/>
  <c r="DA32" i="24"/>
  <c r="BH37" i="24"/>
  <c r="CE141" i="6"/>
  <c r="BX33" i="24"/>
  <c r="DI35" i="24"/>
  <c r="AW34" i="24"/>
  <c r="J34" i="24"/>
  <c r="AC34" i="24"/>
  <c r="CW34" i="24"/>
  <c r="BV193" i="6"/>
  <c r="BN30" i="24"/>
  <c r="EJ125" i="6"/>
  <c r="DR125" i="6"/>
  <c r="AU40" i="24" s="1"/>
  <c r="DP125" i="6"/>
  <c r="AU42" i="24" s="1"/>
  <c r="DQ125" i="6"/>
  <c r="DO125" i="6"/>
  <c r="DM125" i="6"/>
  <c r="DT125" i="6"/>
  <c r="AU38" i="24" s="1"/>
  <c r="DS125" i="6"/>
  <c r="DN125" i="6"/>
  <c r="DL125" i="6"/>
  <c r="AU46" i="24" s="1"/>
  <c r="DK125" i="6"/>
  <c r="AU47" i="24" s="1"/>
  <c r="DJ125" i="6"/>
  <c r="AU48" i="24" s="1"/>
  <c r="DI125" i="6"/>
  <c r="EJ41" i="6"/>
  <c r="DS41" i="6"/>
  <c r="DQ41" i="6"/>
  <c r="DR41" i="6"/>
  <c r="DT41" i="6"/>
  <c r="DO41" i="6"/>
  <c r="DN41" i="6"/>
  <c r="DM41" i="6"/>
  <c r="DP41" i="6"/>
  <c r="DJ41" i="6"/>
  <c r="DI41" i="6"/>
  <c r="DL41" i="6"/>
  <c r="DK41" i="6"/>
  <c r="EJ149" i="6"/>
  <c r="DR149" i="6"/>
  <c r="BO40" i="24" s="1"/>
  <c r="DP149" i="6"/>
  <c r="BO42" i="24" s="1"/>
  <c r="DQ149" i="6"/>
  <c r="DI149" i="6"/>
  <c r="DO149" i="6"/>
  <c r="DT149" i="6"/>
  <c r="BO38" i="24" s="1"/>
  <c r="DS149" i="6"/>
  <c r="BO39" i="24" s="1"/>
  <c r="DL149" i="6"/>
  <c r="BO46" i="24" s="1"/>
  <c r="DN149" i="6"/>
  <c r="BO44" i="24" s="1"/>
  <c r="DK149" i="6"/>
  <c r="BO47" i="24" s="1"/>
  <c r="DJ149" i="6"/>
  <c r="BO48" i="24" s="1"/>
  <c r="DM149" i="6"/>
  <c r="BO45" i="24" s="1"/>
  <c r="EJ245" i="6"/>
  <c r="DS245" i="6"/>
  <c r="DQ245" i="6"/>
  <c r="DR245" i="6"/>
  <c r="DH245" i="6" s="1"/>
  <c r="DT245" i="6"/>
  <c r="DO245" i="6"/>
  <c r="DN245" i="6"/>
  <c r="DM245" i="6"/>
  <c r="DP245" i="6"/>
  <c r="DL245" i="6"/>
  <c r="DK245" i="6"/>
  <c r="DJ245" i="6"/>
  <c r="DI245" i="6"/>
  <c r="DF34" i="24"/>
  <c r="CC35" i="24"/>
  <c r="AJ27" i="24"/>
  <c r="BW64" i="4"/>
  <c r="BU29" i="6"/>
  <c r="CS28" i="24"/>
  <c r="M35" i="24"/>
  <c r="CE39" i="6"/>
  <c r="BT38" i="6"/>
  <c r="F36" i="24" s="1"/>
  <c r="BQ34" i="24"/>
  <c r="AN35" i="24"/>
  <c r="CG35" i="24"/>
  <c r="CP34" i="24"/>
  <c r="BW34" i="24"/>
  <c r="CX30" i="24"/>
  <c r="I75" i="1"/>
  <c r="EJ197" i="6"/>
  <c r="DR197" i="6"/>
  <c r="DH197" i="6" s="1"/>
  <c r="DP197" i="6"/>
  <c r="CZ42" i="24" s="1"/>
  <c r="DQ197" i="6"/>
  <c r="DL197" i="6"/>
  <c r="DK197" i="6"/>
  <c r="CZ47" i="24" s="1"/>
  <c r="DJ197" i="6"/>
  <c r="DI197" i="6"/>
  <c r="DT197" i="6"/>
  <c r="CZ38" i="24" s="1"/>
  <c r="DS197" i="6"/>
  <c r="CZ39" i="24" s="1"/>
  <c r="DN197" i="6"/>
  <c r="CZ44" i="24" s="1"/>
  <c r="DO197" i="6"/>
  <c r="CZ43" i="24" s="1"/>
  <c r="DM197" i="6"/>
  <c r="CZ45" i="24" s="1"/>
  <c r="EJ93" i="6"/>
  <c r="DR93" i="6"/>
  <c r="DH93" i="6" s="1"/>
  <c r="DP93" i="6"/>
  <c r="DQ93" i="6"/>
  <c r="T41" i="24" s="1"/>
  <c r="DO93" i="6"/>
  <c r="DM93" i="6"/>
  <c r="DL93" i="6"/>
  <c r="DI93" i="6"/>
  <c r="DN93" i="6"/>
  <c r="T44" i="24" s="1"/>
  <c r="DK93" i="6"/>
  <c r="T47" i="24" s="1"/>
  <c r="DJ93" i="6"/>
  <c r="T48" i="24" s="1"/>
  <c r="DT93" i="6"/>
  <c r="T38" i="24" s="1"/>
  <c r="DS93" i="6"/>
  <c r="T39" i="24" s="1"/>
  <c r="EJ127" i="6"/>
  <c r="DR127" i="6"/>
  <c r="AW40" i="24" s="1"/>
  <c r="DP127" i="6"/>
  <c r="AW42" i="24" s="1"/>
  <c r="DQ127" i="6"/>
  <c r="AW41" i="24" s="1"/>
  <c r="DL127" i="6"/>
  <c r="DJ127" i="6"/>
  <c r="DK127" i="6"/>
  <c r="AW47" i="24" s="1"/>
  <c r="DI127" i="6"/>
  <c r="DS127" i="6"/>
  <c r="AW39" i="24" s="1"/>
  <c r="DO127" i="6"/>
  <c r="AW43" i="24" s="1"/>
  <c r="DN127" i="6"/>
  <c r="AW44" i="24" s="1"/>
  <c r="DM127" i="6"/>
  <c r="DT127" i="6"/>
  <c r="AW38" i="24" s="1"/>
  <c r="DT36" i="24"/>
  <c r="BT223" i="6"/>
  <c r="CM35" i="24"/>
  <c r="AS35" i="24"/>
  <c r="CD64" i="4"/>
  <c r="BT29" i="6"/>
  <c r="CS32" i="24"/>
  <c r="AG32" i="24"/>
  <c r="CJ32" i="24"/>
  <c r="BS209" i="6"/>
  <c r="CE210" i="6"/>
  <c r="DK37" i="24"/>
  <c r="BI33" i="24"/>
  <c r="BP33" i="24"/>
  <c r="BW150" i="6"/>
  <c r="DX34" i="24"/>
  <c r="BG33" i="24"/>
  <c r="CP33" i="24"/>
  <c r="BF35" i="24"/>
  <c r="BU138" i="6"/>
  <c r="F70" i="6"/>
  <c r="EJ194" i="6"/>
  <c r="DR194" i="6"/>
  <c r="DH194" i="6" s="1"/>
  <c r="DQ194" i="6"/>
  <c r="DP194" i="6"/>
  <c r="DO194" i="6"/>
  <c r="DK194" i="6"/>
  <c r="DI194" i="6"/>
  <c r="DN194" i="6"/>
  <c r="DM194" i="6"/>
  <c r="DL194" i="6"/>
  <c r="DJ194" i="6"/>
  <c r="DS194" i="6"/>
  <c r="DT194" i="6"/>
  <c r="EJ92" i="6"/>
  <c r="DR92" i="6"/>
  <c r="DH92" i="6" s="1"/>
  <c r="DQ92" i="6"/>
  <c r="S41" i="24" s="1"/>
  <c r="DP92" i="6"/>
  <c r="S42" i="24" s="1"/>
  <c r="DL92" i="6"/>
  <c r="S46" i="24" s="1"/>
  <c r="DK92" i="6"/>
  <c r="S47" i="24" s="1"/>
  <c r="DJ92" i="6"/>
  <c r="S48" i="24" s="1"/>
  <c r="DI92" i="6"/>
  <c r="DO92" i="6"/>
  <c r="S43" i="24" s="1"/>
  <c r="DN92" i="6"/>
  <c r="DM92" i="6"/>
  <c r="DT92" i="6"/>
  <c r="S38" i="24" s="1"/>
  <c r="DS92" i="6"/>
  <c r="S39" i="24" s="1"/>
  <c r="L70" i="6"/>
  <c r="EJ113" i="6"/>
  <c r="DR113" i="6"/>
  <c r="AL40" i="24" s="1"/>
  <c r="DP113" i="6"/>
  <c r="AL42" i="24" s="1"/>
  <c r="DQ113" i="6"/>
  <c r="AL41" i="24" s="1"/>
  <c r="DS113" i="6"/>
  <c r="AL39" i="24" s="1"/>
  <c r="DO113" i="6"/>
  <c r="AL43" i="24" s="1"/>
  <c r="DN113" i="6"/>
  <c r="DL113" i="6"/>
  <c r="AL46" i="24" s="1"/>
  <c r="DT113" i="6"/>
  <c r="DM113" i="6"/>
  <c r="AL45" i="24" s="1"/>
  <c r="DK113" i="6"/>
  <c r="DJ113" i="6"/>
  <c r="AL48" i="24" s="1"/>
  <c r="DI113" i="6"/>
  <c r="EJ145" i="6"/>
  <c r="DR145" i="6"/>
  <c r="BL40" i="24" s="1"/>
  <c r="DQ145" i="6"/>
  <c r="BL41" i="24" s="1"/>
  <c r="DP145" i="6"/>
  <c r="BL42" i="24" s="1"/>
  <c r="DO145" i="6"/>
  <c r="BL43" i="24" s="1"/>
  <c r="DN145" i="6"/>
  <c r="BL44" i="24" s="1"/>
  <c r="DL145" i="6"/>
  <c r="BL46" i="24" s="1"/>
  <c r="DT145" i="6"/>
  <c r="BL38" i="24" s="1"/>
  <c r="DS145" i="6"/>
  <c r="BL39" i="24" s="1"/>
  <c r="DM145" i="6"/>
  <c r="BL45" i="24" s="1"/>
  <c r="DJ145" i="6"/>
  <c r="BL48" i="24" s="1"/>
  <c r="DK145" i="6"/>
  <c r="BL47" i="24" s="1"/>
  <c r="DI145" i="6"/>
  <c r="EJ85" i="6"/>
  <c r="DQ85" i="6"/>
  <c r="O41" i="24" s="1"/>
  <c r="DP85" i="6"/>
  <c r="O42" i="24" s="1"/>
  <c r="DO85" i="6"/>
  <c r="O43" i="24" s="1"/>
  <c r="DT85" i="6"/>
  <c r="DS85" i="6"/>
  <c r="DR85" i="6"/>
  <c r="DH85" i="6" s="1"/>
  <c r="DN85" i="6"/>
  <c r="O44" i="24" s="1"/>
  <c r="DL85" i="6"/>
  <c r="O46" i="24" s="1"/>
  <c r="DK85" i="6"/>
  <c r="O47" i="24" s="1"/>
  <c r="DI85" i="6"/>
  <c r="DM85" i="6"/>
  <c r="O45" i="24" s="1"/>
  <c r="DJ85" i="6"/>
  <c r="O48" i="24" s="1"/>
  <c r="EJ78" i="6"/>
  <c r="DQ78" i="6"/>
  <c r="H41" i="24" s="1"/>
  <c r="DO78" i="6"/>
  <c r="DP78" i="6"/>
  <c r="DK78" i="6"/>
  <c r="DJ78" i="6"/>
  <c r="H48" i="24" s="1"/>
  <c r="DI78" i="6"/>
  <c r="DT78" i="6"/>
  <c r="DS78" i="6"/>
  <c r="H39" i="24" s="1"/>
  <c r="DR78" i="6"/>
  <c r="H40" i="24" s="1"/>
  <c r="DM78" i="6"/>
  <c r="H45" i="24" s="1"/>
  <c r="DL78" i="6"/>
  <c r="H46" i="24" s="1"/>
  <c r="DN78" i="6"/>
  <c r="H44" i="24" s="1"/>
  <c r="C70" i="6"/>
  <c r="H70" i="6"/>
  <c r="BM28" i="24"/>
  <c r="CB146" i="6"/>
  <c r="CE100" i="6"/>
  <c r="AA37" i="24"/>
  <c r="CC88" i="6"/>
  <c r="CL32" i="24"/>
  <c r="CE134" i="6"/>
  <c r="BB37" i="24"/>
  <c r="BS133" i="6"/>
  <c r="Y26" i="24"/>
  <c r="BV63" i="4"/>
  <c r="AQ31" i="24"/>
  <c r="DD32" i="24"/>
  <c r="AP29" i="24"/>
  <c r="BS187" i="6"/>
  <c r="CE188" i="6"/>
  <c r="CR37" i="24"/>
  <c r="EJ165" i="6"/>
  <c r="DR165" i="6"/>
  <c r="DH165" i="6" s="1"/>
  <c r="DP165" i="6"/>
  <c r="DQ165" i="6"/>
  <c r="DO165" i="6"/>
  <c r="DI165" i="6"/>
  <c r="DN165" i="6"/>
  <c r="DM165" i="6"/>
  <c r="DL165" i="6"/>
  <c r="DK165" i="6"/>
  <c r="DJ165" i="6"/>
  <c r="DS165" i="6"/>
  <c r="DT165" i="6"/>
  <c r="AO33" i="24"/>
  <c r="DQ33" i="24"/>
  <c r="BW220" i="4"/>
  <c r="BW219" i="6"/>
  <c r="DA36" i="24"/>
  <c r="CZ27" i="24"/>
  <c r="BZ241" i="6"/>
  <c r="EB30" i="24" s="1"/>
  <c r="R36" i="24"/>
  <c r="BT90" i="6"/>
  <c r="AV26" i="24"/>
  <c r="CE194" i="6"/>
  <c r="CW37" i="24"/>
  <c r="BS193" i="6"/>
  <c r="CE213" i="6"/>
  <c r="DN37" i="24"/>
  <c r="CC27" i="24"/>
  <c r="AJ30" i="24"/>
  <c r="CA64" i="4"/>
  <c r="BX29" i="6"/>
  <c r="BK33" i="24"/>
  <c r="DL33" i="24"/>
  <c r="BJ33" i="24"/>
  <c r="N33" i="24"/>
  <c r="AF35" i="24"/>
  <c r="DB32" i="24"/>
  <c r="BI27" i="24"/>
  <c r="BP28" i="24"/>
  <c r="CB150" i="6"/>
  <c r="CE174" i="6"/>
  <c r="CG37" i="24"/>
  <c r="BW30" i="24"/>
  <c r="BS138" i="6"/>
  <c r="CE139" i="6"/>
  <c r="BF37" i="24"/>
  <c r="CO29" i="24"/>
  <c r="CN32" i="24"/>
  <c r="BX182" i="6"/>
  <c r="DG26" i="24"/>
  <c r="AT27" i="24"/>
  <c r="CD88" i="6"/>
  <c r="CU27" i="24"/>
  <c r="BL28" i="24"/>
  <c r="AI32" i="24"/>
  <c r="AQ30" i="24"/>
  <c r="O27" i="24"/>
  <c r="BS32" i="24"/>
  <c r="W28" i="24"/>
  <c r="CR36" i="24"/>
  <c r="BT187" i="6"/>
  <c r="AZ31" i="24"/>
  <c r="V29" i="24"/>
  <c r="CH34" i="24"/>
  <c r="L26" i="24"/>
  <c r="AX30" i="24"/>
  <c r="DI26" i="24"/>
  <c r="AW26" i="24"/>
  <c r="CE80" i="6"/>
  <c r="J37" i="24"/>
  <c r="DV27" i="24"/>
  <c r="CE32" i="24"/>
  <c r="BT30" i="24"/>
  <c r="BZ157" i="6"/>
  <c r="I70" i="6"/>
  <c r="DN36" i="24"/>
  <c r="CM30" i="24"/>
  <c r="CE123" i="6"/>
  <c r="AS37" i="24"/>
  <c r="CK30" i="24"/>
  <c r="BZ178" i="6"/>
  <c r="CS29" i="24"/>
  <c r="AG30" i="24"/>
  <c r="CJ33" i="24"/>
  <c r="BY38" i="6"/>
  <c r="F31" i="24" s="1"/>
  <c r="CI27" i="24"/>
  <c r="AY31" i="24"/>
  <c r="BY129" i="6"/>
  <c r="BP27" i="24"/>
  <c r="CC150" i="6"/>
  <c r="T30" i="24"/>
  <c r="DJ32" i="24"/>
  <c r="DW33" i="24"/>
  <c r="BW227" i="6"/>
  <c r="BO30" i="24"/>
  <c r="CO26" i="24"/>
  <c r="I35" i="24"/>
  <c r="CD55" i="4"/>
  <c r="CD57" i="6"/>
  <c r="CD58" i="6" s="1"/>
  <c r="H29" i="24"/>
  <c r="CE44" i="6"/>
  <c r="BM30" i="24"/>
  <c r="BZ146" i="6"/>
  <c r="AA31" i="24"/>
  <c r="CB88" i="6"/>
  <c r="CU34" i="24"/>
  <c r="BL27" i="24"/>
  <c r="AI27" i="24"/>
  <c r="BZ63" i="4"/>
  <c r="CT31" i="24"/>
  <c r="X30" i="24"/>
  <c r="BA28" i="24"/>
  <c r="CR31" i="24"/>
  <c r="BY187" i="6"/>
  <c r="AZ37" i="24"/>
  <c r="CE131" i="6"/>
  <c r="V28" i="24"/>
  <c r="CH35" i="24"/>
  <c r="BX34" i="24"/>
  <c r="S26" i="24"/>
  <c r="CY27" i="24"/>
  <c r="DH26" i="24"/>
  <c r="CD205" i="6"/>
  <c r="AC26" i="24"/>
  <c r="CW26" i="24"/>
  <c r="CD193" i="6"/>
  <c r="CE148" i="6"/>
  <c r="BN37" i="24"/>
  <c r="AB28" i="24"/>
  <c r="CE112" i="6"/>
  <c r="AK37" i="24"/>
  <c r="EJ77" i="6"/>
  <c r="DQ77" i="6"/>
  <c r="DP77" i="6"/>
  <c r="DO77" i="6"/>
  <c r="DT77" i="6"/>
  <c r="DN77" i="6"/>
  <c r="DS77" i="6"/>
  <c r="DR77" i="6"/>
  <c r="DH77" i="6" s="1"/>
  <c r="DJ77" i="6"/>
  <c r="DL77" i="6"/>
  <c r="DI77" i="6"/>
  <c r="DM77" i="6"/>
  <c r="DK77" i="6"/>
  <c r="EJ166" i="6"/>
  <c r="DR166" i="6"/>
  <c r="DQ166" i="6"/>
  <c r="DP166" i="6"/>
  <c r="DS166" i="6"/>
  <c r="BZ39" i="24" s="1"/>
  <c r="DO166" i="6"/>
  <c r="BZ43" i="24" s="1"/>
  <c r="DN166" i="6"/>
  <c r="BZ44" i="24" s="1"/>
  <c r="DT166" i="6"/>
  <c r="BZ38" i="24" s="1"/>
  <c r="DM166" i="6"/>
  <c r="BZ45" i="24" s="1"/>
  <c r="DL166" i="6"/>
  <c r="BZ46" i="24" s="1"/>
  <c r="DK166" i="6"/>
  <c r="BZ47" i="24" s="1"/>
  <c r="DI166" i="6"/>
  <c r="DJ166" i="6"/>
  <c r="BZ48" i="24" s="1"/>
  <c r="EJ109" i="6"/>
  <c r="DR109" i="6"/>
  <c r="AH40" i="24" s="1"/>
  <c r="DP109" i="6"/>
  <c r="DQ109" i="6"/>
  <c r="AH41" i="24" s="1"/>
  <c r="DO109" i="6"/>
  <c r="DM109" i="6"/>
  <c r="AH45" i="24" s="1"/>
  <c r="DT109" i="6"/>
  <c r="AH38" i="24" s="1"/>
  <c r="DS109" i="6"/>
  <c r="AH39" i="24" s="1"/>
  <c r="DN109" i="6"/>
  <c r="AH44" i="24" s="1"/>
  <c r="DL109" i="6"/>
  <c r="AH46" i="24" s="1"/>
  <c r="DJ109" i="6"/>
  <c r="DK109" i="6"/>
  <c r="DI109" i="6"/>
  <c r="EJ34" i="6"/>
  <c r="DT34" i="6"/>
  <c r="DS34" i="6"/>
  <c r="DR34" i="6"/>
  <c r="DH34" i="6" s="1"/>
  <c r="DK34" i="6"/>
  <c r="DI34" i="6"/>
  <c r="DQ34" i="6"/>
  <c r="DJ34" i="6"/>
  <c r="DM34" i="6"/>
  <c r="DO34" i="6"/>
  <c r="DL34" i="6"/>
  <c r="DP34" i="6"/>
  <c r="DN34" i="6"/>
  <c r="EJ189" i="6"/>
  <c r="DR189" i="6"/>
  <c r="CS40" i="24" s="1"/>
  <c r="DP189" i="6"/>
  <c r="DQ189" i="6"/>
  <c r="CS41" i="24" s="1"/>
  <c r="DO189" i="6"/>
  <c r="CS43" i="24" s="1"/>
  <c r="DL189" i="6"/>
  <c r="CS46" i="24" s="1"/>
  <c r="DK189" i="6"/>
  <c r="CS47" i="24" s="1"/>
  <c r="DJ189" i="6"/>
  <c r="CS48" i="24" s="1"/>
  <c r="DN189" i="6"/>
  <c r="DM189" i="6"/>
  <c r="DI189" i="6"/>
  <c r="DT189" i="6"/>
  <c r="CS38" i="24" s="1"/>
  <c r="DS189" i="6"/>
  <c r="CS39" i="24" s="1"/>
  <c r="CN233" i="4"/>
  <c r="CN231" i="4"/>
  <c r="DN32" i="24"/>
  <c r="CV28" i="24"/>
  <c r="CM29" i="24"/>
  <c r="BC32" i="24"/>
  <c r="AJ26" i="24"/>
  <c r="CC64" i="4"/>
  <c r="CD29" i="6"/>
  <c r="CA31" i="24"/>
  <c r="DS27" i="24"/>
  <c r="CC222" i="4"/>
  <c r="CS31" i="24"/>
  <c r="BJ28" i="24"/>
  <c r="N31" i="24"/>
  <c r="AF33" i="24"/>
  <c r="DK34" i="24"/>
  <c r="BV209" i="6"/>
  <c r="CI35" i="24"/>
  <c r="BQ36" i="24"/>
  <c r="AY27" i="24"/>
  <c r="CC129" i="6"/>
  <c r="U36" i="24"/>
  <c r="AM27" i="24"/>
  <c r="CC116" i="6"/>
  <c r="AD30" i="24"/>
  <c r="BZ104" i="6"/>
  <c r="T28" i="24"/>
  <c r="DX28" i="24"/>
  <c r="CG36" i="24"/>
  <c r="BG27" i="24"/>
  <c r="CP30" i="24"/>
  <c r="BW27" i="24"/>
  <c r="BF32" i="24"/>
  <c r="BX138" i="6"/>
  <c r="DP28" i="24"/>
  <c r="CE184" i="6"/>
  <c r="CO37" i="24"/>
  <c r="I26" i="24"/>
  <c r="CN30" i="24"/>
  <c r="BZ182" i="6"/>
  <c r="H35" i="24"/>
  <c r="DU26" i="24"/>
  <c r="BM29" i="24"/>
  <c r="CA146" i="6"/>
  <c r="AT29" i="24"/>
  <c r="DE35" i="24"/>
  <c r="CU35" i="24"/>
  <c r="CB35" i="24"/>
  <c r="BB35" i="24"/>
  <c r="BU133" i="6"/>
  <c r="AI34" i="24"/>
  <c r="P31" i="24"/>
  <c r="CE212" i="6"/>
  <c r="DM37" i="24"/>
  <c r="AQ28" i="24"/>
  <c r="X28" i="24"/>
  <c r="DD29" i="24"/>
  <c r="CE132" i="6"/>
  <c r="BA37" i="24"/>
  <c r="W31" i="24"/>
  <c r="CD60" i="6"/>
  <c r="CD61" i="4"/>
  <c r="CR32" i="24"/>
  <c r="BX187" i="6"/>
  <c r="BR27" i="24"/>
  <c r="AO30" i="24"/>
  <c r="V26" i="24"/>
  <c r="DQ30" i="24"/>
  <c r="BZ219" i="6"/>
  <c r="BZ220" i="4"/>
  <c r="AE36" i="24"/>
  <c r="DA33" i="24"/>
  <c r="CH33" i="24"/>
  <c r="L33" i="24"/>
  <c r="BX35" i="24"/>
  <c r="S34" i="24"/>
  <c r="BU241" i="6"/>
  <c r="EB35" i="24" s="1"/>
  <c r="CY34" i="24"/>
  <c r="DH34" i="24"/>
  <c r="BV205" i="6"/>
  <c r="AC36" i="24"/>
  <c r="CW36" i="24"/>
  <c r="BT193" i="6"/>
  <c r="BN32" i="24"/>
  <c r="AU30" i="24"/>
  <c r="CD32" i="24"/>
  <c r="EJ203" i="6"/>
  <c r="DR203" i="6"/>
  <c r="DF40" i="24" s="1"/>
  <c r="DQ203" i="6"/>
  <c r="DF41" i="24" s="1"/>
  <c r="DP203" i="6"/>
  <c r="DF42" i="24" s="1"/>
  <c r="DO203" i="6"/>
  <c r="DM203" i="6"/>
  <c r="DT203" i="6"/>
  <c r="DF38" i="24" s="1"/>
  <c r="DS203" i="6"/>
  <c r="DF39" i="24" s="1"/>
  <c r="DN203" i="6"/>
  <c r="DF44" i="24" s="1"/>
  <c r="DL203" i="6"/>
  <c r="DF46" i="24" s="1"/>
  <c r="DJ203" i="6"/>
  <c r="DF48" i="24" s="1"/>
  <c r="DI203" i="6"/>
  <c r="DK203" i="6"/>
  <c r="DF47" i="24" s="1"/>
  <c r="EJ137" i="6"/>
  <c r="DR137" i="6"/>
  <c r="BE40" i="24" s="1"/>
  <c r="DQ137" i="6"/>
  <c r="BE41" i="24" s="1"/>
  <c r="DP137" i="6"/>
  <c r="DS137" i="6"/>
  <c r="DN137" i="6"/>
  <c r="BE44" i="24" s="1"/>
  <c r="DM137" i="6"/>
  <c r="DT137" i="6"/>
  <c r="BE38" i="24" s="1"/>
  <c r="DO137" i="6"/>
  <c r="BE43" i="24" s="1"/>
  <c r="DL137" i="6"/>
  <c r="BE46" i="24" s="1"/>
  <c r="DK137" i="6"/>
  <c r="BE47" i="24" s="1"/>
  <c r="DJ137" i="6"/>
  <c r="BE48" i="24" s="1"/>
  <c r="DI137" i="6"/>
  <c r="EJ45" i="6"/>
  <c r="DS45" i="6"/>
  <c r="DQ45" i="6"/>
  <c r="DR45" i="6"/>
  <c r="DH45" i="6" s="1"/>
  <c r="DP45" i="6"/>
  <c r="DN45" i="6"/>
  <c r="DL45" i="6"/>
  <c r="DK45" i="6"/>
  <c r="DJ45" i="6"/>
  <c r="DO45" i="6"/>
  <c r="DM45" i="6"/>
  <c r="DI45" i="6"/>
  <c r="DT45" i="6"/>
  <c r="EJ105" i="6"/>
  <c r="DR105" i="6"/>
  <c r="DH105" i="6" s="1"/>
  <c r="DP105" i="6"/>
  <c r="DQ105" i="6"/>
  <c r="DS105" i="6"/>
  <c r="DN105" i="6"/>
  <c r="DM105" i="6"/>
  <c r="DL105" i="6"/>
  <c r="DT105" i="6"/>
  <c r="DO105" i="6"/>
  <c r="DJ105" i="6"/>
  <c r="DI105" i="6"/>
  <c r="DK105" i="6"/>
  <c r="EJ152" i="6"/>
  <c r="DR152" i="6"/>
  <c r="BQ40" i="24" s="1"/>
  <c r="DQ152" i="6"/>
  <c r="DP152" i="6"/>
  <c r="BQ42" i="24" s="1"/>
  <c r="DS152" i="6"/>
  <c r="BQ39" i="24" s="1"/>
  <c r="DL152" i="6"/>
  <c r="DT152" i="6"/>
  <c r="BQ38" i="24" s="1"/>
  <c r="DO152" i="6"/>
  <c r="BQ43" i="24" s="1"/>
  <c r="DN152" i="6"/>
  <c r="BQ44" i="24" s="1"/>
  <c r="DM152" i="6"/>
  <c r="BQ45" i="24" s="1"/>
  <c r="DJ152" i="6"/>
  <c r="BQ48" i="24" s="1"/>
  <c r="DI152" i="6"/>
  <c r="DK152" i="6"/>
  <c r="EJ180" i="6"/>
  <c r="DR180" i="6"/>
  <c r="DH180" i="6" s="1"/>
  <c r="DP180" i="6"/>
  <c r="CL42" i="24" s="1"/>
  <c r="DQ180" i="6"/>
  <c r="DS180" i="6"/>
  <c r="DO180" i="6"/>
  <c r="CL43" i="24" s="1"/>
  <c r="DN180" i="6"/>
  <c r="CL44" i="24" s="1"/>
  <c r="DM180" i="6"/>
  <c r="CL45" i="24" s="1"/>
  <c r="DL180" i="6"/>
  <c r="CL46" i="24" s="1"/>
  <c r="DT180" i="6"/>
  <c r="CL38" i="24" s="1"/>
  <c r="DJ180" i="6"/>
  <c r="DK180" i="6"/>
  <c r="DI180" i="6"/>
  <c r="EJ179" i="6"/>
  <c r="DR179" i="6"/>
  <c r="DH179" i="6" s="1"/>
  <c r="DP179" i="6"/>
  <c r="DQ179" i="6"/>
  <c r="DO179" i="6"/>
  <c r="DL179" i="6"/>
  <c r="DN179" i="6"/>
  <c r="DM179" i="6"/>
  <c r="DK179" i="6"/>
  <c r="DJ179" i="6"/>
  <c r="DI179" i="6"/>
  <c r="DT179" i="6"/>
  <c r="DS179" i="6"/>
  <c r="EJ135" i="6"/>
  <c r="DR135" i="6"/>
  <c r="BC40" i="24" s="1"/>
  <c r="DQ135" i="6"/>
  <c r="BC41" i="24" s="1"/>
  <c r="DP135" i="6"/>
  <c r="BC42" i="24" s="1"/>
  <c r="DL135" i="6"/>
  <c r="BC46" i="24" s="1"/>
  <c r="DJ135" i="6"/>
  <c r="BC48" i="24" s="1"/>
  <c r="DK135" i="6"/>
  <c r="BC47" i="24" s="1"/>
  <c r="DI135" i="6"/>
  <c r="DS135" i="6"/>
  <c r="BC39" i="24" s="1"/>
  <c r="DN135" i="6"/>
  <c r="DO135" i="6"/>
  <c r="DM135" i="6"/>
  <c r="BC45" i="24" s="1"/>
  <c r="DT135" i="6"/>
  <c r="BC38" i="24" s="1"/>
  <c r="DF30" i="24"/>
  <c r="CV27" i="24"/>
  <c r="BC31" i="24"/>
  <c r="Z36" i="24"/>
  <c r="CK31" i="24"/>
  <c r="BY178" i="6"/>
  <c r="BK36" i="24"/>
  <c r="DL31" i="24"/>
  <c r="BJ26" i="24"/>
  <c r="CE246" i="6"/>
  <c r="M37" i="24"/>
  <c r="CE83" i="6"/>
  <c r="DB35" i="24"/>
  <c r="BQ35" i="24"/>
  <c r="AN34" i="24"/>
  <c r="AM35" i="24"/>
  <c r="BU116" i="6"/>
  <c r="CG34" i="24"/>
  <c r="DW35" i="24"/>
  <c r="BU227" i="6"/>
  <c r="BW35" i="24"/>
  <c r="BF30" i="24"/>
  <c r="BZ138" i="6"/>
  <c r="CX32" i="24"/>
  <c r="I37" i="24"/>
  <c r="CE79" i="6"/>
  <c r="CN29" i="24"/>
  <c r="CA182" i="6"/>
  <c r="H28" i="24"/>
  <c r="DG32" i="24"/>
  <c r="AT36" i="24"/>
  <c r="BW88" i="6"/>
  <c r="EJ212" i="6"/>
  <c r="DR212" i="6"/>
  <c r="DM40" i="24" s="1"/>
  <c r="DP212" i="6"/>
  <c r="DM42" i="24" s="1"/>
  <c r="DQ212" i="6"/>
  <c r="DM41" i="24" s="1"/>
  <c r="DL212" i="6"/>
  <c r="DM46" i="24" s="1"/>
  <c r="DK212" i="6"/>
  <c r="DM47" i="24" s="1"/>
  <c r="DJ212" i="6"/>
  <c r="DM48" i="24" s="1"/>
  <c r="DI212" i="6"/>
  <c r="DM212" i="6"/>
  <c r="DT212" i="6"/>
  <c r="DM38" i="24" s="1"/>
  <c r="DS212" i="6"/>
  <c r="DM39" i="24" s="1"/>
  <c r="DO212" i="6"/>
  <c r="DM43" i="24" s="1"/>
  <c r="DN212" i="6"/>
  <c r="DM44" i="24" s="1"/>
  <c r="CU33" i="24"/>
  <c r="CB33" i="24"/>
  <c r="AR35" i="24"/>
  <c r="P30" i="24"/>
  <c r="DM27" i="24"/>
  <c r="AH36" i="24"/>
  <c r="O36" i="24"/>
  <c r="BS31" i="24"/>
  <c r="W30" i="24"/>
  <c r="DC32" i="24"/>
  <c r="BR26" i="24"/>
  <c r="AO29" i="24"/>
  <c r="V27" i="24"/>
  <c r="CE186" i="6"/>
  <c r="CQ37" i="24"/>
  <c r="CE82" i="6"/>
  <c r="L37" i="24"/>
  <c r="AX33" i="24"/>
  <c r="BT241" i="6"/>
  <c r="EB36" i="24" s="1"/>
  <c r="CY35" i="24"/>
  <c r="DH35" i="24"/>
  <c r="BU205" i="6"/>
  <c r="DV35" i="24"/>
  <c r="CE34" i="24"/>
  <c r="BE36" i="24"/>
  <c r="AB26" i="24"/>
  <c r="CD30" i="24"/>
  <c r="BT27" i="24"/>
  <c r="CC157" i="6"/>
  <c r="EJ200" i="6"/>
  <c r="DR200" i="6"/>
  <c r="DC40" i="24" s="1"/>
  <c r="DP200" i="6"/>
  <c r="DQ200" i="6"/>
  <c r="DC41" i="24" s="1"/>
  <c r="DI200" i="6"/>
  <c r="DS200" i="6"/>
  <c r="DC39" i="24" s="1"/>
  <c r="DT200" i="6"/>
  <c r="DC38" i="24" s="1"/>
  <c r="DO200" i="6"/>
  <c r="DC43" i="24" s="1"/>
  <c r="DN200" i="6"/>
  <c r="DC44" i="24" s="1"/>
  <c r="DJ200" i="6"/>
  <c r="DC48" i="24" s="1"/>
  <c r="DM200" i="6"/>
  <c r="DL200" i="6"/>
  <c r="DK200" i="6"/>
  <c r="DC47" i="24" s="1"/>
  <c r="EJ99" i="6"/>
  <c r="DR99" i="6"/>
  <c r="Z40" i="24" s="1"/>
  <c r="DP99" i="6"/>
  <c r="DQ99" i="6"/>
  <c r="Z41" i="24" s="1"/>
  <c r="DI99" i="6"/>
  <c r="DT99" i="6"/>
  <c r="Z38" i="24" s="1"/>
  <c r="DS99" i="6"/>
  <c r="Z39" i="24" s="1"/>
  <c r="DO99" i="6"/>
  <c r="Z43" i="24" s="1"/>
  <c r="DK99" i="6"/>
  <c r="Z47" i="24" s="1"/>
  <c r="DJ99" i="6"/>
  <c r="Z48" i="24" s="1"/>
  <c r="DN99" i="6"/>
  <c r="DM99" i="6"/>
  <c r="Z45" i="24" s="1"/>
  <c r="DL99" i="6"/>
  <c r="Z46" i="24" s="1"/>
  <c r="EJ206" i="6"/>
  <c r="DR206" i="6"/>
  <c r="DH206" i="6" s="1"/>
  <c r="DP206" i="6"/>
  <c r="DQ206" i="6"/>
  <c r="DN206" i="6"/>
  <c r="DL206" i="6"/>
  <c r="DT206" i="6"/>
  <c r="DS206" i="6"/>
  <c r="DO206" i="6"/>
  <c r="DM206" i="6"/>
  <c r="DK206" i="6"/>
  <c r="DI206" i="6"/>
  <c r="DJ206" i="6"/>
  <c r="EJ97" i="6"/>
  <c r="DR97" i="6"/>
  <c r="X40" i="24" s="1"/>
  <c r="DP97" i="6"/>
  <c r="X42" i="24" s="1"/>
  <c r="DQ97" i="6"/>
  <c r="X41" i="24" s="1"/>
  <c r="DO97" i="6"/>
  <c r="X43" i="24" s="1"/>
  <c r="DM97" i="6"/>
  <c r="X45" i="24" s="1"/>
  <c r="DL97" i="6"/>
  <c r="X46" i="24" s="1"/>
  <c r="DK97" i="6"/>
  <c r="DJ97" i="6"/>
  <c r="X48" i="24" s="1"/>
  <c r="DI97" i="6"/>
  <c r="DN97" i="6"/>
  <c r="DS97" i="6"/>
  <c r="DT97" i="6"/>
  <c r="X38" i="24" s="1"/>
  <c r="EJ123" i="6"/>
  <c r="DR123" i="6"/>
  <c r="AS40" i="24" s="1"/>
  <c r="DP123" i="6"/>
  <c r="AS42" i="24" s="1"/>
  <c r="DQ123" i="6"/>
  <c r="AS41" i="24" s="1"/>
  <c r="DL123" i="6"/>
  <c r="AS46" i="24" s="1"/>
  <c r="DI123" i="6"/>
  <c r="DK123" i="6"/>
  <c r="DJ123" i="6"/>
  <c r="DS123" i="6"/>
  <c r="DO123" i="6"/>
  <c r="AS43" i="24" s="1"/>
  <c r="DM123" i="6"/>
  <c r="DT123" i="6"/>
  <c r="AS38" i="24" s="1"/>
  <c r="DN123" i="6"/>
  <c r="AS44" i="24" s="1"/>
  <c r="EJ175" i="6"/>
  <c r="DR175" i="6"/>
  <c r="CH40" i="24" s="1"/>
  <c r="DQ175" i="6"/>
  <c r="CH41" i="24" s="1"/>
  <c r="DP175" i="6"/>
  <c r="CH42" i="24" s="1"/>
  <c r="DM175" i="6"/>
  <c r="CH45" i="24" s="1"/>
  <c r="DT175" i="6"/>
  <c r="DS175" i="6"/>
  <c r="DO175" i="6"/>
  <c r="DN175" i="6"/>
  <c r="CH44" i="24" s="1"/>
  <c r="DL175" i="6"/>
  <c r="DI175" i="6"/>
  <c r="DK175" i="6"/>
  <c r="DJ175" i="6"/>
  <c r="CH48" i="24" s="1"/>
  <c r="EJ95" i="6"/>
  <c r="DR95" i="6"/>
  <c r="V40" i="24" s="1"/>
  <c r="DP95" i="6"/>
  <c r="V42" i="24" s="1"/>
  <c r="DQ95" i="6"/>
  <c r="V41" i="24" s="1"/>
  <c r="DI95" i="6"/>
  <c r="DT95" i="6"/>
  <c r="DS95" i="6"/>
  <c r="V39" i="24" s="1"/>
  <c r="DO95" i="6"/>
  <c r="V43" i="24" s="1"/>
  <c r="DN95" i="6"/>
  <c r="V44" i="24" s="1"/>
  <c r="DK95" i="6"/>
  <c r="V47" i="24" s="1"/>
  <c r="DJ95" i="6"/>
  <c r="V48" i="24" s="1"/>
  <c r="DM95" i="6"/>
  <c r="V45" i="24" s="1"/>
  <c r="DL95" i="6"/>
  <c r="V46" i="24" s="1"/>
  <c r="EJ131" i="6"/>
  <c r="DR131" i="6"/>
  <c r="AZ40" i="24" s="1"/>
  <c r="DQ131" i="6"/>
  <c r="AZ41" i="24" s="1"/>
  <c r="DP131" i="6"/>
  <c r="DL131" i="6"/>
  <c r="DI131" i="6"/>
  <c r="DK131" i="6"/>
  <c r="DJ131" i="6"/>
  <c r="DM131" i="6"/>
  <c r="DT131" i="6"/>
  <c r="AZ38" i="24" s="1"/>
  <c r="DS131" i="6"/>
  <c r="AZ39" i="24" s="1"/>
  <c r="DO131" i="6"/>
  <c r="AZ43" i="24" s="1"/>
  <c r="DN131" i="6"/>
  <c r="AZ44" i="24" s="1"/>
  <c r="DN34" i="24"/>
  <c r="CV34" i="24"/>
  <c r="BC27" i="24"/>
  <c r="Z30" i="24"/>
  <c r="CA28" i="24"/>
  <c r="BK28" i="24"/>
  <c r="DL36" i="24"/>
  <c r="BJ27" i="24"/>
  <c r="N35" i="24"/>
  <c r="AF36" i="24"/>
  <c r="DK33" i="24"/>
  <c r="BW209" i="6"/>
  <c r="CI33" i="24"/>
  <c r="AY34" i="24"/>
  <c r="BV129" i="6"/>
  <c r="BP35" i="24"/>
  <c r="BU150" i="6"/>
  <c r="AD34" i="24"/>
  <c r="BV104" i="6"/>
  <c r="T34" i="24"/>
  <c r="DJ35" i="24"/>
  <c r="BG34" i="24"/>
  <c r="CF34" i="24"/>
  <c r="BV172" i="6"/>
  <c r="BF34" i="24"/>
  <c r="BV138" i="6"/>
  <c r="DP26" i="24"/>
  <c r="BV30" i="24"/>
  <c r="I36" i="24"/>
  <c r="CB67" i="4"/>
  <c r="AL67" i="4" s="1"/>
  <c r="AL67" i="6"/>
  <c r="CC55" i="4"/>
  <c r="CC57" i="6"/>
  <c r="CC58" i="6" s="1"/>
  <c r="EJ202" i="6"/>
  <c r="DR202" i="6"/>
  <c r="DE40" i="24" s="1"/>
  <c r="DP202" i="6"/>
  <c r="DQ202" i="6"/>
  <c r="DO202" i="6"/>
  <c r="DE43" i="24" s="1"/>
  <c r="DL202" i="6"/>
  <c r="DK202" i="6"/>
  <c r="DE47" i="24" s="1"/>
  <c r="DI202" i="6"/>
  <c r="DN202" i="6"/>
  <c r="DE44" i="24" s="1"/>
  <c r="DM202" i="6"/>
  <c r="DE45" i="24" s="1"/>
  <c r="DJ202" i="6"/>
  <c r="DE48" i="24" s="1"/>
  <c r="DS202" i="6"/>
  <c r="DE39" i="24" s="1"/>
  <c r="DT202" i="6"/>
  <c r="DE38" i="24" s="1"/>
  <c r="EJ147" i="6"/>
  <c r="DR147" i="6"/>
  <c r="DH147" i="6" s="1"/>
  <c r="DP147" i="6"/>
  <c r="DQ147" i="6"/>
  <c r="DO147" i="6"/>
  <c r="DM147" i="6"/>
  <c r="DN147" i="6"/>
  <c r="DL147" i="6"/>
  <c r="DK147" i="6"/>
  <c r="DJ147" i="6"/>
  <c r="DI147" i="6"/>
  <c r="DS147" i="6"/>
  <c r="DT147" i="6"/>
  <c r="EJ119" i="6"/>
  <c r="DR119" i="6"/>
  <c r="AO40" i="24" s="1"/>
  <c r="DP119" i="6"/>
  <c r="AO42" i="24" s="1"/>
  <c r="DQ119" i="6"/>
  <c r="AO41" i="24" s="1"/>
  <c r="DL119" i="6"/>
  <c r="DJ119" i="6"/>
  <c r="AO48" i="24" s="1"/>
  <c r="DK119" i="6"/>
  <c r="AO47" i="24" s="1"/>
  <c r="DI119" i="6"/>
  <c r="DT119" i="6"/>
  <c r="AO38" i="24" s="1"/>
  <c r="DO119" i="6"/>
  <c r="AO43" i="24" s="1"/>
  <c r="DN119" i="6"/>
  <c r="AO44" i="24" s="1"/>
  <c r="DS119" i="6"/>
  <c r="DM119" i="6"/>
  <c r="EJ160" i="6"/>
  <c r="DR160" i="6"/>
  <c r="BV40" i="24" s="1"/>
  <c r="DP160" i="6"/>
  <c r="BV42" i="24" s="1"/>
  <c r="DQ160" i="6"/>
  <c r="DS160" i="6"/>
  <c r="DO160" i="6"/>
  <c r="BV43" i="24" s="1"/>
  <c r="DN160" i="6"/>
  <c r="BV44" i="24" s="1"/>
  <c r="DM160" i="6"/>
  <c r="BV45" i="24" s="1"/>
  <c r="DT160" i="6"/>
  <c r="BV38" i="24" s="1"/>
  <c r="DL160" i="6"/>
  <c r="BV46" i="24" s="1"/>
  <c r="DK160" i="6"/>
  <c r="BV47" i="24" s="1"/>
  <c r="DJ160" i="6"/>
  <c r="BV48" i="24" s="1"/>
  <c r="DI160" i="6"/>
  <c r="EJ91" i="6"/>
  <c r="DR91" i="6"/>
  <c r="DH91" i="6" s="1"/>
  <c r="DP91" i="6"/>
  <c r="DQ91" i="6"/>
  <c r="DI91" i="6"/>
  <c r="DT91" i="6"/>
  <c r="DS91" i="6"/>
  <c r="DO91" i="6"/>
  <c r="DN91" i="6"/>
  <c r="DM91" i="6"/>
  <c r="DK91" i="6"/>
  <c r="DL91" i="6"/>
  <c r="DJ91" i="6"/>
  <c r="EB233" i="4"/>
  <c r="EB231" i="4"/>
  <c r="DN35" i="24"/>
  <c r="CV35" i="24"/>
  <c r="BC34" i="24"/>
  <c r="Z34" i="24"/>
  <c r="CK27" i="24"/>
  <c r="CC178" i="6"/>
  <c r="BK32" i="24"/>
  <c r="DL30" i="24"/>
  <c r="BJ36" i="24"/>
  <c r="N30" i="24"/>
  <c r="AF31" i="24"/>
  <c r="BW38" i="6"/>
  <c r="F33" i="24" s="1"/>
  <c r="DB27" i="24"/>
  <c r="BQ33" i="24"/>
  <c r="AN33" i="24"/>
  <c r="AM33" i="24"/>
  <c r="BW116" i="6"/>
  <c r="AD33" i="24"/>
  <c r="BW104" i="6"/>
  <c r="T33" i="24"/>
  <c r="DJ33" i="24"/>
  <c r="DW34" i="24"/>
  <c r="BV227" i="6"/>
  <c r="CF33" i="24"/>
  <c r="BW172" i="6"/>
  <c r="BO34" i="24"/>
  <c r="DP34" i="24"/>
  <c r="EJ40" i="6"/>
  <c r="DS40" i="6"/>
  <c r="DQ40" i="6"/>
  <c r="DR40" i="6"/>
  <c r="DH40" i="6" s="1"/>
  <c r="DP40" i="6"/>
  <c r="DN40" i="6"/>
  <c r="DL40" i="6"/>
  <c r="DK40" i="6"/>
  <c r="DJ40" i="6"/>
  <c r="DO40" i="6"/>
  <c r="DM40" i="6"/>
  <c r="DI40" i="6"/>
  <c r="DT40" i="6"/>
  <c r="EJ199" i="6"/>
  <c r="DR199" i="6"/>
  <c r="DB40" i="24" s="1"/>
  <c r="DP199" i="6"/>
  <c r="DB42" i="24" s="1"/>
  <c r="DQ199" i="6"/>
  <c r="DB41" i="24" s="1"/>
  <c r="DO199" i="6"/>
  <c r="DN199" i="6"/>
  <c r="DB44" i="24" s="1"/>
  <c r="DL199" i="6"/>
  <c r="DT199" i="6"/>
  <c r="DS199" i="6"/>
  <c r="DM199" i="6"/>
  <c r="DB45" i="24" s="1"/>
  <c r="DK199" i="6"/>
  <c r="DB47" i="24" s="1"/>
  <c r="DJ199" i="6"/>
  <c r="DB48" i="24" s="1"/>
  <c r="DI199" i="6"/>
  <c r="EJ96" i="6"/>
  <c r="DR96" i="6"/>
  <c r="DH96" i="6" s="1"/>
  <c r="DQ96" i="6"/>
  <c r="W41" i="24" s="1"/>
  <c r="DP96" i="6"/>
  <c r="DL96" i="6"/>
  <c r="W46" i="24" s="1"/>
  <c r="DJ96" i="6"/>
  <c r="DI96" i="6"/>
  <c r="DK96" i="6"/>
  <c r="DS96" i="6"/>
  <c r="W39" i="24" s="1"/>
  <c r="DN96" i="6"/>
  <c r="W44" i="24" s="1"/>
  <c r="DM96" i="6"/>
  <c r="W45" i="24" s="1"/>
  <c r="DO96" i="6"/>
  <c r="W43" i="24" s="1"/>
  <c r="DT96" i="6"/>
  <c r="W38" i="24" s="1"/>
  <c r="EJ33" i="6"/>
  <c r="DT33" i="6"/>
  <c r="DR33" i="6"/>
  <c r="DH33" i="6" s="1"/>
  <c r="DS33" i="6"/>
  <c r="DP33" i="6"/>
  <c r="DO33" i="6"/>
  <c r="DN33" i="6"/>
  <c r="DQ33" i="6"/>
  <c r="DM33" i="6"/>
  <c r="DL33" i="6"/>
  <c r="DK33" i="6"/>
  <c r="DJ33" i="6"/>
  <c r="DI33" i="6"/>
  <c r="EJ154" i="6"/>
  <c r="DR154" i="6"/>
  <c r="DH154" i="6" s="1"/>
  <c r="DQ154" i="6"/>
  <c r="DP154" i="6"/>
  <c r="DL154" i="6"/>
  <c r="DI154" i="6"/>
  <c r="DK154" i="6"/>
  <c r="BS47" i="24" s="1"/>
  <c r="DJ154" i="6"/>
  <c r="BS48" i="24" s="1"/>
  <c r="DM154" i="6"/>
  <c r="BS45" i="24" s="1"/>
  <c r="DT154" i="6"/>
  <c r="BS38" i="24" s="1"/>
  <c r="DS154" i="6"/>
  <c r="BS39" i="24" s="1"/>
  <c r="DO154" i="6"/>
  <c r="DN154" i="6"/>
  <c r="EJ191" i="6"/>
  <c r="DR191" i="6"/>
  <c r="DH191" i="6" s="1"/>
  <c r="DP191" i="6"/>
  <c r="CU42" i="24" s="1"/>
  <c r="DQ191" i="6"/>
  <c r="DI191" i="6"/>
  <c r="DS191" i="6"/>
  <c r="CU39" i="24" s="1"/>
  <c r="DT191" i="6"/>
  <c r="CU38" i="24" s="1"/>
  <c r="DO191" i="6"/>
  <c r="CU43" i="24" s="1"/>
  <c r="DL191" i="6"/>
  <c r="CU46" i="24" s="1"/>
  <c r="DK191" i="6"/>
  <c r="CU47" i="24" s="1"/>
  <c r="DJ191" i="6"/>
  <c r="DN191" i="6"/>
  <c r="CU44" i="24" s="1"/>
  <c r="DM191" i="6"/>
  <c r="CU45" i="24" s="1"/>
  <c r="EJ83" i="6"/>
  <c r="DQ83" i="6"/>
  <c r="M41" i="24" s="1"/>
  <c r="DP83" i="6"/>
  <c r="DO83" i="6"/>
  <c r="DN83" i="6"/>
  <c r="M44" i="24" s="1"/>
  <c r="DM83" i="6"/>
  <c r="M45" i="24" s="1"/>
  <c r="DL83" i="6"/>
  <c r="M46" i="24" s="1"/>
  <c r="DK83" i="6"/>
  <c r="M47" i="24" s="1"/>
  <c r="DJ83" i="6"/>
  <c r="M48" i="24" s="1"/>
  <c r="DI83" i="6"/>
  <c r="DR83" i="6"/>
  <c r="M40" i="24" s="1"/>
  <c r="DT83" i="6"/>
  <c r="DS83" i="6"/>
  <c r="M39" i="24" s="1"/>
  <c r="EJ222" i="6"/>
  <c r="DR222" i="6"/>
  <c r="DH222" i="6" s="1"/>
  <c r="DP222" i="6"/>
  <c r="AJ222" i="6" s="1"/>
  <c r="DQ222" i="6"/>
  <c r="DI222" i="6"/>
  <c r="DS222" i="6"/>
  <c r="AM222" i="6" s="1"/>
  <c r="DO222" i="6"/>
  <c r="AI222" i="6" s="1"/>
  <c r="DT222" i="6"/>
  <c r="AN222" i="6" s="1"/>
  <c r="DM222" i="6"/>
  <c r="DK222" i="6"/>
  <c r="DJ222" i="6"/>
  <c r="DN222" i="6"/>
  <c r="DL222" i="6"/>
  <c r="DX233" i="4"/>
  <c r="A70" i="6"/>
  <c r="A58" i="6"/>
  <c r="D70" i="6"/>
  <c r="ED231" i="4"/>
  <c r="CE204" i="6"/>
  <c r="DG37" i="24"/>
  <c r="BD36" i="24"/>
  <c r="G36" i="24"/>
  <c r="BT76" i="6"/>
  <c r="CU29" i="24"/>
  <c r="BL29" i="24"/>
  <c r="AR26" i="24"/>
  <c r="P36" i="24"/>
  <c r="CE42" i="6"/>
  <c r="CT26" i="24"/>
  <c r="X32" i="24"/>
  <c r="BS36" i="24"/>
  <c r="W32" i="24"/>
  <c r="BW61" i="4"/>
  <c r="BW60" i="6"/>
  <c r="BY32" i="24"/>
  <c r="BX164" i="6"/>
  <c r="AZ33" i="24"/>
  <c r="AE33" i="24"/>
  <c r="CQ27" i="24"/>
  <c r="BH26" i="24"/>
  <c r="BX27" i="24"/>
  <c r="S28" i="24"/>
  <c r="K31" i="24"/>
  <c r="CY30" i="24"/>
  <c r="DH28" i="24"/>
  <c r="CB205" i="6"/>
  <c r="DV28" i="24"/>
  <c r="CE36" i="24"/>
  <c r="BN36" i="24"/>
  <c r="BE28" i="24"/>
  <c r="AU31" i="24"/>
  <c r="AB30" i="24"/>
  <c r="CE33" i="6"/>
  <c r="CD31" i="24"/>
  <c r="BT31" i="24"/>
  <c r="BY157" i="6"/>
  <c r="DF31" i="24"/>
  <c r="CM31" i="24"/>
  <c r="AS29" i="24"/>
  <c r="Z32" i="24"/>
  <c r="CA26" i="24"/>
  <c r="EJ167" i="6"/>
  <c r="DR167" i="6"/>
  <c r="CA40" i="24" s="1"/>
  <c r="DP167" i="6"/>
  <c r="CA42" i="24" s="1"/>
  <c r="DQ167" i="6"/>
  <c r="CA41" i="24" s="1"/>
  <c r="DI167" i="6"/>
  <c r="DS167" i="6"/>
  <c r="CA39" i="24" s="1"/>
  <c r="DT167" i="6"/>
  <c r="DO167" i="6"/>
  <c r="DL167" i="6"/>
  <c r="DN167" i="6"/>
  <c r="CA44" i="24" s="1"/>
  <c r="DK167" i="6"/>
  <c r="CA47" i="24" s="1"/>
  <c r="DJ167" i="6"/>
  <c r="CA48" i="24" s="1"/>
  <c r="DM167" i="6"/>
  <c r="CA45" i="24" s="1"/>
  <c r="DS33" i="24"/>
  <c r="BW222" i="4"/>
  <c r="BZ33" i="24"/>
  <c r="AG33" i="24"/>
  <c r="CJ35" i="24"/>
  <c r="DK29" i="24"/>
  <c r="CA209" i="6"/>
  <c r="CI29" i="24"/>
  <c r="AY32" i="24"/>
  <c r="BX129" i="6"/>
  <c r="CE94" i="6"/>
  <c r="U37" i="24"/>
  <c r="AD32" i="24"/>
  <c r="BX104" i="6"/>
  <c r="T26" i="24"/>
  <c r="DJ36" i="24"/>
  <c r="CE228" i="6"/>
  <c r="BS227" i="6"/>
  <c r="DW37" i="24"/>
  <c r="CF28" i="24"/>
  <c r="CB172" i="6"/>
  <c r="BO32" i="24"/>
  <c r="CX36" i="24"/>
  <c r="I27" i="24"/>
  <c r="BX57" i="6"/>
  <c r="BX58" i="6" s="1"/>
  <c r="BX55" i="4"/>
  <c r="AL26" i="24"/>
  <c r="H30" i="24"/>
  <c r="BM31" i="24"/>
  <c r="BY146" i="6"/>
  <c r="AA26" i="24"/>
  <c r="DE36" i="24"/>
  <c r="CB26" i="24"/>
  <c r="AR29" i="24"/>
  <c r="CE98" i="6"/>
  <c r="Y37" i="24"/>
  <c r="BW63" i="4"/>
  <c r="CT29" i="24"/>
  <c r="AH26" i="24"/>
  <c r="DD31" i="24"/>
  <c r="AP28" i="24"/>
  <c r="DC26" i="24"/>
  <c r="BR29" i="24"/>
  <c r="CE106" i="6"/>
  <c r="AE37" i="24"/>
  <c r="EJ82" i="6"/>
  <c r="DQ82" i="6"/>
  <c r="L41" i="24" s="1"/>
  <c r="DO82" i="6"/>
  <c r="L43" i="24" s="1"/>
  <c r="DP82" i="6"/>
  <c r="L42" i="24" s="1"/>
  <c r="DK82" i="6"/>
  <c r="L47" i="24" s="1"/>
  <c r="DI82" i="6"/>
  <c r="DJ82" i="6"/>
  <c r="DT82" i="6"/>
  <c r="DN82" i="6"/>
  <c r="L44" i="24" s="1"/>
  <c r="DS82" i="6"/>
  <c r="DR82" i="6"/>
  <c r="DH82" i="6" s="1"/>
  <c r="DM82" i="6"/>
  <c r="DL82" i="6"/>
  <c r="L46" i="24" s="1"/>
  <c r="DA34" i="24"/>
  <c r="BH34" i="24"/>
  <c r="BX26" i="24"/>
  <c r="S27" i="24"/>
  <c r="K30" i="24"/>
  <c r="CY29" i="24"/>
  <c r="DH27" i="24"/>
  <c r="CC205" i="6"/>
  <c r="AC27" i="24"/>
  <c r="CE34" i="6"/>
  <c r="CW27" i="24"/>
  <c r="CC193" i="6"/>
  <c r="BU27" i="24"/>
  <c r="BE27" i="24"/>
  <c r="AU29" i="24"/>
  <c r="AB29" i="24"/>
  <c r="CE170" i="6"/>
  <c r="CD37" i="24"/>
  <c r="DT31" i="24"/>
  <c r="BY223" i="6"/>
  <c r="CV29" i="24"/>
  <c r="BC28" i="24"/>
  <c r="AJ29" i="24"/>
  <c r="CB64" i="4"/>
  <c r="CB29" i="6"/>
  <c r="CE144" i="6"/>
  <c r="BK37" i="24"/>
  <c r="DS29" i="24"/>
  <c r="CA222" i="4"/>
  <c r="BZ29" i="24"/>
  <c r="EJ210" i="6"/>
  <c r="DR210" i="6"/>
  <c r="DH210" i="6" s="1"/>
  <c r="DP210" i="6"/>
  <c r="DQ210" i="6"/>
  <c r="DS210" i="6"/>
  <c r="DO210" i="6"/>
  <c r="DM210" i="6"/>
  <c r="DT210" i="6"/>
  <c r="DN210" i="6"/>
  <c r="DL210" i="6"/>
  <c r="DI210" i="6"/>
  <c r="DK210" i="6"/>
  <c r="DJ210" i="6"/>
  <c r="M34" i="24"/>
  <c r="DK27" i="24"/>
  <c r="CC209" i="6"/>
  <c r="BQ26" i="24"/>
  <c r="AN27" i="24"/>
  <c r="AM31" i="24"/>
  <c r="BY116" i="6"/>
  <c r="AD31" i="24"/>
  <c r="BY104" i="6"/>
  <c r="DX30" i="24"/>
  <c r="BG30" i="24"/>
  <c r="CP32" i="24"/>
  <c r="BW29" i="24"/>
  <c r="DP29" i="24"/>
  <c r="BV31" i="24"/>
  <c r="BZ67" i="4"/>
  <c r="AJ67" i="4" s="1"/>
  <c r="AJ67" i="6"/>
  <c r="AL29" i="24"/>
  <c r="DU32" i="24"/>
  <c r="BD37" i="24"/>
  <c r="CE136" i="6"/>
  <c r="G32" i="24"/>
  <c r="BX76" i="6"/>
  <c r="DE34" i="24"/>
  <c r="CB34" i="24"/>
  <c r="AR28" i="24"/>
  <c r="P32" i="24"/>
  <c r="DM31" i="24"/>
  <c r="AH31" i="24"/>
  <c r="O30" i="24"/>
  <c r="BS29" i="24"/>
  <c r="W36" i="24"/>
  <c r="DC36" i="24"/>
  <c r="BR28" i="24"/>
  <c r="AO31" i="24"/>
  <c r="DQ31" i="24"/>
  <c r="BY219" i="6"/>
  <c r="BY220" i="4"/>
  <c r="DA35" i="24"/>
  <c r="BH35" i="24"/>
  <c r="L34" i="24"/>
  <c r="AX34" i="24"/>
  <c r="K28" i="24"/>
  <c r="DI36" i="24"/>
  <c r="AW36" i="24"/>
  <c r="J36" i="24"/>
  <c r="AV29" i="24"/>
  <c r="DO29" i="24"/>
  <c r="CA214" i="6"/>
  <c r="CE159" i="6"/>
  <c r="BU37" i="24"/>
  <c r="AU28" i="24"/>
  <c r="CD36" i="24"/>
  <c r="CA157" i="6"/>
  <c r="BT29" i="24"/>
  <c r="EJ141" i="6"/>
  <c r="DR141" i="6"/>
  <c r="BH40" i="24" s="1"/>
  <c r="DQ141" i="6"/>
  <c r="BH41" i="24" s="1"/>
  <c r="DP141" i="6"/>
  <c r="DS141" i="6"/>
  <c r="BH39" i="24" s="1"/>
  <c r="DT141" i="6"/>
  <c r="BH38" i="24" s="1"/>
  <c r="DO141" i="6"/>
  <c r="BH43" i="24" s="1"/>
  <c r="DN141" i="6"/>
  <c r="BH44" i="24" s="1"/>
  <c r="DM141" i="6"/>
  <c r="BH45" i="24" s="1"/>
  <c r="DL141" i="6"/>
  <c r="DK141" i="6"/>
  <c r="BH47" i="24" s="1"/>
  <c r="DJ141" i="6"/>
  <c r="BH48" i="24" s="1"/>
  <c r="DI141" i="6"/>
  <c r="EJ108" i="6"/>
  <c r="DR108" i="6"/>
  <c r="AG40" i="24" s="1"/>
  <c r="DQ108" i="6"/>
  <c r="AG41" i="24" s="1"/>
  <c r="DP108" i="6"/>
  <c r="DO108" i="6"/>
  <c r="DM108" i="6"/>
  <c r="AG45" i="24" s="1"/>
  <c r="DK108" i="6"/>
  <c r="DI108" i="6"/>
  <c r="DN108" i="6"/>
  <c r="AG44" i="24" s="1"/>
  <c r="DL108" i="6"/>
  <c r="AG46" i="24" s="1"/>
  <c r="DJ108" i="6"/>
  <c r="AG48" i="24" s="1"/>
  <c r="DS108" i="6"/>
  <c r="AG39" i="24" s="1"/>
  <c r="DT108" i="6"/>
  <c r="AG38" i="24" s="1"/>
  <c r="EJ188" i="6"/>
  <c r="DR188" i="6"/>
  <c r="DH188" i="6" s="1"/>
  <c r="DQ188" i="6"/>
  <c r="DP188" i="6"/>
  <c r="DL188" i="6"/>
  <c r="DJ188" i="6"/>
  <c r="DK188" i="6"/>
  <c r="DI188" i="6"/>
  <c r="DM188" i="6"/>
  <c r="DT188" i="6"/>
  <c r="DO188" i="6"/>
  <c r="DS188" i="6"/>
  <c r="DN188" i="6"/>
  <c r="EJ107" i="6"/>
  <c r="DR107" i="6"/>
  <c r="DH107" i="6" s="1"/>
  <c r="DP107" i="6"/>
  <c r="AF42" i="24" s="1"/>
  <c r="DQ107" i="6"/>
  <c r="DL107" i="6"/>
  <c r="DI107" i="6"/>
  <c r="DK107" i="6"/>
  <c r="AF47" i="24" s="1"/>
  <c r="DJ107" i="6"/>
  <c r="AF48" i="24" s="1"/>
  <c r="DM107" i="6"/>
  <c r="AF45" i="24" s="1"/>
  <c r="DT107" i="6"/>
  <c r="AF38" i="24" s="1"/>
  <c r="DO107" i="6"/>
  <c r="AF43" i="24" s="1"/>
  <c r="DS107" i="6"/>
  <c r="AF39" i="24" s="1"/>
  <c r="DN107" i="6"/>
  <c r="AF44" i="24" s="1"/>
  <c r="EJ151" i="6"/>
  <c r="DR151" i="6"/>
  <c r="DH151" i="6" s="1"/>
  <c r="DP151" i="6"/>
  <c r="DQ151" i="6"/>
  <c r="DO151" i="6"/>
  <c r="DM151" i="6"/>
  <c r="DL151" i="6"/>
  <c r="DK151" i="6"/>
  <c r="DN151" i="6"/>
  <c r="DJ151" i="6"/>
  <c r="DI151" i="6"/>
  <c r="DS151" i="6"/>
  <c r="DT151" i="6"/>
  <c r="DT30" i="24"/>
  <c r="BZ223" i="6"/>
  <c r="DF32" i="24"/>
  <c r="CC26" i="24"/>
  <c r="AS27" i="24"/>
  <c r="CE99" i="6"/>
  <c r="Z37" i="24"/>
  <c r="CK29" i="24"/>
  <c r="CA178" i="6"/>
  <c r="BK26" i="24"/>
  <c r="DL32" i="24"/>
  <c r="BZ28" i="24"/>
  <c r="AG29" i="24"/>
  <c r="CE177" i="6"/>
  <c r="CJ37" i="24"/>
  <c r="EJ142" i="6"/>
  <c r="DR142" i="6"/>
  <c r="BI40" i="24" s="1"/>
  <c r="DP142" i="6"/>
  <c r="BI42" i="24" s="1"/>
  <c r="DQ142" i="6"/>
  <c r="BI41" i="24" s="1"/>
  <c r="DI142" i="6"/>
  <c r="DT142" i="6"/>
  <c r="BI38" i="24" s="1"/>
  <c r="DS142" i="6"/>
  <c r="DO142" i="6"/>
  <c r="BI43" i="24" s="1"/>
  <c r="DN142" i="6"/>
  <c r="DM142" i="6"/>
  <c r="DL142" i="6"/>
  <c r="DK142" i="6"/>
  <c r="DJ142" i="6"/>
  <c r="M33" i="24"/>
  <c r="BZ38" i="6"/>
  <c r="F30" i="24" s="1"/>
  <c r="DB34" i="24"/>
  <c r="BI36" i="24"/>
  <c r="AN26" i="24"/>
  <c r="BP26" i="24"/>
  <c r="CD150" i="6"/>
  <c r="CE243" i="6"/>
  <c r="DJ30" i="24"/>
  <c r="DW31" i="24"/>
  <c r="BY227" i="6"/>
  <c r="CF26" i="24"/>
  <c r="CD172" i="6"/>
  <c r="BO29" i="24"/>
  <c r="CX37" i="24"/>
  <c r="CE195" i="6"/>
  <c r="CE160" i="6"/>
  <c r="BV37" i="24"/>
  <c r="CD67" i="4"/>
  <c r="AN67" i="4" s="1"/>
  <c r="AN67" i="6"/>
  <c r="BS57" i="6"/>
  <c r="BS58" i="6" s="1"/>
  <c r="BS55" i="4"/>
  <c r="CE113" i="6"/>
  <c r="AL37" i="24"/>
  <c r="DG36" i="24"/>
  <c r="BD32" i="24"/>
  <c r="AA30" i="24"/>
  <c r="CE77" i="6"/>
  <c r="BS76" i="6"/>
  <c r="G37" i="24"/>
  <c r="BS88" i="6"/>
  <c r="CE32" i="6"/>
  <c r="CL35" i="24"/>
  <c r="BL34" i="24"/>
  <c r="AR34" i="24"/>
  <c r="Y35" i="24"/>
  <c r="CA63" i="4"/>
  <c r="CE190" i="6"/>
  <c r="CT37" i="24"/>
  <c r="CE109" i="6"/>
  <c r="AH37" i="24"/>
  <c r="O26" i="24"/>
  <c r="BS28" i="24"/>
  <c r="AP32" i="24"/>
  <c r="DC28" i="24"/>
  <c r="BY28" i="24"/>
  <c r="CB164" i="6"/>
  <c r="AZ32" i="24"/>
  <c r="CQ33" i="24"/>
  <c r="BH33" i="24"/>
  <c r="CZ35" i="24"/>
  <c r="AX35" i="24"/>
  <c r="K34" i="24"/>
  <c r="DI34" i="24"/>
  <c r="R28" i="24"/>
  <c r="CB90" i="6"/>
  <c r="AV28" i="24"/>
  <c r="DO27" i="24"/>
  <c r="CC214" i="6"/>
  <c r="BU26" i="24"/>
  <c r="AB27" i="24"/>
  <c r="AK27" i="24"/>
  <c r="EJ102" i="6"/>
  <c r="DR102" i="6"/>
  <c r="DP102" i="6"/>
  <c r="AC42" i="24" s="1"/>
  <c r="DQ102" i="6"/>
  <c r="AC41" i="24" s="1"/>
  <c r="DS102" i="6"/>
  <c r="AC39" i="24" s="1"/>
  <c r="DO102" i="6"/>
  <c r="AC43" i="24" s="1"/>
  <c r="DN102" i="6"/>
  <c r="AC44" i="24" s="1"/>
  <c r="DM102" i="6"/>
  <c r="AC45" i="24" s="1"/>
  <c r="DL102" i="6"/>
  <c r="AC46" i="24" s="1"/>
  <c r="DT102" i="6"/>
  <c r="AC38" i="24" s="1"/>
  <c r="DK102" i="6"/>
  <c r="AC47" i="24" s="1"/>
  <c r="DJ102" i="6"/>
  <c r="AC48" i="24" s="1"/>
  <c r="DI102" i="6"/>
  <c r="DN30" i="24"/>
  <c r="CC36" i="24"/>
  <c r="AJ28" i="24"/>
  <c r="CA30" i="24"/>
  <c r="DS26" i="24"/>
  <c r="CD222" i="4"/>
  <c r="BZ26" i="24"/>
  <c r="N29" i="24"/>
  <c r="CJ31" i="24"/>
  <c r="BV38" i="6"/>
  <c r="F34" i="24" s="1"/>
  <c r="CI34" i="24"/>
  <c r="AY35" i="24"/>
  <c r="BU129" i="6"/>
  <c r="BP34" i="24"/>
  <c r="BV150" i="6"/>
  <c r="DX35" i="24"/>
  <c r="BG35" i="24"/>
  <c r="CP35" i="24"/>
  <c r="BO27" i="24"/>
  <c r="CO27" i="24"/>
  <c r="CA67" i="4"/>
  <c r="AK67" i="4" s="1"/>
  <c r="AK67" i="6"/>
  <c r="AL36" i="24"/>
  <c r="BM32" i="24"/>
  <c r="BX146" i="6"/>
  <c r="AA29" i="24"/>
  <c r="DE33" i="24"/>
  <c r="BL35" i="24"/>
  <c r="AI35" i="24"/>
  <c r="CT36" i="24"/>
  <c r="X27" i="24"/>
  <c r="CE62" i="6"/>
  <c r="BA27" i="24"/>
  <c r="CR30" i="24"/>
  <c r="BZ187" i="6"/>
  <c r="AZ36" i="24"/>
  <c r="DQ29" i="24"/>
  <c r="CA219" i="6"/>
  <c r="CA220" i="4"/>
  <c r="AE29" i="24"/>
  <c r="CH29" i="24"/>
  <c r="CZ33" i="24"/>
  <c r="S33" i="24"/>
  <c r="K33" i="24"/>
  <c r="R34" i="24"/>
  <c r="BV90" i="6"/>
  <c r="AV34" i="24"/>
  <c r="DO34" i="24"/>
  <c r="BV214" i="6"/>
  <c r="BU36" i="24"/>
  <c r="AU27" i="24"/>
  <c r="AK26" i="24"/>
  <c r="DT35" i="24"/>
  <c r="BU223" i="6"/>
  <c r="CM34" i="24"/>
  <c r="AS36" i="24"/>
  <c r="CK28" i="24"/>
  <c r="CB178" i="6"/>
  <c r="DS28" i="24"/>
  <c r="CB222" i="4"/>
  <c r="BZ27" i="24"/>
  <c r="AG31" i="24"/>
  <c r="CJ36" i="24"/>
  <c r="DB33" i="24"/>
  <c r="BI34" i="24"/>
  <c r="U34" i="24"/>
  <c r="AM34" i="24"/>
  <c r="BV116" i="6"/>
  <c r="DX36" i="24"/>
  <c r="DW36" i="24"/>
  <c r="BT227" i="6"/>
  <c r="BO35" i="24"/>
  <c r="CO36" i="24"/>
  <c r="EJ121" i="6"/>
  <c r="DR121" i="6"/>
  <c r="DH121" i="6" s="1"/>
  <c r="DP121" i="6"/>
  <c r="AQ42" i="24" s="1"/>
  <c r="DQ121" i="6"/>
  <c r="DS121" i="6"/>
  <c r="AQ39" i="24" s="1"/>
  <c r="DN121" i="6"/>
  <c r="AQ44" i="24" s="1"/>
  <c r="DM121" i="6"/>
  <c r="AQ45" i="24" s="1"/>
  <c r="DL121" i="6"/>
  <c r="AQ46" i="24" s="1"/>
  <c r="DT121" i="6"/>
  <c r="AQ38" i="24" s="1"/>
  <c r="DO121" i="6"/>
  <c r="AQ43" i="24" s="1"/>
  <c r="DK121" i="6"/>
  <c r="DJ121" i="6"/>
  <c r="AQ48" i="24" s="1"/>
  <c r="DI121" i="6"/>
  <c r="EJ228" i="6"/>
  <c r="DS228" i="6"/>
  <c r="DQ228" i="6"/>
  <c r="DR228" i="6"/>
  <c r="DH228" i="6" s="1"/>
  <c r="DP228" i="6"/>
  <c r="DM228" i="6"/>
  <c r="DL228" i="6"/>
  <c r="DK228" i="6"/>
  <c r="DJ228" i="6"/>
  <c r="DO228" i="6"/>
  <c r="DN228" i="6"/>
  <c r="DT228" i="6"/>
  <c r="DI228" i="6"/>
  <c r="DF35" i="24"/>
  <c r="CC34" i="24"/>
  <c r="AJ35" i="24"/>
  <c r="CA36" i="24"/>
  <c r="DS31" i="24"/>
  <c r="BY222" i="4"/>
  <c r="BZ31" i="24"/>
  <c r="M31" i="24"/>
  <c r="CI26" i="24"/>
  <c r="AY33" i="24"/>
  <c r="BW129" i="6"/>
  <c r="U33" i="24"/>
  <c r="CG33" i="24"/>
  <c r="BW33" i="24"/>
  <c r="E70" i="6"/>
  <c r="EJ117" i="6"/>
  <c r="DR117" i="6"/>
  <c r="DH117" i="6" s="1"/>
  <c r="DP117" i="6"/>
  <c r="DQ117" i="6"/>
  <c r="DO117" i="6"/>
  <c r="DM117" i="6"/>
  <c r="DT117" i="6"/>
  <c r="DS117" i="6"/>
  <c r="DN117" i="6"/>
  <c r="DL117" i="6"/>
  <c r="DK117" i="6"/>
  <c r="DJ117" i="6"/>
  <c r="DI117" i="6"/>
  <c r="EJ31" i="6"/>
  <c r="DT31" i="6"/>
  <c r="DR31" i="6"/>
  <c r="DH31" i="6" s="1"/>
  <c r="DS31" i="6"/>
  <c r="DN31" i="6"/>
  <c r="DJ31" i="6"/>
  <c r="DI31" i="6"/>
  <c r="DM31" i="6"/>
  <c r="DL31" i="6"/>
  <c r="DK31" i="6"/>
  <c r="DQ31" i="6"/>
  <c r="DP31" i="6"/>
  <c r="DO31" i="6"/>
  <c r="EJ143" i="6"/>
  <c r="DR143" i="6"/>
  <c r="DH143" i="6" s="1"/>
  <c r="DQ143" i="6"/>
  <c r="BJ41" i="24" s="1"/>
  <c r="DP143" i="6"/>
  <c r="BJ42" i="24" s="1"/>
  <c r="DL143" i="6"/>
  <c r="BJ46" i="24" s="1"/>
  <c r="DI143" i="6"/>
  <c r="DK143" i="6"/>
  <c r="BJ47" i="24" s="1"/>
  <c r="DJ143" i="6"/>
  <c r="BJ48" i="24" s="1"/>
  <c r="DS143" i="6"/>
  <c r="BJ39" i="24" s="1"/>
  <c r="DO143" i="6"/>
  <c r="BJ43" i="24" s="1"/>
  <c r="DT143" i="6"/>
  <c r="BJ38" i="24" s="1"/>
  <c r="DN143" i="6"/>
  <c r="DM143" i="6"/>
  <c r="EJ225" i="6"/>
  <c r="DS225" i="6"/>
  <c r="DU39" i="24" s="1"/>
  <c r="DR225" i="6"/>
  <c r="DH225" i="6" s="1"/>
  <c r="DQ225" i="6"/>
  <c r="DM225" i="6"/>
  <c r="DJ225" i="6"/>
  <c r="DU48" i="24" s="1"/>
  <c r="DI225" i="6"/>
  <c r="DL225" i="6"/>
  <c r="DU46" i="24" s="1"/>
  <c r="DK225" i="6"/>
  <c r="DU47" i="24" s="1"/>
  <c r="DT225" i="6"/>
  <c r="DU38" i="24" s="1"/>
  <c r="DP225" i="6"/>
  <c r="DU42" i="24" s="1"/>
  <c r="DO225" i="6"/>
  <c r="DN225" i="6"/>
  <c r="DU44" i="24" s="1"/>
  <c r="G70" i="6"/>
  <c r="AZ231" i="4"/>
  <c r="EJ190" i="6"/>
  <c r="DR190" i="6"/>
  <c r="CT40" i="24" s="1"/>
  <c r="DQ190" i="6"/>
  <c r="CT41" i="24" s="1"/>
  <c r="DP190" i="6"/>
  <c r="CT42" i="24" s="1"/>
  <c r="DO190" i="6"/>
  <c r="CT43" i="24" s="1"/>
  <c r="DL190" i="6"/>
  <c r="CT46" i="24" s="1"/>
  <c r="DT190" i="6"/>
  <c r="CT38" i="24" s="1"/>
  <c r="DS190" i="6"/>
  <c r="DN190" i="6"/>
  <c r="CT44" i="24" s="1"/>
  <c r="DM190" i="6"/>
  <c r="DJ190" i="6"/>
  <c r="DK190" i="6"/>
  <c r="CT47" i="24" s="1"/>
  <c r="DI190" i="6"/>
  <c r="EJ140" i="6"/>
  <c r="DR140" i="6"/>
  <c r="BG40" i="24" s="1"/>
  <c r="DP140" i="6"/>
  <c r="BG42" i="24" s="1"/>
  <c r="DQ140" i="6"/>
  <c r="BG41" i="24" s="1"/>
  <c r="DO140" i="6"/>
  <c r="BG43" i="24" s="1"/>
  <c r="DL140" i="6"/>
  <c r="BG46" i="24" s="1"/>
  <c r="DK140" i="6"/>
  <c r="DN140" i="6"/>
  <c r="BG44" i="24" s="1"/>
  <c r="DM140" i="6"/>
  <c r="DJ140" i="6"/>
  <c r="BG48" i="24" s="1"/>
  <c r="DI140" i="6"/>
  <c r="DS140" i="6"/>
  <c r="BG39" i="24" s="1"/>
  <c r="DT140" i="6"/>
  <c r="BG38" i="24" s="1"/>
  <c r="EJ86" i="6"/>
  <c r="DQ86" i="6"/>
  <c r="P41" i="24" s="1"/>
  <c r="DO86" i="6"/>
  <c r="P43" i="24" s="1"/>
  <c r="DP86" i="6"/>
  <c r="P42" i="24" s="1"/>
  <c r="DK86" i="6"/>
  <c r="P47" i="24" s="1"/>
  <c r="DI86" i="6"/>
  <c r="DT86" i="6"/>
  <c r="P38" i="24" s="1"/>
  <c r="DJ86" i="6"/>
  <c r="DN86" i="6"/>
  <c r="P44" i="24" s="1"/>
  <c r="DS86" i="6"/>
  <c r="DR86" i="6"/>
  <c r="DH86" i="6" s="1"/>
  <c r="DM86" i="6"/>
  <c r="P45" i="24" s="1"/>
  <c r="DL86" i="6"/>
  <c r="P46" i="24" s="1"/>
  <c r="AL6" i="6"/>
  <c r="CP234" i="6"/>
  <c r="CR233" i="4"/>
  <c r="CR231" i="4"/>
  <c r="CJ233" i="4"/>
  <c r="CJ231" i="4"/>
  <c r="CN28" i="24"/>
  <c r="CB182" i="6"/>
  <c r="DG31" i="24"/>
  <c r="AA36" i="24"/>
  <c r="CL29" i="24"/>
  <c r="AR33" i="24"/>
  <c r="DM26" i="24"/>
  <c r="X26" i="24"/>
  <c r="BS30" i="24"/>
  <c r="DC31" i="24"/>
  <c r="BR36" i="24"/>
  <c r="CE245" i="6"/>
  <c r="AE28" i="24"/>
  <c r="CQ26" i="24"/>
  <c r="BH36" i="24"/>
  <c r="L36" i="24"/>
  <c r="AX29" i="24"/>
  <c r="K27" i="24"/>
  <c r="CY33" i="24"/>
  <c r="DH33" i="24"/>
  <c r="BW205" i="6"/>
  <c r="AC35" i="24"/>
  <c r="CW35" i="24"/>
  <c r="BU193" i="6"/>
  <c r="BU35" i="24"/>
  <c r="BE35" i="24"/>
  <c r="AB35" i="24"/>
  <c r="AK36" i="24"/>
  <c r="D218" i="6"/>
  <c r="EJ184" i="6"/>
  <c r="DR184" i="6"/>
  <c r="CO40" i="24" s="1"/>
  <c r="DQ184" i="6"/>
  <c r="DP184" i="6"/>
  <c r="CO42" i="24" s="1"/>
  <c r="DS184" i="6"/>
  <c r="CO39" i="24" s="1"/>
  <c r="DO184" i="6"/>
  <c r="CO43" i="24" s="1"/>
  <c r="DM184" i="6"/>
  <c r="CO45" i="24" s="1"/>
  <c r="DT184" i="6"/>
  <c r="DN184" i="6"/>
  <c r="DL184" i="6"/>
  <c r="CO46" i="24" s="1"/>
  <c r="DK184" i="6"/>
  <c r="CO47" i="24" s="1"/>
  <c r="DJ184" i="6"/>
  <c r="CO48" i="24" s="1"/>
  <c r="DI184" i="6"/>
  <c r="EJ136" i="6"/>
  <c r="DR136" i="6"/>
  <c r="DH136" i="6" s="1"/>
  <c r="DP136" i="6"/>
  <c r="DQ136" i="6"/>
  <c r="DO136" i="6"/>
  <c r="BD43" i="24" s="1"/>
  <c r="DL136" i="6"/>
  <c r="BD46" i="24" s="1"/>
  <c r="DK136" i="6"/>
  <c r="DN136" i="6"/>
  <c r="DM136" i="6"/>
  <c r="BD45" i="24" s="1"/>
  <c r="DJ136" i="6"/>
  <c r="BD48" i="24" s="1"/>
  <c r="DI136" i="6"/>
  <c r="DT136" i="6"/>
  <c r="BD38" i="24" s="1"/>
  <c r="DS136" i="6"/>
  <c r="BD39" i="24" s="1"/>
  <c r="EJ80" i="6"/>
  <c r="DQ80" i="6"/>
  <c r="J41" i="24" s="1"/>
  <c r="DO80" i="6"/>
  <c r="DP80" i="6"/>
  <c r="DT80" i="6"/>
  <c r="J38" i="24" s="1"/>
  <c r="DN80" i="6"/>
  <c r="J44" i="24" s="1"/>
  <c r="DK80" i="6"/>
  <c r="DS80" i="6"/>
  <c r="J39" i="24" s="1"/>
  <c r="DR80" i="6"/>
  <c r="J40" i="24" s="1"/>
  <c r="DM80" i="6"/>
  <c r="J45" i="24" s="1"/>
  <c r="DL80" i="6"/>
  <c r="J46" i="24" s="1"/>
  <c r="DI80" i="6"/>
  <c r="DJ80" i="6"/>
  <c r="EJ246" i="6"/>
  <c r="DS246" i="6"/>
  <c r="DQ246" i="6"/>
  <c r="DR246" i="6"/>
  <c r="DJ246" i="6"/>
  <c r="DT246" i="6"/>
  <c r="DP246" i="6"/>
  <c r="DI246" i="6"/>
  <c r="DN246" i="6"/>
  <c r="DM246" i="6"/>
  <c r="DL246" i="6"/>
  <c r="DK246" i="6"/>
  <c r="DO246" i="6"/>
  <c r="EJ211" i="6"/>
  <c r="DR211" i="6"/>
  <c r="DL40" i="24" s="1"/>
  <c r="DQ211" i="6"/>
  <c r="DP211" i="6"/>
  <c r="DI211" i="6"/>
  <c r="DT211" i="6"/>
  <c r="DL38" i="24" s="1"/>
  <c r="DO211" i="6"/>
  <c r="DL43" i="24" s="1"/>
  <c r="DS211" i="6"/>
  <c r="DL39" i="24" s="1"/>
  <c r="DK211" i="6"/>
  <c r="DL47" i="24" s="1"/>
  <c r="DN211" i="6"/>
  <c r="DL44" i="24" s="1"/>
  <c r="DM211" i="6"/>
  <c r="DL211" i="6"/>
  <c r="DJ211" i="6"/>
  <c r="DL48" i="24" s="1"/>
  <c r="DN33" i="24"/>
  <c r="DF33" i="24"/>
  <c r="CV33" i="24"/>
  <c r="CM33" i="24"/>
  <c r="CC33" i="24"/>
  <c r="BC35" i="24"/>
  <c r="AS34" i="24"/>
  <c r="AJ34" i="24"/>
  <c r="Z35" i="24"/>
  <c r="BX64" i="4"/>
  <c r="BV29" i="6"/>
  <c r="CK37" i="24"/>
  <c r="BS178" i="6"/>
  <c r="CE179" i="6"/>
  <c r="CA32" i="24"/>
  <c r="BK31" i="24"/>
  <c r="CE166" i="6"/>
  <c r="BZ37" i="24"/>
  <c r="CE143" i="6"/>
  <c r="BJ37" i="24"/>
  <c r="AG27" i="24"/>
  <c r="CE84" i="6"/>
  <c r="N37" i="24"/>
  <c r="CJ27" i="24"/>
  <c r="AF32" i="24"/>
  <c r="M36" i="24"/>
  <c r="BX38" i="6"/>
  <c r="F32" i="24" s="1"/>
  <c r="DK26" i="24"/>
  <c r="CD209" i="6"/>
  <c r="DB29" i="24"/>
  <c r="CE176" i="6"/>
  <c r="CI37" i="24"/>
  <c r="BQ32" i="24"/>
  <c r="BI28" i="24"/>
  <c r="BS129" i="6"/>
  <c r="CE130" i="6"/>
  <c r="AY37" i="24"/>
  <c r="AN37" i="24"/>
  <c r="CE118" i="6"/>
  <c r="U31" i="24"/>
  <c r="BP32" i="24"/>
  <c r="BX150" i="6"/>
  <c r="AM26" i="24"/>
  <c r="CD116" i="6"/>
  <c r="AD29" i="24"/>
  <c r="CA104" i="6"/>
  <c r="T31" i="24"/>
  <c r="DX27" i="24"/>
  <c r="DJ29" i="24"/>
  <c r="CG32" i="24"/>
  <c r="CE140" i="6"/>
  <c r="BG37" i="24"/>
  <c r="DW27" i="24"/>
  <c r="CC227" i="6"/>
  <c r="CP29" i="24"/>
  <c r="BS172" i="6"/>
  <c r="CE173" i="6"/>
  <c r="CF37" i="24"/>
  <c r="CE161" i="6"/>
  <c r="BW37" i="24"/>
  <c r="EJ161" i="6"/>
  <c r="DR161" i="6"/>
  <c r="DP161" i="6"/>
  <c r="BW42" i="24" s="1"/>
  <c r="DQ161" i="6"/>
  <c r="BW41" i="24" s="1"/>
  <c r="DI161" i="6"/>
  <c r="DT161" i="6"/>
  <c r="BW38" i="24" s="1"/>
  <c r="DS161" i="6"/>
  <c r="BW39" i="24" s="1"/>
  <c r="DO161" i="6"/>
  <c r="BW43" i="24" s="1"/>
  <c r="DN161" i="6"/>
  <c r="BW44" i="24" s="1"/>
  <c r="DJ161" i="6"/>
  <c r="BW48" i="24" s="1"/>
  <c r="DM161" i="6"/>
  <c r="DL161" i="6"/>
  <c r="DK161" i="6"/>
  <c r="BO33" i="24"/>
  <c r="BF33" i="24"/>
  <c r="BW138" i="6"/>
  <c r="DP35" i="24"/>
  <c r="CX35" i="24"/>
  <c r="CO35" i="24"/>
  <c r="BV35" i="24"/>
  <c r="I34" i="24"/>
  <c r="BW67" i="4"/>
  <c r="AG67" i="4" s="1"/>
  <c r="AG67" i="6"/>
  <c r="BY55" i="4"/>
  <c r="BY57" i="6"/>
  <c r="BY58" i="6" s="1"/>
  <c r="CN27" i="24"/>
  <c r="CC182" i="6"/>
  <c r="AL31" i="24"/>
  <c r="H26" i="24"/>
  <c r="DU29" i="24"/>
  <c r="DG30" i="24"/>
  <c r="BS146" i="6"/>
  <c r="CE147" i="6"/>
  <c r="BM37" i="24"/>
  <c r="BD29" i="24"/>
  <c r="AT31" i="24"/>
  <c r="AA32" i="24"/>
  <c r="G26" i="24"/>
  <c r="CD76" i="6"/>
  <c r="BU88" i="6"/>
  <c r="DE31" i="24"/>
  <c r="CU26" i="24"/>
  <c r="CL27" i="24"/>
  <c r="CB31" i="24"/>
  <c r="BL36" i="24"/>
  <c r="BB29" i="24"/>
  <c r="CA133" i="6"/>
  <c r="AR36" i="24"/>
  <c r="CE110" i="6"/>
  <c r="AI37" i="24"/>
  <c r="Y32" i="24"/>
  <c r="EJ98" i="6"/>
  <c r="DR98" i="6"/>
  <c r="Y40" i="24" s="1"/>
  <c r="DP98" i="6"/>
  <c r="DQ98" i="6"/>
  <c r="DL98" i="6"/>
  <c r="DT98" i="6"/>
  <c r="DS98" i="6"/>
  <c r="DO98" i="6"/>
  <c r="Y43" i="24" s="1"/>
  <c r="DN98" i="6"/>
  <c r="Y44" i="24" s="1"/>
  <c r="DM98" i="6"/>
  <c r="Y45" i="24" s="1"/>
  <c r="DJ98" i="6"/>
  <c r="Y48" i="24" s="1"/>
  <c r="DI98" i="6"/>
  <c r="DK98" i="6"/>
  <c r="P33" i="24"/>
  <c r="BY63" i="4"/>
  <c r="DM36" i="24"/>
  <c r="CT30" i="24"/>
  <c r="AQ27" i="24"/>
  <c r="AH30" i="24"/>
  <c r="X29" i="24"/>
  <c r="O35" i="24"/>
  <c r="DD26" i="24"/>
  <c r="BS27" i="24"/>
  <c r="BA36" i="24"/>
  <c r="AP30" i="24"/>
  <c r="W27" i="24"/>
  <c r="BT61" i="4"/>
  <c r="BT60" i="6"/>
  <c r="DC30" i="24"/>
  <c r="CR28" i="24"/>
  <c r="CB187" i="6"/>
  <c r="BY27" i="24"/>
  <c r="CC164" i="6"/>
  <c r="BR31" i="24"/>
  <c r="AZ28" i="24"/>
  <c r="AO27" i="24"/>
  <c r="V36" i="24"/>
  <c r="BS219" i="6"/>
  <c r="CE220" i="6"/>
  <c r="BS220" i="4"/>
  <c r="DQ37" i="24"/>
  <c r="AE32" i="24"/>
  <c r="DA30" i="24"/>
  <c r="CQ36" i="24"/>
  <c r="CH27" i="24"/>
  <c r="BH32" i="24"/>
  <c r="L35" i="24"/>
  <c r="CZ32" i="24"/>
  <c r="BX36" i="24"/>
  <c r="AX28" i="24"/>
  <c r="S36" i="24"/>
  <c r="K26" i="24"/>
  <c r="CE242" i="6"/>
  <c r="BS241" i="6"/>
  <c r="EB37" i="24" s="1"/>
  <c r="DI31" i="24"/>
  <c r="CY26" i="24"/>
  <c r="AW31" i="24"/>
  <c r="BS90" i="6"/>
  <c r="CE91" i="6"/>
  <c r="R37" i="24"/>
  <c r="J27" i="24"/>
  <c r="BS205" i="6"/>
  <c r="CE206" i="6"/>
  <c r="DH37" i="24"/>
  <c r="EJ148" i="6"/>
  <c r="DR148" i="6"/>
  <c r="DQ148" i="6"/>
  <c r="BN41" i="24" s="1"/>
  <c r="DP148" i="6"/>
  <c r="DO148" i="6"/>
  <c r="DN148" i="6"/>
  <c r="DM148" i="6"/>
  <c r="BN45" i="24" s="1"/>
  <c r="DT148" i="6"/>
  <c r="BN38" i="24" s="1"/>
  <c r="DS148" i="6"/>
  <c r="BN39" i="24" s="1"/>
  <c r="DL148" i="6"/>
  <c r="BN46" i="24" s="1"/>
  <c r="DK148" i="6"/>
  <c r="BN47" i="24" s="1"/>
  <c r="DJ148" i="6"/>
  <c r="DI148" i="6"/>
  <c r="AV33" i="24"/>
  <c r="AC33" i="24"/>
  <c r="DV34" i="24"/>
  <c r="DO33" i="24"/>
  <c r="BW214" i="6"/>
  <c r="CW33" i="24"/>
  <c r="BW193" i="6"/>
  <c r="CE33" i="24"/>
  <c r="BU34" i="24"/>
  <c r="BN35" i="24"/>
  <c r="BE34" i="24"/>
  <c r="AU34" i="24"/>
  <c r="AB34" i="24"/>
  <c r="CD35" i="24"/>
  <c r="BT34" i="24"/>
  <c r="BV157" i="6"/>
  <c r="AK35" i="24"/>
  <c r="CO34" i="24"/>
  <c r="CC67" i="4"/>
  <c r="AM67" i="4" s="1"/>
  <c r="AM67" i="6"/>
  <c r="DU30" i="24"/>
  <c r="AT32" i="24"/>
  <c r="CU37" i="24"/>
  <c r="CE191" i="6"/>
  <c r="BB33" i="24"/>
  <c r="BW133" i="6"/>
  <c r="P34" i="24"/>
  <c r="CE30" i="6"/>
  <c r="AH32" i="24"/>
  <c r="BA26" i="24"/>
  <c r="CR29" i="24"/>
  <c r="CA187" i="6"/>
  <c r="AZ30" i="24"/>
  <c r="AO28" i="24"/>
  <c r="CE95" i="6"/>
  <c r="V37" i="24"/>
  <c r="CH28" i="24"/>
  <c r="BX37" i="24"/>
  <c r="CE162" i="6"/>
  <c r="CE92" i="6"/>
  <c r="S37" i="24"/>
  <c r="DI33" i="24"/>
  <c r="R33" i="24"/>
  <c r="BW90" i="6"/>
  <c r="AV35" i="24"/>
  <c r="DO35" i="24"/>
  <c r="BU214" i="6"/>
  <c r="CE35" i="24"/>
  <c r="BN34" i="24"/>
  <c r="AU35" i="24"/>
  <c r="EJ110" i="6"/>
  <c r="DR110" i="6"/>
  <c r="AI40" i="24" s="1"/>
  <c r="DQ110" i="6"/>
  <c r="AI41" i="24" s="1"/>
  <c r="DP110" i="6"/>
  <c r="AI42" i="24" s="1"/>
  <c r="DI110" i="6"/>
  <c r="DT110" i="6"/>
  <c r="DO110" i="6"/>
  <c r="AI43" i="24" s="1"/>
  <c r="DS110" i="6"/>
  <c r="DL110" i="6"/>
  <c r="DN110" i="6"/>
  <c r="AI44" i="24" s="1"/>
  <c r="DK110" i="6"/>
  <c r="AI47" i="24" s="1"/>
  <c r="DJ110" i="6"/>
  <c r="AI48" i="24" s="1"/>
  <c r="DM110" i="6"/>
  <c r="AI45" i="24" s="1"/>
  <c r="EJ186" i="6"/>
  <c r="DR186" i="6"/>
  <c r="CQ40" i="24" s="1"/>
  <c r="DQ186" i="6"/>
  <c r="CQ41" i="24" s="1"/>
  <c r="DP186" i="6"/>
  <c r="DL186" i="6"/>
  <c r="DK186" i="6"/>
  <c r="DJ186" i="6"/>
  <c r="DI186" i="6"/>
  <c r="DT186" i="6"/>
  <c r="CQ38" i="24" s="1"/>
  <c r="DS186" i="6"/>
  <c r="CQ39" i="24" s="1"/>
  <c r="DO186" i="6"/>
  <c r="CQ43" i="24" s="1"/>
  <c r="DN186" i="6"/>
  <c r="CQ44" i="24" s="1"/>
  <c r="DM186" i="6"/>
  <c r="CQ45" i="24" s="1"/>
  <c r="EJ134" i="6"/>
  <c r="DR134" i="6"/>
  <c r="DH134" i="6" s="1"/>
  <c r="DP134" i="6"/>
  <c r="DQ134" i="6"/>
  <c r="DI134" i="6"/>
  <c r="DT134" i="6"/>
  <c r="DS134" i="6"/>
  <c r="DO134" i="6"/>
  <c r="DN134" i="6"/>
  <c r="DM134" i="6"/>
  <c r="DK134" i="6"/>
  <c r="DJ134" i="6"/>
  <c r="DL134" i="6"/>
  <c r="EJ79" i="6"/>
  <c r="DQ79" i="6"/>
  <c r="I41" i="24" s="1"/>
  <c r="DP79" i="6"/>
  <c r="DO79" i="6"/>
  <c r="DN79" i="6"/>
  <c r="I44" i="24" s="1"/>
  <c r="DL79" i="6"/>
  <c r="DJ79" i="6"/>
  <c r="I48" i="24" s="1"/>
  <c r="DI79" i="6"/>
  <c r="DM79" i="6"/>
  <c r="I45" i="24" s="1"/>
  <c r="DK79" i="6"/>
  <c r="I47" i="24" s="1"/>
  <c r="DT79" i="6"/>
  <c r="I38" i="24" s="1"/>
  <c r="DS79" i="6"/>
  <c r="I39" i="24" s="1"/>
  <c r="DR79" i="6"/>
  <c r="I40" i="24" s="1"/>
  <c r="DT34" i="24"/>
  <c r="BV223" i="6"/>
  <c r="BS222" i="4"/>
  <c r="CE222" i="6"/>
  <c r="DS37" i="24"/>
  <c r="AC222" i="6"/>
  <c r="EJ106" i="6"/>
  <c r="DR106" i="6"/>
  <c r="AE40" i="24" s="1"/>
  <c r="DQ106" i="6"/>
  <c r="AE41" i="24" s="1"/>
  <c r="DP106" i="6"/>
  <c r="AE42" i="24" s="1"/>
  <c r="DI106" i="6"/>
  <c r="DS106" i="6"/>
  <c r="DT106" i="6"/>
  <c r="DO106" i="6"/>
  <c r="AE43" i="24" s="1"/>
  <c r="DL106" i="6"/>
  <c r="DJ106" i="6"/>
  <c r="AE48" i="24" s="1"/>
  <c r="DN106" i="6"/>
  <c r="AE44" i="24" s="1"/>
  <c r="DM106" i="6"/>
  <c r="AE45" i="24" s="1"/>
  <c r="DK106" i="6"/>
  <c r="AE47" i="24" s="1"/>
  <c r="EJ46" i="6"/>
  <c r="DS46" i="6"/>
  <c r="DQ46" i="6"/>
  <c r="DR46" i="6"/>
  <c r="DH46" i="6" s="1"/>
  <c r="DT46" i="6"/>
  <c r="DO46" i="6"/>
  <c r="DN46" i="6"/>
  <c r="DM46" i="6"/>
  <c r="DP46" i="6"/>
  <c r="DI46" i="6"/>
  <c r="DL46" i="6"/>
  <c r="DK46" i="6"/>
  <c r="DJ46" i="6"/>
  <c r="DF29" i="24"/>
  <c r="BC33" i="24"/>
  <c r="CK26" i="24"/>
  <c r="CD178" i="6"/>
  <c r="DS36" i="24"/>
  <c r="BT222" i="4"/>
  <c r="BJ32" i="24"/>
  <c r="CJ30" i="24"/>
  <c r="DB26" i="24"/>
  <c r="AY26" i="24"/>
  <c r="CD129" i="6"/>
  <c r="CE117" i="6"/>
  <c r="BS116" i="6"/>
  <c r="AM37" i="24"/>
  <c r="T37" i="24"/>
  <c r="CE93" i="6"/>
  <c r="CG30" i="24"/>
  <c r="BW26" i="24"/>
  <c r="BV33" i="24"/>
  <c r="DU28" i="24"/>
  <c r="CE124" i="6"/>
  <c r="AT37" i="24"/>
  <c r="CU31" i="24"/>
  <c r="BB28" i="24"/>
  <c r="CB133" i="6"/>
  <c r="P28" i="24"/>
  <c r="CT34" i="24"/>
  <c r="O32" i="24"/>
  <c r="BA34" i="24"/>
  <c r="CR27" i="24"/>
  <c r="CC187" i="6"/>
  <c r="DA29" i="24"/>
  <c r="CZ31" i="24"/>
  <c r="BW241" i="6"/>
  <c r="EB33" i="24" s="1"/>
  <c r="R27" i="24"/>
  <c r="CC90" i="6"/>
  <c r="J26" i="24"/>
  <c r="DH36" i="24"/>
  <c r="BT205" i="6"/>
  <c r="AV37" i="24"/>
  <c r="CE126" i="6"/>
  <c r="AC28" i="24"/>
  <c r="DV29" i="24"/>
  <c r="DO26" i="24"/>
  <c r="CD214" i="6"/>
  <c r="CW30" i="24"/>
  <c r="BZ193" i="6"/>
  <c r="CE37" i="24"/>
  <c r="CE171" i="6"/>
  <c r="EJ171" i="6"/>
  <c r="DR171" i="6"/>
  <c r="CE40" i="24" s="1"/>
  <c r="DP171" i="6"/>
  <c r="CE42" i="24" s="1"/>
  <c r="DQ171" i="6"/>
  <c r="DI171" i="6"/>
  <c r="DT171" i="6"/>
  <c r="CE38" i="24" s="1"/>
  <c r="DS171" i="6"/>
  <c r="CE39" i="24" s="1"/>
  <c r="DO171" i="6"/>
  <c r="CE43" i="24" s="1"/>
  <c r="DN171" i="6"/>
  <c r="CE44" i="24" s="1"/>
  <c r="DM171" i="6"/>
  <c r="CE45" i="24" s="1"/>
  <c r="DK171" i="6"/>
  <c r="CE47" i="24" s="1"/>
  <c r="DL171" i="6"/>
  <c r="CE46" i="24" s="1"/>
  <c r="DJ171" i="6"/>
  <c r="CE48" i="24" s="1"/>
  <c r="BU33" i="24"/>
  <c r="BN33" i="24"/>
  <c r="BE33" i="24"/>
  <c r="AU33" i="24"/>
  <c r="AB33" i="24"/>
  <c r="DU185" i="6"/>
  <c r="CP49" i="24"/>
  <c r="BV34" i="24"/>
  <c r="AL32" i="24"/>
  <c r="BD30" i="24"/>
  <c r="G27" i="24"/>
  <c r="CC76" i="6"/>
  <c r="BT88" i="6"/>
  <c r="CB36" i="24"/>
  <c r="AI33" i="24"/>
  <c r="BX63" i="4"/>
  <c r="AQ32" i="24"/>
  <c r="DD27" i="24"/>
  <c r="W29" i="24"/>
  <c r="BS60" i="6"/>
  <c r="BS61" i="4"/>
  <c r="CE61" i="6"/>
  <c r="CE165" i="6"/>
  <c r="BY37" i="24"/>
  <c r="BS164" i="6"/>
  <c r="DQ28" i="24"/>
  <c r="CB219" i="6"/>
  <c r="CB220" i="4"/>
  <c r="DA31" i="24"/>
  <c r="CZ36" i="24"/>
  <c r="BV241" i="6"/>
  <c r="EB34" i="24" s="1"/>
  <c r="AW33" i="24"/>
  <c r="J33" i="24"/>
  <c r="DV36" i="24"/>
  <c r="BT26" i="24"/>
  <c r="CD157" i="6"/>
  <c r="F71" i="4"/>
  <c r="F72" i="4" s="1"/>
  <c r="DL29" i="24"/>
  <c r="CO234" i="6"/>
  <c r="EJ132" i="6"/>
  <c r="DR132" i="6"/>
  <c r="DH132" i="6" s="1"/>
  <c r="DP132" i="6"/>
  <c r="BA42" i="24" s="1"/>
  <c r="DQ132" i="6"/>
  <c r="DO132" i="6"/>
  <c r="BA43" i="24" s="1"/>
  <c r="DM132" i="6"/>
  <c r="BA45" i="24" s="1"/>
  <c r="DK132" i="6"/>
  <c r="BA47" i="24" s="1"/>
  <c r="DN132" i="6"/>
  <c r="DL132" i="6"/>
  <c r="BA46" i="24" s="1"/>
  <c r="DJ132" i="6"/>
  <c r="BA48" i="24" s="1"/>
  <c r="DI132" i="6"/>
  <c r="DT132" i="6"/>
  <c r="BA38" i="24" s="1"/>
  <c r="DS132" i="6"/>
  <c r="BA39" i="24" s="1"/>
  <c r="EJ208" i="6"/>
  <c r="DR208" i="6"/>
  <c r="DJ40" i="24" s="1"/>
  <c r="DP208" i="6"/>
  <c r="DQ208" i="6"/>
  <c r="DL208" i="6"/>
  <c r="DJ208" i="6"/>
  <c r="DI208" i="6"/>
  <c r="DK208" i="6"/>
  <c r="DJ47" i="24" s="1"/>
  <c r="DN208" i="6"/>
  <c r="DJ44" i="24" s="1"/>
  <c r="DT208" i="6"/>
  <c r="DJ38" i="24" s="1"/>
  <c r="DS208" i="6"/>
  <c r="DJ39" i="24" s="1"/>
  <c r="DO208" i="6"/>
  <c r="DJ43" i="24" s="1"/>
  <c r="DM208" i="6"/>
  <c r="DT27" i="24"/>
  <c r="CC223" i="6"/>
  <c r="CE181" i="6"/>
  <c r="CM37" i="24"/>
  <c r="AJ33" i="24"/>
  <c r="CA29" i="24"/>
  <c r="CS27" i="24"/>
  <c r="CE108" i="6"/>
  <c r="AG37" i="24"/>
  <c r="DK36" i="24"/>
  <c r="BT209" i="6"/>
  <c r="BI32" i="24"/>
  <c r="U30" i="24"/>
  <c r="DW26" i="24"/>
  <c r="CD227" i="6"/>
  <c r="CE149" i="6"/>
  <c r="BO37" i="24"/>
  <c r="CX33" i="24"/>
  <c r="I33" i="24"/>
  <c r="BZ55" i="4"/>
  <c r="BZ57" i="6"/>
  <c r="BZ58" i="6" s="1"/>
  <c r="CE78" i="6"/>
  <c r="H37" i="24"/>
  <c r="BM26" i="24"/>
  <c r="CD146" i="6"/>
  <c r="DE30" i="24"/>
  <c r="BL32" i="24"/>
  <c r="Y29" i="24"/>
  <c r="AQ35" i="24"/>
  <c r="DD34" i="24"/>
  <c r="W35" i="24"/>
  <c r="BY26" i="24"/>
  <c r="CD164" i="6"/>
  <c r="CE119" i="6"/>
  <c r="AO37" i="24"/>
  <c r="BH31" i="24"/>
  <c r="AX27" i="24"/>
  <c r="CE81" i="6"/>
  <c r="K37" i="24"/>
  <c r="CE196" i="6"/>
  <c r="CY37" i="24"/>
  <c r="BT35" i="24"/>
  <c r="BU157" i="6"/>
  <c r="EJ244" i="6"/>
  <c r="DS244" i="6"/>
  <c r="DQ244" i="6"/>
  <c r="DR244" i="6"/>
  <c r="DH244" i="6" s="1"/>
  <c r="DP244" i="6"/>
  <c r="DN244" i="6"/>
  <c r="DL244" i="6"/>
  <c r="DK244" i="6"/>
  <c r="DJ244" i="6"/>
  <c r="DO244" i="6"/>
  <c r="DM244" i="6"/>
  <c r="DT244" i="6"/>
  <c r="DI244" i="6"/>
  <c r="EJ63" i="6"/>
  <c r="DQ63" i="6"/>
  <c r="DQ63" i="4" s="1"/>
  <c r="DP63" i="6"/>
  <c r="DP63" i="4" s="1"/>
  <c r="DO63" i="6"/>
  <c r="DO63" i="4" s="1"/>
  <c r="DT63" i="6"/>
  <c r="DT63" i="4" s="1"/>
  <c r="DN63" i="6"/>
  <c r="DS63" i="6"/>
  <c r="DS63" i="4" s="1"/>
  <c r="DR63" i="6"/>
  <c r="DH63" i="6" s="1"/>
  <c r="DM63" i="6"/>
  <c r="DM63" i="4" s="1"/>
  <c r="DJ63" i="6"/>
  <c r="DI63" i="6"/>
  <c r="DL63" i="6"/>
  <c r="DL63" i="4" s="1"/>
  <c r="DK63" i="6"/>
  <c r="AE63" i="6" s="1"/>
  <c r="EJ229" i="6"/>
  <c r="DS229" i="6"/>
  <c r="DX39" i="24" s="1"/>
  <c r="DR229" i="6"/>
  <c r="DX40" i="24" s="1"/>
  <c r="DQ229" i="6"/>
  <c r="DX41" i="24" s="1"/>
  <c r="DT229" i="6"/>
  <c r="DX38" i="24" s="1"/>
  <c r="DP229" i="6"/>
  <c r="DO229" i="6"/>
  <c r="DN229" i="6"/>
  <c r="DX44" i="24" s="1"/>
  <c r="DM229" i="6"/>
  <c r="DL229" i="6"/>
  <c r="DK229" i="6"/>
  <c r="DX47" i="24" s="1"/>
  <c r="DJ229" i="6"/>
  <c r="DX48" i="24" s="1"/>
  <c r="DI229" i="6"/>
  <c r="CX34" i="24"/>
  <c r="I32" i="24"/>
  <c r="BU55" i="4"/>
  <c r="BU57" i="6"/>
  <c r="BU58" i="6" s="1"/>
  <c r="H27" i="24"/>
  <c r="BM27" i="24"/>
  <c r="CC146" i="6"/>
  <c r="DE32" i="24"/>
  <c r="BL33" i="24"/>
  <c r="Y33" i="24"/>
  <c r="CT32" i="24"/>
  <c r="CE85" i="6"/>
  <c r="O37" i="24"/>
  <c r="CE120" i="6"/>
  <c r="AP37" i="24"/>
  <c r="CD34" i="24"/>
  <c r="CE189" i="6"/>
  <c r="CS37" i="24"/>
  <c r="EJ174" i="6"/>
  <c r="DR174" i="6"/>
  <c r="CG40" i="24" s="1"/>
  <c r="DP174" i="6"/>
  <c r="CG42" i="24" s="1"/>
  <c r="DQ174" i="6"/>
  <c r="CG41" i="24" s="1"/>
  <c r="DO174" i="6"/>
  <c r="CG43" i="24" s="1"/>
  <c r="DM174" i="6"/>
  <c r="CG45" i="24" s="1"/>
  <c r="DL174" i="6"/>
  <c r="CG46" i="24" s="1"/>
  <c r="DK174" i="6"/>
  <c r="CG47" i="24" s="1"/>
  <c r="DI174" i="6"/>
  <c r="DN174" i="6"/>
  <c r="DJ174" i="6"/>
  <c r="DT174" i="6"/>
  <c r="DS174" i="6"/>
  <c r="CG39" i="24" s="1"/>
  <c r="EJ247" i="6"/>
  <c r="DS247" i="6"/>
  <c r="DQ247" i="6"/>
  <c r="DR247" i="6"/>
  <c r="DH247" i="6" s="1"/>
  <c r="DM247" i="6"/>
  <c r="DK247" i="6"/>
  <c r="DI247" i="6"/>
  <c r="DL247" i="6"/>
  <c r="DJ247" i="6"/>
  <c r="DP247" i="6"/>
  <c r="DN247" i="6"/>
  <c r="DT247" i="6"/>
  <c r="DO247" i="6"/>
  <c r="EJ183" i="6"/>
  <c r="DR183" i="6"/>
  <c r="DH183" i="6" s="1"/>
  <c r="DP183" i="6"/>
  <c r="DQ183" i="6"/>
  <c r="DO183" i="6"/>
  <c r="DL183" i="6"/>
  <c r="DK183" i="6"/>
  <c r="DI183" i="6"/>
  <c r="DN183" i="6"/>
  <c r="DM183" i="6"/>
  <c r="DJ183" i="6"/>
  <c r="DT183" i="6"/>
  <c r="DS183" i="6"/>
  <c r="EJ242" i="6"/>
  <c r="DS242" i="6"/>
  <c r="DQ242" i="6"/>
  <c r="DR242" i="6"/>
  <c r="DH242" i="6" s="1"/>
  <c r="DJ242" i="6"/>
  <c r="DT242" i="6"/>
  <c r="DP242" i="6"/>
  <c r="DI242" i="6"/>
  <c r="DN242" i="6"/>
  <c r="DM242" i="6"/>
  <c r="DL242" i="6"/>
  <c r="DO242" i="6"/>
  <c r="DK242" i="6"/>
  <c r="DN29" i="24"/>
  <c r="CC31" i="24"/>
  <c r="EJ169" i="6"/>
  <c r="DR169" i="6"/>
  <c r="DP169" i="6"/>
  <c r="DQ169" i="6"/>
  <c r="DO169" i="6"/>
  <c r="DM169" i="6"/>
  <c r="CC45" i="24" s="1"/>
  <c r="DK169" i="6"/>
  <c r="DI169" i="6"/>
  <c r="DN169" i="6"/>
  <c r="CC44" i="24" s="1"/>
  <c r="DL169" i="6"/>
  <c r="CC46" i="24" s="1"/>
  <c r="DJ169" i="6"/>
  <c r="CC48" i="24" s="1"/>
  <c r="DS169" i="6"/>
  <c r="CC39" i="24" s="1"/>
  <c r="DT169" i="6"/>
  <c r="Z33" i="24"/>
  <c r="BK30" i="24"/>
  <c r="DL28" i="24"/>
  <c r="M32" i="24"/>
  <c r="CI28" i="24"/>
  <c r="AN32" i="24"/>
  <c r="AD26" i="24"/>
  <c r="CD104" i="6"/>
  <c r="DJ28" i="24"/>
  <c r="CP26" i="24"/>
  <c r="BF26" i="24"/>
  <c r="CD138" i="6"/>
  <c r="CO33" i="24"/>
  <c r="BX67" i="4"/>
  <c r="AH67" i="4" s="1"/>
  <c r="AH67" i="6"/>
  <c r="AL30" i="24"/>
  <c r="BD28" i="24"/>
  <c r="G30" i="24"/>
  <c r="BZ76" i="6"/>
  <c r="CL26" i="24"/>
  <c r="AR32" i="24"/>
  <c r="DM34" i="24"/>
  <c r="X34" i="24"/>
  <c r="AP34" i="24"/>
  <c r="BV60" i="6"/>
  <c r="BV61" i="4"/>
  <c r="CE153" i="6"/>
  <c r="BR37" i="24"/>
  <c r="DQ27" i="24"/>
  <c r="CC219" i="6"/>
  <c r="CC220" i="4"/>
  <c r="CQ30" i="24"/>
  <c r="BX32" i="24"/>
  <c r="DI30" i="24"/>
  <c r="AW30" i="24"/>
  <c r="AK34" i="24"/>
  <c r="J70" i="6"/>
  <c r="EJ162" i="6"/>
  <c r="DR162" i="6"/>
  <c r="BX40" i="24" s="1"/>
  <c r="DQ162" i="6"/>
  <c r="BX41" i="24" s="1"/>
  <c r="DP162" i="6"/>
  <c r="BX42" i="24" s="1"/>
  <c r="DL162" i="6"/>
  <c r="BX46" i="24" s="1"/>
  <c r="DK162" i="6"/>
  <c r="DJ162" i="6"/>
  <c r="DI162" i="6"/>
  <c r="DS162" i="6"/>
  <c r="BX39" i="24" s="1"/>
  <c r="DM162" i="6"/>
  <c r="DO162" i="6"/>
  <c r="DN162" i="6"/>
  <c r="BX44" i="24" s="1"/>
  <c r="DT162" i="6"/>
  <c r="BX38" i="24" s="1"/>
  <c r="EJ101" i="6"/>
  <c r="DR101" i="6"/>
  <c r="AB40" i="24" s="1"/>
  <c r="DP101" i="6"/>
  <c r="AB42" i="24" s="1"/>
  <c r="DQ101" i="6"/>
  <c r="AB41" i="24" s="1"/>
  <c r="DO101" i="6"/>
  <c r="DI101" i="6"/>
  <c r="DN101" i="6"/>
  <c r="DM101" i="6"/>
  <c r="AB45" i="24" s="1"/>
  <c r="DL101" i="6"/>
  <c r="AB46" i="24" s="1"/>
  <c r="DK101" i="6"/>
  <c r="AB47" i="24" s="1"/>
  <c r="DJ101" i="6"/>
  <c r="AB48" i="24" s="1"/>
  <c r="DS101" i="6"/>
  <c r="AB39" i="24" s="1"/>
  <c r="DT101" i="6"/>
  <c r="AB38" i="24" s="1"/>
  <c r="EJ128" i="6"/>
  <c r="DR128" i="6"/>
  <c r="AX40" i="24" s="1"/>
  <c r="DQ128" i="6"/>
  <c r="DP128" i="6"/>
  <c r="AX42" i="24" s="1"/>
  <c r="DO128" i="6"/>
  <c r="AX43" i="24" s="1"/>
  <c r="DL128" i="6"/>
  <c r="DN128" i="6"/>
  <c r="AX44" i="24" s="1"/>
  <c r="DM128" i="6"/>
  <c r="AX45" i="24" s="1"/>
  <c r="DK128" i="6"/>
  <c r="DJ128" i="6"/>
  <c r="AX48" i="24" s="1"/>
  <c r="DI128" i="6"/>
  <c r="DS128" i="6"/>
  <c r="AX39" i="24" s="1"/>
  <c r="DT128" i="6"/>
  <c r="AX38" i="24" s="1"/>
  <c r="EJ39" i="6"/>
  <c r="DS39" i="6"/>
  <c r="DQ39" i="6"/>
  <c r="DR39" i="6"/>
  <c r="DH39" i="6" s="1"/>
  <c r="DM39" i="6"/>
  <c r="DK39" i="6"/>
  <c r="DI39" i="6"/>
  <c r="DL39" i="6"/>
  <c r="DJ39" i="6"/>
  <c r="DT39" i="6"/>
  <c r="DP39" i="6"/>
  <c r="DO39" i="6"/>
  <c r="DN39" i="6"/>
  <c r="EJ62" i="6"/>
  <c r="DQ62" i="6"/>
  <c r="DQ62" i="4" s="1"/>
  <c r="DO62" i="6"/>
  <c r="DP62" i="6"/>
  <c r="DT62" i="6"/>
  <c r="DT62" i="4" s="1"/>
  <c r="DM62" i="6"/>
  <c r="DS62" i="6"/>
  <c r="DR62" i="6"/>
  <c r="DR62" i="4" s="1"/>
  <c r="DN62" i="6"/>
  <c r="DN62" i="4" s="1"/>
  <c r="DL62" i="6"/>
  <c r="DL62" i="4" s="1"/>
  <c r="DK62" i="6"/>
  <c r="DJ62" i="6"/>
  <c r="DJ62" i="4" s="1"/>
  <c r="DI62" i="6"/>
  <c r="DF28" i="24"/>
  <c r="CC30" i="24"/>
  <c r="AJ32" i="24"/>
  <c r="EJ64" i="6"/>
  <c r="DQ64" i="6"/>
  <c r="DQ64" i="4" s="1"/>
  <c r="DO64" i="6"/>
  <c r="DO64" i="4" s="1"/>
  <c r="DP64" i="6"/>
  <c r="DP64" i="4" s="1"/>
  <c r="DK64" i="6"/>
  <c r="DK64" i="4" s="1"/>
  <c r="DI64" i="6"/>
  <c r="DJ64" i="6"/>
  <c r="DT64" i="6"/>
  <c r="DS64" i="6"/>
  <c r="DS64" i="4" s="1"/>
  <c r="DR64" i="6"/>
  <c r="DR64" i="4" s="1"/>
  <c r="DM64" i="6"/>
  <c r="DN64" i="6"/>
  <c r="DL64" i="6"/>
  <c r="DL64" i="4" s="1"/>
  <c r="BY29" i="6"/>
  <c r="CS26" i="24"/>
  <c r="AG26" i="24"/>
  <c r="CJ29" i="24"/>
  <c r="CA38" i="6"/>
  <c r="F29" i="24" s="1"/>
  <c r="CI36" i="24"/>
  <c r="AY30" i="24"/>
  <c r="BZ129" i="6"/>
  <c r="AM36" i="24"/>
  <c r="BT116" i="6"/>
  <c r="DX29" i="24"/>
  <c r="DW30" i="24"/>
  <c r="BZ227" i="6"/>
  <c r="BW28" i="24"/>
  <c r="BF29" i="24"/>
  <c r="CA138" i="6"/>
  <c r="CO28" i="24"/>
  <c r="CN34" i="24"/>
  <c r="BV182" i="6"/>
  <c r="DG27" i="24"/>
  <c r="AT30" i="24"/>
  <c r="G29" i="24"/>
  <c r="CA76" i="6"/>
  <c r="BX88" i="6"/>
  <c r="CB32" i="24"/>
  <c r="AR31" i="24"/>
  <c r="P27" i="24"/>
  <c r="AQ34" i="24"/>
  <c r="O34" i="24"/>
  <c r="BA35" i="24"/>
  <c r="BX60" i="6"/>
  <c r="BX61" i="4"/>
  <c r="BY36" i="24"/>
  <c r="BT164" i="6"/>
  <c r="AO26" i="24"/>
  <c r="DQ26" i="24"/>
  <c r="CD220" i="4"/>
  <c r="CD219" i="6"/>
  <c r="CQ28" i="24"/>
  <c r="CE197" i="6"/>
  <c r="CZ37" i="24"/>
  <c r="S32" i="24"/>
  <c r="CY28" i="24"/>
  <c r="DH31" i="24"/>
  <c r="BY205" i="6"/>
  <c r="AC32" i="24"/>
  <c r="CW29" i="24"/>
  <c r="CA193" i="6"/>
  <c r="BU32" i="24"/>
  <c r="BE32" i="24"/>
  <c r="AB37" i="24"/>
  <c r="CE101" i="6"/>
  <c r="EJ170" i="6"/>
  <c r="DR170" i="6"/>
  <c r="CD40" i="24" s="1"/>
  <c r="DQ170" i="6"/>
  <c r="CD41" i="24" s="1"/>
  <c r="DP170" i="6"/>
  <c r="CD42" i="24" s="1"/>
  <c r="DO170" i="6"/>
  <c r="CD43" i="24" s="1"/>
  <c r="DT170" i="6"/>
  <c r="CD38" i="24" s="1"/>
  <c r="DS170" i="6"/>
  <c r="DN170" i="6"/>
  <c r="DM170" i="6"/>
  <c r="CD45" i="24" s="1"/>
  <c r="DL170" i="6"/>
  <c r="CD46" i="24" s="1"/>
  <c r="DK170" i="6"/>
  <c r="CD47" i="24" s="1"/>
  <c r="DJ170" i="6"/>
  <c r="CD48" i="24" s="1"/>
  <c r="DI170" i="6"/>
  <c r="AK33" i="24"/>
  <c r="B70" i="6"/>
  <c r="EJ94" i="6"/>
  <c r="DR94" i="6"/>
  <c r="U40" i="24" s="1"/>
  <c r="DP94" i="6"/>
  <c r="U42" i="24" s="1"/>
  <c r="DQ94" i="6"/>
  <c r="DN94" i="6"/>
  <c r="DM94" i="6"/>
  <c r="DL94" i="6"/>
  <c r="DT94" i="6"/>
  <c r="U38" i="24" s="1"/>
  <c r="DS94" i="6"/>
  <c r="U39" i="24" s="1"/>
  <c r="DO94" i="6"/>
  <c r="U43" i="24" s="1"/>
  <c r="DK94" i="6"/>
  <c r="U47" i="24" s="1"/>
  <c r="DJ94" i="6"/>
  <c r="U48" i="24" s="1"/>
  <c r="DI94" i="6"/>
  <c r="EJ220" i="6"/>
  <c r="DS220" i="6"/>
  <c r="DR220" i="6"/>
  <c r="DH220" i="6" s="1"/>
  <c r="DQ220" i="6"/>
  <c r="DO220" i="6"/>
  <c r="DN220" i="6"/>
  <c r="DT220" i="6"/>
  <c r="AN220" i="6" s="1"/>
  <c r="DP220" i="6"/>
  <c r="AJ220" i="6" s="1"/>
  <c r="DM220" i="6"/>
  <c r="AG220" i="6" s="1"/>
  <c r="DJ220" i="6"/>
  <c r="AD220" i="6" s="1"/>
  <c r="DL220" i="6"/>
  <c r="AF220" i="6" s="1"/>
  <c r="DI220" i="6"/>
  <c r="AC220" i="6" s="1"/>
  <c r="DK220" i="6"/>
  <c r="AE220" i="6" s="1"/>
  <c r="EJ177" i="6"/>
  <c r="DR177" i="6"/>
  <c r="DH177" i="6" s="1"/>
  <c r="DQ177" i="6"/>
  <c r="CJ41" i="24" s="1"/>
  <c r="DP177" i="6"/>
  <c r="CJ42" i="24" s="1"/>
  <c r="DL177" i="6"/>
  <c r="CJ46" i="24" s="1"/>
  <c r="DJ177" i="6"/>
  <c r="DI177" i="6"/>
  <c r="DK177" i="6"/>
  <c r="CJ47" i="24" s="1"/>
  <c r="DM177" i="6"/>
  <c r="CJ45" i="24" s="1"/>
  <c r="DT177" i="6"/>
  <c r="CJ38" i="24" s="1"/>
  <c r="DO177" i="6"/>
  <c r="CJ43" i="24" s="1"/>
  <c r="DN177" i="6"/>
  <c r="DS177" i="6"/>
  <c r="EJ124" i="6"/>
  <c r="DR124" i="6"/>
  <c r="DQ124" i="6"/>
  <c r="DP124" i="6"/>
  <c r="DO124" i="6"/>
  <c r="DM124" i="6"/>
  <c r="AT45" i="24" s="1"/>
  <c r="DK124" i="6"/>
  <c r="AT47" i="24" s="1"/>
  <c r="DI124" i="6"/>
  <c r="DN124" i="6"/>
  <c r="AT44" i="24" s="1"/>
  <c r="DL124" i="6"/>
  <c r="AT46" i="24" s="1"/>
  <c r="DJ124" i="6"/>
  <c r="AT48" i="24" s="1"/>
  <c r="DT124" i="6"/>
  <c r="DS124" i="6"/>
  <c r="AT39" i="24" s="1"/>
  <c r="EJ55" i="6"/>
  <c r="DP55" i="6"/>
  <c r="DO55" i="6"/>
  <c r="DN55" i="6"/>
  <c r="DM55" i="6"/>
  <c r="DJ55" i="6"/>
  <c r="DI55" i="6"/>
  <c r="DL55" i="6"/>
  <c r="DK55" i="6"/>
  <c r="DR55" i="6"/>
  <c r="DH55" i="6" s="1"/>
  <c r="DQ55" i="6"/>
  <c r="DT55" i="6"/>
  <c r="DS55" i="6"/>
  <c r="EJ226" i="6"/>
  <c r="DS226" i="6"/>
  <c r="DQ226" i="6"/>
  <c r="DV41" i="24" s="1"/>
  <c r="DR226" i="6"/>
  <c r="DV40" i="24" s="1"/>
  <c r="DP226" i="6"/>
  <c r="DV42" i="24" s="1"/>
  <c r="DN226" i="6"/>
  <c r="DV44" i="24" s="1"/>
  <c r="DM226" i="6"/>
  <c r="DV45" i="24" s="1"/>
  <c r="DJ226" i="6"/>
  <c r="DV48" i="24" s="1"/>
  <c r="DO226" i="6"/>
  <c r="DL226" i="6"/>
  <c r="DK226" i="6"/>
  <c r="DT226" i="6"/>
  <c r="DI226" i="6"/>
  <c r="EJ198" i="6"/>
  <c r="DR198" i="6"/>
  <c r="DQ198" i="6"/>
  <c r="DA41" i="24" s="1"/>
  <c r="DP198" i="6"/>
  <c r="DA42" i="24" s="1"/>
  <c r="DO198" i="6"/>
  <c r="DA43" i="24" s="1"/>
  <c r="DM198" i="6"/>
  <c r="DA45" i="24" s="1"/>
  <c r="DL198" i="6"/>
  <c r="DA46" i="24" s="1"/>
  <c r="DJ198" i="6"/>
  <c r="DA48" i="24" s="1"/>
  <c r="DN198" i="6"/>
  <c r="DA44" i="24" s="1"/>
  <c r="DK198" i="6"/>
  <c r="DA47" i="24" s="1"/>
  <c r="DI198" i="6"/>
  <c r="DT198" i="6"/>
  <c r="DS198" i="6"/>
  <c r="EJ122" i="6"/>
  <c r="DR122" i="6"/>
  <c r="AR40" i="24" s="1"/>
  <c r="DQ122" i="6"/>
  <c r="AR41" i="24" s="1"/>
  <c r="DP122" i="6"/>
  <c r="AR42" i="24" s="1"/>
  <c r="DI122" i="6"/>
  <c r="DS122" i="6"/>
  <c r="AR39" i="24" s="1"/>
  <c r="DT122" i="6"/>
  <c r="DO122" i="6"/>
  <c r="AR43" i="24" s="1"/>
  <c r="DN122" i="6"/>
  <c r="AR44" i="24" s="1"/>
  <c r="DM122" i="6"/>
  <c r="AR45" i="24" s="1"/>
  <c r="DK122" i="6"/>
  <c r="DJ122" i="6"/>
  <c r="AR48" i="24" s="1"/>
  <c r="DL122" i="6"/>
  <c r="AR46" i="24" s="1"/>
  <c r="BB233" i="4"/>
  <c r="BB249" i="4" s="1"/>
  <c r="BB250" i="4" s="1"/>
  <c r="E58" i="1"/>
  <c r="BS223" i="6"/>
  <c r="CE224" i="6"/>
  <c r="DT37" i="24"/>
  <c r="DN26" i="24"/>
  <c r="DF26" i="24"/>
  <c r="CE192" i="6"/>
  <c r="CV37" i="24"/>
  <c r="CM28" i="24"/>
  <c r="CC29" i="24"/>
  <c r="CE135" i="6"/>
  <c r="BC37" i="24"/>
  <c r="AS30" i="24"/>
  <c r="AJ37" i="24"/>
  <c r="CE111" i="6"/>
  <c r="Z27" i="24"/>
  <c r="BS64" i="4"/>
  <c r="CE64" i="6"/>
  <c r="EJ42" i="6"/>
  <c r="DS42" i="6"/>
  <c r="DQ42" i="6"/>
  <c r="DR42" i="6"/>
  <c r="DH42" i="6" s="1"/>
  <c r="DJ42" i="6"/>
  <c r="DT42" i="6"/>
  <c r="DP42" i="6"/>
  <c r="DI42" i="6"/>
  <c r="DL42" i="6"/>
  <c r="DK42" i="6"/>
  <c r="DO42" i="6"/>
  <c r="DN42" i="6"/>
  <c r="DM42" i="6"/>
  <c r="BZ29" i="6"/>
  <c r="CK34" i="24"/>
  <c r="BV178" i="6"/>
  <c r="CA34" i="24"/>
  <c r="BK27" i="24"/>
  <c r="CE41" i="6"/>
  <c r="CE247" i="6"/>
  <c r="DS30" i="24"/>
  <c r="BZ222" i="4"/>
  <c r="DL26" i="24"/>
  <c r="CS36" i="24"/>
  <c r="BZ30" i="24"/>
  <c r="BJ30" i="24"/>
  <c r="AG36" i="24"/>
  <c r="N26" i="24"/>
  <c r="CJ28" i="24"/>
  <c r="AF27" i="24"/>
  <c r="M29" i="24"/>
  <c r="CB38" i="6"/>
  <c r="F28" i="24" s="1"/>
  <c r="DK32" i="24"/>
  <c r="BX209" i="6"/>
  <c r="DB31" i="24"/>
  <c r="CI32" i="24"/>
  <c r="BQ28" i="24"/>
  <c r="BI31" i="24"/>
  <c r="AY29" i="24"/>
  <c r="CA129" i="6"/>
  <c r="AN36" i="24"/>
  <c r="U32" i="24"/>
  <c r="BP36" i="24"/>
  <c r="BT150" i="6"/>
  <c r="AM30" i="24"/>
  <c r="BZ116" i="6"/>
  <c r="AD27" i="24"/>
  <c r="CC104" i="6"/>
  <c r="T32" i="24"/>
  <c r="CE229" i="6"/>
  <c r="DX37" i="24"/>
  <c r="DJ26" i="24"/>
  <c r="CG28" i="24"/>
  <c r="BG29" i="24"/>
  <c r="DW29" i="24"/>
  <c r="CA227" i="6"/>
  <c r="CP27" i="24"/>
  <c r="CF36" i="24"/>
  <c r="BT172" i="6"/>
  <c r="BW36" i="24"/>
  <c r="BO31" i="24"/>
  <c r="BF27" i="24"/>
  <c r="CC138" i="6"/>
  <c r="CE45" i="6"/>
  <c r="DP31" i="24"/>
  <c r="CX27" i="24"/>
  <c r="CO32" i="24"/>
  <c r="BV29" i="24"/>
  <c r="I30" i="24"/>
  <c r="BV67" i="4"/>
  <c r="AF67" i="4" s="1"/>
  <c r="AF67" i="6"/>
  <c r="CE55" i="6"/>
  <c r="CE57" i="6" s="1"/>
  <c r="CE58" i="6" s="1"/>
  <c r="BW55" i="4"/>
  <c r="BW57" i="6"/>
  <c r="BW58" i="6" s="1"/>
  <c r="CN35" i="24"/>
  <c r="BU182" i="6"/>
  <c r="AL35" i="24"/>
  <c r="H34" i="24"/>
  <c r="DU35" i="24"/>
  <c r="DG34" i="24"/>
  <c r="BM35" i="24"/>
  <c r="BU146" i="6"/>
  <c r="BD35" i="24"/>
  <c r="AT34" i="24"/>
  <c r="AA35" i="24"/>
  <c r="G28" i="24"/>
  <c r="CB76" i="6"/>
  <c r="CA88" i="6"/>
  <c r="DE29" i="24"/>
  <c r="CU36" i="24"/>
  <c r="CL31" i="24"/>
  <c r="CB30" i="24"/>
  <c r="BL37" i="24"/>
  <c r="CE145" i="6"/>
  <c r="BB27" i="24"/>
  <c r="CC133" i="6"/>
  <c r="AR37" i="24"/>
  <c r="CE122" i="6"/>
  <c r="AI30" i="24"/>
  <c r="Y31" i="24"/>
  <c r="P26" i="24"/>
  <c r="CD63" i="4"/>
  <c r="DM33" i="24"/>
  <c r="CT33" i="24"/>
  <c r="AQ33" i="24"/>
  <c r="AH33" i="24"/>
  <c r="X33" i="24"/>
  <c r="O33" i="24"/>
  <c r="DD33" i="24"/>
  <c r="BS33" i="24"/>
  <c r="BA33" i="24"/>
  <c r="AP33" i="24"/>
  <c r="W33" i="24"/>
  <c r="BY61" i="4"/>
  <c r="BY60" i="6"/>
  <c r="DC35" i="24"/>
  <c r="CR34" i="24"/>
  <c r="BV187" i="6"/>
  <c r="BY34" i="24"/>
  <c r="BV164" i="6"/>
  <c r="BR30" i="24"/>
  <c r="AZ26" i="24"/>
  <c r="AO36" i="24"/>
  <c r="V30" i="24"/>
  <c r="DQ36" i="24"/>
  <c r="BT219" i="6"/>
  <c r="BT220" i="4"/>
  <c r="AE27" i="24"/>
  <c r="CE244" i="6"/>
  <c r="CE198" i="6"/>
  <c r="DA37" i="24"/>
  <c r="CQ32" i="24"/>
  <c r="CH37" i="24"/>
  <c r="CE175" i="6"/>
  <c r="BH29" i="24"/>
  <c r="L27" i="24"/>
  <c r="CZ30" i="24"/>
  <c r="BX30" i="24"/>
  <c r="AX36" i="24"/>
  <c r="S30" i="24"/>
  <c r="K35" i="24"/>
  <c r="CB241" i="6"/>
  <c r="EB28" i="24" s="1"/>
  <c r="DI28" i="24"/>
  <c r="CY36" i="24"/>
  <c r="AW28" i="24"/>
  <c r="R35" i="24"/>
  <c r="BU90" i="6"/>
  <c r="J28" i="24"/>
  <c r="DH32" i="24"/>
  <c r="BX205" i="6"/>
  <c r="AV31" i="24"/>
  <c r="AC31" i="24"/>
  <c r="DV31" i="24"/>
  <c r="DO30" i="24"/>
  <c r="BZ214" i="6"/>
  <c r="CW28" i="24"/>
  <c r="CB193" i="6"/>
  <c r="CE30" i="24"/>
  <c r="BU31" i="24"/>
  <c r="BN28" i="24"/>
  <c r="BE31" i="24"/>
  <c r="AU26" i="24"/>
  <c r="AB36" i="24"/>
  <c r="CD28" i="24"/>
  <c r="BT37" i="24"/>
  <c r="BS157" i="6"/>
  <c r="CE158" i="6"/>
  <c r="AK32" i="24"/>
  <c r="EJ130" i="6"/>
  <c r="DR130" i="6"/>
  <c r="DH130" i="6" s="1"/>
  <c r="DP130" i="6"/>
  <c r="DQ130" i="6"/>
  <c r="DI130" i="6"/>
  <c r="DS130" i="6"/>
  <c r="DT130" i="6"/>
  <c r="DO130" i="6"/>
  <c r="DN130" i="6"/>
  <c r="DM130" i="6"/>
  <c r="DL130" i="6"/>
  <c r="DK130" i="6"/>
  <c r="DJ130" i="6"/>
  <c r="EJ61" i="6"/>
  <c r="DQ61" i="6"/>
  <c r="DP61" i="6"/>
  <c r="AJ61" i="6" s="1"/>
  <c r="DO61" i="6"/>
  <c r="AI61" i="6" s="1"/>
  <c r="DN61" i="6"/>
  <c r="DK61" i="6"/>
  <c r="DJ61" i="6"/>
  <c r="DI61" i="6"/>
  <c r="DM61" i="6"/>
  <c r="AG61" i="6" s="1"/>
  <c r="DL61" i="6"/>
  <c r="DS61" i="6"/>
  <c r="DT61" i="6"/>
  <c r="DR61" i="6"/>
  <c r="CV32" i="24"/>
  <c r="AS33" i="24"/>
  <c r="BY64" i="4"/>
  <c r="BW29" i="6"/>
  <c r="BZ36" i="24"/>
  <c r="N28" i="24"/>
  <c r="AF29" i="24"/>
  <c r="BU38" i="6"/>
  <c r="F35" i="24" s="1"/>
  <c r="BQ30" i="24"/>
  <c r="BP31" i="24"/>
  <c r="BY150" i="6"/>
  <c r="DX26" i="24"/>
  <c r="BG26" i="24"/>
  <c r="CF32" i="24"/>
  <c r="BX172" i="6"/>
  <c r="DP33" i="24"/>
  <c r="CN26" i="24"/>
  <c r="CD182" i="6"/>
  <c r="DG29" i="24"/>
  <c r="AA28" i="24"/>
  <c r="BV88" i="6"/>
  <c r="CE168" i="6"/>
  <c r="CB37" i="24"/>
  <c r="AI26" i="24"/>
  <c r="BS63" i="4"/>
  <c r="CE63" i="6"/>
  <c r="EJ30" i="6"/>
  <c r="DT30" i="6"/>
  <c r="DR30" i="6"/>
  <c r="DH30" i="6" s="1"/>
  <c r="DS30" i="6"/>
  <c r="DK30" i="6"/>
  <c r="DI30" i="6"/>
  <c r="DQ30" i="6"/>
  <c r="DJ30" i="6"/>
  <c r="DP30" i="6"/>
  <c r="DM30" i="6"/>
  <c r="DL30" i="6"/>
  <c r="DO30" i="6"/>
  <c r="DN30" i="6"/>
  <c r="AH35" i="24"/>
  <c r="BS35" i="24"/>
  <c r="DC29" i="24"/>
  <c r="AZ27" i="24"/>
  <c r="V32" i="24"/>
  <c r="AE31" i="24"/>
  <c r="CH26" i="24"/>
  <c r="L29" i="24"/>
  <c r="S35" i="24"/>
  <c r="CD33" i="24"/>
  <c r="EJ243" i="6"/>
  <c r="DS243" i="6"/>
  <c r="DQ243" i="6"/>
  <c r="DR243" i="6"/>
  <c r="DM243" i="6"/>
  <c r="DK243" i="6"/>
  <c r="DI243" i="6"/>
  <c r="DL243" i="6"/>
  <c r="DJ243" i="6"/>
  <c r="DO243" i="6"/>
  <c r="DT243" i="6"/>
  <c r="DN243" i="6"/>
  <c r="DP243" i="6"/>
  <c r="EJ181" i="6"/>
  <c r="DR181" i="6"/>
  <c r="DQ181" i="6"/>
  <c r="DP181" i="6"/>
  <c r="CM42" i="24" s="1"/>
  <c r="DI181" i="6"/>
  <c r="DS181" i="6"/>
  <c r="CM39" i="24" s="1"/>
  <c r="DT181" i="6"/>
  <c r="CM38" i="24" s="1"/>
  <c r="DO181" i="6"/>
  <c r="CM43" i="24" s="1"/>
  <c r="DM181" i="6"/>
  <c r="DK181" i="6"/>
  <c r="DJ181" i="6"/>
  <c r="DN181" i="6"/>
  <c r="DL181" i="6"/>
  <c r="DT26" i="24"/>
  <c r="CD223" i="6"/>
  <c r="CV31" i="24"/>
  <c r="BC26" i="24"/>
  <c r="Z29" i="24"/>
  <c r="CK36" i="24"/>
  <c r="BT178" i="6"/>
  <c r="BK29" i="24"/>
  <c r="DL27" i="24"/>
  <c r="BJ31" i="24"/>
  <c r="M30" i="24"/>
  <c r="DK28" i="24"/>
  <c r="CB209" i="6"/>
  <c r="BQ29" i="24"/>
  <c r="AN31" i="24"/>
  <c r="U28" i="24"/>
  <c r="AD28" i="24"/>
  <c r="CB104" i="6"/>
  <c r="T36" i="24"/>
  <c r="DJ27" i="24"/>
  <c r="BG31" i="24"/>
  <c r="CF31" i="24"/>
  <c r="BY172" i="6"/>
  <c r="BO26" i="24"/>
  <c r="CX28" i="24"/>
  <c r="I31" i="24"/>
  <c r="BV55" i="4"/>
  <c r="BV57" i="6"/>
  <c r="BV58" i="6" s="1"/>
  <c r="AL34" i="24"/>
  <c r="DU27" i="24"/>
  <c r="BD26" i="24"/>
  <c r="DE28" i="24"/>
  <c r="CL28" i="24"/>
  <c r="BB26" i="24"/>
  <c r="CD133" i="6"/>
  <c r="Y28" i="24"/>
  <c r="CC63" i="4"/>
  <c r="DM35" i="24"/>
  <c r="AH34" i="24"/>
  <c r="DD35" i="24"/>
  <c r="AP35" i="24"/>
  <c r="DC27" i="24"/>
  <c r="BR32" i="24"/>
  <c r="AE30" i="24"/>
  <c r="DA28" i="24"/>
  <c r="BH30" i="24"/>
  <c r="L28" i="24"/>
  <c r="AX26" i="24"/>
  <c r="K36" i="24"/>
  <c r="DI29" i="24"/>
  <c r="R26" i="24"/>
  <c r="CD90" i="6"/>
  <c r="AV36" i="24"/>
  <c r="DO37" i="24"/>
  <c r="BS214" i="6"/>
  <c r="CE215" i="6"/>
  <c r="BA233" i="4"/>
  <c r="BA249" i="4" s="1"/>
  <c r="BA250" i="4" s="1"/>
  <c r="EJ224" i="6"/>
  <c r="DS224" i="6"/>
  <c r="DQ224" i="6"/>
  <c r="DR224" i="6"/>
  <c r="DJ224" i="6"/>
  <c r="DT224" i="6"/>
  <c r="DP224" i="6"/>
  <c r="DI224" i="6"/>
  <c r="DK224" i="6"/>
  <c r="DO224" i="6"/>
  <c r="DN224" i="6"/>
  <c r="DM224" i="6"/>
  <c r="DL224" i="6"/>
  <c r="EJ159" i="6"/>
  <c r="DR159" i="6"/>
  <c r="BU40" i="24" s="1"/>
  <c r="DQ159" i="6"/>
  <c r="DP159" i="6"/>
  <c r="BU42" i="24" s="1"/>
  <c r="DO159" i="6"/>
  <c r="DI159" i="6"/>
  <c r="DN159" i="6"/>
  <c r="BU44" i="24" s="1"/>
  <c r="DM159" i="6"/>
  <c r="BU45" i="24" s="1"/>
  <c r="DL159" i="6"/>
  <c r="BU46" i="24" s="1"/>
  <c r="DK159" i="6"/>
  <c r="BU47" i="24" s="1"/>
  <c r="DJ159" i="6"/>
  <c r="DT159" i="6"/>
  <c r="DS159" i="6"/>
  <c r="BU39" i="24" s="1"/>
  <c r="EJ176" i="6"/>
  <c r="DR176" i="6"/>
  <c r="CI40" i="24" s="1"/>
  <c r="DP176" i="6"/>
  <c r="CI42" i="24" s="1"/>
  <c r="DQ176" i="6"/>
  <c r="DI176" i="6"/>
  <c r="DT176" i="6"/>
  <c r="DS176" i="6"/>
  <c r="CI39" i="24" s="1"/>
  <c r="DO176" i="6"/>
  <c r="CI43" i="24" s="1"/>
  <c r="DK176" i="6"/>
  <c r="CI47" i="24" s="1"/>
  <c r="DN176" i="6"/>
  <c r="DM176" i="6"/>
  <c r="CI45" i="24" s="1"/>
  <c r="DL176" i="6"/>
  <c r="CI46" i="24" s="1"/>
  <c r="DJ176" i="6"/>
  <c r="CI48" i="24" s="1"/>
  <c r="L58" i="6"/>
  <c r="I58" i="6"/>
  <c r="EA234" i="6"/>
  <c r="EJ153" i="6"/>
  <c r="DR153" i="6"/>
  <c r="DP153" i="6"/>
  <c r="DQ153" i="6"/>
  <c r="BR41" i="24" s="1"/>
  <c r="DI153" i="6"/>
  <c r="DT153" i="6"/>
  <c r="BR38" i="24" s="1"/>
  <c r="DS153" i="6"/>
  <c r="BR39" i="24" s="1"/>
  <c r="DO153" i="6"/>
  <c r="BR43" i="24" s="1"/>
  <c r="DK153" i="6"/>
  <c r="BR47" i="24" s="1"/>
  <c r="DJ153" i="6"/>
  <c r="BR48" i="24" s="1"/>
  <c r="DN153" i="6"/>
  <c r="BR44" i="24" s="1"/>
  <c r="DM153" i="6"/>
  <c r="DL153" i="6"/>
  <c r="EJ84" i="6"/>
  <c r="DQ84" i="6"/>
  <c r="N41" i="24" s="1"/>
  <c r="DO84" i="6"/>
  <c r="DP84" i="6"/>
  <c r="N42" i="24" s="1"/>
  <c r="DT84" i="6"/>
  <c r="DN84" i="6"/>
  <c r="DM84" i="6"/>
  <c r="N45" i="24" s="1"/>
  <c r="DL84" i="6"/>
  <c r="N46" i="24" s="1"/>
  <c r="DK84" i="6"/>
  <c r="N47" i="24" s="1"/>
  <c r="DS84" i="6"/>
  <c r="N39" i="24" s="1"/>
  <c r="DR84" i="6"/>
  <c r="N40" i="24" s="1"/>
  <c r="DI84" i="6"/>
  <c r="DJ84" i="6"/>
  <c r="EJ158" i="6"/>
  <c r="DR158" i="6"/>
  <c r="DP158" i="6"/>
  <c r="DQ158" i="6"/>
  <c r="DL158" i="6"/>
  <c r="DJ158" i="6"/>
  <c r="DK158" i="6"/>
  <c r="DI158" i="6"/>
  <c r="DT158" i="6"/>
  <c r="DN158" i="6"/>
  <c r="DS158" i="6"/>
  <c r="DO158" i="6"/>
  <c r="DM158" i="6"/>
  <c r="EJ216" i="6"/>
  <c r="DR216" i="6"/>
  <c r="DH216" i="6" s="1"/>
  <c r="DQ216" i="6"/>
  <c r="DP216" i="6"/>
  <c r="DO216" i="6"/>
  <c r="DP43" i="24" s="1"/>
  <c r="DK216" i="6"/>
  <c r="DP47" i="24" s="1"/>
  <c r="DI216" i="6"/>
  <c r="DN216" i="6"/>
  <c r="DP44" i="24" s="1"/>
  <c r="DM216" i="6"/>
  <c r="DL216" i="6"/>
  <c r="DJ216" i="6"/>
  <c r="DS216" i="6"/>
  <c r="DP39" i="24" s="1"/>
  <c r="DT216" i="6"/>
  <c r="EJ173" i="6"/>
  <c r="DR173" i="6"/>
  <c r="DP173" i="6"/>
  <c r="DQ173" i="6"/>
  <c r="DL173" i="6"/>
  <c r="DK173" i="6"/>
  <c r="DJ173" i="6"/>
  <c r="DI173" i="6"/>
  <c r="DS173" i="6"/>
  <c r="DO173" i="6"/>
  <c r="DN173" i="6"/>
  <c r="DM173" i="6"/>
  <c r="DT173" i="6"/>
  <c r="EJ120" i="6"/>
  <c r="DR120" i="6"/>
  <c r="DH120" i="6" s="1"/>
  <c r="DQ120" i="6"/>
  <c r="AP41" i="24" s="1"/>
  <c r="DP120" i="6"/>
  <c r="AP42" i="24" s="1"/>
  <c r="DO120" i="6"/>
  <c r="AP43" i="24" s="1"/>
  <c r="DL120" i="6"/>
  <c r="AP46" i="24" s="1"/>
  <c r="DI120" i="6"/>
  <c r="DN120" i="6"/>
  <c r="AP44" i="24" s="1"/>
  <c r="DM120" i="6"/>
  <c r="AP45" i="24" s="1"/>
  <c r="DK120" i="6"/>
  <c r="AP47" i="24" s="1"/>
  <c r="DJ120" i="6"/>
  <c r="DS120" i="6"/>
  <c r="AP39" i="24" s="1"/>
  <c r="DT120" i="6"/>
  <c r="AP38" i="24" s="1"/>
  <c r="EJ215" i="6"/>
  <c r="DR215" i="6"/>
  <c r="DH215" i="6" s="1"/>
  <c r="DP215" i="6"/>
  <c r="DQ215" i="6"/>
  <c r="DL215" i="6"/>
  <c r="DJ215" i="6"/>
  <c r="DI215" i="6"/>
  <c r="DK215" i="6"/>
  <c r="DS215" i="6"/>
  <c r="DN215" i="6"/>
  <c r="DM215" i="6"/>
  <c r="DO215" i="6"/>
  <c r="DT215" i="6"/>
  <c r="EJ195" i="6"/>
  <c r="DR195" i="6"/>
  <c r="CX40" i="24" s="1"/>
  <c r="DP195" i="6"/>
  <c r="CX42" i="24" s="1"/>
  <c r="DQ195" i="6"/>
  <c r="CX41" i="24" s="1"/>
  <c r="DS195" i="6"/>
  <c r="DO195" i="6"/>
  <c r="DM195" i="6"/>
  <c r="DT195" i="6"/>
  <c r="DN195" i="6"/>
  <c r="DL195" i="6"/>
  <c r="DK195" i="6"/>
  <c r="DJ195" i="6"/>
  <c r="CX48" i="24" s="1"/>
  <c r="DI195" i="6"/>
  <c r="EJ118" i="6"/>
  <c r="DR118" i="6"/>
  <c r="AN40" i="24" s="1"/>
  <c r="DQ118" i="6"/>
  <c r="AN41" i="24" s="1"/>
  <c r="DP118" i="6"/>
  <c r="AN42" i="24" s="1"/>
  <c r="DI118" i="6"/>
  <c r="DT118" i="6"/>
  <c r="AN38" i="24" s="1"/>
  <c r="DS118" i="6"/>
  <c r="AN39" i="24" s="1"/>
  <c r="DO118" i="6"/>
  <c r="DL118" i="6"/>
  <c r="DN118" i="6"/>
  <c r="DK118" i="6"/>
  <c r="AN47" i="24" s="1"/>
  <c r="DJ118" i="6"/>
  <c r="AN48" i="24" s="1"/>
  <c r="DM118" i="6"/>
  <c r="AN45" i="24" s="1"/>
  <c r="EJ32" i="6"/>
  <c r="DT32" i="6"/>
  <c r="DT88" i="6" s="1"/>
  <c r="DR32" i="6"/>
  <c r="DH32" i="6" s="1"/>
  <c r="DS32" i="6"/>
  <c r="DQ32" i="6"/>
  <c r="DQ88" i="6" s="1"/>
  <c r="DO32" i="6"/>
  <c r="DO88" i="6" s="1"/>
  <c r="DM32" i="6"/>
  <c r="DL32" i="6"/>
  <c r="DK32" i="6"/>
  <c r="DK88" i="6" s="1"/>
  <c r="DP32" i="6"/>
  <c r="DP88" i="6" s="1"/>
  <c r="DN32" i="6"/>
  <c r="DN88" i="6" s="1"/>
  <c r="DI32" i="6"/>
  <c r="DJ32" i="6"/>
  <c r="DJ88" i="6" s="1"/>
  <c r="DT29" i="24"/>
  <c r="CA223" i="6"/>
  <c r="DN27" i="24"/>
  <c r="DF27" i="24"/>
  <c r="CV36" i="24"/>
  <c r="CM36" i="24"/>
  <c r="CC28" i="24"/>
  <c r="BC36" i="24"/>
  <c r="AS28" i="24"/>
  <c r="AJ31" i="24"/>
  <c r="Z26" i="24"/>
  <c r="BT64" i="4"/>
  <c r="CA29" i="6"/>
  <c r="CK35" i="24"/>
  <c r="BU178" i="6"/>
  <c r="CA35" i="24"/>
  <c r="BK35" i="24"/>
  <c r="DS34" i="24"/>
  <c r="BV222" i="4"/>
  <c r="DL34" i="24"/>
  <c r="CS34" i="24"/>
  <c r="BZ35" i="24"/>
  <c r="BJ34" i="24"/>
  <c r="AG34" i="24"/>
  <c r="N36" i="24"/>
  <c r="CJ26" i="24"/>
  <c r="AF26" i="24"/>
  <c r="M28" i="24"/>
  <c r="CC38" i="6"/>
  <c r="F27" i="24" s="1"/>
  <c r="DK31" i="24"/>
  <c r="BY209" i="6"/>
  <c r="DB37" i="24"/>
  <c r="CE199" i="6"/>
  <c r="CI31" i="24"/>
  <c r="BQ31" i="24"/>
  <c r="BI29" i="24"/>
  <c r="AY28" i="24"/>
  <c r="CB129" i="6"/>
  <c r="AN29" i="24"/>
  <c r="U29" i="24"/>
  <c r="BP30" i="24"/>
  <c r="BZ150" i="6"/>
  <c r="AM29" i="24"/>
  <c r="CA116" i="6"/>
  <c r="CE105" i="6"/>
  <c r="AD37" i="24"/>
  <c r="BS104" i="6"/>
  <c r="T35" i="24"/>
  <c r="DX33" i="24"/>
  <c r="DJ31" i="24"/>
  <c r="CG31" i="24"/>
  <c r="BG28" i="24"/>
  <c r="DW28" i="24"/>
  <c r="CB227" i="6"/>
  <c r="CP31" i="24"/>
  <c r="CF30" i="24"/>
  <c r="BZ172" i="6"/>
  <c r="BW32" i="24"/>
  <c r="BO28" i="24"/>
  <c r="BF28" i="24"/>
  <c r="CB138" i="6"/>
  <c r="DP36" i="24"/>
  <c r="CX26" i="24"/>
  <c r="CO31" i="24"/>
  <c r="BV26" i="24"/>
  <c r="I29" i="24"/>
  <c r="CE67" i="6"/>
  <c r="BS67" i="4"/>
  <c r="AC67" i="6"/>
  <c r="CA55" i="4"/>
  <c r="CA57" i="6"/>
  <c r="CA58" i="6" s="1"/>
  <c r="CN33" i="24"/>
  <c r="BW182" i="6"/>
  <c r="AL33" i="24"/>
  <c r="H33" i="24"/>
  <c r="DU36" i="24"/>
  <c r="DG35" i="24"/>
  <c r="BM34" i="24"/>
  <c r="BV146" i="6"/>
  <c r="BD34" i="24"/>
  <c r="AT35" i="24"/>
  <c r="AA34" i="24"/>
  <c r="G34" i="24"/>
  <c r="BV76" i="6"/>
  <c r="BY88" i="6"/>
  <c r="CE202" i="6"/>
  <c r="DE37" i="24"/>
  <c r="CU32" i="24"/>
  <c r="CE180" i="6"/>
  <c r="CL37" i="24"/>
  <c r="CB29" i="24"/>
  <c r="BL26" i="24"/>
  <c r="BB36" i="24"/>
  <c r="BT133" i="6"/>
  <c r="AR30" i="24"/>
  <c r="AI29" i="24"/>
  <c r="Y30" i="24"/>
  <c r="P29" i="24"/>
  <c r="BU63" i="4"/>
  <c r="DM32" i="24"/>
  <c r="CT28" i="24"/>
  <c r="CE121" i="6"/>
  <c r="AQ37" i="24"/>
  <c r="AH29" i="24"/>
  <c r="X37" i="24"/>
  <c r="CE97" i="6"/>
  <c r="O31" i="24"/>
  <c r="CE201" i="6"/>
  <c r="DD37" i="24"/>
  <c r="BS26" i="24"/>
  <c r="BA31" i="24"/>
  <c r="AP27" i="24"/>
  <c r="W26" i="24"/>
  <c r="CB61" i="4"/>
  <c r="CB60" i="6"/>
  <c r="DC34" i="24"/>
  <c r="CR35" i="24"/>
  <c r="BU187" i="6"/>
  <c r="BY35" i="24"/>
  <c r="BU164" i="6"/>
  <c r="BR34" i="24"/>
  <c r="AZ34" i="24"/>
  <c r="AO35" i="24"/>
  <c r="V34" i="24"/>
  <c r="DQ34" i="24"/>
  <c r="BV219" i="6"/>
  <c r="BV220" i="4"/>
  <c r="AE34" i="24"/>
  <c r="DA27" i="24"/>
  <c r="CQ31" i="24"/>
  <c r="CH36" i="24"/>
  <c r="BH28" i="24"/>
  <c r="L32" i="24"/>
  <c r="CZ29" i="24"/>
  <c r="BX29" i="24"/>
  <c r="AX32" i="24"/>
  <c r="S29" i="24"/>
  <c r="K32" i="24"/>
  <c r="CD241" i="6"/>
  <c r="EB26" i="24" s="1"/>
  <c r="DI32" i="24"/>
  <c r="CY32" i="24"/>
  <c r="AW32" i="24"/>
  <c r="R30" i="24"/>
  <c r="BZ90" i="6"/>
  <c r="J35" i="24"/>
  <c r="DH30" i="24"/>
  <c r="BZ205" i="6"/>
  <c r="AV32" i="24"/>
  <c r="AC30" i="24"/>
  <c r="DV32" i="24"/>
  <c r="DO28" i="24"/>
  <c r="CB214" i="6"/>
  <c r="CW32" i="24"/>
  <c r="BX193" i="6"/>
  <c r="CE29" i="24"/>
  <c r="BU30" i="24"/>
  <c r="BN27" i="24"/>
  <c r="BE30" i="24"/>
  <c r="AU36" i="24"/>
  <c r="AB32" i="24"/>
  <c r="CD27" i="24"/>
  <c r="BT36" i="24"/>
  <c r="BT157" i="6"/>
  <c r="AK30" i="24"/>
  <c r="EJ204" i="6"/>
  <c r="DR204" i="6"/>
  <c r="DH204" i="6" s="1"/>
  <c r="DP204" i="6"/>
  <c r="DG42" i="24" s="1"/>
  <c r="DQ204" i="6"/>
  <c r="DG41" i="24" s="1"/>
  <c r="DI204" i="6"/>
  <c r="DO204" i="6"/>
  <c r="DG43" i="24" s="1"/>
  <c r="DT204" i="6"/>
  <c r="DG38" i="24" s="1"/>
  <c r="DS204" i="6"/>
  <c r="DL204" i="6"/>
  <c r="DG46" i="24" s="1"/>
  <c r="DJ204" i="6"/>
  <c r="DN204" i="6"/>
  <c r="DM204" i="6"/>
  <c r="DK204" i="6"/>
  <c r="EJ126" i="6"/>
  <c r="DR126" i="6"/>
  <c r="AV40" i="24" s="1"/>
  <c r="DQ126" i="6"/>
  <c r="AV41" i="24" s="1"/>
  <c r="DP126" i="6"/>
  <c r="AV42" i="24" s="1"/>
  <c r="DI126" i="6"/>
  <c r="DT126" i="6"/>
  <c r="DS126" i="6"/>
  <c r="DO126" i="6"/>
  <c r="AV43" i="24" s="1"/>
  <c r="DN126" i="6"/>
  <c r="DM126" i="6"/>
  <c r="AV45" i="24" s="1"/>
  <c r="DK126" i="6"/>
  <c r="DJ126" i="6"/>
  <c r="AV48" i="24" s="1"/>
  <c r="DL126" i="6"/>
  <c r="AV46" i="24" s="1"/>
  <c r="DN28" i="24"/>
  <c r="CM26" i="24"/>
  <c r="AS31" i="24"/>
  <c r="BU64" i="4"/>
  <c r="CA27" i="24"/>
  <c r="DS32" i="24"/>
  <c r="BX222" i="4"/>
  <c r="BZ32" i="24"/>
  <c r="N27" i="24"/>
  <c r="CE40" i="6"/>
  <c r="AF28" i="24"/>
  <c r="DB28" i="24"/>
  <c r="BI30" i="24"/>
  <c r="BP37" i="24"/>
  <c r="CE151" i="6"/>
  <c r="BS150" i="6"/>
  <c r="CG29" i="24"/>
  <c r="CP28" i="24"/>
  <c r="CE216" i="6"/>
  <c r="DP37" i="24"/>
  <c r="BV27" i="24"/>
  <c r="BU67" i="4"/>
  <c r="AE67" i="4" s="1"/>
  <c r="AE67" i="6"/>
  <c r="EJ44" i="6"/>
  <c r="DS44" i="6"/>
  <c r="DQ44" i="6"/>
  <c r="DR44" i="6"/>
  <c r="DH44" i="6" s="1"/>
  <c r="DM44" i="6"/>
  <c r="DK44" i="6"/>
  <c r="DI44" i="6"/>
  <c r="DL44" i="6"/>
  <c r="DJ44" i="6"/>
  <c r="DP44" i="6"/>
  <c r="DT44" i="6"/>
  <c r="DO44" i="6"/>
  <c r="DN44" i="6"/>
  <c r="H36" i="24"/>
  <c r="BM36" i="24"/>
  <c r="BT146" i="6"/>
  <c r="AA27" i="24"/>
  <c r="CU28" i="24"/>
  <c r="BL31" i="24"/>
  <c r="AI31" i="24"/>
  <c r="CT35" i="24"/>
  <c r="X35" i="24"/>
  <c r="BS34" i="24"/>
  <c r="W34" i="24"/>
  <c r="CR26" i="24"/>
  <c r="CD187" i="6"/>
  <c r="AZ29" i="24"/>
  <c r="V31" i="24"/>
  <c r="CH31" i="24"/>
  <c r="BX31" i="24"/>
  <c r="BX241" i="6"/>
  <c r="EB32" i="24" s="1"/>
  <c r="AW29" i="24"/>
  <c r="J29" i="24"/>
  <c r="DV33" i="24"/>
  <c r="CE26" i="24"/>
  <c r="BN29" i="24"/>
  <c r="CE125" i="6"/>
  <c r="AU37" i="24"/>
  <c r="CD29" i="24"/>
  <c r="BT33" i="24"/>
  <c r="BW157" i="6"/>
  <c r="M146" i="6"/>
  <c r="K70" i="6"/>
  <c r="C218" i="6"/>
  <c r="E58" i="6"/>
  <c r="EJ213" i="6"/>
  <c r="DR213" i="6"/>
  <c r="DH213" i="6" s="1"/>
  <c r="DQ213" i="6"/>
  <c r="DP213" i="6"/>
  <c r="DN42" i="24" s="1"/>
  <c r="DO213" i="6"/>
  <c r="DN43" i="24" s="1"/>
  <c r="DM213" i="6"/>
  <c r="DL213" i="6"/>
  <c r="DJ213" i="6"/>
  <c r="DN48" i="24" s="1"/>
  <c r="DN213" i="6"/>
  <c r="DN44" i="24" s="1"/>
  <c r="DK213" i="6"/>
  <c r="DN47" i="24" s="1"/>
  <c r="DI213" i="6"/>
  <c r="DS213" i="6"/>
  <c r="DT213" i="6"/>
  <c r="DN38" i="24" s="1"/>
  <c r="EJ144" i="6"/>
  <c r="DR144" i="6"/>
  <c r="DH144" i="6" s="1"/>
  <c r="DP144" i="6"/>
  <c r="BK42" i="24" s="1"/>
  <c r="DQ144" i="6"/>
  <c r="BK41" i="24" s="1"/>
  <c r="DO144" i="6"/>
  <c r="DM144" i="6"/>
  <c r="DN144" i="6"/>
  <c r="BK44" i="24" s="1"/>
  <c r="DL144" i="6"/>
  <c r="BK46" i="24" s="1"/>
  <c r="DK144" i="6"/>
  <c r="BK47" i="24" s="1"/>
  <c r="DJ144" i="6"/>
  <c r="BK48" i="24" s="1"/>
  <c r="DI144" i="6"/>
  <c r="DT144" i="6"/>
  <c r="DS144" i="6"/>
  <c r="EJ81" i="6"/>
  <c r="DQ81" i="6"/>
  <c r="DP81" i="6"/>
  <c r="K42" i="24" s="1"/>
  <c r="DO81" i="6"/>
  <c r="DT81" i="6"/>
  <c r="DS81" i="6"/>
  <c r="K39" i="24" s="1"/>
  <c r="DR81" i="6"/>
  <c r="K40" i="24" s="1"/>
  <c r="DN81" i="6"/>
  <c r="K44" i="24" s="1"/>
  <c r="DM81" i="6"/>
  <c r="K45" i="24" s="1"/>
  <c r="DL81" i="6"/>
  <c r="DK81" i="6"/>
  <c r="DI81" i="6"/>
  <c r="DJ81" i="6"/>
  <c r="K48" i="24" s="1"/>
  <c r="EJ139" i="6"/>
  <c r="DR139" i="6"/>
  <c r="DH139" i="6" s="1"/>
  <c r="DQ139" i="6"/>
  <c r="DP139" i="6"/>
  <c r="DL139" i="6"/>
  <c r="DJ139" i="6"/>
  <c r="DK139" i="6"/>
  <c r="DI139" i="6"/>
  <c r="DT139" i="6"/>
  <c r="DN139" i="6"/>
  <c r="DS139" i="6"/>
  <c r="DO139" i="6"/>
  <c r="DM139" i="6"/>
  <c r="EJ168" i="6"/>
  <c r="DR168" i="6"/>
  <c r="DQ168" i="6"/>
  <c r="DP168" i="6"/>
  <c r="CB42" i="24" s="1"/>
  <c r="DL168" i="6"/>
  <c r="CB46" i="24" s="1"/>
  <c r="DK168" i="6"/>
  <c r="CB47" i="24" s="1"/>
  <c r="DJ168" i="6"/>
  <c r="CB48" i="24" s="1"/>
  <c r="DI168" i="6"/>
  <c r="DN168" i="6"/>
  <c r="CB44" i="24" s="1"/>
  <c r="DT168" i="6"/>
  <c r="DS168" i="6"/>
  <c r="DO168" i="6"/>
  <c r="DM168" i="6"/>
  <c r="EJ112" i="6"/>
  <c r="DR112" i="6"/>
  <c r="DH112" i="6" s="1"/>
  <c r="DQ112" i="6"/>
  <c r="AK41" i="24" s="1"/>
  <c r="DP112" i="6"/>
  <c r="AK42" i="24" s="1"/>
  <c r="DO112" i="6"/>
  <c r="AK43" i="24" s="1"/>
  <c r="DL112" i="6"/>
  <c r="AK46" i="24" s="1"/>
  <c r="DJ112" i="6"/>
  <c r="DN112" i="6"/>
  <c r="DM112" i="6"/>
  <c r="DK112" i="6"/>
  <c r="DI112" i="6"/>
  <c r="DT112" i="6"/>
  <c r="AK38" i="24" s="1"/>
  <c r="DS112" i="6"/>
  <c r="EJ196" i="6"/>
  <c r="DR196" i="6"/>
  <c r="CY40" i="24" s="1"/>
  <c r="DQ196" i="6"/>
  <c r="CY41" i="24" s="1"/>
  <c r="DP196" i="6"/>
  <c r="CY42" i="24" s="1"/>
  <c r="DI196" i="6"/>
  <c r="DT196" i="6"/>
  <c r="CY38" i="24" s="1"/>
  <c r="DO196" i="6"/>
  <c r="DS196" i="6"/>
  <c r="DN196" i="6"/>
  <c r="DM196" i="6"/>
  <c r="CY45" i="24" s="1"/>
  <c r="DK196" i="6"/>
  <c r="DJ196" i="6"/>
  <c r="CY48" i="24" s="1"/>
  <c r="DL196" i="6"/>
  <c r="CY46" i="24" s="1"/>
  <c r="EJ192" i="6"/>
  <c r="DR192" i="6"/>
  <c r="CV40" i="24" s="1"/>
  <c r="DQ192" i="6"/>
  <c r="CV41" i="24" s="1"/>
  <c r="DP192" i="6"/>
  <c r="CV42" i="24" s="1"/>
  <c r="DL192" i="6"/>
  <c r="CV46" i="24" s="1"/>
  <c r="DJ192" i="6"/>
  <c r="CV48" i="24" s="1"/>
  <c r="DK192" i="6"/>
  <c r="DI192" i="6"/>
  <c r="DT192" i="6"/>
  <c r="CV38" i="24" s="1"/>
  <c r="DO192" i="6"/>
  <c r="DN192" i="6"/>
  <c r="CV44" i="24" s="1"/>
  <c r="DM192" i="6"/>
  <c r="DS192" i="6"/>
  <c r="CV39" i="24" s="1"/>
  <c r="EJ111" i="6"/>
  <c r="DR111" i="6"/>
  <c r="AJ40" i="24" s="1"/>
  <c r="DP111" i="6"/>
  <c r="AJ42" i="24" s="1"/>
  <c r="DQ111" i="6"/>
  <c r="AJ41" i="24" s="1"/>
  <c r="DL111" i="6"/>
  <c r="DJ111" i="6"/>
  <c r="AJ48" i="24" s="1"/>
  <c r="DK111" i="6"/>
  <c r="DI111" i="6"/>
  <c r="DT111" i="6"/>
  <c r="AJ38" i="24" s="1"/>
  <c r="DN111" i="6"/>
  <c r="AJ44" i="24" s="1"/>
  <c r="DS111" i="6"/>
  <c r="DO111" i="6"/>
  <c r="AJ43" i="24" s="1"/>
  <c r="DM111" i="6"/>
  <c r="AJ45" i="24" s="1"/>
  <c r="DT33" i="24"/>
  <c r="BW223" i="6"/>
  <c r="DN31" i="24"/>
  <c r="DF36" i="24"/>
  <c r="CV30" i="24"/>
  <c r="CM32" i="24"/>
  <c r="CC32" i="24"/>
  <c r="BC30" i="24"/>
  <c r="AS32" i="24"/>
  <c r="AJ36" i="24"/>
  <c r="Z28" i="24"/>
  <c r="BZ64" i="4"/>
  <c r="CC29" i="6"/>
  <c r="EJ201" i="6"/>
  <c r="DR201" i="6"/>
  <c r="DD40" i="24" s="1"/>
  <c r="DQ201" i="6"/>
  <c r="DP201" i="6"/>
  <c r="DL201" i="6"/>
  <c r="DJ201" i="6"/>
  <c r="DK201" i="6"/>
  <c r="DI201" i="6"/>
  <c r="DS201" i="6"/>
  <c r="DD39" i="24" s="1"/>
  <c r="DO201" i="6"/>
  <c r="DD43" i="24" s="1"/>
  <c r="DN201" i="6"/>
  <c r="DD44" i="24" s="1"/>
  <c r="DM201" i="6"/>
  <c r="DD45" i="24" s="1"/>
  <c r="DT201" i="6"/>
  <c r="DD38" i="24" s="1"/>
  <c r="CK33" i="24"/>
  <c r="BW178" i="6"/>
  <c r="CA33" i="24"/>
  <c r="BK34" i="24"/>
  <c r="DS35" i="24"/>
  <c r="BU222" i="4"/>
  <c r="DL35" i="24"/>
  <c r="CS35" i="24"/>
  <c r="BZ34" i="24"/>
  <c r="BJ35" i="24"/>
  <c r="AG35" i="24"/>
  <c r="N34" i="24"/>
  <c r="CJ34" i="24"/>
  <c r="AF30" i="24"/>
  <c r="M27" i="24"/>
  <c r="CD38" i="6"/>
  <c r="F26" i="24" s="1"/>
  <c r="DK30" i="24"/>
  <c r="BZ209" i="6"/>
  <c r="DB36" i="24"/>
  <c r="CI30" i="24"/>
  <c r="CE152" i="6"/>
  <c r="BQ37" i="24"/>
  <c r="CE142" i="6"/>
  <c r="BI37" i="24"/>
  <c r="AY36" i="24"/>
  <c r="BT129" i="6"/>
  <c r="AN28" i="24"/>
  <c r="U27" i="24"/>
  <c r="BP29" i="24"/>
  <c r="CA150" i="6"/>
  <c r="AM28" i="24"/>
  <c r="CB116" i="6"/>
  <c r="AD36" i="24"/>
  <c r="BT104" i="6"/>
  <c r="T29" i="24"/>
  <c r="DX32" i="24"/>
  <c r="CE208" i="6"/>
  <c r="DJ37" i="24"/>
  <c r="CG27" i="24"/>
  <c r="BG36" i="24"/>
  <c r="DW32" i="24"/>
  <c r="BX227" i="6"/>
  <c r="CE185" i="6"/>
  <c r="CP37" i="24"/>
  <c r="CF29" i="24"/>
  <c r="CA172" i="6"/>
  <c r="BW31" i="24"/>
  <c r="BO36" i="24"/>
  <c r="BF31" i="24"/>
  <c r="BY138" i="6"/>
  <c r="DP32" i="24"/>
  <c r="CX29" i="24"/>
  <c r="CO30" i="24"/>
  <c r="BV28" i="24"/>
  <c r="I28" i="24"/>
  <c r="BT67" i="4"/>
  <c r="AD67" i="4" s="1"/>
  <c r="AD67" i="6"/>
  <c r="CB57" i="6"/>
  <c r="CB58" i="6" s="1"/>
  <c r="CB55" i="4"/>
  <c r="CN37" i="24"/>
  <c r="BS182" i="6"/>
  <c r="CE183" i="6"/>
  <c r="AL28" i="24"/>
  <c r="H32" i="24"/>
  <c r="DU34" i="24"/>
  <c r="DG33" i="24"/>
  <c r="BM33" i="24"/>
  <c r="BW146" i="6"/>
  <c r="BD33" i="24"/>
  <c r="AT33" i="24"/>
  <c r="AA33" i="24"/>
  <c r="G33" i="24"/>
  <c r="BW76" i="6"/>
  <c r="BZ88" i="6"/>
  <c r="DE27" i="24"/>
  <c r="CU30" i="24"/>
  <c r="CL36" i="24"/>
  <c r="CB28" i="24"/>
  <c r="BL30" i="24"/>
  <c r="BB31" i="24"/>
  <c r="BY133" i="6"/>
  <c r="AR27" i="24"/>
  <c r="AI28" i="24"/>
  <c r="Y27" i="24"/>
  <c r="CE86" i="6"/>
  <c r="P37" i="24"/>
  <c r="BT63" i="4"/>
  <c r="DM30" i="24"/>
  <c r="CT27" i="24"/>
  <c r="AQ26" i="24"/>
  <c r="AH28" i="24"/>
  <c r="X36" i="24"/>
  <c r="O29" i="24"/>
  <c r="DD36" i="24"/>
  <c r="CE154" i="6"/>
  <c r="BS37" i="24"/>
  <c r="BA30" i="24"/>
  <c r="AP26" i="24"/>
  <c r="CE96" i="6"/>
  <c r="W37" i="24"/>
  <c r="CC61" i="4"/>
  <c r="CC60" i="6"/>
  <c r="DC33" i="24"/>
  <c r="CR33" i="24"/>
  <c r="BW187" i="6"/>
  <c r="BY33" i="24"/>
  <c r="BW164" i="6"/>
  <c r="BR35" i="24"/>
  <c r="AZ35" i="24"/>
  <c r="AO34" i="24"/>
  <c r="V35" i="24"/>
  <c r="DQ35" i="24"/>
  <c r="BU219" i="6"/>
  <c r="BU220" i="4"/>
  <c r="AE35" i="24"/>
  <c r="DA26" i="24"/>
  <c r="CQ29" i="24"/>
  <c r="CH32" i="24"/>
  <c r="BH27" i="24"/>
  <c r="L31" i="24"/>
  <c r="CZ28" i="24"/>
  <c r="BX28" i="24"/>
  <c r="AX31" i="24"/>
  <c r="S31" i="24"/>
  <c r="K29" i="24"/>
  <c r="BY241" i="6"/>
  <c r="EB31" i="24" s="1"/>
  <c r="DI37" i="24"/>
  <c r="CE207" i="6"/>
  <c r="CY31" i="24"/>
  <c r="AW27" i="24"/>
  <c r="R29" i="24"/>
  <c r="CA90" i="6"/>
  <c r="J32" i="24"/>
  <c r="DH29" i="24"/>
  <c r="CA205" i="6"/>
  <c r="AV27" i="24"/>
  <c r="AC29" i="24"/>
  <c r="DV30" i="24"/>
  <c r="DO36" i="24"/>
  <c r="BT214" i="6"/>
  <c r="CW31" i="24"/>
  <c r="BY193" i="6"/>
  <c r="CE28" i="24"/>
  <c r="BU29" i="24"/>
  <c r="BN26" i="24"/>
  <c r="BE29" i="24"/>
  <c r="AU32" i="24"/>
  <c r="AB31" i="24"/>
  <c r="CD26" i="24"/>
  <c r="BT32" i="24"/>
  <c r="BX157" i="6"/>
  <c r="AK29" i="24"/>
  <c r="FD185" i="6"/>
  <c r="FC185" i="6"/>
  <c r="CP57" i="24" s="1"/>
  <c r="FB185" i="6"/>
  <c r="CP58" i="24" s="1"/>
  <c r="FG185" i="6"/>
  <c r="CP53" i="24" s="1"/>
  <c r="FA185" i="6"/>
  <c r="CP59" i="24" s="1"/>
  <c r="EZ185" i="6"/>
  <c r="EY185" i="6"/>
  <c r="FF185" i="6"/>
  <c r="CP54" i="24" s="1"/>
  <c r="FE185" i="6"/>
  <c r="FJ185" i="6"/>
  <c r="FI185" i="6"/>
  <c r="FH185" i="6"/>
  <c r="EX185" i="6" s="1"/>
  <c r="D218" i="1"/>
  <c r="J75" i="1"/>
  <c r="R246" i="5"/>
  <c r="S67" i="5"/>
  <c r="Q89" i="5"/>
  <c r="C75" i="1"/>
  <c r="Y246" i="5"/>
  <c r="Q34" i="5"/>
  <c r="R89" i="5"/>
  <c r="G218" i="1"/>
  <c r="U66" i="5"/>
  <c r="U89" i="5"/>
  <c r="F43" i="1"/>
  <c r="F47" i="1" s="1"/>
  <c r="V62" i="5"/>
  <c r="V25" i="5"/>
  <c r="H75" i="1"/>
  <c r="R34" i="5"/>
  <c r="U19" i="5"/>
  <c r="CM234" i="5"/>
  <c r="Z246" i="5"/>
  <c r="DE27" i="5"/>
  <c r="BC231" i="5"/>
  <c r="Z33" i="5"/>
  <c r="Q69" i="5"/>
  <c r="I218" i="1"/>
  <c r="R66" i="5"/>
  <c r="V243" i="5"/>
  <c r="L58" i="1"/>
  <c r="Q66" i="5"/>
  <c r="P67" i="5"/>
  <c r="V89" i="5"/>
  <c r="C58" i="1"/>
  <c r="Y26" i="5"/>
  <c r="P16" i="5"/>
  <c r="P246" i="5"/>
  <c r="I43" i="1"/>
  <c r="I47" i="1" s="1"/>
  <c r="E75" i="1"/>
  <c r="J58" i="1"/>
  <c r="CN234" i="5"/>
  <c r="DE58" i="5"/>
  <c r="X15" i="5"/>
  <c r="X68" i="5"/>
  <c r="AB68" i="5" s="1"/>
  <c r="S65" i="5"/>
  <c r="R244" i="5"/>
  <c r="CV58" i="5"/>
  <c r="F6" i="5"/>
  <c r="CW58" i="5"/>
  <c r="Y68" i="5"/>
  <c r="Q33" i="5"/>
  <c r="R21" i="5"/>
  <c r="BC72" i="5"/>
  <c r="V41" i="5"/>
  <c r="Q67" i="5"/>
  <c r="U20" i="5"/>
  <c r="Z63" i="5"/>
  <c r="Q63" i="5"/>
  <c r="X64" i="5"/>
  <c r="F218" i="1"/>
  <c r="CK234" i="5"/>
  <c r="C218" i="1"/>
  <c r="CI234" i="5"/>
  <c r="CL234" i="5"/>
  <c r="X19" i="5"/>
  <c r="DF58" i="5"/>
  <c r="Q32" i="5"/>
  <c r="R20" i="5"/>
  <c r="Q245" i="5"/>
  <c r="P25" i="5"/>
  <c r="T32" i="5"/>
  <c r="S66" i="5"/>
  <c r="R245" i="5"/>
  <c r="X243" i="5"/>
  <c r="AB243" i="5" s="1"/>
  <c r="I115" i="1"/>
  <c r="X66" i="5"/>
  <c r="AB66" i="5" s="1"/>
  <c r="A58" i="1"/>
  <c r="V66" i="5"/>
  <c r="G43" i="1"/>
  <c r="G47" i="1" s="1"/>
  <c r="Y62" i="5"/>
  <c r="DE13" i="5"/>
  <c r="DE6" i="5" s="1"/>
  <c r="Y69" i="5"/>
  <c r="X44" i="5"/>
  <c r="AB44" i="5" s="1"/>
  <c r="R65" i="5"/>
  <c r="Z243" i="5"/>
  <c r="B75" i="1"/>
  <c r="H6" i="5"/>
  <c r="Z25" i="5"/>
  <c r="Q19" i="5"/>
  <c r="CV27" i="5"/>
  <c r="CR234" i="5"/>
  <c r="CS234" i="5"/>
  <c r="Y45" i="5"/>
  <c r="R45" i="5"/>
  <c r="Y33" i="5"/>
  <c r="Q21" i="5"/>
  <c r="Z46" i="5"/>
  <c r="S89" i="5"/>
  <c r="S34" i="5"/>
  <c r="S45" i="5"/>
  <c r="S62" i="5"/>
  <c r="T16" i="5"/>
  <c r="T25" i="5"/>
  <c r="CZ58" i="5"/>
  <c r="T67" i="5"/>
  <c r="T19" i="5"/>
  <c r="T89" i="5"/>
  <c r="T66" i="5"/>
  <c r="T15" i="5"/>
  <c r="V16" i="5"/>
  <c r="V32" i="5"/>
  <c r="V20" i="5"/>
  <c r="V63" i="5"/>
  <c r="G75" i="1"/>
  <c r="H218" i="1"/>
  <c r="W36" i="5"/>
  <c r="W41" i="5"/>
  <c r="W25" i="5"/>
  <c r="W66" i="5"/>
  <c r="W89" i="5"/>
  <c r="W243" i="5"/>
  <c r="W44" i="5"/>
  <c r="W19" i="5"/>
  <c r="W34" i="5"/>
  <c r="W64" i="5"/>
  <c r="P33" i="5"/>
  <c r="P40" i="5"/>
  <c r="U16" i="5"/>
  <c r="W16" i="5"/>
  <c r="W67" i="5"/>
  <c r="W15" i="5"/>
  <c r="W35" i="5"/>
  <c r="AY249" i="7"/>
  <c r="AY250" i="7" s="1"/>
  <c r="AI58" i="7"/>
  <c r="M57" i="7"/>
  <c r="D71" i="4"/>
  <c r="D72" i="4" s="1"/>
  <c r="AO57" i="7"/>
  <c r="G58" i="1"/>
  <c r="C58" i="7"/>
  <c r="AX249" i="7"/>
  <c r="AX250" i="7" s="1"/>
  <c r="AX234" i="7"/>
  <c r="BB234" i="7"/>
  <c r="BB249" i="7"/>
  <c r="BB250" i="7" s="1"/>
  <c r="AT72" i="4"/>
  <c r="AT233" i="4"/>
  <c r="AT249" i="4" s="1"/>
  <c r="AT250" i="4" s="1"/>
  <c r="AC58" i="7"/>
  <c r="AW231" i="4"/>
  <c r="AW233" i="4"/>
  <c r="AW249" i="4" s="1"/>
  <c r="AW250" i="4" s="1"/>
  <c r="DY233" i="4"/>
  <c r="DY249" i="4" s="1"/>
  <c r="DY231" i="4"/>
  <c r="G6" i="7"/>
  <c r="M54" i="7"/>
  <c r="I58" i="7"/>
  <c r="AA238" i="1"/>
  <c r="AO27" i="7"/>
  <c r="J58" i="7"/>
  <c r="K58" i="7"/>
  <c r="C43" i="7"/>
  <c r="C47" i="7" s="1"/>
  <c r="H6" i="7"/>
  <c r="EB249" i="7"/>
  <c r="EB250" i="7" s="1"/>
  <c r="EB234" i="7"/>
  <c r="AO54" i="7"/>
  <c r="H71" i="4"/>
  <c r="H72" i="4" s="1"/>
  <c r="A58" i="7"/>
  <c r="AO13" i="7"/>
  <c r="J43" i="7"/>
  <c r="J47" i="7" s="1"/>
  <c r="EF233" i="4"/>
  <c r="EF249" i="4" s="1"/>
  <c r="D249" i="8"/>
  <c r="D250" i="8" s="1"/>
  <c r="K249" i="8"/>
  <c r="K250" i="8" s="1"/>
  <c r="P71" i="8"/>
  <c r="P72" i="8" s="1"/>
  <c r="C249" i="8"/>
  <c r="C250" i="8" s="1"/>
  <c r="F75" i="1"/>
  <c r="G249" i="8"/>
  <c r="G250" i="8" s="1"/>
  <c r="L75" i="1"/>
  <c r="O71" i="8"/>
  <c r="O72" i="8" s="1"/>
  <c r="I156" i="1"/>
  <c r="M54" i="1"/>
  <c r="B43" i="1"/>
  <c r="B47" i="1" s="1"/>
  <c r="F58" i="1"/>
  <c r="W230" i="8"/>
  <c r="C115" i="1"/>
  <c r="B218" i="1"/>
  <c r="D156" i="1"/>
  <c r="I234" i="8"/>
  <c r="I249" i="8"/>
  <c r="I250" i="8" s="1"/>
  <c r="E218" i="1"/>
  <c r="AC233" i="8"/>
  <c r="AC234" i="8" s="1"/>
  <c r="AO233" i="8"/>
  <c r="AO234" i="8" s="1"/>
  <c r="AI234" i="8"/>
  <c r="AI249" i="8"/>
  <c r="AI250" i="8" s="1"/>
  <c r="AG234" i="8"/>
  <c r="AG249" i="8"/>
  <c r="AG250" i="8" s="1"/>
  <c r="Z233" i="8"/>
  <c r="Z249" i="8" s="1"/>
  <c r="Z250" i="8" s="1"/>
  <c r="K156" i="1"/>
  <c r="K115" i="1"/>
  <c r="AJ234" i="8"/>
  <c r="AJ249" i="8"/>
  <c r="AJ250" i="8" s="1"/>
  <c r="AN234" i="8"/>
  <c r="AN249" i="8"/>
  <c r="AN250" i="8" s="1"/>
  <c r="F115" i="1"/>
  <c r="AF234" i="8"/>
  <c r="AF249" i="8"/>
  <c r="AF250" i="8" s="1"/>
  <c r="V71" i="8"/>
  <c r="V72" i="8" s="1"/>
  <c r="G115" i="1"/>
  <c r="M57" i="1"/>
  <c r="AE234" i="8"/>
  <c r="AE249" i="8"/>
  <c r="AE250" i="8" s="1"/>
  <c r="Y233" i="8"/>
  <c r="Y234" i="8" s="1"/>
  <c r="AM234" i="8"/>
  <c r="AM249" i="8"/>
  <c r="AM250" i="8" s="1"/>
  <c r="AH234" i="8"/>
  <c r="AH249" i="8"/>
  <c r="AH250" i="8" s="1"/>
  <c r="D75" i="1"/>
  <c r="AD234" i="8"/>
  <c r="AD249" i="8"/>
  <c r="AD250" i="8" s="1"/>
  <c r="DC27" i="5"/>
  <c r="S247" i="5"/>
  <c r="P68" i="5"/>
  <c r="Z21" i="5"/>
  <c r="W21" i="5"/>
  <c r="CH234" i="5"/>
  <c r="K43" i="1"/>
  <c r="K47" i="1" s="1"/>
  <c r="DD60" i="5"/>
  <c r="L43" i="1"/>
  <c r="L47" i="1" s="1"/>
  <c r="DB38" i="5"/>
  <c r="R247" i="5"/>
  <c r="Q68" i="5"/>
  <c r="T247" i="5"/>
  <c r="R33" i="5"/>
  <c r="Y21" i="5"/>
  <c r="U26" i="5"/>
  <c r="U247" i="5"/>
  <c r="V247" i="5"/>
  <c r="V21" i="5"/>
  <c r="V26" i="5"/>
  <c r="T35" i="5"/>
  <c r="J156" i="1"/>
  <c r="C156" i="1"/>
  <c r="CX58" i="5"/>
  <c r="W247" i="5"/>
  <c r="Z68" i="5"/>
  <c r="S21" i="5"/>
  <c r="Q65" i="5"/>
  <c r="X245" i="5"/>
  <c r="S244" i="5"/>
  <c r="DG243" i="5"/>
  <c r="Y243" i="5"/>
  <c r="DB27" i="5"/>
  <c r="DG26" i="5"/>
  <c r="R68" i="5"/>
  <c r="X21" i="5"/>
  <c r="P35" i="5"/>
  <c r="S68" i="5"/>
  <c r="T21" i="5"/>
  <c r="CZ13" i="5"/>
  <c r="CZ6" i="5" s="1"/>
  <c r="Z69" i="5"/>
  <c r="P62" i="5"/>
  <c r="U21" i="5"/>
  <c r="B156" i="1"/>
  <c r="M87" i="5"/>
  <c r="D6" i="5"/>
  <c r="W26" i="5"/>
  <c r="W69" i="5"/>
  <c r="H58" i="1"/>
  <c r="W65" i="5"/>
  <c r="DG244" i="5"/>
  <c r="U243" i="5"/>
  <c r="V42" i="5"/>
  <c r="X40" i="5"/>
  <c r="AB40" i="5" s="1"/>
  <c r="B58" i="1"/>
  <c r="U41" i="5"/>
  <c r="S35" i="5"/>
  <c r="Q46" i="5"/>
  <c r="Z34" i="5"/>
  <c r="P44" i="5"/>
  <c r="Z32" i="5"/>
  <c r="W32" i="5"/>
  <c r="Q42" i="5"/>
  <c r="Y42" i="5"/>
  <c r="H43" i="1"/>
  <c r="H47" i="1" s="1"/>
  <c r="Y32" i="5"/>
  <c r="CP234" i="5"/>
  <c r="T46" i="5"/>
  <c r="E43" i="1"/>
  <c r="E47" i="1" s="1"/>
  <c r="DG40" i="5"/>
  <c r="S41" i="5"/>
  <c r="CO234" i="5"/>
  <c r="X34" i="5"/>
  <c r="AB34" i="5" s="1"/>
  <c r="U40" i="5"/>
  <c r="Y34" i="5"/>
  <c r="R44" i="5"/>
  <c r="Z41" i="5"/>
  <c r="Y40" i="5"/>
  <c r="DE38" i="5"/>
  <c r="X33" i="5"/>
  <c r="AB33" i="5" s="1"/>
  <c r="X36" i="5"/>
  <c r="AB36" i="5" s="1"/>
  <c r="Y46" i="5"/>
  <c r="U46" i="5"/>
  <c r="Q44" i="5"/>
  <c r="P32" i="5"/>
  <c r="R32" i="5"/>
  <c r="S42" i="5"/>
  <c r="DV9" i="23"/>
  <c r="S226" i="5"/>
  <c r="CC13" i="23"/>
  <c r="BQ169" i="5"/>
  <c r="O169" i="5"/>
  <c r="DI169" i="5"/>
  <c r="DP169" i="5"/>
  <c r="CC18" i="24" s="1"/>
  <c r="DQ169" i="5"/>
  <c r="DO169" i="5"/>
  <c r="DK169" i="5"/>
  <c r="CC23" i="24" s="1"/>
  <c r="DJ169" i="5"/>
  <c r="CC24" i="24" s="1"/>
  <c r="DT169" i="5"/>
  <c r="DS169" i="5"/>
  <c r="DR169" i="5"/>
  <c r="DN169" i="5"/>
  <c r="CC20" i="24" s="1"/>
  <c r="DM169" i="5"/>
  <c r="CC21" i="24" s="1"/>
  <c r="DL169" i="5"/>
  <c r="AQ3" i="23"/>
  <c r="Y121" i="5"/>
  <c r="DD6" i="23"/>
  <c r="V201" i="5"/>
  <c r="BS2" i="23"/>
  <c r="Z154" i="5"/>
  <c r="U49" i="23"/>
  <c r="DG94" i="5"/>
  <c r="BS177" i="5"/>
  <c r="CJ7" i="24"/>
  <c r="CJ2" i="24"/>
  <c r="CJ3" i="24"/>
  <c r="CJ6" i="24"/>
  <c r="CJ12" i="24"/>
  <c r="CJ10" i="24"/>
  <c r="CJ11" i="24"/>
  <c r="CJ5" i="24"/>
  <c r="CJ4" i="24"/>
  <c r="CJ8" i="24"/>
  <c r="CJ9" i="24"/>
  <c r="CV104" i="5"/>
  <c r="AD48" i="23"/>
  <c r="AX4" i="23"/>
  <c r="X128" i="5"/>
  <c r="DQ11" i="23"/>
  <c r="BG219" i="5"/>
  <c r="Q220" i="5"/>
  <c r="DK45" i="23"/>
  <c r="CY209" i="5"/>
  <c r="CQ9" i="23"/>
  <c r="S186" i="5"/>
  <c r="BS139" i="5"/>
  <c r="BF7" i="24"/>
  <c r="BF2" i="24"/>
  <c r="BF3" i="24"/>
  <c r="BF9" i="24"/>
  <c r="BF4" i="24"/>
  <c r="BF8" i="24"/>
  <c r="BF5" i="24"/>
  <c r="BF6" i="24"/>
  <c r="BF11" i="24"/>
  <c r="BF10" i="24"/>
  <c r="BF12" i="24"/>
  <c r="CC138" i="5"/>
  <c r="CB138" i="5"/>
  <c r="BV138" i="5"/>
  <c r="BU138" i="5"/>
  <c r="BT138" i="5"/>
  <c r="BX138" i="5"/>
  <c r="BW138" i="5"/>
  <c r="CD138" i="5"/>
  <c r="CA138" i="5"/>
  <c r="BZ138" i="5"/>
  <c r="BY138" i="5"/>
  <c r="R39" i="23"/>
  <c r="DE90" i="5"/>
  <c r="CL8" i="23"/>
  <c r="T180" i="5"/>
  <c r="BK6" i="23"/>
  <c r="V144" i="5"/>
  <c r="DI144" i="5"/>
  <c r="DP144" i="5"/>
  <c r="DQ144" i="5"/>
  <c r="DO144" i="5"/>
  <c r="DT144" i="5"/>
  <c r="BK14" i="24" s="1"/>
  <c r="DS144" i="5"/>
  <c r="BK15" i="24" s="1"/>
  <c r="DR144" i="5"/>
  <c r="BK16" i="24" s="1"/>
  <c r="DK144" i="5"/>
  <c r="BK23" i="24" s="1"/>
  <c r="DN144" i="5"/>
  <c r="BK20" i="24" s="1"/>
  <c r="DM144" i="5"/>
  <c r="BK21" i="24" s="1"/>
  <c r="DJ144" i="5"/>
  <c r="BK24" i="24" s="1"/>
  <c r="DL144" i="5"/>
  <c r="BK22" i="24" s="1"/>
  <c r="W10" i="23"/>
  <c r="R96" i="5"/>
  <c r="CS6" i="23"/>
  <c r="V189" i="5"/>
  <c r="AE12" i="23"/>
  <c r="P106" i="5"/>
  <c r="DM11" i="23"/>
  <c r="Q212" i="5"/>
  <c r="BY45" i="23"/>
  <c r="CY164" i="5"/>
  <c r="D9" i="23"/>
  <c r="S7" i="5"/>
  <c r="BQ9" i="23"/>
  <c r="S152" i="5"/>
  <c r="V224" i="5"/>
  <c r="BL223" i="5"/>
  <c r="DT6" i="23"/>
  <c r="CT5" i="23"/>
  <c r="W190" i="5"/>
  <c r="BZ6" i="23"/>
  <c r="V166" i="5"/>
  <c r="M11" i="23"/>
  <c r="Q83" i="5"/>
  <c r="V24" i="5"/>
  <c r="BL27" i="5"/>
  <c r="CR12" i="23"/>
  <c r="BF187" i="5"/>
  <c r="P188" i="5"/>
  <c r="AM7" i="23"/>
  <c r="U117" i="5"/>
  <c r="BK116" i="5"/>
  <c r="T5" i="23"/>
  <c r="W93" i="5"/>
  <c r="CP9" i="23"/>
  <c r="S185" i="5"/>
  <c r="BX2" i="23"/>
  <c r="Z162" i="5"/>
  <c r="AV4" i="23"/>
  <c r="X126" i="5"/>
  <c r="CO9" i="23"/>
  <c r="S184" i="5"/>
  <c r="BW11" i="23"/>
  <c r="Q161" i="5"/>
  <c r="AU49" i="23"/>
  <c r="DG125" i="5"/>
  <c r="AB7" i="23"/>
  <c r="U101" i="5"/>
  <c r="DE29" i="5"/>
  <c r="CN7" i="23"/>
  <c r="U183" i="5"/>
  <c r="BK182" i="5"/>
  <c r="DI135" i="5"/>
  <c r="DP135" i="5"/>
  <c r="BC18" i="24" s="1"/>
  <c r="DL135" i="5"/>
  <c r="BC22" i="24" s="1"/>
  <c r="DK135" i="5"/>
  <c r="BC23" i="24" s="1"/>
  <c r="DM135" i="5"/>
  <c r="DJ135" i="5"/>
  <c r="BC24" i="24" s="1"/>
  <c r="DQ135" i="5"/>
  <c r="DN135" i="5"/>
  <c r="BC20" i="24" s="1"/>
  <c r="DT135" i="5"/>
  <c r="BC14" i="24" s="1"/>
  <c r="DS135" i="5"/>
  <c r="BC15" i="24" s="1"/>
  <c r="DO135" i="5"/>
  <c r="BC19" i="24" s="1"/>
  <c r="DR135" i="5"/>
  <c r="AJ13" i="23"/>
  <c r="BQ111" i="5"/>
  <c r="O111" i="5"/>
  <c r="CW133" i="5"/>
  <c r="BB47" i="23"/>
  <c r="BP227" i="5"/>
  <c r="DW2" i="23"/>
  <c r="Z228" i="5"/>
  <c r="BV2" i="23"/>
  <c r="Z160" i="5"/>
  <c r="AT4" i="23"/>
  <c r="X124" i="5"/>
  <c r="G48" i="23"/>
  <c r="CV76" i="5"/>
  <c r="BU12" i="23"/>
  <c r="P159" i="5"/>
  <c r="DI159" i="5"/>
  <c r="DP159" i="5"/>
  <c r="BU18" i="24" s="1"/>
  <c r="DL159" i="5"/>
  <c r="DK159" i="5"/>
  <c r="BU23" i="24" s="1"/>
  <c r="DT159" i="5"/>
  <c r="BU14" i="24" s="1"/>
  <c r="DS159" i="5"/>
  <c r="DR159" i="5"/>
  <c r="BU16" i="24" s="1"/>
  <c r="DQ159" i="5"/>
  <c r="DO159" i="5"/>
  <c r="BU19" i="24" s="1"/>
  <c r="DN159" i="5"/>
  <c r="BU20" i="24" s="1"/>
  <c r="DM159" i="5"/>
  <c r="BU21" i="24" s="1"/>
  <c r="DJ159" i="5"/>
  <c r="BU24" i="24" s="1"/>
  <c r="AI8" i="23"/>
  <c r="T110" i="5"/>
  <c r="DI110" i="5"/>
  <c r="DT110" i="5"/>
  <c r="DS110" i="5"/>
  <c r="AI15" i="24" s="1"/>
  <c r="DO110" i="5"/>
  <c r="DM110" i="5"/>
  <c r="DL110" i="5"/>
  <c r="AI22" i="24" s="1"/>
  <c r="DK110" i="5"/>
  <c r="AI23" i="24" s="1"/>
  <c r="DJ110" i="5"/>
  <c r="AI24" i="24" s="1"/>
  <c r="DR110" i="5"/>
  <c r="AI16" i="24" s="1"/>
  <c r="DQ110" i="5"/>
  <c r="AI17" i="24" s="1"/>
  <c r="DP110" i="5"/>
  <c r="DN110" i="5"/>
  <c r="AI20" i="24" s="1"/>
  <c r="CZ214" i="5"/>
  <c r="DO44" i="23"/>
  <c r="CV10" i="23"/>
  <c r="R192" i="5"/>
  <c r="CC3" i="23"/>
  <c r="Y169" i="5"/>
  <c r="BS13" i="23"/>
  <c r="O154" i="5"/>
  <c r="BQ154" i="5"/>
  <c r="DC11" i="23"/>
  <c r="Q200" i="5"/>
  <c r="BH49" i="23"/>
  <c r="DG141" i="5"/>
  <c r="BG7" i="23"/>
  <c r="U140" i="5"/>
  <c r="P220" i="5"/>
  <c r="BF219" i="5"/>
  <c r="DQ12" i="23"/>
  <c r="DA11" i="23"/>
  <c r="Q198" i="5"/>
  <c r="BF6" i="23"/>
  <c r="BL138" i="5"/>
  <c r="V139" i="5"/>
  <c r="DI139" i="5"/>
  <c r="DP139" i="5"/>
  <c r="DS139" i="5"/>
  <c r="AM139" i="5" s="1"/>
  <c r="DR139" i="5"/>
  <c r="AL139" i="5" s="1"/>
  <c r="DK139" i="5"/>
  <c r="DJ139" i="5"/>
  <c r="DT139" i="5"/>
  <c r="DQ139" i="5"/>
  <c r="AK139" i="5" s="1"/>
  <c r="DO139" i="5"/>
  <c r="AI139" i="5" s="1"/>
  <c r="DN139" i="5"/>
  <c r="AH139" i="5" s="1"/>
  <c r="DM139" i="5"/>
  <c r="AG139" i="5" s="1"/>
  <c r="DL139" i="5"/>
  <c r="AF139" i="5" s="1"/>
  <c r="DU49" i="23"/>
  <c r="DG225" i="5"/>
  <c r="DF5" i="23"/>
  <c r="W203" i="5"/>
  <c r="CL4" i="23"/>
  <c r="X180" i="5"/>
  <c r="BK12" i="23"/>
  <c r="P144" i="5"/>
  <c r="BA12" i="23"/>
  <c r="P132" i="5"/>
  <c r="AP13" i="23"/>
  <c r="O120" i="5"/>
  <c r="BQ120" i="5"/>
  <c r="W2" i="23"/>
  <c r="Z96" i="5"/>
  <c r="O3" i="23"/>
  <c r="Y85" i="5"/>
  <c r="BJ13" i="5"/>
  <c r="BJ6" i="5" s="1"/>
  <c r="T14" i="5"/>
  <c r="CS4" i="23"/>
  <c r="X189" i="5"/>
  <c r="DR106" i="5"/>
  <c r="AE16" i="24" s="1"/>
  <c r="DQ106" i="5"/>
  <c r="DK106" i="5"/>
  <c r="AE23" i="24" s="1"/>
  <c r="DJ106" i="5"/>
  <c r="DI106" i="5"/>
  <c r="DT106" i="5"/>
  <c r="AE14" i="24" s="1"/>
  <c r="DS106" i="5"/>
  <c r="DP106" i="5"/>
  <c r="DO106" i="5"/>
  <c r="DM106" i="5"/>
  <c r="DL106" i="5"/>
  <c r="AE22" i="24" s="1"/>
  <c r="DN106" i="5"/>
  <c r="AE20" i="24" s="1"/>
  <c r="DG36" i="5"/>
  <c r="BY42" i="23"/>
  <c r="DB164" i="5"/>
  <c r="R69" i="5"/>
  <c r="CW223" i="5"/>
  <c r="DT47" i="23"/>
  <c r="CT4" i="23"/>
  <c r="X190" i="5"/>
  <c r="V4" i="23"/>
  <c r="X95" i="5"/>
  <c r="N7" i="23"/>
  <c r="U84" i="5"/>
  <c r="BZ5" i="23"/>
  <c r="W166" i="5"/>
  <c r="AN3" i="23"/>
  <c r="Y118" i="5"/>
  <c r="DR83" i="5"/>
  <c r="DH83" i="5" s="1"/>
  <c r="DQ83" i="5"/>
  <c r="M17" i="24" s="1"/>
  <c r="DK83" i="5"/>
  <c r="M23" i="24" s="1"/>
  <c r="DJ83" i="5"/>
  <c r="DI83" i="5"/>
  <c r="DT83" i="5"/>
  <c r="DP83" i="5"/>
  <c r="M18" i="24" s="1"/>
  <c r="DO83" i="5"/>
  <c r="M19" i="24" s="1"/>
  <c r="DN83" i="5"/>
  <c r="M20" i="24" s="1"/>
  <c r="DM83" i="5"/>
  <c r="DL83" i="5"/>
  <c r="M22" i="24" s="1"/>
  <c r="DS83" i="5"/>
  <c r="CR6" i="23"/>
  <c r="BL187" i="5"/>
  <c r="V188" i="5"/>
  <c r="CZ8" i="23"/>
  <c r="T197" i="5"/>
  <c r="AV2" i="23"/>
  <c r="Z126" i="5"/>
  <c r="DI126" i="5"/>
  <c r="DP126" i="5"/>
  <c r="AV18" i="24" s="1"/>
  <c r="DJ126" i="5"/>
  <c r="AV24" i="24" s="1"/>
  <c r="DK126" i="5"/>
  <c r="AV23" i="24" s="1"/>
  <c r="DT126" i="5"/>
  <c r="DS126" i="5"/>
  <c r="AV15" i="24" s="1"/>
  <c r="DR126" i="5"/>
  <c r="DH126" i="5" s="1"/>
  <c r="DQ126" i="5"/>
  <c r="AV17" i="24" s="1"/>
  <c r="DO126" i="5"/>
  <c r="DN126" i="5"/>
  <c r="DM126" i="5"/>
  <c r="AV21" i="24" s="1"/>
  <c r="DL126" i="5"/>
  <c r="AV22" i="24" s="1"/>
  <c r="I9" i="23"/>
  <c r="S79" i="5"/>
  <c r="T20" i="5"/>
  <c r="CF49" i="23"/>
  <c r="CU172" i="5"/>
  <c r="DG173" i="5"/>
  <c r="AB6" i="23"/>
  <c r="V101" i="5"/>
  <c r="H3" i="23"/>
  <c r="Y78" i="5"/>
  <c r="CW48" i="23"/>
  <c r="CV193" i="5"/>
  <c r="CZ182" i="5"/>
  <c r="CN44" i="23"/>
  <c r="BC11" i="23"/>
  <c r="Q135" i="5"/>
  <c r="Y5" i="23"/>
  <c r="W98" i="5"/>
  <c r="DW47" i="23"/>
  <c r="CW227" i="5"/>
  <c r="Z11" i="23"/>
  <c r="Q99" i="5"/>
  <c r="AR11" i="23"/>
  <c r="Q122" i="5"/>
  <c r="AR4" i="23"/>
  <c r="X122" i="5"/>
  <c r="DI8" i="23"/>
  <c r="T207" i="5"/>
  <c r="BD6" i="23"/>
  <c r="V136" i="5"/>
  <c r="DF87" i="5"/>
  <c r="Q38" i="23"/>
  <c r="DE205" i="5"/>
  <c r="DH39" i="23"/>
  <c r="CD10" i="23"/>
  <c r="R170" i="5"/>
  <c r="BQ215" i="5"/>
  <c r="BE214" i="5"/>
  <c r="O215" i="5"/>
  <c r="DO13" i="23"/>
  <c r="DV8" i="23"/>
  <c r="T226" i="5"/>
  <c r="CV8" i="23"/>
  <c r="T192" i="5"/>
  <c r="BL7" i="23"/>
  <c r="U145" i="5"/>
  <c r="DI145" i="5"/>
  <c r="DP145" i="5"/>
  <c r="BL18" i="24" s="1"/>
  <c r="DS145" i="5"/>
  <c r="BL15" i="24" s="1"/>
  <c r="DR145" i="5"/>
  <c r="BL16" i="24" s="1"/>
  <c r="DQ145" i="5"/>
  <c r="BL17" i="24" s="1"/>
  <c r="DO145" i="5"/>
  <c r="DN145" i="5"/>
  <c r="DM145" i="5"/>
  <c r="DK145" i="5"/>
  <c r="BL23" i="24" s="1"/>
  <c r="DJ145" i="5"/>
  <c r="DT145" i="5"/>
  <c r="DL145" i="5"/>
  <c r="BL22" i="24" s="1"/>
  <c r="AH49" i="23"/>
  <c r="DG109" i="5"/>
  <c r="P10" i="23"/>
  <c r="R86" i="5"/>
  <c r="BK54" i="5"/>
  <c r="U51" i="5"/>
  <c r="U54" i="5" s="1"/>
  <c r="BS12" i="23"/>
  <c r="P154" i="5"/>
  <c r="DC3" i="23"/>
  <c r="Y200" i="5"/>
  <c r="S12" i="23"/>
  <c r="P92" i="5"/>
  <c r="BS210" i="5"/>
  <c r="DK4" i="24"/>
  <c r="DK8" i="24"/>
  <c r="DK11" i="24"/>
  <c r="DK2" i="24"/>
  <c r="DK5" i="24"/>
  <c r="DK9" i="24"/>
  <c r="DK6" i="24"/>
  <c r="DK10" i="24"/>
  <c r="DK3" i="24"/>
  <c r="DK12" i="24"/>
  <c r="DK7" i="24"/>
  <c r="CD209" i="5"/>
  <c r="CC209" i="5"/>
  <c r="BW209" i="5"/>
  <c r="BV209" i="5"/>
  <c r="BU209" i="5"/>
  <c r="CB209" i="5"/>
  <c r="BX209" i="5"/>
  <c r="CA209" i="5"/>
  <c r="BZ209" i="5"/>
  <c r="BY209" i="5"/>
  <c r="BT209" i="5"/>
  <c r="BS91" i="5"/>
  <c r="R8" i="24"/>
  <c r="R5" i="24"/>
  <c r="R9" i="24"/>
  <c r="R3" i="24"/>
  <c r="R12" i="24"/>
  <c r="R4" i="24"/>
  <c r="R7" i="24"/>
  <c r="R6" i="24"/>
  <c r="R2" i="24"/>
  <c r="R10" i="24"/>
  <c r="R11" i="24"/>
  <c r="BV90" i="5"/>
  <c r="BU90" i="5"/>
  <c r="CC90" i="5"/>
  <c r="CB90" i="5"/>
  <c r="CA90" i="5"/>
  <c r="CD90" i="5"/>
  <c r="BZ90" i="5"/>
  <c r="BX90" i="5"/>
  <c r="BY90" i="5"/>
  <c r="BW90" i="5"/>
  <c r="BT90" i="5"/>
  <c r="DF4" i="23"/>
  <c r="X203" i="5"/>
  <c r="CL3" i="23"/>
  <c r="Y180" i="5"/>
  <c r="BK8" i="23"/>
  <c r="T144" i="5"/>
  <c r="O10" i="23"/>
  <c r="R85" i="5"/>
  <c r="Z26" i="5"/>
  <c r="CK13" i="23"/>
  <c r="BQ179" i="5"/>
  <c r="O179" i="5"/>
  <c r="BE178" i="5"/>
  <c r="DM10" i="23"/>
  <c r="R212" i="5"/>
  <c r="BY4" i="23"/>
  <c r="BN164" i="5"/>
  <c r="BR164" i="5" s="1"/>
  <c r="X165" i="5"/>
  <c r="AB165" i="5" s="1"/>
  <c r="BS211" i="5"/>
  <c r="DL9" i="24"/>
  <c r="DL2" i="24"/>
  <c r="DL4" i="24"/>
  <c r="DL5" i="24"/>
  <c r="DL11" i="24"/>
  <c r="DL8" i="24"/>
  <c r="DL6" i="24"/>
  <c r="DL10" i="24"/>
  <c r="DL3" i="24"/>
  <c r="DL12" i="24"/>
  <c r="DL7" i="24"/>
  <c r="BQ13" i="23"/>
  <c r="BQ152" i="5"/>
  <c r="O152" i="5"/>
  <c r="DC223" i="5"/>
  <c r="DT41" i="23"/>
  <c r="CT7" i="23"/>
  <c r="U190" i="5"/>
  <c r="DI190" i="5"/>
  <c r="DP190" i="5"/>
  <c r="CT18" i="24" s="1"/>
  <c r="DL190" i="5"/>
  <c r="DK190" i="5"/>
  <c r="DJ190" i="5"/>
  <c r="CT24" i="24" s="1"/>
  <c r="DN190" i="5"/>
  <c r="CT20" i="24" s="1"/>
  <c r="DM190" i="5"/>
  <c r="DS190" i="5"/>
  <c r="DR190" i="5"/>
  <c r="DQ190" i="5"/>
  <c r="DO190" i="5"/>
  <c r="DT190" i="5"/>
  <c r="CT14" i="24" s="1"/>
  <c r="N2" i="23"/>
  <c r="Z84" i="5"/>
  <c r="BR10" i="23"/>
  <c r="R153" i="5"/>
  <c r="T4" i="23"/>
  <c r="X93" i="5"/>
  <c r="DB7" i="23"/>
  <c r="U199" i="5"/>
  <c r="CZ6" i="23"/>
  <c r="V197" i="5"/>
  <c r="BX7" i="23"/>
  <c r="U162" i="5"/>
  <c r="AC6" i="23"/>
  <c r="V102" i="5"/>
  <c r="CY8" i="23"/>
  <c r="T196" i="5"/>
  <c r="CF41" i="23"/>
  <c r="DC172" i="5"/>
  <c r="AB5" i="23"/>
  <c r="W101" i="5"/>
  <c r="BP182" i="5"/>
  <c r="CN2" i="23"/>
  <c r="Z183" i="5"/>
  <c r="CE11" i="23"/>
  <c r="Q171" i="5"/>
  <c r="AJ2" i="23"/>
  <c r="Z111" i="5"/>
  <c r="DI111" i="5"/>
  <c r="DT111" i="5"/>
  <c r="AJ14" i="24" s="1"/>
  <c r="DL111" i="5"/>
  <c r="AJ22" i="24" s="1"/>
  <c r="DK111" i="5"/>
  <c r="AJ23" i="24" s="1"/>
  <c r="DJ111" i="5"/>
  <c r="DS111" i="5"/>
  <c r="DR111" i="5"/>
  <c r="AJ16" i="24" s="1"/>
  <c r="DQ111" i="5"/>
  <c r="AJ17" i="24" s="1"/>
  <c r="DP111" i="5"/>
  <c r="DO111" i="5"/>
  <c r="DN111" i="5"/>
  <c r="AJ20" i="24" s="1"/>
  <c r="DM111" i="5"/>
  <c r="AJ21" i="24" s="1"/>
  <c r="BB9" i="23"/>
  <c r="BI133" i="5"/>
  <c r="S134" i="5"/>
  <c r="DW7" i="23"/>
  <c r="BK227" i="5"/>
  <c r="U228" i="5"/>
  <c r="BM43" i="23"/>
  <c r="DA146" i="5"/>
  <c r="DR99" i="5"/>
  <c r="Z16" i="24" s="1"/>
  <c r="DQ99" i="5"/>
  <c r="Z17" i="24" s="1"/>
  <c r="DM99" i="5"/>
  <c r="Z21" i="24" s="1"/>
  <c r="DL99" i="5"/>
  <c r="Z22" i="24" s="1"/>
  <c r="DK99" i="5"/>
  <c r="DT99" i="5"/>
  <c r="Z14" i="24" s="1"/>
  <c r="DS99" i="5"/>
  <c r="Z15" i="24" s="1"/>
  <c r="DP99" i="5"/>
  <c r="DO99" i="5"/>
  <c r="DJ99" i="5"/>
  <c r="DN99" i="5"/>
  <c r="Z20" i="24" s="1"/>
  <c r="DI99" i="5"/>
  <c r="DP2" i="23"/>
  <c r="Z216" i="5"/>
  <c r="BD13" i="23"/>
  <c r="BQ136" i="5"/>
  <c r="O136" i="5"/>
  <c r="BS112" i="5"/>
  <c r="AK4" i="24"/>
  <c r="AK7" i="24"/>
  <c r="AK3" i="24"/>
  <c r="AK5" i="24"/>
  <c r="AK8" i="24"/>
  <c r="AK12" i="24"/>
  <c r="AK11" i="24"/>
  <c r="AK9" i="24"/>
  <c r="AK6" i="24"/>
  <c r="AK2" i="24"/>
  <c r="AK10" i="24"/>
  <c r="Q9" i="23"/>
  <c r="BI87" i="5"/>
  <c r="S88" i="5"/>
  <c r="BP241" i="5"/>
  <c r="EB2" i="23" s="1"/>
  <c r="Z242" i="5"/>
  <c r="DI215" i="5"/>
  <c r="DP215" i="5"/>
  <c r="DS215" i="5"/>
  <c r="AM215" i="5" s="1"/>
  <c r="DR215" i="5"/>
  <c r="AL215" i="5" s="1"/>
  <c r="DQ215" i="5"/>
  <c r="AK215" i="5" s="1"/>
  <c r="DJ215" i="5"/>
  <c r="DT215" i="5"/>
  <c r="DO215" i="5"/>
  <c r="DN215" i="5"/>
  <c r="DM215" i="5"/>
  <c r="AG215" i="5" s="1"/>
  <c r="DL215" i="5"/>
  <c r="AF215" i="5" s="1"/>
  <c r="DK215" i="5"/>
  <c r="AE215" i="5" s="1"/>
  <c r="DV7" i="23"/>
  <c r="U226" i="5"/>
  <c r="CC10" i="23"/>
  <c r="R169" i="5"/>
  <c r="BS121" i="5"/>
  <c r="AQ8" i="24"/>
  <c r="AQ11" i="24"/>
  <c r="AQ2" i="24"/>
  <c r="AQ7" i="24"/>
  <c r="AQ10" i="24"/>
  <c r="AQ3" i="24"/>
  <c r="AQ9" i="24"/>
  <c r="AQ4" i="24"/>
  <c r="AQ6" i="24"/>
  <c r="AQ5" i="24"/>
  <c r="AQ12" i="24"/>
  <c r="X12" i="23"/>
  <c r="P97" i="5"/>
  <c r="BM38" i="5"/>
  <c r="W39" i="5"/>
  <c r="BS11" i="23"/>
  <c r="Q154" i="5"/>
  <c r="DR94" i="5"/>
  <c r="DQ94" i="5"/>
  <c r="U17" i="24" s="1"/>
  <c r="DO94" i="5"/>
  <c r="U19" i="24" s="1"/>
  <c r="DN94" i="5"/>
  <c r="U20" i="24" s="1"/>
  <c r="DM94" i="5"/>
  <c r="U21" i="24" s="1"/>
  <c r="DI94" i="5"/>
  <c r="DT94" i="5"/>
  <c r="U14" i="24" s="1"/>
  <c r="DS94" i="5"/>
  <c r="DP94" i="5"/>
  <c r="DL94" i="5"/>
  <c r="DK94" i="5"/>
  <c r="DJ94" i="5"/>
  <c r="DI141" i="5"/>
  <c r="DP141" i="5"/>
  <c r="BH18" i="24" s="1"/>
  <c r="DJ141" i="5"/>
  <c r="BH24" i="24" s="1"/>
  <c r="DT141" i="5"/>
  <c r="BH14" i="24" s="1"/>
  <c r="DS141" i="5"/>
  <c r="BH15" i="24" s="1"/>
  <c r="DR141" i="5"/>
  <c r="BH16" i="24" s="1"/>
  <c r="DQ141" i="5"/>
  <c r="BH17" i="24" s="1"/>
  <c r="DO141" i="5"/>
  <c r="BH19" i="24" s="1"/>
  <c r="DN141" i="5"/>
  <c r="DL141" i="5"/>
  <c r="BH22" i="24" s="1"/>
  <c r="DK141" i="5"/>
  <c r="BH23" i="24" s="1"/>
  <c r="DM141" i="5"/>
  <c r="BH21" i="24" s="1"/>
  <c r="S6" i="23"/>
  <c r="V92" i="5"/>
  <c r="O247" i="5"/>
  <c r="BQ247" i="5"/>
  <c r="DK13" i="23"/>
  <c r="O210" i="5"/>
  <c r="BE209" i="5"/>
  <c r="BQ210" i="5"/>
  <c r="CQ49" i="23"/>
  <c r="DG186" i="5"/>
  <c r="BP44" i="23"/>
  <c r="CZ150" i="5"/>
  <c r="BM90" i="5"/>
  <c r="R5" i="23"/>
  <c r="W91" i="5"/>
  <c r="BS203" i="5"/>
  <c r="DF6" i="24"/>
  <c r="DF7" i="24"/>
  <c r="DF5" i="24"/>
  <c r="DF8" i="24"/>
  <c r="DF12" i="24"/>
  <c r="DF3" i="24"/>
  <c r="DF4" i="24"/>
  <c r="DF9" i="24"/>
  <c r="DF2" i="24"/>
  <c r="DF11" i="24"/>
  <c r="DF10" i="24"/>
  <c r="CL9" i="23"/>
  <c r="S180" i="5"/>
  <c r="BK49" i="23"/>
  <c r="DG144" i="5"/>
  <c r="AP12" i="23"/>
  <c r="P120" i="5"/>
  <c r="AG49" i="23"/>
  <c r="DG108" i="5"/>
  <c r="BO13" i="5"/>
  <c r="BO6" i="5" s="1"/>
  <c r="Y14" i="5"/>
  <c r="DT14" i="5"/>
  <c r="DS14" i="5"/>
  <c r="AM14" i="5" s="1"/>
  <c r="DI14" i="5"/>
  <c r="DP14" i="5"/>
  <c r="AJ14" i="5" s="1"/>
  <c r="DN14" i="5"/>
  <c r="AH14" i="5" s="1"/>
  <c r="DM14" i="5"/>
  <c r="DL14" i="5"/>
  <c r="AF14" i="5" s="1"/>
  <c r="DK14" i="5"/>
  <c r="AE14" i="5" s="1"/>
  <c r="DJ14" i="5"/>
  <c r="DO14" i="5"/>
  <c r="AI14" i="5" s="1"/>
  <c r="DR14" i="5"/>
  <c r="AL14" i="5" s="1"/>
  <c r="DQ14" i="5"/>
  <c r="CS9" i="23"/>
  <c r="S189" i="5"/>
  <c r="AE5" i="23"/>
  <c r="W106" i="5"/>
  <c r="BY49" i="23"/>
  <c r="CU164" i="5"/>
  <c r="DG165" i="5"/>
  <c r="DI165" i="5"/>
  <c r="DP165" i="5"/>
  <c r="DT165" i="5"/>
  <c r="AN165" i="5" s="1"/>
  <c r="DS165" i="5"/>
  <c r="AM165" i="5" s="1"/>
  <c r="DR165" i="5"/>
  <c r="AL165" i="5" s="1"/>
  <c r="DQ165" i="5"/>
  <c r="DN165" i="5"/>
  <c r="AH165" i="5" s="1"/>
  <c r="DM165" i="5"/>
  <c r="AG165" i="5" s="1"/>
  <c r="DL165" i="5"/>
  <c r="AF165" i="5" s="1"/>
  <c r="DK165" i="5"/>
  <c r="DJ165" i="5"/>
  <c r="AD165" i="5" s="1"/>
  <c r="DO165" i="5"/>
  <c r="AI165" i="5" s="1"/>
  <c r="R46" i="5"/>
  <c r="DE12" i="23"/>
  <c r="P202" i="5"/>
  <c r="CT3" i="23"/>
  <c r="Y190" i="5"/>
  <c r="N6" i="23"/>
  <c r="V84" i="5"/>
  <c r="BZ3" i="23"/>
  <c r="Y166" i="5"/>
  <c r="AN12" i="23"/>
  <c r="P118" i="5"/>
  <c r="BM187" i="5"/>
  <c r="CR5" i="23"/>
  <c r="W188" i="5"/>
  <c r="BR9" i="23"/>
  <c r="S153" i="5"/>
  <c r="AW13" i="23"/>
  <c r="BQ127" i="5"/>
  <c r="O127" i="5"/>
  <c r="AC13" i="23"/>
  <c r="BQ102" i="5"/>
  <c r="O102" i="5"/>
  <c r="DR102" i="5"/>
  <c r="AC16" i="24" s="1"/>
  <c r="DQ102" i="5"/>
  <c r="DT102" i="5"/>
  <c r="DS102" i="5"/>
  <c r="AC15" i="24" s="1"/>
  <c r="DJ102" i="5"/>
  <c r="AC24" i="24" s="1"/>
  <c r="DP102" i="5"/>
  <c r="AC18" i="24" s="1"/>
  <c r="DO102" i="5"/>
  <c r="AC19" i="24" s="1"/>
  <c r="DM102" i="5"/>
  <c r="AC21" i="24" s="1"/>
  <c r="DL102" i="5"/>
  <c r="AC22" i="24" s="1"/>
  <c r="DK102" i="5"/>
  <c r="DI102" i="5"/>
  <c r="DN102" i="5"/>
  <c r="CY49" i="23"/>
  <c r="DG196" i="5"/>
  <c r="BW9" i="23"/>
  <c r="S161" i="5"/>
  <c r="CW29" i="5"/>
  <c r="CN48" i="23"/>
  <c r="CV182" i="5"/>
  <c r="BC49" i="23"/>
  <c r="DG135" i="5"/>
  <c r="DX8" i="23"/>
  <c r="T229" i="5"/>
  <c r="Y8" i="23"/>
  <c r="T98" i="5"/>
  <c r="DE157" i="5"/>
  <c r="BT39" i="23"/>
  <c r="BN49" i="23"/>
  <c r="DG148" i="5"/>
  <c r="AK6" i="23"/>
  <c r="V112" i="5"/>
  <c r="BJ87" i="5"/>
  <c r="Q8" i="23"/>
  <c r="T88" i="5"/>
  <c r="W244" i="5"/>
  <c r="AI6" i="23"/>
  <c r="V110" i="5"/>
  <c r="DO7" i="23"/>
  <c r="BK214" i="5"/>
  <c r="U215" i="5"/>
  <c r="DV6" i="23"/>
  <c r="V226" i="5"/>
  <c r="CM9" i="23"/>
  <c r="S181" i="5"/>
  <c r="BL6" i="23"/>
  <c r="V145" i="5"/>
  <c r="DI121" i="5"/>
  <c r="DP121" i="5"/>
  <c r="DO121" i="5"/>
  <c r="DT121" i="5"/>
  <c r="AQ14" i="24" s="1"/>
  <c r="DS121" i="5"/>
  <c r="DR121" i="5"/>
  <c r="DH121" i="5" s="1"/>
  <c r="DQ121" i="5"/>
  <c r="AQ17" i="24" s="1"/>
  <c r="DN121" i="5"/>
  <c r="AQ20" i="24" s="1"/>
  <c r="DL121" i="5"/>
  <c r="DK121" i="5"/>
  <c r="DJ121" i="5"/>
  <c r="AQ24" i="24" s="1"/>
  <c r="DM121" i="5"/>
  <c r="AQ21" i="24" s="1"/>
  <c r="X6" i="23"/>
  <c r="V97" i="5"/>
  <c r="BN38" i="5"/>
  <c r="BR38" i="5" s="1"/>
  <c r="X39" i="5"/>
  <c r="AB39" i="5" s="1"/>
  <c r="Y15" i="5"/>
  <c r="DD4" i="23"/>
  <c r="X201" i="5"/>
  <c r="U7" i="23"/>
  <c r="U94" i="5"/>
  <c r="CJ12" i="23"/>
  <c r="P177" i="5"/>
  <c r="AD13" i="23"/>
  <c r="BE104" i="5"/>
  <c r="BQ105" i="5"/>
  <c r="O105" i="5"/>
  <c r="K4" i="23"/>
  <c r="X81" i="5"/>
  <c r="DG220" i="5"/>
  <c r="CU219" i="5"/>
  <c r="DQ49" i="23"/>
  <c r="BS198" i="5"/>
  <c r="DA3" i="24"/>
  <c r="DA6" i="24"/>
  <c r="DA5" i="24"/>
  <c r="DA8" i="24"/>
  <c r="DA9" i="24"/>
  <c r="DA10" i="24"/>
  <c r="DA12" i="24"/>
  <c r="DA7" i="24"/>
  <c r="DA4" i="24"/>
  <c r="DA11" i="24"/>
  <c r="DA2" i="24"/>
  <c r="BF10" i="23"/>
  <c r="BH138" i="5"/>
  <c r="R139" i="5"/>
  <c r="S33" i="5"/>
  <c r="DF2" i="23"/>
  <c r="Z203" i="5"/>
  <c r="CL2" i="23"/>
  <c r="Z180" i="5"/>
  <c r="CB9" i="23"/>
  <c r="S168" i="5"/>
  <c r="BA4" i="23"/>
  <c r="X132" i="5"/>
  <c r="O7" i="23"/>
  <c r="U85" i="5"/>
  <c r="BJ178" i="5"/>
  <c r="CK8" i="23"/>
  <c r="T179" i="5"/>
  <c r="CS12" i="23"/>
  <c r="P189" i="5"/>
  <c r="BI10" i="23"/>
  <c r="R142" i="5"/>
  <c r="BY48" i="23"/>
  <c r="CV164" i="5"/>
  <c r="Q35" i="5"/>
  <c r="BS7" i="5"/>
  <c r="D5" i="24"/>
  <c r="D9" i="24"/>
  <c r="D12" i="24"/>
  <c r="D4" i="24"/>
  <c r="D8" i="24"/>
  <c r="D6" i="24"/>
  <c r="D10" i="24"/>
  <c r="D7" i="24"/>
  <c r="D3" i="24"/>
  <c r="D2" i="24"/>
  <c r="D11" i="24"/>
  <c r="DL11" i="23"/>
  <c r="Q211" i="5"/>
  <c r="BO223" i="5"/>
  <c r="DT3" i="23"/>
  <c r="Y224" i="5"/>
  <c r="CT11" i="23"/>
  <c r="Q190" i="5"/>
  <c r="AZ3" i="23"/>
  <c r="Y131" i="5"/>
  <c r="BZ49" i="23"/>
  <c r="DG166" i="5"/>
  <c r="BS222" i="5"/>
  <c r="DS7" i="24"/>
  <c r="DS10" i="24"/>
  <c r="DS4" i="24"/>
  <c r="DS5" i="24"/>
  <c r="DS6" i="24"/>
  <c r="DS3" i="24"/>
  <c r="DS12" i="24"/>
  <c r="DS9" i="24"/>
  <c r="DS11" i="24"/>
  <c r="DS2" i="24"/>
  <c r="DS8" i="24"/>
  <c r="BR5" i="23"/>
  <c r="W153" i="5"/>
  <c r="T6" i="23"/>
  <c r="V93" i="5"/>
  <c r="CZ5" i="23"/>
  <c r="W197" i="5"/>
  <c r="I2" i="23"/>
  <c r="Z79" i="5"/>
  <c r="W20" i="5"/>
  <c r="CY3" i="23"/>
  <c r="Y196" i="5"/>
  <c r="DI196" i="5"/>
  <c r="DP196" i="5"/>
  <c r="DJ196" i="5"/>
  <c r="DL196" i="5"/>
  <c r="DK196" i="5"/>
  <c r="DO196" i="5"/>
  <c r="DM196" i="5"/>
  <c r="DT196" i="5"/>
  <c r="CY14" i="24" s="1"/>
  <c r="DS196" i="5"/>
  <c r="CY15" i="24" s="1"/>
  <c r="DR196" i="5"/>
  <c r="CY16" i="24" s="1"/>
  <c r="DN196" i="5"/>
  <c r="CY20" i="24" s="1"/>
  <c r="DQ196" i="5"/>
  <c r="DF172" i="5"/>
  <c r="CF38" i="23"/>
  <c r="BO5" i="23"/>
  <c r="W149" i="5"/>
  <c r="AU8" i="23"/>
  <c r="T125" i="5"/>
  <c r="AL49" i="23"/>
  <c r="DG113" i="5"/>
  <c r="Z66" i="5"/>
  <c r="T31" i="5"/>
  <c r="BJ29" i="5"/>
  <c r="CW182" i="5"/>
  <c r="CN47" i="23"/>
  <c r="DX4" i="23"/>
  <c r="X229" i="5"/>
  <c r="BB45" i="23"/>
  <c r="CY133" i="5"/>
  <c r="W63" i="5"/>
  <c r="BM47" i="23"/>
  <c r="CW146" i="5"/>
  <c r="BD11" i="23"/>
  <c r="Q136" i="5"/>
  <c r="AK49" i="23"/>
  <c r="DG112" i="5"/>
  <c r="AA5" i="23"/>
  <c r="W100" i="5"/>
  <c r="G38" i="23"/>
  <c r="DF76" i="5"/>
  <c r="BN205" i="5"/>
  <c r="DH4" i="23"/>
  <c r="X206" i="5"/>
  <c r="CD2" i="23"/>
  <c r="Z170" i="5"/>
  <c r="DO49" i="23"/>
  <c r="CU214" i="5"/>
  <c r="DG215" i="5"/>
  <c r="CM12" i="23"/>
  <c r="P181" i="5"/>
  <c r="AH10" i="23"/>
  <c r="R109" i="5"/>
  <c r="P12" i="23"/>
  <c r="P86" i="5"/>
  <c r="DT62" i="5"/>
  <c r="AN62" i="5" s="1"/>
  <c r="DS62" i="5"/>
  <c r="AM62" i="5" s="1"/>
  <c r="DQ62" i="5"/>
  <c r="AK62" i="5" s="1"/>
  <c r="DP62" i="5"/>
  <c r="AJ62" i="5" s="1"/>
  <c r="DR62" i="5"/>
  <c r="AL62" i="5" s="1"/>
  <c r="DO62" i="5"/>
  <c r="AI62" i="5" s="1"/>
  <c r="DN62" i="5"/>
  <c r="AH62" i="5" s="1"/>
  <c r="DM62" i="5"/>
  <c r="AG62" i="5" s="1"/>
  <c r="DK62" i="5"/>
  <c r="AE62" i="5" s="1"/>
  <c r="DI62" i="5"/>
  <c r="DL62" i="5"/>
  <c r="AF62" i="5" s="1"/>
  <c r="DJ62" i="5"/>
  <c r="AD62" i="5" s="1"/>
  <c r="DD7" i="23"/>
  <c r="U201" i="5"/>
  <c r="BH2" i="23"/>
  <c r="Z141" i="5"/>
  <c r="S2" i="23"/>
  <c r="Z92" i="5"/>
  <c r="DQ13" i="23"/>
  <c r="BQ220" i="5"/>
  <c r="BE219" i="5"/>
  <c r="O220" i="5"/>
  <c r="Q210" i="5"/>
  <c r="BG209" i="5"/>
  <c r="DK11" i="23"/>
  <c r="BP7" i="23"/>
  <c r="U151" i="5"/>
  <c r="BK150" i="5"/>
  <c r="BF46" i="23"/>
  <c r="CX138" i="5"/>
  <c r="CU11" i="23"/>
  <c r="Q191" i="5"/>
  <c r="O11" i="23"/>
  <c r="Q85" i="5"/>
  <c r="DT61" i="5"/>
  <c r="DS61" i="5"/>
  <c r="AM61" i="5" s="1"/>
  <c r="DO61" i="5"/>
  <c r="AI61" i="5" s="1"/>
  <c r="DN61" i="5"/>
  <c r="AH61" i="5" s="1"/>
  <c r="DP61" i="5"/>
  <c r="AJ61" i="5" s="1"/>
  <c r="DL61" i="5"/>
  <c r="AF61" i="5" s="1"/>
  <c r="DK61" i="5"/>
  <c r="AE61" i="5" s="1"/>
  <c r="DJ61" i="5"/>
  <c r="AD61" i="5" s="1"/>
  <c r="DI61" i="5"/>
  <c r="DM61" i="5"/>
  <c r="AG61" i="5" s="1"/>
  <c r="DR61" i="5"/>
  <c r="AL61" i="5" s="1"/>
  <c r="DQ61" i="5"/>
  <c r="AK61" i="5" s="1"/>
  <c r="BP178" i="5"/>
  <c r="CK2" i="23"/>
  <c r="Z179" i="5"/>
  <c r="BI2" i="23"/>
  <c r="Z142" i="5"/>
  <c r="BS212" i="5"/>
  <c r="DM3" i="24"/>
  <c r="DM6" i="24"/>
  <c r="DM4" i="24"/>
  <c r="DM10" i="24"/>
  <c r="DM9" i="24"/>
  <c r="DM2" i="24"/>
  <c r="DM5" i="24"/>
  <c r="DM11" i="24"/>
  <c r="DM8" i="24"/>
  <c r="DM7" i="24"/>
  <c r="DM12" i="24"/>
  <c r="DR4" i="23"/>
  <c r="X221" i="5"/>
  <c r="AB221" i="5" s="1"/>
  <c r="DE11" i="23"/>
  <c r="Q202" i="5"/>
  <c r="DI202" i="5"/>
  <c r="DP202" i="5"/>
  <c r="DJ202" i="5"/>
  <c r="DO202" i="5"/>
  <c r="DN202" i="5"/>
  <c r="DE20" i="24" s="1"/>
  <c r="DM202" i="5"/>
  <c r="DS202" i="5"/>
  <c r="DE15" i="24" s="1"/>
  <c r="DQ202" i="5"/>
  <c r="DE17" i="24" s="1"/>
  <c r="DL202" i="5"/>
  <c r="DE22" i="24" s="1"/>
  <c r="DK202" i="5"/>
  <c r="DE23" i="24" s="1"/>
  <c r="DR202" i="5"/>
  <c r="DE16" i="24" s="1"/>
  <c r="DT202" i="5"/>
  <c r="DE14" i="24" s="1"/>
  <c r="AF13" i="23"/>
  <c r="O107" i="5"/>
  <c r="BQ107" i="5"/>
  <c r="DS12" i="23"/>
  <c r="P222" i="5"/>
  <c r="T11" i="23"/>
  <c r="Q93" i="5"/>
  <c r="DB8" i="23"/>
  <c r="T199" i="5"/>
  <c r="CG5" i="23"/>
  <c r="W174" i="5"/>
  <c r="I10" i="23"/>
  <c r="R79" i="5"/>
  <c r="DJ7" i="23"/>
  <c r="U208" i="5"/>
  <c r="BE49" i="23"/>
  <c r="DG137" i="5"/>
  <c r="AL10" i="23"/>
  <c r="R113" i="5"/>
  <c r="DC182" i="5"/>
  <c r="CN41" i="23"/>
  <c r="BC7" i="23"/>
  <c r="U135" i="5"/>
  <c r="DX49" i="23"/>
  <c r="DG229" i="5"/>
  <c r="Y12" i="23"/>
  <c r="P98" i="5"/>
  <c r="DW12" i="23"/>
  <c r="P228" i="5"/>
  <c r="BF227" i="5"/>
  <c r="Z5" i="23"/>
  <c r="W99" i="5"/>
  <c r="BF157" i="5"/>
  <c r="BT12" i="23"/>
  <c r="P158" i="5"/>
  <c r="AR12" i="23"/>
  <c r="P122" i="5"/>
  <c r="CX2" i="23"/>
  <c r="Z195" i="5"/>
  <c r="BV10" i="23"/>
  <c r="R160" i="5"/>
  <c r="BD3" i="23"/>
  <c r="Y136" i="5"/>
  <c r="Q48" i="23"/>
  <c r="CV87" i="5"/>
  <c r="BJ205" i="5"/>
  <c r="DH8" i="23"/>
  <c r="T206" i="5"/>
  <c r="BQ244" i="5"/>
  <c r="O244" i="5"/>
  <c r="AI12" i="23"/>
  <c r="P110" i="5"/>
  <c r="BM241" i="5"/>
  <c r="W242" i="5"/>
  <c r="DS242" i="5"/>
  <c r="DR242" i="5"/>
  <c r="AL242" i="5" s="1"/>
  <c r="DQ242" i="5"/>
  <c r="AK242" i="5" s="1"/>
  <c r="DP242" i="5"/>
  <c r="AJ242" i="5" s="1"/>
  <c r="DO242" i="5"/>
  <c r="AI242" i="5" s="1"/>
  <c r="DN242" i="5"/>
  <c r="AH242" i="5" s="1"/>
  <c r="DM242" i="5"/>
  <c r="AG242" i="5" s="1"/>
  <c r="DL242" i="5"/>
  <c r="AF242" i="5" s="1"/>
  <c r="DK242" i="5"/>
  <c r="AE242" i="5" s="1"/>
  <c r="DJ242" i="5"/>
  <c r="AD242" i="5" s="1"/>
  <c r="DI242" i="5"/>
  <c r="DT242" i="5"/>
  <c r="AN242" i="5" s="1"/>
  <c r="BS145" i="5"/>
  <c r="BL9" i="24"/>
  <c r="BL10" i="24"/>
  <c r="BL11" i="24"/>
  <c r="BL12" i="24"/>
  <c r="BL5" i="24"/>
  <c r="BL8" i="24"/>
  <c r="BL7" i="24"/>
  <c r="BL2" i="24"/>
  <c r="BL3" i="24"/>
  <c r="BL4" i="24"/>
  <c r="BL6" i="24"/>
  <c r="AH9" i="23"/>
  <c r="S109" i="5"/>
  <c r="P7" i="23"/>
  <c r="U86" i="5"/>
  <c r="BS6" i="23"/>
  <c r="V154" i="5"/>
  <c r="CJ6" i="23"/>
  <c r="V177" i="5"/>
  <c r="AD3" i="23"/>
  <c r="Y105" i="5"/>
  <c r="BO104" i="5"/>
  <c r="DR92" i="5"/>
  <c r="S16" i="24" s="1"/>
  <c r="DQ92" i="5"/>
  <c r="DK92" i="5"/>
  <c r="S23" i="24" s="1"/>
  <c r="DJ92" i="5"/>
  <c r="DI92" i="5"/>
  <c r="DN92" i="5"/>
  <c r="S20" i="24" s="1"/>
  <c r="DL92" i="5"/>
  <c r="S22" i="24" s="1"/>
  <c r="DS92" i="5"/>
  <c r="DP92" i="5"/>
  <c r="S18" i="24" s="1"/>
  <c r="DO92" i="5"/>
  <c r="S19" i="24" s="1"/>
  <c r="DM92" i="5"/>
  <c r="S21" i="24" s="1"/>
  <c r="DT92" i="5"/>
  <c r="CW209" i="5"/>
  <c r="DK47" i="23"/>
  <c r="CQ2" i="23"/>
  <c r="Z186" i="5"/>
  <c r="V151" i="5"/>
  <c r="BL150" i="5"/>
  <c r="BP6" i="23"/>
  <c r="R42" i="23"/>
  <c r="DB90" i="5"/>
  <c r="CB3" i="23"/>
  <c r="Y168" i="5"/>
  <c r="BA5" i="23"/>
  <c r="W132" i="5"/>
  <c r="DE60" i="5"/>
  <c r="DF178" i="5"/>
  <c r="CK38" i="23"/>
  <c r="CW164" i="5"/>
  <c r="BY47" i="23"/>
  <c r="D38" i="23"/>
  <c r="BQ49" i="23"/>
  <c r="DG152" i="5"/>
  <c r="DT8" i="23"/>
  <c r="T224" i="5"/>
  <c r="BJ223" i="5"/>
  <c r="BS190" i="5"/>
  <c r="CT7" i="24"/>
  <c r="CT2" i="24"/>
  <c r="CT4" i="24"/>
  <c r="CT3" i="24"/>
  <c r="CT9" i="24"/>
  <c r="CT11" i="24"/>
  <c r="CT5" i="24"/>
  <c r="CT6" i="24"/>
  <c r="CT8" i="24"/>
  <c r="CT12" i="24"/>
  <c r="CT10" i="24"/>
  <c r="N8" i="23"/>
  <c r="T84" i="5"/>
  <c r="DN6" i="23"/>
  <c r="V213" i="5"/>
  <c r="BG129" i="5"/>
  <c r="AY11" i="23"/>
  <c r="Q130" i="5"/>
  <c r="M13" i="23"/>
  <c r="BQ83" i="5"/>
  <c r="O83" i="5"/>
  <c r="DS11" i="23"/>
  <c r="Q222" i="5"/>
  <c r="BR11" i="23"/>
  <c r="Q153" i="5"/>
  <c r="BX13" i="23"/>
  <c r="BQ162" i="5"/>
  <c r="O162" i="5"/>
  <c r="AC7" i="23"/>
  <c r="U102" i="5"/>
  <c r="BQ67" i="5"/>
  <c r="O67" i="5"/>
  <c r="CF6" i="23"/>
  <c r="BL172" i="5"/>
  <c r="V173" i="5"/>
  <c r="BO2" i="23"/>
  <c r="Z149" i="5"/>
  <c r="BE4" i="23"/>
  <c r="X137" i="5"/>
  <c r="AL7" i="23"/>
  <c r="U113" i="5"/>
  <c r="AJ3" i="23"/>
  <c r="Y111" i="5"/>
  <c r="BN133" i="5"/>
  <c r="BB4" i="23"/>
  <c r="X134" i="5"/>
  <c r="BG146" i="5"/>
  <c r="Q147" i="5"/>
  <c r="BM11" i="23"/>
  <c r="CZ157" i="5"/>
  <c r="BT44" i="23"/>
  <c r="DP12" i="23"/>
  <c r="P216" i="5"/>
  <c r="CX49" i="23"/>
  <c r="DG195" i="5"/>
  <c r="BN12" i="23"/>
  <c r="P148" i="5"/>
  <c r="DI124" i="5"/>
  <c r="DS124" i="5"/>
  <c r="AT15" i="24" s="1"/>
  <c r="DR124" i="5"/>
  <c r="DH124" i="5" s="1"/>
  <c r="DP124" i="5"/>
  <c r="DO124" i="5"/>
  <c r="DN124" i="5"/>
  <c r="AT20" i="24" s="1"/>
  <c r="DJ124" i="5"/>
  <c r="AT24" i="24" s="1"/>
  <c r="DT124" i="5"/>
  <c r="AT14" i="24" s="1"/>
  <c r="DQ124" i="5"/>
  <c r="DM124" i="5"/>
  <c r="DL124" i="5"/>
  <c r="DK124" i="5"/>
  <c r="G10" i="23"/>
  <c r="BH76" i="5"/>
  <c r="R77" i="5"/>
  <c r="O245" i="5"/>
  <c r="BQ245" i="5"/>
  <c r="AS3" i="23"/>
  <c r="Y123" i="5"/>
  <c r="CD3" i="23"/>
  <c r="Y170" i="5"/>
  <c r="BQ243" i="5"/>
  <c r="O243" i="5"/>
  <c r="DC214" i="5"/>
  <c r="DO41" i="23"/>
  <c r="CM10" i="23"/>
  <c r="R181" i="5"/>
  <c r="BL3" i="23"/>
  <c r="Y145" i="5"/>
  <c r="AQ7" i="23"/>
  <c r="U121" i="5"/>
  <c r="X13" i="23"/>
  <c r="BQ97" i="5"/>
  <c r="O97" i="5"/>
  <c r="CA3" i="23"/>
  <c r="Y167" i="5"/>
  <c r="U6" i="23"/>
  <c r="V94" i="5"/>
  <c r="DC10" i="23"/>
  <c r="R200" i="5"/>
  <c r="AD43" i="23"/>
  <c r="DA104" i="5"/>
  <c r="AX2" i="23"/>
  <c r="Z128" i="5"/>
  <c r="S7" i="23"/>
  <c r="U92" i="5"/>
  <c r="K11" i="23"/>
  <c r="Q81" i="5"/>
  <c r="BM219" i="5"/>
  <c r="DQ5" i="23"/>
  <c r="W220" i="5"/>
  <c r="DK46" i="23"/>
  <c r="CX209" i="5"/>
  <c r="BP13" i="23"/>
  <c r="BE150" i="5"/>
  <c r="BQ151" i="5"/>
  <c r="O151" i="5"/>
  <c r="BQ139" i="5"/>
  <c r="BF13" i="23"/>
  <c r="O139" i="5"/>
  <c r="BE138" i="5"/>
  <c r="DU9" i="23"/>
  <c r="S225" i="5"/>
  <c r="CB11" i="23"/>
  <c r="Q168" i="5"/>
  <c r="AG6" i="23"/>
  <c r="V108" i="5"/>
  <c r="BS14" i="5"/>
  <c r="BT13" i="5"/>
  <c r="BT6" i="5" s="1"/>
  <c r="CD13" i="5"/>
  <c r="CD6" i="5" s="1"/>
  <c r="BU13" i="5"/>
  <c r="BU6" i="5" s="1"/>
  <c r="CA13" i="5"/>
  <c r="CA6" i="5" s="1"/>
  <c r="BZ13" i="5"/>
  <c r="BZ6" i="5" s="1"/>
  <c r="BY13" i="5"/>
  <c r="BY6" i="5" s="1"/>
  <c r="BW13" i="5"/>
  <c r="BW6" i="5" s="1"/>
  <c r="BV13" i="5"/>
  <c r="BV6" i="5" s="1"/>
  <c r="CC13" i="5"/>
  <c r="CC6" i="5" s="1"/>
  <c r="CB13" i="5"/>
  <c r="CB6" i="5" s="1"/>
  <c r="BX13" i="5"/>
  <c r="BX6" i="5" s="1"/>
  <c r="CS10" i="23"/>
  <c r="R189" i="5"/>
  <c r="AE11" i="23"/>
  <c r="Q106" i="5"/>
  <c r="DR12" i="23"/>
  <c r="P221" i="5"/>
  <c r="DL12" i="23"/>
  <c r="P211" i="5"/>
  <c r="BM223" i="5"/>
  <c r="DT5" i="23"/>
  <c r="W224" i="5"/>
  <c r="CT49" i="23"/>
  <c r="DG190" i="5"/>
  <c r="AF2" i="23"/>
  <c r="Z107" i="5"/>
  <c r="AY10" i="23"/>
  <c r="BH129" i="5"/>
  <c r="R130" i="5"/>
  <c r="M8" i="23"/>
  <c r="T83" i="5"/>
  <c r="CR9" i="23"/>
  <c r="S188" i="5"/>
  <c r="BI187" i="5"/>
  <c r="AM49" i="23"/>
  <c r="CU116" i="5"/>
  <c r="DG117" i="5"/>
  <c r="BS82" i="5"/>
  <c r="L9" i="24"/>
  <c r="L3" i="24"/>
  <c r="L7" i="24"/>
  <c r="L4" i="24"/>
  <c r="L11" i="24"/>
  <c r="L5" i="24"/>
  <c r="L2" i="24"/>
  <c r="L6" i="24"/>
  <c r="L10" i="24"/>
  <c r="L8" i="24"/>
  <c r="L12" i="24"/>
  <c r="O246" i="5"/>
  <c r="BQ246" i="5"/>
  <c r="CP5" i="23"/>
  <c r="W185" i="5"/>
  <c r="DI208" i="5"/>
  <c r="DP208" i="5"/>
  <c r="DJ18" i="24" s="1"/>
  <c r="DT208" i="5"/>
  <c r="DJ14" i="24" s="1"/>
  <c r="DS208" i="5"/>
  <c r="DJ15" i="24" s="1"/>
  <c r="DM208" i="5"/>
  <c r="DL208" i="5"/>
  <c r="DK208" i="5"/>
  <c r="DJ208" i="5"/>
  <c r="DR208" i="5"/>
  <c r="DJ16" i="24" s="1"/>
  <c r="DQ208" i="5"/>
  <c r="DO208" i="5"/>
  <c r="DN208" i="5"/>
  <c r="DJ20" i="24" s="1"/>
  <c r="BW7" i="23"/>
  <c r="U161" i="5"/>
  <c r="BO6" i="23"/>
  <c r="V149" i="5"/>
  <c r="AL6" i="23"/>
  <c r="V113" i="5"/>
  <c r="AB9" i="23"/>
  <c r="S101" i="5"/>
  <c r="H2" i="23"/>
  <c r="Z78" i="5"/>
  <c r="BF57" i="5"/>
  <c r="P55" i="5"/>
  <c r="P57" i="5" s="1"/>
  <c r="BG29" i="5"/>
  <c r="Q31" i="5"/>
  <c r="CW38" i="23"/>
  <c r="DF193" i="5"/>
  <c r="BC8" i="23"/>
  <c r="T135" i="5"/>
  <c r="Y49" i="23"/>
  <c r="DG98" i="5"/>
  <c r="DC146" i="5"/>
  <c r="BM41" i="23"/>
  <c r="S158" i="5"/>
  <c r="BT9" i="23"/>
  <c r="BI157" i="5"/>
  <c r="AR3" i="23"/>
  <c r="Y122" i="5"/>
  <c r="BS207" i="5"/>
  <c r="DI5" i="24"/>
  <c r="DI8" i="24"/>
  <c r="DI4" i="24"/>
  <c r="DI11" i="24"/>
  <c r="DI6" i="24"/>
  <c r="DI2" i="24"/>
  <c r="DI7" i="24"/>
  <c r="DI3" i="24"/>
  <c r="DI12" i="24"/>
  <c r="DI9" i="24"/>
  <c r="DI10" i="24"/>
  <c r="BD10" i="23"/>
  <c r="R136" i="5"/>
  <c r="AK4" i="23"/>
  <c r="X112" i="5"/>
  <c r="AA7" i="23"/>
  <c r="U100" i="5"/>
  <c r="DD76" i="5"/>
  <c r="G40" i="23"/>
  <c r="AI7" i="23"/>
  <c r="U110" i="5"/>
  <c r="BS16" i="5"/>
  <c r="BO241" i="5"/>
  <c r="EB3" i="23" s="1"/>
  <c r="Y242" i="5"/>
  <c r="BE54" i="5"/>
  <c r="O51" i="5"/>
  <c r="BQ51" i="5"/>
  <c r="BQ54" i="5" s="1"/>
  <c r="BS15" i="5"/>
  <c r="DC49" i="23"/>
  <c r="DG200" i="5"/>
  <c r="BG6" i="23"/>
  <c r="V140" i="5"/>
  <c r="DK7" i="23"/>
  <c r="U210" i="5"/>
  <c r="BK209" i="5"/>
  <c r="DI210" i="5"/>
  <c r="DP210" i="5"/>
  <c r="DJ210" i="5"/>
  <c r="DS210" i="5"/>
  <c r="AM210" i="5" s="1"/>
  <c r="DR210" i="5"/>
  <c r="DH210" i="5" s="1"/>
  <c r="DQ210" i="5"/>
  <c r="AK210" i="5" s="1"/>
  <c r="DT210" i="5"/>
  <c r="AN210" i="5" s="1"/>
  <c r="DO210" i="5"/>
  <c r="AI210" i="5" s="1"/>
  <c r="DN210" i="5"/>
  <c r="DM210" i="5"/>
  <c r="DL210" i="5"/>
  <c r="AF210" i="5" s="1"/>
  <c r="DK210" i="5"/>
  <c r="CU150" i="5"/>
  <c r="BP49" i="23"/>
  <c r="DG151" i="5"/>
  <c r="R8" i="23"/>
  <c r="BJ90" i="5"/>
  <c r="T91" i="5"/>
  <c r="DR91" i="5"/>
  <c r="AL91" i="5" s="1"/>
  <c r="DQ91" i="5"/>
  <c r="AK91" i="5" s="1"/>
  <c r="DI91" i="5"/>
  <c r="DT91" i="5"/>
  <c r="DS91" i="5"/>
  <c r="DP91" i="5"/>
  <c r="DN91" i="5"/>
  <c r="AH91" i="5" s="1"/>
  <c r="DM91" i="5"/>
  <c r="DO91" i="5"/>
  <c r="AI91" i="5" s="1"/>
  <c r="DL91" i="5"/>
  <c r="AF91" i="5" s="1"/>
  <c r="DK91" i="5"/>
  <c r="DJ91" i="5"/>
  <c r="DF12" i="23"/>
  <c r="P203" i="5"/>
  <c r="CB10" i="23"/>
  <c r="R168" i="5"/>
  <c r="BA11" i="23"/>
  <c r="Q132" i="5"/>
  <c r="AG5" i="23"/>
  <c r="W108" i="5"/>
  <c r="CK46" i="23"/>
  <c r="CX178" i="5"/>
  <c r="DM13" i="23"/>
  <c r="O212" i="5"/>
  <c r="BQ212" i="5"/>
  <c r="D49" i="23"/>
  <c r="DL8" i="23"/>
  <c r="T211" i="5"/>
  <c r="DI211" i="5"/>
  <c r="DP211" i="5"/>
  <c r="DL18" i="24" s="1"/>
  <c r="DL211" i="5"/>
  <c r="DK211" i="5"/>
  <c r="DL23" i="24" s="1"/>
  <c r="DJ211" i="5"/>
  <c r="DN211" i="5"/>
  <c r="DL20" i="24" s="1"/>
  <c r="DT211" i="5"/>
  <c r="DS211" i="5"/>
  <c r="DL15" i="24" s="1"/>
  <c r="DR211" i="5"/>
  <c r="DL16" i="24" s="1"/>
  <c r="DQ211" i="5"/>
  <c r="DM211" i="5"/>
  <c r="DO211" i="5"/>
  <c r="DT46" i="23"/>
  <c r="CX223" i="5"/>
  <c r="BS143" i="5"/>
  <c r="BJ5" i="24"/>
  <c r="BJ8" i="24"/>
  <c r="BJ9" i="24"/>
  <c r="BJ10" i="24"/>
  <c r="BJ6" i="24"/>
  <c r="BJ3" i="24"/>
  <c r="BJ11" i="24"/>
  <c r="BJ2" i="24"/>
  <c r="BJ4" i="24"/>
  <c r="BJ12" i="24"/>
  <c r="BJ7" i="24"/>
  <c r="AO8" i="23"/>
  <c r="T119" i="5"/>
  <c r="AF10" i="23"/>
  <c r="R107" i="5"/>
  <c r="S130" i="5"/>
  <c r="AY9" i="23"/>
  <c r="BI129" i="5"/>
  <c r="BO27" i="5"/>
  <c r="Y24" i="5"/>
  <c r="DB5" i="23"/>
  <c r="W199" i="5"/>
  <c r="CP4" i="23"/>
  <c r="X185" i="5"/>
  <c r="AC3" i="23"/>
  <c r="Y102" i="5"/>
  <c r="I12" i="23"/>
  <c r="P79" i="5"/>
  <c r="DJ6" i="23"/>
  <c r="V208" i="5"/>
  <c r="CO11" i="23"/>
  <c r="Q184" i="5"/>
  <c r="BW6" i="23"/>
  <c r="V161" i="5"/>
  <c r="BE11" i="23"/>
  <c r="Q137" i="5"/>
  <c r="H10" i="23"/>
  <c r="R78" i="5"/>
  <c r="BG57" i="5"/>
  <c r="Q55" i="5"/>
  <c r="Q57" i="5" s="1"/>
  <c r="CN43" i="23"/>
  <c r="DA182" i="5"/>
  <c r="AJ11" i="23"/>
  <c r="Q111" i="5"/>
  <c r="BB38" i="23"/>
  <c r="DF133" i="5"/>
  <c r="DW6" i="23"/>
  <c r="BL227" i="5"/>
  <c r="V228" i="5"/>
  <c r="BT43" i="23"/>
  <c r="DA157" i="5"/>
  <c r="DP11" i="23"/>
  <c r="Q216" i="5"/>
  <c r="BN9" i="23"/>
  <c r="S148" i="5"/>
  <c r="AA6" i="23"/>
  <c r="V100" i="5"/>
  <c r="BM76" i="5"/>
  <c r="G5" i="23"/>
  <c r="W77" i="5"/>
  <c r="BU5" i="23"/>
  <c r="W159" i="5"/>
  <c r="AS2" i="23"/>
  <c r="Z123" i="5"/>
  <c r="CD8" i="23"/>
  <c r="T170" i="5"/>
  <c r="DT16" i="5"/>
  <c r="AN16" i="5" s="1"/>
  <c r="AN16" i="1" s="1"/>
  <c r="DS16" i="5"/>
  <c r="AM16" i="5" s="1"/>
  <c r="AM16" i="1" s="1"/>
  <c r="DM16" i="5"/>
  <c r="AG16" i="5" s="1"/>
  <c r="AG16" i="1" s="1"/>
  <c r="DL16" i="5"/>
  <c r="AF16" i="5" s="1"/>
  <c r="AF16" i="1" s="1"/>
  <c r="DJ16" i="5"/>
  <c r="AD16" i="5" s="1"/>
  <c r="AD16" i="1" s="1"/>
  <c r="DR16" i="5"/>
  <c r="AL16" i="5" s="1"/>
  <c r="AL16" i="1" s="1"/>
  <c r="DQ16" i="5"/>
  <c r="AK16" i="5" s="1"/>
  <c r="AK16" i="1" s="1"/>
  <c r="DP16" i="5"/>
  <c r="AJ16" i="5" s="1"/>
  <c r="AJ16" i="1" s="1"/>
  <c r="DO16" i="5"/>
  <c r="AI16" i="5" s="1"/>
  <c r="AI16" i="1" s="1"/>
  <c r="DN16" i="5"/>
  <c r="AH16" i="5" s="1"/>
  <c r="AH16" i="1" s="1"/>
  <c r="DK16" i="5"/>
  <c r="AE16" i="5" s="1"/>
  <c r="AE16" i="1" s="1"/>
  <c r="DI16" i="5"/>
  <c r="BP214" i="5"/>
  <c r="DO2" i="23"/>
  <c r="Z215" i="5"/>
  <c r="AQ6" i="23"/>
  <c r="V121" i="5"/>
  <c r="BJ38" i="5"/>
  <c r="T39" i="5"/>
  <c r="DT15" i="5"/>
  <c r="AN15" i="5" s="1"/>
  <c r="AN15" i="1" s="1"/>
  <c r="DS15" i="5"/>
  <c r="AM15" i="5" s="1"/>
  <c r="AM15" i="1" s="1"/>
  <c r="DK15" i="5"/>
  <c r="AE15" i="5" s="1"/>
  <c r="AE15" i="1" s="1"/>
  <c r="DJ15" i="5"/>
  <c r="AD15" i="5" s="1"/>
  <c r="AD15" i="1" s="1"/>
  <c r="DR15" i="5"/>
  <c r="AL15" i="5" s="1"/>
  <c r="AL15" i="1" s="1"/>
  <c r="DQ15" i="5"/>
  <c r="AK15" i="5" s="1"/>
  <c r="AK15" i="1" s="1"/>
  <c r="DP15" i="5"/>
  <c r="AJ15" i="5" s="1"/>
  <c r="AJ15" i="1" s="1"/>
  <c r="DO15" i="5"/>
  <c r="AI15" i="5" s="1"/>
  <c r="AI15" i="1" s="1"/>
  <c r="DM15" i="5"/>
  <c r="AG15" i="5" s="1"/>
  <c r="AG15" i="1" s="1"/>
  <c r="DI15" i="5"/>
  <c r="DN15" i="5"/>
  <c r="AH15" i="5" s="1"/>
  <c r="AH15" i="1" s="1"/>
  <c r="DL15" i="5"/>
  <c r="AF15" i="5" s="1"/>
  <c r="AF15" i="1" s="1"/>
  <c r="DD9" i="23"/>
  <c r="S201" i="5"/>
  <c r="DC7" i="23"/>
  <c r="U200" i="5"/>
  <c r="BH6" i="23"/>
  <c r="V141" i="5"/>
  <c r="DD104" i="5"/>
  <c r="AD40" i="23"/>
  <c r="S5" i="23"/>
  <c r="W92" i="5"/>
  <c r="CZ209" i="5"/>
  <c r="DK44" i="23"/>
  <c r="BP9" i="23"/>
  <c r="BI150" i="5"/>
  <c r="S151" i="5"/>
  <c r="R43" i="23"/>
  <c r="DA90" i="5"/>
  <c r="DU5" i="23"/>
  <c r="W225" i="5"/>
  <c r="CU4" i="23"/>
  <c r="X191" i="5"/>
  <c r="CB8" i="23"/>
  <c r="T168" i="5"/>
  <c r="O9" i="23"/>
  <c r="S85" i="5"/>
  <c r="P179" i="5"/>
  <c r="CK12" i="23"/>
  <c r="BF178" i="5"/>
  <c r="BS176" i="5"/>
  <c r="CI10" i="24"/>
  <c r="CI8" i="24"/>
  <c r="CI3" i="24"/>
  <c r="CI2" i="24"/>
  <c r="CI6" i="24"/>
  <c r="CI12" i="24"/>
  <c r="CI7" i="24"/>
  <c r="CI5" i="24"/>
  <c r="CI4" i="24"/>
  <c r="CI9" i="24"/>
  <c r="CI11" i="24"/>
  <c r="DT39" i="23"/>
  <c r="DE223" i="5"/>
  <c r="BJ5" i="23"/>
  <c r="W143" i="5"/>
  <c r="AO7" i="23"/>
  <c r="U119" i="5"/>
  <c r="DN49" i="23"/>
  <c r="DG213" i="5"/>
  <c r="DS10" i="23"/>
  <c r="R222" i="5"/>
  <c r="CY187" i="5"/>
  <c r="CR45" i="23"/>
  <c r="AM48" i="23"/>
  <c r="CV116" i="5"/>
  <c r="DB49" i="23"/>
  <c r="DG199" i="5"/>
  <c r="BQ34" i="5"/>
  <c r="O34" i="5"/>
  <c r="DI127" i="5"/>
  <c r="DP127" i="5"/>
  <c r="DL127" i="5"/>
  <c r="AW22" i="24" s="1"/>
  <c r="DK127" i="5"/>
  <c r="DO127" i="5"/>
  <c r="AW19" i="24" s="1"/>
  <c r="DN127" i="5"/>
  <c r="DM127" i="5"/>
  <c r="AW21" i="24" s="1"/>
  <c r="DS127" i="5"/>
  <c r="DQ127" i="5"/>
  <c r="AW17" i="24" s="1"/>
  <c r="DJ127" i="5"/>
  <c r="AW24" i="24" s="1"/>
  <c r="DT127" i="5"/>
  <c r="AW14" i="24" s="1"/>
  <c r="DR127" i="5"/>
  <c r="DH127" i="5" s="1"/>
  <c r="BS197" i="5"/>
  <c r="CZ7" i="24"/>
  <c r="CZ3" i="24"/>
  <c r="CZ12" i="24"/>
  <c r="CZ10" i="24"/>
  <c r="CZ4" i="24"/>
  <c r="CZ9" i="24"/>
  <c r="CZ6" i="24"/>
  <c r="CZ11" i="24"/>
  <c r="CZ5" i="24"/>
  <c r="CZ2" i="24"/>
  <c r="CZ8" i="24"/>
  <c r="CG12" i="23"/>
  <c r="P174" i="5"/>
  <c r="BS79" i="5"/>
  <c r="I3" i="24"/>
  <c r="I6" i="24"/>
  <c r="I5" i="24"/>
  <c r="I8" i="24"/>
  <c r="I7" i="24"/>
  <c r="I11" i="24"/>
  <c r="I10" i="24"/>
  <c r="I9" i="24"/>
  <c r="I2" i="24"/>
  <c r="I4" i="24"/>
  <c r="I12" i="24"/>
  <c r="S44" i="5"/>
  <c r="DJ5" i="23"/>
  <c r="W208" i="5"/>
  <c r="BE6" i="23"/>
  <c r="V137" i="5"/>
  <c r="DI125" i="5"/>
  <c r="DP125" i="5"/>
  <c r="AU18" i="24" s="1"/>
  <c r="DT125" i="5"/>
  <c r="AU14" i="24" s="1"/>
  <c r="DS125" i="5"/>
  <c r="AU15" i="24" s="1"/>
  <c r="DR125" i="5"/>
  <c r="DQ125" i="5"/>
  <c r="AU17" i="24" s="1"/>
  <c r="DN125" i="5"/>
  <c r="DM125" i="5"/>
  <c r="AU21" i="24" s="1"/>
  <c r="DL125" i="5"/>
  <c r="AU22" i="24" s="1"/>
  <c r="DK125" i="5"/>
  <c r="AU23" i="24" s="1"/>
  <c r="DO125" i="5"/>
  <c r="DJ125" i="5"/>
  <c r="AU24" i="24" s="1"/>
  <c r="H11" i="23"/>
  <c r="Q78" i="5"/>
  <c r="CW42" i="23"/>
  <c r="DB193" i="5"/>
  <c r="CE9" i="23"/>
  <c r="S171" i="5"/>
  <c r="BS229" i="5"/>
  <c r="DX4" i="24"/>
  <c r="DX5" i="24"/>
  <c r="DX6" i="24"/>
  <c r="DX11" i="24"/>
  <c r="DX7" i="24"/>
  <c r="DX2" i="24"/>
  <c r="DX3" i="24"/>
  <c r="DX9" i="24"/>
  <c r="DX10" i="24"/>
  <c r="DX8" i="24"/>
  <c r="DX12" i="24"/>
  <c r="Y9" i="23"/>
  <c r="S98" i="5"/>
  <c r="BM146" i="5"/>
  <c r="BM5" i="23"/>
  <c r="W147" i="5"/>
  <c r="BM157" i="5"/>
  <c r="BT5" i="23"/>
  <c r="W158" i="5"/>
  <c r="BS195" i="5"/>
  <c r="CX4" i="24"/>
  <c r="CX3" i="24"/>
  <c r="CX2" i="24"/>
  <c r="CX7" i="24"/>
  <c r="CX12" i="24"/>
  <c r="CX10" i="24"/>
  <c r="CX9" i="24"/>
  <c r="CX5" i="24"/>
  <c r="CX6" i="24"/>
  <c r="CX11" i="24"/>
  <c r="CX8" i="24"/>
  <c r="BN4" i="23"/>
  <c r="X148" i="5"/>
  <c r="AT8" i="23"/>
  <c r="T124" i="5"/>
  <c r="Q46" i="23"/>
  <c r="CX87" i="5"/>
  <c r="Z42" i="5"/>
  <c r="BU10" i="23"/>
  <c r="R159" i="5"/>
  <c r="AI10" i="23"/>
  <c r="R110" i="5"/>
  <c r="BE241" i="5"/>
  <c r="EB13" i="23" s="1"/>
  <c r="BQ242" i="5"/>
  <c r="O242" i="5"/>
  <c r="O8" i="1"/>
  <c r="BC233" i="5"/>
  <c r="BC234" i="5" s="1"/>
  <c r="DV49" i="23"/>
  <c r="DG226" i="5"/>
  <c r="DG8" i="23"/>
  <c r="T204" i="5"/>
  <c r="CV4" i="23"/>
  <c r="X192" i="5"/>
  <c r="CM8" i="23"/>
  <c r="T181" i="5"/>
  <c r="CC9" i="23"/>
  <c r="S169" i="5"/>
  <c r="AQ49" i="23"/>
  <c r="DG121" i="5"/>
  <c r="BS109" i="5"/>
  <c r="AH3" i="24"/>
  <c r="AH2" i="24"/>
  <c r="AH4" i="24"/>
  <c r="AH10" i="24"/>
  <c r="AH12" i="24"/>
  <c r="AH8" i="24"/>
  <c r="AH9" i="24"/>
  <c r="AH5" i="24"/>
  <c r="AH6" i="24"/>
  <c r="AH7" i="24"/>
  <c r="AH11" i="24"/>
  <c r="BG54" i="5"/>
  <c r="Q51" i="5"/>
  <c r="Q54" i="5" s="1"/>
  <c r="CA12" i="23"/>
  <c r="P167" i="5"/>
  <c r="DD2" i="23"/>
  <c r="Z201" i="5"/>
  <c r="BS49" i="23"/>
  <c r="DG154" i="5"/>
  <c r="BG5" i="23"/>
  <c r="W140" i="5"/>
  <c r="AX11" i="23"/>
  <c r="Q128" i="5"/>
  <c r="S10" i="23"/>
  <c r="R92" i="5"/>
  <c r="DF209" i="5"/>
  <c r="DK38" i="23"/>
  <c r="DA2" i="23"/>
  <c r="Z198" i="5"/>
  <c r="DI198" i="5"/>
  <c r="DP198" i="5"/>
  <c r="DA18" i="24" s="1"/>
  <c r="DN198" i="5"/>
  <c r="DM198" i="5"/>
  <c r="DL198" i="5"/>
  <c r="DQ198" i="5"/>
  <c r="DA17" i="24" s="1"/>
  <c r="DK198" i="5"/>
  <c r="DA23" i="24" s="1"/>
  <c r="DJ198" i="5"/>
  <c r="DT198" i="5"/>
  <c r="DS198" i="5"/>
  <c r="DR198" i="5"/>
  <c r="DH198" i="5" s="1"/>
  <c r="DO198" i="5"/>
  <c r="BF7" i="23"/>
  <c r="U139" i="5"/>
  <c r="BK138" i="5"/>
  <c r="R7" i="23"/>
  <c r="U91" i="5"/>
  <c r="BK90" i="5"/>
  <c r="BS191" i="5"/>
  <c r="CU3" i="24"/>
  <c r="CU10" i="24"/>
  <c r="CU12" i="24"/>
  <c r="CU4" i="24"/>
  <c r="CU9" i="24"/>
  <c r="CU2" i="24"/>
  <c r="CU11" i="24"/>
  <c r="CU5" i="24"/>
  <c r="CU6" i="24"/>
  <c r="CU7" i="24"/>
  <c r="CU8" i="24"/>
  <c r="AP5" i="23"/>
  <c r="W120" i="5"/>
  <c r="BS108" i="5"/>
  <c r="AG3" i="24"/>
  <c r="AG6" i="24"/>
  <c r="AG12" i="24"/>
  <c r="AG8" i="24"/>
  <c r="AG9" i="24"/>
  <c r="AG5" i="24"/>
  <c r="AG2" i="24"/>
  <c r="AG4" i="24"/>
  <c r="AG11" i="24"/>
  <c r="AG7" i="24"/>
  <c r="AG10" i="24"/>
  <c r="O49" i="23"/>
  <c r="DG85" i="5"/>
  <c r="CK7" i="23"/>
  <c r="BK178" i="5"/>
  <c r="U179" i="5"/>
  <c r="CS11" i="23"/>
  <c r="Q189" i="5"/>
  <c r="BI9" i="23"/>
  <c r="S142" i="5"/>
  <c r="DM12" i="23"/>
  <c r="P212" i="5"/>
  <c r="DR11" i="23"/>
  <c r="Q221" i="5"/>
  <c r="DT43" i="23"/>
  <c r="DA223" i="5"/>
  <c r="CT10" i="23"/>
  <c r="R190" i="5"/>
  <c r="V7" i="23"/>
  <c r="U95" i="5"/>
  <c r="N5" i="23"/>
  <c r="W84" i="5"/>
  <c r="DN4" i="23"/>
  <c r="X213" i="5"/>
  <c r="DI213" i="5"/>
  <c r="DP213" i="5"/>
  <c r="DN18" i="24" s="1"/>
  <c r="DQ213" i="5"/>
  <c r="DN17" i="24" s="1"/>
  <c r="DO213" i="5"/>
  <c r="DN213" i="5"/>
  <c r="DN20" i="24" s="1"/>
  <c r="DT213" i="5"/>
  <c r="DN14" i="24" s="1"/>
  <c r="DS213" i="5"/>
  <c r="DN15" i="24" s="1"/>
  <c r="DK213" i="5"/>
  <c r="DR213" i="5"/>
  <c r="DN16" i="24" s="1"/>
  <c r="DM213" i="5"/>
  <c r="DN21" i="24" s="1"/>
  <c r="DJ213" i="5"/>
  <c r="DN24" i="24" s="1"/>
  <c r="DL213" i="5"/>
  <c r="AY38" i="23"/>
  <c r="DF129" i="5"/>
  <c r="BP27" i="5"/>
  <c r="Z24" i="5"/>
  <c r="CR47" i="23"/>
  <c r="CW187" i="5"/>
  <c r="BR4" i="23"/>
  <c r="X153" i="5"/>
  <c r="L12" i="23"/>
  <c r="P82" i="5"/>
  <c r="CZ13" i="23"/>
  <c r="BQ197" i="5"/>
  <c r="O197" i="5"/>
  <c r="BX49" i="23"/>
  <c r="DG162" i="5"/>
  <c r="I8" i="23"/>
  <c r="T79" i="5"/>
  <c r="DJ4" i="23"/>
  <c r="X208" i="5"/>
  <c r="CW172" i="5"/>
  <c r="CF47" i="23"/>
  <c r="BE3" i="23"/>
  <c r="Y137" i="5"/>
  <c r="H49" i="23"/>
  <c r="DG78" i="5"/>
  <c r="CV29" i="5"/>
  <c r="CW12" i="23"/>
  <c r="P194" i="5"/>
  <c r="BF193" i="5"/>
  <c r="CY182" i="5"/>
  <c r="CN45" i="23"/>
  <c r="BC3" i="23"/>
  <c r="Y135" i="5"/>
  <c r="AJ6" i="23"/>
  <c r="V111" i="5"/>
  <c r="DX6" i="23"/>
  <c r="V229" i="5"/>
  <c r="BB42" i="23"/>
  <c r="DB133" i="5"/>
  <c r="DW49" i="23"/>
  <c r="DG228" i="5"/>
  <c r="CU227" i="5"/>
  <c r="BM9" i="23"/>
  <c r="BI146" i="5"/>
  <c r="S147" i="5"/>
  <c r="BT49" i="23"/>
  <c r="DG158" i="5"/>
  <c r="CU157" i="5"/>
  <c r="DI6" i="23"/>
  <c r="V207" i="5"/>
  <c r="BD8" i="23"/>
  <c r="T136" i="5"/>
  <c r="AT13" i="23"/>
  <c r="O124" i="5"/>
  <c r="BQ124" i="5"/>
  <c r="DR100" i="5"/>
  <c r="AA16" i="24" s="1"/>
  <c r="DQ100" i="5"/>
  <c r="DO100" i="5"/>
  <c r="DN100" i="5"/>
  <c r="DM100" i="5"/>
  <c r="DL100" i="5"/>
  <c r="AA22" i="24" s="1"/>
  <c r="DJ100" i="5"/>
  <c r="AA24" i="24" s="1"/>
  <c r="DI100" i="5"/>
  <c r="DT100" i="5"/>
  <c r="DS100" i="5"/>
  <c r="AA15" i="24" s="1"/>
  <c r="DK100" i="5"/>
  <c r="AA23" i="24" s="1"/>
  <c r="DP100" i="5"/>
  <c r="AA18" i="24" s="1"/>
  <c r="DC76" i="5"/>
  <c r="G41" i="23"/>
  <c r="V40" i="5"/>
  <c r="DG4" i="23"/>
  <c r="X204" i="5"/>
  <c r="AH11" i="23"/>
  <c r="Q109" i="5"/>
  <c r="BQ39" i="5"/>
  <c r="O39" i="5"/>
  <c r="BE38" i="5"/>
  <c r="CA8" i="23"/>
  <c r="T167" i="5"/>
  <c r="DI167" i="5"/>
  <c r="DP167" i="5"/>
  <c r="DL167" i="5"/>
  <c r="DK167" i="5"/>
  <c r="DR167" i="5"/>
  <c r="CA16" i="24" s="1"/>
  <c r="DQ167" i="5"/>
  <c r="CA17" i="24" s="1"/>
  <c r="DO167" i="5"/>
  <c r="CA19" i="24" s="1"/>
  <c r="DT167" i="5"/>
  <c r="DS167" i="5"/>
  <c r="CA15" i="24" s="1"/>
  <c r="DN167" i="5"/>
  <c r="CA20" i="24" s="1"/>
  <c r="DM167" i="5"/>
  <c r="CA21" i="24" s="1"/>
  <c r="DJ167" i="5"/>
  <c r="CA24" i="24" s="1"/>
  <c r="BS9" i="23"/>
  <c r="S154" i="5"/>
  <c r="AX9" i="23"/>
  <c r="S128" i="5"/>
  <c r="K2" i="23"/>
  <c r="Z81" i="5"/>
  <c r="DQ46" i="23"/>
  <c r="CX219" i="5"/>
  <c r="S139" i="5"/>
  <c r="BF9" i="23"/>
  <c r="BI138" i="5"/>
  <c r="J12" i="23"/>
  <c r="P80" i="5"/>
  <c r="DF10" i="23"/>
  <c r="R203" i="5"/>
  <c r="CU3" i="23"/>
  <c r="Y191" i="5"/>
  <c r="DI191" i="5"/>
  <c r="DP191" i="5"/>
  <c r="DN191" i="5"/>
  <c r="DM191" i="5"/>
  <c r="CU21" i="24" s="1"/>
  <c r="DL191" i="5"/>
  <c r="DT191" i="5"/>
  <c r="CU14" i="24" s="1"/>
  <c r="DS191" i="5"/>
  <c r="DR191" i="5"/>
  <c r="CU16" i="24" s="1"/>
  <c r="DJ191" i="5"/>
  <c r="DQ191" i="5"/>
  <c r="DO191" i="5"/>
  <c r="DK191" i="5"/>
  <c r="CU23" i="24" s="1"/>
  <c r="AP4" i="23"/>
  <c r="X120" i="5"/>
  <c r="AG12" i="23"/>
  <c r="P108" i="5"/>
  <c r="DR108" i="5"/>
  <c r="AG16" i="24" s="1"/>
  <c r="DQ108" i="5"/>
  <c r="AG17" i="24" s="1"/>
  <c r="DO108" i="5"/>
  <c r="DN108" i="5"/>
  <c r="DM108" i="5"/>
  <c r="AG21" i="24" s="1"/>
  <c r="DT108" i="5"/>
  <c r="AG14" i="24" s="1"/>
  <c r="DP108" i="5"/>
  <c r="DL108" i="5"/>
  <c r="AG22" i="24" s="1"/>
  <c r="DK108" i="5"/>
  <c r="DJ108" i="5"/>
  <c r="AG24" i="24" s="1"/>
  <c r="DI108" i="5"/>
  <c r="DS108" i="5"/>
  <c r="AG15" i="24" s="1"/>
  <c r="CU178" i="5"/>
  <c r="CK49" i="23"/>
  <c r="DG179" i="5"/>
  <c r="DR7" i="23"/>
  <c r="U221" i="5"/>
  <c r="BQ11" i="23"/>
  <c r="Q152" i="5"/>
  <c r="DT38" i="23"/>
  <c r="DF223" i="5"/>
  <c r="AZ49" i="23"/>
  <c r="DG131" i="5"/>
  <c r="DN10" i="23"/>
  <c r="R213" i="5"/>
  <c r="AY43" i="23"/>
  <c r="DA129" i="5"/>
  <c r="BS188" i="5"/>
  <c r="CR6" i="24"/>
  <c r="CR11" i="24"/>
  <c r="CR5" i="24"/>
  <c r="CR4" i="24"/>
  <c r="CR8" i="24"/>
  <c r="CR2" i="24"/>
  <c r="CR3" i="24"/>
  <c r="CR9" i="24"/>
  <c r="CR7" i="24"/>
  <c r="CR10" i="24"/>
  <c r="CR12" i="24"/>
  <c r="BU187" i="5"/>
  <c r="BT187" i="5"/>
  <c r="CD187" i="5"/>
  <c r="CC187" i="5"/>
  <c r="CB187" i="5"/>
  <c r="BZ187" i="5"/>
  <c r="BX187" i="5"/>
  <c r="BW187" i="5"/>
  <c r="BV187" i="5"/>
  <c r="CA187" i="5"/>
  <c r="BY187" i="5"/>
  <c r="AM47" i="23"/>
  <c r="CW116" i="5"/>
  <c r="L3" i="23"/>
  <c r="Y82" i="5"/>
  <c r="AW12" i="23"/>
  <c r="P127" i="5"/>
  <c r="CP8" i="23"/>
  <c r="T185" i="5"/>
  <c r="V67" i="5"/>
  <c r="DJ13" i="23"/>
  <c r="O208" i="5"/>
  <c r="BQ208" i="5"/>
  <c r="CY6" i="23"/>
  <c r="V196" i="5"/>
  <c r="DB172" i="5"/>
  <c r="CF42" i="23"/>
  <c r="BO8" i="23"/>
  <c r="T149" i="5"/>
  <c r="BE2" i="23"/>
  <c r="Z137" i="5"/>
  <c r="AU13" i="23"/>
  <c r="O125" i="5"/>
  <c r="BQ125" i="5"/>
  <c r="BH57" i="5"/>
  <c r="R55" i="5"/>
  <c r="R57" i="5" s="1"/>
  <c r="BJ193" i="5"/>
  <c r="CW8" i="23"/>
  <c r="T194" i="5"/>
  <c r="DI194" i="5"/>
  <c r="DP194" i="5"/>
  <c r="AJ194" i="5" s="1"/>
  <c r="DS194" i="5"/>
  <c r="AM194" i="5" s="1"/>
  <c r="DR194" i="5"/>
  <c r="AL194" i="5" s="1"/>
  <c r="DQ194" i="5"/>
  <c r="DN194" i="5"/>
  <c r="AH194" i="5" s="1"/>
  <c r="DM194" i="5"/>
  <c r="AG194" i="5" s="1"/>
  <c r="DL194" i="5"/>
  <c r="AF194" i="5" s="1"/>
  <c r="DK194" i="5"/>
  <c r="AE194" i="5" s="1"/>
  <c r="DT194" i="5"/>
  <c r="AN194" i="5" s="1"/>
  <c r="DJ194" i="5"/>
  <c r="AD194" i="5" s="1"/>
  <c r="DO194" i="5"/>
  <c r="CE6" i="23"/>
  <c r="V171" i="5"/>
  <c r="BC9" i="23"/>
  <c r="S135" i="5"/>
  <c r="AJ10" i="23"/>
  <c r="R111" i="5"/>
  <c r="BB49" i="23"/>
  <c r="CU133" i="5"/>
  <c r="DG134" i="5"/>
  <c r="DW42" i="23"/>
  <c r="DB227" i="5"/>
  <c r="Q158" i="5"/>
  <c r="BG157" i="5"/>
  <c r="BT11" i="23"/>
  <c r="DP49" i="23"/>
  <c r="DG216" i="5"/>
  <c r="CX6" i="23"/>
  <c r="V195" i="5"/>
  <c r="BV7" i="23"/>
  <c r="U160" i="5"/>
  <c r="BM87" i="5"/>
  <c r="Q5" i="23"/>
  <c r="W88" i="5"/>
  <c r="BO76" i="5"/>
  <c r="G3" i="23"/>
  <c r="Y77" i="5"/>
  <c r="CV241" i="5"/>
  <c r="EB48" i="23" s="1"/>
  <c r="L43" i="5"/>
  <c r="L47" i="5" s="1"/>
  <c r="CV7" i="23"/>
  <c r="U192" i="5"/>
  <c r="X49" i="23"/>
  <c r="DG97" i="5"/>
  <c r="CY58" i="5"/>
  <c r="U13" i="23"/>
  <c r="BQ94" i="5"/>
  <c r="O94" i="5"/>
  <c r="BH13" i="23"/>
  <c r="BQ141" i="5"/>
  <c r="O141" i="5"/>
  <c r="AD8" i="23"/>
  <c r="BJ104" i="5"/>
  <c r="T105" i="5"/>
  <c r="BN219" i="5"/>
  <c r="DQ4" i="23"/>
  <c r="X220" i="5"/>
  <c r="CQ13" i="23"/>
  <c r="BQ186" i="5"/>
  <c r="O186" i="5"/>
  <c r="DI186" i="5"/>
  <c r="DP186" i="5"/>
  <c r="CQ18" i="24" s="1"/>
  <c r="DS186" i="5"/>
  <c r="CQ15" i="24" s="1"/>
  <c r="DR186" i="5"/>
  <c r="DH186" i="5" s="1"/>
  <c r="DQ186" i="5"/>
  <c r="CQ17" i="24" s="1"/>
  <c r="DK186" i="5"/>
  <c r="DJ186" i="5"/>
  <c r="CQ24" i="24" s="1"/>
  <c r="DT186" i="5"/>
  <c r="CQ14" i="24" s="1"/>
  <c r="DO186" i="5"/>
  <c r="DN186" i="5"/>
  <c r="CQ20" i="24" s="1"/>
  <c r="DM186" i="5"/>
  <c r="DL186" i="5"/>
  <c r="CQ22" i="24" s="1"/>
  <c r="BP46" i="23"/>
  <c r="CX150" i="5"/>
  <c r="R4" i="23"/>
  <c r="BN90" i="5"/>
  <c r="BR90" i="5" s="1"/>
  <c r="X91" i="5"/>
  <c r="AB91" i="5" s="1"/>
  <c r="J11" i="23"/>
  <c r="Q80" i="5"/>
  <c r="DC13" i="5"/>
  <c r="CS3" i="23"/>
  <c r="Y189" i="5"/>
  <c r="Z36" i="5"/>
  <c r="DM3" i="23"/>
  <c r="Y212" i="5"/>
  <c r="U35" i="5"/>
  <c r="D41" i="23"/>
  <c r="CI2" i="23"/>
  <c r="Z176" i="5"/>
  <c r="V46" i="5"/>
  <c r="DT45" i="23"/>
  <c r="CY223" i="5"/>
  <c r="CT13" i="23"/>
  <c r="BQ190" i="5"/>
  <c r="O190" i="5"/>
  <c r="BJ10" i="23"/>
  <c r="R143" i="5"/>
  <c r="BS119" i="5"/>
  <c r="AO5" i="24"/>
  <c r="AO10" i="24"/>
  <c r="AO7" i="24"/>
  <c r="AO3" i="24"/>
  <c r="AO9" i="24"/>
  <c r="AO4" i="24"/>
  <c r="AO8" i="24"/>
  <c r="AO12" i="24"/>
  <c r="AO2" i="24"/>
  <c r="AO11" i="24"/>
  <c r="AO6" i="24"/>
  <c r="V12" i="23"/>
  <c r="P95" i="5"/>
  <c r="N10" i="23"/>
  <c r="R84" i="5"/>
  <c r="DN12" i="23"/>
  <c r="P213" i="5"/>
  <c r="BM129" i="5"/>
  <c r="AY5" i="23"/>
  <c r="W130" i="5"/>
  <c r="BF27" i="5"/>
  <c r="P24" i="5"/>
  <c r="DA27" i="5"/>
  <c r="CX187" i="5"/>
  <c r="CR46" i="23"/>
  <c r="DI188" i="5"/>
  <c r="DP188" i="5"/>
  <c r="DT188" i="5"/>
  <c r="DS188" i="5"/>
  <c r="DQ188" i="5"/>
  <c r="DO188" i="5"/>
  <c r="AI188" i="5" s="1"/>
  <c r="DN188" i="5"/>
  <c r="AH188" i="5" s="1"/>
  <c r="DR188" i="5"/>
  <c r="DH188" i="5" s="1"/>
  <c r="DM188" i="5"/>
  <c r="AG188" i="5" s="1"/>
  <c r="DL188" i="5"/>
  <c r="DK188" i="5"/>
  <c r="AE188" i="5" s="1"/>
  <c r="DJ188" i="5"/>
  <c r="CZ116" i="5"/>
  <c r="AM44" i="23"/>
  <c r="T12" i="23"/>
  <c r="P93" i="5"/>
  <c r="CZ3" i="23"/>
  <c r="Y197" i="5"/>
  <c r="AV12" i="23"/>
  <c r="P126" i="5"/>
  <c r="AC11" i="23"/>
  <c r="Q102" i="5"/>
  <c r="S20" i="5"/>
  <c r="BQ173" i="5"/>
  <c r="BE172" i="5"/>
  <c r="O173" i="5"/>
  <c r="CF13" i="23"/>
  <c r="CF46" i="23"/>
  <c r="CX172" i="5"/>
  <c r="BE12" i="23"/>
  <c r="P137" i="5"/>
  <c r="BE10" i="23"/>
  <c r="R137" i="5"/>
  <c r="AU12" i="23"/>
  <c r="P125" i="5"/>
  <c r="BQ66" i="5"/>
  <c r="O66" i="5"/>
  <c r="CY29" i="5"/>
  <c r="BS183" i="5"/>
  <c r="CN5" i="24"/>
  <c r="CN11" i="24"/>
  <c r="CN8" i="24"/>
  <c r="CN9" i="24"/>
  <c r="CN10" i="24"/>
  <c r="CN12" i="24"/>
  <c r="CN6" i="24"/>
  <c r="CN7" i="24"/>
  <c r="CN2" i="24"/>
  <c r="CN4" i="24"/>
  <c r="CN3" i="24"/>
  <c r="BV182" i="5"/>
  <c r="BU182" i="5"/>
  <c r="CC182" i="5"/>
  <c r="CD182" i="5"/>
  <c r="CA182" i="5"/>
  <c r="BZ182" i="5"/>
  <c r="BY182" i="5"/>
  <c r="BW182" i="5"/>
  <c r="CB182" i="5"/>
  <c r="BX182" i="5"/>
  <c r="BT182" i="5"/>
  <c r="BC2" i="23"/>
  <c r="Z135" i="5"/>
  <c r="AJ5" i="23"/>
  <c r="W111" i="5"/>
  <c r="DX11" i="23"/>
  <c r="Q229" i="5"/>
  <c r="Y2" i="23"/>
  <c r="Z98" i="5"/>
  <c r="BS228" i="5"/>
  <c r="DW8" i="24"/>
  <c r="DW11" i="24"/>
  <c r="DW5" i="24"/>
  <c r="DW7" i="24"/>
  <c r="DW3" i="24"/>
  <c r="DW12" i="24"/>
  <c r="DW9" i="24"/>
  <c r="DW10" i="24"/>
  <c r="DW4" i="24"/>
  <c r="DW6" i="24"/>
  <c r="DW2" i="24"/>
  <c r="CA227" i="5"/>
  <c r="BZ227" i="5"/>
  <c r="CD227" i="5"/>
  <c r="CC227" i="5"/>
  <c r="CB227" i="5"/>
  <c r="BU227" i="5"/>
  <c r="BT227" i="5"/>
  <c r="BX227" i="5"/>
  <c r="BV227" i="5"/>
  <c r="BY227" i="5"/>
  <c r="BW227" i="5"/>
  <c r="Z49" i="23"/>
  <c r="DG99" i="5"/>
  <c r="BN157" i="5"/>
  <c r="BT4" i="23"/>
  <c r="X158" i="5"/>
  <c r="AB158" i="5" s="1"/>
  <c r="CX8" i="23"/>
  <c r="T195" i="5"/>
  <c r="AT2" i="23"/>
  <c r="Z124" i="5"/>
  <c r="AK10" i="23"/>
  <c r="R112" i="5"/>
  <c r="V88" i="5"/>
  <c r="BL87" i="5"/>
  <c r="Q6" i="23"/>
  <c r="G42" i="23"/>
  <c r="DB76" i="5"/>
  <c r="DH45" i="23"/>
  <c r="CY205" i="5"/>
  <c r="AS6" i="23"/>
  <c r="V123" i="5"/>
  <c r="Q244" i="5"/>
  <c r="CD11" i="23"/>
  <c r="Q170" i="5"/>
  <c r="AI4" i="23"/>
  <c r="X110" i="5"/>
  <c r="P243" i="5"/>
  <c r="BI214" i="5"/>
  <c r="DO9" i="23"/>
  <c r="S215" i="5"/>
  <c r="L115" i="1"/>
  <c r="DV4" i="23"/>
  <c r="X226" i="5"/>
  <c r="CV6" i="23"/>
  <c r="V192" i="5"/>
  <c r="DI192" i="5"/>
  <c r="DP192" i="5"/>
  <c r="CV18" i="24" s="1"/>
  <c r="DQ192" i="5"/>
  <c r="CV17" i="24" s="1"/>
  <c r="DO192" i="5"/>
  <c r="DN192" i="5"/>
  <c r="DT192" i="5"/>
  <c r="DS192" i="5"/>
  <c r="DR192" i="5"/>
  <c r="CV16" i="24" s="1"/>
  <c r="DM192" i="5"/>
  <c r="CV21" i="24" s="1"/>
  <c r="DL192" i="5"/>
  <c r="DK192" i="5"/>
  <c r="DJ192" i="5"/>
  <c r="CC11" i="23"/>
  <c r="Q169" i="5"/>
  <c r="BL9" i="23"/>
  <c r="S145" i="5"/>
  <c r="CA5" i="23"/>
  <c r="W167" i="5"/>
  <c r="DC2" i="23"/>
  <c r="Z200" i="5"/>
  <c r="AD7" i="23"/>
  <c r="U105" i="5"/>
  <c r="BK104" i="5"/>
  <c r="AX6" i="23"/>
  <c r="V128" i="5"/>
  <c r="DG247" i="5"/>
  <c r="BO219" i="5"/>
  <c r="DQ3" i="23"/>
  <c r="Y220" i="5"/>
  <c r="BM150" i="5"/>
  <c r="BP5" i="23"/>
  <c r="W151" i="5"/>
  <c r="BF43" i="23"/>
  <c r="DA138" i="5"/>
  <c r="W45" i="5"/>
  <c r="BQ21" i="5"/>
  <c r="O21" i="5"/>
  <c r="DG21" i="5"/>
  <c r="DF8" i="23"/>
  <c r="T203" i="5"/>
  <c r="DI180" i="5"/>
  <c r="DP180" i="5"/>
  <c r="DT180" i="5"/>
  <c r="DR180" i="5"/>
  <c r="DQ180" i="5"/>
  <c r="DO180" i="5"/>
  <c r="CL19" i="24" s="1"/>
  <c r="DS180" i="5"/>
  <c r="CL15" i="24" s="1"/>
  <c r="DN180" i="5"/>
  <c r="CL20" i="24" s="1"/>
  <c r="DM180" i="5"/>
  <c r="CL21" i="24" s="1"/>
  <c r="DL180" i="5"/>
  <c r="CL22" i="24" s="1"/>
  <c r="DK180" i="5"/>
  <c r="DJ180" i="5"/>
  <c r="AP2" i="23"/>
  <c r="Z120" i="5"/>
  <c r="AG8" i="23"/>
  <c r="T108" i="5"/>
  <c r="W12" i="23"/>
  <c r="P96" i="5"/>
  <c r="DR96" i="5"/>
  <c r="W16" i="24" s="1"/>
  <c r="DQ96" i="5"/>
  <c r="W17" i="24" s="1"/>
  <c r="DT96" i="5"/>
  <c r="W14" i="24" s="1"/>
  <c r="DS96" i="5"/>
  <c r="W15" i="24" s="1"/>
  <c r="DP96" i="5"/>
  <c r="DO96" i="5"/>
  <c r="DN96" i="5"/>
  <c r="W20" i="24" s="1"/>
  <c r="DM96" i="5"/>
  <c r="DL96" i="5"/>
  <c r="DJ96" i="5"/>
  <c r="W24" i="24" s="1"/>
  <c r="DI96" i="5"/>
  <c r="DK96" i="5"/>
  <c r="W23" i="24" s="1"/>
  <c r="CK6" i="23"/>
  <c r="BL178" i="5"/>
  <c r="V179" i="5"/>
  <c r="CS2" i="23"/>
  <c r="Z189" i="5"/>
  <c r="BI11" i="23"/>
  <c r="Q142" i="5"/>
  <c r="AE4" i="23"/>
  <c r="X106" i="5"/>
  <c r="R36" i="5"/>
  <c r="BY2" i="23"/>
  <c r="Z165" i="5"/>
  <c r="BP164" i="5"/>
  <c r="BQ35" i="5"/>
  <c r="O35" i="5"/>
  <c r="DR3" i="23"/>
  <c r="Y221" i="5"/>
  <c r="BQ3" i="23"/>
  <c r="Y152" i="5"/>
  <c r="P224" i="5"/>
  <c r="DT12" i="23"/>
  <c r="BF223" i="5"/>
  <c r="BJ8" i="23"/>
  <c r="T143" i="5"/>
  <c r="AZ6" i="23"/>
  <c r="V131" i="5"/>
  <c r="AO2" i="23"/>
  <c r="Z119" i="5"/>
  <c r="DI119" i="5"/>
  <c r="DN119" i="5"/>
  <c r="AO20" i="24" s="1"/>
  <c r="DM119" i="5"/>
  <c r="DO119" i="5"/>
  <c r="DL119" i="5"/>
  <c r="DK119" i="5"/>
  <c r="DT119" i="5"/>
  <c r="DS119" i="5"/>
  <c r="AO15" i="24" s="1"/>
  <c r="DR119" i="5"/>
  <c r="DQ119" i="5"/>
  <c r="AO17" i="24" s="1"/>
  <c r="DJ119" i="5"/>
  <c r="DP119" i="5"/>
  <c r="AO18" i="24" s="1"/>
  <c r="V11" i="23"/>
  <c r="Q95" i="5"/>
  <c r="N9" i="23"/>
  <c r="S84" i="5"/>
  <c r="BN129" i="5"/>
  <c r="BR129" i="5" s="1"/>
  <c r="AY4" i="23"/>
  <c r="X130" i="5"/>
  <c r="AB130" i="5" s="1"/>
  <c r="AN6" i="23"/>
  <c r="V118" i="5"/>
  <c r="M9" i="23"/>
  <c r="S83" i="5"/>
  <c r="BH27" i="5"/>
  <c r="R24" i="5"/>
  <c r="BN187" i="5"/>
  <c r="CR4" i="23"/>
  <c r="X188" i="5"/>
  <c r="CP2" i="23"/>
  <c r="Z185" i="5"/>
  <c r="Y67" i="5"/>
  <c r="DJ9" i="23"/>
  <c r="S208" i="5"/>
  <c r="CY5" i="23"/>
  <c r="W196" i="5"/>
  <c r="CF40" i="23"/>
  <c r="DD172" i="5"/>
  <c r="DI173" i="5"/>
  <c r="DP173" i="5"/>
  <c r="AJ173" i="5" s="1"/>
  <c r="DT173" i="5"/>
  <c r="AN173" i="5" s="1"/>
  <c r="DS173" i="5"/>
  <c r="AM173" i="5" s="1"/>
  <c r="DR173" i="5"/>
  <c r="DH173" i="5" s="1"/>
  <c r="DQ173" i="5"/>
  <c r="DO173" i="5"/>
  <c r="AI173" i="5" s="1"/>
  <c r="DN173" i="5"/>
  <c r="AH173" i="5" s="1"/>
  <c r="DM173" i="5"/>
  <c r="AG173" i="5" s="1"/>
  <c r="DL173" i="5"/>
  <c r="AF173" i="5" s="1"/>
  <c r="DK173" i="5"/>
  <c r="AE173" i="5" s="1"/>
  <c r="DJ173" i="5"/>
  <c r="BO4" i="23"/>
  <c r="X149" i="5"/>
  <c r="BE9" i="23"/>
  <c r="S137" i="5"/>
  <c r="AU11" i="23"/>
  <c r="Q125" i="5"/>
  <c r="BJ57" i="5"/>
  <c r="T55" i="5"/>
  <c r="T57" i="5" s="1"/>
  <c r="R31" i="5"/>
  <c r="BH29" i="5"/>
  <c r="DE193" i="5"/>
  <c r="CW39" i="23"/>
  <c r="CE5" i="23"/>
  <c r="W171" i="5"/>
  <c r="AJ9" i="23"/>
  <c r="S111" i="5"/>
  <c r="BB12" i="23"/>
  <c r="BF133" i="5"/>
  <c r="P134" i="5"/>
  <c r="DF227" i="5"/>
  <c r="DW38" i="23"/>
  <c r="DF146" i="5"/>
  <c r="BM38" i="23"/>
  <c r="Z64" i="5"/>
  <c r="BO157" i="5"/>
  <c r="BT3" i="23"/>
  <c r="Y158" i="5"/>
  <c r="DI12" i="23"/>
  <c r="P207" i="5"/>
  <c r="CX7" i="23"/>
  <c r="U195" i="5"/>
  <c r="BS148" i="5"/>
  <c r="BN5" i="24"/>
  <c r="BN4" i="24"/>
  <c r="BN6" i="24"/>
  <c r="BN2" i="24"/>
  <c r="BN10" i="24"/>
  <c r="BN7" i="24"/>
  <c r="BN9" i="24"/>
  <c r="BN11" i="24"/>
  <c r="BN3" i="24"/>
  <c r="BN12" i="24"/>
  <c r="BN8" i="24"/>
  <c r="AT12" i="23"/>
  <c r="P124" i="5"/>
  <c r="AK13" i="23"/>
  <c r="O112" i="5"/>
  <c r="BQ112" i="5"/>
  <c r="AA2" i="23"/>
  <c r="Z100" i="5"/>
  <c r="DS245" i="5"/>
  <c r="AM245" i="5" s="1"/>
  <c r="DR245" i="5"/>
  <c r="AL245" i="5" s="1"/>
  <c r="DQ245" i="5"/>
  <c r="AK245" i="5" s="1"/>
  <c r="DP245" i="5"/>
  <c r="AJ245" i="5" s="1"/>
  <c r="DO245" i="5"/>
  <c r="AI245" i="5" s="1"/>
  <c r="DN245" i="5"/>
  <c r="AH245" i="5" s="1"/>
  <c r="DM245" i="5"/>
  <c r="AG245" i="5" s="1"/>
  <c r="DL245" i="5"/>
  <c r="AF245" i="5" s="1"/>
  <c r="DK245" i="5"/>
  <c r="AE245" i="5" s="1"/>
  <c r="DJ245" i="5"/>
  <c r="AD245" i="5" s="1"/>
  <c r="DI245" i="5"/>
  <c r="DT245" i="5"/>
  <c r="AN245" i="5" s="1"/>
  <c r="BU3" i="23"/>
  <c r="Y159" i="5"/>
  <c r="T244" i="5"/>
  <c r="T40" i="5"/>
  <c r="DE214" i="5"/>
  <c r="DO39" i="23"/>
  <c r="AO54" i="1"/>
  <c r="DV2" i="23"/>
  <c r="Z226" i="5"/>
  <c r="DG5" i="23"/>
  <c r="W204" i="5"/>
  <c r="CV2" i="23"/>
  <c r="Z192" i="5"/>
  <c r="CM49" i="23"/>
  <c r="DG181" i="5"/>
  <c r="BS181" i="5"/>
  <c r="CM8" i="24"/>
  <c r="CM11" i="24"/>
  <c r="CM9" i="24"/>
  <c r="CM10" i="24"/>
  <c r="CM12" i="24"/>
  <c r="CM6" i="24"/>
  <c r="CM5" i="24"/>
  <c r="CM7" i="24"/>
  <c r="CM2" i="24"/>
  <c r="CM4" i="24"/>
  <c r="CM3" i="24"/>
  <c r="CC8" i="23"/>
  <c r="T169" i="5"/>
  <c r="AQ11" i="23"/>
  <c r="Q121" i="5"/>
  <c r="AH5" i="23"/>
  <c r="W109" i="5"/>
  <c r="X2" i="23"/>
  <c r="Z97" i="5"/>
  <c r="X8" i="23"/>
  <c r="T97" i="5"/>
  <c r="P11" i="23"/>
  <c r="Q86" i="5"/>
  <c r="P3" i="23"/>
  <c r="Y86" i="5"/>
  <c r="BS86" i="5"/>
  <c r="P6" i="24"/>
  <c r="P5" i="24"/>
  <c r="P2" i="24"/>
  <c r="P3" i="24"/>
  <c r="P12" i="24"/>
  <c r="P8" i="24"/>
  <c r="P4" i="24"/>
  <c r="P9" i="24"/>
  <c r="P10" i="24"/>
  <c r="P11" i="24"/>
  <c r="P7" i="24"/>
  <c r="BN54" i="5"/>
  <c r="BR54" i="5" s="1"/>
  <c r="X51" i="5"/>
  <c r="BI54" i="5"/>
  <c r="S51" i="5"/>
  <c r="S54" i="5" s="1"/>
  <c r="CY38" i="5"/>
  <c r="DD38" i="5"/>
  <c r="DH38" i="5" s="1"/>
  <c r="P15" i="5"/>
  <c r="R15" i="5"/>
  <c r="U12" i="23"/>
  <c r="P94" i="5"/>
  <c r="U10" i="23"/>
  <c r="R94" i="5"/>
  <c r="K75" i="1"/>
  <c r="CJ8" i="23"/>
  <c r="T177" i="5"/>
  <c r="BH12" i="23"/>
  <c r="P141" i="5"/>
  <c r="AD5" i="23"/>
  <c r="BM104" i="5"/>
  <c r="W105" i="5"/>
  <c r="AD10" i="23"/>
  <c r="BH104" i="5"/>
  <c r="R105" i="5"/>
  <c r="BG49" i="23"/>
  <c r="DG140" i="5"/>
  <c r="BG13" i="23"/>
  <c r="O140" i="5"/>
  <c r="BQ140" i="5"/>
  <c r="DI140" i="5"/>
  <c r="DP140" i="5"/>
  <c r="DT140" i="5"/>
  <c r="BG14" i="24" s="1"/>
  <c r="DO140" i="5"/>
  <c r="DN140" i="5"/>
  <c r="BG20" i="24" s="1"/>
  <c r="DM140" i="5"/>
  <c r="DL140" i="5"/>
  <c r="BG22" i="24" s="1"/>
  <c r="DJ140" i="5"/>
  <c r="BG24" i="24" s="1"/>
  <c r="DS140" i="5"/>
  <c r="BG15" i="24" s="1"/>
  <c r="DR140" i="5"/>
  <c r="DK140" i="5"/>
  <c r="DQ140" i="5"/>
  <c r="BG17" i="24" s="1"/>
  <c r="AX13" i="23"/>
  <c r="BQ128" i="5"/>
  <c r="O128" i="5"/>
  <c r="S49" i="23"/>
  <c r="DG92" i="5"/>
  <c r="K6" i="23"/>
  <c r="V81" i="5"/>
  <c r="DD219" i="5"/>
  <c r="DQ40" i="23"/>
  <c r="CV219" i="5"/>
  <c r="DQ48" i="23"/>
  <c r="DK49" i="23"/>
  <c r="CU209" i="5"/>
  <c r="DG210" i="5"/>
  <c r="DD209" i="5"/>
  <c r="DK40" i="23"/>
  <c r="DA7" i="23"/>
  <c r="U198" i="5"/>
  <c r="CQ5" i="23"/>
  <c r="W186" i="5"/>
  <c r="CQ11" i="23"/>
  <c r="Q186" i="5"/>
  <c r="CH49" i="23"/>
  <c r="DG175" i="5"/>
  <c r="DI175" i="5"/>
  <c r="DP175" i="5"/>
  <c r="DL175" i="5"/>
  <c r="DK175" i="5"/>
  <c r="DO175" i="5"/>
  <c r="CH19" i="24" s="1"/>
  <c r="DN175" i="5"/>
  <c r="DM175" i="5"/>
  <c r="DT175" i="5"/>
  <c r="CH14" i="24" s="1"/>
  <c r="DS175" i="5"/>
  <c r="CH15" i="24" s="1"/>
  <c r="DQ175" i="5"/>
  <c r="DR175" i="5"/>
  <c r="DJ175" i="5"/>
  <c r="CH24" i="24" s="1"/>
  <c r="DD150" i="5"/>
  <c r="BP40" i="23"/>
  <c r="BP42" i="23"/>
  <c r="DB150" i="5"/>
  <c r="BF12" i="23"/>
  <c r="P139" i="5"/>
  <c r="BF138" i="5"/>
  <c r="DD138" i="5"/>
  <c r="BF40" i="23"/>
  <c r="BP90" i="5"/>
  <c r="R2" i="23"/>
  <c r="Z91" i="5"/>
  <c r="BI90" i="5"/>
  <c r="R9" i="23"/>
  <c r="S91" i="5"/>
  <c r="J7" i="23"/>
  <c r="U80" i="5"/>
  <c r="J10" i="23"/>
  <c r="R80" i="5"/>
  <c r="W68" i="5"/>
  <c r="T45" i="5"/>
  <c r="P45" i="5"/>
  <c r="DU6" i="23"/>
  <c r="V225" i="5"/>
  <c r="DF7" i="23"/>
  <c r="U203" i="5"/>
  <c r="CU10" i="23"/>
  <c r="R191" i="5"/>
  <c r="CB13" i="23"/>
  <c r="BQ168" i="5"/>
  <c r="O168" i="5"/>
  <c r="CB5" i="23"/>
  <c r="W168" i="5"/>
  <c r="BS168" i="5"/>
  <c r="CB4" i="24"/>
  <c r="CB6" i="24"/>
  <c r="CB10" i="24"/>
  <c r="CB5" i="24"/>
  <c r="CB3" i="24"/>
  <c r="CB9" i="24"/>
  <c r="CB11" i="24"/>
  <c r="CB2" i="24"/>
  <c r="CB8" i="24"/>
  <c r="CB7" i="24"/>
  <c r="CB12" i="24"/>
  <c r="BA7" i="23"/>
  <c r="U132" i="5"/>
  <c r="AP6" i="23"/>
  <c r="V120" i="5"/>
  <c r="AG7" i="23"/>
  <c r="U108" i="5"/>
  <c r="AG3" i="23"/>
  <c r="Y108" i="5"/>
  <c r="W4" i="23"/>
  <c r="X96" i="5"/>
  <c r="BS85" i="5"/>
  <c r="O10" i="24"/>
  <c r="O2" i="24"/>
  <c r="O6" i="24"/>
  <c r="O8" i="24"/>
  <c r="O4" i="24"/>
  <c r="O5" i="24"/>
  <c r="O11" i="24"/>
  <c r="O3" i="24"/>
  <c r="O12" i="24"/>
  <c r="O7" i="24"/>
  <c r="O9" i="24"/>
  <c r="BG60" i="5"/>
  <c r="Q61" i="5"/>
  <c r="S26" i="5"/>
  <c r="DD13" i="5"/>
  <c r="CX13" i="5"/>
  <c r="CX6" i="5" s="1"/>
  <c r="BM178" i="5"/>
  <c r="CK5" i="23"/>
  <c r="W179" i="5"/>
  <c r="DC178" i="5"/>
  <c r="CK41" i="23"/>
  <c r="DI189" i="5"/>
  <c r="DP189" i="5"/>
  <c r="CS18" i="24" s="1"/>
  <c r="DJ189" i="5"/>
  <c r="DT189" i="5"/>
  <c r="DL189" i="5"/>
  <c r="DS189" i="5"/>
  <c r="CS15" i="24" s="1"/>
  <c r="DR189" i="5"/>
  <c r="DQ189" i="5"/>
  <c r="CS17" i="24" s="1"/>
  <c r="DO189" i="5"/>
  <c r="DN189" i="5"/>
  <c r="DM189" i="5"/>
  <c r="DK189" i="5"/>
  <c r="AE3" i="23"/>
  <c r="Y106" i="5"/>
  <c r="U36" i="5"/>
  <c r="DM9" i="23"/>
  <c r="S212" i="5"/>
  <c r="DC164" i="5"/>
  <c r="BY41" i="23"/>
  <c r="S165" i="5"/>
  <c r="BI164" i="5"/>
  <c r="BY9" i="23"/>
  <c r="D40" i="23"/>
  <c r="D45" i="23"/>
  <c r="DR49" i="23"/>
  <c r="DG221" i="5"/>
  <c r="DL3" i="23"/>
  <c r="Y211" i="5"/>
  <c r="CI12" i="23"/>
  <c r="P176" i="5"/>
  <c r="BQ2" i="23"/>
  <c r="Z152" i="5"/>
  <c r="X69" i="5"/>
  <c r="AB69" i="5" s="1"/>
  <c r="BQ69" i="5"/>
  <c r="O69" i="5"/>
  <c r="X46" i="5"/>
  <c r="AB46" i="5" s="1"/>
  <c r="DT10" i="23"/>
  <c r="BH223" i="5"/>
  <c r="R224" i="5"/>
  <c r="DG224" i="5"/>
  <c r="CU223" i="5"/>
  <c r="DT49" i="23"/>
  <c r="BS224" i="5"/>
  <c r="DT6" i="24"/>
  <c r="DT7" i="24"/>
  <c r="DT2" i="24"/>
  <c r="DT3" i="24"/>
  <c r="DT10" i="24"/>
  <c r="DT12" i="24"/>
  <c r="DT4" i="24"/>
  <c r="DT11" i="24"/>
  <c r="DT8" i="24"/>
  <c r="DT9" i="24"/>
  <c r="DT5" i="24"/>
  <c r="CB223" i="5"/>
  <c r="CA223" i="5"/>
  <c r="CC223" i="5"/>
  <c r="BY223" i="5"/>
  <c r="BZ223" i="5"/>
  <c r="CD223" i="5"/>
  <c r="BV223" i="5"/>
  <c r="BT223" i="5"/>
  <c r="BX223" i="5"/>
  <c r="BW223" i="5"/>
  <c r="BU223" i="5"/>
  <c r="DE13" i="23"/>
  <c r="BQ202" i="5"/>
  <c r="O202" i="5"/>
  <c r="CT12" i="23"/>
  <c r="P190" i="5"/>
  <c r="BJ7" i="23"/>
  <c r="U143" i="5"/>
  <c r="BJ9" i="23"/>
  <c r="S143" i="5"/>
  <c r="AZ5" i="23"/>
  <c r="W131" i="5"/>
  <c r="AZ10" i="23"/>
  <c r="R131" i="5"/>
  <c r="AO13" i="23"/>
  <c r="BQ119" i="5"/>
  <c r="O119" i="5"/>
  <c r="AF6" i="23"/>
  <c r="V107" i="5"/>
  <c r="AF5" i="23"/>
  <c r="W107" i="5"/>
  <c r="BS107" i="5"/>
  <c r="AF7" i="24"/>
  <c r="AF2" i="24"/>
  <c r="AF5" i="24"/>
  <c r="AF8" i="24"/>
  <c r="AF12" i="24"/>
  <c r="AF4" i="24"/>
  <c r="AF6" i="24"/>
  <c r="AF11" i="24"/>
  <c r="AF9" i="24"/>
  <c r="AF10" i="24"/>
  <c r="AF3" i="24"/>
  <c r="N13" i="23"/>
  <c r="O84" i="5"/>
  <c r="BQ84" i="5"/>
  <c r="N49" i="23"/>
  <c r="DG84" i="5"/>
  <c r="X25" i="5"/>
  <c r="R25" i="5"/>
  <c r="DN13" i="23"/>
  <c r="O213" i="5"/>
  <c r="BQ213" i="5"/>
  <c r="DN11" i="23"/>
  <c r="Q213" i="5"/>
  <c r="BZ8" i="23"/>
  <c r="T166" i="5"/>
  <c r="CV129" i="5"/>
  <c r="AY48" i="23"/>
  <c r="BO129" i="5"/>
  <c r="AY3" i="23"/>
  <c r="Y130" i="5"/>
  <c r="DI130" i="5"/>
  <c r="DP130" i="5"/>
  <c r="AJ130" i="5" s="1"/>
  <c r="DQ130" i="5"/>
  <c r="AK130" i="5" s="1"/>
  <c r="DO130" i="5"/>
  <c r="AI130" i="5" s="1"/>
  <c r="DR130" i="5"/>
  <c r="AL130" i="5" s="1"/>
  <c r="DM130" i="5"/>
  <c r="AG130" i="5" s="1"/>
  <c r="DL130" i="5"/>
  <c r="AF130" i="5" s="1"/>
  <c r="DK130" i="5"/>
  <c r="AE130" i="5" s="1"/>
  <c r="DJ130" i="5"/>
  <c r="AD130" i="5" s="1"/>
  <c r="DT130" i="5"/>
  <c r="AN130" i="5" s="1"/>
  <c r="DN130" i="5"/>
  <c r="AH130" i="5" s="1"/>
  <c r="DS130" i="5"/>
  <c r="M3" i="23"/>
  <c r="Y83" i="5"/>
  <c r="BG27" i="5"/>
  <c r="Q24" i="5"/>
  <c r="CX27" i="5"/>
  <c r="DS4" i="23"/>
  <c r="X222" i="5"/>
  <c r="DS7" i="23"/>
  <c r="U222" i="5"/>
  <c r="DC187" i="5"/>
  <c r="CR41" i="23"/>
  <c r="CR44" i="23"/>
  <c r="CZ187" i="5"/>
  <c r="BR12" i="23"/>
  <c r="P153" i="5"/>
  <c r="DI153" i="5"/>
  <c r="DP153" i="5"/>
  <c r="DS153" i="5"/>
  <c r="DR153" i="5"/>
  <c r="BR16" i="24" s="1"/>
  <c r="DT153" i="5"/>
  <c r="BR14" i="24" s="1"/>
  <c r="DQ153" i="5"/>
  <c r="DN153" i="5"/>
  <c r="BR20" i="24" s="1"/>
  <c r="DM153" i="5"/>
  <c r="DL153" i="5"/>
  <c r="DK153" i="5"/>
  <c r="DJ153" i="5"/>
  <c r="DO153" i="5"/>
  <c r="DE116" i="5"/>
  <c r="AM39" i="23"/>
  <c r="DB116" i="5"/>
  <c r="AM42" i="23"/>
  <c r="T2" i="23"/>
  <c r="Z93" i="5"/>
  <c r="L9" i="23"/>
  <c r="S82" i="5"/>
  <c r="AW3" i="23"/>
  <c r="Y127" i="5"/>
  <c r="S246" i="5"/>
  <c r="V246" i="5"/>
  <c r="BS246" i="5"/>
  <c r="CZ49" i="23"/>
  <c r="DG197" i="5"/>
  <c r="CG4" i="23"/>
  <c r="X174" i="5"/>
  <c r="CG7" i="23"/>
  <c r="U174" i="5"/>
  <c r="DI174" i="5"/>
  <c r="DP174" i="5"/>
  <c r="DJ174" i="5"/>
  <c r="CG24" i="24" s="1"/>
  <c r="DK174" i="5"/>
  <c r="CG23" i="24" s="1"/>
  <c r="DN174" i="5"/>
  <c r="DL174" i="5"/>
  <c r="DT174" i="5"/>
  <c r="DS174" i="5"/>
  <c r="CG15" i="24" s="1"/>
  <c r="DR174" i="5"/>
  <c r="CG16" i="24" s="1"/>
  <c r="DQ174" i="5"/>
  <c r="DO174" i="5"/>
  <c r="CG19" i="24" s="1"/>
  <c r="DM174" i="5"/>
  <c r="AV5" i="23"/>
  <c r="W126" i="5"/>
  <c r="AC10" i="23"/>
  <c r="R102" i="5"/>
  <c r="Z67" i="5"/>
  <c r="Y44" i="5"/>
  <c r="Y20" i="5"/>
  <c r="DG20" i="5"/>
  <c r="DJ49" i="23"/>
  <c r="DG208" i="5"/>
  <c r="DJ3" i="23"/>
  <c r="Y208" i="5"/>
  <c r="CO6" i="23"/>
  <c r="V184" i="5"/>
  <c r="CO49" i="23"/>
  <c r="DG184" i="5"/>
  <c r="CF4" i="23"/>
  <c r="BN172" i="5"/>
  <c r="BR172" i="5" s="1"/>
  <c r="X173" i="5"/>
  <c r="CF44" i="23"/>
  <c r="CZ172" i="5"/>
  <c r="BW13" i="23"/>
  <c r="O161" i="5"/>
  <c r="BQ161" i="5"/>
  <c r="BW10" i="24"/>
  <c r="BW6" i="24"/>
  <c r="BW7" i="24"/>
  <c r="BW9" i="24"/>
  <c r="BW4" i="24"/>
  <c r="BW8" i="24"/>
  <c r="BW5" i="24"/>
  <c r="BW12" i="24"/>
  <c r="BW3" i="24"/>
  <c r="BW2" i="24"/>
  <c r="BW11" i="24"/>
  <c r="BS161" i="5"/>
  <c r="BE8" i="23"/>
  <c r="T137" i="5"/>
  <c r="AU10" i="23"/>
  <c r="R125" i="5"/>
  <c r="AL4" i="23"/>
  <c r="X113" i="5"/>
  <c r="AB11" i="23"/>
  <c r="Q101" i="5"/>
  <c r="AB49" i="23"/>
  <c r="DG101" i="5"/>
  <c r="Z89" i="5"/>
  <c r="H7" i="23"/>
  <c r="U78" i="5"/>
  <c r="P66" i="5"/>
  <c r="DA29" i="5"/>
  <c r="DD29" i="5"/>
  <c r="DH29" i="5" s="1"/>
  <c r="R19" i="5"/>
  <c r="BL193" i="5"/>
  <c r="CW6" i="23"/>
  <c r="V194" i="5"/>
  <c r="CW10" i="23"/>
  <c r="BH193" i="5"/>
  <c r="R194" i="5"/>
  <c r="BG182" i="5"/>
  <c r="Q183" i="5"/>
  <c r="CN11" i="23"/>
  <c r="BN182" i="5"/>
  <c r="CN4" i="23"/>
  <c r="X183" i="5"/>
  <c r="BS171" i="5"/>
  <c r="CE9" i="24"/>
  <c r="CE12" i="24"/>
  <c r="CE11" i="24"/>
  <c r="CE4" i="24"/>
  <c r="CE7" i="24"/>
  <c r="CE10" i="24"/>
  <c r="CE2" i="24"/>
  <c r="CE3" i="24"/>
  <c r="CE5" i="24"/>
  <c r="CE8" i="24"/>
  <c r="CE6" i="24"/>
  <c r="AK171" i="5"/>
  <c r="AI171" i="5"/>
  <c r="AL171" i="5"/>
  <c r="AD171" i="5"/>
  <c r="AJ171" i="5"/>
  <c r="AH171" i="5"/>
  <c r="AG171" i="5"/>
  <c r="AF171" i="5"/>
  <c r="AE171" i="5"/>
  <c r="AM171" i="5"/>
  <c r="AN171" i="5"/>
  <c r="BC12" i="23"/>
  <c r="P135" i="5"/>
  <c r="AJ4" i="23"/>
  <c r="X111" i="5"/>
  <c r="DX10" i="23"/>
  <c r="R229" i="5"/>
  <c r="DX13" i="23"/>
  <c r="BQ229" i="5"/>
  <c r="O229" i="5"/>
  <c r="BB6" i="23"/>
  <c r="V134" i="5"/>
  <c r="BL133" i="5"/>
  <c r="DD133" i="5"/>
  <c r="BB40" i="23"/>
  <c r="DR98" i="5"/>
  <c r="DH98" i="5" s="1"/>
  <c r="DQ98" i="5"/>
  <c r="Y17" i="24" s="1"/>
  <c r="DK98" i="5"/>
  <c r="Y23" i="24" s="1"/>
  <c r="DJ98" i="5"/>
  <c r="Y24" i="24" s="1"/>
  <c r="DI98" i="5"/>
  <c r="DS98" i="5"/>
  <c r="Y15" i="24" s="1"/>
  <c r="DO98" i="5"/>
  <c r="Y19" i="24" s="1"/>
  <c r="DN98" i="5"/>
  <c r="Y20" i="24" s="1"/>
  <c r="DM98" i="5"/>
  <c r="Y21" i="24" s="1"/>
  <c r="DL98" i="5"/>
  <c r="Y22" i="24" s="1"/>
  <c r="DT98" i="5"/>
  <c r="Y14" i="24" s="1"/>
  <c r="DP98" i="5"/>
  <c r="Y18" i="24" s="1"/>
  <c r="BQ63" i="5"/>
  <c r="O63" i="5"/>
  <c r="DW10" i="23"/>
  <c r="BH227" i="5"/>
  <c r="R228" i="5"/>
  <c r="DW43" i="23"/>
  <c r="DA227" i="5"/>
  <c r="BM13" i="23"/>
  <c r="BQ147" i="5"/>
  <c r="O147" i="5"/>
  <c r="BE146" i="5"/>
  <c r="CY146" i="5"/>
  <c r="BM45" i="23"/>
  <c r="Z13" i="23"/>
  <c r="BQ99" i="5"/>
  <c r="O99" i="5"/>
  <c r="U64" i="5"/>
  <c r="P41" i="5"/>
  <c r="Y41" i="5"/>
  <c r="BP157" i="5"/>
  <c r="BT2" i="23"/>
  <c r="Z158" i="5"/>
  <c r="BT47" i="23"/>
  <c r="CW157" i="5"/>
  <c r="AR13" i="23"/>
  <c r="BQ122" i="5"/>
  <c r="O122" i="5"/>
  <c r="BS122" i="5"/>
  <c r="AR11" i="24"/>
  <c r="AR6" i="24"/>
  <c r="AR2" i="24"/>
  <c r="AR7" i="24"/>
  <c r="AR10" i="24"/>
  <c r="AR3" i="24"/>
  <c r="AR9" i="24"/>
  <c r="AR8" i="24"/>
  <c r="AR5" i="24"/>
  <c r="AR12" i="24"/>
  <c r="AR4" i="24"/>
  <c r="DP4" i="23"/>
  <c r="X216" i="5"/>
  <c r="DP3" i="23"/>
  <c r="Y216" i="5"/>
  <c r="DI3" i="23"/>
  <c r="Y207" i="5"/>
  <c r="CX10" i="23"/>
  <c r="R195" i="5"/>
  <c r="BV49" i="23"/>
  <c r="DG160" i="5"/>
  <c r="DI148" i="5"/>
  <c r="DP148" i="5"/>
  <c r="BN18" i="24" s="1"/>
  <c r="DJ148" i="5"/>
  <c r="BN24" i="24" s="1"/>
  <c r="DR148" i="5"/>
  <c r="DQ148" i="5"/>
  <c r="DO148" i="5"/>
  <c r="DS148" i="5"/>
  <c r="DN148" i="5"/>
  <c r="BN20" i="24" s="1"/>
  <c r="DM148" i="5"/>
  <c r="DL148" i="5"/>
  <c r="BN22" i="24" s="1"/>
  <c r="DK148" i="5"/>
  <c r="BN23" i="24" s="1"/>
  <c r="DT148" i="5"/>
  <c r="AT7" i="23"/>
  <c r="U124" i="5"/>
  <c r="AT9" i="23"/>
  <c r="S124" i="5"/>
  <c r="AK9" i="23"/>
  <c r="S112" i="5"/>
  <c r="AA10" i="23"/>
  <c r="R100" i="5"/>
  <c r="BF87" i="5"/>
  <c r="Q12" i="23"/>
  <c r="P88" i="5"/>
  <c r="DD87" i="5"/>
  <c r="Q40" i="23"/>
  <c r="G6" i="23"/>
  <c r="V77" i="5"/>
  <c r="BL76" i="5"/>
  <c r="BJ76" i="5"/>
  <c r="G8" i="23"/>
  <c r="T77" i="5"/>
  <c r="DR77" i="5"/>
  <c r="AL77" i="5" s="1"/>
  <c r="DQ77" i="5"/>
  <c r="AK77" i="5" s="1"/>
  <c r="DK77" i="5"/>
  <c r="AE77" i="5" s="1"/>
  <c r="DJ77" i="5"/>
  <c r="AD77" i="5" s="1"/>
  <c r="DT77" i="5"/>
  <c r="DS77" i="5"/>
  <c r="AM77" i="5" s="1"/>
  <c r="DP77" i="5"/>
  <c r="AJ77" i="5" s="1"/>
  <c r="DO77" i="5"/>
  <c r="AI77" i="5" s="1"/>
  <c r="DN77" i="5"/>
  <c r="AH77" i="5" s="1"/>
  <c r="DM77" i="5"/>
  <c r="AG77" i="5" s="1"/>
  <c r="DL77" i="5"/>
  <c r="DI77" i="5"/>
  <c r="U65" i="5"/>
  <c r="X42" i="5"/>
  <c r="AB42" i="5" s="1"/>
  <c r="W245" i="5"/>
  <c r="DH46" i="23"/>
  <c r="CX205" i="5"/>
  <c r="DG206" i="5"/>
  <c r="CU205" i="5"/>
  <c r="DH49" i="23"/>
  <c r="BS206" i="5"/>
  <c r="DH3" i="24"/>
  <c r="DH12" i="24"/>
  <c r="DH5" i="24"/>
  <c r="DH11" i="24"/>
  <c r="DH6" i="24"/>
  <c r="DH8" i="24"/>
  <c r="DH7" i="24"/>
  <c r="DH2" i="24"/>
  <c r="DH4" i="24"/>
  <c r="DH9" i="24"/>
  <c r="DH10" i="24"/>
  <c r="CD205" i="5"/>
  <c r="BV205" i="5"/>
  <c r="BT205" i="5"/>
  <c r="BU205" i="5"/>
  <c r="CA205" i="5"/>
  <c r="BZ205" i="5"/>
  <c r="BY205" i="5"/>
  <c r="BW205" i="5"/>
  <c r="CC205" i="5"/>
  <c r="CB205" i="5"/>
  <c r="BX205" i="5"/>
  <c r="BU2" i="23"/>
  <c r="Z159" i="5"/>
  <c r="AS12" i="23"/>
  <c r="P123" i="5"/>
  <c r="V244" i="5"/>
  <c r="U244" i="5"/>
  <c r="CD7" i="23"/>
  <c r="U170" i="5"/>
  <c r="BS170" i="5"/>
  <c r="CD6" i="24"/>
  <c r="CD2" i="24"/>
  <c r="CD4" i="24"/>
  <c r="CD5" i="24"/>
  <c r="CD7" i="24"/>
  <c r="CD10" i="24"/>
  <c r="CD3" i="24"/>
  <c r="CD9" i="24"/>
  <c r="CD11" i="24"/>
  <c r="CD8" i="24"/>
  <c r="CD12" i="24"/>
  <c r="BQ40" i="5"/>
  <c r="O40" i="5"/>
  <c r="R40" i="5"/>
  <c r="CZ241" i="5"/>
  <c r="EB44" i="23" s="1"/>
  <c r="DA241" i="5"/>
  <c r="EB43" i="23" s="1"/>
  <c r="BM214" i="5"/>
  <c r="DO5" i="23"/>
  <c r="W215" i="5"/>
  <c r="DD214" i="5"/>
  <c r="DO40" i="23"/>
  <c r="DG3" i="23"/>
  <c r="Y204" i="5"/>
  <c r="CM5" i="23"/>
  <c r="W181" i="5"/>
  <c r="BL8" i="23"/>
  <c r="T145" i="5"/>
  <c r="AH3" i="23"/>
  <c r="Y109" i="5"/>
  <c r="CA11" i="23"/>
  <c r="Q167" i="5"/>
  <c r="BS154" i="5"/>
  <c r="BS7" i="24"/>
  <c r="BS9" i="24"/>
  <c r="BS12" i="24"/>
  <c r="BS3" i="24"/>
  <c r="BS5" i="24"/>
  <c r="BS8" i="24"/>
  <c r="BS6" i="24"/>
  <c r="BS4" i="24"/>
  <c r="BS11" i="24"/>
  <c r="BS2" i="24"/>
  <c r="BS10" i="24"/>
  <c r="DC12" i="23"/>
  <c r="P200" i="5"/>
  <c r="BS92" i="5"/>
  <c r="S7" i="24"/>
  <c r="S8" i="24"/>
  <c r="S11" i="24"/>
  <c r="S2" i="24"/>
  <c r="S4" i="24"/>
  <c r="S9" i="24"/>
  <c r="S12" i="24"/>
  <c r="S5" i="24"/>
  <c r="S3" i="24"/>
  <c r="S6" i="24"/>
  <c r="S10" i="24"/>
  <c r="DA12" i="23"/>
  <c r="P198" i="5"/>
  <c r="CH8" i="23"/>
  <c r="T175" i="5"/>
  <c r="BO150" i="5"/>
  <c r="BP3" i="23"/>
  <c r="Y151" i="5"/>
  <c r="R45" i="23"/>
  <c r="CY90" i="5"/>
  <c r="DF6" i="23"/>
  <c r="V203" i="5"/>
  <c r="CL5" i="23"/>
  <c r="W180" i="5"/>
  <c r="BK2" i="23"/>
  <c r="Z144" i="5"/>
  <c r="W7" i="23"/>
  <c r="U96" i="5"/>
  <c r="BN60" i="5"/>
  <c r="X61" i="5"/>
  <c r="AB61" i="5" s="1"/>
  <c r="BG13" i="5"/>
  <c r="BG6" i="5" s="1"/>
  <c r="Q14" i="5"/>
  <c r="BS106" i="5"/>
  <c r="AE8" i="24"/>
  <c r="AE11" i="24"/>
  <c r="AE6" i="24"/>
  <c r="AE4" i="24"/>
  <c r="AE5" i="24"/>
  <c r="AE2" i="24"/>
  <c r="AE10" i="24"/>
  <c r="AE7" i="24"/>
  <c r="AE12" i="24"/>
  <c r="AE9" i="24"/>
  <c r="AE3" i="24"/>
  <c r="CI5" i="23"/>
  <c r="W176" i="5"/>
  <c r="DE6" i="23"/>
  <c r="V202" i="5"/>
  <c r="V49" i="23"/>
  <c r="DG95" i="5"/>
  <c r="DR95" i="5"/>
  <c r="V16" i="24" s="1"/>
  <c r="DQ95" i="5"/>
  <c r="V17" i="24" s="1"/>
  <c r="DS95" i="5"/>
  <c r="DP95" i="5"/>
  <c r="V18" i="24" s="1"/>
  <c r="DO95" i="5"/>
  <c r="V19" i="24" s="1"/>
  <c r="DN95" i="5"/>
  <c r="DL95" i="5"/>
  <c r="DK95" i="5"/>
  <c r="DJ95" i="5"/>
  <c r="V24" i="24" s="1"/>
  <c r="DI95" i="5"/>
  <c r="DT95" i="5"/>
  <c r="DM95" i="5"/>
  <c r="V21" i="24" s="1"/>
  <c r="AY41" i="23"/>
  <c r="DC129" i="5"/>
  <c r="BS83" i="5"/>
  <c r="M4" i="24"/>
  <c r="M7" i="24"/>
  <c r="M5" i="24"/>
  <c r="M6" i="24"/>
  <c r="M2" i="24"/>
  <c r="M11" i="24"/>
  <c r="M10" i="24"/>
  <c r="M3" i="24"/>
  <c r="M8" i="24"/>
  <c r="M12" i="24"/>
  <c r="M9" i="24"/>
  <c r="CR10" i="23"/>
  <c r="BH187" i="5"/>
  <c r="R188" i="5"/>
  <c r="AM3" i="23"/>
  <c r="BO116" i="5"/>
  <c r="Y117" i="5"/>
  <c r="CP11" i="23"/>
  <c r="Q185" i="5"/>
  <c r="AC8" i="23"/>
  <c r="T102" i="5"/>
  <c r="BQ44" i="5"/>
  <c r="O44" i="5"/>
  <c r="CF10" i="23"/>
  <c r="BH172" i="5"/>
  <c r="R173" i="5"/>
  <c r="BO12" i="23"/>
  <c r="P149" i="5"/>
  <c r="DI149" i="5"/>
  <c r="DP149" i="5"/>
  <c r="DL149" i="5"/>
  <c r="BO22" i="24" s="1"/>
  <c r="DK149" i="5"/>
  <c r="DT149" i="5"/>
  <c r="DJ149" i="5"/>
  <c r="BO24" i="24" s="1"/>
  <c r="DR149" i="5"/>
  <c r="BO16" i="24" s="1"/>
  <c r="DQ149" i="5"/>
  <c r="BO17" i="24" s="1"/>
  <c r="DO149" i="5"/>
  <c r="BO19" i="24" s="1"/>
  <c r="DS149" i="5"/>
  <c r="BO15" i="24" s="1"/>
  <c r="DN149" i="5"/>
  <c r="DM149" i="5"/>
  <c r="AL11" i="23"/>
  <c r="Q113" i="5"/>
  <c r="AB10" i="23"/>
  <c r="R101" i="5"/>
  <c r="H4" i="23"/>
  <c r="X78" i="5"/>
  <c r="BP29" i="5"/>
  <c r="Z31" i="5"/>
  <c r="BN193" i="5"/>
  <c r="CW4" i="23"/>
  <c r="X194" i="5"/>
  <c r="CE2" i="23"/>
  <c r="Z171" i="5"/>
  <c r="Y6" i="23"/>
  <c r="V98" i="5"/>
  <c r="BM7" i="23"/>
  <c r="BK146" i="5"/>
  <c r="U147" i="5"/>
  <c r="DI147" i="5"/>
  <c r="DP147" i="5"/>
  <c r="DT147" i="5"/>
  <c r="DM147" i="5"/>
  <c r="DL147" i="5"/>
  <c r="AF147" i="5" s="1"/>
  <c r="DK147" i="5"/>
  <c r="AE147" i="5" s="1"/>
  <c r="DJ147" i="5"/>
  <c r="AD147" i="5" s="1"/>
  <c r="DS147" i="5"/>
  <c r="AM147" i="5" s="1"/>
  <c r="DQ147" i="5"/>
  <c r="AK147" i="5" s="1"/>
  <c r="DO147" i="5"/>
  <c r="AI147" i="5" s="1"/>
  <c r="DN147" i="5"/>
  <c r="AH147" i="5" s="1"/>
  <c r="DR147" i="5"/>
  <c r="AL147" i="5" s="1"/>
  <c r="AR5" i="23"/>
  <c r="W122" i="5"/>
  <c r="BS124" i="5"/>
  <c r="AT2" i="24"/>
  <c r="AT12" i="24"/>
  <c r="AT6" i="24"/>
  <c r="AT7" i="24"/>
  <c r="AT11" i="24"/>
  <c r="AT10" i="24"/>
  <c r="AT3" i="24"/>
  <c r="AT8" i="24"/>
  <c r="AT5" i="24"/>
  <c r="AT9" i="24"/>
  <c r="AT4" i="24"/>
  <c r="AA11" i="23"/>
  <c r="Q100" i="5"/>
  <c r="BF76" i="5"/>
  <c r="G12" i="23"/>
  <c r="P77" i="5"/>
  <c r="BL205" i="5"/>
  <c r="V206" i="5"/>
  <c r="DH6" i="23"/>
  <c r="CD4" i="23"/>
  <c r="X170" i="5"/>
  <c r="P242" i="5"/>
  <c r="BF241" i="5"/>
  <c r="EB12" i="23" s="1"/>
  <c r="BP54" i="5"/>
  <c r="Z51" i="5"/>
  <c r="Z54" i="5" s="1"/>
  <c r="DG39" i="5"/>
  <c r="CU38" i="5"/>
  <c r="AD41" i="23"/>
  <c r="DC104" i="5"/>
  <c r="AX49" i="23"/>
  <c r="DG128" i="5"/>
  <c r="K12" i="23"/>
  <c r="P81" i="5"/>
  <c r="DQ10" i="23"/>
  <c r="R220" i="5"/>
  <c r="BH219" i="5"/>
  <c r="CZ138" i="5"/>
  <c r="BF44" i="23"/>
  <c r="J4" i="23"/>
  <c r="X80" i="5"/>
  <c r="BS225" i="5"/>
  <c r="DU5" i="24"/>
  <c r="DU3" i="24"/>
  <c r="DU12" i="24"/>
  <c r="DU6" i="24"/>
  <c r="DU7" i="24"/>
  <c r="DU10" i="24"/>
  <c r="DU4" i="24"/>
  <c r="DU2" i="24"/>
  <c r="DU11" i="24"/>
  <c r="DU8" i="24"/>
  <c r="DU9" i="24"/>
  <c r="CU7" i="23"/>
  <c r="U191" i="5"/>
  <c r="CB49" i="23"/>
  <c r="DG168" i="5"/>
  <c r="BS132" i="5"/>
  <c r="BA5" i="24"/>
  <c r="BA7" i="24"/>
  <c r="BA4" i="24"/>
  <c r="BA8" i="24"/>
  <c r="BA12" i="24"/>
  <c r="BA6" i="24"/>
  <c r="BA3" i="24"/>
  <c r="BA10" i="24"/>
  <c r="BA2" i="24"/>
  <c r="BA9" i="24"/>
  <c r="BA11" i="24"/>
  <c r="AG9" i="23"/>
  <c r="S108" i="5"/>
  <c r="O8" i="23"/>
  <c r="T85" i="5"/>
  <c r="T26" i="5"/>
  <c r="CS5" i="23"/>
  <c r="W189" i="5"/>
  <c r="AE6" i="23"/>
  <c r="V106" i="5"/>
  <c r="DM6" i="23"/>
  <c r="V212" i="5"/>
  <c r="DE5" i="23"/>
  <c r="W202" i="5"/>
  <c r="AO5" i="23"/>
  <c r="W119" i="5"/>
  <c r="DD129" i="5"/>
  <c r="AY40" i="23"/>
  <c r="BM27" i="5"/>
  <c r="W24" i="5"/>
  <c r="CU27" i="5"/>
  <c r="DG24" i="5"/>
  <c r="CR39" i="23"/>
  <c r="DE187" i="5"/>
  <c r="AM6" i="23"/>
  <c r="BL116" i="5"/>
  <c r="V117" i="5"/>
  <c r="T8" i="23"/>
  <c r="T93" i="5"/>
  <c r="DB6" i="23"/>
  <c r="V199" i="5"/>
  <c r="BS208" i="5"/>
  <c r="DJ4" i="24"/>
  <c r="DJ5" i="24"/>
  <c r="DJ9" i="24"/>
  <c r="DJ11" i="24"/>
  <c r="DJ6" i="24"/>
  <c r="DJ8" i="24"/>
  <c r="DJ2" i="24"/>
  <c r="DJ7" i="24"/>
  <c r="DJ10" i="24"/>
  <c r="DJ3" i="24"/>
  <c r="DJ12" i="24"/>
  <c r="CO12" i="23"/>
  <c r="P184" i="5"/>
  <c r="BW8" i="23"/>
  <c r="T161" i="5"/>
  <c r="BS137" i="5"/>
  <c r="BE3" i="24"/>
  <c r="BE6" i="24"/>
  <c r="BE11" i="24"/>
  <c r="BE7" i="24"/>
  <c r="BE2" i="24"/>
  <c r="BE9" i="24"/>
  <c r="BE4" i="24"/>
  <c r="BE8" i="24"/>
  <c r="BE5" i="24"/>
  <c r="BE12" i="24"/>
  <c r="BE10" i="24"/>
  <c r="AL9" i="23"/>
  <c r="S113" i="5"/>
  <c r="DC29" i="5"/>
  <c r="DD193" i="5"/>
  <c r="CW40" i="23"/>
  <c r="CE12" i="23"/>
  <c r="P171" i="5"/>
  <c r="BM6" i="23"/>
  <c r="BL146" i="5"/>
  <c r="V147" i="5"/>
  <c r="BT40" i="23"/>
  <c r="DD157" i="5"/>
  <c r="DP8" i="23"/>
  <c r="T216" i="5"/>
  <c r="BV9" i="23"/>
  <c r="S160" i="5"/>
  <c r="AK7" i="23"/>
  <c r="U112" i="5"/>
  <c r="Q11" i="23"/>
  <c r="BG87" i="5"/>
  <c r="Q88" i="5"/>
  <c r="BQ42" i="5"/>
  <c r="O42" i="5"/>
  <c r="CW205" i="5"/>
  <c r="DH47" i="23"/>
  <c r="AS7" i="23"/>
  <c r="U123" i="5"/>
  <c r="AI2" i="23"/>
  <c r="Z110" i="5"/>
  <c r="BN241" i="5"/>
  <c r="X242" i="5"/>
  <c r="BG241" i="5"/>
  <c r="EB11" i="23" s="1"/>
  <c r="Q242" i="5"/>
  <c r="BS226" i="5"/>
  <c r="DV8" i="24"/>
  <c r="DV5" i="24"/>
  <c r="DV7" i="24"/>
  <c r="DV3" i="24"/>
  <c r="DV12" i="24"/>
  <c r="DV10" i="24"/>
  <c r="DV2" i="24"/>
  <c r="DV11" i="24"/>
  <c r="DV4" i="24"/>
  <c r="DV6" i="24"/>
  <c r="DV9" i="24"/>
  <c r="CV9" i="23"/>
  <c r="S192" i="5"/>
  <c r="AH2" i="23"/>
  <c r="Z109" i="5"/>
  <c r="P49" i="23"/>
  <c r="DG86" i="5"/>
  <c r="BL38" i="5"/>
  <c r="V39" i="5"/>
  <c r="DD10" i="23"/>
  <c r="R201" i="5"/>
  <c r="BS94" i="5"/>
  <c r="U3" i="24"/>
  <c r="U6" i="24"/>
  <c r="U11" i="24"/>
  <c r="U10" i="24"/>
  <c r="U12" i="24"/>
  <c r="U4" i="24"/>
  <c r="U8" i="24"/>
  <c r="U9" i="24"/>
  <c r="U7" i="24"/>
  <c r="U2" i="24"/>
  <c r="U5" i="24"/>
  <c r="CJ3" i="23"/>
  <c r="Y177" i="5"/>
  <c r="BH11" i="23"/>
  <c r="Q141" i="5"/>
  <c r="DE104" i="5"/>
  <c r="AD39" i="23"/>
  <c r="AX3" i="23"/>
  <c r="Y128" i="5"/>
  <c r="BS81" i="5"/>
  <c r="K9" i="24"/>
  <c r="K12" i="24"/>
  <c r="K3" i="24"/>
  <c r="K7" i="24"/>
  <c r="K11" i="24"/>
  <c r="K5" i="24"/>
  <c r="K6" i="24"/>
  <c r="K10" i="24"/>
  <c r="K2" i="24"/>
  <c r="K4" i="24"/>
  <c r="K8" i="24"/>
  <c r="DQ7" i="23"/>
  <c r="BK219" i="5"/>
  <c r="U220" i="5"/>
  <c r="DA8" i="23"/>
  <c r="T198" i="5"/>
  <c r="BP10" i="23"/>
  <c r="R151" i="5"/>
  <c r="BH150" i="5"/>
  <c r="R6" i="23"/>
  <c r="V91" i="5"/>
  <c r="BL90" i="5"/>
  <c r="J49" i="23"/>
  <c r="DG80" i="5"/>
  <c r="CL10" i="23"/>
  <c r="R180" i="5"/>
  <c r="Y61" i="5"/>
  <c r="BO60" i="5"/>
  <c r="CV13" i="5"/>
  <c r="CV6" i="5" s="1"/>
  <c r="BS165" i="5"/>
  <c r="BY5" i="24"/>
  <c r="BY9" i="24"/>
  <c r="BY10" i="24"/>
  <c r="BY11" i="24"/>
  <c r="BY12" i="24"/>
  <c r="BY8" i="24"/>
  <c r="BY6" i="24"/>
  <c r="BY4" i="24"/>
  <c r="BY7" i="24"/>
  <c r="BY2" i="24"/>
  <c r="BY3" i="24"/>
  <c r="BY164" i="5"/>
  <c r="BX164" i="5"/>
  <c r="CB164" i="5"/>
  <c r="CA164" i="5"/>
  <c r="BZ164" i="5"/>
  <c r="CD164" i="5"/>
  <c r="CC164" i="5"/>
  <c r="BW164" i="5"/>
  <c r="BU164" i="5"/>
  <c r="BT164" i="5"/>
  <c r="BV164" i="5"/>
  <c r="D7" i="23"/>
  <c r="U7" i="5"/>
  <c r="DR2" i="23"/>
  <c r="Z221" i="5"/>
  <c r="DE4" i="23"/>
  <c r="X202" i="5"/>
  <c r="AO9" i="23"/>
  <c r="S119" i="5"/>
  <c r="V3" i="23"/>
  <c r="Y95" i="5"/>
  <c r="DR84" i="5"/>
  <c r="DQ84" i="5"/>
  <c r="N17" i="24" s="1"/>
  <c r="DM84" i="5"/>
  <c r="DL84" i="5"/>
  <c r="N22" i="24" s="1"/>
  <c r="DK84" i="5"/>
  <c r="DP84" i="5"/>
  <c r="DN84" i="5"/>
  <c r="DJ84" i="5"/>
  <c r="N24" i="24" s="1"/>
  <c r="DI84" i="5"/>
  <c r="DO84" i="5"/>
  <c r="N19" i="24" s="1"/>
  <c r="DT84" i="5"/>
  <c r="N14" i="24" s="1"/>
  <c r="DS84" i="5"/>
  <c r="DG25" i="5"/>
  <c r="BZ4" i="23"/>
  <c r="X166" i="5"/>
  <c r="AN2" i="23"/>
  <c r="Z118" i="5"/>
  <c r="DS49" i="23"/>
  <c r="DG222" i="5"/>
  <c r="BR8" i="23"/>
  <c r="T153" i="5"/>
  <c r="T7" i="23"/>
  <c r="U93" i="5"/>
  <c r="L4" i="23"/>
  <c r="X82" i="5"/>
  <c r="S173" i="5"/>
  <c r="BI172" i="5"/>
  <c r="CF9" i="23"/>
  <c r="DI137" i="5"/>
  <c r="DP137" i="5"/>
  <c r="BE18" i="24" s="1"/>
  <c r="DQ137" i="5"/>
  <c r="BE17" i="24" s="1"/>
  <c r="DO137" i="5"/>
  <c r="BE19" i="24" s="1"/>
  <c r="DT137" i="5"/>
  <c r="DM137" i="5"/>
  <c r="BE21" i="24" s="1"/>
  <c r="DK137" i="5"/>
  <c r="DJ137" i="5"/>
  <c r="DR137" i="5"/>
  <c r="DN137" i="5"/>
  <c r="DL137" i="5"/>
  <c r="DS137" i="5"/>
  <c r="BN57" i="5"/>
  <c r="BR57" i="5" s="1"/>
  <c r="X55" i="5"/>
  <c r="CZ193" i="5"/>
  <c r="CW44" i="23"/>
  <c r="BB46" i="23"/>
  <c r="CX133" i="5"/>
  <c r="DW46" i="23"/>
  <c r="CX227" i="5"/>
  <c r="AR8" i="23"/>
  <c r="T122" i="5"/>
  <c r="DI11" i="23"/>
  <c r="Q207" i="5"/>
  <c r="BN5" i="23"/>
  <c r="W148" i="5"/>
  <c r="AT11" i="23"/>
  <c r="Q124" i="5"/>
  <c r="Q47" i="23"/>
  <c r="CW87" i="5"/>
  <c r="T65" i="5"/>
  <c r="CZ205" i="5"/>
  <c r="DH44" i="23"/>
  <c r="DI123" i="5"/>
  <c r="DR123" i="5"/>
  <c r="DH123" i="5" s="1"/>
  <c r="DQ123" i="5"/>
  <c r="DM123" i="5"/>
  <c r="AS21" i="24" s="1"/>
  <c r="DL123" i="5"/>
  <c r="AS22" i="24" s="1"/>
  <c r="DK123" i="5"/>
  <c r="AS23" i="24" s="1"/>
  <c r="DS123" i="5"/>
  <c r="AS15" i="24" s="1"/>
  <c r="DP123" i="5"/>
  <c r="AS18" i="24" s="1"/>
  <c r="DO123" i="5"/>
  <c r="DN123" i="5"/>
  <c r="AS20" i="24" s="1"/>
  <c r="DJ123" i="5"/>
  <c r="DT123" i="5"/>
  <c r="CD49" i="23"/>
  <c r="DG170" i="5"/>
  <c r="BJ214" i="5"/>
  <c r="DO8" i="23"/>
  <c r="T215" i="5"/>
  <c r="DV13" i="23"/>
  <c r="O226" i="5"/>
  <c r="BQ226" i="5"/>
  <c r="DS226" i="5"/>
  <c r="DV15" i="24" s="1"/>
  <c r="DN226" i="5"/>
  <c r="DM226" i="5"/>
  <c r="DL226" i="5"/>
  <c r="DK226" i="5"/>
  <c r="DT226" i="5"/>
  <c r="DR226" i="5"/>
  <c r="DV16" i="24" s="1"/>
  <c r="DJ226" i="5"/>
  <c r="DV24" i="24" s="1"/>
  <c r="DI226" i="5"/>
  <c r="DQ226" i="5"/>
  <c r="DP226" i="5"/>
  <c r="DV18" i="24" s="1"/>
  <c r="DO226" i="5"/>
  <c r="CV5" i="23"/>
  <c r="W192" i="5"/>
  <c r="CC7" i="23"/>
  <c r="U169" i="5"/>
  <c r="AQ13" i="23"/>
  <c r="BQ121" i="5"/>
  <c r="O121" i="5"/>
  <c r="P6" i="23"/>
  <c r="V86" i="5"/>
  <c r="CJ13" i="23"/>
  <c r="BQ177" i="5"/>
  <c r="O177" i="5"/>
  <c r="AD42" i="23"/>
  <c r="DB104" i="5"/>
  <c r="K5" i="23"/>
  <c r="W81" i="5"/>
  <c r="DR81" i="5"/>
  <c r="K16" i="24" s="1"/>
  <c r="DQ81" i="5"/>
  <c r="DT81" i="5"/>
  <c r="K14" i="24" s="1"/>
  <c r="DS81" i="5"/>
  <c r="K15" i="24" s="1"/>
  <c r="DM81" i="5"/>
  <c r="DK81" i="5"/>
  <c r="DJ81" i="5"/>
  <c r="K24" i="24" s="1"/>
  <c r="DI81" i="5"/>
  <c r="DP81" i="5"/>
  <c r="K18" i="24" s="1"/>
  <c r="DL81" i="5"/>
  <c r="K22" i="24" s="1"/>
  <c r="DO81" i="5"/>
  <c r="DN81" i="5"/>
  <c r="K20" i="24" s="1"/>
  <c r="DQ6" i="23"/>
  <c r="BL219" i="5"/>
  <c r="V220" i="5"/>
  <c r="DA4" i="23"/>
  <c r="X198" i="5"/>
  <c r="CH11" i="23"/>
  <c r="Q175" i="5"/>
  <c r="BO138" i="5"/>
  <c r="BF3" i="23"/>
  <c r="Y139" i="5"/>
  <c r="Z45" i="5"/>
  <c r="DU12" i="23"/>
  <c r="P225" i="5"/>
  <c r="DF49" i="23"/>
  <c r="DG203" i="5"/>
  <c r="CL49" i="23"/>
  <c r="DG180" i="5"/>
  <c r="BK10" i="23"/>
  <c r="R144" i="5"/>
  <c r="BS120" i="5"/>
  <c r="AP6" i="24"/>
  <c r="AP7" i="24"/>
  <c r="AP3" i="24"/>
  <c r="AP11" i="24"/>
  <c r="AP9" i="24"/>
  <c r="AP4" i="24"/>
  <c r="AP2" i="24"/>
  <c r="AP5" i="24"/>
  <c r="AP8" i="24"/>
  <c r="AP10" i="24"/>
  <c r="AP12" i="24"/>
  <c r="BP60" i="5"/>
  <c r="Z61" i="5"/>
  <c r="CK42" i="23"/>
  <c r="DB178" i="5"/>
  <c r="DM5" i="23"/>
  <c r="W212" i="5"/>
  <c r="DG35" i="5"/>
  <c r="DT7" i="23"/>
  <c r="U224" i="5"/>
  <c r="BK223" i="5"/>
  <c r="CT2" i="23"/>
  <c r="Z190" i="5"/>
  <c r="DN5" i="23"/>
  <c r="W213" i="5"/>
  <c r="DE129" i="5"/>
  <c r="AY39" i="23"/>
  <c r="AN10" i="23"/>
  <c r="R118" i="5"/>
  <c r="DS5" i="23"/>
  <c r="W222" i="5"/>
  <c r="CR38" i="23"/>
  <c r="DF187" i="5"/>
  <c r="AM41" i="23"/>
  <c r="DC116" i="5"/>
  <c r="BS127" i="5"/>
  <c r="AW4" i="24"/>
  <c r="AW7" i="24"/>
  <c r="AW11" i="24"/>
  <c r="AW12" i="24"/>
  <c r="AW8" i="24"/>
  <c r="AW9" i="24"/>
  <c r="AW10" i="24"/>
  <c r="AW5" i="24"/>
  <c r="AW6" i="24"/>
  <c r="AW2" i="24"/>
  <c r="AW3" i="24"/>
  <c r="CG9" i="23"/>
  <c r="S174" i="5"/>
  <c r="AV7" i="23"/>
  <c r="U126" i="5"/>
  <c r="DJ10" i="23"/>
  <c r="R208" i="5"/>
  <c r="BS196" i="5"/>
  <c r="CY8" i="24"/>
  <c r="CY11" i="24"/>
  <c r="CY9" i="24"/>
  <c r="CY7" i="24"/>
  <c r="CY3" i="24"/>
  <c r="CY2" i="24"/>
  <c r="CY12" i="24"/>
  <c r="CY10" i="24"/>
  <c r="CY4" i="24"/>
  <c r="CY6" i="24"/>
  <c r="CY5" i="24"/>
  <c r="CF48" i="23"/>
  <c r="CV172" i="5"/>
  <c r="BO13" i="23"/>
  <c r="BQ149" i="5"/>
  <c r="O149" i="5"/>
  <c r="BS125" i="5"/>
  <c r="AU3" i="24"/>
  <c r="AU9" i="24"/>
  <c r="AU12" i="24"/>
  <c r="AU5" i="24"/>
  <c r="AU8" i="24"/>
  <c r="AU6" i="24"/>
  <c r="AU7" i="24"/>
  <c r="AU11" i="24"/>
  <c r="AU10" i="24"/>
  <c r="AU2" i="24"/>
  <c r="AU4" i="24"/>
  <c r="AB3" i="23"/>
  <c r="Y101" i="5"/>
  <c r="H12" i="23"/>
  <c r="P78" i="5"/>
  <c r="CW13" i="23"/>
  <c r="O194" i="5"/>
  <c r="BQ194" i="5"/>
  <c r="BE193" i="5"/>
  <c r="AJ12" i="23"/>
  <c r="P111" i="5"/>
  <c r="BO133" i="5"/>
  <c r="BB3" i="23"/>
  <c r="Y134" i="5"/>
  <c r="BO227" i="5"/>
  <c r="DW3" i="23"/>
  <c r="Y228" i="5"/>
  <c r="BM10" i="23"/>
  <c r="BH146" i="5"/>
  <c r="R147" i="5"/>
  <c r="BS64" i="5"/>
  <c r="DI10" i="23"/>
  <c r="R207" i="5"/>
  <c r="DI207" i="5"/>
  <c r="DP207" i="5"/>
  <c r="DS207" i="5"/>
  <c r="DR207" i="5"/>
  <c r="DI16" i="24" s="1"/>
  <c r="DQ207" i="5"/>
  <c r="DI17" i="24" s="1"/>
  <c r="DO207" i="5"/>
  <c r="DI19" i="24" s="1"/>
  <c r="DN207" i="5"/>
  <c r="DI20" i="24" s="1"/>
  <c r="DM207" i="5"/>
  <c r="DL207" i="5"/>
  <c r="DI22" i="24" s="1"/>
  <c r="DK207" i="5"/>
  <c r="DI23" i="24" s="1"/>
  <c r="DJ207" i="5"/>
  <c r="DT207" i="5"/>
  <c r="G9" i="23"/>
  <c r="BI76" i="5"/>
  <c r="S77" i="5"/>
  <c r="W42" i="5"/>
  <c r="DH38" i="23"/>
  <c r="DF205" i="5"/>
  <c r="BQ16" i="5"/>
  <c r="O16" i="5"/>
  <c r="DF241" i="5"/>
  <c r="EB38" i="23" s="1"/>
  <c r="J6" i="5"/>
  <c r="CM11" i="23"/>
  <c r="Q181" i="5"/>
  <c r="CC49" i="23"/>
  <c r="DG169" i="5"/>
  <c r="BF54" i="5"/>
  <c r="P51" i="5"/>
  <c r="P54" i="5" s="1"/>
  <c r="CA7" i="23"/>
  <c r="U167" i="5"/>
  <c r="BS4" i="23"/>
  <c r="X154" i="5"/>
  <c r="U3" i="23"/>
  <c r="Y94" i="5"/>
  <c r="CJ10" i="23"/>
  <c r="R177" i="5"/>
  <c r="BS105" i="5"/>
  <c r="AD11" i="24"/>
  <c r="AD2" i="24"/>
  <c r="AD6" i="24"/>
  <c r="AD5" i="24"/>
  <c r="AD10" i="24"/>
  <c r="AD7" i="24"/>
  <c r="AD8" i="24"/>
  <c r="AD12" i="24"/>
  <c r="AD9" i="24"/>
  <c r="AD4" i="24"/>
  <c r="AD3" i="24"/>
  <c r="BU104" i="5"/>
  <c r="BT104" i="5"/>
  <c r="CD104" i="5"/>
  <c r="CB104" i="5"/>
  <c r="CC104" i="5"/>
  <c r="CA104" i="5"/>
  <c r="BZ104" i="5"/>
  <c r="BY104" i="5"/>
  <c r="BX104" i="5"/>
  <c r="BW104" i="5"/>
  <c r="BV104" i="5"/>
  <c r="S220" i="5"/>
  <c r="DQ9" i="23"/>
  <c r="BI219" i="5"/>
  <c r="DA6" i="23"/>
  <c r="V198" i="5"/>
  <c r="CQ3" i="23"/>
  <c r="Y186" i="5"/>
  <c r="BP43" i="23"/>
  <c r="DA150" i="5"/>
  <c r="R49" i="23"/>
  <c r="DG91" i="5"/>
  <c r="CU90" i="5"/>
  <c r="BS80" i="5"/>
  <c r="J4" i="24"/>
  <c r="J2" i="24"/>
  <c r="J6" i="24"/>
  <c r="J7" i="24"/>
  <c r="J3" i="24"/>
  <c r="J11" i="24"/>
  <c r="J5" i="24"/>
  <c r="J10" i="24"/>
  <c r="J8" i="24"/>
  <c r="J12" i="24"/>
  <c r="J9" i="24"/>
  <c r="DI203" i="5"/>
  <c r="DP203" i="5"/>
  <c r="DL203" i="5"/>
  <c r="DK203" i="5"/>
  <c r="DJ203" i="5"/>
  <c r="DT203" i="5"/>
  <c r="DF14" i="24" s="1"/>
  <c r="DS203" i="5"/>
  <c r="DQ203" i="5"/>
  <c r="DO203" i="5"/>
  <c r="DN203" i="5"/>
  <c r="DM203" i="5"/>
  <c r="DR203" i="5"/>
  <c r="DF16" i="24" s="1"/>
  <c r="AP11" i="23"/>
  <c r="Q120" i="5"/>
  <c r="DI120" i="5"/>
  <c r="DO120" i="5"/>
  <c r="DN120" i="5"/>
  <c r="DR120" i="5"/>
  <c r="DH120" i="5" s="1"/>
  <c r="DQ120" i="5"/>
  <c r="DP120" i="5"/>
  <c r="DM120" i="5"/>
  <c r="AP21" i="24" s="1"/>
  <c r="DK120" i="5"/>
  <c r="AP23" i="24" s="1"/>
  <c r="DJ120" i="5"/>
  <c r="DT120" i="5"/>
  <c r="DL120" i="5"/>
  <c r="AP22" i="24" s="1"/>
  <c r="DS120" i="5"/>
  <c r="W49" i="23"/>
  <c r="DG96" i="5"/>
  <c r="R61" i="5"/>
  <c r="BH60" i="5"/>
  <c r="U14" i="5"/>
  <c r="BK13" i="5"/>
  <c r="BK6" i="5" s="1"/>
  <c r="DA13" i="5"/>
  <c r="DA6" i="5" s="1"/>
  <c r="CS49" i="23"/>
  <c r="DG189" i="5"/>
  <c r="BQ36" i="5"/>
  <c r="O36" i="5"/>
  <c r="BY12" i="23"/>
  <c r="P165" i="5"/>
  <c r="BF164" i="5"/>
  <c r="D44" i="23"/>
  <c r="DR8" i="23"/>
  <c r="T221" i="5"/>
  <c r="CI8" i="23"/>
  <c r="T176" i="5"/>
  <c r="BQ12" i="23"/>
  <c r="P152" i="5"/>
  <c r="AF12" i="23"/>
  <c r="P107" i="5"/>
  <c r="AY7" i="23"/>
  <c r="U130" i="5"/>
  <c r="BK129" i="5"/>
  <c r="AN11" i="23"/>
  <c r="Q118" i="5"/>
  <c r="M7" i="23"/>
  <c r="U83" i="5"/>
  <c r="BN27" i="5"/>
  <c r="X24" i="5"/>
  <c r="CW27" i="5"/>
  <c r="CR48" i="23"/>
  <c r="CV187" i="5"/>
  <c r="AM11" i="23"/>
  <c r="BG116" i="5"/>
  <c r="Q117" i="5"/>
  <c r="DB10" i="23"/>
  <c r="R199" i="5"/>
  <c r="AW11" i="23"/>
  <c r="Q127" i="5"/>
  <c r="CP3" i="23"/>
  <c r="Y185" i="5"/>
  <c r="BX4" i="23"/>
  <c r="X162" i="5"/>
  <c r="I11" i="23"/>
  <c r="Q79" i="5"/>
  <c r="O32" i="5"/>
  <c r="BQ32" i="5"/>
  <c r="BQ20" i="5"/>
  <c r="O20" i="5"/>
  <c r="CY7" i="23"/>
  <c r="U196" i="5"/>
  <c r="BP172" i="5"/>
  <c r="CF2" i="23"/>
  <c r="Z173" i="5"/>
  <c r="BO11" i="23"/>
  <c r="Q149" i="5"/>
  <c r="BO57" i="5"/>
  <c r="Y55" i="5"/>
  <c r="Y57" i="5" s="1"/>
  <c r="CW43" i="23"/>
  <c r="DA193" i="5"/>
  <c r="CE7" i="23"/>
  <c r="U171" i="5"/>
  <c r="AJ8" i="23"/>
  <c r="T111" i="5"/>
  <c r="BB44" i="23"/>
  <c r="CZ133" i="5"/>
  <c r="DW13" i="23"/>
  <c r="BE227" i="5"/>
  <c r="O228" i="5"/>
  <c r="BQ228" i="5"/>
  <c r="Z6" i="23"/>
  <c r="V99" i="5"/>
  <c r="DT64" i="5"/>
  <c r="AN64" i="5" s="1"/>
  <c r="DS64" i="5"/>
  <c r="AM64" i="5" s="1"/>
  <c r="DI64" i="5"/>
  <c r="DN64" i="5"/>
  <c r="AH64" i="5" s="1"/>
  <c r="DL64" i="5"/>
  <c r="AF64" i="5" s="1"/>
  <c r="DK64" i="5"/>
  <c r="AE64" i="5" s="1"/>
  <c r="DJ64" i="5"/>
  <c r="AD64" i="5" s="1"/>
  <c r="DQ64" i="5"/>
  <c r="AK64" i="5" s="1"/>
  <c r="DM64" i="5"/>
  <c r="AG64" i="5" s="1"/>
  <c r="DR64" i="5"/>
  <c r="AL64" i="5" s="1"/>
  <c r="DP64" i="5"/>
  <c r="AJ64" i="5" s="1"/>
  <c r="DO64" i="5"/>
  <c r="AI64" i="5" s="1"/>
  <c r="BT38" i="23"/>
  <c r="DF157" i="5"/>
  <c r="AR7" i="23"/>
  <c r="U122" i="5"/>
  <c r="DI2" i="23"/>
  <c r="Z207" i="5"/>
  <c r="CX3" i="23"/>
  <c r="Y195" i="5"/>
  <c r="AA49" i="23"/>
  <c r="DG100" i="5"/>
  <c r="Q41" i="23"/>
  <c r="DC87" i="5"/>
  <c r="G156" i="1"/>
  <c r="DH3" i="23"/>
  <c r="BO205" i="5"/>
  <c r="Y206" i="5"/>
  <c r="DO6" i="23"/>
  <c r="V215" i="5"/>
  <c r="BL214" i="5"/>
  <c r="BS204" i="5"/>
  <c r="DG7" i="24"/>
  <c r="DG10" i="24"/>
  <c r="DG2" i="24"/>
  <c r="DG5" i="24"/>
  <c r="DG6" i="24"/>
  <c r="DG8" i="24"/>
  <c r="DG4" i="24"/>
  <c r="DG3" i="24"/>
  <c r="DG12" i="24"/>
  <c r="DG9" i="24"/>
  <c r="DG11" i="24"/>
  <c r="AH7" i="23"/>
  <c r="U109" i="5"/>
  <c r="X5" i="23"/>
  <c r="W97" i="5"/>
  <c r="P5" i="23"/>
  <c r="W86" i="5"/>
  <c r="R62" i="5"/>
  <c r="CZ38" i="5"/>
  <c r="BS167" i="5"/>
  <c r="CA5" i="24"/>
  <c r="CA8" i="24"/>
  <c r="CA11" i="24"/>
  <c r="CA3" i="24"/>
  <c r="CA9" i="24"/>
  <c r="CA10" i="24"/>
  <c r="CA4" i="24"/>
  <c r="CA2" i="24"/>
  <c r="CA7" i="24"/>
  <c r="CA12" i="24"/>
  <c r="CA6" i="24"/>
  <c r="BS3" i="23"/>
  <c r="Y154" i="5"/>
  <c r="BF104" i="5"/>
  <c r="AD12" i="23"/>
  <c r="P105" i="5"/>
  <c r="DR105" i="5"/>
  <c r="AL105" i="5" s="1"/>
  <c r="DQ105" i="5"/>
  <c r="DI105" i="5"/>
  <c r="DO105" i="5"/>
  <c r="AI105" i="5" s="1"/>
  <c r="DL105" i="5"/>
  <c r="DK105" i="5"/>
  <c r="DJ105" i="5"/>
  <c r="DT105" i="5"/>
  <c r="AN105" i="5" s="1"/>
  <c r="DN105" i="5"/>
  <c r="AH105" i="5" s="1"/>
  <c r="DM105" i="5"/>
  <c r="AG105" i="5" s="1"/>
  <c r="DS105" i="5"/>
  <c r="AM105" i="5" s="1"/>
  <c r="DP105" i="5"/>
  <c r="AJ105" i="5" s="1"/>
  <c r="CW219" i="5"/>
  <c r="DQ47" i="23"/>
  <c r="DK12" i="23"/>
  <c r="BF209" i="5"/>
  <c r="P210" i="5"/>
  <c r="BJ150" i="5"/>
  <c r="T151" i="5"/>
  <c r="BP8" i="23"/>
  <c r="DG139" i="5"/>
  <c r="BF49" i="23"/>
  <c r="CU138" i="5"/>
  <c r="J13" i="23"/>
  <c r="BQ80" i="5"/>
  <c r="O80" i="5"/>
  <c r="CU49" i="23"/>
  <c r="DG191" i="5"/>
  <c r="BA3" i="23"/>
  <c r="Y132" i="5"/>
  <c r="AG4" i="23"/>
  <c r="X108" i="5"/>
  <c r="BQ61" i="5"/>
  <c r="BE60" i="5"/>
  <c r="O61" i="5"/>
  <c r="BL13" i="5"/>
  <c r="BL6" i="5" s="1"/>
  <c r="V14" i="5"/>
  <c r="AE13" i="23"/>
  <c r="O106" i="5"/>
  <c r="BQ106" i="5"/>
  <c r="P36" i="5"/>
  <c r="BY6" i="23"/>
  <c r="BL164" i="5"/>
  <c r="V165" i="5"/>
  <c r="Z35" i="5"/>
  <c r="D43" i="23"/>
  <c r="D13" i="23"/>
  <c r="BQ7" i="5"/>
  <c r="O7" i="5"/>
  <c r="DL2" i="23"/>
  <c r="Z211" i="5"/>
  <c r="CI3" i="23"/>
  <c r="Y176" i="5"/>
  <c r="DI176" i="5"/>
  <c r="DP176" i="5"/>
  <c r="DN176" i="5"/>
  <c r="DM176" i="5"/>
  <c r="DT176" i="5"/>
  <c r="CI14" i="24" s="1"/>
  <c r="DS176" i="5"/>
  <c r="DR176" i="5"/>
  <c r="CI16" i="24" s="1"/>
  <c r="DK176" i="5"/>
  <c r="DQ176" i="5"/>
  <c r="DO176" i="5"/>
  <c r="DJ176" i="5"/>
  <c r="DL176" i="5"/>
  <c r="T69" i="5"/>
  <c r="BN223" i="5"/>
  <c r="DT4" i="23"/>
  <c r="X224" i="5"/>
  <c r="DE8" i="23"/>
  <c r="T202" i="5"/>
  <c r="BJ11" i="23"/>
  <c r="Q143" i="5"/>
  <c r="BS131" i="5"/>
  <c r="AZ5" i="24"/>
  <c r="AZ4" i="24"/>
  <c r="AZ6" i="24"/>
  <c r="AZ12" i="24"/>
  <c r="AZ10" i="24"/>
  <c r="AZ3" i="24"/>
  <c r="AZ2" i="24"/>
  <c r="AZ7" i="24"/>
  <c r="AZ8" i="24"/>
  <c r="AZ9" i="24"/>
  <c r="AZ11" i="24"/>
  <c r="AF9" i="23"/>
  <c r="S107" i="5"/>
  <c r="BZ2" i="23"/>
  <c r="Z166" i="5"/>
  <c r="AN8" i="23"/>
  <c r="T118" i="5"/>
  <c r="M12" i="23"/>
  <c r="P83" i="5"/>
  <c r="DS9" i="23"/>
  <c r="S222" i="5"/>
  <c r="DS222" i="5"/>
  <c r="AM222" i="5" s="1"/>
  <c r="DN222" i="5"/>
  <c r="DT222" i="5"/>
  <c r="AN222" i="5" s="1"/>
  <c r="DR222" i="5"/>
  <c r="DH222" i="5" s="1"/>
  <c r="DQ222" i="5"/>
  <c r="DP222" i="5"/>
  <c r="DO222" i="5"/>
  <c r="DM222" i="5"/>
  <c r="DL222" i="5"/>
  <c r="DK222" i="5"/>
  <c r="DJ222" i="5"/>
  <c r="AD222" i="5" s="1"/>
  <c r="DI222" i="5"/>
  <c r="DB9" i="23"/>
  <c r="S199" i="5"/>
  <c r="DR79" i="5"/>
  <c r="I16" i="24" s="1"/>
  <c r="DQ79" i="5"/>
  <c r="DO79" i="5"/>
  <c r="DN79" i="5"/>
  <c r="DM79" i="5"/>
  <c r="DT79" i="5"/>
  <c r="I14" i="24" s="1"/>
  <c r="DP79" i="5"/>
  <c r="DL79" i="5"/>
  <c r="DK79" i="5"/>
  <c r="I23" i="24" s="1"/>
  <c r="DJ79" i="5"/>
  <c r="I24" i="24" s="1"/>
  <c r="DS79" i="5"/>
  <c r="I15" i="24" s="1"/>
  <c r="DI79" i="5"/>
  <c r="P20" i="5"/>
  <c r="CY2" i="23"/>
  <c r="Z196" i="5"/>
  <c r="BS184" i="5"/>
  <c r="CO3" i="24"/>
  <c r="CO6" i="24"/>
  <c r="CO10" i="24"/>
  <c r="CO11" i="24"/>
  <c r="CO8" i="24"/>
  <c r="CO9" i="24"/>
  <c r="CO4" i="24"/>
  <c r="CO5" i="24"/>
  <c r="CO12" i="24"/>
  <c r="CO7" i="24"/>
  <c r="CO2" i="24"/>
  <c r="BW5" i="23"/>
  <c r="W161" i="5"/>
  <c r="BS113" i="5"/>
  <c r="AL4" i="24"/>
  <c r="AL6" i="24"/>
  <c r="AL9" i="24"/>
  <c r="AL3" i="24"/>
  <c r="AL8" i="24"/>
  <c r="AL12" i="24"/>
  <c r="AL5" i="24"/>
  <c r="AL10" i="24"/>
  <c r="AL7" i="24"/>
  <c r="AL11" i="24"/>
  <c r="AL2" i="24"/>
  <c r="Y19" i="5"/>
  <c r="BP193" i="5"/>
  <c r="CW2" i="23"/>
  <c r="Z194" i="5"/>
  <c r="CN6" i="23"/>
  <c r="V183" i="5"/>
  <c r="BL182" i="5"/>
  <c r="AJ7" i="23"/>
  <c r="U111" i="5"/>
  <c r="DX2" i="23"/>
  <c r="Z229" i="5"/>
  <c r="DS229" i="5"/>
  <c r="DX15" i="24" s="1"/>
  <c r="DN229" i="5"/>
  <c r="DR229" i="5"/>
  <c r="DH229" i="5" s="1"/>
  <c r="DQ229" i="5"/>
  <c r="DP229" i="5"/>
  <c r="DO229" i="5"/>
  <c r="DX19" i="24" s="1"/>
  <c r="DM229" i="5"/>
  <c r="DX21" i="24" s="1"/>
  <c r="DL229" i="5"/>
  <c r="DX22" i="24" s="1"/>
  <c r="DK229" i="5"/>
  <c r="DI229" i="5"/>
  <c r="DJ229" i="5"/>
  <c r="DX24" i="24" s="1"/>
  <c r="DT229" i="5"/>
  <c r="DX14" i="24" s="1"/>
  <c r="Y3" i="23"/>
  <c r="Y98" i="5"/>
  <c r="S63" i="5"/>
  <c r="E156" i="1"/>
  <c r="BN146" i="5"/>
  <c r="BM4" i="23"/>
  <c r="X147" i="5"/>
  <c r="DP10" i="23"/>
  <c r="R216" i="5"/>
  <c r="CX12" i="23"/>
  <c r="P195" i="5"/>
  <c r="DI195" i="5"/>
  <c r="DP195" i="5"/>
  <c r="DT195" i="5"/>
  <c r="CX14" i="24" s="1"/>
  <c r="DS195" i="5"/>
  <c r="DR195" i="5"/>
  <c r="DH195" i="5" s="1"/>
  <c r="DQ195" i="5"/>
  <c r="DO195" i="5"/>
  <c r="CX19" i="24" s="1"/>
  <c r="DN195" i="5"/>
  <c r="CX20" i="24" s="1"/>
  <c r="DM195" i="5"/>
  <c r="DL195" i="5"/>
  <c r="DK195" i="5"/>
  <c r="DJ195" i="5"/>
  <c r="CX24" i="24" s="1"/>
  <c r="AK5" i="23"/>
  <c r="W112" i="5"/>
  <c r="Q7" i="23"/>
  <c r="U88" i="5"/>
  <c r="BK87" i="5"/>
  <c r="BN76" i="5"/>
  <c r="BR76" i="5" s="1"/>
  <c r="G4" i="23"/>
  <c r="X77" i="5"/>
  <c r="AB77" i="5" s="1"/>
  <c r="DH43" i="23"/>
  <c r="DA205" i="5"/>
  <c r="AS4" i="23"/>
  <c r="X123" i="5"/>
  <c r="DO48" i="23"/>
  <c r="CV214" i="5"/>
  <c r="H58" i="5"/>
  <c r="DV5" i="23"/>
  <c r="W226" i="5"/>
  <c r="BL13" i="23"/>
  <c r="O145" i="5"/>
  <c r="BQ145" i="5"/>
  <c r="AH6" i="23"/>
  <c r="V109" i="5"/>
  <c r="DI109" i="5"/>
  <c r="DS109" i="5"/>
  <c r="DR109" i="5"/>
  <c r="AH16" i="24" s="1"/>
  <c r="DT109" i="5"/>
  <c r="DQ109" i="5"/>
  <c r="DP109" i="5"/>
  <c r="DN109" i="5"/>
  <c r="AH20" i="24" s="1"/>
  <c r="DM109" i="5"/>
  <c r="DL109" i="5"/>
  <c r="DK109" i="5"/>
  <c r="DO109" i="5"/>
  <c r="AH19" i="24" s="1"/>
  <c r="DJ109" i="5"/>
  <c r="BK38" i="5"/>
  <c r="U39" i="5"/>
  <c r="CA6" i="23"/>
  <c r="V167" i="5"/>
  <c r="DC6" i="23"/>
  <c r="V200" i="5"/>
  <c r="CJ9" i="23"/>
  <c r="S177" i="5"/>
  <c r="CW104" i="5"/>
  <c r="AD47" i="23"/>
  <c r="S13" i="23"/>
  <c r="BQ92" i="5"/>
  <c r="O92" i="5"/>
  <c r="X247" i="5"/>
  <c r="AB247" i="5" s="1"/>
  <c r="BN209" i="5"/>
  <c r="BR209" i="5" s="1"/>
  <c r="DK4" i="23"/>
  <c r="X210" i="5"/>
  <c r="DA49" i="23"/>
  <c r="DG198" i="5"/>
  <c r="CH2" i="23"/>
  <c r="Z175" i="5"/>
  <c r="CV150" i="5"/>
  <c r="BP48" i="23"/>
  <c r="R40" i="23"/>
  <c r="DD90" i="5"/>
  <c r="T68" i="5"/>
  <c r="DG45" i="5"/>
  <c r="DU4" i="23"/>
  <c r="X225" i="5"/>
  <c r="CU13" i="23"/>
  <c r="BQ191" i="5"/>
  <c r="O191" i="5"/>
  <c r="AP8" i="23"/>
  <c r="T120" i="5"/>
  <c r="W13" i="23"/>
  <c r="BQ96" i="5"/>
  <c r="O96" i="5"/>
  <c r="BM13" i="5"/>
  <c r="W14" i="5"/>
  <c r="Q179" i="5"/>
  <c r="BG178" i="5"/>
  <c r="CK11" i="23"/>
  <c r="BI49" i="23"/>
  <c r="DG142" i="5"/>
  <c r="Q165" i="5"/>
  <c r="BY11" i="23"/>
  <c r="BG164" i="5"/>
  <c r="D42" i="23"/>
  <c r="DL7" i="23"/>
  <c r="U211" i="5"/>
  <c r="CI49" i="23"/>
  <c r="DG176" i="5"/>
  <c r="BQ7" i="23"/>
  <c r="U152" i="5"/>
  <c r="U69" i="5"/>
  <c r="N4" i="23"/>
  <c r="X84" i="5"/>
  <c r="Q25" i="5"/>
  <c r="BS166" i="5"/>
  <c r="BZ5" i="24"/>
  <c r="BZ9" i="24"/>
  <c r="BZ10" i="24"/>
  <c r="BZ11" i="24"/>
  <c r="BZ12" i="24"/>
  <c r="BZ8" i="24"/>
  <c r="BZ3" i="24"/>
  <c r="BZ4" i="24"/>
  <c r="BZ2" i="24"/>
  <c r="BZ6" i="24"/>
  <c r="BZ7" i="24"/>
  <c r="M10" i="23"/>
  <c r="R83" i="5"/>
  <c r="CZ27" i="5"/>
  <c r="DD187" i="5"/>
  <c r="CR40" i="23"/>
  <c r="T10" i="23"/>
  <c r="R93" i="5"/>
  <c r="P34" i="5"/>
  <c r="AW6" i="23"/>
  <c r="V127" i="5"/>
  <c r="CZ12" i="23"/>
  <c r="P197" i="5"/>
  <c r="BS185" i="5"/>
  <c r="CP2" i="24"/>
  <c r="CP3" i="24"/>
  <c r="CP4" i="24"/>
  <c r="CP5" i="24"/>
  <c r="CP10" i="24"/>
  <c r="CP8" i="24"/>
  <c r="CP6" i="24"/>
  <c r="CP9" i="24"/>
  <c r="CP11" i="24"/>
  <c r="CP7" i="24"/>
  <c r="CP12" i="24"/>
  <c r="BS67" i="5"/>
  <c r="CY13" i="23"/>
  <c r="O196" i="5"/>
  <c r="BQ196" i="5"/>
  <c r="DI184" i="5"/>
  <c r="DP184" i="5"/>
  <c r="DN184" i="5"/>
  <c r="CO20" i="24" s="1"/>
  <c r="DM184" i="5"/>
  <c r="CO21" i="24" s="1"/>
  <c r="DR184" i="5"/>
  <c r="DH184" i="5" s="1"/>
  <c r="DQ184" i="5"/>
  <c r="DO184" i="5"/>
  <c r="DT184" i="5"/>
  <c r="CO14" i="24" s="1"/>
  <c r="DS184" i="5"/>
  <c r="DL184" i="5"/>
  <c r="DK184" i="5"/>
  <c r="DJ184" i="5"/>
  <c r="CO24" i="24" s="1"/>
  <c r="BE13" i="23"/>
  <c r="BQ137" i="5"/>
  <c r="O137" i="5"/>
  <c r="AL8" i="23"/>
  <c r="T113" i="5"/>
  <c r="BP57" i="5"/>
  <c r="Z55" i="5"/>
  <c r="Z57" i="5" s="1"/>
  <c r="U31" i="5"/>
  <c r="BK29" i="5"/>
  <c r="CN39" i="23"/>
  <c r="DE182" i="5"/>
  <c r="BS134" i="5"/>
  <c r="BB10" i="24"/>
  <c r="BB4" i="24"/>
  <c r="BB5" i="24"/>
  <c r="BB8" i="24"/>
  <c r="BB12" i="24"/>
  <c r="BB6" i="24"/>
  <c r="BB11" i="24"/>
  <c r="BB2" i="24"/>
  <c r="BB3" i="24"/>
  <c r="BB7" i="24"/>
  <c r="BB9" i="24"/>
  <c r="CD133" i="5"/>
  <c r="CC133" i="5"/>
  <c r="BU133" i="5"/>
  <c r="BT133" i="5"/>
  <c r="CB133" i="5"/>
  <c r="CA133" i="5"/>
  <c r="BZ133" i="5"/>
  <c r="BY133" i="5"/>
  <c r="BX133" i="5"/>
  <c r="BW133" i="5"/>
  <c r="BV133" i="5"/>
  <c r="BM227" i="5"/>
  <c r="DW5" i="23"/>
  <c r="W228" i="5"/>
  <c r="BM46" i="23"/>
  <c r="CX146" i="5"/>
  <c r="Y64" i="5"/>
  <c r="DB157" i="5"/>
  <c r="BT42" i="23"/>
  <c r="DP7" i="23"/>
  <c r="U216" i="5"/>
  <c r="BV8" i="24"/>
  <c r="BV2" i="24"/>
  <c r="BV7" i="24"/>
  <c r="BV3" i="24"/>
  <c r="BV4" i="24"/>
  <c r="BV5" i="24"/>
  <c r="BV12" i="24"/>
  <c r="BV6" i="24"/>
  <c r="BV10" i="24"/>
  <c r="BV9" i="24"/>
  <c r="BV11" i="24"/>
  <c r="BS160" i="5"/>
  <c r="AK2" i="23"/>
  <c r="Z112" i="5"/>
  <c r="AA3" i="23"/>
  <c r="Y100" i="5"/>
  <c r="Q45" i="23"/>
  <c r="CY87" i="5"/>
  <c r="G39" i="23"/>
  <c r="DE76" i="5"/>
  <c r="T42" i="5"/>
  <c r="BF205" i="5"/>
  <c r="DH12" i="23"/>
  <c r="P206" i="5"/>
  <c r="BU9" i="23"/>
  <c r="S159" i="5"/>
  <c r="AS10" i="23"/>
  <c r="R123" i="5"/>
  <c r="CD12" i="23"/>
  <c r="P170" i="5"/>
  <c r="AI9" i="23"/>
  <c r="S110" i="5"/>
  <c r="BI241" i="5"/>
  <c r="EB9" i="23" s="1"/>
  <c r="S242" i="5"/>
  <c r="Q215" i="5"/>
  <c r="BG214" i="5"/>
  <c r="DO11" i="23"/>
  <c r="AO8" i="1"/>
  <c r="DG10" i="23"/>
  <c r="R204" i="5"/>
  <c r="BS192" i="5"/>
  <c r="CV8" i="24"/>
  <c r="CV4" i="24"/>
  <c r="CV10" i="24"/>
  <c r="CV3" i="24"/>
  <c r="CV2" i="24"/>
  <c r="CV9" i="24"/>
  <c r="CV11" i="24"/>
  <c r="CV5" i="24"/>
  <c r="CV12" i="24"/>
  <c r="CV7" i="24"/>
  <c r="CV6" i="24"/>
  <c r="CC12" i="23"/>
  <c r="P169" i="5"/>
  <c r="BL10" i="23"/>
  <c r="R145" i="5"/>
  <c r="X11" i="23"/>
  <c r="Q97" i="5"/>
  <c r="P13" i="23"/>
  <c r="BQ86" i="5"/>
  <c r="O86" i="5"/>
  <c r="BF38" i="5"/>
  <c r="P39" i="5"/>
  <c r="CJ11" i="23"/>
  <c r="Q177" i="5"/>
  <c r="S11" i="23"/>
  <c r="Q92" i="5"/>
  <c r="Z247" i="5"/>
  <c r="DK10" i="23"/>
  <c r="R210" i="5"/>
  <c r="BH209" i="5"/>
  <c r="BF39" i="23"/>
  <c r="DE138" i="5"/>
  <c r="V45" i="5"/>
  <c r="CU12" i="23"/>
  <c r="P191" i="5"/>
  <c r="BS180" i="5"/>
  <c r="CL9" i="24"/>
  <c r="CL6" i="24"/>
  <c r="CL8" i="24"/>
  <c r="CL7" i="24"/>
  <c r="CL5" i="24"/>
  <c r="CL12" i="24"/>
  <c r="CL3" i="24"/>
  <c r="CL11" i="24"/>
  <c r="CL2" i="24"/>
  <c r="CL10" i="24"/>
  <c r="CL4" i="24"/>
  <c r="BK4" i="23"/>
  <c r="X144" i="5"/>
  <c r="BA9" i="23"/>
  <c r="S132" i="5"/>
  <c r="BS96" i="5"/>
  <c r="W4" i="24"/>
  <c r="W9" i="24"/>
  <c r="W12" i="24"/>
  <c r="W3" i="24"/>
  <c r="W5" i="24"/>
  <c r="W7" i="24"/>
  <c r="W8" i="24"/>
  <c r="W11" i="24"/>
  <c r="W2" i="24"/>
  <c r="W6" i="24"/>
  <c r="W10" i="24"/>
  <c r="BN13" i="5"/>
  <c r="X14" i="5"/>
  <c r="CK43" i="23"/>
  <c r="DA178" i="5"/>
  <c r="BI12" i="23"/>
  <c r="P142" i="5"/>
  <c r="AE9" i="23"/>
  <c r="S106" i="5"/>
  <c r="Q36" i="5"/>
  <c r="BY43" i="23"/>
  <c r="DA164" i="5"/>
  <c r="DR9" i="23"/>
  <c r="S221" i="5"/>
  <c r="DL9" i="23"/>
  <c r="S211" i="5"/>
  <c r="BQ6" i="23"/>
  <c r="V152" i="5"/>
  <c r="DI152" i="5"/>
  <c r="DP152" i="5"/>
  <c r="DQ152" i="5"/>
  <c r="DO152" i="5"/>
  <c r="BQ19" i="24" s="1"/>
  <c r="DR152" i="5"/>
  <c r="BQ16" i="24" s="1"/>
  <c r="DN152" i="5"/>
  <c r="BQ20" i="24" s="1"/>
  <c r="DM152" i="5"/>
  <c r="BQ21" i="24" s="1"/>
  <c r="DT152" i="5"/>
  <c r="DS152" i="5"/>
  <c r="DL152" i="5"/>
  <c r="BQ22" i="24" s="1"/>
  <c r="DK152" i="5"/>
  <c r="BQ23" i="24" s="1"/>
  <c r="DJ152" i="5"/>
  <c r="BQ24" i="24" s="1"/>
  <c r="DE49" i="23"/>
  <c r="DG202" i="5"/>
  <c r="CT9" i="23"/>
  <c r="S190" i="5"/>
  <c r="AZ8" i="23"/>
  <c r="T131" i="5"/>
  <c r="AO3" i="23"/>
  <c r="Y119" i="5"/>
  <c r="N3" i="23"/>
  <c r="Y84" i="5"/>
  <c r="BQ25" i="5"/>
  <c r="O25" i="5"/>
  <c r="BZ13" i="23"/>
  <c r="O166" i="5"/>
  <c r="BQ166" i="5"/>
  <c r="AY42" i="23"/>
  <c r="DB129" i="5"/>
  <c r="M5" i="23"/>
  <c r="W83" i="5"/>
  <c r="L10" i="23"/>
  <c r="R82" i="5"/>
  <c r="AW4" i="23"/>
  <c r="X127" i="5"/>
  <c r="DI185" i="5"/>
  <c r="DP185" i="5"/>
  <c r="CP18" i="24" s="1"/>
  <c r="DQ185" i="5"/>
  <c r="DO185" i="5"/>
  <c r="DT185" i="5"/>
  <c r="DS185" i="5"/>
  <c r="CP15" i="24" s="1"/>
  <c r="DN185" i="5"/>
  <c r="CP20" i="24" s="1"/>
  <c r="DM185" i="5"/>
  <c r="CP21" i="24" s="1"/>
  <c r="DL185" i="5"/>
  <c r="DK185" i="5"/>
  <c r="CP23" i="24" s="1"/>
  <c r="DJ185" i="5"/>
  <c r="CP24" i="24" s="1"/>
  <c r="DR185" i="5"/>
  <c r="CP16" i="24" s="1"/>
  <c r="BX8" i="23"/>
  <c r="T162" i="5"/>
  <c r="AV9" i="23"/>
  <c r="S126" i="5"/>
  <c r="DS67" i="5"/>
  <c r="AM67" i="5" s="1"/>
  <c r="DR67" i="5"/>
  <c r="AL67" i="5" s="1"/>
  <c r="DJ67" i="5"/>
  <c r="AD67" i="5" s="1"/>
  <c r="DI67" i="5"/>
  <c r="DQ67" i="5"/>
  <c r="AK67" i="5" s="1"/>
  <c r="DO67" i="5"/>
  <c r="AI67" i="5" s="1"/>
  <c r="DN67" i="5"/>
  <c r="AH67" i="5" s="1"/>
  <c r="DM67" i="5"/>
  <c r="AG67" i="5" s="1"/>
  <c r="DL67" i="5"/>
  <c r="AF67" i="5" s="1"/>
  <c r="DT67" i="5"/>
  <c r="AN67" i="5" s="1"/>
  <c r="DP67" i="5"/>
  <c r="AJ67" i="5" s="1"/>
  <c r="DK67" i="5"/>
  <c r="AE67" i="5" s="1"/>
  <c r="DG44" i="5"/>
  <c r="DJ2" i="23"/>
  <c r="Z208" i="5"/>
  <c r="CO4" i="23"/>
  <c r="X184" i="5"/>
  <c r="BO9" i="23"/>
  <c r="S149" i="5"/>
  <c r="AL5" i="23"/>
  <c r="W113" i="5"/>
  <c r="BS101" i="5"/>
  <c r="AB10" i="24"/>
  <c r="AB6" i="24"/>
  <c r="AB7" i="24"/>
  <c r="AB5" i="24"/>
  <c r="AB11" i="24"/>
  <c r="AB2" i="24"/>
  <c r="AB9" i="24"/>
  <c r="AB3" i="24"/>
  <c r="AB12" i="24"/>
  <c r="AB4" i="24"/>
  <c r="AB8" i="24"/>
  <c r="CW3" i="23"/>
  <c r="BO193" i="5"/>
  <c r="Y194" i="5"/>
  <c r="BM182" i="5"/>
  <c r="CN5" i="23"/>
  <c r="W183" i="5"/>
  <c r="BB13" i="23"/>
  <c r="O134" i="5"/>
  <c r="BE133" i="5"/>
  <c r="BQ134" i="5"/>
  <c r="DE227" i="5"/>
  <c r="DW39" i="23"/>
  <c r="DD146" i="5"/>
  <c r="BM40" i="23"/>
  <c r="BT2" i="24"/>
  <c r="BT7" i="24"/>
  <c r="BT3" i="24"/>
  <c r="BT5" i="24"/>
  <c r="BT8" i="24"/>
  <c r="BT6" i="24"/>
  <c r="BT12" i="24"/>
  <c r="BT4" i="24"/>
  <c r="BT9" i="24"/>
  <c r="BT11" i="24"/>
  <c r="BT10" i="24"/>
  <c r="BS158" i="5"/>
  <c r="BZ157" i="5"/>
  <c r="BY157" i="5"/>
  <c r="CA157" i="5"/>
  <c r="BW157" i="5"/>
  <c r="BX157" i="5"/>
  <c r="BU157" i="5"/>
  <c r="BT157" i="5"/>
  <c r="CD157" i="5"/>
  <c r="CC157" i="5"/>
  <c r="CB157" i="5"/>
  <c r="BV157" i="5"/>
  <c r="DP6" i="23"/>
  <c r="V216" i="5"/>
  <c r="DI5" i="23"/>
  <c r="W207" i="5"/>
  <c r="BV5" i="23"/>
  <c r="W160" i="5"/>
  <c r="AT10" i="23"/>
  <c r="R124" i="5"/>
  <c r="DR88" i="5"/>
  <c r="DH88" i="5" s="1"/>
  <c r="DQ88" i="5"/>
  <c r="AK88" i="5" s="1"/>
  <c r="DT88" i="5"/>
  <c r="AN88" i="5" s="1"/>
  <c r="DS88" i="5"/>
  <c r="AM88" i="5" s="1"/>
  <c r="DP88" i="5"/>
  <c r="AJ88" i="5" s="1"/>
  <c r="DN88" i="5"/>
  <c r="DM88" i="5"/>
  <c r="DL88" i="5"/>
  <c r="AF88" i="5" s="1"/>
  <c r="DK88" i="5"/>
  <c r="AE88" i="5" s="1"/>
  <c r="DJ88" i="5"/>
  <c r="DO88" i="5"/>
  <c r="DI88" i="5"/>
  <c r="Y65" i="5"/>
  <c r="BS245" i="5"/>
  <c r="BU8" i="23"/>
  <c r="T159" i="5"/>
  <c r="BS244" i="5"/>
  <c r="W40" i="5"/>
  <c r="DO10" i="23"/>
  <c r="R215" i="5"/>
  <c r="BH214" i="5"/>
  <c r="D43" i="5"/>
  <c r="D47" i="5" s="1"/>
  <c r="DV11" i="23"/>
  <c r="Q226" i="5"/>
  <c r="DG7" i="23"/>
  <c r="U204" i="5"/>
  <c r="BL4" i="23"/>
  <c r="X145" i="5"/>
  <c r="AQ10" i="23"/>
  <c r="R121" i="5"/>
  <c r="X3" i="23"/>
  <c r="Y97" i="5"/>
  <c r="BH54" i="5"/>
  <c r="R51" i="5"/>
  <c r="R54" i="5" s="1"/>
  <c r="CJ49" i="23"/>
  <c r="DG177" i="5"/>
  <c r="BH10" i="23"/>
  <c r="R141" i="5"/>
  <c r="BG2" i="23"/>
  <c r="Z140" i="5"/>
  <c r="BS140" i="5"/>
  <c r="BG9" i="24"/>
  <c r="BG12" i="24"/>
  <c r="BG2" i="24"/>
  <c r="BG7" i="24"/>
  <c r="BG3" i="24"/>
  <c r="BG4" i="24"/>
  <c r="BG8" i="24"/>
  <c r="BG5" i="24"/>
  <c r="BG6" i="24"/>
  <c r="BG11" i="24"/>
  <c r="BG10" i="24"/>
  <c r="K10" i="23"/>
  <c r="R81" i="5"/>
  <c r="DC219" i="5"/>
  <c r="DQ41" i="23"/>
  <c r="DK41" i="23"/>
  <c r="DC209" i="5"/>
  <c r="CQ6" i="23"/>
  <c r="V186" i="5"/>
  <c r="CH4" i="23"/>
  <c r="X175" i="5"/>
  <c r="CY150" i="5"/>
  <c r="BP45" i="23"/>
  <c r="R47" i="23"/>
  <c r="CW90" i="5"/>
  <c r="V68" i="5"/>
  <c r="DU3" i="23"/>
  <c r="Y225" i="5"/>
  <c r="CU8" i="23"/>
  <c r="T191" i="5"/>
  <c r="CL13" i="23"/>
  <c r="BQ180" i="5"/>
  <c r="O180" i="5"/>
  <c r="BA8" i="23"/>
  <c r="T132" i="5"/>
  <c r="O2" i="23"/>
  <c r="Z85" i="5"/>
  <c r="DF60" i="5"/>
  <c r="CK10" i="23"/>
  <c r="R179" i="5"/>
  <c r="BH178" i="5"/>
  <c r="V35" i="5"/>
  <c r="D3" i="23"/>
  <c r="Y7" i="5"/>
  <c r="DL6" i="23"/>
  <c r="V211" i="5"/>
  <c r="W46" i="5"/>
  <c r="AZ13" i="23"/>
  <c r="BQ131" i="5"/>
  <c r="O131" i="5"/>
  <c r="U25" i="5"/>
  <c r="BZ12" i="23"/>
  <c r="P166" i="5"/>
  <c r="AY46" i="23"/>
  <c r="CX129" i="5"/>
  <c r="DF27" i="5"/>
  <c r="DD116" i="5"/>
  <c r="AM40" i="23"/>
  <c r="T9" i="23"/>
  <c r="S93" i="5"/>
  <c r="T34" i="5"/>
  <c r="U246" i="5"/>
  <c r="CZ10" i="23"/>
  <c r="R197" i="5"/>
  <c r="BS174" i="5"/>
  <c r="CG4" i="24"/>
  <c r="CG7" i="24"/>
  <c r="CG2" i="24"/>
  <c r="CG12" i="24"/>
  <c r="CG10" i="24"/>
  <c r="CG3" i="24"/>
  <c r="CG9" i="24"/>
  <c r="CG11" i="24"/>
  <c r="CG5" i="24"/>
  <c r="CG8" i="24"/>
  <c r="CG6" i="24"/>
  <c r="AV6" i="23"/>
  <c r="V126" i="5"/>
  <c r="AC4" i="23"/>
  <c r="X102" i="5"/>
  <c r="I5" i="23"/>
  <c r="W79" i="5"/>
  <c r="X32" i="5"/>
  <c r="AB32" i="5" s="1"/>
  <c r="X20" i="5"/>
  <c r="CY12" i="23"/>
  <c r="P196" i="5"/>
  <c r="CO2" i="23"/>
  <c r="Z184" i="5"/>
  <c r="BW3" i="23"/>
  <c r="Y161" i="5"/>
  <c r="AB12" i="23"/>
  <c r="P101" i="5"/>
  <c r="DR101" i="5"/>
  <c r="AB16" i="24" s="1"/>
  <c r="DQ101" i="5"/>
  <c r="DS101" i="5"/>
  <c r="DP101" i="5"/>
  <c r="AB18" i="24" s="1"/>
  <c r="DO101" i="5"/>
  <c r="AB19" i="24" s="1"/>
  <c r="DT101" i="5"/>
  <c r="DN101" i="5"/>
  <c r="AB20" i="24" s="1"/>
  <c r="DM101" i="5"/>
  <c r="AB21" i="24" s="1"/>
  <c r="DL101" i="5"/>
  <c r="AB22" i="24" s="1"/>
  <c r="DK101" i="5"/>
  <c r="DJ101" i="5"/>
  <c r="AB24" i="24" s="1"/>
  <c r="DI101" i="5"/>
  <c r="BN29" i="5"/>
  <c r="BR29" i="5" s="1"/>
  <c r="X31" i="5"/>
  <c r="AB31" i="5" s="1"/>
  <c r="P183" i="5"/>
  <c r="CN12" i="23"/>
  <c r="BF182" i="5"/>
  <c r="BG133" i="5"/>
  <c r="BB11" i="23"/>
  <c r="Q134" i="5"/>
  <c r="DS228" i="5"/>
  <c r="AM228" i="5" s="1"/>
  <c r="DN228" i="5"/>
  <c r="DP228" i="5"/>
  <c r="DO228" i="5"/>
  <c r="DM228" i="5"/>
  <c r="DI228" i="5"/>
  <c r="DT228" i="5"/>
  <c r="AN228" i="5" s="1"/>
  <c r="DR228" i="5"/>
  <c r="AL228" i="5" s="1"/>
  <c r="DQ228" i="5"/>
  <c r="AK228" i="5" s="1"/>
  <c r="DL228" i="5"/>
  <c r="DJ228" i="5"/>
  <c r="DK228" i="5"/>
  <c r="Z7" i="23"/>
  <c r="U99" i="5"/>
  <c r="Q64" i="5"/>
  <c r="BT8" i="23"/>
  <c r="T158" i="5"/>
  <c r="BJ157" i="5"/>
  <c r="DI158" i="5"/>
  <c r="DP158" i="5"/>
  <c r="AJ158" i="5" s="1"/>
  <c r="DJ158" i="5"/>
  <c r="DO158" i="5"/>
  <c r="AI158" i="5" s="1"/>
  <c r="DN158" i="5"/>
  <c r="DM158" i="5"/>
  <c r="AG158" i="5" s="1"/>
  <c r="DS158" i="5"/>
  <c r="DQ158" i="5"/>
  <c r="AK158" i="5" s="1"/>
  <c r="DL158" i="5"/>
  <c r="DK158" i="5"/>
  <c r="DT158" i="5"/>
  <c r="AN158" i="5" s="1"/>
  <c r="DR158" i="5"/>
  <c r="AL158" i="5" s="1"/>
  <c r="DP5" i="23"/>
  <c r="W216" i="5"/>
  <c r="CX5" i="23"/>
  <c r="W195" i="5"/>
  <c r="BV4" i="23"/>
  <c r="X160" i="5"/>
  <c r="BN13" i="23"/>
  <c r="BQ148" i="5"/>
  <c r="O148" i="5"/>
  <c r="Q43" i="23"/>
  <c r="DA87" i="5"/>
  <c r="BS77" i="5"/>
  <c r="G3" i="24"/>
  <c r="G8" i="24"/>
  <c r="G11" i="24"/>
  <c r="G12" i="24"/>
  <c r="G10" i="24"/>
  <c r="G9" i="24"/>
  <c r="G6" i="24"/>
  <c r="G7" i="24"/>
  <c r="G2" i="24"/>
  <c r="G5" i="24"/>
  <c r="G4" i="24"/>
  <c r="BX76" i="5"/>
  <c r="BW76" i="5"/>
  <c r="CA76" i="5"/>
  <c r="BZ76" i="5"/>
  <c r="BY76" i="5"/>
  <c r="CD76" i="5"/>
  <c r="CC76" i="5"/>
  <c r="CB76" i="5"/>
  <c r="BV76" i="5"/>
  <c r="BU76" i="5"/>
  <c r="BT76" i="5"/>
  <c r="DH42" i="23"/>
  <c r="DB205" i="5"/>
  <c r="AS13" i="23"/>
  <c r="BQ123" i="5"/>
  <c r="O123" i="5"/>
  <c r="AS9" i="23"/>
  <c r="S123" i="5"/>
  <c r="DS244" i="5"/>
  <c r="AM244" i="5" s="1"/>
  <c r="DR244" i="5"/>
  <c r="AL244" i="5" s="1"/>
  <c r="DQ244" i="5"/>
  <c r="AK244" i="5" s="1"/>
  <c r="DP244" i="5"/>
  <c r="AJ244" i="5" s="1"/>
  <c r="DO244" i="5"/>
  <c r="AI244" i="5" s="1"/>
  <c r="DN244" i="5"/>
  <c r="AH244" i="5" s="1"/>
  <c r="DM244" i="5"/>
  <c r="AG244" i="5" s="1"/>
  <c r="DL244" i="5"/>
  <c r="AF244" i="5" s="1"/>
  <c r="DK244" i="5"/>
  <c r="AE244" i="5" s="1"/>
  <c r="DJ244" i="5"/>
  <c r="AD244" i="5" s="1"/>
  <c r="DI244" i="5"/>
  <c r="DT244" i="5"/>
  <c r="AN244" i="5" s="1"/>
  <c r="X16" i="5"/>
  <c r="BO214" i="5"/>
  <c r="DO3" i="23"/>
  <c r="Y215" i="5"/>
  <c r="K75" i="5"/>
  <c r="G70" i="5"/>
  <c r="DV3" i="23"/>
  <c r="Y226" i="5"/>
  <c r="DG6" i="23"/>
  <c r="V204" i="5"/>
  <c r="BL11" i="23"/>
  <c r="Q145" i="5"/>
  <c r="AQ8" i="23"/>
  <c r="T121" i="5"/>
  <c r="AH4" i="23"/>
  <c r="X109" i="5"/>
  <c r="W62" i="5"/>
  <c r="DB58" i="5"/>
  <c r="BO38" i="5"/>
  <c r="Y39" i="5"/>
  <c r="BI38" i="5"/>
  <c r="S39" i="5"/>
  <c r="U15" i="5"/>
  <c r="CA10" i="23"/>
  <c r="R167" i="5"/>
  <c r="DD13" i="23"/>
  <c r="O201" i="5"/>
  <c r="BQ201" i="5"/>
  <c r="DD8" i="23"/>
  <c r="T201" i="5"/>
  <c r="BS201" i="5"/>
  <c r="DD6" i="24"/>
  <c r="DD3" i="24"/>
  <c r="DD4" i="24"/>
  <c r="DD9" i="24"/>
  <c r="DD10" i="24"/>
  <c r="DD7" i="24"/>
  <c r="DD12" i="24"/>
  <c r="DD8" i="24"/>
  <c r="DD11" i="24"/>
  <c r="DD2" i="24"/>
  <c r="DD5" i="24"/>
  <c r="BS5" i="23"/>
  <c r="W154" i="5"/>
  <c r="U9" i="23"/>
  <c r="S94" i="5"/>
  <c r="DC8" i="23"/>
  <c r="T200" i="5"/>
  <c r="BS200" i="5"/>
  <c r="DC9" i="24"/>
  <c r="DC12" i="24"/>
  <c r="DC6" i="24"/>
  <c r="DC10" i="24"/>
  <c r="DC11" i="24"/>
  <c r="DC8" i="24"/>
  <c r="DC7" i="24"/>
  <c r="DC3" i="24"/>
  <c r="DC5" i="24"/>
  <c r="DC2" i="24"/>
  <c r="DC4" i="24"/>
  <c r="BH5" i="23"/>
  <c r="W141" i="5"/>
  <c r="AD45" i="23"/>
  <c r="CY104" i="5"/>
  <c r="AD49" i="23"/>
  <c r="CU104" i="5"/>
  <c r="DG105" i="5"/>
  <c r="BG3" i="23"/>
  <c r="Y140" i="5"/>
  <c r="BG12" i="23"/>
  <c r="P140" i="5"/>
  <c r="AX8" i="23"/>
  <c r="T128" i="5"/>
  <c r="AX12" i="23"/>
  <c r="P128" i="5"/>
  <c r="BS128" i="5"/>
  <c r="AX4" i="24"/>
  <c r="AX11" i="24"/>
  <c r="AX12" i="24"/>
  <c r="AX8" i="24"/>
  <c r="AX9" i="24"/>
  <c r="AX10" i="24"/>
  <c r="AX5" i="24"/>
  <c r="AX2" i="24"/>
  <c r="AX6" i="24"/>
  <c r="AX7" i="24"/>
  <c r="AX3" i="24"/>
  <c r="S4" i="23"/>
  <c r="X92" i="5"/>
  <c r="K9" i="23"/>
  <c r="S81" i="5"/>
  <c r="P247" i="5"/>
  <c r="BS247" i="5"/>
  <c r="DE219" i="5"/>
  <c r="DQ39" i="23"/>
  <c r="CY219" i="5"/>
  <c r="DQ45" i="23"/>
  <c r="DE209" i="5"/>
  <c r="DK39" i="23"/>
  <c r="BO209" i="5"/>
  <c r="DK3" i="23"/>
  <c r="Y210" i="5"/>
  <c r="DA9" i="23"/>
  <c r="S198" i="5"/>
  <c r="CQ4" i="23"/>
  <c r="X186" i="5"/>
  <c r="CQ10" i="23"/>
  <c r="R186" i="5"/>
  <c r="CH13" i="23"/>
  <c r="BQ175" i="5"/>
  <c r="O175" i="5"/>
  <c r="CH3" i="23"/>
  <c r="Y175" i="5"/>
  <c r="BF150" i="5"/>
  <c r="BP12" i="23"/>
  <c r="P151" i="5"/>
  <c r="BN150" i="5"/>
  <c r="BP4" i="23"/>
  <c r="X151" i="5"/>
  <c r="AB151" i="5" s="1"/>
  <c r="BS151" i="5"/>
  <c r="BP6" i="24"/>
  <c r="BP4" i="24"/>
  <c r="BP12" i="24"/>
  <c r="BP10" i="24"/>
  <c r="BP7" i="24"/>
  <c r="BP11" i="24"/>
  <c r="BP9" i="24"/>
  <c r="BP3" i="24"/>
  <c r="BP5" i="24"/>
  <c r="BP2" i="24"/>
  <c r="BP8" i="24"/>
  <c r="CA150" i="5"/>
  <c r="BZ150" i="5"/>
  <c r="BX150" i="5"/>
  <c r="BW150" i="5"/>
  <c r="BV150" i="5"/>
  <c r="CD150" i="5"/>
  <c r="BY150" i="5"/>
  <c r="BT150" i="5"/>
  <c r="CC150" i="5"/>
  <c r="CB150" i="5"/>
  <c r="BU150" i="5"/>
  <c r="BG138" i="5"/>
  <c r="BF11" i="23"/>
  <c r="Q139" i="5"/>
  <c r="BF45" i="23"/>
  <c r="CY138" i="5"/>
  <c r="DF90" i="5"/>
  <c r="R38" i="23"/>
  <c r="R46" i="23"/>
  <c r="CX90" i="5"/>
  <c r="J6" i="23"/>
  <c r="V80" i="5"/>
  <c r="U45" i="5"/>
  <c r="W33" i="5"/>
  <c r="P21" i="5"/>
  <c r="DU11" i="23"/>
  <c r="Q225" i="5"/>
  <c r="DF11" i="23"/>
  <c r="Q203" i="5"/>
  <c r="DF3" i="23"/>
  <c r="Y203" i="5"/>
  <c r="CL12" i="23"/>
  <c r="P180" i="5"/>
  <c r="CB6" i="23"/>
  <c r="V168" i="5"/>
  <c r="DI168" i="5"/>
  <c r="DP168" i="5"/>
  <c r="DN168" i="5"/>
  <c r="CB20" i="24" s="1"/>
  <c r="DM168" i="5"/>
  <c r="DT168" i="5"/>
  <c r="DO168" i="5"/>
  <c r="DK168" i="5"/>
  <c r="DJ168" i="5"/>
  <c r="DS168" i="5"/>
  <c r="DR168" i="5"/>
  <c r="CB16" i="24" s="1"/>
  <c r="DQ168" i="5"/>
  <c r="DL168" i="5"/>
  <c r="BK3" i="23"/>
  <c r="Y144" i="5"/>
  <c r="BA49" i="23"/>
  <c r="DG132" i="5"/>
  <c r="AP10" i="23"/>
  <c r="R120" i="5"/>
  <c r="AG2" i="23"/>
  <c r="Z108" i="5"/>
  <c r="W3" i="23"/>
  <c r="Y96" i="5"/>
  <c r="W11" i="23"/>
  <c r="Q96" i="5"/>
  <c r="O13" i="23"/>
  <c r="BQ85" i="5"/>
  <c r="O85" i="5"/>
  <c r="DR85" i="5"/>
  <c r="O16" i="24" s="1"/>
  <c r="DQ85" i="5"/>
  <c r="DO85" i="5"/>
  <c r="DN85" i="5"/>
  <c r="DM85" i="5"/>
  <c r="O21" i="24" s="1"/>
  <c r="DT85" i="5"/>
  <c r="O14" i="24" s="1"/>
  <c r="DS85" i="5"/>
  <c r="DP85" i="5"/>
  <c r="DL85" i="5"/>
  <c r="O22" i="24" s="1"/>
  <c r="DK85" i="5"/>
  <c r="O23" i="24" s="1"/>
  <c r="DJ85" i="5"/>
  <c r="DI85" i="5"/>
  <c r="BE13" i="5"/>
  <c r="BE6" i="5" s="1"/>
  <c r="BQ14" i="5"/>
  <c r="O14" i="5"/>
  <c r="BI13" i="5"/>
  <c r="BI6" i="5" s="1"/>
  <c r="S14" i="5"/>
  <c r="BN178" i="5"/>
  <c r="BR178" i="5" s="1"/>
  <c r="CK4" i="23"/>
  <c r="X179" i="5"/>
  <c r="S179" i="5"/>
  <c r="BI178" i="5"/>
  <c r="CK9" i="23"/>
  <c r="CS7" i="23"/>
  <c r="U189" i="5"/>
  <c r="BI8" i="23"/>
  <c r="T142" i="5"/>
  <c r="BI7" i="23"/>
  <c r="U142" i="5"/>
  <c r="BS142" i="5"/>
  <c r="BI4" i="24"/>
  <c r="BI7" i="24"/>
  <c r="BI8" i="24"/>
  <c r="BI6" i="24"/>
  <c r="BI3" i="24"/>
  <c r="BI10" i="24"/>
  <c r="BI11" i="24"/>
  <c r="BI9" i="24"/>
  <c r="BI5" i="24"/>
  <c r="BI12" i="24"/>
  <c r="BI2" i="24"/>
  <c r="AE2" i="23"/>
  <c r="Z106" i="5"/>
  <c r="V36" i="5"/>
  <c r="S36" i="5"/>
  <c r="DM8" i="23"/>
  <c r="T212" i="5"/>
  <c r="DE164" i="5"/>
  <c r="BY39" i="23"/>
  <c r="DD164" i="5"/>
  <c r="BY40" i="23"/>
  <c r="X35" i="5"/>
  <c r="AB35" i="5" s="1"/>
  <c r="R35" i="5"/>
  <c r="D2" i="23"/>
  <c r="Z7" i="5"/>
  <c r="D10" i="23"/>
  <c r="R7" i="5"/>
  <c r="DR5" i="23"/>
  <c r="W221" i="5"/>
  <c r="DL5" i="23"/>
  <c r="W211" i="5"/>
  <c r="CI11" i="23"/>
  <c r="Q176" i="5"/>
  <c r="CI10" i="23"/>
  <c r="R176" i="5"/>
  <c r="BQ10" i="23"/>
  <c r="R152" i="5"/>
  <c r="BP223" i="5"/>
  <c r="DT2" i="23"/>
  <c r="Z224" i="5"/>
  <c r="DT11" i="23"/>
  <c r="BG223" i="5"/>
  <c r="Q224" i="5"/>
  <c r="DS224" i="5"/>
  <c r="DN224" i="5"/>
  <c r="AH224" i="5" s="1"/>
  <c r="DI224" i="5"/>
  <c r="DL224" i="5"/>
  <c r="DJ224" i="5"/>
  <c r="AD224" i="5" s="1"/>
  <c r="DT224" i="5"/>
  <c r="DR224" i="5"/>
  <c r="DQ224" i="5"/>
  <c r="DP224" i="5"/>
  <c r="AJ224" i="5" s="1"/>
  <c r="DO224" i="5"/>
  <c r="DM224" i="5"/>
  <c r="AG224" i="5" s="1"/>
  <c r="DK224" i="5"/>
  <c r="BJ49" i="23"/>
  <c r="DG143" i="5"/>
  <c r="AZ4" i="23"/>
  <c r="X131" i="5"/>
  <c r="AO12" i="23"/>
  <c r="P119" i="5"/>
  <c r="AF49" i="23"/>
  <c r="DG107" i="5"/>
  <c r="DR107" i="5"/>
  <c r="DH107" i="5" s="1"/>
  <c r="DQ107" i="5"/>
  <c r="DM107" i="5"/>
  <c r="AF21" i="24" s="1"/>
  <c r="DL107" i="5"/>
  <c r="AF22" i="24" s="1"/>
  <c r="DK107" i="5"/>
  <c r="AF23" i="24" s="1"/>
  <c r="DJ107" i="5"/>
  <c r="DT107" i="5"/>
  <c r="DP107" i="5"/>
  <c r="DO107" i="5"/>
  <c r="DN107" i="5"/>
  <c r="DI107" i="5"/>
  <c r="DS107" i="5"/>
  <c r="V8" i="23"/>
  <c r="T95" i="5"/>
  <c r="N12" i="23"/>
  <c r="P84" i="5"/>
  <c r="DN9" i="23"/>
  <c r="S213" i="5"/>
  <c r="BZ7" i="23"/>
  <c r="U166" i="5"/>
  <c r="AY47" i="23"/>
  <c r="CW129" i="5"/>
  <c r="CZ129" i="5"/>
  <c r="AY44" i="23"/>
  <c r="AN4" i="23"/>
  <c r="X118" i="5"/>
  <c r="BS118" i="5"/>
  <c r="AN3" i="24"/>
  <c r="AN7" i="24"/>
  <c r="AN9" i="24"/>
  <c r="AN4" i="24"/>
  <c r="AN8" i="24"/>
  <c r="AN12" i="24"/>
  <c r="AN5" i="24"/>
  <c r="AN10" i="24"/>
  <c r="AN2" i="24"/>
  <c r="AN11" i="24"/>
  <c r="AN6" i="24"/>
  <c r="M2" i="23"/>
  <c r="Z83" i="5"/>
  <c r="BJ27" i="5"/>
  <c r="T24" i="5"/>
  <c r="BI27" i="5"/>
  <c r="S24" i="5"/>
  <c r="DS6" i="23"/>
  <c r="V222" i="5"/>
  <c r="CR3" i="23"/>
  <c r="BO187" i="5"/>
  <c r="Y188" i="5"/>
  <c r="CR7" i="23"/>
  <c r="BK187" i="5"/>
  <c r="U188" i="5"/>
  <c r="BR7" i="23"/>
  <c r="U153" i="5"/>
  <c r="AM12" i="23"/>
  <c r="BF116" i="5"/>
  <c r="P117" i="5"/>
  <c r="AM38" i="23"/>
  <c r="DF116" i="5"/>
  <c r="BS117" i="5"/>
  <c r="AM5" i="24"/>
  <c r="AM10" i="24"/>
  <c r="AM7" i="24"/>
  <c r="AM4" i="24"/>
  <c r="AM3" i="24"/>
  <c r="AM8" i="24"/>
  <c r="AM12" i="24"/>
  <c r="AM9" i="24"/>
  <c r="AM11" i="24"/>
  <c r="AM2" i="24"/>
  <c r="AM6" i="24"/>
  <c r="BT116" i="5"/>
  <c r="CD116" i="5"/>
  <c r="CC116" i="5"/>
  <c r="BX116" i="5"/>
  <c r="BW116" i="5"/>
  <c r="BV116" i="5"/>
  <c r="BU116" i="5"/>
  <c r="CB116" i="5"/>
  <c r="CA116" i="5"/>
  <c r="BZ116" i="5"/>
  <c r="BY116" i="5"/>
  <c r="L6" i="23"/>
  <c r="V82" i="5"/>
  <c r="DB12" i="23"/>
  <c r="P199" i="5"/>
  <c r="DB2" i="23"/>
  <c r="Z199" i="5"/>
  <c r="BS199" i="5"/>
  <c r="DB2" i="24"/>
  <c r="DB10" i="24"/>
  <c r="DB6" i="24"/>
  <c r="DB11" i="24"/>
  <c r="DB8" i="24"/>
  <c r="DB9" i="24"/>
  <c r="DB12" i="24"/>
  <c r="DB7" i="24"/>
  <c r="DB3" i="24"/>
  <c r="DB5" i="24"/>
  <c r="DB4" i="24"/>
  <c r="U34" i="5"/>
  <c r="AW9" i="23"/>
  <c r="S127" i="5"/>
  <c r="DG246" i="5"/>
  <c r="W246" i="5"/>
  <c r="DS246" i="5"/>
  <c r="AM246" i="5" s="1"/>
  <c r="DR246" i="5"/>
  <c r="AL246" i="5" s="1"/>
  <c r="DQ246" i="5"/>
  <c r="AK246" i="5" s="1"/>
  <c r="DP246" i="5"/>
  <c r="AJ246" i="5" s="1"/>
  <c r="DO246" i="5"/>
  <c r="AI246" i="5" s="1"/>
  <c r="DN246" i="5"/>
  <c r="AH246" i="5" s="1"/>
  <c r="DM246" i="5"/>
  <c r="AG246" i="5" s="1"/>
  <c r="DL246" i="5"/>
  <c r="AF246" i="5" s="1"/>
  <c r="DK246" i="5"/>
  <c r="AE246" i="5" s="1"/>
  <c r="DJ246" i="5"/>
  <c r="AD246" i="5" s="1"/>
  <c r="DI246" i="5"/>
  <c r="DT246" i="5"/>
  <c r="AN246" i="5" s="1"/>
  <c r="CZ9" i="23"/>
  <c r="S197" i="5"/>
  <c r="CP10" i="23"/>
  <c r="R185" i="5"/>
  <c r="CG3" i="23"/>
  <c r="Y174" i="5"/>
  <c r="BX12" i="23"/>
  <c r="P162" i="5"/>
  <c r="BX5" i="23"/>
  <c r="W162" i="5"/>
  <c r="BX4" i="24"/>
  <c r="BX8" i="24"/>
  <c r="BX9" i="24"/>
  <c r="BX6" i="24"/>
  <c r="BX11" i="24"/>
  <c r="BX5" i="24"/>
  <c r="BX7" i="24"/>
  <c r="BX10" i="24"/>
  <c r="BX12" i="24"/>
  <c r="BX2" i="24"/>
  <c r="BX3" i="24"/>
  <c r="BS162" i="5"/>
  <c r="AV49" i="23"/>
  <c r="DG126" i="5"/>
  <c r="AC9" i="23"/>
  <c r="S102" i="5"/>
  <c r="I13" i="23"/>
  <c r="BQ79" i="5"/>
  <c r="O79" i="5"/>
  <c r="I4" i="23"/>
  <c r="X79" i="5"/>
  <c r="Z44" i="5"/>
  <c r="Z20" i="5"/>
  <c r="DJ8" i="23"/>
  <c r="T208" i="5"/>
  <c r="CY11" i="23"/>
  <c r="Q196" i="5"/>
  <c r="CY10" i="23"/>
  <c r="R196" i="5"/>
  <c r="DE172" i="5"/>
  <c r="CF39" i="23"/>
  <c r="CF7" i="23"/>
  <c r="BK172" i="5"/>
  <c r="U173" i="5"/>
  <c r="BW12" i="23"/>
  <c r="P161" i="5"/>
  <c r="BW2" i="23"/>
  <c r="Z161" i="5"/>
  <c r="DI161" i="5"/>
  <c r="DP161" i="5"/>
  <c r="DQ161" i="5"/>
  <c r="DO161" i="5"/>
  <c r="DM161" i="5"/>
  <c r="BW21" i="24" s="1"/>
  <c r="DL161" i="5"/>
  <c r="DK161" i="5"/>
  <c r="DT161" i="5"/>
  <c r="DS161" i="5"/>
  <c r="DR161" i="5"/>
  <c r="DN161" i="5"/>
  <c r="DJ161" i="5"/>
  <c r="BW24" i="24" s="1"/>
  <c r="BO3" i="23"/>
  <c r="Y149" i="5"/>
  <c r="BE7" i="23"/>
  <c r="U137" i="5"/>
  <c r="AU6" i="23"/>
  <c r="V125" i="5"/>
  <c r="AU9" i="23"/>
  <c r="S125" i="5"/>
  <c r="AL13" i="23"/>
  <c r="O113" i="5"/>
  <c r="BQ113" i="5"/>
  <c r="AB4" i="23"/>
  <c r="X101" i="5"/>
  <c r="AB13" i="23"/>
  <c r="O101" i="5"/>
  <c r="BQ101" i="5"/>
  <c r="BQ89" i="5"/>
  <c r="O89" i="5"/>
  <c r="H13" i="23"/>
  <c r="BQ78" i="5"/>
  <c r="O78" i="5"/>
  <c r="BS78" i="5"/>
  <c r="H3" i="24"/>
  <c r="H4" i="24"/>
  <c r="H11" i="24"/>
  <c r="H10" i="24"/>
  <c r="H5" i="24"/>
  <c r="H6" i="24"/>
  <c r="H9" i="24"/>
  <c r="H12" i="24"/>
  <c r="H7" i="24"/>
  <c r="H8" i="24"/>
  <c r="H2" i="24"/>
  <c r="U55" i="5"/>
  <c r="U57" i="5" s="1"/>
  <c r="BK57" i="5"/>
  <c r="BO29" i="5"/>
  <c r="Y31" i="5"/>
  <c r="BI29" i="5"/>
  <c r="S31" i="5"/>
  <c r="V19" i="5"/>
  <c r="BM193" i="5"/>
  <c r="CW5" i="23"/>
  <c r="W194" i="5"/>
  <c r="CW47" i="23"/>
  <c r="CW193" i="5"/>
  <c r="CN8" i="23"/>
  <c r="T183" i="5"/>
  <c r="BJ182" i="5"/>
  <c r="CN3" i="23"/>
  <c r="BO182" i="5"/>
  <c r="Y183" i="5"/>
  <c r="CE8" i="23"/>
  <c r="T171" i="5"/>
  <c r="CE4" i="23"/>
  <c r="X171" i="5"/>
  <c r="CV133" i="5"/>
  <c r="BB48" i="23"/>
  <c r="T134" i="5"/>
  <c r="BJ133" i="5"/>
  <c r="BB8" i="23"/>
  <c r="Y4" i="23"/>
  <c r="X98" i="5"/>
  <c r="T63" i="5"/>
  <c r="BS63" i="5"/>
  <c r="DW9" i="23"/>
  <c r="S228" i="5"/>
  <c r="BI227" i="5"/>
  <c r="DC227" i="5"/>
  <c r="DW41" i="23"/>
  <c r="BM48" i="23"/>
  <c r="CV146" i="5"/>
  <c r="BM42" i="23"/>
  <c r="DB146" i="5"/>
  <c r="Z12" i="23"/>
  <c r="P99" i="5"/>
  <c r="BQ64" i="5"/>
  <c r="O64" i="5"/>
  <c r="R64" i="5"/>
  <c r="BE157" i="5"/>
  <c r="BT13" i="23"/>
  <c r="O158" i="5"/>
  <c r="BQ158" i="5"/>
  <c r="BT7" i="23"/>
  <c r="BK157" i="5"/>
  <c r="U158" i="5"/>
  <c r="DI122" i="5"/>
  <c r="DQ122" i="5"/>
  <c r="DP122" i="5"/>
  <c r="AR18" i="24" s="1"/>
  <c r="DJ122" i="5"/>
  <c r="DM122" i="5"/>
  <c r="AR21" i="24" s="1"/>
  <c r="DK122" i="5"/>
  <c r="AR23" i="24" s="1"/>
  <c r="DT122" i="5"/>
  <c r="DS122" i="5"/>
  <c r="DR122" i="5"/>
  <c r="DH122" i="5" s="1"/>
  <c r="DN122" i="5"/>
  <c r="DL122" i="5"/>
  <c r="DO122" i="5"/>
  <c r="DI13" i="23"/>
  <c r="O207" i="5"/>
  <c r="BQ207" i="5"/>
  <c r="CX4" i="23"/>
  <c r="X195" i="5"/>
  <c r="BV11" i="23"/>
  <c r="Q160" i="5"/>
  <c r="BV3" i="23"/>
  <c r="Y160" i="5"/>
  <c r="BN3" i="23"/>
  <c r="Y148" i="5"/>
  <c r="BN11" i="23"/>
  <c r="Q148" i="5"/>
  <c r="BD2" i="23"/>
  <c r="Z136" i="5"/>
  <c r="BD4" i="23"/>
  <c r="X136" i="5"/>
  <c r="BS136" i="5"/>
  <c r="BD7" i="24"/>
  <c r="BD3" i="24"/>
  <c r="BD4" i="24"/>
  <c r="BD8" i="24"/>
  <c r="BD5" i="24"/>
  <c r="BD12" i="24"/>
  <c r="BD6" i="24"/>
  <c r="BD2" i="24"/>
  <c r="BD9" i="24"/>
  <c r="BD11" i="24"/>
  <c r="BD10" i="24"/>
  <c r="AT6" i="23"/>
  <c r="V124" i="5"/>
  <c r="AK12" i="23"/>
  <c r="P112" i="5"/>
  <c r="AA4" i="23"/>
  <c r="X100" i="5"/>
  <c r="BN87" i="5"/>
  <c r="Q4" i="23"/>
  <c r="X88" i="5"/>
  <c r="DE87" i="5"/>
  <c r="Q39" i="23"/>
  <c r="G47" i="23"/>
  <c r="CW76" i="5"/>
  <c r="G49" i="23"/>
  <c r="DG77" i="5"/>
  <c r="CU76" i="5"/>
  <c r="BQ65" i="5"/>
  <c r="O65" i="5"/>
  <c r="T245" i="5"/>
  <c r="DC205" i="5"/>
  <c r="DH41" i="23"/>
  <c r="BI205" i="5"/>
  <c r="DH9" i="23"/>
  <c r="S206" i="5"/>
  <c r="DI206" i="5"/>
  <c r="DP206" i="5"/>
  <c r="AJ206" i="5" s="1"/>
  <c r="DQ206" i="5"/>
  <c r="AK206" i="5" s="1"/>
  <c r="DO206" i="5"/>
  <c r="DN206" i="5"/>
  <c r="AH206" i="5" s="1"/>
  <c r="DS206" i="5"/>
  <c r="AM206" i="5" s="1"/>
  <c r="DR206" i="5"/>
  <c r="DH206" i="5" s="1"/>
  <c r="DM206" i="5"/>
  <c r="DT206" i="5"/>
  <c r="DL206" i="5"/>
  <c r="DK206" i="5"/>
  <c r="AE206" i="5" s="1"/>
  <c r="DJ206" i="5"/>
  <c r="AD206" i="5" s="1"/>
  <c r="BU49" i="23"/>
  <c r="DG159" i="5"/>
  <c r="AS11" i="23"/>
  <c r="Q123" i="5"/>
  <c r="X244" i="5"/>
  <c r="AB244" i="5" s="1"/>
  <c r="Y244" i="5"/>
  <c r="CD6" i="23"/>
  <c r="V170" i="5"/>
  <c r="DI170" i="5"/>
  <c r="DP170" i="5"/>
  <c r="DS170" i="5"/>
  <c r="DR170" i="5"/>
  <c r="DO170" i="5"/>
  <c r="DN170" i="5"/>
  <c r="CD20" i="24" s="1"/>
  <c r="DM170" i="5"/>
  <c r="DL170" i="5"/>
  <c r="CD22" i="24" s="1"/>
  <c r="DJ170" i="5"/>
  <c r="DT170" i="5"/>
  <c r="DK170" i="5"/>
  <c r="DQ170" i="5"/>
  <c r="CD17" i="24" s="1"/>
  <c r="AI13" i="23"/>
  <c r="BQ110" i="5"/>
  <c r="O110" i="5"/>
  <c r="S40" i="5"/>
  <c r="Y16" i="5"/>
  <c r="S16" i="5"/>
  <c r="Q243" i="5"/>
  <c r="S243" i="5"/>
  <c r="BK241" i="5"/>
  <c r="EB7" i="23" s="1"/>
  <c r="U242" i="5"/>
  <c r="DB241" i="5"/>
  <c r="EB42" i="23" s="1"/>
  <c r="DO47" i="23"/>
  <c r="CW214" i="5"/>
  <c r="DO38" i="23"/>
  <c r="DF214" i="5"/>
  <c r="CC4" i="23"/>
  <c r="X169" i="5"/>
  <c r="X10" i="23"/>
  <c r="R97" i="5"/>
  <c r="BP38" i="5"/>
  <c r="Z39" i="5"/>
  <c r="CA9" i="23"/>
  <c r="S167" i="5"/>
  <c r="BS7" i="23"/>
  <c r="U154" i="5"/>
  <c r="DC4" i="23"/>
  <c r="X200" i="5"/>
  <c r="CZ104" i="5"/>
  <c r="AD44" i="23"/>
  <c r="BG10" i="23"/>
  <c r="R140" i="5"/>
  <c r="S3" i="23"/>
  <c r="Y92" i="5"/>
  <c r="BS220" i="5"/>
  <c r="DQ4" i="24"/>
  <c r="DQ6" i="24"/>
  <c r="DQ9" i="24"/>
  <c r="DQ10" i="24"/>
  <c r="DQ11" i="24"/>
  <c r="DQ12" i="24"/>
  <c r="DQ8" i="24"/>
  <c r="DQ3" i="24"/>
  <c r="DQ5" i="24"/>
  <c r="DQ7" i="24"/>
  <c r="DQ2" i="24"/>
  <c r="CB219" i="5"/>
  <c r="CA219" i="5"/>
  <c r="BY219" i="5"/>
  <c r="BX219" i="5"/>
  <c r="BW219" i="5"/>
  <c r="CC219" i="5"/>
  <c r="BZ219" i="5"/>
  <c r="BV219" i="5"/>
  <c r="BU219" i="5"/>
  <c r="BT219" i="5"/>
  <c r="CD219" i="5"/>
  <c r="AD220" i="5"/>
  <c r="AN220" i="5"/>
  <c r="AI220" i="5"/>
  <c r="AE220" i="5"/>
  <c r="AH220" i="5"/>
  <c r="AG220" i="5"/>
  <c r="AF220" i="5"/>
  <c r="AM220" i="5"/>
  <c r="AL220" i="5"/>
  <c r="AK220" i="5"/>
  <c r="AJ220" i="5"/>
  <c r="CH10" i="23"/>
  <c r="R175" i="5"/>
  <c r="BF8" i="23"/>
  <c r="BJ138" i="5"/>
  <c r="T139" i="5"/>
  <c r="DU10" i="23"/>
  <c r="R225" i="5"/>
  <c r="CB12" i="23"/>
  <c r="P168" i="5"/>
  <c r="O4" i="23"/>
  <c r="X85" i="5"/>
  <c r="DD178" i="5"/>
  <c r="CK40" i="23"/>
  <c r="BI6" i="23"/>
  <c r="V142" i="5"/>
  <c r="AE49" i="23"/>
  <c r="DG106" i="5"/>
  <c r="BY7" i="23"/>
  <c r="BK164" i="5"/>
  <c r="U165" i="5"/>
  <c r="D8" i="23"/>
  <c r="T7" i="5"/>
  <c r="DL4" i="23"/>
  <c r="X211" i="5"/>
  <c r="BQ4" i="23"/>
  <c r="X152" i="5"/>
  <c r="CZ223" i="5"/>
  <c r="DT44" i="23"/>
  <c r="AO10" i="23"/>
  <c r="R119" i="5"/>
  <c r="V5" i="23"/>
  <c r="W95" i="5"/>
  <c r="DN7" i="23"/>
  <c r="U213" i="5"/>
  <c r="BF129" i="5"/>
  <c r="AY12" i="23"/>
  <c r="P130" i="5"/>
  <c r="BR13" i="23"/>
  <c r="O153" i="5"/>
  <c r="BQ153" i="5"/>
  <c r="BS93" i="5"/>
  <c r="T3" i="24"/>
  <c r="T12" i="24"/>
  <c r="T10" i="24"/>
  <c r="T4" i="24"/>
  <c r="T8" i="24"/>
  <c r="T9" i="24"/>
  <c r="T7" i="24"/>
  <c r="T5" i="24"/>
  <c r="T11" i="24"/>
  <c r="T2" i="24"/>
  <c r="T6" i="24"/>
  <c r="L5" i="23"/>
  <c r="W82" i="5"/>
  <c r="CZ11" i="23"/>
  <c r="Q197" i="5"/>
  <c r="CG49" i="23"/>
  <c r="DG174" i="5"/>
  <c r="BS126" i="5"/>
  <c r="AV8" i="24"/>
  <c r="AV9" i="24"/>
  <c r="AV10" i="24"/>
  <c r="AV5" i="24"/>
  <c r="AV6" i="24"/>
  <c r="AV2" i="24"/>
  <c r="AV7" i="24"/>
  <c r="AV11" i="24"/>
  <c r="AV3" i="24"/>
  <c r="AV12" i="24"/>
  <c r="AV4" i="24"/>
  <c r="I6" i="23"/>
  <c r="V79" i="5"/>
  <c r="DT4" i="5"/>
  <c r="AN4" i="5" s="1"/>
  <c r="AN4" i="1" s="1"/>
  <c r="DS4" i="5"/>
  <c r="AM4" i="5" s="1"/>
  <c r="AM4" i="1" s="1"/>
  <c r="DQ4" i="5"/>
  <c r="DP4" i="5"/>
  <c r="AJ4" i="5" s="1"/>
  <c r="AJ4" i="1" s="1"/>
  <c r="DR4" i="5"/>
  <c r="DO4" i="5"/>
  <c r="AI4" i="5" s="1"/>
  <c r="AI4" i="1" s="1"/>
  <c r="DM4" i="5"/>
  <c r="AG4" i="5" s="1"/>
  <c r="AG4" i="1" s="1"/>
  <c r="DL4" i="5"/>
  <c r="AF4" i="5" s="1"/>
  <c r="AF4" i="1" s="1"/>
  <c r="DK4" i="5"/>
  <c r="AE4" i="5" s="1"/>
  <c r="AE4" i="1" s="1"/>
  <c r="DN4" i="5"/>
  <c r="AH4" i="5" s="1"/>
  <c r="AH4" i="1" s="1"/>
  <c r="DJ4" i="5"/>
  <c r="AD4" i="5" s="1"/>
  <c r="AD4" i="1" s="1"/>
  <c r="DI4" i="5"/>
  <c r="CY4" i="23"/>
  <c r="X196" i="5"/>
  <c r="CF12" i="23"/>
  <c r="BF172" i="5"/>
  <c r="P173" i="5"/>
  <c r="BO7" i="23"/>
  <c r="U149" i="5"/>
  <c r="AU4" i="23"/>
  <c r="X125" i="5"/>
  <c r="BM57" i="5"/>
  <c r="W55" i="5"/>
  <c r="CW46" i="23"/>
  <c r="CX193" i="5"/>
  <c r="CE13" i="23"/>
  <c r="BQ171" i="5"/>
  <c r="O171" i="5"/>
  <c r="BB7" i="23"/>
  <c r="U134" i="5"/>
  <c r="BK133" i="5"/>
  <c r="CZ146" i="5"/>
  <c r="BM44" i="23"/>
  <c r="BT10" i="23"/>
  <c r="R158" i="5"/>
  <c r="BH157" i="5"/>
  <c r="BN7" i="23"/>
  <c r="U148" i="5"/>
  <c r="AT49" i="23"/>
  <c r="DG124" i="5"/>
  <c r="Q10" i="23"/>
  <c r="R88" i="5"/>
  <c r="BH87" i="5"/>
  <c r="BU7" i="23"/>
  <c r="U159" i="5"/>
  <c r="DB214" i="5"/>
  <c r="DO42" i="23"/>
  <c r="CV11" i="23"/>
  <c r="Q192" i="5"/>
  <c r="CM2" i="23"/>
  <c r="Z181" i="5"/>
  <c r="BL5" i="23"/>
  <c r="W145" i="5"/>
  <c r="DI154" i="5"/>
  <c r="DP154" i="5"/>
  <c r="DT154" i="5"/>
  <c r="DK154" i="5"/>
  <c r="BS23" i="24" s="1"/>
  <c r="DJ154" i="5"/>
  <c r="DS154" i="5"/>
  <c r="DQ154" i="5"/>
  <c r="DO154" i="5"/>
  <c r="DN154" i="5"/>
  <c r="BS20" i="24" s="1"/>
  <c r="DM154" i="5"/>
  <c r="BS21" i="24" s="1"/>
  <c r="DR154" i="5"/>
  <c r="DL154" i="5"/>
  <c r="U8" i="23"/>
  <c r="T94" i="5"/>
  <c r="CJ4" i="23"/>
  <c r="X177" i="5"/>
  <c r="DI177" i="5"/>
  <c r="DP177" i="5"/>
  <c r="DQ177" i="5"/>
  <c r="DO177" i="5"/>
  <c r="CJ19" i="24" s="1"/>
  <c r="DS177" i="5"/>
  <c r="CJ15" i="24" s="1"/>
  <c r="DR177" i="5"/>
  <c r="CJ16" i="24" s="1"/>
  <c r="DN177" i="5"/>
  <c r="DM177" i="5"/>
  <c r="DL177" i="5"/>
  <c r="DK177" i="5"/>
  <c r="CJ23" i="24" s="1"/>
  <c r="DJ177" i="5"/>
  <c r="CJ24" i="24" s="1"/>
  <c r="DT177" i="5"/>
  <c r="CJ14" i="24" s="1"/>
  <c r="Y247" i="5"/>
  <c r="DK42" i="23"/>
  <c r="DB209" i="5"/>
  <c r="DF150" i="5"/>
  <c r="BP38" i="23"/>
  <c r="R11" i="23"/>
  <c r="BG90" i="5"/>
  <c r="Q91" i="5"/>
  <c r="CL7" i="23"/>
  <c r="U180" i="5"/>
  <c r="CW178" i="5"/>
  <c r="CK47" i="23"/>
  <c r="DI212" i="5"/>
  <c r="DP212" i="5"/>
  <c r="DM18" i="24" s="1"/>
  <c r="DN212" i="5"/>
  <c r="DM20" i="24" s="1"/>
  <c r="DM212" i="5"/>
  <c r="DO212" i="5"/>
  <c r="DL212" i="5"/>
  <c r="DM22" i="24" s="1"/>
  <c r="DK212" i="5"/>
  <c r="DM23" i="24" s="1"/>
  <c r="DT212" i="5"/>
  <c r="DS212" i="5"/>
  <c r="DR212" i="5"/>
  <c r="DH212" i="5" s="1"/>
  <c r="DQ212" i="5"/>
  <c r="DJ212" i="5"/>
  <c r="D47" i="23"/>
  <c r="DE10" i="23"/>
  <c r="R202" i="5"/>
  <c r="CT8" i="23"/>
  <c r="T190" i="5"/>
  <c r="BJ2" i="23"/>
  <c r="Z143" i="5"/>
  <c r="AF3" i="23"/>
  <c r="Y107" i="5"/>
  <c r="BS84" i="5"/>
  <c r="N10" i="24"/>
  <c r="N6" i="24"/>
  <c r="N8" i="24"/>
  <c r="N4" i="24"/>
  <c r="N2" i="24"/>
  <c r="N5" i="24"/>
  <c r="N11" i="24"/>
  <c r="N3" i="24"/>
  <c r="N12" i="24"/>
  <c r="N7" i="24"/>
  <c r="N9" i="24"/>
  <c r="BZ9" i="23"/>
  <c r="S166" i="5"/>
  <c r="AN13" i="23"/>
  <c r="BQ118" i="5"/>
  <c r="O118" i="5"/>
  <c r="AM2" i="23"/>
  <c r="BP116" i="5"/>
  <c r="Z117" i="5"/>
  <c r="DR93" i="5"/>
  <c r="T16" i="24" s="1"/>
  <c r="DQ93" i="5"/>
  <c r="T17" i="24" s="1"/>
  <c r="DM93" i="5"/>
  <c r="DL93" i="5"/>
  <c r="T22" i="24" s="1"/>
  <c r="DK93" i="5"/>
  <c r="T23" i="24" s="1"/>
  <c r="DS93" i="5"/>
  <c r="T15" i="24" s="1"/>
  <c r="DP93" i="5"/>
  <c r="T18" i="24" s="1"/>
  <c r="DO93" i="5"/>
  <c r="T19" i="24" s="1"/>
  <c r="DN93" i="5"/>
  <c r="T20" i="24" s="1"/>
  <c r="DJ93" i="5"/>
  <c r="T24" i="24" s="1"/>
  <c r="DI93" i="5"/>
  <c r="DT93" i="5"/>
  <c r="T14" i="24" s="1"/>
  <c r="CP6" i="23"/>
  <c r="V185" i="5"/>
  <c r="CG10" i="23"/>
  <c r="R174" i="5"/>
  <c r="AV8" i="23"/>
  <c r="T126" i="5"/>
  <c r="I49" i="23"/>
  <c r="DG79" i="5"/>
  <c r="BW10" i="23"/>
  <c r="R161" i="5"/>
  <c r="BO49" i="23"/>
  <c r="DG149" i="5"/>
  <c r="AU3" i="23"/>
  <c r="Y125" i="5"/>
  <c r="H5" i="23"/>
  <c r="W78" i="5"/>
  <c r="BQ55" i="5"/>
  <c r="BQ57" i="5" s="1"/>
  <c r="O55" i="5"/>
  <c r="BE57" i="5"/>
  <c r="CU29" i="5"/>
  <c r="S183" i="5"/>
  <c r="CN9" i="23"/>
  <c r="BI182" i="5"/>
  <c r="BC6" i="23"/>
  <c r="V135" i="5"/>
  <c r="BS111" i="5"/>
  <c r="AJ4" i="24"/>
  <c r="AJ11" i="24"/>
  <c r="AJ12" i="24"/>
  <c r="AJ8" i="24"/>
  <c r="AJ9" i="24"/>
  <c r="AJ10" i="24"/>
  <c r="AJ3" i="24"/>
  <c r="AJ5" i="24"/>
  <c r="AJ6" i="24"/>
  <c r="AJ7" i="24"/>
  <c r="AJ2" i="24"/>
  <c r="BB10" i="23"/>
  <c r="R134" i="5"/>
  <c r="BH133" i="5"/>
  <c r="DW11" i="23"/>
  <c r="Q228" i="5"/>
  <c r="BG227" i="5"/>
  <c r="BS99" i="5"/>
  <c r="Z5" i="24"/>
  <c r="Z7" i="24"/>
  <c r="Z3" i="24"/>
  <c r="Z11" i="24"/>
  <c r="Z6" i="24"/>
  <c r="Z10" i="24"/>
  <c r="Z9" i="24"/>
  <c r="Z2" i="24"/>
  <c r="Z4" i="24"/>
  <c r="Z8" i="24"/>
  <c r="Z12" i="24"/>
  <c r="BS216" i="5"/>
  <c r="DP9" i="24"/>
  <c r="DP10" i="24"/>
  <c r="DP11" i="24"/>
  <c r="DP12" i="24"/>
  <c r="DP8" i="24"/>
  <c r="DP3" i="24"/>
  <c r="DP7" i="24"/>
  <c r="DP2" i="24"/>
  <c r="DP4" i="24"/>
  <c r="DP5" i="24"/>
  <c r="DP6" i="24"/>
  <c r="BN10" i="23"/>
  <c r="R148" i="5"/>
  <c r="AT3" i="23"/>
  <c r="Y124" i="5"/>
  <c r="AA8" i="23"/>
  <c r="T100" i="5"/>
  <c r="G43" i="23"/>
  <c r="DA76" i="5"/>
  <c r="Z245" i="5"/>
  <c r="BU4" i="23"/>
  <c r="X159" i="5"/>
  <c r="BS123" i="5"/>
  <c r="AS3" i="24"/>
  <c r="AS6" i="24"/>
  <c r="AS7" i="24"/>
  <c r="AS2" i="24"/>
  <c r="AS11" i="24"/>
  <c r="AS10" i="24"/>
  <c r="AS9" i="24"/>
  <c r="AS8" i="24"/>
  <c r="AS5" i="24"/>
  <c r="AS12" i="24"/>
  <c r="AS4" i="24"/>
  <c r="BS215" i="5"/>
  <c r="DO9" i="24"/>
  <c r="DO12" i="24"/>
  <c r="DO10" i="24"/>
  <c r="DO8" i="24"/>
  <c r="DO3" i="24"/>
  <c r="DO7" i="24"/>
  <c r="DO2" i="24"/>
  <c r="DO4" i="24"/>
  <c r="DO5" i="24"/>
  <c r="DO6" i="24"/>
  <c r="DO11" i="24"/>
  <c r="CC214" i="5"/>
  <c r="CB214" i="5"/>
  <c r="BX214" i="5"/>
  <c r="BV214" i="5"/>
  <c r="BW214" i="5"/>
  <c r="BT214" i="5"/>
  <c r="BZ214" i="5"/>
  <c r="BU214" i="5"/>
  <c r="CD214" i="5"/>
  <c r="CA214" i="5"/>
  <c r="BY214" i="5"/>
  <c r="DG11" i="23"/>
  <c r="Q204" i="5"/>
  <c r="CC2" i="23"/>
  <c r="Z169" i="5"/>
  <c r="X9" i="23"/>
  <c r="S97" i="5"/>
  <c r="DC38" i="5"/>
  <c r="DD5" i="23"/>
  <c r="W201" i="5"/>
  <c r="BS141" i="5"/>
  <c r="BH3" i="24"/>
  <c r="BH12" i="24"/>
  <c r="BH6" i="24"/>
  <c r="BH2" i="24"/>
  <c r="BH10" i="24"/>
  <c r="BH11" i="24"/>
  <c r="BH9" i="24"/>
  <c r="BH4" i="24"/>
  <c r="BH5" i="24"/>
  <c r="BH8" i="24"/>
  <c r="BH7" i="24"/>
  <c r="BG9" i="23"/>
  <c r="S140" i="5"/>
  <c r="K8" i="23"/>
  <c r="T81" i="5"/>
  <c r="BJ209" i="5"/>
  <c r="T210" i="5"/>
  <c r="DK8" i="23"/>
  <c r="CH9" i="23"/>
  <c r="S175" i="5"/>
  <c r="BM138" i="5"/>
  <c r="BF5" i="23"/>
  <c r="W139" i="5"/>
  <c r="R44" i="23"/>
  <c r="CZ90" i="5"/>
  <c r="DU13" i="23"/>
  <c r="O225" i="5"/>
  <c r="BQ225" i="5"/>
  <c r="DS225" i="5"/>
  <c r="DN225" i="5"/>
  <c r="DK225" i="5"/>
  <c r="DJ225" i="5"/>
  <c r="DU24" i="24" s="1"/>
  <c r="DI225" i="5"/>
  <c r="DO225" i="5"/>
  <c r="DM225" i="5"/>
  <c r="DU21" i="24" s="1"/>
  <c r="DL225" i="5"/>
  <c r="DT225" i="5"/>
  <c r="DR225" i="5"/>
  <c r="DH225" i="5" s="1"/>
  <c r="DQ225" i="5"/>
  <c r="DP225" i="5"/>
  <c r="CU6" i="23"/>
  <c r="V191" i="5"/>
  <c r="BA2" i="23"/>
  <c r="Z132" i="5"/>
  <c r="DI132" i="5"/>
  <c r="DP132" i="5"/>
  <c r="BA18" i="24" s="1"/>
  <c r="DT132" i="5"/>
  <c r="DR132" i="5"/>
  <c r="DH132" i="5" s="1"/>
  <c r="DQ132" i="5"/>
  <c r="BA17" i="24" s="1"/>
  <c r="DO132" i="5"/>
  <c r="BA19" i="24" s="1"/>
  <c r="DN132" i="5"/>
  <c r="BA20" i="24" s="1"/>
  <c r="DL132" i="5"/>
  <c r="DK132" i="5"/>
  <c r="DJ132" i="5"/>
  <c r="DS132" i="5"/>
  <c r="DM132" i="5"/>
  <c r="BA21" i="24" s="1"/>
  <c r="W9" i="23"/>
  <c r="S96" i="5"/>
  <c r="V61" i="5"/>
  <c r="BL60" i="5"/>
  <c r="CY178" i="5"/>
  <c r="CK45" i="23"/>
  <c r="BI5" i="23"/>
  <c r="W142" i="5"/>
  <c r="BQ165" i="5"/>
  <c r="BE164" i="5"/>
  <c r="O165" i="5"/>
  <c r="BY13" i="23"/>
  <c r="D39" i="23"/>
  <c r="DL49" i="23"/>
  <c r="DG211" i="5"/>
  <c r="DE2" i="23"/>
  <c r="Z202" i="5"/>
  <c r="AY8" i="23"/>
  <c r="T130" i="5"/>
  <c r="BJ129" i="5"/>
  <c r="CR49" i="23"/>
  <c r="CU187" i="5"/>
  <c r="DG188" i="5"/>
  <c r="AM4" i="23"/>
  <c r="BN116" i="5"/>
  <c r="BR116" i="5" s="1"/>
  <c r="X117" i="5"/>
  <c r="L2" i="23"/>
  <c r="Z82" i="5"/>
  <c r="DB13" i="23"/>
  <c r="BQ199" i="5"/>
  <c r="O199" i="5"/>
  <c r="CG13" i="23"/>
  <c r="O174" i="5"/>
  <c r="BQ174" i="5"/>
  <c r="BX10" i="23"/>
  <c r="R162" i="5"/>
  <c r="BS102" i="5"/>
  <c r="AC5" i="24"/>
  <c r="AC6" i="24"/>
  <c r="AC2" i="24"/>
  <c r="AC10" i="24"/>
  <c r="AC11" i="24"/>
  <c r="AC7" i="24"/>
  <c r="AC8" i="24"/>
  <c r="AC12" i="24"/>
  <c r="AC9" i="24"/>
  <c r="AC4" i="24"/>
  <c r="AC3" i="24"/>
  <c r="DJ12" i="23"/>
  <c r="P208" i="5"/>
  <c r="BQ31" i="5"/>
  <c r="BE29" i="5"/>
  <c r="O31" i="5"/>
  <c r="DG19" i="5"/>
  <c r="DD182" i="5"/>
  <c r="CN40" i="23"/>
  <c r="BC5" i="23"/>
  <c r="W135" i="5"/>
  <c r="DX9" i="23"/>
  <c r="S229" i="5"/>
  <c r="Y11" i="23"/>
  <c r="Q98" i="5"/>
  <c r="Z4" i="23"/>
  <c r="X99" i="5"/>
  <c r="BL157" i="5"/>
  <c r="V158" i="5"/>
  <c r="BT6" i="23"/>
  <c r="DI216" i="5"/>
  <c r="DP216" i="5"/>
  <c r="DT216" i="5"/>
  <c r="DP14" i="24" s="1"/>
  <c r="DS216" i="5"/>
  <c r="DP15" i="24" s="1"/>
  <c r="DO216" i="5"/>
  <c r="DP19" i="24" s="1"/>
  <c r="DN216" i="5"/>
  <c r="DM216" i="5"/>
  <c r="DL216" i="5"/>
  <c r="DP22" i="24" s="1"/>
  <c r="DJ216" i="5"/>
  <c r="DR216" i="5"/>
  <c r="DH216" i="5" s="1"/>
  <c r="DK216" i="5"/>
  <c r="DP23" i="24" s="1"/>
  <c r="DQ216" i="5"/>
  <c r="DP17" i="24" s="1"/>
  <c r="G45" i="23"/>
  <c r="CY76" i="5"/>
  <c r="BM205" i="5"/>
  <c r="DH5" i="23"/>
  <c r="W206" i="5"/>
  <c r="BU6" i="23"/>
  <c r="V159" i="5"/>
  <c r="AI11" i="23"/>
  <c r="Q110" i="5"/>
  <c r="DO43" i="23"/>
  <c r="DA214" i="5"/>
  <c r="BL2" i="23"/>
  <c r="Z145" i="5"/>
  <c r="BQ62" i="5"/>
  <c r="O62" i="5"/>
  <c r="BG38" i="5"/>
  <c r="Q39" i="5"/>
  <c r="CA2" i="23"/>
  <c r="Z167" i="5"/>
  <c r="U5" i="23"/>
  <c r="W94" i="5"/>
  <c r="CJ2" i="23"/>
  <c r="Z177" i="5"/>
  <c r="AD2" i="23"/>
  <c r="BP104" i="5"/>
  <c r="Z105" i="5"/>
  <c r="BP219" i="5"/>
  <c r="DQ2" i="23"/>
  <c r="Z220" i="5"/>
  <c r="DC138" i="5"/>
  <c r="BF41" i="23"/>
  <c r="DU8" i="23"/>
  <c r="T225" i="5"/>
  <c r="CU5" i="23"/>
  <c r="W191" i="5"/>
  <c r="BA6" i="23"/>
  <c r="V132" i="5"/>
  <c r="AP49" i="23"/>
  <c r="DG120" i="5"/>
  <c r="BM60" i="5"/>
  <c r="W61" i="5"/>
  <c r="DF13" i="5"/>
  <c r="DF6" i="5" s="1"/>
  <c r="BY46" i="23"/>
  <c r="CX164" i="5"/>
  <c r="D6" i="23"/>
  <c r="V7" i="5"/>
  <c r="CI13" i="23"/>
  <c r="BQ176" i="5"/>
  <c r="O176" i="5"/>
  <c r="S69" i="5"/>
  <c r="DE9" i="23"/>
  <c r="S202" i="5"/>
  <c r="AZ7" i="23"/>
  <c r="U131" i="5"/>
  <c r="BR6" i="23"/>
  <c r="V153" i="5"/>
  <c r="AM10" i="23"/>
  <c r="R117" i="5"/>
  <c r="BH116" i="5"/>
  <c r="DR82" i="5"/>
  <c r="DH82" i="5" s="1"/>
  <c r="DQ82" i="5"/>
  <c r="L17" i="24" s="1"/>
  <c r="DI82" i="5"/>
  <c r="DT82" i="5"/>
  <c r="L14" i="24" s="1"/>
  <c r="DP82" i="5"/>
  <c r="DO82" i="5"/>
  <c r="L19" i="24" s="1"/>
  <c r="DN82" i="5"/>
  <c r="DM82" i="5"/>
  <c r="DL82" i="5"/>
  <c r="DK82" i="5"/>
  <c r="L23" i="24" s="1"/>
  <c r="DS82" i="5"/>
  <c r="L15" i="24" s="1"/>
  <c r="DJ82" i="5"/>
  <c r="AV3" i="23"/>
  <c r="Y126" i="5"/>
  <c r="CF5" i="23"/>
  <c r="BM172" i="5"/>
  <c r="W173" i="5"/>
  <c r="AL2" i="23"/>
  <c r="Z113" i="5"/>
  <c r="P31" i="5"/>
  <c r="BF29" i="5"/>
  <c r="CY193" i="5"/>
  <c r="CW45" i="23"/>
  <c r="CE10" i="23"/>
  <c r="R171" i="5"/>
  <c r="Y10" i="23"/>
  <c r="R98" i="5"/>
  <c r="R63" i="5"/>
  <c r="T147" i="5"/>
  <c r="BJ146" i="5"/>
  <c r="BM8" i="23"/>
  <c r="AR49" i="23"/>
  <c r="DG122" i="5"/>
  <c r="AR10" i="23"/>
  <c r="R122" i="5"/>
  <c r="DI7" i="23"/>
  <c r="U207" i="5"/>
  <c r="BD12" i="23"/>
  <c r="P136" i="5"/>
  <c r="AK3" i="23"/>
  <c r="Y112" i="5"/>
  <c r="DI112" i="5"/>
  <c r="DJ112" i="5"/>
  <c r="AK24" i="24" s="1"/>
  <c r="DO112" i="5"/>
  <c r="DN112" i="5"/>
  <c r="DM112" i="5"/>
  <c r="DL112" i="5"/>
  <c r="DT112" i="5"/>
  <c r="AK14" i="24" s="1"/>
  <c r="DS112" i="5"/>
  <c r="DR112" i="5"/>
  <c r="DK112" i="5"/>
  <c r="AK23" i="24" s="1"/>
  <c r="DQ112" i="5"/>
  <c r="DP112" i="5"/>
  <c r="CZ87" i="5"/>
  <c r="Q44" i="23"/>
  <c r="DH7" i="23"/>
  <c r="U206" i="5"/>
  <c r="BK205" i="5"/>
  <c r="AS5" i="23"/>
  <c r="W123" i="5"/>
  <c r="CD9" i="23"/>
  <c r="S170" i="5"/>
  <c r="DC241" i="5"/>
  <c r="CC6" i="23"/>
  <c r="V169" i="5"/>
  <c r="AQ2" i="23"/>
  <c r="Z121" i="5"/>
  <c r="P9" i="23"/>
  <c r="S86" i="5"/>
  <c r="BL54" i="5"/>
  <c r="V51" i="5"/>
  <c r="V54" i="5" s="1"/>
  <c r="BS10" i="23"/>
  <c r="R154" i="5"/>
  <c r="DC9" i="23"/>
  <c r="S200" i="5"/>
  <c r="BH8" i="23"/>
  <c r="T141" i="5"/>
  <c r="AX10" i="23"/>
  <c r="R128" i="5"/>
  <c r="DK6" i="23"/>
  <c r="BL209" i="5"/>
  <c r="V210" i="5"/>
  <c r="DA3" i="23"/>
  <c r="Y198" i="5"/>
  <c r="CH7" i="23"/>
  <c r="U175" i="5"/>
  <c r="BP138" i="5"/>
  <c r="BF2" i="23"/>
  <c r="Z139" i="5"/>
  <c r="DU7" i="23"/>
  <c r="U225" i="5"/>
  <c r="BK7" i="23"/>
  <c r="U144" i="5"/>
  <c r="BQ26" i="5"/>
  <c r="O26" i="5"/>
  <c r="BS179" i="5"/>
  <c r="CK5" i="24"/>
  <c r="CK4" i="24"/>
  <c r="CK7" i="24"/>
  <c r="CK3" i="24"/>
  <c r="CK8" i="24"/>
  <c r="CK6" i="24"/>
  <c r="CK12" i="24"/>
  <c r="CK11" i="24"/>
  <c r="CK10" i="24"/>
  <c r="CK2" i="24"/>
  <c r="CK9" i="24"/>
  <c r="BW178" i="5"/>
  <c r="BV178" i="5"/>
  <c r="CD178" i="5"/>
  <c r="CC178" i="5"/>
  <c r="CB178" i="5"/>
  <c r="BU178" i="5"/>
  <c r="BT178" i="5"/>
  <c r="BZ178" i="5"/>
  <c r="CA178" i="5"/>
  <c r="BY178" i="5"/>
  <c r="BX178" i="5"/>
  <c r="DM49" i="23"/>
  <c r="DG212" i="5"/>
  <c r="Y35" i="5"/>
  <c r="DR13" i="23"/>
  <c r="O221" i="5"/>
  <c r="BQ221" i="5"/>
  <c r="BJ12" i="23"/>
  <c r="P143" i="5"/>
  <c r="DI143" i="5"/>
  <c r="DP143" i="5"/>
  <c r="DN143" i="5"/>
  <c r="BJ20" i="24" s="1"/>
  <c r="DM143" i="5"/>
  <c r="BJ21" i="24" s="1"/>
  <c r="DO143" i="5"/>
  <c r="DL143" i="5"/>
  <c r="DK143" i="5"/>
  <c r="DT143" i="5"/>
  <c r="DS143" i="5"/>
  <c r="DR143" i="5"/>
  <c r="BJ16" i="24" s="1"/>
  <c r="DQ143" i="5"/>
  <c r="DJ143" i="5"/>
  <c r="V13" i="23"/>
  <c r="O95" i="5"/>
  <c r="BQ95" i="5"/>
  <c r="BS213" i="5"/>
  <c r="DN5" i="24"/>
  <c r="DN2" i="24"/>
  <c r="DN3" i="24"/>
  <c r="DN7" i="24"/>
  <c r="DN12" i="24"/>
  <c r="DN4" i="24"/>
  <c r="DN10" i="24"/>
  <c r="DN9" i="24"/>
  <c r="DN11" i="24"/>
  <c r="DN6" i="24"/>
  <c r="DN8" i="24"/>
  <c r="AY49" i="23"/>
  <c r="CU129" i="5"/>
  <c r="DG130" i="5"/>
  <c r="T3" i="23"/>
  <c r="Y93" i="5"/>
  <c r="L13" i="23"/>
  <c r="BQ82" i="5"/>
  <c r="O82" i="5"/>
  <c r="AW7" i="23"/>
  <c r="U127" i="5"/>
  <c r="BX9" i="23"/>
  <c r="S162" i="5"/>
  <c r="AC2" i="23"/>
  <c r="Z102" i="5"/>
  <c r="BW49" i="23"/>
  <c r="DG161" i="5"/>
  <c r="Y66" i="5"/>
  <c r="V31" i="5"/>
  <c r="BL29" i="5"/>
  <c r="CX182" i="5"/>
  <c r="CN46" i="23"/>
  <c r="BC10" i="23"/>
  <c r="R135" i="5"/>
  <c r="DX7" i="23"/>
  <c r="U229" i="5"/>
  <c r="DW48" i="23"/>
  <c r="CV227" i="5"/>
  <c r="Z3" i="23"/>
  <c r="Y99" i="5"/>
  <c r="DG41" i="5"/>
  <c r="BD9" i="23"/>
  <c r="S136" i="5"/>
  <c r="BS100" i="5"/>
  <c r="AA10" i="24"/>
  <c r="AA7" i="24"/>
  <c r="AA3" i="24"/>
  <c r="AA11" i="24"/>
  <c r="AA6" i="24"/>
  <c r="AA9" i="24"/>
  <c r="AA2" i="24"/>
  <c r="AA5" i="24"/>
  <c r="AA4" i="24"/>
  <c r="AA8" i="24"/>
  <c r="AA12" i="24"/>
  <c r="G44" i="23"/>
  <c r="CZ76" i="5"/>
  <c r="BU13" i="23"/>
  <c r="O159" i="5"/>
  <c r="BQ159" i="5"/>
  <c r="P244" i="5"/>
  <c r="BH241" i="5"/>
  <c r="EB10" i="23" s="1"/>
  <c r="R242" i="5"/>
  <c r="DV12" i="23"/>
  <c r="P226" i="5"/>
  <c r="AH12" i="23"/>
  <c r="P109" i="5"/>
  <c r="Q62" i="5"/>
  <c r="CV38" i="5"/>
  <c r="CA49" i="23"/>
  <c r="DG167" i="5"/>
  <c r="CJ5" i="23"/>
  <c r="W177" i="5"/>
  <c r="BH3" i="23"/>
  <c r="Y141" i="5"/>
  <c r="AD38" i="23"/>
  <c r="DF104" i="5"/>
  <c r="K3" i="23"/>
  <c r="Y81" i="5"/>
  <c r="CZ219" i="5"/>
  <c r="DQ44" i="23"/>
  <c r="DA5" i="23"/>
  <c r="W198" i="5"/>
  <c r="CH6" i="23"/>
  <c r="V175" i="5"/>
  <c r="BP47" i="23"/>
  <c r="CW150" i="5"/>
  <c r="R48" i="23"/>
  <c r="CV90" i="5"/>
  <c r="J3" i="23"/>
  <c r="Y80" i="5"/>
  <c r="DR80" i="5"/>
  <c r="DQ80" i="5"/>
  <c r="DS80" i="5"/>
  <c r="DP80" i="5"/>
  <c r="J18" i="24" s="1"/>
  <c r="DO80" i="5"/>
  <c r="J19" i="24" s="1"/>
  <c r="DT80" i="5"/>
  <c r="DN80" i="5"/>
  <c r="J20" i="24" s="1"/>
  <c r="DM80" i="5"/>
  <c r="J21" i="24" s="1"/>
  <c r="DL80" i="5"/>
  <c r="J22" i="24" s="1"/>
  <c r="DK80" i="5"/>
  <c r="DJ80" i="5"/>
  <c r="J24" i="24" s="1"/>
  <c r="DI80" i="5"/>
  <c r="T33" i="5"/>
  <c r="DU2" i="23"/>
  <c r="Z225" i="5"/>
  <c r="BK9" i="23"/>
  <c r="S144" i="5"/>
  <c r="BA10" i="23"/>
  <c r="R132" i="5"/>
  <c r="P26" i="5"/>
  <c r="BP13" i="5"/>
  <c r="BP6" i="5" s="1"/>
  <c r="Z14" i="5"/>
  <c r="CZ178" i="5"/>
  <c r="CK44" i="23"/>
  <c r="DI179" i="5"/>
  <c r="DP179" i="5"/>
  <c r="AJ179" i="5" s="1"/>
  <c r="DS179" i="5"/>
  <c r="AM179" i="5" s="1"/>
  <c r="DR179" i="5"/>
  <c r="DM179" i="5"/>
  <c r="AG179" i="5" s="1"/>
  <c r="DL179" i="5"/>
  <c r="AF179" i="5" s="1"/>
  <c r="DK179" i="5"/>
  <c r="AE179" i="5" s="1"/>
  <c r="DJ179" i="5"/>
  <c r="DQ179" i="5"/>
  <c r="DT179" i="5"/>
  <c r="DO179" i="5"/>
  <c r="AI179" i="5" s="1"/>
  <c r="DN179" i="5"/>
  <c r="AH179" i="5" s="1"/>
  <c r="BI4" i="23"/>
  <c r="X142" i="5"/>
  <c r="AE10" i="23"/>
  <c r="R106" i="5"/>
  <c r="DM2" i="23"/>
  <c r="Z212" i="5"/>
  <c r="CZ164" i="5"/>
  <c r="BY44" i="23"/>
  <c r="D5" i="23"/>
  <c r="W7" i="5"/>
  <c r="CI7" i="23"/>
  <c r="U176" i="5"/>
  <c r="S46" i="5"/>
  <c r="BJ4" i="23"/>
  <c r="X143" i="5"/>
  <c r="AZ2" i="23"/>
  <c r="Z131" i="5"/>
  <c r="AO6" i="23"/>
  <c r="V119" i="5"/>
  <c r="AF11" i="23"/>
  <c r="Q107" i="5"/>
  <c r="V10" i="23"/>
  <c r="R95" i="5"/>
  <c r="AY45" i="23"/>
  <c r="CY129" i="5"/>
  <c r="AN9" i="23"/>
  <c r="S118" i="5"/>
  <c r="BE27" i="5"/>
  <c r="BQ24" i="5"/>
  <c r="O24" i="5"/>
  <c r="DS13" i="23"/>
  <c r="BQ222" i="5"/>
  <c r="O222" i="5"/>
  <c r="CR42" i="23"/>
  <c r="DB187" i="5"/>
  <c r="AM46" i="23"/>
  <c r="CX116" i="5"/>
  <c r="S117" i="5"/>
  <c r="AM9" i="23"/>
  <c r="BI116" i="5"/>
  <c r="L8" i="23"/>
  <c r="T82" i="5"/>
  <c r="DB4" i="23"/>
  <c r="X199" i="5"/>
  <c r="AW8" i="23"/>
  <c r="T127" i="5"/>
  <c r="DI197" i="5"/>
  <c r="DP197" i="5"/>
  <c r="CZ18" i="24" s="1"/>
  <c r="DL197" i="5"/>
  <c r="CZ22" i="24" s="1"/>
  <c r="DK197" i="5"/>
  <c r="CZ23" i="24" s="1"/>
  <c r="DJ197" i="5"/>
  <c r="DR197" i="5"/>
  <c r="CZ16" i="24" s="1"/>
  <c r="DQ197" i="5"/>
  <c r="DO197" i="5"/>
  <c r="DT197" i="5"/>
  <c r="DS197" i="5"/>
  <c r="DN197" i="5"/>
  <c r="DM197" i="5"/>
  <c r="CZ21" i="24" s="1"/>
  <c r="AV10" i="23"/>
  <c r="R126" i="5"/>
  <c r="AC12" i="23"/>
  <c r="P102" i="5"/>
  <c r="U67" i="5"/>
  <c r="CO8" i="23"/>
  <c r="T184" i="5"/>
  <c r="CF45" i="23"/>
  <c r="CY172" i="5"/>
  <c r="AU5" i="23"/>
  <c r="W125" i="5"/>
  <c r="AB2" i="23"/>
  <c r="Z101" i="5"/>
  <c r="H9" i="23"/>
  <c r="S78" i="5"/>
  <c r="BL57" i="5"/>
  <c r="V55" i="5"/>
  <c r="V57" i="5" s="1"/>
  <c r="CX29" i="5"/>
  <c r="BS194" i="5"/>
  <c r="CW5" i="24"/>
  <c r="CW2" i="24"/>
  <c r="CW10" i="24"/>
  <c r="CW3" i="24"/>
  <c r="CW4" i="24"/>
  <c r="CW9" i="24"/>
  <c r="CW11" i="24"/>
  <c r="CW6" i="24"/>
  <c r="CW12" i="24"/>
  <c r="CW7" i="24"/>
  <c r="CW8" i="24"/>
  <c r="BT193" i="5"/>
  <c r="BU193" i="5"/>
  <c r="BW193" i="5"/>
  <c r="BV193" i="5"/>
  <c r="CD193" i="5"/>
  <c r="CC193" i="5"/>
  <c r="BZ193" i="5"/>
  <c r="CB193" i="5"/>
  <c r="CA193" i="5"/>
  <c r="BY193" i="5"/>
  <c r="BX193" i="5"/>
  <c r="CE49" i="23"/>
  <c r="DG171" i="5"/>
  <c r="BP133" i="5"/>
  <c r="BB2" i="23"/>
  <c r="Z134" i="5"/>
  <c r="X63" i="5"/>
  <c r="CY227" i="5"/>
  <c r="DW45" i="23"/>
  <c r="Z2" i="23"/>
  <c r="Z99" i="5"/>
  <c r="CY157" i="5"/>
  <c r="BT45" i="23"/>
  <c r="AR9" i="23"/>
  <c r="S122" i="5"/>
  <c r="DI49" i="23"/>
  <c r="DG207" i="5"/>
  <c r="CX13" i="23"/>
  <c r="BQ195" i="5"/>
  <c r="O195" i="5"/>
  <c r="BV13" i="23"/>
  <c r="O160" i="5"/>
  <c r="BQ160" i="5"/>
  <c r="BN2" i="23"/>
  <c r="Z148" i="5"/>
  <c r="AK8" i="23"/>
  <c r="T112" i="5"/>
  <c r="DB87" i="5"/>
  <c r="Q42" i="23"/>
  <c r="X65" i="5"/>
  <c r="AB65" i="5" s="1"/>
  <c r="S245" i="5"/>
  <c r="BP205" i="5"/>
  <c r="DH2" i="23"/>
  <c r="Z206" i="5"/>
  <c r="AI5" i="23"/>
  <c r="W110" i="5"/>
  <c r="CU241" i="5"/>
  <c r="DG242" i="5"/>
  <c r="DE241" i="5"/>
  <c r="EB39" i="23" s="1"/>
  <c r="BN214" i="5"/>
  <c r="BR214" i="5" s="1"/>
  <c r="DO4" i="23"/>
  <c r="X215" i="5"/>
  <c r="DG13" i="23"/>
  <c r="BQ204" i="5"/>
  <c r="O204" i="5"/>
  <c r="DI204" i="5"/>
  <c r="DP204" i="5"/>
  <c r="DG18" i="24" s="1"/>
  <c r="DN204" i="5"/>
  <c r="DM204" i="5"/>
  <c r="DL204" i="5"/>
  <c r="DG22" i="24" s="1"/>
  <c r="DJ204" i="5"/>
  <c r="DG24" i="24" s="1"/>
  <c r="DT204" i="5"/>
  <c r="DR204" i="5"/>
  <c r="DG16" i="24" s="1"/>
  <c r="DQ204" i="5"/>
  <c r="DO204" i="5"/>
  <c r="DG19" i="24" s="1"/>
  <c r="DK204" i="5"/>
  <c r="DS204" i="5"/>
  <c r="DG15" i="24" s="1"/>
  <c r="CM4" i="23"/>
  <c r="X181" i="5"/>
  <c r="BL12" i="23"/>
  <c r="P145" i="5"/>
  <c r="AQ5" i="23"/>
  <c r="W121" i="5"/>
  <c r="P4" i="23"/>
  <c r="X86" i="5"/>
  <c r="Z62" i="5"/>
  <c r="BM54" i="5"/>
  <c r="W51" i="5"/>
  <c r="Q15" i="5"/>
  <c r="DD12" i="23"/>
  <c r="P201" i="5"/>
  <c r="DD3" i="23"/>
  <c r="Y201" i="5"/>
  <c r="U4" i="23"/>
  <c r="X94" i="5"/>
  <c r="U2" i="23"/>
  <c r="Z94" i="5"/>
  <c r="BH7" i="23"/>
  <c r="U141" i="5"/>
  <c r="AD11" i="23"/>
  <c r="BG104" i="5"/>
  <c r="Q105" i="5"/>
  <c r="K13" i="23"/>
  <c r="BQ81" i="5"/>
  <c r="O81" i="5"/>
  <c r="T220" i="5"/>
  <c r="BJ219" i="5"/>
  <c r="DQ8" i="23"/>
  <c r="DK43" i="23"/>
  <c r="DA209" i="5"/>
  <c r="CQ8" i="23"/>
  <c r="T186" i="5"/>
  <c r="BS186" i="5"/>
  <c r="CQ6" i="24"/>
  <c r="CQ9" i="24"/>
  <c r="CQ12" i="24"/>
  <c r="CQ5" i="24"/>
  <c r="CQ7" i="24"/>
  <c r="CQ11" i="24"/>
  <c r="CQ4" i="24"/>
  <c r="CQ8" i="24"/>
  <c r="CQ2" i="24"/>
  <c r="CQ3" i="24"/>
  <c r="CQ10" i="24"/>
  <c r="BP150" i="5"/>
  <c r="BP2" i="23"/>
  <c r="Z151" i="5"/>
  <c r="BF4" i="23"/>
  <c r="X139" i="5"/>
  <c r="AB139" i="5" s="1"/>
  <c r="BN138" i="5"/>
  <c r="BR138" i="5" s="1"/>
  <c r="R12" i="23"/>
  <c r="BF90" i="5"/>
  <c r="P91" i="5"/>
  <c r="J2" i="23"/>
  <c r="Z80" i="5"/>
  <c r="CB7" i="23"/>
  <c r="U168" i="5"/>
  <c r="BK5" i="23"/>
  <c r="W144" i="5"/>
  <c r="O6" i="23"/>
  <c r="V85" i="5"/>
  <c r="S61" i="5"/>
  <c r="BI60" i="5"/>
  <c r="Q26" i="5"/>
  <c r="DB13" i="5"/>
  <c r="DB6" i="5" s="1"/>
  <c r="BI13" i="23"/>
  <c r="BQ142" i="5"/>
  <c r="O142" i="5"/>
  <c r="Y36" i="5"/>
  <c r="BM164" i="5"/>
  <c r="BY5" i="23"/>
  <c r="W165" i="5"/>
  <c r="D4" i="23"/>
  <c r="X7" i="5"/>
  <c r="DT7" i="5"/>
  <c r="DS7" i="5"/>
  <c r="DR7" i="5"/>
  <c r="AL7" i="5" s="1"/>
  <c r="DL7" i="5"/>
  <c r="AF7" i="5" s="1"/>
  <c r="DJ7" i="5"/>
  <c r="DI7" i="5"/>
  <c r="DQ7" i="5"/>
  <c r="AK7" i="5" s="1"/>
  <c r="DO7" i="5"/>
  <c r="AI7" i="5" s="1"/>
  <c r="DM7" i="5"/>
  <c r="DK7" i="5"/>
  <c r="D23" i="24" s="1"/>
  <c r="DP7" i="5"/>
  <c r="DN7" i="5"/>
  <c r="DR10" i="23"/>
  <c r="R221" i="5"/>
  <c r="DL10" i="23"/>
  <c r="R211" i="5"/>
  <c r="BS152" i="5"/>
  <c r="BQ3" i="24"/>
  <c r="BQ6" i="24"/>
  <c r="BQ4" i="24"/>
  <c r="BQ12" i="24"/>
  <c r="BQ10" i="24"/>
  <c r="BQ7" i="24"/>
  <c r="BQ8" i="24"/>
  <c r="BQ9" i="24"/>
  <c r="BQ11" i="24"/>
  <c r="BQ2" i="24"/>
  <c r="BQ5" i="24"/>
  <c r="DD223" i="5"/>
  <c r="DT40" i="23"/>
  <c r="BJ3" i="23"/>
  <c r="Y143" i="5"/>
  <c r="AZ11" i="23"/>
  <c r="Q131" i="5"/>
  <c r="DI131" i="5"/>
  <c r="DP131" i="5"/>
  <c r="AZ18" i="24" s="1"/>
  <c r="DS131" i="5"/>
  <c r="AZ15" i="24" s="1"/>
  <c r="DR131" i="5"/>
  <c r="AZ16" i="24" s="1"/>
  <c r="DM131" i="5"/>
  <c r="AZ21" i="24" s="1"/>
  <c r="DL131" i="5"/>
  <c r="AZ22" i="24" s="1"/>
  <c r="DK131" i="5"/>
  <c r="AZ23" i="24" s="1"/>
  <c r="DT131" i="5"/>
  <c r="DO131" i="5"/>
  <c r="AZ19" i="24" s="1"/>
  <c r="DN131" i="5"/>
  <c r="DJ131" i="5"/>
  <c r="DQ131" i="5"/>
  <c r="AO4" i="23"/>
  <c r="X119" i="5"/>
  <c r="AF8" i="23"/>
  <c r="T107" i="5"/>
  <c r="DN2" i="23"/>
  <c r="Z213" i="5"/>
  <c r="V130" i="5"/>
  <c r="BL129" i="5"/>
  <c r="AY6" i="23"/>
  <c r="AN7" i="23"/>
  <c r="U118" i="5"/>
  <c r="M6" i="23"/>
  <c r="V83" i="5"/>
  <c r="DD27" i="5"/>
  <c r="DS2" i="23"/>
  <c r="Z222" i="5"/>
  <c r="CR11" i="23"/>
  <c r="BG187" i="5"/>
  <c r="Q188" i="5"/>
  <c r="BR49" i="23"/>
  <c r="DG153" i="5"/>
  <c r="BM116" i="5"/>
  <c r="AM5" i="23"/>
  <c r="W117" i="5"/>
  <c r="T13" i="23"/>
  <c r="BQ93" i="5"/>
  <c r="O93" i="5"/>
  <c r="L11" i="23"/>
  <c r="Q82" i="5"/>
  <c r="T246" i="5"/>
  <c r="CZ4" i="23"/>
  <c r="X197" i="5"/>
  <c r="CG11" i="23"/>
  <c r="Q174" i="5"/>
  <c r="BX11" i="23"/>
  <c r="Q162" i="5"/>
  <c r="AV13" i="23"/>
  <c r="BQ126" i="5"/>
  <c r="O126" i="5"/>
  <c r="AC5" i="23"/>
  <c r="W102" i="5"/>
  <c r="I7" i="23"/>
  <c r="U79" i="5"/>
  <c r="X67" i="5"/>
  <c r="AB67" i="5" s="1"/>
  <c r="T44" i="5"/>
  <c r="S32" i="5"/>
  <c r="CO5" i="23"/>
  <c r="W184" i="5"/>
  <c r="CF11" i="23"/>
  <c r="Q173" i="5"/>
  <c r="BG172" i="5"/>
  <c r="BO10" i="23"/>
  <c r="R149" i="5"/>
  <c r="AU2" i="23"/>
  <c r="Z125" i="5"/>
  <c r="DI113" i="5"/>
  <c r="DK113" i="5"/>
  <c r="AL23" i="24" s="1"/>
  <c r="DJ113" i="5"/>
  <c r="AL24" i="24" s="1"/>
  <c r="DR113" i="5"/>
  <c r="AL16" i="24" s="1"/>
  <c r="DQ113" i="5"/>
  <c r="DP113" i="5"/>
  <c r="DS113" i="5"/>
  <c r="DO113" i="5"/>
  <c r="DN113" i="5"/>
  <c r="AL20" i="24" s="1"/>
  <c r="DM113" i="5"/>
  <c r="DT113" i="5"/>
  <c r="DL113" i="5"/>
  <c r="W31" i="5"/>
  <c r="BM29" i="5"/>
  <c r="Z19" i="5"/>
  <c r="DC193" i="5"/>
  <c r="CW41" i="23"/>
  <c r="CN42" i="23"/>
  <c r="DB182" i="5"/>
  <c r="DX12" i="23"/>
  <c r="P229" i="5"/>
  <c r="BB43" i="23"/>
  <c r="DA133" i="5"/>
  <c r="BO146" i="5"/>
  <c r="BM3" i="23"/>
  <c r="Y147" i="5"/>
  <c r="Z10" i="23"/>
  <c r="R99" i="5"/>
  <c r="T41" i="5"/>
  <c r="AR6" i="23"/>
  <c r="V122" i="5"/>
  <c r="CX11" i="23"/>
  <c r="Q195" i="5"/>
  <c r="BV12" i="23"/>
  <c r="P160" i="5"/>
  <c r="BD7" i="23"/>
  <c r="U136" i="5"/>
  <c r="AA13" i="23"/>
  <c r="BQ100" i="5"/>
  <c r="O100" i="5"/>
  <c r="BS88" i="5"/>
  <c r="Q5" i="24"/>
  <c r="Q11" i="24"/>
  <c r="Q2" i="24"/>
  <c r="Q3" i="24"/>
  <c r="Q12" i="24"/>
  <c r="Q8" i="24"/>
  <c r="Q4" i="24"/>
  <c r="Q6" i="24"/>
  <c r="Q7" i="24"/>
  <c r="Q9" i="24"/>
  <c r="Q10" i="24"/>
  <c r="BW87" i="5"/>
  <c r="BV87" i="5"/>
  <c r="CB87" i="5"/>
  <c r="BZ87" i="5"/>
  <c r="CA87" i="5"/>
  <c r="BX87" i="5"/>
  <c r="BU87" i="5"/>
  <c r="BT87" i="5"/>
  <c r="CD87" i="5"/>
  <c r="CC87" i="5"/>
  <c r="BY87" i="5"/>
  <c r="DG245" i="5"/>
  <c r="DD205" i="5"/>
  <c r="DH40" i="23"/>
  <c r="BU11" i="23"/>
  <c r="Q159" i="5"/>
  <c r="P215" i="5"/>
  <c r="BF214" i="5"/>
  <c r="DO12" i="23"/>
  <c r="C6" i="5"/>
  <c r="DG12" i="23"/>
  <c r="P204" i="5"/>
  <c r="CM3" i="23"/>
  <c r="Y181" i="5"/>
  <c r="BS97" i="5"/>
  <c r="X6" i="24"/>
  <c r="X7" i="24"/>
  <c r="X10" i="24"/>
  <c r="X9" i="24"/>
  <c r="X12" i="24"/>
  <c r="X3" i="24"/>
  <c r="X8" i="24"/>
  <c r="X4" i="24"/>
  <c r="X2" i="24"/>
  <c r="X11" i="24"/>
  <c r="X5" i="24"/>
  <c r="T62" i="5"/>
  <c r="BJ54" i="5"/>
  <c r="T51" i="5"/>
  <c r="T54" i="5" s="1"/>
  <c r="CW38" i="5"/>
  <c r="CA4" i="23"/>
  <c r="X167" i="5"/>
  <c r="AD6" i="23"/>
  <c r="V105" i="5"/>
  <c r="BL104" i="5"/>
  <c r="BG4" i="23"/>
  <c r="X140" i="5"/>
  <c r="AX7" i="23"/>
  <c r="U128" i="5"/>
  <c r="S9" i="23"/>
  <c r="S92" i="5"/>
  <c r="K7" i="23"/>
  <c r="U81" i="5"/>
  <c r="DQ43" i="23"/>
  <c r="DA219" i="5"/>
  <c r="BP209" i="5"/>
  <c r="DK2" i="23"/>
  <c r="Z210" i="5"/>
  <c r="CQ7" i="23"/>
  <c r="U186" i="5"/>
  <c r="CH5" i="23"/>
  <c r="W175" i="5"/>
  <c r="DC150" i="5"/>
  <c r="BP41" i="23"/>
  <c r="BF48" i="23"/>
  <c r="CV138" i="5"/>
  <c r="R10" i="23"/>
  <c r="BH90" i="5"/>
  <c r="R91" i="5"/>
  <c r="U68" i="5"/>
  <c r="BQ45" i="5"/>
  <c r="O45" i="5"/>
  <c r="U33" i="5"/>
  <c r="DG33" i="5"/>
  <c r="AP3" i="23"/>
  <c r="Y120" i="5"/>
  <c r="AG11" i="23"/>
  <c r="Q108" i="5"/>
  <c r="W6" i="23"/>
  <c r="V96" i="5"/>
  <c r="BF60" i="5"/>
  <c r="P61" i="5"/>
  <c r="R26" i="5"/>
  <c r="CV178" i="5"/>
  <c r="CK48" i="23"/>
  <c r="AE8" i="23"/>
  <c r="T106" i="5"/>
  <c r="BO164" i="5"/>
  <c r="BY3" i="23"/>
  <c r="Y165" i="5"/>
  <c r="D46" i="23"/>
  <c r="CI4" i="23"/>
  <c r="X176" i="5"/>
  <c r="BQ8" i="23"/>
  <c r="T152" i="5"/>
  <c r="DT13" i="23"/>
  <c r="O224" i="5"/>
  <c r="BE223" i="5"/>
  <c r="BQ224" i="5"/>
  <c r="DE3" i="23"/>
  <c r="Y202" i="5"/>
  <c r="BJ13" i="23"/>
  <c r="BQ143" i="5"/>
  <c r="O143" i="5"/>
  <c r="AO49" i="23"/>
  <c r="DG119" i="5"/>
  <c r="AF7" i="23"/>
  <c r="U107" i="5"/>
  <c r="V9" i="23"/>
  <c r="S95" i="5"/>
  <c r="DI166" i="5"/>
  <c r="DP166" i="5"/>
  <c r="DJ166" i="5"/>
  <c r="BZ24" i="24" s="1"/>
  <c r="DM166" i="5"/>
  <c r="DL166" i="5"/>
  <c r="BZ22" i="24" s="1"/>
  <c r="DK166" i="5"/>
  <c r="BZ23" i="24" s="1"/>
  <c r="DQ166" i="5"/>
  <c r="BZ17" i="24" s="1"/>
  <c r="DN166" i="5"/>
  <c r="BZ20" i="24" s="1"/>
  <c r="DT166" i="5"/>
  <c r="DS166" i="5"/>
  <c r="DO166" i="5"/>
  <c r="DR166" i="5"/>
  <c r="DH166" i="5" s="1"/>
  <c r="AN49" i="23"/>
  <c r="DG118" i="5"/>
  <c r="DS8" i="23"/>
  <c r="T222" i="5"/>
  <c r="BP187" i="5"/>
  <c r="CR2" i="23"/>
  <c r="Z188" i="5"/>
  <c r="BR3" i="23"/>
  <c r="Y153" i="5"/>
  <c r="AM45" i="23"/>
  <c r="CY116" i="5"/>
  <c r="DB3" i="23"/>
  <c r="Y199" i="5"/>
  <c r="AW5" i="23"/>
  <c r="W127" i="5"/>
  <c r="CZ7" i="23"/>
  <c r="U197" i="5"/>
  <c r="CP7" i="23"/>
  <c r="U185" i="5"/>
  <c r="AC49" i="23"/>
  <c r="DG102" i="5"/>
  <c r="U44" i="5"/>
  <c r="DJ11" i="23"/>
  <c r="Q208" i="5"/>
  <c r="CO3" i="23"/>
  <c r="Y184" i="5"/>
  <c r="BS173" i="5"/>
  <c r="CF7" i="24"/>
  <c r="CF4" i="24"/>
  <c r="CF2" i="24"/>
  <c r="CF10" i="24"/>
  <c r="CF3" i="24"/>
  <c r="CF9" i="24"/>
  <c r="CF11" i="24"/>
  <c r="CF5" i="24"/>
  <c r="CF8" i="24"/>
  <c r="CF6" i="24"/>
  <c r="CF12" i="24"/>
  <c r="BX172" i="5"/>
  <c r="BW172" i="5"/>
  <c r="CC172" i="5"/>
  <c r="CA172" i="5"/>
  <c r="CB172" i="5"/>
  <c r="BV172" i="5"/>
  <c r="CD172" i="5"/>
  <c r="BZ172" i="5"/>
  <c r="BY172" i="5"/>
  <c r="BU172" i="5"/>
  <c r="BT172" i="5"/>
  <c r="CZ29" i="5"/>
  <c r="BQ19" i="5"/>
  <c r="O19" i="5"/>
  <c r="BG193" i="5"/>
  <c r="Q194" i="5"/>
  <c r="CW11" i="23"/>
  <c r="CN13" i="23"/>
  <c r="BQ183" i="5"/>
  <c r="BE182" i="5"/>
  <c r="O183" i="5"/>
  <c r="BB41" i="23"/>
  <c r="DC133" i="5"/>
  <c r="DI134" i="5"/>
  <c r="DP134" i="5"/>
  <c r="AJ134" i="5" s="1"/>
  <c r="DJ134" i="5"/>
  <c r="DT134" i="5"/>
  <c r="DS134" i="5"/>
  <c r="AM134" i="5" s="1"/>
  <c r="DR134" i="5"/>
  <c r="AL134" i="5" s="1"/>
  <c r="DQ134" i="5"/>
  <c r="AK134" i="5" s="1"/>
  <c r="DO134" i="5"/>
  <c r="DN134" i="5"/>
  <c r="AH134" i="5" s="1"/>
  <c r="DM134" i="5"/>
  <c r="DL134" i="5"/>
  <c r="DK134" i="5"/>
  <c r="Y63" i="5"/>
  <c r="CZ227" i="5"/>
  <c r="DW44" i="23"/>
  <c r="BP146" i="5"/>
  <c r="BM2" i="23"/>
  <c r="Z147" i="5"/>
  <c r="Z8" i="23"/>
  <c r="T99" i="5"/>
  <c r="T64" i="5"/>
  <c r="BT48" i="23"/>
  <c r="CV157" i="5"/>
  <c r="DP9" i="23"/>
  <c r="S216" i="5"/>
  <c r="BV6" i="23"/>
  <c r="V160" i="5"/>
  <c r="DI160" i="5"/>
  <c r="DP160" i="5"/>
  <c r="DN160" i="5"/>
  <c r="BV20" i="24" s="1"/>
  <c r="DM160" i="5"/>
  <c r="BV21" i="24" s="1"/>
  <c r="DR160" i="5"/>
  <c r="DO160" i="5"/>
  <c r="DL160" i="5"/>
  <c r="BV22" i="24" s="1"/>
  <c r="DK160" i="5"/>
  <c r="BV23" i="24" s="1"/>
  <c r="DJ160" i="5"/>
  <c r="BV24" i="24" s="1"/>
  <c r="DT160" i="5"/>
  <c r="BV14" i="24" s="1"/>
  <c r="DQ160" i="5"/>
  <c r="DS160" i="5"/>
  <c r="BV15" i="24" s="1"/>
  <c r="AA12" i="23"/>
  <c r="P100" i="5"/>
  <c r="BP87" i="5"/>
  <c r="Q2" i="23"/>
  <c r="Z88" i="5"/>
  <c r="G2" i="23"/>
  <c r="BP76" i="5"/>
  <c r="Z77" i="5"/>
  <c r="V245" i="5"/>
  <c r="Q206" i="5"/>
  <c r="BG205" i="5"/>
  <c r="DH11" i="23"/>
  <c r="BS243" i="5"/>
  <c r="CX241" i="5"/>
  <c r="EB46" i="23" s="1"/>
  <c r="CW241" i="5"/>
  <c r="EB47" i="23" s="1"/>
  <c r="K58" i="5"/>
  <c r="DG9" i="23"/>
  <c r="S204" i="5"/>
  <c r="CV12" i="23"/>
  <c r="P192" i="5"/>
  <c r="CM7" i="23"/>
  <c r="U181" i="5"/>
  <c r="AQ12" i="23"/>
  <c r="P121" i="5"/>
  <c r="AH8" i="23"/>
  <c r="T109" i="5"/>
  <c r="DR97" i="5"/>
  <c r="DQ97" i="5"/>
  <c r="X17" i="24" s="1"/>
  <c r="DI97" i="5"/>
  <c r="DL97" i="5"/>
  <c r="X22" i="24" s="1"/>
  <c r="DJ97" i="5"/>
  <c r="X24" i="24" s="1"/>
  <c r="DS97" i="5"/>
  <c r="X15" i="24" s="1"/>
  <c r="DP97" i="5"/>
  <c r="DO97" i="5"/>
  <c r="X19" i="24" s="1"/>
  <c r="DN97" i="5"/>
  <c r="DK97" i="5"/>
  <c r="DT97" i="5"/>
  <c r="DM97" i="5"/>
  <c r="U62" i="5"/>
  <c r="DA58" i="5"/>
  <c r="CX38" i="5"/>
  <c r="BH38" i="5"/>
  <c r="R39" i="5"/>
  <c r="Z15" i="5"/>
  <c r="BQ15" i="5"/>
  <c r="O15" i="5"/>
  <c r="DD11" i="23"/>
  <c r="Q201" i="5"/>
  <c r="BS8" i="23"/>
  <c r="T154" i="5"/>
  <c r="AD46" i="23"/>
  <c r="CX104" i="5"/>
  <c r="S8" i="23"/>
  <c r="T92" i="5"/>
  <c r="K49" i="23"/>
  <c r="DG81" i="5"/>
  <c r="DK9" i="23"/>
  <c r="S210" i="5"/>
  <c r="BI209" i="5"/>
  <c r="DA10" i="23"/>
  <c r="R198" i="5"/>
  <c r="CQ12" i="23"/>
  <c r="P186" i="5"/>
  <c r="BS175" i="5"/>
  <c r="CH3" i="24"/>
  <c r="CH12" i="24"/>
  <c r="CH7" i="24"/>
  <c r="CH10" i="24"/>
  <c r="CH4" i="24"/>
  <c r="CH5" i="24"/>
  <c r="CH2" i="24"/>
  <c r="CH8" i="24"/>
  <c r="CH9" i="24"/>
  <c r="CH6" i="24"/>
  <c r="CH11" i="24"/>
  <c r="BF38" i="23"/>
  <c r="DF138" i="5"/>
  <c r="R3" i="23"/>
  <c r="BO90" i="5"/>
  <c r="Y91" i="5"/>
  <c r="J8" i="23"/>
  <c r="T80" i="5"/>
  <c r="V33" i="5"/>
  <c r="DF13" i="23"/>
  <c r="BQ203" i="5"/>
  <c r="O203" i="5"/>
  <c r="CU2" i="23"/>
  <c r="Z191" i="5"/>
  <c r="BK13" i="23"/>
  <c r="BQ144" i="5"/>
  <c r="O144" i="5"/>
  <c r="AP7" i="23"/>
  <c r="U120" i="5"/>
  <c r="W5" i="23"/>
  <c r="W96" i="5"/>
  <c r="X26" i="5"/>
  <c r="CW13" i="5"/>
  <c r="CW6" i="5" s="1"/>
  <c r="R14" i="5"/>
  <c r="BH13" i="5"/>
  <c r="BH6" i="5" s="1"/>
  <c r="CS13" i="23"/>
  <c r="O189" i="5"/>
  <c r="BQ189" i="5"/>
  <c r="BS189" i="5"/>
  <c r="CS4" i="24"/>
  <c r="CS7" i="24"/>
  <c r="CS5" i="24"/>
  <c r="CS9" i="24"/>
  <c r="CS11" i="24"/>
  <c r="CS2" i="24"/>
  <c r="CS6" i="24"/>
  <c r="CS8" i="24"/>
  <c r="CS12" i="24"/>
  <c r="CS3" i="24"/>
  <c r="CS10" i="24"/>
  <c r="T36" i="5"/>
  <c r="DM4" i="23"/>
  <c r="X212" i="5"/>
  <c r="BY10" i="23"/>
  <c r="BH164" i="5"/>
  <c r="R165" i="5"/>
  <c r="D11" i="23"/>
  <c r="Q7" i="5"/>
  <c r="DR6" i="23"/>
  <c r="V221" i="5"/>
  <c r="DL13" i="23"/>
  <c r="O211" i="5"/>
  <c r="BQ211" i="5"/>
  <c r="DG46" i="5"/>
  <c r="DT42" i="23"/>
  <c r="DB223" i="5"/>
  <c r="BZ11" i="23"/>
  <c r="Q166" i="5"/>
  <c r="BS130" i="5"/>
  <c r="AY10" i="24"/>
  <c r="AY3" i="24"/>
  <c r="AY5" i="24"/>
  <c r="AY9" i="24"/>
  <c r="AY4" i="24"/>
  <c r="AY2" i="24"/>
  <c r="AY6" i="24"/>
  <c r="AY11" i="24"/>
  <c r="AY7" i="24"/>
  <c r="AY8" i="24"/>
  <c r="AY12" i="24"/>
  <c r="CD129" i="5"/>
  <c r="BT129" i="5"/>
  <c r="CB129" i="5"/>
  <c r="CA129" i="5"/>
  <c r="BZ129" i="5"/>
  <c r="BW129" i="5"/>
  <c r="BV129" i="5"/>
  <c r="BU129" i="5"/>
  <c r="CC129" i="5"/>
  <c r="BY129" i="5"/>
  <c r="BX129" i="5"/>
  <c r="M4" i="23"/>
  <c r="X83" i="5"/>
  <c r="T188" i="5"/>
  <c r="BJ187" i="5"/>
  <c r="CR8" i="23"/>
  <c r="BS153" i="5"/>
  <c r="BR2" i="24"/>
  <c r="BR11" i="24"/>
  <c r="BR6" i="24"/>
  <c r="BR12" i="24"/>
  <c r="BR10" i="24"/>
  <c r="BR7" i="24"/>
  <c r="BR8" i="24"/>
  <c r="BR4" i="24"/>
  <c r="BR9" i="24"/>
  <c r="BR3" i="24"/>
  <c r="BR5" i="24"/>
  <c r="AM43" i="23"/>
  <c r="DA116" i="5"/>
  <c r="L7" i="23"/>
  <c r="U82" i="5"/>
  <c r="AW49" i="23"/>
  <c r="DG127" i="5"/>
  <c r="AW10" i="23"/>
  <c r="R127" i="5"/>
  <c r="CZ2" i="23"/>
  <c r="Z197" i="5"/>
  <c r="CP13" i="23"/>
  <c r="BQ185" i="5"/>
  <c r="O185" i="5"/>
  <c r="CG8" i="23"/>
  <c r="T174" i="5"/>
  <c r="BX6" i="23"/>
  <c r="V162" i="5"/>
  <c r="V44" i="5"/>
  <c r="DG32" i="5"/>
  <c r="CO7" i="23"/>
  <c r="U184" i="5"/>
  <c r="CF8" i="23"/>
  <c r="T173" i="5"/>
  <c r="BJ172" i="5"/>
  <c r="AU7" i="23"/>
  <c r="U125" i="5"/>
  <c r="Y89" i="5"/>
  <c r="BI57" i="5"/>
  <c r="S55" i="5"/>
  <c r="S57" i="5" s="1"/>
  <c r="CW7" i="23"/>
  <c r="U194" i="5"/>
  <c r="BK193" i="5"/>
  <c r="DF182" i="5"/>
  <c r="CN38" i="23"/>
  <c r="DI183" i="5"/>
  <c r="DP183" i="5"/>
  <c r="AJ183" i="5" s="1"/>
  <c r="DL183" i="5"/>
  <c r="DK183" i="5"/>
  <c r="DM183" i="5"/>
  <c r="DJ183" i="5"/>
  <c r="DT183" i="5"/>
  <c r="AN183" i="5" s="1"/>
  <c r="DR183" i="5"/>
  <c r="DH183" i="5" s="1"/>
  <c r="DQ183" i="5"/>
  <c r="AK183" i="5" s="1"/>
  <c r="DO183" i="5"/>
  <c r="DN183" i="5"/>
  <c r="DS183" i="5"/>
  <c r="AM183" i="5" s="1"/>
  <c r="BS98" i="5"/>
  <c r="Y4" i="24"/>
  <c r="Y7" i="24"/>
  <c r="Y9" i="24"/>
  <c r="Y3" i="24"/>
  <c r="Y6" i="24"/>
  <c r="Y10" i="24"/>
  <c r="Y12" i="24"/>
  <c r="Y5" i="24"/>
  <c r="Y11" i="24"/>
  <c r="Y8" i="24"/>
  <c r="Y2" i="24"/>
  <c r="BN227" i="5"/>
  <c r="DW4" i="23"/>
  <c r="X228" i="5"/>
  <c r="DG147" i="5"/>
  <c r="CU146" i="5"/>
  <c r="BM49" i="23"/>
  <c r="Z9" i="23"/>
  <c r="S99" i="5"/>
  <c r="BQ41" i="5"/>
  <c r="O41" i="5"/>
  <c r="DI4" i="23"/>
  <c r="X207" i="5"/>
  <c r="BN6" i="23"/>
  <c r="V148" i="5"/>
  <c r="BD5" i="23"/>
  <c r="W136" i="5"/>
  <c r="CU87" i="5"/>
  <c r="DG88" i="5"/>
  <c r="DG87" i="5" s="1"/>
  <c r="Q49" i="23"/>
  <c r="G46" i="23"/>
  <c r="CX76" i="5"/>
  <c r="BG76" i="5"/>
  <c r="Q77" i="5"/>
  <c r="G11" i="23"/>
  <c r="Z65" i="5"/>
  <c r="U42" i="5"/>
  <c r="DH10" i="23"/>
  <c r="BH205" i="5"/>
  <c r="R206" i="5"/>
  <c r="AI49" i="23"/>
  <c r="DG110" i="5"/>
  <c r="R16" i="5"/>
  <c r="R243" i="5"/>
  <c r="DS243" i="5"/>
  <c r="AM243" i="5" s="1"/>
  <c r="DR243" i="5"/>
  <c r="AL243" i="5" s="1"/>
  <c r="DQ243" i="5"/>
  <c r="AK243" i="5" s="1"/>
  <c r="DP243" i="5"/>
  <c r="AJ243" i="5" s="1"/>
  <c r="DO243" i="5"/>
  <c r="AI243" i="5" s="1"/>
  <c r="DN243" i="5"/>
  <c r="AH243" i="5" s="1"/>
  <c r="DM243" i="5"/>
  <c r="AG243" i="5" s="1"/>
  <c r="DL243" i="5"/>
  <c r="AF243" i="5" s="1"/>
  <c r="DK243" i="5"/>
  <c r="AE243" i="5" s="1"/>
  <c r="DJ243" i="5"/>
  <c r="AD243" i="5" s="1"/>
  <c r="DI243" i="5"/>
  <c r="DT243" i="5"/>
  <c r="AN243" i="5" s="1"/>
  <c r="BJ241" i="5"/>
  <c r="EB8" i="23" s="1"/>
  <c r="T242" i="5"/>
  <c r="CY241" i="5"/>
  <c r="EB45" i="23" s="1"/>
  <c r="AO27" i="1"/>
  <c r="C43" i="1"/>
  <c r="C47" i="1" s="1"/>
  <c r="BL49" i="23"/>
  <c r="DG145" i="5"/>
  <c r="J43" i="1"/>
  <c r="J47" i="1" s="1"/>
  <c r="DV10" i="23"/>
  <c r="R226" i="5"/>
  <c r="DG2" i="23"/>
  <c r="Z204" i="5"/>
  <c r="CV3" i="23"/>
  <c r="Y192" i="5"/>
  <c r="CV49" i="23"/>
  <c r="DG192" i="5"/>
  <c r="CM6" i="23"/>
  <c r="V181" i="5"/>
  <c r="DI181" i="5"/>
  <c r="DP181" i="5"/>
  <c r="CM18" i="24" s="1"/>
  <c r="DJ181" i="5"/>
  <c r="DT181" i="5"/>
  <c r="CM14" i="24" s="1"/>
  <c r="DL181" i="5"/>
  <c r="DS181" i="5"/>
  <c r="DR181" i="5"/>
  <c r="DH181" i="5" s="1"/>
  <c r="DQ181" i="5"/>
  <c r="DO181" i="5"/>
  <c r="CM19" i="24" s="1"/>
  <c r="DN181" i="5"/>
  <c r="CM20" i="24" s="1"/>
  <c r="DM181" i="5"/>
  <c r="CM21" i="24" s="1"/>
  <c r="DK181" i="5"/>
  <c r="AQ9" i="23"/>
  <c r="S121" i="5"/>
  <c r="AH13" i="23"/>
  <c r="BQ109" i="5"/>
  <c r="O109" i="5"/>
  <c r="X4" i="23"/>
  <c r="X97" i="5"/>
  <c r="P8" i="23"/>
  <c r="T86" i="5"/>
  <c r="DR86" i="5"/>
  <c r="DQ86" i="5"/>
  <c r="DS86" i="5"/>
  <c r="DP86" i="5"/>
  <c r="P18" i="24" s="1"/>
  <c r="DO86" i="5"/>
  <c r="P19" i="24" s="1"/>
  <c r="DK86" i="5"/>
  <c r="DI86" i="5"/>
  <c r="DN86" i="5"/>
  <c r="P20" i="24" s="1"/>
  <c r="DM86" i="5"/>
  <c r="DL86" i="5"/>
  <c r="DJ86" i="5"/>
  <c r="P24" i="24" s="1"/>
  <c r="DT86" i="5"/>
  <c r="P14" i="24" s="1"/>
  <c r="BH9" i="23"/>
  <c r="S141" i="5"/>
  <c r="B218" i="5"/>
  <c r="DG49" i="23"/>
  <c r="DG204" i="5"/>
  <c r="CV13" i="23"/>
  <c r="BQ192" i="5"/>
  <c r="O192" i="5"/>
  <c r="CM13" i="23"/>
  <c r="BQ181" i="5"/>
  <c r="O181" i="5"/>
  <c r="CC5" i="23"/>
  <c r="W169" i="5"/>
  <c r="BS169" i="5"/>
  <c r="CC3" i="24"/>
  <c r="CC6" i="24"/>
  <c r="CC5" i="24"/>
  <c r="CC7" i="24"/>
  <c r="CC9" i="24"/>
  <c r="CC11" i="24"/>
  <c r="CC2" i="24"/>
  <c r="CC4" i="24"/>
  <c r="CC8" i="24"/>
  <c r="CC10" i="24"/>
  <c r="CC12" i="24"/>
  <c r="AQ4" i="23"/>
  <c r="X121" i="5"/>
  <c r="X7" i="23"/>
  <c r="U97" i="5"/>
  <c r="P2" i="23"/>
  <c r="Z86" i="5"/>
  <c r="X62" i="5"/>
  <c r="AB62" i="5" s="1"/>
  <c r="BS62" i="5"/>
  <c r="BO54" i="5"/>
  <c r="Y51" i="5"/>
  <c r="Y54" i="5" s="1"/>
  <c r="CU54" i="5"/>
  <c r="DG51" i="5"/>
  <c r="DG54" i="5" s="1"/>
  <c r="DA38" i="5"/>
  <c r="DF38" i="5"/>
  <c r="V15" i="5"/>
  <c r="S15" i="5"/>
  <c r="CA13" i="23"/>
  <c r="BQ167" i="5"/>
  <c r="O167" i="5"/>
  <c r="DD49" i="23"/>
  <c r="DG201" i="5"/>
  <c r="DI201" i="5"/>
  <c r="DP201" i="5"/>
  <c r="DT201" i="5"/>
  <c r="DS201" i="5"/>
  <c r="DJ201" i="5"/>
  <c r="DR201" i="5"/>
  <c r="DQ201" i="5"/>
  <c r="DO201" i="5"/>
  <c r="DD19" i="24" s="1"/>
  <c r="DN201" i="5"/>
  <c r="DM201" i="5"/>
  <c r="DD21" i="24" s="1"/>
  <c r="DL201" i="5"/>
  <c r="DK201" i="5"/>
  <c r="DD23" i="24" s="1"/>
  <c r="U11" i="23"/>
  <c r="Q94" i="5"/>
  <c r="DC5" i="23"/>
  <c r="W200" i="5"/>
  <c r="DC13" i="23"/>
  <c r="O200" i="5"/>
  <c r="BQ200" i="5"/>
  <c r="DI200" i="5"/>
  <c r="DP200" i="5"/>
  <c r="DC18" i="24" s="1"/>
  <c r="DS200" i="5"/>
  <c r="DR200" i="5"/>
  <c r="DQ200" i="5"/>
  <c r="DC17" i="24" s="1"/>
  <c r="DT200" i="5"/>
  <c r="DC14" i="24" s="1"/>
  <c r="DO200" i="5"/>
  <c r="DN200" i="5"/>
  <c r="DL200" i="5"/>
  <c r="DK200" i="5"/>
  <c r="DJ200" i="5"/>
  <c r="DC24" i="24" s="1"/>
  <c r="DM200" i="5"/>
  <c r="DC21" i="24" s="1"/>
  <c r="CJ7" i="23"/>
  <c r="U177" i="5"/>
  <c r="BH4" i="23"/>
  <c r="X141" i="5"/>
  <c r="BN104" i="5"/>
  <c r="BR104" i="5" s="1"/>
  <c r="AD4" i="23"/>
  <c r="X105" i="5"/>
  <c r="AD9" i="23"/>
  <c r="S105" i="5"/>
  <c r="BI104" i="5"/>
  <c r="BG8" i="23"/>
  <c r="T140" i="5"/>
  <c r="BG11" i="23"/>
  <c r="Q140" i="5"/>
  <c r="AX5" i="23"/>
  <c r="W128" i="5"/>
  <c r="DI128" i="5"/>
  <c r="DP128" i="5"/>
  <c r="AX18" i="24" s="1"/>
  <c r="DN128" i="5"/>
  <c r="DM128" i="5"/>
  <c r="DT128" i="5"/>
  <c r="AX14" i="24" s="1"/>
  <c r="DS128" i="5"/>
  <c r="AX15" i="24" s="1"/>
  <c r="DR128" i="5"/>
  <c r="DH128" i="5" s="1"/>
  <c r="DO128" i="5"/>
  <c r="DK128" i="5"/>
  <c r="AX23" i="24" s="1"/>
  <c r="DJ128" i="5"/>
  <c r="AX24" i="24" s="1"/>
  <c r="DQ128" i="5"/>
  <c r="AX17" i="24" s="1"/>
  <c r="DL128" i="5"/>
  <c r="Q247" i="5"/>
  <c r="DS247" i="5"/>
  <c r="AM247" i="5" s="1"/>
  <c r="DR247" i="5"/>
  <c r="AL247" i="5" s="1"/>
  <c r="DQ247" i="5"/>
  <c r="AK247" i="5" s="1"/>
  <c r="DP247" i="5"/>
  <c r="AJ247" i="5" s="1"/>
  <c r="DO247" i="5"/>
  <c r="AI247" i="5" s="1"/>
  <c r="DN247" i="5"/>
  <c r="AH247" i="5" s="1"/>
  <c r="DM247" i="5"/>
  <c r="AG247" i="5" s="1"/>
  <c r="DL247" i="5"/>
  <c r="AF247" i="5" s="1"/>
  <c r="DK247" i="5"/>
  <c r="AE247" i="5" s="1"/>
  <c r="DJ247" i="5"/>
  <c r="AD247" i="5" s="1"/>
  <c r="DI247" i="5"/>
  <c r="DT247" i="5"/>
  <c r="AN247" i="5" s="1"/>
  <c r="DF219" i="5"/>
  <c r="DQ38" i="23"/>
  <c r="DB219" i="5"/>
  <c r="DQ42" i="23"/>
  <c r="BM209" i="5"/>
  <c r="DK5" i="23"/>
  <c r="W210" i="5"/>
  <c r="CV209" i="5"/>
  <c r="DK48" i="23"/>
  <c r="DA13" i="23"/>
  <c r="BQ198" i="5"/>
  <c r="O198" i="5"/>
  <c r="CH12" i="23"/>
  <c r="P175" i="5"/>
  <c r="Q151" i="5"/>
  <c r="BG150" i="5"/>
  <c r="BP11" i="23"/>
  <c r="DE150" i="5"/>
  <c r="BP39" i="23"/>
  <c r="DI151" i="5"/>
  <c r="DP151" i="5"/>
  <c r="AJ151" i="5" s="1"/>
  <c r="DN151" i="5"/>
  <c r="DM151" i="5"/>
  <c r="DK151" i="5"/>
  <c r="AE151" i="5" s="1"/>
  <c r="DJ151" i="5"/>
  <c r="DT151" i="5"/>
  <c r="DR151" i="5"/>
  <c r="AL151" i="5" s="1"/>
  <c r="DQ151" i="5"/>
  <c r="AK151" i="5" s="1"/>
  <c r="DO151" i="5"/>
  <c r="DL151" i="5"/>
  <c r="AF151" i="5" s="1"/>
  <c r="DS151" i="5"/>
  <c r="BF47" i="23"/>
  <c r="CW138" i="5"/>
  <c r="BF42" i="23"/>
  <c r="DB138" i="5"/>
  <c r="R13" i="23"/>
  <c r="BE90" i="5"/>
  <c r="BQ91" i="5"/>
  <c r="O91" i="5"/>
  <c r="R41" i="23"/>
  <c r="DC90" i="5"/>
  <c r="J5" i="23"/>
  <c r="W80" i="5"/>
  <c r="J9" i="23"/>
  <c r="S80" i="5"/>
  <c r="BQ68" i="5"/>
  <c r="O68" i="5"/>
  <c r="X45" i="5"/>
  <c r="AB45" i="5" s="1"/>
  <c r="Q45" i="5"/>
  <c r="BQ33" i="5"/>
  <c r="O33" i="5"/>
  <c r="DF9" i="23"/>
  <c r="S203" i="5"/>
  <c r="CU9" i="23"/>
  <c r="S191" i="5"/>
  <c r="CL6" i="23"/>
  <c r="V180" i="5"/>
  <c r="CL11" i="23"/>
  <c r="Q180" i="5"/>
  <c r="CB2" i="23"/>
  <c r="Z168" i="5"/>
  <c r="CB4" i="23"/>
  <c r="X168" i="5"/>
  <c r="BK11" i="23"/>
  <c r="Q144" i="5"/>
  <c r="BS144" i="5"/>
  <c r="BK4" i="24"/>
  <c r="BK10" i="24"/>
  <c r="BK11" i="24"/>
  <c r="BK12" i="24"/>
  <c r="BK5" i="24"/>
  <c r="BK8" i="24"/>
  <c r="BK9" i="24"/>
  <c r="BK7" i="24"/>
  <c r="BK3" i="24"/>
  <c r="BK2" i="24"/>
  <c r="BK6" i="24"/>
  <c r="BA13" i="23"/>
  <c r="O132" i="5"/>
  <c r="BQ132" i="5"/>
  <c r="AP9" i="23"/>
  <c r="S120" i="5"/>
  <c r="AG13" i="23"/>
  <c r="BQ108" i="5"/>
  <c r="O108" i="5"/>
  <c r="AG10" i="23"/>
  <c r="R108" i="5"/>
  <c r="W8" i="23"/>
  <c r="T96" i="5"/>
  <c r="O12" i="23"/>
  <c r="P85" i="5"/>
  <c r="O5" i="23"/>
  <c r="W85" i="5"/>
  <c r="U61" i="5"/>
  <c r="BK60" i="5"/>
  <c r="BJ60" i="5"/>
  <c r="T61" i="5"/>
  <c r="BS61" i="5"/>
  <c r="BY60" i="5"/>
  <c r="BX60" i="5"/>
  <c r="BZ60" i="5"/>
  <c r="BV60" i="5"/>
  <c r="BW60" i="5"/>
  <c r="CD60" i="5"/>
  <c r="CC60" i="5"/>
  <c r="CA60" i="5"/>
  <c r="CB60" i="5"/>
  <c r="BU60" i="5"/>
  <c r="BT60" i="5"/>
  <c r="BF13" i="5"/>
  <c r="BF6" i="5" s="1"/>
  <c r="P14" i="5"/>
  <c r="CY13" i="5"/>
  <c r="CY6" i="5" s="1"/>
  <c r="BO178" i="5"/>
  <c r="CK3" i="23"/>
  <c r="Y179" i="5"/>
  <c r="DE178" i="5"/>
  <c r="CK39" i="23"/>
  <c r="CS8" i="23"/>
  <c r="T189" i="5"/>
  <c r="BI3" i="23"/>
  <c r="Y142" i="5"/>
  <c r="DI142" i="5"/>
  <c r="DP142" i="5"/>
  <c r="BI18" i="24" s="1"/>
  <c r="DL142" i="5"/>
  <c r="DK142" i="5"/>
  <c r="DN142" i="5"/>
  <c r="BI20" i="24" s="1"/>
  <c r="DJ142" i="5"/>
  <c r="BI24" i="24" s="1"/>
  <c r="DT142" i="5"/>
  <c r="BI14" i="24" s="1"/>
  <c r="DS142" i="5"/>
  <c r="DR142" i="5"/>
  <c r="DH142" i="5" s="1"/>
  <c r="DQ142" i="5"/>
  <c r="DO142" i="5"/>
  <c r="DM142" i="5"/>
  <c r="AE7" i="23"/>
  <c r="U106" i="5"/>
  <c r="DM7" i="23"/>
  <c r="U212" i="5"/>
  <c r="BY8" i="23"/>
  <c r="BJ164" i="5"/>
  <c r="T165" i="5"/>
  <c r="DF164" i="5"/>
  <c r="BY38" i="23"/>
  <c r="D12" i="23"/>
  <c r="P7" i="5"/>
  <c r="D48" i="23"/>
  <c r="CI6" i="23"/>
  <c r="V176" i="5"/>
  <c r="CI9" i="23"/>
  <c r="S176" i="5"/>
  <c r="BQ5" i="23"/>
  <c r="W152" i="5"/>
  <c r="V69" i="5"/>
  <c r="P69" i="5"/>
  <c r="BQ46" i="5"/>
  <c r="O46" i="5"/>
  <c r="DT9" i="23"/>
  <c r="BI223" i="5"/>
  <c r="S224" i="5"/>
  <c r="DT48" i="23"/>
  <c r="CV223" i="5"/>
  <c r="DE7" i="23"/>
  <c r="U202" i="5"/>
  <c r="BS202" i="5"/>
  <c r="DE4" i="24"/>
  <c r="DE7" i="24"/>
  <c r="DE5" i="24"/>
  <c r="DE11" i="24"/>
  <c r="DE6" i="24"/>
  <c r="DE12" i="24"/>
  <c r="DE3" i="24"/>
  <c r="DE10" i="24"/>
  <c r="DE8" i="24"/>
  <c r="DE9" i="24"/>
  <c r="DE2" i="24"/>
  <c r="CT6" i="23"/>
  <c r="V190" i="5"/>
  <c r="BJ6" i="23"/>
  <c r="V143" i="5"/>
  <c r="AZ12" i="23"/>
  <c r="P131" i="5"/>
  <c r="AZ9" i="23"/>
  <c r="S131" i="5"/>
  <c r="AO11" i="23"/>
  <c r="Q119" i="5"/>
  <c r="AF4" i="23"/>
  <c r="X107" i="5"/>
  <c r="V2" i="23"/>
  <c r="Z95" i="5"/>
  <c r="V6" i="23"/>
  <c r="V95" i="5"/>
  <c r="BS95" i="5"/>
  <c r="V2" i="24"/>
  <c r="V4" i="24"/>
  <c r="V8" i="24"/>
  <c r="V11" i="24"/>
  <c r="V10" i="24"/>
  <c r="V9" i="24"/>
  <c r="V7" i="24"/>
  <c r="V12" i="24"/>
  <c r="V3" i="24"/>
  <c r="V6" i="24"/>
  <c r="V5" i="24"/>
  <c r="N11" i="23"/>
  <c r="Q84" i="5"/>
  <c r="Y25" i="5"/>
  <c r="S25" i="5"/>
  <c r="DN8" i="23"/>
  <c r="T213" i="5"/>
  <c r="DN3" i="23"/>
  <c r="Y213" i="5"/>
  <c r="BZ10" i="23"/>
  <c r="R166" i="5"/>
  <c r="AY13" i="23"/>
  <c r="BE129" i="5"/>
  <c r="BQ130" i="5"/>
  <c r="O130" i="5"/>
  <c r="BP129" i="5"/>
  <c r="AY2" i="23"/>
  <c r="Z130" i="5"/>
  <c r="AN5" i="23"/>
  <c r="W118" i="5"/>
  <c r="DI118" i="5"/>
  <c r="DM118" i="5"/>
  <c r="DL118" i="5"/>
  <c r="AN22" i="24" s="1"/>
  <c r="DJ118" i="5"/>
  <c r="DR118" i="5"/>
  <c r="AN16" i="24" s="1"/>
  <c r="DP118" i="5"/>
  <c r="AN18" i="24" s="1"/>
  <c r="DN118" i="5"/>
  <c r="AN20" i="24" s="1"/>
  <c r="DK118" i="5"/>
  <c r="DT118" i="5"/>
  <c r="DQ118" i="5"/>
  <c r="AN17" i="24" s="1"/>
  <c r="DO118" i="5"/>
  <c r="DS118" i="5"/>
  <c r="M49" i="23"/>
  <c r="DG83" i="5"/>
  <c r="U24" i="5"/>
  <c r="BK27" i="5"/>
  <c r="CY27" i="5"/>
  <c r="DS3" i="23"/>
  <c r="Y222" i="5"/>
  <c r="BQ188" i="5"/>
  <c r="O188" i="5"/>
  <c r="BE187" i="5"/>
  <c r="CR13" i="23"/>
  <c r="CR43" i="23"/>
  <c r="DA187" i="5"/>
  <c r="BR2" i="23"/>
  <c r="Z153" i="5"/>
  <c r="AM8" i="23"/>
  <c r="T117" i="5"/>
  <c r="BJ116" i="5"/>
  <c r="AM13" i="23"/>
  <c r="BE116" i="5"/>
  <c r="BQ117" i="5"/>
  <c r="O117" i="5"/>
  <c r="DI117" i="5"/>
  <c r="DL117" i="5"/>
  <c r="DK117" i="5"/>
  <c r="DT117" i="5"/>
  <c r="AN117" i="5" s="1"/>
  <c r="DS117" i="5"/>
  <c r="AM117" i="5" s="1"/>
  <c r="DJ117" i="5"/>
  <c r="AD117" i="5" s="1"/>
  <c r="DR117" i="5"/>
  <c r="AL117" i="5" s="1"/>
  <c r="DQ117" i="5"/>
  <c r="AK117" i="5" s="1"/>
  <c r="DP117" i="5"/>
  <c r="AJ117" i="5" s="1"/>
  <c r="DO117" i="5"/>
  <c r="DN117" i="5"/>
  <c r="AH117" i="5" s="1"/>
  <c r="DM117" i="5"/>
  <c r="T49" i="23"/>
  <c r="DG93" i="5"/>
  <c r="L49" i="23"/>
  <c r="DG82" i="5"/>
  <c r="DB11" i="23"/>
  <c r="Q199" i="5"/>
  <c r="DI199" i="5"/>
  <c r="DP199" i="5"/>
  <c r="DB18" i="24" s="1"/>
  <c r="DQ199" i="5"/>
  <c r="DO199" i="5"/>
  <c r="DN199" i="5"/>
  <c r="DB20" i="24" s="1"/>
  <c r="DL199" i="5"/>
  <c r="DB22" i="24" s="1"/>
  <c r="DK199" i="5"/>
  <c r="DB23" i="24" s="1"/>
  <c r="DJ199" i="5"/>
  <c r="DB24" i="24" s="1"/>
  <c r="DT199" i="5"/>
  <c r="DS199" i="5"/>
  <c r="DR199" i="5"/>
  <c r="DH199" i="5" s="1"/>
  <c r="DM199" i="5"/>
  <c r="V34" i="5"/>
  <c r="DG34" i="5"/>
  <c r="AW2" i="23"/>
  <c r="Z127" i="5"/>
  <c r="Q246" i="5"/>
  <c r="X246" i="5"/>
  <c r="CP12" i="23"/>
  <c r="P185" i="5"/>
  <c r="CP49" i="23"/>
  <c r="DG185" i="5"/>
  <c r="CG2" i="23"/>
  <c r="Z174" i="5"/>
  <c r="CG6" i="23"/>
  <c r="V174" i="5"/>
  <c r="BX3" i="23"/>
  <c r="Y162" i="5"/>
  <c r="DI162" i="5"/>
  <c r="DP162" i="5"/>
  <c r="BX18" i="24" s="1"/>
  <c r="DS162" i="5"/>
  <c r="DR162" i="5"/>
  <c r="BX16" i="24" s="1"/>
  <c r="DT162" i="5"/>
  <c r="DQ162" i="5"/>
  <c r="DO162" i="5"/>
  <c r="BX19" i="24" s="1"/>
  <c r="DN162" i="5"/>
  <c r="BX20" i="24" s="1"/>
  <c r="DL162" i="5"/>
  <c r="DK162" i="5"/>
  <c r="BX23" i="24" s="1"/>
  <c r="DJ162" i="5"/>
  <c r="BX24" i="24" s="1"/>
  <c r="DM162" i="5"/>
  <c r="BX21" i="24" s="1"/>
  <c r="AV11" i="23"/>
  <c r="Q126" i="5"/>
  <c r="I3" i="23"/>
  <c r="Y79" i="5"/>
  <c r="R67" i="5"/>
  <c r="U32" i="5"/>
  <c r="Q20" i="5"/>
  <c r="BS4" i="5"/>
  <c r="CY9" i="23"/>
  <c r="S196" i="5"/>
  <c r="CO13" i="23"/>
  <c r="BQ184" i="5"/>
  <c r="O184" i="5"/>
  <c r="CO10" i="23"/>
  <c r="R184" i="5"/>
  <c r="CF3" i="23"/>
  <c r="BO172" i="5"/>
  <c r="Y173" i="5"/>
  <c r="CF43" i="23"/>
  <c r="DA172" i="5"/>
  <c r="BW4" i="23"/>
  <c r="X161" i="5"/>
  <c r="BS149" i="5"/>
  <c r="BO8" i="24"/>
  <c r="BO11" i="24"/>
  <c r="BO5" i="24"/>
  <c r="BO7" i="24"/>
  <c r="BO10" i="24"/>
  <c r="BO4" i="24"/>
  <c r="BO6" i="24"/>
  <c r="BO2" i="24"/>
  <c r="BO9" i="24"/>
  <c r="BO3" i="24"/>
  <c r="BO12" i="24"/>
  <c r="BE5" i="23"/>
  <c r="W137" i="5"/>
  <c r="AL12" i="23"/>
  <c r="P113" i="5"/>
  <c r="AL3" i="23"/>
  <c r="Y113" i="5"/>
  <c r="AB8" i="23"/>
  <c r="T101" i="5"/>
  <c r="P89" i="5"/>
  <c r="H8" i="23"/>
  <c r="T78" i="5"/>
  <c r="H6" i="23"/>
  <c r="V78" i="5"/>
  <c r="DR78" i="5"/>
  <c r="DH78" i="5" s="1"/>
  <c r="DQ78" i="5"/>
  <c r="H17" i="24" s="1"/>
  <c r="DM78" i="5"/>
  <c r="DL78" i="5"/>
  <c r="DK78" i="5"/>
  <c r="H23" i="24" s="1"/>
  <c r="DJ78" i="5"/>
  <c r="DT78" i="5"/>
  <c r="H14" i="24" s="1"/>
  <c r="DP78" i="5"/>
  <c r="H18" i="24" s="1"/>
  <c r="DI78" i="5"/>
  <c r="DS78" i="5"/>
  <c r="DO78" i="5"/>
  <c r="H19" i="24" s="1"/>
  <c r="DN78" i="5"/>
  <c r="H20" i="24" s="1"/>
  <c r="CU57" i="5"/>
  <c r="DG55" i="5"/>
  <c r="DB29" i="5"/>
  <c r="DF29" i="5"/>
  <c r="S19" i="5"/>
  <c r="DG194" i="5"/>
  <c r="CU193" i="5"/>
  <c r="CW49" i="23"/>
  <c r="S194" i="5"/>
  <c r="CW9" i="23"/>
  <c r="BI193" i="5"/>
  <c r="CN49" i="23"/>
  <c r="DG183" i="5"/>
  <c r="CU182" i="5"/>
  <c r="CN10" i="23"/>
  <c r="R183" i="5"/>
  <c r="BH182" i="5"/>
  <c r="CE3" i="23"/>
  <c r="Y171" i="5"/>
  <c r="BC13" i="23"/>
  <c r="O135" i="5"/>
  <c r="BQ135" i="5"/>
  <c r="BC4" i="23"/>
  <c r="X135" i="5"/>
  <c r="BS135" i="5"/>
  <c r="BC6" i="24"/>
  <c r="BC8" i="24"/>
  <c r="BC11" i="24"/>
  <c r="BC3" i="24"/>
  <c r="BC4" i="24"/>
  <c r="BC5" i="24"/>
  <c r="BC12" i="24"/>
  <c r="BC9" i="24"/>
  <c r="BC2" i="24"/>
  <c r="BC10" i="24"/>
  <c r="BC7" i="24"/>
  <c r="AJ49" i="23"/>
  <c r="DG111" i="5"/>
  <c r="DX5" i="23"/>
  <c r="W229" i="5"/>
  <c r="DX3" i="23"/>
  <c r="Y229" i="5"/>
  <c r="BM133" i="5"/>
  <c r="BB5" i="23"/>
  <c r="W134" i="5"/>
  <c r="DE133" i="5"/>
  <c r="BB39" i="23"/>
  <c r="Y13" i="23"/>
  <c r="O98" i="5"/>
  <c r="BQ98" i="5"/>
  <c r="Y7" i="23"/>
  <c r="U98" i="5"/>
  <c r="U63" i="5"/>
  <c r="P63" i="5"/>
  <c r="DT63" i="5"/>
  <c r="AN63" i="5" s="1"/>
  <c r="DS63" i="5"/>
  <c r="AM63" i="5" s="1"/>
  <c r="DR63" i="5"/>
  <c r="AL63" i="5" s="1"/>
  <c r="DJ63" i="5"/>
  <c r="AD63" i="5" s="1"/>
  <c r="DQ63" i="5"/>
  <c r="AK63" i="5" s="1"/>
  <c r="DP63" i="5"/>
  <c r="AJ63" i="5" s="1"/>
  <c r="DO63" i="5"/>
  <c r="AI63" i="5" s="1"/>
  <c r="DN63" i="5"/>
  <c r="AH63" i="5" s="1"/>
  <c r="DM63" i="5"/>
  <c r="AG63" i="5" s="1"/>
  <c r="DK63" i="5"/>
  <c r="AE63" i="5" s="1"/>
  <c r="DI63" i="5"/>
  <c r="DL63" i="5"/>
  <c r="AF63" i="5" s="1"/>
  <c r="BJ227" i="5"/>
  <c r="DW8" i="23"/>
  <c r="T228" i="5"/>
  <c r="DW40" i="23"/>
  <c r="DD227" i="5"/>
  <c r="DE146" i="5"/>
  <c r="BM39" i="23"/>
  <c r="BM12" i="23"/>
  <c r="P147" i="5"/>
  <c r="BF146" i="5"/>
  <c r="BS147" i="5"/>
  <c r="BM5" i="24"/>
  <c r="BM3" i="24"/>
  <c r="BM9" i="24"/>
  <c r="BM10" i="24"/>
  <c r="BM7" i="24"/>
  <c r="BM2" i="24"/>
  <c r="BM11" i="24"/>
  <c r="BM4" i="24"/>
  <c r="BM12" i="24"/>
  <c r="BM6" i="24"/>
  <c r="BM8" i="24"/>
  <c r="CB146" i="5"/>
  <c r="CA146" i="5"/>
  <c r="BW146" i="5"/>
  <c r="BU146" i="5"/>
  <c r="BV146" i="5"/>
  <c r="CD146" i="5"/>
  <c r="CC146" i="5"/>
  <c r="BZ146" i="5"/>
  <c r="BT146" i="5"/>
  <c r="BY146" i="5"/>
  <c r="BX146" i="5"/>
  <c r="S64" i="5"/>
  <c r="Q41" i="5"/>
  <c r="R41" i="5"/>
  <c r="BT41" i="23"/>
  <c r="DC157" i="5"/>
  <c r="CX157" i="5"/>
  <c r="BT46" i="23"/>
  <c r="AR2" i="23"/>
  <c r="Z122" i="5"/>
  <c r="DP13" i="23"/>
  <c r="O216" i="5"/>
  <c r="BQ216" i="5"/>
  <c r="DI9" i="23"/>
  <c r="S207" i="5"/>
  <c r="CX9" i="23"/>
  <c r="S195" i="5"/>
  <c r="BV8" i="23"/>
  <c r="T160" i="5"/>
  <c r="BN8" i="23"/>
  <c r="T148" i="5"/>
  <c r="BD49" i="23"/>
  <c r="DG136" i="5"/>
  <c r="DI136" i="5"/>
  <c r="DP136" i="5"/>
  <c r="DN136" i="5"/>
  <c r="BD20" i="24" s="1"/>
  <c r="DM136" i="5"/>
  <c r="BD21" i="24" s="1"/>
  <c r="DR136" i="5"/>
  <c r="BD16" i="24" s="1"/>
  <c r="DQ136" i="5"/>
  <c r="BD17" i="24" s="1"/>
  <c r="DO136" i="5"/>
  <c r="DT136" i="5"/>
  <c r="BD14" i="24" s="1"/>
  <c r="DS136" i="5"/>
  <c r="DK136" i="5"/>
  <c r="BD23" i="24" s="1"/>
  <c r="DJ136" i="5"/>
  <c r="BD24" i="24" s="1"/>
  <c r="DL136" i="5"/>
  <c r="BD22" i="24" s="1"/>
  <c r="AT5" i="23"/>
  <c r="W124" i="5"/>
  <c r="AK11" i="23"/>
  <c r="Q112" i="5"/>
  <c r="AA9" i="23"/>
  <c r="S100" i="5"/>
  <c r="BO87" i="5"/>
  <c r="Q3" i="23"/>
  <c r="Y88" i="5"/>
  <c r="Q13" i="23"/>
  <c r="BQ88" i="5"/>
  <c r="BE87" i="5"/>
  <c r="O88" i="5"/>
  <c r="G13" i="23"/>
  <c r="BQ77" i="5"/>
  <c r="O77" i="5"/>
  <c r="BE76" i="5"/>
  <c r="G7" i="23"/>
  <c r="U77" i="5"/>
  <c r="BK76" i="5"/>
  <c r="P65" i="5"/>
  <c r="V65" i="5"/>
  <c r="P42" i="5"/>
  <c r="U245" i="5"/>
  <c r="Y245" i="5"/>
  <c r="DH13" i="23"/>
  <c r="O206" i="5"/>
  <c r="BE205" i="5"/>
  <c r="BQ206" i="5"/>
  <c r="CV205" i="5"/>
  <c r="DH48" i="23"/>
  <c r="BU4" i="24"/>
  <c r="BU7" i="24"/>
  <c r="BU3" i="24"/>
  <c r="BU12" i="24"/>
  <c r="BU2" i="24"/>
  <c r="BU5" i="24"/>
  <c r="BU8" i="24"/>
  <c r="BU6" i="24"/>
  <c r="BU9" i="24"/>
  <c r="BU11" i="24"/>
  <c r="BU10" i="24"/>
  <c r="BS159" i="5"/>
  <c r="AS8" i="23"/>
  <c r="T123" i="5"/>
  <c r="AS49" i="23"/>
  <c r="DG123" i="5"/>
  <c r="Z244" i="5"/>
  <c r="CD5" i="23"/>
  <c r="W170" i="5"/>
  <c r="CD13" i="23"/>
  <c r="BQ170" i="5"/>
  <c r="O170" i="5"/>
  <c r="AI3" i="23"/>
  <c r="Y110" i="5"/>
  <c r="BS110" i="5"/>
  <c r="AI9" i="24"/>
  <c r="AI12" i="24"/>
  <c r="AI8" i="24"/>
  <c r="AI11" i="24"/>
  <c r="AI4" i="24"/>
  <c r="AI10" i="24"/>
  <c r="AI2" i="24"/>
  <c r="AI5" i="24"/>
  <c r="AI6" i="24"/>
  <c r="AI7" i="24"/>
  <c r="AI3" i="24"/>
  <c r="T243" i="5"/>
  <c r="BL241" i="5"/>
  <c r="EB6" i="23" s="1"/>
  <c r="V242" i="5"/>
  <c r="DD241" i="5"/>
  <c r="BS242" i="5"/>
  <c r="BY241" i="5"/>
  <c r="EB7" i="24" s="1"/>
  <c r="BX241" i="5"/>
  <c r="EB8" i="24" s="1"/>
  <c r="CD241" i="5"/>
  <c r="EB2" i="24" s="1"/>
  <c r="CC241" i="5"/>
  <c r="EB3" i="24" s="1"/>
  <c r="CB241" i="5"/>
  <c r="EB4" i="24" s="1"/>
  <c r="BZ241" i="5"/>
  <c r="EB6" i="24" s="1"/>
  <c r="BW241" i="5"/>
  <c r="EB9" i="24" s="1"/>
  <c r="BV241" i="5"/>
  <c r="EB10" i="24" s="1"/>
  <c r="BU241" i="5"/>
  <c r="EB11" i="24" s="1"/>
  <c r="BT241" i="5"/>
  <c r="EB12" i="24" s="1"/>
  <c r="CA241" i="5"/>
  <c r="EB5" i="24" s="1"/>
  <c r="DO46" i="23"/>
  <c r="CX214" i="5"/>
  <c r="DO45" i="23"/>
  <c r="CY214" i="5"/>
  <c r="DW72" i="4"/>
  <c r="A71" i="4"/>
  <c r="A72" i="4" s="1"/>
  <c r="BB231" i="4"/>
  <c r="H70" i="1"/>
  <c r="D70" i="1"/>
  <c r="E115" i="1"/>
  <c r="J6" i="1"/>
  <c r="L6" i="1"/>
  <c r="B71" i="4"/>
  <c r="B72" i="4" s="1"/>
  <c r="C71" i="4"/>
  <c r="C72" i="4" s="1"/>
  <c r="V230" i="8"/>
  <c r="V231" i="8" s="1"/>
  <c r="DR114" i="23"/>
  <c r="DR150" i="23"/>
  <c r="DI150" i="23"/>
  <c r="CO114" i="23"/>
  <c r="CA114" i="23"/>
  <c r="BR150" i="23"/>
  <c r="BH114" i="23"/>
  <c r="BE114" i="23"/>
  <c r="AU150" i="23"/>
  <c r="AE114" i="23"/>
  <c r="AE150" i="23"/>
  <c r="AB114" i="23"/>
  <c r="K114" i="23"/>
  <c r="K150" i="23"/>
  <c r="CD114" i="23"/>
  <c r="AG114" i="23"/>
  <c r="CQ114" i="23"/>
  <c r="CM150" i="23"/>
  <c r="CJ114" i="23"/>
  <c r="BU150" i="23"/>
  <c r="BO150" i="23"/>
  <c r="BJ114" i="23"/>
  <c r="BG114" i="23"/>
  <c r="BD150" i="23"/>
  <c r="AX114" i="23"/>
  <c r="AP150" i="23"/>
  <c r="AK150" i="23"/>
  <c r="AH114" i="23"/>
  <c r="T114" i="23"/>
  <c r="T150" i="23"/>
  <c r="J150" i="23"/>
  <c r="AS150" i="23"/>
  <c r="W114" i="23"/>
  <c r="DX150" i="23"/>
  <c r="CS150" i="23"/>
  <c r="DU150" i="23"/>
  <c r="DS114" i="23"/>
  <c r="DG150" i="23"/>
  <c r="DD114" i="23"/>
  <c r="CX114" i="23"/>
  <c r="CH114" i="23"/>
  <c r="BI150" i="23"/>
  <c r="AV114" i="23"/>
  <c r="AN150" i="23"/>
  <c r="AJ114" i="23"/>
  <c r="AJ150" i="23"/>
  <c r="AF114" i="23"/>
  <c r="AZ150" i="23"/>
  <c r="I150" i="23"/>
  <c r="DN114" i="23"/>
  <c r="DF150" i="23"/>
  <c r="DC114" i="23"/>
  <c r="CU150" i="23"/>
  <c r="CG114" i="23"/>
  <c r="CE114" i="23"/>
  <c r="BK150" i="23"/>
  <c r="AQ150" i="23"/>
  <c r="AL114" i="23"/>
  <c r="AB150" i="23"/>
  <c r="U114" i="23"/>
  <c r="CI150" i="23"/>
  <c r="CD150" i="23"/>
  <c r="BW114" i="23"/>
  <c r="BW150" i="23"/>
  <c r="AG150" i="23"/>
  <c r="DP114" i="23"/>
  <c r="DE114" i="23"/>
  <c r="CZ114" i="23"/>
  <c r="CZ150" i="23"/>
  <c r="CT150" i="23"/>
  <c r="CJ150" i="23"/>
  <c r="BO114" i="23"/>
  <c r="BD114" i="23"/>
  <c r="BA150" i="23"/>
  <c r="AT114" i="23"/>
  <c r="AH150" i="23"/>
  <c r="AA114" i="23"/>
  <c r="M114" i="23"/>
  <c r="AO150" i="23"/>
  <c r="W150" i="23"/>
  <c r="DV150" i="23"/>
  <c r="DM114" i="23"/>
  <c r="DB114" i="23"/>
  <c r="CY114" i="23"/>
  <c r="CL150" i="23"/>
  <c r="DS150" i="23"/>
  <c r="DL114" i="23"/>
  <c r="DJ114" i="23"/>
  <c r="DD150" i="23"/>
  <c r="DA150" i="23"/>
  <c r="CP150" i="23"/>
  <c r="BL114" i="23"/>
  <c r="AF150" i="23"/>
  <c r="O114" i="23"/>
  <c r="AW150" i="23"/>
  <c r="S114" i="23"/>
  <c r="S150" i="23"/>
  <c r="DI114" i="23"/>
  <c r="DC150" i="23"/>
  <c r="CU114" i="23"/>
  <c r="CO150" i="23"/>
  <c r="CC114" i="23"/>
  <c r="BR114" i="23"/>
  <c r="BK114" i="23"/>
  <c r="BH150" i="23"/>
  <c r="AU114" i="23"/>
  <c r="AL150" i="23"/>
  <c r="Y114" i="23"/>
  <c r="Y150" i="23"/>
  <c r="U150" i="23"/>
  <c r="Z114" i="23"/>
  <c r="DP150" i="23"/>
  <c r="CQ150" i="23"/>
  <c r="BQ114" i="23"/>
  <c r="BJ150" i="23"/>
  <c r="AX150" i="23"/>
  <c r="AA150" i="23"/>
  <c r="M150" i="23"/>
  <c r="AS114" i="23"/>
  <c r="DU114" i="23"/>
  <c r="DL150" i="23"/>
  <c r="DG114" i="23"/>
  <c r="CX150" i="23"/>
  <c r="CV114" i="23"/>
  <c r="CH150" i="23"/>
  <c r="BV114" i="23"/>
  <c r="BV150" i="23"/>
  <c r="BS114" i="23"/>
  <c r="BS150" i="23"/>
  <c r="BN114" i="23"/>
  <c r="AV150" i="23"/>
  <c r="AR114" i="23"/>
  <c r="AN114" i="23"/>
  <c r="AC114" i="23"/>
  <c r="AC150" i="23"/>
  <c r="V114" i="23"/>
  <c r="O150" i="23"/>
  <c r="L114" i="23"/>
  <c r="H114" i="23"/>
  <c r="BZ114" i="23"/>
  <c r="BC114" i="23"/>
  <c r="P114" i="23"/>
  <c r="P150" i="23"/>
  <c r="I114" i="23"/>
  <c r="DN150" i="23"/>
  <c r="DF114" i="23"/>
  <c r="CG150" i="23"/>
  <c r="CE150" i="23"/>
  <c r="CC150" i="23"/>
  <c r="CA150" i="23"/>
  <c r="BX114" i="23"/>
  <c r="BX150" i="23"/>
  <c r="BE150" i="23"/>
  <c r="AQ114" i="23"/>
  <c r="AI114" i="23"/>
  <c r="AI150" i="23"/>
  <c r="N114" i="23"/>
  <c r="N150" i="23"/>
  <c r="CI114" i="23"/>
  <c r="Z150" i="23"/>
  <c r="DE150" i="23"/>
  <c r="CT114" i="23"/>
  <c r="CM114" i="23"/>
  <c r="BU114" i="23"/>
  <c r="BQ150" i="23"/>
  <c r="BG150" i="23"/>
  <c r="BA114" i="23"/>
  <c r="AT150" i="23"/>
  <c r="AP114" i="23"/>
  <c r="AK114" i="23"/>
  <c r="X114" i="23"/>
  <c r="X150" i="23"/>
  <c r="J114" i="23"/>
  <c r="AO114" i="23"/>
  <c r="DX114" i="23"/>
  <c r="DV114" i="23"/>
  <c r="DM150" i="23"/>
  <c r="DB150" i="23"/>
  <c r="CY150" i="23"/>
  <c r="CS114" i="23"/>
  <c r="CL114" i="23"/>
  <c r="DJ150" i="23"/>
  <c r="DA114" i="23"/>
  <c r="CV150" i="23"/>
  <c r="CP114" i="23"/>
  <c r="BN150" i="23"/>
  <c r="BL150" i="23"/>
  <c r="BI114" i="23"/>
  <c r="AR150" i="23"/>
  <c r="V150" i="23"/>
  <c r="L150" i="23"/>
  <c r="H150" i="23"/>
  <c r="CB114" i="23"/>
  <c r="CB150" i="23"/>
  <c r="BZ150" i="23"/>
  <c r="BC150" i="23"/>
  <c r="AZ114" i="23"/>
  <c r="AW114" i="23"/>
  <c r="CC115" i="23"/>
  <c r="BX115" i="23"/>
  <c r="BH115" i="23"/>
  <c r="BE115" i="23"/>
  <c r="BE151" i="23"/>
  <c r="AQ115" i="23"/>
  <c r="AI115" i="23"/>
  <c r="AI151" i="23"/>
  <c r="AE115" i="23"/>
  <c r="Y151" i="23"/>
  <c r="U151" i="23"/>
  <c r="N115" i="23"/>
  <c r="K115" i="23"/>
  <c r="Z151" i="23"/>
  <c r="CZ151" i="23"/>
  <c r="CT115" i="23"/>
  <c r="CQ151" i="23"/>
  <c r="CJ115" i="23"/>
  <c r="CJ151" i="23"/>
  <c r="BQ151" i="23"/>
  <c r="BJ115" i="23"/>
  <c r="BG151" i="23"/>
  <c r="BA115" i="23"/>
  <c r="AT151" i="23"/>
  <c r="AP115" i="23"/>
  <c r="AK115" i="23"/>
  <c r="X115" i="23"/>
  <c r="T115" i="23"/>
  <c r="J115" i="23"/>
  <c r="AO115" i="23"/>
  <c r="DV115" i="23"/>
  <c r="CS115" i="23"/>
  <c r="DU151" i="23"/>
  <c r="DS115" i="23"/>
  <c r="DG115" i="23"/>
  <c r="DA115" i="23"/>
  <c r="CX151" i="23"/>
  <c r="CH151" i="23"/>
  <c r="BS115" i="23"/>
  <c r="BN151" i="23"/>
  <c r="BL151" i="23"/>
  <c r="AR151" i="23"/>
  <c r="AJ115" i="23"/>
  <c r="AC151" i="23"/>
  <c r="V151" i="23"/>
  <c r="L151" i="23"/>
  <c r="H151" i="23"/>
  <c r="CB115" i="23"/>
  <c r="BZ115" i="23"/>
  <c r="BZ151" i="23"/>
  <c r="BC151" i="23"/>
  <c r="AZ115" i="23"/>
  <c r="AW115" i="23"/>
  <c r="DC151" i="23"/>
  <c r="CE115" i="23"/>
  <c r="DR151" i="23"/>
  <c r="DN151" i="23"/>
  <c r="DC115" i="23"/>
  <c r="CU115" i="23"/>
  <c r="CO115" i="23"/>
  <c r="CG151" i="23"/>
  <c r="BR151" i="23"/>
  <c r="AU151" i="23"/>
  <c r="AE151" i="23"/>
  <c r="AB115" i="23"/>
  <c r="AB151" i="23"/>
  <c r="N151" i="23"/>
  <c r="CI115" i="23"/>
  <c r="CD115" i="23"/>
  <c r="CD151" i="23"/>
  <c r="BW151" i="23"/>
  <c r="AG115" i="23"/>
  <c r="DP151" i="23"/>
  <c r="DE151" i="23"/>
  <c r="CZ115" i="23"/>
  <c r="CQ115" i="23"/>
  <c r="BU115" i="23"/>
  <c r="BQ115" i="23"/>
  <c r="BO151" i="23"/>
  <c r="BG115" i="23"/>
  <c r="BD151" i="23"/>
  <c r="AX115" i="23"/>
  <c r="AP151" i="23"/>
  <c r="AH115" i="23"/>
  <c r="X151" i="23"/>
  <c r="AS151" i="23"/>
  <c r="W115" i="23"/>
  <c r="DM151" i="23"/>
  <c r="CY151" i="23"/>
  <c r="CL151" i="23"/>
  <c r="CL115" i="23"/>
  <c r="DS151" i="23"/>
  <c r="DL115" i="23"/>
  <c r="DJ151" i="23"/>
  <c r="DD115" i="23"/>
  <c r="DD151" i="23"/>
  <c r="CX115" i="23"/>
  <c r="CP115" i="23"/>
  <c r="CH115" i="23"/>
  <c r="BI151" i="23"/>
  <c r="AV115" i="23"/>
  <c r="AN151" i="23"/>
  <c r="AF115" i="23"/>
  <c r="CB151" i="23"/>
  <c r="AZ151" i="23"/>
  <c r="DF115" i="23"/>
  <c r="DR115" i="23"/>
  <c r="DN115" i="23"/>
  <c r="DI151" i="23"/>
  <c r="CC151" i="23"/>
  <c r="BX151" i="23"/>
  <c r="BR115" i="23"/>
  <c r="BK151" i="23"/>
  <c r="AQ151" i="23"/>
  <c r="AL115" i="23"/>
  <c r="Y115" i="23"/>
  <c r="U115" i="23"/>
  <c r="K151" i="23"/>
  <c r="BW115" i="23"/>
  <c r="DP115" i="23"/>
  <c r="DE115" i="23"/>
  <c r="CM151" i="23"/>
  <c r="BU151" i="23"/>
  <c r="BO115" i="23"/>
  <c r="BA151" i="23"/>
  <c r="AT115" i="23"/>
  <c r="AK151" i="23"/>
  <c r="AH151" i="23"/>
  <c r="AA115" i="23"/>
  <c r="T151" i="23"/>
  <c r="M115" i="23"/>
  <c r="M151" i="23"/>
  <c r="J151" i="23"/>
  <c r="AO151" i="23"/>
  <c r="W151" i="23"/>
  <c r="DX151" i="23"/>
  <c r="DV151" i="23"/>
  <c r="DM115" i="23"/>
  <c r="DB151" i="23"/>
  <c r="CY115" i="23"/>
  <c r="CS151" i="23"/>
  <c r="DL151" i="23"/>
  <c r="DJ115" i="23"/>
  <c r="DG151" i="23"/>
  <c r="CV115" i="23"/>
  <c r="BN115" i="23"/>
  <c r="BL115" i="23"/>
  <c r="BI115" i="23"/>
  <c r="AR115" i="23"/>
  <c r="AJ151" i="23"/>
  <c r="AF151" i="23"/>
  <c r="O115" i="23"/>
  <c r="H115" i="23"/>
  <c r="BC115" i="23"/>
  <c r="AW151" i="23"/>
  <c r="S115" i="23"/>
  <c r="S151" i="23"/>
  <c r="P115" i="23"/>
  <c r="DI115" i="23"/>
  <c r="CO151" i="23"/>
  <c r="DF151" i="23"/>
  <c r="CU151" i="23"/>
  <c r="CG115" i="23"/>
  <c r="CE151" i="23"/>
  <c r="CA115" i="23"/>
  <c r="CA151" i="23"/>
  <c r="BK115" i="23"/>
  <c r="BH151" i="23"/>
  <c r="AU115" i="23"/>
  <c r="AL151" i="23"/>
  <c r="CI151" i="23"/>
  <c r="AG151" i="23"/>
  <c r="Z115" i="23"/>
  <c r="CT151" i="23"/>
  <c r="CM115" i="23"/>
  <c r="BJ151" i="23"/>
  <c r="BD115" i="23"/>
  <c r="AX151" i="23"/>
  <c r="AA151" i="23"/>
  <c r="AS115" i="23"/>
  <c r="DX115" i="23"/>
  <c r="DB115" i="23"/>
  <c r="DU115" i="23"/>
  <c r="DA151" i="23"/>
  <c r="CV151" i="23"/>
  <c r="CP151" i="23"/>
  <c r="BV115" i="23"/>
  <c r="BV151" i="23"/>
  <c r="BS151" i="23"/>
  <c r="AV151" i="23"/>
  <c r="AN115" i="23"/>
  <c r="AC115" i="23"/>
  <c r="V115" i="23"/>
  <c r="O151" i="23"/>
  <c r="L115" i="23"/>
  <c r="P151" i="23"/>
  <c r="I115" i="23"/>
  <c r="I151" i="23"/>
  <c r="DI116" i="23"/>
  <c r="DF116" i="23"/>
  <c r="DF152" i="23"/>
  <c r="CE116" i="23"/>
  <c r="CE152" i="23"/>
  <c r="BH116" i="23"/>
  <c r="BH152" i="23"/>
  <c r="BE116" i="23"/>
  <c r="AQ116" i="23"/>
  <c r="AL116" i="23"/>
  <c r="AI152" i="23"/>
  <c r="N116" i="23"/>
  <c r="N152" i="23"/>
  <c r="CI116" i="23"/>
  <c r="Z152" i="23"/>
  <c r="CT116" i="23"/>
  <c r="CQ152" i="23"/>
  <c r="CJ116" i="23"/>
  <c r="BU116" i="23"/>
  <c r="BU152" i="23"/>
  <c r="BJ152" i="23"/>
  <c r="BG116" i="23"/>
  <c r="BD116" i="23"/>
  <c r="AX152" i="23"/>
  <c r="AT116" i="23"/>
  <c r="X152" i="23"/>
  <c r="J152" i="23"/>
  <c r="AS116" i="23"/>
  <c r="DV116" i="23"/>
  <c r="CY152" i="23"/>
  <c r="CS116" i="23"/>
  <c r="DU152" i="23"/>
  <c r="DS116" i="23"/>
  <c r="DG116" i="23"/>
  <c r="DD116" i="23"/>
  <c r="DA116" i="23"/>
  <c r="CP116" i="23"/>
  <c r="CP152" i="23"/>
  <c r="BS116" i="23"/>
  <c r="BI152" i="23"/>
  <c r="AV152" i="23"/>
  <c r="AN116" i="23"/>
  <c r="AC116" i="23"/>
  <c r="V152" i="23"/>
  <c r="O116" i="23"/>
  <c r="L116" i="23"/>
  <c r="L152" i="23"/>
  <c r="CB116" i="23"/>
  <c r="CB152" i="23"/>
  <c r="BZ116" i="23"/>
  <c r="BC116" i="23"/>
  <c r="I116" i="23"/>
  <c r="I152" i="23"/>
  <c r="DC152" i="23"/>
  <c r="DR116" i="23"/>
  <c r="DR152" i="23"/>
  <c r="DC116" i="23"/>
  <c r="CU116" i="23"/>
  <c r="CO116" i="23"/>
  <c r="CA152" i="23"/>
  <c r="BX152" i="23"/>
  <c r="BR116" i="23"/>
  <c r="BK152" i="23"/>
  <c r="BE152" i="23"/>
  <c r="AE116" i="23"/>
  <c r="AE152" i="23"/>
  <c r="K152" i="23"/>
  <c r="CD116" i="23"/>
  <c r="Z116" i="23"/>
  <c r="CZ116" i="23"/>
  <c r="CQ116" i="23"/>
  <c r="CM152" i="23"/>
  <c r="BQ116" i="23"/>
  <c r="BO116" i="23"/>
  <c r="BA116" i="23"/>
  <c r="AT152" i="23"/>
  <c r="AP116" i="23"/>
  <c r="AK116" i="23"/>
  <c r="AK152" i="23"/>
  <c r="X116" i="23"/>
  <c r="T116" i="23"/>
  <c r="T152" i="23"/>
  <c r="J116" i="23"/>
  <c r="AO116" i="23"/>
  <c r="DX152" i="23"/>
  <c r="DB152" i="23"/>
  <c r="CL116" i="23"/>
  <c r="DL116" i="23"/>
  <c r="DJ152" i="23"/>
  <c r="CX116" i="23"/>
  <c r="CX152" i="23"/>
  <c r="CH116" i="23"/>
  <c r="CH152" i="23"/>
  <c r="BS152" i="23"/>
  <c r="BN152" i="23"/>
  <c r="BL116" i="23"/>
  <c r="BL152" i="23"/>
  <c r="AR152" i="23"/>
  <c r="AJ116" i="23"/>
  <c r="AJ152" i="23"/>
  <c r="V116" i="23"/>
  <c r="H116" i="23"/>
  <c r="AZ116" i="23"/>
  <c r="AW116" i="23"/>
  <c r="DN116" i="23"/>
  <c r="DN152" i="23"/>
  <c r="DI152" i="23"/>
  <c r="CO152" i="23"/>
  <c r="BR152" i="23"/>
  <c r="AB116" i="23"/>
  <c r="AB152" i="23"/>
  <c r="K116" i="23"/>
  <c r="CI152" i="23"/>
  <c r="CD152" i="23"/>
  <c r="BW116" i="23"/>
  <c r="BW152" i="23"/>
  <c r="AG116" i="23"/>
  <c r="AG152" i="23"/>
  <c r="DP116" i="23"/>
  <c r="DE116" i="23"/>
  <c r="CZ152" i="23"/>
  <c r="CJ152" i="23"/>
  <c r="BG152" i="23"/>
  <c r="BD152" i="23"/>
  <c r="AP152" i="23"/>
  <c r="AH152" i="23"/>
  <c r="AS152" i="23"/>
  <c r="W152" i="23"/>
  <c r="DV152" i="23"/>
  <c r="DM116" i="23"/>
  <c r="CY116" i="23"/>
  <c r="CS152" i="23"/>
  <c r="DL152" i="23"/>
  <c r="DJ116" i="23"/>
  <c r="DG152" i="23"/>
  <c r="DD152" i="23"/>
  <c r="CV116" i="23"/>
  <c r="BV152" i="23"/>
  <c r="BN116" i="23"/>
  <c r="BI116" i="23"/>
  <c r="AV116" i="23"/>
  <c r="AN152" i="23"/>
  <c r="AF116" i="23"/>
  <c r="AF152" i="23"/>
  <c r="BZ152" i="23"/>
  <c r="AZ152" i="23"/>
  <c r="S116" i="23"/>
  <c r="S152" i="23"/>
  <c r="CU152" i="23"/>
  <c r="CG116" i="23"/>
  <c r="CG152" i="23"/>
  <c r="CC116" i="23"/>
  <c r="CC152" i="23"/>
  <c r="CA116" i="23"/>
  <c r="BX116" i="23"/>
  <c r="BK116" i="23"/>
  <c r="AU116" i="23"/>
  <c r="AU152" i="23"/>
  <c r="AQ152" i="23"/>
  <c r="AL152" i="23"/>
  <c r="AI116" i="23"/>
  <c r="Y116" i="23"/>
  <c r="Y152" i="23"/>
  <c r="U116" i="23"/>
  <c r="U152" i="23"/>
  <c r="DP152" i="23"/>
  <c r="DE152" i="23"/>
  <c r="CT152" i="23"/>
  <c r="CM116" i="23"/>
  <c r="BQ152" i="23"/>
  <c r="BO152" i="23"/>
  <c r="BJ116" i="23"/>
  <c r="BA152" i="23"/>
  <c r="AX116" i="23"/>
  <c r="AH116" i="23"/>
  <c r="AA116" i="23"/>
  <c r="AA152" i="23"/>
  <c r="M116" i="23"/>
  <c r="M152" i="23"/>
  <c r="AO152" i="23"/>
  <c r="W116" i="23"/>
  <c r="DX116" i="23"/>
  <c r="DM152" i="23"/>
  <c r="DB116" i="23"/>
  <c r="CL152" i="23"/>
  <c r="DU116" i="23"/>
  <c r="DS152" i="23"/>
  <c r="DA152" i="23"/>
  <c r="CV152" i="23"/>
  <c r="BV116" i="23"/>
  <c r="AR116" i="23"/>
  <c r="AC152" i="23"/>
  <c r="O152" i="23"/>
  <c r="H152" i="23"/>
  <c r="BC152" i="23"/>
  <c r="AW152" i="23"/>
  <c r="P116" i="23"/>
  <c r="P152" i="23"/>
  <c r="AA237" i="1"/>
  <c r="S230" i="8"/>
  <c r="S231" i="8" s="1"/>
  <c r="DI117" i="23"/>
  <c r="DC153" i="23"/>
  <c r="CO153" i="23"/>
  <c r="CC117" i="23"/>
  <c r="CA117" i="23"/>
  <c r="BX117" i="23"/>
  <c r="BR117" i="23"/>
  <c r="BE153" i="23"/>
  <c r="AL153" i="23"/>
  <c r="Y117" i="23"/>
  <c r="Y153" i="23"/>
  <c r="U117" i="23"/>
  <c r="U153" i="23"/>
  <c r="Z117" i="23"/>
  <c r="DP153" i="23"/>
  <c r="CQ153" i="23"/>
  <c r="CM117" i="23"/>
  <c r="BQ153" i="23"/>
  <c r="BG153" i="23"/>
  <c r="AT153" i="23"/>
  <c r="AA117" i="23"/>
  <c r="AA153" i="23"/>
  <c r="M153" i="23"/>
  <c r="AS117" i="23"/>
  <c r="DX117" i="23"/>
  <c r="DU117" i="23"/>
  <c r="DL153" i="23"/>
  <c r="CX153" i="23"/>
  <c r="CH153" i="23"/>
  <c r="BV117" i="23"/>
  <c r="BS117" i="23"/>
  <c r="BN153" i="23"/>
  <c r="BL153" i="23"/>
  <c r="AR117" i="23"/>
  <c r="AR153" i="23"/>
  <c r="AN117" i="23"/>
  <c r="AC117" i="23"/>
  <c r="AC153" i="23"/>
  <c r="V117" i="23"/>
  <c r="O153" i="23"/>
  <c r="H117" i="23"/>
  <c r="H153" i="23"/>
  <c r="CB117" i="23"/>
  <c r="BC117" i="23"/>
  <c r="BC153" i="23"/>
  <c r="P117" i="23"/>
  <c r="P153" i="23"/>
  <c r="DN153" i="23"/>
  <c r="DF117" i="23"/>
  <c r="CU117" i="23"/>
  <c r="CG153" i="23"/>
  <c r="CE117" i="23"/>
  <c r="CC153" i="23"/>
  <c r="BR153" i="23"/>
  <c r="BK117" i="23"/>
  <c r="AU117" i="23"/>
  <c r="AU153" i="23"/>
  <c r="AQ117" i="23"/>
  <c r="AI117" i="23"/>
  <c r="AI153" i="23"/>
  <c r="N117" i="23"/>
  <c r="N153" i="23"/>
  <c r="CI117" i="23"/>
  <c r="CD153" i="23"/>
  <c r="BW153" i="23"/>
  <c r="Z153" i="23"/>
  <c r="DE153" i="23"/>
  <c r="CT117" i="23"/>
  <c r="CJ117" i="23"/>
  <c r="BU117" i="23"/>
  <c r="BO153" i="23"/>
  <c r="BD153" i="23"/>
  <c r="BA117" i="23"/>
  <c r="AP117" i="23"/>
  <c r="AP153" i="23"/>
  <c r="X117" i="23"/>
  <c r="X153" i="23"/>
  <c r="J117" i="23"/>
  <c r="J153" i="23"/>
  <c r="AS153" i="23"/>
  <c r="AO117" i="23"/>
  <c r="DV117" i="23"/>
  <c r="DM153" i="23"/>
  <c r="DB153" i="23"/>
  <c r="CY153" i="23"/>
  <c r="CS117" i="23"/>
  <c r="DS117" i="23"/>
  <c r="DJ153" i="23"/>
  <c r="DG117" i="23"/>
  <c r="DD117" i="23"/>
  <c r="DA117" i="23"/>
  <c r="CV153" i="23"/>
  <c r="CP117" i="23"/>
  <c r="BV153" i="23"/>
  <c r="BI153" i="23"/>
  <c r="AN153" i="23"/>
  <c r="V153" i="23"/>
  <c r="L117" i="23"/>
  <c r="L153" i="23"/>
  <c r="CB153" i="23"/>
  <c r="BZ117" i="23"/>
  <c r="AZ117" i="23"/>
  <c r="AZ153" i="23"/>
  <c r="AW117" i="23"/>
  <c r="I117" i="23"/>
  <c r="I153" i="23"/>
  <c r="DR117" i="23"/>
  <c r="DR153" i="23"/>
  <c r="DI153" i="23"/>
  <c r="DC117" i="23"/>
  <c r="CO117" i="23"/>
  <c r="BK153" i="23"/>
  <c r="BH117" i="23"/>
  <c r="BE117" i="23"/>
  <c r="AQ153" i="23"/>
  <c r="AE117" i="23"/>
  <c r="AE153" i="23"/>
  <c r="AB117" i="23"/>
  <c r="K117" i="23"/>
  <c r="K153" i="23"/>
  <c r="CD117" i="23"/>
  <c r="BW117" i="23"/>
  <c r="AG117" i="23"/>
  <c r="DP117" i="23"/>
  <c r="CZ117" i="23"/>
  <c r="CQ117" i="23"/>
  <c r="CM153" i="23"/>
  <c r="BU153" i="23"/>
  <c r="BQ117" i="23"/>
  <c r="BJ117" i="23"/>
  <c r="BG117" i="23"/>
  <c r="BD117" i="23"/>
  <c r="BA153" i="23"/>
  <c r="AX117" i="23"/>
  <c r="AK117" i="23"/>
  <c r="AK153" i="23"/>
  <c r="AH117" i="23"/>
  <c r="T117" i="23"/>
  <c r="T153" i="23"/>
  <c r="AO153" i="23"/>
  <c r="W117" i="23"/>
  <c r="DX153" i="23"/>
  <c r="CS153" i="23"/>
  <c r="CL117" i="23"/>
  <c r="DU153" i="23"/>
  <c r="DL117" i="23"/>
  <c r="DG153" i="23"/>
  <c r="CX117" i="23"/>
  <c r="CH117" i="23"/>
  <c r="AV117" i="23"/>
  <c r="AJ117" i="23"/>
  <c r="AJ153" i="23"/>
  <c r="AW153" i="23"/>
  <c r="DN117" i="23"/>
  <c r="DF153" i="23"/>
  <c r="CU153" i="23"/>
  <c r="CG117" i="23"/>
  <c r="CE153" i="23"/>
  <c r="CA153" i="23"/>
  <c r="BX153" i="23"/>
  <c r="BH153" i="23"/>
  <c r="AL117" i="23"/>
  <c r="AB153" i="23"/>
  <c r="CI153" i="23"/>
  <c r="AG153" i="23"/>
  <c r="DE117" i="23"/>
  <c r="CZ153" i="23"/>
  <c r="CT153" i="23"/>
  <c r="CJ153" i="23"/>
  <c r="BO117" i="23"/>
  <c r="BJ153" i="23"/>
  <c r="AX153" i="23"/>
  <c r="AT117" i="23"/>
  <c r="AH153" i="23"/>
  <c r="M117" i="23"/>
  <c r="W153" i="23"/>
  <c r="DV153" i="23"/>
  <c r="DM117" i="23"/>
  <c r="DB117" i="23"/>
  <c r="CY117" i="23"/>
  <c r="CL153" i="23"/>
  <c r="DS153" i="23"/>
  <c r="DJ117" i="23"/>
  <c r="DD153" i="23"/>
  <c r="DA153" i="23"/>
  <c r="CV117" i="23"/>
  <c r="CP153" i="23"/>
  <c r="BS153" i="23"/>
  <c r="BN117" i="23"/>
  <c r="BL117" i="23"/>
  <c r="BI117" i="23"/>
  <c r="AV153" i="23"/>
  <c r="AF117" i="23"/>
  <c r="AF153" i="23"/>
  <c r="O117" i="23"/>
  <c r="BZ153" i="23"/>
  <c r="S117" i="23"/>
  <c r="S153" i="23"/>
  <c r="DI118" i="23"/>
  <c r="DC118" i="23"/>
  <c r="DC154" i="23"/>
  <c r="CO154" i="23"/>
  <c r="CC118" i="23"/>
  <c r="BR118" i="23"/>
  <c r="BR154" i="23"/>
  <c r="BE118" i="23"/>
  <c r="AU118" i="23"/>
  <c r="AL154" i="23"/>
  <c r="Y118" i="23"/>
  <c r="Y154" i="23"/>
  <c r="U154" i="23"/>
  <c r="K154" i="23"/>
  <c r="BW118" i="23"/>
  <c r="Z118" i="23"/>
  <c r="DP154" i="23"/>
  <c r="CQ118" i="23"/>
  <c r="CQ154" i="23"/>
  <c r="BQ118" i="23"/>
  <c r="BG118" i="23"/>
  <c r="BD154" i="23"/>
  <c r="AP154" i="23"/>
  <c r="AA154" i="23"/>
  <c r="M154" i="23"/>
  <c r="AS118" i="23"/>
  <c r="DU118" i="23"/>
  <c r="DL154" i="23"/>
  <c r="DJ118" i="23"/>
  <c r="CX118" i="23"/>
  <c r="CX154" i="23"/>
  <c r="CV118" i="23"/>
  <c r="CH118" i="23"/>
  <c r="CH154" i="23"/>
  <c r="BV154" i="23"/>
  <c r="BS154" i="23"/>
  <c r="AR118" i="23"/>
  <c r="AN118" i="23"/>
  <c r="AN154" i="23"/>
  <c r="AC118" i="23"/>
  <c r="AC154" i="23"/>
  <c r="V118" i="23"/>
  <c r="O154" i="23"/>
  <c r="L118" i="23"/>
  <c r="H118" i="23"/>
  <c r="BZ118" i="23"/>
  <c r="BC118" i="23"/>
  <c r="AZ154" i="23"/>
  <c r="P118" i="23"/>
  <c r="P154" i="23"/>
  <c r="I118" i="23"/>
  <c r="I154" i="23"/>
  <c r="DR118" i="23"/>
  <c r="DN118" i="23"/>
  <c r="DN154" i="23"/>
  <c r="DF118" i="23"/>
  <c r="CG154" i="23"/>
  <c r="CE154" i="23"/>
  <c r="CC154" i="23"/>
  <c r="CA154" i="23"/>
  <c r="BX118" i="23"/>
  <c r="BX154" i="23"/>
  <c r="BE154" i="23"/>
  <c r="AQ118" i="23"/>
  <c r="AI118" i="23"/>
  <c r="AI154" i="23"/>
  <c r="N118" i="23"/>
  <c r="N154" i="23"/>
  <c r="Z154" i="23"/>
  <c r="DE154" i="23"/>
  <c r="BU118" i="23"/>
  <c r="BQ154" i="23"/>
  <c r="BO118" i="23"/>
  <c r="BG154" i="23"/>
  <c r="BA118" i="23"/>
  <c r="AP118" i="23"/>
  <c r="AK118" i="23"/>
  <c r="X118" i="23"/>
  <c r="X154" i="23"/>
  <c r="J118" i="23"/>
  <c r="AO118" i="23"/>
  <c r="DX118" i="23"/>
  <c r="DV118" i="23"/>
  <c r="DM154" i="23"/>
  <c r="DB154" i="23"/>
  <c r="CY118" i="23"/>
  <c r="CY154" i="23"/>
  <c r="CS118" i="23"/>
  <c r="DJ154" i="23"/>
  <c r="DA118" i="23"/>
  <c r="CV154" i="23"/>
  <c r="CP118" i="23"/>
  <c r="BI118" i="23"/>
  <c r="V154" i="23"/>
  <c r="L154" i="23"/>
  <c r="H154" i="23"/>
  <c r="CB118" i="23"/>
  <c r="CB154" i="23"/>
  <c r="BZ154" i="23"/>
  <c r="BC154" i="23"/>
  <c r="AZ118" i="23"/>
  <c r="AW118" i="23"/>
  <c r="DR154" i="23"/>
  <c r="DI154" i="23"/>
  <c r="CO118" i="23"/>
  <c r="CA118" i="23"/>
  <c r="BH118" i="23"/>
  <c r="BH154" i="23"/>
  <c r="AU154" i="23"/>
  <c r="AE118" i="23"/>
  <c r="AE154" i="23"/>
  <c r="AB118" i="23"/>
  <c r="K118" i="23"/>
  <c r="AG118" i="23"/>
  <c r="CT118" i="23"/>
  <c r="CM118" i="23"/>
  <c r="CM154" i="23"/>
  <c r="CJ118" i="23"/>
  <c r="BU154" i="23"/>
  <c r="BO154" i="23"/>
  <c r="BJ154" i="23"/>
  <c r="AX118" i="23"/>
  <c r="AX154" i="23"/>
  <c r="AK154" i="23"/>
  <c r="AH118" i="23"/>
  <c r="T118" i="23"/>
  <c r="T154" i="23"/>
  <c r="J154" i="23"/>
  <c r="AS154" i="23"/>
  <c r="W118" i="23"/>
  <c r="DX154" i="23"/>
  <c r="DB118" i="23"/>
  <c r="CS154" i="23"/>
  <c r="DU154" i="23"/>
  <c r="DG154" i="23"/>
  <c r="DD118" i="23"/>
  <c r="BV118" i="23"/>
  <c r="BN118" i="23"/>
  <c r="BL118" i="23"/>
  <c r="BI154" i="23"/>
  <c r="AV118" i="23"/>
  <c r="AV154" i="23"/>
  <c r="AJ118" i="23"/>
  <c r="AJ154" i="23"/>
  <c r="AF118" i="23"/>
  <c r="DF154" i="23"/>
  <c r="CU118" i="23"/>
  <c r="CU154" i="23"/>
  <c r="CG118" i="23"/>
  <c r="CE118" i="23"/>
  <c r="BK118" i="23"/>
  <c r="BK154" i="23"/>
  <c r="AQ154" i="23"/>
  <c r="AL118" i="23"/>
  <c r="AB154" i="23"/>
  <c r="U118" i="23"/>
  <c r="CI118" i="23"/>
  <c r="CI154" i="23"/>
  <c r="CD118" i="23"/>
  <c r="CD154" i="23"/>
  <c r="BW154" i="23"/>
  <c r="AG154" i="23"/>
  <c r="DP118" i="23"/>
  <c r="DE118" i="23"/>
  <c r="CZ118" i="23"/>
  <c r="CZ154" i="23"/>
  <c r="CT154" i="23"/>
  <c r="CJ154" i="23"/>
  <c r="BJ118" i="23"/>
  <c r="BD118" i="23"/>
  <c r="BA154" i="23"/>
  <c r="AT118" i="23"/>
  <c r="AT154" i="23"/>
  <c r="AH154" i="23"/>
  <c r="AA118" i="23"/>
  <c r="M118" i="23"/>
  <c r="AO154" i="23"/>
  <c r="W154" i="23"/>
  <c r="DV154" i="23"/>
  <c r="DM118" i="23"/>
  <c r="CL118" i="23"/>
  <c r="CL154" i="23"/>
  <c r="DS118" i="23"/>
  <c r="DS154" i="23"/>
  <c r="DL118" i="23"/>
  <c r="DG118" i="23"/>
  <c r="DD154" i="23"/>
  <c r="DA154" i="23"/>
  <c r="CP154" i="23"/>
  <c r="BS118" i="23"/>
  <c r="BN154" i="23"/>
  <c r="BL154" i="23"/>
  <c r="AR154" i="23"/>
  <c r="AF154" i="23"/>
  <c r="O118" i="23"/>
  <c r="AW154" i="23"/>
  <c r="S118" i="23"/>
  <c r="S154" i="23"/>
  <c r="P230" i="8"/>
  <c r="P231" i="8" s="1"/>
  <c r="DC156" i="23"/>
  <c r="CG120" i="23"/>
  <c r="CC120" i="23"/>
  <c r="CA120" i="23"/>
  <c r="BX120" i="23"/>
  <c r="BX156" i="23"/>
  <c r="BK120" i="23"/>
  <c r="AL156" i="23"/>
  <c r="AB120" i="23"/>
  <c r="Y156" i="23"/>
  <c r="U156" i="23"/>
  <c r="CI156" i="23"/>
  <c r="AG120" i="23"/>
  <c r="CM120" i="23"/>
  <c r="BJ120" i="23"/>
  <c r="AA156" i="23"/>
  <c r="M156" i="23"/>
  <c r="W120" i="23"/>
  <c r="DX120" i="23"/>
  <c r="DB120" i="23"/>
  <c r="CL156" i="23"/>
  <c r="DU120" i="23"/>
  <c r="CX156" i="23"/>
  <c r="CP156" i="23"/>
  <c r="CH156" i="23"/>
  <c r="BV120" i="23"/>
  <c r="BS156" i="23"/>
  <c r="AV120" i="23"/>
  <c r="AR156" i="23"/>
  <c r="AN156" i="23"/>
  <c r="AF120" i="23"/>
  <c r="AC156" i="23"/>
  <c r="O120" i="23"/>
  <c r="O156" i="23"/>
  <c r="H156" i="23"/>
  <c r="S120" i="23"/>
  <c r="P156" i="23"/>
  <c r="DR156" i="23"/>
  <c r="DN156" i="23"/>
  <c r="DI120" i="23"/>
  <c r="DI156" i="23"/>
  <c r="DF120" i="23"/>
  <c r="CU156" i="23"/>
  <c r="CE120" i="23"/>
  <c r="CC156" i="23"/>
  <c r="BR156" i="23"/>
  <c r="BH120" i="23"/>
  <c r="BE120" i="23"/>
  <c r="BE156" i="23"/>
  <c r="AI156" i="23"/>
  <c r="Y120" i="23"/>
  <c r="U120" i="23"/>
  <c r="N156" i="23"/>
  <c r="CI120" i="23"/>
  <c r="BW156" i="23"/>
  <c r="Z120" i="23"/>
  <c r="Z156" i="23"/>
  <c r="CT120" i="23"/>
  <c r="CQ156" i="23"/>
  <c r="CJ120" i="23"/>
  <c r="BU120" i="23"/>
  <c r="BQ156" i="23"/>
  <c r="BG120" i="23"/>
  <c r="BG156" i="23"/>
  <c r="AX120" i="23"/>
  <c r="AP120" i="23"/>
  <c r="AH120" i="23"/>
  <c r="AA120" i="23"/>
  <c r="X156" i="23"/>
  <c r="M120" i="23"/>
  <c r="J156" i="23"/>
  <c r="DV120" i="23"/>
  <c r="DV156" i="23"/>
  <c r="CY156" i="23"/>
  <c r="CS120" i="23"/>
  <c r="CS156" i="23"/>
  <c r="DS120" i="23"/>
  <c r="DJ156" i="23"/>
  <c r="DG120" i="23"/>
  <c r="DD120" i="23"/>
  <c r="DD156" i="23"/>
  <c r="DA120" i="23"/>
  <c r="CP120" i="23"/>
  <c r="BS120" i="23"/>
  <c r="BL156" i="23"/>
  <c r="AR120" i="23"/>
  <c r="AC120" i="23"/>
  <c r="V156" i="23"/>
  <c r="L156" i="23"/>
  <c r="H120" i="23"/>
  <c r="CB120" i="23"/>
  <c r="CB156" i="23"/>
  <c r="BZ120" i="23"/>
  <c r="BC120" i="23"/>
  <c r="BC156" i="23"/>
  <c r="AZ156" i="23"/>
  <c r="P120" i="23"/>
  <c r="I156" i="23"/>
  <c r="DR120" i="23"/>
  <c r="DC120" i="23"/>
  <c r="CU120" i="23"/>
  <c r="CO120" i="23"/>
  <c r="CO156" i="23"/>
  <c r="CA156" i="23"/>
  <c r="BR120" i="23"/>
  <c r="AU120" i="23"/>
  <c r="AU156" i="23"/>
  <c r="AL120" i="23"/>
  <c r="AE156" i="23"/>
  <c r="N120" i="23"/>
  <c r="K120" i="23"/>
  <c r="K156" i="23"/>
  <c r="CD120" i="23"/>
  <c r="CD156" i="23"/>
  <c r="CZ120" i="23"/>
  <c r="CZ156" i="23"/>
  <c r="CQ120" i="23"/>
  <c r="CM156" i="23"/>
  <c r="CJ156" i="23"/>
  <c r="BU156" i="23"/>
  <c r="BQ120" i="23"/>
  <c r="BO120" i="23"/>
  <c r="BO156" i="23"/>
  <c r="BD120" i="23"/>
  <c r="BD156" i="23"/>
  <c r="AX156" i="23"/>
  <c r="AT120" i="23"/>
  <c r="AK156" i="23"/>
  <c r="T156" i="23"/>
  <c r="J120" i="23"/>
  <c r="AS120" i="23"/>
  <c r="AS156" i="23"/>
  <c r="DX156" i="23"/>
  <c r="DB156" i="23"/>
  <c r="CL120" i="23"/>
  <c r="DU156" i="23"/>
  <c r="DL120" i="23"/>
  <c r="DL156" i="23"/>
  <c r="DA156" i="23"/>
  <c r="CX120" i="23"/>
  <c r="CH120" i="23"/>
  <c r="BV156" i="23"/>
  <c r="BN156" i="23"/>
  <c r="BL120" i="23"/>
  <c r="BI156" i="23"/>
  <c r="AV156" i="23"/>
  <c r="AN120" i="23"/>
  <c r="AJ156" i="23"/>
  <c r="L120" i="23"/>
  <c r="BZ156" i="23"/>
  <c r="I120" i="23"/>
  <c r="DN120" i="23"/>
  <c r="DF156" i="23"/>
  <c r="CG156" i="23"/>
  <c r="CE156" i="23"/>
  <c r="BK156" i="23"/>
  <c r="BH156" i="23"/>
  <c r="AQ120" i="23"/>
  <c r="AQ156" i="23"/>
  <c r="AI120" i="23"/>
  <c r="AE120" i="23"/>
  <c r="AB156" i="23"/>
  <c r="BW120" i="23"/>
  <c r="AG156" i="23"/>
  <c r="DP120" i="23"/>
  <c r="DP156" i="23"/>
  <c r="DE120" i="23"/>
  <c r="DE156" i="23"/>
  <c r="CT156" i="23"/>
  <c r="BJ156" i="23"/>
  <c r="BA120" i="23"/>
  <c r="BA156" i="23"/>
  <c r="AT156" i="23"/>
  <c r="AP156" i="23"/>
  <c r="AK120" i="23"/>
  <c r="AH156" i="23"/>
  <c r="X120" i="23"/>
  <c r="T120" i="23"/>
  <c r="AO120" i="23"/>
  <c r="AO156" i="23"/>
  <c r="W156" i="23"/>
  <c r="DM120" i="23"/>
  <c r="DM156" i="23"/>
  <c r="CY120" i="23"/>
  <c r="DS156" i="23"/>
  <c r="DJ120" i="23"/>
  <c r="DG156" i="23"/>
  <c r="CV120" i="23"/>
  <c r="CV156" i="23"/>
  <c r="BN120" i="23"/>
  <c r="BI120" i="23"/>
  <c r="AJ120" i="23"/>
  <c r="AF156" i="23"/>
  <c r="V120" i="23"/>
  <c r="AZ120" i="23"/>
  <c r="AW120" i="23"/>
  <c r="AW156" i="23"/>
  <c r="S156" i="23"/>
  <c r="AA218" i="8"/>
  <c r="O230" i="8"/>
  <c r="O231" i="8" s="1"/>
  <c r="Q236" i="1"/>
  <c r="AA6" i="8"/>
  <c r="DR155" i="23"/>
  <c r="DI155" i="23"/>
  <c r="DF155" i="23"/>
  <c r="DC155" i="23"/>
  <c r="CG155" i="23"/>
  <c r="CG119" i="23"/>
  <c r="CC155" i="23"/>
  <c r="CA119" i="23"/>
  <c r="BK119" i="23"/>
  <c r="BH155" i="23"/>
  <c r="AU119" i="23"/>
  <c r="AL155" i="23"/>
  <c r="AI155" i="23"/>
  <c r="AE155" i="23"/>
  <c r="K155" i="23"/>
  <c r="CI155" i="23"/>
  <c r="CD155" i="23"/>
  <c r="BW155" i="23"/>
  <c r="AG155" i="23"/>
  <c r="Z119" i="23"/>
  <c r="CZ155" i="23"/>
  <c r="CT155" i="23"/>
  <c r="CM119" i="23"/>
  <c r="CJ155" i="23"/>
  <c r="BJ155" i="23"/>
  <c r="BD119" i="23"/>
  <c r="AX155" i="23"/>
  <c r="T155" i="23"/>
  <c r="AS119" i="23"/>
  <c r="DX119" i="23"/>
  <c r="DB119" i="23"/>
  <c r="CS155" i="23"/>
  <c r="CL155" i="23"/>
  <c r="DU119" i="23"/>
  <c r="DD155" i="23"/>
  <c r="DA155" i="23"/>
  <c r="CP155" i="23"/>
  <c r="BV119" i="23"/>
  <c r="BS155" i="23"/>
  <c r="AV155" i="23"/>
  <c r="AN119" i="23"/>
  <c r="AJ155" i="23"/>
  <c r="AC119" i="23"/>
  <c r="V119" i="23"/>
  <c r="O155" i="23"/>
  <c r="L119" i="23"/>
  <c r="CB155" i="23"/>
  <c r="I119" i="23"/>
  <c r="DI119" i="23"/>
  <c r="DF119" i="23"/>
  <c r="CO155" i="23"/>
  <c r="CE119" i="23"/>
  <c r="CC119" i="23"/>
  <c r="BX119" i="23"/>
  <c r="BH119" i="23"/>
  <c r="BE119" i="23"/>
  <c r="BE155" i="23"/>
  <c r="AQ119" i="23"/>
  <c r="AI119" i="23"/>
  <c r="AE119" i="23"/>
  <c r="AB155" i="23"/>
  <c r="Y155" i="23"/>
  <c r="U155" i="23"/>
  <c r="N119" i="23"/>
  <c r="K119" i="23"/>
  <c r="Z155" i="23"/>
  <c r="DP155" i="23"/>
  <c r="CT119" i="23"/>
  <c r="CQ155" i="23"/>
  <c r="CJ119" i="23"/>
  <c r="BQ155" i="23"/>
  <c r="BJ119" i="23"/>
  <c r="BG155" i="23"/>
  <c r="BA119" i="23"/>
  <c r="AT155" i="23"/>
  <c r="AP119" i="23"/>
  <c r="AK119" i="23"/>
  <c r="AA155" i="23"/>
  <c r="X119" i="23"/>
  <c r="T119" i="23"/>
  <c r="J119" i="23"/>
  <c r="AO119" i="23"/>
  <c r="DV119" i="23"/>
  <c r="CS119" i="23"/>
  <c r="DU155" i="23"/>
  <c r="DS119" i="23"/>
  <c r="DS155" i="23"/>
  <c r="DL155" i="23"/>
  <c r="DG119" i="23"/>
  <c r="DA119" i="23"/>
  <c r="CX155" i="23"/>
  <c r="CH155" i="23"/>
  <c r="BS119" i="23"/>
  <c r="BN155" i="23"/>
  <c r="BL155" i="23"/>
  <c r="AR155" i="23"/>
  <c r="AJ119" i="23"/>
  <c r="AF155" i="23"/>
  <c r="AC155" i="23"/>
  <c r="V155" i="23"/>
  <c r="CB119" i="23"/>
  <c r="BZ119" i="23"/>
  <c r="BZ155" i="23"/>
  <c r="BC155" i="23"/>
  <c r="AZ119" i="23"/>
  <c r="AW119" i="23"/>
  <c r="DN155" i="23"/>
  <c r="DC119" i="23"/>
  <c r="CU119" i="23"/>
  <c r="CO119" i="23"/>
  <c r="CE155" i="23"/>
  <c r="CA155" i="23"/>
  <c r="BX155" i="23"/>
  <c r="BR155" i="23"/>
  <c r="AU155" i="23"/>
  <c r="AB119" i="23"/>
  <c r="N155" i="23"/>
  <c r="CI119" i="23"/>
  <c r="CD119" i="23"/>
  <c r="AG119" i="23"/>
  <c r="DE155" i="23"/>
  <c r="CZ119" i="23"/>
  <c r="CQ119" i="23"/>
  <c r="CM155" i="23"/>
  <c r="BU119" i="23"/>
  <c r="BU155" i="23"/>
  <c r="BQ119" i="23"/>
  <c r="BO155" i="23"/>
  <c r="BG119" i="23"/>
  <c r="BD155" i="23"/>
  <c r="AX119" i="23"/>
  <c r="AP155" i="23"/>
  <c r="AH119" i="23"/>
  <c r="M155" i="23"/>
  <c r="AS155" i="23"/>
  <c r="W119" i="23"/>
  <c r="DX155" i="23"/>
  <c r="DM155" i="23"/>
  <c r="DB155" i="23"/>
  <c r="CY155" i="23"/>
  <c r="CL119" i="23"/>
  <c r="DL119" i="23"/>
  <c r="DJ155" i="23"/>
  <c r="DD119" i="23"/>
  <c r="CX119" i="23"/>
  <c r="CV155" i="23"/>
  <c r="CP119" i="23"/>
  <c r="CH119" i="23"/>
  <c r="BV155" i="23"/>
  <c r="BI155" i="23"/>
  <c r="AV119" i="23"/>
  <c r="AN155" i="23"/>
  <c r="AF119" i="23"/>
  <c r="L155" i="23"/>
  <c r="H155" i="23"/>
  <c r="AZ155" i="23"/>
  <c r="S155" i="23"/>
  <c r="P155" i="23"/>
  <c r="I155" i="23"/>
  <c r="DR119" i="23"/>
  <c r="DN119" i="23"/>
  <c r="CU155" i="23"/>
  <c r="BR119" i="23"/>
  <c r="BK155" i="23"/>
  <c r="AQ155" i="23"/>
  <c r="AL119" i="23"/>
  <c r="Y119" i="23"/>
  <c r="U119" i="23"/>
  <c r="BW119" i="23"/>
  <c r="DP119" i="23"/>
  <c r="DE119" i="23"/>
  <c r="BO119" i="23"/>
  <c r="BA155" i="23"/>
  <c r="AT119" i="23"/>
  <c r="AK155" i="23"/>
  <c r="AH155" i="23"/>
  <c r="AA119" i="23"/>
  <c r="X155" i="23"/>
  <c r="M119" i="23"/>
  <c r="J155" i="23"/>
  <c r="AO155" i="23"/>
  <c r="W155" i="23"/>
  <c r="DV155" i="23"/>
  <c r="DM119" i="23"/>
  <c r="CY119" i="23"/>
  <c r="DJ119" i="23"/>
  <c r="DG155" i="23"/>
  <c r="CV119" i="23"/>
  <c r="BN119" i="23"/>
  <c r="BL119" i="23"/>
  <c r="BI119" i="23"/>
  <c r="AR119" i="23"/>
  <c r="O119" i="23"/>
  <c r="H119" i="23"/>
  <c r="BC119" i="23"/>
  <c r="AW155" i="23"/>
  <c r="S119" i="23"/>
  <c r="P119" i="23"/>
  <c r="Y72" i="8"/>
  <c r="X233" i="8"/>
  <c r="AB233" i="8" s="1"/>
  <c r="T233" i="8"/>
  <c r="AA239" i="1"/>
  <c r="AA8" i="4"/>
  <c r="R230" i="8"/>
  <c r="R233" i="8" s="1"/>
  <c r="F156" i="1"/>
  <c r="L156" i="1"/>
  <c r="G70" i="1"/>
  <c r="M227" i="1"/>
  <c r="Z72" i="8"/>
  <c r="S72" i="8"/>
  <c r="R72" i="8"/>
  <c r="Q72" i="8"/>
  <c r="Q233" i="8"/>
  <c r="U8" i="1"/>
  <c r="AA236" i="4"/>
  <c r="U236" i="1"/>
  <c r="AA75" i="8"/>
  <c r="AA70" i="8"/>
  <c r="AA43" i="8"/>
  <c r="AA47" i="8" s="1"/>
  <c r="U72" i="8"/>
  <c r="AO236" i="1"/>
  <c r="M164" i="1"/>
  <c r="M172" i="1"/>
  <c r="M187" i="1"/>
  <c r="M182" i="1"/>
  <c r="M205" i="1"/>
  <c r="M209" i="1"/>
  <c r="CM233" i="4"/>
  <c r="CQ233" i="4"/>
  <c r="CQ249" i="4" s="1"/>
  <c r="H115" i="1"/>
  <c r="AW249" i="7"/>
  <c r="AW250" i="7" s="1"/>
  <c r="AS249" i="7"/>
  <c r="AS250" i="7" s="1"/>
  <c r="AR233" i="4"/>
  <c r="AR234" i="7"/>
  <c r="BC249" i="7"/>
  <c r="BC250" i="7" s="1"/>
  <c r="BC234" i="7"/>
  <c r="AZ234" i="7"/>
  <c r="AV234" i="7"/>
  <c r="AS233" i="4"/>
  <c r="AS249" i="4" s="1"/>
  <c r="AS250" i="4" s="1"/>
  <c r="BA249" i="7"/>
  <c r="BA250" i="7" s="1"/>
  <c r="BA234" i="7"/>
  <c r="L43" i="7"/>
  <c r="L47" i="7" s="1"/>
  <c r="H70" i="7"/>
  <c r="BC71" i="4"/>
  <c r="BC72" i="4" s="1"/>
  <c r="L70" i="7"/>
  <c r="G70" i="7"/>
  <c r="CL233" i="4"/>
  <c r="CL249" i="4" s="1"/>
  <c r="CI233" i="4"/>
  <c r="CI249" i="4" s="1"/>
  <c r="CR234" i="6"/>
  <c r="CJ234" i="6"/>
  <c r="CP233" i="4"/>
  <c r="CP249" i="4" s="1"/>
  <c r="CH234" i="6"/>
  <c r="CL234" i="6"/>
  <c r="E71" i="4"/>
  <c r="E72" i="4" s="1"/>
  <c r="AV234" i="6"/>
  <c r="EW244" i="6"/>
  <c r="BM223" i="6"/>
  <c r="W224" i="6"/>
  <c r="DD223" i="6"/>
  <c r="EV223" i="6"/>
  <c r="DG221" i="6"/>
  <c r="Q203" i="6"/>
  <c r="R200" i="6"/>
  <c r="R184" i="6"/>
  <c r="DG184" i="6"/>
  <c r="BQ174" i="6"/>
  <c r="O174" i="6"/>
  <c r="U169" i="6"/>
  <c r="W167" i="6"/>
  <c r="DC164" i="6"/>
  <c r="EN164" i="6"/>
  <c r="Y153" i="6"/>
  <c r="V137" i="6"/>
  <c r="W121" i="6"/>
  <c r="BK116" i="6"/>
  <c r="U117" i="6"/>
  <c r="BN116" i="6"/>
  <c r="BR116" i="6" s="1"/>
  <c r="X117" i="6"/>
  <c r="ER116" i="6"/>
  <c r="U113" i="6"/>
  <c r="Q110" i="6"/>
  <c r="Y101" i="6"/>
  <c r="X101" i="6"/>
  <c r="Q98" i="6"/>
  <c r="T98" i="6"/>
  <c r="Q94" i="6"/>
  <c r="T94" i="6"/>
  <c r="Y81" i="6"/>
  <c r="EW81" i="6"/>
  <c r="BE76" i="6"/>
  <c r="BQ77" i="6"/>
  <c r="O77" i="6"/>
  <c r="DF76" i="6"/>
  <c r="U64" i="6"/>
  <c r="U41" i="6"/>
  <c r="X41" i="6"/>
  <c r="Y35" i="6"/>
  <c r="T35" i="6"/>
  <c r="BF29" i="6"/>
  <c r="P31" i="6"/>
  <c r="EO29" i="6"/>
  <c r="BL27" i="6"/>
  <c r="V24" i="6"/>
  <c r="EN27" i="6"/>
  <c r="DG15" i="6"/>
  <c r="BQ176" i="6"/>
  <c r="O176" i="6"/>
  <c r="Z170" i="6"/>
  <c r="U161" i="6"/>
  <c r="EW161" i="6"/>
  <c r="BG157" i="6"/>
  <c r="Q158" i="6"/>
  <c r="CX157" i="6"/>
  <c r="EO157" i="6"/>
  <c r="BK138" i="6"/>
  <c r="U139" i="6"/>
  <c r="BN138" i="6"/>
  <c r="BR138" i="6" s="1"/>
  <c r="X139" i="6"/>
  <c r="DA138" i="6"/>
  <c r="P108" i="6"/>
  <c r="BM104" i="6"/>
  <c r="W105" i="6"/>
  <c r="EK104" i="6"/>
  <c r="EW105" i="6"/>
  <c r="V99" i="6"/>
  <c r="S89" i="6"/>
  <c r="Q20" i="6"/>
  <c r="S20" i="6"/>
  <c r="T247" i="6"/>
  <c r="Q243" i="6"/>
  <c r="BP219" i="6"/>
  <c r="Z220" i="6"/>
  <c r="DC219" i="6"/>
  <c r="EQ219" i="6"/>
  <c r="V216" i="6"/>
  <c r="BO209" i="6"/>
  <c r="Y210" i="6"/>
  <c r="BG205" i="6"/>
  <c r="Q206" i="6"/>
  <c r="BN205" i="6"/>
  <c r="X206" i="6"/>
  <c r="EP205" i="6"/>
  <c r="X202" i="6"/>
  <c r="BP193" i="6"/>
  <c r="Z194" i="6"/>
  <c r="DC193" i="6"/>
  <c r="EQ193" i="6"/>
  <c r="Z190" i="6"/>
  <c r="Q177" i="6"/>
  <c r="BH172" i="6"/>
  <c r="R173" i="6"/>
  <c r="CY172" i="6"/>
  <c r="EV172" i="6"/>
  <c r="U152" i="6"/>
  <c r="DG152" i="6"/>
  <c r="Y149" i="6"/>
  <c r="X149" i="6"/>
  <c r="BE146" i="6"/>
  <c r="BQ147" i="6"/>
  <c r="O147" i="6"/>
  <c r="CZ146" i="6"/>
  <c r="EO146" i="6"/>
  <c r="Z143" i="6"/>
  <c r="Y140" i="6"/>
  <c r="DG140" i="6"/>
  <c r="Y136" i="6"/>
  <c r="Q128" i="6"/>
  <c r="X128" i="6"/>
  <c r="Y124" i="6"/>
  <c r="T124" i="6"/>
  <c r="U120" i="6"/>
  <c r="P120" i="6"/>
  <c r="Z109" i="6"/>
  <c r="Y100" i="6"/>
  <c r="X100" i="6"/>
  <c r="BQ97" i="6"/>
  <c r="O97" i="6"/>
  <c r="X83" i="6"/>
  <c r="V80" i="6"/>
  <c r="P69" i="6"/>
  <c r="Q66" i="6"/>
  <c r="W63" i="6"/>
  <c r="DG63" i="6"/>
  <c r="EW63" i="6"/>
  <c r="BI57" i="6"/>
  <c r="S55" i="6"/>
  <c r="ER57" i="6"/>
  <c r="BK54" i="6"/>
  <c r="U51" i="6"/>
  <c r="CW54" i="6"/>
  <c r="EV54" i="6"/>
  <c r="Z45" i="6"/>
  <c r="Y34" i="6"/>
  <c r="EW34" i="6"/>
  <c r="V21" i="6"/>
  <c r="S19" i="6"/>
  <c r="BG13" i="6"/>
  <c r="BG6" i="6" s="1"/>
  <c r="Q14" i="6"/>
  <c r="DC13" i="6"/>
  <c r="DC6" i="6" s="1"/>
  <c r="ER13" i="6"/>
  <c r="ER6" i="6" s="1"/>
  <c r="V123" i="6"/>
  <c r="R119" i="6"/>
  <c r="U65" i="6"/>
  <c r="T65" i="6"/>
  <c r="BQ33" i="6"/>
  <c r="O33" i="6"/>
  <c r="P7" i="6"/>
  <c r="V7" i="6"/>
  <c r="U246" i="6"/>
  <c r="BG241" i="6"/>
  <c r="EB83" i="23" s="1"/>
  <c r="Q242" i="6"/>
  <c r="CX241" i="6"/>
  <c r="EB118" i="23" s="1"/>
  <c r="EQ241" i="6"/>
  <c r="EB151" i="23" s="1"/>
  <c r="T229" i="6"/>
  <c r="BK214" i="6"/>
  <c r="U215" i="6"/>
  <c r="DF214" i="6"/>
  <c r="EP214" i="6"/>
  <c r="Q212" i="6"/>
  <c r="U199" i="6"/>
  <c r="X199" i="6"/>
  <c r="W196" i="6"/>
  <c r="X189" i="6"/>
  <c r="BE182" i="6"/>
  <c r="BQ183" i="6"/>
  <c r="O183" i="6"/>
  <c r="EP182" i="6"/>
  <c r="EN182" i="6"/>
  <c r="Z180" i="6"/>
  <c r="DG245" i="6"/>
  <c r="DB227" i="6"/>
  <c r="CX227" i="6"/>
  <c r="EP227" i="6"/>
  <c r="U225" i="6"/>
  <c r="Y222" i="6"/>
  <c r="X222" i="6"/>
  <c r="BQ211" i="6"/>
  <c r="O211" i="6"/>
  <c r="BQ208" i="6"/>
  <c r="O208" i="6"/>
  <c r="W204" i="6"/>
  <c r="Q201" i="6"/>
  <c r="X201" i="6"/>
  <c r="Q198" i="6"/>
  <c r="BQ195" i="6"/>
  <c r="O195" i="6"/>
  <c r="Z192" i="6"/>
  <c r="BG187" i="6"/>
  <c r="Q188" i="6"/>
  <c r="CX187" i="6"/>
  <c r="ET187" i="6"/>
  <c r="Q185" i="6"/>
  <c r="BG178" i="6"/>
  <c r="Q179" i="6"/>
  <c r="CX178" i="6"/>
  <c r="EU178" i="6"/>
  <c r="BQ175" i="6"/>
  <c r="O175" i="6"/>
  <c r="U154" i="6"/>
  <c r="DG154" i="6"/>
  <c r="Q148" i="6"/>
  <c r="X148" i="6"/>
  <c r="Q145" i="6"/>
  <c r="DG145" i="6"/>
  <c r="S142" i="6"/>
  <c r="DD133" i="6"/>
  <c r="EV133" i="6"/>
  <c r="CZ129" i="6"/>
  <c r="CV129" i="6"/>
  <c r="EL129" i="6"/>
  <c r="Q126" i="6"/>
  <c r="X126" i="6"/>
  <c r="Y122" i="6"/>
  <c r="T122" i="6"/>
  <c r="BQ118" i="6"/>
  <c r="O118" i="6"/>
  <c r="X107" i="6"/>
  <c r="V102" i="6"/>
  <c r="BG90" i="6"/>
  <c r="Q91" i="6"/>
  <c r="BN90" i="6"/>
  <c r="BR90" i="6" s="1"/>
  <c r="X91" i="6"/>
  <c r="EU90" i="6"/>
  <c r="BG87" i="6"/>
  <c r="Q88" i="6"/>
  <c r="BN87" i="6"/>
  <c r="X88" i="6"/>
  <c r="EU87" i="6"/>
  <c r="U85" i="6"/>
  <c r="P85" i="6"/>
  <c r="P82" i="6"/>
  <c r="Z67" i="6"/>
  <c r="BN60" i="6"/>
  <c r="X61" i="6"/>
  <c r="EV60" i="6"/>
  <c r="BL52" i="4"/>
  <c r="V52" i="4" s="1"/>
  <c r="V52" i="1" s="1"/>
  <c r="V52" i="6"/>
  <c r="Z42" i="6"/>
  <c r="BO38" i="6"/>
  <c r="F75" i="23" s="1"/>
  <c r="Y39" i="6"/>
  <c r="BN38" i="6"/>
  <c r="X39" i="6"/>
  <c r="EM38" i="6"/>
  <c r="F155" i="23" s="1"/>
  <c r="Q36" i="6"/>
  <c r="X36" i="6"/>
  <c r="AB36" i="6" s="1"/>
  <c r="S32" i="6"/>
  <c r="DG25" i="6"/>
  <c r="P25" i="6"/>
  <c r="P168" i="6"/>
  <c r="CX150" i="6"/>
  <c r="DC150" i="6"/>
  <c r="CW150" i="6"/>
  <c r="EN150" i="6"/>
  <c r="EK150" i="6"/>
  <c r="EW151" i="6"/>
  <c r="EQ150" i="6"/>
  <c r="U135" i="6"/>
  <c r="V135" i="6"/>
  <c r="S135" i="6"/>
  <c r="X135" i="6"/>
  <c r="Y131" i="6"/>
  <c r="BQ131" i="6"/>
  <c r="O131" i="6"/>
  <c r="P131" i="6"/>
  <c r="R127" i="6"/>
  <c r="BQ127" i="6"/>
  <c r="O127" i="6"/>
  <c r="P127" i="6"/>
  <c r="Z92" i="6"/>
  <c r="W92" i="6"/>
  <c r="DG92" i="6"/>
  <c r="EW92" i="6"/>
  <c r="Y86" i="6"/>
  <c r="V86" i="6"/>
  <c r="S86" i="6"/>
  <c r="X86" i="6"/>
  <c r="Y79" i="6"/>
  <c r="R79" i="6"/>
  <c r="S79" i="6"/>
  <c r="T79" i="6"/>
  <c r="U68" i="6"/>
  <c r="BQ68" i="6"/>
  <c r="O68" i="6"/>
  <c r="P68" i="6"/>
  <c r="DG68" i="6"/>
  <c r="Q62" i="6"/>
  <c r="Z62" i="6"/>
  <c r="S62" i="6"/>
  <c r="T62" i="6"/>
  <c r="DG62" i="6"/>
  <c r="EW62" i="6"/>
  <c r="U16" i="6"/>
  <c r="S16" i="6"/>
  <c r="M54" i="6"/>
  <c r="D58" i="6"/>
  <c r="L43" i="6"/>
  <c r="L47" i="6" s="1"/>
  <c r="CG233" i="4"/>
  <c r="E70" i="1"/>
  <c r="D6" i="1"/>
  <c r="Q244" i="6"/>
  <c r="BQ244" i="6"/>
  <c r="O244" i="6"/>
  <c r="T244" i="6"/>
  <c r="BO223" i="6"/>
  <c r="Y224" i="6"/>
  <c r="BP223" i="6"/>
  <c r="Z224" i="6"/>
  <c r="DF223" i="6"/>
  <c r="CX223" i="6"/>
  <c r="DC223" i="6"/>
  <c r="CW223" i="6"/>
  <c r="EL223" i="6"/>
  <c r="EP223" i="6"/>
  <c r="EK223" i="6"/>
  <c r="EW224" i="6"/>
  <c r="Q221" i="6"/>
  <c r="R221" i="6"/>
  <c r="S221" i="6"/>
  <c r="X221" i="6"/>
  <c r="AB221" i="6" s="1"/>
  <c r="R213" i="6"/>
  <c r="BQ213" i="6"/>
  <c r="O213" i="6"/>
  <c r="T213" i="6"/>
  <c r="DG213" i="6"/>
  <c r="Y207" i="6"/>
  <c r="BQ207" i="6"/>
  <c r="O207" i="6"/>
  <c r="T207" i="6"/>
  <c r="U203" i="6"/>
  <c r="Z203" i="6"/>
  <c r="P203" i="6"/>
  <c r="EW203" i="6"/>
  <c r="U200" i="6"/>
  <c r="V200" i="6"/>
  <c r="S200" i="6"/>
  <c r="X200" i="6"/>
  <c r="Y191" i="6"/>
  <c r="Z191" i="6"/>
  <c r="P191" i="6"/>
  <c r="EW191" i="6"/>
  <c r="Q184" i="6"/>
  <c r="V184" i="6"/>
  <c r="W184" i="6"/>
  <c r="R174" i="6"/>
  <c r="S174" i="6"/>
  <c r="X174" i="6"/>
  <c r="DG174" i="6"/>
  <c r="Q171" i="6"/>
  <c r="BQ171" i="6"/>
  <c r="O171" i="6"/>
  <c r="T171" i="6"/>
  <c r="EW171" i="6"/>
  <c r="Y169" i="6"/>
  <c r="BQ169" i="6"/>
  <c r="O169" i="6"/>
  <c r="T169" i="6"/>
  <c r="EW169" i="6"/>
  <c r="Q167" i="6"/>
  <c r="Z167" i="6"/>
  <c r="P167" i="6"/>
  <c r="BO164" i="6"/>
  <c r="Y165" i="6"/>
  <c r="BE164" i="6"/>
  <c r="BQ165" i="6"/>
  <c r="O165" i="6"/>
  <c r="BJ164" i="6"/>
  <c r="T165" i="6"/>
  <c r="DF164" i="6"/>
  <c r="CV164" i="6"/>
  <c r="DA164" i="6"/>
  <c r="EO164" i="6"/>
  <c r="EK164" i="6"/>
  <c r="EW165" i="6"/>
  <c r="ER164" i="6"/>
  <c r="U162" i="6"/>
  <c r="BQ162" i="6"/>
  <c r="O162" i="6"/>
  <c r="P162" i="6"/>
  <c r="Q153" i="6"/>
  <c r="R153" i="6"/>
  <c r="BQ153" i="6"/>
  <c r="O153" i="6"/>
  <c r="T153" i="6"/>
  <c r="DG153" i="6"/>
  <c r="R144" i="6"/>
  <c r="BQ144" i="6"/>
  <c r="O144" i="6"/>
  <c r="P144" i="6"/>
  <c r="U141" i="6"/>
  <c r="EW141" i="6"/>
  <c r="U137" i="6"/>
  <c r="Z137" i="6"/>
  <c r="W137" i="6"/>
  <c r="DG137" i="6"/>
  <c r="Y125" i="6"/>
  <c r="R125" i="6"/>
  <c r="BQ125" i="6"/>
  <c r="O125" i="6"/>
  <c r="T125" i="6"/>
  <c r="Q121" i="6"/>
  <c r="P121" i="6"/>
  <c r="BG116" i="6"/>
  <c r="Q117" i="6"/>
  <c r="BP116" i="6"/>
  <c r="Z117" i="6"/>
  <c r="BM116" i="6"/>
  <c r="W117" i="6"/>
  <c r="CV116" i="6"/>
  <c r="CX116" i="6"/>
  <c r="CY116" i="6"/>
  <c r="EL116" i="6"/>
  <c r="EK116" i="6"/>
  <c r="EW117" i="6"/>
  <c r="EQ116" i="6"/>
  <c r="Q113" i="6"/>
  <c r="V113" i="6"/>
  <c r="S113" i="6"/>
  <c r="T113" i="6"/>
  <c r="DG113" i="6"/>
  <c r="Y110" i="6"/>
  <c r="R110" i="6"/>
  <c r="BQ110" i="6"/>
  <c r="O110" i="6"/>
  <c r="P110" i="6"/>
  <c r="Q106" i="6"/>
  <c r="P106" i="6"/>
  <c r="U101" i="6"/>
  <c r="Z101" i="6"/>
  <c r="EW101" i="6"/>
  <c r="U98" i="6"/>
  <c r="Z98" i="6"/>
  <c r="W98" i="6"/>
  <c r="X98" i="6"/>
  <c r="U94" i="6"/>
  <c r="Z94" i="6"/>
  <c r="W94" i="6"/>
  <c r="X94" i="6"/>
  <c r="Q84" i="6"/>
  <c r="V84" i="6"/>
  <c r="S84" i="6"/>
  <c r="P84" i="6"/>
  <c r="Q81" i="6"/>
  <c r="BO76" i="6"/>
  <c r="Y77" i="6"/>
  <c r="BL76" i="6"/>
  <c r="V77" i="6"/>
  <c r="BI76" i="6"/>
  <c r="S77" i="6"/>
  <c r="BJ76" i="6"/>
  <c r="T77" i="6"/>
  <c r="DE76" i="6"/>
  <c r="DG77" i="6"/>
  <c r="CU76" i="6"/>
  <c r="EN76" i="6"/>
  <c r="EK76" i="6"/>
  <c r="EW77" i="6"/>
  <c r="EP76" i="6"/>
  <c r="Y64" i="6"/>
  <c r="R64" i="6"/>
  <c r="S64" i="6"/>
  <c r="T64" i="6"/>
  <c r="BO56" i="4"/>
  <c r="Y56" i="4" s="1"/>
  <c r="Y56" i="1" s="1"/>
  <c r="Y56" i="6"/>
  <c r="BQ56" i="6"/>
  <c r="BE56" i="4"/>
  <c r="O56" i="6"/>
  <c r="BF56" i="4"/>
  <c r="P56" i="4" s="1"/>
  <c r="P56" i="1" s="1"/>
  <c r="P56" i="6"/>
  <c r="Z41" i="6"/>
  <c r="W41" i="6"/>
  <c r="EW41" i="6"/>
  <c r="V35" i="6"/>
  <c r="S35" i="6"/>
  <c r="X35" i="6"/>
  <c r="AB35" i="6" s="1"/>
  <c r="BO29" i="6"/>
  <c r="Y31" i="6"/>
  <c r="BH29" i="6"/>
  <c r="R31" i="6"/>
  <c r="BE29" i="6"/>
  <c r="BQ31" i="6"/>
  <c r="O31" i="6"/>
  <c r="BJ29" i="6"/>
  <c r="T31" i="6"/>
  <c r="DA29" i="6"/>
  <c r="DF29" i="6"/>
  <c r="EQ29" i="6"/>
  <c r="EN29" i="6"/>
  <c r="ES29" i="6"/>
  <c r="BK27" i="6"/>
  <c r="U24" i="6"/>
  <c r="BP27" i="6"/>
  <c r="Z24" i="6"/>
  <c r="BM27" i="6"/>
  <c r="W24" i="6"/>
  <c r="BN27" i="6"/>
  <c r="X24" i="6"/>
  <c r="DA27" i="6"/>
  <c r="DF27" i="6"/>
  <c r="EV27" i="6"/>
  <c r="EO27" i="6"/>
  <c r="ET27" i="6"/>
  <c r="Y15" i="6"/>
  <c r="Q15" i="6"/>
  <c r="Z15" i="6"/>
  <c r="BQ15" i="6"/>
  <c r="O15" i="6"/>
  <c r="X15" i="6"/>
  <c r="R176" i="6"/>
  <c r="S176" i="6"/>
  <c r="T176" i="6"/>
  <c r="DG176" i="6"/>
  <c r="Y170" i="6"/>
  <c r="BQ170" i="6"/>
  <c r="O170" i="6"/>
  <c r="P170" i="6"/>
  <c r="Q161" i="6"/>
  <c r="P161" i="6"/>
  <c r="BK157" i="6"/>
  <c r="U158" i="6"/>
  <c r="BE157" i="6"/>
  <c r="BQ158" i="6"/>
  <c r="O158" i="6"/>
  <c r="BJ157" i="6"/>
  <c r="T158" i="6"/>
  <c r="DB157" i="6"/>
  <c r="EL157" i="6"/>
  <c r="CW157" i="6"/>
  <c r="EQ157" i="6"/>
  <c r="EU157" i="6"/>
  <c r="ER157" i="6"/>
  <c r="BO138" i="6"/>
  <c r="Y139" i="6"/>
  <c r="BP138" i="6"/>
  <c r="Z139" i="6"/>
  <c r="CX138" i="6"/>
  <c r="DF138" i="6"/>
  <c r="DG139" i="6"/>
  <c r="CU138" i="6"/>
  <c r="CZ138" i="6"/>
  <c r="DE138" i="6"/>
  <c r="ER138" i="6"/>
  <c r="EM138" i="6"/>
  <c r="Q108" i="6"/>
  <c r="V108" i="6"/>
  <c r="S108" i="6"/>
  <c r="T108" i="6"/>
  <c r="CV104" i="6"/>
  <c r="CZ104" i="6"/>
  <c r="DD104" i="6"/>
  <c r="CW104" i="6"/>
  <c r="DB104" i="6"/>
  <c r="DC104" i="6"/>
  <c r="EN104" i="6"/>
  <c r="EO104" i="6"/>
  <c r="ET104" i="6"/>
  <c r="Q99" i="6"/>
  <c r="Z99" i="6"/>
  <c r="W99" i="6"/>
  <c r="X99" i="6"/>
  <c r="EW99" i="6"/>
  <c r="U89" i="6"/>
  <c r="Z89" i="6"/>
  <c r="W89" i="6"/>
  <c r="X89" i="6"/>
  <c r="AB89" i="6" s="1"/>
  <c r="DG89" i="6"/>
  <c r="U40" i="6"/>
  <c r="R40" i="6"/>
  <c r="BQ40" i="6"/>
  <c r="O40" i="6"/>
  <c r="P40" i="6"/>
  <c r="Y26" i="6"/>
  <c r="DG26" i="6"/>
  <c r="W20" i="6"/>
  <c r="P20" i="6"/>
  <c r="EW20" i="6"/>
  <c r="U247" i="6"/>
  <c r="V247" i="6"/>
  <c r="S247" i="6"/>
  <c r="X247" i="6"/>
  <c r="R243" i="6"/>
  <c r="S243" i="6"/>
  <c r="T243" i="6"/>
  <c r="DG243" i="6"/>
  <c r="BO219" i="6"/>
  <c r="Y220" i="6"/>
  <c r="BQ220" i="6"/>
  <c r="BE219" i="6"/>
  <c r="O220" i="6"/>
  <c r="BJ219" i="6"/>
  <c r="T220" i="6"/>
  <c r="DF219" i="6"/>
  <c r="CV219" i="6"/>
  <c r="DA219" i="6"/>
  <c r="EP219" i="6"/>
  <c r="EN219" i="6"/>
  <c r="EO219" i="6"/>
  <c r="Y216" i="6"/>
  <c r="Z216" i="6"/>
  <c r="P216" i="6"/>
  <c r="EW216" i="6"/>
  <c r="BK209" i="6"/>
  <c r="U210" i="6"/>
  <c r="BP209" i="6"/>
  <c r="Z210" i="6"/>
  <c r="BF209" i="6"/>
  <c r="P210" i="6"/>
  <c r="DF209" i="6"/>
  <c r="DC209" i="6"/>
  <c r="EP209" i="6"/>
  <c r="EU209" i="6"/>
  <c r="EQ209" i="6"/>
  <c r="EK209" i="6"/>
  <c r="EW210" i="6"/>
  <c r="BO205" i="6"/>
  <c r="Y206" i="6"/>
  <c r="BP205" i="6"/>
  <c r="Z206" i="6"/>
  <c r="BM205" i="6"/>
  <c r="W206" i="6"/>
  <c r="CX205" i="6"/>
  <c r="DC205" i="6"/>
  <c r="CW205" i="6"/>
  <c r="ET205" i="6"/>
  <c r="EU205" i="6"/>
  <c r="EK205" i="6"/>
  <c r="EW206" i="6"/>
  <c r="Q202" i="6"/>
  <c r="V202" i="6"/>
  <c r="W202" i="6"/>
  <c r="U197" i="6"/>
  <c r="BQ197" i="6"/>
  <c r="O197" i="6"/>
  <c r="T197" i="6"/>
  <c r="BO193" i="6"/>
  <c r="Y194" i="6"/>
  <c r="BQ194" i="6"/>
  <c r="BE193" i="6"/>
  <c r="O194" i="6"/>
  <c r="BJ193" i="6"/>
  <c r="T194" i="6"/>
  <c r="DF193" i="6"/>
  <c r="CV193" i="6"/>
  <c r="CW193" i="6"/>
  <c r="EL193" i="6"/>
  <c r="EN193" i="6"/>
  <c r="EO193" i="6"/>
  <c r="Q190" i="6"/>
  <c r="BQ190" i="6"/>
  <c r="O190" i="6"/>
  <c r="P190" i="6"/>
  <c r="V186" i="6"/>
  <c r="W186" i="6"/>
  <c r="EW186" i="6"/>
  <c r="R181" i="6"/>
  <c r="BQ181" i="6"/>
  <c r="O181" i="6"/>
  <c r="T181" i="6"/>
  <c r="DG181" i="6"/>
  <c r="U177" i="6"/>
  <c r="BQ177" i="6"/>
  <c r="O177" i="6"/>
  <c r="T177" i="6"/>
  <c r="DF172" i="6"/>
  <c r="BL172" i="6"/>
  <c r="V173" i="6"/>
  <c r="BM172" i="6"/>
  <c r="W173" i="6"/>
  <c r="CX172" i="6"/>
  <c r="DC172" i="6"/>
  <c r="CW172" i="6"/>
  <c r="ET172" i="6"/>
  <c r="EU172" i="6"/>
  <c r="EK172" i="6"/>
  <c r="EW173" i="6"/>
  <c r="Y159" i="6"/>
  <c r="BQ159" i="6"/>
  <c r="O159" i="6"/>
  <c r="T159" i="6"/>
  <c r="Y152" i="6"/>
  <c r="BQ152" i="6"/>
  <c r="O152" i="6"/>
  <c r="T152" i="6"/>
  <c r="EW152" i="6"/>
  <c r="U149" i="6"/>
  <c r="V149" i="6"/>
  <c r="W149" i="6"/>
  <c r="DG149" i="6"/>
  <c r="BG146" i="6"/>
  <c r="Q147" i="6"/>
  <c r="BL146" i="6"/>
  <c r="V147" i="6"/>
  <c r="BI146" i="6"/>
  <c r="S147" i="6"/>
  <c r="BN146" i="6"/>
  <c r="X147" i="6"/>
  <c r="DF146" i="6"/>
  <c r="DD146" i="6"/>
  <c r="EP146" i="6"/>
  <c r="EN146" i="6"/>
  <c r="ES146" i="6"/>
  <c r="P143" i="6"/>
  <c r="Z140" i="6"/>
  <c r="P140" i="6"/>
  <c r="EW140" i="6"/>
  <c r="Q136" i="6"/>
  <c r="V136" i="6"/>
  <c r="W136" i="6"/>
  <c r="X136" i="6"/>
  <c r="Q132" i="6"/>
  <c r="V132" i="6"/>
  <c r="S132" i="6"/>
  <c r="T132" i="6"/>
  <c r="Q124" i="6"/>
  <c r="Z124" i="6"/>
  <c r="W124" i="6"/>
  <c r="X124" i="6"/>
  <c r="EW124" i="6"/>
  <c r="V120" i="6"/>
  <c r="S120" i="6"/>
  <c r="T120" i="6"/>
  <c r="Q112" i="6"/>
  <c r="V112" i="6"/>
  <c r="S112" i="6"/>
  <c r="T112" i="6"/>
  <c r="Z100" i="6"/>
  <c r="W100" i="6"/>
  <c r="DG100" i="6"/>
  <c r="EW100" i="6"/>
  <c r="Q97" i="6"/>
  <c r="R97" i="6"/>
  <c r="S97" i="6"/>
  <c r="T97" i="6"/>
  <c r="R93" i="6"/>
  <c r="S93" i="6"/>
  <c r="T93" i="6"/>
  <c r="U83" i="6"/>
  <c r="Z83" i="6"/>
  <c r="EW83" i="6"/>
  <c r="U80" i="6"/>
  <c r="Z80" i="6"/>
  <c r="S80" i="6"/>
  <c r="T80" i="6"/>
  <c r="Q69" i="6"/>
  <c r="V69" i="6"/>
  <c r="S69" i="6"/>
  <c r="T69" i="6"/>
  <c r="DG66" i="6"/>
  <c r="Q63" i="6"/>
  <c r="P63" i="6"/>
  <c r="CZ57" i="6"/>
  <c r="BP57" i="6"/>
  <c r="Z55" i="6"/>
  <c r="BM57" i="6"/>
  <c r="W55" i="6"/>
  <c r="CV57" i="6"/>
  <c r="CX57" i="6"/>
  <c r="CY57" i="6"/>
  <c r="EM57" i="6"/>
  <c r="EW55" i="6"/>
  <c r="EK57" i="6"/>
  <c r="EP57" i="6"/>
  <c r="BO54" i="6"/>
  <c r="Y51" i="6"/>
  <c r="BH54" i="6"/>
  <c r="R51" i="6"/>
  <c r="BI54" i="6"/>
  <c r="S51" i="6"/>
  <c r="BJ54" i="6"/>
  <c r="T51" i="6"/>
  <c r="DA54" i="6"/>
  <c r="DF54" i="6"/>
  <c r="DC54" i="6"/>
  <c r="EQ54" i="6"/>
  <c r="ES54" i="6"/>
  <c r="X45" i="6"/>
  <c r="Q34" i="6"/>
  <c r="U21" i="6"/>
  <c r="Z21" i="6"/>
  <c r="S21" i="6"/>
  <c r="P21" i="6"/>
  <c r="EW21" i="6"/>
  <c r="U19" i="6"/>
  <c r="R19" i="6"/>
  <c r="W19" i="6"/>
  <c r="P19" i="6"/>
  <c r="EW19" i="6"/>
  <c r="BO13" i="6"/>
  <c r="BO6" i="6" s="1"/>
  <c r="Y14" i="6"/>
  <c r="BH13" i="6"/>
  <c r="BH6" i="6" s="1"/>
  <c r="R14" i="6"/>
  <c r="DB13" i="6"/>
  <c r="DB6" i="6" s="1"/>
  <c r="BM13" i="6"/>
  <c r="BM6" i="6" s="1"/>
  <c r="W14" i="6"/>
  <c r="BF13" i="6"/>
  <c r="BF6" i="6" s="1"/>
  <c r="P14" i="6"/>
  <c r="CZ13" i="6"/>
  <c r="CZ6" i="6" s="1"/>
  <c r="EN13" i="6"/>
  <c r="EN6" i="6" s="1"/>
  <c r="EK13" i="6"/>
  <c r="EK6" i="6" s="1"/>
  <c r="EW14" i="6"/>
  <c r="EP13" i="6"/>
  <c r="EP6" i="6" s="1"/>
  <c r="U123" i="6"/>
  <c r="Z123" i="6"/>
  <c r="W123" i="6"/>
  <c r="X123" i="6"/>
  <c r="DG123" i="6"/>
  <c r="Q119" i="6"/>
  <c r="V119" i="6"/>
  <c r="S119" i="6"/>
  <c r="T119" i="6"/>
  <c r="P96" i="6"/>
  <c r="Y65" i="6"/>
  <c r="X65" i="6"/>
  <c r="AB65" i="6" s="1"/>
  <c r="DG65" i="6"/>
  <c r="EW65" i="6"/>
  <c r="BK53" i="4"/>
  <c r="U53" i="4" s="1"/>
  <c r="U53" i="1" s="1"/>
  <c r="U53" i="6"/>
  <c r="BH53" i="4"/>
  <c r="R53" i="4" s="1"/>
  <c r="R53" i="1" s="1"/>
  <c r="R53" i="6"/>
  <c r="BE53" i="4"/>
  <c r="BQ53" i="6"/>
  <c r="O53" i="6"/>
  <c r="BF53" i="4"/>
  <c r="P53" i="4" s="1"/>
  <c r="P53" i="1" s="1"/>
  <c r="P53" i="6"/>
  <c r="Q33" i="6"/>
  <c r="V33" i="6"/>
  <c r="S33" i="6"/>
  <c r="T33" i="6"/>
  <c r="X7" i="6"/>
  <c r="Y7" i="6"/>
  <c r="Z7" i="6"/>
  <c r="BQ7" i="6"/>
  <c r="O7" i="6"/>
  <c r="Y246" i="6"/>
  <c r="BQ246" i="6"/>
  <c r="O246" i="6"/>
  <c r="T246" i="6"/>
  <c r="BK241" i="6"/>
  <c r="EB79" i="23" s="1"/>
  <c r="U242" i="6"/>
  <c r="BP241" i="6"/>
  <c r="EB74" i="23" s="1"/>
  <c r="Z242" i="6"/>
  <c r="BF241" i="6"/>
  <c r="EB84" i="23" s="1"/>
  <c r="P242" i="6"/>
  <c r="DB241" i="6"/>
  <c r="EB114" i="23" s="1"/>
  <c r="DC241" i="6"/>
  <c r="CW241" i="6"/>
  <c r="EB119" i="23" s="1"/>
  <c r="ET241" i="6"/>
  <c r="EU241" i="6"/>
  <c r="EB147" i="23" s="1"/>
  <c r="EK241" i="6"/>
  <c r="EB157" i="23" s="1"/>
  <c r="EW242" i="6"/>
  <c r="Q229" i="6"/>
  <c r="V229" i="6"/>
  <c r="S229" i="6"/>
  <c r="X229" i="6"/>
  <c r="R226" i="6"/>
  <c r="S226" i="6"/>
  <c r="X226" i="6"/>
  <c r="DG226" i="6"/>
  <c r="BG214" i="6"/>
  <c r="Q215" i="6"/>
  <c r="BE214" i="6"/>
  <c r="BQ215" i="6"/>
  <c r="O215" i="6"/>
  <c r="BF214" i="6"/>
  <c r="P215" i="6"/>
  <c r="CX214" i="6"/>
  <c r="DC214" i="6"/>
  <c r="CW214" i="6"/>
  <c r="EU214" i="6"/>
  <c r="EN214" i="6"/>
  <c r="EO214" i="6"/>
  <c r="U212" i="6"/>
  <c r="Z212" i="6"/>
  <c r="P212" i="6"/>
  <c r="EW212" i="6"/>
  <c r="Q199" i="6"/>
  <c r="V199" i="6"/>
  <c r="W199" i="6"/>
  <c r="EW199" i="6"/>
  <c r="Y196" i="6"/>
  <c r="Z196" i="6"/>
  <c r="EW196" i="6"/>
  <c r="Q189" i="6"/>
  <c r="V189" i="6"/>
  <c r="W189" i="6"/>
  <c r="DG189" i="6"/>
  <c r="BH182" i="6"/>
  <c r="R183" i="6"/>
  <c r="BI182" i="6"/>
  <c r="S183" i="6"/>
  <c r="BJ182" i="6"/>
  <c r="T183" i="6"/>
  <c r="CU182" i="6"/>
  <c r="DG183" i="6"/>
  <c r="CV182" i="6"/>
  <c r="DA182" i="6"/>
  <c r="EQ182" i="6"/>
  <c r="ER182" i="6"/>
  <c r="ES182" i="6"/>
  <c r="Y180" i="6"/>
  <c r="BQ180" i="6"/>
  <c r="O180" i="6"/>
  <c r="T180" i="6"/>
  <c r="R245" i="6"/>
  <c r="S245" i="6"/>
  <c r="X245" i="6"/>
  <c r="BG227" i="6"/>
  <c r="Q228" i="6"/>
  <c r="BQ228" i="6"/>
  <c r="BE227" i="6"/>
  <c r="O228" i="6"/>
  <c r="BJ227" i="6"/>
  <c r="T228" i="6"/>
  <c r="CU227" i="6"/>
  <c r="DG228" i="6"/>
  <c r="CZ227" i="6"/>
  <c r="DE227" i="6"/>
  <c r="EQ227" i="6"/>
  <c r="ER227" i="6"/>
  <c r="ES227" i="6"/>
  <c r="Y225" i="6"/>
  <c r="BQ225" i="6"/>
  <c r="O225" i="6"/>
  <c r="T225" i="6"/>
  <c r="U222" i="6"/>
  <c r="Z222" i="6"/>
  <c r="W222" i="6"/>
  <c r="EW222" i="6"/>
  <c r="Q211" i="6"/>
  <c r="R211" i="6"/>
  <c r="S211" i="6"/>
  <c r="X211" i="6"/>
  <c r="R208" i="6"/>
  <c r="S208" i="6"/>
  <c r="T208" i="6"/>
  <c r="DG208" i="6"/>
  <c r="U204" i="6"/>
  <c r="Z204" i="6"/>
  <c r="P204" i="6"/>
  <c r="Y201" i="6"/>
  <c r="Z201" i="6"/>
  <c r="EW201" i="6"/>
  <c r="U198" i="6"/>
  <c r="Z198" i="6"/>
  <c r="P198" i="6"/>
  <c r="EW198" i="6"/>
  <c r="U195" i="6"/>
  <c r="V195" i="6"/>
  <c r="S195" i="6"/>
  <c r="X195" i="6"/>
  <c r="BQ192" i="6"/>
  <c r="O192" i="6"/>
  <c r="T192" i="6"/>
  <c r="DG192" i="6"/>
  <c r="BK187" i="6"/>
  <c r="U188" i="6"/>
  <c r="DF187" i="6"/>
  <c r="BF187" i="6"/>
  <c r="P188" i="6"/>
  <c r="DB187" i="6"/>
  <c r="CV187" i="6"/>
  <c r="DA187" i="6"/>
  <c r="EQ187" i="6"/>
  <c r="EN187" i="6"/>
  <c r="EO187" i="6"/>
  <c r="U185" i="6"/>
  <c r="Z185" i="6"/>
  <c r="P185" i="6"/>
  <c r="EW185" i="6"/>
  <c r="BK178" i="6"/>
  <c r="U179" i="6"/>
  <c r="BP178" i="6"/>
  <c r="Z179" i="6"/>
  <c r="BF178" i="6"/>
  <c r="P179" i="6"/>
  <c r="DB178" i="6"/>
  <c r="DC178" i="6"/>
  <c r="CW178" i="6"/>
  <c r="ET178" i="6"/>
  <c r="EQ178" i="6"/>
  <c r="EW179" i="6"/>
  <c r="EK178" i="6"/>
  <c r="Q175" i="6"/>
  <c r="V175" i="6"/>
  <c r="S175" i="6"/>
  <c r="X175" i="6"/>
  <c r="BQ160" i="6"/>
  <c r="O160" i="6"/>
  <c r="P160" i="6"/>
  <c r="Q154" i="6"/>
  <c r="BQ154" i="6"/>
  <c r="O154" i="6"/>
  <c r="P154" i="6"/>
  <c r="EW154" i="6"/>
  <c r="U148" i="6"/>
  <c r="Z148" i="6"/>
  <c r="DG148" i="6"/>
  <c r="Y145" i="6"/>
  <c r="V145" i="6"/>
  <c r="W145" i="6"/>
  <c r="Q142" i="6"/>
  <c r="V142" i="6"/>
  <c r="W142" i="6"/>
  <c r="BK133" i="6"/>
  <c r="U134" i="6"/>
  <c r="BH133" i="6"/>
  <c r="R134" i="6"/>
  <c r="BE133" i="6"/>
  <c r="BQ134" i="6"/>
  <c r="O134" i="6"/>
  <c r="BF133" i="6"/>
  <c r="P134" i="6"/>
  <c r="DA133" i="6"/>
  <c r="DF133" i="6"/>
  <c r="EL133" i="6"/>
  <c r="EP133" i="6"/>
  <c r="ES133" i="6"/>
  <c r="BG129" i="6"/>
  <c r="Q130" i="6"/>
  <c r="DD129" i="6"/>
  <c r="BF129" i="6"/>
  <c r="P130" i="6"/>
  <c r="CW129" i="6"/>
  <c r="DB129" i="6"/>
  <c r="DC129" i="6"/>
  <c r="ET129" i="6"/>
  <c r="EO129" i="6"/>
  <c r="EU129" i="6"/>
  <c r="Z126" i="6"/>
  <c r="EW126" i="6"/>
  <c r="Q122" i="6"/>
  <c r="V122" i="6"/>
  <c r="W122" i="6"/>
  <c r="X122" i="6"/>
  <c r="Y118" i="6"/>
  <c r="R118" i="6"/>
  <c r="S118" i="6"/>
  <c r="T118" i="6"/>
  <c r="U111" i="6"/>
  <c r="BQ111" i="6"/>
  <c r="O111" i="6"/>
  <c r="P111" i="6"/>
  <c r="Y107" i="6"/>
  <c r="Z107" i="6"/>
  <c r="DG107" i="6"/>
  <c r="EW107" i="6"/>
  <c r="U102" i="6"/>
  <c r="Z102" i="6"/>
  <c r="S102" i="6"/>
  <c r="T102" i="6"/>
  <c r="U95" i="6"/>
  <c r="R95" i="6"/>
  <c r="BQ95" i="6"/>
  <c r="O95" i="6"/>
  <c r="P95" i="6"/>
  <c r="CV90" i="6"/>
  <c r="CZ90" i="6"/>
  <c r="DD90" i="6"/>
  <c r="CW90" i="6"/>
  <c r="DB90" i="6"/>
  <c r="DC90" i="6"/>
  <c r="EN90" i="6"/>
  <c r="EO90" i="6"/>
  <c r="ET90" i="6"/>
  <c r="DD87" i="6"/>
  <c r="BP87" i="6"/>
  <c r="Z88" i="6"/>
  <c r="CV87" i="6"/>
  <c r="CZ87" i="6"/>
  <c r="CX87" i="6"/>
  <c r="DG88" i="6"/>
  <c r="CU87" i="6"/>
  <c r="EM87" i="6"/>
  <c r="EW88" i="6"/>
  <c r="EK87" i="6"/>
  <c r="EP87" i="6"/>
  <c r="V85" i="6"/>
  <c r="S85" i="6"/>
  <c r="T85" i="6"/>
  <c r="DG85" i="6"/>
  <c r="U82" i="6"/>
  <c r="R82" i="6"/>
  <c r="BQ82" i="6"/>
  <c r="O82" i="6"/>
  <c r="T82" i="6"/>
  <c r="U78" i="6"/>
  <c r="R78" i="6"/>
  <c r="BQ78" i="6"/>
  <c r="O78" i="6"/>
  <c r="T78" i="6"/>
  <c r="Q67" i="6"/>
  <c r="P67" i="6"/>
  <c r="BO60" i="6"/>
  <c r="Y61" i="6"/>
  <c r="CV60" i="6"/>
  <c r="CZ60" i="6"/>
  <c r="DD60" i="6"/>
  <c r="CX60" i="6"/>
  <c r="DG61" i="6"/>
  <c r="CU60" i="6"/>
  <c r="EM60" i="6"/>
  <c r="EK60" i="6"/>
  <c r="EW61" i="6"/>
  <c r="EP60" i="6"/>
  <c r="BK52" i="4"/>
  <c r="U52" i="4" s="1"/>
  <c r="U52" i="1" s="1"/>
  <c r="U52" i="6"/>
  <c r="BP52" i="4"/>
  <c r="Z52" i="4" s="1"/>
  <c r="Z52" i="1" s="1"/>
  <c r="Z52" i="6"/>
  <c r="BM52" i="4"/>
  <c r="W52" i="6"/>
  <c r="BN52" i="4"/>
  <c r="X52" i="4" s="1"/>
  <c r="X52" i="1" s="1"/>
  <c r="X52" i="6"/>
  <c r="AB52" i="6" s="1"/>
  <c r="Y46" i="6"/>
  <c r="R46" i="6"/>
  <c r="BQ46" i="6"/>
  <c r="O46" i="6"/>
  <c r="T46" i="6"/>
  <c r="R44" i="6"/>
  <c r="BQ44" i="6"/>
  <c r="O44" i="6"/>
  <c r="P44" i="6"/>
  <c r="U42" i="6"/>
  <c r="DG42" i="6"/>
  <c r="EQ38" i="6"/>
  <c r="F151" i="23" s="1"/>
  <c r="CV38" i="6"/>
  <c r="F120" i="23" s="1"/>
  <c r="CZ38" i="6"/>
  <c r="F116" i="23" s="1"/>
  <c r="DD38" i="6"/>
  <c r="CX38" i="6"/>
  <c r="F118" i="23" s="1"/>
  <c r="CY38" i="6"/>
  <c r="F117" i="23" s="1"/>
  <c r="EU38" i="6"/>
  <c r="F147" i="23" s="1"/>
  <c r="EO38" i="6"/>
  <c r="F153" i="23" s="1"/>
  <c r="Z36" i="6"/>
  <c r="DG36" i="6"/>
  <c r="EW36" i="6"/>
  <c r="Q32" i="6"/>
  <c r="V32" i="6"/>
  <c r="W32" i="6"/>
  <c r="T32" i="6"/>
  <c r="Q25" i="6"/>
  <c r="R25" i="6"/>
  <c r="W25" i="6"/>
  <c r="T25" i="6"/>
  <c r="R168" i="6"/>
  <c r="BQ168" i="6"/>
  <c r="O168" i="6"/>
  <c r="T168" i="6"/>
  <c r="DG168" i="6"/>
  <c r="R166" i="6"/>
  <c r="S166" i="6"/>
  <c r="X166" i="6"/>
  <c r="BH150" i="6"/>
  <c r="R151" i="6"/>
  <c r="BE150" i="6"/>
  <c r="BQ151" i="6"/>
  <c r="O151" i="6"/>
  <c r="BF150" i="6"/>
  <c r="P151" i="6"/>
  <c r="DB150" i="6"/>
  <c r="CV150" i="6"/>
  <c r="DA150" i="6"/>
  <c r="EV150" i="6"/>
  <c r="EO150" i="6"/>
  <c r="EU150" i="6"/>
  <c r="Q135" i="6"/>
  <c r="Z135" i="6"/>
  <c r="W135" i="6"/>
  <c r="DG135" i="6"/>
  <c r="EW135" i="6"/>
  <c r="R131" i="6"/>
  <c r="S131" i="6"/>
  <c r="T131" i="6"/>
  <c r="Q127" i="6"/>
  <c r="V127" i="6"/>
  <c r="S127" i="6"/>
  <c r="T127" i="6"/>
  <c r="Q92" i="6"/>
  <c r="P92" i="6"/>
  <c r="Z86" i="6"/>
  <c r="W86" i="6"/>
  <c r="DG86" i="6"/>
  <c r="EW86" i="6"/>
  <c r="Q79" i="6"/>
  <c r="V79" i="6"/>
  <c r="W79" i="6"/>
  <c r="X79" i="6"/>
  <c r="R68" i="6"/>
  <c r="S68" i="6"/>
  <c r="T68" i="6"/>
  <c r="W62" i="6"/>
  <c r="X62" i="6"/>
  <c r="R16" i="6"/>
  <c r="W16" i="6"/>
  <c r="P16" i="6"/>
  <c r="EW16" i="6"/>
  <c r="Z244" i="6"/>
  <c r="P244" i="6"/>
  <c r="BG223" i="6"/>
  <c r="Q224" i="6"/>
  <c r="BN223" i="6"/>
  <c r="BR223" i="6" s="1"/>
  <c r="X224" i="6"/>
  <c r="EQ223" i="6"/>
  <c r="T221" i="6"/>
  <c r="P213" i="6"/>
  <c r="Z207" i="6"/>
  <c r="V203" i="6"/>
  <c r="T200" i="6"/>
  <c r="V191" i="6"/>
  <c r="S184" i="6"/>
  <c r="Y174" i="6"/>
  <c r="U171" i="6"/>
  <c r="Z171" i="6"/>
  <c r="Z169" i="6"/>
  <c r="U167" i="6"/>
  <c r="EW167" i="6"/>
  <c r="BK164" i="6"/>
  <c r="U165" i="6"/>
  <c r="BF164" i="6"/>
  <c r="P165" i="6"/>
  <c r="CW164" i="6"/>
  <c r="ET164" i="6"/>
  <c r="P153" i="6"/>
  <c r="DG144" i="6"/>
  <c r="Y141" i="6"/>
  <c r="W141" i="6"/>
  <c r="S137" i="6"/>
  <c r="Q125" i="6"/>
  <c r="P125" i="6"/>
  <c r="Z121" i="6"/>
  <c r="BI116" i="6"/>
  <c r="S117" i="6"/>
  <c r="CU116" i="6"/>
  <c r="DG117" i="6"/>
  <c r="EV116" i="6"/>
  <c r="R113" i="6"/>
  <c r="P113" i="6"/>
  <c r="Z106" i="6"/>
  <c r="W101" i="6"/>
  <c r="DG101" i="6"/>
  <c r="S98" i="6"/>
  <c r="V94" i="6"/>
  <c r="R84" i="6"/>
  <c r="BQ84" i="6"/>
  <c r="O84" i="6"/>
  <c r="Z81" i="6"/>
  <c r="X81" i="6"/>
  <c r="EU76" i="6"/>
  <c r="BF76" i="6"/>
  <c r="P77" i="6"/>
  <c r="EM76" i="6"/>
  <c r="EL76" i="6"/>
  <c r="BQ64" i="6"/>
  <c r="O64" i="6"/>
  <c r="BK56" i="4"/>
  <c r="U56" i="4" s="1"/>
  <c r="U56" i="1" s="1"/>
  <c r="U56" i="6"/>
  <c r="CU56" i="4"/>
  <c r="DG56" i="4" s="1"/>
  <c r="DG56" i="6"/>
  <c r="S41" i="6"/>
  <c r="DG41" i="6"/>
  <c r="BQ35" i="6"/>
  <c r="O35" i="6"/>
  <c r="BG29" i="6"/>
  <c r="Q31" i="6"/>
  <c r="CW29" i="6"/>
  <c r="DC29" i="6"/>
  <c r="BI27" i="6"/>
  <c r="S24" i="6"/>
  <c r="DB27" i="6"/>
  <c r="EK27" i="6"/>
  <c r="EW24" i="6"/>
  <c r="U15" i="6"/>
  <c r="V15" i="6"/>
  <c r="T15" i="6"/>
  <c r="U170" i="6"/>
  <c r="Z161" i="6"/>
  <c r="BF157" i="6"/>
  <c r="P158" i="6"/>
  <c r="DD157" i="6"/>
  <c r="EP157" i="6"/>
  <c r="BM138" i="6"/>
  <c r="W139" i="6"/>
  <c r="EL138" i="6"/>
  <c r="ES138" i="6"/>
  <c r="BQ108" i="6"/>
  <c r="O108" i="6"/>
  <c r="BP104" i="6"/>
  <c r="Z105" i="6"/>
  <c r="BN104" i="6"/>
  <c r="BR104" i="6" s="1"/>
  <c r="X105" i="6"/>
  <c r="CY104" i="6"/>
  <c r="EP104" i="6"/>
  <c r="S99" i="6"/>
  <c r="DG99" i="6"/>
  <c r="V89" i="6"/>
  <c r="Z26" i="6"/>
  <c r="Z20" i="6"/>
  <c r="BQ247" i="6"/>
  <c r="O247" i="6"/>
  <c r="BQ243" i="6"/>
  <c r="O243" i="6"/>
  <c r="BK219" i="6"/>
  <c r="U220" i="6"/>
  <c r="DB219" i="6"/>
  <c r="ET219" i="6"/>
  <c r="EX219" i="6" s="1"/>
  <c r="EK219" i="6"/>
  <c r="EW220" i="6"/>
  <c r="BM209" i="6"/>
  <c r="W210" i="6"/>
  <c r="DB209" i="6"/>
  <c r="DE209" i="6"/>
  <c r="ET209" i="6"/>
  <c r="BL205" i="6"/>
  <c r="V206" i="6"/>
  <c r="DD205" i="6"/>
  <c r="EV205" i="6"/>
  <c r="S202" i="6"/>
  <c r="DG202" i="6"/>
  <c r="Y197" i="6"/>
  <c r="BK193" i="6"/>
  <c r="U194" i="6"/>
  <c r="DB193" i="6"/>
  <c r="ET193" i="6"/>
  <c r="Y190" i="6"/>
  <c r="Y186" i="6"/>
  <c r="S186" i="6"/>
  <c r="Z177" i="6"/>
  <c r="BO172" i="6"/>
  <c r="Y173" i="6"/>
  <c r="BN172" i="6"/>
  <c r="BR172" i="6" s="1"/>
  <c r="X173" i="6"/>
  <c r="EP172" i="6"/>
  <c r="U159" i="6"/>
  <c r="P159" i="6"/>
  <c r="EW159" i="6"/>
  <c r="Z152" i="6"/>
  <c r="R149" i="6"/>
  <c r="BH146" i="6"/>
  <c r="R147" i="6"/>
  <c r="BJ146" i="6"/>
  <c r="T147" i="6"/>
  <c r="DE146" i="6"/>
  <c r="EU146" i="6"/>
  <c r="W143" i="6"/>
  <c r="W140" i="6"/>
  <c r="S136" i="6"/>
  <c r="BQ132" i="6"/>
  <c r="O132" i="6"/>
  <c r="W128" i="6"/>
  <c r="EW128" i="6"/>
  <c r="V124" i="6"/>
  <c r="R120" i="6"/>
  <c r="R112" i="6"/>
  <c r="Y109" i="6"/>
  <c r="X109" i="6"/>
  <c r="EW109" i="6"/>
  <c r="V100" i="6"/>
  <c r="BQ93" i="6"/>
  <c r="O93" i="6"/>
  <c r="P93" i="6"/>
  <c r="Q83" i="6"/>
  <c r="W83" i="6"/>
  <c r="DG83" i="6"/>
  <c r="BQ69" i="6"/>
  <c r="O69" i="6"/>
  <c r="Z66" i="6"/>
  <c r="X66" i="6"/>
  <c r="AB66" i="6" s="1"/>
  <c r="U63" i="6"/>
  <c r="BK57" i="6"/>
  <c r="U55" i="6"/>
  <c r="BN57" i="6"/>
  <c r="BR57" i="6" s="1"/>
  <c r="X55" i="6"/>
  <c r="CU57" i="6"/>
  <c r="DG55" i="6"/>
  <c r="EL57" i="6"/>
  <c r="BE54" i="6"/>
  <c r="BQ51" i="6"/>
  <c r="O51" i="6"/>
  <c r="DB54" i="6"/>
  <c r="EO54" i="6"/>
  <c r="Y45" i="6"/>
  <c r="T45" i="6"/>
  <c r="DG45" i="6"/>
  <c r="W34" i="6"/>
  <c r="DG34" i="6"/>
  <c r="CX13" i="6"/>
  <c r="CX6" i="6" s="1"/>
  <c r="CV13" i="6"/>
  <c r="CV6" i="6" s="1"/>
  <c r="EU13" i="6"/>
  <c r="EU6" i="6" s="1"/>
  <c r="EL13" i="6"/>
  <c r="EL6" i="6" s="1"/>
  <c r="S123" i="6"/>
  <c r="BQ119" i="6"/>
  <c r="O119" i="6"/>
  <c r="Z96" i="6"/>
  <c r="EW96" i="6"/>
  <c r="W65" i="6"/>
  <c r="BG53" i="4"/>
  <c r="Q53" i="4" s="1"/>
  <c r="Q53" i="1" s="1"/>
  <c r="Q53" i="6"/>
  <c r="DG53" i="6"/>
  <c r="CU53" i="4"/>
  <c r="DG53" i="4" s="1"/>
  <c r="P33" i="6"/>
  <c r="Q7" i="6"/>
  <c r="P246" i="6"/>
  <c r="EW246" i="6"/>
  <c r="BL241" i="6"/>
  <c r="EB78" i="23" s="1"/>
  <c r="V242" i="6"/>
  <c r="DD241" i="6"/>
  <c r="EV241" i="6"/>
  <c r="EB146" i="23" s="1"/>
  <c r="BQ229" i="6"/>
  <c r="O229" i="6"/>
  <c r="DG229" i="6"/>
  <c r="BQ226" i="6"/>
  <c r="O226" i="6"/>
  <c r="T226" i="6"/>
  <c r="BP214" i="6"/>
  <c r="Z215" i="6"/>
  <c r="DD214" i="6"/>
  <c r="EK214" i="6"/>
  <c r="EW215" i="6"/>
  <c r="V212" i="6"/>
  <c r="S199" i="6"/>
  <c r="V196" i="6"/>
  <c r="X196" i="6"/>
  <c r="S189" i="6"/>
  <c r="BK182" i="6"/>
  <c r="U183" i="6"/>
  <c r="DB182" i="6"/>
  <c r="EL182" i="6"/>
  <c r="U245" i="6"/>
  <c r="T245" i="6"/>
  <c r="BF227" i="6"/>
  <c r="P228" i="6"/>
  <c r="DA227" i="6"/>
  <c r="EO227" i="6"/>
  <c r="P225" i="6"/>
  <c r="EW225" i="6"/>
  <c r="S222" i="6"/>
  <c r="T211" i="6"/>
  <c r="V204" i="6"/>
  <c r="V201" i="6"/>
  <c r="V198" i="6"/>
  <c r="R195" i="6"/>
  <c r="DG195" i="6"/>
  <c r="U192" i="6"/>
  <c r="P192" i="6"/>
  <c r="BP187" i="6"/>
  <c r="Z188" i="6"/>
  <c r="DC187" i="6"/>
  <c r="EU187" i="6"/>
  <c r="V185" i="6"/>
  <c r="BL178" i="6"/>
  <c r="V179" i="6"/>
  <c r="CY178" i="6"/>
  <c r="EM178" i="6"/>
  <c r="R175" i="6"/>
  <c r="DG175" i="6"/>
  <c r="Y160" i="6"/>
  <c r="Z160" i="6"/>
  <c r="Z154" i="6"/>
  <c r="W148" i="6"/>
  <c r="S145" i="6"/>
  <c r="BG133" i="6"/>
  <c r="Q134" i="6"/>
  <c r="CZ133" i="6"/>
  <c r="DB133" i="6"/>
  <c r="EU133" i="6"/>
  <c r="BM129" i="6"/>
  <c r="W130" i="6"/>
  <c r="CY129" i="6"/>
  <c r="EQ129" i="6"/>
  <c r="W126" i="6"/>
  <c r="DG126" i="6"/>
  <c r="S122" i="6"/>
  <c r="U118" i="6"/>
  <c r="Q111" i="6"/>
  <c r="DG111" i="6"/>
  <c r="EW111" i="6"/>
  <c r="V107" i="6"/>
  <c r="BQ102" i="6"/>
  <c r="O102" i="6"/>
  <c r="BM90" i="6"/>
  <c r="W91" i="6"/>
  <c r="CY90" i="6"/>
  <c r="EK90" i="6"/>
  <c r="EW91" i="6"/>
  <c r="BL87" i="6"/>
  <c r="V88" i="6"/>
  <c r="DE87" i="6"/>
  <c r="EL87" i="6"/>
  <c r="BQ85" i="6"/>
  <c r="O85" i="6"/>
  <c r="Q82" i="6"/>
  <c r="P78" i="6"/>
  <c r="W67" i="6"/>
  <c r="EW67" i="6"/>
  <c r="BP60" i="6"/>
  <c r="Z61" i="6"/>
  <c r="DE60" i="6"/>
  <c r="ER60" i="6"/>
  <c r="BG52" i="4"/>
  <c r="Q52" i="4" s="1"/>
  <c r="Q52" i="1" s="1"/>
  <c r="Q52" i="6"/>
  <c r="BI52" i="4"/>
  <c r="S52" i="4" s="1"/>
  <c r="S52" i="1" s="1"/>
  <c r="S52" i="6"/>
  <c r="Y44" i="6"/>
  <c r="DG44" i="6"/>
  <c r="W42" i="6"/>
  <c r="BM38" i="6"/>
  <c r="W39" i="6"/>
  <c r="DE38" i="6"/>
  <c r="F111" i="23" s="1"/>
  <c r="EW39" i="6"/>
  <c r="EK38" i="6"/>
  <c r="F157" i="23" s="1"/>
  <c r="V36" i="6"/>
  <c r="Y32" i="6"/>
  <c r="Y25" i="6"/>
  <c r="EW168" i="6"/>
  <c r="BQ166" i="6"/>
  <c r="O166" i="6"/>
  <c r="T166" i="6"/>
  <c r="DF150" i="6"/>
  <c r="AO27" i="6"/>
  <c r="R244" i="6"/>
  <c r="X244" i="6"/>
  <c r="DG244" i="6"/>
  <c r="BE223" i="6"/>
  <c r="BQ224" i="6"/>
  <c r="O224" i="6"/>
  <c r="BF223" i="6"/>
  <c r="P224" i="6"/>
  <c r="CV223" i="6"/>
  <c r="ET223" i="6"/>
  <c r="EO223" i="6"/>
  <c r="V221" i="6"/>
  <c r="W221" i="6"/>
  <c r="V213" i="6"/>
  <c r="X213" i="6"/>
  <c r="R207" i="6"/>
  <c r="X207" i="6"/>
  <c r="DG207" i="6"/>
  <c r="Y203" i="6"/>
  <c r="T203" i="6"/>
  <c r="Y200" i="6"/>
  <c r="W200" i="6"/>
  <c r="EW200" i="6"/>
  <c r="BQ191" i="6"/>
  <c r="O191" i="6"/>
  <c r="Z184" i="6"/>
  <c r="P184" i="6"/>
  <c r="Q174" i="6"/>
  <c r="W174" i="6"/>
  <c r="R171" i="6"/>
  <c r="S171" i="6"/>
  <c r="X171" i="6"/>
  <c r="R169" i="6"/>
  <c r="S169" i="6"/>
  <c r="X169" i="6"/>
  <c r="DG169" i="6"/>
  <c r="BQ167" i="6"/>
  <c r="O167" i="6"/>
  <c r="T167" i="6"/>
  <c r="DG167" i="6"/>
  <c r="BH164" i="6"/>
  <c r="R165" i="6"/>
  <c r="BI164" i="6"/>
  <c r="S165" i="6"/>
  <c r="BN164" i="6"/>
  <c r="X165" i="6"/>
  <c r="DG165" i="6"/>
  <c r="CU164" i="6"/>
  <c r="CZ164" i="6"/>
  <c r="DE164" i="6"/>
  <c r="EQ164" i="6"/>
  <c r="EP164" i="6"/>
  <c r="EV164" i="6"/>
  <c r="R162" i="6"/>
  <c r="S162" i="6"/>
  <c r="T162" i="6"/>
  <c r="DG162" i="6"/>
  <c r="U153" i="6"/>
  <c r="V153" i="6"/>
  <c r="S153" i="6"/>
  <c r="X153" i="6"/>
  <c r="U144" i="6"/>
  <c r="V144" i="6"/>
  <c r="S144" i="6"/>
  <c r="T144" i="6"/>
  <c r="R141" i="6"/>
  <c r="BQ141" i="6"/>
  <c r="O141" i="6"/>
  <c r="P141" i="6"/>
  <c r="Y137" i="6"/>
  <c r="P137" i="6"/>
  <c r="EW137" i="6"/>
  <c r="V125" i="6"/>
  <c r="S125" i="6"/>
  <c r="X125" i="6"/>
  <c r="Y121" i="6"/>
  <c r="R121" i="6"/>
  <c r="BQ121" i="6"/>
  <c r="O121" i="6"/>
  <c r="T121" i="6"/>
  <c r="CZ116" i="6"/>
  <c r="DD116" i="6"/>
  <c r="BF116" i="6"/>
  <c r="P117" i="6"/>
  <c r="CW116" i="6"/>
  <c r="DB116" i="6"/>
  <c r="DC116" i="6"/>
  <c r="ET116" i="6"/>
  <c r="EO116" i="6"/>
  <c r="EU116" i="6"/>
  <c r="Y113" i="6"/>
  <c r="Z113" i="6"/>
  <c r="W113" i="6"/>
  <c r="X113" i="6"/>
  <c r="EW113" i="6"/>
  <c r="V110" i="6"/>
  <c r="S110" i="6"/>
  <c r="T110" i="6"/>
  <c r="U106" i="6"/>
  <c r="R106" i="6"/>
  <c r="BQ106" i="6"/>
  <c r="O106" i="6"/>
  <c r="T106" i="6"/>
  <c r="BQ101" i="6"/>
  <c r="O101" i="6"/>
  <c r="P101" i="6"/>
  <c r="Y98" i="6"/>
  <c r="DG98" i="6"/>
  <c r="EW98" i="6"/>
  <c r="Y94" i="6"/>
  <c r="DG94" i="6"/>
  <c r="EW94" i="6"/>
  <c r="U84" i="6"/>
  <c r="Z84" i="6"/>
  <c r="W84" i="6"/>
  <c r="T84" i="6"/>
  <c r="U81" i="6"/>
  <c r="R81" i="6"/>
  <c r="BQ81" i="6"/>
  <c r="O81" i="6"/>
  <c r="P81" i="6"/>
  <c r="CV76" i="6"/>
  <c r="BP76" i="6"/>
  <c r="Z77" i="6"/>
  <c r="BM76" i="6"/>
  <c r="W77" i="6"/>
  <c r="BN76" i="6"/>
  <c r="BR76" i="6" s="1"/>
  <c r="X77" i="6"/>
  <c r="CX76" i="6"/>
  <c r="CY76" i="6"/>
  <c r="EV76" i="6"/>
  <c r="EO76" i="6"/>
  <c r="ET76" i="6"/>
  <c r="Q64" i="6"/>
  <c r="V64" i="6"/>
  <c r="W64" i="6"/>
  <c r="X64" i="6"/>
  <c r="BH56" i="4"/>
  <c r="R56" i="4" s="1"/>
  <c r="R56" i="1" s="1"/>
  <c r="R56" i="6"/>
  <c r="BI56" i="4"/>
  <c r="S56" i="4" s="1"/>
  <c r="S56" i="1" s="1"/>
  <c r="S56" i="6"/>
  <c r="BJ56" i="4"/>
  <c r="T56" i="4" s="1"/>
  <c r="T56" i="1" s="1"/>
  <c r="T56" i="6"/>
  <c r="Q41" i="6"/>
  <c r="P41" i="6"/>
  <c r="U35" i="6"/>
  <c r="Z35" i="6"/>
  <c r="W35" i="6"/>
  <c r="DG35" i="6"/>
  <c r="EW35" i="6"/>
  <c r="CZ29" i="6"/>
  <c r="BL29" i="6"/>
  <c r="V31" i="6"/>
  <c r="BI29" i="6"/>
  <c r="S31" i="6"/>
  <c r="BN29" i="6"/>
  <c r="BR29" i="6" s="1"/>
  <c r="X31" i="6"/>
  <c r="DE29" i="6"/>
  <c r="CU29" i="6"/>
  <c r="DG31" i="6"/>
  <c r="ER29" i="6"/>
  <c r="EV29" i="6"/>
  <c r="EL29" i="6"/>
  <c r="BO27" i="6"/>
  <c r="Y24" i="6"/>
  <c r="DD27" i="6"/>
  <c r="CY27" i="6"/>
  <c r="CZ27" i="6"/>
  <c r="CU27" i="6"/>
  <c r="DG24" i="6"/>
  <c r="DE27" i="6"/>
  <c r="EM27" i="6"/>
  <c r="EQ27" i="6"/>
  <c r="ES27" i="6"/>
  <c r="S15" i="6"/>
  <c r="Y176" i="6"/>
  <c r="V176" i="6"/>
  <c r="W176" i="6"/>
  <c r="X176" i="6"/>
  <c r="R170" i="6"/>
  <c r="S170" i="6"/>
  <c r="T170" i="6"/>
  <c r="DG170" i="6"/>
  <c r="R161" i="6"/>
  <c r="BQ161" i="6"/>
  <c r="O161" i="6"/>
  <c r="T161" i="6"/>
  <c r="DG161" i="6"/>
  <c r="BH157" i="6"/>
  <c r="R158" i="6"/>
  <c r="BI157" i="6"/>
  <c r="S158" i="6"/>
  <c r="BN157" i="6"/>
  <c r="BR157" i="6" s="1"/>
  <c r="X158" i="6"/>
  <c r="CU157" i="6"/>
  <c r="DG158" i="6"/>
  <c r="CV157" i="6"/>
  <c r="DA157" i="6"/>
  <c r="ET157" i="6"/>
  <c r="EM157" i="6"/>
  <c r="EV157" i="6"/>
  <c r="BG138" i="6"/>
  <c r="Q139" i="6"/>
  <c r="BQ139" i="6"/>
  <c r="BE138" i="6"/>
  <c r="O139" i="6"/>
  <c r="BF138" i="6"/>
  <c r="P139" i="6"/>
  <c r="CY138" i="6"/>
  <c r="DC138" i="6"/>
  <c r="DD138" i="6"/>
  <c r="EN138" i="6"/>
  <c r="EW139" i="6"/>
  <c r="EK138" i="6"/>
  <c r="EQ138" i="6"/>
  <c r="U108" i="6"/>
  <c r="Z108" i="6"/>
  <c r="W108" i="6"/>
  <c r="X108" i="6"/>
  <c r="DG108" i="6"/>
  <c r="BK104" i="6"/>
  <c r="U105" i="6"/>
  <c r="BH104" i="6"/>
  <c r="R105" i="6"/>
  <c r="BQ105" i="6"/>
  <c r="BE104" i="6"/>
  <c r="O105" i="6"/>
  <c r="BF104" i="6"/>
  <c r="P105" i="6"/>
  <c r="DA104" i="6"/>
  <c r="DF104" i="6"/>
  <c r="EM104" i="6"/>
  <c r="ER104" i="6"/>
  <c r="ES104" i="6"/>
  <c r="Y99" i="6"/>
  <c r="Y89" i="6"/>
  <c r="EW89" i="6"/>
  <c r="Q40" i="6"/>
  <c r="V40" i="6"/>
  <c r="S40" i="6"/>
  <c r="T40" i="6"/>
  <c r="U26" i="6"/>
  <c r="R26" i="6"/>
  <c r="BQ26" i="6"/>
  <c r="O26" i="6"/>
  <c r="P26" i="6"/>
  <c r="Y20" i="6"/>
  <c r="R20" i="6"/>
  <c r="DG20" i="6"/>
  <c r="T20" i="6"/>
  <c r="Q247" i="6"/>
  <c r="Z247" i="6"/>
  <c r="W247" i="6"/>
  <c r="EW247" i="6"/>
  <c r="U243" i="6"/>
  <c r="V243" i="6"/>
  <c r="W243" i="6"/>
  <c r="X243" i="6"/>
  <c r="BH219" i="6"/>
  <c r="R220" i="6"/>
  <c r="BI219" i="6"/>
  <c r="S220" i="6"/>
  <c r="BN219" i="6"/>
  <c r="X220" i="6"/>
  <c r="CU219" i="6"/>
  <c r="DG220" i="6"/>
  <c r="CZ219" i="6"/>
  <c r="DE219" i="6"/>
  <c r="EL219" i="6"/>
  <c r="ER219" i="6"/>
  <c r="ES219" i="6"/>
  <c r="U216" i="6"/>
  <c r="BQ216" i="6"/>
  <c r="O216" i="6"/>
  <c r="T216" i="6"/>
  <c r="BG209" i="6"/>
  <c r="Q210" i="6"/>
  <c r="BQ210" i="6"/>
  <c r="BE209" i="6"/>
  <c r="O210" i="6"/>
  <c r="BJ209" i="6"/>
  <c r="T210" i="6"/>
  <c r="CX209" i="6"/>
  <c r="CV209" i="6"/>
  <c r="CW209" i="6"/>
  <c r="EL209" i="6"/>
  <c r="EN209" i="6"/>
  <c r="EO209" i="6"/>
  <c r="BK205" i="6"/>
  <c r="U206" i="6"/>
  <c r="DF205" i="6"/>
  <c r="BF205" i="6"/>
  <c r="P206" i="6"/>
  <c r="DB205" i="6"/>
  <c r="CV205" i="6"/>
  <c r="DA205" i="6"/>
  <c r="EQ205" i="6"/>
  <c r="EN205" i="6"/>
  <c r="EO205" i="6"/>
  <c r="U202" i="6"/>
  <c r="Z202" i="6"/>
  <c r="P202" i="6"/>
  <c r="EW202" i="6"/>
  <c r="R197" i="6"/>
  <c r="S197" i="6"/>
  <c r="X197" i="6"/>
  <c r="BH193" i="6"/>
  <c r="R194" i="6"/>
  <c r="BI193" i="6"/>
  <c r="S194" i="6"/>
  <c r="BN193" i="6"/>
  <c r="X194" i="6"/>
  <c r="DG194" i="6"/>
  <c r="CU193" i="6"/>
  <c r="CZ193" i="6"/>
  <c r="DA193" i="6"/>
  <c r="EU193" i="6"/>
  <c r="ER193" i="6"/>
  <c r="ES193" i="6"/>
  <c r="R190" i="6"/>
  <c r="S190" i="6"/>
  <c r="T190" i="6"/>
  <c r="DG190" i="6"/>
  <c r="U186" i="6"/>
  <c r="Z186" i="6"/>
  <c r="P186" i="6"/>
  <c r="Y181" i="6"/>
  <c r="V181" i="6"/>
  <c r="S181" i="6"/>
  <c r="X181" i="6"/>
  <c r="R177" i="6"/>
  <c r="S177" i="6"/>
  <c r="X177" i="6"/>
  <c r="DG177" i="6"/>
  <c r="BG172" i="6"/>
  <c r="Q173" i="6"/>
  <c r="BP172" i="6"/>
  <c r="Z173" i="6"/>
  <c r="BF172" i="6"/>
  <c r="P173" i="6"/>
  <c r="DB172" i="6"/>
  <c r="CV172" i="6"/>
  <c r="DA172" i="6"/>
  <c r="EL172" i="6"/>
  <c r="EN172" i="6"/>
  <c r="EO172" i="6"/>
  <c r="R159" i="6"/>
  <c r="S159" i="6"/>
  <c r="X159" i="6"/>
  <c r="DG159" i="6"/>
  <c r="R152" i="6"/>
  <c r="S152" i="6"/>
  <c r="X152" i="6"/>
  <c r="Z149" i="6"/>
  <c r="P149" i="6"/>
  <c r="EW149" i="6"/>
  <c r="BK146" i="6"/>
  <c r="U147" i="6"/>
  <c r="BP146" i="6"/>
  <c r="Z147" i="6"/>
  <c r="BM146" i="6"/>
  <c r="W147" i="6"/>
  <c r="CU146" i="6"/>
  <c r="DG147" i="6"/>
  <c r="CY146" i="6"/>
  <c r="CW146" i="6"/>
  <c r="ER146" i="6"/>
  <c r="EV146" i="6"/>
  <c r="EM146" i="6"/>
  <c r="U143" i="6"/>
  <c r="R143" i="6"/>
  <c r="BQ143" i="6"/>
  <c r="O143" i="6"/>
  <c r="T143" i="6"/>
  <c r="DG143" i="6"/>
  <c r="Q140" i="6"/>
  <c r="BQ140" i="6"/>
  <c r="O140" i="6"/>
  <c r="T140" i="6"/>
  <c r="Z136" i="6"/>
  <c r="EW136" i="6"/>
  <c r="U132" i="6"/>
  <c r="Z132" i="6"/>
  <c r="W132" i="6"/>
  <c r="X132" i="6"/>
  <c r="DG132" i="6"/>
  <c r="U128" i="6"/>
  <c r="R128" i="6"/>
  <c r="BQ128" i="6"/>
  <c r="O128" i="6"/>
  <c r="P128" i="6"/>
  <c r="Q120" i="6"/>
  <c r="Z120" i="6"/>
  <c r="W120" i="6"/>
  <c r="X120" i="6"/>
  <c r="DG120" i="6"/>
  <c r="EW120" i="6"/>
  <c r="U112" i="6"/>
  <c r="Z112" i="6"/>
  <c r="W112" i="6"/>
  <c r="X112" i="6"/>
  <c r="U109" i="6"/>
  <c r="R109" i="6"/>
  <c r="BQ109" i="6"/>
  <c r="O109" i="6"/>
  <c r="P109" i="6"/>
  <c r="Q100" i="6"/>
  <c r="P100" i="6"/>
  <c r="V97" i="6"/>
  <c r="W97" i="6"/>
  <c r="X97" i="6"/>
  <c r="DG97" i="6"/>
  <c r="EW97" i="6"/>
  <c r="Q93" i="6"/>
  <c r="V93" i="6"/>
  <c r="W93" i="6"/>
  <c r="X93" i="6"/>
  <c r="BQ83" i="6"/>
  <c r="O83" i="6"/>
  <c r="P83" i="6"/>
  <c r="Y80" i="6"/>
  <c r="W80" i="6"/>
  <c r="X80" i="6"/>
  <c r="DG80" i="6"/>
  <c r="EW80" i="6"/>
  <c r="U69" i="6"/>
  <c r="Z69" i="6"/>
  <c r="W69" i="6"/>
  <c r="X69" i="6"/>
  <c r="AB69" i="6" s="1"/>
  <c r="U66" i="6"/>
  <c r="R66" i="6"/>
  <c r="BQ66" i="6"/>
  <c r="O66" i="6"/>
  <c r="P66" i="6"/>
  <c r="Y63" i="6"/>
  <c r="R63" i="6"/>
  <c r="BQ63" i="6"/>
  <c r="O63" i="6"/>
  <c r="T63" i="6"/>
  <c r="BG57" i="6"/>
  <c r="Q55" i="6"/>
  <c r="DD57" i="6"/>
  <c r="BF57" i="6"/>
  <c r="P55" i="6"/>
  <c r="CW57" i="6"/>
  <c r="DB57" i="6"/>
  <c r="DC57" i="6"/>
  <c r="EU57" i="6"/>
  <c r="EO57" i="6"/>
  <c r="DD54" i="6"/>
  <c r="DH54" i="6" s="1"/>
  <c r="BL54" i="6"/>
  <c r="V51" i="6"/>
  <c r="BM54" i="6"/>
  <c r="W51" i="6"/>
  <c r="BN54" i="6"/>
  <c r="BR54" i="6" s="1"/>
  <c r="X51" i="6"/>
  <c r="AB51" i="6" s="1"/>
  <c r="DE54" i="6"/>
  <c r="EM54" i="6"/>
  <c r="EU54" i="6"/>
  <c r="ER54" i="6"/>
  <c r="EL54" i="6"/>
  <c r="U45" i="6"/>
  <c r="R45" i="6"/>
  <c r="BQ45" i="6"/>
  <c r="O45" i="6"/>
  <c r="U34" i="6"/>
  <c r="R34" i="6"/>
  <c r="BQ34" i="6"/>
  <c r="O34" i="6"/>
  <c r="P34" i="6"/>
  <c r="Q21" i="6"/>
  <c r="DG21" i="6"/>
  <c r="W21" i="6"/>
  <c r="T21" i="6"/>
  <c r="V19" i="6"/>
  <c r="DG19" i="6"/>
  <c r="T19" i="6"/>
  <c r="CW13" i="6"/>
  <c r="CW6" i="6" s="1"/>
  <c r="BL13" i="6"/>
  <c r="BL6" i="6" s="1"/>
  <c r="V14" i="6"/>
  <c r="DF13" i="6"/>
  <c r="DF6" i="6" s="1"/>
  <c r="DG14" i="6"/>
  <c r="CU13" i="6"/>
  <c r="CU6" i="6" s="1"/>
  <c r="BJ13" i="6"/>
  <c r="BJ6" i="6" s="1"/>
  <c r="T14" i="6"/>
  <c r="DD13" i="6"/>
  <c r="DD6" i="6" s="1"/>
  <c r="EV13" i="6"/>
  <c r="EV6" i="6" s="1"/>
  <c r="EO13" i="6"/>
  <c r="EO6" i="6" s="1"/>
  <c r="ET13" i="6"/>
  <c r="ET6" i="6" s="1"/>
  <c r="Y123" i="6"/>
  <c r="EW123" i="6"/>
  <c r="U119" i="6"/>
  <c r="Z119" i="6"/>
  <c r="W119" i="6"/>
  <c r="X119" i="6"/>
  <c r="DG119" i="6"/>
  <c r="U96" i="6"/>
  <c r="R96" i="6"/>
  <c r="BQ96" i="6"/>
  <c r="O96" i="6"/>
  <c r="T96" i="6"/>
  <c r="R65" i="6"/>
  <c r="BQ65" i="6"/>
  <c r="O65" i="6"/>
  <c r="BL53" i="4"/>
  <c r="V53" i="4" s="1"/>
  <c r="V53" i="1" s="1"/>
  <c r="V53" i="6"/>
  <c r="BI53" i="4"/>
  <c r="S53" i="4" s="1"/>
  <c r="S53" i="1" s="1"/>
  <c r="S53" i="6"/>
  <c r="BJ53" i="4"/>
  <c r="T53" i="4" s="1"/>
  <c r="T53" i="1" s="1"/>
  <c r="T53" i="6"/>
  <c r="U33" i="6"/>
  <c r="Z33" i="6"/>
  <c r="W33" i="6"/>
  <c r="X33" i="6"/>
  <c r="U7" i="6"/>
  <c r="T7" i="6"/>
  <c r="S7" i="6"/>
  <c r="R246" i="6"/>
  <c r="S246" i="6"/>
  <c r="X246" i="6"/>
  <c r="DG246" i="6"/>
  <c r="BO241" i="6"/>
  <c r="EB75" i="23" s="1"/>
  <c r="Y242" i="6"/>
  <c r="BE241" i="6"/>
  <c r="EB85" i="23" s="1"/>
  <c r="BQ242" i="6"/>
  <c r="O242" i="6"/>
  <c r="BJ241" i="6"/>
  <c r="EB80" i="23" s="1"/>
  <c r="T242" i="6"/>
  <c r="DF241" i="6"/>
  <c r="EB110" i="23" s="1"/>
  <c r="CV241" i="6"/>
  <c r="EB120" i="23" s="1"/>
  <c r="DA241" i="6"/>
  <c r="EB115" i="23" s="1"/>
  <c r="EL241" i="6"/>
  <c r="EB156" i="23" s="1"/>
  <c r="EN241" i="6"/>
  <c r="EB154" i="23" s="1"/>
  <c r="EO241" i="6"/>
  <c r="EB153" i="23" s="1"/>
  <c r="Y229" i="6"/>
  <c r="Z229" i="6"/>
  <c r="W229" i="6"/>
  <c r="EW229" i="6"/>
  <c r="U226" i="6"/>
  <c r="V226" i="6"/>
  <c r="W226" i="6"/>
  <c r="BH214" i="6"/>
  <c r="R215" i="6"/>
  <c r="BI214" i="6"/>
  <c r="S215" i="6"/>
  <c r="BJ214" i="6"/>
  <c r="T215" i="6"/>
  <c r="EL214" i="6"/>
  <c r="CV214" i="6"/>
  <c r="DA214" i="6"/>
  <c r="ET214" i="6"/>
  <c r="ER214" i="6"/>
  <c r="ES214" i="6"/>
  <c r="Y212" i="6"/>
  <c r="BQ212" i="6"/>
  <c r="O212" i="6"/>
  <c r="T212" i="6"/>
  <c r="Y199" i="6"/>
  <c r="Z199" i="6"/>
  <c r="P199" i="6"/>
  <c r="Q196" i="6"/>
  <c r="BQ196" i="6"/>
  <c r="O196" i="6"/>
  <c r="P196" i="6"/>
  <c r="U189" i="6"/>
  <c r="Z189" i="6"/>
  <c r="P189" i="6"/>
  <c r="EW189" i="6"/>
  <c r="BO182" i="6"/>
  <c r="Y183" i="6"/>
  <c r="BL182" i="6"/>
  <c r="V183" i="6"/>
  <c r="BM182" i="6"/>
  <c r="W183" i="6"/>
  <c r="BN182" i="6"/>
  <c r="BR182" i="6" s="1"/>
  <c r="X183" i="6"/>
  <c r="CY182" i="6"/>
  <c r="CZ182" i="6"/>
  <c r="DE182" i="6"/>
  <c r="EM182" i="6"/>
  <c r="EV182" i="6"/>
  <c r="Q180" i="6"/>
  <c r="R180" i="6"/>
  <c r="S180" i="6"/>
  <c r="X180" i="6"/>
  <c r="DG180" i="6"/>
  <c r="Q245" i="6"/>
  <c r="V245" i="6"/>
  <c r="W245" i="6"/>
  <c r="EW245" i="6"/>
  <c r="BK227" i="6"/>
  <c r="U228" i="6"/>
  <c r="BH227" i="6"/>
  <c r="R228" i="6"/>
  <c r="BI227" i="6"/>
  <c r="S228" i="6"/>
  <c r="BN227" i="6"/>
  <c r="BR227" i="6" s="1"/>
  <c r="X228" i="6"/>
  <c r="CY227" i="6"/>
  <c r="DD227" i="6"/>
  <c r="EM227" i="6"/>
  <c r="EL227" i="6"/>
  <c r="EV227" i="6"/>
  <c r="R225" i="6"/>
  <c r="S225" i="6"/>
  <c r="X225" i="6"/>
  <c r="DG225" i="6"/>
  <c r="Q222" i="6"/>
  <c r="P222" i="6"/>
  <c r="V211" i="6"/>
  <c r="W211" i="6"/>
  <c r="EW211" i="6"/>
  <c r="Q208" i="6"/>
  <c r="V208" i="6"/>
  <c r="W208" i="6"/>
  <c r="X208" i="6"/>
  <c r="Q204" i="6"/>
  <c r="BQ204" i="6"/>
  <c r="O204" i="6"/>
  <c r="T204" i="6"/>
  <c r="U201" i="6"/>
  <c r="BQ201" i="6"/>
  <c r="O201" i="6"/>
  <c r="P201" i="6"/>
  <c r="Y198" i="6"/>
  <c r="BQ198" i="6"/>
  <c r="O198" i="6"/>
  <c r="T198" i="6"/>
  <c r="Y195" i="6"/>
  <c r="Z195" i="6"/>
  <c r="W195" i="6"/>
  <c r="EW195" i="6"/>
  <c r="Y192" i="6"/>
  <c r="R192" i="6"/>
  <c r="S192" i="6"/>
  <c r="X192" i="6"/>
  <c r="BH187" i="6"/>
  <c r="R188" i="6"/>
  <c r="BQ188" i="6"/>
  <c r="BE187" i="6"/>
  <c r="O188" i="6"/>
  <c r="BJ187" i="6"/>
  <c r="T188" i="6"/>
  <c r="CU187" i="6"/>
  <c r="DG188" i="6"/>
  <c r="CZ187" i="6"/>
  <c r="DE187" i="6"/>
  <c r="EL187" i="6"/>
  <c r="ER187" i="6"/>
  <c r="ES187" i="6"/>
  <c r="Y185" i="6"/>
  <c r="BQ185" i="6"/>
  <c r="O185" i="6"/>
  <c r="T185" i="6"/>
  <c r="BO178" i="6"/>
  <c r="Y179" i="6"/>
  <c r="BQ179" i="6"/>
  <c r="BE178" i="6"/>
  <c r="O179" i="6"/>
  <c r="BJ178" i="6"/>
  <c r="T179" i="6"/>
  <c r="DF178" i="6"/>
  <c r="CV178" i="6"/>
  <c r="DA178" i="6"/>
  <c r="EP178" i="6"/>
  <c r="EN178" i="6"/>
  <c r="EO178" i="6"/>
  <c r="U175" i="6"/>
  <c r="Z175" i="6"/>
  <c r="W175" i="6"/>
  <c r="EW175" i="6"/>
  <c r="Q160" i="6"/>
  <c r="R160" i="6"/>
  <c r="S160" i="6"/>
  <c r="T160" i="6"/>
  <c r="DG160" i="6"/>
  <c r="R154" i="6"/>
  <c r="S154" i="6"/>
  <c r="T154" i="6"/>
  <c r="Y148" i="6"/>
  <c r="BQ148" i="6"/>
  <c r="O148" i="6"/>
  <c r="P148" i="6"/>
  <c r="EW148" i="6"/>
  <c r="U145" i="6"/>
  <c r="Z145" i="6"/>
  <c r="P145" i="6"/>
  <c r="EW145" i="6"/>
  <c r="U142" i="6"/>
  <c r="Z142" i="6"/>
  <c r="P142" i="6"/>
  <c r="DG142" i="6"/>
  <c r="BO133" i="6"/>
  <c r="Y134" i="6"/>
  <c r="BL133" i="6"/>
  <c r="V134" i="6"/>
  <c r="BI133" i="6"/>
  <c r="S134" i="6"/>
  <c r="BJ133" i="6"/>
  <c r="T134" i="6"/>
  <c r="DE133" i="6"/>
  <c r="CU133" i="6"/>
  <c r="DG134" i="6"/>
  <c r="ET133" i="6"/>
  <c r="ER133" i="6"/>
  <c r="EM133" i="6"/>
  <c r="BO129" i="6"/>
  <c r="Y130" i="6"/>
  <c r="BH129" i="6"/>
  <c r="R130" i="6"/>
  <c r="BQ130" i="6"/>
  <c r="BE129" i="6"/>
  <c r="O130" i="6"/>
  <c r="BJ129" i="6"/>
  <c r="T130" i="6"/>
  <c r="DA129" i="6"/>
  <c r="DF129" i="6"/>
  <c r="EP129" i="6"/>
  <c r="EN129" i="6"/>
  <c r="ES129" i="6"/>
  <c r="U126" i="6"/>
  <c r="BQ126" i="6"/>
  <c r="O126" i="6"/>
  <c r="P126" i="6"/>
  <c r="U122" i="6"/>
  <c r="Z122" i="6"/>
  <c r="DG122" i="6"/>
  <c r="EW122" i="6"/>
  <c r="Q118" i="6"/>
  <c r="V118" i="6"/>
  <c r="W118" i="6"/>
  <c r="X118" i="6"/>
  <c r="DG118" i="6"/>
  <c r="Y111" i="6"/>
  <c r="R111" i="6"/>
  <c r="S111" i="6"/>
  <c r="T111" i="6"/>
  <c r="U107" i="6"/>
  <c r="BQ107" i="6"/>
  <c r="O107" i="6"/>
  <c r="P107" i="6"/>
  <c r="Y102" i="6"/>
  <c r="W102" i="6"/>
  <c r="X102" i="6"/>
  <c r="DG102" i="6"/>
  <c r="EW102" i="6"/>
  <c r="Q95" i="6"/>
  <c r="V95" i="6"/>
  <c r="S95" i="6"/>
  <c r="T95" i="6"/>
  <c r="DG95" i="6"/>
  <c r="BK90" i="6"/>
  <c r="U91" i="6"/>
  <c r="BH90" i="6"/>
  <c r="R91" i="6"/>
  <c r="BE90" i="6"/>
  <c r="BQ91" i="6"/>
  <c r="O91" i="6"/>
  <c r="BF90" i="6"/>
  <c r="P91" i="6"/>
  <c r="DA90" i="6"/>
  <c r="DF90" i="6"/>
  <c r="EM90" i="6"/>
  <c r="ER90" i="6"/>
  <c r="ES90" i="6"/>
  <c r="BK87" i="6"/>
  <c r="U88" i="6"/>
  <c r="BE87" i="6"/>
  <c r="BQ88" i="6"/>
  <c r="O88" i="6"/>
  <c r="BF87" i="6"/>
  <c r="P88" i="6"/>
  <c r="CW87" i="6"/>
  <c r="DB87" i="6"/>
  <c r="CY87" i="6"/>
  <c r="EN87" i="6"/>
  <c r="EO87" i="6"/>
  <c r="ET87" i="6"/>
  <c r="Y85" i="6"/>
  <c r="Z85" i="6"/>
  <c r="W85" i="6"/>
  <c r="X85" i="6"/>
  <c r="EW85" i="6"/>
  <c r="Y82" i="6"/>
  <c r="V82" i="6"/>
  <c r="S82" i="6"/>
  <c r="X82" i="6"/>
  <c r="Y78" i="6"/>
  <c r="V78" i="6"/>
  <c r="S78" i="6"/>
  <c r="X78" i="6"/>
  <c r="U67" i="6"/>
  <c r="R67" i="6"/>
  <c r="BQ67" i="6"/>
  <c r="O67" i="6"/>
  <c r="T67" i="6"/>
  <c r="BH60" i="6"/>
  <c r="R61" i="6"/>
  <c r="BQ61" i="6"/>
  <c r="BE60" i="6"/>
  <c r="O61" i="6"/>
  <c r="BF60" i="6"/>
  <c r="P61" i="6"/>
  <c r="CW60" i="6"/>
  <c r="DB60" i="6"/>
  <c r="CY60" i="6"/>
  <c r="EU60" i="6"/>
  <c r="EO60" i="6"/>
  <c r="EX60" i="6"/>
  <c r="BO52" i="4"/>
  <c r="Y52" i="4" s="1"/>
  <c r="Y52" i="1" s="1"/>
  <c r="Y52" i="6"/>
  <c r="CU52" i="4"/>
  <c r="DG52" i="4" s="1"/>
  <c r="DG52" i="6"/>
  <c r="EK52" i="4"/>
  <c r="EW52" i="4" s="1"/>
  <c r="EW52" i="6"/>
  <c r="U46" i="6"/>
  <c r="V46" i="6"/>
  <c r="S46" i="6"/>
  <c r="X46" i="6"/>
  <c r="Q44" i="6"/>
  <c r="V44" i="6"/>
  <c r="S44" i="6"/>
  <c r="T44" i="6"/>
  <c r="Y42" i="6"/>
  <c r="R42" i="6"/>
  <c r="BQ42" i="6"/>
  <c r="O42" i="6"/>
  <c r="P42" i="6"/>
  <c r="BG38" i="6"/>
  <c r="F83" i="23" s="1"/>
  <c r="Q39" i="6"/>
  <c r="BH38" i="6"/>
  <c r="F82" i="23" s="1"/>
  <c r="R39" i="6"/>
  <c r="BQ39" i="6"/>
  <c r="BE38" i="6"/>
  <c r="F85" i="23" s="1"/>
  <c r="O39" i="6"/>
  <c r="BF38" i="6"/>
  <c r="F84" i="23" s="1"/>
  <c r="P39" i="6"/>
  <c r="CW38" i="6"/>
  <c r="F119" i="23" s="1"/>
  <c r="DB38" i="6"/>
  <c r="F114" i="23" s="1"/>
  <c r="DC38" i="6"/>
  <c r="EN38" i="6"/>
  <c r="F154" i="23" s="1"/>
  <c r="ES38" i="6"/>
  <c r="U36" i="6"/>
  <c r="BQ36" i="6"/>
  <c r="O36" i="6"/>
  <c r="P36" i="6"/>
  <c r="U32" i="6"/>
  <c r="Z32" i="6"/>
  <c r="X32" i="6"/>
  <c r="EW32" i="6"/>
  <c r="U25" i="6"/>
  <c r="V25" i="6"/>
  <c r="X25" i="6"/>
  <c r="Y168" i="6"/>
  <c r="V168" i="6"/>
  <c r="S168" i="6"/>
  <c r="X168" i="6"/>
  <c r="Q166" i="6"/>
  <c r="V166" i="6"/>
  <c r="W166" i="6"/>
  <c r="DG166" i="6"/>
  <c r="BG150" i="6"/>
  <c r="Q151" i="6"/>
  <c r="BL150" i="6"/>
  <c r="V151" i="6"/>
  <c r="BI150" i="6"/>
  <c r="S151" i="6"/>
  <c r="BJ150" i="6"/>
  <c r="T151" i="6"/>
  <c r="ET150" i="6"/>
  <c r="CZ150" i="6"/>
  <c r="DE150" i="6"/>
  <c r="EP150" i="6"/>
  <c r="ES150" i="6"/>
  <c r="P135" i="6"/>
  <c r="Q131" i="6"/>
  <c r="V131" i="6"/>
  <c r="W131" i="6"/>
  <c r="X131" i="6"/>
  <c r="DG131" i="6"/>
  <c r="EW131" i="6"/>
  <c r="U127" i="6"/>
  <c r="Z127" i="6"/>
  <c r="W127" i="6"/>
  <c r="X127" i="6"/>
  <c r="DG127" i="6"/>
  <c r="U92" i="6"/>
  <c r="R92" i="6"/>
  <c r="BQ92" i="6"/>
  <c r="O92" i="6"/>
  <c r="T92" i="6"/>
  <c r="Q86" i="6"/>
  <c r="P86" i="6"/>
  <c r="Z79" i="6"/>
  <c r="DG79" i="6"/>
  <c r="EW79" i="6"/>
  <c r="Y68" i="6"/>
  <c r="V68" i="6"/>
  <c r="W68" i="6"/>
  <c r="X68" i="6"/>
  <c r="AB68" i="6" s="1"/>
  <c r="U62" i="6"/>
  <c r="R62" i="6"/>
  <c r="Q16" i="6"/>
  <c r="V16" i="6"/>
  <c r="DG16" i="6"/>
  <c r="T16" i="6"/>
  <c r="EF250" i="6"/>
  <c r="EF234" i="6"/>
  <c r="U244" i="6"/>
  <c r="BL223" i="6"/>
  <c r="V224" i="6"/>
  <c r="CY223" i="6"/>
  <c r="EU223" i="6"/>
  <c r="BQ221" i="6"/>
  <c r="O221" i="6"/>
  <c r="Y213" i="6"/>
  <c r="U207" i="6"/>
  <c r="P207" i="6"/>
  <c r="EW207" i="6"/>
  <c r="W203" i="6"/>
  <c r="BQ200" i="6"/>
  <c r="O200" i="6"/>
  <c r="DG200" i="6"/>
  <c r="U191" i="6"/>
  <c r="W191" i="6"/>
  <c r="X184" i="6"/>
  <c r="T174" i="6"/>
  <c r="P171" i="6"/>
  <c r="P169" i="6"/>
  <c r="V167" i="6"/>
  <c r="BP164" i="6"/>
  <c r="Z165" i="6"/>
  <c r="DB164" i="6"/>
  <c r="EL164" i="6"/>
  <c r="Q162" i="6"/>
  <c r="Z162" i="6"/>
  <c r="Q144" i="6"/>
  <c r="EW144" i="6"/>
  <c r="Z141" i="6"/>
  <c r="X141" i="6"/>
  <c r="Q137" i="6"/>
  <c r="X137" i="6"/>
  <c r="U121" i="6"/>
  <c r="EW121" i="6"/>
  <c r="BL116" i="6"/>
  <c r="V117" i="6"/>
  <c r="DE116" i="6"/>
  <c r="EM116" i="6"/>
  <c r="BQ113" i="6"/>
  <c r="O113" i="6"/>
  <c r="W106" i="6"/>
  <c r="DG106" i="6"/>
  <c r="EW106" i="6"/>
  <c r="V101" i="6"/>
  <c r="V98" i="6"/>
  <c r="S94" i="6"/>
  <c r="W81" i="6"/>
  <c r="DG81" i="6"/>
  <c r="BH76" i="6"/>
  <c r="R77" i="6"/>
  <c r="DA76" i="6"/>
  <c r="ER76" i="6"/>
  <c r="P64" i="6"/>
  <c r="BP56" i="4"/>
  <c r="Z56" i="4" s="1"/>
  <c r="Z56" i="1" s="1"/>
  <c r="Z56" i="6"/>
  <c r="V41" i="6"/>
  <c r="R35" i="6"/>
  <c r="DD29" i="6"/>
  <c r="DB29" i="6"/>
  <c r="EU29" i="6"/>
  <c r="CV27" i="6"/>
  <c r="BJ27" i="6"/>
  <c r="T24" i="6"/>
  <c r="CW27" i="6"/>
  <c r="EP27" i="6"/>
  <c r="Q176" i="6"/>
  <c r="P176" i="6"/>
  <c r="EW170" i="6"/>
  <c r="W161" i="6"/>
  <c r="BP157" i="6"/>
  <c r="Z158" i="6"/>
  <c r="DC157" i="6"/>
  <c r="EN157" i="6"/>
  <c r="BL138" i="6"/>
  <c r="V139" i="6"/>
  <c r="CV138" i="6"/>
  <c r="EP138" i="6"/>
  <c r="R108" i="6"/>
  <c r="BO104" i="6"/>
  <c r="Y105" i="6"/>
  <c r="CX104" i="6"/>
  <c r="EU104" i="6"/>
  <c r="T99" i="6"/>
  <c r="Q89" i="6"/>
  <c r="T89" i="6"/>
  <c r="DG40" i="6"/>
  <c r="Q26" i="6"/>
  <c r="W26" i="6"/>
  <c r="X26" i="6"/>
  <c r="EW26" i="6"/>
  <c r="R247" i="6"/>
  <c r="DG247" i="6"/>
  <c r="P243" i="6"/>
  <c r="BF219" i="6"/>
  <c r="P220" i="6"/>
  <c r="CW219" i="6"/>
  <c r="Q216" i="6"/>
  <c r="W216" i="6"/>
  <c r="BL209" i="6"/>
  <c r="V210" i="6"/>
  <c r="CY209" i="6"/>
  <c r="DD209" i="6"/>
  <c r="EV209" i="6"/>
  <c r="BI205" i="6"/>
  <c r="S206" i="6"/>
  <c r="CY205" i="6"/>
  <c r="EM205" i="6"/>
  <c r="R202" i="6"/>
  <c r="Z197" i="6"/>
  <c r="P197" i="6"/>
  <c r="EW197" i="6"/>
  <c r="BF193" i="6"/>
  <c r="P194" i="6"/>
  <c r="EM193" i="6"/>
  <c r="EW194" i="6"/>
  <c r="EK193" i="6"/>
  <c r="EW190" i="6"/>
  <c r="R186" i="6"/>
  <c r="X186" i="6"/>
  <c r="Q181" i="6"/>
  <c r="P181" i="6"/>
  <c r="P177" i="6"/>
  <c r="EW177" i="6"/>
  <c r="BI172" i="6"/>
  <c r="S173" i="6"/>
  <c r="DD172" i="6"/>
  <c r="EM172" i="6"/>
  <c r="Z159" i="6"/>
  <c r="P152" i="6"/>
  <c r="S149" i="6"/>
  <c r="CX146" i="6"/>
  <c r="ET146" i="6"/>
  <c r="Y143" i="6"/>
  <c r="EW143" i="6"/>
  <c r="V140" i="6"/>
  <c r="R136" i="6"/>
  <c r="T136" i="6"/>
  <c r="R132" i="6"/>
  <c r="P132" i="6"/>
  <c r="Z128" i="6"/>
  <c r="S124" i="6"/>
  <c r="DG124" i="6"/>
  <c r="BQ120" i="6"/>
  <c r="O120" i="6"/>
  <c r="BQ112" i="6"/>
  <c r="O112" i="6"/>
  <c r="P112" i="6"/>
  <c r="W109" i="6"/>
  <c r="S100" i="6"/>
  <c r="U97" i="6"/>
  <c r="P97" i="6"/>
  <c r="U93" i="6"/>
  <c r="V83" i="6"/>
  <c r="Q80" i="6"/>
  <c r="BQ80" i="6"/>
  <c r="O80" i="6"/>
  <c r="P80" i="6"/>
  <c r="R69" i="6"/>
  <c r="W66" i="6"/>
  <c r="EW66" i="6"/>
  <c r="Z63" i="6"/>
  <c r="BL57" i="6"/>
  <c r="V55" i="6"/>
  <c r="DE57" i="6"/>
  <c r="EV57" i="6"/>
  <c r="BF54" i="6"/>
  <c r="P51" i="6"/>
  <c r="CY54" i="6"/>
  <c r="ET54" i="6"/>
  <c r="EX54" i="6" s="1"/>
  <c r="W45" i="6"/>
  <c r="EW45" i="6"/>
  <c r="Z34" i="6"/>
  <c r="X34" i="6"/>
  <c r="BQ21" i="6"/>
  <c r="O21" i="6"/>
  <c r="DA13" i="6"/>
  <c r="DA6" i="6" s="1"/>
  <c r="BI13" i="6"/>
  <c r="BI6" i="6" s="1"/>
  <c r="S14" i="6"/>
  <c r="Q123" i="6"/>
  <c r="T123" i="6"/>
  <c r="P119" i="6"/>
  <c r="Q96" i="6"/>
  <c r="W96" i="6"/>
  <c r="Z65" i="6"/>
  <c r="R33" i="6"/>
  <c r="DG7" i="6"/>
  <c r="EW7" i="6"/>
  <c r="Z246" i="6"/>
  <c r="BM241" i="6"/>
  <c r="W242" i="6"/>
  <c r="CY241" i="6"/>
  <c r="EB117" i="23" s="1"/>
  <c r="EP241" i="6"/>
  <c r="EB152" i="23" s="1"/>
  <c r="R229" i="6"/>
  <c r="Y226" i="6"/>
  <c r="DB214" i="6"/>
  <c r="CY214" i="6"/>
  <c r="EQ214" i="6"/>
  <c r="W212" i="6"/>
  <c r="R199" i="6"/>
  <c r="U196" i="6"/>
  <c r="R189" i="6"/>
  <c r="BF182" i="6"/>
  <c r="P183" i="6"/>
  <c r="CW182" i="6"/>
  <c r="EO182" i="6"/>
  <c r="P180" i="6"/>
  <c r="BQ245" i="6"/>
  <c r="O245" i="6"/>
  <c r="BP227" i="6"/>
  <c r="Z228" i="6"/>
  <c r="CV227" i="6"/>
  <c r="EN227" i="6"/>
  <c r="Z225" i="6"/>
  <c r="V222" i="6"/>
  <c r="U211" i="6"/>
  <c r="DG211" i="6"/>
  <c r="Y208" i="6"/>
  <c r="P208" i="6"/>
  <c r="EW204" i="6"/>
  <c r="W201" i="6"/>
  <c r="W198" i="6"/>
  <c r="T195" i="6"/>
  <c r="BM187" i="6"/>
  <c r="W188" i="6"/>
  <c r="CW187" i="6"/>
  <c r="EK187" i="6"/>
  <c r="EW188" i="6"/>
  <c r="W185" i="6"/>
  <c r="BM178" i="6"/>
  <c r="W179" i="6"/>
  <c r="DD178" i="6"/>
  <c r="EV178" i="6"/>
  <c r="T175" i="6"/>
  <c r="EW160" i="6"/>
  <c r="V148" i="6"/>
  <c r="R145" i="6"/>
  <c r="X145" i="6"/>
  <c r="R142" i="6"/>
  <c r="X142" i="6"/>
  <c r="CW133" i="6"/>
  <c r="DC133" i="6"/>
  <c r="EO133" i="6"/>
  <c r="BP129" i="6"/>
  <c r="Z130" i="6"/>
  <c r="CX129" i="6"/>
  <c r="EW130" i="6"/>
  <c r="EK129" i="6"/>
  <c r="V126" i="6"/>
  <c r="R122" i="6"/>
  <c r="P118" i="6"/>
  <c r="Z111" i="6"/>
  <c r="W107" i="6"/>
  <c r="Q102" i="6"/>
  <c r="P102" i="6"/>
  <c r="BP90" i="6"/>
  <c r="Z91" i="6"/>
  <c r="CX90" i="6"/>
  <c r="EP90" i="6"/>
  <c r="BM87" i="6"/>
  <c r="W88" i="6"/>
  <c r="EQ87" i="6"/>
  <c r="EV87" i="6"/>
  <c r="R85" i="6"/>
  <c r="BK60" i="6"/>
  <c r="U61" i="6"/>
  <c r="BM60" i="6"/>
  <c r="W61" i="6"/>
  <c r="EQ60" i="6"/>
  <c r="EL60" i="6"/>
  <c r="BJ52" i="4"/>
  <c r="T52" i="4" s="1"/>
  <c r="T52" i="1" s="1"/>
  <c r="T52" i="6"/>
  <c r="P46" i="6"/>
  <c r="EW44" i="6"/>
  <c r="Q42" i="6"/>
  <c r="X42" i="6"/>
  <c r="EW42" i="6"/>
  <c r="BP38" i="6"/>
  <c r="F74" i="23" s="1"/>
  <c r="Z39" i="6"/>
  <c r="DG39" i="6"/>
  <c r="CU38" i="6"/>
  <c r="F121" i="23" s="1"/>
  <c r="EP38" i="6"/>
  <c r="F152" i="23" s="1"/>
  <c r="W36" i="6"/>
  <c r="R32" i="6"/>
  <c r="P32" i="6"/>
  <c r="S25" i="6"/>
  <c r="U168" i="6"/>
  <c r="Y166" i="6"/>
  <c r="BK150" i="6"/>
  <c r="U151" i="6"/>
  <c r="CY150" i="6"/>
  <c r="F218" i="6"/>
  <c r="S244" i="6"/>
  <c r="BK223" i="6"/>
  <c r="U224" i="6"/>
  <c r="DB223" i="6"/>
  <c r="DA223" i="6"/>
  <c r="EN223" i="6"/>
  <c r="U221" i="6"/>
  <c r="Q213" i="6"/>
  <c r="S213" i="6"/>
  <c r="S207" i="6"/>
  <c r="BQ203" i="6"/>
  <c r="O203" i="6"/>
  <c r="Z200" i="6"/>
  <c r="Q191" i="6"/>
  <c r="T191" i="6"/>
  <c r="U184" i="6"/>
  <c r="EW184" i="6"/>
  <c r="V174" i="6"/>
  <c r="A218" i="6"/>
  <c r="B58" i="6"/>
  <c r="C43" i="6"/>
  <c r="C47" i="6" s="1"/>
  <c r="G43" i="6"/>
  <c r="G47" i="6" s="1"/>
  <c r="J75" i="6"/>
  <c r="A43" i="6"/>
  <c r="A47" i="6" s="1"/>
  <c r="Y244" i="6"/>
  <c r="V244" i="6"/>
  <c r="W244" i="6"/>
  <c r="BH223" i="6"/>
  <c r="R224" i="6"/>
  <c r="BI223" i="6"/>
  <c r="S224" i="6"/>
  <c r="BJ223" i="6"/>
  <c r="T224" i="6"/>
  <c r="DG224" i="6"/>
  <c r="CU223" i="6"/>
  <c r="CZ223" i="6"/>
  <c r="DE223" i="6"/>
  <c r="EM223" i="6"/>
  <c r="ER223" i="6"/>
  <c r="ES223" i="6"/>
  <c r="Y221" i="6"/>
  <c r="Z221" i="6"/>
  <c r="P221" i="6"/>
  <c r="EW221" i="6"/>
  <c r="U213" i="6"/>
  <c r="Z213" i="6"/>
  <c r="W213" i="6"/>
  <c r="EW213" i="6"/>
  <c r="Q207" i="6"/>
  <c r="V207" i="6"/>
  <c r="W207" i="6"/>
  <c r="R203" i="6"/>
  <c r="S203" i="6"/>
  <c r="X203" i="6"/>
  <c r="DG203" i="6"/>
  <c r="Q200" i="6"/>
  <c r="P200" i="6"/>
  <c r="R191" i="6"/>
  <c r="S191" i="6"/>
  <c r="X191" i="6"/>
  <c r="DG191" i="6"/>
  <c r="Y184" i="6"/>
  <c r="BQ184" i="6"/>
  <c r="O184" i="6"/>
  <c r="T184" i="6"/>
  <c r="U174" i="6"/>
  <c r="Z174" i="6"/>
  <c r="P174" i="6"/>
  <c r="EW174" i="6"/>
  <c r="Y171" i="6"/>
  <c r="V171" i="6"/>
  <c r="W171" i="6"/>
  <c r="DG171" i="6"/>
  <c r="Q169" i="6"/>
  <c r="V169" i="6"/>
  <c r="W169" i="6"/>
  <c r="Y167" i="6"/>
  <c r="R167" i="6"/>
  <c r="S167" i="6"/>
  <c r="X167" i="6"/>
  <c r="BG164" i="6"/>
  <c r="Q165" i="6"/>
  <c r="BL164" i="6"/>
  <c r="V165" i="6"/>
  <c r="BM164" i="6"/>
  <c r="W165" i="6"/>
  <c r="CX164" i="6"/>
  <c r="CY164" i="6"/>
  <c r="DD164" i="6"/>
  <c r="ES164" i="6"/>
  <c r="EM164" i="6"/>
  <c r="EU164" i="6"/>
  <c r="Y162" i="6"/>
  <c r="V162" i="6"/>
  <c r="W162" i="6"/>
  <c r="X162" i="6"/>
  <c r="EW162" i="6"/>
  <c r="Z153" i="6"/>
  <c r="W153" i="6"/>
  <c r="EW153" i="6"/>
  <c r="Y144" i="6"/>
  <c r="Z144" i="6"/>
  <c r="W144" i="6"/>
  <c r="X144" i="6"/>
  <c r="Q141" i="6"/>
  <c r="V141" i="6"/>
  <c r="S141" i="6"/>
  <c r="T141" i="6"/>
  <c r="DG141" i="6"/>
  <c r="R137" i="6"/>
  <c r="BQ137" i="6"/>
  <c r="O137" i="6"/>
  <c r="T137" i="6"/>
  <c r="U125" i="6"/>
  <c r="Z125" i="6"/>
  <c r="W125" i="6"/>
  <c r="DG125" i="6"/>
  <c r="EW125" i="6"/>
  <c r="V121" i="6"/>
  <c r="S121" i="6"/>
  <c r="X121" i="6"/>
  <c r="DG121" i="6"/>
  <c r="BO116" i="6"/>
  <c r="Y117" i="6"/>
  <c r="BH116" i="6"/>
  <c r="R117" i="6"/>
  <c r="BE116" i="6"/>
  <c r="BQ117" i="6"/>
  <c r="O117" i="6"/>
  <c r="BJ116" i="6"/>
  <c r="T117" i="6"/>
  <c r="DA116" i="6"/>
  <c r="DF116" i="6"/>
  <c r="EP116" i="6"/>
  <c r="EN116" i="6"/>
  <c r="ES116" i="6"/>
  <c r="U110" i="6"/>
  <c r="Z110" i="6"/>
  <c r="W110" i="6"/>
  <c r="X110" i="6"/>
  <c r="DG110" i="6"/>
  <c r="EW110" i="6"/>
  <c r="Y106" i="6"/>
  <c r="V106" i="6"/>
  <c r="S106" i="6"/>
  <c r="X106" i="6"/>
  <c r="Q101" i="6"/>
  <c r="R101" i="6"/>
  <c r="S101" i="6"/>
  <c r="T101" i="6"/>
  <c r="R98" i="6"/>
  <c r="BQ98" i="6"/>
  <c r="O98" i="6"/>
  <c r="P98" i="6"/>
  <c r="R94" i="6"/>
  <c r="BQ94" i="6"/>
  <c r="O94" i="6"/>
  <c r="P94" i="6"/>
  <c r="Y84" i="6"/>
  <c r="X84" i="6"/>
  <c r="DG84" i="6"/>
  <c r="EW84" i="6"/>
  <c r="V81" i="6"/>
  <c r="S81" i="6"/>
  <c r="T81" i="6"/>
  <c r="BK76" i="6"/>
  <c r="U77" i="6"/>
  <c r="BG76" i="6"/>
  <c r="Q77" i="6"/>
  <c r="CZ76" i="6"/>
  <c r="DD76" i="6"/>
  <c r="CW76" i="6"/>
  <c r="DB76" i="6"/>
  <c r="DC76" i="6"/>
  <c r="EQ76" i="6"/>
  <c r="ES76" i="6"/>
  <c r="Z64" i="6"/>
  <c r="DG64" i="6"/>
  <c r="EW64" i="6"/>
  <c r="BG56" i="4"/>
  <c r="Q56" i="4" s="1"/>
  <c r="Q56" i="1" s="1"/>
  <c r="Q56" i="6"/>
  <c r="BL56" i="4"/>
  <c r="V56" i="4" s="1"/>
  <c r="V56" i="1" s="1"/>
  <c r="V56" i="6"/>
  <c r="BM56" i="4"/>
  <c r="W56" i="6"/>
  <c r="BN56" i="4"/>
  <c r="X56" i="4" s="1"/>
  <c r="X56" i="1" s="1"/>
  <c r="X56" i="6"/>
  <c r="AB56" i="6" s="1"/>
  <c r="EK56" i="4"/>
  <c r="EW56" i="4" s="1"/>
  <c r="EW56" i="6"/>
  <c r="Y41" i="6"/>
  <c r="R41" i="6"/>
  <c r="BQ41" i="6"/>
  <c r="O41" i="6"/>
  <c r="T41" i="6"/>
  <c r="Q35" i="6"/>
  <c r="P35" i="6"/>
  <c r="BK29" i="6"/>
  <c r="U31" i="6"/>
  <c r="BP29" i="6"/>
  <c r="Z31" i="6"/>
  <c r="BM29" i="6"/>
  <c r="W31" i="6"/>
  <c r="CV29" i="6"/>
  <c r="CX29" i="6"/>
  <c r="CY29" i="6"/>
  <c r="EM29" i="6"/>
  <c r="EK29" i="6"/>
  <c r="EW31" i="6"/>
  <c r="EP29" i="6"/>
  <c r="BG27" i="6"/>
  <c r="Q24" i="6"/>
  <c r="BH27" i="6"/>
  <c r="R24" i="6"/>
  <c r="BQ24" i="6"/>
  <c r="BE27" i="6"/>
  <c r="O24" i="6"/>
  <c r="BF27" i="6"/>
  <c r="P24" i="6"/>
  <c r="DC27" i="6"/>
  <c r="CX27" i="6"/>
  <c r="EU27" i="6"/>
  <c r="ER27" i="6"/>
  <c r="EL27" i="6"/>
  <c r="R15" i="6"/>
  <c r="W15" i="6"/>
  <c r="P15" i="6"/>
  <c r="EW15" i="6"/>
  <c r="U176" i="6"/>
  <c r="Z176" i="6"/>
  <c r="EW176" i="6"/>
  <c r="Q170" i="6"/>
  <c r="V170" i="6"/>
  <c r="W170" i="6"/>
  <c r="X170" i="6"/>
  <c r="Y161" i="6"/>
  <c r="V161" i="6"/>
  <c r="S161" i="6"/>
  <c r="X161" i="6"/>
  <c r="BO157" i="6"/>
  <c r="Y158" i="6"/>
  <c r="BL157" i="6"/>
  <c r="V158" i="6"/>
  <c r="BM157" i="6"/>
  <c r="W158" i="6"/>
  <c r="DF157" i="6"/>
  <c r="CY157" i="6"/>
  <c r="CZ157" i="6"/>
  <c r="DE157" i="6"/>
  <c r="EK157" i="6"/>
  <c r="EW158" i="6"/>
  <c r="ES157" i="6"/>
  <c r="BH138" i="6"/>
  <c r="R139" i="6"/>
  <c r="BI138" i="6"/>
  <c r="S139" i="6"/>
  <c r="BJ138" i="6"/>
  <c r="T139" i="6"/>
  <c r="DB138" i="6"/>
  <c r="ET138" i="6"/>
  <c r="CW138" i="6"/>
  <c r="EV138" i="6"/>
  <c r="EO138" i="6"/>
  <c r="EU138" i="6"/>
  <c r="Y108" i="6"/>
  <c r="EW108" i="6"/>
  <c r="BG104" i="6"/>
  <c r="Q105" i="6"/>
  <c r="BL104" i="6"/>
  <c r="V105" i="6"/>
  <c r="BI104" i="6"/>
  <c r="S105" i="6"/>
  <c r="BJ104" i="6"/>
  <c r="T105" i="6"/>
  <c r="DE104" i="6"/>
  <c r="DG105" i="6"/>
  <c r="CU104" i="6"/>
  <c r="EQ104" i="6"/>
  <c r="EV104" i="6"/>
  <c r="EL104" i="6"/>
  <c r="U99" i="6"/>
  <c r="R99" i="6"/>
  <c r="BQ99" i="6"/>
  <c r="O99" i="6"/>
  <c r="P99" i="6"/>
  <c r="R89" i="6"/>
  <c r="BQ89" i="6"/>
  <c r="O89" i="6"/>
  <c r="P89" i="6"/>
  <c r="Y40" i="6"/>
  <c r="Z40" i="6"/>
  <c r="W40" i="6"/>
  <c r="X40" i="6"/>
  <c r="EW40" i="6"/>
  <c r="V26" i="6"/>
  <c r="S26" i="6"/>
  <c r="T26" i="6"/>
  <c r="U20" i="6"/>
  <c r="V20" i="6"/>
  <c r="BQ20" i="6"/>
  <c r="O20" i="6"/>
  <c r="X20" i="6"/>
  <c r="Y247" i="6"/>
  <c r="P247" i="6"/>
  <c r="Y243" i="6"/>
  <c r="Z243" i="6"/>
  <c r="EW243" i="6"/>
  <c r="BG219" i="6"/>
  <c r="Q220" i="6"/>
  <c r="BL219" i="6"/>
  <c r="V220" i="6"/>
  <c r="BM219" i="6"/>
  <c r="W220" i="6"/>
  <c r="CX219" i="6"/>
  <c r="CY219" i="6"/>
  <c r="DD219" i="6"/>
  <c r="EM219" i="6"/>
  <c r="EU219" i="6"/>
  <c r="EV219" i="6"/>
  <c r="R216" i="6"/>
  <c r="S216" i="6"/>
  <c r="X216" i="6"/>
  <c r="DG216" i="6"/>
  <c r="BH209" i="6"/>
  <c r="R210" i="6"/>
  <c r="BI209" i="6"/>
  <c r="S210" i="6"/>
  <c r="BN209" i="6"/>
  <c r="BR209" i="6" s="1"/>
  <c r="X210" i="6"/>
  <c r="CU209" i="6"/>
  <c r="DG210" i="6"/>
  <c r="CZ209" i="6"/>
  <c r="DA209" i="6"/>
  <c r="EM209" i="6"/>
  <c r="ER209" i="6"/>
  <c r="ES209" i="6"/>
  <c r="BH205" i="6"/>
  <c r="R206" i="6"/>
  <c r="BQ206" i="6"/>
  <c r="BE205" i="6"/>
  <c r="O206" i="6"/>
  <c r="BJ205" i="6"/>
  <c r="T206" i="6"/>
  <c r="DG206" i="6"/>
  <c r="CU205" i="6"/>
  <c r="CZ205" i="6"/>
  <c r="DE205" i="6"/>
  <c r="EL205" i="6"/>
  <c r="ER205" i="6"/>
  <c r="ES205" i="6"/>
  <c r="Y202" i="6"/>
  <c r="BQ202" i="6"/>
  <c r="O202" i="6"/>
  <c r="T202" i="6"/>
  <c r="Q197" i="6"/>
  <c r="V197" i="6"/>
  <c r="W197" i="6"/>
  <c r="DG197" i="6"/>
  <c r="BG193" i="6"/>
  <c r="Q194" i="6"/>
  <c r="BL193" i="6"/>
  <c r="V194" i="6"/>
  <c r="BM193" i="6"/>
  <c r="W194" i="6"/>
  <c r="CX193" i="6"/>
  <c r="CY193" i="6"/>
  <c r="DD193" i="6"/>
  <c r="DE193" i="6"/>
  <c r="EP193" i="6"/>
  <c r="EV193" i="6"/>
  <c r="U190" i="6"/>
  <c r="V190" i="6"/>
  <c r="W190" i="6"/>
  <c r="X190" i="6"/>
  <c r="Q186" i="6"/>
  <c r="BQ186" i="6"/>
  <c r="O186" i="6"/>
  <c r="T186" i="6"/>
  <c r="DG186" i="6"/>
  <c r="U181" i="6"/>
  <c r="Z181" i="6"/>
  <c r="W181" i="6"/>
  <c r="EW181" i="6"/>
  <c r="Y177" i="6"/>
  <c r="V177" i="6"/>
  <c r="W177" i="6"/>
  <c r="BK172" i="6"/>
  <c r="U173" i="6"/>
  <c r="BE172" i="6"/>
  <c r="BQ173" i="6"/>
  <c r="O173" i="6"/>
  <c r="BJ172" i="6"/>
  <c r="T173" i="6"/>
  <c r="CU172" i="6"/>
  <c r="DG173" i="6"/>
  <c r="CZ172" i="6"/>
  <c r="DE172" i="6"/>
  <c r="EQ172" i="6"/>
  <c r="ER172" i="6"/>
  <c r="ES172" i="6"/>
  <c r="Q159" i="6"/>
  <c r="V159" i="6"/>
  <c r="W159" i="6"/>
  <c r="Q152" i="6"/>
  <c r="V152" i="6"/>
  <c r="W152" i="6"/>
  <c r="Q149" i="6"/>
  <c r="BQ149" i="6"/>
  <c r="O149" i="6"/>
  <c r="T149" i="6"/>
  <c r="BO146" i="6"/>
  <c r="Y147" i="6"/>
  <c r="DB146" i="6"/>
  <c r="BF146" i="6"/>
  <c r="P147" i="6"/>
  <c r="DC146" i="6"/>
  <c r="CV146" i="6"/>
  <c r="DA146" i="6"/>
  <c r="EL146" i="6"/>
  <c r="EW147" i="6"/>
  <c r="EK146" i="6"/>
  <c r="EQ146" i="6"/>
  <c r="Q143" i="6"/>
  <c r="V143" i="6"/>
  <c r="S143" i="6"/>
  <c r="X143" i="6"/>
  <c r="U140" i="6"/>
  <c r="R140" i="6"/>
  <c r="S140" i="6"/>
  <c r="X140" i="6"/>
  <c r="U136" i="6"/>
  <c r="BQ136" i="6"/>
  <c r="O136" i="6"/>
  <c r="P136" i="6"/>
  <c r="DG136" i="6"/>
  <c r="Y132" i="6"/>
  <c r="EW132" i="6"/>
  <c r="Y128" i="6"/>
  <c r="V128" i="6"/>
  <c r="S128" i="6"/>
  <c r="T128" i="6"/>
  <c r="DG128" i="6"/>
  <c r="U124" i="6"/>
  <c r="R124" i="6"/>
  <c r="BQ124" i="6"/>
  <c r="O124" i="6"/>
  <c r="P124" i="6"/>
  <c r="Y120" i="6"/>
  <c r="Y112" i="6"/>
  <c r="DG112" i="6"/>
  <c r="EW112" i="6"/>
  <c r="Q109" i="6"/>
  <c r="V109" i="6"/>
  <c r="S109" i="6"/>
  <c r="T109" i="6"/>
  <c r="DG109" i="6"/>
  <c r="U100" i="6"/>
  <c r="R100" i="6"/>
  <c r="BQ100" i="6"/>
  <c r="O100" i="6"/>
  <c r="T100" i="6"/>
  <c r="Y97" i="6"/>
  <c r="Z97" i="6"/>
  <c r="Y93" i="6"/>
  <c r="Z93" i="6"/>
  <c r="DG93" i="6"/>
  <c r="EW93" i="6"/>
  <c r="Y83" i="6"/>
  <c r="R83" i="6"/>
  <c r="S83" i="6"/>
  <c r="T83" i="6"/>
  <c r="R80" i="6"/>
  <c r="Y69" i="6"/>
  <c r="DG69" i="6"/>
  <c r="EW69" i="6"/>
  <c r="Y66" i="6"/>
  <c r="V66" i="6"/>
  <c r="S66" i="6"/>
  <c r="T66" i="6"/>
  <c r="V63" i="6"/>
  <c r="S63" i="6"/>
  <c r="X63" i="6"/>
  <c r="BO57" i="6"/>
  <c r="Y55" i="6"/>
  <c r="BH57" i="6"/>
  <c r="R55" i="6"/>
  <c r="BQ55" i="6"/>
  <c r="BE57" i="6"/>
  <c r="O55" i="6"/>
  <c r="BJ57" i="6"/>
  <c r="T55" i="6"/>
  <c r="DA57" i="6"/>
  <c r="DF57" i="6"/>
  <c r="EQ57" i="6"/>
  <c r="EN57" i="6"/>
  <c r="ES57" i="6"/>
  <c r="BG54" i="6"/>
  <c r="Q51" i="6"/>
  <c r="BP54" i="6"/>
  <c r="Z51" i="6"/>
  <c r="CV54" i="6"/>
  <c r="CZ54" i="6"/>
  <c r="CX54" i="6"/>
  <c r="CU54" i="6"/>
  <c r="DG51" i="6"/>
  <c r="EN54" i="6"/>
  <c r="EW51" i="6"/>
  <c r="EK54" i="6"/>
  <c r="EP54" i="6"/>
  <c r="Q45" i="6"/>
  <c r="V45" i="6"/>
  <c r="S45" i="6"/>
  <c r="P45" i="6"/>
  <c r="V34" i="6"/>
  <c r="S34" i="6"/>
  <c r="T34" i="6"/>
  <c r="Y21" i="6"/>
  <c r="R21" i="6"/>
  <c r="X21" i="6"/>
  <c r="Q19" i="6"/>
  <c r="Y19" i="6"/>
  <c r="Z19" i="6"/>
  <c r="BQ19" i="6"/>
  <c r="O19" i="6"/>
  <c r="X19" i="6"/>
  <c r="BK13" i="6"/>
  <c r="BK6" i="6" s="1"/>
  <c r="U14" i="6"/>
  <c r="DE13" i="6"/>
  <c r="DE6" i="6" s="1"/>
  <c r="BP13" i="6"/>
  <c r="BP6" i="6" s="1"/>
  <c r="Z14" i="6"/>
  <c r="BE13" i="6"/>
  <c r="BQ14" i="6"/>
  <c r="O14" i="6"/>
  <c r="CY13" i="6"/>
  <c r="CY6" i="6" s="1"/>
  <c r="BN13" i="6"/>
  <c r="BN6" i="6" s="1"/>
  <c r="X14" i="6"/>
  <c r="EM13" i="6"/>
  <c r="EM6" i="6" s="1"/>
  <c r="EQ13" i="6"/>
  <c r="EQ6" i="6" s="1"/>
  <c r="ES13" i="6"/>
  <c r="ES6" i="6" s="1"/>
  <c r="R123" i="6"/>
  <c r="BQ123" i="6"/>
  <c r="O123" i="6"/>
  <c r="P123" i="6"/>
  <c r="Y119" i="6"/>
  <c r="EW119" i="6"/>
  <c r="Y96" i="6"/>
  <c r="V96" i="6"/>
  <c r="S96" i="6"/>
  <c r="X96" i="6"/>
  <c r="DG96" i="6"/>
  <c r="Q65" i="6"/>
  <c r="V65" i="6"/>
  <c r="S65" i="6"/>
  <c r="P65" i="6"/>
  <c r="BO53" i="4"/>
  <c r="Y53" i="4" s="1"/>
  <c r="Y53" i="1" s="1"/>
  <c r="Y53" i="6"/>
  <c r="BP53" i="4"/>
  <c r="Z53" i="4" s="1"/>
  <c r="Z53" i="1" s="1"/>
  <c r="Z53" i="6"/>
  <c r="BM53" i="4"/>
  <c r="W53" i="6"/>
  <c r="BN53" i="4"/>
  <c r="X53" i="4" s="1"/>
  <c r="X53" i="1" s="1"/>
  <c r="X53" i="6"/>
  <c r="AB53" i="6" s="1"/>
  <c r="EK53" i="4"/>
  <c r="EW53" i="4" s="1"/>
  <c r="EW53" i="6"/>
  <c r="Y33" i="6"/>
  <c r="DG33" i="6"/>
  <c r="EW33" i="6"/>
  <c r="R7" i="6"/>
  <c r="W7" i="6"/>
  <c r="Q246" i="6"/>
  <c r="V246" i="6"/>
  <c r="W246" i="6"/>
  <c r="BH241" i="6"/>
  <c r="EB82" i="23" s="1"/>
  <c r="R242" i="6"/>
  <c r="BI241" i="6"/>
  <c r="EB81" i="23" s="1"/>
  <c r="S242" i="6"/>
  <c r="BN241" i="6"/>
  <c r="X242" i="6"/>
  <c r="CU241" i="6"/>
  <c r="EB121" i="23" s="1"/>
  <c r="DG242" i="6"/>
  <c r="CZ241" i="6"/>
  <c r="EB116" i="23" s="1"/>
  <c r="DE241" i="6"/>
  <c r="EB111" i="23" s="1"/>
  <c r="EM241" i="6"/>
  <c r="EB155" i="23" s="1"/>
  <c r="ER241" i="6"/>
  <c r="EB150" i="23" s="1"/>
  <c r="ES241" i="6"/>
  <c r="U229" i="6"/>
  <c r="P229" i="6"/>
  <c r="Q226" i="6"/>
  <c r="Z226" i="6"/>
  <c r="P226" i="6"/>
  <c r="EW226" i="6"/>
  <c r="BO214" i="6"/>
  <c r="Y215" i="6"/>
  <c r="BL214" i="6"/>
  <c r="V215" i="6"/>
  <c r="BM214" i="6"/>
  <c r="W215" i="6"/>
  <c r="BN214" i="6"/>
  <c r="BR214" i="6" s="1"/>
  <c r="X215" i="6"/>
  <c r="CU214" i="6"/>
  <c r="DG215" i="6"/>
  <c r="CZ214" i="6"/>
  <c r="DE214" i="6"/>
  <c r="EM214" i="6"/>
  <c r="EV214" i="6"/>
  <c r="R212" i="6"/>
  <c r="S212" i="6"/>
  <c r="X212" i="6"/>
  <c r="DG212" i="6"/>
  <c r="BQ199" i="6"/>
  <c r="O199" i="6"/>
  <c r="T199" i="6"/>
  <c r="DG199" i="6"/>
  <c r="R196" i="6"/>
  <c r="S196" i="6"/>
  <c r="T196" i="6"/>
  <c r="DG196" i="6"/>
  <c r="Y189" i="6"/>
  <c r="BQ189" i="6"/>
  <c r="O189" i="6"/>
  <c r="T189" i="6"/>
  <c r="BG182" i="6"/>
  <c r="Q183" i="6"/>
  <c r="BP182" i="6"/>
  <c r="Z183" i="6"/>
  <c r="DF182" i="6"/>
  <c r="CX182" i="6"/>
  <c r="DC182" i="6"/>
  <c r="DD182" i="6"/>
  <c r="ET182" i="6"/>
  <c r="EU182" i="6"/>
  <c r="EK182" i="6"/>
  <c r="EW183" i="6"/>
  <c r="U180" i="6"/>
  <c r="V180" i="6"/>
  <c r="W180" i="6"/>
  <c r="EW180" i="6"/>
  <c r="Y245" i="6"/>
  <c r="Z245" i="6"/>
  <c r="P245" i="6"/>
  <c r="BO227" i="6"/>
  <c r="Y228" i="6"/>
  <c r="BL227" i="6"/>
  <c r="V228" i="6"/>
  <c r="BM227" i="6"/>
  <c r="W228" i="6"/>
  <c r="DF227" i="6"/>
  <c r="DC227" i="6"/>
  <c r="CW227" i="6"/>
  <c r="EU227" i="6"/>
  <c r="ET227" i="6"/>
  <c r="EW228" i="6"/>
  <c r="EK227" i="6"/>
  <c r="Q225" i="6"/>
  <c r="V225" i="6"/>
  <c r="W225" i="6"/>
  <c r="R222" i="6"/>
  <c r="BQ222" i="6"/>
  <c r="O222" i="6"/>
  <c r="T222" i="6"/>
  <c r="DG222" i="6"/>
  <c r="Y211" i="6"/>
  <c r="Z211" i="6"/>
  <c r="P211" i="6"/>
  <c r="U208" i="6"/>
  <c r="Z208" i="6"/>
  <c r="EW208" i="6"/>
  <c r="Y204" i="6"/>
  <c r="R204" i="6"/>
  <c r="S204" i="6"/>
  <c r="X204" i="6"/>
  <c r="DG204" i="6"/>
  <c r="R201" i="6"/>
  <c r="S201" i="6"/>
  <c r="T201" i="6"/>
  <c r="DG201" i="6"/>
  <c r="R198" i="6"/>
  <c r="S198" i="6"/>
  <c r="X198" i="6"/>
  <c r="DG198" i="6"/>
  <c r="Q195" i="6"/>
  <c r="P195" i="6"/>
  <c r="Q192" i="6"/>
  <c r="V192" i="6"/>
  <c r="W192" i="6"/>
  <c r="EW192" i="6"/>
  <c r="BO187" i="6"/>
  <c r="Y188" i="6"/>
  <c r="BL187" i="6"/>
  <c r="V188" i="6"/>
  <c r="BI187" i="6"/>
  <c r="S188" i="6"/>
  <c r="BN187" i="6"/>
  <c r="BR187" i="6" s="1"/>
  <c r="X188" i="6"/>
  <c r="CY187" i="6"/>
  <c r="DD187" i="6"/>
  <c r="EP187" i="6"/>
  <c r="EM187" i="6"/>
  <c r="EV187" i="6"/>
  <c r="R185" i="6"/>
  <c r="S185" i="6"/>
  <c r="X185" i="6"/>
  <c r="DG185" i="6"/>
  <c r="BH178" i="6"/>
  <c r="R179" i="6"/>
  <c r="BI178" i="6"/>
  <c r="S179" i="6"/>
  <c r="BN178" i="6"/>
  <c r="X179" i="6"/>
  <c r="CU178" i="6"/>
  <c r="DG179" i="6"/>
  <c r="CZ178" i="6"/>
  <c r="DE178" i="6"/>
  <c r="EL178" i="6"/>
  <c r="ER178" i="6"/>
  <c r="ES178" i="6"/>
  <c r="Y175" i="6"/>
  <c r="P175" i="6"/>
  <c r="U160" i="6"/>
  <c r="V160" i="6"/>
  <c r="W160" i="6"/>
  <c r="X160" i="6"/>
  <c r="Y154" i="6"/>
  <c r="V154" i="6"/>
  <c r="W154" i="6"/>
  <c r="X154" i="6"/>
  <c r="R148" i="6"/>
  <c r="S148" i="6"/>
  <c r="T148" i="6"/>
  <c r="BQ145" i="6"/>
  <c r="O145" i="6"/>
  <c r="T145" i="6"/>
  <c r="Y142" i="6"/>
  <c r="BQ142" i="6"/>
  <c r="O142" i="6"/>
  <c r="T142" i="6"/>
  <c r="EW142" i="6"/>
  <c r="CV133" i="6"/>
  <c r="BP133" i="6"/>
  <c r="Z134" i="6"/>
  <c r="BM133" i="6"/>
  <c r="W134" i="6"/>
  <c r="BN133" i="6"/>
  <c r="BR133" i="6" s="1"/>
  <c r="X134" i="6"/>
  <c r="CX133" i="6"/>
  <c r="CY133" i="6"/>
  <c r="EN133" i="6"/>
  <c r="EK133" i="6"/>
  <c r="EW134" i="6"/>
  <c r="EQ133" i="6"/>
  <c r="BK129" i="6"/>
  <c r="U130" i="6"/>
  <c r="BL129" i="6"/>
  <c r="V130" i="6"/>
  <c r="BI129" i="6"/>
  <c r="S130" i="6"/>
  <c r="BN129" i="6"/>
  <c r="X130" i="6"/>
  <c r="DE129" i="6"/>
  <c r="DG130" i="6"/>
  <c r="CU129" i="6"/>
  <c r="ER129" i="6"/>
  <c r="EV129" i="6"/>
  <c r="EM129" i="6"/>
  <c r="Y126" i="6"/>
  <c r="R126" i="6"/>
  <c r="S126" i="6"/>
  <c r="T126" i="6"/>
  <c r="BQ122" i="6"/>
  <c r="O122" i="6"/>
  <c r="P122" i="6"/>
  <c r="Z118" i="6"/>
  <c r="EW118" i="6"/>
  <c r="V111" i="6"/>
  <c r="W111" i="6"/>
  <c r="X111" i="6"/>
  <c r="Q107" i="6"/>
  <c r="R107" i="6"/>
  <c r="S107" i="6"/>
  <c r="T107" i="6"/>
  <c r="R102" i="6"/>
  <c r="Y95" i="6"/>
  <c r="Z95" i="6"/>
  <c r="W95" i="6"/>
  <c r="X95" i="6"/>
  <c r="EW95" i="6"/>
  <c r="BO90" i="6"/>
  <c r="Y91" i="6"/>
  <c r="BL90" i="6"/>
  <c r="V91" i="6"/>
  <c r="BI90" i="6"/>
  <c r="S91" i="6"/>
  <c r="BJ90" i="6"/>
  <c r="T91" i="6"/>
  <c r="DE90" i="6"/>
  <c r="CU90" i="6"/>
  <c r="DG91" i="6"/>
  <c r="EQ90" i="6"/>
  <c r="EV90" i="6"/>
  <c r="EL90" i="6"/>
  <c r="BO87" i="6"/>
  <c r="Y88" i="6"/>
  <c r="BH87" i="6"/>
  <c r="R88" i="6"/>
  <c r="BI87" i="6"/>
  <c r="S88" i="6"/>
  <c r="BJ87" i="6"/>
  <c r="T88" i="6"/>
  <c r="DA87" i="6"/>
  <c r="DF87" i="6"/>
  <c r="DC87" i="6"/>
  <c r="ER87" i="6"/>
  <c r="ES87" i="6"/>
  <c r="Q85" i="6"/>
  <c r="Z82" i="6"/>
  <c r="W82" i="6"/>
  <c r="DG82" i="6"/>
  <c r="EW82" i="6"/>
  <c r="Q78" i="6"/>
  <c r="Z78" i="6"/>
  <c r="W78" i="6"/>
  <c r="DG78" i="6"/>
  <c r="EW78" i="6"/>
  <c r="Y67" i="6"/>
  <c r="V67" i="6"/>
  <c r="S67" i="6"/>
  <c r="X67" i="6"/>
  <c r="AB67" i="6" s="1"/>
  <c r="DG67" i="6"/>
  <c r="BG60" i="6"/>
  <c r="Q61" i="6"/>
  <c r="BL60" i="6"/>
  <c r="V61" i="6"/>
  <c r="BI60" i="6"/>
  <c r="S61" i="6"/>
  <c r="BJ60" i="6"/>
  <c r="T61" i="6"/>
  <c r="DA60" i="6"/>
  <c r="DF60" i="6"/>
  <c r="DC60" i="6"/>
  <c r="EN60" i="6"/>
  <c r="ES60" i="6"/>
  <c r="BH52" i="4"/>
  <c r="R52" i="4" s="1"/>
  <c r="R52" i="1" s="1"/>
  <c r="R52" i="6"/>
  <c r="BE52" i="4"/>
  <c r="BQ52" i="6"/>
  <c r="O52" i="6"/>
  <c r="BF52" i="4"/>
  <c r="P52" i="4" s="1"/>
  <c r="P52" i="1" s="1"/>
  <c r="P52" i="6"/>
  <c r="Q46" i="6"/>
  <c r="Z46" i="6"/>
  <c r="W46" i="6"/>
  <c r="DG46" i="6"/>
  <c r="EW46" i="6"/>
  <c r="U44" i="6"/>
  <c r="Z44" i="6"/>
  <c r="W44" i="6"/>
  <c r="X44" i="6"/>
  <c r="V42" i="6"/>
  <c r="S42" i="6"/>
  <c r="T42" i="6"/>
  <c r="BK38" i="6"/>
  <c r="F79" i="23" s="1"/>
  <c r="U39" i="6"/>
  <c r="BL38" i="6"/>
  <c r="F78" i="23" s="1"/>
  <c r="V39" i="6"/>
  <c r="BI38" i="6"/>
  <c r="F81" i="23" s="1"/>
  <c r="S39" i="6"/>
  <c r="BJ38" i="6"/>
  <c r="F80" i="23" s="1"/>
  <c r="T39" i="6"/>
  <c r="DA38" i="6"/>
  <c r="F115" i="23" s="1"/>
  <c r="DF38" i="6"/>
  <c r="F110" i="23" s="1"/>
  <c r="ER38" i="6"/>
  <c r="F150" i="23" s="1"/>
  <c r="EV38" i="6"/>
  <c r="F146" i="23" s="1"/>
  <c r="EL38" i="6"/>
  <c r="F156" i="23" s="1"/>
  <c r="Y36" i="6"/>
  <c r="R36" i="6"/>
  <c r="S36" i="6"/>
  <c r="T36" i="6"/>
  <c r="BQ32" i="6"/>
  <c r="O32" i="6"/>
  <c r="DG32" i="6"/>
  <c r="Z25" i="6"/>
  <c r="BQ25" i="6"/>
  <c r="O25" i="6"/>
  <c r="EW25" i="6"/>
  <c r="Q168" i="6"/>
  <c r="Z168" i="6"/>
  <c r="W168" i="6"/>
  <c r="U166" i="6"/>
  <c r="Z166" i="6"/>
  <c r="P166" i="6"/>
  <c r="EW166" i="6"/>
  <c r="BO150" i="6"/>
  <c r="Y151" i="6"/>
  <c r="BP150" i="6"/>
  <c r="Z151" i="6"/>
  <c r="BM150" i="6"/>
  <c r="W151" i="6"/>
  <c r="BN150" i="6"/>
  <c r="BR150" i="6" s="1"/>
  <c r="X151" i="6"/>
  <c r="CU150" i="6"/>
  <c r="DG151" i="6"/>
  <c r="DD150" i="6"/>
  <c r="EL150" i="6"/>
  <c r="ER150" i="6"/>
  <c r="EM150" i="6"/>
  <c r="Y135" i="6"/>
  <c r="R135" i="6"/>
  <c r="BQ135" i="6"/>
  <c r="O135" i="6"/>
  <c r="T135" i="6"/>
  <c r="U131" i="6"/>
  <c r="Z131" i="6"/>
  <c r="Y127" i="6"/>
  <c r="EW127" i="6"/>
  <c r="Y92" i="6"/>
  <c r="V92" i="6"/>
  <c r="S92" i="6"/>
  <c r="X92" i="6"/>
  <c r="U86" i="6"/>
  <c r="R86" i="6"/>
  <c r="BQ86" i="6"/>
  <c r="O86" i="6"/>
  <c r="T86" i="6"/>
  <c r="U79" i="6"/>
  <c r="BQ79" i="6"/>
  <c r="O79" i="6"/>
  <c r="P79" i="6"/>
  <c r="Q68" i="6"/>
  <c r="Z68" i="6"/>
  <c r="EW68" i="6"/>
  <c r="Y62" i="6"/>
  <c r="V62" i="6"/>
  <c r="BQ62" i="6"/>
  <c r="O62" i="6"/>
  <c r="P62" i="6"/>
  <c r="Y16" i="6"/>
  <c r="Z16" i="6"/>
  <c r="BQ16" i="6"/>
  <c r="O16" i="6"/>
  <c r="X16" i="6"/>
  <c r="AZ234" i="4"/>
  <c r="M7" i="1"/>
  <c r="I218" i="6"/>
  <c r="E6" i="1"/>
  <c r="EI230" i="4"/>
  <c r="EI231" i="4" s="1"/>
  <c r="K218" i="6"/>
  <c r="AR234" i="6"/>
  <c r="H218" i="6"/>
  <c r="J218" i="6"/>
  <c r="G218" i="6"/>
  <c r="H156" i="1"/>
  <c r="BC230" i="4"/>
  <c r="BC231" i="4" s="1"/>
  <c r="AZ234" i="6"/>
  <c r="A156" i="6"/>
  <c r="D115" i="1"/>
  <c r="H115" i="6"/>
  <c r="G230" i="4"/>
  <c r="G231" i="4" s="1"/>
  <c r="B75" i="6"/>
  <c r="E75" i="6"/>
  <c r="E230" i="4"/>
  <c r="E231" i="4" s="1"/>
  <c r="A43" i="1"/>
  <c r="A47" i="1" s="1"/>
  <c r="F43" i="6"/>
  <c r="F47" i="6" s="1"/>
  <c r="B43" i="6"/>
  <c r="B47" i="6" s="1"/>
  <c r="D43" i="6"/>
  <c r="D47" i="6" s="1"/>
  <c r="K71" i="4"/>
  <c r="K72" i="4" s="1"/>
  <c r="K43" i="6"/>
  <c r="K47" i="6" s="1"/>
  <c r="J43" i="6"/>
  <c r="J47" i="6" s="1"/>
  <c r="A70" i="5"/>
  <c r="M38" i="1"/>
  <c r="D38" i="1"/>
  <c r="D43" i="1" s="1"/>
  <c r="D47" i="1" s="1"/>
  <c r="E70" i="5"/>
  <c r="J70" i="5"/>
  <c r="I70" i="5"/>
  <c r="L70" i="5"/>
  <c r="F70" i="5"/>
  <c r="D70" i="5"/>
  <c r="K70" i="5"/>
  <c r="H70" i="5"/>
  <c r="B6" i="5"/>
  <c r="F70" i="1"/>
  <c r="F6" i="1"/>
  <c r="B70" i="5"/>
  <c r="H6" i="1"/>
  <c r="G6" i="1"/>
  <c r="B70" i="1"/>
  <c r="C70" i="5"/>
  <c r="I6" i="1"/>
  <c r="C70" i="1"/>
  <c r="K70" i="1"/>
  <c r="AO58" i="5"/>
  <c r="F58" i="7"/>
  <c r="L230" i="4"/>
  <c r="C70" i="7"/>
  <c r="J71" i="4"/>
  <c r="J72" i="4" s="1"/>
  <c r="CS230" i="4"/>
  <c r="CS231" i="4" s="1"/>
  <c r="A6" i="1"/>
  <c r="M241" i="1"/>
  <c r="I70" i="1"/>
  <c r="J70" i="1"/>
  <c r="A70" i="1"/>
  <c r="M70" i="4"/>
  <c r="D70" i="7"/>
  <c r="J70" i="7"/>
  <c r="G43" i="7"/>
  <c r="G47" i="7" s="1"/>
  <c r="M60" i="7"/>
  <c r="M38" i="7"/>
  <c r="E70" i="7"/>
  <c r="M6" i="4"/>
  <c r="K6" i="1"/>
  <c r="M88" i="1"/>
  <c r="M87" i="1" s="1"/>
  <c r="M138" i="1"/>
  <c r="CH231" i="4"/>
  <c r="CH233" i="4"/>
  <c r="CH249" i="4" s="1"/>
  <c r="I70" i="7"/>
  <c r="L70" i="1"/>
  <c r="K70" i="7"/>
  <c r="F70" i="7"/>
  <c r="M29" i="1"/>
  <c r="M60" i="1"/>
  <c r="A75" i="1"/>
  <c r="AZ233" i="5"/>
  <c r="AZ249" i="5" s="1"/>
  <c r="AV231" i="5"/>
  <c r="AU233" i="5"/>
  <c r="AR233" i="5"/>
  <c r="AR234" i="5" s="1"/>
  <c r="AT233" i="5"/>
  <c r="AY233" i="5"/>
  <c r="AY249" i="5" s="1"/>
  <c r="H218" i="5"/>
  <c r="BA250" i="5"/>
  <c r="BA234" i="5"/>
  <c r="BA231" i="5"/>
  <c r="M76" i="1"/>
  <c r="M90" i="1"/>
  <c r="C6" i="1"/>
  <c r="M237" i="1"/>
  <c r="M236" i="1" s="1"/>
  <c r="A223" i="1"/>
  <c r="A218" i="1" s="1"/>
  <c r="M224" i="1"/>
  <c r="M223" i="1" s="1"/>
  <c r="M220" i="1"/>
  <c r="M219" i="1" s="1"/>
  <c r="M215" i="1"/>
  <c r="M214" i="1" s="1"/>
  <c r="AQ233" i="5"/>
  <c r="AQ249" i="5" s="1"/>
  <c r="AQ250" i="5" s="1"/>
  <c r="AX233" i="5"/>
  <c r="M194" i="1"/>
  <c r="M193" i="1" s="1"/>
  <c r="AW231" i="5"/>
  <c r="AW233" i="5"/>
  <c r="AW249" i="5" s="1"/>
  <c r="M179" i="1"/>
  <c r="M178" i="1" s="1"/>
  <c r="BB231" i="5"/>
  <c r="BB233" i="5"/>
  <c r="BB249" i="5" s="1"/>
  <c r="A156" i="1"/>
  <c r="M157" i="1"/>
  <c r="B115" i="1"/>
  <c r="M151" i="1"/>
  <c r="M150" i="1" s="1"/>
  <c r="J115" i="1"/>
  <c r="M147" i="1"/>
  <c r="M146" i="1" s="1"/>
  <c r="AS231" i="5"/>
  <c r="AS233" i="5"/>
  <c r="AS249" i="5" s="1"/>
  <c r="M134" i="1"/>
  <c r="M133" i="1" s="1"/>
  <c r="A129" i="1"/>
  <c r="A115" i="1" s="1"/>
  <c r="M130" i="1"/>
  <c r="M129" i="1" s="1"/>
  <c r="M117" i="1"/>
  <c r="M116" i="1" s="1"/>
  <c r="M104" i="1"/>
  <c r="M27" i="1"/>
  <c r="M13" i="1"/>
  <c r="B6" i="1"/>
  <c r="M14" i="1"/>
  <c r="M8" i="1"/>
  <c r="L6" i="5"/>
  <c r="Y8" i="1"/>
  <c r="AA236" i="6"/>
  <c r="AA156" i="8"/>
  <c r="AA115" i="8"/>
  <c r="A230" i="4"/>
  <c r="A231" i="4" s="1"/>
  <c r="M43" i="4"/>
  <c r="M47" i="4" s="1"/>
  <c r="CO250" i="4"/>
  <c r="CO234" i="4"/>
  <c r="I71" i="4"/>
  <c r="AO6" i="4"/>
  <c r="D230" i="4"/>
  <c r="D231" i="4" s="1"/>
  <c r="M75" i="4"/>
  <c r="H230" i="4"/>
  <c r="H231" i="4" s="1"/>
  <c r="AQ233" i="4"/>
  <c r="AQ249" i="4" s="1"/>
  <c r="AQ72" i="4"/>
  <c r="I230" i="4"/>
  <c r="I231" i="4" s="1"/>
  <c r="G71" i="4"/>
  <c r="G72" i="4" s="1"/>
  <c r="K230" i="4"/>
  <c r="K231" i="4" s="1"/>
  <c r="B230" i="4"/>
  <c r="B231" i="4" s="1"/>
  <c r="J230" i="4"/>
  <c r="J231" i="4" s="1"/>
  <c r="C230" i="4"/>
  <c r="C231" i="4" s="1"/>
  <c r="AO43" i="5"/>
  <c r="AO47" i="5" s="1"/>
  <c r="M57" i="5"/>
  <c r="H43" i="5"/>
  <c r="H47" i="5" s="1"/>
  <c r="J43" i="5"/>
  <c r="J47" i="5" s="1"/>
  <c r="C43" i="5"/>
  <c r="C47" i="5" s="1"/>
  <c r="E6" i="5"/>
  <c r="I6" i="5"/>
  <c r="CG234" i="5"/>
  <c r="CG250" i="5"/>
  <c r="J58" i="5"/>
  <c r="C58" i="5"/>
  <c r="I218" i="5"/>
  <c r="K218" i="5"/>
  <c r="F218" i="5"/>
  <c r="AO8" i="6"/>
  <c r="E218" i="6"/>
  <c r="E156" i="6"/>
  <c r="F115" i="6"/>
  <c r="L218" i="6"/>
  <c r="C58" i="6"/>
  <c r="H58" i="6"/>
  <c r="D75" i="6"/>
  <c r="DW234" i="6"/>
  <c r="DW250" i="6"/>
  <c r="M57" i="6"/>
  <c r="D115" i="6"/>
  <c r="AO13" i="6"/>
  <c r="L115" i="6"/>
  <c r="B115" i="6"/>
  <c r="C115" i="6"/>
  <c r="E43" i="6"/>
  <c r="E47" i="6" s="1"/>
  <c r="M27" i="6"/>
  <c r="J115" i="6"/>
  <c r="M90" i="6"/>
  <c r="A115" i="6"/>
  <c r="M150" i="6"/>
  <c r="AC6" i="6"/>
  <c r="AO54" i="6"/>
  <c r="M116" i="6"/>
  <c r="L156" i="6"/>
  <c r="I115" i="6"/>
  <c r="I75" i="6"/>
  <c r="I156" i="6"/>
  <c r="H156" i="6"/>
  <c r="AQ234" i="6"/>
  <c r="AQ250" i="6"/>
  <c r="C156" i="6"/>
  <c r="K75" i="6"/>
  <c r="M29" i="6"/>
  <c r="L75" i="6"/>
  <c r="I43" i="6"/>
  <c r="I47" i="6" s="1"/>
  <c r="AO236" i="7"/>
  <c r="H43" i="7"/>
  <c r="H47" i="7" s="1"/>
  <c r="B43" i="7"/>
  <c r="B47" i="7" s="1"/>
  <c r="M29" i="7"/>
  <c r="AA8" i="7"/>
  <c r="U230" i="8"/>
  <c r="U231" i="8" s="1"/>
  <c r="A43" i="7"/>
  <c r="A47" i="7" s="1"/>
  <c r="AA236" i="7"/>
  <c r="I43" i="7"/>
  <c r="I47" i="7" s="1"/>
  <c r="D43" i="7"/>
  <c r="D47" i="7" s="1"/>
  <c r="E43" i="7"/>
  <c r="E47" i="7" s="1"/>
  <c r="K43" i="7"/>
  <c r="K47" i="7" s="1"/>
  <c r="M241" i="6"/>
  <c r="B218" i="6"/>
  <c r="F156" i="6"/>
  <c r="G75" i="6"/>
  <c r="M76" i="6"/>
  <c r="M60" i="6"/>
  <c r="AA8" i="6"/>
  <c r="M38" i="6"/>
  <c r="H75" i="6"/>
  <c r="E115" i="6"/>
  <c r="D156" i="6"/>
  <c r="B156" i="6"/>
  <c r="K156" i="6"/>
  <c r="M133" i="6"/>
  <c r="M104" i="6"/>
  <c r="M87" i="6"/>
  <c r="AO236" i="6"/>
  <c r="C75" i="6"/>
  <c r="L6" i="6"/>
  <c r="J156" i="6"/>
  <c r="G115" i="6"/>
  <c r="G156" i="6"/>
  <c r="M129" i="6"/>
  <c r="A75" i="6"/>
  <c r="F58" i="6"/>
  <c r="AH6" i="6"/>
  <c r="D6" i="6"/>
  <c r="H6" i="6"/>
  <c r="F75" i="6"/>
  <c r="M13" i="5"/>
  <c r="K43" i="5"/>
  <c r="K47" i="5" s="1"/>
  <c r="D58" i="5"/>
  <c r="M115" i="4"/>
  <c r="F230" i="4"/>
  <c r="C218" i="5"/>
  <c r="E115" i="5"/>
  <c r="K6" i="5"/>
  <c r="I43" i="5"/>
  <c r="I47" i="5" s="1"/>
  <c r="G43" i="5"/>
  <c r="G47" i="5" s="1"/>
  <c r="B43" i="5"/>
  <c r="B47" i="5" s="1"/>
  <c r="M27" i="5"/>
  <c r="M38" i="5"/>
  <c r="M150" i="5"/>
  <c r="G6" i="5"/>
  <c r="A43" i="5"/>
  <c r="A47" i="5" s="1"/>
  <c r="M54" i="5"/>
  <c r="A218" i="5"/>
  <c r="J218" i="5"/>
  <c r="D218" i="5"/>
  <c r="G75" i="5"/>
  <c r="B75" i="5"/>
  <c r="E43" i="5"/>
  <c r="E47" i="5" s="1"/>
  <c r="F43" i="5"/>
  <c r="F47" i="5" s="1"/>
  <c r="M29" i="5"/>
  <c r="M129" i="5"/>
  <c r="M8" i="5"/>
  <c r="M157" i="5"/>
  <c r="M156" i="5" s="1"/>
  <c r="M138" i="5"/>
  <c r="G218" i="5"/>
  <c r="F58" i="5"/>
  <c r="L218" i="5"/>
  <c r="J115" i="5"/>
  <c r="L58" i="5"/>
  <c r="C75" i="5"/>
  <c r="G58" i="5"/>
  <c r="I115" i="5"/>
  <c r="B58" i="5"/>
  <c r="E156" i="5"/>
  <c r="C115" i="5"/>
  <c r="E218" i="5"/>
  <c r="A58" i="5"/>
  <c r="A115" i="5"/>
  <c r="F75" i="5"/>
  <c r="E58" i="5"/>
  <c r="K115" i="5"/>
  <c r="D156" i="5"/>
  <c r="A156" i="5"/>
  <c r="L156" i="5"/>
  <c r="I156" i="5"/>
  <c r="D75" i="5"/>
  <c r="B115" i="5"/>
  <c r="H156" i="5"/>
  <c r="G115" i="5"/>
  <c r="F156" i="5"/>
  <c r="J75" i="5"/>
  <c r="I58" i="5"/>
  <c r="C156" i="5"/>
  <c r="J156" i="5"/>
  <c r="H115" i="5"/>
  <c r="A75" i="5"/>
  <c r="G156" i="5"/>
  <c r="L115" i="5"/>
  <c r="E75" i="5"/>
  <c r="M241" i="5"/>
  <c r="M236" i="5"/>
  <c r="B156" i="5"/>
  <c r="M133" i="5"/>
  <c r="M90" i="5"/>
  <c r="M146" i="5"/>
  <c r="M116" i="5"/>
  <c r="L75" i="5"/>
  <c r="D115" i="5"/>
  <c r="F115" i="5"/>
  <c r="M76" i="5"/>
  <c r="A6" i="5"/>
  <c r="K156" i="5"/>
  <c r="M104" i="5"/>
  <c r="H75" i="5"/>
  <c r="I75" i="5"/>
  <c r="M60" i="5"/>
  <c r="M157" i="6"/>
  <c r="M156" i="6" s="1"/>
  <c r="M138" i="6"/>
  <c r="M13" i="6"/>
  <c r="A6" i="6"/>
  <c r="M236" i="6"/>
  <c r="K115" i="6"/>
  <c r="DH211" i="5" l="1"/>
  <c r="DH213" i="5"/>
  <c r="AB123" i="5"/>
  <c r="DH192" i="5"/>
  <c r="DH144" i="5"/>
  <c r="DH90" i="5"/>
  <c r="AB113" i="5"/>
  <c r="DH110" i="5"/>
  <c r="BR87" i="5"/>
  <c r="AB145" i="5"/>
  <c r="DH241" i="5"/>
  <c r="AB86" i="5"/>
  <c r="AB161" i="5"/>
  <c r="AB173" i="5"/>
  <c r="DH130" i="5"/>
  <c r="AB98" i="5"/>
  <c r="AB179" i="5"/>
  <c r="AB212" i="5"/>
  <c r="AB101" i="5"/>
  <c r="DH245" i="5"/>
  <c r="AB143" i="5"/>
  <c r="DH157" i="5"/>
  <c r="BR157" i="5"/>
  <c r="AB127" i="5"/>
  <c r="BR182" i="5"/>
  <c r="AB126" i="5"/>
  <c r="AB181" i="5"/>
  <c r="DH172" i="5"/>
  <c r="BR146" i="5"/>
  <c r="AB190" i="5"/>
  <c r="DH159" i="5"/>
  <c r="AB108" i="5"/>
  <c r="AB154" i="5"/>
  <c r="AB82" i="5"/>
  <c r="AB242" i="5"/>
  <c r="AB220" i="5"/>
  <c r="AB208" i="5"/>
  <c r="AB134" i="5"/>
  <c r="BR205" i="5"/>
  <c r="DH197" i="5"/>
  <c r="DH168" i="5"/>
  <c r="DH109" i="5"/>
  <c r="DH101" i="5"/>
  <c r="DH62" i="5"/>
  <c r="DH64" i="5"/>
  <c r="DH243" i="5"/>
  <c r="DH96" i="5"/>
  <c r="DH228" i="5"/>
  <c r="DH196" i="5"/>
  <c r="DH185" i="5"/>
  <c r="DH117" i="5"/>
  <c r="AB117" i="5"/>
  <c r="AB64" i="5"/>
  <c r="DH158" i="5"/>
  <c r="DH207" i="5"/>
  <c r="DH95" i="5"/>
  <c r="DH102" i="5"/>
  <c r="AB107" i="5"/>
  <c r="DH203" i="5"/>
  <c r="DH204" i="5"/>
  <c r="DH176" i="5"/>
  <c r="DH118" i="5"/>
  <c r="AB228" i="5"/>
  <c r="AB148" i="5"/>
  <c r="AB191" i="5"/>
  <c r="DH226" i="5"/>
  <c r="DH63" i="5"/>
  <c r="DH105" i="5"/>
  <c r="DH131" i="5"/>
  <c r="AB184" i="5"/>
  <c r="AB153" i="5"/>
  <c r="DH60" i="5"/>
  <c r="DH242" i="5"/>
  <c r="DH136" i="5"/>
  <c r="AB246" i="5"/>
  <c r="AB171" i="5"/>
  <c r="AB105" i="5"/>
  <c r="AB63" i="5"/>
  <c r="AB177" i="5"/>
  <c r="AB125" i="5"/>
  <c r="AB136" i="5"/>
  <c r="AB195" i="5"/>
  <c r="BR223" i="5"/>
  <c r="BR241" i="5"/>
  <c r="DH129" i="5"/>
  <c r="BR193" i="5"/>
  <c r="AB174" i="5"/>
  <c r="DH111" i="5"/>
  <c r="DH106" i="5"/>
  <c r="DH208" i="5"/>
  <c r="BR150" i="5"/>
  <c r="AB120" i="5"/>
  <c r="DH146" i="5"/>
  <c r="DH133" i="5"/>
  <c r="AB183" i="5"/>
  <c r="DH202" i="5"/>
  <c r="AB147" i="5"/>
  <c r="BR187" i="5"/>
  <c r="AB95" i="5"/>
  <c r="AB162" i="5"/>
  <c r="DH177" i="5"/>
  <c r="AB194" i="5"/>
  <c r="AB128" i="5"/>
  <c r="DH147" i="5"/>
  <c r="BR227" i="5"/>
  <c r="AB176" i="5"/>
  <c r="AB197" i="5"/>
  <c r="AB215" i="5"/>
  <c r="AB199" i="5"/>
  <c r="AB144" i="5"/>
  <c r="BR60" i="5"/>
  <c r="DH138" i="5"/>
  <c r="AB226" i="5"/>
  <c r="BR219" i="5"/>
  <c r="BR133" i="5"/>
  <c r="AB245" i="5"/>
  <c r="DH113" i="5"/>
  <c r="DH149" i="5"/>
  <c r="DH143" i="5"/>
  <c r="DH91" i="5"/>
  <c r="ET43" i="6"/>
  <c r="ET47" i="6" s="1"/>
  <c r="ET58" i="6"/>
  <c r="ET71" i="6" s="1"/>
  <c r="ET70" i="6"/>
  <c r="AA202" i="6"/>
  <c r="DH95" i="6"/>
  <c r="DH186" i="6"/>
  <c r="DH145" i="6"/>
  <c r="DH84" i="6"/>
  <c r="DH123" i="6"/>
  <c r="DH118" i="6"/>
  <c r="DH110" i="6"/>
  <c r="BR146" i="6"/>
  <c r="DH160" i="6"/>
  <c r="DH83" i="6"/>
  <c r="DH175" i="6"/>
  <c r="DH125" i="6"/>
  <c r="DH207" i="6"/>
  <c r="DH128" i="6"/>
  <c r="DH212" i="6"/>
  <c r="DH170" i="6"/>
  <c r="DH174" i="6"/>
  <c r="DH81" i="6"/>
  <c r="DH208" i="6"/>
  <c r="DH97" i="6"/>
  <c r="DH184" i="6"/>
  <c r="DH109" i="6"/>
  <c r="DH99" i="6"/>
  <c r="DH152" i="6"/>
  <c r="DH196" i="6"/>
  <c r="BR129" i="6"/>
  <c r="BR205" i="6"/>
  <c r="BR178" i="6"/>
  <c r="DH137" i="6"/>
  <c r="DH189" i="6"/>
  <c r="DH199" i="6"/>
  <c r="DH111" i="6"/>
  <c r="DH78" i="6"/>
  <c r="DH98" i="6"/>
  <c r="DH211" i="6"/>
  <c r="DH140" i="6"/>
  <c r="BR193" i="6"/>
  <c r="BR219" i="6"/>
  <c r="BR60" i="6"/>
  <c r="DH141" i="6"/>
  <c r="DH101" i="6"/>
  <c r="DH80" i="6"/>
  <c r="DH192" i="6"/>
  <c r="DH171" i="6"/>
  <c r="DH127" i="6"/>
  <c r="DH226" i="6"/>
  <c r="DH162" i="6"/>
  <c r="DH142" i="6"/>
  <c r="DH108" i="6"/>
  <c r="DH190" i="6"/>
  <c r="DH94" i="6"/>
  <c r="DH200" i="6"/>
  <c r="DH64" i="6"/>
  <c r="BR164" i="6"/>
  <c r="DH159" i="6"/>
  <c r="DH100" i="6"/>
  <c r="DH202" i="6"/>
  <c r="DH229" i="6"/>
  <c r="DH106" i="6"/>
  <c r="AA189" i="6"/>
  <c r="DD58" i="5"/>
  <c r="DH58" i="5" s="1"/>
  <c r="AA173" i="6"/>
  <c r="EB112" i="23"/>
  <c r="F76" i="23"/>
  <c r="BR38" i="6"/>
  <c r="X57" i="5"/>
  <c r="AB57" i="5" s="1"/>
  <c r="AB55" i="5"/>
  <c r="AA224" i="6"/>
  <c r="AA212" i="6"/>
  <c r="F112" i="23"/>
  <c r="AA225" i="6"/>
  <c r="AA213" i="6"/>
  <c r="AA211" i="6"/>
  <c r="X54" i="5"/>
  <c r="AB54" i="5" s="1"/>
  <c r="AB51" i="5"/>
  <c r="EB76" i="23"/>
  <c r="BR241" i="6"/>
  <c r="AA210" i="6"/>
  <c r="AA191" i="6"/>
  <c r="AA226" i="6"/>
  <c r="EB148" i="23"/>
  <c r="AA174" i="6"/>
  <c r="F148" i="23"/>
  <c r="AA203" i="6"/>
  <c r="AA181" i="6"/>
  <c r="AA197" i="6"/>
  <c r="AA199" i="6"/>
  <c r="AA201" i="6"/>
  <c r="AA196" i="6"/>
  <c r="AA175" i="6"/>
  <c r="AA195" i="6"/>
  <c r="AA200" i="6"/>
  <c r="AA179" i="6"/>
  <c r="AA192" i="6"/>
  <c r="AA180" i="6"/>
  <c r="AA177" i="6"/>
  <c r="AA190" i="6"/>
  <c r="AA194" i="6"/>
  <c r="AA186" i="6"/>
  <c r="AA184" i="6"/>
  <c r="AA185" i="6"/>
  <c r="AA188" i="6"/>
  <c r="AA176" i="6"/>
  <c r="AA204" i="6"/>
  <c r="AA198" i="6"/>
  <c r="AA183" i="6"/>
  <c r="DD70" i="6"/>
  <c r="ED234" i="4"/>
  <c r="EB4" i="23"/>
  <c r="EB40" i="23"/>
  <c r="AL4" i="5"/>
  <c r="AL4" i="1" s="1"/>
  <c r="BN6" i="5"/>
  <c r="DD6" i="5"/>
  <c r="E40" i="23" s="1"/>
  <c r="W72" i="8"/>
  <c r="AU234" i="4"/>
  <c r="J71" i="6"/>
  <c r="J72" i="6" s="1"/>
  <c r="G71" i="6"/>
  <c r="G72" i="6" s="1"/>
  <c r="EI234" i="6"/>
  <c r="I71" i="6"/>
  <c r="I72" i="6" s="1"/>
  <c r="Z87" i="6"/>
  <c r="AK62" i="6"/>
  <c r="AO6" i="7"/>
  <c r="AM63" i="6"/>
  <c r="BP75" i="6"/>
  <c r="AL62" i="6"/>
  <c r="AB62" i="6" s="1"/>
  <c r="E117" i="23"/>
  <c r="D117" i="23" s="1"/>
  <c r="E157" i="23"/>
  <c r="D157" i="23" s="1"/>
  <c r="AO249" i="8"/>
  <c r="AO250" i="8" s="1"/>
  <c r="AK233" i="8"/>
  <c r="AK231" i="8"/>
  <c r="AK222" i="6"/>
  <c r="E71" i="7"/>
  <c r="E72" i="7" s="1"/>
  <c r="B71" i="7"/>
  <c r="B72" i="7" s="1"/>
  <c r="EA249" i="4"/>
  <c r="EA250" i="4" s="1"/>
  <c r="EE249" i="4"/>
  <c r="EE250" i="4" s="1"/>
  <c r="EH234" i="4"/>
  <c r="EH249" i="4"/>
  <c r="EH250" i="4" s="1"/>
  <c r="EC249" i="4"/>
  <c r="EC250" i="4" s="1"/>
  <c r="DW249" i="4"/>
  <c r="DW250" i="4" s="1"/>
  <c r="DX234" i="4"/>
  <c r="DX249" i="4"/>
  <c r="DX250" i="4" s="1"/>
  <c r="CN234" i="4"/>
  <c r="CN249" i="4"/>
  <c r="CN250" i="4" s="1"/>
  <c r="CG234" i="4"/>
  <c r="CG249" i="4"/>
  <c r="CG250" i="4" s="1"/>
  <c r="CR249" i="4"/>
  <c r="CR250" i="4" s="1"/>
  <c r="CK249" i="4"/>
  <c r="CK250" i="4" s="1"/>
  <c r="DZ249" i="4"/>
  <c r="DZ250" i="4" s="1"/>
  <c r="CM234" i="4"/>
  <c r="CM249" i="4"/>
  <c r="CM250" i="4" s="1"/>
  <c r="EB234" i="4"/>
  <c r="EB249" i="4"/>
  <c r="EB250" i="4" s="1"/>
  <c r="CJ234" i="4"/>
  <c r="CJ249" i="4"/>
  <c r="CJ250" i="4" s="1"/>
  <c r="EG249" i="4"/>
  <c r="EG250" i="4" s="1"/>
  <c r="DG227" i="5"/>
  <c r="BQ227" i="5"/>
  <c r="BQ223" i="5"/>
  <c r="BQ219" i="5"/>
  <c r="DG57" i="5"/>
  <c r="DG58" i="5" s="1"/>
  <c r="W233" i="8"/>
  <c r="W234" i="8" s="1"/>
  <c r="DG223" i="5"/>
  <c r="X87" i="5"/>
  <c r="BM6" i="5"/>
  <c r="EB5" i="23"/>
  <c r="AK4" i="5"/>
  <c r="EB41" i="23"/>
  <c r="DC6" i="5"/>
  <c r="E41" i="23" s="1"/>
  <c r="W57" i="5"/>
  <c r="W54" i="5"/>
  <c r="DC58" i="5"/>
  <c r="DI63" i="4"/>
  <c r="AC63" i="6"/>
  <c r="K41" i="24"/>
  <c r="BU41" i="24"/>
  <c r="BD41" i="24"/>
  <c r="F113" i="23"/>
  <c r="B71" i="6"/>
  <c r="B72" i="6" s="1"/>
  <c r="EB113" i="23"/>
  <c r="AG185" i="6"/>
  <c r="EB149" i="23"/>
  <c r="F77" i="23"/>
  <c r="C71" i="6"/>
  <c r="C72" i="6" s="1"/>
  <c r="Z150" i="6"/>
  <c r="K71" i="6"/>
  <c r="K72" i="6" s="1"/>
  <c r="EB77" i="23"/>
  <c r="F149" i="23"/>
  <c r="AD62" i="6"/>
  <c r="DW234" i="4"/>
  <c r="AX234" i="4"/>
  <c r="BQ219" i="6"/>
  <c r="AN219" i="6"/>
  <c r="BU218" i="6"/>
  <c r="DG219" i="6"/>
  <c r="J71" i="7"/>
  <c r="J72" i="7" s="1"/>
  <c r="F71" i="7"/>
  <c r="F72" i="7" s="1"/>
  <c r="L71" i="7"/>
  <c r="L72" i="7" s="1"/>
  <c r="D71" i="7"/>
  <c r="D72" i="7" s="1"/>
  <c r="AV234" i="4"/>
  <c r="G71" i="7"/>
  <c r="G72" i="7" s="1"/>
  <c r="C71" i="7"/>
  <c r="C72" i="7" s="1"/>
  <c r="W53" i="4"/>
  <c r="W56" i="4"/>
  <c r="AY234" i="4"/>
  <c r="W52" i="4"/>
  <c r="H71" i="7"/>
  <c r="H72" i="7" s="1"/>
  <c r="EI234" i="7"/>
  <c r="DZ234" i="4"/>
  <c r="AV234" i="5"/>
  <c r="EA234" i="4"/>
  <c r="V87" i="5"/>
  <c r="Q87" i="5"/>
  <c r="DG29" i="5"/>
  <c r="DG13" i="5"/>
  <c r="DG6" i="5" s="1"/>
  <c r="AH208" i="5"/>
  <c r="DG219" i="5"/>
  <c r="R227" i="5"/>
  <c r="Y249" i="8"/>
  <c r="Y250" i="8" s="1"/>
  <c r="EE234" i="4"/>
  <c r="S227" i="6"/>
  <c r="EC234" i="4"/>
  <c r="AG67" i="1"/>
  <c r="AI67" i="1"/>
  <c r="EG234" i="4"/>
  <c r="K71" i="7"/>
  <c r="K72" i="7" s="1"/>
  <c r="CK234" i="4"/>
  <c r="BB234" i="4"/>
  <c r="CR234" i="4"/>
  <c r="M58" i="7"/>
  <c r="AJ67" i="1"/>
  <c r="L233" i="4"/>
  <c r="L249" i="4" s="1"/>
  <c r="L250" i="4" s="1"/>
  <c r="EL70" i="6"/>
  <c r="EO70" i="6"/>
  <c r="AO67" i="6"/>
  <c r="DM38" i="6"/>
  <c r="F45" i="24" s="1"/>
  <c r="X133" i="6"/>
  <c r="CE76" i="6"/>
  <c r="BA234" i="4"/>
  <c r="Y87" i="6"/>
  <c r="CX58" i="6"/>
  <c r="CU70" i="6"/>
  <c r="Q227" i="6"/>
  <c r="AE64" i="6"/>
  <c r="BX70" i="6"/>
  <c r="CE60" i="6"/>
  <c r="AF62" i="6"/>
  <c r="AK63" i="6"/>
  <c r="BT115" i="6"/>
  <c r="P57" i="6"/>
  <c r="AH67" i="1"/>
  <c r="AE67" i="1"/>
  <c r="AF185" i="6"/>
  <c r="CV58" i="6"/>
  <c r="E147" i="23"/>
  <c r="D147" i="23" s="1"/>
  <c r="BF70" i="6"/>
  <c r="CC70" i="6"/>
  <c r="AH62" i="6"/>
  <c r="AL64" i="6"/>
  <c r="AB64" i="6" s="1"/>
  <c r="CC156" i="6"/>
  <c r="AF64" i="6"/>
  <c r="AN62" i="6"/>
  <c r="Y214" i="6"/>
  <c r="CV70" i="6"/>
  <c r="AI63" i="6"/>
  <c r="AK64" i="6"/>
  <c r="BX218" i="6"/>
  <c r="DJ29" i="6"/>
  <c r="EK58" i="6"/>
  <c r="BH70" i="6"/>
  <c r="BZ156" i="6"/>
  <c r="E112" i="23"/>
  <c r="D112" i="23" s="1"/>
  <c r="AJ185" i="6"/>
  <c r="AI64" i="6"/>
  <c r="X214" i="6"/>
  <c r="AF67" i="1"/>
  <c r="BY115" i="6"/>
  <c r="BF39" i="24"/>
  <c r="DS138" i="6"/>
  <c r="CJ40" i="24"/>
  <c r="AX47" i="24"/>
  <c r="BB41" i="24"/>
  <c r="DQ133" i="6"/>
  <c r="BI46" i="24"/>
  <c r="DB38" i="24"/>
  <c r="X47" i="24"/>
  <c r="K47" i="24"/>
  <c r="DS88" i="6"/>
  <c r="DP46" i="24"/>
  <c r="FD153" i="6"/>
  <c r="FC153" i="6"/>
  <c r="BR57" i="24" s="1"/>
  <c r="FB153" i="6"/>
  <c r="BR58" i="24" s="1"/>
  <c r="FG153" i="6"/>
  <c r="EZ153" i="6"/>
  <c r="EY153" i="6"/>
  <c r="FF153" i="6"/>
  <c r="BR54" i="24" s="1"/>
  <c r="FE153" i="6"/>
  <c r="FA153" i="6"/>
  <c r="FJ153" i="6"/>
  <c r="FI153" i="6"/>
  <c r="FH153" i="6"/>
  <c r="L40" i="24"/>
  <c r="DN39" i="24"/>
  <c r="DO48" i="24"/>
  <c r="DJ214" i="6"/>
  <c r="BT44" i="24"/>
  <c r="DN157" i="6"/>
  <c r="CN48" i="24"/>
  <c r="DJ182" i="6"/>
  <c r="DG45" i="24"/>
  <c r="AX46" i="24"/>
  <c r="DN241" i="6"/>
  <c r="EB44" i="24" s="1"/>
  <c r="BE42" i="24"/>
  <c r="DD48" i="24"/>
  <c r="L48" i="24"/>
  <c r="AO46" i="24"/>
  <c r="FF34" i="6"/>
  <c r="AJ34" i="6" s="1"/>
  <c r="FD34" i="6"/>
  <c r="AH34" i="6" s="1"/>
  <c r="FE34" i="6"/>
  <c r="AI34" i="6" s="1"/>
  <c r="FJ34" i="6"/>
  <c r="AN34" i="6" s="1"/>
  <c r="FI34" i="6"/>
  <c r="AM34" i="6" s="1"/>
  <c r="FH34" i="6"/>
  <c r="FG34" i="6"/>
  <c r="FC34" i="6"/>
  <c r="AG34" i="6" s="1"/>
  <c r="FA34" i="6"/>
  <c r="AE34" i="6" s="1"/>
  <c r="EZ34" i="6"/>
  <c r="AD34" i="6" s="1"/>
  <c r="EY34" i="6"/>
  <c r="FB34" i="6"/>
  <c r="AF34" i="6" s="1"/>
  <c r="CP50" i="24"/>
  <c r="AN185" i="6"/>
  <c r="DD46" i="24"/>
  <c r="BT156" i="6"/>
  <c r="CC42" i="24"/>
  <c r="DT241" i="6"/>
  <c r="EB38" i="24" s="1"/>
  <c r="CN47" i="24"/>
  <c r="DK182" i="6"/>
  <c r="CG49" i="24"/>
  <c r="DU174" i="6"/>
  <c r="BW46" i="24"/>
  <c r="DW41" i="24"/>
  <c r="DQ227" i="6"/>
  <c r="AQ41" i="24"/>
  <c r="CB43" i="6"/>
  <c r="CB47" i="6" s="1"/>
  <c r="CB71" i="6" s="1"/>
  <c r="E28" i="24"/>
  <c r="D28" i="24" s="1"/>
  <c r="AM64" i="6"/>
  <c r="DU189" i="6"/>
  <c r="CS49" i="24"/>
  <c r="DU109" i="6"/>
  <c r="AH49" i="24"/>
  <c r="FD109" i="6"/>
  <c r="AH56" i="24" s="1"/>
  <c r="FC109" i="6"/>
  <c r="FB109" i="6"/>
  <c r="AH58" i="24" s="1"/>
  <c r="FG109" i="6"/>
  <c r="FA109" i="6"/>
  <c r="AH59" i="24" s="1"/>
  <c r="EY109" i="6"/>
  <c r="FF109" i="6"/>
  <c r="AH54" i="24" s="1"/>
  <c r="FE109" i="6"/>
  <c r="AH55" i="24" s="1"/>
  <c r="EZ109" i="6"/>
  <c r="AH60" i="24" s="1"/>
  <c r="FJ109" i="6"/>
  <c r="FI109" i="6"/>
  <c r="AH51" i="24" s="1"/>
  <c r="FH109" i="6"/>
  <c r="EX109" i="6" s="1"/>
  <c r="BZ40" i="24"/>
  <c r="G42" i="24"/>
  <c r="DP76" i="6"/>
  <c r="DU245" i="6"/>
  <c r="FD245" i="6"/>
  <c r="AH245" i="6" s="1"/>
  <c r="FC245" i="6"/>
  <c r="AG245" i="6" s="1"/>
  <c r="FB245" i="6"/>
  <c r="AF245" i="6" s="1"/>
  <c r="FA245" i="6"/>
  <c r="AE245" i="6" s="1"/>
  <c r="EY245" i="6"/>
  <c r="AC245" i="6" s="1"/>
  <c r="EZ245" i="6"/>
  <c r="AD245" i="6" s="1"/>
  <c r="FJ245" i="6"/>
  <c r="AN245" i="6" s="1"/>
  <c r="FI245" i="6"/>
  <c r="AM245" i="6" s="1"/>
  <c r="FH245" i="6"/>
  <c r="FG245" i="6"/>
  <c r="FF245" i="6"/>
  <c r="AJ245" i="6" s="1"/>
  <c r="FE245" i="6"/>
  <c r="AI245" i="6" s="1"/>
  <c r="AU41" i="24"/>
  <c r="CY39" i="24"/>
  <c r="DN40" i="24"/>
  <c r="DQ40" i="24"/>
  <c r="DR220" i="4"/>
  <c r="AL220" i="4" s="1"/>
  <c r="AL220" i="1" s="1"/>
  <c r="DR219" i="6"/>
  <c r="DH219" i="6" s="1"/>
  <c r="AL220" i="6"/>
  <c r="AB220" i="6" s="1"/>
  <c r="DS62" i="4"/>
  <c r="AM62" i="6"/>
  <c r="DL38" i="6"/>
  <c r="F46" i="24" s="1"/>
  <c r="AE38" i="24"/>
  <c r="AI38" i="24"/>
  <c r="DS40" i="24"/>
  <c r="DR222" i="4"/>
  <c r="AL222" i="4" s="1"/>
  <c r="AL222" i="6"/>
  <c r="AB222" i="6" s="1"/>
  <c r="BS46" i="24"/>
  <c r="DU95" i="6"/>
  <c r="V49" i="24"/>
  <c r="DH43" i="24"/>
  <c r="DO205" i="6"/>
  <c r="AJ46" i="24"/>
  <c r="AK44" i="24"/>
  <c r="BK38" i="24"/>
  <c r="DU118" i="6"/>
  <c r="AN49" i="24"/>
  <c r="CF39" i="24"/>
  <c r="DS172" i="6"/>
  <c r="DU84" i="6"/>
  <c r="N49" i="24"/>
  <c r="DU159" i="6"/>
  <c r="BU49" i="24"/>
  <c r="DB46" i="24"/>
  <c r="DU168" i="6"/>
  <c r="CB49" i="24"/>
  <c r="DG47" i="24"/>
  <c r="DU120" i="6"/>
  <c r="AP49" i="24"/>
  <c r="BR45" i="24"/>
  <c r="BU43" i="24"/>
  <c r="DM241" i="6"/>
  <c r="EB45" i="24" s="1"/>
  <c r="DU171" i="6"/>
  <c r="CE49" i="24"/>
  <c r="Y39" i="24"/>
  <c r="CO44" i="24"/>
  <c r="L39" i="24"/>
  <c r="BC43" i="24"/>
  <c r="DF45" i="24"/>
  <c r="CP56" i="24"/>
  <c r="AH185" i="6"/>
  <c r="AV47" i="24"/>
  <c r="E33" i="24"/>
  <c r="D33" i="24" s="1"/>
  <c r="BW43" i="6"/>
  <c r="BW47" i="6" s="1"/>
  <c r="BW71" i="6" s="1"/>
  <c r="DP62" i="4"/>
  <c r="AJ62" i="6"/>
  <c r="AB44" i="24"/>
  <c r="CG38" i="24"/>
  <c r="CL47" i="24"/>
  <c r="AD40" i="24"/>
  <c r="DR104" i="6"/>
  <c r="DH104" i="6" s="1"/>
  <c r="AW46" i="24"/>
  <c r="DG44" i="24"/>
  <c r="AH42" i="24"/>
  <c r="G38" i="24"/>
  <c r="DT76" i="6"/>
  <c r="DG48" i="24"/>
  <c r="BV218" i="6"/>
  <c r="CC41" i="24"/>
  <c r="CG44" i="24"/>
  <c r="BW47" i="24"/>
  <c r="BM45" i="24"/>
  <c r="DM146" i="6"/>
  <c r="BZ41" i="24"/>
  <c r="CU218" i="6"/>
  <c r="DF70" i="6"/>
  <c r="AJ39" i="24"/>
  <c r="AK40" i="24"/>
  <c r="AH47" i="24"/>
  <c r="FD166" i="6"/>
  <c r="FB166" i="6"/>
  <c r="FC166" i="6"/>
  <c r="FG166" i="6"/>
  <c r="FA166" i="6"/>
  <c r="EZ166" i="6"/>
  <c r="EY166" i="6"/>
  <c r="AC166" i="6" s="1"/>
  <c r="FF166" i="6"/>
  <c r="BZ54" i="24" s="1"/>
  <c r="FE166" i="6"/>
  <c r="FJ166" i="6"/>
  <c r="FI166" i="6"/>
  <c r="FH166" i="6"/>
  <c r="DA70" i="6"/>
  <c r="BU219" i="4"/>
  <c r="DD41" i="24"/>
  <c r="FD44" i="6"/>
  <c r="AH44" i="6" s="1"/>
  <c r="FC44" i="6"/>
  <c r="AG44" i="6" s="1"/>
  <c r="FB44" i="6"/>
  <c r="AF44" i="6" s="1"/>
  <c r="FI44" i="6"/>
  <c r="AM44" i="6" s="1"/>
  <c r="FF44" i="6"/>
  <c r="AJ44" i="6" s="1"/>
  <c r="FJ44" i="6"/>
  <c r="AN44" i="6" s="1"/>
  <c r="FH44" i="6"/>
  <c r="FG44" i="6"/>
  <c r="FE44" i="6"/>
  <c r="AI44" i="6" s="1"/>
  <c r="EZ44" i="6"/>
  <c r="AD44" i="6" s="1"/>
  <c r="FA44" i="6"/>
  <c r="AE44" i="6" s="1"/>
  <c r="EY44" i="6"/>
  <c r="AC44" i="6" s="1"/>
  <c r="CE67" i="4"/>
  <c r="AC67" i="4"/>
  <c r="AO67" i="4" s="1"/>
  <c r="Q47" i="24"/>
  <c r="DK87" i="6"/>
  <c r="AN44" i="24"/>
  <c r="CX47" i="24"/>
  <c r="DO43" i="24"/>
  <c r="DO214" i="6"/>
  <c r="FD120" i="6"/>
  <c r="AP56" i="24" s="1"/>
  <c r="FC120" i="6"/>
  <c r="FB120" i="6"/>
  <c r="AP58" i="24" s="1"/>
  <c r="FG120" i="6"/>
  <c r="FE120" i="6"/>
  <c r="FA120" i="6"/>
  <c r="EY120" i="6"/>
  <c r="AC120" i="6" s="1"/>
  <c r="FF120" i="6"/>
  <c r="EZ120" i="6"/>
  <c r="AP60" i="24" s="1"/>
  <c r="FJ120" i="6"/>
  <c r="FI120" i="6"/>
  <c r="FH120" i="6"/>
  <c r="CF40" i="24"/>
  <c r="DR172" i="6"/>
  <c r="DH172" i="6" s="1"/>
  <c r="DP41" i="24"/>
  <c r="BT41" i="24"/>
  <c r="DQ157" i="6"/>
  <c r="N38" i="24"/>
  <c r="BU48" i="24"/>
  <c r="DT45" i="24"/>
  <c r="DM223" i="6"/>
  <c r="CM44" i="24"/>
  <c r="FD243" i="6"/>
  <c r="AH243" i="6" s="1"/>
  <c r="FB243" i="6"/>
  <c r="AF243" i="6" s="1"/>
  <c r="FC243" i="6"/>
  <c r="AG243" i="6" s="1"/>
  <c r="FJ243" i="6"/>
  <c r="AN243" i="6" s="1"/>
  <c r="FH243" i="6"/>
  <c r="FF243" i="6"/>
  <c r="AJ243" i="6" s="1"/>
  <c r="FI243" i="6"/>
  <c r="AM243" i="6" s="1"/>
  <c r="FG243" i="6"/>
  <c r="FE243" i="6"/>
  <c r="AI243" i="6" s="1"/>
  <c r="FA243" i="6"/>
  <c r="AE243" i="6" s="1"/>
  <c r="EZ243" i="6"/>
  <c r="AD243" i="6" s="1"/>
  <c r="EY243" i="6"/>
  <c r="AC243" i="6" s="1"/>
  <c r="DR61" i="4"/>
  <c r="DR60" i="6"/>
  <c r="DH60" i="6" s="1"/>
  <c r="AL61" i="6"/>
  <c r="AB61" i="6" s="1"/>
  <c r="AY40" i="24"/>
  <c r="DR129" i="6"/>
  <c r="DH129" i="6" s="1"/>
  <c r="Q32" i="24"/>
  <c r="BX87" i="6"/>
  <c r="BX75" i="6" s="1"/>
  <c r="DL45" i="24"/>
  <c r="J48" i="24"/>
  <c r="FD80" i="6"/>
  <c r="FC80" i="6"/>
  <c r="FB80" i="6"/>
  <c r="FJ80" i="6"/>
  <c r="FH80" i="6"/>
  <c r="EX80" i="6" s="1"/>
  <c r="FG80" i="6"/>
  <c r="FE80" i="6"/>
  <c r="J55" i="24" s="1"/>
  <c r="FA80" i="6"/>
  <c r="J59" i="24" s="1"/>
  <c r="EZ80" i="6"/>
  <c r="J60" i="24" s="1"/>
  <c r="FI80" i="6"/>
  <c r="FF80" i="6"/>
  <c r="J54" i="24" s="1"/>
  <c r="EY80" i="6"/>
  <c r="AC80" i="6" s="1"/>
  <c r="BD40" i="24"/>
  <c r="CO41" i="24"/>
  <c r="CS44" i="24"/>
  <c r="AH48" i="24"/>
  <c r="DU166" i="6"/>
  <c r="BZ49" i="24"/>
  <c r="G47" i="24"/>
  <c r="DK76" i="6"/>
  <c r="FD77" i="6"/>
  <c r="FB77" i="6"/>
  <c r="FC77" i="6"/>
  <c r="FJ77" i="6"/>
  <c r="FH77" i="6"/>
  <c r="EX77" i="6" s="1"/>
  <c r="FG77" i="6"/>
  <c r="FF77" i="6"/>
  <c r="AJ77" i="6" s="1"/>
  <c r="FI77" i="6"/>
  <c r="FE77" i="6"/>
  <c r="AI77" i="6" s="1"/>
  <c r="FA77" i="6"/>
  <c r="AE77" i="6" s="1"/>
  <c r="EZ77" i="6"/>
  <c r="EY77" i="6"/>
  <c r="AC77" i="6" s="1"/>
  <c r="Z133" i="6"/>
  <c r="FK185" i="6"/>
  <c r="AO185" i="6" s="1"/>
  <c r="CP61" i="24"/>
  <c r="AC185" i="6"/>
  <c r="CM48" i="24"/>
  <c r="DA39" i="24"/>
  <c r="FD198" i="6"/>
  <c r="DA56" i="24" s="1"/>
  <c r="FC198" i="6"/>
  <c r="FB198" i="6"/>
  <c r="DA58" i="24" s="1"/>
  <c r="FA198" i="6"/>
  <c r="DA59" i="24" s="1"/>
  <c r="EY198" i="6"/>
  <c r="FI198" i="6"/>
  <c r="DA51" i="24" s="1"/>
  <c r="EZ198" i="6"/>
  <c r="FJ198" i="6"/>
  <c r="DA50" i="24" s="1"/>
  <c r="FH198" i="6"/>
  <c r="FG198" i="6"/>
  <c r="AK198" i="6" s="1"/>
  <c r="FE198" i="6"/>
  <c r="FF198" i="6"/>
  <c r="DV39" i="24"/>
  <c r="DO57" i="6"/>
  <c r="DO58" i="6" s="1"/>
  <c r="DO55" i="4"/>
  <c r="DO57" i="4" s="1"/>
  <c r="DO58" i="4" s="1"/>
  <c r="AT42" i="24"/>
  <c r="DQ44" i="24"/>
  <c r="DN220" i="4"/>
  <c r="AH220" i="4" s="1"/>
  <c r="AH220" i="1" s="1"/>
  <c r="DN219" i="6"/>
  <c r="U46" i="24"/>
  <c r="I46" i="24"/>
  <c r="BB39" i="24"/>
  <c r="DS133" i="6"/>
  <c r="CQ49" i="24"/>
  <c r="DU186" i="6"/>
  <c r="AI46" i="24"/>
  <c r="P48" i="24"/>
  <c r="BG45" i="24"/>
  <c r="CT45" i="24"/>
  <c r="FD225" i="6"/>
  <c r="FB225" i="6"/>
  <c r="FC225" i="6"/>
  <c r="DU57" i="24" s="1"/>
  <c r="FG225" i="6"/>
  <c r="FA225" i="6"/>
  <c r="EZ225" i="6"/>
  <c r="EY225" i="6"/>
  <c r="FF225" i="6"/>
  <c r="FE225" i="6"/>
  <c r="DU55" i="24" s="1"/>
  <c r="FH225" i="6"/>
  <c r="FJ225" i="6"/>
  <c r="DU50" i="24" s="1"/>
  <c r="FI225" i="6"/>
  <c r="BJ40" i="24"/>
  <c r="DR29" i="6"/>
  <c r="DH29" i="6" s="1"/>
  <c r="AM41" i="24"/>
  <c r="DQ116" i="6"/>
  <c r="DK42" i="24"/>
  <c r="DP209" i="6"/>
  <c r="CE138" i="6"/>
  <c r="CB156" i="6"/>
  <c r="DI44" i="24"/>
  <c r="CV47" i="24"/>
  <c r="AK45" i="24"/>
  <c r="BK39" i="24"/>
  <c r="DV47" i="24"/>
  <c r="DT57" i="6"/>
  <c r="DT58" i="6" s="1"/>
  <c r="DT55" i="4"/>
  <c r="DT57" i="4" s="1"/>
  <c r="DT58" i="4" s="1"/>
  <c r="FD124" i="6"/>
  <c r="FB124" i="6"/>
  <c r="FC124" i="6"/>
  <c r="FG124" i="6"/>
  <c r="FE124" i="6"/>
  <c r="AT55" i="24" s="1"/>
  <c r="EY124" i="6"/>
  <c r="FF124" i="6"/>
  <c r="AT54" i="24" s="1"/>
  <c r="FA124" i="6"/>
  <c r="EZ124" i="6"/>
  <c r="FJ124" i="6"/>
  <c r="AT50" i="24" s="1"/>
  <c r="FI124" i="6"/>
  <c r="AT51" i="24" s="1"/>
  <c r="FH124" i="6"/>
  <c r="CD39" i="24"/>
  <c r="I42" i="24"/>
  <c r="BN44" i="24"/>
  <c r="CU41" i="24"/>
  <c r="AZ42" i="24"/>
  <c r="AS47" i="24"/>
  <c r="DC45" i="24"/>
  <c r="BT43" i="6"/>
  <c r="BT47" i="6" s="1"/>
  <c r="BT71" i="6" s="1"/>
  <c r="E36" i="24"/>
  <c r="D36" i="24" s="1"/>
  <c r="AA45" i="24"/>
  <c r="CX43" i="24"/>
  <c r="BR46" i="24"/>
  <c r="DT42" i="24"/>
  <c r="DP223" i="6"/>
  <c r="DS46" i="24"/>
  <c r="DL222" i="4"/>
  <c r="AF222" i="4" s="1"/>
  <c r="AF222" i="6"/>
  <c r="AF219" i="6" s="1"/>
  <c r="BS42" i="24"/>
  <c r="BF38" i="24"/>
  <c r="DT138" i="6"/>
  <c r="BK49" i="24"/>
  <c r="DU144" i="6"/>
  <c r="FD204" i="6"/>
  <c r="DG56" i="24" s="1"/>
  <c r="FB204" i="6"/>
  <c r="FC204" i="6"/>
  <c r="DG57" i="24" s="1"/>
  <c r="FJ204" i="6"/>
  <c r="FH204" i="6"/>
  <c r="FF204" i="6"/>
  <c r="FE204" i="6"/>
  <c r="EZ204" i="6"/>
  <c r="DG60" i="24" s="1"/>
  <c r="FI204" i="6"/>
  <c r="DG51" i="24" s="1"/>
  <c r="FG204" i="6"/>
  <c r="FA204" i="6"/>
  <c r="DG59" i="24" s="1"/>
  <c r="EY204" i="6"/>
  <c r="CX39" i="24"/>
  <c r="DU173" i="6"/>
  <c r="CF49" i="24"/>
  <c r="DI172" i="6"/>
  <c r="CI41" i="24"/>
  <c r="DN64" i="4"/>
  <c r="AH64" i="6"/>
  <c r="FD174" i="6"/>
  <c r="CG56" i="24" s="1"/>
  <c r="FC174" i="6"/>
  <c r="FB174" i="6"/>
  <c r="FA174" i="6"/>
  <c r="FI174" i="6"/>
  <c r="CG51" i="24" s="1"/>
  <c r="EZ174" i="6"/>
  <c r="CG60" i="24" s="1"/>
  <c r="EY174" i="6"/>
  <c r="AC174" i="6" s="1"/>
  <c r="FJ174" i="6"/>
  <c r="CG50" i="24" s="1"/>
  <c r="FH174" i="6"/>
  <c r="EX174" i="6" s="1"/>
  <c r="FG174" i="6"/>
  <c r="FE174" i="6"/>
  <c r="FF174" i="6"/>
  <c r="CG54" i="24" s="1"/>
  <c r="BD44" i="24"/>
  <c r="CK38" i="24"/>
  <c r="DT178" i="6"/>
  <c r="AD42" i="24"/>
  <c r="DP104" i="6"/>
  <c r="BY39" i="24"/>
  <c r="DS164" i="6"/>
  <c r="CN45" i="24"/>
  <c r="DM182" i="6"/>
  <c r="BC44" i="24"/>
  <c r="BQ47" i="24"/>
  <c r="FD152" i="6"/>
  <c r="FB152" i="6"/>
  <c r="BQ58" i="24" s="1"/>
  <c r="FC152" i="6"/>
  <c r="FA152" i="6"/>
  <c r="BQ59" i="24" s="1"/>
  <c r="FJ152" i="6"/>
  <c r="EZ152" i="6"/>
  <c r="EY152" i="6"/>
  <c r="FI152" i="6"/>
  <c r="FH152" i="6"/>
  <c r="FG152" i="6"/>
  <c r="FE152" i="6"/>
  <c r="FF152" i="6"/>
  <c r="BY48" i="24"/>
  <c r="DJ164" i="6"/>
  <c r="CZ48" i="24"/>
  <c r="AA48" i="24"/>
  <c r="CP52" i="24"/>
  <c r="AL185" i="6"/>
  <c r="AB185" i="6" s="1"/>
  <c r="CC43" i="24"/>
  <c r="CN44" i="24"/>
  <c r="DN182" i="6"/>
  <c r="BW40" i="24"/>
  <c r="L38" i="24"/>
  <c r="R41" i="24"/>
  <c r="DQ90" i="6"/>
  <c r="DU202" i="6"/>
  <c r="DE49" i="24"/>
  <c r="FD189" i="6"/>
  <c r="CS56" i="24" s="1"/>
  <c r="FC189" i="6"/>
  <c r="CS57" i="24" s="1"/>
  <c r="FB189" i="6"/>
  <c r="FA189" i="6"/>
  <c r="FI189" i="6"/>
  <c r="CS51" i="24" s="1"/>
  <c r="EZ189" i="6"/>
  <c r="CS60" i="24" s="1"/>
  <c r="EY189" i="6"/>
  <c r="FJ189" i="6"/>
  <c r="CS50" i="24" s="1"/>
  <c r="FH189" i="6"/>
  <c r="EX189" i="6" s="1"/>
  <c r="FE189" i="6"/>
  <c r="FG189" i="6"/>
  <c r="FF189" i="6"/>
  <c r="CS54" i="24" s="1"/>
  <c r="BY47" i="24"/>
  <c r="DK164" i="6"/>
  <c r="E146" i="23"/>
  <c r="D146" i="23" s="1"/>
  <c r="CP51" i="24"/>
  <c r="AM185" i="6"/>
  <c r="CB70" i="6"/>
  <c r="DP241" i="6"/>
  <c r="EB42" i="24" s="1"/>
  <c r="DJ42" i="24"/>
  <c r="FD161" i="6"/>
  <c r="FB161" i="6"/>
  <c r="BW58" i="24" s="1"/>
  <c r="FC161" i="6"/>
  <c r="BW57" i="24" s="1"/>
  <c r="FJ161" i="6"/>
  <c r="FH161" i="6"/>
  <c r="FG161" i="6"/>
  <c r="FF161" i="6"/>
  <c r="FE161" i="6"/>
  <c r="EZ161" i="6"/>
  <c r="FI161" i="6"/>
  <c r="FA161" i="6"/>
  <c r="BW59" i="24" s="1"/>
  <c r="EY161" i="6"/>
  <c r="R42" i="24"/>
  <c r="DP90" i="6"/>
  <c r="BY46" i="24"/>
  <c r="DL164" i="6"/>
  <c r="CE187" i="6"/>
  <c r="AU43" i="24"/>
  <c r="DC70" i="6"/>
  <c r="CP55" i="24"/>
  <c r="AI185" i="6"/>
  <c r="BX156" i="6"/>
  <c r="DD42" i="24"/>
  <c r="CV45" i="24"/>
  <c r="FD196" i="6"/>
  <c r="CY56" i="24" s="1"/>
  <c r="FB196" i="6"/>
  <c r="FC196" i="6"/>
  <c r="FJ196" i="6"/>
  <c r="CY50" i="24" s="1"/>
  <c r="FF196" i="6"/>
  <c r="FI196" i="6"/>
  <c r="CY51" i="24" s="1"/>
  <c r="FH196" i="6"/>
  <c r="EX196" i="6" s="1"/>
  <c r="FG196" i="6"/>
  <c r="AK196" i="6" s="1"/>
  <c r="FE196" i="6"/>
  <c r="CY55" i="24" s="1"/>
  <c r="FA196" i="6"/>
  <c r="CY59" i="24" s="1"/>
  <c r="EZ196" i="6"/>
  <c r="CY60" i="24" s="1"/>
  <c r="EY196" i="6"/>
  <c r="CB41" i="24"/>
  <c r="BF42" i="24"/>
  <c r="DP138" i="6"/>
  <c r="K38" i="24"/>
  <c r="BK45" i="24"/>
  <c r="DN46" i="24"/>
  <c r="AV39" i="24"/>
  <c r="DG39" i="24"/>
  <c r="CM46" i="24"/>
  <c r="FD181" i="6"/>
  <c r="CM56" i="24" s="1"/>
  <c r="FC181" i="6"/>
  <c r="CM57" i="24" s="1"/>
  <c r="FB181" i="6"/>
  <c r="CM58" i="24" s="1"/>
  <c r="FJ181" i="6"/>
  <c r="FH181" i="6"/>
  <c r="FG181" i="6"/>
  <c r="FF181" i="6"/>
  <c r="CM54" i="24" s="1"/>
  <c r="FE181" i="6"/>
  <c r="CM55" i="24" s="1"/>
  <c r="FI181" i="6"/>
  <c r="FA181" i="6"/>
  <c r="CM59" i="24" s="1"/>
  <c r="EZ181" i="6"/>
  <c r="CM60" i="24" s="1"/>
  <c r="EY181" i="6"/>
  <c r="DQ60" i="6"/>
  <c r="DQ61" i="4"/>
  <c r="DQ60" i="4" s="1"/>
  <c r="AK61" i="6"/>
  <c r="AY42" i="24"/>
  <c r="DP129" i="6"/>
  <c r="BZ115" i="6"/>
  <c r="CC218" i="6"/>
  <c r="DX45" i="24"/>
  <c r="DJ63" i="4"/>
  <c r="AD63" i="6"/>
  <c r="DJ45" i="24"/>
  <c r="FD208" i="6"/>
  <c r="FB208" i="6"/>
  <c r="DJ58" i="24" s="1"/>
  <c r="FC208" i="6"/>
  <c r="DJ57" i="24" s="1"/>
  <c r="FG208" i="6"/>
  <c r="AK208" i="6" s="1"/>
  <c r="FE208" i="6"/>
  <c r="DJ55" i="24" s="1"/>
  <c r="EZ208" i="6"/>
  <c r="DJ60" i="24" s="1"/>
  <c r="EY208" i="6"/>
  <c r="FF208" i="6"/>
  <c r="DJ54" i="24" s="1"/>
  <c r="FA208" i="6"/>
  <c r="FH208" i="6"/>
  <c r="FJ208" i="6"/>
  <c r="FI208" i="6"/>
  <c r="BA40" i="24"/>
  <c r="BW45" i="24"/>
  <c r="DL46" i="24"/>
  <c r="FD246" i="6"/>
  <c r="AH246" i="6" s="1"/>
  <c r="FB246" i="6"/>
  <c r="AF246" i="6" s="1"/>
  <c r="FC246" i="6"/>
  <c r="AG246" i="6" s="1"/>
  <c r="FG246" i="6"/>
  <c r="EY246" i="6"/>
  <c r="FF246" i="6"/>
  <c r="AJ246" i="6" s="1"/>
  <c r="FE246" i="6"/>
  <c r="AI246" i="6" s="1"/>
  <c r="FA246" i="6"/>
  <c r="AE246" i="6" s="1"/>
  <c r="EZ246" i="6"/>
  <c r="AD246" i="6" s="1"/>
  <c r="FH246" i="6"/>
  <c r="FJ246" i="6"/>
  <c r="AN246" i="6" s="1"/>
  <c r="FI246" i="6"/>
  <c r="AM246" i="6" s="1"/>
  <c r="BD42" i="24"/>
  <c r="CS45" i="24"/>
  <c r="G41" i="24"/>
  <c r="DQ76" i="6"/>
  <c r="DI48" i="24"/>
  <c r="AR249" i="4"/>
  <c r="AR250" i="4" s="1"/>
  <c r="AR234" i="4"/>
  <c r="AN67" i="1"/>
  <c r="CM47" i="24"/>
  <c r="DS61" i="4"/>
  <c r="DS60" i="6"/>
  <c r="AM61" i="6"/>
  <c r="AY47" i="24"/>
  <c r="DK129" i="6"/>
  <c r="BW57" i="4"/>
  <c r="BW58" i="4" s="1"/>
  <c r="E30" i="24"/>
  <c r="D30" i="24" s="1"/>
  <c r="BZ43" i="6"/>
  <c r="BZ47" i="6" s="1"/>
  <c r="BZ71" i="6" s="1"/>
  <c r="AE46" i="24"/>
  <c r="CE222" i="4"/>
  <c r="BB38" i="24"/>
  <c r="DT133" i="6"/>
  <c r="CQ48" i="24"/>
  <c r="AI39" i="24"/>
  <c r="AC40" i="24"/>
  <c r="BI48" i="24"/>
  <c r="FD142" i="6"/>
  <c r="BI56" i="24" s="1"/>
  <c r="FB142" i="6"/>
  <c r="BI58" i="24" s="1"/>
  <c r="FC142" i="6"/>
  <c r="BI57" i="24" s="1"/>
  <c r="FA142" i="6"/>
  <c r="BI59" i="24" s="1"/>
  <c r="FI142" i="6"/>
  <c r="BI51" i="24" s="1"/>
  <c r="EZ142" i="6"/>
  <c r="BI60" i="24" s="1"/>
  <c r="EY142" i="6"/>
  <c r="AC142" i="6" s="1"/>
  <c r="FJ142" i="6"/>
  <c r="FH142" i="6"/>
  <c r="EX142" i="6" s="1"/>
  <c r="FG142" i="6"/>
  <c r="FE142" i="6"/>
  <c r="FF142" i="6"/>
  <c r="DK40" i="24"/>
  <c r="DR209" i="6"/>
  <c r="DH209" i="6" s="1"/>
  <c r="CA46" i="24"/>
  <c r="BW115" i="6"/>
  <c r="AA43" i="24"/>
  <c r="DI46" i="24"/>
  <c r="CB38" i="24"/>
  <c r="K49" i="24"/>
  <c r="DU81" i="6"/>
  <c r="FD144" i="6"/>
  <c r="FB144" i="6"/>
  <c r="FC144" i="6"/>
  <c r="BK57" i="24" s="1"/>
  <c r="FJ144" i="6"/>
  <c r="BK50" i="24" s="1"/>
  <c r="FG144" i="6"/>
  <c r="FF144" i="6"/>
  <c r="FE144" i="6"/>
  <c r="BK55" i="24" s="1"/>
  <c r="EZ144" i="6"/>
  <c r="FI144" i="6"/>
  <c r="BK51" i="24" s="1"/>
  <c r="FH144" i="6"/>
  <c r="FA144" i="6"/>
  <c r="EY144" i="6"/>
  <c r="U41" i="24"/>
  <c r="BX43" i="24"/>
  <c r="CQ46" i="24"/>
  <c r="CE219" i="6"/>
  <c r="BS218" i="6"/>
  <c r="M42" i="24"/>
  <c r="DU96" i="6"/>
  <c r="W49" i="24"/>
  <c r="CH38" i="24"/>
  <c r="CY43" i="24"/>
  <c r="BF44" i="24"/>
  <c r="DN138" i="6"/>
  <c r="FD213" i="6"/>
  <c r="DN56" i="24" s="1"/>
  <c r="FB213" i="6"/>
  <c r="DN58" i="24" s="1"/>
  <c r="FC213" i="6"/>
  <c r="DN57" i="24" s="1"/>
  <c r="FG213" i="6"/>
  <c r="AK213" i="6" s="1"/>
  <c r="FE213" i="6"/>
  <c r="FA213" i="6"/>
  <c r="DN59" i="24" s="1"/>
  <c r="EZ213" i="6"/>
  <c r="EY213" i="6"/>
  <c r="AC213" i="6" s="1"/>
  <c r="FF213" i="6"/>
  <c r="FI213" i="6"/>
  <c r="DN51" i="24" s="1"/>
  <c r="FH213" i="6"/>
  <c r="FJ213" i="6"/>
  <c r="DN50" i="24" s="1"/>
  <c r="DO49" i="24"/>
  <c r="DU215" i="6"/>
  <c r="DI214" i="6"/>
  <c r="BT39" i="24"/>
  <c r="DS157" i="6"/>
  <c r="DU176" i="6"/>
  <c r="CI49" i="24"/>
  <c r="W48" i="24"/>
  <c r="AK48" i="24"/>
  <c r="K46" i="24"/>
  <c r="DR88" i="6"/>
  <c r="DH88" i="6" s="1"/>
  <c r="DP45" i="24"/>
  <c r="DT38" i="24"/>
  <c r="DT223" i="6"/>
  <c r="CC47" i="24"/>
  <c r="Q36" i="24"/>
  <c r="BT87" i="6"/>
  <c r="BT75" i="6" s="1"/>
  <c r="DU211" i="6"/>
  <c r="DL49" i="24"/>
  <c r="J47" i="24"/>
  <c r="DK46" i="24"/>
  <c r="DL209" i="6"/>
  <c r="DU180" i="6"/>
  <c r="CL49" i="24"/>
  <c r="FD180" i="6"/>
  <c r="FC180" i="6"/>
  <c r="FB180" i="6"/>
  <c r="FG180" i="6"/>
  <c r="EZ180" i="6"/>
  <c r="CL60" i="24" s="1"/>
  <c r="EY180" i="6"/>
  <c r="AC180" i="6" s="1"/>
  <c r="FF180" i="6"/>
  <c r="CL54" i="24" s="1"/>
  <c r="FE180" i="6"/>
  <c r="FA180" i="6"/>
  <c r="CL59" i="24" s="1"/>
  <c r="FJ180" i="6"/>
  <c r="FI180" i="6"/>
  <c r="CL51" i="24" s="1"/>
  <c r="FH180" i="6"/>
  <c r="BE39" i="24"/>
  <c r="DD49" i="24"/>
  <c r="DU201" i="6"/>
  <c r="BX49" i="24"/>
  <c r="DU162" i="6"/>
  <c r="Y38" i="24"/>
  <c r="BW70" i="6"/>
  <c r="DU179" i="6"/>
  <c r="CK49" i="24"/>
  <c r="DI178" i="6"/>
  <c r="DF43" i="24"/>
  <c r="T45" i="24"/>
  <c r="DD47" i="24"/>
  <c r="DI241" i="6"/>
  <c r="EB49" i="24" s="1"/>
  <c r="CG48" i="24"/>
  <c r="CE61" i="4"/>
  <c r="BV39" i="24"/>
  <c r="BM44" i="24"/>
  <c r="DN146" i="6"/>
  <c r="BZ42" i="24"/>
  <c r="AV44" i="24"/>
  <c r="Q29" i="24"/>
  <c r="CA87" i="6"/>
  <c r="CA75" i="6" s="1"/>
  <c r="DU183" i="6"/>
  <c r="CN49" i="24"/>
  <c r="DI182" i="6"/>
  <c r="BA41" i="24"/>
  <c r="BV41" i="24"/>
  <c r="G43" i="24"/>
  <c r="DO76" i="6"/>
  <c r="CI44" i="24"/>
  <c r="BJ70" i="6"/>
  <c r="BP70" i="6"/>
  <c r="BO43" i="6"/>
  <c r="BO47" i="6" s="1"/>
  <c r="E75" i="23"/>
  <c r="D75" i="23" s="1"/>
  <c r="DL61" i="4"/>
  <c r="DL60" i="4" s="1"/>
  <c r="DL60" i="6"/>
  <c r="AF61" i="6"/>
  <c r="AY46" i="24"/>
  <c r="DL129" i="6"/>
  <c r="FD42" i="6"/>
  <c r="AH42" i="6" s="1"/>
  <c r="FB42" i="6"/>
  <c r="AF42" i="6" s="1"/>
  <c r="FC42" i="6"/>
  <c r="AG42" i="6" s="1"/>
  <c r="FJ42" i="6"/>
  <c r="AN42" i="6" s="1"/>
  <c r="FH42" i="6"/>
  <c r="FE42" i="6"/>
  <c r="AI42" i="6" s="1"/>
  <c r="FA42" i="6"/>
  <c r="AE42" i="6" s="1"/>
  <c r="FI42" i="6"/>
  <c r="AM42" i="6" s="1"/>
  <c r="FG42" i="6"/>
  <c r="FF42" i="6"/>
  <c r="AJ42" i="6" s="1"/>
  <c r="EZ42" i="6"/>
  <c r="AD42" i="6" s="1"/>
  <c r="EY42" i="6"/>
  <c r="I43" i="24"/>
  <c r="BB49" i="24"/>
  <c r="DU134" i="6"/>
  <c r="DI133" i="6"/>
  <c r="CQ47" i="24"/>
  <c r="Q35" i="24"/>
  <c r="BU87" i="6"/>
  <c r="BU75" i="6" s="1"/>
  <c r="DW43" i="24"/>
  <c r="DO227" i="6"/>
  <c r="AQ47" i="24"/>
  <c r="DS42" i="24"/>
  <c r="DP222" i="4"/>
  <c r="AJ222" i="4" s="1"/>
  <c r="M43" i="24"/>
  <c r="CU49" i="24"/>
  <c r="DU191" i="6"/>
  <c r="DU154" i="6"/>
  <c r="BS49" i="24"/>
  <c r="W47" i="24"/>
  <c r="DB39" i="24"/>
  <c r="AZ46" i="24"/>
  <c r="V38" i="24"/>
  <c r="CH39" i="24"/>
  <c r="AS48" i="24"/>
  <c r="DH45" i="24"/>
  <c r="DM205" i="6"/>
  <c r="Z44" i="24"/>
  <c r="DC46" i="24"/>
  <c r="AH220" i="6"/>
  <c r="FF30" i="6"/>
  <c r="AJ30" i="6" s="1"/>
  <c r="FD30" i="6"/>
  <c r="AH30" i="6" s="1"/>
  <c r="FE30" i="6"/>
  <c r="AI30" i="6" s="1"/>
  <c r="FJ30" i="6"/>
  <c r="AN30" i="6" s="1"/>
  <c r="FG30" i="6"/>
  <c r="FC30" i="6"/>
  <c r="AG30" i="6" s="1"/>
  <c r="FI30" i="6"/>
  <c r="AM30" i="6" s="1"/>
  <c r="FH30" i="6"/>
  <c r="FB30" i="6"/>
  <c r="AF30" i="6" s="1"/>
  <c r="EZ30" i="6"/>
  <c r="AD30" i="6" s="1"/>
  <c r="FA30" i="6"/>
  <c r="AE30" i="6" s="1"/>
  <c r="EY30" i="6"/>
  <c r="AC30" i="6" s="1"/>
  <c r="DM61" i="4"/>
  <c r="DM60" i="6"/>
  <c r="AY45" i="24"/>
  <c r="DM129" i="6"/>
  <c r="AR47" i="24"/>
  <c r="DA38" i="24"/>
  <c r="DV49" i="24"/>
  <c r="DU226" i="6"/>
  <c r="FD226" i="6"/>
  <c r="FB226" i="6"/>
  <c r="DV58" i="24" s="1"/>
  <c r="FC226" i="6"/>
  <c r="DV57" i="24" s="1"/>
  <c r="FJ226" i="6"/>
  <c r="DV50" i="24" s="1"/>
  <c r="FH226" i="6"/>
  <c r="EX226" i="6" s="1"/>
  <c r="FG226" i="6"/>
  <c r="FF226" i="6"/>
  <c r="FE226" i="6"/>
  <c r="DV55" i="24" s="1"/>
  <c r="EZ226" i="6"/>
  <c r="FI226" i="6"/>
  <c r="DV51" i="24" s="1"/>
  <c r="FA226" i="6"/>
  <c r="DV59" i="24" s="1"/>
  <c r="EY226" i="6"/>
  <c r="DP57" i="6"/>
  <c r="DP58" i="6" s="1"/>
  <c r="DP55" i="4"/>
  <c r="DP57" i="4" s="1"/>
  <c r="DP58" i="4" s="1"/>
  <c r="AT41" i="24"/>
  <c r="DQ43" i="24"/>
  <c r="DO219" i="6"/>
  <c r="DO220" i="4"/>
  <c r="AI220" i="4" s="1"/>
  <c r="AI220" i="6"/>
  <c r="AI219" i="6" s="1"/>
  <c r="U45" i="24"/>
  <c r="DM64" i="4"/>
  <c r="AG64" i="6"/>
  <c r="DM62" i="4"/>
  <c r="AG62" i="6"/>
  <c r="DU39" i="6"/>
  <c r="DI38" i="6"/>
  <c r="F49" i="24" s="1"/>
  <c r="BX45" i="24"/>
  <c r="BS70" i="6"/>
  <c r="CE116" i="6"/>
  <c r="AE39" i="24"/>
  <c r="BB42" i="24"/>
  <c r="DP133" i="6"/>
  <c r="CQ42" i="24"/>
  <c r="DU110" i="6"/>
  <c r="AI49" i="24"/>
  <c r="BN43" i="24"/>
  <c r="BS219" i="4"/>
  <c r="CE220" i="4"/>
  <c r="Y46" i="24"/>
  <c r="CE178" i="6"/>
  <c r="BI45" i="24"/>
  <c r="CA156" i="6"/>
  <c r="DK47" i="24"/>
  <c r="DK209" i="6"/>
  <c r="DU82" i="6"/>
  <c r="L49" i="24"/>
  <c r="R47" i="24"/>
  <c r="DK90" i="6"/>
  <c r="AO45" i="24"/>
  <c r="FD119" i="6"/>
  <c r="FB119" i="6"/>
  <c r="AO58" i="24" s="1"/>
  <c r="FC119" i="6"/>
  <c r="AO57" i="24" s="1"/>
  <c r="FA119" i="6"/>
  <c r="FJ119" i="6"/>
  <c r="FI119" i="6"/>
  <c r="AO51" i="24" s="1"/>
  <c r="EZ119" i="6"/>
  <c r="AO60" i="24" s="1"/>
  <c r="EY119" i="6"/>
  <c r="FH119" i="6"/>
  <c r="FE119" i="6"/>
  <c r="AO55" i="24" s="1"/>
  <c r="FG119" i="6"/>
  <c r="FF119" i="6"/>
  <c r="BM40" i="24"/>
  <c r="DR146" i="6"/>
  <c r="DH146" i="6" s="1"/>
  <c r="DE42" i="24"/>
  <c r="CC115" i="6"/>
  <c r="BY45" i="24"/>
  <c r="DM164" i="6"/>
  <c r="AA47" i="24"/>
  <c r="BK70" i="6"/>
  <c r="X219" i="6"/>
  <c r="BN43" i="6"/>
  <c r="E76" i="23"/>
  <c r="D76" i="23" s="1"/>
  <c r="EM70" i="6"/>
  <c r="CE182" i="6"/>
  <c r="BW156" i="6"/>
  <c r="Q42" i="24"/>
  <c r="DP87" i="6"/>
  <c r="DO38" i="24"/>
  <c r="DT214" i="6"/>
  <c r="FD215" i="6"/>
  <c r="AH215" i="6" s="1"/>
  <c r="FB215" i="6"/>
  <c r="FC215" i="6"/>
  <c r="AG215" i="6" s="1"/>
  <c r="FJ215" i="6"/>
  <c r="AN215" i="6" s="1"/>
  <c r="FG215" i="6"/>
  <c r="FF215" i="6"/>
  <c r="FE215" i="6"/>
  <c r="EZ215" i="6"/>
  <c r="FI215" i="6"/>
  <c r="AM215" i="6" s="1"/>
  <c r="FH215" i="6"/>
  <c r="EX215" i="6" s="1"/>
  <c r="FA215" i="6"/>
  <c r="EY215" i="6"/>
  <c r="AP40" i="24"/>
  <c r="CF42" i="24"/>
  <c r="DP172" i="6"/>
  <c r="DP42" i="24"/>
  <c r="BT46" i="24"/>
  <c r="DL157" i="6"/>
  <c r="N44" i="24"/>
  <c r="BU38" i="24"/>
  <c r="DT46" i="24"/>
  <c r="DL223" i="6"/>
  <c r="FD224" i="6"/>
  <c r="AH224" i="6" s="1"/>
  <c r="FB224" i="6"/>
  <c r="FC224" i="6"/>
  <c r="FA224" i="6"/>
  <c r="AE224" i="6" s="1"/>
  <c r="EY224" i="6"/>
  <c r="EZ224" i="6"/>
  <c r="FJ224" i="6"/>
  <c r="AN224" i="6" s="1"/>
  <c r="FI224" i="6"/>
  <c r="FH224" i="6"/>
  <c r="EX224" i="6" s="1"/>
  <c r="FG224" i="6"/>
  <c r="FE224" i="6"/>
  <c r="AI224" i="6" s="1"/>
  <c r="FF224" i="6"/>
  <c r="AJ224" i="6" s="1"/>
  <c r="DU61" i="6"/>
  <c r="DI60" i="6"/>
  <c r="DI61" i="4"/>
  <c r="AC61" i="6"/>
  <c r="AY44" i="24"/>
  <c r="DN129" i="6"/>
  <c r="DU198" i="6"/>
  <c r="DA49" i="24"/>
  <c r="DV38" i="24"/>
  <c r="DS55" i="4"/>
  <c r="DS57" i="4" s="1"/>
  <c r="DS58" i="4" s="1"/>
  <c r="DS57" i="6"/>
  <c r="DS58" i="6" s="1"/>
  <c r="FD55" i="6"/>
  <c r="FC55" i="6"/>
  <c r="FB55" i="6"/>
  <c r="FJ55" i="6"/>
  <c r="AN55" i="6" s="1"/>
  <c r="AN57" i="6" s="1"/>
  <c r="AN58" i="6" s="1"/>
  <c r="FH55" i="6"/>
  <c r="FF55" i="6"/>
  <c r="AJ55" i="6" s="1"/>
  <c r="AJ57" i="6" s="1"/>
  <c r="AJ58" i="6" s="1"/>
  <c r="EZ55" i="6"/>
  <c r="AD55" i="6" s="1"/>
  <c r="AD57" i="6" s="1"/>
  <c r="AD58" i="6" s="1"/>
  <c r="FI55" i="6"/>
  <c r="AM55" i="6" s="1"/>
  <c r="AM57" i="6" s="1"/>
  <c r="AM58" i="6" s="1"/>
  <c r="FG55" i="6"/>
  <c r="FE55" i="6"/>
  <c r="FA55" i="6"/>
  <c r="EY55" i="6"/>
  <c r="AC55" i="6" s="1"/>
  <c r="AT40" i="24"/>
  <c r="DQ41" i="24"/>
  <c r="DQ219" i="6"/>
  <c r="DQ220" i="4"/>
  <c r="AK220" i="4" s="1"/>
  <c r="AK220" i="6"/>
  <c r="U44" i="24"/>
  <c r="CD44" i="24"/>
  <c r="DK38" i="6"/>
  <c r="F47" i="24" s="1"/>
  <c r="BU156" i="6"/>
  <c r="BN42" i="24"/>
  <c r="Y41" i="24"/>
  <c r="CT48" i="24"/>
  <c r="DS29" i="6"/>
  <c r="AM43" i="24"/>
  <c r="DO116" i="6"/>
  <c r="BV115" i="6"/>
  <c r="BI44" i="24"/>
  <c r="BP45" i="24"/>
  <c r="DM150" i="6"/>
  <c r="DU188" i="6"/>
  <c r="CR49" i="24"/>
  <c r="DI187" i="6"/>
  <c r="BH46" i="24"/>
  <c r="DU210" i="6"/>
  <c r="DK49" i="24"/>
  <c r="DI209" i="6"/>
  <c r="CA38" i="24"/>
  <c r="R45" i="24"/>
  <c r="DM90" i="6"/>
  <c r="AO39" i="24"/>
  <c r="BM38" i="24"/>
  <c r="DT146" i="6"/>
  <c r="FD147" i="6"/>
  <c r="AH147" i="6" s="1"/>
  <c r="FB147" i="6"/>
  <c r="FC147" i="6"/>
  <c r="AG147" i="6" s="1"/>
  <c r="FA147" i="6"/>
  <c r="EZ147" i="6"/>
  <c r="EY147" i="6"/>
  <c r="FJ147" i="6"/>
  <c r="AN147" i="6" s="1"/>
  <c r="FI147" i="6"/>
  <c r="FH147" i="6"/>
  <c r="FE147" i="6"/>
  <c r="FG147" i="6"/>
  <c r="FF147" i="6"/>
  <c r="Q26" i="24"/>
  <c r="CD87" i="6"/>
  <c r="CD75" i="6" s="1"/>
  <c r="AW48" i="24"/>
  <c r="T46" i="24"/>
  <c r="CZ49" i="24"/>
  <c r="DU197" i="6"/>
  <c r="DU100" i="6"/>
  <c r="AA49" i="24"/>
  <c r="E148" i="23"/>
  <c r="D148" i="23" s="1"/>
  <c r="CB40" i="24"/>
  <c r="BK43" i="24"/>
  <c r="DU30" i="6"/>
  <c r="CJ39" i="24"/>
  <c r="FD177" i="6"/>
  <c r="CJ56" i="24" s="1"/>
  <c r="FC177" i="6"/>
  <c r="CJ57" i="24" s="1"/>
  <c r="FB177" i="6"/>
  <c r="FJ177" i="6"/>
  <c r="FI177" i="6"/>
  <c r="CJ51" i="24" s="1"/>
  <c r="FF177" i="6"/>
  <c r="CJ54" i="24" s="1"/>
  <c r="FH177" i="6"/>
  <c r="FG177" i="6"/>
  <c r="FE177" i="6"/>
  <c r="EZ177" i="6"/>
  <c r="CJ60" i="24" s="1"/>
  <c r="FA177" i="6"/>
  <c r="EY177" i="6"/>
  <c r="DU101" i="6"/>
  <c r="AB49" i="24"/>
  <c r="DW39" i="24"/>
  <c r="DS227" i="6"/>
  <c r="BI39" i="24"/>
  <c r="DS45" i="24"/>
  <c r="DM222" i="4"/>
  <c r="AG222" i="4" s="1"/>
  <c r="BS43" i="24"/>
  <c r="W40" i="24"/>
  <c r="DU200" i="6"/>
  <c r="DC49" i="24"/>
  <c r="O40" i="24"/>
  <c r="CW39" i="24"/>
  <c r="DS193" i="6"/>
  <c r="X241" i="6"/>
  <c r="Y146" i="6"/>
  <c r="DD218" i="6"/>
  <c r="DD75" i="6"/>
  <c r="BE70" i="6"/>
  <c r="Y27" i="6"/>
  <c r="CX70" i="6"/>
  <c r="E110" i="23"/>
  <c r="D110" i="23" s="1"/>
  <c r="AK67" i="1"/>
  <c r="Q30" i="24"/>
  <c r="BZ87" i="6"/>
  <c r="BZ75" i="6" s="1"/>
  <c r="CV43" i="24"/>
  <c r="CY47" i="24"/>
  <c r="CB45" i="24"/>
  <c r="FD168" i="6"/>
  <c r="CB56" i="24" s="1"/>
  <c r="FC168" i="6"/>
  <c r="CB57" i="24" s="1"/>
  <c r="FB168" i="6"/>
  <c r="FJ168" i="6"/>
  <c r="CB50" i="24" s="1"/>
  <c r="FI168" i="6"/>
  <c r="CB51" i="24" s="1"/>
  <c r="FH168" i="6"/>
  <c r="FF168" i="6"/>
  <c r="FG168" i="6"/>
  <c r="AK168" i="6" s="1"/>
  <c r="FE168" i="6"/>
  <c r="CB55" i="24" s="1"/>
  <c r="EZ168" i="6"/>
  <c r="FA168" i="6"/>
  <c r="EY168" i="6"/>
  <c r="BF40" i="24"/>
  <c r="DR138" i="6"/>
  <c r="DH138" i="6" s="1"/>
  <c r="DM88" i="6"/>
  <c r="AN43" i="24"/>
  <c r="CX44" i="24"/>
  <c r="DO44" i="24"/>
  <c r="DN214" i="6"/>
  <c r="AP48" i="24"/>
  <c r="CF45" i="24"/>
  <c r="DM172" i="6"/>
  <c r="DP38" i="24"/>
  <c r="FD216" i="6"/>
  <c r="DP56" i="24" s="1"/>
  <c r="FB216" i="6"/>
  <c r="DP58" i="24" s="1"/>
  <c r="FC216" i="6"/>
  <c r="DP57" i="24" s="1"/>
  <c r="FI216" i="6"/>
  <c r="DP51" i="24" s="1"/>
  <c r="FH216" i="6"/>
  <c r="FF216" i="6"/>
  <c r="DP54" i="24" s="1"/>
  <c r="FJ216" i="6"/>
  <c r="DP50" i="24" s="1"/>
  <c r="FG216" i="6"/>
  <c r="FE216" i="6"/>
  <c r="EZ216" i="6"/>
  <c r="DP60" i="24" s="1"/>
  <c r="FA216" i="6"/>
  <c r="EY216" i="6"/>
  <c r="BT40" i="24"/>
  <c r="DR157" i="6"/>
  <c r="DH157" i="6" s="1"/>
  <c r="N43" i="24"/>
  <c r="DT43" i="24"/>
  <c r="DO223" i="6"/>
  <c r="CE63" i="4"/>
  <c r="AR38" i="24"/>
  <c r="DV43" i="24"/>
  <c r="DR57" i="6"/>
  <c r="DR58" i="6" s="1"/>
  <c r="DR55" i="4"/>
  <c r="DR57" i="4" s="1"/>
  <c r="DR58" i="4" s="1"/>
  <c r="CJ44" i="24"/>
  <c r="DQ47" i="24"/>
  <c r="DK219" i="6"/>
  <c r="DK220" i="4"/>
  <c r="DX43" i="24"/>
  <c r="DR63" i="4"/>
  <c r="AL63" i="6"/>
  <c r="AB63" i="6" s="1"/>
  <c r="CB219" i="4"/>
  <c r="BN49" i="24"/>
  <c r="FD148" i="6"/>
  <c r="BN56" i="24" s="1"/>
  <c r="FC148" i="6"/>
  <c r="FB148" i="6"/>
  <c r="BN58" i="24" s="1"/>
  <c r="FG148" i="6"/>
  <c r="FE148" i="6"/>
  <c r="BN55" i="24" s="1"/>
  <c r="FA148" i="6"/>
  <c r="BN59" i="24" s="1"/>
  <c r="EZ148" i="6"/>
  <c r="BN60" i="24" s="1"/>
  <c r="FF148" i="6"/>
  <c r="BN54" i="24" s="1"/>
  <c r="EY148" i="6"/>
  <c r="AC148" i="6" s="1"/>
  <c r="FH148" i="6"/>
  <c r="FJ148" i="6"/>
  <c r="FI148" i="6"/>
  <c r="Y47" i="24"/>
  <c r="FD98" i="6"/>
  <c r="FB98" i="6"/>
  <c r="Y58" i="24" s="1"/>
  <c r="FC98" i="6"/>
  <c r="FA98" i="6"/>
  <c r="Y59" i="24" s="1"/>
  <c r="FI98" i="6"/>
  <c r="Y51" i="24" s="1"/>
  <c r="EZ98" i="6"/>
  <c r="Y60" i="24" s="1"/>
  <c r="EY98" i="6"/>
  <c r="FJ98" i="6"/>
  <c r="Y50" i="24" s="1"/>
  <c r="FH98" i="6"/>
  <c r="EX98" i="6" s="1"/>
  <c r="FG98" i="6"/>
  <c r="FE98" i="6"/>
  <c r="FF98" i="6"/>
  <c r="Y54" i="24" s="1"/>
  <c r="DU86" i="6"/>
  <c r="P49" i="24"/>
  <c r="BG47" i="24"/>
  <c r="CT39" i="24"/>
  <c r="BJ44" i="24"/>
  <c r="DO29" i="6"/>
  <c r="FF31" i="6"/>
  <c r="FE31" i="6"/>
  <c r="FD31" i="6"/>
  <c r="EZ31" i="6"/>
  <c r="AD31" i="6" s="1"/>
  <c r="EY31" i="6"/>
  <c r="AC31" i="6" s="1"/>
  <c r="FJ31" i="6"/>
  <c r="FI31" i="6"/>
  <c r="AM31" i="6" s="1"/>
  <c r="FG31" i="6"/>
  <c r="FC31" i="6"/>
  <c r="FA31" i="6"/>
  <c r="FH31" i="6"/>
  <c r="EX31" i="6" s="1"/>
  <c r="FB31" i="6"/>
  <c r="AM40" i="24"/>
  <c r="DR116" i="6"/>
  <c r="DH116" i="6" s="1"/>
  <c r="DW49" i="24"/>
  <c r="DU228" i="6"/>
  <c r="DI227" i="6"/>
  <c r="FD228" i="6"/>
  <c r="FB228" i="6"/>
  <c r="FC228" i="6"/>
  <c r="FJ228" i="6"/>
  <c r="FI228" i="6"/>
  <c r="FH228" i="6"/>
  <c r="EX228" i="6" s="1"/>
  <c r="FG228" i="6"/>
  <c r="FF228" i="6"/>
  <c r="FE228" i="6"/>
  <c r="AI228" i="6" s="1"/>
  <c r="EZ228" i="6"/>
  <c r="AD228" i="6" s="1"/>
  <c r="FA228" i="6"/>
  <c r="EY228" i="6"/>
  <c r="AQ40" i="24"/>
  <c r="AG222" i="6"/>
  <c r="AG219" i="6" s="1"/>
  <c r="AZ45" i="24"/>
  <c r="DU175" i="6"/>
  <c r="CH49" i="24"/>
  <c r="FD97" i="6"/>
  <c r="X56" i="24" s="1"/>
  <c r="FC97" i="6"/>
  <c r="X57" i="24" s="1"/>
  <c r="FB97" i="6"/>
  <c r="X58" i="24" s="1"/>
  <c r="FJ97" i="6"/>
  <c r="FI97" i="6"/>
  <c r="X51" i="24" s="1"/>
  <c r="FH97" i="6"/>
  <c r="EX97" i="6" s="1"/>
  <c r="FG97" i="6"/>
  <c r="FF97" i="6"/>
  <c r="FE97" i="6"/>
  <c r="EZ97" i="6"/>
  <c r="FA97" i="6"/>
  <c r="X59" i="24" s="1"/>
  <c r="EY97" i="6"/>
  <c r="DH40" i="24"/>
  <c r="DR205" i="6"/>
  <c r="DH205" i="6" s="1"/>
  <c r="Z42" i="24"/>
  <c r="DM45" i="24"/>
  <c r="H47" i="24"/>
  <c r="O39" i="24"/>
  <c r="S44" i="24"/>
  <c r="CW48" i="24"/>
  <c r="DJ193" i="6"/>
  <c r="CZ46" i="24"/>
  <c r="CQ250" i="4"/>
  <c r="CQ234" i="4"/>
  <c r="CP60" i="24"/>
  <c r="AD185" i="6"/>
  <c r="AK39" i="24"/>
  <c r="BF41" i="24"/>
  <c r="DQ138" i="6"/>
  <c r="K43" i="24"/>
  <c r="DV46" i="24"/>
  <c r="DQ57" i="6"/>
  <c r="DQ58" i="6" s="1"/>
  <c r="DQ55" i="4"/>
  <c r="DQ57" i="4" s="1"/>
  <c r="DQ58" i="4" s="1"/>
  <c r="DT64" i="4"/>
  <c r="AN64" i="6"/>
  <c r="DO62" i="4"/>
  <c r="AI62" i="6"/>
  <c r="BX48" i="24"/>
  <c r="DU148" i="6"/>
  <c r="BN40" i="24"/>
  <c r="CO38" i="24"/>
  <c r="DK44" i="24"/>
  <c r="DN209" i="6"/>
  <c r="DU83" i="6"/>
  <c r="M49" i="24"/>
  <c r="CH47" i="24"/>
  <c r="FD123" i="6"/>
  <c r="FC123" i="6"/>
  <c r="AS57" i="24" s="1"/>
  <c r="FB123" i="6"/>
  <c r="FA123" i="6"/>
  <c r="AS59" i="24" s="1"/>
  <c r="FI123" i="6"/>
  <c r="AS51" i="24" s="1"/>
  <c r="EZ123" i="6"/>
  <c r="AS60" i="24" s="1"/>
  <c r="EY123" i="6"/>
  <c r="AC123" i="6" s="1"/>
  <c r="FJ123" i="6"/>
  <c r="AS50" i="24" s="1"/>
  <c r="FH123" i="6"/>
  <c r="EX123" i="6" s="1"/>
  <c r="FG123" i="6"/>
  <c r="FF123" i="6"/>
  <c r="FE123" i="6"/>
  <c r="AL38" i="24"/>
  <c r="S45" i="24"/>
  <c r="T43" i="24"/>
  <c r="ES70" i="6"/>
  <c r="X178" i="6"/>
  <c r="AJ49" i="24"/>
  <c r="DU111" i="6"/>
  <c r="DU112" i="6"/>
  <c r="AK49" i="24"/>
  <c r="CB43" i="24"/>
  <c r="BF45" i="24"/>
  <c r="DM138" i="6"/>
  <c r="FD139" i="6"/>
  <c r="AH139" i="6" s="1"/>
  <c r="FC139" i="6"/>
  <c r="AG139" i="6" s="1"/>
  <c r="FB139" i="6"/>
  <c r="FG139" i="6"/>
  <c r="FE139" i="6"/>
  <c r="FA139" i="6"/>
  <c r="EZ139" i="6"/>
  <c r="EY139" i="6"/>
  <c r="FF139" i="6"/>
  <c r="AJ139" i="6" s="1"/>
  <c r="FJ139" i="6"/>
  <c r="AN139" i="6" s="1"/>
  <c r="FI139" i="6"/>
  <c r="FH139" i="6"/>
  <c r="EX139" i="6" s="1"/>
  <c r="Q43" i="24"/>
  <c r="DO87" i="6"/>
  <c r="CX38" i="24"/>
  <c r="DO39" i="24"/>
  <c r="DS214" i="6"/>
  <c r="CF44" i="24"/>
  <c r="DN172" i="6"/>
  <c r="BT45" i="24"/>
  <c r="DM157" i="6"/>
  <c r="FD158" i="6"/>
  <c r="FC158" i="6"/>
  <c r="AG158" i="6" s="1"/>
  <c r="FB158" i="6"/>
  <c r="FJ158" i="6"/>
  <c r="FI158" i="6"/>
  <c r="FH158" i="6"/>
  <c r="EX158" i="6" s="1"/>
  <c r="FG158" i="6"/>
  <c r="FF158" i="6"/>
  <c r="FE158" i="6"/>
  <c r="AI158" i="6" s="1"/>
  <c r="EZ158" i="6"/>
  <c r="FA158" i="6"/>
  <c r="EY158" i="6"/>
  <c r="BR42" i="24"/>
  <c r="DT47" i="24"/>
  <c r="DK223" i="6"/>
  <c r="CE214" i="6"/>
  <c r="CM41" i="24"/>
  <c r="BT218" i="6"/>
  <c r="CD218" i="6"/>
  <c r="DO241" i="6"/>
  <c r="EB43" i="24" s="1"/>
  <c r="CN39" i="24"/>
  <c r="DS182" i="6"/>
  <c r="FD183" i="6"/>
  <c r="FC183" i="6"/>
  <c r="AG183" i="6" s="1"/>
  <c r="FB183" i="6"/>
  <c r="FI183" i="6"/>
  <c r="AM183" i="6" s="1"/>
  <c r="FH183" i="6"/>
  <c r="EX183" i="6" s="1"/>
  <c r="FF183" i="6"/>
  <c r="FJ183" i="6"/>
  <c r="FG183" i="6"/>
  <c r="FE183" i="6"/>
  <c r="EZ183" i="6"/>
  <c r="AD183" i="6" s="1"/>
  <c r="FA183" i="6"/>
  <c r="AE183" i="6" s="1"/>
  <c r="EY183" i="6"/>
  <c r="DX42" i="24"/>
  <c r="DU208" i="6"/>
  <c r="DJ49" i="24"/>
  <c r="BA44" i="24"/>
  <c r="CD156" i="6"/>
  <c r="CB218" i="6"/>
  <c r="BN48" i="24"/>
  <c r="DW38" i="24"/>
  <c r="DT227" i="6"/>
  <c r="DU121" i="6"/>
  <c r="AQ49" i="24"/>
  <c r="FD121" i="6"/>
  <c r="FB121" i="6"/>
  <c r="FC121" i="6"/>
  <c r="FJ121" i="6"/>
  <c r="AQ50" i="24" s="1"/>
  <c r="FF121" i="6"/>
  <c r="EZ121" i="6"/>
  <c r="FI121" i="6"/>
  <c r="FH121" i="6"/>
  <c r="FG121" i="6"/>
  <c r="AK121" i="6" s="1"/>
  <c r="FE121" i="6"/>
  <c r="AQ55" i="24" s="1"/>
  <c r="FA121" i="6"/>
  <c r="AQ59" i="24" s="1"/>
  <c r="EY121" i="6"/>
  <c r="BP40" i="24"/>
  <c r="DR150" i="6"/>
  <c r="DH150" i="6" s="1"/>
  <c r="CR42" i="24"/>
  <c r="DP187" i="6"/>
  <c r="AG43" i="24"/>
  <c r="CS42" i="24"/>
  <c r="AH43" i="24"/>
  <c r="G39" i="24"/>
  <c r="DS76" i="6"/>
  <c r="T42" i="24"/>
  <c r="CZ41" i="24"/>
  <c r="FD112" i="6"/>
  <c r="AK56" i="24" s="1"/>
  <c r="FB112" i="6"/>
  <c r="FC112" i="6"/>
  <c r="AK57" i="24" s="1"/>
  <c r="FA112" i="6"/>
  <c r="AK59" i="24" s="1"/>
  <c r="FI112" i="6"/>
  <c r="AK51" i="24" s="1"/>
  <c r="EZ112" i="6"/>
  <c r="AK60" i="24" s="1"/>
  <c r="EY112" i="6"/>
  <c r="AC112" i="6" s="1"/>
  <c r="FJ112" i="6"/>
  <c r="FH112" i="6"/>
  <c r="FG112" i="6"/>
  <c r="FE112" i="6"/>
  <c r="FF112" i="6"/>
  <c r="DN45" i="24"/>
  <c r="AT38" i="24"/>
  <c r="DQ39" i="24"/>
  <c r="DS220" i="4"/>
  <c r="AM220" i="4" s="1"/>
  <c r="AM220" i="1" s="1"/>
  <c r="DS219" i="6"/>
  <c r="AM220" i="6"/>
  <c r="AM219" i="6" s="1"/>
  <c r="DR38" i="6"/>
  <c r="F40" i="24" s="1"/>
  <c r="CE41" i="24"/>
  <c r="DL42" i="24"/>
  <c r="BD47" i="24"/>
  <c r="DU167" i="6"/>
  <c r="CA49" i="24"/>
  <c r="CU48" i="24"/>
  <c r="DU33" i="6"/>
  <c r="FF33" i="6"/>
  <c r="AJ33" i="6" s="1"/>
  <c r="FE33" i="6"/>
  <c r="AI33" i="6" s="1"/>
  <c r="FD33" i="6"/>
  <c r="AH33" i="6" s="1"/>
  <c r="FI33" i="6"/>
  <c r="AM33" i="6" s="1"/>
  <c r="FA33" i="6"/>
  <c r="AE33" i="6" s="1"/>
  <c r="EZ33" i="6"/>
  <c r="AD33" i="6" s="1"/>
  <c r="FH33" i="6"/>
  <c r="FG33" i="6"/>
  <c r="FC33" i="6"/>
  <c r="AG33" i="6" s="1"/>
  <c r="FB33" i="6"/>
  <c r="AF33" i="6" s="1"/>
  <c r="EY33" i="6"/>
  <c r="AC33" i="6" s="1"/>
  <c r="FJ33" i="6"/>
  <c r="AN33" i="6" s="1"/>
  <c r="DH42" i="24"/>
  <c r="DP205" i="6"/>
  <c r="S87" i="6"/>
  <c r="BG70" i="6"/>
  <c r="EN70" i="6"/>
  <c r="CZ70" i="6"/>
  <c r="AJ47" i="24"/>
  <c r="DU192" i="6"/>
  <c r="CV49" i="24"/>
  <c r="CY44" i="24"/>
  <c r="AK47" i="24"/>
  <c r="CB39" i="24"/>
  <c r="BF43" i="24"/>
  <c r="DO138" i="6"/>
  <c r="FD81" i="6"/>
  <c r="FB81" i="6"/>
  <c r="K58" i="24" s="1"/>
  <c r="FC81" i="6"/>
  <c r="K57" i="24" s="1"/>
  <c r="FI81" i="6"/>
  <c r="FF81" i="6"/>
  <c r="FJ81" i="6"/>
  <c r="K50" i="24" s="1"/>
  <c r="FH81" i="6"/>
  <c r="FG81" i="6"/>
  <c r="FE81" i="6"/>
  <c r="K55" i="24" s="1"/>
  <c r="EZ81" i="6"/>
  <c r="K60" i="24" s="1"/>
  <c r="FA81" i="6"/>
  <c r="K59" i="24" s="1"/>
  <c r="EY81" i="6"/>
  <c r="AC81" i="6" s="1"/>
  <c r="BK40" i="24"/>
  <c r="DN41" i="24"/>
  <c r="FD126" i="6"/>
  <c r="AV56" i="24" s="1"/>
  <c r="FB126" i="6"/>
  <c r="FC126" i="6"/>
  <c r="FI126" i="6"/>
  <c r="AV51" i="24" s="1"/>
  <c r="FH126" i="6"/>
  <c r="EX126" i="6" s="1"/>
  <c r="FJ126" i="6"/>
  <c r="AV50" i="24" s="1"/>
  <c r="FG126" i="6"/>
  <c r="FF126" i="6"/>
  <c r="FE126" i="6"/>
  <c r="AV55" i="24" s="1"/>
  <c r="EZ126" i="6"/>
  <c r="FA126" i="6"/>
  <c r="AV59" i="24" s="1"/>
  <c r="EY126" i="6"/>
  <c r="DG40" i="24"/>
  <c r="BV219" i="4"/>
  <c r="Q41" i="24"/>
  <c r="DQ87" i="6"/>
  <c r="CX45" i="24"/>
  <c r="DO47" i="24"/>
  <c r="DK214" i="6"/>
  <c r="CF43" i="24"/>
  <c r="DO172" i="6"/>
  <c r="DP48" i="24"/>
  <c r="BT43" i="24"/>
  <c r="DO157" i="6"/>
  <c r="N48" i="24"/>
  <c r="FD84" i="6"/>
  <c r="N56" i="24" s="1"/>
  <c r="FC84" i="6"/>
  <c r="FB84" i="6"/>
  <c r="FJ84" i="6"/>
  <c r="N50" i="24" s="1"/>
  <c r="FF84" i="6"/>
  <c r="FI84" i="6"/>
  <c r="FH84" i="6"/>
  <c r="FG84" i="6"/>
  <c r="FE84" i="6"/>
  <c r="N55" i="24" s="1"/>
  <c r="FA84" i="6"/>
  <c r="EZ84" i="6"/>
  <c r="N60" i="24" s="1"/>
  <c r="EY84" i="6"/>
  <c r="AC84" i="6" s="1"/>
  <c r="BR40" i="24"/>
  <c r="CI38" i="24"/>
  <c r="DU224" i="6"/>
  <c r="DT49" i="24"/>
  <c r="DI223" i="6"/>
  <c r="CM40" i="24"/>
  <c r="DP61" i="4"/>
  <c r="DP60" i="6"/>
  <c r="AY41" i="24"/>
  <c r="DQ129" i="6"/>
  <c r="DL241" i="6"/>
  <c r="EB46" i="24" s="1"/>
  <c r="CN38" i="24"/>
  <c r="DT182" i="6"/>
  <c r="FD247" i="6"/>
  <c r="AH247" i="6" s="1"/>
  <c r="FB247" i="6"/>
  <c r="AF247" i="6" s="1"/>
  <c r="FC247" i="6"/>
  <c r="AG247" i="6" s="1"/>
  <c r="FJ247" i="6"/>
  <c r="AN247" i="6" s="1"/>
  <c r="FH247" i="6"/>
  <c r="FF247" i="6"/>
  <c r="AJ247" i="6" s="1"/>
  <c r="FI247" i="6"/>
  <c r="AM247" i="6" s="1"/>
  <c r="FG247" i="6"/>
  <c r="FE247" i="6"/>
  <c r="AI247" i="6" s="1"/>
  <c r="FA247" i="6"/>
  <c r="AE247" i="6" s="1"/>
  <c r="EZ247" i="6"/>
  <c r="AD247" i="6" s="1"/>
  <c r="EY247" i="6"/>
  <c r="BU57" i="4"/>
  <c r="BU58" i="4" s="1"/>
  <c r="DN63" i="4"/>
  <c r="AH63" i="6"/>
  <c r="DJ48" i="24"/>
  <c r="CE241" i="6"/>
  <c r="FD211" i="6"/>
  <c r="DL56" i="24" s="1"/>
  <c r="FB211" i="6"/>
  <c r="DL58" i="24" s="1"/>
  <c r="FC211" i="6"/>
  <c r="DL57" i="24" s="1"/>
  <c r="FJ211" i="6"/>
  <c r="FI211" i="6"/>
  <c r="FH211" i="6"/>
  <c r="EX211" i="6" s="1"/>
  <c r="FF211" i="6"/>
  <c r="DL54" i="24" s="1"/>
  <c r="FG211" i="6"/>
  <c r="FE211" i="6"/>
  <c r="DL55" i="24" s="1"/>
  <c r="EZ211" i="6"/>
  <c r="FA211" i="6"/>
  <c r="EY211" i="6"/>
  <c r="DW44" i="24"/>
  <c r="DN227" i="6"/>
  <c r="BP38" i="24"/>
  <c r="DT150" i="6"/>
  <c r="FD151" i="6"/>
  <c r="FC151" i="6"/>
  <c r="FB151" i="6"/>
  <c r="FJ151" i="6"/>
  <c r="FI151" i="6"/>
  <c r="AM151" i="6" s="1"/>
  <c r="FH151" i="6"/>
  <c r="FF151" i="6"/>
  <c r="FG151" i="6"/>
  <c r="FE151" i="6"/>
  <c r="EZ151" i="6"/>
  <c r="FA151" i="6"/>
  <c r="EY151" i="6"/>
  <c r="AF40" i="24"/>
  <c r="CR41" i="24"/>
  <c r="DQ187" i="6"/>
  <c r="AG42" i="24"/>
  <c r="AG63" i="6"/>
  <c r="CK41" i="24"/>
  <c r="DQ178" i="6"/>
  <c r="CL39" i="24"/>
  <c r="BQ46" i="24"/>
  <c r="E32" i="24"/>
  <c r="D32" i="24" s="1"/>
  <c r="BX43" i="6"/>
  <c r="BX47" i="6" s="1"/>
  <c r="BX71" i="6" s="1"/>
  <c r="H43" i="24"/>
  <c r="DU92" i="6"/>
  <c r="S49" i="24"/>
  <c r="CW45" i="24"/>
  <c r="DM193" i="6"/>
  <c r="DI45" i="24"/>
  <c r="FD207" i="6"/>
  <c r="DI56" i="24" s="1"/>
  <c r="FB207" i="6"/>
  <c r="DI58" i="24" s="1"/>
  <c r="FC207" i="6"/>
  <c r="DI57" i="24" s="1"/>
  <c r="FA207" i="6"/>
  <c r="DI59" i="24" s="1"/>
  <c r="FI207" i="6"/>
  <c r="EZ207" i="6"/>
  <c r="DI60" i="24" s="1"/>
  <c r="EY207" i="6"/>
  <c r="FJ207" i="6"/>
  <c r="FH207" i="6"/>
  <c r="EX207" i="6" s="1"/>
  <c r="FG207" i="6"/>
  <c r="FE207" i="6"/>
  <c r="DI55" i="24" s="1"/>
  <c r="FF207" i="6"/>
  <c r="FD122" i="6"/>
  <c r="AR56" i="24" s="1"/>
  <c r="FC122" i="6"/>
  <c r="FB122" i="6"/>
  <c r="FJ122" i="6"/>
  <c r="AR50" i="24" s="1"/>
  <c r="FI122" i="6"/>
  <c r="FH122" i="6"/>
  <c r="EX122" i="6" s="1"/>
  <c r="FG122" i="6"/>
  <c r="AK122" i="6" s="1"/>
  <c r="FF122" i="6"/>
  <c r="FE122" i="6"/>
  <c r="EZ122" i="6"/>
  <c r="FA122" i="6"/>
  <c r="AR59" i="24" s="1"/>
  <c r="EY122" i="6"/>
  <c r="DA40" i="24"/>
  <c r="DN55" i="4"/>
  <c r="DN57" i="4" s="1"/>
  <c r="DN58" i="4" s="1"/>
  <c r="DN57" i="6"/>
  <c r="DN58" i="6" s="1"/>
  <c r="AT43" i="24"/>
  <c r="CJ48" i="24"/>
  <c r="DQ38" i="24"/>
  <c r="DT219" i="6"/>
  <c r="DT220" i="4"/>
  <c r="AN220" i="4" s="1"/>
  <c r="DU64" i="6"/>
  <c r="DI64" i="4"/>
  <c r="DI62" i="4"/>
  <c r="AC62" i="6"/>
  <c r="DS38" i="6"/>
  <c r="F39" i="24" s="1"/>
  <c r="AX41" i="24"/>
  <c r="CC38" i="24"/>
  <c r="FD169" i="6"/>
  <c r="FB169" i="6"/>
  <c r="CC58" i="24" s="1"/>
  <c r="FC169" i="6"/>
  <c r="FA169" i="6"/>
  <c r="CC59" i="24" s="1"/>
  <c r="EZ169" i="6"/>
  <c r="EY169" i="6"/>
  <c r="FJ169" i="6"/>
  <c r="CC50" i="24" s="1"/>
  <c r="FI169" i="6"/>
  <c r="CC51" i="24" s="1"/>
  <c r="FH169" i="6"/>
  <c r="FE169" i="6"/>
  <c r="CC55" i="24" s="1"/>
  <c r="FG169" i="6"/>
  <c r="FF169" i="6"/>
  <c r="CC54" i="24" s="1"/>
  <c r="DX46" i="24"/>
  <c r="DJ41" i="24"/>
  <c r="BB46" i="24"/>
  <c r="DL133" i="6"/>
  <c r="FD134" i="6"/>
  <c r="AH134" i="6" s="1"/>
  <c r="FC134" i="6"/>
  <c r="FB134" i="6"/>
  <c r="AF134" i="6" s="1"/>
  <c r="FG134" i="6"/>
  <c r="FE134" i="6"/>
  <c r="EY134" i="6"/>
  <c r="AC134" i="6" s="1"/>
  <c r="FF134" i="6"/>
  <c r="AJ134" i="6" s="1"/>
  <c r="FA134" i="6"/>
  <c r="EZ134" i="6"/>
  <c r="FJ134" i="6"/>
  <c r="AN134" i="6" s="1"/>
  <c r="FI134" i="6"/>
  <c r="FH134" i="6"/>
  <c r="EX134" i="6" s="1"/>
  <c r="J42" i="24"/>
  <c r="P40" i="24"/>
  <c r="DU190" i="6"/>
  <c r="CT49" i="24"/>
  <c r="FD190" i="6"/>
  <c r="FB190" i="6"/>
  <c r="FC190" i="6"/>
  <c r="CT57" i="24" s="1"/>
  <c r="FG190" i="6"/>
  <c r="FE190" i="6"/>
  <c r="CT55" i="24" s="1"/>
  <c r="EZ190" i="6"/>
  <c r="CT60" i="24" s="1"/>
  <c r="EY190" i="6"/>
  <c r="FF190" i="6"/>
  <c r="FA190" i="6"/>
  <c r="FJ190" i="6"/>
  <c r="FI190" i="6"/>
  <c r="CT51" i="24" s="1"/>
  <c r="FH190" i="6"/>
  <c r="EX190" i="6" s="1"/>
  <c r="DU41" i="24"/>
  <c r="AM38" i="24"/>
  <c r="DT116" i="6"/>
  <c r="BP41" i="24"/>
  <c r="DQ150" i="6"/>
  <c r="AF46" i="24"/>
  <c r="CR48" i="24"/>
  <c r="DJ187" i="6"/>
  <c r="AG47" i="24"/>
  <c r="DS48" i="24"/>
  <c r="DJ222" i="4"/>
  <c r="AD222" i="4" s="1"/>
  <c r="AD222" i="1" s="1"/>
  <c r="AD222" i="6"/>
  <c r="AD219" i="6" s="1"/>
  <c r="M38" i="24"/>
  <c r="FD191" i="6"/>
  <c r="FC191" i="6"/>
  <c r="FB191" i="6"/>
  <c r="FJ191" i="6"/>
  <c r="FG191" i="6"/>
  <c r="FF191" i="6"/>
  <c r="FE191" i="6"/>
  <c r="FI191" i="6"/>
  <c r="CU51" i="24" s="1"/>
  <c r="FH191" i="6"/>
  <c r="FA191" i="6"/>
  <c r="CU59" i="24" s="1"/>
  <c r="EZ191" i="6"/>
  <c r="CU60" i="24" s="1"/>
  <c r="EY191" i="6"/>
  <c r="BS40" i="24"/>
  <c r="W42" i="24"/>
  <c r="DB43" i="24"/>
  <c r="R48" i="24"/>
  <c r="DJ90" i="6"/>
  <c r="FD91" i="6"/>
  <c r="FB91" i="6"/>
  <c r="AF91" i="6" s="1"/>
  <c r="FC91" i="6"/>
  <c r="FG91" i="6"/>
  <c r="EZ91" i="6"/>
  <c r="AD91" i="6" s="1"/>
  <c r="FF91" i="6"/>
  <c r="FE91" i="6"/>
  <c r="AI91" i="6" s="1"/>
  <c r="FA91" i="6"/>
  <c r="AE91" i="6" s="1"/>
  <c r="EY91" i="6"/>
  <c r="FI91" i="6"/>
  <c r="FH91" i="6"/>
  <c r="EX91" i="6" s="1"/>
  <c r="FJ91" i="6"/>
  <c r="BM41" i="24"/>
  <c r="DQ146" i="6"/>
  <c r="AZ47" i="24"/>
  <c r="X44" i="24"/>
  <c r="DU206" i="6"/>
  <c r="DH49" i="24"/>
  <c r="DI205" i="6"/>
  <c r="FD99" i="6"/>
  <c r="Z56" i="24" s="1"/>
  <c r="FC99" i="6"/>
  <c r="FB99" i="6"/>
  <c r="FG99" i="6"/>
  <c r="FF99" i="6"/>
  <c r="Z54" i="24" s="1"/>
  <c r="FE99" i="6"/>
  <c r="Z55" i="24" s="1"/>
  <c r="FA99" i="6"/>
  <c r="Z59" i="24" s="1"/>
  <c r="EZ99" i="6"/>
  <c r="Z60" i="24" s="1"/>
  <c r="EY99" i="6"/>
  <c r="FH99" i="6"/>
  <c r="EX99" i="6" s="1"/>
  <c r="FJ99" i="6"/>
  <c r="FI99" i="6"/>
  <c r="FD135" i="6"/>
  <c r="BC56" i="24" s="1"/>
  <c r="FC135" i="6"/>
  <c r="FB135" i="6"/>
  <c r="FJ135" i="6"/>
  <c r="FG135" i="6"/>
  <c r="FF135" i="6"/>
  <c r="FA135" i="6"/>
  <c r="EZ135" i="6"/>
  <c r="FI135" i="6"/>
  <c r="FH135" i="6"/>
  <c r="EX135" i="6" s="1"/>
  <c r="FE135" i="6"/>
  <c r="BC55" i="24" s="1"/>
  <c r="EY135" i="6"/>
  <c r="CK40" i="24"/>
  <c r="DR178" i="6"/>
  <c r="DH178" i="6" s="1"/>
  <c r="AD39" i="24"/>
  <c r="DS104" i="6"/>
  <c r="BE45" i="24"/>
  <c r="H38" i="24"/>
  <c r="AL47" i="24"/>
  <c r="FD92" i="6"/>
  <c r="S56" i="24" s="1"/>
  <c r="FC92" i="6"/>
  <c r="S57" i="24" s="1"/>
  <c r="FB92" i="6"/>
  <c r="FJ92" i="6"/>
  <c r="S50" i="24" s="1"/>
  <c r="FG92" i="6"/>
  <c r="FF92" i="6"/>
  <c r="FE92" i="6"/>
  <c r="FA92" i="6"/>
  <c r="FI92" i="6"/>
  <c r="FH92" i="6"/>
  <c r="EZ92" i="6"/>
  <c r="EY92" i="6"/>
  <c r="CW40" i="24"/>
  <c r="DR193" i="6"/>
  <c r="DH193" i="6" s="1"/>
  <c r="DU149" i="6"/>
  <c r="BO49" i="24"/>
  <c r="BT57" i="4"/>
  <c r="BT58" i="4" s="1"/>
  <c r="J43" i="24"/>
  <c r="P39" i="24"/>
  <c r="BG49" i="24"/>
  <c r="DU140" i="6"/>
  <c r="DU40" i="24"/>
  <c r="DN29" i="6"/>
  <c r="AM45" i="24"/>
  <c r="DM116" i="6"/>
  <c r="BP42" i="24"/>
  <c r="DP150" i="6"/>
  <c r="AF41" i="24"/>
  <c r="CR46" i="24"/>
  <c r="DL187" i="6"/>
  <c r="DS47" i="24"/>
  <c r="DK222" i="4"/>
  <c r="AE222" i="4" s="1"/>
  <c r="AE222" i="6"/>
  <c r="AE219" i="6" s="1"/>
  <c r="BS44" i="24"/>
  <c r="FD154" i="6"/>
  <c r="BS56" i="24" s="1"/>
  <c r="FB154" i="6"/>
  <c r="BS58" i="24" s="1"/>
  <c r="FC154" i="6"/>
  <c r="FJ154" i="6"/>
  <c r="FH154" i="6"/>
  <c r="FG154" i="6"/>
  <c r="FE154" i="6"/>
  <c r="BS55" i="24" s="1"/>
  <c r="EZ154" i="6"/>
  <c r="FI154" i="6"/>
  <c r="FF154" i="6"/>
  <c r="BS54" i="24" s="1"/>
  <c r="FA154" i="6"/>
  <c r="EY154" i="6"/>
  <c r="AC154" i="6" s="1"/>
  <c r="R46" i="24"/>
  <c r="DL90" i="6"/>
  <c r="DU160" i="6"/>
  <c r="BV49" i="24"/>
  <c r="FD160" i="6"/>
  <c r="FC160" i="6"/>
  <c r="FB160" i="6"/>
  <c r="FG160" i="6"/>
  <c r="EZ160" i="6"/>
  <c r="BV60" i="24" s="1"/>
  <c r="EY160" i="6"/>
  <c r="FF160" i="6"/>
  <c r="BV54" i="24" s="1"/>
  <c r="FE160" i="6"/>
  <c r="FA160" i="6"/>
  <c r="FJ160" i="6"/>
  <c r="FI160" i="6"/>
  <c r="BV51" i="24" s="1"/>
  <c r="FH160" i="6"/>
  <c r="EX160" i="6" s="1"/>
  <c r="BM42" i="24"/>
  <c r="DP146" i="6"/>
  <c r="DE41" i="24"/>
  <c r="DU131" i="6"/>
  <c r="AZ49" i="24"/>
  <c r="CH43" i="24"/>
  <c r="AS39" i="24"/>
  <c r="DU97" i="6"/>
  <c r="X49" i="24"/>
  <c r="DH47" i="24"/>
  <c r="DK205" i="6"/>
  <c r="FD200" i="6"/>
  <c r="FB200" i="6"/>
  <c r="DC58" i="24" s="1"/>
  <c r="FC200" i="6"/>
  <c r="DC57" i="24" s="1"/>
  <c r="FJ200" i="6"/>
  <c r="FG200" i="6"/>
  <c r="FF200" i="6"/>
  <c r="DC54" i="24" s="1"/>
  <c r="FE200" i="6"/>
  <c r="EZ200" i="6"/>
  <c r="FI200" i="6"/>
  <c r="FH200" i="6"/>
  <c r="EX200" i="6" s="1"/>
  <c r="FA200" i="6"/>
  <c r="EY200" i="6"/>
  <c r="BW87" i="6"/>
  <c r="BW75" i="6" s="1"/>
  <c r="Q33" i="24"/>
  <c r="CK39" i="24"/>
  <c r="DS178" i="6"/>
  <c r="FD179" i="6"/>
  <c r="FB179" i="6"/>
  <c r="FC179" i="6"/>
  <c r="FA179" i="6"/>
  <c r="FI179" i="6"/>
  <c r="EZ179" i="6"/>
  <c r="EY179" i="6"/>
  <c r="FJ179" i="6"/>
  <c r="FH179" i="6"/>
  <c r="FG179" i="6"/>
  <c r="FE179" i="6"/>
  <c r="FF179" i="6"/>
  <c r="AJ179" i="6" s="1"/>
  <c r="CL40" i="24"/>
  <c r="BQ41" i="24"/>
  <c r="AD41" i="24"/>
  <c r="DQ104" i="6"/>
  <c r="AF63" i="6"/>
  <c r="DU78" i="6"/>
  <c r="H49" i="24"/>
  <c r="CW38" i="24"/>
  <c r="DT193" i="6"/>
  <c r="FD194" i="6"/>
  <c r="FC194" i="6"/>
  <c r="FB194" i="6"/>
  <c r="FA194" i="6"/>
  <c r="EY194" i="6"/>
  <c r="FI194" i="6"/>
  <c r="AM194" i="6" s="1"/>
  <c r="EZ194" i="6"/>
  <c r="FJ194" i="6"/>
  <c r="AN194" i="6" s="1"/>
  <c r="FH194" i="6"/>
  <c r="EX194" i="6" s="1"/>
  <c r="FG194" i="6"/>
  <c r="FE194" i="6"/>
  <c r="FF194" i="6"/>
  <c r="CE38" i="6"/>
  <c r="BO41" i="24"/>
  <c r="AU45" i="24"/>
  <c r="AC219" i="6"/>
  <c r="CE146" i="6"/>
  <c r="DU43" i="24"/>
  <c r="BJ45" i="24"/>
  <c r="FD143" i="6"/>
  <c r="BJ56" i="24" s="1"/>
  <c r="FC143" i="6"/>
  <c r="BJ57" i="24" s="1"/>
  <c r="FB143" i="6"/>
  <c r="FG143" i="6"/>
  <c r="AK143" i="6" s="1"/>
  <c r="FE143" i="6"/>
  <c r="EY143" i="6"/>
  <c r="FF143" i="6"/>
  <c r="FA143" i="6"/>
  <c r="EZ143" i="6"/>
  <c r="FJ143" i="6"/>
  <c r="BJ50" i="24" s="1"/>
  <c r="FI143" i="6"/>
  <c r="FH143" i="6"/>
  <c r="DT29" i="6"/>
  <c r="AM42" i="24"/>
  <c r="DP116" i="6"/>
  <c r="DW40" i="24"/>
  <c r="DR227" i="6"/>
  <c r="DH227" i="6" s="1"/>
  <c r="BI47" i="24"/>
  <c r="BP39" i="24"/>
  <c r="DS150" i="6"/>
  <c r="FD107" i="6"/>
  <c r="FB107" i="6"/>
  <c r="AF58" i="24" s="1"/>
  <c r="FC107" i="6"/>
  <c r="FI107" i="6"/>
  <c r="FG107" i="6"/>
  <c r="FJ107" i="6"/>
  <c r="FH107" i="6"/>
  <c r="FF107" i="6"/>
  <c r="FE107" i="6"/>
  <c r="EZ107" i="6"/>
  <c r="AF60" i="24" s="1"/>
  <c r="FA107" i="6"/>
  <c r="EY107" i="6"/>
  <c r="CR40" i="24"/>
  <c r="DR187" i="6"/>
  <c r="DH187" i="6" s="1"/>
  <c r="BH42" i="24"/>
  <c r="DK48" i="24"/>
  <c r="DJ209" i="6"/>
  <c r="FD210" i="6"/>
  <c r="FB210" i="6"/>
  <c r="FC210" i="6"/>
  <c r="AG210" i="6" s="1"/>
  <c r="FJ210" i="6"/>
  <c r="AN210" i="6" s="1"/>
  <c r="FG210" i="6"/>
  <c r="FF210" i="6"/>
  <c r="AJ210" i="6" s="1"/>
  <c r="FE210" i="6"/>
  <c r="EZ210" i="6"/>
  <c r="AD210" i="6" s="1"/>
  <c r="FI210" i="6"/>
  <c r="AM210" i="6" s="1"/>
  <c r="FH210" i="6"/>
  <c r="EX210" i="6" s="1"/>
  <c r="FA210" i="6"/>
  <c r="AE210" i="6" s="1"/>
  <c r="EY210" i="6"/>
  <c r="L45" i="24"/>
  <c r="CA43" i="24"/>
  <c r="CK48" i="24"/>
  <c r="DJ178" i="6"/>
  <c r="CL48" i="24"/>
  <c r="BQ49" i="24"/>
  <c r="DU152" i="6"/>
  <c r="AD47" i="24"/>
  <c r="DK104" i="6"/>
  <c r="FD105" i="6"/>
  <c r="AH105" i="6" s="1"/>
  <c r="FC105" i="6"/>
  <c r="FB105" i="6"/>
  <c r="FG105" i="6"/>
  <c r="FA105" i="6"/>
  <c r="EZ105" i="6"/>
  <c r="FF105" i="6"/>
  <c r="AJ105" i="6" s="1"/>
  <c r="FE105" i="6"/>
  <c r="EY105" i="6"/>
  <c r="FJ105" i="6"/>
  <c r="FI105" i="6"/>
  <c r="FH105" i="6"/>
  <c r="EX105" i="6" s="1"/>
  <c r="G44" i="24"/>
  <c r="DN76" i="6"/>
  <c r="BY38" i="24"/>
  <c r="DT164" i="6"/>
  <c r="FD165" i="6"/>
  <c r="FC165" i="6"/>
  <c r="FB165" i="6"/>
  <c r="FA165" i="6"/>
  <c r="AE165" i="6" s="1"/>
  <c r="FJ165" i="6"/>
  <c r="FI165" i="6"/>
  <c r="EZ165" i="6"/>
  <c r="EY165" i="6"/>
  <c r="FH165" i="6"/>
  <c r="EX165" i="6" s="1"/>
  <c r="FG165" i="6"/>
  <c r="FE165" i="6"/>
  <c r="FF165" i="6"/>
  <c r="H42" i="24"/>
  <c r="O38" i="24"/>
  <c r="AL44" i="24"/>
  <c r="CW46" i="24"/>
  <c r="DL193" i="6"/>
  <c r="FD149" i="6"/>
  <c r="FB149" i="6"/>
  <c r="FC149" i="6"/>
  <c r="FJ149" i="6"/>
  <c r="FF149" i="6"/>
  <c r="FE149" i="6"/>
  <c r="BO55" i="24" s="1"/>
  <c r="EZ149" i="6"/>
  <c r="FI149" i="6"/>
  <c r="FH149" i="6"/>
  <c r="FG149" i="6"/>
  <c r="FA149" i="6"/>
  <c r="EY149" i="6"/>
  <c r="AC149" i="6" s="1"/>
  <c r="E37" i="24"/>
  <c r="D37" i="24" s="1"/>
  <c r="BS43" i="6"/>
  <c r="BS47" i="6" s="1"/>
  <c r="BS71" i="6" s="1"/>
  <c r="DI47" i="24"/>
  <c r="BX219" i="4"/>
  <c r="AD45" i="24"/>
  <c r="DM104" i="6"/>
  <c r="AJ219" i="6"/>
  <c r="CE193" i="6"/>
  <c r="BY44" i="24"/>
  <c r="DN164" i="6"/>
  <c r="FD127" i="6"/>
  <c r="FC127" i="6"/>
  <c r="AW57" i="24" s="1"/>
  <c r="FB127" i="6"/>
  <c r="AW58" i="24" s="1"/>
  <c r="FA127" i="6"/>
  <c r="FJ127" i="6"/>
  <c r="FI127" i="6"/>
  <c r="EZ127" i="6"/>
  <c r="AW60" i="24" s="1"/>
  <c r="EY127" i="6"/>
  <c r="AC127" i="6" s="1"/>
  <c r="FH127" i="6"/>
  <c r="EX127" i="6" s="1"/>
  <c r="FG127" i="6"/>
  <c r="FE127" i="6"/>
  <c r="FF127" i="6"/>
  <c r="T40" i="24"/>
  <c r="AU44" i="24"/>
  <c r="BZ70" i="6"/>
  <c r="DU44" i="6"/>
  <c r="AV38" i="24"/>
  <c r="DL88" i="6"/>
  <c r="AN46" i="24"/>
  <c r="CX46" i="24"/>
  <c r="DO45" i="24"/>
  <c r="DM214" i="6"/>
  <c r="CF38" i="24"/>
  <c r="DT172" i="6"/>
  <c r="FD173" i="6"/>
  <c r="FC173" i="6"/>
  <c r="FB173" i="6"/>
  <c r="AF173" i="6" s="1"/>
  <c r="FJ173" i="6"/>
  <c r="FH173" i="6"/>
  <c r="EX173" i="6" s="1"/>
  <c r="FF173" i="6"/>
  <c r="AJ173" i="6" s="1"/>
  <c r="FI173" i="6"/>
  <c r="FG173" i="6"/>
  <c r="FE173" i="6"/>
  <c r="EZ173" i="6"/>
  <c r="FA173" i="6"/>
  <c r="EY173" i="6"/>
  <c r="AC173" i="6" s="1"/>
  <c r="DP40" i="24"/>
  <c r="BT42" i="24"/>
  <c r="DP157" i="6"/>
  <c r="DU153" i="6"/>
  <c r="BR49" i="24"/>
  <c r="DT44" i="24"/>
  <c r="DN223" i="6"/>
  <c r="CM45" i="24"/>
  <c r="DT60" i="6"/>
  <c r="DT61" i="4"/>
  <c r="AN61" i="6"/>
  <c r="AY48" i="24"/>
  <c r="DJ129" i="6"/>
  <c r="FD130" i="6"/>
  <c r="FC130" i="6"/>
  <c r="FB130" i="6"/>
  <c r="FJ130" i="6"/>
  <c r="FF130" i="6"/>
  <c r="AJ130" i="6" s="1"/>
  <c r="EZ130" i="6"/>
  <c r="FI130" i="6"/>
  <c r="AM130" i="6" s="1"/>
  <c r="FH130" i="6"/>
  <c r="EX130" i="6" s="1"/>
  <c r="FG130" i="6"/>
  <c r="FE130" i="6"/>
  <c r="FA130" i="6"/>
  <c r="AE130" i="6" s="1"/>
  <c r="EY130" i="6"/>
  <c r="AC64" i="6"/>
  <c r="CD219" i="4"/>
  <c r="DJ64" i="4"/>
  <c r="AD64" i="6"/>
  <c r="DQ38" i="6"/>
  <c r="F41" i="24" s="1"/>
  <c r="AB43" i="24"/>
  <c r="BX47" i="24"/>
  <c r="CC40" i="24"/>
  <c r="DU244" i="6"/>
  <c r="FD244" i="6"/>
  <c r="AH244" i="6" s="1"/>
  <c r="FB244" i="6"/>
  <c r="AF244" i="6" s="1"/>
  <c r="FC244" i="6"/>
  <c r="AG244" i="6" s="1"/>
  <c r="FI244" i="6"/>
  <c r="AM244" i="6" s="1"/>
  <c r="FJ244" i="6"/>
  <c r="AN244" i="6" s="1"/>
  <c r="FH244" i="6"/>
  <c r="FG244" i="6"/>
  <c r="FF244" i="6"/>
  <c r="AJ244" i="6" s="1"/>
  <c r="FE244" i="6"/>
  <c r="AI244" i="6" s="1"/>
  <c r="FA244" i="6"/>
  <c r="AE244" i="6" s="1"/>
  <c r="EZ244" i="6"/>
  <c r="AD244" i="6" s="1"/>
  <c r="EY244" i="6"/>
  <c r="BZ57" i="4"/>
  <c r="BZ58" i="4" s="1"/>
  <c r="DJ46" i="24"/>
  <c r="FD171" i="6"/>
  <c r="FB171" i="6"/>
  <c r="FC171" i="6"/>
  <c r="FJ171" i="6"/>
  <c r="FH171" i="6"/>
  <c r="EX171" i="6" s="1"/>
  <c r="FG171" i="6"/>
  <c r="FF171" i="6"/>
  <c r="FE171" i="6"/>
  <c r="EZ171" i="6"/>
  <c r="FI171" i="6"/>
  <c r="FA171" i="6"/>
  <c r="CE59" i="24" s="1"/>
  <c r="EY171" i="6"/>
  <c r="DU106" i="6"/>
  <c r="AE49" i="24"/>
  <c r="FD79" i="6"/>
  <c r="FB79" i="6"/>
  <c r="I58" i="24" s="1"/>
  <c r="FC79" i="6"/>
  <c r="FG79" i="6"/>
  <c r="EZ79" i="6"/>
  <c r="FF79" i="6"/>
  <c r="I54" i="24" s="1"/>
  <c r="FE79" i="6"/>
  <c r="I55" i="24" s="1"/>
  <c r="FA79" i="6"/>
  <c r="I59" i="24" s="1"/>
  <c r="EY79" i="6"/>
  <c r="FH79" i="6"/>
  <c r="EX79" i="6" s="1"/>
  <c r="FJ79" i="6"/>
  <c r="FI79" i="6"/>
  <c r="BB40" i="24"/>
  <c r="DR133" i="6"/>
  <c r="DH133" i="6" s="1"/>
  <c r="Y42" i="24"/>
  <c r="DL41" i="24"/>
  <c r="FD140" i="6"/>
  <c r="FB140" i="6"/>
  <c r="FC140" i="6"/>
  <c r="BG57" i="24" s="1"/>
  <c r="FJ140" i="6"/>
  <c r="FF140" i="6"/>
  <c r="FE140" i="6"/>
  <c r="BG55" i="24" s="1"/>
  <c r="FA140" i="6"/>
  <c r="BG59" i="24" s="1"/>
  <c r="EZ140" i="6"/>
  <c r="FI140" i="6"/>
  <c r="FH140" i="6"/>
  <c r="EX140" i="6" s="1"/>
  <c r="FG140" i="6"/>
  <c r="EY140" i="6"/>
  <c r="DU45" i="24"/>
  <c r="DU143" i="6"/>
  <c r="BJ49" i="24"/>
  <c r="DU31" i="6"/>
  <c r="DI29" i="6"/>
  <c r="AM39" i="24"/>
  <c r="DS116" i="6"/>
  <c r="AC49" i="24"/>
  <c r="DU102" i="6"/>
  <c r="FD102" i="6"/>
  <c r="AC56" i="24" s="1"/>
  <c r="FB102" i="6"/>
  <c r="FC102" i="6"/>
  <c r="FA102" i="6"/>
  <c r="AC59" i="24" s="1"/>
  <c r="FJ102" i="6"/>
  <c r="FI102" i="6"/>
  <c r="AC51" i="24" s="1"/>
  <c r="EZ102" i="6"/>
  <c r="AC60" i="24" s="1"/>
  <c r="EY102" i="6"/>
  <c r="FH102" i="6"/>
  <c r="FE102" i="6"/>
  <c r="FG102" i="6"/>
  <c r="FF102" i="6"/>
  <c r="BS57" i="4"/>
  <c r="BS58" i="4" s="1"/>
  <c r="CE55" i="4"/>
  <c r="CE57" i="4" s="1"/>
  <c r="CE58" i="4" s="1"/>
  <c r="BP43" i="24"/>
  <c r="DO150" i="6"/>
  <c r="AF49" i="24"/>
  <c r="DU107" i="6"/>
  <c r="CR47" i="24"/>
  <c r="DK187" i="6"/>
  <c r="DU108" i="6"/>
  <c r="AG49" i="24"/>
  <c r="BX57" i="4"/>
  <c r="BX58" i="4" s="1"/>
  <c r="DS44" i="24"/>
  <c r="DN222" i="4"/>
  <c r="AH222" i="4" s="1"/>
  <c r="AH222" i="6"/>
  <c r="FD83" i="6"/>
  <c r="FB83" i="6"/>
  <c r="FC83" i="6"/>
  <c r="FG83" i="6"/>
  <c r="FA83" i="6"/>
  <c r="EY83" i="6"/>
  <c r="AC83" i="6" s="1"/>
  <c r="FF83" i="6"/>
  <c r="M54" i="24" s="1"/>
  <c r="FE83" i="6"/>
  <c r="M55" i="24" s="1"/>
  <c r="EZ83" i="6"/>
  <c r="FJ83" i="6"/>
  <c r="M50" i="24" s="1"/>
  <c r="FI83" i="6"/>
  <c r="FH83" i="6"/>
  <c r="EX83" i="6" s="1"/>
  <c r="CU40" i="24"/>
  <c r="BS41" i="24"/>
  <c r="R40" i="24"/>
  <c r="DR90" i="6"/>
  <c r="DH90" i="6" s="1"/>
  <c r="BM43" i="24"/>
  <c r="DO146" i="6"/>
  <c r="DE46" i="24"/>
  <c r="AZ48" i="24"/>
  <c r="CH46" i="24"/>
  <c r="AS45" i="24"/>
  <c r="X39" i="24"/>
  <c r="DH48" i="24"/>
  <c r="DJ205" i="6"/>
  <c r="FD206" i="6"/>
  <c r="FC206" i="6"/>
  <c r="FB206" i="6"/>
  <c r="FJ206" i="6"/>
  <c r="AN206" i="6" s="1"/>
  <c r="FI206" i="6"/>
  <c r="FH206" i="6"/>
  <c r="FG206" i="6"/>
  <c r="FF206" i="6"/>
  <c r="AJ206" i="6" s="1"/>
  <c r="FE206" i="6"/>
  <c r="EZ206" i="6"/>
  <c r="AD206" i="6" s="1"/>
  <c r="FA206" i="6"/>
  <c r="AE206" i="6" s="1"/>
  <c r="EY206" i="6"/>
  <c r="DC42" i="24"/>
  <c r="FD212" i="6"/>
  <c r="FB212" i="6"/>
  <c r="FC212" i="6"/>
  <c r="DM57" i="24" s="1"/>
  <c r="FA212" i="6"/>
  <c r="EZ212" i="6"/>
  <c r="DM60" i="24" s="1"/>
  <c r="EY212" i="6"/>
  <c r="AC212" i="6" s="1"/>
  <c r="FJ212" i="6"/>
  <c r="DM50" i="24" s="1"/>
  <c r="FI212" i="6"/>
  <c r="FH212" i="6"/>
  <c r="EX212" i="6" s="1"/>
  <c r="FE212" i="6"/>
  <c r="FG212" i="6"/>
  <c r="FF212" i="6"/>
  <c r="CK42" i="24"/>
  <c r="DP178" i="6"/>
  <c r="CL41" i="24"/>
  <c r="AD44" i="24"/>
  <c r="DN104" i="6"/>
  <c r="S40" i="24"/>
  <c r="CW41" i="24"/>
  <c r="DQ193" i="6"/>
  <c r="AW45" i="24"/>
  <c r="FD93" i="6"/>
  <c r="FC93" i="6"/>
  <c r="T57" i="24" s="1"/>
  <c r="FB93" i="6"/>
  <c r="T58" i="24" s="1"/>
  <c r="FF93" i="6"/>
  <c r="T54" i="24" s="1"/>
  <c r="FJ93" i="6"/>
  <c r="T50" i="24" s="1"/>
  <c r="FI93" i="6"/>
  <c r="T51" i="24" s="1"/>
  <c r="FH93" i="6"/>
  <c r="FG93" i="6"/>
  <c r="FE93" i="6"/>
  <c r="T55" i="24" s="1"/>
  <c r="EZ93" i="6"/>
  <c r="FA93" i="6"/>
  <c r="EY93" i="6"/>
  <c r="CZ40" i="24"/>
  <c r="BO43" i="24"/>
  <c r="AU39" i="24"/>
  <c r="DU220" i="6"/>
  <c r="DQ49" i="24"/>
  <c r="DI219" i="6"/>
  <c r="DI220" i="4"/>
  <c r="AC220" i="4" s="1"/>
  <c r="FD94" i="6"/>
  <c r="U56" i="24" s="1"/>
  <c r="FB94" i="6"/>
  <c r="U58" i="24" s="1"/>
  <c r="FC94" i="6"/>
  <c r="U57" i="24" s="1"/>
  <c r="FA94" i="6"/>
  <c r="FI94" i="6"/>
  <c r="EZ94" i="6"/>
  <c r="EY94" i="6"/>
  <c r="FJ94" i="6"/>
  <c r="U50" i="24" s="1"/>
  <c r="FH94" i="6"/>
  <c r="EX94" i="6" s="1"/>
  <c r="FF94" i="6"/>
  <c r="U54" i="24" s="1"/>
  <c r="FE94" i="6"/>
  <c r="FG94" i="6"/>
  <c r="DN38" i="6"/>
  <c r="F44" i="24" s="1"/>
  <c r="AH39" i="6"/>
  <c r="AG39" i="6"/>
  <c r="AF39" i="6"/>
  <c r="EX39" i="6"/>
  <c r="AD39" i="6"/>
  <c r="EY39" i="6"/>
  <c r="AC39" i="6" s="1"/>
  <c r="CN46" i="24"/>
  <c r="DL182" i="6"/>
  <c r="FD132" i="6"/>
  <c r="BA56" i="24" s="1"/>
  <c r="FB132" i="6"/>
  <c r="FC132" i="6"/>
  <c r="FA132" i="6"/>
  <c r="FI132" i="6"/>
  <c r="EZ132" i="6"/>
  <c r="EY132" i="6"/>
  <c r="FJ132" i="6"/>
  <c r="BA50" i="24" s="1"/>
  <c r="FH132" i="6"/>
  <c r="FE132" i="6"/>
  <c r="FG132" i="6"/>
  <c r="FF132" i="6"/>
  <c r="CE90" i="6"/>
  <c r="DW48" i="24"/>
  <c r="DJ227" i="6"/>
  <c r="CA219" i="4"/>
  <c r="FD188" i="6"/>
  <c r="FB188" i="6"/>
  <c r="FC188" i="6"/>
  <c r="FJ188" i="6"/>
  <c r="FI188" i="6"/>
  <c r="FH188" i="6"/>
  <c r="EX188" i="6" s="1"/>
  <c r="FF188" i="6"/>
  <c r="FG188" i="6"/>
  <c r="FE188" i="6"/>
  <c r="EZ188" i="6"/>
  <c r="EY188" i="6"/>
  <c r="FA188" i="6"/>
  <c r="BM39" i="24"/>
  <c r="DS146" i="6"/>
  <c r="FD202" i="6"/>
  <c r="FB202" i="6"/>
  <c r="DE58" i="24" s="1"/>
  <c r="FC202" i="6"/>
  <c r="FA202" i="6"/>
  <c r="DE59" i="24" s="1"/>
  <c r="EY202" i="6"/>
  <c r="FI202" i="6"/>
  <c r="EZ202" i="6"/>
  <c r="FJ202" i="6"/>
  <c r="DE50" i="24" s="1"/>
  <c r="FH202" i="6"/>
  <c r="EX202" i="6" s="1"/>
  <c r="FG202" i="6"/>
  <c r="FE202" i="6"/>
  <c r="FF202" i="6"/>
  <c r="DE54" i="24" s="1"/>
  <c r="AS49" i="24"/>
  <c r="DU123" i="6"/>
  <c r="DU135" i="6"/>
  <c r="BC49" i="24"/>
  <c r="BY49" i="24"/>
  <c r="DU165" i="6"/>
  <c r="DI164" i="6"/>
  <c r="CE133" i="6"/>
  <c r="FD41" i="6"/>
  <c r="AH41" i="6" s="1"/>
  <c r="FC41" i="6"/>
  <c r="AG41" i="6" s="1"/>
  <c r="FB41" i="6"/>
  <c r="AF41" i="6" s="1"/>
  <c r="FG41" i="6"/>
  <c r="FA41" i="6"/>
  <c r="AE41" i="6" s="1"/>
  <c r="EZ41" i="6"/>
  <c r="AD41" i="6" s="1"/>
  <c r="FF41" i="6"/>
  <c r="AJ41" i="6" s="1"/>
  <c r="FE41" i="6"/>
  <c r="AI41" i="6" s="1"/>
  <c r="EY41" i="6"/>
  <c r="FI41" i="6"/>
  <c r="AM41" i="6" s="1"/>
  <c r="FH41" i="6"/>
  <c r="FJ41" i="6"/>
  <c r="AN41" i="6" s="1"/>
  <c r="BP43" i="6"/>
  <c r="BP47" i="6" s="1"/>
  <c r="E74" i="23"/>
  <c r="D74" i="23" s="1"/>
  <c r="FD201" i="6"/>
  <c r="FB201" i="6"/>
  <c r="DD58" i="24" s="1"/>
  <c r="FC201" i="6"/>
  <c r="FI201" i="6"/>
  <c r="FH201" i="6"/>
  <c r="EX201" i="6" s="1"/>
  <c r="FJ201" i="6"/>
  <c r="DD50" i="24" s="1"/>
  <c r="FG201" i="6"/>
  <c r="FF201" i="6"/>
  <c r="DD54" i="24" s="1"/>
  <c r="FE201" i="6"/>
  <c r="DD55" i="24" s="1"/>
  <c r="EZ201" i="6"/>
  <c r="DD60" i="24" s="1"/>
  <c r="FA201" i="6"/>
  <c r="DD59" i="24" s="1"/>
  <c r="EY201" i="6"/>
  <c r="AC201" i="6" s="1"/>
  <c r="DU196" i="6"/>
  <c r="CY49" i="24"/>
  <c r="DU139" i="6"/>
  <c r="BF49" i="24"/>
  <c r="DI138" i="6"/>
  <c r="DN49" i="24"/>
  <c r="DU213" i="6"/>
  <c r="DU126" i="6"/>
  <c r="AV49" i="24"/>
  <c r="Q38" i="24"/>
  <c r="DT87" i="6"/>
  <c r="DO46" i="24"/>
  <c r="DL214" i="6"/>
  <c r="DT48" i="24"/>
  <c r="DJ223" i="6"/>
  <c r="DJ60" i="6"/>
  <c r="DJ61" i="4"/>
  <c r="BY70" i="6"/>
  <c r="DO38" i="6"/>
  <c r="F43" i="24" s="1"/>
  <c r="FD128" i="6"/>
  <c r="FB128" i="6"/>
  <c r="AX58" i="24" s="1"/>
  <c r="FC128" i="6"/>
  <c r="FG128" i="6"/>
  <c r="FE128" i="6"/>
  <c r="FA128" i="6"/>
  <c r="AX59" i="24" s="1"/>
  <c r="EY128" i="6"/>
  <c r="FF128" i="6"/>
  <c r="EZ128" i="6"/>
  <c r="FH128" i="6"/>
  <c r="EX128" i="6" s="1"/>
  <c r="FJ128" i="6"/>
  <c r="FI128" i="6"/>
  <c r="AX51" i="24" s="1"/>
  <c r="DR241" i="6"/>
  <c r="EB40" i="24" s="1"/>
  <c r="DU184" i="6"/>
  <c r="CO49" i="24"/>
  <c r="DQ29" i="6"/>
  <c r="CA218" i="6"/>
  <c r="DU142" i="6"/>
  <c r="BI49" i="24"/>
  <c r="CR39" i="24"/>
  <c r="DS187" i="6"/>
  <c r="DK45" i="24"/>
  <c r="DM209" i="6"/>
  <c r="DS43" i="24"/>
  <c r="DO222" i="4"/>
  <c r="AI222" i="4" s="1"/>
  <c r="DU147" i="6"/>
  <c r="BM49" i="24"/>
  <c r="DI146" i="6"/>
  <c r="DH38" i="24"/>
  <c r="DT205" i="6"/>
  <c r="AD48" i="24"/>
  <c r="DJ104" i="6"/>
  <c r="DU45" i="6"/>
  <c r="G49" i="24"/>
  <c r="DU77" i="6"/>
  <c r="DI76" i="6"/>
  <c r="E35" i="24"/>
  <c r="D35" i="24" s="1"/>
  <c r="BU43" i="6"/>
  <c r="BU47" i="6" s="1"/>
  <c r="BU71" i="6" s="1"/>
  <c r="DU125" i="6"/>
  <c r="AU49" i="24"/>
  <c r="FD125" i="6"/>
  <c r="AU56" i="24" s="1"/>
  <c r="FC125" i="6"/>
  <c r="AU57" i="24" s="1"/>
  <c r="FB125" i="6"/>
  <c r="FJ125" i="6"/>
  <c r="FG125" i="6"/>
  <c r="AK125" i="6" s="1"/>
  <c r="FF125" i="6"/>
  <c r="AU54" i="24" s="1"/>
  <c r="FA125" i="6"/>
  <c r="EZ125" i="6"/>
  <c r="FI125" i="6"/>
  <c r="AU51" i="24" s="1"/>
  <c r="FH125" i="6"/>
  <c r="EX125" i="6" s="1"/>
  <c r="FE125" i="6"/>
  <c r="AU55" i="24" s="1"/>
  <c r="EY125" i="6"/>
  <c r="H71" i="6"/>
  <c r="H72" i="6" s="1"/>
  <c r="M58" i="6"/>
  <c r="BI70" i="6"/>
  <c r="BP58" i="6"/>
  <c r="EV218" i="6"/>
  <c r="CY70" i="6"/>
  <c r="E121" i="23"/>
  <c r="D121" i="23" s="1"/>
  <c r="EU75" i="6"/>
  <c r="EP70" i="6"/>
  <c r="AD67" i="1"/>
  <c r="CB57" i="4"/>
  <c r="CB58" i="4" s="1"/>
  <c r="CB115" i="6"/>
  <c r="BF47" i="24"/>
  <c r="DK138" i="6"/>
  <c r="CE150" i="6"/>
  <c r="DU204" i="6"/>
  <c r="DG49" i="24"/>
  <c r="CA43" i="6"/>
  <c r="CA47" i="6" s="1"/>
  <c r="CA71" i="6" s="1"/>
  <c r="E29" i="24"/>
  <c r="D29" i="24" s="1"/>
  <c r="Q48" i="24"/>
  <c r="DJ87" i="6"/>
  <c r="FF32" i="6"/>
  <c r="FD32" i="6"/>
  <c r="FE32" i="6"/>
  <c r="FC32" i="6"/>
  <c r="FC88" i="6" s="1"/>
  <c r="EZ32" i="6"/>
  <c r="EY32" i="6"/>
  <c r="FB32" i="6"/>
  <c r="FB88" i="6" s="1"/>
  <c r="FA32" i="6"/>
  <c r="FA88" i="6" s="1"/>
  <c r="AE88" i="6" s="1"/>
  <c r="AE87" i="6" s="1"/>
  <c r="FI32" i="6"/>
  <c r="FI88" i="6" s="1"/>
  <c r="FH32" i="6"/>
  <c r="FG32" i="6"/>
  <c r="AK32" i="6" s="1"/>
  <c r="FJ32" i="6"/>
  <c r="FJ88" i="6" s="1"/>
  <c r="DO41" i="24"/>
  <c r="DQ214" i="6"/>
  <c r="CF47" i="24"/>
  <c r="DK172" i="6"/>
  <c r="DU216" i="6"/>
  <c r="DP49" i="24"/>
  <c r="BT49" i="24"/>
  <c r="DU158" i="6"/>
  <c r="DI157" i="6"/>
  <c r="DT40" i="24"/>
  <c r="DR223" i="6"/>
  <c r="DH223" i="6" s="1"/>
  <c r="DK60" i="6"/>
  <c r="DK61" i="4"/>
  <c r="AY38" i="24"/>
  <c r="DT129" i="6"/>
  <c r="CE157" i="6"/>
  <c r="DU55" i="6"/>
  <c r="DU57" i="6" s="1"/>
  <c r="DU58" i="6" s="1"/>
  <c r="DI57" i="6"/>
  <c r="DI58" i="6" s="1"/>
  <c r="DI55" i="4"/>
  <c r="DU124" i="6"/>
  <c r="AT49" i="24"/>
  <c r="DQ48" i="24"/>
  <c r="DJ219" i="6"/>
  <c r="DJ220" i="4"/>
  <c r="AD220" i="4" s="1"/>
  <c r="DP38" i="6"/>
  <c r="F42" i="24" s="1"/>
  <c r="FD101" i="6"/>
  <c r="AB56" i="24" s="1"/>
  <c r="FC101" i="6"/>
  <c r="FB101" i="6"/>
  <c r="FH101" i="6"/>
  <c r="FJ101" i="6"/>
  <c r="AB50" i="24" s="1"/>
  <c r="FI101" i="6"/>
  <c r="AB51" i="24" s="1"/>
  <c r="FG101" i="6"/>
  <c r="FF101" i="6"/>
  <c r="FE101" i="6"/>
  <c r="AB55" i="24" s="1"/>
  <c r="EZ101" i="6"/>
  <c r="FA101" i="6"/>
  <c r="AB59" i="24" s="1"/>
  <c r="EY101" i="6"/>
  <c r="AC101" i="6" s="1"/>
  <c r="DQ241" i="6"/>
  <c r="EB41" i="24" s="1"/>
  <c r="CN41" i="24"/>
  <c r="DQ182" i="6"/>
  <c r="DU132" i="6"/>
  <c r="BA49" i="24"/>
  <c r="FD106" i="6"/>
  <c r="AE56" i="24" s="1"/>
  <c r="FC106" i="6"/>
  <c r="FB106" i="6"/>
  <c r="AE58" i="24" s="1"/>
  <c r="FJ106" i="6"/>
  <c r="AE50" i="24" s="1"/>
  <c r="FG106" i="6"/>
  <c r="FE106" i="6"/>
  <c r="EZ106" i="6"/>
  <c r="FI106" i="6"/>
  <c r="AE51" i="24" s="1"/>
  <c r="FH106" i="6"/>
  <c r="EX106" i="6" s="1"/>
  <c r="FF106" i="6"/>
  <c r="FA106" i="6"/>
  <c r="EY106" i="6"/>
  <c r="BB45" i="24"/>
  <c r="DM133" i="6"/>
  <c r="CE205" i="6"/>
  <c r="CD115" i="6"/>
  <c r="CE129" i="6"/>
  <c r="DU136" i="6"/>
  <c r="BD49" i="24"/>
  <c r="DK29" i="6"/>
  <c r="AM47" i="24"/>
  <c r="DK116" i="6"/>
  <c r="DW46" i="24"/>
  <c r="DL227" i="6"/>
  <c r="AE185" i="6"/>
  <c r="BP44" i="24"/>
  <c r="DN150" i="6"/>
  <c r="CR43" i="24"/>
  <c r="DO187" i="6"/>
  <c r="DU141" i="6"/>
  <c r="BH49" i="24"/>
  <c r="FD141" i="6"/>
  <c r="FC141" i="6"/>
  <c r="FB141" i="6"/>
  <c r="BH58" i="24" s="1"/>
  <c r="FJ141" i="6"/>
  <c r="FI141" i="6"/>
  <c r="FH141" i="6"/>
  <c r="EX141" i="6" s="1"/>
  <c r="FG141" i="6"/>
  <c r="AK141" i="6" s="1"/>
  <c r="FF141" i="6"/>
  <c r="BH54" i="24" s="1"/>
  <c r="FE141" i="6"/>
  <c r="EZ141" i="6"/>
  <c r="FA141" i="6"/>
  <c r="EY141" i="6"/>
  <c r="BY218" i="6"/>
  <c r="DK43" i="24"/>
  <c r="DO209" i="6"/>
  <c r="DS39" i="24"/>
  <c r="DS222" i="4"/>
  <c r="AM222" i="4" s="1"/>
  <c r="AM222" i="1" s="1"/>
  <c r="FD40" i="6"/>
  <c r="AH40" i="6" s="1"/>
  <c r="FB40" i="6"/>
  <c r="AF40" i="6" s="1"/>
  <c r="FC40" i="6"/>
  <c r="AG40" i="6" s="1"/>
  <c r="FA40" i="6"/>
  <c r="AE40" i="6" s="1"/>
  <c r="EZ40" i="6"/>
  <c r="AD40" i="6" s="1"/>
  <c r="EY40" i="6"/>
  <c r="FJ40" i="6"/>
  <c r="AN40" i="6" s="1"/>
  <c r="FI40" i="6"/>
  <c r="AM40" i="6" s="1"/>
  <c r="FG40" i="6"/>
  <c r="FF40" i="6"/>
  <c r="AJ40" i="6" s="1"/>
  <c r="FH40" i="6"/>
  <c r="FE40" i="6"/>
  <c r="AI40" i="6" s="1"/>
  <c r="R39" i="24"/>
  <c r="DS90" i="6"/>
  <c r="BM48" i="24"/>
  <c r="DJ146" i="6"/>
  <c r="FD131" i="6"/>
  <c r="FC131" i="6"/>
  <c r="AZ57" i="24" s="1"/>
  <c r="FB131" i="6"/>
  <c r="AZ58" i="24" s="1"/>
  <c r="FJ131" i="6"/>
  <c r="FI131" i="6"/>
  <c r="FH131" i="6"/>
  <c r="FG131" i="6"/>
  <c r="FF131" i="6"/>
  <c r="AZ54" i="24" s="1"/>
  <c r="FE131" i="6"/>
  <c r="EZ131" i="6"/>
  <c r="AZ60" i="24" s="1"/>
  <c r="FA131" i="6"/>
  <c r="AZ59" i="24" s="1"/>
  <c r="EY131" i="6"/>
  <c r="DH46" i="24"/>
  <c r="DL205" i="6"/>
  <c r="CK44" i="24"/>
  <c r="DN178" i="6"/>
  <c r="AD43" i="24"/>
  <c r="DO104" i="6"/>
  <c r="FD203" i="6"/>
  <c r="FB203" i="6"/>
  <c r="FC203" i="6"/>
  <c r="DF57" i="24" s="1"/>
  <c r="FG203" i="6"/>
  <c r="FA203" i="6"/>
  <c r="EZ203" i="6"/>
  <c r="EY203" i="6"/>
  <c r="FF203" i="6"/>
  <c r="FE203" i="6"/>
  <c r="DF55" i="24" s="1"/>
  <c r="FH203" i="6"/>
  <c r="EX203" i="6" s="1"/>
  <c r="FJ203" i="6"/>
  <c r="FI203" i="6"/>
  <c r="CD70" i="6"/>
  <c r="G46" i="24"/>
  <c r="DL76" i="6"/>
  <c r="BY41" i="24"/>
  <c r="DQ164" i="6"/>
  <c r="FD85" i="6"/>
  <c r="FB85" i="6"/>
  <c r="FC85" i="6"/>
  <c r="FJ85" i="6"/>
  <c r="O50" i="24" s="1"/>
  <c r="FH85" i="6"/>
  <c r="FG85" i="6"/>
  <c r="FF85" i="6"/>
  <c r="O54" i="24" s="1"/>
  <c r="FI85" i="6"/>
  <c r="O51" i="24" s="1"/>
  <c r="FE85" i="6"/>
  <c r="EZ85" i="6"/>
  <c r="FA85" i="6"/>
  <c r="EY85" i="6"/>
  <c r="CW47" i="24"/>
  <c r="DK193" i="6"/>
  <c r="CE209" i="6"/>
  <c r="DU41" i="6"/>
  <c r="AE61" i="6"/>
  <c r="U49" i="24"/>
  <c r="DU94" i="6"/>
  <c r="BV70" i="6"/>
  <c r="BB48" i="24"/>
  <c r="DJ133" i="6"/>
  <c r="FD186" i="6"/>
  <c r="FC186" i="6"/>
  <c r="CQ57" i="24" s="1"/>
  <c r="FB186" i="6"/>
  <c r="CQ58" i="24" s="1"/>
  <c r="FJ186" i="6"/>
  <c r="FH186" i="6"/>
  <c r="EX186" i="6" s="1"/>
  <c r="FF186" i="6"/>
  <c r="CQ54" i="24" s="1"/>
  <c r="FE186" i="6"/>
  <c r="FI186" i="6"/>
  <c r="FG186" i="6"/>
  <c r="FA186" i="6"/>
  <c r="CQ59" i="24" s="1"/>
  <c r="EZ186" i="6"/>
  <c r="CQ60" i="24" s="1"/>
  <c r="EY186" i="6"/>
  <c r="AC186" i="6" s="1"/>
  <c r="Y49" i="24"/>
  <c r="DU98" i="6"/>
  <c r="DU80" i="6"/>
  <c r="J49" i="24"/>
  <c r="FD136" i="6"/>
  <c r="BD56" i="24" s="1"/>
  <c r="FB136" i="6"/>
  <c r="FC136" i="6"/>
  <c r="FI136" i="6"/>
  <c r="BD51" i="24" s="1"/>
  <c r="FH136" i="6"/>
  <c r="FJ136" i="6"/>
  <c r="FG136" i="6"/>
  <c r="FF136" i="6"/>
  <c r="BD54" i="24" s="1"/>
  <c r="FE136" i="6"/>
  <c r="FA136" i="6"/>
  <c r="BD59" i="24" s="1"/>
  <c r="EZ136" i="6"/>
  <c r="EY136" i="6"/>
  <c r="DP29" i="6"/>
  <c r="CR44" i="24"/>
  <c r="DN187" i="6"/>
  <c r="DK38" i="24"/>
  <c r="DT209" i="6"/>
  <c r="R44" i="24"/>
  <c r="DN90" i="6"/>
  <c r="DH39" i="24"/>
  <c r="DS205" i="6"/>
  <c r="DU212" i="6"/>
  <c r="DM49" i="24"/>
  <c r="BU115" i="6"/>
  <c r="CK47" i="24"/>
  <c r="DK178" i="6"/>
  <c r="DU105" i="6"/>
  <c r="AD49" i="24"/>
  <c r="DI104" i="6"/>
  <c r="FD45" i="6"/>
  <c r="AH45" i="6" s="1"/>
  <c r="FB45" i="6"/>
  <c r="AF45" i="6" s="1"/>
  <c r="FC45" i="6"/>
  <c r="AG45" i="6" s="1"/>
  <c r="FA45" i="6"/>
  <c r="AE45" i="6" s="1"/>
  <c r="FJ45" i="6"/>
  <c r="AN45" i="6" s="1"/>
  <c r="EZ45" i="6"/>
  <c r="AD45" i="6" s="1"/>
  <c r="EY45" i="6"/>
  <c r="FI45" i="6"/>
  <c r="AM45" i="6" s="1"/>
  <c r="FH45" i="6"/>
  <c r="FE45" i="6"/>
  <c r="AI45" i="6" s="1"/>
  <c r="FG45" i="6"/>
  <c r="FF45" i="6"/>
  <c r="AJ45" i="6" s="1"/>
  <c r="G45" i="24"/>
  <c r="DM76" i="6"/>
  <c r="FD197" i="6"/>
  <c r="FB197" i="6"/>
  <c r="CZ58" i="24" s="1"/>
  <c r="FC197" i="6"/>
  <c r="FJ197" i="6"/>
  <c r="CZ50" i="24" s="1"/>
  <c r="FI197" i="6"/>
  <c r="FH197" i="6"/>
  <c r="FG197" i="6"/>
  <c r="FF197" i="6"/>
  <c r="FE197" i="6"/>
  <c r="EZ197" i="6"/>
  <c r="CZ60" i="24" s="1"/>
  <c r="FA197" i="6"/>
  <c r="EY197" i="6"/>
  <c r="AC197" i="6" s="1"/>
  <c r="CE104" i="6"/>
  <c r="BT38" i="24"/>
  <c r="DT157" i="6"/>
  <c r="AY43" i="24"/>
  <c r="DO129" i="6"/>
  <c r="CE64" i="4"/>
  <c r="DU122" i="6"/>
  <c r="AR49" i="24"/>
  <c r="DU62" i="6"/>
  <c r="DK62" i="4"/>
  <c r="CN43" i="24"/>
  <c r="DO182" i="6"/>
  <c r="CE164" i="6"/>
  <c r="BB47" i="24"/>
  <c r="DK133" i="6"/>
  <c r="FD184" i="6"/>
  <c r="CO56" i="24" s="1"/>
  <c r="FB184" i="6"/>
  <c r="FC184" i="6"/>
  <c r="FA184" i="6"/>
  <c r="FI184" i="6"/>
  <c r="EZ184" i="6"/>
  <c r="EY184" i="6"/>
  <c r="FJ184" i="6"/>
  <c r="CO50" i="24" s="1"/>
  <c r="FH184" i="6"/>
  <c r="EX184" i="6" s="1"/>
  <c r="FG184" i="6"/>
  <c r="FF184" i="6"/>
  <c r="FE184" i="6"/>
  <c r="AM48" i="24"/>
  <c r="DJ116" i="6"/>
  <c r="Q37" i="24"/>
  <c r="BS87" i="6"/>
  <c r="BS75" i="6" s="1"/>
  <c r="CE88" i="6"/>
  <c r="CE87" i="6" s="1"/>
  <c r="BP48" i="24"/>
  <c r="DJ150" i="6"/>
  <c r="DU199" i="6"/>
  <c r="DB49" i="24"/>
  <c r="FD199" i="6"/>
  <c r="FB199" i="6"/>
  <c r="DB58" i="24" s="1"/>
  <c r="FC199" i="6"/>
  <c r="FG199" i="6"/>
  <c r="EZ199" i="6"/>
  <c r="EY199" i="6"/>
  <c r="FF199" i="6"/>
  <c r="DB54" i="24" s="1"/>
  <c r="FE199" i="6"/>
  <c r="DB55" i="24" s="1"/>
  <c r="FA199" i="6"/>
  <c r="FH199" i="6"/>
  <c r="EX199" i="6" s="1"/>
  <c r="FJ199" i="6"/>
  <c r="DB50" i="24" s="1"/>
  <c r="FI199" i="6"/>
  <c r="DB51" i="24" s="1"/>
  <c r="DU137" i="6"/>
  <c r="BE49" i="24"/>
  <c r="FD137" i="6"/>
  <c r="FC137" i="6"/>
  <c r="BE57" i="24" s="1"/>
  <c r="FB137" i="6"/>
  <c r="FA137" i="6"/>
  <c r="FI137" i="6"/>
  <c r="BE51" i="24" s="1"/>
  <c r="EZ137" i="6"/>
  <c r="EY137" i="6"/>
  <c r="FJ137" i="6"/>
  <c r="FH137" i="6"/>
  <c r="FG137" i="6"/>
  <c r="FF137" i="6"/>
  <c r="BE54" i="24" s="1"/>
  <c r="FE137" i="6"/>
  <c r="BY43" i="24"/>
  <c r="DO164" i="6"/>
  <c r="R57" i="6"/>
  <c r="BM70" i="6"/>
  <c r="DB70" i="6"/>
  <c r="DE43" i="6"/>
  <c r="DE47" i="6" s="1"/>
  <c r="E111" i="23"/>
  <c r="D111" i="23" s="1"/>
  <c r="ER70" i="6"/>
  <c r="AL67" i="1"/>
  <c r="E27" i="24"/>
  <c r="D27" i="24" s="1"/>
  <c r="CC43" i="6"/>
  <c r="CC47" i="6" s="1"/>
  <c r="CC71" i="6" s="1"/>
  <c r="FD111" i="6"/>
  <c r="FC111" i="6"/>
  <c r="AJ57" i="24" s="1"/>
  <c r="FB111" i="6"/>
  <c r="AJ58" i="24" s="1"/>
  <c r="FJ111" i="6"/>
  <c r="FG111" i="6"/>
  <c r="FI111" i="6"/>
  <c r="AJ51" i="24" s="1"/>
  <c r="FH111" i="6"/>
  <c r="EX111" i="6" s="1"/>
  <c r="FF111" i="6"/>
  <c r="FE111" i="6"/>
  <c r="EZ111" i="6"/>
  <c r="AJ60" i="24" s="1"/>
  <c r="EY111" i="6"/>
  <c r="FA111" i="6"/>
  <c r="AJ59" i="24" s="1"/>
  <c r="BF48" i="24"/>
  <c r="DJ138" i="6"/>
  <c r="CA115" i="6"/>
  <c r="DU32" i="6"/>
  <c r="DI88" i="6"/>
  <c r="FD118" i="6"/>
  <c r="AN56" i="24" s="1"/>
  <c r="FC118" i="6"/>
  <c r="FB118" i="6"/>
  <c r="AN58" i="24" s="1"/>
  <c r="FI118" i="6"/>
  <c r="AN51" i="24" s="1"/>
  <c r="FJ118" i="6"/>
  <c r="FH118" i="6"/>
  <c r="EX118" i="6" s="1"/>
  <c r="FG118" i="6"/>
  <c r="FF118" i="6"/>
  <c r="AN54" i="24" s="1"/>
  <c r="FE118" i="6"/>
  <c r="AN55" i="24" s="1"/>
  <c r="EZ118" i="6"/>
  <c r="AN60" i="24" s="1"/>
  <c r="FA118" i="6"/>
  <c r="AN59" i="24" s="1"/>
  <c r="EY118" i="6"/>
  <c r="AC118" i="6" s="1"/>
  <c r="DO42" i="24"/>
  <c r="DP214" i="6"/>
  <c r="CF46" i="24"/>
  <c r="DL172" i="6"/>
  <c r="BT47" i="24"/>
  <c r="DK157" i="6"/>
  <c r="FD176" i="6"/>
  <c r="CI56" i="24" s="1"/>
  <c r="FC176" i="6"/>
  <c r="CI57" i="24" s="1"/>
  <c r="FB176" i="6"/>
  <c r="CI58" i="24" s="1"/>
  <c r="FJ176" i="6"/>
  <c r="CI50" i="24" s="1"/>
  <c r="FH176" i="6"/>
  <c r="EX176" i="6" s="1"/>
  <c r="FG176" i="6"/>
  <c r="FF176" i="6"/>
  <c r="FE176" i="6"/>
  <c r="FA176" i="6"/>
  <c r="CI59" i="24" s="1"/>
  <c r="FI176" i="6"/>
  <c r="CI51" i="24" s="1"/>
  <c r="EZ176" i="6"/>
  <c r="CI60" i="24" s="1"/>
  <c r="EY176" i="6"/>
  <c r="DT41" i="24"/>
  <c r="DQ223" i="6"/>
  <c r="BV57" i="4"/>
  <c r="BV58" i="4" s="1"/>
  <c r="DU181" i="6"/>
  <c r="CM49" i="24"/>
  <c r="DU243" i="6"/>
  <c r="DN61" i="4"/>
  <c r="DN60" i="6"/>
  <c r="AY39" i="24"/>
  <c r="DS129" i="6"/>
  <c r="BS156" i="6"/>
  <c r="DU42" i="6"/>
  <c r="DJ57" i="6"/>
  <c r="DJ58" i="6" s="1"/>
  <c r="DJ55" i="4"/>
  <c r="DJ57" i="4" s="1"/>
  <c r="DJ58" i="4" s="1"/>
  <c r="DQ45" i="24"/>
  <c r="DM220" i="4"/>
  <c r="AG220" i="4" s="1"/>
  <c r="DM219" i="6"/>
  <c r="E31" i="24"/>
  <c r="D31" i="24" s="1"/>
  <c r="BY43" i="6"/>
  <c r="BY47" i="6" s="1"/>
  <c r="BY71" i="6" s="1"/>
  <c r="DT38" i="6"/>
  <c r="F38" i="24" s="1"/>
  <c r="DU128" i="6"/>
  <c r="AX49" i="24"/>
  <c r="FD162" i="6"/>
  <c r="FB162" i="6"/>
  <c r="FC162" i="6"/>
  <c r="BX57" i="24" s="1"/>
  <c r="FI162" i="6"/>
  <c r="FH162" i="6"/>
  <c r="EX162" i="6" s="1"/>
  <c r="FJ162" i="6"/>
  <c r="FG162" i="6"/>
  <c r="AK162" i="6" s="1"/>
  <c r="FF162" i="6"/>
  <c r="FE162" i="6"/>
  <c r="BX55" i="24" s="1"/>
  <c r="EZ162" i="6"/>
  <c r="BX60" i="24" s="1"/>
  <c r="FA162" i="6"/>
  <c r="BX59" i="24" s="1"/>
  <c r="EY162" i="6"/>
  <c r="AC162" i="6" s="1"/>
  <c r="DS241" i="6"/>
  <c r="EB39" i="24" s="1"/>
  <c r="CN42" i="24"/>
  <c r="DP182" i="6"/>
  <c r="DU229" i="6"/>
  <c r="DX49" i="24"/>
  <c r="FD229" i="6"/>
  <c r="FB229" i="6"/>
  <c r="AF229" i="6" s="1"/>
  <c r="FC229" i="6"/>
  <c r="AG229" i="6" s="1"/>
  <c r="FA229" i="6"/>
  <c r="FI229" i="6"/>
  <c r="EZ229" i="6"/>
  <c r="EY229" i="6"/>
  <c r="FJ229" i="6"/>
  <c r="FH229" i="6"/>
  <c r="FG229" i="6"/>
  <c r="FE229" i="6"/>
  <c r="FF229" i="6"/>
  <c r="DU79" i="6"/>
  <c r="I49" i="24"/>
  <c r="BB44" i="24"/>
  <c r="DN133" i="6"/>
  <c r="AD61" i="6"/>
  <c r="CE172" i="6"/>
  <c r="DU246" i="6"/>
  <c r="DU225" i="6"/>
  <c r="DU49" i="24"/>
  <c r="DL29" i="6"/>
  <c r="AM46" i="24"/>
  <c r="DL116" i="6"/>
  <c r="DW45" i="24"/>
  <c r="DM227" i="6"/>
  <c r="AE62" i="6"/>
  <c r="BP47" i="24"/>
  <c r="DK150" i="6"/>
  <c r="CR38" i="24"/>
  <c r="DT187" i="6"/>
  <c r="DK39" i="24"/>
  <c r="DS209" i="6"/>
  <c r="FD167" i="6"/>
  <c r="FC167" i="6"/>
  <c r="FB167" i="6"/>
  <c r="CA58" i="24" s="1"/>
  <c r="FJ167" i="6"/>
  <c r="CA50" i="24" s="1"/>
  <c r="FH167" i="6"/>
  <c r="FF167" i="6"/>
  <c r="CA54" i="24" s="1"/>
  <c r="EZ167" i="6"/>
  <c r="FI167" i="6"/>
  <c r="CA51" i="24" s="1"/>
  <c r="FG167" i="6"/>
  <c r="FE167" i="6"/>
  <c r="CA55" i="24" s="1"/>
  <c r="FA167" i="6"/>
  <c r="EY167" i="6"/>
  <c r="BY156" i="6"/>
  <c r="DS49" i="24"/>
  <c r="DU222" i="6"/>
  <c r="DI222" i="4"/>
  <c r="DU40" i="6"/>
  <c r="R38" i="24"/>
  <c r="DT90" i="6"/>
  <c r="AO49" i="24"/>
  <c r="DU119" i="6"/>
  <c r="BM47" i="24"/>
  <c r="DK146" i="6"/>
  <c r="CC57" i="4"/>
  <c r="CC58" i="4" s="1"/>
  <c r="FD95" i="6"/>
  <c r="FC95" i="6"/>
  <c r="FB95" i="6"/>
  <c r="FG95" i="6"/>
  <c r="FA95" i="6"/>
  <c r="EZ95" i="6"/>
  <c r="V60" i="24" s="1"/>
  <c r="EY95" i="6"/>
  <c r="FF95" i="6"/>
  <c r="FE95" i="6"/>
  <c r="FJ95" i="6"/>
  <c r="V50" i="24" s="1"/>
  <c r="FI95" i="6"/>
  <c r="V51" i="24" s="1"/>
  <c r="FH95" i="6"/>
  <c r="EX95" i="6" s="1"/>
  <c r="DH44" i="24"/>
  <c r="DN205" i="6"/>
  <c r="CK46" i="24"/>
  <c r="DL178" i="6"/>
  <c r="AD38" i="24"/>
  <c r="DT104" i="6"/>
  <c r="DU203" i="6"/>
  <c r="DF49" i="24"/>
  <c r="DU34" i="6"/>
  <c r="G48" i="24"/>
  <c r="DJ76" i="6"/>
  <c r="BY42" i="24"/>
  <c r="DP164" i="6"/>
  <c r="DU145" i="6"/>
  <c r="BL49" i="24"/>
  <c r="FD145" i="6"/>
  <c r="FC145" i="6"/>
  <c r="FB145" i="6"/>
  <c r="FI145" i="6"/>
  <c r="FH145" i="6"/>
  <c r="EX145" i="6" s="1"/>
  <c r="FG145" i="6"/>
  <c r="FF145" i="6"/>
  <c r="FJ145" i="6"/>
  <c r="FE145" i="6"/>
  <c r="EZ145" i="6"/>
  <c r="FA145" i="6"/>
  <c r="EY145" i="6"/>
  <c r="CW43" i="24"/>
  <c r="DO193" i="6"/>
  <c r="AW49" i="24"/>
  <c r="DU127" i="6"/>
  <c r="BU70" i="6"/>
  <c r="FD100" i="6"/>
  <c r="FB100" i="6"/>
  <c r="FC100" i="6"/>
  <c r="AA57" i="24" s="1"/>
  <c r="FJ100" i="6"/>
  <c r="FH100" i="6"/>
  <c r="EX100" i="6" s="1"/>
  <c r="FG100" i="6"/>
  <c r="FF100" i="6"/>
  <c r="FA100" i="6"/>
  <c r="AA59" i="24" s="1"/>
  <c r="EZ100" i="6"/>
  <c r="AA60" i="24" s="1"/>
  <c r="FI100" i="6"/>
  <c r="FE100" i="6"/>
  <c r="AA55" i="24" s="1"/>
  <c r="EY100" i="6"/>
  <c r="DU207" i="6"/>
  <c r="DI49" i="24"/>
  <c r="DK57" i="6"/>
  <c r="DK58" i="6" s="1"/>
  <c r="DK55" i="4"/>
  <c r="DK57" i="4" s="1"/>
  <c r="DK58" i="4" s="1"/>
  <c r="DJ241" i="6"/>
  <c r="EB48" i="24" s="1"/>
  <c r="E34" i="24"/>
  <c r="D34" i="24" s="1"/>
  <c r="BV43" i="6"/>
  <c r="BV47" i="6" s="1"/>
  <c r="BV71" i="6" s="1"/>
  <c r="DU117" i="6"/>
  <c r="AM49" i="24"/>
  <c r="DI116" i="6"/>
  <c r="FD117" i="6"/>
  <c r="FB117" i="6"/>
  <c r="FC117" i="6"/>
  <c r="FJ117" i="6"/>
  <c r="AN117" i="6" s="1"/>
  <c r="FG117" i="6"/>
  <c r="FA117" i="6"/>
  <c r="EZ117" i="6"/>
  <c r="FI117" i="6"/>
  <c r="FH117" i="6"/>
  <c r="EX117" i="6" s="1"/>
  <c r="FF117" i="6"/>
  <c r="FE117" i="6"/>
  <c r="AI117" i="6" s="1"/>
  <c r="EY117" i="6"/>
  <c r="DU151" i="6"/>
  <c r="BP49" i="24"/>
  <c r="DI150" i="6"/>
  <c r="DS38" i="24"/>
  <c r="DT222" i="4"/>
  <c r="AN222" i="4" s="1"/>
  <c r="AN222" i="1" s="1"/>
  <c r="FD96" i="6"/>
  <c r="FC96" i="6"/>
  <c r="FB96" i="6"/>
  <c r="FJ96" i="6"/>
  <c r="FH96" i="6"/>
  <c r="FA96" i="6"/>
  <c r="W59" i="24" s="1"/>
  <c r="EZ96" i="6"/>
  <c r="W60" i="24" s="1"/>
  <c r="FI96" i="6"/>
  <c r="FG96" i="6"/>
  <c r="FF96" i="6"/>
  <c r="W54" i="24" s="1"/>
  <c r="FE96" i="6"/>
  <c r="W55" i="24" s="1"/>
  <c r="EY96" i="6"/>
  <c r="BZ219" i="4"/>
  <c r="BW218" i="6"/>
  <c r="CW44" i="24"/>
  <c r="DN193" i="6"/>
  <c r="L71" i="6"/>
  <c r="L72" i="6" s="1"/>
  <c r="E71" i="6"/>
  <c r="E72" i="6" s="1"/>
  <c r="EQ70" i="6"/>
  <c r="BO70" i="6"/>
  <c r="BN70" i="6"/>
  <c r="Q31" i="24"/>
  <c r="BY87" i="6"/>
  <c r="BY75" i="6" s="1"/>
  <c r="CF48" i="24"/>
  <c r="DJ172" i="6"/>
  <c r="DL57" i="6"/>
  <c r="DL58" i="6" s="1"/>
  <c r="DL55" i="4"/>
  <c r="DL57" i="4" s="1"/>
  <c r="DL58" i="4" s="1"/>
  <c r="DQ46" i="24"/>
  <c r="DL220" i="4"/>
  <c r="DL219" i="6"/>
  <c r="DU247" i="6"/>
  <c r="FD46" i="6"/>
  <c r="AH46" i="6" s="1"/>
  <c r="FB46" i="6"/>
  <c r="AF46" i="6" s="1"/>
  <c r="FC46" i="6"/>
  <c r="AG46" i="6" s="1"/>
  <c r="FG46" i="6"/>
  <c r="FA46" i="6"/>
  <c r="AE46" i="6" s="1"/>
  <c r="EY46" i="6"/>
  <c r="AC46" i="6" s="1"/>
  <c r="FF46" i="6"/>
  <c r="AJ46" i="6" s="1"/>
  <c r="FE46" i="6"/>
  <c r="AI46" i="6" s="1"/>
  <c r="EZ46" i="6"/>
  <c r="AD46" i="6" s="1"/>
  <c r="FJ46" i="6"/>
  <c r="AN46" i="6" s="1"/>
  <c r="FI46" i="6"/>
  <c r="AM46" i="6" s="1"/>
  <c r="FH46" i="6"/>
  <c r="FD110" i="6"/>
  <c r="FB110" i="6"/>
  <c r="AI58" i="24" s="1"/>
  <c r="FC110" i="6"/>
  <c r="AI57" i="24" s="1"/>
  <c r="FJ110" i="6"/>
  <c r="AI50" i="24" s="1"/>
  <c r="FF110" i="6"/>
  <c r="EZ110" i="6"/>
  <c r="FI110" i="6"/>
  <c r="AI51" i="24" s="1"/>
  <c r="FH110" i="6"/>
  <c r="EX110" i="6" s="1"/>
  <c r="FG110" i="6"/>
  <c r="FE110" i="6"/>
  <c r="FA110" i="6"/>
  <c r="EY110" i="6"/>
  <c r="AC110" i="6" s="1"/>
  <c r="BY57" i="4"/>
  <c r="BY58" i="4" s="1"/>
  <c r="DW47" i="24"/>
  <c r="DK227" i="6"/>
  <c r="FD108" i="6"/>
  <c r="FC108" i="6"/>
  <c r="AG57" i="24" s="1"/>
  <c r="FB108" i="6"/>
  <c r="FA108" i="6"/>
  <c r="AG59" i="24" s="1"/>
  <c r="EY108" i="6"/>
  <c r="FJ108" i="6"/>
  <c r="FI108" i="6"/>
  <c r="EZ108" i="6"/>
  <c r="FG108" i="6"/>
  <c r="FE108" i="6"/>
  <c r="AG55" i="24" s="1"/>
  <c r="FH108" i="6"/>
  <c r="EX108" i="6" s="1"/>
  <c r="FF108" i="6"/>
  <c r="AG54" i="24" s="1"/>
  <c r="BY219" i="4"/>
  <c r="R43" i="24"/>
  <c r="DO90" i="6"/>
  <c r="CK45" i="24"/>
  <c r="DM178" i="6"/>
  <c r="BZ218" i="6"/>
  <c r="Q28" i="24"/>
  <c r="CB87" i="6"/>
  <c r="CB75" i="6" s="1"/>
  <c r="CD57" i="4"/>
  <c r="CD58" i="4" s="1"/>
  <c r="BW219" i="4"/>
  <c r="FD78" i="6"/>
  <c r="FC78" i="6"/>
  <c r="FB78" i="6"/>
  <c r="FA78" i="6"/>
  <c r="H59" i="24" s="1"/>
  <c r="EZ78" i="6"/>
  <c r="EY78" i="6"/>
  <c r="FJ78" i="6"/>
  <c r="H50" i="24" s="1"/>
  <c r="FI78" i="6"/>
  <c r="FH78" i="6"/>
  <c r="EX78" i="6" s="1"/>
  <c r="FG78" i="6"/>
  <c r="FE78" i="6"/>
  <c r="H55" i="24" s="1"/>
  <c r="FF78" i="6"/>
  <c r="H54" i="24" s="1"/>
  <c r="DU194" i="6"/>
  <c r="CW49" i="24"/>
  <c r="DI193" i="6"/>
  <c r="M70" i="6"/>
  <c r="BL70" i="6"/>
  <c r="CW70" i="6"/>
  <c r="BE75" i="6"/>
  <c r="DE70" i="6"/>
  <c r="EK70" i="6"/>
  <c r="AM67" i="1"/>
  <c r="AJ64" i="6"/>
  <c r="FD192" i="6"/>
  <c r="CV56" i="24" s="1"/>
  <c r="FB192" i="6"/>
  <c r="FC192" i="6"/>
  <c r="CV57" i="24" s="1"/>
  <c r="FI192" i="6"/>
  <c r="CV51" i="24" s="1"/>
  <c r="FH192" i="6"/>
  <c r="EX192" i="6" s="1"/>
  <c r="FF192" i="6"/>
  <c r="FJ192" i="6"/>
  <c r="FG192" i="6"/>
  <c r="FE192" i="6"/>
  <c r="CV55" i="24" s="1"/>
  <c r="EZ192" i="6"/>
  <c r="CV60" i="24" s="1"/>
  <c r="FA192" i="6"/>
  <c r="CV59" i="24" s="1"/>
  <c r="EY192" i="6"/>
  <c r="BF46" i="24"/>
  <c r="DL138" i="6"/>
  <c r="CA57" i="4"/>
  <c r="CA58" i="4" s="1"/>
  <c r="Q44" i="24"/>
  <c r="DN87" i="6"/>
  <c r="DU195" i="6"/>
  <c r="CX49" i="24"/>
  <c r="FD195" i="6"/>
  <c r="CX56" i="24" s="1"/>
  <c r="FB195" i="6"/>
  <c r="CX58" i="24" s="1"/>
  <c r="FC195" i="6"/>
  <c r="CX57" i="24" s="1"/>
  <c r="FG195" i="6"/>
  <c r="FA195" i="6"/>
  <c r="CX59" i="24" s="1"/>
  <c r="EY195" i="6"/>
  <c r="FF195" i="6"/>
  <c r="CX54" i="24" s="1"/>
  <c r="FE195" i="6"/>
  <c r="CX55" i="24" s="1"/>
  <c r="EZ195" i="6"/>
  <c r="CX60" i="24" s="1"/>
  <c r="FH195" i="6"/>
  <c r="EX195" i="6" s="1"/>
  <c r="FJ195" i="6"/>
  <c r="CX50" i="24" s="1"/>
  <c r="FI195" i="6"/>
  <c r="CX51" i="24" s="1"/>
  <c r="DO40" i="24"/>
  <c r="DR214" i="6"/>
  <c r="DH214" i="6" s="1"/>
  <c r="CF41" i="24"/>
  <c r="DQ172" i="6"/>
  <c r="BT48" i="24"/>
  <c r="DJ157" i="6"/>
  <c r="FD159" i="6"/>
  <c r="BU56" i="24" s="1"/>
  <c r="FB159" i="6"/>
  <c r="BU58" i="24" s="1"/>
  <c r="FC159" i="6"/>
  <c r="BU57" i="24" s="1"/>
  <c r="FA159" i="6"/>
  <c r="FI159" i="6"/>
  <c r="BU51" i="24" s="1"/>
  <c r="EZ159" i="6"/>
  <c r="BU60" i="24" s="1"/>
  <c r="EY159" i="6"/>
  <c r="FJ159" i="6"/>
  <c r="BU50" i="24" s="1"/>
  <c r="FH159" i="6"/>
  <c r="EX159" i="6" s="1"/>
  <c r="FG159" i="6"/>
  <c r="FE159" i="6"/>
  <c r="BU55" i="24" s="1"/>
  <c r="FF159" i="6"/>
  <c r="DT39" i="24"/>
  <c r="DS223" i="6"/>
  <c r="Q34" i="24"/>
  <c r="BV87" i="6"/>
  <c r="BV75" i="6" s="1"/>
  <c r="DO61" i="4"/>
  <c r="DO60" i="6"/>
  <c r="AY49" i="24"/>
  <c r="DU130" i="6"/>
  <c r="DI129" i="6"/>
  <c r="BT219" i="4"/>
  <c r="AN63" i="6"/>
  <c r="DM57" i="6"/>
  <c r="DM58" i="6" s="1"/>
  <c r="DM55" i="4"/>
  <c r="DM57" i="4" s="1"/>
  <c r="DM58" i="4" s="1"/>
  <c r="DU177" i="6"/>
  <c r="CJ49" i="24"/>
  <c r="DQ42" i="24"/>
  <c r="DP219" i="6"/>
  <c r="DP220" i="4"/>
  <c r="AJ220" i="4" s="1"/>
  <c r="AJ220" i="1" s="1"/>
  <c r="DU170" i="6"/>
  <c r="CD49" i="24"/>
  <c r="FD170" i="6"/>
  <c r="CD56" i="24" s="1"/>
  <c r="FC170" i="6"/>
  <c r="FB170" i="6"/>
  <c r="FG170" i="6"/>
  <c r="EZ170" i="6"/>
  <c r="EY170" i="6"/>
  <c r="FF170" i="6"/>
  <c r="CD54" i="24" s="1"/>
  <c r="FE170" i="6"/>
  <c r="FA170" i="6"/>
  <c r="FH170" i="6"/>
  <c r="EX170" i="6" s="1"/>
  <c r="FJ170" i="6"/>
  <c r="FI170" i="6"/>
  <c r="CD51" i="24" s="1"/>
  <c r="AH61" i="6"/>
  <c r="DJ38" i="6"/>
  <c r="F48" i="24" s="1"/>
  <c r="CC219" i="4"/>
  <c r="CC49" i="24"/>
  <c r="DU169" i="6"/>
  <c r="DU242" i="6"/>
  <c r="DK241" i="6"/>
  <c r="EB47" i="24" s="1"/>
  <c r="FD242" i="6"/>
  <c r="FB242" i="6"/>
  <c r="AF242" i="6" s="1"/>
  <c r="FC242" i="6"/>
  <c r="FG242" i="6"/>
  <c r="FF242" i="6"/>
  <c r="FE242" i="6"/>
  <c r="FA242" i="6"/>
  <c r="EZ242" i="6"/>
  <c r="EY242" i="6"/>
  <c r="FH242" i="6"/>
  <c r="EX242" i="6" s="1"/>
  <c r="FJ242" i="6"/>
  <c r="FI242" i="6"/>
  <c r="CN40" i="24"/>
  <c r="DR182" i="6"/>
  <c r="DH182" i="6" s="1"/>
  <c r="DU63" i="6"/>
  <c r="DK63" i="4"/>
  <c r="BS115" i="6"/>
  <c r="DU46" i="6"/>
  <c r="BB43" i="24"/>
  <c r="DO133" i="6"/>
  <c r="BV156" i="6"/>
  <c r="BT70" i="6"/>
  <c r="DU161" i="6"/>
  <c r="BW49" i="24"/>
  <c r="AK185" i="6"/>
  <c r="FD86" i="6"/>
  <c r="FC86" i="6"/>
  <c r="FB86" i="6"/>
  <c r="FA86" i="6"/>
  <c r="P59" i="24" s="1"/>
  <c r="EY86" i="6"/>
  <c r="FI86" i="6"/>
  <c r="P51" i="24" s="1"/>
  <c r="EZ86" i="6"/>
  <c r="P60" i="24" s="1"/>
  <c r="FJ86" i="6"/>
  <c r="FH86" i="6"/>
  <c r="FG86" i="6"/>
  <c r="FE86" i="6"/>
  <c r="FF86" i="6"/>
  <c r="DM29" i="6"/>
  <c r="AM44" i="24"/>
  <c r="DN116" i="6"/>
  <c r="DW42" i="24"/>
  <c r="DP227" i="6"/>
  <c r="BP46" i="24"/>
  <c r="DL150" i="6"/>
  <c r="CR45" i="24"/>
  <c r="DM187" i="6"/>
  <c r="DK41" i="24"/>
  <c r="DQ209" i="6"/>
  <c r="FD82" i="6"/>
  <c r="L56" i="24" s="1"/>
  <c r="FC82" i="6"/>
  <c r="L57" i="24" s="1"/>
  <c r="FB82" i="6"/>
  <c r="FA82" i="6"/>
  <c r="L59" i="24" s="1"/>
  <c r="FJ82" i="6"/>
  <c r="L50" i="24" s="1"/>
  <c r="FI82" i="6"/>
  <c r="L51" i="24" s="1"/>
  <c r="EZ82" i="6"/>
  <c r="L60" i="24" s="1"/>
  <c r="EY82" i="6"/>
  <c r="AC82" i="6" s="1"/>
  <c r="FH82" i="6"/>
  <c r="FE82" i="6"/>
  <c r="FG82" i="6"/>
  <c r="FF82" i="6"/>
  <c r="DS41" i="24"/>
  <c r="DQ222" i="4"/>
  <c r="AK222" i="4" s="1"/>
  <c r="DU91" i="6"/>
  <c r="R49" i="24"/>
  <c r="DI90" i="6"/>
  <c r="BM46" i="24"/>
  <c r="DL146" i="6"/>
  <c r="FD175" i="6"/>
  <c r="FB175" i="6"/>
  <c r="CH58" i="24" s="1"/>
  <c r="FC175" i="6"/>
  <c r="FG175" i="6"/>
  <c r="EZ175" i="6"/>
  <c r="EY175" i="6"/>
  <c r="FF175" i="6"/>
  <c r="CH54" i="24" s="1"/>
  <c r="FE175" i="6"/>
  <c r="CH55" i="24" s="1"/>
  <c r="FA175" i="6"/>
  <c r="CH59" i="24" s="1"/>
  <c r="FJ175" i="6"/>
  <c r="CH50" i="24" s="1"/>
  <c r="FI175" i="6"/>
  <c r="CH51" i="24" s="1"/>
  <c r="FH175" i="6"/>
  <c r="EX175" i="6" s="1"/>
  <c r="DH41" i="24"/>
  <c r="DQ205" i="6"/>
  <c r="DU99" i="6"/>
  <c r="Z49" i="24"/>
  <c r="CK43" i="24"/>
  <c r="DO178" i="6"/>
  <c r="AD46" i="24"/>
  <c r="DL104" i="6"/>
  <c r="E26" i="24"/>
  <c r="D26" i="24" s="1"/>
  <c r="CD43" i="6"/>
  <c r="CD47" i="6" s="1"/>
  <c r="CD71" i="6" s="1"/>
  <c r="G40" i="24"/>
  <c r="DR76" i="6"/>
  <c r="DH76" i="6" s="1"/>
  <c r="AJ63" i="6"/>
  <c r="BY40" i="24"/>
  <c r="DR164" i="6"/>
  <c r="DH164" i="6" s="1"/>
  <c r="Q27" i="24"/>
  <c r="CC87" i="6"/>
  <c r="CC75" i="6" s="1"/>
  <c r="O49" i="24"/>
  <c r="DU85" i="6"/>
  <c r="DU113" i="6"/>
  <c r="AL49" i="24"/>
  <c r="FD113" i="6"/>
  <c r="AL56" i="24" s="1"/>
  <c r="FC113" i="6"/>
  <c r="FB113" i="6"/>
  <c r="FG113" i="6"/>
  <c r="FE113" i="6"/>
  <c r="EZ113" i="6"/>
  <c r="EY113" i="6"/>
  <c r="FF113" i="6"/>
  <c r="FA113" i="6"/>
  <c r="AL59" i="24" s="1"/>
  <c r="FH113" i="6"/>
  <c r="EX113" i="6" s="1"/>
  <c r="FJ113" i="6"/>
  <c r="AL50" i="24" s="1"/>
  <c r="FI113" i="6"/>
  <c r="CW42" i="24"/>
  <c r="DP193" i="6"/>
  <c r="DU93" i="6"/>
  <c r="T49" i="24"/>
  <c r="CE29" i="6"/>
  <c r="CA70" i="6"/>
  <c r="BX115" i="6"/>
  <c r="AE85" i="5"/>
  <c r="R87" i="5"/>
  <c r="AH98" i="5"/>
  <c r="AF125" i="5"/>
  <c r="AD102" i="5"/>
  <c r="P58" i="5"/>
  <c r="AF160" i="5"/>
  <c r="AD95" i="5"/>
  <c r="BG43" i="5"/>
  <c r="BG47" i="5" s="1"/>
  <c r="CA70" i="5"/>
  <c r="U87" i="5"/>
  <c r="AF136" i="5"/>
  <c r="AF92" i="5"/>
  <c r="AH92" i="5"/>
  <c r="AN124" i="5"/>
  <c r="AH124" i="5"/>
  <c r="AD144" i="5"/>
  <c r="AL196" i="5"/>
  <c r="AB196" i="5" s="1"/>
  <c r="AH106" i="5"/>
  <c r="Y87" i="5"/>
  <c r="AE123" i="5"/>
  <c r="Z27" i="5"/>
  <c r="AH196" i="5"/>
  <c r="AH121" i="5"/>
  <c r="AH135" i="5"/>
  <c r="AJ123" i="5"/>
  <c r="AN216" i="5"/>
  <c r="AG125" i="5"/>
  <c r="AN111" i="5"/>
  <c r="AJ125" i="5"/>
  <c r="AK82" i="5"/>
  <c r="AM82" i="5"/>
  <c r="AI152" i="5"/>
  <c r="AK99" i="5"/>
  <c r="AL167" i="5"/>
  <c r="AB167" i="5" s="1"/>
  <c r="AG127" i="5"/>
  <c r="AF106" i="5"/>
  <c r="AF102" i="5"/>
  <c r="AI127" i="5"/>
  <c r="AG92" i="5"/>
  <c r="AJ197" i="5"/>
  <c r="AM110" i="5"/>
  <c r="AN135" i="5"/>
  <c r="AI102" i="5"/>
  <c r="AH94" i="5"/>
  <c r="AN106" i="5"/>
  <c r="AJ86" i="5"/>
  <c r="I71" i="1"/>
  <c r="I72" i="1" s="1"/>
  <c r="AL159" i="5"/>
  <c r="AB159" i="5" s="1"/>
  <c r="BK75" i="5"/>
  <c r="AJ102" i="5"/>
  <c r="AK126" i="5"/>
  <c r="AE83" i="5"/>
  <c r="Q13" i="5"/>
  <c r="Q6" i="5" s="1"/>
  <c r="AM126" i="5"/>
  <c r="AL208" i="5"/>
  <c r="AL96" i="5"/>
  <c r="AB96" i="5" s="1"/>
  <c r="AM131" i="5"/>
  <c r="AL81" i="5"/>
  <c r="AB81" i="5" s="1"/>
  <c r="Q76" i="5"/>
  <c r="AI98" i="5"/>
  <c r="AK84" i="5"/>
  <c r="AN78" i="5"/>
  <c r="AD225" i="5"/>
  <c r="AK202" i="5"/>
  <c r="AF83" i="5"/>
  <c r="DD75" i="5"/>
  <c r="AD98" i="5"/>
  <c r="AM81" i="5"/>
  <c r="AM99" i="5"/>
  <c r="AI83" i="5"/>
  <c r="AJ83" i="5"/>
  <c r="AE98" i="5"/>
  <c r="AH83" i="5"/>
  <c r="AM186" i="5"/>
  <c r="AN99" i="5"/>
  <c r="AJ186" i="5"/>
  <c r="AK127" i="5"/>
  <c r="AL207" i="5"/>
  <c r="AB207" i="5" s="1"/>
  <c r="AM100" i="5"/>
  <c r="AJ213" i="5"/>
  <c r="AG95" i="5"/>
  <c r="T58" i="5"/>
  <c r="AE100" i="5"/>
  <c r="AN213" i="5"/>
  <c r="AN93" i="5"/>
  <c r="AH142" i="5"/>
  <c r="AD101" i="5"/>
  <c r="AE120" i="5"/>
  <c r="E45" i="23"/>
  <c r="AK98" i="5"/>
  <c r="AJ189" i="5"/>
  <c r="AK108" i="5"/>
  <c r="AK95" i="5"/>
  <c r="AD162" i="5"/>
  <c r="AG154" i="5"/>
  <c r="AG85" i="5"/>
  <c r="AH86" i="5"/>
  <c r="AD108" i="5"/>
  <c r="AD200" i="5"/>
  <c r="M58" i="5"/>
  <c r="AD175" i="5"/>
  <c r="E2" i="23"/>
  <c r="AD100" i="5"/>
  <c r="AD126" i="5"/>
  <c r="AL101" i="5"/>
  <c r="AF180" i="5"/>
  <c r="AN196" i="5"/>
  <c r="AE191" i="5"/>
  <c r="E3" i="23"/>
  <c r="AN153" i="5"/>
  <c r="AM102" i="5"/>
  <c r="AK140" i="5"/>
  <c r="AN127" i="5"/>
  <c r="E12" i="23"/>
  <c r="AK93" i="5"/>
  <c r="AD110" i="5"/>
  <c r="Z87" i="5"/>
  <c r="AJ100" i="5"/>
  <c r="AF84" i="5"/>
  <c r="AF126" i="5"/>
  <c r="AG180" i="5"/>
  <c r="AE125" i="5"/>
  <c r="AN94" i="5"/>
  <c r="AG161" i="5"/>
  <c r="AL144" i="5"/>
  <c r="AJ159" i="5"/>
  <c r="AL174" i="5"/>
  <c r="AL197" i="5"/>
  <c r="BC249" i="5"/>
  <c r="BC250" i="5" s="1"/>
  <c r="AE166" i="5"/>
  <c r="AM167" i="5"/>
  <c r="AD195" i="5"/>
  <c r="AG143" i="5"/>
  <c r="P214" i="5"/>
  <c r="AH143" i="5"/>
  <c r="P219" i="5"/>
  <c r="AI167" i="5"/>
  <c r="AK213" i="5"/>
  <c r="AK167" i="5"/>
  <c r="AD226" i="5"/>
  <c r="AK137" i="5"/>
  <c r="AK198" i="5"/>
  <c r="AM174" i="5"/>
  <c r="AN184" i="5"/>
  <c r="AG152" i="5"/>
  <c r="AK166" i="5"/>
  <c r="AM204" i="5"/>
  <c r="AK149" i="5"/>
  <c r="AH202" i="5"/>
  <c r="AI137" i="5"/>
  <c r="AE198" i="5"/>
  <c r="AM213" i="5"/>
  <c r="AM226" i="5"/>
  <c r="AD190" i="5"/>
  <c r="CA218" i="5"/>
  <c r="AH167" i="5"/>
  <c r="AJ204" i="5"/>
  <c r="AH213" i="5"/>
  <c r="AG136" i="5"/>
  <c r="AM180" i="5"/>
  <c r="AN190" i="5"/>
  <c r="AM145" i="5"/>
  <c r="BI22" i="24"/>
  <c r="AF142" i="5"/>
  <c r="CU19" i="24"/>
  <c r="AI191" i="5"/>
  <c r="BR18" i="24"/>
  <c r="AJ153" i="5"/>
  <c r="CH17" i="24"/>
  <c r="AK175" i="5"/>
  <c r="DN22" i="24"/>
  <c r="AF213" i="5"/>
  <c r="AX16" i="24"/>
  <c r="AL128" i="5"/>
  <c r="V23" i="24"/>
  <c r="AE95" i="5"/>
  <c r="CT23" i="24"/>
  <c r="AE190" i="5"/>
  <c r="DE18" i="24"/>
  <c r="AJ202" i="5"/>
  <c r="CY24" i="24"/>
  <c r="AD196" i="5"/>
  <c r="AO21" i="24"/>
  <c r="AG119" i="5"/>
  <c r="W21" i="24"/>
  <c r="AG96" i="5"/>
  <c r="CL18" i="24"/>
  <c r="AJ180" i="5"/>
  <c r="CV14" i="24"/>
  <c r="AN192" i="5"/>
  <c r="AJ101" i="5"/>
  <c r="DG14" i="24"/>
  <c r="AN204" i="5"/>
  <c r="AG18" i="24"/>
  <c r="AJ108" i="5"/>
  <c r="AA21" i="24"/>
  <c r="AG100" i="5"/>
  <c r="BL20" i="24"/>
  <c r="AH145" i="5"/>
  <c r="AG200" i="5"/>
  <c r="DL17" i="24"/>
  <c r="AK211" i="5"/>
  <c r="DD16" i="24"/>
  <c r="AL201" i="5"/>
  <c r="AB201" i="5" s="1"/>
  <c r="AP17" i="24"/>
  <c r="AK120" i="5"/>
  <c r="AS14" i="24"/>
  <c r="AN123" i="5"/>
  <c r="V22" i="24"/>
  <c r="AF95" i="5"/>
  <c r="U15" i="24"/>
  <c r="AM94" i="5"/>
  <c r="CI21" i="24"/>
  <c r="AG176" i="5"/>
  <c r="N15" i="24"/>
  <c r="AM84" i="5"/>
  <c r="BG16" i="24"/>
  <c r="AL140" i="5"/>
  <c r="AB140" i="5" s="1"/>
  <c r="BA23" i="24"/>
  <c r="AE132" i="5"/>
  <c r="M15" i="24"/>
  <c r="AM83" i="5"/>
  <c r="AG144" i="5"/>
  <c r="AW23" i="24"/>
  <c r="AE127" i="5"/>
  <c r="Z23" i="24"/>
  <c r="AE99" i="5"/>
  <c r="BE24" i="24"/>
  <c r="AD137" i="5"/>
  <c r="X23" i="24"/>
  <c r="AE97" i="5"/>
  <c r="CD15" i="24"/>
  <c r="AM170" i="5"/>
  <c r="CP19" i="24"/>
  <c r="AI185" i="5"/>
  <c r="BR15" i="24"/>
  <c r="AM153" i="5"/>
  <c r="CH16" i="24"/>
  <c r="AL175" i="5"/>
  <c r="AB175" i="5" s="1"/>
  <c r="BG23" i="24"/>
  <c r="AE140" i="5"/>
  <c r="AF204" i="5"/>
  <c r="AM125" i="5"/>
  <c r="AE135" i="5"/>
  <c r="AE106" i="5"/>
  <c r="AE126" i="5"/>
  <c r="AI216" i="5"/>
  <c r="AG111" i="5"/>
  <c r="E48" i="23"/>
  <c r="Q241" i="5"/>
  <c r="DD218" i="5"/>
  <c r="AH110" i="5"/>
  <c r="AF99" i="5"/>
  <c r="BT75" i="5"/>
  <c r="AK145" i="5"/>
  <c r="AK110" i="5"/>
  <c r="Q214" i="5"/>
  <c r="AF135" i="5"/>
  <c r="AD141" i="5"/>
  <c r="R58" i="5"/>
  <c r="AJ145" i="5"/>
  <c r="AD135" i="5"/>
  <c r="AL202" i="5"/>
  <c r="AB202" i="5" s="1"/>
  <c r="AH186" i="5"/>
  <c r="AG213" i="5"/>
  <c r="AG131" i="5"/>
  <c r="AG80" i="5"/>
  <c r="AH119" i="5"/>
  <c r="AN191" i="5"/>
  <c r="Q58" i="5"/>
  <c r="AL145" i="5"/>
  <c r="AG159" i="5"/>
  <c r="Q133" i="5"/>
  <c r="AH80" i="5"/>
  <c r="E11" i="23"/>
  <c r="AN181" i="5"/>
  <c r="E4" i="24"/>
  <c r="AD159" i="5"/>
  <c r="AJ135" i="5"/>
  <c r="AF202" i="5"/>
  <c r="AH144" i="5"/>
  <c r="AL141" i="5"/>
  <c r="AB141" i="5" s="1"/>
  <c r="AM123" i="5"/>
  <c r="AF118" i="5"/>
  <c r="CD75" i="5"/>
  <c r="AE174" i="5"/>
  <c r="AN96" i="5"/>
  <c r="AJ81" i="5"/>
  <c r="AD124" i="5"/>
  <c r="AJ92" i="5"/>
  <c r="AH109" i="5"/>
  <c r="S87" i="5"/>
  <c r="AD86" i="5"/>
  <c r="T87" i="5"/>
  <c r="AM175" i="5"/>
  <c r="AD152" i="5"/>
  <c r="AD140" i="5"/>
  <c r="AL106" i="5"/>
  <c r="AB106" i="5" s="1"/>
  <c r="AE92" i="5"/>
  <c r="AL110" i="5"/>
  <c r="AB110" i="5" s="1"/>
  <c r="AN144" i="5"/>
  <c r="AI97" i="5"/>
  <c r="AL102" i="5"/>
  <c r="AB102" i="5" s="1"/>
  <c r="AN141" i="5"/>
  <c r="AJ126" i="5"/>
  <c r="CD218" i="5"/>
  <c r="AM128" i="5"/>
  <c r="DD115" i="5"/>
  <c r="AH140" i="5"/>
  <c r="AD148" i="5"/>
  <c r="I230" i="1"/>
  <c r="I231" i="1" s="1"/>
  <c r="AM202" i="5"/>
  <c r="AM144" i="5"/>
  <c r="AE201" i="5"/>
  <c r="AD174" i="5"/>
  <c r="X205" i="5"/>
  <c r="AH159" i="5"/>
  <c r="AH169" i="5"/>
  <c r="X227" i="5"/>
  <c r="AM189" i="5"/>
  <c r="BV218" i="5"/>
  <c r="AI201" i="5"/>
  <c r="AM140" i="5"/>
  <c r="AH96" i="5"/>
  <c r="AK192" i="5"/>
  <c r="AL185" i="5"/>
  <c r="AB185" i="5" s="1"/>
  <c r="AH113" i="5"/>
  <c r="AD127" i="5"/>
  <c r="AI94" i="5"/>
  <c r="AI109" i="5"/>
  <c r="DE43" i="5"/>
  <c r="DE47" i="5" s="1"/>
  <c r="DE71" i="5" s="1"/>
  <c r="Q219" i="5"/>
  <c r="Q182" i="5"/>
  <c r="C71" i="5"/>
  <c r="C72" i="5" s="1"/>
  <c r="AM98" i="5"/>
  <c r="AN175" i="5"/>
  <c r="AE152" i="5"/>
  <c r="AK119" i="5"/>
  <c r="AL191" i="5"/>
  <c r="AJ198" i="5"/>
  <c r="DT13" i="5"/>
  <c r="DT6" i="5" s="1"/>
  <c r="T13" i="5"/>
  <c r="T6" i="5" s="1"/>
  <c r="AI175" i="5"/>
  <c r="CX43" i="5"/>
  <c r="CX47" i="5" s="1"/>
  <c r="CX71" i="5" s="1"/>
  <c r="AJ141" i="5"/>
  <c r="AJ208" i="5"/>
  <c r="AH132" i="5"/>
  <c r="AM124" i="5"/>
  <c r="AI92" i="5"/>
  <c r="AJ119" i="5"/>
  <c r="AI95" i="5"/>
  <c r="AI159" i="5"/>
  <c r="AF149" i="5"/>
  <c r="AJ95" i="5"/>
  <c r="AE144" i="5"/>
  <c r="AG169" i="5"/>
  <c r="AK189" i="5"/>
  <c r="AF123" i="5"/>
  <c r="BZ218" i="5"/>
  <c r="AJ192" i="5"/>
  <c r="AM185" i="5"/>
  <c r="AL113" i="5"/>
  <c r="AN125" i="5"/>
  <c r="AM196" i="5"/>
  <c r="AN81" i="5"/>
  <c r="AK94" i="5"/>
  <c r="AM108" i="5"/>
  <c r="AL79" i="5"/>
  <c r="AB79" i="5" s="1"/>
  <c r="AN176" i="5"/>
  <c r="AN82" i="5"/>
  <c r="DF75" i="5"/>
  <c r="Z227" i="5"/>
  <c r="M58" i="1"/>
  <c r="BI43" i="5"/>
  <c r="BI47" i="5" s="1"/>
  <c r="T214" i="5"/>
  <c r="BJ58" i="5"/>
  <c r="EP75" i="6"/>
  <c r="E114" i="23"/>
  <c r="D114" i="23" s="1"/>
  <c r="DB43" i="5"/>
  <c r="DB47" i="5" s="1"/>
  <c r="DB71" i="5" s="1"/>
  <c r="G230" i="1"/>
  <c r="G231" i="1" s="1"/>
  <c r="F230" i="1"/>
  <c r="F231" i="1" s="1"/>
  <c r="W27" i="5"/>
  <c r="W87" i="5"/>
  <c r="W214" i="6"/>
  <c r="W227" i="6"/>
  <c r="W13" i="5"/>
  <c r="P178" i="5"/>
  <c r="BM58" i="6"/>
  <c r="W87" i="6"/>
  <c r="AA202" i="5"/>
  <c r="W231" i="8"/>
  <c r="W133" i="6"/>
  <c r="W219" i="6"/>
  <c r="W150" i="6"/>
  <c r="BM43" i="6"/>
  <c r="E77" i="23"/>
  <c r="D77" i="23" s="1"/>
  <c r="E149" i="23"/>
  <c r="D149" i="23" s="1"/>
  <c r="W60" i="6"/>
  <c r="W219" i="5"/>
  <c r="W146" i="6"/>
  <c r="E113" i="23"/>
  <c r="D113" i="23" s="1"/>
  <c r="DC156" i="5"/>
  <c r="G71" i="1"/>
  <c r="G72" i="1" s="1"/>
  <c r="I71" i="7"/>
  <c r="I72" i="7" s="1"/>
  <c r="AW234" i="4"/>
  <c r="AT234" i="4"/>
  <c r="AO58" i="7"/>
  <c r="CI250" i="4"/>
  <c r="CI234" i="4"/>
  <c r="DY250" i="4"/>
  <c r="DY234" i="4"/>
  <c r="EF250" i="4"/>
  <c r="EF234" i="4"/>
  <c r="L230" i="1"/>
  <c r="L231" i="1" s="1"/>
  <c r="E71" i="1"/>
  <c r="E72" i="1" s="1"/>
  <c r="C230" i="1"/>
  <c r="C231" i="1" s="1"/>
  <c r="F71" i="1"/>
  <c r="F72" i="1" s="1"/>
  <c r="K230" i="1"/>
  <c r="K231" i="1" s="1"/>
  <c r="AC249" i="8"/>
  <c r="AC250" i="8" s="1"/>
  <c r="P233" i="8"/>
  <c r="P234" i="8" s="1"/>
  <c r="D230" i="1"/>
  <c r="D231" i="1" s="1"/>
  <c r="Z234" i="8"/>
  <c r="C71" i="1"/>
  <c r="C72" i="1" s="1"/>
  <c r="J230" i="1"/>
  <c r="J231" i="1" s="1"/>
  <c r="B71" i="1"/>
  <c r="B72" i="1" s="1"/>
  <c r="S233" i="8"/>
  <c r="S234" i="8" s="1"/>
  <c r="CH21" i="24"/>
  <c r="AG175" i="5"/>
  <c r="CC15" i="24"/>
  <c r="AM169" i="5"/>
  <c r="CC14" i="24"/>
  <c r="AN169" i="5"/>
  <c r="CC75" i="5"/>
  <c r="AH18" i="24"/>
  <c r="AJ109" i="5"/>
  <c r="BR21" i="24"/>
  <c r="AG153" i="5"/>
  <c r="Z24" i="24"/>
  <c r="AD99" i="5"/>
  <c r="CT16" i="24"/>
  <c r="AL190" i="5"/>
  <c r="BZ18" i="24"/>
  <c r="AJ166" i="5"/>
  <c r="BO20" i="24"/>
  <c r="AH149" i="5"/>
  <c r="DN19" i="24"/>
  <c r="AI213" i="5"/>
  <c r="O19" i="24"/>
  <c r="AI85" i="5"/>
  <c r="DF22" i="24"/>
  <c r="AF203" i="5"/>
  <c r="CC16" i="24"/>
  <c r="AL169" i="5"/>
  <c r="AB169" i="5" s="1"/>
  <c r="CX17" i="24"/>
  <c r="AK195" i="5"/>
  <c r="BR23" i="24"/>
  <c r="AE153" i="5"/>
  <c r="AF140" i="5"/>
  <c r="AE21" i="24"/>
  <c r="AG106" i="5"/>
  <c r="U76" i="5"/>
  <c r="U16" i="24"/>
  <c r="AL94" i="5"/>
  <c r="AB94" i="5" s="1"/>
  <c r="K71" i="1"/>
  <c r="K72" i="1" s="1"/>
  <c r="DC22" i="24"/>
  <c r="AF200" i="5"/>
  <c r="AA14" i="24"/>
  <c r="AN100" i="5"/>
  <c r="CD18" i="24"/>
  <c r="AJ170" i="5"/>
  <c r="AI78" i="5"/>
  <c r="AE110" i="5"/>
  <c r="BV18" i="24"/>
  <c r="AJ160" i="5"/>
  <c r="AS16" i="24"/>
  <c r="AL123" i="5"/>
  <c r="AN24" i="24"/>
  <c r="AD118" i="5"/>
  <c r="DM17" i="24"/>
  <c r="AK212" i="5"/>
  <c r="DB16" i="24"/>
  <c r="AL199" i="5"/>
  <c r="AH162" i="5"/>
  <c r="W22" i="24"/>
  <c r="AF96" i="5"/>
  <c r="DM15" i="24"/>
  <c r="AM212" i="5"/>
  <c r="CP17" i="24"/>
  <c r="AK185" i="5"/>
  <c r="BQ18" i="24"/>
  <c r="AJ152" i="5"/>
  <c r="CS20" i="24"/>
  <c r="AH189" i="5"/>
  <c r="AB23" i="24"/>
  <c r="AE101" i="5"/>
  <c r="BN16" i="24"/>
  <c r="AL148" i="5"/>
  <c r="M14" i="24"/>
  <c r="AN83" i="5"/>
  <c r="DX16" i="24"/>
  <c r="AL229" i="5"/>
  <c r="AL227" i="5" s="1"/>
  <c r="BO21" i="24"/>
  <c r="AG149" i="5"/>
  <c r="AJ15" i="24"/>
  <c r="AM111" i="5"/>
  <c r="DD15" i="24"/>
  <c r="AM201" i="5"/>
  <c r="CU20" i="24"/>
  <c r="AH191" i="5"/>
  <c r="D71" i="5"/>
  <c r="D72" i="5" s="1"/>
  <c r="AF16" i="24"/>
  <c r="AL107" i="5"/>
  <c r="BI19" i="24"/>
  <c r="AI142" i="5"/>
  <c r="N21" i="24"/>
  <c r="AG84" i="5"/>
  <c r="DE24" i="24"/>
  <c r="AD202" i="5"/>
  <c r="CV15" i="24"/>
  <c r="AM192" i="5"/>
  <c r="AP20" i="24"/>
  <c r="AH120" i="5"/>
  <c r="DI21" i="24"/>
  <c r="AG207" i="5"/>
  <c r="BL218" i="5"/>
  <c r="K17" i="24"/>
  <c r="AK81" i="5"/>
  <c r="DB21" i="24"/>
  <c r="AG199" i="5"/>
  <c r="R38" i="5"/>
  <c r="BW15" i="24"/>
  <c r="AM161" i="5"/>
  <c r="BE20" i="24"/>
  <c r="AH137" i="5"/>
  <c r="AG126" i="5"/>
  <c r="AO19" i="24"/>
  <c r="AI119" i="5"/>
  <c r="CL14" i="24"/>
  <c r="AN180" i="5"/>
  <c r="DJ23" i="24"/>
  <c r="AE208" i="5"/>
  <c r="AT16" i="24"/>
  <c r="AL124" i="5"/>
  <c r="AB124" i="5" s="1"/>
  <c r="E42" i="23"/>
  <c r="AP19" i="24"/>
  <c r="AI120" i="5"/>
  <c r="DF23" i="24"/>
  <c r="AE203" i="5"/>
  <c r="DL14" i="24"/>
  <c r="AN211" i="5"/>
  <c r="O17" i="24"/>
  <c r="AK85" i="5"/>
  <c r="BG21" i="24"/>
  <c r="AG140" i="5"/>
  <c r="CL24" i="24"/>
  <c r="AD180" i="5"/>
  <c r="V227" i="5"/>
  <c r="CT15" i="24"/>
  <c r="AM190" i="5"/>
  <c r="AV20" i="24"/>
  <c r="AH126" i="5"/>
  <c r="AF110" i="5"/>
  <c r="H15" i="24"/>
  <c r="AM78" i="5"/>
  <c r="CY75" i="5"/>
  <c r="BA16" i="24"/>
  <c r="AL132" i="5"/>
  <c r="AB132" i="5" s="1"/>
  <c r="BI15" i="24"/>
  <c r="AM142" i="5"/>
  <c r="DA115" i="5"/>
  <c r="AP14" i="24"/>
  <c r="AN120" i="5"/>
  <c r="AG225" i="5"/>
  <c r="CU17" i="24"/>
  <c r="AK191" i="5"/>
  <c r="AN108" i="5"/>
  <c r="AC14" i="24"/>
  <c r="AN102" i="5"/>
  <c r="AE15" i="24"/>
  <c r="AM106" i="5"/>
  <c r="H71" i="5"/>
  <c r="H72" i="5" s="1"/>
  <c r="Y193" i="5"/>
  <c r="AP24" i="24"/>
  <c r="AD120" i="5"/>
  <c r="CS14" i="24"/>
  <c r="AN189" i="5"/>
  <c r="AA19" i="24"/>
  <c r="AI100" i="5"/>
  <c r="AF145" i="5"/>
  <c r="U18" i="24"/>
  <c r="AJ94" i="5"/>
  <c r="AV16" i="24"/>
  <c r="AL126" i="5"/>
  <c r="L71" i="1"/>
  <c r="DC15" i="24"/>
  <c r="AM200" i="5"/>
  <c r="AF18" i="24"/>
  <c r="AJ107" i="5"/>
  <c r="CI15" i="24"/>
  <c r="AM176" i="5"/>
  <c r="BO14" i="24"/>
  <c r="AN149" i="5"/>
  <c r="CQ23" i="24"/>
  <c r="AE186" i="5"/>
  <c r="S146" i="5"/>
  <c r="AF108" i="5"/>
  <c r="AW15" i="24"/>
  <c r="AM127" i="5"/>
  <c r="X164" i="5"/>
  <c r="AJ98" i="5"/>
  <c r="Q172" i="5"/>
  <c r="AK21" i="24"/>
  <c r="AG112" i="5"/>
  <c r="DP16" i="24"/>
  <c r="AL216" i="5"/>
  <c r="AL214" i="5" s="1"/>
  <c r="DG187" i="5"/>
  <c r="AG141" i="5"/>
  <c r="AE111" i="5"/>
  <c r="T27" i="5"/>
  <c r="CO18" i="24"/>
  <c r="AJ184" i="5"/>
  <c r="CX22" i="24"/>
  <c r="AF195" i="5"/>
  <c r="DX23" i="24"/>
  <c r="AE229" i="5"/>
  <c r="V38" i="5"/>
  <c r="BN21" i="24"/>
  <c r="AG148" i="5"/>
  <c r="CG20" i="24"/>
  <c r="AH174" i="5"/>
  <c r="CV23" i="24"/>
  <c r="AE192" i="5"/>
  <c r="X90" i="5"/>
  <c r="DG178" i="5"/>
  <c r="AF229" i="5"/>
  <c r="DJ19" i="24"/>
  <c r="AI208" i="5"/>
  <c r="AE145" i="5"/>
  <c r="N16" i="24"/>
  <c r="AL84" i="5"/>
  <c r="AB84" i="5" s="1"/>
  <c r="CH20" i="24"/>
  <c r="AH175" i="5"/>
  <c r="CV19" i="24"/>
  <c r="AI192" i="5"/>
  <c r="AJ24" i="24"/>
  <c r="AD111" i="5"/>
  <c r="AE19" i="24"/>
  <c r="AI106" i="5"/>
  <c r="BC16" i="24"/>
  <c r="AL135" i="5"/>
  <c r="AB135" i="5" s="1"/>
  <c r="BK17" i="24"/>
  <c r="AK144" i="5"/>
  <c r="CM16" i="24"/>
  <c r="AL181" i="5"/>
  <c r="DP18" i="24"/>
  <c r="AJ216" i="5"/>
  <c r="AA118" i="5"/>
  <c r="AF120" i="5"/>
  <c r="DL24" i="24"/>
  <c r="AD211" i="5"/>
  <c r="E2" i="24"/>
  <c r="Z18" i="24"/>
  <c r="AJ99" i="5"/>
  <c r="BL14" i="24"/>
  <c r="AN145" i="5"/>
  <c r="E44" i="23"/>
  <c r="W164" i="5"/>
  <c r="BZ115" i="5"/>
  <c r="P116" i="5"/>
  <c r="AA85" i="5"/>
  <c r="V146" i="5"/>
  <c r="CA22" i="24"/>
  <c r="AF167" i="5"/>
  <c r="DA21" i="24"/>
  <c r="AG198" i="5"/>
  <c r="V187" i="5"/>
  <c r="Y182" i="5"/>
  <c r="AS19" i="24"/>
  <c r="AI123" i="5"/>
  <c r="AG137" i="5"/>
  <c r="AE148" i="5"/>
  <c r="X14" i="24"/>
  <c r="AN97" i="5"/>
  <c r="AF141" i="5"/>
  <c r="AH199" i="5"/>
  <c r="CB115" i="5"/>
  <c r="AO16" i="24"/>
  <c r="AL119" i="5"/>
  <c r="AB119" i="5" s="1"/>
  <c r="CV24" i="24"/>
  <c r="AD192" i="5"/>
  <c r="AH153" i="5"/>
  <c r="DA218" i="5"/>
  <c r="DP24" i="24"/>
  <c r="AD216" i="5"/>
  <c r="AI141" i="5"/>
  <c r="BS17" i="24"/>
  <c r="AK154" i="5"/>
  <c r="CD19" i="24"/>
  <c r="AI170" i="5"/>
  <c r="AR20" i="24"/>
  <c r="AH122" i="5"/>
  <c r="BV115" i="5"/>
  <c r="AH180" i="5"/>
  <c r="AG184" i="5"/>
  <c r="N20" i="24"/>
  <c r="AH84" i="5"/>
  <c r="V20" i="24"/>
  <c r="AH95" i="5"/>
  <c r="BQ146" i="5"/>
  <c r="V133" i="5"/>
  <c r="DA43" i="5"/>
  <c r="DA47" i="5" s="1"/>
  <c r="DA71" i="5" s="1"/>
  <c r="X129" i="5"/>
  <c r="AM119" i="5"/>
  <c r="AE79" i="5"/>
  <c r="CB14" i="24"/>
  <c r="AN168" i="5"/>
  <c r="DV22" i="24"/>
  <c r="AF226" i="5"/>
  <c r="Z19" i="24"/>
  <c r="AI99" i="5"/>
  <c r="BU17" i="24"/>
  <c r="AK159" i="5"/>
  <c r="BI16" i="24"/>
  <c r="AL142" i="5"/>
  <c r="AB142" i="5" s="1"/>
  <c r="DU22" i="24"/>
  <c r="AF225" i="5"/>
  <c r="BS22" i="24"/>
  <c r="AF154" i="5"/>
  <c r="BW23" i="24"/>
  <c r="AE161" i="5"/>
  <c r="AB14" i="24"/>
  <c r="AN101" i="5"/>
  <c r="DA22" i="24"/>
  <c r="AF198" i="5"/>
  <c r="CT21" i="24"/>
  <c r="AG190" i="5"/>
  <c r="J71" i="5"/>
  <c r="J72" i="5" s="1"/>
  <c r="AE141" i="5"/>
  <c r="BW22" i="24"/>
  <c r="AF161" i="5"/>
  <c r="AA80" i="5"/>
  <c r="AQ15" i="24"/>
  <c r="AM121" i="5"/>
  <c r="AL149" i="5"/>
  <c r="AB149" i="5" s="1"/>
  <c r="AN202" i="5"/>
  <c r="AA68" i="5"/>
  <c r="AF152" i="5"/>
  <c r="Z150" i="5"/>
  <c r="BN115" i="5"/>
  <c r="E39" i="23"/>
  <c r="AK216" i="5"/>
  <c r="AK214" i="5" s="1"/>
  <c r="DF21" i="24"/>
  <c r="AG203" i="5"/>
  <c r="CG14" i="24"/>
  <c r="AN174" i="5"/>
  <c r="AT17" i="24"/>
  <c r="AK124" i="5"/>
  <c r="BH20" i="24"/>
  <c r="AH141" i="5"/>
  <c r="V27" i="5"/>
  <c r="B230" i="1"/>
  <c r="B231" i="1" s="1"/>
  <c r="AN14" i="24"/>
  <c r="AN118" i="5"/>
  <c r="AL19" i="24"/>
  <c r="AI113" i="5"/>
  <c r="AE216" i="5"/>
  <c r="AE214" i="5" s="1"/>
  <c r="AQ19" i="24"/>
  <c r="AI121" i="5"/>
  <c r="AF144" i="5"/>
  <c r="AN186" i="5"/>
  <c r="AK20" i="24"/>
  <c r="AH112" i="5"/>
  <c r="AI84" i="5"/>
  <c r="AE159" i="5"/>
  <c r="AI135" i="5"/>
  <c r="H22" i="24"/>
  <c r="AF78" i="5"/>
  <c r="AE202" i="5"/>
  <c r="AX19" i="24"/>
  <c r="AI128" i="5"/>
  <c r="DD17" i="24"/>
  <c r="AK201" i="5"/>
  <c r="Y164" i="5"/>
  <c r="AL152" i="5"/>
  <c r="AB152" i="5" s="1"/>
  <c r="CZ14" i="24"/>
  <c r="AN197" i="5"/>
  <c r="AF100" i="5"/>
  <c r="AK141" i="5"/>
  <c r="AD84" i="5"/>
  <c r="E47" i="23"/>
  <c r="BS15" i="24"/>
  <c r="AM154" i="5"/>
  <c r="S205" i="5"/>
  <c r="X150" i="5"/>
  <c r="AK96" i="5"/>
  <c r="CI20" i="24"/>
  <c r="AH176" i="5"/>
  <c r="BK218" i="5"/>
  <c r="BO18" i="24"/>
  <c r="AJ149" i="5"/>
  <c r="BR19" i="24"/>
  <c r="AI153" i="5"/>
  <c r="CS23" i="24"/>
  <c r="AE189" i="5"/>
  <c r="AN85" i="5"/>
  <c r="DA16" i="24"/>
  <c r="AL198" i="5"/>
  <c r="AB198" i="5" s="1"/>
  <c r="AN195" i="5"/>
  <c r="AU16" i="24"/>
  <c r="AL125" i="5"/>
  <c r="AM79" i="5"/>
  <c r="E10" i="24"/>
  <c r="CZ156" i="5"/>
  <c r="E12" i="24"/>
  <c r="AJ19" i="24"/>
  <c r="AI111" i="5"/>
  <c r="M21" i="24"/>
  <c r="AG83" i="5"/>
  <c r="AE17" i="24"/>
  <c r="AK106" i="5"/>
  <c r="AI18" i="24"/>
  <c r="AJ110" i="5"/>
  <c r="BC21" i="24"/>
  <c r="AG135" i="5"/>
  <c r="AN159" i="5"/>
  <c r="AM135" i="5"/>
  <c r="BX22" i="24"/>
  <c r="AF162" i="5"/>
  <c r="S223" i="5"/>
  <c r="AJ169" i="5"/>
  <c r="P15" i="24"/>
  <c r="AM86" i="5"/>
  <c r="AL153" i="5"/>
  <c r="R164" i="5"/>
  <c r="X18" i="24"/>
  <c r="AJ97" i="5"/>
  <c r="AD186" i="5"/>
  <c r="CW75" i="5"/>
  <c r="E9" i="23"/>
  <c r="CB15" i="24"/>
  <c r="AM168" i="5"/>
  <c r="BU75" i="5"/>
  <c r="AI101" i="5"/>
  <c r="BQ17" i="24"/>
  <c r="AK152" i="5"/>
  <c r="CO23" i="24"/>
  <c r="AE184" i="5"/>
  <c r="AA196" i="5"/>
  <c r="AH184" i="5"/>
  <c r="AD125" i="5"/>
  <c r="BH218" i="5"/>
  <c r="AK83" i="5"/>
  <c r="BN19" i="24"/>
  <c r="AI148" i="5"/>
  <c r="BR24" i="24"/>
  <c r="AD153" i="5"/>
  <c r="CS21" i="24"/>
  <c r="AG189" i="5"/>
  <c r="DJ24" i="24"/>
  <c r="AD208" i="5"/>
  <c r="AT18" i="24"/>
  <c r="AJ124" i="5"/>
  <c r="CY21" i="24"/>
  <c r="AG196" i="5"/>
  <c r="DB15" i="24"/>
  <c r="AM199" i="5"/>
  <c r="AN21" i="24"/>
  <c r="AG118" i="5"/>
  <c r="R205" i="5"/>
  <c r="BZ19" i="24"/>
  <c r="AI166" i="5"/>
  <c r="BQ27" i="5"/>
  <c r="E38" i="23"/>
  <c r="DA75" i="5"/>
  <c r="AA201" i="5"/>
  <c r="AA25" i="5"/>
  <c r="DE115" i="5"/>
  <c r="X146" i="5"/>
  <c r="E43" i="23"/>
  <c r="BF75" i="5"/>
  <c r="AH195" i="5"/>
  <c r="DS60" i="5"/>
  <c r="AC23" i="24"/>
  <c r="AE102" i="5"/>
  <c r="AG121" i="5"/>
  <c r="CT22" i="24"/>
  <c r="AF190" i="5"/>
  <c r="AV14" i="24"/>
  <c r="AN126" i="5"/>
  <c r="V241" i="5"/>
  <c r="BD18" i="24"/>
  <c r="AJ136" i="5"/>
  <c r="CC70" i="5"/>
  <c r="DC23" i="24"/>
  <c r="AE200" i="5"/>
  <c r="DD24" i="24"/>
  <c r="AD201" i="5"/>
  <c r="DF43" i="5"/>
  <c r="DF47" i="5" s="1"/>
  <c r="DF71" i="5" s="1"/>
  <c r="DG146" i="5"/>
  <c r="BZ15" i="24"/>
  <c r="AM166" i="5"/>
  <c r="AA195" i="5"/>
  <c r="P129" i="5"/>
  <c r="Z38" i="5"/>
  <c r="AR17" i="24"/>
  <c r="AK122" i="5"/>
  <c r="CY218" i="5"/>
  <c r="AG120" i="5"/>
  <c r="Y138" i="5"/>
  <c r="Z58" i="5"/>
  <c r="CS22" i="24"/>
  <c r="AF189" i="5"/>
  <c r="CH23" i="24"/>
  <c r="AE175" i="5"/>
  <c r="BG19" i="24"/>
  <c r="AI140" i="5"/>
  <c r="CV20" i="24"/>
  <c r="AH192" i="5"/>
  <c r="CQ21" i="24"/>
  <c r="AG186" i="5"/>
  <c r="BM75" i="5"/>
  <c r="Q209" i="5"/>
  <c r="Y223" i="5"/>
  <c r="T227" i="5"/>
  <c r="AN19" i="24"/>
  <c r="AI118" i="5"/>
  <c r="X21" i="24"/>
  <c r="AG97" i="5"/>
  <c r="AL21" i="24"/>
  <c r="AG113" i="5"/>
  <c r="X214" i="5"/>
  <c r="BJ19" i="24"/>
  <c r="AI143" i="5"/>
  <c r="DU14" i="24"/>
  <c r="AN225" i="5"/>
  <c r="BT218" i="5"/>
  <c r="AF17" i="24"/>
  <c r="AK107" i="5"/>
  <c r="DE218" i="5"/>
  <c r="BN43" i="5"/>
  <c r="BQ15" i="24"/>
  <c r="AM152" i="5"/>
  <c r="CI18" i="24"/>
  <c r="AJ176" i="5"/>
  <c r="DV19" i="24"/>
  <c r="AI226" i="5"/>
  <c r="BE14" i="24"/>
  <c r="AN137" i="5"/>
  <c r="R150" i="5"/>
  <c r="AA42" i="5"/>
  <c r="CS24" i="24"/>
  <c r="AD189" i="5"/>
  <c r="DG209" i="5"/>
  <c r="AF148" i="5"/>
  <c r="CQ19" i="24"/>
  <c r="AI186" i="5"/>
  <c r="CA23" i="24"/>
  <c r="AE167" i="5"/>
  <c r="AG229" i="5"/>
  <c r="BQ90" i="5"/>
  <c r="X104" i="5"/>
  <c r="CU58" i="5"/>
  <c r="T146" i="5"/>
  <c r="W172" i="5"/>
  <c r="Z219" i="5"/>
  <c r="AK136" i="5"/>
  <c r="AN142" i="5"/>
  <c r="BH58" i="5"/>
  <c r="V205" i="5"/>
  <c r="R172" i="5"/>
  <c r="R187" i="5"/>
  <c r="AF85" i="5"/>
  <c r="BO218" i="5"/>
  <c r="BN75" i="5"/>
  <c r="AL109" i="5"/>
  <c r="AB109" i="5" s="1"/>
  <c r="Z214" i="5"/>
  <c r="W223" i="5"/>
  <c r="BQ205" i="5"/>
  <c r="P146" i="5"/>
  <c r="DG182" i="5"/>
  <c r="Y178" i="5"/>
  <c r="BX70" i="5"/>
  <c r="DF218" i="5"/>
  <c r="Y58" i="5"/>
  <c r="BP75" i="5"/>
  <c r="AA153" i="5"/>
  <c r="T133" i="5"/>
  <c r="Q223" i="5"/>
  <c r="X178" i="5"/>
  <c r="AK200" i="5"/>
  <c r="U13" i="5"/>
  <c r="U6" i="5" s="1"/>
  <c r="BF58" i="5"/>
  <c r="S76" i="5"/>
  <c r="DE156" i="5"/>
  <c r="AK170" i="5"/>
  <c r="E46" i="23"/>
  <c r="BQ58" i="5"/>
  <c r="AK121" i="5"/>
  <c r="BJ115" i="5"/>
  <c r="BQ129" i="5"/>
  <c r="BO58" i="5"/>
  <c r="AA222" i="5"/>
  <c r="DG129" i="5"/>
  <c r="AA95" i="5"/>
  <c r="CB218" i="5"/>
  <c r="U241" i="5"/>
  <c r="AH78" i="5"/>
  <c r="BY115" i="5"/>
  <c r="BX75" i="5"/>
  <c r="BI75" i="5"/>
  <c r="AJ148" i="5"/>
  <c r="AG191" i="5"/>
  <c r="Y38" i="5"/>
  <c r="H71" i="1"/>
  <c r="H72" i="1" s="1"/>
  <c r="BM43" i="5"/>
  <c r="Q38" i="5"/>
  <c r="X38" i="5"/>
  <c r="AB38" i="5" s="1"/>
  <c r="S29" i="5"/>
  <c r="CU43" i="5"/>
  <c r="CU47" i="5" s="1"/>
  <c r="BO43" i="5"/>
  <c r="BO47" i="5" s="1"/>
  <c r="BH43" i="5"/>
  <c r="BH47" i="5" s="1"/>
  <c r="Q29" i="5"/>
  <c r="AA46" i="5"/>
  <c r="P29" i="5"/>
  <c r="U38" i="5"/>
  <c r="Z29" i="5"/>
  <c r="CY43" i="5"/>
  <c r="CY47" i="5" s="1"/>
  <c r="CY71" i="5" s="1"/>
  <c r="AE87" i="5"/>
  <c r="AK7" i="1"/>
  <c r="AI60" i="5"/>
  <c r="BV19" i="24"/>
  <c r="AI160" i="5"/>
  <c r="O182" i="5"/>
  <c r="AA183" i="5"/>
  <c r="AJ87" i="5"/>
  <c r="CZ20" i="24"/>
  <c r="AH197" i="5"/>
  <c r="Z13" i="5"/>
  <c r="Z6" i="5" s="1"/>
  <c r="BS24" i="24"/>
  <c r="AD154" i="5"/>
  <c r="BW18" i="24"/>
  <c r="AJ161" i="5"/>
  <c r="BX13" i="24"/>
  <c r="CE162" i="5"/>
  <c r="AC162" i="5"/>
  <c r="CB75" i="5"/>
  <c r="Q19" i="24"/>
  <c r="DO87" i="5"/>
  <c r="AI88" i="5"/>
  <c r="I18" i="24"/>
  <c r="AJ79" i="5"/>
  <c r="AA7" i="5"/>
  <c r="DV20" i="24"/>
  <c r="AH226" i="5"/>
  <c r="CG18" i="24"/>
  <c r="AJ174" i="5"/>
  <c r="AF7" i="1"/>
  <c r="BP24" i="24"/>
  <c r="DJ150" i="5"/>
  <c r="AD151" i="5"/>
  <c r="BV16" i="24"/>
  <c r="AL160" i="5"/>
  <c r="AB160" i="5" s="1"/>
  <c r="AZ25" i="24"/>
  <c r="DU131" i="5"/>
  <c r="D21" i="24"/>
  <c r="AG7" i="5"/>
  <c r="CK17" i="24"/>
  <c r="DQ178" i="5"/>
  <c r="BQ29" i="5"/>
  <c r="AD142" i="5"/>
  <c r="BZ156" i="5"/>
  <c r="V15" i="24"/>
  <c r="AM95" i="5"/>
  <c r="CU24" i="24"/>
  <c r="AD191" i="5"/>
  <c r="AA20" i="24"/>
  <c r="AH100" i="5"/>
  <c r="BI23" i="24"/>
  <c r="AE142" i="5"/>
  <c r="BY70" i="5"/>
  <c r="BY71" i="5"/>
  <c r="BQ182" i="5"/>
  <c r="AM97" i="5"/>
  <c r="Q13" i="24"/>
  <c r="CE88" i="5"/>
  <c r="CE87" i="5" s="1"/>
  <c r="BS87" i="5"/>
  <c r="AC88" i="5"/>
  <c r="W116" i="5"/>
  <c r="DP21" i="24"/>
  <c r="AG216" i="5"/>
  <c r="AH111" i="5"/>
  <c r="N13" i="24"/>
  <c r="CE84" i="5"/>
  <c r="AC84" i="5"/>
  <c r="CD14" i="24"/>
  <c r="AN170" i="5"/>
  <c r="DT23" i="24"/>
  <c r="DK223" i="5"/>
  <c r="AE224" i="5"/>
  <c r="BT20" i="24"/>
  <c r="DN157" i="5"/>
  <c r="DU184" i="5"/>
  <c r="CO25" i="24"/>
  <c r="BM21" i="24"/>
  <c r="DM146" i="5"/>
  <c r="AG147" i="5"/>
  <c r="T76" i="5"/>
  <c r="Y16" i="24"/>
  <c r="AL98" i="5"/>
  <c r="BW13" i="24"/>
  <c r="CE161" i="5"/>
  <c r="AC161" i="5"/>
  <c r="S90" i="5"/>
  <c r="DK22" i="24"/>
  <c r="DL209" i="5"/>
  <c r="AJ190" i="5"/>
  <c r="DU247" i="5"/>
  <c r="Y90" i="5"/>
  <c r="DG17" i="24"/>
  <c r="AK204" i="5"/>
  <c r="BJ18" i="24"/>
  <c r="AJ143" i="5"/>
  <c r="DU23" i="24"/>
  <c r="AE225" i="5"/>
  <c r="BS18" i="24"/>
  <c r="AJ154" i="5"/>
  <c r="BW20" i="24"/>
  <c r="AH161" i="5"/>
  <c r="DU85" i="5"/>
  <c r="O25" i="24"/>
  <c r="DS18" i="24"/>
  <c r="DP219" i="5"/>
  <c r="AJ222" i="5"/>
  <c r="AT13" i="24"/>
  <c r="CE124" i="5"/>
  <c r="AC124" i="5"/>
  <c r="CU15" i="24"/>
  <c r="AM191" i="5"/>
  <c r="AA17" i="24"/>
  <c r="AK100" i="5"/>
  <c r="S150" i="5"/>
  <c r="S129" i="5"/>
  <c r="AA51" i="5"/>
  <c r="AA54" i="5" s="1"/>
  <c r="O54" i="5"/>
  <c r="AI207" i="5"/>
  <c r="DI13" i="24"/>
  <c r="CE207" i="5"/>
  <c r="AC207" i="5"/>
  <c r="CC19" i="24"/>
  <c r="AI169" i="5"/>
  <c r="BE75" i="5"/>
  <c r="BC13" i="24"/>
  <c r="CE135" i="5"/>
  <c r="AC135" i="5"/>
  <c r="CH13" i="24"/>
  <c r="CE175" i="5"/>
  <c r="AC175" i="5"/>
  <c r="BM115" i="5"/>
  <c r="DU143" i="5"/>
  <c r="BJ25" i="24"/>
  <c r="Z138" i="5"/>
  <c r="L18" i="24"/>
  <c r="AJ82" i="5"/>
  <c r="W60" i="5"/>
  <c r="W205" i="5"/>
  <c r="AL99" i="5"/>
  <c r="AB99" i="5" s="1"/>
  <c r="Z13" i="24"/>
  <c r="CE99" i="5"/>
  <c r="AC99" i="5"/>
  <c r="BE156" i="5"/>
  <c r="H13" i="24"/>
  <c r="CE78" i="5"/>
  <c r="AC78" i="5"/>
  <c r="AA113" i="5"/>
  <c r="BU115" i="5"/>
  <c r="S178" i="5"/>
  <c r="Q21" i="24"/>
  <c r="DM87" i="5"/>
  <c r="BZ13" i="24"/>
  <c r="CE166" i="5"/>
  <c r="AC166" i="5"/>
  <c r="AA96" i="5"/>
  <c r="AA92" i="5"/>
  <c r="DU109" i="5"/>
  <c r="AH25" i="24"/>
  <c r="AD21" i="24"/>
  <c r="DM104" i="5"/>
  <c r="DG13" i="24"/>
  <c r="CE204" i="5"/>
  <c r="AC204" i="5"/>
  <c r="DI18" i="24"/>
  <c r="AJ207" i="5"/>
  <c r="BM18" i="24"/>
  <c r="DP146" i="5"/>
  <c r="AJ147" i="5"/>
  <c r="BJ75" i="5"/>
  <c r="X182" i="5"/>
  <c r="AE107" i="5"/>
  <c r="CF17" i="24"/>
  <c r="DQ172" i="5"/>
  <c r="CV22" i="24"/>
  <c r="AF192" i="5"/>
  <c r="DN23" i="24"/>
  <c r="AE213" i="5"/>
  <c r="W157" i="5"/>
  <c r="DA156" i="5"/>
  <c r="AT19" i="24"/>
  <c r="AI124" i="5"/>
  <c r="Z178" i="5"/>
  <c r="DB14" i="24"/>
  <c r="AN199" i="5"/>
  <c r="BJ70" i="5"/>
  <c r="BJ24" i="24"/>
  <c r="AD143" i="5"/>
  <c r="BM70" i="5"/>
  <c r="DU15" i="24"/>
  <c r="AM225" i="5"/>
  <c r="CB25" i="24"/>
  <c r="DU168" i="5"/>
  <c r="AK128" i="5"/>
  <c r="P205" i="5"/>
  <c r="AH24" i="24"/>
  <c r="AD109" i="5"/>
  <c r="DS16" i="24"/>
  <c r="DR219" i="5"/>
  <c r="DH219" i="5" s="1"/>
  <c r="K13" i="24"/>
  <c r="CE81" i="5"/>
  <c r="AC81" i="5"/>
  <c r="AJ137" i="5"/>
  <c r="V14" i="24"/>
  <c r="AN95" i="5"/>
  <c r="CL17" i="24"/>
  <c r="AK180" i="5"/>
  <c r="CR24" i="24"/>
  <c r="DJ187" i="5"/>
  <c r="AE14" i="1"/>
  <c r="AE13" i="1" s="1"/>
  <c r="AE13" i="5"/>
  <c r="DO19" i="24"/>
  <c r="DO214" i="5"/>
  <c r="AI215" i="5"/>
  <c r="M24" i="24"/>
  <c r="AD83" i="5"/>
  <c r="AN15" i="24"/>
  <c r="AM118" i="5"/>
  <c r="BB14" i="24"/>
  <c r="DT133" i="5"/>
  <c r="AN134" i="5"/>
  <c r="AK173" i="5"/>
  <c r="CZ24" i="24"/>
  <c r="AD197" i="5"/>
  <c r="AA199" i="5"/>
  <c r="T129" i="5"/>
  <c r="AK111" i="5"/>
  <c r="BS16" i="24"/>
  <c r="AL154" i="5"/>
  <c r="AI93" i="5"/>
  <c r="DT17" i="24"/>
  <c r="DQ223" i="5"/>
  <c r="AK224" i="5"/>
  <c r="Y209" i="5"/>
  <c r="DW14" i="24"/>
  <c r="DT227" i="5"/>
  <c r="Q18" i="24"/>
  <c r="DP87" i="5"/>
  <c r="DU67" i="5"/>
  <c r="CY70" i="5"/>
  <c r="AG160" i="5"/>
  <c r="BK43" i="5"/>
  <c r="BK47" i="5" s="1"/>
  <c r="DS14" i="24"/>
  <c r="DT219" i="5"/>
  <c r="BM16" i="24"/>
  <c r="DR146" i="5"/>
  <c r="DT13" i="24"/>
  <c r="CE224" i="5"/>
  <c r="BS223" i="5"/>
  <c r="AC224" i="5"/>
  <c r="AO22" i="24"/>
  <c r="AF119" i="5"/>
  <c r="W150" i="5"/>
  <c r="DO14" i="24"/>
  <c r="DT214" i="5"/>
  <c r="CM17" i="24"/>
  <c r="AK181" i="5"/>
  <c r="T241" i="5"/>
  <c r="BV17" i="24"/>
  <c r="AK160" i="5"/>
  <c r="AA13" i="24"/>
  <c r="CE100" i="5"/>
  <c r="AC100" i="5"/>
  <c r="AE60" i="5"/>
  <c r="BP14" i="24"/>
  <c r="DT150" i="5"/>
  <c r="AN151" i="5"/>
  <c r="AX20" i="24"/>
  <c r="AH128" i="5"/>
  <c r="DD18" i="24"/>
  <c r="AJ201" i="5"/>
  <c r="CM24" i="24"/>
  <c r="AD181" i="5"/>
  <c r="CN23" i="24"/>
  <c r="DK182" i="5"/>
  <c r="AE183" i="5"/>
  <c r="BB21" i="24"/>
  <c r="DM133" i="5"/>
  <c r="AG134" i="5"/>
  <c r="AL15" i="24"/>
  <c r="AM113" i="5"/>
  <c r="CK14" i="24"/>
  <c r="DT178" i="5"/>
  <c r="AN179" i="5"/>
  <c r="DU19" i="24"/>
  <c r="AI225" i="5"/>
  <c r="DM25" i="24"/>
  <c r="DU212" i="5"/>
  <c r="BP13" i="24"/>
  <c r="CE151" i="5"/>
  <c r="BS150" i="5"/>
  <c r="AC151" i="5"/>
  <c r="AB13" i="24"/>
  <c r="CE101" i="5"/>
  <c r="AC101" i="5"/>
  <c r="DU152" i="5"/>
  <c r="BQ25" i="24"/>
  <c r="AH166" i="5"/>
  <c r="AD17" i="24"/>
  <c r="DQ104" i="5"/>
  <c r="AK105" i="5"/>
  <c r="BH70" i="5"/>
  <c r="AF81" i="5"/>
  <c r="CW17" i="24"/>
  <c r="DQ193" i="5"/>
  <c r="CX156" i="5"/>
  <c r="AN87" i="5"/>
  <c r="CZ15" i="24"/>
  <c r="AM197" i="5"/>
  <c r="DU225" i="5"/>
  <c r="DU25" i="24"/>
  <c r="DM24" i="24"/>
  <c r="AD212" i="5"/>
  <c r="DW23" i="24"/>
  <c r="DK227" i="5"/>
  <c r="AE228" i="5"/>
  <c r="Q24" i="24"/>
  <c r="DJ87" i="5"/>
  <c r="DV13" i="24"/>
  <c r="CE226" i="5"/>
  <c r="AC226" i="5"/>
  <c r="M13" i="24"/>
  <c r="CE83" i="5"/>
  <c r="AC83" i="5"/>
  <c r="CR15" i="24"/>
  <c r="DS187" i="5"/>
  <c r="AO13" i="24"/>
  <c r="CE119" i="5"/>
  <c r="AC119" i="5"/>
  <c r="CA18" i="24"/>
  <c r="AJ167" i="5"/>
  <c r="DG157" i="5"/>
  <c r="DK23" i="24"/>
  <c r="DK209" i="5"/>
  <c r="AE210" i="5"/>
  <c r="AK207" i="5"/>
  <c r="DE19" i="24"/>
  <c r="AI202" i="5"/>
  <c r="BW71" i="5"/>
  <c r="E9" i="24"/>
  <c r="BD19" i="24"/>
  <c r="AI136" i="5"/>
  <c r="BB19" i="24"/>
  <c r="DO133" i="5"/>
  <c r="AI134" i="5"/>
  <c r="AL17" i="24"/>
  <c r="AK113" i="5"/>
  <c r="BM58" i="5"/>
  <c r="DQ13" i="24"/>
  <c r="CE220" i="5"/>
  <c r="BS219" i="5"/>
  <c r="AC220" i="5"/>
  <c r="DW24" i="24"/>
  <c r="DJ227" i="5"/>
  <c r="AD228" i="5"/>
  <c r="CE67" i="5"/>
  <c r="AC67" i="5"/>
  <c r="I21" i="24"/>
  <c r="AG79" i="5"/>
  <c r="DU77" i="5"/>
  <c r="G25" i="24"/>
  <c r="DI76" i="5"/>
  <c r="P13" i="24"/>
  <c r="CE86" i="5"/>
  <c r="AC86" i="5"/>
  <c r="DL19" i="24"/>
  <c r="AI211" i="5"/>
  <c r="L13" i="24"/>
  <c r="CE82" i="5"/>
  <c r="AC82" i="5"/>
  <c r="S17" i="24"/>
  <c r="AK92" i="5"/>
  <c r="AE7" i="5"/>
  <c r="AJ18" i="24"/>
  <c r="AJ111" i="5"/>
  <c r="BO13" i="24"/>
  <c r="AC149" i="5"/>
  <c r="CE61" i="5"/>
  <c r="BS60" i="5"/>
  <c r="AC61" i="5"/>
  <c r="BP21" i="24"/>
  <c r="DM150" i="5"/>
  <c r="AX22" i="24"/>
  <c r="AF128" i="5"/>
  <c r="AE169" i="5"/>
  <c r="X25" i="24"/>
  <c r="DU97" i="5"/>
  <c r="AD219" i="5"/>
  <c r="AN200" i="5"/>
  <c r="AN140" i="5"/>
  <c r="BV156" i="5"/>
  <c r="BB13" i="24"/>
  <c r="CE134" i="5"/>
  <c r="BS133" i="5"/>
  <c r="AC134" i="5"/>
  <c r="DI15" i="24"/>
  <c r="AM207" i="5"/>
  <c r="BM14" i="24"/>
  <c r="DT146" i="5"/>
  <c r="AN147" i="5"/>
  <c r="AF107" i="5"/>
  <c r="W178" i="5"/>
  <c r="BG18" i="24"/>
  <c r="AJ140" i="5"/>
  <c r="O172" i="5"/>
  <c r="AA173" i="5"/>
  <c r="DL21" i="24"/>
  <c r="AG211" i="5"/>
  <c r="BY17" i="24"/>
  <c r="DQ164" i="5"/>
  <c r="DO21" i="24"/>
  <c r="DM214" i="5"/>
  <c r="Z182" i="5"/>
  <c r="CT19" i="24"/>
  <c r="AI190" i="5"/>
  <c r="AI13" i="24"/>
  <c r="CE110" i="5"/>
  <c r="AC110" i="5"/>
  <c r="H16" i="24"/>
  <c r="AL78" i="5"/>
  <c r="AB78" i="5" s="1"/>
  <c r="BX17" i="24"/>
  <c r="AK162" i="5"/>
  <c r="P13" i="5"/>
  <c r="P6" i="5" s="1"/>
  <c r="AA167" i="5"/>
  <c r="AD169" i="5"/>
  <c r="AK97" i="5"/>
  <c r="D25" i="24"/>
  <c r="DU7" i="5"/>
  <c r="AA142" i="5"/>
  <c r="AK18" i="24"/>
  <c r="AJ112" i="5"/>
  <c r="CB18" i="24"/>
  <c r="AJ168" i="5"/>
  <c r="Q138" i="5"/>
  <c r="AA180" i="5"/>
  <c r="CX23" i="24"/>
  <c r="AE195" i="5"/>
  <c r="BE70" i="5"/>
  <c r="DF18" i="24"/>
  <c r="AJ203" i="5"/>
  <c r="AE154" i="5"/>
  <c r="G21" i="24"/>
  <c r="DM76" i="5"/>
  <c r="CG17" i="24"/>
  <c r="AK174" i="5"/>
  <c r="CS19" i="24"/>
  <c r="AI189" i="5"/>
  <c r="DO20" i="24"/>
  <c r="DN214" i="5"/>
  <c r="AH215" i="5"/>
  <c r="CT17" i="24"/>
  <c r="AK190" i="5"/>
  <c r="BX14" i="24"/>
  <c r="AN162" i="5"/>
  <c r="AN25" i="24"/>
  <c r="DU118" i="5"/>
  <c r="BP18" i="24"/>
  <c r="DP150" i="5"/>
  <c r="DD20" i="24"/>
  <c r="AH201" i="5"/>
  <c r="CN20" i="24"/>
  <c r="DN182" i="5"/>
  <c r="AH183" i="5"/>
  <c r="X16" i="24"/>
  <c r="AL97" i="5"/>
  <c r="AB97" i="5" s="1"/>
  <c r="D24" i="24"/>
  <c r="T209" i="5"/>
  <c r="AF216" i="5"/>
  <c r="DP13" i="24"/>
  <c r="CE216" i="5"/>
  <c r="AC216" i="5"/>
  <c r="DM14" i="24"/>
  <c r="AN212" i="5"/>
  <c r="Q90" i="5"/>
  <c r="S227" i="5"/>
  <c r="Y29" i="5"/>
  <c r="Q20" i="24"/>
  <c r="DN87" i="5"/>
  <c r="AF101" i="5"/>
  <c r="AD113" i="5"/>
  <c r="Y227" i="5"/>
  <c r="AU13" i="24"/>
  <c r="CE125" i="5"/>
  <c r="AC125" i="5"/>
  <c r="K21" i="24"/>
  <c r="AG81" i="5"/>
  <c r="N18" i="24"/>
  <c r="AJ84" i="5"/>
  <c r="Z157" i="5"/>
  <c r="DD43" i="5"/>
  <c r="DD70" i="5"/>
  <c r="S164" i="5"/>
  <c r="AH168" i="5"/>
  <c r="BQ172" i="5"/>
  <c r="AA245" i="5"/>
  <c r="AL7" i="1"/>
  <c r="AV19" i="24"/>
  <c r="AI126" i="5"/>
  <c r="BF23" i="24"/>
  <c r="DK138" i="5"/>
  <c r="AE139" i="5"/>
  <c r="BK19" i="24"/>
  <c r="AI144" i="5"/>
  <c r="O205" i="5"/>
  <c r="AA206" i="5"/>
  <c r="BQ76" i="5"/>
  <c r="AM22" i="24"/>
  <c r="DL116" i="5"/>
  <c r="AF117" i="5"/>
  <c r="BI21" i="24"/>
  <c r="AG142" i="5"/>
  <c r="AG60" i="5"/>
  <c r="CB70" i="5"/>
  <c r="CB71" i="5"/>
  <c r="BK70" i="5"/>
  <c r="CN19" i="24"/>
  <c r="DO182" i="5"/>
  <c r="AI183" i="5"/>
  <c r="DU113" i="5"/>
  <c r="AL25" i="24"/>
  <c r="BJ17" i="24"/>
  <c r="AK143" i="5"/>
  <c r="BA22" i="24"/>
  <c r="AF132" i="5"/>
  <c r="Q227" i="5"/>
  <c r="CJ20" i="24"/>
  <c r="AH177" i="5"/>
  <c r="E10" i="23"/>
  <c r="AJ142" i="5"/>
  <c r="BW75" i="5"/>
  <c r="P182" i="5"/>
  <c r="AH101" i="5"/>
  <c r="CO15" i="24"/>
  <c r="AM184" i="5"/>
  <c r="CX21" i="24"/>
  <c r="AG195" i="5"/>
  <c r="DI14" i="24"/>
  <c r="AN207" i="5"/>
  <c r="U146" i="5"/>
  <c r="AF13" i="24"/>
  <c r="CE107" i="5"/>
  <c r="AC107" i="5"/>
  <c r="AH13" i="24"/>
  <c r="CE109" i="5"/>
  <c r="AC109" i="5"/>
  <c r="AF14" i="1"/>
  <c r="AF13" i="1" s="1"/>
  <c r="AF13" i="5"/>
  <c r="AF6" i="5" s="1"/>
  <c r="DT60" i="5"/>
  <c r="AN61" i="5"/>
  <c r="BL24" i="24"/>
  <c r="AD145" i="5"/>
  <c r="BU15" i="24"/>
  <c r="AM159" i="5"/>
  <c r="AK241" i="5"/>
  <c r="U60" i="5"/>
  <c r="CN17" i="24"/>
  <c r="DQ182" i="5"/>
  <c r="BB24" i="24"/>
  <c r="DJ133" i="5"/>
  <c r="T219" i="5"/>
  <c r="AA159" i="5"/>
  <c r="AL100" i="5"/>
  <c r="AB100" i="5" s="1"/>
  <c r="AK179" i="5"/>
  <c r="DU17" i="24"/>
  <c r="AK225" i="5"/>
  <c r="AA225" i="5"/>
  <c r="AG123" i="5"/>
  <c r="AG99" i="5"/>
  <c r="AJ13" i="24"/>
  <c r="CE111" i="5"/>
  <c r="AC111" i="5"/>
  <c r="AM93" i="5"/>
  <c r="DT16" i="24"/>
  <c r="DR223" i="5"/>
  <c r="DH223" i="5" s="1"/>
  <c r="BI13" i="24"/>
  <c r="CE142" i="5"/>
  <c r="AC142" i="5"/>
  <c r="O18" i="24"/>
  <c r="AJ85" i="5"/>
  <c r="AD128" i="5"/>
  <c r="DG104" i="5"/>
  <c r="G13" i="24"/>
  <c r="CE77" i="5"/>
  <c r="BS76" i="5"/>
  <c r="AC77" i="5"/>
  <c r="BT16" i="24"/>
  <c r="DR157" i="5"/>
  <c r="BJ156" i="5"/>
  <c r="DU228" i="5"/>
  <c r="DW25" i="24"/>
  <c r="DI227" i="5"/>
  <c r="X29" i="5"/>
  <c r="AB29" i="5" s="1"/>
  <c r="AB17" i="24"/>
  <c r="AK101" i="5"/>
  <c r="AI174" i="5"/>
  <c r="BT156" i="5"/>
  <c r="AD96" i="5"/>
  <c r="AL192" i="5"/>
  <c r="AB192" i="5" s="1"/>
  <c r="AM160" i="5"/>
  <c r="W227" i="5"/>
  <c r="Q164" i="5"/>
  <c r="AH23" i="24"/>
  <c r="AE109" i="5"/>
  <c r="AL13" i="24"/>
  <c r="CE113" i="5"/>
  <c r="AC113" i="5"/>
  <c r="DU79" i="5"/>
  <c r="I25" i="24"/>
  <c r="DS20" i="24"/>
  <c r="DN219" i="5"/>
  <c r="AH222" i="5"/>
  <c r="AI80" i="5"/>
  <c r="DI24" i="24"/>
  <c r="AD207" i="5"/>
  <c r="DC115" i="5"/>
  <c r="V219" i="5"/>
  <c r="AA121" i="5"/>
  <c r="AS17" i="24"/>
  <c r="AK123" i="5"/>
  <c r="BE15" i="24"/>
  <c r="AM137" i="5"/>
  <c r="E7" i="23"/>
  <c r="AG94" i="5"/>
  <c r="BA13" i="24"/>
  <c r="CE132" i="5"/>
  <c r="AC132" i="5"/>
  <c r="BR22" i="24"/>
  <c r="AF153" i="5"/>
  <c r="AY15" i="24"/>
  <c r="DS129" i="5"/>
  <c r="Y129" i="5"/>
  <c r="AL224" i="5"/>
  <c r="AB224" i="5" s="1"/>
  <c r="AI181" i="5"/>
  <c r="U138" i="5"/>
  <c r="W146" i="5"/>
  <c r="I13" i="24"/>
  <c r="CE79" i="5"/>
  <c r="AC79" i="5"/>
  <c r="DQ60" i="5"/>
  <c r="AA220" i="5"/>
  <c r="O219" i="5"/>
  <c r="DU62" i="5"/>
  <c r="CY22" i="24"/>
  <c r="AF196" i="5"/>
  <c r="DO24" i="24"/>
  <c r="DJ214" i="5"/>
  <c r="AD215" i="5"/>
  <c r="BK18" i="24"/>
  <c r="AJ144" i="5"/>
  <c r="AL177" i="5"/>
  <c r="AA169" i="5"/>
  <c r="AL241" i="5"/>
  <c r="O87" i="5"/>
  <c r="AA88" i="5"/>
  <c r="BD25" i="24"/>
  <c r="DU136" i="5"/>
  <c r="AA216" i="5"/>
  <c r="AA135" i="5"/>
  <c r="S193" i="5"/>
  <c r="H25" i="24"/>
  <c r="DU78" i="5"/>
  <c r="Y172" i="5"/>
  <c r="AM21" i="24"/>
  <c r="DM116" i="5"/>
  <c r="O116" i="5"/>
  <c r="AA117" i="5"/>
  <c r="Z129" i="5"/>
  <c r="BI17" i="24"/>
  <c r="AK142" i="5"/>
  <c r="P22" i="24"/>
  <c r="AF86" i="5"/>
  <c r="BG75" i="5"/>
  <c r="AA41" i="5"/>
  <c r="CN16" i="24"/>
  <c r="DR182" i="5"/>
  <c r="DH182" i="5" s="1"/>
  <c r="AM130" i="5"/>
  <c r="AA211" i="5"/>
  <c r="Q205" i="5"/>
  <c r="BB18" i="24"/>
  <c r="DP133" i="5"/>
  <c r="BZ16" i="24"/>
  <c r="AL166" i="5"/>
  <c r="AB166" i="5" s="1"/>
  <c r="AA81" i="5"/>
  <c r="DG21" i="24"/>
  <c r="AG204" i="5"/>
  <c r="EB49" i="23"/>
  <c r="DG241" i="5"/>
  <c r="CX115" i="5"/>
  <c r="CK18" i="24"/>
  <c r="DP178" i="5"/>
  <c r="J15" i="24"/>
  <c r="AM80" i="5"/>
  <c r="AA82" i="5"/>
  <c r="CK13" i="24"/>
  <c r="CE179" i="5"/>
  <c r="BS178" i="5"/>
  <c r="AC179" i="5"/>
  <c r="AK15" i="24"/>
  <c r="AM112" i="5"/>
  <c r="L16" i="24"/>
  <c r="AL82" i="5"/>
  <c r="DU216" i="5"/>
  <c r="DP25" i="24"/>
  <c r="AG102" i="5"/>
  <c r="AM219" i="5"/>
  <c r="CD16" i="24"/>
  <c r="AL170" i="5"/>
  <c r="AB170" i="5" s="1"/>
  <c r="DH24" i="24"/>
  <c r="DJ205" i="5"/>
  <c r="AA89" i="5"/>
  <c r="AD199" i="5"/>
  <c r="AF20" i="24"/>
  <c r="AH107" i="5"/>
  <c r="DT14" i="24"/>
  <c r="DT223" i="5"/>
  <c r="AN224" i="5"/>
  <c r="AG151" i="5"/>
  <c r="AN128" i="5"/>
  <c r="AJ200" i="5"/>
  <c r="BT14" i="24"/>
  <c r="DT157" i="5"/>
  <c r="T157" i="5"/>
  <c r="DW21" i="24"/>
  <c r="DM227" i="5"/>
  <c r="AG228" i="5"/>
  <c r="R214" i="5"/>
  <c r="BU156" i="5"/>
  <c r="AA134" i="5"/>
  <c r="O133" i="5"/>
  <c r="AD160" i="5"/>
  <c r="CO19" i="24"/>
  <c r="AI184" i="5"/>
  <c r="AH185" i="5"/>
  <c r="CI22" i="24"/>
  <c r="AF176" i="5"/>
  <c r="AD23" i="24"/>
  <c r="DK104" i="5"/>
  <c r="AE105" i="5"/>
  <c r="AG167" i="5"/>
  <c r="Y205" i="5"/>
  <c r="DF20" i="24"/>
  <c r="AH203" i="5"/>
  <c r="AD80" i="5"/>
  <c r="DV14" i="24"/>
  <c r="AN226" i="5"/>
  <c r="BE22" i="24"/>
  <c r="AF137" i="5"/>
  <c r="Y60" i="5"/>
  <c r="E49" i="23"/>
  <c r="BM19" i="24"/>
  <c r="DO146" i="5"/>
  <c r="BO23" i="24"/>
  <c r="AE149" i="5"/>
  <c r="DG205" i="5"/>
  <c r="G15" i="24"/>
  <c r="DS76" i="5"/>
  <c r="DU148" i="5"/>
  <c r="BN25" i="24"/>
  <c r="AG122" i="5"/>
  <c r="CG22" i="24"/>
  <c r="AF174" i="5"/>
  <c r="AY20" i="24"/>
  <c r="DN129" i="5"/>
  <c r="BN58" i="5"/>
  <c r="BR58" i="5" s="1"/>
  <c r="AH181" i="5"/>
  <c r="DU198" i="5"/>
  <c r="DA25" i="24"/>
  <c r="S15" i="24"/>
  <c r="AM92" i="5"/>
  <c r="BH25" i="24"/>
  <c r="DU141" i="5"/>
  <c r="AN121" i="5"/>
  <c r="BL21" i="24"/>
  <c r="AG145" i="5"/>
  <c r="DG172" i="5"/>
  <c r="M16" i="24"/>
  <c r="AL83" i="5"/>
  <c r="AB83" i="5" s="1"/>
  <c r="DU106" i="5"/>
  <c r="AE25" i="24"/>
  <c r="BF18" i="24"/>
  <c r="DP138" i="5"/>
  <c r="AJ139" i="5"/>
  <c r="AI14" i="24"/>
  <c r="AN110" i="5"/>
  <c r="DU144" i="5"/>
  <c r="BK25" i="24"/>
  <c r="AN177" i="5"/>
  <c r="AI241" i="5"/>
  <c r="BZ71" i="5"/>
  <c r="BZ70" i="5"/>
  <c r="AC13" i="24"/>
  <c r="CE102" i="5"/>
  <c r="AC102" i="5"/>
  <c r="CJ25" i="24"/>
  <c r="DU177" i="5"/>
  <c r="AE78" i="5"/>
  <c r="DT20" i="24"/>
  <c r="DN223" i="5"/>
  <c r="BT15" i="24"/>
  <c r="DS157" i="5"/>
  <c r="CV13" i="24"/>
  <c r="AC192" i="5"/>
  <c r="BV13" i="24"/>
  <c r="CE160" i="5"/>
  <c r="AC160" i="5"/>
  <c r="CI23" i="24"/>
  <c r="AE176" i="5"/>
  <c r="BE23" i="24"/>
  <c r="AE137" i="5"/>
  <c r="S24" i="24"/>
  <c r="AD92" i="5"/>
  <c r="BB20" i="24"/>
  <c r="DN133" i="5"/>
  <c r="AL18" i="24"/>
  <c r="AJ113" i="5"/>
  <c r="DG23" i="24"/>
  <c r="AE204" i="5"/>
  <c r="J23" i="24"/>
  <c r="AE80" i="5"/>
  <c r="AK19" i="24"/>
  <c r="AI112" i="5"/>
  <c r="DU132" i="5"/>
  <c r="BA25" i="24"/>
  <c r="AH123" i="5"/>
  <c r="DH16" i="24"/>
  <c r="DR205" i="5"/>
  <c r="DH205" i="5" s="1"/>
  <c r="AL206" i="5"/>
  <c r="AB206" i="5" s="1"/>
  <c r="DT15" i="24"/>
  <c r="DS223" i="5"/>
  <c r="AM224" i="5"/>
  <c r="BT21" i="24"/>
  <c r="DM157" i="5"/>
  <c r="DS21" i="24"/>
  <c r="DM219" i="5"/>
  <c r="AG222" i="5"/>
  <c r="CW16" i="24"/>
  <c r="DR193" i="5"/>
  <c r="DH193" i="5" s="1"/>
  <c r="AM188" i="5"/>
  <c r="DJ241" i="5"/>
  <c r="EB24" i="24" s="1"/>
  <c r="AF241" i="5"/>
  <c r="BU13" i="24"/>
  <c r="CE159" i="5"/>
  <c r="AC159" i="5"/>
  <c r="AK60" i="5"/>
  <c r="CK24" i="24"/>
  <c r="DJ178" i="5"/>
  <c r="L20" i="24"/>
  <c r="AH82" i="5"/>
  <c r="BS14" i="24"/>
  <c r="AN154" i="5"/>
  <c r="AN219" i="5"/>
  <c r="AN136" i="5"/>
  <c r="CE63" i="5"/>
  <c r="AC63" i="5"/>
  <c r="BT13" i="24"/>
  <c r="CE158" i="5"/>
  <c r="BS157" i="5"/>
  <c r="AC158" i="5"/>
  <c r="W13" i="24"/>
  <c r="CE96" i="5"/>
  <c r="AC96" i="5"/>
  <c r="CL13" i="24"/>
  <c r="CE180" i="5"/>
  <c r="AC180" i="5"/>
  <c r="BN15" i="24"/>
  <c r="AM148" i="5"/>
  <c r="CH22" i="24"/>
  <c r="AF175" i="5"/>
  <c r="AA128" i="5"/>
  <c r="R15" i="24"/>
  <c r="DS90" i="5"/>
  <c r="U209" i="5"/>
  <c r="CT13" i="24"/>
  <c r="CE190" i="5"/>
  <c r="AC190" i="5"/>
  <c r="DE70" i="5"/>
  <c r="AM60" i="5"/>
  <c r="DD22" i="24"/>
  <c r="AF201" i="5"/>
  <c r="D17" i="24"/>
  <c r="Z133" i="5"/>
  <c r="DU112" i="5"/>
  <c r="AK25" i="24"/>
  <c r="BA15" i="24"/>
  <c r="AM132" i="5"/>
  <c r="DM16" i="24"/>
  <c r="AL212" i="5"/>
  <c r="CD24" i="24"/>
  <c r="AD170" i="5"/>
  <c r="AR14" i="24"/>
  <c r="AN122" i="5"/>
  <c r="I20" i="24"/>
  <c r="AH79" i="5"/>
  <c r="CA13" i="24"/>
  <c r="CE167" i="5"/>
  <c r="AC167" i="5"/>
  <c r="G22" i="24"/>
  <c r="DL76" i="5"/>
  <c r="AF77" i="5"/>
  <c r="CH18" i="24"/>
  <c r="AJ175" i="5"/>
  <c r="CR18" i="24"/>
  <c r="DP187" i="5"/>
  <c r="AJ188" i="5"/>
  <c r="AQ23" i="24"/>
  <c r="AE121" i="5"/>
  <c r="DU99" i="5"/>
  <c r="Z25" i="24"/>
  <c r="AM14" i="24"/>
  <c r="DT116" i="5"/>
  <c r="BP20" i="24"/>
  <c r="DN150" i="5"/>
  <c r="CN15" i="24"/>
  <c r="DS182" i="5"/>
  <c r="BZ21" i="24"/>
  <c r="AG166" i="5"/>
  <c r="AZ20" i="24"/>
  <c r="AH131" i="5"/>
  <c r="AD179" i="5"/>
  <c r="O57" i="5"/>
  <c r="AA55" i="5"/>
  <c r="AA57" i="5" s="1"/>
  <c r="AH93" i="5"/>
  <c r="AL136" i="5"/>
  <c r="BD13" i="24"/>
  <c r="CE136" i="5"/>
  <c r="AC136" i="5"/>
  <c r="BW16" i="24"/>
  <c r="AL161" i="5"/>
  <c r="O24" i="24"/>
  <c r="AD85" i="5"/>
  <c r="DU229" i="5"/>
  <c r="DX25" i="24"/>
  <c r="AI204" i="5"/>
  <c r="AP15" i="24"/>
  <c r="AM120" i="5"/>
  <c r="AG132" i="5"/>
  <c r="P76" i="5"/>
  <c r="BN17" i="24"/>
  <c r="AK148" i="5"/>
  <c r="AO14" i="24"/>
  <c r="AN119" i="5"/>
  <c r="U104" i="5"/>
  <c r="AG108" i="5"/>
  <c r="AD229" i="5"/>
  <c r="CC17" i="24"/>
  <c r="AK169" i="5"/>
  <c r="AM23" i="24"/>
  <c r="DK116" i="5"/>
  <c r="AE117" i="5"/>
  <c r="BU70" i="5"/>
  <c r="BU71" i="5"/>
  <c r="P16" i="24"/>
  <c r="AL86" i="5"/>
  <c r="Y146" i="5"/>
  <c r="AL213" i="5"/>
  <c r="AB213" i="5" s="1"/>
  <c r="AK17" i="24"/>
  <c r="AK112" i="5"/>
  <c r="BM156" i="5"/>
  <c r="BQ164" i="5"/>
  <c r="AM141" i="5"/>
  <c r="P172" i="5"/>
  <c r="BQ14" i="24"/>
  <c r="AN152" i="5"/>
  <c r="I17" i="24"/>
  <c r="AK79" i="5"/>
  <c r="DJ13" i="24"/>
  <c r="CE208" i="5"/>
  <c r="AC208" i="5"/>
  <c r="CD13" i="24"/>
  <c r="CE170" i="5"/>
  <c r="AC170" i="5"/>
  <c r="AA147" i="5"/>
  <c r="O146" i="5"/>
  <c r="AO23" i="24"/>
  <c r="AE119" i="5"/>
  <c r="AN79" i="5"/>
  <c r="CY19" i="24"/>
  <c r="AI196" i="5"/>
  <c r="AE18" i="24"/>
  <c r="AJ106" i="5"/>
  <c r="AX234" i="5"/>
  <c r="AX249" i="5"/>
  <c r="AX250" i="5" s="1"/>
  <c r="AZ14" i="24"/>
  <c r="AN131" i="5"/>
  <c r="DU18" i="24"/>
  <c r="AJ225" i="5"/>
  <c r="AR24" i="24"/>
  <c r="AD122" i="5"/>
  <c r="AE162" i="5"/>
  <c r="AJ199" i="5"/>
  <c r="CB22" i="24"/>
  <c r="AF168" i="5"/>
  <c r="BT25" i="24"/>
  <c r="DU158" i="5"/>
  <c r="DI157" i="5"/>
  <c r="AA86" i="5"/>
  <c r="AE113" i="5"/>
  <c r="N23" i="24"/>
  <c r="AE84" i="5"/>
  <c r="AK165" i="5"/>
  <c r="AJ132" i="5"/>
  <c r="DG38" i="5"/>
  <c r="CS16" i="24"/>
  <c r="AL189" i="5"/>
  <c r="AB189" i="5" s="1"/>
  <c r="CF15" i="24"/>
  <c r="DS172" i="5"/>
  <c r="T38" i="5"/>
  <c r="CY23" i="24"/>
  <c r="AE196" i="5"/>
  <c r="AD112" i="5"/>
  <c r="BF16" i="24"/>
  <c r="DR138" i="5"/>
  <c r="DU117" i="5"/>
  <c r="AM25" i="24"/>
  <c r="DI116" i="5"/>
  <c r="AH60" i="5"/>
  <c r="AF98" i="5"/>
  <c r="U193" i="5"/>
  <c r="AA19" i="5"/>
  <c r="AD88" i="5"/>
  <c r="CK15" i="24"/>
  <c r="DS178" i="5"/>
  <c r="Z104" i="5"/>
  <c r="T21" i="24"/>
  <c r="AG93" i="5"/>
  <c r="DU206" i="5"/>
  <c r="DH25" i="24"/>
  <c r="DI205" i="5"/>
  <c r="DG76" i="5"/>
  <c r="T182" i="5"/>
  <c r="AE199" i="5"/>
  <c r="AF25" i="24"/>
  <c r="DU107" i="5"/>
  <c r="CB17" i="24"/>
  <c r="AK168" i="5"/>
  <c r="AH151" i="5"/>
  <c r="AG185" i="5"/>
  <c r="CC22" i="24"/>
  <c r="AF169" i="5"/>
  <c r="AT234" i="5"/>
  <c r="AT249" i="5"/>
  <c r="AT250" i="5" s="1"/>
  <c r="AN241" i="5"/>
  <c r="AD149" i="5"/>
  <c r="AL95" i="5"/>
  <c r="V13" i="24"/>
  <c r="CE95" i="5"/>
  <c r="AC95" i="5"/>
  <c r="DC75" i="5"/>
  <c r="BP19" i="24"/>
  <c r="DO150" i="5"/>
  <c r="P21" i="24"/>
  <c r="AG86" i="5"/>
  <c r="CM15" i="24"/>
  <c r="AM181" i="5"/>
  <c r="CX75" i="5"/>
  <c r="AG98" i="5"/>
  <c r="X20" i="24"/>
  <c r="AH97" i="5"/>
  <c r="DU134" i="5"/>
  <c r="BB25" i="24"/>
  <c r="DI133" i="5"/>
  <c r="CZ43" i="5"/>
  <c r="CZ47" i="5" s="1"/>
  <c r="CZ71" i="5" s="1"/>
  <c r="D14" i="24"/>
  <c r="AN7" i="5"/>
  <c r="BI70" i="5"/>
  <c r="DG20" i="24"/>
  <c r="AH204" i="5"/>
  <c r="CY156" i="5"/>
  <c r="DU179" i="5"/>
  <c r="CK25" i="24"/>
  <c r="DI178" i="5"/>
  <c r="J17" i="24"/>
  <c r="AK80" i="5"/>
  <c r="CZ75" i="5"/>
  <c r="BJ14" i="24"/>
  <c r="AN143" i="5"/>
  <c r="AA26" i="5"/>
  <c r="L24" i="24"/>
  <c r="AD82" i="5"/>
  <c r="BH115" i="5"/>
  <c r="AS13" i="24"/>
  <c r="CE123" i="5"/>
  <c r="AC123" i="5"/>
  <c r="AH99" i="5"/>
  <c r="R133" i="5"/>
  <c r="AE93" i="5"/>
  <c r="U164" i="5"/>
  <c r="CC218" i="5"/>
  <c r="AA110" i="5"/>
  <c r="DH23" i="24"/>
  <c r="DK205" i="5"/>
  <c r="AR25" i="24"/>
  <c r="DU122" i="5"/>
  <c r="AG162" i="5"/>
  <c r="AF199" i="5"/>
  <c r="AG117" i="5"/>
  <c r="CD115" i="5"/>
  <c r="Y187" i="5"/>
  <c r="AK118" i="5"/>
  <c r="AF19" i="24"/>
  <c r="AI107" i="5"/>
  <c r="DT24" i="24"/>
  <c r="DJ223" i="5"/>
  <c r="AJ128" i="5"/>
  <c r="AG201" i="5"/>
  <c r="BT23" i="24"/>
  <c r="DK157" i="5"/>
  <c r="AE158" i="5"/>
  <c r="DW19" i="24"/>
  <c r="DO227" i="5"/>
  <c r="AI228" i="5"/>
  <c r="AB25" i="24"/>
  <c r="DU101" i="5"/>
  <c r="R178" i="5"/>
  <c r="AM158" i="5"/>
  <c r="BX156" i="5"/>
  <c r="AG101" i="5"/>
  <c r="CP14" i="24"/>
  <c r="AN185" i="5"/>
  <c r="AN160" i="5"/>
  <c r="CO17" i="24"/>
  <c r="AK184" i="5"/>
  <c r="AJ185" i="5"/>
  <c r="CP13" i="24"/>
  <c r="CE185" i="5"/>
  <c r="AC185" i="5"/>
  <c r="AA191" i="5"/>
  <c r="AH21" i="24"/>
  <c r="AG109" i="5"/>
  <c r="DX18" i="24"/>
  <c r="AJ229" i="5"/>
  <c r="Z193" i="5"/>
  <c r="AI131" i="5"/>
  <c r="CI24" i="24"/>
  <c r="AD176" i="5"/>
  <c r="P209" i="5"/>
  <c r="AD22" i="24"/>
  <c r="DL104" i="5"/>
  <c r="AF105" i="5"/>
  <c r="AD167" i="5"/>
  <c r="AF80" i="5"/>
  <c r="BI218" i="5"/>
  <c r="DV23" i="24"/>
  <c r="AE226" i="5"/>
  <c r="DU123" i="5"/>
  <c r="AS25" i="24"/>
  <c r="U13" i="24"/>
  <c r="CE94" i="5"/>
  <c r="AC94" i="5"/>
  <c r="G14" i="24"/>
  <c r="DT76" i="5"/>
  <c r="AN77" i="5"/>
  <c r="BN14" i="24"/>
  <c r="AN148" i="5"/>
  <c r="CU70" i="5"/>
  <c r="AN86" i="5"/>
  <c r="AJ181" i="5"/>
  <c r="CM13" i="24"/>
  <c r="CE181" i="5"/>
  <c r="AC181" i="5"/>
  <c r="CW22" i="24"/>
  <c r="DL193" i="5"/>
  <c r="AD188" i="5"/>
  <c r="AG23" i="24"/>
  <c r="AE108" i="5"/>
  <c r="DU191" i="5"/>
  <c r="CU25" i="24"/>
  <c r="DU100" i="5"/>
  <c r="AA25" i="24"/>
  <c r="DA19" i="24"/>
  <c r="AI198" i="5"/>
  <c r="AW20" i="24"/>
  <c r="AH127" i="5"/>
  <c r="DJ17" i="24"/>
  <c r="AK208" i="5"/>
  <c r="DR241" i="5"/>
  <c r="EB16" i="24" s="1"/>
  <c r="AE212" i="5"/>
  <c r="AD7" i="5"/>
  <c r="AC17" i="24"/>
  <c r="AK102" i="5"/>
  <c r="BY19" i="24"/>
  <c r="DO164" i="5"/>
  <c r="DG164" i="5"/>
  <c r="DL13" i="5"/>
  <c r="DL6" i="5" s="1"/>
  <c r="DO16" i="24"/>
  <c r="DR214" i="5"/>
  <c r="DH214" i="5" s="1"/>
  <c r="AN112" i="5"/>
  <c r="AE24" i="24"/>
  <c r="AD106" i="5"/>
  <c r="DU139" i="5"/>
  <c r="BF25" i="24"/>
  <c r="DI138" i="5"/>
  <c r="DU110" i="5"/>
  <c r="AI25" i="24"/>
  <c r="BU22" i="24"/>
  <c r="AF159" i="5"/>
  <c r="BC17" i="24"/>
  <c r="AK135" i="5"/>
  <c r="AD177" i="5"/>
  <c r="BD15" i="24"/>
  <c r="AM136" i="5"/>
  <c r="AM17" i="24"/>
  <c r="DQ116" i="5"/>
  <c r="DC19" i="24"/>
  <c r="AI200" i="5"/>
  <c r="P23" i="24"/>
  <c r="AE86" i="5"/>
  <c r="AF24" i="24"/>
  <c r="AD107" i="5"/>
  <c r="DW15" i="24"/>
  <c r="DS227" i="5"/>
  <c r="DS22" i="24"/>
  <c r="DL219" i="5"/>
  <c r="AF222" i="5"/>
  <c r="AP16" i="24"/>
  <c r="AL120" i="5"/>
  <c r="CR17" i="24"/>
  <c r="DQ187" i="5"/>
  <c r="AK188" i="5"/>
  <c r="AU19" i="24"/>
  <c r="AI125" i="5"/>
  <c r="AD241" i="5"/>
  <c r="AA184" i="5"/>
  <c r="AF60" i="5"/>
  <c r="DU201" i="5"/>
  <c r="DD25" i="24"/>
  <c r="L21" i="24"/>
  <c r="AG82" i="5"/>
  <c r="CD23" i="24"/>
  <c r="AE170" i="5"/>
  <c r="DU185" i="5"/>
  <c r="CP25" i="24"/>
  <c r="CE64" i="5"/>
  <c r="AC64" i="5"/>
  <c r="CQ16" i="24"/>
  <c r="AL186" i="5"/>
  <c r="AB186" i="5" s="1"/>
  <c r="DA24" i="24"/>
  <c r="AD198" i="5"/>
  <c r="R18" i="24"/>
  <c r="DP90" i="5"/>
  <c r="H21" i="24"/>
  <c r="AG78" i="5"/>
  <c r="AK87" i="5"/>
  <c r="AZ17" i="24"/>
  <c r="AK131" i="5"/>
  <c r="DH15" i="24"/>
  <c r="DS205" i="5"/>
  <c r="Q23" i="24"/>
  <c r="DK87" i="5"/>
  <c r="DS19" i="24"/>
  <c r="DO219" i="5"/>
  <c r="AI222" i="5"/>
  <c r="CG21" i="24"/>
  <c r="AG174" i="5"/>
  <c r="DC16" i="24"/>
  <c r="AL200" i="5"/>
  <c r="AB200" i="5" s="1"/>
  <c r="DP20" i="24"/>
  <c r="AH216" i="5"/>
  <c r="AA165" i="5"/>
  <c r="O164" i="5"/>
  <c r="DH20" i="24"/>
  <c r="DN205" i="5"/>
  <c r="AK78" i="5"/>
  <c r="AJ118" i="5"/>
  <c r="CZ70" i="5"/>
  <c r="AH15" i="24"/>
  <c r="AM109" i="5"/>
  <c r="CO13" i="24"/>
  <c r="CE184" i="5"/>
  <c r="AC184" i="5"/>
  <c r="AA161" i="5"/>
  <c r="AG19" i="24"/>
  <c r="AI108" i="5"/>
  <c r="DO60" i="5"/>
  <c r="AN203" i="5"/>
  <c r="CF13" i="24"/>
  <c r="CE173" i="5"/>
  <c r="BS172" i="5"/>
  <c r="AC173" i="5"/>
  <c r="BQ13" i="24"/>
  <c r="CE152" i="5"/>
  <c r="AC152" i="5"/>
  <c r="CJ21" i="24"/>
  <c r="AG177" i="5"/>
  <c r="CP22" i="24"/>
  <c r="AF185" i="5"/>
  <c r="CO22" i="24"/>
  <c r="AF184" i="5"/>
  <c r="DV25" i="24"/>
  <c r="DU226" i="5"/>
  <c r="BY13" i="24"/>
  <c r="CE165" i="5"/>
  <c r="BS164" i="5"/>
  <c r="AC165" i="5"/>
  <c r="CF16" i="24"/>
  <c r="DR172" i="5"/>
  <c r="AL173" i="5"/>
  <c r="DU96" i="5"/>
  <c r="W25" i="24"/>
  <c r="AI21" i="24"/>
  <c r="AG110" i="5"/>
  <c r="U182" i="5"/>
  <c r="AA189" i="5"/>
  <c r="W29" i="5"/>
  <c r="CK16" i="24"/>
  <c r="DR178" i="5"/>
  <c r="DH178" i="5" s="1"/>
  <c r="AL179" i="5"/>
  <c r="AA171" i="5"/>
  <c r="AA64" i="5"/>
  <c r="AF15" i="24"/>
  <c r="AM107" i="5"/>
  <c r="AB15" i="24"/>
  <c r="AM101" i="5"/>
  <c r="DU137" i="5"/>
  <c r="BE25" i="24"/>
  <c r="CL16" i="24"/>
  <c r="AL180" i="5"/>
  <c r="AB180" i="5" s="1"/>
  <c r="E11" i="24"/>
  <c r="AI19" i="24"/>
  <c r="AI110" i="5"/>
  <c r="BX15" i="24"/>
  <c r="AM162" i="5"/>
  <c r="AA181" i="5"/>
  <c r="DU166" i="5"/>
  <c r="BZ25" i="24"/>
  <c r="S116" i="5"/>
  <c r="AK16" i="24"/>
  <c r="AL112" i="5"/>
  <c r="AB112" i="5" s="1"/>
  <c r="AA176" i="5"/>
  <c r="AL111" i="5"/>
  <c r="AB111" i="5" s="1"/>
  <c r="AE241" i="5"/>
  <c r="W133" i="5"/>
  <c r="AI149" i="5"/>
  <c r="DB19" i="24"/>
  <c r="AI199" i="5"/>
  <c r="AM19" i="24"/>
  <c r="DO116" i="5"/>
  <c r="AI117" i="5"/>
  <c r="BE115" i="5"/>
  <c r="BQ187" i="5"/>
  <c r="AN23" i="24"/>
  <c r="AE118" i="5"/>
  <c r="BP17" i="24"/>
  <c r="DQ150" i="5"/>
  <c r="S104" i="5"/>
  <c r="CN24" i="24"/>
  <c r="DJ182" i="5"/>
  <c r="AD183" i="5"/>
  <c r="BR13" i="24"/>
  <c r="CE153" i="5"/>
  <c r="AC153" i="5"/>
  <c r="S209" i="5"/>
  <c r="AA15" i="5"/>
  <c r="Z76" i="5"/>
  <c r="CV156" i="5"/>
  <c r="BB23" i="24"/>
  <c r="DK133" i="5"/>
  <c r="AA45" i="5"/>
  <c r="AD97" i="5"/>
  <c r="AG88" i="5"/>
  <c r="D20" i="24"/>
  <c r="AH7" i="5"/>
  <c r="S60" i="5"/>
  <c r="AK186" i="5"/>
  <c r="DU197" i="5"/>
  <c r="CZ25" i="24"/>
  <c r="CK20" i="24"/>
  <c r="DN178" i="5"/>
  <c r="J16" i="24"/>
  <c r="AL80" i="5"/>
  <c r="AB80" i="5" s="1"/>
  <c r="CZ218" i="5"/>
  <c r="V29" i="5"/>
  <c r="AD213" i="5"/>
  <c r="BJ23" i="24"/>
  <c r="AE143" i="5"/>
  <c r="AN215" i="5"/>
  <c r="AJ93" i="5"/>
  <c r="BW218" i="5"/>
  <c r="DH22" i="24"/>
  <c r="DL205" i="5"/>
  <c r="AF206" i="5"/>
  <c r="AR19" i="24"/>
  <c r="AI122" i="5"/>
  <c r="U157" i="5"/>
  <c r="BW19" i="24"/>
  <c r="AI161" i="5"/>
  <c r="AA79" i="5"/>
  <c r="AJ162" i="5"/>
  <c r="BT115" i="5"/>
  <c r="AM13" i="24"/>
  <c r="CE117" i="5"/>
  <c r="BS116" i="5"/>
  <c r="AC117" i="5"/>
  <c r="BO156" i="5"/>
  <c r="DT22" i="24"/>
  <c r="DL223" i="5"/>
  <c r="AF224" i="5"/>
  <c r="O13" i="5"/>
  <c r="AA14" i="5"/>
  <c r="CB24" i="24"/>
  <c r="AD168" i="5"/>
  <c r="AI151" i="5"/>
  <c r="CE247" i="5"/>
  <c r="AC247" i="5"/>
  <c r="AX13" i="24"/>
  <c r="CE128" i="5"/>
  <c r="AC128" i="5"/>
  <c r="DD13" i="24"/>
  <c r="CE201" i="5"/>
  <c r="AC201" i="5"/>
  <c r="AA148" i="5"/>
  <c r="BT22" i="24"/>
  <c r="DL157" i="5"/>
  <c r="AF158" i="5"/>
  <c r="DW18" i="24"/>
  <c r="DP227" i="5"/>
  <c r="AJ228" i="5"/>
  <c r="AA131" i="5"/>
  <c r="Q16" i="24"/>
  <c r="DR87" i="5"/>
  <c r="DH87" i="5" s="1"/>
  <c r="AL88" i="5"/>
  <c r="AB88" i="5" s="1"/>
  <c r="BW156" i="5"/>
  <c r="W182" i="5"/>
  <c r="AI180" i="5"/>
  <c r="AG192" i="5"/>
  <c r="AE160" i="5"/>
  <c r="AD134" i="5"/>
  <c r="CO16" i="24"/>
  <c r="AL184" i="5"/>
  <c r="CX16" i="24"/>
  <c r="AL195" i="5"/>
  <c r="DX17" i="24"/>
  <c r="AK229" i="5"/>
  <c r="AJ131" i="5"/>
  <c r="CI19" i="24"/>
  <c r="AI176" i="5"/>
  <c r="AD19" i="24"/>
  <c r="DO104" i="5"/>
  <c r="DF156" i="5"/>
  <c r="AP18" i="24"/>
  <c r="AJ120" i="5"/>
  <c r="DF17" i="24"/>
  <c r="AK203" i="5"/>
  <c r="U223" i="5"/>
  <c r="AN208" i="5"/>
  <c r="P241" i="5"/>
  <c r="AL92" i="5"/>
  <c r="AB92" i="5" s="1"/>
  <c r="S13" i="24"/>
  <c r="CE92" i="5"/>
  <c r="AC92" i="5"/>
  <c r="AE122" i="5"/>
  <c r="DU98" i="5"/>
  <c r="Y25" i="24"/>
  <c r="R193" i="5"/>
  <c r="AD161" i="5"/>
  <c r="BR17" i="24"/>
  <c r="AK153" i="5"/>
  <c r="AY24" i="24"/>
  <c r="DJ129" i="5"/>
  <c r="R223" i="5"/>
  <c r="DG60" i="5"/>
  <c r="CF24" i="24"/>
  <c r="DJ172" i="5"/>
  <c r="AD173" i="5"/>
  <c r="DD156" i="5"/>
  <c r="R27" i="5"/>
  <c r="DU119" i="5"/>
  <c r="AO25" i="24"/>
  <c r="W19" i="24"/>
  <c r="AI96" i="5"/>
  <c r="BQ241" i="5"/>
  <c r="AE197" i="5"/>
  <c r="R19" i="24"/>
  <c r="DO90" i="5"/>
  <c r="DG150" i="5"/>
  <c r="DK24" i="24"/>
  <c r="DJ209" i="5"/>
  <c r="AD210" i="5"/>
  <c r="AN14" i="5"/>
  <c r="BQ138" i="5"/>
  <c r="AA97" i="5"/>
  <c r="AT22" i="24"/>
  <c r="AF124" i="5"/>
  <c r="AA67" i="5"/>
  <c r="BL13" i="24"/>
  <c r="CE145" i="5"/>
  <c r="AC145" i="5"/>
  <c r="DS241" i="5"/>
  <c r="EB15" i="24" s="1"/>
  <c r="AM242" i="5"/>
  <c r="AF212" i="5"/>
  <c r="DU61" i="5"/>
  <c r="DI60" i="5"/>
  <c r="CY25" i="24"/>
  <c r="DU196" i="5"/>
  <c r="AL222" i="5"/>
  <c r="AB222" i="5" s="1"/>
  <c r="CE7" i="5"/>
  <c r="D13" i="24"/>
  <c r="AC7" i="5"/>
  <c r="O104" i="5"/>
  <c r="AA105" i="5"/>
  <c r="BY24" i="24"/>
  <c r="DJ164" i="5"/>
  <c r="DM13" i="5"/>
  <c r="DM6" i="5" s="1"/>
  <c r="AG14" i="5"/>
  <c r="U23" i="24"/>
  <c r="AE94" i="5"/>
  <c r="DO15" i="24"/>
  <c r="DS214" i="5"/>
  <c r="AM91" i="5"/>
  <c r="AE177" i="5"/>
  <c r="DG193" i="5"/>
  <c r="H24" i="24"/>
  <c r="AD78" i="5"/>
  <c r="AM149" i="5"/>
  <c r="DB17" i="24"/>
  <c r="AK199" i="5"/>
  <c r="AM18" i="24"/>
  <c r="DP116" i="5"/>
  <c r="O129" i="5"/>
  <c r="AA130" i="5"/>
  <c r="AD60" i="5"/>
  <c r="BV70" i="5"/>
  <c r="BV71" i="5"/>
  <c r="AA33" i="5"/>
  <c r="O90" i="5"/>
  <c r="AA91" i="5"/>
  <c r="BP16" i="24"/>
  <c r="DR150" i="5"/>
  <c r="DH150" i="5" s="1"/>
  <c r="Q150" i="5"/>
  <c r="AX21" i="24"/>
  <c r="AG128" i="5"/>
  <c r="DC20" i="24"/>
  <c r="AH200" i="5"/>
  <c r="DD14" i="24"/>
  <c r="AN201" i="5"/>
  <c r="P25" i="24"/>
  <c r="DU86" i="5"/>
  <c r="AN98" i="5"/>
  <c r="CN21" i="24"/>
  <c r="DM182" i="5"/>
  <c r="AG183" i="5"/>
  <c r="BZ14" i="24"/>
  <c r="AN166" i="5"/>
  <c r="AH88" i="5"/>
  <c r="AA126" i="5"/>
  <c r="AA93" i="5"/>
  <c r="AH152" i="5"/>
  <c r="D18" i="24"/>
  <c r="AJ7" i="5"/>
  <c r="X138" i="5"/>
  <c r="Q104" i="5"/>
  <c r="DG25" i="24"/>
  <c r="DU204" i="5"/>
  <c r="Z205" i="5"/>
  <c r="AA160" i="5"/>
  <c r="AK194" i="5"/>
  <c r="BJ22" i="24"/>
  <c r="AF143" i="5"/>
  <c r="X116" i="5"/>
  <c r="V60" i="5"/>
  <c r="BA14" i="24"/>
  <c r="AN132" i="5"/>
  <c r="W138" i="5"/>
  <c r="AM216" i="5"/>
  <c r="AN84" i="5"/>
  <c r="CJ18" i="24"/>
  <c r="AJ177" i="5"/>
  <c r="R157" i="5"/>
  <c r="AL93" i="5"/>
  <c r="AB93" i="5" s="1"/>
  <c r="T13" i="24"/>
  <c r="CE93" i="5"/>
  <c r="AC93" i="5"/>
  <c r="BX218" i="5"/>
  <c r="DU170" i="5"/>
  <c r="CD25" i="24"/>
  <c r="DH14" i="24"/>
  <c r="DT205" i="5"/>
  <c r="AN206" i="5"/>
  <c r="AH136" i="5"/>
  <c r="AR22" i="24"/>
  <c r="AF122" i="5"/>
  <c r="BK156" i="5"/>
  <c r="W193" i="5"/>
  <c r="AJ78" i="5"/>
  <c r="AA101" i="5"/>
  <c r="BW17" i="24"/>
  <c r="AK161" i="5"/>
  <c r="AL162" i="5"/>
  <c r="DU246" i="5"/>
  <c r="DF115" i="5"/>
  <c r="AH118" i="5"/>
  <c r="O20" i="24"/>
  <c r="AH85" i="5"/>
  <c r="CB23" i="24"/>
  <c r="AE168" i="5"/>
  <c r="DU88" i="5"/>
  <c r="DU87" i="5" s="1"/>
  <c r="Q25" i="24"/>
  <c r="DI87" i="5"/>
  <c r="AH158" i="5"/>
  <c r="CA156" i="5"/>
  <c r="AA166" i="5"/>
  <c r="AE96" i="5"/>
  <c r="AE134" i="5"/>
  <c r="AD166" i="5"/>
  <c r="CX15" i="24"/>
  <c r="AM195" i="5"/>
  <c r="AD184" i="5"/>
  <c r="I22" i="24"/>
  <c r="AF79" i="5"/>
  <c r="DS23" i="24"/>
  <c r="DK219" i="5"/>
  <c r="AE222" i="5"/>
  <c r="AL131" i="5"/>
  <c r="AB131" i="5" s="1"/>
  <c r="AZ13" i="24"/>
  <c r="CE131" i="5"/>
  <c r="AC131" i="5"/>
  <c r="CI17" i="24"/>
  <c r="AK176" i="5"/>
  <c r="AA106" i="5"/>
  <c r="DU105" i="5"/>
  <c r="AD25" i="24"/>
  <c r="DI104" i="5"/>
  <c r="AA20" i="5"/>
  <c r="DF15" i="24"/>
  <c r="AM203" i="5"/>
  <c r="AJ80" i="5"/>
  <c r="AK125" i="5"/>
  <c r="AF127" i="5"/>
  <c r="K19" i="24"/>
  <c r="AI81" i="5"/>
  <c r="DV21" i="24"/>
  <c r="AG226" i="5"/>
  <c r="AS24" i="24"/>
  <c r="AD123" i="5"/>
  <c r="AL226" i="5"/>
  <c r="AM208" i="5"/>
  <c r="BL115" i="5"/>
  <c r="AJ122" i="5"/>
  <c r="AY23" i="24"/>
  <c r="DK129" i="5"/>
  <c r="AA119" i="5"/>
  <c r="AI86" i="5"/>
  <c r="CF23" i="24"/>
  <c r="DK172" i="5"/>
  <c r="W18" i="24"/>
  <c r="AJ96" i="5"/>
  <c r="CL23" i="24"/>
  <c r="AE180" i="5"/>
  <c r="AL183" i="5"/>
  <c r="CR19" i="24"/>
  <c r="DO187" i="5"/>
  <c r="T104" i="5"/>
  <c r="CW20" i="24"/>
  <c r="DN193" i="5"/>
  <c r="AA125" i="5"/>
  <c r="DA15" i="24"/>
  <c r="AM198" i="5"/>
  <c r="AF197" i="5"/>
  <c r="AL143" i="5"/>
  <c r="BJ13" i="24"/>
  <c r="CE143" i="5"/>
  <c r="AC143" i="5"/>
  <c r="DL22" i="24"/>
  <c r="AF211" i="5"/>
  <c r="R21" i="24"/>
  <c r="DM90" i="5"/>
  <c r="AG91" i="5"/>
  <c r="DK18" i="24"/>
  <c r="DP209" i="5"/>
  <c r="AJ210" i="5"/>
  <c r="AI82" i="5"/>
  <c r="AH13" i="5"/>
  <c r="AH14" i="1"/>
  <c r="AH13" i="1" s="1"/>
  <c r="AA151" i="5"/>
  <c r="O150" i="5"/>
  <c r="AT21" i="24"/>
  <c r="AG124" i="5"/>
  <c r="DT241" i="5"/>
  <c r="EB14" i="24" s="1"/>
  <c r="W241" i="5"/>
  <c r="DE21" i="24"/>
  <c r="AG202" i="5"/>
  <c r="AJ212" i="5"/>
  <c r="DJ60" i="5"/>
  <c r="DG214" i="5"/>
  <c r="CY17" i="24"/>
  <c r="AK196" i="5"/>
  <c r="BQ104" i="5"/>
  <c r="AQ18" i="24"/>
  <c r="AJ121" i="5"/>
  <c r="AC20" i="24"/>
  <c r="AH102" i="5"/>
  <c r="AA102" i="5"/>
  <c r="BY23" i="24"/>
  <c r="DK164" i="5"/>
  <c r="AE165" i="5"/>
  <c r="DN13" i="5"/>
  <c r="DN6" i="5" s="1"/>
  <c r="U22" i="24"/>
  <c r="AF94" i="5"/>
  <c r="W38" i="5"/>
  <c r="AJ211" i="5"/>
  <c r="AJ91" i="5"/>
  <c r="R13" i="24"/>
  <c r="CE91" i="5"/>
  <c r="BS90" i="5"/>
  <c r="AC91" i="5"/>
  <c r="AG241" i="5"/>
  <c r="AA170" i="5"/>
  <c r="O76" i="5"/>
  <c r="AA77" i="5"/>
  <c r="BM13" i="24"/>
  <c r="CE147" i="5"/>
  <c r="BS146" i="5"/>
  <c r="AC147" i="5"/>
  <c r="DU63" i="5"/>
  <c r="R182" i="5"/>
  <c r="BX25" i="24"/>
  <c r="DU162" i="5"/>
  <c r="AM20" i="24"/>
  <c r="DN116" i="5"/>
  <c r="BQ116" i="5"/>
  <c r="O187" i="5"/>
  <c r="AA188" i="5"/>
  <c r="DU142" i="5"/>
  <c r="BI25" i="24"/>
  <c r="BT71" i="5"/>
  <c r="BT70" i="5"/>
  <c r="T60" i="5"/>
  <c r="AA108" i="5"/>
  <c r="BP23" i="24"/>
  <c r="DK150" i="5"/>
  <c r="AA198" i="5"/>
  <c r="DU128" i="5"/>
  <c r="AX25" i="24"/>
  <c r="CE62" i="5"/>
  <c r="AC62" i="5"/>
  <c r="AA192" i="5"/>
  <c r="AA109" i="5"/>
  <c r="CM22" i="24"/>
  <c r="AF181" i="5"/>
  <c r="DU243" i="5"/>
  <c r="CN14" i="24"/>
  <c r="DT182" i="5"/>
  <c r="CS13" i="24"/>
  <c r="CE189" i="5"/>
  <c r="AC189" i="5"/>
  <c r="AA144" i="5"/>
  <c r="BO75" i="5"/>
  <c r="BB22" i="24"/>
  <c r="DL133" i="5"/>
  <c r="CY115" i="5"/>
  <c r="AA224" i="5"/>
  <c r="O223" i="5"/>
  <c r="X13" i="24"/>
  <c r="CE97" i="5"/>
  <c r="AC97" i="5"/>
  <c r="AM87" i="5"/>
  <c r="AA100" i="5"/>
  <c r="AZ24" i="24"/>
  <c r="AD131" i="5"/>
  <c r="D19" i="24"/>
  <c r="CQ13" i="24"/>
  <c r="CE186" i="5"/>
  <c r="AC186" i="5"/>
  <c r="AA204" i="5"/>
  <c r="CK19" i="24"/>
  <c r="DO178" i="5"/>
  <c r="DU80" i="5"/>
  <c r="J25" i="24"/>
  <c r="BL43" i="5"/>
  <c r="BL47" i="5" s="1"/>
  <c r="BJ15" i="24"/>
  <c r="AM143" i="5"/>
  <c r="AA221" i="5"/>
  <c r="L25" i="24"/>
  <c r="DU82" i="5"/>
  <c r="BP218" i="5"/>
  <c r="AA62" i="5"/>
  <c r="AA174" i="5"/>
  <c r="BA24" i="24"/>
  <c r="AD132" i="5"/>
  <c r="DU20" i="24"/>
  <c r="AH225" i="5"/>
  <c r="DO13" i="24"/>
  <c r="CE215" i="5"/>
  <c r="BS214" i="5"/>
  <c r="AC215" i="5"/>
  <c r="CJ22" i="24"/>
  <c r="AF177" i="5"/>
  <c r="DU154" i="5"/>
  <c r="BS25" i="24"/>
  <c r="U133" i="5"/>
  <c r="T138" i="5"/>
  <c r="BY218" i="5"/>
  <c r="DH21" i="24"/>
  <c r="DM205" i="5"/>
  <c r="AG206" i="5"/>
  <c r="AA207" i="5"/>
  <c r="DU161" i="5"/>
  <c r="BW25" i="24"/>
  <c r="AI162" i="5"/>
  <c r="CA115" i="5"/>
  <c r="BF115" i="5"/>
  <c r="S27" i="5"/>
  <c r="AF14" i="24"/>
  <c r="AN107" i="5"/>
  <c r="DU224" i="5"/>
  <c r="DT25" i="24"/>
  <c r="DI223" i="5"/>
  <c r="S13" i="5"/>
  <c r="S6" i="5" s="1"/>
  <c r="O15" i="24"/>
  <c r="AM85" i="5"/>
  <c r="P150" i="5"/>
  <c r="AE128" i="5"/>
  <c r="Y214" i="5"/>
  <c r="BV75" i="5"/>
  <c r="BT17" i="24"/>
  <c r="DQ157" i="5"/>
  <c r="DW20" i="24"/>
  <c r="DN227" i="5"/>
  <c r="CG13" i="24"/>
  <c r="CE174" i="5"/>
  <c r="AC174" i="5"/>
  <c r="Q22" i="24"/>
  <c r="DL87" i="5"/>
  <c r="BY156" i="5"/>
  <c r="P38" i="5"/>
  <c r="AF134" i="5"/>
  <c r="U29" i="5"/>
  <c r="AH22" i="24"/>
  <c r="AF109" i="5"/>
  <c r="AA145" i="5"/>
  <c r="I19" i="24"/>
  <c r="AI79" i="5"/>
  <c r="DS17" i="24"/>
  <c r="DQ219" i="5"/>
  <c r="E13" i="23"/>
  <c r="DU64" i="5"/>
  <c r="DF19" i="24"/>
  <c r="AI203" i="5"/>
  <c r="AD13" i="24"/>
  <c r="CE105" i="5"/>
  <c r="BS104" i="5"/>
  <c r="AC105" i="5"/>
  <c r="DU207" i="5"/>
  <c r="DI25" i="24"/>
  <c r="BE16" i="24"/>
  <c r="AL137" i="5"/>
  <c r="AB137" i="5" s="1"/>
  <c r="U219" i="5"/>
  <c r="X241" i="5"/>
  <c r="BP58" i="5"/>
  <c r="BM20" i="24"/>
  <c r="DN146" i="5"/>
  <c r="AH154" i="5"/>
  <c r="AA40" i="5"/>
  <c r="CW156" i="5"/>
  <c r="CE13" i="24"/>
  <c r="CE171" i="5"/>
  <c r="AC171" i="5"/>
  <c r="AY22" i="24"/>
  <c r="DL129" i="5"/>
  <c r="AA84" i="5"/>
  <c r="W104" i="5"/>
  <c r="AA66" i="5"/>
  <c r="CZ115" i="5"/>
  <c r="CR25" i="24"/>
  <c r="DU188" i="5"/>
  <c r="DI187" i="5"/>
  <c r="CR13" i="24"/>
  <c r="CE188" i="5"/>
  <c r="BS187" i="5"/>
  <c r="AC188" i="5"/>
  <c r="AG20" i="24"/>
  <c r="AH108" i="5"/>
  <c r="DU167" i="5"/>
  <c r="CA25" i="24"/>
  <c r="DA14" i="24"/>
  <c r="AN198" i="5"/>
  <c r="AM229" i="5"/>
  <c r="DX13" i="24"/>
  <c r="CE229" i="5"/>
  <c r="AC229" i="5"/>
  <c r="AU20" i="24"/>
  <c r="AH125" i="5"/>
  <c r="AL176" i="5"/>
  <c r="W76" i="5"/>
  <c r="R14" i="24"/>
  <c r="DT90" i="5"/>
  <c r="AN91" i="5"/>
  <c r="DK21" i="24"/>
  <c r="DM209" i="5"/>
  <c r="CE15" i="5"/>
  <c r="AC15" i="5"/>
  <c r="S157" i="5"/>
  <c r="CC71" i="5"/>
  <c r="E3" i="24"/>
  <c r="AH190" i="5"/>
  <c r="DU242" i="5"/>
  <c r="DI241" i="5"/>
  <c r="P227" i="5"/>
  <c r="AH212" i="5"/>
  <c r="DM60" i="5"/>
  <c r="CY18" i="24"/>
  <c r="AJ196" i="5"/>
  <c r="U24" i="24"/>
  <c r="AD94" i="5"/>
  <c r="AE112" i="5"/>
  <c r="U58" i="5"/>
  <c r="BL19" i="24"/>
  <c r="AI145" i="5"/>
  <c r="AA120" i="5"/>
  <c r="BF22" i="24"/>
  <c r="DL138" i="5"/>
  <c r="V138" i="5"/>
  <c r="AM177" i="5"/>
  <c r="DU175" i="5"/>
  <c r="CH25" i="24"/>
  <c r="DU140" i="5"/>
  <c r="BG25" i="24"/>
  <c r="CF22" i="24"/>
  <c r="DL172" i="5"/>
  <c r="AO24" i="24"/>
  <c r="AD119" i="5"/>
  <c r="AA35" i="5"/>
  <c r="V178" i="5"/>
  <c r="AA186" i="5"/>
  <c r="AA94" i="5"/>
  <c r="Q157" i="5"/>
  <c r="CW19" i="24"/>
  <c r="DO193" i="5"/>
  <c r="T193" i="5"/>
  <c r="CU22" i="24"/>
  <c r="AF191" i="5"/>
  <c r="AW18" i="24"/>
  <c r="AJ127" i="5"/>
  <c r="BE58" i="5"/>
  <c r="S187" i="5"/>
  <c r="E7" i="24"/>
  <c r="R76" i="5"/>
  <c r="Q146" i="5"/>
  <c r="T223" i="5"/>
  <c r="S14" i="24"/>
  <c r="AN92" i="5"/>
  <c r="DL241" i="5"/>
  <c r="EB22" i="24" s="1"/>
  <c r="AA244" i="5"/>
  <c r="AA107" i="5"/>
  <c r="AI7" i="1"/>
  <c r="DA13" i="24"/>
  <c r="CE198" i="5"/>
  <c r="AC198" i="5"/>
  <c r="AQ22" i="24"/>
  <c r="AF121" i="5"/>
  <c r="BY16" i="24"/>
  <c r="DR164" i="5"/>
  <c r="DH164" i="5" s="1"/>
  <c r="DQ13" i="5"/>
  <c r="DQ6" i="5" s="1"/>
  <c r="AK14" i="5"/>
  <c r="Y13" i="5"/>
  <c r="Y6" i="5" s="1"/>
  <c r="DO18" i="24"/>
  <c r="DP214" i="5"/>
  <c r="S133" i="5"/>
  <c r="J71" i="1"/>
  <c r="AH241" i="5"/>
  <c r="AA98" i="5"/>
  <c r="DU199" i="5"/>
  <c r="DB25" i="24"/>
  <c r="AM16" i="24"/>
  <c r="DR116" i="5"/>
  <c r="DH116" i="5" s="1"/>
  <c r="T116" i="5"/>
  <c r="AJ60" i="5"/>
  <c r="DU151" i="5"/>
  <c r="BP25" i="24"/>
  <c r="DI150" i="5"/>
  <c r="DC25" i="24"/>
  <c r="DU200" i="5"/>
  <c r="DU181" i="5"/>
  <c r="CM25" i="24"/>
  <c r="CN22" i="24"/>
  <c r="DL182" i="5"/>
  <c r="AA185" i="5"/>
  <c r="Z146" i="5"/>
  <c r="BB17" i="24"/>
  <c r="DQ133" i="5"/>
  <c r="Z187" i="5"/>
  <c r="P60" i="5"/>
  <c r="Z209" i="5"/>
  <c r="AF97" i="5"/>
  <c r="AL22" i="24"/>
  <c r="AF113" i="5"/>
  <c r="Q187" i="5"/>
  <c r="V129" i="5"/>
  <c r="D22" i="24"/>
  <c r="CZ19" i="24"/>
  <c r="AI197" i="5"/>
  <c r="AA24" i="5"/>
  <c r="O27" i="5"/>
  <c r="CK23" i="24"/>
  <c r="DK178" i="5"/>
  <c r="CX70" i="5"/>
  <c r="R241" i="5"/>
  <c r="V58" i="5"/>
  <c r="AK22" i="24"/>
  <c r="AF112" i="5"/>
  <c r="R116" i="5"/>
  <c r="V157" i="5"/>
  <c r="DU16" i="24"/>
  <c r="AL225" i="5"/>
  <c r="AB225" i="5" s="1"/>
  <c r="AF111" i="5"/>
  <c r="Z116" i="5"/>
  <c r="DM19" i="24"/>
  <c r="AI212" i="5"/>
  <c r="AF93" i="5"/>
  <c r="DH19" i="24"/>
  <c r="DO205" i="5"/>
  <c r="AI206" i="5"/>
  <c r="AA65" i="5"/>
  <c r="AD136" i="5"/>
  <c r="AA78" i="5"/>
  <c r="DB13" i="24"/>
  <c r="CE199" i="5"/>
  <c r="AC199" i="5"/>
  <c r="BW115" i="5"/>
  <c r="U187" i="5"/>
  <c r="AL118" i="5"/>
  <c r="AB118" i="5" s="1"/>
  <c r="AN13" i="24"/>
  <c r="CE118" i="5"/>
  <c r="AC118" i="5"/>
  <c r="DT21" i="24"/>
  <c r="DM223" i="5"/>
  <c r="BQ13" i="5"/>
  <c r="CB19" i="24"/>
  <c r="AI168" i="5"/>
  <c r="DC13" i="24"/>
  <c r="CE200" i="5"/>
  <c r="AC200" i="5"/>
  <c r="BY75" i="5"/>
  <c r="BT19" i="24"/>
  <c r="DO157" i="5"/>
  <c r="DW22" i="24"/>
  <c r="DL227" i="5"/>
  <c r="AF228" i="5"/>
  <c r="DF70" i="5"/>
  <c r="DC218" i="5"/>
  <c r="CE244" i="5"/>
  <c r="AC244" i="5"/>
  <c r="Q15" i="24"/>
  <c r="DS87" i="5"/>
  <c r="CB156" i="5"/>
  <c r="S241" i="5"/>
  <c r="DB156" i="5"/>
  <c r="AD185" i="5"/>
  <c r="AF166" i="5"/>
  <c r="Q178" i="5"/>
  <c r="X209" i="5"/>
  <c r="AH17" i="24"/>
  <c r="AK109" i="5"/>
  <c r="DX20" i="24"/>
  <c r="AH229" i="5"/>
  <c r="AF131" i="5"/>
  <c r="BQ60" i="5"/>
  <c r="DG138" i="5"/>
  <c r="AD20" i="24"/>
  <c r="DN104" i="5"/>
  <c r="AL204" i="5"/>
  <c r="AB204" i="5" s="1"/>
  <c r="Q116" i="5"/>
  <c r="R60" i="5"/>
  <c r="DF24" i="24"/>
  <c r="AD203" i="5"/>
  <c r="AA149" i="5"/>
  <c r="CY13" i="24"/>
  <c r="CE196" i="5"/>
  <c r="AC196" i="5"/>
  <c r="DC43" i="5"/>
  <c r="AI132" i="5"/>
  <c r="X60" i="5"/>
  <c r="AB60" i="5" s="1"/>
  <c r="Y150" i="5"/>
  <c r="G24" i="24"/>
  <c r="DJ76" i="5"/>
  <c r="P87" i="5"/>
  <c r="AY17" i="24"/>
  <c r="DQ129" i="5"/>
  <c r="AG107" i="5"/>
  <c r="AL168" i="5"/>
  <c r="AB168" i="5" s="1"/>
  <c r="Z90" i="5"/>
  <c r="S58" i="5"/>
  <c r="DU245" i="5"/>
  <c r="R29" i="5"/>
  <c r="CF21" i="24"/>
  <c r="DM172" i="5"/>
  <c r="AA21" i="5"/>
  <c r="CV25" i="24"/>
  <c r="DU192" i="5"/>
  <c r="AH228" i="5"/>
  <c r="DB218" i="5"/>
  <c r="CW24" i="24"/>
  <c r="DJ193" i="5"/>
  <c r="AL108" i="5"/>
  <c r="AG13" i="24"/>
  <c r="CE108" i="5"/>
  <c r="AC108" i="5"/>
  <c r="AG197" i="5"/>
  <c r="Y27" i="5"/>
  <c r="AA212" i="5"/>
  <c r="R24" i="24"/>
  <c r="DJ90" i="5"/>
  <c r="T90" i="5"/>
  <c r="DK17" i="24"/>
  <c r="DQ209" i="5"/>
  <c r="Y241" i="5"/>
  <c r="AH207" i="5"/>
  <c r="AE82" i="5"/>
  <c r="AI13" i="5"/>
  <c r="AI6" i="5" s="1"/>
  <c r="AI14" i="1"/>
  <c r="AI13" i="1" s="1"/>
  <c r="E6" i="24"/>
  <c r="BM218" i="5"/>
  <c r="BH75" i="5"/>
  <c r="V172" i="5"/>
  <c r="DM241" i="5"/>
  <c r="EB21" i="24" s="1"/>
  <c r="DU202" i="5"/>
  <c r="DE25" i="24"/>
  <c r="BY15" i="24"/>
  <c r="DS164" i="5"/>
  <c r="DR13" i="5"/>
  <c r="DR6" i="5" s="1"/>
  <c r="AK13" i="24"/>
  <c r="CE112" i="5"/>
  <c r="AC112" i="5"/>
  <c r="BF17" i="24"/>
  <c r="DQ138" i="5"/>
  <c r="CV75" i="5"/>
  <c r="AU234" i="5"/>
  <c r="AU249" i="5"/>
  <c r="AU250" i="5" s="1"/>
  <c r="E230" i="1"/>
  <c r="E231" i="1" s="1"/>
  <c r="AJ241" i="5"/>
  <c r="BQ87" i="5"/>
  <c r="CE4" i="5"/>
  <c r="AC4" i="5"/>
  <c r="AM24" i="24"/>
  <c r="DJ116" i="5"/>
  <c r="DE13" i="24"/>
  <c r="CE202" i="5"/>
  <c r="AC202" i="5"/>
  <c r="AL60" i="5"/>
  <c r="CD70" i="5"/>
  <c r="CD71" i="5"/>
  <c r="BP15" i="24"/>
  <c r="DS150" i="5"/>
  <c r="W209" i="5"/>
  <c r="CM23" i="24"/>
  <c r="AE181" i="5"/>
  <c r="CN18" i="24"/>
  <c r="DP182" i="5"/>
  <c r="R13" i="5"/>
  <c r="R6" i="5" s="1"/>
  <c r="AA203" i="5"/>
  <c r="BB16" i="24"/>
  <c r="DR133" i="5"/>
  <c r="AA143" i="5"/>
  <c r="BF70" i="5"/>
  <c r="R90" i="5"/>
  <c r="AL14" i="24"/>
  <c r="AN113" i="5"/>
  <c r="D16" i="24"/>
  <c r="P90" i="5"/>
  <c r="CW13" i="24"/>
  <c r="CE194" i="5"/>
  <c r="BS193" i="5"/>
  <c r="AC194" i="5"/>
  <c r="CZ17" i="24"/>
  <c r="AK197" i="5"/>
  <c r="CK22" i="24"/>
  <c r="DL178" i="5"/>
  <c r="DN13" i="24"/>
  <c r="CE213" i="5"/>
  <c r="AC213" i="5"/>
  <c r="CW70" i="5"/>
  <c r="V209" i="5"/>
  <c r="BL58" i="5"/>
  <c r="E6" i="23"/>
  <c r="BL156" i="5"/>
  <c r="AA31" i="5"/>
  <c r="O29" i="5"/>
  <c r="BH13" i="24"/>
  <c r="CE141" i="5"/>
  <c r="AC141" i="5"/>
  <c r="T25" i="24"/>
  <c r="DU93" i="5"/>
  <c r="BP115" i="5"/>
  <c r="DM21" i="24"/>
  <c r="AG212" i="5"/>
  <c r="BS19" i="24"/>
  <c r="AI154" i="5"/>
  <c r="CD21" i="24"/>
  <c r="AG170" i="5"/>
  <c r="DH17" i="24"/>
  <c r="DQ205" i="5"/>
  <c r="AR16" i="24"/>
  <c r="AL122" i="5"/>
  <c r="AB122" i="5" s="1"/>
  <c r="BQ157" i="5"/>
  <c r="BW14" i="24"/>
  <c r="AN161" i="5"/>
  <c r="U172" i="5"/>
  <c r="BX115" i="5"/>
  <c r="DT19" i="24"/>
  <c r="DO223" i="5"/>
  <c r="AI224" i="5"/>
  <c r="DB70" i="5"/>
  <c r="AA175" i="5"/>
  <c r="DU244" i="5"/>
  <c r="BZ75" i="5"/>
  <c r="BT24" i="24"/>
  <c r="DJ157" i="5"/>
  <c r="DW17" i="24"/>
  <c r="DQ227" i="5"/>
  <c r="BG13" i="24"/>
  <c r="CE140" i="5"/>
  <c r="AC140" i="5"/>
  <c r="Q14" i="24"/>
  <c r="DT87" i="5"/>
  <c r="CC156" i="5"/>
  <c r="AM96" i="5"/>
  <c r="R209" i="5"/>
  <c r="AH160" i="5"/>
  <c r="AA137" i="5"/>
  <c r="AH14" i="24"/>
  <c r="AN109" i="5"/>
  <c r="CX18" i="24"/>
  <c r="AJ195" i="5"/>
  <c r="V164" i="5"/>
  <c r="AD14" i="24"/>
  <c r="DT104" i="5"/>
  <c r="AD204" i="5"/>
  <c r="AA32" i="5"/>
  <c r="BG115" i="5"/>
  <c r="U129" i="5"/>
  <c r="J13" i="24"/>
  <c r="CE80" i="5"/>
  <c r="AC80" i="5"/>
  <c r="S219" i="5"/>
  <c r="V90" i="5"/>
  <c r="AH81" i="5"/>
  <c r="AK132" i="5"/>
  <c r="BM23" i="24"/>
  <c r="DK146" i="5"/>
  <c r="BO115" i="5"/>
  <c r="BN70" i="5"/>
  <c r="BR70" i="5" s="1"/>
  <c r="BS13" i="24"/>
  <c r="CE154" i="5"/>
  <c r="AC154" i="5"/>
  <c r="AF170" i="5"/>
  <c r="G23" i="24"/>
  <c r="DK76" i="5"/>
  <c r="AA229" i="5"/>
  <c r="AY18" i="24"/>
  <c r="DP129" i="5"/>
  <c r="AA213" i="5"/>
  <c r="AG181" i="5"/>
  <c r="BN13" i="24"/>
  <c r="CE148" i="5"/>
  <c r="AC148" i="5"/>
  <c r="CF20" i="24"/>
  <c r="DN172" i="5"/>
  <c r="AF183" i="5"/>
  <c r="CR16" i="24"/>
  <c r="DR187" i="5"/>
  <c r="DH187" i="5" s="1"/>
  <c r="AL188" i="5"/>
  <c r="AB188" i="5" s="1"/>
  <c r="CW14" i="24"/>
  <c r="DT193" i="5"/>
  <c r="CW115" i="5"/>
  <c r="DU108" i="5"/>
  <c r="AG25" i="24"/>
  <c r="CX218" i="5"/>
  <c r="CA14" i="24"/>
  <c r="AN167" i="5"/>
  <c r="BQ38" i="5"/>
  <c r="AW16" i="24"/>
  <c r="AL127" i="5"/>
  <c r="AA34" i="5"/>
  <c r="R23" i="24"/>
  <c r="DK90" i="5"/>
  <c r="DK16" i="24"/>
  <c r="DR209" i="5"/>
  <c r="DH209" i="5" s="1"/>
  <c r="AL210" i="5"/>
  <c r="AB210" i="5" s="1"/>
  <c r="DJ22" i="24"/>
  <c r="AF208" i="5"/>
  <c r="AJ14" i="1"/>
  <c r="AJ13" i="1" s="1"/>
  <c r="AJ13" i="5"/>
  <c r="CA71" i="5"/>
  <c r="E5" i="24"/>
  <c r="DN241" i="5"/>
  <c r="EB20" i="24" s="1"/>
  <c r="T205" i="5"/>
  <c r="CU218" i="5"/>
  <c r="CW43" i="5"/>
  <c r="CW47" i="5" s="1"/>
  <c r="CW71" i="5" s="1"/>
  <c r="BY14" i="24"/>
  <c r="DT164" i="5"/>
  <c r="DO13" i="5"/>
  <c r="DO6" i="5" s="1"/>
  <c r="AA136" i="5"/>
  <c r="AJ25" i="24"/>
  <c r="DU111" i="5"/>
  <c r="AE211" i="5"/>
  <c r="AA179" i="5"/>
  <c r="O178" i="5"/>
  <c r="AD91" i="5"/>
  <c r="AG210" i="5"/>
  <c r="DK13" i="24"/>
  <c r="CE210" i="5"/>
  <c r="BS209" i="5"/>
  <c r="AC210" i="5"/>
  <c r="BL25" i="24"/>
  <c r="DU145" i="5"/>
  <c r="BF14" i="24"/>
  <c r="DT138" i="5"/>
  <c r="DU135" i="5"/>
  <c r="BC25" i="24"/>
  <c r="P187" i="5"/>
  <c r="AI177" i="5"/>
  <c r="CE242" i="5"/>
  <c r="BS241" i="5"/>
  <c r="EB13" i="24" s="1"/>
  <c r="AC242" i="5"/>
  <c r="AM15" i="24"/>
  <c r="DS116" i="5"/>
  <c r="U27" i="5"/>
  <c r="T164" i="5"/>
  <c r="BW70" i="5"/>
  <c r="AA132" i="5"/>
  <c r="BK13" i="24"/>
  <c r="CE144" i="5"/>
  <c r="AC144" i="5"/>
  <c r="BP22" i="24"/>
  <c r="DL150" i="5"/>
  <c r="AA200" i="5"/>
  <c r="CC13" i="24"/>
  <c r="CE169" i="5"/>
  <c r="AC169" i="5"/>
  <c r="P17" i="24"/>
  <c r="AK86" i="5"/>
  <c r="Y13" i="24"/>
  <c r="CE98" i="5"/>
  <c r="AC98" i="5"/>
  <c r="CN25" i="24"/>
  <c r="DU183" i="5"/>
  <c r="DI182" i="5"/>
  <c r="T172" i="5"/>
  <c r="T187" i="5"/>
  <c r="AY13" i="24"/>
  <c r="CE130" i="5"/>
  <c r="BS129" i="5"/>
  <c r="AC130" i="5"/>
  <c r="CE243" i="5"/>
  <c r="AC243" i="5"/>
  <c r="DU160" i="5"/>
  <c r="BV25" i="24"/>
  <c r="BB15" i="24"/>
  <c r="DS133" i="5"/>
  <c r="Q193" i="5"/>
  <c r="V104" i="5"/>
  <c r="AF87" i="5"/>
  <c r="D15" i="24"/>
  <c r="AM7" i="5"/>
  <c r="AF186" i="5"/>
  <c r="BJ218" i="5"/>
  <c r="AI194" i="5"/>
  <c r="BI115" i="5"/>
  <c r="CK21" i="24"/>
  <c r="DM178" i="5"/>
  <c r="J14" i="24"/>
  <c r="AN80" i="5"/>
  <c r="U205" i="5"/>
  <c r="BF43" i="5"/>
  <c r="BF47" i="5" s="1"/>
  <c r="L22" i="24"/>
  <c r="AF82" i="5"/>
  <c r="BE43" i="5"/>
  <c r="BE47" i="5" s="1"/>
  <c r="BL70" i="5"/>
  <c r="AJ215" i="5"/>
  <c r="S182" i="5"/>
  <c r="CJ17" i="24"/>
  <c r="AK177" i="5"/>
  <c r="BH156" i="5"/>
  <c r="DU4" i="5"/>
  <c r="AV13" i="24"/>
  <c r="CE126" i="5"/>
  <c r="AC126" i="5"/>
  <c r="AD93" i="5"/>
  <c r="E8" i="23"/>
  <c r="BU218" i="5"/>
  <c r="DH18" i="24"/>
  <c r="DP205" i="5"/>
  <c r="CU75" i="5"/>
  <c r="AE136" i="5"/>
  <c r="AR15" i="24"/>
  <c r="AM122" i="5"/>
  <c r="O157" i="5"/>
  <c r="AA158" i="5"/>
  <c r="CC115" i="5"/>
  <c r="DT18" i="24"/>
  <c r="DP223" i="5"/>
  <c r="Z223" i="5"/>
  <c r="DC70" i="5"/>
  <c r="CB21" i="24"/>
  <c r="AG168" i="5"/>
  <c r="AM151" i="5"/>
  <c r="S38" i="5"/>
  <c r="AA123" i="5"/>
  <c r="CA75" i="5"/>
  <c r="BT18" i="24"/>
  <c r="DP157" i="5"/>
  <c r="DW16" i="24"/>
  <c r="DR227" i="5"/>
  <c r="DH227" i="5" s="1"/>
  <c r="CE245" i="5"/>
  <c r="AC245" i="5"/>
  <c r="Q17" i="24"/>
  <c r="DQ87" i="5"/>
  <c r="AD158" i="5"/>
  <c r="CD156" i="5"/>
  <c r="BQ133" i="5"/>
  <c r="X13" i="5"/>
  <c r="X6" i="5" s="1"/>
  <c r="DE75" i="5"/>
  <c r="AE185" i="5"/>
  <c r="DU195" i="5"/>
  <c r="CX25" i="24"/>
  <c r="AE131" i="5"/>
  <c r="DU176" i="5"/>
  <c r="CI25" i="24"/>
  <c r="T150" i="5"/>
  <c r="AD24" i="24"/>
  <c r="DJ104" i="5"/>
  <c r="AD105" i="5"/>
  <c r="O227" i="5"/>
  <c r="AA228" i="5"/>
  <c r="P164" i="5"/>
  <c r="DU120" i="5"/>
  <c r="AP25" i="24"/>
  <c r="Y133" i="5"/>
  <c r="K23" i="24"/>
  <c r="AE81" i="5"/>
  <c r="DV17" i="24"/>
  <c r="AK226" i="5"/>
  <c r="BM22" i="24"/>
  <c r="DL146" i="5"/>
  <c r="X193" i="5"/>
  <c r="AH170" i="5"/>
  <c r="G17" i="24"/>
  <c r="DQ76" i="5"/>
  <c r="DU130" i="5"/>
  <c r="AY25" i="24"/>
  <c r="DI129" i="5"/>
  <c r="AL85" i="5"/>
  <c r="AB85" i="5" s="1"/>
  <c r="CB13" i="24"/>
  <c r="CE168" i="5"/>
  <c r="AC168" i="5"/>
  <c r="CV218" i="5"/>
  <c r="AA112" i="5"/>
  <c r="CR20" i="24"/>
  <c r="DN187" i="5"/>
  <c r="W129" i="5"/>
  <c r="X219" i="5"/>
  <c r="DG133" i="5"/>
  <c r="CW23" i="24"/>
  <c r="DK193" i="5"/>
  <c r="CU18" i="24"/>
  <c r="AJ191" i="5"/>
  <c r="P193" i="5"/>
  <c r="DA20" i="24"/>
  <c r="AH198" i="5"/>
  <c r="AN229" i="5"/>
  <c r="DU125" i="5"/>
  <c r="AU25" i="24"/>
  <c r="R22" i="24"/>
  <c r="DL90" i="5"/>
  <c r="DK15" i="24"/>
  <c r="DS209" i="5"/>
  <c r="DJ21" i="24"/>
  <c r="AG208" i="5"/>
  <c r="AL13" i="5"/>
  <c r="AL6" i="5" s="1"/>
  <c r="AL14" i="1"/>
  <c r="AL13" i="1" s="1"/>
  <c r="AA243" i="5"/>
  <c r="AT23" i="24"/>
  <c r="AE124" i="5"/>
  <c r="AA83" i="5"/>
  <c r="DN60" i="5"/>
  <c r="AK222" i="5"/>
  <c r="BX71" i="5"/>
  <c r="E8" i="24"/>
  <c r="R138" i="5"/>
  <c r="AQ16" i="24"/>
  <c r="AL121" i="5"/>
  <c r="AB121" i="5" s="1"/>
  <c r="U214" i="5"/>
  <c r="W187" i="5"/>
  <c r="BY18" i="24"/>
  <c r="DP164" i="5"/>
  <c r="AJ165" i="5"/>
  <c r="DJ13" i="5"/>
  <c r="DJ6" i="5" s="1"/>
  <c r="AD14" i="5"/>
  <c r="O209" i="5"/>
  <c r="AA210" i="5"/>
  <c r="DU94" i="5"/>
  <c r="U25" i="24"/>
  <c r="AH211" i="5"/>
  <c r="BQ178" i="5"/>
  <c r="AE91" i="5"/>
  <c r="DU83" i="5"/>
  <c r="M25" i="24"/>
  <c r="BF24" i="24"/>
  <c r="DJ138" i="5"/>
  <c r="AD139" i="5"/>
  <c r="BF218" i="5"/>
  <c r="V223" i="5"/>
  <c r="AN139" i="5"/>
  <c r="S172" i="5"/>
  <c r="BO70" i="5"/>
  <c r="V116" i="5"/>
  <c r="CV70" i="5"/>
  <c r="R219" i="5"/>
  <c r="DU147" i="5"/>
  <c r="BM25" i="24"/>
  <c r="DI146" i="5"/>
  <c r="BP43" i="5"/>
  <c r="BP47" i="5" s="1"/>
  <c r="AA44" i="5"/>
  <c r="G16" i="24"/>
  <c r="DR76" i="5"/>
  <c r="DH76" i="5" s="1"/>
  <c r="BP156" i="5"/>
  <c r="DU174" i="5"/>
  <c r="CG25" i="24"/>
  <c r="AY14" i="24"/>
  <c r="DT129" i="5"/>
  <c r="AA140" i="5"/>
  <c r="BI58" i="5"/>
  <c r="P133" i="5"/>
  <c r="CF19" i="24"/>
  <c r="DO172" i="5"/>
  <c r="Z164" i="5"/>
  <c r="DA70" i="5"/>
  <c r="CN13" i="24"/>
  <c r="CE183" i="5"/>
  <c r="BS182" i="5"/>
  <c r="AC183" i="5"/>
  <c r="CR14" i="24"/>
  <c r="DT187" i="5"/>
  <c r="BN218" i="5"/>
  <c r="CW21" i="24"/>
  <c r="DM193" i="5"/>
  <c r="AA208" i="5"/>
  <c r="AN188" i="5"/>
  <c r="S138" i="5"/>
  <c r="AA39" i="5"/>
  <c r="O38" i="5"/>
  <c r="AA124" i="5"/>
  <c r="U178" i="5"/>
  <c r="CZ13" i="24"/>
  <c r="CE197" i="5"/>
  <c r="AC197" i="5"/>
  <c r="DU127" i="5"/>
  <c r="AW25" i="24"/>
  <c r="DU15" i="5"/>
  <c r="DU211" i="5"/>
  <c r="DL25" i="24"/>
  <c r="R20" i="24"/>
  <c r="DN90" i="5"/>
  <c r="DU210" i="5"/>
  <c r="DK25" i="24"/>
  <c r="DI209" i="5"/>
  <c r="CE16" i="5"/>
  <c r="AC16" i="5"/>
  <c r="BI156" i="5"/>
  <c r="DJ25" i="24"/>
  <c r="DU208" i="5"/>
  <c r="R129" i="5"/>
  <c r="O138" i="5"/>
  <c r="AA139" i="5"/>
  <c r="DU124" i="5"/>
  <c r="AT25" i="24"/>
  <c r="X133" i="5"/>
  <c r="Y104" i="5"/>
  <c r="DK241" i="5"/>
  <c r="EB23" i="24" s="1"/>
  <c r="DR60" i="5"/>
  <c r="BE218" i="5"/>
  <c r="DS13" i="24"/>
  <c r="CE222" i="5"/>
  <c r="AC222" i="5"/>
  <c r="DU165" i="5"/>
  <c r="BY25" i="24"/>
  <c r="DI164" i="5"/>
  <c r="DK13" i="5"/>
  <c r="DK6" i="5" s="1"/>
  <c r="AL203" i="5"/>
  <c r="AB203" i="5" s="1"/>
  <c r="BQ209" i="5"/>
  <c r="AQ13" i="24"/>
  <c r="CE121" i="5"/>
  <c r="AC121" i="5"/>
  <c r="DO17" i="24"/>
  <c r="DQ214" i="5"/>
  <c r="DU190" i="5"/>
  <c r="CT25" i="24"/>
  <c r="AL211" i="5"/>
  <c r="AB211" i="5" s="1"/>
  <c r="BF15" i="24"/>
  <c r="DS138" i="5"/>
  <c r="BG218" i="5"/>
  <c r="DU169" i="5"/>
  <c r="CC25" i="24"/>
  <c r="DS15" i="24"/>
  <c r="DS219" i="5"/>
  <c r="V13" i="5"/>
  <c r="V6" i="5" s="1"/>
  <c r="CW218" i="5"/>
  <c r="AD16" i="24"/>
  <c r="DR104" i="5"/>
  <c r="DH104" i="5" s="1"/>
  <c r="AA36" i="5"/>
  <c r="DU203" i="5"/>
  <c r="DF25" i="24"/>
  <c r="R146" i="5"/>
  <c r="BQ193" i="5"/>
  <c r="BE13" i="24"/>
  <c r="CE137" i="5"/>
  <c r="AC137" i="5"/>
  <c r="BM17" i="24"/>
  <c r="DQ146" i="5"/>
  <c r="DU95" i="5"/>
  <c r="V25" i="24"/>
  <c r="W214" i="5"/>
  <c r="DH13" i="24"/>
  <c r="CE206" i="5"/>
  <c r="BS205" i="5"/>
  <c r="AC206" i="5"/>
  <c r="G20" i="24"/>
  <c r="DN76" i="5"/>
  <c r="BL75" i="5"/>
  <c r="AR13" i="24"/>
  <c r="CE122" i="5"/>
  <c r="AC122" i="5"/>
  <c r="AA99" i="5"/>
  <c r="DB115" i="5"/>
  <c r="AY21" i="24"/>
  <c r="DM129" i="5"/>
  <c r="Q60" i="5"/>
  <c r="O13" i="24"/>
  <c r="CE85" i="5"/>
  <c r="AC85" i="5"/>
  <c r="AA168" i="5"/>
  <c r="R104" i="5"/>
  <c r="AH148" i="5"/>
  <c r="Y157" i="5"/>
  <c r="CF14" i="24"/>
  <c r="DT172" i="5"/>
  <c r="X187" i="5"/>
  <c r="P223" i="5"/>
  <c r="S214" i="5"/>
  <c r="X157" i="5"/>
  <c r="CR23" i="24"/>
  <c r="DK187" i="5"/>
  <c r="AA141" i="5"/>
  <c r="CW15" i="24"/>
  <c r="DS193" i="5"/>
  <c r="CV43" i="5"/>
  <c r="CV47" i="5" s="1"/>
  <c r="CV71" i="5" s="1"/>
  <c r="CU13" i="24"/>
  <c r="CE191" i="5"/>
  <c r="AC191" i="5"/>
  <c r="BG58" i="5"/>
  <c r="AI229" i="5"/>
  <c r="DU91" i="5"/>
  <c r="R25" i="24"/>
  <c r="DI90" i="5"/>
  <c r="DK20" i="24"/>
  <c r="DN209" i="5"/>
  <c r="AA246" i="5"/>
  <c r="DG116" i="5"/>
  <c r="AM13" i="5"/>
  <c r="AM14" i="1"/>
  <c r="AM13" i="1" s="1"/>
  <c r="CE14" i="5"/>
  <c r="BS13" i="5"/>
  <c r="CE13" i="5" s="1"/>
  <c r="AC14" i="5"/>
  <c r="BQ150" i="5"/>
  <c r="Q129" i="5"/>
  <c r="DO241" i="5"/>
  <c r="EB19" i="24" s="1"/>
  <c r="P157" i="5"/>
  <c r="DK60" i="5"/>
  <c r="BJ43" i="5"/>
  <c r="BJ47" i="5" s="1"/>
  <c r="DU121" i="5"/>
  <c r="AQ25" i="24"/>
  <c r="DU102" i="5"/>
  <c r="AC25" i="24"/>
  <c r="BY22" i="24"/>
  <c r="DL164" i="5"/>
  <c r="DP13" i="5"/>
  <c r="DP6" i="5" s="1"/>
  <c r="DF13" i="24"/>
  <c r="CE203" i="5"/>
  <c r="AC203" i="5"/>
  <c r="DU215" i="5"/>
  <c r="DO25" i="24"/>
  <c r="DI214" i="5"/>
  <c r="U227" i="5"/>
  <c r="AM211" i="5"/>
  <c r="AH210" i="5"/>
  <c r="BK58" i="5"/>
  <c r="O214" i="5"/>
  <c r="AA215" i="5"/>
  <c r="BF21" i="24"/>
  <c r="DM138" i="5"/>
  <c r="DU159" i="5"/>
  <c r="BU25" i="24"/>
  <c r="CJ13" i="24"/>
  <c r="CE177" i="5"/>
  <c r="AC177" i="5"/>
  <c r="X76" i="5"/>
  <c r="V182" i="5"/>
  <c r="DU222" i="5"/>
  <c r="DU219" i="5" s="1"/>
  <c r="DS25" i="24"/>
  <c r="DI219" i="5"/>
  <c r="AD18" i="24"/>
  <c r="DP104" i="5"/>
  <c r="P104" i="5"/>
  <c r="V214" i="5"/>
  <c r="Z172" i="5"/>
  <c r="DG90" i="5"/>
  <c r="O193" i="5"/>
  <c r="AA194" i="5"/>
  <c r="Z60" i="5"/>
  <c r="AP13" i="24"/>
  <c r="CE120" i="5"/>
  <c r="AC120" i="5"/>
  <c r="DU81" i="5"/>
  <c r="K25" i="24"/>
  <c r="AA177" i="5"/>
  <c r="DU84" i="5"/>
  <c r="N25" i="24"/>
  <c r="AJ226" i="5"/>
  <c r="DG27" i="5"/>
  <c r="BM15" i="24"/>
  <c r="DS146" i="5"/>
  <c r="G19" i="24"/>
  <c r="DO76" i="5"/>
  <c r="V76" i="5"/>
  <c r="AA122" i="5"/>
  <c r="AY16" i="24"/>
  <c r="DR129" i="5"/>
  <c r="AA69" i="5"/>
  <c r="DU189" i="5"/>
  <c r="CS25" i="24"/>
  <c r="BG70" i="5"/>
  <c r="P138" i="5"/>
  <c r="CF18" i="24"/>
  <c r="DP172" i="5"/>
  <c r="DB75" i="5"/>
  <c r="CR22" i="24"/>
  <c r="DL187" i="5"/>
  <c r="Y76" i="5"/>
  <c r="CW18" i="24"/>
  <c r="DP193" i="5"/>
  <c r="AF188" i="5"/>
  <c r="AA197" i="5"/>
  <c r="DU213" i="5"/>
  <c r="DN25" i="24"/>
  <c r="AD79" i="5"/>
  <c r="CV115" i="5"/>
  <c r="CI13" i="24"/>
  <c r="CE176" i="5"/>
  <c r="AC176" i="5"/>
  <c r="DU16" i="5"/>
  <c r="R17" i="24"/>
  <c r="DQ90" i="5"/>
  <c r="DK19" i="24"/>
  <c r="DO209" i="5"/>
  <c r="AE207" i="5"/>
  <c r="CU115" i="5"/>
  <c r="DP241" i="5"/>
  <c r="EB18" i="24" s="1"/>
  <c r="DM13" i="24"/>
  <c r="CE212" i="5"/>
  <c r="AC212" i="5"/>
  <c r="DL60" i="5"/>
  <c r="T29" i="5"/>
  <c r="T178" i="5"/>
  <c r="BY21" i="24"/>
  <c r="DM164" i="5"/>
  <c r="DU14" i="5"/>
  <c r="DI13" i="5"/>
  <c r="W90" i="5"/>
  <c r="AA247" i="5"/>
  <c r="AD121" i="5"/>
  <c r="DO23" i="24"/>
  <c r="DK214" i="5"/>
  <c r="Z241" i="5"/>
  <c r="AA152" i="5"/>
  <c r="BF20" i="24"/>
  <c r="DN138" i="5"/>
  <c r="BK115" i="5"/>
  <c r="DS24" i="24"/>
  <c r="DJ219" i="5"/>
  <c r="X223" i="5"/>
  <c r="AA61" i="5"/>
  <c r="O60" i="5"/>
  <c r="AD15" i="24"/>
  <c r="DS104" i="5"/>
  <c r="X27" i="5"/>
  <c r="AA16" i="5"/>
  <c r="AW13" i="24"/>
  <c r="CE127" i="5"/>
  <c r="AC127" i="5"/>
  <c r="BP70" i="5"/>
  <c r="AA226" i="5"/>
  <c r="AD81" i="5"/>
  <c r="DU13" i="24"/>
  <c r="CE225" i="5"/>
  <c r="AC225" i="5"/>
  <c r="BM24" i="24"/>
  <c r="DJ146" i="5"/>
  <c r="DU149" i="5"/>
  <c r="BO25" i="24"/>
  <c r="Y116" i="5"/>
  <c r="AE13" i="24"/>
  <c r="CE106" i="5"/>
  <c r="AC106" i="5"/>
  <c r="G18" i="24"/>
  <c r="DP76" i="5"/>
  <c r="AA63" i="5"/>
  <c r="V193" i="5"/>
  <c r="X172" i="5"/>
  <c r="CE246" i="5"/>
  <c r="AC246" i="5"/>
  <c r="DU153" i="5"/>
  <c r="BR25" i="24"/>
  <c r="Q27" i="5"/>
  <c r="AY19" i="24"/>
  <c r="DO129" i="5"/>
  <c r="CF25" i="24"/>
  <c r="DU173" i="5"/>
  <c r="DI172" i="5"/>
  <c r="DU180" i="5"/>
  <c r="CL25" i="24"/>
  <c r="Y219" i="5"/>
  <c r="BN156" i="5"/>
  <c r="DW13" i="24"/>
  <c r="CE228" i="5"/>
  <c r="BS227" i="5"/>
  <c r="AC228" i="5"/>
  <c r="CR21" i="24"/>
  <c r="DM187" i="5"/>
  <c r="P27" i="5"/>
  <c r="AA190" i="5"/>
  <c r="DU186" i="5"/>
  <c r="CQ25" i="24"/>
  <c r="BG156" i="5"/>
  <c r="DU194" i="5"/>
  <c r="CW25" i="24"/>
  <c r="DI193" i="5"/>
  <c r="CU156" i="5"/>
  <c r="U90" i="5"/>
  <c r="O241" i="5"/>
  <c r="AA242" i="5"/>
  <c r="AI195" i="5"/>
  <c r="CX13" i="24"/>
  <c r="CE195" i="5"/>
  <c r="AC195" i="5"/>
  <c r="R16" i="24"/>
  <c r="DR90" i="5"/>
  <c r="DK14" i="24"/>
  <c r="DT209" i="5"/>
  <c r="AF207" i="5"/>
  <c r="AA162" i="5"/>
  <c r="V150" i="5"/>
  <c r="DU92" i="5"/>
  <c r="S25" i="24"/>
  <c r="DQ241" i="5"/>
  <c r="EB17" i="24" s="1"/>
  <c r="BF156" i="5"/>
  <c r="DP60" i="5"/>
  <c r="U150" i="5"/>
  <c r="AA127" i="5"/>
  <c r="BY20" i="24"/>
  <c r="DN164" i="5"/>
  <c r="DS13" i="5"/>
  <c r="DO22" i="24"/>
  <c r="DL214" i="5"/>
  <c r="DL13" i="24"/>
  <c r="CE211" i="5"/>
  <c r="AC211" i="5"/>
  <c r="BQ214" i="5"/>
  <c r="AV25" i="24"/>
  <c r="DU126" i="5"/>
  <c r="BF19" i="24"/>
  <c r="DO138" i="5"/>
  <c r="AA154" i="5"/>
  <c r="AA111" i="5"/>
  <c r="U116" i="5"/>
  <c r="BF13" i="24"/>
  <c r="CE139" i="5"/>
  <c r="BS138" i="5"/>
  <c r="AC139" i="5"/>
  <c r="AS234" i="4"/>
  <c r="M71" i="4"/>
  <c r="M72" i="4" s="1"/>
  <c r="AA236" i="1"/>
  <c r="ER58" i="6"/>
  <c r="V233" i="8"/>
  <c r="V234" i="8" s="1"/>
  <c r="V214" i="6"/>
  <c r="BL75" i="6"/>
  <c r="V129" i="6"/>
  <c r="DB218" i="6"/>
  <c r="V193" i="6"/>
  <c r="E78" i="23"/>
  <c r="D78" i="23" s="1"/>
  <c r="V87" i="6"/>
  <c r="V38" i="6"/>
  <c r="V209" i="6"/>
  <c r="E150" i="23"/>
  <c r="D150" i="23" s="1"/>
  <c r="E79" i="23"/>
  <c r="D79" i="23" s="1"/>
  <c r="E115" i="23"/>
  <c r="D115" i="23" s="1"/>
  <c r="E151" i="23"/>
  <c r="D151" i="23" s="1"/>
  <c r="CZ58" i="6"/>
  <c r="T227" i="6"/>
  <c r="T87" i="6"/>
  <c r="E152" i="23"/>
  <c r="D152" i="23" s="1"/>
  <c r="EP115" i="6"/>
  <c r="BJ218" i="6"/>
  <c r="T214" i="6"/>
  <c r="E80" i="23"/>
  <c r="D80" i="23" s="1"/>
  <c r="T38" i="6"/>
  <c r="T90" i="6"/>
  <c r="T172" i="6"/>
  <c r="T223" i="6"/>
  <c r="T178" i="6"/>
  <c r="BJ75" i="6"/>
  <c r="T205" i="6"/>
  <c r="CZ43" i="6"/>
  <c r="CZ47" i="6" s="1"/>
  <c r="E116" i="23"/>
  <c r="D116" i="23" s="1"/>
  <c r="S172" i="6"/>
  <c r="BI58" i="6"/>
  <c r="CY58" i="6"/>
  <c r="E81" i="23"/>
  <c r="D81" i="23" s="1"/>
  <c r="E153" i="23"/>
  <c r="D153" i="23" s="1"/>
  <c r="E154" i="23"/>
  <c r="D154" i="23" s="1"/>
  <c r="CX43" i="6"/>
  <c r="CX47" i="6" s="1"/>
  <c r="E118" i="23"/>
  <c r="D118" i="23" s="1"/>
  <c r="E82" i="23"/>
  <c r="D82" i="23" s="1"/>
  <c r="EL58" i="6"/>
  <c r="EL75" i="6"/>
  <c r="P146" i="6"/>
  <c r="P27" i="6"/>
  <c r="BF58" i="6"/>
  <c r="P182" i="6"/>
  <c r="E84" i="23"/>
  <c r="D84" i="23" s="1"/>
  <c r="CV43" i="6"/>
  <c r="CV47" i="6" s="1"/>
  <c r="E120" i="23"/>
  <c r="D120" i="23" s="1"/>
  <c r="E156" i="23"/>
  <c r="D156" i="23" s="1"/>
  <c r="P214" i="6"/>
  <c r="BE218" i="6"/>
  <c r="O233" i="8"/>
  <c r="E85" i="23"/>
  <c r="D85" i="23" s="1"/>
  <c r="AA71" i="8"/>
  <c r="AA72" i="8" s="1"/>
  <c r="E155" i="23"/>
  <c r="D155" i="23" s="1"/>
  <c r="BG218" i="6"/>
  <c r="Q27" i="6"/>
  <c r="BG58" i="6"/>
  <c r="Q219" i="6"/>
  <c r="E83" i="23"/>
  <c r="D83" i="23" s="1"/>
  <c r="E119" i="23"/>
  <c r="D119" i="23" s="1"/>
  <c r="Z187" i="6"/>
  <c r="Z227" i="6"/>
  <c r="Z219" i="6"/>
  <c r="Y150" i="6"/>
  <c r="EU43" i="6"/>
  <c r="EU47" i="6" s="1"/>
  <c r="Y76" i="6"/>
  <c r="Y157" i="6"/>
  <c r="EU58" i="6"/>
  <c r="DE58" i="6"/>
  <c r="Y104" i="6"/>
  <c r="Y182" i="6"/>
  <c r="X172" i="6"/>
  <c r="ET218" i="6"/>
  <c r="ET75" i="6"/>
  <c r="BN75" i="6"/>
  <c r="X234" i="8"/>
  <c r="AB234" i="8" s="1"/>
  <c r="X249" i="8"/>
  <c r="X223" i="6"/>
  <c r="ES156" i="6"/>
  <c r="W164" i="6"/>
  <c r="W178" i="6"/>
  <c r="W116" i="6"/>
  <c r="W38" i="6"/>
  <c r="DC115" i="6"/>
  <c r="W172" i="6"/>
  <c r="ER75" i="6"/>
  <c r="BL115" i="6"/>
  <c r="T116" i="6"/>
  <c r="T234" i="8"/>
  <c r="T249" i="8"/>
  <c r="T250" i="8" s="1"/>
  <c r="S193" i="6"/>
  <c r="S133" i="6"/>
  <c r="S219" i="6"/>
  <c r="S60" i="6"/>
  <c r="S187" i="6"/>
  <c r="S104" i="6"/>
  <c r="S138" i="6"/>
  <c r="EO218" i="6"/>
  <c r="Q182" i="6"/>
  <c r="Q150" i="6"/>
  <c r="CW43" i="6"/>
  <c r="CW47" i="6" s="1"/>
  <c r="EM75" i="6"/>
  <c r="P60" i="6"/>
  <c r="P172" i="6"/>
  <c r="EL43" i="6"/>
  <c r="EL47" i="6" s="1"/>
  <c r="P87" i="6"/>
  <c r="AA245" i="6"/>
  <c r="P187" i="6"/>
  <c r="CU43" i="6"/>
  <c r="CU47" i="6" s="1"/>
  <c r="BE43" i="6"/>
  <c r="BE47" i="6" s="1"/>
  <c r="R205" i="6"/>
  <c r="AA122" i="6"/>
  <c r="R223" i="6"/>
  <c r="R178" i="6"/>
  <c r="R231" i="8"/>
  <c r="AA135" i="6"/>
  <c r="EN156" i="6"/>
  <c r="R129" i="6"/>
  <c r="R219" i="6"/>
  <c r="R164" i="6"/>
  <c r="R87" i="6"/>
  <c r="R241" i="6"/>
  <c r="R90" i="6"/>
  <c r="U87" i="6"/>
  <c r="U38" i="6"/>
  <c r="D71" i="1"/>
  <c r="D72" i="1" s="1"/>
  <c r="BL58" i="6"/>
  <c r="BN58" i="6"/>
  <c r="BR58" i="6" s="1"/>
  <c r="BE58" i="6"/>
  <c r="EO58" i="6"/>
  <c r="Y57" i="6"/>
  <c r="Z54" i="6"/>
  <c r="Q54" i="6"/>
  <c r="R234" i="8"/>
  <c r="R249" i="8"/>
  <c r="R250" i="8" s="1"/>
  <c r="Q234" i="8"/>
  <c r="Q249" i="8"/>
  <c r="Q250" i="8" s="1"/>
  <c r="EW133" i="6"/>
  <c r="AA137" i="6"/>
  <c r="DG87" i="6"/>
  <c r="BK43" i="6"/>
  <c r="BK47" i="6" s="1"/>
  <c r="AA89" i="6"/>
  <c r="U29" i="6"/>
  <c r="BQ178" i="6"/>
  <c r="BQ13" i="6"/>
  <c r="AA85" i="6"/>
  <c r="AA62" i="6"/>
  <c r="EW157" i="6"/>
  <c r="U150" i="6"/>
  <c r="AA113" i="6"/>
  <c r="U57" i="6"/>
  <c r="U219" i="6"/>
  <c r="BK58" i="6"/>
  <c r="U13" i="6"/>
  <c r="U6" i="6" s="1"/>
  <c r="AA230" i="8"/>
  <c r="AA231" i="8" s="1"/>
  <c r="DG178" i="6"/>
  <c r="AA19" i="6"/>
  <c r="DG205" i="6"/>
  <c r="AA67" i="6"/>
  <c r="BQ27" i="6"/>
  <c r="DA218" i="6"/>
  <c r="AA112" i="6"/>
  <c r="DG133" i="6"/>
  <c r="U182" i="6"/>
  <c r="DG129" i="6"/>
  <c r="AA222" i="6"/>
  <c r="EW227" i="6"/>
  <c r="DG54" i="6"/>
  <c r="BQ172" i="6"/>
  <c r="AA36" i="6"/>
  <c r="BQ38" i="6"/>
  <c r="U227" i="6"/>
  <c r="AA45" i="6"/>
  <c r="DG146" i="6"/>
  <c r="DG27" i="6"/>
  <c r="DG57" i="6"/>
  <c r="EQ218" i="6"/>
  <c r="U233" i="8"/>
  <c r="EW129" i="6"/>
  <c r="BQ205" i="6"/>
  <c r="DG150" i="6"/>
  <c r="AA142" i="6"/>
  <c r="AA145" i="6"/>
  <c r="DG172" i="6"/>
  <c r="DG38" i="6"/>
  <c r="U146" i="6"/>
  <c r="EQ43" i="6"/>
  <c r="EQ47" i="6" s="1"/>
  <c r="H230" i="1"/>
  <c r="H231" i="1" s="1"/>
  <c r="M218" i="1"/>
  <c r="M156" i="1"/>
  <c r="M43" i="1"/>
  <c r="M47" i="1" s="1"/>
  <c r="A71" i="1"/>
  <c r="A72" i="1" s="1"/>
  <c r="M43" i="7"/>
  <c r="M47" i="7" s="1"/>
  <c r="CL250" i="4"/>
  <c r="CL234" i="4"/>
  <c r="CP234" i="4"/>
  <c r="CP250" i="4"/>
  <c r="J230" i="6"/>
  <c r="J231" i="6" s="1"/>
  <c r="D71" i="6"/>
  <c r="D72" i="6" s="1"/>
  <c r="EW6" i="6"/>
  <c r="R209" i="6"/>
  <c r="R116" i="6"/>
  <c r="P205" i="6"/>
  <c r="R104" i="6"/>
  <c r="EW138" i="6"/>
  <c r="BQ138" i="6"/>
  <c r="BH156" i="6"/>
  <c r="DG164" i="6"/>
  <c r="EU156" i="6"/>
  <c r="AA229" i="6"/>
  <c r="AA51" i="6"/>
  <c r="O54" i="6"/>
  <c r="AA93" i="6"/>
  <c r="Z104" i="6"/>
  <c r="S27" i="6"/>
  <c r="AA35" i="6"/>
  <c r="DG116" i="6"/>
  <c r="AA111" i="6"/>
  <c r="BQ133" i="6"/>
  <c r="EQ156" i="6"/>
  <c r="DG182" i="6"/>
  <c r="EW241" i="6"/>
  <c r="Z241" i="6"/>
  <c r="AA246" i="6"/>
  <c r="Y54" i="6"/>
  <c r="W57" i="6"/>
  <c r="Q146" i="6"/>
  <c r="O193" i="6"/>
  <c r="Y193" i="6"/>
  <c r="EW205" i="6"/>
  <c r="Z205" i="6"/>
  <c r="CV218" i="6"/>
  <c r="T219" i="6"/>
  <c r="Z138" i="6"/>
  <c r="BO115" i="6"/>
  <c r="X27" i="6"/>
  <c r="Y29" i="6"/>
  <c r="BI75" i="6"/>
  <c r="EL115" i="6"/>
  <c r="CX115" i="6"/>
  <c r="BP115" i="6"/>
  <c r="AA162" i="6"/>
  <c r="AA68" i="6"/>
  <c r="Q187" i="6"/>
  <c r="O182" i="6"/>
  <c r="AA97" i="6"/>
  <c r="BQ146" i="6"/>
  <c r="Q205" i="6"/>
  <c r="U138" i="6"/>
  <c r="EO156" i="6"/>
  <c r="BG156" i="6"/>
  <c r="P29" i="6"/>
  <c r="U116" i="6"/>
  <c r="O52" i="4"/>
  <c r="BQ52" i="4"/>
  <c r="EW54" i="6"/>
  <c r="O57" i="6"/>
  <c r="AA55" i="6"/>
  <c r="DE156" i="6"/>
  <c r="O87" i="6"/>
  <c r="AA88" i="6"/>
  <c r="O90" i="6"/>
  <c r="AA91" i="6"/>
  <c r="W54" i="6"/>
  <c r="CV156" i="6"/>
  <c r="BI43" i="6"/>
  <c r="BI47" i="6" s="1"/>
  <c r="EW38" i="6"/>
  <c r="T60" i="6"/>
  <c r="Y90" i="6"/>
  <c r="S178" i="6"/>
  <c r="EM156" i="6"/>
  <c r="X187" i="6"/>
  <c r="S241" i="6"/>
  <c r="X13" i="6"/>
  <c r="X6" i="6" s="1"/>
  <c r="CU58" i="6"/>
  <c r="S209" i="6"/>
  <c r="CY218" i="6"/>
  <c r="DG104" i="6"/>
  <c r="T104" i="6"/>
  <c r="T138" i="6"/>
  <c r="CZ156" i="6"/>
  <c r="BM156" i="6"/>
  <c r="CY43" i="6"/>
  <c r="CY47" i="6" s="1"/>
  <c r="Z29" i="6"/>
  <c r="AA41" i="6"/>
  <c r="CW75" i="6"/>
  <c r="EN115" i="6"/>
  <c r="DF115" i="6"/>
  <c r="BQ116" i="6"/>
  <c r="BH115" i="6"/>
  <c r="DG223" i="6"/>
  <c r="U223" i="6"/>
  <c r="Z38" i="6"/>
  <c r="Z129" i="6"/>
  <c r="EW187" i="6"/>
  <c r="AA21" i="6"/>
  <c r="AA80" i="6"/>
  <c r="EK156" i="6"/>
  <c r="S205" i="6"/>
  <c r="Z157" i="6"/>
  <c r="T27" i="6"/>
  <c r="DB43" i="6"/>
  <c r="DB47" i="6" s="1"/>
  <c r="DE115" i="6"/>
  <c r="V223" i="6"/>
  <c r="V150" i="6"/>
  <c r="Q38" i="6"/>
  <c r="EU70" i="6"/>
  <c r="BQ60" i="6"/>
  <c r="BQ87" i="6"/>
  <c r="P90" i="6"/>
  <c r="BH75" i="6"/>
  <c r="AA107" i="6"/>
  <c r="T129" i="6"/>
  <c r="T133" i="6"/>
  <c r="O187" i="6"/>
  <c r="R187" i="6"/>
  <c r="R227" i="6"/>
  <c r="V182" i="6"/>
  <c r="R214" i="6"/>
  <c r="O241" i="6"/>
  <c r="AA242" i="6"/>
  <c r="Y241" i="6"/>
  <c r="AA34" i="6"/>
  <c r="EM58" i="6"/>
  <c r="X54" i="6"/>
  <c r="AB54" i="6" s="1"/>
  <c r="Q57" i="6"/>
  <c r="AA109" i="6"/>
  <c r="BF156" i="6"/>
  <c r="X193" i="6"/>
  <c r="U205" i="6"/>
  <c r="ES218" i="6"/>
  <c r="EL218" i="6"/>
  <c r="CZ218" i="6"/>
  <c r="BH218" i="6"/>
  <c r="AA26" i="6"/>
  <c r="P104" i="6"/>
  <c r="O138" i="6"/>
  <c r="AA139" i="6"/>
  <c r="Q138" i="6"/>
  <c r="ET156" i="6"/>
  <c r="X157" i="6"/>
  <c r="ER43" i="6"/>
  <c r="ER47" i="6" s="1"/>
  <c r="V29" i="6"/>
  <c r="EO75" i="6"/>
  <c r="X76" i="6"/>
  <c r="BM75" i="6"/>
  <c r="AA101" i="6"/>
  <c r="EO115" i="6"/>
  <c r="DD115" i="6"/>
  <c r="S164" i="6"/>
  <c r="O223" i="6"/>
  <c r="Z60" i="6"/>
  <c r="W129" i="6"/>
  <c r="P227" i="6"/>
  <c r="EW214" i="6"/>
  <c r="AA119" i="6"/>
  <c r="X57" i="6"/>
  <c r="AA69" i="6"/>
  <c r="AA132" i="6"/>
  <c r="R146" i="6"/>
  <c r="BN156" i="6"/>
  <c r="BR156" i="6" s="1"/>
  <c r="V205" i="6"/>
  <c r="EW219" i="6"/>
  <c r="BK218" i="6"/>
  <c r="X104" i="6"/>
  <c r="P157" i="6"/>
  <c r="DC43" i="6"/>
  <c r="Q29" i="6"/>
  <c r="CU115" i="6"/>
  <c r="BI115" i="6"/>
  <c r="U164" i="6"/>
  <c r="O150" i="6"/>
  <c r="AA151" i="6"/>
  <c r="R150" i="6"/>
  <c r="AA46" i="6"/>
  <c r="DG60" i="6"/>
  <c r="AA78" i="6"/>
  <c r="DC75" i="6"/>
  <c r="CZ75" i="6"/>
  <c r="P129" i="6"/>
  <c r="U133" i="6"/>
  <c r="U178" i="6"/>
  <c r="U187" i="6"/>
  <c r="BQ227" i="6"/>
  <c r="R182" i="6"/>
  <c r="O214" i="6"/>
  <c r="AA215" i="6"/>
  <c r="Q214" i="6"/>
  <c r="P241" i="6"/>
  <c r="AA53" i="6"/>
  <c r="W13" i="6"/>
  <c r="W6" i="6" s="1"/>
  <c r="Y13" i="6"/>
  <c r="Y6" i="6" s="1"/>
  <c r="ES58" i="6"/>
  <c r="DC58" i="6"/>
  <c r="DA58" i="6"/>
  <c r="BJ58" i="6"/>
  <c r="R54" i="6"/>
  <c r="BO58" i="6"/>
  <c r="V146" i="6"/>
  <c r="T193" i="6"/>
  <c r="W205" i="6"/>
  <c r="U209" i="6"/>
  <c r="BO218" i="6"/>
  <c r="DB156" i="6"/>
  <c r="AA158" i="6"/>
  <c r="O157" i="6"/>
  <c r="U157" i="6"/>
  <c r="AA15" i="6"/>
  <c r="U27" i="6"/>
  <c r="ES43" i="6"/>
  <c r="DA43" i="6"/>
  <c r="DA47" i="6" s="1"/>
  <c r="O29" i="6"/>
  <c r="AA31" i="6"/>
  <c r="R29" i="6"/>
  <c r="EW76" i="6"/>
  <c r="EN75" i="6"/>
  <c r="DE75" i="6"/>
  <c r="V76" i="6"/>
  <c r="BO75" i="6"/>
  <c r="EW116" i="6"/>
  <c r="AA144" i="6"/>
  <c r="O164" i="6"/>
  <c r="AA165" i="6"/>
  <c r="Y164" i="6"/>
  <c r="AA207" i="6"/>
  <c r="Y223" i="6"/>
  <c r="EW150" i="6"/>
  <c r="Y38" i="6"/>
  <c r="EV70" i="6"/>
  <c r="AA118" i="6"/>
  <c r="AA208" i="6"/>
  <c r="Q13" i="6"/>
  <c r="Q6" i="6" s="1"/>
  <c r="CW58" i="6"/>
  <c r="X205" i="6"/>
  <c r="BP218" i="6"/>
  <c r="X138" i="6"/>
  <c r="DF75" i="6"/>
  <c r="BQ76" i="6"/>
  <c r="X116" i="6"/>
  <c r="BK115" i="6"/>
  <c r="Q193" i="6"/>
  <c r="BL218" i="6"/>
  <c r="O116" i="6"/>
  <c r="AA117" i="6"/>
  <c r="O129" i="6"/>
  <c r="AA130" i="6"/>
  <c r="T209" i="6"/>
  <c r="EV156" i="6"/>
  <c r="W76" i="6"/>
  <c r="CW115" i="6"/>
  <c r="AO6" i="6"/>
  <c r="S129" i="6"/>
  <c r="AA124" i="6"/>
  <c r="AA86" i="6"/>
  <c r="X150" i="6"/>
  <c r="AA25" i="6"/>
  <c r="AA32" i="6"/>
  <c r="S38" i="6"/>
  <c r="AA52" i="6"/>
  <c r="Q60" i="6"/>
  <c r="V90" i="6"/>
  <c r="X129" i="6"/>
  <c r="Y187" i="6"/>
  <c r="Y227" i="6"/>
  <c r="Z182" i="6"/>
  <c r="DG214" i="6"/>
  <c r="AA123" i="6"/>
  <c r="O13" i="6"/>
  <c r="AA14" i="6"/>
  <c r="Z13" i="6"/>
  <c r="Z6" i="6" s="1"/>
  <c r="EP58" i="6"/>
  <c r="BQ57" i="6"/>
  <c r="AA100" i="6"/>
  <c r="AA136" i="6"/>
  <c r="EW146" i="6"/>
  <c r="AA149" i="6"/>
  <c r="W193" i="6"/>
  <c r="O205" i="6"/>
  <c r="AA206" i="6"/>
  <c r="X209" i="6"/>
  <c r="BM218" i="6"/>
  <c r="AA20" i="6"/>
  <c r="Q104" i="6"/>
  <c r="V157" i="6"/>
  <c r="BO156" i="6"/>
  <c r="EP43" i="6"/>
  <c r="EP47" i="6" s="1"/>
  <c r="EM43" i="6"/>
  <c r="EM47" i="6" s="1"/>
  <c r="W29" i="6"/>
  <c r="ES75" i="6"/>
  <c r="U76" i="6"/>
  <c r="AA98" i="6"/>
  <c r="BJ115" i="6"/>
  <c r="DD156" i="6"/>
  <c r="Q164" i="6"/>
  <c r="EM218" i="6"/>
  <c r="S223" i="6"/>
  <c r="W187" i="6"/>
  <c r="W241" i="6"/>
  <c r="DG6" i="6"/>
  <c r="EW193" i="6"/>
  <c r="P193" i="6"/>
  <c r="CW218" i="6"/>
  <c r="V138" i="6"/>
  <c r="DD43" i="6"/>
  <c r="DA75" i="6"/>
  <c r="Z164" i="6"/>
  <c r="AA221" i="6"/>
  <c r="AA92" i="6"/>
  <c r="S150" i="6"/>
  <c r="O38" i="6"/>
  <c r="AA39" i="6"/>
  <c r="R38" i="6"/>
  <c r="AA42" i="6"/>
  <c r="BQ90" i="6"/>
  <c r="AA126" i="6"/>
  <c r="Y133" i="6"/>
  <c r="AA148" i="6"/>
  <c r="O178" i="6"/>
  <c r="Y178" i="6"/>
  <c r="T187" i="6"/>
  <c r="W182" i="6"/>
  <c r="S214" i="6"/>
  <c r="T241" i="6"/>
  <c r="BQ241" i="6"/>
  <c r="AA96" i="6"/>
  <c r="DG13" i="6"/>
  <c r="DD58" i="6"/>
  <c r="DH58" i="6" s="1"/>
  <c r="AA63" i="6"/>
  <c r="AA83" i="6"/>
  <c r="AA140" i="6"/>
  <c r="Z146" i="6"/>
  <c r="Q172" i="6"/>
  <c r="BQ209" i="6"/>
  <c r="P138" i="6"/>
  <c r="DG157" i="6"/>
  <c r="BI156" i="6"/>
  <c r="AA161" i="6"/>
  <c r="S29" i="6"/>
  <c r="BL43" i="6"/>
  <c r="BL47" i="6" s="1"/>
  <c r="CY75" i="6"/>
  <c r="CV75" i="6"/>
  <c r="AA81" i="6"/>
  <c r="AA106" i="6"/>
  <c r="EU115" i="6"/>
  <c r="ET115" i="6"/>
  <c r="DB115" i="6"/>
  <c r="P116" i="6"/>
  <c r="X164" i="6"/>
  <c r="P223" i="6"/>
  <c r="BQ223" i="6"/>
  <c r="EW90" i="6"/>
  <c r="AA102" i="6"/>
  <c r="Q133" i="6"/>
  <c r="Z214" i="6"/>
  <c r="DG227" i="6"/>
  <c r="DB58" i="6"/>
  <c r="BQ54" i="6"/>
  <c r="T146" i="6"/>
  <c r="EP156" i="6"/>
  <c r="W209" i="6"/>
  <c r="EK218" i="6"/>
  <c r="AA247" i="6"/>
  <c r="ES115" i="6"/>
  <c r="W138" i="6"/>
  <c r="P76" i="6"/>
  <c r="EV115" i="6"/>
  <c r="P164" i="6"/>
  <c r="P150" i="6"/>
  <c r="BQ150" i="6"/>
  <c r="AA44" i="6"/>
  <c r="AA82" i="6"/>
  <c r="EW87" i="6"/>
  <c r="Q129" i="6"/>
  <c r="O133" i="6"/>
  <c r="AA134" i="6"/>
  <c r="R133" i="6"/>
  <c r="Z178" i="6"/>
  <c r="O227" i="6"/>
  <c r="AA228" i="6"/>
  <c r="S182" i="6"/>
  <c r="BE6" i="6"/>
  <c r="BQ6" i="6" s="1"/>
  <c r="P13" i="6"/>
  <c r="P6" i="6" s="1"/>
  <c r="R13" i="6"/>
  <c r="R6" i="6" s="1"/>
  <c r="S54" i="6"/>
  <c r="BH58" i="6"/>
  <c r="EW57" i="6"/>
  <c r="S146" i="6"/>
  <c r="AA159" i="6"/>
  <c r="EW209" i="6"/>
  <c r="Z209" i="6"/>
  <c r="AA40" i="6"/>
  <c r="DG138" i="6"/>
  <c r="ER156" i="6"/>
  <c r="EL156" i="6"/>
  <c r="T157" i="6"/>
  <c r="BQ157" i="6"/>
  <c r="BK156" i="6"/>
  <c r="AA170" i="6"/>
  <c r="Z27" i="6"/>
  <c r="T29" i="6"/>
  <c r="BQ29" i="6"/>
  <c r="BH43" i="6"/>
  <c r="BH47" i="6" s="1"/>
  <c r="AA56" i="6"/>
  <c r="EK75" i="6"/>
  <c r="CU75" i="6"/>
  <c r="S76" i="6"/>
  <c r="AA110" i="6"/>
  <c r="EK115" i="6"/>
  <c r="CY115" i="6"/>
  <c r="CV115" i="6"/>
  <c r="BM115" i="6"/>
  <c r="Q116" i="6"/>
  <c r="AA153" i="6"/>
  <c r="T164" i="6"/>
  <c r="BQ164" i="6"/>
  <c r="AA169" i="6"/>
  <c r="EP218" i="6"/>
  <c r="Z223" i="6"/>
  <c r="AA244" i="6"/>
  <c r="AA131" i="6"/>
  <c r="X38" i="6"/>
  <c r="X60" i="6"/>
  <c r="Q87" i="6"/>
  <c r="Q90" i="6"/>
  <c r="BQ182" i="6"/>
  <c r="U214" i="6"/>
  <c r="AA33" i="6"/>
  <c r="U54" i="6"/>
  <c r="Z193" i="6"/>
  <c r="W104" i="6"/>
  <c r="CX156" i="6"/>
  <c r="BF43" i="6"/>
  <c r="BF47" i="6" s="1"/>
  <c r="BN115" i="6"/>
  <c r="BR115" i="6" s="1"/>
  <c r="P54" i="6"/>
  <c r="R76" i="6"/>
  <c r="AA216" i="6"/>
  <c r="AA105" i="6"/>
  <c r="O104" i="6"/>
  <c r="S157" i="6"/>
  <c r="CZ115" i="6"/>
  <c r="AA141" i="6"/>
  <c r="EI233" i="4"/>
  <c r="T57" i="6"/>
  <c r="BJ156" i="6"/>
  <c r="M43" i="6"/>
  <c r="M47" i="6" s="1"/>
  <c r="CS233" i="4"/>
  <c r="AA16" i="6"/>
  <c r="AA79" i="6"/>
  <c r="V60" i="6"/>
  <c r="DG90" i="6"/>
  <c r="S90" i="6"/>
  <c r="U129" i="6"/>
  <c r="V187" i="6"/>
  <c r="V227" i="6"/>
  <c r="EW182" i="6"/>
  <c r="DG241" i="6"/>
  <c r="EN58" i="6"/>
  <c r="O172" i="6"/>
  <c r="U172" i="6"/>
  <c r="DG209" i="6"/>
  <c r="EU218" i="6"/>
  <c r="V219" i="6"/>
  <c r="AA99" i="6"/>
  <c r="V104" i="6"/>
  <c r="R138" i="6"/>
  <c r="CY156" i="6"/>
  <c r="W157" i="6"/>
  <c r="BL156" i="6"/>
  <c r="O27" i="6"/>
  <c r="AA24" i="6"/>
  <c r="R27" i="6"/>
  <c r="EW29" i="6"/>
  <c r="EQ75" i="6"/>
  <c r="DB75" i="6"/>
  <c r="Q76" i="6"/>
  <c r="BK75" i="6"/>
  <c r="AA94" i="6"/>
  <c r="DA115" i="6"/>
  <c r="BE115" i="6"/>
  <c r="Y116" i="6"/>
  <c r="V164" i="6"/>
  <c r="U60" i="6"/>
  <c r="Z90" i="6"/>
  <c r="S13" i="6"/>
  <c r="S6" i="6" s="1"/>
  <c r="V57" i="6"/>
  <c r="AA120" i="6"/>
  <c r="P219" i="6"/>
  <c r="BP156" i="6"/>
  <c r="EM115" i="6"/>
  <c r="V116" i="6"/>
  <c r="T150" i="6"/>
  <c r="P38" i="6"/>
  <c r="AA61" i="6"/>
  <c r="O60" i="6"/>
  <c r="R60" i="6"/>
  <c r="BF75" i="6"/>
  <c r="U90" i="6"/>
  <c r="BQ129" i="6"/>
  <c r="Y129" i="6"/>
  <c r="V133" i="6"/>
  <c r="DG187" i="6"/>
  <c r="BQ187" i="6"/>
  <c r="X227" i="6"/>
  <c r="X182" i="6"/>
  <c r="AA65" i="6"/>
  <c r="T13" i="6"/>
  <c r="T6" i="6" s="1"/>
  <c r="V13" i="6"/>
  <c r="V6" i="6" s="1"/>
  <c r="V54" i="6"/>
  <c r="AA66" i="6"/>
  <c r="AA128" i="6"/>
  <c r="AA143" i="6"/>
  <c r="Z172" i="6"/>
  <c r="DG193" i="6"/>
  <c r="R193" i="6"/>
  <c r="O209" i="6"/>
  <c r="Q209" i="6"/>
  <c r="ER218" i="6"/>
  <c r="DE218" i="6"/>
  <c r="BN218" i="6"/>
  <c r="BR218" i="6" s="1"/>
  <c r="BI218" i="6"/>
  <c r="BQ104" i="6"/>
  <c r="U104" i="6"/>
  <c r="DA156" i="6"/>
  <c r="R157" i="6"/>
  <c r="EV43" i="6"/>
  <c r="EV47" i="6" s="1"/>
  <c r="DG29" i="6"/>
  <c r="X29" i="6"/>
  <c r="EV75" i="6"/>
  <c r="CX75" i="6"/>
  <c r="Z76" i="6"/>
  <c r="BF115" i="6"/>
  <c r="AA121" i="6"/>
  <c r="CU156" i="6"/>
  <c r="AA167" i="6"/>
  <c r="BF218" i="6"/>
  <c r="AA166" i="6"/>
  <c r="EK43" i="6"/>
  <c r="EK47" i="6" s="1"/>
  <c r="W90" i="6"/>
  <c r="V178" i="6"/>
  <c r="V241" i="6"/>
  <c r="EW13" i="6"/>
  <c r="Y172" i="6"/>
  <c r="U193" i="6"/>
  <c r="AA243" i="6"/>
  <c r="AA108" i="6"/>
  <c r="EW27" i="6"/>
  <c r="BG43" i="6"/>
  <c r="BG47" i="6" s="1"/>
  <c r="AA64" i="6"/>
  <c r="AA84" i="6"/>
  <c r="S116" i="6"/>
  <c r="Q223" i="6"/>
  <c r="AA168" i="6"/>
  <c r="EW60" i="6"/>
  <c r="Y60" i="6"/>
  <c r="AA95" i="6"/>
  <c r="BG115" i="6"/>
  <c r="P133" i="6"/>
  <c r="AA154" i="6"/>
  <c r="AA160" i="6"/>
  <c r="EW178" i="6"/>
  <c r="P178" i="6"/>
  <c r="T182" i="6"/>
  <c r="BQ214" i="6"/>
  <c r="U241" i="6"/>
  <c r="AA7" i="6"/>
  <c r="BQ53" i="4"/>
  <c r="O53" i="4"/>
  <c r="EQ58" i="6"/>
  <c r="DF58" i="6"/>
  <c r="T54" i="6"/>
  <c r="Z57" i="6"/>
  <c r="X146" i="6"/>
  <c r="AA152" i="6"/>
  <c r="EW172" i="6"/>
  <c r="V172" i="6"/>
  <c r="CW156" i="6"/>
  <c r="DF156" i="6"/>
  <c r="BQ193" i="6"/>
  <c r="Y205" i="6"/>
  <c r="P209" i="6"/>
  <c r="EN218" i="6"/>
  <c r="DF218" i="6"/>
  <c r="AA220" i="6"/>
  <c r="O219" i="6"/>
  <c r="Y219" i="6"/>
  <c r="Y138" i="6"/>
  <c r="BE156" i="6"/>
  <c r="W27" i="6"/>
  <c r="EN43" i="6"/>
  <c r="EN47" i="6" s="1"/>
  <c r="DF43" i="6"/>
  <c r="DF47" i="6" s="1"/>
  <c r="BJ43" i="6"/>
  <c r="BJ47" i="6" s="1"/>
  <c r="BQ56" i="4"/>
  <c r="O56" i="4"/>
  <c r="DG76" i="6"/>
  <c r="T76" i="6"/>
  <c r="EQ115" i="6"/>
  <c r="Z116" i="6"/>
  <c r="AA125" i="6"/>
  <c r="EW164" i="6"/>
  <c r="AA171" i="6"/>
  <c r="EW223" i="6"/>
  <c r="CX218" i="6"/>
  <c r="AA127" i="6"/>
  <c r="X87" i="6"/>
  <c r="X90" i="6"/>
  <c r="BG75" i="6"/>
  <c r="Q178" i="6"/>
  <c r="Q241" i="6"/>
  <c r="EV58" i="6"/>
  <c r="S57" i="6"/>
  <c r="O146" i="6"/>
  <c r="AA147" i="6"/>
  <c r="R172" i="6"/>
  <c r="Y209" i="6"/>
  <c r="DC218" i="6"/>
  <c r="EW104" i="6"/>
  <c r="Q157" i="6"/>
  <c r="V27" i="6"/>
  <c r="EO43" i="6"/>
  <c r="EO47" i="6" s="1"/>
  <c r="O76" i="6"/>
  <c r="AA77" i="6"/>
  <c r="ER115" i="6"/>
  <c r="DC156" i="6"/>
  <c r="W223" i="6"/>
  <c r="BC233" i="4"/>
  <c r="BC249" i="4" s="1"/>
  <c r="BC250" i="4" s="1"/>
  <c r="C230" i="6"/>
  <c r="C231" i="6" s="1"/>
  <c r="H230" i="6"/>
  <c r="H231" i="6" s="1"/>
  <c r="D233" i="4"/>
  <c r="D249" i="4" s="1"/>
  <c r="D250" i="4" s="1"/>
  <c r="H233" i="4"/>
  <c r="H249" i="4" s="1"/>
  <c r="H250" i="4" s="1"/>
  <c r="E233" i="4"/>
  <c r="E249" i="4" s="1"/>
  <c r="E250" i="4" s="1"/>
  <c r="D230" i="6"/>
  <c r="D231" i="6" s="1"/>
  <c r="L231" i="4"/>
  <c r="A233" i="4"/>
  <c r="A234" i="4" s="1"/>
  <c r="B233" i="4"/>
  <c r="B249" i="4" s="1"/>
  <c r="B250" i="4" s="1"/>
  <c r="M230" i="4"/>
  <c r="M231" i="4" s="1"/>
  <c r="I233" i="4"/>
  <c r="I249" i="4" s="1"/>
  <c r="I250" i="4" s="1"/>
  <c r="K233" i="4"/>
  <c r="K249" i="4" s="1"/>
  <c r="K250" i="4" s="1"/>
  <c r="A230" i="6"/>
  <c r="A231" i="6" s="1"/>
  <c r="F71" i="6"/>
  <c r="F72" i="6" s="1"/>
  <c r="M70" i="5"/>
  <c r="M70" i="1"/>
  <c r="CH250" i="4"/>
  <c r="CH234" i="4"/>
  <c r="L71" i="5"/>
  <c r="L72" i="5" s="1"/>
  <c r="K71" i="5"/>
  <c r="K72" i="5" s="1"/>
  <c r="AZ234" i="5"/>
  <c r="AZ250" i="5"/>
  <c r="M75" i="1"/>
  <c r="AR249" i="5"/>
  <c r="AR250" i="5" s="1"/>
  <c r="AY250" i="5"/>
  <c r="AY234" i="5"/>
  <c r="M6" i="1"/>
  <c r="AQ234" i="5"/>
  <c r="A230" i="1"/>
  <c r="A231" i="1" s="1"/>
  <c r="AW234" i="5"/>
  <c r="AW250" i="5"/>
  <c r="BB234" i="5"/>
  <c r="BB250" i="5"/>
  <c r="AS234" i="5"/>
  <c r="AS250" i="5"/>
  <c r="M115" i="1"/>
  <c r="M6" i="5"/>
  <c r="G71" i="5"/>
  <c r="G72" i="5" s="1"/>
  <c r="AA8" i="1"/>
  <c r="I72" i="4"/>
  <c r="G233" i="4"/>
  <c r="G234" i="4" s="1"/>
  <c r="C233" i="4"/>
  <c r="C249" i="4" s="1"/>
  <c r="C250" i="4" s="1"/>
  <c r="AQ250" i="4"/>
  <c r="AQ234" i="4"/>
  <c r="J233" i="4"/>
  <c r="M43" i="5"/>
  <c r="M47" i="5" s="1"/>
  <c r="I71" i="5"/>
  <c r="G230" i="6"/>
  <c r="G231" i="6" s="1"/>
  <c r="F230" i="6"/>
  <c r="F231" i="6" s="1"/>
  <c r="L230" i="6"/>
  <c r="L231" i="6" s="1"/>
  <c r="M75" i="6"/>
  <c r="E230" i="6"/>
  <c r="B230" i="6"/>
  <c r="B231" i="6" s="1"/>
  <c r="I230" i="6"/>
  <c r="I231" i="6" s="1"/>
  <c r="M6" i="6"/>
  <c r="M115" i="6"/>
  <c r="K230" i="6"/>
  <c r="K231" i="6" s="1"/>
  <c r="G230" i="5"/>
  <c r="G231" i="5" s="1"/>
  <c r="B71" i="5"/>
  <c r="B72" i="5" s="1"/>
  <c r="F231" i="4"/>
  <c r="F233" i="4"/>
  <c r="F249" i="4" s="1"/>
  <c r="E71" i="5"/>
  <c r="E72" i="5" s="1"/>
  <c r="D230" i="5"/>
  <c r="C230" i="5"/>
  <c r="C231" i="5" s="1"/>
  <c r="F71" i="5"/>
  <c r="F72" i="5" s="1"/>
  <c r="E230" i="5"/>
  <c r="E231" i="5" s="1"/>
  <c r="A230" i="5"/>
  <c r="A231" i="5" s="1"/>
  <c r="J230" i="5"/>
  <c r="J231" i="5" s="1"/>
  <c r="K230" i="5"/>
  <c r="K231" i="5" s="1"/>
  <c r="B230" i="5"/>
  <c r="B231" i="5" s="1"/>
  <c r="I230" i="5"/>
  <c r="I231" i="5" s="1"/>
  <c r="M75" i="5"/>
  <c r="L230" i="5"/>
  <c r="L231" i="5" s="1"/>
  <c r="F230" i="5"/>
  <c r="F231" i="5" s="1"/>
  <c r="A71" i="5"/>
  <c r="H230" i="5"/>
  <c r="H231" i="5" s="1"/>
  <c r="M115" i="5"/>
  <c r="A71" i="6"/>
  <c r="BR218" i="5" l="1"/>
  <c r="AB214" i="5"/>
  <c r="AB227" i="5"/>
  <c r="AB229" i="5"/>
  <c r="AB129" i="5"/>
  <c r="BR156" i="5"/>
  <c r="AB172" i="5"/>
  <c r="AB241" i="5"/>
  <c r="DH75" i="5"/>
  <c r="AB216" i="5"/>
  <c r="AB187" i="5"/>
  <c r="BR75" i="5"/>
  <c r="AB90" i="5"/>
  <c r="AB178" i="5"/>
  <c r="BR115" i="5"/>
  <c r="BR70" i="6"/>
  <c r="DG52" i="24"/>
  <c r="EX204" i="6"/>
  <c r="AB52" i="24"/>
  <c r="EX101" i="6"/>
  <c r="N52" i="24"/>
  <c r="EX84" i="6"/>
  <c r="DP52" i="24"/>
  <c r="EX216" i="6"/>
  <c r="BD52" i="24"/>
  <c r="EX136" i="6"/>
  <c r="AZ52" i="24"/>
  <c r="EX131" i="6"/>
  <c r="AL247" i="6"/>
  <c r="AB247" i="6" s="1"/>
  <c r="EX247" i="6"/>
  <c r="CJ52" i="24"/>
  <c r="EX177" i="6"/>
  <c r="AL147" i="6"/>
  <c r="AB147" i="6" s="1"/>
  <c r="EX147" i="6"/>
  <c r="AL55" i="6"/>
  <c r="AL57" i="6" s="1"/>
  <c r="AL58" i="6" s="1"/>
  <c r="EX55" i="6"/>
  <c r="AO52" i="24"/>
  <c r="EX119" i="6"/>
  <c r="BE52" i="24"/>
  <c r="EX137" i="6"/>
  <c r="AL40" i="6"/>
  <c r="AB40" i="6" s="1"/>
  <c r="EX40" i="6"/>
  <c r="BQ52" i="24"/>
  <c r="EX152" i="6"/>
  <c r="DA52" i="24"/>
  <c r="EX198" i="6"/>
  <c r="P52" i="24"/>
  <c r="EX86" i="6"/>
  <c r="O52" i="24"/>
  <c r="EX85" i="6"/>
  <c r="AL244" i="6"/>
  <c r="AB244" i="6" s="1"/>
  <c r="EX244" i="6"/>
  <c r="AL151" i="6"/>
  <c r="AB151" i="6" s="1"/>
  <c r="EX151" i="6"/>
  <c r="K52" i="24"/>
  <c r="EX81" i="6"/>
  <c r="CL52" i="24"/>
  <c r="EX180" i="6"/>
  <c r="AL246" i="6"/>
  <c r="AB246" i="6" s="1"/>
  <c r="EX246" i="6"/>
  <c r="AT52" i="24"/>
  <c r="EX124" i="6"/>
  <c r="AL245" i="6"/>
  <c r="AB245" i="6" s="1"/>
  <c r="EX245" i="6"/>
  <c r="AL45" i="6"/>
  <c r="AB45" i="6" s="1"/>
  <c r="EX45" i="6"/>
  <c r="AL41" i="6"/>
  <c r="AB41" i="6" s="1"/>
  <c r="EX41" i="6"/>
  <c r="CC52" i="24"/>
  <c r="EX169" i="6"/>
  <c r="DN52" i="24"/>
  <c r="EX213" i="6"/>
  <c r="BR52" i="24"/>
  <c r="EX153" i="6"/>
  <c r="BJ52" i="24"/>
  <c r="EX143" i="6"/>
  <c r="L52" i="24"/>
  <c r="EX82" i="6"/>
  <c r="AL46" i="6"/>
  <c r="AB46" i="6" s="1"/>
  <c r="EX46" i="6"/>
  <c r="CZ52" i="24"/>
  <c r="EX197" i="6"/>
  <c r="AL33" i="6"/>
  <c r="AB33" i="6" s="1"/>
  <c r="EX33" i="6"/>
  <c r="AK52" i="24"/>
  <c r="EX112" i="6"/>
  <c r="AQ52" i="24"/>
  <c r="EX121" i="6"/>
  <c r="BK52" i="24"/>
  <c r="EX144" i="6"/>
  <c r="AL243" i="6"/>
  <c r="AB243" i="6" s="1"/>
  <c r="EX243" i="6"/>
  <c r="DH241" i="6"/>
  <c r="CA52" i="24"/>
  <c r="EX167" i="6"/>
  <c r="BS52" i="24"/>
  <c r="EX154" i="6"/>
  <c r="AL42" i="6"/>
  <c r="AB42" i="6" s="1"/>
  <c r="EX42" i="6"/>
  <c r="DJ52" i="24"/>
  <c r="EX208" i="6"/>
  <c r="DH57" i="6"/>
  <c r="W52" i="24"/>
  <c r="EX96" i="6"/>
  <c r="FH88" i="6"/>
  <c r="EX88" i="6" s="1"/>
  <c r="EX32" i="6"/>
  <c r="AL206" i="6"/>
  <c r="AB206" i="6" s="1"/>
  <c r="EX206" i="6"/>
  <c r="AC52" i="24"/>
  <c r="EX102" i="6"/>
  <c r="AL179" i="6"/>
  <c r="AB179" i="6" s="1"/>
  <c r="EX179" i="6"/>
  <c r="CU52" i="24"/>
  <c r="EX191" i="6"/>
  <c r="BW52" i="24"/>
  <c r="EX161" i="6"/>
  <c r="BZ52" i="24"/>
  <c r="EX166" i="6"/>
  <c r="AL34" i="6"/>
  <c r="AB34" i="6" s="1"/>
  <c r="EX34" i="6"/>
  <c r="BR87" i="6"/>
  <c r="BA52" i="24"/>
  <c r="EX132" i="6"/>
  <c r="T52" i="24"/>
  <c r="EX93" i="6"/>
  <c r="BO52" i="24"/>
  <c r="EX149" i="6"/>
  <c r="DU52" i="24"/>
  <c r="EX225" i="6"/>
  <c r="AP52" i="24"/>
  <c r="EX120" i="6"/>
  <c r="AF52" i="24"/>
  <c r="EX107" i="6"/>
  <c r="AL44" i="6"/>
  <c r="AB44" i="6" s="1"/>
  <c r="EX44" i="6"/>
  <c r="DH38" i="6"/>
  <c r="CB52" i="24"/>
  <c r="EX168" i="6"/>
  <c r="CM52" i="24"/>
  <c r="EX181" i="6"/>
  <c r="BN52" i="24"/>
  <c r="EX148" i="6"/>
  <c r="AA227" i="6"/>
  <c r="BR75" i="6"/>
  <c r="AL229" i="6"/>
  <c r="AB229" i="6" s="1"/>
  <c r="EX229" i="6"/>
  <c r="S52" i="24"/>
  <c r="EX92" i="6"/>
  <c r="AL30" i="6"/>
  <c r="AB30" i="6" s="1"/>
  <c r="EX30" i="6"/>
  <c r="AA214" i="6"/>
  <c r="AA164" i="6"/>
  <c r="AA223" i="6"/>
  <c r="AA209" i="6"/>
  <c r="X58" i="5"/>
  <c r="AB58" i="5" s="1"/>
  <c r="AA172" i="6"/>
  <c r="DD47" i="5"/>
  <c r="DH43" i="5"/>
  <c r="BN47" i="5"/>
  <c r="BR47" i="5" s="1"/>
  <c r="BR43" i="5"/>
  <c r="BN47" i="6"/>
  <c r="BR47" i="6" s="1"/>
  <c r="BR43" i="6"/>
  <c r="DD47" i="6"/>
  <c r="DD71" i="6" s="1"/>
  <c r="AA193" i="6"/>
  <c r="X250" i="8"/>
  <c r="AB250" i="8" s="1"/>
  <c r="AB249" i="8"/>
  <c r="AA187" i="6"/>
  <c r="AA205" i="6"/>
  <c r="AA178" i="6"/>
  <c r="AA182" i="6"/>
  <c r="E4" i="23"/>
  <c r="AI144" i="6"/>
  <c r="AE196" i="6"/>
  <c r="AN226" i="6"/>
  <c r="E48" i="24"/>
  <c r="D48" i="24" s="1"/>
  <c r="BQ6" i="5"/>
  <c r="E5" i="23"/>
  <c r="AE207" i="6"/>
  <c r="AL88" i="6"/>
  <c r="CV71" i="6"/>
  <c r="CV72" i="6" s="1"/>
  <c r="P58" i="6"/>
  <c r="AI211" i="6"/>
  <c r="EK71" i="6"/>
  <c r="EK72" i="6" s="1"/>
  <c r="BX72" i="6"/>
  <c r="AK219" i="6"/>
  <c r="AG81" i="6"/>
  <c r="AG97" i="6"/>
  <c r="AH196" i="6"/>
  <c r="DP70" i="5"/>
  <c r="AJ160" i="6"/>
  <c r="AH216" i="6"/>
  <c r="AH214" i="6" s="1"/>
  <c r="AE213" i="6"/>
  <c r="DF71" i="6"/>
  <c r="DF72" i="6" s="1"/>
  <c r="AG186" i="6"/>
  <c r="AE198" i="6"/>
  <c r="AI149" i="6"/>
  <c r="AF127" i="6"/>
  <c r="BP71" i="6"/>
  <c r="BP72" i="6" s="1"/>
  <c r="X43" i="6"/>
  <c r="AG127" i="6"/>
  <c r="AJ98" i="6"/>
  <c r="AG60" i="6"/>
  <c r="CD72" i="6"/>
  <c r="AG213" i="6"/>
  <c r="EO71" i="6"/>
  <c r="EO72" i="6" s="1"/>
  <c r="AE180" i="6"/>
  <c r="AK234" i="8"/>
  <c r="AK249" i="8"/>
  <c r="AK250" i="8" s="1"/>
  <c r="AD84" i="6"/>
  <c r="FA38" i="6"/>
  <c r="F59" i="24" s="1"/>
  <c r="AF202" i="6"/>
  <c r="AJ148" i="6"/>
  <c r="AD109" i="6"/>
  <c r="CE75" i="6"/>
  <c r="AL219" i="6"/>
  <c r="AB219" i="6" s="1"/>
  <c r="AI84" i="6"/>
  <c r="AH132" i="6"/>
  <c r="AE140" i="6"/>
  <c r="AF200" i="6"/>
  <c r="AI196" i="6"/>
  <c r="AF94" i="6"/>
  <c r="AJ125" i="6"/>
  <c r="CB72" i="6"/>
  <c r="AG82" i="6"/>
  <c r="AG140" i="6"/>
  <c r="AN198" i="6"/>
  <c r="AM198" i="6"/>
  <c r="AK215" i="6"/>
  <c r="AN132" i="6"/>
  <c r="AN212" i="6"/>
  <c r="AN195" i="6"/>
  <c r="AM180" i="6"/>
  <c r="AM95" i="6"/>
  <c r="AL137" i="6"/>
  <c r="AB137" i="6" s="1"/>
  <c r="AM125" i="6"/>
  <c r="AL204" i="6"/>
  <c r="AB204" i="6" s="1"/>
  <c r="AL85" i="6"/>
  <c r="AB85" i="6" s="1"/>
  <c r="AL153" i="6"/>
  <c r="AB153" i="6" s="1"/>
  <c r="AL120" i="6"/>
  <c r="AB120" i="6" s="1"/>
  <c r="AM169" i="6"/>
  <c r="AN85" i="6"/>
  <c r="AM119" i="6"/>
  <c r="AL191" i="6"/>
  <c r="AB191" i="6" s="1"/>
  <c r="AL148" i="6"/>
  <c r="AB148" i="6" s="1"/>
  <c r="CS234" i="4"/>
  <c r="CS249" i="4"/>
  <c r="CS250" i="4" s="1"/>
  <c r="EI249" i="4"/>
  <c r="EI250" i="4" s="1"/>
  <c r="DG70" i="5"/>
  <c r="W58" i="5"/>
  <c r="W249" i="8"/>
  <c r="AK4" i="1"/>
  <c r="BM47" i="5"/>
  <c r="DC47" i="5"/>
  <c r="W6" i="5"/>
  <c r="O75" i="6"/>
  <c r="BD53" i="24"/>
  <c r="AK244" i="6"/>
  <c r="AE101" i="6"/>
  <c r="AK183" i="6"/>
  <c r="CE53" i="24"/>
  <c r="CM53" i="24"/>
  <c r="AD174" i="6"/>
  <c r="AG226" i="6"/>
  <c r="FG88" i="6"/>
  <c r="AK247" i="6"/>
  <c r="DA53" i="24"/>
  <c r="AK42" i="6"/>
  <c r="DC47" i="6"/>
  <c r="DC71" i="6" s="1"/>
  <c r="AK46" i="6"/>
  <c r="BH53" i="24"/>
  <c r="BS53" i="24"/>
  <c r="AJ211" i="6"/>
  <c r="CJ53" i="24"/>
  <c r="AM124" i="6"/>
  <c r="ES47" i="6"/>
  <c r="ES71" i="6" s="1"/>
  <c r="AI201" i="6"/>
  <c r="AD102" i="6"/>
  <c r="AB53" i="24"/>
  <c r="DD53" i="24"/>
  <c r="BA53" i="24"/>
  <c r="AF208" i="6"/>
  <c r="AL198" i="6"/>
  <c r="AB198" i="6" s="1"/>
  <c r="AM112" i="6"/>
  <c r="Y53" i="24"/>
  <c r="AK30" i="6"/>
  <c r="AJ166" i="6"/>
  <c r="AF181" i="6"/>
  <c r="BQ53" i="24"/>
  <c r="AE102" i="6"/>
  <c r="BL53" i="24"/>
  <c r="AU53" i="24"/>
  <c r="AK171" i="6"/>
  <c r="AI60" i="6"/>
  <c r="AM142" i="6"/>
  <c r="DN53" i="24"/>
  <c r="AO63" i="6"/>
  <c r="AK44" i="6"/>
  <c r="AE109" i="6"/>
  <c r="AK245" i="6"/>
  <c r="AR53" i="24"/>
  <c r="AF226" i="6"/>
  <c r="AD195" i="6"/>
  <c r="AJ180" i="6"/>
  <c r="AF216" i="6"/>
  <c r="CC53" i="24"/>
  <c r="AK34" i="6"/>
  <c r="CE43" i="6"/>
  <c r="CE47" i="6" s="1"/>
  <c r="CE71" i="6" s="1"/>
  <c r="CO53" i="24"/>
  <c r="AK210" i="6"/>
  <c r="DL53" i="24"/>
  <c r="AK246" i="6"/>
  <c r="AF79" i="6"/>
  <c r="BJ53" i="24"/>
  <c r="BZ53" i="24"/>
  <c r="CZ53" i="24"/>
  <c r="AK33" i="6"/>
  <c r="AN196" i="6"/>
  <c r="AK117" i="6"/>
  <c r="AG94" i="6"/>
  <c r="DR70" i="6"/>
  <c r="DH70" i="6" s="1"/>
  <c r="AK40" i="6"/>
  <c r="U53" i="24"/>
  <c r="AE195" i="6"/>
  <c r="O70" i="6"/>
  <c r="CA53" i="24"/>
  <c r="AK130" i="6"/>
  <c r="AM189" i="6"/>
  <c r="AD207" i="6"/>
  <c r="CY53" i="24"/>
  <c r="AT53" i="24"/>
  <c r="AJ124" i="6"/>
  <c r="AD99" i="6"/>
  <c r="AN199" i="6"/>
  <c r="AK41" i="6"/>
  <c r="AK243" i="6"/>
  <c r="AN84" i="6"/>
  <c r="CU53" i="24"/>
  <c r="DE53" i="24"/>
  <c r="AG177" i="6"/>
  <c r="AX53" i="24"/>
  <c r="AL121" i="6"/>
  <c r="AB121" i="6" s="1"/>
  <c r="AH177" i="6"/>
  <c r="DJ53" i="24"/>
  <c r="AE128" i="6"/>
  <c r="CI53" i="24"/>
  <c r="AK45" i="6"/>
  <c r="CL53" i="24"/>
  <c r="BM47" i="6"/>
  <c r="AI140" i="6"/>
  <c r="R58" i="6"/>
  <c r="AG225" i="6"/>
  <c r="AG216" i="6"/>
  <c r="AG214" i="6" s="1"/>
  <c r="AM174" i="6"/>
  <c r="AK169" i="6"/>
  <c r="DE71" i="6"/>
  <c r="DE72" i="6" s="1"/>
  <c r="W43" i="6"/>
  <c r="EU71" i="6"/>
  <c r="EU72" i="6" s="1"/>
  <c r="DI115" i="6"/>
  <c r="AI121" i="6"/>
  <c r="AN143" i="6"/>
  <c r="AK211" i="6"/>
  <c r="AW53" i="24"/>
  <c r="BO53" i="24"/>
  <c r="AL119" i="6"/>
  <c r="AB119" i="6" s="1"/>
  <c r="AQ53" i="24"/>
  <c r="CB53" i="24"/>
  <c r="AN123" i="6"/>
  <c r="AD142" i="6"/>
  <c r="AJ79" i="6"/>
  <c r="AG211" i="6"/>
  <c r="AF111" i="6"/>
  <c r="CX71" i="6"/>
  <c r="CX72" i="6" s="1"/>
  <c r="AF161" i="6"/>
  <c r="BW53" i="24"/>
  <c r="AL161" i="6"/>
  <c r="AB161" i="6" s="1"/>
  <c r="AN159" i="6"/>
  <c r="BV53" i="24"/>
  <c r="AK158" i="6"/>
  <c r="BX53" i="24"/>
  <c r="AE162" i="6"/>
  <c r="DP53" i="24"/>
  <c r="BW230" i="6"/>
  <c r="BW231" i="6" s="1"/>
  <c r="CB230" i="6"/>
  <c r="CB233" i="6" s="1"/>
  <c r="AG110" i="6"/>
  <c r="AF107" i="6"/>
  <c r="AJ53" i="24"/>
  <c r="AE112" i="6"/>
  <c r="AG111" i="6"/>
  <c r="AF53" i="24"/>
  <c r="AM106" i="6"/>
  <c r="DU53" i="24"/>
  <c r="AO222" i="6"/>
  <c r="DM218" i="6"/>
  <c r="BQ218" i="6"/>
  <c r="DT60" i="4"/>
  <c r="W52" i="1"/>
  <c r="W56" i="1"/>
  <c r="W53" i="1"/>
  <c r="CU71" i="5"/>
  <c r="CU72" i="5" s="1"/>
  <c r="AF70" i="5"/>
  <c r="DG43" i="5"/>
  <c r="P249" i="8"/>
  <c r="P250" i="8" s="1"/>
  <c r="DL219" i="4"/>
  <c r="DK218" i="6"/>
  <c r="L234" i="4"/>
  <c r="DK219" i="4"/>
  <c r="DQ219" i="4"/>
  <c r="AI125" i="6"/>
  <c r="DU178" i="6"/>
  <c r="AH118" i="6"/>
  <c r="AI159" i="6"/>
  <c r="AD201" i="6"/>
  <c r="FI38" i="6"/>
  <c r="F51" i="24" s="1"/>
  <c r="AL169" i="6"/>
  <c r="AB169" i="6" s="1"/>
  <c r="AK136" i="6"/>
  <c r="AO62" i="6"/>
  <c r="AE118" i="6"/>
  <c r="BX230" i="6"/>
  <c r="BX231" i="6" s="1"/>
  <c r="AI219" i="4"/>
  <c r="DO75" i="6"/>
  <c r="AM137" i="6"/>
  <c r="AE131" i="6"/>
  <c r="AK161" i="6"/>
  <c r="AH84" i="6"/>
  <c r="AL208" i="6"/>
  <c r="AB208" i="6" s="1"/>
  <c r="AK176" i="6"/>
  <c r="AD204" i="6"/>
  <c r="AF148" i="6"/>
  <c r="FJ241" i="6"/>
  <c r="EB50" i="24" s="1"/>
  <c r="DU241" i="6"/>
  <c r="AJ200" i="6"/>
  <c r="AG181" i="6"/>
  <c r="AL180" i="6"/>
  <c r="AB180" i="6" s="1"/>
  <c r="DT219" i="4"/>
  <c r="DQ218" i="6"/>
  <c r="AD196" i="6"/>
  <c r="AI148" i="6"/>
  <c r="AM126" i="6"/>
  <c r="AG192" i="6"/>
  <c r="AG200" i="6"/>
  <c r="AL60" i="6"/>
  <c r="AB60" i="6" s="1"/>
  <c r="AM82" i="6"/>
  <c r="AF154" i="6"/>
  <c r="AH82" i="6"/>
  <c r="AF128" i="6"/>
  <c r="AN113" i="6"/>
  <c r="AH159" i="6"/>
  <c r="AI222" i="1"/>
  <c r="DJ115" i="6"/>
  <c r="AH135" i="6"/>
  <c r="AN60" i="6"/>
  <c r="AM170" i="6"/>
  <c r="AI169" i="6"/>
  <c r="AM213" i="6"/>
  <c r="AN32" i="6"/>
  <c r="DO60" i="4"/>
  <c r="AM192" i="6"/>
  <c r="AD216" i="6"/>
  <c r="AG159" i="6"/>
  <c r="AG32" i="6"/>
  <c r="AM216" i="6"/>
  <c r="AM214" i="6" s="1"/>
  <c r="AL124" i="6"/>
  <c r="AB124" i="6" s="1"/>
  <c r="AK127" i="6"/>
  <c r="AJ83" i="6"/>
  <c r="AM144" i="6"/>
  <c r="DR60" i="4"/>
  <c r="AG204" i="6"/>
  <c r="AM93" i="6"/>
  <c r="AF141" i="6"/>
  <c r="AH99" i="6"/>
  <c r="AK111" i="6"/>
  <c r="AD86" i="6"/>
  <c r="AI207" i="6"/>
  <c r="DK156" i="6"/>
  <c r="Y75" i="6"/>
  <c r="Q70" i="6"/>
  <c r="AF97" i="6"/>
  <c r="AJ181" i="6"/>
  <c r="DU29" i="6"/>
  <c r="AE108" i="6"/>
  <c r="AJ189" i="6"/>
  <c r="AN184" i="6"/>
  <c r="AF197" i="6"/>
  <c r="AM177" i="6"/>
  <c r="AF159" i="6"/>
  <c r="AJ216" i="6"/>
  <c r="AM175" i="6"/>
  <c r="AE80" i="6"/>
  <c r="AL32" i="6"/>
  <c r="AB32" i="6" s="1"/>
  <c r="AN213" i="6"/>
  <c r="AJ118" i="6"/>
  <c r="AD80" i="6"/>
  <c r="AJ109" i="6"/>
  <c r="AJ60" i="6"/>
  <c r="AN144" i="6"/>
  <c r="DU63" i="4"/>
  <c r="Z58" i="6"/>
  <c r="AG212" i="6"/>
  <c r="AH168" i="6"/>
  <c r="AJ153" i="6"/>
  <c r="Z75" i="6"/>
  <c r="AI220" i="1"/>
  <c r="AL101" i="6"/>
  <c r="AB101" i="6" s="1"/>
  <c r="DI156" i="6"/>
  <c r="AN121" i="6"/>
  <c r="AE86" i="6"/>
  <c r="AI225" i="6"/>
  <c r="AK202" i="6"/>
  <c r="AN169" i="6"/>
  <c r="AG92" i="6"/>
  <c r="FH29" i="6"/>
  <c r="AH143" i="6"/>
  <c r="AJ202" i="6"/>
  <c r="AI79" i="6"/>
  <c r="AF167" i="6"/>
  <c r="AG161" i="6"/>
  <c r="AK60" i="6"/>
  <c r="AL152" i="6"/>
  <c r="AB152" i="6" s="1"/>
  <c r="AG112" i="6"/>
  <c r="DK75" i="6"/>
  <c r="AD189" i="6"/>
  <c r="AN83" i="6"/>
  <c r="AK152" i="6"/>
  <c r="AM204" i="6"/>
  <c r="AD212" i="6"/>
  <c r="AE148" i="6"/>
  <c r="AJ108" i="6"/>
  <c r="R70" i="6"/>
  <c r="AH222" i="1"/>
  <c r="AH219" i="1" s="1"/>
  <c r="AI119" i="6"/>
  <c r="AD118" i="6"/>
  <c r="AF109" i="6"/>
  <c r="DJ75" i="6"/>
  <c r="DN60" i="4"/>
  <c r="DU157" i="6"/>
  <c r="AL92" i="6"/>
  <c r="AB92" i="6" s="1"/>
  <c r="AH113" i="6"/>
  <c r="AL86" i="6"/>
  <c r="AB86" i="6" s="1"/>
  <c r="AN176" i="6"/>
  <c r="AG176" i="6"/>
  <c r="AJ174" i="6"/>
  <c r="AI81" i="6"/>
  <c r="AN216" i="6"/>
  <c r="AN214" i="6" s="1"/>
  <c r="AH142" i="6"/>
  <c r="BU230" i="6"/>
  <c r="BU231" i="6" s="1"/>
  <c r="AH219" i="6"/>
  <c r="AN95" i="6"/>
  <c r="AN81" i="6"/>
  <c r="AM226" i="6"/>
  <c r="AH204" i="6"/>
  <c r="BT72" i="6"/>
  <c r="BY72" i="6"/>
  <c r="BW72" i="6"/>
  <c r="CA72" i="6"/>
  <c r="AD38" i="6"/>
  <c r="AI53" i="24"/>
  <c r="AK110" i="6"/>
  <c r="AM56" i="24"/>
  <c r="FD116" i="6"/>
  <c r="FK176" i="6"/>
  <c r="AO176" i="6" s="1"/>
  <c r="CI61" i="24"/>
  <c r="DB57" i="24"/>
  <c r="AG199" i="6"/>
  <c r="DF53" i="24"/>
  <c r="AK203" i="6"/>
  <c r="AE57" i="24"/>
  <c r="AG106" i="6"/>
  <c r="DE52" i="24"/>
  <c r="AL202" i="6"/>
  <c r="AB202" i="6" s="1"/>
  <c r="M58" i="24"/>
  <c r="AF83" i="6"/>
  <c r="BY60" i="24"/>
  <c r="EZ164" i="6"/>
  <c r="AF61" i="24"/>
  <c r="FK107" i="6"/>
  <c r="AC107" i="6"/>
  <c r="CK61" i="24"/>
  <c r="FK179" i="6"/>
  <c r="AO179" i="6" s="1"/>
  <c r="EY178" i="6"/>
  <c r="R53" i="24"/>
  <c r="FG90" i="6"/>
  <c r="AQ57" i="24"/>
  <c r="AG121" i="6"/>
  <c r="DW51" i="24"/>
  <c r="FI228" i="4"/>
  <c r="FI227" i="6"/>
  <c r="FK177" i="6"/>
  <c r="AO177" i="6" s="1"/>
  <c r="CJ61" i="24"/>
  <c r="AC177" i="6"/>
  <c r="DO58" i="24"/>
  <c r="FB214" i="6"/>
  <c r="AF215" i="6"/>
  <c r="BQ50" i="24"/>
  <c r="AN152" i="6"/>
  <c r="FK124" i="6"/>
  <c r="AT61" i="24"/>
  <c r="AC124" i="6"/>
  <c r="G53" i="24"/>
  <c r="FG76" i="6"/>
  <c r="FK117" i="6"/>
  <c r="AM61" i="24"/>
  <c r="EY116" i="6"/>
  <c r="BU72" i="6"/>
  <c r="BE55" i="24"/>
  <c r="AI137" i="6"/>
  <c r="AK219" i="4"/>
  <c r="U52" i="24"/>
  <c r="AL94" i="6"/>
  <c r="AB94" i="6" s="1"/>
  <c r="T53" i="24"/>
  <c r="AK93" i="6"/>
  <c r="AD52" i="24"/>
  <c r="FH104" i="6"/>
  <c r="EX104" i="6" s="1"/>
  <c r="AG108" i="6"/>
  <c r="AF59" i="24"/>
  <c r="AE107" i="6"/>
  <c r="FK200" i="6"/>
  <c r="AO200" i="6" s="1"/>
  <c r="DC61" i="24"/>
  <c r="S53" i="24"/>
  <c r="AK92" i="6"/>
  <c r="R57" i="24"/>
  <c r="FC90" i="6"/>
  <c r="BB59" i="24"/>
  <c r="FA133" i="6"/>
  <c r="AE134" i="6"/>
  <c r="AR57" i="24"/>
  <c r="AG122" i="6"/>
  <c r="BP54" i="24"/>
  <c r="FF150" i="6"/>
  <c r="AJ151" i="6"/>
  <c r="N51" i="24"/>
  <c r="AM84" i="6"/>
  <c r="CN61" i="24"/>
  <c r="FK183" i="6"/>
  <c r="AO183" i="6" s="1"/>
  <c r="EY182" i="6"/>
  <c r="BN50" i="24"/>
  <c r="AN148" i="6"/>
  <c r="DT52" i="24"/>
  <c r="FH223" i="6"/>
  <c r="EX223" i="6" s="1"/>
  <c r="AL224" i="6"/>
  <c r="AB224" i="6" s="1"/>
  <c r="FK208" i="6"/>
  <c r="DJ61" i="24"/>
  <c r="FK170" i="6"/>
  <c r="CD61" i="24"/>
  <c r="AC170" i="6"/>
  <c r="V59" i="24"/>
  <c r="AE95" i="6"/>
  <c r="BX54" i="24"/>
  <c r="AJ162" i="6"/>
  <c r="CQ51" i="24"/>
  <c r="AM186" i="6"/>
  <c r="DM53" i="24"/>
  <c r="AK212" i="6"/>
  <c r="AW51" i="24"/>
  <c r="AM127" i="6"/>
  <c r="AD51" i="24"/>
  <c r="FI104" i="6"/>
  <c r="AM105" i="6"/>
  <c r="CK51" i="24"/>
  <c r="FI178" i="6"/>
  <c r="AM179" i="6"/>
  <c r="BP52" i="24"/>
  <c r="FH150" i="6"/>
  <c r="EX150" i="6" s="1"/>
  <c r="K54" i="24"/>
  <c r="AJ81" i="6"/>
  <c r="AM118" i="6"/>
  <c r="DU88" i="6"/>
  <c r="DU87" i="6" s="1"/>
  <c r="Q45" i="24"/>
  <c r="DM87" i="6"/>
  <c r="DM75" i="6" s="1"/>
  <c r="DO61" i="24"/>
  <c r="FK215" i="6"/>
  <c r="EY214" i="6"/>
  <c r="CY54" i="24"/>
  <c r="AJ196" i="6"/>
  <c r="BQ57" i="24"/>
  <c r="AG152" i="6"/>
  <c r="AH38" i="6"/>
  <c r="H52" i="24"/>
  <c r="AL78" i="6"/>
  <c r="AB78" i="6" s="1"/>
  <c r="AA51" i="24"/>
  <c r="AM100" i="6"/>
  <c r="DX56" i="24"/>
  <c r="FD229" i="4"/>
  <c r="AH229" i="6"/>
  <c r="CQ55" i="24"/>
  <c r="AI186" i="6"/>
  <c r="FK32" i="6"/>
  <c r="EY88" i="6"/>
  <c r="AC32" i="6"/>
  <c r="DJ60" i="4"/>
  <c r="FK41" i="6"/>
  <c r="AC41" i="6"/>
  <c r="DM55" i="24"/>
  <c r="AI212" i="6"/>
  <c r="AH125" i="6"/>
  <c r="DK58" i="24"/>
  <c r="FB209" i="6"/>
  <c r="CK59" i="24"/>
  <c r="FA178" i="6"/>
  <c r="AE179" i="6"/>
  <c r="BC50" i="24"/>
  <c r="AN135" i="6"/>
  <c r="CC57" i="24"/>
  <c r="AG169" i="6"/>
  <c r="DL59" i="24"/>
  <c r="AE211" i="6"/>
  <c r="AD208" i="6"/>
  <c r="K51" i="24"/>
  <c r="AM81" i="6"/>
  <c r="BF55" i="24"/>
  <c r="FE138" i="6"/>
  <c r="AI139" i="6"/>
  <c r="AJ99" i="6"/>
  <c r="FK148" i="6"/>
  <c r="BN61" i="24"/>
  <c r="DT50" i="24"/>
  <c r="FJ223" i="6"/>
  <c r="AG38" i="6"/>
  <c r="CD53" i="24"/>
  <c r="AK170" i="6"/>
  <c r="AG52" i="24"/>
  <c r="AL108" i="6"/>
  <c r="AB108" i="6" s="1"/>
  <c r="W58" i="24"/>
  <c r="AF96" i="6"/>
  <c r="DU222" i="4"/>
  <c r="CI55" i="24"/>
  <c r="AI176" i="6"/>
  <c r="O60" i="24"/>
  <c r="AD85" i="6"/>
  <c r="AK145" i="6"/>
  <c r="EZ88" i="6"/>
  <c r="AD32" i="6"/>
  <c r="AD29" i="6" s="1"/>
  <c r="CR55" i="24"/>
  <c r="FE187" i="6"/>
  <c r="AI188" i="6"/>
  <c r="DH59" i="24"/>
  <c r="FA205" i="6"/>
  <c r="AF54" i="24"/>
  <c r="AJ107" i="6"/>
  <c r="CT59" i="24"/>
  <c r="AE190" i="6"/>
  <c r="AK53" i="24"/>
  <c r="AK112" i="6"/>
  <c r="AD120" i="6"/>
  <c r="DV60" i="24"/>
  <c r="AD226" i="6"/>
  <c r="BI54" i="24"/>
  <c r="AJ142" i="6"/>
  <c r="CM51" i="24"/>
  <c r="AM181" i="6"/>
  <c r="BQ56" i="24"/>
  <c r="AH152" i="6"/>
  <c r="AE123" i="6"/>
  <c r="AE192" i="6"/>
  <c r="G58" i="24"/>
  <c r="FB76" i="6"/>
  <c r="AF77" i="6"/>
  <c r="AM109" i="6"/>
  <c r="FE241" i="6"/>
  <c r="EB55" i="24" s="1"/>
  <c r="AI242" i="6"/>
  <c r="AI241" i="6" s="1"/>
  <c r="BU59" i="24"/>
  <c r="AE159" i="6"/>
  <c r="AM51" i="24"/>
  <c r="FI116" i="6"/>
  <c r="AM117" i="6"/>
  <c r="BE50" i="24"/>
  <c r="AN137" i="6"/>
  <c r="AZ51" i="24"/>
  <c r="AM131" i="6"/>
  <c r="AE52" i="24"/>
  <c r="AL106" i="6"/>
  <c r="AB106" i="6" s="1"/>
  <c r="AU52" i="24"/>
  <c r="AL125" i="6"/>
  <c r="AB125" i="6" s="1"/>
  <c r="FK128" i="6"/>
  <c r="AX61" i="24"/>
  <c r="AC128" i="6"/>
  <c r="DU138" i="6"/>
  <c r="DD57" i="24"/>
  <c r="AG201" i="6"/>
  <c r="CR53" i="24"/>
  <c r="FG187" i="6"/>
  <c r="AK188" i="6"/>
  <c r="FB38" i="6"/>
  <c r="F58" i="24" s="1"/>
  <c r="U51" i="24"/>
  <c r="AM94" i="6"/>
  <c r="DM51" i="24"/>
  <c r="AM212" i="6"/>
  <c r="DH60" i="24"/>
  <c r="EZ205" i="6"/>
  <c r="M60" i="24"/>
  <c r="AD83" i="6"/>
  <c r="FK140" i="6"/>
  <c r="BG61" i="24"/>
  <c r="AC140" i="6"/>
  <c r="CE55" i="24"/>
  <c r="AI171" i="6"/>
  <c r="FK244" i="6"/>
  <c r="AC244" i="6"/>
  <c r="AO64" i="6"/>
  <c r="AY56" i="24"/>
  <c r="FD129" i="6"/>
  <c r="CF52" i="24"/>
  <c r="FH172" i="6"/>
  <c r="EX172" i="6" s="1"/>
  <c r="AF118" i="6"/>
  <c r="BO54" i="24"/>
  <c r="AJ149" i="6"/>
  <c r="AJ78" i="6"/>
  <c r="BY57" i="24"/>
  <c r="FC164" i="6"/>
  <c r="AG165" i="6"/>
  <c r="AD55" i="24"/>
  <c r="FE104" i="6"/>
  <c r="AI105" i="6"/>
  <c r="AD180" i="6"/>
  <c r="FK210" i="6"/>
  <c r="DK61" i="24"/>
  <c r="EY209" i="6"/>
  <c r="AC210" i="6"/>
  <c r="FK143" i="6"/>
  <c r="BJ61" i="24"/>
  <c r="AC143" i="6"/>
  <c r="CW55" i="24"/>
  <c r="FE193" i="6"/>
  <c r="AI194" i="6"/>
  <c r="CK58" i="24"/>
  <c r="FB178" i="6"/>
  <c r="AF179" i="6"/>
  <c r="DC60" i="24"/>
  <c r="AD200" i="6"/>
  <c r="BV56" i="24"/>
  <c r="AH160" i="6"/>
  <c r="BC57" i="24"/>
  <c r="AG135" i="6"/>
  <c r="Z57" i="24"/>
  <c r="AG99" i="6"/>
  <c r="R52" i="24"/>
  <c r="FH90" i="6"/>
  <c r="EX90" i="6" s="1"/>
  <c r="AL91" i="6"/>
  <c r="AB91" i="6" s="1"/>
  <c r="CT54" i="24"/>
  <c r="AJ190" i="6"/>
  <c r="AJ80" i="6"/>
  <c r="BB53" i="24"/>
  <c r="FG133" i="6"/>
  <c r="CC56" i="24"/>
  <c r="AH169" i="6"/>
  <c r="DT218" i="6"/>
  <c r="AR60" i="24"/>
  <c r="AD122" i="6"/>
  <c r="DI53" i="24"/>
  <c r="AK207" i="6"/>
  <c r="BP58" i="24"/>
  <c r="FB150" i="6"/>
  <c r="AF151" i="6"/>
  <c r="DP70" i="6"/>
  <c r="N57" i="24"/>
  <c r="AG84" i="6"/>
  <c r="AL144" i="6"/>
  <c r="AB144" i="6" s="1"/>
  <c r="FK33" i="6"/>
  <c r="AH130" i="6"/>
  <c r="AC208" i="6"/>
  <c r="CN53" i="24"/>
  <c r="FG182" i="6"/>
  <c r="CD230" i="6"/>
  <c r="BT56" i="24"/>
  <c r="FD157" i="6"/>
  <c r="BF58" i="24"/>
  <c r="FB138" i="6"/>
  <c r="AF139" i="6"/>
  <c r="AS56" i="24"/>
  <c r="AH123" i="6"/>
  <c r="AD162" i="6"/>
  <c r="FK228" i="6"/>
  <c r="DW61" i="24"/>
  <c r="EY228" i="4"/>
  <c r="EY227" i="6"/>
  <c r="FJ29" i="6"/>
  <c r="AM228" i="6"/>
  <c r="AL168" i="6"/>
  <c r="AB168" i="6" s="1"/>
  <c r="BM51" i="24"/>
  <c r="FI146" i="6"/>
  <c r="AE39" i="6"/>
  <c r="AE38" i="6" s="1"/>
  <c r="FD55" i="4"/>
  <c r="FD57" i="4" s="1"/>
  <c r="FD58" i="4" s="1"/>
  <c r="FD57" i="6"/>
  <c r="AH55" i="6"/>
  <c r="AH57" i="6" s="1"/>
  <c r="AH58" i="6" s="1"/>
  <c r="AC60" i="6"/>
  <c r="AO61" i="6"/>
  <c r="DT61" i="24"/>
  <c r="FK224" i="6"/>
  <c r="EY223" i="6"/>
  <c r="DL156" i="6"/>
  <c r="DO51" i="24"/>
  <c r="FI214" i="6"/>
  <c r="AE100" i="6"/>
  <c r="AO54" i="24"/>
  <c r="AJ119" i="6"/>
  <c r="AG119" i="6"/>
  <c r="AF131" i="6"/>
  <c r="AC179" i="6"/>
  <c r="AK132" i="6"/>
  <c r="CL58" i="24"/>
  <c r="AF180" i="6"/>
  <c r="AF186" i="6"/>
  <c r="AF207" i="6"/>
  <c r="BI55" i="24"/>
  <c r="AI142" i="6"/>
  <c r="AC222" i="4"/>
  <c r="AO222" i="4" s="1"/>
  <c r="AM60" i="6"/>
  <c r="AK77" i="6"/>
  <c r="BZ230" i="6"/>
  <c r="BZ231" i="6" s="1"/>
  <c r="CY58" i="24"/>
  <c r="AF196" i="6"/>
  <c r="BW55" i="24"/>
  <c r="AI161" i="6"/>
  <c r="CS53" i="24"/>
  <c r="AK189" i="6"/>
  <c r="BQ54" i="24"/>
  <c r="AJ152" i="6"/>
  <c r="AE152" i="6"/>
  <c r="DG55" i="24"/>
  <c r="AI204" i="6"/>
  <c r="AF153" i="6"/>
  <c r="AT56" i="24"/>
  <c r="AH124" i="6"/>
  <c r="DQ115" i="6"/>
  <c r="DU60" i="24"/>
  <c r="AD225" i="6"/>
  <c r="AF110" i="6"/>
  <c r="DN218" i="6"/>
  <c r="G56" i="24"/>
  <c r="FD76" i="6"/>
  <c r="AE202" i="6"/>
  <c r="AE171" i="6"/>
  <c r="FK243" i="6"/>
  <c r="AK216" i="6"/>
  <c r="AP55" i="24"/>
  <c r="AI120" i="6"/>
  <c r="DT75" i="6"/>
  <c r="AE126" i="6"/>
  <c r="AK134" i="6"/>
  <c r="AC183" i="6"/>
  <c r="BO71" i="6"/>
  <c r="BO72" i="6" s="1"/>
  <c r="V43" i="6"/>
  <c r="V47" i="6" s="1"/>
  <c r="AL51" i="24"/>
  <c r="AM113" i="6"/>
  <c r="CH53" i="24"/>
  <c r="AK175" i="6"/>
  <c r="L58" i="24"/>
  <c r="AF82" i="6"/>
  <c r="AC57" i="6"/>
  <c r="AC58" i="6" s="1"/>
  <c r="P50" i="24"/>
  <c r="AN86" i="6"/>
  <c r="FF241" i="6"/>
  <c r="EB54" i="24" s="1"/>
  <c r="AJ242" i="6"/>
  <c r="AJ241" i="6" s="1"/>
  <c r="CD57" i="24"/>
  <c r="AG170" i="6"/>
  <c r="CV50" i="24"/>
  <c r="AN192" i="6"/>
  <c r="FK78" i="6"/>
  <c r="H61" i="24"/>
  <c r="AC78" i="6"/>
  <c r="AG53" i="24"/>
  <c r="AK108" i="6"/>
  <c r="W56" i="24"/>
  <c r="AH96" i="6"/>
  <c r="AM60" i="24"/>
  <c r="EZ116" i="6"/>
  <c r="AD117" i="6"/>
  <c r="AA54" i="24"/>
  <c r="AJ100" i="6"/>
  <c r="BL56" i="24"/>
  <c r="AH145" i="6"/>
  <c r="AH213" i="6"/>
  <c r="V56" i="24"/>
  <c r="AH95" i="6"/>
  <c r="CA57" i="24"/>
  <c r="AG167" i="6"/>
  <c r="AH106" i="6"/>
  <c r="DX53" i="24"/>
  <c r="FG229" i="4"/>
  <c r="AK229" i="6"/>
  <c r="AM147" i="6"/>
  <c r="BX51" i="24"/>
  <c r="AM162" i="6"/>
  <c r="AN61" i="24"/>
  <c r="FK118" i="6"/>
  <c r="Q49" i="24"/>
  <c r="DI87" i="6"/>
  <c r="DI75" i="6" s="1"/>
  <c r="AJ52" i="24"/>
  <c r="AL111" i="6"/>
  <c r="AB111" i="6" s="1"/>
  <c r="FK137" i="6"/>
  <c r="BE61" i="24"/>
  <c r="AC137" i="6"/>
  <c r="DB59" i="24"/>
  <c r="AE199" i="6"/>
  <c r="DT156" i="6"/>
  <c r="FK45" i="6"/>
  <c r="AC45" i="6"/>
  <c r="BD61" i="24"/>
  <c r="FK136" i="6"/>
  <c r="AC136" i="6"/>
  <c r="CQ50" i="24"/>
  <c r="AN186" i="6"/>
  <c r="AN197" i="6"/>
  <c r="AM191" i="6"/>
  <c r="DF52" i="24"/>
  <c r="AL203" i="6"/>
  <c r="AB203" i="6" s="1"/>
  <c r="AZ50" i="24"/>
  <c r="AN131" i="6"/>
  <c r="AF198" i="6"/>
  <c r="FE88" i="6"/>
  <c r="AI32" i="6"/>
  <c r="DQ43" i="6"/>
  <c r="DQ47" i="6" s="1"/>
  <c r="DQ71" i="6" s="1"/>
  <c r="E41" i="24"/>
  <c r="D41" i="24" s="1"/>
  <c r="DU133" i="6"/>
  <c r="DE57" i="24"/>
  <c r="AG202" i="6"/>
  <c r="CR54" i="24"/>
  <c r="FF187" i="6"/>
  <c r="BA54" i="24"/>
  <c r="AJ132" i="6"/>
  <c r="FC38" i="6"/>
  <c r="F57" i="24" s="1"/>
  <c r="U59" i="24"/>
  <c r="AE94" i="6"/>
  <c r="DH55" i="24"/>
  <c r="FE205" i="6"/>
  <c r="AM97" i="6"/>
  <c r="AC54" i="24"/>
  <c r="AJ102" i="6"/>
  <c r="BG53" i="24"/>
  <c r="AK140" i="6"/>
  <c r="I60" i="24"/>
  <c r="AD79" i="6"/>
  <c r="CE54" i="24"/>
  <c r="AJ171" i="6"/>
  <c r="FK130" i="6"/>
  <c r="AY61" i="24"/>
  <c r="EY129" i="6"/>
  <c r="AC130" i="6"/>
  <c r="DP156" i="6"/>
  <c r="CF50" i="24"/>
  <c r="FJ172" i="6"/>
  <c r="AN173" i="6"/>
  <c r="AL93" i="6"/>
  <c r="AB93" i="6" s="1"/>
  <c r="BO50" i="24"/>
  <c r="AN149" i="6"/>
  <c r="AN146" i="6" s="1"/>
  <c r="BY56" i="24"/>
  <c r="FD164" i="6"/>
  <c r="AH165" i="6"/>
  <c r="AD54" i="24"/>
  <c r="FF104" i="6"/>
  <c r="DK59" i="24"/>
  <c r="FA209" i="6"/>
  <c r="AF50" i="24"/>
  <c r="AN107" i="6"/>
  <c r="BJ55" i="24"/>
  <c r="AI143" i="6"/>
  <c r="AO220" i="6"/>
  <c r="CW53" i="24"/>
  <c r="FG193" i="6"/>
  <c r="CK56" i="24"/>
  <c r="FD178" i="6"/>
  <c r="AH179" i="6"/>
  <c r="DC55" i="24"/>
  <c r="AI200" i="6"/>
  <c r="AM123" i="6"/>
  <c r="BV52" i="24"/>
  <c r="AL160" i="6"/>
  <c r="AB160" i="6" s="1"/>
  <c r="AM86" i="6"/>
  <c r="FK92" i="6"/>
  <c r="S61" i="24"/>
  <c r="AC92" i="6"/>
  <c r="AE113" i="6"/>
  <c r="R51" i="24"/>
  <c r="FI90" i="6"/>
  <c r="AM91" i="6"/>
  <c r="CU55" i="24"/>
  <c r="AI191" i="6"/>
  <c r="FK190" i="6"/>
  <c r="AO190" i="6" s="1"/>
  <c r="CT61" i="24"/>
  <c r="AC190" i="6"/>
  <c r="BB58" i="24"/>
  <c r="FB133" i="6"/>
  <c r="AR55" i="24"/>
  <c r="AI122" i="6"/>
  <c r="DI52" i="24"/>
  <c r="AL207" i="6"/>
  <c r="AB207" i="6" s="1"/>
  <c r="AL107" i="6"/>
  <c r="AB107" i="6" s="1"/>
  <c r="BP57" i="24"/>
  <c r="FC150" i="6"/>
  <c r="DP60" i="4"/>
  <c r="AG195" i="6"/>
  <c r="AV54" i="24"/>
  <c r="AJ126" i="6"/>
  <c r="K56" i="24"/>
  <c r="AH81" i="6"/>
  <c r="AE111" i="6"/>
  <c r="AD191" i="6"/>
  <c r="DS218" i="6"/>
  <c r="AK50" i="24"/>
  <c r="AN112" i="6"/>
  <c r="AJ93" i="6"/>
  <c r="AM102" i="6"/>
  <c r="CN50" i="24"/>
  <c r="FJ182" i="6"/>
  <c r="AN183" i="6"/>
  <c r="AH102" i="6"/>
  <c r="BT61" i="24"/>
  <c r="FK158" i="6"/>
  <c r="EY157" i="6"/>
  <c r="AC158" i="6"/>
  <c r="BF57" i="24"/>
  <c r="FC138" i="6"/>
  <c r="AS55" i="24"/>
  <c r="AI123" i="6"/>
  <c r="AE175" i="6"/>
  <c r="DW59" i="24"/>
  <c r="FA228" i="4"/>
  <c r="FA227" i="6"/>
  <c r="AE228" i="6"/>
  <c r="FK31" i="6"/>
  <c r="EY29" i="6"/>
  <c r="Y57" i="24"/>
  <c r="AG98" i="6"/>
  <c r="FK168" i="6"/>
  <c r="CB61" i="24"/>
  <c r="AG168" i="6"/>
  <c r="AC200" i="6"/>
  <c r="AF93" i="6"/>
  <c r="BM50" i="24"/>
  <c r="FJ146" i="6"/>
  <c r="AG91" i="6"/>
  <c r="FK55" i="6"/>
  <c r="EY57" i="6"/>
  <c r="EY55" i="4"/>
  <c r="AC55" i="4" s="1"/>
  <c r="DU61" i="4"/>
  <c r="DI60" i="4"/>
  <c r="DT59" i="24"/>
  <c r="FA223" i="6"/>
  <c r="DO60" i="24"/>
  <c r="EZ214" i="6"/>
  <c r="AO53" i="24"/>
  <c r="AK119" i="6"/>
  <c r="AG142" i="6"/>
  <c r="AG162" i="6"/>
  <c r="DO219" i="4"/>
  <c r="DV54" i="24"/>
  <c r="AJ226" i="6"/>
  <c r="AE122" i="6"/>
  <c r="FK30" i="6"/>
  <c r="AI83" i="6"/>
  <c r="AE201" i="6"/>
  <c r="CL57" i="24"/>
  <c r="AG180" i="6"/>
  <c r="Q40" i="24"/>
  <c r="DR87" i="6"/>
  <c r="AC176" i="6"/>
  <c r="DN54" i="24"/>
  <c r="AJ213" i="6"/>
  <c r="BK54" i="24"/>
  <c r="AJ144" i="6"/>
  <c r="BI53" i="24"/>
  <c r="AK142" i="6"/>
  <c r="AL102" i="6"/>
  <c r="AB102" i="6" s="1"/>
  <c r="AF106" i="6"/>
  <c r="DS70" i="6"/>
  <c r="DQ75" i="6"/>
  <c r="AL132" i="6"/>
  <c r="AB132" i="6" s="1"/>
  <c r="BW54" i="24"/>
  <c r="AJ161" i="6"/>
  <c r="CS55" i="24"/>
  <c r="AI189" i="6"/>
  <c r="BQ55" i="24"/>
  <c r="AI152" i="6"/>
  <c r="FK174" i="6"/>
  <c r="AO174" i="6" s="1"/>
  <c r="CG61" i="24"/>
  <c r="DG54" i="24"/>
  <c r="AJ204" i="6"/>
  <c r="AJ131" i="6"/>
  <c r="AH207" i="6"/>
  <c r="DU59" i="24"/>
  <c r="AE225" i="6"/>
  <c r="DN219" i="4"/>
  <c r="FK77" i="6"/>
  <c r="G61" i="24"/>
  <c r="EY76" i="6"/>
  <c r="J53" i="24"/>
  <c r="AK80" i="6"/>
  <c r="AH181" i="6"/>
  <c r="AP53" i="24"/>
  <c r="AK120" i="6"/>
  <c r="BZ51" i="24"/>
  <c r="AM166" i="6"/>
  <c r="AM98" i="6"/>
  <c r="AH112" i="6"/>
  <c r="DR218" i="6"/>
  <c r="DH218" i="6" s="1"/>
  <c r="AF201" i="6"/>
  <c r="BR51" i="24"/>
  <c r="AM153" i="6"/>
  <c r="P57" i="24"/>
  <c r="AG86" i="6"/>
  <c r="BU52" i="24"/>
  <c r="AL159" i="6"/>
  <c r="AB159" i="6" s="1"/>
  <c r="AN52" i="24"/>
  <c r="AL118" i="6"/>
  <c r="AB118" i="6" s="1"/>
  <c r="CO58" i="24"/>
  <c r="AF184" i="6"/>
  <c r="BV72" i="6"/>
  <c r="CR56" i="24"/>
  <c r="FD187" i="6"/>
  <c r="AH188" i="6"/>
  <c r="DM56" i="24"/>
  <c r="AH212" i="6"/>
  <c r="AD131" i="6"/>
  <c r="BG54" i="24"/>
  <c r="AJ140" i="6"/>
  <c r="AY60" i="24"/>
  <c r="EZ129" i="6"/>
  <c r="AD130" i="6"/>
  <c r="FK127" i="6"/>
  <c r="AW61" i="24"/>
  <c r="DK53" i="24"/>
  <c r="FG209" i="6"/>
  <c r="AK149" i="6"/>
  <c r="FK160" i="6"/>
  <c r="BV61" i="24"/>
  <c r="AC160" i="6"/>
  <c r="CU56" i="24"/>
  <c r="AH191" i="6"/>
  <c r="BB60" i="24"/>
  <c r="EZ133" i="6"/>
  <c r="AD134" i="6"/>
  <c r="BT52" i="24"/>
  <c r="FH157" i="6"/>
  <c r="EX157" i="6" s="1"/>
  <c r="X54" i="24"/>
  <c r="AJ97" i="6"/>
  <c r="E43" i="24"/>
  <c r="D43" i="24" s="1"/>
  <c r="DO43" i="6"/>
  <c r="DO47" i="6" s="1"/>
  <c r="DO71" i="6" s="1"/>
  <c r="FK216" i="6"/>
  <c r="DP61" i="24"/>
  <c r="AC216" i="6"/>
  <c r="FF55" i="4"/>
  <c r="FF57" i="6"/>
  <c r="AO50" i="24"/>
  <c r="AN119" i="6"/>
  <c r="CY52" i="24"/>
  <c r="AL196" i="6"/>
  <c r="AB196" i="6" s="1"/>
  <c r="BR60" i="24"/>
  <c r="AD153" i="6"/>
  <c r="AM219" i="1"/>
  <c r="W70" i="6"/>
  <c r="FH241" i="6"/>
  <c r="AL242" i="6"/>
  <c r="FK192" i="6"/>
  <c r="AO192" i="6" s="1"/>
  <c r="CV61" i="24"/>
  <c r="FK100" i="6"/>
  <c r="AA61" i="24"/>
  <c r="DX57" i="24"/>
  <c r="FC229" i="4"/>
  <c r="AN50" i="24"/>
  <c r="AN118" i="6"/>
  <c r="CC72" i="6"/>
  <c r="CZ55" i="24"/>
  <c r="AI197" i="6"/>
  <c r="O56" i="24"/>
  <c r="AH85" i="6"/>
  <c r="AL60" i="24"/>
  <c r="AD113" i="6"/>
  <c r="AG219" i="4"/>
  <c r="BL54" i="24"/>
  <c r="AJ145" i="6"/>
  <c r="FK95" i="6"/>
  <c r="V61" i="24"/>
  <c r="AJ56" i="24"/>
  <c r="AH111" i="6"/>
  <c r="BD50" i="24"/>
  <c r="AN136" i="6"/>
  <c r="Q51" i="24"/>
  <c r="FI87" i="6"/>
  <c r="AU58" i="24"/>
  <c r="AF125" i="6"/>
  <c r="BA60" i="24"/>
  <c r="AD132" i="6"/>
  <c r="DH58" i="24"/>
  <c r="FB205" i="6"/>
  <c r="I50" i="24"/>
  <c r="AN79" i="6"/>
  <c r="CF60" i="24"/>
  <c r="EZ172" i="6"/>
  <c r="AD173" i="6"/>
  <c r="AD56" i="24"/>
  <c r="FD104" i="6"/>
  <c r="CW59" i="24"/>
  <c r="FA193" i="6"/>
  <c r="AE194" i="6"/>
  <c r="BS59" i="24"/>
  <c r="AE154" i="6"/>
  <c r="S54" i="24"/>
  <c r="AJ92" i="6"/>
  <c r="CT56" i="24"/>
  <c r="AH190" i="6"/>
  <c r="AR58" i="24"/>
  <c r="AF122" i="6"/>
  <c r="CN56" i="24"/>
  <c r="FD182" i="6"/>
  <c r="FK139" i="6"/>
  <c r="BF61" i="24"/>
  <c r="EY138" i="6"/>
  <c r="Y52" i="24"/>
  <c r="AL98" i="6"/>
  <c r="AB98" i="6" s="1"/>
  <c r="BM56" i="24"/>
  <c r="FD146" i="6"/>
  <c r="DV56" i="24"/>
  <c r="AH226" i="6"/>
  <c r="FK144" i="6"/>
  <c r="BK61" i="24"/>
  <c r="CS59" i="24"/>
  <c r="AE189" i="6"/>
  <c r="FK204" i="6"/>
  <c r="AO204" i="6" s="1"/>
  <c r="DG61" i="24"/>
  <c r="AC204" i="6"/>
  <c r="AC144" i="6"/>
  <c r="FK80" i="6"/>
  <c r="J61" i="24"/>
  <c r="BZ59" i="24"/>
  <c r="AE166" i="6"/>
  <c r="FK34" i="6"/>
  <c r="AC34" i="6"/>
  <c r="V70" i="6"/>
  <c r="AL55" i="24"/>
  <c r="AI113" i="6"/>
  <c r="FK82" i="6"/>
  <c r="L61" i="24"/>
  <c r="DM43" i="6"/>
  <c r="DM47" i="6" s="1"/>
  <c r="DM71" i="6" s="1"/>
  <c r="E45" i="24"/>
  <c r="D45" i="24" s="1"/>
  <c r="P56" i="24"/>
  <c r="AH86" i="6"/>
  <c r="AI52" i="24"/>
  <c r="AL110" i="6"/>
  <c r="AB110" i="6" s="1"/>
  <c r="CA60" i="24"/>
  <c r="AD167" i="6"/>
  <c r="AE99" i="6"/>
  <c r="CQ53" i="24"/>
  <c r="AK186" i="6"/>
  <c r="AZ55" i="24"/>
  <c r="AI131" i="6"/>
  <c r="BH61" i="24"/>
  <c r="FK141" i="6"/>
  <c r="AC141" i="6"/>
  <c r="DI57" i="4"/>
  <c r="DI58" i="4" s="1"/>
  <c r="DU55" i="4"/>
  <c r="DU57" i="4" s="1"/>
  <c r="DU58" i="4" s="1"/>
  <c r="Q59" i="24"/>
  <c r="FA87" i="6"/>
  <c r="AX50" i="24"/>
  <c r="AN128" i="6"/>
  <c r="CR59" i="24"/>
  <c r="FA187" i="6"/>
  <c r="AE188" i="6"/>
  <c r="DM54" i="24"/>
  <c r="AJ212" i="6"/>
  <c r="M56" i="24"/>
  <c r="AH83" i="6"/>
  <c r="AC50" i="24"/>
  <c r="AN102" i="6"/>
  <c r="I52" i="24"/>
  <c r="AL79" i="6"/>
  <c r="AB79" i="6" s="1"/>
  <c r="CE61" i="24"/>
  <c r="FK171" i="6"/>
  <c r="CF55" i="24"/>
  <c r="FE172" i="6"/>
  <c r="AI173" i="6"/>
  <c r="BY51" i="24"/>
  <c r="FI164" i="6"/>
  <c r="CW58" i="24"/>
  <c r="FB193" i="6"/>
  <c r="BC54" i="24"/>
  <c r="AJ135" i="6"/>
  <c r="CT52" i="24"/>
  <c r="AL190" i="6"/>
  <c r="AB190" i="6" s="1"/>
  <c r="BT51" i="24"/>
  <c r="FI157" i="6"/>
  <c r="DW50" i="24"/>
  <c r="FJ228" i="4"/>
  <c r="FJ227" i="6"/>
  <c r="AN228" i="6"/>
  <c r="DP59" i="24"/>
  <c r="AE216" i="6"/>
  <c r="CJ59" i="24"/>
  <c r="AE177" i="6"/>
  <c r="DU209" i="6"/>
  <c r="DO56" i="24"/>
  <c r="FD214" i="6"/>
  <c r="AL84" i="6"/>
  <c r="AB84" i="6" s="1"/>
  <c r="BK59" i="24"/>
  <c r="AE144" i="6"/>
  <c r="FK181" i="6"/>
  <c r="AO181" i="6" s="1"/>
  <c r="CM61" i="24"/>
  <c r="AC181" i="6"/>
  <c r="CS58" i="24"/>
  <c r="AF189" i="6"/>
  <c r="AD165" i="6"/>
  <c r="AF199" i="6"/>
  <c r="AC95" i="6"/>
  <c r="AF38" i="6"/>
  <c r="AM196" i="6"/>
  <c r="AH52" i="24"/>
  <c r="AL109" i="6"/>
  <c r="AB109" i="6" s="1"/>
  <c r="U70" i="6"/>
  <c r="DD230" i="6"/>
  <c r="AL53" i="24"/>
  <c r="AK113" i="6"/>
  <c r="EY241" i="6"/>
  <c r="EB61" i="24" s="1"/>
  <c r="FK159" i="6"/>
  <c r="BU61" i="24"/>
  <c r="H53" i="24"/>
  <c r="AK78" i="6"/>
  <c r="AJ61" i="24"/>
  <c r="FK111" i="6"/>
  <c r="DB56" i="24"/>
  <c r="AH199" i="6"/>
  <c r="FK106" i="6"/>
  <c r="AE61" i="24"/>
  <c r="AC106" i="6"/>
  <c r="Q58" i="24"/>
  <c r="FB87" i="6"/>
  <c r="AJ170" i="6"/>
  <c r="DE60" i="24"/>
  <c r="AD202" i="6"/>
  <c r="FJ38" i="6"/>
  <c r="F50" i="24" s="1"/>
  <c r="AN39" i="6"/>
  <c r="AN38" i="6" s="1"/>
  <c r="M52" i="24"/>
  <c r="AL83" i="6"/>
  <c r="AB83" i="6" s="1"/>
  <c r="I61" i="24"/>
  <c r="FK79" i="6"/>
  <c r="AC79" i="6"/>
  <c r="CF53" i="24"/>
  <c r="FG172" i="6"/>
  <c r="AK173" i="6"/>
  <c r="DK57" i="24"/>
  <c r="FC209" i="6"/>
  <c r="CW57" i="24"/>
  <c r="FC193" i="6"/>
  <c r="AG194" i="6"/>
  <c r="BS51" i="24"/>
  <c r="AM154" i="6"/>
  <c r="BC53" i="24"/>
  <c r="AK135" i="6"/>
  <c r="AQ56" i="24"/>
  <c r="AH121" i="6"/>
  <c r="BT50" i="24"/>
  <c r="FJ157" i="6"/>
  <c r="AN158" i="6"/>
  <c r="X52" i="24"/>
  <c r="AL97" i="6"/>
  <c r="AB97" i="6" s="1"/>
  <c r="FJ57" i="6"/>
  <c r="FJ55" i="4"/>
  <c r="CG55" i="24"/>
  <c r="AI174" i="6"/>
  <c r="J51" i="24"/>
  <c r="AM80" i="6"/>
  <c r="BZ57" i="24"/>
  <c r="AG166" i="6"/>
  <c r="AD82" i="6"/>
  <c r="AK220" i="1"/>
  <c r="EZ241" i="6"/>
  <c r="EB60" i="24" s="1"/>
  <c r="AD242" i="6"/>
  <c r="AD241" i="6" s="1"/>
  <c r="FK46" i="6"/>
  <c r="W50" i="24"/>
  <c r="AN96" i="6"/>
  <c r="DU116" i="6"/>
  <c r="V53" i="24"/>
  <c r="AK95" i="6"/>
  <c r="AD176" i="6"/>
  <c r="CO54" i="24"/>
  <c r="AJ184" i="6"/>
  <c r="BD57" i="24"/>
  <c r="AG136" i="6"/>
  <c r="O59" i="24"/>
  <c r="AE85" i="6"/>
  <c r="BH60" i="24"/>
  <c r="AD141" i="6"/>
  <c r="DK115" i="6"/>
  <c r="FK125" i="6"/>
  <c r="AU61" i="24"/>
  <c r="AC125" i="6"/>
  <c r="DE51" i="24"/>
  <c r="AM202" i="6"/>
  <c r="FG38" i="6"/>
  <c r="AK39" i="6"/>
  <c r="FK206" i="6"/>
  <c r="DH61" i="24"/>
  <c r="EY205" i="6"/>
  <c r="AC206" i="6"/>
  <c r="AC57" i="24"/>
  <c r="AG102" i="6"/>
  <c r="CE51" i="24"/>
  <c r="AM171" i="6"/>
  <c r="AN219" i="4"/>
  <c r="AW50" i="24"/>
  <c r="AN127" i="6"/>
  <c r="AH219" i="4"/>
  <c r="AD50" i="24"/>
  <c r="FJ104" i="6"/>
  <c r="AN105" i="6"/>
  <c r="CW56" i="24"/>
  <c r="FD193" i="6"/>
  <c r="BS60" i="24"/>
  <c r="AD154" i="6"/>
  <c r="Z53" i="24"/>
  <c r="AK99" i="6"/>
  <c r="CT50" i="24"/>
  <c r="AN190" i="6"/>
  <c r="AR61" i="24"/>
  <c r="FK122" i="6"/>
  <c r="AC122" i="6"/>
  <c r="AK55" i="24"/>
  <c r="AI112" i="6"/>
  <c r="CN60" i="24"/>
  <c r="EZ182" i="6"/>
  <c r="DW58" i="24"/>
  <c r="FB228" i="4"/>
  <c r="FB227" i="6"/>
  <c r="AF228" i="6"/>
  <c r="AF227" i="6" s="1"/>
  <c r="DP55" i="24"/>
  <c r="AI216" i="6"/>
  <c r="BM55" i="24"/>
  <c r="FE146" i="6"/>
  <c r="AI147" i="6"/>
  <c r="DO59" i="24"/>
  <c r="FA214" i="6"/>
  <c r="AE215" i="6"/>
  <c r="BS230" i="6"/>
  <c r="BS231" i="6" s="1"/>
  <c r="CE218" i="6"/>
  <c r="BW51" i="24"/>
  <c r="AM161" i="6"/>
  <c r="DA54" i="24"/>
  <c r="AJ198" i="6"/>
  <c r="DQ156" i="6"/>
  <c r="AK166" i="6"/>
  <c r="AH184" i="6"/>
  <c r="AH50" i="24"/>
  <c r="AN109" i="6"/>
  <c r="AL82" i="6"/>
  <c r="AB82" i="6" s="1"/>
  <c r="AJ222" i="1"/>
  <c r="AJ219" i="1" s="1"/>
  <c r="AL57" i="24"/>
  <c r="AG113" i="6"/>
  <c r="P53" i="24"/>
  <c r="AK86" i="6"/>
  <c r="H51" i="24"/>
  <c r="AM78" i="6"/>
  <c r="BL58" i="24"/>
  <c r="AF145" i="6"/>
  <c r="AJ167" i="6"/>
  <c r="AD60" i="6"/>
  <c r="AJ55" i="24"/>
  <c r="AI111" i="6"/>
  <c r="BH55" i="24"/>
  <c r="AI141" i="6"/>
  <c r="FK202" i="6"/>
  <c r="AO202" i="6" s="1"/>
  <c r="DE61" i="24"/>
  <c r="FH38" i="6"/>
  <c r="U60" i="24"/>
  <c r="AD94" i="6"/>
  <c r="AC58" i="24"/>
  <c r="AF102" i="6"/>
  <c r="AY57" i="24"/>
  <c r="FC129" i="6"/>
  <c r="BY58" i="24"/>
  <c r="FB164" i="6"/>
  <c r="AK101" i="6"/>
  <c r="BJ54" i="24"/>
  <c r="AJ143" i="6"/>
  <c r="DC51" i="24"/>
  <c r="AM200" i="6"/>
  <c r="BB55" i="24"/>
  <c r="FE133" i="6"/>
  <c r="AI134" i="6"/>
  <c r="AF152" i="6"/>
  <c r="AV60" i="24"/>
  <c r="AD126" i="6"/>
  <c r="CN55" i="24"/>
  <c r="FE182" i="6"/>
  <c r="BF53" i="24"/>
  <c r="FG138" i="6"/>
  <c r="AC111" i="6"/>
  <c r="FI29" i="6"/>
  <c r="BM52" i="24"/>
  <c r="FH146" i="6"/>
  <c r="EX146" i="6" s="1"/>
  <c r="DO52" i="24"/>
  <c r="FH214" i="6"/>
  <c r="EX214" i="6" s="1"/>
  <c r="AL215" i="6"/>
  <c r="AB215" i="6" s="1"/>
  <c r="AD160" i="6"/>
  <c r="CY57" i="24"/>
  <c r="AG196" i="6"/>
  <c r="AT58" i="24"/>
  <c r="AF124" i="6"/>
  <c r="BZ56" i="24"/>
  <c r="AH166" i="6"/>
  <c r="AL105" i="6"/>
  <c r="AB105" i="6" s="1"/>
  <c r="AG153" i="6"/>
  <c r="X218" i="6"/>
  <c r="AN101" i="6"/>
  <c r="AM219" i="4"/>
  <c r="CV53" i="24"/>
  <c r="AK192" i="6"/>
  <c r="W57" i="24"/>
  <c r="AG96" i="6"/>
  <c r="BL57" i="24"/>
  <c r="AG145" i="6"/>
  <c r="V57" i="24"/>
  <c r="AG95" i="6"/>
  <c r="AL131" i="6"/>
  <c r="AB131" i="6" s="1"/>
  <c r="CI54" i="24"/>
  <c r="AJ176" i="6"/>
  <c r="AJ54" i="24"/>
  <c r="AJ111" i="6"/>
  <c r="CO52" i="24"/>
  <c r="AL184" i="6"/>
  <c r="AB184" i="6" s="1"/>
  <c r="CZ51" i="24"/>
  <c r="AM197" i="6"/>
  <c r="E42" i="24"/>
  <c r="D42" i="24" s="1"/>
  <c r="DP43" i="6"/>
  <c r="DP47" i="6" s="1"/>
  <c r="DP71" i="6" s="1"/>
  <c r="DF50" i="24"/>
  <c r="AN203" i="6"/>
  <c r="E47" i="24"/>
  <c r="D47" i="24" s="1"/>
  <c r="DK43" i="6"/>
  <c r="DK47" i="6" s="1"/>
  <c r="DK71" i="6" s="1"/>
  <c r="AB57" i="24"/>
  <c r="AG101" i="6"/>
  <c r="CE156" i="6"/>
  <c r="Q57" i="24"/>
  <c r="FC87" i="6"/>
  <c r="X70" i="6"/>
  <c r="AG220" i="1"/>
  <c r="CV54" i="24"/>
  <c r="AJ192" i="6"/>
  <c r="FK96" i="6"/>
  <c r="W61" i="24"/>
  <c r="AA53" i="24"/>
  <c r="AK100" i="6"/>
  <c r="AE191" i="6"/>
  <c r="DX52" i="24"/>
  <c r="FH229" i="4"/>
  <c r="BE60" i="24"/>
  <c r="AD137" i="6"/>
  <c r="FK184" i="6"/>
  <c r="AO184" i="6" s="1"/>
  <c r="CO61" i="24"/>
  <c r="AC184" i="6"/>
  <c r="BD60" i="24"/>
  <c r="AD136" i="6"/>
  <c r="BH52" i="24"/>
  <c r="AL141" i="6"/>
  <c r="AB141" i="6" s="1"/>
  <c r="AH211" i="6"/>
  <c r="FD88" i="6"/>
  <c r="AH32" i="6"/>
  <c r="AU60" i="24"/>
  <c r="AD125" i="6"/>
  <c r="CR52" i="24"/>
  <c r="FH187" i="6"/>
  <c r="EX187" i="6" s="1"/>
  <c r="AL188" i="6"/>
  <c r="AB188" i="6" s="1"/>
  <c r="AL197" i="6"/>
  <c r="AB197" i="6" s="1"/>
  <c r="DH54" i="24"/>
  <c r="FF205" i="6"/>
  <c r="BG52" i="24"/>
  <c r="AL140" i="6"/>
  <c r="AB140" i="6" s="1"/>
  <c r="AW56" i="24"/>
  <c r="AH127" i="6"/>
  <c r="BO57" i="24"/>
  <c r="AG149" i="6"/>
  <c r="AD60" i="24"/>
  <c r="EZ104" i="6"/>
  <c r="AD105" i="6"/>
  <c r="CK54" i="24"/>
  <c r="FF178" i="6"/>
  <c r="AK107" i="6"/>
  <c r="FK135" i="6"/>
  <c r="BC61" i="24"/>
  <c r="AC135" i="6"/>
  <c r="CU54" i="24"/>
  <c r="AJ191" i="6"/>
  <c r="BB57" i="24"/>
  <c r="FC133" i="6"/>
  <c r="AG134" i="6"/>
  <c r="DI50" i="24"/>
  <c r="AN207" i="6"/>
  <c r="AH192" i="6"/>
  <c r="AV53" i="24"/>
  <c r="AK126" i="6"/>
  <c r="DS219" i="4"/>
  <c r="CN54" i="24"/>
  <c r="FF182" i="6"/>
  <c r="BF56" i="24"/>
  <c r="FD138" i="6"/>
  <c r="EZ29" i="6"/>
  <c r="FK147" i="6"/>
  <c r="BM61" i="24"/>
  <c r="EY146" i="6"/>
  <c r="AC147" i="6"/>
  <c r="E39" i="24"/>
  <c r="D39" i="24" s="1"/>
  <c r="DS43" i="6"/>
  <c r="DS47" i="6" s="1"/>
  <c r="DS71" i="6" s="1"/>
  <c r="DO55" i="24"/>
  <c r="FE214" i="6"/>
  <c r="AH198" i="6"/>
  <c r="CL56" i="24"/>
  <c r="AH180" i="6"/>
  <c r="AI162" i="6"/>
  <c r="BK53" i="24"/>
  <c r="AK144" i="6"/>
  <c r="AI100" i="6"/>
  <c r="DS60" i="4"/>
  <c r="AK91" i="6"/>
  <c r="DU172" i="6"/>
  <c r="AJ154" i="6"/>
  <c r="G60" i="24"/>
  <c r="EZ76" i="6"/>
  <c r="AD77" i="6"/>
  <c r="J52" i="24"/>
  <c r="AL80" i="6"/>
  <c r="AB80" i="6" s="1"/>
  <c r="BZ50" i="24"/>
  <c r="AN166" i="6"/>
  <c r="DR219" i="4"/>
  <c r="AJ137" i="6"/>
  <c r="BR50" i="24"/>
  <c r="AN153" i="6"/>
  <c r="BQ70" i="6"/>
  <c r="AL52" i="24"/>
  <c r="AL113" i="6"/>
  <c r="AB113" i="6" s="1"/>
  <c r="AD219" i="4"/>
  <c r="CV52" i="24"/>
  <c r="AL192" i="6"/>
  <c r="AB192" i="6" s="1"/>
  <c r="AG51" i="24"/>
  <c r="AM108" i="6"/>
  <c r="AM53" i="24"/>
  <c r="FG116" i="6"/>
  <c r="BL59" i="24"/>
  <c r="AE145" i="6"/>
  <c r="AI96" i="6"/>
  <c r="DX50" i="24"/>
  <c r="FJ229" i="4"/>
  <c r="AN229" i="6"/>
  <c r="DF54" i="24"/>
  <c r="AJ203" i="6"/>
  <c r="BH51" i="24"/>
  <c r="AM141" i="6"/>
  <c r="CE115" i="6"/>
  <c r="AU59" i="24"/>
  <c r="AE125" i="6"/>
  <c r="DE56" i="24"/>
  <c r="AH202" i="6"/>
  <c r="FE38" i="6"/>
  <c r="F55" i="24" s="1"/>
  <c r="AI39" i="6"/>
  <c r="AI38" i="6" s="1"/>
  <c r="BG51" i="24"/>
  <c r="AM140" i="6"/>
  <c r="CE52" i="24"/>
  <c r="AL171" i="6"/>
  <c r="AB171" i="6" s="1"/>
  <c r="CF57" i="24"/>
  <c r="FC172" i="6"/>
  <c r="AG173" i="6"/>
  <c r="Q46" i="24"/>
  <c r="DL87" i="6"/>
  <c r="DL75" i="6" s="1"/>
  <c r="BO58" i="24"/>
  <c r="AF149" i="6"/>
  <c r="AD59" i="24"/>
  <c r="FA104" i="6"/>
  <c r="AF51" i="24"/>
  <c r="AM107" i="6"/>
  <c r="BJ58" i="24"/>
  <c r="AF143" i="6"/>
  <c r="AN94" i="6"/>
  <c r="DC53" i="24"/>
  <c r="AK200" i="6"/>
  <c r="AI175" i="6"/>
  <c r="AN78" i="6"/>
  <c r="Z50" i="24"/>
  <c r="AN99" i="6"/>
  <c r="AK128" i="6"/>
  <c r="DL52" i="24"/>
  <c r="AL211" i="6"/>
  <c r="AB211" i="6" s="1"/>
  <c r="CN52" i="24"/>
  <c r="FH182" i="6"/>
  <c r="EX182" i="6" s="1"/>
  <c r="AL183" i="6"/>
  <c r="AB183" i="6" s="1"/>
  <c r="AS53" i="24"/>
  <c r="AK123" i="6"/>
  <c r="FD29" i="6"/>
  <c r="BM60" i="24"/>
  <c r="EZ146" i="6"/>
  <c r="AD147" i="6"/>
  <c r="AD190" i="6"/>
  <c r="AH170" i="6"/>
  <c r="DO54" i="24"/>
  <c r="FF214" i="6"/>
  <c r="AJ215" i="6"/>
  <c r="AG130" i="6"/>
  <c r="BI50" i="24"/>
  <c r="AN142" i="6"/>
  <c r="AE32" i="6"/>
  <c r="AG189" i="6"/>
  <c r="AF213" i="6"/>
  <c r="AM167" i="6"/>
  <c r="DA60" i="24"/>
  <c r="AD198" i="6"/>
  <c r="J50" i="24"/>
  <c r="AN80" i="6"/>
  <c r="AP57" i="24"/>
  <c r="AG120" i="6"/>
  <c r="AL112" i="6"/>
  <c r="AB112" i="6" s="1"/>
  <c r="AC171" i="6"/>
  <c r="AH158" i="6"/>
  <c r="DN156" i="6"/>
  <c r="BR59" i="24"/>
  <c r="AE153" i="6"/>
  <c r="Q39" i="24"/>
  <c r="DS87" i="6"/>
  <c r="DS75" i="6" s="1"/>
  <c r="AN220" i="1"/>
  <c r="AN219" i="1" s="1"/>
  <c r="AD220" i="1"/>
  <c r="AD219" i="1" s="1"/>
  <c r="CH56" i="24"/>
  <c r="AH175" i="6"/>
  <c r="L54" i="24"/>
  <c r="AJ82" i="6"/>
  <c r="FK86" i="6"/>
  <c r="P61" i="24"/>
  <c r="AC86" i="6"/>
  <c r="AE82" i="6"/>
  <c r="FB241" i="6"/>
  <c r="EB58" i="24" s="1"/>
  <c r="CD50" i="24"/>
  <c r="AN170" i="6"/>
  <c r="BU54" i="24"/>
  <c r="AJ159" i="6"/>
  <c r="DJ156" i="6"/>
  <c r="CX61" i="24"/>
  <c r="FK195" i="6"/>
  <c r="AO195" i="6" s="1"/>
  <c r="AC195" i="6"/>
  <c r="DU193" i="6"/>
  <c r="H58" i="24"/>
  <c r="AF78" i="6"/>
  <c r="AG50" i="24"/>
  <c r="AN108" i="6"/>
  <c r="FK110" i="6"/>
  <c r="AI61" i="24"/>
  <c r="AM50" i="24"/>
  <c r="FJ116" i="6"/>
  <c r="AA50" i="24"/>
  <c r="AN100" i="6"/>
  <c r="BL60" i="24"/>
  <c r="AD145" i="6"/>
  <c r="CA59" i="24"/>
  <c r="AE167" i="6"/>
  <c r="E46" i="24"/>
  <c r="D46" i="24" s="1"/>
  <c r="DL43" i="6"/>
  <c r="DL47" i="6" s="1"/>
  <c r="DL71" i="6" s="1"/>
  <c r="DX61" i="24"/>
  <c r="FK229" i="6"/>
  <c r="EY229" i="4"/>
  <c r="AC229" i="6"/>
  <c r="BX56" i="24"/>
  <c r="AH162" i="6"/>
  <c r="AI208" i="6"/>
  <c r="AJ50" i="24"/>
  <c r="AN111" i="6"/>
  <c r="BE59" i="24"/>
  <c r="AE137" i="6"/>
  <c r="DB61" i="24"/>
  <c r="FK199" i="6"/>
  <c r="AO199" i="6" s="1"/>
  <c r="AC199" i="6"/>
  <c r="CO51" i="24"/>
  <c r="AM184" i="6"/>
  <c r="AF120" i="6"/>
  <c r="CZ56" i="24"/>
  <c r="AH197" i="6"/>
  <c r="BD55" i="24"/>
  <c r="AI136" i="6"/>
  <c r="CQ56" i="24"/>
  <c r="AH186" i="6"/>
  <c r="AI190" i="6"/>
  <c r="DF61" i="24"/>
  <c r="FK203" i="6"/>
  <c r="AO203" i="6" s="1"/>
  <c r="AC203" i="6"/>
  <c r="AZ56" i="24"/>
  <c r="AH131" i="6"/>
  <c r="AJ85" i="6"/>
  <c r="BH50" i="24"/>
  <c r="AN141" i="6"/>
  <c r="AM101" i="6"/>
  <c r="AE53" i="24"/>
  <c r="AK106" i="6"/>
  <c r="AB60" i="24"/>
  <c r="AD101" i="6"/>
  <c r="DJ218" i="6"/>
  <c r="DK70" i="6"/>
  <c r="Q50" i="24"/>
  <c r="FJ87" i="6"/>
  <c r="AX57" i="24"/>
  <c r="AG128" i="6"/>
  <c r="CR50" i="24"/>
  <c r="FJ187" i="6"/>
  <c r="AN188" i="6"/>
  <c r="FK39" i="6"/>
  <c r="EY38" i="6"/>
  <c r="F61" i="24" s="1"/>
  <c r="T61" i="24"/>
  <c r="FK93" i="6"/>
  <c r="AC93" i="6"/>
  <c r="AK180" i="6"/>
  <c r="DM59" i="24"/>
  <c r="AE212" i="6"/>
  <c r="DH52" i="24"/>
  <c r="FH205" i="6"/>
  <c r="EX205" i="6" s="1"/>
  <c r="M59" i="24"/>
  <c r="AE83" i="6"/>
  <c r="BG60" i="24"/>
  <c r="AD140" i="6"/>
  <c r="CE50" i="24"/>
  <c r="AN171" i="6"/>
  <c r="AY53" i="24"/>
  <c r="FG129" i="6"/>
  <c r="CF56" i="24"/>
  <c r="FD172" i="6"/>
  <c r="AN126" i="6"/>
  <c r="AW55" i="24"/>
  <c r="AI127" i="6"/>
  <c r="BO56" i="24"/>
  <c r="AH149" i="6"/>
  <c r="BY53" i="24"/>
  <c r="FG164" i="6"/>
  <c r="AK165" i="6"/>
  <c r="AD53" i="24"/>
  <c r="FG104" i="6"/>
  <c r="AK105" i="6"/>
  <c r="DK60" i="24"/>
  <c r="EZ209" i="6"/>
  <c r="AF57" i="24"/>
  <c r="AG107" i="6"/>
  <c r="AN31" i="6"/>
  <c r="AG125" i="6"/>
  <c r="CW60" i="24"/>
  <c r="EZ193" i="6"/>
  <c r="AD194" i="6"/>
  <c r="AH31" i="6"/>
  <c r="CK53" i="24"/>
  <c r="FG178" i="6"/>
  <c r="AK179" i="6"/>
  <c r="AG88" i="6"/>
  <c r="AG87" i="6" s="1"/>
  <c r="DC50" i="24"/>
  <c r="AN200" i="6"/>
  <c r="BV59" i="24"/>
  <c r="AE160" i="6"/>
  <c r="S51" i="24"/>
  <c r="AM92" i="6"/>
  <c r="BC52" i="24"/>
  <c r="AL135" i="6"/>
  <c r="AB135" i="6" s="1"/>
  <c r="Z52" i="24"/>
  <c r="AL99" i="6"/>
  <c r="AB99" i="6" s="1"/>
  <c r="R55" i="24"/>
  <c r="FE90" i="6"/>
  <c r="AJ96" i="6"/>
  <c r="CU50" i="24"/>
  <c r="AN191" i="6"/>
  <c r="DJ43" i="6"/>
  <c r="DJ47" i="6" s="1"/>
  <c r="DJ71" i="6" s="1"/>
  <c r="CT53" i="24"/>
  <c r="AK190" i="6"/>
  <c r="BB52" i="24"/>
  <c r="FH133" i="6"/>
  <c r="EX133" i="6" s="1"/>
  <c r="AL134" i="6"/>
  <c r="AB134" i="6" s="1"/>
  <c r="AI124" i="6"/>
  <c r="AR52" i="24"/>
  <c r="AL122" i="6"/>
  <c r="AB122" i="6" s="1"/>
  <c r="BP59" i="24"/>
  <c r="FA150" i="6"/>
  <c r="AE151" i="6"/>
  <c r="DL51" i="24"/>
  <c r="AM211" i="6"/>
  <c r="N59" i="24"/>
  <c r="AE84" i="6"/>
  <c r="AV52" i="24"/>
  <c r="AL126" i="6"/>
  <c r="AB126" i="6" s="1"/>
  <c r="AM168" i="6"/>
  <c r="AN124" i="6"/>
  <c r="AJ188" i="6"/>
  <c r="AQ60" i="24"/>
  <c r="AD121" i="6"/>
  <c r="AD148" i="6"/>
  <c r="CN51" i="24"/>
  <c r="FI182" i="6"/>
  <c r="BT55" i="24"/>
  <c r="FE157" i="6"/>
  <c r="AH173" i="6"/>
  <c r="BF51" i="24"/>
  <c r="FI138" i="6"/>
  <c r="AS52" i="24"/>
  <c r="AL123" i="6"/>
  <c r="AB123" i="6" s="1"/>
  <c r="AM85" i="6"/>
  <c r="DW54" i="24"/>
  <c r="FF228" i="4"/>
  <c r="FF227" i="6"/>
  <c r="AJ228" i="6"/>
  <c r="DR115" i="6"/>
  <c r="DH115" i="6" s="1"/>
  <c r="FE29" i="6"/>
  <c r="AE98" i="6"/>
  <c r="AL158" i="6"/>
  <c r="AB158" i="6" s="1"/>
  <c r="AH195" i="6"/>
  <c r="AL96" i="6"/>
  <c r="AB96" i="6" s="1"/>
  <c r="CJ58" i="24"/>
  <c r="AF177" i="6"/>
  <c r="AJ199" i="6"/>
  <c r="BM59" i="24"/>
  <c r="FA146" i="6"/>
  <c r="AE147" i="6"/>
  <c r="FG55" i="4"/>
  <c r="FG57" i="4" s="1"/>
  <c r="FG58" i="4" s="1"/>
  <c r="FG57" i="6"/>
  <c r="AD81" i="6"/>
  <c r="DT56" i="24"/>
  <c r="FD223" i="6"/>
  <c r="DO53" i="24"/>
  <c r="FG214" i="6"/>
  <c r="FK119" i="6"/>
  <c r="AO61" i="24"/>
  <c r="AC119" i="6"/>
  <c r="AK124" i="6"/>
  <c r="AE186" i="6"/>
  <c r="AM160" i="6"/>
  <c r="AD112" i="6"/>
  <c r="DS156" i="6"/>
  <c r="AK94" i="6"/>
  <c r="AH194" i="6"/>
  <c r="FK142" i="6"/>
  <c r="BI61" i="24"/>
  <c r="AM110" i="6"/>
  <c r="AN189" i="6"/>
  <c r="AE181" i="6"/>
  <c r="DJ50" i="24"/>
  <c r="AN208" i="6"/>
  <c r="CM50" i="24"/>
  <c r="AN181" i="6"/>
  <c r="AJ201" i="6"/>
  <c r="BW50" i="24"/>
  <c r="AN161" i="6"/>
  <c r="FK189" i="6"/>
  <c r="AO189" i="6" s="1"/>
  <c r="CS61" i="24"/>
  <c r="AC189" i="6"/>
  <c r="AD100" i="6"/>
  <c r="BQ51" i="24"/>
  <c r="AM152" i="6"/>
  <c r="AH136" i="6"/>
  <c r="CG59" i="24"/>
  <c r="AE174" i="6"/>
  <c r="AT60" i="24"/>
  <c r="AD124" i="6"/>
  <c r="AE226" i="6"/>
  <c r="AL143" i="6"/>
  <c r="AB143" i="6" s="1"/>
  <c r="DU58" i="24"/>
  <c r="AF225" i="6"/>
  <c r="AD192" i="6"/>
  <c r="G55" i="24"/>
  <c r="FE76" i="6"/>
  <c r="J58" i="24"/>
  <c r="AF80" i="6"/>
  <c r="FK44" i="6"/>
  <c r="AH117" i="6"/>
  <c r="AN174" i="6"/>
  <c r="AG203" i="6"/>
  <c r="AE204" i="6"/>
  <c r="AN110" i="6"/>
  <c r="DP75" i="6"/>
  <c r="AH53" i="24"/>
  <c r="AK109" i="6"/>
  <c r="BR55" i="24"/>
  <c r="AI153" i="6"/>
  <c r="AE81" i="6"/>
  <c r="AL177" i="6"/>
  <c r="AB177" i="6" s="1"/>
  <c r="CD55" i="24"/>
  <c r="AI170" i="6"/>
  <c r="AG58" i="24"/>
  <c r="AF108" i="6"/>
  <c r="AA56" i="24"/>
  <c r="AH100" i="6"/>
  <c r="DX59" i="24"/>
  <c r="FA229" i="4"/>
  <c r="AE229" i="6"/>
  <c r="BE56" i="24"/>
  <c r="AH137" i="6"/>
  <c r="O58" i="24"/>
  <c r="AF85" i="6"/>
  <c r="BH56" i="24"/>
  <c r="AH141" i="6"/>
  <c r="CE56" i="24"/>
  <c r="AH171" i="6"/>
  <c r="BJ51" i="24"/>
  <c r="AM143" i="6"/>
  <c r="DC56" i="24"/>
  <c r="AH200" i="6"/>
  <c r="BC59" i="24"/>
  <c r="AE135" i="6"/>
  <c r="FK169" i="6"/>
  <c r="CC61" i="24"/>
  <c r="BP53" i="24"/>
  <c r="FG150" i="6"/>
  <c r="AV58" i="24"/>
  <c r="AF126" i="6"/>
  <c r="AK58" i="24"/>
  <c r="AF112" i="6"/>
  <c r="BN51" i="24"/>
  <c r="AM148" i="6"/>
  <c r="DT53" i="24"/>
  <c r="FG223" i="6"/>
  <c r="AK224" i="6"/>
  <c r="CL55" i="24"/>
  <c r="AI180" i="6"/>
  <c r="AD96" i="6"/>
  <c r="DU214" i="6"/>
  <c r="BW56" i="24"/>
  <c r="AH161" i="6"/>
  <c r="AP50" i="24"/>
  <c r="AN120" i="6"/>
  <c r="DO70" i="6"/>
  <c r="DU164" i="6"/>
  <c r="BA51" i="24"/>
  <c r="AM132" i="6"/>
  <c r="DH57" i="24"/>
  <c r="FC205" i="6"/>
  <c r="AG206" i="6"/>
  <c r="BG50" i="24"/>
  <c r="AN140" i="6"/>
  <c r="AY54" i="24"/>
  <c r="FF129" i="6"/>
  <c r="DK50" i="24"/>
  <c r="FJ209" i="6"/>
  <c r="CK60" i="24"/>
  <c r="EZ178" i="6"/>
  <c r="AD179" i="6"/>
  <c r="E44" i="24"/>
  <c r="D44" i="24" s="1"/>
  <c r="DN43" i="6"/>
  <c r="DN47" i="6" s="1"/>
  <c r="DN71" i="6" s="1"/>
  <c r="CU61" i="24"/>
  <c r="FK191" i="6"/>
  <c r="AO191" i="6" s="1"/>
  <c r="CC60" i="24"/>
  <c r="AD169" i="6"/>
  <c r="DU62" i="4"/>
  <c r="AF241" i="6"/>
  <c r="AQ58" i="24"/>
  <c r="AF121" i="6"/>
  <c r="BF60" i="24"/>
  <c r="EZ138" i="6"/>
  <c r="AD139" i="6"/>
  <c r="BM54" i="24"/>
  <c r="FF146" i="6"/>
  <c r="AO59" i="24"/>
  <c r="AE119" i="6"/>
  <c r="AJ208" i="6"/>
  <c r="G52" i="24"/>
  <c r="FH76" i="6"/>
  <c r="EX76" i="6" s="1"/>
  <c r="AL77" i="6"/>
  <c r="AB77" i="6" s="1"/>
  <c r="BR53" i="24"/>
  <c r="AK153" i="6"/>
  <c r="Y218" i="6"/>
  <c r="P70" i="6"/>
  <c r="P54" i="24"/>
  <c r="AJ86" i="6"/>
  <c r="BL52" i="24"/>
  <c r="AL145" i="6"/>
  <c r="AB145" i="6" s="1"/>
  <c r="DN70" i="6"/>
  <c r="CZ54" i="24"/>
  <c r="AJ197" i="6"/>
  <c r="DF58" i="24"/>
  <c r="AF203" i="6"/>
  <c r="AX52" i="24"/>
  <c r="AL128" i="6"/>
  <c r="AB128" i="6" s="1"/>
  <c r="FK188" i="6"/>
  <c r="AO188" i="6" s="1"/>
  <c r="CR61" i="24"/>
  <c r="EY187" i="6"/>
  <c r="AC188" i="6"/>
  <c r="AY50" i="24"/>
  <c r="FJ129" i="6"/>
  <c r="AN130" i="6"/>
  <c r="BY50" i="24"/>
  <c r="FJ164" i="6"/>
  <c r="AN165" i="6"/>
  <c r="BJ60" i="24"/>
  <c r="AD143" i="6"/>
  <c r="AL225" i="6"/>
  <c r="AB225" i="6" s="1"/>
  <c r="R58" i="24"/>
  <c r="FB90" i="6"/>
  <c r="BB54" i="24"/>
  <c r="FF133" i="6"/>
  <c r="DU64" i="4"/>
  <c r="DL61" i="24"/>
  <c r="FK211" i="6"/>
  <c r="N54" i="24"/>
  <c r="AJ84" i="6"/>
  <c r="AK54" i="24"/>
  <c r="AJ112" i="6"/>
  <c r="BF59" i="24"/>
  <c r="FA138" i="6"/>
  <c r="AE139" i="6"/>
  <c r="FC29" i="6"/>
  <c r="AG31" i="6"/>
  <c r="DT51" i="24"/>
  <c r="FI223" i="6"/>
  <c r="AM224" i="6"/>
  <c r="AH126" i="6"/>
  <c r="AF211" i="6"/>
  <c r="AH183" i="6"/>
  <c r="AM165" i="6"/>
  <c r="G50" i="24"/>
  <c r="FJ76" i="6"/>
  <c r="AN77" i="6"/>
  <c r="AP54" i="24"/>
  <c r="AJ120" i="6"/>
  <c r="AF222" i="1"/>
  <c r="P55" i="24"/>
  <c r="AI86" i="6"/>
  <c r="AI60" i="24"/>
  <c r="AD110" i="6"/>
  <c r="BL51" i="24"/>
  <c r="AM145" i="6"/>
  <c r="BE53" i="24"/>
  <c r="AK137" i="6"/>
  <c r="DU104" i="6"/>
  <c r="AZ53" i="24"/>
  <c r="AK131" i="6"/>
  <c r="DD52" i="24"/>
  <c r="AL201" i="6"/>
  <c r="AB201" i="6" s="1"/>
  <c r="BA57" i="24"/>
  <c r="AG132" i="6"/>
  <c r="BG58" i="24"/>
  <c r="AF140" i="6"/>
  <c r="CF51" i="24"/>
  <c r="FI172" i="6"/>
  <c r="BO60" i="24"/>
  <c r="AD149" i="6"/>
  <c r="BJ59" i="24"/>
  <c r="AE143" i="6"/>
  <c r="BV58" i="24"/>
  <c r="AF160" i="6"/>
  <c r="R56" i="24"/>
  <c r="FD90" i="6"/>
  <c r="AH91" i="6"/>
  <c r="FK134" i="6"/>
  <c r="BB61" i="24"/>
  <c r="EY133" i="6"/>
  <c r="BP51" i="24"/>
  <c r="FI150" i="6"/>
  <c r="FK121" i="6"/>
  <c r="AQ61" i="24"/>
  <c r="AC121" i="6"/>
  <c r="AS58" i="24"/>
  <c r="AF123" i="6"/>
  <c r="CB58" i="24"/>
  <c r="AF168" i="6"/>
  <c r="BV230" i="6"/>
  <c r="BV231" i="6" s="1"/>
  <c r="FB55" i="4"/>
  <c r="FB57" i="4" s="1"/>
  <c r="FB58" i="4" s="1"/>
  <c r="FB57" i="6"/>
  <c r="AF55" i="6"/>
  <c r="AF57" i="6" s="1"/>
  <c r="AF58" i="6" s="1"/>
  <c r="AN168" i="6"/>
  <c r="DU54" i="24"/>
  <c r="AJ225" i="6"/>
  <c r="G57" i="24"/>
  <c r="FC76" i="6"/>
  <c r="AG77" i="6"/>
  <c r="AH189" i="6"/>
  <c r="BZ58" i="24"/>
  <c r="AF166" i="6"/>
  <c r="FA241" i="6"/>
  <c r="EB59" i="24" s="1"/>
  <c r="AE242" i="6"/>
  <c r="AE241" i="6" s="1"/>
  <c r="AM52" i="24"/>
  <c r="FH116" i="6"/>
  <c r="EX116" i="6" s="1"/>
  <c r="DX54" i="24"/>
  <c r="FF229" i="4"/>
  <c r="AN57" i="24"/>
  <c r="AG118" i="6"/>
  <c r="DF51" i="24"/>
  <c r="AM203" i="6"/>
  <c r="AE54" i="24"/>
  <c r="AJ106" i="6"/>
  <c r="DD51" i="24"/>
  <c r="AM201" i="6"/>
  <c r="BA58" i="24"/>
  <c r="AF132" i="6"/>
  <c r="BG56" i="24"/>
  <c r="AH140" i="6"/>
  <c r="CF54" i="24"/>
  <c r="FF172" i="6"/>
  <c r="DK56" i="24"/>
  <c r="FD209" i="6"/>
  <c r="AH210" i="6"/>
  <c r="CK57" i="24"/>
  <c r="FC178" i="6"/>
  <c r="AG179" i="6"/>
  <c r="BC58" i="24"/>
  <c r="AF135" i="6"/>
  <c r="Z58" i="24"/>
  <c r="AF99" i="6"/>
  <c r="BP50" i="24"/>
  <c r="FJ150" i="6"/>
  <c r="N58" i="24"/>
  <c r="AF84" i="6"/>
  <c r="BT57" i="24"/>
  <c r="FC157" i="6"/>
  <c r="X50" i="24"/>
  <c r="AN97" i="6"/>
  <c r="AL219" i="4"/>
  <c r="DO115" i="6"/>
  <c r="FC57" i="6"/>
  <c r="FC55" i="4"/>
  <c r="AG55" i="6"/>
  <c r="AG57" i="6" s="1"/>
  <c r="AG58" i="6" s="1"/>
  <c r="AO56" i="24"/>
  <c r="AH119" i="6"/>
  <c r="BS72" i="6"/>
  <c r="AM158" i="6"/>
  <c r="AN242" i="6"/>
  <c r="AN241" i="6" s="1"/>
  <c r="AC242" i="6"/>
  <c r="AC211" i="6"/>
  <c r="BK60" i="24"/>
  <c r="AD144" i="6"/>
  <c r="CC230" i="6"/>
  <c r="CC231" i="6" s="1"/>
  <c r="AC202" i="6"/>
  <c r="FK225" i="6"/>
  <c r="DU61" i="24"/>
  <c r="AC225" i="6"/>
  <c r="AP59" i="24"/>
  <c r="AE120" i="6"/>
  <c r="AC159" i="6"/>
  <c r="BR56" i="24"/>
  <c r="AH153" i="6"/>
  <c r="CX52" i="24"/>
  <c r="AL195" i="6"/>
  <c r="AB195" i="6" s="1"/>
  <c r="DX55" i="24"/>
  <c r="FE229" i="4"/>
  <c r="DM219" i="4"/>
  <c r="DB52" i="24"/>
  <c r="AL199" i="6"/>
  <c r="AB199" i="6" s="1"/>
  <c r="CA230" i="6"/>
  <c r="CA231" i="6" s="1"/>
  <c r="DG70" i="6"/>
  <c r="CH57" i="24"/>
  <c r="AG175" i="6"/>
  <c r="AH60" i="6"/>
  <c r="H60" i="24"/>
  <c r="AD78" i="6"/>
  <c r="BL61" i="24"/>
  <c r="FK145" i="6"/>
  <c r="AC145" i="6"/>
  <c r="CA56" i="24"/>
  <c r="AH167" i="6"/>
  <c r="DL115" i="6"/>
  <c r="CI52" i="24"/>
  <c r="AL176" i="6"/>
  <c r="AB176" i="6" s="1"/>
  <c r="AI99" i="6"/>
  <c r="AB61" i="24"/>
  <c r="FK101" i="6"/>
  <c r="AX55" i="24"/>
  <c r="AI128" i="6"/>
  <c r="FD38" i="6"/>
  <c r="F56" i="24" s="1"/>
  <c r="CF58" i="24"/>
  <c r="FB172" i="6"/>
  <c r="AF32" i="6"/>
  <c r="BY54" i="24"/>
  <c r="FF164" i="6"/>
  <c r="CW52" i="24"/>
  <c r="FH193" i="6"/>
  <c r="EX193" i="6" s="1"/>
  <c r="AL194" i="6"/>
  <c r="AB194" i="6" s="1"/>
  <c r="BS50" i="24"/>
  <c r="AN154" i="6"/>
  <c r="FK91" i="6"/>
  <c r="R61" i="24"/>
  <c r="EY90" i="6"/>
  <c r="AC91" i="6"/>
  <c r="AI199" i="6"/>
  <c r="DT115" i="6"/>
  <c r="AD177" i="6"/>
  <c r="FK81" i="6"/>
  <c r="K61" i="24"/>
  <c r="BT230" i="6"/>
  <c r="BT231" i="6" s="1"/>
  <c r="DM156" i="6"/>
  <c r="AS54" i="24"/>
  <c r="AJ123" i="6"/>
  <c r="AH92" i="6"/>
  <c r="CB59" i="24"/>
  <c r="AE168" i="6"/>
  <c r="DU187" i="6"/>
  <c r="FA55" i="4"/>
  <c r="FA57" i="4" s="1"/>
  <c r="FA58" i="4" s="1"/>
  <c r="FA57" i="6"/>
  <c r="AE55" i="6"/>
  <c r="AE57" i="6" s="1"/>
  <c r="AE58" i="6" s="1"/>
  <c r="DI70" i="6"/>
  <c r="DV53" i="24"/>
  <c r="AK226" i="6"/>
  <c r="FK42" i="6"/>
  <c r="AC42" i="6"/>
  <c r="DU182" i="6"/>
  <c r="AN98" i="6"/>
  <c r="AF81" i="6"/>
  <c r="BI52" i="24"/>
  <c r="AL142" i="6"/>
  <c r="AB142" i="6" s="1"/>
  <c r="DJ56" i="24"/>
  <c r="AH208" i="6"/>
  <c r="CS52" i="24"/>
  <c r="AL189" i="6"/>
  <c r="AB189" i="6" s="1"/>
  <c r="AI195" i="6"/>
  <c r="AD181" i="6"/>
  <c r="FK109" i="6"/>
  <c r="AH61" i="24"/>
  <c r="FC241" i="6"/>
  <c r="EB57" i="24" s="1"/>
  <c r="BX58" i="24"/>
  <c r="AF162" i="6"/>
  <c r="CO60" i="24"/>
  <c r="AD184" i="6"/>
  <c r="AE60" i="6"/>
  <c r="AE55" i="24"/>
  <c r="AI106" i="6"/>
  <c r="DJ219" i="4"/>
  <c r="FK201" i="6"/>
  <c r="AO201" i="6" s="1"/>
  <c r="DD61" i="24"/>
  <c r="CR51" i="24"/>
  <c r="FI187" i="6"/>
  <c r="AM188" i="6"/>
  <c r="T56" i="24"/>
  <c r="AH93" i="6"/>
  <c r="AG123" i="6"/>
  <c r="AC55" i="24"/>
  <c r="AI102" i="6"/>
  <c r="DS115" i="6"/>
  <c r="I57" i="24"/>
  <c r="AG79" i="6"/>
  <c r="AY55" i="24"/>
  <c r="FE129" i="6"/>
  <c r="AI130" i="6"/>
  <c r="AW54" i="24"/>
  <c r="AJ127" i="6"/>
  <c r="BY55" i="24"/>
  <c r="FE164" i="6"/>
  <c r="AI165" i="6"/>
  <c r="CW50" i="24"/>
  <c r="FJ193" i="6"/>
  <c r="BV50" i="24"/>
  <c r="AN160" i="6"/>
  <c r="DI61" i="24"/>
  <c r="FK207" i="6"/>
  <c r="AC207" i="6"/>
  <c r="AJ165" i="6"/>
  <c r="BT60" i="24"/>
  <c r="EZ157" i="6"/>
  <c r="AD158" i="6"/>
  <c r="DW55" i="24"/>
  <c r="FE228" i="4"/>
  <c r="FE227" i="6"/>
  <c r="BN53" i="24"/>
  <c r="AK148" i="6"/>
  <c r="AI229" i="6"/>
  <c r="AI227" i="6" s="1"/>
  <c r="AI226" i="6"/>
  <c r="CJ50" i="24"/>
  <c r="AN177" i="6"/>
  <c r="AD127" i="6"/>
  <c r="FE55" i="4"/>
  <c r="FE57" i="6"/>
  <c r="DU60" i="6"/>
  <c r="DV52" i="24"/>
  <c r="AL226" i="6"/>
  <c r="AB226" i="6" s="1"/>
  <c r="AG93" i="6"/>
  <c r="AN175" i="6"/>
  <c r="FK246" i="6"/>
  <c r="AC246" i="6"/>
  <c r="G59" i="24"/>
  <c r="FA76" i="6"/>
  <c r="AK184" i="6"/>
  <c r="Y70" i="6"/>
  <c r="AE222" i="1"/>
  <c r="AC169" i="6"/>
  <c r="AL54" i="24"/>
  <c r="AJ113" i="6"/>
  <c r="AM88" i="6"/>
  <c r="AM87" i="6" s="1"/>
  <c r="AJ183" i="6"/>
  <c r="CH52" i="24"/>
  <c r="AL175" i="6"/>
  <c r="AB175" i="6" s="1"/>
  <c r="AL167" i="6"/>
  <c r="AB167" i="6" s="1"/>
  <c r="L53" i="24"/>
  <c r="AK82" i="6"/>
  <c r="AM159" i="6"/>
  <c r="AF169" i="6"/>
  <c r="FD241" i="6"/>
  <c r="EB56" i="24" s="1"/>
  <c r="CD52" i="24"/>
  <c r="AL170" i="6"/>
  <c r="AB170" i="6" s="1"/>
  <c r="DP219" i="4"/>
  <c r="H57" i="24"/>
  <c r="AG78" i="6"/>
  <c r="FK108" i="6"/>
  <c r="AG61" i="24"/>
  <c r="AC108" i="6"/>
  <c r="AI59" i="24"/>
  <c r="AE110" i="6"/>
  <c r="W53" i="24"/>
  <c r="AK96" i="6"/>
  <c r="AM57" i="24"/>
  <c r="FC116" i="6"/>
  <c r="AG117" i="6"/>
  <c r="AI183" i="6"/>
  <c r="BL55" i="24"/>
  <c r="AI145" i="6"/>
  <c r="V55" i="24"/>
  <c r="AI95" i="6"/>
  <c r="DX60" i="24"/>
  <c r="EZ229" i="4"/>
  <c r="AD229" i="6"/>
  <c r="AD227" i="6" s="1"/>
  <c r="BX61" i="24"/>
  <c r="FK162" i="6"/>
  <c r="BE58" i="24"/>
  <c r="AF137" i="6"/>
  <c r="DB60" i="24"/>
  <c r="AD199" i="6"/>
  <c r="CO59" i="24"/>
  <c r="AE184" i="6"/>
  <c r="FK197" i="6"/>
  <c r="AO197" i="6" s="1"/>
  <c r="CZ61" i="24"/>
  <c r="FK186" i="6"/>
  <c r="AO186" i="6" s="1"/>
  <c r="CQ61" i="24"/>
  <c r="AJ195" i="6"/>
  <c r="DF60" i="24"/>
  <c r="AD203" i="6"/>
  <c r="AZ61" i="24"/>
  <c r="FK131" i="6"/>
  <c r="BY230" i="6"/>
  <c r="BY231" i="6" s="1"/>
  <c r="AF176" i="6"/>
  <c r="AN201" i="6"/>
  <c r="AK167" i="6"/>
  <c r="AN202" i="6"/>
  <c r="DE55" i="24"/>
  <c r="AI202" i="6"/>
  <c r="CR57" i="24"/>
  <c r="FC187" i="6"/>
  <c r="AG188" i="6"/>
  <c r="EZ38" i="6"/>
  <c r="F60" i="24" s="1"/>
  <c r="DI219" i="4"/>
  <c r="DU220" i="4"/>
  <c r="T59" i="24"/>
  <c r="AE93" i="6"/>
  <c r="DH51" i="24"/>
  <c r="FI205" i="6"/>
  <c r="AF175" i="6"/>
  <c r="AK154" i="6"/>
  <c r="M53" i="24"/>
  <c r="AK83" i="6"/>
  <c r="FK102" i="6"/>
  <c r="AC61" i="24"/>
  <c r="AC102" i="6"/>
  <c r="I56" i="24"/>
  <c r="AH79" i="6"/>
  <c r="CE57" i="24"/>
  <c r="AG171" i="6"/>
  <c r="AI101" i="6"/>
  <c r="AY52" i="24"/>
  <c r="FH129" i="6"/>
  <c r="EX129" i="6" s="1"/>
  <c r="AL130" i="6"/>
  <c r="AB130" i="6" s="1"/>
  <c r="DT70" i="6"/>
  <c r="FK173" i="6"/>
  <c r="AO173" i="6" s="1"/>
  <c r="CF61" i="24"/>
  <c r="EY172" i="6"/>
  <c r="FK149" i="6"/>
  <c r="BO61" i="24"/>
  <c r="AF194" i="6"/>
  <c r="BY52" i="24"/>
  <c r="FH164" i="6"/>
  <c r="EX164" i="6" s="1"/>
  <c r="AL165" i="6"/>
  <c r="AB165" i="6" s="1"/>
  <c r="AH77" i="6"/>
  <c r="AD58" i="24"/>
  <c r="FB104" i="6"/>
  <c r="AF105" i="6"/>
  <c r="AM206" i="6"/>
  <c r="DK55" i="24"/>
  <c r="FE209" i="6"/>
  <c r="AI210" i="6"/>
  <c r="E38" i="24"/>
  <c r="D38" i="24" s="1"/>
  <c r="DT43" i="6"/>
  <c r="DT47" i="6" s="1"/>
  <c r="DT71" i="6" s="1"/>
  <c r="CW51" i="24"/>
  <c r="FI193" i="6"/>
  <c r="CK52" i="24"/>
  <c r="FH178" i="6"/>
  <c r="EX178" i="6" s="1"/>
  <c r="AC131" i="6"/>
  <c r="BV55" i="24"/>
  <c r="AI160" i="6"/>
  <c r="S59" i="24"/>
  <c r="AE92" i="6"/>
  <c r="AN92" i="6"/>
  <c r="BC51" i="24"/>
  <c r="AM135" i="6"/>
  <c r="FK99" i="6"/>
  <c r="Z61" i="24"/>
  <c r="AC99" i="6"/>
  <c r="AH97" i="6"/>
  <c r="R54" i="24"/>
  <c r="FF90" i="6"/>
  <c r="CU58" i="24"/>
  <c r="AF191" i="6"/>
  <c r="BB51" i="24"/>
  <c r="FI133" i="6"/>
  <c r="AM39" i="6"/>
  <c r="AM38" i="6" s="1"/>
  <c r="AR51" i="24"/>
  <c r="AM122" i="6"/>
  <c r="DI51" i="24"/>
  <c r="AM207" i="6"/>
  <c r="AC228" i="6"/>
  <c r="BP60" i="24"/>
  <c r="EZ150" i="6"/>
  <c r="AD151" i="6"/>
  <c r="DL50" i="24"/>
  <c r="AN211" i="6"/>
  <c r="AL181" i="6"/>
  <c r="AB181" i="6" s="1"/>
  <c r="DO156" i="6"/>
  <c r="AF220" i="4"/>
  <c r="AE136" i="6"/>
  <c r="AQ54" i="24"/>
  <c r="AJ121" i="6"/>
  <c r="AJ229" i="6"/>
  <c r="CN58" i="24"/>
  <c r="FB182" i="6"/>
  <c r="AF183" i="6"/>
  <c r="AK181" i="6"/>
  <c r="BT54" i="24"/>
  <c r="FF157" i="6"/>
  <c r="AJ158" i="6"/>
  <c r="BF50" i="24"/>
  <c r="FJ138" i="6"/>
  <c r="AI93" i="6"/>
  <c r="X60" i="24"/>
  <c r="AD97" i="6"/>
  <c r="DW53" i="24"/>
  <c r="FG228" i="4"/>
  <c r="FG227" i="6"/>
  <c r="FF29" i="6"/>
  <c r="AJ31" i="6"/>
  <c r="Y55" i="24"/>
  <c r="AI98" i="6"/>
  <c r="BN57" i="24"/>
  <c r="AG148" i="6"/>
  <c r="AN122" i="6"/>
  <c r="DR156" i="6"/>
  <c r="DH156" i="6" s="1"/>
  <c r="AI192" i="6"/>
  <c r="AC100" i="6"/>
  <c r="AN88" i="6"/>
  <c r="AN87" i="6" s="1"/>
  <c r="BM57" i="24"/>
  <c r="FC146" i="6"/>
  <c r="AN167" i="6"/>
  <c r="AG151" i="6"/>
  <c r="AK98" i="6"/>
  <c r="AH94" i="6"/>
  <c r="FI55" i="4"/>
  <c r="FI57" i="6"/>
  <c r="DT54" i="24"/>
  <c r="FF223" i="6"/>
  <c r="DO50" i="24"/>
  <c r="FJ214" i="6"/>
  <c r="AF98" i="6"/>
  <c r="DU38" i="6"/>
  <c r="DM70" i="6"/>
  <c r="AE96" i="6"/>
  <c r="AC109" i="6"/>
  <c r="AF60" i="6"/>
  <c r="AH176" i="6"/>
  <c r="AH122" i="6"/>
  <c r="AI203" i="6"/>
  <c r="CL50" i="24"/>
  <c r="AN180" i="6"/>
  <c r="AE169" i="6"/>
  <c r="DN55" i="24"/>
  <c r="AI213" i="6"/>
  <c r="AC96" i="6"/>
  <c r="BK58" i="24"/>
  <c r="AF144" i="6"/>
  <c r="BZ72" i="6"/>
  <c r="AH120" i="6"/>
  <c r="AG144" i="6"/>
  <c r="AJ91" i="6"/>
  <c r="AN82" i="6"/>
  <c r="FK152" i="6"/>
  <c r="BQ61" i="24"/>
  <c r="AC152" i="6"/>
  <c r="CG58" i="24"/>
  <c r="AF174" i="6"/>
  <c r="AM195" i="6"/>
  <c r="DG58" i="24"/>
  <c r="AF204" i="6"/>
  <c r="AG100" i="6"/>
  <c r="AH148" i="6"/>
  <c r="AT59" i="24"/>
  <c r="AE124" i="6"/>
  <c r="DU56" i="24"/>
  <c r="AH225" i="6"/>
  <c r="AM134" i="6"/>
  <c r="AI55" i="6"/>
  <c r="AI57" i="6" s="1"/>
  <c r="AI58" i="6" s="1"/>
  <c r="FK198" i="6"/>
  <c r="AO198" i="6" s="1"/>
  <c r="DA61" i="24"/>
  <c r="AC198" i="6"/>
  <c r="AL149" i="6"/>
  <c r="AB149" i="6" s="1"/>
  <c r="G51" i="24"/>
  <c r="FI76" i="6"/>
  <c r="AM77" i="6"/>
  <c r="AL136" i="6"/>
  <c r="AB136" i="6" s="1"/>
  <c r="J57" i="24"/>
  <c r="AG80" i="6"/>
  <c r="AD119" i="6"/>
  <c r="AD159" i="6"/>
  <c r="AI215" i="6"/>
  <c r="AK139" i="6"/>
  <c r="FK166" i="6"/>
  <c r="BZ61" i="24"/>
  <c r="AM111" i="6"/>
  <c r="AH174" i="6"/>
  <c r="AM173" i="6"/>
  <c r="AI206" i="6"/>
  <c r="AC224" i="6"/>
  <c r="AK228" i="6"/>
  <c r="CE70" i="6"/>
  <c r="AD215" i="6"/>
  <c r="AC168" i="6"/>
  <c r="X53" i="24"/>
  <c r="AK97" i="6"/>
  <c r="FA29" i="6"/>
  <c r="AE31" i="6"/>
  <c r="FH57" i="6"/>
  <c r="EX57" i="6" s="1"/>
  <c r="FH55" i="4"/>
  <c r="FK226" i="6"/>
  <c r="DV61" i="24"/>
  <c r="AC226" i="6"/>
  <c r="FK161" i="6"/>
  <c r="BW61" i="24"/>
  <c r="AC161" i="6"/>
  <c r="DA57" i="24"/>
  <c r="AG198" i="6"/>
  <c r="FK245" i="6"/>
  <c r="AG56" i="24"/>
  <c r="AH108" i="6"/>
  <c r="AM55" i="24"/>
  <c r="FE116" i="6"/>
  <c r="DX58" i="24"/>
  <c r="FB229" i="4"/>
  <c r="CO55" i="24"/>
  <c r="AI184" i="6"/>
  <c r="FK85" i="6"/>
  <c r="O61" i="24"/>
  <c r="AC85" i="6"/>
  <c r="BH59" i="24"/>
  <c r="AE141" i="6"/>
  <c r="BA59" i="24"/>
  <c r="AE132" i="6"/>
  <c r="DH56" i="24"/>
  <c r="FD205" i="6"/>
  <c r="AH206" i="6"/>
  <c r="BO51" i="24"/>
  <c r="AM149" i="6"/>
  <c r="DC59" i="24"/>
  <c r="AE200" i="6"/>
  <c r="AK151" i="6"/>
  <c r="AV61" i="24"/>
  <c r="FK126" i="6"/>
  <c r="AC126" i="6"/>
  <c r="CN59" i="24"/>
  <c r="FA182" i="6"/>
  <c r="DW57" i="24"/>
  <c r="FC228" i="4"/>
  <c r="FC227" i="6"/>
  <c r="AG228" i="6"/>
  <c r="AG227" i="6" s="1"/>
  <c r="FK98" i="6"/>
  <c r="Y61" i="24"/>
  <c r="AC98" i="6"/>
  <c r="BM53" i="24"/>
  <c r="FG146" i="6"/>
  <c r="AK147" i="6"/>
  <c r="FK180" i="6"/>
  <c r="AO180" i="6" s="1"/>
  <c r="CL61" i="24"/>
  <c r="DG53" i="24"/>
  <c r="AK204" i="6"/>
  <c r="AE220" i="4"/>
  <c r="E233" i="6"/>
  <c r="E234" i="6" s="1"/>
  <c r="T70" i="6"/>
  <c r="AL58" i="24"/>
  <c r="AF113" i="6"/>
  <c r="CD60" i="24"/>
  <c r="AD170" i="6"/>
  <c r="AF88" i="6"/>
  <c r="AF87" i="6" s="1"/>
  <c r="AM54" i="24"/>
  <c r="FF116" i="6"/>
  <c r="AJ117" i="6"/>
  <c r="AM128" i="6"/>
  <c r="DF56" i="24"/>
  <c r="AH203" i="6"/>
  <c r="AE59" i="24"/>
  <c r="AE106" i="6"/>
  <c r="AX60" i="24"/>
  <c r="AD128" i="6"/>
  <c r="CR60" i="24"/>
  <c r="EZ187" i="6"/>
  <c r="AD188" i="6"/>
  <c r="FK94" i="6"/>
  <c r="U61" i="24"/>
  <c r="AC94" i="6"/>
  <c r="M51" i="24"/>
  <c r="AM83" i="6"/>
  <c r="AY58" i="24"/>
  <c r="FB129" i="6"/>
  <c r="AF130" i="6"/>
  <c r="AF195" i="6"/>
  <c r="BY59" i="24"/>
  <c r="FA164" i="6"/>
  <c r="AF55" i="24"/>
  <c r="AI107" i="6"/>
  <c r="AE142" i="6"/>
  <c r="DC52" i="24"/>
  <c r="AL200" i="6"/>
  <c r="AB200" i="6" s="1"/>
  <c r="AJ147" i="6"/>
  <c r="S58" i="24"/>
  <c r="AF92" i="6"/>
  <c r="DI54" i="24"/>
  <c r="AJ207" i="6"/>
  <c r="AG207" i="6"/>
  <c r="AM176" i="6"/>
  <c r="AC192" i="6"/>
  <c r="BT58" i="24"/>
  <c r="FB157" i="6"/>
  <c r="FG29" i="6"/>
  <c r="AK31" i="6"/>
  <c r="AM190" i="6"/>
  <c r="CJ55" i="24"/>
  <c r="AI177" i="6"/>
  <c r="AC191" i="6"/>
  <c r="AK160" i="6"/>
  <c r="CG53" i="24"/>
  <c r="AK174" i="6"/>
  <c r="AT57" i="24"/>
  <c r="AG124" i="6"/>
  <c r="FK120" i="6"/>
  <c r="AP61" i="24"/>
  <c r="AF142" i="6"/>
  <c r="CH61" i="24"/>
  <c r="FK175" i="6"/>
  <c r="AO175" i="6" s="1"/>
  <c r="AI54" i="24"/>
  <c r="AJ110" i="6"/>
  <c r="V58" i="24"/>
  <c r="AF95" i="6"/>
  <c r="BX50" i="24"/>
  <c r="AN162" i="6"/>
  <c r="BD58" i="24"/>
  <c r="AF136" i="6"/>
  <c r="AB58" i="24"/>
  <c r="AF101" i="6"/>
  <c r="AX54" i="24"/>
  <c r="AJ128" i="6"/>
  <c r="DJ70" i="6"/>
  <c r="AN225" i="6"/>
  <c r="DM52" i="24"/>
  <c r="AL212" i="6"/>
  <c r="AB212" i="6" s="1"/>
  <c r="CE60" i="24"/>
  <c r="AD171" i="6"/>
  <c r="AW59" i="24"/>
  <c r="AE127" i="6"/>
  <c r="FK105" i="6"/>
  <c r="AD61" i="24"/>
  <c r="EY104" i="6"/>
  <c r="AC105" i="6"/>
  <c r="CW54" i="24"/>
  <c r="FF193" i="6"/>
  <c r="AJ194" i="6"/>
  <c r="BV57" i="24"/>
  <c r="AG160" i="6"/>
  <c r="R50" i="24"/>
  <c r="FJ90" i="6"/>
  <c r="AN91" i="6"/>
  <c r="DL60" i="24"/>
  <c r="AD211" i="6"/>
  <c r="AK197" i="6"/>
  <c r="DW56" i="24"/>
  <c r="FD228" i="4"/>
  <c r="FD227" i="6"/>
  <c r="AH228" i="6"/>
  <c r="DT60" i="24"/>
  <c r="EZ223" i="6"/>
  <c r="AD224" i="6"/>
  <c r="AF158" i="6"/>
  <c r="BW60" i="24"/>
  <c r="AD161" i="6"/>
  <c r="CG52" i="24"/>
  <c r="AL174" i="6"/>
  <c r="AB174" i="6" s="1"/>
  <c r="DA55" i="24"/>
  <c r="AI198" i="6"/>
  <c r="CH60" i="24"/>
  <c r="AD175" i="6"/>
  <c r="DU90" i="6"/>
  <c r="CD58" i="24"/>
  <c r="AF170" i="6"/>
  <c r="AJ219" i="4"/>
  <c r="BX52" i="24"/>
  <c r="AL162" i="6"/>
  <c r="AB162" i="6" s="1"/>
  <c r="AN93" i="6"/>
  <c r="CQ52" i="24"/>
  <c r="AL186" i="6"/>
  <c r="AB186" i="6" s="1"/>
  <c r="AJ175" i="6"/>
  <c r="O55" i="24"/>
  <c r="AI85" i="6"/>
  <c r="Z70" i="6"/>
  <c r="FK242" i="6"/>
  <c r="FG241" i="6"/>
  <c r="AK242" i="6"/>
  <c r="AG60" i="24"/>
  <c r="AD108" i="6"/>
  <c r="AM59" i="24"/>
  <c r="FA116" i="6"/>
  <c r="AE117" i="6"/>
  <c r="V52" i="24"/>
  <c r="AL95" i="6"/>
  <c r="AB95" i="6" s="1"/>
  <c r="CZ57" i="24"/>
  <c r="AG197" i="6"/>
  <c r="AE60" i="24"/>
  <c r="AD106" i="6"/>
  <c r="DD56" i="24"/>
  <c r="AH201" i="6"/>
  <c r="FK212" i="6"/>
  <c r="DM61" i="24"/>
  <c r="AC53" i="24"/>
  <c r="AK102" i="6"/>
  <c r="I53" i="24"/>
  <c r="AK79" i="6"/>
  <c r="AY59" i="24"/>
  <c r="FA129" i="6"/>
  <c r="DK52" i="24"/>
  <c r="FH209" i="6"/>
  <c r="EX209" i="6" s="1"/>
  <c r="AL210" i="6"/>
  <c r="AB210" i="6" s="1"/>
  <c r="DP115" i="6"/>
  <c r="S60" i="24"/>
  <c r="AD92" i="6"/>
  <c r="Z51" i="24"/>
  <c r="AM99" i="6"/>
  <c r="DU205" i="6"/>
  <c r="AR54" i="24"/>
  <c r="AJ122" i="6"/>
  <c r="BP56" i="24"/>
  <c r="FD150" i="6"/>
  <c r="AH151" i="6"/>
  <c r="FK84" i="6"/>
  <c r="N61" i="24"/>
  <c r="FK112" i="6"/>
  <c r="AK61" i="24"/>
  <c r="AI108" i="6"/>
  <c r="BT59" i="24"/>
  <c r="FA157" i="6"/>
  <c r="AE158" i="6"/>
  <c r="DW60" i="24"/>
  <c r="EZ227" i="6"/>
  <c r="EZ228" i="4"/>
  <c r="DT57" i="24"/>
  <c r="FC223" i="6"/>
  <c r="AG224" i="6"/>
  <c r="DO218" i="6"/>
  <c r="FK213" i="6"/>
  <c r="DN61" i="24"/>
  <c r="FK196" i="6"/>
  <c r="AO196" i="6" s="1"/>
  <c r="CY61" i="24"/>
  <c r="AC196" i="6"/>
  <c r="AF165" i="6"/>
  <c r="AL31" i="6"/>
  <c r="AB31" i="6" s="1"/>
  <c r="AL173" i="6"/>
  <c r="AB173" i="6" s="1"/>
  <c r="AM32" i="6"/>
  <c r="AM29" i="6" s="1"/>
  <c r="AI56" i="24"/>
  <c r="AH110" i="6"/>
  <c r="AA52" i="24"/>
  <c r="AL100" i="6"/>
  <c r="AB100" i="6" s="1"/>
  <c r="CA61" i="24"/>
  <c r="FK167" i="6"/>
  <c r="AC167" i="6"/>
  <c r="O53" i="24"/>
  <c r="AK85" i="6"/>
  <c r="AE79" i="6"/>
  <c r="FK40" i="6"/>
  <c r="AC40" i="6"/>
  <c r="DK60" i="4"/>
  <c r="FF88" i="6"/>
  <c r="AJ32" i="6"/>
  <c r="DU76" i="6"/>
  <c r="DU146" i="6"/>
  <c r="BA55" i="24"/>
  <c r="AI132" i="6"/>
  <c r="DH53" i="24"/>
  <c r="FG205" i="6"/>
  <c r="AK206" i="6"/>
  <c r="M61" i="24"/>
  <c r="FK83" i="6"/>
  <c r="AL216" i="6"/>
  <c r="AB216" i="6" s="1"/>
  <c r="DK51" i="24"/>
  <c r="FI209" i="6"/>
  <c r="AJ141" i="6"/>
  <c r="CK55" i="24"/>
  <c r="FE178" i="6"/>
  <c r="AI179" i="6"/>
  <c r="BS57" i="24"/>
  <c r="AG154" i="6"/>
  <c r="AI80" i="6"/>
  <c r="R59" i="24"/>
  <c r="FA90" i="6"/>
  <c r="BB56" i="24"/>
  <c r="FD133" i="6"/>
  <c r="BP61" i="24"/>
  <c r="FK151" i="6"/>
  <c r="EY150" i="6"/>
  <c r="AC151" i="6"/>
  <c r="AN151" i="6"/>
  <c r="AQ51" i="24"/>
  <c r="AM121" i="6"/>
  <c r="AC117" i="6"/>
  <c r="AJ94" i="6"/>
  <c r="BF52" i="24"/>
  <c r="FH138" i="6"/>
  <c r="EX138" i="6" s="1"/>
  <c r="AL139" i="6"/>
  <c r="AB139" i="6" s="1"/>
  <c r="X61" i="24"/>
  <c r="FK97" i="6"/>
  <c r="AC97" i="6"/>
  <c r="AC175" i="6"/>
  <c r="AL117" i="6"/>
  <c r="AB117" i="6" s="1"/>
  <c r="Y56" i="24"/>
  <c r="AH98" i="6"/>
  <c r="CB60" i="24"/>
  <c r="AD168" i="6"/>
  <c r="DT58" i="24"/>
  <c r="FB223" i="6"/>
  <c r="AF224" i="6"/>
  <c r="AJ186" i="6"/>
  <c r="AM199" i="6"/>
  <c r="DN60" i="24"/>
  <c r="AD213" i="6"/>
  <c r="DJ51" i="24"/>
  <c r="AM208" i="6"/>
  <c r="AG208" i="6"/>
  <c r="DG50" i="24"/>
  <c r="AN204" i="6"/>
  <c r="AK191" i="6"/>
  <c r="E40" i="24"/>
  <c r="D40" i="24" s="1"/>
  <c r="DR43" i="6"/>
  <c r="DR47" i="6" s="1"/>
  <c r="DR71" i="6" s="1"/>
  <c r="BZ55" i="24"/>
  <c r="AI166" i="6"/>
  <c r="AE161" i="6"/>
  <c r="AF210" i="6"/>
  <c r="BN230" i="6"/>
  <c r="BO230" i="6"/>
  <c r="BO231" i="6" s="1"/>
  <c r="CY71" i="6"/>
  <c r="CY72" i="6" s="1"/>
  <c r="S70" i="6"/>
  <c r="AD98" i="6"/>
  <c r="FK113" i="6"/>
  <c r="AL61" i="24"/>
  <c r="AC113" i="6"/>
  <c r="AF206" i="6"/>
  <c r="AD107" i="6"/>
  <c r="L55" i="24"/>
  <c r="AI82" i="6"/>
  <c r="DN115" i="6"/>
  <c r="P58" i="24"/>
  <c r="AF86" i="6"/>
  <c r="AH109" i="6"/>
  <c r="FI241" i="6"/>
  <c r="EB51" i="24" s="1"/>
  <c r="AM242" i="6"/>
  <c r="AM241" i="6" s="1"/>
  <c r="CD59" i="24"/>
  <c r="AE170" i="6"/>
  <c r="DP218" i="6"/>
  <c r="DU129" i="6"/>
  <c r="BU53" i="24"/>
  <c r="AK159" i="6"/>
  <c r="CX53" i="24"/>
  <c r="AK195" i="6"/>
  <c r="CV58" i="24"/>
  <c r="AF192" i="6"/>
  <c r="H56" i="24"/>
  <c r="AH78" i="6"/>
  <c r="AI55" i="24"/>
  <c r="AI110" i="6"/>
  <c r="DL218" i="6"/>
  <c r="W51" i="24"/>
  <c r="AM96" i="6"/>
  <c r="DU150" i="6"/>
  <c r="AM58" i="24"/>
  <c r="FB116" i="6"/>
  <c r="AF117" i="6"/>
  <c r="AA58" i="24"/>
  <c r="AF100" i="6"/>
  <c r="BL50" i="24"/>
  <c r="AN145" i="6"/>
  <c r="AC139" i="6"/>
  <c r="V54" i="24"/>
  <c r="AJ95" i="6"/>
  <c r="DX51" i="24"/>
  <c r="FI229" i="4"/>
  <c r="AM229" i="6"/>
  <c r="AN53" i="24"/>
  <c r="AK118" i="6"/>
  <c r="DB53" i="24"/>
  <c r="AK199" i="6"/>
  <c r="CO57" i="24"/>
  <c r="AG184" i="6"/>
  <c r="CZ59" i="24"/>
  <c r="AE197" i="6"/>
  <c r="O57" i="24"/>
  <c r="AG85" i="6"/>
  <c r="DF59" i="24"/>
  <c r="AE203" i="6"/>
  <c r="AL81" i="6"/>
  <c r="AB81" i="6" s="1"/>
  <c r="BH57" i="24"/>
  <c r="AG141" i="6"/>
  <c r="AB54" i="24"/>
  <c r="AJ101" i="6"/>
  <c r="Q52" i="24"/>
  <c r="AU50" i="24"/>
  <c r="AN125" i="6"/>
  <c r="AX56" i="24"/>
  <c r="AH128" i="6"/>
  <c r="AM136" i="6"/>
  <c r="CR58" i="24"/>
  <c r="FB187" i="6"/>
  <c r="AF188" i="6"/>
  <c r="FK132" i="6"/>
  <c r="BA61" i="24"/>
  <c r="AC132" i="6"/>
  <c r="FF38" i="6"/>
  <c r="F54" i="24" s="1"/>
  <c r="AJ39" i="6"/>
  <c r="AJ38" i="6" s="1"/>
  <c r="U55" i="24"/>
  <c r="AI94" i="6"/>
  <c r="DU219" i="6"/>
  <c r="DI218" i="6"/>
  <c r="T60" i="24"/>
  <c r="AD93" i="6"/>
  <c r="AK194" i="6"/>
  <c r="DM58" i="24"/>
  <c r="AF212" i="6"/>
  <c r="DH50" i="24"/>
  <c r="FJ205" i="6"/>
  <c r="M57" i="24"/>
  <c r="AG83" i="6"/>
  <c r="DI43" i="6"/>
  <c r="DI47" i="6" s="1"/>
  <c r="DI71" i="6" s="1"/>
  <c r="E49" i="24"/>
  <c r="D49" i="24" s="1"/>
  <c r="I51" i="24"/>
  <c r="AM79" i="6"/>
  <c r="CE58" i="24"/>
  <c r="AF171" i="6"/>
  <c r="AY51" i="24"/>
  <c r="FI129" i="6"/>
  <c r="CF59" i="24"/>
  <c r="FA172" i="6"/>
  <c r="AE173" i="6"/>
  <c r="AW52" i="24"/>
  <c r="AL127" i="6"/>
  <c r="AB127" i="6" s="1"/>
  <c r="BO59" i="24"/>
  <c r="AE149" i="6"/>
  <c r="FK165" i="6"/>
  <c r="BY61" i="24"/>
  <c r="EY164" i="6"/>
  <c r="AC165" i="6"/>
  <c r="DN75" i="6"/>
  <c r="AD57" i="24"/>
  <c r="FC104" i="6"/>
  <c r="AG105" i="6"/>
  <c r="AI167" i="6"/>
  <c r="DK54" i="24"/>
  <c r="FF209" i="6"/>
  <c r="AF56" i="24"/>
  <c r="AH107" i="6"/>
  <c r="AG143" i="6"/>
  <c r="FK194" i="6"/>
  <c r="AO194" i="6" s="1"/>
  <c r="CW61" i="24"/>
  <c r="EY193" i="6"/>
  <c r="AC194" i="6"/>
  <c r="AE176" i="6"/>
  <c r="CK50" i="24"/>
  <c r="FJ178" i="6"/>
  <c r="AN179" i="6"/>
  <c r="FK154" i="6"/>
  <c r="BS61" i="24"/>
  <c r="AH154" i="6"/>
  <c r="DM115" i="6"/>
  <c r="S55" i="24"/>
  <c r="AI92" i="6"/>
  <c r="AG137" i="6"/>
  <c r="BC60" i="24"/>
  <c r="AD135" i="6"/>
  <c r="R60" i="24"/>
  <c r="EZ90" i="6"/>
  <c r="AL154" i="6"/>
  <c r="AB154" i="6" s="1"/>
  <c r="CU57" i="24"/>
  <c r="AG191" i="6"/>
  <c r="AK225" i="6"/>
  <c r="CT58" i="24"/>
  <c r="AF190" i="6"/>
  <c r="BB50" i="24"/>
  <c r="FJ133" i="6"/>
  <c r="AI78" i="6"/>
  <c r="BP55" i="24"/>
  <c r="FE150" i="6"/>
  <c r="AI151" i="6"/>
  <c r="FK247" i="6"/>
  <c r="AC247" i="6"/>
  <c r="N53" i="24"/>
  <c r="AK84" i="6"/>
  <c r="AV57" i="24"/>
  <c r="AG126" i="6"/>
  <c r="K53" i="24"/>
  <c r="AK81" i="6"/>
  <c r="AI109" i="6"/>
  <c r="AJ177" i="6"/>
  <c r="CN57" i="24"/>
  <c r="FC182" i="6"/>
  <c r="BT53" i="24"/>
  <c r="FG157" i="6"/>
  <c r="BF54" i="24"/>
  <c r="FF138" i="6"/>
  <c r="AI168" i="6"/>
  <c r="FK123" i="6"/>
  <c r="AS61" i="24"/>
  <c r="AK55" i="6"/>
  <c r="AE78" i="6"/>
  <c r="X55" i="24"/>
  <c r="AI97" i="6"/>
  <c r="AG131" i="6"/>
  <c r="DW52" i="24"/>
  <c r="FH228" i="4"/>
  <c r="FH227" i="6"/>
  <c r="EX227" i="6" s="1"/>
  <c r="AL228" i="6"/>
  <c r="FB29" i="6"/>
  <c r="AF31" i="6"/>
  <c r="AI31" i="6"/>
  <c r="AD95" i="6"/>
  <c r="AK177" i="6"/>
  <c r="AI118" i="6"/>
  <c r="CB54" i="24"/>
  <c r="AJ168" i="6"/>
  <c r="AI154" i="6"/>
  <c r="BM58" i="24"/>
  <c r="FB146" i="6"/>
  <c r="AF147" i="6"/>
  <c r="EZ55" i="4"/>
  <c r="EZ57" i="4" s="1"/>
  <c r="EZ58" i="4" s="1"/>
  <c r="EZ57" i="6"/>
  <c r="DT55" i="24"/>
  <c r="FE223" i="6"/>
  <c r="DO57" i="24"/>
  <c r="FC214" i="6"/>
  <c r="AE105" i="6"/>
  <c r="AI181" i="6"/>
  <c r="DM60" i="4"/>
  <c r="AD123" i="6"/>
  <c r="AE121" i="6"/>
  <c r="DL70" i="6"/>
  <c r="AD111" i="6"/>
  <c r="AC215" i="6"/>
  <c r="BK56" i="24"/>
  <c r="AH144" i="6"/>
  <c r="AD186" i="6"/>
  <c r="AJ136" i="6"/>
  <c r="DJ59" i="24"/>
  <c r="AE208" i="6"/>
  <c r="DQ70" i="6"/>
  <c r="AD197" i="6"/>
  <c r="BQ60" i="24"/>
  <c r="AD152" i="6"/>
  <c r="CG57" i="24"/>
  <c r="AG174" i="6"/>
  <c r="DU51" i="24"/>
  <c r="AM225" i="6"/>
  <c r="AG190" i="6"/>
  <c r="G54" i="24"/>
  <c r="FF76" i="6"/>
  <c r="J56" i="24"/>
  <c r="AH80" i="6"/>
  <c r="AI126" i="6"/>
  <c r="AP51" i="24"/>
  <c r="AM120" i="6"/>
  <c r="AK201" i="6"/>
  <c r="BZ60" i="24"/>
  <c r="AD166" i="6"/>
  <c r="AL39" i="6"/>
  <c r="AH101" i="6"/>
  <c r="AI135" i="6"/>
  <c r="AG242" i="6"/>
  <c r="AG241" i="6" s="1"/>
  <c r="AN106" i="6"/>
  <c r="AL213" i="6"/>
  <c r="AB213" i="6" s="1"/>
  <c r="AL166" i="6"/>
  <c r="AB166" i="6" s="1"/>
  <c r="AH57" i="24"/>
  <c r="AG109" i="6"/>
  <c r="AJ169" i="6"/>
  <c r="AF119" i="6"/>
  <c r="AH242" i="6"/>
  <c r="AH241" i="6" s="1"/>
  <c r="FK153" i="6"/>
  <c r="BR61" i="24"/>
  <c r="AC153" i="6"/>
  <c r="AE97" i="6"/>
  <c r="AM139" i="6"/>
  <c r="BG71" i="5"/>
  <c r="D233" i="5"/>
  <c r="D249" i="5" s="1"/>
  <c r="D250" i="5" s="1"/>
  <c r="Z43" i="5"/>
  <c r="Z47" i="5" s="1"/>
  <c r="Z71" i="5" s="1"/>
  <c r="AE146" i="5"/>
  <c r="G233" i="1"/>
  <c r="G234" i="1" s="1"/>
  <c r="AH129" i="5"/>
  <c r="BO71" i="5"/>
  <c r="BO72" i="5" s="1"/>
  <c r="E23" i="24"/>
  <c r="Q75" i="5"/>
  <c r="AH138" i="5"/>
  <c r="DA230" i="5"/>
  <c r="DA231" i="5" s="1"/>
  <c r="AM182" i="5"/>
  <c r="AE187" i="5"/>
  <c r="AL146" i="5"/>
  <c r="AB146" i="5" s="1"/>
  <c r="BI71" i="5"/>
  <c r="DE230" i="5"/>
  <c r="DE233" i="5" s="1"/>
  <c r="AD223" i="5"/>
  <c r="AH172" i="5"/>
  <c r="AJ193" i="5"/>
  <c r="CE214" i="5"/>
  <c r="AL150" i="5"/>
  <c r="AB150" i="5" s="1"/>
  <c r="AG76" i="5"/>
  <c r="AF150" i="5"/>
  <c r="DD230" i="5"/>
  <c r="U75" i="5"/>
  <c r="BH230" i="5"/>
  <c r="BH231" i="5" s="1"/>
  <c r="AK209" i="5"/>
  <c r="AD205" i="5"/>
  <c r="AF164" i="5"/>
  <c r="DU146" i="5"/>
  <c r="Z218" i="5"/>
  <c r="AH164" i="5"/>
  <c r="BO230" i="5"/>
  <c r="BO231" i="5" s="1"/>
  <c r="Q218" i="5"/>
  <c r="CE178" i="5"/>
  <c r="I233" i="1"/>
  <c r="I234" i="1" s="1"/>
  <c r="AN172" i="5"/>
  <c r="V43" i="5"/>
  <c r="V47" i="5" s="1"/>
  <c r="V71" i="5" s="1"/>
  <c r="CC230" i="5"/>
  <c r="CC231" i="5" s="1"/>
  <c r="DU209" i="5"/>
  <c r="X75" i="5"/>
  <c r="E16" i="24"/>
  <c r="BK230" i="5"/>
  <c r="BK231" i="5" s="1"/>
  <c r="CE227" i="5"/>
  <c r="Y115" i="5"/>
  <c r="BP71" i="5"/>
  <c r="BP72" i="5" s="1"/>
  <c r="DS70" i="5"/>
  <c r="BJ71" i="5"/>
  <c r="CB230" i="5"/>
  <c r="CB231" i="5" s="1"/>
  <c r="BN230" i="5"/>
  <c r="BR230" i="5" s="1"/>
  <c r="DU214" i="5"/>
  <c r="Y43" i="5"/>
  <c r="Y47" i="5" s="1"/>
  <c r="Y71" i="5" s="1"/>
  <c r="DU129" i="5"/>
  <c r="Z70" i="5"/>
  <c r="R115" i="5"/>
  <c r="BE230" i="5"/>
  <c r="BE231" i="5" s="1"/>
  <c r="CD230" i="5"/>
  <c r="CD231" i="5" s="1"/>
  <c r="S75" i="5"/>
  <c r="CY230" i="5"/>
  <c r="CY233" i="5" s="1"/>
  <c r="BI71" i="6"/>
  <c r="BI72" i="6" s="1"/>
  <c r="T75" i="6"/>
  <c r="T218" i="6"/>
  <c r="V115" i="5"/>
  <c r="BL230" i="5"/>
  <c r="BL231" i="5" s="1"/>
  <c r="BL71" i="5"/>
  <c r="BL252" i="5" s="1"/>
  <c r="ER71" i="6"/>
  <c r="ER72" i="6" s="1"/>
  <c r="L233" i="1"/>
  <c r="L249" i="1" s="1"/>
  <c r="L250" i="1" s="1"/>
  <c r="W218" i="6"/>
  <c r="P218" i="5"/>
  <c r="BF71" i="5"/>
  <c r="P43" i="5"/>
  <c r="P47" i="5" s="1"/>
  <c r="P71" i="5" s="1"/>
  <c r="BQ218" i="5"/>
  <c r="W218" i="5"/>
  <c r="W156" i="6"/>
  <c r="F233" i="1"/>
  <c r="F234" i="1" s="1"/>
  <c r="J233" i="1"/>
  <c r="J249" i="1" s="1"/>
  <c r="J250" i="1" s="1"/>
  <c r="B233" i="1"/>
  <c r="B249" i="1" s="1"/>
  <c r="B250" i="1" s="1"/>
  <c r="C233" i="1"/>
  <c r="C249" i="1" s="1"/>
  <c r="C250" i="1" s="1"/>
  <c r="S249" i="8"/>
  <c r="S250" i="8" s="1"/>
  <c r="L72" i="1"/>
  <c r="K233" i="1"/>
  <c r="K249" i="1" s="1"/>
  <c r="K250" i="1" s="1"/>
  <c r="E24" i="24"/>
  <c r="CE129" i="5"/>
  <c r="AL129" i="5"/>
  <c r="E21" i="24"/>
  <c r="AD76" i="5"/>
  <c r="Y156" i="5"/>
  <c r="AN157" i="5"/>
  <c r="AI209" i="5"/>
  <c r="CE146" i="5"/>
  <c r="BT230" i="5"/>
  <c r="BT233" i="5" s="1"/>
  <c r="DG156" i="5"/>
  <c r="DU157" i="5"/>
  <c r="AA178" i="5"/>
  <c r="AD193" i="5"/>
  <c r="BJ230" i="5"/>
  <c r="DK75" i="5"/>
  <c r="DR115" i="5"/>
  <c r="DH115" i="5" s="1"/>
  <c r="AL90" i="5"/>
  <c r="AG178" i="5"/>
  <c r="BQ115" i="5"/>
  <c r="DQ115" i="5"/>
  <c r="AL71" i="5"/>
  <c r="Q115" i="5"/>
  <c r="DU223" i="5"/>
  <c r="DN115" i="5"/>
  <c r="AE129" i="5"/>
  <c r="AA87" i="5"/>
  <c r="AF71" i="5"/>
  <c r="DI218" i="5"/>
  <c r="AA214" i="5"/>
  <c r="P115" i="5"/>
  <c r="AM209" i="5"/>
  <c r="R75" i="5"/>
  <c r="U43" i="5"/>
  <c r="U47" i="5" s="1"/>
  <c r="U71" i="5" s="1"/>
  <c r="BI230" i="5"/>
  <c r="DM115" i="5"/>
  <c r="AK76" i="5"/>
  <c r="BS70" i="5"/>
  <c r="AG214" i="5"/>
  <c r="AK146" i="5"/>
  <c r="Q43" i="5"/>
  <c r="Q47" i="5" s="1"/>
  <c r="Q71" i="5" s="1"/>
  <c r="AD164" i="5"/>
  <c r="AM172" i="5"/>
  <c r="CE219" i="5"/>
  <c r="Q156" i="5"/>
  <c r="AI129" i="5"/>
  <c r="AH219" i="5"/>
  <c r="E14" i="24"/>
  <c r="DU227" i="5"/>
  <c r="CA230" i="5"/>
  <c r="CA231" i="5" s="1"/>
  <c r="O156" i="5"/>
  <c r="DS6" i="5"/>
  <c r="DS71" i="5" s="1"/>
  <c r="R43" i="5"/>
  <c r="R47" i="5" s="1"/>
  <c r="R71" i="5" s="1"/>
  <c r="AA27" i="5"/>
  <c r="AM164" i="5"/>
  <c r="BS115" i="5"/>
  <c r="CE157" i="5"/>
  <c r="AF178" i="5"/>
  <c r="AF146" i="5"/>
  <c r="DQ70" i="5"/>
  <c r="DC230" i="5"/>
  <c r="AJ150" i="5"/>
  <c r="BH71" i="5"/>
  <c r="BH252" i="5" s="1"/>
  <c r="DL115" i="5"/>
  <c r="J72" i="1"/>
  <c r="DG115" i="5"/>
  <c r="AJ76" i="5"/>
  <c r="DU60" i="5"/>
  <c r="AI146" i="5"/>
  <c r="BS75" i="5"/>
  <c r="AA205" i="5"/>
  <c r="AI172" i="5"/>
  <c r="T115" i="5"/>
  <c r="AE150" i="5"/>
  <c r="AH146" i="5"/>
  <c r="BZ230" i="5"/>
  <c r="BZ233" i="5" s="1"/>
  <c r="AG129" i="5"/>
  <c r="O75" i="5"/>
  <c r="BX230" i="5"/>
  <c r="BX231" i="5" s="1"/>
  <c r="E233" i="1"/>
  <c r="E249" i="1" s="1"/>
  <c r="E250" i="1" s="1"/>
  <c r="DJ218" i="5"/>
  <c r="CE205" i="5"/>
  <c r="CX230" i="5"/>
  <c r="CX231" i="5" s="1"/>
  <c r="AJ219" i="5"/>
  <c r="BV230" i="5"/>
  <c r="BV231" i="5" s="1"/>
  <c r="AE219" i="5"/>
  <c r="AM133" i="5"/>
  <c r="BK71" i="5"/>
  <c r="AJ116" i="5"/>
  <c r="T75" i="5"/>
  <c r="AF6" i="1"/>
  <c r="X43" i="5"/>
  <c r="S43" i="5"/>
  <c r="S47" i="5" s="1"/>
  <c r="S71" i="5" s="1"/>
  <c r="BE71" i="5"/>
  <c r="AD104" i="5"/>
  <c r="AO130" i="5"/>
  <c r="AC129" i="5"/>
  <c r="AC209" i="5"/>
  <c r="AO210" i="5"/>
  <c r="DO71" i="5"/>
  <c r="E19" i="24"/>
  <c r="AO148" i="5"/>
  <c r="X70" i="5"/>
  <c r="AH223" i="5"/>
  <c r="AM138" i="5"/>
  <c r="AL76" i="5"/>
  <c r="AB76" i="5" s="1"/>
  <c r="AK182" i="5"/>
  <c r="AO125" i="5"/>
  <c r="AO82" i="5"/>
  <c r="AJ205" i="5"/>
  <c r="AC182" i="5"/>
  <c r="AO183" i="5"/>
  <c r="AD14" i="1"/>
  <c r="AD13" i="1" s="1"/>
  <c r="AD13" i="5"/>
  <c r="AD6" i="5" s="1"/>
  <c r="AD71" i="5" s="1"/>
  <c r="BX72" i="5"/>
  <c r="AH205" i="5"/>
  <c r="V156" i="5"/>
  <c r="AO247" i="5"/>
  <c r="AI116" i="5"/>
  <c r="AO180" i="5"/>
  <c r="AO61" i="5"/>
  <c r="AC60" i="5"/>
  <c r="AC67" i="1"/>
  <c r="AO67" i="1" s="1"/>
  <c r="AO67" i="5"/>
  <c r="AI71" i="5"/>
  <c r="AI70" i="5"/>
  <c r="AO127" i="5"/>
  <c r="AF187" i="5"/>
  <c r="AA193" i="5"/>
  <c r="R218" i="5"/>
  <c r="AK222" i="1"/>
  <c r="AK219" i="5"/>
  <c r="DO156" i="5"/>
  <c r="AL222" i="1"/>
  <c r="AL219" i="1" s="1"/>
  <c r="AL219" i="5"/>
  <c r="AB219" i="5" s="1"/>
  <c r="AG187" i="5"/>
  <c r="CE116" i="5"/>
  <c r="DO218" i="5"/>
  <c r="AG104" i="5"/>
  <c r="AK164" i="5"/>
  <c r="AM104" i="5"/>
  <c r="DS75" i="5"/>
  <c r="AH104" i="5"/>
  <c r="AO216" i="5"/>
  <c r="AJ172" i="5"/>
  <c r="AE76" i="5"/>
  <c r="AH193" i="5"/>
  <c r="AF172" i="5"/>
  <c r="AC87" i="5"/>
  <c r="AO88" i="5"/>
  <c r="AO87" i="5" s="1"/>
  <c r="AO98" i="5"/>
  <c r="AC187" i="5"/>
  <c r="AO188" i="5"/>
  <c r="DN71" i="5"/>
  <c r="E20" i="24"/>
  <c r="AI104" i="5"/>
  <c r="AI87" i="5"/>
  <c r="AO198" i="5"/>
  <c r="AO186" i="5"/>
  <c r="AJ178" i="5"/>
  <c r="AA90" i="5"/>
  <c r="AN182" i="5"/>
  <c r="AE138" i="5"/>
  <c r="AO207" i="5"/>
  <c r="CV72" i="5"/>
  <c r="AO122" i="5"/>
  <c r="CE193" i="5"/>
  <c r="DU187" i="5"/>
  <c r="DO70" i="5"/>
  <c r="AL193" i="5"/>
  <c r="AB193" i="5" s="1"/>
  <c r="AD146" i="5"/>
  <c r="AI182" i="5"/>
  <c r="AO149" i="5"/>
  <c r="AK172" i="5"/>
  <c r="AO246" i="5"/>
  <c r="DA72" i="5"/>
  <c r="DQ75" i="5"/>
  <c r="R156" i="5"/>
  <c r="AL172" i="5"/>
  <c r="U70" i="5"/>
  <c r="AA172" i="5"/>
  <c r="AO134" i="5"/>
  <c r="AC133" i="5"/>
  <c r="AK223" i="5"/>
  <c r="AN133" i="5"/>
  <c r="DL70" i="5"/>
  <c r="DL71" i="5"/>
  <c r="AO176" i="5"/>
  <c r="DK70" i="5"/>
  <c r="DK71" i="5"/>
  <c r="CW230" i="5"/>
  <c r="CW231" i="5" s="1"/>
  <c r="AO222" i="5"/>
  <c r="AN187" i="5"/>
  <c r="CD72" i="5"/>
  <c r="AI76" i="5"/>
  <c r="AO174" i="5"/>
  <c r="CE90" i="5"/>
  <c r="AN14" i="1"/>
  <c r="AN13" i="1" s="1"/>
  <c r="AN13" i="5"/>
  <c r="AN6" i="5" s="1"/>
  <c r="AK150" i="5"/>
  <c r="AH76" i="5"/>
  <c r="AH70" i="5"/>
  <c r="AN129" i="5"/>
  <c r="AG222" i="1"/>
  <c r="AG219" i="5"/>
  <c r="CE76" i="5"/>
  <c r="AE193" i="5"/>
  <c r="AO144" i="5"/>
  <c r="AF182" i="5"/>
  <c r="AI223" i="5"/>
  <c r="AH187" i="5"/>
  <c r="AE223" i="5"/>
  <c r="AI157" i="5"/>
  <c r="DP71" i="5"/>
  <c r="E18" i="24"/>
  <c r="AO126" i="5"/>
  <c r="AM7" i="1"/>
  <c r="AM6" i="1" s="1"/>
  <c r="AM6" i="5"/>
  <c r="AM71" i="5" s="1"/>
  <c r="AO80" i="5"/>
  <c r="AG150" i="5"/>
  <c r="AO100" i="5"/>
  <c r="CE223" i="5"/>
  <c r="AO154" i="5"/>
  <c r="AI227" i="5"/>
  <c r="AM193" i="5"/>
  <c r="AL157" i="5"/>
  <c r="AB157" i="5" s="1"/>
  <c r="AG164" i="5"/>
  <c r="AN223" i="5"/>
  <c r="AO99" i="5"/>
  <c r="AO177" i="5"/>
  <c r="AC4" i="1"/>
  <c r="AO4" i="5"/>
  <c r="AD129" i="5"/>
  <c r="DK156" i="5"/>
  <c r="BZ72" i="5"/>
  <c r="AF116" i="5"/>
  <c r="AO124" i="5"/>
  <c r="AL164" i="5"/>
  <c r="AB164" i="5" s="1"/>
  <c r="AF129" i="5"/>
  <c r="DG75" i="5"/>
  <c r="AO110" i="5"/>
  <c r="H233" i="1"/>
  <c r="H249" i="1" s="1"/>
  <c r="H250" i="1" s="1"/>
  <c r="DU193" i="5"/>
  <c r="DU164" i="5"/>
  <c r="CW72" i="5"/>
  <c r="DB230" i="5"/>
  <c r="DB231" i="5" s="1"/>
  <c r="AI138" i="5"/>
  <c r="AN90" i="5"/>
  <c r="AL116" i="5"/>
  <c r="AB116" i="5" s="1"/>
  <c r="AN205" i="5"/>
  <c r="AF138" i="5"/>
  <c r="AJ129" i="5"/>
  <c r="AJ157" i="5"/>
  <c r="AM178" i="5"/>
  <c r="AL104" i="5"/>
  <c r="AB104" i="5" s="1"/>
  <c r="AO195" i="5"/>
  <c r="AO212" i="5"/>
  <c r="AO203" i="5"/>
  <c r="P156" i="5"/>
  <c r="AO137" i="5"/>
  <c r="DB72" i="5"/>
  <c r="EB25" i="24"/>
  <c r="DU241" i="5"/>
  <c r="DM218" i="5"/>
  <c r="AG138" i="5"/>
  <c r="AN60" i="5"/>
  <c r="AJ187" i="5"/>
  <c r="CE182" i="5"/>
  <c r="AO225" i="5"/>
  <c r="CE241" i="5"/>
  <c r="CA72" i="5"/>
  <c r="AO140" i="5"/>
  <c r="AO141" i="5"/>
  <c r="CE104" i="5"/>
  <c r="AN164" i="5"/>
  <c r="AO165" i="5"/>
  <c r="AC164" i="5"/>
  <c r="AO152" i="5"/>
  <c r="AJ182" i="5"/>
  <c r="AM214" i="5"/>
  <c r="AE172" i="5"/>
  <c r="O115" i="5"/>
  <c r="AK178" i="5"/>
  <c r="AI187" i="5"/>
  <c r="AF209" i="5"/>
  <c r="AI90" i="5"/>
  <c r="AK129" i="5"/>
  <c r="W115" i="5"/>
  <c r="DQ218" i="5"/>
  <c r="AA223" i="5"/>
  <c r="AA150" i="5"/>
  <c r="DU104" i="5"/>
  <c r="AK193" i="5"/>
  <c r="AG14" i="1"/>
  <c r="AG13" i="1" s="1"/>
  <c r="AG13" i="5"/>
  <c r="AG6" i="5" s="1"/>
  <c r="AG71" i="5" s="1"/>
  <c r="AF157" i="5"/>
  <c r="AI150" i="5"/>
  <c r="BW230" i="5"/>
  <c r="BW231" i="5" s="1"/>
  <c r="AG87" i="5"/>
  <c r="CZ72" i="5"/>
  <c r="DU138" i="5"/>
  <c r="AO208" i="5"/>
  <c r="AO136" i="5"/>
  <c r="DE72" i="5"/>
  <c r="AO63" i="5"/>
  <c r="AG227" i="5"/>
  <c r="AO179" i="5"/>
  <c r="AC178" i="5"/>
  <c r="O218" i="5"/>
  <c r="AO113" i="5"/>
  <c r="AG223" i="5"/>
  <c r="AE182" i="5"/>
  <c r="AE70" i="5"/>
  <c r="AO224" i="5"/>
  <c r="AC223" i="5"/>
  <c r="DT218" i="5"/>
  <c r="AO204" i="5"/>
  <c r="AO175" i="5"/>
  <c r="Y218" i="5"/>
  <c r="T43" i="5"/>
  <c r="T47" i="5" s="1"/>
  <c r="T71" i="5" s="1"/>
  <c r="Y75" i="5"/>
  <c r="AA138" i="5"/>
  <c r="AA38" i="5"/>
  <c r="AJ164" i="5"/>
  <c r="DN70" i="5"/>
  <c r="X218" i="5"/>
  <c r="AD157" i="5"/>
  <c r="AM150" i="5"/>
  <c r="S218" i="5"/>
  <c r="AO213" i="5"/>
  <c r="AG193" i="5"/>
  <c r="AO196" i="5"/>
  <c r="BQ70" i="5"/>
  <c r="AO118" i="5"/>
  <c r="AI205" i="5"/>
  <c r="P70" i="5"/>
  <c r="W75" i="5"/>
  <c r="AO105" i="5"/>
  <c r="AC104" i="5"/>
  <c r="DL75" i="5"/>
  <c r="AO143" i="5"/>
  <c r="AH87" i="5"/>
  <c r="BV72" i="5"/>
  <c r="DI70" i="5"/>
  <c r="DL156" i="5"/>
  <c r="AO153" i="5"/>
  <c r="DL218" i="5"/>
  <c r="AD7" i="1"/>
  <c r="AE157" i="5"/>
  <c r="AF219" i="5"/>
  <c r="DU178" i="5"/>
  <c r="DU205" i="5"/>
  <c r="DQ71" i="5"/>
  <c r="E17" i="24"/>
  <c r="AO190" i="5"/>
  <c r="DM156" i="5"/>
  <c r="AA219" i="5"/>
  <c r="V218" i="5"/>
  <c r="BQ75" i="5"/>
  <c r="DM75" i="5"/>
  <c r="CY72" i="5"/>
  <c r="CE133" i="5"/>
  <c r="AI178" i="5"/>
  <c r="CE60" i="5"/>
  <c r="CE70" i="5" s="1"/>
  <c r="AO119" i="5"/>
  <c r="AI214" i="5"/>
  <c r="AO81" i="5"/>
  <c r="T156" i="5"/>
  <c r="AO79" i="5"/>
  <c r="AO132" i="5"/>
  <c r="DT71" i="5"/>
  <c r="DT70" i="5"/>
  <c r="AH182" i="5"/>
  <c r="AK138" i="5"/>
  <c r="AF193" i="5"/>
  <c r="AO86" i="5"/>
  <c r="AI133" i="5"/>
  <c r="BW72" i="5"/>
  <c r="AO101" i="5"/>
  <c r="BU230" i="5"/>
  <c r="BU231" i="5" s="1"/>
  <c r="AG146" i="5"/>
  <c r="AM227" i="5"/>
  <c r="T70" i="5"/>
  <c r="AE164" i="5"/>
  <c r="AD209" i="5"/>
  <c r="S115" i="5"/>
  <c r="AG116" i="5"/>
  <c r="DU133" i="5"/>
  <c r="AF76" i="5"/>
  <c r="AO139" i="5"/>
  <c r="AC138" i="5"/>
  <c r="V75" i="5"/>
  <c r="DN75" i="5"/>
  <c r="AO245" i="5"/>
  <c r="AL209" i="5"/>
  <c r="AB209" i="5" s="1"/>
  <c r="AL70" i="5"/>
  <c r="AO244" i="5"/>
  <c r="AG172" i="5"/>
  <c r="CC72" i="5"/>
  <c r="AM241" i="5"/>
  <c r="AO201" i="5"/>
  <c r="AN193" i="5"/>
  <c r="CE164" i="5"/>
  <c r="DT115" i="5"/>
  <c r="AO160" i="5"/>
  <c r="DT156" i="5"/>
  <c r="Z156" i="5"/>
  <c r="AJ133" i="5"/>
  <c r="AI164" i="5"/>
  <c r="AN116" i="5"/>
  <c r="DU172" i="5"/>
  <c r="O70" i="5"/>
  <c r="DO75" i="5"/>
  <c r="DS218" i="5"/>
  <c r="DS115" i="5"/>
  <c r="CE209" i="5"/>
  <c r="DJ156" i="5"/>
  <c r="O43" i="5"/>
  <c r="O47" i="5" s="1"/>
  <c r="AN209" i="5"/>
  <c r="AO200" i="5"/>
  <c r="E22" i="24"/>
  <c r="S156" i="5"/>
  <c r="AO229" i="5"/>
  <c r="CE187" i="5"/>
  <c r="AJ104" i="5"/>
  <c r="AG205" i="5"/>
  <c r="BP230" i="5"/>
  <c r="BP231" i="5" s="1"/>
  <c r="BT72" i="5"/>
  <c r="AC146" i="5"/>
  <c r="AO147" i="5"/>
  <c r="AC90" i="5"/>
  <c r="AO91" i="5"/>
  <c r="AJ209" i="5"/>
  <c r="AE133" i="5"/>
  <c r="AA129" i="5"/>
  <c r="AL87" i="5"/>
  <c r="AB87" i="5" s="1"/>
  <c r="AF223" i="5"/>
  <c r="AL178" i="5"/>
  <c r="AO173" i="5"/>
  <c r="AC172" i="5"/>
  <c r="AN76" i="5"/>
  <c r="BU72" i="5"/>
  <c r="AO96" i="5"/>
  <c r="AM187" i="5"/>
  <c r="AM223" i="5"/>
  <c r="AH90" i="5"/>
  <c r="T218" i="5"/>
  <c r="AL6" i="1"/>
  <c r="AD227" i="5"/>
  <c r="AN104" i="5"/>
  <c r="AJ223" i="5"/>
  <c r="AO78" i="5"/>
  <c r="W70" i="5"/>
  <c r="AO135" i="5"/>
  <c r="BY72" i="5"/>
  <c r="AF214" i="5"/>
  <c r="AL138" i="5"/>
  <c r="AB138" i="5" s="1"/>
  <c r="DJ71" i="5"/>
  <c r="DJ70" i="5"/>
  <c r="DO115" i="5"/>
  <c r="AH150" i="5"/>
  <c r="DI156" i="5"/>
  <c r="AO211" i="5"/>
  <c r="AO85" i="5"/>
  <c r="DR75" i="5"/>
  <c r="AE90" i="5"/>
  <c r="AO169" i="5"/>
  <c r="AH227" i="5"/>
  <c r="AL182" i="5"/>
  <c r="AB182" i="5" s="1"/>
  <c r="AO131" i="5"/>
  <c r="AA104" i="5"/>
  <c r="AA13" i="5"/>
  <c r="AN214" i="5"/>
  <c r="AD182" i="5"/>
  <c r="AD187" i="5"/>
  <c r="DI115" i="5"/>
  <c r="AM116" i="5"/>
  <c r="AF90" i="5"/>
  <c r="AO111" i="5"/>
  <c r="CB72" i="5"/>
  <c r="AE227" i="5"/>
  <c r="AN178" i="5"/>
  <c r="AO84" i="5"/>
  <c r="O6" i="5"/>
  <c r="AO162" i="5"/>
  <c r="CE138" i="5"/>
  <c r="AA241" i="5"/>
  <c r="AA60" i="5"/>
  <c r="AO120" i="5"/>
  <c r="DU90" i="5"/>
  <c r="X156" i="5"/>
  <c r="AC205" i="5"/>
  <c r="AO206" i="5"/>
  <c r="AO121" i="5"/>
  <c r="AN138" i="5"/>
  <c r="AJ214" i="5"/>
  <c r="AA29" i="5"/>
  <c r="AO202" i="5"/>
  <c r="BM230" i="5"/>
  <c r="AI6" i="1"/>
  <c r="AK227" i="5"/>
  <c r="AC15" i="1"/>
  <c r="AO15" i="1" s="1"/>
  <c r="AO15" i="5"/>
  <c r="U218" i="5"/>
  <c r="AO189" i="5"/>
  <c r="AO93" i="5"/>
  <c r="AG182" i="5"/>
  <c r="AO7" i="5"/>
  <c r="AC7" i="1"/>
  <c r="AO145" i="5"/>
  <c r="U156" i="5"/>
  <c r="AO184" i="5"/>
  <c r="DT75" i="5"/>
  <c r="AF104" i="5"/>
  <c r="AM157" i="5"/>
  <c r="AO95" i="5"/>
  <c r="DU116" i="5"/>
  <c r="AK205" i="5"/>
  <c r="AM70" i="5"/>
  <c r="AD116" i="5"/>
  <c r="AO102" i="5"/>
  <c r="AJ138" i="5"/>
  <c r="AD214" i="5"/>
  <c r="AO109" i="5"/>
  <c r="AH214" i="5"/>
  <c r="AN146" i="5"/>
  <c r="DI75" i="5"/>
  <c r="AM146" i="5"/>
  <c r="AO83" i="5"/>
  <c r="AO151" i="5"/>
  <c r="AC150" i="5"/>
  <c r="AE205" i="5"/>
  <c r="DP75" i="5"/>
  <c r="DR218" i="5"/>
  <c r="DH218" i="5" s="1"/>
  <c r="O58" i="5"/>
  <c r="BQ43" i="5"/>
  <c r="BQ47" i="5" s="1"/>
  <c r="AD150" i="5"/>
  <c r="AJ7" i="1"/>
  <c r="AJ6" i="1" s="1"/>
  <c r="AJ6" i="5"/>
  <c r="AJ71" i="5" s="1"/>
  <c r="DP115" i="5"/>
  <c r="AM90" i="5"/>
  <c r="BS6" i="5"/>
  <c r="AD172" i="5"/>
  <c r="AO128" i="5"/>
  <c r="S70" i="5"/>
  <c r="AK90" i="5"/>
  <c r="CE172" i="5"/>
  <c r="AK187" i="5"/>
  <c r="AO181" i="5"/>
  <c r="AO185" i="5"/>
  <c r="AO123" i="5"/>
  <c r="AL133" i="5"/>
  <c r="AB133" i="5" s="1"/>
  <c r="AD178" i="5"/>
  <c r="AO192" i="5"/>
  <c r="Y70" i="5"/>
  <c r="AA133" i="5"/>
  <c r="AM76" i="5"/>
  <c r="DR156" i="5"/>
  <c r="DH156" i="5" s="1"/>
  <c r="AH116" i="5"/>
  <c r="AE7" i="1"/>
  <c r="AE6" i="1" s="1"/>
  <c r="AE6" i="5"/>
  <c r="AE71" i="5" s="1"/>
  <c r="AE209" i="5"/>
  <c r="AJ146" i="5"/>
  <c r="AA58" i="5"/>
  <c r="AH178" i="5"/>
  <c r="AM205" i="5"/>
  <c r="AG90" i="5"/>
  <c r="DF230" i="5"/>
  <c r="DF231" i="5" s="1"/>
  <c r="V70" i="5"/>
  <c r="Z75" i="5"/>
  <c r="W43" i="5"/>
  <c r="AA164" i="5"/>
  <c r="AO64" i="5"/>
  <c r="AO94" i="5"/>
  <c r="AA146" i="5"/>
  <c r="AE116" i="5"/>
  <c r="P75" i="5"/>
  <c r="AN227" i="5"/>
  <c r="AC157" i="5"/>
  <c r="AO158" i="5"/>
  <c r="AL205" i="5"/>
  <c r="AB205" i="5" s="1"/>
  <c r="DN218" i="5"/>
  <c r="AO142" i="5"/>
  <c r="AE178" i="5"/>
  <c r="DU76" i="5"/>
  <c r="AC219" i="5"/>
  <c r="AC220" i="1"/>
  <c r="AO220" i="5"/>
  <c r="AI219" i="5"/>
  <c r="CE150" i="5"/>
  <c r="W156" i="5"/>
  <c r="DN156" i="5"/>
  <c r="AA182" i="5"/>
  <c r="AO106" i="5"/>
  <c r="AO14" i="5"/>
  <c r="AC13" i="5"/>
  <c r="AC14" i="1"/>
  <c r="Q70" i="5"/>
  <c r="DR71" i="5"/>
  <c r="DR70" i="5"/>
  <c r="DH70" i="5" s="1"/>
  <c r="AC16" i="1"/>
  <c r="AO16" i="1" s="1"/>
  <c r="AO16" i="5"/>
  <c r="AO197" i="5"/>
  <c r="CV230" i="5"/>
  <c r="CV231" i="5" s="1"/>
  <c r="AI193" i="5"/>
  <c r="AG209" i="5"/>
  <c r="CU230" i="5"/>
  <c r="CU231" i="5" s="1"/>
  <c r="DP156" i="5"/>
  <c r="AO112" i="5"/>
  <c r="DJ75" i="5"/>
  <c r="R70" i="5"/>
  <c r="AO199" i="5"/>
  <c r="CX72" i="5"/>
  <c r="DU150" i="5"/>
  <c r="AO171" i="5"/>
  <c r="AC214" i="5"/>
  <c r="AO215" i="5"/>
  <c r="AO62" i="5"/>
  <c r="U115" i="5"/>
  <c r="AO228" i="5"/>
  <c r="AC227" i="5"/>
  <c r="DU13" i="5"/>
  <c r="BF230" i="5"/>
  <c r="BF231" i="5" s="1"/>
  <c r="DG218" i="5"/>
  <c r="AO168" i="5"/>
  <c r="AA227" i="5"/>
  <c r="AC241" i="5"/>
  <c r="AO242" i="5"/>
  <c r="AD90" i="5"/>
  <c r="DK115" i="5"/>
  <c r="AO194" i="5"/>
  <c r="AC193" i="5"/>
  <c r="DF72" i="5"/>
  <c r="Z115" i="5"/>
  <c r="AJ70" i="5"/>
  <c r="AK13" i="5"/>
  <c r="AK6" i="5" s="1"/>
  <c r="AK71" i="5" s="1"/>
  <c r="AK14" i="1"/>
  <c r="AK13" i="1" s="1"/>
  <c r="AF133" i="5"/>
  <c r="DQ156" i="5"/>
  <c r="BY230" i="5"/>
  <c r="BY231" i="5" s="1"/>
  <c r="AO97" i="5"/>
  <c r="AA187" i="5"/>
  <c r="AH209" i="5"/>
  <c r="AO191" i="5"/>
  <c r="BG230" i="5"/>
  <c r="BG231" i="5" s="1"/>
  <c r="AD138" i="5"/>
  <c r="AA209" i="5"/>
  <c r="AA157" i="5"/>
  <c r="AO243" i="5"/>
  <c r="DU182" i="5"/>
  <c r="AL187" i="5"/>
  <c r="BQ156" i="5"/>
  <c r="DJ115" i="5"/>
  <c r="AO108" i="5"/>
  <c r="AF227" i="5"/>
  <c r="DM70" i="5"/>
  <c r="DM71" i="5"/>
  <c r="AA76" i="5"/>
  <c r="AJ90" i="5"/>
  <c r="DK218" i="5"/>
  <c r="AH157" i="5"/>
  <c r="X115" i="5"/>
  <c r="AO92" i="5"/>
  <c r="AD133" i="5"/>
  <c r="AJ227" i="5"/>
  <c r="AC116" i="5"/>
  <c r="AO117" i="5"/>
  <c r="AF205" i="5"/>
  <c r="CZ230" i="5"/>
  <c r="CZ231" i="5" s="1"/>
  <c r="AH7" i="1"/>
  <c r="AH6" i="1" s="1"/>
  <c r="AH6" i="5"/>
  <c r="AH71" i="5" s="1"/>
  <c r="AN7" i="1"/>
  <c r="AD87" i="5"/>
  <c r="AO170" i="5"/>
  <c r="AO167" i="5"/>
  <c r="BS156" i="5"/>
  <c r="AO159" i="5"/>
  <c r="DS156" i="5"/>
  <c r="AE104" i="5"/>
  <c r="AK157" i="5"/>
  <c r="AM129" i="5"/>
  <c r="AA116" i="5"/>
  <c r="AL223" i="5"/>
  <c r="AB223" i="5" s="1"/>
  <c r="AO77" i="5"/>
  <c r="AC76" i="5"/>
  <c r="AO107" i="5"/>
  <c r="DI6" i="5"/>
  <c r="DI71" i="5" s="1"/>
  <c r="BS218" i="5"/>
  <c r="AO226" i="5"/>
  <c r="AK104" i="5"/>
  <c r="AG133" i="5"/>
  <c r="AN150" i="5"/>
  <c r="AO166" i="5"/>
  <c r="DP218" i="5"/>
  <c r="AO161" i="5"/>
  <c r="AK133" i="5"/>
  <c r="AG7" i="1"/>
  <c r="AH133" i="5"/>
  <c r="AG157" i="5"/>
  <c r="AK116" i="5"/>
  <c r="D233" i="1"/>
  <c r="D249" i="1" s="1"/>
  <c r="D250" i="1" s="1"/>
  <c r="EI234" i="4"/>
  <c r="M71" i="1"/>
  <c r="M72" i="1" s="1"/>
  <c r="V249" i="8"/>
  <c r="V250" i="8" s="1"/>
  <c r="BL71" i="6"/>
  <c r="BL72" i="6" s="1"/>
  <c r="DB71" i="6"/>
  <c r="DB72" i="6" s="1"/>
  <c r="V218" i="6"/>
  <c r="DA71" i="6"/>
  <c r="DA72" i="6" s="1"/>
  <c r="T58" i="6"/>
  <c r="BJ230" i="6"/>
  <c r="BJ231" i="6" s="1"/>
  <c r="EP230" i="6"/>
  <c r="EP231" i="6" s="1"/>
  <c r="CZ71" i="6"/>
  <c r="CZ72" i="6" s="1"/>
  <c r="T43" i="6"/>
  <c r="T47" i="6" s="1"/>
  <c r="EP71" i="6"/>
  <c r="S218" i="6"/>
  <c r="CY230" i="6"/>
  <c r="CY231" i="6" s="1"/>
  <c r="S156" i="6"/>
  <c r="S43" i="6"/>
  <c r="S47" i="6" s="1"/>
  <c r="S115" i="6"/>
  <c r="BI230" i="6"/>
  <c r="BI231" i="6" s="1"/>
  <c r="EO230" i="6"/>
  <c r="Q43" i="6"/>
  <c r="Q47" i="6" s="1"/>
  <c r="BF71" i="6"/>
  <c r="BF72" i="6" s="1"/>
  <c r="EL71" i="6"/>
  <c r="EL72" i="6" s="1"/>
  <c r="EL230" i="6"/>
  <c r="EL231" i="6" s="1"/>
  <c r="P75" i="6"/>
  <c r="P218" i="6"/>
  <c r="BF230" i="6"/>
  <c r="BF231" i="6" s="1"/>
  <c r="CU71" i="6"/>
  <c r="CU72" i="6" s="1"/>
  <c r="BE230" i="6"/>
  <c r="BE231" i="6" s="1"/>
  <c r="O218" i="6"/>
  <c r="CU230" i="6"/>
  <c r="CU231" i="6" s="1"/>
  <c r="EK230" i="6"/>
  <c r="EK231" i="6" s="1"/>
  <c r="O249" i="8"/>
  <c r="O250" i="8" s="1"/>
  <c r="O234" i="8"/>
  <c r="Q218" i="6"/>
  <c r="CW71" i="6"/>
  <c r="CW72" i="6" s="1"/>
  <c r="Q75" i="6"/>
  <c r="EM71" i="6"/>
  <c r="EM72" i="6" s="1"/>
  <c r="BG71" i="6"/>
  <c r="BG72" i="6" s="1"/>
  <c r="Q58" i="6"/>
  <c r="Q156" i="6"/>
  <c r="Q115" i="6"/>
  <c r="EV71" i="6"/>
  <c r="EV72" i="6" s="1"/>
  <c r="Z218" i="6"/>
  <c r="Z115" i="6"/>
  <c r="Y156" i="6"/>
  <c r="Y58" i="6"/>
  <c r="DC230" i="6"/>
  <c r="BL230" i="6"/>
  <c r="BL231" i="6" s="1"/>
  <c r="S75" i="6"/>
  <c r="R218" i="6"/>
  <c r="BH71" i="6"/>
  <c r="BH72" i="6" s="1"/>
  <c r="R75" i="6"/>
  <c r="EN230" i="6"/>
  <c r="EN231" i="6" s="1"/>
  <c r="U43" i="6"/>
  <c r="U47" i="6" s="1"/>
  <c r="BJ71" i="6"/>
  <c r="BJ72" i="6" s="1"/>
  <c r="U58" i="6"/>
  <c r="BK71" i="6"/>
  <c r="BK72" i="6" s="1"/>
  <c r="EQ71" i="6"/>
  <c r="EQ72" i="6" s="1"/>
  <c r="BQ58" i="6"/>
  <c r="EW75" i="6"/>
  <c r="AA87" i="6"/>
  <c r="DG75" i="6"/>
  <c r="EW43" i="6"/>
  <c r="EW47" i="6" s="1"/>
  <c r="U218" i="6"/>
  <c r="DG43" i="6"/>
  <c r="DG47" i="6" s="1"/>
  <c r="DA230" i="6"/>
  <c r="DA231" i="6" s="1"/>
  <c r="AA146" i="6"/>
  <c r="EW70" i="6"/>
  <c r="BQ43" i="6"/>
  <c r="BQ47" i="6" s="1"/>
  <c r="AA233" i="8"/>
  <c r="AA234" i="8" s="1"/>
  <c r="EQ230" i="6"/>
  <c r="EQ231" i="6" s="1"/>
  <c r="EW218" i="6"/>
  <c r="DG58" i="6"/>
  <c r="EW156" i="6"/>
  <c r="AA27" i="6"/>
  <c r="AA133" i="6"/>
  <c r="U234" i="8"/>
  <c r="U249" i="8"/>
  <c r="U250" i="8" s="1"/>
  <c r="DG218" i="6"/>
  <c r="BC234" i="4"/>
  <c r="J233" i="6"/>
  <c r="J249" i="6" s="1"/>
  <c r="J250" i="6" s="1"/>
  <c r="M71" i="6"/>
  <c r="M72" i="6" s="1"/>
  <c r="C233" i="6"/>
  <c r="C249" i="6" s="1"/>
  <c r="C250" i="6" s="1"/>
  <c r="AA76" i="6"/>
  <c r="AA104" i="6"/>
  <c r="T156" i="6"/>
  <c r="DG156" i="6"/>
  <c r="V156" i="6"/>
  <c r="W75" i="6"/>
  <c r="AA129" i="6"/>
  <c r="AA116" i="6"/>
  <c r="BQ75" i="6"/>
  <c r="V75" i="6"/>
  <c r="AA29" i="6"/>
  <c r="O156" i="6"/>
  <c r="X156" i="6"/>
  <c r="CZ230" i="6"/>
  <c r="CZ231" i="6" s="1"/>
  <c r="X58" i="6"/>
  <c r="Z43" i="6"/>
  <c r="Z47" i="6" s="1"/>
  <c r="BH230" i="6"/>
  <c r="BH231" i="6" s="1"/>
  <c r="W58" i="6"/>
  <c r="AA54" i="6"/>
  <c r="EU230" i="6"/>
  <c r="EU231" i="6" s="1"/>
  <c r="R115" i="6"/>
  <c r="AA60" i="6"/>
  <c r="V58" i="6"/>
  <c r="P115" i="6"/>
  <c r="BM230" i="6"/>
  <c r="AA13" i="6"/>
  <c r="O6" i="6"/>
  <c r="AA6" i="6" s="1"/>
  <c r="O115" i="6"/>
  <c r="DF230" i="6"/>
  <c r="DF231" i="6" s="1"/>
  <c r="EW115" i="6"/>
  <c r="O43" i="6"/>
  <c r="O47" i="6" s="1"/>
  <c r="AA157" i="6"/>
  <c r="AA150" i="6"/>
  <c r="AA138" i="6"/>
  <c r="T115" i="6"/>
  <c r="BQ115" i="6"/>
  <c r="EW58" i="6"/>
  <c r="O52" i="1"/>
  <c r="AA52" i="4"/>
  <c r="U115" i="6"/>
  <c r="CV230" i="6"/>
  <c r="CV231" i="6" s="1"/>
  <c r="DG115" i="6"/>
  <c r="O56" i="1"/>
  <c r="AA56" i="4"/>
  <c r="Y115" i="6"/>
  <c r="BK230" i="6"/>
  <c r="BK231" i="6" s="1"/>
  <c r="ER230" i="6"/>
  <c r="ER231" i="6" s="1"/>
  <c r="S58" i="6"/>
  <c r="AA38" i="6"/>
  <c r="CW230" i="6"/>
  <c r="CW231" i="6" s="1"/>
  <c r="X115" i="6"/>
  <c r="BE71" i="6"/>
  <c r="DB230" i="6"/>
  <c r="DB231" i="6" s="1"/>
  <c r="P156" i="6"/>
  <c r="ET230" i="6"/>
  <c r="ES230" i="6"/>
  <c r="AA241" i="6"/>
  <c r="Z156" i="6"/>
  <c r="P43" i="6"/>
  <c r="P47" i="6" s="1"/>
  <c r="BG230" i="6"/>
  <c r="BG231" i="6" s="1"/>
  <c r="O53" i="1"/>
  <c r="AA53" i="4"/>
  <c r="R156" i="6"/>
  <c r="V115" i="6"/>
  <c r="EN71" i="6"/>
  <c r="CX230" i="6"/>
  <c r="CX231" i="6" s="1"/>
  <c r="BQ156" i="6"/>
  <c r="EM230" i="6"/>
  <c r="EM231" i="6" s="1"/>
  <c r="U75" i="6"/>
  <c r="EV230" i="6"/>
  <c r="EV231" i="6" s="1"/>
  <c r="BP230" i="6"/>
  <c r="BP231" i="6" s="1"/>
  <c r="R43" i="6"/>
  <c r="R47" i="6" s="1"/>
  <c r="U156" i="6"/>
  <c r="W115" i="6"/>
  <c r="X75" i="6"/>
  <c r="DE230" i="6"/>
  <c r="DE231" i="6" s="1"/>
  <c r="AA90" i="6"/>
  <c r="AA57" i="6"/>
  <c r="Y43" i="6"/>
  <c r="Y47" i="6" s="1"/>
  <c r="O58" i="6"/>
  <c r="E231" i="6"/>
  <c r="M230" i="1"/>
  <c r="H233" i="6"/>
  <c r="H249" i="6" s="1"/>
  <c r="H250" i="6" s="1"/>
  <c r="L233" i="6"/>
  <c r="L249" i="6" s="1"/>
  <c r="L250" i="6" s="1"/>
  <c r="G233" i="6"/>
  <c r="G249" i="6" s="1"/>
  <c r="G250" i="6" s="1"/>
  <c r="E234" i="4"/>
  <c r="I234" i="4"/>
  <c r="C234" i="4"/>
  <c r="K234" i="4"/>
  <c r="M233" i="4"/>
  <c r="M249" i="4" s="1"/>
  <c r="M250" i="4" s="1"/>
  <c r="H234" i="4"/>
  <c r="D234" i="4"/>
  <c r="K233" i="6"/>
  <c r="K249" i="6" s="1"/>
  <c r="K250" i="6" s="1"/>
  <c r="D233" i="6"/>
  <c r="D234" i="6" s="1"/>
  <c r="A249" i="4"/>
  <c r="A250" i="4" s="1"/>
  <c r="M230" i="6"/>
  <c r="M231" i="6" s="1"/>
  <c r="B234" i="4"/>
  <c r="F233" i="6"/>
  <c r="F249" i="6" s="1"/>
  <c r="F250" i="6" s="1"/>
  <c r="G249" i="4"/>
  <c r="G250" i="4" s="1"/>
  <c r="J249" i="4"/>
  <c r="J250" i="4" s="1"/>
  <c r="M71" i="5"/>
  <c r="M72" i="5" s="1"/>
  <c r="A233" i="1"/>
  <c r="D231" i="5"/>
  <c r="I233" i="5"/>
  <c r="I72" i="5"/>
  <c r="J234" i="4"/>
  <c r="G233" i="5"/>
  <c r="I233" i="6"/>
  <c r="B233" i="6"/>
  <c r="B249" i="6" s="1"/>
  <c r="B250" i="6" s="1"/>
  <c r="F250" i="4"/>
  <c r="F234" i="4"/>
  <c r="E233" i="5"/>
  <c r="C233" i="5"/>
  <c r="A233" i="5"/>
  <c r="J233" i="5"/>
  <c r="K233" i="5"/>
  <c r="F233" i="5"/>
  <c r="A72" i="5"/>
  <c r="L233" i="5"/>
  <c r="B233" i="5"/>
  <c r="B249" i="5" s="1"/>
  <c r="H233" i="5"/>
  <c r="M230" i="5"/>
  <c r="M231" i="5" s="1"/>
  <c r="A233" i="6"/>
  <c r="A249" i="6" s="1"/>
  <c r="A72" i="6"/>
  <c r="AB58" i="6" l="1"/>
  <c r="FH87" i="6"/>
  <c r="EX87" i="6" s="1"/>
  <c r="BF72" i="5"/>
  <c r="BF252" i="5"/>
  <c r="BE72" i="5"/>
  <c r="BE252" i="5"/>
  <c r="BK72" i="5"/>
  <c r="BK252" i="5"/>
  <c r="BG72" i="5"/>
  <c r="BG252" i="5"/>
  <c r="BJ72" i="5"/>
  <c r="BJ252" i="5"/>
  <c r="AB70" i="5"/>
  <c r="BI72" i="5"/>
  <c r="BI252" i="5"/>
  <c r="AA218" i="6"/>
  <c r="BN71" i="5"/>
  <c r="E52" i="24"/>
  <c r="D52" i="24" s="1"/>
  <c r="EX29" i="6"/>
  <c r="AB57" i="6"/>
  <c r="EB52" i="24"/>
  <c r="EX241" i="6"/>
  <c r="DR75" i="6"/>
  <c r="DH75" i="6" s="1"/>
  <c r="DH87" i="6"/>
  <c r="AB55" i="6"/>
  <c r="DH43" i="6"/>
  <c r="DH47" i="6"/>
  <c r="F52" i="24"/>
  <c r="EX38" i="6"/>
  <c r="DH71" i="6"/>
  <c r="BN71" i="6"/>
  <c r="BN233" i="6" s="1"/>
  <c r="X47" i="5"/>
  <c r="AB43" i="5"/>
  <c r="ET233" i="6"/>
  <c r="BN231" i="6"/>
  <c r="BR230" i="6"/>
  <c r="ET231" i="6"/>
  <c r="AA156" i="6"/>
  <c r="DD231" i="6"/>
  <c r="DD71" i="5"/>
  <c r="DD233" i="5" s="1"/>
  <c r="DH47" i="5"/>
  <c r="AO193" i="6"/>
  <c r="AO178" i="6"/>
  <c r="AO172" i="6"/>
  <c r="AO187" i="6"/>
  <c r="AO182" i="6"/>
  <c r="AL241" i="6"/>
  <c r="AB241" i="6" s="1"/>
  <c r="AB242" i="6"/>
  <c r="AL87" i="6"/>
  <c r="AB87" i="6" s="1"/>
  <c r="AB88" i="6"/>
  <c r="AL38" i="6"/>
  <c r="AB38" i="6" s="1"/>
  <c r="AB39" i="6"/>
  <c r="X47" i="6"/>
  <c r="X71" i="6" s="1"/>
  <c r="AL227" i="6"/>
  <c r="AB227" i="6" s="1"/>
  <c r="AB228" i="6"/>
  <c r="DD231" i="5"/>
  <c r="BN231" i="5"/>
  <c r="BR231" i="5" s="1"/>
  <c r="AL205" i="6"/>
  <c r="AB205" i="6" s="1"/>
  <c r="AN223" i="6"/>
  <c r="BQ71" i="5"/>
  <c r="BQ72" i="5" s="1"/>
  <c r="AE205" i="6"/>
  <c r="EO233" i="6"/>
  <c r="EO249" i="6" s="1"/>
  <c r="EO250" i="6" s="1"/>
  <c r="P71" i="6"/>
  <c r="P72" i="6" s="1"/>
  <c r="AG182" i="6"/>
  <c r="AO246" i="6"/>
  <c r="AI29" i="6"/>
  <c r="AI43" i="6" s="1"/>
  <c r="AI47" i="6" s="1"/>
  <c r="AI71" i="6" s="1"/>
  <c r="Z71" i="6"/>
  <c r="Z72" i="6" s="1"/>
  <c r="AE129" i="6"/>
  <c r="AO244" i="6"/>
  <c r="AO243" i="6"/>
  <c r="AO33" i="6"/>
  <c r="AG223" i="6"/>
  <c r="AG218" i="6" s="1"/>
  <c r="AI146" i="6"/>
  <c r="AI205" i="6"/>
  <c r="AF214" i="6"/>
  <c r="AJ223" i="6"/>
  <c r="AC29" i="6"/>
  <c r="AC70" i="6" s="1"/>
  <c r="AH133" i="6"/>
  <c r="AJ178" i="6"/>
  <c r="AJ209" i="6"/>
  <c r="CE230" i="6"/>
  <c r="CE231" i="6" s="1"/>
  <c r="AE209" i="6"/>
  <c r="AD205" i="6"/>
  <c r="AH29" i="6"/>
  <c r="AH70" i="6" s="1"/>
  <c r="AG138" i="6"/>
  <c r="AD182" i="6"/>
  <c r="AH146" i="6"/>
  <c r="AG209" i="6"/>
  <c r="AO42" i="6"/>
  <c r="AO44" i="6"/>
  <c r="AM43" i="6"/>
  <c r="AM47" i="6" s="1"/>
  <c r="AM71" i="6" s="1"/>
  <c r="FG87" i="6"/>
  <c r="AO40" i="6"/>
  <c r="AO30" i="6"/>
  <c r="Q53" i="24"/>
  <c r="AK88" i="6"/>
  <c r="AK87" i="6" s="1"/>
  <c r="AL150" i="6"/>
  <c r="AB150" i="6" s="1"/>
  <c r="AN133" i="6"/>
  <c r="AM182" i="6"/>
  <c r="FH75" i="6"/>
  <c r="EX75" i="6" s="1"/>
  <c r="AM129" i="6"/>
  <c r="AL146" i="6"/>
  <c r="AB146" i="6" s="1"/>
  <c r="AM209" i="6"/>
  <c r="DU219" i="4"/>
  <c r="AG219" i="1"/>
  <c r="AA6" i="5"/>
  <c r="DK72" i="5"/>
  <c r="AF72" i="5"/>
  <c r="AO4" i="1"/>
  <c r="BM71" i="6"/>
  <c r="BM72" i="6" s="1"/>
  <c r="W250" i="8"/>
  <c r="V72" i="5"/>
  <c r="DC71" i="5"/>
  <c r="DC233" i="5" s="1"/>
  <c r="BM71" i="5"/>
  <c r="BM252" i="5" s="1"/>
  <c r="W47" i="5"/>
  <c r="BM231" i="5"/>
  <c r="AL209" i="6"/>
  <c r="AB209" i="6" s="1"/>
  <c r="AN138" i="6"/>
  <c r="F53" i="24"/>
  <c r="AN182" i="6"/>
  <c r="AO45" i="6"/>
  <c r="EY218" i="6"/>
  <c r="AO245" i="6"/>
  <c r="W47" i="6"/>
  <c r="W71" i="6" s="1"/>
  <c r="W72" i="6" s="1"/>
  <c r="ES72" i="6"/>
  <c r="AK55" i="4"/>
  <c r="AK57" i="4" s="1"/>
  <c r="AK58" i="4" s="1"/>
  <c r="AJ129" i="6"/>
  <c r="DQ230" i="6"/>
  <c r="AD43" i="6"/>
  <c r="AD47" i="6" s="1"/>
  <c r="AD71" i="6" s="1"/>
  <c r="AO46" i="6"/>
  <c r="V71" i="6"/>
  <c r="V72" i="6" s="1"/>
  <c r="CE72" i="6"/>
  <c r="AK57" i="6"/>
  <c r="DC72" i="6"/>
  <c r="AJ205" i="6"/>
  <c r="AF129" i="6"/>
  <c r="AG146" i="6"/>
  <c r="AD157" i="6"/>
  <c r="BW233" i="6"/>
  <c r="BW249" i="6" s="1"/>
  <c r="BW250" i="6" s="1"/>
  <c r="AA52" i="1"/>
  <c r="AO154" i="6"/>
  <c r="AD164" i="6"/>
  <c r="AJ133" i="6"/>
  <c r="AK29" i="6"/>
  <c r="AJ29" i="6"/>
  <c r="AJ43" i="6" s="1"/>
  <c r="AJ47" i="6" s="1"/>
  <c r="AJ71" i="6" s="1"/>
  <c r="AK209" i="6"/>
  <c r="AM150" i="6"/>
  <c r="AF133" i="6"/>
  <c r="AO247" i="6"/>
  <c r="AE182" i="6"/>
  <c r="AK241" i="6"/>
  <c r="EB53" i="24"/>
  <c r="AK38" i="6"/>
  <c r="R71" i="6"/>
  <c r="R72" i="6" s="1"/>
  <c r="AM193" i="6"/>
  <c r="AK182" i="6"/>
  <c r="CB231" i="6"/>
  <c r="AJ172" i="6"/>
  <c r="AO34" i="6"/>
  <c r="AO41" i="6"/>
  <c r="AO142" i="6"/>
  <c r="AF172" i="6"/>
  <c r="AL178" i="6"/>
  <c r="AB178" i="6" s="1"/>
  <c r="AJ214" i="6"/>
  <c r="AG157" i="6"/>
  <c r="AO159" i="6"/>
  <c r="AD214" i="6"/>
  <c r="AK214" i="6"/>
  <c r="EP233" i="6"/>
  <c r="EP249" i="6" s="1"/>
  <c r="EP250" i="6" s="1"/>
  <c r="ER233" i="6"/>
  <c r="ER249" i="6" s="1"/>
  <c r="ER250" i="6" s="1"/>
  <c r="BZ233" i="6"/>
  <c r="BZ249" i="6" s="1"/>
  <c r="BZ250" i="6" s="1"/>
  <c r="AJ104" i="6"/>
  <c r="ES231" i="6"/>
  <c r="Y230" i="6"/>
  <c r="Y231" i="6" s="1"/>
  <c r="DK230" i="6"/>
  <c r="DK231" i="6" s="1"/>
  <c r="AH223" i="6"/>
  <c r="AI223" i="6"/>
  <c r="AI218" i="6" s="1"/>
  <c r="DC231" i="6"/>
  <c r="FA218" i="6"/>
  <c r="AE223" i="6"/>
  <c r="FE218" i="6"/>
  <c r="DM230" i="6"/>
  <c r="DM231" i="6" s="1"/>
  <c r="AA56" i="1"/>
  <c r="AA53" i="1"/>
  <c r="FA227" i="4"/>
  <c r="BL233" i="5"/>
  <c r="BL249" i="5" s="1"/>
  <c r="BL250" i="5" s="1"/>
  <c r="DG47" i="5"/>
  <c r="FD218" i="6"/>
  <c r="FB218" i="6"/>
  <c r="AK227" i="6"/>
  <c r="EZ218" i="6"/>
  <c r="BU233" i="6"/>
  <c r="BU249" i="6" s="1"/>
  <c r="BU250" i="6" s="1"/>
  <c r="FC218" i="6"/>
  <c r="FI218" i="6"/>
  <c r="FH227" i="4"/>
  <c r="BQ230" i="5"/>
  <c r="D234" i="5"/>
  <c r="AO220" i="4"/>
  <c r="FG227" i="4"/>
  <c r="FF227" i="4"/>
  <c r="AI219" i="1"/>
  <c r="AF187" i="6"/>
  <c r="AO101" i="6"/>
  <c r="AH104" i="6"/>
  <c r="AO110" i="6"/>
  <c r="AL29" i="6"/>
  <c r="AN209" i="6"/>
  <c r="FA75" i="6"/>
  <c r="AG205" i="6"/>
  <c r="AN29" i="6"/>
  <c r="AN70" i="6" s="1"/>
  <c r="FK205" i="6"/>
  <c r="FB75" i="6"/>
  <c r="BX233" i="6"/>
  <c r="BX234" i="6" s="1"/>
  <c r="FC227" i="4"/>
  <c r="AH205" i="6"/>
  <c r="AO226" i="6"/>
  <c r="DU43" i="6"/>
  <c r="DU47" i="6" s="1"/>
  <c r="DU71" i="6" s="1"/>
  <c r="FK172" i="6"/>
  <c r="AI129" i="6"/>
  <c r="AO84" i="6"/>
  <c r="AN193" i="6"/>
  <c r="AE76" i="6"/>
  <c r="AF178" i="6"/>
  <c r="AO83" i="6"/>
  <c r="AE90" i="6"/>
  <c r="AE164" i="6"/>
  <c r="AO77" i="6"/>
  <c r="AO118" i="6"/>
  <c r="AO120" i="6"/>
  <c r="AI90" i="6"/>
  <c r="AK157" i="6"/>
  <c r="AF182" i="6"/>
  <c r="AD150" i="6"/>
  <c r="AI157" i="6"/>
  <c r="AM205" i="6"/>
  <c r="AJ76" i="6"/>
  <c r="BS233" i="6"/>
  <c r="BS249" i="6" s="1"/>
  <c r="BS250" i="6" s="1"/>
  <c r="AE178" i="6"/>
  <c r="AM138" i="6"/>
  <c r="AK116" i="6"/>
  <c r="AI116" i="6"/>
  <c r="AM172" i="6"/>
  <c r="AK129" i="6"/>
  <c r="AH116" i="6"/>
  <c r="AL157" i="6"/>
  <c r="AB157" i="6" s="1"/>
  <c r="AO212" i="6"/>
  <c r="AN205" i="6"/>
  <c r="AK193" i="6"/>
  <c r="AI187" i="6"/>
  <c r="AO152" i="6"/>
  <c r="AM187" i="6"/>
  <c r="AM223" i="6"/>
  <c r="BY233" i="6"/>
  <c r="BY249" i="6" s="1"/>
  <c r="BY250" i="6" s="1"/>
  <c r="S71" i="6"/>
  <c r="S72" i="6" s="1"/>
  <c r="G249" i="1"/>
  <c r="G250" i="1" s="1"/>
  <c r="FK150" i="6"/>
  <c r="FI75" i="6"/>
  <c r="FF218" i="6"/>
  <c r="AL129" i="6"/>
  <c r="AB129" i="6" s="1"/>
  <c r="AO149" i="6"/>
  <c r="AO81" i="6"/>
  <c r="AH172" i="6"/>
  <c r="AO82" i="6"/>
  <c r="CC233" i="6"/>
  <c r="CC249" i="6" s="1"/>
  <c r="CC250" i="6" s="1"/>
  <c r="AO162" i="6"/>
  <c r="AH129" i="6"/>
  <c r="AO148" i="6"/>
  <c r="AF116" i="6"/>
  <c r="AD138" i="6"/>
  <c r="AM133" i="6"/>
  <c r="AH138" i="6"/>
  <c r="AH193" i="6"/>
  <c r="E249" i="6"/>
  <c r="E250" i="6" s="1"/>
  <c r="AI76" i="6"/>
  <c r="AD90" i="6"/>
  <c r="AD209" i="6"/>
  <c r="AG29" i="6"/>
  <c r="AO80" i="6"/>
  <c r="AO112" i="6"/>
  <c r="FK133" i="6"/>
  <c r="AJ138" i="6"/>
  <c r="BT233" i="6"/>
  <c r="BT234" i="6" s="1"/>
  <c r="FC156" i="6"/>
  <c r="AO166" i="6"/>
  <c r="AO79" i="6"/>
  <c r="EZ156" i="6"/>
  <c r="AO127" i="6"/>
  <c r="AO123" i="6"/>
  <c r="AO213" i="6"/>
  <c r="U71" i="6"/>
  <c r="U72" i="6" s="1"/>
  <c r="AF223" i="6"/>
  <c r="AF218" i="6" s="1"/>
  <c r="DO230" i="6"/>
  <c r="DO231" i="6" s="1"/>
  <c r="AF90" i="6"/>
  <c r="AG178" i="6"/>
  <c r="AL182" i="6"/>
  <c r="AB182" i="6" s="1"/>
  <c r="AN116" i="6"/>
  <c r="DN230" i="6"/>
  <c r="DN231" i="6" s="1"/>
  <c r="DI72" i="6"/>
  <c r="DP72" i="6"/>
  <c r="DN72" i="6"/>
  <c r="DU60" i="4"/>
  <c r="AO137" i="6"/>
  <c r="AF138" i="6"/>
  <c r="DT230" i="6"/>
  <c r="DT231" i="6" s="1"/>
  <c r="AM116" i="6"/>
  <c r="Q60" i="24"/>
  <c r="EZ87" i="6"/>
  <c r="EZ75" i="6" s="1"/>
  <c r="AD88" i="6"/>
  <c r="AD87" i="6" s="1"/>
  <c r="AM178" i="6"/>
  <c r="AL223" i="6"/>
  <c r="AJ150" i="6"/>
  <c r="AN164" i="6"/>
  <c r="AN104" i="6"/>
  <c r="AC182" i="6"/>
  <c r="AO140" i="6"/>
  <c r="AO31" i="6"/>
  <c r="FA70" i="6"/>
  <c r="FA58" i="6"/>
  <c r="AD146" i="6"/>
  <c r="FH156" i="6"/>
  <c r="EX156" i="6" s="1"/>
  <c r="AO55" i="6"/>
  <c r="AO57" i="6" s="1"/>
  <c r="AO58" i="6" s="1"/>
  <c r="FD58" i="6"/>
  <c r="FD70" i="6"/>
  <c r="AO153" i="6"/>
  <c r="AC223" i="6"/>
  <c r="AO224" i="6"/>
  <c r="AO78" i="6"/>
  <c r="AK133" i="6"/>
  <c r="AL90" i="6"/>
  <c r="AB90" i="6" s="1"/>
  <c r="AF76" i="6"/>
  <c r="AI138" i="6"/>
  <c r="AO107" i="6"/>
  <c r="AC222" i="1"/>
  <c r="AO222" i="1" s="1"/>
  <c r="DU218" i="6"/>
  <c r="FH57" i="4"/>
  <c r="FH58" i="4" s="1"/>
  <c r="AL55" i="4"/>
  <c r="AO102" i="6"/>
  <c r="AJ164" i="6"/>
  <c r="FE156" i="6"/>
  <c r="AK178" i="6"/>
  <c r="FK146" i="6"/>
  <c r="DK72" i="6"/>
  <c r="FF57" i="4"/>
  <c r="FF58" i="4" s="1"/>
  <c r="AJ55" i="4"/>
  <c r="AI150" i="6"/>
  <c r="AJ146" i="6"/>
  <c r="AJ90" i="6"/>
  <c r="AO100" i="6"/>
  <c r="AO207" i="6"/>
  <c r="AG133" i="6"/>
  <c r="AL187" i="6"/>
  <c r="AB187" i="6" s="1"/>
  <c r="AG193" i="6"/>
  <c r="AO124" i="6"/>
  <c r="AO228" i="6"/>
  <c r="AC227" i="6"/>
  <c r="AO145" i="6"/>
  <c r="AG76" i="6"/>
  <c r="AL133" i="6"/>
  <c r="AB133" i="6" s="1"/>
  <c r="AE193" i="6"/>
  <c r="AI104" i="6"/>
  <c r="AC219" i="4"/>
  <c r="FI227" i="4"/>
  <c r="AG104" i="6"/>
  <c r="AL172" i="6"/>
  <c r="AB172" i="6" s="1"/>
  <c r="FK241" i="6"/>
  <c r="FG43" i="6"/>
  <c r="E53" i="24"/>
  <c r="D53" i="24" s="1"/>
  <c r="AO99" i="6"/>
  <c r="AD129" i="6"/>
  <c r="DR230" i="6"/>
  <c r="DR231" i="6" s="1"/>
  <c r="BO233" i="6"/>
  <c r="BO249" i="6" s="1"/>
  <c r="BO250" i="6" s="1"/>
  <c r="FA115" i="6"/>
  <c r="AK150" i="6"/>
  <c r="FK90" i="6"/>
  <c r="FK187" i="6"/>
  <c r="AO119" i="6"/>
  <c r="AI133" i="6"/>
  <c r="AO125" i="6"/>
  <c r="AN157" i="6"/>
  <c r="AO128" i="6"/>
  <c r="FH218" i="6"/>
  <c r="EX218" i="6" s="1"/>
  <c r="AC193" i="6"/>
  <c r="AF205" i="6"/>
  <c r="AL116" i="6"/>
  <c r="AB116" i="6" s="1"/>
  <c r="AF164" i="6"/>
  <c r="FI57" i="4"/>
  <c r="FI58" i="4" s="1"/>
  <c r="AM55" i="4"/>
  <c r="AG116" i="6"/>
  <c r="FE70" i="6"/>
  <c r="FE58" i="6"/>
  <c r="AO106" i="6"/>
  <c r="Q55" i="24"/>
  <c r="FE87" i="6"/>
  <c r="FE75" i="6" s="1"/>
  <c r="AI88" i="6"/>
  <c r="AI87" i="6" s="1"/>
  <c r="DU75" i="6"/>
  <c r="E54" i="24"/>
  <c r="D54" i="24" s="1"/>
  <c r="FF43" i="6"/>
  <c r="FF47" i="6" s="1"/>
  <c r="AM157" i="6"/>
  <c r="AO122" i="6"/>
  <c r="FK209" i="6"/>
  <c r="AL138" i="6"/>
  <c r="AB138" i="6" s="1"/>
  <c r="FK104" i="6"/>
  <c r="FE115" i="6"/>
  <c r="AL76" i="6"/>
  <c r="AB76" i="6" s="1"/>
  <c r="AF55" i="4"/>
  <c r="AH187" i="6"/>
  <c r="FB115" i="6"/>
  <c r="AO225" i="6"/>
  <c r="AN76" i="6"/>
  <c r="AN129" i="6"/>
  <c r="E55" i="24"/>
  <c r="D55" i="24" s="1"/>
  <c r="FE43" i="6"/>
  <c r="FE47" i="6" s="1"/>
  <c r="AL214" i="6"/>
  <c r="AB214" i="6" s="1"/>
  <c r="AF157" i="6"/>
  <c r="AM76" i="6"/>
  <c r="AO131" i="6"/>
  <c r="FJ75" i="6"/>
  <c r="AK104" i="6"/>
  <c r="FD43" i="6"/>
  <c r="FD47" i="6" s="1"/>
  <c r="E56" i="24"/>
  <c r="D56" i="24" s="1"/>
  <c r="AD76" i="6"/>
  <c r="DR72" i="6"/>
  <c r="AD104" i="6"/>
  <c r="AD133" i="6"/>
  <c r="AN172" i="6"/>
  <c r="AI193" i="6"/>
  <c r="AF209" i="6"/>
  <c r="AH150" i="6"/>
  <c r="AD223" i="6"/>
  <c r="AD218" i="6" s="1"/>
  <c r="AG187" i="6"/>
  <c r="CB249" i="6"/>
  <c r="CB250" i="6" s="1"/>
  <c r="CB234" i="6"/>
  <c r="AJ227" i="6"/>
  <c r="EZ43" i="6"/>
  <c r="EZ47" i="6" s="1"/>
  <c r="E60" i="24"/>
  <c r="D60" i="24" s="1"/>
  <c r="BV233" i="6"/>
  <c r="AE29" i="6"/>
  <c r="AE43" i="6" s="1"/>
  <c r="AE47" i="6" s="1"/>
  <c r="AE71" i="6" s="1"/>
  <c r="AH76" i="6"/>
  <c r="FC43" i="6"/>
  <c r="FC47" i="6" s="1"/>
  <c r="E57" i="24"/>
  <c r="D57" i="24" s="1"/>
  <c r="FJ115" i="6"/>
  <c r="FK76" i="6"/>
  <c r="AC57" i="4"/>
  <c r="AC58" i="4" s="1"/>
  <c r="AC55" i="1"/>
  <c r="FB156" i="6"/>
  <c r="AJ116" i="6"/>
  <c r="AO98" i="6"/>
  <c r="FI70" i="6"/>
  <c r="FI58" i="6"/>
  <c r="AL164" i="6"/>
  <c r="AB164" i="6" s="1"/>
  <c r="AJ182" i="6"/>
  <c r="FC57" i="4"/>
  <c r="FC58" i="4" s="1"/>
  <c r="AG55" i="4"/>
  <c r="AH182" i="6"/>
  <c r="AK164" i="6"/>
  <c r="DI230" i="6"/>
  <c r="DI231" i="6" s="1"/>
  <c r="FB227" i="4"/>
  <c r="AN227" i="6"/>
  <c r="DO72" i="6"/>
  <c r="AD116" i="6"/>
  <c r="AM227" i="6"/>
  <c r="FK214" i="6"/>
  <c r="EL233" i="6"/>
  <c r="EL249" i="6" s="1"/>
  <c r="EL250" i="6" s="1"/>
  <c r="DL230" i="6"/>
  <c r="DL231" i="6" s="1"/>
  <c r="AH227" i="6"/>
  <c r="AD70" i="6"/>
  <c r="EZ115" i="6"/>
  <c r="FK223" i="6"/>
  <c r="E50" i="24"/>
  <c r="D50" i="24" s="1"/>
  <c r="FJ43" i="6"/>
  <c r="FJ47" i="6" s="1"/>
  <c r="AG164" i="6"/>
  <c r="AC172" i="6"/>
  <c r="Y71" i="6"/>
  <c r="Y72" i="6" s="1"/>
  <c r="AF29" i="6"/>
  <c r="AF43" i="6" s="1"/>
  <c r="AF47" i="6" s="1"/>
  <c r="AF71" i="6" s="1"/>
  <c r="FK193" i="6"/>
  <c r="AO132" i="6"/>
  <c r="AO139" i="6"/>
  <c r="AC138" i="6"/>
  <c r="AO113" i="6"/>
  <c r="AI178" i="6"/>
  <c r="AE157" i="6"/>
  <c r="AD187" i="6"/>
  <c r="AO161" i="6"/>
  <c r="AO109" i="6"/>
  <c r="AF219" i="4"/>
  <c r="AF220" i="1"/>
  <c r="AF219" i="1" s="1"/>
  <c r="FC115" i="6"/>
  <c r="AC76" i="6"/>
  <c r="FJ227" i="4"/>
  <c r="AO160" i="6"/>
  <c r="FK29" i="6"/>
  <c r="AM104" i="6"/>
  <c r="AA70" i="6"/>
  <c r="DL72" i="6"/>
  <c r="E58" i="24"/>
  <c r="D58" i="24" s="1"/>
  <c r="FB43" i="6"/>
  <c r="FB47" i="6" s="1"/>
  <c r="AC164" i="6"/>
  <c r="AO165" i="6"/>
  <c r="AO39" i="6"/>
  <c r="AO97" i="6"/>
  <c r="AC150" i="6"/>
  <c r="AO151" i="6"/>
  <c r="AO167" i="6"/>
  <c r="FA156" i="6"/>
  <c r="FD227" i="4"/>
  <c r="AO168" i="6"/>
  <c r="AI214" i="6"/>
  <c r="AJ157" i="6"/>
  <c r="AF193" i="6"/>
  <c r="FE227" i="4"/>
  <c r="AL193" i="6"/>
  <c r="AB193" i="6" s="1"/>
  <c r="AO211" i="6"/>
  <c r="FH115" i="6"/>
  <c r="EX115" i="6" s="1"/>
  <c r="AC133" i="6"/>
  <c r="AK223" i="6"/>
  <c r="AJ187" i="6"/>
  <c r="AE150" i="6"/>
  <c r="FK38" i="6"/>
  <c r="AK90" i="6"/>
  <c r="DS72" i="6"/>
  <c r="AO135" i="6"/>
  <c r="AO111" i="6"/>
  <c r="DU115" i="6"/>
  <c r="AD172" i="6"/>
  <c r="FH43" i="6"/>
  <c r="AG90" i="6"/>
  <c r="AE227" i="6"/>
  <c r="FK157" i="6"/>
  <c r="AH164" i="6"/>
  <c r="AO136" i="6"/>
  <c r="AK76" i="6"/>
  <c r="AO60" i="6"/>
  <c r="EY227" i="4"/>
  <c r="FK228" i="4"/>
  <c r="AO170" i="6"/>
  <c r="CA233" i="6"/>
  <c r="DT72" i="6"/>
  <c r="AO147" i="6"/>
  <c r="AC146" i="6"/>
  <c r="AC209" i="6"/>
  <c r="AO210" i="6"/>
  <c r="FG156" i="6"/>
  <c r="FE57" i="4"/>
  <c r="FE58" i="4" s="1"/>
  <c r="AI55" i="4"/>
  <c r="FB70" i="6"/>
  <c r="FB58" i="6"/>
  <c r="AK187" i="6"/>
  <c r="FK182" i="6"/>
  <c r="FK116" i="6"/>
  <c r="EU233" i="6"/>
  <c r="EU249" i="6" s="1"/>
  <c r="EU250" i="6" s="1"/>
  <c r="AO86" i="6"/>
  <c r="FF70" i="6"/>
  <c r="FF58" i="6"/>
  <c r="AO208" i="6"/>
  <c r="AO32" i="6"/>
  <c r="Q54" i="24"/>
  <c r="FF87" i="6"/>
  <c r="FF75" i="6" s="1"/>
  <c r="AJ88" i="6"/>
  <c r="AJ87" i="6" s="1"/>
  <c r="AN90" i="6"/>
  <c r="AK146" i="6"/>
  <c r="AF104" i="6"/>
  <c r="AO108" i="6"/>
  <c r="AH209" i="6"/>
  <c r="FG70" i="6"/>
  <c r="FG58" i="6"/>
  <c r="FJ57" i="4"/>
  <c r="FJ58" i="4" s="1"/>
  <c r="AN55" i="4"/>
  <c r="AH55" i="4"/>
  <c r="Q61" i="24"/>
  <c r="EY87" i="6"/>
  <c r="EY75" i="6" s="1"/>
  <c r="AC88" i="6"/>
  <c r="AE104" i="6"/>
  <c r="AN178" i="6"/>
  <c r="AO126" i="6"/>
  <c r="FH70" i="6"/>
  <c r="EX70" i="6" s="1"/>
  <c r="FH58" i="6"/>
  <c r="EX58" i="6" s="1"/>
  <c r="AC90" i="6"/>
  <c r="AO91" i="6"/>
  <c r="DU156" i="6"/>
  <c r="AH157" i="6"/>
  <c r="FJ70" i="6"/>
  <c r="FJ58" i="6"/>
  <c r="AO216" i="6"/>
  <c r="AE219" i="4"/>
  <c r="AE220" i="1"/>
  <c r="AE219" i="1" s="1"/>
  <c r="AH90" i="6"/>
  <c r="AD178" i="6"/>
  <c r="AE146" i="6"/>
  <c r="AO171" i="6"/>
  <c r="AM146" i="6"/>
  <c r="AC116" i="6"/>
  <c r="AO117" i="6"/>
  <c r="EZ227" i="4"/>
  <c r="AO94" i="6"/>
  <c r="FC75" i="6"/>
  <c r="AM164" i="6"/>
  <c r="AC187" i="6"/>
  <c r="AO93" i="6"/>
  <c r="AO229" i="6"/>
  <c r="AG172" i="6"/>
  <c r="AL104" i="6"/>
  <c r="AB104" i="6" s="1"/>
  <c r="FK138" i="6"/>
  <c r="AK219" i="1"/>
  <c r="AC214" i="6"/>
  <c r="AO215" i="6"/>
  <c r="AE172" i="6"/>
  <c r="AK205" i="6"/>
  <c r="AO85" i="6"/>
  <c r="E59" i="24"/>
  <c r="D59" i="24" s="1"/>
  <c r="FA43" i="6"/>
  <c r="FA47" i="6" s="1"/>
  <c r="AI182" i="6"/>
  <c r="AE138" i="6"/>
  <c r="AE55" i="4"/>
  <c r="AD193" i="6"/>
  <c r="FK229" i="4"/>
  <c r="AG129" i="6"/>
  <c r="EY57" i="4"/>
  <c r="EY58" i="4" s="1"/>
  <c r="FK55" i="4"/>
  <c r="FK57" i="4" s="1"/>
  <c r="FK58" i="4" s="1"/>
  <c r="AM90" i="6"/>
  <c r="FI115" i="6"/>
  <c r="J234" i="6"/>
  <c r="DP230" i="6"/>
  <c r="DP231" i="6" s="1"/>
  <c r="AJ193" i="6"/>
  <c r="FF115" i="6"/>
  <c r="FC58" i="6"/>
  <c r="FC70" i="6"/>
  <c r="DJ230" i="6"/>
  <c r="DJ231" i="6" s="1"/>
  <c r="E51" i="24"/>
  <c r="D51" i="24" s="1"/>
  <c r="FI43" i="6"/>
  <c r="FI47" i="6" s="1"/>
  <c r="FJ156" i="6"/>
  <c r="AO95" i="6"/>
  <c r="AO141" i="6"/>
  <c r="EY58" i="6"/>
  <c r="EY70" i="6"/>
  <c r="E61" i="24"/>
  <c r="D61" i="24" s="1"/>
  <c r="EY43" i="6"/>
  <c r="EY47" i="6" s="1"/>
  <c r="AC157" i="6"/>
  <c r="AO158" i="6"/>
  <c r="AH178" i="6"/>
  <c r="AO130" i="6"/>
  <c r="AC129" i="6"/>
  <c r="AC178" i="6"/>
  <c r="AO143" i="6"/>
  <c r="FD115" i="6"/>
  <c r="EZ70" i="6"/>
  <c r="EZ58" i="6"/>
  <c r="AN150" i="6"/>
  <c r="AK138" i="6"/>
  <c r="AO121" i="6"/>
  <c r="FG115" i="6"/>
  <c r="AE214" i="6"/>
  <c r="AK172" i="6"/>
  <c r="AI172" i="6"/>
  <c r="FK57" i="6"/>
  <c r="FK58" i="6" s="1"/>
  <c r="EY156" i="6"/>
  <c r="FD156" i="6"/>
  <c r="FJ218" i="6"/>
  <c r="DQ72" i="6"/>
  <c r="AF146" i="6"/>
  <c r="AD55" i="4"/>
  <c r="FK164" i="6"/>
  <c r="AC38" i="6"/>
  <c r="AE116" i="6"/>
  <c r="AC104" i="6"/>
  <c r="AO105" i="6"/>
  <c r="DJ72" i="6"/>
  <c r="AO96" i="6"/>
  <c r="DM72" i="6"/>
  <c r="AG150" i="6"/>
  <c r="FF156" i="6"/>
  <c r="AI209" i="6"/>
  <c r="AO169" i="6"/>
  <c r="DU70" i="6"/>
  <c r="AI164" i="6"/>
  <c r="AO242" i="6"/>
  <c r="AC241" i="6"/>
  <c r="AO134" i="6"/>
  <c r="FG218" i="6"/>
  <c r="DS230" i="6"/>
  <c r="DS231" i="6" s="1"/>
  <c r="AN187" i="6"/>
  <c r="Q56" i="24"/>
  <c r="FD87" i="6"/>
  <c r="FD75" i="6" s="1"/>
  <c r="AH88" i="6"/>
  <c r="AH87" i="6" s="1"/>
  <c r="FK88" i="6"/>
  <c r="FK87" i="6" s="1"/>
  <c r="AO206" i="6"/>
  <c r="AC205" i="6"/>
  <c r="FI156" i="6"/>
  <c r="AE187" i="6"/>
  <c r="AO144" i="6"/>
  <c r="AO92" i="6"/>
  <c r="FK129" i="6"/>
  <c r="AM70" i="6"/>
  <c r="CD233" i="6"/>
  <c r="CD231" i="6"/>
  <c r="AF150" i="6"/>
  <c r="AE133" i="6"/>
  <c r="EY115" i="6"/>
  <c r="FK178" i="6"/>
  <c r="AD218" i="5"/>
  <c r="BW233" i="5"/>
  <c r="BW249" i="5" s="1"/>
  <c r="BW250" i="5" s="1"/>
  <c r="I249" i="1"/>
  <c r="I250" i="1" s="1"/>
  <c r="DA233" i="5"/>
  <c r="DA249" i="5" s="1"/>
  <c r="DA250" i="5" s="1"/>
  <c r="DE231" i="5"/>
  <c r="BI233" i="5"/>
  <c r="BI249" i="5" s="1"/>
  <c r="BI250" i="5" s="1"/>
  <c r="O71" i="5"/>
  <c r="O72" i="5" s="1"/>
  <c r="AK75" i="5"/>
  <c r="E15" i="24"/>
  <c r="AG70" i="5"/>
  <c r="AG72" i="5" s="1"/>
  <c r="AN75" i="5"/>
  <c r="AG75" i="5"/>
  <c r="AM75" i="5"/>
  <c r="BO233" i="5"/>
  <c r="Y72" i="5"/>
  <c r="BL72" i="5"/>
  <c r="DU70" i="5"/>
  <c r="Q230" i="5"/>
  <c r="Q233" i="5" s="1"/>
  <c r="AM218" i="5"/>
  <c r="BV233" i="5"/>
  <c r="BV249" i="5" s="1"/>
  <c r="BV250" i="5" s="1"/>
  <c r="BH233" i="5"/>
  <c r="BH249" i="5" s="1"/>
  <c r="BH250" i="5" s="1"/>
  <c r="DU218" i="5"/>
  <c r="DL230" i="5"/>
  <c r="DL231" i="5" s="1"/>
  <c r="CC233" i="5"/>
  <c r="CC249" i="5" s="1"/>
  <c r="CC250" i="5" s="1"/>
  <c r="BY233" i="5"/>
  <c r="BY249" i="5" s="1"/>
  <c r="BY250" i="5" s="1"/>
  <c r="BZ231" i="5"/>
  <c r="AN218" i="5"/>
  <c r="AE218" i="5"/>
  <c r="AE115" i="5"/>
  <c r="BS230" i="5"/>
  <c r="BS231" i="5" s="1"/>
  <c r="DU156" i="5"/>
  <c r="AH75" i="5"/>
  <c r="BE233" i="5"/>
  <c r="BE249" i="5" s="1"/>
  <c r="BE250" i="5" s="1"/>
  <c r="BH72" i="5"/>
  <c r="AO129" i="5"/>
  <c r="BJ233" i="5"/>
  <c r="BJ249" i="5" s="1"/>
  <c r="BJ250" i="5" s="1"/>
  <c r="CE218" i="5"/>
  <c r="P230" i="5"/>
  <c r="P233" i="5" s="1"/>
  <c r="J234" i="1"/>
  <c r="DQ230" i="5"/>
  <c r="DQ231" i="5" s="1"/>
  <c r="AO150" i="5"/>
  <c r="CD233" i="5"/>
  <c r="CD249" i="5" s="1"/>
  <c r="CD250" i="5" s="1"/>
  <c r="R230" i="5"/>
  <c r="R231" i="5" s="1"/>
  <c r="CB233" i="5"/>
  <c r="CB234" i="5" s="1"/>
  <c r="CY231" i="5"/>
  <c r="AL72" i="5"/>
  <c r="L234" i="1"/>
  <c r="AD75" i="5"/>
  <c r="X230" i="5"/>
  <c r="BL233" i="6"/>
  <c r="BL249" i="6" s="1"/>
  <c r="BL250" i="6" s="1"/>
  <c r="DC231" i="5"/>
  <c r="DC233" i="6"/>
  <c r="W230" i="6"/>
  <c r="P230" i="6"/>
  <c r="P231" i="6" s="1"/>
  <c r="CV233" i="5"/>
  <c r="CV249" i="5" s="1"/>
  <c r="CV250" i="5" s="1"/>
  <c r="BK233" i="5"/>
  <c r="BK249" i="5" s="1"/>
  <c r="BK250" i="5" s="1"/>
  <c r="W230" i="5"/>
  <c r="F249" i="1"/>
  <c r="F250" i="1" s="1"/>
  <c r="B234" i="1"/>
  <c r="C234" i="1"/>
  <c r="E234" i="1"/>
  <c r="AN6" i="1"/>
  <c r="K234" i="1"/>
  <c r="AD6" i="1"/>
  <c r="H234" i="1"/>
  <c r="AK115" i="5"/>
  <c r="AJ75" i="5"/>
  <c r="CX233" i="5"/>
  <c r="CX249" i="5" s="1"/>
  <c r="CX250" i="5" s="1"/>
  <c r="DU115" i="5"/>
  <c r="DI230" i="5"/>
  <c r="DI231" i="5" s="1"/>
  <c r="CE156" i="5"/>
  <c r="AJ115" i="5"/>
  <c r="AN156" i="5"/>
  <c r="AH218" i="5"/>
  <c r="BU233" i="5"/>
  <c r="BU234" i="5" s="1"/>
  <c r="AO146" i="5"/>
  <c r="BX233" i="5"/>
  <c r="BX234" i="5" s="1"/>
  <c r="BI231" i="5"/>
  <c r="BJ231" i="5"/>
  <c r="AG6" i="1"/>
  <c r="AO157" i="5"/>
  <c r="AO156" i="5" s="1"/>
  <c r="DO230" i="5"/>
  <c r="DO233" i="5" s="1"/>
  <c r="Y230" i="5"/>
  <c r="Y233" i="5" s="1"/>
  <c r="Y249" i="5" s="1"/>
  <c r="Y250" i="5" s="1"/>
  <c r="CA233" i="5"/>
  <c r="CA249" i="5" s="1"/>
  <c r="CA250" i="5" s="1"/>
  <c r="T230" i="5"/>
  <c r="T231" i="5" s="1"/>
  <c r="AO133" i="5"/>
  <c r="AD70" i="5"/>
  <c r="AD72" i="5" s="1"/>
  <c r="DN230" i="5"/>
  <c r="DN233" i="5" s="1"/>
  <c r="AI115" i="5"/>
  <c r="AL75" i="5"/>
  <c r="AB75" i="5" s="1"/>
  <c r="AJ218" i="5"/>
  <c r="AO13" i="5"/>
  <c r="AC218" i="5"/>
  <c r="Z230" i="5"/>
  <c r="Z231" i="5" s="1"/>
  <c r="BT231" i="5"/>
  <c r="AK218" i="5"/>
  <c r="D234" i="1"/>
  <c r="AI218" i="5"/>
  <c r="DG230" i="5"/>
  <c r="DG231" i="5" s="1"/>
  <c r="AK70" i="5"/>
  <c r="AK72" i="5" s="1"/>
  <c r="DJ230" i="5"/>
  <c r="DJ231" i="5" s="1"/>
  <c r="AJ72" i="5"/>
  <c r="AA43" i="5"/>
  <c r="AA47" i="5" s="1"/>
  <c r="AE72" i="5"/>
  <c r="AC156" i="5"/>
  <c r="AM72" i="5"/>
  <c r="DQ72" i="5"/>
  <c r="AO76" i="5"/>
  <c r="O230" i="5"/>
  <c r="O231" i="5" s="1"/>
  <c r="AI75" i="5"/>
  <c r="AL218" i="5"/>
  <c r="AB218" i="5" s="1"/>
  <c r="AH72" i="5"/>
  <c r="BG233" i="5"/>
  <c r="BG249" i="5" s="1"/>
  <c r="DU75" i="5"/>
  <c r="AM115" i="5"/>
  <c r="AO104" i="5"/>
  <c r="AF156" i="5"/>
  <c r="DL72" i="5"/>
  <c r="AG218" i="5"/>
  <c r="AD115" i="5"/>
  <c r="AC75" i="5"/>
  <c r="AO138" i="5"/>
  <c r="DI72" i="5"/>
  <c r="BT249" i="5"/>
  <c r="BT250" i="5" s="1"/>
  <c r="BT234" i="5"/>
  <c r="DM72" i="5"/>
  <c r="AC6" i="5"/>
  <c r="AF75" i="5"/>
  <c r="V230" i="5"/>
  <c r="AE156" i="5"/>
  <c r="P72" i="5"/>
  <c r="AE75" i="5"/>
  <c r="AO60" i="5"/>
  <c r="BF233" i="5"/>
  <c r="BF249" i="5" s="1"/>
  <c r="DE249" i="5"/>
  <c r="DE250" i="5" s="1"/>
  <c r="DE234" i="5"/>
  <c r="DO72" i="5"/>
  <c r="AG156" i="5"/>
  <c r="R72" i="5"/>
  <c r="AH115" i="5"/>
  <c r="AF115" i="5"/>
  <c r="AC70" i="5"/>
  <c r="DP230" i="5"/>
  <c r="DP231" i="5" s="1"/>
  <c r="AH156" i="5"/>
  <c r="DR72" i="5"/>
  <c r="BS71" i="5"/>
  <c r="E13" i="24"/>
  <c r="CE6" i="5"/>
  <c r="CE71" i="5" s="1"/>
  <c r="CE72" i="5" s="1"/>
  <c r="AO7" i="1"/>
  <c r="DJ72" i="5"/>
  <c r="AN115" i="5"/>
  <c r="T72" i="5"/>
  <c r="AA218" i="5"/>
  <c r="CU233" i="5"/>
  <c r="S230" i="5"/>
  <c r="S231" i="5" s="1"/>
  <c r="AN70" i="5"/>
  <c r="AN71" i="5"/>
  <c r="BZ249" i="5"/>
  <c r="BZ250" i="5" s="1"/>
  <c r="BZ234" i="5"/>
  <c r="DS72" i="5"/>
  <c r="AC13" i="1"/>
  <c r="AO13" i="1" s="1"/>
  <c r="AO14" i="1"/>
  <c r="AO90" i="5"/>
  <c r="CY249" i="5"/>
  <c r="CY250" i="5" s="1"/>
  <c r="CY234" i="5"/>
  <c r="CW233" i="5"/>
  <c r="DS230" i="5"/>
  <c r="DS231" i="5" s="1"/>
  <c r="AI156" i="5"/>
  <c r="S72" i="5"/>
  <c r="U72" i="5"/>
  <c r="U230" i="5"/>
  <c r="U231" i="5" s="1"/>
  <c r="AL115" i="5"/>
  <c r="AB115" i="5" s="1"/>
  <c r="DB233" i="5"/>
  <c r="E25" i="24"/>
  <c r="DU6" i="5"/>
  <c r="DU71" i="5" s="1"/>
  <c r="AK156" i="5"/>
  <c r="AO116" i="5"/>
  <c r="AA156" i="5"/>
  <c r="DF233" i="5"/>
  <c r="Q72" i="5"/>
  <c r="Z72" i="5"/>
  <c r="AM156" i="5"/>
  <c r="AA70" i="5"/>
  <c r="AJ156" i="5"/>
  <c r="BP233" i="5"/>
  <c r="BP249" i="5" s="1"/>
  <c r="CE75" i="5"/>
  <c r="AD156" i="5"/>
  <c r="DP72" i="5"/>
  <c r="AL156" i="5"/>
  <c r="AB156" i="5" s="1"/>
  <c r="DN72" i="5"/>
  <c r="AA75" i="5"/>
  <c r="DT72" i="5"/>
  <c r="DT230" i="5"/>
  <c r="DT231" i="5" s="1"/>
  <c r="AK6" i="1"/>
  <c r="AA115" i="5"/>
  <c r="AO241" i="5"/>
  <c r="AC115" i="5"/>
  <c r="DK230" i="5"/>
  <c r="AF218" i="5"/>
  <c r="DR230" i="5"/>
  <c r="DR231" i="5" s="1"/>
  <c r="AG115" i="5"/>
  <c r="DM230" i="5"/>
  <c r="DM231" i="5" s="1"/>
  <c r="CZ233" i="5"/>
  <c r="CE115" i="5"/>
  <c r="AI72" i="5"/>
  <c r="M233" i="1"/>
  <c r="M234" i="1" s="1"/>
  <c r="T71" i="6"/>
  <c r="T72" i="6" s="1"/>
  <c r="EP72" i="6"/>
  <c r="BJ233" i="6"/>
  <c r="BJ234" i="6" s="1"/>
  <c r="CY233" i="6"/>
  <c r="CY234" i="6" s="1"/>
  <c r="BI233" i="6"/>
  <c r="BI234" i="6" s="1"/>
  <c r="EO231" i="6"/>
  <c r="S230" i="6"/>
  <c r="Q71" i="6"/>
  <c r="Q72" i="6" s="1"/>
  <c r="BF233" i="6"/>
  <c r="BF249" i="6" s="1"/>
  <c r="BF250" i="6" s="1"/>
  <c r="CV233" i="6"/>
  <c r="CV234" i="6" s="1"/>
  <c r="CU233" i="6"/>
  <c r="CU249" i="6" s="1"/>
  <c r="CU250" i="6" s="1"/>
  <c r="EK233" i="6"/>
  <c r="O71" i="6"/>
  <c r="O72" i="6" s="1"/>
  <c r="Q230" i="6"/>
  <c r="Q231" i="6" s="1"/>
  <c r="CW233" i="6"/>
  <c r="CW234" i="6" s="1"/>
  <c r="Z230" i="6"/>
  <c r="Z231" i="6" s="1"/>
  <c r="X230" i="6"/>
  <c r="CZ233" i="6"/>
  <c r="CZ249" i="6" s="1"/>
  <c r="CZ250" i="6" s="1"/>
  <c r="R230" i="6"/>
  <c r="R231" i="6" s="1"/>
  <c r="BQ71" i="6"/>
  <c r="BQ72" i="6" s="1"/>
  <c r="EW71" i="6"/>
  <c r="EW72" i="6" s="1"/>
  <c r="AA249" i="8"/>
  <c r="AA250" i="8" s="1"/>
  <c r="DA233" i="6"/>
  <c r="DA234" i="6" s="1"/>
  <c r="DG71" i="6"/>
  <c r="DG72" i="6" s="1"/>
  <c r="EQ233" i="6"/>
  <c r="U230" i="6"/>
  <c r="U231" i="6" s="1"/>
  <c r="EW230" i="6"/>
  <c r="EW231" i="6" s="1"/>
  <c r="DG230" i="6"/>
  <c r="DG231" i="6" s="1"/>
  <c r="C234" i="6"/>
  <c r="M231" i="1"/>
  <c r="BK233" i="6"/>
  <c r="DB233" i="6"/>
  <c r="AA58" i="6"/>
  <c r="AA43" i="6"/>
  <c r="AA47" i="6" s="1"/>
  <c r="T230" i="6"/>
  <c r="M234" i="4"/>
  <c r="H234" i="6"/>
  <c r="BP233" i="6"/>
  <c r="DE233" i="6"/>
  <c r="EV233" i="6"/>
  <c r="EV249" i="6" s="1"/>
  <c r="CX233" i="6"/>
  <c r="V230" i="6"/>
  <c r="EM233" i="6"/>
  <c r="EM249" i="6" s="1"/>
  <c r="BG233" i="6"/>
  <c r="EN72" i="6"/>
  <c r="EN233" i="6"/>
  <c r="EN249" i="6" s="1"/>
  <c r="BE72" i="6"/>
  <c r="BE233" i="6"/>
  <c r="BM231" i="6"/>
  <c r="O230" i="6"/>
  <c r="AA115" i="6"/>
  <c r="DD72" i="6"/>
  <c r="DD233" i="6"/>
  <c r="BQ230" i="6"/>
  <c r="BQ231" i="6" s="1"/>
  <c r="AA75" i="6"/>
  <c r="DF233" i="6"/>
  <c r="ES233" i="6"/>
  <c r="BH233" i="6"/>
  <c r="L234" i="6"/>
  <c r="G234" i="6"/>
  <c r="K234" i="6"/>
  <c r="D249" i="6"/>
  <c r="D250" i="6" s="1"/>
  <c r="M233" i="6"/>
  <c r="M249" i="6" s="1"/>
  <c r="M250" i="6" s="1"/>
  <c r="F234" i="6"/>
  <c r="B234" i="6"/>
  <c r="I249" i="6"/>
  <c r="I250" i="6" s="1"/>
  <c r="K234" i="5"/>
  <c r="K249" i="5"/>
  <c r="K250" i="5" s="1"/>
  <c r="L249" i="5"/>
  <c r="L250" i="5" s="1"/>
  <c r="J249" i="5"/>
  <c r="J250" i="5" s="1"/>
  <c r="A234" i="5"/>
  <c r="A249" i="5"/>
  <c r="A250" i="5" s="1"/>
  <c r="I234" i="5"/>
  <c r="I249" i="5"/>
  <c r="I250" i="5" s="1"/>
  <c r="E234" i="5"/>
  <c r="E249" i="5"/>
  <c r="E250" i="5" s="1"/>
  <c r="H249" i="5"/>
  <c r="H250" i="5" s="1"/>
  <c r="F234" i="5"/>
  <c r="F249" i="5"/>
  <c r="F250" i="5" s="1"/>
  <c r="C249" i="5"/>
  <c r="C250" i="5" s="1"/>
  <c r="G234" i="5"/>
  <c r="G249" i="5"/>
  <c r="G250" i="5" s="1"/>
  <c r="A249" i="1"/>
  <c r="A250" i="1" s="1"/>
  <c r="A234" i="1"/>
  <c r="C234" i="5"/>
  <c r="I234" i="6"/>
  <c r="J234" i="5"/>
  <c r="L234" i="5"/>
  <c r="H234" i="5"/>
  <c r="M233" i="5"/>
  <c r="B250" i="5"/>
  <c r="B234" i="5"/>
  <c r="A234" i="6"/>
  <c r="A250" i="6"/>
  <c r="DH231" i="5" l="1"/>
  <c r="DH230" i="5"/>
  <c r="BR71" i="5"/>
  <c r="BN252" i="5"/>
  <c r="AO205" i="6"/>
  <c r="BR231" i="6"/>
  <c r="DH72" i="6"/>
  <c r="BN233" i="5"/>
  <c r="BR233" i="5" s="1"/>
  <c r="BN72" i="5"/>
  <c r="BR72" i="5" s="1"/>
  <c r="BN72" i="6"/>
  <c r="BR72" i="6" s="1"/>
  <c r="BR71" i="6"/>
  <c r="FH47" i="6"/>
  <c r="EX47" i="6" s="1"/>
  <c r="EX43" i="6"/>
  <c r="DH230" i="6"/>
  <c r="DH231" i="6"/>
  <c r="ET72" i="6"/>
  <c r="ET249" i="6"/>
  <c r="ET250" i="6" s="1"/>
  <c r="BN249" i="6"/>
  <c r="BR233" i="6"/>
  <c r="DH71" i="5"/>
  <c r="DD72" i="5"/>
  <c r="DH72" i="5" s="1"/>
  <c r="X71" i="5"/>
  <c r="X233" i="5" s="1"/>
  <c r="AB47" i="5"/>
  <c r="AL43" i="6"/>
  <c r="AB29" i="6"/>
  <c r="AL218" i="6"/>
  <c r="AB218" i="6" s="1"/>
  <c r="AB223" i="6"/>
  <c r="X231" i="6"/>
  <c r="X72" i="6"/>
  <c r="DD249" i="5"/>
  <c r="BO234" i="5"/>
  <c r="BO249" i="5"/>
  <c r="BO250" i="5" s="1"/>
  <c r="AN218" i="6"/>
  <c r="BQ233" i="5"/>
  <c r="EO234" i="6"/>
  <c r="AI70" i="6"/>
  <c r="AI72" i="6" s="1"/>
  <c r="AM72" i="6"/>
  <c r="DQ233" i="6"/>
  <c r="AH218" i="6"/>
  <c r="EP234" i="6"/>
  <c r="AA71" i="5"/>
  <c r="AA72" i="5" s="1"/>
  <c r="AJ218" i="6"/>
  <c r="AC43" i="6"/>
  <c r="AC47" i="6" s="1"/>
  <c r="AC71" i="6" s="1"/>
  <c r="AC72" i="6" s="1"/>
  <c r="AE218" i="6"/>
  <c r="DQ231" i="6"/>
  <c r="CE233" i="6"/>
  <c r="CE234" i="6" s="1"/>
  <c r="BZ234" i="6"/>
  <c r="FC230" i="6"/>
  <c r="FC231" i="6" s="1"/>
  <c r="AK55" i="1"/>
  <c r="AK57" i="1" s="1"/>
  <c r="AK58" i="1" s="1"/>
  <c r="AH43" i="6"/>
  <c r="AH47" i="6" s="1"/>
  <c r="AH71" i="6" s="1"/>
  <c r="AH72" i="6" s="1"/>
  <c r="AJ70" i="6"/>
  <c r="AJ72" i="6" s="1"/>
  <c r="AD72" i="6"/>
  <c r="DU72" i="6"/>
  <c r="FG75" i="6"/>
  <c r="AL75" i="6"/>
  <c r="AB75" i="6" s="1"/>
  <c r="AL70" i="6"/>
  <c r="AN75" i="6"/>
  <c r="AO38" i="6"/>
  <c r="BM233" i="6"/>
  <c r="BM234" i="6" s="1"/>
  <c r="DG71" i="5"/>
  <c r="DG72" i="5" s="1"/>
  <c r="BM72" i="5"/>
  <c r="BM233" i="5"/>
  <c r="DC234" i="5"/>
  <c r="W231" i="5"/>
  <c r="W71" i="5"/>
  <c r="DC249" i="5"/>
  <c r="BL234" i="5"/>
  <c r="DC72" i="5"/>
  <c r="AK75" i="6"/>
  <c r="AK58" i="6"/>
  <c r="FG47" i="6"/>
  <c r="FC71" i="6"/>
  <c r="FC72" i="6" s="1"/>
  <c r="AL115" i="6"/>
  <c r="AB115" i="6" s="1"/>
  <c r="AK70" i="6"/>
  <c r="AK43" i="6"/>
  <c r="AF75" i="6"/>
  <c r="BW234" i="6"/>
  <c r="AK115" i="6"/>
  <c r="AM218" i="6"/>
  <c r="FK43" i="6"/>
  <c r="FK47" i="6" s="1"/>
  <c r="FK71" i="6" s="1"/>
  <c r="AI75" i="6"/>
  <c r="AO241" i="6"/>
  <c r="AO150" i="6"/>
  <c r="FB230" i="6"/>
  <c r="FB231" i="6" s="1"/>
  <c r="AE75" i="6"/>
  <c r="CV249" i="6"/>
  <c r="CV250" i="6" s="1"/>
  <c r="FF230" i="6"/>
  <c r="FF231" i="6" s="1"/>
  <c r="ER234" i="6"/>
  <c r="AL156" i="6"/>
  <c r="AB156" i="6" s="1"/>
  <c r="BN234" i="6"/>
  <c r="BR234" i="6" s="1"/>
  <c r="DM233" i="6"/>
  <c r="DM234" i="6" s="1"/>
  <c r="DK233" i="6"/>
  <c r="DK234" i="6" s="1"/>
  <c r="BS234" i="6"/>
  <c r="FD230" i="6"/>
  <c r="FD231" i="6" s="1"/>
  <c r="W231" i="6"/>
  <c r="ES249" i="6"/>
  <c r="AK218" i="6"/>
  <c r="FA230" i="6"/>
  <c r="FA231" i="6" s="1"/>
  <c r="EU234" i="6"/>
  <c r="DO233" i="6"/>
  <c r="DO234" i="6" s="1"/>
  <c r="DC234" i="6"/>
  <c r="BT249" i="6"/>
  <c r="BT250" i="6" s="1"/>
  <c r="CC234" i="6"/>
  <c r="FI230" i="6"/>
  <c r="FI231" i="6" s="1"/>
  <c r="BU234" i="6"/>
  <c r="BO234" i="6"/>
  <c r="CU234" i="6"/>
  <c r="DR233" i="6"/>
  <c r="DR249" i="6" s="1"/>
  <c r="DR250" i="6" s="1"/>
  <c r="Q231" i="5"/>
  <c r="BW234" i="5"/>
  <c r="DA234" i="5"/>
  <c r="BX249" i="6"/>
  <c r="BX250" i="6" s="1"/>
  <c r="AF115" i="6"/>
  <c r="FK75" i="6"/>
  <c r="AI156" i="6"/>
  <c r="EY230" i="6"/>
  <c r="EY231" i="6" s="1"/>
  <c r="EZ71" i="6"/>
  <c r="EZ72" i="6" s="1"/>
  <c r="AD75" i="6"/>
  <c r="AN115" i="6"/>
  <c r="FJ230" i="6"/>
  <c r="FJ231" i="6" s="1"/>
  <c r="P233" i="6"/>
  <c r="P249" i="6" s="1"/>
  <c r="P250" i="6" s="1"/>
  <c r="AC219" i="1"/>
  <c r="BY234" i="6"/>
  <c r="AJ75" i="6"/>
  <c r="FA71" i="6"/>
  <c r="FA72" i="6" s="1"/>
  <c r="AO76" i="6"/>
  <c r="DN233" i="6"/>
  <c r="DN249" i="6" s="1"/>
  <c r="DN250" i="6" s="1"/>
  <c r="FB71" i="6"/>
  <c r="FB72" i="6" s="1"/>
  <c r="AG75" i="6"/>
  <c r="EZ230" i="6"/>
  <c r="EZ231" i="6" s="1"/>
  <c r="AD156" i="6"/>
  <c r="AG43" i="6"/>
  <c r="AG47" i="6" s="1"/>
  <c r="AG71" i="6" s="1"/>
  <c r="AG70" i="6"/>
  <c r="AG156" i="6"/>
  <c r="DJ233" i="6"/>
  <c r="DJ249" i="6" s="1"/>
  <c r="DJ250" i="6" s="1"/>
  <c r="FK70" i="6"/>
  <c r="S233" i="6"/>
  <c r="S234" i="6" s="1"/>
  <c r="AO146" i="6"/>
  <c r="AH115" i="6"/>
  <c r="AO29" i="6"/>
  <c r="FI71" i="6"/>
  <c r="FI72" i="6" s="1"/>
  <c r="AC156" i="6"/>
  <c r="AE156" i="6"/>
  <c r="AN43" i="6"/>
  <c r="AN47" i="6" s="1"/>
  <c r="AN71" i="6" s="1"/>
  <c r="AN72" i="6" s="1"/>
  <c r="AK156" i="6"/>
  <c r="AI115" i="6"/>
  <c r="AM115" i="6"/>
  <c r="FE230" i="6"/>
  <c r="FE231" i="6" s="1"/>
  <c r="AE70" i="6"/>
  <c r="AE72" i="6" s="1"/>
  <c r="CD249" i="6"/>
  <c r="CD250" i="6" s="1"/>
  <c r="CD234" i="6"/>
  <c r="AE55" i="1"/>
  <c r="AE57" i="1" s="1"/>
  <c r="AE58" i="1" s="1"/>
  <c r="AE57" i="4"/>
  <c r="AE58" i="4" s="1"/>
  <c r="AN55" i="1"/>
  <c r="AN57" i="1" s="1"/>
  <c r="AN58" i="1" s="1"/>
  <c r="AN57" i="4"/>
  <c r="AN58" i="4" s="1"/>
  <c r="FK115" i="6"/>
  <c r="DS233" i="6"/>
  <c r="AM75" i="6"/>
  <c r="AG57" i="4"/>
  <c r="AG58" i="4" s="1"/>
  <c r="AG55" i="1"/>
  <c r="AG57" i="1" s="1"/>
  <c r="AG58" i="1" s="1"/>
  <c r="AO88" i="6"/>
  <c r="AO87" i="6" s="1"/>
  <c r="AC87" i="6"/>
  <c r="AC75" i="6" s="1"/>
  <c r="AL55" i="1"/>
  <c r="AL57" i="1" s="1"/>
  <c r="AL58" i="1" s="1"/>
  <c r="AL57" i="4"/>
  <c r="AL58" i="4" s="1"/>
  <c r="Y233" i="6"/>
  <c r="EY71" i="6"/>
  <c r="FJ71" i="6"/>
  <c r="FJ72" i="6" s="1"/>
  <c r="EQ249" i="6"/>
  <c r="EQ250" i="6" s="1"/>
  <c r="AH55" i="1"/>
  <c r="AH57" i="1" s="1"/>
  <c r="AH58" i="1" s="1"/>
  <c r="AH57" i="4"/>
  <c r="AH58" i="4" s="1"/>
  <c r="AJ55" i="1"/>
  <c r="AJ57" i="1" s="1"/>
  <c r="AJ58" i="1" s="1"/>
  <c r="AJ57" i="4"/>
  <c r="AJ58" i="4" s="1"/>
  <c r="AD55" i="1"/>
  <c r="AD57" i="1" s="1"/>
  <c r="AD58" i="1" s="1"/>
  <c r="AD57" i="4"/>
  <c r="AD58" i="4" s="1"/>
  <c r="AF156" i="6"/>
  <c r="AM156" i="6"/>
  <c r="FH230" i="6"/>
  <c r="FK156" i="6"/>
  <c r="AJ156" i="6"/>
  <c r="AJ115" i="6"/>
  <c r="FD71" i="6"/>
  <c r="FD72" i="6" s="1"/>
  <c r="AO138" i="6"/>
  <c r="AM55" i="1"/>
  <c r="AM57" i="1" s="1"/>
  <c r="AM58" i="1" s="1"/>
  <c r="AM57" i="4"/>
  <c r="AM58" i="4" s="1"/>
  <c r="DL233" i="6"/>
  <c r="AO55" i="4"/>
  <c r="AO57" i="4" s="1"/>
  <c r="AO58" i="4" s="1"/>
  <c r="CA249" i="6"/>
  <c r="CA250" i="6" s="1"/>
  <c r="CA234" i="6"/>
  <c r="AO104" i="6"/>
  <c r="AO116" i="6"/>
  <c r="FK227" i="4"/>
  <c r="BV249" i="6"/>
  <c r="BV250" i="6" s="1"/>
  <c r="BV234" i="6"/>
  <c r="EL234" i="6"/>
  <c r="AC115" i="6"/>
  <c r="AC218" i="6"/>
  <c r="AE115" i="6"/>
  <c r="DU230" i="6"/>
  <c r="AH156" i="6"/>
  <c r="AD115" i="6"/>
  <c r="Z233" i="6"/>
  <c r="Z234" i="6" s="1"/>
  <c r="AO90" i="6"/>
  <c r="AF57" i="4"/>
  <c r="AF58" i="4" s="1"/>
  <c r="AF55" i="1"/>
  <c r="AF57" i="1" s="1"/>
  <c r="AF58" i="1" s="1"/>
  <c r="EK234" i="6"/>
  <c r="EK249" i="6"/>
  <c r="EK250" i="6" s="1"/>
  <c r="AG115" i="6"/>
  <c r="DP233" i="6"/>
  <c r="AO129" i="6"/>
  <c r="DT233" i="6"/>
  <c r="FK218" i="6"/>
  <c r="AO133" i="6"/>
  <c r="AO220" i="1"/>
  <c r="AO219" i="1" s="1"/>
  <c r="AO157" i="6"/>
  <c r="AO156" i="6" s="1"/>
  <c r="FF71" i="6"/>
  <c r="FF72" i="6" s="1"/>
  <c r="AI55" i="1"/>
  <c r="AI57" i="1" s="1"/>
  <c r="AI58" i="1" s="1"/>
  <c r="AI57" i="4"/>
  <c r="AI58" i="4" s="1"/>
  <c r="AF70" i="6"/>
  <c r="AF72" i="6" s="1"/>
  <c r="AC57" i="1"/>
  <c r="AC58" i="1" s="1"/>
  <c r="AH75" i="6"/>
  <c r="FE71" i="6"/>
  <c r="AN156" i="6"/>
  <c r="DI233" i="6"/>
  <c r="BI234" i="5"/>
  <c r="DD234" i="5"/>
  <c r="BH234" i="5"/>
  <c r="X231" i="5"/>
  <c r="T233" i="5"/>
  <c r="T234" i="5" s="1"/>
  <c r="CC234" i="5"/>
  <c r="DL233" i="5"/>
  <c r="DL249" i="5" s="1"/>
  <c r="DL250" i="5" s="1"/>
  <c r="DJ233" i="5"/>
  <c r="DJ249" i="5" s="1"/>
  <c r="DJ250" i="5" s="1"/>
  <c r="BY234" i="5"/>
  <c r="R233" i="5"/>
  <c r="R234" i="5" s="1"/>
  <c r="BV234" i="5"/>
  <c r="BX249" i="5"/>
  <c r="BX250" i="5" s="1"/>
  <c r="AC230" i="5"/>
  <c r="AC231" i="5" s="1"/>
  <c r="AE230" i="5"/>
  <c r="AE231" i="5" s="1"/>
  <c r="CA234" i="5"/>
  <c r="CD234" i="5"/>
  <c r="DP233" i="5"/>
  <c r="DP249" i="5" s="1"/>
  <c r="DP250" i="5" s="1"/>
  <c r="CB249" i="5"/>
  <c r="CB250" i="5" s="1"/>
  <c r="Z233" i="5"/>
  <c r="Z249" i="5" s="1"/>
  <c r="Z250" i="5" s="1"/>
  <c r="DN231" i="5"/>
  <c r="BE234" i="5"/>
  <c r="AD230" i="5"/>
  <c r="AD231" i="5" s="1"/>
  <c r="BU249" i="5"/>
  <c r="BU250" i="5" s="1"/>
  <c r="DU230" i="5"/>
  <c r="DU231" i="5" s="1"/>
  <c r="P231" i="5"/>
  <c r="BK234" i="5"/>
  <c r="CX234" i="5"/>
  <c r="CV234" i="5"/>
  <c r="BJ234" i="5"/>
  <c r="AH230" i="5"/>
  <c r="AH231" i="5" s="1"/>
  <c r="DQ233" i="5"/>
  <c r="DQ234" i="5" s="1"/>
  <c r="AG230" i="5"/>
  <c r="AG231" i="5" s="1"/>
  <c r="DR233" i="5"/>
  <c r="DR249" i="5" s="1"/>
  <c r="DR250" i="5" s="1"/>
  <c r="AJ230" i="5"/>
  <c r="AJ233" i="5" s="1"/>
  <c r="CY249" i="6"/>
  <c r="CY250" i="6" s="1"/>
  <c r="BI249" i="6"/>
  <c r="BI250" i="6" s="1"/>
  <c r="BJ249" i="6"/>
  <c r="BJ250" i="6" s="1"/>
  <c r="BL234" i="6"/>
  <c r="BQ231" i="5"/>
  <c r="DC249" i="6"/>
  <c r="W233" i="6"/>
  <c r="BF234" i="6"/>
  <c r="Y231" i="5"/>
  <c r="Y234" i="5"/>
  <c r="AI230" i="5"/>
  <c r="AI231" i="5" s="1"/>
  <c r="DO231" i="5"/>
  <c r="AC6" i="1"/>
  <c r="AO6" i="1" s="1"/>
  <c r="CE230" i="5"/>
  <c r="CE233" i="5" s="1"/>
  <c r="AN230" i="5"/>
  <c r="AN233" i="5" s="1"/>
  <c r="DI233" i="5"/>
  <c r="DI249" i="5" s="1"/>
  <c r="DI250" i="5" s="1"/>
  <c r="AM230" i="5"/>
  <c r="AM231" i="5" s="1"/>
  <c r="AK230" i="5"/>
  <c r="AK233" i="5" s="1"/>
  <c r="DT233" i="5"/>
  <c r="AO70" i="5"/>
  <c r="V233" i="5"/>
  <c r="V231" i="5"/>
  <c r="DB249" i="5"/>
  <c r="DB250" i="5" s="1"/>
  <c r="DB234" i="5"/>
  <c r="CU249" i="5"/>
  <c r="CU250" i="5" s="1"/>
  <c r="CU234" i="5"/>
  <c r="DN249" i="5"/>
  <c r="DN250" i="5" s="1"/>
  <c r="DN234" i="5"/>
  <c r="DU72" i="5"/>
  <c r="U233" i="5"/>
  <c r="S233" i="5"/>
  <c r="BS233" i="5"/>
  <c r="BS72" i="5"/>
  <c r="AC71" i="5"/>
  <c r="AC72" i="5" s="1"/>
  <c r="AO6" i="5"/>
  <c r="AO71" i="5" s="1"/>
  <c r="CZ249" i="5"/>
  <c r="CZ250" i="5" s="1"/>
  <c r="CZ234" i="5"/>
  <c r="BF250" i="5"/>
  <c r="BF234" i="5"/>
  <c r="AO75" i="5"/>
  <c r="AA230" i="5"/>
  <c r="AA231" i="5" s="1"/>
  <c r="DF249" i="5"/>
  <c r="DF250" i="5" s="1"/>
  <c r="DF234" i="5"/>
  <c r="CW249" i="5"/>
  <c r="CW250" i="5" s="1"/>
  <c r="CW234" i="5"/>
  <c r="AF230" i="5"/>
  <c r="O233" i="5"/>
  <c r="AN72" i="5"/>
  <c r="DM233" i="5"/>
  <c r="Q249" i="5"/>
  <c r="Q250" i="5" s="1"/>
  <c r="Q234" i="5"/>
  <c r="BG250" i="5"/>
  <c r="BG234" i="5"/>
  <c r="DO249" i="5"/>
  <c r="DO250" i="5" s="1"/>
  <c r="DO234" i="5"/>
  <c r="DK233" i="5"/>
  <c r="DK231" i="5"/>
  <c r="DS233" i="5"/>
  <c r="AL230" i="5"/>
  <c r="AB230" i="5" s="1"/>
  <c r="BP250" i="5"/>
  <c r="BP234" i="5"/>
  <c r="AO115" i="5"/>
  <c r="P249" i="5"/>
  <c r="P250" i="5" s="1"/>
  <c r="P234" i="5"/>
  <c r="M249" i="1"/>
  <c r="M250" i="1" s="1"/>
  <c r="S231" i="6"/>
  <c r="CW249" i="6"/>
  <c r="CW250" i="6" s="1"/>
  <c r="Q233" i="6"/>
  <c r="Q234" i="6" s="1"/>
  <c r="X233" i="6"/>
  <c r="CZ234" i="6"/>
  <c r="R233" i="6"/>
  <c r="U233" i="6"/>
  <c r="U249" i="6" s="1"/>
  <c r="U250" i="6" s="1"/>
  <c r="DA249" i="6"/>
  <c r="DA250" i="6" s="1"/>
  <c r="EQ234" i="6"/>
  <c r="EW233" i="6"/>
  <c r="DG233" i="6"/>
  <c r="DG234" i="6" s="1"/>
  <c r="BH249" i="6"/>
  <c r="BH250" i="6" s="1"/>
  <c r="BH234" i="6"/>
  <c r="AA230" i="6"/>
  <c r="AA231" i="6" s="1"/>
  <c r="EN250" i="6"/>
  <c r="EN234" i="6"/>
  <c r="EM234" i="6"/>
  <c r="EM250" i="6"/>
  <c r="V231" i="6"/>
  <c r="V233" i="6"/>
  <c r="DE249" i="6"/>
  <c r="DE250" i="6" s="1"/>
  <c r="DE234" i="6"/>
  <c r="BQ233" i="6"/>
  <c r="DD249" i="6"/>
  <c r="DD234" i="6"/>
  <c r="BE249" i="6"/>
  <c r="BE250" i="6" s="1"/>
  <c r="BE234" i="6"/>
  <c r="CX249" i="6"/>
  <c r="CX250" i="6" s="1"/>
  <c r="CX234" i="6"/>
  <c r="ES234" i="6"/>
  <c r="BG249" i="6"/>
  <c r="BG250" i="6" s="1"/>
  <c r="BG234" i="6"/>
  <c r="ET234" i="6"/>
  <c r="DB249" i="6"/>
  <c r="DB250" i="6" s="1"/>
  <c r="DB234" i="6"/>
  <c r="O231" i="6"/>
  <c r="O233" i="6"/>
  <c r="DF249" i="6"/>
  <c r="DF250" i="6" s="1"/>
  <c r="DF234" i="6"/>
  <c r="EV250" i="6"/>
  <c r="EV234" i="6"/>
  <c r="BP249" i="6"/>
  <c r="BP250" i="6" s="1"/>
  <c r="BP234" i="6"/>
  <c r="T231" i="6"/>
  <c r="T233" i="6"/>
  <c r="AA71" i="6"/>
  <c r="BK249" i="6"/>
  <c r="BK250" i="6" s="1"/>
  <c r="BK234" i="6"/>
  <c r="M234" i="6"/>
  <c r="M249" i="5"/>
  <c r="M250" i="5" s="1"/>
  <c r="M234" i="5"/>
  <c r="BN234" i="5" l="1"/>
  <c r="BR234" i="5" s="1"/>
  <c r="BN249" i="5"/>
  <c r="BR249" i="5" s="1"/>
  <c r="DH249" i="5"/>
  <c r="DH233" i="5"/>
  <c r="FH71" i="6"/>
  <c r="FH72" i="6" s="1"/>
  <c r="EX71" i="6"/>
  <c r="EX72" i="6"/>
  <c r="FH231" i="6"/>
  <c r="EX231" i="6" s="1"/>
  <c r="EX230" i="6"/>
  <c r="DH233" i="6"/>
  <c r="AB233" i="5"/>
  <c r="X234" i="5"/>
  <c r="X249" i="5"/>
  <c r="BN250" i="6"/>
  <c r="BR250" i="6" s="1"/>
  <c r="BR249" i="6"/>
  <c r="DD250" i="6"/>
  <c r="DH250" i="6" s="1"/>
  <c r="DH249" i="6"/>
  <c r="AB71" i="5"/>
  <c r="X72" i="5"/>
  <c r="AB72" i="5" s="1"/>
  <c r="AL47" i="6"/>
  <c r="AB43" i="6"/>
  <c r="X249" i="6"/>
  <c r="AB70" i="6"/>
  <c r="DD250" i="5"/>
  <c r="DH250" i="5" s="1"/>
  <c r="BQ249" i="5"/>
  <c r="BQ250" i="5" s="1"/>
  <c r="BQ234" i="5"/>
  <c r="DQ234" i="6"/>
  <c r="DQ249" i="6"/>
  <c r="DQ250" i="6" s="1"/>
  <c r="AO43" i="6"/>
  <c r="AO47" i="6" s="1"/>
  <c r="AO71" i="6" s="1"/>
  <c r="FC233" i="6"/>
  <c r="FC249" i="6" s="1"/>
  <c r="FC250" i="6" s="1"/>
  <c r="CE249" i="6"/>
  <c r="CE250" i="6" s="1"/>
  <c r="AH230" i="6"/>
  <c r="AH233" i="6" s="1"/>
  <c r="DM249" i="6"/>
  <c r="DM250" i="6" s="1"/>
  <c r="FG230" i="6"/>
  <c r="FG231" i="6" s="1"/>
  <c r="FB233" i="6"/>
  <c r="FB249" i="6" s="1"/>
  <c r="FB250" i="6" s="1"/>
  <c r="AG230" i="6"/>
  <c r="AG231" i="6" s="1"/>
  <c r="FG71" i="6"/>
  <c r="FK72" i="6"/>
  <c r="AO70" i="6"/>
  <c r="BM249" i="6"/>
  <c r="BM250" i="6" s="1"/>
  <c r="DG233" i="5"/>
  <c r="DG249" i="5" s="1"/>
  <c r="DG250" i="5" s="1"/>
  <c r="BM249" i="5"/>
  <c r="BM234" i="5"/>
  <c r="DC250" i="5"/>
  <c r="W72" i="5"/>
  <c r="W233" i="5"/>
  <c r="AD230" i="6"/>
  <c r="AD231" i="6" s="1"/>
  <c r="AL230" i="6"/>
  <c r="AE230" i="6"/>
  <c r="AE231" i="6" s="1"/>
  <c r="AM230" i="6"/>
  <c r="AM231" i="6" s="1"/>
  <c r="AF230" i="6"/>
  <c r="AF233" i="6" s="1"/>
  <c r="AF249" i="6" s="1"/>
  <c r="AF250" i="6" s="1"/>
  <c r="AO75" i="6"/>
  <c r="AN230" i="6"/>
  <c r="AN231" i="6" s="1"/>
  <c r="AK47" i="6"/>
  <c r="DK249" i="6"/>
  <c r="DK250" i="6" s="1"/>
  <c r="AJ230" i="6"/>
  <c r="AJ233" i="6" s="1"/>
  <c r="FF233" i="6"/>
  <c r="FF249" i="6" s="1"/>
  <c r="FF250" i="6" s="1"/>
  <c r="DN234" i="6"/>
  <c r="AK230" i="6"/>
  <c r="AK231" i="6" s="1"/>
  <c r="S249" i="6"/>
  <c r="S250" i="6" s="1"/>
  <c r="DR234" i="6"/>
  <c r="DH234" i="6" s="1"/>
  <c r="DO249" i="6"/>
  <c r="DO250" i="6" s="1"/>
  <c r="FA233" i="6"/>
  <c r="FA249" i="6" s="1"/>
  <c r="FA250" i="6" s="1"/>
  <c r="ES250" i="6"/>
  <c r="W234" i="6"/>
  <c r="EZ233" i="6"/>
  <c r="EZ234" i="6" s="1"/>
  <c r="DC250" i="6"/>
  <c r="Z249" i="6"/>
  <c r="Z250" i="6" s="1"/>
  <c r="P234" i="6"/>
  <c r="DJ234" i="6"/>
  <c r="AI230" i="6"/>
  <c r="AG72" i="6"/>
  <c r="FI233" i="6"/>
  <c r="FI249" i="6" s="1"/>
  <c r="FI250" i="6" s="1"/>
  <c r="X234" i="6"/>
  <c r="AC230" i="6"/>
  <c r="FH233" i="6"/>
  <c r="EX233" i="6" s="1"/>
  <c r="AO115" i="6"/>
  <c r="DS249" i="6"/>
  <c r="DS250" i="6" s="1"/>
  <c r="DS234" i="6"/>
  <c r="DP249" i="6"/>
  <c r="DP250" i="6" s="1"/>
  <c r="DP234" i="6"/>
  <c r="EY233" i="6"/>
  <c r="EY72" i="6"/>
  <c r="FD233" i="6"/>
  <c r="FK230" i="6"/>
  <c r="DT249" i="6"/>
  <c r="DT250" i="6" s="1"/>
  <c r="DT234" i="6"/>
  <c r="DI249" i="6"/>
  <c r="DI250" i="6" s="1"/>
  <c r="DI234" i="6"/>
  <c r="DU233" i="6"/>
  <c r="DU231" i="6"/>
  <c r="DL249" i="6"/>
  <c r="DL250" i="6" s="1"/>
  <c r="DL234" i="6"/>
  <c r="FE72" i="6"/>
  <c r="FE233" i="6"/>
  <c r="Y249" i="6"/>
  <c r="Y250" i="6" s="1"/>
  <c r="Y234" i="6"/>
  <c r="AO55" i="1"/>
  <c r="AO57" i="1" s="1"/>
  <c r="AO58" i="1" s="1"/>
  <c r="EW249" i="6"/>
  <c r="EW250" i="6" s="1"/>
  <c r="FJ233" i="6"/>
  <c r="T249" i="5"/>
  <c r="T250" i="5" s="1"/>
  <c r="DL234" i="5"/>
  <c r="R249" i="5"/>
  <c r="R250" i="5" s="1"/>
  <c r="DP234" i="5"/>
  <c r="AD233" i="5"/>
  <c r="AD234" i="5" s="1"/>
  <c r="DJ234" i="5"/>
  <c r="Z234" i="5"/>
  <c r="AE233" i="5"/>
  <c r="AE249" i="5" s="1"/>
  <c r="AE250" i="5" s="1"/>
  <c r="AN231" i="5"/>
  <c r="DU233" i="5"/>
  <c r="DU234" i="5" s="1"/>
  <c r="CE231" i="5"/>
  <c r="DI234" i="5"/>
  <c r="DQ249" i="5"/>
  <c r="DQ250" i="5" s="1"/>
  <c r="AK231" i="5"/>
  <c r="AJ231" i="5"/>
  <c r="AH233" i="5"/>
  <c r="AH249" i="5" s="1"/>
  <c r="AH250" i="5" s="1"/>
  <c r="DR234" i="5"/>
  <c r="DH234" i="5" s="1"/>
  <c r="AG233" i="5"/>
  <c r="AG249" i="5" s="1"/>
  <c r="AG250" i="5" s="1"/>
  <c r="W249" i="6"/>
  <c r="U234" i="6"/>
  <c r="AM233" i="5"/>
  <c r="AM249" i="5" s="1"/>
  <c r="AM250" i="5" s="1"/>
  <c r="AI233" i="5"/>
  <c r="AI249" i="5" s="1"/>
  <c r="AI250" i="5" s="1"/>
  <c r="AN249" i="5"/>
  <c r="AN250" i="5" s="1"/>
  <c r="AN234" i="5"/>
  <c r="DT249" i="5"/>
  <c r="DT250" i="5" s="1"/>
  <c r="DT234" i="5"/>
  <c r="AO230" i="5"/>
  <c r="AO231" i="5" s="1"/>
  <c r="O249" i="5"/>
  <c r="O250" i="5" s="1"/>
  <c r="O234" i="5"/>
  <c r="S249" i="5"/>
  <c r="S250" i="5" s="1"/>
  <c r="S234" i="5"/>
  <c r="DM249" i="5"/>
  <c r="DM250" i="5" s="1"/>
  <c r="DM234" i="5"/>
  <c r="AO72" i="5"/>
  <c r="AL233" i="5"/>
  <c r="AL231" i="5"/>
  <c r="AB231" i="5" s="1"/>
  <c r="BS249" i="5"/>
  <c r="BS250" i="5" s="1"/>
  <c r="BS234" i="5"/>
  <c r="AA233" i="5"/>
  <c r="CE234" i="5"/>
  <c r="CE249" i="5"/>
  <c r="CE250" i="5" s="1"/>
  <c r="DK249" i="5"/>
  <c r="DK250" i="5" s="1"/>
  <c r="DK234" i="5"/>
  <c r="AJ249" i="5"/>
  <c r="AJ250" i="5" s="1"/>
  <c r="AJ234" i="5"/>
  <c r="AF231" i="5"/>
  <c r="AF233" i="5"/>
  <c r="AK234" i="5"/>
  <c r="AK249" i="5"/>
  <c r="AK250" i="5" s="1"/>
  <c r="DS249" i="5"/>
  <c r="DS250" i="5" s="1"/>
  <c r="DS234" i="5"/>
  <c r="U249" i="5"/>
  <c r="U250" i="5" s="1"/>
  <c r="U234" i="5"/>
  <c r="V249" i="5"/>
  <c r="V250" i="5" s="1"/>
  <c r="V234" i="5"/>
  <c r="AC233" i="5"/>
  <c r="Q249" i="6"/>
  <c r="Q250" i="6" s="1"/>
  <c r="R234" i="6"/>
  <c r="R249" i="6"/>
  <c r="R250" i="6" s="1"/>
  <c r="EW234" i="6"/>
  <c r="DG249" i="6"/>
  <c r="DG250" i="6" s="1"/>
  <c r="T249" i="6"/>
  <c r="T250" i="6" s="1"/>
  <c r="T234" i="6"/>
  <c r="O249" i="6"/>
  <c r="O250" i="6" s="1"/>
  <c r="O234" i="6"/>
  <c r="BQ234" i="6"/>
  <c r="BQ249" i="6"/>
  <c r="BQ250" i="6" s="1"/>
  <c r="V249" i="6"/>
  <c r="V250" i="6" s="1"/>
  <c r="V234" i="6"/>
  <c r="AA72" i="6"/>
  <c r="AA233" i="6"/>
  <c r="L247" i="7"/>
  <c r="L246" i="7"/>
  <c r="L245" i="7"/>
  <c r="L244" i="7"/>
  <c r="L243" i="7"/>
  <c r="L242" i="7"/>
  <c r="L239" i="7"/>
  <c r="L238" i="7"/>
  <c r="L237" i="7"/>
  <c r="L229" i="7"/>
  <c r="L228" i="7"/>
  <c r="L226" i="7"/>
  <c r="L225" i="7"/>
  <c r="L224" i="7"/>
  <c r="L222" i="7"/>
  <c r="L221" i="7"/>
  <c r="L220" i="7"/>
  <c r="L217" i="7"/>
  <c r="L216" i="7"/>
  <c r="L215" i="7"/>
  <c r="L213" i="7"/>
  <c r="L212" i="7"/>
  <c r="L211" i="7"/>
  <c r="L210" i="7"/>
  <c r="L208" i="7"/>
  <c r="L207" i="7"/>
  <c r="L206" i="7"/>
  <c r="L204" i="7"/>
  <c r="L203" i="7"/>
  <c r="L202" i="7"/>
  <c r="L201" i="7"/>
  <c r="L200" i="7"/>
  <c r="L199" i="7"/>
  <c r="L198" i="7"/>
  <c r="L197" i="7"/>
  <c r="L196" i="7"/>
  <c r="L195" i="7"/>
  <c r="L194" i="7"/>
  <c r="L192" i="7"/>
  <c r="L191" i="7"/>
  <c r="L190" i="7"/>
  <c r="L189" i="7"/>
  <c r="L188" i="7"/>
  <c r="L186" i="7"/>
  <c r="L185" i="7"/>
  <c r="L184" i="7"/>
  <c r="L183" i="7"/>
  <c r="L181" i="7"/>
  <c r="L180" i="7"/>
  <c r="L179" i="7"/>
  <c r="L177" i="7"/>
  <c r="L176" i="7"/>
  <c r="L175" i="7"/>
  <c r="L174" i="7"/>
  <c r="L173" i="7"/>
  <c r="L171" i="7"/>
  <c r="L170" i="7"/>
  <c r="L169" i="7"/>
  <c r="L168" i="7"/>
  <c r="L167" i="7"/>
  <c r="L166" i="7"/>
  <c r="L165" i="7"/>
  <c r="L162" i="7"/>
  <c r="L161" i="7"/>
  <c r="L160" i="7"/>
  <c r="L159" i="7"/>
  <c r="L158" i="7"/>
  <c r="L154" i="7"/>
  <c r="L153" i="7"/>
  <c r="L152" i="7"/>
  <c r="L151" i="7"/>
  <c r="L149" i="7"/>
  <c r="L148" i="7"/>
  <c r="L147" i="7"/>
  <c r="L145" i="7"/>
  <c r="L144" i="7"/>
  <c r="L143" i="7"/>
  <c r="L142" i="7"/>
  <c r="L141" i="7"/>
  <c r="L140" i="7"/>
  <c r="L139" i="7"/>
  <c r="L137" i="7"/>
  <c r="L136" i="7"/>
  <c r="L135" i="7"/>
  <c r="L134" i="7"/>
  <c r="L132" i="7"/>
  <c r="L131" i="7"/>
  <c r="L130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3" i="7"/>
  <c r="L112" i="7"/>
  <c r="L111" i="7"/>
  <c r="L110" i="7"/>
  <c r="L109" i="7"/>
  <c r="L108" i="7"/>
  <c r="L107" i="7"/>
  <c r="L106" i="7"/>
  <c r="L105" i="7"/>
  <c r="L102" i="7"/>
  <c r="L101" i="7"/>
  <c r="L100" i="7"/>
  <c r="L99" i="7"/>
  <c r="L98" i="7"/>
  <c r="L97" i="7"/>
  <c r="L96" i="7"/>
  <c r="L95" i="7"/>
  <c r="L94" i="7"/>
  <c r="L93" i="7"/>
  <c r="L92" i="7"/>
  <c r="L91" i="7"/>
  <c r="L89" i="7"/>
  <c r="L88" i="7"/>
  <c r="L86" i="7"/>
  <c r="L85" i="7"/>
  <c r="L84" i="7"/>
  <c r="L83" i="7"/>
  <c r="L82" i="7"/>
  <c r="L81" i="7"/>
  <c r="L80" i="7"/>
  <c r="L79" i="7"/>
  <c r="L78" i="7"/>
  <c r="L77" i="7"/>
  <c r="K247" i="7"/>
  <c r="K246" i="7"/>
  <c r="K245" i="7"/>
  <c r="K244" i="7"/>
  <c r="K243" i="7"/>
  <c r="K242" i="7"/>
  <c r="K239" i="7"/>
  <c r="K238" i="7"/>
  <c r="K237" i="7"/>
  <c r="K229" i="7"/>
  <c r="K228" i="7"/>
  <c r="K226" i="7"/>
  <c r="K225" i="7"/>
  <c r="K224" i="7"/>
  <c r="K222" i="7"/>
  <c r="K221" i="7"/>
  <c r="K220" i="7"/>
  <c r="K217" i="7"/>
  <c r="K216" i="7"/>
  <c r="K215" i="7"/>
  <c r="K213" i="7"/>
  <c r="K212" i="7"/>
  <c r="K211" i="7"/>
  <c r="K210" i="7"/>
  <c r="K208" i="7"/>
  <c r="K207" i="7"/>
  <c r="K206" i="7"/>
  <c r="K204" i="7"/>
  <c r="K203" i="7"/>
  <c r="K202" i="7"/>
  <c r="K201" i="7"/>
  <c r="K200" i="7"/>
  <c r="K199" i="7"/>
  <c r="K198" i="7"/>
  <c r="K197" i="7"/>
  <c r="K196" i="7"/>
  <c r="K195" i="7"/>
  <c r="K194" i="7"/>
  <c r="K192" i="7"/>
  <c r="K191" i="7"/>
  <c r="K190" i="7"/>
  <c r="K189" i="7"/>
  <c r="K188" i="7"/>
  <c r="K186" i="7"/>
  <c r="K185" i="7"/>
  <c r="K184" i="7"/>
  <c r="K183" i="7"/>
  <c r="K181" i="7"/>
  <c r="K180" i="7"/>
  <c r="K179" i="7"/>
  <c r="K177" i="7"/>
  <c r="K176" i="7"/>
  <c r="K175" i="7"/>
  <c r="K174" i="7"/>
  <c r="K173" i="7"/>
  <c r="K171" i="7"/>
  <c r="K170" i="7"/>
  <c r="K169" i="7"/>
  <c r="K168" i="7"/>
  <c r="K167" i="7"/>
  <c r="K166" i="7"/>
  <c r="K165" i="7"/>
  <c r="K162" i="7"/>
  <c r="K161" i="7"/>
  <c r="K160" i="7"/>
  <c r="K159" i="7"/>
  <c r="K158" i="7"/>
  <c r="K154" i="7"/>
  <c r="K153" i="7"/>
  <c r="K152" i="7"/>
  <c r="K151" i="7"/>
  <c r="K149" i="7"/>
  <c r="K148" i="7"/>
  <c r="K147" i="7"/>
  <c r="K145" i="7"/>
  <c r="K144" i="7"/>
  <c r="K143" i="7"/>
  <c r="K142" i="7"/>
  <c r="K141" i="7"/>
  <c r="K140" i="7"/>
  <c r="K139" i="7"/>
  <c r="K137" i="7"/>
  <c r="K136" i="7"/>
  <c r="K135" i="7"/>
  <c r="K134" i="7"/>
  <c r="K132" i="7"/>
  <c r="K131" i="7"/>
  <c r="K130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3" i="7"/>
  <c r="K112" i="7"/>
  <c r="K111" i="7"/>
  <c r="K110" i="7"/>
  <c r="K109" i="7"/>
  <c r="K108" i="7"/>
  <c r="K107" i="7"/>
  <c r="K106" i="7"/>
  <c r="K105" i="7"/>
  <c r="K102" i="7"/>
  <c r="K101" i="7"/>
  <c r="K100" i="7"/>
  <c r="K99" i="7"/>
  <c r="K98" i="7"/>
  <c r="K97" i="7"/>
  <c r="K96" i="7"/>
  <c r="K95" i="7"/>
  <c r="K94" i="7"/>
  <c r="K93" i="7"/>
  <c r="K92" i="7"/>
  <c r="K91" i="7"/>
  <c r="K89" i="7"/>
  <c r="K88" i="7"/>
  <c r="K86" i="7"/>
  <c r="K85" i="7"/>
  <c r="K84" i="7"/>
  <c r="K83" i="7"/>
  <c r="K82" i="7"/>
  <c r="K81" i="7"/>
  <c r="K80" i="7"/>
  <c r="K79" i="7"/>
  <c r="K78" i="7"/>
  <c r="K77" i="7"/>
  <c r="J247" i="7"/>
  <c r="J246" i="7"/>
  <c r="J245" i="7"/>
  <c r="J244" i="7"/>
  <c r="J243" i="7"/>
  <c r="J242" i="7"/>
  <c r="J239" i="7"/>
  <c r="J238" i="7"/>
  <c r="J237" i="7"/>
  <c r="J229" i="7"/>
  <c r="J228" i="7"/>
  <c r="J226" i="7"/>
  <c r="J225" i="7"/>
  <c r="J224" i="7"/>
  <c r="J222" i="7"/>
  <c r="J221" i="7"/>
  <c r="J220" i="7"/>
  <c r="J217" i="7"/>
  <c r="J216" i="7"/>
  <c r="J215" i="7"/>
  <c r="J213" i="7"/>
  <c r="J212" i="7"/>
  <c r="J211" i="7"/>
  <c r="J210" i="7"/>
  <c r="J208" i="7"/>
  <c r="J207" i="7"/>
  <c r="J206" i="7"/>
  <c r="J204" i="7"/>
  <c r="J203" i="7"/>
  <c r="J202" i="7"/>
  <c r="J201" i="7"/>
  <c r="J200" i="7"/>
  <c r="J199" i="7"/>
  <c r="J198" i="7"/>
  <c r="J197" i="7"/>
  <c r="J196" i="7"/>
  <c r="J195" i="7"/>
  <c r="J194" i="7"/>
  <c r="J192" i="7"/>
  <c r="J191" i="7"/>
  <c r="J190" i="7"/>
  <c r="J189" i="7"/>
  <c r="J188" i="7"/>
  <c r="J186" i="7"/>
  <c r="J185" i="7"/>
  <c r="J184" i="7"/>
  <c r="J183" i="7"/>
  <c r="J181" i="7"/>
  <c r="J180" i="7"/>
  <c r="J179" i="7"/>
  <c r="J177" i="7"/>
  <c r="J176" i="7"/>
  <c r="J175" i="7"/>
  <c r="J174" i="7"/>
  <c r="J173" i="7"/>
  <c r="J171" i="7"/>
  <c r="J170" i="7"/>
  <c r="J169" i="7"/>
  <c r="J168" i="7"/>
  <c r="J167" i="7"/>
  <c r="J166" i="7"/>
  <c r="J165" i="7"/>
  <c r="J162" i="7"/>
  <c r="J161" i="7"/>
  <c r="J160" i="7"/>
  <c r="J159" i="7"/>
  <c r="J158" i="7"/>
  <c r="J154" i="7"/>
  <c r="J153" i="7"/>
  <c r="J152" i="7"/>
  <c r="J151" i="7"/>
  <c r="J149" i="7"/>
  <c r="J148" i="7"/>
  <c r="J147" i="7"/>
  <c r="J145" i="7"/>
  <c r="J144" i="7"/>
  <c r="J143" i="7"/>
  <c r="J142" i="7"/>
  <c r="J141" i="7"/>
  <c r="J140" i="7"/>
  <c r="J139" i="7"/>
  <c r="J137" i="7"/>
  <c r="J136" i="7"/>
  <c r="J135" i="7"/>
  <c r="J134" i="7"/>
  <c r="J132" i="7"/>
  <c r="J131" i="7"/>
  <c r="J130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3" i="7"/>
  <c r="J112" i="7"/>
  <c r="J111" i="7"/>
  <c r="J110" i="7"/>
  <c r="J109" i="7"/>
  <c r="J108" i="7"/>
  <c r="J107" i="7"/>
  <c r="J106" i="7"/>
  <c r="J105" i="7"/>
  <c r="J102" i="7"/>
  <c r="J101" i="7"/>
  <c r="J100" i="7"/>
  <c r="J99" i="7"/>
  <c r="J98" i="7"/>
  <c r="J97" i="7"/>
  <c r="J96" i="7"/>
  <c r="J95" i="7"/>
  <c r="J94" i="7"/>
  <c r="J93" i="7"/>
  <c r="J92" i="7"/>
  <c r="J91" i="7"/>
  <c r="J89" i="7"/>
  <c r="J88" i="7"/>
  <c r="J86" i="7"/>
  <c r="J85" i="7"/>
  <c r="J84" i="7"/>
  <c r="J83" i="7"/>
  <c r="J82" i="7"/>
  <c r="J81" i="7"/>
  <c r="J80" i="7"/>
  <c r="J79" i="7"/>
  <c r="J78" i="7"/>
  <c r="J77" i="7"/>
  <c r="I247" i="7"/>
  <c r="I246" i="7"/>
  <c r="I245" i="7"/>
  <c r="I244" i="7"/>
  <c r="I243" i="7"/>
  <c r="I242" i="7"/>
  <c r="I239" i="7"/>
  <c r="I238" i="7"/>
  <c r="I237" i="7"/>
  <c r="I229" i="7"/>
  <c r="I228" i="7"/>
  <c r="I226" i="7"/>
  <c r="I225" i="7"/>
  <c r="I224" i="7"/>
  <c r="I222" i="7"/>
  <c r="I221" i="7"/>
  <c r="I220" i="7"/>
  <c r="I217" i="7"/>
  <c r="I216" i="7"/>
  <c r="I215" i="7"/>
  <c r="I213" i="7"/>
  <c r="I212" i="7"/>
  <c r="I211" i="7"/>
  <c r="I210" i="7"/>
  <c r="I208" i="7"/>
  <c r="I207" i="7"/>
  <c r="I206" i="7"/>
  <c r="I204" i="7"/>
  <c r="I203" i="7"/>
  <c r="I202" i="7"/>
  <c r="I201" i="7"/>
  <c r="I200" i="7"/>
  <c r="I199" i="7"/>
  <c r="I198" i="7"/>
  <c r="I197" i="7"/>
  <c r="I196" i="7"/>
  <c r="I195" i="7"/>
  <c r="I194" i="7"/>
  <c r="I192" i="7"/>
  <c r="I191" i="7"/>
  <c r="I190" i="7"/>
  <c r="I189" i="7"/>
  <c r="I188" i="7"/>
  <c r="I186" i="7"/>
  <c r="I185" i="7"/>
  <c r="I184" i="7"/>
  <c r="I183" i="7"/>
  <c r="I181" i="7"/>
  <c r="I180" i="7"/>
  <c r="I179" i="7"/>
  <c r="I177" i="7"/>
  <c r="I176" i="7"/>
  <c r="I175" i="7"/>
  <c r="I174" i="7"/>
  <c r="I173" i="7"/>
  <c r="I171" i="7"/>
  <c r="I170" i="7"/>
  <c r="I169" i="7"/>
  <c r="I168" i="7"/>
  <c r="I167" i="7"/>
  <c r="I166" i="7"/>
  <c r="I165" i="7"/>
  <c r="I162" i="7"/>
  <c r="I161" i="7"/>
  <c r="I160" i="7"/>
  <c r="I159" i="7"/>
  <c r="I158" i="7"/>
  <c r="I154" i="7"/>
  <c r="I153" i="7"/>
  <c r="I152" i="7"/>
  <c r="I151" i="7"/>
  <c r="I149" i="7"/>
  <c r="I148" i="7"/>
  <c r="I147" i="7"/>
  <c r="I145" i="7"/>
  <c r="I144" i="7"/>
  <c r="I143" i="7"/>
  <c r="I142" i="7"/>
  <c r="I141" i="7"/>
  <c r="I140" i="7"/>
  <c r="I139" i="7"/>
  <c r="I137" i="7"/>
  <c r="I136" i="7"/>
  <c r="I135" i="7"/>
  <c r="I134" i="7"/>
  <c r="I132" i="7"/>
  <c r="I131" i="7"/>
  <c r="I130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3" i="7"/>
  <c r="I112" i="7"/>
  <c r="I111" i="7"/>
  <c r="I110" i="7"/>
  <c r="I109" i="7"/>
  <c r="I108" i="7"/>
  <c r="I107" i="7"/>
  <c r="I106" i="7"/>
  <c r="I105" i="7"/>
  <c r="I102" i="7"/>
  <c r="I101" i="7"/>
  <c r="I100" i="7"/>
  <c r="I99" i="7"/>
  <c r="I98" i="7"/>
  <c r="I97" i="7"/>
  <c r="I96" i="7"/>
  <c r="I95" i="7"/>
  <c r="I94" i="7"/>
  <c r="I93" i="7"/>
  <c r="I92" i="7"/>
  <c r="I91" i="7"/>
  <c r="I89" i="7"/>
  <c r="I88" i="7"/>
  <c r="I86" i="7"/>
  <c r="I85" i="7"/>
  <c r="I84" i="7"/>
  <c r="I83" i="7"/>
  <c r="I82" i="7"/>
  <c r="I81" i="7"/>
  <c r="I80" i="7"/>
  <c r="I79" i="7"/>
  <c r="I78" i="7"/>
  <c r="I77" i="7"/>
  <c r="H247" i="7"/>
  <c r="H246" i="7"/>
  <c r="H245" i="7"/>
  <c r="H244" i="7"/>
  <c r="H243" i="7"/>
  <c r="H242" i="7"/>
  <c r="H239" i="7"/>
  <c r="H238" i="7"/>
  <c r="H237" i="7"/>
  <c r="H229" i="7"/>
  <c r="H228" i="7"/>
  <c r="H226" i="7"/>
  <c r="H225" i="7"/>
  <c r="H224" i="7"/>
  <c r="H222" i="7"/>
  <c r="H221" i="7"/>
  <c r="H220" i="7"/>
  <c r="H217" i="7"/>
  <c r="H216" i="7"/>
  <c r="H215" i="7"/>
  <c r="H213" i="7"/>
  <c r="H212" i="7"/>
  <c r="H211" i="7"/>
  <c r="H210" i="7"/>
  <c r="H208" i="7"/>
  <c r="H207" i="7"/>
  <c r="H206" i="7"/>
  <c r="H204" i="7"/>
  <c r="H203" i="7"/>
  <c r="H202" i="7"/>
  <c r="H201" i="7"/>
  <c r="H200" i="7"/>
  <c r="H199" i="7"/>
  <c r="H198" i="7"/>
  <c r="H197" i="7"/>
  <c r="H196" i="7"/>
  <c r="H195" i="7"/>
  <c r="H194" i="7"/>
  <c r="H192" i="7"/>
  <c r="H191" i="7"/>
  <c r="H190" i="7"/>
  <c r="H189" i="7"/>
  <c r="H188" i="7"/>
  <c r="H186" i="7"/>
  <c r="H185" i="7"/>
  <c r="H184" i="7"/>
  <c r="H183" i="7"/>
  <c r="H181" i="7"/>
  <c r="H180" i="7"/>
  <c r="H179" i="7"/>
  <c r="H177" i="7"/>
  <c r="H176" i="7"/>
  <c r="H175" i="7"/>
  <c r="H174" i="7"/>
  <c r="H173" i="7"/>
  <c r="H171" i="7"/>
  <c r="H170" i="7"/>
  <c r="H169" i="7"/>
  <c r="H168" i="7"/>
  <c r="H167" i="7"/>
  <c r="H166" i="7"/>
  <c r="H165" i="7"/>
  <c r="H162" i="7"/>
  <c r="H161" i="7"/>
  <c r="H160" i="7"/>
  <c r="H159" i="7"/>
  <c r="H158" i="7"/>
  <c r="H154" i="7"/>
  <c r="H153" i="7"/>
  <c r="H152" i="7"/>
  <c r="H151" i="7"/>
  <c r="H149" i="7"/>
  <c r="H148" i="7"/>
  <c r="H147" i="7"/>
  <c r="H145" i="7"/>
  <c r="H144" i="7"/>
  <c r="H143" i="7"/>
  <c r="H142" i="7"/>
  <c r="H141" i="7"/>
  <c r="H140" i="7"/>
  <c r="H139" i="7"/>
  <c r="H137" i="7"/>
  <c r="H136" i="7"/>
  <c r="H135" i="7"/>
  <c r="H134" i="7"/>
  <c r="H132" i="7"/>
  <c r="H131" i="7"/>
  <c r="H130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3" i="7"/>
  <c r="H112" i="7"/>
  <c r="H111" i="7"/>
  <c r="H110" i="7"/>
  <c r="H109" i="7"/>
  <c r="H108" i="7"/>
  <c r="H107" i="7"/>
  <c r="H106" i="7"/>
  <c r="H105" i="7"/>
  <c r="H102" i="7"/>
  <c r="H101" i="7"/>
  <c r="H100" i="7"/>
  <c r="H99" i="7"/>
  <c r="H98" i="7"/>
  <c r="H97" i="7"/>
  <c r="H96" i="7"/>
  <c r="H95" i="7"/>
  <c r="H94" i="7"/>
  <c r="H93" i="7"/>
  <c r="H92" i="7"/>
  <c r="H91" i="7"/>
  <c r="H89" i="7"/>
  <c r="H88" i="7"/>
  <c r="H86" i="7"/>
  <c r="H85" i="7"/>
  <c r="H84" i="7"/>
  <c r="H83" i="7"/>
  <c r="H82" i="7"/>
  <c r="H81" i="7"/>
  <c r="H80" i="7"/>
  <c r="H79" i="7"/>
  <c r="H78" i="7"/>
  <c r="H77" i="7"/>
  <c r="G247" i="7"/>
  <c r="G246" i="7"/>
  <c r="G245" i="7"/>
  <c r="G244" i="7"/>
  <c r="G243" i="7"/>
  <c r="G242" i="7"/>
  <c r="G239" i="7"/>
  <c r="G238" i="7"/>
  <c r="G237" i="7"/>
  <c r="G229" i="7"/>
  <c r="G228" i="7"/>
  <c r="G226" i="7"/>
  <c r="G225" i="7"/>
  <c r="G224" i="7"/>
  <c r="G222" i="7"/>
  <c r="G221" i="7"/>
  <c r="G220" i="7"/>
  <c r="G217" i="7"/>
  <c r="G216" i="7"/>
  <c r="G215" i="7"/>
  <c r="G213" i="7"/>
  <c r="G212" i="7"/>
  <c r="G211" i="7"/>
  <c r="G210" i="7"/>
  <c r="G208" i="7"/>
  <c r="G207" i="7"/>
  <c r="G206" i="7"/>
  <c r="G204" i="7"/>
  <c r="G203" i="7"/>
  <c r="G202" i="7"/>
  <c r="G201" i="7"/>
  <c r="G200" i="7"/>
  <c r="G199" i="7"/>
  <c r="G198" i="7"/>
  <c r="G197" i="7"/>
  <c r="G196" i="7"/>
  <c r="G195" i="7"/>
  <c r="G194" i="7"/>
  <c r="G192" i="7"/>
  <c r="G191" i="7"/>
  <c r="G190" i="7"/>
  <c r="G189" i="7"/>
  <c r="G188" i="7"/>
  <c r="G186" i="7"/>
  <c r="G185" i="7"/>
  <c r="G184" i="7"/>
  <c r="G183" i="7"/>
  <c r="G181" i="7"/>
  <c r="G180" i="7"/>
  <c r="G179" i="7"/>
  <c r="G177" i="7"/>
  <c r="G176" i="7"/>
  <c r="G175" i="7"/>
  <c r="G174" i="7"/>
  <c r="G173" i="7"/>
  <c r="G171" i="7"/>
  <c r="G170" i="7"/>
  <c r="G169" i="7"/>
  <c r="G168" i="7"/>
  <c r="G167" i="7"/>
  <c r="G166" i="7"/>
  <c r="G165" i="7"/>
  <c r="G162" i="7"/>
  <c r="G161" i="7"/>
  <c r="G160" i="7"/>
  <c r="G159" i="7"/>
  <c r="G158" i="7"/>
  <c r="G154" i="7"/>
  <c r="G153" i="7"/>
  <c r="G152" i="7"/>
  <c r="G151" i="7"/>
  <c r="G149" i="7"/>
  <c r="G148" i="7"/>
  <c r="G147" i="7"/>
  <c r="G145" i="7"/>
  <c r="G144" i="7"/>
  <c r="G143" i="7"/>
  <c r="G142" i="7"/>
  <c r="G141" i="7"/>
  <c r="G140" i="7"/>
  <c r="G139" i="7"/>
  <c r="G137" i="7"/>
  <c r="G136" i="7"/>
  <c r="G135" i="7"/>
  <c r="G134" i="7"/>
  <c r="G132" i="7"/>
  <c r="G131" i="7"/>
  <c r="G130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3" i="7"/>
  <c r="G112" i="7"/>
  <c r="G111" i="7"/>
  <c r="G110" i="7"/>
  <c r="G109" i="7"/>
  <c r="G108" i="7"/>
  <c r="G107" i="7"/>
  <c r="G106" i="7"/>
  <c r="G105" i="7"/>
  <c r="G102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6" i="7"/>
  <c r="G85" i="7"/>
  <c r="G84" i="7"/>
  <c r="G83" i="7"/>
  <c r="G82" i="7"/>
  <c r="G81" i="7"/>
  <c r="G80" i="7"/>
  <c r="G79" i="7"/>
  <c r="G78" i="7"/>
  <c r="G77" i="7"/>
  <c r="E247" i="7"/>
  <c r="E246" i="7"/>
  <c r="E245" i="7"/>
  <c r="E244" i="7"/>
  <c r="E243" i="7"/>
  <c r="E242" i="7"/>
  <c r="E239" i="7"/>
  <c r="E238" i="7"/>
  <c r="E237" i="7"/>
  <c r="E229" i="7"/>
  <c r="E228" i="7"/>
  <c r="E226" i="7"/>
  <c r="E225" i="7"/>
  <c r="E224" i="7"/>
  <c r="E222" i="7"/>
  <c r="E221" i="7"/>
  <c r="E220" i="7"/>
  <c r="E217" i="7"/>
  <c r="E216" i="7"/>
  <c r="E215" i="7"/>
  <c r="E213" i="7"/>
  <c r="E212" i="7"/>
  <c r="E211" i="7"/>
  <c r="E210" i="7"/>
  <c r="E208" i="7"/>
  <c r="E207" i="7"/>
  <c r="E206" i="7"/>
  <c r="E204" i="7"/>
  <c r="E203" i="7"/>
  <c r="E202" i="7"/>
  <c r="E201" i="7"/>
  <c r="E200" i="7"/>
  <c r="E199" i="7"/>
  <c r="E198" i="7"/>
  <c r="E197" i="7"/>
  <c r="E196" i="7"/>
  <c r="E195" i="7"/>
  <c r="E194" i="7"/>
  <c r="E192" i="7"/>
  <c r="E191" i="7"/>
  <c r="E190" i="7"/>
  <c r="E189" i="7"/>
  <c r="E188" i="7"/>
  <c r="E186" i="7"/>
  <c r="E185" i="7"/>
  <c r="E184" i="7"/>
  <c r="E183" i="7"/>
  <c r="E181" i="7"/>
  <c r="E180" i="7"/>
  <c r="E179" i="7"/>
  <c r="E177" i="7"/>
  <c r="E176" i="7"/>
  <c r="E175" i="7"/>
  <c r="E174" i="7"/>
  <c r="E173" i="7"/>
  <c r="E171" i="7"/>
  <c r="E170" i="7"/>
  <c r="E169" i="7"/>
  <c r="E168" i="7"/>
  <c r="E167" i="7"/>
  <c r="E166" i="7"/>
  <c r="E165" i="7"/>
  <c r="E162" i="7"/>
  <c r="E161" i="7"/>
  <c r="E160" i="7"/>
  <c r="E159" i="7"/>
  <c r="E158" i="7"/>
  <c r="E154" i="7"/>
  <c r="E153" i="7"/>
  <c r="E152" i="7"/>
  <c r="E151" i="7"/>
  <c r="E149" i="7"/>
  <c r="E148" i="7"/>
  <c r="E147" i="7"/>
  <c r="E145" i="7"/>
  <c r="E144" i="7"/>
  <c r="E143" i="7"/>
  <c r="E142" i="7"/>
  <c r="E141" i="7"/>
  <c r="E140" i="7"/>
  <c r="E139" i="7"/>
  <c r="E137" i="7"/>
  <c r="E136" i="7"/>
  <c r="E135" i="7"/>
  <c r="E134" i="7"/>
  <c r="E132" i="7"/>
  <c r="E131" i="7"/>
  <c r="E130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3" i="7"/>
  <c r="E112" i="7"/>
  <c r="E111" i="7"/>
  <c r="E110" i="7"/>
  <c r="E109" i="7"/>
  <c r="E108" i="7"/>
  <c r="E107" i="7"/>
  <c r="E106" i="7"/>
  <c r="E105" i="7"/>
  <c r="E102" i="7"/>
  <c r="E101" i="7"/>
  <c r="E100" i="7"/>
  <c r="E99" i="7"/>
  <c r="E98" i="7"/>
  <c r="E97" i="7"/>
  <c r="E96" i="7"/>
  <c r="E95" i="7"/>
  <c r="E94" i="7"/>
  <c r="E93" i="7"/>
  <c r="E92" i="7"/>
  <c r="E91" i="7"/>
  <c r="E89" i="7"/>
  <c r="E88" i="7"/>
  <c r="E86" i="7"/>
  <c r="E85" i="7"/>
  <c r="E84" i="7"/>
  <c r="E83" i="7"/>
  <c r="E82" i="7"/>
  <c r="E81" i="7"/>
  <c r="E80" i="7"/>
  <c r="E79" i="7"/>
  <c r="E78" i="7"/>
  <c r="E77" i="7"/>
  <c r="F247" i="7"/>
  <c r="F246" i="7"/>
  <c r="F245" i="7"/>
  <c r="F244" i="7"/>
  <c r="F243" i="7"/>
  <c r="F242" i="7"/>
  <c r="F239" i="7"/>
  <c r="F238" i="7"/>
  <c r="F237" i="7"/>
  <c r="F229" i="7"/>
  <c r="F228" i="7"/>
  <c r="F226" i="7"/>
  <c r="F225" i="7"/>
  <c r="F224" i="7"/>
  <c r="F222" i="7"/>
  <c r="F221" i="7"/>
  <c r="F220" i="7"/>
  <c r="F217" i="7"/>
  <c r="F216" i="7"/>
  <c r="F215" i="7"/>
  <c r="F213" i="7"/>
  <c r="F212" i="7"/>
  <c r="F211" i="7"/>
  <c r="F210" i="7"/>
  <c r="F208" i="7"/>
  <c r="F207" i="7"/>
  <c r="F206" i="7"/>
  <c r="F204" i="7"/>
  <c r="F203" i="7"/>
  <c r="F202" i="7"/>
  <c r="F201" i="7"/>
  <c r="F200" i="7"/>
  <c r="F199" i="7"/>
  <c r="F198" i="7"/>
  <c r="F197" i="7"/>
  <c r="F196" i="7"/>
  <c r="F195" i="7"/>
  <c r="F194" i="7"/>
  <c r="F192" i="7"/>
  <c r="F191" i="7"/>
  <c r="F190" i="7"/>
  <c r="F189" i="7"/>
  <c r="F188" i="7"/>
  <c r="F186" i="7"/>
  <c r="F185" i="7"/>
  <c r="F184" i="7"/>
  <c r="F183" i="7"/>
  <c r="F181" i="7"/>
  <c r="F180" i="7"/>
  <c r="F179" i="7"/>
  <c r="F177" i="7"/>
  <c r="F176" i="7"/>
  <c r="F175" i="7"/>
  <c r="F174" i="7"/>
  <c r="F173" i="7"/>
  <c r="F171" i="7"/>
  <c r="F170" i="7"/>
  <c r="F169" i="7"/>
  <c r="F168" i="7"/>
  <c r="F167" i="7"/>
  <c r="F166" i="7"/>
  <c r="F165" i="7"/>
  <c r="F162" i="7"/>
  <c r="F161" i="7"/>
  <c r="F160" i="7"/>
  <c r="F159" i="7"/>
  <c r="F158" i="7"/>
  <c r="F154" i="7"/>
  <c r="F153" i="7"/>
  <c r="F152" i="7"/>
  <c r="F151" i="7"/>
  <c r="F149" i="7"/>
  <c r="F148" i="7"/>
  <c r="F147" i="7"/>
  <c r="F145" i="7"/>
  <c r="F144" i="7"/>
  <c r="F143" i="7"/>
  <c r="F142" i="7"/>
  <c r="F141" i="7"/>
  <c r="F140" i="7"/>
  <c r="F139" i="7"/>
  <c r="F137" i="7"/>
  <c r="F136" i="7"/>
  <c r="F135" i="7"/>
  <c r="F134" i="7"/>
  <c r="F132" i="7"/>
  <c r="F131" i="7"/>
  <c r="F130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3" i="7"/>
  <c r="F112" i="7"/>
  <c r="F111" i="7"/>
  <c r="F110" i="7"/>
  <c r="F109" i="7"/>
  <c r="F108" i="7"/>
  <c r="F107" i="7"/>
  <c r="F106" i="7"/>
  <c r="F105" i="7"/>
  <c r="F102" i="7"/>
  <c r="F101" i="7"/>
  <c r="F100" i="7"/>
  <c r="F99" i="7"/>
  <c r="F98" i="7"/>
  <c r="F97" i="7"/>
  <c r="F96" i="7"/>
  <c r="F95" i="7"/>
  <c r="F94" i="7"/>
  <c r="F93" i="7"/>
  <c r="F92" i="7"/>
  <c r="F91" i="7"/>
  <c r="F89" i="7"/>
  <c r="F88" i="7"/>
  <c r="F86" i="7"/>
  <c r="F85" i="7"/>
  <c r="F84" i="7"/>
  <c r="F83" i="7"/>
  <c r="F82" i="7"/>
  <c r="F81" i="7"/>
  <c r="F80" i="7"/>
  <c r="F79" i="7"/>
  <c r="F78" i="7"/>
  <c r="F77" i="7"/>
  <c r="D247" i="7"/>
  <c r="D246" i="7"/>
  <c r="D245" i="7"/>
  <c r="D244" i="7"/>
  <c r="D243" i="7"/>
  <c r="D242" i="7"/>
  <c r="D239" i="7"/>
  <c r="D238" i="7"/>
  <c r="D237" i="7"/>
  <c r="D229" i="7"/>
  <c r="D228" i="7"/>
  <c r="D226" i="7"/>
  <c r="D225" i="7"/>
  <c r="D224" i="7"/>
  <c r="D222" i="7"/>
  <c r="D221" i="7"/>
  <c r="D220" i="7"/>
  <c r="D217" i="7"/>
  <c r="D216" i="7"/>
  <c r="D215" i="7"/>
  <c r="D213" i="7"/>
  <c r="D212" i="7"/>
  <c r="D211" i="7"/>
  <c r="D210" i="7"/>
  <c r="D208" i="7"/>
  <c r="D207" i="7"/>
  <c r="D206" i="7"/>
  <c r="D204" i="7"/>
  <c r="D203" i="7"/>
  <c r="D202" i="7"/>
  <c r="D201" i="7"/>
  <c r="D200" i="7"/>
  <c r="D199" i="7"/>
  <c r="D198" i="7"/>
  <c r="D197" i="7"/>
  <c r="D196" i="7"/>
  <c r="D195" i="7"/>
  <c r="D194" i="7"/>
  <c r="D192" i="7"/>
  <c r="D191" i="7"/>
  <c r="D190" i="7"/>
  <c r="D189" i="7"/>
  <c r="D188" i="7"/>
  <c r="D186" i="7"/>
  <c r="D185" i="7"/>
  <c r="D184" i="7"/>
  <c r="D183" i="7"/>
  <c r="D181" i="7"/>
  <c r="D180" i="7"/>
  <c r="D179" i="7"/>
  <c r="D177" i="7"/>
  <c r="D176" i="7"/>
  <c r="D175" i="7"/>
  <c r="D174" i="7"/>
  <c r="D173" i="7"/>
  <c r="D171" i="7"/>
  <c r="D170" i="7"/>
  <c r="D169" i="7"/>
  <c r="D168" i="7"/>
  <c r="D167" i="7"/>
  <c r="D166" i="7"/>
  <c r="D165" i="7"/>
  <c r="D162" i="7"/>
  <c r="D161" i="7"/>
  <c r="D160" i="7"/>
  <c r="D159" i="7"/>
  <c r="D158" i="7"/>
  <c r="D154" i="7"/>
  <c r="D153" i="7"/>
  <c r="D152" i="7"/>
  <c r="D151" i="7"/>
  <c r="D149" i="7"/>
  <c r="D148" i="7"/>
  <c r="D147" i="7"/>
  <c r="D145" i="7"/>
  <c r="D144" i="7"/>
  <c r="D143" i="7"/>
  <c r="D142" i="7"/>
  <c r="D141" i="7"/>
  <c r="D140" i="7"/>
  <c r="D139" i="7"/>
  <c r="D137" i="7"/>
  <c r="D136" i="7"/>
  <c r="D135" i="7"/>
  <c r="D134" i="7"/>
  <c r="D132" i="7"/>
  <c r="D131" i="7"/>
  <c r="D130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3" i="7"/>
  <c r="D112" i="7"/>
  <c r="D111" i="7"/>
  <c r="D110" i="7"/>
  <c r="D109" i="7"/>
  <c r="D108" i="7"/>
  <c r="D107" i="7"/>
  <c r="D106" i="7"/>
  <c r="D105" i="7"/>
  <c r="D102" i="7"/>
  <c r="D101" i="7"/>
  <c r="D100" i="7"/>
  <c r="D99" i="7"/>
  <c r="D98" i="7"/>
  <c r="D97" i="7"/>
  <c r="D96" i="7"/>
  <c r="D95" i="7"/>
  <c r="D94" i="7"/>
  <c r="D93" i="7"/>
  <c r="D92" i="7"/>
  <c r="D91" i="7"/>
  <c r="D89" i="7"/>
  <c r="D88" i="7"/>
  <c r="D86" i="7"/>
  <c r="D85" i="7"/>
  <c r="D84" i="7"/>
  <c r="D83" i="7"/>
  <c r="D82" i="7"/>
  <c r="D81" i="7"/>
  <c r="D80" i="7"/>
  <c r="D79" i="7"/>
  <c r="D78" i="7"/>
  <c r="D77" i="7"/>
  <c r="C247" i="7"/>
  <c r="C246" i="7"/>
  <c r="C245" i="7"/>
  <c r="C244" i="7"/>
  <c r="C243" i="7"/>
  <c r="C242" i="7"/>
  <c r="C239" i="7"/>
  <c r="C238" i="7"/>
  <c r="C237" i="7"/>
  <c r="C229" i="7"/>
  <c r="C228" i="7"/>
  <c r="C226" i="7"/>
  <c r="C225" i="7"/>
  <c r="C224" i="7"/>
  <c r="C222" i="7"/>
  <c r="C221" i="7"/>
  <c r="C220" i="7"/>
  <c r="C217" i="7"/>
  <c r="C216" i="7"/>
  <c r="C215" i="7"/>
  <c r="C213" i="7"/>
  <c r="C212" i="7"/>
  <c r="C211" i="7"/>
  <c r="C210" i="7"/>
  <c r="C208" i="7"/>
  <c r="C207" i="7"/>
  <c r="C206" i="7"/>
  <c r="C204" i="7"/>
  <c r="C203" i="7"/>
  <c r="C202" i="7"/>
  <c r="C201" i="7"/>
  <c r="C200" i="7"/>
  <c r="C199" i="7"/>
  <c r="C198" i="7"/>
  <c r="C197" i="7"/>
  <c r="C196" i="7"/>
  <c r="C195" i="7"/>
  <c r="C194" i="7"/>
  <c r="C192" i="7"/>
  <c r="C191" i="7"/>
  <c r="C190" i="7"/>
  <c r="C189" i="7"/>
  <c r="C188" i="7"/>
  <c r="C186" i="7"/>
  <c r="C185" i="7"/>
  <c r="C184" i="7"/>
  <c r="C183" i="7"/>
  <c r="C181" i="7"/>
  <c r="C180" i="7"/>
  <c r="C179" i="7"/>
  <c r="C177" i="7"/>
  <c r="C176" i="7"/>
  <c r="C175" i="7"/>
  <c r="C174" i="7"/>
  <c r="C173" i="7"/>
  <c r="C171" i="7"/>
  <c r="C170" i="7"/>
  <c r="C169" i="7"/>
  <c r="C168" i="7"/>
  <c r="C167" i="7"/>
  <c r="C166" i="7"/>
  <c r="C165" i="7"/>
  <c r="C162" i="7"/>
  <c r="C161" i="7"/>
  <c r="C160" i="7"/>
  <c r="C159" i="7"/>
  <c r="C158" i="7"/>
  <c r="C154" i="7"/>
  <c r="C153" i="7"/>
  <c r="C152" i="7"/>
  <c r="C151" i="7"/>
  <c r="C149" i="7"/>
  <c r="C148" i="7"/>
  <c r="C147" i="7"/>
  <c r="C145" i="7"/>
  <c r="C144" i="7"/>
  <c r="C143" i="7"/>
  <c r="C142" i="7"/>
  <c r="C141" i="7"/>
  <c r="C140" i="7"/>
  <c r="C139" i="7"/>
  <c r="C137" i="7"/>
  <c r="C136" i="7"/>
  <c r="C135" i="7"/>
  <c r="C134" i="7"/>
  <c r="C132" i="7"/>
  <c r="C131" i="7"/>
  <c r="C130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3" i="7"/>
  <c r="C112" i="7"/>
  <c r="C111" i="7"/>
  <c r="C110" i="7"/>
  <c r="C109" i="7"/>
  <c r="C108" i="7"/>
  <c r="C107" i="7"/>
  <c r="C106" i="7"/>
  <c r="C105" i="7"/>
  <c r="C102" i="7"/>
  <c r="C101" i="7"/>
  <c r="C100" i="7"/>
  <c r="C99" i="7"/>
  <c r="C98" i="7"/>
  <c r="C97" i="7"/>
  <c r="C96" i="7"/>
  <c r="C95" i="7"/>
  <c r="C94" i="7"/>
  <c r="C93" i="7"/>
  <c r="C92" i="7"/>
  <c r="C91" i="7"/>
  <c r="C89" i="7"/>
  <c r="C88" i="7"/>
  <c r="C86" i="7"/>
  <c r="C85" i="7"/>
  <c r="C84" i="7"/>
  <c r="C83" i="7"/>
  <c r="C82" i="7"/>
  <c r="C81" i="7"/>
  <c r="C80" i="7"/>
  <c r="C79" i="7"/>
  <c r="C78" i="7"/>
  <c r="C77" i="7"/>
  <c r="B247" i="7"/>
  <c r="B246" i="7"/>
  <c r="B245" i="7"/>
  <c r="B244" i="7"/>
  <c r="B243" i="7"/>
  <c r="B242" i="7"/>
  <c r="B239" i="7"/>
  <c r="B238" i="7"/>
  <c r="B237" i="7"/>
  <c r="B229" i="7"/>
  <c r="B228" i="7"/>
  <c r="B226" i="7"/>
  <c r="B225" i="7"/>
  <c r="B224" i="7"/>
  <c r="B222" i="7"/>
  <c r="B221" i="7"/>
  <c r="B220" i="7"/>
  <c r="B217" i="7"/>
  <c r="B216" i="7"/>
  <c r="B215" i="7"/>
  <c r="B213" i="7"/>
  <c r="B212" i="7"/>
  <c r="B211" i="7"/>
  <c r="B210" i="7"/>
  <c r="B208" i="7"/>
  <c r="B207" i="7"/>
  <c r="B206" i="7"/>
  <c r="B204" i="7"/>
  <c r="B203" i="7"/>
  <c r="B202" i="7"/>
  <c r="B201" i="7"/>
  <c r="B200" i="7"/>
  <c r="B199" i="7"/>
  <c r="B198" i="7"/>
  <c r="B197" i="7"/>
  <c r="B196" i="7"/>
  <c r="B195" i="7"/>
  <c r="B194" i="7"/>
  <c r="B192" i="7"/>
  <c r="B191" i="7"/>
  <c r="B190" i="7"/>
  <c r="B189" i="7"/>
  <c r="B188" i="7"/>
  <c r="B186" i="7"/>
  <c r="B185" i="7"/>
  <c r="B184" i="7"/>
  <c r="B183" i="7"/>
  <c r="B181" i="7"/>
  <c r="B180" i="7"/>
  <c r="B179" i="7"/>
  <c r="B177" i="7"/>
  <c r="B176" i="7"/>
  <c r="B175" i="7"/>
  <c r="B174" i="7"/>
  <c r="B173" i="7"/>
  <c r="B171" i="7"/>
  <c r="B170" i="7"/>
  <c r="B169" i="7"/>
  <c r="B168" i="7"/>
  <c r="B167" i="7"/>
  <c r="B166" i="7"/>
  <c r="B165" i="7"/>
  <c r="B162" i="7"/>
  <c r="B161" i="7"/>
  <c r="B160" i="7"/>
  <c r="B159" i="7"/>
  <c r="B158" i="7"/>
  <c r="B154" i="7"/>
  <c r="B153" i="7"/>
  <c r="B152" i="7"/>
  <c r="B151" i="7"/>
  <c r="B149" i="7"/>
  <c r="B148" i="7"/>
  <c r="B147" i="7"/>
  <c r="B145" i="7"/>
  <c r="B144" i="7"/>
  <c r="B143" i="7"/>
  <c r="B142" i="7"/>
  <c r="B141" i="7"/>
  <c r="B140" i="7"/>
  <c r="B139" i="7"/>
  <c r="B137" i="7"/>
  <c r="B136" i="7"/>
  <c r="B135" i="7"/>
  <c r="B134" i="7"/>
  <c r="B132" i="7"/>
  <c r="B131" i="7"/>
  <c r="B130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3" i="7"/>
  <c r="B112" i="7"/>
  <c r="B111" i="7"/>
  <c r="B110" i="7"/>
  <c r="B109" i="7"/>
  <c r="B108" i="7"/>
  <c r="B107" i="7"/>
  <c r="B106" i="7"/>
  <c r="B105" i="7"/>
  <c r="B102" i="7"/>
  <c r="B101" i="7"/>
  <c r="B100" i="7"/>
  <c r="B99" i="7"/>
  <c r="B98" i="7"/>
  <c r="B97" i="7"/>
  <c r="B96" i="7"/>
  <c r="B95" i="7"/>
  <c r="B94" i="7"/>
  <c r="B93" i="7"/>
  <c r="B92" i="7"/>
  <c r="B91" i="7"/>
  <c r="B89" i="7"/>
  <c r="B88" i="7"/>
  <c r="B86" i="7"/>
  <c r="B85" i="7"/>
  <c r="B84" i="7"/>
  <c r="B83" i="7"/>
  <c r="B82" i="7"/>
  <c r="B81" i="7"/>
  <c r="B80" i="7"/>
  <c r="B79" i="7"/>
  <c r="B78" i="7"/>
  <c r="B77" i="7"/>
  <c r="A247" i="7"/>
  <c r="A246" i="7"/>
  <c r="A245" i="7"/>
  <c r="A244" i="7"/>
  <c r="A243" i="7"/>
  <c r="A242" i="7"/>
  <c r="A239" i="7"/>
  <c r="A238" i="7"/>
  <c r="A237" i="7"/>
  <c r="A229" i="7"/>
  <c r="A228" i="7"/>
  <c r="A226" i="7"/>
  <c r="A225" i="7"/>
  <c r="A224" i="7"/>
  <c r="A222" i="7"/>
  <c r="A221" i="7"/>
  <c r="A220" i="7"/>
  <c r="A217" i="7"/>
  <c r="A216" i="7"/>
  <c r="A215" i="7"/>
  <c r="A213" i="7"/>
  <c r="A212" i="7"/>
  <c r="A211" i="7"/>
  <c r="A210" i="7"/>
  <c r="A208" i="7"/>
  <c r="A207" i="7"/>
  <c r="A206" i="7"/>
  <c r="A204" i="7"/>
  <c r="A203" i="7"/>
  <c r="A202" i="7"/>
  <c r="A201" i="7"/>
  <c r="A200" i="7"/>
  <c r="A199" i="7"/>
  <c r="A198" i="7"/>
  <c r="A197" i="7"/>
  <c r="A196" i="7"/>
  <c r="A195" i="7"/>
  <c r="A194" i="7"/>
  <c r="A192" i="7"/>
  <c r="A191" i="7"/>
  <c r="A190" i="7"/>
  <c r="A189" i="7"/>
  <c r="A188" i="7"/>
  <c r="A186" i="7"/>
  <c r="A185" i="7"/>
  <c r="A184" i="7"/>
  <c r="A183" i="7"/>
  <c r="A181" i="7"/>
  <c r="A180" i="7"/>
  <c r="A179" i="7"/>
  <c r="A177" i="7"/>
  <c r="A176" i="7"/>
  <c r="A175" i="7"/>
  <c r="A174" i="7"/>
  <c r="A173" i="7"/>
  <c r="A171" i="7"/>
  <c r="A170" i="7"/>
  <c r="A169" i="7"/>
  <c r="A168" i="7"/>
  <c r="A167" i="7"/>
  <c r="A166" i="7"/>
  <c r="A165" i="7"/>
  <c r="A162" i="7"/>
  <c r="A161" i="7"/>
  <c r="A160" i="7"/>
  <c r="A159" i="7"/>
  <c r="A158" i="7"/>
  <c r="A154" i="7"/>
  <c r="A153" i="7"/>
  <c r="A152" i="7"/>
  <c r="A151" i="7"/>
  <c r="A149" i="7"/>
  <c r="A148" i="7"/>
  <c r="A147" i="7"/>
  <c r="A145" i="7"/>
  <c r="A144" i="7"/>
  <c r="A143" i="7"/>
  <c r="A142" i="7"/>
  <c r="A141" i="7"/>
  <c r="A140" i="7"/>
  <c r="A139" i="7"/>
  <c r="A137" i="7"/>
  <c r="A136" i="7"/>
  <c r="A135" i="7"/>
  <c r="A134" i="7"/>
  <c r="A132" i="7"/>
  <c r="A131" i="7"/>
  <c r="A130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3" i="7"/>
  <c r="A112" i="7"/>
  <c r="A111" i="7"/>
  <c r="A110" i="7"/>
  <c r="A109" i="7"/>
  <c r="A108" i="7"/>
  <c r="A107" i="7"/>
  <c r="A106" i="7"/>
  <c r="A105" i="7"/>
  <c r="A102" i="7"/>
  <c r="A101" i="7"/>
  <c r="A100" i="7"/>
  <c r="A99" i="7"/>
  <c r="A98" i="7"/>
  <c r="A97" i="7"/>
  <c r="A96" i="7"/>
  <c r="A95" i="7"/>
  <c r="A94" i="7"/>
  <c r="A93" i="7"/>
  <c r="A92" i="7"/>
  <c r="A91" i="7"/>
  <c r="A89" i="7"/>
  <c r="A88" i="7"/>
  <c r="A86" i="7"/>
  <c r="A85" i="7"/>
  <c r="A84" i="7"/>
  <c r="A83" i="7"/>
  <c r="A82" i="7"/>
  <c r="A81" i="7"/>
  <c r="A80" i="7"/>
  <c r="A79" i="7"/>
  <c r="A78" i="7"/>
  <c r="A77" i="7"/>
  <c r="A26" i="7"/>
  <c r="M26" i="7" s="1"/>
  <c r="A25" i="7"/>
  <c r="M25" i="7" s="1"/>
  <c r="A24" i="7"/>
  <c r="A23" i="7"/>
  <c r="M23" i="7" s="1"/>
  <c r="A18" i="7"/>
  <c r="M18" i="7" s="1"/>
  <c r="A21" i="7"/>
  <c r="M21" i="7" s="1"/>
  <c r="A20" i="7"/>
  <c r="M20" i="7" s="1"/>
  <c r="A19" i="7"/>
  <c r="M19" i="7" s="1"/>
  <c r="A16" i="7"/>
  <c r="M16" i="7" s="1"/>
  <c r="A15" i="7"/>
  <c r="M15" i="7" s="1"/>
  <c r="A14" i="7"/>
  <c r="A12" i="7"/>
  <c r="M12" i="7" s="1"/>
  <c r="A11" i="7"/>
  <c r="M11" i="7" s="1"/>
  <c r="A10" i="7"/>
  <c r="M10" i="7" s="1"/>
  <c r="A9" i="7"/>
  <c r="M9" i="7" s="1"/>
  <c r="A4" i="7"/>
  <c r="M4" i="7" s="1"/>
  <c r="BD250" i="7"/>
  <c r="CT250" i="7" s="1"/>
  <c r="EJ250" i="7" s="1"/>
  <c r="BD249" i="7"/>
  <c r="CT249" i="7" s="1"/>
  <c r="EJ249" i="7" s="1"/>
  <c r="BD248" i="7"/>
  <c r="CT248" i="7" s="1"/>
  <c r="EJ248" i="7" s="1"/>
  <c r="BD247" i="7"/>
  <c r="BD246" i="7"/>
  <c r="BD245" i="7"/>
  <c r="BD244" i="7"/>
  <c r="BD243" i="7"/>
  <c r="BD242" i="7"/>
  <c r="BD241" i="7"/>
  <c r="CT241" i="7" s="1"/>
  <c r="EJ241" i="7" s="1"/>
  <c r="CT240" i="7"/>
  <c r="EJ240" i="7" s="1"/>
  <c r="BD236" i="7"/>
  <c r="CT236" i="7" s="1"/>
  <c r="EJ236" i="7" s="1"/>
  <c r="BD235" i="7"/>
  <c r="CT235" i="7" s="1"/>
  <c r="EJ235" i="7" s="1"/>
  <c r="BD234" i="7"/>
  <c r="CT234" i="7" s="1"/>
  <c r="EJ234" i="7" s="1"/>
  <c r="BD233" i="7"/>
  <c r="CT233" i="7" s="1"/>
  <c r="EJ233" i="7" s="1"/>
  <c r="BD232" i="7"/>
  <c r="CT232" i="7" s="1"/>
  <c r="EJ232" i="7" s="1"/>
  <c r="BD231" i="7"/>
  <c r="CT231" i="7" s="1"/>
  <c r="EJ231" i="7" s="1"/>
  <c r="BD230" i="7"/>
  <c r="CT230" i="7" s="1"/>
  <c r="EJ230" i="7" s="1"/>
  <c r="BD229" i="7"/>
  <c r="BD228" i="7"/>
  <c r="BD227" i="7"/>
  <c r="CT227" i="7" s="1"/>
  <c r="EJ227" i="7" s="1"/>
  <c r="BD226" i="7"/>
  <c r="BD225" i="7"/>
  <c r="BD224" i="7"/>
  <c r="BD223" i="7"/>
  <c r="CT223" i="7" s="1"/>
  <c r="EJ223" i="7" s="1"/>
  <c r="BD222" i="7"/>
  <c r="BD221" i="7"/>
  <c r="BD220" i="7"/>
  <c r="BD219" i="7"/>
  <c r="CT219" i="7" s="1"/>
  <c r="EJ219" i="7" s="1"/>
  <c r="BD218" i="7"/>
  <c r="CT218" i="7" s="1"/>
  <c r="EJ218" i="7" s="1"/>
  <c r="BD217" i="7"/>
  <c r="CT217" i="7" s="1"/>
  <c r="EJ217" i="7" s="1"/>
  <c r="BD216" i="7"/>
  <c r="BD215" i="7"/>
  <c r="BD214" i="7"/>
  <c r="CT214" i="7" s="1"/>
  <c r="EJ214" i="7" s="1"/>
  <c r="BD213" i="7"/>
  <c r="BD212" i="7"/>
  <c r="BD211" i="7"/>
  <c r="BD210" i="7"/>
  <c r="BD209" i="7"/>
  <c r="CT209" i="7" s="1"/>
  <c r="EJ209" i="7" s="1"/>
  <c r="BD208" i="7"/>
  <c r="BD207" i="7"/>
  <c r="BD206" i="7"/>
  <c r="BD205" i="7"/>
  <c r="CT205" i="7" s="1"/>
  <c r="EJ205" i="7" s="1"/>
  <c r="BD204" i="7"/>
  <c r="BD203" i="7"/>
  <c r="BD202" i="7"/>
  <c r="BD201" i="7"/>
  <c r="BD200" i="7"/>
  <c r="BD199" i="7"/>
  <c r="BD198" i="7"/>
  <c r="BD197" i="7"/>
  <c r="BD196" i="7"/>
  <c r="BD195" i="7"/>
  <c r="BD194" i="7"/>
  <c r="BD193" i="7"/>
  <c r="CT193" i="7" s="1"/>
  <c r="EJ193" i="7" s="1"/>
  <c r="BD192" i="7"/>
  <c r="BD191" i="7"/>
  <c r="BD190" i="7"/>
  <c r="BD189" i="7"/>
  <c r="BD188" i="7"/>
  <c r="BD187" i="7"/>
  <c r="CT187" i="7" s="1"/>
  <c r="EJ187" i="7" s="1"/>
  <c r="BD186" i="7"/>
  <c r="BD185" i="7"/>
  <c r="BD184" i="7"/>
  <c r="BD183" i="7"/>
  <c r="BD182" i="7"/>
  <c r="CT182" i="7" s="1"/>
  <c r="EJ182" i="7" s="1"/>
  <c r="BD181" i="7"/>
  <c r="BD180" i="7"/>
  <c r="BD179" i="7"/>
  <c r="BD178" i="7"/>
  <c r="CT178" i="7" s="1"/>
  <c r="EJ178" i="7" s="1"/>
  <c r="BD177" i="7"/>
  <c r="BD176" i="7"/>
  <c r="BD175" i="7"/>
  <c r="BD174" i="7"/>
  <c r="BD173" i="7"/>
  <c r="BD172" i="7"/>
  <c r="CT172" i="7" s="1"/>
  <c r="EJ172" i="7" s="1"/>
  <c r="BD171" i="7"/>
  <c r="BD170" i="7"/>
  <c r="BD169" i="7"/>
  <c r="BD168" i="7"/>
  <c r="BD167" i="7"/>
  <c r="BD166" i="7"/>
  <c r="BD165" i="7"/>
  <c r="BD164" i="7"/>
  <c r="CT164" i="7" s="1"/>
  <c r="EJ164" i="7" s="1"/>
  <c r="BD163" i="7"/>
  <c r="CT163" i="7" s="1"/>
  <c r="EJ163" i="7" s="1"/>
  <c r="BD162" i="7"/>
  <c r="BD161" i="7"/>
  <c r="BD160" i="7"/>
  <c r="BD159" i="7"/>
  <c r="BD158" i="7"/>
  <c r="BD157" i="7"/>
  <c r="CT157" i="7" s="1"/>
  <c r="EJ157" i="7" s="1"/>
  <c r="BD156" i="7"/>
  <c r="CT156" i="7" s="1"/>
  <c r="EJ156" i="7" s="1"/>
  <c r="BD155" i="7"/>
  <c r="CT155" i="7" s="1"/>
  <c r="EJ155" i="7" s="1"/>
  <c r="BD154" i="7"/>
  <c r="BD153" i="7"/>
  <c r="BD152" i="7"/>
  <c r="BD151" i="7"/>
  <c r="BD150" i="7"/>
  <c r="CT150" i="7" s="1"/>
  <c r="EJ150" i="7" s="1"/>
  <c r="BD149" i="7"/>
  <c r="BD148" i="7"/>
  <c r="BD147" i="7"/>
  <c r="BD146" i="7"/>
  <c r="CT146" i="7" s="1"/>
  <c r="EJ146" i="7" s="1"/>
  <c r="BD145" i="7"/>
  <c r="BD144" i="7"/>
  <c r="BD143" i="7"/>
  <c r="BD142" i="7"/>
  <c r="BD141" i="7"/>
  <c r="BD140" i="7"/>
  <c r="BD139" i="7"/>
  <c r="BD138" i="7"/>
  <c r="CT138" i="7" s="1"/>
  <c r="EJ138" i="7" s="1"/>
  <c r="BD137" i="7"/>
  <c r="BD136" i="7"/>
  <c r="BD135" i="7"/>
  <c r="BD134" i="7"/>
  <c r="BD133" i="7"/>
  <c r="CT133" i="7" s="1"/>
  <c r="EJ133" i="7" s="1"/>
  <c r="BD132" i="7"/>
  <c r="BD131" i="7"/>
  <c r="BD130" i="7"/>
  <c r="BD129" i="7"/>
  <c r="CT129" i="7" s="1"/>
  <c r="EJ129" i="7" s="1"/>
  <c r="BD128" i="7"/>
  <c r="BD127" i="7"/>
  <c r="BD126" i="7"/>
  <c r="BD125" i="7"/>
  <c r="BD124" i="7"/>
  <c r="BD123" i="7"/>
  <c r="BD122" i="7"/>
  <c r="BD121" i="7"/>
  <c r="BD120" i="7"/>
  <c r="BD119" i="7"/>
  <c r="BD118" i="7"/>
  <c r="BD117" i="7"/>
  <c r="BD116" i="7"/>
  <c r="CT116" i="7" s="1"/>
  <c r="EJ116" i="7" s="1"/>
  <c r="CT115" i="7"/>
  <c r="EJ115" i="7" s="1"/>
  <c r="BD114" i="7"/>
  <c r="CT114" i="7" s="1"/>
  <c r="EJ114" i="7" s="1"/>
  <c r="BD113" i="7"/>
  <c r="BD112" i="7"/>
  <c r="BD111" i="7"/>
  <c r="BD110" i="7"/>
  <c r="BD109" i="7"/>
  <c r="BD108" i="7"/>
  <c r="BD107" i="7"/>
  <c r="BD106" i="7"/>
  <c r="BD105" i="7"/>
  <c r="BD104" i="7"/>
  <c r="CT104" i="7" s="1"/>
  <c r="EJ104" i="7" s="1"/>
  <c r="BD103" i="7"/>
  <c r="CT103" i="7" s="1"/>
  <c r="EJ103" i="7" s="1"/>
  <c r="BD102" i="7"/>
  <c r="BD101" i="7"/>
  <c r="BD100" i="7"/>
  <c r="BD99" i="7"/>
  <c r="BD98" i="7"/>
  <c r="BD97" i="7"/>
  <c r="BD96" i="7"/>
  <c r="BD95" i="7"/>
  <c r="BD94" i="7"/>
  <c r="BD93" i="7"/>
  <c r="BD92" i="7"/>
  <c r="BD91" i="7"/>
  <c r="BD90" i="7"/>
  <c r="CT90" i="7" s="1"/>
  <c r="EJ90" i="7" s="1"/>
  <c r="BD89" i="7"/>
  <c r="BD88" i="7"/>
  <c r="BD87" i="7"/>
  <c r="CT87" i="7" s="1"/>
  <c r="EJ87" i="7" s="1"/>
  <c r="BD86" i="7"/>
  <c r="BD85" i="7"/>
  <c r="BD84" i="7"/>
  <c r="BD83" i="7"/>
  <c r="BD82" i="7"/>
  <c r="BD81" i="7"/>
  <c r="BD80" i="7"/>
  <c r="BD79" i="7"/>
  <c r="BD78" i="7"/>
  <c r="BD77" i="7"/>
  <c r="BD76" i="7"/>
  <c r="CT76" i="7" s="1"/>
  <c r="EJ76" i="7" s="1"/>
  <c r="BD75" i="7"/>
  <c r="CT75" i="7" s="1"/>
  <c r="EJ75" i="7" s="1"/>
  <c r="BD74" i="7"/>
  <c r="CT74" i="7" s="1"/>
  <c r="EJ74" i="7" s="1"/>
  <c r="BD73" i="7"/>
  <c r="CT73" i="7" s="1"/>
  <c r="EJ73" i="7" s="1"/>
  <c r="BD72" i="7"/>
  <c r="BD71" i="7"/>
  <c r="CT71" i="7" s="1"/>
  <c r="EJ71" i="7" s="1"/>
  <c r="BD70" i="7"/>
  <c r="CT70" i="7" s="1"/>
  <c r="EJ70" i="7" s="1"/>
  <c r="BD69" i="7"/>
  <c r="BD68" i="7"/>
  <c r="BD67" i="7"/>
  <c r="BD66" i="7"/>
  <c r="BD65" i="7"/>
  <c r="BD64" i="7"/>
  <c r="BD63" i="7"/>
  <c r="BD62" i="7"/>
  <c r="BD61" i="7"/>
  <c r="BD60" i="7"/>
  <c r="CT60" i="7" s="1"/>
  <c r="EJ60" i="7" s="1"/>
  <c r="BD59" i="7"/>
  <c r="CT59" i="7" s="1"/>
  <c r="EJ59" i="7" s="1"/>
  <c r="BD58" i="7"/>
  <c r="CT58" i="7" s="1"/>
  <c r="EJ58" i="7" s="1"/>
  <c r="BD57" i="7"/>
  <c r="CT57" i="7" s="1"/>
  <c r="EJ57" i="7" s="1"/>
  <c r="BD56" i="7"/>
  <c r="CT56" i="7" s="1"/>
  <c r="EJ56" i="7" s="1"/>
  <c r="BD55" i="7"/>
  <c r="BD54" i="7"/>
  <c r="CT54" i="7" s="1"/>
  <c r="EJ54" i="7" s="1"/>
  <c r="BD53" i="7"/>
  <c r="CT53" i="7" s="1"/>
  <c r="EJ53" i="7" s="1"/>
  <c r="BD52" i="7"/>
  <c r="CT52" i="7" s="1"/>
  <c r="EJ52" i="7" s="1"/>
  <c r="BD51" i="7"/>
  <c r="BD50" i="7"/>
  <c r="CT50" i="7" s="1"/>
  <c r="EJ50" i="7" s="1"/>
  <c r="BD49" i="7"/>
  <c r="CT49" i="7" s="1"/>
  <c r="EJ49" i="7" s="1"/>
  <c r="BD48" i="7"/>
  <c r="CT48" i="7" s="1"/>
  <c r="EJ48" i="7" s="1"/>
  <c r="BD47" i="7"/>
  <c r="CT47" i="7" s="1"/>
  <c r="EJ47" i="7" s="1"/>
  <c r="BD46" i="7"/>
  <c r="BD45" i="7"/>
  <c r="BD44" i="7"/>
  <c r="BD43" i="7"/>
  <c r="CT43" i="7" s="1"/>
  <c r="EJ43" i="7" s="1"/>
  <c r="BD42" i="7"/>
  <c r="BD41" i="7"/>
  <c r="BD40" i="7"/>
  <c r="BD39" i="7"/>
  <c r="BD38" i="7"/>
  <c r="CT38" i="7" s="1"/>
  <c r="EJ38" i="7" s="1"/>
  <c r="CT37" i="7"/>
  <c r="EJ37" i="7" s="1"/>
  <c r="BD36" i="7"/>
  <c r="BD35" i="7"/>
  <c r="BD34" i="7"/>
  <c r="BD33" i="7"/>
  <c r="BD32" i="7"/>
  <c r="BD31" i="7"/>
  <c r="BD30" i="7"/>
  <c r="BD29" i="7"/>
  <c r="CT29" i="7" s="1"/>
  <c r="EJ29" i="7" s="1"/>
  <c r="BD28" i="7"/>
  <c r="CT28" i="7" s="1"/>
  <c r="EJ28" i="7" s="1"/>
  <c r="BD27" i="7"/>
  <c r="CT27" i="7" s="1"/>
  <c r="EJ27" i="7" s="1"/>
  <c r="BD26" i="7"/>
  <c r="BD25" i="7"/>
  <c r="BD24" i="7"/>
  <c r="BD23" i="7"/>
  <c r="CT23" i="7" s="1"/>
  <c r="EJ23" i="7" s="1"/>
  <c r="BD22" i="7"/>
  <c r="CT22" i="7" s="1"/>
  <c r="EJ22" i="7" s="1"/>
  <c r="BD21" i="7"/>
  <c r="BD20" i="7"/>
  <c r="BD19" i="7"/>
  <c r="BD18" i="7"/>
  <c r="CT18" i="7" s="1"/>
  <c r="EJ18" i="7" s="1"/>
  <c r="BD17" i="7"/>
  <c r="CT17" i="7" s="1"/>
  <c r="EJ17" i="7" s="1"/>
  <c r="BD16" i="7"/>
  <c r="BD15" i="7"/>
  <c r="BD14" i="7"/>
  <c r="BD13" i="7"/>
  <c r="CT13" i="7" s="1"/>
  <c r="EJ13" i="7" s="1"/>
  <c r="BD8" i="7"/>
  <c r="CT8" i="7" s="1"/>
  <c r="EJ8" i="7" s="1"/>
  <c r="BD7" i="7"/>
  <c r="BD6" i="7"/>
  <c r="CT6" i="7" s="1"/>
  <c r="EJ6" i="7" s="1"/>
  <c r="BD5" i="7"/>
  <c r="CT5" i="7" s="1"/>
  <c r="EJ5" i="7" s="1"/>
  <c r="BD4" i="7"/>
  <c r="CT4" i="7" s="1"/>
  <c r="EJ4" i="7" s="1"/>
  <c r="BD3" i="7"/>
  <c r="CT3" i="7" s="1"/>
  <c r="EJ3" i="7" s="1"/>
  <c r="BD1" i="7"/>
  <c r="CT1" i="7" s="1"/>
  <c r="EJ1" i="7" s="1"/>
  <c r="BN250" i="5" l="1"/>
  <c r="BR250" i="5" s="1"/>
  <c r="X250" i="5"/>
  <c r="AL231" i="6"/>
  <c r="AB231" i="6" s="1"/>
  <c r="AB230" i="6"/>
  <c r="X250" i="6"/>
  <c r="AL71" i="6"/>
  <c r="AB47" i="6"/>
  <c r="AO72" i="6"/>
  <c r="FC234" i="6"/>
  <c r="AD233" i="6"/>
  <c r="AD234" i="6" s="1"/>
  <c r="AH231" i="6"/>
  <c r="AG233" i="6"/>
  <c r="AG234" i="6" s="1"/>
  <c r="FB234" i="6"/>
  <c r="FG72" i="6"/>
  <c r="AJ231" i="6"/>
  <c r="AE233" i="6"/>
  <c r="AE234" i="6" s="1"/>
  <c r="FG233" i="6"/>
  <c r="DG234" i="5"/>
  <c r="FF234" i="6"/>
  <c r="DC252" i="5"/>
  <c r="AO230" i="6"/>
  <c r="AO233" i="6" s="1"/>
  <c r="AM233" i="6"/>
  <c r="AM249" i="6" s="1"/>
  <c r="AM250" i="6" s="1"/>
  <c r="BM250" i="5"/>
  <c r="W234" i="5"/>
  <c r="W249" i="5"/>
  <c r="AN233" i="6"/>
  <c r="AN249" i="6" s="1"/>
  <c r="AN250" i="6" s="1"/>
  <c r="AF231" i="6"/>
  <c r="AF234" i="6"/>
  <c r="AK71" i="6"/>
  <c r="EZ249" i="6"/>
  <c r="EZ250" i="6" s="1"/>
  <c r="W250" i="6"/>
  <c r="FA234" i="6"/>
  <c r="AD249" i="5"/>
  <c r="AD250" i="5" s="1"/>
  <c r="FI234" i="6"/>
  <c r="AI231" i="6"/>
  <c r="AI233" i="6"/>
  <c r="FD249" i="6"/>
  <c r="FD250" i="6" s="1"/>
  <c r="FD234" i="6"/>
  <c r="FH234" i="6"/>
  <c r="EX234" i="6" s="1"/>
  <c r="FH249" i="6"/>
  <c r="AH249" i="6"/>
  <c r="AH250" i="6" s="1"/>
  <c r="AH234" i="6"/>
  <c r="EY249" i="6"/>
  <c r="EY250" i="6" s="1"/>
  <c r="EY234" i="6"/>
  <c r="FE249" i="6"/>
  <c r="FE250" i="6" s="1"/>
  <c r="FE234" i="6"/>
  <c r="FJ249" i="6"/>
  <c r="FJ250" i="6" s="1"/>
  <c r="FJ234" i="6"/>
  <c r="AC231" i="6"/>
  <c r="AC233" i="6"/>
  <c r="FK233" i="6"/>
  <c r="FK231" i="6"/>
  <c r="AJ249" i="6"/>
  <c r="AJ250" i="6" s="1"/>
  <c r="AJ234" i="6"/>
  <c r="DU249" i="6"/>
  <c r="DU250" i="6" s="1"/>
  <c r="DU234" i="6"/>
  <c r="AE234" i="5"/>
  <c r="AI234" i="5"/>
  <c r="DU249" i="5"/>
  <c r="DU250" i="5" s="1"/>
  <c r="AM234" i="5"/>
  <c r="AG234" i="5"/>
  <c r="AH234" i="5"/>
  <c r="CT34" i="7"/>
  <c r="BU34" i="7"/>
  <c r="CD34" i="7"/>
  <c r="CB34" i="7"/>
  <c r="CA34" i="7"/>
  <c r="BT34" i="7"/>
  <c r="BS34" i="7"/>
  <c r="CC34" i="7"/>
  <c r="BW34" i="7"/>
  <c r="BZ34" i="7"/>
  <c r="BV34" i="7"/>
  <c r="BY34" i="7"/>
  <c r="BX34" i="7"/>
  <c r="EM34" i="7"/>
  <c r="EM34" i="4" s="1"/>
  <c r="DA34" i="7"/>
  <c r="DA34" i="4" s="1"/>
  <c r="EL34" i="7"/>
  <c r="EL34" i="4" s="1"/>
  <c r="CZ34" i="7"/>
  <c r="CZ34" i="4" s="1"/>
  <c r="EO34" i="7"/>
  <c r="EO34" i="4" s="1"/>
  <c r="BO34" i="7"/>
  <c r="DC34" i="7"/>
  <c r="EV34" i="7"/>
  <c r="EV34" i="4" s="1"/>
  <c r="CY34" i="7"/>
  <c r="CY34" i="4" s="1"/>
  <c r="BI34" i="7"/>
  <c r="CX34" i="7"/>
  <c r="CX34" i="4" s="1"/>
  <c r="ES34" i="7"/>
  <c r="CW34" i="7"/>
  <c r="CW34" i="4" s="1"/>
  <c r="ER34" i="7"/>
  <c r="ER34" i="4" s="1"/>
  <c r="EN34" i="7"/>
  <c r="EN34" i="4" s="1"/>
  <c r="DF34" i="7"/>
  <c r="DF34" i="4" s="1"/>
  <c r="BN34" i="7"/>
  <c r="BR34" i="7" s="1"/>
  <c r="EK34" i="7"/>
  <c r="DE34" i="7"/>
  <c r="DE34" i="4" s="1"/>
  <c r="BM34" i="7"/>
  <c r="DD34" i="7"/>
  <c r="BK34" i="7"/>
  <c r="DB34" i="7"/>
  <c r="DB34" i="4" s="1"/>
  <c r="BJ34" i="7"/>
  <c r="EU34" i="7"/>
  <c r="EU34" i="4" s="1"/>
  <c r="ET34" i="7"/>
  <c r="ET34" i="4" s="1"/>
  <c r="BH34" i="7"/>
  <c r="BG34" i="7"/>
  <c r="BL34" i="7"/>
  <c r="CV34" i="7"/>
  <c r="CV34" i="4" s="1"/>
  <c r="BP34" i="7"/>
  <c r="BF34" i="7"/>
  <c r="BE34" i="7"/>
  <c r="CU34" i="7"/>
  <c r="EQ34" i="7"/>
  <c r="EQ34" i="4" s="1"/>
  <c r="EP34" i="7"/>
  <c r="EP34" i="4" s="1"/>
  <c r="CT82" i="7"/>
  <c r="BT82" i="7"/>
  <c r="CD82" i="7"/>
  <c r="CC82" i="7"/>
  <c r="BZ82" i="7"/>
  <c r="BS82" i="7"/>
  <c r="CB82" i="7"/>
  <c r="CA82" i="7"/>
  <c r="BW82" i="7"/>
  <c r="BV82" i="7"/>
  <c r="BU82" i="7"/>
  <c r="BY82" i="7"/>
  <c r="BX82" i="7"/>
  <c r="EM82" i="7"/>
  <c r="DA82" i="7"/>
  <c r="EL82" i="7"/>
  <c r="CZ82" i="7"/>
  <c r="ES82" i="7"/>
  <c r="CW82" i="7"/>
  <c r="BO82" i="7"/>
  <c r="EQ82" i="7"/>
  <c r="BM82" i="7"/>
  <c r="EP82" i="7"/>
  <c r="BI82" i="7"/>
  <c r="BH82" i="7"/>
  <c r="DC82" i="7"/>
  <c r="BG82" i="7"/>
  <c r="ER82" i="7"/>
  <c r="CV82" i="7"/>
  <c r="BN82" i="7"/>
  <c r="CU82" i="7"/>
  <c r="BL82" i="7"/>
  <c r="EN82" i="7"/>
  <c r="EK82" i="7"/>
  <c r="DE82" i="7"/>
  <c r="DD82" i="7"/>
  <c r="EV82" i="7"/>
  <c r="EO82" i="7"/>
  <c r="BK82" i="7"/>
  <c r="DF82" i="7"/>
  <c r="BJ82" i="7"/>
  <c r="BP82" i="7"/>
  <c r="BF82" i="7"/>
  <c r="CY82" i="7"/>
  <c r="EU82" i="7"/>
  <c r="BE82" i="7"/>
  <c r="DB82" i="7"/>
  <c r="CX82" i="7"/>
  <c r="ET82" i="7"/>
  <c r="CT142" i="7"/>
  <c r="BT142" i="7"/>
  <c r="CC142" i="7"/>
  <c r="BZ142" i="7"/>
  <c r="BS142" i="7"/>
  <c r="CD142" i="7"/>
  <c r="CB142" i="7"/>
  <c r="CA142" i="7"/>
  <c r="BW142" i="7"/>
  <c r="BY142" i="7"/>
  <c r="BV142" i="7"/>
  <c r="BU142" i="7"/>
  <c r="BX142" i="7"/>
  <c r="EM142" i="7"/>
  <c r="DA142" i="7"/>
  <c r="EL142" i="7"/>
  <c r="CZ142" i="7"/>
  <c r="DC142" i="7"/>
  <c r="BO142" i="7"/>
  <c r="BM142" i="7"/>
  <c r="ET142" i="7"/>
  <c r="BL142" i="7"/>
  <c r="CW142" i="7"/>
  <c r="ER142" i="7"/>
  <c r="BI142" i="7"/>
  <c r="EP142" i="7"/>
  <c r="EO142" i="7"/>
  <c r="EV142" i="7"/>
  <c r="DB142" i="7"/>
  <c r="BN142" i="7"/>
  <c r="EU142" i="7"/>
  <c r="CY142" i="7"/>
  <c r="CX142" i="7"/>
  <c r="BK142" i="7"/>
  <c r="CV142" i="7"/>
  <c r="BJ142" i="7"/>
  <c r="EQ142" i="7"/>
  <c r="BH142" i="7"/>
  <c r="BG142" i="7"/>
  <c r="EN142" i="7"/>
  <c r="ES142" i="7"/>
  <c r="CU142" i="7"/>
  <c r="EK142" i="7"/>
  <c r="DF142" i="7"/>
  <c r="BE142" i="7"/>
  <c r="DE142" i="7"/>
  <c r="DD142" i="7"/>
  <c r="BP142" i="7"/>
  <c r="BF142" i="7"/>
  <c r="CT7" i="7"/>
  <c r="EJ7" i="7" s="1"/>
  <c r="EM7" i="7"/>
  <c r="DA7" i="7"/>
  <c r="EL7" i="7"/>
  <c r="CZ7" i="7"/>
  <c r="EK7" i="7"/>
  <c r="DE7" i="7"/>
  <c r="BO7" i="7"/>
  <c r="BM7" i="7"/>
  <c r="BL7" i="7"/>
  <c r="BK7" i="7"/>
  <c r="CW7" i="7"/>
  <c r="BI7" i="7"/>
  <c r="EQ7" i="7"/>
  <c r="EQ7" i="4" s="1"/>
  <c r="CU7" i="7"/>
  <c r="DD7" i="7"/>
  <c r="BN7" i="7"/>
  <c r="DC7" i="7"/>
  <c r="EV7" i="7"/>
  <c r="EU7" i="7"/>
  <c r="CY7" i="7"/>
  <c r="CX7" i="7"/>
  <c r="BJ7" i="7"/>
  <c r="ES7" i="7"/>
  <c r="EP7" i="7"/>
  <c r="DB7" i="7"/>
  <c r="ET7" i="7"/>
  <c r="ER7" i="7"/>
  <c r="CV7" i="7"/>
  <c r="BH7" i="7"/>
  <c r="BG7" i="7"/>
  <c r="BP7" i="7"/>
  <c r="BE7" i="7"/>
  <c r="EO7" i="7"/>
  <c r="EN7" i="7"/>
  <c r="DF7" i="7"/>
  <c r="BF7" i="7"/>
  <c r="CT95" i="7"/>
  <c r="BT95" i="7"/>
  <c r="CD95" i="7"/>
  <c r="BS95" i="7"/>
  <c r="CC95" i="7"/>
  <c r="CB95" i="7"/>
  <c r="CA95" i="7"/>
  <c r="BZ95" i="7"/>
  <c r="BX95" i="7"/>
  <c r="BV95" i="7"/>
  <c r="BY95" i="7"/>
  <c r="BW95" i="7"/>
  <c r="BU95" i="7"/>
  <c r="EM95" i="7"/>
  <c r="DA95" i="7"/>
  <c r="EL95" i="7"/>
  <c r="CZ95" i="7"/>
  <c r="EQ95" i="7"/>
  <c r="CU95" i="7"/>
  <c r="BO95" i="7"/>
  <c r="BM95" i="7"/>
  <c r="BL95" i="7"/>
  <c r="DC95" i="7"/>
  <c r="BI95" i="7"/>
  <c r="ET95" i="7"/>
  <c r="EP95" i="7"/>
  <c r="BN95" i="7"/>
  <c r="EO95" i="7"/>
  <c r="EN95" i="7"/>
  <c r="DF95" i="7"/>
  <c r="DE95" i="7"/>
  <c r="DD95" i="7"/>
  <c r="BH95" i="7"/>
  <c r="EU95" i="7"/>
  <c r="CY95" i="7"/>
  <c r="BG95" i="7"/>
  <c r="EK95" i="7"/>
  <c r="BK95" i="7"/>
  <c r="BJ95" i="7"/>
  <c r="EV95" i="7"/>
  <c r="DB95" i="7"/>
  <c r="CX95" i="7"/>
  <c r="BF95" i="7"/>
  <c r="BE95" i="7"/>
  <c r="BP95" i="7"/>
  <c r="ES95" i="7"/>
  <c r="ER95" i="7"/>
  <c r="CW95" i="7"/>
  <c r="CV95" i="7"/>
  <c r="CT143" i="7"/>
  <c r="BT143" i="7"/>
  <c r="CD143" i="7"/>
  <c r="CB143" i="7"/>
  <c r="CA143" i="7"/>
  <c r="BS143" i="7"/>
  <c r="CC143" i="7"/>
  <c r="BZ143" i="7"/>
  <c r="BY143" i="7"/>
  <c r="BX143" i="7"/>
  <c r="BW143" i="7"/>
  <c r="BV143" i="7"/>
  <c r="BU143" i="7"/>
  <c r="EM143" i="7"/>
  <c r="DA143" i="7"/>
  <c r="EL143" i="7"/>
  <c r="CZ143" i="7"/>
  <c r="EK143" i="7"/>
  <c r="DE143" i="7"/>
  <c r="BO143" i="7"/>
  <c r="DB143" i="7"/>
  <c r="EU143" i="7"/>
  <c r="BK143" i="7"/>
  <c r="CX143" i="7"/>
  <c r="ES143" i="7"/>
  <c r="CW143" i="7"/>
  <c r="BG143" i="7"/>
  <c r="DD143" i="7"/>
  <c r="BN143" i="7"/>
  <c r="BR143" i="7" s="1"/>
  <c r="DC143" i="7"/>
  <c r="BM143" i="7"/>
  <c r="EV143" i="7"/>
  <c r="CY143" i="7"/>
  <c r="BI143" i="7"/>
  <c r="ER143" i="7"/>
  <c r="EQ143" i="7"/>
  <c r="CU143" i="7"/>
  <c r="EP143" i="7"/>
  <c r="BL143" i="7"/>
  <c r="ET143" i="7"/>
  <c r="BJ143" i="7"/>
  <c r="CV143" i="7"/>
  <c r="BH143" i="7"/>
  <c r="DF143" i="7"/>
  <c r="BP143" i="7"/>
  <c r="BE143" i="7"/>
  <c r="EO143" i="7"/>
  <c r="EN143" i="7"/>
  <c r="BF143" i="7"/>
  <c r="CT167" i="7"/>
  <c r="BT167" i="7"/>
  <c r="CD167" i="7"/>
  <c r="CB167" i="7"/>
  <c r="BS167" i="7"/>
  <c r="CC167" i="7"/>
  <c r="CA167" i="7"/>
  <c r="BZ167" i="7"/>
  <c r="BW167" i="7"/>
  <c r="BV167" i="7"/>
  <c r="BY167" i="7"/>
  <c r="BX167" i="7"/>
  <c r="BU167" i="7"/>
  <c r="EM167" i="7"/>
  <c r="DA167" i="7"/>
  <c r="BK167" i="7"/>
  <c r="EL167" i="7"/>
  <c r="CZ167" i="7"/>
  <c r="BJ167" i="7"/>
  <c r="DC167" i="7"/>
  <c r="BI167" i="7"/>
  <c r="EU167" i="7"/>
  <c r="CY167" i="7"/>
  <c r="BG167" i="7"/>
  <c r="ET167" i="7"/>
  <c r="BF167" i="7"/>
  <c r="BE167" i="7"/>
  <c r="ER167" i="7"/>
  <c r="CV167" i="7"/>
  <c r="EV167" i="7"/>
  <c r="DB167" i="7"/>
  <c r="BH167" i="7"/>
  <c r="CX167" i="7"/>
  <c r="CW167" i="7"/>
  <c r="EQ167" i="7"/>
  <c r="BP167" i="7"/>
  <c r="EO167" i="7"/>
  <c r="BO167" i="7"/>
  <c r="EN167" i="7"/>
  <c r="ES167" i="7"/>
  <c r="CU167" i="7"/>
  <c r="EP167" i="7"/>
  <c r="DF167" i="7"/>
  <c r="BN167" i="7"/>
  <c r="DE167" i="7"/>
  <c r="BM167" i="7"/>
  <c r="BL167" i="7"/>
  <c r="EK167" i="7"/>
  <c r="DD167" i="7"/>
  <c r="CT191" i="7"/>
  <c r="BT191" i="7"/>
  <c r="CC191" i="7"/>
  <c r="BS191" i="7"/>
  <c r="CD191" i="7"/>
  <c r="CB191" i="7"/>
  <c r="CA191" i="7"/>
  <c r="BZ191" i="7"/>
  <c r="BY191" i="7"/>
  <c r="BU191" i="7"/>
  <c r="BX191" i="7"/>
  <c r="BW191" i="7"/>
  <c r="BV191" i="7"/>
  <c r="EM191" i="7"/>
  <c r="DA191" i="7"/>
  <c r="BK191" i="7"/>
  <c r="EL191" i="7"/>
  <c r="CZ191" i="7"/>
  <c r="BJ191" i="7"/>
  <c r="EO191" i="7"/>
  <c r="BO191" i="7"/>
  <c r="BL191" i="7"/>
  <c r="EU191" i="7"/>
  <c r="ET191" i="7"/>
  <c r="BF191" i="7"/>
  <c r="ES191" i="7"/>
  <c r="EN191" i="7"/>
  <c r="DF191" i="7"/>
  <c r="BN191" i="7"/>
  <c r="EK191" i="7"/>
  <c r="DE191" i="7"/>
  <c r="BM191" i="7"/>
  <c r="DD191" i="7"/>
  <c r="DC191" i="7"/>
  <c r="EV191" i="7"/>
  <c r="DB191" i="7"/>
  <c r="BH191" i="7"/>
  <c r="BG191" i="7"/>
  <c r="CW191" i="7"/>
  <c r="BE191" i="7"/>
  <c r="ER191" i="7"/>
  <c r="BI191" i="7"/>
  <c r="CY191" i="7"/>
  <c r="CX191" i="7"/>
  <c r="BP191" i="7"/>
  <c r="CU191" i="7"/>
  <c r="EQ191" i="7"/>
  <c r="EP191" i="7"/>
  <c r="CV191" i="7"/>
  <c r="CT242" i="7"/>
  <c r="CD242" i="7"/>
  <c r="CB242" i="7"/>
  <c r="CA242" i="7"/>
  <c r="BY242" i="7"/>
  <c r="CC242" i="7"/>
  <c r="BZ242" i="7"/>
  <c r="BX242" i="7"/>
  <c r="BT242" i="7"/>
  <c r="BS242" i="7"/>
  <c r="BW242" i="7"/>
  <c r="BV242" i="7"/>
  <c r="BU242" i="7"/>
  <c r="EM242" i="7"/>
  <c r="DA242" i="7"/>
  <c r="BK242" i="7"/>
  <c r="EL242" i="7"/>
  <c r="CZ242" i="7"/>
  <c r="BJ242" i="7"/>
  <c r="EO242" i="7"/>
  <c r="BO242" i="7"/>
  <c r="EV242" i="7"/>
  <c r="EU242" i="7"/>
  <c r="ET242" i="7"/>
  <c r="CW242" i="7"/>
  <c r="EN242" i="7"/>
  <c r="DF242" i="7"/>
  <c r="BN242" i="7"/>
  <c r="BR242" i="7" s="1"/>
  <c r="EK242" i="7"/>
  <c r="DE242" i="7"/>
  <c r="BM242" i="7"/>
  <c r="DD242" i="7"/>
  <c r="BL242" i="7"/>
  <c r="DC242" i="7"/>
  <c r="BI242" i="7"/>
  <c r="BG242" i="7"/>
  <c r="ES242" i="7"/>
  <c r="BE242" i="7"/>
  <c r="ER242" i="7"/>
  <c r="DB242" i="7"/>
  <c r="BH242" i="7"/>
  <c r="CY242" i="7"/>
  <c r="CX242" i="7"/>
  <c r="BF242" i="7"/>
  <c r="BP242" i="7"/>
  <c r="EP242" i="7"/>
  <c r="CV242" i="7"/>
  <c r="EQ242" i="7"/>
  <c r="CU242" i="7"/>
  <c r="CT36" i="7"/>
  <c r="EJ36" i="7" s="1"/>
  <c r="EM36" i="7"/>
  <c r="EM36" i="4" s="1"/>
  <c r="DA36" i="7"/>
  <c r="DA36" i="4" s="1"/>
  <c r="EL36" i="7"/>
  <c r="EL36" i="4" s="1"/>
  <c r="CZ36" i="7"/>
  <c r="CZ36" i="4" s="1"/>
  <c r="ES36" i="7"/>
  <c r="CW36" i="7"/>
  <c r="CW36" i="4" s="1"/>
  <c r="BO36" i="7"/>
  <c r="BM36" i="7"/>
  <c r="EP36" i="7"/>
  <c r="EP36" i="4" s="1"/>
  <c r="BL36" i="7"/>
  <c r="EK36" i="7"/>
  <c r="BI36" i="7"/>
  <c r="DD36" i="7"/>
  <c r="DC36" i="7"/>
  <c r="EV36" i="7"/>
  <c r="EV36" i="4" s="1"/>
  <c r="ER36" i="7"/>
  <c r="ER36" i="4" s="1"/>
  <c r="CV36" i="7"/>
  <c r="CV36" i="4" s="1"/>
  <c r="BN36" i="7"/>
  <c r="BR36" i="7" s="1"/>
  <c r="EQ36" i="7"/>
  <c r="EQ36" i="4" s="1"/>
  <c r="CU36" i="7"/>
  <c r="EO36" i="7"/>
  <c r="EO36" i="4" s="1"/>
  <c r="BK36" i="7"/>
  <c r="DF36" i="7"/>
  <c r="DF36" i="4" s="1"/>
  <c r="BJ36" i="7"/>
  <c r="BG36" i="7"/>
  <c r="EN36" i="7"/>
  <c r="EN36" i="4" s="1"/>
  <c r="DE36" i="7"/>
  <c r="DE36" i="4" s="1"/>
  <c r="BH36" i="7"/>
  <c r="BP36" i="7"/>
  <c r="CX36" i="7"/>
  <c r="CX36" i="4" s="1"/>
  <c r="BF36" i="7"/>
  <c r="DB36" i="7"/>
  <c r="DB36" i="4" s="1"/>
  <c r="EU36" i="7"/>
  <c r="EU36" i="4" s="1"/>
  <c r="BE36" i="7"/>
  <c r="ET36" i="7"/>
  <c r="ET36" i="4" s="1"/>
  <c r="CY36" i="7"/>
  <c r="CY36" i="4" s="1"/>
  <c r="CT84" i="7"/>
  <c r="BT84" i="7"/>
  <c r="BZ84" i="7"/>
  <c r="BS84" i="7"/>
  <c r="CD84" i="7"/>
  <c r="CC84" i="7"/>
  <c r="CB84" i="7"/>
  <c r="CA84" i="7"/>
  <c r="BY84" i="7"/>
  <c r="BX84" i="7"/>
  <c r="BW84" i="7"/>
  <c r="BV84" i="7"/>
  <c r="BU84" i="7"/>
  <c r="EM84" i="7"/>
  <c r="DA84" i="7"/>
  <c r="EL84" i="7"/>
  <c r="CZ84" i="7"/>
  <c r="DC84" i="7"/>
  <c r="BO84" i="7"/>
  <c r="EU84" i="7"/>
  <c r="BM84" i="7"/>
  <c r="ET84" i="7"/>
  <c r="BK84" i="7"/>
  <c r="EQ84" i="7"/>
  <c r="CU84" i="7"/>
  <c r="BI84" i="7"/>
  <c r="EP84" i="7"/>
  <c r="BG84" i="7"/>
  <c r="EN84" i="7"/>
  <c r="EV84" i="7"/>
  <c r="DB84" i="7"/>
  <c r="BN84" i="7"/>
  <c r="BR84" i="7" s="1"/>
  <c r="CY84" i="7"/>
  <c r="CX84" i="7"/>
  <c r="BL84" i="7"/>
  <c r="ES84" i="7"/>
  <c r="CV84" i="7"/>
  <c r="BH84" i="7"/>
  <c r="EO84" i="7"/>
  <c r="CW84" i="7"/>
  <c r="ER84" i="7"/>
  <c r="BJ84" i="7"/>
  <c r="EK84" i="7"/>
  <c r="DF84" i="7"/>
  <c r="BF84" i="7"/>
  <c r="BE84" i="7"/>
  <c r="DE84" i="7"/>
  <c r="DD84" i="7"/>
  <c r="BP84" i="7"/>
  <c r="CT132" i="7"/>
  <c r="BT132" i="7"/>
  <c r="CC132" i="7"/>
  <c r="CB132" i="7"/>
  <c r="BZ132" i="7"/>
  <c r="BS132" i="7"/>
  <c r="CD132" i="7"/>
  <c r="CA132" i="7"/>
  <c r="BY132" i="7"/>
  <c r="BV132" i="7"/>
  <c r="BX132" i="7"/>
  <c r="BW132" i="7"/>
  <c r="BU132" i="7"/>
  <c r="EM132" i="7"/>
  <c r="DA132" i="7"/>
  <c r="EL132" i="7"/>
  <c r="CZ132" i="7"/>
  <c r="ES132" i="7"/>
  <c r="CW132" i="7"/>
  <c r="BO132" i="7"/>
  <c r="CU132" i="7"/>
  <c r="BL132" i="7"/>
  <c r="DF132" i="7"/>
  <c r="BJ132" i="7"/>
  <c r="DE132" i="7"/>
  <c r="BI132" i="7"/>
  <c r="DC132" i="7"/>
  <c r="BG132" i="7"/>
  <c r="ER132" i="7"/>
  <c r="CV132" i="7"/>
  <c r="BN132" i="7"/>
  <c r="BR132" i="7" s="1"/>
  <c r="EQ132" i="7"/>
  <c r="BM132" i="7"/>
  <c r="EP132" i="7"/>
  <c r="EN132" i="7"/>
  <c r="EV132" i="7"/>
  <c r="EO132" i="7"/>
  <c r="BK132" i="7"/>
  <c r="EK132" i="7"/>
  <c r="DD132" i="7"/>
  <c r="BH132" i="7"/>
  <c r="EU132" i="7"/>
  <c r="CX132" i="7"/>
  <c r="BF132" i="7"/>
  <c r="ET132" i="7"/>
  <c r="BE132" i="7"/>
  <c r="DB132" i="7"/>
  <c r="CY132" i="7"/>
  <c r="BP132" i="7"/>
  <c r="CT216" i="7"/>
  <c r="BT216" i="7"/>
  <c r="CC216" i="7"/>
  <c r="BS216" i="7"/>
  <c r="CD216" i="7"/>
  <c r="CB216" i="7"/>
  <c r="CA216" i="7"/>
  <c r="BZ216" i="7"/>
  <c r="BX216" i="7"/>
  <c r="BW216" i="7"/>
  <c r="BV216" i="7"/>
  <c r="BY216" i="7"/>
  <c r="BU216" i="7"/>
  <c r="EM216" i="7"/>
  <c r="DA216" i="7"/>
  <c r="BK216" i="7"/>
  <c r="EL216" i="7"/>
  <c r="CZ216" i="7"/>
  <c r="BJ216" i="7"/>
  <c r="EU216" i="7"/>
  <c r="CY216" i="7"/>
  <c r="BG216" i="7"/>
  <c r="ER216" i="7"/>
  <c r="CV216" i="7"/>
  <c r="BP216" i="7"/>
  <c r="BN216" i="7"/>
  <c r="DE216" i="7"/>
  <c r="BM216" i="7"/>
  <c r="ET216" i="7"/>
  <c r="CX216" i="7"/>
  <c r="BF216" i="7"/>
  <c r="ES216" i="7"/>
  <c r="CW216" i="7"/>
  <c r="BE216" i="7"/>
  <c r="CU216" i="7"/>
  <c r="EP216" i="7"/>
  <c r="BO216" i="7"/>
  <c r="EK216" i="7"/>
  <c r="EQ216" i="7"/>
  <c r="EO216" i="7"/>
  <c r="EN216" i="7"/>
  <c r="DF216" i="7"/>
  <c r="DB216" i="7"/>
  <c r="BH216" i="7"/>
  <c r="DD216" i="7"/>
  <c r="BL216" i="7"/>
  <c r="DC216" i="7"/>
  <c r="EV216" i="7"/>
  <c r="BI216" i="7"/>
  <c r="CT85" i="7"/>
  <c r="BT85" i="7"/>
  <c r="CC85" i="7"/>
  <c r="CB85" i="7"/>
  <c r="CA85" i="7"/>
  <c r="BS85" i="7"/>
  <c r="CD85" i="7"/>
  <c r="BZ85" i="7"/>
  <c r="BW85" i="7"/>
  <c r="BU85" i="7"/>
  <c r="BY85" i="7"/>
  <c r="BX85" i="7"/>
  <c r="BV85" i="7"/>
  <c r="EM85" i="7"/>
  <c r="DA85" i="7"/>
  <c r="EL85" i="7"/>
  <c r="CZ85" i="7"/>
  <c r="EK85" i="7"/>
  <c r="DE85" i="7"/>
  <c r="BO85" i="7"/>
  <c r="DC85" i="7"/>
  <c r="BM85" i="7"/>
  <c r="DB85" i="7"/>
  <c r="BL85" i="7"/>
  <c r="CV85" i="7"/>
  <c r="BH85" i="7"/>
  <c r="EQ85" i="7"/>
  <c r="CU85" i="7"/>
  <c r="DD85" i="7"/>
  <c r="BN85" i="7"/>
  <c r="BR85" i="7" s="1"/>
  <c r="EV85" i="7"/>
  <c r="CY85" i="7"/>
  <c r="ET85" i="7"/>
  <c r="BJ85" i="7"/>
  <c r="BI85" i="7"/>
  <c r="BG85" i="7"/>
  <c r="EP85" i="7"/>
  <c r="EU85" i="7"/>
  <c r="BK85" i="7"/>
  <c r="CX85" i="7"/>
  <c r="ES85" i="7"/>
  <c r="CW85" i="7"/>
  <c r="ER85" i="7"/>
  <c r="DF85" i="7"/>
  <c r="BF85" i="7"/>
  <c r="BE85" i="7"/>
  <c r="EO85" i="7"/>
  <c r="BP85" i="7"/>
  <c r="EN85" i="7"/>
  <c r="CT109" i="7"/>
  <c r="BT109" i="7"/>
  <c r="BZ109" i="7"/>
  <c r="BS109" i="7"/>
  <c r="CD109" i="7"/>
  <c r="CC109" i="7"/>
  <c r="CB109" i="7"/>
  <c r="CA109" i="7"/>
  <c r="BX109" i="7"/>
  <c r="BU109" i="7"/>
  <c r="BY109" i="7"/>
  <c r="BW109" i="7"/>
  <c r="BV109" i="7"/>
  <c r="EM109" i="7"/>
  <c r="DA109" i="7"/>
  <c r="EL109" i="7"/>
  <c r="CZ109" i="7"/>
  <c r="EQ109" i="7"/>
  <c r="CU109" i="7"/>
  <c r="BO109" i="7"/>
  <c r="EN109" i="7"/>
  <c r="DF109" i="7"/>
  <c r="BL109" i="7"/>
  <c r="DE109" i="7"/>
  <c r="DC109" i="7"/>
  <c r="BH109" i="7"/>
  <c r="EP109" i="7"/>
  <c r="BN109" i="7"/>
  <c r="EO109" i="7"/>
  <c r="BM109" i="7"/>
  <c r="DD109" i="7"/>
  <c r="BI109" i="7"/>
  <c r="EV109" i="7"/>
  <c r="DB109" i="7"/>
  <c r="CY109" i="7"/>
  <c r="BG109" i="7"/>
  <c r="ET109" i="7"/>
  <c r="EK109" i="7"/>
  <c r="BK109" i="7"/>
  <c r="BJ109" i="7"/>
  <c r="EU109" i="7"/>
  <c r="CV109" i="7"/>
  <c r="BF109" i="7"/>
  <c r="CW109" i="7"/>
  <c r="BP109" i="7"/>
  <c r="BE109" i="7"/>
  <c r="ES109" i="7"/>
  <c r="ER109" i="7"/>
  <c r="CX109" i="7"/>
  <c r="CT145" i="7"/>
  <c r="BT145" i="7"/>
  <c r="CC145" i="7"/>
  <c r="CA145" i="7"/>
  <c r="BS145" i="7"/>
  <c r="CD145" i="7"/>
  <c r="CB145" i="7"/>
  <c r="BZ145" i="7"/>
  <c r="BY145" i="7"/>
  <c r="BX145" i="7"/>
  <c r="BW145" i="7"/>
  <c r="BV145" i="7"/>
  <c r="BU145" i="7"/>
  <c r="EM145" i="7"/>
  <c r="DA145" i="7"/>
  <c r="EL145" i="7"/>
  <c r="CZ145" i="7"/>
  <c r="EQ145" i="7"/>
  <c r="CU145" i="7"/>
  <c r="BO145" i="7"/>
  <c r="BM145" i="7"/>
  <c r="EN145" i="7"/>
  <c r="DF145" i="7"/>
  <c r="BL145" i="7"/>
  <c r="DC145" i="7"/>
  <c r="BG145" i="7"/>
  <c r="EP145" i="7"/>
  <c r="BN145" i="7"/>
  <c r="EO145" i="7"/>
  <c r="BK145" i="7"/>
  <c r="BJ145" i="7"/>
  <c r="BI145" i="7"/>
  <c r="EV145" i="7"/>
  <c r="BH145" i="7"/>
  <c r="EU145" i="7"/>
  <c r="CY145" i="7"/>
  <c r="ET145" i="7"/>
  <c r="EK145" i="7"/>
  <c r="DE145" i="7"/>
  <c r="DD145" i="7"/>
  <c r="DB145" i="7"/>
  <c r="CW145" i="7"/>
  <c r="CV145" i="7"/>
  <c r="ES145" i="7"/>
  <c r="ER145" i="7"/>
  <c r="CX145" i="7"/>
  <c r="BP145" i="7"/>
  <c r="BE145" i="7"/>
  <c r="BF145" i="7"/>
  <c r="CT181" i="7"/>
  <c r="BT181" i="7"/>
  <c r="BS181" i="7"/>
  <c r="CD181" i="7"/>
  <c r="CC181" i="7"/>
  <c r="CB181" i="7"/>
  <c r="CA181" i="7"/>
  <c r="BZ181" i="7"/>
  <c r="BY181" i="7"/>
  <c r="BX181" i="7"/>
  <c r="BW181" i="7"/>
  <c r="BV181" i="7"/>
  <c r="BU181" i="7"/>
  <c r="EM181" i="7"/>
  <c r="DA181" i="7"/>
  <c r="BK181" i="7"/>
  <c r="EL181" i="7"/>
  <c r="CZ181" i="7"/>
  <c r="BJ181" i="7"/>
  <c r="DC181" i="7"/>
  <c r="BI181" i="7"/>
  <c r="ET181" i="7"/>
  <c r="CW181" i="7"/>
  <c r="EP181" i="7"/>
  <c r="BP181" i="7"/>
  <c r="BO181" i="7"/>
  <c r="EV181" i="7"/>
  <c r="DB181" i="7"/>
  <c r="BH181" i="7"/>
  <c r="EU181" i="7"/>
  <c r="CY181" i="7"/>
  <c r="BG181" i="7"/>
  <c r="CX181" i="7"/>
  <c r="BF181" i="7"/>
  <c r="ES181" i="7"/>
  <c r="BE181" i="7"/>
  <c r="CV181" i="7"/>
  <c r="EO181" i="7"/>
  <c r="EN181" i="7"/>
  <c r="ER181" i="7"/>
  <c r="EQ181" i="7"/>
  <c r="CU181" i="7"/>
  <c r="DD181" i="7"/>
  <c r="BL181" i="7"/>
  <c r="EK181" i="7"/>
  <c r="DF181" i="7"/>
  <c r="BN181" i="7"/>
  <c r="DE181" i="7"/>
  <c r="BM181" i="7"/>
  <c r="CT86" i="7"/>
  <c r="BT86" i="7"/>
  <c r="CD86" i="7"/>
  <c r="BZ86" i="7"/>
  <c r="BS86" i="7"/>
  <c r="CC86" i="7"/>
  <c r="CB86" i="7"/>
  <c r="CA86" i="7"/>
  <c r="BW86" i="7"/>
  <c r="BY86" i="7"/>
  <c r="BX86" i="7"/>
  <c r="BV86" i="7"/>
  <c r="BU86" i="7"/>
  <c r="EM86" i="7"/>
  <c r="DA86" i="7"/>
  <c r="EL86" i="7"/>
  <c r="CZ86" i="7"/>
  <c r="EO86" i="7"/>
  <c r="BO86" i="7"/>
  <c r="DD86" i="7"/>
  <c r="DC86" i="7"/>
  <c r="EV86" i="7"/>
  <c r="CY86" i="7"/>
  <c r="BI86" i="7"/>
  <c r="BG86" i="7"/>
  <c r="ER86" i="7"/>
  <c r="EN86" i="7"/>
  <c r="DF86" i="7"/>
  <c r="BN86" i="7"/>
  <c r="BR86" i="7" s="1"/>
  <c r="EK86" i="7"/>
  <c r="DE86" i="7"/>
  <c r="BM86" i="7"/>
  <c r="BK86" i="7"/>
  <c r="DB86" i="7"/>
  <c r="EU86" i="7"/>
  <c r="ET86" i="7"/>
  <c r="CX86" i="7"/>
  <c r="BH86" i="7"/>
  <c r="ES86" i="7"/>
  <c r="CW86" i="7"/>
  <c r="BL86" i="7"/>
  <c r="BJ86" i="7"/>
  <c r="BP86" i="7"/>
  <c r="BF86" i="7"/>
  <c r="EQ86" i="7"/>
  <c r="EP86" i="7"/>
  <c r="BE86" i="7"/>
  <c r="CV86" i="7"/>
  <c r="CU86" i="7"/>
  <c r="CT110" i="7"/>
  <c r="BT110" i="7"/>
  <c r="CD110" i="7"/>
  <c r="CC110" i="7"/>
  <c r="CB110" i="7"/>
  <c r="BS110" i="7"/>
  <c r="CA110" i="7"/>
  <c r="BZ110" i="7"/>
  <c r="BU110" i="7"/>
  <c r="BY110" i="7"/>
  <c r="BX110" i="7"/>
  <c r="BW110" i="7"/>
  <c r="BV110" i="7"/>
  <c r="EM110" i="7"/>
  <c r="DA110" i="7"/>
  <c r="EL110" i="7"/>
  <c r="CZ110" i="7"/>
  <c r="ES110" i="7"/>
  <c r="CW110" i="7"/>
  <c r="BO110" i="7"/>
  <c r="EQ110" i="7"/>
  <c r="BM110" i="7"/>
  <c r="EO110" i="7"/>
  <c r="EN110" i="7"/>
  <c r="BJ110" i="7"/>
  <c r="BI110" i="7"/>
  <c r="DC110" i="7"/>
  <c r="BG110" i="7"/>
  <c r="ER110" i="7"/>
  <c r="CV110" i="7"/>
  <c r="BN110" i="7"/>
  <c r="BR110" i="7" s="1"/>
  <c r="CU110" i="7"/>
  <c r="EP110" i="7"/>
  <c r="BL110" i="7"/>
  <c r="BK110" i="7"/>
  <c r="DF110" i="7"/>
  <c r="BH110" i="7"/>
  <c r="EV110" i="7"/>
  <c r="EK110" i="7"/>
  <c r="DE110" i="7"/>
  <c r="DD110" i="7"/>
  <c r="BP110" i="7"/>
  <c r="EU110" i="7"/>
  <c r="DB110" i="7"/>
  <c r="BF110" i="7"/>
  <c r="CY110" i="7"/>
  <c r="CX110" i="7"/>
  <c r="BE110" i="7"/>
  <c r="ET110" i="7"/>
  <c r="CT16" i="7"/>
  <c r="EJ16" i="7" s="1"/>
  <c r="EM16" i="7"/>
  <c r="EM16" i="4" s="1"/>
  <c r="DA16" i="7"/>
  <c r="DA16" i="4" s="1"/>
  <c r="EL16" i="7"/>
  <c r="EL16" i="4" s="1"/>
  <c r="CZ16" i="7"/>
  <c r="CZ16" i="4" s="1"/>
  <c r="ES16" i="7"/>
  <c r="ES16" i="4" s="1"/>
  <c r="CW16" i="7"/>
  <c r="CW16" i="4" s="1"/>
  <c r="BO16" i="7"/>
  <c r="EP16" i="7"/>
  <c r="EP16" i="4" s="1"/>
  <c r="EN16" i="7"/>
  <c r="EN16" i="4" s="1"/>
  <c r="DE16" i="7"/>
  <c r="DE16" i="4" s="1"/>
  <c r="BI16" i="7"/>
  <c r="DC16" i="7"/>
  <c r="DC16" i="4" s="1"/>
  <c r="EV16" i="7"/>
  <c r="EV16" i="4" s="1"/>
  <c r="ER16" i="7"/>
  <c r="ER16" i="4" s="1"/>
  <c r="CV16" i="7"/>
  <c r="CV16" i="4" s="1"/>
  <c r="BN16" i="7"/>
  <c r="EQ16" i="7"/>
  <c r="EQ16" i="4" s="1"/>
  <c r="CU16" i="7"/>
  <c r="BM16" i="7"/>
  <c r="EO16" i="7"/>
  <c r="EO16" i="4" s="1"/>
  <c r="BK16" i="7"/>
  <c r="DF16" i="7"/>
  <c r="DF16" i="4" s="1"/>
  <c r="BJ16" i="7"/>
  <c r="EK16" i="7"/>
  <c r="BG16" i="7"/>
  <c r="BL16" i="7"/>
  <c r="DD16" i="7"/>
  <c r="DD16" i="4" s="1"/>
  <c r="BH16" i="7"/>
  <c r="BP16" i="7"/>
  <c r="DB16" i="7"/>
  <c r="DB16" i="4" s="1"/>
  <c r="BF16" i="7"/>
  <c r="CX16" i="7"/>
  <c r="CX16" i="4" s="1"/>
  <c r="EU16" i="7"/>
  <c r="EU16" i="4" s="1"/>
  <c r="CY16" i="7"/>
  <c r="CY16" i="4" s="1"/>
  <c r="BE16" i="7"/>
  <c r="ET16" i="7"/>
  <c r="ET16" i="4" s="1"/>
  <c r="CT88" i="7"/>
  <c r="EJ88" i="7" s="1"/>
  <c r="EM88" i="7"/>
  <c r="DA88" i="7"/>
  <c r="EL88" i="7"/>
  <c r="CZ88" i="7"/>
  <c r="EQ88" i="7"/>
  <c r="CU88" i="7"/>
  <c r="BO88" i="7"/>
  <c r="EO88" i="7"/>
  <c r="BM88" i="7"/>
  <c r="EN88" i="7"/>
  <c r="EK88" i="7"/>
  <c r="BK88" i="7"/>
  <c r="EV88" i="7"/>
  <c r="DB88" i="7"/>
  <c r="BH88" i="7"/>
  <c r="EU88" i="7"/>
  <c r="CY88" i="7"/>
  <c r="EP88" i="7"/>
  <c r="BN88" i="7"/>
  <c r="DF88" i="7"/>
  <c r="BL88" i="7"/>
  <c r="DE88" i="7"/>
  <c r="BJ88" i="7"/>
  <c r="DC88" i="7"/>
  <c r="BI88" i="7"/>
  <c r="ET88" i="7"/>
  <c r="DD88" i="7"/>
  <c r="BG88" i="7"/>
  <c r="CW88" i="7"/>
  <c r="BP88" i="7"/>
  <c r="CX88" i="7"/>
  <c r="CV88" i="7"/>
  <c r="BE88" i="7"/>
  <c r="ES88" i="7"/>
  <c r="ER88" i="7"/>
  <c r="BF88" i="7"/>
  <c r="CT208" i="7"/>
  <c r="BT208" i="7"/>
  <c r="BS208" i="7"/>
  <c r="CD208" i="7"/>
  <c r="CC208" i="7"/>
  <c r="CB208" i="7"/>
  <c r="CA208" i="7"/>
  <c r="BZ208" i="7"/>
  <c r="BV208" i="7"/>
  <c r="BU208" i="7"/>
  <c r="BY208" i="7"/>
  <c r="BX208" i="7"/>
  <c r="BW208" i="7"/>
  <c r="EM208" i="7"/>
  <c r="DA208" i="7"/>
  <c r="BK208" i="7"/>
  <c r="EL208" i="7"/>
  <c r="CZ208" i="7"/>
  <c r="BJ208" i="7"/>
  <c r="EU208" i="7"/>
  <c r="CY208" i="7"/>
  <c r="BG208" i="7"/>
  <c r="BE208" i="7"/>
  <c r="CV208" i="7"/>
  <c r="EP208" i="7"/>
  <c r="EO208" i="7"/>
  <c r="EK208" i="7"/>
  <c r="DE208" i="7"/>
  <c r="ET208" i="7"/>
  <c r="CX208" i="7"/>
  <c r="BF208" i="7"/>
  <c r="ES208" i="7"/>
  <c r="CW208" i="7"/>
  <c r="ER208" i="7"/>
  <c r="CU208" i="7"/>
  <c r="BP208" i="7"/>
  <c r="BO208" i="7"/>
  <c r="EN208" i="7"/>
  <c r="BM208" i="7"/>
  <c r="EQ208" i="7"/>
  <c r="DF208" i="7"/>
  <c r="BN208" i="7"/>
  <c r="BR208" i="7" s="1"/>
  <c r="DD208" i="7"/>
  <c r="BL208" i="7"/>
  <c r="BH208" i="7"/>
  <c r="DC208" i="7"/>
  <c r="BI208" i="7"/>
  <c r="DB208" i="7"/>
  <c r="EV208" i="7"/>
  <c r="CT41" i="7"/>
  <c r="BT41" i="7"/>
  <c r="BZ41" i="7"/>
  <c r="BS41" i="7"/>
  <c r="CD41" i="7"/>
  <c r="CC41" i="7"/>
  <c r="CB41" i="7"/>
  <c r="CA41" i="7"/>
  <c r="BX41" i="7"/>
  <c r="BW41" i="7"/>
  <c r="BU41" i="7"/>
  <c r="BY41" i="7"/>
  <c r="BV41" i="7"/>
  <c r="EM41" i="7"/>
  <c r="EM41" i="4" s="1"/>
  <c r="DA41" i="7"/>
  <c r="DA41" i="4" s="1"/>
  <c r="EL41" i="7"/>
  <c r="EL41" i="4" s="1"/>
  <c r="CZ41" i="7"/>
  <c r="CZ41" i="4" s="1"/>
  <c r="EK41" i="7"/>
  <c r="DE41" i="7"/>
  <c r="DE41" i="4" s="1"/>
  <c r="BO41" i="7"/>
  <c r="BM41" i="7"/>
  <c r="ET41" i="7"/>
  <c r="ET41" i="4" s="1"/>
  <c r="CV41" i="7"/>
  <c r="CV41" i="4" s="1"/>
  <c r="EQ41" i="7"/>
  <c r="EQ41" i="4" s="1"/>
  <c r="BG41" i="7"/>
  <c r="DD41" i="7"/>
  <c r="BN41" i="7"/>
  <c r="DC41" i="7"/>
  <c r="DB41" i="7"/>
  <c r="DB41" i="4" s="1"/>
  <c r="BL41" i="7"/>
  <c r="EU41" i="7"/>
  <c r="EU41" i="4" s="1"/>
  <c r="CY41" i="7"/>
  <c r="CY41" i="4" s="1"/>
  <c r="BJ41" i="7"/>
  <c r="ES41" i="7"/>
  <c r="CW41" i="7"/>
  <c r="CW41" i="4" s="1"/>
  <c r="BI41" i="7"/>
  <c r="ER41" i="7"/>
  <c r="ER41" i="4" s="1"/>
  <c r="BH41" i="7"/>
  <c r="CU41" i="7"/>
  <c r="EP41" i="7"/>
  <c r="EP41" i="4" s="1"/>
  <c r="EV41" i="7"/>
  <c r="EV41" i="4" s="1"/>
  <c r="BK41" i="7"/>
  <c r="CX41" i="7"/>
  <c r="CX41" i="4" s="1"/>
  <c r="DF41" i="7"/>
  <c r="DF41" i="4" s="1"/>
  <c r="BP41" i="7"/>
  <c r="BE41" i="7"/>
  <c r="BF41" i="7"/>
  <c r="EO41" i="7"/>
  <c r="EO41" i="4" s="1"/>
  <c r="EN41" i="7"/>
  <c r="EN41" i="4" s="1"/>
  <c r="CT65" i="7"/>
  <c r="EJ65" i="7" s="1"/>
  <c r="EM65" i="7"/>
  <c r="EM65" i="4" s="1"/>
  <c r="DA65" i="7"/>
  <c r="DA65" i="4" s="1"/>
  <c r="EL65" i="7"/>
  <c r="EL65" i="4" s="1"/>
  <c r="CZ65" i="7"/>
  <c r="CZ65" i="4" s="1"/>
  <c r="DC65" i="7"/>
  <c r="BO65" i="7"/>
  <c r="EU65" i="7"/>
  <c r="EU65" i="4" s="1"/>
  <c r="BM65" i="7"/>
  <c r="ET65" i="7"/>
  <c r="ET65" i="4" s="1"/>
  <c r="CX65" i="7"/>
  <c r="CX65" i="4" s="1"/>
  <c r="BL65" i="7"/>
  <c r="CW65" i="7"/>
  <c r="CW65" i="4" s="1"/>
  <c r="ER65" i="7"/>
  <c r="ER65" i="4" s="1"/>
  <c r="EQ65" i="7"/>
  <c r="EQ65" i="4" s="1"/>
  <c r="CU65" i="7"/>
  <c r="BG65" i="7"/>
  <c r="EV65" i="7"/>
  <c r="EV65" i="4" s="1"/>
  <c r="DB65" i="7"/>
  <c r="DB65" i="4" s="1"/>
  <c r="BN65" i="7"/>
  <c r="BR65" i="7" s="1"/>
  <c r="CY65" i="7"/>
  <c r="CY65" i="4" s="1"/>
  <c r="ES65" i="7"/>
  <c r="BK65" i="7"/>
  <c r="BJ65" i="7"/>
  <c r="BI65" i="7"/>
  <c r="EP65" i="7"/>
  <c r="EP65" i="4" s="1"/>
  <c r="EO65" i="7"/>
  <c r="EO65" i="4" s="1"/>
  <c r="EN65" i="7"/>
  <c r="EN65" i="4" s="1"/>
  <c r="CV65" i="7"/>
  <c r="CV65" i="4" s="1"/>
  <c r="BH65" i="7"/>
  <c r="BP65" i="7"/>
  <c r="DF65" i="7"/>
  <c r="DF65" i="4" s="1"/>
  <c r="DE65" i="7"/>
  <c r="DE65" i="4" s="1"/>
  <c r="DD65" i="7"/>
  <c r="EK65" i="7"/>
  <c r="BF65" i="7"/>
  <c r="BE65" i="7"/>
  <c r="CT77" i="7"/>
  <c r="BT77" i="7"/>
  <c r="BS77" i="7"/>
  <c r="CD77" i="7"/>
  <c r="CC77" i="7"/>
  <c r="CB77" i="7"/>
  <c r="CA77" i="7"/>
  <c r="BZ77" i="7"/>
  <c r="BX77" i="7"/>
  <c r="BY77" i="7"/>
  <c r="BW77" i="7"/>
  <c r="BV77" i="7"/>
  <c r="BU77" i="7"/>
  <c r="EM77" i="7"/>
  <c r="DA77" i="7"/>
  <c r="EL77" i="7"/>
  <c r="CZ77" i="7"/>
  <c r="EU77" i="7"/>
  <c r="CY77" i="7"/>
  <c r="BO77" i="7"/>
  <c r="ES77" i="7"/>
  <c r="ER77" i="7"/>
  <c r="CV77" i="7"/>
  <c r="EQ77" i="7"/>
  <c r="CU77" i="7"/>
  <c r="EO77" i="7"/>
  <c r="BI77" i="7"/>
  <c r="DF77" i="7"/>
  <c r="BG77" i="7"/>
  <c r="ET77" i="7"/>
  <c r="CX77" i="7"/>
  <c r="BN77" i="7"/>
  <c r="BR77" i="7" s="1"/>
  <c r="CW77" i="7"/>
  <c r="BM77" i="7"/>
  <c r="BL77" i="7"/>
  <c r="BK77" i="7"/>
  <c r="EP77" i="7"/>
  <c r="EK77" i="7"/>
  <c r="DE77" i="7"/>
  <c r="BJ77" i="7"/>
  <c r="EN77" i="7"/>
  <c r="BH77" i="7"/>
  <c r="DD77" i="7"/>
  <c r="BP77" i="7"/>
  <c r="BE77" i="7"/>
  <c r="EV77" i="7"/>
  <c r="BF77" i="7"/>
  <c r="DC77" i="7"/>
  <c r="DB77" i="7"/>
  <c r="CT89" i="7"/>
  <c r="EJ89" i="7" s="1"/>
  <c r="EM89" i="7"/>
  <c r="EM89" i="4" s="1"/>
  <c r="DA89" i="7"/>
  <c r="DA89" i="4" s="1"/>
  <c r="EL89" i="7"/>
  <c r="EL89" i="4" s="1"/>
  <c r="CZ89" i="7"/>
  <c r="CZ89" i="4" s="1"/>
  <c r="ES89" i="7"/>
  <c r="CW89" i="7"/>
  <c r="CW89" i="4" s="1"/>
  <c r="BO89" i="7"/>
  <c r="CU89" i="7"/>
  <c r="BL89" i="7"/>
  <c r="EK89" i="7"/>
  <c r="BI89" i="7"/>
  <c r="EV89" i="7"/>
  <c r="EV89" i="4" s="1"/>
  <c r="ER89" i="7"/>
  <c r="ER89" i="4" s="1"/>
  <c r="CV89" i="7"/>
  <c r="CV89" i="4" s="1"/>
  <c r="BN89" i="7"/>
  <c r="BR89" i="7" s="1"/>
  <c r="EQ89" i="7"/>
  <c r="EQ89" i="4" s="1"/>
  <c r="BM89" i="7"/>
  <c r="EP89" i="7"/>
  <c r="EP89" i="4" s="1"/>
  <c r="EO89" i="7"/>
  <c r="EO89" i="4" s="1"/>
  <c r="EN89" i="7"/>
  <c r="EN89" i="4" s="1"/>
  <c r="DF89" i="7"/>
  <c r="DF89" i="4" s="1"/>
  <c r="BH89" i="7"/>
  <c r="DC89" i="7"/>
  <c r="BG89" i="7"/>
  <c r="BK89" i="7"/>
  <c r="BJ89" i="7"/>
  <c r="DE89" i="7"/>
  <c r="DE89" i="4" s="1"/>
  <c r="DD89" i="7"/>
  <c r="EU89" i="7"/>
  <c r="EU89" i="4" s="1"/>
  <c r="ET89" i="7"/>
  <c r="ET89" i="4" s="1"/>
  <c r="CY89" i="7"/>
  <c r="CY89" i="4" s="1"/>
  <c r="CX89" i="7"/>
  <c r="CX89" i="4" s="1"/>
  <c r="BP89" i="7"/>
  <c r="DB89" i="7"/>
  <c r="DB89" i="4" s="1"/>
  <c r="BF89" i="7"/>
  <c r="BE89" i="7"/>
  <c r="CT101" i="7"/>
  <c r="BT101" i="7"/>
  <c r="BS101" i="7"/>
  <c r="CD101" i="7"/>
  <c r="CC101" i="7"/>
  <c r="CB101" i="7"/>
  <c r="CA101" i="7"/>
  <c r="BZ101" i="7"/>
  <c r="BW101" i="7"/>
  <c r="BY101" i="7"/>
  <c r="BX101" i="7"/>
  <c r="BV101" i="7"/>
  <c r="BU101" i="7"/>
  <c r="EM101" i="7"/>
  <c r="DA101" i="7"/>
  <c r="EL101" i="7"/>
  <c r="CZ101" i="7"/>
  <c r="EQ101" i="7"/>
  <c r="CU101" i="7"/>
  <c r="BO101" i="7"/>
  <c r="EO101" i="7"/>
  <c r="EN101" i="7"/>
  <c r="DF101" i="7"/>
  <c r="DE101" i="7"/>
  <c r="DC101" i="7"/>
  <c r="BH101" i="7"/>
  <c r="EU101" i="7"/>
  <c r="CY101" i="7"/>
  <c r="BG101" i="7"/>
  <c r="EP101" i="7"/>
  <c r="BN101" i="7"/>
  <c r="BR101" i="7" s="1"/>
  <c r="BM101" i="7"/>
  <c r="BL101" i="7"/>
  <c r="BI101" i="7"/>
  <c r="EV101" i="7"/>
  <c r="DB101" i="7"/>
  <c r="ET101" i="7"/>
  <c r="EK101" i="7"/>
  <c r="BK101" i="7"/>
  <c r="DD101" i="7"/>
  <c r="BJ101" i="7"/>
  <c r="CX101" i="7"/>
  <c r="CV101" i="7"/>
  <c r="ES101" i="7"/>
  <c r="ER101" i="7"/>
  <c r="BP101" i="7"/>
  <c r="BE101" i="7"/>
  <c r="CW101" i="7"/>
  <c r="BF101" i="7"/>
  <c r="CT113" i="7"/>
  <c r="BT113" i="7"/>
  <c r="CD113" i="7"/>
  <c r="CA113" i="7"/>
  <c r="BZ113" i="7"/>
  <c r="BS113" i="7"/>
  <c r="CC113" i="7"/>
  <c r="CB113" i="7"/>
  <c r="BY113" i="7"/>
  <c r="BX113" i="7"/>
  <c r="BW113" i="7"/>
  <c r="BV113" i="7"/>
  <c r="BU113" i="7"/>
  <c r="EM113" i="7"/>
  <c r="DA113" i="7"/>
  <c r="EL113" i="7"/>
  <c r="CZ113" i="7"/>
  <c r="EK113" i="7"/>
  <c r="DE113" i="7"/>
  <c r="BO113" i="7"/>
  <c r="EV113" i="7"/>
  <c r="EU113" i="7"/>
  <c r="CY113" i="7"/>
  <c r="ET113" i="7"/>
  <c r="EQ113" i="7"/>
  <c r="CU113" i="7"/>
  <c r="DD113" i="7"/>
  <c r="BN113" i="7"/>
  <c r="BR113" i="7" s="1"/>
  <c r="DC113" i="7"/>
  <c r="BM113" i="7"/>
  <c r="DB113" i="7"/>
  <c r="BK113" i="7"/>
  <c r="CX113" i="7"/>
  <c r="ES113" i="7"/>
  <c r="BI113" i="7"/>
  <c r="ER113" i="7"/>
  <c r="CV113" i="7"/>
  <c r="BH113" i="7"/>
  <c r="BG113" i="7"/>
  <c r="EP113" i="7"/>
  <c r="BL113" i="7"/>
  <c r="BJ113" i="7"/>
  <c r="CW113" i="7"/>
  <c r="DF113" i="7"/>
  <c r="EN113" i="7"/>
  <c r="BP113" i="7"/>
  <c r="BF113" i="7"/>
  <c r="EO113" i="7"/>
  <c r="BE113" i="7"/>
  <c r="CT125" i="7"/>
  <c r="BT125" i="7"/>
  <c r="CD125" i="7"/>
  <c r="CC125" i="7"/>
  <c r="CA125" i="7"/>
  <c r="BZ125" i="7"/>
  <c r="BS125" i="7"/>
  <c r="CB125" i="7"/>
  <c r="BU125" i="7"/>
  <c r="BX125" i="7"/>
  <c r="BY125" i="7"/>
  <c r="BW125" i="7"/>
  <c r="BV125" i="7"/>
  <c r="EM125" i="7"/>
  <c r="DA125" i="7"/>
  <c r="EL125" i="7"/>
  <c r="CZ125" i="7"/>
  <c r="ES125" i="7"/>
  <c r="CW125" i="7"/>
  <c r="BO125" i="7"/>
  <c r="EQ125" i="7"/>
  <c r="CU125" i="7"/>
  <c r="EP125" i="7"/>
  <c r="BL125" i="7"/>
  <c r="EK125" i="7"/>
  <c r="BH125" i="7"/>
  <c r="ER125" i="7"/>
  <c r="CV125" i="7"/>
  <c r="BN125" i="7"/>
  <c r="BR125" i="7" s="1"/>
  <c r="BM125" i="7"/>
  <c r="BJ125" i="7"/>
  <c r="BI125" i="7"/>
  <c r="DC125" i="7"/>
  <c r="EV125" i="7"/>
  <c r="EO125" i="7"/>
  <c r="BK125" i="7"/>
  <c r="EN125" i="7"/>
  <c r="DF125" i="7"/>
  <c r="DE125" i="7"/>
  <c r="DD125" i="7"/>
  <c r="BG125" i="7"/>
  <c r="BP125" i="7"/>
  <c r="ET125" i="7"/>
  <c r="DB125" i="7"/>
  <c r="BF125" i="7"/>
  <c r="CX125" i="7"/>
  <c r="EU125" i="7"/>
  <c r="CY125" i="7"/>
  <c r="BE125" i="7"/>
  <c r="CT137" i="7"/>
  <c r="BT137" i="7"/>
  <c r="CC137" i="7"/>
  <c r="CB137" i="7"/>
  <c r="BZ137" i="7"/>
  <c r="BS137" i="7"/>
  <c r="CD137" i="7"/>
  <c r="CA137" i="7"/>
  <c r="BU137" i="7"/>
  <c r="BY137" i="7"/>
  <c r="BX137" i="7"/>
  <c r="BW137" i="7"/>
  <c r="BV137" i="7"/>
  <c r="EM137" i="7"/>
  <c r="DA137" i="7"/>
  <c r="EL137" i="7"/>
  <c r="CZ137" i="7"/>
  <c r="EO137" i="7"/>
  <c r="BO137" i="7"/>
  <c r="EK137" i="7"/>
  <c r="DE137" i="7"/>
  <c r="BM137" i="7"/>
  <c r="BL137" i="7"/>
  <c r="DC137" i="7"/>
  <c r="BK137" i="7"/>
  <c r="EV137" i="7"/>
  <c r="BJ137" i="7"/>
  <c r="CY137" i="7"/>
  <c r="BI137" i="7"/>
  <c r="ET137" i="7"/>
  <c r="EN137" i="7"/>
  <c r="DF137" i="7"/>
  <c r="BN137" i="7"/>
  <c r="DD137" i="7"/>
  <c r="EU137" i="7"/>
  <c r="BH137" i="7"/>
  <c r="ES137" i="7"/>
  <c r="CW137" i="7"/>
  <c r="ER137" i="7"/>
  <c r="DB137" i="7"/>
  <c r="CX137" i="7"/>
  <c r="BG137" i="7"/>
  <c r="CV137" i="7"/>
  <c r="BP137" i="7"/>
  <c r="BF137" i="7"/>
  <c r="CU137" i="7"/>
  <c r="EQ137" i="7"/>
  <c r="EP137" i="7"/>
  <c r="BE137" i="7"/>
  <c r="CT149" i="7"/>
  <c r="BT149" i="7"/>
  <c r="CD149" i="7"/>
  <c r="CC149" i="7"/>
  <c r="BZ149" i="7"/>
  <c r="BS149" i="7"/>
  <c r="CB149" i="7"/>
  <c r="CA149" i="7"/>
  <c r="BX149" i="7"/>
  <c r="BY149" i="7"/>
  <c r="BW149" i="7"/>
  <c r="BV149" i="7"/>
  <c r="BU149" i="7"/>
  <c r="EM149" i="7"/>
  <c r="DA149" i="7"/>
  <c r="EL149" i="7"/>
  <c r="CZ149" i="7"/>
  <c r="DC149" i="7"/>
  <c r="BO149" i="7"/>
  <c r="EU149" i="7"/>
  <c r="CY149" i="7"/>
  <c r="CX149" i="7"/>
  <c r="CW149" i="7"/>
  <c r="BI149" i="7"/>
  <c r="EV149" i="7"/>
  <c r="DB149" i="7"/>
  <c r="BN149" i="7"/>
  <c r="BR149" i="7" s="1"/>
  <c r="BM149" i="7"/>
  <c r="ET149" i="7"/>
  <c r="BL149" i="7"/>
  <c r="ER149" i="7"/>
  <c r="CV149" i="7"/>
  <c r="BJ149" i="7"/>
  <c r="BH149" i="7"/>
  <c r="EO149" i="7"/>
  <c r="BG149" i="7"/>
  <c r="EN149" i="7"/>
  <c r="ES149" i="7"/>
  <c r="BK149" i="7"/>
  <c r="EQ149" i="7"/>
  <c r="CU149" i="7"/>
  <c r="EP149" i="7"/>
  <c r="DD149" i="7"/>
  <c r="BP149" i="7"/>
  <c r="DF149" i="7"/>
  <c r="BF149" i="7"/>
  <c r="EK149" i="7"/>
  <c r="BE149" i="7"/>
  <c r="DE149" i="7"/>
  <c r="CT161" i="7"/>
  <c r="BT161" i="7"/>
  <c r="CD161" i="7"/>
  <c r="CC161" i="7"/>
  <c r="CB161" i="7"/>
  <c r="BZ161" i="7"/>
  <c r="BS161" i="7"/>
  <c r="CA161" i="7"/>
  <c r="BY161" i="7"/>
  <c r="BX161" i="7"/>
  <c r="BW161" i="7"/>
  <c r="BV161" i="7"/>
  <c r="BU161" i="7"/>
  <c r="EM161" i="7"/>
  <c r="DA161" i="7"/>
  <c r="BK161" i="7"/>
  <c r="EL161" i="7"/>
  <c r="CZ161" i="7"/>
  <c r="BJ161" i="7"/>
  <c r="EO161" i="7"/>
  <c r="BO161" i="7"/>
  <c r="EK161" i="7"/>
  <c r="DD161" i="7"/>
  <c r="BI161" i="7"/>
  <c r="EV161" i="7"/>
  <c r="DB161" i="7"/>
  <c r="EU161" i="7"/>
  <c r="CY161" i="7"/>
  <c r="BG161" i="7"/>
  <c r="ES161" i="7"/>
  <c r="CW161" i="7"/>
  <c r="EN161" i="7"/>
  <c r="DF161" i="7"/>
  <c r="BN161" i="7"/>
  <c r="BR161" i="7" s="1"/>
  <c r="DE161" i="7"/>
  <c r="BM161" i="7"/>
  <c r="BL161" i="7"/>
  <c r="DC161" i="7"/>
  <c r="BH161" i="7"/>
  <c r="BE161" i="7"/>
  <c r="ER161" i="7"/>
  <c r="ET161" i="7"/>
  <c r="CX161" i="7"/>
  <c r="BF161" i="7"/>
  <c r="EQ161" i="7"/>
  <c r="CU161" i="7"/>
  <c r="EP161" i="7"/>
  <c r="BP161" i="7"/>
  <c r="CV161" i="7"/>
  <c r="CT173" i="7"/>
  <c r="BT173" i="7"/>
  <c r="CC173" i="7"/>
  <c r="CB173" i="7"/>
  <c r="CA173" i="7"/>
  <c r="BS173" i="7"/>
  <c r="CD173" i="7"/>
  <c r="BZ173" i="7"/>
  <c r="BX173" i="7"/>
  <c r="BY173" i="7"/>
  <c r="BW173" i="7"/>
  <c r="BV173" i="7"/>
  <c r="BU173" i="7"/>
  <c r="EM173" i="7"/>
  <c r="DA173" i="7"/>
  <c r="BK173" i="7"/>
  <c r="EL173" i="7"/>
  <c r="CZ173" i="7"/>
  <c r="BJ173" i="7"/>
  <c r="EU173" i="7"/>
  <c r="CY173" i="7"/>
  <c r="BG173" i="7"/>
  <c r="BE173" i="7"/>
  <c r="ER173" i="7"/>
  <c r="CV173" i="7"/>
  <c r="BO173" i="7"/>
  <c r="EN173" i="7"/>
  <c r="DF173" i="7"/>
  <c r="BN173" i="7"/>
  <c r="BR173" i="7" s="1"/>
  <c r="BM173" i="7"/>
  <c r="ET173" i="7"/>
  <c r="CX173" i="7"/>
  <c r="BF173" i="7"/>
  <c r="ES173" i="7"/>
  <c r="BP173" i="7"/>
  <c r="EK173" i="7"/>
  <c r="DE173" i="7"/>
  <c r="CW173" i="7"/>
  <c r="EQ173" i="7"/>
  <c r="CU173" i="7"/>
  <c r="EP173" i="7"/>
  <c r="EO173" i="7"/>
  <c r="DD173" i="7"/>
  <c r="DB173" i="7"/>
  <c r="EV173" i="7"/>
  <c r="BL173" i="7"/>
  <c r="DC173" i="7"/>
  <c r="BI173" i="7"/>
  <c r="BH173" i="7"/>
  <c r="CT185" i="7"/>
  <c r="BT185" i="7"/>
  <c r="CC185" i="7"/>
  <c r="CA185" i="7"/>
  <c r="BS185" i="7"/>
  <c r="CD185" i="7"/>
  <c r="CB185" i="7"/>
  <c r="BZ185" i="7"/>
  <c r="BY185" i="7"/>
  <c r="BX185" i="7"/>
  <c r="BW185" i="7"/>
  <c r="BV185" i="7"/>
  <c r="BU185" i="7"/>
  <c r="EM185" i="7"/>
  <c r="DA185" i="7"/>
  <c r="BK185" i="7"/>
  <c r="EL185" i="7"/>
  <c r="CZ185" i="7"/>
  <c r="BJ185" i="7"/>
  <c r="EQ185" i="7"/>
  <c r="CU185" i="7"/>
  <c r="BO185" i="7"/>
  <c r="EN185" i="7"/>
  <c r="DF185" i="7"/>
  <c r="BN185" i="7"/>
  <c r="BR185" i="7" s="1"/>
  <c r="DE185" i="7"/>
  <c r="BL185" i="7"/>
  <c r="EV185" i="7"/>
  <c r="EU185" i="7"/>
  <c r="BG185" i="7"/>
  <c r="EP185" i="7"/>
  <c r="BP185" i="7"/>
  <c r="EO185" i="7"/>
  <c r="DD185" i="7"/>
  <c r="BI185" i="7"/>
  <c r="DB185" i="7"/>
  <c r="BH185" i="7"/>
  <c r="CY185" i="7"/>
  <c r="ET185" i="7"/>
  <c r="EK185" i="7"/>
  <c r="BM185" i="7"/>
  <c r="DC185" i="7"/>
  <c r="CX185" i="7"/>
  <c r="ES185" i="7"/>
  <c r="BF185" i="7"/>
  <c r="ER185" i="7"/>
  <c r="CW185" i="7"/>
  <c r="BE185" i="7"/>
  <c r="CV185" i="7"/>
  <c r="CT197" i="7"/>
  <c r="BT197" i="7"/>
  <c r="CD197" i="7"/>
  <c r="CC197" i="7"/>
  <c r="BS197" i="7"/>
  <c r="CB197" i="7"/>
  <c r="CA197" i="7"/>
  <c r="BZ197" i="7"/>
  <c r="BX197" i="7"/>
  <c r="BW197" i="7"/>
  <c r="BV197" i="7"/>
  <c r="BU197" i="7"/>
  <c r="BY197" i="7"/>
  <c r="EM197" i="7"/>
  <c r="DA197" i="7"/>
  <c r="BK197" i="7"/>
  <c r="EL197" i="7"/>
  <c r="CZ197" i="7"/>
  <c r="BJ197" i="7"/>
  <c r="EK197" i="7"/>
  <c r="DE197" i="7"/>
  <c r="BM197" i="7"/>
  <c r="BI197" i="7"/>
  <c r="BF197" i="7"/>
  <c r="CW197" i="7"/>
  <c r="BE197" i="7"/>
  <c r="ER197" i="7"/>
  <c r="EQ197" i="7"/>
  <c r="DD197" i="7"/>
  <c r="BL197" i="7"/>
  <c r="DC197" i="7"/>
  <c r="EV197" i="7"/>
  <c r="DB197" i="7"/>
  <c r="BH197" i="7"/>
  <c r="CY197" i="7"/>
  <c r="BG197" i="7"/>
  <c r="ET197" i="7"/>
  <c r="CX197" i="7"/>
  <c r="ES197" i="7"/>
  <c r="CV197" i="7"/>
  <c r="CU197" i="7"/>
  <c r="EU197" i="7"/>
  <c r="EP197" i="7"/>
  <c r="EO197" i="7"/>
  <c r="EN197" i="7"/>
  <c r="BP197" i="7"/>
  <c r="BN197" i="7"/>
  <c r="BR197" i="7" s="1"/>
  <c r="BO197" i="7"/>
  <c r="DF197" i="7"/>
  <c r="CT221" i="7"/>
  <c r="EJ221" i="7" s="1"/>
  <c r="EM221" i="7"/>
  <c r="DA221" i="7"/>
  <c r="BK221" i="7"/>
  <c r="EL221" i="7"/>
  <c r="CZ221" i="7"/>
  <c r="BJ221" i="7"/>
  <c r="EK221" i="7"/>
  <c r="DE221" i="7"/>
  <c r="BM221" i="7"/>
  <c r="BI221" i="7"/>
  <c r="EV221" i="7"/>
  <c r="DB221" i="7"/>
  <c r="ET221" i="7"/>
  <c r="BE221" i="7"/>
  <c r="DD221" i="7"/>
  <c r="DH221" i="7" s="1"/>
  <c r="BL221" i="7"/>
  <c r="DC221" i="7"/>
  <c r="BH221" i="7"/>
  <c r="CY221" i="7"/>
  <c r="ES221" i="7"/>
  <c r="EX221" i="7" s="1"/>
  <c r="ER221" i="7"/>
  <c r="EQ221" i="7"/>
  <c r="CU221" i="7"/>
  <c r="EP221" i="7"/>
  <c r="EU221" i="7"/>
  <c r="BG221" i="7"/>
  <c r="CX221" i="7"/>
  <c r="BF221" i="7"/>
  <c r="CW221" i="7"/>
  <c r="CV221" i="7"/>
  <c r="EO221" i="7"/>
  <c r="DF221" i="7"/>
  <c r="EN221" i="7"/>
  <c r="BP221" i="7"/>
  <c r="BO221" i="7"/>
  <c r="BN221" i="7"/>
  <c r="BR221" i="7" s="1"/>
  <c r="CT130" i="7"/>
  <c r="BT130" i="7"/>
  <c r="CD130" i="7"/>
  <c r="CC130" i="7"/>
  <c r="CB130" i="7"/>
  <c r="CA130" i="7"/>
  <c r="BZ130" i="7"/>
  <c r="BS130" i="7"/>
  <c r="BY130" i="7"/>
  <c r="BU130" i="7"/>
  <c r="BX130" i="7"/>
  <c r="BW130" i="7"/>
  <c r="BV130" i="7"/>
  <c r="EM130" i="7"/>
  <c r="DA130" i="7"/>
  <c r="EL130" i="7"/>
  <c r="CZ130" i="7"/>
  <c r="EO130" i="7"/>
  <c r="BO130" i="7"/>
  <c r="DE130" i="7"/>
  <c r="DC130" i="7"/>
  <c r="BK130" i="7"/>
  <c r="BJ130" i="7"/>
  <c r="CY130" i="7"/>
  <c r="BI130" i="7"/>
  <c r="ET130" i="7"/>
  <c r="ES130" i="7"/>
  <c r="CW130" i="7"/>
  <c r="BG130" i="7"/>
  <c r="EN130" i="7"/>
  <c r="DF130" i="7"/>
  <c r="BN130" i="7"/>
  <c r="BR130" i="7" s="1"/>
  <c r="EK130" i="7"/>
  <c r="BM130" i="7"/>
  <c r="DD130" i="7"/>
  <c r="BL130" i="7"/>
  <c r="EU130" i="7"/>
  <c r="BH130" i="7"/>
  <c r="ER130" i="7"/>
  <c r="EV130" i="7"/>
  <c r="DB130" i="7"/>
  <c r="CX130" i="7"/>
  <c r="BP130" i="7"/>
  <c r="EQ130" i="7"/>
  <c r="BF130" i="7"/>
  <c r="BE130" i="7"/>
  <c r="CV130" i="7"/>
  <c r="EP130" i="7"/>
  <c r="CU130" i="7"/>
  <c r="CT119" i="7"/>
  <c r="BT119" i="7"/>
  <c r="CD119" i="7"/>
  <c r="CC119" i="7"/>
  <c r="BS119" i="7"/>
  <c r="CB119" i="7"/>
  <c r="CA119" i="7"/>
  <c r="BZ119" i="7"/>
  <c r="BW119" i="7"/>
  <c r="BU119" i="7"/>
  <c r="BY119" i="7"/>
  <c r="BX119" i="7"/>
  <c r="BV119" i="7"/>
  <c r="EM119" i="7"/>
  <c r="DA119" i="7"/>
  <c r="EL119" i="7"/>
  <c r="CZ119" i="7"/>
  <c r="ES119" i="7"/>
  <c r="CW119" i="7"/>
  <c r="BO119" i="7"/>
  <c r="CU119" i="7"/>
  <c r="BM119" i="7"/>
  <c r="EP119" i="7"/>
  <c r="EN119" i="7"/>
  <c r="DE119" i="7"/>
  <c r="BI119" i="7"/>
  <c r="BH119" i="7"/>
  <c r="DC119" i="7"/>
  <c r="ER119" i="7"/>
  <c r="CV119" i="7"/>
  <c r="BN119" i="7"/>
  <c r="BR119" i="7" s="1"/>
  <c r="EQ119" i="7"/>
  <c r="BL119" i="7"/>
  <c r="EO119" i="7"/>
  <c r="DF119" i="7"/>
  <c r="DD119" i="7"/>
  <c r="BG119" i="7"/>
  <c r="EV119" i="7"/>
  <c r="BK119" i="7"/>
  <c r="BJ119" i="7"/>
  <c r="EK119" i="7"/>
  <c r="CX119" i="7"/>
  <c r="EU119" i="7"/>
  <c r="BE119" i="7"/>
  <c r="DB119" i="7"/>
  <c r="CY119" i="7"/>
  <c r="BP119" i="7"/>
  <c r="BF119" i="7"/>
  <c r="ET119" i="7"/>
  <c r="CT180" i="7"/>
  <c r="BT180" i="7"/>
  <c r="CD180" i="7"/>
  <c r="CC180" i="7"/>
  <c r="BS180" i="7"/>
  <c r="CB180" i="7"/>
  <c r="CA180" i="7"/>
  <c r="BZ180" i="7"/>
  <c r="BV180" i="7"/>
  <c r="BU180" i="7"/>
  <c r="BY180" i="7"/>
  <c r="BX180" i="7"/>
  <c r="BW180" i="7"/>
  <c r="EM180" i="7"/>
  <c r="DA180" i="7"/>
  <c r="BK180" i="7"/>
  <c r="EL180" i="7"/>
  <c r="CZ180" i="7"/>
  <c r="BJ180" i="7"/>
  <c r="EU180" i="7"/>
  <c r="CY180" i="7"/>
  <c r="BG180" i="7"/>
  <c r="ES180" i="7"/>
  <c r="CW180" i="7"/>
  <c r="BE180" i="7"/>
  <c r="CV180" i="7"/>
  <c r="EP180" i="7"/>
  <c r="BO180" i="7"/>
  <c r="EK180" i="7"/>
  <c r="DE180" i="7"/>
  <c r="ET180" i="7"/>
  <c r="CX180" i="7"/>
  <c r="BF180" i="7"/>
  <c r="ER180" i="7"/>
  <c r="CU180" i="7"/>
  <c r="EO180" i="7"/>
  <c r="DF180" i="7"/>
  <c r="BN180" i="7"/>
  <c r="BM180" i="7"/>
  <c r="EQ180" i="7"/>
  <c r="BP180" i="7"/>
  <c r="EN180" i="7"/>
  <c r="DD180" i="7"/>
  <c r="BL180" i="7"/>
  <c r="DB180" i="7"/>
  <c r="EV180" i="7"/>
  <c r="DC180" i="7"/>
  <c r="BI180" i="7"/>
  <c r="BH180" i="7"/>
  <c r="CT228" i="7"/>
  <c r="CD228" i="7"/>
  <c r="CA228" i="7"/>
  <c r="CC228" i="7"/>
  <c r="CB228" i="7"/>
  <c r="BZ228" i="7"/>
  <c r="BY228" i="7"/>
  <c r="BX228" i="7"/>
  <c r="BW228" i="7"/>
  <c r="BV228" i="7"/>
  <c r="BU228" i="7"/>
  <c r="BT228" i="7"/>
  <c r="BS228" i="7"/>
  <c r="EM228" i="7"/>
  <c r="DA228" i="7"/>
  <c r="BK228" i="7"/>
  <c r="EL228" i="7"/>
  <c r="CZ228" i="7"/>
  <c r="BJ228" i="7"/>
  <c r="DC228" i="7"/>
  <c r="BI228" i="7"/>
  <c r="BG228" i="7"/>
  <c r="ET228" i="7"/>
  <c r="BF228" i="7"/>
  <c r="CW228" i="7"/>
  <c r="ER228" i="7"/>
  <c r="CV228" i="7"/>
  <c r="EV228" i="7"/>
  <c r="DB228" i="7"/>
  <c r="BH228" i="7"/>
  <c r="EU228" i="7"/>
  <c r="CY228" i="7"/>
  <c r="CX228" i="7"/>
  <c r="EQ228" i="7"/>
  <c r="EP228" i="7"/>
  <c r="EO228" i="7"/>
  <c r="BO228" i="7"/>
  <c r="EN228" i="7"/>
  <c r="ES228" i="7"/>
  <c r="EX228" i="7" s="1"/>
  <c r="BE228" i="7"/>
  <c r="CU228" i="7"/>
  <c r="BP228" i="7"/>
  <c r="BN228" i="7"/>
  <c r="BR228" i="7" s="1"/>
  <c r="DE228" i="7"/>
  <c r="BM228" i="7"/>
  <c r="BL228" i="7"/>
  <c r="EK228" i="7"/>
  <c r="DF228" i="7"/>
  <c r="DD228" i="7"/>
  <c r="CT25" i="7"/>
  <c r="EJ25" i="7" s="1"/>
  <c r="EM25" i="7"/>
  <c r="EM25" i="4" s="1"/>
  <c r="DA25" i="7"/>
  <c r="DA25" i="4" s="1"/>
  <c r="EL25" i="7"/>
  <c r="EL25" i="4" s="1"/>
  <c r="CZ25" i="7"/>
  <c r="CZ25" i="4" s="1"/>
  <c r="EQ25" i="7"/>
  <c r="EQ25" i="4" s="1"/>
  <c r="CU25" i="7"/>
  <c r="BO25" i="7"/>
  <c r="BM25" i="7"/>
  <c r="EN25" i="7"/>
  <c r="EN25" i="4" s="1"/>
  <c r="BL25" i="7"/>
  <c r="DE25" i="7"/>
  <c r="DE25" i="4" s="1"/>
  <c r="BK25" i="7"/>
  <c r="DC25" i="7"/>
  <c r="DC25" i="4" s="1"/>
  <c r="BI25" i="7"/>
  <c r="DB25" i="7"/>
  <c r="DB25" i="4" s="1"/>
  <c r="EU25" i="7"/>
  <c r="EU25" i="4" s="1"/>
  <c r="ET25" i="7"/>
  <c r="ET25" i="4" s="1"/>
  <c r="EP25" i="7"/>
  <c r="EP25" i="4" s="1"/>
  <c r="BN25" i="7"/>
  <c r="EO25" i="7"/>
  <c r="EO25" i="4" s="1"/>
  <c r="DF25" i="7"/>
  <c r="DF25" i="4" s="1"/>
  <c r="EK25" i="7"/>
  <c r="DD25" i="7"/>
  <c r="DD25" i="4" s="1"/>
  <c r="BJ25" i="7"/>
  <c r="EV25" i="7"/>
  <c r="EV25" i="4" s="1"/>
  <c r="BH25" i="7"/>
  <c r="CY25" i="7"/>
  <c r="CY25" i="4" s="1"/>
  <c r="BG25" i="7"/>
  <c r="BP25" i="7"/>
  <c r="BE25" i="7"/>
  <c r="CX25" i="7"/>
  <c r="CX25" i="4" s="1"/>
  <c r="ER25" i="7"/>
  <c r="ER25" i="4" s="1"/>
  <c r="BF25" i="7"/>
  <c r="ES25" i="7"/>
  <c r="ES25" i="4" s="1"/>
  <c r="CW25" i="7"/>
  <c r="CW25" i="4" s="1"/>
  <c r="CV25" i="7"/>
  <c r="CV25" i="4" s="1"/>
  <c r="CT244" i="7"/>
  <c r="CD244" i="7"/>
  <c r="CB244" i="7"/>
  <c r="CA244" i="7"/>
  <c r="BY244" i="7"/>
  <c r="CC244" i="7"/>
  <c r="BZ244" i="7"/>
  <c r="BX244" i="7"/>
  <c r="BT244" i="7"/>
  <c r="BW244" i="7"/>
  <c r="BV244" i="7"/>
  <c r="BU244" i="7"/>
  <c r="BS244" i="7"/>
  <c r="EM244" i="7"/>
  <c r="EM244" i="4" s="1"/>
  <c r="DA244" i="7"/>
  <c r="DA244" i="4" s="1"/>
  <c r="BK244" i="7"/>
  <c r="EL244" i="7"/>
  <c r="EL244" i="4" s="1"/>
  <c r="CZ244" i="7"/>
  <c r="CZ244" i="4" s="1"/>
  <c r="BJ244" i="7"/>
  <c r="ES244" i="7"/>
  <c r="CW244" i="7"/>
  <c r="CW244" i="4" s="1"/>
  <c r="BE244" i="7"/>
  <c r="CU244" i="7"/>
  <c r="EO244" i="7"/>
  <c r="EO244" i="4" s="1"/>
  <c r="BN244" i="7"/>
  <c r="DE244" i="7"/>
  <c r="DE244" i="4" s="1"/>
  <c r="DC244" i="7"/>
  <c r="BI244" i="7"/>
  <c r="ER244" i="7"/>
  <c r="ER244" i="4" s="1"/>
  <c r="CV244" i="7"/>
  <c r="CV244" i="4" s="1"/>
  <c r="EQ244" i="7"/>
  <c r="EQ244" i="4" s="1"/>
  <c r="EP244" i="7"/>
  <c r="EP244" i="4" s="1"/>
  <c r="BP244" i="7"/>
  <c r="BO244" i="7"/>
  <c r="DF244" i="7"/>
  <c r="DF244" i="4" s="1"/>
  <c r="EK244" i="7"/>
  <c r="BM244" i="7"/>
  <c r="EV244" i="7"/>
  <c r="EV244" i="4" s="1"/>
  <c r="EN244" i="7"/>
  <c r="EN244" i="4" s="1"/>
  <c r="DD244" i="7"/>
  <c r="BL244" i="7"/>
  <c r="ET244" i="7"/>
  <c r="ET244" i="4" s="1"/>
  <c r="DB244" i="7"/>
  <c r="DB244" i="4" s="1"/>
  <c r="CX244" i="7"/>
  <c r="CX244" i="4" s="1"/>
  <c r="BF244" i="7"/>
  <c r="EU244" i="7"/>
  <c r="EU244" i="4" s="1"/>
  <c r="BH244" i="7"/>
  <c r="CY244" i="7"/>
  <c r="CY244" i="4" s="1"/>
  <c r="BG244" i="7"/>
  <c r="CT26" i="7"/>
  <c r="EJ26" i="7" s="1"/>
  <c r="EM26" i="7"/>
  <c r="EM26" i="4" s="1"/>
  <c r="DA26" i="7"/>
  <c r="DA26" i="4" s="1"/>
  <c r="EL26" i="7"/>
  <c r="EL26" i="4" s="1"/>
  <c r="CZ26" i="7"/>
  <c r="CZ26" i="4" s="1"/>
  <c r="ES26" i="7"/>
  <c r="ES26" i="4" s="1"/>
  <c r="CW26" i="7"/>
  <c r="CW26" i="4" s="1"/>
  <c r="BO26" i="7"/>
  <c r="EP26" i="7"/>
  <c r="EP26" i="4" s="1"/>
  <c r="BL26" i="7"/>
  <c r="EN26" i="7"/>
  <c r="EN26" i="4" s="1"/>
  <c r="BJ26" i="7"/>
  <c r="EK26" i="7"/>
  <c r="BI26" i="7"/>
  <c r="DC26" i="7"/>
  <c r="DC26" i="4" s="1"/>
  <c r="EV26" i="7"/>
  <c r="EV26" i="4" s="1"/>
  <c r="ER26" i="7"/>
  <c r="ER26" i="4" s="1"/>
  <c r="CV26" i="7"/>
  <c r="CV26" i="4" s="1"/>
  <c r="BN26" i="7"/>
  <c r="EQ26" i="7"/>
  <c r="EQ26" i="4" s="1"/>
  <c r="CU26" i="7"/>
  <c r="BM26" i="7"/>
  <c r="BK26" i="7"/>
  <c r="DF26" i="7"/>
  <c r="DF26" i="4" s="1"/>
  <c r="BG26" i="7"/>
  <c r="EO26" i="7"/>
  <c r="EO26" i="4" s="1"/>
  <c r="DE26" i="7"/>
  <c r="DE26" i="4" s="1"/>
  <c r="DD26" i="7"/>
  <c r="DD26" i="4" s="1"/>
  <c r="BH26" i="7"/>
  <c r="EU26" i="7"/>
  <c r="EU26" i="4" s="1"/>
  <c r="CX26" i="7"/>
  <c r="CX26" i="4" s="1"/>
  <c r="ET26" i="7"/>
  <c r="ET26" i="4" s="1"/>
  <c r="DB26" i="7"/>
  <c r="DB26" i="4" s="1"/>
  <c r="BP26" i="7"/>
  <c r="BF26" i="7"/>
  <c r="BE26" i="7"/>
  <c r="CY26" i="7"/>
  <c r="CY26" i="4" s="1"/>
  <c r="CT62" i="7"/>
  <c r="EJ62" i="7" s="1"/>
  <c r="BT62" i="7"/>
  <c r="CD62" i="7"/>
  <c r="CC62" i="7"/>
  <c r="CB62" i="7"/>
  <c r="BS62" i="7"/>
  <c r="CA62" i="7"/>
  <c r="BZ62" i="7"/>
  <c r="BY62" i="7"/>
  <c r="BW62" i="7"/>
  <c r="BX62" i="7"/>
  <c r="BV62" i="7"/>
  <c r="BU62" i="7"/>
  <c r="EM62" i="7"/>
  <c r="EM62" i="4" s="1"/>
  <c r="DA62" i="7"/>
  <c r="DA62" i="4" s="1"/>
  <c r="EL62" i="7"/>
  <c r="EL62" i="4" s="1"/>
  <c r="CZ62" i="7"/>
  <c r="CZ62" i="4" s="1"/>
  <c r="EQ62" i="7"/>
  <c r="EQ62" i="4" s="1"/>
  <c r="CU62" i="7"/>
  <c r="BO62" i="7"/>
  <c r="DF62" i="7"/>
  <c r="DF62" i="4" s="1"/>
  <c r="BL62" i="7"/>
  <c r="BK62" i="7"/>
  <c r="DC62" i="7"/>
  <c r="BI62" i="7"/>
  <c r="CY62" i="7"/>
  <c r="CY62" i="4" s="1"/>
  <c r="BG62" i="7"/>
  <c r="EP62" i="7"/>
  <c r="EP62" i="4" s="1"/>
  <c r="BN62" i="7"/>
  <c r="BR62" i="7" s="1"/>
  <c r="EO62" i="7"/>
  <c r="EO62" i="4" s="1"/>
  <c r="BM62" i="7"/>
  <c r="EN62" i="7"/>
  <c r="EN62" i="4" s="1"/>
  <c r="EK62" i="7"/>
  <c r="DE62" i="7"/>
  <c r="DE62" i="4" s="1"/>
  <c r="EV62" i="7"/>
  <c r="EV62" i="4" s="1"/>
  <c r="DB62" i="7"/>
  <c r="DB62" i="4" s="1"/>
  <c r="BH62" i="7"/>
  <c r="EU62" i="7"/>
  <c r="EU62" i="4" s="1"/>
  <c r="ET62" i="7"/>
  <c r="ET62" i="4" s="1"/>
  <c r="DD62" i="7"/>
  <c r="BJ62" i="7"/>
  <c r="BP62" i="7"/>
  <c r="CX62" i="7"/>
  <c r="CX62" i="4" s="1"/>
  <c r="CW62" i="7"/>
  <c r="CW62" i="4" s="1"/>
  <c r="BE62" i="7"/>
  <c r="CV62" i="7"/>
  <c r="CV62" i="4" s="1"/>
  <c r="ES62" i="7"/>
  <c r="ER62" i="7"/>
  <c r="ER62" i="4" s="1"/>
  <c r="BF62" i="7"/>
  <c r="CT98" i="7"/>
  <c r="BT98" i="7"/>
  <c r="CD98" i="7"/>
  <c r="CA98" i="7"/>
  <c r="BZ98" i="7"/>
  <c r="BS98" i="7"/>
  <c r="CC98" i="7"/>
  <c r="CB98" i="7"/>
  <c r="BW98" i="7"/>
  <c r="BY98" i="7"/>
  <c r="BV98" i="7"/>
  <c r="BU98" i="7"/>
  <c r="BX98" i="7"/>
  <c r="EM98" i="7"/>
  <c r="DA98" i="7"/>
  <c r="EL98" i="7"/>
  <c r="CZ98" i="7"/>
  <c r="DC98" i="7"/>
  <c r="BO98" i="7"/>
  <c r="EU98" i="7"/>
  <c r="CY98" i="7"/>
  <c r="ET98" i="7"/>
  <c r="EP98" i="7"/>
  <c r="EN98" i="7"/>
  <c r="EV98" i="7"/>
  <c r="DB98" i="7"/>
  <c r="BN98" i="7"/>
  <c r="BM98" i="7"/>
  <c r="CX98" i="7"/>
  <c r="CW98" i="7"/>
  <c r="ER98" i="7"/>
  <c r="CV98" i="7"/>
  <c r="EQ98" i="7"/>
  <c r="BH98" i="7"/>
  <c r="EO98" i="7"/>
  <c r="BG98" i="7"/>
  <c r="BL98" i="7"/>
  <c r="ES98" i="7"/>
  <c r="BK98" i="7"/>
  <c r="BJ98" i="7"/>
  <c r="CU98" i="7"/>
  <c r="BI98" i="7"/>
  <c r="EK98" i="7"/>
  <c r="BF98" i="7"/>
  <c r="BE98" i="7"/>
  <c r="DF98" i="7"/>
  <c r="DE98" i="7"/>
  <c r="BP98" i="7"/>
  <c r="DD98" i="7"/>
  <c r="CT134" i="7"/>
  <c r="BT134" i="7"/>
  <c r="CD134" i="7"/>
  <c r="CA134" i="7"/>
  <c r="BS134" i="7"/>
  <c r="CC134" i="7"/>
  <c r="CB134" i="7"/>
  <c r="BZ134" i="7"/>
  <c r="BV134" i="7"/>
  <c r="BU134" i="7"/>
  <c r="BY134" i="7"/>
  <c r="BX134" i="7"/>
  <c r="BW134" i="7"/>
  <c r="EM134" i="7"/>
  <c r="DA134" i="7"/>
  <c r="EL134" i="7"/>
  <c r="CZ134" i="7"/>
  <c r="EU134" i="7"/>
  <c r="CY134" i="7"/>
  <c r="BO134" i="7"/>
  <c r="ES134" i="7"/>
  <c r="ER134" i="7"/>
  <c r="BK134" i="7"/>
  <c r="EP134" i="7"/>
  <c r="DF134" i="7"/>
  <c r="EK134" i="7"/>
  <c r="ET134" i="7"/>
  <c r="CX134" i="7"/>
  <c r="BN134" i="7"/>
  <c r="CW134" i="7"/>
  <c r="BM134" i="7"/>
  <c r="CV134" i="7"/>
  <c r="BL134" i="7"/>
  <c r="EQ134" i="7"/>
  <c r="CU134" i="7"/>
  <c r="EO134" i="7"/>
  <c r="BI134" i="7"/>
  <c r="BH134" i="7"/>
  <c r="DE134" i="7"/>
  <c r="BG134" i="7"/>
  <c r="BJ134" i="7"/>
  <c r="EN134" i="7"/>
  <c r="BF134" i="7"/>
  <c r="BP134" i="7"/>
  <c r="DB134" i="7"/>
  <c r="BE134" i="7"/>
  <c r="DD134" i="7"/>
  <c r="DC134" i="7"/>
  <c r="EV134" i="7"/>
  <c r="CT170" i="7"/>
  <c r="BT170" i="7"/>
  <c r="CC170" i="7"/>
  <c r="BZ170" i="7"/>
  <c r="BS170" i="7"/>
  <c r="CD170" i="7"/>
  <c r="CB170" i="7"/>
  <c r="CA170" i="7"/>
  <c r="BU170" i="7"/>
  <c r="BY170" i="7"/>
  <c r="BX170" i="7"/>
  <c r="BW170" i="7"/>
  <c r="BV170" i="7"/>
  <c r="EM170" i="7"/>
  <c r="DA170" i="7"/>
  <c r="BK170" i="7"/>
  <c r="EL170" i="7"/>
  <c r="CZ170" i="7"/>
  <c r="BJ170" i="7"/>
  <c r="EQ170" i="7"/>
  <c r="CU170" i="7"/>
  <c r="EO170" i="7"/>
  <c r="EN170" i="7"/>
  <c r="DD170" i="7"/>
  <c r="DC170" i="7"/>
  <c r="BI170" i="7"/>
  <c r="EU170" i="7"/>
  <c r="CY170" i="7"/>
  <c r="EP170" i="7"/>
  <c r="BP170" i="7"/>
  <c r="BO170" i="7"/>
  <c r="DF170" i="7"/>
  <c r="BN170" i="7"/>
  <c r="BR170" i="7" s="1"/>
  <c r="EK170" i="7"/>
  <c r="DE170" i="7"/>
  <c r="ET170" i="7"/>
  <c r="BM170" i="7"/>
  <c r="BL170" i="7"/>
  <c r="EV170" i="7"/>
  <c r="DB170" i="7"/>
  <c r="BH170" i="7"/>
  <c r="BG170" i="7"/>
  <c r="ES170" i="7"/>
  <c r="CV170" i="7"/>
  <c r="ER170" i="7"/>
  <c r="BE170" i="7"/>
  <c r="CX170" i="7"/>
  <c r="BF170" i="7"/>
  <c r="CW170" i="7"/>
  <c r="CT194" i="7"/>
  <c r="BT194" i="7"/>
  <c r="CC194" i="7"/>
  <c r="CA194" i="7"/>
  <c r="BS194" i="7"/>
  <c r="CD194" i="7"/>
  <c r="CB194" i="7"/>
  <c r="BZ194" i="7"/>
  <c r="BV194" i="7"/>
  <c r="BY194" i="7"/>
  <c r="BX194" i="7"/>
  <c r="BW194" i="7"/>
  <c r="BU194" i="7"/>
  <c r="EM194" i="7"/>
  <c r="DA194" i="7"/>
  <c r="BK194" i="7"/>
  <c r="EL194" i="7"/>
  <c r="CZ194" i="7"/>
  <c r="BJ194" i="7"/>
  <c r="ES194" i="7"/>
  <c r="CW194" i="7"/>
  <c r="BE194" i="7"/>
  <c r="EP194" i="7"/>
  <c r="BO194" i="7"/>
  <c r="EN194" i="7"/>
  <c r="DF194" i="7"/>
  <c r="ER194" i="7"/>
  <c r="CV194" i="7"/>
  <c r="EQ194" i="7"/>
  <c r="CU194" i="7"/>
  <c r="BP194" i="7"/>
  <c r="EK194" i="7"/>
  <c r="BM194" i="7"/>
  <c r="BL194" i="7"/>
  <c r="DC194" i="7"/>
  <c r="BI194" i="7"/>
  <c r="EV194" i="7"/>
  <c r="EO194" i="7"/>
  <c r="BN194" i="7"/>
  <c r="DE194" i="7"/>
  <c r="DD194" i="7"/>
  <c r="CX194" i="7"/>
  <c r="BF194" i="7"/>
  <c r="BG194" i="7"/>
  <c r="EU194" i="7"/>
  <c r="ET194" i="7"/>
  <c r="DB194" i="7"/>
  <c r="BH194" i="7"/>
  <c r="CY194" i="7"/>
  <c r="CT123" i="7"/>
  <c r="BT123" i="7"/>
  <c r="CD123" i="7"/>
  <c r="CC123" i="7"/>
  <c r="CA123" i="7"/>
  <c r="BZ123" i="7"/>
  <c r="BS123" i="7"/>
  <c r="CB123" i="7"/>
  <c r="BY123" i="7"/>
  <c r="BU123" i="7"/>
  <c r="BX123" i="7"/>
  <c r="BW123" i="7"/>
  <c r="BV123" i="7"/>
  <c r="EM123" i="7"/>
  <c r="DA123" i="7"/>
  <c r="EL123" i="7"/>
  <c r="CZ123" i="7"/>
  <c r="EO123" i="7"/>
  <c r="BO123" i="7"/>
  <c r="EK123" i="7"/>
  <c r="DE123" i="7"/>
  <c r="BK123" i="7"/>
  <c r="DB123" i="7"/>
  <c r="ET123" i="7"/>
  <c r="EN123" i="7"/>
  <c r="DF123" i="7"/>
  <c r="BN123" i="7"/>
  <c r="BM123" i="7"/>
  <c r="EV123" i="7"/>
  <c r="BI123" i="7"/>
  <c r="CX123" i="7"/>
  <c r="ES123" i="7"/>
  <c r="CW123" i="7"/>
  <c r="BG123" i="7"/>
  <c r="ER123" i="7"/>
  <c r="DD123" i="7"/>
  <c r="BL123" i="7"/>
  <c r="DC123" i="7"/>
  <c r="BJ123" i="7"/>
  <c r="EU123" i="7"/>
  <c r="CY123" i="7"/>
  <c r="BH123" i="7"/>
  <c r="BP123" i="7"/>
  <c r="EP123" i="7"/>
  <c r="BF123" i="7"/>
  <c r="EQ123" i="7"/>
  <c r="CV123" i="7"/>
  <c r="CU123" i="7"/>
  <c r="BE123" i="7"/>
  <c r="CT171" i="7"/>
  <c r="BT171" i="7"/>
  <c r="CD171" i="7"/>
  <c r="BS171" i="7"/>
  <c r="CC171" i="7"/>
  <c r="CB171" i="7"/>
  <c r="CA171" i="7"/>
  <c r="BZ171" i="7"/>
  <c r="BU171" i="7"/>
  <c r="BY171" i="7"/>
  <c r="BX171" i="7"/>
  <c r="BW171" i="7"/>
  <c r="BV171" i="7"/>
  <c r="EM171" i="7"/>
  <c r="DA171" i="7"/>
  <c r="BK171" i="7"/>
  <c r="EL171" i="7"/>
  <c r="CZ171" i="7"/>
  <c r="BJ171" i="7"/>
  <c r="ES171" i="7"/>
  <c r="CW171" i="7"/>
  <c r="BE171" i="7"/>
  <c r="CU171" i="7"/>
  <c r="BP171" i="7"/>
  <c r="EO171" i="7"/>
  <c r="EN171" i="7"/>
  <c r="BN171" i="7"/>
  <c r="ER171" i="7"/>
  <c r="CV171" i="7"/>
  <c r="EQ171" i="7"/>
  <c r="EP171" i="7"/>
  <c r="BO171" i="7"/>
  <c r="DF171" i="7"/>
  <c r="EK171" i="7"/>
  <c r="BM171" i="7"/>
  <c r="DD171" i="7"/>
  <c r="BL171" i="7"/>
  <c r="BI171" i="7"/>
  <c r="EV171" i="7"/>
  <c r="DE171" i="7"/>
  <c r="DC171" i="7"/>
  <c r="DB171" i="7"/>
  <c r="BH171" i="7"/>
  <c r="BG171" i="7"/>
  <c r="ET171" i="7"/>
  <c r="CY171" i="7"/>
  <c r="BF171" i="7"/>
  <c r="CX171" i="7"/>
  <c r="EU171" i="7"/>
  <c r="CT195" i="7"/>
  <c r="BT195" i="7"/>
  <c r="CC195" i="7"/>
  <c r="BS195" i="7"/>
  <c r="CD195" i="7"/>
  <c r="CB195" i="7"/>
  <c r="CA195" i="7"/>
  <c r="BZ195" i="7"/>
  <c r="BV195" i="7"/>
  <c r="BU195" i="7"/>
  <c r="BY195" i="7"/>
  <c r="BX195" i="7"/>
  <c r="BW195" i="7"/>
  <c r="EM195" i="7"/>
  <c r="DA195" i="7"/>
  <c r="BK195" i="7"/>
  <c r="EL195" i="7"/>
  <c r="CZ195" i="7"/>
  <c r="BJ195" i="7"/>
  <c r="EU195" i="7"/>
  <c r="CY195" i="7"/>
  <c r="BG195" i="7"/>
  <c r="CW195" i="7"/>
  <c r="BO195" i="7"/>
  <c r="BN195" i="7"/>
  <c r="EK195" i="7"/>
  <c r="DE195" i="7"/>
  <c r="BM195" i="7"/>
  <c r="ET195" i="7"/>
  <c r="CX195" i="7"/>
  <c r="BF195" i="7"/>
  <c r="ES195" i="7"/>
  <c r="BE195" i="7"/>
  <c r="ER195" i="7"/>
  <c r="CV195" i="7"/>
  <c r="BP195" i="7"/>
  <c r="EQ195" i="7"/>
  <c r="CU195" i="7"/>
  <c r="EP195" i="7"/>
  <c r="EO195" i="7"/>
  <c r="EN195" i="7"/>
  <c r="DF195" i="7"/>
  <c r="BI195" i="7"/>
  <c r="BH195" i="7"/>
  <c r="EV195" i="7"/>
  <c r="DD195" i="7"/>
  <c r="BL195" i="7"/>
  <c r="DC195" i="7"/>
  <c r="DB195" i="7"/>
  <c r="CT246" i="7"/>
  <c r="CD246" i="7"/>
  <c r="CA246" i="7"/>
  <c r="BY246" i="7"/>
  <c r="CC246" i="7"/>
  <c r="CB246" i="7"/>
  <c r="BZ246" i="7"/>
  <c r="BX246" i="7"/>
  <c r="BV246" i="7"/>
  <c r="BT246" i="7"/>
  <c r="BW246" i="7"/>
  <c r="BU246" i="7"/>
  <c r="BS246" i="7"/>
  <c r="EM246" i="7"/>
  <c r="EM246" i="4" s="1"/>
  <c r="DA246" i="7"/>
  <c r="DA246" i="4" s="1"/>
  <c r="BK246" i="7"/>
  <c r="EL246" i="7"/>
  <c r="EL246" i="4" s="1"/>
  <c r="CZ246" i="7"/>
  <c r="CZ246" i="4" s="1"/>
  <c r="BJ246" i="7"/>
  <c r="DC246" i="7"/>
  <c r="BI246" i="7"/>
  <c r="ET246" i="7"/>
  <c r="ET246" i="4" s="1"/>
  <c r="CX246" i="7"/>
  <c r="CX246" i="4" s="1"/>
  <c r="BF246" i="7"/>
  <c r="BE246" i="7"/>
  <c r="CV246" i="7"/>
  <c r="CV246" i="4" s="1"/>
  <c r="EQ246" i="7"/>
  <c r="EQ246" i="4" s="1"/>
  <c r="EO246" i="7"/>
  <c r="EO246" i="4" s="1"/>
  <c r="BO246" i="7"/>
  <c r="EV246" i="7"/>
  <c r="EV246" i="4" s="1"/>
  <c r="DB246" i="7"/>
  <c r="DB246" i="4" s="1"/>
  <c r="BH246" i="7"/>
  <c r="EU246" i="7"/>
  <c r="EU246" i="4" s="1"/>
  <c r="CY246" i="7"/>
  <c r="CY246" i="4" s="1"/>
  <c r="BG246" i="7"/>
  <c r="ES246" i="7"/>
  <c r="CW246" i="7"/>
  <c r="CW246" i="4" s="1"/>
  <c r="EP246" i="7"/>
  <c r="EP246" i="4" s="1"/>
  <c r="BP246" i="7"/>
  <c r="ER246" i="7"/>
  <c r="ER246" i="4" s="1"/>
  <c r="CU246" i="7"/>
  <c r="EN246" i="7"/>
  <c r="EN246" i="4" s="1"/>
  <c r="EK246" i="7"/>
  <c r="DF246" i="7"/>
  <c r="DF246" i="4" s="1"/>
  <c r="BN246" i="7"/>
  <c r="DD246" i="7"/>
  <c r="BL246" i="7"/>
  <c r="DE246" i="7"/>
  <c r="DE246" i="4" s="1"/>
  <c r="BM246" i="7"/>
  <c r="CT40" i="7"/>
  <c r="BT40" i="7"/>
  <c r="CD40" i="7"/>
  <c r="CC40" i="7"/>
  <c r="CB40" i="7"/>
  <c r="CA40" i="7"/>
  <c r="BS40" i="7"/>
  <c r="BZ40" i="7"/>
  <c r="BW40" i="7"/>
  <c r="BU40" i="7"/>
  <c r="BV40" i="7"/>
  <c r="BY40" i="7"/>
  <c r="BX40" i="7"/>
  <c r="EM40" i="7"/>
  <c r="EM40" i="4" s="1"/>
  <c r="DA40" i="7"/>
  <c r="DA40" i="4" s="1"/>
  <c r="EL40" i="7"/>
  <c r="EL40" i="4" s="1"/>
  <c r="CZ40" i="7"/>
  <c r="CZ40" i="4" s="1"/>
  <c r="DC40" i="7"/>
  <c r="BO40" i="7"/>
  <c r="EU40" i="7"/>
  <c r="EU40" i="4" s="1"/>
  <c r="CX40" i="7"/>
  <c r="CX40" i="4" s="1"/>
  <c r="BL40" i="7"/>
  <c r="ES40" i="7"/>
  <c r="BK40" i="7"/>
  <c r="EQ40" i="7"/>
  <c r="EQ40" i="4" s="1"/>
  <c r="CU40" i="7"/>
  <c r="BI40" i="7"/>
  <c r="EP40" i="7"/>
  <c r="EP40" i="4" s="1"/>
  <c r="BH40" i="7"/>
  <c r="EN40" i="7"/>
  <c r="EN40" i="4" s="1"/>
  <c r="EV40" i="7"/>
  <c r="EV40" i="4" s="1"/>
  <c r="DB40" i="7"/>
  <c r="DB40" i="4" s="1"/>
  <c r="BN40" i="7"/>
  <c r="CY40" i="7"/>
  <c r="CY40" i="4" s="1"/>
  <c r="BM40" i="7"/>
  <c r="ET40" i="7"/>
  <c r="ET40" i="4" s="1"/>
  <c r="CW40" i="7"/>
  <c r="CW40" i="4" s="1"/>
  <c r="ER40" i="7"/>
  <c r="ER40" i="4" s="1"/>
  <c r="CV40" i="7"/>
  <c r="CV40" i="4" s="1"/>
  <c r="EO40" i="7"/>
  <c r="EO40" i="4" s="1"/>
  <c r="BJ40" i="7"/>
  <c r="BG40" i="7"/>
  <c r="EK40" i="7"/>
  <c r="DF40" i="7"/>
  <c r="DF40" i="4" s="1"/>
  <c r="DD40" i="7"/>
  <c r="BP40" i="7"/>
  <c r="DE40" i="7"/>
  <c r="DE40" i="4" s="1"/>
  <c r="BF40" i="7"/>
  <c r="BE40" i="7"/>
  <c r="CT112" i="7"/>
  <c r="BT112" i="7"/>
  <c r="CC112" i="7"/>
  <c r="CB112" i="7"/>
  <c r="BS112" i="7"/>
  <c r="CD112" i="7"/>
  <c r="CA112" i="7"/>
  <c r="BZ112" i="7"/>
  <c r="BW112" i="7"/>
  <c r="BX112" i="7"/>
  <c r="BV112" i="7"/>
  <c r="BU112" i="7"/>
  <c r="BY112" i="7"/>
  <c r="EM112" i="7"/>
  <c r="DA112" i="7"/>
  <c r="EL112" i="7"/>
  <c r="CZ112" i="7"/>
  <c r="DC112" i="7"/>
  <c r="BO112" i="7"/>
  <c r="EU112" i="7"/>
  <c r="CY112" i="7"/>
  <c r="BM112" i="7"/>
  <c r="CX112" i="7"/>
  <c r="BL112" i="7"/>
  <c r="BJ112" i="7"/>
  <c r="EQ112" i="7"/>
  <c r="CU112" i="7"/>
  <c r="BI112" i="7"/>
  <c r="BH112" i="7"/>
  <c r="EO112" i="7"/>
  <c r="BG112" i="7"/>
  <c r="EV112" i="7"/>
  <c r="DB112" i="7"/>
  <c r="BN112" i="7"/>
  <c r="ET112" i="7"/>
  <c r="ES112" i="7"/>
  <c r="CW112" i="7"/>
  <c r="EN112" i="7"/>
  <c r="BK112" i="7"/>
  <c r="ER112" i="7"/>
  <c r="CV112" i="7"/>
  <c r="EP112" i="7"/>
  <c r="DF112" i="7"/>
  <c r="DD112" i="7"/>
  <c r="BP112" i="7"/>
  <c r="BF112" i="7"/>
  <c r="DE112" i="7"/>
  <c r="EK112" i="7"/>
  <c r="BE112" i="7"/>
  <c r="CT136" i="7"/>
  <c r="BT136" i="7"/>
  <c r="CD136" i="7"/>
  <c r="CA136" i="7"/>
  <c r="BS136" i="7"/>
  <c r="CC136" i="7"/>
  <c r="CB136" i="7"/>
  <c r="BZ136" i="7"/>
  <c r="BX136" i="7"/>
  <c r="BY136" i="7"/>
  <c r="BW136" i="7"/>
  <c r="BV136" i="7"/>
  <c r="BU136" i="7"/>
  <c r="EM136" i="7"/>
  <c r="DA136" i="7"/>
  <c r="EL136" i="7"/>
  <c r="CZ136" i="7"/>
  <c r="EK136" i="7"/>
  <c r="DE136" i="7"/>
  <c r="BO136" i="7"/>
  <c r="EV136" i="7"/>
  <c r="DB136" i="7"/>
  <c r="CX136" i="7"/>
  <c r="EQ136" i="7"/>
  <c r="CU136" i="7"/>
  <c r="DD136" i="7"/>
  <c r="BN136" i="7"/>
  <c r="BR136" i="7" s="1"/>
  <c r="DC136" i="7"/>
  <c r="BM136" i="7"/>
  <c r="BL136" i="7"/>
  <c r="CY136" i="7"/>
  <c r="ET136" i="7"/>
  <c r="BJ136" i="7"/>
  <c r="BI136" i="7"/>
  <c r="ER136" i="7"/>
  <c r="BG136" i="7"/>
  <c r="EP136" i="7"/>
  <c r="EU136" i="7"/>
  <c r="BK136" i="7"/>
  <c r="ES136" i="7"/>
  <c r="CW136" i="7"/>
  <c r="CV136" i="7"/>
  <c r="BH136" i="7"/>
  <c r="DF136" i="7"/>
  <c r="EO136" i="7"/>
  <c r="BP136" i="7"/>
  <c r="BF136" i="7"/>
  <c r="EN136" i="7"/>
  <c r="BE136" i="7"/>
  <c r="CT148" i="7"/>
  <c r="BT148" i="7"/>
  <c r="CA148" i="7"/>
  <c r="BS148" i="7"/>
  <c r="CD148" i="7"/>
  <c r="CC148" i="7"/>
  <c r="CB148" i="7"/>
  <c r="BZ148" i="7"/>
  <c r="BV148" i="7"/>
  <c r="BX148" i="7"/>
  <c r="BU148" i="7"/>
  <c r="BY148" i="7"/>
  <c r="BW148" i="7"/>
  <c r="EM148" i="7"/>
  <c r="DA148" i="7"/>
  <c r="EL148" i="7"/>
  <c r="CZ148" i="7"/>
  <c r="EU148" i="7"/>
  <c r="CY148" i="7"/>
  <c r="BO148" i="7"/>
  <c r="CW148" i="7"/>
  <c r="BM148" i="7"/>
  <c r="ER148" i="7"/>
  <c r="BL148" i="7"/>
  <c r="EO148" i="7"/>
  <c r="EN148" i="7"/>
  <c r="DF148" i="7"/>
  <c r="BH148" i="7"/>
  <c r="EK148" i="7"/>
  <c r="BG148" i="7"/>
  <c r="ET148" i="7"/>
  <c r="CX148" i="7"/>
  <c r="BN148" i="7"/>
  <c r="BR148" i="7" s="1"/>
  <c r="ES148" i="7"/>
  <c r="CV148" i="7"/>
  <c r="CU148" i="7"/>
  <c r="BK148" i="7"/>
  <c r="BI148" i="7"/>
  <c r="DE148" i="7"/>
  <c r="EQ148" i="7"/>
  <c r="EP148" i="7"/>
  <c r="BJ148" i="7"/>
  <c r="DD148" i="7"/>
  <c r="DB148" i="7"/>
  <c r="BF148" i="7"/>
  <c r="DC148" i="7"/>
  <c r="EV148" i="7"/>
  <c r="BP148" i="7"/>
  <c r="BE148" i="7"/>
  <c r="CT196" i="7"/>
  <c r="BT196" i="7"/>
  <c r="CC196" i="7"/>
  <c r="BS196" i="7"/>
  <c r="CD196" i="7"/>
  <c r="CB196" i="7"/>
  <c r="CA196" i="7"/>
  <c r="BZ196" i="7"/>
  <c r="BY196" i="7"/>
  <c r="BW196" i="7"/>
  <c r="BX196" i="7"/>
  <c r="BV196" i="7"/>
  <c r="BU196" i="7"/>
  <c r="EM196" i="7"/>
  <c r="DA196" i="7"/>
  <c r="BK196" i="7"/>
  <c r="EL196" i="7"/>
  <c r="CZ196" i="7"/>
  <c r="BJ196" i="7"/>
  <c r="DC196" i="7"/>
  <c r="BI196" i="7"/>
  <c r="ET196" i="7"/>
  <c r="CX196" i="7"/>
  <c r="BF196" i="7"/>
  <c r="CW196" i="7"/>
  <c r="ER196" i="7"/>
  <c r="EQ196" i="7"/>
  <c r="EV196" i="7"/>
  <c r="DB196" i="7"/>
  <c r="BH196" i="7"/>
  <c r="EU196" i="7"/>
  <c r="CY196" i="7"/>
  <c r="BG196" i="7"/>
  <c r="ES196" i="7"/>
  <c r="EP196" i="7"/>
  <c r="EO196" i="7"/>
  <c r="BO196" i="7"/>
  <c r="EN196" i="7"/>
  <c r="BE196" i="7"/>
  <c r="CV196" i="7"/>
  <c r="CU196" i="7"/>
  <c r="BP196" i="7"/>
  <c r="DF196" i="7"/>
  <c r="BN196" i="7"/>
  <c r="BR196" i="7" s="1"/>
  <c r="BL196" i="7"/>
  <c r="EK196" i="7"/>
  <c r="DE196" i="7"/>
  <c r="BM196" i="7"/>
  <c r="DD196" i="7"/>
  <c r="CT247" i="7"/>
  <c r="CD247" i="7"/>
  <c r="CB247" i="7"/>
  <c r="BZ247" i="7"/>
  <c r="BX247" i="7"/>
  <c r="CC247" i="7"/>
  <c r="CA247" i="7"/>
  <c r="BY247" i="7"/>
  <c r="BU247" i="7"/>
  <c r="BS247" i="7"/>
  <c r="BW247" i="7"/>
  <c r="BV247" i="7"/>
  <c r="BT247" i="7"/>
  <c r="EM247" i="7"/>
  <c r="EM247" i="4" s="1"/>
  <c r="DA247" i="7"/>
  <c r="DA247" i="4" s="1"/>
  <c r="BK247" i="7"/>
  <c r="EL247" i="7"/>
  <c r="EL247" i="4" s="1"/>
  <c r="CZ247" i="7"/>
  <c r="CZ247" i="4" s="1"/>
  <c r="BJ247" i="7"/>
  <c r="EK247" i="7"/>
  <c r="DE247" i="7"/>
  <c r="DE247" i="4" s="1"/>
  <c r="BM247" i="7"/>
  <c r="DC247" i="7"/>
  <c r="CY247" i="7"/>
  <c r="CY247" i="4" s="1"/>
  <c r="BG247" i="7"/>
  <c r="ET247" i="7"/>
  <c r="ET247" i="4" s="1"/>
  <c r="CV247" i="7"/>
  <c r="CV247" i="4" s="1"/>
  <c r="CU247" i="7"/>
  <c r="DD247" i="7"/>
  <c r="BL247" i="7"/>
  <c r="BI247" i="7"/>
  <c r="EV247" i="7"/>
  <c r="EV247" i="4" s="1"/>
  <c r="DB247" i="7"/>
  <c r="DB247" i="4" s="1"/>
  <c r="BH247" i="7"/>
  <c r="EU247" i="7"/>
  <c r="EU247" i="4" s="1"/>
  <c r="ES247" i="7"/>
  <c r="CW247" i="7"/>
  <c r="CW247" i="4" s="1"/>
  <c r="BE247" i="7"/>
  <c r="EQ247" i="7"/>
  <c r="EQ247" i="4" s="1"/>
  <c r="EP247" i="7"/>
  <c r="EP247" i="4" s="1"/>
  <c r="CX247" i="7"/>
  <c r="CX247" i="4" s="1"/>
  <c r="BF247" i="7"/>
  <c r="ER247" i="7"/>
  <c r="ER247" i="4" s="1"/>
  <c r="DF247" i="7"/>
  <c r="DF247" i="4" s="1"/>
  <c r="BN247" i="7"/>
  <c r="BR247" i="7" s="1"/>
  <c r="EO247" i="7"/>
  <c r="EO247" i="4" s="1"/>
  <c r="BP247" i="7"/>
  <c r="EN247" i="7"/>
  <c r="EN247" i="4" s="1"/>
  <c r="BO247" i="7"/>
  <c r="CT30" i="7"/>
  <c r="BU30" i="7"/>
  <c r="CD30" i="7"/>
  <c r="CB30" i="7"/>
  <c r="BR30" i="7" s="1"/>
  <c r="CA30" i="7"/>
  <c r="BT30" i="7"/>
  <c r="BS30" i="7"/>
  <c r="CC30" i="7"/>
  <c r="BZ30" i="7"/>
  <c r="BX30" i="7"/>
  <c r="BV30" i="7"/>
  <c r="BY30" i="7"/>
  <c r="BW30" i="7"/>
  <c r="CT42" i="7"/>
  <c r="BT42" i="7"/>
  <c r="CC42" i="7"/>
  <c r="CB42" i="7"/>
  <c r="CA42" i="7"/>
  <c r="BS42" i="7"/>
  <c r="CD42" i="7"/>
  <c r="BZ42" i="7"/>
  <c r="BY42" i="7"/>
  <c r="BU42" i="7"/>
  <c r="BX42" i="7"/>
  <c r="BW42" i="7"/>
  <c r="BV42" i="7"/>
  <c r="EM42" i="7"/>
  <c r="EM42" i="4" s="1"/>
  <c r="DA42" i="7"/>
  <c r="DA42" i="4" s="1"/>
  <c r="EL42" i="7"/>
  <c r="EL42" i="4" s="1"/>
  <c r="CZ42" i="7"/>
  <c r="CZ42" i="4" s="1"/>
  <c r="EO42" i="7"/>
  <c r="EO42" i="4" s="1"/>
  <c r="BO42" i="7"/>
  <c r="BM42" i="7"/>
  <c r="DD42" i="7"/>
  <c r="BL42" i="7"/>
  <c r="DC42" i="7"/>
  <c r="DB42" i="7"/>
  <c r="DB42" i="4" s="1"/>
  <c r="EU42" i="7"/>
  <c r="EU42" i="4" s="1"/>
  <c r="ET42" i="7"/>
  <c r="ET42" i="4" s="1"/>
  <c r="CW42" i="7"/>
  <c r="CW42" i="4" s="1"/>
  <c r="EN42" i="7"/>
  <c r="EN42" i="4" s="1"/>
  <c r="DF42" i="7"/>
  <c r="DF42" i="4" s="1"/>
  <c r="BN42" i="7"/>
  <c r="BR42" i="7" s="1"/>
  <c r="EK42" i="7"/>
  <c r="DE42" i="7"/>
  <c r="DE42" i="4" s="1"/>
  <c r="BK42" i="7"/>
  <c r="EV42" i="7"/>
  <c r="EV42" i="4" s="1"/>
  <c r="BJ42" i="7"/>
  <c r="CX42" i="7"/>
  <c r="CX42" i="4" s="1"/>
  <c r="ES42" i="7"/>
  <c r="BG42" i="7"/>
  <c r="ER42" i="7"/>
  <c r="ER42" i="4" s="1"/>
  <c r="CY42" i="7"/>
  <c r="CY42" i="4" s="1"/>
  <c r="BI42" i="7"/>
  <c r="BH42" i="7"/>
  <c r="BP42" i="7"/>
  <c r="CU42" i="7"/>
  <c r="BF42" i="7"/>
  <c r="CV42" i="7"/>
  <c r="CV42" i="4" s="1"/>
  <c r="BE42" i="7"/>
  <c r="EQ42" i="7"/>
  <c r="EQ42" i="4" s="1"/>
  <c r="EP42" i="7"/>
  <c r="EP42" i="4" s="1"/>
  <c r="CT66" i="7"/>
  <c r="EJ66" i="7" s="1"/>
  <c r="EM66" i="7"/>
  <c r="EM66" i="4" s="1"/>
  <c r="DA66" i="7"/>
  <c r="DA66" i="4" s="1"/>
  <c r="EL66" i="7"/>
  <c r="EL66" i="4" s="1"/>
  <c r="CZ66" i="7"/>
  <c r="CZ66" i="4" s="1"/>
  <c r="EK66" i="7"/>
  <c r="DE66" i="7"/>
  <c r="DE66" i="4" s="1"/>
  <c r="BO66" i="7"/>
  <c r="BK66" i="7"/>
  <c r="BI66" i="7"/>
  <c r="ER66" i="7"/>
  <c r="ER66" i="4" s="1"/>
  <c r="BH66" i="7"/>
  <c r="EQ66" i="7"/>
  <c r="EQ66" i="4" s="1"/>
  <c r="CU66" i="7"/>
  <c r="EP66" i="7"/>
  <c r="EP66" i="4" s="1"/>
  <c r="DD66" i="7"/>
  <c r="BN66" i="7"/>
  <c r="BR66" i="7" s="1"/>
  <c r="DC66" i="7"/>
  <c r="BM66" i="7"/>
  <c r="EV66" i="7"/>
  <c r="EV66" i="4" s="1"/>
  <c r="DB66" i="7"/>
  <c r="DB66" i="4" s="1"/>
  <c r="BL66" i="7"/>
  <c r="CY66" i="7"/>
  <c r="CY66" i="4" s="1"/>
  <c r="ET66" i="7"/>
  <c r="ET66" i="4" s="1"/>
  <c r="CX66" i="7"/>
  <c r="CX66" i="4" s="1"/>
  <c r="ES66" i="7"/>
  <c r="CV66" i="7"/>
  <c r="CV66" i="4" s="1"/>
  <c r="BG66" i="7"/>
  <c r="EU66" i="7"/>
  <c r="EU66" i="4" s="1"/>
  <c r="BJ66" i="7"/>
  <c r="CW66" i="7"/>
  <c r="CW66" i="4" s="1"/>
  <c r="BF66" i="7"/>
  <c r="DF66" i="7"/>
  <c r="DF66" i="4" s="1"/>
  <c r="EO66" i="7"/>
  <c r="EO66" i="4" s="1"/>
  <c r="EN66" i="7"/>
  <c r="EN66" i="4" s="1"/>
  <c r="BP66" i="7"/>
  <c r="BE66" i="7"/>
  <c r="CT78" i="7"/>
  <c r="BT78" i="7"/>
  <c r="CC78" i="7"/>
  <c r="CB78" i="7"/>
  <c r="BZ78" i="7"/>
  <c r="BS78" i="7"/>
  <c r="CD78" i="7"/>
  <c r="CA78" i="7"/>
  <c r="BV78" i="7"/>
  <c r="BY78" i="7"/>
  <c r="BX78" i="7"/>
  <c r="BW78" i="7"/>
  <c r="BU78" i="7"/>
  <c r="EM78" i="7"/>
  <c r="DA78" i="7"/>
  <c r="EL78" i="7"/>
  <c r="CZ78" i="7"/>
  <c r="DC78" i="7"/>
  <c r="BO78" i="7"/>
  <c r="BM78" i="7"/>
  <c r="BL78" i="7"/>
  <c r="ER78" i="7"/>
  <c r="BH78" i="7"/>
  <c r="EO78" i="7"/>
  <c r="EV78" i="7"/>
  <c r="DB78" i="7"/>
  <c r="BN78" i="7"/>
  <c r="EU78" i="7"/>
  <c r="CY78" i="7"/>
  <c r="ET78" i="7"/>
  <c r="CX78" i="7"/>
  <c r="EP78" i="7"/>
  <c r="BG78" i="7"/>
  <c r="ES78" i="7"/>
  <c r="CW78" i="7"/>
  <c r="BK78" i="7"/>
  <c r="CV78" i="7"/>
  <c r="BJ78" i="7"/>
  <c r="EQ78" i="7"/>
  <c r="CU78" i="7"/>
  <c r="BI78" i="7"/>
  <c r="EN78" i="7"/>
  <c r="BP78" i="7"/>
  <c r="DF78" i="7"/>
  <c r="BF78" i="7"/>
  <c r="DE78" i="7"/>
  <c r="BE78" i="7"/>
  <c r="EK78" i="7"/>
  <c r="DD78" i="7"/>
  <c r="CT102" i="7"/>
  <c r="BT102" i="7"/>
  <c r="CD102" i="7"/>
  <c r="CC102" i="7"/>
  <c r="CB102" i="7"/>
  <c r="CA102" i="7"/>
  <c r="BZ102" i="7"/>
  <c r="BS102" i="7"/>
  <c r="BW102" i="7"/>
  <c r="BV102" i="7"/>
  <c r="BU102" i="7"/>
  <c r="BY102" i="7"/>
  <c r="BX102" i="7"/>
  <c r="EM102" i="7"/>
  <c r="DA102" i="7"/>
  <c r="EL102" i="7"/>
  <c r="CZ102" i="7"/>
  <c r="ES102" i="7"/>
  <c r="CW102" i="7"/>
  <c r="BO102" i="7"/>
  <c r="BM102" i="7"/>
  <c r="BL102" i="7"/>
  <c r="BK102" i="7"/>
  <c r="EN102" i="7"/>
  <c r="BI102" i="7"/>
  <c r="ER102" i="7"/>
  <c r="CV102" i="7"/>
  <c r="BN102" i="7"/>
  <c r="EQ102" i="7"/>
  <c r="CU102" i="7"/>
  <c r="EP102" i="7"/>
  <c r="EO102" i="7"/>
  <c r="DF102" i="7"/>
  <c r="BJ102" i="7"/>
  <c r="BH102" i="7"/>
  <c r="DC102" i="7"/>
  <c r="BG102" i="7"/>
  <c r="EV102" i="7"/>
  <c r="EK102" i="7"/>
  <c r="DE102" i="7"/>
  <c r="DD102" i="7"/>
  <c r="CX102" i="7"/>
  <c r="EU102" i="7"/>
  <c r="ET102" i="7"/>
  <c r="BP102" i="7"/>
  <c r="BF102" i="7"/>
  <c r="CY102" i="7"/>
  <c r="BE102" i="7"/>
  <c r="DB102" i="7"/>
  <c r="CT126" i="7"/>
  <c r="BT126" i="7"/>
  <c r="BS126" i="7"/>
  <c r="CD126" i="7"/>
  <c r="CC126" i="7"/>
  <c r="CB126" i="7"/>
  <c r="CA126" i="7"/>
  <c r="BZ126" i="7"/>
  <c r="BW126" i="7"/>
  <c r="BU126" i="7"/>
  <c r="BY126" i="7"/>
  <c r="BX126" i="7"/>
  <c r="BV126" i="7"/>
  <c r="EM126" i="7"/>
  <c r="DA126" i="7"/>
  <c r="EL126" i="7"/>
  <c r="CZ126" i="7"/>
  <c r="EU126" i="7"/>
  <c r="CY126" i="7"/>
  <c r="BO126" i="7"/>
  <c r="BM126" i="7"/>
  <c r="CV126" i="7"/>
  <c r="CU126" i="7"/>
  <c r="BK126" i="7"/>
  <c r="BJ126" i="7"/>
  <c r="BI126" i="7"/>
  <c r="EN126" i="7"/>
  <c r="DE126" i="7"/>
  <c r="ET126" i="7"/>
  <c r="CX126" i="7"/>
  <c r="BN126" i="7"/>
  <c r="BR126" i="7" s="1"/>
  <c r="ES126" i="7"/>
  <c r="CW126" i="7"/>
  <c r="ER126" i="7"/>
  <c r="BL126" i="7"/>
  <c r="EP126" i="7"/>
  <c r="EO126" i="7"/>
  <c r="DF126" i="7"/>
  <c r="BH126" i="7"/>
  <c r="EK126" i="7"/>
  <c r="BG126" i="7"/>
  <c r="EQ126" i="7"/>
  <c r="DB126" i="7"/>
  <c r="BE126" i="7"/>
  <c r="EV126" i="7"/>
  <c r="BP126" i="7"/>
  <c r="BF126" i="7"/>
  <c r="DD126" i="7"/>
  <c r="DC126" i="7"/>
  <c r="CT162" i="7"/>
  <c r="BT162" i="7"/>
  <c r="BS162" i="7"/>
  <c r="CD162" i="7"/>
  <c r="CC162" i="7"/>
  <c r="CB162" i="7"/>
  <c r="CA162" i="7"/>
  <c r="BZ162" i="7"/>
  <c r="BW162" i="7"/>
  <c r="BV162" i="7"/>
  <c r="BY162" i="7"/>
  <c r="BX162" i="7"/>
  <c r="BU162" i="7"/>
  <c r="EM162" i="7"/>
  <c r="DA162" i="7"/>
  <c r="BK162" i="7"/>
  <c r="EL162" i="7"/>
  <c r="CZ162" i="7"/>
  <c r="BJ162" i="7"/>
  <c r="EQ162" i="7"/>
  <c r="CU162" i="7"/>
  <c r="BO162" i="7"/>
  <c r="EN162" i="7"/>
  <c r="BN162" i="7"/>
  <c r="BL162" i="7"/>
  <c r="BG162" i="7"/>
  <c r="EP162" i="7"/>
  <c r="BP162" i="7"/>
  <c r="EO162" i="7"/>
  <c r="DF162" i="7"/>
  <c r="BM162" i="7"/>
  <c r="BI162" i="7"/>
  <c r="EV162" i="7"/>
  <c r="DB162" i="7"/>
  <c r="BH162" i="7"/>
  <c r="EU162" i="7"/>
  <c r="CY162" i="7"/>
  <c r="ET162" i="7"/>
  <c r="EK162" i="7"/>
  <c r="DE162" i="7"/>
  <c r="DD162" i="7"/>
  <c r="DC162" i="7"/>
  <c r="CX162" i="7"/>
  <c r="BF162" i="7"/>
  <c r="ES162" i="7"/>
  <c r="CW162" i="7"/>
  <c r="BE162" i="7"/>
  <c r="CV162" i="7"/>
  <c r="ER162" i="7"/>
  <c r="CT174" i="7"/>
  <c r="BT174" i="7"/>
  <c r="BS174" i="7"/>
  <c r="CD174" i="7"/>
  <c r="CC174" i="7"/>
  <c r="CB174" i="7"/>
  <c r="CA174" i="7"/>
  <c r="BZ174" i="7"/>
  <c r="BW174" i="7"/>
  <c r="BY174" i="7"/>
  <c r="BV174" i="7"/>
  <c r="BU174" i="7"/>
  <c r="BX174" i="7"/>
  <c r="EM174" i="7"/>
  <c r="DA174" i="7"/>
  <c r="BK174" i="7"/>
  <c r="EL174" i="7"/>
  <c r="CZ174" i="7"/>
  <c r="BJ174" i="7"/>
  <c r="DC174" i="7"/>
  <c r="BI174" i="7"/>
  <c r="EU174" i="7"/>
  <c r="CW174" i="7"/>
  <c r="BE174" i="7"/>
  <c r="CV174" i="7"/>
  <c r="EQ174" i="7"/>
  <c r="CU174" i="7"/>
  <c r="EO174" i="7"/>
  <c r="EV174" i="7"/>
  <c r="DB174" i="7"/>
  <c r="BH174" i="7"/>
  <c r="CY174" i="7"/>
  <c r="BG174" i="7"/>
  <c r="ET174" i="7"/>
  <c r="CX174" i="7"/>
  <c r="BF174" i="7"/>
  <c r="ES174" i="7"/>
  <c r="ER174" i="7"/>
  <c r="EP174" i="7"/>
  <c r="BO174" i="7"/>
  <c r="EN174" i="7"/>
  <c r="BP174" i="7"/>
  <c r="BL174" i="7"/>
  <c r="DF174" i="7"/>
  <c r="BN174" i="7"/>
  <c r="BR174" i="7" s="1"/>
  <c r="DE174" i="7"/>
  <c r="BM174" i="7"/>
  <c r="DD174" i="7"/>
  <c r="EK174" i="7"/>
  <c r="CT186" i="7"/>
  <c r="BT186" i="7"/>
  <c r="CD186" i="7"/>
  <c r="CC186" i="7"/>
  <c r="BS186" i="7"/>
  <c r="CB186" i="7"/>
  <c r="CA186" i="7"/>
  <c r="BZ186" i="7"/>
  <c r="BU186" i="7"/>
  <c r="BY186" i="7"/>
  <c r="BX186" i="7"/>
  <c r="BW186" i="7"/>
  <c r="BV186" i="7"/>
  <c r="EM186" i="7"/>
  <c r="DA186" i="7"/>
  <c r="BK186" i="7"/>
  <c r="EL186" i="7"/>
  <c r="CZ186" i="7"/>
  <c r="BJ186" i="7"/>
  <c r="ES186" i="7"/>
  <c r="CW186" i="7"/>
  <c r="BE186" i="7"/>
  <c r="EQ186" i="7"/>
  <c r="DF186" i="7"/>
  <c r="BM186" i="7"/>
  <c r="DD186" i="7"/>
  <c r="BL186" i="7"/>
  <c r="DC186" i="7"/>
  <c r="ER186" i="7"/>
  <c r="CV186" i="7"/>
  <c r="CU186" i="7"/>
  <c r="EP186" i="7"/>
  <c r="BP186" i="7"/>
  <c r="EO186" i="7"/>
  <c r="BO186" i="7"/>
  <c r="EV186" i="7"/>
  <c r="EN186" i="7"/>
  <c r="BN186" i="7"/>
  <c r="BR186" i="7" s="1"/>
  <c r="EK186" i="7"/>
  <c r="DE186" i="7"/>
  <c r="BI186" i="7"/>
  <c r="DB186" i="7"/>
  <c r="BH186" i="7"/>
  <c r="ET186" i="7"/>
  <c r="BF186" i="7"/>
  <c r="EU186" i="7"/>
  <c r="CY186" i="7"/>
  <c r="BG186" i="7"/>
  <c r="CX186" i="7"/>
  <c r="CT198" i="7"/>
  <c r="BT198" i="7"/>
  <c r="CC198" i="7"/>
  <c r="BS198" i="7"/>
  <c r="CD198" i="7"/>
  <c r="CB198" i="7"/>
  <c r="CA198" i="7"/>
  <c r="BZ198" i="7"/>
  <c r="BU198" i="7"/>
  <c r="BY198" i="7"/>
  <c r="BX198" i="7"/>
  <c r="BW198" i="7"/>
  <c r="BV198" i="7"/>
  <c r="EM198" i="7"/>
  <c r="DA198" i="7"/>
  <c r="BK198" i="7"/>
  <c r="EL198" i="7"/>
  <c r="CZ198" i="7"/>
  <c r="BJ198" i="7"/>
  <c r="EO198" i="7"/>
  <c r="BO198" i="7"/>
  <c r="EK198" i="7"/>
  <c r="DD198" i="7"/>
  <c r="BL198" i="7"/>
  <c r="DC198" i="7"/>
  <c r="BI198" i="7"/>
  <c r="BG198" i="7"/>
  <c r="CW198" i="7"/>
  <c r="BE198" i="7"/>
  <c r="EN198" i="7"/>
  <c r="DF198" i="7"/>
  <c r="BN198" i="7"/>
  <c r="DE198" i="7"/>
  <c r="BM198" i="7"/>
  <c r="ES198" i="7"/>
  <c r="ER198" i="7"/>
  <c r="EV198" i="7"/>
  <c r="DB198" i="7"/>
  <c r="BH198" i="7"/>
  <c r="EU198" i="7"/>
  <c r="CY198" i="7"/>
  <c r="ET198" i="7"/>
  <c r="CX198" i="7"/>
  <c r="BF198" i="7"/>
  <c r="BP198" i="7"/>
  <c r="EP198" i="7"/>
  <c r="CV198" i="7"/>
  <c r="EQ198" i="7"/>
  <c r="CU198" i="7"/>
  <c r="CT210" i="7"/>
  <c r="BT210" i="7"/>
  <c r="CC210" i="7"/>
  <c r="BS210" i="7"/>
  <c r="CD210" i="7"/>
  <c r="CB210" i="7"/>
  <c r="CA210" i="7"/>
  <c r="BZ210" i="7"/>
  <c r="BY210" i="7"/>
  <c r="BX210" i="7"/>
  <c r="BW210" i="7"/>
  <c r="BV210" i="7"/>
  <c r="BU210" i="7"/>
  <c r="EM210" i="7"/>
  <c r="DA210" i="7"/>
  <c r="BK210" i="7"/>
  <c r="EL210" i="7"/>
  <c r="CZ210" i="7"/>
  <c r="BJ210" i="7"/>
  <c r="DC210" i="7"/>
  <c r="BI210" i="7"/>
  <c r="ET210" i="7"/>
  <c r="CW210" i="7"/>
  <c r="CU210" i="7"/>
  <c r="BO210" i="7"/>
  <c r="EV210" i="7"/>
  <c r="DB210" i="7"/>
  <c r="BH210" i="7"/>
  <c r="EU210" i="7"/>
  <c r="CY210" i="7"/>
  <c r="BG210" i="7"/>
  <c r="CX210" i="7"/>
  <c r="BF210" i="7"/>
  <c r="ER210" i="7"/>
  <c r="EQ210" i="7"/>
  <c r="EO210" i="7"/>
  <c r="EN210" i="7"/>
  <c r="ES210" i="7"/>
  <c r="BE210" i="7"/>
  <c r="CV210" i="7"/>
  <c r="EP210" i="7"/>
  <c r="BP210" i="7"/>
  <c r="DD210" i="7"/>
  <c r="BL210" i="7"/>
  <c r="DF210" i="7"/>
  <c r="DE210" i="7"/>
  <c r="BM210" i="7"/>
  <c r="EK210" i="7"/>
  <c r="BN210" i="7"/>
  <c r="BR210" i="7" s="1"/>
  <c r="CT222" i="7"/>
  <c r="EJ222" i="7" s="1"/>
  <c r="EM222" i="7"/>
  <c r="DA222" i="7"/>
  <c r="BK222" i="7"/>
  <c r="EL222" i="7"/>
  <c r="CZ222" i="7"/>
  <c r="BJ222" i="7"/>
  <c r="EO222" i="7"/>
  <c r="BO222" i="7"/>
  <c r="BL222" i="7"/>
  <c r="DC222" i="7"/>
  <c r="DB222" i="7"/>
  <c r="ES222" i="7"/>
  <c r="EX222" i="7" s="1"/>
  <c r="CW222" i="7"/>
  <c r="EN222" i="7"/>
  <c r="DF222" i="7"/>
  <c r="BN222" i="7"/>
  <c r="BR222" i="7" s="1"/>
  <c r="EK222" i="7"/>
  <c r="DE222" i="7"/>
  <c r="BM222" i="7"/>
  <c r="DD222" i="7"/>
  <c r="DH222" i="7" s="1"/>
  <c r="BH222" i="7"/>
  <c r="BG222" i="7"/>
  <c r="BE222" i="7"/>
  <c r="ER222" i="7"/>
  <c r="BI222" i="7"/>
  <c r="EV222" i="7"/>
  <c r="EU222" i="7"/>
  <c r="CY222" i="7"/>
  <c r="ET222" i="7"/>
  <c r="CX222" i="7"/>
  <c r="BF222" i="7"/>
  <c r="BP222" i="7"/>
  <c r="EQ222" i="7"/>
  <c r="CV222" i="7"/>
  <c r="EP222" i="7"/>
  <c r="CU222" i="7"/>
  <c r="CT46" i="7"/>
  <c r="BT46" i="7"/>
  <c r="CA46" i="7"/>
  <c r="BZ46" i="7"/>
  <c r="BS46" i="7"/>
  <c r="CD46" i="7"/>
  <c r="CC46" i="7"/>
  <c r="CB46" i="7"/>
  <c r="BV46" i="7"/>
  <c r="BY46" i="7"/>
  <c r="BU46" i="7"/>
  <c r="BX46" i="7"/>
  <c r="BW46" i="7"/>
  <c r="EM46" i="7"/>
  <c r="EM46" i="4" s="1"/>
  <c r="DA46" i="7"/>
  <c r="DA46" i="4" s="1"/>
  <c r="EL46" i="7"/>
  <c r="EL46" i="4" s="1"/>
  <c r="CZ46" i="7"/>
  <c r="CZ46" i="4" s="1"/>
  <c r="EU46" i="7"/>
  <c r="EU46" i="4" s="1"/>
  <c r="CY46" i="7"/>
  <c r="CY46" i="4" s="1"/>
  <c r="BO46" i="7"/>
  <c r="ES46" i="7"/>
  <c r="ER46" i="7"/>
  <c r="ER46" i="4" s="1"/>
  <c r="BL46" i="7"/>
  <c r="BI46" i="7"/>
  <c r="EN46" i="7"/>
  <c r="EN46" i="4" s="1"/>
  <c r="BH46" i="7"/>
  <c r="ET46" i="7"/>
  <c r="ET46" i="4" s="1"/>
  <c r="CX46" i="7"/>
  <c r="CX46" i="4" s="1"/>
  <c r="BN46" i="7"/>
  <c r="CW46" i="7"/>
  <c r="CW46" i="4" s="1"/>
  <c r="BM46" i="7"/>
  <c r="CV46" i="7"/>
  <c r="CV46" i="4" s="1"/>
  <c r="EQ46" i="7"/>
  <c r="EQ46" i="4" s="1"/>
  <c r="CU46" i="7"/>
  <c r="BK46" i="7"/>
  <c r="BJ46" i="7"/>
  <c r="EO46" i="7"/>
  <c r="EO46" i="4" s="1"/>
  <c r="EK46" i="7"/>
  <c r="DE46" i="7"/>
  <c r="DE46" i="4" s="1"/>
  <c r="EP46" i="7"/>
  <c r="EP46" i="4" s="1"/>
  <c r="DF46" i="7"/>
  <c r="DF46" i="4" s="1"/>
  <c r="BG46" i="7"/>
  <c r="DD46" i="7"/>
  <c r="EV46" i="7"/>
  <c r="EV46" i="4" s="1"/>
  <c r="BF46" i="7"/>
  <c r="DC46" i="7"/>
  <c r="DB46" i="7"/>
  <c r="DB46" i="4" s="1"/>
  <c r="BP46" i="7"/>
  <c r="BE46" i="7"/>
  <c r="CT94" i="7"/>
  <c r="BT94" i="7"/>
  <c r="CB94" i="7"/>
  <c r="CA94" i="7"/>
  <c r="BZ94" i="7"/>
  <c r="BS94" i="7"/>
  <c r="CD94" i="7"/>
  <c r="CC94" i="7"/>
  <c r="BV94" i="7"/>
  <c r="BY94" i="7"/>
  <c r="BX94" i="7"/>
  <c r="BW94" i="7"/>
  <c r="BU94" i="7"/>
  <c r="EM94" i="7"/>
  <c r="DA94" i="7"/>
  <c r="EL94" i="7"/>
  <c r="CZ94" i="7"/>
  <c r="EO94" i="7"/>
  <c r="BO94" i="7"/>
  <c r="EK94" i="7"/>
  <c r="DD94" i="7"/>
  <c r="DC94" i="7"/>
  <c r="BJ94" i="7"/>
  <c r="BI94" i="7"/>
  <c r="ET94" i="7"/>
  <c r="BH94" i="7"/>
  <c r="ES94" i="7"/>
  <c r="CW94" i="7"/>
  <c r="BG94" i="7"/>
  <c r="EN94" i="7"/>
  <c r="DF94" i="7"/>
  <c r="BN94" i="7"/>
  <c r="BR94" i="7" s="1"/>
  <c r="DE94" i="7"/>
  <c r="BM94" i="7"/>
  <c r="BL94" i="7"/>
  <c r="BK94" i="7"/>
  <c r="CX94" i="7"/>
  <c r="ER94" i="7"/>
  <c r="EV94" i="7"/>
  <c r="DB94" i="7"/>
  <c r="EU94" i="7"/>
  <c r="CY94" i="7"/>
  <c r="BP94" i="7"/>
  <c r="EP94" i="7"/>
  <c r="BF94" i="7"/>
  <c r="BE94" i="7"/>
  <c r="EQ94" i="7"/>
  <c r="CV94" i="7"/>
  <c r="CU94" i="7"/>
  <c r="CT118" i="7"/>
  <c r="BT118" i="7"/>
  <c r="CA118" i="7"/>
  <c r="BZ118" i="7"/>
  <c r="BS118" i="7"/>
  <c r="CD118" i="7"/>
  <c r="CC118" i="7"/>
  <c r="CB118" i="7"/>
  <c r="BV118" i="7"/>
  <c r="BY118" i="7"/>
  <c r="BX118" i="7"/>
  <c r="BW118" i="7"/>
  <c r="BU118" i="7"/>
  <c r="EM118" i="7"/>
  <c r="DA118" i="7"/>
  <c r="EL118" i="7"/>
  <c r="CZ118" i="7"/>
  <c r="EQ118" i="7"/>
  <c r="CU118" i="7"/>
  <c r="BO118" i="7"/>
  <c r="EO118" i="7"/>
  <c r="BL118" i="7"/>
  <c r="BJ118" i="7"/>
  <c r="BG118" i="7"/>
  <c r="EP118" i="7"/>
  <c r="BN118" i="7"/>
  <c r="BM118" i="7"/>
  <c r="EN118" i="7"/>
  <c r="DF118" i="7"/>
  <c r="DE118" i="7"/>
  <c r="BK118" i="7"/>
  <c r="BI118" i="7"/>
  <c r="EV118" i="7"/>
  <c r="BH118" i="7"/>
  <c r="EU118" i="7"/>
  <c r="ET118" i="7"/>
  <c r="EK118" i="7"/>
  <c r="DD118" i="7"/>
  <c r="DC118" i="7"/>
  <c r="DB118" i="7"/>
  <c r="CY118" i="7"/>
  <c r="CW118" i="7"/>
  <c r="BP118" i="7"/>
  <c r="CX118" i="7"/>
  <c r="BF118" i="7"/>
  <c r="ER118" i="7"/>
  <c r="BE118" i="7"/>
  <c r="CV118" i="7"/>
  <c r="ES118" i="7"/>
  <c r="CT154" i="7"/>
  <c r="BT154" i="7"/>
  <c r="CD154" i="7"/>
  <c r="CB154" i="7"/>
  <c r="BZ154" i="7"/>
  <c r="BS154" i="7"/>
  <c r="CC154" i="7"/>
  <c r="CA154" i="7"/>
  <c r="BU154" i="7"/>
  <c r="BW154" i="7"/>
  <c r="BV154" i="7"/>
  <c r="BY154" i="7"/>
  <c r="BX154" i="7"/>
  <c r="EM154" i="7"/>
  <c r="DA154" i="7"/>
  <c r="BK154" i="7"/>
  <c r="EL154" i="7"/>
  <c r="CZ154" i="7"/>
  <c r="BJ154" i="7"/>
  <c r="ES154" i="7"/>
  <c r="CW154" i="7"/>
  <c r="BE154" i="7"/>
  <c r="CU154" i="7"/>
  <c r="EP154" i="7"/>
  <c r="BO154" i="7"/>
  <c r="BI154" i="7"/>
  <c r="ER154" i="7"/>
  <c r="CV154" i="7"/>
  <c r="EQ154" i="7"/>
  <c r="BP154" i="7"/>
  <c r="EN154" i="7"/>
  <c r="DF154" i="7"/>
  <c r="EK154" i="7"/>
  <c r="BM154" i="7"/>
  <c r="DC154" i="7"/>
  <c r="EV154" i="7"/>
  <c r="EO154" i="7"/>
  <c r="BN154" i="7"/>
  <c r="DE154" i="7"/>
  <c r="DD154" i="7"/>
  <c r="BL154" i="7"/>
  <c r="CX154" i="7"/>
  <c r="EU154" i="7"/>
  <c r="DB154" i="7"/>
  <c r="BH154" i="7"/>
  <c r="BF154" i="7"/>
  <c r="CY154" i="7"/>
  <c r="BG154" i="7"/>
  <c r="ET154" i="7"/>
  <c r="CT166" i="7"/>
  <c r="BT166" i="7"/>
  <c r="CC166" i="7"/>
  <c r="BZ166" i="7"/>
  <c r="BS166" i="7"/>
  <c r="CD166" i="7"/>
  <c r="CB166" i="7"/>
  <c r="CA166" i="7"/>
  <c r="BV166" i="7"/>
  <c r="BU166" i="7"/>
  <c r="BY166" i="7"/>
  <c r="BX166" i="7"/>
  <c r="BW166" i="7"/>
  <c r="EM166" i="7"/>
  <c r="DA166" i="7"/>
  <c r="BK166" i="7"/>
  <c r="EL166" i="7"/>
  <c r="CZ166" i="7"/>
  <c r="BJ166" i="7"/>
  <c r="EU166" i="7"/>
  <c r="CY166" i="7"/>
  <c r="BG166" i="7"/>
  <c r="BE166" i="7"/>
  <c r="CV166" i="7"/>
  <c r="CU166" i="7"/>
  <c r="EO166" i="7"/>
  <c r="EN166" i="7"/>
  <c r="EK166" i="7"/>
  <c r="BM166" i="7"/>
  <c r="ET166" i="7"/>
  <c r="CX166" i="7"/>
  <c r="BF166" i="7"/>
  <c r="ES166" i="7"/>
  <c r="CW166" i="7"/>
  <c r="ER166" i="7"/>
  <c r="EQ166" i="7"/>
  <c r="EP166" i="7"/>
  <c r="BP166" i="7"/>
  <c r="BO166" i="7"/>
  <c r="DE166" i="7"/>
  <c r="DF166" i="7"/>
  <c r="BN166" i="7"/>
  <c r="EV166" i="7"/>
  <c r="BH166" i="7"/>
  <c r="DB166" i="7"/>
  <c r="DD166" i="7"/>
  <c r="BL166" i="7"/>
  <c r="DC166" i="7"/>
  <c r="BI166" i="7"/>
  <c r="CT190" i="7"/>
  <c r="BT190" i="7"/>
  <c r="CD190" i="7"/>
  <c r="CC190" i="7"/>
  <c r="BS190" i="7"/>
  <c r="CB190" i="7"/>
  <c r="CA190" i="7"/>
  <c r="BZ190" i="7"/>
  <c r="BY190" i="7"/>
  <c r="BX190" i="7"/>
  <c r="BW190" i="7"/>
  <c r="BV190" i="7"/>
  <c r="BU190" i="7"/>
  <c r="EM190" i="7"/>
  <c r="DA190" i="7"/>
  <c r="BK190" i="7"/>
  <c r="EL190" i="7"/>
  <c r="CZ190" i="7"/>
  <c r="BJ190" i="7"/>
  <c r="EK190" i="7"/>
  <c r="DE190" i="7"/>
  <c r="BM190" i="7"/>
  <c r="DC190" i="7"/>
  <c r="BI190" i="7"/>
  <c r="EV190" i="7"/>
  <c r="CY190" i="7"/>
  <c r="CX190" i="7"/>
  <c r="BF190" i="7"/>
  <c r="BE190" i="7"/>
  <c r="CU190" i="7"/>
  <c r="DD190" i="7"/>
  <c r="BL190" i="7"/>
  <c r="BH190" i="7"/>
  <c r="EU190" i="7"/>
  <c r="ER190" i="7"/>
  <c r="CV190" i="7"/>
  <c r="EQ190" i="7"/>
  <c r="EP190" i="7"/>
  <c r="DB190" i="7"/>
  <c r="BG190" i="7"/>
  <c r="ET190" i="7"/>
  <c r="ES190" i="7"/>
  <c r="CW190" i="7"/>
  <c r="BP190" i="7"/>
  <c r="BO190" i="7"/>
  <c r="DF190" i="7"/>
  <c r="BN190" i="7"/>
  <c r="EO190" i="7"/>
  <c r="EN190" i="7"/>
  <c r="CT35" i="7"/>
  <c r="EJ35" i="7" s="1"/>
  <c r="EM35" i="7"/>
  <c r="EM35" i="4" s="1"/>
  <c r="DA35" i="7"/>
  <c r="DA35" i="4" s="1"/>
  <c r="EL35" i="7"/>
  <c r="EL35" i="4" s="1"/>
  <c r="CZ35" i="7"/>
  <c r="CZ35" i="4" s="1"/>
  <c r="EQ35" i="7"/>
  <c r="EQ35" i="4" s="1"/>
  <c r="CU35" i="7"/>
  <c r="BO35" i="7"/>
  <c r="BM35" i="7"/>
  <c r="EN35" i="7"/>
  <c r="EN35" i="4" s="1"/>
  <c r="DF35" i="7"/>
  <c r="DF35" i="4" s="1"/>
  <c r="BL35" i="7"/>
  <c r="BK35" i="7"/>
  <c r="DC35" i="7"/>
  <c r="BI35" i="7"/>
  <c r="EV35" i="7"/>
  <c r="EV35" i="4" s="1"/>
  <c r="EU35" i="7"/>
  <c r="EU35" i="4" s="1"/>
  <c r="CY35" i="7"/>
  <c r="CY35" i="4" s="1"/>
  <c r="ET35" i="7"/>
  <c r="ET35" i="4" s="1"/>
  <c r="EP35" i="7"/>
  <c r="EP35" i="4" s="1"/>
  <c r="BN35" i="7"/>
  <c r="BR35" i="7" s="1"/>
  <c r="EO35" i="7"/>
  <c r="EO35" i="4" s="1"/>
  <c r="DE35" i="7"/>
  <c r="DE35" i="4" s="1"/>
  <c r="DD35" i="7"/>
  <c r="BJ35" i="7"/>
  <c r="BH35" i="7"/>
  <c r="EK35" i="7"/>
  <c r="DB35" i="7"/>
  <c r="DB35" i="4" s="1"/>
  <c r="BG35" i="7"/>
  <c r="CV35" i="7"/>
  <c r="CV35" i="4" s="1"/>
  <c r="BF35" i="7"/>
  <c r="BE35" i="7"/>
  <c r="ES35" i="7"/>
  <c r="ER35" i="7"/>
  <c r="ER35" i="4" s="1"/>
  <c r="BP35" i="7"/>
  <c r="CX35" i="7"/>
  <c r="CX35" i="4" s="1"/>
  <c r="CW35" i="7"/>
  <c r="CW35" i="4" s="1"/>
  <c r="CT83" i="7"/>
  <c r="BT83" i="7"/>
  <c r="CB83" i="7"/>
  <c r="CA83" i="7"/>
  <c r="BS83" i="7"/>
  <c r="CD83" i="7"/>
  <c r="CC83" i="7"/>
  <c r="BZ83" i="7"/>
  <c r="BY83" i="7"/>
  <c r="BX83" i="7"/>
  <c r="BW83" i="7"/>
  <c r="BU83" i="7"/>
  <c r="BV83" i="7"/>
  <c r="EM83" i="7"/>
  <c r="DA83" i="7"/>
  <c r="EL83" i="7"/>
  <c r="CZ83" i="7"/>
  <c r="EU83" i="7"/>
  <c r="CY83" i="7"/>
  <c r="BO83" i="7"/>
  <c r="CW83" i="7"/>
  <c r="BM83" i="7"/>
  <c r="CV83" i="7"/>
  <c r="BL83" i="7"/>
  <c r="EQ83" i="7"/>
  <c r="CU83" i="7"/>
  <c r="EP83" i="7"/>
  <c r="EK83" i="7"/>
  <c r="ET83" i="7"/>
  <c r="CX83" i="7"/>
  <c r="BN83" i="7"/>
  <c r="ES83" i="7"/>
  <c r="ER83" i="7"/>
  <c r="BK83" i="7"/>
  <c r="BJ83" i="7"/>
  <c r="EO83" i="7"/>
  <c r="BI83" i="7"/>
  <c r="EN83" i="7"/>
  <c r="DE83" i="7"/>
  <c r="BG83" i="7"/>
  <c r="DF83" i="7"/>
  <c r="BH83" i="7"/>
  <c r="DB83" i="7"/>
  <c r="BP83" i="7"/>
  <c r="BE83" i="7"/>
  <c r="DD83" i="7"/>
  <c r="BF83" i="7"/>
  <c r="DC83" i="7"/>
  <c r="EV83" i="7"/>
  <c r="CT131" i="7"/>
  <c r="BT131" i="7"/>
  <c r="BS131" i="7"/>
  <c r="CD131" i="7"/>
  <c r="CC131" i="7"/>
  <c r="CB131" i="7"/>
  <c r="CA131" i="7"/>
  <c r="BZ131" i="7"/>
  <c r="BV131" i="7"/>
  <c r="BY131" i="7"/>
  <c r="BX131" i="7"/>
  <c r="BW131" i="7"/>
  <c r="BU131" i="7"/>
  <c r="EM131" i="7"/>
  <c r="DA131" i="7"/>
  <c r="EL131" i="7"/>
  <c r="CZ131" i="7"/>
  <c r="EQ131" i="7"/>
  <c r="CU131" i="7"/>
  <c r="BO131" i="7"/>
  <c r="EO131" i="7"/>
  <c r="BM131" i="7"/>
  <c r="EN131" i="7"/>
  <c r="DF131" i="7"/>
  <c r="BH131" i="7"/>
  <c r="EP131" i="7"/>
  <c r="BN131" i="7"/>
  <c r="BR131" i="7" s="1"/>
  <c r="BK131" i="7"/>
  <c r="DD131" i="7"/>
  <c r="BJ131" i="7"/>
  <c r="BI131" i="7"/>
  <c r="EV131" i="7"/>
  <c r="DB131" i="7"/>
  <c r="EU131" i="7"/>
  <c r="CY131" i="7"/>
  <c r="BG131" i="7"/>
  <c r="ET131" i="7"/>
  <c r="BL131" i="7"/>
  <c r="EK131" i="7"/>
  <c r="DE131" i="7"/>
  <c r="DC131" i="7"/>
  <c r="BP131" i="7"/>
  <c r="CX131" i="7"/>
  <c r="BE131" i="7"/>
  <c r="ES131" i="7"/>
  <c r="CW131" i="7"/>
  <c r="ER131" i="7"/>
  <c r="CV131" i="7"/>
  <c r="BF131" i="7"/>
  <c r="CT215" i="7"/>
  <c r="BT215" i="7"/>
  <c r="CC215" i="7"/>
  <c r="BS215" i="7"/>
  <c r="CD215" i="7"/>
  <c r="CB215" i="7"/>
  <c r="CA215" i="7"/>
  <c r="BZ215" i="7"/>
  <c r="BU215" i="7"/>
  <c r="BY215" i="7"/>
  <c r="BX215" i="7"/>
  <c r="BW215" i="7"/>
  <c r="BV215" i="7"/>
  <c r="EM215" i="7"/>
  <c r="DA215" i="7"/>
  <c r="BK215" i="7"/>
  <c r="EL215" i="7"/>
  <c r="CZ215" i="7"/>
  <c r="BJ215" i="7"/>
  <c r="ES215" i="7"/>
  <c r="CW215" i="7"/>
  <c r="BE215" i="7"/>
  <c r="BO215" i="7"/>
  <c r="DF215" i="7"/>
  <c r="BM215" i="7"/>
  <c r="ER215" i="7"/>
  <c r="CV215" i="7"/>
  <c r="EQ215" i="7"/>
  <c r="CU215" i="7"/>
  <c r="EP215" i="7"/>
  <c r="BP215" i="7"/>
  <c r="EO215" i="7"/>
  <c r="EK215" i="7"/>
  <c r="DC215" i="7"/>
  <c r="BI215" i="7"/>
  <c r="EV215" i="7"/>
  <c r="EN215" i="7"/>
  <c r="BN215" i="7"/>
  <c r="BR215" i="7" s="1"/>
  <c r="DE215" i="7"/>
  <c r="DD215" i="7"/>
  <c r="BL215" i="7"/>
  <c r="DB215" i="7"/>
  <c r="BH215" i="7"/>
  <c r="CX215" i="7"/>
  <c r="BF215" i="7"/>
  <c r="CY215" i="7"/>
  <c r="BG215" i="7"/>
  <c r="EU215" i="7"/>
  <c r="ET215" i="7"/>
  <c r="CT24" i="7"/>
  <c r="EJ24" i="7" s="1"/>
  <c r="EM24" i="7"/>
  <c r="DA24" i="7"/>
  <c r="EL24" i="7"/>
  <c r="CZ24" i="7"/>
  <c r="EO24" i="7"/>
  <c r="BO24" i="7"/>
  <c r="DD24" i="7"/>
  <c r="DC24" i="7"/>
  <c r="EV24" i="7"/>
  <c r="BI24" i="7"/>
  <c r="ES24" i="7"/>
  <c r="CW24" i="7"/>
  <c r="ER24" i="7"/>
  <c r="EN24" i="7"/>
  <c r="DF24" i="7"/>
  <c r="BN24" i="7"/>
  <c r="EK24" i="7"/>
  <c r="DE24" i="7"/>
  <c r="BM24" i="7"/>
  <c r="BK24" i="7"/>
  <c r="BJ24" i="7"/>
  <c r="EU24" i="7"/>
  <c r="BL24" i="7"/>
  <c r="DB24" i="7"/>
  <c r="CY24" i="7"/>
  <c r="ET24" i="7"/>
  <c r="CX24" i="7"/>
  <c r="BH24" i="7"/>
  <c r="BG24" i="7"/>
  <c r="BP24" i="7"/>
  <c r="BF24" i="7"/>
  <c r="EQ24" i="7"/>
  <c r="CU24" i="7"/>
  <c r="BE24" i="7"/>
  <c r="CV24" i="7"/>
  <c r="EP24" i="7"/>
  <c r="CT96" i="7"/>
  <c r="BT96" i="7"/>
  <c r="CD96" i="7"/>
  <c r="CC96" i="7"/>
  <c r="CB96" i="7"/>
  <c r="CA96" i="7"/>
  <c r="BZ96" i="7"/>
  <c r="BS96" i="7"/>
  <c r="BU96" i="7"/>
  <c r="BX96" i="7"/>
  <c r="BY96" i="7"/>
  <c r="BW96" i="7"/>
  <c r="BV96" i="7"/>
  <c r="EM96" i="7"/>
  <c r="DA96" i="7"/>
  <c r="EL96" i="7"/>
  <c r="CZ96" i="7"/>
  <c r="ES96" i="7"/>
  <c r="CW96" i="7"/>
  <c r="BO96" i="7"/>
  <c r="EQ96" i="7"/>
  <c r="EP96" i="7"/>
  <c r="EO96" i="7"/>
  <c r="BK96" i="7"/>
  <c r="DD96" i="7"/>
  <c r="DC96" i="7"/>
  <c r="ER96" i="7"/>
  <c r="CV96" i="7"/>
  <c r="BN96" i="7"/>
  <c r="CU96" i="7"/>
  <c r="BM96" i="7"/>
  <c r="BL96" i="7"/>
  <c r="EN96" i="7"/>
  <c r="BJ96" i="7"/>
  <c r="EK96" i="7"/>
  <c r="DE96" i="7"/>
  <c r="BI96" i="7"/>
  <c r="EV96" i="7"/>
  <c r="DF96" i="7"/>
  <c r="BH96" i="7"/>
  <c r="BG96" i="7"/>
  <c r="BP96" i="7"/>
  <c r="DB96" i="7"/>
  <c r="BF96" i="7"/>
  <c r="ET96" i="7"/>
  <c r="EU96" i="7"/>
  <c r="CY96" i="7"/>
  <c r="BE96" i="7"/>
  <c r="CX96" i="7"/>
  <c r="CT120" i="7"/>
  <c r="BT120" i="7"/>
  <c r="CB120" i="7"/>
  <c r="CA120" i="7"/>
  <c r="BZ120" i="7"/>
  <c r="BS120" i="7"/>
  <c r="CD120" i="7"/>
  <c r="CC120" i="7"/>
  <c r="BV120" i="7"/>
  <c r="BU120" i="7"/>
  <c r="BY120" i="7"/>
  <c r="BX120" i="7"/>
  <c r="BW120" i="7"/>
  <c r="EM120" i="7"/>
  <c r="DA120" i="7"/>
  <c r="EL120" i="7"/>
  <c r="CZ120" i="7"/>
  <c r="EU120" i="7"/>
  <c r="CY120" i="7"/>
  <c r="BO120" i="7"/>
  <c r="ES120" i="7"/>
  <c r="ER120" i="7"/>
  <c r="CV120" i="7"/>
  <c r="BL120" i="7"/>
  <c r="EQ120" i="7"/>
  <c r="CU120" i="7"/>
  <c r="BK120" i="7"/>
  <c r="EO120" i="7"/>
  <c r="EN120" i="7"/>
  <c r="DF120" i="7"/>
  <c r="EK120" i="7"/>
  <c r="BG120" i="7"/>
  <c r="ET120" i="7"/>
  <c r="CX120" i="7"/>
  <c r="BN120" i="7"/>
  <c r="BR120" i="7" s="1"/>
  <c r="CW120" i="7"/>
  <c r="BM120" i="7"/>
  <c r="BJ120" i="7"/>
  <c r="BI120" i="7"/>
  <c r="DE120" i="7"/>
  <c r="EP120" i="7"/>
  <c r="BH120" i="7"/>
  <c r="DD120" i="7"/>
  <c r="BE120" i="7"/>
  <c r="EV120" i="7"/>
  <c r="DC120" i="7"/>
  <c r="DB120" i="7"/>
  <c r="BP120" i="7"/>
  <c r="BF120" i="7"/>
  <c r="CT168" i="7"/>
  <c r="BT168" i="7"/>
  <c r="CC168" i="7"/>
  <c r="CA168" i="7"/>
  <c r="BS168" i="7"/>
  <c r="CD168" i="7"/>
  <c r="CB168" i="7"/>
  <c r="BZ168" i="7"/>
  <c r="BX168" i="7"/>
  <c r="BW168" i="7"/>
  <c r="BV168" i="7"/>
  <c r="BU168" i="7"/>
  <c r="BY168" i="7"/>
  <c r="EM168" i="7"/>
  <c r="DA168" i="7"/>
  <c r="BK168" i="7"/>
  <c r="EL168" i="7"/>
  <c r="CZ168" i="7"/>
  <c r="BJ168" i="7"/>
  <c r="EK168" i="7"/>
  <c r="DE168" i="7"/>
  <c r="BM168" i="7"/>
  <c r="BI168" i="7"/>
  <c r="BF168" i="7"/>
  <c r="CW168" i="7"/>
  <c r="BE168" i="7"/>
  <c r="ER168" i="7"/>
  <c r="EQ168" i="7"/>
  <c r="CU168" i="7"/>
  <c r="DD168" i="7"/>
  <c r="BL168" i="7"/>
  <c r="DC168" i="7"/>
  <c r="EV168" i="7"/>
  <c r="DB168" i="7"/>
  <c r="BH168" i="7"/>
  <c r="BG168" i="7"/>
  <c r="CX168" i="7"/>
  <c r="CV168" i="7"/>
  <c r="EP168" i="7"/>
  <c r="EU168" i="7"/>
  <c r="CY168" i="7"/>
  <c r="ET168" i="7"/>
  <c r="ES168" i="7"/>
  <c r="BP168" i="7"/>
  <c r="DF168" i="7"/>
  <c r="BN168" i="7"/>
  <c r="BR168" i="7" s="1"/>
  <c r="EO168" i="7"/>
  <c r="BO168" i="7"/>
  <c r="EN168" i="7"/>
  <c r="CT204" i="7"/>
  <c r="BT204" i="7"/>
  <c r="CC204" i="7"/>
  <c r="BS204" i="7"/>
  <c r="CD204" i="7"/>
  <c r="CB204" i="7"/>
  <c r="CA204" i="7"/>
  <c r="BZ204" i="7"/>
  <c r="BY204" i="7"/>
  <c r="BX204" i="7"/>
  <c r="BW204" i="7"/>
  <c r="BV204" i="7"/>
  <c r="BU204" i="7"/>
  <c r="EM204" i="7"/>
  <c r="DA204" i="7"/>
  <c r="BK204" i="7"/>
  <c r="EL204" i="7"/>
  <c r="CZ204" i="7"/>
  <c r="BJ204" i="7"/>
  <c r="EO204" i="7"/>
  <c r="BO204" i="7"/>
  <c r="BM204" i="7"/>
  <c r="DD204" i="7"/>
  <c r="DC204" i="7"/>
  <c r="DB204" i="7"/>
  <c r="BG204" i="7"/>
  <c r="ES204" i="7"/>
  <c r="BE204" i="7"/>
  <c r="EN204" i="7"/>
  <c r="DF204" i="7"/>
  <c r="BN204" i="7"/>
  <c r="BR204" i="7" s="1"/>
  <c r="EK204" i="7"/>
  <c r="DE204" i="7"/>
  <c r="BL204" i="7"/>
  <c r="BI204" i="7"/>
  <c r="EV204" i="7"/>
  <c r="BH204" i="7"/>
  <c r="EU204" i="7"/>
  <c r="CW204" i="7"/>
  <c r="ER204" i="7"/>
  <c r="CY204" i="7"/>
  <c r="ET204" i="7"/>
  <c r="CX204" i="7"/>
  <c r="BF204" i="7"/>
  <c r="EQ204" i="7"/>
  <c r="EP204" i="7"/>
  <c r="BP204" i="7"/>
  <c r="CV204" i="7"/>
  <c r="CU204" i="7"/>
  <c r="CT243" i="7"/>
  <c r="CD243" i="7"/>
  <c r="CA243" i="7"/>
  <c r="BZ243" i="7"/>
  <c r="BX243" i="7"/>
  <c r="CC243" i="7"/>
  <c r="CB243" i="7"/>
  <c r="BY243" i="7"/>
  <c r="BW243" i="7"/>
  <c r="BV243" i="7"/>
  <c r="BU243" i="7"/>
  <c r="BT243" i="7"/>
  <c r="BS243" i="7"/>
  <c r="EM243" i="7"/>
  <c r="EM243" i="4" s="1"/>
  <c r="DA243" i="7"/>
  <c r="DA243" i="4" s="1"/>
  <c r="BK243" i="7"/>
  <c r="EL243" i="7"/>
  <c r="EL243" i="4" s="1"/>
  <c r="CZ243" i="7"/>
  <c r="CZ243" i="4" s="1"/>
  <c r="BJ243" i="7"/>
  <c r="EQ243" i="7"/>
  <c r="EQ243" i="4" s="1"/>
  <c r="CU243" i="7"/>
  <c r="BO243" i="7"/>
  <c r="EN243" i="7"/>
  <c r="EN243" i="4" s="1"/>
  <c r="DF243" i="7"/>
  <c r="DF243" i="4" s="1"/>
  <c r="BN243" i="7"/>
  <c r="DE243" i="7"/>
  <c r="DE243" i="4" s="1"/>
  <c r="BM243" i="7"/>
  <c r="BI243" i="7"/>
  <c r="DB243" i="7"/>
  <c r="DB243" i="4" s="1"/>
  <c r="EU243" i="7"/>
  <c r="EU243" i="4" s="1"/>
  <c r="BG243" i="7"/>
  <c r="EP243" i="7"/>
  <c r="EP243" i="4" s="1"/>
  <c r="BP243" i="7"/>
  <c r="EO243" i="7"/>
  <c r="EO243" i="4" s="1"/>
  <c r="BL243" i="7"/>
  <c r="DC243" i="7"/>
  <c r="EV243" i="7"/>
  <c r="EV243" i="4" s="1"/>
  <c r="BH243" i="7"/>
  <c r="CY243" i="7"/>
  <c r="CY243" i="4" s="1"/>
  <c r="EK243" i="7"/>
  <c r="DD243" i="7"/>
  <c r="ET243" i="7"/>
  <c r="ET243" i="4" s="1"/>
  <c r="CV243" i="7"/>
  <c r="CV243" i="4" s="1"/>
  <c r="ES243" i="7"/>
  <c r="BF243" i="7"/>
  <c r="CW243" i="7"/>
  <c r="CW243" i="4" s="1"/>
  <c r="ER243" i="7"/>
  <c r="ER243" i="4" s="1"/>
  <c r="CX243" i="7"/>
  <c r="CX243" i="4" s="1"/>
  <c r="BE243" i="7"/>
  <c r="CT97" i="7"/>
  <c r="BT97" i="7"/>
  <c r="CB97" i="7"/>
  <c r="BS97" i="7"/>
  <c r="CD97" i="7"/>
  <c r="CC97" i="7"/>
  <c r="CA97" i="7"/>
  <c r="BZ97" i="7"/>
  <c r="BY97" i="7"/>
  <c r="BX97" i="7"/>
  <c r="BW97" i="7"/>
  <c r="BV97" i="7"/>
  <c r="BU97" i="7"/>
  <c r="EM97" i="7"/>
  <c r="DA97" i="7"/>
  <c r="EL97" i="7"/>
  <c r="CZ97" i="7"/>
  <c r="EU97" i="7"/>
  <c r="CY97" i="7"/>
  <c r="BO97" i="7"/>
  <c r="CW97" i="7"/>
  <c r="BM97" i="7"/>
  <c r="CV97" i="7"/>
  <c r="BL97" i="7"/>
  <c r="CU97" i="7"/>
  <c r="EP97" i="7"/>
  <c r="BJ97" i="7"/>
  <c r="BI97" i="7"/>
  <c r="BH97" i="7"/>
  <c r="EK97" i="7"/>
  <c r="BG97" i="7"/>
  <c r="ET97" i="7"/>
  <c r="CX97" i="7"/>
  <c r="BN97" i="7"/>
  <c r="ES97" i="7"/>
  <c r="ER97" i="7"/>
  <c r="EQ97" i="7"/>
  <c r="BK97" i="7"/>
  <c r="EO97" i="7"/>
  <c r="EN97" i="7"/>
  <c r="DF97" i="7"/>
  <c r="DE97" i="7"/>
  <c r="DB97" i="7"/>
  <c r="BP97" i="7"/>
  <c r="BE97" i="7"/>
  <c r="EV97" i="7"/>
  <c r="DD97" i="7"/>
  <c r="BF97" i="7"/>
  <c r="DC97" i="7"/>
  <c r="CT121" i="7"/>
  <c r="BT121" i="7"/>
  <c r="CD121" i="7"/>
  <c r="CC121" i="7"/>
  <c r="CA121" i="7"/>
  <c r="BZ121" i="7"/>
  <c r="BS121" i="7"/>
  <c r="CB121" i="7"/>
  <c r="BX121" i="7"/>
  <c r="BY121" i="7"/>
  <c r="BW121" i="7"/>
  <c r="BV121" i="7"/>
  <c r="BU121" i="7"/>
  <c r="EM121" i="7"/>
  <c r="DA121" i="7"/>
  <c r="EL121" i="7"/>
  <c r="CZ121" i="7"/>
  <c r="DC121" i="7"/>
  <c r="BO121" i="7"/>
  <c r="CY121" i="7"/>
  <c r="BM121" i="7"/>
  <c r="CV121" i="7"/>
  <c r="BJ121" i="7"/>
  <c r="BI121" i="7"/>
  <c r="EV121" i="7"/>
  <c r="DB121" i="7"/>
  <c r="BN121" i="7"/>
  <c r="BR121" i="7" s="1"/>
  <c r="EU121" i="7"/>
  <c r="ET121" i="7"/>
  <c r="CX121" i="7"/>
  <c r="BL121" i="7"/>
  <c r="CW121" i="7"/>
  <c r="BK121" i="7"/>
  <c r="ER121" i="7"/>
  <c r="EQ121" i="7"/>
  <c r="BH121" i="7"/>
  <c r="EO121" i="7"/>
  <c r="BG121" i="7"/>
  <c r="EN121" i="7"/>
  <c r="ES121" i="7"/>
  <c r="CU121" i="7"/>
  <c r="EP121" i="7"/>
  <c r="DD121" i="7"/>
  <c r="BP121" i="7"/>
  <c r="BF121" i="7"/>
  <c r="DF121" i="7"/>
  <c r="DE121" i="7"/>
  <c r="BE121" i="7"/>
  <c r="EK121" i="7"/>
  <c r="CT169" i="7"/>
  <c r="BT169" i="7"/>
  <c r="CD169" i="7"/>
  <c r="CC169" i="7"/>
  <c r="BS169" i="7"/>
  <c r="CB169" i="7"/>
  <c r="CA169" i="7"/>
  <c r="BZ169" i="7"/>
  <c r="BU169" i="7"/>
  <c r="BY169" i="7"/>
  <c r="BX169" i="7"/>
  <c r="BW169" i="7"/>
  <c r="BV169" i="7"/>
  <c r="EM169" i="7"/>
  <c r="DA169" i="7"/>
  <c r="BK169" i="7"/>
  <c r="EL169" i="7"/>
  <c r="CZ169" i="7"/>
  <c r="BJ169" i="7"/>
  <c r="EO169" i="7"/>
  <c r="BO169" i="7"/>
  <c r="DD169" i="7"/>
  <c r="BL169" i="7"/>
  <c r="DC169" i="7"/>
  <c r="BI169" i="7"/>
  <c r="EU169" i="7"/>
  <c r="CX169" i="7"/>
  <c r="BF169" i="7"/>
  <c r="BE169" i="7"/>
  <c r="EN169" i="7"/>
  <c r="DF169" i="7"/>
  <c r="BN169" i="7"/>
  <c r="EK169" i="7"/>
  <c r="DE169" i="7"/>
  <c r="BM169" i="7"/>
  <c r="EV169" i="7"/>
  <c r="BH169" i="7"/>
  <c r="BG169" i="7"/>
  <c r="ET169" i="7"/>
  <c r="ES169" i="7"/>
  <c r="CW169" i="7"/>
  <c r="ER169" i="7"/>
  <c r="DB169" i="7"/>
  <c r="CY169" i="7"/>
  <c r="BP169" i="7"/>
  <c r="EP169" i="7"/>
  <c r="CV169" i="7"/>
  <c r="EQ169" i="7"/>
  <c r="CU169" i="7"/>
  <c r="CT206" i="7"/>
  <c r="BT206" i="7"/>
  <c r="CC206" i="7"/>
  <c r="CA206" i="7"/>
  <c r="BS206" i="7"/>
  <c r="CD206" i="7"/>
  <c r="CB206" i="7"/>
  <c r="BZ206" i="7"/>
  <c r="BV206" i="7"/>
  <c r="BY206" i="7"/>
  <c r="BX206" i="7"/>
  <c r="BW206" i="7"/>
  <c r="BU206" i="7"/>
  <c r="EM206" i="7"/>
  <c r="DA206" i="7"/>
  <c r="BK206" i="7"/>
  <c r="EL206" i="7"/>
  <c r="CZ206" i="7"/>
  <c r="BJ206" i="7"/>
  <c r="EQ206" i="7"/>
  <c r="CU206" i="7"/>
  <c r="BO206" i="7"/>
  <c r="BN206" i="7"/>
  <c r="BR206" i="7" s="1"/>
  <c r="EV206" i="7"/>
  <c r="CY206" i="7"/>
  <c r="EP206" i="7"/>
  <c r="BP206" i="7"/>
  <c r="EO206" i="7"/>
  <c r="EN206" i="7"/>
  <c r="DF206" i="7"/>
  <c r="DD206" i="7"/>
  <c r="BI206" i="7"/>
  <c r="BH206" i="7"/>
  <c r="EU206" i="7"/>
  <c r="BG206" i="7"/>
  <c r="ET206" i="7"/>
  <c r="EK206" i="7"/>
  <c r="DE206" i="7"/>
  <c r="BM206" i="7"/>
  <c r="BL206" i="7"/>
  <c r="DC206" i="7"/>
  <c r="DB206" i="7"/>
  <c r="BE206" i="7"/>
  <c r="ES206" i="7"/>
  <c r="CX206" i="7"/>
  <c r="BF206" i="7"/>
  <c r="CW206" i="7"/>
  <c r="CV206" i="7"/>
  <c r="ER206" i="7"/>
  <c r="CT245" i="7"/>
  <c r="CD245" i="7"/>
  <c r="CB245" i="7"/>
  <c r="BZ245" i="7"/>
  <c r="BX245" i="7"/>
  <c r="CC245" i="7"/>
  <c r="CA245" i="7"/>
  <c r="BY245" i="7"/>
  <c r="BW245" i="7"/>
  <c r="BV245" i="7"/>
  <c r="BU245" i="7"/>
  <c r="BT245" i="7"/>
  <c r="BS245" i="7"/>
  <c r="EM245" i="7"/>
  <c r="EM245" i="4" s="1"/>
  <c r="DA245" i="7"/>
  <c r="DA245" i="4" s="1"/>
  <c r="BK245" i="7"/>
  <c r="EL245" i="7"/>
  <c r="EL245" i="4" s="1"/>
  <c r="CZ245" i="7"/>
  <c r="CZ245" i="4" s="1"/>
  <c r="BJ245" i="7"/>
  <c r="EU245" i="7"/>
  <c r="EU245" i="4" s="1"/>
  <c r="CY245" i="7"/>
  <c r="CY245" i="4" s="1"/>
  <c r="BG245" i="7"/>
  <c r="BO245" i="7"/>
  <c r="EN245" i="7"/>
  <c r="EN245" i="4" s="1"/>
  <c r="BM245" i="7"/>
  <c r="ET245" i="7"/>
  <c r="ET245" i="4" s="1"/>
  <c r="CX245" i="7"/>
  <c r="CX245" i="4" s="1"/>
  <c r="BF245" i="7"/>
  <c r="ES245" i="7"/>
  <c r="CW245" i="7"/>
  <c r="CW245" i="4" s="1"/>
  <c r="BE245" i="7"/>
  <c r="ER245" i="7"/>
  <c r="ER245" i="4" s="1"/>
  <c r="CV245" i="7"/>
  <c r="CV245" i="4" s="1"/>
  <c r="EQ245" i="7"/>
  <c r="EQ245" i="4" s="1"/>
  <c r="EP245" i="7"/>
  <c r="EP245" i="4" s="1"/>
  <c r="BP245" i="7"/>
  <c r="DF245" i="7"/>
  <c r="DF245" i="4" s="1"/>
  <c r="EK245" i="7"/>
  <c r="DE245" i="7"/>
  <c r="DE245" i="4" s="1"/>
  <c r="CU245" i="7"/>
  <c r="EO245" i="7"/>
  <c r="EO245" i="4" s="1"/>
  <c r="BN245" i="7"/>
  <c r="EV245" i="7"/>
  <c r="EV245" i="4" s="1"/>
  <c r="DD245" i="7"/>
  <c r="BI245" i="7"/>
  <c r="DB245" i="7"/>
  <c r="DB245" i="4" s="1"/>
  <c r="BL245" i="7"/>
  <c r="DC245" i="7"/>
  <c r="BH245" i="7"/>
  <c r="CT39" i="7"/>
  <c r="BT39" i="7"/>
  <c r="BS39" i="7"/>
  <c r="CD39" i="7"/>
  <c r="CC39" i="7"/>
  <c r="CB39" i="7"/>
  <c r="CA39" i="7"/>
  <c r="BZ39" i="7"/>
  <c r="BY39" i="7"/>
  <c r="BW39" i="7"/>
  <c r="BX39" i="7"/>
  <c r="BV39" i="7"/>
  <c r="BU39" i="7"/>
  <c r="EM39" i="7"/>
  <c r="DA39" i="7"/>
  <c r="EL39" i="7"/>
  <c r="CZ39" i="7"/>
  <c r="EU39" i="7"/>
  <c r="CY39" i="7"/>
  <c r="BO39" i="7"/>
  <c r="BM39" i="7"/>
  <c r="ER39" i="7"/>
  <c r="CU39" i="7"/>
  <c r="EP39" i="7"/>
  <c r="BI39" i="7"/>
  <c r="EK39" i="7"/>
  <c r="DE39" i="7"/>
  <c r="ET39" i="7"/>
  <c r="CX39" i="7"/>
  <c r="BN39" i="7"/>
  <c r="BR39" i="7" s="1"/>
  <c r="ES39" i="7"/>
  <c r="CW39" i="7"/>
  <c r="CV39" i="7"/>
  <c r="BK39" i="7"/>
  <c r="BJ39" i="7"/>
  <c r="EO39" i="7"/>
  <c r="EN39" i="7"/>
  <c r="BH39" i="7"/>
  <c r="BG39" i="7"/>
  <c r="BL39" i="7"/>
  <c r="EQ39" i="7"/>
  <c r="DF39" i="7"/>
  <c r="EV39" i="7"/>
  <c r="DC39" i="7"/>
  <c r="DB39" i="7"/>
  <c r="BP39" i="7"/>
  <c r="BF39" i="7"/>
  <c r="DD39" i="7"/>
  <c r="BE39" i="7"/>
  <c r="CT63" i="7"/>
  <c r="EJ63" i="7" s="1"/>
  <c r="EM63" i="7"/>
  <c r="EM63" i="4" s="1"/>
  <c r="DA63" i="7"/>
  <c r="DA63" i="4" s="1"/>
  <c r="EL63" i="7"/>
  <c r="EL63" i="4" s="1"/>
  <c r="CZ63" i="7"/>
  <c r="CZ63" i="4" s="1"/>
  <c r="ES63" i="7"/>
  <c r="CW63" i="7"/>
  <c r="CW63" i="4" s="1"/>
  <c r="BO63" i="7"/>
  <c r="EQ63" i="7"/>
  <c r="EQ63" i="4" s="1"/>
  <c r="BM63" i="7"/>
  <c r="EP63" i="7"/>
  <c r="EP63" i="4" s="1"/>
  <c r="EN63" i="7"/>
  <c r="EN63" i="4" s="1"/>
  <c r="DD63" i="7"/>
  <c r="BH63" i="7"/>
  <c r="EV63" i="7"/>
  <c r="EV63" i="4" s="1"/>
  <c r="ER63" i="7"/>
  <c r="ER63" i="4" s="1"/>
  <c r="CV63" i="7"/>
  <c r="CV63" i="4" s="1"/>
  <c r="BN63" i="7"/>
  <c r="BR63" i="7" s="1"/>
  <c r="CU63" i="7"/>
  <c r="DF63" i="7"/>
  <c r="DF63" i="4" s="1"/>
  <c r="BJ63" i="7"/>
  <c r="EK63" i="7"/>
  <c r="DE63" i="7"/>
  <c r="DE63" i="4" s="1"/>
  <c r="BI63" i="7"/>
  <c r="DC63" i="7"/>
  <c r="BL63" i="7"/>
  <c r="EO63" i="7"/>
  <c r="EO63" i="4" s="1"/>
  <c r="BK63" i="7"/>
  <c r="BG63" i="7"/>
  <c r="BP63" i="7"/>
  <c r="EU63" i="7"/>
  <c r="EU63" i="4" s="1"/>
  <c r="DB63" i="7"/>
  <c r="DB63" i="4" s="1"/>
  <c r="BF63" i="7"/>
  <c r="CX63" i="7"/>
  <c r="CX63" i="4" s="1"/>
  <c r="CY63" i="7"/>
  <c r="CY63" i="4" s="1"/>
  <c r="BE63" i="7"/>
  <c r="ET63" i="7"/>
  <c r="ET63" i="4" s="1"/>
  <c r="CT99" i="7"/>
  <c r="BT99" i="7"/>
  <c r="CB99" i="7"/>
  <c r="BS99" i="7"/>
  <c r="CD99" i="7"/>
  <c r="CC99" i="7"/>
  <c r="CA99" i="7"/>
  <c r="BZ99" i="7"/>
  <c r="BW99" i="7"/>
  <c r="BU99" i="7"/>
  <c r="BY99" i="7"/>
  <c r="BX99" i="7"/>
  <c r="BV99" i="7"/>
  <c r="EM99" i="7"/>
  <c r="DA99" i="7"/>
  <c r="EL99" i="7"/>
  <c r="CZ99" i="7"/>
  <c r="EK99" i="7"/>
  <c r="DE99" i="7"/>
  <c r="BO99" i="7"/>
  <c r="DC99" i="7"/>
  <c r="BM99" i="7"/>
  <c r="DB99" i="7"/>
  <c r="EU99" i="7"/>
  <c r="BK99" i="7"/>
  <c r="ET99" i="7"/>
  <c r="ES99" i="7"/>
  <c r="CW99" i="7"/>
  <c r="BH99" i="7"/>
  <c r="EQ99" i="7"/>
  <c r="CU99" i="7"/>
  <c r="BG99" i="7"/>
  <c r="DD99" i="7"/>
  <c r="BN99" i="7"/>
  <c r="BR99" i="7" s="1"/>
  <c r="EV99" i="7"/>
  <c r="BL99" i="7"/>
  <c r="BJ99" i="7"/>
  <c r="BI99" i="7"/>
  <c r="ER99" i="7"/>
  <c r="EP99" i="7"/>
  <c r="CY99" i="7"/>
  <c r="CX99" i="7"/>
  <c r="CV99" i="7"/>
  <c r="EN99" i="7"/>
  <c r="BP99" i="7"/>
  <c r="BE99" i="7"/>
  <c r="DF99" i="7"/>
  <c r="EO99" i="7"/>
  <c r="BF99" i="7"/>
  <c r="CT147" i="7"/>
  <c r="BT147" i="7"/>
  <c r="CD147" i="7"/>
  <c r="CB147" i="7"/>
  <c r="BZ147" i="7"/>
  <c r="BS147" i="7"/>
  <c r="CC147" i="7"/>
  <c r="CA147" i="7"/>
  <c r="BW147" i="7"/>
  <c r="BU147" i="7"/>
  <c r="BY147" i="7"/>
  <c r="BX147" i="7"/>
  <c r="BV147" i="7"/>
  <c r="EM147" i="7"/>
  <c r="DA147" i="7"/>
  <c r="EL147" i="7"/>
  <c r="CZ147" i="7"/>
  <c r="ES147" i="7"/>
  <c r="CW147" i="7"/>
  <c r="BO147" i="7"/>
  <c r="EQ147" i="7"/>
  <c r="BK147" i="7"/>
  <c r="EN147" i="7"/>
  <c r="DF147" i="7"/>
  <c r="BJ147" i="7"/>
  <c r="BI147" i="7"/>
  <c r="DC147" i="7"/>
  <c r="ER147" i="7"/>
  <c r="CV147" i="7"/>
  <c r="BN147" i="7"/>
  <c r="BR147" i="7" s="1"/>
  <c r="CU147" i="7"/>
  <c r="BM147" i="7"/>
  <c r="EP147" i="7"/>
  <c r="BL147" i="7"/>
  <c r="EO147" i="7"/>
  <c r="EK147" i="7"/>
  <c r="DD147" i="7"/>
  <c r="BG147" i="7"/>
  <c r="EV147" i="7"/>
  <c r="DE147" i="7"/>
  <c r="BH147" i="7"/>
  <c r="CX147" i="7"/>
  <c r="BP147" i="7"/>
  <c r="BE147" i="7"/>
  <c r="EU147" i="7"/>
  <c r="CY147" i="7"/>
  <c r="BF147" i="7"/>
  <c r="DB147" i="7"/>
  <c r="ET147" i="7"/>
  <c r="CT207" i="7"/>
  <c r="BT207" i="7"/>
  <c r="CD207" i="7"/>
  <c r="CC207" i="7"/>
  <c r="BS207" i="7"/>
  <c r="CB207" i="7"/>
  <c r="CA207" i="7"/>
  <c r="BZ207" i="7"/>
  <c r="BW207" i="7"/>
  <c r="BY207" i="7"/>
  <c r="BX207" i="7"/>
  <c r="BV207" i="7"/>
  <c r="BU207" i="7"/>
  <c r="EM207" i="7"/>
  <c r="DA207" i="7"/>
  <c r="BK207" i="7"/>
  <c r="EL207" i="7"/>
  <c r="CZ207" i="7"/>
  <c r="BJ207" i="7"/>
  <c r="ES207" i="7"/>
  <c r="CW207" i="7"/>
  <c r="BE207" i="7"/>
  <c r="EP207" i="7"/>
  <c r="BO207" i="7"/>
  <c r="BN207" i="7"/>
  <c r="BM207" i="7"/>
  <c r="BL207" i="7"/>
  <c r="BI207" i="7"/>
  <c r="ER207" i="7"/>
  <c r="CV207" i="7"/>
  <c r="EQ207" i="7"/>
  <c r="CU207" i="7"/>
  <c r="DD207" i="7"/>
  <c r="DC207" i="7"/>
  <c r="EV207" i="7"/>
  <c r="BP207" i="7"/>
  <c r="EO207" i="7"/>
  <c r="EN207" i="7"/>
  <c r="DF207" i="7"/>
  <c r="EK207" i="7"/>
  <c r="DE207" i="7"/>
  <c r="CX207" i="7"/>
  <c r="BF207" i="7"/>
  <c r="EU207" i="7"/>
  <c r="BH207" i="7"/>
  <c r="ET207" i="7"/>
  <c r="DB207" i="7"/>
  <c r="CY207" i="7"/>
  <c r="BG207" i="7"/>
  <c r="CT124" i="7"/>
  <c r="BT124" i="7"/>
  <c r="CB124" i="7"/>
  <c r="BS124" i="7"/>
  <c r="CD124" i="7"/>
  <c r="CC124" i="7"/>
  <c r="CA124" i="7"/>
  <c r="BZ124" i="7"/>
  <c r="BV124" i="7"/>
  <c r="BY124" i="7"/>
  <c r="BX124" i="7"/>
  <c r="BW124" i="7"/>
  <c r="BU124" i="7"/>
  <c r="EM124" i="7"/>
  <c r="DA124" i="7"/>
  <c r="EL124" i="7"/>
  <c r="CZ124" i="7"/>
  <c r="EQ124" i="7"/>
  <c r="CU124" i="7"/>
  <c r="BO124" i="7"/>
  <c r="BM124" i="7"/>
  <c r="EK124" i="7"/>
  <c r="BJ124" i="7"/>
  <c r="DC124" i="7"/>
  <c r="BI124" i="7"/>
  <c r="DB124" i="7"/>
  <c r="EU124" i="7"/>
  <c r="CY124" i="7"/>
  <c r="BG124" i="7"/>
  <c r="EP124" i="7"/>
  <c r="BN124" i="7"/>
  <c r="BR124" i="7" s="1"/>
  <c r="EO124" i="7"/>
  <c r="EN124" i="7"/>
  <c r="DF124" i="7"/>
  <c r="BL124" i="7"/>
  <c r="DE124" i="7"/>
  <c r="BK124" i="7"/>
  <c r="DD124" i="7"/>
  <c r="EV124" i="7"/>
  <c r="BH124" i="7"/>
  <c r="ET124" i="7"/>
  <c r="ES124" i="7"/>
  <c r="ER124" i="7"/>
  <c r="BP124" i="7"/>
  <c r="CX124" i="7"/>
  <c r="BF124" i="7"/>
  <c r="CW124" i="7"/>
  <c r="BE124" i="7"/>
  <c r="CV124" i="7"/>
  <c r="CT184" i="7"/>
  <c r="BT184" i="7"/>
  <c r="BS184" i="7"/>
  <c r="CD184" i="7"/>
  <c r="CC184" i="7"/>
  <c r="CB184" i="7"/>
  <c r="CA184" i="7"/>
  <c r="BZ184" i="7"/>
  <c r="BU184" i="7"/>
  <c r="BY184" i="7"/>
  <c r="BX184" i="7"/>
  <c r="BW184" i="7"/>
  <c r="BV184" i="7"/>
  <c r="EM184" i="7"/>
  <c r="DA184" i="7"/>
  <c r="BK184" i="7"/>
  <c r="EL184" i="7"/>
  <c r="CZ184" i="7"/>
  <c r="BJ184" i="7"/>
  <c r="EO184" i="7"/>
  <c r="BO184" i="7"/>
  <c r="EK184" i="7"/>
  <c r="BI184" i="7"/>
  <c r="EV184" i="7"/>
  <c r="BG184" i="7"/>
  <c r="CW184" i="7"/>
  <c r="EN184" i="7"/>
  <c r="DF184" i="7"/>
  <c r="BN184" i="7"/>
  <c r="DE184" i="7"/>
  <c r="BM184" i="7"/>
  <c r="DD184" i="7"/>
  <c r="BL184" i="7"/>
  <c r="DC184" i="7"/>
  <c r="BH184" i="7"/>
  <c r="EU184" i="7"/>
  <c r="ES184" i="7"/>
  <c r="BE184" i="7"/>
  <c r="ER184" i="7"/>
  <c r="DB184" i="7"/>
  <c r="CY184" i="7"/>
  <c r="ET184" i="7"/>
  <c r="CX184" i="7"/>
  <c r="BF184" i="7"/>
  <c r="BP184" i="7"/>
  <c r="EQ184" i="7"/>
  <c r="EP184" i="7"/>
  <c r="CV184" i="7"/>
  <c r="CU184" i="7"/>
  <c r="CT19" i="7"/>
  <c r="EJ19" i="7" s="1"/>
  <c r="EM19" i="7"/>
  <c r="EM19" i="4" s="1"/>
  <c r="DA19" i="7"/>
  <c r="DA19" i="4" s="1"/>
  <c r="EL19" i="7"/>
  <c r="EL19" i="4" s="1"/>
  <c r="CZ19" i="7"/>
  <c r="CZ19" i="4" s="1"/>
  <c r="EU19" i="7"/>
  <c r="EU19" i="4" s="1"/>
  <c r="CY19" i="7"/>
  <c r="CY19" i="4" s="1"/>
  <c r="BO19" i="7"/>
  <c r="BM19" i="7"/>
  <c r="ER19" i="7"/>
  <c r="ER19" i="4" s="1"/>
  <c r="BL19" i="7"/>
  <c r="BK19" i="7"/>
  <c r="EP19" i="7"/>
  <c r="EP19" i="4" s="1"/>
  <c r="EO19" i="7"/>
  <c r="EO19" i="4" s="1"/>
  <c r="EN19" i="7"/>
  <c r="EN19" i="4" s="1"/>
  <c r="DE19" i="7"/>
  <c r="DE19" i="4" s="1"/>
  <c r="ET19" i="7"/>
  <c r="ET19" i="4" s="1"/>
  <c r="CX19" i="7"/>
  <c r="CX19" i="4" s="1"/>
  <c r="BN19" i="7"/>
  <c r="ES19" i="7"/>
  <c r="ES19" i="4" s="1"/>
  <c r="CW19" i="7"/>
  <c r="CW19" i="4" s="1"/>
  <c r="CV19" i="7"/>
  <c r="CV19" i="4" s="1"/>
  <c r="CU19" i="7"/>
  <c r="DF19" i="7"/>
  <c r="DF19" i="4" s="1"/>
  <c r="EK19" i="7"/>
  <c r="EQ19" i="7"/>
  <c r="EQ19" i="4" s="1"/>
  <c r="BJ19" i="7"/>
  <c r="BI19" i="7"/>
  <c r="BH19" i="7"/>
  <c r="BG19" i="7"/>
  <c r="DB19" i="7"/>
  <c r="DB19" i="4" s="1"/>
  <c r="DD19" i="7"/>
  <c r="DD19" i="4" s="1"/>
  <c r="EV19" i="7"/>
  <c r="EV19" i="4" s="1"/>
  <c r="BP19" i="7"/>
  <c r="BF19" i="7"/>
  <c r="DC19" i="7"/>
  <c r="DC19" i="4" s="1"/>
  <c r="BE19" i="7"/>
  <c r="CT31" i="7"/>
  <c r="BU31" i="7"/>
  <c r="BS31" i="7"/>
  <c r="BT31" i="7"/>
  <c r="CD31" i="7"/>
  <c r="CC31" i="7"/>
  <c r="CB31" i="7"/>
  <c r="CA31" i="7"/>
  <c r="BZ31" i="7"/>
  <c r="BV31" i="7"/>
  <c r="BY31" i="7"/>
  <c r="BX31" i="7"/>
  <c r="BW31" i="7"/>
  <c r="EM31" i="7"/>
  <c r="DA31" i="7"/>
  <c r="EL31" i="7"/>
  <c r="CZ31" i="7"/>
  <c r="EU31" i="7"/>
  <c r="CY31" i="7"/>
  <c r="BO31" i="7"/>
  <c r="CW31" i="7"/>
  <c r="BM31" i="7"/>
  <c r="ER31" i="7"/>
  <c r="CV31" i="7"/>
  <c r="BK31" i="7"/>
  <c r="EN31" i="7"/>
  <c r="DF31" i="7"/>
  <c r="EK31" i="7"/>
  <c r="DE31" i="7"/>
  <c r="ET31" i="7"/>
  <c r="CX31" i="7"/>
  <c r="BN31" i="7"/>
  <c r="ES31" i="7"/>
  <c r="EQ31" i="7"/>
  <c r="CU31" i="7"/>
  <c r="BJ31" i="7"/>
  <c r="BH31" i="7"/>
  <c r="BG31" i="7"/>
  <c r="BL31" i="7"/>
  <c r="EP31" i="7"/>
  <c r="EO31" i="7"/>
  <c r="BI31" i="7"/>
  <c r="BP31" i="7"/>
  <c r="BF31" i="7"/>
  <c r="DC31" i="7"/>
  <c r="EV31" i="7"/>
  <c r="BE31" i="7"/>
  <c r="DD31" i="7"/>
  <c r="DB31" i="7"/>
  <c r="CT55" i="7"/>
  <c r="EJ55" i="7" s="1"/>
  <c r="EM55" i="7"/>
  <c r="DA55" i="7"/>
  <c r="EL55" i="7"/>
  <c r="CZ55" i="7"/>
  <c r="EK55" i="7"/>
  <c r="DE55" i="7"/>
  <c r="BO55" i="7"/>
  <c r="EV55" i="7"/>
  <c r="BL55" i="7"/>
  <c r="EU55" i="7"/>
  <c r="ET55" i="7"/>
  <c r="BI55" i="7"/>
  <c r="CU55" i="7"/>
  <c r="DD55" i="7"/>
  <c r="DH55" i="7" s="1"/>
  <c r="BN55" i="7"/>
  <c r="BR55" i="7" s="1"/>
  <c r="DC55" i="7"/>
  <c r="BM55" i="7"/>
  <c r="CY55" i="7"/>
  <c r="ES55" i="7"/>
  <c r="EX55" i="7" s="1"/>
  <c r="CV55" i="7"/>
  <c r="EQ55" i="7"/>
  <c r="BG55" i="7"/>
  <c r="EP55" i="7"/>
  <c r="DB55" i="7"/>
  <c r="BK55" i="7"/>
  <c r="CX55" i="7"/>
  <c r="BJ55" i="7"/>
  <c r="CW55" i="7"/>
  <c r="ER55" i="7"/>
  <c r="BH55" i="7"/>
  <c r="EO55" i="7"/>
  <c r="BP55" i="7"/>
  <c r="EN55" i="7"/>
  <c r="BF55" i="7"/>
  <c r="BE55" i="7"/>
  <c r="DF55" i="7"/>
  <c r="CT67" i="7"/>
  <c r="EJ67" i="7" s="1"/>
  <c r="EM67" i="7"/>
  <c r="EM67" i="4" s="1"/>
  <c r="DA67" i="7"/>
  <c r="DA67" i="4" s="1"/>
  <c r="EL67" i="7"/>
  <c r="EL67" i="4" s="1"/>
  <c r="CZ67" i="7"/>
  <c r="CZ67" i="4" s="1"/>
  <c r="EO67" i="7"/>
  <c r="EO67" i="4" s="1"/>
  <c r="BO67" i="7"/>
  <c r="BM67" i="7"/>
  <c r="DD67" i="7"/>
  <c r="DC67" i="7"/>
  <c r="EU67" i="7"/>
  <c r="EU67" i="4" s="1"/>
  <c r="CX67" i="7"/>
  <c r="CX67" i="4" s="1"/>
  <c r="BG67" i="7"/>
  <c r="EN67" i="7"/>
  <c r="EN67" i="4" s="1"/>
  <c r="DF67" i="7"/>
  <c r="DF67" i="4" s="1"/>
  <c r="BN67" i="7"/>
  <c r="BR67" i="7" s="1"/>
  <c r="EK67" i="7"/>
  <c r="DE67" i="7"/>
  <c r="DE67" i="4" s="1"/>
  <c r="BL67" i="7"/>
  <c r="BJ67" i="7"/>
  <c r="CY67" i="7"/>
  <c r="CY67" i="4" s="1"/>
  <c r="BI67" i="7"/>
  <c r="ET67" i="7"/>
  <c r="ET67" i="4" s="1"/>
  <c r="BH67" i="7"/>
  <c r="ES67" i="7"/>
  <c r="CW67" i="7"/>
  <c r="CW67" i="4" s="1"/>
  <c r="ER67" i="7"/>
  <c r="ER67" i="4" s="1"/>
  <c r="BK67" i="7"/>
  <c r="EV67" i="7"/>
  <c r="EV67" i="4" s="1"/>
  <c r="DB67" i="7"/>
  <c r="DB67" i="4" s="1"/>
  <c r="EQ67" i="7"/>
  <c r="EQ67" i="4" s="1"/>
  <c r="BP67" i="7"/>
  <c r="EP67" i="7"/>
  <c r="EP67" i="4" s="1"/>
  <c r="BF67" i="7"/>
  <c r="BE67" i="7"/>
  <c r="CV67" i="7"/>
  <c r="CV67" i="4" s="1"/>
  <c r="CU67" i="7"/>
  <c r="CT79" i="7"/>
  <c r="BT79" i="7"/>
  <c r="CD79" i="7"/>
  <c r="CA79" i="7"/>
  <c r="BS79" i="7"/>
  <c r="CC79" i="7"/>
  <c r="CB79" i="7"/>
  <c r="BZ79" i="7"/>
  <c r="BX79" i="7"/>
  <c r="BU79" i="7"/>
  <c r="BY79" i="7"/>
  <c r="BW79" i="7"/>
  <c r="BV79" i="7"/>
  <c r="EM79" i="7"/>
  <c r="DA79" i="7"/>
  <c r="EL79" i="7"/>
  <c r="CZ79" i="7"/>
  <c r="EK79" i="7"/>
  <c r="DE79" i="7"/>
  <c r="BO79" i="7"/>
  <c r="BM79" i="7"/>
  <c r="EV79" i="7"/>
  <c r="EU79" i="7"/>
  <c r="BK79" i="7"/>
  <c r="ER79" i="7"/>
  <c r="CU79" i="7"/>
  <c r="BG79" i="7"/>
  <c r="EP79" i="7"/>
  <c r="DD79" i="7"/>
  <c r="BN79" i="7"/>
  <c r="DC79" i="7"/>
  <c r="BL79" i="7"/>
  <c r="CY79" i="7"/>
  <c r="ET79" i="7"/>
  <c r="CX79" i="7"/>
  <c r="BJ79" i="7"/>
  <c r="ES79" i="7"/>
  <c r="CW79" i="7"/>
  <c r="BI79" i="7"/>
  <c r="CV79" i="7"/>
  <c r="BH79" i="7"/>
  <c r="EQ79" i="7"/>
  <c r="DB79" i="7"/>
  <c r="DF79" i="7"/>
  <c r="EO79" i="7"/>
  <c r="BP79" i="7"/>
  <c r="EN79" i="7"/>
  <c r="BF79" i="7"/>
  <c r="BE79" i="7"/>
  <c r="CT91" i="7"/>
  <c r="BT91" i="7"/>
  <c r="CB91" i="7"/>
  <c r="CA91" i="7"/>
  <c r="BS91" i="7"/>
  <c r="CD91" i="7"/>
  <c r="CC91" i="7"/>
  <c r="BZ91" i="7"/>
  <c r="BV91" i="7"/>
  <c r="BY91" i="7"/>
  <c r="BX91" i="7"/>
  <c r="BU91" i="7"/>
  <c r="BW91" i="7"/>
  <c r="EM91" i="7"/>
  <c r="DA91" i="7"/>
  <c r="EL91" i="7"/>
  <c r="CZ91" i="7"/>
  <c r="EU91" i="7"/>
  <c r="CY91" i="7"/>
  <c r="BO91" i="7"/>
  <c r="ES91" i="7"/>
  <c r="CW91" i="7"/>
  <c r="BM91" i="7"/>
  <c r="ER91" i="7"/>
  <c r="CV91" i="7"/>
  <c r="CU91" i="7"/>
  <c r="EP91" i="7"/>
  <c r="DE91" i="7"/>
  <c r="BG91" i="7"/>
  <c r="ET91" i="7"/>
  <c r="CX91" i="7"/>
  <c r="BN91" i="7"/>
  <c r="BL91" i="7"/>
  <c r="BK91" i="7"/>
  <c r="BJ91" i="7"/>
  <c r="EO91" i="7"/>
  <c r="BI91" i="7"/>
  <c r="EN91" i="7"/>
  <c r="DF91" i="7"/>
  <c r="EK91" i="7"/>
  <c r="EQ91" i="7"/>
  <c r="BH91" i="7"/>
  <c r="DD91" i="7"/>
  <c r="DB91" i="7"/>
  <c r="BP91" i="7"/>
  <c r="EV91" i="7"/>
  <c r="DC91" i="7"/>
  <c r="BF91" i="7"/>
  <c r="BE91" i="7"/>
  <c r="CT127" i="7"/>
  <c r="BT127" i="7"/>
  <c r="CD127" i="7"/>
  <c r="CC127" i="7"/>
  <c r="CB127" i="7"/>
  <c r="CA127" i="7"/>
  <c r="BZ127" i="7"/>
  <c r="BS127" i="7"/>
  <c r="BW127" i="7"/>
  <c r="BV127" i="7"/>
  <c r="BU127" i="7"/>
  <c r="BY127" i="7"/>
  <c r="BX127" i="7"/>
  <c r="EM127" i="7"/>
  <c r="DA127" i="7"/>
  <c r="EL127" i="7"/>
  <c r="CZ127" i="7"/>
  <c r="DC127" i="7"/>
  <c r="BO127" i="7"/>
  <c r="EU127" i="7"/>
  <c r="CY127" i="7"/>
  <c r="ET127" i="7"/>
  <c r="BL127" i="7"/>
  <c r="ER127" i="7"/>
  <c r="CU127" i="7"/>
  <c r="EO127" i="7"/>
  <c r="BG127" i="7"/>
  <c r="EV127" i="7"/>
  <c r="DB127" i="7"/>
  <c r="BN127" i="7"/>
  <c r="BM127" i="7"/>
  <c r="CX127" i="7"/>
  <c r="ES127" i="7"/>
  <c r="CW127" i="7"/>
  <c r="BK127" i="7"/>
  <c r="CV127" i="7"/>
  <c r="BI127" i="7"/>
  <c r="EN127" i="7"/>
  <c r="BJ127" i="7"/>
  <c r="EQ127" i="7"/>
  <c r="EP127" i="7"/>
  <c r="BH127" i="7"/>
  <c r="BE127" i="7"/>
  <c r="BP127" i="7"/>
  <c r="DF127" i="7"/>
  <c r="DE127" i="7"/>
  <c r="BF127" i="7"/>
  <c r="EK127" i="7"/>
  <c r="DD127" i="7"/>
  <c r="CT139" i="7"/>
  <c r="BT139" i="7"/>
  <c r="CD139" i="7"/>
  <c r="CA139" i="7"/>
  <c r="BS139" i="7"/>
  <c r="CC139" i="7"/>
  <c r="CB139" i="7"/>
  <c r="BZ139" i="7"/>
  <c r="BU139" i="7"/>
  <c r="BY139" i="7"/>
  <c r="BX139" i="7"/>
  <c r="BW139" i="7"/>
  <c r="BV139" i="7"/>
  <c r="EM139" i="7"/>
  <c r="DA139" i="7"/>
  <c r="EL139" i="7"/>
  <c r="CZ139" i="7"/>
  <c r="EQ139" i="7"/>
  <c r="CU139" i="7"/>
  <c r="BO139" i="7"/>
  <c r="EO139" i="7"/>
  <c r="BH139" i="7"/>
  <c r="EU139" i="7"/>
  <c r="CY139" i="7"/>
  <c r="BG139" i="7"/>
  <c r="EP139" i="7"/>
  <c r="BN139" i="7"/>
  <c r="BM139" i="7"/>
  <c r="EN139" i="7"/>
  <c r="BL139" i="7"/>
  <c r="BK139" i="7"/>
  <c r="DD139" i="7"/>
  <c r="BI139" i="7"/>
  <c r="DB139" i="7"/>
  <c r="ET139" i="7"/>
  <c r="DF139" i="7"/>
  <c r="EK139" i="7"/>
  <c r="DE139" i="7"/>
  <c r="BJ139" i="7"/>
  <c r="DC139" i="7"/>
  <c r="EV139" i="7"/>
  <c r="CV139" i="7"/>
  <c r="BE139" i="7"/>
  <c r="BF139" i="7"/>
  <c r="ER139" i="7"/>
  <c r="BP139" i="7"/>
  <c r="ES139" i="7"/>
  <c r="CX139" i="7"/>
  <c r="CW139" i="7"/>
  <c r="CT151" i="7"/>
  <c r="BT151" i="7"/>
  <c r="CB151" i="7"/>
  <c r="CA151" i="7"/>
  <c r="BS151" i="7"/>
  <c r="CD151" i="7"/>
  <c r="CC151" i="7"/>
  <c r="BZ151" i="7"/>
  <c r="BX151" i="7"/>
  <c r="BW151" i="7"/>
  <c r="BV151" i="7"/>
  <c r="BU151" i="7"/>
  <c r="BY151" i="7"/>
  <c r="EM151" i="7"/>
  <c r="DA151" i="7"/>
  <c r="EL151" i="7"/>
  <c r="CZ151" i="7"/>
  <c r="EK151" i="7"/>
  <c r="DE151" i="7"/>
  <c r="BO151" i="7"/>
  <c r="BM151" i="7"/>
  <c r="EV151" i="7"/>
  <c r="BL151" i="7"/>
  <c r="BK151" i="7"/>
  <c r="ET151" i="7"/>
  <c r="BJ151" i="7"/>
  <c r="CW151" i="7"/>
  <c r="BI151" i="7"/>
  <c r="EQ151" i="7"/>
  <c r="CU151" i="7"/>
  <c r="BG151" i="7"/>
  <c r="DD151" i="7"/>
  <c r="BN151" i="7"/>
  <c r="BR151" i="7" s="1"/>
  <c r="DC151" i="7"/>
  <c r="DB151" i="7"/>
  <c r="CY151" i="7"/>
  <c r="CX151" i="7"/>
  <c r="ES151" i="7"/>
  <c r="ER151" i="7"/>
  <c r="EP151" i="7"/>
  <c r="EU151" i="7"/>
  <c r="CV151" i="7"/>
  <c r="BH151" i="7"/>
  <c r="EO151" i="7"/>
  <c r="BP151" i="7"/>
  <c r="EN151" i="7"/>
  <c r="DF151" i="7"/>
  <c r="BF151" i="7"/>
  <c r="BE151" i="7"/>
  <c r="CT175" i="7"/>
  <c r="BT175" i="7"/>
  <c r="CD175" i="7"/>
  <c r="CC175" i="7"/>
  <c r="BS175" i="7"/>
  <c r="CB175" i="7"/>
  <c r="CA175" i="7"/>
  <c r="BZ175" i="7"/>
  <c r="BY175" i="7"/>
  <c r="BX175" i="7"/>
  <c r="BW175" i="7"/>
  <c r="BV175" i="7"/>
  <c r="BU175" i="7"/>
  <c r="EM175" i="7"/>
  <c r="DA175" i="7"/>
  <c r="BK175" i="7"/>
  <c r="EL175" i="7"/>
  <c r="CZ175" i="7"/>
  <c r="BJ175" i="7"/>
  <c r="EK175" i="7"/>
  <c r="DE175" i="7"/>
  <c r="BM175" i="7"/>
  <c r="DC175" i="7"/>
  <c r="BI175" i="7"/>
  <c r="EV175" i="7"/>
  <c r="ET175" i="7"/>
  <c r="CU175" i="7"/>
  <c r="DD175" i="7"/>
  <c r="BL175" i="7"/>
  <c r="CY175" i="7"/>
  <c r="ES175" i="7"/>
  <c r="BE175" i="7"/>
  <c r="EQ175" i="7"/>
  <c r="DB175" i="7"/>
  <c r="BH175" i="7"/>
  <c r="EU175" i="7"/>
  <c r="BG175" i="7"/>
  <c r="CX175" i="7"/>
  <c r="BF175" i="7"/>
  <c r="CW175" i="7"/>
  <c r="ER175" i="7"/>
  <c r="CV175" i="7"/>
  <c r="EP175" i="7"/>
  <c r="DF175" i="7"/>
  <c r="BN175" i="7"/>
  <c r="BR175" i="7" s="1"/>
  <c r="BO175" i="7"/>
  <c r="EO175" i="7"/>
  <c r="EN175" i="7"/>
  <c r="BP175" i="7"/>
  <c r="CT199" i="7"/>
  <c r="BT199" i="7"/>
  <c r="CB199" i="7"/>
  <c r="BS199" i="7"/>
  <c r="CD199" i="7"/>
  <c r="CC199" i="7"/>
  <c r="CA199" i="7"/>
  <c r="BZ199" i="7"/>
  <c r="BX199" i="7"/>
  <c r="BV199" i="7"/>
  <c r="BU199" i="7"/>
  <c r="BY199" i="7"/>
  <c r="BW199" i="7"/>
  <c r="EM199" i="7"/>
  <c r="DA199" i="7"/>
  <c r="BK199" i="7"/>
  <c r="EL199" i="7"/>
  <c r="CZ199" i="7"/>
  <c r="BJ199" i="7"/>
  <c r="EQ199" i="7"/>
  <c r="CU199" i="7"/>
  <c r="BO199" i="7"/>
  <c r="EN199" i="7"/>
  <c r="DD199" i="7"/>
  <c r="BL199" i="7"/>
  <c r="EU199" i="7"/>
  <c r="EP199" i="7"/>
  <c r="BP199" i="7"/>
  <c r="EO199" i="7"/>
  <c r="DF199" i="7"/>
  <c r="BN199" i="7"/>
  <c r="BR199" i="7" s="1"/>
  <c r="DE199" i="7"/>
  <c r="BI199" i="7"/>
  <c r="BH199" i="7"/>
  <c r="CY199" i="7"/>
  <c r="BG199" i="7"/>
  <c r="ET199" i="7"/>
  <c r="EK199" i="7"/>
  <c r="BM199" i="7"/>
  <c r="DC199" i="7"/>
  <c r="EV199" i="7"/>
  <c r="DB199" i="7"/>
  <c r="CV199" i="7"/>
  <c r="BF199" i="7"/>
  <c r="CX199" i="7"/>
  <c r="CW199" i="7"/>
  <c r="ES199" i="7"/>
  <c r="ER199" i="7"/>
  <c r="BE199" i="7"/>
  <c r="CT211" i="7"/>
  <c r="BT211" i="7"/>
  <c r="CC211" i="7"/>
  <c r="BS211" i="7"/>
  <c r="CD211" i="7"/>
  <c r="CB211" i="7"/>
  <c r="CA211" i="7"/>
  <c r="BZ211" i="7"/>
  <c r="BX211" i="7"/>
  <c r="BV211" i="7"/>
  <c r="BW211" i="7"/>
  <c r="BU211" i="7"/>
  <c r="BY211" i="7"/>
  <c r="EM211" i="7"/>
  <c r="DA211" i="7"/>
  <c r="BK211" i="7"/>
  <c r="EL211" i="7"/>
  <c r="CZ211" i="7"/>
  <c r="BJ211" i="7"/>
  <c r="EK211" i="7"/>
  <c r="DE211" i="7"/>
  <c r="BM211" i="7"/>
  <c r="BI211" i="7"/>
  <c r="DB211" i="7"/>
  <c r="BH211" i="7"/>
  <c r="CX211" i="7"/>
  <c r="BE211" i="7"/>
  <c r="ER211" i="7"/>
  <c r="EQ211" i="7"/>
  <c r="DD211" i="7"/>
  <c r="BL211" i="7"/>
  <c r="DC211" i="7"/>
  <c r="EV211" i="7"/>
  <c r="CY211" i="7"/>
  <c r="BG211" i="7"/>
  <c r="CU211" i="7"/>
  <c r="EP211" i="7"/>
  <c r="EU211" i="7"/>
  <c r="ET211" i="7"/>
  <c r="BF211" i="7"/>
  <c r="ES211" i="7"/>
  <c r="CW211" i="7"/>
  <c r="CV211" i="7"/>
  <c r="EO211" i="7"/>
  <c r="BP211" i="7"/>
  <c r="EN211" i="7"/>
  <c r="BN211" i="7"/>
  <c r="BO211" i="7"/>
  <c r="DF211" i="7"/>
  <c r="CT106" i="7"/>
  <c r="BT106" i="7"/>
  <c r="CD106" i="7"/>
  <c r="CC106" i="7"/>
  <c r="CA106" i="7"/>
  <c r="BS106" i="7"/>
  <c r="CB106" i="7"/>
  <c r="BZ106" i="7"/>
  <c r="BY106" i="7"/>
  <c r="BX106" i="7"/>
  <c r="BW106" i="7"/>
  <c r="BV106" i="7"/>
  <c r="BU106" i="7"/>
  <c r="EM106" i="7"/>
  <c r="DA106" i="7"/>
  <c r="EL106" i="7"/>
  <c r="CZ106" i="7"/>
  <c r="DC106" i="7"/>
  <c r="BO106" i="7"/>
  <c r="BM106" i="7"/>
  <c r="ET106" i="7"/>
  <c r="CX106" i="7"/>
  <c r="CW106" i="7"/>
  <c r="CU106" i="7"/>
  <c r="BI106" i="7"/>
  <c r="BH106" i="7"/>
  <c r="EO106" i="7"/>
  <c r="EV106" i="7"/>
  <c r="DB106" i="7"/>
  <c r="BN106" i="7"/>
  <c r="EU106" i="7"/>
  <c r="CY106" i="7"/>
  <c r="ER106" i="7"/>
  <c r="EQ106" i="7"/>
  <c r="EN106" i="7"/>
  <c r="BL106" i="7"/>
  <c r="ES106" i="7"/>
  <c r="BK106" i="7"/>
  <c r="CV106" i="7"/>
  <c r="BJ106" i="7"/>
  <c r="EP106" i="7"/>
  <c r="BG106" i="7"/>
  <c r="BP106" i="7"/>
  <c r="BF106" i="7"/>
  <c r="DF106" i="7"/>
  <c r="EK106" i="7"/>
  <c r="BE106" i="7"/>
  <c r="DE106" i="7"/>
  <c r="DD106" i="7"/>
  <c r="CT202" i="7"/>
  <c r="BT202" i="7"/>
  <c r="CC202" i="7"/>
  <c r="BS202" i="7"/>
  <c r="CD202" i="7"/>
  <c r="CB202" i="7"/>
  <c r="CA202" i="7"/>
  <c r="BZ202" i="7"/>
  <c r="BW202" i="7"/>
  <c r="BV202" i="7"/>
  <c r="BU202" i="7"/>
  <c r="BY202" i="7"/>
  <c r="BX202" i="7"/>
  <c r="EM202" i="7"/>
  <c r="DA202" i="7"/>
  <c r="BK202" i="7"/>
  <c r="EL202" i="7"/>
  <c r="CZ202" i="7"/>
  <c r="BJ202" i="7"/>
  <c r="DC202" i="7"/>
  <c r="BI202" i="7"/>
  <c r="CW202" i="7"/>
  <c r="BE202" i="7"/>
  <c r="EP202" i="7"/>
  <c r="EO202" i="7"/>
  <c r="EV202" i="7"/>
  <c r="DB202" i="7"/>
  <c r="BH202" i="7"/>
  <c r="EU202" i="7"/>
  <c r="CY202" i="7"/>
  <c r="BG202" i="7"/>
  <c r="ET202" i="7"/>
  <c r="BF202" i="7"/>
  <c r="ES202" i="7"/>
  <c r="CV202" i="7"/>
  <c r="EN202" i="7"/>
  <c r="CX202" i="7"/>
  <c r="ER202" i="7"/>
  <c r="EQ202" i="7"/>
  <c r="CU202" i="7"/>
  <c r="BP202" i="7"/>
  <c r="BO202" i="7"/>
  <c r="DF202" i="7"/>
  <c r="BN202" i="7"/>
  <c r="DD202" i="7"/>
  <c r="DE202" i="7"/>
  <c r="BM202" i="7"/>
  <c r="BL202" i="7"/>
  <c r="EK202" i="7"/>
  <c r="CT226" i="7"/>
  <c r="CD226" i="7"/>
  <c r="CA226" i="7"/>
  <c r="CC226" i="7"/>
  <c r="CB226" i="7"/>
  <c r="BZ226" i="7"/>
  <c r="BY226" i="7"/>
  <c r="BX226" i="7"/>
  <c r="BU226" i="7"/>
  <c r="BT226" i="7"/>
  <c r="BS226" i="7"/>
  <c r="BW226" i="7"/>
  <c r="BV226" i="7"/>
  <c r="EM226" i="7"/>
  <c r="DA226" i="7"/>
  <c r="BK226" i="7"/>
  <c r="EL226" i="7"/>
  <c r="CZ226" i="7"/>
  <c r="BJ226" i="7"/>
  <c r="EU226" i="7"/>
  <c r="CY226" i="7"/>
  <c r="BG226" i="7"/>
  <c r="EO226" i="7"/>
  <c r="BO226" i="7"/>
  <c r="EN226" i="7"/>
  <c r="EK226" i="7"/>
  <c r="ET226" i="7"/>
  <c r="CX226" i="7"/>
  <c r="BF226" i="7"/>
  <c r="ES226" i="7"/>
  <c r="CW226" i="7"/>
  <c r="BE226" i="7"/>
  <c r="ER226" i="7"/>
  <c r="EP226" i="7"/>
  <c r="BP226" i="7"/>
  <c r="DE226" i="7"/>
  <c r="BM226" i="7"/>
  <c r="CV226" i="7"/>
  <c r="EQ226" i="7"/>
  <c r="CU226" i="7"/>
  <c r="DF226" i="7"/>
  <c r="BN226" i="7"/>
  <c r="BR226" i="7" s="1"/>
  <c r="EV226" i="7"/>
  <c r="BH226" i="7"/>
  <c r="DD226" i="7"/>
  <c r="BL226" i="7"/>
  <c r="DC226" i="7"/>
  <c r="BI226" i="7"/>
  <c r="DB226" i="7"/>
  <c r="CT107" i="7"/>
  <c r="BT107" i="7"/>
  <c r="CB107" i="7"/>
  <c r="BZ107" i="7"/>
  <c r="BS107" i="7"/>
  <c r="CD107" i="7"/>
  <c r="CC107" i="7"/>
  <c r="CA107" i="7"/>
  <c r="BX107" i="7"/>
  <c r="BW107" i="7"/>
  <c r="BV107" i="7"/>
  <c r="BU107" i="7"/>
  <c r="BY107" i="7"/>
  <c r="EM107" i="7"/>
  <c r="DA107" i="7"/>
  <c r="EL107" i="7"/>
  <c r="CZ107" i="7"/>
  <c r="EK107" i="7"/>
  <c r="DE107" i="7"/>
  <c r="BO107" i="7"/>
  <c r="DC107" i="7"/>
  <c r="BL107" i="7"/>
  <c r="ET107" i="7"/>
  <c r="EP107" i="7"/>
  <c r="DD107" i="7"/>
  <c r="BN107" i="7"/>
  <c r="BM107" i="7"/>
  <c r="EV107" i="7"/>
  <c r="EU107" i="7"/>
  <c r="CY107" i="7"/>
  <c r="BK107" i="7"/>
  <c r="CX107" i="7"/>
  <c r="BJ107" i="7"/>
  <c r="ES107" i="7"/>
  <c r="CW107" i="7"/>
  <c r="BI107" i="7"/>
  <c r="ER107" i="7"/>
  <c r="CV107" i="7"/>
  <c r="BH107" i="7"/>
  <c r="EQ107" i="7"/>
  <c r="CU107" i="7"/>
  <c r="BG107" i="7"/>
  <c r="DB107" i="7"/>
  <c r="EO107" i="7"/>
  <c r="BP107" i="7"/>
  <c r="EN107" i="7"/>
  <c r="BF107" i="7"/>
  <c r="DF107" i="7"/>
  <c r="BE107" i="7"/>
  <c r="CT179" i="7"/>
  <c r="BT179" i="7"/>
  <c r="CA179" i="7"/>
  <c r="BS179" i="7"/>
  <c r="CD179" i="7"/>
  <c r="CC179" i="7"/>
  <c r="CB179" i="7"/>
  <c r="BZ179" i="7"/>
  <c r="BW179" i="7"/>
  <c r="BY179" i="7"/>
  <c r="BX179" i="7"/>
  <c r="BV179" i="7"/>
  <c r="BU179" i="7"/>
  <c r="EM179" i="7"/>
  <c r="DA179" i="7"/>
  <c r="BK179" i="7"/>
  <c r="EL179" i="7"/>
  <c r="CZ179" i="7"/>
  <c r="BJ179" i="7"/>
  <c r="ES179" i="7"/>
  <c r="CW179" i="7"/>
  <c r="BE179" i="7"/>
  <c r="EP179" i="7"/>
  <c r="BP179" i="7"/>
  <c r="EK179" i="7"/>
  <c r="BI179" i="7"/>
  <c r="ER179" i="7"/>
  <c r="CV179" i="7"/>
  <c r="EQ179" i="7"/>
  <c r="CU179" i="7"/>
  <c r="EO179" i="7"/>
  <c r="EN179" i="7"/>
  <c r="BN179" i="7"/>
  <c r="BM179" i="7"/>
  <c r="DC179" i="7"/>
  <c r="EV179" i="7"/>
  <c r="BO179" i="7"/>
  <c r="DF179" i="7"/>
  <c r="DE179" i="7"/>
  <c r="DD179" i="7"/>
  <c r="BL179" i="7"/>
  <c r="EU179" i="7"/>
  <c r="CX179" i="7"/>
  <c r="BF179" i="7"/>
  <c r="ET179" i="7"/>
  <c r="BH179" i="7"/>
  <c r="CY179" i="7"/>
  <c r="BG179" i="7"/>
  <c r="DB179" i="7"/>
  <c r="CT203" i="7"/>
  <c r="BT203" i="7"/>
  <c r="CC203" i="7"/>
  <c r="BS203" i="7"/>
  <c r="CD203" i="7"/>
  <c r="CB203" i="7"/>
  <c r="CA203" i="7"/>
  <c r="BZ203" i="7"/>
  <c r="BY203" i="7"/>
  <c r="BX203" i="7"/>
  <c r="BW203" i="7"/>
  <c r="BV203" i="7"/>
  <c r="BU203" i="7"/>
  <c r="EM203" i="7"/>
  <c r="DA203" i="7"/>
  <c r="BK203" i="7"/>
  <c r="EL203" i="7"/>
  <c r="CZ203" i="7"/>
  <c r="BJ203" i="7"/>
  <c r="EK203" i="7"/>
  <c r="DE203" i="7"/>
  <c r="BM203" i="7"/>
  <c r="BI203" i="7"/>
  <c r="EV203" i="7"/>
  <c r="BH203" i="7"/>
  <c r="ET203" i="7"/>
  <c r="BF203" i="7"/>
  <c r="ES203" i="7"/>
  <c r="CU203" i="7"/>
  <c r="DD203" i="7"/>
  <c r="BL203" i="7"/>
  <c r="DC203" i="7"/>
  <c r="DB203" i="7"/>
  <c r="CY203" i="7"/>
  <c r="BE203" i="7"/>
  <c r="EQ203" i="7"/>
  <c r="EP203" i="7"/>
  <c r="EU203" i="7"/>
  <c r="BG203" i="7"/>
  <c r="CX203" i="7"/>
  <c r="CW203" i="7"/>
  <c r="ER203" i="7"/>
  <c r="CV203" i="7"/>
  <c r="DF203" i="7"/>
  <c r="BN203" i="7"/>
  <c r="BR203" i="7" s="1"/>
  <c r="EN203" i="7"/>
  <c r="BP203" i="7"/>
  <c r="BO203" i="7"/>
  <c r="EO203" i="7"/>
  <c r="CT108" i="7"/>
  <c r="BT108" i="7"/>
  <c r="CD108" i="7"/>
  <c r="CC108" i="7"/>
  <c r="CA108" i="7"/>
  <c r="BS108" i="7"/>
  <c r="CB108" i="7"/>
  <c r="BZ108" i="7"/>
  <c r="BY108" i="7"/>
  <c r="BU108" i="7"/>
  <c r="BX108" i="7"/>
  <c r="BW108" i="7"/>
  <c r="BV108" i="7"/>
  <c r="EM108" i="7"/>
  <c r="DA108" i="7"/>
  <c r="EL108" i="7"/>
  <c r="CZ108" i="7"/>
  <c r="EO108" i="7"/>
  <c r="BO108" i="7"/>
  <c r="EK108" i="7"/>
  <c r="DE108" i="7"/>
  <c r="BM108" i="7"/>
  <c r="BK108" i="7"/>
  <c r="BJ108" i="7"/>
  <c r="EU108" i="7"/>
  <c r="BI108" i="7"/>
  <c r="ET108" i="7"/>
  <c r="CX108" i="7"/>
  <c r="ES108" i="7"/>
  <c r="CW108" i="7"/>
  <c r="BG108" i="7"/>
  <c r="EN108" i="7"/>
  <c r="DF108" i="7"/>
  <c r="BN108" i="7"/>
  <c r="BR108" i="7" s="1"/>
  <c r="DD108" i="7"/>
  <c r="BL108" i="7"/>
  <c r="EV108" i="7"/>
  <c r="ER108" i="7"/>
  <c r="DC108" i="7"/>
  <c r="DB108" i="7"/>
  <c r="CY108" i="7"/>
  <c r="BH108" i="7"/>
  <c r="EQ108" i="7"/>
  <c r="CV108" i="7"/>
  <c r="BE108" i="7"/>
  <c r="CU108" i="7"/>
  <c r="BP108" i="7"/>
  <c r="BF108" i="7"/>
  <c r="EP108" i="7"/>
  <c r="CT144" i="7"/>
  <c r="BT144" i="7"/>
  <c r="BZ144" i="7"/>
  <c r="BS144" i="7"/>
  <c r="CD144" i="7"/>
  <c r="CC144" i="7"/>
  <c r="CB144" i="7"/>
  <c r="CA144" i="7"/>
  <c r="BY144" i="7"/>
  <c r="BW144" i="7"/>
  <c r="BX144" i="7"/>
  <c r="BV144" i="7"/>
  <c r="BU144" i="7"/>
  <c r="EM144" i="7"/>
  <c r="DA144" i="7"/>
  <c r="EL144" i="7"/>
  <c r="CZ144" i="7"/>
  <c r="EO144" i="7"/>
  <c r="BO144" i="7"/>
  <c r="EK144" i="7"/>
  <c r="DE144" i="7"/>
  <c r="BM144" i="7"/>
  <c r="DC144" i="7"/>
  <c r="BJ144" i="7"/>
  <c r="BI144" i="7"/>
  <c r="BH144" i="7"/>
  <c r="ES144" i="7"/>
  <c r="CW144" i="7"/>
  <c r="EN144" i="7"/>
  <c r="DF144" i="7"/>
  <c r="BN144" i="7"/>
  <c r="DD144" i="7"/>
  <c r="BL144" i="7"/>
  <c r="EV144" i="7"/>
  <c r="DB144" i="7"/>
  <c r="BG144" i="7"/>
  <c r="ER144" i="7"/>
  <c r="BK144" i="7"/>
  <c r="EU144" i="7"/>
  <c r="CY144" i="7"/>
  <c r="ET144" i="7"/>
  <c r="CX144" i="7"/>
  <c r="BP144" i="7"/>
  <c r="BF144" i="7"/>
  <c r="EP144" i="7"/>
  <c r="CV144" i="7"/>
  <c r="CU144" i="7"/>
  <c r="BE144" i="7"/>
  <c r="EQ144" i="7"/>
  <c r="CT192" i="7"/>
  <c r="BT192" i="7"/>
  <c r="BS192" i="7"/>
  <c r="CD192" i="7"/>
  <c r="CC192" i="7"/>
  <c r="CB192" i="7"/>
  <c r="CA192" i="7"/>
  <c r="BZ192" i="7"/>
  <c r="BV192" i="7"/>
  <c r="BY192" i="7"/>
  <c r="BX192" i="7"/>
  <c r="BW192" i="7"/>
  <c r="BU192" i="7"/>
  <c r="EM192" i="7"/>
  <c r="DA192" i="7"/>
  <c r="BK192" i="7"/>
  <c r="EL192" i="7"/>
  <c r="CZ192" i="7"/>
  <c r="BJ192" i="7"/>
  <c r="EQ192" i="7"/>
  <c r="CU192" i="7"/>
  <c r="BO192" i="7"/>
  <c r="DF192" i="7"/>
  <c r="DE192" i="7"/>
  <c r="BL192" i="7"/>
  <c r="BI192" i="7"/>
  <c r="DB192" i="7"/>
  <c r="CY192" i="7"/>
  <c r="BG192" i="7"/>
  <c r="EP192" i="7"/>
  <c r="BP192" i="7"/>
  <c r="EO192" i="7"/>
  <c r="EN192" i="7"/>
  <c r="BM192" i="7"/>
  <c r="EU192" i="7"/>
  <c r="ET192" i="7"/>
  <c r="BN192" i="7"/>
  <c r="EK192" i="7"/>
  <c r="DD192" i="7"/>
  <c r="DC192" i="7"/>
  <c r="EV192" i="7"/>
  <c r="BH192" i="7"/>
  <c r="ES192" i="7"/>
  <c r="CX192" i="7"/>
  <c r="BF192" i="7"/>
  <c r="CV192" i="7"/>
  <c r="ER192" i="7"/>
  <c r="CW192" i="7"/>
  <c r="BE192" i="7"/>
  <c r="CT61" i="7"/>
  <c r="EJ61" i="7" s="1"/>
  <c r="EM61" i="7"/>
  <c r="DA61" i="7"/>
  <c r="EL61" i="7"/>
  <c r="CZ61" i="7"/>
  <c r="EO61" i="7"/>
  <c r="BO61" i="7"/>
  <c r="EK61" i="7"/>
  <c r="BM61" i="7"/>
  <c r="DC61" i="7"/>
  <c r="EU61" i="7"/>
  <c r="ET61" i="7"/>
  <c r="CX61" i="7"/>
  <c r="BH61" i="7"/>
  <c r="ES61" i="7"/>
  <c r="ER61" i="7"/>
  <c r="EN61" i="7"/>
  <c r="DF61" i="7"/>
  <c r="BN61" i="7"/>
  <c r="BR61" i="7" s="1"/>
  <c r="DE61" i="7"/>
  <c r="DD61" i="7"/>
  <c r="DH61" i="7" s="1"/>
  <c r="BL61" i="7"/>
  <c r="BK61" i="7"/>
  <c r="EV61" i="7"/>
  <c r="DB61" i="7"/>
  <c r="BJ61" i="7"/>
  <c r="CY61" i="7"/>
  <c r="BI61" i="7"/>
  <c r="CW61" i="7"/>
  <c r="BG61" i="7"/>
  <c r="BP61" i="7"/>
  <c r="BE61" i="7"/>
  <c r="BF61" i="7"/>
  <c r="EQ61" i="7"/>
  <c r="EP61" i="7"/>
  <c r="CV61" i="7"/>
  <c r="CU61" i="7"/>
  <c r="CT229" i="7"/>
  <c r="CD229" i="7"/>
  <c r="CA229" i="7"/>
  <c r="CC229" i="7"/>
  <c r="CB229" i="7"/>
  <c r="BZ229" i="7"/>
  <c r="BY229" i="7"/>
  <c r="BX229" i="7"/>
  <c r="BW229" i="7"/>
  <c r="BU229" i="7"/>
  <c r="BT229" i="7"/>
  <c r="BV229" i="7"/>
  <c r="BS229" i="7"/>
  <c r="EM229" i="7"/>
  <c r="DA229" i="7"/>
  <c r="BK229" i="7"/>
  <c r="EL229" i="7"/>
  <c r="CZ229" i="7"/>
  <c r="BJ229" i="7"/>
  <c r="EK229" i="7"/>
  <c r="DE229" i="7"/>
  <c r="BM229" i="7"/>
  <c r="DB229" i="7"/>
  <c r="EQ229" i="7"/>
  <c r="CU229" i="7"/>
  <c r="DD229" i="7"/>
  <c r="BL229" i="7"/>
  <c r="DC229" i="7"/>
  <c r="BI229" i="7"/>
  <c r="EV229" i="7"/>
  <c r="BH229" i="7"/>
  <c r="CY229" i="7"/>
  <c r="BE229" i="7"/>
  <c r="EP229" i="7"/>
  <c r="EU229" i="7"/>
  <c r="BG229" i="7"/>
  <c r="ET229" i="7"/>
  <c r="CX229" i="7"/>
  <c r="BF229" i="7"/>
  <c r="ES229" i="7"/>
  <c r="EX229" i="7" s="1"/>
  <c r="CW229" i="7"/>
  <c r="ER229" i="7"/>
  <c r="CV229" i="7"/>
  <c r="BP229" i="7"/>
  <c r="DF229" i="7"/>
  <c r="BN229" i="7"/>
  <c r="EN229" i="7"/>
  <c r="BO229" i="7"/>
  <c r="EO229" i="7"/>
  <c r="CT14" i="7"/>
  <c r="EJ14" i="7" s="1"/>
  <c r="EM14" i="7"/>
  <c r="DA14" i="7"/>
  <c r="EL14" i="7"/>
  <c r="CZ14" i="7"/>
  <c r="EO14" i="7"/>
  <c r="BO14" i="7"/>
  <c r="DE14" i="7"/>
  <c r="BL14" i="7"/>
  <c r="CY14" i="7"/>
  <c r="BI14" i="7"/>
  <c r="ET14" i="7"/>
  <c r="ES14" i="7"/>
  <c r="CW14" i="7"/>
  <c r="EN14" i="7"/>
  <c r="DF14" i="7"/>
  <c r="BN14" i="7"/>
  <c r="EK14" i="7"/>
  <c r="BM14" i="7"/>
  <c r="DD14" i="7"/>
  <c r="DC14" i="7"/>
  <c r="BK14" i="7"/>
  <c r="DB14" i="7"/>
  <c r="BJ14" i="7"/>
  <c r="BG14" i="7"/>
  <c r="ER14" i="7"/>
  <c r="EV14" i="7"/>
  <c r="EU14" i="7"/>
  <c r="CX14" i="7"/>
  <c r="BH14" i="7"/>
  <c r="BP14" i="7"/>
  <c r="CU14" i="7"/>
  <c r="CV14" i="7"/>
  <c r="EQ14" i="7"/>
  <c r="EP14" i="7"/>
  <c r="BF14" i="7"/>
  <c r="BE14" i="7"/>
  <c r="CT122" i="7"/>
  <c r="BT122" i="7"/>
  <c r="CB122" i="7"/>
  <c r="BS122" i="7"/>
  <c r="CD122" i="7"/>
  <c r="CC122" i="7"/>
  <c r="CA122" i="7"/>
  <c r="BZ122" i="7"/>
  <c r="BX122" i="7"/>
  <c r="BV122" i="7"/>
  <c r="BY122" i="7"/>
  <c r="BW122" i="7"/>
  <c r="BU122" i="7"/>
  <c r="EM122" i="7"/>
  <c r="DA122" i="7"/>
  <c r="EL122" i="7"/>
  <c r="CZ122" i="7"/>
  <c r="EK122" i="7"/>
  <c r="DE122" i="7"/>
  <c r="BO122" i="7"/>
  <c r="EV122" i="7"/>
  <c r="DB122" i="7"/>
  <c r="BL122" i="7"/>
  <c r="CY122" i="7"/>
  <c r="ET122" i="7"/>
  <c r="ES122" i="7"/>
  <c r="CW122" i="7"/>
  <c r="BH122" i="7"/>
  <c r="EQ122" i="7"/>
  <c r="CU122" i="7"/>
  <c r="BG122" i="7"/>
  <c r="DD122" i="7"/>
  <c r="BN122" i="7"/>
  <c r="DC122" i="7"/>
  <c r="BM122" i="7"/>
  <c r="EU122" i="7"/>
  <c r="BJ122" i="7"/>
  <c r="BI122" i="7"/>
  <c r="ER122" i="7"/>
  <c r="EP122" i="7"/>
  <c r="BK122" i="7"/>
  <c r="CX122" i="7"/>
  <c r="CV122" i="7"/>
  <c r="BP122" i="7"/>
  <c r="EO122" i="7"/>
  <c r="EN122" i="7"/>
  <c r="DF122" i="7"/>
  <c r="BF122" i="7"/>
  <c r="BE122" i="7"/>
  <c r="CT15" i="7"/>
  <c r="EJ15" i="7" s="1"/>
  <c r="EM15" i="7"/>
  <c r="EM15" i="4" s="1"/>
  <c r="DA15" i="7"/>
  <c r="DA15" i="4" s="1"/>
  <c r="EL15" i="7"/>
  <c r="EL15" i="4" s="1"/>
  <c r="CZ15" i="7"/>
  <c r="CZ15" i="4" s="1"/>
  <c r="EQ15" i="7"/>
  <c r="EQ15" i="4" s="1"/>
  <c r="CU15" i="7"/>
  <c r="BO15" i="7"/>
  <c r="BM15" i="7"/>
  <c r="EN15" i="7"/>
  <c r="EN15" i="4" s="1"/>
  <c r="DF15" i="7"/>
  <c r="DF15" i="4" s="1"/>
  <c r="BL15" i="7"/>
  <c r="DE15" i="7"/>
  <c r="DE15" i="4" s="1"/>
  <c r="BK15" i="7"/>
  <c r="DB15" i="7"/>
  <c r="DB15" i="4" s="1"/>
  <c r="BH15" i="7"/>
  <c r="EU15" i="7"/>
  <c r="EU15" i="4" s="1"/>
  <c r="ET15" i="7"/>
  <c r="ET15" i="4" s="1"/>
  <c r="EP15" i="7"/>
  <c r="EP15" i="4" s="1"/>
  <c r="BN15" i="7"/>
  <c r="EO15" i="7"/>
  <c r="EO15" i="4" s="1"/>
  <c r="DD15" i="7"/>
  <c r="DD15" i="4" s="1"/>
  <c r="BJ15" i="7"/>
  <c r="BI15" i="7"/>
  <c r="CY15" i="7"/>
  <c r="CY15" i="4" s="1"/>
  <c r="EK15" i="7"/>
  <c r="DC15" i="7"/>
  <c r="DC15" i="4" s="1"/>
  <c r="EV15" i="7"/>
  <c r="EV15" i="4" s="1"/>
  <c r="BG15" i="7"/>
  <c r="ES15" i="7"/>
  <c r="ES15" i="4" s="1"/>
  <c r="ER15" i="7"/>
  <c r="ER15" i="4" s="1"/>
  <c r="CX15" i="7"/>
  <c r="CX15" i="4" s="1"/>
  <c r="BF15" i="7"/>
  <c r="BP15" i="7"/>
  <c r="CW15" i="7"/>
  <c r="CW15" i="4" s="1"/>
  <c r="BE15" i="7"/>
  <c r="CV15" i="7"/>
  <c r="CV15" i="4" s="1"/>
  <c r="CT51" i="7"/>
  <c r="EJ51" i="7" s="1"/>
  <c r="EM51" i="7"/>
  <c r="DA51" i="7"/>
  <c r="EL51" i="7"/>
  <c r="CZ51" i="7"/>
  <c r="DC51" i="7"/>
  <c r="BO51" i="7"/>
  <c r="BM51" i="7"/>
  <c r="CX51" i="7"/>
  <c r="CW51" i="7"/>
  <c r="BK51" i="7"/>
  <c r="EQ51" i="7"/>
  <c r="EO51" i="7"/>
  <c r="BG51" i="7"/>
  <c r="EN51" i="7"/>
  <c r="EV51" i="7"/>
  <c r="DB51" i="7"/>
  <c r="BN51" i="7"/>
  <c r="BR51" i="7" s="1"/>
  <c r="EU51" i="7"/>
  <c r="CY51" i="7"/>
  <c r="ET51" i="7"/>
  <c r="BL51" i="7"/>
  <c r="ER51" i="7"/>
  <c r="CV51" i="7"/>
  <c r="CU51" i="7"/>
  <c r="BI51" i="7"/>
  <c r="EP51" i="7"/>
  <c r="BH51" i="7"/>
  <c r="ES51" i="7"/>
  <c r="EX51" i="7" s="1"/>
  <c r="BJ51" i="7"/>
  <c r="DD51" i="7"/>
  <c r="DH51" i="7" s="1"/>
  <c r="BP51" i="7"/>
  <c r="BF51" i="7"/>
  <c r="EK51" i="7"/>
  <c r="BE51" i="7"/>
  <c r="DF51" i="7"/>
  <c r="DE51" i="7"/>
  <c r="CT111" i="7"/>
  <c r="BT111" i="7"/>
  <c r="CD111" i="7"/>
  <c r="CA111" i="7"/>
  <c r="BZ111" i="7"/>
  <c r="BS111" i="7"/>
  <c r="CC111" i="7"/>
  <c r="CB111" i="7"/>
  <c r="BX111" i="7"/>
  <c r="BV111" i="7"/>
  <c r="BY111" i="7"/>
  <c r="BW111" i="7"/>
  <c r="BU111" i="7"/>
  <c r="EM111" i="7"/>
  <c r="DA111" i="7"/>
  <c r="EL111" i="7"/>
  <c r="CZ111" i="7"/>
  <c r="EU111" i="7"/>
  <c r="CY111" i="7"/>
  <c r="BO111" i="7"/>
  <c r="ER111" i="7"/>
  <c r="BK111" i="7"/>
  <c r="EN111" i="7"/>
  <c r="DF111" i="7"/>
  <c r="ET111" i="7"/>
  <c r="CX111" i="7"/>
  <c r="BN111" i="7"/>
  <c r="BR111" i="7" s="1"/>
  <c r="ES111" i="7"/>
  <c r="CW111" i="7"/>
  <c r="BM111" i="7"/>
  <c r="CV111" i="7"/>
  <c r="BL111" i="7"/>
  <c r="CU111" i="7"/>
  <c r="EP111" i="7"/>
  <c r="BJ111" i="7"/>
  <c r="EO111" i="7"/>
  <c r="BI111" i="7"/>
  <c r="EK111" i="7"/>
  <c r="DE111" i="7"/>
  <c r="BG111" i="7"/>
  <c r="EQ111" i="7"/>
  <c r="BH111" i="7"/>
  <c r="DD111" i="7"/>
  <c r="BE111" i="7"/>
  <c r="DC111" i="7"/>
  <c r="DB111" i="7"/>
  <c r="BP111" i="7"/>
  <c r="EV111" i="7"/>
  <c r="BF111" i="7"/>
  <c r="CT135" i="7"/>
  <c r="BT135" i="7"/>
  <c r="CC135" i="7"/>
  <c r="CB135" i="7"/>
  <c r="BZ135" i="7"/>
  <c r="BS135" i="7"/>
  <c r="CD135" i="7"/>
  <c r="CA135" i="7"/>
  <c r="BY135" i="7"/>
  <c r="BW135" i="7"/>
  <c r="BX135" i="7"/>
  <c r="BV135" i="7"/>
  <c r="BU135" i="7"/>
  <c r="EM135" i="7"/>
  <c r="DA135" i="7"/>
  <c r="EL135" i="7"/>
  <c r="CZ135" i="7"/>
  <c r="DC135" i="7"/>
  <c r="BO135" i="7"/>
  <c r="CY135" i="7"/>
  <c r="BM135" i="7"/>
  <c r="CX135" i="7"/>
  <c r="BL135" i="7"/>
  <c r="ES135" i="7"/>
  <c r="CW135" i="7"/>
  <c r="EQ135" i="7"/>
  <c r="BI135" i="7"/>
  <c r="EP135" i="7"/>
  <c r="BH135" i="7"/>
  <c r="BG135" i="7"/>
  <c r="EV135" i="7"/>
  <c r="DB135" i="7"/>
  <c r="BN135" i="7"/>
  <c r="EU135" i="7"/>
  <c r="ET135" i="7"/>
  <c r="BK135" i="7"/>
  <c r="CV135" i="7"/>
  <c r="BJ135" i="7"/>
  <c r="CU135" i="7"/>
  <c r="EO135" i="7"/>
  <c r="EN135" i="7"/>
  <c r="ER135" i="7"/>
  <c r="BP135" i="7"/>
  <c r="BF135" i="7"/>
  <c r="DF135" i="7"/>
  <c r="DE135" i="7"/>
  <c r="BE135" i="7"/>
  <c r="DD135" i="7"/>
  <c r="EK135" i="7"/>
  <c r="CT159" i="7"/>
  <c r="BT159" i="7"/>
  <c r="CD159" i="7"/>
  <c r="CA159" i="7"/>
  <c r="BZ159" i="7"/>
  <c r="BS159" i="7"/>
  <c r="CC159" i="7"/>
  <c r="CB159" i="7"/>
  <c r="BW159" i="7"/>
  <c r="BV159" i="7"/>
  <c r="BU159" i="7"/>
  <c r="BY159" i="7"/>
  <c r="BX159" i="7"/>
  <c r="EM159" i="7"/>
  <c r="DA159" i="7"/>
  <c r="BK159" i="7"/>
  <c r="EL159" i="7"/>
  <c r="CZ159" i="7"/>
  <c r="BJ159" i="7"/>
  <c r="DC159" i="7"/>
  <c r="BI159" i="7"/>
  <c r="BG159" i="7"/>
  <c r="ET159" i="7"/>
  <c r="CV159" i="7"/>
  <c r="CU159" i="7"/>
  <c r="EO159" i="7"/>
  <c r="BO159" i="7"/>
  <c r="EV159" i="7"/>
  <c r="DB159" i="7"/>
  <c r="BH159" i="7"/>
  <c r="EU159" i="7"/>
  <c r="CY159" i="7"/>
  <c r="BE159" i="7"/>
  <c r="EP159" i="7"/>
  <c r="BP159" i="7"/>
  <c r="EN159" i="7"/>
  <c r="CX159" i="7"/>
  <c r="BF159" i="7"/>
  <c r="ES159" i="7"/>
  <c r="CW159" i="7"/>
  <c r="ER159" i="7"/>
  <c r="EQ159" i="7"/>
  <c r="DF159" i="7"/>
  <c r="BN159" i="7"/>
  <c r="DE159" i="7"/>
  <c r="BM159" i="7"/>
  <c r="BL159" i="7"/>
  <c r="EK159" i="7"/>
  <c r="DD159" i="7"/>
  <c r="CT183" i="7"/>
  <c r="BT183" i="7"/>
  <c r="CD183" i="7"/>
  <c r="CC183" i="7"/>
  <c r="CB183" i="7"/>
  <c r="BS183" i="7"/>
  <c r="CA183" i="7"/>
  <c r="BZ183" i="7"/>
  <c r="BX183" i="7"/>
  <c r="BY183" i="7"/>
  <c r="BW183" i="7"/>
  <c r="BV183" i="7"/>
  <c r="BU183" i="7"/>
  <c r="EM183" i="7"/>
  <c r="DA183" i="7"/>
  <c r="BK183" i="7"/>
  <c r="EL183" i="7"/>
  <c r="CZ183" i="7"/>
  <c r="BJ183" i="7"/>
  <c r="EK183" i="7"/>
  <c r="DE183" i="7"/>
  <c r="BM183" i="7"/>
  <c r="DC183" i="7"/>
  <c r="BI183" i="7"/>
  <c r="DB183" i="7"/>
  <c r="BH183" i="7"/>
  <c r="CX183" i="7"/>
  <c r="BF183" i="7"/>
  <c r="ES183" i="7"/>
  <c r="CW183" i="7"/>
  <c r="CV183" i="7"/>
  <c r="EQ183" i="7"/>
  <c r="DD183" i="7"/>
  <c r="BL183" i="7"/>
  <c r="EV183" i="7"/>
  <c r="ET183" i="7"/>
  <c r="BE183" i="7"/>
  <c r="ER183" i="7"/>
  <c r="CU183" i="7"/>
  <c r="EP183" i="7"/>
  <c r="EU183" i="7"/>
  <c r="CY183" i="7"/>
  <c r="BG183" i="7"/>
  <c r="EO183" i="7"/>
  <c r="BN183" i="7"/>
  <c r="BR183" i="7" s="1"/>
  <c r="BP183" i="7"/>
  <c r="BO183" i="7"/>
  <c r="EN183" i="7"/>
  <c r="DF183" i="7"/>
  <c r="CT64" i="7"/>
  <c r="EJ64" i="7" s="1"/>
  <c r="EM64" i="7"/>
  <c r="EM64" i="4" s="1"/>
  <c r="DA64" i="7"/>
  <c r="DA64" i="4" s="1"/>
  <c r="EL64" i="7"/>
  <c r="EL64" i="4" s="1"/>
  <c r="CZ64" i="7"/>
  <c r="CZ64" i="4" s="1"/>
  <c r="EU64" i="7"/>
  <c r="EU64" i="4" s="1"/>
  <c r="CY64" i="7"/>
  <c r="CY64" i="4" s="1"/>
  <c r="BO64" i="7"/>
  <c r="EQ64" i="7"/>
  <c r="EQ64" i="4" s="1"/>
  <c r="BI64" i="7"/>
  <c r="EN64" i="7"/>
  <c r="EN64" i="4" s="1"/>
  <c r="EK64" i="7"/>
  <c r="DE64" i="7"/>
  <c r="DE64" i="4" s="1"/>
  <c r="ET64" i="7"/>
  <c r="ET64" i="4" s="1"/>
  <c r="CX64" i="7"/>
  <c r="CX64" i="4" s="1"/>
  <c r="BN64" i="7"/>
  <c r="BR64" i="7" s="1"/>
  <c r="ES64" i="7"/>
  <c r="CW64" i="7"/>
  <c r="CW64" i="4" s="1"/>
  <c r="BM64" i="7"/>
  <c r="ER64" i="7"/>
  <c r="ER64" i="4" s="1"/>
  <c r="CV64" i="7"/>
  <c r="CV64" i="4" s="1"/>
  <c r="BL64" i="7"/>
  <c r="BK64" i="7"/>
  <c r="EP64" i="7"/>
  <c r="EP64" i="4" s="1"/>
  <c r="BH64" i="7"/>
  <c r="BG64" i="7"/>
  <c r="CU64" i="7"/>
  <c r="BJ64" i="7"/>
  <c r="EO64" i="7"/>
  <c r="EO64" i="4" s="1"/>
  <c r="DF64" i="7"/>
  <c r="DF64" i="4" s="1"/>
  <c r="DB64" i="7"/>
  <c r="DB64" i="4" s="1"/>
  <c r="EV64" i="7"/>
  <c r="EV64" i="4" s="1"/>
  <c r="BP64" i="7"/>
  <c r="DD64" i="7"/>
  <c r="DC64" i="7"/>
  <c r="BF64" i="7"/>
  <c r="BE64" i="7"/>
  <c r="CT100" i="7"/>
  <c r="BT100" i="7"/>
  <c r="CD100" i="7"/>
  <c r="CC100" i="7"/>
  <c r="CB100" i="7"/>
  <c r="CA100" i="7"/>
  <c r="BZ100" i="7"/>
  <c r="BS100" i="7"/>
  <c r="BY100" i="7"/>
  <c r="BX100" i="7"/>
  <c r="BW100" i="7"/>
  <c r="BV100" i="7"/>
  <c r="BU100" i="7"/>
  <c r="EM100" i="7"/>
  <c r="DA100" i="7"/>
  <c r="EL100" i="7"/>
  <c r="CZ100" i="7"/>
  <c r="EO100" i="7"/>
  <c r="BO100" i="7"/>
  <c r="DE100" i="7"/>
  <c r="BL100" i="7"/>
  <c r="BJ100" i="7"/>
  <c r="BI100" i="7"/>
  <c r="ET100" i="7"/>
  <c r="CX100" i="7"/>
  <c r="EN100" i="7"/>
  <c r="DF100" i="7"/>
  <c r="BN100" i="7"/>
  <c r="EK100" i="7"/>
  <c r="BM100" i="7"/>
  <c r="DD100" i="7"/>
  <c r="DC100" i="7"/>
  <c r="BK100" i="7"/>
  <c r="EV100" i="7"/>
  <c r="DB100" i="7"/>
  <c r="EU100" i="7"/>
  <c r="ES100" i="7"/>
  <c r="CW100" i="7"/>
  <c r="BG100" i="7"/>
  <c r="ER100" i="7"/>
  <c r="CY100" i="7"/>
  <c r="BH100" i="7"/>
  <c r="BP100" i="7"/>
  <c r="BF100" i="7"/>
  <c r="CU100" i="7"/>
  <c r="BE100" i="7"/>
  <c r="CV100" i="7"/>
  <c r="EQ100" i="7"/>
  <c r="EP100" i="7"/>
  <c r="CT160" i="7"/>
  <c r="BT160" i="7"/>
  <c r="CC160" i="7"/>
  <c r="BS160" i="7"/>
  <c r="CD160" i="7"/>
  <c r="CB160" i="7"/>
  <c r="CA160" i="7"/>
  <c r="BZ160" i="7"/>
  <c r="BV160" i="7"/>
  <c r="BY160" i="7"/>
  <c r="BX160" i="7"/>
  <c r="BW160" i="7"/>
  <c r="BU160" i="7"/>
  <c r="EM160" i="7"/>
  <c r="DA160" i="7"/>
  <c r="BK160" i="7"/>
  <c r="EL160" i="7"/>
  <c r="CZ160" i="7"/>
  <c r="BJ160" i="7"/>
  <c r="EK160" i="7"/>
  <c r="DE160" i="7"/>
  <c r="BM160" i="7"/>
  <c r="DC160" i="7"/>
  <c r="BI160" i="7"/>
  <c r="BH160" i="7"/>
  <c r="CY160" i="7"/>
  <c r="BF160" i="7"/>
  <c r="ER160" i="7"/>
  <c r="DD160" i="7"/>
  <c r="BL160" i="7"/>
  <c r="EV160" i="7"/>
  <c r="DB160" i="7"/>
  <c r="EU160" i="7"/>
  <c r="ET160" i="7"/>
  <c r="CX160" i="7"/>
  <c r="ES160" i="7"/>
  <c r="BE160" i="7"/>
  <c r="EQ160" i="7"/>
  <c r="CU160" i="7"/>
  <c r="EP160" i="7"/>
  <c r="BG160" i="7"/>
  <c r="CW160" i="7"/>
  <c r="CV160" i="7"/>
  <c r="BP160" i="7"/>
  <c r="EN160" i="7"/>
  <c r="DF160" i="7"/>
  <c r="EO160" i="7"/>
  <c r="BO160" i="7"/>
  <c r="BN160" i="7"/>
  <c r="CT220" i="7"/>
  <c r="EJ220" i="7" s="1"/>
  <c r="EM220" i="7"/>
  <c r="DA220" i="7"/>
  <c r="BK220" i="7"/>
  <c r="EL220" i="7"/>
  <c r="CZ220" i="7"/>
  <c r="BJ220" i="7"/>
  <c r="DC220" i="7"/>
  <c r="BI220" i="7"/>
  <c r="BF220" i="7"/>
  <c r="CW220" i="7"/>
  <c r="EQ220" i="7"/>
  <c r="EP220" i="7"/>
  <c r="EO220" i="7"/>
  <c r="EV220" i="7"/>
  <c r="DB220" i="7"/>
  <c r="BH220" i="7"/>
  <c r="EU220" i="7"/>
  <c r="CY220" i="7"/>
  <c r="BG220" i="7"/>
  <c r="ET220" i="7"/>
  <c r="CX220" i="7"/>
  <c r="CV220" i="7"/>
  <c r="EN220" i="7"/>
  <c r="ES220" i="7"/>
  <c r="EX220" i="7" s="1"/>
  <c r="BE220" i="7"/>
  <c r="ER220" i="7"/>
  <c r="CU220" i="7"/>
  <c r="BP220" i="7"/>
  <c r="BO220" i="7"/>
  <c r="BM220" i="7"/>
  <c r="BL220" i="7"/>
  <c r="DF220" i="7"/>
  <c r="EK220" i="7"/>
  <c r="DE220" i="7"/>
  <c r="DD220" i="7"/>
  <c r="DH220" i="7" s="1"/>
  <c r="BN220" i="7"/>
  <c r="BR220" i="7" s="1"/>
  <c r="CT20" i="7"/>
  <c r="EJ20" i="7" s="1"/>
  <c r="EM20" i="7"/>
  <c r="EM20" i="4" s="1"/>
  <c r="DA20" i="7"/>
  <c r="DA20" i="4" s="1"/>
  <c r="EL20" i="7"/>
  <c r="EL20" i="4" s="1"/>
  <c r="CZ20" i="7"/>
  <c r="CZ20" i="4" s="1"/>
  <c r="DC20" i="7"/>
  <c r="DC20" i="4" s="1"/>
  <c r="BO20" i="7"/>
  <c r="CY20" i="7"/>
  <c r="CY20" i="4" s="1"/>
  <c r="ET20" i="7"/>
  <c r="ET20" i="4" s="1"/>
  <c r="CX20" i="7"/>
  <c r="CX20" i="4" s="1"/>
  <c r="CW20" i="7"/>
  <c r="CW20" i="4" s="1"/>
  <c r="CV20" i="7"/>
  <c r="CV20" i="4" s="1"/>
  <c r="BI20" i="7"/>
  <c r="EP20" i="7"/>
  <c r="EP20" i="4" s="1"/>
  <c r="EO20" i="7"/>
  <c r="EO20" i="4" s="1"/>
  <c r="BG20" i="7"/>
  <c r="EV20" i="7"/>
  <c r="EV20" i="4" s="1"/>
  <c r="DB20" i="7"/>
  <c r="DB20" i="4" s="1"/>
  <c r="BN20" i="7"/>
  <c r="EU20" i="7"/>
  <c r="EU20" i="4" s="1"/>
  <c r="BM20" i="7"/>
  <c r="BL20" i="7"/>
  <c r="ES20" i="7"/>
  <c r="ES20" i="4" s="1"/>
  <c r="BK20" i="7"/>
  <c r="BJ20" i="7"/>
  <c r="EQ20" i="7"/>
  <c r="EQ20" i="4" s="1"/>
  <c r="EN20" i="7"/>
  <c r="EN20" i="4" s="1"/>
  <c r="ER20" i="7"/>
  <c r="ER20" i="4" s="1"/>
  <c r="CU20" i="7"/>
  <c r="BH20" i="7"/>
  <c r="DF20" i="7"/>
  <c r="DF20" i="4" s="1"/>
  <c r="BP20" i="7"/>
  <c r="BF20" i="7"/>
  <c r="EK20" i="7"/>
  <c r="BE20" i="7"/>
  <c r="DD20" i="7"/>
  <c r="DD20" i="4" s="1"/>
  <c r="DE20" i="7"/>
  <c r="DE20" i="4" s="1"/>
  <c r="CT32" i="7"/>
  <c r="BU32" i="7"/>
  <c r="CD32" i="7"/>
  <c r="CC32" i="7"/>
  <c r="CB32" i="7"/>
  <c r="CA32" i="7"/>
  <c r="BT32" i="7"/>
  <c r="BS32" i="7"/>
  <c r="BX32" i="7"/>
  <c r="BW32" i="7"/>
  <c r="BV32" i="7"/>
  <c r="BZ32" i="7"/>
  <c r="BY32" i="7"/>
  <c r="EM32" i="7"/>
  <c r="EM32" i="4" s="1"/>
  <c r="DA32" i="7"/>
  <c r="DA32" i="4" s="1"/>
  <c r="EL32" i="7"/>
  <c r="EL32" i="4" s="1"/>
  <c r="CZ32" i="7"/>
  <c r="CZ32" i="4" s="1"/>
  <c r="DC32" i="7"/>
  <c r="BO32" i="7"/>
  <c r="ET32" i="7"/>
  <c r="ET32" i="4" s="1"/>
  <c r="BL32" i="7"/>
  <c r="CW32" i="7"/>
  <c r="CW32" i="4" s="1"/>
  <c r="ER32" i="7"/>
  <c r="ER32" i="4" s="1"/>
  <c r="CU32" i="7"/>
  <c r="BI32" i="7"/>
  <c r="EO32" i="7"/>
  <c r="EO32" i="4" s="1"/>
  <c r="EN32" i="7"/>
  <c r="EN32" i="4" s="1"/>
  <c r="EV32" i="7"/>
  <c r="EV32" i="4" s="1"/>
  <c r="DB32" i="7"/>
  <c r="DB32" i="4" s="1"/>
  <c r="BN32" i="7"/>
  <c r="BR32" i="7" s="1"/>
  <c r="EU32" i="7"/>
  <c r="EU32" i="4" s="1"/>
  <c r="CY32" i="7"/>
  <c r="CY32" i="4" s="1"/>
  <c r="BM32" i="7"/>
  <c r="CX32" i="7"/>
  <c r="CX32" i="4" s="1"/>
  <c r="BK32" i="7"/>
  <c r="CV32" i="7"/>
  <c r="CV32" i="4" s="1"/>
  <c r="BJ32" i="7"/>
  <c r="EQ32" i="7"/>
  <c r="EQ32" i="4" s="1"/>
  <c r="EP32" i="7"/>
  <c r="EP32" i="4" s="1"/>
  <c r="BH32" i="7"/>
  <c r="ES32" i="7"/>
  <c r="BG32" i="7"/>
  <c r="BP32" i="7"/>
  <c r="BF32" i="7"/>
  <c r="DF32" i="7"/>
  <c r="DF32" i="4" s="1"/>
  <c r="BE32" i="7"/>
  <c r="DE32" i="7"/>
  <c r="DE32" i="4" s="1"/>
  <c r="DD32" i="7"/>
  <c r="EK32" i="7"/>
  <c r="CT44" i="7"/>
  <c r="BT44" i="7"/>
  <c r="CD44" i="7"/>
  <c r="BZ44" i="7"/>
  <c r="BS44" i="7"/>
  <c r="CC44" i="7"/>
  <c r="CB44" i="7"/>
  <c r="CA44" i="7"/>
  <c r="BW44" i="7"/>
  <c r="BV44" i="7"/>
  <c r="BU44" i="7"/>
  <c r="BY44" i="7"/>
  <c r="BX44" i="7"/>
  <c r="EM44" i="7"/>
  <c r="EM44" i="4" s="1"/>
  <c r="DA44" i="7"/>
  <c r="DA44" i="4" s="1"/>
  <c r="EL44" i="7"/>
  <c r="EL44" i="4" s="1"/>
  <c r="CZ44" i="7"/>
  <c r="CZ44" i="4" s="1"/>
  <c r="EQ44" i="7"/>
  <c r="EQ44" i="4" s="1"/>
  <c r="CU44" i="7"/>
  <c r="BO44" i="7"/>
  <c r="EO44" i="7"/>
  <c r="EO44" i="4" s="1"/>
  <c r="EN44" i="7"/>
  <c r="EN44" i="4" s="1"/>
  <c r="BK44" i="7"/>
  <c r="BI44" i="7"/>
  <c r="BH44" i="7"/>
  <c r="EU44" i="7"/>
  <c r="EU44" i="4" s="1"/>
  <c r="BG44" i="7"/>
  <c r="ET44" i="7"/>
  <c r="ET44" i="4" s="1"/>
  <c r="EP44" i="7"/>
  <c r="EP44" i="4" s="1"/>
  <c r="BN44" i="7"/>
  <c r="BM44" i="7"/>
  <c r="DF44" i="7"/>
  <c r="DF44" i="4" s="1"/>
  <c r="BL44" i="7"/>
  <c r="DD44" i="7"/>
  <c r="DC44" i="7"/>
  <c r="EV44" i="7"/>
  <c r="EV44" i="4" s="1"/>
  <c r="DB44" i="7"/>
  <c r="DB44" i="4" s="1"/>
  <c r="CY44" i="7"/>
  <c r="CY44" i="4" s="1"/>
  <c r="EK44" i="7"/>
  <c r="DE44" i="7"/>
  <c r="DE44" i="4" s="1"/>
  <c r="BJ44" i="7"/>
  <c r="ER44" i="7"/>
  <c r="ER44" i="4" s="1"/>
  <c r="CW44" i="7"/>
  <c r="CW44" i="4" s="1"/>
  <c r="BE44" i="7"/>
  <c r="ES44" i="7"/>
  <c r="CX44" i="7"/>
  <c r="CX44" i="4" s="1"/>
  <c r="CV44" i="7"/>
  <c r="CV44" i="4" s="1"/>
  <c r="BP44" i="7"/>
  <c r="BF44" i="7"/>
  <c r="CT68" i="7"/>
  <c r="EJ68" i="7" s="1"/>
  <c r="EM68" i="7"/>
  <c r="EM68" i="4" s="1"/>
  <c r="DA68" i="7"/>
  <c r="DA68" i="4" s="1"/>
  <c r="EL68" i="7"/>
  <c r="EL68" i="4" s="1"/>
  <c r="CZ68" i="7"/>
  <c r="CZ68" i="4" s="1"/>
  <c r="EQ68" i="7"/>
  <c r="EQ68" i="4" s="1"/>
  <c r="CU68" i="7"/>
  <c r="BO68" i="7"/>
  <c r="EO68" i="7"/>
  <c r="EO68" i="4" s="1"/>
  <c r="EN68" i="7"/>
  <c r="EN68" i="4" s="1"/>
  <c r="BL68" i="7"/>
  <c r="EK68" i="7"/>
  <c r="BI68" i="7"/>
  <c r="EV68" i="7"/>
  <c r="EV68" i="4" s="1"/>
  <c r="BH68" i="7"/>
  <c r="EU68" i="7"/>
  <c r="EU68" i="4" s="1"/>
  <c r="ET68" i="7"/>
  <c r="ET68" i="4" s="1"/>
  <c r="EP68" i="7"/>
  <c r="EP68" i="4" s="1"/>
  <c r="BN68" i="7"/>
  <c r="BR68" i="7" s="1"/>
  <c r="BM68" i="7"/>
  <c r="DF68" i="7"/>
  <c r="DF68" i="4" s="1"/>
  <c r="DE68" i="7"/>
  <c r="DE68" i="4" s="1"/>
  <c r="BK68" i="7"/>
  <c r="DD68" i="7"/>
  <c r="DC68" i="7"/>
  <c r="DB68" i="7"/>
  <c r="DB68" i="4" s="1"/>
  <c r="BJ68" i="7"/>
  <c r="CY68" i="7"/>
  <c r="CY68" i="4" s="1"/>
  <c r="BG68" i="7"/>
  <c r="BP68" i="7"/>
  <c r="ER68" i="7"/>
  <c r="ER68" i="4" s="1"/>
  <c r="CX68" i="7"/>
  <c r="CX68" i="4" s="1"/>
  <c r="BF68" i="7"/>
  <c r="BE68" i="7"/>
  <c r="CW68" i="7"/>
  <c r="CW68" i="4" s="1"/>
  <c r="CV68" i="7"/>
  <c r="CV68" i="4" s="1"/>
  <c r="ES68" i="7"/>
  <c r="CT80" i="7"/>
  <c r="BT80" i="7"/>
  <c r="CC80" i="7"/>
  <c r="CB80" i="7"/>
  <c r="BZ80" i="7"/>
  <c r="BS80" i="7"/>
  <c r="CD80" i="7"/>
  <c r="CA80" i="7"/>
  <c r="BU80" i="7"/>
  <c r="BY80" i="7"/>
  <c r="BX80" i="7"/>
  <c r="BW80" i="7"/>
  <c r="BV80" i="7"/>
  <c r="EM80" i="7"/>
  <c r="DA80" i="7"/>
  <c r="EL80" i="7"/>
  <c r="CZ80" i="7"/>
  <c r="EO80" i="7"/>
  <c r="BO80" i="7"/>
  <c r="EK80" i="7"/>
  <c r="BM80" i="7"/>
  <c r="DD80" i="7"/>
  <c r="BL80" i="7"/>
  <c r="DC80" i="7"/>
  <c r="EV80" i="7"/>
  <c r="EU80" i="7"/>
  <c r="CY80" i="7"/>
  <c r="BI80" i="7"/>
  <c r="BH80" i="7"/>
  <c r="ES80" i="7"/>
  <c r="EN80" i="7"/>
  <c r="DF80" i="7"/>
  <c r="BN80" i="7"/>
  <c r="DE80" i="7"/>
  <c r="BK80" i="7"/>
  <c r="ET80" i="7"/>
  <c r="CW80" i="7"/>
  <c r="ER80" i="7"/>
  <c r="DB80" i="7"/>
  <c r="BJ80" i="7"/>
  <c r="CX80" i="7"/>
  <c r="BG80" i="7"/>
  <c r="CV80" i="7"/>
  <c r="EP80" i="7"/>
  <c r="BP80" i="7"/>
  <c r="EQ80" i="7"/>
  <c r="CU80" i="7"/>
  <c r="BF80" i="7"/>
  <c r="BE80" i="7"/>
  <c r="CT92" i="7"/>
  <c r="BT92" i="7"/>
  <c r="CD92" i="7"/>
  <c r="BZ92" i="7"/>
  <c r="BS92" i="7"/>
  <c r="CC92" i="7"/>
  <c r="CB92" i="7"/>
  <c r="CA92" i="7"/>
  <c r="BX92" i="7"/>
  <c r="BW92" i="7"/>
  <c r="BY92" i="7"/>
  <c r="BV92" i="7"/>
  <c r="BU92" i="7"/>
  <c r="EM92" i="7"/>
  <c r="DA92" i="7"/>
  <c r="EL92" i="7"/>
  <c r="CZ92" i="7"/>
  <c r="DC92" i="7"/>
  <c r="BO92" i="7"/>
  <c r="BL92" i="7"/>
  <c r="ES92" i="7"/>
  <c r="BK92" i="7"/>
  <c r="CU92" i="7"/>
  <c r="BI92" i="7"/>
  <c r="EP92" i="7"/>
  <c r="BH92" i="7"/>
  <c r="EO92" i="7"/>
  <c r="EV92" i="7"/>
  <c r="DB92" i="7"/>
  <c r="BN92" i="7"/>
  <c r="EU92" i="7"/>
  <c r="CY92" i="7"/>
  <c r="BM92" i="7"/>
  <c r="ET92" i="7"/>
  <c r="CX92" i="7"/>
  <c r="CW92" i="7"/>
  <c r="ER92" i="7"/>
  <c r="EQ92" i="7"/>
  <c r="BG92" i="7"/>
  <c r="EN92" i="7"/>
  <c r="CV92" i="7"/>
  <c r="BJ92" i="7"/>
  <c r="DD92" i="7"/>
  <c r="BP92" i="7"/>
  <c r="DF92" i="7"/>
  <c r="BF92" i="7"/>
  <c r="DE92" i="7"/>
  <c r="BE92" i="7"/>
  <c r="EK92" i="7"/>
  <c r="CT128" i="7"/>
  <c r="BT128" i="7"/>
  <c r="BS128" i="7"/>
  <c r="CD128" i="7"/>
  <c r="CC128" i="7"/>
  <c r="CB128" i="7"/>
  <c r="CA128" i="7"/>
  <c r="BZ128" i="7"/>
  <c r="BX128" i="7"/>
  <c r="BY128" i="7"/>
  <c r="BW128" i="7"/>
  <c r="BV128" i="7"/>
  <c r="BU128" i="7"/>
  <c r="EM128" i="7"/>
  <c r="DA128" i="7"/>
  <c r="EL128" i="7"/>
  <c r="CZ128" i="7"/>
  <c r="EK128" i="7"/>
  <c r="DE128" i="7"/>
  <c r="BO128" i="7"/>
  <c r="BM128" i="7"/>
  <c r="DB128" i="7"/>
  <c r="BL128" i="7"/>
  <c r="EU128" i="7"/>
  <c r="CX128" i="7"/>
  <c r="ES128" i="7"/>
  <c r="CV128" i="7"/>
  <c r="BH128" i="7"/>
  <c r="DD128" i="7"/>
  <c r="BN128" i="7"/>
  <c r="BR128" i="7" s="1"/>
  <c r="DC128" i="7"/>
  <c r="EV128" i="7"/>
  <c r="CY128" i="7"/>
  <c r="ET128" i="7"/>
  <c r="BJ128" i="7"/>
  <c r="ER128" i="7"/>
  <c r="EQ128" i="7"/>
  <c r="CU128" i="7"/>
  <c r="BG128" i="7"/>
  <c r="EP128" i="7"/>
  <c r="BK128" i="7"/>
  <c r="CW128" i="7"/>
  <c r="BI128" i="7"/>
  <c r="EN128" i="7"/>
  <c r="BE128" i="7"/>
  <c r="EO128" i="7"/>
  <c r="DF128" i="7"/>
  <c r="BP128" i="7"/>
  <c r="BF128" i="7"/>
  <c r="CT140" i="7"/>
  <c r="BT140" i="7"/>
  <c r="CC140" i="7"/>
  <c r="CB140" i="7"/>
  <c r="BZ140" i="7"/>
  <c r="BS140" i="7"/>
  <c r="CD140" i="7"/>
  <c r="CA140" i="7"/>
  <c r="BU140" i="7"/>
  <c r="BY140" i="7"/>
  <c r="BX140" i="7"/>
  <c r="BW140" i="7"/>
  <c r="BV140" i="7"/>
  <c r="EM140" i="7"/>
  <c r="DA140" i="7"/>
  <c r="EL140" i="7"/>
  <c r="CZ140" i="7"/>
  <c r="ES140" i="7"/>
  <c r="CW140" i="7"/>
  <c r="BO140" i="7"/>
  <c r="BM140" i="7"/>
  <c r="EP140" i="7"/>
  <c r="BL140" i="7"/>
  <c r="BK140" i="7"/>
  <c r="DF140" i="7"/>
  <c r="EK140" i="7"/>
  <c r="DE140" i="7"/>
  <c r="BI140" i="7"/>
  <c r="DD140" i="7"/>
  <c r="EV140" i="7"/>
  <c r="ER140" i="7"/>
  <c r="CV140" i="7"/>
  <c r="BN140" i="7"/>
  <c r="BR140" i="7" s="1"/>
  <c r="EQ140" i="7"/>
  <c r="CU140" i="7"/>
  <c r="BJ140" i="7"/>
  <c r="DC140" i="7"/>
  <c r="BG140" i="7"/>
  <c r="EO140" i="7"/>
  <c r="EN140" i="7"/>
  <c r="BH140" i="7"/>
  <c r="BP140" i="7"/>
  <c r="DB140" i="7"/>
  <c r="BF140" i="7"/>
  <c r="ET140" i="7"/>
  <c r="CY140" i="7"/>
  <c r="EU140" i="7"/>
  <c r="BE140" i="7"/>
  <c r="CX140" i="7"/>
  <c r="CT152" i="7"/>
  <c r="BT152" i="7"/>
  <c r="CD152" i="7"/>
  <c r="BZ152" i="7"/>
  <c r="BS152" i="7"/>
  <c r="CC152" i="7"/>
  <c r="CB152" i="7"/>
  <c r="CA152" i="7"/>
  <c r="BY152" i="7"/>
  <c r="BX152" i="7"/>
  <c r="BW152" i="7"/>
  <c r="BV152" i="7"/>
  <c r="BU152" i="7"/>
  <c r="EM152" i="7"/>
  <c r="DA152" i="7"/>
  <c r="EL152" i="7"/>
  <c r="CZ152" i="7"/>
  <c r="EO152" i="7"/>
  <c r="BO152" i="7"/>
  <c r="DD152" i="7"/>
  <c r="DB152" i="7"/>
  <c r="ET152" i="7"/>
  <c r="BH152" i="7"/>
  <c r="EN152" i="7"/>
  <c r="DF152" i="7"/>
  <c r="BN152" i="7"/>
  <c r="EK152" i="7"/>
  <c r="DE152" i="7"/>
  <c r="BM152" i="7"/>
  <c r="BL152" i="7"/>
  <c r="BK152" i="7"/>
  <c r="BJ152" i="7"/>
  <c r="BI152" i="7"/>
  <c r="ES152" i="7"/>
  <c r="CW152" i="7"/>
  <c r="ER152" i="7"/>
  <c r="DC152" i="7"/>
  <c r="EV152" i="7"/>
  <c r="EU152" i="7"/>
  <c r="CY152" i="7"/>
  <c r="CX152" i="7"/>
  <c r="BG152" i="7"/>
  <c r="EP152" i="7"/>
  <c r="BP152" i="7"/>
  <c r="CV152" i="7"/>
  <c r="BF152" i="7"/>
  <c r="CU152" i="7"/>
  <c r="BE152" i="7"/>
  <c r="EQ152" i="7"/>
  <c r="CT176" i="7"/>
  <c r="BT176" i="7"/>
  <c r="CC176" i="7"/>
  <c r="BS176" i="7"/>
  <c r="CD176" i="7"/>
  <c r="CB176" i="7"/>
  <c r="CA176" i="7"/>
  <c r="BZ176" i="7"/>
  <c r="BY176" i="7"/>
  <c r="BW176" i="7"/>
  <c r="BX176" i="7"/>
  <c r="BV176" i="7"/>
  <c r="BU176" i="7"/>
  <c r="EM176" i="7"/>
  <c r="DA176" i="7"/>
  <c r="BK176" i="7"/>
  <c r="EL176" i="7"/>
  <c r="CZ176" i="7"/>
  <c r="BJ176" i="7"/>
  <c r="EO176" i="7"/>
  <c r="BO176" i="7"/>
  <c r="BM176" i="7"/>
  <c r="DD176" i="7"/>
  <c r="BL176" i="7"/>
  <c r="BH176" i="7"/>
  <c r="CY176" i="7"/>
  <c r="ET176" i="7"/>
  <c r="ES176" i="7"/>
  <c r="BE176" i="7"/>
  <c r="EN176" i="7"/>
  <c r="DF176" i="7"/>
  <c r="BN176" i="7"/>
  <c r="BR176" i="7" s="1"/>
  <c r="EK176" i="7"/>
  <c r="DE176" i="7"/>
  <c r="BI176" i="7"/>
  <c r="DB176" i="7"/>
  <c r="CX176" i="7"/>
  <c r="BF176" i="7"/>
  <c r="CW176" i="7"/>
  <c r="ER176" i="7"/>
  <c r="DC176" i="7"/>
  <c r="EV176" i="7"/>
  <c r="EU176" i="7"/>
  <c r="BG176" i="7"/>
  <c r="EQ176" i="7"/>
  <c r="BP176" i="7"/>
  <c r="EP176" i="7"/>
  <c r="CV176" i="7"/>
  <c r="CU176" i="7"/>
  <c r="CT188" i="7"/>
  <c r="BT188" i="7"/>
  <c r="BZ188" i="7"/>
  <c r="BS188" i="7"/>
  <c r="CD188" i="7"/>
  <c r="CC188" i="7"/>
  <c r="CB188" i="7"/>
  <c r="CA188" i="7"/>
  <c r="BX188" i="7"/>
  <c r="BW188" i="7"/>
  <c r="BV188" i="7"/>
  <c r="BY188" i="7"/>
  <c r="BU188" i="7"/>
  <c r="EM188" i="7"/>
  <c r="DA188" i="7"/>
  <c r="BK188" i="7"/>
  <c r="EL188" i="7"/>
  <c r="CZ188" i="7"/>
  <c r="BJ188" i="7"/>
  <c r="EU188" i="7"/>
  <c r="CY188" i="7"/>
  <c r="BG188" i="7"/>
  <c r="CW188" i="7"/>
  <c r="BE188" i="7"/>
  <c r="ER188" i="7"/>
  <c r="EO188" i="7"/>
  <c r="ET188" i="7"/>
  <c r="CX188" i="7"/>
  <c r="BF188" i="7"/>
  <c r="ES188" i="7"/>
  <c r="CV188" i="7"/>
  <c r="CU188" i="7"/>
  <c r="EP188" i="7"/>
  <c r="BP188" i="7"/>
  <c r="BO188" i="7"/>
  <c r="EN188" i="7"/>
  <c r="EK188" i="7"/>
  <c r="DE188" i="7"/>
  <c r="BM188" i="7"/>
  <c r="EQ188" i="7"/>
  <c r="DF188" i="7"/>
  <c r="BN188" i="7"/>
  <c r="DB188" i="7"/>
  <c r="BH188" i="7"/>
  <c r="EV188" i="7"/>
  <c r="DD188" i="7"/>
  <c r="BL188" i="7"/>
  <c r="DC188" i="7"/>
  <c r="BI188" i="7"/>
  <c r="CT200" i="7"/>
  <c r="BT200" i="7"/>
  <c r="CC200" i="7"/>
  <c r="BS200" i="7"/>
  <c r="CD200" i="7"/>
  <c r="CB200" i="7"/>
  <c r="CA200" i="7"/>
  <c r="BZ200" i="7"/>
  <c r="BU200" i="7"/>
  <c r="BY200" i="7"/>
  <c r="BX200" i="7"/>
  <c r="BW200" i="7"/>
  <c r="BV200" i="7"/>
  <c r="EM200" i="7"/>
  <c r="DA200" i="7"/>
  <c r="BK200" i="7"/>
  <c r="EL200" i="7"/>
  <c r="CZ200" i="7"/>
  <c r="BJ200" i="7"/>
  <c r="ES200" i="7"/>
  <c r="CW200" i="7"/>
  <c r="BE200" i="7"/>
  <c r="BP200" i="7"/>
  <c r="EN200" i="7"/>
  <c r="EK200" i="7"/>
  <c r="BM200" i="7"/>
  <c r="DD200" i="7"/>
  <c r="BL200" i="7"/>
  <c r="DC200" i="7"/>
  <c r="BI200" i="7"/>
  <c r="ER200" i="7"/>
  <c r="CV200" i="7"/>
  <c r="EQ200" i="7"/>
  <c r="CU200" i="7"/>
  <c r="EP200" i="7"/>
  <c r="BO200" i="7"/>
  <c r="BN200" i="7"/>
  <c r="EV200" i="7"/>
  <c r="EO200" i="7"/>
  <c r="DF200" i="7"/>
  <c r="DE200" i="7"/>
  <c r="ET200" i="7"/>
  <c r="DB200" i="7"/>
  <c r="CY200" i="7"/>
  <c r="CX200" i="7"/>
  <c r="BF200" i="7"/>
  <c r="EU200" i="7"/>
  <c r="BH200" i="7"/>
  <c r="BG200" i="7"/>
  <c r="CT212" i="7"/>
  <c r="BT212" i="7"/>
  <c r="CC212" i="7"/>
  <c r="BS212" i="7"/>
  <c r="CD212" i="7"/>
  <c r="CB212" i="7"/>
  <c r="CA212" i="7"/>
  <c r="BZ212" i="7"/>
  <c r="BY212" i="7"/>
  <c r="BX212" i="7"/>
  <c r="BW212" i="7"/>
  <c r="BV212" i="7"/>
  <c r="BU212" i="7"/>
  <c r="EM212" i="7"/>
  <c r="DA212" i="7"/>
  <c r="BK212" i="7"/>
  <c r="EL212" i="7"/>
  <c r="CZ212" i="7"/>
  <c r="BJ212" i="7"/>
  <c r="EO212" i="7"/>
  <c r="BO212" i="7"/>
  <c r="BM212" i="7"/>
  <c r="DC212" i="7"/>
  <c r="EV212" i="7"/>
  <c r="BH212" i="7"/>
  <c r="EU212" i="7"/>
  <c r="EN212" i="7"/>
  <c r="DF212" i="7"/>
  <c r="BN212" i="7"/>
  <c r="EK212" i="7"/>
  <c r="DE212" i="7"/>
  <c r="DD212" i="7"/>
  <c r="BL212" i="7"/>
  <c r="DB212" i="7"/>
  <c r="CY212" i="7"/>
  <c r="BG212" i="7"/>
  <c r="ET212" i="7"/>
  <c r="ES212" i="7"/>
  <c r="CW212" i="7"/>
  <c r="BE212" i="7"/>
  <c r="ER212" i="7"/>
  <c r="BI212" i="7"/>
  <c r="CX212" i="7"/>
  <c r="BF212" i="7"/>
  <c r="EP212" i="7"/>
  <c r="BP212" i="7"/>
  <c r="EQ212" i="7"/>
  <c r="CV212" i="7"/>
  <c r="CU212" i="7"/>
  <c r="CT224" i="7"/>
  <c r="CD224" i="7"/>
  <c r="CA224" i="7"/>
  <c r="CC224" i="7"/>
  <c r="CB224" i="7"/>
  <c r="BZ224" i="7"/>
  <c r="BY224" i="7"/>
  <c r="BX224" i="7"/>
  <c r="BS224" i="7"/>
  <c r="BU224" i="7"/>
  <c r="BW224" i="7"/>
  <c r="BV224" i="7"/>
  <c r="BT224" i="7"/>
  <c r="EM224" i="7"/>
  <c r="DA224" i="7"/>
  <c r="BK224" i="7"/>
  <c r="EL224" i="7"/>
  <c r="CZ224" i="7"/>
  <c r="BJ224" i="7"/>
  <c r="EQ224" i="7"/>
  <c r="CU224" i="7"/>
  <c r="DF224" i="7"/>
  <c r="BI224" i="7"/>
  <c r="EP224" i="7"/>
  <c r="BP224" i="7"/>
  <c r="EO224" i="7"/>
  <c r="BO224" i="7"/>
  <c r="EN224" i="7"/>
  <c r="BN224" i="7"/>
  <c r="DE224" i="7"/>
  <c r="BM224" i="7"/>
  <c r="BH224" i="7"/>
  <c r="EU224" i="7"/>
  <c r="CY224" i="7"/>
  <c r="BG224" i="7"/>
  <c r="ET224" i="7"/>
  <c r="EK224" i="7"/>
  <c r="DD224" i="7"/>
  <c r="BL224" i="7"/>
  <c r="DC224" i="7"/>
  <c r="EV224" i="7"/>
  <c r="DB224" i="7"/>
  <c r="CX224" i="7"/>
  <c r="BF224" i="7"/>
  <c r="ES224" i="7"/>
  <c r="CW224" i="7"/>
  <c r="BE224" i="7"/>
  <c r="ER224" i="7"/>
  <c r="CV224" i="7"/>
  <c r="CT158" i="7"/>
  <c r="BT158" i="7"/>
  <c r="CC158" i="7"/>
  <c r="BS158" i="7"/>
  <c r="CD158" i="7"/>
  <c r="CB158" i="7"/>
  <c r="CA158" i="7"/>
  <c r="BZ158" i="7"/>
  <c r="BW158" i="7"/>
  <c r="BV158" i="7"/>
  <c r="BY158" i="7"/>
  <c r="BX158" i="7"/>
  <c r="BU158" i="7"/>
  <c r="EM158" i="7"/>
  <c r="DA158" i="7"/>
  <c r="BK158" i="7"/>
  <c r="EL158" i="7"/>
  <c r="CZ158" i="7"/>
  <c r="BJ158" i="7"/>
  <c r="EU158" i="7"/>
  <c r="CY158" i="7"/>
  <c r="BG158" i="7"/>
  <c r="ES158" i="7"/>
  <c r="CV158" i="7"/>
  <c r="EP158" i="7"/>
  <c r="EO158" i="7"/>
  <c r="BO158" i="7"/>
  <c r="BN158" i="7"/>
  <c r="DE158" i="7"/>
  <c r="ET158" i="7"/>
  <c r="CX158" i="7"/>
  <c r="BF158" i="7"/>
  <c r="CW158" i="7"/>
  <c r="BE158" i="7"/>
  <c r="ER158" i="7"/>
  <c r="CU158" i="7"/>
  <c r="BP158" i="7"/>
  <c r="EK158" i="7"/>
  <c r="BM158" i="7"/>
  <c r="EQ158" i="7"/>
  <c r="EN158" i="7"/>
  <c r="DF158" i="7"/>
  <c r="DB158" i="7"/>
  <c r="BH158" i="7"/>
  <c r="DC158" i="7"/>
  <c r="BI158" i="7"/>
  <c r="EV158" i="7"/>
  <c r="DD158" i="7"/>
  <c r="BL158" i="7"/>
  <c r="CT21" i="7"/>
  <c r="EJ21" i="7" s="1"/>
  <c r="EM21" i="7"/>
  <c r="EM21" i="4" s="1"/>
  <c r="DA21" i="7"/>
  <c r="DA21" i="4" s="1"/>
  <c r="EL21" i="7"/>
  <c r="EL21" i="4" s="1"/>
  <c r="CZ21" i="7"/>
  <c r="CZ21" i="4" s="1"/>
  <c r="EK21" i="7"/>
  <c r="DE21" i="7"/>
  <c r="DE21" i="4" s="1"/>
  <c r="BO21" i="7"/>
  <c r="BM21" i="7"/>
  <c r="EV21" i="7"/>
  <c r="EV21" i="4" s="1"/>
  <c r="BL21" i="7"/>
  <c r="BK21" i="7"/>
  <c r="ET21" i="7"/>
  <c r="ET21" i="4" s="1"/>
  <c r="ES21" i="7"/>
  <c r="ES21" i="4" s="1"/>
  <c r="CW21" i="7"/>
  <c r="CW21" i="4" s="1"/>
  <c r="ER21" i="7"/>
  <c r="ER21" i="4" s="1"/>
  <c r="CV21" i="7"/>
  <c r="CV21" i="4" s="1"/>
  <c r="BH21" i="7"/>
  <c r="EQ21" i="7"/>
  <c r="EQ21" i="4" s="1"/>
  <c r="EP21" i="7"/>
  <c r="EP21" i="4" s="1"/>
  <c r="DD21" i="7"/>
  <c r="DD21" i="4" s="1"/>
  <c r="BN21" i="7"/>
  <c r="DC21" i="7"/>
  <c r="DC21" i="4" s="1"/>
  <c r="DB21" i="7"/>
  <c r="DB21" i="4" s="1"/>
  <c r="CY21" i="7"/>
  <c r="CY21" i="4" s="1"/>
  <c r="CX21" i="7"/>
  <c r="CX21" i="4" s="1"/>
  <c r="BJ21" i="7"/>
  <c r="BI21" i="7"/>
  <c r="CU21" i="7"/>
  <c r="BG21" i="7"/>
  <c r="EU21" i="7"/>
  <c r="EU21" i="4" s="1"/>
  <c r="BE21" i="7"/>
  <c r="EO21" i="7"/>
  <c r="EO21" i="4" s="1"/>
  <c r="DF21" i="7"/>
  <c r="DF21" i="4" s="1"/>
  <c r="EN21" i="7"/>
  <c r="EN21" i="4" s="1"/>
  <c r="BP21" i="7"/>
  <c r="BF21" i="7"/>
  <c r="CT33" i="7"/>
  <c r="BU33" i="7"/>
  <c r="BS33" i="7"/>
  <c r="BT33" i="7"/>
  <c r="CD33" i="7"/>
  <c r="CC33" i="7"/>
  <c r="CB33" i="7"/>
  <c r="CA33" i="7"/>
  <c r="BX33" i="7"/>
  <c r="BV33" i="7"/>
  <c r="BZ33" i="7"/>
  <c r="BY33" i="7"/>
  <c r="BW33" i="7"/>
  <c r="EM33" i="7"/>
  <c r="EM33" i="4" s="1"/>
  <c r="DA33" i="7"/>
  <c r="DA33" i="4" s="1"/>
  <c r="EL33" i="7"/>
  <c r="EL33" i="4" s="1"/>
  <c r="CZ33" i="7"/>
  <c r="CZ33" i="4" s="1"/>
  <c r="EK33" i="7"/>
  <c r="DE33" i="7"/>
  <c r="DE33" i="4" s="1"/>
  <c r="BO33" i="7"/>
  <c r="BM33" i="7"/>
  <c r="EV33" i="7"/>
  <c r="EV33" i="4" s="1"/>
  <c r="DB33" i="7"/>
  <c r="DB33" i="4" s="1"/>
  <c r="BL33" i="7"/>
  <c r="BK33" i="7"/>
  <c r="ET33" i="7"/>
  <c r="ET33" i="4" s="1"/>
  <c r="ES33" i="7"/>
  <c r="BI33" i="7"/>
  <c r="ER33" i="7"/>
  <c r="ER33" i="4" s="1"/>
  <c r="EQ33" i="7"/>
  <c r="EQ33" i="4" s="1"/>
  <c r="CU33" i="7"/>
  <c r="EP33" i="7"/>
  <c r="EP33" i="4" s="1"/>
  <c r="DD33" i="7"/>
  <c r="BN33" i="7"/>
  <c r="DC33" i="7"/>
  <c r="EU33" i="7"/>
  <c r="EU33" i="4" s="1"/>
  <c r="CY33" i="7"/>
  <c r="CY33" i="4" s="1"/>
  <c r="CX33" i="7"/>
  <c r="CX33" i="4" s="1"/>
  <c r="BJ33" i="7"/>
  <c r="BG33" i="7"/>
  <c r="CW33" i="7"/>
  <c r="CW33" i="4" s="1"/>
  <c r="CV33" i="7"/>
  <c r="CV33" i="4" s="1"/>
  <c r="BH33" i="7"/>
  <c r="EO33" i="7"/>
  <c r="EO33" i="4" s="1"/>
  <c r="BP33" i="7"/>
  <c r="BF33" i="7"/>
  <c r="DF33" i="7"/>
  <c r="DF33" i="4" s="1"/>
  <c r="EN33" i="7"/>
  <c r="EN33" i="4" s="1"/>
  <c r="BE33" i="7"/>
  <c r="CT45" i="7"/>
  <c r="BT45" i="7"/>
  <c r="CC45" i="7"/>
  <c r="CB45" i="7"/>
  <c r="BS45" i="7"/>
  <c r="CD45" i="7"/>
  <c r="CA45" i="7"/>
  <c r="BZ45" i="7"/>
  <c r="BV45" i="7"/>
  <c r="BY45" i="7"/>
  <c r="BX45" i="7"/>
  <c r="BW45" i="7"/>
  <c r="BU45" i="7"/>
  <c r="EM45" i="7"/>
  <c r="EM45" i="4" s="1"/>
  <c r="DA45" i="7"/>
  <c r="DA45" i="4" s="1"/>
  <c r="EL45" i="7"/>
  <c r="EL45" i="4" s="1"/>
  <c r="CZ45" i="7"/>
  <c r="CZ45" i="4" s="1"/>
  <c r="ES45" i="7"/>
  <c r="CW45" i="7"/>
  <c r="CW45" i="4" s="1"/>
  <c r="BO45" i="7"/>
  <c r="BM45" i="7"/>
  <c r="EO45" i="7"/>
  <c r="EO45" i="4" s="1"/>
  <c r="EN45" i="7"/>
  <c r="EN45" i="4" s="1"/>
  <c r="DE45" i="7"/>
  <c r="DE45" i="4" s="1"/>
  <c r="DD45" i="7"/>
  <c r="DC45" i="7"/>
  <c r="ER45" i="7"/>
  <c r="ER45" i="4" s="1"/>
  <c r="CV45" i="7"/>
  <c r="CV45" i="4" s="1"/>
  <c r="BN45" i="7"/>
  <c r="EQ45" i="7"/>
  <c r="EQ45" i="4" s="1"/>
  <c r="CU45" i="7"/>
  <c r="EP45" i="7"/>
  <c r="EP45" i="4" s="1"/>
  <c r="BI45" i="7"/>
  <c r="BH45" i="7"/>
  <c r="BG45" i="7"/>
  <c r="EV45" i="7"/>
  <c r="EV45" i="4" s="1"/>
  <c r="BL45" i="7"/>
  <c r="BK45" i="7"/>
  <c r="DF45" i="7"/>
  <c r="DF45" i="4" s="1"/>
  <c r="BJ45" i="7"/>
  <c r="EK45" i="7"/>
  <c r="BF45" i="7"/>
  <c r="EU45" i="7"/>
  <c r="EU45" i="4" s="1"/>
  <c r="ET45" i="7"/>
  <c r="ET45" i="4" s="1"/>
  <c r="BE45" i="7"/>
  <c r="DB45" i="7"/>
  <c r="DB45" i="4" s="1"/>
  <c r="CY45" i="7"/>
  <c r="CY45" i="4" s="1"/>
  <c r="CX45" i="7"/>
  <c r="CX45" i="4" s="1"/>
  <c r="BP45" i="7"/>
  <c r="CT69" i="7"/>
  <c r="EJ69" i="7" s="1"/>
  <c r="EM69" i="7"/>
  <c r="EM69" i="4" s="1"/>
  <c r="DA69" i="7"/>
  <c r="DA69" i="4" s="1"/>
  <c r="EL69" i="7"/>
  <c r="EL69" i="4" s="1"/>
  <c r="CZ69" i="7"/>
  <c r="CZ69" i="4" s="1"/>
  <c r="ES69" i="7"/>
  <c r="CW69" i="7"/>
  <c r="CW69" i="4" s="1"/>
  <c r="BO69" i="7"/>
  <c r="BM69" i="7"/>
  <c r="BK69" i="7"/>
  <c r="EN69" i="7"/>
  <c r="EN69" i="4" s="1"/>
  <c r="DE69" i="7"/>
  <c r="DE69" i="4" s="1"/>
  <c r="DC69" i="7"/>
  <c r="ER69" i="7"/>
  <c r="ER69" i="4" s="1"/>
  <c r="CV69" i="7"/>
  <c r="CV69" i="4" s="1"/>
  <c r="BN69" i="7"/>
  <c r="BR69" i="7" s="1"/>
  <c r="EQ69" i="7"/>
  <c r="EQ69" i="4" s="1"/>
  <c r="CU69" i="7"/>
  <c r="EP69" i="7"/>
  <c r="EP69" i="4" s="1"/>
  <c r="EO69" i="7"/>
  <c r="EO69" i="4" s="1"/>
  <c r="BJ69" i="7"/>
  <c r="EK69" i="7"/>
  <c r="BI69" i="7"/>
  <c r="BH69" i="7"/>
  <c r="BG69" i="7"/>
  <c r="EV69" i="7"/>
  <c r="EV69" i="4" s="1"/>
  <c r="BL69" i="7"/>
  <c r="DF69" i="7"/>
  <c r="DF69" i="4" s="1"/>
  <c r="DD69" i="7"/>
  <c r="CX69" i="7"/>
  <c r="CX69" i="4" s="1"/>
  <c r="ET69" i="7"/>
  <c r="ET69" i="4" s="1"/>
  <c r="BF69" i="7"/>
  <c r="BE69" i="7"/>
  <c r="BP69" i="7"/>
  <c r="EU69" i="7"/>
  <c r="EU69" i="4" s="1"/>
  <c r="DB69" i="7"/>
  <c r="DB69" i="4" s="1"/>
  <c r="CY69" i="7"/>
  <c r="CY69" i="4" s="1"/>
  <c r="CT81" i="7"/>
  <c r="BT81" i="7"/>
  <c r="CA81" i="7"/>
  <c r="BS81" i="7"/>
  <c r="CD81" i="7"/>
  <c r="CC81" i="7"/>
  <c r="CB81" i="7"/>
  <c r="BZ81" i="7"/>
  <c r="BX81" i="7"/>
  <c r="BY81" i="7"/>
  <c r="BW81" i="7"/>
  <c r="BV81" i="7"/>
  <c r="BU81" i="7"/>
  <c r="EM81" i="7"/>
  <c r="DA81" i="7"/>
  <c r="EL81" i="7"/>
  <c r="CZ81" i="7"/>
  <c r="EQ81" i="7"/>
  <c r="CU81" i="7"/>
  <c r="BO81" i="7"/>
  <c r="BM81" i="7"/>
  <c r="BK81" i="7"/>
  <c r="EV81" i="7"/>
  <c r="DB81" i="7"/>
  <c r="CY81" i="7"/>
  <c r="ET81" i="7"/>
  <c r="EP81" i="7"/>
  <c r="BN81" i="7"/>
  <c r="EO81" i="7"/>
  <c r="EN81" i="7"/>
  <c r="DF81" i="7"/>
  <c r="EK81" i="7"/>
  <c r="DE81" i="7"/>
  <c r="DD81" i="7"/>
  <c r="BJ81" i="7"/>
  <c r="BI81" i="7"/>
  <c r="BH81" i="7"/>
  <c r="EU81" i="7"/>
  <c r="BG81" i="7"/>
  <c r="BL81" i="7"/>
  <c r="DC81" i="7"/>
  <c r="ES81" i="7"/>
  <c r="CV81" i="7"/>
  <c r="BF81" i="7"/>
  <c r="ER81" i="7"/>
  <c r="BP81" i="7"/>
  <c r="CX81" i="7"/>
  <c r="CW81" i="7"/>
  <c r="BE81" i="7"/>
  <c r="CT93" i="7"/>
  <c r="BT93" i="7"/>
  <c r="CD93" i="7"/>
  <c r="CC93" i="7"/>
  <c r="CA93" i="7"/>
  <c r="BS93" i="7"/>
  <c r="CB93" i="7"/>
  <c r="BZ93" i="7"/>
  <c r="BX93" i="7"/>
  <c r="BY93" i="7"/>
  <c r="BW93" i="7"/>
  <c r="BV93" i="7"/>
  <c r="BU93" i="7"/>
  <c r="EM93" i="7"/>
  <c r="DA93" i="7"/>
  <c r="EL93" i="7"/>
  <c r="CZ93" i="7"/>
  <c r="EK93" i="7"/>
  <c r="DE93" i="7"/>
  <c r="BO93" i="7"/>
  <c r="DC93" i="7"/>
  <c r="BM93" i="7"/>
  <c r="EV93" i="7"/>
  <c r="ET93" i="7"/>
  <c r="ES93" i="7"/>
  <c r="CV93" i="7"/>
  <c r="EP93" i="7"/>
  <c r="DD93" i="7"/>
  <c r="BN93" i="7"/>
  <c r="EU93" i="7"/>
  <c r="CX93" i="7"/>
  <c r="BJ93" i="7"/>
  <c r="CW93" i="7"/>
  <c r="BI93" i="7"/>
  <c r="ER93" i="7"/>
  <c r="BH93" i="7"/>
  <c r="EQ93" i="7"/>
  <c r="CU93" i="7"/>
  <c r="BG93" i="7"/>
  <c r="DB93" i="7"/>
  <c r="BL93" i="7"/>
  <c r="CY93" i="7"/>
  <c r="BK93" i="7"/>
  <c r="DF93" i="7"/>
  <c r="BF93" i="7"/>
  <c r="EO93" i="7"/>
  <c r="EN93" i="7"/>
  <c r="BP93" i="7"/>
  <c r="BE93" i="7"/>
  <c r="CT105" i="7"/>
  <c r="BT105" i="7"/>
  <c r="BS105" i="7"/>
  <c r="CD105" i="7"/>
  <c r="CC105" i="7"/>
  <c r="CB105" i="7"/>
  <c r="CA105" i="7"/>
  <c r="BZ105" i="7"/>
  <c r="BV105" i="7"/>
  <c r="BW105" i="7"/>
  <c r="BU105" i="7"/>
  <c r="BY105" i="7"/>
  <c r="BX105" i="7"/>
  <c r="EM105" i="7"/>
  <c r="DA105" i="7"/>
  <c r="EL105" i="7"/>
  <c r="CZ105" i="7"/>
  <c r="EU105" i="7"/>
  <c r="CY105" i="7"/>
  <c r="BO105" i="7"/>
  <c r="ES105" i="7"/>
  <c r="CW105" i="7"/>
  <c r="EQ105" i="7"/>
  <c r="BJ105" i="7"/>
  <c r="EO105" i="7"/>
  <c r="EN105" i="7"/>
  <c r="DF105" i="7"/>
  <c r="DE105" i="7"/>
  <c r="BG105" i="7"/>
  <c r="ET105" i="7"/>
  <c r="CX105" i="7"/>
  <c r="BN105" i="7"/>
  <c r="BR105" i="7" s="1"/>
  <c r="BM105" i="7"/>
  <c r="CV105" i="7"/>
  <c r="BL105" i="7"/>
  <c r="CU105" i="7"/>
  <c r="BK105" i="7"/>
  <c r="BI105" i="7"/>
  <c r="EK105" i="7"/>
  <c r="ER105" i="7"/>
  <c r="EP105" i="7"/>
  <c r="BH105" i="7"/>
  <c r="BF105" i="7"/>
  <c r="DB105" i="7"/>
  <c r="EV105" i="7"/>
  <c r="BP105" i="7"/>
  <c r="BE105" i="7"/>
  <c r="DD105" i="7"/>
  <c r="DC105" i="7"/>
  <c r="CT117" i="7"/>
  <c r="BT117" i="7"/>
  <c r="CD117" i="7"/>
  <c r="CC117" i="7"/>
  <c r="CB117" i="7"/>
  <c r="BS117" i="7"/>
  <c r="CA117" i="7"/>
  <c r="BZ117" i="7"/>
  <c r="BY117" i="7"/>
  <c r="BX117" i="7"/>
  <c r="BW117" i="7"/>
  <c r="BV117" i="7"/>
  <c r="BU117" i="7"/>
  <c r="EM117" i="7"/>
  <c r="DA117" i="7"/>
  <c r="EL117" i="7"/>
  <c r="CZ117" i="7"/>
  <c r="EO117" i="7"/>
  <c r="BO117" i="7"/>
  <c r="BM117" i="7"/>
  <c r="DD117" i="7"/>
  <c r="BK117" i="7"/>
  <c r="DB117" i="7"/>
  <c r="BJ117" i="7"/>
  <c r="EU117" i="7"/>
  <c r="CY117" i="7"/>
  <c r="BI117" i="7"/>
  <c r="ET117" i="7"/>
  <c r="CX117" i="7"/>
  <c r="ES117" i="7"/>
  <c r="EN117" i="7"/>
  <c r="DF117" i="7"/>
  <c r="BN117" i="7"/>
  <c r="BR117" i="7" s="1"/>
  <c r="EK117" i="7"/>
  <c r="DE117" i="7"/>
  <c r="BL117" i="7"/>
  <c r="EV117" i="7"/>
  <c r="CW117" i="7"/>
  <c r="ER117" i="7"/>
  <c r="DC117" i="7"/>
  <c r="BH117" i="7"/>
  <c r="BG117" i="7"/>
  <c r="EQ117" i="7"/>
  <c r="BP117" i="7"/>
  <c r="EP117" i="7"/>
  <c r="BF117" i="7"/>
  <c r="BE117" i="7"/>
  <c r="CV117" i="7"/>
  <c r="CU117" i="7"/>
  <c r="CT141" i="7"/>
  <c r="BT141" i="7"/>
  <c r="CD141" i="7"/>
  <c r="CA141" i="7"/>
  <c r="BS141" i="7"/>
  <c r="CC141" i="7"/>
  <c r="CB141" i="7"/>
  <c r="BZ141" i="7"/>
  <c r="BY141" i="7"/>
  <c r="BX141" i="7"/>
  <c r="BV141" i="7"/>
  <c r="BW141" i="7"/>
  <c r="BU141" i="7"/>
  <c r="EM141" i="7"/>
  <c r="DA141" i="7"/>
  <c r="EL141" i="7"/>
  <c r="CZ141" i="7"/>
  <c r="EU141" i="7"/>
  <c r="CY141" i="7"/>
  <c r="BO141" i="7"/>
  <c r="ES141" i="7"/>
  <c r="CW141" i="7"/>
  <c r="CV141" i="7"/>
  <c r="BJ141" i="7"/>
  <c r="BH141" i="7"/>
  <c r="DE141" i="7"/>
  <c r="BG141" i="7"/>
  <c r="ET141" i="7"/>
  <c r="CX141" i="7"/>
  <c r="BN141" i="7"/>
  <c r="BM141" i="7"/>
  <c r="ER141" i="7"/>
  <c r="BL141" i="7"/>
  <c r="EQ141" i="7"/>
  <c r="CU141" i="7"/>
  <c r="EP141" i="7"/>
  <c r="BI141" i="7"/>
  <c r="EN141" i="7"/>
  <c r="EK141" i="7"/>
  <c r="BK141" i="7"/>
  <c r="EO141" i="7"/>
  <c r="DF141" i="7"/>
  <c r="DD141" i="7"/>
  <c r="BP141" i="7"/>
  <c r="BF141" i="7"/>
  <c r="BE141" i="7"/>
  <c r="EV141" i="7"/>
  <c r="DB141" i="7"/>
  <c r="DC141" i="7"/>
  <c r="CT153" i="7"/>
  <c r="BT153" i="7"/>
  <c r="CC153" i="7"/>
  <c r="CA153" i="7"/>
  <c r="BS153" i="7"/>
  <c r="CD153" i="7"/>
  <c r="CB153" i="7"/>
  <c r="BZ153" i="7"/>
  <c r="BX153" i="7"/>
  <c r="BV153" i="7"/>
  <c r="BY153" i="7"/>
  <c r="BW153" i="7"/>
  <c r="BU153" i="7"/>
  <c r="EM153" i="7"/>
  <c r="DA153" i="7"/>
  <c r="BK153" i="7"/>
  <c r="EL153" i="7"/>
  <c r="CZ153" i="7"/>
  <c r="BJ153" i="7"/>
  <c r="EQ153" i="7"/>
  <c r="CU153" i="7"/>
  <c r="EO153" i="7"/>
  <c r="BO153" i="7"/>
  <c r="BN153" i="7"/>
  <c r="DE153" i="7"/>
  <c r="BL153" i="7"/>
  <c r="DC153" i="7"/>
  <c r="BI153" i="7"/>
  <c r="EU153" i="7"/>
  <c r="CY153" i="7"/>
  <c r="EP153" i="7"/>
  <c r="BP153" i="7"/>
  <c r="EN153" i="7"/>
  <c r="DF153" i="7"/>
  <c r="EK153" i="7"/>
  <c r="EV153" i="7"/>
  <c r="BH153" i="7"/>
  <c r="BG153" i="7"/>
  <c r="ET153" i="7"/>
  <c r="BM153" i="7"/>
  <c r="DD153" i="7"/>
  <c r="DB153" i="7"/>
  <c r="ES153" i="7"/>
  <c r="ER153" i="7"/>
  <c r="CX153" i="7"/>
  <c r="BE153" i="7"/>
  <c r="BF153" i="7"/>
  <c r="CW153" i="7"/>
  <c r="CV153" i="7"/>
  <c r="CT165" i="7"/>
  <c r="BT165" i="7"/>
  <c r="CD165" i="7"/>
  <c r="CC165" i="7"/>
  <c r="CA165" i="7"/>
  <c r="BS165" i="7"/>
  <c r="CB165" i="7"/>
  <c r="BZ165" i="7"/>
  <c r="BY165" i="7"/>
  <c r="BW165" i="7"/>
  <c r="BV165" i="7"/>
  <c r="BX165" i="7"/>
  <c r="BU165" i="7"/>
  <c r="EM165" i="7"/>
  <c r="DA165" i="7"/>
  <c r="BK165" i="7"/>
  <c r="EL165" i="7"/>
  <c r="CZ165" i="7"/>
  <c r="BJ165" i="7"/>
  <c r="ES165" i="7"/>
  <c r="CW165" i="7"/>
  <c r="BE165" i="7"/>
  <c r="EQ165" i="7"/>
  <c r="CU165" i="7"/>
  <c r="DE165" i="7"/>
  <c r="BM165" i="7"/>
  <c r="DD165" i="7"/>
  <c r="BL165" i="7"/>
  <c r="DC165" i="7"/>
  <c r="ER165" i="7"/>
  <c r="CV165" i="7"/>
  <c r="BP165" i="7"/>
  <c r="DF165" i="7"/>
  <c r="BI165" i="7"/>
  <c r="EV165" i="7"/>
  <c r="EP165" i="7"/>
  <c r="EO165" i="7"/>
  <c r="BO165" i="7"/>
  <c r="EN165" i="7"/>
  <c r="BN165" i="7"/>
  <c r="EK165" i="7"/>
  <c r="CX165" i="7"/>
  <c r="BF165" i="7"/>
  <c r="EU165" i="7"/>
  <c r="DB165" i="7"/>
  <c r="BH165" i="7"/>
  <c r="CY165" i="7"/>
  <c r="ET165" i="7"/>
  <c r="BG165" i="7"/>
  <c r="CT177" i="7"/>
  <c r="BT177" i="7"/>
  <c r="CD177" i="7"/>
  <c r="BZ177" i="7"/>
  <c r="BS177" i="7"/>
  <c r="CC177" i="7"/>
  <c r="CB177" i="7"/>
  <c r="CA177" i="7"/>
  <c r="BY177" i="7"/>
  <c r="BX177" i="7"/>
  <c r="BW177" i="7"/>
  <c r="BV177" i="7"/>
  <c r="BU177" i="7"/>
  <c r="EM177" i="7"/>
  <c r="DA177" i="7"/>
  <c r="BK177" i="7"/>
  <c r="EL177" i="7"/>
  <c r="CZ177" i="7"/>
  <c r="BJ177" i="7"/>
  <c r="EQ177" i="7"/>
  <c r="CU177" i="7"/>
  <c r="EO177" i="7"/>
  <c r="BM177" i="7"/>
  <c r="DD177" i="7"/>
  <c r="BL177" i="7"/>
  <c r="BI177" i="7"/>
  <c r="DB177" i="7"/>
  <c r="BH177" i="7"/>
  <c r="CY177" i="7"/>
  <c r="EP177" i="7"/>
  <c r="BP177" i="7"/>
  <c r="BO177" i="7"/>
  <c r="EN177" i="7"/>
  <c r="DF177" i="7"/>
  <c r="BN177" i="7"/>
  <c r="DE177" i="7"/>
  <c r="EV177" i="7"/>
  <c r="EU177" i="7"/>
  <c r="BG177" i="7"/>
  <c r="ET177" i="7"/>
  <c r="EK177" i="7"/>
  <c r="DC177" i="7"/>
  <c r="CW177" i="7"/>
  <c r="CX177" i="7"/>
  <c r="BF177" i="7"/>
  <c r="BE177" i="7"/>
  <c r="CV177" i="7"/>
  <c r="ES177" i="7"/>
  <c r="ER177" i="7"/>
  <c r="CT189" i="7"/>
  <c r="BT189" i="7"/>
  <c r="CC189" i="7"/>
  <c r="BS189" i="7"/>
  <c r="CD189" i="7"/>
  <c r="CB189" i="7"/>
  <c r="CA189" i="7"/>
  <c r="BZ189" i="7"/>
  <c r="BW189" i="7"/>
  <c r="BU189" i="7"/>
  <c r="BV189" i="7"/>
  <c r="BY189" i="7"/>
  <c r="BX189" i="7"/>
  <c r="EM189" i="7"/>
  <c r="DA189" i="7"/>
  <c r="BK189" i="7"/>
  <c r="EL189" i="7"/>
  <c r="CZ189" i="7"/>
  <c r="BJ189" i="7"/>
  <c r="DC189" i="7"/>
  <c r="BI189" i="7"/>
  <c r="BG189" i="7"/>
  <c r="CX189" i="7"/>
  <c r="BF189" i="7"/>
  <c r="BE189" i="7"/>
  <c r="ER189" i="7"/>
  <c r="CU189" i="7"/>
  <c r="EO189" i="7"/>
  <c r="BO189" i="7"/>
  <c r="EV189" i="7"/>
  <c r="DB189" i="7"/>
  <c r="BH189" i="7"/>
  <c r="EU189" i="7"/>
  <c r="CY189" i="7"/>
  <c r="ET189" i="7"/>
  <c r="EQ189" i="7"/>
  <c r="BP189" i="7"/>
  <c r="EN189" i="7"/>
  <c r="ES189" i="7"/>
  <c r="CW189" i="7"/>
  <c r="CV189" i="7"/>
  <c r="EP189" i="7"/>
  <c r="EK189" i="7"/>
  <c r="BM189" i="7"/>
  <c r="BL189" i="7"/>
  <c r="DF189" i="7"/>
  <c r="BN189" i="7"/>
  <c r="DE189" i="7"/>
  <c r="DD189" i="7"/>
  <c r="CT201" i="7"/>
  <c r="BT201" i="7"/>
  <c r="CC201" i="7"/>
  <c r="BZ201" i="7"/>
  <c r="BS201" i="7"/>
  <c r="CD201" i="7"/>
  <c r="CB201" i="7"/>
  <c r="CA201" i="7"/>
  <c r="BX201" i="7"/>
  <c r="BY201" i="7"/>
  <c r="BW201" i="7"/>
  <c r="BV201" i="7"/>
  <c r="BU201" i="7"/>
  <c r="EM201" i="7"/>
  <c r="DA201" i="7"/>
  <c r="BK201" i="7"/>
  <c r="EL201" i="7"/>
  <c r="CZ201" i="7"/>
  <c r="BJ201" i="7"/>
  <c r="EU201" i="7"/>
  <c r="CY201" i="7"/>
  <c r="BG201" i="7"/>
  <c r="BE201" i="7"/>
  <c r="ER201" i="7"/>
  <c r="CV201" i="7"/>
  <c r="BO201" i="7"/>
  <c r="ET201" i="7"/>
  <c r="CX201" i="7"/>
  <c r="BF201" i="7"/>
  <c r="ES201" i="7"/>
  <c r="CW201" i="7"/>
  <c r="EP201" i="7"/>
  <c r="EO201" i="7"/>
  <c r="EN201" i="7"/>
  <c r="EK201" i="7"/>
  <c r="DE201" i="7"/>
  <c r="BM201" i="7"/>
  <c r="EQ201" i="7"/>
  <c r="CU201" i="7"/>
  <c r="BP201" i="7"/>
  <c r="DF201" i="7"/>
  <c r="BN201" i="7"/>
  <c r="DD201" i="7"/>
  <c r="DC201" i="7"/>
  <c r="BI201" i="7"/>
  <c r="DB201" i="7"/>
  <c r="BL201" i="7"/>
  <c r="EV201" i="7"/>
  <c r="BH201" i="7"/>
  <c r="CT213" i="7"/>
  <c r="BT213" i="7"/>
  <c r="CC213" i="7"/>
  <c r="BS213" i="7"/>
  <c r="CD213" i="7"/>
  <c r="CB213" i="7"/>
  <c r="CA213" i="7"/>
  <c r="BZ213" i="7"/>
  <c r="BY213" i="7"/>
  <c r="BX213" i="7"/>
  <c r="BW213" i="7"/>
  <c r="BV213" i="7"/>
  <c r="BU213" i="7"/>
  <c r="EM213" i="7"/>
  <c r="DA213" i="7"/>
  <c r="BK213" i="7"/>
  <c r="EL213" i="7"/>
  <c r="CZ213" i="7"/>
  <c r="BJ213" i="7"/>
  <c r="EQ213" i="7"/>
  <c r="CU213" i="7"/>
  <c r="BO213" i="7"/>
  <c r="EN213" i="7"/>
  <c r="BN213" i="7"/>
  <c r="BR213" i="7" s="1"/>
  <c r="BI213" i="7"/>
  <c r="DB213" i="7"/>
  <c r="EU213" i="7"/>
  <c r="CY213" i="7"/>
  <c r="EP213" i="7"/>
  <c r="BP213" i="7"/>
  <c r="EO213" i="7"/>
  <c r="BL213" i="7"/>
  <c r="BH213" i="7"/>
  <c r="BG213" i="7"/>
  <c r="ET213" i="7"/>
  <c r="DF213" i="7"/>
  <c r="EK213" i="7"/>
  <c r="DE213" i="7"/>
  <c r="BM213" i="7"/>
  <c r="DD213" i="7"/>
  <c r="DC213" i="7"/>
  <c r="EV213" i="7"/>
  <c r="ES213" i="7"/>
  <c r="CX213" i="7"/>
  <c r="BF213" i="7"/>
  <c r="ER213" i="7"/>
  <c r="CW213" i="7"/>
  <c r="BE213" i="7"/>
  <c r="CV213" i="7"/>
  <c r="CT225" i="7"/>
  <c r="CD225" i="7"/>
  <c r="CA225" i="7"/>
  <c r="CC225" i="7"/>
  <c r="CB225" i="7"/>
  <c r="BZ225" i="7"/>
  <c r="BY225" i="7"/>
  <c r="BX225" i="7"/>
  <c r="BV225" i="7"/>
  <c r="BU225" i="7"/>
  <c r="BW225" i="7"/>
  <c r="BT225" i="7"/>
  <c r="BS225" i="7"/>
  <c r="EM225" i="7"/>
  <c r="DA225" i="7"/>
  <c r="BK225" i="7"/>
  <c r="EL225" i="7"/>
  <c r="CZ225" i="7"/>
  <c r="BJ225" i="7"/>
  <c r="ES225" i="7"/>
  <c r="CW225" i="7"/>
  <c r="BE225" i="7"/>
  <c r="EP225" i="7"/>
  <c r="BO225" i="7"/>
  <c r="BN225" i="7"/>
  <c r="BR225" i="7" s="1"/>
  <c r="DC225" i="7"/>
  <c r="ER225" i="7"/>
  <c r="CV225" i="7"/>
  <c r="EQ225" i="7"/>
  <c r="CU225" i="7"/>
  <c r="DF225" i="7"/>
  <c r="BM225" i="7"/>
  <c r="BI225" i="7"/>
  <c r="EV225" i="7"/>
  <c r="BP225" i="7"/>
  <c r="EO225" i="7"/>
  <c r="EN225" i="7"/>
  <c r="EK225" i="7"/>
  <c r="DE225" i="7"/>
  <c r="DD225" i="7"/>
  <c r="BL225" i="7"/>
  <c r="EU225" i="7"/>
  <c r="CX225" i="7"/>
  <c r="BF225" i="7"/>
  <c r="ET225" i="7"/>
  <c r="DB225" i="7"/>
  <c r="BH225" i="7"/>
  <c r="CY225" i="7"/>
  <c r="BG225" i="7"/>
  <c r="AO233" i="5"/>
  <c r="AO249" i="5" s="1"/>
  <c r="AO250" i="5" s="1"/>
  <c r="AA234" i="5"/>
  <c r="AA249" i="5"/>
  <c r="AA250" i="5" s="1"/>
  <c r="AF234" i="5"/>
  <c r="AF249" i="5"/>
  <c r="AF250" i="5" s="1"/>
  <c r="AC249" i="5"/>
  <c r="AC250" i="5" s="1"/>
  <c r="AC234" i="5"/>
  <c r="AL249" i="5"/>
  <c r="AL250" i="5" s="1"/>
  <c r="AL234" i="5"/>
  <c r="AB234" i="5" s="1"/>
  <c r="G227" i="7"/>
  <c r="J178" i="7"/>
  <c r="AA249" i="6"/>
  <c r="AA250" i="6" s="1"/>
  <c r="AA234" i="6"/>
  <c r="A13" i="7"/>
  <c r="M14" i="7"/>
  <c r="A27" i="7"/>
  <c r="M24" i="7"/>
  <c r="M27" i="7" s="1"/>
  <c r="D214" i="7"/>
  <c r="L90" i="7"/>
  <c r="L157" i="7"/>
  <c r="M88" i="7"/>
  <c r="M93" i="7"/>
  <c r="M97" i="7"/>
  <c r="M101" i="7"/>
  <c r="M107" i="7"/>
  <c r="M111" i="7"/>
  <c r="M131" i="7"/>
  <c r="M183" i="7"/>
  <c r="M188" i="7"/>
  <c r="M192" i="7"/>
  <c r="C90" i="7"/>
  <c r="D129" i="7"/>
  <c r="L87" i="7"/>
  <c r="L223" i="7"/>
  <c r="D219" i="7"/>
  <c r="M198" i="7"/>
  <c r="M207" i="7"/>
  <c r="M217" i="7"/>
  <c r="K214" i="7"/>
  <c r="L129" i="7"/>
  <c r="L209" i="7"/>
  <c r="M77" i="7"/>
  <c r="M81" i="7"/>
  <c r="M85" i="7"/>
  <c r="M91" i="7"/>
  <c r="M95" i="7"/>
  <c r="M99" i="7"/>
  <c r="M105" i="7"/>
  <c r="M109" i="7"/>
  <c r="M113" i="7"/>
  <c r="M120" i="7"/>
  <c r="M124" i="7"/>
  <c r="M128" i="7"/>
  <c r="M134" i="7"/>
  <c r="M139" i="7"/>
  <c r="M143" i="7"/>
  <c r="M148" i="7"/>
  <c r="M153" i="7"/>
  <c r="M160" i="7"/>
  <c r="M166" i="7"/>
  <c r="M170" i="7"/>
  <c r="M175" i="7"/>
  <c r="M180" i="7"/>
  <c r="M185" i="7"/>
  <c r="M190" i="7"/>
  <c r="M195" i="7"/>
  <c r="M199" i="7"/>
  <c r="M203" i="7"/>
  <c r="M208" i="7"/>
  <c r="M213" i="7"/>
  <c r="M220" i="7"/>
  <c r="M225" i="7"/>
  <c r="M237" i="7"/>
  <c r="M242" i="7"/>
  <c r="M246" i="7"/>
  <c r="C146" i="7"/>
  <c r="C223" i="7"/>
  <c r="F87" i="7"/>
  <c r="F178" i="7"/>
  <c r="G157" i="7"/>
  <c r="J116" i="7"/>
  <c r="K129" i="7"/>
  <c r="K150" i="7"/>
  <c r="K178" i="7"/>
  <c r="K223" i="7"/>
  <c r="L187" i="7"/>
  <c r="M194" i="7"/>
  <c r="M202" i="7"/>
  <c r="M212" i="7"/>
  <c r="M229" i="7"/>
  <c r="M245" i="7"/>
  <c r="G214" i="7"/>
  <c r="M78" i="7"/>
  <c r="M82" i="7"/>
  <c r="M86" i="7"/>
  <c r="M92" i="7"/>
  <c r="M96" i="7"/>
  <c r="M100" i="7"/>
  <c r="M106" i="7"/>
  <c r="M110" i="7"/>
  <c r="M121" i="7"/>
  <c r="M125" i="7"/>
  <c r="M130" i="7"/>
  <c r="M135" i="7"/>
  <c r="M140" i="7"/>
  <c r="M144" i="7"/>
  <c r="M149" i="7"/>
  <c r="M154" i="7"/>
  <c r="M161" i="7"/>
  <c r="M167" i="7"/>
  <c r="M171" i="7"/>
  <c r="M176" i="7"/>
  <c r="M181" i="7"/>
  <c r="M186" i="7"/>
  <c r="M191" i="7"/>
  <c r="M196" i="7"/>
  <c r="M200" i="7"/>
  <c r="M204" i="7"/>
  <c r="M210" i="7"/>
  <c r="M215" i="7"/>
  <c r="M221" i="7"/>
  <c r="M226" i="7"/>
  <c r="M238" i="7"/>
  <c r="M243" i="7"/>
  <c r="M247" i="7"/>
  <c r="B223" i="7"/>
  <c r="E87" i="7"/>
  <c r="H87" i="7"/>
  <c r="C87" i="7"/>
  <c r="F182" i="7"/>
  <c r="E129" i="7"/>
  <c r="E178" i="7"/>
  <c r="E227" i="7"/>
  <c r="I87" i="7"/>
  <c r="I104" i="7"/>
  <c r="I157" i="7"/>
  <c r="I182" i="7"/>
  <c r="I193" i="7"/>
  <c r="I214" i="7"/>
  <c r="J157" i="7"/>
  <c r="J182" i="7"/>
  <c r="L146" i="7"/>
  <c r="B87" i="7"/>
  <c r="B157" i="7"/>
  <c r="C157" i="7"/>
  <c r="C182" i="7"/>
  <c r="D90" i="7"/>
  <c r="D150" i="7"/>
  <c r="K90" i="7"/>
  <c r="K187" i="7"/>
  <c r="F90" i="7"/>
  <c r="E116" i="7"/>
  <c r="H157" i="7"/>
  <c r="H214" i="7"/>
  <c r="H227" i="7"/>
  <c r="J138" i="7"/>
  <c r="B90" i="7"/>
  <c r="B182" i="7"/>
  <c r="B187" i="7"/>
  <c r="B209" i="7"/>
  <c r="K87" i="7"/>
  <c r="A116" i="7"/>
  <c r="B178" i="7"/>
  <c r="B219" i="7"/>
  <c r="C178" i="7"/>
  <c r="C227" i="7"/>
  <c r="D182" i="7"/>
  <c r="D187" i="7"/>
  <c r="D209" i="7"/>
  <c r="D223" i="7"/>
  <c r="F76" i="7"/>
  <c r="F129" i="7"/>
  <c r="F150" i="7"/>
  <c r="F172" i="7"/>
  <c r="F205" i="7"/>
  <c r="F219" i="7"/>
  <c r="F236" i="7"/>
  <c r="F241" i="7"/>
  <c r="E146" i="7"/>
  <c r="E164" i="7"/>
  <c r="G90" i="7"/>
  <c r="H116" i="7"/>
  <c r="I116" i="7"/>
  <c r="I138" i="7"/>
  <c r="I205" i="7"/>
  <c r="J87" i="7"/>
  <c r="K182" i="7"/>
  <c r="L178" i="7"/>
  <c r="B172" i="7"/>
  <c r="D178" i="7"/>
  <c r="E205" i="7"/>
  <c r="H133" i="7"/>
  <c r="K209" i="7"/>
  <c r="M80" i="7"/>
  <c r="M84" i="7"/>
  <c r="B116" i="7"/>
  <c r="B129" i="7"/>
  <c r="B150" i="7"/>
  <c r="C116" i="7"/>
  <c r="C133" i="7"/>
  <c r="C150" i="7"/>
  <c r="D87" i="7"/>
  <c r="D157" i="7"/>
  <c r="F227" i="7"/>
  <c r="E182" i="7"/>
  <c r="E193" i="7"/>
  <c r="H90" i="7"/>
  <c r="I178" i="7"/>
  <c r="J90" i="7"/>
  <c r="J129" i="7"/>
  <c r="J164" i="7"/>
  <c r="J205" i="7"/>
  <c r="J219" i="7"/>
  <c r="J236" i="7"/>
  <c r="J241" i="7"/>
  <c r="I164" i="7"/>
  <c r="K157" i="7"/>
  <c r="K172" i="7"/>
  <c r="L172" i="7"/>
  <c r="A223" i="7"/>
  <c r="M224" i="7"/>
  <c r="A76" i="7"/>
  <c r="M117" i="7"/>
  <c r="A104" i="7"/>
  <c r="B146" i="7"/>
  <c r="B164" i="7"/>
  <c r="B205" i="7"/>
  <c r="B236" i="7"/>
  <c r="B241" i="7"/>
  <c r="C129" i="7"/>
  <c r="C172" i="7"/>
  <c r="C187" i="7"/>
  <c r="C209" i="7"/>
  <c r="D76" i="7"/>
  <c r="D116" i="7"/>
  <c r="D146" i="7"/>
  <c r="D172" i="7"/>
  <c r="D205" i="7"/>
  <c r="D236" i="7"/>
  <c r="D241" i="7"/>
  <c r="F116" i="7"/>
  <c r="F146" i="7"/>
  <c r="F164" i="7"/>
  <c r="F193" i="7"/>
  <c r="M79" i="7"/>
  <c r="M83" i="7"/>
  <c r="M118" i="7"/>
  <c r="M122" i="7"/>
  <c r="M126" i="7"/>
  <c r="M136" i="7"/>
  <c r="M141" i="7"/>
  <c r="M145" i="7"/>
  <c r="M151" i="7"/>
  <c r="M158" i="7"/>
  <c r="M162" i="7"/>
  <c r="M168" i="7"/>
  <c r="M173" i="7"/>
  <c r="M177" i="7"/>
  <c r="A90" i="7"/>
  <c r="B76" i="7"/>
  <c r="B104" i="7"/>
  <c r="B138" i="7"/>
  <c r="B193" i="7"/>
  <c r="B214" i="7"/>
  <c r="C138" i="7"/>
  <c r="C164" i="7"/>
  <c r="C205" i="7"/>
  <c r="C219" i="7"/>
  <c r="C236" i="7"/>
  <c r="C241" i="7"/>
  <c r="D138" i="7"/>
  <c r="D164" i="7"/>
  <c r="D193" i="7"/>
  <c r="G182" i="7"/>
  <c r="H182" i="7"/>
  <c r="M89" i="7"/>
  <c r="M94" i="7"/>
  <c r="M98" i="7"/>
  <c r="M102" i="7"/>
  <c r="M108" i="7"/>
  <c r="M112" i="7"/>
  <c r="M119" i="7"/>
  <c r="M123" i="7"/>
  <c r="M127" i="7"/>
  <c r="M132" i="7"/>
  <c r="M137" i="7"/>
  <c r="A138" i="7"/>
  <c r="M142" i="7"/>
  <c r="A146" i="7"/>
  <c r="M147" i="7"/>
  <c r="M152" i="7"/>
  <c r="A157" i="7"/>
  <c r="M159" i="7"/>
  <c r="A164" i="7"/>
  <c r="M165" i="7"/>
  <c r="M169" i="7"/>
  <c r="M174" i="7"/>
  <c r="A178" i="7"/>
  <c r="M179" i="7"/>
  <c r="A182" i="7"/>
  <c r="M184" i="7"/>
  <c r="M189" i="7"/>
  <c r="M197" i="7"/>
  <c r="M201" i="7"/>
  <c r="A205" i="7"/>
  <c r="M206" i="7"/>
  <c r="M211" i="7"/>
  <c r="M216" i="7"/>
  <c r="A219" i="7"/>
  <c r="M222" i="7"/>
  <c r="A227" i="7"/>
  <c r="M228" i="7"/>
  <c r="A236" i="7"/>
  <c r="M239" i="7"/>
  <c r="M244" i="7"/>
  <c r="A87" i="7"/>
  <c r="B133" i="7"/>
  <c r="B227" i="7"/>
  <c r="C76" i="7"/>
  <c r="C104" i="7"/>
  <c r="C193" i="7"/>
  <c r="C214" i="7"/>
  <c r="D104" i="7"/>
  <c r="D133" i="7"/>
  <c r="E90" i="7"/>
  <c r="G178" i="7"/>
  <c r="H178" i="7"/>
  <c r="I90" i="7"/>
  <c r="K116" i="7"/>
  <c r="L182" i="7"/>
  <c r="F138" i="7"/>
  <c r="F157" i="7"/>
  <c r="F214" i="7"/>
  <c r="E104" i="7"/>
  <c r="E138" i="7"/>
  <c r="E157" i="7"/>
  <c r="E214" i="7"/>
  <c r="G76" i="7"/>
  <c r="G150" i="7"/>
  <c r="G209" i="7"/>
  <c r="G223" i="7"/>
  <c r="H76" i="7"/>
  <c r="H129" i="7"/>
  <c r="H150" i="7"/>
  <c r="H187" i="7"/>
  <c r="H209" i="7"/>
  <c r="H223" i="7"/>
  <c r="I76" i="7"/>
  <c r="I133" i="7"/>
  <c r="I227" i="7"/>
  <c r="J76" i="7"/>
  <c r="J104" i="7"/>
  <c r="J193" i="7"/>
  <c r="J214" i="7"/>
  <c r="K138" i="7"/>
  <c r="K146" i="7"/>
  <c r="K164" i="7"/>
  <c r="K205" i="7"/>
  <c r="K219" i="7"/>
  <c r="K236" i="7"/>
  <c r="K241" i="7"/>
  <c r="L116" i="7"/>
  <c r="L138" i="7"/>
  <c r="L164" i="7"/>
  <c r="L205" i="7"/>
  <c r="L219" i="7"/>
  <c r="L236" i="7"/>
  <c r="L241" i="7"/>
  <c r="D227" i="7"/>
  <c r="F104" i="7"/>
  <c r="F133" i="7"/>
  <c r="F187" i="7"/>
  <c r="F209" i="7"/>
  <c r="F223" i="7"/>
  <c r="E76" i="7"/>
  <c r="E133" i="7"/>
  <c r="E187" i="7"/>
  <c r="E209" i="7"/>
  <c r="E223" i="7"/>
  <c r="G104" i="7"/>
  <c r="G116" i="7"/>
  <c r="G133" i="7"/>
  <c r="G146" i="7"/>
  <c r="G172" i="7"/>
  <c r="G205" i="7"/>
  <c r="G219" i="7"/>
  <c r="G236" i="7"/>
  <c r="G241" i="7"/>
  <c r="H146" i="7"/>
  <c r="H172" i="7"/>
  <c r="H205" i="7"/>
  <c r="H219" i="7"/>
  <c r="H236" i="7"/>
  <c r="H241" i="7"/>
  <c r="I129" i="7"/>
  <c r="I150" i="7"/>
  <c r="I187" i="7"/>
  <c r="I209" i="7"/>
  <c r="I223" i="7"/>
  <c r="J133" i="7"/>
  <c r="J150" i="7"/>
  <c r="J227" i="7"/>
  <c r="K76" i="7"/>
  <c r="K104" i="7"/>
  <c r="K193" i="7"/>
  <c r="L193" i="7"/>
  <c r="L214" i="7"/>
  <c r="E150" i="7"/>
  <c r="E172" i="7"/>
  <c r="E219" i="7"/>
  <c r="E236" i="7"/>
  <c r="E241" i="7"/>
  <c r="G87" i="7"/>
  <c r="G129" i="7"/>
  <c r="G138" i="7"/>
  <c r="G164" i="7"/>
  <c r="G187" i="7"/>
  <c r="G193" i="7"/>
  <c r="H104" i="7"/>
  <c r="H138" i="7"/>
  <c r="H164" i="7"/>
  <c r="H193" i="7"/>
  <c r="I146" i="7"/>
  <c r="I172" i="7"/>
  <c r="I219" i="7"/>
  <c r="I236" i="7"/>
  <c r="I241" i="7"/>
  <c r="J146" i="7"/>
  <c r="J172" i="7"/>
  <c r="J187" i="7"/>
  <c r="J209" i="7"/>
  <c r="J223" i="7"/>
  <c r="K133" i="7"/>
  <c r="K227" i="7"/>
  <c r="L76" i="7"/>
  <c r="L104" i="7"/>
  <c r="L133" i="7"/>
  <c r="L150" i="7"/>
  <c r="L227" i="7"/>
  <c r="A133" i="7"/>
  <c r="A193" i="7"/>
  <c r="A129" i="7"/>
  <c r="A150" i="7"/>
  <c r="A172" i="7"/>
  <c r="A187" i="7"/>
  <c r="A209" i="7"/>
  <c r="A214" i="7"/>
  <c r="A241" i="7"/>
  <c r="A8" i="7"/>
  <c r="M8" i="7" s="1"/>
  <c r="AB249" i="5" l="1"/>
  <c r="AB250" i="5"/>
  <c r="BR144" i="7"/>
  <c r="BR159" i="7"/>
  <c r="BR100" i="7"/>
  <c r="BR96" i="7"/>
  <c r="BR81" i="7"/>
  <c r="BR229" i="7"/>
  <c r="BR109" i="7"/>
  <c r="BR162" i="7"/>
  <c r="BR106" i="7"/>
  <c r="BR142" i="7"/>
  <c r="BR107" i="7"/>
  <c r="BR95" i="7"/>
  <c r="BR141" i="7"/>
  <c r="BR212" i="7"/>
  <c r="BR78" i="7"/>
  <c r="BR171" i="7"/>
  <c r="BR180" i="7"/>
  <c r="BR189" i="7"/>
  <c r="BR33" i="7"/>
  <c r="BR135" i="7"/>
  <c r="BR179" i="7"/>
  <c r="BR91" i="7"/>
  <c r="BR154" i="7"/>
  <c r="BR46" i="7"/>
  <c r="BR198" i="7"/>
  <c r="BR112" i="7"/>
  <c r="BR195" i="7"/>
  <c r="BR123" i="7"/>
  <c r="BR181" i="7"/>
  <c r="BR44" i="7"/>
  <c r="BR145" i="7"/>
  <c r="BR82" i="7"/>
  <c r="BR188" i="7"/>
  <c r="BR80" i="7"/>
  <c r="BR127" i="7"/>
  <c r="BR243" i="7"/>
  <c r="BR190" i="7"/>
  <c r="BR118" i="7"/>
  <c r="BR194" i="7"/>
  <c r="BR134" i="7"/>
  <c r="BR137" i="7"/>
  <c r="BR216" i="7"/>
  <c r="BR167" i="7"/>
  <c r="BR224" i="7"/>
  <c r="BR177" i="7"/>
  <c r="BR93" i="7"/>
  <c r="BR200" i="7"/>
  <c r="BR40" i="7"/>
  <c r="BR41" i="7"/>
  <c r="BR166" i="7"/>
  <c r="BR165" i="7"/>
  <c r="BR153" i="7"/>
  <c r="BR160" i="7"/>
  <c r="BR211" i="7"/>
  <c r="BR139" i="7"/>
  <c r="BR207" i="7"/>
  <c r="BR245" i="7"/>
  <c r="BR169" i="7"/>
  <c r="BR97" i="7"/>
  <c r="BR83" i="7"/>
  <c r="BR246" i="7"/>
  <c r="BR191" i="7"/>
  <c r="BR158" i="7"/>
  <c r="BR184" i="7"/>
  <c r="BR102" i="7"/>
  <c r="BR244" i="7"/>
  <c r="BR92" i="7"/>
  <c r="BR79" i="7"/>
  <c r="BR201" i="7"/>
  <c r="BR45" i="7"/>
  <c r="BR152" i="7"/>
  <c r="BR122" i="7"/>
  <c r="BR192" i="7"/>
  <c r="BR202" i="7"/>
  <c r="BR31" i="7"/>
  <c r="BR98" i="7"/>
  <c r="FH250" i="6"/>
  <c r="EX250" i="6" s="1"/>
  <c r="EX249" i="6"/>
  <c r="DD45" i="4"/>
  <c r="DD64" i="4"/>
  <c r="DH64" i="7"/>
  <c r="DD243" i="4"/>
  <c r="DD89" i="4"/>
  <c r="DH89" i="7"/>
  <c r="DD46" i="4"/>
  <c r="DD244" i="4"/>
  <c r="DD42" i="4"/>
  <c r="DD68" i="4"/>
  <c r="DH68" i="7"/>
  <c r="DD35" i="4"/>
  <c r="DH35" i="7"/>
  <c r="DD66" i="4"/>
  <c r="DH66" i="7"/>
  <c r="DD63" i="4"/>
  <c r="DH63" i="7"/>
  <c r="DD65" i="4"/>
  <c r="DH65" i="7"/>
  <c r="DD33" i="4"/>
  <c r="DD32" i="4"/>
  <c r="DD67" i="4"/>
  <c r="DH67" i="7"/>
  <c r="DD245" i="4"/>
  <c r="DD247" i="4"/>
  <c r="DD34" i="4"/>
  <c r="DD44" i="4"/>
  <c r="DD40" i="4"/>
  <c r="DD246" i="4"/>
  <c r="DD69" i="4"/>
  <c r="DH69" i="7"/>
  <c r="DD41" i="4"/>
  <c r="DD62" i="4"/>
  <c r="DH62" i="7"/>
  <c r="DD36" i="4"/>
  <c r="DH36" i="7"/>
  <c r="AB71" i="6"/>
  <c r="AL72" i="6"/>
  <c r="AB72" i="6" s="1"/>
  <c r="AL233" i="6"/>
  <c r="AL249" i="6" s="1"/>
  <c r="AD249" i="6"/>
  <c r="AD250" i="6" s="1"/>
  <c r="AG249" i="6"/>
  <c r="AG250" i="6" s="1"/>
  <c r="AO231" i="6"/>
  <c r="FG249" i="6"/>
  <c r="FG250" i="6" s="1"/>
  <c r="AE249" i="6"/>
  <c r="AE250" i="6" s="1"/>
  <c r="FG234" i="6"/>
  <c r="AN234" i="6"/>
  <c r="AM234" i="6"/>
  <c r="W250" i="5"/>
  <c r="AK72" i="6"/>
  <c r="AK233" i="6"/>
  <c r="ES44" i="4"/>
  <c r="DC40" i="4"/>
  <c r="ES245" i="4"/>
  <c r="DC42" i="4"/>
  <c r="ES42" i="4"/>
  <c r="DC246" i="4"/>
  <c r="ES243" i="4"/>
  <c r="ES247" i="4"/>
  <c r="DC69" i="4"/>
  <c r="DC46" i="4"/>
  <c r="ES41" i="4"/>
  <c r="DC34" i="4"/>
  <c r="ES89" i="4"/>
  <c r="EX89" i="7"/>
  <c r="ES45" i="4"/>
  <c r="DC36" i="4"/>
  <c r="DC63" i="4"/>
  <c r="DC45" i="4"/>
  <c r="DC247" i="4"/>
  <c r="ES32" i="4"/>
  <c r="DC62" i="4"/>
  <c r="ES67" i="4"/>
  <c r="EX67" i="7"/>
  <c r="ES65" i="4"/>
  <c r="EX65" i="7"/>
  <c r="ES33" i="4"/>
  <c r="DC32" i="4"/>
  <c r="DC64" i="4"/>
  <c r="DC244" i="4"/>
  <c r="DC245" i="4"/>
  <c r="DC35" i="4"/>
  <c r="DC68" i="4"/>
  <c r="DC65" i="4"/>
  <c r="ES46" i="4"/>
  <c r="DC66" i="4"/>
  <c r="ES62" i="4"/>
  <c r="ES68" i="4"/>
  <c r="EX68" i="7"/>
  <c r="DC33" i="4"/>
  <c r="DC116" i="7"/>
  <c r="DC67" i="4"/>
  <c r="ES40" i="4"/>
  <c r="ES246" i="4"/>
  <c r="ES36" i="4"/>
  <c r="EX36" i="7"/>
  <c r="ES66" i="4"/>
  <c r="EX66" i="7"/>
  <c r="DC41" i="4"/>
  <c r="DC44" i="4"/>
  <c r="ES64" i="4"/>
  <c r="ES63" i="4"/>
  <c r="ES69" i="4"/>
  <c r="EX69" i="7"/>
  <c r="DC243" i="4"/>
  <c r="ES35" i="4"/>
  <c r="EX35" i="7"/>
  <c r="ES244" i="4"/>
  <c r="DC89" i="4"/>
  <c r="ES34" i="4"/>
  <c r="AI234" i="6"/>
  <c r="AI249" i="6"/>
  <c r="AI250" i="6" s="1"/>
  <c r="FK249" i="6"/>
  <c r="FK250" i="6" s="1"/>
  <c r="FK234" i="6"/>
  <c r="AC249" i="6"/>
  <c r="AC250" i="6" s="1"/>
  <c r="AC234" i="6"/>
  <c r="AO234" i="6"/>
  <c r="AO249" i="6"/>
  <c r="AO250" i="6" s="1"/>
  <c r="AO234" i="5"/>
  <c r="DN254" i="23"/>
  <c r="EV213" i="4"/>
  <c r="DD64" i="24"/>
  <c r="CB201" i="4"/>
  <c r="CJ192" i="23"/>
  <c r="P177" i="7"/>
  <c r="BF177" i="4"/>
  <c r="BY69" i="24"/>
  <c r="BW165" i="4"/>
  <c r="BW164" i="7"/>
  <c r="BH222" i="23"/>
  <c r="DB141" i="4"/>
  <c r="EV116" i="7"/>
  <c r="AM254" i="23"/>
  <c r="EV117" i="4"/>
  <c r="AD263" i="23"/>
  <c r="EM104" i="7"/>
  <c r="EM105" i="4"/>
  <c r="K186" i="23"/>
  <c r="V81" i="7"/>
  <c r="BL81" i="4"/>
  <c r="Y21" i="7"/>
  <c r="BO21" i="4"/>
  <c r="Y21" i="4" s="1"/>
  <c r="Y21" i="1" s="1"/>
  <c r="DT225" i="23"/>
  <c r="CY223" i="7"/>
  <c r="CY224" i="4"/>
  <c r="DM221" i="23"/>
  <c r="DC212" i="4"/>
  <c r="DC69" i="24"/>
  <c r="BW200" i="4"/>
  <c r="CI192" i="23"/>
  <c r="P176" i="7"/>
  <c r="BF176" i="4"/>
  <c r="BQ255" i="23"/>
  <c r="EU152" i="4"/>
  <c r="BG262" i="23"/>
  <c r="EN140" i="4"/>
  <c r="AX63" i="24"/>
  <c r="CC128" i="4"/>
  <c r="J228" i="23"/>
  <c r="CV80" i="4"/>
  <c r="W68" i="7"/>
  <c r="BM68" i="4"/>
  <c r="BW44" i="4"/>
  <c r="DQ262" i="23"/>
  <c r="EN219" i="7"/>
  <c r="EN220" i="4"/>
  <c r="BV190" i="23"/>
  <c r="R160" i="7"/>
  <c r="BH160" i="4"/>
  <c r="AA263" i="23"/>
  <c r="EM100" i="4"/>
  <c r="EP182" i="7"/>
  <c r="CN260" i="23"/>
  <c r="EP183" i="4"/>
  <c r="BU222" i="23"/>
  <c r="DB159" i="4"/>
  <c r="BC258" i="23"/>
  <c r="ER135" i="4"/>
  <c r="AJ220" i="23"/>
  <c r="DD111" i="4"/>
  <c r="CY54" i="7"/>
  <c r="CY51" i="4"/>
  <c r="CY54" i="4" s="1"/>
  <c r="P15" i="7"/>
  <c r="BF15" i="4"/>
  <c r="P15" i="4" s="1"/>
  <c r="P15" i="1" s="1"/>
  <c r="AR221" i="23"/>
  <c r="DC122" i="4"/>
  <c r="EP13" i="7"/>
  <c r="EP6" i="7" s="1"/>
  <c r="EP14" i="4"/>
  <c r="EP13" i="4" s="1"/>
  <c r="DX191" i="23"/>
  <c r="Q229" i="7"/>
  <c r="BG229" i="4"/>
  <c r="DG61" i="7"/>
  <c r="CU60" i="7"/>
  <c r="CU61" i="4"/>
  <c r="CV265" i="23"/>
  <c r="EW192" i="7"/>
  <c r="EK192" i="4"/>
  <c r="BK255" i="23"/>
  <c r="EU144" i="4"/>
  <c r="AG222" i="23"/>
  <c r="DB108" i="4"/>
  <c r="DF227" i="23"/>
  <c r="CW203" i="4"/>
  <c r="EU178" i="7"/>
  <c r="CK255" i="23"/>
  <c r="EU179" i="4"/>
  <c r="AF222" i="23"/>
  <c r="DB107" i="4"/>
  <c r="DV190" i="23"/>
  <c r="R226" i="7"/>
  <c r="BH226" i="4"/>
  <c r="AE265" i="23"/>
  <c r="EW106" i="7"/>
  <c r="EK106" i="4"/>
  <c r="AE68" i="24"/>
  <c r="BX106" i="4"/>
  <c r="DB191" i="23"/>
  <c r="Q199" i="7"/>
  <c r="BG199" i="4"/>
  <c r="CH254" i="23"/>
  <c r="EV175" i="4"/>
  <c r="BP72" i="24"/>
  <c r="BT151" i="4"/>
  <c r="BT150" i="7"/>
  <c r="AW254" i="23"/>
  <c r="EV127" i="4"/>
  <c r="R191" i="23"/>
  <c r="BG90" i="7"/>
  <c r="Q91" i="7"/>
  <c r="BG91" i="4"/>
  <c r="I63" i="24"/>
  <c r="CC79" i="4"/>
  <c r="ES57" i="7"/>
  <c r="EX57" i="7" s="1"/>
  <c r="ES55" i="4"/>
  <c r="BZ31" i="4"/>
  <c r="BZ29" i="7"/>
  <c r="CO189" i="23"/>
  <c r="S184" i="7"/>
  <c r="BI184" i="4"/>
  <c r="DI191" i="23"/>
  <c r="Q207" i="7"/>
  <c r="BG207" i="4"/>
  <c r="BM72" i="24"/>
  <c r="BT147" i="4"/>
  <c r="BT146" i="7"/>
  <c r="U63" i="7"/>
  <c r="BK63" i="4"/>
  <c r="U63" i="4" s="1"/>
  <c r="U63" i="1" s="1"/>
  <c r="DH64" i="24"/>
  <c r="CB206" i="4"/>
  <c r="CB205" i="7"/>
  <c r="AQ192" i="23"/>
  <c r="P121" i="7"/>
  <c r="BF121" i="4"/>
  <c r="DG221" i="23"/>
  <c r="DC204" i="4"/>
  <c r="CB227" i="23"/>
  <c r="CW168" i="4"/>
  <c r="EJ168" i="7"/>
  <c r="DP168" i="7"/>
  <c r="DN168" i="7"/>
  <c r="DO168" i="7"/>
  <c r="DM168" i="7"/>
  <c r="DL168" i="7"/>
  <c r="DK168" i="7"/>
  <c r="DJ168" i="7"/>
  <c r="DT168" i="7"/>
  <c r="DS168" i="7"/>
  <c r="DR168" i="7"/>
  <c r="DH168" i="7" s="1"/>
  <c r="DQ168" i="7"/>
  <c r="DI168" i="7"/>
  <c r="W218" i="23"/>
  <c r="DF96" i="4"/>
  <c r="DO62" i="24"/>
  <c r="CD214" i="7"/>
  <c r="CD215" i="4"/>
  <c r="M222" i="23"/>
  <c r="DB83" i="4"/>
  <c r="Y35" i="7"/>
  <c r="BO35" i="4"/>
  <c r="Y35" i="4" s="1"/>
  <c r="Y35" i="1" s="1"/>
  <c r="BZ227" i="23"/>
  <c r="CW166" i="4"/>
  <c r="BS70" i="24"/>
  <c r="BV154" i="4"/>
  <c r="U229" i="23"/>
  <c r="DG94" i="7"/>
  <c r="CU94" i="4"/>
  <c r="DS254" i="23"/>
  <c r="EV222" i="4"/>
  <c r="DK187" i="23"/>
  <c r="BK209" i="7"/>
  <c r="U210" i="7"/>
  <c r="BK210" i="4"/>
  <c r="DA62" i="24"/>
  <c r="CD198" i="4"/>
  <c r="CG188" i="23"/>
  <c r="T174" i="7"/>
  <c r="BJ174" i="4"/>
  <c r="BX66" i="24"/>
  <c r="BZ162" i="4"/>
  <c r="AC70" i="24"/>
  <c r="BV102" i="4"/>
  <c r="Z66" i="7"/>
  <c r="BP66" i="4"/>
  <c r="Z66" i="4" s="1"/>
  <c r="Z66" i="1" s="1"/>
  <c r="EJ42" i="7"/>
  <c r="DP42" i="7"/>
  <c r="DP42" i="4" s="1"/>
  <c r="DM42" i="7"/>
  <c r="DK42" i="7"/>
  <c r="DO42" i="7"/>
  <c r="DO42" i="4" s="1"/>
  <c r="DN42" i="7"/>
  <c r="DN42" i="4" s="1"/>
  <c r="DL42" i="7"/>
  <c r="DL42" i="4" s="1"/>
  <c r="DJ42" i="7"/>
  <c r="DJ42" i="4" s="1"/>
  <c r="DT42" i="7"/>
  <c r="DT42" i="4" s="1"/>
  <c r="DS42" i="7"/>
  <c r="DS42" i="4" s="1"/>
  <c r="DR42" i="7"/>
  <c r="DR42" i="4" s="1"/>
  <c r="DQ42" i="7"/>
  <c r="DI42" i="7"/>
  <c r="BU30" i="4"/>
  <c r="CY254" i="23"/>
  <c r="EV196" i="4"/>
  <c r="BN62" i="24"/>
  <c r="CD148" i="4"/>
  <c r="AK218" i="23"/>
  <c r="DF112" i="4"/>
  <c r="CX191" i="23"/>
  <c r="Q195" i="7"/>
  <c r="BG195" i="4"/>
  <c r="CE229" i="23"/>
  <c r="DG171" i="7"/>
  <c r="CU171" i="4"/>
  <c r="AS69" i="24"/>
  <c r="BW123" i="4"/>
  <c r="CD186" i="23"/>
  <c r="V170" i="7"/>
  <c r="BL170" i="4"/>
  <c r="BB62" i="24"/>
  <c r="CD133" i="7"/>
  <c r="CD134" i="4"/>
  <c r="T62" i="7"/>
  <c r="BJ62" i="4"/>
  <c r="T62" i="4" s="1"/>
  <c r="T62" i="1" s="1"/>
  <c r="X25" i="7"/>
  <c r="BN25" i="4"/>
  <c r="X25" i="4" s="1"/>
  <c r="X25" i="1" s="1"/>
  <c r="Y25" i="7"/>
  <c r="BO25" i="4"/>
  <c r="Y25" i="4" s="1"/>
  <c r="Y25" i="1" s="1"/>
  <c r="CL254" i="23"/>
  <c r="EV180" i="4"/>
  <c r="AO218" i="23"/>
  <c r="DF119" i="4"/>
  <c r="AY225" i="23"/>
  <c r="CY129" i="7"/>
  <c r="CY130" i="4"/>
  <c r="CZ226" i="23"/>
  <c r="CX197" i="4"/>
  <c r="CP186" i="23"/>
  <c r="V185" i="7"/>
  <c r="BL185" i="4"/>
  <c r="CF187" i="23"/>
  <c r="BK172" i="7"/>
  <c r="U173" i="7"/>
  <c r="BK173" i="4"/>
  <c r="BW264" i="23"/>
  <c r="EL161" i="4"/>
  <c r="CE149" i="7"/>
  <c r="BO73" i="24"/>
  <c r="BS149" i="4"/>
  <c r="AU189" i="23"/>
  <c r="S125" i="7"/>
  <c r="BI125" i="4"/>
  <c r="AL67" i="24"/>
  <c r="BY113" i="4"/>
  <c r="R89" i="7"/>
  <c r="BH89" i="4"/>
  <c r="R89" i="4" s="1"/>
  <c r="R89" i="1" s="1"/>
  <c r="CE208" i="7"/>
  <c r="DJ73" i="24"/>
  <c r="BS208" i="4"/>
  <c r="AI182" i="23"/>
  <c r="Z110" i="7"/>
  <c r="BP110" i="4"/>
  <c r="P219" i="23"/>
  <c r="DE86" i="4"/>
  <c r="CM66" i="24"/>
  <c r="BZ181" i="4"/>
  <c r="AH193" i="23"/>
  <c r="BQ109" i="7"/>
  <c r="O109" i="7"/>
  <c r="BE109" i="4"/>
  <c r="O189" i="23"/>
  <c r="S85" i="7"/>
  <c r="BI85" i="4"/>
  <c r="DP67" i="24"/>
  <c r="BY216" i="4"/>
  <c r="N189" i="23"/>
  <c r="S84" i="7"/>
  <c r="BI84" i="4"/>
  <c r="BN241" i="7"/>
  <c r="X242" i="7"/>
  <c r="BN242" i="4"/>
  <c r="CU62" i="24"/>
  <c r="CD191" i="4"/>
  <c r="BJ185" i="23"/>
  <c r="W143" i="7"/>
  <c r="BM143" i="4"/>
  <c r="V183" i="23"/>
  <c r="Y95" i="7"/>
  <c r="BO95" i="4"/>
  <c r="CY7" i="4"/>
  <c r="W7" i="7"/>
  <c r="BM7" i="4"/>
  <c r="L71" i="24"/>
  <c r="BU82" i="4"/>
  <c r="DU220" i="23"/>
  <c r="DD225" i="4"/>
  <c r="DN221" i="23"/>
  <c r="DC213" i="4"/>
  <c r="DD257" i="23"/>
  <c r="ES201" i="4"/>
  <c r="CS65" i="24"/>
  <c r="CA189" i="4"/>
  <c r="BY227" i="23"/>
  <c r="CW164" i="7"/>
  <c r="CW165" i="4"/>
  <c r="BR70" i="24"/>
  <c r="BV153" i="4"/>
  <c r="AM228" i="23"/>
  <c r="CV116" i="7"/>
  <c r="CV117" i="4"/>
  <c r="AD187" i="23"/>
  <c r="BK104" i="7"/>
  <c r="U105" i="7"/>
  <c r="BK105" i="4"/>
  <c r="T263" i="23"/>
  <c r="EM93" i="4"/>
  <c r="DT257" i="23"/>
  <c r="ES223" i="7"/>
  <c r="ES224" i="4"/>
  <c r="DM68" i="24"/>
  <c r="BX212" i="4"/>
  <c r="CR221" i="23"/>
  <c r="DC187" i="7"/>
  <c r="DC188" i="4"/>
  <c r="CI226" i="23"/>
  <c r="CX176" i="4"/>
  <c r="BQ263" i="23"/>
  <c r="EM152" i="4"/>
  <c r="BG63" i="24"/>
  <c r="CC140" i="4"/>
  <c r="S224" i="23"/>
  <c r="CZ92" i="4"/>
  <c r="CA44" i="4"/>
  <c r="V32" i="7"/>
  <c r="BL32" i="4"/>
  <c r="V32" i="4" s="1"/>
  <c r="V32" i="1" s="1"/>
  <c r="DQ227" i="23"/>
  <c r="CW219" i="7"/>
  <c r="CW220" i="4"/>
  <c r="AA257" i="23"/>
  <c r="ES100" i="4"/>
  <c r="CN229" i="23"/>
  <c r="DG183" i="7"/>
  <c r="CU182" i="7"/>
  <c r="CU183" i="4"/>
  <c r="BU254" i="23"/>
  <c r="EV159" i="4"/>
  <c r="BC66" i="24"/>
  <c r="BZ135" i="4"/>
  <c r="EU54" i="7"/>
  <c r="EU51" i="4"/>
  <c r="EU54" i="4" s="1"/>
  <c r="AR68" i="24"/>
  <c r="BX122" i="4"/>
  <c r="DX262" i="23"/>
  <c r="EN229" i="4"/>
  <c r="CV193" i="23"/>
  <c r="BQ192" i="7"/>
  <c r="O192" i="7"/>
  <c r="BE192" i="4"/>
  <c r="BK263" i="23"/>
  <c r="EM144" i="4"/>
  <c r="DF226" i="23"/>
  <c r="CX203" i="4"/>
  <c r="CK259" i="23"/>
  <c r="EQ178" i="7"/>
  <c r="EQ179" i="4"/>
  <c r="DV254" i="23"/>
  <c r="EV226" i="4"/>
  <c r="DE66" i="24"/>
  <c r="BZ202" i="4"/>
  <c r="AE67" i="24"/>
  <c r="BY106" i="4"/>
  <c r="DB225" i="23"/>
  <c r="CY199" i="4"/>
  <c r="CH70" i="24"/>
  <c r="BV175" i="4"/>
  <c r="BF219" i="23"/>
  <c r="DE138" i="7"/>
  <c r="DE139" i="4"/>
  <c r="AW62" i="24"/>
  <c r="CD127" i="4"/>
  <c r="I190" i="23"/>
  <c r="R79" i="7"/>
  <c r="BH79" i="4"/>
  <c r="CO265" i="23"/>
  <c r="EW184" i="7"/>
  <c r="EK184" i="4"/>
  <c r="AT68" i="24"/>
  <c r="BX124" i="4"/>
  <c r="BM256" i="23"/>
  <c r="ET146" i="7"/>
  <c r="ET147" i="4"/>
  <c r="Z263" i="23"/>
  <c r="EM99" i="4"/>
  <c r="DH62" i="24"/>
  <c r="CD206" i="4"/>
  <c r="CD205" i="7"/>
  <c r="AQ227" i="23"/>
  <c r="CW121" i="4"/>
  <c r="DG69" i="24"/>
  <c r="BW204" i="4"/>
  <c r="AP192" i="23"/>
  <c r="P120" i="7"/>
  <c r="BF120" i="4"/>
  <c r="W221" i="23"/>
  <c r="DC96" i="4"/>
  <c r="ET27" i="7"/>
  <c r="ET24" i="4"/>
  <c r="ET27" i="4" s="1"/>
  <c r="EN27" i="7"/>
  <c r="EN24" i="4"/>
  <c r="EN27" i="4" s="1"/>
  <c r="DA27" i="7"/>
  <c r="DA24" i="4"/>
  <c r="DA27" i="4" s="1"/>
  <c r="AZ221" i="23"/>
  <c r="DC131" i="4"/>
  <c r="M255" i="23"/>
  <c r="EU83" i="4"/>
  <c r="CT265" i="23"/>
  <c r="EW190" i="7"/>
  <c r="EK190" i="4"/>
  <c r="BZ225" i="23"/>
  <c r="CY166" i="4"/>
  <c r="BS69" i="24"/>
  <c r="BW154" i="4"/>
  <c r="U187" i="23"/>
  <c r="U94" i="7"/>
  <c r="BK94" i="4"/>
  <c r="DK222" i="23"/>
  <c r="DB209" i="7"/>
  <c r="DB210" i="4"/>
  <c r="DA73" i="24"/>
  <c r="CE198" i="7"/>
  <c r="BS198" i="4"/>
  <c r="CG222" i="23"/>
  <c r="DB174" i="4"/>
  <c r="BX185" i="23"/>
  <c r="W162" i="7"/>
  <c r="BM162" i="4"/>
  <c r="AV183" i="23"/>
  <c r="Y126" i="7"/>
  <c r="BO126" i="4"/>
  <c r="H219" i="23"/>
  <c r="DE78" i="4"/>
  <c r="BQ247" i="7"/>
  <c r="O247" i="7"/>
  <c r="BE247" i="4"/>
  <c r="CY259" i="23"/>
  <c r="EQ196" i="4"/>
  <c r="BN264" i="23"/>
  <c r="EL148" i="4"/>
  <c r="BD185" i="23"/>
  <c r="W136" i="7"/>
  <c r="BM136" i="4"/>
  <c r="AK221" i="23"/>
  <c r="DC112" i="4"/>
  <c r="BX246" i="4"/>
  <c r="CE67" i="24"/>
  <c r="BY171" i="4"/>
  <c r="CD185" i="23"/>
  <c r="W170" i="7"/>
  <c r="BM170" i="4"/>
  <c r="EM133" i="7"/>
  <c r="BB263" i="23"/>
  <c r="EM134" i="4"/>
  <c r="Y62" i="24"/>
  <c r="CD98" i="4"/>
  <c r="BQ25" i="7"/>
  <c r="O25" i="7"/>
  <c r="BE25" i="4"/>
  <c r="DG25" i="7"/>
  <c r="CU25" i="4"/>
  <c r="DG25" i="4" s="1"/>
  <c r="CL70" i="24"/>
  <c r="BV180" i="4"/>
  <c r="AY228" i="23"/>
  <c r="CV129" i="7"/>
  <c r="CV130" i="4"/>
  <c r="DR229" i="23"/>
  <c r="DG221" i="7"/>
  <c r="CU221" i="4"/>
  <c r="CZ227" i="23"/>
  <c r="CW197" i="4"/>
  <c r="EJ197" i="7"/>
  <c r="DP197" i="7"/>
  <c r="DN197" i="7"/>
  <c r="DO197" i="7"/>
  <c r="DM197" i="7"/>
  <c r="DL197" i="7"/>
  <c r="DK197" i="7"/>
  <c r="DJ197" i="7"/>
  <c r="DT197" i="7"/>
  <c r="DS197" i="7"/>
  <c r="DR197" i="7"/>
  <c r="DH197" i="7" s="1"/>
  <c r="DQ197" i="7"/>
  <c r="DI197" i="7"/>
  <c r="CF223" i="23"/>
  <c r="DA172" i="7"/>
  <c r="DA173" i="4"/>
  <c r="BW63" i="24"/>
  <c r="CC161" i="4"/>
  <c r="BE191" i="23"/>
  <c r="Q137" i="7"/>
  <c r="BG137" i="4"/>
  <c r="CE125" i="7"/>
  <c r="AU73" i="24"/>
  <c r="BS125" i="4"/>
  <c r="AB261" i="23"/>
  <c r="EO101" i="4"/>
  <c r="DJ72" i="24"/>
  <c r="BT208" i="4"/>
  <c r="AI220" i="23"/>
  <c r="DD110" i="4"/>
  <c r="P265" i="23"/>
  <c r="EW86" i="7"/>
  <c r="EK86" i="4"/>
  <c r="CM65" i="24"/>
  <c r="CA181" i="4"/>
  <c r="AH182" i="23"/>
  <c r="Z109" i="7"/>
  <c r="BP109" i="4"/>
  <c r="O188" i="23"/>
  <c r="T85" i="7"/>
  <c r="BJ85" i="4"/>
  <c r="O71" i="24"/>
  <c r="BU85" i="4"/>
  <c r="BA69" i="24"/>
  <c r="BW132" i="4"/>
  <c r="CU193" i="23"/>
  <c r="BQ191" i="7"/>
  <c r="O191" i="7"/>
  <c r="BE191" i="4"/>
  <c r="CE167" i="7"/>
  <c r="CA73" i="24"/>
  <c r="BS167" i="4"/>
  <c r="V192" i="23"/>
  <c r="P95" i="7"/>
  <c r="BF95" i="4"/>
  <c r="Z7" i="7"/>
  <c r="BP7" i="4"/>
  <c r="BI256" i="23"/>
  <c r="ET142" i="4"/>
  <c r="L70" i="24"/>
  <c r="BV82" i="4"/>
  <c r="DU223" i="23"/>
  <c r="DA225" i="4"/>
  <c r="CE213" i="7"/>
  <c r="DN73" i="24"/>
  <c r="BS213" i="4"/>
  <c r="CS224" i="23"/>
  <c r="CZ189" i="4"/>
  <c r="CJ64" i="24"/>
  <c r="CB177" i="4"/>
  <c r="BR262" i="23"/>
  <c r="EN153" i="4"/>
  <c r="BH68" i="24"/>
  <c r="BX141" i="4"/>
  <c r="AD67" i="24"/>
  <c r="BY105" i="4"/>
  <c r="BY104" i="7"/>
  <c r="K255" i="23"/>
  <c r="EU81" i="4"/>
  <c r="R21" i="7"/>
  <c r="BH21" i="4"/>
  <c r="R21" i="4" s="1"/>
  <c r="R21" i="1" s="1"/>
  <c r="DT190" i="23"/>
  <c r="BH223" i="7"/>
  <c r="R224" i="7"/>
  <c r="BH224" i="4"/>
  <c r="DM67" i="24"/>
  <c r="BY212" i="4"/>
  <c r="BL187" i="7"/>
  <c r="CR186" i="23"/>
  <c r="V188" i="7"/>
  <c r="BL188" i="4"/>
  <c r="CI222" i="23"/>
  <c r="DB176" i="4"/>
  <c r="BQ218" i="23"/>
  <c r="DF152" i="4"/>
  <c r="EJ152" i="7"/>
  <c r="DP152" i="7"/>
  <c r="DN152" i="7"/>
  <c r="DM152" i="7"/>
  <c r="DJ152" i="7"/>
  <c r="DO152" i="7"/>
  <c r="DL152" i="7"/>
  <c r="DK152" i="7"/>
  <c r="DS152" i="7"/>
  <c r="DQ152" i="7"/>
  <c r="DT152" i="7"/>
  <c r="DR152" i="7"/>
  <c r="DH152" i="7" s="1"/>
  <c r="DI152" i="7"/>
  <c r="AX191" i="23"/>
  <c r="Q128" i="7"/>
  <c r="BG128" i="4"/>
  <c r="S264" i="23"/>
  <c r="EL92" i="4"/>
  <c r="BV68" i="24"/>
  <c r="BX160" i="4"/>
  <c r="BQ64" i="7"/>
  <c r="O64" i="7"/>
  <c r="BE64" i="4"/>
  <c r="CN190" i="23"/>
  <c r="BH182" i="7"/>
  <c r="R183" i="7"/>
  <c r="BH183" i="4"/>
  <c r="BU223" i="23"/>
  <c r="DA159" i="4"/>
  <c r="BC64" i="24"/>
  <c r="CB135" i="4"/>
  <c r="BJ54" i="7"/>
  <c r="T51" i="7"/>
  <c r="T54" i="7" s="1"/>
  <c r="BJ51" i="4"/>
  <c r="AR220" i="23"/>
  <c r="DD122" i="4"/>
  <c r="DX185" i="23"/>
  <c r="W229" i="7"/>
  <c r="BM229" i="4"/>
  <c r="CV69" i="24"/>
  <c r="BW192" i="4"/>
  <c r="AG258" i="23"/>
  <c r="ER108" i="4"/>
  <c r="DF63" i="24"/>
  <c r="CC203" i="4"/>
  <c r="AF229" i="23"/>
  <c r="DG107" i="7"/>
  <c r="CU107" i="4"/>
  <c r="DV224" i="23"/>
  <c r="CZ226" i="4"/>
  <c r="DE188" i="23"/>
  <c r="T202" i="7"/>
  <c r="BJ202" i="4"/>
  <c r="DL182" i="23"/>
  <c r="Z211" i="7"/>
  <c r="BP211" i="4"/>
  <c r="DB190" i="23"/>
  <c r="R199" i="7"/>
  <c r="BH199" i="4"/>
  <c r="CH221" i="23"/>
  <c r="DC175" i="4"/>
  <c r="BP71" i="24"/>
  <c r="BU151" i="4"/>
  <c r="BU150" i="7"/>
  <c r="AW261" i="23"/>
  <c r="EO127" i="4"/>
  <c r="BM57" i="7"/>
  <c r="W55" i="7"/>
  <c r="BM55" i="4"/>
  <c r="CO186" i="23"/>
  <c r="V184" i="7"/>
  <c r="BL184" i="4"/>
  <c r="AT265" i="23"/>
  <c r="EW124" i="7"/>
  <c r="EK124" i="4"/>
  <c r="DI68" i="24"/>
  <c r="BX207" i="4"/>
  <c r="Z70" i="24"/>
  <c r="BV99" i="4"/>
  <c r="BG38" i="7"/>
  <c r="F191" i="23" s="1"/>
  <c r="Q39" i="7"/>
  <c r="BG39" i="4"/>
  <c r="CE39" i="7"/>
  <c r="BS38" i="7"/>
  <c r="F73" i="24" s="1"/>
  <c r="BS39" i="4"/>
  <c r="DC205" i="7"/>
  <c r="DH221" i="23"/>
  <c r="DC206" i="4"/>
  <c r="CC64" i="24"/>
  <c r="CB169" i="4"/>
  <c r="X182" i="23"/>
  <c r="Z97" i="7"/>
  <c r="BP97" i="4"/>
  <c r="X66" i="24"/>
  <c r="BZ97" i="4"/>
  <c r="DG260" i="23"/>
  <c r="EP204" i="4"/>
  <c r="CB70" i="24"/>
  <c r="BV168" i="4"/>
  <c r="W226" i="23"/>
  <c r="CX96" i="4"/>
  <c r="ER27" i="7"/>
  <c r="ER24" i="4"/>
  <c r="ER27" i="4" s="1"/>
  <c r="DO63" i="24"/>
  <c r="CC215" i="4"/>
  <c r="CC214" i="7"/>
  <c r="CE83" i="7"/>
  <c r="M73" i="24"/>
  <c r="BS83" i="4"/>
  <c r="CT188" i="23"/>
  <c r="T190" i="7"/>
  <c r="BJ190" i="4"/>
  <c r="BZ65" i="24"/>
  <c r="CA166" i="4"/>
  <c r="AN190" i="23"/>
  <c r="R118" i="7"/>
  <c r="BH118" i="4"/>
  <c r="U68" i="24"/>
  <c r="BX94" i="4"/>
  <c r="S46" i="7"/>
  <c r="BI46" i="4"/>
  <c r="S46" i="4" s="1"/>
  <c r="S46" i="1" s="1"/>
  <c r="DK72" i="24"/>
  <c r="BT210" i="4"/>
  <c r="BT209" i="7"/>
  <c r="CQ219" i="23"/>
  <c r="DE186" i="4"/>
  <c r="CG254" i="23"/>
  <c r="EV174" i="4"/>
  <c r="BX64" i="24"/>
  <c r="CB162" i="4"/>
  <c r="AC261" i="23"/>
  <c r="EO102" i="4"/>
  <c r="T42" i="7"/>
  <c r="BJ42" i="4"/>
  <c r="T42" i="4" s="1"/>
  <c r="T42" i="1" s="1"/>
  <c r="BX42" i="4"/>
  <c r="BY30" i="4"/>
  <c r="CY262" i="23"/>
  <c r="EN196" i="4"/>
  <c r="BN65" i="24"/>
  <c r="CA148" i="4"/>
  <c r="AK190" i="23"/>
  <c r="R112" i="7"/>
  <c r="BH112" i="4"/>
  <c r="T246" i="7"/>
  <c r="BJ246" i="4"/>
  <c r="T246" i="4" s="1"/>
  <c r="T246" i="1" s="1"/>
  <c r="CX66" i="24"/>
  <c r="BZ195" i="4"/>
  <c r="AS187" i="23"/>
  <c r="U123" i="7"/>
  <c r="BK123" i="4"/>
  <c r="CW68" i="24"/>
  <c r="BX194" i="4"/>
  <c r="BX193" i="7"/>
  <c r="BI133" i="7"/>
  <c r="BB189" i="23"/>
  <c r="S134" i="7"/>
  <c r="BI134" i="4"/>
  <c r="Y263" i="23"/>
  <c r="EM98" i="4"/>
  <c r="CD62" i="4"/>
  <c r="CD60" i="7"/>
  <c r="BN227" i="7"/>
  <c r="DW184" i="23"/>
  <c r="X228" i="7"/>
  <c r="BN228" i="4"/>
  <c r="CL226" i="23"/>
  <c r="CX180" i="4"/>
  <c r="AO186" i="23"/>
  <c r="V119" i="7"/>
  <c r="BL119" i="4"/>
  <c r="BM129" i="7"/>
  <c r="AY185" i="23"/>
  <c r="W130" i="7"/>
  <c r="BM130" i="4"/>
  <c r="DR189" i="23"/>
  <c r="S221" i="7"/>
  <c r="BI221" i="4"/>
  <c r="CP184" i="23"/>
  <c r="X185" i="7"/>
  <c r="BN185" i="4"/>
  <c r="CF72" i="24"/>
  <c r="BT173" i="4"/>
  <c r="BT172" i="7"/>
  <c r="BO185" i="23"/>
  <c r="W149" i="7"/>
  <c r="BM149" i="4"/>
  <c r="BE66" i="24"/>
  <c r="BZ137" i="4"/>
  <c r="AL222" i="23"/>
  <c r="DB113" i="4"/>
  <c r="EW65" i="7"/>
  <c r="EK65" i="4"/>
  <c r="DJ69" i="24"/>
  <c r="BW208" i="4"/>
  <c r="AI219" i="23"/>
  <c r="DE110" i="4"/>
  <c r="P184" i="23"/>
  <c r="X86" i="7"/>
  <c r="BN86" i="4"/>
  <c r="CM64" i="24"/>
  <c r="CB181" i="4"/>
  <c r="AH227" i="23"/>
  <c r="CW109" i="4"/>
  <c r="O256" i="23"/>
  <c r="ET85" i="4"/>
  <c r="O69" i="24"/>
  <c r="BW85" i="4"/>
  <c r="BA262" i="23"/>
  <c r="EN132" i="4"/>
  <c r="N259" i="23"/>
  <c r="EQ84" i="4"/>
  <c r="EM241" i="7"/>
  <c r="EB263" i="23" s="1"/>
  <c r="EM242" i="4"/>
  <c r="EM241" i="4" s="1"/>
  <c r="CU63" i="24"/>
  <c r="CC191" i="4"/>
  <c r="BJ65" i="24"/>
  <c r="CA143" i="4"/>
  <c r="V259" i="23"/>
  <c r="EQ95" i="4"/>
  <c r="DE7" i="4"/>
  <c r="DN223" i="23"/>
  <c r="DA213" i="4"/>
  <c r="DD66" i="24"/>
  <c r="BZ201" i="4"/>
  <c r="BY64" i="24"/>
  <c r="CB165" i="4"/>
  <c r="CB164" i="7"/>
  <c r="BH186" i="23"/>
  <c r="V141" i="7"/>
  <c r="BL141" i="4"/>
  <c r="AM68" i="24"/>
  <c r="BX117" i="4"/>
  <c r="BX116" i="7"/>
  <c r="T182" i="23"/>
  <c r="Z93" i="7"/>
  <c r="BP93" i="4"/>
  <c r="K190" i="23"/>
  <c r="R81" i="7"/>
  <c r="BH81" i="4"/>
  <c r="EJ81" i="7"/>
  <c r="DP81" i="7"/>
  <c r="DL81" i="7"/>
  <c r="DK81" i="7"/>
  <c r="DO81" i="7"/>
  <c r="DN81" i="7"/>
  <c r="DM81" i="7"/>
  <c r="DJ81" i="7"/>
  <c r="DI81" i="7"/>
  <c r="DR81" i="7"/>
  <c r="DH81" i="7" s="1"/>
  <c r="DQ81" i="7"/>
  <c r="DT81" i="7"/>
  <c r="DS81" i="7"/>
  <c r="BT33" i="4"/>
  <c r="BT64" i="24"/>
  <c r="CB157" i="7"/>
  <c r="CB158" i="4"/>
  <c r="DM192" i="23"/>
  <c r="P212" i="7"/>
  <c r="BF212" i="4"/>
  <c r="DC259" i="23"/>
  <c r="EQ200" i="4"/>
  <c r="CR69" i="24"/>
  <c r="BW188" i="4"/>
  <c r="BW187" i="7"/>
  <c r="BQ258" i="23"/>
  <c r="ER152" i="4"/>
  <c r="BG70" i="24"/>
  <c r="BV140" i="4"/>
  <c r="EJ140" i="7"/>
  <c r="DP140" i="7"/>
  <c r="DN140" i="7"/>
  <c r="DM140" i="7"/>
  <c r="DJ140" i="7"/>
  <c r="DO140" i="7"/>
  <c r="DL140" i="7"/>
  <c r="DK140" i="7"/>
  <c r="DS140" i="7"/>
  <c r="DR140" i="7"/>
  <c r="DH140" i="7" s="1"/>
  <c r="DQ140" i="7"/>
  <c r="DT140" i="7"/>
  <c r="DI140" i="7"/>
  <c r="S261" i="23"/>
  <c r="EO92" i="4"/>
  <c r="J264" i="23"/>
  <c r="EL80" i="4"/>
  <c r="Z32" i="7"/>
  <c r="BP32" i="4"/>
  <c r="Z32" i="4" s="1"/>
  <c r="Z32" i="1" s="1"/>
  <c r="Z20" i="7"/>
  <c r="BP20" i="4"/>
  <c r="Z20" i="4" s="1"/>
  <c r="Z20" i="1" s="1"/>
  <c r="BV218" i="23"/>
  <c r="DF160" i="4"/>
  <c r="AA189" i="23"/>
  <c r="S100" i="7"/>
  <c r="BI100" i="4"/>
  <c r="DF182" i="7"/>
  <c r="CN218" i="23"/>
  <c r="DF183" i="4"/>
  <c r="BU72" i="24"/>
  <c r="BT159" i="4"/>
  <c r="AJ191" i="23"/>
  <c r="Q111" i="7"/>
  <c r="BG111" i="4"/>
  <c r="AR219" i="23"/>
  <c r="DE122" i="4"/>
  <c r="DX219" i="23"/>
  <c r="DE229" i="4"/>
  <c r="CV255" i="23"/>
  <c r="EU192" i="4"/>
  <c r="BK188" i="23"/>
  <c r="T144" i="7"/>
  <c r="BJ144" i="4"/>
  <c r="AG255" i="23"/>
  <c r="EU108" i="4"/>
  <c r="EJ108" i="7"/>
  <c r="DP108" i="7"/>
  <c r="DN108" i="7"/>
  <c r="DM108" i="7"/>
  <c r="DL108" i="7"/>
  <c r="DK108" i="7"/>
  <c r="DJ108" i="7"/>
  <c r="DO108" i="7"/>
  <c r="DS108" i="7"/>
  <c r="DI108" i="7"/>
  <c r="DT108" i="7"/>
  <c r="DR108" i="7"/>
  <c r="DH108" i="7" s="1"/>
  <c r="DQ108" i="7"/>
  <c r="CK219" i="23"/>
  <c r="DE178" i="7"/>
  <c r="DE179" i="4"/>
  <c r="AF254" i="23"/>
  <c r="EV107" i="4"/>
  <c r="DV192" i="23"/>
  <c r="P226" i="7"/>
  <c r="BF226" i="4"/>
  <c r="DE183" i="23"/>
  <c r="Y202" i="7"/>
  <c r="BO202" i="4"/>
  <c r="AE255" i="23"/>
  <c r="EU106" i="4"/>
  <c r="DL221" i="23"/>
  <c r="DC211" i="4"/>
  <c r="DB189" i="23"/>
  <c r="S199" i="7"/>
  <c r="BI199" i="4"/>
  <c r="CH222" i="23"/>
  <c r="DB175" i="4"/>
  <c r="BP222" i="23"/>
  <c r="DB150" i="7"/>
  <c r="DB151" i="4"/>
  <c r="AW220" i="23"/>
  <c r="DD127" i="4"/>
  <c r="CO66" i="24"/>
  <c r="BZ184" i="4"/>
  <c r="DI256" i="23"/>
  <c r="ET207" i="4"/>
  <c r="BM192" i="23"/>
  <c r="BF146" i="7"/>
  <c r="P147" i="7"/>
  <c r="BF147" i="4"/>
  <c r="Z261" i="23"/>
  <c r="EO99" i="4"/>
  <c r="EK38" i="7"/>
  <c r="F265" i="23" s="1"/>
  <c r="EW39" i="7"/>
  <c r="EK39" i="4"/>
  <c r="DH65" i="24"/>
  <c r="CA205" i="7"/>
  <c r="CA206" i="4"/>
  <c r="AQ260" i="23"/>
  <c r="EP121" i="4"/>
  <c r="X225" i="23"/>
  <c r="CY97" i="4"/>
  <c r="BY243" i="4"/>
  <c r="CB69" i="24"/>
  <c r="BW168" i="4"/>
  <c r="W193" i="23"/>
  <c r="BQ96" i="7"/>
  <c r="O96" i="7"/>
  <c r="BE96" i="4"/>
  <c r="DO258" i="23"/>
  <c r="ER214" i="7"/>
  <c r="ER215" i="4"/>
  <c r="AZ73" i="24"/>
  <c r="CE131" i="7"/>
  <c r="BS131" i="4"/>
  <c r="Q35" i="7"/>
  <c r="BG35" i="4"/>
  <c r="Q35" i="4" s="1"/>
  <c r="Q35" i="1" s="1"/>
  <c r="CT64" i="24"/>
  <c r="CB190" i="4"/>
  <c r="BS222" i="23"/>
  <c r="DB154" i="4"/>
  <c r="AN254" i="23"/>
  <c r="EV118" i="4"/>
  <c r="U221" i="23"/>
  <c r="DC94" i="4"/>
  <c r="BU46" i="4"/>
  <c r="DK71" i="24"/>
  <c r="BU210" i="4"/>
  <c r="BU209" i="7"/>
  <c r="EJ210" i="7"/>
  <c r="DP210" i="7"/>
  <c r="DO210" i="7"/>
  <c r="DN210" i="7"/>
  <c r="DM210" i="7"/>
  <c r="DL210" i="7"/>
  <c r="DK210" i="7"/>
  <c r="DJ210" i="7"/>
  <c r="DQ210" i="7"/>
  <c r="DR210" i="7"/>
  <c r="DH210" i="7" s="1"/>
  <c r="DI210" i="7"/>
  <c r="DT210" i="7"/>
  <c r="DS210" i="7"/>
  <c r="CQ265" i="23"/>
  <c r="EW186" i="7"/>
  <c r="EK186" i="4"/>
  <c r="CG183" i="23"/>
  <c r="Y174" i="7"/>
  <c r="BO174" i="4"/>
  <c r="BX63" i="24"/>
  <c r="CC162" i="4"/>
  <c r="AC255" i="23"/>
  <c r="EU102" i="4"/>
  <c r="H185" i="23"/>
  <c r="W78" i="7"/>
  <c r="BM78" i="4"/>
  <c r="BV247" i="4"/>
  <c r="BN189" i="23"/>
  <c r="S148" i="7"/>
  <c r="BI148" i="4"/>
  <c r="BD62" i="24"/>
  <c r="CD136" i="4"/>
  <c r="CX188" i="23"/>
  <c r="T195" i="7"/>
  <c r="BJ195" i="4"/>
  <c r="CE257" i="23"/>
  <c r="ES171" i="4"/>
  <c r="CW256" i="23"/>
  <c r="ET193" i="7"/>
  <c r="ET194" i="4"/>
  <c r="CD219" i="23"/>
  <c r="DE170" i="4"/>
  <c r="BB260" i="23"/>
  <c r="EP133" i="7"/>
  <c r="EP134" i="4"/>
  <c r="Y254" i="23"/>
  <c r="EV98" i="4"/>
  <c r="EJ98" i="7"/>
  <c r="DP98" i="7"/>
  <c r="DN98" i="7"/>
  <c r="DL98" i="7"/>
  <c r="DK98" i="7"/>
  <c r="DJ98" i="7"/>
  <c r="DO98" i="7"/>
  <c r="DM98" i="7"/>
  <c r="DT98" i="7"/>
  <c r="DS98" i="7"/>
  <c r="DR98" i="7"/>
  <c r="DH98" i="7" s="1"/>
  <c r="DQ98" i="7"/>
  <c r="DI98" i="7"/>
  <c r="DW66" i="24"/>
  <c r="BZ228" i="4"/>
  <c r="BZ227" i="7"/>
  <c r="EW130" i="7"/>
  <c r="AY265" i="23"/>
  <c r="EK129" i="7"/>
  <c r="EK130" i="4"/>
  <c r="CZ184" i="23"/>
  <c r="X197" i="7"/>
  <c r="BN197" i="4"/>
  <c r="CP218" i="23"/>
  <c r="DF185" i="4"/>
  <c r="CV172" i="7"/>
  <c r="CF228" i="23"/>
  <c r="CV173" i="4"/>
  <c r="EJ173" i="7"/>
  <c r="DP173" i="7"/>
  <c r="DN173" i="7"/>
  <c r="DJ173" i="7"/>
  <c r="DO173" i="7"/>
  <c r="DM173" i="7"/>
  <c r="DL173" i="7"/>
  <c r="DK173" i="7"/>
  <c r="DI173" i="7"/>
  <c r="DT173" i="7"/>
  <c r="DQ173" i="7"/>
  <c r="DS173" i="7"/>
  <c r="DR173" i="7"/>
  <c r="DH173" i="7" s="1"/>
  <c r="BO187" i="23"/>
  <c r="U149" i="7"/>
  <c r="BK149" i="4"/>
  <c r="BE64" i="24"/>
  <c r="CB137" i="4"/>
  <c r="AL188" i="23"/>
  <c r="T113" i="7"/>
  <c r="BJ113" i="4"/>
  <c r="AB184" i="23"/>
  <c r="X101" i="7"/>
  <c r="BN101" i="4"/>
  <c r="ES76" i="7"/>
  <c r="G257" i="23"/>
  <c r="ES77" i="4"/>
  <c r="DJ228" i="23"/>
  <c r="CV208" i="4"/>
  <c r="Q16" i="7"/>
  <c r="BG16" i="4"/>
  <c r="Q16" i="4" s="1"/>
  <c r="Q16" i="1" s="1"/>
  <c r="AI223" i="23"/>
  <c r="DA110" i="4"/>
  <c r="CM259" i="23"/>
  <c r="EQ181" i="4"/>
  <c r="BL227" i="23"/>
  <c r="CW145" i="4"/>
  <c r="AH220" i="23"/>
  <c r="DD109" i="4"/>
  <c r="O225" i="23"/>
  <c r="CY85" i="4"/>
  <c r="O66" i="24"/>
  <c r="BZ85" i="4"/>
  <c r="BA70" i="24"/>
  <c r="BV132" i="4"/>
  <c r="CW241" i="7"/>
  <c r="EB227" i="23" s="1"/>
  <c r="CW242" i="4"/>
  <c r="CW241" i="4" s="1"/>
  <c r="EJ242" i="7"/>
  <c r="DN242" i="7"/>
  <c r="DL242" i="7"/>
  <c r="DK242" i="7"/>
  <c r="DI242" i="7"/>
  <c r="DT242" i="7"/>
  <c r="DM242" i="7"/>
  <c r="DJ242" i="7"/>
  <c r="DS242" i="7"/>
  <c r="DP242" i="7"/>
  <c r="DO242" i="7"/>
  <c r="DR242" i="7"/>
  <c r="DH242" i="7" s="1"/>
  <c r="DQ242" i="7"/>
  <c r="CA262" i="23"/>
  <c r="EN167" i="4"/>
  <c r="BJ64" i="24"/>
  <c r="CB143" i="4"/>
  <c r="R7" i="7"/>
  <c r="BH7" i="4"/>
  <c r="L65" i="24"/>
  <c r="CA82" i="4"/>
  <c r="DU191" i="23"/>
  <c r="Q225" i="7"/>
  <c r="BG225" i="4"/>
  <c r="DN222" i="23"/>
  <c r="DB213" i="4"/>
  <c r="DD63" i="24"/>
  <c r="CC201" i="4"/>
  <c r="CJ265" i="23"/>
  <c r="EW177" i="7"/>
  <c r="EK177" i="4"/>
  <c r="CE165" i="7"/>
  <c r="BY73" i="24"/>
  <c r="BS165" i="4"/>
  <c r="BS164" i="7"/>
  <c r="BH258" i="23"/>
  <c r="ER141" i="4"/>
  <c r="AM67" i="24"/>
  <c r="BY117" i="4"/>
  <c r="BY116" i="7"/>
  <c r="T262" i="23"/>
  <c r="EN93" i="4"/>
  <c r="K222" i="23"/>
  <c r="DB81" i="4"/>
  <c r="U45" i="7"/>
  <c r="BK45" i="4"/>
  <c r="U45" i="4" s="1"/>
  <c r="U45" i="1" s="1"/>
  <c r="BT62" i="24"/>
  <c r="CD158" i="4"/>
  <c r="CD157" i="7"/>
  <c r="DM226" i="23"/>
  <c r="CX212" i="4"/>
  <c r="DC66" i="24"/>
  <c r="BZ200" i="4"/>
  <c r="CI182" i="23"/>
  <c r="Z176" i="7"/>
  <c r="BP176" i="4"/>
  <c r="BQ190" i="23"/>
  <c r="R152" i="7"/>
  <c r="BH152" i="4"/>
  <c r="BG69" i="24"/>
  <c r="BW140" i="4"/>
  <c r="S259" i="23"/>
  <c r="EQ92" i="4"/>
  <c r="J223" i="23"/>
  <c r="DA80" i="4"/>
  <c r="DQ221" i="23"/>
  <c r="DC219" i="7"/>
  <c r="DC220" i="4"/>
  <c r="AA188" i="23"/>
  <c r="T100" i="7"/>
  <c r="BJ100" i="4"/>
  <c r="BU229" i="23"/>
  <c r="DG159" i="7"/>
  <c r="CU159" i="4"/>
  <c r="BC72" i="24"/>
  <c r="BT135" i="4"/>
  <c r="BH54" i="7"/>
  <c r="R51" i="7"/>
  <c r="R54" i="7" s="1"/>
  <c r="BH51" i="4"/>
  <c r="BP13" i="7"/>
  <c r="BP6" i="7" s="1"/>
  <c r="Z14" i="7"/>
  <c r="BP14" i="4"/>
  <c r="DX225" i="23"/>
  <c r="CY229" i="4"/>
  <c r="CV228" i="23"/>
  <c r="CV192" i="4"/>
  <c r="BK221" i="23"/>
  <c r="DC144" i="4"/>
  <c r="DF261" i="23"/>
  <c r="EO203" i="4"/>
  <c r="CK72" i="24"/>
  <c r="BT179" i="4"/>
  <c r="BT178" i="7"/>
  <c r="AF64" i="24"/>
  <c r="CB107" i="4"/>
  <c r="DE62" i="24"/>
  <c r="CD202" i="4"/>
  <c r="CE106" i="7"/>
  <c r="AE73" i="24"/>
  <c r="BS106" i="4"/>
  <c r="DB219" i="23"/>
  <c r="DE199" i="4"/>
  <c r="CH67" i="24"/>
  <c r="BY175" i="4"/>
  <c r="ES138" i="7"/>
  <c r="BF257" i="23"/>
  <c r="ES139" i="4"/>
  <c r="AW265" i="23"/>
  <c r="EW127" i="7"/>
  <c r="EK127" i="4"/>
  <c r="R189" i="23"/>
  <c r="BI90" i="7"/>
  <c r="S91" i="7"/>
  <c r="BI91" i="4"/>
  <c r="EJ91" i="7"/>
  <c r="DP91" i="7"/>
  <c r="DK91" i="7"/>
  <c r="DO91" i="7"/>
  <c r="DN91" i="7"/>
  <c r="DM91" i="7"/>
  <c r="DL91" i="7"/>
  <c r="DJ91" i="7"/>
  <c r="DS91" i="7"/>
  <c r="DR91" i="7"/>
  <c r="DH91" i="7" s="1"/>
  <c r="DT91" i="7"/>
  <c r="DQ91" i="7"/>
  <c r="DI91" i="7"/>
  <c r="I72" i="24"/>
  <c r="BT79" i="4"/>
  <c r="BJ57" i="7"/>
  <c r="T55" i="7"/>
  <c r="T57" i="7" s="1"/>
  <c r="BJ55" i="4"/>
  <c r="CZ29" i="7"/>
  <c r="CZ31" i="4"/>
  <c r="CZ29" i="4" s="1"/>
  <c r="CO188" i="23"/>
  <c r="T184" i="7"/>
  <c r="BJ184" i="4"/>
  <c r="AT66" i="24"/>
  <c r="BZ124" i="4"/>
  <c r="BM187" i="23"/>
  <c r="BK146" i="7"/>
  <c r="U147" i="7"/>
  <c r="BK147" i="4"/>
  <c r="CD245" i="4"/>
  <c r="CC257" i="23"/>
  <c r="ES169" i="4"/>
  <c r="AQ65" i="24"/>
  <c r="CA121" i="4"/>
  <c r="X265" i="23"/>
  <c r="EW97" i="7"/>
  <c r="EK97" i="4"/>
  <c r="T243" i="7"/>
  <c r="BJ243" i="4"/>
  <c r="T243" i="4" s="1"/>
  <c r="T243" i="1" s="1"/>
  <c r="CB243" i="4"/>
  <c r="DG192" i="23"/>
  <c r="P204" i="7"/>
  <c r="BF204" i="4"/>
  <c r="DG265" i="23"/>
  <c r="EW204" i="7"/>
  <c r="EK204" i="4"/>
  <c r="CB219" i="23"/>
  <c r="DE168" i="4"/>
  <c r="CB68" i="24"/>
  <c r="BX168" i="4"/>
  <c r="AP221" i="23"/>
  <c r="DC120" i="4"/>
  <c r="AP226" i="23"/>
  <c r="CX120" i="4"/>
  <c r="AP258" i="23"/>
  <c r="ER120" i="4"/>
  <c r="AP71" i="24"/>
  <c r="BU120" i="4"/>
  <c r="W225" i="23"/>
  <c r="CY96" i="4"/>
  <c r="W265" i="23"/>
  <c r="EW96" i="7"/>
  <c r="EK96" i="4"/>
  <c r="W261" i="23"/>
  <c r="EO96" i="4"/>
  <c r="W67" i="24"/>
  <c r="BY96" i="4"/>
  <c r="CV27" i="7"/>
  <c r="CV24" i="4"/>
  <c r="CV27" i="4" s="1"/>
  <c r="BL27" i="7"/>
  <c r="V24" i="7"/>
  <c r="BL24" i="4"/>
  <c r="ES27" i="7"/>
  <c r="ES24" i="4"/>
  <c r="ES27" i="4" s="1"/>
  <c r="ET214" i="7"/>
  <c r="DO256" i="23"/>
  <c r="ET215" i="4"/>
  <c r="DO262" i="23"/>
  <c r="EN214" i="7"/>
  <c r="EN215" i="4"/>
  <c r="BM214" i="7"/>
  <c r="DO185" i="23"/>
  <c r="W215" i="7"/>
  <c r="BM215" i="4"/>
  <c r="DO70" i="24"/>
  <c r="BV215" i="4"/>
  <c r="BV214" i="7"/>
  <c r="EJ215" i="7"/>
  <c r="DP215" i="7"/>
  <c r="DO215" i="7"/>
  <c r="DN215" i="7"/>
  <c r="DM215" i="7"/>
  <c r="DL215" i="7"/>
  <c r="DK215" i="7"/>
  <c r="DJ215" i="7"/>
  <c r="DQ215" i="7"/>
  <c r="DT215" i="7"/>
  <c r="DS215" i="7"/>
  <c r="DR215" i="7"/>
  <c r="DH215" i="7" s="1"/>
  <c r="DI215" i="7"/>
  <c r="AZ186" i="23"/>
  <c r="V131" i="7"/>
  <c r="BL131" i="4"/>
  <c r="AZ260" i="23"/>
  <c r="EP131" i="4"/>
  <c r="AZ263" i="23"/>
  <c r="EM131" i="4"/>
  <c r="AZ72" i="24"/>
  <c r="BT131" i="4"/>
  <c r="M219" i="23"/>
  <c r="DE83" i="4"/>
  <c r="M260" i="23"/>
  <c r="EP83" i="4"/>
  <c r="M223" i="23"/>
  <c r="DA83" i="4"/>
  <c r="M64" i="24"/>
  <c r="CB83" i="4"/>
  <c r="CT256" i="23"/>
  <c r="ET190" i="4"/>
  <c r="CT193" i="23"/>
  <c r="BQ190" i="7"/>
  <c r="O190" i="7"/>
  <c r="BE190" i="4"/>
  <c r="CT264" i="23"/>
  <c r="EL190" i="4"/>
  <c r="CT73" i="24"/>
  <c r="CE190" i="7"/>
  <c r="BS190" i="4"/>
  <c r="BZ184" i="23"/>
  <c r="X166" i="7"/>
  <c r="BN166" i="4"/>
  <c r="BZ256" i="23"/>
  <c r="ET166" i="4"/>
  <c r="BZ224" i="23"/>
  <c r="CZ166" i="4"/>
  <c r="BZ62" i="24"/>
  <c r="CD166" i="4"/>
  <c r="BS255" i="23"/>
  <c r="EU154" i="4"/>
  <c r="BS262" i="23"/>
  <c r="EN154" i="4"/>
  <c r="BS188" i="23"/>
  <c r="T154" i="7"/>
  <c r="BJ154" i="4"/>
  <c r="BS63" i="24"/>
  <c r="CC154" i="4"/>
  <c r="AN226" i="23"/>
  <c r="CX118" i="4"/>
  <c r="AN189" i="23"/>
  <c r="S118" i="7"/>
  <c r="BI118" i="4"/>
  <c r="AN183" i="23"/>
  <c r="Y118" i="7"/>
  <c r="BO118" i="4"/>
  <c r="AN64" i="24"/>
  <c r="CB118" i="4"/>
  <c r="U192" i="23"/>
  <c r="P94" i="7"/>
  <c r="BF94" i="4"/>
  <c r="U219" i="23"/>
  <c r="DE94" i="4"/>
  <c r="U220" i="23"/>
  <c r="DD94" i="4"/>
  <c r="U70" i="24"/>
  <c r="BV94" i="4"/>
  <c r="DG46" i="7"/>
  <c r="CU46" i="4"/>
  <c r="BY46" i="4"/>
  <c r="DS228" i="23"/>
  <c r="CV222" i="4"/>
  <c r="DS191" i="23"/>
  <c r="Q222" i="7"/>
  <c r="BG222" i="4"/>
  <c r="DS221" i="23"/>
  <c r="DC222" i="4"/>
  <c r="DK265" i="23"/>
  <c r="EW210" i="7"/>
  <c r="EK209" i="7"/>
  <c r="EK210" i="4"/>
  <c r="DK261" i="23"/>
  <c r="EO209" i="7"/>
  <c r="EO210" i="4"/>
  <c r="CU209" i="7"/>
  <c r="DK229" i="23"/>
  <c r="DG210" i="7"/>
  <c r="CU210" i="4"/>
  <c r="DK70" i="24"/>
  <c r="BV210" i="4"/>
  <c r="BV209" i="7"/>
  <c r="DA229" i="23"/>
  <c r="DG198" i="7"/>
  <c r="CU198" i="4"/>
  <c r="DA254" i="23"/>
  <c r="EV198" i="4"/>
  <c r="DA221" i="23"/>
  <c r="DC198" i="4"/>
  <c r="DA70" i="24"/>
  <c r="BV198" i="4"/>
  <c r="EJ198" i="7"/>
  <c r="DP198" i="7"/>
  <c r="DN198" i="7"/>
  <c r="DO198" i="7"/>
  <c r="DM198" i="7"/>
  <c r="DL198" i="7"/>
  <c r="DK198" i="7"/>
  <c r="DJ198" i="7"/>
  <c r="DS198" i="7"/>
  <c r="DI198" i="7"/>
  <c r="DR198" i="7"/>
  <c r="DH198" i="7" s="1"/>
  <c r="DQ198" i="7"/>
  <c r="DT198" i="7"/>
  <c r="CQ184" i="23"/>
  <c r="X186" i="7"/>
  <c r="BN186" i="4"/>
  <c r="CQ220" i="23"/>
  <c r="DD186" i="4"/>
  <c r="CQ263" i="23"/>
  <c r="EM186" i="4"/>
  <c r="CQ72" i="24"/>
  <c r="BT186" i="4"/>
  <c r="CG260" i="23"/>
  <c r="EP174" i="4"/>
  <c r="CG229" i="23"/>
  <c r="DG174" i="7"/>
  <c r="CU174" i="4"/>
  <c r="CG223" i="23"/>
  <c r="DA174" i="4"/>
  <c r="CG73" i="24"/>
  <c r="CE174" i="7"/>
  <c r="BS174" i="4"/>
  <c r="BX219" i="23"/>
  <c r="DE162" i="4"/>
  <c r="BX182" i="23"/>
  <c r="Z162" i="7"/>
  <c r="BP162" i="4"/>
  <c r="BX187" i="23"/>
  <c r="U162" i="7"/>
  <c r="BK162" i="4"/>
  <c r="BX62" i="24"/>
  <c r="CD162" i="4"/>
  <c r="AV191" i="23"/>
  <c r="Q126" i="7"/>
  <c r="BG126" i="4"/>
  <c r="AV256" i="23"/>
  <c r="ET126" i="4"/>
  <c r="AV224" i="23"/>
  <c r="CZ126" i="4"/>
  <c r="AV63" i="24"/>
  <c r="CC126" i="4"/>
  <c r="AC226" i="23"/>
  <c r="CX102" i="4"/>
  <c r="AC229" i="23"/>
  <c r="DG102" i="7"/>
  <c r="CU102" i="4"/>
  <c r="AC257" i="23"/>
  <c r="ES102" i="4"/>
  <c r="AC65" i="24"/>
  <c r="CA102" i="4"/>
  <c r="H182" i="23"/>
  <c r="Z78" i="7"/>
  <c r="BP78" i="4"/>
  <c r="H226" i="23"/>
  <c r="CX78" i="4"/>
  <c r="H183" i="23"/>
  <c r="Y78" i="7"/>
  <c r="BO78" i="4"/>
  <c r="H62" i="24"/>
  <c r="CD78" i="4"/>
  <c r="P66" i="7"/>
  <c r="BF66" i="4"/>
  <c r="P66" i="4" s="1"/>
  <c r="P66" i="1" s="1"/>
  <c r="Y66" i="7"/>
  <c r="BO66" i="4"/>
  <c r="Y66" i="4" s="1"/>
  <c r="Y66" i="1" s="1"/>
  <c r="P42" i="7"/>
  <c r="BF42" i="4"/>
  <c r="P42" i="4" s="1"/>
  <c r="P42" i="1" s="1"/>
  <c r="U42" i="7"/>
  <c r="BK42" i="4"/>
  <c r="U42" i="4" s="1"/>
  <c r="U42" i="1" s="1"/>
  <c r="BY42" i="4"/>
  <c r="BX30" i="4"/>
  <c r="Z247" i="7"/>
  <c r="BP247" i="4"/>
  <c r="Z247" i="4" s="1"/>
  <c r="Z247" i="1" s="1"/>
  <c r="BW247" i="4"/>
  <c r="CY185" i="23"/>
  <c r="W196" i="7"/>
  <c r="BM196" i="4"/>
  <c r="CY261" i="23"/>
  <c r="EO196" i="4"/>
  <c r="CY192" i="23"/>
  <c r="P196" i="7"/>
  <c r="BF196" i="4"/>
  <c r="CY70" i="24"/>
  <c r="BV196" i="4"/>
  <c r="BN193" i="23"/>
  <c r="BQ148" i="7"/>
  <c r="O148" i="7"/>
  <c r="BE148" i="4"/>
  <c r="BN187" i="23"/>
  <c r="U148" i="7"/>
  <c r="BK148" i="4"/>
  <c r="BN261" i="23"/>
  <c r="EO148" i="4"/>
  <c r="BN69" i="24"/>
  <c r="BW148" i="4"/>
  <c r="EJ148" i="7"/>
  <c r="DP148" i="7"/>
  <c r="DN148" i="7"/>
  <c r="DK148" i="7"/>
  <c r="DO148" i="7"/>
  <c r="DM148" i="7"/>
  <c r="DL148" i="7"/>
  <c r="DJ148" i="7"/>
  <c r="DS148" i="7"/>
  <c r="DQ148" i="7"/>
  <c r="DT148" i="7"/>
  <c r="DR148" i="7"/>
  <c r="DH148" i="7" s="1"/>
  <c r="DI148" i="7"/>
  <c r="BD255" i="23"/>
  <c r="EU136" i="4"/>
  <c r="BD220" i="23"/>
  <c r="DD136" i="4"/>
  <c r="BD263" i="23"/>
  <c r="EM136" i="4"/>
  <c r="BD72" i="24"/>
  <c r="BT136" i="4"/>
  <c r="AK187" i="23"/>
  <c r="U112" i="7"/>
  <c r="BK112" i="4"/>
  <c r="AK229" i="23"/>
  <c r="DG112" i="7"/>
  <c r="CU112" i="4"/>
  <c r="AK223" i="23"/>
  <c r="DA112" i="4"/>
  <c r="AK63" i="24"/>
  <c r="CC112" i="4"/>
  <c r="CC40" i="4"/>
  <c r="DG246" i="7"/>
  <c r="CU246" i="4"/>
  <c r="Y246" i="7"/>
  <c r="BO246" i="4"/>
  <c r="Y246" i="4" s="1"/>
  <c r="Y246" i="1" s="1"/>
  <c r="CC246" i="4"/>
  <c r="CX218" i="23"/>
  <c r="DF195" i="4"/>
  <c r="CX226" i="23"/>
  <c r="CX195" i="4"/>
  <c r="CX224" i="23"/>
  <c r="CZ195" i="4"/>
  <c r="CX64" i="24"/>
  <c r="CB195" i="4"/>
  <c r="CE190" i="23"/>
  <c r="R171" i="7"/>
  <c r="BH171" i="4"/>
  <c r="CE260" i="23"/>
  <c r="EP171" i="4"/>
  <c r="CE188" i="23"/>
  <c r="T171" i="7"/>
  <c r="BJ171" i="4"/>
  <c r="CE65" i="24"/>
  <c r="CA171" i="4"/>
  <c r="AS260" i="23"/>
  <c r="EP123" i="4"/>
  <c r="AS257" i="23"/>
  <c r="ES123" i="4"/>
  <c r="AS265" i="23"/>
  <c r="EW123" i="7"/>
  <c r="EK123" i="4"/>
  <c r="AS64" i="24"/>
  <c r="CB123" i="4"/>
  <c r="EU193" i="7"/>
  <c r="CW255" i="23"/>
  <c r="EU194" i="4"/>
  <c r="CW185" i="23"/>
  <c r="BM193" i="7"/>
  <c r="W194" i="7"/>
  <c r="BM194" i="4"/>
  <c r="CW227" i="23"/>
  <c r="CW193" i="7"/>
  <c r="CW194" i="4"/>
  <c r="CW70" i="24"/>
  <c r="BV194" i="4"/>
  <c r="BV193" i="7"/>
  <c r="CD193" i="23"/>
  <c r="BQ170" i="7"/>
  <c r="O170" i="7"/>
  <c r="BE170" i="4"/>
  <c r="CD265" i="23"/>
  <c r="EW170" i="7"/>
  <c r="EK170" i="4"/>
  <c r="CD261" i="23"/>
  <c r="EO170" i="4"/>
  <c r="CD67" i="24"/>
  <c r="BY170" i="4"/>
  <c r="BB220" i="23"/>
  <c r="DD133" i="7"/>
  <c r="DD134" i="4"/>
  <c r="BB229" i="23"/>
  <c r="DG134" i="7"/>
  <c r="CU133" i="7"/>
  <c r="CU134" i="4"/>
  <c r="BB187" i="23"/>
  <c r="BK133" i="7"/>
  <c r="U134" i="7"/>
  <c r="BK134" i="4"/>
  <c r="BB67" i="24"/>
  <c r="BY134" i="4"/>
  <c r="BY133" i="7"/>
  <c r="Y182" i="23"/>
  <c r="Z98" i="7"/>
  <c r="BP98" i="4"/>
  <c r="Y191" i="23"/>
  <c r="Q98" i="7"/>
  <c r="BG98" i="4"/>
  <c r="Y262" i="23"/>
  <c r="EN98" i="4"/>
  <c r="Y71" i="24"/>
  <c r="BU98" i="4"/>
  <c r="P62" i="7"/>
  <c r="BF62" i="4"/>
  <c r="P62" i="4" s="1"/>
  <c r="P62" i="1" s="1"/>
  <c r="R62" i="7"/>
  <c r="BH62" i="4"/>
  <c r="R62" i="4" s="1"/>
  <c r="R62" i="1" s="1"/>
  <c r="S62" i="7"/>
  <c r="BI62" i="4"/>
  <c r="S62" i="4" s="1"/>
  <c r="S62" i="1" s="1"/>
  <c r="BU62" i="4"/>
  <c r="BU60" i="7"/>
  <c r="FC62" i="7"/>
  <c r="FC62" i="4" s="1"/>
  <c r="EY62" i="7"/>
  <c r="AC62" i="7" s="1"/>
  <c r="FJ62" i="7"/>
  <c r="FJ62" i="4" s="1"/>
  <c r="FI62" i="7"/>
  <c r="FI62" i="4" s="1"/>
  <c r="FB62" i="7"/>
  <c r="FB62" i="4" s="1"/>
  <c r="FA62" i="7"/>
  <c r="FA62" i="4" s="1"/>
  <c r="EZ62" i="7"/>
  <c r="EZ62" i="4" s="1"/>
  <c r="FG62" i="7"/>
  <c r="EX62" i="7" s="1"/>
  <c r="FF62" i="7"/>
  <c r="FH62" i="7"/>
  <c r="FH62" i="4" s="1"/>
  <c r="FE62" i="7"/>
  <c r="FD62" i="7"/>
  <c r="S26" i="7"/>
  <c r="BI26" i="4"/>
  <c r="S26" i="4" s="1"/>
  <c r="S26" i="1" s="1"/>
  <c r="CB244" i="4"/>
  <c r="CU227" i="7"/>
  <c r="DW229" i="23"/>
  <c r="DG228" i="7"/>
  <c r="CU228" i="4"/>
  <c r="DW222" i="23"/>
  <c r="DB227" i="7"/>
  <c r="DB228" i="4"/>
  <c r="DW264" i="23"/>
  <c r="EL227" i="7"/>
  <c r="EL228" i="4"/>
  <c r="DW64" i="24"/>
  <c r="CB228" i="4"/>
  <c r="CB227" i="7"/>
  <c r="CL262" i="23"/>
  <c r="EN180" i="4"/>
  <c r="CL219" i="23"/>
  <c r="DE180" i="4"/>
  <c r="CL224" i="23"/>
  <c r="CZ180" i="4"/>
  <c r="CL64" i="24"/>
  <c r="CB180" i="4"/>
  <c r="AO255" i="23"/>
  <c r="EU119" i="4"/>
  <c r="AO184" i="23"/>
  <c r="X119" i="7"/>
  <c r="BN119" i="4"/>
  <c r="AO227" i="23"/>
  <c r="CW119" i="4"/>
  <c r="AO65" i="24"/>
  <c r="CA119" i="4"/>
  <c r="AY259" i="23"/>
  <c r="EQ129" i="7"/>
  <c r="EQ130" i="4"/>
  <c r="BN129" i="7"/>
  <c r="AY184" i="23"/>
  <c r="X130" i="7"/>
  <c r="BN130" i="4"/>
  <c r="DE129" i="7"/>
  <c r="AY219" i="23"/>
  <c r="DE130" i="4"/>
  <c r="CE130" i="7"/>
  <c r="AY73" i="24"/>
  <c r="BS129" i="7"/>
  <c r="BS130" i="4"/>
  <c r="DR218" i="23"/>
  <c r="DF221" i="4"/>
  <c r="DR257" i="23"/>
  <c r="ES221" i="4"/>
  <c r="DR219" i="23"/>
  <c r="DE221" i="4"/>
  <c r="CZ182" i="23"/>
  <c r="Z197" i="7"/>
  <c r="BP197" i="4"/>
  <c r="CZ190" i="23"/>
  <c r="R197" i="7"/>
  <c r="BH197" i="4"/>
  <c r="CZ185" i="23"/>
  <c r="W197" i="7"/>
  <c r="BM197" i="4"/>
  <c r="CZ69" i="24"/>
  <c r="BW197" i="4"/>
  <c r="CP227" i="23"/>
  <c r="CW185" i="4"/>
  <c r="CP189" i="23"/>
  <c r="S185" i="7"/>
  <c r="BI185" i="4"/>
  <c r="CP262" i="23"/>
  <c r="EN185" i="4"/>
  <c r="CP69" i="24"/>
  <c r="BW185" i="4"/>
  <c r="BI172" i="7"/>
  <c r="CF189" i="23"/>
  <c r="S173" i="7"/>
  <c r="BI173" i="4"/>
  <c r="CF265" i="23"/>
  <c r="EK172" i="7"/>
  <c r="EW173" i="7"/>
  <c r="EK173" i="4"/>
  <c r="CF258" i="23"/>
  <c r="ER172" i="7"/>
  <c r="ER173" i="4"/>
  <c r="CF70" i="24"/>
  <c r="BV172" i="7"/>
  <c r="BV173" i="4"/>
  <c r="BW228" i="23"/>
  <c r="CV161" i="4"/>
  <c r="BW186" i="23"/>
  <c r="V161" i="7"/>
  <c r="BL161" i="4"/>
  <c r="BW254" i="23"/>
  <c r="EV161" i="4"/>
  <c r="BW71" i="24"/>
  <c r="BU161" i="4"/>
  <c r="EJ161" i="7"/>
  <c r="DP161" i="7"/>
  <c r="DN161" i="7"/>
  <c r="DM161" i="7"/>
  <c r="DO161" i="7"/>
  <c r="DL161" i="7"/>
  <c r="DK161" i="7"/>
  <c r="DJ161" i="7"/>
  <c r="DT161" i="7"/>
  <c r="DI161" i="7"/>
  <c r="DS161" i="7"/>
  <c r="DR161" i="7"/>
  <c r="DH161" i="7" s="1"/>
  <c r="DQ161" i="7"/>
  <c r="BO257" i="23"/>
  <c r="ES149" i="4"/>
  <c r="BO222" i="23"/>
  <c r="DB149" i="4"/>
  <c r="BO263" i="23"/>
  <c r="EM149" i="4"/>
  <c r="BO72" i="24"/>
  <c r="BT149" i="4"/>
  <c r="BE258" i="23"/>
  <c r="ER137" i="4"/>
  <c r="BE188" i="23"/>
  <c r="T137" i="7"/>
  <c r="BJ137" i="4"/>
  <c r="BE223" i="23"/>
  <c r="DA137" i="4"/>
  <c r="BE63" i="24"/>
  <c r="CC137" i="4"/>
  <c r="AU220" i="23"/>
  <c r="DD125" i="4"/>
  <c r="AU228" i="23"/>
  <c r="CV125" i="4"/>
  <c r="AU264" i="23"/>
  <c r="EL125" i="4"/>
  <c r="AU63" i="24"/>
  <c r="CC125" i="4"/>
  <c r="AL186" i="23"/>
  <c r="V113" i="7"/>
  <c r="BL113" i="4"/>
  <c r="AL221" i="23"/>
  <c r="DC113" i="4"/>
  <c r="AL224" i="23"/>
  <c r="CZ113" i="4"/>
  <c r="AL66" i="24"/>
  <c r="BZ113" i="4"/>
  <c r="AB226" i="23"/>
  <c r="CX101" i="4"/>
  <c r="AB260" i="23"/>
  <c r="EP101" i="4"/>
  <c r="AB259" i="23"/>
  <c r="EQ101" i="4"/>
  <c r="AB64" i="24"/>
  <c r="CB101" i="4"/>
  <c r="BP76" i="7"/>
  <c r="G182" i="23"/>
  <c r="Z77" i="7"/>
  <c r="BP77" i="4"/>
  <c r="G184" i="23"/>
  <c r="BN76" i="7"/>
  <c r="X77" i="7"/>
  <c r="BN77" i="4"/>
  <c r="BO76" i="7"/>
  <c r="G183" i="23"/>
  <c r="Y77" i="7"/>
  <c r="BO77" i="4"/>
  <c r="G66" i="24"/>
  <c r="BZ77" i="4"/>
  <c r="BZ76" i="7"/>
  <c r="W65" i="7"/>
  <c r="BM65" i="4"/>
  <c r="BQ41" i="7"/>
  <c r="O41" i="7"/>
  <c r="BE41" i="4"/>
  <c r="BW41" i="4"/>
  <c r="DJ189" i="23"/>
  <c r="S208" i="7"/>
  <c r="BI208" i="4"/>
  <c r="DJ229" i="23"/>
  <c r="DG208" i="7"/>
  <c r="CU208" i="4"/>
  <c r="DJ193" i="23"/>
  <c r="BQ208" i="7"/>
  <c r="O208" i="7"/>
  <c r="BE208" i="4"/>
  <c r="DJ67" i="24"/>
  <c r="BY208" i="4"/>
  <c r="ER87" i="7"/>
  <c r="Q258" i="23"/>
  <c r="ER88" i="4"/>
  <c r="ER87" i="4" s="1"/>
  <c r="Q188" i="23"/>
  <c r="BJ87" i="7"/>
  <c r="T88" i="7"/>
  <c r="BJ88" i="4"/>
  <c r="EW88" i="7"/>
  <c r="Q265" i="23"/>
  <c r="EK87" i="7"/>
  <c r="EK88" i="4"/>
  <c r="EW16" i="7"/>
  <c r="EK16" i="4"/>
  <c r="EW16" i="4" s="1"/>
  <c r="AI254" i="23"/>
  <c r="EV110" i="4"/>
  <c r="AI189" i="23"/>
  <c r="S110" i="7"/>
  <c r="BI110" i="4"/>
  <c r="AI263" i="23"/>
  <c r="EM110" i="4"/>
  <c r="AI72" i="24"/>
  <c r="BT110" i="4"/>
  <c r="P257" i="23"/>
  <c r="ES86" i="4"/>
  <c r="P262" i="23"/>
  <c r="EN86" i="4"/>
  <c r="P223" i="23"/>
  <c r="DA86" i="4"/>
  <c r="P62" i="24"/>
  <c r="CD86" i="4"/>
  <c r="CM258" i="23"/>
  <c r="ER181" i="4"/>
  <c r="CM222" i="23"/>
  <c r="DB181" i="4"/>
  <c r="CM187" i="23"/>
  <c r="U181" i="7"/>
  <c r="BK181" i="4"/>
  <c r="CM62" i="24"/>
  <c r="CD181" i="4"/>
  <c r="BL222" i="23"/>
  <c r="DB145" i="4"/>
  <c r="BL261" i="23"/>
  <c r="EO145" i="4"/>
  <c r="BL224" i="23"/>
  <c r="CZ145" i="4"/>
  <c r="BL73" i="24"/>
  <c r="CE145" i="7"/>
  <c r="BS145" i="4"/>
  <c r="AH228" i="23"/>
  <c r="CV109" i="4"/>
  <c r="AH185" i="23"/>
  <c r="W109" i="7"/>
  <c r="BM109" i="4"/>
  <c r="AH259" i="23"/>
  <c r="EQ109" i="4"/>
  <c r="AH63" i="24"/>
  <c r="CC109" i="4"/>
  <c r="O258" i="23"/>
  <c r="ER85" i="4"/>
  <c r="O254" i="23"/>
  <c r="EV85" i="4"/>
  <c r="O219" i="23"/>
  <c r="DE85" i="4"/>
  <c r="O62" i="24"/>
  <c r="CD85" i="4"/>
  <c r="DP190" i="23"/>
  <c r="R216" i="7"/>
  <c r="BH216" i="4"/>
  <c r="DP257" i="23"/>
  <c r="ES216" i="4"/>
  <c r="DP255" i="23"/>
  <c r="EU216" i="4"/>
  <c r="DP66" i="24"/>
  <c r="BZ216" i="4"/>
  <c r="BA256" i="23"/>
  <c r="ET132" i="4"/>
  <c r="BA185" i="23"/>
  <c r="W132" i="7"/>
  <c r="BM132" i="4"/>
  <c r="BA229" i="23"/>
  <c r="DG132" i="7"/>
  <c r="CU132" i="4"/>
  <c r="BA67" i="24"/>
  <c r="BY132" i="4"/>
  <c r="N193" i="23"/>
  <c r="BQ84" i="7"/>
  <c r="O84" i="7"/>
  <c r="BE84" i="4"/>
  <c r="N226" i="23"/>
  <c r="CX84" i="4"/>
  <c r="N256" i="23"/>
  <c r="ET84" i="4"/>
  <c r="N68" i="24"/>
  <c r="BX84" i="4"/>
  <c r="BQ36" i="7"/>
  <c r="O36" i="7"/>
  <c r="BE36" i="4"/>
  <c r="U36" i="7"/>
  <c r="BK36" i="4"/>
  <c r="U36" i="4" s="1"/>
  <c r="U36" i="1" s="1"/>
  <c r="V36" i="7"/>
  <c r="BL36" i="4"/>
  <c r="V36" i="4" s="1"/>
  <c r="V36" i="1" s="1"/>
  <c r="EQ241" i="7"/>
  <c r="EB259" i="23" s="1"/>
  <c r="EQ242" i="4"/>
  <c r="EQ241" i="4" s="1"/>
  <c r="BG241" i="7"/>
  <c r="EB191" i="23" s="1"/>
  <c r="Q242" i="7"/>
  <c r="BG242" i="4"/>
  <c r="ET241" i="7"/>
  <c r="EB256" i="23" s="1"/>
  <c r="ET242" i="4"/>
  <c r="ET241" i="4" s="1"/>
  <c r="BV241" i="7"/>
  <c r="EB70" i="24" s="1"/>
  <c r="BV242" i="4"/>
  <c r="CU228" i="23"/>
  <c r="CV191" i="4"/>
  <c r="CU190" i="23"/>
  <c r="R191" i="7"/>
  <c r="BH191" i="4"/>
  <c r="CU192" i="23"/>
  <c r="P191" i="7"/>
  <c r="BF191" i="4"/>
  <c r="CU70" i="24"/>
  <c r="BV191" i="4"/>
  <c r="EJ191" i="7"/>
  <c r="DP191" i="7"/>
  <c r="DN191" i="7"/>
  <c r="DM191" i="7"/>
  <c r="DO191" i="7"/>
  <c r="DL191" i="7"/>
  <c r="DK191" i="7"/>
  <c r="DJ191" i="7"/>
  <c r="DT191" i="7"/>
  <c r="DS191" i="7"/>
  <c r="DR191" i="7"/>
  <c r="DH191" i="7" s="1"/>
  <c r="DQ191" i="7"/>
  <c r="DI191" i="7"/>
  <c r="CA183" i="23"/>
  <c r="Y167" i="7"/>
  <c r="BO167" i="4"/>
  <c r="CA192" i="23"/>
  <c r="P167" i="7"/>
  <c r="BF167" i="4"/>
  <c r="CA263" i="23"/>
  <c r="EM167" i="4"/>
  <c r="CA72" i="24"/>
  <c r="BT167" i="4"/>
  <c r="BJ186" i="23"/>
  <c r="V143" i="7"/>
  <c r="BL143" i="4"/>
  <c r="BJ191" i="23"/>
  <c r="Q143" i="7"/>
  <c r="BG143" i="4"/>
  <c r="BJ223" i="23"/>
  <c r="DA143" i="4"/>
  <c r="BJ62" i="24"/>
  <c r="CD143" i="4"/>
  <c r="V254" i="23"/>
  <c r="EV95" i="4"/>
  <c r="V261" i="23"/>
  <c r="EO95" i="4"/>
  <c r="V264" i="23"/>
  <c r="EL95" i="4"/>
  <c r="CE95" i="7"/>
  <c r="V73" i="24"/>
  <c r="BS95" i="4"/>
  <c r="CV7" i="4"/>
  <c r="X7" i="7"/>
  <c r="BN7" i="4"/>
  <c r="CZ7" i="4"/>
  <c r="BI229" i="23"/>
  <c r="DG142" i="7"/>
  <c r="CU142" i="4"/>
  <c r="BI184" i="23"/>
  <c r="X142" i="7"/>
  <c r="BN142" i="4"/>
  <c r="BI221" i="23"/>
  <c r="DC142" i="4"/>
  <c r="BI62" i="24"/>
  <c r="CD142" i="4"/>
  <c r="L192" i="23"/>
  <c r="P82" i="7"/>
  <c r="BF82" i="4"/>
  <c r="L229" i="23"/>
  <c r="DG82" i="7"/>
  <c r="CU82" i="4"/>
  <c r="L227" i="23"/>
  <c r="CW82" i="4"/>
  <c r="L64" i="24"/>
  <c r="CB82" i="4"/>
  <c r="Z34" i="7"/>
  <c r="BP34" i="4"/>
  <c r="Z34" i="4" s="1"/>
  <c r="Z34" i="1" s="1"/>
  <c r="CC34" i="4"/>
  <c r="DU225" i="23"/>
  <c r="CY225" i="4"/>
  <c r="DU261" i="23"/>
  <c r="EO225" i="4"/>
  <c r="DU183" i="23"/>
  <c r="Y225" i="7"/>
  <c r="BO225" i="4"/>
  <c r="DU72" i="24"/>
  <c r="BT225" i="4"/>
  <c r="DN228" i="23"/>
  <c r="CV213" i="4"/>
  <c r="DN265" i="23"/>
  <c r="EW213" i="7"/>
  <c r="EK213" i="4"/>
  <c r="DN189" i="23"/>
  <c r="S213" i="7"/>
  <c r="BI213" i="4"/>
  <c r="DN71" i="24"/>
  <c r="BU213" i="4"/>
  <c r="EJ213" i="7"/>
  <c r="DP213" i="7"/>
  <c r="DO213" i="7"/>
  <c r="DN213" i="7"/>
  <c r="DM213" i="7"/>
  <c r="DL213" i="7"/>
  <c r="DK213" i="7"/>
  <c r="DJ213" i="7"/>
  <c r="DT213" i="7"/>
  <c r="DS213" i="7"/>
  <c r="DR213" i="7"/>
  <c r="DH213" i="7" s="1"/>
  <c r="DQ213" i="7"/>
  <c r="DI213" i="7"/>
  <c r="DD259" i="23"/>
  <c r="EQ201" i="4"/>
  <c r="DD183" i="23"/>
  <c r="Y201" i="7"/>
  <c r="BO201" i="4"/>
  <c r="DD263" i="23"/>
  <c r="EM201" i="4"/>
  <c r="DD72" i="24"/>
  <c r="BT201" i="4"/>
  <c r="CS257" i="23"/>
  <c r="ES189" i="4"/>
  <c r="CS229" i="23"/>
  <c r="DG189" i="7"/>
  <c r="CU189" i="4"/>
  <c r="CS223" i="23"/>
  <c r="DA189" i="4"/>
  <c r="CS63" i="24"/>
  <c r="CC189" i="4"/>
  <c r="CJ256" i="23"/>
  <c r="ET177" i="4"/>
  <c r="CJ190" i="23"/>
  <c r="R177" i="7"/>
  <c r="BH177" i="4"/>
  <c r="CJ187" i="23"/>
  <c r="U177" i="7"/>
  <c r="BK177" i="4"/>
  <c r="CJ66" i="24"/>
  <c r="BZ177" i="4"/>
  <c r="BY265" i="23"/>
  <c r="EW165" i="7"/>
  <c r="EK164" i="7"/>
  <c r="EK165" i="4"/>
  <c r="BY221" i="23"/>
  <c r="DC164" i="7"/>
  <c r="DC165" i="4"/>
  <c r="EL164" i="7"/>
  <c r="BY264" i="23"/>
  <c r="EL165" i="4"/>
  <c r="BY65" i="24"/>
  <c r="CA165" i="4"/>
  <c r="CA164" i="7"/>
  <c r="BR222" i="23"/>
  <c r="DB153" i="4"/>
  <c r="BR225" i="23"/>
  <c r="CY153" i="4"/>
  <c r="BR224" i="23"/>
  <c r="CZ153" i="4"/>
  <c r="BR62" i="24"/>
  <c r="CD153" i="4"/>
  <c r="BH220" i="23"/>
  <c r="DD141" i="4"/>
  <c r="BH185" i="23"/>
  <c r="W141" i="7"/>
  <c r="BM141" i="4"/>
  <c r="BH225" i="23"/>
  <c r="CY141" i="4"/>
  <c r="BH64" i="24"/>
  <c r="CB141" i="4"/>
  <c r="BP116" i="7"/>
  <c r="AM182" i="23"/>
  <c r="Z117" i="7"/>
  <c r="BP117" i="4"/>
  <c r="DF116" i="7"/>
  <c r="AM218" i="23"/>
  <c r="DF117" i="4"/>
  <c r="BM116" i="7"/>
  <c r="AM185" i="23"/>
  <c r="W117" i="7"/>
  <c r="BM117" i="4"/>
  <c r="AM66" i="24"/>
  <c r="BZ117" i="4"/>
  <c r="BZ116" i="7"/>
  <c r="EV104" i="7"/>
  <c r="AD254" i="23"/>
  <c r="EV105" i="4"/>
  <c r="BM104" i="7"/>
  <c r="AD185" i="23"/>
  <c r="W105" i="7"/>
  <c r="BM105" i="4"/>
  <c r="ES104" i="7"/>
  <c r="AD257" i="23"/>
  <c r="ES105" i="4"/>
  <c r="AD70" i="24"/>
  <c r="BV105" i="4"/>
  <c r="BV104" i="7"/>
  <c r="T261" i="23"/>
  <c r="EO93" i="4"/>
  <c r="T189" i="23"/>
  <c r="S93" i="7"/>
  <c r="BI93" i="4"/>
  <c r="T185" i="23"/>
  <c r="W93" i="7"/>
  <c r="BM93" i="4"/>
  <c r="T67" i="24"/>
  <c r="BY93" i="4"/>
  <c r="K226" i="23"/>
  <c r="CX81" i="4"/>
  <c r="K188" i="23"/>
  <c r="T81" i="7"/>
  <c r="BJ81" i="4"/>
  <c r="K254" i="23"/>
  <c r="EV81" i="4"/>
  <c r="K69" i="24"/>
  <c r="BW81" i="4"/>
  <c r="R69" i="7"/>
  <c r="BH69" i="4"/>
  <c r="R69" i="4" s="1"/>
  <c r="R69" i="1" s="1"/>
  <c r="Z45" i="7"/>
  <c r="BP45" i="4"/>
  <c r="Z45" i="4" s="1"/>
  <c r="Z45" i="1" s="1"/>
  <c r="V45" i="7"/>
  <c r="BL45" i="4"/>
  <c r="V45" i="4" s="1"/>
  <c r="V45" i="1" s="1"/>
  <c r="BU45" i="4"/>
  <c r="EJ45" i="7"/>
  <c r="DP45" i="7"/>
  <c r="DP45" i="4" s="1"/>
  <c r="DL45" i="7"/>
  <c r="DL45" i="4" s="1"/>
  <c r="DK45" i="7"/>
  <c r="DK45" i="4" s="1"/>
  <c r="DO45" i="7"/>
  <c r="DO45" i="4" s="1"/>
  <c r="DN45" i="7"/>
  <c r="DM45" i="7"/>
  <c r="DJ45" i="7"/>
  <c r="DT45" i="7"/>
  <c r="DT45" i="4" s="1"/>
  <c r="DS45" i="7"/>
  <c r="DR45" i="7"/>
  <c r="DR45" i="4" s="1"/>
  <c r="DQ45" i="7"/>
  <c r="DQ45" i="4" s="1"/>
  <c r="DI45" i="7"/>
  <c r="BU33" i="4"/>
  <c r="T21" i="7"/>
  <c r="BJ21" i="4"/>
  <c r="T21" i="4" s="1"/>
  <c r="T21" i="1" s="1"/>
  <c r="BT259" i="23"/>
  <c r="EQ157" i="7"/>
  <c r="EQ158" i="4"/>
  <c r="BN157" i="7"/>
  <c r="BT184" i="23"/>
  <c r="X158" i="7"/>
  <c r="BN158" i="4"/>
  <c r="BT187" i="23"/>
  <c r="BK157" i="7"/>
  <c r="U158" i="7"/>
  <c r="BK158" i="4"/>
  <c r="CE158" i="7"/>
  <c r="BT73" i="24"/>
  <c r="BS158" i="4"/>
  <c r="BS157" i="7"/>
  <c r="DT254" i="23"/>
  <c r="EV223" i="7"/>
  <c r="EV224" i="4"/>
  <c r="DT184" i="23"/>
  <c r="BN223" i="7"/>
  <c r="BR223" i="7" s="1"/>
  <c r="X224" i="7"/>
  <c r="BN224" i="4"/>
  <c r="DT264" i="23"/>
  <c r="EL223" i="7"/>
  <c r="EL224" i="4"/>
  <c r="DT64" i="24"/>
  <c r="CB224" i="4"/>
  <c r="CB223" i="7"/>
  <c r="DM189" i="23"/>
  <c r="S212" i="7"/>
  <c r="BI212" i="4"/>
  <c r="DM265" i="23"/>
  <c r="EW212" i="7"/>
  <c r="EK212" i="4"/>
  <c r="DM224" i="23"/>
  <c r="CZ212" i="4"/>
  <c r="DM64" i="24"/>
  <c r="CB212" i="4"/>
  <c r="DC222" i="23"/>
  <c r="DB200" i="4"/>
  <c r="DC258" i="23"/>
  <c r="ER200" i="4"/>
  <c r="DC188" i="23"/>
  <c r="T200" i="7"/>
  <c r="BJ200" i="4"/>
  <c r="DC65" i="24"/>
  <c r="CA200" i="4"/>
  <c r="CR190" i="23"/>
  <c r="BH187" i="7"/>
  <c r="R188" i="7"/>
  <c r="BH188" i="4"/>
  <c r="CU187" i="7"/>
  <c r="CR229" i="23"/>
  <c r="DG188" i="7"/>
  <c r="CU188" i="4"/>
  <c r="EU187" i="7"/>
  <c r="CR255" i="23"/>
  <c r="EU188" i="4"/>
  <c r="CR65" i="24"/>
  <c r="CA187" i="7"/>
  <c r="CA188" i="4"/>
  <c r="CI259" i="23"/>
  <c r="EQ176" i="4"/>
  <c r="CI265" i="23"/>
  <c r="EW176" i="7"/>
  <c r="EK176" i="4"/>
  <c r="CI183" i="23"/>
  <c r="Y176" i="7"/>
  <c r="BO176" i="4"/>
  <c r="CI67" i="24"/>
  <c r="BY176" i="4"/>
  <c r="BQ192" i="23"/>
  <c r="P152" i="7"/>
  <c r="BF152" i="4"/>
  <c r="BQ257" i="23"/>
  <c r="ES152" i="4"/>
  <c r="BQ256" i="23"/>
  <c r="ET152" i="4"/>
  <c r="BQ68" i="24"/>
  <c r="BX152" i="4"/>
  <c r="BG255" i="23"/>
  <c r="EU140" i="4"/>
  <c r="BG229" i="23"/>
  <c r="DG140" i="7"/>
  <c r="CU140" i="4"/>
  <c r="BG186" i="23"/>
  <c r="V140" i="7"/>
  <c r="BL140" i="4"/>
  <c r="BG68" i="24"/>
  <c r="BX140" i="4"/>
  <c r="AX182" i="23"/>
  <c r="Z128" i="7"/>
  <c r="BP128" i="4"/>
  <c r="AX258" i="23"/>
  <c r="ER128" i="4"/>
  <c r="AX255" i="23"/>
  <c r="EU128" i="4"/>
  <c r="AX70" i="24"/>
  <c r="BV128" i="4"/>
  <c r="S265" i="23"/>
  <c r="EW92" i="7"/>
  <c r="EK92" i="4"/>
  <c r="S258" i="23"/>
  <c r="ER92" i="4"/>
  <c r="S260" i="23"/>
  <c r="EP92" i="4"/>
  <c r="S71" i="24"/>
  <c r="BU92" i="4"/>
  <c r="EJ92" i="7"/>
  <c r="DP92" i="7"/>
  <c r="DN92" i="7"/>
  <c r="DM92" i="7"/>
  <c r="DL92" i="7"/>
  <c r="DJ92" i="7"/>
  <c r="DO92" i="7"/>
  <c r="DK92" i="7"/>
  <c r="DQ92" i="7"/>
  <c r="DS92" i="7"/>
  <c r="DI92" i="7"/>
  <c r="DT92" i="7"/>
  <c r="DR92" i="7"/>
  <c r="DH92" i="7" s="1"/>
  <c r="J258" i="23"/>
  <c r="ER80" i="4"/>
  <c r="J255" i="23"/>
  <c r="EU80" i="4"/>
  <c r="J263" i="23"/>
  <c r="EM80" i="4"/>
  <c r="J72" i="24"/>
  <c r="BT80" i="4"/>
  <c r="T68" i="7"/>
  <c r="BJ68" i="4"/>
  <c r="T68" i="4" s="1"/>
  <c r="T68" i="1" s="1"/>
  <c r="R68" i="7"/>
  <c r="BH68" i="4"/>
  <c r="R68" i="4" s="1"/>
  <c r="R68" i="1" s="1"/>
  <c r="BZ44" i="4"/>
  <c r="CB88" i="7"/>
  <c r="BR88" i="7" s="1"/>
  <c r="CB32" i="4"/>
  <c r="R20" i="7"/>
  <c r="BH20" i="4"/>
  <c r="R20" i="4" s="1"/>
  <c r="R20" i="1" s="1"/>
  <c r="DQ185" i="23"/>
  <c r="BM219" i="7"/>
  <c r="W220" i="7"/>
  <c r="BM220" i="4"/>
  <c r="DQ225" i="23"/>
  <c r="CY219" i="7"/>
  <c r="CY220" i="4"/>
  <c r="DQ188" i="23"/>
  <c r="BJ219" i="7"/>
  <c r="T220" i="7"/>
  <c r="BJ220" i="4"/>
  <c r="BV182" i="23"/>
  <c r="Z160" i="7"/>
  <c r="BP160" i="4"/>
  <c r="BV222" i="23"/>
  <c r="DB160" i="4"/>
  <c r="BV265" i="23"/>
  <c r="EW160" i="7"/>
  <c r="EK160" i="4"/>
  <c r="BV66" i="24"/>
  <c r="BZ160" i="4"/>
  <c r="AA229" i="23"/>
  <c r="DG100" i="7"/>
  <c r="CU100" i="4"/>
  <c r="AA187" i="23"/>
  <c r="U100" i="7"/>
  <c r="BK100" i="4"/>
  <c r="AA186" i="23"/>
  <c r="V100" i="7"/>
  <c r="BL100" i="4"/>
  <c r="AA67" i="24"/>
  <c r="BY100" i="4"/>
  <c r="V64" i="7"/>
  <c r="BL64" i="4"/>
  <c r="V64" i="4" s="1"/>
  <c r="V64" i="1" s="1"/>
  <c r="S64" i="7"/>
  <c r="BI64" i="4"/>
  <c r="S64" i="4" s="1"/>
  <c r="S64" i="1" s="1"/>
  <c r="CN183" i="23"/>
  <c r="BO182" i="7"/>
  <c r="Y183" i="7"/>
  <c r="BO183" i="4"/>
  <c r="EV182" i="7"/>
  <c r="CN254" i="23"/>
  <c r="EV183" i="4"/>
  <c r="DC182" i="7"/>
  <c r="CN221" i="23"/>
  <c r="DC183" i="4"/>
  <c r="CN69" i="24"/>
  <c r="BW183" i="4"/>
  <c r="BW182" i="7"/>
  <c r="BU265" i="23"/>
  <c r="EW159" i="7"/>
  <c r="EK159" i="4"/>
  <c r="BU262" i="23"/>
  <c r="EN159" i="4"/>
  <c r="BU228" i="23"/>
  <c r="CV159" i="4"/>
  <c r="BU67" i="24"/>
  <c r="BY159" i="4"/>
  <c r="BC265" i="23"/>
  <c r="EW135" i="7"/>
  <c r="EK135" i="4"/>
  <c r="BC228" i="23"/>
  <c r="CV135" i="4"/>
  <c r="BC227" i="23"/>
  <c r="CW135" i="4"/>
  <c r="BC71" i="24"/>
  <c r="BU135" i="4"/>
  <c r="EJ135" i="7"/>
  <c r="DP135" i="7"/>
  <c r="DN135" i="7"/>
  <c r="DM135" i="7"/>
  <c r="DL135" i="7"/>
  <c r="DK135" i="7"/>
  <c r="DJ135" i="7"/>
  <c r="DO135" i="7"/>
  <c r="DQ135" i="7"/>
  <c r="DR135" i="7"/>
  <c r="DH135" i="7" s="1"/>
  <c r="DI135" i="7"/>
  <c r="DT135" i="7"/>
  <c r="DS135" i="7"/>
  <c r="AJ265" i="23"/>
  <c r="EW111" i="7"/>
  <c r="EK111" i="4"/>
  <c r="AJ226" i="23"/>
  <c r="CX111" i="4"/>
  <c r="AJ263" i="23"/>
  <c r="EM111" i="4"/>
  <c r="AJ72" i="24"/>
  <c r="BT111" i="4"/>
  <c r="EP54" i="7"/>
  <c r="EP51" i="4"/>
  <c r="EP54" i="4" s="1"/>
  <c r="EN54" i="7"/>
  <c r="EN51" i="4"/>
  <c r="EN54" i="4" s="1"/>
  <c r="DA54" i="7"/>
  <c r="DA51" i="4"/>
  <c r="DA54" i="4" s="1"/>
  <c r="R15" i="7"/>
  <c r="BH15" i="4"/>
  <c r="R15" i="4" s="1"/>
  <c r="R15" i="1" s="1"/>
  <c r="AR187" i="23"/>
  <c r="U122" i="7"/>
  <c r="BK122" i="4"/>
  <c r="AR259" i="23"/>
  <c r="EQ122" i="4"/>
  <c r="AR224" i="23"/>
  <c r="CZ122" i="4"/>
  <c r="AR62" i="24"/>
  <c r="CD122" i="4"/>
  <c r="BH13" i="7"/>
  <c r="BH6" i="7" s="1"/>
  <c r="R14" i="7"/>
  <c r="BH14" i="4"/>
  <c r="EW14" i="7"/>
  <c r="EK13" i="7"/>
  <c r="EK14" i="4"/>
  <c r="EO13" i="7"/>
  <c r="EO6" i="7" s="1"/>
  <c r="EO14" i="4"/>
  <c r="EO13" i="4" s="1"/>
  <c r="DX228" i="23"/>
  <c r="CV229" i="4"/>
  <c r="DX190" i="23"/>
  <c r="R229" i="7"/>
  <c r="BH229" i="4"/>
  <c r="DX188" i="23"/>
  <c r="T229" i="7"/>
  <c r="BJ229" i="4"/>
  <c r="DX67" i="24"/>
  <c r="BY229" i="4"/>
  <c r="BE60" i="7"/>
  <c r="BQ61" i="7"/>
  <c r="O61" i="7"/>
  <c r="BE61" i="4"/>
  <c r="DE60" i="7"/>
  <c r="DE61" i="4"/>
  <c r="DE60" i="4" s="1"/>
  <c r="EK60" i="7"/>
  <c r="EW61" i="7"/>
  <c r="EK61" i="4"/>
  <c r="CV192" i="23"/>
  <c r="P192" i="7"/>
  <c r="BF192" i="4"/>
  <c r="CV262" i="23"/>
  <c r="EN192" i="4"/>
  <c r="CV229" i="23"/>
  <c r="DG192" i="7"/>
  <c r="CU192" i="4"/>
  <c r="CV70" i="24"/>
  <c r="BV192" i="4"/>
  <c r="BK228" i="23"/>
  <c r="CV144" i="4"/>
  <c r="BK254" i="23"/>
  <c r="EV144" i="4"/>
  <c r="BK185" i="23"/>
  <c r="W144" i="7"/>
  <c r="BM144" i="4"/>
  <c r="BK69" i="24"/>
  <c r="BW144" i="4"/>
  <c r="AG182" i="23"/>
  <c r="Z108" i="7"/>
  <c r="BP108" i="4"/>
  <c r="AG220" i="23"/>
  <c r="DD108" i="4"/>
  <c r="AG187" i="23"/>
  <c r="U108" i="7"/>
  <c r="BK108" i="4"/>
  <c r="AG68" i="24"/>
  <c r="BX108" i="4"/>
  <c r="DF183" i="23"/>
  <c r="Y203" i="7"/>
  <c r="BO203" i="4"/>
  <c r="DF259" i="23"/>
  <c r="EQ203" i="4"/>
  <c r="DF254" i="23"/>
  <c r="EV203" i="4"/>
  <c r="DF70" i="24"/>
  <c r="BV203" i="4"/>
  <c r="DB178" i="7"/>
  <c r="CK222" i="23"/>
  <c r="DB179" i="4"/>
  <c r="CK183" i="23"/>
  <c r="BO178" i="7"/>
  <c r="Y179" i="7"/>
  <c r="BO179" i="4"/>
  <c r="CK265" i="23"/>
  <c r="EW179" i="7"/>
  <c r="EK178" i="7"/>
  <c r="EK179" i="4"/>
  <c r="CK71" i="24"/>
  <c r="BU178" i="7"/>
  <c r="BU179" i="4"/>
  <c r="EJ179" i="7"/>
  <c r="DP179" i="7"/>
  <c r="DN179" i="7"/>
  <c r="DK179" i="7"/>
  <c r="DO179" i="7"/>
  <c r="DM179" i="7"/>
  <c r="DL179" i="7"/>
  <c r="DJ179" i="7"/>
  <c r="DI179" i="7"/>
  <c r="DT179" i="7"/>
  <c r="DS179" i="7"/>
  <c r="DR179" i="7"/>
  <c r="DH179" i="7" s="1"/>
  <c r="DQ179" i="7"/>
  <c r="AF228" i="23"/>
  <c r="CV107" i="4"/>
  <c r="AF184" i="23"/>
  <c r="X107" i="7"/>
  <c r="BN107" i="4"/>
  <c r="AF263" i="23"/>
  <c r="EM107" i="4"/>
  <c r="AF72" i="24"/>
  <c r="BT107" i="4"/>
  <c r="DV259" i="23"/>
  <c r="EQ226" i="4"/>
  <c r="DV256" i="23"/>
  <c r="ET226" i="4"/>
  <c r="DV223" i="23"/>
  <c r="DA226" i="4"/>
  <c r="DV65" i="24"/>
  <c r="CA226" i="4"/>
  <c r="DE229" i="23"/>
  <c r="DG202" i="7"/>
  <c r="CU202" i="4"/>
  <c r="DE190" i="23"/>
  <c r="R202" i="7"/>
  <c r="BH202" i="4"/>
  <c r="DE187" i="23"/>
  <c r="U202" i="7"/>
  <c r="BK202" i="4"/>
  <c r="DE73" i="24"/>
  <c r="CE202" i="7"/>
  <c r="BS202" i="4"/>
  <c r="AE260" i="23"/>
  <c r="EP106" i="4"/>
  <c r="AE222" i="23"/>
  <c r="DB106" i="4"/>
  <c r="AE224" i="23"/>
  <c r="CZ106" i="4"/>
  <c r="AE65" i="24"/>
  <c r="CA106" i="4"/>
  <c r="DL227" i="23"/>
  <c r="CW211" i="4"/>
  <c r="DL220" i="23"/>
  <c r="DD211" i="4"/>
  <c r="DL224" i="23"/>
  <c r="CZ211" i="4"/>
  <c r="DL64" i="24"/>
  <c r="CB211" i="4"/>
  <c r="DB228" i="23"/>
  <c r="CV199" i="4"/>
  <c r="DB184" i="23"/>
  <c r="X199" i="7"/>
  <c r="BN199" i="4"/>
  <c r="DB188" i="23"/>
  <c r="T199" i="7"/>
  <c r="BJ199" i="4"/>
  <c r="DB65" i="24"/>
  <c r="CA199" i="4"/>
  <c r="CH218" i="23"/>
  <c r="DF175" i="4"/>
  <c r="CH193" i="23"/>
  <c r="BQ175" i="7"/>
  <c r="O175" i="7"/>
  <c r="BE175" i="4"/>
  <c r="CH265" i="23"/>
  <c r="EW175" i="7"/>
  <c r="EK175" i="4"/>
  <c r="CH66" i="24"/>
  <c r="BZ175" i="4"/>
  <c r="BP150" i="7"/>
  <c r="BP182" i="23"/>
  <c r="Z151" i="7"/>
  <c r="BP151" i="4"/>
  <c r="BN150" i="7"/>
  <c r="BP184" i="23"/>
  <c r="X151" i="7"/>
  <c r="BN151" i="4"/>
  <c r="BP185" i="23"/>
  <c r="BM150" i="7"/>
  <c r="W151" i="7"/>
  <c r="BM151" i="4"/>
  <c r="BP68" i="24"/>
  <c r="BX151" i="4"/>
  <c r="BX150" i="7"/>
  <c r="BP138" i="7"/>
  <c r="BF182" i="23"/>
  <c r="Z139" i="7"/>
  <c r="BP139" i="4"/>
  <c r="DB138" i="7"/>
  <c r="BF222" i="23"/>
  <c r="DB139" i="4"/>
  <c r="BF190" i="23"/>
  <c r="BH138" i="7"/>
  <c r="R139" i="7"/>
  <c r="BH139" i="4"/>
  <c r="BF67" i="24"/>
  <c r="BY139" i="4"/>
  <c r="BY138" i="7"/>
  <c r="AW192" i="23"/>
  <c r="P127" i="7"/>
  <c r="BF127" i="4"/>
  <c r="AW187" i="23"/>
  <c r="U127" i="7"/>
  <c r="BK127" i="4"/>
  <c r="AW186" i="23"/>
  <c r="V127" i="7"/>
  <c r="BL127" i="4"/>
  <c r="AW71" i="24"/>
  <c r="BU127" i="4"/>
  <c r="R192" i="23"/>
  <c r="BF90" i="7"/>
  <c r="P91" i="7"/>
  <c r="BF91" i="4"/>
  <c r="EO90" i="7"/>
  <c r="R261" i="23"/>
  <c r="EO91" i="4"/>
  <c r="R258" i="23"/>
  <c r="ER90" i="7"/>
  <c r="ER91" i="4"/>
  <c r="R71" i="24"/>
  <c r="BU91" i="4"/>
  <c r="BU90" i="7"/>
  <c r="I193" i="23"/>
  <c r="BQ79" i="7"/>
  <c r="O79" i="7"/>
  <c r="BE79" i="4"/>
  <c r="I257" i="23"/>
  <c r="ES79" i="4"/>
  <c r="I258" i="23"/>
  <c r="ER79" i="4"/>
  <c r="I70" i="24"/>
  <c r="BV79" i="4"/>
  <c r="EJ79" i="7"/>
  <c r="DP79" i="7"/>
  <c r="DK79" i="7"/>
  <c r="DO79" i="7"/>
  <c r="DN79" i="7"/>
  <c r="DM79" i="7"/>
  <c r="DL79" i="7"/>
  <c r="DJ79" i="7"/>
  <c r="DR79" i="7"/>
  <c r="DH79" i="7" s="1"/>
  <c r="DQ79" i="7"/>
  <c r="DI79" i="7"/>
  <c r="DT79" i="7"/>
  <c r="DS79" i="7"/>
  <c r="CX57" i="7"/>
  <c r="CX55" i="4"/>
  <c r="CX57" i="4" s="1"/>
  <c r="DD57" i="7"/>
  <c r="DH57" i="7" s="1"/>
  <c r="DD55" i="4"/>
  <c r="DD57" i="4" s="1"/>
  <c r="DA57" i="7"/>
  <c r="DA55" i="4"/>
  <c r="DA57" i="4" s="1"/>
  <c r="EP29" i="7"/>
  <c r="EP31" i="4"/>
  <c r="EP29" i="4" s="1"/>
  <c r="EK29" i="7"/>
  <c r="EW31" i="7"/>
  <c r="EK31" i="4"/>
  <c r="EL29" i="7"/>
  <c r="EL31" i="4"/>
  <c r="EL29" i="4" s="1"/>
  <c r="BT31" i="4"/>
  <c r="BT29" i="7"/>
  <c r="R19" i="7"/>
  <c r="BH19" i="4"/>
  <c r="R19" i="4" s="1"/>
  <c r="R19" i="1" s="1"/>
  <c r="CO256" i="23"/>
  <c r="ET184" i="4"/>
  <c r="CO219" i="23"/>
  <c r="DE184" i="4"/>
  <c r="CO224" i="23"/>
  <c r="CZ184" i="4"/>
  <c r="CO64" i="24"/>
  <c r="CB184" i="4"/>
  <c r="AT258" i="23"/>
  <c r="ER124" i="4"/>
  <c r="AT184" i="23"/>
  <c r="X124" i="7"/>
  <c r="BN124" i="4"/>
  <c r="AT229" i="23"/>
  <c r="DG124" i="7"/>
  <c r="CU124" i="4"/>
  <c r="AT65" i="24"/>
  <c r="CA124" i="4"/>
  <c r="DI255" i="23"/>
  <c r="EU207" i="4"/>
  <c r="DI229" i="23"/>
  <c r="DG207" i="7"/>
  <c r="CU207" i="4"/>
  <c r="DI257" i="23"/>
  <c r="ES207" i="4"/>
  <c r="DI66" i="24"/>
  <c r="BZ207" i="4"/>
  <c r="EU146" i="7"/>
  <c r="BM255" i="23"/>
  <c r="EU147" i="4"/>
  <c r="EP146" i="7"/>
  <c r="BM260" i="23"/>
  <c r="EP147" i="4"/>
  <c r="BM259" i="23"/>
  <c r="EQ146" i="7"/>
  <c r="EQ147" i="4"/>
  <c r="BM69" i="24"/>
  <c r="BW147" i="4"/>
  <c r="BW146" i="7"/>
  <c r="Z193" i="23"/>
  <c r="BQ99" i="7"/>
  <c r="O99" i="7"/>
  <c r="BE99" i="4"/>
  <c r="Z184" i="23"/>
  <c r="X99" i="7"/>
  <c r="BN99" i="4"/>
  <c r="Z185" i="23"/>
  <c r="W99" i="7"/>
  <c r="BM99" i="4"/>
  <c r="Z71" i="24"/>
  <c r="BU99" i="4"/>
  <c r="DD38" i="7"/>
  <c r="DD39" i="4"/>
  <c r="EO38" i="7"/>
  <c r="F261" i="23" s="1"/>
  <c r="EO39" i="4"/>
  <c r="EO38" i="4" s="1"/>
  <c r="EP38" i="7"/>
  <c r="F260" i="23" s="1"/>
  <c r="EP39" i="4"/>
  <c r="EP38" i="4" s="1"/>
  <c r="BV38" i="7"/>
  <c r="F70" i="24" s="1"/>
  <c r="BV39" i="4"/>
  <c r="R245" i="7"/>
  <c r="BH245" i="4"/>
  <c r="R245" i="4" s="1"/>
  <c r="R245" i="1" s="1"/>
  <c r="W245" i="7"/>
  <c r="BM245" i="4"/>
  <c r="CE245" i="7"/>
  <c r="BS245" i="4"/>
  <c r="EJ245" i="7"/>
  <c r="DN245" i="7"/>
  <c r="DN245" i="4" s="1"/>
  <c r="DM245" i="7"/>
  <c r="DM245" i="4" s="1"/>
  <c r="DL245" i="7"/>
  <c r="DL245" i="4" s="1"/>
  <c r="DK245" i="7"/>
  <c r="DK245" i="4" s="1"/>
  <c r="DJ245" i="7"/>
  <c r="DJ245" i="4" s="1"/>
  <c r="DI245" i="7"/>
  <c r="DT245" i="7"/>
  <c r="DP245" i="7"/>
  <c r="DP245" i="4" s="1"/>
  <c r="DS245" i="7"/>
  <c r="DR245" i="7"/>
  <c r="DR245" i="4" s="1"/>
  <c r="DO245" i="7"/>
  <c r="DO245" i="4" s="1"/>
  <c r="DQ245" i="7"/>
  <c r="DQ245" i="4" s="1"/>
  <c r="DE205" i="7"/>
  <c r="DH219" i="23"/>
  <c r="DE206" i="4"/>
  <c r="DH260" i="23"/>
  <c r="EP205" i="7"/>
  <c r="EP206" i="4"/>
  <c r="DH263" i="23"/>
  <c r="EM205" i="7"/>
  <c r="EM206" i="4"/>
  <c r="DH72" i="24"/>
  <c r="BT206" i="4"/>
  <c r="BT205" i="7"/>
  <c r="CC256" i="23"/>
  <c r="ET169" i="4"/>
  <c r="CC226" i="23"/>
  <c r="CX169" i="4"/>
  <c r="CC223" i="23"/>
  <c r="DA169" i="4"/>
  <c r="CC62" i="24"/>
  <c r="CD169" i="4"/>
  <c r="AQ257" i="23"/>
  <c r="ES121" i="4"/>
  <c r="AQ255" i="23"/>
  <c r="EU121" i="4"/>
  <c r="AQ264" i="23"/>
  <c r="EL121" i="4"/>
  <c r="AQ63" i="24"/>
  <c r="CC121" i="4"/>
  <c r="X218" i="23"/>
  <c r="DF97" i="4"/>
  <c r="X190" i="23"/>
  <c r="R97" i="7"/>
  <c r="BH97" i="4"/>
  <c r="X224" i="23"/>
  <c r="CZ97" i="4"/>
  <c r="X62" i="24"/>
  <c r="CD97" i="4"/>
  <c r="CC243" i="4"/>
  <c r="DG226" i="23"/>
  <c r="CX204" i="4"/>
  <c r="DG184" i="23"/>
  <c r="X204" i="7"/>
  <c r="BN204" i="4"/>
  <c r="DG188" i="23"/>
  <c r="T204" i="7"/>
  <c r="BJ204" i="4"/>
  <c r="DG65" i="24"/>
  <c r="CA204" i="4"/>
  <c r="CB182" i="23"/>
  <c r="Z168" i="7"/>
  <c r="BP168" i="4"/>
  <c r="CB221" i="23"/>
  <c r="DC168" i="4"/>
  <c r="CB265" i="23"/>
  <c r="EW168" i="7"/>
  <c r="EK168" i="4"/>
  <c r="CB66" i="24"/>
  <c r="BZ168" i="4"/>
  <c r="AP254" i="23"/>
  <c r="EV120" i="4"/>
  <c r="AP256" i="23"/>
  <c r="ET120" i="4"/>
  <c r="AP257" i="23"/>
  <c r="ES120" i="4"/>
  <c r="AP70" i="24"/>
  <c r="BV120" i="4"/>
  <c r="W255" i="23"/>
  <c r="EU96" i="4"/>
  <c r="W188" i="23"/>
  <c r="T96" i="7"/>
  <c r="BJ96" i="4"/>
  <c r="W260" i="23"/>
  <c r="EP96" i="4"/>
  <c r="W68" i="24"/>
  <c r="BX96" i="4"/>
  <c r="BE27" i="7"/>
  <c r="BQ24" i="7"/>
  <c r="O24" i="7"/>
  <c r="BE24" i="4"/>
  <c r="EU27" i="7"/>
  <c r="EU24" i="4"/>
  <c r="EU27" i="4" s="1"/>
  <c r="BI27" i="7"/>
  <c r="S24" i="7"/>
  <c r="BI24" i="4"/>
  <c r="EU214" i="7"/>
  <c r="DO255" i="23"/>
  <c r="EU215" i="4"/>
  <c r="EU214" i="4" s="1"/>
  <c r="EV214" i="7"/>
  <c r="DO254" i="23"/>
  <c r="EV215" i="4"/>
  <c r="DO218" i="23"/>
  <c r="DF214" i="7"/>
  <c r="DF215" i="4"/>
  <c r="DO69" i="24"/>
  <c r="BW215" i="4"/>
  <c r="BW214" i="7"/>
  <c r="AZ192" i="23"/>
  <c r="P131" i="7"/>
  <c r="BF131" i="4"/>
  <c r="AZ256" i="23"/>
  <c r="ET131" i="4"/>
  <c r="AZ190" i="23"/>
  <c r="R131" i="7"/>
  <c r="BH131" i="4"/>
  <c r="AZ71" i="24"/>
  <c r="BU131" i="4"/>
  <c r="EJ131" i="7"/>
  <c r="DP131" i="7"/>
  <c r="DO131" i="7"/>
  <c r="DN131" i="7"/>
  <c r="DM131" i="7"/>
  <c r="DL131" i="7"/>
  <c r="DK131" i="7"/>
  <c r="DJ131" i="7"/>
  <c r="DT131" i="7"/>
  <c r="DR131" i="7"/>
  <c r="DH131" i="7" s="1"/>
  <c r="DQ131" i="7"/>
  <c r="DS131" i="7"/>
  <c r="DI131" i="7"/>
  <c r="M262" i="23"/>
  <c r="EN83" i="4"/>
  <c r="M229" i="23"/>
  <c r="DG83" i="7"/>
  <c r="CU83" i="4"/>
  <c r="M263" i="23"/>
  <c r="EM83" i="4"/>
  <c r="M72" i="24"/>
  <c r="BT83" i="4"/>
  <c r="EW35" i="7"/>
  <c r="EK35" i="4"/>
  <c r="S35" i="7"/>
  <c r="BI35" i="4"/>
  <c r="S35" i="4" s="1"/>
  <c r="S35" i="1" s="1"/>
  <c r="CT191" i="23"/>
  <c r="Q190" i="7"/>
  <c r="BG190" i="4"/>
  <c r="CT192" i="23"/>
  <c r="P190" i="7"/>
  <c r="BF190" i="4"/>
  <c r="CT187" i="23"/>
  <c r="U190" i="7"/>
  <c r="BK190" i="4"/>
  <c r="CT63" i="24"/>
  <c r="CC190" i="4"/>
  <c r="BZ218" i="23"/>
  <c r="DF166" i="4"/>
  <c r="BZ185" i="23"/>
  <c r="W166" i="7"/>
  <c r="BM166" i="4"/>
  <c r="BZ264" i="23"/>
  <c r="EL166" i="4"/>
  <c r="BZ73" i="24"/>
  <c r="CE166" i="7"/>
  <c r="BS166" i="4"/>
  <c r="BS226" i="23"/>
  <c r="CX154" i="4"/>
  <c r="BS182" i="23"/>
  <c r="Z154" i="7"/>
  <c r="BP154" i="4"/>
  <c r="BS224" i="23"/>
  <c r="CZ154" i="4"/>
  <c r="CE154" i="7"/>
  <c r="BS73" i="24"/>
  <c r="BS154" i="4"/>
  <c r="AN182" i="23"/>
  <c r="Z118" i="7"/>
  <c r="BP118" i="4"/>
  <c r="AN187" i="23"/>
  <c r="U118" i="7"/>
  <c r="BK118" i="4"/>
  <c r="AN229" i="23"/>
  <c r="DG118" i="7"/>
  <c r="CU118" i="4"/>
  <c r="AN63" i="24"/>
  <c r="CC118" i="4"/>
  <c r="U260" i="23"/>
  <c r="EP94" i="4"/>
  <c r="U184" i="23"/>
  <c r="X94" i="7"/>
  <c r="BN94" i="4"/>
  <c r="U265" i="23"/>
  <c r="EW94" i="7"/>
  <c r="EK94" i="4"/>
  <c r="U63" i="24"/>
  <c r="CC94" i="4"/>
  <c r="P46" i="7"/>
  <c r="BF46" i="4"/>
  <c r="P46" i="4" s="1"/>
  <c r="P46" i="1" s="1"/>
  <c r="BV46" i="4"/>
  <c r="DS259" i="23"/>
  <c r="EQ222" i="4"/>
  <c r="DS190" i="23"/>
  <c r="R222" i="7"/>
  <c r="BH222" i="4"/>
  <c r="DS186" i="23"/>
  <c r="V222" i="7"/>
  <c r="BL222" i="4"/>
  <c r="BM209" i="7"/>
  <c r="DK185" i="23"/>
  <c r="W210" i="7"/>
  <c r="BM210" i="4"/>
  <c r="DK259" i="23"/>
  <c r="EQ209" i="7"/>
  <c r="EQ210" i="4"/>
  <c r="DK227" i="23"/>
  <c r="CW209" i="7"/>
  <c r="CW210" i="4"/>
  <c r="DK69" i="24"/>
  <c r="BW210" i="4"/>
  <c r="BW209" i="7"/>
  <c r="DA259" i="23"/>
  <c r="EQ198" i="4"/>
  <c r="DA258" i="23"/>
  <c r="ER198" i="4"/>
  <c r="DA186" i="23"/>
  <c r="V198" i="7"/>
  <c r="BL198" i="4"/>
  <c r="DA69" i="24"/>
  <c r="BW198" i="4"/>
  <c r="CQ226" i="23"/>
  <c r="CX186" i="4"/>
  <c r="CQ262" i="23"/>
  <c r="EN186" i="4"/>
  <c r="CQ185" i="23"/>
  <c r="W186" i="7"/>
  <c r="BM186" i="4"/>
  <c r="CQ70" i="24"/>
  <c r="BV186" i="4"/>
  <c r="EJ186" i="7"/>
  <c r="DP186" i="7"/>
  <c r="DN186" i="7"/>
  <c r="DJ186" i="7"/>
  <c r="DO186" i="7"/>
  <c r="DM186" i="7"/>
  <c r="DL186" i="7"/>
  <c r="DK186" i="7"/>
  <c r="DQ186" i="7"/>
  <c r="DT186" i="7"/>
  <c r="DS186" i="7"/>
  <c r="DR186" i="7"/>
  <c r="DH186" i="7" s="1"/>
  <c r="DI186" i="7"/>
  <c r="CG258" i="23"/>
  <c r="ER174" i="4"/>
  <c r="CG259" i="23"/>
  <c r="EQ174" i="4"/>
  <c r="CG263" i="23"/>
  <c r="EM174" i="4"/>
  <c r="CG72" i="24"/>
  <c r="BT174" i="4"/>
  <c r="BX265" i="23"/>
  <c r="EW162" i="7"/>
  <c r="EK162" i="4"/>
  <c r="BX260" i="23"/>
  <c r="EP162" i="4"/>
  <c r="BX223" i="23"/>
  <c r="DA162" i="4"/>
  <c r="CE162" i="7"/>
  <c r="BX73" i="24"/>
  <c r="BS162" i="4"/>
  <c r="AV265" i="23"/>
  <c r="EW126" i="7"/>
  <c r="EK126" i="4"/>
  <c r="AV219" i="23"/>
  <c r="DE126" i="4"/>
  <c r="AV264" i="23"/>
  <c r="EL126" i="4"/>
  <c r="AV62" i="24"/>
  <c r="CD126" i="4"/>
  <c r="AC220" i="23"/>
  <c r="DD102" i="4"/>
  <c r="AC259" i="23"/>
  <c r="EQ102" i="4"/>
  <c r="AC224" i="23"/>
  <c r="CZ102" i="4"/>
  <c r="AC64" i="24"/>
  <c r="CB102" i="4"/>
  <c r="H262" i="23"/>
  <c r="EN78" i="4"/>
  <c r="H256" i="23"/>
  <c r="ET78" i="4"/>
  <c r="H221" i="23"/>
  <c r="DC78" i="4"/>
  <c r="CE78" i="7"/>
  <c r="H73" i="24"/>
  <c r="BS78" i="4"/>
  <c r="W66" i="7"/>
  <c r="BM66" i="4"/>
  <c r="DG42" i="7"/>
  <c r="CU42" i="4"/>
  <c r="W42" i="7"/>
  <c r="BM42" i="4"/>
  <c r="BZ42" i="4"/>
  <c r="BZ30" i="4"/>
  <c r="R247" i="7"/>
  <c r="BH247" i="4"/>
  <c r="R247" i="4" s="1"/>
  <c r="R247" i="1" s="1"/>
  <c r="W247" i="7"/>
  <c r="BM247" i="4"/>
  <c r="CE247" i="7"/>
  <c r="BS247" i="4"/>
  <c r="CY219" i="23"/>
  <c r="DE196" i="4"/>
  <c r="CY260" i="23"/>
  <c r="EP196" i="4"/>
  <c r="CY226" i="23"/>
  <c r="CX196" i="4"/>
  <c r="CY68" i="24"/>
  <c r="BX196" i="4"/>
  <c r="BN182" i="23"/>
  <c r="Z148" i="7"/>
  <c r="BP148" i="4"/>
  <c r="BN229" i="23"/>
  <c r="DG148" i="7"/>
  <c r="CU148" i="4"/>
  <c r="BN186" i="23"/>
  <c r="V148" i="7"/>
  <c r="BL148" i="4"/>
  <c r="BN67" i="24"/>
  <c r="BY148" i="4"/>
  <c r="BD193" i="23"/>
  <c r="BQ136" i="7"/>
  <c r="O136" i="7"/>
  <c r="BE136" i="4"/>
  <c r="BD260" i="23"/>
  <c r="EP136" i="4"/>
  <c r="BD229" i="23"/>
  <c r="DG136" i="7"/>
  <c r="CU136" i="4"/>
  <c r="BD71" i="24"/>
  <c r="BU136" i="4"/>
  <c r="EJ136" i="7"/>
  <c r="DP136" i="7"/>
  <c r="DN136" i="7"/>
  <c r="DO136" i="7"/>
  <c r="DM136" i="7"/>
  <c r="DL136" i="7"/>
  <c r="DK136" i="7"/>
  <c r="DJ136" i="7"/>
  <c r="DS136" i="7"/>
  <c r="DI136" i="7"/>
  <c r="DT136" i="7"/>
  <c r="DR136" i="7"/>
  <c r="DH136" i="7" s="1"/>
  <c r="DQ136" i="7"/>
  <c r="AK262" i="23"/>
  <c r="EN112" i="4"/>
  <c r="AK259" i="23"/>
  <c r="EQ112" i="4"/>
  <c r="AK263" i="23"/>
  <c r="EM112" i="4"/>
  <c r="AK72" i="24"/>
  <c r="BT112" i="4"/>
  <c r="S40" i="7"/>
  <c r="BI40" i="4"/>
  <c r="S40" i="4" s="1"/>
  <c r="S40" i="1" s="1"/>
  <c r="CD40" i="4"/>
  <c r="U246" i="7"/>
  <c r="BK246" i="4"/>
  <c r="U246" i="4" s="1"/>
  <c r="U246" i="1" s="1"/>
  <c r="BY246" i="4"/>
  <c r="CX262" i="23"/>
  <c r="EN195" i="4"/>
  <c r="CX256" i="23"/>
  <c r="ET195" i="4"/>
  <c r="CX264" i="23"/>
  <c r="EL195" i="4"/>
  <c r="CX62" i="24"/>
  <c r="CD195" i="4"/>
  <c r="CE222" i="23"/>
  <c r="DB171" i="4"/>
  <c r="CE259" i="23"/>
  <c r="EQ171" i="4"/>
  <c r="CE224" i="23"/>
  <c r="CZ171" i="4"/>
  <c r="CE64" i="24"/>
  <c r="CB171" i="4"/>
  <c r="AS182" i="23"/>
  <c r="Z123" i="7"/>
  <c r="BP123" i="4"/>
  <c r="AS226" i="23"/>
  <c r="CX123" i="4"/>
  <c r="AS183" i="23"/>
  <c r="Y123" i="7"/>
  <c r="BO123" i="4"/>
  <c r="CE123" i="7"/>
  <c r="AS73" i="24"/>
  <c r="BS123" i="4"/>
  <c r="BG193" i="7"/>
  <c r="CW191" i="23"/>
  <c r="Q194" i="7"/>
  <c r="BG194" i="4"/>
  <c r="CW265" i="23"/>
  <c r="EW194" i="7"/>
  <c r="EK193" i="7"/>
  <c r="EK194" i="4"/>
  <c r="ES193" i="7"/>
  <c r="CW257" i="23"/>
  <c r="ES194" i="4"/>
  <c r="CW66" i="24"/>
  <c r="BZ194" i="4"/>
  <c r="BZ193" i="7"/>
  <c r="CD258" i="23"/>
  <c r="ER170" i="4"/>
  <c r="CD184" i="23"/>
  <c r="X170" i="7"/>
  <c r="BN170" i="4"/>
  <c r="CD229" i="23"/>
  <c r="DG170" i="7"/>
  <c r="CU170" i="4"/>
  <c r="CD71" i="24"/>
  <c r="BU170" i="4"/>
  <c r="BQ134" i="7"/>
  <c r="BE133" i="7"/>
  <c r="BB193" i="23"/>
  <c r="O134" i="7"/>
  <c r="BE134" i="4"/>
  <c r="BB259" i="23"/>
  <c r="EQ133" i="7"/>
  <c r="EQ134" i="4"/>
  <c r="BB258" i="23"/>
  <c r="ER133" i="7"/>
  <c r="ER134" i="4"/>
  <c r="BB71" i="24"/>
  <c r="BU134" i="4"/>
  <c r="BU133" i="7"/>
  <c r="Y219" i="23"/>
  <c r="DE98" i="4"/>
  <c r="Y261" i="23"/>
  <c r="EO98" i="4"/>
  <c r="Y260" i="23"/>
  <c r="EP98" i="4"/>
  <c r="Y70" i="24"/>
  <c r="BV98" i="4"/>
  <c r="BV62" i="4"/>
  <c r="BV60" i="7"/>
  <c r="Q26" i="7"/>
  <c r="BG26" i="4"/>
  <c r="Q26" i="4" s="1"/>
  <c r="Q26" i="1" s="1"/>
  <c r="EW26" i="7"/>
  <c r="EK26" i="4"/>
  <c r="EW26" i="4" s="1"/>
  <c r="CD244" i="4"/>
  <c r="R25" i="7"/>
  <c r="BH25" i="4"/>
  <c r="R25" i="4" s="1"/>
  <c r="R25" i="1" s="1"/>
  <c r="S25" i="7"/>
  <c r="BI25" i="4"/>
  <c r="S25" i="4" s="1"/>
  <c r="S25" i="1" s="1"/>
  <c r="BE227" i="7"/>
  <c r="DW193" i="23"/>
  <c r="BQ228" i="7"/>
  <c r="O228" i="7"/>
  <c r="BE228" i="4"/>
  <c r="DW254" i="23"/>
  <c r="EV227" i="7"/>
  <c r="EV228" i="4"/>
  <c r="DW187" i="23"/>
  <c r="BK227" i="7"/>
  <c r="U228" i="7"/>
  <c r="BK228" i="4"/>
  <c r="DW63" i="24"/>
  <c r="CC227" i="7"/>
  <c r="CC228" i="4"/>
  <c r="CL182" i="23"/>
  <c r="Z180" i="7"/>
  <c r="BP180" i="4"/>
  <c r="CL265" i="23"/>
  <c r="EW180" i="7"/>
  <c r="EK180" i="4"/>
  <c r="CL264" i="23"/>
  <c r="EL180" i="4"/>
  <c r="CE180" i="7"/>
  <c r="CL73" i="24"/>
  <c r="BS180" i="4"/>
  <c r="AO226" i="23"/>
  <c r="CX119" i="4"/>
  <c r="AO228" i="23"/>
  <c r="CV119" i="4"/>
  <c r="AO257" i="23"/>
  <c r="ES119" i="4"/>
  <c r="AO64" i="24"/>
  <c r="CB119" i="4"/>
  <c r="BP129" i="7"/>
  <c r="AY182" i="23"/>
  <c r="Z130" i="7"/>
  <c r="BP130" i="4"/>
  <c r="AY218" i="23"/>
  <c r="DF129" i="7"/>
  <c r="DF130" i="4"/>
  <c r="BO129" i="7"/>
  <c r="AY183" i="23"/>
  <c r="Y130" i="7"/>
  <c r="BO130" i="4"/>
  <c r="AY66" i="24"/>
  <c r="BZ130" i="4"/>
  <c r="BZ129" i="7"/>
  <c r="DR261" i="23"/>
  <c r="EO221" i="4"/>
  <c r="DR225" i="23"/>
  <c r="CY221" i="4"/>
  <c r="DR265" i="23"/>
  <c r="EW221" i="7"/>
  <c r="EK221" i="4"/>
  <c r="CZ262" i="23"/>
  <c r="EN197" i="4"/>
  <c r="CZ222" i="23"/>
  <c r="DB197" i="4"/>
  <c r="CZ219" i="23"/>
  <c r="DE197" i="4"/>
  <c r="CZ68" i="24"/>
  <c r="BX197" i="4"/>
  <c r="CP258" i="23"/>
  <c r="ER185" i="4"/>
  <c r="CP220" i="23"/>
  <c r="DD185" i="4"/>
  <c r="CP183" i="23"/>
  <c r="Y185" i="7"/>
  <c r="BO185" i="4"/>
  <c r="CP68" i="24"/>
  <c r="BX185" i="4"/>
  <c r="DC172" i="7"/>
  <c r="CF221" i="23"/>
  <c r="DC173" i="4"/>
  <c r="CF182" i="23"/>
  <c r="BP172" i="7"/>
  <c r="Z173" i="7"/>
  <c r="BP173" i="4"/>
  <c r="BQ173" i="7"/>
  <c r="BE172" i="7"/>
  <c r="CF193" i="23"/>
  <c r="O173" i="7"/>
  <c r="BE173" i="4"/>
  <c r="CF69" i="24"/>
  <c r="BW173" i="4"/>
  <c r="BW172" i="7"/>
  <c r="BW182" i="23"/>
  <c r="Z161" i="7"/>
  <c r="BP161" i="4"/>
  <c r="BW185" i="23"/>
  <c r="W161" i="7"/>
  <c r="BM161" i="4"/>
  <c r="BW189" i="23"/>
  <c r="S161" i="7"/>
  <c r="BI161" i="4"/>
  <c r="BW70" i="24"/>
  <c r="BV161" i="4"/>
  <c r="BO219" i="23"/>
  <c r="DE149" i="4"/>
  <c r="BO262" i="23"/>
  <c r="EN149" i="4"/>
  <c r="BO254" i="23"/>
  <c r="EV149" i="4"/>
  <c r="BO71" i="24"/>
  <c r="BU149" i="4"/>
  <c r="EJ149" i="7"/>
  <c r="DP149" i="7"/>
  <c r="DN149" i="7"/>
  <c r="DM149" i="7"/>
  <c r="DL149" i="7"/>
  <c r="DJ149" i="7"/>
  <c r="DO149" i="7"/>
  <c r="DK149" i="7"/>
  <c r="DQ149" i="7"/>
  <c r="DI149" i="7"/>
  <c r="DT149" i="7"/>
  <c r="DS149" i="7"/>
  <c r="DR149" i="7"/>
  <c r="DH149" i="7" s="1"/>
  <c r="BE227" i="23"/>
  <c r="CW137" i="4"/>
  <c r="BE254" i="23"/>
  <c r="EV137" i="4"/>
  <c r="BE263" i="23"/>
  <c r="EM137" i="4"/>
  <c r="BE72" i="24"/>
  <c r="BT137" i="4"/>
  <c r="AU219" i="23"/>
  <c r="DE125" i="4"/>
  <c r="AU258" i="23"/>
  <c r="ER125" i="4"/>
  <c r="AU223" i="23"/>
  <c r="DA125" i="4"/>
  <c r="AU62" i="24"/>
  <c r="CD125" i="4"/>
  <c r="AL260" i="23"/>
  <c r="EP113" i="4"/>
  <c r="AL184" i="23"/>
  <c r="X113" i="7"/>
  <c r="BN113" i="4"/>
  <c r="AL264" i="23"/>
  <c r="EL113" i="4"/>
  <c r="AL65" i="24"/>
  <c r="CA113" i="4"/>
  <c r="AB188" i="23"/>
  <c r="T101" i="7"/>
  <c r="BJ101" i="4"/>
  <c r="AB191" i="23"/>
  <c r="Q101" i="7"/>
  <c r="BG101" i="4"/>
  <c r="AB224" i="23"/>
  <c r="CZ101" i="4"/>
  <c r="AB63" i="24"/>
  <c r="CC101" i="4"/>
  <c r="W89" i="7"/>
  <c r="BM89" i="4"/>
  <c r="G220" i="23"/>
  <c r="DD76" i="7"/>
  <c r="DD77" i="4"/>
  <c r="G226" i="23"/>
  <c r="CX76" i="7"/>
  <c r="CX77" i="4"/>
  <c r="G225" i="23"/>
  <c r="CY76" i="7"/>
  <c r="CY77" i="4"/>
  <c r="G65" i="24"/>
  <c r="CA77" i="4"/>
  <c r="CA76" i="7"/>
  <c r="X65" i="7"/>
  <c r="AB65" i="7" s="1"/>
  <c r="BN65" i="4"/>
  <c r="Z41" i="7"/>
  <c r="BP41" i="4"/>
  <c r="Z41" i="4" s="1"/>
  <c r="Z41" i="1" s="1"/>
  <c r="T41" i="7"/>
  <c r="BJ41" i="4"/>
  <c r="T41" i="4" s="1"/>
  <c r="T41" i="1" s="1"/>
  <c r="W41" i="7"/>
  <c r="BM41" i="4"/>
  <c r="BX41" i="4"/>
  <c r="DJ221" i="23"/>
  <c r="DC208" i="4"/>
  <c r="DJ258" i="23"/>
  <c r="ER208" i="4"/>
  <c r="DJ191" i="23"/>
  <c r="Q208" i="7"/>
  <c r="BG208" i="4"/>
  <c r="DJ71" i="24"/>
  <c r="BU208" i="4"/>
  <c r="ES87" i="7"/>
  <c r="Q257" i="23"/>
  <c r="ES88" i="4"/>
  <c r="DE87" i="7"/>
  <c r="Q219" i="23"/>
  <c r="DE88" i="4"/>
  <c r="DE87" i="4" s="1"/>
  <c r="Q262" i="23"/>
  <c r="EN87" i="7"/>
  <c r="EN88" i="4"/>
  <c r="EN87" i="4" s="1"/>
  <c r="BQ16" i="7"/>
  <c r="O16" i="7"/>
  <c r="BE16" i="4"/>
  <c r="T16" i="7"/>
  <c r="BJ16" i="4"/>
  <c r="T16" i="4" s="1"/>
  <c r="T16" i="1" s="1"/>
  <c r="S16" i="7"/>
  <c r="BI16" i="4"/>
  <c r="S16" i="4" s="1"/>
  <c r="S16" i="1" s="1"/>
  <c r="AI256" i="23"/>
  <c r="ET110" i="4"/>
  <c r="AI190" i="23"/>
  <c r="R110" i="7"/>
  <c r="BH110" i="4"/>
  <c r="AI188" i="23"/>
  <c r="T110" i="7"/>
  <c r="BJ110" i="4"/>
  <c r="AI70" i="24"/>
  <c r="BV110" i="4"/>
  <c r="EJ110" i="7"/>
  <c r="DP110" i="7"/>
  <c r="DN110" i="7"/>
  <c r="DM110" i="7"/>
  <c r="DL110" i="7"/>
  <c r="DK110" i="7"/>
  <c r="DO110" i="7"/>
  <c r="DJ110" i="7"/>
  <c r="DS110" i="7"/>
  <c r="DQ110" i="7"/>
  <c r="DI110" i="7"/>
  <c r="DT110" i="7"/>
  <c r="DR110" i="7"/>
  <c r="DH110" i="7" s="1"/>
  <c r="P190" i="23"/>
  <c r="R86" i="7"/>
  <c r="BH86" i="4"/>
  <c r="P258" i="23"/>
  <c r="ER86" i="4"/>
  <c r="P263" i="23"/>
  <c r="EM86" i="4"/>
  <c r="P72" i="24"/>
  <c r="BT86" i="4"/>
  <c r="CM262" i="23"/>
  <c r="EN181" i="4"/>
  <c r="CM254" i="23"/>
  <c r="EV181" i="4"/>
  <c r="CM223" i="23"/>
  <c r="DA181" i="4"/>
  <c r="CE181" i="7"/>
  <c r="CM73" i="24"/>
  <c r="BS181" i="4"/>
  <c r="BL220" i="23"/>
  <c r="DD145" i="4"/>
  <c r="BL184" i="23"/>
  <c r="X145" i="7"/>
  <c r="BN145" i="4"/>
  <c r="BL264" i="23"/>
  <c r="EL145" i="4"/>
  <c r="BL65" i="24"/>
  <c r="CA145" i="4"/>
  <c r="AH255" i="23"/>
  <c r="EU109" i="4"/>
  <c r="AH261" i="23"/>
  <c r="EO109" i="4"/>
  <c r="AH224" i="23"/>
  <c r="CZ109" i="4"/>
  <c r="AH62" i="24"/>
  <c r="CD109" i="4"/>
  <c r="O227" i="23"/>
  <c r="CW85" i="4"/>
  <c r="O184" i="23"/>
  <c r="X85" i="7"/>
  <c r="BN85" i="4"/>
  <c r="O265" i="23"/>
  <c r="EW85" i="7"/>
  <c r="EK85" i="4"/>
  <c r="O73" i="24"/>
  <c r="CE85" i="7"/>
  <c r="BS85" i="4"/>
  <c r="DP222" i="23"/>
  <c r="DB216" i="4"/>
  <c r="DP192" i="23"/>
  <c r="P216" i="7"/>
  <c r="BF216" i="4"/>
  <c r="DP188" i="23"/>
  <c r="T216" i="7"/>
  <c r="BJ216" i="4"/>
  <c r="DP65" i="24"/>
  <c r="CA216" i="4"/>
  <c r="BA192" i="23"/>
  <c r="P132" i="7"/>
  <c r="BF132" i="4"/>
  <c r="BA259" i="23"/>
  <c r="EQ132" i="4"/>
  <c r="BA183" i="23"/>
  <c r="Y132" i="7"/>
  <c r="BO132" i="4"/>
  <c r="BA65" i="24"/>
  <c r="CA132" i="4"/>
  <c r="N192" i="23"/>
  <c r="P84" i="7"/>
  <c r="BF84" i="4"/>
  <c r="N225" i="23"/>
  <c r="CY84" i="4"/>
  <c r="N185" i="23"/>
  <c r="W84" i="7"/>
  <c r="BM84" i="4"/>
  <c r="N67" i="24"/>
  <c r="BY84" i="4"/>
  <c r="CV241" i="7"/>
  <c r="EB228" i="23" s="1"/>
  <c r="CV242" i="4"/>
  <c r="CV241" i="4" s="1"/>
  <c r="BI241" i="7"/>
  <c r="EB189" i="23" s="1"/>
  <c r="S242" i="7"/>
  <c r="BI242" i="4"/>
  <c r="EU241" i="7"/>
  <c r="EB255" i="23" s="1"/>
  <c r="EU242" i="4"/>
  <c r="EU241" i="4" s="1"/>
  <c r="BW242" i="4"/>
  <c r="BW241" i="7"/>
  <c r="EB69" i="24" s="1"/>
  <c r="CU260" i="23"/>
  <c r="EP191" i="4"/>
  <c r="CU222" i="23"/>
  <c r="DB191" i="4"/>
  <c r="CU256" i="23"/>
  <c r="ET191" i="4"/>
  <c r="CU69" i="24"/>
  <c r="BW191" i="4"/>
  <c r="CA220" i="23"/>
  <c r="DD167" i="4"/>
  <c r="CA261" i="23"/>
  <c r="EO167" i="4"/>
  <c r="CA256" i="23"/>
  <c r="ET167" i="4"/>
  <c r="CA71" i="24"/>
  <c r="BU167" i="4"/>
  <c r="EJ167" i="7"/>
  <c r="DP167" i="7"/>
  <c r="DN167" i="7"/>
  <c r="DM167" i="7"/>
  <c r="DO167" i="7"/>
  <c r="DL167" i="7"/>
  <c r="DK167" i="7"/>
  <c r="DJ167" i="7"/>
  <c r="DQ167" i="7"/>
  <c r="DR167" i="7"/>
  <c r="DH167" i="7" s="1"/>
  <c r="DI167" i="7"/>
  <c r="DT167" i="7"/>
  <c r="DS167" i="7"/>
  <c r="BJ260" i="23"/>
  <c r="EP143" i="4"/>
  <c r="BJ227" i="23"/>
  <c r="CW143" i="4"/>
  <c r="BJ263" i="23"/>
  <c r="EM143" i="4"/>
  <c r="BJ72" i="24"/>
  <c r="BT143" i="4"/>
  <c r="V188" i="23"/>
  <c r="T95" i="7"/>
  <c r="BJ95" i="4"/>
  <c r="V184" i="23"/>
  <c r="X95" i="7"/>
  <c r="BN95" i="4"/>
  <c r="V223" i="23"/>
  <c r="DA95" i="4"/>
  <c r="V62" i="24"/>
  <c r="CD95" i="4"/>
  <c r="ER7" i="4"/>
  <c r="DD7" i="4"/>
  <c r="EL7" i="4"/>
  <c r="BI257" i="23"/>
  <c r="ES142" i="4"/>
  <c r="BI222" i="23"/>
  <c r="DB142" i="4"/>
  <c r="BI224" i="23"/>
  <c r="CZ142" i="4"/>
  <c r="CE142" i="7"/>
  <c r="BI73" i="24"/>
  <c r="BS142" i="4"/>
  <c r="L182" i="23"/>
  <c r="Z82" i="7"/>
  <c r="BP82" i="4"/>
  <c r="L184" i="23"/>
  <c r="X82" i="7"/>
  <c r="BN82" i="4"/>
  <c r="L257" i="23"/>
  <c r="ES82" i="4"/>
  <c r="CE82" i="7"/>
  <c r="L73" i="24"/>
  <c r="BS82" i="4"/>
  <c r="EW34" i="7"/>
  <c r="EK34" i="4"/>
  <c r="Y34" i="7"/>
  <c r="BO34" i="4"/>
  <c r="Y34" i="4" s="1"/>
  <c r="Y34" i="1" s="1"/>
  <c r="CE34" i="7"/>
  <c r="BS34" i="4"/>
  <c r="DU64" i="24"/>
  <c r="CB225" i="4"/>
  <c r="DD220" i="23"/>
  <c r="DD201" i="4"/>
  <c r="CS185" i="23"/>
  <c r="W189" i="7"/>
  <c r="BM189" i="4"/>
  <c r="CJ229" i="23"/>
  <c r="DG177" i="7"/>
  <c r="CU177" i="4"/>
  <c r="BI164" i="7"/>
  <c r="BY189" i="23"/>
  <c r="S165" i="7"/>
  <c r="BI165" i="4"/>
  <c r="BR183" i="23"/>
  <c r="Y153" i="7"/>
  <c r="BO153" i="4"/>
  <c r="BH69" i="24"/>
  <c r="BW141" i="4"/>
  <c r="BI104" i="7"/>
  <c r="AD189" i="23"/>
  <c r="S105" i="7"/>
  <c r="BI105" i="4"/>
  <c r="T260" i="23"/>
  <c r="EP93" i="4"/>
  <c r="P45" i="7"/>
  <c r="BF45" i="4"/>
  <c r="P45" i="4" s="1"/>
  <c r="P45" i="1" s="1"/>
  <c r="DG33" i="7"/>
  <c r="CU33" i="4"/>
  <c r="DT227" i="23"/>
  <c r="CW223" i="7"/>
  <c r="CW224" i="4"/>
  <c r="DM259" i="23"/>
  <c r="EQ212" i="4"/>
  <c r="DC183" i="23"/>
  <c r="Y200" i="7"/>
  <c r="BO200" i="4"/>
  <c r="CR265" i="23"/>
  <c r="EK187" i="7"/>
  <c r="EW188" i="7"/>
  <c r="EK188" i="4"/>
  <c r="CI263" i="23"/>
  <c r="EM176" i="4"/>
  <c r="BQ223" i="23"/>
  <c r="DA152" i="4"/>
  <c r="BG64" i="24"/>
  <c r="CB140" i="4"/>
  <c r="S188" i="23"/>
  <c r="T92" i="7"/>
  <c r="BJ92" i="4"/>
  <c r="J183" i="23"/>
  <c r="Y80" i="7"/>
  <c r="BO80" i="4"/>
  <c r="BQ32" i="7"/>
  <c r="O32" i="7"/>
  <c r="BE32" i="4"/>
  <c r="BQ20" i="7"/>
  <c r="O20" i="7"/>
  <c r="BE20" i="4"/>
  <c r="DQ259" i="23"/>
  <c r="EQ219" i="7"/>
  <c r="EQ220" i="4"/>
  <c r="AA262" i="23"/>
  <c r="EN100" i="4"/>
  <c r="AJ228" i="23"/>
  <c r="CV111" i="4"/>
  <c r="DU264" i="23"/>
  <c r="EL225" i="4"/>
  <c r="DN64" i="24"/>
  <c r="CB213" i="4"/>
  <c r="CS190" i="23"/>
  <c r="R189" i="7"/>
  <c r="BH189" i="4"/>
  <c r="CJ262" i="23"/>
  <c r="EN177" i="4"/>
  <c r="BQ165" i="7"/>
  <c r="BY193" i="23"/>
  <c r="BE164" i="7"/>
  <c r="O165" i="7"/>
  <c r="BE165" i="4"/>
  <c r="BR67" i="24"/>
  <c r="BY153" i="4"/>
  <c r="AM229" i="23"/>
  <c r="DG117" i="7"/>
  <c r="CU116" i="7"/>
  <c r="CU117" i="4"/>
  <c r="EN104" i="7"/>
  <c r="AD262" i="23"/>
  <c r="EN105" i="4"/>
  <c r="T62" i="24"/>
  <c r="CD93" i="4"/>
  <c r="K73" i="24"/>
  <c r="CE81" i="7"/>
  <c r="BS81" i="4"/>
  <c r="BT221" i="23"/>
  <c r="DC157" i="7"/>
  <c r="DC158" i="4"/>
  <c r="BT69" i="24"/>
  <c r="BW158" i="4"/>
  <c r="BW157" i="7"/>
  <c r="DM225" i="23"/>
  <c r="CY212" i="4"/>
  <c r="DC262" i="23"/>
  <c r="EN200" i="4"/>
  <c r="ER187" i="7"/>
  <c r="CR258" i="23"/>
  <c r="ER188" i="4"/>
  <c r="CI72" i="24"/>
  <c r="BT176" i="4"/>
  <c r="BQ62" i="24"/>
  <c r="CD152" i="4"/>
  <c r="AX187" i="23"/>
  <c r="U128" i="7"/>
  <c r="BK128" i="4"/>
  <c r="S184" i="23"/>
  <c r="X92" i="7"/>
  <c r="BN92" i="4"/>
  <c r="J262" i="23"/>
  <c r="EN80" i="4"/>
  <c r="Y68" i="7"/>
  <c r="BO68" i="4"/>
  <c r="Y68" i="4" s="1"/>
  <c r="Y68" i="1" s="1"/>
  <c r="BW88" i="7"/>
  <c r="BW32" i="4"/>
  <c r="BV193" i="23"/>
  <c r="BQ160" i="7"/>
  <c r="O160" i="7"/>
  <c r="BE160" i="4"/>
  <c r="EJ160" i="7"/>
  <c r="DP160" i="7"/>
  <c r="DN160" i="7"/>
  <c r="DJ160" i="7"/>
  <c r="DO160" i="7"/>
  <c r="DM160" i="7"/>
  <c r="DL160" i="7"/>
  <c r="DK160" i="7"/>
  <c r="DR160" i="7"/>
  <c r="DH160" i="7" s="1"/>
  <c r="DT160" i="7"/>
  <c r="DS160" i="7"/>
  <c r="DQ160" i="7"/>
  <c r="DI160" i="7"/>
  <c r="AA72" i="24"/>
  <c r="BT100" i="4"/>
  <c r="CN192" i="23"/>
  <c r="BF182" i="7"/>
  <c r="P183" i="7"/>
  <c r="BF183" i="4"/>
  <c r="BU258" i="23"/>
  <c r="ER159" i="4"/>
  <c r="BC191" i="23"/>
  <c r="Q135" i="7"/>
  <c r="BG135" i="4"/>
  <c r="AJ63" i="24"/>
  <c r="CC111" i="4"/>
  <c r="AR222" i="23"/>
  <c r="DB122" i="4"/>
  <c r="DX70" i="24"/>
  <c r="BV229" i="4"/>
  <c r="CX60" i="7"/>
  <c r="CX61" i="4"/>
  <c r="CX60" i="4" s="1"/>
  <c r="CV263" i="23"/>
  <c r="EM192" i="4"/>
  <c r="BK223" i="23"/>
  <c r="DA144" i="4"/>
  <c r="AG264" i="23"/>
  <c r="EL108" i="4"/>
  <c r="DF229" i="23"/>
  <c r="DG203" i="7"/>
  <c r="CU203" i="4"/>
  <c r="CK63" i="24"/>
  <c r="CC179" i="4"/>
  <c r="CC178" i="7"/>
  <c r="AF63" i="24"/>
  <c r="CC107" i="4"/>
  <c r="DV255" i="23"/>
  <c r="EU226" i="4"/>
  <c r="DE220" i="23"/>
  <c r="DD202" i="4"/>
  <c r="AE259" i="23"/>
  <c r="EQ106" i="4"/>
  <c r="DL69" i="24"/>
  <c r="BW211" i="4"/>
  <c r="CH182" i="23"/>
  <c r="Z175" i="7"/>
  <c r="BP175" i="4"/>
  <c r="BP188" i="23"/>
  <c r="BJ150" i="7"/>
  <c r="T151" i="7"/>
  <c r="BJ151" i="4"/>
  <c r="BF223" i="23"/>
  <c r="DA138" i="7"/>
  <c r="DA139" i="4"/>
  <c r="AW264" i="23"/>
  <c r="EL127" i="4"/>
  <c r="R224" i="23"/>
  <c r="CZ90" i="7"/>
  <c r="CZ91" i="4"/>
  <c r="I265" i="23"/>
  <c r="EW79" i="7"/>
  <c r="EK79" i="4"/>
  <c r="EO57" i="7"/>
  <c r="EO55" i="4"/>
  <c r="EO57" i="4" s="1"/>
  <c r="CW29" i="7"/>
  <c r="CW31" i="4"/>
  <c r="CW29" i="4" s="1"/>
  <c r="Z19" i="7"/>
  <c r="BP19" i="4"/>
  <c r="Z19" i="4" s="1"/>
  <c r="Z19" i="1" s="1"/>
  <c r="CO68" i="24"/>
  <c r="BX184" i="4"/>
  <c r="AT69" i="24"/>
  <c r="BW124" i="4"/>
  <c r="BM191" i="23"/>
  <c r="BG146" i="7"/>
  <c r="Q147" i="7"/>
  <c r="BG147" i="4"/>
  <c r="Z258" i="23"/>
  <c r="ER99" i="4"/>
  <c r="CX38" i="7"/>
  <c r="F226" i="23" s="1"/>
  <c r="CX39" i="4"/>
  <c r="CX38" i="4" s="1"/>
  <c r="CZ38" i="7"/>
  <c r="F224" i="23" s="1"/>
  <c r="CZ39" i="4"/>
  <c r="CZ38" i="4" s="1"/>
  <c r="CC38" i="7"/>
  <c r="F63" i="24" s="1"/>
  <c r="CC39" i="4"/>
  <c r="DD205" i="7"/>
  <c r="DH220" i="23"/>
  <c r="DD206" i="4"/>
  <c r="CC184" i="23"/>
  <c r="X169" i="7"/>
  <c r="BN169" i="4"/>
  <c r="AQ185" i="23"/>
  <c r="W121" i="7"/>
  <c r="BM121" i="4"/>
  <c r="X185" i="23"/>
  <c r="W97" i="7"/>
  <c r="BM97" i="4"/>
  <c r="BU243" i="4"/>
  <c r="CB67" i="24"/>
  <c r="BY168" i="4"/>
  <c r="AP72" i="24"/>
  <c r="BT120" i="4"/>
  <c r="BL214" i="7"/>
  <c r="DO186" i="23"/>
  <c r="V215" i="7"/>
  <c r="BL215" i="4"/>
  <c r="AZ182" i="23"/>
  <c r="Z131" i="7"/>
  <c r="BP131" i="4"/>
  <c r="M184" i="23"/>
  <c r="X83" i="7"/>
  <c r="BN83" i="4"/>
  <c r="CT183" i="23"/>
  <c r="Y190" i="7"/>
  <c r="BO190" i="4"/>
  <c r="BZ220" i="23"/>
  <c r="DD166" i="4"/>
  <c r="BS221" i="23"/>
  <c r="DC154" i="4"/>
  <c r="AN191" i="23"/>
  <c r="Q118" i="7"/>
  <c r="BG118" i="4"/>
  <c r="U256" i="23"/>
  <c r="ET94" i="4"/>
  <c r="R46" i="7"/>
  <c r="BH46" i="4"/>
  <c r="R46" i="4" s="1"/>
  <c r="R46" i="1" s="1"/>
  <c r="BT46" i="4"/>
  <c r="DA264" i="23"/>
  <c r="EL198" i="4"/>
  <c r="CQ64" i="24"/>
  <c r="CB186" i="4"/>
  <c r="BX189" i="23"/>
  <c r="S162" i="7"/>
  <c r="BI162" i="4"/>
  <c r="AV185" i="23"/>
  <c r="W126" i="7"/>
  <c r="BM126" i="4"/>
  <c r="AC186" i="23"/>
  <c r="V102" i="7"/>
  <c r="BL102" i="4"/>
  <c r="H227" i="23"/>
  <c r="CW78" i="4"/>
  <c r="R66" i="7"/>
  <c r="BH66" i="4"/>
  <c r="R66" i="4" s="1"/>
  <c r="R66" i="1" s="1"/>
  <c r="CY228" i="23"/>
  <c r="CV196" i="4"/>
  <c r="BN260" i="23"/>
  <c r="EP148" i="4"/>
  <c r="BD228" i="23"/>
  <c r="CV136" i="4"/>
  <c r="AK65" i="24"/>
  <c r="CA112" i="4"/>
  <c r="BV246" i="4"/>
  <c r="CE192" i="23"/>
  <c r="P171" i="7"/>
  <c r="BF171" i="4"/>
  <c r="AS229" i="23"/>
  <c r="DG123" i="7"/>
  <c r="CU123" i="4"/>
  <c r="CW262" i="23"/>
  <c r="EN193" i="7"/>
  <c r="EN194" i="4"/>
  <c r="CD72" i="24"/>
  <c r="BT170" i="4"/>
  <c r="Y188" i="23"/>
  <c r="T98" i="7"/>
  <c r="BJ98" i="4"/>
  <c r="X62" i="7"/>
  <c r="BN62" i="4"/>
  <c r="BZ244" i="4"/>
  <c r="DW189" i="23"/>
  <c r="BI227" i="7"/>
  <c r="S228" i="7"/>
  <c r="BI228" i="4"/>
  <c r="CL258" i="23"/>
  <c r="ER180" i="4"/>
  <c r="AO67" i="24"/>
  <c r="BY119" i="4"/>
  <c r="AY69" i="24"/>
  <c r="BW130" i="4"/>
  <c r="BW129" i="7"/>
  <c r="CZ193" i="23"/>
  <c r="BQ197" i="7"/>
  <c r="O197" i="7"/>
  <c r="BE197" i="4"/>
  <c r="CP223" i="23"/>
  <c r="DA185" i="4"/>
  <c r="CF64" i="24"/>
  <c r="CB173" i="4"/>
  <c r="CB172" i="7"/>
  <c r="BO260" i="23"/>
  <c r="EP149" i="4"/>
  <c r="BE262" i="23"/>
  <c r="EN137" i="4"/>
  <c r="AU183" i="23"/>
  <c r="Y125" i="7"/>
  <c r="BO125" i="4"/>
  <c r="AL254" i="23"/>
  <c r="EV113" i="4"/>
  <c r="AB262" i="23"/>
  <c r="EN101" i="4"/>
  <c r="DC76" i="7"/>
  <c r="G221" i="23"/>
  <c r="DC77" i="4"/>
  <c r="G70" i="24"/>
  <c r="BV76" i="7"/>
  <c r="BV77" i="4"/>
  <c r="R41" i="7"/>
  <c r="BH41" i="4"/>
  <c r="R41" i="4" s="1"/>
  <c r="R41" i="1" s="1"/>
  <c r="DJ185" i="23"/>
  <c r="W208" i="7"/>
  <c r="BM208" i="4"/>
  <c r="DD87" i="7"/>
  <c r="Q220" i="23"/>
  <c r="DD88" i="4"/>
  <c r="R16" i="7"/>
  <c r="BH16" i="4"/>
  <c r="R16" i="4" s="1"/>
  <c r="R16" i="1" s="1"/>
  <c r="AI228" i="23"/>
  <c r="CV110" i="4"/>
  <c r="P183" i="23"/>
  <c r="Y86" i="7"/>
  <c r="BO86" i="4"/>
  <c r="P64" i="24"/>
  <c r="CB86" i="4"/>
  <c r="BL258" i="23"/>
  <c r="ER145" i="4"/>
  <c r="AH71" i="24"/>
  <c r="BU109" i="4"/>
  <c r="DP254" i="23"/>
  <c r="EV216" i="4"/>
  <c r="BA261" i="23"/>
  <c r="EO132" i="4"/>
  <c r="N190" i="23"/>
  <c r="R84" i="7"/>
  <c r="BH84" i="4"/>
  <c r="DB241" i="7"/>
  <c r="EB222" i="23" s="1"/>
  <c r="DB242" i="4"/>
  <c r="DB241" i="4" s="1"/>
  <c r="CU184" i="23"/>
  <c r="X191" i="7"/>
  <c r="BN191" i="4"/>
  <c r="CA63" i="24"/>
  <c r="CC167" i="4"/>
  <c r="V66" i="24"/>
  <c r="BZ95" i="4"/>
  <c r="BI186" i="23"/>
  <c r="V142" i="7"/>
  <c r="BL142" i="4"/>
  <c r="L222" i="23"/>
  <c r="DB82" i="4"/>
  <c r="DD184" i="23"/>
  <c r="X201" i="7"/>
  <c r="BN201" i="4"/>
  <c r="CS265" i="23"/>
  <c r="EW189" i="7"/>
  <c r="EK189" i="4"/>
  <c r="CJ183" i="23"/>
  <c r="Y177" i="7"/>
  <c r="BO177" i="4"/>
  <c r="BY218" i="23"/>
  <c r="DF164" i="7"/>
  <c r="DF165" i="4"/>
  <c r="BR261" i="23"/>
  <c r="EO153" i="4"/>
  <c r="BH228" i="23"/>
  <c r="CV141" i="4"/>
  <c r="AM70" i="24"/>
  <c r="BV117" i="4"/>
  <c r="BV116" i="7"/>
  <c r="T229" i="23"/>
  <c r="DG93" i="7"/>
  <c r="CU93" i="4"/>
  <c r="K260" i="23"/>
  <c r="EP81" i="4"/>
  <c r="X69" i="7"/>
  <c r="AB69" i="7" s="1"/>
  <c r="BN69" i="4"/>
  <c r="X45" i="7"/>
  <c r="BN45" i="4"/>
  <c r="BT190" i="23"/>
  <c r="BH157" i="7"/>
  <c r="R158" i="7"/>
  <c r="BH158" i="4"/>
  <c r="DT229" i="23"/>
  <c r="DG224" i="7"/>
  <c r="CU223" i="7"/>
  <c r="CU224" i="4"/>
  <c r="DM185" i="23"/>
  <c r="W212" i="7"/>
  <c r="BM212" i="4"/>
  <c r="DC182" i="23"/>
  <c r="Z200" i="7"/>
  <c r="BP200" i="4"/>
  <c r="CR67" i="24"/>
  <c r="BY187" i="7"/>
  <c r="BY188" i="4"/>
  <c r="BQ254" i="23"/>
  <c r="EV152" i="4"/>
  <c r="BG219" i="23"/>
  <c r="DE140" i="4"/>
  <c r="AX264" i="23"/>
  <c r="EL128" i="4"/>
  <c r="S222" i="23"/>
  <c r="DB92" i="4"/>
  <c r="J261" i="23"/>
  <c r="EO80" i="4"/>
  <c r="CV219" i="7"/>
  <c r="DQ228" i="23"/>
  <c r="CV220" i="4"/>
  <c r="BV69" i="24"/>
  <c r="BW160" i="4"/>
  <c r="CN62" i="24"/>
  <c r="CD183" i="4"/>
  <c r="CD182" i="7"/>
  <c r="BC190" i="23"/>
  <c r="R135" i="7"/>
  <c r="BH135" i="4"/>
  <c r="AJ185" i="23"/>
  <c r="W111" i="7"/>
  <c r="BM111" i="4"/>
  <c r="BO54" i="7"/>
  <c r="Y51" i="7"/>
  <c r="Y54" i="7" s="1"/>
  <c r="BO51" i="4"/>
  <c r="Y15" i="7"/>
  <c r="BO15" i="4"/>
  <c r="Y15" i="4" s="1"/>
  <c r="Y15" i="1" s="1"/>
  <c r="CY13" i="7"/>
  <c r="CY6" i="7" s="1"/>
  <c r="CY14" i="4"/>
  <c r="CY13" i="4" s="1"/>
  <c r="CV60" i="7"/>
  <c r="CV61" i="4"/>
  <c r="CV60" i="4" s="1"/>
  <c r="CV71" i="24"/>
  <c r="BU192" i="4"/>
  <c r="EJ192" i="7"/>
  <c r="DP192" i="7"/>
  <c r="DN192" i="7"/>
  <c r="DO192" i="7"/>
  <c r="DM192" i="7"/>
  <c r="DL192" i="7"/>
  <c r="DK192" i="7"/>
  <c r="DJ192" i="7"/>
  <c r="DT192" i="7"/>
  <c r="DQ192" i="7"/>
  <c r="DI192" i="7"/>
  <c r="DS192" i="7"/>
  <c r="DR192" i="7"/>
  <c r="DH192" i="7" s="1"/>
  <c r="AG221" i="23"/>
  <c r="DC108" i="4"/>
  <c r="DF257" i="23"/>
  <c r="ES203" i="4"/>
  <c r="CK62" i="24"/>
  <c r="CD179" i="4"/>
  <c r="CD178" i="7"/>
  <c r="AF62" i="24"/>
  <c r="CD107" i="4"/>
  <c r="DE184" i="23"/>
  <c r="X202" i="7"/>
  <c r="BN202" i="4"/>
  <c r="AE218" i="23"/>
  <c r="DF106" i="4"/>
  <c r="DL225" i="23"/>
  <c r="CY211" i="4"/>
  <c r="DB262" i="23"/>
  <c r="EN199" i="4"/>
  <c r="CH189" i="23"/>
  <c r="S175" i="7"/>
  <c r="BI175" i="4"/>
  <c r="BP67" i="24"/>
  <c r="BY151" i="4"/>
  <c r="BY150" i="7"/>
  <c r="EJ151" i="7"/>
  <c r="DP151" i="7"/>
  <c r="DK151" i="7"/>
  <c r="DO151" i="7"/>
  <c r="DN151" i="7"/>
  <c r="DM151" i="7"/>
  <c r="DL151" i="7"/>
  <c r="DJ151" i="7"/>
  <c r="DT151" i="7"/>
  <c r="DR151" i="7"/>
  <c r="DH151" i="7" s="1"/>
  <c r="DQ151" i="7"/>
  <c r="DS151" i="7"/>
  <c r="DI151" i="7"/>
  <c r="AW188" i="23"/>
  <c r="T127" i="7"/>
  <c r="BJ127" i="4"/>
  <c r="EK90" i="7"/>
  <c r="R265" i="23"/>
  <c r="EW91" i="7"/>
  <c r="EK91" i="4"/>
  <c r="I220" i="23"/>
  <c r="DD79" i="4"/>
  <c r="BF29" i="7"/>
  <c r="P31" i="7"/>
  <c r="BF31" i="4"/>
  <c r="CO259" i="23"/>
  <c r="EQ184" i="4"/>
  <c r="AT227" i="23"/>
  <c r="CW124" i="4"/>
  <c r="DI182" i="23"/>
  <c r="Z207" i="7"/>
  <c r="BP207" i="4"/>
  <c r="DD146" i="7"/>
  <c r="BM220" i="23"/>
  <c r="DD147" i="4"/>
  <c r="Z256" i="23"/>
  <c r="ET99" i="4"/>
  <c r="ET38" i="7"/>
  <c r="F256" i="23" s="1"/>
  <c r="ET39" i="4"/>
  <c r="ET38" i="4" s="1"/>
  <c r="BX245" i="4"/>
  <c r="CC218" i="23"/>
  <c r="DF169" i="4"/>
  <c r="AQ64" i="24"/>
  <c r="CB121" i="4"/>
  <c r="X227" i="23"/>
  <c r="CW97" i="4"/>
  <c r="BV243" i="4"/>
  <c r="CB191" i="23"/>
  <c r="Q168" i="7"/>
  <c r="BG168" i="4"/>
  <c r="AP69" i="24"/>
  <c r="BW120" i="4"/>
  <c r="W263" i="23"/>
  <c r="EM96" i="4"/>
  <c r="CE215" i="7"/>
  <c r="DO73" i="24"/>
  <c r="BS215" i="4"/>
  <c r="BS214" i="7"/>
  <c r="M190" i="23"/>
  <c r="R83" i="7"/>
  <c r="BH83" i="4"/>
  <c r="CT182" i="23"/>
  <c r="Z190" i="7"/>
  <c r="BP190" i="4"/>
  <c r="BZ222" i="23"/>
  <c r="DB166" i="4"/>
  <c r="BS185" i="23"/>
  <c r="W154" i="7"/>
  <c r="BM154" i="4"/>
  <c r="AN193" i="23"/>
  <c r="BQ118" i="7"/>
  <c r="O118" i="7"/>
  <c r="BE118" i="4"/>
  <c r="U228" i="23"/>
  <c r="CV94" i="4"/>
  <c r="DS227" i="23"/>
  <c r="CW222" i="4"/>
  <c r="DK63" i="24"/>
  <c r="CC210" i="4"/>
  <c r="CC209" i="7"/>
  <c r="CQ189" i="23"/>
  <c r="S186" i="7"/>
  <c r="BI186" i="4"/>
  <c r="CG182" i="23"/>
  <c r="Z174" i="7"/>
  <c r="BP174" i="4"/>
  <c r="BX226" i="23"/>
  <c r="CX162" i="4"/>
  <c r="AV193" i="23"/>
  <c r="BQ126" i="7"/>
  <c r="O126" i="7"/>
  <c r="BE126" i="4"/>
  <c r="AC182" i="23"/>
  <c r="Z102" i="7"/>
  <c r="BP102" i="4"/>
  <c r="H257" i="23"/>
  <c r="ES78" i="4"/>
  <c r="H67" i="24"/>
  <c r="BY78" i="4"/>
  <c r="CY63" i="24"/>
  <c r="CC196" i="4"/>
  <c r="BD227" i="23"/>
  <c r="CW136" i="4"/>
  <c r="AK260" i="23"/>
  <c r="EP112" i="4"/>
  <c r="CX254" i="23"/>
  <c r="EV195" i="4"/>
  <c r="CE265" i="23"/>
  <c r="EW171" i="7"/>
  <c r="EK171" i="4"/>
  <c r="AS222" i="23"/>
  <c r="DB123" i="4"/>
  <c r="BO193" i="7"/>
  <c r="CW183" i="23"/>
  <c r="Y194" i="7"/>
  <c r="BO194" i="4"/>
  <c r="CD70" i="24"/>
  <c r="BV170" i="4"/>
  <c r="EJ170" i="7"/>
  <c r="DP170" i="7"/>
  <c r="DN170" i="7"/>
  <c r="DL170" i="7"/>
  <c r="DK170" i="7"/>
  <c r="DO170" i="7"/>
  <c r="DM170" i="7"/>
  <c r="DJ170" i="7"/>
  <c r="DT170" i="7"/>
  <c r="DS170" i="7"/>
  <c r="DR170" i="7"/>
  <c r="DH170" i="7" s="1"/>
  <c r="DQ170" i="7"/>
  <c r="DI170" i="7"/>
  <c r="Y187" i="23"/>
  <c r="U98" i="7"/>
  <c r="BK98" i="4"/>
  <c r="CC244" i="4"/>
  <c r="DC227" i="7"/>
  <c r="DW221" i="23"/>
  <c r="DC228" i="4"/>
  <c r="CL225" i="23"/>
  <c r="CY180" i="4"/>
  <c r="AO185" i="23"/>
  <c r="W119" i="7"/>
  <c r="BM119" i="4"/>
  <c r="DR183" i="23"/>
  <c r="Y221" i="7"/>
  <c r="BO221" i="4"/>
  <c r="CZ256" i="23"/>
  <c r="ET197" i="4"/>
  <c r="CP263" i="23"/>
  <c r="EM185" i="4"/>
  <c r="CF63" i="24"/>
  <c r="CC173" i="4"/>
  <c r="CC172" i="7"/>
  <c r="BO229" i="23"/>
  <c r="DG149" i="7"/>
  <c r="CU149" i="4"/>
  <c r="CE137" i="7"/>
  <c r="BE73" i="24"/>
  <c r="BS137" i="4"/>
  <c r="AU227" i="23"/>
  <c r="CW125" i="4"/>
  <c r="AL183" i="23"/>
  <c r="Y113" i="7"/>
  <c r="BO113" i="4"/>
  <c r="AB69" i="24"/>
  <c r="BW101" i="4"/>
  <c r="G192" i="23"/>
  <c r="BF76" i="7"/>
  <c r="P77" i="7"/>
  <c r="BF77" i="4"/>
  <c r="P65" i="7"/>
  <c r="BF65" i="4"/>
  <c r="P65" i="4" s="1"/>
  <c r="P65" i="1" s="1"/>
  <c r="DJ263" i="23"/>
  <c r="EM208" i="4"/>
  <c r="AI64" i="24"/>
  <c r="CB110" i="4"/>
  <c r="CM220" i="23"/>
  <c r="DD181" i="4"/>
  <c r="BL257" i="23"/>
  <c r="ES145" i="4"/>
  <c r="AH254" i="23"/>
  <c r="EV109" i="4"/>
  <c r="O185" i="23"/>
  <c r="W85" i="7"/>
  <c r="BM85" i="4"/>
  <c r="DP70" i="24"/>
  <c r="BV216" i="4"/>
  <c r="N182" i="23"/>
  <c r="Z84" i="7"/>
  <c r="BP84" i="4"/>
  <c r="Q36" i="7"/>
  <c r="BG36" i="4"/>
  <c r="Q36" i="4" s="1"/>
  <c r="Q36" i="1" s="1"/>
  <c r="DA241" i="7"/>
  <c r="EB223" i="23" s="1"/>
  <c r="DA242" i="4"/>
  <c r="DA241" i="4" s="1"/>
  <c r="CE191" i="7"/>
  <c r="CU73" i="24"/>
  <c r="BS191" i="4"/>
  <c r="BJ228" i="23"/>
  <c r="CV143" i="4"/>
  <c r="V219" i="23"/>
  <c r="DE95" i="4"/>
  <c r="BI226" i="23"/>
  <c r="CX142" i="4"/>
  <c r="U34" i="7"/>
  <c r="BK34" i="4"/>
  <c r="U34" i="4" s="1"/>
  <c r="U34" i="1" s="1"/>
  <c r="DU219" i="23"/>
  <c r="DE225" i="4"/>
  <c r="DN225" i="23"/>
  <c r="CY213" i="4"/>
  <c r="CE201" i="7"/>
  <c r="DD73" i="24"/>
  <c r="BS201" i="4"/>
  <c r="CJ227" i="23"/>
  <c r="CW177" i="4"/>
  <c r="EU164" i="7"/>
  <c r="BY255" i="23"/>
  <c r="EU165" i="4"/>
  <c r="BR226" i="23"/>
  <c r="CX153" i="4"/>
  <c r="BH259" i="23"/>
  <c r="EQ141" i="4"/>
  <c r="DB116" i="7"/>
  <c r="AM222" i="23"/>
  <c r="DB117" i="4"/>
  <c r="AD188" i="23"/>
  <c r="BJ104" i="7"/>
  <c r="T105" i="7"/>
  <c r="BJ105" i="4"/>
  <c r="T259" i="23"/>
  <c r="EQ93" i="4"/>
  <c r="EJ93" i="7"/>
  <c r="DP93" i="7"/>
  <c r="DK93" i="7"/>
  <c r="DO93" i="7"/>
  <c r="DN93" i="7"/>
  <c r="DM93" i="7"/>
  <c r="DL93" i="7"/>
  <c r="DJ93" i="7"/>
  <c r="DT93" i="7"/>
  <c r="DS93" i="7"/>
  <c r="DI93" i="7"/>
  <c r="DR93" i="7"/>
  <c r="DH93" i="7" s="1"/>
  <c r="DQ93" i="7"/>
  <c r="K263" i="23"/>
  <c r="EM81" i="4"/>
  <c r="T45" i="7"/>
  <c r="BJ45" i="4"/>
  <c r="T45" i="4" s="1"/>
  <c r="T45" i="1" s="1"/>
  <c r="Q21" i="7"/>
  <c r="BG21" i="4"/>
  <c r="Q21" i="4" s="1"/>
  <c r="Q21" i="1" s="1"/>
  <c r="EW21" i="7"/>
  <c r="EK21" i="4"/>
  <c r="EW21" i="4" s="1"/>
  <c r="DT192" i="23"/>
  <c r="BF223" i="7"/>
  <c r="P224" i="7"/>
  <c r="BF224" i="4"/>
  <c r="DM260" i="23"/>
  <c r="EP212" i="4"/>
  <c r="DC193" i="23"/>
  <c r="BQ200" i="7"/>
  <c r="O200" i="7"/>
  <c r="BE200" i="4"/>
  <c r="CR70" i="24"/>
  <c r="BV188" i="4"/>
  <c r="BV187" i="7"/>
  <c r="BQ259" i="23"/>
  <c r="EQ152" i="4"/>
  <c r="BG263" i="23"/>
  <c r="EM140" i="4"/>
  <c r="CE128" i="7"/>
  <c r="AX73" i="24"/>
  <c r="BS128" i="4"/>
  <c r="J226" i="23"/>
  <c r="CX80" i="4"/>
  <c r="J66" i="24"/>
  <c r="BZ80" i="4"/>
  <c r="CB44" i="4"/>
  <c r="DQ226" i="23"/>
  <c r="CX219" i="7"/>
  <c r="CX220" i="4"/>
  <c r="BV226" i="23"/>
  <c r="CX160" i="4"/>
  <c r="AA255" i="23"/>
  <c r="EU100" i="4"/>
  <c r="R64" i="7"/>
  <c r="BH64" i="4"/>
  <c r="R64" i="4" s="1"/>
  <c r="R64" i="1" s="1"/>
  <c r="CN263" i="23"/>
  <c r="EM182" i="7"/>
  <c r="EM183" i="4"/>
  <c r="BU62" i="24"/>
  <c r="CD159" i="4"/>
  <c r="AJ66" i="24"/>
  <c r="BZ111" i="4"/>
  <c r="AR66" i="24"/>
  <c r="BZ122" i="4"/>
  <c r="CV13" i="7"/>
  <c r="CV6" i="7" s="1"/>
  <c r="CV14" i="4"/>
  <c r="CV13" i="4" s="1"/>
  <c r="DC13" i="7"/>
  <c r="DC6" i="7" s="1"/>
  <c r="DC14" i="4"/>
  <c r="DC13" i="4" s="1"/>
  <c r="BL13" i="7"/>
  <c r="BL6" i="7" s="1"/>
  <c r="V14" i="7"/>
  <c r="BL14" i="4"/>
  <c r="EP60" i="7"/>
  <c r="EP61" i="4"/>
  <c r="EP60" i="4" s="1"/>
  <c r="CV219" i="23"/>
  <c r="DE192" i="4"/>
  <c r="BK189" i="23"/>
  <c r="S144" i="7"/>
  <c r="BI144" i="4"/>
  <c r="EJ144" i="7"/>
  <c r="DP144" i="7"/>
  <c r="DM144" i="7"/>
  <c r="DJ144" i="7"/>
  <c r="DO144" i="7"/>
  <c r="DN144" i="7"/>
  <c r="DL144" i="7"/>
  <c r="DK144" i="7"/>
  <c r="DI144" i="7"/>
  <c r="DT144" i="7"/>
  <c r="DS144" i="7"/>
  <c r="DR144" i="7"/>
  <c r="DH144" i="7" s="1"/>
  <c r="DQ144" i="7"/>
  <c r="DF192" i="23"/>
  <c r="P203" i="7"/>
  <c r="BF203" i="4"/>
  <c r="CK228" i="23"/>
  <c r="CV178" i="7"/>
  <c r="CV179" i="4"/>
  <c r="AF224" i="23"/>
  <c r="CZ107" i="4"/>
  <c r="DV66" i="24"/>
  <c r="BZ226" i="4"/>
  <c r="AE192" i="23"/>
  <c r="P106" i="7"/>
  <c r="BF106" i="4"/>
  <c r="AE66" i="24"/>
  <c r="BZ106" i="4"/>
  <c r="DB227" i="23"/>
  <c r="CW199" i="4"/>
  <c r="CH261" i="23"/>
  <c r="EO175" i="4"/>
  <c r="CY150" i="7"/>
  <c r="BP225" i="23"/>
  <c r="CY151" i="4"/>
  <c r="BF227" i="23"/>
  <c r="CW138" i="7"/>
  <c r="CW139" i="4"/>
  <c r="AW262" i="23"/>
  <c r="EN127" i="4"/>
  <c r="R218" i="23"/>
  <c r="DF90" i="7"/>
  <c r="DF91" i="4"/>
  <c r="I228" i="23"/>
  <c r="CV79" i="4"/>
  <c r="I65" i="24"/>
  <c r="CA79" i="4"/>
  <c r="ER57" i="7"/>
  <c r="ER55" i="4"/>
  <c r="ER57" i="4" s="1"/>
  <c r="CY29" i="7"/>
  <c r="CY31" i="4"/>
  <c r="CY29" i="4" s="1"/>
  <c r="Y19" i="7"/>
  <c r="BO19" i="4"/>
  <c r="Y19" i="4" s="1"/>
  <c r="Y19" i="1" s="1"/>
  <c r="AT192" i="23"/>
  <c r="P124" i="7"/>
  <c r="BF124" i="4"/>
  <c r="DI260" i="23"/>
  <c r="EP207" i="4"/>
  <c r="BM218" i="23"/>
  <c r="DF146" i="7"/>
  <c r="DF147" i="4"/>
  <c r="Z187" i="23"/>
  <c r="U99" i="7"/>
  <c r="BK99" i="4"/>
  <c r="EJ99" i="7"/>
  <c r="DP99" i="7"/>
  <c r="DM99" i="7"/>
  <c r="DO99" i="7"/>
  <c r="DN99" i="7"/>
  <c r="DL99" i="7"/>
  <c r="DK99" i="7"/>
  <c r="DJ99" i="7"/>
  <c r="DR99" i="7"/>
  <c r="DH99" i="7" s="1"/>
  <c r="DT99" i="7"/>
  <c r="DQ99" i="7"/>
  <c r="DI99" i="7"/>
  <c r="DS99" i="7"/>
  <c r="DE38" i="7"/>
  <c r="F219" i="23" s="1"/>
  <c r="DE39" i="4"/>
  <c r="DE38" i="4" s="1"/>
  <c r="BZ245" i="4"/>
  <c r="CC258" i="23"/>
  <c r="ER169" i="4"/>
  <c r="AQ186" i="23"/>
  <c r="V121" i="7"/>
  <c r="BL121" i="4"/>
  <c r="X183" i="23"/>
  <c r="Y97" i="7"/>
  <c r="BO97" i="4"/>
  <c r="BW243" i="4"/>
  <c r="CB261" i="23"/>
  <c r="EO168" i="4"/>
  <c r="AP186" i="23"/>
  <c r="V120" i="7"/>
  <c r="BL120" i="4"/>
  <c r="W220" i="23"/>
  <c r="DD96" i="4"/>
  <c r="EM27" i="7"/>
  <c r="EM24" i="4"/>
  <c r="EM27" i="4" s="1"/>
  <c r="DO223" i="23"/>
  <c r="DA214" i="7"/>
  <c r="DA215" i="4"/>
  <c r="AZ62" i="24"/>
  <c r="CD131" i="4"/>
  <c r="CT65" i="24"/>
  <c r="CA190" i="4"/>
  <c r="BS190" i="23"/>
  <c r="R154" i="7"/>
  <c r="BH154" i="4"/>
  <c r="AN67" i="24"/>
  <c r="BY118" i="4"/>
  <c r="DS229" i="23"/>
  <c r="DG222" i="7"/>
  <c r="CU222" i="4"/>
  <c r="EV209" i="7"/>
  <c r="DK254" i="23"/>
  <c r="EV210" i="4"/>
  <c r="DA63" i="24"/>
  <c r="CC198" i="4"/>
  <c r="CG262" i="23"/>
  <c r="EN174" i="4"/>
  <c r="BX221" i="23"/>
  <c r="DC162" i="4"/>
  <c r="AV184" i="23"/>
  <c r="X126" i="7"/>
  <c r="BN126" i="4"/>
  <c r="AC73" i="24"/>
  <c r="CE102" i="7"/>
  <c r="BS102" i="4"/>
  <c r="H186" i="23"/>
  <c r="V78" i="7"/>
  <c r="BL78" i="4"/>
  <c r="BQ42" i="7"/>
  <c r="O42" i="7"/>
  <c r="BE42" i="4"/>
  <c r="BT247" i="4"/>
  <c r="EJ247" i="7"/>
  <c r="DN247" i="7"/>
  <c r="DN247" i="4" s="1"/>
  <c r="DI247" i="7"/>
  <c r="DM247" i="7"/>
  <c r="DM247" i="4" s="1"/>
  <c r="DL247" i="7"/>
  <c r="DL247" i="4" s="1"/>
  <c r="DK247" i="7"/>
  <c r="DK247" i="4" s="1"/>
  <c r="DJ247" i="7"/>
  <c r="DJ247" i="4" s="1"/>
  <c r="DT247" i="7"/>
  <c r="DT247" i="4" s="1"/>
  <c r="DR247" i="7"/>
  <c r="DH247" i="7" s="1"/>
  <c r="DO247" i="7"/>
  <c r="DQ247" i="7"/>
  <c r="DP247" i="7"/>
  <c r="DS247" i="7"/>
  <c r="BN219" i="23"/>
  <c r="DE148" i="4"/>
  <c r="BD65" i="24"/>
  <c r="CA136" i="4"/>
  <c r="CX255" i="23"/>
  <c r="EU195" i="4"/>
  <c r="CE227" i="23"/>
  <c r="CW171" i="4"/>
  <c r="CW222" i="23"/>
  <c r="DB193" i="7"/>
  <c r="DB194" i="4"/>
  <c r="CD192" i="23"/>
  <c r="P170" i="7"/>
  <c r="BF170" i="4"/>
  <c r="EV133" i="7"/>
  <c r="BB254" i="23"/>
  <c r="EV134" i="4"/>
  <c r="Y257" i="23"/>
  <c r="ES98" i="4"/>
  <c r="V244" i="7"/>
  <c r="BL244" i="4"/>
  <c r="V244" i="4" s="1"/>
  <c r="V244" i="1" s="1"/>
  <c r="CL186" i="23"/>
  <c r="V180" i="7"/>
  <c r="BL180" i="4"/>
  <c r="AO222" i="23"/>
  <c r="DB119" i="4"/>
  <c r="BQ130" i="7"/>
  <c r="BE129" i="7"/>
  <c r="AY193" i="23"/>
  <c r="O130" i="7"/>
  <c r="BE130" i="4"/>
  <c r="AY187" i="23"/>
  <c r="BK129" i="7"/>
  <c r="U130" i="7"/>
  <c r="BK130" i="4"/>
  <c r="CZ183" i="23"/>
  <c r="Y197" i="7"/>
  <c r="BO197" i="4"/>
  <c r="CP190" i="23"/>
  <c r="R185" i="7"/>
  <c r="BH185" i="4"/>
  <c r="CF263" i="23"/>
  <c r="EM172" i="7"/>
  <c r="EM173" i="4"/>
  <c r="BW223" i="23"/>
  <c r="DA161" i="4"/>
  <c r="BO63" i="24"/>
  <c r="CC149" i="4"/>
  <c r="AU185" i="23"/>
  <c r="W125" i="7"/>
  <c r="BM125" i="4"/>
  <c r="AL63" i="24"/>
  <c r="CC113" i="4"/>
  <c r="AB183" i="23"/>
  <c r="Y101" i="7"/>
  <c r="BO101" i="4"/>
  <c r="BM76" i="7"/>
  <c r="G185" i="23"/>
  <c r="W77" i="7"/>
  <c r="BM77" i="4"/>
  <c r="DJ183" i="23"/>
  <c r="Y208" i="7"/>
  <c r="BO208" i="4"/>
  <c r="EJ208" i="7"/>
  <c r="DP208" i="7"/>
  <c r="DN208" i="7"/>
  <c r="DO208" i="7"/>
  <c r="DM208" i="7"/>
  <c r="DL208" i="7"/>
  <c r="DK208" i="7"/>
  <c r="DJ208" i="7"/>
  <c r="DT208" i="7"/>
  <c r="DS208" i="7"/>
  <c r="DR208" i="7"/>
  <c r="DH208" i="7" s="1"/>
  <c r="DQ208" i="7"/>
  <c r="DI208" i="7"/>
  <c r="AI264" i="23"/>
  <c r="EL110" i="4"/>
  <c r="CM229" i="23"/>
  <c r="DG181" i="7"/>
  <c r="CU181" i="4"/>
  <c r="BL188" i="23"/>
  <c r="T145" i="7"/>
  <c r="BJ145" i="4"/>
  <c r="AH183" i="23"/>
  <c r="Y109" i="7"/>
  <c r="BO109" i="4"/>
  <c r="DP186" i="23"/>
  <c r="V216" i="7"/>
  <c r="BL216" i="4"/>
  <c r="BA222" i="23"/>
  <c r="DB132" i="4"/>
  <c r="N220" i="23"/>
  <c r="DD84" i="4"/>
  <c r="BQ242" i="7"/>
  <c r="BE241" i="7"/>
  <c r="EB193" i="23" s="1"/>
  <c r="O242" i="7"/>
  <c r="BE242" i="4"/>
  <c r="CU262" i="23"/>
  <c r="EN191" i="4"/>
  <c r="CA187" i="23"/>
  <c r="U167" i="7"/>
  <c r="BK167" i="4"/>
  <c r="BJ184" i="23"/>
  <c r="X143" i="7"/>
  <c r="BN143" i="4"/>
  <c r="V226" i="23"/>
  <c r="CX95" i="4"/>
  <c r="Q7" i="7"/>
  <c r="BG7" i="4"/>
  <c r="BI65" i="24"/>
  <c r="CA142" i="4"/>
  <c r="L259" i="23"/>
  <c r="EQ82" i="4"/>
  <c r="BZ34" i="4"/>
  <c r="DU263" i="23"/>
  <c r="EM225" i="4"/>
  <c r="DN185" i="23"/>
  <c r="W213" i="7"/>
  <c r="BM213" i="4"/>
  <c r="DD182" i="23"/>
  <c r="Z201" i="7"/>
  <c r="BP201" i="4"/>
  <c r="CS183" i="23"/>
  <c r="Y189" i="7"/>
  <c r="BO189" i="4"/>
  <c r="CJ260" i="23"/>
  <c r="EP177" i="4"/>
  <c r="BY188" i="23"/>
  <c r="BJ164" i="7"/>
  <c r="T165" i="7"/>
  <c r="BJ165" i="4"/>
  <c r="BR66" i="24"/>
  <c r="BZ153" i="4"/>
  <c r="AM192" i="23"/>
  <c r="BF116" i="7"/>
  <c r="P117" i="7"/>
  <c r="BF117" i="4"/>
  <c r="AD193" i="23"/>
  <c r="BE104" i="7"/>
  <c r="BQ105" i="7"/>
  <c r="O105" i="7"/>
  <c r="BE105" i="4"/>
  <c r="T190" i="23"/>
  <c r="R93" i="7"/>
  <c r="BH93" i="4"/>
  <c r="K225" i="23"/>
  <c r="CY81" i="4"/>
  <c r="DT226" i="23"/>
  <c r="CX223" i="7"/>
  <c r="CX224" i="4"/>
  <c r="DM220" i="23"/>
  <c r="DD212" i="4"/>
  <c r="DC227" i="23"/>
  <c r="CW200" i="4"/>
  <c r="CR191" i="23"/>
  <c r="BG187" i="7"/>
  <c r="Q188" i="7"/>
  <c r="BG188" i="4"/>
  <c r="CI68" i="24"/>
  <c r="BX176" i="4"/>
  <c r="BG226" i="23"/>
  <c r="CX140" i="4"/>
  <c r="AX257" i="23"/>
  <c r="ES128" i="4"/>
  <c r="S223" i="23"/>
  <c r="DA92" i="4"/>
  <c r="J64" i="24"/>
  <c r="CB80" i="4"/>
  <c r="DF219" i="7"/>
  <c r="DQ218" i="23"/>
  <c r="DF220" i="4"/>
  <c r="BV256" i="23"/>
  <c r="ET160" i="4"/>
  <c r="AA222" i="23"/>
  <c r="DB100" i="4"/>
  <c r="EW64" i="7"/>
  <c r="EK64" i="4"/>
  <c r="DB182" i="7"/>
  <c r="CN222" i="23"/>
  <c r="DB183" i="4"/>
  <c r="BU263" i="23"/>
  <c r="EM159" i="4"/>
  <c r="BC63" i="24"/>
  <c r="CC135" i="4"/>
  <c r="ES54" i="7"/>
  <c r="EX54" i="7" s="1"/>
  <c r="ES51" i="4"/>
  <c r="AR228" i="23"/>
  <c r="CV122" i="4"/>
  <c r="DX193" i="23"/>
  <c r="BQ229" i="7"/>
  <c r="O229" i="7"/>
  <c r="BE229" i="4"/>
  <c r="CV258" i="23"/>
  <c r="ER192" i="4"/>
  <c r="BK70" i="24"/>
  <c r="BV144" i="4"/>
  <c r="DF263" i="23"/>
  <c r="EM203" i="4"/>
  <c r="CK65" i="24"/>
  <c r="CA179" i="4"/>
  <c r="CA178" i="7"/>
  <c r="AE64" i="24"/>
  <c r="CB106" i="4"/>
  <c r="DU186" i="23"/>
  <c r="V225" i="7"/>
  <c r="BL225" i="4"/>
  <c r="DN224" i="23"/>
  <c r="CZ213" i="4"/>
  <c r="DD188" i="23"/>
  <c r="T201" i="7"/>
  <c r="BJ201" i="4"/>
  <c r="CS66" i="24"/>
  <c r="BZ189" i="4"/>
  <c r="BY190" i="23"/>
  <c r="BH164" i="7"/>
  <c r="R165" i="7"/>
  <c r="BH165" i="4"/>
  <c r="BR192" i="23"/>
  <c r="P153" i="7"/>
  <c r="BF153" i="4"/>
  <c r="BH260" i="23"/>
  <c r="EP141" i="4"/>
  <c r="AM71" i="24"/>
  <c r="BU116" i="7"/>
  <c r="BU117" i="4"/>
  <c r="EJ117" i="7"/>
  <c r="DP117" i="7"/>
  <c r="DN117" i="7"/>
  <c r="DM117" i="7"/>
  <c r="DK117" i="7"/>
  <c r="DJ117" i="7"/>
  <c r="DO117" i="7"/>
  <c r="DL117" i="7"/>
  <c r="DT117" i="7"/>
  <c r="DS117" i="7"/>
  <c r="DR117" i="7"/>
  <c r="DH117" i="7" s="1"/>
  <c r="DQ117" i="7"/>
  <c r="DI117" i="7"/>
  <c r="T191" i="23"/>
  <c r="Q93" i="7"/>
  <c r="BG93" i="4"/>
  <c r="K184" i="23"/>
  <c r="X81" i="7"/>
  <c r="BN81" i="4"/>
  <c r="CD45" i="4"/>
  <c r="CB33" i="4"/>
  <c r="BT225" i="23"/>
  <c r="CY157" i="7"/>
  <c r="CY158" i="4"/>
  <c r="DT71" i="24"/>
  <c r="BU223" i="7"/>
  <c r="BU224" i="4"/>
  <c r="DC190" i="23"/>
  <c r="R200" i="7"/>
  <c r="BH200" i="4"/>
  <c r="CR71" i="24"/>
  <c r="BU187" i="7"/>
  <c r="BU188" i="4"/>
  <c r="EJ188" i="7"/>
  <c r="DP188" i="7"/>
  <c r="DN188" i="7"/>
  <c r="DO188" i="7"/>
  <c r="DM188" i="7"/>
  <c r="DL188" i="7"/>
  <c r="DK188" i="7"/>
  <c r="DJ188" i="7"/>
  <c r="DI188" i="7"/>
  <c r="DS188" i="7"/>
  <c r="DR188" i="7"/>
  <c r="DH188" i="7" s="1"/>
  <c r="DT188" i="7"/>
  <c r="DQ188" i="7"/>
  <c r="BG264" i="23"/>
  <c r="EL140" i="4"/>
  <c r="AX224" i="23"/>
  <c r="CZ128" i="4"/>
  <c r="S221" i="23"/>
  <c r="DC92" i="4"/>
  <c r="J62" i="24"/>
  <c r="CD80" i="4"/>
  <c r="DD219" i="7"/>
  <c r="DH219" i="7" s="1"/>
  <c r="DQ220" i="23"/>
  <c r="DD220" i="4"/>
  <c r="BV184" i="23"/>
  <c r="X160" i="7"/>
  <c r="BN160" i="4"/>
  <c r="AA227" i="23"/>
  <c r="CW100" i="4"/>
  <c r="DG64" i="7"/>
  <c r="CU64" i="4"/>
  <c r="CN63" i="24"/>
  <c r="CC183" i="4"/>
  <c r="CC182" i="7"/>
  <c r="BU264" i="23"/>
  <c r="EL159" i="4"/>
  <c r="BC221" i="23"/>
  <c r="DC135" i="4"/>
  <c r="AJ225" i="23"/>
  <c r="CY111" i="4"/>
  <c r="BM54" i="7"/>
  <c r="W51" i="7"/>
  <c r="BM51" i="4"/>
  <c r="W15" i="7"/>
  <c r="BM15" i="4"/>
  <c r="W15" i="4" s="1"/>
  <c r="W15" i="1" s="1"/>
  <c r="AR70" i="24"/>
  <c r="BV122" i="4"/>
  <c r="DB13" i="7"/>
  <c r="DB6" i="7" s="1"/>
  <c r="DB14" i="4"/>
  <c r="DB13" i="4" s="1"/>
  <c r="BI13" i="7"/>
  <c r="BI6" i="7" s="1"/>
  <c r="S14" i="7"/>
  <c r="BI14" i="4"/>
  <c r="DX259" i="23"/>
  <c r="EQ229" i="4"/>
  <c r="DB60" i="7"/>
  <c r="DB61" i="4"/>
  <c r="DB60" i="4" s="1"/>
  <c r="FC61" i="7"/>
  <c r="FA61" i="7"/>
  <c r="EZ61" i="7"/>
  <c r="FB61" i="7"/>
  <c r="EY61" i="7"/>
  <c r="FJ61" i="7"/>
  <c r="FI61" i="7"/>
  <c r="FH61" i="7"/>
  <c r="FF61" i="7"/>
  <c r="FE61" i="7"/>
  <c r="FD61" i="7"/>
  <c r="FG61" i="7"/>
  <c r="EX61" i="7" s="1"/>
  <c r="CV189" i="23"/>
  <c r="S192" i="7"/>
  <c r="BI192" i="4"/>
  <c r="BK257" i="23"/>
  <c r="ES144" i="4"/>
  <c r="AG226" i="23"/>
  <c r="CX108" i="4"/>
  <c r="DF62" i="24"/>
  <c r="CD203" i="4"/>
  <c r="CK224" i="23"/>
  <c r="CZ178" i="7"/>
  <c r="CZ179" i="4"/>
  <c r="AF187" i="23"/>
  <c r="U107" i="7"/>
  <c r="BK107" i="4"/>
  <c r="DV68" i="24"/>
  <c r="BX226" i="4"/>
  <c r="DE189" i="23"/>
  <c r="S202" i="7"/>
  <c r="BI202" i="4"/>
  <c r="DL184" i="23"/>
  <c r="X211" i="7"/>
  <c r="BN211" i="4"/>
  <c r="DB258" i="23"/>
  <c r="ER199" i="4"/>
  <c r="CH191" i="23"/>
  <c r="Q175" i="7"/>
  <c r="BG175" i="4"/>
  <c r="EM150" i="7"/>
  <c r="BP263" i="23"/>
  <c r="EM151" i="4"/>
  <c r="BF62" i="24"/>
  <c r="CD139" i="4"/>
  <c r="CD138" i="7"/>
  <c r="AW63" i="24"/>
  <c r="CC127" i="4"/>
  <c r="I184" i="23"/>
  <c r="X79" i="7"/>
  <c r="BN79" i="4"/>
  <c r="V67" i="7"/>
  <c r="BL67" i="4"/>
  <c r="V67" i="4" s="1"/>
  <c r="V67" i="1" s="1"/>
  <c r="ES29" i="7"/>
  <c r="ES31" i="4"/>
  <c r="CO190" i="23"/>
  <c r="R184" i="7"/>
  <c r="BH184" i="4"/>
  <c r="AT221" i="23"/>
  <c r="DC124" i="4"/>
  <c r="DI261" i="23"/>
  <c r="EO207" i="4"/>
  <c r="BI146" i="7"/>
  <c r="BM189" i="23"/>
  <c r="S147" i="7"/>
  <c r="BI147" i="4"/>
  <c r="Z223" i="23"/>
  <c r="DA99" i="4"/>
  <c r="BJ205" i="7"/>
  <c r="DH188" i="23"/>
  <c r="T206" i="7"/>
  <c r="BJ206" i="4"/>
  <c r="CC66" i="24"/>
  <c r="BZ169" i="4"/>
  <c r="X254" i="23"/>
  <c r="EV97" i="4"/>
  <c r="DG70" i="24"/>
  <c r="BV204" i="4"/>
  <c r="AP229" i="23"/>
  <c r="DG120" i="7"/>
  <c r="CU120" i="4"/>
  <c r="W258" i="23"/>
  <c r="ER96" i="4"/>
  <c r="EL214" i="7"/>
  <c r="DO264" i="23"/>
  <c r="EL215" i="4"/>
  <c r="AZ259" i="23"/>
  <c r="EQ131" i="4"/>
  <c r="M63" i="24"/>
  <c r="CC83" i="4"/>
  <c r="CT219" i="23"/>
  <c r="DE190" i="4"/>
  <c r="BZ71" i="24"/>
  <c r="BU166" i="4"/>
  <c r="AN256" i="23"/>
  <c r="ET118" i="4"/>
  <c r="U71" i="24"/>
  <c r="BU94" i="4"/>
  <c r="CV209" i="7"/>
  <c r="DK228" i="23"/>
  <c r="CV210" i="4"/>
  <c r="DA225" i="23"/>
  <c r="CY198" i="4"/>
  <c r="CQ228" i="23"/>
  <c r="CV186" i="4"/>
  <c r="CG186" i="23"/>
  <c r="V174" i="7"/>
  <c r="BL174" i="4"/>
  <c r="BX192" i="23"/>
  <c r="P162" i="7"/>
  <c r="BF162" i="4"/>
  <c r="AV227" i="23"/>
  <c r="CW126" i="4"/>
  <c r="AC188" i="23"/>
  <c r="T102" i="7"/>
  <c r="BJ102" i="4"/>
  <c r="H190" i="23"/>
  <c r="R78" i="7"/>
  <c r="BH78" i="4"/>
  <c r="BV42" i="4"/>
  <c r="CB247" i="4"/>
  <c r="BN265" i="23"/>
  <c r="EW148" i="7"/>
  <c r="EK148" i="4"/>
  <c r="BD186" i="23"/>
  <c r="V136" i="7"/>
  <c r="BL136" i="4"/>
  <c r="AK191" i="23"/>
  <c r="Q112" i="7"/>
  <c r="BG112" i="4"/>
  <c r="X246" i="7"/>
  <c r="BN246" i="4"/>
  <c r="CX258" i="23"/>
  <c r="ER195" i="4"/>
  <c r="CE185" i="23"/>
  <c r="W171" i="7"/>
  <c r="BM171" i="4"/>
  <c r="AS256" i="23"/>
  <c r="ET123" i="4"/>
  <c r="CW71" i="24"/>
  <c r="BU193" i="7"/>
  <c r="BU194" i="4"/>
  <c r="EJ194" i="7"/>
  <c r="DP194" i="7"/>
  <c r="DN194" i="7"/>
  <c r="DJ194" i="7"/>
  <c r="DO194" i="7"/>
  <c r="DM194" i="7"/>
  <c r="DL194" i="7"/>
  <c r="DK194" i="7"/>
  <c r="DT194" i="7"/>
  <c r="DS194" i="7"/>
  <c r="DR194" i="7"/>
  <c r="DH194" i="7" s="1"/>
  <c r="DQ194" i="7"/>
  <c r="DI194" i="7"/>
  <c r="BB219" i="23"/>
  <c r="DE133" i="7"/>
  <c r="DE134" i="4"/>
  <c r="Y185" i="23"/>
  <c r="W98" i="7"/>
  <c r="BM98" i="4"/>
  <c r="BM227" i="7"/>
  <c r="DW185" i="23"/>
  <c r="W228" i="7"/>
  <c r="BM228" i="4"/>
  <c r="CL71" i="24"/>
  <c r="BU180" i="4"/>
  <c r="EP129" i="7"/>
  <c r="AY260" i="23"/>
  <c r="EP130" i="4"/>
  <c r="DR260" i="23"/>
  <c r="EP221" i="4"/>
  <c r="CP256" i="23"/>
  <c r="ET185" i="4"/>
  <c r="DF172" i="7"/>
  <c r="CF218" i="23"/>
  <c r="DF173" i="4"/>
  <c r="BW64" i="24"/>
  <c r="CB161" i="4"/>
  <c r="BO221" i="23"/>
  <c r="DC149" i="4"/>
  <c r="BE183" i="23"/>
  <c r="Y137" i="7"/>
  <c r="BO137" i="4"/>
  <c r="AU64" i="24"/>
  <c r="CB125" i="4"/>
  <c r="AB182" i="23"/>
  <c r="Z101" i="7"/>
  <c r="BP101" i="4"/>
  <c r="EQ76" i="7"/>
  <c r="G259" i="23"/>
  <c r="EQ77" i="4"/>
  <c r="BT41" i="4"/>
  <c r="CE110" i="7"/>
  <c r="AI73" i="24"/>
  <c r="BS110" i="4"/>
  <c r="CM191" i="23"/>
  <c r="Q181" i="7"/>
  <c r="BG181" i="4"/>
  <c r="BL254" i="23"/>
  <c r="EV145" i="4"/>
  <c r="AH218" i="23"/>
  <c r="DF109" i="4"/>
  <c r="DP260" i="23"/>
  <c r="EP216" i="4"/>
  <c r="BA71" i="24"/>
  <c r="BU132" i="4"/>
  <c r="N72" i="24"/>
  <c r="BT84" i="4"/>
  <c r="BK241" i="7"/>
  <c r="EB187" i="23" s="1"/>
  <c r="U242" i="7"/>
  <c r="BK242" i="4"/>
  <c r="CU264" i="23"/>
  <c r="EL191" i="4"/>
  <c r="CA224" i="23"/>
  <c r="CZ167" i="4"/>
  <c r="BJ63" i="24"/>
  <c r="CC143" i="4"/>
  <c r="BQ7" i="7"/>
  <c r="O7" i="7"/>
  <c r="BE7" i="4"/>
  <c r="BI67" i="24"/>
  <c r="BY142" i="4"/>
  <c r="L260" i="23"/>
  <c r="EP82" i="4"/>
  <c r="BY34" i="4"/>
  <c r="DU228" i="23"/>
  <c r="CV225" i="4"/>
  <c r="DN260" i="23"/>
  <c r="EP213" i="4"/>
  <c r="CS188" i="23"/>
  <c r="T189" i="7"/>
  <c r="BJ189" i="4"/>
  <c r="CJ65" i="24"/>
  <c r="CA177" i="4"/>
  <c r="BR193" i="23"/>
  <c r="BQ153" i="7"/>
  <c r="O153" i="7"/>
  <c r="BE153" i="4"/>
  <c r="BH254" i="23"/>
  <c r="EV141" i="4"/>
  <c r="AM188" i="23"/>
  <c r="BJ116" i="7"/>
  <c r="T117" i="7"/>
  <c r="BJ117" i="4"/>
  <c r="AD68" i="24"/>
  <c r="BX105" i="4"/>
  <c r="BX104" i="7"/>
  <c r="EJ105" i="7"/>
  <c r="DP105" i="7"/>
  <c r="DO105" i="7"/>
  <c r="DN105" i="7"/>
  <c r="DM105" i="7"/>
  <c r="DL105" i="7"/>
  <c r="DK105" i="7"/>
  <c r="DJ105" i="7"/>
  <c r="DR105" i="7"/>
  <c r="DH105" i="7" s="1"/>
  <c r="DQ105" i="7"/>
  <c r="DT105" i="7"/>
  <c r="DS105" i="7"/>
  <c r="DI105" i="7"/>
  <c r="K191" i="23"/>
  <c r="Q81" i="7"/>
  <c r="BG81" i="4"/>
  <c r="K223" i="23"/>
  <c r="DA81" i="4"/>
  <c r="EW45" i="7"/>
  <c r="EK45" i="4"/>
  <c r="CE45" i="7"/>
  <c r="BS45" i="4"/>
  <c r="EW33" i="7"/>
  <c r="EK33" i="4"/>
  <c r="EU157" i="7"/>
  <c r="BT255" i="23"/>
  <c r="EU158" i="4"/>
  <c r="CE224" i="7"/>
  <c r="DT73" i="24"/>
  <c r="BS224" i="4"/>
  <c r="BS223" i="7"/>
  <c r="DC255" i="23"/>
  <c r="EU200" i="4"/>
  <c r="CR262" i="23"/>
  <c r="EN187" i="7"/>
  <c r="EN188" i="4"/>
  <c r="CI71" i="24"/>
  <c r="BU176" i="4"/>
  <c r="EJ176" i="7"/>
  <c r="DP176" i="7"/>
  <c r="DN176" i="7"/>
  <c r="DO176" i="7"/>
  <c r="DM176" i="7"/>
  <c r="DL176" i="7"/>
  <c r="DK176" i="7"/>
  <c r="DJ176" i="7"/>
  <c r="DT176" i="7"/>
  <c r="DS176" i="7"/>
  <c r="DR176" i="7"/>
  <c r="DH176" i="7" s="1"/>
  <c r="DQ176" i="7"/>
  <c r="DI176" i="7"/>
  <c r="BG261" i="23"/>
  <c r="EO140" i="4"/>
  <c r="AX260" i="23"/>
  <c r="EP128" i="4"/>
  <c r="S228" i="23"/>
  <c r="CV92" i="4"/>
  <c r="J257" i="23"/>
  <c r="ES80" i="4"/>
  <c r="DG68" i="7"/>
  <c r="CU68" i="4"/>
  <c r="BX88" i="7"/>
  <c r="BX32" i="4"/>
  <c r="BV257" i="23"/>
  <c r="ES160" i="4"/>
  <c r="AA226" i="23"/>
  <c r="CX100" i="4"/>
  <c r="EJ100" i="7"/>
  <c r="DP100" i="7"/>
  <c r="DN100" i="7"/>
  <c r="DL100" i="7"/>
  <c r="DK100" i="7"/>
  <c r="DJ100" i="7"/>
  <c r="DO100" i="7"/>
  <c r="DM100" i="7"/>
  <c r="DT100" i="7"/>
  <c r="DS100" i="7"/>
  <c r="DR100" i="7"/>
  <c r="DH100" i="7" s="1"/>
  <c r="DQ100" i="7"/>
  <c r="DI100" i="7"/>
  <c r="CN226" i="23"/>
  <c r="CX182" i="7"/>
  <c r="CX183" i="4"/>
  <c r="BU187" i="23"/>
  <c r="U159" i="7"/>
  <c r="BK159" i="4"/>
  <c r="BC224" i="23"/>
  <c r="CZ135" i="4"/>
  <c r="CE111" i="7"/>
  <c r="AJ73" i="24"/>
  <c r="BS111" i="4"/>
  <c r="AR261" i="23"/>
  <c r="EO122" i="4"/>
  <c r="DX72" i="24"/>
  <c r="BT229" i="4"/>
  <c r="CV186" i="23"/>
  <c r="V192" i="7"/>
  <c r="BL192" i="4"/>
  <c r="BK72" i="24"/>
  <c r="BT144" i="4"/>
  <c r="AG62" i="24"/>
  <c r="CD108" i="4"/>
  <c r="CK186" i="23"/>
  <c r="BL178" i="7"/>
  <c r="V179" i="7"/>
  <c r="BL179" i="4"/>
  <c r="AF225" i="23"/>
  <c r="CY107" i="4"/>
  <c r="DV188" i="23"/>
  <c r="T226" i="7"/>
  <c r="BJ226" i="4"/>
  <c r="DE221" i="23"/>
  <c r="DC202" i="4"/>
  <c r="AE256" i="23"/>
  <c r="ET106" i="4"/>
  <c r="DL70" i="24"/>
  <c r="BV211" i="4"/>
  <c r="CH255" i="23"/>
  <c r="EU175" i="4"/>
  <c r="ET150" i="7"/>
  <c r="BP256" i="23"/>
  <c r="ET151" i="4"/>
  <c r="BF263" i="23"/>
  <c r="EM138" i="7"/>
  <c r="EM139" i="4"/>
  <c r="AW223" i="23"/>
  <c r="DA127" i="4"/>
  <c r="R264" i="23"/>
  <c r="EL90" i="7"/>
  <c r="EL91" i="4"/>
  <c r="I224" i="23"/>
  <c r="CZ79" i="4"/>
  <c r="BH57" i="7"/>
  <c r="R55" i="7"/>
  <c r="R57" i="7" s="1"/>
  <c r="BH55" i="4"/>
  <c r="BN29" i="7"/>
  <c r="X31" i="7"/>
  <c r="BN31" i="4"/>
  <c r="CO221" i="23"/>
  <c r="DC184" i="4"/>
  <c r="AT188" i="23"/>
  <c r="T124" i="7"/>
  <c r="BJ124" i="4"/>
  <c r="DI70" i="24"/>
  <c r="BV207" i="4"/>
  <c r="Z189" i="23"/>
  <c r="S99" i="7"/>
  <c r="BI99" i="4"/>
  <c r="DH224" i="23"/>
  <c r="CZ205" i="7"/>
  <c r="CZ206" i="4"/>
  <c r="CC188" i="23"/>
  <c r="T169" i="7"/>
  <c r="BJ169" i="4"/>
  <c r="AQ225" i="23"/>
  <c r="CY121" i="4"/>
  <c r="DG220" i="23"/>
  <c r="DD204" i="4"/>
  <c r="CB192" i="23"/>
  <c r="P168" i="7"/>
  <c r="BF168" i="4"/>
  <c r="AP259" i="23"/>
  <c r="EQ120" i="4"/>
  <c r="EJ120" i="7"/>
  <c r="DP120" i="7"/>
  <c r="DL120" i="7"/>
  <c r="DJ120" i="7"/>
  <c r="DO120" i="7"/>
  <c r="DN120" i="7"/>
  <c r="DM120" i="7"/>
  <c r="DK120" i="7"/>
  <c r="DS120" i="7"/>
  <c r="DT120" i="7"/>
  <c r="DR120" i="7"/>
  <c r="DH120" i="7" s="1"/>
  <c r="DQ120" i="7"/>
  <c r="DI120" i="7"/>
  <c r="DD214" i="7"/>
  <c r="DO220" i="23"/>
  <c r="DD215" i="4"/>
  <c r="AZ220" i="23"/>
  <c r="DD131" i="4"/>
  <c r="M62" i="24"/>
  <c r="CD83" i="4"/>
  <c r="CT66" i="24"/>
  <c r="BZ190" i="4"/>
  <c r="AN188" i="23"/>
  <c r="T118" i="7"/>
  <c r="BJ118" i="4"/>
  <c r="U69" i="24"/>
  <c r="BW94" i="4"/>
  <c r="BQ46" i="7"/>
  <c r="O46" i="7"/>
  <c r="BE46" i="4"/>
  <c r="BW46" i="4"/>
  <c r="DS263" i="23"/>
  <c r="EM222" i="4"/>
  <c r="DA255" i="23"/>
  <c r="EU198" i="4"/>
  <c r="CQ258" i="23"/>
  <c r="ER186" i="4"/>
  <c r="CG224" i="23"/>
  <c r="CZ174" i="4"/>
  <c r="BX65" i="24"/>
  <c r="CA162" i="4"/>
  <c r="AC69" i="24"/>
  <c r="BW102" i="4"/>
  <c r="CY223" i="23"/>
  <c r="DA196" i="4"/>
  <c r="CE148" i="7"/>
  <c r="BN73" i="24"/>
  <c r="BS148" i="4"/>
  <c r="BD224" i="23"/>
  <c r="CZ136" i="4"/>
  <c r="AK261" i="23"/>
  <c r="EO112" i="4"/>
  <c r="EW40" i="7"/>
  <c r="EK40" i="4"/>
  <c r="CX70" i="24"/>
  <c r="BV195" i="4"/>
  <c r="AS228" i="23"/>
  <c r="CV123" i="4"/>
  <c r="CW190" i="23"/>
  <c r="BH193" i="7"/>
  <c r="R194" i="7"/>
  <c r="BH194" i="4"/>
  <c r="CD221" i="23"/>
  <c r="DC170" i="4"/>
  <c r="BB72" i="24"/>
  <c r="BT134" i="4"/>
  <c r="BT133" i="7"/>
  <c r="DW225" i="23"/>
  <c r="CY227" i="7"/>
  <c r="CY228" i="4"/>
  <c r="CL192" i="23"/>
  <c r="P180" i="7"/>
  <c r="BF180" i="4"/>
  <c r="AO261" i="23"/>
  <c r="EO119" i="4"/>
  <c r="BJ129" i="7"/>
  <c r="AY188" i="23"/>
  <c r="T130" i="7"/>
  <c r="BJ130" i="4"/>
  <c r="CZ218" i="23"/>
  <c r="DF197" i="4"/>
  <c r="CP219" i="23"/>
  <c r="DE185" i="4"/>
  <c r="EN172" i="7"/>
  <c r="CF262" i="23"/>
  <c r="EN173" i="4"/>
  <c r="BW193" i="23"/>
  <c r="BQ161" i="7"/>
  <c r="O161" i="7"/>
  <c r="BE161" i="4"/>
  <c r="BO224" i="23"/>
  <c r="CZ149" i="4"/>
  <c r="BE261" i="23"/>
  <c r="EO137" i="4"/>
  <c r="AU188" i="23"/>
  <c r="T125" i="7"/>
  <c r="BJ125" i="4"/>
  <c r="AL187" i="23"/>
  <c r="U113" i="7"/>
  <c r="BK113" i="4"/>
  <c r="AB186" i="23"/>
  <c r="V101" i="7"/>
  <c r="BL101" i="4"/>
  <c r="V89" i="7"/>
  <c r="BL89" i="4"/>
  <c r="V89" i="4" s="1"/>
  <c r="V89" i="1" s="1"/>
  <c r="G228" i="23"/>
  <c r="CV76" i="7"/>
  <c r="CV77" i="4"/>
  <c r="V65" i="7"/>
  <c r="BL65" i="4"/>
  <c r="V65" i="4" s="1"/>
  <c r="V65" i="1" s="1"/>
  <c r="Q41" i="7"/>
  <c r="BG41" i="4"/>
  <c r="Q41" i="4" s="1"/>
  <c r="Q41" i="1" s="1"/>
  <c r="DJ261" i="23"/>
  <c r="EO208" i="4"/>
  <c r="Q223" i="23"/>
  <c r="DA87" i="7"/>
  <c r="DA88" i="4"/>
  <c r="DA87" i="4" s="1"/>
  <c r="AI258" i="23"/>
  <c r="ER110" i="4"/>
  <c r="P261" i="23"/>
  <c r="EO86" i="4"/>
  <c r="P63" i="24"/>
  <c r="CC86" i="4"/>
  <c r="BL189" i="23"/>
  <c r="S145" i="7"/>
  <c r="BI145" i="4"/>
  <c r="AH68" i="24"/>
  <c r="BX109" i="4"/>
  <c r="DP229" i="23"/>
  <c r="DG216" i="7"/>
  <c r="CU216" i="4"/>
  <c r="BA254" i="23"/>
  <c r="EV132" i="4"/>
  <c r="N71" i="24"/>
  <c r="BU84" i="4"/>
  <c r="ER241" i="7"/>
  <c r="EB258" i="23" s="1"/>
  <c r="ER242" i="4"/>
  <c r="ER241" i="4" s="1"/>
  <c r="CU218" i="23"/>
  <c r="DF191" i="4"/>
  <c r="CA264" i="23"/>
  <c r="EL167" i="4"/>
  <c r="CE143" i="7"/>
  <c r="BJ73" i="24"/>
  <c r="BS143" i="4"/>
  <c r="BI193" i="23"/>
  <c r="BQ142" i="7"/>
  <c r="O142" i="7"/>
  <c r="BE142" i="4"/>
  <c r="L265" i="23"/>
  <c r="EW82" i="7"/>
  <c r="EK82" i="4"/>
  <c r="S34" i="7"/>
  <c r="BI34" i="4"/>
  <c r="S34" i="4" s="1"/>
  <c r="S34" i="1" s="1"/>
  <c r="DU65" i="24"/>
  <c r="CA225" i="4"/>
  <c r="DD192" i="23"/>
  <c r="P201" i="7"/>
  <c r="BF201" i="4"/>
  <c r="CS260" i="23"/>
  <c r="EP189" i="4"/>
  <c r="CJ182" i="23"/>
  <c r="Z177" i="7"/>
  <c r="BP177" i="4"/>
  <c r="BY66" i="24"/>
  <c r="BZ165" i="4"/>
  <c r="BZ164" i="7"/>
  <c r="BH193" i="23"/>
  <c r="BQ141" i="7"/>
  <c r="O141" i="7"/>
  <c r="BE141" i="4"/>
  <c r="AM219" i="23"/>
  <c r="DE116" i="7"/>
  <c r="DE117" i="4"/>
  <c r="CU104" i="7"/>
  <c r="DG105" i="7"/>
  <c r="AD229" i="23"/>
  <c r="CU105" i="4"/>
  <c r="T257" i="23"/>
  <c r="ES93" i="4"/>
  <c r="K72" i="24"/>
  <c r="BT81" i="4"/>
  <c r="BT226" i="23"/>
  <c r="CX157" i="7"/>
  <c r="CX158" i="4"/>
  <c r="DT259" i="23"/>
  <c r="EQ223" i="7"/>
  <c r="EQ224" i="4"/>
  <c r="DM183" i="23"/>
  <c r="Y212" i="7"/>
  <c r="BO212" i="4"/>
  <c r="DC67" i="24"/>
  <c r="BY200" i="4"/>
  <c r="CI228" i="23"/>
  <c r="CV176" i="4"/>
  <c r="BQ221" i="23"/>
  <c r="DC152" i="4"/>
  <c r="BG265" i="23"/>
  <c r="EW140" i="7"/>
  <c r="EK140" i="4"/>
  <c r="AX223" i="23"/>
  <c r="DA128" i="4"/>
  <c r="S254" i="23"/>
  <c r="EV92" i="4"/>
  <c r="J224" i="23"/>
  <c r="CZ80" i="4"/>
  <c r="P32" i="7"/>
  <c r="BF32" i="4"/>
  <c r="P32" i="4" s="1"/>
  <c r="P32" i="1" s="1"/>
  <c r="BS88" i="7"/>
  <c r="BS32" i="4"/>
  <c r="W20" i="7"/>
  <c r="BM20" i="4"/>
  <c r="W20" i="4" s="1"/>
  <c r="W20" i="1" s="1"/>
  <c r="BV261" i="23"/>
  <c r="EO160" i="4"/>
  <c r="AA256" i="23"/>
  <c r="ET100" i="4"/>
  <c r="BU183" i="23"/>
  <c r="Y159" i="7"/>
  <c r="BO159" i="4"/>
  <c r="BC264" i="23"/>
  <c r="EL135" i="4"/>
  <c r="AJ224" i="23"/>
  <c r="CZ111" i="4"/>
  <c r="DC54" i="7"/>
  <c r="DC51" i="4"/>
  <c r="AR182" i="23"/>
  <c r="Z122" i="7"/>
  <c r="BP122" i="4"/>
  <c r="DX184" i="23"/>
  <c r="X229" i="7"/>
  <c r="BN229" i="4"/>
  <c r="CV227" i="23"/>
  <c r="CW192" i="4"/>
  <c r="BK259" i="23"/>
  <c r="EQ144" i="4"/>
  <c r="AG189" i="23"/>
  <c r="S108" i="7"/>
  <c r="BI108" i="4"/>
  <c r="AG72" i="24"/>
  <c r="BT108" i="4"/>
  <c r="CE179" i="7"/>
  <c r="CK73" i="24"/>
  <c r="BS179" i="4"/>
  <c r="BS178" i="7"/>
  <c r="DV257" i="23"/>
  <c r="ES226" i="4"/>
  <c r="DE191" i="23"/>
  <c r="Q202" i="7"/>
  <c r="BG202" i="4"/>
  <c r="AE185" i="23"/>
  <c r="W106" i="7"/>
  <c r="BM106" i="4"/>
  <c r="DL219" i="23"/>
  <c r="DE211" i="4"/>
  <c r="DB183" i="23"/>
  <c r="Y199" i="7"/>
  <c r="BO199" i="4"/>
  <c r="CH190" i="23"/>
  <c r="R175" i="7"/>
  <c r="BH175" i="4"/>
  <c r="BP187" i="23"/>
  <c r="BK150" i="7"/>
  <c r="U151" i="7"/>
  <c r="BK151" i="4"/>
  <c r="BG138" i="7"/>
  <c r="BF191" i="23"/>
  <c r="Q139" i="7"/>
  <c r="BG139" i="4"/>
  <c r="EJ139" i="7"/>
  <c r="DP139" i="7"/>
  <c r="DN139" i="7"/>
  <c r="DL139" i="7"/>
  <c r="DK139" i="7"/>
  <c r="DO139" i="7"/>
  <c r="DM139" i="7"/>
  <c r="DJ139" i="7"/>
  <c r="DT139" i="7"/>
  <c r="DS139" i="7"/>
  <c r="DR139" i="7"/>
  <c r="DH139" i="7" s="1"/>
  <c r="DQ139" i="7"/>
  <c r="DI139" i="7"/>
  <c r="AW263" i="23"/>
  <c r="EM127" i="4"/>
  <c r="R223" i="23"/>
  <c r="DA90" i="7"/>
  <c r="DA91" i="4"/>
  <c r="I264" i="23"/>
  <c r="EL79" i="4"/>
  <c r="EW67" i="7"/>
  <c r="EK67" i="4"/>
  <c r="BP29" i="7"/>
  <c r="Z31" i="7"/>
  <c r="BP31" i="4"/>
  <c r="CB31" i="4"/>
  <c r="CB29" i="7"/>
  <c r="CO71" i="24"/>
  <c r="BU184" i="4"/>
  <c r="DI222" i="23"/>
  <c r="DB207" i="4"/>
  <c r="BM265" i="23"/>
  <c r="EK146" i="7"/>
  <c r="EW147" i="7"/>
  <c r="EK147" i="4"/>
  <c r="Z188" i="23"/>
  <c r="T99" i="7"/>
  <c r="BJ99" i="4"/>
  <c r="R63" i="7"/>
  <c r="BH63" i="4"/>
  <c r="R63" i="4" s="1"/>
  <c r="R63" i="1" s="1"/>
  <c r="DG245" i="7"/>
  <c r="CU245" i="4"/>
  <c r="EN205" i="7"/>
  <c r="DH262" i="23"/>
  <c r="EN206" i="4"/>
  <c r="CC262" i="23"/>
  <c r="EN169" i="4"/>
  <c r="CE121" i="7"/>
  <c r="AQ73" i="24"/>
  <c r="BS121" i="4"/>
  <c r="Z243" i="7"/>
  <c r="BP243" i="4"/>
  <c r="Z243" i="4" s="1"/>
  <c r="Z243" i="1" s="1"/>
  <c r="DG185" i="23"/>
  <c r="W204" i="7"/>
  <c r="BM204" i="4"/>
  <c r="CB189" i="23"/>
  <c r="S168" i="7"/>
  <c r="BI168" i="4"/>
  <c r="AP68" i="24"/>
  <c r="BX120" i="4"/>
  <c r="CY27" i="7"/>
  <c r="CY24" i="4"/>
  <c r="CY27" i="4" s="1"/>
  <c r="DO219" i="23"/>
  <c r="DE214" i="7"/>
  <c r="DE215" i="4"/>
  <c r="AZ187" i="23"/>
  <c r="U131" i="7"/>
  <c r="BK131" i="4"/>
  <c r="M256" i="23"/>
  <c r="ET83" i="4"/>
  <c r="CT220" i="23"/>
  <c r="DD190" i="4"/>
  <c r="BZ255" i="23"/>
  <c r="EU166" i="4"/>
  <c r="BS265" i="23"/>
  <c r="EW154" i="7"/>
  <c r="EK154" i="4"/>
  <c r="AN258" i="23"/>
  <c r="ER118" i="4"/>
  <c r="U186" i="23"/>
  <c r="V94" i="7"/>
  <c r="BL94" i="4"/>
  <c r="Z46" i="7"/>
  <c r="BP46" i="4"/>
  <c r="Z46" i="4" s="1"/>
  <c r="Z46" i="1" s="1"/>
  <c r="BX46" i="4"/>
  <c r="ES209" i="7"/>
  <c r="DK257" i="23"/>
  <c r="ES210" i="4"/>
  <c r="DA191" i="23"/>
  <c r="Q198" i="7"/>
  <c r="BG198" i="4"/>
  <c r="CQ187" i="23"/>
  <c r="U186" i="7"/>
  <c r="BK186" i="4"/>
  <c r="CG63" i="24"/>
  <c r="CC174" i="4"/>
  <c r="AV222" i="23"/>
  <c r="DB126" i="4"/>
  <c r="AC256" i="23"/>
  <c r="ET102" i="4"/>
  <c r="H191" i="23"/>
  <c r="Q78" i="7"/>
  <c r="BG78" i="4"/>
  <c r="S66" i="7"/>
  <c r="BI66" i="4"/>
  <c r="S66" i="4" s="1"/>
  <c r="S66" i="1" s="1"/>
  <c r="Y247" i="7"/>
  <c r="BO247" i="4"/>
  <c r="Y247" i="4" s="1"/>
  <c r="Y247" i="1" s="1"/>
  <c r="CY263" i="23"/>
  <c r="EM196" i="4"/>
  <c r="BN223" i="23"/>
  <c r="DA148" i="4"/>
  <c r="BD264" i="23"/>
  <c r="EL136" i="4"/>
  <c r="AK73" i="24"/>
  <c r="CE112" i="7"/>
  <c r="BS112" i="4"/>
  <c r="EW246" i="7"/>
  <c r="EK246" i="4"/>
  <c r="CX190" i="23"/>
  <c r="R195" i="7"/>
  <c r="BH195" i="4"/>
  <c r="CE218" i="23"/>
  <c r="DF171" i="4"/>
  <c r="AS191" i="23"/>
  <c r="Q123" i="7"/>
  <c r="BG123" i="4"/>
  <c r="EP193" i="7"/>
  <c r="CW260" i="23"/>
  <c r="EP194" i="4"/>
  <c r="CD69" i="24"/>
  <c r="BW170" i="4"/>
  <c r="Y72" i="24"/>
  <c r="BT98" i="4"/>
  <c r="DW255" i="23"/>
  <c r="EU227" i="7"/>
  <c r="EU228" i="4"/>
  <c r="CL66" i="24"/>
  <c r="BZ180" i="4"/>
  <c r="AO229" i="23"/>
  <c r="DG119" i="7"/>
  <c r="CU119" i="4"/>
  <c r="DR182" i="23"/>
  <c r="Z221" i="7"/>
  <c r="BP221" i="4"/>
  <c r="CZ192" i="23"/>
  <c r="P197" i="7"/>
  <c r="BF197" i="4"/>
  <c r="CP71" i="24"/>
  <c r="BU185" i="4"/>
  <c r="EJ185" i="7"/>
  <c r="DP185" i="7"/>
  <c r="DN185" i="7"/>
  <c r="DO185" i="7"/>
  <c r="DM185" i="7"/>
  <c r="DL185" i="7"/>
  <c r="DK185" i="7"/>
  <c r="DJ185" i="7"/>
  <c r="DT185" i="7"/>
  <c r="DS185" i="7"/>
  <c r="DR185" i="7"/>
  <c r="DH185" i="7" s="1"/>
  <c r="DQ185" i="7"/>
  <c r="DI185" i="7"/>
  <c r="BW190" i="23"/>
  <c r="R161" i="7"/>
  <c r="BH161" i="4"/>
  <c r="BO264" i="23"/>
  <c r="EL149" i="4"/>
  <c r="BE224" i="23"/>
  <c r="CZ137" i="4"/>
  <c r="AU257" i="23"/>
  <c r="ES125" i="4"/>
  <c r="AL219" i="23"/>
  <c r="DE113" i="4"/>
  <c r="AB66" i="24"/>
  <c r="BZ101" i="4"/>
  <c r="EV76" i="7"/>
  <c r="G254" i="23"/>
  <c r="EV77" i="4"/>
  <c r="U65" i="7"/>
  <c r="BK65" i="4"/>
  <c r="U65" i="4" s="1"/>
  <c r="U65" i="1" s="1"/>
  <c r="DJ254" i="23"/>
  <c r="EV208" i="4"/>
  <c r="EV87" i="7"/>
  <c r="Q254" i="23"/>
  <c r="EV88" i="4"/>
  <c r="EV87" i="4" s="1"/>
  <c r="V16" i="7"/>
  <c r="BL16" i="4"/>
  <c r="V16" i="4" s="1"/>
  <c r="V16" i="1" s="1"/>
  <c r="AI63" i="24"/>
  <c r="CC110" i="4"/>
  <c r="CM224" i="23"/>
  <c r="CZ181" i="4"/>
  <c r="BL64" i="24"/>
  <c r="CB145" i="4"/>
  <c r="O192" i="23"/>
  <c r="P85" i="7"/>
  <c r="BF85" i="4"/>
  <c r="DP193" i="23"/>
  <c r="BQ216" i="7"/>
  <c r="O216" i="7"/>
  <c r="BE216" i="4"/>
  <c r="BA68" i="24"/>
  <c r="BX132" i="4"/>
  <c r="S36" i="7"/>
  <c r="BI36" i="4"/>
  <c r="S36" i="4" s="1"/>
  <c r="S36" i="1" s="1"/>
  <c r="CU223" i="23"/>
  <c r="DA191" i="4"/>
  <c r="CA64" i="24"/>
  <c r="CB167" i="4"/>
  <c r="BI185" i="23"/>
  <c r="W142" i="7"/>
  <c r="BM142" i="4"/>
  <c r="L69" i="24"/>
  <c r="BW82" i="4"/>
  <c r="DU62" i="24"/>
  <c r="CD225" i="4"/>
  <c r="DN63" i="24"/>
  <c r="CC213" i="4"/>
  <c r="CS228" i="23"/>
  <c r="CV189" i="4"/>
  <c r="CJ221" i="23"/>
  <c r="DC177" i="4"/>
  <c r="BF164" i="7"/>
  <c r="BY192" i="23"/>
  <c r="P165" i="7"/>
  <c r="BF165" i="4"/>
  <c r="BR258" i="23"/>
  <c r="ER153" i="4"/>
  <c r="BH192" i="23"/>
  <c r="P141" i="7"/>
  <c r="BF141" i="4"/>
  <c r="EK116" i="7"/>
  <c r="AM265" i="23"/>
  <c r="EW117" i="7"/>
  <c r="EK117" i="4"/>
  <c r="AD259" i="23"/>
  <c r="EQ104" i="7"/>
  <c r="EQ105" i="4"/>
  <c r="T70" i="24"/>
  <c r="BV93" i="4"/>
  <c r="S33" i="7"/>
  <c r="BI33" i="4"/>
  <c r="S33" i="4" s="1"/>
  <c r="S33" i="1" s="1"/>
  <c r="DG21" i="7"/>
  <c r="CU21" i="4"/>
  <c r="DG21" i="4" s="1"/>
  <c r="BT256" i="23"/>
  <c r="ET157" i="7"/>
  <c r="ET158" i="4"/>
  <c r="BJ223" i="7"/>
  <c r="DT188" i="23"/>
  <c r="T224" i="7"/>
  <c r="BJ224" i="4"/>
  <c r="DM66" i="24"/>
  <c r="BZ212" i="4"/>
  <c r="DD187" i="7"/>
  <c r="CR220" i="23"/>
  <c r="DD188" i="4"/>
  <c r="CI189" i="23"/>
  <c r="S176" i="7"/>
  <c r="BI176" i="4"/>
  <c r="BQ262" i="23"/>
  <c r="EN152" i="4"/>
  <c r="BG218" i="23"/>
  <c r="DF140" i="4"/>
  <c r="AX72" i="24"/>
  <c r="BT128" i="4"/>
  <c r="J189" i="23"/>
  <c r="S80" i="7"/>
  <c r="BI80" i="4"/>
  <c r="X44" i="7"/>
  <c r="BN44" i="4"/>
  <c r="BT88" i="7"/>
  <c r="BT32" i="4"/>
  <c r="BI219" i="7"/>
  <c r="DQ189" i="23"/>
  <c r="S220" i="7"/>
  <c r="BI220" i="4"/>
  <c r="AA228" i="23"/>
  <c r="CV100" i="4"/>
  <c r="P64" i="7"/>
  <c r="BF64" i="4"/>
  <c r="P64" i="4" s="1"/>
  <c r="P64" i="1" s="1"/>
  <c r="BE182" i="7"/>
  <c r="CN193" i="23"/>
  <c r="BQ183" i="7"/>
  <c r="O183" i="7"/>
  <c r="BE183" i="4"/>
  <c r="BU192" i="23"/>
  <c r="P159" i="7"/>
  <c r="BF159" i="4"/>
  <c r="BC189" i="23"/>
  <c r="S135" i="7"/>
  <c r="BI135" i="4"/>
  <c r="AJ65" i="24"/>
  <c r="CA111" i="4"/>
  <c r="AR65" i="24"/>
  <c r="CA122" i="4"/>
  <c r="CU13" i="7"/>
  <c r="CU6" i="7" s="1"/>
  <c r="DG14" i="7"/>
  <c r="CU14" i="4"/>
  <c r="DD13" i="7"/>
  <c r="DD6" i="7" s="1"/>
  <c r="DD14" i="4"/>
  <c r="DD13" i="4" s="1"/>
  <c r="DE13" i="7"/>
  <c r="DE6" i="7" s="1"/>
  <c r="DE14" i="4"/>
  <c r="DE13" i="4" s="1"/>
  <c r="EQ60" i="7"/>
  <c r="EQ61" i="4"/>
  <c r="EQ60" i="4" s="1"/>
  <c r="DC60" i="7"/>
  <c r="DC61" i="4"/>
  <c r="BK193" i="23"/>
  <c r="BQ144" i="7"/>
  <c r="O144" i="7"/>
  <c r="BE144" i="4"/>
  <c r="AG260" i="23"/>
  <c r="EP108" i="4"/>
  <c r="DF255" i="23"/>
  <c r="EU203" i="4"/>
  <c r="CK258" i="23"/>
  <c r="ER178" i="7"/>
  <c r="ER179" i="4"/>
  <c r="AF264" i="23"/>
  <c r="EL107" i="4"/>
  <c r="DV64" i="24"/>
  <c r="CB226" i="4"/>
  <c r="DE224" i="23"/>
  <c r="CZ202" i="4"/>
  <c r="AE183" i="23"/>
  <c r="Y106" i="7"/>
  <c r="BO106" i="4"/>
  <c r="DL265" i="23"/>
  <c r="EW211" i="7"/>
  <c r="EK211" i="4"/>
  <c r="DB68" i="24"/>
  <c r="BX199" i="4"/>
  <c r="CH185" i="23"/>
  <c r="W175" i="7"/>
  <c r="BM175" i="4"/>
  <c r="BP70" i="24"/>
  <c r="BV150" i="7"/>
  <c r="BV151" i="4"/>
  <c r="DF138" i="7"/>
  <c r="BF218" i="23"/>
  <c r="DF139" i="4"/>
  <c r="AW189" i="23"/>
  <c r="S127" i="7"/>
  <c r="BI127" i="4"/>
  <c r="R72" i="24"/>
  <c r="BT91" i="4"/>
  <c r="BT90" i="7"/>
  <c r="I62" i="24"/>
  <c r="CD79" i="4"/>
  <c r="CZ57" i="7"/>
  <c r="CZ55" i="4"/>
  <c r="CZ57" i="4" s="1"/>
  <c r="ET29" i="7"/>
  <c r="ET31" i="4"/>
  <c r="ET29" i="4" s="1"/>
  <c r="CO261" i="23"/>
  <c r="EO184" i="4"/>
  <c r="AT262" i="23"/>
  <c r="EN124" i="4"/>
  <c r="DI193" i="23"/>
  <c r="BQ207" i="7"/>
  <c r="O207" i="7"/>
  <c r="BE207" i="4"/>
  <c r="BM67" i="24"/>
  <c r="BY147" i="4"/>
  <c r="BY146" i="7"/>
  <c r="Z68" i="24"/>
  <c r="BX99" i="4"/>
  <c r="BT39" i="4"/>
  <c r="BT38" i="7"/>
  <c r="F72" i="24" s="1"/>
  <c r="DH187" i="23"/>
  <c r="BK205" i="7"/>
  <c r="U206" i="7"/>
  <c r="BK206" i="4"/>
  <c r="CE169" i="7"/>
  <c r="CC73" i="24"/>
  <c r="BS169" i="4"/>
  <c r="X222" i="23"/>
  <c r="DB97" i="4"/>
  <c r="DG67" i="24"/>
  <c r="BY204" i="4"/>
  <c r="AP222" i="23"/>
  <c r="DB120" i="4"/>
  <c r="W219" i="23"/>
  <c r="DE96" i="4"/>
  <c r="BN214" i="7"/>
  <c r="DO184" i="23"/>
  <c r="X215" i="7"/>
  <c r="BN215" i="4"/>
  <c r="AZ265" i="23"/>
  <c r="EW131" i="7"/>
  <c r="EK131" i="4"/>
  <c r="M191" i="23"/>
  <c r="Q83" i="7"/>
  <c r="BG83" i="4"/>
  <c r="CT229" i="23"/>
  <c r="DG190" i="7"/>
  <c r="CU190" i="4"/>
  <c r="BZ188" i="23"/>
  <c r="T166" i="7"/>
  <c r="BJ166" i="4"/>
  <c r="BS65" i="24"/>
  <c r="CA154" i="4"/>
  <c r="U193" i="23"/>
  <c r="BQ94" i="7"/>
  <c r="O94" i="7"/>
  <c r="BE94" i="4"/>
  <c r="DS260" i="23"/>
  <c r="EP222" i="4"/>
  <c r="EN209" i="7"/>
  <c r="DK262" i="23"/>
  <c r="EN210" i="4"/>
  <c r="DA72" i="24"/>
  <c r="BT198" i="4"/>
  <c r="BX220" i="23"/>
  <c r="DD162" i="4"/>
  <c r="AV259" i="23"/>
  <c r="EQ126" i="4"/>
  <c r="AC227" i="23"/>
  <c r="CW102" i="4"/>
  <c r="H65" i="24"/>
  <c r="CA78" i="4"/>
  <c r="CY71" i="24"/>
  <c r="BU196" i="4"/>
  <c r="EJ196" i="7"/>
  <c r="DP196" i="7"/>
  <c r="DN196" i="7"/>
  <c r="DL196" i="7"/>
  <c r="DO196" i="7"/>
  <c r="DM196" i="7"/>
  <c r="DK196" i="7"/>
  <c r="DJ196" i="7"/>
  <c r="DQ196" i="7"/>
  <c r="DR196" i="7"/>
  <c r="DH196" i="7" s="1"/>
  <c r="DI196" i="7"/>
  <c r="DT196" i="7"/>
  <c r="DS196" i="7"/>
  <c r="BD184" i="23"/>
  <c r="X136" i="7"/>
  <c r="BN136" i="4"/>
  <c r="AK64" i="24"/>
  <c r="CB112" i="4"/>
  <c r="CX65" i="24"/>
  <c r="CA195" i="4"/>
  <c r="AS192" i="23"/>
  <c r="P123" i="7"/>
  <c r="BF123" i="4"/>
  <c r="BL193" i="7"/>
  <c r="CW186" i="23"/>
  <c r="V194" i="7"/>
  <c r="BL194" i="4"/>
  <c r="CD68" i="24"/>
  <c r="BX170" i="4"/>
  <c r="BB68" i="24"/>
  <c r="BX134" i="4"/>
  <c r="BX133" i="7"/>
  <c r="Y68" i="24"/>
  <c r="BX98" i="4"/>
  <c r="BT62" i="4"/>
  <c r="BT60" i="7"/>
  <c r="S244" i="7"/>
  <c r="BI244" i="4"/>
  <c r="S244" i="4" s="1"/>
  <c r="S244" i="1" s="1"/>
  <c r="Q25" i="7"/>
  <c r="BG25" i="4"/>
  <c r="Q25" i="4" s="1"/>
  <c r="Q25" i="1" s="1"/>
  <c r="CZ227" i="7"/>
  <c r="DW224" i="23"/>
  <c r="CZ228" i="4"/>
  <c r="CL188" i="23"/>
  <c r="T180" i="7"/>
  <c r="BJ180" i="4"/>
  <c r="AO66" i="24"/>
  <c r="BZ119" i="4"/>
  <c r="DR262" i="23"/>
  <c r="EN221" i="4"/>
  <c r="CZ70" i="24"/>
  <c r="BV197" i="4"/>
  <c r="CF190" i="23"/>
  <c r="BH172" i="7"/>
  <c r="R173" i="7"/>
  <c r="BH173" i="4"/>
  <c r="BW221" i="23"/>
  <c r="DC161" i="4"/>
  <c r="BO184" i="23"/>
  <c r="X149" i="7"/>
  <c r="BN149" i="4"/>
  <c r="BE264" i="23"/>
  <c r="EL137" i="4"/>
  <c r="AU224" i="23"/>
  <c r="CZ125" i="4"/>
  <c r="CE113" i="7"/>
  <c r="AL73" i="24"/>
  <c r="BS113" i="4"/>
  <c r="Y89" i="7"/>
  <c r="BO89" i="4"/>
  <c r="Y89" i="4" s="1"/>
  <c r="Y89" i="1" s="1"/>
  <c r="G68" i="24"/>
  <c r="BX77" i="4"/>
  <c r="BX76" i="7"/>
  <c r="P41" i="7"/>
  <c r="BF41" i="4"/>
  <c r="P41" i="4" s="1"/>
  <c r="P41" i="1" s="1"/>
  <c r="DJ182" i="23"/>
  <c r="Z208" i="7"/>
  <c r="BP208" i="4"/>
  <c r="Q187" i="23"/>
  <c r="BK87" i="7"/>
  <c r="U88" i="7"/>
  <c r="BK88" i="4"/>
  <c r="AI265" i="23"/>
  <c r="EW110" i="7"/>
  <c r="EK110" i="4"/>
  <c r="P227" i="23"/>
  <c r="CW86" i="4"/>
  <c r="CM190" i="23"/>
  <c r="R181" i="7"/>
  <c r="BH181" i="4"/>
  <c r="BL62" i="24"/>
  <c r="CD145" i="4"/>
  <c r="O218" i="23"/>
  <c r="DF85" i="4"/>
  <c r="DP225" i="23"/>
  <c r="CY216" i="4"/>
  <c r="BA260" i="23"/>
  <c r="EP132" i="4"/>
  <c r="N187" i="23"/>
  <c r="U84" i="7"/>
  <c r="BK84" i="4"/>
  <c r="EW36" i="7"/>
  <c r="EK36" i="4"/>
  <c r="CU257" i="23"/>
  <c r="ES191" i="4"/>
  <c r="CA223" i="23"/>
  <c r="DA167" i="4"/>
  <c r="BJ220" i="23"/>
  <c r="DD143" i="4"/>
  <c r="V63" i="24"/>
  <c r="CC95" i="4"/>
  <c r="BI255" i="23"/>
  <c r="EU142" i="4"/>
  <c r="DU73" i="24"/>
  <c r="CE225" i="7"/>
  <c r="BS225" i="4"/>
  <c r="EJ225" i="7"/>
  <c r="DN225" i="7"/>
  <c r="DM225" i="7"/>
  <c r="DL225" i="7"/>
  <c r="DK225" i="7"/>
  <c r="DJ225" i="7"/>
  <c r="DI225" i="7"/>
  <c r="DT225" i="7"/>
  <c r="DO225" i="7"/>
  <c r="DP225" i="7"/>
  <c r="DS225" i="7"/>
  <c r="DR225" i="7"/>
  <c r="DH225" i="7" s="1"/>
  <c r="DQ225" i="7"/>
  <c r="DD229" i="23"/>
  <c r="DG201" i="7"/>
  <c r="CU201" i="4"/>
  <c r="CS261" i="23"/>
  <c r="EO189" i="4"/>
  <c r="CJ225" i="23"/>
  <c r="CY177" i="4"/>
  <c r="CZ164" i="7"/>
  <c r="BY224" i="23"/>
  <c r="CZ165" i="4"/>
  <c r="BR64" i="24"/>
  <c r="CB153" i="4"/>
  <c r="AM260" i="23"/>
  <c r="EP116" i="7"/>
  <c r="EP117" i="4"/>
  <c r="AD228" i="23"/>
  <c r="CV104" i="7"/>
  <c r="CV105" i="4"/>
  <c r="T69" i="24"/>
  <c r="BW93" i="4"/>
  <c r="BT45" i="4"/>
  <c r="EN157" i="7"/>
  <c r="BT262" i="23"/>
  <c r="EN158" i="4"/>
  <c r="DE223" i="7"/>
  <c r="DT219" i="23"/>
  <c r="DE224" i="4"/>
  <c r="DM219" i="23"/>
  <c r="DE212" i="4"/>
  <c r="DC228" i="23"/>
  <c r="CV200" i="4"/>
  <c r="CY187" i="7"/>
  <c r="CR225" i="23"/>
  <c r="CY188" i="4"/>
  <c r="CI69" i="24"/>
  <c r="BW176" i="4"/>
  <c r="BG193" i="23"/>
  <c r="BQ140" i="7"/>
  <c r="O140" i="7"/>
  <c r="BE140" i="4"/>
  <c r="AX71" i="24"/>
  <c r="BU128" i="4"/>
  <c r="S263" i="23"/>
  <c r="EM92" i="4"/>
  <c r="X32" i="7"/>
  <c r="BN32" i="4"/>
  <c r="CA88" i="7"/>
  <c r="CA32" i="4"/>
  <c r="X20" i="7"/>
  <c r="BN20" i="4"/>
  <c r="X20" i="4" s="1"/>
  <c r="X20" i="1" s="1"/>
  <c r="Y20" i="7"/>
  <c r="BO20" i="4"/>
  <c r="Y20" i="4" s="1"/>
  <c r="Y20" i="1" s="1"/>
  <c r="BV262" i="23"/>
  <c r="EN160" i="4"/>
  <c r="AA68" i="24"/>
  <c r="BX100" i="4"/>
  <c r="CN256" i="23"/>
  <c r="ET182" i="7"/>
  <c r="ET183" i="4"/>
  <c r="BU226" i="23"/>
  <c r="CX159" i="4"/>
  <c r="BC259" i="23"/>
  <c r="EQ135" i="4"/>
  <c r="AJ223" i="23"/>
  <c r="DA111" i="4"/>
  <c r="AR265" i="23"/>
  <c r="EW122" i="7"/>
  <c r="EK122" i="4"/>
  <c r="BO13" i="7"/>
  <c r="BO6" i="7" s="1"/>
  <c r="Y14" i="7"/>
  <c r="BO14" i="4"/>
  <c r="CV67" i="24"/>
  <c r="BY192" i="4"/>
  <c r="AG192" i="23"/>
  <c r="P108" i="7"/>
  <c r="BF108" i="4"/>
  <c r="DF190" i="23"/>
  <c r="R203" i="7"/>
  <c r="BH203" i="4"/>
  <c r="CK263" i="23"/>
  <c r="EM178" i="7"/>
  <c r="EM179" i="4"/>
  <c r="DV229" i="23"/>
  <c r="DG226" i="7"/>
  <c r="CU226" i="4"/>
  <c r="DE182" i="23"/>
  <c r="Z202" i="7"/>
  <c r="BP202" i="4"/>
  <c r="AE184" i="23"/>
  <c r="X106" i="7"/>
  <c r="BN106" i="4"/>
  <c r="DL188" i="23"/>
  <c r="T211" i="7"/>
  <c r="BJ211" i="4"/>
  <c r="DB66" i="24"/>
  <c r="BZ199" i="4"/>
  <c r="EN150" i="7"/>
  <c r="BP262" i="23"/>
  <c r="EN151" i="4"/>
  <c r="ET138" i="7"/>
  <c r="BF256" i="23"/>
  <c r="ET139" i="4"/>
  <c r="AW228" i="23"/>
  <c r="CV127" i="4"/>
  <c r="BE90" i="7"/>
  <c r="R193" i="23"/>
  <c r="BQ91" i="7"/>
  <c r="O91" i="7"/>
  <c r="BE91" i="4"/>
  <c r="I229" i="23"/>
  <c r="DG79" i="7"/>
  <c r="CU79" i="4"/>
  <c r="BN57" i="7"/>
  <c r="BR57" i="7" s="1"/>
  <c r="X55" i="7"/>
  <c r="BN55" i="4"/>
  <c r="DE29" i="7"/>
  <c r="DE31" i="4"/>
  <c r="DE29" i="4" s="1"/>
  <c r="DE43" i="4" s="1"/>
  <c r="DE47" i="4" s="1"/>
  <c r="AT182" i="23"/>
  <c r="Z124" i="7"/>
  <c r="BP124" i="4"/>
  <c r="DI220" i="23"/>
  <c r="DD207" i="4"/>
  <c r="BM71" i="24"/>
  <c r="BU147" i="4"/>
  <c r="BU146" i="7"/>
  <c r="Z67" i="24"/>
  <c r="BY99" i="4"/>
  <c r="BE38" i="7"/>
  <c r="F193" i="23" s="1"/>
  <c r="BQ39" i="7"/>
  <c r="O39" i="7"/>
  <c r="BE39" i="4"/>
  <c r="BI38" i="7"/>
  <c r="F189" i="23" s="1"/>
  <c r="S39" i="7"/>
  <c r="BI39" i="4"/>
  <c r="BU39" i="4"/>
  <c r="BU38" i="7"/>
  <c r="F71" i="24" s="1"/>
  <c r="EJ39" i="7"/>
  <c r="DP39" i="7"/>
  <c r="DN39" i="7"/>
  <c r="DM39" i="7"/>
  <c r="DJ39" i="7"/>
  <c r="DO39" i="7"/>
  <c r="DL39" i="7"/>
  <c r="DK39" i="7"/>
  <c r="DS39" i="7"/>
  <c r="DT39" i="7"/>
  <c r="DR39" i="7"/>
  <c r="DH39" i="7" s="1"/>
  <c r="DQ39" i="7"/>
  <c r="DI39" i="7"/>
  <c r="BM205" i="7"/>
  <c r="DH185" i="23"/>
  <c r="W206" i="7"/>
  <c r="BM206" i="4"/>
  <c r="CC63" i="24"/>
  <c r="CC169" i="4"/>
  <c r="CB218" i="23"/>
  <c r="DF168" i="4"/>
  <c r="DU182" i="23"/>
  <c r="Z225" i="7"/>
  <c r="BP225" i="4"/>
  <c r="DN70" i="24"/>
  <c r="BV213" i="4"/>
  <c r="DD228" i="23"/>
  <c r="CV201" i="4"/>
  <c r="CS262" i="23"/>
  <c r="EN189" i="4"/>
  <c r="CJ191" i="23"/>
  <c r="Q177" i="7"/>
  <c r="BG177" i="4"/>
  <c r="BY63" i="24"/>
  <c r="CC165" i="4"/>
  <c r="CC164" i="7"/>
  <c r="BR255" i="23"/>
  <c r="EU153" i="4"/>
  <c r="BH255" i="23"/>
  <c r="EU141" i="4"/>
  <c r="AM65" i="24"/>
  <c r="CA117" i="4"/>
  <c r="CA116" i="7"/>
  <c r="BN104" i="7"/>
  <c r="AD184" i="23"/>
  <c r="X105" i="7"/>
  <c r="BN105" i="4"/>
  <c r="T227" i="23"/>
  <c r="CW93" i="4"/>
  <c r="K220" i="23"/>
  <c r="DD81" i="4"/>
  <c r="BW45" i="4"/>
  <c r="BW33" i="4"/>
  <c r="EJ33" i="7"/>
  <c r="DQ33" i="7"/>
  <c r="DO33" i="7"/>
  <c r="DO33" i="4" s="1"/>
  <c r="DN33" i="7"/>
  <c r="DK33" i="7"/>
  <c r="DP33" i="7"/>
  <c r="DM33" i="7"/>
  <c r="DL33" i="7"/>
  <c r="DL33" i="4" s="1"/>
  <c r="DT33" i="7"/>
  <c r="DT33" i="4" s="1"/>
  <c r="DS33" i="7"/>
  <c r="DS33" i="4" s="1"/>
  <c r="DR33" i="7"/>
  <c r="DR33" i="4" s="1"/>
  <c r="DJ33" i="7"/>
  <c r="DJ33" i="4" s="1"/>
  <c r="DI33" i="7"/>
  <c r="BT63" i="24"/>
  <c r="CC157" i="7"/>
  <c r="CC158" i="4"/>
  <c r="DT262" i="23"/>
  <c r="EN223" i="7"/>
  <c r="EN224" i="4"/>
  <c r="DM184" i="23"/>
  <c r="X212" i="7"/>
  <c r="BN212" i="4"/>
  <c r="DC64" i="24"/>
  <c r="CB200" i="4"/>
  <c r="CR188" i="23"/>
  <c r="BJ187" i="7"/>
  <c r="T188" i="7"/>
  <c r="BJ188" i="4"/>
  <c r="CI191" i="23"/>
  <c r="Q176" i="7"/>
  <c r="BG176" i="4"/>
  <c r="BQ228" i="23"/>
  <c r="CV152" i="4"/>
  <c r="BG67" i="24"/>
  <c r="BY140" i="4"/>
  <c r="AX186" i="23"/>
  <c r="V128" i="7"/>
  <c r="BL128" i="4"/>
  <c r="S70" i="24"/>
  <c r="BV92" i="4"/>
  <c r="J254" i="23"/>
  <c r="EV80" i="4"/>
  <c r="DQ183" i="23"/>
  <c r="BO219" i="7"/>
  <c r="Y220" i="7"/>
  <c r="BO220" i="4"/>
  <c r="BV228" i="23"/>
  <c r="CV160" i="4"/>
  <c r="AA192" i="23"/>
  <c r="P100" i="7"/>
  <c r="BF100" i="4"/>
  <c r="BL182" i="7"/>
  <c r="CN186" i="23"/>
  <c r="V183" i="7"/>
  <c r="BL183" i="4"/>
  <c r="BU186" i="23"/>
  <c r="V159" i="7"/>
  <c r="BL159" i="4"/>
  <c r="BC70" i="24"/>
  <c r="BV135" i="4"/>
  <c r="AJ256" i="23"/>
  <c r="ET111" i="4"/>
  <c r="EJ111" i="7"/>
  <c r="DP111" i="7"/>
  <c r="DJ111" i="7"/>
  <c r="DO111" i="7"/>
  <c r="DN111" i="7"/>
  <c r="DM111" i="7"/>
  <c r="DL111" i="7"/>
  <c r="DK111" i="7"/>
  <c r="DI111" i="7"/>
  <c r="DS111" i="7"/>
  <c r="DR111" i="7"/>
  <c r="DH111" i="7" s="1"/>
  <c r="DT111" i="7"/>
  <c r="DQ111" i="7"/>
  <c r="AR73" i="24"/>
  <c r="CE122" i="7"/>
  <c r="BS122" i="4"/>
  <c r="CZ13" i="7"/>
  <c r="CZ6" i="7" s="1"/>
  <c r="CZ14" i="4"/>
  <c r="CZ13" i="4" s="1"/>
  <c r="DX224" i="23"/>
  <c r="CZ229" i="4"/>
  <c r="BO60" i="7"/>
  <c r="Y61" i="7"/>
  <c r="BO61" i="4"/>
  <c r="CV259" i="23"/>
  <c r="EQ192" i="4"/>
  <c r="BK219" i="23"/>
  <c r="DE144" i="4"/>
  <c r="AG184" i="23"/>
  <c r="X108" i="7"/>
  <c r="BN108" i="4"/>
  <c r="DF182" i="23"/>
  <c r="Z203" i="7"/>
  <c r="BP203" i="4"/>
  <c r="CK191" i="23"/>
  <c r="BG178" i="7"/>
  <c r="Q179" i="7"/>
  <c r="BG179" i="4"/>
  <c r="AF193" i="23"/>
  <c r="BQ107" i="7"/>
  <c r="O107" i="7"/>
  <c r="BE107" i="4"/>
  <c r="EJ107" i="7"/>
  <c r="DP107" i="7"/>
  <c r="DO107" i="7"/>
  <c r="DN107" i="7"/>
  <c r="DM107" i="7"/>
  <c r="DL107" i="7"/>
  <c r="DK107" i="7"/>
  <c r="DJ107" i="7"/>
  <c r="DR107" i="7"/>
  <c r="DH107" i="7" s="1"/>
  <c r="DT107" i="7"/>
  <c r="DS107" i="7"/>
  <c r="DQ107" i="7"/>
  <c r="DI107" i="7"/>
  <c r="DV263" i="23"/>
  <c r="EM226" i="4"/>
  <c r="DE222" i="23"/>
  <c r="DB202" i="4"/>
  <c r="AE63" i="24"/>
  <c r="CC106" i="4"/>
  <c r="DL264" i="23"/>
  <c r="EL211" i="4"/>
  <c r="DB218" i="23"/>
  <c r="DF199" i="4"/>
  <c r="CH65" i="24"/>
  <c r="CA175" i="4"/>
  <c r="BO150" i="7"/>
  <c r="BP183" i="23"/>
  <c r="Y151" i="7"/>
  <c r="BO151" i="4"/>
  <c r="EO138" i="7"/>
  <c r="BF261" i="23"/>
  <c r="EO139" i="4"/>
  <c r="AW256" i="23"/>
  <c r="ET127" i="4"/>
  <c r="R188" i="23"/>
  <c r="BJ90" i="7"/>
  <c r="T91" i="7"/>
  <c r="BJ91" i="4"/>
  <c r="I187" i="23"/>
  <c r="U79" i="7"/>
  <c r="BK79" i="4"/>
  <c r="CO264" i="23"/>
  <c r="EL184" i="4"/>
  <c r="AT63" i="24"/>
  <c r="CC124" i="4"/>
  <c r="DI188" i="23"/>
  <c r="T207" i="7"/>
  <c r="BJ207" i="4"/>
  <c r="BO146" i="7"/>
  <c r="BM183" i="23"/>
  <c r="Y147" i="7"/>
  <c r="BO147" i="4"/>
  <c r="Z220" i="23"/>
  <c r="DD99" i="4"/>
  <c r="DH265" i="23"/>
  <c r="EK205" i="7"/>
  <c r="EW206" i="7"/>
  <c r="EK206" i="4"/>
  <c r="CC191" i="23"/>
  <c r="Q169" i="7"/>
  <c r="BG169" i="4"/>
  <c r="CC255" i="23"/>
  <c r="EU169" i="4"/>
  <c r="AQ262" i="23"/>
  <c r="EN121" i="4"/>
  <c r="AQ223" i="23"/>
  <c r="DA121" i="4"/>
  <c r="X189" i="23"/>
  <c r="S97" i="7"/>
  <c r="BI97" i="4"/>
  <c r="CE97" i="7"/>
  <c r="X73" i="24"/>
  <c r="BS97" i="4"/>
  <c r="BX243" i="4"/>
  <c r="DG64" i="24"/>
  <c r="CB204" i="4"/>
  <c r="CB188" i="23"/>
  <c r="T168" i="7"/>
  <c r="BJ168" i="4"/>
  <c r="AP193" i="23"/>
  <c r="BQ120" i="7"/>
  <c r="O120" i="7"/>
  <c r="BE120" i="4"/>
  <c r="AP63" i="24"/>
  <c r="CC120" i="4"/>
  <c r="W259" i="23"/>
  <c r="EQ96" i="4"/>
  <c r="DG24" i="7"/>
  <c r="CU27" i="7"/>
  <c r="CU24" i="4"/>
  <c r="EV27" i="7"/>
  <c r="EV24" i="4"/>
  <c r="EV27" i="4" s="1"/>
  <c r="DO68" i="24"/>
  <c r="BX214" i="7"/>
  <c r="BX215" i="4"/>
  <c r="AZ218" i="23"/>
  <c r="DF131" i="4"/>
  <c r="M189" i="23"/>
  <c r="S83" i="7"/>
  <c r="BI83" i="4"/>
  <c r="CT222" i="23"/>
  <c r="DB190" i="4"/>
  <c r="CT62" i="24"/>
  <c r="CD190" i="4"/>
  <c r="BZ66" i="24"/>
  <c r="BZ166" i="4"/>
  <c r="BS66" i="24"/>
  <c r="BZ154" i="4"/>
  <c r="AN62" i="24"/>
  <c r="CD118" i="4"/>
  <c r="U183" i="23"/>
  <c r="Y94" i="7"/>
  <c r="BO94" i="4"/>
  <c r="DS182" i="23"/>
  <c r="Z222" i="7"/>
  <c r="BP222" i="4"/>
  <c r="DK219" i="23"/>
  <c r="DE209" i="7"/>
  <c r="DE210" i="4"/>
  <c r="DK68" i="24"/>
  <c r="BX210" i="4"/>
  <c r="BX209" i="7"/>
  <c r="DA257" i="23"/>
  <c r="ES198" i="4"/>
  <c r="CQ191" i="23"/>
  <c r="Q186" i="7"/>
  <c r="BG186" i="4"/>
  <c r="CQ69" i="24"/>
  <c r="BW186" i="4"/>
  <c r="CG68" i="24"/>
  <c r="BX174" i="4"/>
  <c r="BX191" i="23"/>
  <c r="Q162" i="7"/>
  <c r="BG162" i="4"/>
  <c r="AV190" i="23"/>
  <c r="R126" i="7"/>
  <c r="BH126" i="4"/>
  <c r="AV73" i="24"/>
  <c r="CE126" i="7"/>
  <c r="BS126" i="4"/>
  <c r="AC63" i="24"/>
  <c r="CC102" i="4"/>
  <c r="H225" i="23"/>
  <c r="CY78" i="4"/>
  <c r="T66" i="7"/>
  <c r="BJ66" i="4"/>
  <c r="T66" i="4" s="1"/>
  <c r="T66" i="1" s="1"/>
  <c r="Z42" i="7"/>
  <c r="BP42" i="4"/>
  <c r="Z42" i="4" s="1"/>
  <c r="Z42" i="1" s="1"/>
  <c r="X247" i="7"/>
  <c r="BN247" i="4"/>
  <c r="CY257" i="23"/>
  <c r="ES196" i="4"/>
  <c r="BN254" i="23"/>
  <c r="EV148" i="4"/>
  <c r="BN258" i="23"/>
  <c r="ER148" i="4"/>
  <c r="BD262" i="23"/>
  <c r="EN136" i="4"/>
  <c r="BD259" i="23"/>
  <c r="EQ136" i="4"/>
  <c r="AK227" i="23"/>
  <c r="CW112" i="4"/>
  <c r="EJ112" i="7"/>
  <c r="DP112" i="7"/>
  <c r="DN112" i="7"/>
  <c r="DM112" i="7"/>
  <c r="DL112" i="7"/>
  <c r="DK112" i="7"/>
  <c r="DJ112" i="7"/>
  <c r="DO112" i="7"/>
  <c r="DT112" i="7"/>
  <c r="DS112" i="7"/>
  <c r="DR112" i="7"/>
  <c r="DH112" i="7" s="1"/>
  <c r="DQ112" i="7"/>
  <c r="DI112" i="7"/>
  <c r="CX185" i="23"/>
  <c r="W195" i="7"/>
  <c r="BM195" i="4"/>
  <c r="CD65" i="24"/>
  <c r="CA170" i="4"/>
  <c r="BR65" i="24"/>
  <c r="CA153" i="4"/>
  <c r="BH224" i="23"/>
  <c r="CZ141" i="4"/>
  <c r="ES116" i="7"/>
  <c r="AM257" i="23"/>
  <c r="ES117" i="4"/>
  <c r="AD226" i="23"/>
  <c r="CX104" i="7"/>
  <c r="CX105" i="4"/>
  <c r="T188" i="23"/>
  <c r="T93" i="7"/>
  <c r="BJ93" i="4"/>
  <c r="K219" i="23"/>
  <c r="DE81" i="4"/>
  <c r="EW69" i="7"/>
  <c r="EK69" i="4"/>
  <c r="Q45" i="7"/>
  <c r="BG45" i="4"/>
  <c r="Q45" i="4" s="1"/>
  <c r="Q45" i="1" s="1"/>
  <c r="P21" i="7"/>
  <c r="BF21" i="4"/>
  <c r="P21" i="4" s="1"/>
  <c r="P21" i="1" s="1"/>
  <c r="BT72" i="24"/>
  <c r="BT158" i="4"/>
  <c r="BT157" i="7"/>
  <c r="DT223" i="23"/>
  <c r="DA223" i="7"/>
  <c r="DA224" i="4"/>
  <c r="DM218" i="23"/>
  <c r="DF212" i="4"/>
  <c r="DC221" i="23"/>
  <c r="DC200" i="4"/>
  <c r="CR63" i="24"/>
  <c r="CC188" i="4"/>
  <c r="CC187" i="7"/>
  <c r="CI188" i="23"/>
  <c r="T176" i="7"/>
  <c r="BJ176" i="4"/>
  <c r="BQ182" i="23"/>
  <c r="Z152" i="7"/>
  <c r="BP152" i="4"/>
  <c r="BG184" i="23"/>
  <c r="X140" i="7"/>
  <c r="BN140" i="4"/>
  <c r="AX261" i="23"/>
  <c r="EO128" i="4"/>
  <c r="S219" i="23"/>
  <c r="DE92" i="4"/>
  <c r="J256" i="23"/>
  <c r="ET80" i="4"/>
  <c r="BH219" i="7"/>
  <c r="DQ190" i="23"/>
  <c r="R220" i="7"/>
  <c r="BH220" i="4"/>
  <c r="BV64" i="24"/>
  <c r="CB160" i="4"/>
  <c r="AA66" i="24"/>
  <c r="BZ100" i="4"/>
  <c r="BN182" i="7"/>
  <c r="CN184" i="23"/>
  <c r="X183" i="7"/>
  <c r="BN183" i="4"/>
  <c r="BU70" i="24"/>
  <c r="BV159" i="4"/>
  <c r="BC186" i="23"/>
  <c r="V135" i="7"/>
  <c r="BL135" i="4"/>
  <c r="AJ69" i="24"/>
  <c r="BW111" i="4"/>
  <c r="AR258" i="23"/>
  <c r="ER122" i="4"/>
  <c r="EU13" i="7"/>
  <c r="EU6" i="7" s="1"/>
  <c r="EU14" i="4"/>
  <c r="EU13" i="4" s="1"/>
  <c r="DX227" i="23"/>
  <c r="CW229" i="4"/>
  <c r="DF60" i="7"/>
  <c r="DF61" i="4"/>
  <c r="DF60" i="4" s="1"/>
  <c r="CV257" i="23"/>
  <c r="ES192" i="4"/>
  <c r="BK192" i="23"/>
  <c r="P144" i="7"/>
  <c r="BF144" i="4"/>
  <c r="AG218" i="23"/>
  <c r="DF108" i="4"/>
  <c r="DF68" i="24"/>
  <c r="BX203" i="4"/>
  <c r="EP178" i="7"/>
  <c r="CK260" i="23"/>
  <c r="EP179" i="4"/>
  <c r="DV222" i="23"/>
  <c r="DB226" i="4"/>
  <c r="DE263" i="23"/>
  <c r="EM202" i="4"/>
  <c r="AE223" i="23"/>
  <c r="DA106" i="4"/>
  <c r="DL258" i="23"/>
  <c r="ER211" i="4"/>
  <c r="DB254" i="23"/>
  <c r="EV199" i="4"/>
  <c r="CH228" i="23"/>
  <c r="CV175" i="4"/>
  <c r="BP190" i="23"/>
  <c r="BH150" i="7"/>
  <c r="R151" i="7"/>
  <c r="BH151" i="4"/>
  <c r="DE150" i="7"/>
  <c r="BP219" i="23"/>
  <c r="DE151" i="4"/>
  <c r="DD138" i="7"/>
  <c r="BF220" i="23"/>
  <c r="DD139" i="4"/>
  <c r="AW257" i="23"/>
  <c r="ES127" i="4"/>
  <c r="EV90" i="7"/>
  <c r="R254" i="23"/>
  <c r="EV91" i="4"/>
  <c r="I262" i="23"/>
  <c r="EN79" i="4"/>
  <c r="DF57" i="7"/>
  <c r="DF55" i="4"/>
  <c r="DF57" i="4" s="1"/>
  <c r="EM29" i="7"/>
  <c r="EM31" i="4"/>
  <c r="EM29" i="4" s="1"/>
  <c r="CO187" i="23"/>
  <c r="U184" i="7"/>
  <c r="BK184" i="4"/>
  <c r="AT191" i="23"/>
  <c r="Q124" i="7"/>
  <c r="BG124" i="4"/>
  <c r="DI226" i="23"/>
  <c r="CX207" i="4"/>
  <c r="BM63" i="24"/>
  <c r="CC147" i="4"/>
  <c r="CC146" i="7"/>
  <c r="Z66" i="24"/>
  <c r="BZ99" i="4"/>
  <c r="BP38" i="7"/>
  <c r="F182" i="23" s="1"/>
  <c r="Z39" i="7"/>
  <c r="BP39" i="4"/>
  <c r="BU245" i="4"/>
  <c r="EV205" i="7"/>
  <c r="DH254" i="23"/>
  <c r="EV206" i="4"/>
  <c r="CC190" i="23"/>
  <c r="R169" i="7"/>
  <c r="BH169" i="4"/>
  <c r="AQ222" i="23"/>
  <c r="DB121" i="4"/>
  <c r="X261" i="23"/>
  <c r="EO97" i="4"/>
  <c r="X223" i="23"/>
  <c r="DA97" i="4"/>
  <c r="S243" i="7"/>
  <c r="BI243" i="4"/>
  <c r="S243" i="4" s="1"/>
  <c r="S243" i="1" s="1"/>
  <c r="DG225" i="23"/>
  <c r="CY204" i="4"/>
  <c r="CB62" i="24"/>
  <c r="CD168" i="4"/>
  <c r="AP62" i="24"/>
  <c r="CD120" i="4"/>
  <c r="CE96" i="7"/>
  <c r="W73" i="24"/>
  <c r="BS96" i="4"/>
  <c r="DO67" i="24"/>
  <c r="BY215" i="4"/>
  <c r="BY214" i="7"/>
  <c r="AZ262" i="23"/>
  <c r="EN131" i="4"/>
  <c r="M186" i="23"/>
  <c r="V83" i="7"/>
  <c r="BL83" i="4"/>
  <c r="U35" i="7"/>
  <c r="BK35" i="4"/>
  <c r="U35" i="4" s="1"/>
  <c r="U35" i="1" s="1"/>
  <c r="CT263" i="23"/>
  <c r="EM190" i="4"/>
  <c r="BZ262" i="23"/>
  <c r="EN166" i="4"/>
  <c r="BS64" i="24"/>
  <c r="CB154" i="4"/>
  <c r="AN224" i="23"/>
  <c r="CZ118" i="4"/>
  <c r="U261" i="23"/>
  <c r="EO94" i="4"/>
  <c r="CC46" i="4"/>
  <c r="DK67" i="24"/>
  <c r="BY210" i="4"/>
  <c r="BY209" i="7"/>
  <c r="DA265" i="23"/>
  <c r="EW198" i="7"/>
  <c r="EK198" i="4"/>
  <c r="CQ183" i="23"/>
  <c r="Y186" i="7"/>
  <c r="BO186" i="4"/>
  <c r="CG71" i="24"/>
  <c r="BU174" i="4"/>
  <c r="BX225" i="23"/>
  <c r="CY162" i="4"/>
  <c r="EJ162" i="7"/>
  <c r="DP162" i="7"/>
  <c r="DN162" i="7"/>
  <c r="DO162" i="7"/>
  <c r="DM162" i="7"/>
  <c r="DL162" i="7"/>
  <c r="DK162" i="7"/>
  <c r="DJ162" i="7"/>
  <c r="DT162" i="7"/>
  <c r="DQ162" i="7"/>
  <c r="DI162" i="7"/>
  <c r="DS162" i="7"/>
  <c r="DR162" i="7"/>
  <c r="DH162" i="7" s="1"/>
  <c r="AV263" i="23"/>
  <c r="EM126" i="4"/>
  <c r="AC223" i="23"/>
  <c r="DA102" i="4"/>
  <c r="H255" i="23"/>
  <c r="EU78" i="4"/>
  <c r="CY67" i="24"/>
  <c r="BY196" i="4"/>
  <c r="BN257" i="23"/>
  <c r="ES148" i="4"/>
  <c r="BD192" i="23"/>
  <c r="P136" i="7"/>
  <c r="BF136" i="4"/>
  <c r="AK265" i="23"/>
  <c r="EW112" i="7"/>
  <c r="EK112" i="4"/>
  <c r="BQ40" i="7"/>
  <c r="O40" i="7"/>
  <c r="BE40" i="4"/>
  <c r="CD246" i="4"/>
  <c r="CX219" i="23"/>
  <c r="DE195" i="4"/>
  <c r="CE219" i="23"/>
  <c r="DE171" i="4"/>
  <c r="AS254" i="23"/>
  <c r="EV123" i="4"/>
  <c r="CW62" i="24"/>
  <c r="CD194" i="4"/>
  <c r="CD193" i="7"/>
  <c r="CD188" i="23"/>
  <c r="T170" i="7"/>
  <c r="BJ170" i="4"/>
  <c r="BB228" i="23"/>
  <c r="CV133" i="7"/>
  <c r="CV134" i="4"/>
  <c r="Y193" i="23"/>
  <c r="BQ98" i="7"/>
  <c r="O98" i="7"/>
  <c r="BE98" i="4"/>
  <c r="P26" i="7"/>
  <c r="BF26" i="4"/>
  <c r="P26" i="4" s="1"/>
  <c r="P26" i="1" s="1"/>
  <c r="BU244" i="4"/>
  <c r="DW258" i="23"/>
  <c r="ER227" i="7"/>
  <c r="ER228" i="4"/>
  <c r="CL223" i="23"/>
  <c r="DA180" i="4"/>
  <c r="AO264" i="23"/>
  <c r="EL119" i="4"/>
  <c r="AY191" i="23"/>
  <c r="BG129" i="7"/>
  <c r="Q130" i="7"/>
  <c r="BG130" i="4"/>
  <c r="DR221" i="23"/>
  <c r="DC221" i="4"/>
  <c r="CZ221" i="23"/>
  <c r="DC197" i="4"/>
  <c r="CP257" i="23"/>
  <c r="ES185" i="4"/>
  <c r="CF192" i="23"/>
  <c r="BF172" i="7"/>
  <c r="P173" i="7"/>
  <c r="BF173" i="4"/>
  <c r="BW68" i="24"/>
  <c r="BX161" i="4"/>
  <c r="BO261" i="23"/>
  <c r="EO149" i="4"/>
  <c r="BE190" i="23"/>
  <c r="R137" i="7"/>
  <c r="BH137" i="4"/>
  <c r="AU265" i="23"/>
  <c r="EW125" i="7"/>
  <c r="EK125" i="4"/>
  <c r="AL229" i="23"/>
  <c r="DG113" i="7"/>
  <c r="CU113" i="4"/>
  <c r="AB255" i="23"/>
  <c r="EU101" i="4"/>
  <c r="G191" i="23"/>
  <c r="BG76" i="7"/>
  <c r="Q77" i="7"/>
  <c r="BG77" i="4"/>
  <c r="R65" i="7"/>
  <c r="BH65" i="4"/>
  <c r="R65" i="4" s="1"/>
  <c r="R65" i="1" s="1"/>
  <c r="CB41" i="4"/>
  <c r="DJ255" i="23"/>
  <c r="EU208" i="4"/>
  <c r="Q261" i="23"/>
  <c r="EO87" i="7"/>
  <c r="EO88" i="4"/>
  <c r="EO87" i="4" s="1"/>
  <c r="AI68" i="24"/>
  <c r="BX110" i="4"/>
  <c r="P189" i="23"/>
  <c r="S86" i="7"/>
  <c r="BI86" i="4"/>
  <c r="CM182" i="23"/>
  <c r="Z181" i="7"/>
  <c r="BP181" i="4"/>
  <c r="BL265" i="23"/>
  <c r="EW145" i="7"/>
  <c r="EK145" i="4"/>
  <c r="AH187" i="23"/>
  <c r="U109" i="7"/>
  <c r="BK109" i="4"/>
  <c r="O226" i="23"/>
  <c r="CX85" i="4"/>
  <c r="DP262" i="23"/>
  <c r="EN216" i="4"/>
  <c r="BA255" i="23"/>
  <c r="EU132" i="4"/>
  <c r="BT242" i="4"/>
  <c r="BT241" i="7"/>
  <c r="EB72" i="24" s="1"/>
  <c r="CU186" i="23"/>
  <c r="V191" i="7"/>
  <c r="BL191" i="4"/>
  <c r="CA259" i="23"/>
  <c r="EQ167" i="4"/>
  <c r="BJ70" i="24"/>
  <c r="BV143" i="4"/>
  <c r="V71" i="24"/>
  <c r="BU95" i="4"/>
  <c r="DB7" i="4"/>
  <c r="EM7" i="4"/>
  <c r="BI63" i="24"/>
  <c r="CC142" i="4"/>
  <c r="L258" i="23"/>
  <c r="ER82" i="4"/>
  <c r="L63" i="24"/>
  <c r="CC82" i="4"/>
  <c r="Q34" i="7"/>
  <c r="BG34" i="4"/>
  <c r="Q34" i="4" s="1"/>
  <c r="Q34" i="1" s="1"/>
  <c r="DU70" i="24"/>
  <c r="BV225" i="4"/>
  <c r="DN183" i="23"/>
  <c r="Y213" i="7"/>
  <c r="BO213" i="4"/>
  <c r="DD186" i="23"/>
  <c r="V201" i="7"/>
  <c r="BL201" i="4"/>
  <c r="CS219" i="23"/>
  <c r="DE189" i="4"/>
  <c r="CJ71" i="24"/>
  <c r="BU177" i="4"/>
  <c r="BO164" i="7"/>
  <c r="BY183" i="23"/>
  <c r="Y165" i="7"/>
  <c r="BO165" i="4"/>
  <c r="BR256" i="23"/>
  <c r="ET153" i="4"/>
  <c r="BH65" i="24"/>
  <c r="CA141" i="4"/>
  <c r="AM64" i="24"/>
  <c r="CB117" i="4"/>
  <c r="CB116" i="7"/>
  <c r="AD64" i="24"/>
  <c r="CB105" i="4"/>
  <c r="CB104" i="7"/>
  <c r="T64" i="24"/>
  <c r="CB93" i="4"/>
  <c r="K66" i="24"/>
  <c r="BZ81" i="4"/>
  <c r="BZ33" i="4"/>
  <c r="BL157" i="7"/>
  <c r="BT186" i="23"/>
  <c r="V158" i="7"/>
  <c r="BL158" i="4"/>
  <c r="DT62" i="24"/>
  <c r="CD223" i="7"/>
  <c r="CD224" i="4"/>
  <c r="DM262" i="23"/>
  <c r="EN212" i="4"/>
  <c r="DC218" i="23"/>
  <c r="DF200" i="4"/>
  <c r="DF187" i="7"/>
  <c r="CR218" i="23"/>
  <c r="DF188" i="4"/>
  <c r="CI64" i="24"/>
  <c r="CB176" i="4"/>
  <c r="BQ183" i="23"/>
  <c r="Y152" i="7"/>
  <c r="BO152" i="4"/>
  <c r="BG228" i="23"/>
  <c r="CV140" i="4"/>
  <c r="AX225" i="23"/>
  <c r="CY128" i="4"/>
  <c r="S256" i="23"/>
  <c r="ET92" i="4"/>
  <c r="J187" i="23"/>
  <c r="U80" i="7"/>
  <c r="BK80" i="4"/>
  <c r="BX44" i="4"/>
  <c r="DQ187" i="23"/>
  <c r="BK219" i="7"/>
  <c r="U220" i="7"/>
  <c r="BK220" i="4"/>
  <c r="BV264" i="23"/>
  <c r="EL160" i="4"/>
  <c r="AA185" i="23"/>
  <c r="W100" i="7"/>
  <c r="BM100" i="4"/>
  <c r="EQ182" i="7"/>
  <c r="CN259" i="23"/>
  <c r="EQ183" i="4"/>
  <c r="BU69" i="24"/>
  <c r="BW159" i="4"/>
  <c r="BC226" i="23"/>
  <c r="CX135" i="4"/>
  <c r="AJ67" i="24"/>
  <c r="BY111" i="4"/>
  <c r="AR72" i="24"/>
  <c r="BT122" i="4"/>
  <c r="DX63" i="24"/>
  <c r="CC229" i="4"/>
  <c r="CV64" i="24"/>
  <c r="CB192" i="4"/>
  <c r="BK183" i="23"/>
  <c r="Y144" i="7"/>
  <c r="BO144" i="4"/>
  <c r="AG262" i="23"/>
  <c r="EN108" i="4"/>
  <c r="DF184" i="23"/>
  <c r="X203" i="7"/>
  <c r="BN203" i="4"/>
  <c r="CK67" i="24"/>
  <c r="BY179" i="4"/>
  <c r="BY178" i="7"/>
  <c r="AF256" i="23"/>
  <c r="ET107" i="4"/>
  <c r="DV219" i="23"/>
  <c r="DE226" i="4"/>
  <c r="DE68" i="24"/>
  <c r="BX202" i="4"/>
  <c r="AE190" i="23"/>
  <c r="R106" i="7"/>
  <c r="BH106" i="4"/>
  <c r="DL256" i="23"/>
  <c r="ET211" i="4"/>
  <c r="DB221" i="23"/>
  <c r="DC199" i="4"/>
  <c r="DB182" i="23"/>
  <c r="Z199" i="7"/>
  <c r="BP199" i="4"/>
  <c r="DB187" i="23"/>
  <c r="U199" i="7"/>
  <c r="BK199" i="4"/>
  <c r="CE199" i="7"/>
  <c r="DB73" i="24"/>
  <c r="BS199" i="4"/>
  <c r="CE175" i="7"/>
  <c r="CH73" i="24"/>
  <c r="BS175" i="4"/>
  <c r="BP228" i="23"/>
  <c r="CV150" i="7"/>
  <c r="CV151" i="4"/>
  <c r="DG151" i="7"/>
  <c r="BP229" i="23"/>
  <c r="CU150" i="7"/>
  <c r="CU151" i="4"/>
  <c r="BP265" i="23"/>
  <c r="EK150" i="7"/>
  <c r="EW151" i="7"/>
  <c r="EK151" i="4"/>
  <c r="BP62" i="24"/>
  <c r="CD150" i="7"/>
  <c r="CD151" i="4"/>
  <c r="BQ139" i="7"/>
  <c r="BE138" i="7"/>
  <c r="BF193" i="23"/>
  <c r="O139" i="7"/>
  <c r="BE139" i="4"/>
  <c r="BF187" i="23"/>
  <c r="BK138" i="7"/>
  <c r="U139" i="7"/>
  <c r="BK139" i="4"/>
  <c r="DG139" i="7"/>
  <c r="CU138" i="7"/>
  <c r="BF229" i="23"/>
  <c r="CU139" i="4"/>
  <c r="BF64" i="24"/>
  <c r="CB139" i="4"/>
  <c r="CB138" i="7"/>
  <c r="AW182" i="23"/>
  <c r="Z127" i="7"/>
  <c r="BP127" i="4"/>
  <c r="AW226" i="23"/>
  <c r="CX127" i="4"/>
  <c r="AW255" i="23"/>
  <c r="EU127" i="4"/>
  <c r="CE127" i="7"/>
  <c r="AW73" i="24"/>
  <c r="BS127" i="4"/>
  <c r="R182" i="23"/>
  <c r="BP90" i="7"/>
  <c r="Z91" i="7"/>
  <c r="BP91" i="4"/>
  <c r="R186" i="23"/>
  <c r="BL90" i="7"/>
  <c r="V91" i="7"/>
  <c r="BL91" i="4"/>
  <c r="ES90" i="7"/>
  <c r="R257" i="23"/>
  <c r="ES91" i="4"/>
  <c r="R70" i="24"/>
  <c r="BV91" i="4"/>
  <c r="BV90" i="7"/>
  <c r="I182" i="23"/>
  <c r="Z79" i="7"/>
  <c r="BP79" i="4"/>
  <c r="I256" i="23"/>
  <c r="ET79" i="4"/>
  <c r="I254" i="23"/>
  <c r="EV79" i="4"/>
  <c r="I71" i="24"/>
  <c r="BU79" i="4"/>
  <c r="BQ67" i="7"/>
  <c r="O67" i="7"/>
  <c r="BE67" i="4"/>
  <c r="BE57" i="7"/>
  <c r="BQ55" i="7"/>
  <c r="BQ57" i="7" s="1"/>
  <c r="O55" i="7"/>
  <c r="BE55" i="4"/>
  <c r="EP57" i="7"/>
  <c r="EP55" i="4"/>
  <c r="EP57" i="4" s="1"/>
  <c r="ET57" i="7"/>
  <c r="ET55" i="4"/>
  <c r="ET57" i="4" s="1"/>
  <c r="DB29" i="7"/>
  <c r="DB31" i="4"/>
  <c r="DB29" i="4" s="1"/>
  <c r="BH29" i="7"/>
  <c r="R31" i="7"/>
  <c r="BH31" i="4"/>
  <c r="BK29" i="7"/>
  <c r="U31" i="7"/>
  <c r="BK31" i="4"/>
  <c r="BW31" i="4"/>
  <c r="BW29" i="7"/>
  <c r="EJ31" i="7"/>
  <c r="DQ31" i="7"/>
  <c r="DO31" i="7"/>
  <c r="DN31" i="7"/>
  <c r="DP31" i="7"/>
  <c r="DM31" i="7"/>
  <c r="DL31" i="7"/>
  <c r="DK31" i="7"/>
  <c r="DT31" i="7"/>
  <c r="DS31" i="7"/>
  <c r="DR31" i="7"/>
  <c r="DH31" i="7" s="1"/>
  <c r="DJ31" i="7"/>
  <c r="DI31" i="7"/>
  <c r="CO258" i="23"/>
  <c r="ER184" i="4"/>
  <c r="CO262" i="23"/>
  <c r="EN184" i="4"/>
  <c r="CO223" i="23"/>
  <c r="DA184" i="4"/>
  <c r="CE184" i="7"/>
  <c r="CO73" i="24"/>
  <c r="BS184" i="4"/>
  <c r="AT190" i="23"/>
  <c r="R124" i="7"/>
  <c r="BH124" i="4"/>
  <c r="AT225" i="23"/>
  <c r="CY124" i="4"/>
  <c r="AT264" i="23"/>
  <c r="EL124" i="4"/>
  <c r="CE124" i="7"/>
  <c r="AT73" i="24"/>
  <c r="BS124" i="4"/>
  <c r="DI219" i="23"/>
  <c r="DE207" i="4"/>
  <c r="DI258" i="23"/>
  <c r="ER207" i="4"/>
  <c r="DI264" i="23"/>
  <c r="EL207" i="4"/>
  <c r="CE207" i="7"/>
  <c r="DI73" i="24"/>
  <c r="BS207" i="4"/>
  <c r="CX146" i="7"/>
  <c r="BM226" i="23"/>
  <c r="CX147" i="4"/>
  <c r="BN146" i="7"/>
  <c r="BM184" i="23"/>
  <c r="X147" i="7"/>
  <c r="BN147" i="4"/>
  <c r="ES146" i="7"/>
  <c r="BM257" i="23"/>
  <c r="ES147" i="4"/>
  <c r="CE147" i="7"/>
  <c r="BM73" i="24"/>
  <c r="BS147" i="4"/>
  <c r="BS146" i="7"/>
  <c r="Z228" i="23"/>
  <c r="CV99" i="4"/>
  <c r="Z229" i="23"/>
  <c r="DG99" i="7"/>
  <c r="CU99" i="4"/>
  <c r="Z219" i="23"/>
  <c r="DE99" i="4"/>
  <c r="Z65" i="24"/>
  <c r="CA99" i="4"/>
  <c r="Y63" i="7"/>
  <c r="BO63" i="4"/>
  <c r="Y63" i="4" s="1"/>
  <c r="Y63" i="1" s="1"/>
  <c r="DB38" i="7"/>
  <c r="F222" i="23" s="1"/>
  <c r="DB39" i="4"/>
  <c r="DB38" i="4" s="1"/>
  <c r="CV38" i="7"/>
  <c r="F228" i="23" s="1"/>
  <c r="CV39" i="4"/>
  <c r="CV38" i="4" s="1"/>
  <c r="BM38" i="7"/>
  <c r="W39" i="7"/>
  <c r="BM39" i="4"/>
  <c r="BY39" i="4"/>
  <c r="BY38" i="7"/>
  <c r="F67" i="24" s="1"/>
  <c r="Q245" i="7"/>
  <c r="BG245" i="4"/>
  <c r="Q245" i="4" s="1"/>
  <c r="Q245" i="1" s="1"/>
  <c r="BV245" i="4"/>
  <c r="DH227" i="23"/>
  <c r="CW205" i="7"/>
  <c r="CW206" i="4"/>
  <c r="DH191" i="23"/>
  <c r="BG205" i="7"/>
  <c r="Q206" i="7"/>
  <c r="BG206" i="4"/>
  <c r="BN205" i="7"/>
  <c r="BR205" i="7" s="1"/>
  <c r="DH184" i="23"/>
  <c r="X206" i="7"/>
  <c r="BN206" i="4"/>
  <c r="DH68" i="24"/>
  <c r="BX206" i="4"/>
  <c r="BX205" i="7"/>
  <c r="CC259" i="23"/>
  <c r="EQ169" i="4"/>
  <c r="CC254" i="23"/>
  <c r="EV169" i="4"/>
  <c r="CC221" i="23"/>
  <c r="DC169" i="4"/>
  <c r="CC69" i="24"/>
  <c r="BW169" i="4"/>
  <c r="AQ265" i="23"/>
  <c r="EW121" i="7"/>
  <c r="EK121" i="4"/>
  <c r="AQ261" i="23"/>
  <c r="EO121" i="4"/>
  <c r="AQ254" i="23"/>
  <c r="EV121" i="4"/>
  <c r="AQ71" i="24"/>
  <c r="BU121" i="4"/>
  <c r="EJ121" i="7"/>
  <c r="DP121" i="7"/>
  <c r="DN121" i="7"/>
  <c r="DM121" i="7"/>
  <c r="DK121" i="7"/>
  <c r="DO121" i="7"/>
  <c r="DL121" i="7"/>
  <c r="DJ121" i="7"/>
  <c r="DQ121" i="7"/>
  <c r="DT121" i="7"/>
  <c r="DS121" i="7"/>
  <c r="DR121" i="7"/>
  <c r="DH121" i="7" s="1"/>
  <c r="DI121" i="7"/>
  <c r="X187" i="23"/>
  <c r="U97" i="7"/>
  <c r="BK97" i="4"/>
  <c r="X260" i="23"/>
  <c r="EP97" i="4"/>
  <c r="X263" i="23"/>
  <c r="EM97" i="4"/>
  <c r="X72" i="24"/>
  <c r="BT97" i="4"/>
  <c r="W243" i="7"/>
  <c r="BM243" i="4"/>
  <c r="CA243" i="4"/>
  <c r="DG258" i="23"/>
  <c r="ER204" i="4"/>
  <c r="DG193" i="23"/>
  <c r="BQ204" i="7"/>
  <c r="O204" i="7"/>
  <c r="BE204" i="4"/>
  <c r="DG187" i="23"/>
  <c r="U204" i="7"/>
  <c r="BK204" i="4"/>
  <c r="CE204" i="7"/>
  <c r="DG73" i="24"/>
  <c r="BS204" i="4"/>
  <c r="CB225" i="23"/>
  <c r="CY168" i="4"/>
  <c r="CB229" i="23"/>
  <c r="DG168" i="7"/>
  <c r="CU168" i="4"/>
  <c r="CB264" i="23"/>
  <c r="EL168" i="4"/>
  <c r="CE168" i="7"/>
  <c r="CB73" i="24"/>
  <c r="BS168" i="4"/>
  <c r="AP190" i="23"/>
  <c r="R120" i="7"/>
  <c r="BH120" i="4"/>
  <c r="AP218" i="23"/>
  <c r="DF120" i="4"/>
  <c r="AP255" i="23"/>
  <c r="EU120" i="4"/>
  <c r="CE120" i="7"/>
  <c r="AP73" i="24"/>
  <c r="BS120" i="4"/>
  <c r="W222" i="23"/>
  <c r="DB96" i="4"/>
  <c r="W185" i="23"/>
  <c r="W96" i="7"/>
  <c r="BM96" i="4"/>
  <c r="W227" i="23"/>
  <c r="CW96" i="4"/>
  <c r="W66" i="24"/>
  <c r="BZ96" i="4"/>
  <c r="BF27" i="7"/>
  <c r="P24" i="7"/>
  <c r="BF24" i="4"/>
  <c r="BM27" i="7"/>
  <c r="W24" i="7"/>
  <c r="BM24" i="4"/>
  <c r="DD27" i="7"/>
  <c r="DD24" i="4"/>
  <c r="DD27" i="4" s="1"/>
  <c r="BF214" i="7"/>
  <c r="DO192" i="23"/>
  <c r="P215" i="7"/>
  <c r="BF215" i="4"/>
  <c r="DO265" i="23"/>
  <c r="EW215" i="7"/>
  <c r="EK214" i="7"/>
  <c r="EK215" i="4"/>
  <c r="DO227" i="23"/>
  <c r="CW214" i="7"/>
  <c r="CW215" i="4"/>
  <c r="DO71" i="24"/>
  <c r="BU214" i="7"/>
  <c r="BU215" i="4"/>
  <c r="AZ227" i="23"/>
  <c r="CW131" i="4"/>
  <c r="AZ255" i="23"/>
  <c r="EU131" i="4"/>
  <c r="AZ185" i="23"/>
  <c r="W131" i="7"/>
  <c r="BM131" i="4"/>
  <c r="AZ67" i="24"/>
  <c r="BY131" i="4"/>
  <c r="M192" i="23"/>
  <c r="P83" i="7"/>
  <c r="BF83" i="4"/>
  <c r="M188" i="23"/>
  <c r="T83" i="7"/>
  <c r="BJ83" i="4"/>
  <c r="M228" i="23"/>
  <c r="CV83" i="4"/>
  <c r="M69" i="24"/>
  <c r="BW83" i="4"/>
  <c r="V35" i="7"/>
  <c r="BL35" i="4"/>
  <c r="V35" i="4" s="1"/>
  <c r="V35" i="1" s="1"/>
  <c r="CT262" i="23"/>
  <c r="EN190" i="4"/>
  <c r="CT259" i="23"/>
  <c r="EQ190" i="4"/>
  <c r="CT254" i="23"/>
  <c r="EV190" i="4"/>
  <c r="CT71" i="24"/>
  <c r="BU190" i="4"/>
  <c r="EJ190" i="7"/>
  <c r="DP190" i="7"/>
  <c r="DN190" i="7"/>
  <c r="DO190" i="7"/>
  <c r="DM190" i="7"/>
  <c r="DL190" i="7"/>
  <c r="DK190" i="7"/>
  <c r="DJ190" i="7"/>
  <c r="DR190" i="7"/>
  <c r="DH190" i="7" s="1"/>
  <c r="DI190" i="7"/>
  <c r="DS190" i="7"/>
  <c r="DQ190" i="7"/>
  <c r="DT190" i="7"/>
  <c r="BZ182" i="23"/>
  <c r="Z166" i="7"/>
  <c r="BP166" i="4"/>
  <c r="BZ261" i="23"/>
  <c r="EO166" i="4"/>
  <c r="BZ263" i="23"/>
  <c r="EM166" i="4"/>
  <c r="BZ72" i="24"/>
  <c r="BT166" i="4"/>
  <c r="BS219" i="23"/>
  <c r="DE154" i="4"/>
  <c r="BS258" i="23"/>
  <c r="ER154" i="4"/>
  <c r="BS223" i="23"/>
  <c r="DA154" i="4"/>
  <c r="BS62" i="24"/>
  <c r="CD154" i="4"/>
  <c r="AN222" i="23"/>
  <c r="DB118" i="4"/>
  <c r="AN262" i="23"/>
  <c r="EN118" i="4"/>
  <c r="AN264" i="23"/>
  <c r="EL118" i="4"/>
  <c r="AN66" i="24"/>
  <c r="BZ118" i="4"/>
  <c r="U255" i="23"/>
  <c r="EU94" i="4"/>
  <c r="U191" i="23"/>
  <c r="Q94" i="7"/>
  <c r="BG94" i="4"/>
  <c r="U224" i="23"/>
  <c r="CZ94" i="4"/>
  <c r="U66" i="24"/>
  <c r="BZ94" i="4"/>
  <c r="Q46" i="7"/>
  <c r="BG46" i="4"/>
  <c r="Q46" i="4" s="1"/>
  <c r="Q46" i="1" s="1"/>
  <c r="CD46" i="4"/>
  <c r="DS226" i="23"/>
  <c r="CX222" i="4"/>
  <c r="DS219" i="23"/>
  <c r="DE222" i="4"/>
  <c r="DS188" i="23"/>
  <c r="T222" i="7"/>
  <c r="BJ222" i="4"/>
  <c r="BL209" i="7"/>
  <c r="DK186" i="23"/>
  <c r="V210" i="7"/>
  <c r="BL210" i="4"/>
  <c r="DK226" i="23"/>
  <c r="CX209" i="7"/>
  <c r="CX210" i="4"/>
  <c r="DC209" i="7"/>
  <c r="DK221" i="23"/>
  <c r="DC210" i="4"/>
  <c r="DK66" i="24"/>
  <c r="BZ210" i="4"/>
  <c r="BZ209" i="7"/>
  <c r="DA182" i="23"/>
  <c r="Z198" i="7"/>
  <c r="BP198" i="4"/>
  <c r="DA219" i="23"/>
  <c r="DE198" i="4"/>
  <c r="DA183" i="23"/>
  <c r="Y198" i="7"/>
  <c r="BO198" i="4"/>
  <c r="DA71" i="24"/>
  <c r="BU198" i="4"/>
  <c r="CQ255" i="23"/>
  <c r="EU186" i="4"/>
  <c r="CQ261" i="23"/>
  <c r="EO186" i="4"/>
  <c r="CQ193" i="23"/>
  <c r="BQ186" i="7"/>
  <c r="O186" i="7"/>
  <c r="BE186" i="4"/>
  <c r="CQ67" i="24"/>
  <c r="BY186" i="4"/>
  <c r="CG185" i="23"/>
  <c r="W174" i="7"/>
  <c r="BM174" i="4"/>
  <c r="CG226" i="23"/>
  <c r="CX174" i="4"/>
  <c r="CG227" i="23"/>
  <c r="CW174" i="4"/>
  <c r="CG70" i="24"/>
  <c r="BV174" i="4"/>
  <c r="BX228" i="23"/>
  <c r="CV162" i="4"/>
  <c r="BX255" i="23"/>
  <c r="EU162" i="4"/>
  <c r="BX184" i="23"/>
  <c r="X162" i="7"/>
  <c r="BN162" i="4"/>
  <c r="BX68" i="24"/>
  <c r="BX162" i="4"/>
  <c r="AV221" i="23"/>
  <c r="DC126" i="4"/>
  <c r="AV261" i="23"/>
  <c r="EO126" i="4"/>
  <c r="AV188" i="23"/>
  <c r="T126" i="7"/>
  <c r="BJ126" i="4"/>
  <c r="AV70" i="24"/>
  <c r="BV126" i="4"/>
  <c r="EJ126" i="7"/>
  <c r="DP126" i="7"/>
  <c r="DO126" i="7"/>
  <c r="DN126" i="7"/>
  <c r="DM126" i="7"/>
  <c r="DL126" i="7"/>
  <c r="DK126" i="7"/>
  <c r="DJ126" i="7"/>
  <c r="DI126" i="7"/>
  <c r="DT126" i="7"/>
  <c r="DS126" i="7"/>
  <c r="DR126" i="7"/>
  <c r="DH126" i="7" s="1"/>
  <c r="DQ126" i="7"/>
  <c r="AC254" i="23"/>
  <c r="EV102" i="4"/>
  <c r="AC258" i="23"/>
  <c r="ER102" i="4"/>
  <c r="AC263" i="23"/>
  <c r="EM102" i="4"/>
  <c r="AC72" i="24"/>
  <c r="BT102" i="4"/>
  <c r="H259" i="23"/>
  <c r="EQ78" i="4"/>
  <c r="H184" i="23"/>
  <c r="X78" i="7"/>
  <c r="BN78" i="4"/>
  <c r="H223" i="23"/>
  <c r="DA78" i="4"/>
  <c r="H63" i="24"/>
  <c r="CC78" i="4"/>
  <c r="Q66" i="7"/>
  <c r="BG66" i="4"/>
  <c r="Q66" i="4" s="1"/>
  <c r="Q66" i="1" s="1"/>
  <c r="S42" i="7"/>
  <c r="BI42" i="4"/>
  <c r="S42" i="4" s="1"/>
  <c r="S42" i="1" s="1"/>
  <c r="CA42" i="4"/>
  <c r="BT30" i="4"/>
  <c r="S247" i="7"/>
  <c r="BI247" i="4"/>
  <c r="S247" i="4" s="1"/>
  <c r="S247" i="1" s="1"/>
  <c r="T247" i="7"/>
  <c r="BJ247" i="4"/>
  <c r="T247" i="4" s="1"/>
  <c r="T247" i="1" s="1"/>
  <c r="CA247" i="4"/>
  <c r="CY184" i="23"/>
  <c r="X196" i="7"/>
  <c r="BN196" i="4"/>
  <c r="CY225" i="23"/>
  <c r="CY196" i="4"/>
  <c r="CY221" i="23"/>
  <c r="DC196" i="4"/>
  <c r="CY66" i="24"/>
  <c r="BZ196" i="4"/>
  <c r="BN192" i="23"/>
  <c r="P148" i="7"/>
  <c r="BF148" i="4"/>
  <c r="BN184" i="23"/>
  <c r="X148" i="7"/>
  <c r="BN148" i="4"/>
  <c r="BN227" i="23"/>
  <c r="CW148" i="4"/>
  <c r="BN70" i="24"/>
  <c r="BV148" i="4"/>
  <c r="BD182" i="23"/>
  <c r="Z136" i="7"/>
  <c r="BP136" i="4"/>
  <c r="BD189" i="23"/>
  <c r="S136" i="7"/>
  <c r="BI136" i="4"/>
  <c r="BD222" i="23"/>
  <c r="DB136" i="4"/>
  <c r="BD67" i="24"/>
  <c r="BY136" i="4"/>
  <c r="AK219" i="23"/>
  <c r="DE112" i="4"/>
  <c r="AK256" i="23"/>
  <c r="ET112" i="4"/>
  <c r="AK226" i="23"/>
  <c r="CX112" i="4"/>
  <c r="AK70" i="24"/>
  <c r="BV112" i="4"/>
  <c r="P40" i="7"/>
  <c r="BF40" i="4"/>
  <c r="P40" i="4" s="1"/>
  <c r="P40" i="1" s="1"/>
  <c r="U40" i="7"/>
  <c r="BK40" i="4"/>
  <c r="U40" i="4" s="1"/>
  <c r="U40" i="1" s="1"/>
  <c r="BY40" i="4"/>
  <c r="W246" i="7"/>
  <c r="BM246" i="4"/>
  <c r="BQ246" i="7"/>
  <c r="O246" i="7"/>
  <c r="BE246" i="4"/>
  <c r="CE246" i="7"/>
  <c r="BS246" i="4"/>
  <c r="EJ246" i="7"/>
  <c r="DN246" i="7"/>
  <c r="DL246" i="7"/>
  <c r="DK246" i="7"/>
  <c r="DK246" i="4" s="1"/>
  <c r="DJ246" i="7"/>
  <c r="DJ246" i="4" s="1"/>
  <c r="DT246" i="7"/>
  <c r="DT246" i="4" s="1"/>
  <c r="DM246" i="7"/>
  <c r="DM246" i="4" s="1"/>
  <c r="DI246" i="7"/>
  <c r="DS246" i="7"/>
  <c r="DS246" i="4" s="1"/>
  <c r="DQ246" i="7"/>
  <c r="DQ246" i="4" s="1"/>
  <c r="DR246" i="7"/>
  <c r="DH246" i="7" s="1"/>
  <c r="DP246" i="7"/>
  <c r="DP246" i="4" s="1"/>
  <c r="DO246" i="7"/>
  <c r="DO246" i="4" s="1"/>
  <c r="CX229" i="23"/>
  <c r="DG195" i="7"/>
  <c r="CU195" i="4"/>
  <c r="CX265" i="23"/>
  <c r="EW195" i="7"/>
  <c r="EK195" i="4"/>
  <c r="CX263" i="23"/>
  <c r="EM195" i="4"/>
  <c r="CX72" i="24"/>
  <c r="BT195" i="4"/>
  <c r="CE254" i="23"/>
  <c r="EV171" i="4"/>
  <c r="CE184" i="23"/>
  <c r="X171" i="7"/>
  <c r="BN171" i="4"/>
  <c r="CE223" i="23"/>
  <c r="DA171" i="4"/>
  <c r="CE62" i="24"/>
  <c r="CD171" i="4"/>
  <c r="AS255" i="23"/>
  <c r="EU123" i="4"/>
  <c r="AS185" i="23"/>
  <c r="W123" i="7"/>
  <c r="BM123" i="4"/>
  <c r="AS264" i="23"/>
  <c r="EL123" i="4"/>
  <c r="AS63" i="24"/>
  <c r="CC123" i="4"/>
  <c r="DD193" i="7"/>
  <c r="CW220" i="23"/>
  <c r="DD194" i="4"/>
  <c r="CW259" i="23"/>
  <c r="EQ193" i="7"/>
  <c r="EQ194" i="4"/>
  <c r="CW264" i="23"/>
  <c r="EL193" i="7"/>
  <c r="EL194" i="4"/>
  <c r="CW73" i="24"/>
  <c r="CE194" i="7"/>
  <c r="BS193" i="7"/>
  <c r="BS194" i="4"/>
  <c r="CD191" i="23"/>
  <c r="Q170" i="7"/>
  <c r="BG170" i="4"/>
  <c r="CD182" i="23"/>
  <c r="Z170" i="7"/>
  <c r="BP170" i="4"/>
  <c r="CD224" i="23"/>
  <c r="CZ170" i="4"/>
  <c r="CD62" i="24"/>
  <c r="CD170" i="4"/>
  <c r="BF133" i="7"/>
  <c r="BB192" i="23"/>
  <c r="P134" i="7"/>
  <c r="BF134" i="4"/>
  <c r="BM133" i="7"/>
  <c r="BB185" i="23"/>
  <c r="W134" i="7"/>
  <c r="BM134" i="4"/>
  <c r="BB225" i="23"/>
  <c r="CY133" i="7"/>
  <c r="CY134" i="4"/>
  <c r="BB64" i="24"/>
  <c r="CB134" i="4"/>
  <c r="CB133" i="7"/>
  <c r="Y192" i="23"/>
  <c r="P98" i="7"/>
  <c r="BF98" i="4"/>
  <c r="Y228" i="23"/>
  <c r="CV98" i="4"/>
  <c r="Y255" i="23"/>
  <c r="EU98" i="4"/>
  <c r="Y64" i="24"/>
  <c r="CB98" i="4"/>
  <c r="BQ62" i="7"/>
  <c r="O62" i="7"/>
  <c r="BE62" i="4"/>
  <c r="EW62" i="7"/>
  <c r="EK62" i="4"/>
  <c r="BY62" i="4"/>
  <c r="BY60" i="7"/>
  <c r="Z26" i="7"/>
  <c r="BP26" i="4"/>
  <c r="Z26" i="4" s="1"/>
  <c r="Z26" i="1" s="1"/>
  <c r="W26" i="7"/>
  <c r="BM26" i="4"/>
  <c r="W26" i="4" s="1"/>
  <c r="W26" i="1" s="1"/>
  <c r="V26" i="7"/>
  <c r="BL26" i="4"/>
  <c r="V26" i="4" s="1"/>
  <c r="V26" i="1" s="1"/>
  <c r="R244" i="7"/>
  <c r="BH244" i="4"/>
  <c r="R244" i="4" s="1"/>
  <c r="R244" i="1" s="1"/>
  <c r="DG244" i="7"/>
  <c r="CU244" i="4"/>
  <c r="BV244" i="4"/>
  <c r="DW220" i="23"/>
  <c r="DD227" i="7"/>
  <c r="DD228" i="4"/>
  <c r="BO227" i="7"/>
  <c r="DW183" i="23"/>
  <c r="Y228" i="7"/>
  <c r="BO228" i="4"/>
  <c r="CW227" i="7"/>
  <c r="DW227" i="23"/>
  <c r="CW228" i="4"/>
  <c r="CE228" i="7"/>
  <c r="DW73" i="24"/>
  <c r="BS228" i="4"/>
  <c r="BS227" i="7"/>
  <c r="EJ228" i="7"/>
  <c r="DN228" i="7"/>
  <c r="DM228" i="7"/>
  <c r="DL228" i="7"/>
  <c r="AF228" i="7" s="1"/>
  <c r="DK228" i="7"/>
  <c r="DJ228" i="7"/>
  <c r="DI228" i="7"/>
  <c r="AC228" i="7" s="1"/>
  <c r="DT228" i="7"/>
  <c r="AN228" i="7" s="1"/>
  <c r="DQ228" i="7"/>
  <c r="AK228" i="7" s="1"/>
  <c r="DP228" i="7"/>
  <c r="AJ228" i="7" s="1"/>
  <c r="DO228" i="7"/>
  <c r="AI228" i="7" s="1"/>
  <c r="DS228" i="7"/>
  <c r="AM228" i="7" s="1"/>
  <c r="DR228" i="7"/>
  <c r="DH228" i="7" s="1"/>
  <c r="CL184" i="23"/>
  <c r="X180" i="7"/>
  <c r="BN180" i="4"/>
  <c r="CL228" i="23"/>
  <c r="CV180" i="4"/>
  <c r="CL263" i="23"/>
  <c r="EM180" i="4"/>
  <c r="CL72" i="24"/>
  <c r="BT180" i="4"/>
  <c r="AO187" i="23"/>
  <c r="U119" i="7"/>
  <c r="BK119" i="4"/>
  <c r="AO190" i="23"/>
  <c r="R119" i="7"/>
  <c r="BH119" i="4"/>
  <c r="AO223" i="23"/>
  <c r="DA119" i="4"/>
  <c r="AO62" i="24"/>
  <c r="CD119" i="4"/>
  <c r="EV129" i="7"/>
  <c r="AY254" i="23"/>
  <c r="EV130" i="4"/>
  <c r="AY227" i="23"/>
  <c r="CW129" i="7"/>
  <c r="CW130" i="4"/>
  <c r="EL129" i="7"/>
  <c r="AY264" i="23"/>
  <c r="EL130" i="4"/>
  <c r="AY63" i="24"/>
  <c r="CC130" i="4"/>
  <c r="CC129" i="7"/>
  <c r="DR192" i="23"/>
  <c r="P221" i="7"/>
  <c r="BF221" i="4"/>
  <c r="DR186" i="23"/>
  <c r="V221" i="7"/>
  <c r="BL221" i="4"/>
  <c r="DR264" i="23"/>
  <c r="EL221" i="4"/>
  <c r="CZ255" i="23"/>
  <c r="EU197" i="4"/>
  <c r="CZ186" i="23"/>
  <c r="V197" i="7"/>
  <c r="BL197" i="4"/>
  <c r="CZ224" i="23"/>
  <c r="CZ197" i="4"/>
  <c r="CZ64" i="24"/>
  <c r="CB197" i="4"/>
  <c r="CP226" i="23"/>
  <c r="CX185" i="4"/>
  <c r="CP260" i="23"/>
  <c r="EP185" i="4"/>
  <c r="CP188" i="23"/>
  <c r="T185" i="7"/>
  <c r="BJ185" i="4"/>
  <c r="CP64" i="24"/>
  <c r="CB185" i="4"/>
  <c r="DB172" i="7"/>
  <c r="CF222" i="23"/>
  <c r="DB173" i="4"/>
  <c r="CX172" i="7"/>
  <c r="CF226" i="23"/>
  <c r="CX173" i="4"/>
  <c r="EU172" i="7"/>
  <c r="CF255" i="23"/>
  <c r="EU173" i="4"/>
  <c r="CF66" i="24"/>
  <c r="BZ173" i="4"/>
  <c r="BZ172" i="7"/>
  <c r="BW259" i="23"/>
  <c r="EQ161" i="4"/>
  <c r="BW218" i="23"/>
  <c r="DF161" i="4"/>
  <c r="BW183" i="23"/>
  <c r="Y161" i="7"/>
  <c r="BO161" i="4"/>
  <c r="BW67" i="24"/>
  <c r="BY161" i="4"/>
  <c r="BO192" i="23"/>
  <c r="P149" i="7"/>
  <c r="BF149" i="4"/>
  <c r="BO190" i="23"/>
  <c r="R149" i="7"/>
  <c r="BH149" i="4"/>
  <c r="BO226" i="23"/>
  <c r="CX149" i="4"/>
  <c r="BO67" i="24"/>
  <c r="BY149" i="4"/>
  <c r="BE259" i="23"/>
  <c r="EQ137" i="4"/>
  <c r="BE255" i="23"/>
  <c r="EU137" i="4"/>
  <c r="BE186" i="23"/>
  <c r="V137" i="7"/>
  <c r="BL137" i="4"/>
  <c r="BE68" i="24"/>
  <c r="BX137" i="4"/>
  <c r="AU225" i="23"/>
  <c r="CY125" i="4"/>
  <c r="AU187" i="23"/>
  <c r="U125" i="7"/>
  <c r="BK125" i="4"/>
  <c r="AU186" i="23"/>
  <c r="V125" i="7"/>
  <c r="BL125" i="4"/>
  <c r="AU69" i="24"/>
  <c r="BW125" i="4"/>
  <c r="AL193" i="23"/>
  <c r="BQ113" i="7"/>
  <c r="O113" i="7"/>
  <c r="BE113" i="4"/>
  <c r="AL228" i="23"/>
  <c r="CV113" i="4"/>
  <c r="AL259" i="23"/>
  <c r="EQ113" i="4"/>
  <c r="AL71" i="24"/>
  <c r="BU113" i="4"/>
  <c r="EJ113" i="7"/>
  <c r="DP113" i="7"/>
  <c r="DO113" i="7"/>
  <c r="DN113" i="7"/>
  <c r="DM113" i="7"/>
  <c r="DL113" i="7"/>
  <c r="DK113" i="7"/>
  <c r="DJ113" i="7"/>
  <c r="DR113" i="7"/>
  <c r="DH113" i="7" s="1"/>
  <c r="DT113" i="7"/>
  <c r="DS113" i="7"/>
  <c r="DQ113" i="7"/>
  <c r="DI113" i="7"/>
  <c r="AB265" i="23"/>
  <c r="EW101" i="7"/>
  <c r="EK101" i="4"/>
  <c r="AB190" i="23"/>
  <c r="R101" i="7"/>
  <c r="BH101" i="4"/>
  <c r="AB263" i="23"/>
  <c r="EM101" i="4"/>
  <c r="AB72" i="24"/>
  <c r="BT101" i="4"/>
  <c r="T89" i="7"/>
  <c r="BJ89" i="4"/>
  <c r="T89" i="4" s="1"/>
  <c r="T89" i="1" s="1"/>
  <c r="BJ76" i="7"/>
  <c r="G188" i="23"/>
  <c r="T77" i="7"/>
  <c r="BJ77" i="4"/>
  <c r="DF76" i="7"/>
  <c r="G218" i="23"/>
  <c r="DF77" i="4"/>
  <c r="EL76" i="7"/>
  <c r="G264" i="23"/>
  <c r="EL77" i="4"/>
  <c r="G62" i="24"/>
  <c r="CD77" i="4"/>
  <c r="CD76" i="7"/>
  <c r="Q65" i="7"/>
  <c r="BG65" i="4"/>
  <c r="Q65" i="4" s="1"/>
  <c r="Q65" i="1" s="1"/>
  <c r="U41" i="7"/>
  <c r="BK41" i="4"/>
  <c r="U41" i="4" s="1"/>
  <c r="U41" i="1" s="1"/>
  <c r="V41" i="7"/>
  <c r="BL41" i="4"/>
  <c r="V41" i="4" s="1"/>
  <c r="V41" i="1" s="1"/>
  <c r="EW41" i="7"/>
  <c r="EK41" i="4"/>
  <c r="CC41" i="4"/>
  <c r="DJ220" i="23"/>
  <c r="DD208" i="4"/>
  <c r="DJ192" i="23"/>
  <c r="P208" i="7"/>
  <c r="BF208" i="4"/>
  <c r="DJ188" i="23"/>
  <c r="T208" i="7"/>
  <c r="BJ208" i="4"/>
  <c r="DJ65" i="24"/>
  <c r="CA208" i="4"/>
  <c r="Q226" i="23"/>
  <c r="CX87" i="7"/>
  <c r="CX88" i="4"/>
  <c r="CX87" i="4" s="1"/>
  <c r="BN87" i="7"/>
  <c r="Q184" i="23"/>
  <c r="X88" i="7"/>
  <c r="BN88" i="4"/>
  <c r="Q183" i="23"/>
  <c r="BO87" i="7"/>
  <c r="Y88" i="7"/>
  <c r="BO88" i="4"/>
  <c r="AI225" i="23"/>
  <c r="CY110" i="4"/>
  <c r="AI186" i="23"/>
  <c r="V110" i="7"/>
  <c r="BL110" i="4"/>
  <c r="AI185" i="23"/>
  <c r="W110" i="7"/>
  <c r="BM110" i="4"/>
  <c r="AI67" i="24"/>
  <c r="BY110" i="4"/>
  <c r="P193" i="23"/>
  <c r="BQ86" i="7"/>
  <c r="O86" i="7"/>
  <c r="BE86" i="4"/>
  <c r="P255" i="23"/>
  <c r="EU86" i="4"/>
  <c r="P225" i="23"/>
  <c r="CY86" i="4"/>
  <c r="P68" i="24"/>
  <c r="BX86" i="4"/>
  <c r="CM219" i="23"/>
  <c r="DE181" i="4"/>
  <c r="CM193" i="23"/>
  <c r="BQ181" i="7"/>
  <c r="O181" i="7"/>
  <c r="BE181" i="4"/>
  <c r="CM260" i="23"/>
  <c r="EP181" i="4"/>
  <c r="CM70" i="24"/>
  <c r="BV181" i="4"/>
  <c r="BL192" i="23"/>
  <c r="P145" i="7"/>
  <c r="BF145" i="4"/>
  <c r="BL256" i="23"/>
  <c r="ET145" i="4"/>
  <c r="BL221" i="23"/>
  <c r="DC145" i="4"/>
  <c r="BL71" i="24"/>
  <c r="BU145" i="4"/>
  <c r="EJ145" i="7"/>
  <c r="DP145" i="7"/>
  <c r="DN145" i="7"/>
  <c r="DL145" i="7"/>
  <c r="DK145" i="7"/>
  <c r="DO145" i="7"/>
  <c r="DM145" i="7"/>
  <c r="DJ145" i="7"/>
  <c r="DT145" i="7"/>
  <c r="DQ145" i="7"/>
  <c r="DI145" i="7"/>
  <c r="DS145" i="7"/>
  <c r="DR145" i="7"/>
  <c r="DH145" i="7" s="1"/>
  <c r="AH265" i="23"/>
  <c r="EW109" i="7"/>
  <c r="EK109" i="4"/>
  <c r="AH190" i="23"/>
  <c r="R109" i="7"/>
  <c r="BH109" i="4"/>
  <c r="AH263" i="23"/>
  <c r="EM109" i="4"/>
  <c r="AH72" i="24"/>
  <c r="BT109" i="4"/>
  <c r="O187" i="23"/>
  <c r="U85" i="7"/>
  <c r="BK85" i="4"/>
  <c r="O259" i="23"/>
  <c r="EQ85" i="4"/>
  <c r="O223" i="23"/>
  <c r="DA85" i="4"/>
  <c r="O63" i="24"/>
  <c r="CC85" i="4"/>
  <c r="DP261" i="23"/>
  <c r="EO216" i="4"/>
  <c r="DP185" i="23"/>
  <c r="W216" i="7"/>
  <c r="BM216" i="4"/>
  <c r="DP187" i="23"/>
  <c r="U216" i="7"/>
  <c r="BK216" i="4"/>
  <c r="CE216" i="7"/>
  <c r="DP73" i="24"/>
  <c r="BS216" i="4"/>
  <c r="BA190" i="23"/>
  <c r="R132" i="7"/>
  <c r="BH132" i="4"/>
  <c r="BA258" i="23"/>
  <c r="ER132" i="4"/>
  <c r="BA224" i="23"/>
  <c r="CZ132" i="4"/>
  <c r="BA66" i="24"/>
  <c r="BZ132" i="4"/>
  <c r="N188" i="23"/>
  <c r="T84" i="7"/>
  <c r="BJ84" i="4"/>
  <c r="N254" i="23"/>
  <c r="EV84" i="4"/>
  <c r="N221" i="23"/>
  <c r="DC84" i="4"/>
  <c r="N63" i="24"/>
  <c r="CC84" i="4"/>
  <c r="X36" i="7"/>
  <c r="AB36" i="7" s="1"/>
  <c r="BN36" i="4"/>
  <c r="X36" i="4" s="1"/>
  <c r="X36" i="1" s="1"/>
  <c r="BF241" i="7"/>
  <c r="EB192" i="23" s="1"/>
  <c r="P242" i="7"/>
  <c r="BF242" i="4"/>
  <c r="DD241" i="7"/>
  <c r="DD242" i="4"/>
  <c r="EO241" i="7"/>
  <c r="EB261" i="23" s="1"/>
  <c r="EO242" i="4"/>
  <c r="EO241" i="4" s="1"/>
  <c r="BX241" i="7"/>
  <c r="EB68" i="24" s="1"/>
  <c r="BX242" i="4"/>
  <c r="CU182" i="23"/>
  <c r="Z191" i="7"/>
  <c r="BP191" i="4"/>
  <c r="CU220" i="23"/>
  <c r="DD191" i="4"/>
  <c r="CU183" i="23"/>
  <c r="Y191" i="7"/>
  <c r="BO191" i="4"/>
  <c r="CU67" i="24"/>
  <c r="BY191" i="4"/>
  <c r="CA185" i="23"/>
  <c r="W167" i="7"/>
  <c r="BM167" i="4"/>
  <c r="CA227" i="23"/>
  <c r="CW167" i="4"/>
  <c r="CA255" i="23"/>
  <c r="EU167" i="4"/>
  <c r="CA70" i="24"/>
  <c r="BV167" i="4"/>
  <c r="BJ261" i="23"/>
  <c r="EO143" i="4"/>
  <c r="BJ258" i="23"/>
  <c r="ER143" i="4"/>
  <c r="BJ187" i="23"/>
  <c r="U143" i="7"/>
  <c r="BK143" i="4"/>
  <c r="BJ69" i="24"/>
  <c r="BW143" i="4"/>
  <c r="V227" i="23"/>
  <c r="CW95" i="4"/>
  <c r="V191" i="23"/>
  <c r="Q95" i="7"/>
  <c r="BG95" i="4"/>
  <c r="V189" i="23"/>
  <c r="S95" i="7"/>
  <c r="BI95" i="4"/>
  <c r="V69" i="24"/>
  <c r="BW95" i="4"/>
  <c r="P7" i="7"/>
  <c r="BF7" i="4"/>
  <c r="EP7" i="4"/>
  <c r="S7" i="7"/>
  <c r="BI7" i="4"/>
  <c r="BI190" i="23"/>
  <c r="R142" i="7"/>
  <c r="BH142" i="4"/>
  <c r="BI260" i="23"/>
  <c r="EP142" i="4"/>
  <c r="BI263" i="23"/>
  <c r="EM142" i="4"/>
  <c r="BI72" i="24"/>
  <c r="BT142" i="4"/>
  <c r="L187" i="23"/>
  <c r="U82" i="7"/>
  <c r="BK82" i="4"/>
  <c r="L191" i="23"/>
  <c r="Q82" i="7"/>
  <c r="BG82" i="4"/>
  <c r="L223" i="23"/>
  <c r="DA82" i="4"/>
  <c r="L62" i="24"/>
  <c r="CD82" i="4"/>
  <c r="R34" i="7"/>
  <c r="BH34" i="4"/>
  <c r="R34" i="4" s="1"/>
  <c r="R34" i="1" s="1"/>
  <c r="CB34" i="4"/>
  <c r="DU259" i="23"/>
  <c r="EQ225" i="4"/>
  <c r="DN182" i="23"/>
  <c r="Z213" i="7"/>
  <c r="BP213" i="4"/>
  <c r="DD227" i="23"/>
  <c r="CW201" i="4"/>
  <c r="CS221" i="23"/>
  <c r="DC189" i="4"/>
  <c r="CJ67" i="24"/>
  <c r="BY177" i="4"/>
  <c r="BR265" i="23"/>
  <c r="EW153" i="7"/>
  <c r="EK153" i="4"/>
  <c r="BH188" i="23"/>
  <c r="T141" i="7"/>
  <c r="BJ141" i="4"/>
  <c r="EU116" i="7"/>
  <c r="AM255" i="23"/>
  <c r="EU117" i="4"/>
  <c r="AD72" i="24"/>
  <c r="BT105" i="4"/>
  <c r="BT104" i="7"/>
  <c r="T223" i="23"/>
  <c r="DA93" i="4"/>
  <c r="K264" i="23"/>
  <c r="EL81" i="4"/>
  <c r="R33" i="7"/>
  <c r="BH33" i="4"/>
  <c r="R33" i="4" s="1"/>
  <c r="R33" i="1" s="1"/>
  <c r="BQ21" i="7"/>
  <c r="O21" i="7"/>
  <c r="BE21" i="4"/>
  <c r="BT227" i="23"/>
  <c r="CW157" i="7"/>
  <c r="CW158" i="4"/>
  <c r="DT218" i="23"/>
  <c r="DF223" i="7"/>
  <c r="DF224" i="4"/>
  <c r="DM69" i="24"/>
  <c r="BW212" i="4"/>
  <c r="BI187" i="7"/>
  <c r="CR189" i="23"/>
  <c r="S188" i="7"/>
  <c r="BI188" i="4"/>
  <c r="CI225" i="23"/>
  <c r="CY176" i="4"/>
  <c r="BQ265" i="23"/>
  <c r="EW152" i="7"/>
  <c r="EK152" i="4"/>
  <c r="BG189" i="23"/>
  <c r="S140" i="7"/>
  <c r="BI140" i="4"/>
  <c r="AX220" i="23"/>
  <c r="DD128" i="4"/>
  <c r="S63" i="24"/>
  <c r="CC92" i="4"/>
  <c r="V44" i="7"/>
  <c r="BL44" i="4"/>
  <c r="V44" i="4" s="1"/>
  <c r="V44" i="1" s="1"/>
  <c r="BV71" i="24"/>
  <c r="BU160" i="4"/>
  <c r="CN187" i="23"/>
  <c r="BK182" i="7"/>
  <c r="U183" i="7"/>
  <c r="BK183" i="4"/>
  <c r="BU66" i="24"/>
  <c r="BZ159" i="4"/>
  <c r="CE135" i="7"/>
  <c r="BC73" i="24"/>
  <c r="BS135" i="4"/>
  <c r="BP54" i="7"/>
  <c r="Z51" i="7"/>
  <c r="Z54" i="7" s="1"/>
  <c r="BP51" i="4"/>
  <c r="AR262" i="23"/>
  <c r="EN122" i="4"/>
  <c r="DX183" i="23"/>
  <c r="Y229" i="7"/>
  <c r="BO229" i="4"/>
  <c r="CV72" i="24"/>
  <c r="BT192" i="4"/>
  <c r="BK66" i="24"/>
  <c r="BZ144" i="4"/>
  <c r="AG63" i="24"/>
  <c r="CC108" i="4"/>
  <c r="DF264" i="23"/>
  <c r="EL203" i="4"/>
  <c r="CK229" i="23"/>
  <c r="CU178" i="7"/>
  <c r="DG179" i="7"/>
  <c r="CU179" i="4"/>
  <c r="AF219" i="23"/>
  <c r="DE107" i="4"/>
  <c r="DV193" i="23"/>
  <c r="BQ226" i="7"/>
  <c r="O226" i="7"/>
  <c r="BE226" i="4"/>
  <c r="DE69" i="24"/>
  <c r="BW202" i="4"/>
  <c r="DL191" i="23"/>
  <c r="Q211" i="7"/>
  <c r="BG211" i="4"/>
  <c r="DB220" i="23"/>
  <c r="DD199" i="4"/>
  <c r="CH71" i="24"/>
  <c r="BU175" i="4"/>
  <c r="EJ175" i="7"/>
  <c r="DP175" i="7"/>
  <c r="DN175" i="7"/>
  <c r="DO175" i="7"/>
  <c r="DM175" i="7"/>
  <c r="DL175" i="7"/>
  <c r="DK175" i="7"/>
  <c r="DJ175" i="7"/>
  <c r="DR175" i="7"/>
  <c r="DH175" i="7" s="1"/>
  <c r="DQ175" i="7"/>
  <c r="DI175" i="7"/>
  <c r="DT175" i="7"/>
  <c r="DS175" i="7"/>
  <c r="BF188" i="23"/>
  <c r="BJ138" i="7"/>
  <c r="T139" i="7"/>
  <c r="BJ139" i="4"/>
  <c r="AW259" i="23"/>
  <c r="EQ127" i="4"/>
  <c r="EQ90" i="7"/>
  <c r="R259" i="23"/>
  <c r="EQ91" i="4"/>
  <c r="I259" i="23"/>
  <c r="EQ79" i="4"/>
  <c r="Y67" i="7"/>
  <c r="BO67" i="4"/>
  <c r="Y67" i="4" s="1"/>
  <c r="Y67" i="1" s="1"/>
  <c r="DC29" i="7"/>
  <c r="DC31" i="4"/>
  <c r="CO260" i="23"/>
  <c r="EP184" i="4"/>
  <c r="AT219" i="23"/>
  <c r="DE124" i="4"/>
  <c r="DI184" i="23"/>
  <c r="X207" i="7"/>
  <c r="BN207" i="4"/>
  <c r="BM263" i="23"/>
  <c r="EM146" i="7"/>
  <c r="EM147" i="4"/>
  <c r="Z64" i="24"/>
  <c r="CB99" i="4"/>
  <c r="EQ38" i="7"/>
  <c r="F259" i="23" s="1"/>
  <c r="EQ39" i="4"/>
  <c r="EQ38" i="4" s="1"/>
  <c r="X245" i="7"/>
  <c r="BN245" i="4"/>
  <c r="DH193" i="23"/>
  <c r="BE205" i="7"/>
  <c r="BQ206" i="7"/>
  <c r="O206" i="7"/>
  <c r="BE206" i="4"/>
  <c r="CC225" i="23"/>
  <c r="CY169" i="4"/>
  <c r="AQ187" i="23"/>
  <c r="U121" i="7"/>
  <c r="BK121" i="4"/>
  <c r="X184" i="23"/>
  <c r="X97" i="7"/>
  <c r="BN97" i="4"/>
  <c r="X68" i="24"/>
  <c r="BX97" i="4"/>
  <c r="DG228" i="23"/>
  <c r="CV204" i="4"/>
  <c r="CB262" i="23"/>
  <c r="EN168" i="4"/>
  <c r="AP188" i="23"/>
  <c r="T120" i="7"/>
  <c r="BJ120" i="4"/>
  <c r="W223" i="23"/>
  <c r="DA96" i="4"/>
  <c r="CU214" i="7"/>
  <c r="DO229" i="23"/>
  <c r="DG215" i="7"/>
  <c r="CU215" i="4"/>
  <c r="AZ64" i="24"/>
  <c r="CB131" i="4"/>
  <c r="BQ35" i="7"/>
  <c r="O35" i="7"/>
  <c r="BE35" i="4"/>
  <c r="CT67" i="24"/>
  <c r="BY190" i="4"/>
  <c r="BS225" i="23"/>
  <c r="CY154" i="4"/>
  <c r="AN228" i="23"/>
  <c r="CV118" i="4"/>
  <c r="U226" i="23"/>
  <c r="CX94" i="4"/>
  <c r="EJ94" i="7"/>
  <c r="DP94" i="7"/>
  <c r="DN94" i="7"/>
  <c r="DM94" i="7"/>
  <c r="DL94" i="7"/>
  <c r="DJ94" i="7"/>
  <c r="DO94" i="7"/>
  <c r="DK94" i="7"/>
  <c r="DS94" i="7"/>
  <c r="DQ94" i="7"/>
  <c r="DI94" i="7"/>
  <c r="DT94" i="7"/>
  <c r="DR94" i="7"/>
  <c r="DH94" i="7" s="1"/>
  <c r="DS262" i="23"/>
  <c r="EN222" i="4"/>
  <c r="DK73" i="24"/>
  <c r="CE210" i="7"/>
  <c r="BS210" i="4"/>
  <c r="BS209" i="7"/>
  <c r="CQ222" i="23"/>
  <c r="DB186" i="4"/>
  <c r="CG190" i="23"/>
  <c r="R174" i="7"/>
  <c r="BH174" i="4"/>
  <c r="BX259" i="23"/>
  <c r="EQ162" i="4"/>
  <c r="AV69" i="24"/>
  <c r="BW126" i="4"/>
  <c r="H193" i="23"/>
  <c r="BQ78" i="7"/>
  <c r="O78" i="7"/>
  <c r="BE78" i="4"/>
  <c r="H68" i="24"/>
  <c r="BX78" i="4"/>
  <c r="CE196" i="7"/>
  <c r="CY73" i="24"/>
  <c r="BS196" i="4"/>
  <c r="BD63" i="24"/>
  <c r="CC136" i="4"/>
  <c r="BZ40" i="4"/>
  <c r="CX220" i="23"/>
  <c r="DD195" i="4"/>
  <c r="CE68" i="24"/>
  <c r="BX171" i="4"/>
  <c r="CW225" i="23"/>
  <c r="CY193" i="7"/>
  <c r="CY194" i="4"/>
  <c r="CD189" i="23"/>
  <c r="S170" i="7"/>
  <c r="BI170" i="4"/>
  <c r="ET133" i="7"/>
  <c r="BB256" i="23"/>
  <c r="ET134" i="4"/>
  <c r="Y264" i="23"/>
  <c r="EL98" i="4"/>
  <c r="CB62" i="4"/>
  <c r="CB60" i="7"/>
  <c r="T244" i="7"/>
  <c r="BJ244" i="4"/>
  <c r="T244" i="4" s="1"/>
  <c r="T244" i="1" s="1"/>
  <c r="DW69" i="24"/>
  <c r="BW228" i="4"/>
  <c r="BW227" i="7"/>
  <c r="AO182" i="23"/>
  <c r="Z119" i="7"/>
  <c r="BP119" i="4"/>
  <c r="BL129" i="7"/>
  <c r="AY186" i="23"/>
  <c r="V130" i="7"/>
  <c r="BL130" i="4"/>
  <c r="DR222" i="23"/>
  <c r="DB221" i="4"/>
  <c r="CZ72" i="24"/>
  <c r="BT197" i="4"/>
  <c r="CF229" i="23"/>
  <c r="DG173" i="7"/>
  <c r="CU172" i="7"/>
  <c r="CU173" i="4"/>
  <c r="BW191" i="23"/>
  <c r="Q161" i="7"/>
  <c r="BG161" i="4"/>
  <c r="BE62" i="24"/>
  <c r="CD137" i="4"/>
  <c r="AL262" i="23"/>
  <c r="EN113" i="4"/>
  <c r="AB189" i="23"/>
  <c r="S101" i="7"/>
  <c r="BI101" i="4"/>
  <c r="EW89" i="7"/>
  <c r="EK89" i="4"/>
  <c r="BQ65" i="7"/>
  <c r="O65" i="7"/>
  <c r="BE65" i="4"/>
  <c r="DJ223" i="23"/>
  <c r="DA208" i="4"/>
  <c r="EL87" i="7"/>
  <c r="Q264" i="23"/>
  <c r="EL88" i="4"/>
  <c r="EL87" i="4" s="1"/>
  <c r="P182" i="23"/>
  <c r="Z86" i="7"/>
  <c r="BP86" i="4"/>
  <c r="CM221" i="23"/>
  <c r="DC181" i="4"/>
  <c r="BL185" i="23"/>
  <c r="W145" i="7"/>
  <c r="BM145" i="4"/>
  <c r="AH222" i="23"/>
  <c r="DB109" i="4"/>
  <c r="O222" i="23"/>
  <c r="DB85" i="4"/>
  <c r="O67" i="24"/>
  <c r="BY85" i="4"/>
  <c r="BA182" i="23"/>
  <c r="Z132" i="7"/>
  <c r="BP132" i="4"/>
  <c r="EJ132" i="7"/>
  <c r="DP132" i="7"/>
  <c r="DN132" i="7"/>
  <c r="DM132" i="7"/>
  <c r="DL132" i="7"/>
  <c r="DK132" i="7"/>
  <c r="DJ132" i="7"/>
  <c r="DO132" i="7"/>
  <c r="DR132" i="7"/>
  <c r="DH132" i="7" s="1"/>
  <c r="DQ132" i="7"/>
  <c r="DT132" i="7"/>
  <c r="DS132" i="7"/>
  <c r="DI132" i="7"/>
  <c r="CA242" i="4"/>
  <c r="CA241" i="7"/>
  <c r="EB65" i="24" s="1"/>
  <c r="CA260" i="23"/>
  <c r="EP167" i="4"/>
  <c r="BJ190" i="23"/>
  <c r="R143" i="7"/>
  <c r="BH143" i="4"/>
  <c r="V193" i="23"/>
  <c r="BQ95" i="7"/>
  <c r="O95" i="7"/>
  <c r="BE95" i="4"/>
  <c r="BI219" i="23"/>
  <c r="DE142" i="4"/>
  <c r="DU63" i="24"/>
  <c r="CC225" i="4"/>
  <c r="DN264" i="23"/>
  <c r="EL213" i="4"/>
  <c r="DD224" i="23"/>
  <c r="CZ201" i="4"/>
  <c r="CS222" i="23"/>
  <c r="DB189" i="4"/>
  <c r="CJ259" i="23"/>
  <c r="EQ177" i="4"/>
  <c r="BY67" i="24"/>
  <c r="BY164" i="7"/>
  <c r="BY165" i="4"/>
  <c r="BH229" i="23"/>
  <c r="DG141" i="7"/>
  <c r="CU141" i="4"/>
  <c r="BL116" i="7"/>
  <c r="AM186" i="23"/>
  <c r="V117" i="7"/>
  <c r="BL117" i="4"/>
  <c r="EO104" i="7"/>
  <c r="AD261" i="23"/>
  <c r="EO105" i="4"/>
  <c r="T72" i="24"/>
  <c r="BT93" i="4"/>
  <c r="CC33" i="4"/>
  <c r="BT66" i="24"/>
  <c r="BZ158" i="4"/>
  <c r="BZ157" i="7"/>
  <c r="DM182" i="23"/>
  <c r="Z212" i="7"/>
  <c r="BP212" i="4"/>
  <c r="DC260" i="23"/>
  <c r="EP200" i="4"/>
  <c r="CR193" i="23"/>
  <c r="BE187" i="7"/>
  <c r="BQ188" i="7"/>
  <c r="O188" i="7"/>
  <c r="BE188" i="4"/>
  <c r="CI190" i="23"/>
  <c r="R176" i="7"/>
  <c r="BH176" i="4"/>
  <c r="BQ72" i="24"/>
  <c r="BT152" i="4"/>
  <c r="AX190" i="23"/>
  <c r="R128" i="7"/>
  <c r="BH128" i="4"/>
  <c r="CE92" i="7"/>
  <c r="S73" i="24"/>
  <c r="BS92" i="4"/>
  <c r="CE80" i="7"/>
  <c r="J73" i="24"/>
  <c r="BS80" i="4"/>
  <c r="BQ44" i="7"/>
  <c r="O44" i="7"/>
  <c r="BE44" i="4"/>
  <c r="DE219" i="7"/>
  <c r="DQ219" i="23"/>
  <c r="DE220" i="4"/>
  <c r="BV189" i="23"/>
  <c r="S160" i="7"/>
  <c r="BI160" i="4"/>
  <c r="AA71" i="24"/>
  <c r="BU100" i="4"/>
  <c r="CN223" i="23"/>
  <c r="DA182" i="7"/>
  <c r="DA183" i="4"/>
  <c r="BU65" i="24"/>
  <c r="CA159" i="4"/>
  <c r="AJ190" i="23"/>
  <c r="R111" i="7"/>
  <c r="BH111" i="4"/>
  <c r="DD54" i="7"/>
  <c r="DH54" i="7" s="1"/>
  <c r="DD51" i="4"/>
  <c r="DD54" i="4" s="1"/>
  <c r="X15" i="7"/>
  <c r="BN15" i="4"/>
  <c r="X15" i="4" s="1"/>
  <c r="X15" i="1" s="1"/>
  <c r="AR254" i="23"/>
  <c r="EV122" i="4"/>
  <c r="BK13" i="7"/>
  <c r="BK6" i="7" s="1"/>
  <c r="U14" i="7"/>
  <c r="BK14" i="4"/>
  <c r="DX222" i="23"/>
  <c r="DB229" i="4"/>
  <c r="CV184" i="23"/>
  <c r="X192" i="7"/>
  <c r="BN192" i="4"/>
  <c r="BK190" i="23"/>
  <c r="R144" i="7"/>
  <c r="BH144" i="4"/>
  <c r="AG223" i="23"/>
  <c r="DA108" i="4"/>
  <c r="CE203" i="7"/>
  <c r="DF73" i="24"/>
  <c r="BS203" i="4"/>
  <c r="AF191" i="23"/>
  <c r="Q107" i="7"/>
  <c r="BG107" i="4"/>
  <c r="DV227" i="23"/>
  <c r="CW226" i="4"/>
  <c r="DE256" i="23"/>
  <c r="ET202" i="4"/>
  <c r="DL262" i="23"/>
  <c r="EN211" i="4"/>
  <c r="DB257" i="23"/>
  <c r="ES199" i="4"/>
  <c r="CH262" i="23"/>
  <c r="EN175" i="4"/>
  <c r="BP226" i="23"/>
  <c r="CX150" i="7"/>
  <c r="CX151" i="4"/>
  <c r="EP138" i="7"/>
  <c r="BF260" i="23"/>
  <c r="EP139" i="4"/>
  <c r="AW191" i="23"/>
  <c r="Q127" i="7"/>
  <c r="BG127" i="4"/>
  <c r="R219" i="23"/>
  <c r="DE90" i="7"/>
  <c r="DE91" i="4"/>
  <c r="CE79" i="7"/>
  <c r="I73" i="24"/>
  <c r="BS79" i="4"/>
  <c r="CY57" i="7"/>
  <c r="CY55" i="4"/>
  <c r="CY57" i="4" s="1"/>
  <c r="BO29" i="7"/>
  <c r="Y31" i="7"/>
  <c r="BO31" i="4"/>
  <c r="CO67" i="24"/>
  <c r="BY184" i="4"/>
  <c r="DI225" i="23"/>
  <c r="CY207" i="4"/>
  <c r="BM70" i="24"/>
  <c r="BV146" i="7"/>
  <c r="BV147" i="4"/>
  <c r="DH218" i="23"/>
  <c r="DF205" i="7"/>
  <c r="DF206" i="4"/>
  <c r="CC65" i="24"/>
  <c r="CA169" i="4"/>
  <c r="X193" i="23"/>
  <c r="BQ97" i="7"/>
  <c r="O97" i="7"/>
  <c r="BE97" i="4"/>
  <c r="Y243" i="7"/>
  <c r="BO243" i="4"/>
  <c r="Y243" i="4" s="1"/>
  <c r="Y243" i="1" s="1"/>
  <c r="DG189" i="23"/>
  <c r="S204" i="7"/>
  <c r="BI204" i="4"/>
  <c r="CB71" i="24"/>
  <c r="BU168" i="4"/>
  <c r="W254" i="23"/>
  <c r="EV96" i="4"/>
  <c r="DO259" i="23"/>
  <c r="EQ214" i="7"/>
  <c r="EQ215" i="4"/>
  <c r="AZ224" i="23"/>
  <c r="CZ131" i="4"/>
  <c r="M226" i="23"/>
  <c r="CX83" i="4"/>
  <c r="CT186" i="23"/>
  <c r="V190" i="7"/>
  <c r="BL190" i="4"/>
  <c r="BZ70" i="24"/>
  <c r="BV166" i="4"/>
  <c r="BS193" i="23"/>
  <c r="BQ154" i="7"/>
  <c r="O154" i="7"/>
  <c r="BE154" i="4"/>
  <c r="AN68" i="24"/>
  <c r="BX118" i="4"/>
  <c r="EJ46" i="7"/>
  <c r="DP46" i="7"/>
  <c r="DP46" i="4" s="1"/>
  <c r="DN46" i="7"/>
  <c r="DN46" i="4" s="1"/>
  <c r="DM46" i="7"/>
  <c r="DM46" i="4" s="1"/>
  <c r="DO46" i="7"/>
  <c r="DO46" i="4" s="1"/>
  <c r="DL46" i="7"/>
  <c r="DL46" i="4" s="1"/>
  <c r="DK46" i="7"/>
  <c r="DJ46" i="7"/>
  <c r="DQ46" i="7"/>
  <c r="DS46" i="7"/>
  <c r="DR46" i="7"/>
  <c r="DH46" i="7" s="1"/>
  <c r="DI46" i="7"/>
  <c r="DT46" i="7"/>
  <c r="DT46" i="4" s="1"/>
  <c r="BQ210" i="7"/>
  <c r="BE209" i="7"/>
  <c r="DK193" i="23"/>
  <c r="O210" i="7"/>
  <c r="BE210" i="4"/>
  <c r="DA227" i="23"/>
  <c r="CW198" i="4"/>
  <c r="CQ264" i="23"/>
  <c r="EL186" i="4"/>
  <c r="CG64" i="24"/>
  <c r="CB174" i="4"/>
  <c r="AV257" i="23"/>
  <c r="ES126" i="4"/>
  <c r="AC185" i="23"/>
  <c r="W102" i="7"/>
  <c r="BM102" i="4"/>
  <c r="CD247" i="4"/>
  <c r="BN190" i="23"/>
  <c r="R148" i="7"/>
  <c r="BH148" i="4"/>
  <c r="R246" i="7"/>
  <c r="BH246" i="4"/>
  <c r="R246" i="4" s="1"/>
  <c r="R246" i="1" s="1"/>
  <c r="CX225" i="23"/>
  <c r="CY195" i="4"/>
  <c r="CE193" i="23"/>
  <c r="BQ171" i="7"/>
  <c r="O171" i="7"/>
  <c r="BE171" i="4"/>
  <c r="AS68" i="24"/>
  <c r="BX123" i="4"/>
  <c r="CW69" i="24"/>
  <c r="BW194" i="4"/>
  <c r="BW193" i="7"/>
  <c r="BB265" i="23"/>
  <c r="EK133" i="7"/>
  <c r="EW134" i="7"/>
  <c r="EK134" i="4"/>
  <c r="Y184" i="23"/>
  <c r="X98" i="7"/>
  <c r="BN98" i="4"/>
  <c r="CC62" i="4"/>
  <c r="CC60" i="7"/>
  <c r="DE227" i="7"/>
  <c r="DW219" i="23"/>
  <c r="DE228" i="4"/>
  <c r="CL222" i="23"/>
  <c r="DB180" i="4"/>
  <c r="AO71" i="24"/>
  <c r="BU119" i="4"/>
  <c r="AY68" i="24"/>
  <c r="BX130" i="4"/>
  <c r="BX129" i="7"/>
  <c r="CZ67" i="24"/>
  <c r="BY197" i="4"/>
  <c r="CP72" i="24"/>
  <c r="BT185" i="4"/>
  <c r="BW225" i="23"/>
  <c r="CY161" i="4"/>
  <c r="BO256" i="23"/>
  <c r="ET149" i="4"/>
  <c r="BE256" i="23"/>
  <c r="ET137" i="4"/>
  <c r="AU256" i="23"/>
  <c r="ET125" i="4"/>
  <c r="AL218" i="23"/>
  <c r="DF113" i="4"/>
  <c r="AB258" i="23"/>
  <c r="ER101" i="4"/>
  <c r="G69" i="24"/>
  <c r="BW77" i="4"/>
  <c r="BW76" i="7"/>
  <c r="BV41" i="4"/>
  <c r="EJ41" i="7"/>
  <c r="DP41" i="7"/>
  <c r="DP41" i="4" s="1"/>
  <c r="DN41" i="7"/>
  <c r="DN41" i="4" s="1"/>
  <c r="DL41" i="7"/>
  <c r="DL41" i="4" s="1"/>
  <c r="DO41" i="7"/>
  <c r="DO41" i="4" s="1"/>
  <c r="DM41" i="7"/>
  <c r="DM41" i="4" s="1"/>
  <c r="DK41" i="7"/>
  <c r="DJ41" i="7"/>
  <c r="DT41" i="7"/>
  <c r="DS41" i="7"/>
  <c r="DR41" i="7"/>
  <c r="DH41" i="7" s="1"/>
  <c r="DQ41" i="7"/>
  <c r="DI41" i="7"/>
  <c r="ET87" i="7"/>
  <c r="Q256" i="23"/>
  <c r="ET88" i="4"/>
  <c r="ET87" i="4" s="1"/>
  <c r="AI224" i="23"/>
  <c r="CZ110" i="4"/>
  <c r="CM188" i="23"/>
  <c r="T181" i="7"/>
  <c r="BJ181" i="4"/>
  <c r="BL66" i="24"/>
  <c r="BZ145" i="4"/>
  <c r="O193" i="23"/>
  <c r="BQ85" i="7"/>
  <c r="O85" i="7"/>
  <c r="BE85" i="4"/>
  <c r="DP258" i="23"/>
  <c r="ER216" i="4"/>
  <c r="BA188" i="23"/>
  <c r="T132" i="7"/>
  <c r="BJ132" i="4"/>
  <c r="N229" i="23"/>
  <c r="DG84" i="7"/>
  <c r="CU84" i="4"/>
  <c r="DF241" i="7"/>
  <c r="EB218" i="23" s="1"/>
  <c r="DF242" i="4"/>
  <c r="DF241" i="4" s="1"/>
  <c r="CU187" i="23"/>
  <c r="U191" i="7"/>
  <c r="BK191" i="4"/>
  <c r="CA228" i="23"/>
  <c r="CV167" i="4"/>
  <c r="BJ265" i="23"/>
  <c r="EW143" i="7"/>
  <c r="EK143" i="4"/>
  <c r="V65" i="24"/>
  <c r="CA95" i="4"/>
  <c r="EU7" i="4"/>
  <c r="Y7" i="7"/>
  <c r="BO7" i="4"/>
  <c r="L193" i="23"/>
  <c r="BQ82" i="7"/>
  <c r="O82" i="7"/>
  <c r="BE82" i="4"/>
  <c r="BV34" i="4"/>
  <c r="DN220" i="23"/>
  <c r="DD213" i="4"/>
  <c r="DD218" i="23"/>
  <c r="DF201" i="4"/>
  <c r="CS254" i="23"/>
  <c r="EV189" i="4"/>
  <c r="CJ188" i="23"/>
  <c r="T177" i="7"/>
  <c r="BJ177" i="4"/>
  <c r="ES164" i="7"/>
  <c r="BY257" i="23"/>
  <c r="ES165" i="4"/>
  <c r="BR68" i="24"/>
  <c r="BX153" i="4"/>
  <c r="BQ117" i="7"/>
  <c r="BE116" i="7"/>
  <c r="AM193" i="23"/>
  <c r="O117" i="7"/>
  <c r="BE117" i="4"/>
  <c r="AD220" i="23"/>
  <c r="DD104" i="7"/>
  <c r="DD105" i="4"/>
  <c r="T71" i="24"/>
  <c r="BU93" i="4"/>
  <c r="V69" i="7"/>
  <c r="BL69" i="4"/>
  <c r="V69" i="4" s="1"/>
  <c r="V69" i="1" s="1"/>
  <c r="CD33" i="4"/>
  <c r="BT188" i="23"/>
  <c r="BJ157" i="7"/>
  <c r="T158" i="7"/>
  <c r="BJ158" i="4"/>
  <c r="DT68" i="24"/>
  <c r="BX224" i="4"/>
  <c r="BX223" i="7"/>
  <c r="DC192" i="23"/>
  <c r="P200" i="7"/>
  <c r="BF200" i="4"/>
  <c r="BO187" i="7"/>
  <c r="CR183" i="23"/>
  <c r="Y188" i="7"/>
  <c r="BO188" i="4"/>
  <c r="CI186" i="23"/>
  <c r="V176" i="7"/>
  <c r="BL176" i="4"/>
  <c r="BQ71" i="24"/>
  <c r="BU152" i="4"/>
  <c r="BG72" i="24"/>
  <c r="BT140" i="4"/>
  <c r="S262" i="23"/>
  <c r="EN92" i="4"/>
  <c r="J190" i="23"/>
  <c r="R80" i="7"/>
  <c r="BH80" i="4"/>
  <c r="Z68" i="7"/>
  <c r="BP68" i="4"/>
  <c r="Z68" i="4" s="1"/>
  <c r="Z68" i="1" s="1"/>
  <c r="W44" i="7"/>
  <c r="BM44" i="4"/>
  <c r="P20" i="7"/>
  <c r="BF20" i="4"/>
  <c r="P20" i="4" s="1"/>
  <c r="P20" i="1" s="1"/>
  <c r="BF219" i="7"/>
  <c r="DQ192" i="23"/>
  <c r="P220" i="7"/>
  <c r="BF220" i="4"/>
  <c r="AA259" i="23"/>
  <c r="EQ100" i="4"/>
  <c r="FC64" i="7"/>
  <c r="FI64" i="7"/>
  <c r="FB64" i="7"/>
  <c r="FA64" i="7"/>
  <c r="EZ64" i="7"/>
  <c r="EY64" i="7"/>
  <c r="FJ64" i="7"/>
  <c r="FE64" i="7"/>
  <c r="FH64" i="7"/>
  <c r="FG64" i="7"/>
  <c r="EX64" i="7" s="1"/>
  <c r="FD64" i="7"/>
  <c r="FF64" i="7"/>
  <c r="CN72" i="24"/>
  <c r="BT183" i="4"/>
  <c r="BT182" i="7"/>
  <c r="BC261" i="23"/>
  <c r="EO135" i="4"/>
  <c r="AJ259" i="23"/>
  <c r="EQ111" i="4"/>
  <c r="AR183" i="23"/>
  <c r="Y122" i="7"/>
  <c r="BO122" i="4"/>
  <c r="DX260" i="23"/>
  <c r="EP229" i="4"/>
  <c r="BK60" i="7"/>
  <c r="U61" i="7"/>
  <c r="BK61" i="4"/>
  <c r="EU60" i="7"/>
  <c r="EU61" i="4"/>
  <c r="EU60" i="4" s="1"/>
  <c r="BK258" i="23"/>
  <c r="ER144" i="4"/>
  <c r="AG263" i="23"/>
  <c r="EM108" i="4"/>
  <c r="DF223" i="23"/>
  <c r="DA203" i="4"/>
  <c r="CK187" i="23"/>
  <c r="BK178" i="7"/>
  <c r="U179" i="7"/>
  <c r="BK179" i="4"/>
  <c r="DV184" i="23"/>
  <c r="X226" i="7"/>
  <c r="BN226" i="4"/>
  <c r="DE65" i="24"/>
  <c r="CA202" i="4"/>
  <c r="DL254" i="23"/>
  <c r="EV211" i="4"/>
  <c r="CH69" i="24"/>
  <c r="BW175" i="4"/>
  <c r="BF265" i="23"/>
  <c r="EK138" i="7"/>
  <c r="EW139" i="7"/>
  <c r="EK139" i="4"/>
  <c r="AW72" i="24"/>
  <c r="BT127" i="4"/>
  <c r="R260" i="23"/>
  <c r="EP90" i="7"/>
  <c r="EP91" i="4"/>
  <c r="I260" i="23"/>
  <c r="EP79" i="4"/>
  <c r="CX29" i="7"/>
  <c r="CX31" i="4"/>
  <c r="CX29" i="4" s="1"/>
  <c r="CO183" i="23"/>
  <c r="Y184" i="7"/>
  <c r="BO184" i="4"/>
  <c r="DI254" i="23"/>
  <c r="EV207" i="4"/>
  <c r="BM68" i="24"/>
  <c r="BX147" i="4"/>
  <c r="BX146" i="7"/>
  <c r="P245" i="7"/>
  <c r="BF245" i="4"/>
  <c r="P245" i="4" s="1"/>
  <c r="P245" i="1" s="1"/>
  <c r="EL205" i="7"/>
  <c r="DH264" i="23"/>
  <c r="EL206" i="4"/>
  <c r="CC224" i="23"/>
  <c r="CZ169" i="4"/>
  <c r="AQ183" i="23"/>
  <c r="Y121" i="7"/>
  <c r="BO121" i="4"/>
  <c r="P243" i="7"/>
  <c r="BF243" i="4"/>
  <c r="P243" i="4" s="1"/>
  <c r="P243" i="1" s="1"/>
  <c r="DG186" i="23"/>
  <c r="V204" i="7"/>
  <c r="BL204" i="4"/>
  <c r="CB190" i="23"/>
  <c r="R168" i="7"/>
  <c r="BH168" i="4"/>
  <c r="AP227" i="23"/>
  <c r="CW120" i="4"/>
  <c r="W189" i="23"/>
  <c r="S96" i="7"/>
  <c r="BI96" i="4"/>
  <c r="EJ96" i="7"/>
  <c r="DP96" i="7"/>
  <c r="DN96" i="7"/>
  <c r="DM96" i="7"/>
  <c r="DL96" i="7"/>
  <c r="DK96" i="7"/>
  <c r="DJ96" i="7"/>
  <c r="DO96" i="7"/>
  <c r="DT96" i="7"/>
  <c r="DS96" i="7"/>
  <c r="DR96" i="7"/>
  <c r="DH96" i="7" s="1"/>
  <c r="DQ96" i="7"/>
  <c r="DI96" i="7"/>
  <c r="DO228" i="23"/>
  <c r="CV214" i="7"/>
  <c r="CV215" i="4"/>
  <c r="AZ264" i="23"/>
  <c r="EL131" i="4"/>
  <c r="M224" i="23"/>
  <c r="CZ83" i="4"/>
  <c r="CT227" i="23"/>
  <c r="CW190" i="4"/>
  <c r="BZ192" i="23"/>
  <c r="P166" i="7"/>
  <c r="BF166" i="4"/>
  <c r="BS227" i="23"/>
  <c r="CW154" i="4"/>
  <c r="AN186" i="23"/>
  <c r="V118" i="7"/>
  <c r="BL118" i="4"/>
  <c r="U188" i="23"/>
  <c r="T94" i="7"/>
  <c r="BJ94" i="4"/>
  <c r="T46" i="7"/>
  <c r="BJ46" i="4"/>
  <c r="T46" i="4" s="1"/>
  <c r="T46" i="1" s="1"/>
  <c r="DS257" i="23"/>
  <c r="ES222" i="4"/>
  <c r="DA190" i="23"/>
  <c r="R198" i="7"/>
  <c r="BH198" i="4"/>
  <c r="CQ221" i="23"/>
  <c r="DC186" i="4"/>
  <c r="CG264" i="23"/>
  <c r="EL174" i="4"/>
  <c r="BX224" i="23"/>
  <c r="CZ162" i="4"/>
  <c r="AV65" i="24"/>
  <c r="CA126" i="4"/>
  <c r="H192" i="23"/>
  <c r="P78" i="7"/>
  <c r="BF78" i="4"/>
  <c r="V66" i="7"/>
  <c r="BL66" i="4"/>
  <c r="V66" i="4" s="1"/>
  <c r="V66" i="1" s="1"/>
  <c r="CY258" i="23"/>
  <c r="ER196" i="4"/>
  <c r="BN218" i="23"/>
  <c r="DF148" i="4"/>
  <c r="BD221" i="23"/>
  <c r="DC136" i="4"/>
  <c r="AK224" i="23"/>
  <c r="CZ112" i="4"/>
  <c r="Q40" i="7"/>
  <c r="BG40" i="4"/>
  <c r="Q40" i="4" s="1"/>
  <c r="Q40" i="1" s="1"/>
  <c r="CA40" i="4"/>
  <c r="BZ246" i="4"/>
  <c r="CE256" i="23"/>
  <c r="ET171" i="4"/>
  <c r="AS259" i="23"/>
  <c r="EQ123" i="4"/>
  <c r="CW221" i="23"/>
  <c r="DC193" i="7"/>
  <c r="DC194" i="4"/>
  <c r="CD220" i="23"/>
  <c r="DD170" i="4"/>
  <c r="BB218" i="23"/>
  <c r="DF133" i="7"/>
  <c r="DF134" i="4"/>
  <c r="Y222" i="23"/>
  <c r="DB98" i="4"/>
  <c r="Q62" i="7"/>
  <c r="BG62" i="4"/>
  <c r="Q62" i="4" s="1"/>
  <c r="Q62" i="1" s="1"/>
  <c r="BY244" i="4"/>
  <c r="BJ227" i="7"/>
  <c r="DW188" i="23"/>
  <c r="T228" i="7"/>
  <c r="BJ228" i="4"/>
  <c r="CL255" i="23"/>
  <c r="EU180" i="4"/>
  <c r="AO69" i="24"/>
  <c r="BW119" i="4"/>
  <c r="DR259" i="23"/>
  <c r="EQ221" i="4"/>
  <c r="CZ71" i="24"/>
  <c r="BU197" i="4"/>
  <c r="CF227" i="23"/>
  <c r="CW172" i="7"/>
  <c r="CW173" i="4"/>
  <c r="BW255" i="23"/>
  <c r="EU161" i="4"/>
  <c r="BO259" i="23"/>
  <c r="EQ149" i="4"/>
  <c r="BE189" i="23"/>
  <c r="S137" i="7"/>
  <c r="BI137" i="4"/>
  <c r="AU66" i="24"/>
  <c r="BZ125" i="4"/>
  <c r="AB257" i="23"/>
  <c r="ES101" i="4"/>
  <c r="G258" i="23"/>
  <c r="ER76" i="7"/>
  <c r="ER77" i="4"/>
  <c r="BY41" i="4"/>
  <c r="BI87" i="7"/>
  <c r="Q189" i="23"/>
  <c r="S88" i="7"/>
  <c r="BI88" i="4"/>
  <c r="P186" i="23"/>
  <c r="V86" i="7"/>
  <c r="BL86" i="4"/>
  <c r="CM255" i="23"/>
  <c r="EU181" i="4"/>
  <c r="BL229" i="23"/>
  <c r="DG145" i="7"/>
  <c r="CU145" i="4"/>
  <c r="AH65" i="24"/>
  <c r="CA109" i="4"/>
  <c r="DP191" i="23"/>
  <c r="Q216" i="7"/>
  <c r="BG216" i="4"/>
  <c r="BA218" i="23"/>
  <c r="DF132" i="4"/>
  <c r="N70" i="24"/>
  <c r="BV84" i="4"/>
  <c r="T36" i="7"/>
  <c r="BJ36" i="4"/>
  <c r="T36" i="4" s="1"/>
  <c r="T36" i="1" s="1"/>
  <c r="CD242" i="4"/>
  <c r="CD241" i="7"/>
  <c r="EB62" i="24" s="1"/>
  <c r="CA257" i="23"/>
  <c r="ES167" i="4"/>
  <c r="BJ188" i="23"/>
  <c r="T143" i="7"/>
  <c r="BJ143" i="4"/>
  <c r="V64" i="24"/>
  <c r="CB95" i="4"/>
  <c r="BI218" i="23"/>
  <c r="DF142" i="4"/>
  <c r="L255" i="23"/>
  <c r="EU82" i="4"/>
  <c r="BQ34" i="7"/>
  <c r="O34" i="7"/>
  <c r="BE34" i="4"/>
  <c r="DU265" i="23"/>
  <c r="EW225" i="7"/>
  <c r="EK225" i="4"/>
  <c r="DD187" i="23"/>
  <c r="U201" i="7"/>
  <c r="BK201" i="4"/>
  <c r="CS62" i="24"/>
  <c r="CD189" i="4"/>
  <c r="CJ63" i="24"/>
  <c r="CC177" i="4"/>
  <c r="BR182" i="23"/>
  <c r="Z153" i="7"/>
  <c r="BP153" i="4"/>
  <c r="BH257" i="23"/>
  <c r="ES141" i="4"/>
  <c r="AM187" i="23"/>
  <c r="BK116" i="7"/>
  <c r="U117" i="7"/>
  <c r="BK117" i="4"/>
  <c r="AD71" i="24"/>
  <c r="BU105" i="4"/>
  <c r="BU104" i="7"/>
  <c r="K193" i="23"/>
  <c r="BQ81" i="7"/>
  <c r="O81" i="7"/>
  <c r="BE81" i="4"/>
  <c r="CC45" i="4"/>
  <c r="BT224" i="23"/>
  <c r="CZ157" i="7"/>
  <c r="CZ158" i="4"/>
  <c r="DT67" i="24"/>
  <c r="BY224" i="4"/>
  <c r="BY223" i="7"/>
  <c r="DC226" i="23"/>
  <c r="CX200" i="4"/>
  <c r="CR182" i="23"/>
  <c r="BP187" i="7"/>
  <c r="Z188" i="7"/>
  <c r="BP188" i="4"/>
  <c r="CI220" i="23"/>
  <c r="DD176" i="4"/>
  <c r="BQ70" i="24"/>
  <c r="BV152" i="4"/>
  <c r="AX229" i="23"/>
  <c r="DG128" i="7"/>
  <c r="CU128" i="4"/>
  <c r="S191" i="23"/>
  <c r="Q92" i="7"/>
  <c r="BG92" i="4"/>
  <c r="J188" i="23"/>
  <c r="T80" i="7"/>
  <c r="BJ80" i="4"/>
  <c r="Q68" i="7"/>
  <c r="BG68" i="4"/>
  <c r="Q68" i="4" s="1"/>
  <c r="Q68" i="1" s="1"/>
  <c r="Y32" i="7"/>
  <c r="BO32" i="4"/>
  <c r="Y32" i="4" s="1"/>
  <c r="Y32" i="1" s="1"/>
  <c r="DQ256" i="23"/>
  <c r="ET219" i="7"/>
  <c r="ET220" i="4"/>
  <c r="BV185" i="23"/>
  <c r="W160" i="7"/>
  <c r="BM160" i="4"/>
  <c r="AA69" i="24"/>
  <c r="BW100" i="4"/>
  <c r="BU261" i="23"/>
  <c r="EO159" i="4"/>
  <c r="BC223" i="23"/>
  <c r="DA135" i="4"/>
  <c r="AJ264" i="23"/>
  <c r="EL111" i="4"/>
  <c r="CZ54" i="7"/>
  <c r="CZ51" i="4"/>
  <c r="CZ54" i="4" s="1"/>
  <c r="AR191" i="23"/>
  <c r="Q122" i="7"/>
  <c r="BG122" i="4"/>
  <c r="DX218" i="23"/>
  <c r="DF229" i="4"/>
  <c r="BL60" i="7"/>
  <c r="V61" i="7"/>
  <c r="BL61" i="4"/>
  <c r="CV68" i="24"/>
  <c r="BX192" i="4"/>
  <c r="AG254" i="23"/>
  <c r="EV108" i="4"/>
  <c r="DF256" i="23"/>
  <c r="ET203" i="4"/>
  <c r="CK223" i="23"/>
  <c r="DA178" i="7"/>
  <c r="DA179" i="4"/>
  <c r="AF66" i="24"/>
  <c r="BZ107" i="4"/>
  <c r="DV264" i="23"/>
  <c r="EL226" i="4"/>
  <c r="DE225" i="23"/>
  <c r="CY202" i="4"/>
  <c r="AE182" i="23"/>
  <c r="Z106" i="7"/>
  <c r="BP106" i="4"/>
  <c r="DL66" i="24"/>
  <c r="BZ211" i="4"/>
  <c r="DB229" i="23"/>
  <c r="DG199" i="7"/>
  <c r="CU199" i="4"/>
  <c r="CH68" i="24"/>
  <c r="BX175" i="4"/>
  <c r="BL150" i="7"/>
  <c r="BP186" i="23"/>
  <c r="V151" i="7"/>
  <c r="BL151" i="4"/>
  <c r="BF69" i="24"/>
  <c r="BW139" i="4"/>
  <c r="BW138" i="7"/>
  <c r="AW68" i="24"/>
  <c r="BX127" i="4"/>
  <c r="EJ127" i="7"/>
  <c r="DP127" i="7"/>
  <c r="DN127" i="7"/>
  <c r="DM127" i="7"/>
  <c r="DL127" i="7"/>
  <c r="DK127" i="7"/>
  <c r="DJ127" i="7"/>
  <c r="DO127" i="7"/>
  <c r="DS127" i="7"/>
  <c r="DR127" i="7"/>
  <c r="DH127" i="7" s="1"/>
  <c r="DT127" i="7"/>
  <c r="DQ127" i="7"/>
  <c r="DI127" i="7"/>
  <c r="R229" i="23"/>
  <c r="CU90" i="7"/>
  <c r="DG91" i="7"/>
  <c r="CU91" i="4"/>
  <c r="I189" i="23"/>
  <c r="S79" i="7"/>
  <c r="BI79" i="4"/>
  <c r="I223" i="23"/>
  <c r="DA79" i="4"/>
  <c r="U67" i="7"/>
  <c r="BK67" i="4"/>
  <c r="U67" i="4" s="1"/>
  <c r="U67" i="1" s="1"/>
  <c r="CW57" i="7"/>
  <c r="CW55" i="4"/>
  <c r="CW57" i="4" s="1"/>
  <c r="BI29" i="7"/>
  <c r="S31" i="7"/>
  <c r="BI31" i="4"/>
  <c r="CC29" i="7"/>
  <c r="CC31" i="4"/>
  <c r="X19" i="7"/>
  <c r="BN19" i="4"/>
  <c r="X19" i="4" s="1"/>
  <c r="X19" i="1" s="1"/>
  <c r="CO220" i="23"/>
  <c r="DD184" i="4"/>
  <c r="AT185" i="23"/>
  <c r="W124" i="7"/>
  <c r="BM124" i="4"/>
  <c r="DI221" i="23"/>
  <c r="DC207" i="4"/>
  <c r="EO146" i="7"/>
  <c r="BM261" i="23"/>
  <c r="EO147" i="4"/>
  <c r="Z255" i="23"/>
  <c r="EU99" i="4"/>
  <c r="FC63" i="7"/>
  <c r="FA63" i="7"/>
  <c r="EZ63" i="7"/>
  <c r="FJ63" i="7"/>
  <c r="FB63" i="7"/>
  <c r="EY63" i="7"/>
  <c r="FI63" i="7"/>
  <c r="FG63" i="7"/>
  <c r="EX63" i="7" s="1"/>
  <c r="FE63" i="7"/>
  <c r="FD63" i="7"/>
  <c r="FH63" i="7"/>
  <c r="FF63" i="7"/>
  <c r="BL205" i="7"/>
  <c r="DH186" i="23"/>
  <c r="V206" i="7"/>
  <c r="BL206" i="4"/>
  <c r="CC227" i="23"/>
  <c r="CW169" i="4"/>
  <c r="AQ226" i="23"/>
  <c r="CX121" i="4"/>
  <c r="X191" i="23"/>
  <c r="Q97" i="7"/>
  <c r="BG97" i="4"/>
  <c r="X65" i="24"/>
  <c r="CA97" i="4"/>
  <c r="DG259" i="23"/>
  <c r="EQ204" i="4"/>
  <c r="CB184" i="23"/>
  <c r="X168" i="7"/>
  <c r="BN168" i="4"/>
  <c r="AP184" i="23"/>
  <c r="X120" i="7"/>
  <c r="BN120" i="4"/>
  <c r="W69" i="24"/>
  <c r="BW96" i="4"/>
  <c r="DB27" i="7"/>
  <c r="DB24" i="4"/>
  <c r="DB27" i="4" s="1"/>
  <c r="CW27" i="7"/>
  <c r="CW24" i="4"/>
  <c r="CW27" i="4" s="1"/>
  <c r="AZ184" i="23"/>
  <c r="X131" i="7"/>
  <c r="BN131" i="4"/>
  <c r="M264" i="23"/>
  <c r="EL83" i="4"/>
  <c r="CT257" i="23"/>
  <c r="ES190" i="4"/>
  <c r="BZ226" i="23"/>
  <c r="CX166" i="4"/>
  <c r="BS257" i="23"/>
  <c r="ES154" i="4"/>
  <c r="AN70" i="24"/>
  <c r="BV118" i="4"/>
  <c r="DS193" i="23"/>
  <c r="BQ222" i="7"/>
  <c r="O222" i="7"/>
  <c r="BE222" i="4"/>
  <c r="BO209" i="7"/>
  <c r="DK183" i="23"/>
  <c r="Y210" i="7"/>
  <c r="BO210" i="4"/>
  <c r="DA263" i="23"/>
  <c r="EM198" i="4"/>
  <c r="CQ62" i="24"/>
  <c r="CD186" i="4"/>
  <c r="CG62" i="24"/>
  <c r="CD174" i="4"/>
  <c r="AV226" i="23"/>
  <c r="CX126" i="4"/>
  <c r="AC260" i="23"/>
  <c r="EP102" i="4"/>
  <c r="H260" i="23"/>
  <c r="EP78" i="4"/>
  <c r="V42" i="7"/>
  <c r="BL42" i="4"/>
  <c r="V42" i="4" s="1"/>
  <c r="V42" i="1" s="1"/>
  <c r="BU42" i="4"/>
  <c r="BV30" i="4"/>
  <c r="CY220" i="23"/>
  <c r="DD196" i="4"/>
  <c r="BN262" i="23"/>
  <c r="EN148" i="4"/>
  <c r="BD187" i="23"/>
  <c r="U136" i="7"/>
  <c r="BK136" i="4"/>
  <c r="AK189" i="23"/>
  <c r="S112" i="7"/>
  <c r="BI112" i="4"/>
  <c r="R40" i="7"/>
  <c r="BH40" i="4"/>
  <c r="R40" i="4" s="1"/>
  <c r="R40" i="1" s="1"/>
  <c r="CB246" i="4"/>
  <c r="CE66" i="24"/>
  <c r="BZ171" i="4"/>
  <c r="AS67" i="24"/>
  <c r="BY123" i="4"/>
  <c r="CD262" i="23"/>
  <c r="EN170" i="4"/>
  <c r="CL220" i="23"/>
  <c r="DD180" i="4"/>
  <c r="AO193" i="23"/>
  <c r="BQ119" i="7"/>
  <c r="O119" i="7"/>
  <c r="BE119" i="4"/>
  <c r="AY192" i="23"/>
  <c r="BF129" i="7"/>
  <c r="P130" i="7"/>
  <c r="BF130" i="4"/>
  <c r="DR258" i="23"/>
  <c r="ER221" i="4"/>
  <c r="CZ189" i="23"/>
  <c r="S197" i="7"/>
  <c r="BI197" i="4"/>
  <c r="CP70" i="24"/>
  <c r="BV185" i="4"/>
  <c r="BW222" i="23"/>
  <c r="DB161" i="4"/>
  <c r="BO223" i="23"/>
  <c r="DA149" i="4"/>
  <c r="BE225" i="23"/>
  <c r="CY137" i="4"/>
  <c r="AU65" i="24"/>
  <c r="CA125" i="4"/>
  <c r="AB228" i="23"/>
  <c r="CV101" i="4"/>
  <c r="BU41" i="4"/>
  <c r="BF87" i="7"/>
  <c r="Q192" i="23"/>
  <c r="P88" i="7"/>
  <c r="BF88" i="4"/>
  <c r="P218" i="23"/>
  <c r="DF86" i="4"/>
  <c r="CM63" i="24"/>
  <c r="CC181" i="4"/>
  <c r="BL259" i="23"/>
  <c r="EQ145" i="4"/>
  <c r="AH229" i="23"/>
  <c r="DG109" i="7"/>
  <c r="CU109" i="4"/>
  <c r="DP220" i="23"/>
  <c r="DD216" i="4"/>
  <c r="BA193" i="23"/>
  <c r="BQ132" i="7"/>
  <c r="O132" i="7"/>
  <c r="BE132" i="4"/>
  <c r="N219" i="23"/>
  <c r="DE84" i="4"/>
  <c r="DG242" i="7"/>
  <c r="CU241" i="7"/>
  <c r="EB229" i="23" s="1"/>
  <c r="CU242" i="4"/>
  <c r="CU191" i="23"/>
  <c r="Q191" i="7"/>
  <c r="BG191" i="4"/>
  <c r="CA193" i="23"/>
  <c r="BQ167" i="7"/>
  <c r="O167" i="7"/>
  <c r="BE167" i="4"/>
  <c r="BJ264" i="23"/>
  <c r="EL143" i="4"/>
  <c r="V224" i="23"/>
  <c r="CZ95" i="4"/>
  <c r="EW7" i="7"/>
  <c r="EK7" i="4"/>
  <c r="BI183" i="23"/>
  <c r="Y142" i="7"/>
  <c r="BO142" i="4"/>
  <c r="W34" i="7"/>
  <c r="BM34" i="4"/>
  <c r="DU184" i="23"/>
  <c r="X225" i="7"/>
  <c r="BN225" i="4"/>
  <c r="DN72" i="24"/>
  <c r="BT213" i="4"/>
  <c r="CS227" i="23"/>
  <c r="CW189" i="4"/>
  <c r="CJ264" i="23"/>
  <c r="EL177" i="4"/>
  <c r="BY258" i="23"/>
  <c r="ER164" i="7"/>
  <c r="ER165" i="4"/>
  <c r="BR188" i="23"/>
  <c r="T153" i="7"/>
  <c r="BJ153" i="4"/>
  <c r="BH66" i="24"/>
  <c r="BZ141" i="4"/>
  <c r="BP104" i="7"/>
  <c r="AD182" i="23"/>
  <c r="Z105" i="7"/>
  <c r="BP105" i="4"/>
  <c r="T258" i="23"/>
  <c r="ER93" i="4"/>
  <c r="K189" i="23"/>
  <c r="S81" i="7"/>
  <c r="BI81" i="4"/>
  <c r="Q69" i="7"/>
  <c r="BG69" i="4"/>
  <c r="Q69" i="4" s="1"/>
  <c r="Q69" i="1" s="1"/>
  <c r="CE33" i="7"/>
  <c r="BS33" i="4"/>
  <c r="DB223" i="7"/>
  <c r="DT222" i="23"/>
  <c r="DB224" i="4"/>
  <c r="DM188" i="23"/>
  <c r="T212" i="7"/>
  <c r="BJ212" i="4"/>
  <c r="DC257" i="23"/>
  <c r="ES200" i="4"/>
  <c r="CR68" i="24"/>
  <c r="BX188" i="4"/>
  <c r="BX187" i="7"/>
  <c r="BQ229" i="23"/>
  <c r="DG152" i="7"/>
  <c r="CU152" i="4"/>
  <c r="BG188" i="23"/>
  <c r="T140" i="7"/>
  <c r="BJ140" i="4"/>
  <c r="AX226" i="23"/>
  <c r="CX128" i="4"/>
  <c r="S72" i="24"/>
  <c r="BT92" i="4"/>
  <c r="J63" i="24"/>
  <c r="CC80" i="4"/>
  <c r="BV70" i="24"/>
  <c r="BV160" i="4"/>
  <c r="CN189" i="23"/>
  <c r="BI182" i="7"/>
  <c r="S183" i="7"/>
  <c r="BI183" i="4"/>
  <c r="BU68" i="24"/>
  <c r="BX159" i="4"/>
  <c r="EJ159" i="7"/>
  <c r="DP159" i="7"/>
  <c r="DN159" i="7"/>
  <c r="DM159" i="7"/>
  <c r="DL159" i="7"/>
  <c r="DK159" i="7"/>
  <c r="DO159" i="7"/>
  <c r="DJ159" i="7"/>
  <c r="DS159" i="7"/>
  <c r="DT159" i="7"/>
  <c r="DR159" i="7"/>
  <c r="DH159" i="7" s="1"/>
  <c r="DQ159" i="7"/>
  <c r="DI159" i="7"/>
  <c r="AJ219" i="23"/>
  <c r="DE111" i="4"/>
  <c r="EV54" i="7"/>
  <c r="EV51" i="4"/>
  <c r="EV54" i="4" s="1"/>
  <c r="AR226" i="23"/>
  <c r="CX122" i="4"/>
  <c r="DX68" i="24"/>
  <c r="BX229" i="4"/>
  <c r="DD60" i="7"/>
  <c r="DH60" i="7" s="1"/>
  <c r="DD61" i="4"/>
  <c r="BM60" i="7"/>
  <c r="W61" i="7"/>
  <c r="BM61" i="4"/>
  <c r="BK229" i="23"/>
  <c r="DG144" i="7"/>
  <c r="CU144" i="4"/>
  <c r="AG186" i="23"/>
  <c r="V108" i="7"/>
  <c r="BL108" i="4"/>
  <c r="DF260" i="23"/>
  <c r="EP203" i="4"/>
  <c r="BI178" i="7"/>
  <c r="CK189" i="23"/>
  <c r="S179" i="7"/>
  <c r="BI179" i="4"/>
  <c r="AF223" i="23"/>
  <c r="DA107" i="4"/>
  <c r="DV63" i="24"/>
  <c r="CC226" i="4"/>
  <c r="AE191" i="23"/>
  <c r="Q106" i="7"/>
  <c r="BG106" i="4"/>
  <c r="DL186" i="23"/>
  <c r="V211" i="7"/>
  <c r="BL211" i="4"/>
  <c r="DB259" i="23"/>
  <c r="EQ199" i="4"/>
  <c r="CH219" i="23"/>
  <c r="DE175" i="4"/>
  <c r="BP69" i="24"/>
  <c r="BW151" i="4"/>
  <c r="BW150" i="7"/>
  <c r="R69" i="24"/>
  <c r="BW91" i="4"/>
  <c r="BW90" i="7"/>
  <c r="CO226" i="23"/>
  <c r="CX184" i="4"/>
  <c r="AT261" i="23"/>
  <c r="EO124" i="4"/>
  <c r="DI227" i="23"/>
  <c r="CW207" i="4"/>
  <c r="BL146" i="7"/>
  <c r="BM186" i="23"/>
  <c r="V147" i="7"/>
  <c r="BL147" i="4"/>
  <c r="Z222" i="23"/>
  <c r="DB99" i="4"/>
  <c r="S63" i="7"/>
  <c r="BI63" i="4"/>
  <c r="S63" i="4" s="1"/>
  <c r="S63" i="1" s="1"/>
  <c r="DH223" i="23"/>
  <c r="DA205" i="7"/>
  <c r="DA206" i="4"/>
  <c r="CC187" i="23"/>
  <c r="U169" i="7"/>
  <c r="BK169" i="4"/>
  <c r="AQ224" i="23"/>
  <c r="CZ121" i="4"/>
  <c r="X63" i="24"/>
  <c r="CC97" i="4"/>
  <c r="CB254" i="23"/>
  <c r="EV168" i="4"/>
  <c r="DU260" i="23"/>
  <c r="EP225" i="4"/>
  <c r="DN193" i="23"/>
  <c r="BQ213" i="7"/>
  <c r="O213" i="7"/>
  <c r="BE213" i="4"/>
  <c r="DD71" i="24"/>
  <c r="BU201" i="4"/>
  <c r="CS258" i="23"/>
  <c r="ER189" i="4"/>
  <c r="CJ62" i="24"/>
  <c r="CD177" i="4"/>
  <c r="BY187" i="23"/>
  <c r="BK164" i="7"/>
  <c r="U165" i="7"/>
  <c r="BK165" i="4"/>
  <c r="BR264" i="23"/>
  <c r="EL153" i="4"/>
  <c r="BH184" i="23"/>
  <c r="X141" i="7"/>
  <c r="BN141" i="4"/>
  <c r="EN116" i="7"/>
  <c r="AM262" i="23"/>
  <c r="EN117" i="4"/>
  <c r="AD66" i="24"/>
  <c r="BZ105" i="4"/>
  <c r="BZ104" i="7"/>
  <c r="T221" i="23"/>
  <c r="DC93" i="4"/>
  <c r="K187" i="23"/>
  <c r="U81" i="7"/>
  <c r="BK81" i="4"/>
  <c r="S69" i="7"/>
  <c r="BI69" i="4"/>
  <c r="S69" i="4" s="1"/>
  <c r="S69" i="1" s="1"/>
  <c r="U33" i="7"/>
  <c r="BK33" i="4"/>
  <c r="U33" i="4" s="1"/>
  <c r="U33" i="1" s="1"/>
  <c r="BT223" i="23"/>
  <c r="DA157" i="7"/>
  <c r="DA158" i="4"/>
  <c r="DC223" i="7"/>
  <c r="DT221" i="23"/>
  <c r="DC224" i="4"/>
  <c r="DM62" i="24"/>
  <c r="CD212" i="4"/>
  <c r="DC224" i="23"/>
  <c r="CZ200" i="4"/>
  <c r="CV187" i="7"/>
  <c r="CR228" i="23"/>
  <c r="CV188" i="4"/>
  <c r="CI184" i="23"/>
  <c r="X176" i="7"/>
  <c r="BN176" i="4"/>
  <c r="BQ67" i="24"/>
  <c r="BY152" i="4"/>
  <c r="BG260" i="23"/>
  <c r="EP140" i="4"/>
  <c r="AX69" i="24"/>
  <c r="BW128" i="4"/>
  <c r="S189" i="23"/>
  <c r="S92" i="7"/>
  <c r="BI92" i="4"/>
  <c r="J227" i="23"/>
  <c r="CW80" i="4"/>
  <c r="CD44" i="4"/>
  <c r="CC88" i="7"/>
  <c r="CC32" i="4"/>
  <c r="DQ224" i="23"/>
  <c r="CZ219" i="7"/>
  <c r="CZ220" i="4"/>
  <c r="BV188" i="23"/>
  <c r="T160" i="7"/>
  <c r="BJ160" i="4"/>
  <c r="AA219" i="23"/>
  <c r="DE100" i="4"/>
  <c r="Z64" i="7"/>
  <c r="BP64" i="4"/>
  <c r="Z64" i="4" s="1"/>
  <c r="Z64" i="1" s="1"/>
  <c r="BP182" i="7"/>
  <c r="CN182" i="23"/>
  <c r="Z183" i="7"/>
  <c r="BP183" i="4"/>
  <c r="BU71" i="24"/>
  <c r="BU159" i="4"/>
  <c r="BC257" i="23"/>
  <c r="ES135" i="4"/>
  <c r="AJ71" i="24"/>
  <c r="BU111" i="4"/>
  <c r="EM54" i="7"/>
  <c r="EM51" i="4"/>
  <c r="EM54" i="4" s="1"/>
  <c r="AR260" i="23"/>
  <c r="EP122" i="4"/>
  <c r="DX66" i="24"/>
  <c r="BZ229" i="4"/>
  <c r="CV66" i="24"/>
  <c r="BZ192" i="4"/>
  <c r="BK186" i="23"/>
  <c r="V144" i="7"/>
  <c r="BL144" i="4"/>
  <c r="AG185" i="23"/>
  <c r="W108" i="7"/>
  <c r="BM108" i="4"/>
  <c r="DF193" i="23"/>
  <c r="BQ203" i="7"/>
  <c r="O203" i="7"/>
  <c r="BE203" i="4"/>
  <c r="CK70" i="24"/>
  <c r="BV178" i="7"/>
  <c r="BV179" i="4"/>
  <c r="AF67" i="24"/>
  <c r="BY107" i="4"/>
  <c r="DV265" i="23"/>
  <c r="EW226" i="7"/>
  <c r="EK226" i="4"/>
  <c r="DE259" i="23"/>
  <c r="EQ202" i="4"/>
  <c r="AE188" i="23"/>
  <c r="T106" i="7"/>
  <c r="BJ106" i="4"/>
  <c r="DL62" i="24"/>
  <c r="CD211" i="4"/>
  <c r="DB224" i="23"/>
  <c r="CZ199" i="4"/>
  <c r="CH257" i="23"/>
  <c r="ES175" i="4"/>
  <c r="BP66" i="24"/>
  <c r="BZ151" i="4"/>
  <c r="BZ150" i="7"/>
  <c r="BI138" i="7"/>
  <c r="BF189" i="23"/>
  <c r="S139" i="7"/>
  <c r="BI139" i="4"/>
  <c r="AW227" i="23"/>
  <c r="CW127" i="4"/>
  <c r="R221" i="23"/>
  <c r="DC90" i="7"/>
  <c r="DC91" i="4"/>
  <c r="I192" i="23"/>
  <c r="P79" i="7"/>
  <c r="BF79" i="4"/>
  <c r="CU57" i="7"/>
  <c r="DG55" i="7"/>
  <c r="DG57" i="7" s="1"/>
  <c r="CU55" i="4"/>
  <c r="DA29" i="7"/>
  <c r="DA31" i="4"/>
  <c r="DA29" i="4" s="1"/>
  <c r="CO225" i="23"/>
  <c r="CY184" i="4"/>
  <c r="AT257" i="23"/>
  <c r="ES124" i="4"/>
  <c r="DI65" i="24"/>
  <c r="CA207" i="4"/>
  <c r="DG39" i="7"/>
  <c r="CU38" i="7"/>
  <c r="F229" i="23" s="1"/>
  <c r="CU39" i="4"/>
  <c r="Y218" i="23"/>
  <c r="DF98" i="4"/>
  <c r="U62" i="7"/>
  <c r="BK62" i="4"/>
  <c r="U62" i="4" s="1"/>
  <c r="U62" i="1" s="1"/>
  <c r="T26" i="7"/>
  <c r="BJ26" i="4"/>
  <c r="T26" i="4" s="1"/>
  <c r="T26" i="1" s="1"/>
  <c r="W244" i="7"/>
  <c r="BM244" i="4"/>
  <c r="EJ244" i="7"/>
  <c r="DN244" i="7"/>
  <c r="DL244" i="7"/>
  <c r="DL244" i="4" s="1"/>
  <c r="DK244" i="7"/>
  <c r="DK244" i="4" s="1"/>
  <c r="DI244" i="7"/>
  <c r="DT244" i="7"/>
  <c r="DT244" i="4" s="1"/>
  <c r="DM244" i="7"/>
  <c r="DM244" i="4" s="1"/>
  <c r="DJ244" i="7"/>
  <c r="DJ244" i="4" s="1"/>
  <c r="DS244" i="7"/>
  <c r="DP244" i="7"/>
  <c r="DR244" i="7"/>
  <c r="DH244" i="7" s="1"/>
  <c r="DQ244" i="7"/>
  <c r="DQ244" i="4" s="1"/>
  <c r="DO244" i="7"/>
  <c r="CL63" i="24"/>
  <c r="CC180" i="4"/>
  <c r="AO224" i="23"/>
  <c r="CZ119" i="4"/>
  <c r="AY262" i="23"/>
  <c r="EN129" i="7"/>
  <c r="EN130" i="4"/>
  <c r="DR188" i="23"/>
  <c r="T221" i="7"/>
  <c r="BJ221" i="4"/>
  <c r="ET76" i="7"/>
  <c r="G256" i="23"/>
  <c r="ET77" i="4"/>
  <c r="DP64" i="24"/>
  <c r="CB216" i="4"/>
  <c r="X34" i="7"/>
  <c r="BN34" i="4"/>
  <c r="DU71" i="24"/>
  <c r="BU225" i="4"/>
  <c r="DN256" i="23"/>
  <c r="ET213" i="4"/>
  <c r="DD254" i="23"/>
  <c r="EV201" i="4"/>
  <c r="DD258" i="23"/>
  <c r="ER201" i="4"/>
  <c r="CS220" i="23"/>
  <c r="DD189" i="4"/>
  <c r="CS193" i="23"/>
  <c r="BQ189" i="7"/>
  <c r="O189" i="7"/>
  <c r="BE189" i="4"/>
  <c r="CJ189" i="23"/>
  <c r="S177" i="7"/>
  <c r="BI177" i="4"/>
  <c r="BY262" i="23"/>
  <c r="EN164" i="7"/>
  <c r="EN165" i="4"/>
  <c r="BY62" i="24"/>
  <c r="CD165" i="4"/>
  <c r="CD164" i="7"/>
  <c r="BR187" i="23"/>
  <c r="U153" i="7"/>
  <c r="BK153" i="4"/>
  <c r="BH73" i="24"/>
  <c r="CE141" i="7"/>
  <c r="BS141" i="4"/>
  <c r="AM261" i="23"/>
  <c r="EO116" i="7"/>
  <c r="EO117" i="4"/>
  <c r="CY104" i="7"/>
  <c r="AD225" i="23"/>
  <c r="CY105" i="4"/>
  <c r="T66" i="24"/>
  <c r="BZ93" i="4"/>
  <c r="K68" i="24"/>
  <c r="BX81" i="4"/>
  <c r="U69" i="7"/>
  <c r="BK69" i="4"/>
  <c r="U69" i="4" s="1"/>
  <c r="U69" i="1" s="1"/>
  <c r="BX45" i="4"/>
  <c r="BY33" i="4"/>
  <c r="BT265" i="23"/>
  <c r="EW158" i="7"/>
  <c r="EK157" i="7"/>
  <c r="EK158" i="4"/>
  <c r="DT65" i="24"/>
  <c r="CA224" i="4"/>
  <c r="CA223" i="7"/>
  <c r="DM187" i="23"/>
  <c r="U212" i="7"/>
  <c r="BK212" i="4"/>
  <c r="DC219" i="23"/>
  <c r="DE200" i="4"/>
  <c r="BN187" i="7"/>
  <c r="CR184" i="23"/>
  <c r="X188" i="7"/>
  <c r="BN188" i="4"/>
  <c r="CI65" i="24"/>
  <c r="CA176" i="4"/>
  <c r="BQ188" i="23"/>
  <c r="T152" i="7"/>
  <c r="BJ152" i="4"/>
  <c r="BG256" i="23"/>
  <c r="ET140" i="4"/>
  <c r="AX256" i="23"/>
  <c r="ET128" i="4"/>
  <c r="S226" i="23"/>
  <c r="CX92" i="4"/>
  <c r="J192" i="23"/>
  <c r="P80" i="7"/>
  <c r="BF80" i="4"/>
  <c r="Q20" i="7"/>
  <c r="BG20" i="4"/>
  <c r="Q20" i="4" s="1"/>
  <c r="Q20" i="1" s="1"/>
  <c r="BV227" i="23"/>
  <c r="CW160" i="4"/>
  <c r="AA182" i="23"/>
  <c r="Z100" i="7"/>
  <c r="BP100" i="4"/>
  <c r="CN68" i="24"/>
  <c r="BX183" i="4"/>
  <c r="BX182" i="7"/>
  <c r="BU191" i="23"/>
  <c r="Q159" i="7"/>
  <c r="BG159" i="4"/>
  <c r="BC68" i="24"/>
  <c r="BX135" i="4"/>
  <c r="AJ218" i="23"/>
  <c r="DF111" i="4"/>
  <c r="EO54" i="7"/>
  <c r="EO51" i="4"/>
  <c r="EO54" i="4" s="1"/>
  <c r="U15" i="7"/>
  <c r="BK15" i="4"/>
  <c r="U15" i="4" s="1"/>
  <c r="U15" i="1" s="1"/>
  <c r="AR227" i="23"/>
  <c r="CW122" i="4"/>
  <c r="DF13" i="7"/>
  <c r="DF6" i="7" s="1"/>
  <c r="DF14" i="4"/>
  <c r="DF13" i="4" s="1"/>
  <c r="DX189" i="23"/>
  <c r="S229" i="7"/>
  <c r="BI229" i="4"/>
  <c r="BG60" i="7"/>
  <c r="Q61" i="7"/>
  <c r="BG61" i="4"/>
  <c r="CV182" i="23"/>
  <c r="Z192" i="7"/>
  <c r="BP192" i="4"/>
  <c r="BK220" i="23"/>
  <c r="DD144" i="4"/>
  <c r="AG193" i="23"/>
  <c r="BQ108" i="7"/>
  <c r="O108" i="7"/>
  <c r="BE108" i="4"/>
  <c r="DF262" i="23"/>
  <c r="EN203" i="4"/>
  <c r="CY178" i="7"/>
  <c r="CK225" i="23"/>
  <c r="CY179" i="4"/>
  <c r="AF218" i="23"/>
  <c r="DF107" i="4"/>
  <c r="AF71" i="24"/>
  <c r="BU107" i="4"/>
  <c r="DV262" i="23"/>
  <c r="EN226" i="4"/>
  <c r="EJ226" i="7"/>
  <c r="DN226" i="7"/>
  <c r="DM226" i="7"/>
  <c r="DL226" i="7"/>
  <c r="DK226" i="7"/>
  <c r="DJ226" i="7"/>
  <c r="DI226" i="7"/>
  <c r="DT226" i="7"/>
  <c r="DR226" i="7"/>
  <c r="DH226" i="7" s="1"/>
  <c r="DQ226" i="7"/>
  <c r="DS226" i="7"/>
  <c r="DP226" i="7"/>
  <c r="DO226" i="7"/>
  <c r="DE258" i="23"/>
  <c r="ER202" i="4"/>
  <c r="AE228" i="23"/>
  <c r="CV106" i="4"/>
  <c r="CE211" i="7"/>
  <c r="DL73" i="24"/>
  <c r="BS211" i="4"/>
  <c r="DB264" i="23"/>
  <c r="EL199" i="4"/>
  <c r="CH64" i="24"/>
  <c r="CB175" i="4"/>
  <c r="AW218" i="23"/>
  <c r="DF127" i="4"/>
  <c r="R67" i="24"/>
  <c r="BY91" i="4"/>
  <c r="BY90" i="7"/>
  <c r="I67" i="24"/>
  <c r="BY79" i="4"/>
  <c r="DB57" i="7"/>
  <c r="DB55" i="4"/>
  <c r="DB57" i="4" s="1"/>
  <c r="EN29" i="7"/>
  <c r="EN31" i="4"/>
  <c r="EN29" i="4" s="1"/>
  <c r="CO218" i="23"/>
  <c r="DF184" i="4"/>
  <c r="AT62" i="24"/>
  <c r="CD124" i="4"/>
  <c r="DI224" i="23"/>
  <c r="CZ207" i="4"/>
  <c r="BM229" i="23"/>
  <c r="CU146" i="7"/>
  <c r="DG147" i="7"/>
  <c r="CU147" i="4"/>
  <c r="Z183" i="23"/>
  <c r="Y99" i="7"/>
  <c r="BO99" i="4"/>
  <c r="BW39" i="4"/>
  <c r="BW38" i="7"/>
  <c r="F69" i="24" s="1"/>
  <c r="Y245" i="7"/>
  <c r="BO245" i="4"/>
  <c r="Y245" i="4" s="1"/>
  <c r="Y245" i="1" s="1"/>
  <c r="ET205" i="7"/>
  <c r="DH256" i="23"/>
  <c r="ET206" i="4"/>
  <c r="CC70" i="24"/>
  <c r="BV169" i="4"/>
  <c r="AQ263" i="23"/>
  <c r="EM121" i="4"/>
  <c r="X64" i="24"/>
  <c r="CB97" i="4"/>
  <c r="U243" i="7"/>
  <c r="BK243" i="4"/>
  <c r="U243" i="4" s="1"/>
  <c r="U243" i="1" s="1"/>
  <c r="DG62" i="24"/>
  <c r="CD204" i="4"/>
  <c r="CB224" i="23"/>
  <c r="CZ168" i="4"/>
  <c r="AP220" i="23"/>
  <c r="DD120" i="4"/>
  <c r="W192" i="23"/>
  <c r="P96" i="7"/>
  <c r="BF96" i="4"/>
  <c r="EQ27" i="7"/>
  <c r="EQ24" i="4"/>
  <c r="EQ27" i="4" s="1"/>
  <c r="CY214" i="7"/>
  <c r="DO225" i="23"/>
  <c r="CY215" i="4"/>
  <c r="AZ258" i="23"/>
  <c r="ER131" i="4"/>
  <c r="M221" i="23"/>
  <c r="DC83" i="4"/>
  <c r="CT260" i="23"/>
  <c r="EP190" i="4"/>
  <c r="BZ63" i="24"/>
  <c r="CC166" i="4"/>
  <c r="BS187" i="23"/>
  <c r="U154" i="7"/>
  <c r="BK154" i="4"/>
  <c r="AN218" i="23"/>
  <c r="DF118" i="4"/>
  <c r="U262" i="23"/>
  <c r="EN94" i="4"/>
  <c r="W46" i="7"/>
  <c r="BM46" i="4"/>
  <c r="DS261" i="23"/>
  <c r="EO222" i="4"/>
  <c r="DK189" i="23"/>
  <c r="BI209" i="7"/>
  <c r="S210" i="7"/>
  <c r="BI210" i="4"/>
  <c r="DA185" i="23"/>
  <c r="W198" i="7"/>
  <c r="BM198" i="4"/>
  <c r="CQ68" i="24"/>
  <c r="BX186" i="4"/>
  <c r="CG193" i="23"/>
  <c r="BQ174" i="7"/>
  <c r="O174" i="7"/>
  <c r="BE174" i="4"/>
  <c r="BX186" i="23"/>
  <c r="V162" i="7"/>
  <c r="BL162" i="4"/>
  <c r="AV218" i="23"/>
  <c r="DF126" i="4"/>
  <c r="AC265" i="23"/>
  <c r="EW102" i="7"/>
  <c r="EK102" i="4"/>
  <c r="H64" i="24"/>
  <c r="CB78" i="4"/>
  <c r="EW247" i="7"/>
  <c r="EK247" i="4"/>
  <c r="CY191" i="23"/>
  <c r="Q196" i="7"/>
  <c r="BG196" i="4"/>
  <c r="BN221" i="23"/>
  <c r="DC148" i="4"/>
  <c r="BD69" i="24"/>
  <c r="BW136" i="4"/>
  <c r="AK71" i="24"/>
  <c r="BU112" i="4"/>
  <c r="BX40" i="4"/>
  <c r="CX63" i="24"/>
  <c r="CC195" i="4"/>
  <c r="CE187" i="23"/>
  <c r="U171" i="7"/>
  <c r="BK171" i="4"/>
  <c r="AS65" i="24"/>
  <c r="CA123" i="4"/>
  <c r="CZ193" i="7"/>
  <c r="CW224" i="23"/>
  <c r="CZ194" i="4"/>
  <c r="CD183" i="23"/>
  <c r="Y170" i="7"/>
  <c r="BO170" i="4"/>
  <c r="BB182" i="23"/>
  <c r="BP133" i="7"/>
  <c r="Z134" i="7"/>
  <c r="BP134" i="4"/>
  <c r="Y259" i="23"/>
  <c r="EQ98" i="4"/>
  <c r="U26" i="7"/>
  <c r="BK26" i="4"/>
  <c r="U26" i="4" s="1"/>
  <c r="U26" i="1" s="1"/>
  <c r="U25" i="7"/>
  <c r="BK25" i="4"/>
  <c r="U25" i="4" s="1"/>
  <c r="U25" i="1" s="1"/>
  <c r="DW263" i="23"/>
  <c r="EM227" i="7"/>
  <c r="EM228" i="4"/>
  <c r="CL260" i="23"/>
  <c r="EP180" i="4"/>
  <c r="AO221" i="23"/>
  <c r="DC119" i="4"/>
  <c r="AY224" i="23"/>
  <c r="CZ129" i="7"/>
  <c r="CZ130" i="4"/>
  <c r="DR224" i="23"/>
  <c r="CZ221" i="4"/>
  <c r="CZ260" i="23"/>
  <c r="EP197" i="4"/>
  <c r="CP66" i="24"/>
  <c r="BZ185" i="4"/>
  <c r="CF68" i="24"/>
  <c r="BX173" i="4"/>
  <c r="BX172" i="7"/>
  <c r="BW265" i="23"/>
  <c r="EW161" i="7"/>
  <c r="EK161" i="4"/>
  <c r="BO227" i="23"/>
  <c r="CW149" i="4"/>
  <c r="BE260" i="23"/>
  <c r="EP137" i="4"/>
  <c r="AU193" i="23"/>
  <c r="BQ125" i="7"/>
  <c r="O125" i="7"/>
  <c r="BE125" i="4"/>
  <c r="AL190" i="23"/>
  <c r="R113" i="7"/>
  <c r="BH113" i="4"/>
  <c r="AB187" i="23"/>
  <c r="U101" i="7"/>
  <c r="BK101" i="4"/>
  <c r="CE101" i="7"/>
  <c r="AB73" i="24"/>
  <c r="BS101" i="4"/>
  <c r="G262" i="23"/>
  <c r="EN76" i="7"/>
  <c r="EN77" i="4"/>
  <c r="DJ186" i="23"/>
  <c r="V208" i="7"/>
  <c r="BL208" i="4"/>
  <c r="Q228" i="23"/>
  <c r="CV87" i="7"/>
  <c r="CV88" i="4"/>
  <c r="CV87" i="4" s="1"/>
  <c r="AI261" i="23"/>
  <c r="EO110" i="4"/>
  <c r="P70" i="24"/>
  <c r="BV86" i="4"/>
  <c r="CM228" i="23"/>
  <c r="CV181" i="4"/>
  <c r="BL72" i="24"/>
  <c r="BT145" i="4"/>
  <c r="AH223" i="23"/>
  <c r="DA109" i="4"/>
  <c r="O264" i="23"/>
  <c r="EL85" i="4"/>
  <c r="DP256" i="23"/>
  <c r="ET216" i="4"/>
  <c r="BA228" i="23"/>
  <c r="CV132" i="4"/>
  <c r="N265" i="23"/>
  <c r="EW84" i="7"/>
  <c r="EK84" i="4"/>
  <c r="N64" i="24"/>
  <c r="CB84" i="4"/>
  <c r="Y36" i="7"/>
  <c r="BO36" i="4"/>
  <c r="Y36" i="4" s="1"/>
  <c r="Y36" i="1" s="1"/>
  <c r="BO241" i="7"/>
  <c r="EB183" i="23" s="1"/>
  <c r="Y242" i="7"/>
  <c r="BO242" i="4"/>
  <c r="CU229" i="23"/>
  <c r="DG191" i="7"/>
  <c r="CU191" i="4"/>
  <c r="CA186" i="23"/>
  <c r="V167" i="7"/>
  <c r="BL167" i="4"/>
  <c r="BJ262" i="23"/>
  <c r="EN143" i="4"/>
  <c r="V228" i="23"/>
  <c r="CV95" i="4"/>
  <c r="BI223" i="23"/>
  <c r="DA142" i="4"/>
  <c r="L218" i="23"/>
  <c r="DF82" i="4"/>
  <c r="L264" i="23"/>
  <c r="EL82" i="4"/>
  <c r="DU256" i="23"/>
  <c r="ET225" i="4"/>
  <c r="DN258" i="23"/>
  <c r="ER213" i="4"/>
  <c r="DN191" i="23"/>
  <c r="Q213" i="7"/>
  <c r="BG213" i="4"/>
  <c r="DD265" i="23"/>
  <c r="EW201" i="7"/>
  <c r="EK201" i="4"/>
  <c r="CS67" i="24"/>
  <c r="BY189" i="4"/>
  <c r="CJ186" i="23"/>
  <c r="V177" i="7"/>
  <c r="BL177" i="4"/>
  <c r="BM164" i="7"/>
  <c r="BY185" i="23"/>
  <c r="W165" i="7"/>
  <c r="BM165" i="4"/>
  <c r="BR63" i="24"/>
  <c r="CC153" i="4"/>
  <c r="BH264" i="23"/>
  <c r="EL141" i="4"/>
  <c r="AM190" i="23"/>
  <c r="BH116" i="7"/>
  <c r="R117" i="7"/>
  <c r="BH117" i="4"/>
  <c r="AD190" i="23"/>
  <c r="BH104" i="7"/>
  <c r="R105" i="7"/>
  <c r="BH105" i="4"/>
  <c r="T187" i="23"/>
  <c r="U93" i="7"/>
  <c r="BK93" i="4"/>
  <c r="K192" i="23"/>
  <c r="P81" i="7"/>
  <c r="BF81" i="4"/>
  <c r="BQ69" i="7"/>
  <c r="O69" i="7"/>
  <c r="BE69" i="4"/>
  <c r="R45" i="7"/>
  <c r="BH45" i="4"/>
  <c r="R45" i="4" s="1"/>
  <c r="R45" i="1" s="1"/>
  <c r="Z21" i="7"/>
  <c r="BP21" i="4"/>
  <c r="Z21" i="4" s="1"/>
  <c r="Z21" i="1" s="1"/>
  <c r="U21" i="7"/>
  <c r="BK21" i="4"/>
  <c r="U21" i="4" s="1"/>
  <c r="U21" i="1" s="1"/>
  <c r="EP157" i="7"/>
  <c r="BT260" i="23"/>
  <c r="EP158" i="4"/>
  <c r="EJ158" i="7"/>
  <c r="DP158" i="7"/>
  <c r="DO158" i="7"/>
  <c r="DN158" i="7"/>
  <c r="DM158" i="7"/>
  <c r="DL158" i="7"/>
  <c r="DK158" i="7"/>
  <c r="DJ158" i="7"/>
  <c r="DI158" i="7"/>
  <c r="DT158" i="7"/>
  <c r="DS158" i="7"/>
  <c r="DR158" i="7"/>
  <c r="DH158" i="7" s="1"/>
  <c r="DQ158" i="7"/>
  <c r="DT263" i="23"/>
  <c r="EM223" i="7"/>
  <c r="EM224" i="4"/>
  <c r="DM223" i="23"/>
  <c r="DA212" i="4"/>
  <c r="DC186" i="23"/>
  <c r="V200" i="7"/>
  <c r="BL200" i="4"/>
  <c r="CR62" i="24"/>
  <c r="CD188" i="4"/>
  <c r="CD187" i="7"/>
  <c r="CI224" i="23"/>
  <c r="CZ176" i="4"/>
  <c r="BQ187" i="23"/>
  <c r="U152" i="7"/>
  <c r="BK152" i="4"/>
  <c r="BG65" i="24"/>
  <c r="CA140" i="4"/>
  <c r="AX185" i="23"/>
  <c r="W128" i="7"/>
  <c r="BM128" i="4"/>
  <c r="S69" i="24"/>
  <c r="BW92" i="4"/>
  <c r="J68" i="24"/>
  <c r="BX80" i="4"/>
  <c r="DQ229" i="23"/>
  <c r="CU219" i="7"/>
  <c r="DG220" i="7"/>
  <c r="CU220" i="4"/>
  <c r="BV191" i="23"/>
  <c r="Q160" i="7"/>
  <c r="BG160" i="4"/>
  <c r="AA190" i="23"/>
  <c r="R100" i="7"/>
  <c r="BH100" i="4"/>
  <c r="AA261" i="23"/>
  <c r="EO100" i="4"/>
  <c r="W64" i="7"/>
  <c r="BM64" i="4"/>
  <c r="CN261" i="23"/>
  <c r="EO182" i="7"/>
  <c r="EO183" i="4"/>
  <c r="BU219" i="23"/>
  <c r="DE159" i="4"/>
  <c r="BC219" i="23"/>
  <c r="DE135" i="4"/>
  <c r="AJ182" i="23"/>
  <c r="Z111" i="7"/>
  <c r="BP111" i="4"/>
  <c r="DF54" i="7"/>
  <c r="DF51" i="4"/>
  <c r="DF54" i="4" s="1"/>
  <c r="AR189" i="23"/>
  <c r="S122" i="7"/>
  <c r="BI122" i="4"/>
  <c r="EV13" i="7"/>
  <c r="EV6" i="7" s="1"/>
  <c r="EV14" i="4"/>
  <c r="EV13" i="4" s="1"/>
  <c r="DX257" i="23"/>
  <c r="ES229" i="4"/>
  <c r="CW60" i="7"/>
  <c r="CW61" i="4"/>
  <c r="CW60" i="4" s="1"/>
  <c r="CV190" i="23"/>
  <c r="R192" i="7"/>
  <c r="BH192" i="4"/>
  <c r="BK182" i="23"/>
  <c r="Z144" i="7"/>
  <c r="BP144" i="4"/>
  <c r="AG228" i="23"/>
  <c r="CV108" i="4"/>
  <c r="DF67" i="24"/>
  <c r="BY203" i="4"/>
  <c r="BE178" i="7"/>
  <c r="CK193" i="23"/>
  <c r="BQ179" i="7"/>
  <c r="O179" i="7"/>
  <c r="BE179" i="4"/>
  <c r="AF70" i="24"/>
  <c r="BV107" i="4"/>
  <c r="DV183" i="23"/>
  <c r="Y226" i="7"/>
  <c r="BO226" i="4"/>
  <c r="DE226" i="23"/>
  <c r="CX202" i="4"/>
  <c r="EJ202" i="7"/>
  <c r="DP202" i="7"/>
  <c r="DN202" i="7"/>
  <c r="DM202" i="7"/>
  <c r="DO202" i="7"/>
  <c r="DL202" i="7"/>
  <c r="DK202" i="7"/>
  <c r="DJ202" i="7"/>
  <c r="DT202" i="7"/>
  <c r="DS202" i="7"/>
  <c r="DR202" i="7"/>
  <c r="DH202" i="7" s="1"/>
  <c r="DQ202" i="7"/>
  <c r="DI202" i="7"/>
  <c r="AE263" i="23"/>
  <c r="EM106" i="4"/>
  <c r="DL193" i="23"/>
  <c r="BQ211" i="7"/>
  <c r="O211" i="7"/>
  <c r="BE211" i="4"/>
  <c r="CH258" i="23"/>
  <c r="ER175" i="4"/>
  <c r="DU192" i="23"/>
  <c r="P225" i="7"/>
  <c r="BF225" i="4"/>
  <c r="DU185" i="23"/>
  <c r="W225" i="7"/>
  <c r="BM225" i="4"/>
  <c r="DU257" i="23"/>
  <c r="ES225" i="4"/>
  <c r="DU68" i="24"/>
  <c r="BX225" i="4"/>
  <c r="DN192" i="23"/>
  <c r="P213" i="7"/>
  <c r="BF213" i="4"/>
  <c r="DN190" i="23"/>
  <c r="R213" i="7"/>
  <c r="BH213" i="4"/>
  <c r="DN229" i="23"/>
  <c r="DG213" i="7"/>
  <c r="CU213" i="4"/>
  <c r="DN67" i="24"/>
  <c r="BY213" i="4"/>
  <c r="DD222" i="23"/>
  <c r="DB201" i="4"/>
  <c r="DD262" i="23"/>
  <c r="EN201" i="4"/>
  <c r="DD191" i="23"/>
  <c r="Q201" i="7"/>
  <c r="BG201" i="4"/>
  <c r="DD67" i="24"/>
  <c r="BY201" i="4"/>
  <c r="CS184" i="23"/>
  <c r="X189" i="7"/>
  <c r="BN189" i="4"/>
  <c r="CS256" i="23"/>
  <c r="ET189" i="4"/>
  <c r="CS226" i="23"/>
  <c r="CX189" i="4"/>
  <c r="CS70" i="24"/>
  <c r="BV189" i="4"/>
  <c r="CJ257" i="23"/>
  <c r="ES177" i="4"/>
  <c r="CJ219" i="23"/>
  <c r="DE177" i="4"/>
  <c r="CJ220" i="23"/>
  <c r="DD177" i="4"/>
  <c r="CJ70" i="24"/>
  <c r="BV177" i="4"/>
  <c r="BG164" i="7"/>
  <c r="BY191" i="23"/>
  <c r="Q165" i="7"/>
  <c r="BG165" i="4"/>
  <c r="BY261" i="23"/>
  <c r="EO164" i="7"/>
  <c r="EO165" i="4"/>
  <c r="DE164" i="7"/>
  <c r="BY219" i="23"/>
  <c r="DE165" i="4"/>
  <c r="BY71" i="24"/>
  <c r="BU165" i="4"/>
  <c r="BU164" i="7"/>
  <c r="EJ165" i="7"/>
  <c r="DP165" i="7"/>
  <c r="DM165" i="7"/>
  <c r="DL165" i="7"/>
  <c r="DK165" i="7"/>
  <c r="DO165" i="7"/>
  <c r="DN165" i="7"/>
  <c r="DJ165" i="7"/>
  <c r="DT165" i="7"/>
  <c r="DS165" i="7"/>
  <c r="DR165" i="7"/>
  <c r="DH165" i="7" s="1"/>
  <c r="DQ165" i="7"/>
  <c r="DI165" i="7"/>
  <c r="BR191" i="23"/>
  <c r="Q153" i="7"/>
  <c r="BG153" i="4"/>
  <c r="BR186" i="23"/>
  <c r="V153" i="7"/>
  <c r="BL153" i="4"/>
  <c r="BR263" i="23"/>
  <c r="EM153" i="4"/>
  <c r="BR72" i="24"/>
  <c r="BT153" i="4"/>
  <c r="BH265" i="23"/>
  <c r="EW141" i="7"/>
  <c r="EK141" i="4"/>
  <c r="BH191" i="23"/>
  <c r="Q141" i="7"/>
  <c r="BG141" i="4"/>
  <c r="BH223" i="23"/>
  <c r="DA141" i="4"/>
  <c r="BH62" i="24"/>
  <c r="CD141" i="4"/>
  <c r="AM221" i="23"/>
  <c r="DC117" i="4"/>
  <c r="ET116" i="7"/>
  <c r="AM256" i="23"/>
  <c r="ET117" i="4"/>
  <c r="EL116" i="7"/>
  <c r="AM264" i="23"/>
  <c r="EL117" i="4"/>
  <c r="AM63" i="24"/>
  <c r="CC117" i="4"/>
  <c r="CC116" i="7"/>
  <c r="AD260" i="23"/>
  <c r="EP104" i="7"/>
  <c r="EP105" i="4"/>
  <c r="BG104" i="7"/>
  <c r="AD191" i="23"/>
  <c r="Q105" i="7"/>
  <c r="BG105" i="4"/>
  <c r="AD224" i="23"/>
  <c r="CZ104" i="7"/>
  <c r="CZ105" i="4"/>
  <c r="AD63" i="24"/>
  <c r="CC105" i="4"/>
  <c r="CC104" i="7"/>
  <c r="T225" i="23"/>
  <c r="CY93" i="4"/>
  <c r="T255" i="23"/>
  <c r="EU93" i="4"/>
  <c r="T265" i="23"/>
  <c r="EW93" i="7"/>
  <c r="EK93" i="4"/>
  <c r="CE93" i="7"/>
  <c r="T73" i="24"/>
  <c r="BS93" i="4"/>
  <c r="K228" i="23"/>
  <c r="CV81" i="4"/>
  <c r="K218" i="23"/>
  <c r="DF81" i="4"/>
  <c r="K229" i="23"/>
  <c r="DG81" i="7"/>
  <c r="CU81" i="4"/>
  <c r="K64" i="24"/>
  <c r="CB81" i="4"/>
  <c r="P69" i="7"/>
  <c r="BF69" i="4"/>
  <c r="P69" i="4" s="1"/>
  <c r="P69" i="1" s="1"/>
  <c r="Y69" i="7"/>
  <c r="BO69" i="4"/>
  <c r="Y69" i="4" s="1"/>
  <c r="Y69" i="1" s="1"/>
  <c r="BQ45" i="7"/>
  <c r="O45" i="7"/>
  <c r="BE45" i="4"/>
  <c r="S45" i="7"/>
  <c r="BI45" i="4"/>
  <c r="S45" i="4" s="1"/>
  <c r="S45" i="1" s="1"/>
  <c r="W45" i="7"/>
  <c r="BM45" i="4"/>
  <c r="BV45" i="4"/>
  <c r="P33" i="7"/>
  <c r="BF33" i="4"/>
  <c r="P33" i="4" s="1"/>
  <c r="P33" i="1" s="1"/>
  <c r="X33" i="7"/>
  <c r="BN33" i="4"/>
  <c r="BV33" i="4"/>
  <c r="V21" i="7"/>
  <c r="BL21" i="4"/>
  <c r="V21" i="4" s="1"/>
  <c r="V21" i="1" s="1"/>
  <c r="DD157" i="7"/>
  <c r="BT220" i="23"/>
  <c r="DD158" i="4"/>
  <c r="BT229" i="23"/>
  <c r="CU157" i="7"/>
  <c r="DG158" i="7"/>
  <c r="CU158" i="4"/>
  <c r="CV157" i="7"/>
  <c r="BT228" i="23"/>
  <c r="CV158" i="4"/>
  <c r="BT68" i="24"/>
  <c r="BX158" i="4"/>
  <c r="BX157" i="7"/>
  <c r="CV223" i="7"/>
  <c r="DT228" i="23"/>
  <c r="CV224" i="4"/>
  <c r="DT265" i="23"/>
  <c r="EW224" i="7"/>
  <c r="EK223" i="7"/>
  <c r="EK224" i="4"/>
  <c r="DT182" i="23"/>
  <c r="BP223" i="7"/>
  <c r="Z224" i="7"/>
  <c r="BP224" i="4"/>
  <c r="DT72" i="24"/>
  <c r="BT224" i="4"/>
  <c r="BT223" i="7"/>
  <c r="EJ224" i="7"/>
  <c r="DN224" i="7"/>
  <c r="DM224" i="7"/>
  <c r="DL224" i="7"/>
  <c r="DK224" i="7"/>
  <c r="DJ224" i="7"/>
  <c r="DI224" i="7"/>
  <c r="DT224" i="7"/>
  <c r="DR224" i="7"/>
  <c r="DH224" i="7" s="1"/>
  <c r="DQ224" i="7"/>
  <c r="DO224" i="7"/>
  <c r="DS224" i="7"/>
  <c r="DP224" i="7"/>
  <c r="DM257" i="23"/>
  <c r="ES212" i="4"/>
  <c r="DM255" i="23"/>
  <c r="EU212" i="4"/>
  <c r="DM263" i="23"/>
  <c r="EM212" i="4"/>
  <c r="DM72" i="24"/>
  <c r="BT212" i="4"/>
  <c r="DC261" i="23"/>
  <c r="EO200" i="4"/>
  <c r="DC220" i="23"/>
  <c r="DD200" i="4"/>
  <c r="DC223" i="23"/>
  <c r="DA200" i="4"/>
  <c r="DC63" i="24"/>
  <c r="CC200" i="4"/>
  <c r="CR259" i="23"/>
  <c r="EQ187" i="7"/>
  <c r="EQ188" i="4"/>
  <c r="CX187" i="7"/>
  <c r="CR226" i="23"/>
  <c r="CX188" i="4"/>
  <c r="CR187" i="23"/>
  <c r="BK187" i="7"/>
  <c r="U188" i="7"/>
  <c r="BK188" i="4"/>
  <c r="CE188" i="7"/>
  <c r="CR73" i="24"/>
  <c r="BS188" i="4"/>
  <c r="BS187" i="7"/>
  <c r="CI221" i="23"/>
  <c r="DC176" i="4"/>
  <c r="CI193" i="23"/>
  <c r="BQ176" i="7"/>
  <c r="O176" i="7"/>
  <c r="BE176" i="4"/>
  <c r="CI264" i="23"/>
  <c r="EL176" i="4"/>
  <c r="CI62" i="24"/>
  <c r="CD176" i="4"/>
  <c r="BQ191" i="23"/>
  <c r="Q152" i="7"/>
  <c r="BG152" i="4"/>
  <c r="BQ186" i="23"/>
  <c r="V152" i="7"/>
  <c r="BL152" i="4"/>
  <c r="BQ261" i="23"/>
  <c r="EO152" i="4"/>
  <c r="BQ63" i="24"/>
  <c r="CC152" i="4"/>
  <c r="BG222" i="23"/>
  <c r="DB140" i="4"/>
  <c r="BG258" i="23"/>
  <c r="ER140" i="4"/>
  <c r="BG227" i="23"/>
  <c r="CW140" i="4"/>
  <c r="BG62" i="24"/>
  <c r="CD140" i="4"/>
  <c r="AX262" i="23"/>
  <c r="EN128" i="4"/>
  <c r="AX254" i="23"/>
  <c r="EV128" i="4"/>
  <c r="AX183" i="23"/>
  <c r="Y128" i="7"/>
  <c r="BO128" i="4"/>
  <c r="AX66" i="24"/>
  <c r="BZ128" i="4"/>
  <c r="S218" i="23"/>
  <c r="DF92" i="4"/>
  <c r="S185" i="23"/>
  <c r="W92" i="7"/>
  <c r="BM92" i="4"/>
  <c r="S257" i="23"/>
  <c r="ES92" i="4"/>
  <c r="S68" i="24"/>
  <c r="BX92" i="4"/>
  <c r="J259" i="23"/>
  <c r="EQ80" i="4"/>
  <c r="J219" i="23"/>
  <c r="DE80" i="4"/>
  <c r="J220" i="23"/>
  <c r="DD80" i="4"/>
  <c r="J67" i="24"/>
  <c r="BY80" i="4"/>
  <c r="U68" i="7"/>
  <c r="BK68" i="4"/>
  <c r="U68" i="4" s="1"/>
  <c r="U68" i="1" s="1"/>
  <c r="V68" i="7"/>
  <c r="BL68" i="4"/>
  <c r="V68" i="4" s="1"/>
  <c r="V68" i="1" s="1"/>
  <c r="Z44" i="7"/>
  <c r="BP44" i="4"/>
  <c r="Z44" i="4" s="1"/>
  <c r="Z44" i="1" s="1"/>
  <c r="S44" i="7"/>
  <c r="BI44" i="4"/>
  <c r="S44" i="4" s="1"/>
  <c r="S44" i="1" s="1"/>
  <c r="BY44" i="4"/>
  <c r="EW32" i="7"/>
  <c r="EK32" i="4"/>
  <c r="T32" i="7"/>
  <c r="BJ32" i="4"/>
  <c r="T32" i="4" s="1"/>
  <c r="T32" i="1" s="1"/>
  <c r="S32" i="7"/>
  <c r="BI32" i="4"/>
  <c r="S32" i="4" s="1"/>
  <c r="S32" i="1" s="1"/>
  <c r="BY88" i="7"/>
  <c r="BY32" i="4"/>
  <c r="EJ32" i="7"/>
  <c r="DQ32" i="7"/>
  <c r="DM32" i="7"/>
  <c r="DL32" i="7"/>
  <c r="DP32" i="7"/>
  <c r="DO32" i="7"/>
  <c r="DN32" i="7"/>
  <c r="DK32" i="7"/>
  <c r="DT32" i="7"/>
  <c r="DJ32" i="7"/>
  <c r="DI32" i="7"/>
  <c r="DS32" i="7"/>
  <c r="DR32" i="7"/>
  <c r="DH32" i="7" s="1"/>
  <c r="DQ258" i="23"/>
  <c r="ER219" i="7"/>
  <c r="ER220" i="4"/>
  <c r="DQ254" i="23"/>
  <c r="EV219" i="7"/>
  <c r="EV220" i="4"/>
  <c r="DQ223" i="23"/>
  <c r="DA219" i="7"/>
  <c r="DA220" i="4"/>
  <c r="BV260" i="23"/>
  <c r="EP160" i="4"/>
  <c r="BV258" i="23"/>
  <c r="ER160" i="4"/>
  <c r="BV187" i="23"/>
  <c r="U160" i="7"/>
  <c r="BK160" i="4"/>
  <c r="CE160" i="7"/>
  <c r="BV73" i="24"/>
  <c r="BS160" i="4"/>
  <c r="AA225" i="23"/>
  <c r="CY100" i="4"/>
  <c r="AA265" i="23"/>
  <c r="EW100" i="7"/>
  <c r="EK100" i="4"/>
  <c r="AA224" i="23"/>
  <c r="CZ100" i="4"/>
  <c r="AA64" i="24"/>
  <c r="CB100" i="4"/>
  <c r="BG182" i="7"/>
  <c r="CN191" i="23"/>
  <c r="Q183" i="7"/>
  <c r="BG183" i="4"/>
  <c r="CV182" i="7"/>
  <c r="CN228" i="23"/>
  <c r="CV183" i="4"/>
  <c r="CN188" i="23"/>
  <c r="BJ182" i="7"/>
  <c r="T183" i="7"/>
  <c r="BJ183" i="4"/>
  <c r="CN65" i="24"/>
  <c r="CA182" i="7"/>
  <c r="CA183" i="4"/>
  <c r="BU184" i="23"/>
  <c r="X159" i="7"/>
  <c r="BN159" i="4"/>
  <c r="BU225" i="23"/>
  <c r="CY159" i="4"/>
  <c r="BU221" i="23"/>
  <c r="DC159" i="4"/>
  <c r="BU64" i="24"/>
  <c r="CB159" i="4"/>
  <c r="BC218" i="23"/>
  <c r="DF135" i="4"/>
  <c r="BC184" i="23"/>
  <c r="X135" i="7"/>
  <c r="BN135" i="4"/>
  <c r="BC185" i="23"/>
  <c r="W135" i="7"/>
  <c r="BM135" i="4"/>
  <c r="BC67" i="24"/>
  <c r="BY135" i="4"/>
  <c r="AJ222" i="23"/>
  <c r="DB111" i="4"/>
  <c r="AJ260" i="23"/>
  <c r="EP111" i="4"/>
  <c r="AJ187" i="23"/>
  <c r="U111" i="7"/>
  <c r="BK111" i="4"/>
  <c r="AJ70" i="24"/>
  <c r="BV111" i="4"/>
  <c r="BE54" i="7"/>
  <c r="BQ51" i="7"/>
  <c r="BQ54" i="7" s="1"/>
  <c r="O51" i="7"/>
  <c r="BE51" i="4"/>
  <c r="ER54" i="7"/>
  <c r="ER51" i="4"/>
  <c r="ER54" i="4" s="1"/>
  <c r="BK54" i="7"/>
  <c r="U51" i="7"/>
  <c r="U54" i="7" s="1"/>
  <c r="BK51" i="4"/>
  <c r="BQ15" i="7"/>
  <c r="O15" i="7"/>
  <c r="BE15" i="4"/>
  <c r="S15" i="7"/>
  <c r="BI15" i="4"/>
  <c r="S15" i="4" s="1"/>
  <c r="S15" i="1" s="1"/>
  <c r="V15" i="7"/>
  <c r="BL15" i="4"/>
  <c r="V15" i="4" s="1"/>
  <c r="V15" i="1" s="1"/>
  <c r="AR193" i="23"/>
  <c r="BQ122" i="7"/>
  <c r="O122" i="7"/>
  <c r="BE122" i="4"/>
  <c r="AR188" i="23"/>
  <c r="T122" i="7"/>
  <c r="BJ122" i="4"/>
  <c r="AR256" i="23"/>
  <c r="ET122" i="4"/>
  <c r="AR71" i="24"/>
  <c r="BU122" i="4"/>
  <c r="EJ122" i="7"/>
  <c r="DP122" i="7"/>
  <c r="DL122" i="7"/>
  <c r="DJ122" i="7"/>
  <c r="DO122" i="7"/>
  <c r="DN122" i="7"/>
  <c r="DM122" i="7"/>
  <c r="DK122" i="7"/>
  <c r="DT122" i="7"/>
  <c r="DS122" i="7"/>
  <c r="DR122" i="7"/>
  <c r="DH122" i="7" s="1"/>
  <c r="DQ122" i="7"/>
  <c r="DI122" i="7"/>
  <c r="ER13" i="7"/>
  <c r="ER6" i="7" s="1"/>
  <c r="ER14" i="4"/>
  <c r="ER13" i="4" s="1"/>
  <c r="CW13" i="7"/>
  <c r="CW6" i="7" s="1"/>
  <c r="CW14" i="4"/>
  <c r="CW13" i="4" s="1"/>
  <c r="EM13" i="7"/>
  <c r="EM6" i="7" s="1"/>
  <c r="EM14" i="4"/>
  <c r="EM13" i="4" s="1"/>
  <c r="DX192" i="23"/>
  <c r="P229" i="7"/>
  <c r="BF229" i="4"/>
  <c r="DX186" i="23"/>
  <c r="V229" i="7"/>
  <c r="BL229" i="4"/>
  <c r="DX223" i="23"/>
  <c r="DA229" i="4"/>
  <c r="DX65" i="24"/>
  <c r="CA229" i="4"/>
  <c r="BI60" i="7"/>
  <c r="S61" i="7"/>
  <c r="BI61" i="4"/>
  <c r="ER60" i="7"/>
  <c r="ER61" i="4"/>
  <c r="ER60" i="4" s="1"/>
  <c r="EL60" i="7"/>
  <c r="EL61" i="4"/>
  <c r="EL60" i="4" s="1"/>
  <c r="CV254" i="23"/>
  <c r="EV192" i="4"/>
  <c r="CV191" i="23"/>
  <c r="Q192" i="7"/>
  <c r="BG192" i="4"/>
  <c r="CV264" i="23"/>
  <c r="EL192" i="4"/>
  <c r="CV63" i="24"/>
  <c r="CC192" i="4"/>
  <c r="BK226" i="23"/>
  <c r="CX144" i="4"/>
  <c r="BK218" i="23"/>
  <c r="DF144" i="4"/>
  <c r="BK261" i="23"/>
  <c r="EO144" i="4"/>
  <c r="BK63" i="24"/>
  <c r="CC144" i="4"/>
  <c r="AG259" i="23"/>
  <c r="EQ108" i="4"/>
  <c r="AG191" i="23"/>
  <c r="Q108" i="7"/>
  <c r="BG108" i="4"/>
  <c r="AG183" i="23"/>
  <c r="Y108" i="7"/>
  <c r="BO108" i="4"/>
  <c r="AG64" i="24"/>
  <c r="CB108" i="4"/>
  <c r="DF218" i="23"/>
  <c r="DF203" i="4"/>
  <c r="DF221" i="23"/>
  <c r="DC203" i="4"/>
  <c r="DF265" i="23"/>
  <c r="EW203" i="7"/>
  <c r="EK203" i="4"/>
  <c r="DF66" i="24"/>
  <c r="BZ203" i="4"/>
  <c r="CK256" i="23"/>
  <c r="ET178" i="7"/>
  <c r="ET179" i="4"/>
  <c r="BN178" i="7"/>
  <c r="CK184" i="23"/>
  <c r="X179" i="7"/>
  <c r="BN179" i="4"/>
  <c r="CK227" i="23"/>
  <c r="CW178" i="7"/>
  <c r="CW179" i="4"/>
  <c r="CK69" i="24"/>
  <c r="BW179" i="4"/>
  <c r="BW178" i="7"/>
  <c r="AF262" i="23"/>
  <c r="EN107" i="4"/>
  <c r="AF257" i="23"/>
  <c r="ES107" i="4"/>
  <c r="AF186" i="23"/>
  <c r="V107" i="7"/>
  <c r="BL107" i="4"/>
  <c r="AF69" i="24"/>
  <c r="BW107" i="4"/>
  <c r="DV221" i="23"/>
  <c r="DC226" i="4"/>
  <c r="DV182" i="23"/>
  <c r="Z226" i="7"/>
  <c r="BP226" i="4"/>
  <c r="DV261" i="23"/>
  <c r="EO226" i="4"/>
  <c r="CE226" i="7"/>
  <c r="DV73" i="24"/>
  <c r="BS226" i="4"/>
  <c r="DE186" i="23"/>
  <c r="V202" i="7"/>
  <c r="BL202" i="4"/>
  <c r="DE262" i="23"/>
  <c r="EN202" i="4"/>
  <c r="DE260" i="23"/>
  <c r="EP202" i="4"/>
  <c r="DE67" i="24"/>
  <c r="BY202" i="4"/>
  <c r="AE220" i="23"/>
  <c r="DD106" i="4"/>
  <c r="AE257" i="23"/>
  <c r="ES106" i="4"/>
  <c r="AE189" i="23"/>
  <c r="S106" i="7"/>
  <c r="BI106" i="4"/>
  <c r="AE71" i="24"/>
  <c r="BU106" i="4"/>
  <c r="EJ106" i="7"/>
  <c r="DP106" i="7"/>
  <c r="DN106" i="7"/>
  <c r="DM106" i="7"/>
  <c r="DL106" i="7"/>
  <c r="DK106" i="7"/>
  <c r="DJ106" i="7"/>
  <c r="DO106" i="7"/>
  <c r="DQ106" i="7"/>
  <c r="DS106" i="7"/>
  <c r="DI106" i="7"/>
  <c r="DT106" i="7"/>
  <c r="DR106" i="7"/>
  <c r="DH106" i="7" s="1"/>
  <c r="DL255" i="23"/>
  <c r="EU211" i="4"/>
  <c r="DL226" i="23"/>
  <c r="CX211" i="4"/>
  <c r="DL263" i="23"/>
  <c r="EM211" i="4"/>
  <c r="DL72" i="24"/>
  <c r="BT211" i="4"/>
  <c r="DB185" i="23"/>
  <c r="W199" i="7"/>
  <c r="BM199" i="4"/>
  <c r="DB260" i="23"/>
  <c r="EP199" i="4"/>
  <c r="DB223" i="23"/>
  <c r="DA199" i="4"/>
  <c r="DB64" i="24"/>
  <c r="CB199" i="4"/>
  <c r="CH227" i="23"/>
  <c r="CW175" i="4"/>
  <c r="CH220" i="23"/>
  <c r="DD175" i="4"/>
  <c r="CH187" i="23"/>
  <c r="U175" i="7"/>
  <c r="BK175" i="4"/>
  <c r="CH63" i="24"/>
  <c r="CC175" i="4"/>
  <c r="EU150" i="7"/>
  <c r="BP255" i="23"/>
  <c r="EU151" i="4"/>
  <c r="BP259" i="23"/>
  <c r="EQ150" i="7"/>
  <c r="EQ151" i="4"/>
  <c r="BP224" i="23"/>
  <c r="CZ150" i="7"/>
  <c r="CZ151" i="4"/>
  <c r="BP73" i="24"/>
  <c r="CE151" i="7"/>
  <c r="BS151" i="4"/>
  <c r="BS150" i="7"/>
  <c r="CV138" i="7"/>
  <c r="BF228" i="23"/>
  <c r="CV139" i="4"/>
  <c r="BF186" i="23"/>
  <c r="BL138" i="7"/>
  <c r="V139" i="7"/>
  <c r="BL139" i="4"/>
  <c r="BF259" i="23"/>
  <c r="EQ138" i="7"/>
  <c r="EQ139" i="4"/>
  <c r="BF63" i="24"/>
  <c r="CC139" i="4"/>
  <c r="CC138" i="7"/>
  <c r="AW193" i="23"/>
  <c r="BQ127" i="7"/>
  <c r="O127" i="7"/>
  <c r="BE127" i="4"/>
  <c r="AW185" i="23"/>
  <c r="W127" i="7"/>
  <c r="BM127" i="4"/>
  <c r="AW183" i="23"/>
  <c r="Y127" i="7"/>
  <c r="BO127" i="4"/>
  <c r="AW66" i="24"/>
  <c r="BZ127" i="4"/>
  <c r="R222" i="23"/>
  <c r="DB90" i="7"/>
  <c r="DB91" i="4"/>
  <c r="BN90" i="7"/>
  <c r="R184" i="23"/>
  <c r="X91" i="7"/>
  <c r="BN91" i="4"/>
  <c r="R183" i="23"/>
  <c r="BO90" i="7"/>
  <c r="Y91" i="7"/>
  <c r="BO91" i="4"/>
  <c r="R66" i="24"/>
  <c r="BZ91" i="4"/>
  <c r="BZ90" i="7"/>
  <c r="I261" i="23"/>
  <c r="EO79" i="4"/>
  <c r="I225" i="23"/>
  <c r="CY79" i="4"/>
  <c r="I185" i="23"/>
  <c r="W79" i="7"/>
  <c r="BM79" i="4"/>
  <c r="I68" i="24"/>
  <c r="BX79" i="4"/>
  <c r="P67" i="7"/>
  <c r="BF67" i="4"/>
  <c r="P67" i="4" s="1"/>
  <c r="P67" i="1" s="1"/>
  <c r="S67" i="7"/>
  <c r="BI67" i="4"/>
  <c r="S67" i="4" s="1"/>
  <c r="S67" i="1" s="1"/>
  <c r="BF57" i="7"/>
  <c r="P55" i="7"/>
  <c r="P57" i="7" s="1"/>
  <c r="BF55" i="4"/>
  <c r="BG57" i="7"/>
  <c r="Q55" i="7"/>
  <c r="Q57" i="7" s="1"/>
  <c r="BG55" i="4"/>
  <c r="EU57" i="7"/>
  <c r="EU55" i="4"/>
  <c r="EU57" i="4" s="1"/>
  <c r="DD29" i="7"/>
  <c r="DD31" i="4"/>
  <c r="BJ29" i="7"/>
  <c r="T31" i="7"/>
  <c r="BJ31" i="4"/>
  <c r="CV29" i="7"/>
  <c r="CV31" i="4"/>
  <c r="CV29" i="4" s="1"/>
  <c r="BX31" i="4"/>
  <c r="BX29" i="7"/>
  <c r="BQ19" i="7"/>
  <c r="O19" i="7"/>
  <c r="BE19" i="4"/>
  <c r="EW19" i="7"/>
  <c r="EK19" i="4"/>
  <c r="EW19" i="4" s="1"/>
  <c r="CO193" i="23"/>
  <c r="BQ184" i="7"/>
  <c r="O184" i="7"/>
  <c r="BE184" i="4"/>
  <c r="CO227" i="23"/>
  <c r="CW184" i="4"/>
  <c r="CO263" i="23"/>
  <c r="EM184" i="4"/>
  <c r="CO72" i="24"/>
  <c r="BT184" i="4"/>
  <c r="AT254" i="23"/>
  <c r="EV124" i="4"/>
  <c r="AT255" i="23"/>
  <c r="EU124" i="4"/>
  <c r="AT223" i="23"/>
  <c r="DA124" i="4"/>
  <c r="AT64" i="24"/>
  <c r="CB124" i="4"/>
  <c r="DI265" i="23"/>
  <c r="EW207" i="7"/>
  <c r="EK207" i="4"/>
  <c r="DI189" i="23"/>
  <c r="S207" i="7"/>
  <c r="BI207" i="4"/>
  <c r="DI187" i="23"/>
  <c r="U207" i="7"/>
  <c r="BK207" i="4"/>
  <c r="DI63" i="24"/>
  <c r="CC207" i="4"/>
  <c r="BM190" i="23"/>
  <c r="BH146" i="7"/>
  <c r="R147" i="7"/>
  <c r="BH147" i="4"/>
  <c r="BM228" i="23"/>
  <c r="CV146" i="7"/>
  <c r="CV147" i="4"/>
  <c r="BM224" i="23"/>
  <c r="CZ146" i="7"/>
  <c r="CZ147" i="4"/>
  <c r="BM66" i="24"/>
  <c r="BZ146" i="7"/>
  <c r="BZ147" i="4"/>
  <c r="Z226" i="23"/>
  <c r="CX99" i="4"/>
  <c r="Z259" i="23"/>
  <c r="EQ99" i="4"/>
  <c r="Z265" i="23"/>
  <c r="EW99" i="7"/>
  <c r="EK99" i="4"/>
  <c r="Z63" i="24"/>
  <c r="CC99" i="4"/>
  <c r="DG63" i="7"/>
  <c r="CU63" i="4"/>
  <c r="DC38" i="7"/>
  <c r="DC39" i="4"/>
  <c r="CW38" i="7"/>
  <c r="F227" i="23" s="1"/>
  <c r="CW39" i="4"/>
  <c r="CW38" i="4" s="1"/>
  <c r="BO38" i="7"/>
  <c r="F183" i="23" s="1"/>
  <c r="Y39" i="7"/>
  <c r="BO39" i="4"/>
  <c r="BZ39" i="4"/>
  <c r="BZ38" i="7"/>
  <c r="F66" i="24" s="1"/>
  <c r="S245" i="7"/>
  <c r="BI245" i="4"/>
  <c r="S245" i="4" s="1"/>
  <c r="S245" i="1" s="1"/>
  <c r="BW245" i="4"/>
  <c r="DH192" i="23"/>
  <c r="BF205" i="7"/>
  <c r="P206" i="7"/>
  <c r="BF206" i="4"/>
  <c r="EU205" i="7"/>
  <c r="DH255" i="23"/>
  <c r="EU206" i="4"/>
  <c r="BO205" i="7"/>
  <c r="DH183" i="23"/>
  <c r="Y206" i="7"/>
  <c r="BO206" i="4"/>
  <c r="DH67" i="24"/>
  <c r="BY205" i="7"/>
  <c r="BY206" i="4"/>
  <c r="CC228" i="23"/>
  <c r="CV169" i="4"/>
  <c r="CC185" i="23"/>
  <c r="W169" i="7"/>
  <c r="BM169" i="4"/>
  <c r="CC186" i="23"/>
  <c r="V169" i="7"/>
  <c r="BL169" i="4"/>
  <c r="CC68" i="24"/>
  <c r="BX169" i="4"/>
  <c r="AQ193" i="23"/>
  <c r="BQ121" i="7"/>
  <c r="O121" i="7"/>
  <c r="BE121" i="4"/>
  <c r="AQ190" i="23"/>
  <c r="R121" i="7"/>
  <c r="BH121" i="4"/>
  <c r="AQ189" i="23"/>
  <c r="S121" i="7"/>
  <c r="BI121" i="4"/>
  <c r="AQ70" i="24"/>
  <c r="BV121" i="4"/>
  <c r="X221" i="23"/>
  <c r="DC97" i="4"/>
  <c r="X259" i="23"/>
  <c r="EQ97" i="4"/>
  <c r="X229" i="23"/>
  <c r="DG97" i="7"/>
  <c r="CU97" i="4"/>
  <c r="X71" i="24"/>
  <c r="BU97" i="4"/>
  <c r="EJ97" i="7"/>
  <c r="DP97" i="7"/>
  <c r="DO97" i="7"/>
  <c r="DN97" i="7"/>
  <c r="DM97" i="7"/>
  <c r="DL97" i="7"/>
  <c r="DK97" i="7"/>
  <c r="DJ97" i="7"/>
  <c r="DI97" i="7"/>
  <c r="DR97" i="7"/>
  <c r="DH97" i="7" s="1"/>
  <c r="DQ97" i="7"/>
  <c r="DT97" i="7"/>
  <c r="DS97" i="7"/>
  <c r="R243" i="7"/>
  <c r="BH243" i="4"/>
  <c r="R243" i="4" s="1"/>
  <c r="R243" i="1" s="1"/>
  <c r="CD243" i="4"/>
  <c r="DG227" i="23"/>
  <c r="CW204" i="4"/>
  <c r="DG257" i="23"/>
  <c r="ES204" i="4"/>
  <c r="DG223" i="23"/>
  <c r="DA204" i="4"/>
  <c r="DG63" i="24"/>
  <c r="CC204" i="4"/>
  <c r="CB255" i="23"/>
  <c r="EU168" i="4"/>
  <c r="CB259" i="23"/>
  <c r="EQ168" i="4"/>
  <c r="CB187" i="23"/>
  <c r="U168" i="7"/>
  <c r="BK168" i="4"/>
  <c r="CB65" i="24"/>
  <c r="CA168" i="4"/>
  <c r="AP260" i="23"/>
  <c r="EP120" i="4"/>
  <c r="AP262" i="23"/>
  <c r="EN120" i="4"/>
  <c r="AP224" i="23"/>
  <c r="CZ120" i="4"/>
  <c r="AP66" i="24"/>
  <c r="BZ120" i="4"/>
  <c r="W182" i="23"/>
  <c r="Z96" i="7"/>
  <c r="BP96" i="4"/>
  <c r="W229" i="23"/>
  <c r="DG96" i="7"/>
  <c r="CU96" i="4"/>
  <c r="W257" i="23"/>
  <c r="ES96" i="4"/>
  <c r="W65" i="24"/>
  <c r="CA96" i="4"/>
  <c r="BP27" i="7"/>
  <c r="Z24" i="7"/>
  <c r="BP24" i="4"/>
  <c r="DE27" i="7"/>
  <c r="DE24" i="4"/>
  <c r="DE27" i="4" s="1"/>
  <c r="BO27" i="7"/>
  <c r="Y24" i="7"/>
  <c r="BO24" i="4"/>
  <c r="DO226" i="23"/>
  <c r="CX214" i="7"/>
  <c r="CX215" i="4"/>
  <c r="DO261" i="23"/>
  <c r="EO214" i="7"/>
  <c r="EO215" i="4"/>
  <c r="DO257" i="23"/>
  <c r="ES214" i="7"/>
  <c r="ES215" i="4"/>
  <c r="DO66" i="24"/>
  <c r="BZ214" i="7"/>
  <c r="BZ215" i="4"/>
  <c r="AZ257" i="23"/>
  <c r="ES131" i="4"/>
  <c r="AZ222" i="23"/>
  <c r="DB131" i="4"/>
  <c r="AZ261" i="23"/>
  <c r="EO131" i="4"/>
  <c r="AZ70" i="24"/>
  <c r="BV131" i="4"/>
  <c r="M220" i="23"/>
  <c r="DD83" i="4"/>
  <c r="M187" i="23"/>
  <c r="U83" i="7"/>
  <c r="BK83" i="4"/>
  <c r="M185" i="23"/>
  <c r="W83" i="7"/>
  <c r="BM83" i="4"/>
  <c r="M68" i="24"/>
  <c r="BX83" i="4"/>
  <c r="Z35" i="7"/>
  <c r="BP35" i="4"/>
  <c r="Z35" i="4" s="1"/>
  <c r="Z35" i="1" s="1"/>
  <c r="CT261" i="23"/>
  <c r="EO190" i="4"/>
  <c r="CT228" i="23"/>
  <c r="CV190" i="4"/>
  <c r="CT189" i="23"/>
  <c r="S190" i="7"/>
  <c r="BI190" i="4"/>
  <c r="CT70" i="24"/>
  <c r="BV190" i="4"/>
  <c r="BZ189" i="23"/>
  <c r="S166" i="7"/>
  <c r="BI166" i="4"/>
  <c r="BZ260" i="23"/>
  <c r="EP166" i="4"/>
  <c r="BZ229" i="23"/>
  <c r="DG166" i="7"/>
  <c r="CU166" i="4"/>
  <c r="BZ69" i="24"/>
  <c r="BW166" i="4"/>
  <c r="EJ166" i="7"/>
  <c r="DP166" i="7"/>
  <c r="DN166" i="7"/>
  <c r="DJ166" i="7"/>
  <c r="DO166" i="7"/>
  <c r="DM166" i="7"/>
  <c r="DL166" i="7"/>
  <c r="DK166" i="7"/>
  <c r="DT166" i="7"/>
  <c r="DS166" i="7"/>
  <c r="DR166" i="7"/>
  <c r="DH166" i="7" s="1"/>
  <c r="DQ166" i="7"/>
  <c r="DI166" i="7"/>
  <c r="BS184" i="23"/>
  <c r="X154" i="7"/>
  <c r="BN154" i="4"/>
  <c r="BS189" i="23"/>
  <c r="S154" i="7"/>
  <c r="BI154" i="4"/>
  <c r="BS263" i="23"/>
  <c r="EM154" i="4"/>
  <c r="BS72" i="24"/>
  <c r="BT154" i="4"/>
  <c r="AN221" i="23"/>
  <c r="DC118" i="4"/>
  <c r="AN185" i="23"/>
  <c r="W118" i="7"/>
  <c r="BM118" i="4"/>
  <c r="AN223" i="23"/>
  <c r="DA118" i="4"/>
  <c r="AN65" i="24"/>
  <c r="CA118" i="4"/>
  <c r="U222" i="23"/>
  <c r="DB94" i="4"/>
  <c r="U227" i="23"/>
  <c r="CW94" i="4"/>
  <c r="U264" i="23"/>
  <c r="EL94" i="4"/>
  <c r="U65" i="24"/>
  <c r="CA94" i="4"/>
  <c r="X46" i="7"/>
  <c r="BN46" i="4"/>
  <c r="CE46" i="7"/>
  <c r="BS46" i="4"/>
  <c r="DS256" i="23"/>
  <c r="ET222" i="4"/>
  <c r="DS265" i="23"/>
  <c r="EW222" i="7"/>
  <c r="EK222" i="4"/>
  <c r="DS224" i="23"/>
  <c r="CZ222" i="4"/>
  <c r="DD209" i="7"/>
  <c r="DK220" i="23"/>
  <c r="DD210" i="4"/>
  <c r="DK191" i="23"/>
  <c r="BG209" i="7"/>
  <c r="Q210" i="7"/>
  <c r="BG210" i="4"/>
  <c r="DK188" i="23"/>
  <c r="BJ209" i="7"/>
  <c r="T210" i="7"/>
  <c r="BJ210" i="4"/>
  <c r="DK65" i="24"/>
  <c r="CA209" i="7"/>
  <c r="CA210" i="4"/>
  <c r="DA192" i="23"/>
  <c r="P198" i="7"/>
  <c r="BF198" i="4"/>
  <c r="DA184" i="23"/>
  <c r="X198" i="7"/>
  <c r="BN198" i="4"/>
  <c r="DA261" i="23"/>
  <c r="EO198" i="4"/>
  <c r="DA66" i="24"/>
  <c r="BZ198" i="4"/>
  <c r="CQ192" i="23"/>
  <c r="P186" i="7"/>
  <c r="BF186" i="4"/>
  <c r="CQ182" i="23"/>
  <c r="Z186" i="7"/>
  <c r="BP186" i="4"/>
  <c r="CQ227" i="23"/>
  <c r="CW186" i="4"/>
  <c r="CQ71" i="24"/>
  <c r="BU186" i="4"/>
  <c r="CG219" i="23"/>
  <c r="DE174" i="4"/>
  <c r="CG256" i="23"/>
  <c r="ET174" i="4"/>
  <c r="CG255" i="23"/>
  <c r="EU174" i="4"/>
  <c r="CG67" i="24"/>
  <c r="BY174" i="4"/>
  <c r="BX193" i="23"/>
  <c r="BQ162" i="7"/>
  <c r="O162" i="7"/>
  <c r="BE162" i="4"/>
  <c r="BX190" i="23"/>
  <c r="R162" i="7"/>
  <c r="BH162" i="4"/>
  <c r="BX262" i="23"/>
  <c r="EN162" i="4"/>
  <c r="BX67" i="24"/>
  <c r="BY162" i="4"/>
  <c r="AV220" i="23"/>
  <c r="DD126" i="4"/>
  <c r="AV260" i="23"/>
  <c r="EP126" i="4"/>
  <c r="AV187" i="23"/>
  <c r="U126" i="7"/>
  <c r="BK126" i="4"/>
  <c r="AV68" i="24"/>
  <c r="BX126" i="4"/>
  <c r="AC222" i="23"/>
  <c r="DB102" i="4"/>
  <c r="AC191" i="23"/>
  <c r="Q102" i="7"/>
  <c r="BG102" i="4"/>
  <c r="AC189" i="23"/>
  <c r="S102" i="7"/>
  <c r="BI102" i="4"/>
  <c r="AC68" i="24"/>
  <c r="BX102" i="4"/>
  <c r="EJ102" i="7"/>
  <c r="DP102" i="7"/>
  <c r="DN102" i="7"/>
  <c r="DL102" i="7"/>
  <c r="DK102" i="7"/>
  <c r="DJ102" i="7"/>
  <c r="DO102" i="7"/>
  <c r="DM102" i="7"/>
  <c r="DR102" i="7"/>
  <c r="DH102" i="7" s="1"/>
  <c r="DQ102" i="7"/>
  <c r="DI102" i="7"/>
  <c r="DT102" i="7"/>
  <c r="DS102" i="7"/>
  <c r="H188" i="23"/>
  <c r="T78" i="7"/>
  <c r="BJ78" i="4"/>
  <c r="H222" i="23"/>
  <c r="DB78" i="4"/>
  <c r="H263" i="23"/>
  <c r="EM78" i="4"/>
  <c r="H72" i="24"/>
  <c r="BT78" i="4"/>
  <c r="CB42" i="4"/>
  <c r="CA30" i="4"/>
  <c r="P247" i="7"/>
  <c r="BF247" i="4"/>
  <c r="P247" i="4" s="1"/>
  <c r="P247" i="1" s="1"/>
  <c r="V247" i="7"/>
  <c r="BL247" i="4"/>
  <c r="V247" i="4" s="1"/>
  <c r="V247" i="1" s="1"/>
  <c r="CC247" i="4"/>
  <c r="CY218" i="23"/>
  <c r="DF196" i="4"/>
  <c r="CY255" i="23"/>
  <c r="EU196" i="4"/>
  <c r="CY188" i="23"/>
  <c r="T196" i="7"/>
  <c r="BJ196" i="4"/>
  <c r="CY65" i="24"/>
  <c r="CA196" i="4"/>
  <c r="BN222" i="23"/>
  <c r="DB148" i="4"/>
  <c r="BN226" i="23"/>
  <c r="CX148" i="4"/>
  <c r="BN183" i="23"/>
  <c r="Y148" i="7"/>
  <c r="BO148" i="4"/>
  <c r="BN66" i="24"/>
  <c r="BZ148" i="4"/>
  <c r="BD261" i="23"/>
  <c r="EO136" i="4"/>
  <c r="BD188" i="23"/>
  <c r="T136" i="7"/>
  <c r="BJ136" i="4"/>
  <c r="BD254" i="23"/>
  <c r="EV136" i="4"/>
  <c r="BD68" i="24"/>
  <c r="BX136" i="4"/>
  <c r="AK192" i="23"/>
  <c r="P112" i="7"/>
  <c r="BF112" i="4"/>
  <c r="AK184" i="23"/>
  <c r="X112" i="7"/>
  <c r="BN112" i="4"/>
  <c r="AK185" i="23"/>
  <c r="W112" i="7"/>
  <c r="BM112" i="4"/>
  <c r="AK68" i="24"/>
  <c r="BX112" i="4"/>
  <c r="W40" i="7"/>
  <c r="BM40" i="4"/>
  <c r="BV40" i="4"/>
  <c r="P246" i="7"/>
  <c r="BF246" i="4"/>
  <c r="P246" i="4" s="1"/>
  <c r="P246" i="1" s="1"/>
  <c r="BU246" i="4"/>
  <c r="CX222" i="23"/>
  <c r="DB195" i="4"/>
  <c r="CX259" i="23"/>
  <c r="EQ195" i="4"/>
  <c r="CX184" i="23"/>
  <c r="X195" i="7"/>
  <c r="BN195" i="4"/>
  <c r="CX69" i="24"/>
  <c r="BW195" i="4"/>
  <c r="EJ195" i="7"/>
  <c r="DP195" i="7"/>
  <c r="DN195" i="7"/>
  <c r="DK195" i="7"/>
  <c r="DO195" i="7"/>
  <c r="DM195" i="7"/>
  <c r="DL195" i="7"/>
  <c r="DJ195" i="7"/>
  <c r="DQ195" i="7"/>
  <c r="DT195" i="7"/>
  <c r="DS195" i="7"/>
  <c r="DR195" i="7"/>
  <c r="DH195" i="7" s="1"/>
  <c r="DI195" i="7"/>
  <c r="CE189" i="23"/>
  <c r="S171" i="7"/>
  <c r="BI171" i="4"/>
  <c r="CE262" i="23"/>
  <c r="EN171" i="4"/>
  <c r="CE263" i="23"/>
  <c r="EM171" i="4"/>
  <c r="CE72" i="24"/>
  <c r="BT171" i="4"/>
  <c r="AS188" i="23"/>
  <c r="T123" i="7"/>
  <c r="BJ123" i="4"/>
  <c r="AS184" i="23"/>
  <c r="X123" i="7"/>
  <c r="BN123" i="4"/>
  <c r="AS223" i="23"/>
  <c r="DA123" i="4"/>
  <c r="AS62" i="24"/>
  <c r="CD123" i="4"/>
  <c r="CW219" i="23"/>
  <c r="DE193" i="7"/>
  <c r="DE194" i="4"/>
  <c r="CV193" i="7"/>
  <c r="CW228" i="23"/>
  <c r="CV194" i="4"/>
  <c r="CW187" i="23"/>
  <c r="BK193" i="7"/>
  <c r="U194" i="7"/>
  <c r="BK194" i="4"/>
  <c r="CW65" i="24"/>
  <c r="CA194" i="4"/>
  <c r="CA193" i="7"/>
  <c r="CD190" i="23"/>
  <c r="R170" i="7"/>
  <c r="BH170" i="4"/>
  <c r="CD260" i="23"/>
  <c r="EP170" i="4"/>
  <c r="CD264" i="23"/>
  <c r="EL170" i="4"/>
  <c r="CD73" i="24"/>
  <c r="CE170" i="7"/>
  <c r="BS170" i="4"/>
  <c r="EN133" i="7"/>
  <c r="BB262" i="23"/>
  <c r="EN134" i="4"/>
  <c r="CW133" i="7"/>
  <c r="BB227" i="23"/>
  <c r="CW134" i="4"/>
  <c r="EU133" i="7"/>
  <c r="BB255" i="23"/>
  <c r="EU134" i="4"/>
  <c r="BB63" i="24"/>
  <c r="CC134" i="4"/>
  <c r="CC133" i="7"/>
  <c r="Y265" i="23"/>
  <c r="EW98" i="7"/>
  <c r="EK98" i="4"/>
  <c r="Y258" i="23"/>
  <c r="ER98" i="4"/>
  <c r="Y183" i="23"/>
  <c r="Y98" i="7"/>
  <c r="BO98" i="4"/>
  <c r="Y63" i="24"/>
  <c r="CC98" i="4"/>
  <c r="Y62" i="7"/>
  <c r="BO62" i="4"/>
  <c r="Y62" i="4" s="1"/>
  <c r="Y62" i="1" s="1"/>
  <c r="BZ60" i="7"/>
  <c r="BZ62" i="4"/>
  <c r="DG26" i="7"/>
  <c r="CU26" i="4"/>
  <c r="DG26" i="4" s="1"/>
  <c r="Y244" i="7"/>
  <c r="BO244" i="4"/>
  <c r="Y244" i="4" s="1"/>
  <c r="Y244" i="1" s="1"/>
  <c r="BQ244" i="7"/>
  <c r="O244" i="7"/>
  <c r="BE244" i="4"/>
  <c r="BW244" i="4"/>
  <c r="EW25" i="7"/>
  <c r="EK25" i="4"/>
  <c r="EW25" i="4" s="1"/>
  <c r="V25" i="7"/>
  <c r="BL25" i="4"/>
  <c r="V25" i="4" s="1"/>
  <c r="V25" i="1" s="1"/>
  <c r="DF227" i="7"/>
  <c r="DW218" i="23"/>
  <c r="DF228" i="4"/>
  <c r="DW261" i="23"/>
  <c r="EO227" i="7"/>
  <c r="EO228" i="4"/>
  <c r="BF227" i="7"/>
  <c r="DW192" i="23"/>
  <c r="P228" i="7"/>
  <c r="BF228" i="4"/>
  <c r="DW72" i="24"/>
  <c r="BT228" i="4"/>
  <c r="BT227" i="7"/>
  <c r="CL190" i="23"/>
  <c r="R180" i="7"/>
  <c r="BH180" i="4"/>
  <c r="CL218" i="23"/>
  <c r="DF180" i="4"/>
  <c r="CL193" i="23"/>
  <c r="BQ180" i="7"/>
  <c r="O180" i="7"/>
  <c r="BE180" i="4"/>
  <c r="CL69" i="24"/>
  <c r="BW180" i="4"/>
  <c r="EJ180" i="7"/>
  <c r="DP180" i="7"/>
  <c r="DN180" i="7"/>
  <c r="DM180" i="7"/>
  <c r="DL180" i="7"/>
  <c r="DO180" i="7"/>
  <c r="DK180" i="7"/>
  <c r="DJ180" i="7"/>
  <c r="DR180" i="7"/>
  <c r="DH180" i="7" s="1"/>
  <c r="DQ180" i="7"/>
  <c r="DT180" i="7"/>
  <c r="DS180" i="7"/>
  <c r="DI180" i="7"/>
  <c r="AO254" i="23"/>
  <c r="EV119" i="4"/>
  <c r="AO189" i="23"/>
  <c r="S119" i="7"/>
  <c r="BI119" i="4"/>
  <c r="AO263" i="23"/>
  <c r="EM119" i="4"/>
  <c r="AO72" i="24"/>
  <c r="BT119" i="4"/>
  <c r="AY258" i="23"/>
  <c r="ER129" i="7"/>
  <c r="ER130" i="4"/>
  <c r="ES129" i="7"/>
  <c r="AY257" i="23"/>
  <c r="ES130" i="4"/>
  <c r="AY223" i="23"/>
  <c r="DA129" i="7"/>
  <c r="DA130" i="4"/>
  <c r="AY62" i="24"/>
  <c r="CD130" i="4"/>
  <c r="CD129" i="7"/>
  <c r="DR226" i="23"/>
  <c r="CX221" i="4"/>
  <c r="DR220" i="23"/>
  <c r="DD221" i="4"/>
  <c r="DR187" i="23"/>
  <c r="U221" i="7"/>
  <c r="BK221" i="4"/>
  <c r="CZ229" i="23"/>
  <c r="DG197" i="7"/>
  <c r="CU197" i="4"/>
  <c r="CZ220" i="23"/>
  <c r="DD197" i="4"/>
  <c r="CZ264" i="23"/>
  <c r="EL197" i="4"/>
  <c r="CE197" i="7"/>
  <c r="CZ73" i="24"/>
  <c r="BS197" i="4"/>
  <c r="CP221" i="23"/>
  <c r="DC185" i="4"/>
  <c r="CP191" i="23"/>
  <c r="Q185" i="7"/>
  <c r="BG185" i="4"/>
  <c r="CP224" i="23"/>
  <c r="CZ185" i="4"/>
  <c r="CP62" i="24"/>
  <c r="CD185" i="4"/>
  <c r="DD172" i="7"/>
  <c r="CF220" i="23"/>
  <c r="DD173" i="4"/>
  <c r="CF256" i="23"/>
  <c r="ET172" i="7"/>
  <c r="ET173" i="4"/>
  <c r="CF188" i="23"/>
  <c r="BJ172" i="7"/>
  <c r="T173" i="7"/>
  <c r="BJ173" i="4"/>
  <c r="CF62" i="24"/>
  <c r="CD172" i="7"/>
  <c r="CD173" i="4"/>
  <c r="BW192" i="23"/>
  <c r="P161" i="7"/>
  <c r="BF161" i="4"/>
  <c r="BW262" i="23"/>
  <c r="EN161" i="4"/>
  <c r="BW261" i="23"/>
  <c r="EO161" i="4"/>
  <c r="BW65" i="24"/>
  <c r="CA161" i="4"/>
  <c r="BO218" i="23"/>
  <c r="DF149" i="4"/>
  <c r="BO188" i="23"/>
  <c r="T149" i="7"/>
  <c r="BJ149" i="4"/>
  <c r="BO225" i="23"/>
  <c r="CY149" i="4"/>
  <c r="BO68" i="24"/>
  <c r="BX149" i="4"/>
  <c r="BE229" i="23"/>
  <c r="DG137" i="7"/>
  <c r="CU137" i="4"/>
  <c r="BE220" i="23"/>
  <c r="DD137" i="4"/>
  <c r="BE185" i="23"/>
  <c r="W137" i="7"/>
  <c r="BM137" i="4"/>
  <c r="BE67" i="24"/>
  <c r="BY137" i="4"/>
  <c r="AU255" i="23"/>
  <c r="EU125" i="4"/>
  <c r="AU261" i="23"/>
  <c r="EO125" i="4"/>
  <c r="AU260" i="23"/>
  <c r="EP125" i="4"/>
  <c r="AU67" i="24"/>
  <c r="BY125" i="4"/>
  <c r="AL261" i="23"/>
  <c r="EO113" i="4"/>
  <c r="AL258" i="23"/>
  <c r="ER113" i="4"/>
  <c r="AL256" i="23"/>
  <c r="ET113" i="4"/>
  <c r="AL70" i="24"/>
  <c r="BV113" i="4"/>
  <c r="AB192" i="23"/>
  <c r="P101" i="7"/>
  <c r="BF101" i="4"/>
  <c r="AB256" i="23"/>
  <c r="ET101" i="4"/>
  <c r="AB221" i="23"/>
  <c r="DC101" i="4"/>
  <c r="AB71" i="24"/>
  <c r="BU101" i="4"/>
  <c r="EJ101" i="7"/>
  <c r="DP101" i="7"/>
  <c r="DM101" i="7"/>
  <c r="DO101" i="7"/>
  <c r="DN101" i="7"/>
  <c r="DL101" i="7"/>
  <c r="DK101" i="7"/>
  <c r="DJ101" i="7"/>
  <c r="DT101" i="7"/>
  <c r="DR101" i="7"/>
  <c r="DH101" i="7" s="1"/>
  <c r="DQ101" i="7"/>
  <c r="DI101" i="7"/>
  <c r="DS101" i="7"/>
  <c r="U89" i="7"/>
  <c r="BK89" i="4"/>
  <c r="U89" i="4" s="1"/>
  <c r="U89" i="1" s="1"/>
  <c r="DE76" i="7"/>
  <c r="G219" i="23"/>
  <c r="DE77" i="4"/>
  <c r="G189" i="23"/>
  <c r="BI76" i="7"/>
  <c r="S77" i="7"/>
  <c r="BI77" i="4"/>
  <c r="G223" i="23"/>
  <c r="DA76" i="7"/>
  <c r="DA77" i="4"/>
  <c r="G73" i="24"/>
  <c r="CE77" i="7"/>
  <c r="BS76" i="7"/>
  <c r="BS77" i="4"/>
  <c r="DG65" i="7"/>
  <c r="CU65" i="4"/>
  <c r="CD41" i="4"/>
  <c r="DJ184" i="23"/>
  <c r="X208" i="7"/>
  <c r="BN208" i="4"/>
  <c r="DJ226" i="23"/>
  <c r="CX208" i="4"/>
  <c r="DJ224" i="23"/>
  <c r="CZ208" i="4"/>
  <c r="DJ64" i="24"/>
  <c r="CB208" i="4"/>
  <c r="BP87" i="7"/>
  <c r="Q182" i="23"/>
  <c r="Z88" i="7"/>
  <c r="BP88" i="4"/>
  <c r="Q260" i="23"/>
  <c r="EP87" i="7"/>
  <c r="EP88" i="4"/>
  <c r="EP87" i="4" s="1"/>
  <c r="DG88" i="7"/>
  <c r="CU87" i="7"/>
  <c r="Q229" i="23"/>
  <c r="CU88" i="4"/>
  <c r="P16" i="7"/>
  <c r="BF16" i="4"/>
  <c r="P16" i="4" s="1"/>
  <c r="P16" i="1" s="1"/>
  <c r="W16" i="7"/>
  <c r="BM16" i="4"/>
  <c r="W16" i="4" s="1"/>
  <c r="W16" i="1" s="1"/>
  <c r="Y16" i="7"/>
  <c r="BO16" i="4"/>
  <c r="Y16" i="4" s="1"/>
  <c r="Y16" i="1" s="1"/>
  <c r="AI192" i="23"/>
  <c r="P110" i="7"/>
  <c r="BF110" i="4"/>
  <c r="AI260" i="23"/>
  <c r="EP110" i="4"/>
  <c r="AI259" i="23"/>
  <c r="EQ110" i="4"/>
  <c r="AI71" i="24"/>
  <c r="BU110" i="4"/>
  <c r="P260" i="23"/>
  <c r="EP86" i="4"/>
  <c r="P222" i="23"/>
  <c r="DB86" i="4"/>
  <c r="P254" i="23"/>
  <c r="EV86" i="4"/>
  <c r="P67" i="24"/>
  <c r="BY86" i="4"/>
  <c r="CM184" i="23"/>
  <c r="X181" i="7"/>
  <c r="BN181" i="4"/>
  <c r="CM257" i="23"/>
  <c r="ES181" i="4"/>
  <c r="CM227" i="23"/>
  <c r="CW181" i="4"/>
  <c r="CM69" i="24"/>
  <c r="BW181" i="4"/>
  <c r="BL193" i="23"/>
  <c r="BQ145" i="7"/>
  <c r="O145" i="7"/>
  <c r="BE145" i="4"/>
  <c r="BL225" i="23"/>
  <c r="CY145" i="4"/>
  <c r="BL186" i="23"/>
  <c r="V145" i="7"/>
  <c r="BL145" i="4"/>
  <c r="BL70" i="24"/>
  <c r="BV145" i="4"/>
  <c r="AH226" i="23"/>
  <c r="CX109" i="4"/>
  <c r="AH256" i="23"/>
  <c r="ET109" i="4"/>
  <c r="AH221" i="23"/>
  <c r="DC109" i="4"/>
  <c r="AH70" i="24"/>
  <c r="BV109" i="4"/>
  <c r="EJ109" i="7"/>
  <c r="DP109" i="7"/>
  <c r="DJ109" i="7"/>
  <c r="DO109" i="7"/>
  <c r="DN109" i="7"/>
  <c r="DM109" i="7"/>
  <c r="DL109" i="7"/>
  <c r="DK109" i="7"/>
  <c r="DS109" i="7"/>
  <c r="DR109" i="7"/>
  <c r="DH109" i="7" s="1"/>
  <c r="DI109" i="7"/>
  <c r="DT109" i="7"/>
  <c r="DQ109" i="7"/>
  <c r="O255" i="23"/>
  <c r="EU85" i="4"/>
  <c r="O190" i="23"/>
  <c r="R85" i="7"/>
  <c r="BH85" i="4"/>
  <c r="O263" i="23"/>
  <c r="EM85" i="4"/>
  <c r="O72" i="24"/>
  <c r="BT85" i="4"/>
  <c r="DP259" i="23"/>
  <c r="EQ216" i="4"/>
  <c r="DP219" i="23"/>
  <c r="DE216" i="4"/>
  <c r="DP223" i="23"/>
  <c r="DA216" i="4"/>
  <c r="DP63" i="24"/>
  <c r="CC216" i="4"/>
  <c r="BA220" i="23"/>
  <c r="DD132" i="4"/>
  <c r="BA191" i="23"/>
  <c r="Q132" i="7"/>
  <c r="BG132" i="4"/>
  <c r="BA264" i="23"/>
  <c r="EL132" i="4"/>
  <c r="BA64" i="24"/>
  <c r="CB132" i="4"/>
  <c r="N258" i="23"/>
  <c r="ER84" i="4"/>
  <c r="N262" i="23"/>
  <c r="EN84" i="4"/>
  <c r="N224" i="23"/>
  <c r="CZ84" i="4"/>
  <c r="N62" i="24"/>
  <c r="CD84" i="4"/>
  <c r="Z36" i="7"/>
  <c r="BP36" i="4"/>
  <c r="Z36" i="4" s="1"/>
  <c r="Z36" i="1" s="1"/>
  <c r="CX241" i="7"/>
  <c r="EB226" i="23" s="1"/>
  <c r="CX242" i="4"/>
  <c r="CX241" i="4" s="1"/>
  <c r="BM241" i="7"/>
  <c r="W242" i="7"/>
  <c r="BM242" i="4"/>
  <c r="BJ241" i="7"/>
  <c r="EB188" i="23" s="1"/>
  <c r="T242" i="7"/>
  <c r="BJ242" i="4"/>
  <c r="BZ242" i="4"/>
  <c r="BZ241" i="7"/>
  <c r="EB66" i="24" s="1"/>
  <c r="CU226" i="23"/>
  <c r="CX191" i="4"/>
  <c r="CU185" i="23"/>
  <c r="W191" i="7"/>
  <c r="BM191" i="4"/>
  <c r="CU261" i="23"/>
  <c r="EO191" i="4"/>
  <c r="CU66" i="24"/>
  <c r="BZ191" i="4"/>
  <c r="CA219" i="23"/>
  <c r="DE167" i="4"/>
  <c r="CA226" i="23"/>
  <c r="CX167" i="4"/>
  <c r="CA189" i="23"/>
  <c r="S167" i="7"/>
  <c r="BI167" i="4"/>
  <c r="CA69" i="24"/>
  <c r="BW167" i="4"/>
  <c r="BJ193" i="23"/>
  <c r="BQ143" i="7"/>
  <c r="O143" i="7"/>
  <c r="BE143" i="4"/>
  <c r="BJ189" i="23"/>
  <c r="S143" i="7"/>
  <c r="BI143" i="4"/>
  <c r="BJ255" i="23"/>
  <c r="EU143" i="4"/>
  <c r="BJ68" i="24"/>
  <c r="BX143" i="4"/>
  <c r="V258" i="23"/>
  <c r="ER95" i="4"/>
  <c r="V225" i="23"/>
  <c r="CY95" i="4"/>
  <c r="V221" i="23"/>
  <c r="DC95" i="4"/>
  <c r="V67" i="24"/>
  <c r="BY95" i="4"/>
  <c r="DF7" i="4"/>
  <c r="ES7" i="4"/>
  <c r="CW7" i="4"/>
  <c r="BI192" i="23"/>
  <c r="P142" i="7"/>
  <c r="BF142" i="4"/>
  <c r="BI259" i="23"/>
  <c r="EQ142" i="4"/>
  <c r="BI189" i="23"/>
  <c r="S142" i="7"/>
  <c r="BI142" i="4"/>
  <c r="BI68" i="24"/>
  <c r="BX142" i="4"/>
  <c r="EJ142" i="7"/>
  <c r="DP142" i="7"/>
  <c r="DN142" i="7"/>
  <c r="DM142" i="7"/>
  <c r="DL142" i="7"/>
  <c r="DJ142" i="7"/>
  <c r="DO142" i="7"/>
  <c r="DK142" i="7"/>
  <c r="DR142" i="7"/>
  <c r="DH142" i="7" s="1"/>
  <c r="DT142" i="7"/>
  <c r="DS142" i="7"/>
  <c r="DQ142" i="7"/>
  <c r="DI142" i="7"/>
  <c r="L261" i="23"/>
  <c r="EO82" i="4"/>
  <c r="L221" i="23"/>
  <c r="DC82" i="4"/>
  <c r="L263" i="23"/>
  <c r="EM82" i="4"/>
  <c r="L72" i="24"/>
  <c r="BT82" i="4"/>
  <c r="CD34" i="4"/>
  <c r="DE192" i="23"/>
  <c r="P202" i="7"/>
  <c r="BF202" i="4"/>
  <c r="AE226" i="23"/>
  <c r="CX106" i="4"/>
  <c r="DL189" i="23"/>
  <c r="S211" i="7"/>
  <c r="BI211" i="4"/>
  <c r="DB67" i="24"/>
  <c r="BY199" i="4"/>
  <c r="ES150" i="7"/>
  <c r="BP257" i="23"/>
  <c r="ES151" i="4"/>
  <c r="BN138" i="7"/>
  <c r="BF184" i="23"/>
  <c r="X139" i="7"/>
  <c r="BN139" i="4"/>
  <c r="CE91" i="7"/>
  <c r="R73" i="24"/>
  <c r="BS91" i="4"/>
  <c r="BS90" i="7"/>
  <c r="BO57" i="7"/>
  <c r="Y55" i="7"/>
  <c r="Y57" i="7" s="1"/>
  <c r="BO55" i="4"/>
  <c r="AT193" i="23"/>
  <c r="BQ124" i="7"/>
  <c r="O124" i="7"/>
  <c r="BE124" i="4"/>
  <c r="DI71" i="24"/>
  <c r="BU207" i="4"/>
  <c r="EJ207" i="7"/>
  <c r="DP207" i="7"/>
  <c r="DO207" i="7"/>
  <c r="DN207" i="7"/>
  <c r="DM207" i="7"/>
  <c r="DL207" i="7"/>
  <c r="DK207" i="7"/>
  <c r="DJ207" i="7"/>
  <c r="DT207" i="7"/>
  <c r="DS207" i="7"/>
  <c r="DR207" i="7"/>
  <c r="DH207" i="7" s="1"/>
  <c r="DQ207" i="7"/>
  <c r="DI207" i="7"/>
  <c r="Z257" i="23"/>
  <c r="ES99" i="4"/>
  <c r="CC245" i="4"/>
  <c r="CC261" i="23"/>
  <c r="EO169" i="4"/>
  <c r="AQ68" i="24"/>
  <c r="BX121" i="4"/>
  <c r="V243" i="7"/>
  <c r="BL243" i="4"/>
  <c r="V243" i="4" s="1"/>
  <c r="V243" i="1" s="1"/>
  <c r="DG254" i="23"/>
  <c r="EV204" i="4"/>
  <c r="CB226" i="23"/>
  <c r="CX168" i="4"/>
  <c r="AP263" i="23"/>
  <c r="EM120" i="4"/>
  <c r="W62" i="24"/>
  <c r="CD96" i="4"/>
  <c r="CX27" i="7"/>
  <c r="CX24" i="4"/>
  <c r="CX27" i="4" s="1"/>
  <c r="DF27" i="7"/>
  <c r="DF24" i="4"/>
  <c r="DF27" i="4" s="1"/>
  <c r="EL27" i="7"/>
  <c r="EL24" i="4"/>
  <c r="EL27" i="4" s="1"/>
  <c r="AZ188" i="23"/>
  <c r="T131" i="7"/>
  <c r="BJ131" i="4"/>
  <c r="M225" i="23"/>
  <c r="CY83" i="4"/>
  <c r="CT190" i="23"/>
  <c r="R190" i="7"/>
  <c r="BH190" i="4"/>
  <c r="BZ191" i="23"/>
  <c r="Q166" i="7"/>
  <c r="BG166" i="4"/>
  <c r="BS229" i="23"/>
  <c r="DG154" i="7"/>
  <c r="CU154" i="4"/>
  <c r="AN69" i="24"/>
  <c r="BW118" i="4"/>
  <c r="EW46" i="7"/>
  <c r="EK46" i="4"/>
  <c r="DS223" i="23"/>
  <c r="DA222" i="4"/>
  <c r="DK190" i="23"/>
  <c r="BH209" i="7"/>
  <c r="R210" i="7"/>
  <c r="BH210" i="4"/>
  <c r="DA193" i="23"/>
  <c r="BQ198" i="7"/>
  <c r="O198" i="7"/>
  <c r="BE198" i="4"/>
  <c r="CQ224" i="23"/>
  <c r="CZ186" i="4"/>
  <c r="CG65" i="24"/>
  <c r="CA174" i="4"/>
  <c r="AV254" i="23"/>
  <c r="EV126" i="4"/>
  <c r="AC192" i="23"/>
  <c r="P102" i="7"/>
  <c r="BF102" i="4"/>
  <c r="CY187" i="23"/>
  <c r="U196" i="7"/>
  <c r="BK196" i="4"/>
  <c r="BN224" i="23"/>
  <c r="CZ148" i="4"/>
  <c r="BD265" i="23"/>
  <c r="EW136" i="7"/>
  <c r="EK136" i="4"/>
  <c r="AK183" i="23"/>
  <c r="Y112" i="7"/>
  <c r="BO112" i="4"/>
  <c r="S246" i="7"/>
  <c r="BI246" i="4"/>
  <c r="S246" i="4" s="1"/>
  <c r="S246" i="1" s="1"/>
  <c r="CX71" i="24"/>
  <c r="BU195" i="4"/>
  <c r="AS220" i="23"/>
  <c r="DD123" i="4"/>
  <c r="EV193" i="7"/>
  <c r="CW254" i="23"/>
  <c r="EV194" i="4"/>
  <c r="CD263" i="23"/>
  <c r="EM170" i="4"/>
  <c r="BB223" i="23"/>
  <c r="DA133" i="7"/>
  <c r="DA134" i="4"/>
  <c r="Y65" i="24"/>
  <c r="CA98" i="4"/>
  <c r="CX227" i="7"/>
  <c r="DW226" i="23"/>
  <c r="CX228" i="4"/>
  <c r="CL191" i="23"/>
  <c r="Q180" i="7"/>
  <c r="BG180" i="4"/>
  <c r="AO260" i="23"/>
  <c r="EP119" i="4"/>
  <c r="DR184" i="23"/>
  <c r="X221" i="7"/>
  <c r="AB221" i="7" s="1"/>
  <c r="BN221" i="4"/>
  <c r="CZ263" i="23"/>
  <c r="EM197" i="4"/>
  <c r="CP63" i="24"/>
  <c r="CC185" i="4"/>
  <c r="BW258" i="23"/>
  <c r="ER161" i="4"/>
  <c r="BO186" i="23"/>
  <c r="V149" i="7"/>
  <c r="BL149" i="4"/>
  <c r="BE228" i="23"/>
  <c r="CV137" i="4"/>
  <c r="AU222" i="23"/>
  <c r="DB125" i="4"/>
  <c r="AL226" i="23"/>
  <c r="CX113" i="4"/>
  <c r="AB67" i="24"/>
  <c r="BY101" i="4"/>
  <c r="G187" i="23"/>
  <c r="BK76" i="7"/>
  <c r="U77" i="7"/>
  <c r="BK77" i="4"/>
  <c r="S65" i="7"/>
  <c r="BI65" i="4"/>
  <c r="S65" i="4" s="1"/>
  <c r="S65" i="1" s="1"/>
  <c r="DJ265" i="23"/>
  <c r="EW208" i="7"/>
  <c r="EK208" i="4"/>
  <c r="Q190" i="23"/>
  <c r="BH87" i="7"/>
  <c r="R88" i="7"/>
  <c r="BH88" i="4"/>
  <c r="X16" i="7"/>
  <c r="BN16" i="4"/>
  <c r="X16" i="4" s="1"/>
  <c r="X16" i="1" s="1"/>
  <c r="AI257" i="23"/>
  <c r="ES110" i="4"/>
  <c r="CM186" i="23"/>
  <c r="V181" i="7"/>
  <c r="BL181" i="4"/>
  <c r="BL67" i="24"/>
  <c r="BY145" i="4"/>
  <c r="O261" i="23"/>
  <c r="EO85" i="4"/>
  <c r="DP228" i="23"/>
  <c r="CV216" i="4"/>
  <c r="BA219" i="23"/>
  <c r="DE132" i="4"/>
  <c r="N263" i="23"/>
  <c r="EM84" i="4"/>
  <c r="CU258" i="23"/>
  <c r="ER191" i="4"/>
  <c r="CA254" i="23"/>
  <c r="EV167" i="4"/>
  <c r="BJ219" i="23"/>
  <c r="DE143" i="4"/>
  <c r="V220" i="23"/>
  <c r="DD95" i="4"/>
  <c r="BI187" i="23"/>
  <c r="U142" i="7"/>
  <c r="BK142" i="4"/>
  <c r="L219" i="23"/>
  <c r="DE82" i="4"/>
  <c r="DU187" i="23"/>
  <c r="U225" i="7"/>
  <c r="BK225" i="4"/>
  <c r="DN62" i="24"/>
  <c r="CD213" i="4"/>
  <c r="DD62" i="24"/>
  <c r="CD201" i="4"/>
  <c r="CJ226" i="23"/>
  <c r="CX177" i="4"/>
  <c r="DB164" i="7"/>
  <c r="BY222" i="23"/>
  <c r="DB165" i="4"/>
  <c r="BR218" i="23"/>
  <c r="DF153" i="4"/>
  <c r="BH70" i="24"/>
  <c r="BV141" i="4"/>
  <c r="AD221" i="23"/>
  <c r="DC104" i="7"/>
  <c r="DC105" i="4"/>
  <c r="T228" i="23"/>
  <c r="CV93" i="4"/>
  <c r="K65" i="24"/>
  <c r="CA81" i="4"/>
  <c r="BT192" i="23"/>
  <c r="BF157" i="7"/>
  <c r="P158" i="7"/>
  <c r="BF158" i="4"/>
  <c r="DT255" i="23"/>
  <c r="EU223" i="7"/>
  <c r="EU224" i="4"/>
  <c r="DM222" i="23"/>
  <c r="DB212" i="4"/>
  <c r="DC68" i="24"/>
  <c r="BX200" i="4"/>
  <c r="CI229" i="23"/>
  <c r="DG176" i="7"/>
  <c r="CU176" i="4"/>
  <c r="BQ184" i="23"/>
  <c r="X152" i="7"/>
  <c r="BN152" i="4"/>
  <c r="BG223" i="23"/>
  <c r="DA140" i="4"/>
  <c r="AX62" i="24"/>
  <c r="CD128" i="4"/>
  <c r="J191" i="23"/>
  <c r="Q80" i="7"/>
  <c r="BG80" i="4"/>
  <c r="X68" i="7"/>
  <c r="AB68" i="7" s="1"/>
  <c r="BN68" i="4"/>
  <c r="Y44" i="7"/>
  <c r="BO44" i="4"/>
  <c r="Y44" i="4" s="1"/>
  <c r="Y44" i="1" s="1"/>
  <c r="W32" i="7"/>
  <c r="BM32" i="4"/>
  <c r="EW20" i="7"/>
  <c r="EK20" i="4"/>
  <c r="EW20" i="4" s="1"/>
  <c r="V20" i="7"/>
  <c r="BL20" i="4"/>
  <c r="V20" i="4" s="1"/>
  <c r="V20" i="1" s="1"/>
  <c r="BV183" i="23"/>
  <c r="Y160" i="7"/>
  <c r="BO160" i="4"/>
  <c r="AA260" i="23"/>
  <c r="EP100" i="4"/>
  <c r="Q64" i="7"/>
  <c r="BG64" i="4"/>
  <c r="Q64" i="4" s="1"/>
  <c r="Q64" i="1" s="1"/>
  <c r="BU227" i="23"/>
  <c r="CW159" i="4"/>
  <c r="BC262" i="23"/>
  <c r="EN135" i="4"/>
  <c r="AJ255" i="23"/>
  <c r="EU111" i="4"/>
  <c r="AR184" i="23"/>
  <c r="X122" i="7"/>
  <c r="BN122" i="4"/>
  <c r="EQ13" i="7"/>
  <c r="EQ6" i="7" s="1"/>
  <c r="EQ14" i="4"/>
  <c r="EQ13" i="4" s="1"/>
  <c r="EQ6" i="4" s="1"/>
  <c r="DX255" i="23"/>
  <c r="EU229" i="4"/>
  <c r="EV60" i="7"/>
  <c r="EV61" i="4"/>
  <c r="EV60" i="4" s="1"/>
  <c r="ET60" i="7"/>
  <c r="ET61" i="4"/>
  <c r="ET60" i="4" s="1"/>
  <c r="BK187" i="23"/>
  <c r="U144" i="7"/>
  <c r="BK144" i="4"/>
  <c r="AG256" i="23"/>
  <c r="ET108" i="4"/>
  <c r="DF187" i="23"/>
  <c r="U203" i="7"/>
  <c r="BK203" i="4"/>
  <c r="EL178" i="7"/>
  <c r="CK264" i="23"/>
  <c r="EL179" i="4"/>
  <c r="AF265" i="23"/>
  <c r="EW107" i="7"/>
  <c r="EK107" i="4"/>
  <c r="DV67" i="24"/>
  <c r="BY226" i="4"/>
  <c r="AE258" i="23"/>
  <c r="ER106" i="4"/>
  <c r="DL185" i="23"/>
  <c r="W211" i="7"/>
  <c r="BM211" i="4"/>
  <c r="DB71" i="24"/>
  <c r="BU199" i="4"/>
  <c r="BP193" i="23"/>
  <c r="BE150" i="7"/>
  <c r="BQ151" i="7"/>
  <c r="O151" i="7"/>
  <c r="BE151" i="4"/>
  <c r="BF72" i="24"/>
  <c r="BT139" i="4"/>
  <c r="BT138" i="7"/>
  <c r="R65" i="24"/>
  <c r="CA90" i="7"/>
  <c r="CA91" i="4"/>
  <c r="DE57" i="7"/>
  <c r="DE55" i="4"/>
  <c r="DE57" i="4" s="1"/>
  <c r="CA31" i="4"/>
  <c r="CA29" i="7"/>
  <c r="W19" i="7"/>
  <c r="BM19" i="4"/>
  <c r="W19" i="4" s="1"/>
  <c r="W19" i="1" s="1"/>
  <c r="AT186" i="23"/>
  <c r="V124" i="7"/>
  <c r="BL124" i="4"/>
  <c r="DI183" i="23"/>
  <c r="Y207" i="7"/>
  <c r="BO207" i="4"/>
  <c r="BM188" i="23"/>
  <c r="BJ146" i="7"/>
  <c r="T147" i="7"/>
  <c r="BJ147" i="4"/>
  <c r="EJ147" i="7"/>
  <c r="DP147" i="7"/>
  <c r="DN147" i="7"/>
  <c r="DM147" i="7"/>
  <c r="DJ147" i="7"/>
  <c r="DO147" i="7"/>
  <c r="DL147" i="7"/>
  <c r="DK147" i="7"/>
  <c r="DI147" i="7"/>
  <c r="DT147" i="7"/>
  <c r="DS147" i="7"/>
  <c r="DR147" i="7"/>
  <c r="DH147" i="7" s="1"/>
  <c r="DQ147" i="7"/>
  <c r="Z72" i="24"/>
  <c r="BT99" i="4"/>
  <c r="BL38" i="7"/>
  <c r="F186" i="23" s="1"/>
  <c r="V39" i="7"/>
  <c r="BL39" i="4"/>
  <c r="EL38" i="7"/>
  <c r="F264" i="23" s="1"/>
  <c r="EL39" i="4"/>
  <c r="EL38" i="4" s="1"/>
  <c r="CD39" i="4"/>
  <c r="CD38" i="7"/>
  <c r="F62" i="24" s="1"/>
  <c r="DH222" i="23"/>
  <c r="DB205" i="7"/>
  <c r="DB206" i="4"/>
  <c r="CC222" i="23"/>
  <c r="DB169" i="4"/>
  <c r="AQ182" i="23"/>
  <c r="Z121" i="7"/>
  <c r="BP121" i="4"/>
  <c r="X226" i="23"/>
  <c r="CX97" i="4"/>
  <c r="X67" i="24"/>
  <c r="BY97" i="4"/>
  <c r="DG182" i="23"/>
  <c r="Z204" i="7"/>
  <c r="BP204" i="4"/>
  <c r="CB183" i="23"/>
  <c r="Y168" i="7"/>
  <c r="BO168" i="4"/>
  <c r="AP185" i="23"/>
  <c r="W120" i="7"/>
  <c r="BM120" i="4"/>
  <c r="W72" i="24"/>
  <c r="BT96" i="4"/>
  <c r="DO187" i="23"/>
  <c r="BK214" i="7"/>
  <c r="U215" i="7"/>
  <c r="BK215" i="4"/>
  <c r="AZ63" i="24"/>
  <c r="CC131" i="4"/>
  <c r="P35" i="7"/>
  <c r="BF35" i="4"/>
  <c r="P35" i="4" s="1"/>
  <c r="P35" i="1" s="1"/>
  <c r="DG35" i="7"/>
  <c r="CU35" i="4"/>
  <c r="BZ257" i="23"/>
  <c r="ES166" i="4"/>
  <c r="BS192" i="23"/>
  <c r="P154" i="7"/>
  <c r="BF154" i="4"/>
  <c r="AN255" i="23"/>
  <c r="EU118" i="4"/>
  <c r="U189" i="23"/>
  <c r="S94" i="7"/>
  <c r="BI94" i="4"/>
  <c r="DS189" i="23"/>
  <c r="S222" i="7"/>
  <c r="BI222" i="4"/>
  <c r="DK223" i="23"/>
  <c r="DA209" i="7"/>
  <c r="DA210" i="4"/>
  <c r="DA187" i="23"/>
  <c r="U198" i="7"/>
  <c r="BK198" i="4"/>
  <c r="CQ73" i="24"/>
  <c r="CE186" i="7"/>
  <c r="BS186" i="4"/>
  <c r="BX188" i="23"/>
  <c r="T162" i="7"/>
  <c r="BJ162" i="4"/>
  <c r="AV66" i="24"/>
  <c r="BZ126" i="4"/>
  <c r="AC218" i="23"/>
  <c r="DF102" i="4"/>
  <c r="H258" i="23"/>
  <c r="ER78" i="4"/>
  <c r="BW42" i="4"/>
  <c r="BW30" i="4"/>
  <c r="EJ30" i="7"/>
  <c r="DQ30" i="7"/>
  <c r="DM30" i="7"/>
  <c r="DM30" i="4" s="1"/>
  <c r="DK30" i="7"/>
  <c r="DK30" i="4" s="1"/>
  <c r="DP30" i="7"/>
  <c r="DP30" i="4" s="1"/>
  <c r="DO30" i="7"/>
  <c r="DO30" i="4" s="1"/>
  <c r="DN30" i="7"/>
  <c r="DN30" i="4" s="1"/>
  <c r="DL30" i="7"/>
  <c r="DL30" i="4" s="1"/>
  <c r="DT30" i="7"/>
  <c r="DT30" i="4" s="1"/>
  <c r="DI30" i="7"/>
  <c r="DS30" i="7"/>
  <c r="DR30" i="7"/>
  <c r="DH30" i="7" s="1"/>
  <c r="DJ30" i="7"/>
  <c r="DJ30" i="4" s="1"/>
  <c r="CY193" i="23"/>
  <c r="BQ196" i="7"/>
  <c r="O196" i="7"/>
  <c r="BE196" i="4"/>
  <c r="BN259" i="23"/>
  <c r="EQ148" i="4"/>
  <c r="BD73" i="24"/>
  <c r="CE136" i="7"/>
  <c r="BS136" i="4"/>
  <c r="AK62" i="24"/>
  <c r="CD112" i="4"/>
  <c r="Y40" i="7"/>
  <c r="BO40" i="4"/>
  <c r="Y40" i="4" s="1"/>
  <c r="Y40" i="1" s="1"/>
  <c r="CE40" i="7"/>
  <c r="BS40" i="4"/>
  <c r="CX193" i="23"/>
  <c r="BQ195" i="7"/>
  <c r="O195" i="7"/>
  <c r="BE195" i="4"/>
  <c r="CE225" i="23"/>
  <c r="CY171" i="4"/>
  <c r="AS258" i="23"/>
  <c r="ER123" i="4"/>
  <c r="BI193" i="7"/>
  <c r="CW189" i="23"/>
  <c r="S194" i="7"/>
  <c r="BI194" i="4"/>
  <c r="CD227" i="23"/>
  <c r="CW170" i="4"/>
  <c r="BB190" i="23"/>
  <c r="BH133" i="7"/>
  <c r="R134" i="7"/>
  <c r="BH134" i="4"/>
  <c r="Y223" i="23"/>
  <c r="DA98" i="4"/>
  <c r="R26" i="7"/>
  <c r="BH26" i="4"/>
  <c r="R26" i="4" s="1"/>
  <c r="R26" i="1" s="1"/>
  <c r="DW68" i="24"/>
  <c r="BX228" i="4"/>
  <c r="BX227" i="7"/>
  <c r="AO225" i="23"/>
  <c r="CY119" i="4"/>
  <c r="AY220" i="23"/>
  <c r="DD129" i="7"/>
  <c r="DD130" i="4"/>
  <c r="DR254" i="23"/>
  <c r="EV221" i="4"/>
  <c r="CP225" i="23"/>
  <c r="CY185" i="4"/>
  <c r="CF259" i="23"/>
  <c r="EQ172" i="7"/>
  <c r="EQ173" i="4"/>
  <c r="BW187" i="23"/>
  <c r="U161" i="7"/>
  <c r="BK161" i="4"/>
  <c r="BO66" i="24"/>
  <c r="BZ149" i="4"/>
  <c r="AL64" i="24"/>
  <c r="CB113" i="4"/>
  <c r="Z89" i="7"/>
  <c r="BP89" i="4"/>
  <c r="Z89" i="4" s="1"/>
  <c r="Z89" i="1" s="1"/>
  <c r="BL76" i="7"/>
  <c r="G186" i="23"/>
  <c r="V77" i="7"/>
  <c r="BL77" i="4"/>
  <c r="T65" i="7"/>
  <c r="BJ65" i="4"/>
  <c r="T65" i="4" s="1"/>
  <c r="T65" i="1" s="1"/>
  <c r="DJ262" i="23"/>
  <c r="EN208" i="4"/>
  <c r="Q222" i="23"/>
  <c r="DB87" i="7"/>
  <c r="DB88" i="4"/>
  <c r="DB87" i="4" s="1"/>
  <c r="P188" i="23"/>
  <c r="T86" i="7"/>
  <c r="BJ86" i="4"/>
  <c r="CM225" i="23"/>
  <c r="CY181" i="4"/>
  <c r="BL183" i="23"/>
  <c r="Y145" i="7"/>
  <c r="BO145" i="4"/>
  <c r="AH262" i="23"/>
  <c r="EN109" i="4"/>
  <c r="DP221" i="23"/>
  <c r="DC216" i="4"/>
  <c r="BA225" i="23"/>
  <c r="CY132" i="4"/>
  <c r="N228" i="23"/>
  <c r="CV84" i="4"/>
  <c r="EJ84" i="7"/>
  <c r="DP84" i="7"/>
  <c r="DN84" i="7"/>
  <c r="DM84" i="7"/>
  <c r="DL84" i="7"/>
  <c r="DJ84" i="7"/>
  <c r="DO84" i="7"/>
  <c r="DK84" i="7"/>
  <c r="DT84" i="7"/>
  <c r="DR84" i="7"/>
  <c r="DH84" i="7" s="1"/>
  <c r="DI84" i="7"/>
  <c r="DS84" i="7"/>
  <c r="DQ84" i="7"/>
  <c r="CB242" i="4"/>
  <c r="CB241" i="7"/>
  <c r="EB64" i="24" s="1"/>
  <c r="CA229" i="23"/>
  <c r="DG167" i="7"/>
  <c r="CU167" i="4"/>
  <c r="BJ221" i="23"/>
  <c r="DC143" i="4"/>
  <c r="V229" i="23"/>
  <c r="DG95" i="7"/>
  <c r="CU95" i="4"/>
  <c r="BI69" i="24"/>
  <c r="BW142" i="4"/>
  <c r="L185" i="23"/>
  <c r="W82" i="7"/>
  <c r="BM82" i="4"/>
  <c r="DG34" i="7"/>
  <c r="CU34" i="4"/>
  <c r="DU258" i="23"/>
  <c r="ER225" i="4"/>
  <c r="DN187" i="23"/>
  <c r="U213" i="7"/>
  <c r="BK213" i="4"/>
  <c r="DD264" i="23"/>
  <c r="EL201" i="4"/>
  <c r="CS64" i="24"/>
  <c r="CB189" i="4"/>
  <c r="BY182" i="23"/>
  <c r="BP164" i="7"/>
  <c r="Z165" i="7"/>
  <c r="BP165" i="4"/>
  <c r="BR229" i="23"/>
  <c r="DG153" i="7"/>
  <c r="CU153" i="4"/>
  <c r="BH227" i="23"/>
  <c r="CW141" i="4"/>
  <c r="AM69" i="24"/>
  <c r="BW117" i="4"/>
  <c r="BW116" i="7"/>
  <c r="T193" i="23"/>
  <c r="BQ93" i="7"/>
  <c r="O93" i="7"/>
  <c r="BE93" i="4"/>
  <c r="K256" i="23"/>
  <c r="ET81" i="4"/>
  <c r="CB45" i="4"/>
  <c r="DB157" i="7"/>
  <c r="BT222" i="23"/>
  <c r="DB158" i="4"/>
  <c r="BT65" i="24"/>
  <c r="CA158" i="4"/>
  <c r="CA157" i="7"/>
  <c r="DM186" i="23"/>
  <c r="V212" i="7"/>
  <c r="BL212" i="4"/>
  <c r="DC229" i="23"/>
  <c r="DG200" i="7"/>
  <c r="CU200" i="4"/>
  <c r="CW187" i="7"/>
  <c r="CR227" i="23"/>
  <c r="CW188" i="4"/>
  <c r="CI70" i="24"/>
  <c r="BV176" i="4"/>
  <c r="BG191" i="23"/>
  <c r="Q140" i="7"/>
  <c r="BG140" i="4"/>
  <c r="AX228" i="23"/>
  <c r="CV128" i="4"/>
  <c r="S66" i="24"/>
  <c r="BZ92" i="4"/>
  <c r="DG44" i="7"/>
  <c r="CU44" i="4"/>
  <c r="DQ265" i="23"/>
  <c r="EW220" i="7"/>
  <c r="EK219" i="7"/>
  <c r="EK220" i="4"/>
  <c r="BV221" i="23"/>
  <c r="DC160" i="4"/>
  <c r="AA70" i="24"/>
  <c r="BV100" i="4"/>
  <c r="CN258" i="23"/>
  <c r="ER182" i="7"/>
  <c r="ER183" i="4"/>
  <c r="BU257" i="23"/>
  <c r="ES159" i="4"/>
  <c r="BC260" i="23"/>
  <c r="EP135" i="4"/>
  <c r="AJ227" i="23"/>
  <c r="CW111" i="4"/>
  <c r="BN54" i="7"/>
  <c r="BR54" i="7" s="1"/>
  <c r="X51" i="7"/>
  <c r="BN51" i="4"/>
  <c r="DG15" i="7"/>
  <c r="CU15" i="4"/>
  <c r="DG15" i="4" s="1"/>
  <c r="DX71" i="24"/>
  <c r="BU229" i="4"/>
  <c r="CV256" i="23"/>
  <c r="ET192" i="4"/>
  <c r="BK71" i="24"/>
  <c r="BU144" i="4"/>
  <c r="DF191" i="23"/>
  <c r="Q203" i="7"/>
  <c r="BG203" i="4"/>
  <c r="DD178" i="7"/>
  <c r="CK220" i="23"/>
  <c r="DD179" i="4"/>
  <c r="AF255" i="23"/>
  <c r="EU107" i="4"/>
  <c r="CE107" i="7"/>
  <c r="AF73" i="24"/>
  <c r="BS107" i="4"/>
  <c r="DE218" i="23"/>
  <c r="DF202" i="4"/>
  <c r="AE225" i="23"/>
  <c r="CY106" i="4"/>
  <c r="DL68" i="24"/>
  <c r="BX211" i="4"/>
  <c r="DB70" i="24"/>
  <c r="BV199" i="4"/>
  <c r="BF150" i="7"/>
  <c r="BP192" i="23"/>
  <c r="P151" i="7"/>
  <c r="BF151" i="4"/>
  <c r="BF70" i="24"/>
  <c r="BV139" i="4"/>
  <c r="BV138" i="7"/>
  <c r="R64" i="24"/>
  <c r="CB90" i="7"/>
  <c r="CB91" i="4"/>
  <c r="EK57" i="7"/>
  <c r="EW55" i="7"/>
  <c r="EW57" i="7" s="1"/>
  <c r="EK55" i="4"/>
  <c r="CO182" i="23"/>
  <c r="Z184" i="7"/>
  <c r="BP184" i="4"/>
  <c r="AT218" i="23"/>
  <c r="DF124" i="4"/>
  <c r="AT67" i="24"/>
  <c r="BY124" i="4"/>
  <c r="DB146" i="7"/>
  <c r="BM222" i="23"/>
  <c r="DB147" i="4"/>
  <c r="Z192" i="23"/>
  <c r="P99" i="7"/>
  <c r="BF99" i="4"/>
  <c r="V63" i="7"/>
  <c r="BL63" i="4"/>
  <c r="V63" i="4" s="1"/>
  <c r="V63" i="1" s="1"/>
  <c r="DA38" i="7"/>
  <c r="F223" i="23" s="1"/>
  <c r="DA39" i="4"/>
  <c r="DA38" i="4" s="1"/>
  <c r="U245" i="7"/>
  <c r="BK245" i="4"/>
  <c r="U245" i="4" s="1"/>
  <c r="U245" i="1" s="1"/>
  <c r="DH73" i="24"/>
  <c r="CE206" i="7"/>
  <c r="BS206" i="4"/>
  <c r="BS205" i="7"/>
  <c r="AQ220" i="23"/>
  <c r="DD121" i="4"/>
  <c r="X256" i="23"/>
  <c r="ET97" i="4"/>
  <c r="DG243" i="7"/>
  <c r="CU243" i="4"/>
  <c r="DG68" i="24"/>
  <c r="BX204" i="4"/>
  <c r="AP182" i="23"/>
  <c r="Z120" i="7"/>
  <c r="BP120" i="4"/>
  <c r="W70" i="24"/>
  <c r="BV96" i="4"/>
  <c r="AZ219" i="23"/>
  <c r="DE131" i="4"/>
  <c r="M218" i="23"/>
  <c r="DF83" i="4"/>
  <c r="BZ190" i="23"/>
  <c r="R166" i="7"/>
  <c r="BH166" i="4"/>
  <c r="BS71" i="24"/>
  <c r="BU154" i="4"/>
  <c r="U259" i="23"/>
  <c r="EQ94" i="4"/>
  <c r="DS258" i="23"/>
  <c r="ER222" i="4"/>
  <c r="DK263" i="23"/>
  <c r="EM209" i="7"/>
  <c r="EM210" i="4"/>
  <c r="DA223" i="23"/>
  <c r="DA198" i="4"/>
  <c r="CQ63" i="24"/>
  <c r="CC186" i="4"/>
  <c r="BX218" i="23"/>
  <c r="DF162" i="4"/>
  <c r="AV225" i="23"/>
  <c r="CY126" i="4"/>
  <c r="AC183" i="23"/>
  <c r="Y102" i="7"/>
  <c r="BO102" i="4"/>
  <c r="H70" i="24"/>
  <c r="BV78" i="4"/>
  <c r="Q247" i="7"/>
  <c r="BG247" i="4"/>
  <c r="Q247" i="4" s="1"/>
  <c r="Q247" i="1" s="1"/>
  <c r="CY72" i="24"/>
  <c r="BT196" i="4"/>
  <c r="BD257" i="23"/>
  <c r="ES136" i="4"/>
  <c r="AK228" i="23"/>
  <c r="CV112" i="4"/>
  <c r="CX257" i="23"/>
  <c r="ES195" i="4"/>
  <c r="CE71" i="24"/>
  <c r="BU171" i="4"/>
  <c r="AS71" i="24"/>
  <c r="BU123" i="4"/>
  <c r="CD256" i="23"/>
  <c r="ET170" i="4"/>
  <c r="BB69" i="24"/>
  <c r="BW134" i="4"/>
  <c r="BW133" i="7"/>
  <c r="EJ134" i="7"/>
  <c r="DP134" i="7"/>
  <c r="DO134" i="7"/>
  <c r="DN134" i="7"/>
  <c r="DM134" i="7"/>
  <c r="DL134" i="7"/>
  <c r="DK134" i="7"/>
  <c r="DJ134" i="7"/>
  <c r="DR134" i="7"/>
  <c r="DH134" i="7" s="1"/>
  <c r="DQ134" i="7"/>
  <c r="DT134" i="7"/>
  <c r="DS134" i="7"/>
  <c r="DI134" i="7"/>
  <c r="Z25" i="7"/>
  <c r="BP25" i="4"/>
  <c r="Z25" i="4" s="1"/>
  <c r="Z25" i="1" s="1"/>
  <c r="DW67" i="24"/>
  <c r="BY227" i="7"/>
  <c r="BY228" i="4"/>
  <c r="AY71" i="24"/>
  <c r="BU129" i="7"/>
  <c r="BU130" i="4"/>
  <c r="CZ191" i="23"/>
  <c r="Q197" i="7"/>
  <c r="BG197" i="4"/>
  <c r="CP228" i="23"/>
  <c r="CV185" i="4"/>
  <c r="BO172" i="7"/>
  <c r="CF183" i="23"/>
  <c r="Y173" i="7"/>
  <c r="BO173" i="4"/>
  <c r="BW62" i="24"/>
  <c r="CD161" i="4"/>
  <c r="BE226" i="23"/>
  <c r="CX137" i="4"/>
  <c r="AU182" i="23"/>
  <c r="Z125" i="7"/>
  <c r="BP125" i="4"/>
  <c r="AL227" i="23"/>
  <c r="CW113" i="4"/>
  <c r="AB185" i="23"/>
  <c r="W101" i="7"/>
  <c r="BM101" i="4"/>
  <c r="DG89" i="7"/>
  <c r="CU89" i="4"/>
  <c r="G67" i="24"/>
  <c r="BY77" i="4"/>
  <c r="BY76" i="7"/>
  <c r="S41" i="7"/>
  <c r="BI41" i="4"/>
  <c r="S41" i="4" s="1"/>
  <c r="S41" i="1" s="1"/>
  <c r="DJ260" i="23"/>
  <c r="EP208" i="4"/>
  <c r="Q263" i="23"/>
  <c r="EM87" i="7"/>
  <c r="EM88" i="4"/>
  <c r="EM87" i="4" s="1"/>
  <c r="AI191" i="23"/>
  <c r="Q110" i="7"/>
  <c r="BG110" i="4"/>
  <c r="P224" i="23"/>
  <c r="CZ86" i="4"/>
  <c r="CE86" i="7"/>
  <c r="P73" i="24"/>
  <c r="BS86" i="4"/>
  <c r="BL228" i="23"/>
  <c r="CV145" i="4"/>
  <c r="AH189" i="23"/>
  <c r="S109" i="7"/>
  <c r="BI109" i="4"/>
  <c r="O221" i="23"/>
  <c r="DC85" i="4"/>
  <c r="DP69" i="24"/>
  <c r="BW216" i="4"/>
  <c r="N257" i="23"/>
  <c r="ES84" i="4"/>
  <c r="EN241" i="7"/>
  <c r="EB262" i="23" s="1"/>
  <c r="EN242" i="4"/>
  <c r="EN241" i="4" s="1"/>
  <c r="CU227" i="23"/>
  <c r="CW191" i="4"/>
  <c r="CA258" i="23"/>
  <c r="ER167" i="4"/>
  <c r="BJ224" i="23"/>
  <c r="CZ143" i="4"/>
  <c r="V218" i="23"/>
  <c r="DF95" i="4"/>
  <c r="EV7" i="4"/>
  <c r="BI225" i="23"/>
  <c r="CY142" i="4"/>
  <c r="L262" i="23"/>
  <c r="EN82" i="4"/>
  <c r="DU221" i="23"/>
  <c r="DC225" i="4"/>
  <c r="DN255" i="23"/>
  <c r="EU213" i="4"/>
  <c r="DD226" i="23"/>
  <c r="CX201" i="4"/>
  <c r="CS264" i="23"/>
  <c r="EL189" i="4"/>
  <c r="CJ224" i="23"/>
  <c r="CZ177" i="4"/>
  <c r="CV164" i="7"/>
  <c r="BY228" i="23"/>
  <c r="CV165" i="4"/>
  <c r="BR259" i="23"/>
  <c r="EQ153" i="4"/>
  <c r="BH67" i="24"/>
  <c r="BY141" i="4"/>
  <c r="AD186" i="23"/>
  <c r="BL104" i="7"/>
  <c r="V105" i="7"/>
  <c r="BL105" i="4"/>
  <c r="T256" i="23"/>
  <c r="ET93" i="4"/>
  <c r="K71" i="24"/>
  <c r="BU81" i="4"/>
  <c r="Q33" i="7"/>
  <c r="BG33" i="4"/>
  <c r="Q33" i="4" s="1"/>
  <c r="Q33" i="1" s="1"/>
  <c r="BT218" i="23"/>
  <c r="DF157" i="7"/>
  <c r="DF158" i="4"/>
  <c r="BM223" i="7"/>
  <c r="DT185" i="23"/>
  <c r="W224" i="7"/>
  <c r="BM224" i="4"/>
  <c r="DM261" i="23"/>
  <c r="EO212" i="4"/>
  <c r="DC71" i="24"/>
  <c r="BU200" i="4"/>
  <c r="CI260" i="23"/>
  <c r="EP176" i="4"/>
  <c r="BQ193" i="23"/>
  <c r="BQ152" i="7"/>
  <c r="O152" i="7"/>
  <c r="BE152" i="4"/>
  <c r="BG221" i="23"/>
  <c r="DC140" i="4"/>
  <c r="AX263" i="23"/>
  <c r="EM128" i="4"/>
  <c r="S62" i="24"/>
  <c r="CD92" i="4"/>
  <c r="CC44" i="4"/>
  <c r="BV67" i="24"/>
  <c r="BY160" i="4"/>
  <c r="CN71" i="24"/>
  <c r="BU182" i="7"/>
  <c r="BU183" i="4"/>
  <c r="EJ183" i="7"/>
  <c r="DP183" i="7"/>
  <c r="DN183" i="7"/>
  <c r="DO183" i="7"/>
  <c r="DM183" i="7"/>
  <c r="DL183" i="7"/>
  <c r="DK183" i="7"/>
  <c r="DJ183" i="7"/>
  <c r="DS183" i="7"/>
  <c r="DT183" i="7"/>
  <c r="DR183" i="7"/>
  <c r="DH183" i="7" s="1"/>
  <c r="DQ183" i="7"/>
  <c r="DI183" i="7"/>
  <c r="BC229" i="23"/>
  <c r="DG135" i="7"/>
  <c r="CU135" i="4"/>
  <c r="AJ257" i="23"/>
  <c r="ES111" i="4"/>
  <c r="DB54" i="7"/>
  <c r="DB51" i="4"/>
  <c r="DB54" i="4" s="1"/>
  <c r="DX69" i="24"/>
  <c r="BW229" i="4"/>
  <c r="CV218" i="23"/>
  <c r="DF192" i="4"/>
  <c r="BK191" i="23"/>
  <c r="Q144" i="7"/>
  <c r="BG144" i="4"/>
  <c r="AG70" i="24"/>
  <c r="BV108" i="4"/>
  <c r="DF72" i="24"/>
  <c r="BT203" i="4"/>
  <c r="AF259" i="23"/>
  <c r="EQ107" i="4"/>
  <c r="DV218" i="23"/>
  <c r="DF226" i="4"/>
  <c r="DE64" i="24"/>
  <c r="CB202" i="4"/>
  <c r="DL261" i="23"/>
  <c r="EO211" i="4"/>
  <c r="DB226" i="23"/>
  <c r="CX199" i="4"/>
  <c r="CH183" i="23"/>
  <c r="Y175" i="7"/>
  <c r="BO175" i="4"/>
  <c r="DF150" i="7"/>
  <c r="BP218" i="23"/>
  <c r="DF151" i="4"/>
  <c r="BF226" i="23"/>
  <c r="CX138" i="7"/>
  <c r="CX139" i="4"/>
  <c r="CY138" i="7"/>
  <c r="BF225" i="23"/>
  <c r="CY139" i="4"/>
  <c r="AW229" i="23"/>
  <c r="DG127" i="7"/>
  <c r="CU127" i="4"/>
  <c r="R262" i="23"/>
  <c r="EN90" i="7"/>
  <c r="EN91" i="4"/>
  <c r="R263" i="23"/>
  <c r="EM90" i="7"/>
  <c r="EM91" i="4"/>
  <c r="I191" i="23"/>
  <c r="Q79" i="7"/>
  <c r="BG79" i="4"/>
  <c r="X67" i="7"/>
  <c r="AB67" i="7" s="1"/>
  <c r="BN67" i="4"/>
  <c r="DC57" i="7"/>
  <c r="DC55" i="4"/>
  <c r="EU29" i="7"/>
  <c r="EU31" i="4"/>
  <c r="EU29" i="4" s="1"/>
  <c r="CO192" i="23"/>
  <c r="P184" i="7"/>
  <c r="BF184" i="4"/>
  <c r="AT226" i="23"/>
  <c r="CX124" i="4"/>
  <c r="AT70" i="24"/>
  <c r="BV124" i="4"/>
  <c r="DI67" i="24"/>
  <c r="BY207" i="4"/>
  <c r="EN146" i="7"/>
  <c r="BM262" i="23"/>
  <c r="EN147" i="4"/>
  <c r="Z186" i="23"/>
  <c r="V99" i="7"/>
  <c r="BL99" i="4"/>
  <c r="BH38" i="7"/>
  <c r="F190" i="23" s="1"/>
  <c r="R39" i="7"/>
  <c r="BH39" i="4"/>
  <c r="EO205" i="7"/>
  <c r="DH261" i="23"/>
  <c r="EO206" i="4"/>
  <c r="CC193" i="23"/>
  <c r="BQ169" i="7"/>
  <c r="O169" i="7"/>
  <c r="BE169" i="4"/>
  <c r="AQ66" i="24"/>
  <c r="BZ121" i="4"/>
  <c r="DG183" i="23"/>
  <c r="Y204" i="7"/>
  <c r="BO204" i="4"/>
  <c r="CB222" i="23"/>
  <c r="DB168" i="4"/>
  <c r="AP228" i="23"/>
  <c r="CV120" i="4"/>
  <c r="W187" i="23"/>
  <c r="U96" i="7"/>
  <c r="BK96" i="4"/>
  <c r="DO263" i="23"/>
  <c r="EM214" i="7"/>
  <c r="EM215" i="4"/>
  <c r="AZ223" i="23"/>
  <c r="DA131" i="4"/>
  <c r="M65" i="24"/>
  <c r="CA83" i="4"/>
  <c r="CT224" i="23"/>
  <c r="CZ190" i="4"/>
  <c r="BZ64" i="24"/>
  <c r="CB166" i="4"/>
  <c r="AN192" i="23"/>
  <c r="P118" i="7"/>
  <c r="BF118" i="4"/>
  <c r="U185" i="23"/>
  <c r="W94" i="7"/>
  <c r="BM94" i="4"/>
  <c r="U46" i="7"/>
  <c r="BK46" i="4"/>
  <c r="U46" i="4" s="1"/>
  <c r="U46" i="1" s="1"/>
  <c r="DS222" i="23"/>
  <c r="DB222" i="4"/>
  <c r="DA189" i="23"/>
  <c r="S198" i="7"/>
  <c r="BI198" i="4"/>
  <c r="CQ223" i="23"/>
  <c r="DA186" i="4"/>
  <c r="CG261" i="23"/>
  <c r="EO174" i="4"/>
  <c r="BX261" i="23"/>
  <c r="EO162" i="4"/>
  <c r="AV64" i="24"/>
  <c r="CB126" i="4"/>
  <c r="H218" i="23"/>
  <c r="DF78" i="4"/>
  <c r="CY183" i="23"/>
  <c r="Y196" i="7"/>
  <c r="BO196" i="4"/>
  <c r="BN263" i="23"/>
  <c r="EM148" i="4"/>
  <c r="BD223" i="23"/>
  <c r="DA136" i="4"/>
  <c r="AK264" i="23"/>
  <c r="EL112" i="4"/>
  <c r="CX189" i="23"/>
  <c r="S195" i="7"/>
  <c r="BI195" i="4"/>
  <c r="CE191" i="23"/>
  <c r="Q171" i="7"/>
  <c r="BG171" i="4"/>
  <c r="AS227" i="23"/>
  <c r="CW123" i="4"/>
  <c r="CW193" i="23"/>
  <c r="BQ194" i="7"/>
  <c r="BE193" i="7"/>
  <c r="O194" i="7"/>
  <c r="BE194" i="4"/>
  <c r="CD226" i="23"/>
  <c r="CX170" i="4"/>
  <c r="DC133" i="7"/>
  <c r="BB221" i="23"/>
  <c r="DC134" i="4"/>
  <c r="Y220" i="23"/>
  <c r="DD98" i="4"/>
  <c r="U244" i="7"/>
  <c r="BK244" i="4"/>
  <c r="U244" i="4" s="1"/>
  <c r="U244" i="1" s="1"/>
  <c r="BP227" i="7"/>
  <c r="DW182" i="23"/>
  <c r="Z228" i="7"/>
  <c r="BP228" i="4"/>
  <c r="CL65" i="24"/>
  <c r="CA180" i="4"/>
  <c r="AO183" i="23"/>
  <c r="Y119" i="7"/>
  <c r="BO119" i="4"/>
  <c r="DC129" i="7"/>
  <c r="AY221" i="23"/>
  <c r="DC130" i="4"/>
  <c r="DR185" i="23"/>
  <c r="W221" i="7"/>
  <c r="BM221" i="4"/>
  <c r="CP193" i="23"/>
  <c r="BQ185" i="7"/>
  <c r="O185" i="7"/>
  <c r="BE185" i="4"/>
  <c r="CF71" i="24"/>
  <c r="BU173" i="4"/>
  <c r="BU172" i="7"/>
  <c r="BW263" i="23"/>
  <c r="EM161" i="4"/>
  <c r="BO62" i="24"/>
  <c r="CD149" i="4"/>
  <c r="AU191" i="23"/>
  <c r="Q125" i="7"/>
  <c r="BG125" i="4"/>
  <c r="AL185" i="23"/>
  <c r="W113" i="7"/>
  <c r="BM113" i="4"/>
  <c r="AB65" i="24"/>
  <c r="CA101" i="4"/>
  <c r="G227" i="23"/>
  <c r="CW76" i="7"/>
  <c r="CW77" i="4"/>
  <c r="DJ68" i="24"/>
  <c r="BX208" i="4"/>
  <c r="FC88" i="7"/>
  <c r="EZ88" i="7"/>
  <c r="FJ88" i="7"/>
  <c r="FB88" i="7"/>
  <c r="FA88" i="7"/>
  <c r="EY88" i="7"/>
  <c r="FI88" i="7"/>
  <c r="FH88" i="7"/>
  <c r="FE88" i="7"/>
  <c r="FD88" i="7"/>
  <c r="FG88" i="7"/>
  <c r="EX88" i="7" s="1"/>
  <c r="FF88" i="7"/>
  <c r="AI221" i="23"/>
  <c r="DC110" i="4"/>
  <c r="P66" i="24"/>
  <c r="BZ86" i="4"/>
  <c r="AH192" i="23"/>
  <c r="P109" i="7"/>
  <c r="BF109" i="4"/>
  <c r="O183" i="23"/>
  <c r="Y85" i="7"/>
  <c r="BO85" i="4"/>
  <c r="DP68" i="24"/>
  <c r="BX216" i="4"/>
  <c r="N186" i="23"/>
  <c r="V84" i="7"/>
  <c r="BL84" i="4"/>
  <c r="BU241" i="7"/>
  <c r="EB71" i="24" s="1"/>
  <c r="BU242" i="4"/>
  <c r="CU263" i="23"/>
  <c r="EM191" i="4"/>
  <c r="CA62" i="24"/>
  <c r="CD167" i="4"/>
  <c r="V222" i="23"/>
  <c r="DB95" i="4"/>
  <c r="DC7" i="4"/>
  <c r="BI64" i="24"/>
  <c r="CB142" i="4"/>
  <c r="L186" i="23"/>
  <c r="V82" i="7"/>
  <c r="BL82" i="4"/>
  <c r="BW34" i="4"/>
  <c r="DU262" i="23"/>
  <c r="EN225" i="4"/>
  <c r="DN263" i="23"/>
  <c r="EM213" i="4"/>
  <c r="DD223" i="23"/>
  <c r="DA201" i="4"/>
  <c r="CS187" i="23"/>
  <c r="U189" i="7"/>
  <c r="BK189" i="4"/>
  <c r="CE177" i="7"/>
  <c r="CJ73" i="24"/>
  <c r="BS177" i="4"/>
  <c r="BR260" i="23"/>
  <c r="EP153" i="4"/>
  <c r="BH183" i="23"/>
  <c r="Y141" i="7"/>
  <c r="BO141" i="4"/>
  <c r="DD116" i="7"/>
  <c r="AM220" i="23"/>
  <c r="DD117" i="4"/>
  <c r="AD69" i="24"/>
  <c r="BW105" i="4"/>
  <c r="BW104" i="7"/>
  <c r="K227" i="23"/>
  <c r="CW81" i="4"/>
  <c r="S21" i="7"/>
  <c r="BI21" i="4"/>
  <c r="S21" i="4" s="1"/>
  <c r="S21" i="1" s="1"/>
  <c r="DE157" i="7"/>
  <c r="BT219" i="23"/>
  <c r="DE158" i="4"/>
  <c r="DT224" i="23"/>
  <c r="CZ223" i="7"/>
  <c r="CZ224" i="4"/>
  <c r="DM65" i="24"/>
  <c r="CA212" i="4"/>
  <c r="EV187" i="7"/>
  <c r="CR254" i="23"/>
  <c r="EV188" i="4"/>
  <c r="CI219" i="23"/>
  <c r="DE176" i="4"/>
  <c r="BQ227" i="23"/>
  <c r="CW152" i="4"/>
  <c r="BG187" i="23"/>
  <c r="U140" i="7"/>
  <c r="BK140" i="4"/>
  <c r="AX259" i="23"/>
  <c r="EQ128" i="4"/>
  <c r="EJ128" i="7"/>
  <c r="DP128" i="7"/>
  <c r="DO128" i="7"/>
  <c r="DN128" i="7"/>
  <c r="DM128" i="7"/>
  <c r="DL128" i="7"/>
  <c r="DK128" i="7"/>
  <c r="DJ128" i="7"/>
  <c r="DR128" i="7"/>
  <c r="DH128" i="7" s="1"/>
  <c r="DS128" i="7"/>
  <c r="DQ128" i="7"/>
  <c r="DI128" i="7"/>
  <c r="DT128" i="7"/>
  <c r="J222" i="23"/>
  <c r="DB80" i="4"/>
  <c r="T44" i="7"/>
  <c r="BJ44" i="4"/>
  <c r="T44" i="4" s="1"/>
  <c r="T44" i="1" s="1"/>
  <c r="Q32" i="7"/>
  <c r="BG32" i="4"/>
  <c r="Q32" i="4" s="1"/>
  <c r="Q32" i="1" s="1"/>
  <c r="BG219" i="7"/>
  <c r="DQ191" i="23"/>
  <c r="Q220" i="7"/>
  <c r="BG220" i="4"/>
  <c r="BV255" i="23"/>
  <c r="EU160" i="4"/>
  <c r="AA193" i="23"/>
  <c r="BQ100" i="7"/>
  <c r="O100" i="7"/>
  <c r="BE100" i="4"/>
  <c r="EN182" i="7"/>
  <c r="CN262" i="23"/>
  <c r="EN183" i="4"/>
  <c r="BU220" i="23"/>
  <c r="DD159" i="4"/>
  <c r="BC188" i="23"/>
  <c r="T135" i="7"/>
  <c r="BJ135" i="4"/>
  <c r="AJ184" i="23"/>
  <c r="X111" i="7"/>
  <c r="BN111" i="4"/>
  <c r="EL54" i="7"/>
  <c r="EL51" i="4"/>
  <c r="EL54" i="4" s="1"/>
  <c r="AR63" i="24"/>
  <c r="CC122" i="4"/>
  <c r="DX182" i="23"/>
  <c r="Z229" i="7"/>
  <c r="BP229" i="4"/>
  <c r="BF60" i="7"/>
  <c r="P61" i="7"/>
  <c r="BF61" i="4"/>
  <c r="CV183" i="23"/>
  <c r="Y192" i="7"/>
  <c r="BO192" i="4"/>
  <c r="BK68" i="24"/>
  <c r="BX144" i="4"/>
  <c r="AG69" i="24"/>
  <c r="BW108" i="4"/>
  <c r="DF178" i="7"/>
  <c r="CK218" i="23"/>
  <c r="DF179" i="4"/>
  <c r="AF185" i="23"/>
  <c r="W107" i="7"/>
  <c r="BM107" i="4"/>
  <c r="DV187" i="23"/>
  <c r="U226" i="7"/>
  <c r="BK226" i="4"/>
  <c r="DE264" i="23"/>
  <c r="EL202" i="4"/>
  <c r="DL228" i="23"/>
  <c r="CV211" i="4"/>
  <c r="DB192" i="23"/>
  <c r="P199" i="7"/>
  <c r="BF199" i="4"/>
  <c r="CH259" i="23"/>
  <c r="EQ175" i="4"/>
  <c r="EV150" i="7"/>
  <c r="BP254" i="23"/>
  <c r="EV151" i="4"/>
  <c r="BF68" i="24"/>
  <c r="BX139" i="4"/>
  <c r="BX138" i="7"/>
  <c r="AW67" i="24"/>
  <c r="BY127" i="4"/>
  <c r="I227" i="23"/>
  <c r="CW79" i="4"/>
  <c r="EL57" i="7"/>
  <c r="EL55" i="4"/>
  <c r="EL57" i="4" s="1"/>
  <c r="CD31" i="4"/>
  <c r="CD29" i="7"/>
  <c r="CO185" i="23"/>
  <c r="W184" i="7"/>
  <c r="BM184" i="4"/>
  <c r="AT183" i="23"/>
  <c r="Y124" i="7"/>
  <c r="BO124" i="4"/>
  <c r="DI69" i="24"/>
  <c r="BW207" i="4"/>
  <c r="Z218" i="23"/>
  <c r="DF99" i="4"/>
  <c r="EW245" i="7"/>
  <c r="EK245" i="4"/>
  <c r="DH182" i="23"/>
  <c r="BP205" i="7"/>
  <c r="Z206" i="7"/>
  <c r="BP206" i="4"/>
  <c r="CC192" i="23"/>
  <c r="P169" i="7"/>
  <c r="BF169" i="4"/>
  <c r="AQ256" i="23"/>
  <c r="ET121" i="4"/>
  <c r="Q243" i="7"/>
  <c r="BG243" i="4"/>
  <c r="Q243" i="4" s="1"/>
  <c r="Q243" i="1" s="1"/>
  <c r="DG261" i="23"/>
  <c r="EO204" i="4"/>
  <c r="DU190" i="23"/>
  <c r="R225" i="7"/>
  <c r="BH225" i="4"/>
  <c r="DN184" i="23"/>
  <c r="X213" i="7"/>
  <c r="BN213" i="4"/>
  <c r="DD185" i="23"/>
  <c r="W201" i="7"/>
  <c r="BM201" i="4"/>
  <c r="CS72" i="24"/>
  <c r="BT189" i="4"/>
  <c r="CJ222" i="23"/>
  <c r="DB177" i="4"/>
  <c r="BY184" i="23"/>
  <c r="BN164" i="7"/>
  <c r="BR164" i="7" s="1"/>
  <c r="X165" i="7"/>
  <c r="BN165" i="4"/>
  <c r="BR220" i="23"/>
  <c r="DD153" i="4"/>
  <c r="BH218" i="23"/>
  <c r="DF141" i="4"/>
  <c r="AM259" i="23"/>
  <c r="EQ116" i="7"/>
  <c r="EQ117" i="4"/>
  <c r="AD222" i="23"/>
  <c r="DB104" i="7"/>
  <c r="DB105" i="4"/>
  <c r="T192" i="23"/>
  <c r="P93" i="7"/>
  <c r="BF93" i="4"/>
  <c r="K182" i="23"/>
  <c r="Z81" i="7"/>
  <c r="BP81" i="4"/>
  <c r="K67" i="24"/>
  <c r="BY81" i="4"/>
  <c r="BT185" i="23"/>
  <c r="BM157" i="7"/>
  <c r="W158" i="7"/>
  <c r="BM158" i="4"/>
  <c r="DT63" i="24"/>
  <c r="CC224" i="4"/>
  <c r="CC223" i="7"/>
  <c r="DM264" i="23"/>
  <c r="EL212" i="4"/>
  <c r="DC189" i="23"/>
  <c r="S200" i="7"/>
  <c r="BI200" i="4"/>
  <c r="CR64" i="24"/>
  <c r="CB188" i="4"/>
  <c r="CB187" i="7"/>
  <c r="CI261" i="23"/>
  <c r="EO176" i="4"/>
  <c r="BQ222" i="23"/>
  <c r="DB152" i="4"/>
  <c r="BG259" i="23"/>
  <c r="EQ140" i="4"/>
  <c r="AX188" i="23"/>
  <c r="T128" i="7"/>
  <c r="BJ128" i="4"/>
  <c r="S227" i="23"/>
  <c r="CW92" i="4"/>
  <c r="J193" i="23"/>
  <c r="BQ80" i="7"/>
  <c r="O80" i="7"/>
  <c r="BE80" i="4"/>
  <c r="J70" i="24"/>
  <c r="BV80" i="4"/>
  <c r="EW44" i="7"/>
  <c r="EK44" i="4"/>
  <c r="R32" i="7"/>
  <c r="BH32" i="4"/>
  <c r="R32" i="4" s="1"/>
  <c r="R32" i="1" s="1"/>
  <c r="DG20" i="7"/>
  <c r="CU20" i="4"/>
  <c r="DG20" i="4" s="1"/>
  <c r="BV65" i="24"/>
  <c r="CA160" i="4"/>
  <c r="CE100" i="7"/>
  <c r="AA73" i="24"/>
  <c r="BS100" i="4"/>
  <c r="CN67" i="24"/>
  <c r="BY182" i="7"/>
  <c r="BY183" i="4"/>
  <c r="BU256" i="23"/>
  <c r="ET159" i="4"/>
  <c r="BC187" i="23"/>
  <c r="U135" i="7"/>
  <c r="BK135" i="4"/>
  <c r="AJ189" i="23"/>
  <c r="S111" i="7"/>
  <c r="BI111" i="4"/>
  <c r="BI54" i="7"/>
  <c r="S51" i="7"/>
  <c r="S54" i="7" s="1"/>
  <c r="BI51" i="4"/>
  <c r="AR264" i="23"/>
  <c r="EL122" i="4"/>
  <c r="CX13" i="7"/>
  <c r="CX6" i="7" s="1"/>
  <c r="CX14" i="4"/>
  <c r="CX13" i="4" s="1"/>
  <c r="DX254" i="23"/>
  <c r="EV229" i="4"/>
  <c r="BN60" i="7"/>
  <c r="BR60" i="7" s="1"/>
  <c r="X61" i="7"/>
  <c r="BN61" i="4"/>
  <c r="CV261" i="23"/>
  <c r="EO192" i="4"/>
  <c r="BK67" i="24"/>
  <c r="BY144" i="4"/>
  <c r="AG71" i="24"/>
  <c r="BU108" i="4"/>
  <c r="DF189" i="23"/>
  <c r="S203" i="7"/>
  <c r="BI203" i="4"/>
  <c r="EV178" i="7"/>
  <c r="CK254" i="23"/>
  <c r="EV179" i="4"/>
  <c r="AF220" i="23"/>
  <c r="DD107" i="4"/>
  <c r="DV228" i="23"/>
  <c r="CV226" i="4"/>
  <c r="DE63" i="24"/>
  <c r="CC202" i="4"/>
  <c r="AE254" i="23"/>
  <c r="EV106" i="4"/>
  <c r="DL257" i="23"/>
  <c r="ES211" i="4"/>
  <c r="DB222" i="23"/>
  <c r="DB199" i="4"/>
  <c r="CH260" i="23"/>
  <c r="EP175" i="4"/>
  <c r="BP261" i="23"/>
  <c r="EO150" i="7"/>
  <c r="EO151" i="4"/>
  <c r="ER138" i="7"/>
  <c r="BF258" i="23"/>
  <c r="ER139" i="4"/>
  <c r="AW219" i="23"/>
  <c r="DE127" i="4"/>
  <c r="R68" i="24"/>
  <c r="BX91" i="4"/>
  <c r="BX90" i="7"/>
  <c r="I69" i="24"/>
  <c r="BW79" i="4"/>
  <c r="Q67" i="7"/>
  <c r="BG67" i="4"/>
  <c r="Q67" i="4" s="1"/>
  <c r="Q67" i="1" s="1"/>
  <c r="BK57" i="7"/>
  <c r="U55" i="7"/>
  <c r="U57" i="7" s="1"/>
  <c r="BK55" i="4"/>
  <c r="BL29" i="7"/>
  <c r="V31" i="7"/>
  <c r="BL31" i="4"/>
  <c r="CE31" i="7"/>
  <c r="BS31" i="4"/>
  <c r="BS29" i="7"/>
  <c r="S19" i="7"/>
  <c r="BI19" i="4"/>
  <c r="S19" i="4" s="1"/>
  <c r="S19" i="1" s="1"/>
  <c r="CO184" i="23"/>
  <c r="X184" i="7"/>
  <c r="BN184" i="4"/>
  <c r="AT260" i="23"/>
  <c r="EP124" i="4"/>
  <c r="DI192" i="23"/>
  <c r="P207" i="7"/>
  <c r="BF207" i="4"/>
  <c r="BM193" i="23"/>
  <c r="BQ147" i="7"/>
  <c r="BE146" i="7"/>
  <c r="O147" i="7"/>
  <c r="BE147" i="4"/>
  <c r="BM65" i="24"/>
  <c r="CA147" i="4"/>
  <c r="CA146" i="7"/>
  <c r="Z69" i="24"/>
  <c r="BW99" i="4"/>
  <c r="W63" i="7"/>
  <c r="BM63" i="4"/>
  <c r="BJ38" i="7"/>
  <c r="F188" i="23" s="1"/>
  <c r="T39" i="7"/>
  <c r="BJ39" i="4"/>
  <c r="Z245" i="7"/>
  <c r="BP245" i="4"/>
  <c r="Z245" i="4" s="1"/>
  <c r="Z245" i="1" s="1"/>
  <c r="DH258" i="23"/>
  <c r="ER205" i="7"/>
  <c r="ER206" i="4"/>
  <c r="CY205" i="7"/>
  <c r="DH225" i="23"/>
  <c r="CY206" i="4"/>
  <c r="EJ206" i="7"/>
  <c r="DP206" i="7"/>
  <c r="DN206" i="7"/>
  <c r="DJ206" i="7"/>
  <c r="DO206" i="7"/>
  <c r="DM206" i="7"/>
  <c r="DL206" i="7"/>
  <c r="DK206" i="7"/>
  <c r="DT206" i="7"/>
  <c r="DS206" i="7"/>
  <c r="DR206" i="7"/>
  <c r="DH206" i="7" s="1"/>
  <c r="DQ206" i="7"/>
  <c r="DI206" i="7"/>
  <c r="CC72" i="24"/>
  <c r="BT169" i="4"/>
  <c r="AQ62" i="24"/>
  <c r="CD121" i="4"/>
  <c r="X264" i="23"/>
  <c r="EL97" i="4"/>
  <c r="DG256" i="23"/>
  <c r="ET204" i="4"/>
  <c r="DG224" i="23"/>
  <c r="CZ204" i="4"/>
  <c r="CB186" i="23"/>
  <c r="V168" i="7"/>
  <c r="BL168" i="4"/>
  <c r="AP183" i="23"/>
  <c r="Y120" i="7"/>
  <c r="BO120" i="4"/>
  <c r="W262" i="23"/>
  <c r="EN96" i="4"/>
  <c r="DO191" i="23"/>
  <c r="BG214" i="7"/>
  <c r="Q215" i="7"/>
  <c r="BG215" i="4"/>
  <c r="BO214" i="7"/>
  <c r="DO183" i="23"/>
  <c r="Y215" i="7"/>
  <c r="BO215" i="4"/>
  <c r="AZ191" i="23"/>
  <c r="Q131" i="7"/>
  <c r="BG131" i="4"/>
  <c r="M254" i="23"/>
  <c r="EV83" i="4"/>
  <c r="M70" i="24"/>
  <c r="BV83" i="4"/>
  <c r="R35" i="7"/>
  <c r="BH35" i="4"/>
  <c r="R35" i="4" s="1"/>
  <c r="R35" i="1" s="1"/>
  <c r="CT223" i="23"/>
  <c r="DA190" i="4"/>
  <c r="BZ265" i="23"/>
  <c r="EW166" i="7"/>
  <c r="EK166" i="4"/>
  <c r="BS186" i="23"/>
  <c r="V154" i="7"/>
  <c r="BL154" i="4"/>
  <c r="BS264" i="23"/>
  <c r="EL154" i="4"/>
  <c r="AN219" i="23"/>
  <c r="DE118" i="4"/>
  <c r="U182" i="23"/>
  <c r="Z94" i="7"/>
  <c r="BP94" i="4"/>
  <c r="U218" i="23"/>
  <c r="DF94" i="4"/>
  <c r="Y46" i="7"/>
  <c r="BO46" i="4"/>
  <c r="Y46" i="4" s="1"/>
  <c r="Y46" i="1" s="1"/>
  <c r="DS220" i="23"/>
  <c r="DD222" i="4"/>
  <c r="DK258" i="23"/>
  <c r="ER209" i="7"/>
  <c r="ER210" i="4"/>
  <c r="DA68" i="24"/>
  <c r="BX198" i="4"/>
  <c r="CQ218" i="23"/>
  <c r="DF186" i="4"/>
  <c r="CG257" i="23"/>
  <c r="ES174" i="4"/>
  <c r="BX256" i="23"/>
  <c r="ET162" i="4"/>
  <c r="BX263" i="23"/>
  <c r="EM162" i="4"/>
  <c r="AV262" i="23"/>
  <c r="EN126" i="4"/>
  <c r="AC219" i="23"/>
  <c r="DE102" i="4"/>
  <c r="AC264" i="23"/>
  <c r="EL102" i="4"/>
  <c r="H224" i="23"/>
  <c r="CZ78" i="4"/>
  <c r="EW42" i="7"/>
  <c r="EK42" i="4"/>
  <c r="CD42" i="4"/>
  <c r="CC30" i="4"/>
  <c r="BU247" i="4"/>
  <c r="CY69" i="24"/>
  <c r="BW196" i="4"/>
  <c r="BN71" i="24"/>
  <c r="BU148" i="4"/>
  <c r="BD70" i="24"/>
  <c r="BV136" i="4"/>
  <c r="AK188" i="23"/>
  <c r="T112" i="7"/>
  <c r="BJ112" i="4"/>
  <c r="Z246" i="7"/>
  <c r="BP246" i="4"/>
  <c r="Z246" i="4" s="1"/>
  <c r="Z246" i="1" s="1"/>
  <c r="CA246" i="4"/>
  <c r="CX187" i="23"/>
  <c r="U195" i="7"/>
  <c r="BK195" i="4"/>
  <c r="CE221" i="23"/>
  <c r="DC171" i="4"/>
  <c r="CE228" i="23"/>
  <c r="CV171" i="4"/>
  <c r="CE63" i="24"/>
  <c r="CC171" i="4"/>
  <c r="AS189" i="23"/>
  <c r="S123" i="7"/>
  <c r="BI123" i="4"/>
  <c r="AS66" i="24"/>
  <c r="BZ123" i="4"/>
  <c r="BP193" i="7"/>
  <c r="CW182" i="23"/>
  <c r="Z194" i="7"/>
  <c r="BP194" i="4"/>
  <c r="CW64" i="24"/>
  <c r="CB194" i="4"/>
  <c r="CB193" i="7"/>
  <c r="CD218" i="23"/>
  <c r="DF170" i="4"/>
  <c r="BB222" i="23"/>
  <c r="DB133" i="7"/>
  <c r="DB134" i="4"/>
  <c r="ES133" i="7"/>
  <c r="BB257" i="23"/>
  <c r="ES134" i="4"/>
  <c r="Y190" i="23"/>
  <c r="R98" i="7"/>
  <c r="BH98" i="4"/>
  <c r="Y256" i="23"/>
  <c r="ET98" i="4"/>
  <c r="Q244" i="7"/>
  <c r="BG244" i="4"/>
  <c r="Q244" i="4" s="1"/>
  <c r="Q244" i="1" s="1"/>
  <c r="X244" i="7"/>
  <c r="BN244" i="4"/>
  <c r="DW257" i="23"/>
  <c r="ES227" i="7"/>
  <c r="EX227" i="7" s="1"/>
  <c r="ES228" i="4"/>
  <c r="DW223" i="23"/>
  <c r="DA227" i="7"/>
  <c r="DA228" i="4"/>
  <c r="CL259" i="23"/>
  <c r="EQ180" i="4"/>
  <c r="CL187" i="23"/>
  <c r="U180" i="7"/>
  <c r="BK180" i="4"/>
  <c r="AO258" i="23"/>
  <c r="ER119" i="4"/>
  <c r="AY226" i="23"/>
  <c r="CX129" i="7"/>
  <c r="CX130" i="4"/>
  <c r="AY65" i="24"/>
  <c r="CA130" i="4"/>
  <c r="CA129" i="7"/>
  <c r="DR190" i="23"/>
  <c r="R221" i="7"/>
  <c r="BH221" i="4"/>
  <c r="CZ261" i="23"/>
  <c r="EO197" i="4"/>
  <c r="CZ265" i="23"/>
  <c r="EW197" i="7"/>
  <c r="EK197" i="4"/>
  <c r="CP192" i="23"/>
  <c r="P185" i="7"/>
  <c r="BF185" i="4"/>
  <c r="CP67" i="24"/>
  <c r="BY185" i="4"/>
  <c r="ES172" i="7"/>
  <c r="CF257" i="23"/>
  <c r="ES173" i="4"/>
  <c r="BG172" i="7"/>
  <c r="CF191" i="23"/>
  <c r="Q173" i="7"/>
  <c r="BG173" i="4"/>
  <c r="BW260" i="23"/>
  <c r="EP161" i="4"/>
  <c r="BW69" i="24"/>
  <c r="BW161" i="4"/>
  <c r="BO191" i="23"/>
  <c r="Q149" i="7"/>
  <c r="BG149" i="4"/>
  <c r="BO189" i="23"/>
  <c r="S149" i="7"/>
  <c r="BI149" i="4"/>
  <c r="BE193" i="23"/>
  <c r="BQ137" i="7"/>
  <c r="O137" i="7"/>
  <c r="BE137" i="4"/>
  <c r="BE70" i="24"/>
  <c r="BV137" i="4"/>
  <c r="AU218" i="23"/>
  <c r="DF125" i="4"/>
  <c r="AU72" i="24"/>
  <c r="BT125" i="4"/>
  <c r="AL220" i="23"/>
  <c r="DD113" i="4"/>
  <c r="AL223" i="23"/>
  <c r="DA113" i="4"/>
  <c r="AB220" i="23"/>
  <c r="DD101" i="4"/>
  <c r="AB62" i="24"/>
  <c r="CD101" i="4"/>
  <c r="G190" i="23"/>
  <c r="BH76" i="7"/>
  <c r="R77" i="7"/>
  <c r="BH77" i="4"/>
  <c r="G64" i="24"/>
  <c r="CB77" i="4"/>
  <c r="CB76" i="7"/>
  <c r="Z65" i="7"/>
  <c r="BP65" i="4"/>
  <c r="Z65" i="4" s="1"/>
  <c r="Z65" i="1" s="1"/>
  <c r="Y65" i="7"/>
  <c r="BO65" i="4"/>
  <c r="Y65" i="4" s="1"/>
  <c r="Y65" i="1" s="1"/>
  <c r="CA41" i="4"/>
  <c r="DJ227" i="23"/>
  <c r="CW208" i="4"/>
  <c r="DJ225" i="23"/>
  <c r="CY208" i="4"/>
  <c r="Q193" i="23"/>
  <c r="BQ88" i="7"/>
  <c r="BE87" i="7"/>
  <c r="O88" i="7"/>
  <c r="BE88" i="4"/>
  <c r="Q185" i="23"/>
  <c r="BM87" i="7"/>
  <c r="W88" i="7"/>
  <c r="BM88" i="4"/>
  <c r="AI193" i="23"/>
  <c r="BQ110" i="7"/>
  <c r="O110" i="7"/>
  <c r="BE110" i="4"/>
  <c r="AI69" i="24"/>
  <c r="BW110" i="4"/>
  <c r="P226" i="23"/>
  <c r="CX86" i="4"/>
  <c r="P71" i="24"/>
  <c r="BU86" i="4"/>
  <c r="CM261" i="23"/>
  <c r="EO181" i="4"/>
  <c r="CM72" i="24"/>
  <c r="BT181" i="4"/>
  <c r="BL260" i="23"/>
  <c r="EP145" i="4"/>
  <c r="BL223" i="23"/>
  <c r="DA145" i="4"/>
  <c r="AH188" i="23"/>
  <c r="T109" i="7"/>
  <c r="BJ109" i="4"/>
  <c r="AH264" i="23"/>
  <c r="EL109" i="4"/>
  <c r="O257" i="23"/>
  <c r="ES85" i="4"/>
  <c r="O224" i="23"/>
  <c r="CZ85" i="4"/>
  <c r="O65" i="24"/>
  <c r="CA85" i="4"/>
  <c r="DP226" i="23"/>
  <c r="CX216" i="4"/>
  <c r="DP224" i="23"/>
  <c r="CZ216" i="4"/>
  <c r="BA184" i="23"/>
  <c r="X132" i="7"/>
  <c r="BN132" i="4"/>
  <c r="BA62" i="24"/>
  <c r="CD132" i="4"/>
  <c r="N184" i="23"/>
  <c r="X84" i="7"/>
  <c r="BN84" i="4"/>
  <c r="N65" i="24"/>
  <c r="CA84" i="4"/>
  <c r="DG36" i="7"/>
  <c r="CU36" i="4"/>
  <c r="W36" i="7"/>
  <c r="BM36" i="4"/>
  <c r="DC241" i="7"/>
  <c r="DC242" i="4"/>
  <c r="EV241" i="7"/>
  <c r="EB254" i="23" s="1"/>
  <c r="EV242" i="4"/>
  <c r="EV241" i="4" s="1"/>
  <c r="CU259" i="23"/>
  <c r="EQ191" i="4"/>
  <c r="CU68" i="24"/>
  <c r="BX191" i="4"/>
  <c r="CA182" i="23"/>
  <c r="Z167" i="7"/>
  <c r="BP167" i="4"/>
  <c r="CA191" i="23"/>
  <c r="Q167" i="7"/>
  <c r="BG167" i="4"/>
  <c r="BJ71" i="24"/>
  <c r="BU143" i="4"/>
  <c r="V260" i="23"/>
  <c r="EP95" i="4"/>
  <c r="V72" i="24"/>
  <c r="BT95" i="4"/>
  <c r="DG7" i="7"/>
  <c r="CU7" i="4"/>
  <c r="BI262" i="23"/>
  <c r="EN142" i="4"/>
  <c r="BI66" i="24"/>
  <c r="BZ142" i="4"/>
  <c r="L188" i="23"/>
  <c r="T82" i="7"/>
  <c r="BJ82" i="4"/>
  <c r="L224" i="23"/>
  <c r="CZ82" i="4"/>
  <c r="V34" i="7"/>
  <c r="BL34" i="4"/>
  <c r="V34" i="4" s="1"/>
  <c r="V34" i="1" s="1"/>
  <c r="BT34" i="4"/>
  <c r="DU254" i="23"/>
  <c r="EV225" i="4"/>
  <c r="DN227" i="23"/>
  <c r="CW213" i="4"/>
  <c r="DN262" i="23"/>
  <c r="EN213" i="4"/>
  <c r="DD219" i="23"/>
  <c r="DE201" i="4"/>
  <c r="DD70" i="24"/>
  <c r="BV201" i="4"/>
  <c r="CS68" i="24"/>
  <c r="BX189" i="4"/>
  <c r="EJ189" i="7"/>
  <c r="DP189" i="7"/>
  <c r="DN189" i="7"/>
  <c r="DO189" i="7"/>
  <c r="DM189" i="7"/>
  <c r="DL189" i="7"/>
  <c r="DK189" i="7"/>
  <c r="DJ189" i="7"/>
  <c r="DT189" i="7"/>
  <c r="DR189" i="7"/>
  <c r="DH189" i="7" s="1"/>
  <c r="DS189" i="7"/>
  <c r="DQ189" i="7"/>
  <c r="DI189" i="7"/>
  <c r="CJ72" i="24"/>
  <c r="BT177" i="4"/>
  <c r="BY223" i="23"/>
  <c r="DA164" i="7"/>
  <c r="DA165" i="4"/>
  <c r="BR189" i="23"/>
  <c r="S153" i="7"/>
  <c r="BI153" i="4"/>
  <c r="BH261" i="23"/>
  <c r="EO141" i="4"/>
  <c r="AM191" i="23"/>
  <c r="BG116" i="7"/>
  <c r="Q117" i="7"/>
  <c r="BG117" i="4"/>
  <c r="AD192" i="23"/>
  <c r="BF104" i="7"/>
  <c r="P105" i="7"/>
  <c r="BF105" i="4"/>
  <c r="T218" i="23"/>
  <c r="DF93" i="4"/>
  <c r="K258" i="23"/>
  <c r="ER81" i="4"/>
  <c r="Z69" i="7"/>
  <c r="BP69" i="4"/>
  <c r="Z69" i="4" s="1"/>
  <c r="Z69" i="1" s="1"/>
  <c r="V33" i="7"/>
  <c r="BL33" i="4"/>
  <c r="V33" i="4" s="1"/>
  <c r="V33" i="1" s="1"/>
  <c r="BT263" i="23"/>
  <c r="EM157" i="7"/>
  <c r="EM158" i="4"/>
  <c r="BO223" i="7"/>
  <c r="DT183" i="23"/>
  <c r="Y224" i="7"/>
  <c r="BO224" i="4"/>
  <c r="DM193" i="23"/>
  <c r="BQ212" i="7"/>
  <c r="O212" i="7"/>
  <c r="BE212" i="4"/>
  <c r="DC62" i="24"/>
  <c r="CD200" i="4"/>
  <c r="ES187" i="7"/>
  <c r="CR257" i="23"/>
  <c r="ES188" i="4"/>
  <c r="CI255" i="23"/>
  <c r="EU176" i="4"/>
  <c r="BQ65" i="24"/>
  <c r="CA152" i="4"/>
  <c r="BG185" i="23"/>
  <c r="W140" i="7"/>
  <c r="BM140" i="4"/>
  <c r="AX67" i="24"/>
  <c r="BY128" i="4"/>
  <c r="S229" i="23"/>
  <c r="DG92" i="7"/>
  <c r="CU92" i="4"/>
  <c r="J221" i="23"/>
  <c r="DC80" i="4"/>
  <c r="S68" i="7"/>
  <c r="BI68" i="4"/>
  <c r="S68" i="4" s="1"/>
  <c r="S68" i="1" s="1"/>
  <c r="BP219" i="7"/>
  <c r="DQ182" i="23"/>
  <c r="Z220" i="7"/>
  <c r="BP220" i="4"/>
  <c r="BV186" i="23"/>
  <c r="V160" i="7"/>
  <c r="BL160" i="4"/>
  <c r="AA220" i="23"/>
  <c r="DD100" i="4"/>
  <c r="DD182" i="7"/>
  <c r="CN220" i="23"/>
  <c r="DD183" i="4"/>
  <c r="BU185" i="23"/>
  <c r="W159" i="7"/>
  <c r="BM159" i="4"/>
  <c r="BC193" i="23"/>
  <c r="BQ135" i="7"/>
  <c r="O135" i="7"/>
  <c r="BE135" i="4"/>
  <c r="AJ261" i="23"/>
  <c r="EO111" i="4"/>
  <c r="DG51" i="7"/>
  <c r="DG54" i="7" s="1"/>
  <c r="CU54" i="7"/>
  <c r="CU51" i="4"/>
  <c r="AR64" i="24"/>
  <c r="CB122" i="4"/>
  <c r="EL13" i="7"/>
  <c r="EL6" i="7" s="1"/>
  <c r="EL14" i="4"/>
  <c r="EL13" i="4" s="1"/>
  <c r="DX264" i="23"/>
  <c r="EL229" i="4"/>
  <c r="EO60" i="7"/>
  <c r="EO61" i="4"/>
  <c r="EO60" i="4" s="1"/>
  <c r="CV188" i="23"/>
  <c r="T192" i="7"/>
  <c r="BJ192" i="4"/>
  <c r="BK65" i="24"/>
  <c r="CA144" i="4"/>
  <c r="AG219" i="23"/>
  <c r="DE108" i="4"/>
  <c r="DF185" i="23"/>
  <c r="W203" i="7"/>
  <c r="BM203" i="4"/>
  <c r="CK68" i="24"/>
  <c r="BX179" i="4"/>
  <c r="BX178" i="7"/>
  <c r="AF260" i="23"/>
  <c r="EP107" i="4"/>
  <c r="DV185" i="23"/>
  <c r="W226" i="7"/>
  <c r="BM226" i="4"/>
  <c r="DE72" i="24"/>
  <c r="BT202" i="4"/>
  <c r="AE62" i="24"/>
  <c r="CD106" i="4"/>
  <c r="DL187" i="23"/>
  <c r="U211" i="7"/>
  <c r="BK211" i="4"/>
  <c r="DB62" i="24"/>
  <c r="CD199" i="4"/>
  <c r="CH224" i="23"/>
  <c r="CZ175" i="4"/>
  <c r="BP63" i="24"/>
  <c r="CC150" i="7"/>
  <c r="CC151" i="4"/>
  <c r="BF66" i="24"/>
  <c r="BZ139" i="4"/>
  <c r="BZ138" i="7"/>
  <c r="AW225" i="23"/>
  <c r="CY127" i="4"/>
  <c r="R187" i="23"/>
  <c r="BK90" i="7"/>
  <c r="U91" i="7"/>
  <c r="BK91" i="4"/>
  <c r="I226" i="23"/>
  <c r="CX79" i="4"/>
  <c r="R67" i="7"/>
  <c r="BH67" i="4"/>
  <c r="R67" i="4" s="1"/>
  <c r="R67" i="1" s="1"/>
  <c r="BI57" i="7"/>
  <c r="S55" i="7"/>
  <c r="S57" i="7" s="1"/>
  <c r="BI55" i="4"/>
  <c r="BG29" i="7"/>
  <c r="Q31" i="7"/>
  <c r="BG31" i="4"/>
  <c r="T19" i="7"/>
  <c r="BJ19" i="4"/>
  <c r="T19" i="4" s="1"/>
  <c r="T19" i="1" s="1"/>
  <c r="CO62" i="24"/>
  <c r="CD184" i="4"/>
  <c r="AT224" i="23"/>
  <c r="CZ124" i="4"/>
  <c r="DI228" i="23"/>
  <c r="CV207" i="4"/>
  <c r="BP146" i="7"/>
  <c r="BM182" i="23"/>
  <c r="Z147" i="7"/>
  <c r="BP147" i="4"/>
  <c r="Z262" i="23"/>
  <c r="EN99" i="4"/>
  <c r="P63" i="7"/>
  <c r="BF63" i="4"/>
  <c r="P63" i="4" s="1"/>
  <c r="P63" i="1" s="1"/>
  <c r="BK38" i="7"/>
  <c r="F187" i="23" s="1"/>
  <c r="U39" i="7"/>
  <c r="BK39" i="4"/>
  <c r="CV205" i="7"/>
  <c r="DH228" i="23"/>
  <c r="CV206" i="4"/>
  <c r="CC229" i="23"/>
  <c r="DG169" i="7"/>
  <c r="CU169" i="4"/>
  <c r="AQ191" i="23"/>
  <c r="Q121" i="7"/>
  <c r="BG121" i="4"/>
  <c r="EW243" i="7"/>
  <c r="EK243" i="4"/>
  <c r="DG264" i="23"/>
  <c r="EL204" i="4"/>
  <c r="CB256" i="23"/>
  <c r="ET168" i="4"/>
  <c r="AP225" i="23"/>
  <c r="CY120" i="4"/>
  <c r="W186" i="23"/>
  <c r="V96" i="7"/>
  <c r="BL96" i="4"/>
  <c r="DC27" i="7"/>
  <c r="DC24" i="4"/>
  <c r="DC27" i="4" s="1"/>
  <c r="DO193" i="23"/>
  <c r="BE214" i="7"/>
  <c r="BQ215" i="7"/>
  <c r="O215" i="7"/>
  <c r="BE215" i="4"/>
  <c r="AZ68" i="24"/>
  <c r="BX131" i="4"/>
  <c r="M71" i="24"/>
  <c r="BU83" i="4"/>
  <c r="CT225" i="23"/>
  <c r="CY190" i="4"/>
  <c r="BZ183" i="23"/>
  <c r="Y166" i="7"/>
  <c r="BO166" i="4"/>
  <c r="BS220" i="23"/>
  <c r="DD154" i="4"/>
  <c r="AN225" i="23"/>
  <c r="CY118" i="4"/>
  <c r="U225" i="23"/>
  <c r="CY94" i="4"/>
  <c r="DS192" i="23"/>
  <c r="P222" i="7"/>
  <c r="BF222" i="4"/>
  <c r="DK218" i="23"/>
  <c r="DF209" i="7"/>
  <c r="DF210" i="4"/>
  <c r="DA67" i="24"/>
  <c r="BY198" i="4"/>
  <c r="CQ259" i="23"/>
  <c r="EQ186" i="4"/>
  <c r="CG192" i="23"/>
  <c r="P174" i="7"/>
  <c r="BF174" i="4"/>
  <c r="BX258" i="23"/>
  <c r="ER162" i="4"/>
  <c r="AV72" i="24"/>
  <c r="BT126" i="4"/>
  <c r="AC62" i="24"/>
  <c r="CD102" i="4"/>
  <c r="H264" i="23"/>
  <c r="EL78" i="4"/>
  <c r="X66" i="7"/>
  <c r="AB66" i="7" s="1"/>
  <c r="BN66" i="4"/>
  <c r="R42" i="7"/>
  <c r="BH42" i="4"/>
  <c r="R42" i="4" s="1"/>
  <c r="R42" i="1" s="1"/>
  <c r="CE42" i="7"/>
  <c r="BS42" i="4"/>
  <c r="BY247" i="4"/>
  <c r="CY189" i="23"/>
  <c r="S196" i="7"/>
  <c r="BI196" i="4"/>
  <c r="BN185" i="23"/>
  <c r="W148" i="7"/>
  <c r="BM148" i="4"/>
  <c r="BD258" i="23"/>
  <c r="ER136" i="4"/>
  <c r="AK257" i="23"/>
  <c r="ES112" i="4"/>
  <c r="EJ40" i="7"/>
  <c r="DP40" i="7"/>
  <c r="DP40" i="4" s="1"/>
  <c r="DK40" i="7"/>
  <c r="DK40" i="4" s="1"/>
  <c r="DJ40" i="7"/>
  <c r="DJ40" i="4" s="1"/>
  <c r="DO40" i="7"/>
  <c r="DN40" i="7"/>
  <c r="DM40" i="7"/>
  <c r="DL40" i="7"/>
  <c r="DR40" i="7"/>
  <c r="DH40" i="7" s="1"/>
  <c r="DT40" i="7"/>
  <c r="DS40" i="7"/>
  <c r="DS40" i="4" s="1"/>
  <c r="DQ40" i="7"/>
  <c r="DI40" i="7"/>
  <c r="CX223" i="23"/>
  <c r="DA195" i="4"/>
  <c r="CE258" i="23"/>
  <c r="ER171" i="4"/>
  <c r="AS225" i="23"/>
  <c r="CY123" i="4"/>
  <c r="CW226" i="23"/>
  <c r="CX193" i="7"/>
  <c r="CX194" i="4"/>
  <c r="CD64" i="24"/>
  <c r="CB170" i="4"/>
  <c r="BO133" i="7"/>
  <c r="BB183" i="23"/>
  <c r="Y134" i="7"/>
  <c r="BO134" i="4"/>
  <c r="Y69" i="24"/>
  <c r="BW98" i="4"/>
  <c r="BW62" i="4"/>
  <c r="BW60" i="7"/>
  <c r="EW244" i="7"/>
  <c r="EK244" i="4"/>
  <c r="T25" i="7"/>
  <c r="BJ25" i="4"/>
  <c r="T25" i="4" s="1"/>
  <c r="T25" i="1" s="1"/>
  <c r="DW262" i="23"/>
  <c r="EN227" i="7"/>
  <c r="EN228" i="4"/>
  <c r="CL185" i="23"/>
  <c r="W180" i="7"/>
  <c r="BM180" i="4"/>
  <c r="AO188" i="23"/>
  <c r="T119" i="7"/>
  <c r="BJ119" i="4"/>
  <c r="AY222" i="23"/>
  <c r="DB129" i="7"/>
  <c r="DB130" i="4"/>
  <c r="AY64" i="24"/>
  <c r="CB129" i="7"/>
  <c r="CB130" i="4"/>
  <c r="CZ65" i="24"/>
  <c r="CA197" i="4"/>
  <c r="CP182" i="23"/>
  <c r="Z185" i="7"/>
  <c r="BP185" i="4"/>
  <c r="EV172" i="7"/>
  <c r="CF254" i="23"/>
  <c r="EV173" i="4"/>
  <c r="BW229" i="23"/>
  <c r="DG161" i="7"/>
  <c r="CU161" i="4"/>
  <c r="BO69" i="24"/>
  <c r="BW149" i="4"/>
  <c r="BE221" i="23"/>
  <c r="DC137" i="4"/>
  <c r="AU262" i="23"/>
  <c r="EN125" i="4"/>
  <c r="EJ125" i="7"/>
  <c r="DP125" i="7"/>
  <c r="DN125" i="7"/>
  <c r="DM125" i="7"/>
  <c r="DK125" i="7"/>
  <c r="DJ125" i="7"/>
  <c r="DO125" i="7"/>
  <c r="DL125" i="7"/>
  <c r="DR125" i="7"/>
  <c r="DH125" i="7" s="1"/>
  <c r="DI125" i="7"/>
  <c r="DT125" i="7"/>
  <c r="DS125" i="7"/>
  <c r="DQ125" i="7"/>
  <c r="AL263" i="23"/>
  <c r="EM113" i="4"/>
  <c r="AB223" i="23"/>
  <c r="DA101" i="4"/>
  <c r="X89" i="7"/>
  <c r="AB89" i="7" s="1"/>
  <c r="BN89" i="4"/>
  <c r="CZ76" i="7"/>
  <c r="G224" i="23"/>
  <c r="CZ77" i="4"/>
  <c r="DJ66" i="24"/>
  <c r="BZ208" i="4"/>
  <c r="AI226" i="23"/>
  <c r="CX110" i="4"/>
  <c r="P228" i="23"/>
  <c r="CV86" i="4"/>
  <c r="CM71" i="24"/>
  <c r="BU181" i="4"/>
  <c r="BL191" i="23"/>
  <c r="Q145" i="7"/>
  <c r="BG145" i="4"/>
  <c r="AH66" i="24"/>
  <c r="BZ109" i="4"/>
  <c r="O64" i="24"/>
  <c r="CB85" i="4"/>
  <c r="DP264" i="23"/>
  <c r="EL216" i="4"/>
  <c r="CE132" i="7"/>
  <c r="BA73" i="24"/>
  <c r="BS132" i="4"/>
  <c r="N183" i="23"/>
  <c r="Y84" i="7"/>
  <c r="BO84" i="4"/>
  <c r="P36" i="7"/>
  <c r="BF36" i="4"/>
  <c r="P36" i="4" s="1"/>
  <c r="P36" i="1" s="1"/>
  <c r="BP241" i="7"/>
  <c r="EB182" i="23" s="1"/>
  <c r="Z242" i="7"/>
  <c r="BP242" i="4"/>
  <c r="CU221" i="23"/>
  <c r="DC191" i="4"/>
  <c r="CA67" i="24"/>
  <c r="BY167" i="4"/>
  <c r="BJ226" i="23"/>
  <c r="CX143" i="4"/>
  <c r="V256" i="23"/>
  <c r="ET95" i="4"/>
  <c r="BI191" i="23"/>
  <c r="Q142" i="7"/>
  <c r="BG142" i="4"/>
  <c r="DU189" i="23"/>
  <c r="S225" i="7"/>
  <c r="BI225" i="4"/>
  <c r="DD69" i="24"/>
  <c r="BW201" i="4"/>
  <c r="CS192" i="23"/>
  <c r="P189" i="7"/>
  <c r="BF189" i="4"/>
  <c r="CJ254" i="23"/>
  <c r="EV177" i="4"/>
  <c r="EJ177" i="7"/>
  <c r="DP177" i="7"/>
  <c r="DM177" i="7"/>
  <c r="DJ177" i="7"/>
  <c r="DO177" i="7"/>
  <c r="DN177" i="7"/>
  <c r="DL177" i="7"/>
  <c r="DK177" i="7"/>
  <c r="DT177" i="7"/>
  <c r="DR177" i="7"/>
  <c r="DH177" i="7" s="1"/>
  <c r="DQ177" i="7"/>
  <c r="DS177" i="7"/>
  <c r="DI177" i="7"/>
  <c r="BY263" i="23"/>
  <c r="EM164" i="7"/>
  <c r="EM165" i="4"/>
  <c r="BR221" i="23"/>
  <c r="DC153" i="4"/>
  <c r="BH256" i="23"/>
  <c r="ET141" i="4"/>
  <c r="AM224" i="23"/>
  <c r="CZ116" i="7"/>
  <c r="CZ117" i="4"/>
  <c r="EU104" i="7"/>
  <c r="AD255" i="23"/>
  <c r="EU105" i="4"/>
  <c r="T226" i="23"/>
  <c r="CX93" i="4"/>
  <c r="K265" i="23"/>
  <c r="EW81" i="7"/>
  <c r="EK81" i="4"/>
  <c r="T69" i="7"/>
  <c r="BJ69" i="4"/>
  <c r="T69" i="4" s="1"/>
  <c r="T69" i="1" s="1"/>
  <c r="BT71" i="24"/>
  <c r="BU158" i="4"/>
  <c r="BU157" i="7"/>
  <c r="DT261" i="23"/>
  <c r="EO223" i="7"/>
  <c r="EO224" i="4"/>
  <c r="DM227" i="23"/>
  <c r="CW212" i="4"/>
  <c r="CE200" i="7"/>
  <c r="DC73" i="24"/>
  <c r="BS200" i="4"/>
  <c r="EL187" i="7"/>
  <c r="CR264" i="23"/>
  <c r="EL188" i="4"/>
  <c r="CI254" i="23"/>
  <c r="EV176" i="4"/>
  <c r="BQ260" i="23"/>
  <c r="EP152" i="4"/>
  <c r="BG192" i="23"/>
  <c r="P140" i="7"/>
  <c r="BF140" i="4"/>
  <c r="AX193" i="23"/>
  <c r="BQ128" i="7"/>
  <c r="O128" i="7"/>
  <c r="BE128" i="4"/>
  <c r="S192" i="23"/>
  <c r="P92" i="7"/>
  <c r="BF92" i="4"/>
  <c r="J229" i="23"/>
  <c r="DG80" i="7"/>
  <c r="CU80" i="4"/>
  <c r="P44" i="7"/>
  <c r="BF44" i="4"/>
  <c r="P44" i="4" s="1"/>
  <c r="P44" i="1" s="1"/>
  <c r="BU88" i="7"/>
  <c r="BU32" i="4"/>
  <c r="DQ222" i="23"/>
  <c r="DB219" i="7"/>
  <c r="DB220" i="4"/>
  <c r="BV62" i="24"/>
  <c r="CD160" i="4"/>
  <c r="CN66" i="24"/>
  <c r="BZ183" i="4"/>
  <c r="BZ182" i="7"/>
  <c r="BU189" i="23"/>
  <c r="S159" i="7"/>
  <c r="BI159" i="4"/>
  <c r="BC69" i="24"/>
  <c r="BW135" i="4"/>
  <c r="AJ262" i="23"/>
  <c r="EN111" i="4"/>
  <c r="EQ54" i="7"/>
  <c r="EQ51" i="4"/>
  <c r="EQ54" i="4" s="1"/>
  <c r="AR263" i="23"/>
  <c r="EM122" i="4"/>
  <c r="EN13" i="7"/>
  <c r="EN6" i="7" s="1"/>
  <c r="EN14" i="4"/>
  <c r="EN13" i="4" s="1"/>
  <c r="DX221" i="23"/>
  <c r="DC229" i="4"/>
  <c r="EN60" i="7"/>
  <c r="EN61" i="4"/>
  <c r="EN60" i="4" s="1"/>
  <c r="CV224" i="23"/>
  <c r="CZ192" i="4"/>
  <c r="BK64" i="24"/>
  <c r="CB144" i="4"/>
  <c r="AG265" i="23"/>
  <c r="EW108" i="7"/>
  <c r="EK108" i="4"/>
  <c r="DF219" i="23"/>
  <c r="DE203" i="4"/>
  <c r="CK190" i="23"/>
  <c r="BH178" i="7"/>
  <c r="R179" i="7"/>
  <c r="BH179" i="4"/>
  <c r="AF227" i="23"/>
  <c r="CW107" i="4"/>
  <c r="DV69" i="24"/>
  <c r="BW226" i="4"/>
  <c r="DE261" i="23"/>
  <c r="EO202" i="4"/>
  <c r="AE72" i="24"/>
  <c r="BT106" i="4"/>
  <c r="DL223" i="23"/>
  <c r="DA211" i="4"/>
  <c r="CH264" i="23"/>
  <c r="EL175" i="4"/>
  <c r="DU226" i="23"/>
  <c r="CX225" i="4"/>
  <c r="DU218" i="23"/>
  <c r="DF225" i="4"/>
  <c r="DU188" i="23"/>
  <c r="T225" i="7"/>
  <c r="BJ225" i="4"/>
  <c r="DU67" i="24"/>
  <c r="BY225" i="4"/>
  <c r="DN226" i="23"/>
  <c r="CX213" i="4"/>
  <c r="DN186" i="23"/>
  <c r="V213" i="7"/>
  <c r="BL213" i="4"/>
  <c r="DN259" i="23"/>
  <c r="EQ213" i="4"/>
  <c r="DN66" i="24"/>
  <c r="BZ213" i="4"/>
  <c r="DD189" i="23"/>
  <c r="S201" i="7"/>
  <c r="BI201" i="4"/>
  <c r="DD261" i="23"/>
  <c r="EO201" i="4"/>
  <c r="DD225" i="23"/>
  <c r="CY201" i="4"/>
  <c r="DD68" i="24"/>
  <c r="BX201" i="4"/>
  <c r="CS218" i="23"/>
  <c r="DF189" i="4"/>
  <c r="CS225" i="23"/>
  <c r="CY189" i="4"/>
  <c r="CS191" i="23"/>
  <c r="Q189" i="7"/>
  <c r="BG189" i="4"/>
  <c r="CS71" i="24"/>
  <c r="BU189" i="4"/>
  <c r="CJ228" i="23"/>
  <c r="CV177" i="4"/>
  <c r="CJ184" i="23"/>
  <c r="X177" i="7"/>
  <c r="BN177" i="4"/>
  <c r="CJ185" i="23"/>
  <c r="W177" i="7"/>
  <c r="BM177" i="4"/>
  <c r="CJ69" i="24"/>
  <c r="BW177" i="4"/>
  <c r="BY256" i="23"/>
  <c r="ET164" i="7"/>
  <c r="ET165" i="4"/>
  <c r="EP164" i="7"/>
  <c r="BY260" i="23"/>
  <c r="EP165" i="4"/>
  <c r="BY229" i="23"/>
  <c r="DG165" i="7"/>
  <c r="CU164" i="7"/>
  <c r="CU165" i="4"/>
  <c r="BY68" i="24"/>
  <c r="BX165" i="4"/>
  <c r="BX164" i="7"/>
  <c r="BR228" i="23"/>
  <c r="CV153" i="4"/>
  <c r="BR190" i="23"/>
  <c r="R153" i="7"/>
  <c r="BH153" i="4"/>
  <c r="BR219" i="23"/>
  <c r="DE153" i="4"/>
  <c r="BR71" i="24"/>
  <c r="BU153" i="4"/>
  <c r="EJ153" i="7"/>
  <c r="DP153" i="7"/>
  <c r="DN153" i="7"/>
  <c r="DL153" i="7"/>
  <c r="DK153" i="7"/>
  <c r="DO153" i="7"/>
  <c r="DM153" i="7"/>
  <c r="DJ153" i="7"/>
  <c r="DT153" i="7"/>
  <c r="DS153" i="7"/>
  <c r="DR153" i="7"/>
  <c r="DH153" i="7" s="1"/>
  <c r="DQ153" i="7"/>
  <c r="DI153" i="7"/>
  <c r="BH262" i="23"/>
  <c r="EN141" i="4"/>
  <c r="BH219" i="23"/>
  <c r="DE141" i="4"/>
  <c r="BH263" i="23"/>
  <c r="EM141" i="4"/>
  <c r="BH72" i="24"/>
  <c r="BT141" i="4"/>
  <c r="AM258" i="23"/>
  <c r="ER116" i="7"/>
  <c r="ER117" i="4"/>
  <c r="AM189" i="23"/>
  <c r="BI116" i="7"/>
  <c r="S117" i="7"/>
  <c r="BI117" i="4"/>
  <c r="AM223" i="23"/>
  <c r="DA116" i="7"/>
  <c r="DA117" i="4"/>
  <c r="AM62" i="24"/>
  <c r="CD116" i="7"/>
  <c r="CD117" i="4"/>
  <c r="ER104" i="7"/>
  <c r="AD258" i="23"/>
  <c r="ER105" i="4"/>
  <c r="DE104" i="7"/>
  <c r="AD219" i="23"/>
  <c r="DE105" i="4"/>
  <c r="AD264" i="23"/>
  <c r="EL104" i="7"/>
  <c r="EL105" i="4"/>
  <c r="AD62" i="24"/>
  <c r="CD104" i="7"/>
  <c r="CD105" i="4"/>
  <c r="T186" i="23"/>
  <c r="V93" i="7"/>
  <c r="BL93" i="4"/>
  <c r="T184" i="23"/>
  <c r="X93" i="7"/>
  <c r="BN93" i="4"/>
  <c r="T224" i="23"/>
  <c r="CZ93" i="4"/>
  <c r="T65" i="24"/>
  <c r="CA93" i="4"/>
  <c r="K257" i="23"/>
  <c r="ES81" i="4"/>
  <c r="K262" i="23"/>
  <c r="EN81" i="4"/>
  <c r="K259" i="23"/>
  <c r="EQ81" i="4"/>
  <c r="K63" i="24"/>
  <c r="CC81" i="4"/>
  <c r="Y45" i="7"/>
  <c r="BO45" i="4"/>
  <c r="Y45" i="4" s="1"/>
  <c r="Y45" i="1" s="1"/>
  <c r="BZ45" i="4"/>
  <c r="Z33" i="7"/>
  <c r="BP33" i="4"/>
  <c r="Z33" i="4" s="1"/>
  <c r="Z33" i="1" s="1"/>
  <c r="W33" i="7"/>
  <c r="BM33" i="4"/>
  <c r="BX33" i="4"/>
  <c r="X21" i="7"/>
  <c r="BN21" i="4"/>
  <c r="X21" i="4" s="1"/>
  <c r="X21" i="1" s="1"/>
  <c r="EV157" i="7"/>
  <c r="BT254" i="23"/>
  <c r="EV158" i="4"/>
  <c r="ER157" i="7"/>
  <c r="BT258" i="23"/>
  <c r="ER158" i="4"/>
  <c r="ES157" i="7"/>
  <c r="BT257" i="23"/>
  <c r="ES158" i="4"/>
  <c r="BT67" i="24"/>
  <c r="BY158" i="4"/>
  <c r="BY157" i="7"/>
  <c r="DT258" i="23"/>
  <c r="ER223" i="7"/>
  <c r="ER224" i="4"/>
  <c r="DT256" i="23"/>
  <c r="ET223" i="7"/>
  <c r="ET224" i="4"/>
  <c r="DT260" i="23"/>
  <c r="EP223" i="7"/>
  <c r="EP224" i="4"/>
  <c r="DT70" i="24"/>
  <c r="BV223" i="7"/>
  <c r="BV224" i="4"/>
  <c r="DM229" i="23"/>
  <c r="DG212" i="7"/>
  <c r="CU212" i="4"/>
  <c r="DM256" i="23"/>
  <c r="ET212" i="4"/>
  <c r="DM190" i="23"/>
  <c r="R212" i="7"/>
  <c r="BH212" i="4"/>
  <c r="DM71" i="24"/>
  <c r="BU212" i="4"/>
  <c r="EJ212" i="7"/>
  <c r="DP212" i="7"/>
  <c r="DO212" i="7"/>
  <c r="DN212" i="7"/>
  <c r="DM212" i="7"/>
  <c r="DL212" i="7"/>
  <c r="DK212" i="7"/>
  <c r="DJ212" i="7"/>
  <c r="DS212" i="7"/>
  <c r="DR212" i="7"/>
  <c r="DH212" i="7" s="1"/>
  <c r="DQ212" i="7"/>
  <c r="DI212" i="7"/>
  <c r="DT212" i="7"/>
  <c r="DC254" i="23"/>
  <c r="EV200" i="4"/>
  <c r="DC185" i="23"/>
  <c r="W200" i="7"/>
  <c r="BM200" i="4"/>
  <c r="DC263" i="23"/>
  <c r="EM200" i="4"/>
  <c r="DC72" i="24"/>
  <c r="BT200" i="4"/>
  <c r="CR185" i="23"/>
  <c r="BM187" i="7"/>
  <c r="W188" i="7"/>
  <c r="BM188" i="4"/>
  <c r="ET187" i="7"/>
  <c r="CR256" i="23"/>
  <c r="ET188" i="4"/>
  <c r="CR223" i="23"/>
  <c r="DA187" i="7"/>
  <c r="DA188" i="4"/>
  <c r="CR66" i="24"/>
  <c r="BZ187" i="7"/>
  <c r="BZ188" i="4"/>
  <c r="CI258" i="23"/>
  <c r="ER176" i="4"/>
  <c r="CI257" i="23"/>
  <c r="ES176" i="4"/>
  <c r="CI187" i="23"/>
  <c r="U176" i="7"/>
  <c r="BK176" i="4"/>
  <c r="CE176" i="7"/>
  <c r="CI73" i="24"/>
  <c r="BS176" i="4"/>
  <c r="BQ226" i="23"/>
  <c r="CX152" i="4"/>
  <c r="BQ185" i="23"/>
  <c r="W152" i="7"/>
  <c r="BM152" i="4"/>
  <c r="BQ224" i="23"/>
  <c r="CZ152" i="4"/>
  <c r="CE152" i="7"/>
  <c r="BQ73" i="24"/>
  <c r="BS152" i="4"/>
  <c r="BG182" i="23"/>
  <c r="Z140" i="7"/>
  <c r="BP140" i="4"/>
  <c r="BG254" i="23"/>
  <c r="EV140" i="4"/>
  <c r="BG257" i="23"/>
  <c r="ES140" i="4"/>
  <c r="CE140" i="7"/>
  <c r="BG73" i="24"/>
  <c r="BS140" i="4"/>
  <c r="AX189" i="23"/>
  <c r="S128" i="7"/>
  <c r="BI128" i="4"/>
  <c r="AX221" i="23"/>
  <c r="DC128" i="4"/>
  <c r="AX219" i="23"/>
  <c r="DE128" i="4"/>
  <c r="AX65" i="24"/>
  <c r="CA128" i="4"/>
  <c r="S182" i="23"/>
  <c r="Z92" i="7"/>
  <c r="BP92" i="4"/>
  <c r="S225" i="23"/>
  <c r="CY92" i="4"/>
  <c r="S186" i="23"/>
  <c r="V92" i="7"/>
  <c r="BL92" i="4"/>
  <c r="S65" i="24"/>
  <c r="CA92" i="4"/>
  <c r="J182" i="23"/>
  <c r="Z80" i="7"/>
  <c r="BP80" i="4"/>
  <c r="J184" i="23"/>
  <c r="X80" i="7"/>
  <c r="BN80" i="4"/>
  <c r="J185" i="23"/>
  <c r="W80" i="7"/>
  <c r="BM80" i="4"/>
  <c r="J71" i="24"/>
  <c r="BU80" i="4"/>
  <c r="BQ68" i="7"/>
  <c r="O68" i="7"/>
  <c r="BE68" i="4"/>
  <c r="U44" i="7"/>
  <c r="BK44" i="4"/>
  <c r="U44" i="4" s="1"/>
  <c r="U44" i="1" s="1"/>
  <c r="BU44" i="4"/>
  <c r="DG32" i="7"/>
  <c r="CU32" i="4"/>
  <c r="BZ88" i="7"/>
  <c r="BZ32" i="4"/>
  <c r="T20" i="7"/>
  <c r="BJ20" i="4"/>
  <c r="T20" i="4" s="1"/>
  <c r="T20" i="1" s="1"/>
  <c r="S20" i="7"/>
  <c r="BI20" i="4"/>
  <c r="S20" i="4" s="1"/>
  <c r="S20" i="1" s="1"/>
  <c r="BQ220" i="7"/>
  <c r="BE219" i="7"/>
  <c r="DQ193" i="23"/>
  <c r="O220" i="7"/>
  <c r="BE220" i="4"/>
  <c r="DQ261" i="23"/>
  <c r="EO219" i="7"/>
  <c r="EO220" i="4"/>
  <c r="DQ263" i="23"/>
  <c r="EM219" i="7"/>
  <c r="EM220" i="4"/>
  <c r="BV229" i="23"/>
  <c r="DG160" i="7"/>
  <c r="CU160" i="4"/>
  <c r="BV192" i="23"/>
  <c r="P160" i="7"/>
  <c r="BF160" i="4"/>
  <c r="BV223" i="23"/>
  <c r="DA160" i="4"/>
  <c r="BV63" i="24"/>
  <c r="CC160" i="4"/>
  <c r="AA258" i="23"/>
  <c r="ER100" i="4"/>
  <c r="AA184" i="23"/>
  <c r="X100" i="7"/>
  <c r="BN100" i="4"/>
  <c r="AA264" i="23"/>
  <c r="EL100" i="4"/>
  <c r="AA63" i="24"/>
  <c r="CC100" i="4"/>
  <c r="CY182" i="7"/>
  <c r="CN225" i="23"/>
  <c r="CY183" i="4"/>
  <c r="CN227" i="23"/>
  <c r="CW182" i="7"/>
  <c r="CW183" i="4"/>
  <c r="CN224" i="23"/>
  <c r="CZ182" i="7"/>
  <c r="CZ183" i="4"/>
  <c r="CE183" i="7"/>
  <c r="CN73" i="24"/>
  <c r="BS182" i="7"/>
  <c r="BS183" i="4"/>
  <c r="BU218" i="23"/>
  <c r="DF159" i="4"/>
  <c r="BU255" i="23"/>
  <c r="EU159" i="4"/>
  <c r="BU188" i="23"/>
  <c r="T159" i="7"/>
  <c r="BJ159" i="4"/>
  <c r="BU63" i="24"/>
  <c r="CC159" i="4"/>
  <c r="BC192" i="23"/>
  <c r="P135" i="7"/>
  <c r="BF135" i="4"/>
  <c r="BC222" i="23"/>
  <c r="DB135" i="4"/>
  <c r="BC225" i="23"/>
  <c r="CY135" i="4"/>
  <c r="BC65" i="24"/>
  <c r="CA135" i="4"/>
  <c r="AJ221" i="23"/>
  <c r="DC111" i="4"/>
  <c r="AJ229" i="23"/>
  <c r="DG111" i="7"/>
  <c r="CU111" i="4"/>
  <c r="AJ258" i="23"/>
  <c r="ER111" i="4"/>
  <c r="AJ68" i="24"/>
  <c r="BX111" i="4"/>
  <c r="EW51" i="7"/>
  <c r="EW54" i="7" s="1"/>
  <c r="EK54" i="7"/>
  <c r="EK51" i="4"/>
  <c r="BL54" i="7"/>
  <c r="V51" i="7"/>
  <c r="V54" i="7" s="1"/>
  <c r="BL51" i="4"/>
  <c r="CW54" i="7"/>
  <c r="CW51" i="4"/>
  <c r="CW54" i="4" s="1"/>
  <c r="T15" i="7"/>
  <c r="BJ15" i="4"/>
  <c r="T15" i="4" s="1"/>
  <c r="T15" i="1" s="1"/>
  <c r="AR192" i="23"/>
  <c r="P122" i="7"/>
  <c r="BF122" i="4"/>
  <c r="AR255" i="23"/>
  <c r="EU122" i="4"/>
  <c r="AR225" i="23"/>
  <c r="CY122" i="4"/>
  <c r="AR69" i="24"/>
  <c r="BW122" i="4"/>
  <c r="BE13" i="7"/>
  <c r="BE6" i="7" s="1"/>
  <c r="BQ14" i="7"/>
  <c r="O14" i="7"/>
  <c r="BE14" i="4"/>
  <c r="BG13" i="7"/>
  <c r="BG6" i="7" s="1"/>
  <c r="Q14" i="7"/>
  <c r="BG14" i="4"/>
  <c r="ES13" i="7"/>
  <c r="ES6" i="7" s="1"/>
  <c r="ES14" i="4"/>
  <c r="ES13" i="4" s="1"/>
  <c r="DX226" i="23"/>
  <c r="CX229" i="4"/>
  <c r="DX220" i="23"/>
  <c r="DD229" i="4"/>
  <c r="DX263" i="23"/>
  <c r="EM229" i="4"/>
  <c r="DX62" i="24"/>
  <c r="CD229" i="4"/>
  <c r="CY60" i="7"/>
  <c r="CY61" i="4"/>
  <c r="CY60" i="4" s="1"/>
  <c r="ES60" i="7"/>
  <c r="ES61" i="4"/>
  <c r="DA60" i="7"/>
  <c r="DA61" i="4"/>
  <c r="DA60" i="4" s="1"/>
  <c r="CV221" i="23"/>
  <c r="DC192" i="4"/>
  <c r="CV225" i="23"/>
  <c r="CY192" i="4"/>
  <c r="CV187" i="23"/>
  <c r="U192" i="7"/>
  <c r="BK192" i="4"/>
  <c r="CV62" i="24"/>
  <c r="CD192" i="4"/>
  <c r="BK256" i="23"/>
  <c r="ET144" i="4"/>
  <c r="BK262" i="23"/>
  <c r="EN144" i="4"/>
  <c r="BK224" i="23"/>
  <c r="CZ144" i="4"/>
  <c r="BK62" i="24"/>
  <c r="CD144" i="4"/>
  <c r="AG190" i="23"/>
  <c r="R108" i="7"/>
  <c r="BH108" i="4"/>
  <c r="AG227" i="23"/>
  <c r="CW108" i="4"/>
  <c r="AG261" i="23"/>
  <c r="EO108" i="4"/>
  <c r="AG73" i="24"/>
  <c r="CE108" i="7"/>
  <c r="BS108" i="4"/>
  <c r="DF228" i="23"/>
  <c r="CV203" i="4"/>
  <c r="DF186" i="23"/>
  <c r="V203" i="7"/>
  <c r="BL203" i="4"/>
  <c r="DF188" i="23"/>
  <c r="T203" i="7"/>
  <c r="BJ203" i="4"/>
  <c r="DF65" i="24"/>
  <c r="CA203" i="4"/>
  <c r="BF178" i="7"/>
  <c r="CK192" i="23"/>
  <c r="P179" i="7"/>
  <c r="BF179" i="4"/>
  <c r="CK262" i="23"/>
  <c r="EN178" i="7"/>
  <c r="EN179" i="4"/>
  <c r="ES178" i="7"/>
  <c r="CK257" i="23"/>
  <c r="ES179" i="4"/>
  <c r="CK66" i="24"/>
  <c r="BZ179" i="4"/>
  <c r="BZ178" i="7"/>
  <c r="AF182" i="23"/>
  <c r="Z107" i="7"/>
  <c r="BP107" i="4"/>
  <c r="AF188" i="23"/>
  <c r="T107" i="7"/>
  <c r="BJ107" i="4"/>
  <c r="AF221" i="23"/>
  <c r="DC107" i="4"/>
  <c r="AF68" i="24"/>
  <c r="BX107" i="4"/>
  <c r="DV186" i="23"/>
  <c r="V226" i="7"/>
  <c r="BL226" i="4"/>
  <c r="DV260" i="23"/>
  <c r="EP226" i="4"/>
  <c r="DV191" i="23"/>
  <c r="Q226" i="7"/>
  <c r="BG226" i="4"/>
  <c r="DV72" i="24"/>
  <c r="BT226" i="4"/>
  <c r="DE185" i="23"/>
  <c r="W202" i="7"/>
  <c r="BM202" i="4"/>
  <c r="DE228" i="23"/>
  <c r="CV202" i="4"/>
  <c r="DE193" i="23"/>
  <c r="BQ202" i="7"/>
  <c r="O202" i="7"/>
  <c r="BE202" i="4"/>
  <c r="DE71" i="24"/>
  <c r="BU202" i="4"/>
  <c r="AE219" i="23"/>
  <c r="DE106" i="4"/>
  <c r="AE186" i="23"/>
  <c r="V106" i="7"/>
  <c r="BL106" i="4"/>
  <c r="AE229" i="23"/>
  <c r="DG106" i="7"/>
  <c r="CU106" i="4"/>
  <c r="AE70" i="24"/>
  <c r="BV106" i="4"/>
  <c r="DL218" i="23"/>
  <c r="DF211" i="4"/>
  <c r="DL260" i="23"/>
  <c r="EP211" i="4"/>
  <c r="DL190" i="23"/>
  <c r="R211" i="7"/>
  <c r="BH211" i="4"/>
  <c r="DL67" i="24"/>
  <c r="BY211" i="4"/>
  <c r="EJ211" i="7"/>
  <c r="DP211" i="7"/>
  <c r="DO211" i="7"/>
  <c r="DN211" i="7"/>
  <c r="DM211" i="7"/>
  <c r="DL211" i="7"/>
  <c r="DK211" i="7"/>
  <c r="DJ211" i="7"/>
  <c r="DS211" i="7"/>
  <c r="DT211" i="7"/>
  <c r="DR211" i="7"/>
  <c r="DH211" i="7" s="1"/>
  <c r="DQ211" i="7"/>
  <c r="DI211" i="7"/>
  <c r="DB265" i="23"/>
  <c r="EW199" i="7"/>
  <c r="EK199" i="4"/>
  <c r="DB255" i="23"/>
  <c r="EU199" i="4"/>
  <c r="DB263" i="23"/>
  <c r="EM199" i="4"/>
  <c r="DB72" i="24"/>
  <c r="BT199" i="4"/>
  <c r="CH192" i="23"/>
  <c r="P175" i="7"/>
  <c r="BF175" i="4"/>
  <c r="CH229" i="23"/>
  <c r="DG175" i="7"/>
  <c r="CU175" i="4"/>
  <c r="CH223" i="23"/>
  <c r="DA175" i="4"/>
  <c r="CH62" i="24"/>
  <c r="CD175" i="4"/>
  <c r="EP150" i="7"/>
  <c r="BP260" i="23"/>
  <c r="EP151" i="4"/>
  <c r="BI150" i="7"/>
  <c r="BP189" i="23"/>
  <c r="S151" i="7"/>
  <c r="BI151" i="4"/>
  <c r="BP264" i="23"/>
  <c r="EL150" i="7"/>
  <c r="EL151" i="4"/>
  <c r="BP65" i="24"/>
  <c r="CA151" i="4"/>
  <c r="CA150" i="7"/>
  <c r="EV138" i="7"/>
  <c r="BF254" i="23"/>
  <c r="EV139" i="4"/>
  <c r="EN138" i="7"/>
  <c r="BF262" i="23"/>
  <c r="EN139" i="4"/>
  <c r="CZ138" i="7"/>
  <c r="BF224" i="23"/>
  <c r="CZ139" i="4"/>
  <c r="CE139" i="7"/>
  <c r="BF73" i="24"/>
  <c r="BS139" i="4"/>
  <c r="BS138" i="7"/>
  <c r="AW190" i="23"/>
  <c r="R127" i="7"/>
  <c r="BH127" i="4"/>
  <c r="AW184" i="23"/>
  <c r="X127" i="7"/>
  <c r="BN127" i="4"/>
  <c r="AW221" i="23"/>
  <c r="DC127" i="4"/>
  <c r="AW65" i="24"/>
  <c r="CA127" i="4"/>
  <c r="DD90" i="7"/>
  <c r="R220" i="23"/>
  <c r="DD91" i="4"/>
  <c r="CX90" i="7"/>
  <c r="R226" i="23"/>
  <c r="CX91" i="4"/>
  <c r="R225" i="23"/>
  <c r="CY90" i="7"/>
  <c r="CY91" i="4"/>
  <c r="R63" i="24"/>
  <c r="CC91" i="4"/>
  <c r="CC90" i="7"/>
  <c r="I218" i="23"/>
  <c r="DF79" i="4"/>
  <c r="I186" i="23"/>
  <c r="V79" i="7"/>
  <c r="BL79" i="4"/>
  <c r="I183" i="23"/>
  <c r="Y79" i="7"/>
  <c r="BO79" i="4"/>
  <c r="I66" i="24"/>
  <c r="BZ79" i="4"/>
  <c r="EN57" i="7"/>
  <c r="EN55" i="4"/>
  <c r="EN57" i="4" s="1"/>
  <c r="EQ57" i="7"/>
  <c r="EQ58" i="7" s="1"/>
  <c r="EQ55" i="4"/>
  <c r="EQ57" i="4" s="1"/>
  <c r="BL57" i="7"/>
  <c r="V55" i="7"/>
  <c r="V57" i="7" s="1"/>
  <c r="BL55" i="4"/>
  <c r="BQ31" i="7"/>
  <c r="BE29" i="7"/>
  <c r="O31" i="7"/>
  <c r="BE31" i="4"/>
  <c r="DG31" i="7"/>
  <c r="CU29" i="7"/>
  <c r="CU31" i="4"/>
  <c r="ER29" i="7"/>
  <c r="ER31" i="4"/>
  <c r="ER29" i="4" s="1"/>
  <c r="BY31" i="4"/>
  <c r="BY29" i="7"/>
  <c r="U19" i="7"/>
  <c r="BK19" i="4"/>
  <c r="U19" i="4" s="1"/>
  <c r="U19" i="1" s="1"/>
  <c r="CO229" i="23"/>
  <c r="DG184" i="7"/>
  <c r="CU184" i="4"/>
  <c r="CO257" i="23"/>
  <c r="ES184" i="4"/>
  <c r="CO191" i="23"/>
  <c r="Q184" i="7"/>
  <c r="BG184" i="4"/>
  <c r="CO70" i="24"/>
  <c r="BV184" i="4"/>
  <c r="EJ184" i="7"/>
  <c r="DP184" i="7"/>
  <c r="DN184" i="7"/>
  <c r="DM184" i="7"/>
  <c r="DO184" i="7"/>
  <c r="DL184" i="7"/>
  <c r="DK184" i="7"/>
  <c r="DJ184" i="7"/>
  <c r="DS184" i="7"/>
  <c r="DI184" i="7"/>
  <c r="DT184" i="7"/>
  <c r="DR184" i="7"/>
  <c r="DH184" i="7" s="1"/>
  <c r="DQ184" i="7"/>
  <c r="AT220" i="23"/>
  <c r="DD124" i="4"/>
  <c r="AT222" i="23"/>
  <c r="DB124" i="4"/>
  <c r="AT263" i="23"/>
  <c r="EM124" i="4"/>
  <c r="AT72" i="24"/>
  <c r="BT124" i="4"/>
  <c r="DI218" i="23"/>
  <c r="DF207" i="4"/>
  <c r="DI186" i="23"/>
  <c r="V207" i="7"/>
  <c r="BL207" i="4"/>
  <c r="DI223" i="23"/>
  <c r="DA207" i="4"/>
  <c r="DI62" i="24"/>
  <c r="CD207" i="4"/>
  <c r="DE146" i="7"/>
  <c r="BM219" i="23"/>
  <c r="DE147" i="4"/>
  <c r="ER146" i="7"/>
  <c r="BM258" i="23"/>
  <c r="ER147" i="4"/>
  <c r="EL146" i="7"/>
  <c r="BM264" i="23"/>
  <c r="EL147" i="4"/>
  <c r="BM64" i="24"/>
  <c r="CB147" i="4"/>
  <c r="CB146" i="7"/>
  <c r="Z225" i="23"/>
  <c r="CY99" i="4"/>
  <c r="Z190" i="23"/>
  <c r="R99" i="7"/>
  <c r="BH99" i="4"/>
  <c r="Z224" i="23"/>
  <c r="CZ99" i="4"/>
  <c r="Z62" i="24"/>
  <c r="CD99" i="4"/>
  <c r="Z63" i="7"/>
  <c r="BP63" i="4"/>
  <c r="Z63" i="4" s="1"/>
  <c r="Z63" i="1" s="1"/>
  <c r="X63" i="7"/>
  <c r="BN63" i="4"/>
  <c r="EV38" i="7"/>
  <c r="F254" i="23" s="1"/>
  <c r="EV39" i="4"/>
  <c r="EV38" i="4" s="1"/>
  <c r="ES38" i="7"/>
  <c r="ES39" i="4"/>
  <c r="CY38" i="7"/>
  <c r="F225" i="23" s="1"/>
  <c r="CY39" i="4"/>
  <c r="CY38" i="4" s="1"/>
  <c r="CA39" i="4"/>
  <c r="CA38" i="7"/>
  <c r="F65" i="24" s="1"/>
  <c r="BY245" i="4"/>
  <c r="DH226" i="23"/>
  <c r="CX205" i="7"/>
  <c r="CX206" i="4"/>
  <c r="DH190" i="23"/>
  <c r="BH205" i="7"/>
  <c r="R206" i="7"/>
  <c r="BH206" i="4"/>
  <c r="DH229" i="23"/>
  <c r="DG206" i="7"/>
  <c r="CU205" i="7"/>
  <c r="CU206" i="4"/>
  <c r="DH70" i="24"/>
  <c r="BV206" i="4"/>
  <c r="BV205" i="7"/>
  <c r="CC260" i="23"/>
  <c r="EP169" i="4"/>
  <c r="CC219" i="23"/>
  <c r="DE169" i="4"/>
  <c r="CC220" i="23"/>
  <c r="DD169" i="4"/>
  <c r="CC67" i="24"/>
  <c r="BY169" i="4"/>
  <c r="AQ219" i="23"/>
  <c r="DE121" i="4"/>
  <c r="AQ259" i="23"/>
  <c r="EQ121" i="4"/>
  <c r="AQ188" i="23"/>
  <c r="T121" i="7"/>
  <c r="BJ121" i="4"/>
  <c r="AQ69" i="24"/>
  <c r="BW121" i="4"/>
  <c r="X192" i="23"/>
  <c r="P97" i="7"/>
  <c r="BF97" i="4"/>
  <c r="X258" i="23"/>
  <c r="ER97" i="4"/>
  <c r="X186" i="23"/>
  <c r="V97" i="7"/>
  <c r="BL97" i="4"/>
  <c r="X70" i="24"/>
  <c r="BV97" i="4"/>
  <c r="BQ243" i="7"/>
  <c r="O243" i="7"/>
  <c r="BE243" i="4"/>
  <c r="X243" i="7"/>
  <c r="BN243" i="4"/>
  <c r="CE243" i="7"/>
  <c r="BS243" i="4"/>
  <c r="EJ243" i="7"/>
  <c r="DN243" i="7"/>
  <c r="DM243" i="7"/>
  <c r="DM243" i="4" s="1"/>
  <c r="DL243" i="7"/>
  <c r="DK243" i="7"/>
  <c r="DJ243" i="7"/>
  <c r="DJ243" i="4" s="1"/>
  <c r="DI243" i="7"/>
  <c r="DT243" i="7"/>
  <c r="DT243" i="4" s="1"/>
  <c r="DR243" i="7"/>
  <c r="DR243" i="4" s="1"/>
  <c r="DO243" i="7"/>
  <c r="DO243" i="4" s="1"/>
  <c r="DS243" i="7"/>
  <c r="DS243" i="4" s="1"/>
  <c r="DQ243" i="7"/>
  <c r="DP243" i="7"/>
  <c r="DG255" i="23"/>
  <c r="EU204" i="4"/>
  <c r="DG191" i="23"/>
  <c r="Q204" i="7"/>
  <c r="BG204" i="4"/>
  <c r="DG263" i="23"/>
  <c r="EM204" i="4"/>
  <c r="DG72" i="24"/>
  <c r="BT204" i="4"/>
  <c r="CB260" i="23"/>
  <c r="EP168" i="4"/>
  <c r="CB258" i="23"/>
  <c r="ER168" i="4"/>
  <c r="CB223" i="23"/>
  <c r="DA168" i="4"/>
  <c r="CB63" i="24"/>
  <c r="CC168" i="4"/>
  <c r="AP219" i="23"/>
  <c r="DE120" i="4"/>
  <c r="AP261" i="23"/>
  <c r="EO120" i="4"/>
  <c r="AP264" i="23"/>
  <c r="EL120" i="4"/>
  <c r="AP65" i="24"/>
  <c r="CA120" i="4"/>
  <c r="W191" i="23"/>
  <c r="Q96" i="7"/>
  <c r="BG96" i="4"/>
  <c r="W184" i="23"/>
  <c r="X96" i="7"/>
  <c r="BN96" i="4"/>
  <c r="W224" i="23"/>
  <c r="CZ96" i="4"/>
  <c r="W64" i="24"/>
  <c r="CB96" i="4"/>
  <c r="BG27" i="7"/>
  <c r="Q24" i="7"/>
  <c r="BG24" i="4"/>
  <c r="EK27" i="7"/>
  <c r="EW24" i="7"/>
  <c r="EK24" i="4"/>
  <c r="EO27" i="7"/>
  <c r="EO24" i="4"/>
  <c r="EO27" i="4" s="1"/>
  <c r="DO190" i="23"/>
  <c r="BH214" i="7"/>
  <c r="R215" i="7"/>
  <c r="BH215" i="4"/>
  <c r="DO182" i="23"/>
  <c r="BP214" i="7"/>
  <c r="Z215" i="7"/>
  <c r="BP215" i="4"/>
  <c r="DO188" i="23"/>
  <c r="BJ214" i="7"/>
  <c r="T215" i="7"/>
  <c r="BJ215" i="4"/>
  <c r="DO65" i="24"/>
  <c r="CA215" i="4"/>
  <c r="CA214" i="7"/>
  <c r="AZ193" i="23"/>
  <c r="BQ131" i="7"/>
  <c r="O131" i="7"/>
  <c r="BE131" i="4"/>
  <c r="AZ254" i="23"/>
  <c r="EV131" i="4"/>
  <c r="AZ183" i="23"/>
  <c r="Y131" i="7"/>
  <c r="BO131" i="4"/>
  <c r="AZ66" i="24"/>
  <c r="BZ131" i="4"/>
  <c r="M193" i="23"/>
  <c r="BQ83" i="7"/>
  <c r="O83" i="7"/>
  <c r="BE83" i="4"/>
  <c r="M258" i="23"/>
  <c r="ER83" i="4"/>
  <c r="M227" i="23"/>
  <c r="CW83" i="4"/>
  <c r="M67" i="24"/>
  <c r="BY83" i="4"/>
  <c r="CT184" i="23"/>
  <c r="X190" i="7"/>
  <c r="BN190" i="4"/>
  <c r="CT258" i="23"/>
  <c r="ER190" i="4"/>
  <c r="CT221" i="23"/>
  <c r="DC190" i="4"/>
  <c r="CT69" i="24"/>
  <c r="BW190" i="4"/>
  <c r="BZ221" i="23"/>
  <c r="DC166" i="4"/>
  <c r="BZ259" i="23"/>
  <c r="EQ166" i="4"/>
  <c r="BZ228" i="23"/>
  <c r="CV166" i="4"/>
  <c r="BZ68" i="24"/>
  <c r="BX166" i="4"/>
  <c r="BS256" i="23"/>
  <c r="ET154" i="4"/>
  <c r="BS261" i="23"/>
  <c r="EO154" i="4"/>
  <c r="BS183" i="23"/>
  <c r="Y154" i="7"/>
  <c r="BO154" i="4"/>
  <c r="BS68" i="24"/>
  <c r="BX154" i="4"/>
  <c r="EJ154" i="7"/>
  <c r="DP154" i="7"/>
  <c r="DN154" i="7"/>
  <c r="DM154" i="7"/>
  <c r="DJ154" i="7"/>
  <c r="DO154" i="7"/>
  <c r="DL154" i="7"/>
  <c r="DK154" i="7"/>
  <c r="DR154" i="7"/>
  <c r="DH154" i="7" s="1"/>
  <c r="DI154" i="7"/>
  <c r="DT154" i="7"/>
  <c r="DS154" i="7"/>
  <c r="DQ154" i="7"/>
  <c r="AN220" i="23"/>
  <c r="DD118" i="4"/>
  <c r="AN184" i="23"/>
  <c r="X118" i="7"/>
  <c r="BN118" i="4"/>
  <c r="AN263" i="23"/>
  <c r="EM118" i="4"/>
  <c r="AN72" i="24"/>
  <c r="BT118" i="4"/>
  <c r="U254" i="23"/>
  <c r="EV94" i="4"/>
  <c r="U257" i="23"/>
  <c r="ES94" i="4"/>
  <c r="U223" i="23"/>
  <c r="DA94" i="4"/>
  <c r="U64" i="24"/>
  <c r="CB94" i="4"/>
  <c r="BZ46" i="4"/>
  <c r="DS225" i="23"/>
  <c r="CY222" i="4"/>
  <c r="DS184" i="23"/>
  <c r="X222" i="7"/>
  <c r="AB222" i="7" s="1"/>
  <c r="BN222" i="4"/>
  <c r="DS264" i="23"/>
  <c r="EL222" i="4"/>
  <c r="BP209" i="7"/>
  <c r="DK182" i="23"/>
  <c r="Z210" i="7"/>
  <c r="BP210" i="4"/>
  <c r="CY209" i="7"/>
  <c r="DK225" i="23"/>
  <c r="CY210" i="4"/>
  <c r="DK224" i="23"/>
  <c r="CZ209" i="7"/>
  <c r="CZ210" i="4"/>
  <c r="DK64" i="24"/>
  <c r="CB210" i="4"/>
  <c r="CB209" i="7"/>
  <c r="DA226" i="23"/>
  <c r="CX198" i="4"/>
  <c r="DA218" i="23"/>
  <c r="DF198" i="4"/>
  <c r="DA188" i="23"/>
  <c r="T198" i="7"/>
  <c r="BJ198" i="4"/>
  <c r="DA65" i="24"/>
  <c r="CA198" i="4"/>
  <c r="CQ256" i="23"/>
  <c r="ET186" i="4"/>
  <c r="CQ260" i="23"/>
  <c r="EP186" i="4"/>
  <c r="CQ257" i="23"/>
  <c r="ES186" i="4"/>
  <c r="CQ66" i="24"/>
  <c r="BZ186" i="4"/>
  <c r="CG184" i="23"/>
  <c r="X174" i="7"/>
  <c r="BN174" i="4"/>
  <c r="CG191" i="23"/>
  <c r="Q174" i="7"/>
  <c r="BG174" i="4"/>
  <c r="CG189" i="23"/>
  <c r="S174" i="7"/>
  <c r="BI174" i="4"/>
  <c r="CG69" i="24"/>
  <c r="BW174" i="4"/>
  <c r="BX227" i="23"/>
  <c r="CW162" i="4"/>
  <c r="BX222" i="23"/>
  <c r="DB162" i="4"/>
  <c r="BX183" i="23"/>
  <c r="Y162" i="7"/>
  <c r="BO162" i="4"/>
  <c r="BX70" i="24"/>
  <c r="BV162" i="4"/>
  <c r="AV192" i="23"/>
  <c r="P126" i="7"/>
  <c r="BF126" i="4"/>
  <c r="AV186" i="23"/>
  <c r="V126" i="7"/>
  <c r="BL126" i="4"/>
  <c r="AV229" i="23"/>
  <c r="DG126" i="7"/>
  <c r="CU126" i="4"/>
  <c r="AV67" i="24"/>
  <c r="BY126" i="4"/>
  <c r="AC193" i="23"/>
  <c r="BQ102" i="7"/>
  <c r="O102" i="7"/>
  <c r="BE102" i="4"/>
  <c r="AC221" i="23"/>
  <c r="DC102" i="4"/>
  <c r="AC262" i="23"/>
  <c r="EN102" i="4"/>
  <c r="AC67" i="24"/>
  <c r="BY102" i="4"/>
  <c r="H220" i="23"/>
  <c r="DD78" i="4"/>
  <c r="H228" i="23"/>
  <c r="CV78" i="4"/>
  <c r="H254" i="23"/>
  <c r="EV78" i="4"/>
  <c r="H71" i="24"/>
  <c r="BU78" i="4"/>
  <c r="EJ78" i="7"/>
  <c r="DP78" i="7"/>
  <c r="DN78" i="7"/>
  <c r="DM78" i="7"/>
  <c r="DL78" i="7"/>
  <c r="DO78" i="7"/>
  <c r="DK78" i="7"/>
  <c r="DJ78" i="7"/>
  <c r="DS78" i="7"/>
  <c r="DR78" i="7"/>
  <c r="DH78" i="7" s="1"/>
  <c r="DQ78" i="7"/>
  <c r="DI78" i="7"/>
  <c r="DT78" i="7"/>
  <c r="DG66" i="7"/>
  <c r="CU66" i="4"/>
  <c r="CC42" i="4"/>
  <c r="CB30" i="4"/>
  <c r="BX247" i="4"/>
  <c r="CY182" i="23"/>
  <c r="Z196" i="7"/>
  <c r="BP196" i="4"/>
  <c r="CY190" i="23"/>
  <c r="R196" i="7"/>
  <c r="BH196" i="4"/>
  <c r="CY224" i="23"/>
  <c r="CZ196" i="4"/>
  <c r="CY64" i="24"/>
  <c r="CB196" i="4"/>
  <c r="BN220" i="23"/>
  <c r="DD148" i="4"/>
  <c r="BN256" i="23"/>
  <c r="ET148" i="4"/>
  <c r="BN225" i="23"/>
  <c r="CY148" i="4"/>
  <c r="BN64" i="24"/>
  <c r="CB148" i="4"/>
  <c r="BD218" i="23"/>
  <c r="DF136" i="4"/>
  <c r="BD256" i="23"/>
  <c r="ET136" i="4"/>
  <c r="BD183" i="23"/>
  <c r="Y136" i="7"/>
  <c r="BO136" i="4"/>
  <c r="BD66" i="24"/>
  <c r="BZ136" i="4"/>
  <c r="AK182" i="23"/>
  <c r="Z112" i="7"/>
  <c r="BP112" i="4"/>
  <c r="AK222" i="23"/>
  <c r="DB112" i="4"/>
  <c r="AK225" i="23"/>
  <c r="CY112" i="4"/>
  <c r="AK69" i="24"/>
  <c r="BW112" i="4"/>
  <c r="Z40" i="7"/>
  <c r="BP40" i="4"/>
  <c r="Z40" i="4" s="1"/>
  <c r="Z40" i="1" s="1"/>
  <c r="V40" i="7"/>
  <c r="BL40" i="4"/>
  <c r="V40" i="4" s="1"/>
  <c r="V40" i="1" s="1"/>
  <c r="BU40" i="4"/>
  <c r="V246" i="7"/>
  <c r="BL246" i="4"/>
  <c r="V246" i="4" s="1"/>
  <c r="V246" i="1" s="1"/>
  <c r="Q246" i="7"/>
  <c r="BG246" i="4"/>
  <c r="Q246" i="4" s="1"/>
  <c r="Q246" i="1" s="1"/>
  <c r="BW246" i="4"/>
  <c r="CX221" i="23"/>
  <c r="DC195" i="4"/>
  <c r="CX182" i="23"/>
  <c r="Z195" i="7"/>
  <c r="BP195" i="4"/>
  <c r="CX183" i="23"/>
  <c r="Y195" i="7"/>
  <c r="BO195" i="4"/>
  <c r="CX68" i="24"/>
  <c r="BX195" i="4"/>
  <c r="CE255" i="23"/>
  <c r="EU171" i="4"/>
  <c r="CE186" i="23"/>
  <c r="V171" i="7"/>
  <c r="BL171" i="4"/>
  <c r="CE261" i="23"/>
  <c r="EO171" i="4"/>
  <c r="CE70" i="24"/>
  <c r="BV171" i="4"/>
  <c r="EJ171" i="7"/>
  <c r="DP171" i="7"/>
  <c r="DN171" i="7"/>
  <c r="DM171" i="7"/>
  <c r="DO171" i="7"/>
  <c r="DL171" i="7"/>
  <c r="DK171" i="7"/>
  <c r="DJ171" i="7"/>
  <c r="DR171" i="7"/>
  <c r="DH171" i="7" s="1"/>
  <c r="DI171" i="7"/>
  <c r="DT171" i="7"/>
  <c r="DS171" i="7"/>
  <c r="DQ171" i="7"/>
  <c r="AS221" i="23"/>
  <c r="DC123" i="4"/>
  <c r="AS218" i="23"/>
  <c r="DF123" i="4"/>
  <c r="AS263" i="23"/>
  <c r="EM123" i="4"/>
  <c r="AS72" i="24"/>
  <c r="BT123" i="4"/>
  <c r="BN193" i="7"/>
  <c r="CW184" i="23"/>
  <c r="X194" i="7"/>
  <c r="BN194" i="4"/>
  <c r="CW258" i="23"/>
  <c r="ER193" i="7"/>
  <c r="ER194" i="4"/>
  <c r="CW223" i="23"/>
  <c r="DA193" i="7"/>
  <c r="DA194" i="4"/>
  <c r="CW63" i="24"/>
  <c r="CC194" i="4"/>
  <c r="CC193" i="7"/>
  <c r="CD222" i="23"/>
  <c r="DB170" i="4"/>
  <c r="CD225" i="23"/>
  <c r="CY170" i="4"/>
  <c r="CD187" i="23"/>
  <c r="U170" i="7"/>
  <c r="BK170" i="4"/>
  <c r="CD66" i="24"/>
  <c r="BZ170" i="4"/>
  <c r="BB188" i="23"/>
  <c r="BJ133" i="7"/>
  <c r="T134" i="7"/>
  <c r="BJ134" i="4"/>
  <c r="BN133" i="7"/>
  <c r="BR133" i="7" s="1"/>
  <c r="BB184" i="23"/>
  <c r="X134" i="7"/>
  <c r="BN134" i="4"/>
  <c r="BB224" i="23"/>
  <c r="CZ133" i="7"/>
  <c r="CZ134" i="4"/>
  <c r="CE134" i="7"/>
  <c r="BB73" i="24"/>
  <c r="BS134" i="4"/>
  <c r="BS133" i="7"/>
  <c r="Y189" i="23"/>
  <c r="S98" i="7"/>
  <c r="BI98" i="4"/>
  <c r="Y227" i="23"/>
  <c r="CW98" i="4"/>
  <c r="Y221" i="23"/>
  <c r="DC98" i="4"/>
  <c r="Y73" i="24"/>
  <c r="CE98" i="7"/>
  <c r="BS98" i="4"/>
  <c r="W62" i="7"/>
  <c r="BM62" i="4"/>
  <c r="DG62" i="7"/>
  <c r="CU62" i="4"/>
  <c r="CA62" i="4"/>
  <c r="CA60" i="7"/>
  <c r="Y26" i="7"/>
  <c r="BO26" i="4"/>
  <c r="Y26" i="4" s="1"/>
  <c r="Y26" i="1" s="1"/>
  <c r="P244" i="7"/>
  <c r="BF244" i="4"/>
  <c r="P244" i="4" s="1"/>
  <c r="P244" i="1" s="1"/>
  <c r="Z244" i="7"/>
  <c r="BP244" i="4"/>
  <c r="Z244" i="4" s="1"/>
  <c r="Z244" i="1" s="1"/>
  <c r="BT244" i="4"/>
  <c r="P25" i="7"/>
  <c r="BF25" i="4"/>
  <c r="P25" i="4" s="1"/>
  <c r="P25" i="1" s="1"/>
  <c r="DW265" i="23"/>
  <c r="EK227" i="7"/>
  <c r="EW228" i="7"/>
  <c r="EK228" i="4"/>
  <c r="DW260" i="23"/>
  <c r="EP227" i="7"/>
  <c r="EP228" i="4"/>
  <c r="DW256" i="23"/>
  <c r="ET227" i="7"/>
  <c r="ET228" i="4"/>
  <c r="DW71" i="24"/>
  <c r="BU228" i="4"/>
  <c r="BU227" i="7"/>
  <c r="CL189" i="23"/>
  <c r="S180" i="7"/>
  <c r="BI180" i="4"/>
  <c r="CL261" i="23"/>
  <c r="EO180" i="4"/>
  <c r="CL227" i="23"/>
  <c r="CW180" i="4"/>
  <c r="CL68" i="24"/>
  <c r="BX180" i="4"/>
  <c r="AO256" i="23"/>
  <c r="ET119" i="4"/>
  <c r="AO191" i="23"/>
  <c r="Q119" i="7"/>
  <c r="BG119" i="4"/>
  <c r="AO219" i="23"/>
  <c r="DE119" i="4"/>
  <c r="AO70" i="24"/>
  <c r="BV119" i="4"/>
  <c r="EJ119" i="7"/>
  <c r="DP119" i="7"/>
  <c r="DN119" i="7"/>
  <c r="DM119" i="7"/>
  <c r="DK119" i="7"/>
  <c r="DO119" i="7"/>
  <c r="DL119" i="7"/>
  <c r="DJ119" i="7"/>
  <c r="DT119" i="7"/>
  <c r="DS119" i="7"/>
  <c r="DR119" i="7"/>
  <c r="DH119" i="7" s="1"/>
  <c r="DQ119" i="7"/>
  <c r="DI119" i="7"/>
  <c r="AY190" i="23"/>
  <c r="BH129" i="7"/>
  <c r="R130" i="7"/>
  <c r="BH130" i="4"/>
  <c r="ET129" i="7"/>
  <c r="AY256" i="23"/>
  <c r="ET130" i="4"/>
  <c r="EM129" i="7"/>
  <c r="AY263" i="23"/>
  <c r="EM130" i="4"/>
  <c r="AY72" i="24"/>
  <c r="BT129" i="7"/>
  <c r="BT130" i="4"/>
  <c r="DR191" i="23"/>
  <c r="Q221" i="7"/>
  <c r="BG221" i="4"/>
  <c r="DR193" i="23"/>
  <c r="BQ221" i="7"/>
  <c r="O221" i="7"/>
  <c r="BE221" i="4"/>
  <c r="DR223" i="23"/>
  <c r="DA221" i="4"/>
  <c r="CZ228" i="23"/>
  <c r="CV197" i="4"/>
  <c r="CZ259" i="23"/>
  <c r="EQ197" i="4"/>
  <c r="CZ187" i="23"/>
  <c r="U197" i="7"/>
  <c r="BK197" i="4"/>
  <c r="CZ63" i="24"/>
  <c r="CC197" i="4"/>
  <c r="CP185" i="23"/>
  <c r="W185" i="7"/>
  <c r="BM185" i="4"/>
  <c r="CP255" i="23"/>
  <c r="EU185" i="4"/>
  <c r="CP264" i="23"/>
  <c r="EL185" i="4"/>
  <c r="CE185" i="7"/>
  <c r="CP73" i="24"/>
  <c r="BS185" i="4"/>
  <c r="EO172" i="7"/>
  <c r="CF261" i="23"/>
  <c r="EO173" i="4"/>
  <c r="BM172" i="7"/>
  <c r="CF185" i="23"/>
  <c r="W173" i="7"/>
  <c r="BM173" i="4"/>
  <c r="CF224" i="23"/>
  <c r="CZ172" i="7"/>
  <c r="CZ173" i="4"/>
  <c r="CE173" i="7"/>
  <c r="CF73" i="24"/>
  <c r="BS173" i="4"/>
  <c r="BS172" i="7"/>
  <c r="BW226" i="23"/>
  <c r="CX161" i="4"/>
  <c r="BW227" i="23"/>
  <c r="CW161" i="4"/>
  <c r="BW188" i="23"/>
  <c r="T161" i="7"/>
  <c r="BJ161" i="4"/>
  <c r="BW73" i="24"/>
  <c r="CE161" i="7"/>
  <c r="BS161" i="4"/>
  <c r="BO182" i="23"/>
  <c r="Z149" i="7"/>
  <c r="BP149" i="4"/>
  <c r="BO228" i="23"/>
  <c r="CV149" i="4"/>
  <c r="BO255" i="23"/>
  <c r="EU149" i="4"/>
  <c r="BO65" i="24"/>
  <c r="CA149" i="4"/>
  <c r="BE192" i="23"/>
  <c r="P137" i="7"/>
  <c r="BF137" i="4"/>
  <c r="BE184" i="23"/>
  <c r="X137" i="7"/>
  <c r="BN137" i="4"/>
  <c r="BE219" i="23"/>
  <c r="DE137" i="4"/>
  <c r="BE71" i="24"/>
  <c r="BU137" i="4"/>
  <c r="AU226" i="23"/>
  <c r="CX125" i="4"/>
  <c r="AU254" i="23"/>
  <c r="EV125" i="4"/>
  <c r="AU229" i="23"/>
  <c r="DG125" i="7"/>
  <c r="CU125" i="4"/>
  <c r="AU68" i="24"/>
  <c r="BX125" i="4"/>
  <c r="AL192" i="23"/>
  <c r="P113" i="7"/>
  <c r="BF113" i="4"/>
  <c r="AL189" i="23"/>
  <c r="S113" i="7"/>
  <c r="BI113" i="4"/>
  <c r="AL225" i="23"/>
  <c r="CY113" i="4"/>
  <c r="AL69" i="24"/>
  <c r="BW113" i="4"/>
  <c r="AB227" i="23"/>
  <c r="CW101" i="4"/>
  <c r="AB222" i="23"/>
  <c r="DB101" i="4"/>
  <c r="AB219" i="23"/>
  <c r="DE101" i="4"/>
  <c r="AB70" i="24"/>
  <c r="BV101" i="4"/>
  <c r="BQ89" i="7"/>
  <c r="O89" i="7"/>
  <c r="BE89" i="4"/>
  <c r="Q89" i="7"/>
  <c r="BG89" i="4"/>
  <c r="Q89" i="4" s="1"/>
  <c r="Q89" i="1" s="1"/>
  <c r="G265" i="23"/>
  <c r="EW77" i="7"/>
  <c r="EK76" i="7"/>
  <c r="EK77" i="4"/>
  <c r="EO76" i="7"/>
  <c r="G261" i="23"/>
  <c r="EO77" i="4"/>
  <c r="EM76" i="7"/>
  <c r="G263" i="23"/>
  <c r="EM77" i="4"/>
  <c r="G72" i="24"/>
  <c r="BT77" i="4"/>
  <c r="BT76" i="7"/>
  <c r="CE41" i="7"/>
  <c r="BS41" i="4"/>
  <c r="DJ218" i="23"/>
  <c r="DF208" i="4"/>
  <c r="DJ256" i="23"/>
  <c r="ET208" i="4"/>
  <c r="DJ264" i="23"/>
  <c r="EL208" i="4"/>
  <c r="DJ63" i="24"/>
  <c r="CC208" i="4"/>
  <c r="Q227" i="23"/>
  <c r="CW87" i="7"/>
  <c r="CW88" i="4"/>
  <c r="CW87" i="4" s="1"/>
  <c r="Q225" i="23"/>
  <c r="CY87" i="7"/>
  <c r="CY88" i="4"/>
  <c r="CY87" i="4" s="1"/>
  <c r="Q259" i="23"/>
  <c r="EQ87" i="7"/>
  <c r="EQ88" i="4"/>
  <c r="EQ87" i="4" s="1"/>
  <c r="DG16" i="7"/>
  <c r="CU16" i="4"/>
  <c r="DG16" i="4" s="1"/>
  <c r="AI222" i="23"/>
  <c r="DB110" i="4"/>
  <c r="AI229" i="23"/>
  <c r="DG110" i="7"/>
  <c r="CU110" i="4"/>
  <c r="AI183" i="23"/>
  <c r="Y110" i="7"/>
  <c r="BO110" i="4"/>
  <c r="AI66" i="24"/>
  <c r="BZ110" i="4"/>
  <c r="P259" i="23"/>
  <c r="EQ86" i="4"/>
  <c r="P187" i="23"/>
  <c r="U86" i="7"/>
  <c r="BK86" i="4"/>
  <c r="P221" i="23"/>
  <c r="DC86" i="4"/>
  <c r="P69" i="24"/>
  <c r="BW86" i="4"/>
  <c r="CM218" i="23"/>
  <c r="DF181" i="4"/>
  <c r="CM192" i="23"/>
  <c r="P181" i="7"/>
  <c r="BF181" i="4"/>
  <c r="CM256" i="23"/>
  <c r="ET181" i="4"/>
  <c r="CM68" i="24"/>
  <c r="BX181" i="4"/>
  <c r="BL182" i="23"/>
  <c r="Z145" i="7"/>
  <c r="BP145" i="4"/>
  <c r="BL255" i="23"/>
  <c r="EU145" i="4"/>
  <c r="BL218" i="23"/>
  <c r="DF145" i="4"/>
  <c r="BL69" i="24"/>
  <c r="BW145" i="4"/>
  <c r="AH258" i="23"/>
  <c r="ER109" i="4"/>
  <c r="AH191" i="23"/>
  <c r="Q109" i="7"/>
  <c r="BG109" i="4"/>
  <c r="AH219" i="23"/>
  <c r="DE109" i="4"/>
  <c r="AH69" i="24"/>
  <c r="BW109" i="4"/>
  <c r="O262" i="23"/>
  <c r="EN85" i="4"/>
  <c r="O260" i="23"/>
  <c r="EP85" i="4"/>
  <c r="O228" i="23"/>
  <c r="CV85" i="4"/>
  <c r="O70" i="24"/>
  <c r="BV85" i="4"/>
  <c r="EJ85" i="7"/>
  <c r="DP85" i="7"/>
  <c r="DK85" i="7"/>
  <c r="DO85" i="7"/>
  <c r="DN85" i="7"/>
  <c r="DM85" i="7"/>
  <c r="DL85" i="7"/>
  <c r="DJ85" i="7"/>
  <c r="DT85" i="7"/>
  <c r="DI85" i="7"/>
  <c r="DS85" i="7"/>
  <c r="DR85" i="7"/>
  <c r="DH85" i="7" s="1"/>
  <c r="DQ85" i="7"/>
  <c r="DP265" i="23"/>
  <c r="EW216" i="7"/>
  <c r="EK216" i="4"/>
  <c r="DP184" i="23"/>
  <c r="X216" i="7"/>
  <c r="BN216" i="4"/>
  <c r="DP263" i="23"/>
  <c r="EM216" i="4"/>
  <c r="DP72" i="24"/>
  <c r="BT216" i="4"/>
  <c r="BA265" i="23"/>
  <c r="EW132" i="7"/>
  <c r="EK132" i="4"/>
  <c r="BA221" i="23"/>
  <c r="DC132" i="4"/>
  <c r="BA223" i="23"/>
  <c r="DA132" i="4"/>
  <c r="BA63" i="24"/>
  <c r="CC132" i="4"/>
  <c r="N227" i="23"/>
  <c r="CW84" i="4"/>
  <c r="N191" i="23"/>
  <c r="Q84" i="7"/>
  <c r="BG84" i="4"/>
  <c r="N264" i="23"/>
  <c r="EL84" i="4"/>
  <c r="CE84" i="7"/>
  <c r="N73" i="24"/>
  <c r="BS84" i="4"/>
  <c r="R36" i="7"/>
  <c r="BH36" i="4"/>
  <c r="R36" i="4" s="1"/>
  <c r="R36" i="1" s="1"/>
  <c r="CY241" i="7"/>
  <c r="EB225" i="23" s="1"/>
  <c r="CY242" i="4"/>
  <c r="CY241" i="4" s="1"/>
  <c r="DE241" i="7"/>
  <c r="EB219" i="23" s="1"/>
  <c r="DE242" i="4"/>
  <c r="DE241" i="4" s="1"/>
  <c r="CZ241" i="7"/>
  <c r="EB224" i="23" s="1"/>
  <c r="CZ242" i="4"/>
  <c r="CZ241" i="4" s="1"/>
  <c r="CC242" i="4"/>
  <c r="CC241" i="7"/>
  <c r="EB63" i="24" s="1"/>
  <c r="CU225" i="23"/>
  <c r="CY191" i="4"/>
  <c r="CU219" i="23"/>
  <c r="DE191" i="4"/>
  <c r="CU188" i="23"/>
  <c r="T191" i="7"/>
  <c r="BJ191" i="4"/>
  <c r="CU65" i="24"/>
  <c r="CA191" i="4"/>
  <c r="CA184" i="23"/>
  <c r="X167" i="7"/>
  <c r="BN167" i="4"/>
  <c r="CA190" i="23"/>
  <c r="R167" i="7"/>
  <c r="BH167" i="4"/>
  <c r="CA221" i="23"/>
  <c r="DC167" i="4"/>
  <c r="CA66" i="24"/>
  <c r="BZ167" i="4"/>
  <c r="BJ182" i="23"/>
  <c r="Z143" i="7"/>
  <c r="BP143" i="4"/>
  <c r="BJ225" i="23"/>
  <c r="CY143" i="4"/>
  <c r="BJ222" i="23"/>
  <c r="DB143" i="4"/>
  <c r="BJ67" i="24"/>
  <c r="BY143" i="4"/>
  <c r="V257" i="23"/>
  <c r="ES95" i="4"/>
  <c r="V255" i="23"/>
  <c r="EU95" i="4"/>
  <c r="V186" i="23"/>
  <c r="V95" i="7"/>
  <c r="BL95" i="4"/>
  <c r="V70" i="24"/>
  <c r="BV95" i="4"/>
  <c r="EN7" i="4"/>
  <c r="T7" i="7"/>
  <c r="BJ7" i="4"/>
  <c r="U7" i="7"/>
  <c r="BK7" i="4"/>
  <c r="BI182" i="23"/>
  <c r="Z142" i="7"/>
  <c r="BP142" i="4"/>
  <c r="BI188" i="23"/>
  <c r="T142" i="7"/>
  <c r="BJ142" i="4"/>
  <c r="BI258" i="23"/>
  <c r="ER142" i="4"/>
  <c r="BI71" i="24"/>
  <c r="BU142" i="4"/>
  <c r="L256" i="23"/>
  <c r="ET82" i="4"/>
  <c r="L254" i="23"/>
  <c r="EV82" i="4"/>
  <c r="L190" i="23"/>
  <c r="R82" i="7"/>
  <c r="BH82" i="4"/>
  <c r="L68" i="24"/>
  <c r="BX82" i="4"/>
  <c r="EJ82" i="7"/>
  <c r="DP82" i="7"/>
  <c r="DN82" i="7"/>
  <c r="DM82" i="7"/>
  <c r="DJ82" i="7"/>
  <c r="DO82" i="7"/>
  <c r="DL82" i="7"/>
  <c r="DK82" i="7"/>
  <c r="DT82" i="7"/>
  <c r="DR82" i="7"/>
  <c r="DH82" i="7" s="1"/>
  <c r="DS82" i="7"/>
  <c r="DQ82" i="7"/>
  <c r="DI82" i="7"/>
  <c r="BU34" i="4"/>
  <c r="EM38" i="7"/>
  <c r="F263" i="23" s="1"/>
  <c r="EM39" i="4"/>
  <c r="EM38" i="4" s="1"/>
  <c r="CB245" i="4"/>
  <c r="CC264" i="23"/>
  <c r="EL169" i="4"/>
  <c r="AQ221" i="23"/>
  <c r="DC121" i="4"/>
  <c r="DG219" i="23"/>
  <c r="DE204" i="4"/>
  <c r="CB185" i="23"/>
  <c r="W168" i="7"/>
  <c r="BM168" i="4"/>
  <c r="AP67" i="24"/>
  <c r="BY120" i="4"/>
  <c r="EP27" i="7"/>
  <c r="EP24" i="4"/>
  <c r="EP27" i="4" s="1"/>
  <c r="DO72" i="24"/>
  <c r="BT215" i="4"/>
  <c r="BT214" i="7"/>
  <c r="M265" i="23"/>
  <c r="EW83" i="7"/>
  <c r="EK83" i="4"/>
  <c r="BZ254" i="23"/>
  <c r="EV166" i="4"/>
  <c r="BS218" i="23"/>
  <c r="DF154" i="4"/>
  <c r="AN261" i="23"/>
  <c r="EO118" i="4"/>
  <c r="U67" i="24"/>
  <c r="BY94" i="4"/>
  <c r="V46" i="7"/>
  <c r="BL46" i="4"/>
  <c r="V46" i="4" s="1"/>
  <c r="V46" i="1" s="1"/>
  <c r="BN209" i="7"/>
  <c r="DK184" i="23"/>
  <c r="X210" i="7"/>
  <c r="BN210" i="4"/>
  <c r="DA222" i="23"/>
  <c r="DB198" i="4"/>
  <c r="CQ186" i="23"/>
  <c r="V186" i="7"/>
  <c r="BL186" i="4"/>
  <c r="CG187" i="23"/>
  <c r="U174" i="7"/>
  <c r="BK174" i="4"/>
  <c r="BX264" i="23"/>
  <c r="EL162" i="4"/>
  <c r="AV255" i="23"/>
  <c r="EU126" i="4"/>
  <c r="AC66" i="24"/>
  <c r="BZ102" i="4"/>
  <c r="U66" i="7"/>
  <c r="BK66" i="4"/>
  <c r="U66" i="4" s="1"/>
  <c r="U66" i="1" s="1"/>
  <c r="CY227" i="23"/>
  <c r="CW196" i="4"/>
  <c r="BN72" i="24"/>
  <c r="BT148" i="4"/>
  <c r="AK258" i="23"/>
  <c r="ER112" i="4"/>
  <c r="T40" i="7"/>
  <c r="BJ40" i="4"/>
  <c r="T40" i="4" s="1"/>
  <c r="T40" i="1" s="1"/>
  <c r="CB40" i="4"/>
  <c r="CX192" i="23"/>
  <c r="P195" i="7"/>
  <c r="BF195" i="4"/>
  <c r="CE183" i="23"/>
  <c r="Y171" i="7"/>
  <c r="BO171" i="4"/>
  <c r="AS219" i="23"/>
  <c r="DE123" i="4"/>
  <c r="CW67" i="24"/>
  <c r="BY194" i="4"/>
  <c r="BY193" i="7"/>
  <c r="EO133" i="7"/>
  <c r="BB261" i="23"/>
  <c r="EO134" i="4"/>
  <c r="Y186" i="23"/>
  <c r="V98" i="7"/>
  <c r="BL98" i="4"/>
  <c r="CA244" i="4"/>
  <c r="BH227" i="7"/>
  <c r="DW190" i="23"/>
  <c r="R228" i="7"/>
  <c r="BH228" i="4"/>
  <c r="CL256" i="23"/>
  <c r="ET180" i="4"/>
  <c r="AO259" i="23"/>
  <c r="EQ119" i="4"/>
  <c r="AY67" i="24"/>
  <c r="BY130" i="4"/>
  <c r="BY129" i="7"/>
  <c r="CZ225" i="23"/>
  <c r="CY197" i="4"/>
  <c r="CP222" i="23"/>
  <c r="DB185" i="4"/>
  <c r="CF219" i="23"/>
  <c r="DE172" i="7"/>
  <c r="DE173" i="4"/>
  <c r="BW72" i="24"/>
  <c r="BT161" i="4"/>
  <c r="BE222" i="23"/>
  <c r="DB137" i="4"/>
  <c r="AU184" i="23"/>
  <c r="X125" i="7"/>
  <c r="BN125" i="4"/>
  <c r="AL265" i="23"/>
  <c r="EW113" i="7"/>
  <c r="EK113" i="4"/>
  <c r="AB229" i="23"/>
  <c r="DG101" i="7"/>
  <c r="CU101" i="4"/>
  <c r="G193" i="23"/>
  <c r="BE76" i="7"/>
  <c r="BQ77" i="7"/>
  <c r="O77" i="7"/>
  <c r="BE77" i="4"/>
  <c r="DJ222" i="23"/>
  <c r="DB208" i="4"/>
  <c r="DC87" i="7"/>
  <c r="Q221" i="23"/>
  <c r="DC88" i="4"/>
  <c r="AI62" i="24"/>
  <c r="CD110" i="4"/>
  <c r="P264" i="23"/>
  <c r="EL86" i="4"/>
  <c r="CM264" i="23"/>
  <c r="EL181" i="4"/>
  <c r="BL187" i="23"/>
  <c r="U145" i="7"/>
  <c r="BK145" i="4"/>
  <c r="AH64" i="24"/>
  <c r="CB109" i="4"/>
  <c r="DP227" i="23"/>
  <c r="CW216" i="4"/>
  <c r="BA186" i="23"/>
  <c r="V132" i="7"/>
  <c r="BL132" i="4"/>
  <c r="N69" i="24"/>
  <c r="BW84" i="4"/>
  <c r="ES241" i="7"/>
  <c r="ES242" i="4"/>
  <c r="CU72" i="24"/>
  <c r="BT191" i="4"/>
  <c r="BJ256" i="23"/>
  <c r="ET143" i="4"/>
  <c r="V262" i="23"/>
  <c r="EN95" i="4"/>
  <c r="BI265" i="23"/>
  <c r="EW142" i="7"/>
  <c r="EK142" i="4"/>
  <c r="L225" i="23"/>
  <c r="CY82" i="4"/>
  <c r="L183" i="23"/>
  <c r="Y82" i="7"/>
  <c r="BO82" i="4"/>
  <c r="P34" i="7"/>
  <c r="BF34" i="4"/>
  <c r="P34" i="4" s="1"/>
  <c r="P34" i="1" s="1"/>
  <c r="DN219" i="23"/>
  <c r="DE213" i="4"/>
  <c r="DD256" i="23"/>
  <c r="ET201" i="4"/>
  <c r="CE189" i="7"/>
  <c r="CS73" i="24"/>
  <c r="BS189" i="4"/>
  <c r="BY226" i="23"/>
  <c r="CX164" i="7"/>
  <c r="CX165" i="4"/>
  <c r="BR257" i="23"/>
  <c r="ES153" i="4"/>
  <c r="BH182" i="23"/>
  <c r="Z141" i="7"/>
  <c r="BP141" i="4"/>
  <c r="BN116" i="7"/>
  <c r="BR116" i="7" s="1"/>
  <c r="AM184" i="23"/>
  <c r="X117" i="7"/>
  <c r="BN117" i="4"/>
  <c r="CW104" i="7"/>
  <c r="AD227" i="23"/>
  <c r="CW105" i="4"/>
  <c r="T254" i="23"/>
  <c r="EV93" i="4"/>
  <c r="K70" i="24"/>
  <c r="BV81" i="4"/>
  <c r="T33" i="7"/>
  <c r="BJ33" i="4"/>
  <c r="T33" i="4" s="1"/>
  <c r="T33" i="1" s="1"/>
  <c r="EL157" i="7"/>
  <c r="BT264" i="23"/>
  <c r="EL158" i="4"/>
  <c r="DT66" i="24"/>
  <c r="BZ224" i="4"/>
  <c r="BZ223" i="7"/>
  <c r="DC225" i="23"/>
  <c r="CY200" i="4"/>
  <c r="EP187" i="7"/>
  <c r="CR260" i="23"/>
  <c r="EP188" i="4"/>
  <c r="CI185" i="23"/>
  <c r="W176" i="7"/>
  <c r="BM176" i="4"/>
  <c r="BQ69" i="24"/>
  <c r="BW152" i="4"/>
  <c r="AX192" i="23"/>
  <c r="P128" i="7"/>
  <c r="BF128" i="4"/>
  <c r="S190" i="23"/>
  <c r="R92" i="7"/>
  <c r="BH92" i="4"/>
  <c r="J225" i="23"/>
  <c r="CY80" i="4"/>
  <c r="CE44" i="7"/>
  <c r="BS44" i="4"/>
  <c r="BL219" i="7"/>
  <c r="DQ186" i="23"/>
  <c r="V220" i="7"/>
  <c r="BL220" i="4"/>
  <c r="BV219" i="23"/>
  <c r="DE160" i="4"/>
  <c r="AA254" i="23"/>
  <c r="EV100" i="4"/>
  <c r="U64" i="7"/>
  <c r="BK64" i="4"/>
  <c r="U64" i="4" s="1"/>
  <c r="U64" i="1" s="1"/>
  <c r="CN70" i="24"/>
  <c r="BV183" i="4"/>
  <c r="BV182" i="7"/>
  <c r="BC263" i="23"/>
  <c r="EM135" i="4"/>
  <c r="AJ62" i="24"/>
  <c r="CD111" i="4"/>
  <c r="Q15" i="7"/>
  <c r="BG15" i="4"/>
  <c r="Q15" i="4" s="1"/>
  <c r="Q15" i="1" s="1"/>
  <c r="AR229" i="23"/>
  <c r="DG122" i="7"/>
  <c r="CU122" i="4"/>
  <c r="BM13" i="7"/>
  <c r="BM6" i="7" s="1"/>
  <c r="W14" i="7"/>
  <c r="BM14" i="4"/>
  <c r="DX265" i="23"/>
  <c r="EW229" i="7"/>
  <c r="EK229" i="4"/>
  <c r="CV185" i="23"/>
  <c r="W192" i="7"/>
  <c r="BM192" i="4"/>
  <c r="BK222" i="23"/>
  <c r="DB144" i="4"/>
  <c r="AG188" i="23"/>
  <c r="T108" i="7"/>
  <c r="BJ108" i="4"/>
  <c r="DF71" i="24"/>
  <c r="BU203" i="4"/>
  <c r="EJ203" i="7"/>
  <c r="DP203" i="7"/>
  <c r="DN203" i="7"/>
  <c r="DO203" i="7"/>
  <c r="DM203" i="7"/>
  <c r="DL203" i="7"/>
  <c r="DK203" i="7"/>
  <c r="DJ203" i="7"/>
  <c r="DR203" i="7"/>
  <c r="DH203" i="7" s="1"/>
  <c r="DQ203" i="7"/>
  <c r="DI203" i="7"/>
  <c r="DT203" i="7"/>
  <c r="DS203" i="7"/>
  <c r="AF190" i="23"/>
  <c r="R107" i="7"/>
  <c r="BH107" i="4"/>
  <c r="DV226" i="23"/>
  <c r="CX226" i="4"/>
  <c r="DE255" i="23"/>
  <c r="EU202" i="4"/>
  <c r="AE221" i="23"/>
  <c r="DC106" i="4"/>
  <c r="DL65" i="24"/>
  <c r="CA211" i="4"/>
  <c r="CH184" i="23"/>
  <c r="X175" i="7"/>
  <c r="BN175" i="4"/>
  <c r="DC150" i="7"/>
  <c r="BP221" i="23"/>
  <c r="DC151" i="4"/>
  <c r="EU138" i="7"/>
  <c r="BF255" i="23"/>
  <c r="EU139" i="4"/>
  <c r="AW258" i="23"/>
  <c r="ER127" i="4"/>
  <c r="CV90" i="7"/>
  <c r="R228" i="23"/>
  <c r="CV91" i="4"/>
  <c r="I263" i="23"/>
  <c r="EM79" i="4"/>
  <c r="EO29" i="7"/>
  <c r="EO31" i="4"/>
  <c r="EO29" i="4" s="1"/>
  <c r="Q19" i="7"/>
  <c r="BG19" i="4"/>
  <c r="Q19" i="4" s="1"/>
  <c r="Q19" i="1" s="1"/>
  <c r="CO65" i="24"/>
  <c r="CA184" i="4"/>
  <c r="DI190" i="23"/>
  <c r="R207" i="7"/>
  <c r="BH207" i="4"/>
  <c r="CY146" i="7"/>
  <c r="BM225" i="23"/>
  <c r="CY147" i="4"/>
  <c r="Z254" i="23"/>
  <c r="EV99" i="4"/>
  <c r="BQ63" i="7"/>
  <c r="O63" i="7"/>
  <c r="BE63" i="4"/>
  <c r="EN38" i="7"/>
  <c r="F262" i="23" s="1"/>
  <c r="EN39" i="4"/>
  <c r="EN38" i="4" s="1"/>
  <c r="DH63" i="24"/>
  <c r="CC206" i="4"/>
  <c r="CC205" i="7"/>
  <c r="AQ229" i="23"/>
  <c r="DG121" i="7"/>
  <c r="CU121" i="4"/>
  <c r="X219" i="23"/>
  <c r="DE97" i="4"/>
  <c r="X255" i="23"/>
  <c r="EU97" i="4"/>
  <c r="DG66" i="24"/>
  <c r="BZ204" i="4"/>
  <c r="DU69" i="24"/>
  <c r="BW225" i="4"/>
  <c r="DN218" i="23"/>
  <c r="DF213" i="4"/>
  <c r="DD190" i="23"/>
  <c r="R201" i="7"/>
  <c r="BH201" i="4"/>
  <c r="EJ201" i="7"/>
  <c r="DP201" i="7"/>
  <c r="DN201" i="7"/>
  <c r="DO201" i="7"/>
  <c r="DM201" i="7"/>
  <c r="DL201" i="7"/>
  <c r="DK201" i="7"/>
  <c r="DJ201" i="7"/>
  <c r="DI201" i="7"/>
  <c r="DQ201" i="7"/>
  <c r="DT201" i="7"/>
  <c r="DS201" i="7"/>
  <c r="DR201" i="7"/>
  <c r="DH201" i="7" s="1"/>
  <c r="CS263" i="23"/>
  <c r="EM189" i="4"/>
  <c r="CJ223" i="23"/>
  <c r="DA177" i="4"/>
  <c r="BL164" i="7"/>
  <c r="BY186" i="23"/>
  <c r="V165" i="7"/>
  <c r="BL165" i="4"/>
  <c r="CE153" i="7"/>
  <c r="BR73" i="24"/>
  <c r="BS153" i="4"/>
  <c r="BH63" i="24"/>
  <c r="CC141" i="4"/>
  <c r="BO116" i="7"/>
  <c r="AM183" i="23"/>
  <c r="Y117" i="7"/>
  <c r="BO117" i="4"/>
  <c r="BO104" i="7"/>
  <c r="AD183" i="23"/>
  <c r="Y105" i="7"/>
  <c r="BO105" i="4"/>
  <c r="T68" i="24"/>
  <c r="BX93" i="4"/>
  <c r="BQ33" i="7"/>
  <c r="O33" i="7"/>
  <c r="BE33" i="4"/>
  <c r="BT183" i="23"/>
  <c r="BO157" i="7"/>
  <c r="Y158" i="7"/>
  <c r="BO158" i="4"/>
  <c r="DT187" i="23"/>
  <c r="BK223" i="7"/>
  <c r="U224" i="7"/>
  <c r="BK224" i="4"/>
  <c r="DM258" i="23"/>
  <c r="ER212" i="4"/>
  <c r="DC256" i="23"/>
  <c r="ET200" i="4"/>
  <c r="CR222" i="23"/>
  <c r="DB187" i="7"/>
  <c r="DB188" i="4"/>
  <c r="CI66" i="24"/>
  <c r="BZ176" i="4"/>
  <c r="BQ189" i="23"/>
  <c r="S152" i="7"/>
  <c r="BI152" i="4"/>
  <c r="BG225" i="23"/>
  <c r="CY140" i="4"/>
  <c r="AX218" i="23"/>
  <c r="DF128" i="4"/>
  <c r="S193" i="23"/>
  <c r="BQ92" i="7"/>
  <c r="O92" i="7"/>
  <c r="BE92" i="4"/>
  <c r="EJ80" i="7"/>
  <c r="DP80" i="7"/>
  <c r="DN80" i="7"/>
  <c r="DM80" i="7"/>
  <c r="DJ80" i="7"/>
  <c r="DO80" i="7"/>
  <c r="DL80" i="7"/>
  <c r="DK80" i="7"/>
  <c r="DR80" i="7"/>
  <c r="DH80" i="7" s="1"/>
  <c r="DQ80" i="7"/>
  <c r="DT80" i="7"/>
  <c r="DS80" i="7"/>
  <c r="DI80" i="7"/>
  <c r="Q44" i="7"/>
  <c r="BG44" i="4"/>
  <c r="Q44" i="4" s="1"/>
  <c r="Q44" i="1" s="1"/>
  <c r="DQ255" i="23"/>
  <c r="EU219" i="7"/>
  <c r="EU220" i="4"/>
  <c r="BV254" i="23"/>
  <c r="EV160" i="4"/>
  <c r="AA221" i="23"/>
  <c r="DC100" i="4"/>
  <c r="BM182" i="7"/>
  <c r="CN185" i="23"/>
  <c r="W183" i="7"/>
  <c r="BM183" i="4"/>
  <c r="BU182" i="23"/>
  <c r="Z159" i="7"/>
  <c r="BP159" i="4"/>
  <c r="BC220" i="23"/>
  <c r="DD135" i="4"/>
  <c r="AJ192" i="23"/>
  <c r="P111" i="7"/>
  <c r="BF111" i="4"/>
  <c r="BG54" i="7"/>
  <c r="Q51" i="7"/>
  <c r="Q54" i="7" s="1"/>
  <c r="BG51" i="4"/>
  <c r="AR190" i="23"/>
  <c r="R122" i="7"/>
  <c r="BH122" i="4"/>
  <c r="BN13" i="7"/>
  <c r="BN6" i="7" s="1"/>
  <c r="X14" i="7"/>
  <c r="BN14" i="4"/>
  <c r="DX258" i="23"/>
  <c r="ER229" i="4"/>
  <c r="BP60" i="7"/>
  <c r="Z61" i="7"/>
  <c r="BP61" i="4"/>
  <c r="CV226" i="23"/>
  <c r="CX192" i="4"/>
  <c r="BK260" i="23"/>
  <c r="EP144" i="4"/>
  <c r="AG229" i="23"/>
  <c r="DG108" i="7"/>
  <c r="CU108" i="4"/>
  <c r="DF69" i="24"/>
  <c r="BW203" i="4"/>
  <c r="BP178" i="7"/>
  <c r="CK182" i="23"/>
  <c r="Z179" i="7"/>
  <c r="BP179" i="4"/>
  <c r="AF258" i="23"/>
  <c r="ER107" i="4"/>
  <c r="DV62" i="24"/>
  <c r="CD226" i="4"/>
  <c r="DE223" i="23"/>
  <c r="DA202" i="4"/>
  <c r="AE264" i="23"/>
  <c r="EL106" i="4"/>
  <c r="DL259" i="23"/>
  <c r="EQ211" i="4"/>
  <c r="DB63" i="24"/>
  <c r="CC199" i="4"/>
  <c r="CH188" i="23"/>
  <c r="T175" i="7"/>
  <c r="BJ175" i="4"/>
  <c r="BP220" i="23"/>
  <c r="DD150" i="7"/>
  <c r="DD151" i="4"/>
  <c r="BF71" i="24"/>
  <c r="BU139" i="4"/>
  <c r="BU138" i="7"/>
  <c r="AW70" i="24"/>
  <c r="BV127" i="4"/>
  <c r="BM90" i="7"/>
  <c r="R185" i="23"/>
  <c r="W91" i="7"/>
  <c r="BM91" i="4"/>
  <c r="I188" i="23"/>
  <c r="T79" i="7"/>
  <c r="BJ79" i="4"/>
  <c r="DG67" i="7"/>
  <c r="CU67" i="4"/>
  <c r="EM57" i="7"/>
  <c r="EM55" i="4"/>
  <c r="EM57" i="4" s="1"/>
  <c r="DF29" i="7"/>
  <c r="DF31" i="4"/>
  <c r="DF29" i="4" s="1"/>
  <c r="CO63" i="24"/>
  <c r="CC184" i="4"/>
  <c r="AT259" i="23"/>
  <c r="EQ124" i="4"/>
  <c r="DI259" i="23"/>
  <c r="EQ207" i="4"/>
  <c r="BM146" i="7"/>
  <c r="BM185" i="23"/>
  <c r="W147" i="7"/>
  <c r="BM147" i="4"/>
  <c r="Z182" i="23"/>
  <c r="Z99" i="7"/>
  <c r="BP99" i="4"/>
  <c r="Z221" i="23"/>
  <c r="DC99" i="4"/>
  <c r="EW63" i="7"/>
  <c r="EK63" i="4"/>
  <c r="BF38" i="7"/>
  <c r="F192" i="23" s="1"/>
  <c r="P39" i="7"/>
  <c r="BF39" i="4"/>
  <c r="BX39" i="4"/>
  <c r="BX38" i="7"/>
  <c r="F68" i="24" s="1"/>
  <c r="BT245" i="4"/>
  <c r="DH71" i="24"/>
  <c r="BU205" i="7"/>
  <c r="BU206" i="4"/>
  <c r="CC263" i="23"/>
  <c r="EM169" i="4"/>
  <c r="AQ184" i="23"/>
  <c r="X121" i="7"/>
  <c r="BN121" i="4"/>
  <c r="X262" i="23"/>
  <c r="EN97" i="4"/>
  <c r="DG218" i="23"/>
  <c r="DF204" i="4"/>
  <c r="CB257" i="23"/>
  <c r="ES168" i="4"/>
  <c r="CB64" i="24"/>
  <c r="CB168" i="4"/>
  <c r="AP191" i="23"/>
  <c r="Q120" i="7"/>
  <c r="BG120" i="4"/>
  <c r="W256" i="23"/>
  <c r="ET96" i="4"/>
  <c r="W71" i="24"/>
  <c r="BU96" i="4"/>
  <c r="BJ27" i="7"/>
  <c r="T24" i="7"/>
  <c r="BJ24" i="4"/>
  <c r="DO189" i="23"/>
  <c r="BI214" i="7"/>
  <c r="S215" i="7"/>
  <c r="BI215" i="4"/>
  <c r="AZ228" i="23"/>
  <c r="CV131" i="4"/>
  <c r="AZ69" i="24"/>
  <c r="BW131" i="4"/>
  <c r="M259" i="23"/>
  <c r="EQ83" i="4"/>
  <c r="EJ83" i="7"/>
  <c r="DP83" i="7"/>
  <c r="DK83" i="7"/>
  <c r="DO83" i="7"/>
  <c r="DN83" i="7"/>
  <c r="DM83" i="7"/>
  <c r="DL83" i="7"/>
  <c r="DJ83" i="7"/>
  <c r="DR83" i="7"/>
  <c r="DH83" i="7" s="1"/>
  <c r="DI83" i="7"/>
  <c r="DT83" i="7"/>
  <c r="DQ83" i="7"/>
  <c r="DS83" i="7"/>
  <c r="CT226" i="23"/>
  <c r="CX190" i="4"/>
  <c r="BZ219" i="23"/>
  <c r="DE166" i="4"/>
  <c r="BZ187" i="23"/>
  <c r="U166" i="7"/>
  <c r="BK166" i="4"/>
  <c r="BS259" i="23"/>
  <c r="EQ154" i="4"/>
  <c r="AN227" i="23"/>
  <c r="CW118" i="4"/>
  <c r="AN259" i="23"/>
  <c r="EQ118" i="4"/>
  <c r="U62" i="24"/>
  <c r="CD94" i="4"/>
  <c r="CB46" i="4"/>
  <c r="DS183" i="23"/>
  <c r="Y222" i="7"/>
  <c r="BO222" i="4"/>
  <c r="ET209" i="7"/>
  <c r="DK256" i="23"/>
  <c r="ET210" i="4"/>
  <c r="DA228" i="23"/>
  <c r="CV198" i="4"/>
  <c r="DA220" i="23"/>
  <c r="DD198" i="4"/>
  <c r="CQ254" i="23"/>
  <c r="EV186" i="4"/>
  <c r="CG265" i="23"/>
  <c r="EW174" i="7"/>
  <c r="EK174" i="4"/>
  <c r="CG228" i="23"/>
  <c r="CV174" i="4"/>
  <c r="EJ174" i="7"/>
  <c r="DP174" i="7"/>
  <c r="DN174" i="7"/>
  <c r="DM174" i="7"/>
  <c r="DO174" i="7"/>
  <c r="DL174" i="7"/>
  <c r="DK174" i="7"/>
  <c r="DJ174" i="7"/>
  <c r="DS174" i="7"/>
  <c r="DT174" i="7"/>
  <c r="DR174" i="7"/>
  <c r="DH174" i="7" s="1"/>
  <c r="DQ174" i="7"/>
  <c r="DI174" i="7"/>
  <c r="BX72" i="24"/>
  <c r="BT162" i="4"/>
  <c r="AV223" i="23"/>
  <c r="DA126" i="4"/>
  <c r="AC184" i="23"/>
  <c r="X102" i="7"/>
  <c r="BN102" i="4"/>
  <c r="H189" i="23"/>
  <c r="S78" i="7"/>
  <c r="BI78" i="4"/>
  <c r="H66" i="24"/>
  <c r="BZ78" i="4"/>
  <c r="EW66" i="7"/>
  <c r="EK66" i="4"/>
  <c r="Y42" i="7"/>
  <c r="BO42" i="4"/>
  <c r="Y42" i="4" s="1"/>
  <c r="Y42" i="1" s="1"/>
  <c r="CY265" i="23"/>
  <c r="EW196" i="7"/>
  <c r="EK196" i="4"/>
  <c r="CY256" i="23"/>
  <c r="ET196" i="4"/>
  <c r="BN228" i="23"/>
  <c r="CV148" i="4"/>
  <c r="BD191" i="23"/>
  <c r="Q136" i="7"/>
  <c r="BG136" i="4"/>
  <c r="AK193" i="23"/>
  <c r="BQ112" i="7"/>
  <c r="O112" i="7"/>
  <c r="BE112" i="4"/>
  <c r="AK67" i="24"/>
  <c r="BY112" i="4"/>
  <c r="DG40" i="7"/>
  <c r="CU40" i="4"/>
  <c r="BT40" i="4"/>
  <c r="CX261" i="23"/>
  <c r="EO195" i="4"/>
  <c r="CE195" i="7"/>
  <c r="CX73" i="24"/>
  <c r="BS195" i="4"/>
  <c r="CE264" i="23"/>
  <c r="EL171" i="4"/>
  <c r="AS190" i="23"/>
  <c r="R123" i="7"/>
  <c r="BH123" i="4"/>
  <c r="AS261" i="23"/>
  <c r="EO123" i="4"/>
  <c r="CW192" i="23"/>
  <c r="BF193" i="7"/>
  <c r="P194" i="7"/>
  <c r="BF194" i="4"/>
  <c r="BJ193" i="7"/>
  <c r="CW188" i="23"/>
  <c r="T194" i="7"/>
  <c r="BJ194" i="4"/>
  <c r="CD228" i="23"/>
  <c r="CV170" i="4"/>
  <c r="CD259" i="23"/>
  <c r="EQ170" i="4"/>
  <c r="BL133" i="7"/>
  <c r="BB186" i="23"/>
  <c r="V134" i="7"/>
  <c r="BL134" i="4"/>
  <c r="BB70" i="24"/>
  <c r="BV134" i="4"/>
  <c r="BV133" i="7"/>
  <c r="Y67" i="24"/>
  <c r="BY98" i="4"/>
  <c r="BX62" i="4"/>
  <c r="BX60" i="7"/>
  <c r="BQ26" i="7"/>
  <c r="O26" i="7"/>
  <c r="BE26" i="4"/>
  <c r="CE244" i="7"/>
  <c r="BS244" i="4"/>
  <c r="CV227" i="7"/>
  <c r="DW228" i="23"/>
  <c r="CV228" i="4"/>
  <c r="DW65" i="24"/>
  <c r="CA228" i="4"/>
  <c r="CA227" i="7"/>
  <c r="CL183" i="23"/>
  <c r="Y180" i="7"/>
  <c r="BO180" i="4"/>
  <c r="AO265" i="23"/>
  <c r="EW119" i="7"/>
  <c r="EK119" i="4"/>
  <c r="CE119" i="7"/>
  <c r="AO73" i="24"/>
  <c r="BS119" i="4"/>
  <c r="EO129" i="7"/>
  <c r="AY261" i="23"/>
  <c r="EO130" i="4"/>
  <c r="DR228" i="23"/>
  <c r="CV221" i="4"/>
  <c r="CZ254" i="23"/>
  <c r="EV197" i="4"/>
  <c r="CZ66" i="24"/>
  <c r="BZ197" i="4"/>
  <c r="CP261" i="23"/>
  <c r="EO185" i="4"/>
  <c r="CP229" i="23"/>
  <c r="DG185" i="7"/>
  <c r="CU185" i="4"/>
  <c r="CF186" i="23"/>
  <c r="BL172" i="7"/>
  <c r="V173" i="7"/>
  <c r="BL173" i="4"/>
  <c r="CF67" i="24"/>
  <c r="BY173" i="4"/>
  <c r="BY172" i="7"/>
  <c r="BW219" i="23"/>
  <c r="DE161" i="4"/>
  <c r="BW220" i="23"/>
  <c r="DD161" i="4"/>
  <c r="BO193" i="23"/>
  <c r="BQ149" i="7"/>
  <c r="O149" i="7"/>
  <c r="BE149" i="4"/>
  <c r="BO70" i="24"/>
  <c r="BV149" i="4"/>
  <c r="BE257" i="23"/>
  <c r="ES137" i="4"/>
  <c r="BE187" i="23"/>
  <c r="U137" i="7"/>
  <c r="BK137" i="4"/>
  <c r="EJ137" i="7"/>
  <c r="DP137" i="7"/>
  <c r="DK137" i="7"/>
  <c r="DJ137" i="7"/>
  <c r="DO137" i="7"/>
  <c r="DN137" i="7"/>
  <c r="DM137" i="7"/>
  <c r="DL137" i="7"/>
  <c r="DS137" i="7"/>
  <c r="DI137" i="7"/>
  <c r="DR137" i="7"/>
  <c r="DH137" i="7" s="1"/>
  <c r="DQ137" i="7"/>
  <c r="DT137" i="7"/>
  <c r="AU190" i="23"/>
  <c r="R125" i="7"/>
  <c r="BH125" i="4"/>
  <c r="AU263" i="23"/>
  <c r="EM125" i="4"/>
  <c r="AL191" i="23"/>
  <c r="Q113" i="7"/>
  <c r="BG113" i="4"/>
  <c r="AL62" i="24"/>
  <c r="CD113" i="4"/>
  <c r="AB225" i="23"/>
  <c r="CY101" i="4"/>
  <c r="AB264" i="23"/>
  <c r="EL101" i="4"/>
  <c r="G255" i="23"/>
  <c r="EU76" i="7"/>
  <c r="EU77" i="4"/>
  <c r="Y41" i="7"/>
  <c r="BO41" i="4"/>
  <c r="Y41" i="4" s="1"/>
  <c r="Y41" i="1" s="1"/>
  <c r="DJ190" i="23"/>
  <c r="R208" i="7"/>
  <c r="BH208" i="4"/>
  <c r="DJ70" i="24"/>
  <c r="BV208" i="4"/>
  <c r="Q186" i="23"/>
  <c r="BL87" i="7"/>
  <c r="V88" i="7"/>
  <c r="BL88" i="4"/>
  <c r="AI218" i="23"/>
  <c r="DF110" i="4"/>
  <c r="AI262" i="23"/>
  <c r="EN110" i="4"/>
  <c r="P229" i="23"/>
  <c r="DG86" i="7"/>
  <c r="CU86" i="4"/>
  <c r="P191" i="23"/>
  <c r="Q86" i="7"/>
  <c r="BG86" i="4"/>
  <c r="EJ86" i="7"/>
  <c r="DP86" i="7"/>
  <c r="DN86" i="7"/>
  <c r="DM86" i="7"/>
  <c r="DL86" i="7"/>
  <c r="DJ86" i="7"/>
  <c r="DO86" i="7"/>
  <c r="DK86" i="7"/>
  <c r="DQ86" i="7"/>
  <c r="DI86" i="7"/>
  <c r="DT86" i="7"/>
  <c r="DS86" i="7"/>
  <c r="DR86" i="7"/>
  <c r="DH86" i="7" s="1"/>
  <c r="CM183" i="23"/>
  <c r="Y181" i="7"/>
  <c r="BO181" i="4"/>
  <c r="CM263" i="23"/>
  <c r="EM181" i="4"/>
  <c r="BL219" i="23"/>
  <c r="DE145" i="4"/>
  <c r="BL63" i="24"/>
  <c r="CC145" i="4"/>
  <c r="AH184" i="23"/>
  <c r="X109" i="7"/>
  <c r="BN109" i="4"/>
  <c r="CE109" i="7"/>
  <c r="AH73" i="24"/>
  <c r="BS109" i="4"/>
  <c r="O220" i="23"/>
  <c r="DD85" i="4"/>
  <c r="DP218" i="23"/>
  <c r="DF216" i="4"/>
  <c r="BA226" i="23"/>
  <c r="CX132" i="4"/>
  <c r="BA227" i="23"/>
  <c r="CW132" i="4"/>
  <c r="N218" i="23"/>
  <c r="DF84" i="4"/>
  <c r="N255" i="23"/>
  <c r="EU84" i="4"/>
  <c r="EP241" i="7"/>
  <c r="EB260" i="23" s="1"/>
  <c r="EP242" i="4"/>
  <c r="EP241" i="4" s="1"/>
  <c r="CE242" i="7"/>
  <c r="BS242" i="4"/>
  <c r="BS241" i="7"/>
  <c r="EB73" i="24" s="1"/>
  <c r="CU254" i="23"/>
  <c r="EV191" i="4"/>
  <c r="CU255" i="23"/>
  <c r="EU191" i="4"/>
  <c r="CA265" i="23"/>
  <c r="EW167" i="7"/>
  <c r="EK167" i="4"/>
  <c r="CA68" i="24"/>
  <c r="BX167" i="4"/>
  <c r="BJ192" i="23"/>
  <c r="P143" i="7"/>
  <c r="BF143" i="4"/>
  <c r="BJ229" i="23"/>
  <c r="DG143" i="7"/>
  <c r="CU143" i="4"/>
  <c r="BJ257" i="23"/>
  <c r="ES143" i="4"/>
  <c r="EJ143" i="7"/>
  <c r="DP143" i="7"/>
  <c r="DN143" i="7"/>
  <c r="DK143" i="7"/>
  <c r="DO143" i="7"/>
  <c r="DM143" i="7"/>
  <c r="DL143" i="7"/>
  <c r="DJ143" i="7"/>
  <c r="DR143" i="7"/>
  <c r="DH143" i="7" s="1"/>
  <c r="DT143" i="7"/>
  <c r="DQ143" i="7"/>
  <c r="DI143" i="7"/>
  <c r="DS143" i="7"/>
  <c r="V187" i="23"/>
  <c r="U95" i="7"/>
  <c r="BK95" i="4"/>
  <c r="V263" i="23"/>
  <c r="EM95" i="4"/>
  <c r="ET7" i="4"/>
  <c r="DA7" i="4"/>
  <c r="BI254" i="23"/>
  <c r="EV142" i="4"/>
  <c r="BI264" i="23"/>
  <c r="EL142" i="4"/>
  <c r="L228" i="23"/>
  <c r="CV82" i="4"/>
  <c r="L66" i="24"/>
  <c r="BZ82" i="4"/>
  <c r="DU222" i="23"/>
  <c r="DB225" i="4"/>
  <c r="DU193" i="23"/>
  <c r="BQ225" i="7"/>
  <c r="O225" i="7"/>
  <c r="BE225" i="4"/>
  <c r="DN69" i="24"/>
  <c r="BW213" i="4"/>
  <c r="CS182" i="23"/>
  <c r="Z189" i="7"/>
  <c r="BP189" i="4"/>
  <c r="CJ255" i="23"/>
  <c r="EU177" i="4"/>
  <c r="CJ263" i="23"/>
  <c r="EM177" i="4"/>
  <c r="DD164" i="7"/>
  <c r="BY220" i="23"/>
  <c r="DD165" i="4"/>
  <c r="BR185" i="23"/>
  <c r="W153" i="7"/>
  <c r="BM153" i="4"/>
  <c r="BH226" i="23"/>
  <c r="CX141" i="4"/>
  <c r="CE117" i="7"/>
  <c r="AM73" i="24"/>
  <c r="BS116" i="7"/>
  <c r="BS117" i="4"/>
  <c r="AD65" i="24"/>
  <c r="CA105" i="4"/>
  <c r="CA104" i="7"/>
  <c r="T183" i="23"/>
  <c r="Y93" i="7"/>
  <c r="BO93" i="4"/>
  <c r="K185" i="23"/>
  <c r="W81" i="7"/>
  <c r="BM81" i="4"/>
  <c r="BT261" i="23"/>
  <c r="EO157" i="7"/>
  <c r="EO158" i="4"/>
  <c r="BL223" i="7"/>
  <c r="DT186" i="23"/>
  <c r="V224" i="7"/>
  <c r="BL224" i="4"/>
  <c r="CE212" i="7"/>
  <c r="DM73" i="24"/>
  <c r="BS212" i="4"/>
  <c r="DC264" i="23"/>
  <c r="EL200" i="4"/>
  <c r="CR224" i="23"/>
  <c r="CZ187" i="7"/>
  <c r="CZ188" i="4"/>
  <c r="CI218" i="23"/>
  <c r="DF176" i="4"/>
  <c r="BQ220" i="23"/>
  <c r="DD152" i="4"/>
  <c r="BG71" i="24"/>
  <c r="BU140" i="4"/>
  <c r="AX222" i="23"/>
  <c r="DB128" i="4"/>
  <c r="S67" i="24"/>
  <c r="BY92" i="4"/>
  <c r="J69" i="24"/>
  <c r="BW80" i="4"/>
  <c r="BT44" i="4"/>
  <c r="CD88" i="7"/>
  <c r="CD32" i="4"/>
  <c r="DQ264" i="23"/>
  <c r="EL219" i="7"/>
  <c r="EL220" i="4"/>
  <c r="BV224" i="23"/>
  <c r="CZ160" i="4"/>
  <c r="AA183" i="23"/>
  <c r="Y100" i="7"/>
  <c r="BO100" i="4"/>
  <c r="Y64" i="7"/>
  <c r="BO64" i="4"/>
  <c r="Y64" i="4" s="1"/>
  <c r="Y64" i="1" s="1"/>
  <c r="DE182" i="7"/>
  <c r="CN219" i="23"/>
  <c r="DE183" i="4"/>
  <c r="BU260" i="23"/>
  <c r="EP159" i="4"/>
  <c r="BC256" i="23"/>
  <c r="ET135" i="4"/>
  <c r="AJ254" i="23"/>
  <c r="EV111" i="4"/>
  <c r="DE54" i="7"/>
  <c r="DE51" i="4"/>
  <c r="DE54" i="4" s="1"/>
  <c r="EW15" i="7"/>
  <c r="EK15" i="4"/>
  <c r="EW15" i="4" s="1"/>
  <c r="AR223" i="23"/>
  <c r="DA122" i="4"/>
  <c r="DX64" i="24"/>
  <c r="CB229" i="4"/>
  <c r="CV65" i="24"/>
  <c r="CA192" i="4"/>
  <c r="BK265" i="23"/>
  <c r="EW144" i="7"/>
  <c r="EK144" i="4"/>
  <c r="AG67" i="24"/>
  <c r="BY108" i="4"/>
  <c r="DF225" i="23"/>
  <c r="CY203" i="4"/>
  <c r="DC178" i="7"/>
  <c r="CK221" i="23"/>
  <c r="DC179" i="4"/>
  <c r="AF189" i="23"/>
  <c r="S107" i="7"/>
  <c r="BI107" i="4"/>
  <c r="DV70" i="24"/>
  <c r="BV226" i="4"/>
  <c r="DE254" i="23"/>
  <c r="EV202" i="4"/>
  <c r="AE261" i="23"/>
  <c r="EO106" i="4"/>
  <c r="DL192" i="23"/>
  <c r="P211" i="7"/>
  <c r="BF211" i="4"/>
  <c r="DB261" i="23"/>
  <c r="EO199" i="4"/>
  <c r="CH225" i="23"/>
  <c r="CY175" i="4"/>
  <c r="BP191" i="23"/>
  <c r="BG150" i="7"/>
  <c r="Q151" i="7"/>
  <c r="BG151" i="4"/>
  <c r="BF192" i="23"/>
  <c r="BF138" i="7"/>
  <c r="P139" i="7"/>
  <c r="BF139" i="4"/>
  <c r="BO138" i="7"/>
  <c r="BF183" i="23"/>
  <c r="Y139" i="7"/>
  <c r="BO139" i="4"/>
  <c r="AW69" i="24"/>
  <c r="BW127" i="4"/>
  <c r="CW90" i="7"/>
  <c r="R227" i="23"/>
  <c r="CW91" i="4"/>
  <c r="I255" i="23"/>
  <c r="EU79" i="4"/>
  <c r="BU31" i="4"/>
  <c r="BU29" i="7"/>
  <c r="CO222" i="23"/>
  <c r="DB184" i="4"/>
  <c r="AT256" i="23"/>
  <c r="ET124" i="4"/>
  <c r="DI64" i="24"/>
  <c r="CB207" i="4"/>
  <c r="BM227" i="23"/>
  <c r="CW146" i="7"/>
  <c r="CW147" i="4"/>
  <c r="Z191" i="23"/>
  <c r="Q99" i="7"/>
  <c r="BG99" i="4"/>
  <c r="T63" i="7"/>
  <c r="BJ63" i="4"/>
  <c r="T63" i="4" s="1"/>
  <c r="T63" i="1" s="1"/>
  <c r="ER38" i="7"/>
  <c r="F258" i="23" s="1"/>
  <c r="ER39" i="4"/>
  <c r="ER38" i="4" s="1"/>
  <c r="V245" i="7"/>
  <c r="BL245" i="4"/>
  <c r="V245" i="4" s="1"/>
  <c r="V245" i="1" s="1"/>
  <c r="DH69" i="24"/>
  <c r="BW206" i="4"/>
  <c r="BW205" i="7"/>
  <c r="CC189" i="23"/>
  <c r="S169" i="7"/>
  <c r="BI169" i="4"/>
  <c r="EJ169" i="7"/>
  <c r="DP169" i="7"/>
  <c r="DN169" i="7"/>
  <c r="DM169" i="7"/>
  <c r="DJ169" i="7"/>
  <c r="DO169" i="7"/>
  <c r="DL169" i="7"/>
  <c r="DK169" i="7"/>
  <c r="DS169" i="7"/>
  <c r="DR169" i="7"/>
  <c r="DH169" i="7" s="1"/>
  <c r="DQ169" i="7"/>
  <c r="DI169" i="7"/>
  <c r="DT169" i="7"/>
  <c r="AQ72" i="24"/>
  <c r="BT121" i="4"/>
  <c r="X188" i="23"/>
  <c r="T97" i="7"/>
  <c r="BJ97" i="4"/>
  <c r="BZ243" i="4"/>
  <c r="DG262" i="23"/>
  <c r="EN204" i="4"/>
  <c r="CB220" i="23"/>
  <c r="DD168" i="4"/>
  <c r="AP265" i="23"/>
  <c r="EW120" i="7"/>
  <c r="EK120" i="4"/>
  <c r="W183" i="23"/>
  <c r="Y96" i="7"/>
  <c r="BO96" i="4"/>
  <c r="BK27" i="7"/>
  <c r="U24" i="7"/>
  <c r="BK24" i="4"/>
  <c r="DC214" i="7"/>
  <c r="DO221" i="23"/>
  <c r="DC215" i="4"/>
  <c r="AZ225" i="23"/>
  <c r="CY131" i="4"/>
  <c r="M261" i="23"/>
  <c r="EO83" i="4"/>
  <c r="T35" i="7"/>
  <c r="BJ35" i="4"/>
  <c r="T35" i="4" s="1"/>
  <c r="T35" i="1" s="1"/>
  <c r="CT72" i="24"/>
  <c r="BT190" i="4"/>
  <c r="BZ223" i="23"/>
  <c r="DA166" i="4"/>
  <c r="BS228" i="23"/>
  <c r="CV154" i="4"/>
  <c r="AN73" i="24"/>
  <c r="CE118" i="7"/>
  <c r="BS118" i="4"/>
  <c r="U73" i="24"/>
  <c r="CE94" i="7"/>
  <c r="BS94" i="4"/>
  <c r="DS185" i="23"/>
  <c r="W222" i="7"/>
  <c r="BM222" i="4"/>
  <c r="DK192" i="23"/>
  <c r="BF209" i="7"/>
  <c r="P210" i="7"/>
  <c r="BF210" i="4"/>
  <c r="DA260" i="23"/>
  <c r="EP198" i="4"/>
  <c r="CQ225" i="23"/>
  <c r="CY186" i="4"/>
  <c r="CG220" i="23"/>
  <c r="DD174" i="4"/>
  <c r="BX71" i="24"/>
  <c r="BU162" i="4"/>
  <c r="AV189" i="23"/>
  <c r="S126" i="7"/>
  <c r="BI126" i="4"/>
  <c r="AC228" i="23"/>
  <c r="CV102" i="4"/>
  <c r="H229" i="23"/>
  <c r="DG78" i="7"/>
  <c r="CU78" i="4"/>
  <c r="X42" i="7"/>
  <c r="BN42" i="4"/>
  <c r="CE30" i="7"/>
  <c r="BS30" i="4"/>
  <c r="CY186" i="23"/>
  <c r="V196" i="7"/>
  <c r="BL196" i="4"/>
  <c r="BN68" i="24"/>
  <c r="BX148" i="4"/>
  <c r="BD226" i="23"/>
  <c r="CX136" i="4"/>
  <c r="AK186" i="23"/>
  <c r="V112" i="7"/>
  <c r="BL112" i="4"/>
  <c r="CX260" i="23"/>
  <c r="EP195" i="4"/>
  <c r="CE171" i="7"/>
  <c r="CE73" i="24"/>
  <c r="BS171" i="4"/>
  <c r="AS224" i="23"/>
  <c r="CZ123" i="4"/>
  <c r="CW229" i="23"/>
  <c r="DG194" i="7"/>
  <c r="CU193" i="7"/>
  <c r="CU194" i="4"/>
  <c r="CD257" i="23"/>
  <c r="ES170" i="4"/>
  <c r="BB66" i="24"/>
  <c r="BZ134" i="4"/>
  <c r="BZ133" i="7"/>
  <c r="Y225" i="23"/>
  <c r="CY98" i="4"/>
  <c r="V62" i="7"/>
  <c r="BL62" i="4"/>
  <c r="V62" i="4" s="1"/>
  <c r="V62" i="1" s="1"/>
  <c r="DW62" i="24"/>
  <c r="CD227" i="7"/>
  <c r="CD228" i="4"/>
  <c r="CL62" i="24"/>
  <c r="CD180" i="4"/>
  <c r="AO63" i="24"/>
  <c r="CC119" i="4"/>
  <c r="DR227" i="23"/>
  <c r="CW221" i="4"/>
  <c r="CZ188" i="23"/>
  <c r="T197" i="7"/>
  <c r="BJ197" i="4"/>
  <c r="CP259" i="23"/>
  <c r="EQ185" i="4"/>
  <c r="CF225" i="23"/>
  <c r="CY172" i="7"/>
  <c r="CY173" i="4"/>
  <c r="BW184" i="23"/>
  <c r="X161" i="7"/>
  <c r="BN161" i="4"/>
  <c r="BO265" i="23"/>
  <c r="EW149" i="7"/>
  <c r="EK149" i="4"/>
  <c r="BE69" i="24"/>
  <c r="BW137" i="4"/>
  <c r="AU70" i="24"/>
  <c r="BV125" i="4"/>
  <c r="AL72" i="24"/>
  <c r="BT113" i="4"/>
  <c r="G63" i="24"/>
  <c r="CC76" i="7"/>
  <c r="CC77" i="4"/>
  <c r="DJ257" i="23"/>
  <c r="ES208" i="4"/>
  <c r="Q218" i="23"/>
  <c r="DF87" i="7"/>
  <c r="DF88" i="4"/>
  <c r="DF87" i="4" s="1"/>
  <c r="U16" i="7"/>
  <c r="BK16" i="4"/>
  <c r="U16" i="4" s="1"/>
  <c r="U16" i="1" s="1"/>
  <c r="AI187" i="23"/>
  <c r="U110" i="7"/>
  <c r="BK110" i="4"/>
  <c r="P256" i="23"/>
  <c r="ET86" i="4"/>
  <c r="CM185" i="23"/>
  <c r="W181" i="7"/>
  <c r="BM181" i="4"/>
  <c r="EJ181" i="7"/>
  <c r="DP181" i="7"/>
  <c r="DN181" i="7"/>
  <c r="DJ181" i="7"/>
  <c r="DO181" i="7"/>
  <c r="DM181" i="7"/>
  <c r="DL181" i="7"/>
  <c r="DK181" i="7"/>
  <c r="DQ181" i="7"/>
  <c r="DI181" i="7"/>
  <c r="DT181" i="7"/>
  <c r="DS181" i="7"/>
  <c r="DR181" i="7"/>
  <c r="DH181" i="7" s="1"/>
  <c r="BL263" i="23"/>
  <c r="EM145" i="4"/>
  <c r="AH260" i="23"/>
  <c r="EP109" i="4"/>
  <c r="O229" i="23"/>
  <c r="DG85" i="7"/>
  <c r="CU85" i="4"/>
  <c r="DP62" i="24"/>
  <c r="CD216" i="4"/>
  <c r="BA257" i="23"/>
  <c r="ES132" i="4"/>
  <c r="N222" i="23"/>
  <c r="DB84" i="4"/>
  <c r="BL241" i="7"/>
  <c r="EB186" i="23" s="1"/>
  <c r="V242" i="7"/>
  <c r="BL242" i="4"/>
  <c r="CU71" i="24"/>
  <c r="BU191" i="4"/>
  <c r="CA225" i="23"/>
  <c r="CY167" i="4"/>
  <c r="BJ259" i="23"/>
  <c r="EQ143" i="4"/>
  <c r="V265" i="23"/>
  <c r="EW95" i="7"/>
  <c r="EK95" i="4"/>
  <c r="EJ95" i="7"/>
  <c r="DP95" i="7"/>
  <c r="DO95" i="7"/>
  <c r="DN95" i="7"/>
  <c r="DM95" i="7"/>
  <c r="DL95" i="7"/>
  <c r="DK95" i="7"/>
  <c r="DJ95" i="7"/>
  <c r="DQ95" i="7"/>
  <c r="DI95" i="7"/>
  <c r="DT95" i="7"/>
  <c r="DS95" i="7"/>
  <c r="DR95" i="7"/>
  <c r="DH95" i="7" s="1"/>
  <c r="BI261" i="23"/>
  <c r="EO142" i="4"/>
  <c r="CA34" i="4"/>
  <c r="DU227" i="23"/>
  <c r="CW225" i="4"/>
  <c r="DN68" i="24"/>
  <c r="BX213" i="4"/>
  <c r="DD193" i="23"/>
  <c r="BQ201" i="7"/>
  <c r="O201" i="7"/>
  <c r="BE201" i="4"/>
  <c r="CS259" i="23"/>
  <c r="EQ189" i="4"/>
  <c r="CJ258" i="23"/>
  <c r="ER177" i="4"/>
  <c r="BY72" i="24"/>
  <c r="BT165" i="4"/>
  <c r="BT164" i="7"/>
  <c r="BR223" i="23"/>
  <c r="DA153" i="4"/>
  <c r="BH187" i="23"/>
  <c r="U141" i="7"/>
  <c r="BK141" i="4"/>
  <c r="AM226" i="23"/>
  <c r="CX116" i="7"/>
  <c r="CX117" i="4"/>
  <c r="ET104" i="7"/>
  <c r="AD256" i="23"/>
  <c r="ET105" i="4"/>
  <c r="T219" i="23"/>
  <c r="DE93" i="4"/>
  <c r="K183" i="23"/>
  <c r="Y81" i="7"/>
  <c r="BO81" i="4"/>
  <c r="W69" i="7"/>
  <c r="BM69" i="4"/>
  <c r="BY45" i="4"/>
  <c r="BP157" i="7"/>
  <c r="BT182" i="23"/>
  <c r="Z158" i="7"/>
  <c r="BP158" i="4"/>
  <c r="DD223" i="7"/>
  <c r="DT220" i="23"/>
  <c r="DD224" i="4"/>
  <c r="DM63" i="24"/>
  <c r="CC212" i="4"/>
  <c r="DC187" i="23"/>
  <c r="U200" i="7"/>
  <c r="BK200" i="4"/>
  <c r="CR192" i="23"/>
  <c r="BF187" i="7"/>
  <c r="P188" i="7"/>
  <c r="BF188" i="4"/>
  <c r="CI262" i="23"/>
  <c r="EN176" i="4"/>
  <c r="BQ64" i="24"/>
  <c r="CB152" i="4"/>
  <c r="BG183" i="23"/>
  <c r="Y140" i="7"/>
  <c r="BO140" i="4"/>
  <c r="AX68" i="24"/>
  <c r="BX128" i="4"/>
  <c r="S187" i="23"/>
  <c r="U92" i="7"/>
  <c r="BK92" i="4"/>
  <c r="J186" i="23"/>
  <c r="V80" i="7"/>
  <c r="BL80" i="4"/>
  <c r="EW68" i="7"/>
  <c r="EK68" i="4"/>
  <c r="R44" i="7"/>
  <c r="BH44" i="4"/>
  <c r="R44" i="4" s="1"/>
  <c r="R44" i="1" s="1"/>
  <c r="EJ44" i="7"/>
  <c r="DP44" i="7"/>
  <c r="DP44" i="4" s="1"/>
  <c r="DN44" i="7"/>
  <c r="DN44" i="4" s="1"/>
  <c r="DJ44" i="7"/>
  <c r="DJ44" i="4" s="1"/>
  <c r="DO44" i="7"/>
  <c r="DO44" i="4" s="1"/>
  <c r="DM44" i="7"/>
  <c r="DM44" i="4" s="1"/>
  <c r="DL44" i="7"/>
  <c r="DL44" i="4" s="1"/>
  <c r="DK44" i="7"/>
  <c r="DK44" i="4" s="1"/>
  <c r="DT44" i="7"/>
  <c r="DT44" i="4" s="1"/>
  <c r="DR44" i="7"/>
  <c r="DR44" i="4" s="1"/>
  <c r="DQ44" i="7"/>
  <c r="DS44" i="7"/>
  <c r="DI44" i="7"/>
  <c r="BV220" i="23"/>
  <c r="DD160" i="4"/>
  <c r="AA65" i="24"/>
  <c r="CA100" i="4"/>
  <c r="CN265" i="23"/>
  <c r="EW183" i="7"/>
  <c r="EK182" i="7"/>
  <c r="EK183" i="4"/>
  <c r="BU193" i="23"/>
  <c r="BQ159" i="7"/>
  <c r="O159" i="7"/>
  <c r="BE159" i="4"/>
  <c r="BC255" i="23"/>
  <c r="EU135" i="4"/>
  <c r="AJ188" i="23"/>
  <c r="T111" i="7"/>
  <c r="BJ111" i="4"/>
  <c r="CV54" i="7"/>
  <c r="CV51" i="4"/>
  <c r="CV54" i="4" s="1"/>
  <c r="AR257" i="23"/>
  <c r="ES122" i="4"/>
  <c r="DA13" i="7"/>
  <c r="DA6" i="7" s="1"/>
  <c r="DA14" i="4"/>
  <c r="DA13" i="4" s="1"/>
  <c r="DX187" i="23"/>
  <c r="U229" i="7"/>
  <c r="BK229" i="4"/>
  <c r="CZ60" i="7"/>
  <c r="CZ61" i="4"/>
  <c r="CZ60" i="4" s="1"/>
  <c r="CV260" i="23"/>
  <c r="EP192" i="4"/>
  <c r="BK184" i="23"/>
  <c r="X144" i="7"/>
  <c r="BN144" i="4"/>
  <c r="AG66" i="24"/>
  <c r="BZ108" i="4"/>
  <c r="DF222" i="23"/>
  <c r="DB203" i="4"/>
  <c r="BM178" i="7"/>
  <c r="CK185" i="23"/>
  <c r="W179" i="7"/>
  <c r="BM179" i="4"/>
  <c r="AF192" i="23"/>
  <c r="P107" i="7"/>
  <c r="BF107" i="4"/>
  <c r="DV189" i="23"/>
  <c r="S226" i="7"/>
  <c r="BI226" i="4"/>
  <c r="DE265" i="23"/>
  <c r="EW202" i="7"/>
  <c r="EK202" i="4"/>
  <c r="AE187" i="23"/>
  <c r="U106" i="7"/>
  <c r="BK106" i="4"/>
  <c r="DL63" i="24"/>
  <c r="CC211" i="4"/>
  <c r="CH186" i="23"/>
  <c r="V175" i="7"/>
  <c r="BL175" i="4"/>
  <c r="DU255" i="23"/>
  <c r="EU225" i="4"/>
  <c r="DU229" i="23"/>
  <c r="DG225" i="7"/>
  <c r="CU225" i="4"/>
  <c r="DU224" i="23"/>
  <c r="CZ225" i="4"/>
  <c r="DU66" i="24"/>
  <c r="BZ225" i="4"/>
  <c r="DN257" i="23"/>
  <c r="ES213" i="4"/>
  <c r="DN261" i="23"/>
  <c r="EO213" i="4"/>
  <c r="DN188" i="23"/>
  <c r="T213" i="7"/>
  <c r="BJ213" i="4"/>
  <c r="DN65" i="24"/>
  <c r="CA213" i="4"/>
  <c r="DD221" i="23"/>
  <c r="DC201" i="4"/>
  <c r="DD260" i="23"/>
  <c r="EP201" i="4"/>
  <c r="DD255" i="23"/>
  <c r="EU201" i="4"/>
  <c r="DD65" i="24"/>
  <c r="CA201" i="4"/>
  <c r="CS186" i="23"/>
  <c r="V189" i="7"/>
  <c r="BL189" i="4"/>
  <c r="CS255" i="23"/>
  <c r="EU189" i="4"/>
  <c r="CS189" i="23"/>
  <c r="S189" i="7"/>
  <c r="BI189" i="4"/>
  <c r="CS69" i="24"/>
  <c r="BW189" i="4"/>
  <c r="CJ193" i="23"/>
  <c r="BQ177" i="7"/>
  <c r="O177" i="7"/>
  <c r="BE177" i="4"/>
  <c r="CJ218" i="23"/>
  <c r="DF177" i="4"/>
  <c r="CJ261" i="23"/>
  <c r="EO177" i="4"/>
  <c r="CJ68" i="24"/>
  <c r="BX177" i="4"/>
  <c r="BY225" i="23"/>
  <c r="CY164" i="7"/>
  <c r="CY165" i="4"/>
  <c r="EV164" i="7"/>
  <c r="BY254" i="23"/>
  <c r="EV165" i="4"/>
  <c r="BY259" i="23"/>
  <c r="EQ164" i="7"/>
  <c r="EQ165" i="4"/>
  <c r="BY70" i="24"/>
  <c r="BV164" i="7"/>
  <c r="BV165" i="4"/>
  <c r="BR227" i="23"/>
  <c r="CW153" i="4"/>
  <c r="BR254" i="23"/>
  <c r="EV153" i="4"/>
  <c r="BR184" i="23"/>
  <c r="X153" i="7"/>
  <c r="BN153" i="4"/>
  <c r="BR69" i="24"/>
  <c r="BW153" i="4"/>
  <c r="BH221" i="23"/>
  <c r="DC141" i="4"/>
  <c r="BH189" i="23"/>
  <c r="S141" i="7"/>
  <c r="BI141" i="4"/>
  <c r="BH190" i="23"/>
  <c r="R141" i="7"/>
  <c r="BH141" i="4"/>
  <c r="BH71" i="24"/>
  <c r="BU141" i="4"/>
  <c r="EJ141" i="7"/>
  <c r="DP141" i="7"/>
  <c r="DK141" i="7"/>
  <c r="DO141" i="7"/>
  <c r="DN141" i="7"/>
  <c r="DM141" i="7"/>
  <c r="DL141" i="7"/>
  <c r="DJ141" i="7"/>
  <c r="DI141" i="7"/>
  <c r="DQ141" i="7"/>
  <c r="DT141" i="7"/>
  <c r="DS141" i="7"/>
  <c r="DR141" i="7"/>
  <c r="DH141" i="7" s="1"/>
  <c r="AM227" i="23"/>
  <c r="CW116" i="7"/>
  <c r="CW117" i="4"/>
  <c r="AM225" i="23"/>
  <c r="CY116" i="7"/>
  <c r="CY117" i="4"/>
  <c r="AM263" i="23"/>
  <c r="EM116" i="7"/>
  <c r="EM117" i="4"/>
  <c r="AM72" i="24"/>
  <c r="BT117" i="4"/>
  <c r="BT116" i="7"/>
  <c r="AD265" i="23"/>
  <c r="EW105" i="7"/>
  <c r="EK104" i="7"/>
  <c r="EK105" i="4"/>
  <c r="AD218" i="23"/>
  <c r="DF104" i="7"/>
  <c r="DF105" i="4"/>
  <c r="AD223" i="23"/>
  <c r="DA104" i="7"/>
  <c r="DA105" i="4"/>
  <c r="CE105" i="7"/>
  <c r="AD73" i="24"/>
  <c r="BS105" i="4"/>
  <c r="BS104" i="7"/>
  <c r="T222" i="23"/>
  <c r="DB93" i="4"/>
  <c r="T220" i="23"/>
  <c r="DD93" i="4"/>
  <c r="T264" i="23"/>
  <c r="EL93" i="4"/>
  <c r="T63" i="24"/>
  <c r="CC93" i="4"/>
  <c r="K221" i="23"/>
  <c r="DC81" i="4"/>
  <c r="K261" i="23"/>
  <c r="EO81" i="4"/>
  <c r="K224" i="23"/>
  <c r="CZ81" i="4"/>
  <c r="K62" i="24"/>
  <c r="CD81" i="4"/>
  <c r="DG69" i="7"/>
  <c r="CU69" i="4"/>
  <c r="DG45" i="7"/>
  <c r="CU45" i="4"/>
  <c r="CA45" i="4"/>
  <c r="Y33" i="7"/>
  <c r="BO33" i="4"/>
  <c r="Y33" i="4" s="1"/>
  <c r="Y33" i="1" s="1"/>
  <c r="CA33" i="4"/>
  <c r="W21" i="7"/>
  <c r="BM21" i="4"/>
  <c r="W21" i="4" s="1"/>
  <c r="W21" i="1" s="1"/>
  <c r="BI157" i="7"/>
  <c r="BT189" i="23"/>
  <c r="S158" i="7"/>
  <c r="BI158" i="4"/>
  <c r="BT193" i="23"/>
  <c r="BE157" i="7"/>
  <c r="BQ158" i="7"/>
  <c r="O158" i="7"/>
  <c r="BE158" i="4"/>
  <c r="BT191" i="23"/>
  <c r="BG157" i="7"/>
  <c r="Q158" i="7"/>
  <c r="BG158" i="4"/>
  <c r="BT70" i="24"/>
  <c r="BV158" i="4"/>
  <c r="BV157" i="7"/>
  <c r="DT193" i="23"/>
  <c r="BQ224" i="7"/>
  <c r="BE223" i="7"/>
  <c r="O224" i="7"/>
  <c r="BE224" i="4"/>
  <c r="DT191" i="23"/>
  <c r="BG223" i="7"/>
  <c r="Q224" i="7"/>
  <c r="BG224" i="4"/>
  <c r="BI223" i="7"/>
  <c r="DT189" i="23"/>
  <c r="S224" i="7"/>
  <c r="BI224" i="4"/>
  <c r="DT69" i="24"/>
  <c r="BW224" i="4"/>
  <c r="BW223" i="7"/>
  <c r="DM228" i="23"/>
  <c r="CV212" i="4"/>
  <c r="DM191" i="23"/>
  <c r="Q212" i="7"/>
  <c r="BG212" i="4"/>
  <c r="DM254" i="23"/>
  <c r="EV212" i="4"/>
  <c r="DM70" i="24"/>
  <c r="BV212" i="4"/>
  <c r="DC191" i="23"/>
  <c r="Q200" i="7"/>
  <c r="BG200" i="4"/>
  <c r="DC184" i="23"/>
  <c r="X200" i="7"/>
  <c r="BN200" i="4"/>
  <c r="DC265" i="23"/>
  <c r="EW200" i="7"/>
  <c r="EK200" i="4"/>
  <c r="DC70" i="24"/>
  <c r="BV200" i="4"/>
  <c r="EJ200" i="7"/>
  <c r="DP200" i="7"/>
  <c r="DN200" i="7"/>
  <c r="DO200" i="7"/>
  <c r="DM200" i="7"/>
  <c r="DL200" i="7"/>
  <c r="DK200" i="7"/>
  <c r="DJ200" i="7"/>
  <c r="DS200" i="7"/>
  <c r="DI200" i="7"/>
  <c r="DT200" i="7"/>
  <c r="DR200" i="7"/>
  <c r="DH200" i="7" s="1"/>
  <c r="DQ200" i="7"/>
  <c r="CR219" i="23"/>
  <c r="DE187" i="7"/>
  <c r="DE188" i="4"/>
  <c r="CR261" i="23"/>
  <c r="EO187" i="7"/>
  <c r="EO188" i="4"/>
  <c r="CR263" i="23"/>
  <c r="EM187" i="7"/>
  <c r="EM188" i="4"/>
  <c r="CR72" i="24"/>
  <c r="BT188" i="4"/>
  <c r="BT187" i="7"/>
  <c r="CI227" i="23"/>
  <c r="CW176" i="4"/>
  <c r="CI256" i="23"/>
  <c r="ET176" i="4"/>
  <c r="CI223" i="23"/>
  <c r="DA176" i="4"/>
  <c r="CI63" i="24"/>
  <c r="CC176" i="4"/>
  <c r="BQ225" i="23"/>
  <c r="CY152" i="4"/>
  <c r="BQ219" i="23"/>
  <c r="DE152" i="4"/>
  <c r="BQ264" i="23"/>
  <c r="EL152" i="4"/>
  <c r="BQ66" i="24"/>
  <c r="BZ152" i="4"/>
  <c r="BG190" i="23"/>
  <c r="R140" i="7"/>
  <c r="BH140" i="4"/>
  <c r="BG220" i="23"/>
  <c r="DD140" i="4"/>
  <c r="BG224" i="23"/>
  <c r="CZ140" i="4"/>
  <c r="BG66" i="24"/>
  <c r="BZ140" i="4"/>
  <c r="AX227" i="23"/>
  <c r="CW128" i="4"/>
  <c r="AX184" i="23"/>
  <c r="X128" i="7"/>
  <c r="BN128" i="4"/>
  <c r="AX265" i="23"/>
  <c r="EW128" i="7"/>
  <c r="EK128" i="4"/>
  <c r="AX64" i="24"/>
  <c r="CB128" i="4"/>
  <c r="S220" i="23"/>
  <c r="DD92" i="4"/>
  <c r="S255" i="23"/>
  <c r="EU92" i="4"/>
  <c r="S183" i="23"/>
  <c r="Y92" i="7"/>
  <c r="BO92" i="4"/>
  <c r="S64" i="24"/>
  <c r="CB92" i="4"/>
  <c r="J260" i="23"/>
  <c r="EP80" i="4"/>
  <c r="J218" i="23"/>
  <c r="DF80" i="4"/>
  <c r="J265" i="23"/>
  <c r="EW80" i="7"/>
  <c r="EK80" i="4"/>
  <c r="J65" i="24"/>
  <c r="CA80" i="4"/>
  <c r="P68" i="7"/>
  <c r="BF68" i="4"/>
  <c r="P68" i="4" s="1"/>
  <c r="P68" i="1" s="1"/>
  <c r="BV44" i="4"/>
  <c r="U32" i="7"/>
  <c r="BK32" i="4"/>
  <c r="U32" i="4" s="1"/>
  <c r="U32" i="1" s="1"/>
  <c r="CE32" i="7"/>
  <c r="BV88" i="7"/>
  <c r="BV32" i="4"/>
  <c r="U20" i="7"/>
  <c r="BK20" i="4"/>
  <c r="U20" i="4" s="1"/>
  <c r="U20" i="1" s="1"/>
  <c r="BN219" i="7"/>
  <c r="BR219" i="7" s="1"/>
  <c r="DQ184" i="23"/>
  <c r="X220" i="7"/>
  <c r="AB220" i="7" s="1"/>
  <c r="BN220" i="4"/>
  <c r="DQ257" i="23"/>
  <c r="ES219" i="7"/>
  <c r="EX219" i="7" s="1"/>
  <c r="ES220" i="4"/>
  <c r="DQ260" i="23"/>
  <c r="EP219" i="7"/>
  <c r="EP220" i="4"/>
  <c r="BV259" i="23"/>
  <c r="EQ160" i="4"/>
  <c r="BV225" i="23"/>
  <c r="CY160" i="4"/>
  <c r="BV263" i="23"/>
  <c r="EM160" i="4"/>
  <c r="BV72" i="24"/>
  <c r="BT160" i="4"/>
  <c r="AA191" i="23"/>
  <c r="Q100" i="7"/>
  <c r="BG100" i="4"/>
  <c r="AA218" i="23"/>
  <c r="DF100" i="4"/>
  <c r="AA223" i="23"/>
  <c r="DA100" i="4"/>
  <c r="AA62" i="24"/>
  <c r="CD100" i="4"/>
  <c r="T64" i="7"/>
  <c r="BJ64" i="4"/>
  <c r="T64" i="4" s="1"/>
  <c r="T64" i="1" s="1"/>
  <c r="X64" i="7"/>
  <c r="BN64" i="4"/>
  <c r="EU182" i="7"/>
  <c r="CN255" i="23"/>
  <c r="EU183" i="4"/>
  <c r="ES182" i="7"/>
  <c r="CN257" i="23"/>
  <c r="ES183" i="4"/>
  <c r="EL182" i="7"/>
  <c r="CN264" i="23"/>
  <c r="EL183" i="4"/>
  <c r="CN64" i="24"/>
  <c r="CB183" i="4"/>
  <c r="CB182" i="7"/>
  <c r="BU259" i="23"/>
  <c r="EQ159" i="4"/>
  <c r="BU190" i="23"/>
  <c r="R159" i="7"/>
  <c r="BH159" i="4"/>
  <c r="BU224" i="23"/>
  <c r="CZ159" i="4"/>
  <c r="CE159" i="7"/>
  <c r="BU73" i="24"/>
  <c r="BS159" i="4"/>
  <c r="BC182" i="23"/>
  <c r="Z135" i="7"/>
  <c r="BP135" i="4"/>
  <c r="BC254" i="23"/>
  <c r="EV135" i="4"/>
  <c r="BC183" i="23"/>
  <c r="Y135" i="7"/>
  <c r="BO135" i="4"/>
  <c r="BC62" i="24"/>
  <c r="CD135" i="4"/>
  <c r="AJ193" i="23"/>
  <c r="BQ111" i="7"/>
  <c r="O111" i="7"/>
  <c r="BE111" i="4"/>
  <c r="AJ186" i="23"/>
  <c r="V111" i="7"/>
  <c r="BL111" i="4"/>
  <c r="AJ183" i="23"/>
  <c r="Y111" i="7"/>
  <c r="BO111" i="4"/>
  <c r="AJ64" i="24"/>
  <c r="CB111" i="4"/>
  <c r="BF54" i="7"/>
  <c r="P51" i="7"/>
  <c r="P54" i="7" s="1"/>
  <c r="BF51" i="4"/>
  <c r="ET54" i="7"/>
  <c r="ET51" i="4"/>
  <c r="ET54" i="4" s="1"/>
  <c r="CX54" i="7"/>
  <c r="CX51" i="4"/>
  <c r="CX54" i="4" s="1"/>
  <c r="Z15" i="7"/>
  <c r="BP15" i="4"/>
  <c r="Z15" i="4" s="1"/>
  <c r="Z15" i="1" s="1"/>
  <c r="AR218" i="23"/>
  <c r="DF122" i="4"/>
  <c r="AR185" i="23"/>
  <c r="W122" i="7"/>
  <c r="BM122" i="4"/>
  <c r="AR186" i="23"/>
  <c r="V122" i="7"/>
  <c r="BL122" i="4"/>
  <c r="AR67" i="24"/>
  <c r="BY122" i="4"/>
  <c r="BF13" i="7"/>
  <c r="BF6" i="7" s="1"/>
  <c r="P14" i="7"/>
  <c r="BF14" i="4"/>
  <c r="BJ13" i="7"/>
  <c r="BJ6" i="7" s="1"/>
  <c r="T14" i="7"/>
  <c r="BJ14" i="4"/>
  <c r="ET13" i="7"/>
  <c r="ET6" i="7" s="1"/>
  <c r="ET14" i="4"/>
  <c r="ET13" i="4" s="1"/>
  <c r="DX261" i="23"/>
  <c r="EO229" i="4"/>
  <c r="DX256" i="23"/>
  <c r="ET229" i="4"/>
  <c r="DX229" i="23"/>
  <c r="DG229" i="7"/>
  <c r="CU229" i="4"/>
  <c r="CE229" i="7"/>
  <c r="DX73" i="24"/>
  <c r="BS229" i="4"/>
  <c r="EJ229" i="7"/>
  <c r="DN229" i="7"/>
  <c r="DM229" i="7"/>
  <c r="AG229" i="7" s="1"/>
  <c r="DL229" i="7"/>
  <c r="AF229" i="7" s="1"/>
  <c r="DK229" i="7"/>
  <c r="AE229" i="7" s="1"/>
  <c r="DJ229" i="7"/>
  <c r="DI229" i="7"/>
  <c r="AC229" i="7" s="1"/>
  <c r="DT229" i="7"/>
  <c r="AN229" i="7" s="1"/>
  <c r="DS229" i="7"/>
  <c r="DR229" i="7"/>
  <c r="AL229" i="7" s="1"/>
  <c r="DQ229" i="7"/>
  <c r="AK229" i="7" s="1"/>
  <c r="DP229" i="7"/>
  <c r="AJ229" i="7" s="1"/>
  <c r="DO229" i="7"/>
  <c r="BJ60" i="7"/>
  <c r="T61" i="7"/>
  <c r="BJ61" i="4"/>
  <c r="BH60" i="7"/>
  <c r="R61" i="7"/>
  <c r="BH61" i="4"/>
  <c r="EM60" i="7"/>
  <c r="EM61" i="4"/>
  <c r="EM60" i="4" s="1"/>
  <c r="CV220" i="23"/>
  <c r="DD192" i="4"/>
  <c r="CV222" i="23"/>
  <c r="DB192" i="4"/>
  <c r="CV223" i="23"/>
  <c r="DA192" i="4"/>
  <c r="CV73" i="24"/>
  <c r="CE192" i="7"/>
  <c r="BS192" i="4"/>
  <c r="BK225" i="23"/>
  <c r="CY144" i="4"/>
  <c r="BK227" i="23"/>
  <c r="CW144" i="4"/>
  <c r="BK264" i="23"/>
  <c r="EL144" i="4"/>
  <c r="CE144" i="7"/>
  <c r="BK73" i="24"/>
  <c r="BS144" i="4"/>
  <c r="AG225" i="23"/>
  <c r="CY108" i="4"/>
  <c r="AG257" i="23"/>
  <c r="ES108" i="4"/>
  <c r="AG224" i="23"/>
  <c r="CZ108" i="4"/>
  <c r="AG65" i="24"/>
  <c r="CA108" i="4"/>
  <c r="DF258" i="23"/>
  <c r="ER203" i="4"/>
  <c r="DF220" i="23"/>
  <c r="DD203" i="4"/>
  <c r="DF224" i="23"/>
  <c r="CZ203" i="4"/>
  <c r="DF64" i="24"/>
  <c r="CB203" i="4"/>
  <c r="CK226" i="23"/>
  <c r="CX178" i="7"/>
  <c r="CX179" i="4"/>
  <c r="EO178" i="7"/>
  <c r="CK261" i="23"/>
  <c r="EO179" i="4"/>
  <c r="CK188" i="23"/>
  <c r="BJ178" i="7"/>
  <c r="T179" i="7"/>
  <c r="BJ179" i="4"/>
  <c r="CK64" i="24"/>
  <c r="CB179" i="4"/>
  <c r="CB178" i="7"/>
  <c r="AF261" i="23"/>
  <c r="EO107" i="4"/>
  <c r="AF226" i="23"/>
  <c r="CX107" i="4"/>
  <c r="AF183" i="23"/>
  <c r="Y107" i="7"/>
  <c r="BO107" i="4"/>
  <c r="AF65" i="24"/>
  <c r="CA107" i="4"/>
  <c r="DV220" i="23"/>
  <c r="DD226" i="4"/>
  <c r="DV258" i="23"/>
  <c r="ER226" i="4"/>
  <c r="DV225" i="23"/>
  <c r="CY226" i="4"/>
  <c r="DV71" i="24"/>
  <c r="BU226" i="4"/>
  <c r="DE219" i="23"/>
  <c r="DE202" i="4"/>
  <c r="DE257" i="23"/>
  <c r="ES202" i="4"/>
  <c r="DE227" i="23"/>
  <c r="CW202" i="4"/>
  <c r="DE70" i="24"/>
  <c r="BV202" i="4"/>
  <c r="AE193" i="23"/>
  <c r="BQ106" i="7"/>
  <c r="O106" i="7"/>
  <c r="BE106" i="4"/>
  <c r="AE262" i="23"/>
  <c r="EN106" i="4"/>
  <c r="AE227" i="23"/>
  <c r="CW106" i="4"/>
  <c r="AE69" i="24"/>
  <c r="BW106" i="4"/>
  <c r="DL183" i="23"/>
  <c r="Y211" i="7"/>
  <c r="BO211" i="4"/>
  <c r="DL229" i="23"/>
  <c r="DG211" i="7"/>
  <c r="CU211" i="4"/>
  <c r="DL222" i="23"/>
  <c r="DB211" i="4"/>
  <c r="DL71" i="24"/>
  <c r="BU211" i="4"/>
  <c r="DB193" i="23"/>
  <c r="BQ199" i="7"/>
  <c r="O199" i="7"/>
  <c r="BE199" i="4"/>
  <c r="DB256" i="23"/>
  <c r="ET199" i="4"/>
  <c r="DB186" i="23"/>
  <c r="V199" i="7"/>
  <c r="BL199" i="4"/>
  <c r="DB69" i="24"/>
  <c r="BW199" i="4"/>
  <c r="EJ199" i="7"/>
  <c r="DP199" i="7"/>
  <c r="DN199" i="7"/>
  <c r="DO199" i="7"/>
  <c r="DM199" i="7"/>
  <c r="DL199" i="7"/>
  <c r="DK199" i="7"/>
  <c r="DJ199" i="7"/>
  <c r="DT199" i="7"/>
  <c r="DS199" i="7"/>
  <c r="DR199" i="7"/>
  <c r="DH199" i="7" s="1"/>
  <c r="DQ199" i="7"/>
  <c r="DI199" i="7"/>
  <c r="CH226" i="23"/>
  <c r="CX175" i="4"/>
  <c r="CH256" i="23"/>
  <c r="ET175" i="4"/>
  <c r="CH263" i="23"/>
  <c r="EM175" i="4"/>
  <c r="CH72" i="24"/>
  <c r="BT175" i="4"/>
  <c r="ER150" i="7"/>
  <c r="BP258" i="23"/>
  <c r="ER151" i="4"/>
  <c r="CW150" i="7"/>
  <c r="BP227" i="23"/>
  <c r="CW151" i="4"/>
  <c r="BP223" i="23"/>
  <c r="DA150" i="7"/>
  <c r="DA151" i="4"/>
  <c r="BP64" i="24"/>
  <c r="CB150" i="7"/>
  <c r="CB151" i="4"/>
  <c r="DC138" i="7"/>
  <c r="BF221" i="23"/>
  <c r="DC139" i="4"/>
  <c r="BM138" i="7"/>
  <c r="BF185" i="23"/>
  <c r="W139" i="7"/>
  <c r="BM139" i="4"/>
  <c r="BF264" i="23"/>
  <c r="EL138" i="7"/>
  <c r="EL139" i="4"/>
  <c r="BF65" i="24"/>
  <c r="CA139" i="4"/>
  <c r="CA138" i="7"/>
  <c r="AW260" i="23"/>
  <c r="EP127" i="4"/>
  <c r="AW222" i="23"/>
  <c r="DB127" i="4"/>
  <c r="AW224" i="23"/>
  <c r="CZ127" i="4"/>
  <c r="AW64" i="24"/>
  <c r="CB127" i="4"/>
  <c r="R190" i="23"/>
  <c r="BH90" i="7"/>
  <c r="R91" i="7"/>
  <c r="BH91" i="4"/>
  <c r="ET90" i="7"/>
  <c r="R256" i="23"/>
  <c r="ET91" i="4"/>
  <c r="EU90" i="7"/>
  <c r="R255" i="23"/>
  <c r="EU91" i="4"/>
  <c r="R62" i="24"/>
  <c r="CD90" i="7"/>
  <c r="CD91" i="4"/>
  <c r="I222" i="23"/>
  <c r="DB79" i="4"/>
  <c r="I221" i="23"/>
  <c r="DC79" i="4"/>
  <c r="I219" i="23"/>
  <c r="DE79" i="4"/>
  <c r="I64" i="24"/>
  <c r="CB79" i="4"/>
  <c r="Z67" i="7"/>
  <c r="BP67" i="4"/>
  <c r="Z67" i="4" s="1"/>
  <c r="Z67" i="1" s="1"/>
  <c r="T67" i="7"/>
  <c r="BJ67" i="4"/>
  <c r="T67" i="4" s="1"/>
  <c r="T67" i="1" s="1"/>
  <c r="W67" i="7"/>
  <c r="BM67" i="4"/>
  <c r="BP57" i="7"/>
  <c r="Z55" i="7"/>
  <c r="Z57" i="7" s="1"/>
  <c r="BP55" i="4"/>
  <c r="CV57" i="7"/>
  <c r="CV55" i="4"/>
  <c r="CV57" i="4" s="1"/>
  <c r="EV57" i="7"/>
  <c r="EV55" i="4"/>
  <c r="EV57" i="4" s="1"/>
  <c r="EV29" i="7"/>
  <c r="EV31" i="4"/>
  <c r="EV29" i="4" s="1"/>
  <c r="EQ29" i="7"/>
  <c r="EQ31" i="4"/>
  <c r="EQ29" i="4" s="1"/>
  <c r="BM29" i="7"/>
  <c r="W31" i="7"/>
  <c r="BM31" i="4"/>
  <c r="BV29" i="7"/>
  <c r="BV31" i="4"/>
  <c r="P19" i="7"/>
  <c r="BF19" i="4"/>
  <c r="P19" i="4" s="1"/>
  <c r="P19" i="1" s="1"/>
  <c r="DG19" i="7"/>
  <c r="CU19" i="4"/>
  <c r="DG19" i="4" s="1"/>
  <c r="V19" i="7"/>
  <c r="BL19" i="4"/>
  <c r="V19" i="4" s="1"/>
  <c r="V19" i="1" s="1"/>
  <c r="CO228" i="23"/>
  <c r="CV184" i="4"/>
  <c r="CO255" i="23"/>
  <c r="EU184" i="4"/>
  <c r="CO254" i="23"/>
  <c r="EV184" i="4"/>
  <c r="CO69" i="24"/>
  <c r="BW184" i="4"/>
  <c r="AT228" i="23"/>
  <c r="CV124" i="4"/>
  <c r="AT187" i="23"/>
  <c r="U124" i="7"/>
  <c r="BK124" i="4"/>
  <c r="AT189" i="23"/>
  <c r="S124" i="7"/>
  <c r="BI124" i="4"/>
  <c r="AT71" i="24"/>
  <c r="BU124" i="4"/>
  <c r="EJ124" i="7"/>
  <c r="DP124" i="7"/>
  <c r="DL124" i="7"/>
  <c r="DJ124" i="7"/>
  <c r="DO124" i="7"/>
  <c r="DN124" i="7"/>
  <c r="DM124" i="7"/>
  <c r="DK124" i="7"/>
  <c r="DT124" i="7"/>
  <c r="DS124" i="7"/>
  <c r="DR124" i="7"/>
  <c r="DH124" i="7" s="1"/>
  <c r="DQ124" i="7"/>
  <c r="DI124" i="7"/>
  <c r="DI262" i="23"/>
  <c r="EN207" i="4"/>
  <c r="DI185" i="23"/>
  <c r="W207" i="7"/>
  <c r="BM207" i="4"/>
  <c r="DI263" i="23"/>
  <c r="EM207" i="4"/>
  <c r="DI72" i="24"/>
  <c r="BT207" i="4"/>
  <c r="EV146" i="7"/>
  <c r="BM254" i="23"/>
  <c r="EV147" i="4"/>
  <c r="BM221" i="23"/>
  <c r="DC146" i="7"/>
  <c r="DC147" i="4"/>
  <c r="BM223" i="23"/>
  <c r="DA146" i="7"/>
  <c r="DA147" i="4"/>
  <c r="BM62" i="24"/>
  <c r="CD147" i="4"/>
  <c r="CD146" i="7"/>
  <c r="Z260" i="23"/>
  <c r="EP99" i="4"/>
  <c r="Z227" i="23"/>
  <c r="CW99" i="4"/>
  <c r="Z264" i="23"/>
  <c r="EL99" i="4"/>
  <c r="CE99" i="7"/>
  <c r="Z73" i="24"/>
  <c r="BS99" i="4"/>
  <c r="Q63" i="7"/>
  <c r="BG63" i="4"/>
  <c r="Q63" i="4" s="1"/>
  <c r="Q63" i="1" s="1"/>
  <c r="DF38" i="7"/>
  <c r="F218" i="23" s="1"/>
  <c r="DF39" i="4"/>
  <c r="DF38" i="4" s="1"/>
  <c r="BN38" i="7"/>
  <c r="X39" i="7"/>
  <c r="BN39" i="4"/>
  <c r="EU38" i="7"/>
  <c r="F255" i="23" s="1"/>
  <c r="EU39" i="4"/>
  <c r="EU38" i="4" s="1"/>
  <c r="CB39" i="4"/>
  <c r="CB38" i="7"/>
  <c r="F64" i="24" s="1"/>
  <c r="BQ245" i="7"/>
  <c r="O245" i="7"/>
  <c r="BE245" i="4"/>
  <c r="T245" i="7"/>
  <c r="BJ245" i="4"/>
  <c r="T245" i="4" s="1"/>
  <c r="T245" i="1" s="1"/>
  <c r="CA245" i="4"/>
  <c r="ES205" i="7"/>
  <c r="DH257" i="23"/>
  <c r="ES206" i="4"/>
  <c r="BI205" i="7"/>
  <c r="DH189" i="23"/>
  <c r="S206" i="7"/>
  <c r="BI206" i="4"/>
  <c r="DH259" i="23"/>
  <c r="EQ205" i="7"/>
  <c r="EQ206" i="4"/>
  <c r="DH66" i="24"/>
  <c r="BZ205" i="7"/>
  <c r="BZ206" i="4"/>
  <c r="CC182" i="23"/>
  <c r="Z169" i="7"/>
  <c r="BP169" i="4"/>
  <c r="CC265" i="23"/>
  <c r="EW169" i="7"/>
  <c r="EK169" i="4"/>
  <c r="CC183" i="23"/>
  <c r="Y169" i="7"/>
  <c r="BO169" i="4"/>
  <c r="CC71" i="24"/>
  <c r="BU169" i="4"/>
  <c r="AQ218" i="23"/>
  <c r="DF121" i="4"/>
  <c r="AQ258" i="23"/>
  <c r="ER121" i="4"/>
  <c r="AQ228" i="23"/>
  <c r="CV121" i="4"/>
  <c r="AQ67" i="24"/>
  <c r="BY121" i="4"/>
  <c r="X220" i="23"/>
  <c r="DD97" i="4"/>
  <c r="X257" i="23"/>
  <c r="ES97" i="4"/>
  <c r="X228" i="23"/>
  <c r="CV97" i="4"/>
  <c r="X69" i="24"/>
  <c r="BW97" i="4"/>
  <c r="BT243" i="4"/>
  <c r="DG229" i="23"/>
  <c r="DG204" i="7"/>
  <c r="CU204" i="4"/>
  <c r="DG190" i="23"/>
  <c r="R204" i="7"/>
  <c r="BH204" i="4"/>
  <c r="DG222" i="23"/>
  <c r="DB204" i="4"/>
  <c r="DG71" i="24"/>
  <c r="BU204" i="4"/>
  <c r="EJ204" i="7"/>
  <c r="DP204" i="7"/>
  <c r="DN204" i="7"/>
  <c r="DO204" i="7"/>
  <c r="DM204" i="7"/>
  <c r="DL204" i="7"/>
  <c r="DK204" i="7"/>
  <c r="DJ204" i="7"/>
  <c r="DT204" i="7"/>
  <c r="DS204" i="7"/>
  <c r="DR204" i="7"/>
  <c r="DH204" i="7" s="1"/>
  <c r="DQ204" i="7"/>
  <c r="DI204" i="7"/>
  <c r="CB228" i="23"/>
  <c r="CV168" i="4"/>
  <c r="CB193" i="23"/>
  <c r="BQ168" i="7"/>
  <c r="O168" i="7"/>
  <c r="BE168" i="4"/>
  <c r="CB263" i="23"/>
  <c r="EM168" i="4"/>
  <c r="CB72" i="24"/>
  <c r="BT168" i="4"/>
  <c r="AP189" i="23"/>
  <c r="S120" i="7"/>
  <c r="BI120" i="4"/>
  <c r="AP187" i="23"/>
  <c r="U120" i="7"/>
  <c r="BK120" i="4"/>
  <c r="AP223" i="23"/>
  <c r="DA120" i="4"/>
  <c r="AP64" i="24"/>
  <c r="CB120" i="4"/>
  <c r="W190" i="23"/>
  <c r="R96" i="7"/>
  <c r="BH96" i="4"/>
  <c r="W228" i="23"/>
  <c r="CV96" i="4"/>
  <c r="W264" i="23"/>
  <c r="EL96" i="4"/>
  <c r="W63" i="24"/>
  <c r="CC96" i="4"/>
  <c r="BH27" i="7"/>
  <c r="R24" i="7"/>
  <c r="BH24" i="4"/>
  <c r="BN27" i="7"/>
  <c r="X24" i="7"/>
  <c r="BN24" i="4"/>
  <c r="CZ27" i="7"/>
  <c r="CZ24" i="4"/>
  <c r="CZ27" i="4" s="1"/>
  <c r="DB214" i="7"/>
  <c r="DO222" i="23"/>
  <c r="DB215" i="4"/>
  <c r="EP214" i="7"/>
  <c r="DO260" i="23"/>
  <c r="EP215" i="4"/>
  <c r="CZ214" i="7"/>
  <c r="DO224" i="23"/>
  <c r="CZ215" i="4"/>
  <c r="DO64" i="24"/>
  <c r="CB215" i="4"/>
  <c r="CB214" i="7"/>
  <c r="AZ226" i="23"/>
  <c r="CX131" i="4"/>
  <c r="AZ189" i="23"/>
  <c r="S131" i="7"/>
  <c r="BI131" i="4"/>
  <c r="AZ229" i="23"/>
  <c r="DG131" i="7"/>
  <c r="CU131" i="4"/>
  <c r="AZ65" i="24"/>
  <c r="CA131" i="4"/>
  <c r="M182" i="23"/>
  <c r="Z83" i="7"/>
  <c r="BP83" i="4"/>
  <c r="M257" i="23"/>
  <c r="ES83" i="4"/>
  <c r="M183" i="23"/>
  <c r="Y83" i="7"/>
  <c r="BO83" i="4"/>
  <c r="M66" i="24"/>
  <c r="BZ83" i="4"/>
  <c r="X35" i="7"/>
  <c r="AB35" i="7" s="1"/>
  <c r="BN35" i="4"/>
  <c r="W35" i="7"/>
  <c r="BM35" i="4"/>
  <c r="CT218" i="23"/>
  <c r="DF190" i="4"/>
  <c r="CT255" i="23"/>
  <c r="EU190" i="4"/>
  <c r="CT185" i="23"/>
  <c r="W190" i="7"/>
  <c r="BM190" i="4"/>
  <c r="CT68" i="24"/>
  <c r="BX190" i="4"/>
  <c r="BZ186" i="23"/>
  <c r="V166" i="7"/>
  <c r="BL166" i="4"/>
  <c r="BZ258" i="23"/>
  <c r="ER166" i="4"/>
  <c r="BZ193" i="23"/>
  <c r="BQ166" i="7"/>
  <c r="O166" i="7"/>
  <c r="BE166" i="4"/>
  <c r="BZ67" i="24"/>
  <c r="BY166" i="4"/>
  <c r="BS191" i="23"/>
  <c r="Q154" i="7"/>
  <c r="BG154" i="4"/>
  <c r="BS254" i="23"/>
  <c r="EV154" i="4"/>
  <c r="BS260" i="23"/>
  <c r="EP154" i="4"/>
  <c r="BS67" i="24"/>
  <c r="BY154" i="4"/>
  <c r="AN257" i="23"/>
  <c r="ES118" i="4"/>
  <c r="AN265" i="23"/>
  <c r="EW118" i="7"/>
  <c r="EK118" i="4"/>
  <c r="AN260" i="23"/>
  <c r="EP118" i="4"/>
  <c r="AN71" i="24"/>
  <c r="BU118" i="4"/>
  <c r="EJ118" i="7"/>
  <c r="DP118" i="7"/>
  <c r="DL118" i="7"/>
  <c r="DJ118" i="7"/>
  <c r="DO118" i="7"/>
  <c r="DN118" i="7"/>
  <c r="DM118" i="7"/>
  <c r="DK118" i="7"/>
  <c r="DT118" i="7"/>
  <c r="DI118" i="7"/>
  <c r="DS118" i="7"/>
  <c r="DR118" i="7"/>
  <c r="DH118" i="7" s="1"/>
  <c r="DQ118" i="7"/>
  <c r="U258" i="23"/>
  <c r="ER94" i="4"/>
  <c r="U190" i="23"/>
  <c r="R94" i="7"/>
  <c r="BH94" i="4"/>
  <c r="U263" i="23"/>
  <c r="EM94" i="4"/>
  <c r="U72" i="24"/>
  <c r="BT94" i="4"/>
  <c r="CA46" i="4"/>
  <c r="DS255" i="23"/>
  <c r="EU222" i="4"/>
  <c r="DS218" i="23"/>
  <c r="DF222" i="4"/>
  <c r="DS187" i="23"/>
  <c r="U222" i="7"/>
  <c r="BK222" i="4"/>
  <c r="DK260" i="23"/>
  <c r="EP209" i="7"/>
  <c r="EP210" i="4"/>
  <c r="EU209" i="7"/>
  <c r="DK255" i="23"/>
  <c r="EU210" i="4"/>
  <c r="DK264" i="23"/>
  <c r="EL209" i="7"/>
  <c r="EL210" i="4"/>
  <c r="DK62" i="24"/>
  <c r="CD210" i="4"/>
  <c r="CD209" i="7"/>
  <c r="DA256" i="23"/>
  <c r="ET198" i="4"/>
  <c r="DA262" i="23"/>
  <c r="EN198" i="4"/>
  <c r="DA224" i="23"/>
  <c r="CZ198" i="4"/>
  <c r="DA64" i="24"/>
  <c r="CB198" i="4"/>
  <c r="CQ190" i="23"/>
  <c r="R186" i="7"/>
  <c r="BH186" i="4"/>
  <c r="CQ229" i="23"/>
  <c r="DG186" i="7"/>
  <c r="CU186" i="4"/>
  <c r="CQ188" i="23"/>
  <c r="T186" i="7"/>
  <c r="BJ186" i="4"/>
  <c r="CQ65" i="24"/>
  <c r="CA186" i="4"/>
  <c r="CG218" i="23"/>
  <c r="DF174" i="4"/>
  <c r="CG225" i="23"/>
  <c r="CY174" i="4"/>
  <c r="CG221" i="23"/>
  <c r="DC174" i="4"/>
  <c r="CG66" i="24"/>
  <c r="BZ174" i="4"/>
  <c r="BX257" i="23"/>
  <c r="ES162" i="4"/>
  <c r="BX254" i="23"/>
  <c r="EV162" i="4"/>
  <c r="BX229" i="23"/>
  <c r="DG162" i="7"/>
  <c r="CU162" i="4"/>
  <c r="BX69" i="24"/>
  <c r="BW162" i="4"/>
  <c r="AV182" i="23"/>
  <c r="Z126" i="7"/>
  <c r="BP126" i="4"/>
  <c r="AV258" i="23"/>
  <c r="ER126" i="4"/>
  <c r="AV228" i="23"/>
  <c r="CV126" i="4"/>
  <c r="AV71" i="24"/>
  <c r="BU126" i="4"/>
  <c r="AC225" i="23"/>
  <c r="CY102" i="4"/>
  <c r="AC190" i="23"/>
  <c r="R102" i="7"/>
  <c r="BH102" i="4"/>
  <c r="AC187" i="23"/>
  <c r="U102" i="7"/>
  <c r="BK102" i="4"/>
  <c r="AC71" i="24"/>
  <c r="BU102" i="4"/>
  <c r="H265" i="23"/>
  <c r="EW78" i="7"/>
  <c r="EK78" i="4"/>
  <c r="H187" i="23"/>
  <c r="U78" i="7"/>
  <c r="BK78" i="4"/>
  <c r="H261" i="23"/>
  <c r="EO78" i="4"/>
  <c r="H69" i="24"/>
  <c r="BW78" i="4"/>
  <c r="BQ66" i="7"/>
  <c r="O66" i="7"/>
  <c r="BE66" i="4"/>
  <c r="Q42" i="7"/>
  <c r="BG42" i="4"/>
  <c r="Q42" i="4" s="1"/>
  <c r="Q42" i="1" s="1"/>
  <c r="BT42" i="4"/>
  <c r="CD30" i="4"/>
  <c r="DG247" i="7"/>
  <c r="CU247" i="4"/>
  <c r="U247" i="7"/>
  <c r="BK247" i="4"/>
  <c r="U247" i="4" s="1"/>
  <c r="U247" i="1" s="1"/>
  <c r="BZ247" i="4"/>
  <c r="CY229" i="23"/>
  <c r="DG196" i="7"/>
  <c r="CU196" i="4"/>
  <c r="CY222" i="23"/>
  <c r="DB196" i="4"/>
  <c r="CY264" i="23"/>
  <c r="EL196" i="4"/>
  <c r="CY62" i="24"/>
  <c r="CD196" i="4"/>
  <c r="BN188" i="23"/>
  <c r="T148" i="7"/>
  <c r="BJ148" i="4"/>
  <c r="BN191" i="23"/>
  <c r="Q148" i="7"/>
  <c r="BG148" i="4"/>
  <c r="BN255" i="23"/>
  <c r="EU148" i="4"/>
  <c r="BN63" i="24"/>
  <c r="CC148" i="4"/>
  <c r="BD190" i="23"/>
  <c r="R136" i="7"/>
  <c r="BH136" i="4"/>
  <c r="BD225" i="23"/>
  <c r="CY136" i="4"/>
  <c r="BD219" i="23"/>
  <c r="DE136" i="4"/>
  <c r="BD64" i="24"/>
  <c r="CB136" i="4"/>
  <c r="AK220" i="23"/>
  <c r="DD112" i="4"/>
  <c r="AK254" i="23"/>
  <c r="EV112" i="4"/>
  <c r="AK255" i="23"/>
  <c r="EU112" i="4"/>
  <c r="AK66" i="24"/>
  <c r="BZ112" i="4"/>
  <c r="X40" i="7"/>
  <c r="BN40" i="4"/>
  <c r="BW40" i="4"/>
  <c r="BT246" i="4"/>
  <c r="CX186" i="23"/>
  <c r="V195" i="7"/>
  <c r="BL195" i="4"/>
  <c r="CX228" i="23"/>
  <c r="CV195" i="4"/>
  <c r="CX227" i="23"/>
  <c r="CW195" i="4"/>
  <c r="CX67" i="24"/>
  <c r="BY195" i="4"/>
  <c r="CE226" i="23"/>
  <c r="CX171" i="4"/>
  <c r="CE220" i="23"/>
  <c r="DD171" i="4"/>
  <c r="CE182" i="23"/>
  <c r="Z171" i="7"/>
  <c r="BP171" i="4"/>
  <c r="CE69" i="24"/>
  <c r="BW171" i="4"/>
  <c r="AS193" i="23"/>
  <c r="BQ123" i="7"/>
  <c r="O123" i="7"/>
  <c r="BE123" i="4"/>
  <c r="AS186" i="23"/>
  <c r="V123" i="7"/>
  <c r="BL123" i="4"/>
  <c r="AS262" i="23"/>
  <c r="EN123" i="4"/>
  <c r="AS70" i="24"/>
  <c r="BV123" i="4"/>
  <c r="EJ123" i="7"/>
  <c r="DP123" i="7"/>
  <c r="DN123" i="7"/>
  <c r="DM123" i="7"/>
  <c r="DK123" i="7"/>
  <c r="DO123" i="7"/>
  <c r="DL123" i="7"/>
  <c r="DJ123" i="7"/>
  <c r="DS123" i="7"/>
  <c r="DQ123" i="7"/>
  <c r="DR123" i="7"/>
  <c r="DH123" i="7" s="1"/>
  <c r="DI123" i="7"/>
  <c r="DT123" i="7"/>
  <c r="CW261" i="23"/>
  <c r="EO193" i="7"/>
  <c r="EO194" i="4"/>
  <c r="CW218" i="23"/>
  <c r="DF193" i="7"/>
  <c r="DF194" i="4"/>
  <c r="CW263" i="23"/>
  <c r="EM193" i="7"/>
  <c r="EM194" i="4"/>
  <c r="CW72" i="24"/>
  <c r="BT193" i="7"/>
  <c r="BT194" i="4"/>
  <c r="CD254" i="23"/>
  <c r="EV170" i="4"/>
  <c r="CD255" i="23"/>
  <c r="EU170" i="4"/>
  <c r="CD223" i="23"/>
  <c r="DA170" i="4"/>
  <c r="CD63" i="24"/>
  <c r="CC170" i="4"/>
  <c r="BB191" i="23"/>
  <c r="BG133" i="7"/>
  <c r="Q134" i="7"/>
  <c r="BG134" i="4"/>
  <c r="BB226" i="23"/>
  <c r="CX133" i="7"/>
  <c r="CX134" i="4"/>
  <c r="BB264" i="23"/>
  <c r="EL133" i="7"/>
  <c r="EL134" i="4"/>
  <c r="BB65" i="24"/>
  <c r="CA133" i="7"/>
  <c r="CA134" i="4"/>
  <c r="Y229" i="23"/>
  <c r="DG98" i="7"/>
  <c r="CU98" i="4"/>
  <c r="Y226" i="23"/>
  <c r="CX98" i="4"/>
  <c r="Y224" i="23"/>
  <c r="CZ98" i="4"/>
  <c r="Y66" i="24"/>
  <c r="BZ98" i="4"/>
  <c r="Z62" i="7"/>
  <c r="BP62" i="4"/>
  <c r="Z62" i="4" s="1"/>
  <c r="Z62" i="1" s="1"/>
  <c r="CE62" i="7"/>
  <c r="CE60" i="7" s="1"/>
  <c r="BS60" i="7"/>
  <c r="BS62" i="4"/>
  <c r="X26" i="7"/>
  <c r="BN26" i="4"/>
  <c r="X26" i="4" s="1"/>
  <c r="X26" i="1" s="1"/>
  <c r="BX244" i="4"/>
  <c r="W25" i="7"/>
  <c r="BM25" i="4"/>
  <c r="W25" i="4" s="1"/>
  <c r="W25" i="1" s="1"/>
  <c r="BL227" i="7"/>
  <c r="DW186" i="23"/>
  <c r="V228" i="7"/>
  <c r="BL228" i="4"/>
  <c r="DW259" i="23"/>
  <c r="EQ227" i="7"/>
  <c r="EQ228" i="4"/>
  <c r="BG227" i="7"/>
  <c r="DW191" i="23"/>
  <c r="Q228" i="7"/>
  <c r="BG228" i="4"/>
  <c r="DW70" i="24"/>
  <c r="BV228" i="4"/>
  <c r="BV227" i="7"/>
  <c r="CL221" i="23"/>
  <c r="DC180" i="4"/>
  <c r="CL229" i="23"/>
  <c r="DG180" i="7"/>
  <c r="CU180" i="4"/>
  <c r="CL257" i="23"/>
  <c r="ES180" i="4"/>
  <c r="CL67" i="24"/>
  <c r="BY180" i="4"/>
  <c r="AO192" i="23"/>
  <c r="P119" i="7"/>
  <c r="BF119" i="4"/>
  <c r="AO220" i="23"/>
  <c r="DD119" i="4"/>
  <c r="AO262" i="23"/>
  <c r="EN119" i="4"/>
  <c r="AO68" i="24"/>
  <c r="BX119" i="4"/>
  <c r="AY229" i="23"/>
  <c r="DG130" i="7"/>
  <c r="CU129" i="7"/>
  <c r="CU130" i="4"/>
  <c r="AY255" i="23"/>
  <c r="EU129" i="7"/>
  <c r="EU130" i="4"/>
  <c r="AY189" i="23"/>
  <c r="BI129" i="7"/>
  <c r="S130" i="7"/>
  <c r="BI130" i="4"/>
  <c r="AY70" i="24"/>
  <c r="BV130" i="4"/>
  <c r="BV129" i="7"/>
  <c r="EJ130" i="7"/>
  <c r="DP130" i="7"/>
  <c r="DN130" i="7"/>
  <c r="DM130" i="7"/>
  <c r="DL130" i="7"/>
  <c r="DK130" i="7"/>
  <c r="DJ130" i="7"/>
  <c r="DO130" i="7"/>
  <c r="DT130" i="7"/>
  <c r="DS130" i="7"/>
  <c r="DR130" i="7"/>
  <c r="DH130" i="7" s="1"/>
  <c r="DQ130" i="7"/>
  <c r="DI130" i="7"/>
  <c r="DR255" i="23"/>
  <c r="EU221" i="4"/>
  <c r="DR256" i="23"/>
  <c r="ET221" i="4"/>
  <c r="DR263" i="23"/>
  <c r="EM221" i="4"/>
  <c r="CZ257" i="23"/>
  <c r="ES197" i="4"/>
  <c r="CZ258" i="23"/>
  <c r="ER197" i="4"/>
  <c r="CZ223" i="23"/>
  <c r="DA197" i="4"/>
  <c r="CZ62" i="24"/>
  <c r="CD197" i="4"/>
  <c r="CP265" i="23"/>
  <c r="EW185" i="7"/>
  <c r="EK185" i="4"/>
  <c r="CP254" i="23"/>
  <c r="EV185" i="4"/>
  <c r="CP187" i="23"/>
  <c r="U185" i="7"/>
  <c r="BK185" i="4"/>
  <c r="CP65" i="24"/>
  <c r="CA185" i="4"/>
  <c r="CF260" i="23"/>
  <c r="EP172" i="7"/>
  <c r="EP173" i="4"/>
  <c r="BN172" i="7"/>
  <c r="CF184" i="23"/>
  <c r="X173" i="7"/>
  <c r="BN173" i="4"/>
  <c r="CF264" i="23"/>
  <c r="EL172" i="7"/>
  <c r="EL173" i="4"/>
  <c r="CF65" i="24"/>
  <c r="CA173" i="4"/>
  <c r="CA172" i="7"/>
  <c r="BW256" i="23"/>
  <c r="ET161" i="4"/>
  <c r="BW257" i="23"/>
  <c r="ES161" i="4"/>
  <c r="BW224" i="23"/>
  <c r="CZ161" i="4"/>
  <c r="BW66" i="24"/>
  <c r="BZ161" i="4"/>
  <c r="BO220" i="23"/>
  <c r="DD149" i="4"/>
  <c r="BO258" i="23"/>
  <c r="ER149" i="4"/>
  <c r="BO183" i="23"/>
  <c r="Y149" i="7"/>
  <c r="BO149" i="4"/>
  <c r="BO64" i="24"/>
  <c r="CB149" i="4"/>
  <c r="BE182" i="23"/>
  <c r="Z137" i="7"/>
  <c r="BP137" i="4"/>
  <c r="BE218" i="23"/>
  <c r="DF137" i="4"/>
  <c r="BE265" i="23"/>
  <c r="EW137" i="7"/>
  <c r="EK137" i="4"/>
  <c r="BE65" i="24"/>
  <c r="CA137" i="4"/>
  <c r="AU192" i="23"/>
  <c r="P125" i="7"/>
  <c r="BF125" i="4"/>
  <c r="AU221" i="23"/>
  <c r="DC125" i="4"/>
  <c r="AU259" i="23"/>
  <c r="EQ125" i="4"/>
  <c r="AU71" i="24"/>
  <c r="BU125" i="4"/>
  <c r="AL182" i="23"/>
  <c r="Z113" i="7"/>
  <c r="BP113" i="4"/>
  <c r="AL257" i="23"/>
  <c r="ES113" i="4"/>
  <c r="AL255" i="23"/>
  <c r="EU113" i="4"/>
  <c r="AL68" i="24"/>
  <c r="BX113" i="4"/>
  <c r="AB193" i="23"/>
  <c r="BQ101" i="7"/>
  <c r="O101" i="7"/>
  <c r="BE101" i="4"/>
  <c r="AB254" i="23"/>
  <c r="EV101" i="4"/>
  <c r="AB218" i="23"/>
  <c r="DF101" i="4"/>
  <c r="AB68" i="24"/>
  <c r="BX101" i="4"/>
  <c r="P89" i="7"/>
  <c r="BF89" i="4"/>
  <c r="P89" i="4" s="1"/>
  <c r="P89" i="1" s="1"/>
  <c r="S89" i="7"/>
  <c r="BI89" i="4"/>
  <c r="S89" i="4" s="1"/>
  <c r="S89" i="1" s="1"/>
  <c r="G222" i="23"/>
  <c r="DB76" i="7"/>
  <c r="DB77" i="4"/>
  <c r="EP76" i="7"/>
  <c r="G260" i="23"/>
  <c r="EP77" i="4"/>
  <c r="G229" i="23"/>
  <c r="DG77" i="7"/>
  <c r="CU76" i="7"/>
  <c r="CU77" i="4"/>
  <c r="G71" i="24"/>
  <c r="BU76" i="7"/>
  <c r="BU77" i="4"/>
  <c r="EJ77" i="7"/>
  <c r="DP77" i="7"/>
  <c r="DK77" i="7"/>
  <c r="DJ77" i="7"/>
  <c r="DO77" i="7"/>
  <c r="DN77" i="7"/>
  <c r="DM77" i="7"/>
  <c r="DL77" i="7"/>
  <c r="DT77" i="7"/>
  <c r="DS77" i="7"/>
  <c r="DR77" i="7"/>
  <c r="DH77" i="7" s="1"/>
  <c r="DQ77" i="7"/>
  <c r="DI77" i="7"/>
  <c r="DG41" i="7"/>
  <c r="CU41" i="4"/>
  <c r="X41" i="7"/>
  <c r="BN41" i="4"/>
  <c r="BZ41" i="4"/>
  <c r="DJ259" i="23"/>
  <c r="EQ208" i="4"/>
  <c r="DJ219" i="23"/>
  <c r="DE208" i="4"/>
  <c r="DJ187" i="23"/>
  <c r="U208" i="7"/>
  <c r="BK208" i="4"/>
  <c r="DJ62" i="24"/>
  <c r="CD208" i="4"/>
  <c r="Q191" i="23"/>
  <c r="BG87" i="7"/>
  <c r="Q88" i="7"/>
  <c r="BG88" i="4"/>
  <c r="EU87" i="7"/>
  <c r="Q255" i="23"/>
  <c r="EU88" i="4"/>
  <c r="EU87" i="4" s="1"/>
  <c r="CZ87" i="7"/>
  <c r="Q224" i="23"/>
  <c r="CZ88" i="4"/>
  <c r="CZ87" i="4" s="1"/>
  <c r="Z16" i="7"/>
  <c r="BP16" i="4"/>
  <c r="Z16" i="4" s="1"/>
  <c r="Z16" i="1" s="1"/>
  <c r="AI255" i="23"/>
  <c r="EU110" i="4"/>
  <c r="AI184" i="23"/>
  <c r="X110" i="7"/>
  <c r="BN110" i="4"/>
  <c r="AI227" i="23"/>
  <c r="CW110" i="4"/>
  <c r="AI65" i="24"/>
  <c r="CA110" i="4"/>
  <c r="P192" i="23"/>
  <c r="P86" i="7"/>
  <c r="BF86" i="4"/>
  <c r="P185" i="23"/>
  <c r="W86" i="7"/>
  <c r="BM86" i="4"/>
  <c r="P220" i="23"/>
  <c r="DD86" i="4"/>
  <c r="P65" i="24"/>
  <c r="CA86" i="4"/>
  <c r="CM265" i="23"/>
  <c r="EW181" i="7"/>
  <c r="EK181" i="4"/>
  <c r="CM226" i="23"/>
  <c r="CX181" i="4"/>
  <c r="CM189" i="23"/>
  <c r="S181" i="7"/>
  <c r="BI181" i="4"/>
  <c r="CM67" i="24"/>
  <c r="BY181" i="4"/>
  <c r="BL226" i="23"/>
  <c r="CX145" i="4"/>
  <c r="BL190" i="23"/>
  <c r="R145" i="7"/>
  <c r="BH145" i="4"/>
  <c r="BL262" i="23"/>
  <c r="EN145" i="4"/>
  <c r="BL68" i="24"/>
  <c r="BX145" i="4"/>
  <c r="AH257" i="23"/>
  <c r="ES109" i="4"/>
  <c r="AH225" i="23"/>
  <c r="CY109" i="4"/>
  <c r="AH186" i="23"/>
  <c r="V109" i="7"/>
  <c r="BL109" i="4"/>
  <c r="AH67" i="24"/>
  <c r="BY109" i="4"/>
  <c r="O182" i="23"/>
  <c r="Z85" i="7"/>
  <c r="BP85" i="4"/>
  <c r="O191" i="23"/>
  <c r="Q85" i="7"/>
  <c r="BG85" i="4"/>
  <c r="O186" i="23"/>
  <c r="V85" i="7"/>
  <c r="BL85" i="4"/>
  <c r="O68" i="24"/>
  <c r="BX85" i="4"/>
  <c r="DP189" i="23"/>
  <c r="S216" i="7"/>
  <c r="BI216" i="4"/>
  <c r="DP183" i="23"/>
  <c r="Y216" i="7"/>
  <c r="BO216" i="4"/>
  <c r="DP182" i="23"/>
  <c r="Z216" i="7"/>
  <c r="BP216" i="4"/>
  <c r="DP71" i="24"/>
  <c r="BU216" i="4"/>
  <c r="EJ216" i="7"/>
  <c r="DP216" i="7"/>
  <c r="DO216" i="7"/>
  <c r="DN216" i="7"/>
  <c r="DM216" i="7"/>
  <c r="DL216" i="7"/>
  <c r="DK216" i="7"/>
  <c r="DJ216" i="7"/>
  <c r="DI216" i="7"/>
  <c r="DT216" i="7"/>
  <c r="DS216" i="7"/>
  <c r="DR216" i="7"/>
  <c r="DH216" i="7" s="1"/>
  <c r="DQ216" i="7"/>
  <c r="BA187" i="23"/>
  <c r="U132" i="7"/>
  <c r="BK132" i="4"/>
  <c r="BA189" i="23"/>
  <c r="S132" i="7"/>
  <c r="BI132" i="4"/>
  <c r="BA263" i="23"/>
  <c r="EM132" i="4"/>
  <c r="BA72" i="24"/>
  <c r="BT132" i="4"/>
  <c r="N261" i="23"/>
  <c r="EO84" i="4"/>
  <c r="N260" i="23"/>
  <c r="EP84" i="4"/>
  <c r="N223" i="23"/>
  <c r="DA84" i="4"/>
  <c r="N66" i="24"/>
  <c r="BZ84" i="4"/>
  <c r="BH241" i="7"/>
  <c r="EB190" i="23" s="1"/>
  <c r="R242" i="7"/>
  <c r="BH242" i="4"/>
  <c r="EK241" i="7"/>
  <c r="EB265" i="23" s="1"/>
  <c r="EW242" i="7"/>
  <c r="EK242" i="4"/>
  <c r="EL241" i="7"/>
  <c r="EB264" i="23" s="1"/>
  <c r="EL242" i="4"/>
  <c r="EL241" i="4" s="1"/>
  <c r="BY242" i="4"/>
  <c r="BY241" i="7"/>
  <c r="EB67" i="24" s="1"/>
  <c r="CU189" i="23"/>
  <c r="S191" i="7"/>
  <c r="BI191" i="4"/>
  <c r="CU265" i="23"/>
  <c r="EW191" i="7"/>
  <c r="EK191" i="4"/>
  <c r="CU224" i="23"/>
  <c r="CZ191" i="4"/>
  <c r="CU64" i="24"/>
  <c r="CB191" i="4"/>
  <c r="CA218" i="23"/>
  <c r="DF167" i="4"/>
  <c r="CA222" i="23"/>
  <c r="DB167" i="4"/>
  <c r="CA188" i="23"/>
  <c r="T167" i="7"/>
  <c r="BJ167" i="4"/>
  <c r="CA65" i="24"/>
  <c r="CA167" i="4"/>
  <c r="BJ218" i="23"/>
  <c r="DF143" i="4"/>
  <c r="BJ254" i="23"/>
  <c r="EV143" i="4"/>
  <c r="BJ183" i="23"/>
  <c r="Y143" i="7"/>
  <c r="BO143" i="4"/>
  <c r="BJ66" i="24"/>
  <c r="BZ143" i="4"/>
  <c r="V182" i="23"/>
  <c r="Z95" i="7"/>
  <c r="BP95" i="4"/>
  <c r="V190" i="23"/>
  <c r="R95" i="7"/>
  <c r="BH95" i="4"/>
  <c r="V185" i="23"/>
  <c r="W95" i="7"/>
  <c r="BM95" i="4"/>
  <c r="V68" i="24"/>
  <c r="BX95" i="4"/>
  <c r="EO7" i="4"/>
  <c r="CX7" i="4"/>
  <c r="V7" i="7"/>
  <c r="BL7" i="4"/>
  <c r="BI220" i="23"/>
  <c r="DD142" i="4"/>
  <c r="BI228" i="23"/>
  <c r="CV142" i="4"/>
  <c r="BI227" i="23"/>
  <c r="CW142" i="4"/>
  <c r="BI70" i="24"/>
  <c r="BV142" i="4"/>
  <c r="L226" i="23"/>
  <c r="CX82" i="4"/>
  <c r="L220" i="23"/>
  <c r="DD82" i="4"/>
  <c r="L189" i="23"/>
  <c r="S82" i="7"/>
  <c r="BI82" i="4"/>
  <c r="L67" i="24"/>
  <c r="BY82" i="4"/>
  <c r="T34" i="7"/>
  <c r="BJ34" i="4"/>
  <c r="T34" i="4" s="1"/>
  <c r="T34" i="1" s="1"/>
  <c r="BX34" i="4"/>
  <c r="EJ34" i="7"/>
  <c r="DQ34" i="7"/>
  <c r="DQ34" i="4" s="1"/>
  <c r="DM34" i="7"/>
  <c r="DL34" i="7"/>
  <c r="DL34" i="4" s="1"/>
  <c r="DP34" i="7"/>
  <c r="DO34" i="7"/>
  <c r="DO34" i="4" s="1"/>
  <c r="DN34" i="7"/>
  <c r="DK34" i="7"/>
  <c r="DJ34" i="7"/>
  <c r="DJ34" i="4" s="1"/>
  <c r="DT34" i="7"/>
  <c r="DT34" i="4" s="1"/>
  <c r="DS34" i="7"/>
  <c r="DS34" i="4" s="1"/>
  <c r="DI34" i="7"/>
  <c r="DR34" i="7"/>
  <c r="DR34" i="4" s="1"/>
  <c r="M129" i="7"/>
  <c r="D75" i="7"/>
  <c r="D115" i="7"/>
  <c r="A70" i="7"/>
  <c r="H115" i="7"/>
  <c r="H218" i="7"/>
  <c r="B75" i="7"/>
  <c r="K75" i="7"/>
  <c r="E75" i="7"/>
  <c r="C75" i="7"/>
  <c r="G218" i="7"/>
  <c r="D218" i="7"/>
  <c r="K156" i="7"/>
  <c r="H156" i="7"/>
  <c r="C156" i="7"/>
  <c r="L156" i="7"/>
  <c r="E156" i="7"/>
  <c r="A156" i="7"/>
  <c r="M104" i="7"/>
  <c r="M87" i="7"/>
  <c r="C218" i="7"/>
  <c r="C115" i="7"/>
  <c r="B115" i="7"/>
  <c r="F115" i="7"/>
  <c r="B218" i="7"/>
  <c r="E115" i="7"/>
  <c r="B156" i="7"/>
  <c r="J156" i="7"/>
  <c r="I156" i="7"/>
  <c r="K115" i="7"/>
  <c r="M76" i="7"/>
  <c r="G156" i="7"/>
  <c r="F156" i="7"/>
  <c r="L75" i="7"/>
  <c r="J75" i="7"/>
  <c r="D156" i="7"/>
  <c r="A6" i="7"/>
  <c r="M6" i="7" s="1"/>
  <c r="M71" i="7" s="1"/>
  <c r="M13" i="7"/>
  <c r="M70" i="7" s="1"/>
  <c r="K218" i="7"/>
  <c r="I218" i="7"/>
  <c r="H75" i="7"/>
  <c r="M236" i="7"/>
  <c r="M146" i="7"/>
  <c r="F218" i="7"/>
  <c r="M241" i="7"/>
  <c r="F75" i="7"/>
  <c r="A115" i="7"/>
  <c r="L218" i="7"/>
  <c r="I115" i="7"/>
  <c r="G115" i="7"/>
  <c r="E218" i="7"/>
  <c r="J218" i="7"/>
  <c r="L115" i="7"/>
  <c r="J115" i="7"/>
  <c r="M138" i="7"/>
  <c r="M133" i="7"/>
  <c r="M90" i="7"/>
  <c r="A218" i="7"/>
  <c r="A75" i="7"/>
  <c r="G75" i="7"/>
  <c r="M157" i="7"/>
  <c r="M156" i="7" s="1"/>
  <c r="M150" i="7"/>
  <c r="M116" i="7"/>
  <c r="I75" i="7"/>
  <c r="EW219" i="7" l="1"/>
  <c r="EW223" i="7"/>
  <c r="BR209" i="7"/>
  <c r="BR193" i="7"/>
  <c r="X245" i="4"/>
  <c r="X245" i="1" s="1"/>
  <c r="BR172" i="7"/>
  <c r="EW69" i="4"/>
  <c r="EW63" i="4"/>
  <c r="BR178" i="7"/>
  <c r="BR182" i="7"/>
  <c r="BR150" i="7"/>
  <c r="BR214" i="7"/>
  <c r="AB229" i="7"/>
  <c r="DH245" i="7"/>
  <c r="BR104" i="7"/>
  <c r="BR76" i="7"/>
  <c r="BR129" i="7"/>
  <c r="DH243" i="7"/>
  <c r="BR138" i="7"/>
  <c r="BR90" i="7"/>
  <c r="BR29" i="7"/>
  <c r="DH229" i="7"/>
  <c r="BR157" i="7"/>
  <c r="DH44" i="7"/>
  <c r="DH33" i="7"/>
  <c r="DH42" i="7"/>
  <c r="DH45" i="7"/>
  <c r="BR227" i="7"/>
  <c r="DH34" i="7"/>
  <c r="BR146" i="7"/>
  <c r="BR187" i="7"/>
  <c r="X45" i="4"/>
  <c r="X45" i="1" s="1"/>
  <c r="X42" i="4"/>
  <c r="X42" i="1" s="1"/>
  <c r="X33" i="4"/>
  <c r="X33" i="1" s="1"/>
  <c r="X44" i="4"/>
  <c r="X44" i="1" s="1"/>
  <c r="X64" i="4"/>
  <c r="X64" i="1" s="1"/>
  <c r="X32" i="4"/>
  <c r="X32" i="1" s="1"/>
  <c r="X68" i="4"/>
  <c r="X68" i="1" s="1"/>
  <c r="X40" i="4"/>
  <c r="X40" i="1" s="1"/>
  <c r="X69" i="4"/>
  <c r="X69" i="1" s="1"/>
  <c r="DD87" i="4"/>
  <c r="X89" i="4"/>
  <c r="X89" i="1" s="1"/>
  <c r="X66" i="4"/>
  <c r="X66" i="1" s="1"/>
  <c r="X46" i="4"/>
  <c r="X46" i="1" s="1"/>
  <c r="X63" i="4"/>
  <c r="X63" i="1" s="1"/>
  <c r="DD38" i="4"/>
  <c r="X247" i="4"/>
  <c r="X247" i="1" s="1"/>
  <c r="X41" i="4"/>
  <c r="X41" i="1" s="1"/>
  <c r="X244" i="4"/>
  <c r="X244" i="1" s="1"/>
  <c r="X35" i="4"/>
  <c r="X35" i="1" s="1"/>
  <c r="X67" i="4"/>
  <c r="X67" i="1" s="1"/>
  <c r="DD60" i="4"/>
  <c r="X243" i="4"/>
  <c r="X243" i="1" s="1"/>
  <c r="X34" i="4"/>
  <c r="X34" i="1" s="1"/>
  <c r="DD29" i="4"/>
  <c r="X62" i="4"/>
  <c r="X62" i="1" s="1"/>
  <c r="DD241" i="4"/>
  <c r="X246" i="4"/>
  <c r="X246" i="1" s="1"/>
  <c r="X65" i="4"/>
  <c r="X65" i="1" s="1"/>
  <c r="EB184" i="23"/>
  <c r="BR241" i="7"/>
  <c r="EB220" i="23"/>
  <c r="F220" i="23"/>
  <c r="X54" i="7"/>
  <c r="AB54" i="7" s="1"/>
  <c r="AB51" i="7"/>
  <c r="F184" i="23"/>
  <c r="BR38" i="7"/>
  <c r="X57" i="7"/>
  <c r="AB57" i="7" s="1"/>
  <c r="AB55" i="7"/>
  <c r="AL250" i="6"/>
  <c r="AB250" i="6" s="1"/>
  <c r="AB249" i="6"/>
  <c r="AL234" i="6"/>
  <c r="AB234" i="6" s="1"/>
  <c r="AB233" i="6"/>
  <c r="CY214" i="4"/>
  <c r="EW42" i="4"/>
  <c r="X128" i="4"/>
  <c r="X128" i="1" s="1"/>
  <c r="DG40" i="4"/>
  <c r="R214" i="7"/>
  <c r="Q13" i="7"/>
  <c r="Q6" i="7" s="1"/>
  <c r="DG44" i="4"/>
  <c r="DG63" i="4"/>
  <c r="DG66" i="4"/>
  <c r="DG33" i="4"/>
  <c r="EW65" i="4"/>
  <c r="AD62" i="7"/>
  <c r="DG247" i="4"/>
  <c r="EW89" i="4"/>
  <c r="DG65" i="4"/>
  <c r="DG41" i="4"/>
  <c r="EW245" i="4"/>
  <c r="DG34" i="4"/>
  <c r="DG46" i="4"/>
  <c r="DG45" i="4"/>
  <c r="DG42" i="4"/>
  <c r="AK234" i="6"/>
  <c r="AK249" i="6"/>
  <c r="P186" i="4"/>
  <c r="P186" i="1" s="1"/>
  <c r="EP227" i="4"/>
  <c r="Q166" i="4"/>
  <c r="Q166" i="1" s="1"/>
  <c r="DE6" i="4"/>
  <c r="EW246" i="4"/>
  <c r="EW67" i="4"/>
  <c r="EW45" i="4"/>
  <c r="DG67" i="4"/>
  <c r="BQ219" i="7"/>
  <c r="EW243" i="4"/>
  <c r="Q214" i="7"/>
  <c r="DG35" i="4"/>
  <c r="BQ223" i="7"/>
  <c r="BE75" i="7"/>
  <c r="EW36" i="4"/>
  <c r="EV75" i="7"/>
  <c r="X79" i="4"/>
  <c r="X79" i="1" s="1"/>
  <c r="EW33" i="4"/>
  <c r="DG69" i="4"/>
  <c r="ET58" i="7"/>
  <c r="DG36" i="4"/>
  <c r="CX43" i="4"/>
  <c r="CX47" i="4" s="1"/>
  <c r="CX43" i="7"/>
  <c r="CX47" i="7" s="1"/>
  <c r="EW247" i="4"/>
  <c r="EW44" i="4"/>
  <c r="DG243" i="4"/>
  <c r="DG68" i="4"/>
  <c r="EV43" i="4"/>
  <c r="EV47" i="4" s="1"/>
  <c r="EW64" i="4"/>
  <c r="EW34" i="4"/>
  <c r="R202" i="4"/>
  <c r="R202" i="1" s="1"/>
  <c r="EM157" i="4"/>
  <c r="Q200" i="4"/>
  <c r="Q200" i="1" s="1"/>
  <c r="Z199" i="4"/>
  <c r="Z199" i="1" s="1"/>
  <c r="EM178" i="4"/>
  <c r="X190" i="4"/>
  <c r="X190" i="1" s="1"/>
  <c r="P214" i="7"/>
  <c r="Z159" i="4"/>
  <c r="Z159" i="1" s="1"/>
  <c r="EM129" i="4"/>
  <c r="S132" i="4"/>
  <c r="S132" i="1" s="1"/>
  <c r="CE146" i="7"/>
  <c r="Y13" i="7"/>
  <c r="Y6" i="7" s="1"/>
  <c r="Q121" i="4"/>
  <c r="Q121" i="1" s="1"/>
  <c r="ES60" i="4"/>
  <c r="W36" i="4"/>
  <c r="W46" i="4"/>
  <c r="W44" i="4"/>
  <c r="W65" i="4"/>
  <c r="W34" i="4"/>
  <c r="DC38" i="4"/>
  <c r="W244" i="4"/>
  <c r="Q109" i="4"/>
  <c r="Q109" i="1" s="1"/>
  <c r="EK75" i="7"/>
  <c r="EB221" i="23"/>
  <c r="W32" i="4"/>
  <c r="X13" i="7"/>
  <c r="X6" i="7" s="1"/>
  <c r="DC29" i="4"/>
  <c r="EW46" i="4"/>
  <c r="ES87" i="4"/>
  <c r="U172" i="7"/>
  <c r="F221" i="23"/>
  <c r="W41" i="4"/>
  <c r="W42" i="4"/>
  <c r="Y175" i="4"/>
  <c r="Y175" i="1" s="1"/>
  <c r="DQ30" i="4"/>
  <c r="Z180" i="4"/>
  <c r="Z180" i="1" s="1"/>
  <c r="EO43" i="4"/>
  <c r="EO47" i="4" s="1"/>
  <c r="DQ40" i="4"/>
  <c r="DF104" i="4"/>
  <c r="EB257" i="23"/>
  <c r="EB185" i="23"/>
  <c r="DC241" i="4"/>
  <c r="DC57" i="4"/>
  <c r="DQ33" i="4"/>
  <c r="ES54" i="4"/>
  <c r="W40" i="4"/>
  <c r="DG89" i="4"/>
  <c r="X81" i="4"/>
  <c r="X81" i="1" s="1"/>
  <c r="W33" i="4"/>
  <c r="W64" i="4"/>
  <c r="W69" i="4"/>
  <c r="ES29" i="4"/>
  <c r="DQ116" i="7"/>
  <c r="DG245" i="4"/>
  <c r="V199" i="4"/>
  <c r="V199" i="1" s="1"/>
  <c r="DC87" i="4"/>
  <c r="EW244" i="4"/>
  <c r="Y27" i="7"/>
  <c r="DC54" i="4"/>
  <c r="V109" i="4"/>
  <c r="V109" i="1" s="1"/>
  <c r="W67" i="4"/>
  <c r="EW68" i="4"/>
  <c r="DF75" i="7"/>
  <c r="ES38" i="4"/>
  <c r="Y38" i="7"/>
  <c r="R80" i="4"/>
  <c r="R80" i="1" s="1"/>
  <c r="F185" i="23"/>
  <c r="DG64" i="4"/>
  <c r="R93" i="4"/>
  <c r="R93" i="1" s="1"/>
  <c r="W243" i="4"/>
  <c r="EW35" i="4"/>
  <c r="ES57" i="4"/>
  <c r="W68" i="4"/>
  <c r="S207" i="4"/>
  <c r="S207" i="1" s="1"/>
  <c r="W66" i="4"/>
  <c r="EW66" i="4"/>
  <c r="DG62" i="4"/>
  <c r="F257" i="23"/>
  <c r="DG32" i="4"/>
  <c r="U214" i="7"/>
  <c r="CW70" i="7"/>
  <c r="EW40" i="4"/>
  <c r="W54" i="7"/>
  <c r="W247" i="4"/>
  <c r="Q209" i="7"/>
  <c r="ET6" i="4"/>
  <c r="DG246" i="4"/>
  <c r="Y92" i="4"/>
  <c r="Y92" i="1" s="1"/>
  <c r="X84" i="4"/>
  <c r="X84" i="1" s="1"/>
  <c r="X213" i="4"/>
  <c r="X213" i="1" s="1"/>
  <c r="W45" i="4"/>
  <c r="AL62" i="7"/>
  <c r="AB62" i="7" s="1"/>
  <c r="DG244" i="4"/>
  <c r="EW62" i="4"/>
  <c r="W89" i="4"/>
  <c r="W57" i="7"/>
  <c r="DF133" i="4"/>
  <c r="DC60" i="4"/>
  <c r="Y200" i="4"/>
  <c r="Y200" i="1" s="1"/>
  <c r="W245" i="4"/>
  <c r="W35" i="4"/>
  <c r="CX178" i="4"/>
  <c r="ES241" i="4"/>
  <c r="W62" i="4"/>
  <c r="W63" i="4"/>
  <c r="S198" i="4"/>
  <c r="S198" i="1" s="1"/>
  <c r="EV6" i="4"/>
  <c r="EW32" i="4"/>
  <c r="EW41" i="4"/>
  <c r="W246" i="4"/>
  <c r="DG227" i="7"/>
  <c r="EN214" i="4"/>
  <c r="R160" i="4"/>
  <c r="R160" i="1" s="1"/>
  <c r="Z141" i="4"/>
  <c r="Z141" i="1" s="1"/>
  <c r="EM115" i="7"/>
  <c r="W135" i="4"/>
  <c r="R120" i="4"/>
  <c r="R120" i="1" s="1"/>
  <c r="Y144" i="4"/>
  <c r="Y144" i="1" s="1"/>
  <c r="Y140" i="4"/>
  <c r="Y140" i="1" s="1"/>
  <c r="R127" i="4"/>
  <c r="R127" i="1" s="1"/>
  <c r="S128" i="4"/>
  <c r="S128" i="1" s="1"/>
  <c r="R133" i="7"/>
  <c r="Y142" i="4"/>
  <c r="Y142" i="1" s="1"/>
  <c r="X119" i="4"/>
  <c r="X119" i="1" s="1"/>
  <c r="DG219" i="7"/>
  <c r="DG223" i="7"/>
  <c r="AN227" i="7"/>
  <c r="BE218" i="7"/>
  <c r="BG218" i="7"/>
  <c r="DD218" i="7"/>
  <c r="BQ227" i="7"/>
  <c r="Q225" i="4"/>
  <c r="Q225" i="1" s="1"/>
  <c r="Y227" i="7"/>
  <c r="BP218" i="7"/>
  <c r="CU218" i="7"/>
  <c r="Q227" i="7"/>
  <c r="EK218" i="7"/>
  <c r="Q219" i="7"/>
  <c r="EV227" i="4"/>
  <c r="U58" i="7"/>
  <c r="EK58" i="7"/>
  <c r="X187" i="7"/>
  <c r="Y182" i="7"/>
  <c r="X219" i="7"/>
  <c r="AB219" i="7" s="1"/>
  <c r="U146" i="7"/>
  <c r="EK156" i="7"/>
  <c r="EV70" i="7"/>
  <c r="EN75" i="7"/>
  <c r="EK115" i="7"/>
  <c r="BZ218" i="7"/>
  <c r="Z129" i="7"/>
  <c r="Z178" i="7"/>
  <c r="Q58" i="7"/>
  <c r="U132" i="4"/>
  <c r="U132" i="1" s="1"/>
  <c r="U222" i="4"/>
  <c r="U222" i="1" s="1"/>
  <c r="Z157" i="7"/>
  <c r="BG58" i="7"/>
  <c r="AG62" i="7"/>
  <c r="CU58" i="7"/>
  <c r="AM62" i="7"/>
  <c r="BT70" i="7"/>
  <c r="X214" i="7"/>
  <c r="CX156" i="7"/>
  <c r="Q146" i="7"/>
  <c r="CB218" i="7"/>
  <c r="R58" i="7"/>
  <c r="X29" i="7"/>
  <c r="Z219" i="7"/>
  <c r="AF62" i="7"/>
  <c r="AE62" i="7"/>
  <c r="R182" i="7"/>
  <c r="BN218" i="7"/>
  <c r="BG75" i="7"/>
  <c r="BM58" i="7"/>
  <c r="X172" i="7"/>
  <c r="R205" i="7"/>
  <c r="CW58" i="7"/>
  <c r="BN58" i="7"/>
  <c r="BR58" i="7" s="1"/>
  <c r="Q97" i="4"/>
  <c r="Q97" i="1" s="1"/>
  <c r="DE218" i="7"/>
  <c r="Q138" i="7"/>
  <c r="BP75" i="7"/>
  <c r="X164" i="7"/>
  <c r="P150" i="7"/>
  <c r="S205" i="7"/>
  <c r="ET70" i="7"/>
  <c r="Z227" i="7"/>
  <c r="EV218" i="7"/>
  <c r="Q187" i="7"/>
  <c r="CX218" i="7"/>
  <c r="BG115" i="7"/>
  <c r="EU58" i="7"/>
  <c r="ET75" i="7"/>
  <c r="R223" i="7"/>
  <c r="BS115" i="7"/>
  <c r="EO218" i="7"/>
  <c r="Z241" i="7"/>
  <c r="DE115" i="7"/>
  <c r="W227" i="7"/>
  <c r="BP70" i="7"/>
  <c r="R27" i="7"/>
  <c r="R204" i="4"/>
  <c r="R204" i="1" s="1"/>
  <c r="Q100" i="4"/>
  <c r="Q100" i="1" s="1"/>
  <c r="EO129" i="4"/>
  <c r="Z209" i="7"/>
  <c r="U13" i="7"/>
  <c r="U6" i="7" s="1"/>
  <c r="AF227" i="7"/>
  <c r="Y143" i="4"/>
  <c r="Y143" i="1" s="1"/>
  <c r="X184" i="4"/>
  <c r="X184" i="1" s="1"/>
  <c r="X108" i="4"/>
  <c r="X108" i="1" s="1"/>
  <c r="S216" i="4"/>
  <c r="S216" i="1" s="1"/>
  <c r="S113" i="4"/>
  <c r="S113" i="1" s="1"/>
  <c r="P119" i="4"/>
  <c r="P119" i="1" s="1"/>
  <c r="EP214" i="4"/>
  <c r="EM116" i="4"/>
  <c r="R141" i="4"/>
  <c r="R141" i="1" s="1"/>
  <c r="Q86" i="4"/>
  <c r="Q86" i="1" s="1"/>
  <c r="ET227" i="4"/>
  <c r="EL187" i="4"/>
  <c r="P184" i="4"/>
  <c r="P184" i="1" s="1"/>
  <c r="CV182" i="4"/>
  <c r="DE164" i="4"/>
  <c r="EN129" i="4"/>
  <c r="EO146" i="4"/>
  <c r="U121" i="4"/>
  <c r="U121" i="1" s="1"/>
  <c r="R119" i="4"/>
  <c r="R119" i="1" s="1"/>
  <c r="X180" i="4"/>
  <c r="X180" i="1" s="1"/>
  <c r="R154" i="4"/>
  <c r="R154" i="1" s="1"/>
  <c r="Y113" i="4"/>
  <c r="Y113" i="1" s="1"/>
  <c r="DE129" i="4"/>
  <c r="U162" i="4"/>
  <c r="U162" i="1" s="1"/>
  <c r="X186" i="4"/>
  <c r="X186" i="1" s="1"/>
  <c r="R118" i="4"/>
  <c r="R118" i="1" s="1"/>
  <c r="Q199" i="4"/>
  <c r="Q199" i="1" s="1"/>
  <c r="U208" i="4"/>
  <c r="U208" i="1" s="1"/>
  <c r="S131" i="4"/>
  <c r="S131" i="1" s="1"/>
  <c r="S124" i="4"/>
  <c r="S124" i="1" s="1"/>
  <c r="ET58" i="4"/>
  <c r="Z135" i="4"/>
  <c r="Z135" i="1" s="1"/>
  <c r="U200" i="4"/>
  <c r="U200" i="1" s="1"/>
  <c r="Y222" i="4"/>
  <c r="Y222" i="1" s="1"/>
  <c r="Z145" i="4"/>
  <c r="Z145" i="1" s="1"/>
  <c r="U195" i="4"/>
  <c r="U195" i="1" s="1"/>
  <c r="Y196" i="4"/>
  <c r="Y196" i="1" s="1"/>
  <c r="EM209" i="4"/>
  <c r="X221" i="4"/>
  <c r="X221" i="1" s="1"/>
  <c r="Z186" i="4"/>
  <c r="Z186" i="1" s="1"/>
  <c r="R192" i="4"/>
  <c r="R192" i="1" s="1"/>
  <c r="Y198" i="4"/>
  <c r="Y198" i="1" s="1"/>
  <c r="X140" i="4"/>
  <c r="X140" i="1" s="1"/>
  <c r="V128" i="4"/>
  <c r="V128" i="1" s="1"/>
  <c r="ET182" i="4"/>
  <c r="R161" i="4"/>
  <c r="R161" i="1" s="1"/>
  <c r="CY6" i="4"/>
  <c r="Z131" i="4"/>
  <c r="Z131" i="1" s="1"/>
  <c r="X145" i="4"/>
  <c r="X145" i="1" s="1"/>
  <c r="X170" i="4"/>
  <c r="X170" i="1" s="1"/>
  <c r="Y126" i="4"/>
  <c r="Y126" i="1" s="1"/>
  <c r="Q132" i="4"/>
  <c r="Q132" i="1" s="1"/>
  <c r="X120" i="4"/>
  <c r="X120" i="1" s="1"/>
  <c r="DD150" i="4"/>
  <c r="Y102" i="4"/>
  <c r="Y102" i="1" s="1"/>
  <c r="X191" i="4"/>
  <c r="X191" i="1" s="1"/>
  <c r="Z168" i="4"/>
  <c r="Z168" i="1" s="1"/>
  <c r="Q174" i="4"/>
  <c r="Q174" i="1" s="1"/>
  <c r="X141" i="4"/>
  <c r="X141" i="1" s="1"/>
  <c r="Z208" i="4"/>
  <c r="Z208" i="1" s="1"/>
  <c r="CX76" i="4"/>
  <c r="R221" i="4"/>
  <c r="R221" i="1" s="1"/>
  <c r="X168" i="4"/>
  <c r="X168" i="1" s="1"/>
  <c r="R100" i="4"/>
  <c r="R100" i="1" s="1"/>
  <c r="T92" i="4"/>
  <c r="T92" i="1" s="1"/>
  <c r="X110" i="4"/>
  <c r="X110" i="1" s="1"/>
  <c r="EN76" i="4"/>
  <c r="EN6" i="4"/>
  <c r="Q119" i="4"/>
  <c r="Q119" i="1" s="1"/>
  <c r="ET178" i="4"/>
  <c r="Q170" i="4"/>
  <c r="Q170" i="1" s="1"/>
  <c r="Q169" i="4"/>
  <c r="Q169" i="1" s="1"/>
  <c r="V142" i="4"/>
  <c r="V142" i="1" s="1"/>
  <c r="R99" i="4"/>
  <c r="R99" i="1" s="1"/>
  <c r="Z167" i="4"/>
  <c r="Z167" i="1" s="1"/>
  <c r="DA227" i="4"/>
  <c r="R98" i="4"/>
  <c r="R98" i="1" s="1"/>
  <c r="Y192" i="4"/>
  <c r="Y192" i="1" s="1"/>
  <c r="Y85" i="4"/>
  <c r="Y85" i="1" s="1"/>
  <c r="R190" i="4"/>
  <c r="R190" i="1" s="1"/>
  <c r="P161" i="4"/>
  <c r="P161" i="1" s="1"/>
  <c r="CW133" i="4"/>
  <c r="Y226" i="4"/>
  <c r="Y226" i="1" s="1"/>
  <c r="X176" i="4"/>
  <c r="X176" i="1" s="1"/>
  <c r="T185" i="4"/>
  <c r="T185" i="1" s="1"/>
  <c r="X78" i="4"/>
  <c r="X78" i="1" s="1"/>
  <c r="Z127" i="4"/>
  <c r="Z127" i="1" s="1"/>
  <c r="R169" i="4"/>
  <c r="R169" i="1" s="1"/>
  <c r="EN187" i="4"/>
  <c r="DF172" i="4"/>
  <c r="EM182" i="4"/>
  <c r="X202" i="4"/>
  <c r="X202" i="1" s="1"/>
  <c r="U190" i="4"/>
  <c r="U190" i="1" s="1"/>
  <c r="DF214" i="4"/>
  <c r="Y78" i="4"/>
  <c r="Y78" i="1" s="1"/>
  <c r="Z176" i="4"/>
  <c r="Z176" i="1" s="1"/>
  <c r="X197" i="4"/>
  <c r="X197" i="1" s="1"/>
  <c r="Q127" i="4"/>
  <c r="Q127" i="1" s="1"/>
  <c r="Q171" i="4"/>
  <c r="Q171" i="1" s="1"/>
  <c r="Q148" i="4"/>
  <c r="Q148" i="1" s="1"/>
  <c r="X102" i="4"/>
  <c r="X102" i="1" s="1"/>
  <c r="CW157" i="4"/>
  <c r="Y81" i="4"/>
  <c r="Y81" i="1" s="1"/>
  <c r="U81" i="4"/>
  <c r="U81" i="1" s="1"/>
  <c r="CW209" i="4"/>
  <c r="EU187" i="4"/>
  <c r="U102" i="4"/>
  <c r="U102" i="1" s="1"/>
  <c r="Z201" i="4"/>
  <c r="Z201" i="1" s="1"/>
  <c r="R222" i="4"/>
  <c r="R222" i="1" s="1"/>
  <c r="CW219" i="4"/>
  <c r="Z169" i="4"/>
  <c r="Z169" i="1" s="1"/>
  <c r="Z140" i="4"/>
  <c r="Z140" i="1" s="1"/>
  <c r="Z120" i="4"/>
  <c r="Z120" i="1" s="1"/>
  <c r="ET43" i="4"/>
  <c r="ET47" i="4" s="1"/>
  <c r="X126" i="4"/>
  <c r="X126" i="1" s="1"/>
  <c r="R83" i="4"/>
  <c r="R83" i="1" s="1"/>
  <c r="R216" i="4"/>
  <c r="R216" i="1" s="1"/>
  <c r="Y95" i="4"/>
  <c r="Y95" i="1" s="1"/>
  <c r="Z85" i="4"/>
  <c r="Z85" i="1" s="1"/>
  <c r="ET104" i="4"/>
  <c r="Y180" i="4"/>
  <c r="Y180" i="1" s="1"/>
  <c r="U145" i="4"/>
  <c r="U145" i="1" s="1"/>
  <c r="U197" i="4"/>
  <c r="U197" i="1" s="1"/>
  <c r="Q204" i="4"/>
  <c r="Q204" i="1" s="1"/>
  <c r="ET223" i="4"/>
  <c r="ER157" i="4"/>
  <c r="EU104" i="4"/>
  <c r="Q142" i="4"/>
  <c r="Q142" i="1" s="1"/>
  <c r="T119" i="4"/>
  <c r="T119" i="1" s="1"/>
  <c r="DD182" i="4"/>
  <c r="T109" i="4"/>
  <c r="T109" i="1" s="1"/>
  <c r="Q79" i="4"/>
  <c r="Q79" i="1" s="1"/>
  <c r="CX227" i="4"/>
  <c r="CV43" i="4"/>
  <c r="CV47" i="4" s="1"/>
  <c r="Y108" i="4"/>
  <c r="Y108" i="1" s="1"/>
  <c r="T221" i="4"/>
  <c r="T221" i="1" s="1"/>
  <c r="Y121" i="4"/>
  <c r="Y121" i="1" s="1"/>
  <c r="R148" i="4"/>
  <c r="R148" i="1" s="1"/>
  <c r="DE219" i="4"/>
  <c r="R128" i="4"/>
  <c r="R128" i="1" s="1"/>
  <c r="X97" i="4"/>
  <c r="X97" i="1" s="1"/>
  <c r="Q82" i="4"/>
  <c r="Q82" i="1" s="1"/>
  <c r="R142" i="4"/>
  <c r="R142" i="1" s="1"/>
  <c r="R132" i="4"/>
  <c r="R132" i="1" s="1"/>
  <c r="U125" i="4"/>
  <c r="U125" i="1" s="1"/>
  <c r="X203" i="4"/>
  <c r="X203" i="1" s="1"/>
  <c r="CX157" i="4"/>
  <c r="CX182" i="4"/>
  <c r="DD146" i="4"/>
  <c r="Y125" i="4"/>
  <c r="Y125" i="1" s="1"/>
  <c r="R131" i="4"/>
  <c r="R131" i="1" s="1"/>
  <c r="Z108" i="4"/>
  <c r="Z108" i="1" s="1"/>
  <c r="R229" i="4"/>
  <c r="R229" i="1" s="1"/>
  <c r="DA58" i="4"/>
  <c r="R79" i="4"/>
  <c r="R79" i="1" s="1"/>
  <c r="EN205" i="4"/>
  <c r="Y96" i="4"/>
  <c r="Y96" i="1" s="1"/>
  <c r="R143" i="4"/>
  <c r="R143" i="1" s="1"/>
  <c r="CW129" i="4"/>
  <c r="X201" i="4"/>
  <c r="X201" i="1" s="1"/>
  <c r="EN227" i="4"/>
  <c r="R181" i="4"/>
  <c r="R181" i="1" s="1"/>
  <c r="EO6" i="4"/>
  <c r="Q149" i="4"/>
  <c r="Q149" i="1" s="1"/>
  <c r="X131" i="4"/>
  <c r="X131" i="1" s="1"/>
  <c r="R200" i="4"/>
  <c r="R200" i="1" s="1"/>
  <c r="Q201" i="4"/>
  <c r="Q201" i="1" s="1"/>
  <c r="EV129" i="4"/>
  <c r="Z137" i="4"/>
  <c r="Z137" i="1" s="1"/>
  <c r="R162" i="4"/>
  <c r="R162" i="1" s="1"/>
  <c r="R78" i="4"/>
  <c r="R78" i="1" s="1"/>
  <c r="T101" i="4"/>
  <c r="T101" i="1" s="1"/>
  <c r="Q154" i="4"/>
  <c r="Q154" i="1" s="1"/>
  <c r="Y131" i="4"/>
  <c r="Y131" i="1" s="1"/>
  <c r="R212" i="4"/>
  <c r="R212" i="1" s="1"/>
  <c r="Y141" i="4"/>
  <c r="Y141" i="1" s="1"/>
  <c r="X208" i="4"/>
  <c r="X208" i="1" s="1"/>
  <c r="Z226" i="4"/>
  <c r="Z226" i="1" s="1"/>
  <c r="CW172" i="4"/>
  <c r="DA214" i="4"/>
  <c r="CW43" i="4"/>
  <c r="CW47" i="4" s="1"/>
  <c r="EM193" i="4"/>
  <c r="R94" i="4"/>
  <c r="R94" i="1" s="1"/>
  <c r="X153" i="4"/>
  <c r="X153" i="1" s="1"/>
  <c r="U110" i="4"/>
  <c r="U110" i="1" s="1"/>
  <c r="R82" i="4"/>
  <c r="R82" i="1" s="1"/>
  <c r="Q221" i="4"/>
  <c r="Q221" i="1" s="1"/>
  <c r="T121" i="4"/>
  <c r="T121" i="1" s="1"/>
  <c r="DE146" i="4"/>
  <c r="CW58" i="4"/>
  <c r="Z81" i="4"/>
  <c r="Z81" i="1" s="1"/>
  <c r="Q203" i="4"/>
  <c r="Q203" i="1" s="1"/>
  <c r="DE193" i="4"/>
  <c r="EQ187" i="4"/>
  <c r="Q211" i="4"/>
  <c r="Q211" i="1" s="1"/>
  <c r="Z221" i="4"/>
  <c r="Z221" i="1" s="1"/>
  <c r="Q181" i="4"/>
  <c r="Q181" i="1" s="1"/>
  <c r="DD6" i="4"/>
  <c r="Y225" i="4"/>
  <c r="Y225" i="1" s="1"/>
  <c r="X100" i="4"/>
  <c r="X100" i="1" s="1"/>
  <c r="EM187" i="4"/>
  <c r="EM6" i="4"/>
  <c r="DF205" i="4"/>
  <c r="Y94" i="4"/>
  <c r="Y94" i="1" s="1"/>
  <c r="R185" i="4"/>
  <c r="R185" i="1" s="1"/>
  <c r="X144" i="4"/>
  <c r="X144" i="1" s="1"/>
  <c r="R208" i="4"/>
  <c r="R208" i="1" s="1"/>
  <c r="Q125" i="4"/>
  <c r="Q125" i="1" s="1"/>
  <c r="Z96" i="4"/>
  <c r="Z96" i="1" s="1"/>
  <c r="Z83" i="4"/>
  <c r="Z83" i="1" s="1"/>
  <c r="R140" i="4"/>
  <c r="R140" i="1" s="1"/>
  <c r="R122" i="4"/>
  <c r="R122" i="1" s="1"/>
  <c r="R174" i="4"/>
  <c r="R174" i="1" s="1"/>
  <c r="DF164" i="4"/>
  <c r="X174" i="4"/>
  <c r="X174" i="1" s="1"/>
  <c r="DE157" i="4"/>
  <c r="DD157" i="4"/>
  <c r="P79" i="4"/>
  <c r="P79" i="1" s="1"/>
  <c r="EU58" i="4"/>
  <c r="R136" i="4"/>
  <c r="R136" i="1" s="1"/>
  <c r="Z126" i="4"/>
  <c r="Z126" i="1" s="1"/>
  <c r="R167" i="4"/>
  <c r="R167" i="1" s="1"/>
  <c r="ET129" i="4"/>
  <c r="V96" i="4"/>
  <c r="V96" i="1" s="1"/>
  <c r="EU223" i="4"/>
  <c r="P176" i="4"/>
  <c r="P176" i="1" s="1"/>
  <c r="Z113" i="4"/>
  <c r="Z113" i="1" s="1"/>
  <c r="Y149" i="4"/>
  <c r="Y149" i="1" s="1"/>
  <c r="R186" i="4"/>
  <c r="R186" i="1" s="1"/>
  <c r="EP219" i="4"/>
  <c r="T213" i="4"/>
  <c r="T213" i="1" s="1"/>
  <c r="P111" i="4"/>
  <c r="P111" i="1" s="1"/>
  <c r="Y171" i="4"/>
  <c r="Y171" i="1" s="1"/>
  <c r="V95" i="4"/>
  <c r="V95" i="1" s="1"/>
  <c r="Z196" i="4"/>
  <c r="Z196" i="1" s="1"/>
  <c r="P160" i="4"/>
  <c r="P160" i="1" s="1"/>
  <c r="W200" i="4"/>
  <c r="EM214" i="4"/>
  <c r="X198" i="4"/>
  <c r="X198" i="1" s="1"/>
  <c r="Z106" i="4"/>
  <c r="Z106" i="1" s="1"/>
  <c r="R101" i="4"/>
  <c r="R101" i="1" s="1"/>
  <c r="P159" i="4"/>
  <c r="P159" i="1" s="1"/>
  <c r="X229" i="4"/>
  <c r="X229" i="1" s="1"/>
  <c r="Y159" i="4"/>
  <c r="Y159" i="1" s="1"/>
  <c r="Y123" i="4"/>
  <c r="Y123" i="1" s="1"/>
  <c r="S27" i="7"/>
  <c r="S219" i="7"/>
  <c r="S146" i="7"/>
  <c r="S199" i="4"/>
  <c r="S199" i="1" s="1"/>
  <c r="CY219" i="4"/>
  <c r="EO157" i="4"/>
  <c r="CY227" i="4"/>
  <c r="S150" i="7"/>
  <c r="S166" i="4"/>
  <c r="S166" i="1" s="1"/>
  <c r="S184" i="4"/>
  <c r="S184" i="1" s="1"/>
  <c r="S164" i="7"/>
  <c r="S209" i="7"/>
  <c r="S95" i="4"/>
  <c r="S95" i="1" s="1"/>
  <c r="S181" i="4"/>
  <c r="S181" i="1" s="1"/>
  <c r="S126" i="4"/>
  <c r="S126" i="1" s="1"/>
  <c r="CY138" i="4"/>
  <c r="S109" i="4"/>
  <c r="S109" i="1" s="1"/>
  <c r="S102" i="4"/>
  <c r="S102" i="1" s="1"/>
  <c r="S229" i="4"/>
  <c r="S229" i="1" s="1"/>
  <c r="S177" i="4"/>
  <c r="S177" i="1" s="1"/>
  <c r="S186" i="4"/>
  <c r="S186" i="1" s="1"/>
  <c r="S227" i="7"/>
  <c r="EO90" i="4"/>
  <c r="S133" i="7"/>
  <c r="S82" i="4"/>
  <c r="S82" i="1" s="1"/>
  <c r="BI75" i="7"/>
  <c r="S106" i="4"/>
  <c r="S106" i="1" s="1"/>
  <c r="S97" i="4"/>
  <c r="S97" i="1" s="1"/>
  <c r="S79" i="4"/>
  <c r="S79" i="1" s="1"/>
  <c r="CY164" i="4"/>
  <c r="S226" i="4"/>
  <c r="S226" i="1" s="1"/>
  <c r="S196" i="4"/>
  <c r="S196" i="1" s="1"/>
  <c r="S141" i="4"/>
  <c r="S141" i="1" s="1"/>
  <c r="BI115" i="7"/>
  <c r="CY205" i="4"/>
  <c r="CY104" i="4"/>
  <c r="S172" i="7"/>
  <c r="EO156" i="7"/>
  <c r="S195" i="4"/>
  <c r="S195" i="1" s="1"/>
  <c r="BI43" i="7"/>
  <c r="BI47" i="7" s="1"/>
  <c r="S127" i="4"/>
  <c r="S127" i="1" s="1"/>
  <c r="S99" i="4"/>
  <c r="S99" i="1" s="1"/>
  <c r="T111" i="4"/>
  <c r="T111" i="1" s="1"/>
  <c r="T144" i="4"/>
  <c r="T144" i="1" s="1"/>
  <c r="T192" i="4"/>
  <c r="T192" i="1" s="1"/>
  <c r="T152" i="4"/>
  <c r="T152" i="1" s="1"/>
  <c r="T143" i="4"/>
  <c r="T143" i="1" s="1"/>
  <c r="T222" i="4"/>
  <c r="T222" i="1" s="1"/>
  <c r="T199" i="4"/>
  <c r="T199" i="1" s="1"/>
  <c r="CZ172" i="4"/>
  <c r="EP205" i="4"/>
  <c r="T207" i="4"/>
  <c r="T207" i="1" s="1"/>
  <c r="T96" i="4"/>
  <c r="T96" i="1" s="1"/>
  <c r="T214" i="7"/>
  <c r="T132" i="4"/>
  <c r="T132" i="1" s="1"/>
  <c r="T170" i="4"/>
  <c r="T170" i="1" s="1"/>
  <c r="T201" i="4"/>
  <c r="T201" i="1" s="1"/>
  <c r="EP218" i="7"/>
  <c r="T29" i="7"/>
  <c r="T94" i="4"/>
  <c r="T94" i="1" s="1"/>
  <c r="T181" i="4"/>
  <c r="T181" i="1" s="1"/>
  <c r="T137" i="4"/>
  <c r="T137" i="1" s="1"/>
  <c r="EP150" i="4"/>
  <c r="T123" i="4"/>
  <c r="T123" i="1" s="1"/>
  <c r="T182" i="7"/>
  <c r="T97" i="4"/>
  <c r="T97" i="1" s="1"/>
  <c r="T79" i="4"/>
  <c r="T79" i="1" s="1"/>
  <c r="T122" i="4"/>
  <c r="T122" i="1" s="1"/>
  <c r="CZ104" i="4"/>
  <c r="CZ129" i="4"/>
  <c r="T168" i="4"/>
  <c r="T168" i="1" s="1"/>
  <c r="T120" i="4"/>
  <c r="T120" i="1" s="1"/>
  <c r="CZ187" i="4"/>
  <c r="T191" i="4"/>
  <c r="T191" i="1" s="1"/>
  <c r="T241" i="7"/>
  <c r="CZ219" i="4"/>
  <c r="T211" i="4"/>
  <c r="T211" i="1" s="1"/>
  <c r="EP182" i="4"/>
  <c r="T82" i="4"/>
  <c r="T82" i="1" s="1"/>
  <c r="T197" i="4"/>
  <c r="T197" i="1" s="1"/>
  <c r="EP178" i="4"/>
  <c r="T219" i="7"/>
  <c r="T180" i="4"/>
  <c r="T180" i="1" s="1"/>
  <c r="BJ218" i="7"/>
  <c r="T13" i="7"/>
  <c r="EP223" i="4"/>
  <c r="T226" i="4"/>
  <c r="T226" i="1" s="1"/>
  <c r="T202" i="4"/>
  <c r="T202" i="1" s="1"/>
  <c r="V145" i="4"/>
  <c r="V145" i="1" s="1"/>
  <c r="ER218" i="7"/>
  <c r="V189" i="4"/>
  <c r="V189" i="1" s="1"/>
  <c r="V119" i="4"/>
  <c r="V119" i="1" s="1"/>
  <c r="BL218" i="7"/>
  <c r="V213" i="4"/>
  <c r="V213" i="1" s="1"/>
  <c r="ER129" i="4"/>
  <c r="V202" i="4"/>
  <c r="V202" i="1" s="1"/>
  <c r="DB219" i="4"/>
  <c r="ER6" i="4"/>
  <c r="V112" i="4"/>
  <c r="V112" i="1" s="1"/>
  <c r="V132" i="4"/>
  <c r="V132" i="1" s="1"/>
  <c r="V166" i="4"/>
  <c r="V166" i="1" s="1"/>
  <c r="DB182" i="4"/>
  <c r="DB214" i="4"/>
  <c r="V207" i="4"/>
  <c r="V207" i="1" s="1"/>
  <c r="V141" i="4"/>
  <c r="V141" i="1" s="1"/>
  <c r="V227" i="7"/>
  <c r="DB164" i="4"/>
  <c r="V221" i="4"/>
  <c r="V221" i="1" s="1"/>
  <c r="V27" i="7"/>
  <c r="ER104" i="4"/>
  <c r="DB223" i="4"/>
  <c r="DB172" i="4"/>
  <c r="V135" i="4"/>
  <c r="V135" i="1" s="1"/>
  <c r="V216" i="4"/>
  <c r="V216" i="1" s="1"/>
  <c r="V120" i="4"/>
  <c r="V120" i="1" s="1"/>
  <c r="DB115" i="7"/>
  <c r="DB76" i="4"/>
  <c r="V222" i="4"/>
  <c r="V222" i="1" s="1"/>
  <c r="DB178" i="4"/>
  <c r="V100" i="4"/>
  <c r="V100" i="1" s="1"/>
  <c r="V98" i="4"/>
  <c r="V98" i="1" s="1"/>
  <c r="V122" i="4"/>
  <c r="V122" i="1" s="1"/>
  <c r="BL115" i="7"/>
  <c r="DB6" i="4"/>
  <c r="V80" i="4"/>
  <c r="V80" i="1" s="1"/>
  <c r="ER115" i="7"/>
  <c r="V60" i="7"/>
  <c r="ER75" i="7"/>
  <c r="V97" i="4"/>
  <c r="V97" i="1" s="1"/>
  <c r="V99" i="4"/>
  <c r="V99" i="1" s="1"/>
  <c r="V181" i="4"/>
  <c r="V181" i="1" s="1"/>
  <c r="DB75" i="7"/>
  <c r="V78" i="4"/>
  <c r="V78" i="1" s="1"/>
  <c r="DB146" i="4"/>
  <c r="V131" i="4"/>
  <c r="V131" i="1" s="1"/>
  <c r="V223" i="7"/>
  <c r="ER223" i="4"/>
  <c r="V81" i="4"/>
  <c r="V81" i="1" s="1"/>
  <c r="DB205" i="4"/>
  <c r="DB227" i="4"/>
  <c r="V133" i="7"/>
  <c r="V164" i="7"/>
  <c r="ER219" i="4"/>
  <c r="V200" i="4"/>
  <c r="V200" i="1" s="1"/>
  <c r="CC115" i="7"/>
  <c r="CE178" i="7"/>
  <c r="CD218" i="7"/>
  <c r="BT218" i="7"/>
  <c r="CE172" i="7"/>
  <c r="CC218" i="7"/>
  <c r="CE133" i="7"/>
  <c r="CE29" i="7"/>
  <c r="CE70" i="7" s="1"/>
  <c r="BY218" i="7"/>
  <c r="CB70" i="7"/>
  <c r="EW58" i="7"/>
  <c r="DC205" i="4"/>
  <c r="W222" i="4"/>
  <c r="W201" i="4"/>
  <c r="W137" i="4"/>
  <c r="W107" i="4"/>
  <c r="W101" i="4"/>
  <c r="BQ214" i="7"/>
  <c r="DC209" i="4"/>
  <c r="W148" i="4"/>
  <c r="DG58" i="7"/>
  <c r="DC75" i="7"/>
  <c r="W119" i="4"/>
  <c r="AA143" i="7"/>
  <c r="W214" i="7"/>
  <c r="P138" i="7"/>
  <c r="CV164" i="4"/>
  <c r="CV43" i="7"/>
  <c r="CV47" i="7" s="1"/>
  <c r="P96" i="4"/>
  <c r="P96" i="1" s="1"/>
  <c r="EW225" i="4"/>
  <c r="DG178" i="7"/>
  <c r="EL75" i="7"/>
  <c r="P141" i="4"/>
  <c r="P141" i="1" s="1"/>
  <c r="AA229" i="7"/>
  <c r="P207" i="4"/>
  <c r="P207" i="1" s="1"/>
  <c r="CV227" i="4"/>
  <c r="EL146" i="4"/>
  <c r="P87" i="7"/>
  <c r="P7" i="4"/>
  <c r="P7" i="1" s="1"/>
  <c r="CV75" i="7"/>
  <c r="EL223" i="4"/>
  <c r="CV146" i="4"/>
  <c r="P107" i="4"/>
  <c r="P107" i="1" s="1"/>
  <c r="P140" i="4"/>
  <c r="P140" i="1" s="1"/>
  <c r="EL178" i="4"/>
  <c r="P110" i="4"/>
  <c r="P110" i="1" s="1"/>
  <c r="P168" i="4"/>
  <c r="P168" i="1" s="1"/>
  <c r="P120" i="4"/>
  <c r="P120" i="1" s="1"/>
  <c r="EL209" i="4"/>
  <c r="P175" i="4"/>
  <c r="P175" i="1" s="1"/>
  <c r="EL43" i="4"/>
  <c r="EL47" i="4" s="1"/>
  <c r="P95" i="4"/>
  <c r="P95" i="1" s="1"/>
  <c r="EL116" i="4"/>
  <c r="P128" i="4"/>
  <c r="P128" i="1" s="1"/>
  <c r="P149" i="4"/>
  <c r="P149" i="1" s="1"/>
  <c r="EL43" i="7"/>
  <c r="EL47" i="7" s="1"/>
  <c r="P190" i="4"/>
  <c r="P190" i="1" s="1"/>
  <c r="P125" i="4"/>
  <c r="P125" i="1" s="1"/>
  <c r="P211" i="4"/>
  <c r="P211" i="1" s="1"/>
  <c r="P193" i="7"/>
  <c r="P185" i="4"/>
  <c r="P185" i="1" s="1"/>
  <c r="P213" i="4"/>
  <c r="P213" i="1" s="1"/>
  <c r="P98" i="4"/>
  <c r="P98" i="1" s="1"/>
  <c r="P85" i="4"/>
  <c r="P85" i="1" s="1"/>
  <c r="P223" i="7"/>
  <c r="AA92" i="7"/>
  <c r="AA177" i="7"/>
  <c r="DG184" i="4"/>
  <c r="U96" i="4"/>
  <c r="U96" i="1" s="1"/>
  <c r="U161" i="4"/>
  <c r="U161" i="1" s="1"/>
  <c r="U120" i="4"/>
  <c r="U120" i="1" s="1"/>
  <c r="U7" i="4"/>
  <c r="U7" i="1" s="1"/>
  <c r="U142" i="4"/>
  <c r="U142" i="1" s="1"/>
  <c r="DG119" i="4"/>
  <c r="U167" i="4"/>
  <c r="U167" i="1" s="1"/>
  <c r="U128" i="4"/>
  <c r="U128" i="1" s="1"/>
  <c r="EQ156" i="7"/>
  <c r="U166" i="4"/>
  <c r="U166" i="1" s="1"/>
  <c r="DA146" i="4"/>
  <c r="U95" i="4"/>
  <c r="U95" i="1" s="1"/>
  <c r="DG199" i="4"/>
  <c r="U85" i="4"/>
  <c r="U85" i="1" s="1"/>
  <c r="U181" i="4"/>
  <c r="U181" i="1" s="1"/>
  <c r="U199" i="4"/>
  <c r="U199" i="1" s="1"/>
  <c r="U127" i="4"/>
  <c r="U127" i="1" s="1"/>
  <c r="U144" i="4"/>
  <c r="U144" i="1" s="1"/>
  <c r="U192" i="4"/>
  <c r="U192" i="1" s="1"/>
  <c r="U119" i="4"/>
  <c r="U119" i="1" s="1"/>
  <c r="DA150" i="4"/>
  <c r="U221" i="4"/>
  <c r="U221" i="1" s="1"/>
  <c r="U80" i="4"/>
  <c r="U80" i="1" s="1"/>
  <c r="EQ219" i="4"/>
  <c r="U118" i="4"/>
  <c r="U118" i="1" s="1"/>
  <c r="U122" i="4"/>
  <c r="U122" i="1" s="1"/>
  <c r="U136" i="4"/>
  <c r="U136" i="1" s="1"/>
  <c r="U211" i="4"/>
  <c r="U211" i="1" s="1"/>
  <c r="AA225" i="7"/>
  <c r="DA129" i="4"/>
  <c r="U106" i="4"/>
  <c r="U106" i="1" s="1"/>
  <c r="U203" i="4"/>
  <c r="U203" i="1" s="1"/>
  <c r="DA178" i="4"/>
  <c r="EQ218" i="7"/>
  <c r="EW196" i="4"/>
  <c r="W123" i="4"/>
  <c r="DG95" i="4"/>
  <c r="W111" i="4"/>
  <c r="W122" i="4"/>
  <c r="AA212" i="7"/>
  <c r="W87" i="7"/>
  <c r="W177" i="4"/>
  <c r="W86" i="4"/>
  <c r="ES205" i="4"/>
  <c r="DC214" i="4"/>
  <c r="BQ87" i="7"/>
  <c r="W164" i="7"/>
  <c r="W150" i="7"/>
  <c r="EW99" i="4"/>
  <c r="EW145" i="4"/>
  <c r="EW97" i="4"/>
  <c r="DC218" i="7"/>
  <c r="W180" i="4"/>
  <c r="BQ146" i="7"/>
  <c r="BQ76" i="7"/>
  <c r="DG29" i="7"/>
  <c r="DC133" i="4"/>
  <c r="AA111" i="7"/>
  <c r="W203" i="4"/>
  <c r="AA185" i="7"/>
  <c r="W112" i="4"/>
  <c r="W96" i="4"/>
  <c r="W97" i="4"/>
  <c r="W168" i="4"/>
  <c r="DG205" i="7"/>
  <c r="W140" i="4"/>
  <c r="EW157" i="7"/>
  <c r="BQ38" i="7"/>
  <c r="W142" i="4"/>
  <c r="W204" i="4"/>
  <c r="W85" i="4"/>
  <c r="W136" i="4"/>
  <c r="ES223" i="4"/>
  <c r="W157" i="7"/>
  <c r="W166" i="4"/>
  <c r="DC146" i="4"/>
  <c r="EW182" i="7"/>
  <c r="EW227" i="7"/>
  <c r="EW108" i="4"/>
  <c r="W120" i="4"/>
  <c r="W211" i="4"/>
  <c r="W79" i="4"/>
  <c r="DG38" i="7"/>
  <c r="W131" i="4"/>
  <c r="W38" i="7"/>
  <c r="W205" i="7"/>
  <c r="EW94" i="4"/>
  <c r="BM115" i="7"/>
  <c r="W141" i="4"/>
  <c r="DG129" i="7"/>
  <c r="W187" i="7"/>
  <c r="AA112" i="7"/>
  <c r="W95" i="4"/>
  <c r="DC178" i="4"/>
  <c r="W182" i="7"/>
  <c r="W80" i="4"/>
  <c r="ES156" i="7"/>
  <c r="ES6" i="4"/>
  <c r="BQ205" i="7"/>
  <c r="DG136" i="4"/>
  <c r="W110" i="4"/>
  <c r="ES214" i="4"/>
  <c r="ES58" i="7"/>
  <c r="EX58" i="7" s="1"/>
  <c r="W212" i="4"/>
  <c r="EW80" i="4"/>
  <c r="ES209" i="4"/>
  <c r="DF58" i="7"/>
  <c r="P58" i="7"/>
  <c r="DE58" i="7"/>
  <c r="Z58" i="7"/>
  <c r="S58" i="7"/>
  <c r="EL58" i="4"/>
  <c r="DB58" i="4"/>
  <c r="BK58" i="7"/>
  <c r="BP58" i="7"/>
  <c r="EL58" i="7"/>
  <c r="DB58" i="7"/>
  <c r="ER58" i="4"/>
  <c r="EO58" i="7"/>
  <c r="BF58" i="7"/>
  <c r="EV58" i="7"/>
  <c r="BP57" i="4"/>
  <c r="Z55" i="4"/>
  <c r="BZ38" i="4"/>
  <c r="BY75" i="24"/>
  <c r="DS165" i="4"/>
  <c r="DS164" i="7"/>
  <c r="CW77" i="24"/>
  <c r="DQ194" i="4"/>
  <c r="DQ193" i="7"/>
  <c r="E222" i="23"/>
  <c r="D222" i="23" s="1"/>
  <c r="DB70" i="7"/>
  <c r="W51" i="4"/>
  <c r="BM54" i="4"/>
  <c r="AT74" i="24"/>
  <c r="DT124" i="4"/>
  <c r="BQ112" i="4"/>
  <c r="O112" i="4"/>
  <c r="CB193" i="4"/>
  <c r="BQ44" i="4"/>
  <c r="O44" i="4"/>
  <c r="DM34" i="4"/>
  <c r="G85" i="24"/>
  <c r="DU77" i="7"/>
  <c r="DI76" i="7"/>
  <c r="DI77" i="4"/>
  <c r="DM40" i="4"/>
  <c r="DK31" i="4"/>
  <c r="DK29" i="7"/>
  <c r="AZ76" i="24"/>
  <c r="DR131" i="4"/>
  <c r="DX79" i="24"/>
  <c r="DO229" i="4"/>
  <c r="AI229" i="4" s="1"/>
  <c r="AI229" i="1" s="1"/>
  <c r="AI229" i="7"/>
  <c r="AI227" i="7" s="1"/>
  <c r="BI57" i="4"/>
  <c r="S55" i="4"/>
  <c r="BO13" i="4"/>
  <c r="BO6" i="4" s="1"/>
  <c r="Y14" i="4"/>
  <c r="CU223" i="4"/>
  <c r="DG224" i="4"/>
  <c r="CE154" i="4"/>
  <c r="G76" i="24"/>
  <c r="DR77" i="4"/>
  <c r="DR76" i="7"/>
  <c r="DH76" i="7" s="1"/>
  <c r="AU84" i="24"/>
  <c r="DJ125" i="4"/>
  <c r="CV80" i="24"/>
  <c r="DN192" i="4"/>
  <c r="X7" i="4"/>
  <c r="X7" i="1" s="1"/>
  <c r="DB82" i="24"/>
  <c r="DL199" i="4"/>
  <c r="CM76" i="24"/>
  <c r="DR181" i="4"/>
  <c r="FC181" i="7"/>
  <c r="EY181" i="7"/>
  <c r="AC181" i="7" s="1"/>
  <c r="FB181" i="7"/>
  <c r="FA181" i="7"/>
  <c r="EZ181" i="7"/>
  <c r="FJ181" i="7"/>
  <c r="AN181" i="7" s="1"/>
  <c r="FI181" i="7"/>
  <c r="AM181" i="7" s="1"/>
  <c r="FH181" i="7"/>
  <c r="AL181" i="7" s="1"/>
  <c r="AB181" i="7" s="1"/>
  <c r="FF181" i="7"/>
  <c r="FE181" i="7"/>
  <c r="FG181" i="7"/>
  <c r="EX181" i="7" s="1"/>
  <c r="FD181" i="7"/>
  <c r="BP60" i="4"/>
  <c r="Z61" i="4"/>
  <c r="J75" i="24"/>
  <c r="DS80" i="4"/>
  <c r="BQ92" i="4"/>
  <c r="O92" i="4"/>
  <c r="BO157" i="4"/>
  <c r="Y158" i="4"/>
  <c r="DD83" i="24"/>
  <c r="DK201" i="4"/>
  <c r="O75" i="24"/>
  <c r="DS85" i="4"/>
  <c r="AU83" i="24"/>
  <c r="DK125" i="4"/>
  <c r="CB76" i="4"/>
  <c r="BB74" i="24"/>
  <c r="DT133" i="7"/>
  <c r="DT134" i="4"/>
  <c r="BW133" i="4"/>
  <c r="DS41" i="4"/>
  <c r="DL246" i="4"/>
  <c r="BY209" i="4"/>
  <c r="W206" i="4"/>
  <c r="BM205" i="4"/>
  <c r="DJ39" i="4"/>
  <c r="DJ38" i="7"/>
  <c r="F84" i="24" s="1"/>
  <c r="BQ216" i="4"/>
  <c r="O216" i="4"/>
  <c r="BQ118" i="4"/>
  <c r="O118" i="4"/>
  <c r="CV78" i="24"/>
  <c r="DP192" i="4"/>
  <c r="BO58" i="7"/>
  <c r="CG84" i="24"/>
  <c r="DJ174" i="4"/>
  <c r="BQ120" i="4"/>
  <c r="O120" i="4"/>
  <c r="BN172" i="4"/>
  <c r="X173" i="4"/>
  <c r="DG51" i="4"/>
  <c r="DG54" i="4" s="1"/>
  <c r="CU54" i="4"/>
  <c r="AT83" i="24"/>
  <c r="DK124" i="4"/>
  <c r="BH77" i="24"/>
  <c r="DQ141" i="4"/>
  <c r="BR78" i="24"/>
  <c r="DP153" i="4"/>
  <c r="BI75" i="24"/>
  <c r="DS142" i="4"/>
  <c r="CE99" i="4"/>
  <c r="DU153" i="7"/>
  <c r="BR85" i="24"/>
  <c r="DI153" i="4"/>
  <c r="AA174" i="7"/>
  <c r="DK42" i="4"/>
  <c r="CB38" i="4"/>
  <c r="CC193" i="4"/>
  <c r="AZ74" i="24"/>
  <c r="DT131" i="4"/>
  <c r="DG161" i="4"/>
  <c r="DV162" i="4" s="1"/>
  <c r="ET70" i="4"/>
  <c r="O225" i="4"/>
  <c r="BQ225" i="4"/>
  <c r="J74" i="24"/>
  <c r="DT80" i="4"/>
  <c r="O85" i="24"/>
  <c r="DU85" i="7"/>
  <c r="DI85" i="4"/>
  <c r="AO76" i="24"/>
  <c r="DR119" i="4"/>
  <c r="BS81" i="24"/>
  <c r="DM154" i="4"/>
  <c r="BQ110" i="4"/>
  <c r="O110" i="4"/>
  <c r="BU129" i="4"/>
  <c r="BB77" i="24"/>
  <c r="DQ133" i="7"/>
  <c r="DQ134" i="4"/>
  <c r="FE64" i="4"/>
  <c r="AI64" i="4" s="1"/>
  <c r="AI64" i="1" s="1"/>
  <c r="AI64" i="7"/>
  <c r="EW143" i="4"/>
  <c r="DT41" i="4"/>
  <c r="DW80" i="24"/>
  <c r="DN228" i="4"/>
  <c r="AH228" i="4" s="1"/>
  <c r="DN227" i="7"/>
  <c r="AH228" i="7"/>
  <c r="DU162" i="7"/>
  <c r="BX85" i="24"/>
  <c r="DI162" i="4"/>
  <c r="DM39" i="4"/>
  <c r="DM38" i="7"/>
  <c r="F81" i="24" s="1"/>
  <c r="CD85" i="24"/>
  <c r="DU170" i="7"/>
  <c r="DI170" i="4"/>
  <c r="FC170" i="7"/>
  <c r="EY170" i="7"/>
  <c r="FJ170" i="7"/>
  <c r="FB170" i="7"/>
  <c r="FA170" i="7"/>
  <c r="AE170" i="7" s="1"/>
  <c r="EZ170" i="7"/>
  <c r="FI170" i="7"/>
  <c r="FH170" i="7"/>
  <c r="AL170" i="7" s="1"/>
  <c r="AB170" i="7" s="1"/>
  <c r="FF170" i="7"/>
  <c r="FE170" i="7"/>
  <c r="AI170" i="7" s="1"/>
  <c r="FG170" i="7"/>
  <c r="FD170" i="7"/>
  <c r="BW209" i="4"/>
  <c r="CK78" i="24"/>
  <c r="DP179" i="4"/>
  <c r="DP178" i="7"/>
  <c r="DN77" i="24"/>
  <c r="DQ213" i="4"/>
  <c r="ET146" i="4"/>
  <c r="AT75" i="24"/>
  <c r="DS124" i="4"/>
  <c r="EU182" i="4"/>
  <c r="BX214" i="4"/>
  <c r="BQ78" i="24"/>
  <c r="DP152" i="4"/>
  <c r="R224" i="4"/>
  <c r="BH223" i="4"/>
  <c r="DP34" i="4"/>
  <c r="BV133" i="4"/>
  <c r="BI77" i="24"/>
  <c r="DQ142" i="4"/>
  <c r="V61" i="4"/>
  <c r="BL60" i="4"/>
  <c r="Q73" i="24"/>
  <c r="BS87" i="7"/>
  <c r="BS75" i="7" s="1"/>
  <c r="BS88" i="4"/>
  <c r="DA79" i="24"/>
  <c r="DO198" i="4"/>
  <c r="CB205" i="4"/>
  <c r="FC77" i="7"/>
  <c r="FA77" i="7"/>
  <c r="EZ77" i="7"/>
  <c r="EY77" i="7"/>
  <c r="FJ77" i="7"/>
  <c r="FB77" i="7"/>
  <c r="FI77" i="7"/>
  <c r="FH77" i="7"/>
  <c r="FG77" i="7"/>
  <c r="EX77" i="7" s="1"/>
  <c r="FF77" i="7"/>
  <c r="AJ77" i="7" s="1"/>
  <c r="FE77" i="7"/>
  <c r="AI77" i="7" s="1"/>
  <c r="FD77" i="7"/>
  <c r="AH77" i="7" s="1"/>
  <c r="DX80" i="24"/>
  <c r="DN229" i="4"/>
  <c r="AH229" i="4" s="1"/>
  <c r="AH229" i="1" s="1"/>
  <c r="AH229" i="7"/>
  <c r="O111" i="4"/>
  <c r="BQ111" i="4"/>
  <c r="BQ171" i="4"/>
  <c r="O171" i="4"/>
  <c r="BO29" i="4"/>
  <c r="Y31" i="4"/>
  <c r="G77" i="24"/>
  <c r="DQ77" i="4"/>
  <c r="DQ76" i="7"/>
  <c r="O101" i="4"/>
  <c r="BQ101" i="4"/>
  <c r="BG172" i="4"/>
  <c r="Q173" i="4"/>
  <c r="CP81" i="24"/>
  <c r="DM185" i="4"/>
  <c r="BU76" i="4"/>
  <c r="DD84" i="24"/>
  <c r="DJ201" i="4"/>
  <c r="BZ78" i="24"/>
  <c r="DP166" i="4"/>
  <c r="CP79" i="24"/>
  <c r="DO185" i="4"/>
  <c r="BQ6" i="7"/>
  <c r="Y58" i="7"/>
  <c r="CD209" i="4"/>
  <c r="AN84" i="24"/>
  <c r="DJ118" i="4"/>
  <c r="W139" i="4"/>
  <c r="BM138" i="4"/>
  <c r="V77" i="24"/>
  <c r="DQ95" i="4"/>
  <c r="AO75" i="24"/>
  <c r="DS119" i="4"/>
  <c r="BS138" i="4"/>
  <c r="CE139" i="4"/>
  <c r="Q66" i="24"/>
  <c r="BZ88" i="4"/>
  <c r="BZ87" i="7"/>
  <c r="BZ75" i="7" s="1"/>
  <c r="CE31" i="4"/>
  <c r="BS29" i="4"/>
  <c r="W75" i="24"/>
  <c r="DS96" i="4"/>
  <c r="ES164" i="4"/>
  <c r="DW76" i="24"/>
  <c r="DR227" i="7"/>
  <c r="DH227" i="7" s="1"/>
  <c r="DR228" i="4"/>
  <c r="AL228" i="4" s="1"/>
  <c r="AL228" i="7"/>
  <c r="AL227" i="7" s="1"/>
  <c r="BO164" i="4"/>
  <c r="Y165" i="4"/>
  <c r="BX77" i="24"/>
  <c r="DQ162" i="4"/>
  <c r="AM82" i="24"/>
  <c r="DL117" i="4"/>
  <c r="DL116" i="7"/>
  <c r="T79" i="24"/>
  <c r="DO93" i="4"/>
  <c r="CD77" i="24"/>
  <c r="DQ170" i="4"/>
  <c r="BS157" i="4"/>
  <c r="CE158" i="4"/>
  <c r="DN45" i="4"/>
  <c r="DN76" i="24"/>
  <c r="DR213" i="4"/>
  <c r="DK78" i="24"/>
  <c r="DP209" i="7"/>
  <c r="DP210" i="4"/>
  <c r="BV70" i="7"/>
  <c r="E70" i="24"/>
  <c r="D70" i="24" s="1"/>
  <c r="BV43" i="7"/>
  <c r="BV47" i="7" s="1"/>
  <c r="BV71" i="7" s="1"/>
  <c r="Q93" i="24"/>
  <c r="Q105" i="24"/>
  <c r="FC88" i="4"/>
  <c r="FC87" i="4" s="1"/>
  <c r="FC87" i="7"/>
  <c r="FD61" i="4"/>
  <c r="FD60" i="7"/>
  <c r="AH61" i="7"/>
  <c r="CD146" i="4"/>
  <c r="CE93" i="4"/>
  <c r="CC116" i="4"/>
  <c r="BQ142" i="4"/>
  <c r="O142" i="4"/>
  <c r="CE30" i="4"/>
  <c r="BH85" i="24"/>
  <c r="DU141" i="7"/>
  <c r="DI141" i="4"/>
  <c r="CE244" i="4"/>
  <c r="FC153" i="7"/>
  <c r="EY153" i="7"/>
  <c r="AC153" i="7" s="1"/>
  <c r="FB153" i="7"/>
  <c r="AF153" i="7" s="1"/>
  <c r="FA153" i="7"/>
  <c r="EZ153" i="7"/>
  <c r="FJ153" i="7"/>
  <c r="FI153" i="7"/>
  <c r="FH153" i="7"/>
  <c r="FG153" i="7"/>
  <c r="EX153" i="7" s="1"/>
  <c r="FF153" i="7"/>
  <c r="AJ153" i="7" s="1"/>
  <c r="FE153" i="7"/>
  <c r="FD153" i="7"/>
  <c r="CE124" i="4"/>
  <c r="BK43" i="7"/>
  <c r="BK47" i="7" s="1"/>
  <c r="E187" i="23"/>
  <c r="D187" i="23" s="1"/>
  <c r="BP90" i="4"/>
  <c r="Z91" i="4"/>
  <c r="BK87" i="4"/>
  <c r="U88" i="4"/>
  <c r="P51" i="4"/>
  <c r="BF54" i="4"/>
  <c r="DU171" i="7"/>
  <c r="CE85" i="24"/>
  <c r="DI171" i="4"/>
  <c r="DN40" i="4"/>
  <c r="DI80" i="24"/>
  <c r="DN207" i="4"/>
  <c r="AA101" i="7"/>
  <c r="CA178" i="4"/>
  <c r="BI164" i="4"/>
  <c r="S165" i="4"/>
  <c r="DE70" i="4"/>
  <c r="AN79" i="24"/>
  <c r="DO118" i="4"/>
  <c r="Z60" i="7"/>
  <c r="DG126" i="4"/>
  <c r="CB209" i="4"/>
  <c r="CO82" i="24"/>
  <c r="DL184" i="4"/>
  <c r="CC90" i="4"/>
  <c r="DH77" i="24"/>
  <c r="DQ206" i="4"/>
  <c r="DQ205" i="7"/>
  <c r="BQ185" i="4"/>
  <c r="O185" i="4"/>
  <c r="W74" i="24"/>
  <c r="DT96" i="4"/>
  <c r="CD223" i="4"/>
  <c r="AM79" i="24"/>
  <c r="DO116" i="7"/>
  <c r="DO117" i="4"/>
  <c r="T83" i="24"/>
  <c r="DK93" i="4"/>
  <c r="CE81" i="4"/>
  <c r="BD85" i="24"/>
  <c r="DU136" i="7"/>
  <c r="DI136" i="4"/>
  <c r="CQ80" i="24"/>
  <c r="DN186" i="4"/>
  <c r="R79" i="24"/>
  <c r="DO90" i="7"/>
  <c r="DO91" i="4"/>
  <c r="CE164" i="7"/>
  <c r="AX82" i="24"/>
  <c r="DL128" i="4"/>
  <c r="CB80" i="24"/>
  <c r="DN168" i="4"/>
  <c r="BJ70" i="7"/>
  <c r="DP81" i="24"/>
  <c r="DM216" i="4"/>
  <c r="CB146" i="4"/>
  <c r="CO79" i="24"/>
  <c r="DO184" i="4"/>
  <c r="O31" i="4"/>
  <c r="BQ31" i="4"/>
  <c r="BE29" i="4"/>
  <c r="CS80" i="24"/>
  <c r="DN189" i="4"/>
  <c r="Q215" i="4"/>
  <c r="BG214" i="4"/>
  <c r="DH76" i="24"/>
  <c r="DR205" i="7"/>
  <c r="DH205" i="7" s="1"/>
  <c r="DR206" i="4"/>
  <c r="AH76" i="24"/>
  <c r="DR109" i="4"/>
  <c r="DE75" i="24"/>
  <c r="DS202" i="4"/>
  <c r="AF85" i="24"/>
  <c r="DU107" i="7"/>
  <c r="DI107" i="4"/>
  <c r="FC107" i="7"/>
  <c r="FA107" i="7"/>
  <c r="EY107" i="7"/>
  <c r="AC107" i="7" s="1"/>
  <c r="FJ107" i="7"/>
  <c r="FB107" i="7"/>
  <c r="AF107" i="7" s="1"/>
  <c r="EZ107" i="7"/>
  <c r="FI107" i="7"/>
  <c r="AM107" i="7" s="1"/>
  <c r="FG107" i="7"/>
  <c r="EX107" i="7" s="1"/>
  <c r="FE107" i="7"/>
  <c r="AI107" i="7" s="1"/>
  <c r="FD107" i="7"/>
  <c r="FF107" i="7"/>
  <c r="FH107" i="7"/>
  <c r="DU188" i="7"/>
  <c r="CR85" i="24"/>
  <c r="DI188" i="4"/>
  <c r="DI187" i="7"/>
  <c r="I75" i="24"/>
  <c r="DS79" i="4"/>
  <c r="FC79" i="7"/>
  <c r="FA79" i="7"/>
  <c r="EZ79" i="7"/>
  <c r="EY79" i="7"/>
  <c r="FB79" i="7"/>
  <c r="FJ79" i="7"/>
  <c r="FI79" i="7"/>
  <c r="AM79" i="7" s="1"/>
  <c r="FH79" i="7"/>
  <c r="FF79" i="7"/>
  <c r="FG79" i="7"/>
  <c r="EX79" i="7" s="1"/>
  <c r="FE79" i="7"/>
  <c r="FD79" i="7"/>
  <c r="FF62" i="4"/>
  <c r="AJ62" i="4" s="1"/>
  <c r="AJ62" i="1" s="1"/>
  <c r="AJ62" i="7"/>
  <c r="BV29" i="4"/>
  <c r="BQ212" i="4"/>
  <c r="O212" i="4"/>
  <c r="Q116" i="7"/>
  <c r="CS78" i="24"/>
  <c r="DP189" i="4"/>
  <c r="AE79" i="24"/>
  <c r="DO106" i="4"/>
  <c r="BY76" i="24"/>
  <c r="DR164" i="7"/>
  <c r="DH164" i="7" s="1"/>
  <c r="DR165" i="4"/>
  <c r="BU164" i="4"/>
  <c r="O34" i="4"/>
  <c r="BQ34" i="4"/>
  <c r="BL85" i="24"/>
  <c r="DU145" i="7"/>
  <c r="DI145" i="4"/>
  <c r="BQ181" i="4"/>
  <c r="O181" i="4"/>
  <c r="FG60" i="7"/>
  <c r="EX60" i="7" s="1"/>
  <c r="FG61" i="4"/>
  <c r="AK61" i="7"/>
  <c r="DB70" i="4"/>
  <c r="CR84" i="24"/>
  <c r="DJ188" i="4"/>
  <c r="DJ187" i="7"/>
  <c r="AI82" i="24"/>
  <c r="DL110" i="4"/>
  <c r="CE180" i="4"/>
  <c r="CC227" i="4"/>
  <c r="BQ80" i="24"/>
  <c r="DN152" i="4"/>
  <c r="BH84" i="24"/>
  <c r="DJ141" i="4"/>
  <c r="V84" i="24"/>
  <c r="DJ95" i="4"/>
  <c r="W181" i="4"/>
  <c r="P139" i="4"/>
  <c r="BF138" i="4"/>
  <c r="Y117" i="4"/>
  <c r="BO116" i="4"/>
  <c r="CO81" i="24"/>
  <c r="DM184" i="4"/>
  <c r="BX164" i="4"/>
  <c r="BP241" i="4"/>
  <c r="Z242" i="4"/>
  <c r="DO40" i="4"/>
  <c r="AA110" i="7"/>
  <c r="BB76" i="24"/>
  <c r="DR133" i="7"/>
  <c r="DH133" i="7" s="1"/>
  <c r="DR134" i="4"/>
  <c r="DU195" i="7"/>
  <c r="CX85" i="24"/>
  <c r="DI195" i="4"/>
  <c r="FC166" i="7"/>
  <c r="EY166" i="7"/>
  <c r="AC166" i="7" s="1"/>
  <c r="FJ166" i="7"/>
  <c r="FB166" i="7"/>
  <c r="AF166" i="7" s="1"/>
  <c r="FA166" i="7"/>
  <c r="EZ166" i="7"/>
  <c r="FI166" i="7"/>
  <c r="FH166" i="7"/>
  <c r="FF166" i="7"/>
  <c r="FD166" i="7"/>
  <c r="AH166" i="7" s="1"/>
  <c r="FG166" i="7"/>
  <c r="EX166" i="7" s="1"/>
  <c r="FE166" i="7"/>
  <c r="BO38" i="4"/>
  <c r="Y39" i="4"/>
  <c r="DM88" i="7"/>
  <c r="AG88" i="7" s="1"/>
  <c r="AG87" i="7" s="1"/>
  <c r="DM32" i="4"/>
  <c r="DG191" i="4"/>
  <c r="BF129" i="4"/>
  <c r="P130" i="4"/>
  <c r="CE147" i="4"/>
  <c r="BS146" i="4"/>
  <c r="CP80" i="24"/>
  <c r="DN185" i="4"/>
  <c r="BP43" i="7"/>
  <c r="BP47" i="7" s="1"/>
  <c r="E182" i="23"/>
  <c r="D182" i="23" s="1"/>
  <c r="T78" i="24"/>
  <c r="DP93" i="4"/>
  <c r="FC192" i="7"/>
  <c r="FB192" i="7"/>
  <c r="FA192" i="7"/>
  <c r="EZ192" i="7"/>
  <c r="EY192" i="7"/>
  <c r="AC192" i="7" s="1"/>
  <c r="FJ192" i="7"/>
  <c r="AN192" i="7" s="1"/>
  <c r="FI192" i="7"/>
  <c r="AM192" i="7" s="1"/>
  <c r="FH192" i="7"/>
  <c r="AL192" i="7" s="1"/>
  <c r="AB192" i="7" s="1"/>
  <c r="FF192" i="7"/>
  <c r="FE192" i="7"/>
  <c r="FG192" i="7"/>
  <c r="EX192" i="7" s="1"/>
  <c r="FD192" i="7"/>
  <c r="AH192" i="7" s="1"/>
  <c r="BD84" i="24"/>
  <c r="DJ136" i="4"/>
  <c r="AZ84" i="24"/>
  <c r="DJ131" i="4"/>
  <c r="S79" i="24"/>
  <c r="DO92" i="4"/>
  <c r="DG76" i="24"/>
  <c r="DR204" i="4"/>
  <c r="CE229" i="4"/>
  <c r="BG156" i="7"/>
  <c r="CY116" i="4"/>
  <c r="AO84" i="24"/>
  <c r="DJ119" i="4"/>
  <c r="DK243" i="4"/>
  <c r="AA220" i="7"/>
  <c r="O219" i="7"/>
  <c r="BR76" i="24"/>
  <c r="DR153" i="4"/>
  <c r="BO133" i="4"/>
  <c r="Y134" i="4"/>
  <c r="Q101" i="24"/>
  <c r="Q89" i="24"/>
  <c r="FG88" i="4"/>
  <c r="FG87" i="4" s="1"/>
  <c r="FG87" i="7"/>
  <c r="EX87" i="7" s="1"/>
  <c r="AC80" i="24"/>
  <c r="DN102" i="4"/>
  <c r="BT223" i="4"/>
  <c r="EW201" i="4"/>
  <c r="BX172" i="4"/>
  <c r="DM31" i="4"/>
  <c r="DM29" i="7"/>
  <c r="BQ67" i="4"/>
  <c r="O67" i="4"/>
  <c r="V158" i="4"/>
  <c r="BL157" i="4"/>
  <c r="DM33" i="4"/>
  <c r="CW74" i="24"/>
  <c r="DT194" i="4"/>
  <c r="DT193" i="7"/>
  <c r="BV75" i="24"/>
  <c r="DS160" i="4"/>
  <c r="CK76" i="24"/>
  <c r="DR179" i="4"/>
  <c r="DR178" i="7"/>
  <c r="DH178" i="7" s="1"/>
  <c r="BN76" i="24"/>
  <c r="DR148" i="4"/>
  <c r="CB157" i="4"/>
  <c r="DG75" i="24"/>
  <c r="DS204" i="4"/>
  <c r="DC80" i="24"/>
  <c r="DN200" i="4"/>
  <c r="J83" i="24"/>
  <c r="DK80" i="4"/>
  <c r="EK76" i="4"/>
  <c r="EW77" i="4"/>
  <c r="CZ182" i="4"/>
  <c r="ET187" i="4"/>
  <c r="DG212" i="4"/>
  <c r="FC177" i="7"/>
  <c r="FA177" i="7"/>
  <c r="AE177" i="7" s="1"/>
  <c r="FJ177" i="7"/>
  <c r="AN177" i="7" s="1"/>
  <c r="FB177" i="7"/>
  <c r="EZ177" i="7"/>
  <c r="EY177" i="7"/>
  <c r="FI177" i="7"/>
  <c r="FH177" i="7"/>
  <c r="AL177" i="7" s="1"/>
  <c r="AB177" i="7" s="1"/>
  <c r="FF177" i="7"/>
  <c r="FE177" i="7"/>
  <c r="FG177" i="7"/>
  <c r="EX177" i="7" s="1"/>
  <c r="FD177" i="7"/>
  <c r="Q92" i="24"/>
  <c r="Q104" i="24"/>
  <c r="FD88" i="4"/>
  <c r="FD87" i="4" s="1"/>
  <c r="FD87" i="7"/>
  <c r="N81" i="24"/>
  <c r="DM84" i="4"/>
  <c r="V124" i="4"/>
  <c r="V124" i="1" s="1"/>
  <c r="BT227" i="4"/>
  <c r="FD32" i="7"/>
  <c r="FD32" i="4" s="1"/>
  <c r="FA32" i="7"/>
  <c r="FC32" i="7"/>
  <c r="FC32" i="4" s="1"/>
  <c r="FB32" i="7"/>
  <c r="EZ32" i="7"/>
  <c r="EY32" i="7"/>
  <c r="AC32" i="7" s="1"/>
  <c r="FJ32" i="7"/>
  <c r="FI32" i="7"/>
  <c r="FI32" i="4" s="1"/>
  <c r="FH32" i="7"/>
  <c r="FG32" i="7"/>
  <c r="EX32" i="7" s="1"/>
  <c r="FF32" i="7"/>
  <c r="FF32" i="4" s="1"/>
  <c r="FE32" i="7"/>
  <c r="FE32" i="4" s="1"/>
  <c r="V153" i="4"/>
  <c r="V153" i="1" s="1"/>
  <c r="BF87" i="4"/>
  <c r="P88" i="4"/>
  <c r="DG145" i="4"/>
  <c r="CE135" i="4"/>
  <c r="AJ227" i="7"/>
  <c r="DP31" i="4"/>
  <c r="DP29" i="7"/>
  <c r="U184" i="4"/>
  <c r="U184" i="1" s="1"/>
  <c r="CI75" i="24"/>
  <c r="DS176" i="4"/>
  <c r="FC105" i="7"/>
  <c r="EY105" i="7"/>
  <c r="FJ105" i="7"/>
  <c r="FI105" i="7"/>
  <c r="FB105" i="7"/>
  <c r="FA105" i="7"/>
  <c r="EZ105" i="7"/>
  <c r="FE105" i="7"/>
  <c r="AI105" i="7" s="1"/>
  <c r="FH105" i="7"/>
  <c r="FD105" i="7"/>
  <c r="FG105" i="7"/>
  <c r="EX105" i="7" s="1"/>
  <c r="FF105" i="7"/>
  <c r="AJ105" i="7" s="1"/>
  <c r="AA20" i="7"/>
  <c r="DG170" i="4"/>
  <c r="EV182" i="4"/>
  <c r="Z162" i="4"/>
  <c r="Z162" i="1" s="1"/>
  <c r="R51" i="4"/>
  <c r="BH54" i="4"/>
  <c r="DP78" i="24"/>
  <c r="DP216" i="4"/>
  <c r="BG133" i="4"/>
  <c r="Q134" i="4"/>
  <c r="DX75" i="24"/>
  <c r="DS229" i="4"/>
  <c r="AM229" i="4" s="1"/>
  <c r="AM229" i="1" s="1"/>
  <c r="AM229" i="7"/>
  <c r="AM227" i="7" s="1"/>
  <c r="O158" i="4"/>
  <c r="BQ158" i="4"/>
  <c r="BE157" i="4"/>
  <c r="EW105" i="4"/>
  <c r="EK104" i="4"/>
  <c r="AA159" i="7"/>
  <c r="CC79" i="24"/>
  <c r="DO169" i="4"/>
  <c r="DU86" i="7"/>
  <c r="P85" i="24"/>
  <c r="DI86" i="4"/>
  <c r="M75" i="24"/>
  <c r="DS83" i="4"/>
  <c r="BG13" i="4"/>
  <c r="BG6" i="4" s="1"/>
  <c r="Q14" i="4"/>
  <c r="T159" i="4"/>
  <c r="T159" i="1" s="1"/>
  <c r="EV157" i="4"/>
  <c r="BU156" i="7"/>
  <c r="BQ80" i="4"/>
  <c r="O80" i="4"/>
  <c r="Q91" i="24"/>
  <c r="Q103" i="24"/>
  <c r="FE88" i="4"/>
  <c r="FE87" i="4" s="1"/>
  <c r="FE87" i="7"/>
  <c r="N80" i="24"/>
  <c r="DN84" i="4"/>
  <c r="DC104" i="4"/>
  <c r="CE76" i="7"/>
  <c r="EW98" i="4"/>
  <c r="AC75" i="24"/>
  <c r="DS102" i="4"/>
  <c r="S61" i="4"/>
  <c r="BI60" i="4"/>
  <c r="DT76" i="24"/>
  <c r="DR224" i="4"/>
  <c r="DR223" i="7"/>
  <c r="DH223" i="7" s="1"/>
  <c r="BU80" i="24"/>
  <c r="DN159" i="4"/>
  <c r="AW84" i="24"/>
  <c r="DJ127" i="4"/>
  <c r="CH77" i="24"/>
  <c r="DQ175" i="4"/>
  <c r="AL82" i="24"/>
  <c r="DL113" i="4"/>
  <c r="O113" i="4"/>
  <c r="BQ113" i="4"/>
  <c r="Q206" i="4"/>
  <c r="BG205" i="4"/>
  <c r="ES146" i="4"/>
  <c r="BK205" i="4"/>
  <c r="U206" i="4"/>
  <c r="DG216" i="4"/>
  <c r="CV76" i="4"/>
  <c r="CI74" i="24"/>
  <c r="DT176" i="4"/>
  <c r="CE110" i="4"/>
  <c r="BV76" i="24"/>
  <c r="DR160" i="4"/>
  <c r="X113" i="4"/>
  <c r="X113" i="1" s="1"/>
  <c r="DT245" i="4"/>
  <c r="S81" i="24"/>
  <c r="DM92" i="4"/>
  <c r="BW77" i="24"/>
  <c r="DQ161" i="4"/>
  <c r="BN77" i="24"/>
  <c r="DQ148" i="4"/>
  <c r="DO82" i="24"/>
  <c r="DL215" i="4"/>
  <c r="DL214" i="7"/>
  <c r="BG75" i="24"/>
  <c r="DS140" i="4"/>
  <c r="DQ42" i="4"/>
  <c r="P177" i="4"/>
  <c r="P177" i="1" s="1"/>
  <c r="EW241" i="7"/>
  <c r="DP77" i="24"/>
  <c r="DQ216" i="4"/>
  <c r="FC216" i="7"/>
  <c r="AG216" i="7" s="1"/>
  <c r="EZ216" i="7"/>
  <c r="EY216" i="7"/>
  <c r="FI216" i="7"/>
  <c r="AM216" i="7" s="1"/>
  <c r="FB216" i="7"/>
  <c r="FA216" i="7"/>
  <c r="FJ216" i="7"/>
  <c r="FH216" i="7"/>
  <c r="FG216" i="7"/>
  <c r="EX216" i="7" s="1"/>
  <c r="FF216" i="7"/>
  <c r="AJ216" i="7" s="1"/>
  <c r="FD216" i="7"/>
  <c r="AH216" i="7" s="1"/>
  <c r="FE216" i="7"/>
  <c r="AI216" i="7" s="1"/>
  <c r="BG87" i="4"/>
  <c r="Q88" i="4"/>
  <c r="AY78" i="24"/>
  <c r="DP129" i="7"/>
  <c r="DP130" i="4"/>
  <c r="BL227" i="4"/>
  <c r="V228" i="4"/>
  <c r="Q133" i="7"/>
  <c r="AS78" i="24"/>
  <c r="DP123" i="4"/>
  <c r="R102" i="4"/>
  <c r="R102" i="1" s="1"/>
  <c r="DG84" i="24"/>
  <c r="DJ204" i="4"/>
  <c r="DC77" i="24"/>
  <c r="DQ200" i="4"/>
  <c r="FC200" i="7"/>
  <c r="EZ200" i="7"/>
  <c r="AD200" i="7" s="1"/>
  <c r="EY200" i="7"/>
  <c r="AC200" i="7" s="1"/>
  <c r="FI200" i="7"/>
  <c r="FB200" i="7"/>
  <c r="FA200" i="7"/>
  <c r="AE200" i="7" s="1"/>
  <c r="FJ200" i="7"/>
  <c r="FH200" i="7"/>
  <c r="FD200" i="7"/>
  <c r="FG200" i="7"/>
  <c r="EX200" i="7" s="1"/>
  <c r="FF200" i="7"/>
  <c r="AJ200" i="7" s="1"/>
  <c r="FE200" i="7"/>
  <c r="O223" i="7"/>
  <c r="AA224" i="7"/>
  <c r="O157" i="7"/>
  <c r="AA158" i="7"/>
  <c r="DQ44" i="4"/>
  <c r="CX116" i="4"/>
  <c r="V80" i="24"/>
  <c r="DN95" i="4"/>
  <c r="DG85" i="4"/>
  <c r="CM83" i="24"/>
  <c r="DK181" i="4"/>
  <c r="CC76" i="4"/>
  <c r="CC84" i="24"/>
  <c r="DJ169" i="4"/>
  <c r="BG150" i="4"/>
  <c r="Q151" i="4"/>
  <c r="BJ83" i="24"/>
  <c r="DK143" i="4"/>
  <c r="CE241" i="7"/>
  <c r="P77" i="24"/>
  <c r="DQ86" i="4"/>
  <c r="DG86" i="4"/>
  <c r="BE78" i="24"/>
  <c r="DP137" i="4"/>
  <c r="DG185" i="4"/>
  <c r="M77" i="24"/>
  <c r="DQ83" i="4"/>
  <c r="T27" i="7"/>
  <c r="BU205" i="4"/>
  <c r="O63" i="4"/>
  <c r="BQ63" i="4"/>
  <c r="EU138" i="4"/>
  <c r="DF76" i="24"/>
  <c r="DR203" i="4"/>
  <c r="BV182" i="4"/>
  <c r="BZ223" i="4"/>
  <c r="L82" i="24"/>
  <c r="DL82" i="4"/>
  <c r="EW76" i="7"/>
  <c r="T161" i="4"/>
  <c r="T161" i="1" s="1"/>
  <c r="Y136" i="4"/>
  <c r="Y136" i="1" s="1"/>
  <c r="H75" i="24"/>
  <c r="DS78" i="4"/>
  <c r="O102" i="4"/>
  <c r="BQ102" i="4"/>
  <c r="Y154" i="4"/>
  <c r="Y154" i="1" s="1"/>
  <c r="BH214" i="4"/>
  <c r="R215" i="4"/>
  <c r="DN243" i="4"/>
  <c r="DL81" i="24"/>
  <c r="DM211" i="4"/>
  <c r="P122" i="4"/>
  <c r="P122" i="1" s="1"/>
  <c r="DM79" i="24"/>
  <c r="DO212" i="4"/>
  <c r="EN70" i="7"/>
  <c r="O128" i="4"/>
  <c r="BQ128" i="4"/>
  <c r="BU157" i="4"/>
  <c r="CZ116" i="4"/>
  <c r="CJ77" i="24"/>
  <c r="DQ177" i="4"/>
  <c r="P222" i="4"/>
  <c r="P222" i="1" s="1"/>
  <c r="EW166" i="4"/>
  <c r="Q131" i="4"/>
  <c r="Q131" i="1" s="1"/>
  <c r="AA80" i="7"/>
  <c r="P93" i="4"/>
  <c r="P93" i="1" s="1"/>
  <c r="P169" i="4"/>
  <c r="P169" i="1" s="1"/>
  <c r="CE177" i="4"/>
  <c r="Q100" i="24"/>
  <c r="Q88" i="24"/>
  <c r="FH88" i="4"/>
  <c r="FH87" i="4" s="1"/>
  <c r="FH87" i="7"/>
  <c r="CW75" i="7"/>
  <c r="DB156" i="7"/>
  <c r="CB241" i="4"/>
  <c r="N78" i="24"/>
  <c r="DP84" i="4"/>
  <c r="BM80" i="24"/>
  <c r="DN146" i="7"/>
  <c r="DN147" i="4"/>
  <c r="AB78" i="24"/>
  <c r="DP101" i="4"/>
  <c r="CD129" i="4"/>
  <c r="CL77" i="24"/>
  <c r="DQ180" i="4"/>
  <c r="BQ180" i="4"/>
  <c r="O180" i="4"/>
  <c r="P228" i="4"/>
  <c r="BF227" i="4"/>
  <c r="BZ60" i="4"/>
  <c r="Y148" i="4"/>
  <c r="Y148" i="1" s="1"/>
  <c r="AC74" i="24"/>
  <c r="DT102" i="4"/>
  <c r="X81" i="24"/>
  <c r="DM97" i="4"/>
  <c r="S60" i="7"/>
  <c r="AR83" i="24"/>
  <c r="DK122" i="4"/>
  <c r="AA15" i="7"/>
  <c r="CE187" i="7"/>
  <c r="DO244" i="4"/>
  <c r="FA244" i="7"/>
  <c r="FI244" i="7"/>
  <c r="FF244" i="7"/>
  <c r="EZ244" i="7"/>
  <c r="EY244" i="7"/>
  <c r="FJ244" i="7"/>
  <c r="FH244" i="7"/>
  <c r="FH244" i="4" s="1"/>
  <c r="FG244" i="7"/>
  <c r="EX244" i="7" s="1"/>
  <c r="FE244" i="7"/>
  <c r="FE244" i="4" s="1"/>
  <c r="FC244" i="7"/>
  <c r="FB244" i="7"/>
  <c r="FB244" i="4" s="1"/>
  <c r="AF244" i="4" s="1"/>
  <c r="AF244" i="1" s="1"/>
  <c r="FD244" i="7"/>
  <c r="FD244" i="4" s="1"/>
  <c r="AA203" i="7"/>
  <c r="S179" i="4"/>
  <c r="BI178" i="4"/>
  <c r="W61" i="4"/>
  <c r="BM60" i="4"/>
  <c r="BU78" i="24"/>
  <c r="DP159" i="4"/>
  <c r="Z104" i="7"/>
  <c r="BQ222" i="4"/>
  <c r="O222" i="4"/>
  <c r="FG63" i="4"/>
  <c r="AK63" i="7"/>
  <c r="CC70" i="7"/>
  <c r="E63" i="24"/>
  <c r="D63" i="24" s="1"/>
  <c r="CC43" i="7"/>
  <c r="CC47" i="7" s="1"/>
  <c r="CC71" i="7" s="1"/>
  <c r="AW83" i="24"/>
  <c r="DK127" i="4"/>
  <c r="V151" i="4"/>
  <c r="BL150" i="4"/>
  <c r="BV146" i="4"/>
  <c r="O188" i="4"/>
  <c r="BE187" i="4"/>
  <c r="BQ188" i="4"/>
  <c r="BA76" i="24"/>
  <c r="DR132" i="4"/>
  <c r="Z86" i="4"/>
  <c r="Z86" i="1" s="1"/>
  <c r="ET133" i="4"/>
  <c r="CH76" i="24"/>
  <c r="DR175" i="4"/>
  <c r="CU178" i="4"/>
  <c r="DG179" i="4"/>
  <c r="AV84" i="24"/>
  <c r="DJ126" i="4"/>
  <c r="BZ209" i="4"/>
  <c r="CT75" i="24"/>
  <c r="DS190" i="4"/>
  <c r="AQ75" i="24"/>
  <c r="DS121" i="4"/>
  <c r="Q205" i="7"/>
  <c r="BM38" i="4"/>
  <c r="W39" i="4"/>
  <c r="CU138" i="4"/>
  <c r="DG139" i="4"/>
  <c r="BQ138" i="7"/>
  <c r="DG150" i="7"/>
  <c r="DD138" i="4"/>
  <c r="DF70" i="7"/>
  <c r="R219" i="7"/>
  <c r="Z152" i="4"/>
  <c r="Z152" i="1" s="1"/>
  <c r="DG24" i="4"/>
  <c r="DG27" i="4" s="1"/>
  <c r="CU27" i="4"/>
  <c r="U205" i="7"/>
  <c r="BI219" i="4"/>
  <c r="S220" i="4"/>
  <c r="AA80" i="24"/>
  <c r="DN100" i="4"/>
  <c r="CI84" i="24"/>
  <c r="DJ176" i="4"/>
  <c r="AD74" i="24"/>
  <c r="DT104" i="7"/>
  <c r="DT105" i="4"/>
  <c r="DF219" i="4"/>
  <c r="P117" i="4"/>
  <c r="BF116" i="4"/>
  <c r="DG181" i="4"/>
  <c r="DJ82" i="24"/>
  <c r="DL208" i="4"/>
  <c r="U129" i="7"/>
  <c r="DQ247" i="4"/>
  <c r="BK81" i="24"/>
  <c r="DM144" i="4"/>
  <c r="EN193" i="4"/>
  <c r="CC178" i="4"/>
  <c r="E226" i="23"/>
  <c r="D226" i="23" s="1"/>
  <c r="CX70" i="7"/>
  <c r="BV83" i="24"/>
  <c r="DK160" i="4"/>
  <c r="BO77" i="24"/>
  <c r="DQ149" i="4"/>
  <c r="EQ133" i="4"/>
  <c r="EK193" i="4"/>
  <c r="EW194" i="4"/>
  <c r="DB138" i="4"/>
  <c r="BC76" i="24"/>
  <c r="DR135" i="4"/>
  <c r="EW160" i="4"/>
  <c r="S80" i="24"/>
  <c r="DN92" i="4"/>
  <c r="BW76" i="24"/>
  <c r="DR161" i="4"/>
  <c r="X130" i="4"/>
  <c r="BN129" i="4"/>
  <c r="BN75" i="24"/>
  <c r="DS148" i="4"/>
  <c r="P196" i="4"/>
  <c r="P196" i="1" s="1"/>
  <c r="DO81" i="24"/>
  <c r="DM215" i="4"/>
  <c r="DM214" i="7"/>
  <c r="BF146" i="4"/>
  <c r="P147" i="4"/>
  <c r="DU108" i="7"/>
  <c r="AG85" i="24"/>
  <c r="DI108" i="4"/>
  <c r="BG83" i="24"/>
  <c r="DK140" i="4"/>
  <c r="K82" i="24"/>
  <c r="DL81" i="4"/>
  <c r="Q195" i="4"/>
  <c r="Q195" i="1" s="1"/>
  <c r="P194" i="4"/>
  <c r="BF193" i="4"/>
  <c r="BU138" i="4"/>
  <c r="DB187" i="4"/>
  <c r="EW228" i="4"/>
  <c r="EK227" i="4"/>
  <c r="CA38" i="4"/>
  <c r="O220" i="4"/>
  <c r="BE219" i="4"/>
  <c r="BQ220" i="4"/>
  <c r="AU81" i="24"/>
  <c r="DM125" i="4"/>
  <c r="CB129" i="4"/>
  <c r="Q90" i="24"/>
  <c r="Q102" i="24"/>
  <c r="FF88" i="4"/>
  <c r="FF87" i="4" s="1"/>
  <c r="FF87" i="7"/>
  <c r="Y184" i="4"/>
  <c r="Y184" i="1" s="1"/>
  <c r="BW76" i="4"/>
  <c r="BL77" i="24"/>
  <c r="DQ145" i="4"/>
  <c r="DL31" i="4"/>
  <c r="DL29" i="7"/>
  <c r="DG113" i="4"/>
  <c r="DN39" i="4"/>
  <c r="DN38" i="7"/>
  <c r="F80" i="24" s="1"/>
  <c r="CE225" i="4"/>
  <c r="CE191" i="4"/>
  <c r="CE123" i="4"/>
  <c r="DG148" i="4"/>
  <c r="DG118" i="4"/>
  <c r="FC179" i="7"/>
  <c r="EY179" i="7"/>
  <c r="FH179" i="7"/>
  <c r="FB179" i="7"/>
  <c r="FA179" i="7"/>
  <c r="EZ179" i="7"/>
  <c r="AD179" i="7" s="1"/>
  <c r="FJ179" i="7"/>
  <c r="FI179" i="7"/>
  <c r="FD179" i="7"/>
  <c r="FG179" i="7"/>
  <c r="FF179" i="7"/>
  <c r="FE179" i="7"/>
  <c r="DP80" i="24"/>
  <c r="DN216" i="4"/>
  <c r="CM74" i="24"/>
  <c r="DT181" i="4"/>
  <c r="BQ149" i="4"/>
  <c r="O149" i="4"/>
  <c r="BO156" i="7"/>
  <c r="AA221" i="7"/>
  <c r="DU78" i="7"/>
  <c r="H85" i="24"/>
  <c r="DI78" i="4"/>
  <c r="CJ78" i="24"/>
  <c r="DP177" i="4"/>
  <c r="BK38" i="4"/>
  <c r="U39" i="4"/>
  <c r="CD29" i="4"/>
  <c r="R134" i="4"/>
  <c r="BH133" i="4"/>
  <c r="DI78" i="24"/>
  <c r="DP207" i="4"/>
  <c r="R170" i="4"/>
  <c r="R170" i="1" s="1"/>
  <c r="DT79" i="24"/>
  <c r="DO224" i="4"/>
  <c r="DO223" i="7"/>
  <c r="FH63" i="4"/>
  <c r="AL63" i="4" s="1"/>
  <c r="AL63" i="1" s="1"/>
  <c r="AL63" i="7"/>
  <c r="AB63" i="7" s="1"/>
  <c r="BL70" i="7"/>
  <c r="W84" i="24"/>
  <c r="DJ96" i="4"/>
  <c r="DK41" i="4"/>
  <c r="AL84" i="24"/>
  <c r="DJ113" i="4"/>
  <c r="BZ172" i="4"/>
  <c r="P221" i="4"/>
  <c r="P221" i="1" s="1"/>
  <c r="AK78" i="24"/>
  <c r="DP112" i="4"/>
  <c r="BF75" i="24"/>
  <c r="DS139" i="4"/>
  <c r="DS138" i="7"/>
  <c r="EU156" i="7"/>
  <c r="BQ153" i="4"/>
  <c r="O153" i="4"/>
  <c r="T77" i="24"/>
  <c r="DQ93" i="4"/>
  <c r="BP77" i="24"/>
  <c r="DQ151" i="4"/>
  <c r="DQ150" i="7"/>
  <c r="CQ85" i="24"/>
  <c r="DU186" i="7"/>
  <c r="DI186" i="4"/>
  <c r="EW92" i="4"/>
  <c r="DO84" i="24"/>
  <c r="DJ215" i="4"/>
  <c r="DJ214" i="7"/>
  <c r="BQ76" i="24"/>
  <c r="DR152" i="4"/>
  <c r="BW164" i="4"/>
  <c r="G74" i="24"/>
  <c r="DT77" i="4"/>
  <c r="DT76" i="7"/>
  <c r="CY115" i="7"/>
  <c r="DU44" i="7"/>
  <c r="DI44" i="4"/>
  <c r="CC82" i="24"/>
  <c r="DL169" i="4"/>
  <c r="CW90" i="4"/>
  <c r="EL219" i="4"/>
  <c r="DU203" i="7"/>
  <c r="DF85" i="24"/>
  <c r="DI203" i="4"/>
  <c r="L74" i="24"/>
  <c r="DT82" i="4"/>
  <c r="DL243" i="4"/>
  <c r="R206" i="4"/>
  <c r="BH205" i="4"/>
  <c r="U38" i="7"/>
  <c r="BP227" i="4"/>
  <c r="Z228" i="4"/>
  <c r="Y145" i="4"/>
  <c r="Y145" i="1" s="1"/>
  <c r="DT77" i="24"/>
  <c r="DQ223" i="7"/>
  <c r="DQ224" i="4"/>
  <c r="Q105" i="4"/>
  <c r="BG104" i="4"/>
  <c r="DG152" i="4"/>
  <c r="FD63" i="4"/>
  <c r="AH63" i="4" s="1"/>
  <c r="AH63" i="1" s="1"/>
  <c r="AH63" i="7"/>
  <c r="AL83" i="24"/>
  <c r="DK113" i="4"/>
  <c r="CT74" i="24"/>
  <c r="DT190" i="4"/>
  <c r="W24" i="4"/>
  <c r="BM27" i="4"/>
  <c r="AA153" i="7"/>
  <c r="T76" i="24"/>
  <c r="DR93" i="4"/>
  <c r="BV74" i="24"/>
  <c r="DT160" i="4"/>
  <c r="BI104" i="4"/>
  <c r="S105" i="4"/>
  <c r="CQ76" i="24"/>
  <c r="DR186" i="4"/>
  <c r="BW78" i="24"/>
  <c r="DP161" i="4"/>
  <c r="R199" i="4"/>
  <c r="R199" i="1" s="1"/>
  <c r="DU42" i="7"/>
  <c r="DI42" i="4"/>
  <c r="AS80" i="24"/>
  <c r="DN123" i="4"/>
  <c r="DC78" i="24"/>
  <c r="DP200" i="4"/>
  <c r="BE223" i="4"/>
  <c r="BQ224" i="4"/>
  <c r="O224" i="4"/>
  <c r="CM77" i="24"/>
  <c r="DQ181" i="4"/>
  <c r="EL218" i="7"/>
  <c r="AK227" i="7"/>
  <c r="FC83" i="7"/>
  <c r="EZ83" i="7"/>
  <c r="FJ83" i="7"/>
  <c r="FB83" i="7"/>
  <c r="FA83" i="7"/>
  <c r="EY83" i="7"/>
  <c r="FI83" i="7"/>
  <c r="AM83" i="7" s="1"/>
  <c r="FF83" i="7"/>
  <c r="AJ83" i="7" s="1"/>
  <c r="FD83" i="7"/>
  <c r="FG83" i="7"/>
  <c r="EX83" i="7" s="1"/>
  <c r="FE83" i="7"/>
  <c r="FH83" i="7"/>
  <c r="T108" i="4"/>
  <c r="T108" i="1" s="1"/>
  <c r="CW104" i="4"/>
  <c r="L83" i="24"/>
  <c r="DK82" i="4"/>
  <c r="DG160" i="4"/>
  <c r="CJ75" i="24"/>
  <c r="DS177" i="4"/>
  <c r="CB90" i="4"/>
  <c r="BM81" i="24"/>
  <c r="DM146" i="7"/>
  <c r="DM147" i="4"/>
  <c r="AB81" i="24"/>
  <c r="DM101" i="4"/>
  <c r="EN133" i="4"/>
  <c r="AR74" i="24"/>
  <c r="DT122" i="4"/>
  <c r="BQ15" i="4"/>
  <c r="O15" i="4"/>
  <c r="BP223" i="4"/>
  <c r="Z224" i="4"/>
  <c r="BX156" i="7"/>
  <c r="DG81" i="4"/>
  <c r="BP104" i="4"/>
  <c r="Z105" i="4"/>
  <c r="FE63" i="4"/>
  <c r="AI63" i="4" s="1"/>
  <c r="AI63" i="1" s="1"/>
  <c r="AI63" i="7"/>
  <c r="CC29" i="4"/>
  <c r="AA82" i="24"/>
  <c r="DL100" i="4"/>
  <c r="AD75" i="24"/>
  <c r="DS104" i="7"/>
  <c r="DS105" i="4"/>
  <c r="CX70" i="4"/>
  <c r="Q64" i="24"/>
  <c r="CB87" i="7"/>
  <c r="CB75" i="7" s="1"/>
  <c r="CB88" i="4"/>
  <c r="FC161" i="7"/>
  <c r="FA161" i="7"/>
  <c r="FI161" i="7"/>
  <c r="AM161" i="7" s="1"/>
  <c r="FB161" i="7"/>
  <c r="EZ161" i="7"/>
  <c r="EY161" i="7"/>
  <c r="FJ161" i="7"/>
  <c r="FH161" i="7"/>
  <c r="FG161" i="7"/>
  <c r="EX161" i="7" s="1"/>
  <c r="FF161" i="7"/>
  <c r="FD161" i="7"/>
  <c r="FE161" i="7"/>
  <c r="BV172" i="4"/>
  <c r="CE190" i="4"/>
  <c r="AG74" i="24"/>
  <c r="DT108" i="4"/>
  <c r="K83" i="24"/>
  <c r="DK81" i="4"/>
  <c r="BX116" i="4"/>
  <c r="U123" i="4"/>
  <c r="U123" i="1" s="1"/>
  <c r="CY129" i="4"/>
  <c r="EM104" i="4"/>
  <c r="EW191" i="4"/>
  <c r="DP76" i="24"/>
  <c r="DR216" i="4"/>
  <c r="DU130" i="7"/>
  <c r="AY85" i="24"/>
  <c r="DI130" i="4"/>
  <c r="DI129" i="7"/>
  <c r="FC130" i="7"/>
  <c r="FA130" i="7"/>
  <c r="FJ130" i="7"/>
  <c r="AN130" i="7" s="1"/>
  <c r="FB130" i="7"/>
  <c r="EZ130" i="7"/>
  <c r="AD130" i="7" s="1"/>
  <c r="EY130" i="7"/>
  <c r="AC130" i="7" s="1"/>
  <c r="FI130" i="7"/>
  <c r="AM130" i="7" s="1"/>
  <c r="FH130" i="7"/>
  <c r="FF130" i="7"/>
  <c r="FE130" i="7"/>
  <c r="FG130" i="7"/>
  <c r="FD130" i="7"/>
  <c r="CU129" i="4"/>
  <c r="DG130" i="4"/>
  <c r="BT193" i="4"/>
  <c r="AS74" i="24"/>
  <c r="DT123" i="4"/>
  <c r="FC123" i="7"/>
  <c r="AG123" i="7" s="1"/>
  <c r="FA123" i="7"/>
  <c r="AE123" i="7" s="1"/>
  <c r="FJ123" i="7"/>
  <c r="FB123" i="7"/>
  <c r="EZ123" i="7"/>
  <c r="EY123" i="7"/>
  <c r="AC123" i="7" s="1"/>
  <c r="FI123" i="7"/>
  <c r="FH123" i="7"/>
  <c r="AL123" i="7" s="1"/>
  <c r="AB123" i="7" s="1"/>
  <c r="FF123" i="7"/>
  <c r="FE123" i="7"/>
  <c r="FG123" i="7"/>
  <c r="EX123" i="7" s="1"/>
  <c r="FD123" i="7"/>
  <c r="AH123" i="7" s="1"/>
  <c r="U78" i="4"/>
  <c r="U78" i="1" s="1"/>
  <c r="O168" i="4"/>
  <c r="BQ168" i="4"/>
  <c r="DG83" i="24"/>
  <c r="DK204" i="4"/>
  <c r="CA138" i="4"/>
  <c r="DB76" i="24"/>
  <c r="DR199" i="4"/>
  <c r="BJ178" i="4"/>
  <c r="T179" i="4"/>
  <c r="EW128" i="4"/>
  <c r="BT187" i="4"/>
  <c r="DC76" i="24"/>
  <c r="DR200" i="4"/>
  <c r="BW223" i="4"/>
  <c r="BQ157" i="7"/>
  <c r="CX115" i="7"/>
  <c r="CC81" i="24"/>
  <c r="DM169" i="4"/>
  <c r="Q150" i="7"/>
  <c r="BJ80" i="24"/>
  <c r="DN143" i="4"/>
  <c r="P83" i="24"/>
  <c r="DK86" i="4"/>
  <c r="BE74" i="24"/>
  <c r="DT137" i="4"/>
  <c r="FC137" i="7"/>
  <c r="FJ137" i="7"/>
  <c r="FI137" i="7"/>
  <c r="FB137" i="7"/>
  <c r="FA137" i="7"/>
  <c r="EZ137" i="7"/>
  <c r="AD137" i="7" s="1"/>
  <c r="EY137" i="7"/>
  <c r="AC137" i="7" s="1"/>
  <c r="FF137" i="7"/>
  <c r="AJ137" i="7" s="1"/>
  <c r="FE137" i="7"/>
  <c r="AI137" i="7" s="1"/>
  <c r="FD137" i="7"/>
  <c r="AH137" i="7" s="1"/>
  <c r="FH137" i="7"/>
  <c r="AL137" i="7" s="1"/>
  <c r="AB137" i="7" s="1"/>
  <c r="FG137" i="7"/>
  <c r="EX137" i="7" s="1"/>
  <c r="CG85" i="24"/>
  <c r="DU174" i="7"/>
  <c r="DI174" i="4"/>
  <c r="FC174" i="7"/>
  <c r="AG174" i="7" s="1"/>
  <c r="FI174" i="7"/>
  <c r="AM174" i="7" s="1"/>
  <c r="FB174" i="7"/>
  <c r="FA174" i="7"/>
  <c r="EZ174" i="7"/>
  <c r="EY174" i="7"/>
  <c r="AC174" i="7" s="1"/>
  <c r="FJ174" i="7"/>
  <c r="AN174" i="7" s="1"/>
  <c r="FH174" i="7"/>
  <c r="AL174" i="7" s="1"/>
  <c r="AB174" i="7" s="1"/>
  <c r="FF174" i="7"/>
  <c r="FE174" i="7"/>
  <c r="FD174" i="7"/>
  <c r="FG174" i="7"/>
  <c r="EX174" i="7" s="1"/>
  <c r="ET209" i="4"/>
  <c r="M74" i="24"/>
  <c r="DT83" i="4"/>
  <c r="BM90" i="4"/>
  <c r="W91" i="4"/>
  <c r="AA63" i="7"/>
  <c r="DF84" i="24"/>
  <c r="DJ203" i="4"/>
  <c r="DG122" i="4"/>
  <c r="CE44" i="4"/>
  <c r="L79" i="24"/>
  <c r="DO82" i="4"/>
  <c r="P181" i="4"/>
  <c r="P181" i="1" s="1"/>
  <c r="CE80" i="24"/>
  <c r="DN171" i="4"/>
  <c r="H84" i="24"/>
  <c r="DJ78" i="4"/>
  <c r="BS76" i="24"/>
  <c r="DR154" i="4"/>
  <c r="DP243" i="4"/>
  <c r="FA243" i="7"/>
  <c r="FA243" i="4" s="1"/>
  <c r="FI243" i="7"/>
  <c r="FF243" i="7"/>
  <c r="EZ243" i="7"/>
  <c r="EY243" i="7"/>
  <c r="FJ243" i="7"/>
  <c r="FH243" i="7"/>
  <c r="FH243" i="4" s="1"/>
  <c r="AL243" i="4" s="1"/>
  <c r="AL243" i="1" s="1"/>
  <c r="FG243" i="7"/>
  <c r="FD243" i="7"/>
  <c r="FC243" i="7"/>
  <c r="FB243" i="7"/>
  <c r="FB243" i="4" s="1"/>
  <c r="FE243" i="7"/>
  <c r="FE243" i="4" s="1"/>
  <c r="AI243" i="4" s="1"/>
  <c r="AI243" i="1" s="1"/>
  <c r="DG175" i="4"/>
  <c r="EW199" i="4"/>
  <c r="DL80" i="24"/>
  <c r="DN211" i="4"/>
  <c r="CW182" i="4"/>
  <c r="W152" i="4"/>
  <c r="W188" i="4"/>
  <c r="BM187" i="4"/>
  <c r="DM78" i="24"/>
  <c r="DP212" i="4"/>
  <c r="S159" i="4"/>
  <c r="S159" i="1" s="1"/>
  <c r="AA128" i="7"/>
  <c r="CC223" i="4"/>
  <c r="BN164" i="4"/>
  <c r="X165" i="4"/>
  <c r="DG200" i="4"/>
  <c r="U213" i="4"/>
  <c r="U213" i="1" s="1"/>
  <c r="N77" i="24"/>
  <c r="DQ84" i="4"/>
  <c r="FC84" i="7"/>
  <c r="AG84" i="7" s="1"/>
  <c r="FA84" i="7"/>
  <c r="AE84" i="7" s="1"/>
  <c r="EY84" i="7"/>
  <c r="FJ84" i="7"/>
  <c r="FI84" i="7"/>
  <c r="AM84" i="7" s="1"/>
  <c r="FB84" i="7"/>
  <c r="EZ84" i="7"/>
  <c r="FG84" i="7"/>
  <c r="EX84" i="7" s="1"/>
  <c r="FE84" i="7"/>
  <c r="FD84" i="7"/>
  <c r="FH84" i="7"/>
  <c r="AL84" i="7" s="1"/>
  <c r="AB84" i="7" s="1"/>
  <c r="FF84" i="7"/>
  <c r="AJ84" i="7" s="1"/>
  <c r="V77" i="4"/>
  <c r="BL76" i="4"/>
  <c r="U215" i="4"/>
  <c r="BK214" i="4"/>
  <c r="Z204" i="4"/>
  <c r="Z204" i="1" s="1"/>
  <c r="AH84" i="24"/>
  <c r="DJ109" i="4"/>
  <c r="DG87" i="7"/>
  <c r="DA76" i="4"/>
  <c r="AB75" i="24"/>
  <c r="DS101" i="4"/>
  <c r="FC101" i="7"/>
  <c r="AG101" i="7" s="1"/>
  <c r="FA101" i="7"/>
  <c r="EY101" i="7"/>
  <c r="FJ101" i="7"/>
  <c r="FI101" i="7"/>
  <c r="FB101" i="7"/>
  <c r="AF101" i="7" s="1"/>
  <c r="EZ101" i="7"/>
  <c r="FG101" i="7"/>
  <c r="EX101" i="7" s="1"/>
  <c r="FF101" i="7"/>
  <c r="FD101" i="7"/>
  <c r="FH101" i="7"/>
  <c r="FE101" i="7"/>
  <c r="AI101" i="7" s="1"/>
  <c r="Q185" i="4"/>
  <c r="Q185" i="1" s="1"/>
  <c r="DG197" i="4"/>
  <c r="CL76" i="24"/>
  <c r="DR180" i="4"/>
  <c r="AA180" i="7"/>
  <c r="P227" i="7"/>
  <c r="DU102" i="7"/>
  <c r="AC85" i="24"/>
  <c r="DI102" i="4"/>
  <c r="E189" i="23"/>
  <c r="D189" i="23" s="1"/>
  <c r="BI70" i="7"/>
  <c r="AR81" i="24"/>
  <c r="DM122" i="4"/>
  <c r="X159" i="4"/>
  <c r="X159" i="1" s="1"/>
  <c r="DV77" i="24"/>
  <c r="DQ226" i="4"/>
  <c r="S178" i="7"/>
  <c r="W60" i="7"/>
  <c r="DU159" i="7"/>
  <c r="BU85" i="24"/>
  <c r="DI159" i="4"/>
  <c r="FC159" i="7"/>
  <c r="FA159" i="7"/>
  <c r="FI159" i="7"/>
  <c r="FB159" i="7"/>
  <c r="EZ159" i="7"/>
  <c r="EY159" i="7"/>
  <c r="FJ159" i="7"/>
  <c r="AN159" i="7" s="1"/>
  <c r="FG159" i="7"/>
  <c r="EX159" i="7" s="1"/>
  <c r="FF159" i="7"/>
  <c r="FE159" i="7"/>
  <c r="AI159" i="7" s="1"/>
  <c r="FD159" i="7"/>
  <c r="AH159" i="7" s="1"/>
  <c r="FH159" i="7"/>
  <c r="AL159" i="7" s="1"/>
  <c r="AB159" i="7" s="1"/>
  <c r="AA222" i="7"/>
  <c r="CE92" i="4"/>
  <c r="O187" i="7"/>
  <c r="AA188" i="7"/>
  <c r="DG141" i="4"/>
  <c r="BA79" i="24"/>
  <c r="DO132" i="4"/>
  <c r="S101" i="4"/>
  <c r="S101" i="1" s="1"/>
  <c r="DG172" i="7"/>
  <c r="U82" i="24"/>
  <c r="DL94" i="4"/>
  <c r="CH84" i="24"/>
  <c r="DJ175" i="4"/>
  <c r="Z191" i="4"/>
  <c r="Z191" i="1" s="1"/>
  <c r="AV83" i="24"/>
  <c r="DK126" i="4"/>
  <c r="AQ74" i="24"/>
  <c r="DT121" i="4"/>
  <c r="CV150" i="4"/>
  <c r="EM43" i="4"/>
  <c r="EM47" i="4" s="1"/>
  <c r="CV104" i="4"/>
  <c r="DU85" i="24"/>
  <c r="DU225" i="7"/>
  <c r="DI225" i="4"/>
  <c r="CY84" i="24"/>
  <c r="DJ196" i="4"/>
  <c r="AA78" i="24"/>
  <c r="DP100" i="4"/>
  <c r="CI83" i="24"/>
  <c r="DK176" i="4"/>
  <c r="CE45" i="4"/>
  <c r="AD77" i="24"/>
  <c r="DQ104" i="7"/>
  <c r="DQ105" i="4"/>
  <c r="BX104" i="4"/>
  <c r="AA42" i="7"/>
  <c r="P106" i="4"/>
  <c r="P106" i="1" s="1"/>
  <c r="BK78" i="24"/>
  <c r="DP144" i="4"/>
  <c r="BQ197" i="4"/>
  <c r="O197" i="4"/>
  <c r="DA138" i="4"/>
  <c r="P183" i="4"/>
  <c r="BF182" i="4"/>
  <c r="BV82" i="24"/>
  <c r="DL160" i="4"/>
  <c r="Q101" i="4"/>
  <c r="Q101" i="1" s="1"/>
  <c r="BO83" i="24"/>
  <c r="DK149" i="4"/>
  <c r="I81" i="24"/>
  <c r="DM79" i="4"/>
  <c r="BQ79" i="4"/>
  <c r="O79" i="4"/>
  <c r="Y167" i="4"/>
  <c r="Y167" i="1" s="1"/>
  <c r="CU81" i="24"/>
  <c r="DM191" i="4"/>
  <c r="Z76" i="7"/>
  <c r="BW75" i="24"/>
  <c r="DS161" i="4"/>
  <c r="BV193" i="4"/>
  <c r="T171" i="4"/>
  <c r="T171" i="1" s="1"/>
  <c r="BN84" i="24"/>
  <c r="DJ148" i="4"/>
  <c r="U149" i="4"/>
  <c r="U149" i="1" s="1"/>
  <c r="CF84" i="24"/>
  <c r="DJ173" i="4"/>
  <c r="DJ172" i="7"/>
  <c r="EK129" i="4"/>
  <c r="EW130" i="4"/>
  <c r="Y81" i="24"/>
  <c r="DM98" i="4"/>
  <c r="P146" i="7"/>
  <c r="P226" i="4"/>
  <c r="P226" i="1" s="1"/>
  <c r="AG75" i="24"/>
  <c r="DS108" i="4"/>
  <c r="BG82" i="24"/>
  <c r="DL140" i="4"/>
  <c r="K78" i="24"/>
  <c r="DP81" i="4"/>
  <c r="AN62" i="4"/>
  <c r="AN62" i="1" s="1"/>
  <c r="CD60" i="4"/>
  <c r="DU197" i="7"/>
  <c r="CZ85" i="24"/>
  <c r="DI197" i="4"/>
  <c r="FC197" i="7"/>
  <c r="EY197" i="7"/>
  <c r="FB197" i="7"/>
  <c r="FA197" i="7"/>
  <c r="EZ197" i="7"/>
  <c r="FJ197" i="7"/>
  <c r="FI197" i="7"/>
  <c r="FH197" i="7"/>
  <c r="FD197" i="7"/>
  <c r="FG197" i="7"/>
  <c r="EX197" i="7" s="1"/>
  <c r="FF197" i="7"/>
  <c r="AJ197" i="7" s="1"/>
  <c r="FE197" i="7"/>
  <c r="AI197" i="7" s="1"/>
  <c r="CD133" i="4"/>
  <c r="V173" i="4"/>
  <c r="BL172" i="4"/>
  <c r="BL219" i="4"/>
  <c r="V220" i="4"/>
  <c r="BY129" i="4"/>
  <c r="BS172" i="4"/>
  <c r="CE173" i="4"/>
  <c r="FC78" i="7"/>
  <c r="FJ78" i="7"/>
  <c r="FI78" i="7"/>
  <c r="FB78" i="7"/>
  <c r="FA78" i="7"/>
  <c r="EZ78" i="7"/>
  <c r="EY78" i="7"/>
  <c r="AC78" i="7" s="1"/>
  <c r="FG78" i="7"/>
  <c r="FE78" i="7"/>
  <c r="FF78" i="7"/>
  <c r="AJ78" i="7" s="1"/>
  <c r="FD78" i="7"/>
  <c r="FH78" i="7"/>
  <c r="BR77" i="24"/>
  <c r="DQ153" i="4"/>
  <c r="AX81" i="24"/>
  <c r="DM128" i="4"/>
  <c r="DR30" i="4"/>
  <c r="BZ85" i="24"/>
  <c r="DU166" i="7"/>
  <c r="DI166" i="4"/>
  <c r="EU150" i="4"/>
  <c r="BY74" i="24"/>
  <c r="DT165" i="4"/>
  <c r="DT164" i="7"/>
  <c r="FF63" i="4"/>
  <c r="AJ63" i="4" s="1"/>
  <c r="AJ63" i="1" s="1"/>
  <c r="AJ63" i="7"/>
  <c r="BG129" i="4"/>
  <c r="Q130" i="4"/>
  <c r="AA120" i="7"/>
  <c r="BF76" i="24"/>
  <c r="DR139" i="4"/>
  <c r="DR138" i="7"/>
  <c r="DH138" i="7" s="1"/>
  <c r="CD76" i="24"/>
  <c r="DR170" i="4"/>
  <c r="BQ160" i="4"/>
  <c r="O160" i="4"/>
  <c r="CQ78" i="24"/>
  <c r="DP186" i="4"/>
  <c r="BX150" i="4"/>
  <c r="Y176" i="4"/>
  <c r="Y176" i="1" s="1"/>
  <c r="BJ13" i="4"/>
  <c r="BJ6" i="4" s="1"/>
  <c r="T14" i="4"/>
  <c r="BH82" i="24"/>
  <c r="DL141" i="4"/>
  <c r="BT164" i="4"/>
  <c r="V172" i="7"/>
  <c r="Y116" i="7"/>
  <c r="V219" i="7"/>
  <c r="V126" i="4"/>
  <c r="V126" i="1" s="1"/>
  <c r="CO80" i="24"/>
  <c r="DN184" i="4"/>
  <c r="X80" i="4"/>
  <c r="X80" i="1" s="1"/>
  <c r="CD104" i="4"/>
  <c r="AU80" i="24"/>
  <c r="DN125" i="4"/>
  <c r="DS30" i="4"/>
  <c r="BZ77" i="24"/>
  <c r="DQ166" i="4"/>
  <c r="BY84" i="24"/>
  <c r="DJ165" i="4"/>
  <c r="DJ164" i="7"/>
  <c r="AW75" i="24"/>
  <c r="DS127" i="4"/>
  <c r="O82" i="4"/>
  <c r="BQ82" i="4"/>
  <c r="T84" i="4"/>
  <c r="T84" i="1" s="1"/>
  <c r="DF76" i="4"/>
  <c r="DP39" i="4"/>
  <c r="DP38" i="4" s="1"/>
  <c r="DP38" i="7"/>
  <c r="F78" i="24" s="1"/>
  <c r="P224" i="4"/>
  <c r="BF223" i="4"/>
  <c r="BY150" i="4"/>
  <c r="BD83" i="24"/>
  <c r="DK136" i="4"/>
  <c r="FC186" i="7"/>
  <c r="EY186" i="7"/>
  <c r="AC186" i="7" s="1"/>
  <c r="FI186" i="7"/>
  <c r="FB186" i="7"/>
  <c r="FA186" i="7"/>
  <c r="EZ186" i="7"/>
  <c r="FJ186" i="7"/>
  <c r="FH186" i="7"/>
  <c r="AL186" i="7" s="1"/>
  <c r="AB186" i="7" s="1"/>
  <c r="FD186" i="7"/>
  <c r="AH186" i="7" s="1"/>
  <c r="FG186" i="7"/>
  <c r="EX186" i="7" s="1"/>
  <c r="FF186" i="7"/>
  <c r="AJ186" i="7" s="1"/>
  <c r="FE186" i="7"/>
  <c r="BW80" i="24"/>
  <c r="DN161" i="4"/>
  <c r="CU227" i="4"/>
  <c r="DG228" i="4"/>
  <c r="K80" i="24"/>
  <c r="DN81" i="4"/>
  <c r="DP79" i="24"/>
  <c r="DO216" i="4"/>
  <c r="DU181" i="7"/>
  <c r="CM85" i="24"/>
  <c r="DI181" i="4"/>
  <c r="EW149" i="4"/>
  <c r="P74" i="24"/>
  <c r="DT86" i="4"/>
  <c r="R125" i="4"/>
  <c r="R125" i="1" s="1"/>
  <c r="AA149" i="7"/>
  <c r="AA26" i="7"/>
  <c r="BM13" i="4"/>
  <c r="BM6" i="4" s="1"/>
  <c r="W14" i="4"/>
  <c r="CE41" i="4"/>
  <c r="P113" i="4"/>
  <c r="P113" i="1" s="1"/>
  <c r="CE185" i="4"/>
  <c r="EK54" i="4"/>
  <c r="EW51" i="4"/>
  <c r="EW54" i="4" s="1"/>
  <c r="ER156" i="7"/>
  <c r="DU177" i="7"/>
  <c r="CJ85" i="24"/>
  <c r="DI177" i="4"/>
  <c r="AC177" i="7"/>
  <c r="BW116" i="4"/>
  <c r="EW100" i="4"/>
  <c r="BY80" i="24"/>
  <c r="DN164" i="7"/>
  <c r="DN165" i="4"/>
  <c r="BW138" i="4"/>
  <c r="W100" i="4"/>
  <c r="DU105" i="7"/>
  <c r="AD85" i="24"/>
  <c r="DI105" i="4"/>
  <c r="DI104" i="7"/>
  <c r="BD82" i="24"/>
  <c r="DL136" i="4"/>
  <c r="BM150" i="4"/>
  <c r="W151" i="4"/>
  <c r="BN74" i="24"/>
  <c r="DT148" i="4"/>
  <c r="EW242" i="4"/>
  <c r="EK241" i="4"/>
  <c r="CB178" i="4"/>
  <c r="EM70" i="4"/>
  <c r="DS44" i="4"/>
  <c r="V81" i="24"/>
  <c r="DM95" i="4"/>
  <c r="BJ79" i="24"/>
  <c r="DO143" i="4"/>
  <c r="BS241" i="4"/>
  <c r="CE242" i="4"/>
  <c r="DF77" i="24"/>
  <c r="DQ203" i="4"/>
  <c r="Y82" i="4"/>
  <c r="Y82" i="1" s="1"/>
  <c r="Z142" i="4"/>
  <c r="Z142" i="1" s="1"/>
  <c r="AO79" i="24"/>
  <c r="DO119" i="4"/>
  <c r="H76" i="24"/>
  <c r="DR78" i="4"/>
  <c r="DM80" i="24"/>
  <c r="DN212" i="4"/>
  <c r="DB218" i="7"/>
  <c r="CW76" i="4"/>
  <c r="BQ195" i="4"/>
  <c r="O195" i="4"/>
  <c r="CL74" i="24"/>
  <c r="DT180" i="4"/>
  <c r="FC102" i="7"/>
  <c r="AG102" i="7" s="1"/>
  <c r="FA102" i="7"/>
  <c r="EZ102" i="7"/>
  <c r="FJ102" i="7"/>
  <c r="FB102" i="7"/>
  <c r="EY102" i="7"/>
  <c r="AC102" i="7" s="1"/>
  <c r="FI102" i="7"/>
  <c r="AM102" i="7" s="1"/>
  <c r="FG102" i="7"/>
  <c r="EX102" i="7" s="1"/>
  <c r="FF102" i="7"/>
  <c r="AJ102" i="7" s="1"/>
  <c r="FE102" i="7"/>
  <c r="FH102" i="7"/>
  <c r="AL102" i="7" s="1"/>
  <c r="AB102" i="7" s="1"/>
  <c r="FD102" i="7"/>
  <c r="P198" i="4"/>
  <c r="P198" i="1" s="1"/>
  <c r="O121" i="4"/>
  <c r="BQ121" i="4"/>
  <c r="DD156" i="7"/>
  <c r="DN244" i="4"/>
  <c r="BQ203" i="4"/>
  <c r="O203" i="4"/>
  <c r="Q191" i="4"/>
  <c r="Q191" i="1" s="1"/>
  <c r="EQ90" i="4"/>
  <c r="P241" i="7"/>
  <c r="CT77" i="24"/>
  <c r="DQ190" i="4"/>
  <c r="BY38" i="4"/>
  <c r="R220" i="4"/>
  <c r="BH219" i="4"/>
  <c r="T167" i="4"/>
  <c r="T167" i="1" s="1"/>
  <c r="R242" i="4"/>
  <c r="BH241" i="4"/>
  <c r="AY77" i="24"/>
  <c r="DQ130" i="4"/>
  <c r="DQ129" i="7"/>
  <c r="CA133" i="4"/>
  <c r="DU123" i="7"/>
  <c r="AS85" i="24"/>
  <c r="DI123" i="4"/>
  <c r="AN74" i="24"/>
  <c r="DT118" i="4"/>
  <c r="AA168" i="7"/>
  <c r="DG82" i="24"/>
  <c r="DL204" i="4"/>
  <c r="CD90" i="4"/>
  <c r="CB150" i="4"/>
  <c r="DB75" i="24"/>
  <c r="DS199" i="4"/>
  <c r="DC74" i="24"/>
  <c r="DT200" i="4"/>
  <c r="BE156" i="7"/>
  <c r="EK182" i="4"/>
  <c r="EW183" i="4"/>
  <c r="CE171" i="4"/>
  <c r="V196" i="4"/>
  <c r="V196" i="1" s="1"/>
  <c r="CE118" i="4"/>
  <c r="EW120" i="4"/>
  <c r="CC80" i="24"/>
  <c r="DN169" i="4"/>
  <c r="BL223" i="4"/>
  <c r="V224" i="4"/>
  <c r="W153" i="4"/>
  <c r="BJ78" i="24"/>
  <c r="DP143" i="4"/>
  <c r="P79" i="24"/>
  <c r="DO86" i="4"/>
  <c r="BE77" i="24"/>
  <c r="DQ137" i="4"/>
  <c r="U137" i="4"/>
  <c r="U137" i="1" s="1"/>
  <c r="CG77" i="24"/>
  <c r="DQ174" i="4"/>
  <c r="DU83" i="7"/>
  <c r="M85" i="24"/>
  <c r="DI83" i="4"/>
  <c r="Z99" i="4"/>
  <c r="Z99" i="1" s="1"/>
  <c r="W90" i="7"/>
  <c r="CE153" i="4"/>
  <c r="DD75" i="24"/>
  <c r="DS201" i="4"/>
  <c r="R201" i="4"/>
  <c r="R201" i="1" s="1"/>
  <c r="DF83" i="24"/>
  <c r="DK203" i="4"/>
  <c r="L84" i="24"/>
  <c r="DJ82" i="4"/>
  <c r="Q84" i="4"/>
  <c r="Q84" i="1" s="1"/>
  <c r="EW132" i="4"/>
  <c r="O83" i="24"/>
  <c r="DK85" i="4"/>
  <c r="BT76" i="4"/>
  <c r="BJ133" i="4"/>
  <c r="T134" i="4"/>
  <c r="BN193" i="4"/>
  <c r="X194" i="4"/>
  <c r="CE78" i="24"/>
  <c r="DP171" i="4"/>
  <c r="BS83" i="24"/>
  <c r="DK154" i="4"/>
  <c r="CA214" i="4"/>
  <c r="DQ243" i="4"/>
  <c r="ER43" i="4"/>
  <c r="ER47" i="4" s="1"/>
  <c r="BI150" i="4"/>
  <c r="S151" i="4"/>
  <c r="DL79" i="24"/>
  <c r="DO211" i="4"/>
  <c r="BZ178" i="4"/>
  <c r="CE108" i="4"/>
  <c r="BE13" i="4"/>
  <c r="BQ14" i="4"/>
  <c r="O14" i="4"/>
  <c r="P104" i="7"/>
  <c r="DA164" i="4"/>
  <c r="CS83" i="24"/>
  <c r="DK189" i="4"/>
  <c r="S123" i="4"/>
  <c r="S123" i="1" s="1"/>
  <c r="Y124" i="4"/>
  <c r="Y124" i="1" s="1"/>
  <c r="BW104" i="4"/>
  <c r="V82" i="4"/>
  <c r="V82" i="1" s="1"/>
  <c r="BN54" i="4"/>
  <c r="X51" i="4"/>
  <c r="DG153" i="4"/>
  <c r="N75" i="24"/>
  <c r="DS84" i="4"/>
  <c r="V76" i="7"/>
  <c r="P154" i="4"/>
  <c r="P154" i="1" s="1"/>
  <c r="AH78" i="24"/>
  <c r="DP109" i="4"/>
  <c r="CL84" i="24"/>
  <c r="DJ180" i="4"/>
  <c r="AC77" i="24"/>
  <c r="DQ102" i="4"/>
  <c r="U126" i="4"/>
  <c r="U126" i="1" s="1"/>
  <c r="BX29" i="4"/>
  <c r="BN90" i="4"/>
  <c r="X91" i="4"/>
  <c r="W127" i="4"/>
  <c r="Q192" i="4"/>
  <c r="Q192" i="1" s="1"/>
  <c r="AR80" i="24"/>
  <c r="DN122" i="4"/>
  <c r="U51" i="4"/>
  <c r="BK54" i="4"/>
  <c r="U111" i="4"/>
  <c r="U111" i="1" s="1"/>
  <c r="X135" i="4"/>
  <c r="X135" i="1" s="1"/>
  <c r="BI209" i="4"/>
  <c r="S210" i="4"/>
  <c r="U154" i="4"/>
  <c r="U154" i="1" s="1"/>
  <c r="ET205" i="4"/>
  <c r="DV76" i="24"/>
  <c r="DR226" i="4"/>
  <c r="DR244" i="4"/>
  <c r="BZ150" i="4"/>
  <c r="V211" i="4"/>
  <c r="V211" i="1" s="1"/>
  <c r="BM70" i="7"/>
  <c r="BU77" i="24"/>
  <c r="DQ159" i="4"/>
  <c r="CE33" i="4"/>
  <c r="FF64" i="4"/>
  <c r="AJ64" i="4" s="1"/>
  <c r="AJ64" i="1" s="1"/>
  <c r="AJ64" i="7"/>
  <c r="Y188" i="4"/>
  <c r="BO187" i="4"/>
  <c r="BJ156" i="7"/>
  <c r="DS46" i="4"/>
  <c r="BQ154" i="4"/>
  <c r="O154" i="4"/>
  <c r="BQ187" i="7"/>
  <c r="BA84" i="24"/>
  <c r="DJ132" i="4"/>
  <c r="U81" i="24"/>
  <c r="DM94" i="4"/>
  <c r="O35" i="4"/>
  <c r="BQ35" i="4"/>
  <c r="CH83" i="24"/>
  <c r="DK175" i="4"/>
  <c r="U143" i="4"/>
  <c r="U143" i="1" s="1"/>
  <c r="AV82" i="24"/>
  <c r="DL126" i="4"/>
  <c r="AQ77" i="24"/>
  <c r="DQ121" i="4"/>
  <c r="CD150" i="4"/>
  <c r="E263" i="23"/>
  <c r="D263" i="23" s="1"/>
  <c r="EM43" i="7"/>
  <c r="EM47" i="7" s="1"/>
  <c r="CY83" i="24"/>
  <c r="DK196" i="4"/>
  <c r="O94" i="4"/>
  <c r="BQ94" i="4"/>
  <c r="Q83" i="4"/>
  <c r="Q83" i="1" s="1"/>
  <c r="BQ144" i="4"/>
  <c r="O144" i="4"/>
  <c r="CU13" i="4"/>
  <c r="DG14" i="4"/>
  <c r="X31" i="4"/>
  <c r="BN29" i="4"/>
  <c r="DU100" i="7"/>
  <c r="AA85" i="24"/>
  <c r="DI100" i="4"/>
  <c r="FC100" i="7"/>
  <c r="EZ100" i="7"/>
  <c r="FJ100" i="7"/>
  <c r="FI100" i="7"/>
  <c r="AM100" i="7" s="1"/>
  <c r="FB100" i="7"/>
  <c r="AF100" i="7" s="1"/>
  <c r="FA100" i="7"/>
  <c r="EY100" i="7"/>
  <c r="AC100" i="7" s="1"/>
  <c r="FH100" i="7"/>
  <c r="AL100" i="7" s="1"/>
  <c r="AB100" i="7" s="1"/>
  <c r="FF100" i="7"/>
  <c r="AJ100" i="7" s="1"/>
  <c r="FE100" i="7"/>
  <c r="FG100" i="7"/>
  <c r="EX100" i="7" s="1"/>
  <c r="FD100" i="7"/>
  <c r="AH100" i="7" s="1"/>
  <c r="CI82" i="24"/>
  <c r="DL176" i="4"/>
  <c r="AM77" i="24"/>
  <c r="DQ117" i="4"/>
  <c r="DF218" i="7"/>
  <c r="BF115" i="7"/>
  <c r="DJ79" i="24"/>
  <c r="DO208" i="4"/>
  <c r="EM172" i="4"/>
  <c r="DR247" i="4"/>
  <c r="BP81" i="24"/>
  <c r="DM151" i="4"/>
  <c r="DM150" i="7"/>
  <c r="AA197" i="7"/>
  <c r="CA74" i="24"/>
  <c r="DT167" i="4"/>
  <c r="CX75" i="7"/>
  <c r="BZ76" i="4"/>
  <c r="U134" i="4"/>
  <c r="BK133" i="4"/>
  <c r="DK242" i="4"/>
  <c r="DK241" i="7"/>
  <c r="EB83" i="24" s="1"/>
  <c r="ES76" i="4"/>
  <c r="AG79" i="24"/>
  <c r="DO108" i="4"/>
  <c r="BG79" i="24"/>
  <c r="DO140" i="4"/>
  <c r="BW187" i="4"/>
  <c r="CD205" i="4"/>
  <c r="S84" i="4"/>
  <c r="S84" i="1" s="1"/>
  <c r="BK172" i="4"/>
  <c r="U173" i="4"/>
  <c r="DX78" i="24"/>
  <c r="DP229" i="4"/>
  <c r="AJ229" i="4" s="1"/>
  <c r="AJ229" i="1" s="1"/>
  <c r="CM75" i="24"/>
  <c r="DS181" i="4"/>
  <c r="CD227" i="4"/>
  <c r="CE195" i="4"/>
  <c r="Y157" i="7"/>
  <c r="T142" i="4"/>
  <c r="T142" i="1" s="1"/>
  <c r="AO74" i="24"/>
  <c r="DT119" i="4"/>
  <c r="S180" i="4"/>
  <c r="S180" i="1" s="1"/>
  <c r="BQ100" i="4"/>
  <c r="O100" i="4"/>
  <c r="DI79" i="24"/>
  <c r="DO207" i="4"/>
  <c r="FC195" i="7"/>
  <c r="EY195" i="7"/>
  <c r="FJ195" i="7"/>
  <c r="FH195" i="7"/>
  <c r="AL195" i="7" s="1"/>
  <c r="AB195" i="7" s="1"/>
  <c r="FB195" i="7"/>
  <c r="FA195" i="7"/>
  <c r="AE195" i="7" s="1"/>
  <c r="EZ195" i="7"/>
  <c r="FI195" i="7"/>
  <c r="AM195" i="7" s="1"/>
  <c r="FG195" i="7"/>
  <c r="EX195" i="7" s="1"/>
  <c r="FF195" i="7"/>
  <c r="FD195" i="7"/>
  <c r="FE195" i="7"/>
  <c r="AW76" i="24"/>
  <c r="DR127" i="4"/>
  <c r="DN246" i="4"/>
  <c r="BH29" i="4"/>
  <c r="R31" i="4"/>
  <c r="BY146" i="4"/>
  <c r="AA216" i="7"/>
  <c r="BS178" i="4"/>
  <c r="CE179" i="4"/>
  <c r="CW75" i="24"/>
  <c r="DS194" i="4"/>
  <c r="DS193" i="7"/>
  <c r="CV76" i="24"/>
  <c r="DR192" i="4"/>
  <c r="DN75" i="24"/>
  <c r="DS213" i="4"/>
  <c r="W215" i="4"/>
  <c r="BM214" i="4"/>
  <c r="G75" i="24"/>
  <c r="DS76" i="7"/>
  <c r="DS77" i="4"/>
  <c r="DX77" i="24"/>
  <c r="DQ229" i="4"/>
  <c r="AK229" i="4" s="1"/>
  <c r="AK229" i="1" s="1"/>
  <c r="BW205" i="4"/>
  <c r="BQ26" i="4"/>
  <c r="O26" i="4"/>
  <c r="J76" i="24"/>
  <c r="DR80" i="4"/>
  <c r="DG101" i="4"/>
  <c r="CE161" i="4"/>
  <c r="DM82" i="24"/>
  <c r="DL212" i="4"/>
  <c r="DD129" i="4"/>
  <c r="Q210" i="4"/>
  <c r="BG209" i="4"/>
  <c r="DQ88" i="7"/>
  <c r="DQ32" i="4"/>
  <c r="EW93" i="4"/>
  <c r="BT84" i="24"/>
  <c r="DJ158" i="4"/>
  <c r="DJ157" i="7"/>
  <c r="AA125" i="7"/>
  <c r="Z134" i="4"/>
  <c r="BP133" i="4"/>
  <c r="BY223" i="4"/>
  <c r="R168" i="4"/>
  <c r="R168" i="1" s="1"/>
  <c r="DD104" i="4"/>
  <c r="BL74" i="24"/>
  <c r="DT145" i="4"/>
  <c r="CW214" i="4"/>
  <c r="R29" i="7"/>
  <c r="ES116" i="4"/>
  <c r="EK205" i="4"/>
  <c r="EW206" i="4"/>
  <c r="CP78" i="24"/>
  <c r="DP185" i="4"/>
  <c r="AD78" i="24"/>
  <c r="DP104" i="7"/>
  <c r="DP105" i="4"/>
  <c r="CD138" i="4"/>
  <c r="FC93" i="7"/>
  <c r="EY93" i="7"/>
  <c r="AC93" i="7" s="1"/>
  <c r="FJ93" i="7"/>
  <c r="FB93" i="7"/>
  <c r="FA93" i="7"/>
  <c r="EZ93" i="7"/>
  <c r="FI93" i="7"/>
  <c r="AM93" i="7" s="1"/>
  <c r="FG93" i="7"/>
  <c r="EX93" i="7" s="1"/>
  <c r="FE93" i="7"/>
  <c r="AI93" i="7" s="1"/>
  <c r="FD93" i="7"/>
  <c r="FF93" i="7"/>
  <c r="FH93" i="7"/>
  <c r="AL93" i="7" s="1"/>
  <c r="AB93" i="7" s="1"/>
  <c r="CC172" i="4"/>
  <c r="BF43" i="7"/>
  <c r="BF47" i="7" s="1"/>
  <c r="E192" i="23"/>
  <c r="D192" i="23" s="1"/>
  <c r="AA160" i="7"/>
  <c r="BQ20" i="4"/>
  <c r="O20" i="4"/>
  <c r="ES193" i="4"/>
  <c r="R138" i="7"/>
  <c r="S84" i="24"/>
  <c r="DJ92" i="4"/>
  <c r="BI172" i="4"/>
  <c r="S173" i="4"/>
  <c r="DC219" i="4"/>
  <c r="DX76" i="24"/>
  <c r="DR229" i="4"/>
  <c r="AL229" i="4" s="1"/>
  <c r="AL229" i="1" s="1"/>
  <c r="BH81" i="24"/>
  <c r="DM141" i="4"/>
  <c r="FC44" i="7"/>
  <c r="FC44" i="4" s="1"/>
  <c r="AG44" i="4" s="1"/>
  <c r="AG44" i="1" s="1"/>
  <c r="FJ44" i="7"/>
  <c r="FJ44" i="4" s="1"/>
  <c r="AN44" i="4" s="1"/>
  <c r="AN44" i="1" s="1"/>
  <c r="FB44" i="7"/>
  <c r="FB44" i="4" s="1"/>
  <c r="AF44" i="4" s="1"/>
  <c r="AF44" i="1" s="1"/>
  <c r="FA44" i="7"/>
  <c r="EZ44" i="7"/>
  <c r="EZ44" i="4" s="1"/>
  <c r="AD44" i="4" s="1"/>
  <c r="AD44" i="1" s="1"/>
  <c r="EY44" i="7"/>
  <c r="FI44" i="7"/>
  <c r="FF44" i="7"/>
  <c r="FH44" i="7"/>
  <c r="FG44" i="7"/>
  <c r="EX44" i="7" s="1"/>
  <c r="FE44" i="7"/>
  <c r="FD44" i="7"/>
  <c r="V82" i="24"/>
  <c r="DL95" i="4"/>
  <c r="BE84" i="24"/>
  <c r="DJ137" i="4"/>
  <c r="AO82" i="24"/>
  <c r="DL119" i="4"/>
  <c r="H77" i="24"/>
  <c r="DQ78" i="4"/>
  <c r="DM81" i="24"/>
  <c r="DM212" i="4"/>
  <c r="CD116" i="4"/>
  <c r="BZ138" i="4"/>
  <c r="W221" i="4"/>
  <c r="BM84" i="24"/>
  <c r="DJ147" i="4"/>
  <c r="DJ146" i="7"/>
  <c r="AC78" i="24"/>
  <c r="DP102" i="4"/>
  <c r="BE58" i="7"/>
  <c r="DR88" i="7"/>
  <c r="DH88" i="7" s="1"/>
  <c r="DR32" i="4"/>
  <c r="BT83" i="24"/>
  <c r="DK158" i="4"/>
  <c r="DK157" i="7"/>
  <c r="BU81" i="24"/>
  <c r="DM159" i="4"/>
  <c r="AW79" i="24"/>
  <c r="DO127" i="4"/>
  <c r="P242" i="4"/>
  <c r="BF241" i="4"/>
  <c r="CE216" i="4"/>
  <c r="FC190" i="7"/>
  <c r="FB190" i="7"/>
  <c r="FA190" i="7"/>
  <c r="EZ190" i="7"/>
  <c r="EY190" i="7"/>
  <c r="FJ190" i="7"/>
  <c r="FI190" i="7"/>
  <c r="FH190" i="7"/>
  <c r="FD190" i="7"/>
  <c r="FG190" i="7"/>
  <c r="FF190" i="7"/>
  <c r="AJ190" i="7" s="1"/>
  <c r="FE190" i="7"/>
  <c r="AI190" i="7" s="1"/>
  <c r="CE207" i="4"/>
  <c r="V102" i="4"/>
  <c r="V102" i="1" s="1"/>
  <c r="BO74" i="24"/>
  <c r="DT149" i="4"/>
  <c r="EW162" i="4"/>
  <c r="S82" i="24"/>
  <c r="DL92" i="4"/>
  <c r="DO83" i="24"/>
  <c r="DK214" i="7"/>
  <c r="DK215" i="4"/>
  <c r="FC42" i="7"/>
  <c r="FC42" i="4" s="1"/>
  <c r="FA42" i="7"/>
  <c r="EZ42" i="7"/>
  <c r="EY42" i="7"/>
  <c r="FI42" i="7"/>
  <c r="FI42" i="4" s="1"/>
  <c r="AM42" i="4" s="1"/>
  <c r="AM42" i="1" s="1"/>
  <c r="FB42" i="7"/>
  <c r="FJ42" i="7"/>
  <c r="FD42" i="7"/>
  <c r="FH42" i="7"/>
  <c r="FG42" i="7"/>
  <c r="AK42" i="7" s="1"/>
  <c r="FF42" i="7"/>
  <c r="FF42" i="4" s="1"/>
  <c r="AJ42" i="4" s="1"/>
  <c r="AJ42" i="1" s="1"/>
  <c r="FE42" i="7"/>
  <c r="EW192" i="4"/>
  <c r="AA123" i="7"/>
  <c r="DG74" i="24"/>
  <c r="DT204" i="4"/>
  <c r="BH80" i="24"/>
  <c r="DN141" i="4"/>
  <c r="BP156" i="7"/>
  <c r="BE83" i="24"/>
  <c r="DK137" i="4"/>
  <c r="BJ27" i="4"/>
  <c r="T24" i="4"/>
  <c r="W13" i="7"/>
  <c r="W6" i="7" s="1"/>
  <c r="CX164" i="4"/>
  <c r="DK34" i="4"/>
  <c r="EL172" i="4"/>
  <c r="U185" i="4"/>
  <c r="U185" i="1" s="1"/>
  <c r="AY76" i="24"/>
  <c r="DR130" i="4"/>
  <c r="DR129" i="7"/>
  <c r="DH129" i="7" s="1"/>
  <c r="BV227" i="4"/>
  <c r="AS76" i="24"/>
  <c r="DR123" i="4"/>
  <c r="AN83" i="24"/>
  <c r="DK118" i="4"/>
  <c r="EW118" i="4"/>
  <c r="O245" i="4"/>
  <c r="BQ245" i="4"/>
  <c r="DU124" i="7"/>
  <c r="AT85" i="24"/>
  <c r="DI124" i="4"/>
  <c r="FC124" i="7"/>
  <c r="AG124" i="7" s="1"/>
  <c r="FJ124" i="7"/>
  <c r="AN124" i="7" s="1"/>
  <c r="FI124" i="7"/>
  <c r="AM124" i="7" s="1"/>
  <c r="FB124" i="7"/>
  <c r="FA124" i="7"/>
  <c r="EZ124" i="7"/>
  <c r="AD124" i="7" s="1"/>
  <c r="EY124" i="7"/>
  <c r="FG124" i="7"/>
  <c r="FF124" i="7"/>
  <c r="FH124" i="7"/>
  <c r="AL124" i="7" s="1"/>
  <c r="AB124" i="7" s="1"/>
  <c r="FE124" i="7"/>
  <c r="FD124" i="7"/>
  <c r="AH124" i="7" s="1"/>
  <c r="E254" i="23"/>
  <c r="D254" i="23" s="1"/>
  <c r="EV43" i="7"/>
  <c r="EV47" i="7" s="1"/>
  <c r="EL138" i="4"/>
  <c r="DB74" i="24"/>
  <c r="DT199" i="4"/>
  <c r="DG211" i="4"/>
  <c r="BQ106" i="4"/>
  <c r="O106" i="4"/>
  <c r="DU200" i="7"/>
  <c r="DC85" i="24"/>
  <c r="DI200" i="4"/>
  <c r="BI223" i="4"/>
  <c r="S224" i="4"/>
  <c r="CV58" i="4"/>
  <c r="P210" i="4"/>
  <c r="BF209" i="4"/>
  <c r="CC78" i="24"/>
  <c r="DP169" i="4"/>
  <c r="BJ75" i="24"/>
  <c r="DS143" i="4"/>
  <c r="FC143" i="7"/>
  <c r="FA143" i="7"/>
  <c r="EY143" i="7"/>
  <c r="FJ143" i="7"/>
  <c r="FI143" i="7"/>
  <c r="FB143" i="7"/>
  <c r="EZ143" i="7"/>
  <c r="FG143" i="7"/>
  <c r="FE143" i="7"/>
  <c r="FD143" i="7"/>
  <c r="FH143" i="7"/>
  <c r="AL143" i="7" s="1"/>
  <c r="AB143" i="7" s="1"/>
  <c r="FF143" i="7"/>
  <c r="EW167" i="4"/>
  <c r="P84" i="24"/>
  <c r="DJ86" i="4"/>
  <c r="BE76" i="24"/>
  <c r="DR137" i="4"/>
  <c r="S78" i="4"/>
  <c r="S78" i="1" s="1"/>
  <c r="CG76" i="24"/>
  <c r="DR174" i="4"/>
  <c r="M76" i="24"/>
  <c r="DR83" i="4"/>
  <c r="DD74" i="24"/>
  <c r="DT201" i="4"/>
  <c r="DC150" i="4"/>
  <c r="DF82" i="24"/>
  <c r="DL203" i="4"/>
  <c r="BY193" i="4"/>
  <c r="BN209" i="4"/>
  <c r="X210" i="4"/>
  <c r="L81" i="24"/>
  <c r="DM82" i="4"/>
  <c r="O78" i="24"/>
  <c r="DP85" i="4"/>
  <c r="T133" i="7"/>
  <c r="X193" i="7"/>
  <c r="CE77" i="24"/>
  <c r="DQ171" i="4"/>
  <c r="FC171" i="7"/>
  <c r="FI171" i="7"/>
  <c r="FB171" i="7"/>
  <c r="FA171" i="7"/>
  <c r="EZ171" i="7"/>
  <c r="AD171" i="7" s="1"/>
  <c r="EY171" i="7"/>
  <c r="FJ171" i="7"/>
  <c r="AN171" i="7" s="1"/>
  <c r="FH171" i="7"/>
  <c r="AL171" i="7" s="1"/>
  <c r="AB171" i="7" s="1"/>
  <c r="FD171" i="7"/>
  <c r="FG171" i="7"/>
  <c r="FF171" i="7"/>
  <c r="AJ171" i="7" s="1"/>
  <c r="FE171" i="7"/>
  <c r="BP209" i="4"/>
  <c r="Z210" i="4"/>
  <c r="BS82" i="24"/>
  <c r="DL154" i="4"/>
  <c r="ER43" i="7"/>
  <c r="ER47" i="7" s="1"/>
  <c r="E258" i="23"/>
  <c r="D258" i="23" s="1"/>
  <c r="DD90" i="4"/>
  <c r="DL78" i="24"/>
  <c r="DP211" i="4"/>
  <c r="CX193" i="4"/>
  <c r="DT40" i="4"/>
  <c r="Z220" i="4"/>
  <c r="BP219" i="4"/>
  <c r="EM156" i="7"/>
  <c r="CS82" i="24"/>
  <c r="DL189" i="4"/>
  <c r="BQ137" i="4"/>
  <c r="O137" i="4"/>
  <c r="EO150" i="4"/>
  <c r="W158" i="4"/>
  <c r="BM157" i="4"/>
  <c r="DB104" i="4"/>
  <c r="CN84" i="24"/>
  <c r="DJ183" i="4"/>
  <c r="DJ182" i="7"/>
  <c r="Q197" i="4"/>
  <c r="Q197" i="1" s="1"/>
  <c r="BB78" i="24"/>
  <c r="DP134" i="4"/>
  <c r="DP133" i="7"/>
  <c r="DA209" i="4"/>
  <c r="AH77" i="24"/>
  <c r="DQ109" i="4"/>
  <c r="FC109" i="7"/>
  <c r="FA109" i="7"/>
  <c r="EY109" i="7"/>
  <c r="FJ109" i="7"/>
  <c r="FI109" i="7"/>
  <c r="FB109" i="7"/>
  <c r="EZ109" i="7"/>
  <c r="FG109" i="7"/>
  <c r="EX109" i="7" s="1"/>
  <c r="FE109" i="7"/>
  <c r="FD109" i="7"/>
  <c r="FH109" i="7"/>
  <c r="AL109" i="7" s="1"/>
  <c r="AB109" i="7" s="1"/>
  <c r="FF109" i="7"/>
  <c r="AJ109" i="7" s="1"/>
  <c r="ET172" i="4"/>
  <c r="CL83" i="24"/>
  <c r="DK180" i="4"/>
  <c r="CX81" i="24"/>
  <c r="DM195" i="4"/>
  <c r="BF57" i="4"/>
  <c r="P55" i="4"/>
  <c r="X90" i="7"/>
  <c r="AR79" i="24"/>
  <c r="DO122" i="4"/>
  <c r="BQ122" i="4"/>
  <c r="O122" i="4"/>
  <c r="AJ93" i="7"/>
  <c r="U153" i="4"/>
  <c r="U153" i="1" s="1"/>
  <c r="DP244" i="4"/>
  <c r="DC90" i="4"/>
  <c r="EW226" i="4"/>
  <c r="BU76" i="24"/>
  <c r="DR159" i="4"/>
  <c r="S197" i="4"/>
  <c r="S197" i="1" s="1"/>
  <c r="V86" i="4"/>
  <c r="V86" i="1" s="1"/>
  <c r="EP90" i="4"/>
  <c r="FD64" i="4"/>
  <c r="AH64" i="4" s="1"/>
  <c r="AH64" i="1" s="1"/>
  <c r="AH64" i="7"/>
  <c r="Y187" i="7"/>
  <c r="DQ46" i="4"/>
  <c r="AA154" i="7"/>
  <c r="EQ214" i="4"/>
  <c r="BA83" i="24"/>
  <c r="DK132" i="4"/>
  <c r="U80" i="24"/>
  <c r="DN94" i="4"/>
  <c r="AA35" i="7"/>
  <c r="CH82" i="24"/>
  <c r="DL175" i="4"/>
  <c r="T141" i="4"/>
  <c r="T141" i="1" s="1"/>
  <c r="Z213" i="4"/>
  <c r="Z213" i="1" s="1"/>
  <c r="AV81" i="24"/>
  <c r="DM126" i="4"/>
  <c r="O186" i="4"/>
  <c r="BQ186" i="4"/>
  <c r="BQ204" i="4"/>
  <c r="O204" i="4"/>
  <c r="AQ84" i="24"/>
  <c r="DJ121" i="4"/>
  <c r="BX78" i="24"/>
  <c r="DP162" i="4"/>
  <c r="EV205" i="4"/>
  <c r="CC146" i="4"/>
  <c r="DE150" i="4"/>
  <c r="Q162" i="4"/>
  <c r="Q162" i="1" s="1"/>
  <c r="CY81" i="24"/>
  <c r="DM196" i="4"/>
  <c r="AA94" i="7"/>
  <c r="AA144" i="7"/>
  <c r="DG104" i="7"/>
  <c r="Z177" i="4"/>
  <c r="Z177" i="1" s="1"/>
  <c r="EW82" i="4"/>
  <c r="AP74" i="24"/>
  <c r="DT120" i="4"/>
  <c r="EM138" i="4"/>
  <c r="BU187" i="4"/>
  <c r="AM76" i="24"/>
  <c r="DR117" i="4"/>
  <c r="DR116" i="7"/>
  <c r="DH116" i="7" s="1"/>
  <c r="BU116" i="4"/>
  <c r="O229" i="4"/>
  <c r="BQ229" i="4"/>
  <c r="Q188" i="4"/>
  <c r="BG187" i="4"/>
  <c r="DJ80" i="24"/>
  <c r="DN208" i="4"/>
  <c r="BQ130" i="4"/>
  <c r="BE129" i="4"/>
  <c r="O130" i="4"/>
  <c r="Z84" i="24"/>
  <c r="DJ99" i="4"/>
  <c r="U98" i="4"/>
  <c r="U98" i="1" s="1"/>
  <c r="CD82" i="24"/>
  <c r="DL170" i="4"/>
  <c r="Z190" i="4"/>
  <c r="Z190" i="1" s="1"/>
  <c r="BV76" i="4"/>
  <c r="CE142" i="4"/>
  <c r="Q208" i="4"/>
  <c r="Q208" i="1" s="1"/>
  <c r="AZ85" i="24"/>
  <c r="DU131" i="7"/>
  <c r="DI131" i="4"/>
  <c r="FC131" i="7"/>
  <c r="FJ131" i="7"/>
  <c r="AN131" i="7" s="1"/>
  <c r="FI131" i="7"/>
  <c r="AM131" i="7" s="1"/>
  <c r="FB131" i="7"/>
  <c r="FA131" i="7"/>
  <c r="EZ131" i="7"/>
  <c r="AD131" i="7" s="1"/>
  <c r="EY131" i="7"/>
  <c r="AC131" i="7" s="1"/>
  <c r="FG131" i="7"/>
  <c r="FE131" i="7"/>
  <c r="FH131" i="7"/>
  <c r="FF131" i="7"/>
  <c r="FD131" i="7"/>
  <c r="CU78" i="24"/>
  <c r="DP191" i="4"/>
  <c r="O84" i="4"/>
  <c r="BQ84" i="4"/>
  <c r="AG84" i="24"/>
  <c r="DJ108" i="4"/>
  <c r="DF182" i="4"/>
  <c r="BG84" i="24"/>
  <c r="DJ140" i="4"/>
  <c r="BT172" i="4"/>
  <c r="CE213" i="4"/>
  <c r="CU193" i="4"/>
  <c r="DG194" i="4"/>
  <c r="V134" i="4"/>
  <c r="BL133" i="4"/>
  <c r="J77" i="24"/>
  <c r="DQ80" i="4"/>
  <c r="O221" i="4"/>
  <c r="BQ221" i="4"/>
  <c r="H74" i="24"/>
  <c r="DT78" i="4"/>
  <c r="ER116" i="4"/>
  <c r="EV70" i="4"/>
  <c r="BQ125" i="4"/>
  <c r="O125" i="4"/>
  <c r="W79" i="24"/>
  <c r="DO96" i="4"/>
  <c r="DJ41" i="4"/>
  <c r="Y191" i="4"/>
  <c r="Y191" i="1" s="1"/>
  <c r="AL76" i="24"/>
  <c r="DR113" i="4"/>
  <c r="DE43" i="7"/>
  <c r="DE47" i="7" s="1"/>
  <c r="E219" i="23"/>
  <c r="D219" i="23" s="1"/>
  <c r="Z81" i="24"/>
  <c r="DM99" i="4"/>
  <c r="BV77" i="24"/>
  <c r="DQ160" i="4"/>
  <c r="CK77" i="24"/>
  <c r="DQ179" i="4"/>
  <c r="DQ178" i="7"/>
  <c r="EK164" i="4"/>
  <c r="EW165" i="4"/>
  <c r="V24" i="4"/>
  <c r="BL27" i="4"/>
  <c r="BS164" i="4"/>
  <c r="CE165" i="4"/>
  <c r="DU152" i="7"/>
  <c r="BQ85" i="24"/>
  <c r="DI152" i="4"/>
  <c r="FC152" i="7"/>
  <c r="FA152" i="7"/>
  <c r="FJ152" i="7"/>
  <c r="FI152" i="7"/>
  <c r="FB152" i="7"/>
  <c r="EZ152" i="7"/>
  <c r="EY152" i="7"/>
  <c r="AC152" i="7" s="1"/>
  <c r="FH152" i="7"/>
  <c r="AL152" i="7" s="1"/>
  <c r="AB152" i="7" s="1"/>
  <c r="FF152" i="7"/>
  <c r="AJ152" i="7" s="1"/>
  <c r="FE152" i="7"/>
  <c r="FG152" i="7"/>
  <c r="EX152" i="7" s="1"/>
  <c r="FD152" i="7"/>
  <c r="AH152" i="7" s="1"/>
  <c r="V83" i="24"/>
  <c r="DK95" i="4"/>
  <c r="DN34" i="4"/>
  <c r="AY75" i="24"/>
  <c r="DS130" i="4"/>
  <c r="DS129" i="7"/>
  <c r="BV129" i="4"/>
  <c r="AS77" i="24"/>
  <c r="DQ123" i="4"/>
  <c r="AN81" i="24"/>
  <c r="DM118" i="4"/>
  <c r="AA245" i="7"/>
  <c r="AT77" i="24"/>
  <c r="DQ124" i="4"/>
  <c r="DB84" i="24"/>
  <c r="DJ199" i="4"/>
  <c r="CV58" i="7"/>
  <c r="BZ133" i="4"/>
  <c r="P209" i="7"/>
  <c r="DU143" i="7"/>
  <c r="BJ85" i="24"/>
  <c r="DI143" i="4"/>
  <c r="BJ193" i="4"/>
  <c r="T194" i="4"/>
  <c r="CG74" i="24"/>
  <c r="DT174" i="4"/>
  <c r="EW174" i="4"/>
  <c r="M84" i="24"/>
  <c r="DJ83" i="4"/>
  <c r="BO104" i="4"/>
  <c r="Y105" i="4"/>
  <c r="DD77" i="24"/>
  <c r="DQ201" i="4"/>
  <c r="DG121" i="4"/>
  <c r="E261" i="23"/>
  <c r="D261" i="23" s="1"/>
  <c r="EO43" i="7"/>
  <c r="EO47" i="7" s="1"/>
  <c r="BQ77" i="4"/>
  <c r="BE76" i="4"/>
  <c r="O77" i="4"/>
  <c r="X209" i="7"/>
  <c r="O77" i="24"/>
  <c r="DQ85" i="4"/>
  <c r="FC85" i="7"/>
  <c r="AG85" i="7" s="1"/>
  <c r="EZ85" i="7"/>
  <c r="FJ85" i="7"/>
  <c r="FB85" i="7"/>
  <c r="FA85" i="7"/>
  <c r="EY85" i="7"/>
  <c r="FI85" i="7"/>
  <c r="FH85" i="7"/>
  <c r="FF85" i="7"/>
  <c r="FE85" i="7"/>
  <c r="FG85" i="7"/>
  <c r="EX85" i="7" s="1"/>
  <c r="FD85" i="7"/>
  <c r="CE98" i="4"/>
  <c r="BS133" i="4"/>
  <c r="CE134" i="4"/>
  <c r="CE75" i="24"/>
  <c r="DS171" i="4"/>
  <c r="X118" i="4"/>
  <c r="X118" i="1" s="1"/>
  <c r="BS79" i="24"/>
  <c r="DO154" i="4"/>
  <c r="BJ214" i="4"/>
  <c r="T215" i="4"/>
  <c r="CO84" i="24"/>
  <c r="DJ184" i="4"/>
  <c r="DG31" i="4"/>
  <c r="CU29" i="4"/>
  <c r="EV138" i="4"/>
  <c r="BR82" i="24"/>
  <c r="DL153" i="4"/>
  <c r="CZ75" i="7"/>
  <c r="AU82" i="24"/>
  <c r="DL125" i="4"/>
  <c r="DR40" i="4"/>
  <c r="W159" i="4"/>
  <c r="CS81" i="24"/>
  <c r="DM189" i="4"/>
  <c r="AA137" i="7"/>
  <c r="CB187" i="4"/>
  <c r="CN83" i="24"/>
  <c r="DK183" i="4"/>
  <c r="DK182" i="7"/>
  <c r="BY76" i="4"/>
  <c r="DU134" i="7"/>
  <c r="BB85" i="24"/>
  <c r="DI134" i="4"/>
  <c r="DI133" i="7"/>
  <c r="FC134" i="7"/>
  <c r="FJ134" i="7"/>
  <c r="FI134" i="7"/>
  <c r="FB134" i="7"/>
  <c r="FA134" i="7"/>
  <c r="EZ134" i="7"/>
  <c r="AD134" i="7" s="1"/>
  <c r="EY134" i="7"/>
  <c r="FE134" i="7"/>
  <c r="FH134" i="7"/>
  <c r="AL134" i="7" s="1"/>
  <c r="AB134" i="7" s="1"/>
  <c r="FD134" i="7"/>
  <c r="AH134" i="7" s="1"/>
  <c r="FG134" i="7"/>
  <c r="EX134" i="7" s="1"/>
  <c r="FF134" i="7"/>
  <c r="V212" i="4"/>
  <c r="V212" i="1" s="1"/>
  <c r="EW208" i="4"/>
  <c r="BZ241" i="4"/>
  <c r="AH74" i="24"/>
  <c r="DT109" i="4"/>
  <c r="O184" i="4"/>
  <c r="BQ184" i="4"/>
  <c r="P225" i="4"/>
  <c r="P225" i="1" s="1"/>
  <c r="DE77" i="24"/>
  <c r="DQ202" i="4"/>
  <c r="CZ193" i="4"/>
  <c r="BQ189" i="4"/>
  <c r="O189" i="4"/>
  <c r="DS244" i="4"/>
  <c r="DD70" i="7"/>
  <c r="W77" i="24"/>
  <c r="DQ96" i="4"/>
  <c r="S96" i="4"/>
  <c r="S96" i="1" s="1"/>
  <c r="BX146" i="4"/>
  <c r="Y122" i="4"/>
  <c r="Y122" i="1" s="1"/>
  <c r="FG64" i="4"/>
  <c r="AK64" i="7"/>
  <c r="BF219" i="4"/>
  <c r="P220" i="4"/>
  <c r="DG84" i="4"/>
  <c r="DQ41" i="4"/>
  <c r="BX129" i="4"/>
  <c r="AM62" i="4"/>
  <c r="AM62" i="1" s="1"/>
  <c r="CC60" i="4"/>
  <c r="DJ46" i="4"/>
  <c r="CE203" i="4"/>
  <c r="U78" i="24"/>
  <c r="DP94" i="4"/>
  <c r="T139" i="4"/>
  <c r="BJ138" i="4"/>
  <c r="CH81" i="24"/>
  <c r="DM175" i="4"/>
  <c r="DW82" i="24"/>
  <c r="DL228" i="4"/>
  <c r="AF228" i="4" s="1"/>
  <c r="DL227" i="7"/>
  <c r="BO227" i="4"/>
  <c r="Y228" i="4"/>
  <c r="CB133" i="4"/>
  <c r="AV80" i="24"/>
  <c r="DN126" i="4"/>
  <c r="ER227" i="4"/>
  <c r="BX76" i="24"/>
  <c r="DR162" i="4"/>
  <c r="FC162" i="7"/>
  <c r="EY162" i="7"/>
  <c r="AC162" i="7" s="1"/>
  <c r="FJ162" i="7"/>
  <c r="AN162" i="7" s="1"/>
  <c r="FB162" i="7"/>
  <c r="FA162" i="7"/>
  <c r="EZ162" i="7"/>
  <c r="AD162" i="7" s="1"/>
  <c r="FI162" i="7"/>
  <c r="AM162" i="7" s="1"/>
  <c r="FH162" i="7"/>
  <c r="AL162" i="7" s="1"/>
  <c r="AB162" i="7" s="1"/>
  <c r="FF162" i="7"/>
  <c r="AJ162" i="7" s="1"/>
  <c r="FE162" i="7"/>
  <c r="FG162" i="7"/>
  <c r="EX162" i="7" s="1"/>
  <c r="FD162" i="7"/>
  <c r="BY214" i="4"/>
  <c r="AK84" i="24"/>
  <c r="DJ112" i="4"/>
  <c r="AF79" i="24"/>
  <c r="DO107" i="4"/>
  <c r="AJ83" i="24"/>
  <c r="DK111" i="4"/>
  <c r="O39" i="4"/>
  <c r="BQ39" i="4"/>
  <c r="BE38" i="4"/>
  <c r="Z124" i="4"/>
  <c r="Z124" i="1" s="1"/>
  <c r="AA91" i="7"/>
  <c r="O90" i="7"/>
  <c r="DG226" i="4"/>
  <c r="AA140" i="7"/>
  <c r="DE223" i="4"/>
  <c r="CY79" i="24"/>
  <c r="DO196" i="4"/>
  <c r="CP83" i="24"/>
  <c r="DK185" i="4"/>
  <c r="AP75" i="24"/>
  <c r="DS120" i="4"/>
  <c r="EL214" i="4"/>
  <c r="CR76" i="24"/>
  <c r="DR188" i="4"/>
  <c r="DR187" i="7"/>
  <c r="DH187" i="7" s="1"/>
  <c r="AM75" i="24"/>
  <c r="DS117" i="4"/>
  <c r="DS116" i="7"/>
  <c r="BU115" i="7"/>
  <c r="DJ78" i="24"/>
  <c r="DP208" i="4"/>
  <c r="O129" i="7"/>
  <c r="AA130" i="7"/>
  <c r="CE82" i="4"/>
  <c r="CA76" i="24"/>
  <c r="DR167" i="4"/>
  <c r="AI79" i="24"/>
  <c r="DO110" i="4"/>
  <c r="R110" i="4"/>
  <c r="R110" i="1" s="1"/>
  <c r="DD76" i="4"/>
  <c r="BW214" i="4"/>
  <c r="CA187" i="4"/>
  <c r="CB223" i="4"/>
  <c r="BN156" i="7"/>
  <c r="BR156" i="7" s="1"/>
  <c r="DJ45" i="4"/>
  <c r="CZ6" i="4"/>
  <c r="DU191" i="7"/>
  <c r="CU85" i="24"/>
  <c r="DI191" i="4"/>
  <c r="FC191" i="7"/>
  <c r="EZ191" i="7"/>
  <c r="EY191" i="7"/>
  <c r="FJ191" i="7"/>
  <c r="FI191" i="7"/>
  <c r="AM191" i="7" s="1"/>
  <c r="FB191" i="7"/>
  <c r="FA191" i="7"/>
  <c r="FH191" i="7"/>
  <c r="AL191" i="7" s="1"/>
  <c r="AB191" i="7" s="1"/>
  <c r="FF191" i="7"/>
  <c r="FD191" i="7"/>
  <c r="FG191" i="7"/>
  <c r="FE191" i="7"/>
  <c r="AA84" i="7"/>
  <c r="S208" i="4"/>
  <c r="S208" i="1" s="1"/>
  <c r="DN242" i="4"/>
  <c r="DN241" i="7"/>
  <c r="EB80" i="24" s="1"/>
  <c r="O96" i="4"/>
  <c r="BQ96" i="4"/>
  <c r="CA205" i="4"/>
  <c r="BY104" i="4"/>
  <c r="EW86" i="4"/>
  <c r="CB81" i="24"/>
  <c r="DM168" i="4"/>
  <c r="G78" i="24"/>
  <c r="DP77" i="4"/>
  <c r="DP76" i="7"/>
  <c r="EP75" i="7"/>
  <c r="AY74" i="24"/>
  <c r="DT129" i="7"/>
  <c r="DT130" i="4"/>
  <c r="Q228" i="4"/>
  <c r="BG227" i="4"/>
  <c r="AN80" i="24"/>
  <c r="DN118" i="4"/>
  <c r="EW169" i="4"/>
  <c r="BI205" i="4"/>
  <c r="S206" i="4"/>
  <c r="AT76" i="24"/>
  <c r="DR124" i="4"/>
  <c r="EU90" i="4"/>
  <c r="DB83" i="24"/>
  <c r="DK199" i="4"/>
  <c r="EV164" i="4"/>
  <c r="BQ177" i="4"/>
  <c r="O177" i="4"/>
  <c r="BM178" i="4"/>
  <c r="W179" i="4"/>
  <c r="AH181" i="7"/>
  <c r="CA104" i="4"/>
  <c r="DD164" i="4"/>
  <c r="T193" i="7"/>
  <c r="CG75" i="24"/>
  <c r="DS174" i="4"/>
  <c r="BG54" i="4"/>
  <c r="Q51" i="4"/>
  <c r="DU80" i="7"/>
  <c r="J85" i="24"/>
  <c r="DI80" i="4"/>
  <c r="FC80" i="7"/>
  <c r="FJ80" i="7"/>
  <c r="AN80" i="7" s="1"/>
  <c r="FI80" i="7"/>
  <c r="FB80" i="7"/>
  <c r="AF80" i="7" s="1"/>
  <c r="FA80" i="7"/>
  <c r="AE80" i="7" s="1"/>
  <c r="EZ80" i="7"/>
  <c r="AD80" i="7" s="1"/>
  <c r="EY80" i="7"/>
  <c r="FG80" i="7"/>
  <c r="EX80" i="7" s="1"/>
  <c r="FF80" i="7"/>
  <c r="FH80" i="7"/>
  <c r="AL80" i="7" s="1"/>
  <c r="AB80" i="7" s="1"/>
  <c r="FE80" i="7"/>
  <c r="FD80" i="7"/>
  <c r="Y104" i="7"/>
  <c r="V165" i="4"/>
  <c r="BL164" i="4"/>
  <c r="DU201" i="7"/>
  <c r="DD85" i="24"/>
  <c r="DI201" i="4"/>
  <c r="CY146" i="4"/>
  <c r="AA77" i="7"/>
  <c r="O76" i="7"/>
  <c r="EW83" i="4"/>
  <c r="O76" i="24"/>
  <c r="DR85" i="4"/>
  <c r="CE74" i="24"/>
  <c r="DT171" i="4"/>
  <c r="Y195" i="4"/>
  <c r="Y195" i="1" s="1"/>
  <c r="Y162" i="4"/>
  <c r="Y162" i="1" s="1"/>
  <c r="BS84" i="24"/>
  <c r="DJ154" i="4"/>
  <c r="CO83" i="24"/>
  <c r="DK184" i="4"/>
  <c r="E229" i="23"/>
  <c r="D229" i="23" s="1"/>
  <c r="CU43" i="7"/>
  <c r="CU47" i="7" s="1"/>
  <c r="DL77" i="24"/>
  <c r="DQ211" i="4"/>
  <c r="BQ202" i="4"/>
  <c r="O202" i="4"/>
  <c r="Q226" i="4"/>
  <c r="Q226" i="1" s="1"/>
  <c r="T203" i="4"/>
  <c r="T203" i="1" s="1"/>
  <c r="V92" i="4"/>
  <c r="V92" i="1" s="1"/>
  <c r="V93" i="4"/>
  <c r="V93" i="1" s="1"/>
  <c r="S116" i="7"/>
  <c r="BR80" i="24"/>
  <c r="DN153" i="4"/>
  <c r="ET164" i="4"/>
  <c r="AU79" i="24"/>
  <c r="DO125" i="4"/>
  <c r="AG62" i="4"/>
  <c r="AG62" i="1" s="1"/>
  <c r="BW60" i="4"/>
  <c r="DL40" i="4"/>
  <c r="Q117" i="4"/>
  <c r="BG116" i="4"/>
  <c r="CS79" i="24"/>
  <c r="DO189" i="4"/>
  <c r="CA129" i="4"/>
  <c r="DH85" i="24"/>
  <c r="DU206" i="7"/>
  <c r="DI206" i="4"/>
  <c r="DI205" i="7"/>
  <c r="FC206" i="7"/>
  <c r="EZ206" i="7"/>
  <c r="AD206" i="7" s="1"/>
  <c r="FI206" i="7"/>
  <c r="FB206" i="7"/>
  <c r="FA206" i="7"/>
  <c r="EY206" i="7"/>
  <c r="FJ206" i="7"/>
  <c r="AN206" i="7" s="1"/>
  <c r="FH206" i="7"/>
  <c r="AL206" i="7" s="1"/>
  <c r="AB206" i="7" s="1"/>
  <c r="FF206" i="7"/>
  <c r="FE206" i="7"/>
  <c r="FG206" i="7"/>
  <c r="EX206" i="7" s="1"/>
  <c r="FD206" i="7"/>
  <c r="BS70" i="7"/>
  <c r="E73" i="24"/>
  <c r="D73" i="24" s="1"/>
  <c r="BS43" i="7"/>
  <c r="BS47" i="7" s="1"/>
  <c r="BS71" i="7" s="1"/>
  <c r="P118" i="4"/>
  <c r="P118" i="1" s="1"/>
  <c r="R38" i="7"/>
  <c r="Q110" i="4"/>
  <c r="Q110" i="1" s="1"/>
  <c r="BB75" i="24"/>
  <c r="DS133" i="7"/>
  <c r="DS134" i="4"/>
  <c r="BF150" i="4"/>
  <c r="P151" i="4"/>
  <c r="Q140" i="4"/>
  <c r="Q140" i="1" s="1"/>
  <c r="DU142" i="7"/>
  <c r="BI85" i="24"/>
  <c r="DI142" i="4"/>
  <c r="FC142" i="7"/>
  <c r="FJ142" i="7"/>
  <c r="FB142" i="7"/>
  <c r="FA142" i="7"/>
  <c r="AE142" i="7" s="1"/>
  <c r="EZ142" i="7"/>
  <c r="AD142" i="7" s="1"/>
  <c r="EY142" i="7"/>
  <c r="FI142" i="7"/>
  <c r="FF142" i="7"/>
  <c r="FD142" i="7"/>
  <c r="FH142" i="7"/>
  <c r="FE142" i="7"/>
  <c r="FG142" i="7"/>
  <c r="EX142" i="7" s="1"/>
  <c r="CW6" i="4"/>
  <c r="BJ241" i="4"/>
  <c r="T242" i="4"/>
  <c r="DU109" i="7"/>
  <c r="AH85" i="24"/>
  <c r="DI109" i="4"/>
  <c r="X74" i="24"/>
  <c r="DT97" i="4"/>
  <c r="CZ146" i="4"/>
  <c r="U207" i="4"/>
  <c r="U207" i="1" s="1"/>
  <c r="AA184" i="7"/>
  <c r="BJ29" i="4"/>
  <c r="T31" i="4"/>
  <c r="AE77" i="24"/>
  <c r="DQ106" i="4"/>
  <c r="CC104" i="4"/>
  <c r="BY77" i="24"/>
  <c r="DQ164" i="7"/>
  <c r="DQ165" i="4"/>
  <c r="DE76" i="24"/>
  <c r="DR202" i="4"/>
  <c r="R113" i="4"/>
  <c r="R113" i="1" s="1"/>
  <c r="O174" i="4"/>
  <c r="BQ174" i="4"/>
  <c r="EW158" i="4"/>
  <c r="EK157" i="4"/>
  <c r="AA189" i="7"/>
  <c r="DC223" i="4"/>
  <c r="ET218" i="7"/>
  <c r="DG128" i="4"/>
  <c r="Z153" i="4"/>
  <c r="Z153" i="1" s="1"/>
  <c r="W76" i="24"/>
  <c r="DR96" i="4"/>
  <c r="FH64" i="4"/>
  <c r="AL64" i="4" s="1"/>
  <c r="AL64" i="1" s="1"/>
  <c r="AL64" i="7"/>
  <c r="AB64" i="7" s="1"/>
  <c r="P219" i="7"/>
  <c r="DR41" i="4"/>
  <c r="X98" i="4"/>
  <c r="X98" i="1" s="1"/>
  <c r="DK46" i="4"/>
  <c r="BK13" i="4"/>
  <c r="BK6" i="4" s="1"/>
  <c r="U14" i="4"/>
  <c r="CE196" i="4"/>
  <c r="U76" i="24"/>
  <c r="DR94" i="4"/>
  <c r="FC94" i="7"/>
  <c r="AG94" i="7" s="1"/>
  <c r="FA94" i="7"/>
  <c r="EZ94" i="7"/>
  <c r="FJ94" i="7"/>
  <c r="FI94" i="7"/>
  <c r="FB94" i="7"/>
  <c r="EY94" i="7"/>
  <c r="FH94" i="7"/>
  <c r="FF94" i="7"/>
  <c r="FE94" i="7"/>
  <c r="FD94" i="7"/>
  <c r="AH94" i="7" s="1"/>
  <c r="FG94" i="7"/>
  <c r="EX94" i="7" s="1"/>
  <c r="DW81" i="24"/>
  <c r="DM228" i="4"/>
  <c r="AG228" i="4" s="1"/>
  <c r="DM227" i="7"/>
  <c r="AG228" i="7"/>
  <c r="AG227" i="7" s="1"/>
  <c r="AV79" i="24"/>
  <c r="DO126" i="4"/>
  <c r="Y152" i="4"/>
  <c r="Y152" i="1" s="1"/>
  <c r="BX75" i="24"/>
  <c r="DS162" i="4"/>
  <c r="T91" i="4"/>
  <c r="BJ90" i="4"/>
  <c r="DO39" i="4"/>
  <c r="DO38" i="7"/>
  <c r="F79" i="24" s="1"/>
  <c r="O38" i="7"/>
  <c r="AA39" i="7"/>
  <c r="BQ90" i="7"/>
  <c r="V194" i="4"/>
  <c r="BL193" i="4"/>
  <c r="X136" i="4"/>
  <c r="X136" i="1" s="1"/>
  <c r="CY82" i="24"/>
  <c r="DL196" i="4"/>
  <c r="CE32" i="4"/>
  <c r="DE116" i="4"/>
  <c r="CC182" i="4"/>
  <c r="CR75" i="24"/>
  <c r="DS188" i="4"/>
  <c r="DS187" i="7"/>
  <c r="AM74" i="24"/>
  <c r="DT117" i="4"/>
  <c r="DT116" i="7"/>
  <c r="DU208" i="7"/>
  <c r="DJ85" i="24"/>
  <c r="DI208" i="4"/>
  <c r="FC208" i="7"/>
  <c r="AG208" i="7" s="1"/>
  <c r="EY208" i="7"/>
  <c r="FJ208" i="7"/>
  <c r="FB208" i="7"/>
  <c r="FA208" i="7"/>
  <c r="AE208" i="7" s="1"/>
  <c r="EZ208" i="7"/>
  <c r="FI208" i="7"/>
  <c r="FH208" i="7"/>
  <c r="FG208" i="7"/>
  <c r="EX208" i="7" s="1"/>
  <c r="FF208" i="7"/>
  <c r="FD208" i="7"/>
  <c r="FE208" i="7"/>
  <c r="AI208" i="7" s="1"/>
  <c r="CD78" i="24"/>
  <c r="DP170" i="4"/>
  <c r="Z174" i="4"/>
  <c r="Z174" i="1" s="1"/>
  <c r="BO54" i="4"/>
  <c r="Y51" i="4"/>
  <c r="CU115" i="7"/>
  <c r="EW187" i="7"/>
  <c r="CA77" i="24"/>
  <c r="DQ167" i="4"/>
  <c r="AI83" i="24"/>
  <c r="DK110" i="4"/>
  <c r="DD75" i="7"/>
  <c r="AZ77" i="24"/>
  <c r="DQ131" i="4"/>
  <c r="BQ99" i="4"/>
  <c r="O99" i="4"/>
  <c r="CK83" i="24"/>
  <c r="DK179" i="4"/>
  <c r="DK178" i="7"/>
  <c r="BO178" i="4"/>
  <c r="Y179" i="4"/>
  <c r="EW60" i="7"/>
  <c r="R13" i="7"/>
  <c r="R6" i="7" s="1"/>
  <c r="DU213" i="7"/>
  <c r="DN85" i="24"/>
  <c r="DI213" i="4"/>
  <c r="FC213" i="7"/>
  <c r="EY213" i="7"/>
  <c r="FI213" i="7"/>
  <c r="FB213" i="7"/>
  <c r="FA213" i="7"/>
  <c r="EZ213" i="7"/>
  <c r="AD213" i="7" s="1"/>
  <c r="FJ213" i="7"/>
  <c r="AN213" i="7" s="1"/>
  <c r="FH213" i="7"/>
  <c r="AL213" i="7" s="1"/>
  <c r="AB213" i="7" s="1"/>
  <c r="FF213" i="7"/>
  <c r="FE213" i="7"/>
  <c r="FG213" i="7"/>
  <c r="EX213" i="7" s="1"/>
  <c r="FD213" i="7"/>
  <c r="CU77" i="24"/>
  <c r="DQ191" i="4"/>
  <c r="BV241" i="4"/>
  <c r="U147" i="4"/>
  <c r="BK146" i="4"/>
  <c r="R81" i="24"/>
  <c r="DM91" i="4"/>
  <c r="DM90" i="7"/>
  <c r="DQ242" i="4"/>
  <c r="DQ241" i="7"/>
  <c r="EB77" i="24" s="1"/>
  <c r="FA242" i="7"/>
  <c r="FI242" i="7"/>
  <c r="FF242" i="7"/>
  <c r="EZ242" i="7"/>
  <c r="EY242" i="7"/>
  <c r="FJ242" i="7"/>
  <c r="FH242" i="7"/>
  <c r="FG242" i="7"/>
  <c r="FD242" i="7"/>
  <c r="AH242" i="7" s="1"/>
  <c r="FB242" i="7"/>
  <c r="FC242" i="7"/>
  <c r="FE242" i="7"/>
  <c r="DB209" i="4"/>
  <c r="DH75" i="24"/>
  <c r="DS205" i="7"/>
  <c r="DS206" i="4"/>
  <c r="AX75" i="24"/>
  <c r="DS128" i="4"/>
  <c r="U140" i="4"/>
  <c r="U140" i="1" s="1"/>
  <c r="CZ223" i="4"/>
  <c r="U189" i="4"/>
  <c r="U189" i="1" s="1"/>
  <c r="P109" i="4"/>
  <c r="P109" i="1" s="1"/>
  <c r="CN77" i="24"/>
  <c r="DQ183" i="4"/>
  <c r="DQ182" i="7"/>
  <c r="W224" i="4"/>
  <c r="BM223" i="4"/>
  <c r="CE205" i="7"/>
  <c r="EW55" i="4"/>
  <c r="EW57" i="4" s="1"/>
  <c r="EK57" i="4"/>
  <c r="CE107" i="4"/>
  <c r="AA196" i="7"/>
  <c r="BM78" i="24"/>
  <c r="DP147" i="4"/>
  <c r="DP146" i="7"/>
  <c r="BT138" i="4"/>
  <c r="DU207" i="7"/>
  <c r="DI85" i="24"/>
  <c r="DI207" i="4"/>
  <c r="FC207" i="7"/>
  <c r="EZ207" i="7"/>
  <c r="EY207" i="7"/>
  <c r="FI207" i="7"/>
  <c r="FB207" i="7"/>
  <c r="FA207" i="7"/>
  <c r="FJ207" i="7"/>
  <c r="FH207" i="7"/>
  <c r="FD207" i="7"/>
  <c r="AH207" i="7" s="1"/>
  <c r="FG207" i="7"/>
  <c r="EX207" i="7" s="1"/>
  <c r="FF207" i="7"/>
  <c r="AJ207" i="7" s="1"/>
  <c r="FE207" i="7"/>
  <c r="AI207" i="7" s="1"/>
  <c r="BI74" i="24"/>
  <c r="DT142" i="4"/>
  <c r="W242" i="4"/>
  <c r="BM241" i="4"/>
  <c r="T149" i="4"/>
  <c r="T149" i="1" s="1"/>
  <c r="S119" i="4"/>
  <c r="S119" i="1" s="1"/>
  <c r="CL79" i="24"/>
  <c r="DO180" i="4"/>
  <c r="CX79" i="24"/>
  <c r="DO195" i="4"/>
  <c r="X80" i="24"/>
  <c r="DN97" i="4"/>
  <c r="AA121" i="7"/>
  <c r="CC138" i="4"/>
  <c r="AE84" i="24"/>
  <c r="DJ106" i="4"/>
  <c r="BW178" i="4"/>
  <c r="AR84" i="24"/>
  <c r="DJ122" i="4"/>
  <c r="BS187" i="4"/>
  <c r="CE188" i="4"/>
  <c r="DT74" i="24"/>
  <c r="DT224" i="4"/>
  <c r="DT223" i="7"/>
  <c r="Z223" i="7"/>
  <c r="BX157" i="4"/>
  <c r="O178" i="7"/>
  <c r="AA179" i="7"/>
  <c r="DF58" i="4"/>
  <c r="BT82" i="24"/>
  <c r="DL157" i="7"/>
  <c r="DL158" i="4"/>
  <c r="R105" i="4"/>
  <c r="BH104" i="4"/>
  <c r="Y242" i="4"/>
  <c r="BO241" i="4"/>
  <c r="DV80" i="24"/>
  <c r="DN226" i="4"/>
  <c r="Q60" i="7"/>
  <c r="Z100" i="4"/>
  <c r="Z100" i="1" s="1"/>
  <c r="BL146" i="4"/>
  <c r="V147" i="4"/>
  <c r="BW90" i="4"/>
  <c r="Q106" i="4"/>
  <c r="Q106" i="1" s="1"/>
  <c r="S112" i="4"/>
  <c r="S112" i="1" s="1"/>
  <c r="FI63" i="4"/>
  <c r="AM63" i="4" s="1"/>
  <c r="AM63" i="1" s="1"/>
  <c r="AM63" i="7"/>
  <c r="BI29" i="4"/>
  <c r="S31" i="4"/>
  <c r="CU90" i="4"/>
  <c r="DG91" i="4"/>
  <c r="AW82" i="24"/>
  <c r="DL127" i="4"/>
  <c r="BX223" i="4"/>
  <c r="T177" i="4"/>
  <c r="T177" i="1" s="1"/>
  <c r="AA82" i="7"/>
  <c r="Y29" i="7"/>
  <c r="DA182" i="4"/>
  <c r="AA44" i="7"/>
  <c r="V129" i="7"/>
  <c r="U74" i="24"/>
  <c r="DT94" i="4"/>
  <c r="BN87" i="4"/>
  <c r="X88" i="4"/>
  <c r="P208" i="4"/>
  <c r="P208" i="1" s="1"/>
  <c r="T77" i="4"/>
  <c r="BJ76" i="4"/>
  <c r="AL81" i="24"/>
  <c r="DM113" i="4"/>
  <c r="AA113" i="7"/>
  <c r="EQ193" i="4"/>
  <c r="FA246" i="7"/>
  <c r="FI246" i="7"/>
  <c r="FI246" i="4" s="1"/>
  <c r="AM246" i="4" s="1"/>
  <c r="AM246" i="1" s="1"/>
  <c r="FF246" i="7"/>
  <c r="EZ246" i="7"/>
  <c r="EY246" i="7"/>
  <c r="FJ246" i="7"/>
  <c r="FH246" i="7"/>
  <c r="FG246" i="7"/>
  <c r="EX246" i="7" s="1"/>
  <c r="FD246" i="7"/>
  <c r="FD246" i="4" s="1"/>
  <c r="FC246" i="7"/>
  <c r="FB246" i="7"/>
  <c r="FB246" i="4" s="1"/>
  <c r="FE246" i="7"/>
  <c r="DG168" i="4"/>
  <c r="AA204" i="7"/>
  <c r="AQ82" i="24"/>
  <c r="DL121" i="4"/>
  <c r="V91" i="4"/>
  <c r="BL90" i="4"/>
  <c r="DG138" i="7"/>
  <c r="BT241" i="4"/>
  <c r="Q129" i="7"/>
  <c r="BQ40" i="4"/>
  <c r="O40" i="4"/>
  <c r="BX74" i="24"/>
  <c r="DT162" i="4"/>
  <c r="BT157" i="4"/>
  <c r="AK83" i="24"/>
  <c r="DK112" i="4"/>
  <c r="AJ74" i="24"/>
  <c r="DT111" i="4"/>
  <c r="P100" i="4"/>
  <c r="P100" i="1" s="1"/>
  <c r="BJ187" i="4"/>
  <c r="T188" i="4"/>
  <c r="DP33" i="4"/>
  <c r="X105" i="4"/>
  <c r="BN104" i="4"/>
  <c r="DU39" i="7"/>
  <c r="DI39" i="4"/>
  <c r="DI38" i="7"/>
  <c r="F85" i="24" s="1"/>
  <c r="FC39" i="7"/>
  <c r="FA39" i="7"/>
  <c r="FI39" i="7"/>
  <c r="FB39" i="7"/>
  <c r="EZ39" i="7"/>
  <c r="EY39" i="7"/>
  <c r="AC39" i="7" s="1"/>
  <c r="FJ39" i="7"/>
  <c r="FG39" i="7"/>
  <c r="EX39" i="7" s="1"/>
  <c r="FE39" i="7"/>
  <c r="FF39" i="7"/>
  <c r="AJ39" i="7" s="1"/>
  <c r="FD39" i="7"/>
  <c r="AH39" i="7" s="1"/>
  <c r="FH39" i="7"/>
  <c r="CZ164" i="4"/>
  <c r="DU75" i="24"/>
  <c r="DS225" i="4"/>
  <c r="U87" i="7"/>
  <c r="V193" i="7"/>
  <c r="CY80" i="24"/>
  <c r="DN196" i="4"/>
  <c r="DG13" i="7"/>
  <c r="O183" i="4"/>
  <c r="BE182" i="4"/>
  <c r="BQ183" i="4"/>
  <c r="BI218" i="7"/>
  <c r="BF74" i="24"/>
  <c r="DT139" i="4"/>
  <c r="DT138" i="7"/>
  <c r="O46" i="4"/>
  <c r="BQ46" i="4"/>
  <c r="AP83" i="24"/>
  <c r="DK120" i="4"/>
  <c r="E184" i="23"/>
  <c r="D184" i="23" s="1"/>
  <c r="BN43" i="7"/>
  <c r="CE111" i="4"/>
  <c r="AA77" i="24"/>
  <c r="DQ100" i="4"/>
  <c r="CI81" i="24"/>
  <c r="DM176" i="4"/>
  <c r="S202" i="4"/>
  <c r="S202" i="1" s="1"/>
  <c r="FE61" i="4"/>
  <c r="FE60" i="7"/>
  <c r="AI61" i="7"/>
  <c r="CR83" i="24"/>
  <c r="DK187" i="7"/>
  <c r="DK188" i="4"/>
  <c r="Z83" i="24"/>
  <c r="DK99" i="4"/>
  <c r="BK77" i="24"/>
  <c r="DQ144" i="4"/>
  <c r="FC144" i="7"/>
  <c r="FJ144" i="7"/>
  <c r="FI144" i="7"/>
  <c r="FB144" i="7"/>
  <c r="FA144" i="7"/>
  <c r="EZ144" i="7"/>
  <c r="EY144" i="7"/>
  <c r="AC144" i="7" s="1"/>
  <c r="FH144" i="7"/>
  <c r="AL144" i="7" s="1"/>
  <c r="AB144" i="7" s="1"/>
  <c r="FF144" i="7"/>
  <c r="AJ144" i="7" s="1"/>
  <c r="FE144" i="7"/>
  <c r="FG144" i="7"/>
  <c r="EX144" i="7" s="1"/>
  <c r="FD144" i="7"/>
  <c r="T85" i="24"/>
  <c r="DU93" i="7"/>
  <c r="DI93" i="4"/>
  <c r="EU164" i="4"/>
  <c r="BP76" i="24"/>
  <c r="DR150" i="7"/>
  <c r="DH150" i="7" s="1"/>
  <c r="DR151" i="4"/>
  <c r="CV75" i="24"/>
  <c r="DS192" i="4"/>
  <c r="CV219" i="4"/>
  <c r="E227" i="23"/>
  <c r="D227" i="23" s="1"/>
  <c r="CW43" i="7"/>
  <c r="CW47" i="7" s="1"/>
  <c r="DG203" i="4"/>
  <c r="P182" i="7"/>
  <c r="P132" i="4"/>
  <c r="P132" i="1" s="1"/>
  <c r="R86" i="4"/>
  <c r="R86" i="1" s="1"/>
  <c r="AI81" i="24"/>
  <c r="DM110" i="4"/>
  <c r="BW172" i="4"/>
  <c r="DF129" i="4"/>
  <c r="EW193" i="7"/>
  <c r="EW126" i="4"/>
  <c r="CQ75" i="24"/>
  <c r="DS186" i="4"/>
  <c r="V198" i="4"/>
  <c r="V198" i="1" s="1"/>
  <c r="CE245" i="4"/>
  <c r="AA99" i="7"/>
  <c r="I80" i="24"/>
  <c r="DN79" i="4"/>
  <c r="AA79" i="7"/>
  <c r="EW175" i="4"/>
  <c r="BC77" i="24"/>
  <c r="DQ135" i="4"/>
  <c r="EW159" i="4"/>
  <c r="Y183" i="4"/>
  <c r="BO182" i="4"/>
  <c r="CY218" i="7"/>
  <c r="DF116" i="4"/>
  <c r="EW164" i="7"/>
  <c r="DN74" i="24"/>
  <c r="DT213" i="4"/>
  <c r="S213" i="4"/>
  <c r="S213" i="1" s="1"/>
  <c r="CE145" i="4"/>
  <c r="BO76" i="4"/>
  <c r="Y77" i="4"/>
  <c r="U133" i="7"/>
  <c r="CW193" i="4"/>
  <c r="EO209" i="4"/>
  <c r="P94" i="4"/>
  <c r="P94" i="1" s="1"/>
  <c r="DO80" i="24"/>
  <c r="DN215" i="4"/>
  <c r="DN214" i="7"/>
  <c r="CE106" i="4"/>
  <c r="BH58" i="7"/>
  <c r="Y77" i="24"/>
  <c r="DQ98" i="4"/>
  <c r="T195" i="4"/>
  <c r="T195" i="1" s="1"/>
  <c r="DK75" i="24"/>
  <c r="DS210" i="4"/>
  <c r="DS209" i="7"/>
  <c r="FC210" i="7"/>
  <c r="EZ210" i="7"/>
  <c r="EY210" i="7"/>
  <c r="AC210" i="7" s="1"/>
  <c r="FI210" i="7"/>
  <c r="FB210" i="7"/>
  <c r="FA210" i="7"/>
  <c r="FJ210" i="7"/>
  <c r="FH210" i="7"/>
  <c r="FF210" i="7"/>
  <c r="AJ210" i="7" s="1"/>
  <c r="FE210" i="7"/>
  <c r="FG210" i="7"/>
  <c r="EX210" i="7" s="1"/>
  <c r="FD210" i="7"/>
  <c r="AA96" i="7"/>
  <c r="BI133" i="4"/>
  <c r="S134" i="4"/>
  <c r="BQ64" i="4"/>
  <c r="O64" i="4"/>
  <c r="BQ74" i="24"/>
  <c r="DT152" i="4"/>
  <c r="U94" i="4"/>
  <c r="U94" i="1" s="1"/>
  <c r="CV115" i="7"/>
  <c r="AA14" i="7"/>
  <c r="O13" i="7"/>
  <c r="O6" i="7" s="1"/>
  <c r="DM74" i="24"/>
  <c r="DT212" i="4"/>
  <c r="FC212" i="7"/>
  <c r="EZ212" i="7"/>
  <c r="EY212" i="7"/>
  <c r="FI212" i="7"/>
  <c r="FB212" i="7"/>
  <c r="AF212" i="7" s="1"/>
  <c r="FA212" i="7"/>
  <c r="FJ212" i="7"/>
  <c r="AN212" i="7" s="1"/>
  <c r="FH212" i="7"/>
  <c r="FF212" i="7"/>
  <c r="AJ212" i="7" s="1"/>
  <c r="FD212" i="7"/>
  <c r="FG212" i="7"/>
  <c r="EX212" i="7" s="1"/>
  <c r="FE212" i="7"/>
  <c r="T225" i="4"/>
  <c r="T225" i="1" s="1"/>
  <c r="CZ115" i="7"/>
  <c r="CJ76" i="24"/>
  <c r="DR177" i="4"/>
  <c r="P189" i="4"/>
  <c r="P189" i="1" s="1"/>
  <c r="BH76" i="4"/>
  <c r="R77" i="4"/>
  <c r="V154" i="4"/>
  <c r="V154" i="1" s="1"/>
  <c r="DH74" i="24"/>
  <c r="DT206" i="4"/>
  <c r="DT205" i="7"/>
  <c r="ER205" i="4"/>
  <c r="BL29" i="4"/>
  <c r="V31" i="4"/>
  <c r="BI54" i="4"/>
  <c r="S51" i="4"/>
  <c r="BY182" i="4"/>
  <c r="AX76" i="24"/>
  <c r="DR128" i="4"/>
  <c r="DD116" i="4"/>
  <c r="DG127" i="4"/>
  <c r="CN76" i="24"/>
  <c r="DR183" i="4"/>
  <c r="DR182" i="7"/>
  <c r="DH182" i="7" s="1"/>
  <c r="BU182" i="4"/>
  <c r="W223" i="7"/>
  <c r="BS205" i="4"/>
  <c r="CE206" i="4"/>
  <c r="EK219" i="4"/>
  <c r="EW220" i="4"/>
  <c r="BM77" i="24"/>
  <c r="DQ147" i="4"/>
  <c r="DQ146" i="7"/>
  <c r="FC147" i="7"/>
  <c r="FA147" i="7"/>
  <c r="AE147" i="7" s="1"/>
  <c r="FJ147" i="7"/>
  <c r="FI147" i="7"/>
  <c r="FB147" i="7"/>
  <c r="EZ147" i="7"/>
  <c r="EY147" i="7"/>
  <c r="FH147" i="7"/>
  <c r="FG147" i="7"/>
  <c r="EX147" i="7" s="1"/>
  <c r="FF147" i="7"/>
  <c r="AJ147" i="7" s="1"/>
  <c r="FE147" i="7"/>
  <c r="FD147" i="7"/>
  <c r="AH147" i="7" s="1"/>
  <c r="BH209" i="4"/>
  <c r="R210" i="4"/>
  <c r="DI77" i="24"/>
  <c r="DQ207" i="4"/>
  <c r="BS90" i="4"/>
  <c r="CE91" i="4"/>
  <c r="BI76" i="24"/>
  <c r="DR142" i="4"/>
  <c r="S142" i="4"/>
  <c r="S142" i="1" s="1"/>
  <c r="DF6" i="4"/>
  <c r="DE76" i="4"/>
  <c r="AB82" i="24"/>
  <c r="DL101" i="4"/>
  <c r="P101" i="4"/>
  <c r="P101" i="1" s="1"/>
  <c r="DD172" i="4"/>
  <c r="X123" i="4"/>
  <c r="X123" i="1" s="1"/>
  <c r="S171" i="4"/>
  <c r="S171" i="1" s="1"/>
  <c r="CX83" i="24"/>
  <c r="DK195" i="4"/>
  <c r="W118" i="4"/>
  <c r="BZ79" i="24"/>
  <c r="DO166" i="4"/>
  <c r="X79" i="24"/>
  <c r="DO97" i="4"/>
  <c r="BF205" i="4"/>
  <c r="P206" i="4"/>
  <c r="Y90" i="7"/>
  <c r="Y127" i="4"/>
  <c r="Y127" i="1" s="1"/>
  <c r="AE83" i="24"/>
  <c r="DK106" i="4"/>
  <c r="DO88" i="7"/>
  <c r="AI88" i="7" s="1"/>
  <c r="AI87" i="7" s="1"/>
  <c r="DO32" i="4"/>
  <c r="DU224" i="7"/>
  <c r="DT85" i="24"/>
  <c r="DI223" i="7"/>
  <c r="DI224" i="4"/>
  <c r="W225" i="4"/>
  <c r="DE80" i="24"/>
  <c r="DN202" i="4"/>
  <c r="BQ178" i="7"/>
  <c r="U152" i="4"/>
  <c r="U152" i="1" s="1"/>
  <c r="BT81" i="24"/>
  <c r="DM157" i="7"/>
  <c r="DM158" i="4"/>
  <c r="R104" i="7"/>
  <c r="BM164" i="4"/>
  <c r="W165" i="4"/>
  <c r="Q213" i="4"/>
  <c r="Q213" i="1" s="1"/>
  <c r="Y241" i="7"/>
  <c r="E262" i="23"/>
  <c r="D262" i="23" s="1"/>
  <c r="EN43" i="7"/>
  <c r="EN47" i="7" s="1"/>
  <c r="DV79" i="24"/>
  <c r="DO226" i="4"/>
  <c r="FA226" i="7"/>
  <c r="FJ226" i="7"/>
  <c r="FI226" i="7"/>
  <c r="AM226" i="7" s="1"/>
  <c r="FG226" i="7"/>
  <c r="EX226" i="7" s="1"/>
  <c r="FF226" i="7"/>
  <c r="EZ226" i="7"/>
  <c r="EY226" i="7"/>
  <c r="FH226" i="7"/>
  <c r="AL226" i="7" s="1"/>
  <c r="AB226" i="7" s="1"/>
  <c r="FE226" i="7"/>
  <c r="AI226" i="7" s="1"/>
  <c r="FB226" i="7"/>
  <c r="FD226" i="7"/>
  <c r="FC226" i="7"/>
  <c r="BG70" i="7"/>
  <c r="BV178" i="4"/>
  <c r="O213" i="4"/>
  <c r="BQ213" i="4"/>
  <c r="V146" i="7"/>
  <c r="ER76" i="4"/>
  <c r="V176" i="4"/>
  <c r="V176" i="1" s="1"/>
  <c r="S204" i="4"/>
  <c r="S204" i="1" s="1"/>
  <c r="E183" i="23"/>
  <c r="D183" i="23" s="1"/>
  <c r="BO43" i="7"/>
  <c r="BO47" i="7" s="1"/>
  <c r="EP138" i="4"/>
  <c r="R144" i="4"/>
  <c r="R144" i="1" s="1"/>
  <c r="CB60" i="4"/>
  <c r="AL62" i="4"/>
  <c r="AL62" i="1" s="1"/>
  <c r="DF223" i="4"/>
  <c r="BL78" i="24"/>
  <c r="DP145" i="4"/>
  <c r="X87" i="7"/>
  <c r="T76" i="7"/>
  <c r="EW101" i="4"/>
  <c r="AL80" i="24"/>
  <c r="DN113" i="4"/>
  <c r="Z166" i="4"/>
  <c r="Z166" i="1" s="1"/>
  <c r="CT79" i="24"/>
  <c r="DO190" i="4"/>
  <c r="AQ79" i="24"/>
  <c r="DO121" i="4"/>
  <c r="BW29" i="4"/>
  <c r="V90" i="7"/>
  <c r="BK138" i="4"/>
  <c r="U139" i="4"/>
  <c r="Z181" i="4"/>
  <c r="Z181" i="1" s="1"/>
  <c r="CX104" i="4"/>
  <c r="AK82" i="24"/>
  <c r="DL112" i="4"/>
  <c r="AF82" i="24"/>
  <c r="DL107" i="4"/>
  <c r="BO60" i="4"/>
  <c r="Y61" i="4"/>
  <c r="AJ76" i="24"/>
  <c r="DR111" i="4"/>
  <c r="T187" i="7"/>
  <c r="DK33" i="4"/>
  <c r="X104" i="7"/>
  <c r="CC164" i="4"/>
  <c r="Z225" i="4"/>
  <c r="Z225" i="1" s="1"/>
  <c r="DU78" i="24"/>
  <c r="DP225" i="4"/>
  <c r="BT60" i="4"/>
  <c r="AD62" i="4"/>
  <c r="AD62" i="1" s="1"/>
  <c r="AA183" i="7"/>
  <c r="O182" i="7"/>
  <c r="T224" i="4"/>
  <c r="BJ223" i="4"/>
  <c r="BF84" i="24"/>
  <c r="DJ139" i="4"/>
  <c r="DJ138" i="7"/>
  <c r="BK150" i="4"/>
  <c r="U151" i="4"/>
  <c r="W106" i="4"/>
  <c r="BQ141" i="4"/>
  <c r="O141" i="4"/>
  <c r="AA46" i="7"/>
  <c r="AP81" i="24"/>
  <c r="DM120" i="4"/>
  <c r="R55" i="4"/>
  <c r="BH57" i="4"/>
  <c r="AA76" i="24"/>
  <c r="DR100" i="4"/>
  <c r="EM150" i="4"/>
  <c r="FF61" i="4"/>
  <c r="FF60" i="7"/>
  <c r="AJ61" i="7"/>
  <c r="CR82" i="24"/>
  <c r="DL188" i="4"/>
  <c r="DL187" i="7"/>
  <c r="Z82" i="24"/>
  <c r="DL99" i="4"/>
  <c r="CY150" i="4"/>
  <c r="BK76" i="24"/>
  <c r="DR144" i="4"/>
  <c r="S144" i="4"/>
  <c r="S144" i="1" s="1"/>
  <c r="BP74" i="24"/>
  <c r="DT150" i="7"/>
  <c r="DT151" i="4"/>
  <c r="S175" i="4"/>
  <c r="S175" i="1" s="1"/>
  <c r="DU192" i="7"/>
  <c r="CV85" i="24"/>
  <c r="DI192" i="4"/>
  <c r="DG93" i="4"/>
  <c r="Q118" i="4"/>
  <c r="Q118" i="1" s="1"/>
  <c r="DD205" i="4"/>
  <c r="Q147" i="4"/>
  <c r="BG146" i="4"/>
  <c r="BI241" i="4"/>
  <c r="S242" i="4"/>
  <c r="P84" i="4"/>
  <c r="P84" i="1" s="1"/>
  <c r="AI80" i="24"/>
  <c r="DN110" i="4"/>
  <c r="O134" i="4"/>
  <c r="BE133" i="4"/>
  <c r="BQ134" i="4"/>
  <c r="CE78" i="4"/>
  <c r="CQ74" i="24"/>
  <c r="DT186" i="4"/>
  <c r="EU146" i="4"/>
  <c r="E72" i="24"/>
  <c r="D72" i="24" s="1"/>
  <c r="BT43" i="7"/>
  <c r="BT47" i="7" s="1"/>
  <c r="BT71" i="7" s="1"/>
  <c r="I79" i="24"/>
  <c r="DO79" i="4"/>
  <c r="P91" i="4"/>
  <c r="BF90" i="4"/>
  <c r="P127" i="4"/>
  <c r="P127" i="1" s="1"/>
  <c r="EK6" i="7"/>
  <c r="EW6" i="7" s="1"/>
  <c r="EW13" i="7"/>
  <c r="BC79" i="24"/>
  <c r="DO135" i="4"/>
  <c r="Y76" i="7"/>
  <c r="FD62" i="4"/>
  <c r="AH62" i="4" s="1"/>
  <c r="AH62" i="1" s="1"/>
  <c r="AH62" i="7"/>
  <c r="EW123" i="4"/>
  <c r="DA83" i="24"/>
  <c r="DK198" i="4"/>
  <c r="CF82" i="24"/>
  <c r="DL173" i="4"/>
  <c r="DL172" i="7"/>
  <c r="Y76" i="24"/>
  <c r="DR98" i="4"/>
  <c r="DK74" i="24"/>
  <c r="DT210" i="4"/>
  <c r="DT209" i="7"/>
  <c r="X185" i="4"/>
  <c r="X185" i="1" s="1"/>
  <c r="W55" i="4"/>
  <c r="BM57" i="4"/>
  <c r="BJ54" i="4"/>
  <c r="T51" i="4"/>
  <c r="AA64" i="7"/>
  <c r="DA172" i="4"/>
  <c r="CZ79" i="24"/>
  <c r="DO197" i="4"/>
  <c r="W162" i="4"/>
  <c r="W143" i="4"/>
  <c r="Q207" i="4"/>
  <c r="Q207" i="1" s="1"/>
  <c r="BG90" i="4"/>
  <c r="Q91" i="4"/>
  <c r="EU178" i="4"/>
  <c r="DG61" i="4"/>
  <c r="CU60" i="4"/>
  <c r="CY58" i="4"/>
  <c r="DU211" i="7"/>
  <c r="DL85" i="24"/>
  <c r="DI211" i="4"/>
  <c r="FC211" i="7"/>
  <c r="EZ211" i="7"/>
  <c r="AD211" i="7" s="1"/>
  <c r="EY211" i="7"/>
  <c r="FI211" i="7"/>
  <c r="FB211" i="7"/>
  <c r="FA211" i="7"/>
  <c r="FJ211" i="7"/>
  <c r="AN211" i="7" s="1"/>
  <c r="FH211" i="7"/>
  <c r="FD211" i="7"/>
  <c r="AH211" i="7" s="1"/>
  <c r="FG211" i="7"/>
  <c r="EX211" i="7" s="1"/>
  <c r="FF211" i="7"/>
  <c r="FE211" i="7"/>
  <c r="ES178" i="4"/>
  <c r="Q71" i="24"/>
  <c r="BU88" i="4"/>
  <c r="BU87" i="7"/>
  <c r="BU75" i="7" s="1"/>
  <c r="CE200" i="4"/>
  <c r="CJ74" i="24"/>
  <c r="DT177" i="4"/>
  <c r="P174" i="4"/>
  <c r="P174" i="1" s="1"/>
  <c r="DG6" i="7"/>
  <c r="X132" i="4"/>
  <c r="X132" i="1" s="1"/>
  <c r="DH83" i="24"/>
  <c r="DK206" i="4"/>
  <c r="DK205" i="7"/>
  <c r="V29" i="7"/>
  <c r="BX90" i="4"/>
  <c r="EV150" i="4"/>
  <c r="U226" i="4"/>
  <c r="U226" i="1" s="1"/>
  <c r="EN182" i="4"/>
  <c r="AX84" i="24"/>
  <c r="DJ128" i="4"/>
  <c r="Y204" i="4"/>
  <c r="Y204" i="1" s="1"/>
  <c r="CN74" i="24"/>
  <c r="DT182" i="7"/>
  <c r="DT183" i="4"/>
  <c r="O152" i="4"/>
  <c r="BQ152" i="4"/>
  <c r="V105" i="4"/>
  <c r="BL104" i="4"/>
  <c r="R166" i="4"/>
  <c r="R166" i="1" s="1"/>
  <c r="T162" i="4"/>
  <c r="T162" i="1" s="1"/>
  <c r="S222" i="4"/>
  <c r="S222" i="1" s="1"/>
  <c r="BM76" i="24"/>
  <c r="DR147" i="4"/>
  <c r="DR146" i="7"/>
  <c r="DH146" i="7" s="1"/>
  <c r="T147" i="4"/>
  <c r="BJ146" i="4"/>
  <c r="R209" i="7"/>
  <c r="DI76" i="24"/>
  <c r="DR207" i="4"/>
  <c r="S211" i="4"/>
  <c r="S211" i="1" s="1"/>
  <c r="BI83" i="24"/>
  <c r="DK142" i="4"/>
  <c r="CE77" i="4"/>
  <c r="BS76" i="4"/>
  <c r="AB80" i="24"/>
  <c r="DN101" i="4"/>
  <c r="CX80" i="24"/>
  <c r="DN195" i="4"/>
  <c r="T136" i="4"/>
  <c r="T136" i="1" s="1"/>
  <c r="X154" i="4"/>
  <c r="X154" i="1" s="1"/>
  <c r="BZ84" i="24"/>
  <c r="DJ166" i="4"/>
  <c r="BZ214" i="4"/>
  <c r="Y24" i="4"/>
  <c r="BO27" i="4"/>
  <c r="DG96" i="4"/>
  <c r="X78" i="24"/>
  <c r="DP97" i="4"/>
  <c r="P205" i="7"/>
  <c r="EQ138" i="4"/>
  <c r="CE151" i="4"/>
  <c r="BS150" i="4"/>
  <c r="AE82" i="24"/>
  <c r="DL106" i="4"/>
  <c r="U160" i="4"/>
  <c r="U160" i="1" s="1"/>
  <c r="DP88" i="7"/>
  <c r="DP32" i="4"/>
  <c r="W92" i="4"/>
  <c r="DT84" i="24"/>
  <c r="DJ224" i="4"/>
  <c r="DJ223" i="7"/>
  <c r="DE78" i="24"/>
  <c r="DP202" i="4"/>
  <c r="Z111" i="4"/>
  <c r="Z111" i="1" s="1"/>
  <c r="EM223" i="4"/>
  <c r="BT80" i="24"/>
  <c r="DN158" i="4"/>
  <c r="DN157" i="7"/>
  <c r="DG147" i="4"/>
  <c r="CU146" i="4"/>
  <c r="DV78" i="24"/>
  <c r="DP226" i="4"/>
  <c r="BQ108" i="4"/>
  <c r="O108" i="4"/>
  <c r="DA157" i="4"/>
  <c r="U165" i="4"/>
  <c r="BK164" i="4"/>
  <c r="O167" i="4"/>
  <c r="BQ167" i="4"/>
  <c r="BQ132" i="4"/>
  <c r="O132" i="4"/>
  <c r="BQ81" i="4"/>
  <c r="O81" i="4"/>
  <c r="BJ157" i="4"/>
  <c r="T158" i="4"/>
  <c r="BQ117" i="4"/>
  <c r="BE116" i="4"/>
  <c r="O117" i="4"/>
  <c r="DU46" i="7"/>
  <c r="DI46" i="4"/>
  <c r="BA74" i="24"/>
  <c r="DT132" i="4"/>
  <c r="EW152" i="4"/>
  <c r="EW153" i="4"/>
  <c r="BL76" i="24"/>
  <c r="DR145" i="4"/>
  <c r="FC145" i="7"/>
  <c r="FA145" i="7"/>
  <c r="EY145" i="7"/>
  <c r="AC145" i="7" s="1"/>
  <c r="FJ145" i="7"/>
  <c r="AN145" i="7" s="1"/>
  <c r="FB145" i="7"/>
  <c r="EZ145" i="7"/>
  <c r="FI145" i="7"/>
  <c r="FG145" i="7"/>
  <c r="EX145" i="7" s="1"/>
  <c r="FF145" i="7"/>
  <c r="FH145" i="7"/>
  <c r="FE145" i="7"/>
  <c r="FD145" i="7"/>
  <c r="DW84" i="24"/>
  <c r="DJ228" i="4"/>
  <c r="DJ227" i="7"/>
  <c r="AD228" i="7"/>
  <c r="O62" i="4"/>
  <c r="BQ62" i="4"/>
  <c r="P134" i="4"/>
  <c r="BF133" i="4"/>
  <c r="DR246" i="4"/>
  <c r="CE246" i="4"/>
  <c r="CT80" i="24"/>
  <c r="DN190" i="4"/>
  <c r="BU214" i="4"/>
  <c r="CE184" i="4"/>
  <c r="DS29" i="7"/>
  <c r="DS31" i="4"/>
  <c r="BK29" i="4"/>
  <c r="U31" i="4"/>
  <c r="BE57" i="4"/>
  <c r="BQ55" i="4"/>
  <c r="BQ57" i="4" s="1"/>
  <c r="O55" i="4"/>
  <c r="U138" i="7"/>
  <c r="EK150" i="4"/>
  <c r="EW151" i="4"/>
  <c r="CE175" i="4"/>
  <c r="CC187" i="4"/>
  <c r="W195" i="4"/>
  <c r="AK81" i="24"/>
  <c r="DM112" i="4"/>
  <c r="BX209" i="4"/>
  <c r="Y150" i="7"/>
  <c r="AF81" i="24"/>
  <c r="DM107" i="4"/>
  <c r="Y60" i="7"/>
  <c r="AJ75" i="24"/>
  <c r="DS111" i="4"/>
  <c r="CC157" i="4"/>
  <c r="DN33" i="4"/>
  <c r="DU79" i="24"/>
  <c r="DO225" i="4"/>
  <c r="CE113" i="4"/>
  <c r="BH172" i="4"/>
  <c r="R173" i="4"/>
  <c r="DF138" i="4"/>
  <c r="EW211" i="4"/>
  <c r="BF81" i="24"/>
  <c r="DM139" i="4"/>
  <c r="DM138" i="7"/>
  <c r="U150" i="7"/>
  <c r="Z122" i="4"/>
  <c r="Z122" i="1" s="1"/>
  <c r="BH193" i="4"/>
  <c r="R194" i="4"/>
  <c r="AP80" i="24"/>
  <c r="DN120" i="4"/>
  <c r="ET150" i="4"/>
  <c r="CW78" i="24"/>
  <c r="DP194" i="4"/>
  <c r="DP193" i="7"/>
  <c r="P162" i="4"/>
  <c r="P162" i="1" s="1"/>
  <c r="BI146" i="4"/>
  <c r="S147" i="4"/>
  <c r="E257" i="23"/>
  <c r="D257" i="23" s="1"/>
  <c r="ES43" i="7"/>
  <c r="FH60" i="7"/>
  <c r="FH61" i="4"/>
  <c r="AL61" i="7"/>
  <c r="AB61" i="7" s="1"/>
  <c r="S14" i="4"/>
  <c r="BI13" i="4"/>
  <c r="BI6" i="4" s="1"/>
  <c r="DS247" i="4"/>
  <c r="FA247" i="7"/>
  <c r="FI247" i="7"/>
  <c r="FI247" i="4" s="1"/>
  <c r="FF247" i="7"/>
  <c r="FF247" i="4" s="1"/>
  <c r="EZ247" i="7"/>
  <c r="EY247" i="7"/>
  <c r="FJ247" i="7"/>
  <c r="FH247" i="7"/>
  <c r="FG247" i="7"/>
  <c r="EX247" i="7" s="1"/>
  <c r="FE247" i="7"/>
  <c r="FE247" i="4" s="1"/>
  <c r="FB247" i="7"/>
  <c r="FB247" i="4" s="1"/>
  <c r="AF247" i="4" s="1"/>
  <c r="AF247" i="1" s="1"/>
  <c r="FD247" i="7"/>
  <c r="FC247" i="7"/>
  <c r="DG222" i="4"/>
  <c r="Z80" i="24"/>
  <c r="DN99" i="4"/>
  <c r="BK75" i="24"/>
  <c r="DS144" i="4"/>
  <c r="Z207" i="4"/>
  <c r="Z207" i="1" s="1"/>
  <c r="EK90" i="4"/>
  <c r="EW91" i="4"/>
  <c r="BP84" i="24"/>
  <c r="DJ151" i="4"/>
  <c r="DJ150" i="7"/>
  <c r="CV77" i="24"/>
  <c r="DQ192" i="4"/>
  <c r="BJ150" i="4"/>
  <c r="T151" i="4"/>
  <c r="CA78" i="24"/>
  <c r="DP167" i="4"/>
  <c r="S241" i="7"/>
  <c r="AI78" i="24"/>
  <c r="DP110" i="4"/>
  <c r="BO76" i="24"/>
  <c r="DR149" i="4"/>
  <c r="FC149" i="7"/>
  <c r="FA149" i="7"/>
  <c r="FJ149" i="7"/>
  <c r="FI149" i="7"/>
  <c r="AM149" i="7" s="1"/>
  <c r="FB149" i="7"/>
  <c r="EZ149" i="7"/>
  <c r="EY149" i="7"/>
  <c r="AC149" i="7" s="1"/>
  <c r="FG149" i="7"/>
  <c r="EX149" i="7" s="1"/>
  <c r="FF149" i="7"/>
  <c r="FD149" i="7"/>
  <c r="FH149" i="7"/>
  <c r="FE149" i="7"/>
  <c r="S161" i="4"/>
  <c r="S161" i="1" s="1"/>
  <c r="BE172" i="4"/>
  <c r="O173" i="4"/>
  <c r="BQ173" i="4"/>
  <c r="O228" i="4"/>
  <c r="BQ228" i="4"/>
  <c r="BE227" i="4"/>
  <c r="O133" i="7"/>
  <c r="AA134" i="7"/>
  <c r="EM205" i="4"/>
  <c r="DS245" i="4"/>
  <c r="BT29" i="4"/>
  <c r="I83" i="24"/>
  <c r="DK79" i="4"/>
  <c r="P90" i="7"/>
  <c r="T229" i="4"/>
  <c r="T229" i="1" s="1"/>
  <c r="BC84" i="24"/>
  <c r="DJ135" i="4"/>
  <c r="DS45" i="4"/>
  <c r="EV104" i="4"/>
  <c r="DF115" i="7"/>
  <c r="EK87" i="4"/>
  <c r="EW88" i="4"/>
  <c r="FE62" i="4"/>
  <c r="AI62" i="4" s="1"/>
  <c r="AI62" i="1" s="1"/>
  <c r="AI62" i="7"/>
  <c r="Q98" i="4"/>
  <c r="Q98" i="1" s="1"/>
  <c r="EW170" i="4"/>
  <c r="DA82" i="24"/>
  <c r="DL198" i="4"/>
  <c r="DG198" i="4"/>
  <c r="E224" i="23"/>
  <c r="D224" i="23" s="1"/>
  <c r="CZ43" i="7"/>
  <c r="CZ47" i="7" s="1"/>
  <c r="R84" i="24"/>
  <c r="DJ91" i="4"/>
  <c r="DJ90" i="7"/>
  <c r="EW127" i="4"/>
  <c r="CF81" i="24"/>
  <c r="DM173" i="4"/>
  <c r="DM172" i="7"/>
  <c r="Y75" i="24"/>
  <c r="DS98" i="4"/>
  <c r="EP133" i="4"/>
  <c r="DK85" i="24"/>
  <c r="DU210" i="7"/>
  <c r="DI210" i="4"/>
  <c r="DI209" i="7"/>
  <c r="Z211" i="4"/>
  <c r="Z211" i="1" s="1"/>
  <c r="T58" i="7"/>
  <c r="CZ80" i="24"/>
  <c r="DN197" i="4"/>
  <c r="W170" i="4"/>
  <c r="DG182" i="7"/>
  <c r="T174" i="4"/>
  <c r="T174" i="1" s="1"/>
  <c r="DG94" i="4"/>
  <c r="CB83" i="24"/>
  <c r="DK168" i="4"/>
  <c r="Q90" i="7"/>
  <c r="CD70" i="7"/>
  <c r="E62" i="24"/>
  <c r="D62" i="24" s="1"/>
  <c r="CD43" i="7"/>
  <c r="CD47" i="7" s="1"/>
  <c r="CD71" i="7" s="1"/>
  <c r="AX83" i="24"/>
  <c r="DK128" i="4"/>
  <c r="DD115" i="7"/>
  <c r="BH38" i="4"/>
  <c r="R39" i="4"/>
  <c r="CN75" i="24"/>
  <c r="DS182" i="7"/>
  <c r="DS183" i="4"/>
  <c r="AA152" i="7"/>
  <c r="N82" i="24"/>
  <c r="DL84" i="4"/>
  <c r="FD30" i="7"/>
  <c r="FA30" i="7"/>
  <c r="FC30" i="7"/>
  <c r="FB30" i="7"/>
  <c r="EZ30" i="7"/>
  <c r="EY30" i="7"/>
  <c r="FJ30" i="7"/>
  <c r="FH30" i="7"/>
  <c r="FH30" i="4" s="1"/>
  <c r="FE30" i="7"/>
  <c r="FI30" i="7"/>
  <c r="FI30" i="4" s="1"/>
  <c r="FG30" i="7"/>
  <c r="EX30" i="7" s="1"/>
  <c r="FF30" i="7"/>
  <c r="U225" i="4"/>
  <c r="U225" i="1" s="1"/>
  <c r="EV193" i="4"/>
  <c r="EW136" i="4"/>
  <c r="AB79" i="24"/>
  <c r="DO101" i="4"/>
  <c r="CV193" i="4"/>
  <c r="CX78" i="24"/>
  <c r="DP195" i="4"/>
  <c r="T209" i="7"/>
  <c r="EW222" i="4"/>
  <c r="BZ80" i="24"/>
  <c r="DN166" i="4"/>
  <c r="X75" i="24"/>
  <c r="DS97" i="4"/>
  <c r="FC97" i="7"/>
  <c r="EY97" i="7"/>
  <c r="FI97" i="7"/>
  <c r="FB97" i="7"/>
  <c r="FA97" i="7"/>
  <c r="EZ97" i="7"/>
  <c r="FJ97" i="7"/>
  <c r="FH97" i="7"/>
  <c r="FG97" i="7"/>
  <c r="EX97" i="7" s="1"/>
  <c r="FF97" i="7"/>
  <c r="AJ97" i="7" s="1"/>
  <c r="FE97" i="7"/>
  <c r="FD97" i="7"/>
  <c r="BY205" i="4"/>
  <c r="E68" i="24"/>
  <c r="D68" i="24" s="1"/>
  <c r="BX43" i="7"/>
  <c r="BX47" i="7" s="1"/>
  <c r="BX71" i="7" s="1"/>
  <c r="AE81" i="24"/>
  <c r="DM106" i="4"/>
  <c r="BJ182" i="4"/>
  <c r="T183" i="4"/>
  <c r="DL88" i="7"/>
  <c r="AF88" i="7" s="1"/>
  <c r="AF87" i="7" s="1"/>
  <c r="DL32" i="4"/>
  <c r="R213" i="4"/>
  <c r="R213" i="1" s="1"/>
  <c r="DE85" i="24"/>
  <c r="DU202" i="7"/>
  <c r="DI202" i="4"/>
  <c r="FC202" i="7"/>
  <c r="EZ202" i="7"/>
  <c r="EY202" i="7"/>
  <c r="AC202" i="7" s="1"/>
  <c r="FI202" i="7"/>
  <c r="FB202" i="7"/>
  <c r="FA202" i="7"/>
  <c r="FJ202" i="7"/>
  <c r="FH202" i="7"/>
  <c r="AL202" i="7" s="1"/>
  <c r="AB202" i="7" s="1"/>
  <c r="FF202" i="7"/>
  <c r="FE202" i="7"/>
  <c r="FG202" i="7"/>
  <c r="EX202" i="7" s="1"/>
  <c r="FD202" i="7"/>
  <c r="CW70" i="4"/>
  <c r="BT79" i="24"/>
  <c r="DO158" i="4"/>
  <c r="DO157" i="7"/>
  <c r="BQ69" i="4"/>
  <c r="O69" i="4"/>
  <c r="DG146" i="7"/>
  <c r="DV75" i="24"/>
  <c r="DS226" i="4"/>
  <c r="AA108" i="7"/>
  <c r="U212" i="4"/>
  <c r="U212" i="1" s="1"/>
  <c r="T106" i="4"/>
  <c r="T106" i="1" s="1"/>
  <c r="T160" i="4"/>
  <c r="T160" i="1" s="1"/>
  <c r="S92" i="4"/>
  <c r="S92" i="1" s="1"/>
  <c r="ER164" i="4"/>
  <c r="AA167" i="7"/>
  <c r="AA132" i="7"/>
  <c r="ET219" i="4"/>
  <c r="AA81" i="7"/>
  <c r="FC64" i="4"/>
  <c r="AG64" i="4" s="1"/>
  <c r="AG64" i="1" s="1"/>
  <c r="AG64" i="7"/>
  <c r="T157" i="7"/>
  <c r="AA117" i="7"/>
  <c r="O116" i="7"/>
  <c r="BW193" i="4"/>
  <c r="DR46" i="4"/>
  <c r="BZ157" i="4"/>
  <c r="BA77" i="24"/>
  <c r="DQ132" i="4"/>
  <c r="CU172" i="4"/>
  <c r="DG173" i="4"/>
  <c r="Z119" i="4"/>
  <c r="Z119" i="1" s="1"/>
  <c r="BL75" i="24"/>
  <c r="DS145" i="4"/>
  <c r="V110" i="4"/>
  <c r="V110" i="1" s="1"/>
  <c r="DW83" i="24"/>
  <c r="DK228" i="4"/>
  <c r="DK227" i="7"/>
  <c r="AE228" i="7"/>
  <c r="AE227" i="7" s="1"/>
  <c r="AA62" i="7"/>
  <c r="P133" i="7"/>
  <c r="DD193" i="4"/>
  <c r="CT78" i="24"/>
  <c r="DP190" i="4"/>
  <c r="DT29" i="7"/>
  <c r="DT31" i="4"/>
  <c r="U29" i="7"/>
  <c r="O57" i="7"/>
  <c r="AA55" i="7"/>
  <c r="AA57" i="7" s="1"/>
  <c r="Z79" i="4"/>
  <c r="Z79" i="1" s="1"/>
  <c r="V201" i="4"/>
  <c r="V201" i="1" s="1"/>
  <c r="AK80" i="24"/>
  <c r="DN112" i="4"/>
  <c r="Y146" i="7"/>
  <c r="AF80" i="24"/>
  <c r="DN107" i="4"/>
  <c r="Z203" i="4"/>
  <c r="Z203" i="1" s="1"/>
  <c r="BO70" i="7"/>
  <c r="AJ85" i="24"/>
  <c r="DU111" i="7"/>
  <c r="DI111" i="4"/>
  <c r="CC156" i="7"/>
  <c r="DU74" i="24"/>
  <c r="DT225" i="4"/>
  <c r="U84" i="4"/>
  <c r="U84" i="1" s="1"/>
  <c r="R172" i="7"/>
  <c r="CE169" i="4"/>
  <c r="ET43" i="7"/>
  <c r="ET47" i="7" s="1"/>
  <c r="E256" i="23"/>
  <c r="D256" i="23" s="1"/>
  <c r="EW154" i="4"/>
  <c r="DE214" i="4"/>
  <c r="DA90" i="4"/>
  <c r="BF79" i="24"/>
  <c r="DO139" i="4"/>
  <c r="DO138" i="7"/>
  <c r="T125" i="4"/>
  <c r="T125" i="1" s="1"/>
  <c r="P180" i="4"/>
  <c r="P180" i="1" s="1"/>
  <c r="R193" i="7"/>
  <c r="AP79" i="24"/>
  <c r="DO120" i="4"/>
  <c r="Z101" i="4"/>
  <c r="Z101" i="1" s="1"/>
  <c r="CW85" i="24"/>
  <c r="DU194" i="7"/>
  <c r="DI194" i="4"/>
  <c r="DI193" i="7"/>
  <c r="FC194" i="7"/>
  <c r="EZ194" i="7"/>
  <c r="EY194" i="7"/>
  <c r="FI194" i="7"/>
  <c r="AM194" i="7" s="1"/>
  <c r="FB194" i="7"/>
  <c r="AF194" i="7" s="1"/>
  <c r="FA194" i="7"/>
  <c r="FJ194" i="7"/>
  <c r="FH194" i="7"/>
  <c r="FD194" i="7"/>
  <c r="FG194" i="7"/>
  <c r="EX194" i="7" s="1"/>
  <c r="FF194" i="7"/>
  <c r="FE194" i="7"/>
  <c r="FI60" i="7"/>
  <c r="FI61" i="4"/>
  <c r="AM61" i="7"/>
  <c r="S13" i="7"/>
  <c r="S6" i="7" s="1"/>
  <c r="U130" i="4"/>
  <c r="BK129" i="4"/>
  <c r="DB193" i="4"/>
  <c r="DP247" i="4"/>
  <c r="Z79" i="24"/>
  <c r="DO99" i="4"/>
  <c r="P124" i="4"/>
  <c r="P124" i="1" s="1"/>
  <c r="BK74" i="24"/>
  <c r="DT144" i="4"/>
  <c r="EW90" i="7"/>
  <c r="BP82" i="24"/>
  <c r="DL150" i="7"/>
  <c r="DL151" i="4"/>
  <c r="Y153" i="4"/>
  <c r="Y153" i="1" s="1"/>
  <c r="T95" i="4"/>
  <c r="T95" i="1" s="1"/>
  <c r="CA75" i="24"/>
  <c r="DS167" i="4"/>
  <c r="FC167" i="7"/>
  <c r="FA167" i="7"/>
  <c r="FI167" i="7"/>
  <c r="FH167" i="7"/>
  <c r="FB167" i="7"/>
  <c r="EZ167" i="7"/>
  <c r="EY167" i="7"/>
  <c r="AC167" i="7" s="1"/>
  <c r="FJ167" i="7"/>
  <c r="FF167" i="7"/>
  <c r="AJ167" i="7" s="1"/>
  <c r="FE167" i="7"/>
  <c r="FG167" i="7"/>
  <c r="EX167" i="7" s="1"/>
  <c r="FD167" i="7"/>
  <c r="CE85" i="4"/>
  <c r="BO75" i="24"/>
  <c r="DS149" i="4"/>
  <c r="O172" i="7"/>
  <c r="AA173" i="7"/>
  <c r="BP129" i="4"/>
  <c r="Z130" i="4"/>
  <c r="AA228" i="7"/>
  <c r="O227" i="7"/>
  <c r="BD74" i="24"/>
  <c r="DT136" i="4"/>
  <c r="V148" i="4"/>
  <c r="V148" i="1" s="1"/>
  <c r="I78" i="24"/>
  <c r="DP79" i="4"/>
  <c r="EW61" i="4"/>
  <c r="EK60" i="4"/>
  <c r="R14" i="4"/>
  <c r="BH13" i="4"/>
  <c r="BH6" i="4" s="1"/>
  <c r="BC83" i="24"/>
  <c r="DK135" i="4"/>
  <c r="BP116" i="4"/>
  <c r="Z117" i="4"/>
  <c r="W132" i="4"/>
  <c r="AE62" i="4"/>
  <c r="AE62" i="1" s="1"/>
  <c r="BU60" i="4"/>
  <c r="CU133" i="4"/>
  <c r="DG134" i="4"/>
  <c r="DA81" i="24"/>
  <c r="DM198" i="4"/>
  <c r="EW210" i="4"/>
  <c r="EK209" i="4"/>
  <c r="T55" i="4"/>
  <c r="BJ57" i="4"/>
  <c r="R82" i="24"/>
  <c r="DL90" i="7"/>
  <c r="DL91" i="4"/>
  <c r="DU242" i="7"/>
  <c r="DI242" i="4"/>
  <c r="DI241" i="7"/>
  <c r="EB85" i="24" s="1"/>
  <c r="CF79" i="24"/>
  <c r="DO173" i="4"/>
  <c r="DO172" i="7"/>
  <c r="Y74" i="24"/>
  <c r="DT98" i="4"/>
  <c r="DK76" i="24"/>
  <c r="DR209" i="7"/>
  <c r="DH209" i="7" s="1"/>
  <c r="DR210" i="4"/>
  <c r="BU209" i="4"/>
  <c r="CZ78" i="24"/>
  <c r="DP197" i="4"/>
  <c r="CD214" i="4"/>
  <c r="CB82" i="24"/>
  <c r="DL168" i="4"/>
  <c r="EQ182" i="4"/>
  <c r="DF70" i="4"/>
  <c r="CE97" i="4"/>
  <c r="T90" i="7"/>
  <c r="AF78" i="24"/>
  <c r="DP107" i="4"/>
  <c r="AJ82" i="24"/>
  <c r="DL111" i="4"/>
  <c r="V159" i="4"/>
  <c r="V159" i="1" s="1"/>
  <c r="BO219" i="4"/>
  <c r="Y220" i="4"/>
  <c r="BE90" i="4"/>
  <c r="O91" i="4"/>
  <c r="BQ91" i="4"/>
  <c r="BQ140" i="4"/>
  <c r="O140" i="4"/>
  <c r="DU84" i="24"/>
  <c r="DJ225" i="4"/>
  <c r="DG190" i="4"/>
  <c r="EV76" i="4"/>
  <c r="CP82" i="24"/>
  <c r="DL185" i="4"/>
  <c r="R195" i="4"/>
  <c r="R195" i="1" s="1"/>
  <c r="CE148" i="4"/>
  <c r="AD79" i="24"/>
  <c r="DO104" i="7"/>
  <c r="DO105" i="4"/>
  <c r="W228" i="4"/>
  <c r="BM227" i="4"/>
  <c r="CW76" i="24"/>
  <c r="DR194" i="4"/>
  <c r="DR193" i="7"/>
  <c r="DH193" i="7" s="1"/>
  <c r="BU193" i="4"/>
  <c r="Q112" i="4"/>
  <c r="Q112" i="1" s="1"/>
  <c r="V174" i="4"/>
  <c r="V174" i="1" s="1"/>
  <c r="P116" i="7"/>
  <c r="Y189" i="4"/>
  <c r="Y189" i="1" s="1"/>
  <c r="DJ81" i="24"/>
  <c r="DM208" i="4"/>
  <c r="Y101" i="4"/>
  <c r="Y101" i="1" s="1"/>
  <c r="DO247" i="4"/>
  <c r="O42" i="4"/>
  <c r="BQ42" i="4"/>
  <c r="DG149" i="4"/>
  <c r="CD80" i="24"/>
  <c r="DN170" i="4"/>
  <c r="EW171" i="4"/>
  <c r="BI227" i="4"/>
  <c r="S228" i="4"/>
  <c r="V215" i="4"/>
  <c r="BL214" i="4"/>
  <c r="DG116" i="7"/>
  <c r="R189" i="4"/>
  <c r="R189" i="1" s="1"/>
  <c r="DU167" i="7"/>
  <c r="CA85" i="24"/>
  <c r="DI167" i="4"/>
  <c r="DU149" i="7"/>
  <c r="BO85" i="24"/>
  <c r="DI149" i="4"/>
  <c r="W161" i="4"/>
  <c r="Y185" i="4"/>
  <c r="Y185" i="1" s="1"/>
  <c r="BD75" i="24"/>
  <c r="DS136" i="4"/>
  <c r="CE166" i="4"/>
  <c r="AZ75" i="24"/>
  <c r="DS131" i="4"/>
  <c r="BI27" i="4"/>
  <c r="S24" i="4"/>
  <c r="DU245" i="7"/>
  <c r="DI245" i="4"/>
  <c r="CK80" i="24"/>
  <c r="DN178" i="7"/>
  <c r="DN179" i="4"/>
  <c r="Y178" i="7"/>
  <c r="Y203" i="4"/>
  <c r="Y203" i="1" s="1"/>
  <c r="EK70" i="7"/>
  <c r="Z128" i="4"/>
  <c r="Z128" i="1" s="1"/>
  <c r="BS156" i="7"/>
  <c r="EQ157" i="4"/>
  <c r="DM45" i="4"/>
  <c r="V143" i="4"/>
  <c r="V143" i="1" s="1"/>
  <c r="CU80" i="24"/>
  <c r="DN191" i="4"/>
  <c r="CE129" i="7"/>
  <c r="FG62" i="4"/>
  <c r="AK62" i="4" s="1"/>
  <c r="AK62" i="1" s="1"/>
  <c r="AK62" i="7"/>
  <c r="DG174" i="4"/>
  <c r="DA80" i="24"/>
  <c r="DN198" i="4"/>
  <c r="R80" i="24"/>
  <c r="DN91" i="4"/>
  <c r="DN90" i="7"/>
  <c r="ES138" i="4"/>
  <c r="DL241" i="7"/>
  <c r="EB82" i="24" s="1"/>
  <c r="DL242" i="4"/>
  <c r="CF80" i="24"/>
  <c r="DN173" i="4"/>
  <c r="DN172" i="7"/>
  <c r="CB156" i="7"/>
  <c r="K79" i="24"/>
  <c r="DO81" i="4"/>
  <c r="BX115" i="7"/>
  <c r="CE83" i="4"/>
  <c r="CE125" i="4"/>
  <c r="CZ77" i="24"/>
  <c r="DQ197" i="4"/>
  <c r="DG171" i="4"/>
  <c r="DM42" i="4"/>
  <c r="CB79" i="24"/>
  <c r="DO168" i="4"/>
  <c r="BU178" i="4"/>
  <c r="DE70" i="7"/>
  <c r="T200" i="4"/>
  <c r="T200" i="1" s="1"/>
  <c r="CE157" i="7"/>
  <c r="BW85" i="24"/>
  <c r="DU161" i="7"/>
  <c r="DI161" i="4"/>
  <c r="ER172" i="4"/>
  <c r="Z98" i="4"/>
  <c r="Z98" i="1" s="1"/>
  <c r="R83" i="24"/>
  <c r="DK90" i="7"/>
  <c r="DK91" i="4"/>
  <c r="Y79" i="24"/>
  <c r="DO98" i="4"/>
  <c r="AG83" i="24"/>
  <c r="DK108" i="4"/>
  <c r="CZ76" i="24"/>
  <c r="DR197" i="4"/>
  <c r="S191" i="4"/>
  <c r="S191" i="1" s="1"/>
  <c r="EW137" i="4"/>
  <c r="EL133" i="4"/>
  <c r="Z171" i="4"/>
  <c r="Z171" i="1" s="1"/>
  <c r="AN82" i="24"/>
  <c r="DL118" i="4"/>
  <c r="W31" i="4"/>
  <c r="BM29" i="4"/>
  <c r="ET90" i="4"/>
  <c r="W138" i="7"/>
  <c r="Y107" i="4"/>
  <c r="Y107" i="1" s="1"/>
  <c r="P14" i="4"/>
  <c r="BF13" i="4"/>
  <c r="BF6" i="4" s="1"/>
  <c r="S223" i="7"/>
  <c r="EW104" i="7"/>
  <c r="DG225" i="4"/>
  <c r="U141" i="4"/>
  <c r="U141" i="1" s="1"/>
  <c r="BS116" i="4"/>
  <c r="CE117" i="4"/>
  <c r="DU137" i="7"/>
  <c r="BE85" i="24"/>
  <c r="DI137" i="4"/>
  <c r="BN13" i="4"/>
  <c r="BN6" i="4" s="1"/>
  <c r="X14" i="4"/>
  <c r="DF81" i="24"/>
  <c r="DM203" i="4"/>
  <c r="L80" i="24"/>
  <c r="DN82" i="4"/>
  <c r="AO83" i="24"/>
  <c r="DK119" i="4"/>
  <c r="CZ133" i="4"/>
  <c r="BS80" i="24"/>
  <c r="DN154" i="4"/>
  <c r="AA202" i="7"/>
  <c r="BQ13" i="7"/>
  <c r="DU212" i="7"/>
  <c r="DM85" i="24"/>
  <c r="DI212" i="4"/>
  <c r="BV223" i="4"/>
  <c r="CJ83" i="24"/>
  <c r="DK177" i="4"/>
  <c r="Y84" i="4"/>
  <c r="Y84" i="1" s="1"/>
  <c r="DU189" i="7"/>
  <c r="CS85" i="24"/>
  <c r="DI189" i="4"/>
  <c r="DH82" i="24"/>
  <c r="DL206" i="4"/>
  <c r="DL205" i="7"/>
  <c r="AX80" i="24"/>
  <c r="DN128" i="4"/>
  <c r="Q87" i="24"/>
  <c r="Q99" i="24"/>
  <c r="FI88" i="4"/>
  <c r="FI87" i="4" s="1"/>
  <c r="FI87" i="7"/>
  <c r="O169" i="4"/>
  <c r="BQ169" i="4"/>
  <c r="EM90" i="4"/>
  <c r="BC82" i="24"/>
  <c r="DL135" i="4"/>
  <c r="EW212" i="4"/>
  <c r="DN84" i="24"/>
  <c r="DJ213" i="4"/>
  <c r="BQ36" i="4"/>
  <c r="O36" i="4"/>
  <c r="U148" i="4"/>
  <c r="U148" i="1" s="1"/>
  <c r="DO79" i="24"/>
  <c r="DO215" i="4"/>
  <c r="DO214" i="7"/>
  <c r="EW204" i="4"/>
  <c r="CF78" i="24"/>
  <c r="DP173" i="4"/>
  <c r="DP172" i="7"/>
  <c r="BG81" i="24"/>
  <c r="DM140" i="4"/>
  <c r="BJ58" i="7"/>
  <c r="G82" i="24"/>
  <c r="DL77" i="4"/>
  <c r="DL76" i="7"/>
  <c r="AS75" i="24"/>
  <c r="DS123" i="4"/>
  <c r="DG196" i="4"/>
  <c r="T186" i="4"/>
  <c r="T186" i="1" s="1"/>
  <c r="DB81" i="24"/>
  <c r="DM199" i="4"/>
  <c r="AA106" i="7"/>
  <c r="T178" i="7"/>
  <c r="EM70" i="7"/>
  <c r="DC75" i="24"/>
  <c r="DS200" i="4"/>
  <c r="V79" i="24"/>
  <c r="DO95" i="4"/>
  <c r="DE182" i="4"/>
  <c r="P82" i="24"/>
  <c r="DL86" i="4"/>
  <c r="M82" i="24"/>
  <c r="DL83" i="4"/>
  <c r="T175" i="4"/>
  <c r="T175" i="1" s="1"/>
  <c r="J82" i="24"/>
  <c r="DL80" i="4"/>
  <c r="CE76" i="24"/>
  <c r="DR171" i="4"/>
  <c r="AA102" i="7"/>
  <c r="X222" i="4"/>
  <c r="X222" i="1" s="1"/>
  <c r="DL76" i="24"/>
  <c r="DR211" i="4"/>
  <c r="BZ187" i="4"/>
  <c r="EV156" i="7"/>
  <c r="CD115" i="7"/>
  <c r="DG165" i="4"/>
  <c r="CU164" i="4"/>
  <c r="BM87" i="4"/>
  <c r="W88" i="4"/>
  <c r="S149" i="4"/>
  <c r="S149" i="1" s="1"/>
  <c r="CX129" i="4"/>
  <c r="EV178" i="4"/>
  <c r="X111" i="4"/>
  <c r="X111" i="1" s="1"/>
  <c r="BU241" i="4"/>
  <c r="CX138" i="4"/>
  <c r="DU84" i="7"/>
  <c r="N85" i="24"/>
  <c r="DI84" i="4"/>
  <c r="BM75" i="24"/>
  <c r="DS147" i="4"/>
  <c r="DS146" i="7"/>
  <c r="X152" i="4"/>
  <c r="X152" i="1" s="1"/>
  <c r="BI79" i="24"/>
  <c r="DO142" i="4"/>
  <c r="S167" i="4"/>
  <c r="S167" i="1" s="1"/>
  <c r="AH75" i="24"/>
  <c r="DS109" i="4"/>
  <c r="CX76" i="24"/>
  <c r="DR195" i="4"/>
  <c r="X112" i="4"/>
  <c r="X112" i="1" s="1"/>
  <c r="CE46" i="4"/>
  <c r="V139" i="4"/>
  <c r="BL138" i="4"/>
  <c r="U175" i="4"/>
  <c r="U175" i="1" s="1"/>
  <c r="BY79" i="24"/>
  <c r="DO164" i="7"/>
  <c r="DO165" i="4"/>
  <c r="BH116" i="4"/>
  <c r="R117" i="4"/>
  <c r="Z133" i="7"/>
  <c r="Q159" i="4"/>
  <c r="Q159" i="1" s="1"/>
  <c r="CV187" i="4"/>
  <c r="AA213" i="7"/>
  <c r="DG109" i="4"/>
  <c r="P129" i="7"/>
  <c r="S29" i="7"/>
  <c r="W83" i="24"/>
  <c r="DK96" i="4"/>
  <c r="W102" i="4"/>
  <c r="BL84" i="24"/>
  <c r="DJ145" i="4"/>
  <c r="AL79" i="24"/>
  <c r="DO113" i="4"/>
  <c r="EU172" i="4"/>
  <c r="V197" i="4"/>
  <c r="V197" i="1" s="1"/>
  <c r="AC227" i="7"/>
  <c r="BS193" i="4"/>
  <c r="CE194" i="4"/>
  <c r="W27" i="7"/>
  <c r="CW205" i="4"/>
  <c r="DN31" i="4"/>
  <c r="DN29" i="7"/>
  <c r="DF187" i="4"/>
  <c r="BX84" i="24"/>
  <c r="DJ162" i="4"/>
  <c r="CE96" i="4"/>
  <c r="DU112" i="7"/>
  <c r="AK85" i="24"/>
  <c r="DI112" i="4"/>
  <c r="AJ81" i="24"/>
  <c r="DM111" i="4"/>
  <c r="DQ39" i="4"/>
  <c r="DQ38" i="7"/>
  <c r="Q65" i="24"/>
  <c r="CA87" i="7"/>
  <c r="CA75" i="7" s="1"/>
  <c r="CA88" i="4"/>
  <c r="EP116" i="4"/>
  <c r="O207" i="4"/>
  <c r="BQ207" i="4"/>
  <c r="BQ182" i="7"/>
  <c r="AA142" i="7"/>
  <c r="V101" i="4"/>
  <c r="V101" i="1" s="1"/>
  <c r="CI79" i="24"/>
  <c r="DO176" i="4"/>
  <c r="Y137" i="4"/>
  <c r="Y137" i="1" s="1"/>
  <c r="CR81" i="24"/>
  <c r="DM188" i="4"/>
  <c r="DM187" i="7"/>
  <c r="P153" i="4"/>
  <c r="P153" i="1" s="1"/>
  <c r="Y109" i="4"/>
  <c r="Y109" i="1" s="1"/>
  <c r="EV133" i="4"/>
  <c r="DU144" i="7"/>
  <c r="BK85" i="24"/>
  <c r="DI144" i="4"/>
  <c r="BP80" i="24"/>
  <c r="DN151" i="4"/>
  <c r="DN150" i="7"/>
  <c r="CV70" i="4"/>
  <c r="DC76" i="4"/>
  <c r="EW79" i="4"/>
  <c r="S104" i="7"/>
  <c r="BO79" i="24"/>
  <c r="DO149" i="4"/>
  <c r="AZ83" i="24"/>
  <c r="DK131" i="4"/>
  <c r="O24" i="4"/>
  <c r="BE27" i="4"/>
  <c r="BQ24" i="4"/>
  <c r="I74" i="24"/>
  <c r="DT79" i="4"/>
  <c r="Z139" i="4"/>
  <c r="BP138" i="4"/>
  <c r="BC81" i="24"/>
  <c r="DM135" i="4"/>
  <c r="S76" i="24"/>
  <c r="DR92" i="4"/>
  <c r="EW176" i="4"/>
  <c r="BK157" i="4"/>
  <c r="U158" i="4"/>
  <c r="CU75" i="24"/>
  <c r="DS191" i="4"/>
  <c r="O208" i="4"/>
  <c r="BQ208" i="4"/>
  <c r="BN81" i="24"/>
  <c r="DM148" i="4"/>
  <c r="EW209" i="7"/>
  <c r="R78" i="24"/>
  <c r="DP91" i="4"/>
  <c r="DP90" i="7"/>
  <c r="DO242" i="4"/>
  <c r="DO241" i="7"/>
  <c r="EB79" i="24" s="1"/>
  <c r="X101" i="4"/>
  <c r="X101" i="1" s="1"/>
  <c r="FC173" i="7"/>
  <c r="FA173" i="7"/>
  <c r="EY173" i="7"/>
  <c r="FJ173" i="7"/>
  <c r="FB173" i="7"/>
  <c r="EZ173" i="7"/>
  <c r="AD173" i="7" s="1"/>
  <c r="FI173" i="7"/>
  <c r="FH173" i="7"/>
  <c r="AL173" i="7" s="1"/>
  <c r="AB173" i="7" s="1"/>
  <c r="FF173" i="7"/>
  <c r="FD173" i="7"/>
  <c r="FG173" i="7"/>
  <c r="EX173" i="7" s="1"/>
  <c r="FE173" i="7"/>
  <c r="Y84" i="24"/>
  <c r="DJ98" i="4"/>
  <c r="S148" i="4"/>
  <c r="S148" i="1" s="1"/>
  <c r="AG82" i="24"/>
  <c r="DL108" i="4"/>
  <c r="K74" i="24"/>
  <c r="DT81" i="4"/>
  <c r="X86" i="4"/>
  <c r="X86" i="1" s="1"/>
  <c r="CZ75" i="24"/>
  <c r="DS197" i="4"/>
  <c r="AA25" i="7"/>
  <c r="DA70" i="4"/>
  <c r="BQ192" i="4"/>
  <c r="O192" i="4"/>
  <c r="DU168" i="7"/>
  <c r="CB85" i="24"/>
  <c r="DI168" i="4"/>
  <c r="FC168" i="7"/>
  <c r="AG168" i="7" s="1"/>
  <c r="EY168" i="7"/>
  <c r="FJ168" i="7"/>
  <c r="FB168" i="7"/>
  <c r="FA168" i="7"/>
  <c r="EZ168" i="7"/>
  <c r="FI168" i="7"/>
  <c r="FH168" i="7"/>
  <c r="FD168" i="7"/>
  <c r="FG168" i="7"/>
  <c r="EX168" i="7" s="1"/>
  <c r="FF168" i="7"/>
  <c r="FE168" i="7"/>
  <c r="DG60" i="7"/>
  <c r="FD34" i="7"/>
  <c r="FD34" i="4" s="1"/>
  <c r="FA34" i="7"/>
  <c r="FA34" i="4" s="1"/>
  <c r="FC34" i="7"/>
  <c r="FB34" i="7"/>
  <c r="EZ34" i="7"/>
  <c r="EY34" i="7"/>
  <c r="FJ34" i="7"/>
  <c r="FI34" i="7"/>
  <c r="FH34" i="7"/>
  <c r="FF34" i="7"/>
  <c r="FF34" i="4" s="1"/>
  <c r="FE34" i="7"/>
  <c r="FG34" i="7"/>
  <c r="EX34" i="7" s="1"/>
  <c r="V7" i="4"/>
  <c r="V7" i="1" s="1"/>
  <c r="DP74" i="24"/>
  <c r="DT216" i="4"/>
  <c r="G81" i="24"/>
  <c r="DM77" i="4"/>
  <c r="DM76" i="7"/>
  <c r="CU75" i="7"/>
  <c r="EW185" i="4"/>
  <c r="AY84" i="24"/>
  <c r="DJ130" i="4"/>
  <c r="DJ129" i="7"/>
  <c r="S129" i="7"/>
  <c r="AS84" i="24"/>
  <c r="DJ123" i="4"/>
  <c r="EU209" i="4"/>
  <c r="AN78" i="24"/>
  <c r="DP118" i="4"/>
  <c r="CB214" i="4"/>
  <c r="DG79" i="24"/>
  <c r="DO204" i="4"/>
  <c r="DG204" i="4"/>
  <c r="BZ205" i="4"/>
  <c r="W207" i="4"/>
  <c r="AT80" i="24"/>
  <c r="DN124" i="4"/>
  <c r="U124" i="4"/>
  <c r="U124" i="1" s="1"/>
  <c r="W29" i="7"/>
  <c r="CW150" i="4"/>
  <c r="DB79" i="24"/>
  <c r="DO199" i="4"/>
  <c r="BQ199" i="4"/>
  <c r="O199" i="4"/>
  <c r="Y211" i="4"/>
  <c r="Y211" i="1" s="1"/>
  <c r="BH60" i="4"/>
  <c r="R61" i="4"/>
  <c r="DU229" i="7"/>
  <c r="DX85" i="24"/>
  <c r="DI229" i="4"/>
  <c r="P13" i="7"/>
  <c r="P6" i="7" s="1"/>
  <c r="ES219" i="4"/>
  <c r="DC84" i="24"/>
  <c r="DJ200" i="4"/>
  <c r="BV156" i="7"/>
  <c r="BI157" i="4"/>
  <c r="S158" i="4"/>
  <c r="BS104" i="4"/>
  <c r="CE105" i="4"/>
  <c r="CW115" i="7"/>
  <c r="BH83" i="24"/>
  <c r="DK141" i="4"/>
  <c r="CZ70" i="4"/>
  <c r="BQ201" i="4"/>
  <c r="O201" i="4"/>
  <c r="V78" i="24"/>
  <c r="DP95" i="4"/>
  <c r="BL241" i="4"/>
  <c r="V242" i="4"/>
  <c r="CM81" i="24"/>
  <c r="DM181" i="4"/>
  <c r="DG193" i="7"/>
  <c r="DU169" i="7"/>
  <c r="CC85" i="24"/>
  <c r="DI169" i="4"/>
  <c r="S169" i="4"/>
  <c r="S169" i="1" s="1"/>
  <c r="W81" i="4"/>
  <c r="DA6" i="4"/>
  <c r="BJ74" i="24"/>
  <c r="DT143" i="4"/>
  <c r="DG143" i="4"/>
  <c r="Y181" i="4"/>
  <c r="Y181" i="1" s="1"/>
  <c r="P81" i="24"/>
  <c r="DM86" i="4"/>
  <c r="Q113" i="4"/>
  <c r="Q113" i="1" s="1"/>
  <c r="BE75" i="24"/>
  <c r="DS137" i="4"/>
  <c r="CA227" i="4"/>
  <c r="BX70" i="7"/>
  <c r="CG82" i="24"/>
  <c r="DL174" i="4"/>
  <c r="M81" i="24"/>
  <c r="DM83" i="4"/>
  <c r="DF43" i="4"/>
  <c r="DF47" i="4" s="1"/>
  <c r="EU219" i="4"/>
  <c r="J79" i="24"/>
  <c r="DO80" i="4"/>
  <c r="AA33" i="7"/>
  <c r="BO115" i="7"/>
  <c r="DD81" i="24"/>
  <c r="DM201" i="4"/>
  <c r="X175" i="4"/>
  <c r="X175" i="1" s="1"/>
  <c r="R107" i="4"/>
  <c r="R107" i="1" s="1"/>
  <c r="DF79" i="24"/>
  <c r="DO203" i="4"/>
  <c r="W192" i="4"/>
  <c r="BN116" i="4"/>
  <c r="X117" i="4"/>
  <c r="DE172" i="4"/>
  <c r="EO133" i="4"/>
  <c r="P195" i="4"/>
  <c r="P195" i="1" s="1"/>
  <c r="L78" i="24"/>
  <c r="DP82" i="4"/>
  <c r="Z143" i="4"/>
  <c r="Z143" i="1" s="1"/>
  <c r="CE84" i="4"/>
  <c r="O84" i="24"/>
  <c r="DJ85" i="4"/>
  <c r="Y110" i="4"/>
  <c r="Y110" i="1" s="1"/>
  <c r="AA89" i="7"/>
  <c r="W173" i="4"/>
  <c r="BM172" i="4"/>
  <c r="R129" i="7"/>
  <c r="AO81" i="24"/>
  <c r="DM119" i="4"/>
  <c r="DA193" i="4"/>
  <c r="CE84" i="24"/>
  <c r="DJ171" i="4"/>
  <c r="Z195" i="4"/>
  <c r="Z195" i="1" s="1"/>
  <c r="Z112" i="4"/>
  <c r="Z112" i="1" s="1"/>
  <c r="H79" i="24"/>
  <c r="DO78" i="4"/>
  <c r="T198" i="4"/>
  <c r="T198" i="1" s="1"/>
  <c r="BS78" i="24"/>
  <c r="DP154" i="4"/>
  <c r="EK27" i="4"/>
  <c r="EW24" i="4"/>
  <c r="EW27" i="4" s="1"/>
  <c r="CX205" i="4"/>
  <c r="CO77" i="24"/>
  <c r="DQ184" i="4"/>
  <c r="FC184" i="7"/>
  <c r="AG184" i="7" s="1"/>
  <c r="EY184" i="7"/>
  <c r="AC184" i="7" s="1"/>
  <c r="FJ184" i="7"/>
  <c r="FB184" i="7"/>
  <c r="AF184" i="7" s="1"/>
  <c r="FA184" i="7"/>
  <c r="EZ184" i="7"/>
  <c r="AD184" i="7" s="1"/>
  <c r="FI184" i="7"/>
  <c r="FH184" i="7"/>
  <c r="FF184" i="7"/>
  <c r="FD184" i="7"/>
  <c r="FG184" i="7"/>
  <c r="EX184" i="7" s="1"/>
  <c r="FE184" i="7"/>
  <c r="E193" i="23"/>
  <c r="D193" i="23" s="1"/>
  <c r="BE43" i="7"/>
  <c r="BE47" i="7" s="1"/>
  <c r="Y79" i="4"/>
  <c r="Y79" i="1" s="1"/>
  <c r="CY90" i="4"/>
  <c r="CE138" i="7"/>
  <c r="CA150" i="4"/>
  <c r="DL74" i="24"/>
  <c r="DT211" i="4"/>
  <c r="EN178" i="4"/>
  <c r="Z92" i="4"/>
  <c r="Z92" i="1" s="1"/>
  <c r="CE176" i="4"/>
  <c r="DM77" i="24"/>
  <c r="DQ212" i="4"/>
  <c r="BV218" i="7"/>
  <c r="BY156" i="7"/>
  <c r="EL104" i="4"/>
  <c r="BR74" i="24"/>
  <c r="DT153" i="4"/>
  <c r="EQ58" i="4"/>
  <c r="BZ182" i="4"/>
  <c r="EW81" i="4"/>
  <c r="CJ82" i="24"/>
  <c r="DL177" i="4"/>
  <c r="AU77" i="24"/>
  <c r="DQ125" i="4"/>
  <c r="FC125" i="7"/>
  <c r="FA125" i="7"/>
  <c r="EY125" i="7"/>
  <c r="FJ125" i="7"/>
  <c r="FB125" i="7"/>
  <c r="AF125" i="7" s="1"/>
  <c r="EZ125" i="7"/>
  <c r="FI125" i="7"/>
  <c r="AM125" i="7" s="1"/>
  <c r="FD125" i="7"/>
  <c r="FH125" i="7"/>
  <c r="FG125" i="7"/>
  <c r="EX125" i="7" s="1"/>
  <c r="FF125" i="7"/>
  <c r="FE125" i="7"/>
  <c r="DB129" i="4"/>
  <c r="DG169" i="4"/>
  <c r="BK90" i="4"/>
  <c r="U91" i="4"/>
  <c r="EO70" i="4"/>
  <c r="CS77" i="24"/>
  <c r="DQ189" i="4"/>
  <c r="BH75" i="7"/>
  <c r="ES227" i="4"/>
  <c r="ES133" i="4"/>
  <c r="Z194" i="4"/>
  <c r="BP193" i="4"/>
  <c r="T112" i="4"/>
  <c r="T112" i="1" s="1"/>
  <c r="Z94" i="4"/>
  <c r="Z94" i="1" s="1"/>
  <c r="DH81" i="24"/>
  <c r="DM206" i="4"/>
  <c r="DM205" i="7"/>
  <c r="CA146" i="4"/>
  <c r="BK57" i="4"/>
  <c r="U55" i="4"/>
  <c r="BI58" i="7"/>
  <c r="S200" i="4"/>
  <c r="S200" i="1" s="1"/>
  <c r="Z205" i="7"/>
  <c r="DF178" i="4"/>
  <c r="P61" i="4"/>
  <c r="BF60" i="4"/>
  <c r="AX79" i="24"/>
  <c r="DO128" i="4"/>
  <c r="EV187" i="4"/>
  <c r="FK88" i="7"/>
  <c r="FK87" i="7" s="1"/>
  <c r="Q97" i="24"/>
  <c r="Q109" i="24"/>
  <c r="EY88" i="4"/>
  <c r="EY87" i="7"/>
  <c r="O193" i="7"/>
  <c r="AA194" i="7"/>
  <c r="AA169" i="7"/>
  <c r="EN146" i="4"/>
  <c r="CN81" i="24"/>
  <c r="DM182" i="7"/>
  <c r="DM183" i="4"/>
  <c r="DF157" i="4"/>
  <c r="Y172" i="7"/>
  <c r="BB83" i="24"/>
  <c r="DK134" i="4"/>
  <c r="DK133" i="7"/>
  <c r="AA93" i="7"/>
  <c r="BP164" i="4"/>
  <c r="Z165" i="4"/>
  <c r="N76" i="24"/>
  <c r="DR84" i="4"/>
  <c r="BL75" i="7"/>
  <c r="EQ172" i="4"/>
  <c r="CE186" i="4"/>
  <c r="S94" i="4"/>
  <c r="S94" i="1" s="1"/>
  <c r="CD38" i="4"/>
  <c r="BM74" i="24"/>
  <c r="DT147" i="4"/>
  <c r="DT146" i="7"/>
  <c r="CA29" i="4"/>
  <c r="O150" i="7"/>
  <c r="AA151" i="7"/>
  <c r="BK76" i="4"/>
  <c r="U77" i="4"/>
  <c r="U196" i="4"/>
  <c r="U196" i="1" s="1"/>
  <c r="DI74" i="24"/>
  <c r="DT207" i="4"/>
  <c r="BQ124" i="4"/>
  <c r="O124" i="4"/>
  <c r="BN138" i="4"/>
  <c r="X139" i="4"/>
  <c r="BI84" i="24"/>
  <c r="DJ142" i="4"/>
  <c r="AH83" i="24"/>
  <c r="DK109" i="4"/>
  <c r="X181" i="4"/>
  <c r="X181" i="1" s="1"/>
  <c r="Z87" i="7"/>
  <c r="AB77" i="24"/>
  <c r="DQ101" i="4"/>
  <c r="CL81" i="24"/>
  <c r="DM180" i="4"/>
  <c r="EO227" i="4"/>
  <c r="BQ244" i="4"/>
  <c r="O244" i="4"/>
  <c r="CX75" i="24"/>
  <c r="DS195" i="4"/>
  <c r="AC81" i="24"/>
  <c r="DM102" i="4"/>
  <c r="DD209" i="4"/>
  <c r="BZ75" i="24"/>
  <c r="DS166" i="4"/>
  <c r="S190" i="4"/>
  <c r="S190" i="1" s="1"/>
  <c r="W83" i="4"/>
  <c r="EO214" i="4"/>
  <c r="Z27" i="7"/>
  <c r="X76" i="24"/>
  <c r="DR97" i="4"/>
  <c r="V169" i="4"/>
  <c r="V169" i="1" s="1"/>
  <c r="BO205" i="4"/>
  <c r="Y206" i="4"/>
  <c r="R146" i="7"/>
  <c r="EW207" i="4"/>
  <c r="DB90" i="4"/>
  <c r="BQ127" i="4"/>
  <c r="O127" i="4"/>
  <c r="V138" i="7"/>
  <c r="AE78" i="24"/>
  <c r="DP106" i="4"/>
  <c r="V107" i="4"/>
  <c r="V107" i="1" s="1"/>
  <c r="EW203" i="4"/>
  <c r="AR78" i="24"/>
  <c r="DP122" i="4"/>
  <c r="Q183" i="4"/>
  <c r="BG182" i="4"/>
  <c r="DI88" i="7"/>
  <c r="DU32" i="7"/>
  <c r="DI32" i="4"/>
  <c r="O176" i="4"/>
  <c r="BQ176" i="4"/>
  <c r="U187" i="7"/>
  <c r="DT82" i="24"/>
  <c r="DL224" i="4"/>
  <c r="DL223" i="7"/>
  <c r="EK223" i="4"/>
  <c r="EW224" i="4"/>
  <c r="AA45" i="7"/>
  <c r="ET116" i="4"/>
  <c r="BY83" i="24"/>
  <c r="DK165" i="4"/>
  <c r="DK164" i="7"/>
  <c r="EO164" i="4"/>
  <c r="DE84" i="24"/>
  <c r="DJ202" i="4"/>
  <c r="Q160" i="4"/>
  <c r="Q160" i="1" s="1"/>
  <c r="BT77" i="24"/>
  <c r="DQ158" i="4"/>
  <c r="DQ157" i="7"/>
  <c r="FC158" i="7"/>
  <c r="EY158" i="7"/>
  <c r="FB158" i="7"/>
  <c r="FA158" i="7"/>
  <c r="EZ158" i="7"/>
  <c r="AD158" i="7" s="1"/>
  <c r="FJ158" i="7"/>
  <c r="AN158" i="7" s="1"/>
  <c r="FI158" i="7"/>
  <c r="FH158" i="7"/>
  <c r="AL158" i="7" s="1"/>
  <c r="AB158" i="7" s="1"/>
  <c r="FG158" i="7"/>
  <c r="EX158" i="7" s="1"/>
  <c r="FE158" i="7"/>
  <c r="FD158" i="7"/>
  <c r="FF158" i="7"/>
  <c r="AJ158" i="7" s="1"/>
  <c r="R116" i="7"/>
  <c r="V177" i="4"/>
  <c r="V177" i="1" s="1"/>
  <c r="DU226" i="7"/>
  <c r="DV85" i="24"/>
  <c r="DI226" i="4"/>
  <c r="EO116" i="4"/>
  <c r="CD164" i="4"/>
  <c r="W108" i="4"/>
  <c r="BP182" i="4"/>
  <c r="Z183" i="4"/>
  <c r="CZ218" i="7"/>
  <c r="BZ104" i="4"/>
  <c r="V108" i="4"/>
  <c r="V108" i="1" s="1"/>
  <c r="BU75" i="24"/>
  <c r="DS159" i="4"/>
  <c r="BI182" i="4"/>
  <c r="S183" i="4"/>
  <c r="DG242" i="4"/>
  <c r="CU241" i="4"/>
  <c r="FB63" i="4"/>
  <c r="AF63" i="4" s="1"/>
  <c r="AF63" i="1" s="1"/>
  <c r="AF63" i="7"/>
  <c r="W124" i="4"/>
  <c r="AW80" i="24"/>
  <c r="DN127" i="4"/>
  <c r="Q122" i="4"/>
  <c r="Q122" i="1" s="1"/>
  <c r="T80" i="4"/>
  <c r="T80" i="1" s="1"/>
  <c r="CZ157" i="4"/>
  <c r="T227" i="7"/>
  <c r="W82" i="24"/>
  <c r="DL96" i="4"/>
  <c r="EW138" i="7"/>
  <c r="EU70" i="4"/>
  <c r="FK64" i="7"/>
  <c r="EY64" i="4"/>
  <c r="AC64" i="7"/>
  <c r="P200" i="4"/>
  <c r="P200" i="1" s="1"/>
  <c r="BE115" i="7"/>
  <c r="U191" i="4"/>
  <c r="U191" i="1" s="1"/>
  <c r="EW133" i="7"/>
  <c r="O209" i="7"/>
  <c r="AA210" i="7"/>
  <c r="AA97" i="7"/>
  <c r="CE79" i="4"/>
  <c r="CX150" i="4"/>
  <c r="Z212" i="4"/>
  <c r="Z212" i="1" s="1"/>
  <c r="EO104" i="4"/>
  <c r="BA81" i="24"/>
  <c r="DM132" i="4"/>
  <c r="BW218" i="7"/>
  <c r="BQ78" i="4"/>
  <c r="O78" i="4"/>
  <c r="U77" i="24"/>
  <c r="DQ94" i="4"/>
  <c r="E221" i="23"/>
  <c r="D221" i="23" s="1"/>
  <c r="DC43" i="7"/>
  <c r="CH80" i="24"/>
  <c r="DN175" i="4"/>
  <c r="BI187" i="4"/>
  <c r="S188" i="4"/>
  <c r="BT104" i="4"/>
  <c r="S7" i="4"/>
  <c r="S7" i="1" s="1"/>
  <c r="R109" i="4"/>
  <c r="R109" i="1" s="1"/>
  <c r="BL81" i="24"/>
  <c r="DM145" i="4"/>
  <c r="AA86" i="7"/>
  <c r="CD76" i="4"/>
  <c r="AL78" i="24"/>
  <c r="DP113" i="4"/>
  <c r="Y161" i="4"/>
  <c r="Y161" i="1" s="1"/>
  <c r="DW79" i="24"/>
  <c r="DO227" i="7"/>
  <c r="DO228" i="4"/>
  <c r="AI228" i="4" s="1"/>
  <c r="CY133" i="4"/>
  <c r="CE193" i="7"/>
  <c r="DU246" i="7"/>
  <c r="DI246" i="4"/>
  <c r="AA246" i="7"/>
  <c r="S136" i="4"/>
  <c r="S136" i="1" s="1"/>
  <c r="X196" i="4"/>
  <c r="X196" i="1" s="1"/>
  <c r="AV77" i="24"/>
  <c r="DQ126" i="4"/>
  <c r="FC126" i="7"/>
  <c r="EZ126" i="7"/>
  <c r="AD126" i="7" s="1"/>
  <c r="FJ126" i="7"/>
  <c r="AN126" i="7" s="1"/>
  <c r="FI126" i="7"/>
  <c r="FB126" i="7"/>
  <c r="FA126" i="7"/>
  <c r="AE126" i="7" s="1"/>
  <c r="EY126" i="7"/>
  <c r="FH126" i="7"/>
  <c r="FG126" i="7"/>
  <c r="EX126" i="7" s="1"/>
  <c r="FF126" i="7"/>
  <c r="FE126" i="7"/>
  <c r="AI126" i="7" s="1"/>
  <c r="FD126" i="7"/>
  <c r="AH126" i="7" s="1"/>
  <c r="CX209" i="4"/>
  <c r="CT76" i="24"/>
  <c r="DR190" i="4"/>
  <c r="EK214" i="4"/>
  <c r="EW215" i="4"/>
  <c r="U97" i="4"/>
  <c r="U97" i="1" s="1"/>
  <c r="AQ81" i="24"/>
  <c r="DM121" i="4"/>
  <c r="BN146" i="4"/>
  <c r="X147" i="4"/>
  <c r="DO31" i="4"/>
  <c r="DO29" i="7"/>
  <c r="DB43" i="4"/>
  <c r="DB47" i="4" s="1"/>
  <c r="CB104" i="4"/>
  <c r="Y164" i="7"/>
  <c r="S86" i="4"/>
  <c r="S86" i="1" s="1"/>
  <c r="EW125" i="4"/>
  <c r="P172" i="7"/>
  <c r="BQ98" i="4"/>
  <c r="O98" i="4"/>
  <c r="CD193" i="4"/>
  <c r="BX83" i="24"/>
  <c r="DK162" i="4"/>
  <c r="Y186" i="4"/>
  <c r="Y186" i="1" s="1"/>
  <c r="X182" i="7"/>
  <c r="BH218" i="7"/>
  <c r="DA223" i="4"/>
  <c r="AK77" i="24"/>
  <c r="DQ112" i="4"/>
  <c r="CE126" i="4"/>
  <c r="DE209" i="4"/>
  <c r="DG27" i="7"/>
  <c r="AF75" i="24"/>
  <c r="DS107" i="4"/>
  <c r="AA107" i="7"/>
  <c r="AJ80" i="24"/>
  <c r="DN111" i="4"/>
  <c r="BO218" i="7"/>
  <c r="Q177" i="4"/>
  <c r="Q177" i="1" s="1"/>
  <c r="DR39" i="4"/>
  <c r="DR38" i="7"/>
  <c r="F76" i="24" s="1"/>
  <c r="ET138" i="4"/>
  <c r="X106" i="4"/>
  <c r="X106" i="1" s="1"/>
  <c r="R203" i="4"/>
  <c r="R203" i="1" s="1"/>
  <c r="EW122" i="4"/>
  <c r="EN157" i="4"/>
  <c r="EP115" i="7"/>
  <c r="DG201" i="4"/>
  <c r="DU82" i="24"/>
  <c r="DL225" i="4"/>
  <c r="CZ227" i="4"/>
  <c r="P123" i="4"/>
  <c r="P123" i="1" s="1"/>
  <c r="CY75" i="24"/>
  <c r="DS196" i="4"/>
  <c r="FC196" i="7"/>
  <c r="EZ196" i="7"/>
  <c r="FI196" i="7"/>
  <c r="AM196" i="7" s="1"/>
  <c r="FB196" i="7"/>
  <c r="FA196" i="7"/>
  <c r="EY196" i="7"/>
  <c r="FJ196" i="7"/>
  <c r="FH196" i="7"/>
  <c r="FF196" i="7"/>
  <c r="FE196" i="7"/>
  <c r="FG196" i="7"/>
  <c r="EX196" i="7" s="1"/>
  <c r="FD196" i="7"/>
  <c r="AA207" i="7"/>
  <c r="EQ70" i="4"/>
  <c r="Q72" i="24"/>
  <c r="BT88" i="4"/>
  <c r="BT87" i="7"/>
  <c r="BT75" i="7" s="1"/>
  <c r="EQ104" i="4"/>
  <c r="P165" i="4"/>
  <c r="BF164" i="4"/>
  <c r="CP77" i="24"/>
  <c r="DQ185" i="4"/>
  <c r="EP193" i="4"/>
  <c r="CE121" i="4"/>
  <c r="T99" i="4"/>
  <c r="T99" i="1" s="1"/>
  <c r="BF82" i="24"/>
  <c r="DL139" i="4"/>
  <c r="DL138" i="7"/>
  <c r="R175" i="4"/>
  <c r="R175" i="1" s="1"/>
  <c r="S108" i="4"/>
  <c r="S108" i="1" s="1"/>
  <c r="BQ161" i="4"/>
  <c r="O161" i="4"/>
  <c r="T129" i="7"/>
  <c r="T118" i="4"/>
  <c r="T118" i="1" s="1"/>
  <c r="AP82" i="24"/>
  <c r="DL120" i="4"/>
  <c r="T169" i="4"/>
  <c r="T169" i="1" s="1"/>
  <c r="T124" i="4"/>
  <c r="T124" i="1" s="1"/>
  <c r="V192" i="4"/>
  <c r="V192" i="1" s="1"/>
  <c r="AA74" i="24"/>
  <c r="DT100" i="4"/>
  <c r="CI80" i="24"/>
  <c r="DN176" i="4"/>
  <c r="BS218" i="7"/>
  <c r="AD84" i="24"/>
  <c r="DJ105" i="4"/>
  <c r="DJ104" i="7"/>
  <c r="BJ116" i="4"/>
  <c r="T117" i="4"/>
  <c r="W98" i="4"/>
  <c r="CW82" i="24"/>
  <c r="DL194" i="4"/>
  <c r="DL193" i="7"/>
  <c r="T102" i="4"/>
  <c r="T102" i="1" s="1"/>
  <c r="FK61" i="7"/>
  <c r="EY61" i="4"/>
  <c r="EY60" i="7"/>
  <c r="AC61" i="7"/>
  <c r="X160" i="4"/>
  <c r="X160" i="1" s="1"/>
  <c r="CR79" i="24"/>
  <c r="DO188" i="4"/>
  <c r="DO187" i="7"/>
  <c r="BU223" i="4"/>
  <c r="AM83" i="24"/>
  <c r="DK116" i="7"/>
  <c r="DK117" i="4"/>
  <c r="BE104" i="4"/>
  <c r="O105" i="4"/>
  <c r="BQ105" i="4"/>
  <c r="BJ164" i="4"/>
  <c r="T165" i="4"/>
  <c r="W213" i="4"/>
  <c r="Q7" i="4"/>
  <c r="Q7" i="1" s="1"/>
  <c r="BE241" i="4"/>
  <c r="O242" i="4"/>
  <c r="BQ242" i="4"/>
  <c r="DJ76" i="24"/>
  <c r="DR208" i="4"/>
  <c r="W125" i="4"/>
  <c r="Y97" i="4"/>
  <c r="Y97" i="1" s="1"/>
  <c r="Z75" i="24"/>
  <c r="DS99" i="4"/>
  <c r="FC99" i="7"/>
  <c r="FA99" i="7"/>
  <c r="AE99" i="7" s="1"/>
  <c r="EY99" i="7"/>
  <c r="FJ99" i="7"/>
  <c r="FB99" i="7"/>
  <c r="EZ99" i="7"/>
  <c r="FI99" i="7"/>
  <c r="FG99" i="7"/>
  <c r="EX99" i="7" s="1"/>
  <c r="FE99" i="7"/>
  <c r="FH99" i="7"/>
  <c r="FF99" i="7"/>
  <c r="FD99" i="7"/>
  <c r="AH99" i="7" s="1"/>
  <c r="BK83" i="24"/>
  <c r="DK144" i="4"/>
  <c r="BV187" i="4"/>
  <c r="T74" i="24"/>
  <c r="DT93" i="4"/>
  <c r="T104" i="7"/>
  <c r="DC227" i="4"/>
  <c r="CD74" i="24"/>
  <c r="DT170" i="4"/>
  <c r="BO193" i="4"/>
  <c r="Y194" i="4"/>
  <c r="T127" i="4"/>
  <c r="T127" i="1" s="1"/>
  <c r="BP79" i="24"/>
  <c r="DO151" i="4"/>
  <c r="DO150" i="7"/>
  <c r="CV84" i="24"/>
  <c r="DJ192" i="4"/>
  <c r="E228" i="23"/>
  <c r="D228" i="23" s="1"/>
  <c r="CV70" i="7"/>
  <c r="BH157" i="4"/>
  <c r="R158" i="4"/>
  <c r="Y177" i="4"/>
  <c r="Y177" i="1" s="1"/>
  <c r="BV79" i="24"/>
  <c r="DO160" i="4"/>
  <c r="BW156" i="7"/>
  <c r="O164" i="7"/>
  <c r="AA165" i="7"/>
  <c r="BQ32" i="4"/>
  <c r="O32" i="4"/>
  <c r="DG177" i="4"/>
  <c r="CE34" i="4"/>
  <c r="X82" i="4"/>
  <c r="X82" i="1" s="1"/>
  <c r="CA83" i="24"/>
  <c r="DK167" i="4"/>
  <c r="T216" i="4"/>
  <c r="T216" i="1" s="1"/>
  <c r="EW85" i="4"/>
  <c r="AI74" i="24"/>
  <c r="DT110" i="4"/>
  <c r="BO84" i="24"/>
  <c r="DJ149" i="4"/>
  <c r="Z161" i="4"/>
  <c r="Z161" i="1" s="1"/>
  <c r="BP172" i="4"/>
  <c r="Z173" i="4"/>
  <c r="Q194" i="4"/>
  <c r="BG193" i="4"/>
  <c r="BD79" i="24"/>
  <c r="DO136" i="4"/>
  <c r="O136" i="4"/>
  <c r="BQ136" i="4"/>
  <c r="CE162" i="4"/>
  <c r="CQ83" i="24"/>
  <c r="DK186" i="4"/>
  <c r="X94" i="4"/>
  <c r="X94" i="1" s="1"/>
  <c r="Q190" i="4"/>
  <c r="Q190" i="1" s="1"/>
  <c r="DG83" i="4"/>
  <c r="AZ82" i="24"/>
  <c r="DL131" i="4"/>
  <c r="EV214" i="4"/>
  <c r="AA24" i="7"/>
  <c r="O27" i="7"/>
  <c r="T204" i="4"/>
  <c r="T204" i="1" s="1"/>
  <c r="DE205" i="4"/>
  <c r="BV38" i="4"/>
  <c r="EW29" i="7"/>
  <c r="DU79" i="7"/>
  <c r="I85" i="24"/>
  <c r="DI79" i="4"/>
  <c r="BU90" i="4"/>
  <c r="Z138" i="7"/>
  <c r="X150" i="7"/>
  <c r="DU179" i="7"/>
  <c r="CK85" i="24"/>
  <c r="DI179" i="4"/>
  <c r="DI178" i="7"/>
  <c r="W144" i="4"/>
  <c r="O60" i="7"/>
  <c r="AA61" i="7"/>
  <c r="EN58" i="4"/>
  <c r="BC80" i="24"/>
  <c r="DN135" i="4"/>
  <c r="W219" i="7"/>
  <c r="S74" i="24"/>
  <c r="DT92" i="4"/>
  <c r="DG187" i="7"/>
  <c r="X223" i="7"/>
  <c r="U157" i="7"/>
  <c r="W93" i="4"/>
  <c r="ES104" i="4"/>
  <c r="BZ116" i="4"/>
  <c r="BP115" i="7"/>
  <c r="EL164" i="4"/>
  <c r="Y201" i="4"/>
  <c r="Y201" i="1" s="1"/>
  <c r="DN82" i="24"/>
  <c r="DL213" i="4"/>
  <c r="EW213" i="4"/>
  <c r="DG82" i="4"/>
  <c r="CU74" i="24"/>
  <c r="DT191" i="4"/>
  <c r="P191" i="4"/>
  <c r="P191" i="1" s="1"/>
  <c r="EW87" i="7"/>
  <c r="AA208" i="7"/>
  <c r="AA41" i="7"/>
  <c r="BN76" i="4"/>
  <c r="X77" i="4"/>
  <c r="V113" i="4"/>
  <c r="V113" i="1" s="1"/>
  <c r="BW84" i="24"/>
  <c r="DJ161" i="4"/>
  <c r="BQ170" i="4"/>
  <c r="O170" i="4"/>
  <c r="W193" i="7"/>
  <c r="R171" i="4"/>
  <c r="R171" i="1" s="1"/>
  <c r="BN79" i="24"/>
  <c r="DO148" i="4"/>
  <c r="DG102" i="4"/>
  <c r="Q126" i="4"/>
  <c r="Q126" i="1" s="1"/>
  <c r="DA77" i="24"/>
  <c r="DQ198" i="4"/>
  <c r="BV209" i="4"/>
  <c r="T154" i="4"/>
  <c r="T154" i="1" s="1"/>
  <c r="AA190" i="7"/>
  <c r="DU215" i="7"/>
  <c r="DO85" i="24"/>
  <c r="DI215" i="4"/>
  <c r="DI214" i="7"/>
  <c r="FC215" i="7"/>
  <c r="EZ215" i="7"/>
  <c r="AD215" i="7" s="1"/>
  <c r="EY215" i="7"/>
  <c r="FB215" i="7"/>
  <c r="AF215" i="7" s="1"/>
  <c r="FA215" i="7"/>
  <c r="AE215" i="7" s="1"/>
  <c r="FJ215" i="7"/>
  <c r="FI215" i="7"/>
  <c r="FH215" i="7"/>
  <c r="FD215" i="7"/>
  <c r="FG215" i="7"/>
  <c r="EX215" i="7" s="1"/>
  <c r="FF215" i="7"/>
  <c r="FE215" i="7"/>
  <c r="ET214" i="4"/>
  <c r="DU91" i="7"/>
  <c r="R85" i="24"/>
  <c r="DI91" i="4"/>
  <c r="DI90" i="7"/>
  <c r="FC91" i="7"/>
  <c r="FA91" i="7"/>
  <c r="EY91" i="7"/>
  <c r="FJ91" i="7"/>
  <c r="FI91" i="7"/>
  <c r="FB91" i="7"/>
  <c r="EZ91" i="7"/>
  <c r="FE91" i="7"/>
  <c r="AI91" i="7" s="1"/>
  <c r="FH91" i="7"/>
  <c r="FD91" i="7"/>
  <c r="FG91" i="7"/>
  <c r="EX91" i="7" s="1"/>
  <c r="FF91" i="7"/>
  <c r="AJ91" i="7" s="1"/>
  <c r="DP242" i="4"/>
  <c r="DP241" i="7"/>
  <c r="EB78" i="24" s="1"/>
  <c r="CF75" i="24"/>
  <c r="DS172" i="7"/>
  <c r="DS173" i="4"/>
  <c r="CV172" i="4"/>
  <c r="Y83" i="24"/>
  <c r="DK98" i="4"/>
  <c r="ET193" i="4"/>
  <c r="Y174" i="4"/>
  <c r="Y174" i="1" s="1"/>
  <c r="DK83" i="24"/>
  <c r="DK210" i="4"/>
  <c r="DK209" i="7"/>
  <c r="EK38" i="4"/>
  <c r="EW39" i="4"/>
  <c r="DE178" i="4"/>
  <c r="AG81" i="24"/>
  <c r="DM108" i="4"/>
  <c r="S100" i="4"/>
  <c r="S100" i="1" s="1"/>
  <c r="BG78" i="24"/>
  <c r="DP140" i="4"/>
  <c r="K77" i="24"/>
  <c r="DQ81" i="4"/>
  <c r="S221" i="4"/>
  <c r="S221" i="1" s="1"/>
  <c r="X228" i="4"/>
  <c r="BN227" i="4"/>
  <c r="CC214" i="4"/>
  <c r="BS38" i="4"/>
  <c r="CE39" i="4"/>
  <c r="EW124" i="4"/>
  <c r="BQ83" i="24"/>
  <c r="DK152" i="4"/>
  <c r="V188" i="4"/>
  <c r="BL187" i="4"/>
  <c r="T85" i="4"/>
  <c r="T85" i="1" s="1"/>
  <c r="CZ74" i="24"/>
  <c r="DT197" i="4"/>
  <c r="BQ247" i="4"/>
  <c r="O247" i="4"/>
  <c r="DE138" i="4"/>
  <c r="AA192" i="7"/>
  <c r="BK104" i="4"/>
  <c r="U105" i="4"/>
  <c r="S85" i="4"/>
  <c r="S85" i="1" s="1"/>
  <c r="Z110" i="4"/>
  <c r="Z110" i="1" s="1"/>
  <c r="S125" i="4"/>
  <c r="S125" i="1" s="1"/>
  <c r="U209" i="7"/>
  <c r="CB77" i="24"/>
  <c r="DQ168" i="4"/>
  <c r="BZ70" i="7"/>
  <c r="E66" i="24"/>
  <c r="D66" i="24" s="1"/>
  <c r="BZ43" i="7"/>
  <c r="BZ47" i="7" s="1"/>
  <c r="BZ71" i="7" s="1"/>
  <c r="Q229" i="4"/>
  <c r="Q229" i="1" s="1"/>
  <c r="EV116" i="4"/>
  <c r="ES115" i="7"/>
  <c r="S83" i="4"/>
  <c r="S83" i="1" s="1"/>
  <c r="EW205" i="7"/>
  <c r="O107" i="4"/>
  <c r="BQ107" i="4"/>
  <c r="Y219" i="7"/>
  <c r="DU33" i="7"/>
  <c r="DI33" i="4"/>
  <c r="FD33" i="7"/>
  <c r="FB33" i="7"/>
  <c r="FA33" i="7"/>
  <c r="FA33" i="4" s="1"/>
  <c r="EZ33" i="7"/>
  <c r="FJ33" i="7"/>
  <c r="FC33" i="7"/>
  <c r="EY33" i="7"/>
  <c r="FG33" i="7"/>
  <c r="EX33" i="7" s="1"/>
  <c r="FF33" i="7"/>
  <c r="FF33" i="4" s="1"/>
  <c r="FE33" i="7"/>
  <c r="FI33" i="7"/>
  <c r="FH33" i="7"/>
  <c r="BN57" i="4"/>
  <c r="X55" i="4"/>
  <c r="DU185" i="7"/>
  <c r="CP85" i="24"/>
  <c r="DI185" i="4"/>
  <c r="AA75" i="24"/>
  <c r="DS100" i="4"/>
  <c r="CW83" i="24"/>
  <c r="DK194" i="4"/>
  <c r="DK193" i="7"/>
  <c r="AM84" i="24"/>
  <c r="DJ116" i="7"/>
  <c r="DJ117" i="4"/>
  <c r="DJ77" i="24"/>
  <c r="DQ208" i="4"/>
  <c r="Z78" i="24"/>
  <c r="DP99" i="4"/>
  <c r="Z102" i="4"/>
  <c r="Z102" i="1" s="1"/>
  <c r="AA118" i="7"/>
  <c r="CE88" i="7"/>
  <c r="CE87" i="7" s="1"/>
  <c r="Q69" i="24"/>
  <c r="BW88" i="4"/>
  <c r="BW87" i="7"/>
  <c r="BW75" i="7" s="1"/>
  <c r="CA84" i="24"/>
  <c r="DJ167" i="4"/>
  <c r="CQ77" i="24"/>
  <c r="DQ186" i="4"/>
  <c r="W99" i="4"/>
  <c r="DG124" i="4"/>
  <c r="EK29" i="4"/>
  <c r="EW31" i="4"/>
  <c r="X151" i="4"/>
  <c r="BN150" i="4"/>
  <c r="BQ61" i="4"/>
  <c r="BE60" i="4"/>
  <c r="O61" i="4"/>
  <c r="DA58" i="7"/>
  <c r="BM219" i="4"/>
  <c r="W220" i="4"/>
  <c r="CU187" i="4"/>
  <c r="DG188" i="4"/>
  <c r="BN223" i="4"/>
  <c r="X224" i="4"/>
  <c r="BZ115" i="7"/>
  <c r="X142" i="4"/>
  <c r="X142" i="1" s="1"/>
  <c r="AA36" i="7"/>
  <c r="W109" i="4"/>
  <c r="BQ41" i="4"/>
  <c r="O41" i="4"/>
  <c r="DG133" i="7"/>
  <c r="DO78" i="24"/>
  <c r="DP215" i="4"/>
  <c r="DP214" i="7"/>
  <c r="DG159" i="4"/>
  <c r="CF76" i="24"/>
  <c r="DR173" i="4"/>
  <c r="DR172" i="7"/>
  <c r="DH172" i="7" s="1"/>
  <c r="EW129" i="7"/>
  <c r="DK84" i="24"/>
  <c r="DJ210" i="4"/>
  <c r="DJ209" i="7"/>
  <c r="BG80" i="24"/>
  <c r="DN140" i="4"/>
  <c r="R81" i="4"/>
  <c r="R81" i="1" s="1"/>
  <c r="BQ75" i="24"/>
  <c r="DS152" i="4"/>
  <c r="CE167" i="4"/>
  <c r="Q137" i="4"/>
  <c r="Q137" i="1" s="1"/>
  <c r="DG221" i="4"/>
  <c r="V170" i="4"/>
  <c r="V170" i="1" s="1"/>
  <c r="BK209" i="4"/>
  <c r="U210" i="4"/>
  <c r="DU34" i="7"/>
  <c r="DI34" i="4"/>
  <c r="R95" i="4"/>
  <c r="R95" i="1" s="1"/>
  <c r="DU216" i="7"/>
  <c r="DP85" i="24"/>
  <c r="DI216" i="4"/>
  <c r="Z216" i="4"/>
  <c r="Z216" i="1" s="1"/>
  <c r="V85" i="4"/>
  <c r="V85" i="1" s="1"/>
  <c r="R145" i="4"/>
  <c r="R145" i="1" s="1"/>
  <c r="P86" i="4"/>
  <c r="P86" i="1" s="1"/>
  <c r="G80" i="24"/>
  <c r="DN77" i="4"/>
  <c r="DN76" i="7"/>
  <c r="DG76" i="7"/>
  <c r="EP172" i="4"/>
  <c r="AY83" i="24"/>
  <c r="DK129" i="7"/>
  <c r="DK130" i="4"/>
  <c r="DG180" i="4"/>
  <c r="DF193" i="4"/>
  <c r="AS82" i="24"/>
  <c r="DL123" i="4"/>
  <c r="V123" i="4"/>
  <c r="V123" i="1" s="1"/>
  <c r="V195" i="4"/>
  <c r="V195" i="1" s="1"/>
  <c r="T148" i="4"/>
  <c r="T148" i="1" s="1"/>
  <c r="EW78" i="4"/>
  <c r="AN77" i="24"/>
  <c r="DQ118" i="4"/>
  <c r="FC118" i="7"/>
  <c r="AG118" i="7" s="1"/>
  <c r="FA118" i="7"/>
  <c r="AE118" i="7" s="1"/>
  <c r="EZ118" i="7"/>
  <c r="AD118" i="7" s="1"/>
  <c r="FJ118" i="7"/>
  <c r="FI118" i="7"/>
  <c r="FB118" i="7"/>
  <c r="EY118" i="7"/>
  <c r="FG118" i="7"/>
  <c r="EX118" i="7" s="1"/>
  <c r="FF118" i="7"/>
  <c r="FH118" i="7"/>
  <c r="FE118" i="7"/>
  <c r="AI118" i="7" s="1"/>
  <c r="FD118" i="7"/>
  <c r="O166" i="4"/>
  <c r="BQ166" i="4"/>
  <c r="W190" i="4"/>
  <c r="BN27" i="4"/>
  <c r="X24" i="4"/>
  <c r="S120" i="4"/>
  <c r="S120" i="1" s="1"/>
  <c r="DG80" i="24"/>
  <c r="DN204" i="4"/>
  <c r="BN38" i="4"/>
  <c r="X39" i="4"/>
  <c r="AT79" i="24"/>
  <c r="DO124" i="4"/>
  <c r="BM43" i="7"/>
  <c r="E185" i="23"/>
  <c r="D185" i="23" s="1"/>
  <c r="DB80" i="24"/>
  <c r="DN199" i="4"/>
  <c r="AA199" i="7"/>
  <c r="CE192" i="4"/>
  <c r="R60" i="7"/>
  <c r="DX84" i="24"/>
  <c r="DJ229" i="4"/>
  <c r="AD229" i="4" s="1"/>
  <c r="AD229" i="1" s="1"/>
  <c r="Y111" i="4"/>
  <c r="Y111" i="1" s="1"/>
  <c r="EL182" i="4"/>
  <c r="ES218" i="7"/>
  <c r="EO187" i="4"/>
  <c r="DC83" i="24"/>
  <c r="DK200" i="4"/>
  <c r="Q212" i="4"/>
  <c r="Q212" i="1" s="1"/>
  <c r="BV157" i="4"/>
  <c r="S157" i="7"/>
  <c r="BH78" i="24"/>
  <c r="DP141" i="4"/>
  <c r="BV164" i="4"/>
  <c r="EW202" i="4"/>
  <c r="CZ70" i="7"/>
  <c r="U92" i="4"/>
  <c r="U92" i="1" s="1"/>
  <c r="DD223" i="4"/>
  <c r="AA201" i="7"/>
  <c r="V76" i="24"/>
  <c r="DR95" i="4"/>
  <c r="FC95" i="7"/>
  <c r="EY95" i="7"/>
  <c r="FJ95" i="7"/>
  <c r="FB95" i="7"/>
  <c r="FA95" i="7"/>
  <c r="EZ95" i="7"/>
  <c r="FI95" i="7"/>
  <c r="FG95" i="7"/>
  <c r="FF95" i="7"/>
  <c r="AJ95" i="7" s="1"/>
  <c r="FD95" i="7"/>
  <c r="FH95" i="7"/>
  <c r="FE95" i="7"/>
  <c r="AI95" i="7" s="1"/>
  <c r="V241" i="7"/>
  <c r="CM79" i="24"/>
  <c r="DO181" i="4"/>
  <c r="X161" i="4"/>
  <c r="X161" i="1" s="1"/>
  <c r="CC77" i="24"/>
  <c r="DQ169" i="4"/>
  <c r="Q99" i="4"/>
  <c r="Q99" i="1" s="1"/>
  <c r="BO138" i="4"/>
  <c r="Y139" i="4"/>
  <c r="BJ76" i="24"/>
  <c r="DR143" i="4"/>
  <c r="P80" i="24"/>
  <c r="DN86" i="4"/>
  <c r="BE82" i="24"/>
  <c r="DL137" i="4"/>
  <c r="CE119" i="4"/>
  <c r="BX60" i="4"/>
  <c r="Q136" i="4"/>
  <c r="Q136" i="1" s="1"/>
  <c r="CG79" i="24"/>
  <c r="DO174" i="4"/>
  <c r="M80" i="24"/>
  <c r="DN83" i="4"/>
  <c r="BI214" i="4"/>
  <c r="S215" i="4"/>
  <c r="Q120" i="4"/>
  <c r="Q120" i="1" s="1"/>
  <c r="X121" i="4"/>
  <c r="X121" i="1" s="1"/>
  <c r="W147" i="4"/>
  <c r="BM146" i="4"/>
  <c r="DF43" i="7"/>
  <c r="DF47" i="7" s="1"/>
  <c r="E218" i="23"/>
  <c r="D218" i="23" s="1"/>
  <c r="EU218" i="7"/>
  <c r="J84" i="24"/>
  <c r="DJ80" i="4"/>
  <c r="DD79" i="24"/>
  <c r="DO201" i="4"/>
  <c r="CC205" i="4"/>
  <c r="R207" i="4"/>
  <c r="R207" i="1" s="1"/>
  <c r="CV90" i="4"/>
  <c r="DF80" i="24"/>
  <c r="DN203" i="4"/>
  <c r="EL156" i="7"/>
  <c r="X116" i="7"/>
  <c r="CE189" i="4"/>
  <c r="EW113" i="4"/>
  <c r="DU82" i="7"/>
  <c r="L85" i="24"/>
  <c r="DI82" i="4"/>
  <c r="FC82" i="7"/>
  <c r="FA82" i="7"/>
  <c r="EY82" i="7"/>
  <c r="FI82" i="7"/>
  <c r="FB82" i="7"/>
  <c r="AF82" i="7" s="1"/>
  <c r="EZ82" i="7"/>
  <c r="AD82" i="7" s="1"/>
  <c r="FJ82" i="7"/>
  <c r="FH82" i="7"/>
  <c r="FG82" i="7"/>
  <c r="EX82" i="7" s="1"/>
  <c r="FF82" i="7"/>
  <c r="FE82" i="7"/>
  <c r="FD82" i="7"/>
  <c r="X216" i="4"/>
  <c r="X216" i="1" s="1"/>
  <c r="O82" i="24"/>
  <c r="DL85" i="4"/>
  <c r="EM75" i="7"/>
  <c r="DG125" i="4"/>
  <c r="X137" i="4"/>
  <c r="X137" i="1" s="1"/>
  <c r="W172" i="7"/>
  <c r="AO80" i="24"/>
  <c r="DN119" i="4"/>
  <c r="U170" i="4"/>
  <c r="U170" i="1" s="1"/>
  <c r="CE83" i="24"/>
  <c r="DK171" i="4"/>
  <c r="V171" i="4"/>
  <c r="V171" i="1" s="1"/>
  <c r="H82" i="24"/>
  <c r="DL78" i="4"/>
  <c r="BS77" i="24"/>
  <c r="DQ154" i="4"/>
  <c r="FC154" i="7"/>
  <c r="FA154" i="7"/>
  <c r="FJ154" i="7"/>
  <c r="AN154" i="7" s="1"/>
  <c r="FI154" i="7"/>
  <c r="FB154" i="7"/>
  <c r="AF154" i="7" s="1"/>
  <c r="EZ154" i="7"/>
  <c r="EY154" i="7"/>
  <c r="FH154" i="7"/>
  <c r="AL154" i="7" s="1"/>
  <c r="AB154" i="7" s="1"/>
  <c r="FE154" i="7"/>
  <c r="FG154" i="7"/>
  <c r="EX154" i="7" s="1"/>
  <c r="FF154" i="7"/>
  <c r="FD154" i="7"/>
  <c r="EW27" i="7"/>
  <c r="CO76" i="24"/>
  <c r="DR184" i="4"/>
  <c r="BQ29" i="7"/>
  <c r="CZ138" i="4"/>
  <c r="DL75" i="24"/>
  <c r="DS211" i="4"/>
  <c r="R211" i="4"/>
  <c r="R211" i="1" s="1"/>
  <c r="V203" i="4"/>
  <c r="V203" i="1" s="1"/>
  <c r="DA70" i="7"/>
  <c r="DG111" i="4"/>
  <c r="P135" i="4"/>
  <c r="P135" i="1" s="1"/>
  <c r="CY182" i="4"/>
  <c r="EM219" i="4"/>
  <c r="BQ68" i="4"/>
  <c r="O68" i="4"/>
  <c r="Z80" i="4"/>
  <c r="Z80" i="1" s="1"/>
  <c r="CE152" i="4"/>
  <c r="DM76" i="24"/>
  <c r="DR212" i="4"/>
  <c r="BY157" i="4"/>
  <c r="DA116" i="4"/>
  <c r="BR84" i="24"/>
  <c r="DJ153" i="4"/>
  <c r="DG164" i="7"/>
  <c r="S201" i="4"/>
  <c r="S201" i="1" s="1"/>
  <c r="DG80" i="4"/>
  <c r="CJ80" i="24"/>
  <c r="DN177" i="4"/>
  <c r="AU75" i="24"/>
  <c r="DS125" i="4"/>
  <c r="BP146" i="4"/>
  <c r="Z147" i="4"/>
  <c r="U90" i="7"/>
  <c r="EO70" i="7"/>
  <c r="DG92" i="4"/>
  <c r="Y224" i="4"/>
  <c r="BO223" i="4"/>
  <c r="CS75" i="24"/>
  <c r="DS189" i="4"/>
  <c r="BM75" i="7"/>
  <c r="Z193" i="7"/>
  <c r="Y215" i="4"/>
  <c r="BO214" i="4"/>
  <c r="DH79" i="24"/>
  <c r="DO206" i="4"/>
  <c r="DO205" i="7"/>
  <c r="BN60" i="4"/>
  <c r="X61" i="4"/>
  <c r="S111" i="4"/>
  <c r="S111" i="1" s="1"/>
  <c r="EQ116" i="4"/>
  <c r="W184" i="4"/>
  <c r="P60" i="7"/>
  <c r="AX78" i="24"/>
  <c r="DP128" i="4"/>
  <c r="DC6" i="4"/>
  <c r="V84" i="4"/>
  <c r="V84" i="1" s="1"/>
  <c r="Q95" i="24"/>
  <c r="Q107" i="24"/>
  <c r="FA87" i="7"/>
  <c r="FA88" i="4"/>
  <c r="FA87" i="4" s="1"/>
  <c r="DC129" i="4"/>
  <c r="Q144" i="4"/>
  <c r="Q144" i="1" s="1"/>
  <c r="DG135" i="4"/>
  <c r="CN79" i="24"/>
  <c r="DO183" i="4"/>
  <c r="DO182" i="7"/>
  <c r="DF156" i="7"/>
  <c r="CE86" i="4"/>
  <c r="BY227" i="4"/>
  <c r="BB82" i="24"/>
  <c r="DL134" i="4"/>
  <c r="DL133" i="7"/>
  <c r="DD178" i="4"/>
  <c r="CA156" i="7"/>
  <c r="Z164" i="7"/>
  <c r="N74" i="24"/>
  <c r="DT84" i="4"/>
  <c r="DU147" i="7"/>
  <c r="BM85" i="24"/>
  <c r="DI147" i="4"/>
  <c r="DI146" i="7"/>
  <c r="DE58" i="4"/>
  <c r="BQ150" i="7"/>
  <c r="X122" i="4"/>
  <c r="X122" i="1" s="1"/>
  <c r="P158" i="4"/>
  <c r="BF157" i="4"/>
  <c r="U76" i="7"/>
  <c r="V149" i="4"/>
  <c r="V149" i="1" s="1"/>
  <c r="DA133" i="4"/>
  <c r="BQ198" i="4"/>
  <c r="O198" i="4"/>
  <c r="DI84" i="24"/>
  <c r="DJ207" i="4"/>
  <c r="AA124" i="7"/>
  <c r="X138" i="7"/>
  <c r="BI82" i="24"/>
  <c r="DL142" i="4"/>
  <c r="S143" i="4"/>
  <c r="S143" i="1" s="1"/>
  <c r="AH82" i="24"/>
  <c r="DL109" i="4"/>
  <c r="O145" i="4"/>
  <c r="BQ145" i="4"/>
  <c r="BI76" i="4"/>
  <c r="S77" i="4"/>
  <c r="AB76" i="24"/>
  <c r="DR101" i="4"/>
  <c r="CL80" i="24"/>
  <c r="DN180" i="4"/>
  <c r="R180" i="4"/>
  <c r="R180" i="1" s="1"/>
  <c r="AA244" i="7"/>
  <c r="CC133" i="4"/>
  <c r="CE170" i="4"/>
  <c r="CA193" i="4"/>
  <c r="CX74" i="24"/>
  <c r="DT195" i="4"/>
  <c r="AC79" i="24"/>
  <c r="DO102" i="4"/>
  <c r="BQ162" i="4"/>
  <c r="O162" i="4"/>
  <c r="CA209" i="4"/>
  <c r="BZ74" i="24"/>
  <c r="DT166" i="4"/>
  <c r="DG166" i="4"/>
  <c r="U168" i="4"/>
  <c r="U168" i="1" s="1"/>
  <c r="X85" i="24"/>
  <c r="DU97" i="7"/>
  <c r="DI97" i="4"/>
  <c r="DG97" i="4"/>
  <c r="Y205" i="7"/>
  <c r="BQ19" i="4"/>
  <c r="O19" i="4"/>
  <c r="E220" i="23"/>
  <c r="D220" i="23" s="1"/>
  <c r="DD43" i="7"/>
  <c r="AA127" i="7"/>
  <c r="W199" i="4"/>
  <c r="AE76" i="24"/>
  <c r="DR106" i="4"/>
  <c r="FC106" i="7"/>
  <c r="FA106" i="7"/>
  <c r="EZ106" i="7"/>
  <c r="FJ106" i="7"/>
  <c r="FI106" i="7"/>
  <c r="FB106" i="7"/>
  <c r="EY106" i="7"/>
  <c r="AC106" i="7" s="1"/>
  <c r="FG106" i="7"/>
  <c r="EX106" i="7" s="1"/>
  <c r="FF106" i="7"/>
  <c r="AJ106" i="7" s="1"/>
  <c r="FD106" i="7"/>
  <c r="FH106" i="7"/>
  <c r="FE106" i="7"/>
  <c r="Q108" i="4"/>
  <c r="Q108" i="1" s="1"/>
  <c r="EL70" i="4"/>
  <c r="V229" i="4"/>
  <c r="V229" i="1" s="1"/>
  <c r="AR85" i="24"/>
  <c r="DU122" i="7"/>
  <c r="DI122" i="4"/>
  <c r="FC122" i="7"/>
  <c r="AG122" i="7" s="1"/>
  <c r="EY122" i="7"/>
  <c r="AC122" i="7" s="1"/>
  <c r="FJ122" i="7"/>
  <c r="AN122" i="7" s="1"/>
  <c r="FI122" i="7"/>
  <c r="FB122" i="7"/>
  <c r="FA122" i="7"/>
  <c r="EZ122" i="7"/>
  <c r="FG122" i="7"/>
  <c r="EX122" i="7" s="1"/>
  <c r="FE122" i="7"/>
  <c r="FD122" i="7"/>
  <c r="FH122" i="7"/>
  <c r="FF122" i="7"/>
  <c r="ER58" i="7"/>
  <c r="Q182" i="7"/>
  <c r="DA219" i="4"/>
  <c r="DJ88" i="7"/>
  <c r="DJ32" i="4"/>
  <c r="Q67" i="24"/>
  <c r="BY88" i="4"/>
  <c r="BY87" i="7"/>
  <c r="BY75" i="7" s="1"/>
  <c r="V152" i="4"/>
  <c r="V152" i="1" s="1"/>
  <c r="AA176" i="7"/>
  <c r="DT81" i="24"/>
  <c r="DM223" i="7"/>
  <c r="DM224" i="4"/>
  <c r="CV156" i="7"/>
  <c r="Q153" i="4"/>
  <c r="Q153" i="1" s="1"/>
  <c r="BY82" i="24"/>
  <c r="DL165" i="4"/>
  <c r="DL164" i="7"/>
  <c r="BQ211" i="4"/>
  <c r="O211" i="4"/>
  <c r="DE83" i="24"/>
  <c r="DK202" i="4"/>
  <c r="W128" i="4"/>
  <c r="BT76" i="24"/>
  <c r="DR157" i="7"/>
  <c r="DH157" i="7" s="1"/>
  <c r="DR158" i="4"/>
  <c r="EP157" i="4"/>
  <c r="P81" i="4"/>
  <c r="P81" i="1" s="1"/>
  <c r="BH115" i="7"/>
  <c r="EM227" i="4"/>
  <c r="BW38" i="4"/>
  <c r="BY90" i="4"/>
  <c r="DV84" i="24"/>
  <c r="DJ226" i="4"/>
  <c r="Z192" i="4"/>
  <c r="Z192" i="1" s="1"/>
  <c r="P80" i="4"/>
  <c r="P80" i="1" s="1"/>
  <c r="EO115" i="7"/>
  <c r="DA43" i="4"/>
  <c r="DA47" i="4" s="1"/>
  <c r="Z182" i="7"/>
  <c r="BW150" i="4"/>
  <c r="BU84" i="24"/>
  <c r="DJ159" i="4"/>
  <c r="S182" i="7"/>
  <c r="BL205" i="4"/>
  <c r="V206" i="4"/>
  <c r="FJ63" i="4"/>
  <c r="AN63" i="4" s="1"/>
  <c r="AN63" i="1" s="1"/>
  <c r="AN63" i="7"/>
  <c r="AW78" i="24"/>
  <c r="DP127" i="4"/>
  <c r="CZ156" i="7"/>
  <c r="U117" i="4"/>
  <c r="BK116" i="4"/>
  <c r="BI87" i="4"/>
  <c r="S88" i="4"/>
  <c r="P78" i="4"/>
  <c r="P78" i="1" s="1"/>
  <c r="R198" i="4"/>
  <c r="R198" i="1" s="1"/>
  <c r="CV214" i="4"/>
  <c r="W81" i="24"/>
  <c r="DM96" i="4"/>
  <c r="V204" i="4"/>
  <c r="V204" i="1" s="1"/>
  <c r="EU70" i="7"/>
  <c r="EZ64" i="4"/>
  <c r="AD64" i="4" s="1"/>
  <c r="AD64" i="1" s="1"/>
  <c r="AD64" i="7"/>
  <c r="BQ116" i="7"/>
  <c r="BQ85" i="4"/>
  <c r="O85" i="4"/>
  <c r="Q107" i="4"/>
  <c r="Q107" i="1" s="1"/>
  <c r="X192" i="4"/>
  <c r="X192" i="1" s="1"/>
  <c r="DD58" i="4"/>
  <c r="CE80" i="4"/>
  <c r="BA80" i="24"/>
  <c r="DN132" i="4"/>
  <c r="BW227" i="4"/>
  <c r="S170" i="4"/>
  <c r="S170" i="1" s="1"/>
  <c r="AA78" i="7"/>
  <c r="U75" i="24"/>
  <c r="DS94" i="4"/>
  <c r="CU214" i="4"/>
  <c r="DG215" i="4"/>
  <c r="BE205" i="4"/>
  <c r="BQ206" i="4"/>
  <c r="O206" i="4"/>
  <c r="EM146" i="4"/>
  <c r="CH78" i="24"/>
  <c r="DP175" i="4"/>
  <c r="S187" i="7"/>
  <c r="BQ21" i="4"/>
  <c r="O21" i="4"/>
  <c r="Q95" i="4"/>
  <c r="Q95" i="1" s="1"/>
  <c r="U216" i="4"/>
  <c r="U216" i="1" s="1"/>
  <c r="BL79" i="24"/>
  <c r="DO145" i="4"/>
  <c r="DU113" i="7"/>
  <c r="AL85" i="24"/>
  <c r="DI113" i="4"/>
  <c r="FC113" i="7"/>
  <c r="FA113" i="7"/>
  <c r="EY113" i="7"/>
  <c r="FJ113" i="7"/>
  <c r="FI113" i="7"/>
  <c r="FB113" i="7"/>
  <c r="EZ113" i="7"/>
  <c r="AD113" i="7" s="1"/>
  <c r="FH113" i="7"/>
  <c r="AL113" i="7" s="1"/>
  <c r="AB113" i="7" s="1"/>
  <c r="FG113" i="7"/>
  <c r="FE113" i="7"/>
  <c r="FD113" i="7"/>
  <c r="FF113" i="7"/>
  <c r="DW78" i="24"/>
  <c r="DP228" i="4"/>
  <c r="AJ228" i="4" s="1"/>
  <c r="DP227" i="7"/>
  <c r="CE228" i="4"/>
  <c r="BS227" i="4"/>
  <c r="EW195" i="4"/>
  <c r="AV76" i="24"/>
  <c r="DR126" i="4"/>
  <c r="CT84" i="24"/>
  <c r="DJ190" i="4"/>
  <c r="T83" i="4"/>
  <c r="T83" i="1" s="1"/>
  <c r="P24" i="4"/>
  <c r="BF27" i="4"/>
  <c r="CE204" i="4"/>
  <c r="AQ80" i="24"/>
  <c r="DN121" i="4"/>
  <c r="BX205" i="4"/>
  <c r="X146" i="7"/>
  <c r="R124" i="4"/>
  <c r="R124" i="1" s="1"/>
  <c r="DQ31" i="4"/>
  <c r="DQ29" i="7"/>
  <c r="DB43" i="7"/>
  <c r="DB47" i="7" s="1"/>
  <c r="BV90" i="4"/>
  <c r="BQ139" i="4"/>
  <c r="BE138" i="4"/>
  <c r="O139" i="4"/>
  <c r="BL156" i="7"/>
  <c r="AA98" i="7"/>
  <c r="EW112" i="4"/>
  <c r="BX82" i="24"/>
  <c r="DL162" i="4"/>
  <c r="V83" i="4"/>
  <c r="V83" i="1" s="1"/>
  <c r="R151" i="4"/>
  <c r="BH150" i="4"/>
  <c r="P144" i="4"/>
  <c r="P144" i="1" s="1"/>
  <c r="T176" i="4"/>
  <c r="T176" i="1" s="1"/>
  <c r="AK76" i="24"/>
  <c r="DR112" i="4"/>
  <c r="EO138" i="4"/>
  <c r="AF74" i="24"/>
  <c r="DT107" i="4"/>
  <c r="CE122" i="4"/>
  <c r="AJ79" i="24"/>
  <c r="DO111" i="4"/>
  <c r="V183" i="4"/>
  <c r="BL182" i="4"/>
  <c r="X212" i="4"/>
  <c r="X212" i="1" s="1"/>
  <c r="CA115" i="7"/>
  <c r="DT39" i="4"/>
  <c r="DT38" i="7"/>
  <c r="F74" i="24" s="1"/>
  <c r="BU38" i="4"/>
  <c r="DU81" i="24"/>
  <c r="DM225" i="4"/>
  <c r="CY74" i="24"/>
  <c r="DT196" i="4"/>
  <c r="EW131" i="4"/>
  <c r="BV150" i="4"/>
  <c r="Y106" i="4"/>
  <c r="Y106" i="1" s="1"/>
  <c r="EQ70" i="7"/>
  <c r="S176" i="4"/>
  <c r="S176" i="1" s="1"/>
  <c r="P164" i="7"/>
  <c r="CP76" i="24"/>
  <c r="DR185" i="4"/>
  <c r="U186" i="4"/>
  <c r="U186" i="1" s="1"/>
  <c r="E64" i="24"/>
  <c r="D64" i="24" s="1"/>
  <c r="CB43" i="7"/>
  <c r="CB47" i="7" s="1"/>
  <c r="CB71" i="7" s="1"/>
  <c r="BF80" i="24"/>
  <c r="DN138" i="7"/>
  <c r="DN139" i="4"/>
  <c r="Y212" i="4"/>
  <c r="Y212" i="1" s="1"/>
  <c r="AA161" i="7"/>
  <c r="BT133" i="4"/>
  <c r="AP78" i="24"/>
  <c r="DP120" i="4"/>
  <c r="EL90" i="4"/>
  <c r="AA81" i="24"/>
  <c r="DM100" i="4"/>
  <c r="CI78" i="24"/>
  <c r="DP176" i="4"/>
  <c r="BS223" i="4"/>
  <c r="CE224" i="4"/>
  <c r="AD83" i="24"/>
  <c r="DK105" i="4"/>
  <c r="DK104" i="7"/>
  <c r="T116" i="7"/>
  <c r="T189" i="4"/>
  <c r="T189" i="1" s="1"/>
  <c r="CW81" i="24"/>
  <c r="DM194" i="4"/>
  <c r="DM193" i="7"/>
  <c r="W171" i="4"/>
  <c r="BJ205" i="4"/>
  <c r="T206" i="4"/>
  <c r="U107" i="4"/>
  <c r="U107" i="1" s="1"/>
  <c r="FB61" i="4"/>
  <c r="FB60" i="7"/>
  <c r="AF61" i="7"/>
  <c r="CR80" i="24"/>
  <c r="DN188" i="4"/>
  <c r="DN187" i="7"/>
  <c r="BU218" i="7"/>
  <c r="Q93" i="4"/>
  <c r="Q93" i="1" s="1"/>
  <c r="AM81" i="24"/>
  <c r="DM117" i="4"/>
  <c r="DM116" i="7"/>
  <c r="O104" i="7"/>
  <c r="AA105" i="7"/>
  <c r="T164" i="7"/>
  <c r="O241" i="7"/>
  <c r="AA242" i="7"/>
  <c r="DJ75" i="24"/>
  <c r="DS208" i="4"/>
  <c r="BQ129" i="7"/>
  <c r="DU99" i="7"/>
  <c r="Z85" i="24"/>
  <c r="DI99" i="4"/>
  <c r="U99" i="4"/>
  <c r="U99" i="1" s="1"/>
  <c r="CV178" i="4"/>
  <c r="BK82" i="24"/>
  <c r="DL144" i="4"/>
  <c r="EP70" i="4"/>
  <c r="T84" i="24"/>
  <c r="DJ93" i="4"/>
  <c r="BF76" i="4"/>
  <c r="P77" i="4"/>
  <c r="CD84" i="24"/>
  <c r="DJ170" i="4"/>
  <c r="Y193" i="7"/>
  <c r="BP83" i="24"/>
  <c r="DK151" i="4"/>
  <c r="DK150" i="7"/>
  <c r="CD178" i="4"/>
  <c r="CV83" i="24"/>
  <c r="DK192" i="4"/>
  <c r="R157" i="7"/>
  <c r="R84" i="4"/>
  <c r="R84" i="1" s="1"/>
  <c r="BW129" i="4"/>
  <c r="DG123" i="4"/>
  <c r="W126" i="4"/>
  <c r="Y190" i="4"/>
  <c r="Y190" i="1" s="1"/>
  <c r="W121" i="4"/>
  <c r="BV84" i="24"/>
  <c r="DJ160" i="4"/>
  <c r="BW157" i="4"/>
  <c r="EN104" i="4"/>
  <c r="AA32" i="7"/>
  <c r="CW223" i="4"/>
  <c r="CA82" i="24"/>
  <c r="DL167" i="4"/>
  <c r="Y132" i="4"/>
  <c r="Y132" i="1" s="1"/>
  <c r="DU110" i="7"/>
  <c r="AI85" i="24"/>
  <c r="DI110" i="4"/>
  <c r="CA76" i="4"/>
  <c r="BO82" i="24"/>
  <c r="DL149" i="4"/>
  <c r="Z172" i="7"/>
  <c r="BO129" i="4"/>
  <c r="Y130" i="4"/>
  <c r="BK227" i="4"/>
  <c r="U228" i="4"/>
  <c r="AF62" i="4"/>
  <c r="AF62" i="1" s="1"/>
  <c r="BV60" i="4"/>
  <c r="BU133" i="4"/>
  <c r="BQ133" i="7"/>
  <c r="Q193" i="7"/>
  <c r="Z123" i="4"/>
  <c r="Z123" i="1" s="1"/>
  <c r="BD80" i="24"/>
  <c r="DN136" i="4"/>
  <c r="AA136" i="7"/>
  <c r="Z148" i="4"/>
  <c r="Z148" i="1" s="1"/>
  <c r="CQ82" i="24"/>
  <c r="DL186" i="4"/>
  <c r="AZ81" i="24"/>
  <c r="DM131" i="4"/>
  <c r="BQ27" i="7"/>
  <c r="EW168" i="4"/>
  <c r="EQ146" i="4"/>
  <c r="EK43" i="7"/>
  <c r="EK47" i="7" s="1"/>
  <c r="E265" i="23"/>
  <c r="D265" i="23" s="1"/>
  <c r="I77" i="24"/>
  <c r="DQ79" i="4"/>
  <c r="BQ175" i="4"/>
  <c r="O175" i="4"/>
  <c r="X199" i="4"/>
  <c r="X199" i="1" s="1"/>
  <c r="CE202" i="4"/>
  <c r="CK84" i="24"/>
  <c r="DJ179" i="4"/>
  <c r="DJ178" i="7"/>
  <c r="EW179" i="4"/>
  <c r="EK178" i="4"/>
  <c r="U108" i="4"/>
  <c r="U108" i="1" s="1"/>
  <c r="BQ60" i="7"/>
  <c r="EN58" i="7"/>
  <c r="BC78" i="24"/>
  <c r="DP135" i="4"/>
  <c r="BW182" i="4"/>
  <c r="Z160" i="4"/>
  <c r="Z160" i="1" s="1"/>
  <c r="BM218" i="7"/>
  <c r="DU92" i="7"/>
  <c r="S85" i="24"/>
  <c r="DI92" i="4"/>
  <c r="S212" i="4"/>
  <c r="S212" i="1" s="1"/>
  <c r="BK156" i="7"/>
  <c r="U177" i="4"/>
  <c r="U177" i="1" s="1"/>
  <c r="DN81" i="24"/>
  <c r="DM213" i="4"/>
  <c r="CE95" i="4"/>
  <c r="CU84" i="24"/>
  <c r="DJ191" i="4"/>
  <c r="BG241" i="4"/>
  <c r="Q242" i="4"/>
  <c r="T88" i="4"/>
  <c r="BJ87" i="4"/>
  <c r="X76" i="7"/>
  <c r="BW83" i="24"/>
  <c r="DK161" i="4"/>
  <c r="V161" i="4"/>
  <c r="V161" i="1" s="1"/>
  <c r="EW173" i="4"/>
  <c r="EK172" i="4"/>
  <c r="R197" i="4"/>
  <c r="R197" i="1" s="1"/>
  <c r="EQ129" i="4"/>
  <c r="CB227" i="4"/>
  <c r="DD133" i="4"/>
  <c r="AA170" i="7"/>
  <c r="DG112" i="4"/>
  <c r="BN83" i="24"/>
  <c r="DK148" i="4"/>
  <c r="BQ148" i="4"/>
  <c r="O148" i="4"/>
  <c r="W196" i="4"/>
  <c r="DA76" i="24"/>
  <c r="DR198" i="4"/>
  <c r="Y118" i="4"/>
  <c r="Y118" i="1" s="1"/>
  <c r="DO76" i="24"/>
  <c r="DR215" i="4"/>
  <c r="DR214" i="7"/>
  <c r="DH214" i="7" s="1"/>
  <c r="P204" i="4"/>
  <c r="P204" i="1" s="1"/>
  <c r="T184" i="4"/>
  <c r="T184" i="1" s="1"/>
  <c r="R77" i="24"/>
  <c r="DQ91" i="4"/>
  <c r="DQ90" i="7"/>
  <c r="S91" i="4"/>
  <c r="BI90" i="4"/>
  <c r="BY115" i="7"/>
  <c r="R7" i="4"/>
  <c r="R7" i="1" s="1"/>
  <c r="DS241" i="7"/>
  <c r="EB75" i="24" s="1"/>
  <c r="DS242" i="4"/>
  <c r="CF77" i="24"/>
  <c r="DQ173" i="4"/>
  <c r="DQ172" i="7"/>
  <c r="Y82" i="24"/>
  <c r="DL98" i="4"/>
  <c r="DK82" i="24"/>
  <c r="DL210" i="4"/>
  <c r="DL209" i="7"/>
  <c r="CE131" i="4"/>
  <c r="EW38" i="7"/>
  <c r="AG80" i="24"/>
  <c r="DN108" i="4"/>
  <c r="DU140" i="7"/>
  <c r="BG85" i="24"/>
  <c r="DI140" i="4"/>
  <c r="FC140" i="7"/>
  <c r="FJ140" i="7"/>
  <c r="FI140" i="7"/>
  <c r="AM140" i="7" s="1"/>
  <c r="FB140" i="7"/>
  <c r="AF140" i="7" s="1"/>
  <c r="FA140" i="7"/>
  <c r="AE140" i="7" s="1"/>
  <c r="EZ140" i="7"/>
  <c r="AD140" i="7" s="1"/>
  <c r="EY140" i="7"/>
  <c r="FD140" i="7"/>
  <c r="FG140" i="7"/>
  <c r="EX140" i="7" s="1"/>
  <c r="FH140" i="7"/>
  <c r="FF140" i="7"/>
  <c r="FE140" i="7"/>
  <c r="P212" i="4"/>
  <c r="P212" i="1" s="1"/>
  <c r="K76" i="24"/>
  <c r="DR81" i="4"/>
  <c r="X227" i="7"/>
  <c r="R112" i="4"/>
  <c r="R112" i="1" s="1"/>
  <c r="BU150" i="4"/>
  <c r="BQ82" i="24"/>
  <c r="DL152" i="4"/>
  <c r="V187" i="7"/>
  <c r="CZ84" i="24"/>
  <c r="DJ197" i="4"/>
  <c r="AA247" i="7"/>
  <c r="DC187" i="4"/>
  <c r="U104" i="7"/>
  <c r="W7" i="4"/>
  <c r="W7" i="1" s="1"/>
  <c r="V185" i="4"/>
  <c r="V185" i="1" s="1"/>
  <c r="CB76" i="24"/>
  <c r="DR168" i="4"/>
  <c r="BZ29" i="4"/>
  <c r="EW106" i="4"/>
  <c r="EN219" i="4"/>
  <c r="CY223" i="4"/>
  <c r="CK75" i="24"/>
  <c r="DS179" i="4"/>
  <c r="DS178" i="7"/>
  <c r="EW135" i="4"/>
  <c r="S78" i="24"/>
  <c r="DP92" i="4"/>
  <c r="CA164" i="4"/>
  <c r="CU76" i="24"/>
  <c r="DR191" i="4"/>
  <c r="X129" i="7"/>
  <c r="DA78" i="24"/>
  <c r="DP198" i="4"/>
  <c r="DR241" i="7"/>
  <c r="EB76" i="24" s="1"/>
  <c r="DR242" i="4"/>
  <c r="ES75" i="7"/>
  <c r="K75" i="24"/>
  <c r="DS81" i="4"/>
  <c r="BQ77" i="24"/>
  <c r="DQ152" i="4"/>
  <c r="BQ25" i="4"/>
  <c r="O25" i="4"/>
  <c r="ET115" i="7"/>
  <c r="CW218" i="7"/>
  <c r="CB78" i="24"/>
  <c r="DP168" i="4"/>
  <c r="CU70" i="7"/>
  <c r="CY58" i="7"/>
  <c r="DP75" i="24"/>
  <c r="DS216" i="4"/>
  <c r="Q87" i="7"/>
  <c r="DG77" i="4"/>
  <c r="CU76" i="4"/>
  <c r="BI129" i="4"/>
  <c r="S130" i="4"/>
  <c r="DX74" i="24"/>
  <c r="DT229" i="4"/>
  <c r="AN229" i="4" s="1"/>
  <c r="AN229" i="1" s="1"/>
  <c r="CE159" i="4"/>
  <c r="Q70" i="24"/>
  <c r="BV88" i="4"/>
  <c r="BV87" i="7"/>
  <c r="BV75" i="7" s="1"/>
  <c r="EW200" i="4"/>
  <c r="CW116" i="4"/>
  <c r="W178" i="7"/>
  <c r="CC74" i="24"/>
  <c r="DT169" i="4"/>
  <c r="CE109" i="4"/>
  <c r="DG108" i="4"/>
  <c r="DD82" i="24"/>
  <c r="DL201" i="4"/>
  <c r="W176" i="4"/>
  <c r="U174" i="4"/>
  <c r="U174" i="1" s="1"/>
  <c r="X167" i="4"/>
  <c r="X167" i="1" s="1"/>
  <c r="EM76" i="4"/>
  <c r="H83" i="24"/>
  <c r="DK78" i="4"/>
  <c r="P126" i="4"/>
  <c r="P126" i="1" s="1"/>
  <c r="CZ209" i="4"/>
  <c r="X96" i="4"/>
  <c r="X96" i="1" s="1"/>
  <c r="CE243" i="4"/>
  <c r="ER146" i="4"/>
  <c r="T107" i="4"/>
  <c r="T107" i="1" s="1"/>
  <c r="BR75" i="24"/>
  <c r="DS153" i="4"/>
  <c r="AU78" i="24"/>
  <c r="DP125" i="4"/>
  <c r="EW197" i="4"/>
  <c r="BL43" i="7"/>
  <c r="BL47" i="7" s="1"/>
  <c r="E186" i="23"/>
  <c r="D186" i="23" s="1"/>
  <c r="T128" i="4"/>
  <c r="T128" i="1" s="1"/>
  <c r="BP205" i="4"/>
  <c r="Z206" i="4"/>
  <c r="P199" i="4"/>
  <c r="P199" i="1" s="1"/>
  <c r="CN82" i="24"/>
  <c r="DL183" i="4"/>
  <c r="DL182" i="7"/>
  <c r="V104" i="7"/>
  <c r="Y173" i="4"/>
  <c r="BO172" i="4"/>
  <c r="AA195" i="7"/>
  <c r="CE136" i="4"/>
  <c r="T146" i="7"/>
  <c r="AB85" i="24"/>
  <c r="DU101" i="7"/>
  <c r="DI101" i="4"/>
  <c r="DG137" i="4"/>
  <c r="CD172" i="4"/>
  <c r="CE197" i="4"/>
  <c r="ES129" i="4"/>
  <c r="AC76" i="24"/>
  <c r="DR102" i="4"/>
  <c r="X77" i="24"/>
  <c r="DQ97" i="4"/>
  <c r="S121" i="4"/>
  <c r="S121" i="1" s="1"/>
  <c r="BJ43" i="7"/>
  <c r="BJ47" i="7" s="1"/>
  <c r="E188" i="23"/>
  <c r="D188" i="23" s="1"/>
  <c r="CZ150" i="4"/>
  <c r="AR82" i="24"/>
  <c r="DL122" i="4"/>
  <c r="DS88" i="7"/>
  <c r="DS32" i="4"/>
  <c r="BK187" i="4"/>
  <c r="U188" i="4"/>
  <c r="DE74" i="24"/>
  <c r="DT202" i="4"/>
  <c r="AA69" i="7"/>
  <c r="CE101" i="4"/>
  <c r="U171" i="4"/>
  <c r="U171" i="1" s="1"/>
  <c r="EW102" i="4"/>
  <c r="CE211" i="4"/>
  <c r="DA156" i="7"/>
  <c r="U164" i="7"/>
  <c r="U169" i="4"/>
  <c r="U169" i="1" s="1"/>
  <c r="EW7" i="4"/>
  <c r="AW81" i="24"/>
  <c r="DM127" i="4"/>
  <c r="V150" i="7"/>
  <c r="BU104" i="4"/>
  <c r="BJ227" i="4"/>
  <c r="T228" i="4"/>
  <c r="EL205" i="4"/>
  <c r="X226" i="4"/>
  <c r="X226" i="1" s="1"/>
  <c r="BF218" i="7"/>
  <c r="EW134" i="4"/>
  <c r="EK133" i="4"/>
  <c r="AA171" i="7"/>
  <c r="O210" i="4"/>
  <c r="BQ210" i="4"/>
  <c r="BE209" i="4"/>
  <c r="BQ97" i="4"/>
  <c r="O97" i="4"/>
  <c r="BY164" i="4"/>
  <c r="CH79" i="24"/>
  <c r="DO175" i="4"/>
  <c r="Y229" i="4"/>
  <c r="Y229" i="1" s="1"/>
  <c r="CW156" i="7"/>
  <c r="W167" i="4"/>
  <c r="AA181" i="7"/>
  <c r="DW75" i="24"/>
  <c r="DS228" i="4"/>
  <c r="DS227" i="7"/>
  <c r="DD227" i="4"/>
  <c r="BQ246" i="4"/>
  <c r="O246" i="4"/>
  <c r="X148" i="4"/>
  <c r="X148" i="1" s="1"/>
  <c r="CT85" i="24"/>
  <c r="DU190" i="7"/>
  <c r="DI190" i="4"/>
  <c r="AQ83" i="24"/>
  <c r="DK121" i="4"/>
  <c r="AA67" i="7"/>
  <c r="V157" i="7"/>
  <c r="BN182" i="4"/>
  <c r="X183" i="4"/>
  <c r="FC112" i="7"/>
  <c r="EZ112" i="7"/>
  <c r="FJ112" i="7"/>
  <c r="FB112" i="7"/>
  <c r="FA112" i="7"/>
  <c r="EY112" i="7"/>
  <c r="FI112" i="7"/>
  <c r="FF112" i="7"/>
  <c r="FD112" i="7"/>
  <c r="FE112" i="7"/>
  <c r="FH112" i="7"/>
  <c r="FG112" i="7"/>
  <c r="EX112" i="7" s="1"/>
  <c r="AF77" i="24"/>
  <c r="DQ107" i="4"/>
  <c r="CY78" i="24"/>
  <c r="DP196" i="4"/>
  <c r="DC70" i="7"/>
  <c r="FC185" i="7"/>
  <c r="FB185" i="7"/>
  <c r="AF185" i="7" s="1"/>
  <c r="FA185" i="7"/>
  <c r="AE185" i="7" s="1"/>
  <c r="EZ185" i="7"/>
  <c r="EY185" i="7"/>
  <c r="FJ185" i="7"/>
  <c r="FI185" i="7"/>
  <c r="FH185" i="7"/>
  <c r="FF185" i="7"/>
  <c r="FE185" i="7"/>
  <c r="FG185" i="7"/>
  <c r="EX185" i="7" s="1"/>
  <c r="FD185" i="7"/>
  <c r="Q202" i="4"/>
  <c r="Q202" i="1" s="1"/>
  <c r="P201" i="4"/>
  <c r="P201" i="1" s="1"/>
  <c r="S145" i="4"/>
  <c r="S145" i="1" s="1"/>
  <c r="T130" i="4"/>
  <c r="BJ129" i="4"/>
  <c r="DD214" i="4"/>
  <c r="AD76" i="24"/>
  <c r="DR104" i="7"/>
  <c r="DH104" i="7" s="1"/>
  <c r="DR105" i="4"/>
  <c r="V136" i="4"/>
  <c r="V136" i="1" s="1"/>
  <c r="FJ61" i="4"/>
  <c r="FJ60" i="7"/>
  <c r="AN61" i="7"/>
  <c r="Y208" i="4"/>
  <c r="Y208" i="1" s="1"/>
  <c r="T75" i="24"/>
  <c r="DS93" i="4"/>
  <c r="T105" i="4"/>
  <c r="BJ104" i="4"/>
  <c r="Q168" i="4"/>
  <c r="Q168" i="1" s="1"/>
  <c r="CV218" i="7"/>
  <c r="BV81" i="24"/>
  <c r="DM160" i="4"/>
  <c r="BE164" i="4"/>
  <c r="BQ165" i="4"/>
  <c r="O165" i="4"/>
  <c r="FC110" i="7"/>
  <c r="AG110" i="7" s="1"/>
  <c r="EZ110" i="7"/>
  <c r="FJ110" i="7"/>
  <c r="FB110" i="7"/>
  <c r="FA110" i="7"/>
  <c r="AE110" i="7" s="1"/>
  <c r="EY110" i="7"/>
  <c r="FI110" i="7"/>
  <c r="FD110" i="7"/>
  <c r="AH110" i="7" s="1"/>
  <c r="FH110" i="7"/>
  <c r="FG110" i="7"/>
  <c r="EX110" i="7" s="1"/>
  <c r="FF110" i="7"/>
  <c r="FE110" i="7"/>
  <c r="AI110" i="7" s="1"/>
  <c r="BQ172" i="7"/>
  <c r="BZ129" i="4"/>
  <c r="BD81" i="24"/>
  <c r="DM136" i="4"/>
  <c r="W186" i="4"/>
  <c r="Z154" i="4"/>
  <c r="Z154" i="1" s="1"/>
  <c r="CK74" i="24"/>
  <c r="DT179" i="4"/>
  <c r="DT178" i="7"/>
  <c r="V140" i="4"/>
  <c r="V140" i="1" s="1"/>
  <c r="DN83" i="24"/>
  <c r="DK213" i="4"/>
  <c r="BO75" i="7"/>
  <c r="DA74" i="24"/>
  <c r="DT198" i="4"/>
  <c r="EW177" i="4"/>
  <c r="DP84" i="24"/>
  <c r="DJ216" i="4"/>
  <c r="EW181" i="4"/>
  <c r="G79" i="24"/>
  <c r="DO77" i="4"/>
  <c r="DO76" i="7"/>
  <c r="AY82" i="24"/>
  <c r="DL129" i="7"/>
  <c r="DL130" i="4"/>
  <c r="EQ227" i="4"/>
  <c r="CX133" i="4"/>
  <c r="AS79" i="24"/>
  <c r="DO123" i="4"/>
  <c r="BQ66" i="4"/>
  <c r="O66" i="4"/>
  <c r="DG186" i="4"/>
  <c r="AN76" i="24"/>
  <c r="DR118" i="4"/>
  <c r="AA166" i="7"/>
  <c r="DG131" i="4"/>
  <c r="CZ214" i="4"/>
  <c r="X27" i="7"/>
  <c r="R96" i="4"/>
  <c r="R96" i="1" s="1"/>
  <c r="DG78" i="24"/>
  <c r="DP204" i="4"/>
  <c r="Y169" i="4"/>
  <c r="Y169" i="1" s="1"/>
  <c r="X38" i="7"/>
  <c r="AT84" i="24"/>
  <c r="DJ124" i="4"/>
  <c r="EQ43" i="4"/>
  <c r="EQ47" i="4" s="1"/>
  <c r="R91" i="4"/>
  <c r="BH90" i="4"/>
  <c r="DC138" i="4"/>
  <c r="DB78" i="24"/>
  <c r="DP199" i="4"/>
  <c r="EO178" i="4"/>
  <c r="BH70" i="7"/>
  <c r="DX83" i="24"/>
  <c r="DK229" i="4"/>
  <c r="AE229" i="4" s="1"/>
  <c r="AE229" i="1" s="1"/>
  <c r="Y135" i="4"/>
  <c r="Y135" i="1" s="1"/>
  <c r="DC82" i="24"/>
  <c r="DL200" i="4"/>
  <c r="X200" i="4"/>
  <c r="X200" i="1" s="1"/>
  <c r="BG223" i="4"/>
  <c r="Q224" i="4"/>
  <c r="CE104" i="7"/>
  <c r="BT115" i="7"/>
  <c r="BH76" i="24"/>
  <c r="DR141" i="4"/>
  <c r="FC141" i="7"/>
  <c r="FA141" i="7"/>
  <c r="EY141" i="7"/>
  <c r="AC141" i="7" s="1"/>
  <c r="FJ141" i="7"/>
  <c r="FI141" i="7"/>
  <c r="FB141" i="7"/>
  <c r="EZ141" i="7"/>
  <c r="FH141" i="7"/>
  <c r="FG141" i="7"/>
  <c r="EX141" i="7" s="1"/>
  <c r="FF141" i="7"/>
  <c r="FE141" i="7"/>
  <c r="AI141" i="7" s="1"/>
  <c r="FD141" i="7"/>
  <c r="U229" i="4"/>
  <c r="U229" i="1" s="1"/>
  <c r="V75" i="24"/>
  <c r="DS95" i="4"/>
  <c r="EW95" i="4"/>
  <c r="CM84" i="24"/>
  <c r="DJ181" i="4"/>
  <c r="DG78" i="4"/>
  <c r="BK27" i="4"/>
  <c r="U24" i="4"/>
  <c r="CC76" i="24"/>
  <c r="DR169" i="4"/>
  <c r="Y138" i="7"/>
  <c r="EW144" i="4"/>
  <c r="Q62" i="24"/>
  <c r="CD88" i="4"/>
  <c r="CD87" i="7"/>
  <c r="CD75" i="7" s="1"/>
  <c r="CE212" i="4"/>
  <c r="CE116" i="7"/>
  <c r="BJ84" i="24"/>
  <c r="DJ143" i="4"/>
  <c r="X109" i="4"/>
  <c r="X109" i="1" s="1"/>
  <c r="P78" i="24"/>
  <c r="DP86" i="4"/>
  <c r="V88" i="4"/>
  <c r="BL87" i="4"/>
  <c r="EU76" i="4"/>
  <c r="BE81" i="24"/>
  <c r="DM137" i="4"/>
  <c r="CG81" i="24"/>
  <c r="DM174" i="4"/>
  <c r="M79" i="24"/>
  <c r="DO83" i="4"/>
  <c r="S214" i="7"/>
  <c r="BX38" i="4"/>
  <c r="W146" i="7"/>
  <c r="J81" i="24"/>
  <c r="DM80" i="4"/>
  <c r="S152" i="4"/>
  <c r="S152" i="1" s="1"/>
  <c r="DD80" i="24"/>
  <c r="DN201" i="4"/>
  <c r="DF78" i="24"/>
  <c r="DP203" i="4"/>
  <c r="R92" i="4"/>
  <c r="R92" i="1" s="1"/>
  <c r="EP187" i="4"/>
  <c r="V186" i="4"/>
  <c r="V186" i="1" s="1"/>
  <c r="L77" i="24"/>
  <c r="DQ82" i="4"/>
  <c r="T7" i="4"/>
  <c r="T7" i="1" s="1"/>
  <c r="CC241" i="4"/>
  <c r="O81" i="24"/>
  <c r="DM85" i="4"/>
  <c r="EO76" i="4"/>
  <c r="Z149" i="4"/>
  <c r="Z149" i="1" s="1"/>
  <c r="BT129" i="4"/>
  <c r="AO78" i="24"/>
  <c r="DP119" i="4"/>
  <c r="BU227" i="4"/>
  <c r="CA60" i="4"/>
  <c r="BN133" i="4"/>
  <c r="X134" i="4"/>
  <c r="CE82" i="24"/>
  <c r="DL171" i="4"/>
  <c r="H81" i="24"/>
  <c r="DM78" i="4"/>
  <c r="CY209" i="4"/>
  <c r="BS75" i="24"/>
  <c r="DS154" i="4"/>
  <c r="BQ83" i="4"/>
  <c r="O83" i="4"/>
  <c r="O131" i="4"/>
  <c r="BQ131" i="4"/>
  <c r="Z215" i="4"/>
  <c r="BP214" i="4"/>
  <c r="Q96" i="4"/>
  <c r="Q96" i="1" s="1"/>
  <c r="P97" i="4"/>
  <c r="P97" i="1" s="1"/>
  <c r="BV205" i="4"/>
  <c r="CO74" i="24"/>
  <c r="DT184" i="4"/>
  <c r="BL57" i="4"/>
  <c r="V55" i="4"/>
  <c r="X127" i="4"/>
  <c r="X127" i="1" s="1"/>
  <c r="EL150" i="4"/>
  <c r="DL84" i="24"/>
  <c r="DJ211" i="4"/>
  <c r="V106" i="4"/>
  <c r="V106" i="1" s="1"/>
  <c r="Z107" i="4"/>
  <c r="Z107" i="1" s="1"/>
  <c r="R108" i="4"/>
  <c r="R108" i="1" s="1"/>
  <c r="V51" i="4"/>
  <c r="BL54" i="4"/>
  <c r="EM218" i="7"/>
  <c r="AA68" i="7"/>
  <c r="CE140" i="4"/>
  <c r="DA187" i="4"/>
  <c r="DM75" i="24"/>
  <c r="DS212" i="4"/>
  <c r="X93" i="4"/>
  <c r="X93" i="1" s="1"/>
  <c r="DA115" i="7"/>
  <c r="BR81" i="24"/>
  <c r="DM153" i="4"/>
  <c r="R153" i="4"/>
  <c r="R153" i="1" s="1"/>
  <c r="BH178" i="4"/>
  <c r="R179" i="4"/>
  <c r="CJ79" i="24"/>
  <c r="DO177" i="4"/>
  <c r="Q145" i="4"/>
  <c r="Q145" i="1" s="1"/>
  <c r="AU74" i="24"/>
  <c r="DT125" i="4"/>
  <c r="Z185" i="4"/>
  <c r="Z185" i="1" s="1"/>
  <c r="DU40" i="7"/>
  <c r="DI40" i="4"/>
  <c r="FC40" i="7"/>
  <c r="EZ40" i="7"/>
  <c r="EY40" i="7"/>
  <c r="FJ40" i="7"/>
  <c r="FJ40" i="4" s="1"/>
  <c r="FB40" i="7"/>
  <c r="FB40" i="4" s="1"/>
  <c r="FA40" i="7"/>
  <c r="FI40" i="7"/>
  <c r="FH40" i="7"/>
  <c r="FE40" i="7"/>
  <c r="FE40" i="4" s="1"/>
  <c r="FD40" i="7"/>
  <c r="FG40" i="7"/>
  <c r="EX40" i="7" s="1"/>
  <c r="FF40" i="7"/>
  <c r="Z146" i="7"/>
  <c r="BG29" i="4"/>
  <c r="Q31" i="4"/>
  <c r="O135" i="4"/>
  <c r="BQ135" i="4"/>
  <c r="V160" i="4"/>
  <c r="V160" i="1" s="1"/>
  <c r="Y223" i="7"/>
  <c r="S153" i="4"/>
  <c r="S153" i="1" s="1"/>
  <c r="CS76" i="24"/>
  <c r="DR189" i="4"/>
  <c r="ES172" i="4"/>
  <c r="Y214" i="7"/>
  <c r="V168" i="4"/>
  <c r="V168" i="1" s="1"/>
  <c r="DH84" i="24"/>
  <c r="DJ205" i="7"/>
  <c r="DJ206" i="4"/>
  <c r="BJ38" i="4"/>
  <c r="T39" i="4"/>
  <c r="BE146" i="4"/>
  <c r="O147" i="4"/>
  <c r="BQ147" i="4"/>
  <c r="ER138" i="4"/>
  <c r="S203" i="4"/>
  <c r="S203" i="1" s="1"/>
  <c r="X60" i="7"/>
  <c r="CE100" i="4"/>
  <c r="EQ115" i="7"/>
  <c r="BF70" i="7"/>
  <c r="T135" i="4"/>
  <c r="T135" i="1" s="1"/>
  <c r="AX74" i="24"/>
  <c r="DT128" i="4"/>
  <c r="FC128" i="7"/>
  <c r="FA128" i="7"/>
  <c r="EY128" i="7"/>
  <c r="AC128" i="7" s="1"/>
  <c r="FJ128" i="7"/>
  <c r="FI128" i="7"/>
  <c r="AM128" i="7" s="1"/>
  <c r="FB128" i="7"/>
  <c r="AF128" i="7" s="1"/>
  <c r="EZ128" i="7"/>
  <c r="FH128" i="7"/>
  <c r="AL128" i="7" s="1"/>
  <c r="AB128" i="7" s="1"/>
  <c r="FG128" i="7"/>
  <c r="EX128" i="7" s="1"/>
  <c r="FE128" i="7"/>
  <c r="FD128" i="7"/>
  <c r="AH128" i="7" s="1"/>
  <c r="FF128" i="7"/>
  <c r="Q106" i="24"/>
  <c r="Q94" i="24"/>
  <c r="FB87" i="7"/>
  <c r="FB88" i="4"/>
  <c r="FB87" i="4" s="1"/>
  <c r="BQ193" i="7"/>
  <c r="EU43" i="4"/>
  <c r="EU47" i="4" s="1"/>
  <c r="EN90" i="4"/>
  <c r="DF150" i="4"/>
  <c r="CN80" i="24"/>
  <c r="DN183" i="4"/>
  <c r="DN182" i="7"/>
  <c r="BB81" i="24"/>
  <c r="DM134" i="4"/>
  <c r="DM133" i="7"/>
  <c r="ER182" i="4"/>
  <c r="CA157" i="4"/>
  <c r="N83" i="24"/>
  <c r="DK84" i="4"/>
  <c r="BX227" i="4"/>
  <c r="S194" i="4"/>
  <c r="BI193" i="4"/>
  <c r="Z121" i="4"/>
  <c r="Z121" i="1" s="1"/>
  <c r="BM83" i="24"/>
  <c r="DK146" i="7"/>
  <c r="DK147" i="4"/>
  <c r="Y207" i="4"/>
  <c r="Y207" i="1" s="1"/>
  <c r="Y160" i="4"/>
  <c r="Y160" i="1" s="1"/>
  <c r="DG176" i="4"/>
  <c r="P157" i="7"/>
  <c r="BK75" i="7"/>
  <c r="AA198" i="7"/>
  <c r="DI83" i="24"/>
  <c r="DK207" i="4"/>
  <c r="BI81" i="24"/>
  <c r="DM142" i="4"/>
  <c r="P142" i="4"/>
  <c r="P142" i="1" s="1"/>
  <c r="R85" i="4"/>
  <c r="R85" i="1" s="1"/>
  <c r="AH81" i="24"/>
  <c r="DM109" i="4"/>
  <c r="AA145" i="7"/>
  <c r="S76" i="7"/>
  <c r="AB74" i="24"/>
  <c r="DT101" i="4"/>
  <c r="T173" i="4"/>
  <c r="BJ172" i="4"/>
  <c r="CL78" i="24"/>
  <c r="DP180" i="4"/>
  <c r="CX77" i="24"/>
  <c r="DQ195" i="4"/>
  <c r="X195" i="4"/>
  <c r="X195" i="1" s="1"/>
  <c r="P112" i="4"/>
  <c r="P112" i="1" s="1"/>
  <c r="AC84" i="24"/>
  <c r="DJ102" i="4"/>
  <c r="Q102" i="4"/>
  <c r="Q102" i="1" s="1"/>
  <c r="AA162" i="7"/>
  <c r="BZ83" i="24"/>
  <c r="DK166" i="4"/>
  <c r="X84" i="24"/>
  <c r="DJ97" i="4"/>
  <c r="R121" i="4"/>
  <c r="R121" i="1" s="1"/>
  <c r="BZ146" i="4"/>
  <c r="AA19" i="7"/>
  <c r="BZ90" i="4"/>
  <c r="EQ150" i="4"/>
  <c r="AE74" i="24"/>
  <c r="DT106" i="4"/>
  <c r="BN178" i="4"/>
  <c r="X179" i="4"/>
  <c r="E264" i="23"/>
  <c r="D264" i="23" s="1"/>
  <c r="EL70" i="7"/>
  <c r="AR77" i="24"/>
  <c r="DQ122" i="4"/>
  <c r="BQ51" i="4"/>
  <c r="BQ54" i="4" s="1"/>
  <c r="BE54" i="4"/>
  <c r="O51" i="4"/>
  <c r="CA182" i="4"/>
  <c r="DA218" i="7"/>
  <c r="DT88" i="7"/>
  <c r="DT32" i="4"/>
  <c r="DT80" i="24"/>
  <c r="DN223" i="7"/>
  <c r="DN224" i="4"/>
  <c r="CU157" i="4"/>
  <c r="DG158" i="4"/>
  <c r="EP104" i="4"/>
  <c r="EW141" i="4"/>
  <c r="BY81" i="24"/>
  <c r="DM165" i="4"/>
  <c r="DM164" i="7"/>
  <c r="AA211" i="7"/>
  <c r="DE82" i="24"/>
  <c r="DL202" i="4"/>
  <c r="Z144" i="4"/>
  <c r="Z144" i="1" s="1"/>
  <c r="S122" i="4"/>
  <c r="S122" i="1" s="1"/>
  <c r="EO182" i="4"/>
  <c r="CD187" i="4"/>
  <c r="BT75" i="24"/>
  <c r="DS158" i="4"/>
  <c r="DS157" i="7"/>
  <c r="V167" i="4"/>
  <c r="V167" i="1" s="1"/>
  <c r="U101" i="4"/>
  <c r="U101" i="1" s="1"/>
  <c r="Y170" i="4"/>
  <c r="Y170" i="1" s="1"/>
  <c r="W198" i="4"/>
  <c r="Y99" i="4"/>
  <c r="Y99" i="1" s="1"/>
  <c r="DV83" i="24"/>
  <c r="DK226" i="4"/>
  <c r="CY178" i="4"/>
  <c r="CA218" i="7"/>
  <c r="EN164" i="4"/>
  <c r="DU244" i="7"/>
  <c r="DI244" i="4"/>
  <c r="E223" i="23"/>
  <c r="D223" i="23" s="1"/>
  <c r="DA43" i="7"/>
  <c r="DA47" i="7" s="1"/>
  <c r="BI138" i="4"/>
  <c r="S139" i="4"/>
  <c r="EM58" i="4"/>
  <c r="EN116" i="4"/>
  <c r="DA205" i="4"/>
  <c r="BU79" i="24"/>
  <c r="DO159" i="4"/>
  <c r="S81" i="4"/>
  <c r="S81" i="1" s="1"/>
  <c r="T153" i="4"/>
  <c r="T153" i="1" s="1"/>
  <c r="DG241" i="7"/>
  <c r="BQ119" i="4"/>
  <c r="O119" i="4"/>
  <c r="BO209" i="4"/>
  <c r="Y210" i="4"/>
  <c r="V205" i="7"/>
  <c r="EZ63" i="4"/>
  <c r="AD63" i="4" s="1"/>
  <c r="AD63" i="1" s="1"/>
  <c r="AD63" i="7"/>
  <c r="DU127" i="7"/>
  <c r="AW85" i="24"/>
  <c r="DI127" i="4"/>
  <c r="FC127" i="7"/>
  <c r="FA127" i="7"/>
  <c r="FJ127" i="7"/>
  <c r="FB127" i="7"/>
  <c r="EZ127" i="7"/>
  <c r="EY127" i="7"/>
  <c r="AC127" i="7" s="1"/>
  <c r="FI127" i="7"/>
  <c r="AM127" i="7" s="1"/>
  <c r="FF127" i="7"/>
  <c r="FD127" i="7"/>
  <c r="FE127" i="7"/>
  <c r="AI127" i="7" s="1"/>
  <c r="FH127" i="7"/>
  <c r="FG127" i="7"/>
  <c r="EX127" i="7" s="1"/>
  <c r="W160" i="4"/>
  <c r="BP187" i="4"/>
  <c r="Z188" i="4"/>
  <c r="U116" i="7"/>
  <c r="S87" i="7"/>
  <c r="DC193" i="4"/>
  <c r="W80" i="24"/>
  <c r="DN96" i="4"/>
  <c r="U179" i="4"/>
  <c r="BK178" i="4"/>
  <c r="U61" i="4"/>
  <c r="BK60" i="4"/>
  <c r="FA64" i="4"/>
  <c r="AE64" i="4" s="1"/>
  <c r="AE64" i="1" s="1"/>
  <c r="AE64" i="7"/>
  <c r="EU6" i="4"/>
  <c r="AA85" i="7"/>
  <c r="DE227" i="4"/>
  <c r="DD58" i="7"/>
  <c r="DH58" i="7" s="1"/>
  <c r="R176" i="4"/>
  <c r="R176" i="1" s="1"/>
  <c r="CA241" i="4"/>
  <c r="BA78" i="24"/>
  <c r="DP132" i="4"/>
  <c r="W145" i="4"/>
  <c r="U83" i="24"/>
  <c r="DK94" i="4"/>
  <c r="DG214" i="7"/>
  <c r="O205" i="7"/>
  <c r="AA206" i="7"/>
  <c r="CH75" i="24"/>
  <c r="DS175" i="4"/>
  <c r="FC175" i="7"/>
  <c r="AG175" i="7" s="1"/>
  <c r="EY175" i="7"/>
  <c r="FJ175" i="7"/>
  <c r="FB175" i="7"/>
  <c r="AF175" i="7" s="1"/>
  <c r="FA175" i="7"/>
  <c r="EZ175" i="7"/>
  <c r="FI175" i="7"/>
  <c r="FH175" i="7"/>
  <c r="AL175" i="7" s="1"/>
  <c r="AB175" i="7" s="1"/>
  <c r="FD175" i="7"/>
  <c r="FG175" i="7"/>
  <c r="FF175" i="7"/>
  <c r="FE175" i="7"/>
  <c r="O226" i="4"/>
  <c r="BQ226" i="4"/>
  <c r="BK182" i="4"/>
  <c r="U183" i="4"/>
  <c r="AA21" i="7"/>
  <c r="EU116" i="4"/>
  <c r="BX241" i="4"/>
  <c r="BL83" i="24"/>
  <c r="DK145" i="4"/>
  <c r="P145" i="4"/>
  <c r="P145" i="1" s="1"/>
  <c r="BO87" i="4"/>
  <c r="Y88" i="4"/>
  <c r="EL76" i="4"/>
  <c r="AL77" i="24"/>
  <c r="DQ113" i="4"/>
  <c r="CX172" i="4"/>
  <c r="CC129" i="4"/>
  <c r="DW77" i="24"/>
  <c r="DQ227" i="7"/>
  <c r="DQ228" i="4"/>
  <c r="P148" i="4"/>
  <c r="P148" i="1" s="1"/>
  <c r="AV75" i="24"/>
  <c r="DS126" i="4"/>
  <c r="X162" i="4"/>
  <c r="X162" i="1" s="1"/>
  <c r="Z198" i="4"/>
  <c r="Z198" i="1" s="1"/>
  <c r="CT83" i="24"/>
  <c r="DK190" i="4"/>
  <c r="EW214" i="7"/>
  <c r="P27" i="7"/>
  <c r="CE168" i="4"/>
  <c r="AQ78" i="24"/>
  <c r="DP121" i="4"/>
  <c r="DU31" i="7"/>
  <c r="DI29" i="7"/>
  <c r="DI31" i="4"/>
  <c r="FD31" i="7"/>
  <c r="FB31" i="7"/>
  <c r="EZ31" i="7"/>
  <c r="EY31" i="7"/>
  <c r="FJ31" i="7"/>
  <c r="FC31" i="7"/>
  <c r="FA31" i="7"/>
  <c r="FE31" i="7"/>
  <c r="FG31" i="7"/>
  <c r="EX31" i="7" s="1"/>
  <c r="FF31" i="7"/>
  <c r="AJ31" i="7" s="1"/>
  <c r="FI31" i="7"/>
  <c r="FH31" i="7"/>
  <c r="AA139" i="7"/>
  <c r="O138" i="7"/>
  <c r="CU150" i="4"/>
  <c r="DG151" i="4"/>
  <c r="CE199" i="4"/>
  <c r="BK219" i="4"/>
  <c r="U220" i="4"/>
  <c r="BX81" i="24"/>
  <c r="DM162" i="4"/>
  <c r="BP38" i="4"/>
  <c r="Z39" i="4"/>
  <c r="Q124" i="4"/>
  <c r="Q124" i="1" s="1"/>
  <c r="EV90" i="4"/>
  <c r="R150" i="7"/>
  <c r="AK75" i="24"/>
  <c r="DS112" i="4"/>
  <c r="AF76" i="24"/>
  <c r="DR107" i="4"/>
  <c r="AJ84" i="24"/>
  <c r="DJ111" i="4"/>
  <c r="V182" i="7"/>
  <c r="CA116" i="4"/>
  <c r="DS39" i="4"/>
  <c r="DS38" i="7"/>
  <c r="F75" i="24" s="1"/>
  <c r="BI38" i="4"/>
  <c r="S39" i="4"/>
  <c r="BU146" i="4"/>
  <c r="DG79" i="4"/>
  <c r="CY187" i="4"/>
  <c r="EN156" i="7"/>
  <c r="DU80" i="24"/>
  <c r="DN225" i="4"/>
  <c r="EW110" i="4"/>
  <c r="DU196" i="7"/>
  <c r="CY85" i="24"/>
  <c r="DI196" i="4"/>
  <c r="ET157" i="4"/>
  <c r="CP75" i="24"/>
  <c r="DS185" i="4"/>
  <c r="CE112" i="4"/>
  <c r="V94" i="4"/>
  <c r="V94" i="1" s="1"/>
  <c r="CB29" i="4"/>
  <c r="BF78" i="24"/>
  <c r="DP139" i="4"/>
  <c r="DP138" i="7"/>
  <c r="DC58" i="7"/>
  <c r="U113" i="4"/>
  <c r="U113" i="1" s="1"/>
  <c r="DU120" i="7"/>
  <c r="AP85" i="24"/>
  <c r="DI120" i="4"/>
  <c r="FC120" i="7"/>
  <c r="FJ120" i="7"/>
  <c r="AN120" i="7" s="1"/>
  <c r="FI120" i="7"/>
  <c r="AM120" i="7" s="1"/>
  <c r="FB120" i="7"/>
  <c r="FA120" i="7"/>
  <c r="EZ120" i="7"/>
  <c r="EY120" i="7"/>
  <c r="FE120" i="7"/>
  <c r="FH120" i="7"/>
  <c r="FG120" i="7"/>
  <c r="EX120" i="7" s="1"/>
  <c r="FD120" i="7"/>
  <c r="FF120" i="7"/>
  <c r="BL178" i="4"/>
  <c r="V179" i="4"/>
  <c r="U159" i="4"/>
  <c r="U159" i="1" s="1"/>
  <c r="AA79" i="24"/>
  <c r="DO100" i="4"/>
  <c r="DU176" i="7"/>
  <c r="CI85" i="24"/>
  <c r="DI176" i="4"/>
  <c r="FC176" i="7"/>
  <c r="FI176" i="7"/>
  <c r="FB176" i="7"/>
  <c r="AF176" i="7" s="1"/>
  <c r="FA176" i="7"/>
  <c r="AE176" i="7" s="1"/>
  <c r="EZ176" i="7"/>
  <c r="AD176" i="7" s="1"/>
  <c r="EY176" i="7"/>
  <c r="FJ176" i="7"/>
  <c r="FH176" i="7"/>
  <c r="FG176" i="7"/>
  <c r="EX176" i="7" s="1"/>
  <c r="FF176" i="7"/>
  <c r="FD176" i="7"/>
  <c r="FE176" i="7"/>
  <c r="AD82" i="24"/>
  <c r="DL105" i="4"/>
  <c r="DL104" i="7"/>
  <c r="BJ115" i="7"/>
  <c r="BK241" i="4"/>
  <c r="U242" i="4"/>
  <c r="EQ76" i="4"/>
  <c r="EP129" i="4"/>
  <c r="CW79" i="24"/>
  <c r="DO194" i="4"/>
  <c r="DO193" i="7"/>
  <c r="EW148" i="4"/>
  <c r="DG120" i="4"/>
  <c r="T205" i="7"/>
  <c r="S192" i="4"/>
  <c r="S192" i="1" s="1"/>
  <c r="EZ61" i="4"/>
  <c r="EZ60" i="7"/>
  <c r="AD61" i="7"/>
  <c r="CR78" i="24"/>
  <c r="DP188" i="4"/>
  <c r="DP187" i="7"/>
  <c r="AM80" i="24"/>
  <c r="DN117" i="4"/>
  <c r="DN116" i="7"/>
  <c r="BH164" i="4"/>
  <c r="R165" i="4"/>
  <c r="V225" i="4"/>
  <c r="V225" i="1" s="1"/>
  <c r="BQ104" i="7"/>
  <c r="T145" i="4"/>
  <c r="T145" i="1" s="1"/>
  <c r="DJ74" i="24"/>
  <c r="DT208" i="4"/>
  <c r="W77" i="4"/>
  <c r="BM76" i="4"/>
  <c r="Y197" i="4"/>
  <c r="Y197" i="1" s="1"/>
  <c r="P170" i="4"/>
  <c r="P170" i="1" s="1"/>
  <c r="Z77" i="24"/>
  <c r="DQ99" i="4"/>
  <c r="CY43" i="4"/>
  <c r="CY47" i="4" s="1"/>
  <c r="BK80" i="24"/>
  <c r="DN144" i="4"/>
  <c r="EP70" i="7"/>
  <c r="O200" i="4"/>
  <c r="BQ200" i="4"/>
  <c r="T82" i="24"/>
  <c r="DL93" i="4"/>
  <c r="P76" i="7"/>
  <c r="CE137" i="4"/>
  <c r="CD81" i="24"/>
  <c r="DM170" i="4"/>
  <c r="BQ126" i="4"/>
  <c r="O126" i="4"/>
  <c r="W154" i="4"/>
  <c r="CE214" i="7"/>
  <c r="BP78" i="24"/>
  <c r="DP151" i="4"/>
  <c r="DP150" i="7"/>
  <c r="CV82" i="24"/>
  <c r="DL192" i="4"/>
  <c r="CY70" i="7"/>
  <c r="Z200" i="4"/>
  <c r="Z200" i="1" s="1"/>
  <c r="BH156" i="7"/>
  <c r="BV115" i="7"/>
  <c r="W208" i="4"/>
  <c r="CZ90" i="4"/>
  <c r="Z175" i="4"/>
  <c r="Z175" i="1" s="1"/>
  <c r="BV80" i="24"/>
  <c r="DN160" i="4"/>
  <c r="CA79" i="24"/>
  <c r="DO167" i="4"/>
  <c r="W84" i="4"/>
  <c r="AI77" i="24"/>
  <c r="DQ110" i="4"/>
  <c r="BO81" i="24"/>
  <c r="DM149" i="4"/>
  <c r="EW221" i="4"/>
  <c r="Y129" i="7"/>
  <c r="U227" i="7"/>
  <c r="BD78" i="24"/>
  <c r="DP136" i="4"/>
  <c r="CE247" i="4"/>
  <c r="CQ81" i="24"/>
  <c r="DM186" i="4"/>
  <c r="W210" i="4"/>
  <c r="BM209" i="4"/>
  <c r="Z118" i="4"/>
  <c r="Z118" i="1" s="1"/>
  <c r="AZ80" i="24"/>
  <c r="DN131" i="4"/>
  <c r="P131" i="4"/>
  <c r="P131" i="1" s="1"/>
  <c r="X99" i="4"/>
  <c r="X99" i="1" s="1"/>
  <c r="X124" i="4"/>
  <c r="X124" i="1" s="1"/>
  <c r="EP43" i="4"/>
  <c r="EP47" i="4" s="1"/>
  <c r="I76" i="24"/>
  <c r="DR79" i="4"/>
  <c r="ER90" i="4"/>
  <c r="BY138" i="4"/>
  <c r="AA175" i="7"/>
  <c r="CK82" i="24"/>
  <c r="DL179" i="4"/>
  <c r="DL178" i="7"/>
  <c r="BE70" i="7"/>
  <c r="EP58" i="4"/>
  <c r="BC75" i="24"/>
  <c r="DS135" i="4"/>
  <c r="FC135" i="7"/>
  <c r="FA135" i="7"/>
  <c r="EZ135" i="7"/>
  <c r="FJ135" i="7"/>
  <c r="FB135" i="7"/>
  <c r="EY135" i="7"/>
  <c r="FI135" i="7"/>
  <c r="FH135" i="7"/>
  <c r="FF135" i="7"/>
  <c r="FD135" i="7"/>
  <c r="FG135" i="7"/>
  <c r="EX135" i="7" s="1"/>
  <c r="FE135" i="7"/>
  <c r="AI135" i="7" s="1"/>
  <c r="DG100" i="4"/>
  <c r="S75" i="24"/>
  <c r="DS92" i="4"/>
  <c r="DG140" i="4"/>
  <c r="P152" i="4"/>
  <c r="P152" i="1" s="1"/>
  <c r="DU45" i="7"/>
  <c r="DI45" i="4"/>
  <c r="FC45" i="7"/>
  <c r="FC45" i="4" s="1"/>
  <c r="FA45" i="7"/>
  <c r="EZ45" i="7"/>
  <c r="EZ45" i="4" s="1"/>
  <c r="FB45" i="7"/>
  <c r="EY45" i="7"/>
  <c r="FJ45" i="7"/>
  <c r="FI45" i="7"/>
  <c r="FF45" i="7"/>
  <c r="FD45" i="7"/>
  <c r="FH45" i="7"/>
  <c r="FG45" i="7"/>
  <c r="EX45" i="7" s="1"/>
  <c r="FE45" i="7"/>
  <c r="BM116" i="4"/>
  <c r="W117" i="4"/>
  <c r="DG189" i="4"/>
  <c r="DN80" i="24"/>
  <c r="DN213" i="4"/>
  <c r="DG142" i="4"/>
  <c r="P167" i="4"/>
  <c r="P167" i="1" s="1"/>
  <c r="CU83" i="24"/>
  <c r="DK191" i="4"/>
  <c r="Q241" i="7"/>
  <c r="S110" i="4"/>
  <c r="S110" i="1" s="1"/>
  <c r="T87" i="7"/>
  <c r="BN75" i="7"/>
  <c r="BR75" i="7" s="1"/>
  <c r="BW82" i="24"/>
  <c r="DL161" i="4"/>
  <c r="EW172" i="7"/>
  <c r="S185" i="4"/>
  <c r="S185" i="1" s="1"/>
  <c r="BS129" i="4"/>
  <c r="CE130" i="4"/>
  <c r="BN80" i="24"/>
  <c r="DN148" i="4"/>
  <c r="AA148" i="7"/>
  <c r="DA85" i="24"/>
  <c r="DU198" i="7"/>
  <c r="DI198" i="4"/>
  <c r="CU209" i="4"/>
  <c r="DG210" i="4"/>
  <c r="X166" i="4"/>
  <c r="X166" i="1" s="1"/>
  <c r="DO75" i="24"/>
  <c r="DS215" i="4"/>
  <c r="DS214" i="7"/>
  <c r="R74" i="24"/>
  <c r="DT90" i="7"/>
  <c r="DT91" i="4"/>
  <c r="S90" i="7"/>
  <c r="BP13" i="4"/>
  <c r="BP6" i="4" s="1"/>
  <c r="Z14" i="4"/>
  <c r="T100" i="4"/>
  <c r="T100" i="1" s="1"/>
  <c r="BY116" i="4"/>
  <c r="DJ242" i="4"/>
  <c r="DJ241" i="4" s="1"/>
  <c r="DJ241" i="7"/>
  <c r="EB84" i="24" s="1"/>
  <c r="T113" i="4"/>
  <c r="T113" i="1" s="1"/>
  <c r="CF74" i="24"/>
  <c r="DT172" i="7"/>
  <c r="DT173" i="4"/>
  <c r="BZ227" i="4"/>
  <c r="Y80" i="24"/>
  <c r="DN98" i="4"/>
  <c r="DK81" i="24"/>
  <c r="DM210" i="4"/>
  <c r="DM209" i="7"/>
  <c r="AG78" i="24"/>
  <c r="DP108" i="4"/>
  <c r="BG74" i="24"/>
  <c r="DT140" i="4"/>
  <c r="K85" i="24"/>
  <c r="DU81" i="7"/>
  <c r="DI81" i="4"/>
  <c r="Z93" i="4"/>
  <c r="Z93" i="1" s="1"/>
  <c r="CB164" i="4"/>
  <c r="W149" i="4"/>
  <c r="BT209" i="4"/>
  <c r="Z97" i="4"/>
  <c r="Z97" i="1" s="1"/>
  <c r="CE38" i="7"/>
  <c r="BQ79" i="24"/>
  <c r="DO152" i="4"/>
  <c r="O191" i="4"/>
  <c r="BQ191" i="4"/>
  <c r="CZ83" i="24"/>
  <c r="DK197" i="4"/>
  <c r="CV129" i="4"/>
  <c r="CE198" i="4"/>
  <c r="CB75" i="24"/>
  <c r="DS168" i="4"/>
  <c r="EN218" i="7"/>
  <c r="EV115" i="7"/>
  <c r="DG202" i="4"/>
  <c r="DG192" i="4"/>
  <c r="BV104" i="4"/>
  <c r="Z116" i="7"/>
  <c r="CV6" i="4"/>
  <c r="W197" i="4"/>
  <c r="BN82" i="24"/>
  <c r="DL148" i="4"/>
  <c r="DK77" i="24"/>
  <c r="DQ209" i="7"/>
  <c r="DQ210" i="4"/>
  <c r="FC81" i="7"/>
  <c r="FA81" i="7"/>
  <c r="EZ81" i="7"/>
  <c r="FJ81" i="7"/>
  <c r="AN81" i="7" s="1"/>
  <c r="FB81" i="7"/>
  <c r="AF81" i="7" s="1"/>
  <c r="EY81" i="7"/>
  <c r="FI81" i="7"/>
  <c r="FD81" i="7"/>
  <c r="FG81" i="7"/>
  <c r="EX81" i="7" s="1"/>
  <c r="FF81" i="7"/>
  <c r="FH81" i="7"/>
  <c r="FE81" i="7"/>
  <c r="CW164" i="4"/>
  <c r="R241" i="7"/>
  <c r="AY79" i="24"/>
  <c r="DO130" i="4"/>
  <c r="DO129" i="7"/>
  <c r="DG81" i="24"/>
  <c r="DM204" i="4"/>
  <c r="AT81" i="24"/>
  <c r="DM124" i="4"/>
  <c r="DG229" i="4"/>
  <c r="CB182" i="4"/>
  <c r="BH79" i="24"/>
  <c r="DO141" i="4"/>
  <c r="CM82" i="24"/>
  <c r="DL181" i="4"/>
  <c r="FC169" i="7"/>
  <c r="FA169" i="7"/>
  <c r="FI169" i="7"/>
  <c r="AM169" i="7" s="1"/>
  <c r="FB169" i="7"/>
  <c r="AF169" i="7" s="1"/>
  <c r="EZ169" i="7"/>
  <c r="AD169" i="7" s="1"/>
  <c r="EY169" i="7"/>
  <c r="FJ169" i="7"/>
  <c r="FH169" i="7"/>
  <c r="FG169" i="7"/>
  <c r="EX169" i="7" s="1"/>
  <c r="FF169" i="7"/>
  <c r="FD169" i="7"/>
  <c r="FE169" i="7"/>
  <c r="BJ77" i="24"/>
  <c r="DQ143" i="4"/>
  <c r="CG83" i="24"/>
  <c r="DK174" i="4"/>
  <c r="O33" i="4"/>
  <c r="BQ33" i="4"/>
  <c r="EL157" i="4"/>
  <c r="O74" i="24"/>
  <c r="DT85" i="4"/>
  <c r="O89" i="4"/>
  <c r="BQ89" i="4"/>
  <c r="BH129" i="4"/>
  <c r="R130" i="4"/>
  <c r="CO78" i="24"/>
  <c r="DP184" i="4"/>
  <c r="O29" i="7"/>
  <c r="AA31" i="7"/>
  <c r="DG106" i="4"/>
  <c r="Q189" i="4"/>
  <c r="Q189" i="1" s="1"/>
  <c r="EV172" i="4"/>
  <c r="Y133" i="7"/>
  <c r="CC150" i="4"/>
  <c r="BX178" i="4"/>
  <c r="FC189" i="7"/>
  <c r="FA189" i="7"/>
  <c r="EZ189" i="7"/>
  <c r="EY189" i="7"/>
  <c r="FI189" i="7"/>
  <c r="FB189" i="7"/>
  <c r="AF189" i="7" s="1"/>
  <c r="FJ189" i="7"/>
  <c r="FH189" i="7"/>
  <c r="FF189" i="7"/>
  <c r="AJ189" i="7" s="1"/>
  <c r="FE189" i="7"/>
  <c r="AI189" i="7" s="1"/>
  <c r="FG189" i="7"/>
  <c r="FD189" i="7"/>
  <c r="R76" i="7"/>
  <c r="Q172" i="7"/>
  <c r="Y120" i="4"/>
  <c r="Y120" i="1" s="1"/>
  <c r="BM156" i="7"/>
  <c r="R225" i="4"/>
  <c r="R225" i="1" s="1"/>
  <c r="AA100" i="7"/>
  <c r="O194" i="4"/>
  <c r="BE193" i="4"/>
  <c r="BQ194" i="4"/>
  <c r="BB84" i="24"/>
  <c r="DJ134" i="4"/>
  <c r="DJ133" i="7"/>
  <c r="BQ93" i="4"/>
  <c r="O93" i="4"/>
  <c r="T86" i="4"/>
  <c r="T86" i="1" s="1"/>
  <c r="DU30" i="7"/>
  <c r="DI30" i="4"/>
  <c r="CA70" i="7"/>
  <c r="E65" i="24"/>
  <c r="D65" i="24" s="1"/>
  <c r="CA43" i="7"/>
  <c r="CA47" i="7" s="1"/>
  <c r="CA71" i="7" s="1"/>
  <c r="BQ151" i="4"/>
  <c r="BE150" i="4"/>
  <c r="O151" i="4"/>
  <c r="DI75" i="24"/>
  <c r="DS207" i="4"/>
  <c r="CE90" i="7"/>
  <c r="W191" i="4"/>
  <c r="W241" i="7"/>
  <c r="BP87" i="4"/>
  <c r="Z88" i="4"/>
  <c r="DA75" i="7"/>
  <c r="CL82" i="24"/>
  <c r="DL180" i="4"/>
  <c r="DE156" i="7"/>
  <c r="BZ76" i="24"/>
  <c r="DR166" i="4"/>
  <c r="Z24" i="4"/>
  <c r="BP27" i="4"/>
  <c r="BH146" i="4"/>
  <c r="R147" i="4"/>
  <c r="AE80" i="24"/>
  <c r="DN106" i="4"/>
  <c r="CE226" i="4"/>
  <c r="CW178" i="4"/>
  <c r="AA122" i="7"/>
  <c r="DT83" i="24"/>
  <c r="DK224" i="4"/>
  <c r="DK223" i="7"/>
  <c r="CV157" i="4"/>
  <c r="O45" i="4"/>
  <c r="BQ45" i="4"/>
  <c r="Q104" i="7"/>
  <c r="EL115" i="7"/>
  <c r="Q141" i="4"/>
  <c r="Q141" i="1" s="1"/>
  <c r="X189" i="4"/>
  <c r="X189" i="1" s="1"/>
  <c r="BT78" i="24"/>
  <c r="DP158" i="4"/>
  <c r="DP157" i="7"/>
  <c r="DV74" i="24"/>
  <c r="DT226" i="4"/>
  <c r="BU74" i="24"/>
  <c r="DT159" i="4"/>
  <c r="BX187" i="4"/>
  <c r="FK63" i="7"/>
  <c r="EY63" i="4"/>
  <c r="AC63" i="7"/>
  <c r="DG90" i="7"/>
  <c r="AA34" i="7"/>
  <c r="Q216" i="4"/>
  <c r="Q216" i="1" s="1"/>
  <c r="V118" i="4"/>
  <c r="V118" i="1" s="1"/>
  <c r="EK138" i="4"/>
  <c r="EW139" i="4"/>
  <c r="FJ64" i="4"/>
  <c r="AN64" i="4" s="1"/>
  <c r="AN64" i="1" s="1"/>
  <c r="AN64" i="7"/>
  <c r="Y7" i="4"/>
  <c r="BA82" i="24"/>
  <c r="DL132" i="4"/>
  <c r="DU94" i="7"/>
  <c r="U85" i="24"/>
  <c r="DI94" i="4"/>
  <c r="T138" i="7"/>
  <c r="U82" i="4"/>
  <c r="U82" i="1" s="1"/>
  <c r="BQ86" i="4"/>
  <c r="O86" i="4"/>
  <c r="BJ75" i="7"/>
  <c r="AV78" i="24"/>
  <c r="DP126" i="4"/>
  <c r="AA186" i="7"/>
  <c r="Q94" i="4"/>
  <c r="Q94" i="1" s="1"/>
  <c r="EW121" i="4"/>
  <c r="DG99" i="4"/>
  <c r="E190" i="23"/>
  <c r="D190" i="23" s="1"/>
  <c r="BH43" i="7"/>
  <c r="BH47" i="7" s="1"/>
  <c r="Z90" i="7"/>
  <c r="EW150" i="7"/>
  <c r="Y213" i="4"/>
  <c r="Y213" i="1" s="1"/>
  <c r="P173" i="4"/>
  <c r="BF172" i="4"/>
  <c r="AA40" i="7"/>
  <c r="DU83" i="24"/>
  <c r="DK225" i="4"/>
  <c r="ER178" i="4"/>
  <c r="T223" i="7"/>
  <c r="BF83" i="24"/>
  <c r="DK139" i="4"/>
  <c r="DK138" i="7"/>
  <c r="AA141" i="7"/>
  <c r="AP84" i="24"/>
  <c r="DJ120" i="4"/>
  <c r="Q175" i="4"/>
  <c r="Q175" i="1" s="1"/>
  <c r="DF90" i="4"/>
  <c r="CD75" i="24"/>
  <c r="DS170" i="4"/>
  <c r="CV74" i="24"/>
  <c r="DT192" i="4"/>
  <c r="R135" i="4"/>
  <c r="R135" i="1" s="1"/>
  <c r="BY187" i="4"/>
  <c r="V214" i="7"/>
  <c r="CC38" i="4"/>
  <c r="T150" i="7"/>
  <c r="AI76" i="24"/>
  <c r="DR110" i="4"/>
  <c r="EQ209" i="4"/>
  <c r="BW146" i="4"/>
  <c r="EW111" i="4"/>
  <c r="U100" i="4"/>
  <c r="U100" i="1" s="1"/>
  <c r="FC92" i="7"/>
  <c r="FA92" i="7"/>
  <c r="EZ92" i="7"/>
  <c r="FJ92" i="7"/>
  <c r="FI92" i="7"/>
  <c r="FB92" i="7"/>
  <c r="AF92" i="7" s="1"/>
  <c r="EY92" i="7"/>
  <c r="FH92" i="7"/>
  <c r="FF92" i="7"/>
  <c r="AJ92" i="7" s="1"/>
  <c r="FG92" i="7"/>
  <c r="EX92" i="7" s="1"/>
  <c r="FE92" i="7"/>
  <c r="FD92" i="7"/>
  <c r="BW74" i="24"/>
  <c r="DT161" i="4"/>
  <c r="W194" i="4"/>
  <c r="BM193" i="4"/>
  <c r="FC198" i="7"/>
  <c r="EZ198" i="7"/>
  <c r="EY198" i="7"/>
  <c r="FI198" i="7"/>
  <c r="FB198" i="7"/>
  <c r="AF198" i="7" s="1"/>
  <c r="FA198" i="7"/>
  <c r="FJ198" i="7"/>
  <c r="FH198" i="7"/>
  <c r="FF198" i="7"/>
  <c r="FD198" i="7"/>
  <c r="FG198" i="7"/>
  <c r="EX198" i="7" s="1"/>
  <c r="FE198" i="7"/>
  <c r="O190" i="4"/>
  <c r="BQ190" i="4"/>
  <c r="CX6" i="4"/>
  <c r="DP83" i="24"/>
  <c r="DK216" i="4"/>
  <c r="G84" i="24"/>
  <c r="DJ77" i="4"/>
  <c r="DJ76" i="7"/>
  <c r="EP76" i="4"/>
  <c r="AY81" i="24"/>
  <c r="DM130" i="4"/>
  <c r="DM129" i="7"/>
  <c r="EU129" i="4"/>
  <c r="AS83" i="24"/>
  <c r="DK123" i="4"/>
  <c r="AA66" i="7"/>
  <c r="EP209" i="4"/>
  <c r="AN75" i="24"/>
  <c r="DS118" i="4"/>
  <c r="Y83" i="4"/>
  <c r="Y83" i="1" s="1"/>
  <c r="DU204" i="7"/>
  <c r="DG85" i="24"/>
  <c r="DI204" i="4"/>
  <c r="FC204" i="7"/>
  <c r="EY204" i="7"/>
  <c r="AC204" i="7" s="1"/>
  <c r="FI204" i="7"/>
  <c r="FB204" i="7"/>
  <c r="FA204" i="7"/>
  <c r="EZ204" i="7"/>
  <c r="FJ204" i="7"/>
  <c r="FH204" i="7"/>
  <c r="FF204" i="7"/>
  <c r="AJ204" i="7" s="1"/>
  <c r="FD204" i="7"/>
  <c r="FG204" i="7"/>
  <c r="EX204" i="7" s="1"/>
  <c r="FE204" i="7"/>
  <c r="AI204" i="7" s="1"/>
  <c r="EQ205" i="4"/>
  <c r="AT82" i="24"/>
  <c r="DL124" i="4"/>
  <c r="EQ43" i="7"/>
  <c r="EQ47" i="7" s="1"/>
  <c r="EQ71" i="7" s="1"/>
  <c r="E259" i="23"/>
  <c r="D259" i="23" s="1"/>
  <c r="R90" i="7"/>
  <c r="ER150" i="4"/>
  <c r="DU199" i="7"/>
  <c r="DB85" i="24"/>
  <c r="DI199" i="4"/>
  <c r="FC199" i="7"/>
  <c r="AG199" i="7" s="1"/>
  <c r="FJ199" i="7"/>
  <c r="AN199" i="7" s="1"/>
  <c r="FB199" i="7"/>
  <c r="FA199" i="7"/>
  <c r="EZ199" i="7"/>
  <c r="EY199" i="7"/>
  <c r="FI199" i="7"/>
  <c r="FH199" i="7"/>
  <c r="FF199" i="7"/>
  <c r="FE199" i="7"/>
  <c r="FD199" i="7"/>
  <c r="FG199" i="7"/>
  <c r="EX199" i="7" s="1"/>
  <c r="CE144" i="4"/>
  <c r="T61" i="4"/>
  <c r="BJ60" i="4"/>
  <c r="DX82" i="24"/>
  <c r="DL229" i="4"/>
  <c r="AF229" i="4" s="1"/>
  <c r="AF229" i="1" s="1"/>
  <c r="CX58" i="4"/>
  <c r="BN219" i="4"/>
  <c r="X220" i="4"/>
  <c r="DC81" i="24"/>
  <c r="DM200" i="4"/>
  <c r="Q223" i="7"/>
  <c r="BG157" i="4"/>
  <c r="Q158" i="4"/>
  <c r="BI156" i="7"/>
  <c r="DA104" i="4"/>
  <c r="BT116" i="4"/>
  <c r="BH75" i="24"/>
  <c r="DS141" i="4"/>
  <c r="S189" i="4"/>
  <c r="S189" i="1" s="1"/>
  <c r="P188" i="4"/>
  <c r="BF187" i="4"/>
  <c r="V74" i="24"/>
  <c r="DT95" i="4"/>
  <c r="CM80" i="24"/>
  <c r="DN181" i="4"/>
  <c r="CE94" i="4"/>
  <c r="U27" i="7"/>
  <c r="CC75" i="24"/>
  <c r="DS169" i="4"/>
  <c r="BU70" i="7"/>
  <c r="E71" i="24"/>
  <c r="D71" i="24" s="1"/>
  <c r="BU43" i="7"/>
  <c r="BU47" i="7" s="1"/>
  <c r="BU71" i="7" s="1"/>
  <c r="S107" i="4"/>
  <c r="S107" i="1" s="1"/>
  <c r="Y93" i="4"/>
  <c r="Y93" i="1" s="1"/>
  <c r="Z189" i="4"/>
  <c r="Z189" i="1" s="1"/>
  <c r="BJ82" i="24"/>
  <c r="DL143" i="4"/>
  <c r="P143" i="4"/>
  <c r="P143" i="1" s="1"/>
  <c r="P76" i="24"/>
  <c r="DR86" i="4"/>
  <c r="FC86" i="7"/>
  <c r="FA86" i="7"/>
  <c r="EY86" i="7"/>
  <c r="FI86" i="7"/>
  <c r="FB86" i="7"/>
  <c r="EZ86" i="7"/>
  <c r="AD86" i="7" s="1"/>
  <c r="FJ86" i="7"/>
  <c r="FG86" i="7"/>
  <c r="EX86" i="7" s="1"/>
  <c r="FF86" i="7"/>
  <c r="AJ86" i="7" s="1"/>
  <c r="FE86" i="7"/>
  <c r="FH86" i="7"/>
  <c r="FD86" i="7"/>
  <c r="V87" i="7"/>
  <c r="EU75" i="7"/>
  <c r="BE80" i="24"/>
  <c r="DN137" i="4"/>
  <c r="BY172" i="4"/>
  <c r="R123" i="4"/>
  <c r="R123" i="1" s="1"/>
  <c r="CG80" i="24"/>
  <c r="DN174" i="4"/>
  <c r="M83" i="24"/>
  <c r="DK83" i="4"/>
  <c r="BF38" i="4"/>
  <c r="P39" i="4"/>
  <c r="J80" i="24"/>
  <c r="DN80" i="4"/>
  <c r="BK223" i="4"/>
  <c r="U224" i="4"/>
  <c r="DD78" i="24"/>
  <c r="DP201" i="4"/>
  <c r="DF75" i="24"/>
  <c r="DS203" i="4"/>
  <c r="FC203" i="7"/>
  <c r="EZ203" i="7"/>
  <c r="AD203" i="7" s="1"/>
  <c r="EY203" i="7"/>
  <c r="AC203" i="7" s="1"/>
  <c r="FB203" i="7"/>
  <c r="AF203" i="7" s="1"/>
  <c r="FA203" i="7"/>
  <c r="AE203" i="7" s="1"/>
  <c r="FJ203" i="7"/>
  <c r="FI203" i="7"/>
  <c r="FH203" i="7"/>
  <c r="FD203" i="7"/>
  <c r="FG203" i="7"/>
  <c r="EX203" i="7" s="1"/>
  <c r="FF203" i="7"/>
  <c r="FE203" i="7"/>
  <c r="EW229" i="4"/>
  <c r="BN115" i="7"/>
  <c r="EW142" i="4"/>
  <c r="BH227" i="4"/>
  <c r="R228" i="4"/>
  <c r="BT214" i="4"/>
  <c r="L75" i="24"/>
  <c r="DS82" i="4"/>
  <c r="T6" i="7"/>
  <c r="O80" i="24"/>
  <c r="DN85" i="4"/>
  <c r="DG110" i="4"/>
  <c r="W185" i="4"/>
  <c r="DU119" i="7"/>
  <c r="AO85" i="24"/>
  <c r="DI119" i="4"/>
  <c r="FC119" i="7"/>
  <c r="FA119" i="7"/>
  <c r="EY119" i="7"/>
  <c r="FJ119" i="7"/>
  <c r="AN119" i="7" s="1"/>
  <c r="FB119" i="7"/>
  <c r="AF119" i="7" s="1"/>
  <c r="EZ119" i="7"/>
  <c r="AD119" i="7" s="1"/>
  <c r="FI119" i="7"/>
  <c r="AM119" i="7" s="1"/>
  <c r="FH119" i="7"/>
  <c r="AL119" i="7" s="1"/>
  <c r="AB119" i="7" s="1"/>
  <c r="FG119" i="7"/>
  <c r="EX119" i="7" s="1"/>
  <c r="FE119" i="7"/>
  <c r="FD119" i="7"/>
  <c r="FF119" i="7"/>
  <c r="S98" i="4"/>
  <c r="S98" i="1" s="1"/>
  <c r="X133" i="7"/>
  <c r="ER193" i="4"/>
  <c r="CE79" i="24"/>
  <c r="DO171" i="4"/>
  <c r="R196" i="4"/>
  <c r="R196" i="1" s="1"/>
  <c r="H80" i="24"/>
  <c r="DN78" i="4"/>
  <c r="S174" i="4"/>
  <c r="S174" i="1" s="1"/>
  <c r="BS74" i="24"/>
  <c r="DT154" i="4"/>
  <c r="AA83" i="7"/>
  <c r="AA131" i="7"/>
  <c r="Z214" i="7"/>
  <c r="Q24" i="4"/>
  <c r="BG27" i="4"/>
  <c r="DU243" i="7"/>
  <c r="DI243" i="4"/>
  <c r="O243" i="4"/>
  <c r="BQ243" i="4"/>
  <c r="DU184" i="7"/>
  <c r="CO85" i="24"/>
  <c r="DI184" i="4"/>
  <c r="BY70" i="7"/>
  <c r="E67" i="24"/>
  <c r="D67" i="24" s="1"/>
  <c r="BY43" i="7"/>
  <c r="BY47" i="7" s="1"/>
  <c r="BY71" i="7" s="1"/>
  <c r="V79" i="4"/>
  <c r="V79" i="1" s="1"/>
  <c r="CX90" i="4"/>
  <c r="DL83" i="24"/>
  <c r="DK211" i="4"/>
  <c r="V226" i="4"/>
  <c r="V226" i="1" s="1"/>
  <c r="P179" i="4"/>
  <c r="BF178" i="4"/>
  <c r="ES70" i="7"/>
  <c r="V58" i="7"/>
  <c r="BS182" i="4"/>
  <c r="CE183" i="4"/>
  <c r="CE150" i="7"/>
  <c r="U176" i="4"/>
  <c r="U176" i="1" s="1"/>
  <c r="DM84" i="24"/>
  <c r="DJ212" i="4"/>
  <c r="ES157" i="4"/>
  <c r="DE104" i="4"/>
  <c r="BR79" i="24"/>
  <c r="DO153" i="4"/>
  <c r="EP164" i="4"/>
  <c r="X177" i="4"/>
  <c r="X177" i="1" s="1"/>
  <c r="R178" i="7"/>
  <c r="EO223" i="4"/>
  <c r="EM164" i="4"/>
  <c r="CJ84" i="24"/>
  <c r="DJ177" i="4"/>
  <c r="S225" i="4"/>
  <c r="S225" i="1" s="1"/>
  <c r="CE132" i="4"/>
  <c r="CZ76" i="4"/>
  <c r="DU125" i="7"/>
  <c r="AU85" i="24"/>
  <c r="DI125" i="4"/>
  <c r="BQ215" i="4"/>
  <c r="BE214" i="4"/>
  <c r="O215" i="4"/>
  <c r="CV205" i="4"/>
  <c r="Q29" i="7"/>
  <c r="AA135" i="7"/>
  <c r="ES187" i="4"/>
  <c r="CS74" i="24"/>
  <c r="DT189" i="4"/>
  <c r="Q167" i="4"/>
  <c r="Q167" i="1" s="1"/>
  <c r="BQ88" i="4"/>
  <c r="BE87" i="4"/>
  <c r="O88" i="4"/>
  <c r="DB133" i="4"/>
  <c r="ER209" i="4"/>
  <c r="DH80" i="24"/>
  <c r="DN206" i="4"/>
  <c r="DN205" i="7"/>
  <c r="T38" i="7"/>
  <c r="O146" i="7"/>
  <c r="AA147" i="7"/>
  <c r="BN70" i="7"/>
  <c r="Z229" i="4"/>
  <c r="Z229" i="1" s="1"/>
  <c r="DU128" i="7"/>
  <c r="AX85" i="24"/>
  <c r="DI128" i="4"/>
  <c r="Q98" i="24"/>
  <c r="Q86" i="24"/>
  <c r="FJ88" i="4"/>
  <c r="FJ87" i="4" s="1"/>
  <c r="FJ87" i="7"/>
  <c r="W113" i="4"/>
  <c r="W94" i="4"/>
  <c r="EO205" i="4"/>
  <c r="EU43" i="7"/>
  <c r="EU47" i="7" s="1"/>
  <c r="E255" i="23"/>
  <c r="D255" i="23" s="1"/>
  <c r="CN78" i="24"/>
  <c r="DP183" i="4"/>
  <c r="DP182" i="7"/>
  <c r="Z125" i="4"/>
  <c r="Z125" i="1" s="1"/>
  <c r="BB80" i="24"/>
  <c r="DN134" i="4"/>
  <c r="DN133" i="7"/>
  <c r="Z184" i="4"/>
  <c r="Z184" i="1" s="1"/>
  <c r="BV138" i="4"/>
  <c r="CW187" i="4"/>
  <c r="DG167" i="4"/>
  <c r="N79" i="24"/>
  <c r="DO84" i="4"/>
  <c r="S193" i="7"/>
  <c r="CE40" i="4"/>
  <c r="U198" i="4"/>
  <c r="U198" i="1" s="1"/>
  <c r="Y168" i="4"/>
  <c r="Y168" i="1" s="1"/>
  <c r="BL38" i="4"/>
  <c r="V39" i="4"/>
  <c r="BM82" i="24"/>
  <c r="DL146" i="7"/>
  <c r="DL147" i="4"/>
  <c r="EW107" i="4"/>
  <c r="Q80" i="4"/>
  <c r="Q80" i="1" s="1"/>
  <c r="BF156" i="7"/>
  <c r="BH87" i="4"/>
  <c r="R88" i="4"/>
  <c r="P102" i="4"/>
  <c r="P102" i="1" s="1"/>
  <c r="T131" i="4"/>
  <c r="T131" i="1" s="1"/>
  <c r="DI82" i="24"/>
  <c r="DL207" i="4"/>
  <c r="P202" i="4"/>
  <c r="P202" i="1" s="1"/>
  <c r="BI80" i="24"/>
  <c r="DN142" i="4"/>
  <c r="AH80" i="24"/>
  <c r="DN109" i="4"/>
  <c r="AB84" i="24"/>
  <c r="DJ101" i="4"/>
  <c r="T172" i="7"/>
  <c r="DU180" i="7"/>
  <c r="CL85" i="24"/>
  <c r="DI180" i="4"/>
  <c r="FC180" i="7"/>
  <c r="FJ180" i="7"/>
  <c r="FI180" i="7"/>
  <c r="AM180" i="7" s="1"/>
  <c r="FB180" i="7"/>
  <c r="FA180" i="7"/>
  <c r="AE180" i="7" s="1"/>
  <c r="EZ180" i="7"/>
  <c r="AD180" i="7" s="1"/>
  <c r="EY180" i="7"/>
  <c r="FH180" i="7"/>
  <c r="FG180" i="7"/>
  <c r="EX180" i="7" s="1"/>
  <c r="FF180" i="7"/>
  <c r="FD180" i="7"/>
  <c r="FE180" i="7"/>
  <c r="DF227" i="4"/>
  <c r="Y98" i="4"/>
  <c r="Y98" i="1" s="1"/>
  <c r="EU133" i="4"/>
  <c r="U194" i="4"/>
  <c r="BK193" i="4"/>
  <c r="CX84" i="24"/>
  <c r="DJ195" i="4"/>
  <c r="AC83" i="24"/>
  <c r="DK102" i="4"/>
  <c r="S154" i="4"/>
  <c r="S154" i="1" s="1"/>
  <c r="BZ82" i="24"/>
  <c r="DL166" i="4"/>
  <c r="U83" i="4"/>
  <c r="U83" i="1" s="1"/>
  <c r="CX214" i="4"/>
  <c r="X83" i="24"/>
  <c r="DK97" i="4"/>
  <c r="W169" i="4"/>
  <c r="CV138" i="4"/>
  <c r="DU106" i="7"/>
  <c r="AE85" i="24"/>
  <c r="DI106" i="4"/>
  <c r="X178" i="7"/>
  <c r="ER70" i="4"/>
  <c r="AR76" i="24"/>
  <c r="DR122" i="4"/>
  <c r="AA51" i="7"/>
  <c r="AA54" i="7" s="1"/>
  <c r="O54" i="7"/>
  <c r="CE160" i="4"/>
  <c r="DK88" i="7"/>
  <c r="AE88" i="7" s="1"/>
  <c r="AE87" i="7" s="1"/>
  <c r="DK32" i="4"/>
  <c r="CX187" i="4"/>
  <c r="DT78" i="24"/>
  <c r="DP224" i="4"/>
  <c r="DP223" i="7"/>
  <c r="FA224" i="7"/>
  <c r="FJ224" i="7"/>
  <c r="FI224" i="7"/>
  <c r="FG224" i="7"/>
  <c r="EX224" i="7" s="1"/>
  <c r="EZ224" i="7"/>
  <c r="EY224" i="7"/>
  <c r="FH224" i="7"/>
  <c r="AL224" i="7" s="1"/>
  <c r="AB224" i="7" s="1"/>
  <c r="FF224" i="7"/>
  <c r="FD224" i="7"/>
  <c r="AH224" i="7" s="1"/>
  <c r="FB224" i="7"/>
  <c r="FC224" i="7"/>
  <c r="FE224" i="7"/>
  <c r="DG157" i="7"/>
  <c r="DC116" i="4"/>
  <c r="BY78" i="24"/>
  <c r="DP165" i="4"/>
  <c r="DP164" i="7"/>
  <c r="BG164" i="4"/>
  <c r="Q165" i="4"/>
  <c r="DG213" i="4"/>
  <c r="DE79" i="24"/>
  <c r="DO202" i="4"/>
  <c r="CU219" i="4"/>
  <c r="DG220" i="4"/>
  <c r="BT74" i="24"/>
  <c r="DT158" i="4"/>
  <c r="DT157" i="7"/>
  <c r="EP156" i="7"/>
  <c r="Q196" i="4"/>
  <c r="Q196" i="1" s="1"/>
  <c r="DV82" i="24"/>
  <c r="DL226" i="4"/>
  <c r="CA223" i="4"/>
  <c r="CU38" i="4"/>
  <c r="DG39" i="4"/>
  <c r="CU57" i="4"/>
  <c r="DG55" i="4"/>
  <c r="DG57" i="4" s="1"/>
  <c r="S138" i="7"/>
  <c r="V144" i="4"/>
  <c r="V144" i="1" s="1"/>
  <c r="EM58" i="7"/>
  <c r="DG144" i="4"/>
  <c r="BU83" i="24"/>
  <c r="DK159" i="4"/>
  <c r="T140" i="4"/>
  <c r="T140" i="1" s="1"/>
  <c r="T212" i="4"/>
  <c r="T212" i="1" s="1"/>
  <c r="X225" i="4"/>
  <c r="X225" i="1" s="1"/>
  <c r="AA119" i="7"/>
  <c r="Y209" i="7"/>
  <c r="FA63" i="4"/>
  <c r="AE63" i="4" s="1"/>
  <c r="AE63" i="1" s="1"/>
  <c r="AE63" i="7"/>
  <c r="AW77" i="24"/>
  <c r="DQ127" i="4"/>
  <c r="CZ58" i="4"/>
  <c r="Q92" i="4"/>
  <c r="Q92" i="1" s="1"/>
  <c r="Z187" i="7"/>
  <c r="BK115" i="7"/>
  <c r="CD241" i="4"/>
  <c r="S137" i="4"/>
  <c r="S137" i="1" s="1"/>
  <c r="W78" i="24"/>
  <c r="DP96" i="4"/>
  <c r="U178" i="7"/>
  <c r="U60" i="7"/>
  <c r="FB64" i="4"/>
  <c r="AF64" i="4" s="1"/>
  <c r="AF64" i="1" s="1"/>
  <c r="AF64" i="7"/>
  <c r="BQ209" i="7"/>
  <c r="V190" i="4"/>
  <c r="V190" i="1" s="1"/>
  <c r="DE90" i="4"/>
  <c r="R111" i="4"/>
  <c r="R111" i="1" s="1"/>
  <c r="S160" i="4"/>
  <c r="S160" i="1" s="1"/>
  <c r="V117" i="4"/>
  <c r="BL116" i="4"/>
  <c r="BQ95" i="4"/>
  <c r="O95" i="4"/>
  <c r="DU132" i="7"/>
  <c r="BA85" i="24"/>
  <c r="DI132" i="4"/>
  <c r="FC132" i="7"/>
  <c r="FA132" i="7"/>
  <c r="EY132" i="7"/>
  <c r="FJ132" i="7"/>
  <c r="FB132" i="7"/>
  <c r="EZ132" i="7"/>
  <c r="FI132" i="7"/>
  <c r="FH132" i="7"/>
  <c r="FG132" i="7"/>
  <c r="EX132" i="7" s="1"/>
  <c r="FF132" i="7"/>
  <c r="FE132" i="7"/>
  <c r="AI132" i="7" s="1"/>
  <c r="FD132" i="7"/>
  <c r="AH132" i="7" s="1"/>
  <c r="BQ65" i="4"/>
  <c r="O65" i="4"/>
  <c r="CE209" i="7"/>
  <c r="U79" i="24"/>
  <c r="DO94" i="4"/>
  <c r="CH74" i="24"/>
  <c r="DT175" i="4"/>
  <c r="AA226" i="7"/>
  <c r="U182" i="7"/>
  <c r="EW109" i="4"/>
  <c r="BL82" i="24"/>
  <c r="DL145" i="4"/>
  <c r="Y87" i="7"/>
  <c r="AL75" i="24"/>
  <c r="DS113" i="4"/>
  <c r="V137" i="4"/>
  <c r="V137" i="1" s="1"/>
  <c r="R149" i="4"/>
  <c r="R149" i="1" s="1"/>
  <c r="DW74" i="24"/>
  <c r="DT228" i="4"/>
  <c r="DT227" i="7"/>
  <c r="BM133" i="4"/>
  <c r="W134" i="4"/>
  <c r="EL193" i="4"/>
  <c r="X171" i="4"/>
  <c r="X171" i="1" s="1"/>
  <c r="Z136" i="4"/>
  <c r="Z136" i="1" s="1"/>
  <c r="AV74" i="24"/>
  <c r="DT126" i="4"/>
  <c r="V210" i="4"/>
  <c r="BL209" i="4"/>
  <c r="CT82" i="24"/>
  <c r="DL190" i="4"/>
  <c r="CE120" i="4"/>
  <c r="DU121" i="7"/>
  <c r="AQ85" i="24"/>
  <c r="DI121" i="4"/>
  <c r="FC121" i="7"/>
  <c r="FA121" i="7"/>
  <c r="AE121" i="7" s="1"/>
  <c r="EZ121" i="7"/>
  <c r="FJ121" i="7"/>
  <c r="FB121" i="7"/>
  <c r="EY121" i="7"/>
  <c r="FI121" i="7"/>
  <c r="FH121" i="7"/>
  <c r="FG121" i="7"/>
  <c r="EX121" i="7" s="1"/>
  <c r="FF121" i="7"/>
  <c r="FD121" i="7"/>
  <c r="FE121" i="7"/>
  <c r="AI121" i="7" s="1"/>
  <c r="BN205" i="4"/>
  <c r="X206" i="4"/>
  <c r="DJ31" i="4"/>
  <c r="DJ29" i="7"/>
  <c r="ES90" i="4"/>
  <c r="CE127" i="4"/>
  <c r="CB138" i="4"/>
  <c r="R106" i="4"/>
  <c r="R106" i="1" s="1"/>
  <c r="BY178" i="4"/>
  <c r="U219" i="7"/>
  <c r="CB115" i="7"/>
  <c r="V191" i="4"/>
  <c r="V191" i="1" s="1"/>
  <c r="U109" i="4"/>
  <c r="U109" i="1" s="1"/>
  <c r="BG76" i="4"/>
  <c r="Q77" i="4"/>
  <c r="R137" i="4"/>
  <c r="R137" i="1" s="1"/>
  <c r="BX79" i="24"/>
  <c r="DO162" i="4"/>
  <c r="EW198" i="4"/>
  <c r="Z38" i="7"/>
  <c r="T93" i="4"/>
  <c r="T93" i="1" s="1"/>
  <c r="AK74" i="24"/>
  <c r="DT112" i="4"/>
  <c r="R126" i="4"/>
  <c r="R126" i="1" s="1"/>
  <c r="Q186" i="4"/>
  <c r="Q186" i="1" s="1"/>
  <c r="Z222" i="4"/>
  <c r="Z222" i="1" s="1"/>
  <c r="AF84" i="24"/>
  <c r="DJ107" i="4"/>
  <c r="BG178" i="4"/>
  <c r="Q179" i="4"/>
  <c r="AJ78" i="24"/>
  <c r="DP111" i="4"/>
  <c r="Q176" i="4"/>
  <c r="Q176" i="1" s="1"/>
  <c r="DK38" i="7"/>
  <c r="F83" i="24" s="1"/>
  <c r="DK39" i="4"/>
  <c r="S38" i="7"/>
  <c r="EN150" i="4"/>
  <c r="Z202" i="4"/>
  <c r="Z202" i="1" s="1"/>
  <c r="P108" i="4"/>
  <c r="P108" i="1" s="1"/>
  <c r="DU77" i="24"/>
  <c r="DQ225" i="4"/>
  <c r="FA225" i="7"/>
  <c r="FJ225" i="7"/>
  <c r="FI225" i="7"/>
  <c r="FG225" i="7"/>
  <c r="EX225" i="7" s="1"/>
  <c r="FF225" i="7"/>
  <c r="EZ225" i="7"/>
  <c r="EY225" i="7"/>
  <c r="AC225" i="7" s="1"/>
  <c r="FH225" i="7"/>
  <c r="FD225" i="7"/>
  <c r="FC225" i="7"/>
  <c r="FB225" i="7"/>
  <c r="FE225" i="7"/>
  <c r="BX133" i="4"/>
  <c r="CY76" i="24"/>
  <c r="DR196" i="4"/>
  <c r="BT38" i="4"/>
  <c r="S135" i="4"/>
  <c r="S135" i="1" s="1"/>
  <c r="S80" i="4"/>
  <c r="S80" i="1" s="1"/>
  <c r="ET156" i="7"/>
  <c r="EK116" i="4"/>
  <c r="EW117" i="4"/>
  <c r="CP74" i="24"/>
  <c r="DT185" i="4"/>
  <c r="P197" i="4"/>
  <c r="P197" i="1" s="1"/>
  <c r="EU227" i="4"/>
  <c r="Q123" i="4"/>
  <c r="Q123" i="1" s="1"/>
  <c r="Q78" i="4"/>
  <c r="Q78" i="1" s="1"/>
  <c r="S168" i="4"/>
  <c r="S168" i="1" s="1"/>
  <c r="EK146" i="4"/>
  <c r="EW147" i="4"/>
  <c r="BP29" i="4"/>
  <c r="Z31" i="4"/>
  <c r="DU139" i="7"/>
  <c r="BF85" i="24"/>
  <c r="DI139" i="4"/>
  <c r="DI138" i="7"/>
  <c r="FC139" i="7"/>
  <c r="FA139" i="7"/>
  <c r="AE139" i="7" s="1"/>
  <c r="EY139" i="7"/>
  <c r="FJ139" i="7"/>
  <c r="FB139" i="7"/>
  <c r="EZ139" i="7"/>
  <c r="FI139" i="7"/>
  <c r="FG139" i="7"/>
  <c r="EX139" i="7" s="1"/>
  <c r="FF139" i="7"/>
  <c r="FD139" i="7"/>
  <c r="FH139" i="7"/>
  <c r="AL139" i="7" s="1"/>
  <c r="AB139" i="7" s="1"/>
  <c r="FE139" i="7"/>
  <c r="AI139" i="7" s="1"/>
  <c r="Y199" i="4"/>
  <c r="Y199" i="1" s="1"/>
  <c r="EW140" i="4"/>
  <c r="CU104" i="4"/>
  <c r="DG105" i="4"/>
  <c r="CE143" i="4"/>
  <c r="AP77" i="24"/>
  <c r="DQ120" i="4"/>
  <c r="CZ205" i="4"/>
  <c r="V178" i="7"/>
  <c r="AD229" i="7"/>
  <c r="AA84" i="24"/>
  <c r="DJ100" i="4"/>
  <c r="Q68" i="24"/>
  <c r="BX88" i="4"/>
  <c r="BX87" i="7"/>
  <c r="BX75" i="7" s="1"/>
  <c r="CI77" i="24"/>
  <c r="DQ176" i="4"/>
  <c r="CE223" i="7"/>
  <c r="AD81" i="24"/>
  <c r="DM105" i="4"/>
  <c r="DM104" i="7"/>
  <c r="O7" i="4"/>
  <c r="BQ7" i="4"/>
  <c r="U241" i="7"/>
  <c r="DE133" i="4"/>
  <c r="CW84" i="24"/>
  <c r="DJ194" i="4"/>
  <c r="DJ193" i="7"/>
  <c r="CV209" i="4"/>
  <c r="R184" i="4"/>
  <c r="R184" i="1" s="1"/>
  <c r="FA60" i="7"/>
  <c r="FA61" i="4"/>
  <c r="AE61" i="7"/>
  <c r="DD219" i="4"/>
  <c r="CR77" i="24"/>
  <c r="DQ188" i="4"/>
  <c r="DQ187" i="7"/>
  <c r="FC188" i="7"/>
  <c r="EZ188" i="7"/>
  <c r="FJ188" i="7"/>
  <c r="FB188" i="7"/>
  <c r="FA188" i="7"/>
  <c r="EY188" i="7"/>
  <c r="FI188" i="7"/>
  <c r="AM188" i="7" s="1"/>
  <c r="FH188" i="7"/>
  <c r="FG188" i="7"/>
  <c r="EX188" i="7" s="1"/>
  <c r="FF188" i="7"/>
  <c r="FD188" i="7"/>
  <c r="FE188" i="7"/>
  <c r="CY157" i="4"/>
  <c r="AM78" i="24"/>
  <c r="DP117" i="4"/>
  <c r="DP116" i="7"/>
  <c r="R164" i="7"/>
  <c r="BQ241" i="7"/>
  <c r="DJ84" i="24"/>
  <c r="DJ208" i="4"/>
  <c r="W76" i="7"/>
  <c r="DU247" i="7"/>
  <c r="DI247" i="4"/>
  <c r="CE102" i="4"/>
  <c r="V121" i="4"/>
  <c r="V121" i="1" s="1"/>
  <c r="Z74" i="24"/>
  <c r="DT99" i="4"/>
  <c r="CY43" i="7"/>
  <c r="CY47" i="7" s="1"/>
  <c r="E225" i="23"/>
  <c r="D225" i="23" s="1"/>
  <c r="BK79" i="24"/>
  <c r="DO144" i="4"/>
  <c r="BL13" i="4"/>
  <c r="BL6" i="4" s="1"/>
  <c r="V14" i="4"/>
  <c r="CE128" i="4"/>
  <c r="AA200" i="7"/>
  <c r="T81" i="24"/>
  <c r="DM93" i="4"/>
  <c r="DB116" i="4"/>
  <c r="Z84" i="4"/>
  <c r="Z84" i="1" s="1"/>
  <c r="BF75" i="7"/>
  <c r="CD79" i="24"/>
  <c r="DO170" i="4"/>
  <c r="AA126" i="7"/>
  <c r="BS214" i="4"/>
  <c r="CE215" i="4"/>
  <c r="P31" i="4"/>
  <c r="BF29" i="4"/>
  <c r="BP85" i="24"/>
  <c r="DU151" i="7"/>
  <c r="DI151" i="4"/>
  <c r="DI150" i="7"/>
  <c r="FC151" i="7"/>
  <c r="EZ151" i="7"/>
  <c r="EY151" i="7"/>
  <c r="FB151" i="7"/>
  <c r="FA151" i="7"/>
  <c r="FJ151" i="7"/>
  <c r="FI151" i="7"/>
  <c r="FG151" i="7"/>
  <c r="EX151" i="7" s="1"/>
  <c r="FE151" i="7"/>
  <c r="FF151" i="7"/>
  <c r="FD151" i="7"/>
  <c r="AH151" i="7" s="1"/>
  <c r="FH151" i="7"/>
  <c r="CV81" i="24"/>
  <c r="DM192" i="4"/>
  <c r="BV116" i="4"/>
  <c r="EW189" i="4"/>
  <c r="CB172" i="4"/>
  <c r="BV78" i="24"/>
  <c r="DP160" i="4"/>
  <c r="DC157" i="4"/>
  <c r="BQ164" i="7"/>
  <c r="Y80" i="4"/>
  <c r="Y80" i="1" s="1"/>
  <c r="W189" i="4"/>
  <c r="Z82" i="4"/>
  <c r="Z82" i="1" s="1"/>
  <c r="X95" i="4"/>
  <c r="X95" i="1" s="1"/>
  <c r="CA81" i="24"/>
  <c r="DM167" i="4"/>
  <c r="BW241" i="4"/>
  <c r="P216" i="4"/>
  <c r="P216" i="1" s="1"/>
  <c r="X85" i="4"/>
  <c r="X85" i="1" s="1"/>
  <c r="AI75" i="24"/>
  <c r="DS110" i="4"/>
  <c r="T110" i="4"/>
  <c r="T110" i="1" s="1"/>
  <c r="O16" i="4"/>
  <c r="BQ16" i="4"/>
  <c r="CY76" i="4"/>
  <c r="BO80" i="24"/>
  <c r="DN149" i="4"/>
  <c r="EW180" i="4"/>
  <c r="ER133" i="4"/>
  <c r="BZ193" i="4"/>
  <c r="BD77" i="24"/>
  <c r="DQ136" i="4"/>
  <c r="FC136" i="7"/>
  <c r="FA136" i="7"/>
  <c r="AE136" i="7" s="1"/>
  <c r="EY136" i="7"/>
  <c r="FJ136" i="7"/>
  <c r="FI136" i="7"/>
  <c r="FB136" i="7"/>
  <c r="EZ136" i="7"/>
  <c r="FG136" i="7"/>
  <c r="EX136" i="7" s="1"/>
  <c r="FE136" i="7"/>
  <c r="FD136" i="7"/>
  <c r="FF136" i="7"/>
  <c r="FH136" i="7"/>
  <c r="CQ79" i="24"/>
  <c r="DO186" i="4"/>
  <c r="W209" i="7"/>
  <c r="AZ79" i="24"/>
  <c r="DO131" i="4"/>
  <c r="X204" i="4"/>
  <c r="X204" i="1" s="1"/>
  <c r="R97" i="4"/>
  <c r="R97" i="1" s="1"/>
  <c r="FA245" i="7"/>
  <c r="FA245" i="4" s="1"/>
  <c r="AE245" i="4" s="1"/>
  <c r="AE245" i="1" s="1"/>
  <c r="FI245" i="7"/>
  <c r="FI245" i="4" s="1"/>
  <c r="FF245" i="7"/>
  <c r="EZ245" i="7"/>
  <c r="EY245" i="7"/>
  <c r="FJ245" i="7"/>
  <c r="FH245" i="7"/>
  <c r="FG245" i="7"/>
  <c r="EX245" i="7" s="1"/>
  <c r="FD245" i="7"/>
  <c r="FB245" i="7"/>
  <c r="FC245" i="7"/>
  <c r="FE245" i="7"/>
  <c r="DG207" i="4"/>
  <c r="EP43" i="7"/>
  <c r="EP47" i="7" s="1"/>
  <c r="E260" i="23"/>
  <c r="D260" i="23" s="1"/>
  <c r="I84" i="24"/>
  <c r="DJ79" i="4"/>
  <c r="V127" i="4"/>
  <c r="V127" i="1" s="1"/>
  <c r="BP150" i="4"/>
  <c r="Z151" i="4"/>
  <c r="X107" i="4"/>
  <c r="X107" i="1" s="1"/>
  <c r="CK81" i="24"/>
  <c r="DM179" i="4"/>
  <c r="DM178" i="7"/>
  <c r="EW178" i="7"/>
  <c r="P192" i="4"/>
  <c r="P192" i="1" s="1"/>
  <c r="EP58" i="7"/>
  <c r="BC74" i="24"/>
  <c r="DT135" i="4"/>
  <c r="DC182" i="4"/>
  <c r="S77" i="24"/>
  <c r="DQ92" i="4"/>
  <c r="BH187" i="4"/>
  <c r="R188" i="4"/>
  <c r="EV223" i="4"/>
  <c r="BN157" i="4"/>
  <c r="X158" i="4"/>
  <c r="S93" i="4"/>
  <c r="S93" i="1" s="1"/>
  <c r="W105" i="4"/>
  <c r="BM104" i="4"/>
  <c r="W116" i="7"/>
  <c r="DC164" i="4"/>
  <c r="DN79" i="24"/>
  <c r="DO213" i="4"/>
  <c r="P82" i="4"/>
  <c r="P82" i="1" s="1"/>
  <c r="Q143" i="4"/>
  <c r="Q143" i="1" s="1"/>
  <c r="CU82" i="24"/>
  <c r="DL191" i="4"/>
  <c r="R191" i="4"/>
  <c r="R191" i="1" s="1"/>
  <c r="DG132" i="4"/>
  <c r="DG208" i="4"/>
  <c r="BW79" i="24"/>
  <c r="DO161" i="4"/>
  <c r="EL227" i="4"/>
  <c r="FK62" i="7"/>
  <c r="EY62" i="4"/>
  <c r="AC62" i="4" s="1"/>
  <c r="BY133" i="4"/>
  <c r="EU193" i="4"/>
  <c r="BN78" i="24"/>
  <c r="DP148" i="4"/>
  <c r="CE174" i="4"/>
  <c r="DA75" i="24"/>
  <c r="DS198" i="4"/>
  <c r="DG209" i="7"/>
  <c r="Q222" i="4"/>
  <c r="Q222" i="1" s="1"/>
  <c r="DO74" i="24"/>
  <c r="DT215" i="4"/>
  <c r="DT214" i="7"/>
  <c r="BV214" i="4"/>
  <c r="EW96" i="4"/>
  <c r="R76" i="24"/>
  <c r="DR91" i="4"/>
  <c r="DR90" i="7"/>
  <c r="DH90" i="7" s="1"/>
  <c r="Z13" i="7"/>
  <c r="Z6" i="7" s="1"/>
  <c r="R152" i="4"/>
  <c r="R152" i="1" s="1"/>
  <c r="CD156" i="7"/>
  <c r="DM242" i="4"/>
  <c r="DM241" i="4" s="1"/>
  <c r="DM241" i="7"/>
  <c r="EB81" i="24" s="1"/>
  <c r="DU173" i="7"/>
  <c r="CF85" i="24"/>
  <c r="DI173" i="4"/>
  <c r="DI172" i="7"/>
  <c r="Y78" i="24"/>
  <c r="DP98" i="4"/>
  <c r="EW186" i="4"/>
  <c r="DK80" i="24"/>
  <c r="DN210" i="4"/>
  <c r="DN209" i="7"/>
  <c r="AG77" i="24"/>
  <c r="DQ108" i="4"/>
  <c r="FC108" i="7"/>
  <c r="EZ108" i="7"/>
  <c r="AD108" i="7" s="1"/>
  <c r="FJ108" i="7"/>
  <c r="AN108" i="7" s="1"/>
  <c r="FI108" i="7"/>
  <c r="FB108" i="7"/>
  <c r="FA108" i="7"/>
  <c r="EY108" i="7"/>
  <c r="FH108" i="7"/>
  <c r="FE108" i="7"/>
  <c r="FG108" i="7"/>
  <c r="EX108" i="7" s="1"/>
  <c r="FF108" i="7"/>
  <c r="FD108" i="7"/>
  <c r="Q111" i="4"/>
  <c r="Q111" i="1" s="1"/>
  <c r="BG77" i="24"/>
  <c r="DQ140" i="4"/>
  <c r="K84" i="24"/>
  <c r="DJ81" i="4"/>
  <c r="BM129" i="4"/>
  <c r="W130" i="4"/>
  <c r="BX193" i="4"/>
  <c r="T190" i="4"/>
  <c r="T190" i="1" s="1"/>
  <c r="Q39" i="4"/>
  <c r="BG38" i="4"/>
  <c r="V184" i="4"/>
  <c r="V184" i="1" s="1"/>
  <c r="W229" i="4"/>
  <c r="BQ84" i="24"/>
  <c r="DJ152" i="4"/>
  <c r="AA191" i="7"/>
  <c r="Z109" i="4"/>
  <c r="Z109" i="1" s="1"/>
  <c r="CZ82" i="24"/>
  <c r="DL197" i="4"/>
  <c r="EW184" i="4"/>
  <c r="DG183" i="4"/>
  <c r="CU182" i="4"/>
  <c r="BN241" i="4"/>
  <c r="X242" i="4"/>
  <c r="BQ109" i="4"/>
  <c r="O109" i="4"/>
  <c r="CB74" i="24"/>
  <c r="DT168" i="4"/>
  <c r="BT146" i="4"/>
  <c r="BT150" i="4"/>
  <c r="EP6" i="4"/>
  <c r="Z95" i="4"/>
  <c r="Z95" i="1" s="1"/>
  <c r="BY241" i="4"/>
  <c r="DP82" i="24"/>
  <c r="DL216" i="4"/>
  <c r="Y216" i="4"/>
  <c r="Y216" i="1" s="1"/>
  <c r="Q85" i="4"/>
  <c r="Q85" i="1" s="1"/>
  <c r="G83" i="24"/>
  <c r="DK77" i="4"/>
  <c r="DK76" i="7"/>
  <c r="CA172" i="4"/>
  <c r="AY80" i="24"/>
  <c r="DN130" i="4"/>
  <c r="DN129" i="7"/>
  <c r="EU115" i="7"/>
  <c r="BS60" i="4"/>
  <c r="CE62" i="4"/>
  <c r="CE60" i="4" s="1"/>
  <c r="DG98" i="4"/>
  <c r="EO193" i="4"/>
  <c r="AS81" i="24"/>
  <c r="DM123" i="4"/>
  <c r="BQ123" i="4"/>
  <c r="O123" i="4"/>
  <c r="DG162" i="4"/>
  <c r="AN85" i="24"/>
  <c r="DU118" i="7"/>
  <c r="DI118" i="4"/>
  <c r="BH27" i="4"/>
  <c r="R24" i="4"/>
  <c r="DG77" i="24"/>
  <c r="DQ204" i="4"/>
  <c r="EV146" i="4"/>
  <c r="AT78" i="24"/>
  <c r="DP124" i="4"/>
  <c r="DB77" i="24"/>
  <c r="DQ199" i="4"/>
  <c r="T60" i="7"/>
  <c r="DX81" i="24"/>
  <c r="DM229" i="4"/>
  <c r="AG229" i="4" s="1"/>
  <c r="AG229" i="1" s="1"/>
  <c r="CX58" i="7"/>
  <c r="V111" i="4"/>
  <c r="V111" i="1" s="1"/>
  <c r="R159" i="4"/>
  <c r="R159" i="1" s="1"/>
  <c r="ES182" i="4"/>
  <c r="DE187" i="4"/>
  <c r="DC79" i="24"/>
  <c r="DO200" i="4"/>
  <c r="Q157" i="7"/>
  <c r="BH74" i="24"/>
  <c r="DT141" i="4"/>
  <c r="EQ164" i="4"/>
  <c r="V175" i="4"/>
  <c r="V175" i="1" s="1"/>
  <c r="BQ159" i="4"/>
  <c r="O159" i="4"/>
  <c r="P187" i="7"/>
  <c r="BP157" i="4"/>
  <c r="Z158" i="4"/>
  <c r="DU95" i="7"/>
  <c r="V85" i="24"/>
  <c r="DI95" i="4"/>
  <c r="CM78" i="24"/>
  <c r="DP181" i="4"/>
  <c r="CY172" i="4"/>
  <c r="CC83" i="24"/>
  <c r="DK169" i="4"/>
  <c r="CW146" i="4"/>
  <c r="BU29" i="4"/>
  <c r="Y100" i="4"/>
  <c r="Y100" i="1" s="1"/>
  <c r="BJ81" i="24"/>
  <c r="DM143" i="4"/>
  <c r="P75" i="24"/>
  <c r="DS86" i="4"/>
  <c r="BE79" i="24"/>
  <c r="DO137" i="4"/>
  <c r="EW119" i="4"/>
  <c r="CG78" i="24"/>
  <c r="DP174" i="4"/>
  <c r="M78" i="24"/>
  <c r="DP83" i="4"/>
  <c r="P38" i="7"/>
  <c r="Z179" i="4"/>
  <c r="BP178" i="4"/>
  <c r="W183" i="4"/>
  <c r="BM182" i="4"/>
  <c r="J78" i="24"/>
  <c r="DP80" i="4"/>
  <c r="U223" i="7"/>
  <c r="DD76" i="24"/>
  <c r="DR201" i="4"/>
  <c r="FC201" i="7"/>
  <c r="EY201" i="7"/>
  <c r="FB201" i="7"/>
  <c r="FA201" i="7"/>
  <c r="AE201" i="7" s="1"/>
  <c r="EZ201" i="7"/>
  <c r="FJ201" i="7"/>
  <c r="AN201" i="7" s="1"/>
  <c r="FI201" i="7"/>
  <c r="AM201" i="7" s="1"/>
  <c r="FH201" i="7"/>
  <c r="FG201" i="7"/>
  <c r="EX201" i="7" s="1"/>
  <c r="FF201" i="7"/>
  <c r="AJ201" i="7" s="1"/>
  <c r="FD201" i="7"/>
  <c r="FE201" i="7"/>
  <c r="AI201" i="7" s="1"/>
  <c r="DF74" i="24"/>
  <c r="DT203" i="4"/>
  <c r="X125" i="4"/>
  <c r="X125" i="1" s="1"/>
  <c r="R227" i="7"/>
  <c r="L76" i="24"/>
  <c r="DR82" i="4"/>
  <c r="EW216" i="4"/>
  <c r="O79" i="24"/>
  <c r="DO85" i="4"/>
  <c r="U86" i="4"/>
  <c r="U86" i="1" s="1"/>
  <c r="EO75" i="7"/>
  <c r="P137" i="4"/>
  <c r="P137" i="1" s="1"/>
  <c r="EO172" i="4"/>
  <c r="AO77" i="24"/>
  <c r="DQ119" i="4"/>
  <c r="CE81" i="24"/>
  <c r="DM171" i="4"/>
  <c r="H78" i="24"/>
  <c r="DP78" i="4"/>
  <c r="DU154" i="7"/>
  <c r="BS85" i="24"/>
  <c r="DI154" i="4"/>
  <c r="Q27" i="7"/>
  <c r="AA243" i="7"/>
  <c r="CU205" i="4"/>
  <c r="DG206" i="4"/>
  <c r="CO75" i="24"/>
  <c r="DS184" i="4"/>
  <c r="Q184" i="4"/>
  <c r="Q184" i="1" s="1"/>
  <c r="BY29" i="4"/>
  <c r="EN138" i="4"/>
  <c r="DL82" i="24"/>
  <c r="DL211" i="4"/>
  <c r="W202" i="4"/>
  <c r="P178" i="7"/>
  <c r="CY70" i="4"/>
  <c r="BL58" i="7"/>
  <c r="CE182" i="7"/>
  <c r="EO219" i="4"/>
  <c r="DM83" i="24"/>
  <c r="DK212" i="4"/>
  <c r="BI116" i="4"/>
  <c r="S117" i="4"/>
  <c r="BR83" i="24"/>
  <c r="DK153" i="4"/>
  <c r="EN70" i="4"/>
  <c r="P92" i="4"/>
  <c r="P92" i="1" s="1"/>
  <c r="CJ81" i="24"/>
  <c r="DM177" i="4"/>
  <c r="AU76" i="24"/>
  <c r="DR125" i="4"/>
  <c r="CE42" i="4"/>
  <c r="DF209" i="4"/>
  <c r="Y166" i="4"/>
  <c r="Y166" i="1" s="1"/>
  <c r="O214" i="7"/>
  <c r="AA215" i="7"/>
  <c r="E191" i="23"/>
  <c r="D191" i="23" s="1"/>
  <c r="BG43" i="7"/>
  <c r="BG47" i="7" s="1"/>
  <c r="W226" i="4"/>
  <c r="BF104" i="4"/>
  <c r="P105" i="4"/>
  <c r="CS84" i="24"/>
  <c r="DJ189" i="4"/>
  <c r="DG7" i="4"/>
  <c r="AA88" i="7"/>
  <c r="O87" i="7"/>
  <c r="U180" i="4"/>
  <c r="U180" i="1" s="1"/>
  <c r="DH78" i="24"/>
  <c r="DP206" i="4"/>
  <c r="DP205" i="7"/>
  <c r="U135" i="4"/>
  <c r="U135" i="1" s="1"/>
  <c r="BX138" i="4"/>
  <c r="BG219" i="4"/>
  <c r="Q220" i="4"/>
  <c r="AX77" i="24"/>
  <c r="DQ128" i="4"/>
  <c r="Q108" i="24"/>
  <c r="Q96" i="24"/>
  <c r="EZ88" i="4"/>
  <c r="EZ87" i="4" s="1"/>
  <c r="EZ87" i="7"/>
  <c r="BU172" i="4"/>
  <c r="Y119" i="4"/>
  <c r="Y119" i="1" s="1"/>
  <c r="DU183" i="7"/>
  <c r="CN85" i="24"/>
  <c r="DI183" i="4"/>
  <c r="DI182" i="7"/>
  <c r="FC183" i="7"/>
  <c r="FI183" i="7"/>
  <c r="AM183" i="7" s="1"/>
  <c r="FB183" i="7"/>
  <c r="FA183" i="7"/>
  <c r="EZ183" i="7"/>
  <c r="AD183" i="7" s="1"/>
  <c r="EY183" i="7"/>
  <c r="FJ183" i="7"/>
  <c r="AN183" i="7" s="1"/>
  <c r="FH183" i="7"/>
  <c r="FD183" i="7"/>
  <c r="AH183" i="7" s="1"/>
  <c r="FG183" i="7"/>
  <c r="EX183" i="7" s="1"/>
  <c r="FF183" i="7"/>
  <c r="FE183" i="7"/>
  <c r="BB79" i="24"/>
  <c r="DO134" i="4"/>
  <c r="DO133" i="7"/>
  <c r="P99" i="4"/>
  <c r="P99" i="1" s="1"/>
  <c r="DB157" i="4"/>
  <c r="BW115" i="7"/>
  <c r="W82" i="4"/>
  <c r="N84" i="24"/>
  <c r="DJ84" i="4"/>
  <c r="O196" i="4"/>
  <c r="BQ196" i="4"/>
  <c r="V38" i="7"/>
  <c r="BM79" i="24"/>
  <c r="DO147" i="4"/>
  <c r="DO146" i="7"/>
  <c r="CA90" i="4"/>
  <c r="R87" i="7"/>
  <c r="Q180" i="4"/>
  <c r="Q180" i="1" s="1"/>
  <c r="Y112" i="4"/>
  <c r="Y112" i="1" s="1"/>
  <c r="DG154" i="4"/>
  <c r="DI81" i="24"/>
  <c r="DM207" i="4"/>
  <c r="BO57" i="4"/>
  <c r="Y55" i="4"/>
  <c r="ES150" i="4"/>
  <c r="BI78" i="24"/>
  <c r="DP142" i="4"/>
  <c r="BQ143" i="4"/>
  <c r="O143" i="4"/>
  <c r="AH79" i="24"/>
  <c r="DO109" i="4"/>
  <c r="CU87" i="4"/>
  <c r="DG88" i="4"/>
  <c r="AB83" i="24"/>
  <c r="DK101" i="4"/>
  <c r="CL75" i="24"/>
  <c r="DS180" i="4"/>
  <c r="U193" i="7"/>
  <c r="CX82" i="24"/>
  <c r="DL195" i="4"/>
  <c r="T196" i="4"/>
  <c r="T196" i="1" s="1"/>
  <c r="T78" i="4"/>
  <c r="T78" i="1" s="1"/>
  <c r="AC82" i="24"/>
  <c r="DL102" i="4"/>
  <c r="BJ209" i="4"/>
  <c r="T210" i="4"/>
  <c r="BZ81" i="24"/>
  <c r="DM166" i="4"/>
  <c r="X82" i="24"/>
  <c r="DL97" i="4"/>
  <c r="EU205" i="4"/>
  <c r="BG57" i="4"/>
  <c r="Q55" i="4"/>
  <c r="BO90" i="4"/>
  <c r="Y91" i="4"/>
  <c r="AE75" i="24"/>
  <c r="DS106" i="4"/>
  <c r="ER70" i="7"/>
  <c r="P229" i="4"/>
  <c r="P229" i="1" s="1"/>
  <c r="AR75" i="24"/>
  <c r="DS122" i="4"/>
  <c r="BQ58" i="7"/>
  <c r="EV219" i="4"/>
  <c r="DN88" i="7"/>
  <c r="DN32" i="4"/>
  <c r="Y128" i="4"/>
  <c r="Y128" i="1" s="1"/>
  <c r="Q152" i="4"/>
  <c r="Q152" i="1" s="1"/>
  <c r="DT75" i="24"/>
  <c r="DS223" i="7"/>
  <c r="DS224" i="4"/>
  <c r="CV223" i="4"/>
  <c r="CU156" i="7"/>
  <c r="DC115" i="7"/>
  <c r="DU165" i="7"/>
  <c r="BY85" i="24"/>
  <c r="DI165" i="4"/>
  <c r="DI164" i="7"/>
  <c r="FC165" i="7"/>
  <c r="FA165" i="7"/>
  <c r="FI165" i="7"/>
  <c r="AM165" i="7" s="1"/>
  <c r="FB165" i="7"/>
  <c r="EZ165" i="7"/>
  <c r="AD165" i="7" s="1"/>
  <c r="EY165" i="7"/>
  <c r="FJ165" i="7"/>
  <c r="FH165" i="7"/>
  <c r="FD165" i="7"/>
  <c r="FG165" i="7"/>
  <c r="EX165" i="7" s="1"/>
  <c r="FF165" i="7"/>
  <c r="FE165" i="7"/>
  <c r="Q164" i="7"/>
  <c r="DE81" i="24"/>
  <c r="DM202" i="4"/>
  <c r="O179" i="4"/>
  <c r="BE178" i="4"/>
  <c r="BQ179" i="4"/>
  <c r="DU158" i="7"/>
  <c r="BT85" i="24"/>
  <c r="DI158" i="4"/>
  <c r="DI157" i="7"/>
  <c r="U93" i="4"/>
  <c r="U93" i="1" s="1"/>
  <c r="EW84" i="4"/>
  <c r="V208" i="4"/>
  <c r="V208" i="1" s="1"/>
  <c r="EW161" i="4"/>
  <c r="V162" i="4"/>
  <c r="V162" i="1" s="1"/>
  <c r="EN43" i="4"/>
  <c r="EN47" i="4" s="1"/>
  <c r="DV81" i="24"/>
  <c r="DM226" i="4"/>
  <c r="BG60" i="4"/>
  <c r="Q61" i="4"/>
  <c r="EO58" i="4"/>
  <c r="BX182" i="4"/>
  <c r="X188" i="4"/>
  <c r="BN187" i="4"/>
  <c r="CE141" i="4"/>
  <c r="ET76" i="4"/>
  <c r="Q63" i="24"/>
  <c r="CC88" i="4"/>
  <c r="CC87" i="7"/>
  <c r="CC75" i="7" s="1"/>
  <c r="EN115" i="7"/>
  <c r="EV58" i="4"/>
  <c r="BU82" i="24"/>
  <c r="DL159" i="4"/>
  <c r="FC63" i="4"/>
  <c r="AG63" i="4" s="1"/>
  <c r="AG63" i="1" s="1"/>
  <c r="AG63" i="7"/>
  <c r="AW74" i="24"/>
  <c r="DT127" i="4"/>
  <c r="CZ58" i="7"/>
  <c r="U201" i="4"/>
  <c r="U201" i="1" s="1"/>
  <c r="P166" i="4"/>
  <c r="P166" i="1" s="1"/>
  <c r="DU96" i="7"/>
  <c r="W85" i="24"/>
  <c r="DI96" i="4"/>
  <c r="FC96" i="7"/>
  <c r="FA96" i="7"/>
  <c r="EZ96" i="7"/>
  <c r="FJ96" i="7"/>
  <c r="FI96" i="7"/>
  <c r="AM96" i="7" s="1"/>
  <c r="FB96" i="7"/>
  <c r="EY96" i="7"/>
  <c r="FD96" i="7"/>
  <c r="AH96" i="7" s="1"/>
  <c r="FH96" i="7"/>
  <c r="FG96" i="7"/>
  <c r="FF96" i="7"/>
  <c r="FE96" i="7"/>
  <c r="BK70" i="7"/>
  <c r="BT182" i="4"/>
  <c r="FI64" i="4"/>
  <c r="AM64" i="4" s="1"/>
  <c r="AM64" i="1" s="1"/>
  <c r="AM64" i="7"/>
  <c r="BX218" i="7"/>
  <c r="DU41" i="7"/>
  <c r="DI41" i="4"/>
  <c r="FC41" i="7"/>
  <c r="FA41" i="7"/>
  <c r="FB41" i="7"/>
  <c r="EZ41" i="7"/>
  <c r="EY41" i="7"/>
  <c r="FJ41" i="7"/>
  <c r="FJ41" i="4" s="1"/>
  <c r="FI41" i="7"/>
  <c r="FI41" i="4" s="1"/>
  <c r="FG41" i="7"/>
  <c r="FF41" i="7"/>
  <c r="FE41" i="7"/>
  <c r="FH41" i="7"/>
  <c r="FH41" i="4" s="1"/>
  <c r="FD41" i="7"/>
  <c r="FD41" i="4" s="1"/>
  <c r="AH41" i="4" s="1"/>
  <c r="AH41" i="1" s="1"/>
  <c r="FC46" i="7"/>
  <c r="FC46" i="4" s="1"/>
  <c r="AG46" i="4" s="1"/>
  <c r="AG46" i="1" s="1"/>
  <c r="EY46" i="7"/>
  <c r="FJ46" i="7"/>
  <c r="FI46" i="7"/>
  <c r="FB46" i="7"/>
  <c r="FA46" i="7"/>
  <c r="FA46" i="4" s="1"/>
  <c r="EZ46" i="7"/>
  <c r="EZ46" i="4" s="1"/>
  <c r="FG46" i="7"/>
  <c r="FF46" i="7"/>
  <c r="FD46" i="7"/>
  <c r="FH46" i="7"/>
  <c r="FH46" i="4" s="1"/>
  <c r="FE46" i="7"/>
  <c r="DE75" i="7"/>
  <c r="BZ156" i="7"/>
  <c r="V116" i="7"/>
  <c r="AA95" i="7"/>
  <c r="BA75" i="24"/>
  <c r="DS132" i="4"/>
  <c r="Z132" i="4"/>
  <c r="Z132" i="1" s="1"/>
  <c r="AA65" i="7"/>
  <c r="Q161" i="4"/>
  <c r="Q161" i="1" s="1"/>
  <c r="V130" i="4"/>
  <c r="BL129" i="4"/>
  <c r="CY193" i="4"/>
  <c r="BS209" i="4"/>
  <c r="CE210" i="4"/>
  <c r="U84" i="24"/>
  <c r="DJ94" i="4"/>
  <c r="X207" i="4"/>
  <c r="X207" i="1" s="1"/>
  <c r="DU175" i="7"/>
  <c r="CH85" i="24"/>
  <c r="DI175" i="4"/>
  <c r="Z51" i="4"/>
  <c r="BP54" i="4"/>
  <c r="S140" i="4"/>
  <c r="S140" i="1" s="1"/>
  <c r="W216" i="4"/>
  <c r="BL80" i="24"/>
  <c r="DN145" i="4"/>
  <c r="T208" i="4"/>
  <c r="T208" i="1" s="1"/>
  <c r="AL74" i="24"/>
  <c r="DT113" i="4"/>
  <c r="V125" i="4"/>
  <c r="V125" i="1" s="1"/>
  <c r="EL129" i="4"/>
  <c r="DU228" i="7"/>
  <c r="DW85" i="24"/>
  <c r="DI228" i="4"/>
  <c r="AC228" i="4" s="1"/>
  <c r="DI227" i="7"/>
  <c r="CW227" i="4"/>
  <c r="BY60" i="4"/>
  <c r="W133" i="7"/>
  <c r="Z170" i="4"/>
  <c r="Z170" i="1" s="1"/>
  <c r="DG195" i="4"/>
  <c r="AV85" i="24"/>
  <c r="DU126" i="7"/>
  <c r="DI126" i="4"/>
  <c r="T126" i="4"/>
  <c r="T126" i="1" s="1"/>
  <c r="W174" i="4"/>
  <c r="V209" i="7"/>
  <c r="CT81" i="24"/>
  <c r="DM190" i="4"/>
  <c r="P83" i="4"/>
  <c r="P83" i="1" s="1"/>
  <c r="P215" i="4"/>
  <c r="BF214" i="4"/>
  <c r="U204" i="4"/>
  <c r="U204" i="1" s="1"/>
  <c r="AQ76" i="24"/>
  <c r="DR121" i="4"/>
  <c r="X205" i="7"/>
  <c r="CX146" i="4"/>
  <c r="DR31" i="4"/>
  <c r="DR29" i="7"/>
  <c r="DH29" i="7" s="1"/>
  <c r="BW70" i="7"/>
  <c r="E69" i="24"/>
  <c r="D69" i="24" s="1"/>
  <c r="BW43" i="7"/>
  <c r="BW47" i="7" s="1"/>
  <c r="BW71" i="7" s="1"/>
  <c r="BK218" i="7"/>
  <c r="CB116" i="4"/>
  <c r="Q76" i="7"/>
  <c r="CV133" i="4"/>
  <c r="P136" i="4"/>
  <c r="P136" i="1" s="1"/>
  <c r="BX80" i="24"/>
  <c r="DN162" i="4"/>
  <c r="BT156" i="7"/>
  <c r="AK79" i="24"/>
  <c r="DO112" i="4"/>
  <c r="BO146" i="4"/>
  <c r="Y147" i="4"/>
  <c r="U79" i="4"/>
  <c r="U79" i="1" s="1"/>
  <c r="BO150" i="4"/>
  <c r="Y151" i="4"/>
  <c r="AF83" i="24"/>
  <c r="DK107" i="4"/>
  <c r="Q178" i="7"/>
  <c r="AJ77" i="24"/>
  <c r="DQ111" i="4"/>
  <c r="FC111" i="7"/>
  <c r="FA111" i="7"/>
  <c r="AE111" i="7" s="1"/>
  <c r="EY111" i="7"/>
  <c r="FJ111" i="7"/>
  <c r="FI111" i="7"/>
  <c r="FB111" i="7"/>
  <c r="EZ111" i="7"/>
  <c r="FH111" i="7"/>
  <c r="FE111" i="7"/>
  <c r="FG111" i="7"/>
  <c r="FF111" i="7"/>
  <c r="AJ111" i="7" s="1"/>
  <c r="FD111" i="7"/>
  <c r="EN223" i="4"/>
  <c r="DL38" i="7"/>
  <c r="F82" i="24" s="1"/>
  <c r="DL39" i="4"/>
  <c r="DU76" i="24"/>
  <c r="DR225" i="4"/>
  <c r="BX76" i="4"/>
  <c r="X149" i="4"/>
  <c r="X149" i="1" s="1"/>
  <c r="CY77" i="24"/>
  <c r="DQ196" i="4"/>
  <c r="EN209" i="4"/>
  <c r="T166" i="4"/>
  <c r="T166" i="1" s="1"/>
  <c r="BN214" i="4"/>
  <c r="X215" i="4"/>
  <c r="BT90" i="4"/>
  <c r="W175" i="4"/>
  <c r="DD187" i="4"/>
  <c r="EW116" i="7"/>
  <c r="CP84" i="24"/>
  <c r="DJ185" i="4"/>
  <c r="Q198" i="4"/>
  <c r="Q198" i="1" s="1"/>
  <c r="U131" i="4"/>
  <c r="U131" i="1" s="1"/>
  <c r="EW146" i="7"/>
  <c r="Z29" i="7"/>
  <c r="BF77" i="24"/>
  <c r="DQ139" i="4"/>
  <c r="DQ138" i="7"/>
  <c r="BG138" i="4"/>
  <c r="Q139" i="4"/>
  <c r="EQ223" i="4"/>
  <c r="BZ164" i="4"/>
  <c r="EN172" i="4"/>
  <c r="AP76" i="24"/>
  <c r="DR120" i="4"/>
  <c r="AA83" i="24"/>
  <c r="DK100" i="4"/>
  <c r="CI76" i="24"/>
  <c r="DR176" i="4"/>
  <c r="EU157" i="4"/>
  <c r="Q81" i="4"/>
  <c r="Q81" i="1" s="1"/>
  <c r="AD80" i="24"/>
  <c r="DN105" i="4"/>
  <c r="DN104" i="7"/>
  <c r="AA7" i="7"/>
  <c r="EQ75" i="7"/>
  <c r="CW80" i="24"/>
  <c r="DN194" i="4"/>
  <c r="DN193" i="7"/>
  <c r="X211" i="4"/>
  <c r="X211" i="1" s="1"/>
  <c r="CZ178" i="4"/>
  <c r="FC61" i="4"/>
  <c r="FC60" i="7"/>
  <c r="AG61" i="7"/>
  <c r="CR74" i="24"/>
  <c r="DT188" i="4"/>
  <c r="DT187" i="7"/>
  <c r="CY156" i="7"/>
  <c r="DU117" i="7"/>
  <c r="AM85" i="24"/>
  <c r="DI117" i="4"/>
  <c r="DI116" i="7"/>
  <c r="FC117" i="7"/>
  <c r="FB117" i="7"/>
  <c r="FA117" i="7"/>
  <c r="EZ117" i="7"/>
  <c r="EY117" i="7"/>
  <c r="FJ117" i="7"/>
  <c r="FI117" i="7"/>
  <c r="AM117" i="7" s="1"/>
  <c r="FH117" i="7"/>
  <c r="FF117" i="7"/>
  <c r="FE117" i="7"/>
  <c r="AI117" i="7" s="1"/>
  <c r="FD117" i="7"/>
  <c r="FG117" i="7"/>
  <c r="EX117" i="7" s="1"/>
  <c r="CX223" i="4"/>
  <c r="X143" i="4"/>
  <c r="X143" i="1" s="1"/>
  <c r="DJ83" i="24"/>
  <c r="DK208" i="4"/>
  <c r="V180" i="4"/>
  <c r="V180" i="1" s="1"/>
  <c r="EV209" i="4"/>
  <c r="Z76" i="24"/>
  <c r="DR99" i="4"/>
  <c r="DF146" i="4"/>
  <c r="CW138" i="4"/>
  <c r="P203" i="4"/>
  <c r="P203" i="1" s="1"/>
  <c r="BK84" i="24"/>
  <c r="DJ144" i="4"/>
  <c r="V13" i="7"/>
  <c r="V6" i="7" s="1"/>
  <c r="CX219" i="4"/>
  <c r="T80" i="24"/>
  <c r="DN93" i="4"/>
  <c r="CE201" i="4"/>
  <c r="Y221" i="4"/>
  <c r="Y221" i="1" s="1"/>
  <c r="CD83" i="24"/>
  <c r="DK170" i="4"/>
  <c r="CC209" i="4"/>
  <c r="P29" i="7"/>
  <c r="BP75" i="24"/>
  <c r="DS150" i="7"/>
  <c r="DS151" i="4"/>
  <c r="CV79" i="24"/>
  <c r="DO192" i="4"/>
  <c r="CD182" i="4"/>
  <c r="Y86" i="4"/>
  <c r="Y86" i="1" s="1"/>
  <c r="T98" i="4"/>
  <c r="T98" i="1" s="1"/>
  <c r="P171" i="4"/>
  <c r="P171" i="1" s="1"/>
  <c r="S162" i="4"/>
  <c r="S162" i="1" s="1"/>
  <c r="X83" i="4"/>
  <c r="X83" i="1" s="1"/>
  <c r="X169" i="4"/>
  <c r="X169" i="1" s="1"/>
  <c r="Q135" i="4"/>
  <c r="Q135" i="1" s="1"/>
  <c r="DU160" i="7"/>
  <c r="BV85" i="24"/>
  <c r="DI160" i="4"/>
  <c r="FC160" i="7"/>
  <c r="EY160" i="7"/>
  <c r="FJ160" i="7"/>
  <c r="FB160" i="7"/>
  <c r="FA160" i="7"/>
  <c r="EZ160" i="7"/>
  <c r="FI160" i="7"/>
  <c r="FH160" i="7"/>
  <c r="FD160" i="7"/>
  <c r="FG160" i="7"/>
  <c r="FF160" i="7"/>
  <c r="FE160" i="7"/>
  <c r="X92" i="4"/>
  <c r="X92" i="1" s="1"/>
  <c r="ER187" i="4"/>
  <c r="DC156" i="7"/>
  <c r="DG117" i="4"/>
  <c r="CU116" i="4"/>
  <c r="EW188" i="4"/>
  <c r="EK187" i="4"/>
  <c r="EL6" i="4"/>
  <c r="CA80" i="24"/>
  <c r="DN167" i="4"/>
  <c r="CE181" i="4"/>
  <c r="AI84" i="24"/>
  <c r="DJ110" i="4"/>
  <c r="AA16" i="7"/>
  <c r="CY75" i="7"/>
  <c r="BO78" i="24"/>
  <c r="DP149" i="4"/>
  <c r="DC172" i="4"/>
  <c r="BD76" i="24"/>
  <c r="DR136" i="4"/>
  <c r="CQ84" i="24"/>
  <c r="DJ186" i="4"/>
  <c r="AZ78" i="24"/>
  <c r="DP131" i="4"/>
  <c r="BT205" i="4"/>
  <c r="EP146" i="4"/>
  <c r="I82" i="24"/>
  <c r="DL79" i="4"/>
  <c r="BH138" i="4"/>
  <c r="R139" i="4"/>
  <c r="Z150" i="7"/>
  <c r="U202" i="4"/>
  <c r="U202" i="1" s="1"/>
  <c r="CK79" i="24"/>
  <c r="DO179" i="4"/>
  <c r="DO178" i="7"/>
  <c r="EK13" i="4"/>
  <c r="EW13" i="4" s="1"/>
  <c r="EW14" i="4"/>
  <c r="DU135" i="7"/>
  <c r="BC85" i="24"/>
  <c r="DI135" i="4"/>
  <c r="BJ219" i="4"/>
  <c r="T220" i="4"/>
  <c r="S83" i="24"/>
  <c r="DK92" i="4"/>
  <c r="R187" i="7"/>
  <c r="X157" i="7"/>
  <c r="T81" i="4"/>
  <c r="T81" i="1" s="1"/>
  <c r="W104" i="7"/>
  <c r="R177" i="4"/>
  <c r="R177" i="1" s="1"/>
  <c r="DN78" i="24"/>
  <c r="DP213" i="4"/>
  <c r="CU79" i="24"/>
  <c r="DO191" i="4"/>
  <c r="BP76" i="4"/>
  <c r="Z77" i="4"/>
  <c r="BW81" i="24"/>
  <c r="DM161" i="4"/>
  <c r="Z197" i="4"/>
  <c r="Z197" i="1" s="1"/>
  <c r="U112" i="4"/>
  <c r="U112" i="1" s="1"/>
  <c r="DU148" i="7"/>
  <c r="BN85" i="24"/>
  <c r="DI148" i="4"/>
  <c r="FC148" i="7"/>
  <c r="EY148" i="7"/>
  <c r="FJ148" i="7"/>
  <c r="FB148" i="7"/>
  <c r="FA148" i="7"/>
  <c r="EZ148" i="7"/>
  <c r="FI148" i="7"/>
  <c r="FE148" i="7"/>
  <c r="FH148" i="7"/>
  <c r="FG148" i="7"/>
  <c r="EX148" i="7" s="1"/>
  <c r="FD148" i="7"/>
  <c r="FF148" i="7"/>
  <c r="Z78" i="4"/>
  <c r="Z78" i="1" s="1"/>
  <c r="DA84" i="24"/>
  <c r="DJ198" i="4"/>
  <c r="S118" i="4"/>
  <c r="S118" i="1" s="1"/>
  <c r="DO77" i="24"/>
  <c r="DQ215" i="4"/>
  <c r="DQ214" i="7"/>
  <c r="CZ43" i="4"/>
  <c r="CZ47" i="4" s="1"/>
  <c r="R75" i="24"/>
  <c r="DS91" i="4"/>
  <c r="DS90" i="7"/>
  <c r="BT178" i="4"/>
  <c r="CD157" i="4"/>
  <c r="DT242" i="4"/>
  <c r="DT241" i="7"/>
  <c r="EB74" i="24" s="1"/>
  <c r="CF83" i="24"/>
  <c r="DK173" i="4"/>
  <c r="DK172" i="7"/>
  <c r="DU98" i="7"/>
  <c r="Y85" i="24"/>
  <c r="DI98" i="4"/>
  <c r="FC98" i="7"/>
  <c r="FA98" i="7"/>
  <c r="EZ98" i="7"/>
  <c r="FJ98" i="7"/>
  <c r="AN98" i="7" s="1"/>
  <c r="FI98" i="7"/>
  <c r="FB98" i="7"/>
  <c r="EY98" i="7"/>
  <c r="FF98" i="7"/>
  <c r="FD98" i="7"/>
  <c r="FH98" i="7"/>
  <c r="FE98" i="7"/>
  <c r="FG98" i="7"/>
  <c r="EX98" i="7" s="1"/>
  <c r="W78" i="4"/>
  <c r="DK79" i="24"/>
  <c r="DO210" i="4"/>
  <c r="DO209" i="7"/>
  <c r="ER214" i="4"/>
  <c r="DB150" i="4"/>
  <c r="Y202" i="4"/>
  <c r="Y202" i="1" s="1"/>
  <c r="AG76" i="24"/>
  <c r="DR108" i="4"/>
  <c r="BG76" i="24"/>
  <c r="DR140" i="4"/>
  <c r="K81" i="24"/>
  <c r="DM81" i="4"/>
  <c r="W129" i="7"/>
  <c r="AN62" i="7"/>
  <c r="Q38" i="7"/>
  <c r="DG107" i="4"/>
  <c r="R183" i="4"/>
  <c r="BH182" i="4"/>
  <c r="Q128" i="4"/>
  <c r="Q128" i="1" s="1"/>
  <c r="BQ81" i="24"/>
  <c r="DM152" i="4"/>
  <c r="Z7" i="4"/>
  <c r="Z7" i="1" s="1"/>
  <c r="CZ81" i="24"/>
  <c r="DM197" i="4"/>
  <c r="EM133" i="4"/>
  <c r="EW190" i="4"/>
  <c r="EQ178" i="4"/>
  <c r="CV116" i="4"/>
  <c r="X241" i="7"/>
  <c r="AA109" i="7"/>
  <c r="CE208" i="4"/>
  <c r="CE149" i="4"/>
  <c r="CB84" i="24"/>
  <c r="DJ168" i="4"/>
  <c r="P121" i="4"/>
  <c r="P121" i="1" s="1"/>
  <c r="R226" i="4"/>
  <c r="R226" i="1" s="1"/>
  <c r="C230" i="7"/>
  <c r="C233" i="7" s="1"/>
  <c r="C249" i="7" s="1"/>
  <c r="C250" i="7" s="1"/>
  <c r="D230" i="7"/>
  <c r="D231" i="7" s="1"/>
  <c r="B230" i="7"/>
  <c r="B233" i="7" s="1"/>
  <c r="M75" i="7"/>
  <c r="K230" i="7"/>
  <c r="K233" i="7" s="1"/>
  <c r="E230" i="7"/>
  <c r="E233" i="7" s="1"/>
  <c r="E249" i="7" s="1"/>
  <c r="M72" i="7"/>
  <c r="A71" i="7"/>
  <c r="A72" i="7" s="1"/>
  <c r="H230" i="7"/>
  <c r="H231" i="7" s="1"/>
  <c r="L230" i="7"/>
  <c r="L231" i="7" s="1"/>
  <c r="I230" i="7"/>
  <c r="I233" i="7" s="1"/>
  <c r="I249" i="7" s="1"/>
  <c r="F230" i="7"/>
  <c r="F231" i="7" s="1"/>
  <c r="G230" i="7"/>
  <c r="G233" i="7" s="1"/>
  <c r="G249" i="7" s="1"/>
  <c r="J230" i="7"/>
  <c r="A230" i="7"/>
  <c r="M115" i="7"/>
  <c r="BR70" i="7" l="1"/>
  <c r="EW218" i="7"/>
  <c r="AB227" i="7"/>
  <c r="BR218" i="7"/>
  <c r="BR115" i="7"/>
  <c r="AB228" i="7"/>
  <c r="DH38" i="7"/>
  <c r="BR87" i="7"/>
  <c r="DH241" i="7"/>
  <c r="DD70" i="4"/>
  <c r="DD43" i="4"/>
  <c r="DD47" i="4" s="1"/>
  <c r="DD71" i="4" s="1"/>
  <c r="DD47" i="7"/>
  <c r="BN47" i="7"/>
  <c r="BR47" i="7" s="1"/>
  <c r="BR43" i="7"/>
  <c r="X58" i="7"/>
  <c r="AB58" i="7" s="1"/>
  <c r="CU71" i="7"/>
  <c r="CU72" i="7" s="1"/>
  <c r="DE71" i="4"/>
  <c r="DE72" i="4" s="1"/>
  <c r="AG46" i="7"/>
  <c r="AI32" i="7"/>
  <c r="AK195" i="7"/>
  <c r="AE243" i="7"/>
  <c r="ET71" i="7"/>
  <c r="ET72" i="7" s="1"/>
  <c r="AF247" i="7"/>
  <c r="AG45" i="4"/>
  <c r="AG45" i="1" s="1"/>
  <c r="AD44" i="7"/>
  <c r="AF44" i="7"/>
  <c r="DG223" i="4"/>
  <c r="DG219" i="4"/>
  <c r="BQ219" i="4"/>
  <c r="EW87" i="4"/>
  <c r="DG38" i="4"/>
  <c r="AK250" i="6"/>
  <c r="CX75" i="4"/>
  <c r="AI32" i="4"/>
  <c r="AI32" i="1" s="1"/>
  <c r="EV71" i="4"/>
  <c r="EV72" i="4" s="1"/>
  <c r="AK208" i="7"/>
  <c r="DE71" i="7"/>
  <c r="DE72" i="7" s="1"/>
  <c r="DC70" i="4"/>
  <c r="DB71" i="7"/>
  <c r="DB72" i="7" s="1"/>
  <c r="AI243" i="7"/>
  <c r="DC43" i="4"/>
  <c r="DC47" i="4" s="1"/>
  <c r="AJ42" i="7"/>
  <c r="AH244" i="4"/>
  <c r="AH244" i="1" s="1"/>
  <c r="AI244" i="4"/>
  <c r="AI244" i="1" s="1"/>
  <c r="AL46" i="4"/>
  <c r="AL46" i="1" s="1"/>
  <c r="T43" i="7"/>
  <c r="T47" i="7" s="1"/>
  <c r="T71" i="7" s="1"/>
  <c r="AM32" i="4"/>
  <c r="AM32" i="1" s="1"/>
  <c r="DF71" i="7"/>
  <c r="DF72" i="7" s="1"/>
  <c r="CW71" i="7"/>
  <c r="CW72" i="7" s="1"/>
  <c r="DG87" i="4"/>
  <c r="EU71" i="4"/>
  <c r="EU72" i="4" s="1"/>
  <c r="AG42" i="7"/>
  <c r="BP71" i="7"/>
  <c r="BP72" i="7" s="1"/>
  <c r="ET71" i="4"/>
  <c r="ET72" i="4" s="1"/>
  <c r="AL243" i="7"/>
  <c r="AB243" i="7" s="1"/>
  <c r="EW241" i="4"/>
  <c r="DP218" i="7"/>
  <c r="BO43" i="4"/>
  <c r="BO47" i="4" s="1"/>
  <c r="EK71" i="7"/>
  <c r="AH32" i="4"/>
  <c r="AH32" i="1" s="1"/>
  <c r="CX71" i="7"/>
  <c r="CX72" i="7" s="1"/>
  <c r="AN44" i="7"/>
  <c r="AG44" i="7"/>
  <c r="U43" i="7"/>
  <c r="U47" i="7" s="1"/>
  <c r="U71" i="7" s="1"/>
  <c r="AJ32" i="7"/>
  <c r="AK166" i="7"/>
  <c r="DG218" i="7"/>
  <c r="AJ247" i="7"/>
  <c r="AJ32" i="4"/>
  <c r="AJ32" i="1" s="1"/>
  <c r="DG60" i="4"/>
  <c r="EK230" i="7"/>
  <c r="EK231" i="7" s="1"/>
  <c r="AK210" i="7"/>
  <c r="AK119" i="7"/>
  <c r="AK160" i="7"/>
  <c r="EX160" i="7"/>
  <c r="AK189" i="7"/>
  <c r="EX189" i="7"/>
  <c r="DQ209" i="4"/>
  <c r="W100" i="1"/>
  <c r="W79" i="1"/>
  <c r="W204" i="1"/>
  <c r="W46" i="1"/>
  <c r="AK111" i="7"/>
  <c r="EX111" i="7"/>
  <c r="W174" i="1"/>
  <c r="W81" i="1"/>
  <c r="EZ34" i="4"/>
  <c r="AD34" i="4" s="1"/>
  <c r="AD34" i="1" s="1"/>
  <c r="AD34" i="7"/>
  <c r="AK63" i="4"/>
  <c r="AK63" i="1" s="1"/>
  <c r="W95" i="1"/>
  <c r="W211" i="1"/>
  <c r="W101" i="1"/>
  <c r="W45" i="1"/>
  <c r="W66" i="1"/>
  <c r="ES70" i="4"/>
  <c r="FG243" i="4"/>
  <c r="EX243" i="7"/>
  <c r="W94" i="1"/>
  <c r="DQ178" i="4"/>
  <c r="ES58" i="4"/>
  <c r="FD33" i="4"/>
  <c r="AH33" i="4" s="1"/>
  <c r="AH33" i="1" s="1"/>
  <c r="AH33" i="7"/>
  <c r="EW38" i="4"/>
  <c r="FC247" i="4"/>
  <c r="AG247" i="4" s="1"/>
  <c r="AG247" i="1" s="1"/>
  <c r="AG247" i="7"/>
  <c r="W92" i="1"/>
  <c r="W225" i="1"/>
  <c r="W202" i="1"/>
  <c r="W186" i="1"/>
  <c r="W200" i="1"/>
  <c r="W36" i="1"/>
  <c r="FA45" i="4"/>
  <c r="AE45" i="4" s="1"/>
  <c r="AE45" i="1" s="1"/>
  <c r="AE45" i="7"/>
  <c r="W86" i="1"/>
  <c r="W34" i="1"/>
  <c r="W176" i="1"/>
  <c r="FD243" i="4"/>
  <c r="AH243" i="4" s="1"/>
  <c r="AH243" i="1" s="1"/>
  <c r="AH243" i="7"/>
  <c r="W32" i="1"/>
  <c r="W198" i="1"/>
  <c r="W84" i="1"/>
  <c r="W170" i="1"/>
  <c r="W109" i="1"/>
  <c r="W83" i="1"/>
  <c r="FG46" i="4"/>
  <c r="EX46" i="7"/>
  <c r="W171" i="1"/>
  <c r="W212" i="1"/>
  <c r="W89" i="1"/>
  <c r="AN41" i="4"/>
  <c r="AN41" i="1" s="1"/>
  <c r="AK212" i="7"/>
  <c r="W197" i="1"/>
  <c r="FH40" i="4"/>
  <c r="AL40" i="4" s="1"/>
  <c r="AL40" i="1" s="1"/>
  <c r="AL40" i="7"/>
  <c r="AB40" i="7" s="1"/>
  <c r="W196" i="1"/>
  <c r="W190" i="1"/>
  <c r="EW29" i="4"/>
  <c r="W161" i="1"/>
  <c r="BK71" i="7"/>
  <c r="BK72" i="7" s="1"/>
  <c r="W177" i="1"/>
  <c r="W201" i="1"/>
  <c r="W58" i="7"/>
  <c r="W64" i="1"/>
  <c r="W42" i="1"/>
  <c r="W199" i="1"/>
  <c r="W184" i="1"/>
  <c r="W175" i="1"/>
  <c r="EX170" i="7"/>
  <c r="AK170" i="7"/>
  <c r="ES43" i="4"/>
  <c r="W189" i="1"/>
  <c r="AK175" i="7"/>
  <c r="EX175" i="7"/>
  <c r="FG41" i="4"/>
  <c r="EX41" i="7"/>
  <c r="ES47" i="7"/>
  <c r="AK191" i="7"/>
  <c r="EX191" i="7"/>
  <c r="AK171" i="7"/>
  <c r="EX171" i="7"/>
  <c r="W110" i="1"/>
  <c r="W180" i="1"/>
  <c r="W222" i="1"/>
  <c r="W35" i="1"/>
  <c r="W185" i="1"/>
  <c r="AK78" i="7"/>
  <c r="EX78" i="7"/>
  <c r="AK64" i="4"/>
  <c r="AK64" i="1" s="1"/>
  <c r="DN38" i="4"/>
  <c r="W113" i="1"/>
  <c r="F77" i="24"/>
  <c r="W102" i="1"/>
  <c r="W244" i="1"/>
  <c r="W107" i="1"/>
  <c r="W167" i="1"/>
  <c r="BM47" i="7"/>
  <c r="DC47" i="7"/>
  <c r="DC71" i="7" s="1"/>
  <c r="DC72" i="7" s="1"/>
  <c r="W181" i="1"/>
  <c r="AK96" i="7"/>
  <c r="EX96" i="7"/>
  <c r="EN75" i="4"/>
  <c r="CY71" i="7"/>
  <c r="CY72" i="7" s="1"/>
  <c r="AK190" i="7"/>
  <c r="EX190" i="7"/>
  <c r="AK88" i="7"/>
  <c r="AG32" i="4"/>
  <c r="AG32" i="1" s="1"/>
  <c r="W168" i="1"/>
  <c r="W62" i="1"/>
  <c r="W33" i="1"/>
  <c r="W166" i="1"/>
  <c r="BU43" i="4"/>
  <c r="BU47" i="4" s="1"/>
  <c r="BU71" i="4" s="1"/>
  <c r="W160" i="1"/>
  <c r="EO75" i="4"/>
  <c r="AK95" i="7"/>
  <c r="EX95" i="7"/>
  <c r="W99" i="1"/>
  <c r="W108" i="1"/>
  <c r="W207" i="1"/>
  <c r="EW60" i="4"/>
  <c r="AK242" i="7"/>
  <c r="EX242" i="7"/>
  <c r="FG42" i="4"/>
  <c r="EX42" i="7"/>
  <c r="AL30" i="4"/>
  <c r="AL30" i="1" s="1"/>
  <c r="AK179" i="7"/>
  <c r="EX179" i="7"/>
  <c r="W96" i="1"/>
  <c r="W111" i="1"/>
  <c r="W246" i="1"/>
  <c r="W247" i="1"/>
  <c r="W41" i="1"/>
  <c r="W65" i="1"/>
  <c r="W97" i="1"/>
  <c r="W243" i="1"/>
  <c r="W216" i="1"/>
  <c r="CZ71" i="7"/>
  <c r="CZ72" i="7" s="1"/>
  <c r="BP43" i="4"/>
  <c r="BP47" i="4" s="1"/>
  <c r="W191" i="1"/>
  <c r="W93" i="1"/>
  <c r="W98" i="1"/>
  <c r="DG241" i="4"/>
  <c r="W192" i="1"/>
  <c r="W195" i="1"/>
  <c r="W159" i="1"/>
  <c r="W112" i="1"/>
  <c r="W78" i="1"/>
  <c r="W82" i="1"/>
  <c r="W226" i="1"/>
  <c r="W229" i="1"/>
  <c r="W169" i="1"/>
  <c r="DC58" i="4"/>
  <c r="W162" i="1"/>
  <c r="AK106" i="7"/>
  <c r="CV71" i="7"/>
  <c r="CV72" i="7" s="1"/>
  <c r="CV71" i="4"/>
  <c r="CV72" i="4" s="1"/>
  <c r="W221" i="1"/>
  <c r="W80" i="1"/>
  <c r="W68" i="1"/>
  <c r="W67" i="1"/>
  <c r="DG29" i="4"/>
  <c r="W245" i="1"/>
  <c r="Z43" i="7"/>
  <c r="Z47" i="7" s="1"/>
  <c r="Z71" i="7" s="1"/>
  <c r="W208" i="1"/>
  <c r="X43" i="7"/>
  <c r="AK113" i="7"/>
  <c r="EX113" i="7"/>
  <c r="DA71" i="7"/>
  <c r="DA72" i="7" s="1"/>
  <c r="X218" i="7"/>
  <c r="W213" i="1"/>
  <c r="AM247" i="4"/>
  <c r="AM247" i="1" s="1"/>
  <c r="W106" i="1"/>
  <c r="W85" i="1"/>
  <c r="W203" i="1"/>
  <c r="W63" i="1"/>
  <c r="W69" i="1"/>
  <c r="W40" i="1"/>
  <c r="W44" i="1"/>
  <c r="W142" i="1"/>
  <c r="W120" i="1"/>
  <c r="W152" i="1"/>
  <c r="W125" i="1"/>
  <c r="AK130" i="7"/>
  <c r="EX130" i="7"/>
  <c r="W137" i="1"/>
  <c r="W145" i="1"/>
  <c r="W154" i="1"/>
  <c r="W126" i="1"/>
  <c r="W128" i="1"/>
  <c r="AK124" i="7"/>
  <c r="EX124" i="7"/>
  <c r="CX230" i="7"/>
  <c r="CX231" i="7" s="1"/>
  <c r="W141" i="1"/>
  <c r="AK143" i="7"/>
  <c r="EX143" i="7"/>
  <c r="W131" i="1"/>
  <c r="W136" i="1"/>
  <c r="W123" i="1"/>
  <c r="AK131" i="7"/>
  <c r="EX131" i="7"/>
  <c r="DU138" i="7"/>
  <c r="W144" i="1"/>
  <c r="W148" i="1"/>
  <c r="W149" i="1"/>
  <c r="W124" i="1"/>
  <c r="W127" i="1"/>
  <c r="W121" i="1"/>
  <c r="W153" i="1"/>
  <c r="W140" i="1"/>
  <c r="W135" i="1"/>
  <c r="W132" i="1"/>
  <c r="W143" i="1"/>
  <c r="W118" i="1"/>
  <c r="W122" i="1"/>
  <c r="W119" i="1"/>
  <c r="BG230" i="7"/>
  <c r="BG231" i="7" s="1"/>
  <c r="S218" i="7"/>
  <c r="CU230" i="7"/>
  <c r="DL223" i="4"/>
  <c r="DR218" i="7"/>
  <c r="DH218" i="7" s="1"/>
  <c r="CC230" i="7"/>
  <c r="CC231" i="7" s="1"/>
  <c r="DK218" i="7"/>
  <c r="EV218" i="4"/>
  <c r="EV230" i="7"/>
  <c r="EV231" i="7" s="1"/>
  <c r="BW218" i="4"/>
  <c r="CB230" i="7"/>
  <c r="CB231" i="7" s="1"/>
  <c r="DS218" i="7"/>
  <c r="T218" i="7"/>
  <c r="AO229" i="7"/>
  <c r="Q218" i="7"/>
  <c r="DT227" i="4"/>
  <c r="Z218" i="7"/>
  <c r="DO218" i="7"/>
  <c r="CC218" i="4"/>
  <c r="AL60" i="7"/>
  <c r="AB60" i="7" s="1"/>
  <c r="BG71" i="7"/>
  <c r="BG72" i="7" s="1"/>
  <c r="BI71" i="7"/>
  <c r="BI72" i="7" s="1"/>
  <c r="EU71" i="7"/>
  <c r="EU72" i="7" s="1"/>
  <c r="AD60" i="7"/>
  <c r="EP71" i="7"/>
  <c r="EP72" i="7" s="1"/>
  <c r="EM71" i="7"/>
  <c r="EM72" i="7" s="1"/>
  <c r="DN218" i="7"/>
  <c r="EM230" i="7"/>
  <c r="EM231" i="7" s="1"/>
  <c r="CE214" i="4"/>
  <c r="EU115" i="4"/>
  <c r="DL129" i="4"/>
  <c r="AE46" i="7"/>
  <c r="AK41" i="7"/>
  <c r="Q70" i="7"/>
  <c r="AK46" i="7"/>
  <c r="ER230" i="7"/>
  <c r="ER231" i="7" s="1"/>
  <c r="AL46" i="7"/>
  <c r="AB46" i="7" s="1"/>
  <c r="AJ60" i="7"/>
  <c r="DT214" i="4"/>
  <c r="R156" i="7"/>
  <c r="CZ218" i="4"/>
  <c r="DJ227" i="4"/>
  <c r="BE71" i="7"/>
  <c r="BE72" i="7" s="1"/>
  <c r="P115" i="7"/>
  <c r="P75" i="7"/>
  <c r="DU223" i="7"/>
  <c r="AL41" i="7"/>
  <c r="AB41" i="7" s="1"/>
  <c r="R218" i="7"/>
  <c r="DU157" i="7"/>
  <c r="AM32" i="7"/>
  <c r="BN75" i="4"/>
  <c r="AE245" i="7"/>
  <c r="AD46" i="7"/>
  <c r="AM30" i="7"/>
  <c r="AG32" i="7"/>
  <c r="EV71" i="7"/>
  <c r="EV72" i="7" s="1"/>
  <c r="Z115" i="7"/>
  <c r="AF244" i="7"/>
  <c r="Y218" i="7"/>
  <c r="DO214" i="4"/>
  <c r="AM245" i="7"/>
  <c r="AH244" i="7"/>
  <c r="CW230" i="7"/>
  <c r="CW231" i="7" s="1"/>
  <c r="AH32" i="7"/>
  <c r="BE230" i="7"/>
  <c r="DU34" i="4"/>
  <c r="AM246" i="7"/>
  <c r="DU241" i="7"/>
  <c r="BN230" i="7"/>
  <c r="S70" i="7"/>
  <c r="AJ34" i="7"/>
  <c r="AF40" i="4"/>
  <c r="AF40" i="1" s="1"/>
  <c r="AD45" i="4"/>
  <c r="AD45" i="1" s="1"/>
  <c r="DE218" i="4"/>
  <c r="DP223" i="4"/>
  <c r="AD46" i="4"/>
  <c r="AD46" i="1" s="1"/>
  <c r="AM30" i="4"/>
  <c r="AM30" i="1" s="1"/>
  <c r="EU75" i="4"/>
  <c r="AG42" i="4"/>
  <c r="AG42" i="1" s="1"/>
  <c r="AI247" i="4"/>
  <c r="AI247" i="1" s="1"/>
  <c r="AE33" i="4"/>
  <c r="AE33" i="1" s="1"/>
  <c r="CV218" i="4"/>
  <c r="AF243" i="4"/>
  <c r="AF243" i="1" s="1"/>
  <c r="DJ38" i="4"/>
  <c r="AJ247" i="4"/>
  <c r="AJ247" i="1" s="1"/>
  <c r="CW156" i="4"/>
  <c r="AN40" i="4"/>
  <c r="AN40" i="1" s="1"/>
  <c r="EQ218" i="4"/>
  <c r="EM71" i="4"/>
  <c r="EM72" i="4" s="1"/>
  <c r="AI40" i="4"/>
  <c r="AI40" i="1" s="1"/>
  <c r="CX71" i="4"/>
  <c r="CX72" i="4" s="1"/>
  <c r="ET218" i="4"/>
  <c r="BH156" i="4"/>
  <c r="AH34" i="4"/>
  <c r="AH34" i="1" s="1"/>
  <c r="AH246" i="4"/>
  <c r="AH246" i="1" s="1"/>
  <c r="DM214" i="4"/>
  <c r="EP218" i="4"/>
  <c r="DT187" i="4"/>
  <c r="EK115" i="4"/>
  <c r="ET75" i="4"/>
  <c r="AL41" i="4"/>
  <c r="AL41" i="1" s="1"/>
  <c r="EQ75" i="4"/>
  <c r="DQ227" i="4"/>
  <c r="EN71" i="4"/>
  <c r="EN72" i="4" s="1"/>
  <c r="CW71" i="4"/>
  <c r="CW72" i="4" s="1"/>
  <c r="CW218" i="4"/>
  <c r="BP58" i="4"/>
  <c r="CY71" i="4"/>
  <c r="CY72" i="4" s="1"/>
  <c r="CY75" i="4"/>
  <c r="DF71" i="4"/>
  <c r="DF72" i="4" s="1"/>
  <c r="BN218" i="4"/>
  <c r="DT146" i="4"/>
  <c r="DJ129" i="4"/>
  <c r="EL115" i="4"/>
  <c r="AM41" i="4"/>
  <c r="AM41" i="1" s="1"/>
  <c r="BF75" i="4"/>
  <c r="DM172" i="4"/>
  <c r="DQ241" i="4"/>
  <c r="BE75" i="4"/>
  <c r="DT241" i="4"/>
  <c r="BG75" i="4"/>
  <c r="CE38" i="4"/>
  <c r="DP205" i="4"/>
  <c r="EO71" i="4"/>
  <c r="EO72" i="4" s="1"/>
  <c r="DL146" i="4"/>
  <c r="EL75" i="4"/>
  <c r="CY218" i="4"/>
  <c r="AE46" i="4"/>
  <c r="AE46" i="1" s="1"/>
  <c r="BH43" i="4"/>
  <c r="BH47" i="4" s="1"/>
  <c r="AD228" i="4"/>
  <c r="AD227" i="4" s="1"/>
  <c r="DL241" i="4"/>
  <c r="BE58" i="4"/>
  <c r="DT38" i="4"/>
  <c r="DM146" i="4"/>
  <c r="EK6" i="4"/>
  <c r="EW6" i="4" s="1"/>
  <c r="CU75" i="4"/>
  <c r="BZ43" i="4"/>
  <c r="BZ47" i="4" s="1"/>
  <c r="BZ71" i="4" s="1"/>
  <c r="EQ71" i="4"/>
  <c r="EQ72" i="4" s="1"/>
  <c r="AJ33" i="4"/>
  <c r="AJ33" i="1" s="1"/>
  <c r="AF246" i="4"/>
  <c r="AF246" i="1" s="1"/>
  <c r="DM227" i="4"/>
  <c r="AE34" i="4"/>
  <c r="AE34" i="1" s="1"/>
  <c r="AL244" i="4"/>
  <c r="AL244" i="1" s="1"/>
  <c r="EN156" i="4"/>
  <c r="AE243" i="4"/>
  <c r="AE243" i="1" s="1"/>
  <c r="ER218" i="4"/>
  <c r="DR178" i="4"/>
  <c r="BG156" i="4"/>
  <c r="DP187" i="4"/>
  <c r="DK146" i="4"/>
  <c r="CW115" i="4"/>
  <c r="DA71" i="4"/>
  <c r="DA72" i="4" s="1"/>
  <c r="DO241" i="4"/>
  <c r="BG58" i="4"/>
  <c r="BF218" i="4"/>
  <c r="CX156" i="4"/>
  <c r="BE218" i="4"/>
  <c r="DR133" i="4"/>
  <c r="ET115" i="4"/>
  <c r="CX218" i="4"/>
  <c r="DB218" i="4"/>
  <c r="DM178" i="4"/>
  <c r="DD218" i="4"/>
  <c r="BK75" i="4"/>
  <c r="DM205" i="4"/>
  <c r="AM245" i="4"/>
  <c r="AM245" i="1" s="1"/>
  <c r="DK178" i="4"/>
  <c r="AJ34" i="4"/>
  <c r="AJ34" i="1" s="1"/>
  <c r="EO115" i="4"/>
  <c r="BI230" i="7"/>
  <c r="BI231" i="7" s="1"/>
  <c r="BI75" i="4"/>
  <c r="S75" i="7"/>
  <c r="BI43" i="4"/>
  <c r="BI47" i="4" s="1"/>
  <c r="EO71" i="7"/>
  <c r="EO72" i="7" s="1"/>
  <c r="BJ218" i="4"/>
  <c r="BJ71" i="7"/>
  <c r="BJ72" i="7" s="1"/>
  <c r="EP75" i="4"/>
  <c r="EP115" i="4"/>
  <c r="BJ230" i="7"/>
  <c r="BJ231" i="7" s="1"/>
  <c r="T75" i="7"/>
  <c r="CZ71" i="4"/>
  <c r="CZ72" i="4" s="1"/>
  <c r="EP230" i="7"/>
  <c r="EP231" i="7" s="1"/>
  <c r="BJ70" i="4"/>
  <c r="BJ115" i="4"/>
  <c r="EP71" i="4"/>
  <c r="EP72" i="4" s="1"/>
  <c r="ER71" i="4"/>
  <c r="ER72" i="4" s="1"/>
  <c r="ER71" i="7"/>
  <c r="ER72" i="7" s="1"/>
  <c r="V218" i="7"/>
  <c r="DB75" i="4"/>
  <c r="DB71" i="4"/>
  <c r="DB72" i="4" s="1"/>
  <c r="BL230" i="7"/>
  <c r="BL231" i="7" s="1"/>
  <c r="ER75" i="4"/>
  <c r="BL115" i="4"/>
  <c r="BL58" i="4"/>
  <c r="ER156" i="4"/>
  <c r="BZ230" i="7"/>
  <c r="BZ231" i="7" s="1"/>
  <c r="AI60" i="7"/>
  <c r="CE43" i="7"/>
  <c r="CE47" i="7" s="1"/>
  <c r="CE71" i="7" s="1"/>
  <c r="CE72" i="7" s="1"/>
  <c r="BU230" i="7"/>
  <c r="BU231" i="7" s="1"/>
  <c r="BY230" i="7"/>
  <c r="BY233" i="7" s="1"/>
  <c r="BY43" i="4"/>
  <c r="BY47" i="4" s="1"/>
  <c r="BY71" i="4" s="1"/>
  <c r="BU218" i="4"/>
  <c r="BZ156" i="4"/>
  <c r="BU70" i="4"/>
  <c r="BW156" i="4"/>
  <c r="CE209" i="4"/>
  <c r="BV115" i="4"/>
  <c r="CE129" i="4"/>
  <c r="BQ214" i="4"/>
  <c r="W75" i="7"/>
  <c r="W218" i="7"/>
  <c r="BM218" i="4"/>
  <c r="DC230" i="7"/>
  <c r="W43" i="7"/>
  <c r="DG205" i="4"/>
  <c r="EW146" i="4"/>
  <c r="BQ218" i="7"/>
  <c r="CV230" i="7"/>
  <c r="CV231" i="7" s="1"/>
  <c r="CV75" i="4"/>
  <c r="BF71" i="7"/>
  <c r="BF72" i="7" s="1"/>
  <c r="EL71" i="7"/>
  <c r="EL72" i="7" s="1"/>
  <c r="AA58" i="7"/>
  <c r="EL218" i="4"/>
  <c r="DG43" i="7"/>
  <c r="DG47" i="7" s="1"/>
  <c r="DG71" i="7" s="1"/>
  <c r="BF230" i="7"/>
  <c r="BF231" i="7" s="1"/>
  <c r="DA156" i="4"/>
  <c r="EQ230" i="7"/>
  <c r="EQ231" i="7" s="1"/>
  <c r="U115" i="7"/>
  <c r="EW116" i="4"/>
  <c r="BQ43" i="7"/>
  <c r="BQ47" i="7" s="1"/>
  <c r="BQ71" i="7" s="1"/>
  <c r="AA138" i="7"/>
  <c r="DG227" i="4"/>
  <c r="EW164" i="4"/>
  <c r="DG150" i="4"/>
  <c r="EW172" i="4"/>
  <c r="AA146" i="7"/>
  <c r="DG209" i="4"/>
  <c r="BQ209" i="4"/>
  <c r="DC75" i="4"/>
  <c r="DG182" i="4"/>
  <c r="DG133" i="4"/>
  <c r="W115" i="7"/>
  <c r="EW223" i="4"/>
  <c r="EW187" i="4"/>
  <c r="AA87" i="7"/>
  <c r="DC115" i="4"/>
  <c r="ES156" i="4"/>
  <c r="BM75" i="4"/>
  <c r="AA27" i="7"/>
  <c r="BQ182" i="4"/>
  <c r="DG156" i="7"/>
  <c r="BQ104" i="4"/>
  <c r="EW209" i="4"/>
  <c r="BQ75" i="7"/>
  <c r="EW214" i="4"/>
  <c r="BO58" i="4"/>
  <c r="BM58" i="4"/>
  <c r="EL71" i="4"/>
  <c r="EL72" i="4" s="1"/>
  <c r="O58" i="7"/>
  <c r="W103" i="24"/>
  <c r="W91" i="24"/>
  <c r="FE96" i="4"/>
  <c r="AI96" i="4" s="1"/>
  <c r="AI96" i="1" s="1"/>
  <c r="AI96" i="7"/>
  <c r="DL150" i="4"/>
  <c r="CA96" i="24"/>
  <c r="CA108" i="24"/>
  <c r="EZ167" i="4"/>
  <c r="AD167" i="4" s="1"/>
  <c r="AD167" i="1" s="1"/>
  <c r="AD167" i="7"/>
  <c r="W104" i="4"/>
  <c r="W105" i="1"/>
  <c r="DA91" i="24"/>
  <c r="DA103" i="24"/>
  <c r="FE198" i="4"/>
  <c r="AI198" i="4" s="1"/>
  <c r="AI198" i="1" s="1"/>
  <c r="AI198" i="7"/>
  <c r="DF87" i="24"/>
  <c r="DF99" i="24"/>
  <c r="FI203" i="4"/>
  <c r="AM203" i="4" s="1"/>
  <c r="AM203" i="1" s="1"/>
  <c r="AM203" i="7"/>
  <c r="BS101" i="24"/>
  <c r="BS89" i="24"/>
  <c r="FG154" i="4"/>
  <c r="AK154" i="7"/>
  <c r="V96" i="24"/>
  <c r="V108" i="24"/>
  <c r="EZ95" i="4"/>
  <c r="AD95" i="4" s="1"/>
  <c r="AD95" i="1" s="1"/>
  <c r="AD95" i="7"/>
  <c r="FH246" i="4"/>
  <c r="AL246" i="4" s="1"/>
  <c r="AL246" i="1" s="1"/>
  <c r="AL246" i="7"/>
  <c r="AB246" i="7" s="1"/>
  <c r="T77" i="1"/>
  <c r="T76" i="1" s="1"/>
  <c r="T76" i="4"/>
  <c r="AJ91" i="24"/>
  <c r="AJ103" i="24"/>
  <c r="FE111" i="4"/>
  <c r="AI111" i="4" s="1"/>
  <c r="AI111" i="1" s="1"/>
  <c r="AI111" i="7"/>
  <c r="AG92" i="24"/>
  <c r="AG104" i="24"/>
  <c r="FD108" i="4"/>
  <c r="AH108" i="4" s="1"/>
  <c r="AH108" i="1" s="1"/>
  <c r="AH108" i="7"/>
  <c r="AO93" i="24"/>
  <c r="AO105" i="24"/>
  <c r="FC119" i="4"/>
  <c r="AG119" i="4" s="1"/>
  <c r="AG119" i="1" s="1"/>
  <c r="AG119" i="7"/>
  <c r="DO129" i="4"/>
  <c r="FC31" i="4"/>
  <c r="AG31" i="4" s="1"/>
  <c r="FC29" i="7"/>
  <c r="AG31" i="7"/>
  <c r="BV70" i="4"/>
  <c r="BS103" i="24"/>
  <c r="BS91" i="24"/>
  <c r="FE154" i="4"/>
  <c r="AI154" i="4" s="1"/>
  <c r="AI154" i="1" s="1"/>
  <c r="AI154" i="7"/>
  <c r="V95" i="24"/>
  <c r="V107" i="24"/>
  <c r="FA95" i="4"/>
  <c r="AE95" i="4" s="1"/>
  <c r="AE95" i="1" s="1"/>
  <c r="AE95" i="7"/>
  <c r="DP241" i="4"/>
  <c r="FJ246" i="4"/>
  <c r="AN246" i="4" s="1"/>
  <c r="AN246" i="1" s="1"/>
  <c r="AN246" i="7"/>
  <c r="AK228" i="4"/>
  <c r="DS70" i="7"/>
  <c r="E75" i="24"/>
  <c r="D75" i="24" s="1"/>
  <c r="DS43" i="7"/>
  <c r="DS47" i="7" s="1"/>
  <c r="DS71" i="7" s="1"/>
  <c r="BM94" i="24"/>
  <c r="BM106" i="24"/>
  <c r="FB147" i="4"/>
  <c r="AF147" i="4" s="1"/>
  <c r="FB146" i="7"/>
  <c r="AF147" i="7"/>
  <c r="FJ46" i="4"/>
  <c r="AN46" i="4" s="1"/>
  <c r="AN46" i="1" s="1"/>
  <c r="AN46" i="7"/>
  <c r="FG245" i="4"/>
  <c r="AK245" i="7"/>
  <c r="W134" i="1"/>
  <c r="W133" i="4"/>
  <c r="CW88" i="24"/>
  <c r="CW100" i="24"/>
  <c r="FH194" i="4"/>
  <c r="AL194" i="4" s="1"/>
  <c r="FH193" i="7"/>
  <c r="AL194" i="7"/>
  <c r="AB194" i="7" s="1"/>
  <c r="AQ102" i="24"/>
  <c r="AQ90" i="24"/>
  <c r="FF121" i="4"/>
  <c r="AJ121" i="4" s="1"/>
  <c r="AJ121" i="1" s="1"/>
  <c r="AJ121" i="7"/>
  <c r="CW98" i="24"/>
  <c r="CW86" i="24"/>
  <c r="FJ194" i="4"/>
  <c r="AN194" i="4" s="1"/>
  <c r="FJ193" i="7"/>
  <c r="AN194" i="7"/>
  <c r="DR70" i="7"/>
  <c r="DH70" i="7" s="1"/>
  <c r="E76" i="24"/>
  <c r="D76" i="24" s="1"/>
  <c r="DR43" i="7"/>
  <c r="DR47" i="7" s="1"/>
  <c r="DR71" i="7" s="1"/>
  <c r="DU91" i="24"/>
  <c r="DU103" i="24"/>
  <c r="FE225" i="4"/>
  <c r="AI225" i="4" s="1"/>
  <c r="AI225" i="1" s="1"/>
  <c r="AI225" i="7"/>
  <c r="BS90" i="24"/>
  <c r="BS102" i="24"/>
  <c r="FF154" i="4"/>
  <c r="AJ154" i="4" s="1"/>
  <c r="AJ154" i="1" s="1"/>
  <c r="AJ154" i="7"/>
  <c r="W156" i="7"/>
  <c r="CA94" i="24"/>
  <c r="CA106" i="24"/>
  <c r="FB167" i="4"/>
  <c r="AF167" i="4" s="1"/>
  <c r="AF167" i="1" s="1"/>
  <c r="AF167" i="7"/>
  <c r="AO95" i="24"/>
  <c r="AO107" i="24"/>
  <c r="FA119" i="4"/>
  <c r="AE119" i="4" s="1"/>
  <c r="AE119" i="1" s="1"/>
  <c r="AE119" i="7"/>
  <c r="U224" i="1"/>
  <c r="U223" i="1" s="1"/>
  <c r="U223" i="4"/>
  <c r="AG90" i="24"/>
  <c r="AG102" i="24"/>
  <c r="FF108" i="4"/>
  <c r="AJ108" i="4" s="1"/>
  <c r="AJ108" i="1" s="1"/>
  <c r="AJ108" i="7"/>
  <c r="FJ31" i="4"/>
  <c r="AN31" i="4" s="1"/>
  <c r="FJ29" i="7"/>
  <c r="AN31" i="7"/>
  <c r="FK33" i="7"/>
  <c r="EY33" i="4"/>
  <c r="AC33" i="4" s="1"/>
  <c r="AC33" i="7"/>
  <c r="CO88" i="24"/>
  <c r="CO100" i="24"/>
  <c r="FH184" i="4"/>
  <c r="AL184" i="4" s="1"/>
  <c r="AL184" i="1" s="1"/>
  <c r="AL184" i="7"/>
  <c r="AB184" i="7" s="1"/>
  <c r="AJ108" i="24"/>
  <c r="AJ96" i="24"/>
  <c r="EZ111" i="4"/>
  <c r="AD111" i="4" s="1"/>
  <c r="AD111" i="1" s="1"/>
  <c r="AD111" i="7"/>
  <c r="DE156" i="4"/>
  <c r="Q38" i="4"/>
  <c r="Q39" i="1"/>
  <c r="Q38" i="1" s="1"/>
  <c r="BF96" i="24"/>
  <c r="BF108" i="24"/>
  <c r="EZ139" i="4"/>
  <c r="AD139" i="4" s="1"/>
  <c r="EZ138" i="7"/>
  <c r="AD139" i="7"/>
  <c r="DT157" i="4"/>
  <c r="DT98" i="24"/>
  <c r="DT86" i="24"/>
  <c r="FJ224" i="4"/>
  <c r="AN224" i="4" s="1"/>
  <c r="FJ223" i="7"/>
  <c r="FJ218" i="7" s="1"/>
  <c r="AN224" i="7"/>
  <c r="P179" i="1"/>
  <c r="P178" i="1" s="1"/>
  <c r="P178" i="4"/>
  <c r="CC92" i="24"/>
  <c r="CC104" i="24"/>
  <c r="FD169" i="4"/>
  <c r="AH169" i="4" s="1"/>
  <c r="AH169" i="1" s="1"/>
  <c r="AH169" i="7"/>
  <c r="DL104" i="4"/>
  <c r="CI87" i="24"/>
  <c r="CI99" i="24"/>
  <c r="FI176" i="4"/>
  <c r="AM176" i="4" s="1"/>
  <c r="AM176" i="1" s="1"/>
  <c r="AM176" i="7"/>
  <c r="AP89" i="24"/>
  <c r="AP101" i="24"/>
  <c r="FG120" i="4"/>
  <c r="AK120" i="7"/>
  <c r="FC40" i="4"/>
  <c r="AG40" i="4" s="1"/>
  <c r="AG40" i="1" s="1"/>
  <c r="AG40" i="7"/>
  <c r="AI94" i="24"/>
  <c r="AI106" i="24"/>
  <c r="FB110" i="4"/>
  <c r="AF110" i="4" s="1"/>
  <c r="AF110" i="1" s="1"/>
  <c r="AF110" i="7"/>
  <c r="T105" i="1"/>
  <c r="T104" i="1" s="1"/>
  <c r="T104" i="4"/>
  <c r="AA148" i="4"/>
  <c r="O148" i="1"/>
  <c r="O175" i="1"/>
  <c r="AA175" i="4"/>
  <c r="U228" i="1"/>
  <c r="U227" i="1" s="1"/>
  <c r="U227" i="4"/>
  <c r="AL107" i="24"/>
  <c r="AL95" i="24"/>
  <c r="FA113" i="4"/>
  <c r="AE113" i="4" s="1"/>
  <c r="AE113" i="1" s="1"/>
  <c r="AE113" i="7"/>
  <c r="FC33" i="4"/>
  <c r="AG33" i="4" s="1"/>
  <c r="AG33" i="1" s="1"/>
  <c r="AG33" i="7"/>
  <c r="FK126" i="7"/>
  <c r="AV97" i="24"/>
  <c r="AV109" i="24"/>
  <c r="EY126" i="4"/>
  <c r="AC126" i="4" s="1"/>
  <c r="AC126" i="7"/>
  <c r="CO87" i="24"/>
  <c r="CO99" i="24"/>
  <c r="FI184" i="4"/>
  <c r="AM184" i="4" s="1"/>
  <c r="AM184" i="1" s="1"/>
  <c r="AM184" i="7"/>
  <c r="O201" i="1"/>
  <c r="AA201" i="4"/>
  <c r="V215" i="1"/>
  <c r="V214" i="1" s="1"/>
  <c r="V214" i="4"/>
  <c r="DD156" i="4"/>
  <c r="BM87" i="24"/>
  <c r="BM99" i="24"/>
  <c r="FI147" i="4"/>
  <c r="FI146" i="7"/>
  <c r="AM147" i="7"/>
  <c r="DU185" i="4"/>
  <c r="FJ33" i="4"/>
  <c r="AN33" i="4" s="1"/>
  <c r="AN33" i="1" s="1"/>
  <c r="AN33" i="7"/>
  <c r="DU245" i="4"/>
  <c r="BO88" i="24"/>
  <c r="BO100" i="24"/>
  <c r="FH149" i="4"/>
  <c r="AL149" i="4" s="1"/>
  <c r="AL149" i="1" s="1"/>
  <c r="AL149" i="7"/>
  <c r="AB149" i="7" s="1"/>
  <c r="FB41" i="4"/>
  <c r="AF41" i="4" s="1"/>
  <c r="AF41" i="1" s="1"/>
  <c r="AF41" i="7"/>
  <c r="DB106" i="24"/>
  <c r="DB94" i="24"/>
  <c r="FB199" i="4"/>
  <c r="AF199" i="4" s="1"/>
  <c r="AF199" i="1" s="1"/>
  <c r="AF199" i="7"/>
  <c r="AN98" i="24"/>
  <c r="AN86" i="24"/>
  <c r="FJ118" i="4"/>
  <c r="AN118" i="4" s="1"/>
  <c r="AN118" i="1" s="1"/>
  <c r="AN118" i="7"/>
  <c r="V43" i="7"/>
  <c r="V47" i="7" s="1"/>
  <c r="V71" i="7" s="1"/>
  <c r="V70" i="7"/>
  <c r="DF104" i="24"/>
  <c r="DF92" i="24"/>
  <c r="FD203" i="4"/>
  <c r="AH203" i="4" s="1"/>
  <c r="AH203" i="1" s="1"/>
  <c r="AH203" i="7"/>
  <c r="T61" i="1"/>
  <c r="T60" i="1" s="1"/>
  <c r="T60" i="4"/>
  <c r="Q75" i="24"/>
  <c r="DS87" i="7"/>
  <c r="DS75" i="7" s="1"/>
  <c r="DS88" i="4"/>
  <c r="DS87" i="4" s="1"/>
  <c r="AM88" i="7"/>
  <c r="AM87" i="7" s="1"/>
  <c r="S182" i="4"/>
  <c r="S183" i="1"/>
  <c r="S182" i="1" s="1"/>
  <c r="EK70" i="4"/>
  <c r="FK119" i="7"/>
  <c r="AO109" i="24"/>
  <c r="AO97" i="24"/>
  <c r="EY119" i="4"/>
  <c r="AC119" i="7"/>
  <c r="BL96" i="24"/>
  <c r="BL108" i="24"/>
  <c r="EZ145" i="4"/>
  <c r="AD145" i="4" s="1"/>
  <c r="AD145" i="1" s="1"/>
  <c r="AD145" i="7"/>
  <c r="DR29" i="4"/>
  <c r="DU173" i="4"/>
  <c r="DI172" i="4"/>
  <c r="DT99" i="24"/>
  <c r="DT87" i="24"/>
  <c r="FI224" i="4"/>
  <c r="AM224" i="4" s="1"/>
  <c r="FI223" i="7"/>
  <c r="FI218" i="7" s="1"/>
  <c r="AM224" i="7"/>
  <c r="S91" i="1"/>
  <c r="S90" i="1" s="1"/>
  <c r="S90" i="4"/>
  <c r="AV100" i="24"/>
  <c r="AV88" i="24"/>
  <c r="FH126" i="4"/>
  <c r="AL126" i="4" s="1"/>
  <c r="AL126" i="1" s="1"/>
  <c r="AL126" i="7"/>
  <c r="AB126" i="7" s="1"/>
  <c r="CU115" i="4"/>
  <c r="BF106" i="24"/>
  <c r="BF94" i="24"/>
  <c r="FB138" i="7"/>
  <c r="FB139" i="4"/>
  <c r="AF139" i="7"/>
  <c r="AA89" i="4"/>
  <c r="O89" i="1"/>
  <c r="CI93" i="24"/>
  <c r="CI105" i="24"/>
  <c r="FC176" i="4"/>
  <c r="AG176" i="4" s="1"/>
  <c r="AG176" i="1" s="1"/>
  <c r="AG176" i="7"/>
  <c r="FF40" i="4"/>
  <c r="AJ40" i="4" s="1"/>
  <c r="AJ40" i="1" s="1"/>
  <c r="AJ40" i="7"/>
  <c r="AL93" i="24"/>
  <c r="AL105" i="24"/>
  <c r="FC113" i="4"/>
  <c r="AG113" i="4" s="1"/>
  <c r="AG113" i="1" s="1"/>
  <c r="AG113" i="7"/>
  <c r="S77" i="1"/>
  <c r="S76" i="1" s="1"/>
  <c r="S76" i="4"/>
  <c r="DG116" i="4"/>
  <c r="DN129" i="4"/>
  <c r="CY156" i="4"/>
  <c r="CR93" i="24"/>
  <c r="CR105" i="24"/>
  <c r="FC187" i="7"/>
  <c r="FC188" i="4"/>
  <c r="AG188" i="4" s="1"/>
  <c r="AG188" i="7"/>
  <c r="BX87" i="4"/>
  <c r="BX75" i="4" s="1"/>
  <c r="BA98" i="24"/>
  <c r="BA86" i="24"/>
  <c r="FJ132" i="4"/>
  <c r="AN132" i="4" s="1"/>
  <c r="AN132" i="1" s="1"/>
  <c r="AN132" i="7"/>
  <c r="AN129" i="7" s="1"/>
  <c r="X178" i="4"/>
  <c r="X179" i="1"/>
  <c r="X178" i="1" s="1"/>
  <c r="DM133" i="4"/>
  <c r="AX95" i="24"/>
  <c r="AX107" i="24"/>
  <c r="FA128" i="4"/>
  <c r="AE128" i="4" s="1"/>
  <c r="AE128" i="1" s="1"/>
  <c r="AE128" i="7"/>
  <c r="BQ146" i="4"/>
  <c r="FG40" i="4"/>
  <c r="AK40" i="7"/>
  <c r="AI96" i="24"/>
  <c r="AI108" i="24"/>
  <c r="EZ110" i="4"/>
  <c r="AD110" i="4" s="1"/>
  <c r="AD110" i="1" s="1"/>
  <c r="AD110" i="7"/>
  <c r="DS178" i="4"/>
  <c r="BG105" i="24"/>
  <c r="BG93" i="24"/>
  <c r="FC140" i="4"/>
  <c r="AG140" i="4" s="1"/>
  <c r="AG140" i="1" s="1"/>
  <c r="AG140" i="7"/>
  <c r="DL133" i="4"/>
  <c r="O41" i="1"/>
  <c r="AA41" i="4"/>
  <c r="EZ33" i="4"/>
  <c r="AD33" i="4" s="1"/>
  <c r="AD33" i="1" s="1"/>
  <c r="AD33" i="7"/>
  <c r="O161" i="1"/>
  <c r="AA161" i="4"/>
  <c r="BV230" i="7"/>
  <c r="BV231" i="7" s="1"/>
  <c r="DU98" i="4"/>
  <c r="DU96" i="4"/>
  <c r="AQ92" i="24"/>
  <c r="AQ104" i="24"/>
  <c r="FD121" i="4"/>
  <c r="AH121" i="4" s="1"/>
  <c r="AH121" i="1" s="1"/>
  <c r="AH121" i="7"/>
  <c r="BC97" i="24"/>
  <c r="BC109" i="24"/>
  <c r="FK135" i="7"/>
  <c r="EY135" i="4"/>
  <c r="AC135" i="4" s="1"/>
  <c r="AC135" i="7"/>
  <c r="BS104" i="24"/>
  <c r="BS92" i="24"/>
  <c r="FD154" i="4"/>
  <c r="AH154" i="4" s="1"/>
  <c r="AH154" i="1" s="1"/>
  <c r="AH154" i="7"/>
  <c r="FH44" i="4"/>
  <c r="AL44" i="4" s="1"/>
  <c r="AL44" i="1" s="1"/>
  <c r="AL44" i="7"/>
  <c r="AB44" i="7" s="1"/>
  <c r="FK136" i="7"/>
  <c r="BD97" i="24"/>
  <c r="BD109" i="24"/>
  <c r="EY136" i="4"/>
  <c r="AC136" i="7"/>
  <c r="FK91" i="7"/>
  <c r="R109" i="24"/>
  <c r="R97" i="24"/>
  <c r="EY91" i="4"/>
  <c r="EY90" i="7"/>
  <c r="AC91" i="7"/>
  <c r="DU94" i="24"/>
  <c r="DU106" i="24"/>
  <c r="FB225" i="4"/>
  <c r="AF225" i="4" s="1"/>
  <c r="AF225" i="1" s="1"/>
  <c r="AF225" i="7"/>
  <c r="BF87" i="24"/>
  <c r="BF99" i="24"/>
  <c r="FI139" i="4"/>
  <c r="AM139" i="4" s="1"/>
  <c r="FI138" i="7"/>
  <c r="AM139" i="7"/>
  <c r="AO90" i="24"/>
  <c r="AO102" i="24"/>
  <c r="FF119" i="4"/>
  <c r="AJ119" i="4" s="1"/>
  <c r="AJ119" i="1" s="1"/>
  <c r="AJ119" i="7"/>
  <c r="BV107" i="24"/>
  <c r="BV95" i="24"/>
  <c r="FA160" i="4"/>
  <c r="AE160" i="4" s="1"/>
  <c r="AE160" i="1" s="1"/>
  <c r="AE160" i="7"/>
  <c r="DT107" i="24"/>
  <c r="DT95" i="24"/>
  <c r="FA224" i="4"/>
  <c r="FA223" i="7"/>
  <c r="FA218" i="7" s="1"/>
  <c r="AE224" i="7"/>
  <c r="DU40" i="4"/>
  <c r="AI98" i="24"/>
  <c r="AI86" i="24"/>
  <c r="FJ110" i="4"/>
  <c r="AN110" i="4" s="1"/>
  <c r="AN110" i="1" s="1"/>
  <c r="AN110" i="7"/>
  <c r="O159" i="1"/>
  <c r="AA159" i="4"/>
  <c r="DO178" i="4"/>
  <c r="BV98" i="24"/>
  <c r="BV86" i="24"/>
  <c r="FJ160" i="4"/>
  <c r="AN160" i="4" s="1"/>
  <c r="AN160" i="1" s="1"/>
  <c r="AN160" i="7"/>
  <c r="W96" i="24"/>
  <c r="W108" i="24"/>
  <c r="EZ96" i="4"/>
  <c r="AD96" i="4" s="1"/>
  <c r="AD96" i="1" s="1"/>
  <c r="AD96" i="7"/>
  <c r="CR91" i="24"/>
  <c r="CR103" i="24"/>
  <c r="FE187" i="7"/>
  <c r="FE188" i="4"/>
  <c r="AI188" i="7"/>
  <c r="AX105" i="24"/>
  <c r="AX93" i="24"/>
  <c r="FC128" i="4"/>
  <c r="AG128" i="4" s="1"/>
  <c r="AG128" i="1" s="1"/>
  <c r="AG128" i="7"/>
  <c r="O146" i="4"/>
  <c r="AA147" i="4"/>
  <c r="O147" i="1"/>
  <c r="FD40" i="4"/>
  <c r="AH40" i="4" s="1"/>
  <c r="AH40" i="1" s="1"/>
  <c r="AH40" i="7"/>
  <c r="BH86" i="24"/>
  <c r="BH98" i="24"/>
  <c r="FJ141" i="4"/>
  <c r="AN141" i="4" s="1"/>
  <c r="AN141" i="1" s="1"/>
  <c r="AN141" i="7"/>
  <c r="DI146" i="4"/>
  <c r="DU147" i="4"/>
  <c r="U210" i="1"/>
  <c r="U209" i="1" s="1"/>
  <c r="U209" i="4"/>
  <c r="AA61" i="4"/>
  <c r="O60" i="4"/>
  <c r="O61" i="1"/>
  <c r="Z89" i="24"/>
  <c r="Z101" i="24"/>
  <c r="FG99" i="4"/>
  <c r="AK99" i="7"/>
  <c r="DK116" i="4"/>
  <c r="AA69" i="4"/>
  <c r="O69" i="1"/>
  <c r="DJ98" i="24"/>
  <c r="DJ86" i="24"/>
  <c r="FJ208" i="4"/>
  <c r="AN208" i="4" s="1"/>
  <c r="AN208" i="1" s="1"/>
  <c r="AN208" i="7"/>
  <c r="FK94" i="7"/>
  <c r="U109" i="24"/>
  <c r="U97" i="24"/>
  <c r="EY94" i="4"/>
  <c r="AC94" i="4" s="1"/>
  <c r="AC94" i="7"/>
  <c r="Y89" i="24"/>
  <c r="Y101" i="24"/>
  <c r="FG98" i="4"/>
  <c r="AK98" i="7"/>
  <c r="BD99" i="24"/>
  <c r="BD87" i="24"/>
  <c r="FI136" i="4"/>
  <c r="AM136" i="4" s="1"/>
  <c r="AM136" i="1" s="1"/>
  <c r="AM136" i="7"/>
  <c r="V139" i="1"/>
  <c r="V138" i="1" s="1"/>
  <c r="V138" i="4"/>
  <c r="FH245" i="4"/>
  <c r="AL245" i="4" s="1"/>
  <c r="AL245" i="1" s="1"/>
  <c r="AL245" i="7"/>
  <c r="AB245" i="7" s="1"/>
  <c r="S87" i="24"/>
  <c r="S99" i="24"/>
  <c r="FI92" i="4"/>
  <c r="AM92" i="4" s="1"/>
  <c r="AM92" i="1" s="1"/>
  <c r="AM92" i="7"/>
  <c r="FD45" i="4"/>
  <c r="AH45" i="4" s="1"/>
  <c r="AH45" i="1" s="1"/>
  <c r="AH45" i="7"/>
  <c r="V87" i="4"/>
  <c r="V88" i="1"/>
  <c r="V87" i="1" s="1"/>
  <c r="L100" i="24"/>
  <c r="L88" i="24"/>
  <c r="FH82" i="4"/>
  <c r="AL82" i="4" s="1"/>
  <c r="AL82" i="1" s="1"/>
  <c r="AL82" i="7"/>
  <c r="AB82" i="7" s="1"/>
  <c r="FJ245" i="4"/>
  <c r="AN245" i="4" s="1"/>
  <c r="AN245" i="1" s="1"/>
  <c r="AN245" i="7"/>
  <c r="DF88" i="24"/>
  <c r="DF100" i="24"/>
  <c r="FH203" i="4"/>
  <c r="AL203" i="4" s="1"/>
  <c r="AL203" i="1" s="1"/>
  <c r="AL203" i="7"/>
  <c r="AB203" i="7" s="1"/>
  <c r="AW106" i="24"/>
  <c r="AW94" i="24"/>
  <c r="FB127" i="4"/>
  <c r="AF127" i="4" s="1"/>
  <c r="AF127" i="1" s="1"/>
  <c r="AF127" i="7"/>
  <c r="DO88" i="24"/>
  <c r="DO100" i="24"/>
  <c r="FH215" i="4"/>
  <c r="AL215" i="4" s="1"/>
  <c r="FH214" i="7"/>
  <c r="AL215" i="7"/>
  <c r="AB215" i="7" s="1"/>
  <c r="AG105" i="24"/>
  <c r="AG93" i="24"/>
  <c r="FC108" i="4"/>
  <c r="AG108" i="4" s="1"/>
  <c r="AG108" i="1" s="1"/>
  <c r="AG108" i="7"/>
  <c r="DU110" i="4"/>
  <c r="AJ100" i="24"/>
  <c r="AJ88" i="24"/>
  <c r="FH111" i="4"/>
  <c r="AL111" i="4" s="1"/>
  <c r="AL111" i="1" s="1"/>
  <c r="AL111" i="7"/>
  <c r="AB111" i="7" s="1"/>
  <c r="AO62" i="4"/>
  <c r="AC62" i="1"/>
  <c r="AO62" i="1" s="1"/>
  <c r="DT156" i="7"/>
  <c r="DU119" i="4"/>
  <c r="BV96" i="24"/>
  <c r="BV108" i="24"/>
  <c r="EZ160" i="4"/>
  <c r="AD160" i="4" s="1"/>
  <c r="AD160" i="1" s="1"/>
  <c r="AD160" i="7"/>
  <c r="CC90" i="24"/>
  <c r="CC102" i="24"/>
  <c r="FF169" i="4"/>
  <c r="AJ169" i="4" s="1"/>
  <c r="AJ169" i="1" s="1"/>
  <c r="AJ169" i="7"/>
  <c r="BG86" i="24"/>
  <c r="BG98" i="24"/>
  <c r="FJ140" i="4"/>
  <c r="AN140" i="4" s="1"/>
  <c r="AN140" i="1" s="1"/>
  <c r="AN140" i="7"/>
  <c r="DQ90" i="4"/>
  <c r="BV94" i="24"/>
  <c r="BV106" i="24"/>
  <c r="FB160" i="4"/>
  <c r="AF160" i="4" s="1"/>
  <c r="AF160" i="1" s="1"/>
  <c r="AF160" i="7"/>
  <c r="FB46" i="4"/>
  <c r="AF46" i="4" s="1"/>
  <c r="AF46" i="1" s="1"/>
  <c r="AF46" i="7"/>
  <c r="FK41" i="7"/>
  <c r="EY41" i="4"/>
  <c r="AC41" i="4" s="1"/>
  <c r="AC41" i="7"/>
  <c r="W95" i="24"/>
  <c r="W107" i="24"/>
  <c r="FA96" i="4"/>
  <c r="AE96" i="4" s="1"/>
  <c r="AE96" i="1" s="1"/>
  <c r="AE96" i="7"/>
  <c r="BP94" i="24"/>
  <c r="BP106" i="24"/>
  <c r="FB151" i="4"/>
  <c r="AF151" i="4" s="1"/>
  <c r="FB150" i="7"/>
  <c r="AF151" i="7"/>
  <c r="DU247" i="4"/>
  <c r="CR92" i="24"/>
  <c r="CR104" i="24"/>
  <c r="FD188" i="4"/>
  <c r="FD187" i="7"/>
  <c r="AH188" i="7"/>
  <c r="DQ187" i="4"/>
  <c r="DN205" i="4"/>
  <c r="AO63" i="7"/>
  <c r="DS156" i="7"/>
  <c r="DM164" i="4"/>
  <c r="Q74" i="24"/>
  <c r="DT88" i="4"/>
  <c r="DT87" i="4" s="1"/>
  <c r="DT87" i="7"/>
  <c r="DT75" i="7" s="1"/>
  <c r="AN88" i="7"/>
  <c r="AN87" i="7" s="1"/>
  <c r="AX90" i="24"/>
  <c r="AX102" i="24"/>
  <c r="FF128" i="4"/>
  <c r="AJ128" i="4" s="1"/>
  <c r="AJ128" i="1" s="1"/>
  <c r="AJ128" i="7"/>
  <c r="CD87" i="4"/>
  <c r="CD75" i="4" s="1"/>
  <c r="DO76" i="4"/>
  <c r="X24" i="1"/>
  <c r="X27" i="1" s="1"/>
  <c r="X27" i="4"/>
  <c r="AN94" i="24"/>
  <c r="AN106" i="24"/>
  <c r="FB118" i="4"/>
  <c r="AF118" i="4" s="1"/>
  <c r="AF118" i="1" s="1"/>
  <c r="AF118" i="7"/>
  <c r="BE70" i="4"/>
  <c r="DJ116" i="4"/>
  <c r="Z87" i="24"/>
  <c r="Z99" i="24"/>
  <c r="FI99" i="4"/>
  <c r="AM99" i="4" s="1"/>
  <c r="AM99" i="1" s="1"/>
  <c r="AM99" i="7"/>
  <c r="DK115" i="7"/>
  <c r="AU90" i="24"/>
  <c r="AU102" i="24"/>
  <c r="FF125" i="4"/>
  <c r="AJ125" i="4" s="1"/>
  <c r="AJ125" i="1" s="1"/>
  <c r="AJ125" i="7"/>
  <c r="DU80" i="4"/>
  <c r="BD98" i="24"/>
  <c r="BD86" i="24"/>
  <c r="FJ136" i="4"/>
  <c r="AN136" i="4" s="1"/>
  <c r="AN136" i="1" s="1"/>
  <c r="AN136" i="7"/>
  <c r="Q157" i="4"/>
  <c r="Q158" i="1"/>
  <c r="Q157" i="1" s="1"/>
  <c r="L98" i="24"/>
  <c r="L86" i="24"/>
  <c r="FJ82" i="4"/>
  <c r="AN82" i="4" s="1"/>
  <c r="AN82" i="1" s="1"/>
  <c r="AN82" i="7"/>
  <c r="AP92" i="24"/>
  <c r="AP104" i="24"/>
  <c r="FD120" i="4"/>
  <c r="AH120" i="4" s="1"/>
  <c r="AH120" i="1" s="1"/>
  <c r="AH120" i="7"/>
  <c r="AA85" i="4"/>
  <c r="O85" i="1"/>
  <c r="Y93" i="24"/>
  <c r="Y105" i="24"/>
  <c r="FC98" i="4"/>
  <c r="AG98" i="4" s="1"/>
  <c r="AG98" i="1" s="1"/>
  <c r="AG98" i="7"/>
  <c r="FI46" i="4"/>
  <c r="AM46" i="4" s="1"/>
  <c r="AM46" i="1" s="1"/>
  <c r="AM46" i="7"/>
  <c r="EZ41" i="4"/>
  <c r="AD41" i="4" s="1"/>
  <c r="AD41" i="1" s="1"/>
  <c r="AD41" i="7"/>
  <c r="W105" i="24"/>
  <c r="W93" i="24"/>
  <c r="FC96" i="4"/>
  <c r="AG96" i="4" s="1"/>
  <c r="AG96" i="1" s="1"/>
  <c r="AG96" i="7"/>
  <c r="FK151" i="7"/>
  <c r="BP97" i="24"/>
  <c r="BP109" i="24"/>
  <c r="EY151" i="4"/>
  <c r="AC151" i="4" s="1"/>
  <c r="EY150" i="7"/>
  <c r="AC151" i="7"/>
  <c r="V14" i="1"/>
  <c r="V13" i="1" s="1"/>
  <c r="V6" i="1" s="1"/>
  <c r="V13" i="4"/>
  <c r="V6" i="4" s="1"/>
  <c r="CR102" i="24"/>
  <c r="CR90" i="24"/>
  <c r="FF187" i="7"/>
  <c r="FF188" i="4"/>
  <c r="AJ188" i="4" s="1"/>
  <c r="AJ188" i="7"/>
  <c r="DL178" i="4"/>
  <c r="DS157" i="4"/>
  <c r="DA230" i="7"/>
  <c r="DA231" i="7" s="1"/>
  <c r="AN99" i="24"/>
  <c r="AN87" i="24"/>
  <c r="FI118" i="4"/>
  <c r="AM118" i="4" s="1"/>
  <c r="AM118" i="1" s="1"/>
  <c r="AM118" i="7"/>
  <c r="R94" i="24"/>
  <c r="R106" i="24"/>
  <c r="FB91" i="4"/>
  <c r="FB90" i="7"/>
  <c r="AF91" i="7"/>
  <c r="DO102" i="24"/>
  <c r="DO90" i="24"/>
  <c r="FF215" i="4"/>
  <c r="FF214" i="7"/>
  <c r="AJ215" i="7"/>
  <c r="AJ214" i="7" s="1"/>
  <c r="DI214" i="4"/>
  <c r="DU215" i="4"/>
  <c r="DK227" i="4"/>
  <c r="AE228" i="4"/>
  <c r="J91" i="24"/>
  <c r="J103" i="24"/>
  <c r="FE80" i="4"/>
  <c r="AI80" i="4" s="1"/>
  <c r="AI80" i="1" s="1"/>
  <c r="AI80" i="7"/>
  <c r="DD108" i="24"/>
  <c r="DD96" i="24"/>
  <c r="EZ201" i="4"/>
  <c r="AD201" i="4" s="1"/>
  <c r="AD201" i="1" s="1"/>
  <c r="O123" i="1"/>
  <c r="AA123" i="4"/>
  <c r="CR89" i="24"/>
  <c r="CR101" i="24"/>
  <c r="FG187" i="7"/>
  <c r="EX187" i="7" s="1"/>
  <c r="FG188" i="4"/>
  <c r="AK188" i="7"/>
  <c r="K93" i="24"/>
  <c r="K105" i="24"/>
  <c r="FC81" i="4"/>
  <c r="AG81" i="4" s="1"/>
  <c r="AG81" i="1" s="1"/>
  <c r="AG81" i="7"/>
  <c r="FF45" i="4"/>
  <c r="AJ45" i="4" s="1"/>
  <c r="AJ45" i="1" s="1"/>
  <c r="AJ45" i="7"/>
  <c r="DN115" i="7"/>
  <c r="AX104" i="24"/>
  <c r="AX92" i="24"/>
  <c r="FD128" i="4"/>
  <c r="AH128" i="4" s="1"/>
  <c r="AH128" i="1" s="1"/>
  <c r="AE94" i="24"/>
  <c r="AE106" i="24"/>
  <c r="FB106" i="4"/>
  <c r="AF106" i="4" s="1"/>
  <c r="AF106" i="1" s="1"/>
  <c r="AF106" i="7"/>
  <c r="DK209" i="4"/>
  <c r="AV106" i="24"/>
  <c r="AV94" i="24"/>
  <c r="FB126" i="4"/>
  <c r="AF126" i="4" s="1"/>
  <c r="AF126" i="1" s="1"/>
  <c r="AF126" i="7"/>
  <c r="X98" i="24"/>
  <c r="X86" i="24"/>
  <c r="FJ97" i="4"/>
  <c r="AN97" i="4" s="1"/>
  <c r="AN97" i="1" s="1"/>
  <c r="AN97" i="7"/>
  <c r="CN102" i="24"/>
  <c r="CN90" i="24"/>
  <c r="FF182" i="7"/>
  <c r="FF183" i="4"/>
  <c r="AJ183" i="7"/>
  <c r="BP93" i="24"/>
  <c r="BP105" i="24"/>
  <c r="FC151" i="4"/>
  <c r="FC150" i="7"/>
  <c r="AG151" i="7"/>
  <c r="BC98" i="24"/>
  <c r="BC86" i="24"/>
  <c r="FJ135" i="4"/>
  <c r="AN135" i="4" s="1"/>
  <c r="AN135" i="1" s="1"/>
  <c r="AN135" i="7"/>
  <c r="DP150" i="4"/>
  <c r="O25" i="1"/>
  <c r="AA25" i="1" s="1"/>
  <c r="AA25" i="4"/>
  <c r="AG227" i="4"/>
  <c r="AG228" i="1"/>
  <c r="AG227" i="1" s="1"/>
  <c r="CY86" i="24"/>
  <c r="CY98" i="24"/>
  <c r="FJ196" i="4"/>
  <c r="AN196" i="4" s="1"/>
  <c r="AN196" i="1" s="1"/>
  <c r="AN196" i="7"/>
  <c r="DE108" i="24"/>
  <c r="DE96" i="24"/>
  <c r="EZ202" i="4"/>
  <c r="AD202" i="4" s="1"/>
  <c r="AD202" i="1" s="1"/>
  <c r="AD202" i="7"/>
  <c r="BX89" i="24"/>
  <c r="BX101" i="24"/>
  <c r="FG162" i="4"/>
  <c r="AK162" i="7"/>
  <c r="CK93" i="24"/>
  <c r="CK105" i="24"/>
  <c r="FC179" i="4"/>
  <c r="AG179" i="4" s="1"/>
  <c r="FC178" i="7"/>
  <c r="AG179" i="7"/>
  <c r="EW75" i="7"/>
  <c r="CN91" i="24"/>
  <c r="CN103" i="24"/>
  <c r="FE183" i="4"/>
  <c r="AI183" i="4" s="1"/>
  <c r="FE182" i="7"/>
  <c r="AI183" i="7"/>
  <c r="AO92" i="24"/>
  <c r="AO104" i="24"/>
  <c r="FD119" i="4"/>
  <c r="AH119" i="4" s="1"/>
  <c r="AH119" i="1" s="1"/>
  <c r="AH119" i="7"/>
  <c r="AP88" i="24"/>
  <c r="AP100" i="24"/>
  <c r="FH120" i="4"/>
  <c r="AL120" i="4" s="1"/>
  <c r="AL120" i="1" s="1"/>
  <c r="AL120" i="7"/>
  <c r="AB120" i="7" s="1"/>
  <c r="T39" i="1"/>
  <c r="T38" i="1" s="1"/>
  <c r="T38" i="4"/>
  <c r="DU140" i="4"/>
  <c r="DQ29" i="4"/>
  <c r="DQ70" i="4" s="1"/>
  <c r="V106" i="24"/>
  <c r="V94" i="24"/>
  <c r="FB95" i="4"/>
  <c r="AF95" i="4" s="1"/>
  <c r="AF95" i="1" s="1"/>
  <c r="AF95" i="7"/>
  <c r="BQ60" i="4"/>
  <c r="AU89" i="24"/>
  <c r="AU101" i="24"/>
  <c r="FG125" i="4"/>
  <c r="AK125" i="7"/>
  <c r="DJ138" i="4"/>
  <c r="FH38" i="7"/>
  <c r="FH39" i="4"/>
  <c r="AL39" i="4" s="1"/>
  <c r="AL39" i="7"/>
  <c r="AB39" i="7" s="1"/>
  <c r="Z179" i="1"/>
  <c r="Z178" i="1" s="1"/>
  <c r="Z178" i="4"/>
  <c r="K91" i="24"/>
  <c r="K103" i="24"/>
  <c r="FE81" i="4"/>
  <c r="AI81" i="4" s="1"/>
  <c r="AI81" i="1" s="1"/>
  <c r="AI81" i="7"/>
  <c r="AP91" i="24"/>
  <c r="AP103" i="24"/>
  <c r="FE120" i="4"/>
  <c r="AI120" i="4" s="1"/>
  <c r="AI120" i="1" s="1"/>
  <c r="AI120" i="7"/>
  <c r="S193" i="4"/>
  <c r="S194" i="1"/>
  <c r="S193" i="1" s="1"/>
  <c r="DG76" i="4"/>
  <c r="BO230" i="7"/>
  <c r="BO231" i="7" s="1"/>
  <c r="FK34" i="7"/>
  <c r="EY34" i="4"/>
  <c r="AC34" i="7"/>
  <c r="BY90" i="24"/>
  <c r="BY102" i="24"/>
  <c r="FF165" i="4"/>
  <c r="AJ165" i="4" s="1"/>
  <c r="FF164" i="7"/>
  <c r="AJ165" i="7"/>
  <c r="DD94" i="24"/>
  <c r="DD106" i="24"/>
  <c r="FB201" i="4"/>
  <c r="AF201" i="4" s="1"/>
  <c r="AF201" i="1" s="1"/>
  <c r="DJ76" i="4"/>
  <c r="CV156" i="4"/>
  <c r="K100" i="24"/>
  <c r="K88" i="24"/>
  <c r="FH81" i="4"/>
  <c r="AL81" i="4" s="1"/>
  <c r="AL81" i="1" s="1"/>
  <c r="AL81" i="7"/>
  <c r="AB81" i="7" s="1"/>
  <c r="FJ45" i="4"/>
  <c r="AN45" i="4" s="1"/>
  <c r="AN45" i="1" s="1"/>
  <c r="AN45" i="7"/>
  <c r="BC96" i="24"/>
  <c r="BC108" i="24"/>
  <c r="EZ135" i="4"/>
  <c r="AD135" i="4" s="1"/>
  <c r="AD135" i="1" s="1"/>
  <c r="AD135" i="7"/>
  <c r="O200" i="1"/>
  <c r="AA200" i="4"/>
  <c r="DO193" i="4"/>
  <c r="CI102" i="24"/>
  <c r="CI90" i="24"/>
  <c r="FF176" i="4"/>
  <c r="AJ176" i="4" s="1"/>
  <c r="AJ176" i="1" s="1"/>
  <c r="AJ176" i="7"/>
  <c r="FK120" i="7"/>
  <c r="AP97" i="24"/>
  <c r="AP109" i="24"/>
  <c r="EY120" i="4"/>
  <c r="AC120" i="7"/>
  <c r="FB29" i="7"/>
  <c r="FB31" i="4"/>
  <c r="AF31" i="4" s="1"/>
  <c r="AF31" i="7"/>
  <c r="CH107" i="24"/>
  <c r="CH95" i="24"/>
  <c r="FA175" i="4"/>
  <c r="AE175" i="4" s="1"/>
  <c r="AE175" i="1" s="1"/>
  <c r="AE175" i="7"/>
  <c r="AW93" i="24"/>
  <c r="AW105" i="24"/>
  <c r="FC127" i="4"/>
  <c r="AG127" i="4" s="1"/>
  <c r="AG127" i="1" s="1"/>
  <c r="AG127" i="7"/>
  <c r="S139" i="1"/>
  <c r="S138" i="1" s="1"/>
  <c r="S138" i="4"/>
  <c r="CP105" i="24"/>
  <c r="CP93" i="24"/>
  <c r="FC185" i="4"/>
  <c r="AG185" i="4" s="1"/>
  <c r="AG185" i="1" s="1"/>
  <c r="AG185" i="7"/>
  <c r="AK90" i="24"/>
  <c r="AK102" i="24"/>
  <c r="FF112" i="4"/>
  <c r="AJ112" i="4" s="1"/>
  <c r="AJ112" i="1" s="1"/>
  <c r="AJ112" i="7"/>
  <c r="O209" i="4"/>
  <c r="AA210" i="4"/>
  <c r="O210" i="1"/>
  <c r="BG88" i="24"/>
  <c r="BG100" i="24"/>
  <c r="FH140" i="4"/>
  <c r="AL140" i="4" s="1"/>
  <c r="AL140" i="1" s="1"/>
  <c r="AL140" i="7"/>
  <c r="AB140" i="7" s="1"/>
  <c r="CE219" i="4"/>
  <c r="CE223" i="4"/>
  <c r="AL91" i="24"/>
  <c r="AL103" i="24"/>
  <c r="FE113" i="4"/>
  <c r="AI113" i="4" s="1"/>
  <c r="AI113" i="1" s="1"/>
  <c r="AI113" i="7"/>
  <c r="Z156" i="7"/>
  <c r="AR89" i="24"/>
  <c r="AR101" i="24"/>
  <c r="FG122" i="4"/>
  <c r="AK122" i="7"/>
  <c r="AE86" i="24"/>
  <c r="AE98" i="24"/>
  <c r="FJ106" i="4"/>
  <c r="AN106" i="4" s="1"/>
  <c r="AN106" i="1" s="1"/>
  <c r="AN106" i="7"/>
  <c r="DO205" i="4"/>
  <c r="FK95" i="7"/>
  <c r="V97" i="24"/>
  <c r="V109" i="24"/>
  <c r="EY95" i="4"/>
  <c r="AC95" i="4" s="1"/>
  <c r="AC95" i="7"/>
  <c r="FK158" i="7"/>
  <c r="BT109" i="24"/>
  <c r="BT97" i="24"/>
  <c r="EY158" i="4"/>
  <c r="AC158" i="4" s="1"/>
  <c r="EY157" i="7"/>
  <c r="AC158" i="7"/>
  <c r="AU104" i="24"/>
  <c r="AU92" i="24"/>
  <c r="FD125" i="4"/>
  <c r="AH125" i="4" s="1"/>
  <c r="AH125" i="1" s="1"/>
  <c r="AH125" i="7"/>
  <c r="CA105" i="24"/>
  <c r="CA93" i="24"/>
  <c r="FC167" i="4"/>
  <c r="AG167" i="4" s="1"/>
  <c r="AG167" i="1" s="1"/>
  <c r="AG167" i="7"/>
  <c r="FH247" i="4"/>
  <c r="AL247" i="4" s="1"/>
  <c r="AL247" i="1" s="1"/>
  <c r="AL247" i="7"/>
  <c r="AB247" i="7" s="1"/>
  <c r="DL105" i="24"/>
  <c r="DL93" i="24"/>
  <c r="FC211" i="4"/>
  <c r="AG211" i="4" s="1"/>
  <c r="AG211" i="1" s="1"/>
  <c r="AG211" i="7"/>
  <c r="O39" i="1"/>
  <c r="AA39" i="4"/>
  <c r="O38" i="4"/>
  <c r="DU177" i="4"/>
  <c r="P224" i="1"/>
  <c r="P223" i="1" s="1"/>
  <c r="P223" i="4"/>
  <c r="AF102" i="24"/>
  <c r="AF90" i="24"/>
  <c r="FF107" i="4"/>
  <c r="AJ107" i="4" s="1"/>
  <c r="AJ107" i="1" s="1"/>
  <c r="AJ107" i="7"/>
  <c r="DU107" i="4"/>
  <c r="AD201" i="7"/>
  <c r="T220" i="1"/>
  <c r="T219" i="1" s="1"/>
  <c r="T219" i="4"/>
  <c r="Y151" i="1"/>
  <c r="Y150" i="1" s="1"/>
  <c r="Y150" i="4"/>
  <c r="DU182" i="7"/>
  <c r="AQ89" i="24"/>
  <c r="AQ101" i="24"/>
  <c r="FG121" i="4"/>
  <c r="AK121" i="7"/>
  <c r="DP182" i="4"/>
  <c r="P87" i="24"/>
  <c r="P99" i="24"/>
  <c r="FI86" i="4"/>
  <c r="AM86" i="4" s="1"/>
  <c r="AM86" i="1" s="1"/>
  <c r="AM86" i="7"/>
  <c r="BC94" i="24"/>
  <c r="BC106" i="24"/>
  <c r="FB135" i="4"/>
  <c r="AF135" i="4" s="1"/>
  <c r="AF135" i="1" s="1"/>
  <c r="AF135" i="7"/>
  <c r="AW98" i="24"/>
  <c r="AW86" i="24"/>
  <c r="FJ127" i="4"/>
  <c r="AN127" i="4" s="1"/>
  <c r="AN127" i="1" s="1"/>
  <c r="AN127" i="7"/>
  <c r="DN182" i="4"/>
  <c r="ET230" i="7"/>
  <c r="ET231" i="7" s="1"/>
  <c r="AL102" i="24"/>
  <c r="AL90" i="24"/>
  <c r="FF113" i="4"/>
  <c r="AJ113" i="4" s="1"/>
  <c r="AJ113" i="1" s="1"/>
  <c r="AJ113" i="7"/>
  <c r="DU113" i="4"/>
  <c r="Y223" i="4"/>
  <c r="Y224" i="1"/>
  <c r="Y223" i="1" s="1"/>
  <c r="R95" i="24"/>
  <c r="R107" i="24"/>
  <c r="FA91" i="4"/>
  <c r="AE91" i="4" s="1"/>
  <c r="FA90" i="7"/>
  <c r="AE91" i="7"/>
  <c r="CB88" i="24"/>
  <c r="CB100" i="24"/>
  <c r="FH168" i="4"/>
  <c r="AL168" i="4" s="1"/>
  <c r="AL168" i="1" s="1"/>
  <c r="AL168" i="7"/>
  <c r="AB168" i="7" s="1"/>
  <c r="DK90" i="4"/>
  <c r="Q78" i="24"/>
  <c r="DP88" i="4"/>
  <c r="DP87" i="4" s="1"/>
  <c r="DP87" i="7"/>
  <c r="DP75" i="7" s="1"/>
  <c r="AJ88" i="7"/>
  <c r="AJ87" i="7" s="1"/>
  <c r="BX92" i="24"/>
  <c r="BX104" i="24"/>
  <c r="FD162" i="4"/>
  <c r="AH162" i="4" s="1"/>
  <c r="AH162" i="1" s="1"/>
  <c r="AH162" i="7"/>
  <c r="Q188" i="1"/>
  <c r="Q187" i="1" s="1"/>
  <c r="Q187" i="4"/>
  <c r="DL29" i="4"/>
  <c r="AJ87" i="24"/>
  <c r="AJ99" i="24"/>
  <c r="FI111" i="4"/>
  <c r="AM111" i="4" s="1"/>
  <c r="AM111" i="1" s="1"/>
  <c r="AM111" i="7"/>
  <c r="DI182" i="4"/>
  <c r="DU183" i="4"/>
  <c r="AG91" i="24"/>
  <c r="AG103" i="24"/>
  <c r="FE108" i="4"/>
  <c r="AI108" i="4" s="1"/>
  <c r="AI108" i="1" s="1"/>
  <c r="AI108" i="7"/>
  <c r="AA243" i="4"/>
  <c r="O243" i="1"/>
  <c r="CH96" i="24"/>
  <c r="CH108" i="24"/>
  <c r="EZ175" i="4"/>
  <c r="AD175" i="4" s="1"/>
  <c r="AD175" i="1" s="1"/>
  <c r="AD175" i="7"/>
  <c r="AL104" i="24"/>
  <c r="AL92" i="24"/>
  <c r="FD113" i="4"/>
  <c r="AH113" i="4" s="1"/>
  <c r="AH113" i="1" s="1"/>
  <c r="AH113" i="7"/>
  <c r="AE87" i="24"/>
  <c r="AE99" i="24"/>
  <c r="FI106" i="4"/>
  <c r="AM106" i="4" s="1"/>
  <c r="AM106" i="1" s="1"/>
  <c r="AM106" i="7"/>
  <c r="O145" i="1"/>
  <c r="AA145" i="4"/>
  <c r="DR172" i="4"/>
  <c r="CB87" i="24"/>
  <c r="CB99" i="24"/>
  <c r="FI168" i="4"/>
  <c r="AM168" i="4" s="1"/>
  <c r="AM168" i="1" s="1"/>
  <c r="AM168" i="7"/>
  <c r="AM88" i="24"/>
  <c r="AM100" i="24"/>
  <c r="FH116" i="7"/>
  <c r="FH117" i="4"/>
  <c r="AL117" i="7"/>
  <c r="AB117" i="7" s="1"/>
  <c r="DQ138" i="4"/>
  <c r="FE46" i="4"/>
  <c r="AI46" i="4" s="1"/>
  <c r="AI46" i="1" s="1"/>
  <c r="AI46" i="7"/>
  <c r="DU41" i="4"/>
  <c r="DI156" i="7"/>
  <c r="DU165" i="4"/>
  <c r="DI164" i="4"/>
  <c r="Q80" i="24"/>
  <c r="DN88" i="4"/>
  <c r="DN87" i="4" s="1"/>
  <c r="DN87" i="7"/>
  <c r="DN75" i="7" s="1"/>
  <c r="Y90" i="4"/>
  <c r="Y91" i="1"/>
  <c r="Y90" i="1" s="1"/>
  <c r="AG88" i="24"/>
  <c r="AG100" i="24"/>
  <c r="FH108" i="4"/>
  <c r="AL108" i="4" s="1"/>
  <c r="AL108" i="1" s="1"/>
  <c r="AL108" i="7"/>
  <c r="AB108" i="7" s="1"/>
  <c r="BP88" i="24"/>
  <c r="BP100" i="24"/>
  <c r="FH151" i="4"/>
  <c r="FH150" i="7"/>
  <c r="AL151" i="7"/>
  <c r="AB151" i="7" s="1"/>
  <c r="Q76" i="4"/>
  <c r="Q77" i="1"/>
  <c r="Q76" i="1" s="1"/>
  <c r="EM156" i="4"/>
  <c r="S107" i="24"/>
  <c r="S95" i="24"/>
  <c r="FA92" i="4"/>
  <c r="AE92" i="4" s="1"/>
  <c r="AE92" i="1" s="1"/>
  <c r="AE92" i="7"/>
  <c r="BN88" i="24"/>
  <c r="BN100" i="24"/>
  <c r="FH148" i="4"/>
  <c r="AL148" i="4" s="1"/>
  <c r="AL148" i="1" s="1"/>
  <c r="AL148" i="7"/>
  <c r="AB148" i="7" s="1"/>
  <c r="Q60" i="4"/>
  <c r="Q61" i="1"/>
  <c r="Q60" i="1" s="1"/>
  <c r="DI157" i="4"/>
  <c r="DU158" i="4"/>
  <c r="BY89" i="24"/>
  <c r="BY101" i="24"/>
  <c r="FG165" i="4"/>
  <c r="FG164" i="7"/>
  <c r="EX164" i="7" s="1"/>
  <c r="AK165" i="7"/>
  <c r="CN104" i="24"/>
  <c r="CN92" i="24"/>
  <c r="FD183" i="4"/>
  <c r="AH183" i="4" s="1"/>
  <c r="FD182" i="7"/>
  <c r="BG218" i="4"/>
  <c r="DD97" i="24"/>
  <c r="DD109" i="24"/>
  <c r="FK201" i="7"/>
  <c r="EY201" i="4"/>
  <c r="AC201" i="7"/>
  <c r="P43" i="7"/>
  <c r="P47" i="7" s="1"/>
  <c r="P71" i="7" s="1"/>
  <c r="P93" i="24"/>
  <c r="P105" i="24"/>
  <c r="FC86" i="4"/>
  <c r="AG86" i="4" s="1"/>
  <c r="AG86" i="1" s="1"/>
  <c r="AG86" i="7"/>
  <c r="DB88" i="24"/>
  <c r="DB100" i="24"/>
  <c r="FH199" i="4"/>
  <c r="AL199" i="4" s="1"/>
  <c r="AL199" i="1" s="1"/>
  <c r="AL199" i="7"/>
  <c r="AB199" i="7" s="1"/>
  <c r="R75" i="7"/>
  <c r="DG96" i="24"/>
  <c r="DG108" i="24"/>
  <c r="EZ204" i="4"/>
  <c r="AD204" i="4" s="1"/>
  <c r="AD204" i="1" s="1"/>
  <c r="AD204" i="7"/>
  <c r="DA88" i="24"/>
  <c r="DA100" i="24"/>
  <c r="FH198" i="4"/>
  <c r="AL198" i="4" s="1"/>
  <c r="AL198" i="1" s="1"/>
  <c r="AL198" i="7"/>
  <c r="AB198" i="7" s="1"/>
  <c r="S105" i="24"/>
  <c r="S93" i="24"/>
  <c r="FC92" i="4"/>
  <c r="AG92" i="4" s="1"/>
  <c r="AG92" i="1" s="1"/>
  <c r="AG92" i="7"/>
  <c r="CS108" i="24"/>
  <c r="CS96" i="24"/>
  <c r="EZ189" i="4"/>
  <c r="AD189" i="4" s="1"/>
  <c r="AD189" i="1" s="1"/>
  <c r="AD189" i="7"/>
  <c r="K90" i="24"/>
  <c r="K102" i="24"/>
  <c r="FF81" i="4"/>
  <c r="AJ81" i="4" s="1"/>
  <c r="AJ81" i="1" s="1"/>
  <c r="AJ81" i="7"/>
  <c r="DU81" i="4"/>
  <c r="FK45" i="7"/>
  <c r="EY45" i="4"/>
  <c r="AC45" i="7"/>
  <c r="BC107" i="24"/>
  <c r="BC95" i="24"/>
  <c r="FA135" i="4"/>
  <c r="AE135" i="4" s="1"/>
  <c r="AE135" i="1" s="1"/>
  <c r="AE135" i="7"/>
  <c r="CI89" i="24"/>
  <c r="CI101" i="24"/>
  <c r="FG176" i="4"/>
  <c r="AK176" i="7"/>
  <c r="AP96" i="24"/>
  <c r="AP108" i="24"/>
  <c r="EZ120" i="4"/>
  <c r="AD120" i="4" s="1"/>
  <c r="AD120" i="1" s="1"/>
  <c r="BH101" i="24"/>
  <c r="BH89" i="24"/>
  <c r="FG141" i="4"/>
  <c r="AK141" i="7"/>
  <c r="CP104" i="24"/>
  <c r="CP92" i="24"/>
  <c r="FD185" i="4"/>
  <c r="AH185" i="4" s="1"/>
  <c r="AH185" i="1" s="1"/>
  <c r="AH185" i="7"/>
  <c r="AK99" i="24"/>
  <c r="AK87" i="24"/>
  <c r="FI112" i="4"/>
  <c r="AM112" i="4" s="1"/>
  <c r="AM112" i="1" s="1"/>
  <c r="AM112" i="7"/>
  <c r="Z206" i="1"/>
  <c r="Z205" i="1" s="1"/>
  <c r="Z205" i="4"/>
  <c r="BG89" i="24"/>
  <c r="BG101" i="24"/>
  <c r="FG140" i="4"/>
  <c r="AK140" i="7"/>
  <c r="T88" i="1"/>
  <c r="T87" i="1" s="1"/>
  <c r="T87" i="4"/>
  <c r="DU92" i="4"/>
  <c r="DU99" i="4"/>
  <c r="T206" i="1"/>
  <c r="T205" i="1" s="1"/>
  <c r="T205" i="4"/>
  <c r="EP156" i="4"/>
  <c r="DL164" i="4"/>
  <c r="BY87" i="4"/>
  <c r="BY75" i="4" s="1"/>
  <c r="AR96" i="24"/>
  <c r="AR108" i="24"/>
  <c r="EZ122" i="4"/>
  <c r="AD122" i="4" s="1"/>
  <c r="AD122" i="1" s="1"/>
  <c r="AD122" i="7"/>
  <c r="AE96" i="24"/>
  <c r="AE108" i="24"/>
  <c r="EZ106" i="4"/>
  <c r="AD106" i="4" s="1"/>
  <c r="AD106" i="1" s="1"/>
  <c r="AD106" i="7"/>
  <c r="O162" i="1"/>
  <c r="AA162" i="4"/>
  <c r="CY107" i="24"/>
  <c r="CY95" i="24"/>
  <c r="FA196" i="4"/>
  <c r="AE196" i="4" s="1"/>
  <c r="AE196" i="1" s="1"/>
  <c r="AE196" i="7"/>
  <c r="AA78" i="4"/>
  <c r="O78" i="1"/>
  <c r="AU87" i="24"/>
  <c r="AU99" i="24"/>
  <c r="FI125" i="4"/>
  <c r="AM125" i="4" s="1"/>
  <c r="AM125" i="1" s="1"/>
  <c r="FB34" i="4"/>
  <c r="AF34" i="4" s="1"/>
  <c r="AF34" i="1" s="1"/>
  <c r="AF34" i="7"/>
  <c r="CB107" i="24"/>
  <c r="CB95" i="24"/>
  <c r="FA168" i="4"/>
  <c r="AE168" i="4" s="1"/>
  <c r="AE168" i="1" s="1"/>
  <c r="AE168" i="7"/>
  <c r="CF92" i="24"/>
  <c r="CF104" i="24"/>
  <c r="FD172" i="7"/>
  <c r="FD173" i="4"/>
  <c r="AH173" i="4" s="1"/>
  <c r="AH173" i="7"/>
  <c r="DE92" i="24"/>
  <c r="DE104" i="24"/>
  <c r="FD202" i="4"/>
  <c r="AH202" i="4" s="1"/>
  <c r="AH202" i="1" s="1"/>
  <c r="AH202" i="7"/>
  <c r="FJ247" i="4"/>
  <c r="AN247" i="4" s="1"/>
  <c r="AN247" i="1" s="1"/>
  <c r="AN247" i="7"/>
  <c r="AE33" i="7"/>
  <c r="O90" i="24"/>
  <c r="O102" i="24"/>
  <c r="FF85" i="4"/>
  <c r="AJ85" i="4" s="1"/>
  <c r="AJ85" i="1" s="1"/>
  <c r="AJ85" i="7"/>
  <c r="O77" i="1"/>
  <c r="O76" i="4"/>
  <c r="AA77" i="4"/>
  <c r="R29" i="4"/>
  <c r="R31" i="1"/>
  <c r="R29" i="1" s="1"/>
  <c r="R241" i="4"/>
  <c r="R242" i="1"/>
  <c r="R241" i="1" s="1"/>
  <c r="AF104" i="24"/>
  <c r="AF92" i="24"/>
  <c r="FD107" i="4"/>
  <c r="AH107" i="4" s="1"/>
  <c r="AH107" i="1" s="1"/>
  <c r="AH107" i="7"/>
  <c r="CJ101" i="24"/>
  <c r="CJ89" i="24"/>
  <c r="FG177" i="4"/>
  <c r="AK177" i="7"/>
  <c r="AJ94" i="24"/>
  <c r="AJ106" i="24"/>
  <c r="FB111" i="4"/>
  <c r="AF111" i="4" s="1"/>
  <c r="AF111" i="1" s="1"/>
  <c r="AF111" i="7"/>
  <c r="AG89" i="24"/>
  <c r="AG101" i="24"/>
  <c r="FG108" i="4"/>
  <c r="AK108" i="7"/>
  <c r="CS94" i="24"/>
  <c r="CS106" i="24"/>
  <c r="FB189" i="4"/>
  <c r="AF189" i="4" s="1"/>
  <c r="AF189" i="1" s="1"/>
  <c r="EL156" i="4"/>
  <c r="DU176" i="4"/>
  <c r="ET156" i="4"/>
  <c r="Z188" i="1"/>
  <c r="Z187" i="1" s="1"/>
  <c r="Z187" i="4"/>
  <c r="AA119" i="4"/>
  <c r="O119" i="1"/>
  <c r="BG103" i="24"/>
  <c r="BG91" i="24"/>
  <c r="FE140" i="4"/>
  <c r="AI140" i="4" s="1"/>
  <c r="AI140" i="1" s="1"/>
  <c r="AI140" i="7"/>
  <c r="BQ70" i="7"/>
  <c r="AR92" i="24"/>
  <c r="AR104" i="24"/>
  <c r="FD122" i="4"/>
  <c r="AH122" i="4" s="1"/>
  <c r="AH122" i="1" s="1"/>
  <c r="AH122" i="7"/>
  <c r="DJ115" i="7"/>
  <c r="AC64" i="4"/>
  <c r="FK64" i="4"/>
  <c r="FJ34" i="4"/>
  <c r="AN34" i="4" s="1"/>
  <c r="AN34" i="1" s="1"/>
  <c r="AN34" i="7"/>
  <c r="CJ91" i="24"/>
  <c r="CJ103" i="24"/>
  <c r="FE177" i="4"/>
  <c r="AI177" i="4" s="1"/>
  <c r="AI177" i="1" s="1"/>
  <c r="AI177" i="7"/>
  <c r="DD95" i="24"/>
  <c r="DD107" i="24"/>
  <c r="FA201" i="4"/>
  <c r="AE201" i="4" s="1"/>
  <c r="AE201" i="1" s="1"/>
  <c r="CS99" i="24"/>
  <c r="CS87" i="24"/>
  <c r="FI189" i="4"/>
  <c r="AM189" i="4" s="1"/>
  <c r="AM189" i="1" s="1"/>
  <c r="AM189" i="7"/>
  <c r="CI104" i="24"/>
  <c r="CI92" i="24"/>
  <c r="FD176" i="4"/>
  <c r="AH176" i="4" s="1"/>
  <c r="AH176" i="1" s="1"/>
  <c r="AH176" i="7"/>
  <c r="EZ31" i="4"/>
  <c r="AD31" i="4" s="1"/>
  <c r="EZ29" i="7"/>
  <c r="EZ70" i="7" s="1"/>
  <c r="AD31" i="7"/>
  <c r="AX103" i="24"/>
  <c r="AX91" i="24"/>
  <c r="FE128" i="4"/>
  <c r="AI128" i="4" s="1"/>
  <c r="AI128" i="1" s="1"/>
  <c r="AI128" i="7"/>
  <c r="AK92" i="24"/>
  <c r="AK104" i="24"/>
  <c r="FD112" i="4"/>
  <c r="AH112" i="4" s="1"/>
  <c r="AH112" i="1" s="1"/>
  <c r="AH112" i="7"/>
  <c r="DQ172" i="4"/>
  <c r="V98" i="24"/>
  <c r="V86" i="24"/>
  <c r="FJ95" i="4"/>
  <c r="AN95" i="4" s="1"/>
  <c r="AN95" i="1" s="1"/>
  <c r="AN95" i="7"/>
  <c r="BT106" i="24"/>
  <c r="BT94" i="24"/>
  <c r="FB158" i="4"/>
  <c r="FB157" i="7"/>
  <c r="AF158" i="7"/>
  <c r="BN101" i="24"/>
  <c r="BN89" i="24"/>
  <c r="FG148" i="4"/>
  <c r="AK148" i="7"/>
  <c r="AJ98" i="24"/>
  <c r="AJ86" i="24"/>
  <c r="FJ111" i="4"/>
  <c r="AN111" i="4" s="1"/>
  <c r="AN111" i="1" s="1"/>
  <c r="AN111" i="7"/>
  <c r="CN89" i="24"/>
  <c r="CN101" i="24"/>
  <c r="FG182" i="7"/>
  <c r="EX182" i="7" s="1"/>
  <c r="FG183" i="4"/>
  <c r="AK183" i="7"/>
  <c r="Q220" i="1"/>
  <c r="Q219" i="1" s="1"/>
  <c r="Q219" i="4"/>
  <c r="DN209" i="4"/>
  <c r="AQ87" i="24"/>
  <c r="AQ99" i="24"/>
  <c r="FI121" i="4"/>
  <c r="AM121" i="4" s="1"/>
  <c r="AM121" i="1" s="1"/>
  <c r="AM121" i="7"/>
  <c r="DA102" i="24"/>
  <c r="DA90" i="24"/>
  <c r="FF198" i="4"/>
  <c r="AJ198" i="4" s="1"/>
  <c r="AJ198" i="1" s="1"/>
  <c r="AJ198" i="7"/>
  <c r="CS97" i="24"/>
  <c r="CS109" i="24"/>
  <c r="FK189" i="7"/>
  <c r="EY189" i="4"/>
  <c r="AC189" i="7"/>
  <c r="AM98" i="24"/>
  <c r="AM86" i="24"/>
  <c r="FJ117" i="4"/>
  <c r="FJ116" i="7"/>
  <c r="AN117" i="7"/>
  <c r="BG70" i="4"/>
  <c r="BY92" i="24"/>
  <c r="BY104" i="24"/>
  <c r="FD165" i="4"/>
  <c r="FD164" i="7"/>
  <c r="AH165" i="7"/>
  <c r="Q57" i="4"/>
  <c r="Q55" i="1"/>
  <c r="Q57" i="1" s="1"/>
  <c r="AA143" i="4"/>
  <c r="O143" i="1"/>
  <c r="CN88" i="24"/>
  <c r="CN100" i="24"/>
  <c r="FH183" i="4"/>
  <c r="FH182" i="7"/>
  <c r="AL183" i="7"/>
  <c r="AB183" i="7" s="1"/>
  <c r="DD105" i="24"/>
  <c r="DD93" i="24"/>
  <c r="FC201" i="4"/>
  <c r="AG201" i="4" s="1"/>
  <c r="AG201" i="1" s="1"/>
  <c r="AG201" i="7"/>
  <c r="CL90" i="24"/>
  <c r="CL102" i="24"/>
  <c r="FF180" i="4"/>
  <c r="AJ180" i="4" s="1"/>
  <c r="AJ180" i="1" s="1"/>
  <c r="AJ180" i="7"/>
  <c r="P92" i="24"/>
  <c r="P104" i="24"/>
  <c r="FD86" i="4"/>
  <c r="AH86" i="4" s="1"/>
  <c r="AH86" i="1" s="1"/>
  <c r="AH86" i="7"/>
  <c r="DB87" i="24"/>
  <c r="DB99" i="24"/>
  <c r="FI199" i="4"/>
  <c r="AM199" i="4" s="1"/>
  <c r="AM199" i="1" s="1"/>
  <c r="AM199" i="7"/>
  <c r="DG95" i="24"/>
  <c r="DG107" i="24"/>
  <c r="FA204" i="4"/>
  <c r="AE204" i="4" s="1"/>
  <c r="AE204" i="1" s="1"/>
  <c r="AE204" i="7"/>
  <c r="DA98" i="24"/>
  <c r="DA86" i="24"/>
  <c r="FJ198" i="4"/>
  <c r="AN198" i="4" s="1"/>
  <c r="AN198" i="1" s="1"/>
  <c r="AN198" i="7"/>
  <c r="S104" i="24"/>
  <c r="S92" i="24"/>
  <c r="FD92" i="4"/>
  <c r="AH92" i="4" s="1"/>
  <c r="AH92" i="1" s="1"/>
  <c r="AH92" i="7"/>
  <c r="DK223" i="4"/>
  <c r="Z27" i="4"/>
  <c r="Z24" i="1"/>
  <c r="Z27" i="1" s="1"/>
  <c r="O93" i="1"/>
  <c r="AA93" i="4"/>
  <c r="K101" i="24"/>
  <c r="K89" i="24"/>
  <c r="FG81" i="4"/>
  <c r="AK81" i="7"/>
  <c r="FB45" i="4"/>
  <c r="AF45" i="4" s="1"/>
  <c r="AF45" i="1" s="1"/>
  <c r="AF45" i="7"/>
  <c r="BC93" i="24"/>
  <c r="BC105" i="24"/>
  <c r="FC135" i="4"/>
  <c r="AG135" i="4" s="1"/>
  <c r="AG135" i="1" s="1"/>
  <c r="AG135" i="7"/>
  <c r="W77" i="1"/>
  <c r="W76" i="4"/>
  <c r="DS38" i="4"/>
  <c r="P156" i="7"/>
  <c r="V57" i="4"/>
  <c r="V55" i="1"/>
  <c r="V57" i="1" s="1"/>
  <c r="AA83" i="4"/>
  <c r="O83" i="1"/>
  <c r="BH100" i="24"/>
  <c r="BH88" i="24"/>
  <c r="FH141" i="4"/>
  <c r="AL141" i="4" s="1"/>
  <c r="AL141" i="1" s="1"/>
  <c r="CP101" i="24"/>
  <c r="CP89" i="24"/>
  <c r="FG185" i="4"/>
  <c r="AK185" i="7"/>
  <c r="FK112" i="7"/>
  <c r="AK97" i="24"/>
  <c r="AK109" i="24"/>
  <c r="EY112" i="4"/>
  <c r="AC112" i="4" s="1"/>
  <c r="AC112" i="7"/>
  <c r="DU190" i="4"/>
  <c r="Q241" i="4"/>
  <c r="Q242" i="1"/>
  <c r="Q241" i="1" s="1"/>
  <c r="DM116" i="4"/>
  <c r="EO230" i="7"/>
  <c r="DR157" i="4"/>
  <c r="AR95" i="24"/>
  <c r="AR107" i="24"/>
  <c r="FA122" i="4"/>
  <c r="AE122" i="4" s="1"/>
  <c r="AE122" i="1" s="1"/>
  <c r="AE122" i="7"/>
  <c r="AE95" i="24"/>
  <c r="AE107" i="24"/>
  <c r="FA106" i="4"/>
  <c r="AE106" i="4" s="1"/>
  <c r="AE106" i="1" s="1"/>
  <c r="AE106" i="7"/>
  <c r="CY94" i="24"/>
  <c r="CY106" i="24"/>
  <c r="FB196" i="4"/>
  <c r="AF196" i="4" s="1"/>
  <c r="AF196" i="1" s="1"/>
  <c r="AF196" i="7"/>
  <c r="Q85" i="24"/>
  <c r="DI87" i="7"/>
  <c r="DI75" i="7" s="1"/>
  <c r="DI88" i="4"/>
  <c r="AC88" i="7"/>
  <c r="O244" i="1"/>
  <c r="AA244" i="4"/>
  <c r="CO91" i="24"/>
  <c r="CO103" i="24"/>
  <c r="FE184" i="4"/>
  <c r="AI184" i="4" s="1"/>
  <c r="AI184" i="1" s="1"/>
  <c r="AI184" i="7"/>
  <c r="FC34" i="4"/>
  <c r="AG34" i="4" s="1"/>
  <c r="AG34" i="1" s="1"/>
  <c r="AG34" i="7"/>
  <c r="CB94" i="24"/>
  <c r="CB106" i="24"/>
  <c r="FB168" i="4"/>
  <c r="AF168" i="4" s="1"/>
  <c r="AF168" i="1" s="1"/>
  <c r="AF168" i="7"/>
  <c r="CF90" i="24"/>
  <c r="CF102" i="24"/>
  <c r="FF172" i="7"/>
  <c r="FF173" i="4"/>
  <c r="AJ173" i="7"/>
  <c r="O42" i="1"/>
  <c r="AA42" i="4"/>
  <c r="DE89" i="24"/>
  <c r="DE101" i="24"/>
  <c r="FG202" i="4"/>
  <c r="AK202" i="7"/>
  <c r="DU202" i="4"/>
  <c r="BJ156" i="4"/>
  <c r="DH94" i="24"/>
  <c r="DH106" i="24"/>
  <c r="FB205" i="7"/>
  <c r="FB206" i="4"/>
  <c r="AF206" i="7"/>
  <c r="BG115" i="4"/>
  <c r="O88" i="24"/>
  <c r="O100" i="24"/>
  <c r="FH85" i="4"/>
  <c r="AL85" i="4" s="1"/>
  <c r="AL85" i="1" s="1"/>
  <c r="AL85" i="7"/>
  <c r="AB85" i="7" s="1"/>
  <c r="AA122" i="4"/>
  <c r="O122" i="1"/>
  <c r="AT108" i="24"/>
  <c r="AT96" i="24"/>
  <c r="EZ124" i="4"/>
  <c r="AD124" i="4" s="1"/>
  <c r="AD124" i="1" s="1"/>
  <c r="FA42" i="4"/>
  <c r="AE42" i="4" s="1"/>
  <c r="AE42" i="1" s="1"/>
  <c r="AE42" i="7"/>
  <c r="DU225" i="4"/>
  <c r="EZ244" i="4"/>
  <c r="AD244" i="4" s="1"/>
  <c r="AD244" i="1" s="1"/>
  <c r="AD244" i="7"/>
  <c r="DR164" i="4"/>
  <c r="BP108" i="24"/>
  <c r="BP96" i="24"/>
  <c r="EZ150" i="7"/>
  <c r="EZ151" i="4"/>
  <c r="AD151" i="7"/>
  <c r="DU128" i="4"/>
  <c r="CI103" i="24"/>
  <c r="CI91" i="24"/>
  <c r="FE176" i="4"/>
  <c r="AI176" i="4" s="1"/>
  <c r="AI176" i="1" s="1"/>
  <c r="AI176" i="7"/>
  <c r="FK31" i="7"/>
  <c r="EY31" i="4"/>
  <c r="EY29" i="7"/>
  <c r="AC31" i="7"/>
  <c r="O19" i="1"/>
  <c r="AA19" i="1" s="1"/>
  <c r="AA19" i="4"/>
  <c r="AA198" i="4"/>
  <c r="O198" i="1"/>
  <c r="CF93" i="24"/>
  <c r="CF105" i="24"/>
  <c r="FC173" i="4"/>
  <c r="AG173" i="4" s="1"/>
  <c r="FC172" i="7"/>
  <c r="AG173" i="7"/>
  <c r="DL90" i="4"/>
  <c r="AQ100" i="24"/>
  <c r="AQ88" i="24"/>
  <c r="FH121" i="4"/>
  <c r="AL121" i="4" s="1"/>
  <c r="AL121" i="1" s="1"/>
  <c r="AL121" i="7"/>
  <c r="AB121" i="7" s="1"/>
  <c r="DU30" i="4"/>
  <c r="FI45" i="4"/>
  <c r="AM45" i="4" s="1"/>
  <c r="AM45" i="1" s="1"/>
  <c r="AM45" i="7"/>
  <c r="DN116" i="4"/>
  <c r="AW95" i="24"/>
  <c r="AW107" i="24"/>
  <c r="FA127" i="4"/>
  <c r="AE127" i="4" s="1"/>
  <c r="AE127" i="1" s="1"/>
  <c r="AE127" i="7"/>
  <c r="BG90" i="24"/>
  <c r="BG102" i="24"/>
  <c r="FF140" i="4"/>
  <c r="AJ140" i="4" s="1"/>
  <c r="AJ140" i="1" s="1"/>
  <c r="AJ140" i="7"/>
  <c r="AR91" i="24"/>
  <c r="AR103" i="24"/>
  <c r="FE122" i="4"/>
  <c r="AI122" i="4" s="1"/>
  <c r="AI122" i="1" s="1"/>
  <c r="AI122" i="7"/>
  <c r="O32" i="1"/>
  <c r="AA32" i="4"/>
  <c r="BH230" i="7"/>
  <c r="BH231" i="7" s="1"/>
  <c r="CF91" i="24"/>
  <c r="CF103" i="24"/>
  <c r="FE172" i="7"/>
  <c r="FE173" i="4"/>
  <c r="AI173" i="7"/>
  <c r="BQ38" i="4"/>
  <c r="Y98" i="24"/>
  <c r="Y86" i="24"/>
  <c r="FJ98" i="4"/>
  <c r="AN98" i="4" s="1"/>
  <c r="AN98" i="1" s="1"/>
  <c r="DQ214" i="4"/>
  <c r="BN87" i="24"/>
  <c r="BN99" i="24"/>
  <c r="FI148" i="4"/>
  <c r="AM148" i="4" s="1"/>
  <c r="AM148" i="1" s="1"/>
  <c r="AM148" i="7"/>
  <c r="AM97" i="24"/>
  <c r="AM109" i="24"/>
  <c r="FK117" i="7"/>
  <c r="EY116" i="7"/>
  <c r="EY117" i="4"/>
  <c r="AC117" i="7"/>
  <c r="BW72" i="7"/>
  <c r="DU175" i="4"/>
  <c r="CC87" i="4"/>
  <c r="CC75" i="4" s="1"/>
  <c r="BY88" i="24"/>
  <c r="BY100" i="24"/>
  <c r="FH165" i="4"/>
  <c r="AL165" i="4" s="1"/>
  <c r="FH164" i="7"/>
  <c r="AL165" i="7"/>
  <c r="AB165" i="7" s="1"/>
  <c r="DB156" i="4"/>
  <c r="CN86" i="24"/>
  <c r="CN98" i="24"/>
  <c r="FJ182" i="7"/>
  <c r="FJ183" i="4"/>
  <c r="DD103" i="24"/>
  <c r="DD91" i="24"/>
  <c r="FE201" i="4"/>
  <c r="AI201" i="4" s="1"/>
  <c r="AI201" i="1" s="1"/>
  <c r="FC245" i="4"/>
  <c r="AG245" i="4" s="1"/>
  <c r="AG245" i="1" s="1"/>
  <c r="AG245" i="7"/>
  <c r="BD89" i="24"/>
  <c r="BD101" i="24"/>
  <c r="FG136" i="4"/>
  <c r="AK136" i="7"/>
  <c r="BF104" i="24"/>
  <c r="BF92" i="24"/>
  <c r="FD138" i="7"/>
  <c r="FD139" i="4"/>
  <c r="AH139" i="7"/>
  <c r="DU87" i="24"/>
  <c r="DU99" i="24"/>
  <c r="FI225" i="4"/>
  <c r="AM225" i="4" s="1"/>
  <c r="AM225" i="1" s="1"/>
  <c r="AM225" i="7"/>
  <c r="DJ70" i="7"/>
  <c r="E84" i="24"/>
  <c r="D84" i="24" s="1"/>
  <c r="DJ43" i="7"/>
  <c r="DJ47" i="7" s="1"/>
  <c r="DJ71" i="7" s="1"/>
  <c r="BA87" i="24"/>
  <c r="BA99" i="24"/>
  <c r="FI132" i="4"/>
  <c r="AM132" i="4" s="1"/>
  <c r="AM132" i="1" s="1"/>
  <c r="AM132" i="7"/>
  <c r="AM129" i="7" s="1"/>
  <c r="U70" i="7"/>
  <c r="DT109" i="24"/>
  <c r="DT97" i="24"/>
  <c r="FK224" i="7"/>
  <c r="EY224" i="4"/>
  <c r="EY223" i="7"/>
  <c r="EY218" i="7" s="1"/>
  <c r="AC224" i="7"/>
  <c r="CL101" i="24"/>
  <c r="CL89" i="24"/>
  <c r="FG180" i="4"/>
  <c r="AK180" i="7"/>
  <c r="DF91" i="24"/>
  <c r="DF103" i="24"/>
  <c r="FE203" i="4"/>
  <c r="AI203" i="4" s="1"/>
  <c r="AI203" i="1" s="1"/>
  <c r="AI203" i="7"/>
  <c r="P88" i="24"/>
  <c r="P100" i="24"/>
  <c r="FH86" i="4"/>
  <c r="AL86" i="4" s="1"/>
  <c r="AL86" i="1" s="1"/>
  <c r="AL86" i="7"/>
  <c r="AB86" i="7" s="1"/>
  <c r="FK199" i="7"/>
  <c r="DB109" i="24"/>
  <c r="DB97" i="24"/>
  <c r="EY199" i="4"/>
  <c r="AC199" i="7"/>
  <c r="EQ72" i="7"/>
  <c r="DG94" i="24"/>
  <c r="DG106" i="24"/>
  <c r="FB204" i="4"/>
  <c r="AF204" i="4" s="1"/>
  <c r="AF204" i="1" s="1"/>
  <c r="AF204" i="7"/>
  <c r="DP156" i="7"/>
  <c r="K92" i="24"/>
  <c r="K104" i="24"/>
  <c r="FD81" i="4"/>
  <c r="AH81" i="4" s="1"/>
  <c r="AH81" i="1" s="1"/>
  <c r="AH81" i="7"/>
  <c r="AJ227" i="4"/>
  <c r="AJ228" i="1"/>
  <c r="AJ227" i="1" s="1"/>
  <c r="Z13" i="4"/>
  <c r="Z6" i="4" s="1"/>
  <c r="Z14" i="1"/>
  <c r="Z13" i="1" s="1"/>
  <c r="Z6" i="1" s="1"/>
  <c r="FK175" i="7"/>
  <c r="CH97" i="24"/>
  <c r="CH109" i="24"/>
  <c r="EY175" i="4"/>
  <c r="AC175" i="4" s="1"/>
  <c r="AC175" i="7"/>
  <c r="R179" i="1"/>
  <c r="R178" i="1" s="1"/>
  <c r="R178" i="4"/>
  <c r="CA70" i="4"/>
  <c r="BH108" i="24"/>
  <c r="BH96" i="24"/>
  <c r="EZ141" i="4"/>
  <c r="AD141" i="4" s="1"/>
  <c r="AD141" i="1" s="1"/>
  <c r="AD141" i="7"/>
  <c r="Q224" i="1"/>
  <c r="Q223" i="1" s="1"/>
  <c r="Q223" i="4"/>
  <c r="AI87" i="24"/>
  <c r="AI99" i="24"/>
  <c r="FI110" i="4"/>
  <c r="AM110" i="4" s="1"/>
  <c r="AM110" i="1" s="1"/>
  <c r="AM110" i="7"/>
  <c r="DR104" i="4"/>
  <c r="CP103" i="24"/>
  <c r="CP91" i="24"/>
  <c r="FE185" i="4"/>
  <c r="AI185" i="4" s="1"/>
  <c r="AI185" i="1" s="1"/>
  <c r="AI185" i="7"/>
  <c r="AK107" i="24"/>
  <c r="AK95" i="24"/>
  <c r="FA112" i="4"/>
  <c r="AE112" i="4" s="1"/>
  <c r="AE112" i="1" s="1"/>
  <c r="AE112" i="7"/>
  <c r="U188" i="1"/>
  <c r="U187" i="1" s="1"/>
  <c r="U187" i="4"/>
  <c r="P77" i="1"/>
  <c r="P76" i="1" s="1"/>
  <c r="P76" i="4"/>
  <c r="DR156" i="7"/>
  <c r="DH156" i="7" s="1"/>
  <c r="AR94" i="24"/>
  <c r="AR106" i="24"/>
  <c r="FB122" i="4"/>
  <c r="AF122" i="4" s="1"/>
  <c r="AF122" i="1" s="1"/>
  <c r="AF122" i="7"/>
  <c r="AE105" i="24"/>
  <c r="AE93" i="24"/>
  <c r="FC106" i="4"/>
  <c r="AG106" i="4" s="1"/>
  <c r="AG106" i="1" s="1"/>
  <c r="AG106" i="7"/>
  <c r="DU97" i="4"/>
  <c r="AN90" i="24"/>
  <c r="AN102" i="24"/>
  <c r="FF118" i="4"/>
  <c r="AJ118" i="4" s="1"/>
  <c r="AJ118" i="1" s="1"/>
  <c r="AJ118" i="7"/>
  <c r="CY87" i="24"/>
  <c r="CY99" i="24"/>
  <c r="FI196" i="4"/>
  <c r="AM196" i="4" s="1"/>
  <c r="AM196" i="1" s="1"/>
  <c r="BT92" i="24"/>
  <c r="BT104" i="24"/>
  <c r="FD158" i="4"/>
  <c r="AH158" i="4" s="1"/>
  <c r="FD157" i="7"/>
  <c r="AH158" i="7"/>
  <c r="DQ157" i="4"/>
  <c r="Z165" i="1"/>
  <c r="Z164" i="1" s="1"/>
  <c r="Z164" i="4"/>
  <c r="BF70" i="4"/>
  <c r="X14" i="1"/>
  <c r="X13" i="1" s="1"/>
  <c r="X6" i="1" s="1"/>
  <c r="X13" i="4"/>
  <c r="X6" i="4" s="1"/>
  <c r="AI247" i="7"/>
  <c r="CW90" i="24"/>
  <c r="CW102" i="24"/>
  <c r="FF193" i="7"/>
  <c r="FF194" i="4"/>
  <c r="AJ194" i="4" s="1"/>
  <c r="AJ194" i="7"/>
  <c r="DI193" i="4"/>
  <c r="DU194" i="4"/>
  <c r="DO138" i="4"/>
  <c r="BL90" i="24"/>
  <c r="BL102" i="24"/>
  <c r="FF145" i="4"/>
  <c r="AJ145" i="4" s="1"/>
  <c r="AJ145" i="1" s="1"/>
  <c r="AJ145" i="7"/>
  <c r="DV104" i="24"/>
  <c r="DV92" i="24"/>
  <c r="FD226" i="4"/>
  <c r="AH226" i="4" s="1"/>
  <c r="AH226" i="1" s="1"/>
  <c r="AH226" i="7"/>
  <c r="CY230" i="7"/>
  <c r="DI106" i="24"/>
  <c r="DI94" i="24"/>
  <c r="FB207" i="4"/>
  <c r="AF207" i="4" s="1"/>
  <c r="AF207" i="1" s="1"/>
  <c r="AF207" i="7"/>
  <c r="O35" i="1"/>
  <c r="AA35" i="4"/>
  <c r="V224" i="1"/>
  <c r="V223" i="1" s="1"/>
  <c r="V223" i="4"/>
  <c r="FK243" i="7"/>
  <c r="EY243" i="4"/>
  <c r="AC243" i="7"/>
  <c r="FF244" i="4"/>
  <c r="AJ244" i="4" s="1"/>
  <c r="AJ244" i="1" s="1"/>
  <c r="AJ244" i="7"/>
  <c r="BB98" i="24"/>
  <c r="BB86" i="24"/>
  <c r="FJ134" i="4"/>
  <c r="FJ133" i="7"/>
  <c r="AN134" i="7"/>
  <c r="BJ98" i="24"/>
  <c r="BJ86" i="24"/>
  <c r="FJ143" i="4"/>
  <c r="AN143" i="4" s="1"/>
  <c r="AN143" i="1" s="1"/>
  <c r="AN143" i="7"/>
  <c r="AL141" i="7"/>
  <c r="AB141" i="7" s="1"/>
  <c r="W150" i="4"/>
  <c r="W151" i="1"/>
  <c r="EZ243" i="4"/>
  <c r="AD243" i="4" s="1"/>
  <c r="AD243" i="1" s="1"/>
  <c r="AD243" i="7"/>
  <c r="S179" i="1"/>
  <c r="S178" i="1" s="1"/>
  <c r="S178" i="4"/>
  <c r="DO209" i="4"/>
  <c r="Y108" i="24"/>
  <c r="Y96" i="24"/>
  <c r="EZ98" i="4"/>
  <c r="AD98" i="4" s="1"/>
  <c r="AD98" i="1" s="1"/>
  <c r="AD98" i="7"/>
  <c r="BN108" i="24"/>
  <c r="BN96" i="24"/>
  <c r="EZ148" i="4"/>
  <c r="AD148" i="4" s="1"/>
  <c r="AD148" i="1" s="1"/>
  <c r="AD148" i="7"/>
  <c r="BV88" i="24"/>
  <c r="BV100" i="24"/>
  <c r="FH160" i="4"/>
  <c r="AL160" i="4" s="1"/>
  <c r="AL160" i="1" s="1"/>
  <c r="AL160" i="7"/>
  <c r="AB160" i="7" s="1"/>
  <c r="AM96" i="24"/>
  <c r="AM108" i="24"/>
  <c r="EZ117" i="4"/>
  <c r="AD117" i="4" s="1"/>
  <c r="EZ116" i="7"/>
  <c r="AD117" i="7"/>
  <c r="AG60" i="7"/>
  <c r="DN104" i="4"/>
  <c r="P214" i="4"/>
  <c r="P215" i="1"/>
  <c r="P214" i="1" s="1"/>
  <c r="BY98" i="24"/>
  <c r="BY86" i="24"/>
  <c r="FJ164" i="7"/>
  <c r="FJ165" i="4"/>
  <c r="AN165" i="7"/>
  <c r="FB245" i="4"/>
  <c r="AF245" i="4" s="1"/>
  <c r="AF245" i="1" s="1"/>
  <c r="AF245" i="7"/>
  <c r="BD96" i="24"/>
  <c r="BD108" i="24"/>
  <c r="EZ136" i="4"/>
  <c r="AD136" i="4" s="1"/>
  <c r="AD136" i="1" s="1"/>
  <c r="AD136" i="7"/>
  <c r="BF90" i="24"/>
  <c r="BF102" i="24"/>
  <c r="FF139" i="4"/>
  <c r="FF138" i="7"/>
  <c r="AJ139" i="7"/>
  <c r="DU98" i="24"/>
  <c r="DU86" i="24"/>
  <c r="FJ225" i="4"/>
  <c r="AN225" i="4" s="1"/>
  <c r="AN225" i="1" s="1"/>
  <c r="AN225" i="7"/>
  <c r="BA108" i="24"/>
  <c r="BA96" i="24"/>
  <c r="EZ132" i="4"/>
  <c r="AD132" i="4" s="1"/>
  <c r="AD132" i="1" s="1"/>
  <c r="AD132" i="7"/>
  <c r="AD129" i="7" s="1"/>
  <c r="V117" i="1"/>
  <c r="V116" i="1" s="1"/>
  <c r="V116" i="4"/>
  <c r="DT108" i="24"/>
  <c r="DT96" i="24"/>
  <c r="EZ224" i="4"/>
  <c r="AD224" i="4" s="1"/>
  <c r="EZ223" i="7"/>
  <c r="EZ218" i="7" s="1"/>
  <c r="AD224" i="7"/>
  <c r="CL88" i="24"/>
  <c r="CL100" i="24"/>
  <c r="FH180" i="4"/>
  <c r="AL180" i="4" s="1"/>
  <c r="AL180" i="1" s="1"/>
  <c r="AL180" i="7"/>
  <c r="AB180" i="7" s="1"/>
  <c r="R87" i="4"/>
  <c r="R88" i="1"/>
  <c r="R87" i="1" s="1"/>
  <c r="DU125" i="4"/>
  <c r="DF90" i="24"/>
  <c r="DF102" i="24"/>
  <c r="FF203" i="4"/>
  <c r="AJ203" i="4" s="1"/>
  <c r="AJ203" i="1" s="1"/>
  <c r="AJ203" i="7"/>
  <c r="DB96" i="24"/>
  <c r="DB108" i="24"/>
  <c r="EZ199" i="4"/>
  <c r="AD199" i="4" s="1"/>
  <c r="AD199" i="1" s="1"/>
  <c r="AD199" i="7"/>
  <c r="DG87" i="24"/>
  <c r="DG99" i="24"/>
  <c r="FI204" i="4"/>
  <c r="AM204" i="4" s="1"/>
  <c r="AM204" i="1" s="1"/>
  <c r="AM204" i="7"/>
  <c r="DP157" i="4"/>
  <c r="CC105" i="24"/>
  <c r="CC93" i="24"/>
  <c r="FC169" i="4"/>
  <c r="AG169" i="4" s="1"/>
  <c r="AG169" i="1" s="1"/>
  <c r="AG169" i="7"/>
  <c r="DU198" i="4"/>
  <c r="Y87" i="4"/>
  <c r="Y88" i="1"/>
  <c r="Y87" i="1" s="1"/>
  <c r="O226" i="1"/>
  <c r="AA226" i="4"/>
  <c r="CH105" i="24"/>
  <c r="CH93" i="24"/>
  <c r="FC175" i="4"/>
  <c r="AG175" i="4" s="1"/>
  <c r="AG175" i="1" s="1"/>
  <c r="U179" i="1"/>
  <c r="U178" i="1" s="1"/>
  <c r="U178" i="4"/>
  <c r="FK40" i="7"/>
  <c r="EY40" i="4"/>
  <c r="AC40" i="7"/>
  <c r="BH94" i="24"/>
  <c r="BH106" i="24"/>
  <c r="FB141" i="4"/>
  <c r="AF141" i="4" s="1"/>
  <c r="AF141" i="1" s="1"/>
  <c r="AF141" i="7"/>
  <c r="FK110" i="7"/>
  <c r="AI109" i="24"/>
  <c r="AI97" i="24"/>
  <c r="EY110" i="4"/>
  <c r="AC110" i="7"/>
  <c r="CP90" i="24"/>
  <c r="CP102" i="24"/>
  <c r="FF185" i="4"/>
  <c r="AJ185" i="4" s="1"/>
  <c r="AJ185" i="1" s="1"/>
  <c r="AJ185" i="7"/>
  <c r="AK94" i="24"/>
  <c r="AK106" i="24"/>
  <c r="FB112" i="4"/>
  <c r="AF112" i="4" s="1"/>
  <c r="AF112" i="1" s="1"/>
  <c r="AF112" i="7"/>
  <c r="AA139" i="4"/>
  <c r="O139" i="1"/>
  <c r="O138" i="4"/>
  <c r="BS95" i="24"/>
  <c r="BS107" i="24"/>
  <c r="FA154" i="4"/>
  <c r="AE154" i="4" s="1"/>
  <c r="AE154" i="1" s="1"/>
  <c r="AE154" i="7"/>
  <c r="L90" i="24"/>
  <c r="L102" i="24"/>
  <c r="FF82" i="4"/>
  <c r="AJ82" i="4" s="1"/>
  <c r="AJ82" i="1" s="1"/>
  <c r="AJ82" i="7"/>
  <c r="AN89" i="24"/>
  <c r="AN101" i="24"/>
  <c r="FG118" i="4"/>
  <c r="AK118" i="7"/>
  <c r="DN76" i="4"/>
  <c r="DO93" i="24"/>
  <c r="DO105" i="24"/>
  <c r="FC214" i="7"/>
  <c r="FC215" i="4"/>
  <c r="AG215" i="7"/>
  <c r="AG214" i="7" s="1"/>
  <c r="AC60" i="7"/>
  <c r="AO61" i="7"/>
  <c r="CY96" i="24"/>
  <c r="CY108" i="24"/>
  <c r="EZ196" i="4"/>
  <c r="AD196" i="4" s="1"/>
  <c r="AD196" i="1" s="1"/>
  <c r="AD196" i="7"/>
  <c r="BT91" i="24"/>
  <c r="BT103" i="24"/>
  <c r="FE157" i="7"/>
  <c r="FE158" i="4"/>
  <c r="AI158" i="7"/>
  <c r="R60" i="4"/>
  <c r="R61" i="1"/>
  <c r="R60" i="1" s="1"/>
  <c r="CW101" i="24"/>
  <c r="CW89" i="24"/>
  <c r="FG193" i="7"/>
  <c r="EX193" i="7" s="1"/>
  <c r="FG194" i="4"/>
  <c r="AK194" i="7"/>
  <c r="EY30" i="4"/>
  <c r="AC30" i="4" s="1"/>
  <c r="AC30" i="7"/>
  <c r="AA173" i="4"/>
  <c r="O172" i="4"/>
  <c r="O173" i="1"/>
  <c r="BO98" i="24"/>
  <c r="BO86" i="24"/>
  <c r="FJ149" i="4"/>
  <c r="AN149" i="4" s="1"/>
  <c r="AN149" i="1" s="1"/>
  <c r="AN149" i="7"/>
  <c r="DI87" i="24"/>
  <c r="DI99" i="24"/>
  <c r="FI207" i="4"/>
  <c r="AM207" i="4" s="1"/>
  <c r="AM207" i="1" s="1"/>
  <c r="Y107" i="24"/>
  <c r="Y95" i="24"/>
  <c r="FA98" i="4"/>
  <c r="AE98" i="4" s="1"/>
  <c r="AE98" i="1" s="1"/>
  <c r="AE98" i="7"/>
  <c r="BN95" i="24"/>
  <c r="BN107" i="24"/>
  <c r="FA148" i="4"/>
  <c r="AE148" i="4" s="1"/>
  <c r="AE148" i="1" s="1"/>
  <c r="AE148" i="7"/>
  <c r="BV87" i="24"/>
  <c r="BV99" i="24"/>
  <c r="FI160" i="4"/>
  <c r="AM160" i="4" s="1"/>
  <c r="AM160" i="1" s="1"/>
  <c r="AM160" i="7"/>
  <c r="AM95" i="24"/>
  <c r="AM107" i="24"/>
  <c r="FA117" i="4"/>
  <c r="FA116" i="7"/>
  <c r="AE117" i="7"/>
  <c r="BT230" i="7"/>
  <c r="BT231" i="7" s="1"/>
  <c r="W86" i="24"/>
  <c r="W98" i="24"/>
  <c r="FJ96" i="4"/>
  <c r="AN96" i="4" s="1"/>
  <c r="AN96" i="1" s="1"/>
  <c r="AN96" i="7"/>
  <c r="Z150" i="4"/>
  <c r="Z151" i="1"/>
  <c r="Z150" i="1" s="1"/>
  <c r="FD245" i="4"/>
  <c r="AH245" i="4" s="1"/>
  <c r="AH245" i="1" s="1"/>
  <c r="AH245" i="7"/>
  <c r="BD94" i="24"/>
  <c r="BD106" i="24"/>
  <c r="FB136" i="4"/>
  <c r="AF136" i="4" s="1"/>
  <c r="AF136" i="1" s="1"/>
  <c r="AF136" i="7"/>
  <c r="CR108" i="24"/>
  <c r="CR96" i="24"/>
  <c r="EZ188" i="4"/>
  <c r="EZ187" i="7"/>
  <c r="AD188" i="7"/>
  <c r="DJ193" i="4"/>
  <c r="AH88" i="7"/>
  <c r="AH87" i="7" s="1"/>
  <c r="BF89" i="24"/>
  <c r="BF101" i="24"/>
  <c r="FG139" i="4"/>
  <c r="FG138" i="7"/>
  <c r="EX138" i="7" s="1"/>
  <c r="AK139" i="7"/>
  <c r="Z31" i="1"/>
  <c r="Z29" i="1" s="1"/>
  <c r="Z29" i="4"/>
  <c r="DU107" i="24"/>
  <c r="DU95" i="24"/>
  <c r="FA225" i="4"/>
  <c r="AE225" i="4" s="1"/>
  <c r="AE225" i="1" s="1"/>
  <c r="AE225" i="7"/>
  <c r="BA94" i="24"/>
  <c r="BA106" i="24"/>
  <c r="FB132" i="4"/>
  <c r="AF132" i="4" s="1"/>
  <c r="AF132" i="1" s="1"/>
  <c r="AF132" i="7"/>
  <c r="DP164" i="4"/>
  <c r="DT89" i="24"/>
  <c r="DT101" i="24"/>
  <c r="FG223" i="7"/>
  <c r="FG224" i="4"/>
  <c r="AK224" i="7"/>
  <c r="AM207" i="7"/>
  <c r="FK180" i="7"/>
  <c r="CL109" i="24"/>
  <c r="CL97" i="24"/>
  <c r="EY180" i="4"/>
  <c r="AC180" i="7"/>
  <c r="AF201" i="7"/>
  <c r="DF89" i="24"/>
  <c r="DF101" i="24"/>
  <c r="FG203" i="4"/>
  <c r="AK203" i="7"/>
  <c r="DB107" i="24"/>
  <c r="DB95" i="24"/>
  <c r="FA199" i="4"/>
  <c r="AE199" i="4" s="1"/>
  <c r="AE199" i="1" s="1"/>
  <c r="AE199" i="7"/>
  <c r="DU94" i="4"/>
  <c r="DE230" i="7"/>
  <c r="CC91" i="24"/>
  <c r="CC103" i="24"/>
  <c r="FE169" i="4"/>
  <c r="AI169" i="4" s="1"/>
  <c r="AI169" i="1" s="1"/>
  <c r="AI169" i="7"/>
  <c r="EZ40" i="4"/>
  <c r="AD40" i="4" s="1"/>
  <c r="AD40" i="1" s="1"/>
  <c r="AD40" i="7"/>
  <c r="V51" i="1"/>
  <c r="V54" i="1" s="1"/>
  <c r="V54" i="4"/>
  <c r="BH87" i="24"/>
  <c r="BH99" i="24"/>
  <c r="FI141" i="4"/>
  <c r="AM141" i="4" s="1"/>
  <c r="AM141" i="1" s="1"/>
  <c r="AM141" i="7"/>
  <c r="AI95" i="24"/>
  <c r="AI107" i="24"/>
  <c r="FA110" i="4"/>
  <c r="AE110" i="4" s="1"/>
  <c r="AE110" i="1" s="1"/>
  <c r="CP88" i="24"/>
  <c r="CP100" i="24"/>
  <c r="FH185" i="4"/>
  <c r="AL185" i="4" s="1"/>
  <c r="AL185" i="1" s="1"/>
  <c r="AL185" i="7"/>
  <c r="AB185" i="7" s="1"/>
  <c r="AH41" i="7"/>
  <c r="DM193" i="4"/>
  <c r="P70" i="7"/>
  <c r="BS93" i="24"/>
  <c r="BS105" i="24"/>
  <c r="FC154" i="4"/>
  <c r="AG154" i="4" s="1"/>
  <c r="AG154" i="1" s="1"/>
  <c r="AG154" i="7"/>
  <c r="L89" i="24"/>
  <c r="L101" i="24"/>
  <c r="FG82" i="4"/>
  <c r="AK82" i="7"/>
  <c r="FK118" i="7"/>
  <c r="AN109" i="24"/>
  <c r="AN97" i="24"/>
  <c r="EY118" i="4"/>
  <c r="AC118" i="7"/>
  <c r="FG33" i="4"/>
  <c r="AK33" i="7"/>
  <c r="O107" i="1"/>
  <c r="AA107" i="4"/>
  <c r="O247" i="1"/>
  <c r="AA247" i="4"/>
  <c r="R108" i="24"/>
  <c r="R96" i="24"/>
  <c r="EZ91" i="4"/>
  <c r="EZ90" i="7"/>
  <c r="AD91" i="7"/>
  <c r="DO103" i="24"/>
  <c r="DO91" i="24"/>
  <c r="FE214" i="7"/>
  <c r="FE215" i="4"/>
  <c r="AI215" i="4" s="1"/>
  <c r="AI215" i="7"/>
  <c r="AI214" i="7" s="1"/>
  <c r="DU214" i="7"/>
  <c r="Z90" i="24"/>
  <c r="Z102" i="24"/>
  <c r="FF99" i="4"/>
  <c r="AJ99" i="4" s="1"/>
  <c r="AJ99" i="1" s="1"/>
  <c r="AJ99" i="7"/>
  <c r="DJ104" i="4"/>
  <c r="CZ156" i="4"/>
  <c r="V241" i="4"/>
  <c r="V242" i="1"/>
  <c r="V241" i="1" s="1"/>
  <c r="BH70" i="4"/>
  <c r="X92" i="24"/>
  <c r="X104" i="24"/>
  <c r="FD97" i="4"/>
  <c r="AH97" i="4" s="1"/>
  <c r="AH97" i="1" s="1"/>
  <c r="DU209" i="7"/>
  <c r="P134" i="1"/>
  <c r="P133" i="1" s="1"/>
  <c r="P133" i="4"/>
  <c r="BL87" i="24"/>
  <c r="BL99" i="24"/>
  <c r="FI145" i="4"/>
  <c r="AM145" i="4" s="1"/>
  <c r="AM145" i="1" s="1"/>
  <c r="AM145" i="7"/>
  <c r="DL88" i="24"/>
  <c r="DL100" i="24"/>
  <c r="FH211" i="4"/>
  <c r="AL211" i="4" s="1"/>
  <c r="AL211" i="1" s="1"/>
  <c r="AL211" i="7"/>
  <c r="AB211" i="7" s="1"/>
  <c r="CU70" i="4"/>
  <c r="FK147" i="7"/>
  <c r="BM97" i="24"/>
  <c r="BM109" i="24"/>
  <c r="EY147" i="4"/>
  <c r="EY146" i="7"/>
  <c r="AC147" i="7"/>
  <c r="AH97" i="7"/>
  <c r="U88" i="24"/>
  <c r="U100" i="24"/>
  <c r="FH94" i="4"/>
  <c r="AL94" i="4" s="1"/>
  <c r="AL94" i="1" s="1"/>
  <c r="AL94" i="7"/>
  <c r="AB94" i="7" s="1"/>
  <c r="BB93" i="24"/>
  <c r="BB105" i="24"/>
  <c r="FC134" i="4"/>
  <c r="FC133" i="7"/>
  <c r="AG134" i="7"/>
  <c r="BQ86" i="24"/>
  <c r="BQ98" i="24"/>
  <c r="FJ152" i="4"/>
  <c r="AN152" i="4" s="1"/>
  <c r="AN152" i="1" s="1"/>
  <c r="AN152" i="7"/>
  <c r="T95" i="24"/>
  <c r="T107" i="24"/>
  <c r="FA93" i="4"/>
  <c r="AE93" i="4" s="1"/>
  <c r="AE93" i="1" s="1"/>
  <c r="AE93" i="7"/>
  <c r="CZ93" i="24"/>
  <c r="CZ105" i="24"/>
  <c r="FC197" i="4"/>
  <c r="AG197" i="4" s="1"/>
  <c r="AG197" i="1" s="1"/>
  <c r="AG197" i="7"/>
  <c r="R206" i="1"/>
  <c r="R205" i="1" s="1"/>
  <c r="R205" i="4"/>
  <c r="BQ107" i="24"/>
  <c r="BQ95" i="24"/>
  <c r="FA152" i="4"/>
  <c r="AE152" i="4" s="1"/>
  <c r="AE152" i="1" s="1"/>
  <c r="AE152" i="7"/>
  <c r="T94" i="24"/>
  <c r="T106" i="24"/>
  <c r="FB93" i="4"/>
  <c r="AF93" i="4" s="1"/>
  <c r="AF93" i="1" s="1"/>
  <c r="AF93" i="7"/>
  <c r="H87" i="24"/>
  <c r="H99" i="24"/>
  <c r="FI78" i="4"/>
  <c r="AM78" i="4" s="1"/>
  <c r="AM78" i="1" s="1"/>
  <c r="AM78" i="7"/>
  <c r="FK208" i="7"/>
  <c r="DJ97" i="24"/>
  <c r="DJ109" i="24"/>
  <c r="EY208" i="4"/>
  <c r="AC208" i="7"/>
  <c r="FG44" i="4"/>
  <c r="AK44" i="4" s="1"/>
  <c r="AK44" i="1" s="1"/>
  <c r="AK44" i="7"/>
  <c r="S151" i="1"/>
  <c r="S150" i="1" s="1"/>
  <c r="S150" i="4"/>
  <c r="H98" i="24"/>
  <c r="H86" i="24"/>
  <c r="FJ78" i="4"/>
  <c r="AN78" i="4" s="1"/>
  <c r="AN78" i="1" s="1"/>
  <c r="AN78" i="7"/>
  <c r="AD120" i="7"/>
  <c r="X77" i="1"/>
  <c r="X76" i="1" s="1"/>
  <c r="X76" i="4"/>
  <c r="O136" i="1"/>
  <c r="AA136" i="4"/>
  <c r="BT87" i="4"/>
  <c r="BT75" i="4" s="1"/>
  <c r="FK196" i="7"/>
  <c r="CY97" i="24"/>
  <c r="CY109" i="24"/>
  <c r="EY196" i="4"/>
  <c r="AC196" i="7"/>
  <c r="AO64" i="7"/>
  <c r="EO156" i="4"/>
  <c r="P61" i="1"/>
  <c r="P60" i="1" s="1"/>
  <c r="P60" i="4"/>
  <c r="S157" i="4"/>
  <c r="S158" i="1"/>
  <c r="S157" i="1" s="1"/>
  <c r="DN29" i="4"/>
  <c r="DN70" i="4" s="1"/>
  <c r="DU189" i="4"/>
  <c r="P13" i="4"/>
  <c r="P6" i="4" s="1"/>
  <c r="P14" i="1"/>
  <c r="P13" i="1" s="1"/>
  <c r="P6" i="1" s="1"/>
  <c r="S27" i="4"/>
  <c r="S24" i="1"/>
  <c r="S27" i="1" s="1"/>
  <c r="CA88" i="24"/>
  <c r="CA100" i="24"/>
  <c r="FH167" i="4"/>
  <c r="AL167" i="4" s="1"/>
  <c r="AL167" i="1" s="1"/>
  <c r="AL167" i="7"/>
  <c r="AB167" i="7" s="1"/>
  <c r="U129" i="4"/>
  <c r="U130" i="1"/>
  <c r="U129" i="1" s="1"/>
  <c r="DE103" i="24"/>
  <c r="DE91" i="24"/>
  <c r="FE202" i="4"/>
  <c r="AI202" i="4" s="1"/>
  <c r="AI202" i="1" s="1"/>
  <c r="AI202" i="7"/>
  <c r="BO95" i="24"/>
  <c r="BO107" i="24"/>
  <c r="FA149" i="4"/>
  <c r="AE149" i="4" s="1"/>
  <c r="AE149" i="1" s="1"/>
  <c r="AE149" i="7"/>
  <c r="FK247" i="7"/>
  <c r="EY247" i="4"/>
  <c r="AC247" i="4" s="1"/>
  <c r="AC247" i="7"/>
  <c r="AA62" i="4"/>
  <c r="O62" i="1"/>
  <c r="BL106" i="24"/>
  <c r="BL94" i="24"/>
  <c r="FB145" i="4"/>
  <c r="AF145" i="4" s="1"/>
  <c r="AF145" i="1" s="1"/>
  <c r="AF145" i="7"/>
  <c r="O133" i="4"/>
  <c r="AA134" i="4"/>
  <c r="O134" i="1"/>
  <c r="T223" i="4"/>
  <c r="T224" i="1"/>
  <c r="T223" i="1" s="1"/>
  <c r="Y77" i="1"/>
  <c r="Y76" i="1" s="1"/>
  <c r="Y76" i="4"/>
  <c r="Y183" i="1"/>
  <c r="Y182" i="1" s="1"/>
  <c r="Y182" i="4"/>
  <c r="V90" i="4"/>
  <c r="V91" i="1"/>
  <c r="V90" i="1" s="1"/>
  <c r="FK246" i="7"/>
  <c r="EY246" i="4"/>
  <c r="AC246" i="4" s="1"/>
  <c r="AC246" i="7"/>
  <c r="X87" i="4"/>
  <c r="X88" i="1"/>
  <c r="X87" i="1" s="1"/>
  <c r="FK207" i="7"/>
  <c r="DI109" i="24"/>
  <c r="DI97" i="24"/>
  <c r="EY207" i="4"/>
  <c r="AC207" i="7"/>
  <c r="U94" i="24"/>
  <c r="U106" i="24"/>
  <c r="FB94" i="4"/>
  <c r="AF94" i="4" s="1"/>
  <c r="AF94" i="1" s="1"/>
  <c r="AF94" i="7"/>
  <c r="BS72" i="7"/>
  <c r="DH87" i="24"/>
  <c r="DH99" i="24"/>
  <c r="FI206" i="4"/>
  <c r="FI205" i="7"/>
  <c r="AM206" i="7"/>
  <c r="Q116" i="4"/>
  <c r="Q117" i="1"/>
  <c r="Q116" i="1" s="1"/>
  <c r="O75" i="7"/>
  <c r="J88" i="24"/>
  <c r="J100" i="24"/>
  <c r="FH80" i="4"/>
  <c r="AL80" i="4" s="1"/>
  <c r="AL80" i="1" s="1"/>
  <c r="DS115" i="7"/>
  <c r="BX91" i="24"/>
  <c r="BX103" i="24"/>
  <c r="FE162" i="4"/>
  <c r="AI162" i="4" s="1"/>
  <c r="AI162" i="1" s="1"/>
  <c r="AI162" i="7"/>
  <c r="BB90" i="24"/>
  <c r="BB102" i="24"/>
  <c r="FF134" i="4"/>
  <c r="FF133" i="7"/>
  <c r="AJ134" i="7"/>
  <c r="O87" i="24"/>
  <c r="O99" i="24"/>
  <c r="FI85" i="4"/>
  <c r="AM85" i="4" s="1"/>
  <c r="AM85" i="1" s="1"/>
  <c r="AM85" i="7"/>
  <c r="BQ93" i="24"/>
  <c r="BQ105" i="24"/>
  <c r="FC152" i="4"/>
  <c r="AG152" i="4" s="1"/>
  <c r="AG152" i="1" s="1"/>
  <c r="AG152" i="7"/>
  <c r="AZ87" i="24"/>
  <c r="AZ99" i="24"/>
  <c r="FI131" i="4"/>
  <c r="AM131" i="4" s="1"/>
  <c r="AM131" i="1" s="1"/>
  <c r="DJ182" i="4"/>
  <c r="FK143" i="7"/>
  <c r="BJ97" i="24"/>
  <c r="BJ109" i="24"/>
  <c r="EY143" i="4"/>
  <c r="AC143" i="7"/>
  <c r="S224" i="1"/>
  <c r="S223" i="1" s="1"/>
  <c r="S223" i="4"/>
  <c r="FE42" i="4"/>
  <c r="AI42" i="4" s="1"/>
  <c r="AI42" i="1" s="1"/>
  <c r="AI42" i="7"/>
  <c r="FF44" i="4"/>
  <c r="AJ44" i="4" s="1"/>
  <c r="AJ44" i="1" s="1"/>
  <c r="AJ44" i="7"/>
  <c r="CU6" i="4"/>
  <c r="DG6" i="4" s="1"/>
  <c r="DG13" i="4"/>
  <c r="BW115" i="4"/>
  <c r="H93" i="24"/>
  <c r="H105" i="24"/>
  <c r="FC78" i="4"/>
  <c r="AG78" i="4" s="1"/>
  <c r="AG78" i="1" s="1"/>
  <c r="AG78" i="7"/>
  <c r="FF243" i="4"/>
  <c r="AJ243" i="4" s="1"/>
  <c r="AJ243" i="1" s="1"/>
  <c r="AJ243" i="7"/>
  <c r="Q105" i="1"/>
  <c r="Q104" i="1" s="1"/>
  <c r="Q104" i="4"/>
  <c r="CK91" i="24"/>
  <c r="CK103" i="24"/>
  <c r="FE178" i="7"/>
  <c r="FE179" i="4"/>
  <c r="AI179" i="4" s="1"/>
  <c r="AI179" i="7"/>
  <c r="FI244" i="4"/>
  <c r="AM244" i="4" s="1"/>
  <c r="AM244" i="1" s="1"/>
  <c r="AM244" i="7"/>
  <c r="CJ90" i="24"/>
  <c r="CJ102" i="24"/>
  <c r="FF177" i="4"/>
  <c r="AJ177" i="4" s="1"/>
  <c r="AJ177" i="1" s="1"/>
  <c r="DG58" i="4"/>
  <c r="BI156" i="4"/>
  <c r="DU137" i="4"/>
  <c r="DU149" i="4"/>
  <c r="CA87" i="24"/>
  <c r="CA99" i="24"/>
  <c r="FI167" i="4"/>
  <c r="AM167" i="4" s="1"/>
  <c r="AM167" i="1" s="1"/>
  <c r="AM167" i="7"/>
  <c r="DE90" i="24"/>
  <c r="DE102" i="24"/>
  <c r="FF202" i="4"/>
  <c r="AJ202" i="4" s="1"/>
  <c r="AJ202" i="1" s="1"/>
  <c r="BO105" i="24"/>
  <c r="BO93" i="24"/>
  <c r="FC149" i="4"/>
  <c r="AG149" i="4" s="1"/>
  <c r="AG149" i="1" s="1"/>
  <c r="AG149" i="7"/>
  <c r="EZ247" i="4"/>
  <c r="AD247" i="4" s="1"/>
  <c r="AD247" i="1" s="1"/>
  <c r="AD247" i="7"/>
  <c r="AD227" i="7"/>
  <c r="AO228" i="7"/>
  <c r="CE150" i="4"/>
  <c r="FF60" i="4"/>
  <c r="AJ61" i="4"/>
  <c r="DV107" i="24"/>
  <c r="DV95" i="24"/>
  <c r="FA226" i="4"/>
  <c r="AE226" i="4" s="1"/>
  <c r="AE226" i="1" s="1"/>
  <c r="AE226" i="7"/>
  <c r="DM157" i="4"/>
  <c r="DK86" i="24"/>
  <c r="DK98" i="24"/>
  <c r="FJ210" i="4"/>
  <c r="FJ209" i="7"/>
  <c r="AN210" i="7"/>
  <c r="AN209" i="7" s="1"/>
  <c r="BO75" i="4"/>
  <c r="O183" i="1"/>
  <c r="O182" i="4"/>
  <c r="AA183" i="4"/>
  <c r="EZ246" i="4"/>
  <c r="AD246" i="4" s="1"/>
  <c r="AD246" i="1" s="1"/>
  <c r="AD246" i="7"/>
  <c r="EZ242" i="4"/>
  <c r="AD242" i="4" s="1"/>
  <c r="EZ241" i="7"/>
  <c r="AD242" i="7"/>
  <c r="DN95" i="24"/>
  <c r="DN107" i="24"/>
  <c r="FA213" i="4"/>
  <c r="AE213" i="4" s="1"/>
  <c r="AE213" i="1" s="1"/>
  <c r="AE213" i="7"/>
  <c r="U87" i="24"/>
  <c r="U99" i="24"/>
  <c r="FI94" i="4"/>
  <c r="AM94" i="4" s="1"/>
  <c r="AM94" i="1" s="1"/>
  <c r="AM94" i="7"/>
  <c r="BI100" i="24"/>
  <c r="BI88" i="24"/>
  <c r="FH142" i="4"/>
  <c r="AL142" i="4" s="1"/>
  <c r="AL142" i="1" s="1"/>
  <c r="AL142" i="7"/>
  <c r="AB142" i="7" s="1"/>
  <c r="DH96" i="24"/>
  <c r="DH108" i="24"/>
  <c r="EZ206" i="4"/>
  <c r="AD206" i="4" s="1"/>
  <c r="EZ205" i="7"/>
  <c r="AA76" i="7"/>
  <c r="J102" i="24"/>
  <c r="J90" i="24"/>
  <c r="FF80" i="4"/>
  <c r="AJ80" i="4" s="1"/>
  <c r="AJ80" i="1" s="1"/>
  <c r="AJ80" i="7"/>
  <c r="Q51" i="1"/>
  <c r="Q54" i="1" s="1"/>
  <c r="Q54" i="4"/>
  <c r="DS116" i="4"/>
  <c r="BQ92" i="24"/>
  <c r="BQ104" i="24"/>
  <c r="FD152" i="4"/>
  <c r="AH152" i="4" s="1"/>
  <c r="AH152" i="1" s="1"/>
  <c r="AZ86" i="24"/>
  <c r="AZ98" i="24"/>
  <c r="FJ131" i="4"/>
  <c r="AN131" i="4" s="1"/>
  <c r="AN131" i="1" s="1"/>
  <c r="O229" i="1"/>
  <c r="AA229" i="4"/>
  <c r="BJ95" i="24"/>
  <c r="BJ107" i="24"/>
  <c r="FA143" i="4"/>
  <c r="AE143" i="4" s="1"/>
  <c r="AE143" i="1" s="1"/>
  <c r="AE143" i="7"/>
  <c r="T24" i="1"/>
  <c r="T27" i="1" s="1"/>
  <c r="T27" i="4"/>
  <c r="Q76" i="24"/>
  <c r="DR87" i="7"/>
  <c r="DR88" i="4"/>
  <c r="DR87" i="4" s="1"/>
  <c r="AL88" i="7"/>
  <c r="FI44" i="4"/>
  <c r="AM44" i="4" s="1"/>
  <c r="AM44" i="1" s="1"/>
  <c r="AM44" i="7"/>
  <c r="O144" i="1"/>
  <c r="AA144" i="4"/>
  <c r="T14" i="1"/>
  <c r="T13" i="1" s="1"/>
  <c r="T6" i="1" s="1"/>
  <c r="T13" i="4"/>
  <c r="T6" i="4" s="1"/>
  <c r="CK90" i="24"/>
  <c r="CK102" i="24"/>
  <c r="FF178" i="7"/>
  <c r="FF179" i="4"/>
  <c r="AJ179" i="4" s="1"/>
  <c r="AJ179" i="7"/>
  <c r="BU156" i="4"/>
  <c r="R214" i="4"/>
  <c r="R215" i="1"/>
  <c r="R214" i="1" s="1"/>
  <c r="DC100" i="24"/>
  <c r="DC88" i="24"/>
  <c r="FH200" i="4"/>
  <c r="AL200" i="4" s="1"/>
  <c r="AL200" i="1" s="1"/>
  <c r="AL200" i="7"/>
  <c r="AB200" i="7" s="1"/>
  <c r="FG32" i="4"/>
  <c r="AK32" i="7"/>
  <c r="I93" i="24"/>
  <c r="I105" i="24"/>
  <c r="FC79" i="4"/>
  <c r="AG79" i="4" s="1"/>
  <c r="AG79" i="1" s="1"/>
  <c r="AG79" i="7"/>
  <c r="O185" i="1"/>
  <c r="AA185" i="4"/>
  <c r="DL76" i="4"/>
  <c r="O169" i="1"/>
  <c r="AA169" i="4"/>
  <c r="DN172" i="4"/>
  <c r="CA95" i="24"/>
  <c r="CA107" i="24"/>
  <c r="FA167" i="4"/>
  <c r="AE167" i="4" s="1"/>
  <c r="AE167" i="1" s="1"/>
  <c r="AE167" i="7"/>
  <c r="FJ30" i="4"/>
  <c r="AN30" i="4" s="1"/>
  <c r="AN30" i="1" s="1"/>
  <c r="AN30" i="7"/>
  <c r="CD72" i="7"/>
  <c r="BO91" i="24"/>
  <c r="BO103" i="24"/>
  <c r="FE149" i="4"/>
  <c r="AI149" i="4" s="1"/>
  <c r="AI149" i="1" s="1"/>
  <c r="AI149" i="7"/>
  <c r="EW150" i="4"/>
  <c r="AO62" i="7"/>
  <c r="DV93" i="24"/>
  <c r="DV105" i="24"/>
  <c r="FC226" i="4"/>
  <c r="AG226" i="4" s="1"/>
  <c r="AG226" i="1" s="1"/>
  <c r="AG226" i="7"/>
  <c r="DM156" i="7"/>
  <c r="DK107" i="24"/>
  <c r="DK95" i="24"/>
  <c r="FA210" i="4"/>
  <c r="AE210" i="4" s="1"/>
  <c r="FA209" i="7"/>
  <c r="AE210" i="7"/>
  <c r="BH71" i="7"/>
  <c r="FF242" i="4"/>
  <c r="AJ242" i="4" s="1"/>
  <c r="FF241" i="7"/>
  <c r="AJ242" i="7"/>
  <c r="DN106" i="24"/>
  <c r="DN94" i="24"/>
  <c r="FB213" i="4"/>
  <c r="AF213" i="4" s="1"/>
  <c r="AF213" i="1" s="1"/>
  <c r="AF213" i="7"/>
  <c r="DO38" i="4"/>
  <c r="U98" i="24"/>
  <c r="U86" i="24"/>
  <c r="FJ94" i="4"/>
  <c r="AN94" i="4" s="1"/>
  <c r="AN94" i="1" s="1"/>
  <c r="AN94" i="7"/>
  <c r="BI92" i="24"/>
  <c r="BI104" i="24"/>
  <c r="FD142" i="4"/>
  <c r="AH142" i="4" s="1"/>
  <c r="AH142" i="1" s="1"/>
  <c r="AH142" i="7"/>
  <c r="DH93" i="24"/>
  <c r="DH105" i="24"/>
  <c r="FC206" i="4"/>
  <c r="AG206" i="4" s="1"/>
  <c r="FC205" i="7"/>
  <c r="AG206" i="7"/>
  <c r="J89" i="24"/>
  <c r="J101" i="24"/>
  <c r="FG80" i="4"/>
  <c r="AK80" i="7"/>
  <c r="CU43" i="4"/>
  <c r="CU47" i="4" s="1"/>
  <c r="BQ89" i="24"/>
  <c r="BQ101" i="24"/>
  <c r="FG152" i="4"/>
  <c r="AK152" i="7"/>
  <c r="DU152" i="4"/>
  <c r="AZ93" i="24"/>
  <c r="AZ105" i="24"/>
  <c r="FC131" i="4"/>
  <c r="AG131" i="4" s="1"/>
  <c r="AG131" i="1" s="1"/>
  <c r="AG131" i="7"/>
  <c r="AH92" i="24"/>
  <c r="AH104" i="24"/>
  <c r="FD109" i="4"/>
  <c r="AH109" i="4" s="1"/>
  <c r="AH109" i="1" s="1"/>
  <c r="AH109" i="7"/>
  <c r="BJ105" i="24"/>
  <c r="BJ93" i="24"/>
  <c r="FC143" i="4"/>
  <c r="AG143" i="4" s="1"/>
  <c r="AG143" i="1" s="1"/>
  <c r="AG143" i="7"/>
  <c r="AF227" i="4"/>
  <c r="AF228" i="1"/>
  <c r="AF227" i="1" s="1"/>
  <c r="P242" i="1"/>
  <c r="P241" i="1" s="1"/>
  <c r="P241" i="4"/>
  <c r="FK44" i="7"/>
  <c r="EY44" i="4"/>
  <c r="DJ156" i="7"/>
  <c r="U173" i="1"/>
  <c r="U172" i="1" s="1"/>
  <c r="U172" i="4"/>
  <c r="AA98" i="24"/>
  <c r="AA86" i="24"/>
  <c r="FJ100" i="4"/>
  <c r="AN100" i="4" s="1"/>
  <c r="AN100" i="1" s="1"/>
  <c r="AN100" i="7"/>
  <c r="DU123" i="4"/>
  <c r="CQ106" i="24"/>
  <c r="CQ94" i="24"/>
  <c r="FB186" i="4"/>
  <c r="AF186" i="4" s="1"/>
  <c r="AF186" i="1" s="1"/>
  <c r="AF186" i="7"/>
  <c r="BU93" i="24"/>
  <c r="BU105" i="24"/>
  <c r="FC159" i="4"/>
  <c r="AG159" i="4" s="1"/>
  <c r="AG159" i="1" s="1"/>
  <c r="AG159" i="7"/>
  <c r="DG129" i="4"/>
  <c r="AY95" i="24"/>
  <c r="AY107" i="24"/>
  <c r="FA130" i="4"/>
  <c r="AE130" i="4" s="1"/>
  <c r="FA129" i="7"/>
  <c r="AE130" i="7"/>
  <c r="CC43" i="4"/>
  <c r="CC47" i="4" s="1"/>
  <c r="CC71" i="4" s="1"/>
  <c r="DQ223" i="4"/>
  <c r="DU186" i="4"/>
  <c r="BF115" i="4"/>
  <c r="BQ187" i="4"/>
  <c r="BZ70" i="4"/>
  <c r="DC98" i="24"/>
  <c r="DC86" i="24"/>
  <c r="FJ200" i="4"/>
  <c r="AN200" i="4" s="1"/>
  <c r="AN200" i="1" s="1"/>
  <c r="AN200" i="7"/>
  <c r="FH32" i="4"/>
  <c r="AL32" i="4" s="1"/>
  <c r="AL32" i="1" s="1"/>
  <c r="AL32" i="7"/>
  <c r="AB32" i="7" s="1"/>
  <c r="BZ87" i="24"/>
  <c r="BZ99" i="24"/>
  <c r="FI166" i="4"/>
  <c r="AM166" i="4" s="1"/>
  <c r="AM166" i="1" s="1"/>
  <c r="AM166" i="7"/>
  <c r="I92" i="24"/>
  <c r="I104" i="24"/>
  <c r="FD79" i="4"/>
  <c r="AH79" i="4" s="1"/>
  <c r="AH79" i="1" s="1"/>
  <c r="AH79" i="7"/>
  <c r="BV72" i="7"/>
  <c r="DU162" i="4"/>
  <c r="O64" i="1"/>
  <c r="AA64" i="4"/>
  <c r="DK94" i="24"/>
  <c r="DK106" i="24"/>
  <c r="FB210" i="4"/>
  <c r="FB209" i="7"/>
  <c r="AF210" i="7"/>
  <c r="DU93" i="4"/>
  <c r="BK87" i="24"/>
  <c r="BK99" i="24"/>
  <c r="FI144" i="4"/>
  <c r="AM144" i="4" s="1"/>
  <c r="AM144" i="1" s="1"/>
  <c r="AM144" i="7"/>
  <c r="FE60" i="4"/>
  <c r="AI61" i="4"/>
  <c r="FI242" i="4"/>
  <c r="FI241" i="7"/>
  <c r="AM242" i="7"/>
  <c r="DN99" i="24"/>
  <c r="DN87" i="24"/>
  <c r="FI213" i="4"/>
  <c r="AM213" i="4" s="1"/>
  <c r="AM213" i="1" s="1"/>
  <c r="AM213" i="7"/>
  <c r="BI102" i="24"/>
  <c r="BI90" i="24"/>
  <c r="FF142" i="4"/>
  <c r="AJ142" i="4" s="1"/>
  <c r="AJ142" i="1" s="1"/>
  <c r="AJ142" i="7"/>
  <c r="P151" i="1"/>
  <c r="P150" i="1" s="1"/>
  <c r="P150" i="4"/>
  <c r="DH92" i="24"/>
  <c r="DH104" i="24"/>
  <c r="FD206" i="4"/>
  <c r="FD205" i="7"/>
  <c r="AH206" i="7"/>
  <c r="DU205" i="7"/>
  <c r="FK80" i="7"/>
  <c r="J109" i="24"/>
  <c r="J97" i="24"/>
  <c r="EY80" i="4"/>
  <c r="AC80" i="7"/>
  <c r="AZ104" i="24"/>
  <c r="AZ92" i="24"/>
  <c r="FD131" i="4"/>
  <c r="AH131" i="4" s="1"/>
  <c r="AH131" i="1" s="1"/>
  <c r="AH131" i="7"/>
  <c r="P57" i="4"/>
  <c r="P55" i="1"/>
  <c r="P57" i="1" s="1"/>
  <c r="AH103" i="24"/>
  <c r="AH91" i="24"/>
  <c r="FE109" i="4"/>
  <c r="AI109" i="4" s="1"/>
  <c r="AI109" i="1" s="1"/>
  <c r="AI109" i="7"/>
  <c r="X210" i="1"/>
  <c r="X209" i="1" s="1"/>
  <c r="X209" i="4"/>
  <c r="BJ90" i="24"/>
  <c r="BJ102" i="24"/>
  <c r="FF143" i="4"/>
  <c r="AJ143" i="4" s="1"/>
  <c r="AJ143" i="1" s="1"/>
  <c r="AJ143" i="7"/>
  <c r="CD115" i="4"/>
  <c r="DJ157" i="4"/>
  <c r="CX98" i="24"/>
  <c r="CX86" i="24"/>
  <c r="FJ195" i="4"/>
  <c r="AN195" i="4" s="1"/>
  <c r="AN195" i="1" s="1"/>
  <c r="AN195" i="7"/>
  <c r="AA96" i="24"/>
  <c r="AA108" i="24"/>
  <c r="EZ100" i="4"/>
  <c r="AD100" i="4" s="1"/>
  <c r="AD100" i="1" s="1"/>
  <c r="AD100" i="7"/>
  <c r="S209" i="4"/>
  <c r="S210" i="1"/>
  <c r="S209" i="1" s="1"/>
  <c r="X90" i="4"/>
  <c r="X91" i="1"/>
  <c r="X90" i="1" s="1"/>
  <c r="BU100" i="24"/>
  <c r="BU88" i="24"/>
  <c r="FH159" i="4"/>
  <c r="AL159" i="4" s="1"/>
  <c r="AL159" i="1" s="1"/>
  <c r="DU159" i="4"/>
  <c r="CG89" i="24"/>
  <c r="CG101" i="24"/>
  <c r="FG174" i="4"/>
  <c r="AK174" i="7"/>
  <c r="BE106" i="24"/>
  <c r="BE94" i="24"/>
  <c r="FB137" i="4"/>
  <c r="AF137" i="4" s="1"/>
  <c r="AF137" i="1" s="1"/>
  <c r="AF137" i="7"/>
  <c r="AY105" i="24"/>
  <c r="AY93" i="24"/>
  <c r="FC130" i="4"/>
  <c r="AG130" i="4" s="1"/>
  <c r="FC129" i="7"/>
  <c r="AG130" i="7"/>
  <c r="W24" i="1"/>
  <c r="W27" i="4"/>
  <c r="DS138" i="4"/>
  <c r="O149" i="1"/>
  <c r="AA149" i="4"/>
  <c r="AA220" i="4"/>
  <c r="O219" i="4"/>
  <c r="O220" i="1"/>
  <c r="O128" i="1"/>
  <c r="AA128" i="4"/>
  <c r="DC95" i="24"/>
  <c r="DC107" i="24"/>
  <c r="FA200" i="4"/>
  <c r="AE200" i="4" s="1"/>
  <c r="AE200" i="1" s="1"/>
  <c r="BZ96" i="24"/>
  <c r="BZ108" i="24"/>
  <c r="EZ166" i="4"/>
  <c r="AD166" i="4" s="1"/>
  <c r="AD166" i="1" s="1"/>
  <c r="AD166" i="7"/>
  <c r="I91" i="24"/>
  <c r="I103" i="24"/>
  <c r="FE79" i="4"/>
  <c r="AI79" i="4" s="1"/>
  <c r="AI79" i="1" s="1"/>
  <c r="AI79" i="7"/>
  <c r="Y165" i="1"/>
  <c r="Y164" i="1" s="1"/>
  <c r="Y164" i="4"/>
  <c r="CO89" i="24"/>
  <c r="CO101" i="24"/>
  <c r="FG184" i="4"/>
  <c r="AK184" i="7"/>
  <c r="DU112" i="4"/>
  <c r="DO104" i="4"/>
  <c r="X91" i="24"/>
  <c r="X103" i="24"/>
  <c r="FE97" i="4"/>
  <c r="AI97" i="4" s="1"/>
  <c r="AI97" i="1" s="1"/>
  <c r="AI97" i="7"/>
  <c r="FK30" i="7"/>
  <c r="EZ30" i="4"/>
  <c r="AD30" i="4" s="1"/>
  <c r="AD30" i="1" s="1"/>
  <c r="AD30" i="7"/>
  <c r="DS182" i="4"/>
  <c r="BO92" i="24"/>
  <c r="BO104" i="24"/>
  <c r="FD149" i="4"/>
  <c r="AH149" i="4" s="1"/>
  <c r="AH149" i="1" s="1"/>
  <c r="AH149" i="7"/>
  <c r="O167" i="1"/>
  <c r="AA167" i="4"/>
  <c r="DN156" i="7"/>
  <c r="DL91" i="24"/>
  <c r="DL103" i="24"/>
  <c r="FE211" i="4"/>
  <c r="AI211" i="4" s="1"/>
  <c r="AI211" i="1" s="1"/>
  <c r="AI211" i="7"/>
  <c r="DU211" i="4"/>
  <c r="DT209" i="4"/>
  <c r="BT72" i="7"/>
  <c r="DU192" i="4"/>
  <c r="DV94" i="24"/>
  <c r="DV106" i="24"/>
  <c r="FB226" i="4"/>
  <c r="AF226" i="4" s="1"/>
  <c r="AF226" i="1" s="1"/>
  <c r="AF226" i="7"/>
  <c r="Q79" i="24"/>
  <c r="DO88" i="4"/>
  <c r="DO87" i="7"/>
  <c r="DO75" i="7" s="1"/>
  <c r="DM96" i="24"/>
  <c r="DM108" i="24"/>
  <c r="EZ212" i="4"/>
  <c r="AD212" i="4" s="1"/>
  <c r="AD212" i="1" s="1"/>
  <c r="AD212" i="7"/>
  <c r="DK87" i="24"/>
  <c r="DK99" i="24"/>
  <c r="FI210" i="4"/>
  <c r="FI209" i="7"/>
  <c r="AM210" i="7"/>
  <c r="BK98" i="24"/>
  <c r="BK86" i="24"/>
  <c r="FJ144" i="4"/>
  <c r="AN144" i="4" s="1"/>
  <c r="AN144" i="1" s="1"/>
  <c r="AN144" i="7"/>
  <c r="S31" i="1"/>
  <c r="S29" i="1" s="1"/>
  <c r="S29" i="4"/>
  <c r="FA242" i="4"/>
  <c r="FA241" i="7"/>
  <c r="AE242" i="7"/>
  <c r="DN97" i="24"/>
  <c r="DN109" i="24"/>
  <c r="FK213" i="7"/>
  <c r="EY213" i="4"/>
  <c r="AC213" i="4" s="1"/>
  <c r="AC213" i="7"/>
  <c r="O99" i="1"/>
  <c r="AA99" i="4"/>
  <c r="T91" i="1"/>
  <c r="T90" i="1" s="1"/>
  <c r="T90" i="4"/>
  <c r="EK156" i="4"/>
  <c r="BI87" i="24"/>
  <c r="BI99" i="24"/>
  <c r="FI142" i="4"/>
  <c r="AM142" i="4" s="1"/>
  <c r="AM142" i="1" s="1"/>
  <c r="AM142" i="7"/>
  <c r="DN241" i="4"/>
  <c r="CU86" i="24"/>
  <c r="CU98" i="24"/>
  <c r="FJ191" i="4"/>
  <c r="AN191" i="4" s="1"/>
  <c r="AN191" i="1" s="1"/>
  <c r="AN191" i="7"/>
  <c r="AZ90" i="24"/>
  <c r="AZ102" i="24"/>
  <c r="FF131" i="4"/>
  <c r="AJ131" i="4" s="1"/>
  <c r="AJ131" i="1" s="1"/>
  <c r="AJ131" i="7"/>
  <c r="DU131" i="4"/>
  <c r="AH89" i="24"/>
  <c r="AH101" i="24"/>
  <c r="FG109" i="4"/>
  <c r="AK109" i="7"/>
  <c r="CT100" i="24"/>
  <c r="CT88" i="24"/>
  <c r="FH190" i="4"/>
  <c r="AL190" i="4" s="1"/>
  <c r="AL190" i="1" s="1"/>
  <c r="AL190" i="7"/>
  <c r="AB190" i="7" s="1"/>
  <c r="FK195" i="7"/>
  <c r="CX97" i="24"/>
  <c r="CX109" i="24"/>
  <c r="EY195" i="4"/>
  <c r="AC195" i="7"/>
  <c r="AA105" i="24"/>
  <c r="AA93" i="24"/>
  <c r="FC100" i="4"/>
  <c r="AG100" i="4" s="1"/>
  <c r="AG100" i="1" s="1"/>
  <c r="AG100" i="7"/>
  <c r="AA14" i="4"/>
  <c r="O13" i="4"/>
  <c r="O6" i="4" s="1"/>
  <c r="O14" i="1"/>
  <c r="CE241" i="4"/>
  <c r="FK186" i="7"/>
  <c r="CQ97" i="24"/>
  <c r="CQ109" i="24"/>
  <c r="EY186" i="4"/>
  <c r="AC186" i="4" s="1"/>
  <c r="DR138" i="4"/>
  <c r="EW129" i="4"/>
  <c r="BU92" i="24"/>
  <c r="BU104" i="24"/>
  <c r="FD159" i="4"/>
  <c r="AH159" i="4" s="1"/>
  <c r="AH159" i="1" s="1"/>
  <c r="CG92" i="24"/>
  <c r="CG104" i="24"/>
  <c r="FD174" i="4"/>
  <c r="AH174" i="4" s="1"/>
  <c r="AH174" i="1" s="1"/>
  <c r="AH174" i="7"/>
  <c r="DU174" i="4"/>
  <c r="BE99" i="24"/>
  <c r="BE87" i="24"/>
  <c r="FI137" i="4"/>
  <c r="AM137" i="4" s="1"/>
  <c r="AM137" i="1" s="1"/>
  <c r="AM137" i="7"/>
  <c r="AS99" i="24"/>
  <c r="AS87" i="24"/>
  <c r="FI123" i="4"/>
  <c r="AM123" i="4" s="1"/>
  <c r="AM123" i="1" s="1"/>
  <c r="AM123" i="7"/>
  <c r="AY104" i="24"/>
  <c r="AY92" i="24"/>
  <c r="FD130" i="4"/>
  <c r="FD129" i="7"/>
  <c r="AH130" i="7"/>
  <c r="O188" i="1"/>
  <c r="AA188" i="4"/>
  <c r="O187" i="4"/>
  <c r="S61" i="1"/>
  <c r="S60" i="1" s="1"/>
  <c r="S60" i="4"/>
  <c r="BZ95" i="24"/>
  <c r="BZ107" i="24"/>
  <c r="FA166" i="4"/>
  <c r="AE166" i="4" s="1"/>
  <c r="AE166" i="1" s="1"/>
  <c r="AE166" i="7"/>
  <c r="DU145" i="4"/>
  <c r="CD94" i="24"/>
  <c r="CD106" i="24"/>
  <c r="FB170" i="4"/>
  <c r="AF170" i="4" s="1"/>
  <c r="AF170" i="1" s="1"/>
  <c r="AF170" i="7"/>
  <c r="W90" i="24"/>
  <c r="W102" i="24"/>
  <c r="FF96" i="4"/>
  <c r="AJ96" i="4" s="1"/>
  <c r="AJ96" i="1" s="1"/>
  <c r="AJ96" i="7"/>
  <c r="W129" i="4"/>
  <c r="W130" i="1"/>
  <c r="CD230" i="7"/>
  <c r="CD231" i="7" s="1"/>
  <c r="BP92" i="24"/>
  <c r="BP104" i="24"/>
  <c r="FD151" i="4"/>
  <c r="AH151" i="4" s="1"/>
  <c r="FD150" i="7"/>
  <c r="DU151" i="4"/>
  <c r="DI150" i="4"/>
  <c r="AQ97" i="24"/>
  <c r="AQ109" i="24"/>
  <c r="FK121" i="7"/>
  <c r="EY121" i="4"/>
  <c r="AC121" i="7"/>
  <c r="BA89" i="24"/>
  <c r="BA101" i="24"/>
  <c r="FG132" i="4"/>
  <c r="AK132" i="7"/>
  <c r="O95" i="1"/>
  <c r="AA95" i="4"/>
  <c r="CL103" i="24"/>
  <c r="CL91" i="24"/>
  <c r="FE180" i="4"/>
  <c r="AI180" i="4" s="1"/>
  <c r="AI180" i="1" s="1"/>
  <c r="AI180" i="7"/>
  <c r="DU180" i="4"/>
  <c r="V39" i="1"/>
  <c r="V38" i="1" s="1"/>
  <c r="V38" i="4"/>
  <c r="AA215" i="4"/>
  <c r="O214" i="4"/>
  <c r="O215" i="1"/>
  <c r="DU243" i="4"/>
  <c r="AO91" i="24"/>
  <c r="AO103" i="24"/>
  <c r="FE119" i="4"/>
  <c r="AI119" i="4" s="1"/>
  <c r="AI119" i="1" s="1"/>
  <c r="FK86" i="7"/>
  <c r="P97" i="24"/>
  <c r="P109" i="24"/>
  <c r="EY86" i="4"/>
  <c r="AC86" i="7"/>
  <c r="BU72" i="7"/>
  <c r="P188" i="1"/>
  <c r="P187" i="1" s="1"/>
  <c r="P187" i="4"/>
  <c r="DG100" i="24"/>
  <c r="DG88" i="24"/>
  <c r="FH204" i="4"/>
  <c r="AL204" i="4" s="1"/>
  <c r="AL204" i="1" s="1"/>
  <c r="AL204" i="7"/>
  <c r="AB204" i="7" s="1"/>
  <c r="DA89" i="24"/>
  <c r="DA101" i="24"/>
  <c r="FG198" i="4"/>
  <c r="AK198" i="7"/>
  <c r="W194" i="1"/>
  <c r="W193" i="4"/>
  <c r="S98" i="24"/>
  <c r="S86" i="24"/>
  <c r="FJ92" i="4"/>
  <c r="AN92" i="4" s="1"/>
  <c r="AN92" i="1" s="1"/>
  <c r="AN92" i="7"/>
  <c r="CS100" i="24"/>
  <c r="CS88" i="24"/>
  <c r="FH189" i="4"/>
  <c r="AL189" i="4" s="1"/>
  <c r="AL189" i="1" s="1"/>
  <c r="AL189" i="7"/>
  <c r="AB189" i="7" s="1"/>
  <c r="CC89" i="24"/>
  <c r="CC101" i="24"/>
  <c r="FG169" i="4"/>
  <c r="AK169" i="7"/>
  <c r="DT172" i="4"/>
  <c r="O126" i="1"/>
  <c r="AA126" i="4"/>
  <c r="Z38" i="4"/>
  <c r="Z39" i="1"/>
  <c r="Z38" i="1" s="1"/>
  <c r="FD31" i="4"/>
  <c r="FD29" i="7"/>
  <c r="AH31" i="7"/>
  <c r="U182" i="4"/>
  <c r="U183" i="1"/>
  <c r="U182" i="1" s="1"/>
  <c r="CH94" i="24"/>
  <c r="CH106" i="24"/>
  <c r="FB175" i="4"/>
  <c r="AF175" i="4" s="1"/>
  <c r="AF175" i="1" s="1"/>
  <c r="BK70" i="4"/>
  <c r="AW89" i="24"/>
  <c r="AW101" i="24"/>
  <c r="FG127" i="4"/>
  <c r="AK127" i="7"/>
  <c r="DU127" i="4"/>
  <c r="AH227" i="4"/>
  <c r="AH228" i="1"/>
  <c r="AH227" i="1" s="1"/>
  <c r="AX89" i="24"/>
  <c r="AX101" i="24"/>
  <c r="FG128" i="4"/>
  <c r="X134" i="1"/>
  <c r="X133" i="1" s="1"/>
  <c r="X133" i="4"/>
  <c r="O66" i="1"/>
  <c r="AA66" i="4"/>
  <c r="DR241" i="4"/>
  <c r="AL227" i="4"/>
  <c r="AL228" i="1"/>
  <c r="AL227" i="1" s="1"/>
  <c r="DK104" i="4"/>
  <c r="V183" i="1"/>
  <c r="V182" i="1" s="1"/>
  <c r="V182" i="4"/>
  <c r="V206" i="1"/>
  <c r="V205" i="1" s="1"/>
  <c r="V205" i="4"/>
  <c r="Y215" i="1"/>
  <c r="Y214" i="1" s="1"/>
  <c r="Y214" i="4"/>
  <c r="L92" i="24"/>
  <c r="L104" i="24"/>
  <c r="FD82" i="4"/>
  <c r="AH82" i="4" s="1"/>
  <c r="AH82" i="1" s="1"/>
  <c r="AH82" i="7"/>
  <c r="DU82" i="4"/>
  <c r="V105" i="24"/>
  <c r="V93" i="24"/>
  <c r="FC95" i="4"/>
  <c r="AG95" i="4" s="1"/>
  <c r="AG95" i="1" s="1"/>
  <c r="AG95" i="7"/>
  <c r="R87" i="24"/>
  <c r="R99" i="24"/>
  <c r="FI91" i="4"/>
  <c r="FI90" i="7"/>
  <c r="AM91" i="7"/>
  <c r="DO89" i="24"/>
  <c r="DO101" i="24"/>
  <c r="FG215" i="4"/>
  <c r="FG214" i="7"/>
  <c r="EX214" i="7" s="1"/>
  <c r="AK215" i="7"/>
  <c r="BZ115" i="4"/>
  <c r="Z100" i="24"/>
  <c r="Z88" i="24"/>
  <c r="FH99" i="4"/>
  <c r="AL99" i="4" s="1"/>
  <c r="AL99" i="1" s="1"/>
  <c r="AL99" i="7"/>
  <c r="AB99" i="7" s="1"/>
  <c r="O105" i="1"/>
  <c r="AA105" i="4"/>
  <c r="O104" i="4"/>
  <c r="AC61" i="4"/>
  <c r="EY60" i="4"/>
  <c r="FK61" i="4"/>
  <c r="AV90" i="24"/>
  <c r="AV102" i="24"/>
  <c r="FF126" i="4"/>
  <c r="AJ126" i="4" s="1"/>
  <c r="AJ126" i="1" s="1"/>
  <c r="AJ126" i="7"/>
  <c r="R115" i="7"/>
  <c r="BT93" i="24"/>
  <c r="BT105" i="24"/>
  <c r="FC158" i="4"/>
  <c r="FC157" i="7"/>
  <c r="AG158" i="7"/>
  <c r="DU32" i="4"/>
  <c r="O127" i="1"/>
  <c r="AA127" i="4"/>
  <c r="CO92" i="24"/>
  <c r="CO104" i="24"/>
  <c r="FD184" i="4"/>
  <c r="AH184" i="4" s="1"/>
  <c r="AH184" i="1" s="1"/>
  <c r="AH184" i="7"/>
  <c r="O207" i="1"/>
  <c r="AA207" i="4"/>
  <c r="AA140" i="4"/>
  <c r="O140" i="1"/>
  <c r="DT29" i="4"/>
  <c r="X102" i="24"/>
  <c r="X90" i="24"/>
  <c r="FF97" i="4"/>
  <c r="AJ97" i="4" s="1"/>
  <c r="AJ97" i="1" s="1"/>
  <c r="FB30" i="4"/>
  <c r="AF30" i="4" s="1"/>
  <c r="AF30" i="1" s="1"/>
  <c r="AF30" i="7"/>
  <c r="DP193" i="4"/>
  <c r="DM115" i="7"/>
  <c r="BE115" i="4"/>
  <c r="DN157" i="4"/>
  <c r="DL90" i="24"/>
  <c r="DL102" i="24"/>
  <c r="FF211" i="4"/>
  <c r="AJ211" i="4" s="1"/>
  <c r="AJ211" i="1" s="1"/>
  <c r="AJ211" i="7"/>
  <c r="Y75" i="7"/>
  <c r="DV103" i="24"/>
  <c r="DV91" i="24"/>
  <c r="FE226" i="4"/>
  <c r="AI226" i="4" s="1"/>
  <c r="AI226" i="1" s="1"/>
  <c r="DM93" i="24"/>
  <c r="DM105" i="24"/>
  <c r="FC212" i="4"/>
  <c r="AG212" i="4" s="1"/>
  <c r="AG212" i="1" s="1"/>
  <c r="AG212" i="7"/>
  <c r="S134" i="1"/>
  <c r="S133" i="1" s="1"/>
  <c r="S133" i="4"/>
  <c r="FK210" i="7"/>
  <c r="DK97" i="24"/>
  <c r="DK109" i="24"/>
  <c r="EY210" i="4"/>
  <c r="AC210" i="4" s="1"/>
  <c r="EY209" i="7"/>
  <c r="BK105" i="24"/>
  <c r="BK93" i="24"/>
  <c r="FC144" i="4"/>
  <c r="AG144" i="4" s="1"/>
  <c r="AG144" i="1" s="1"/>
  <c r="AG144" i="7"/>
  <c r="T187" i="4"/>
  <c r="T188" i="1"/>
  <c r="T187" i="1" s="1"/>
  <c r="FE241" i="7"/>
  <c r="FE242" i="4"/>
  <c r="AI242" i="7"/>
  <c r="DN93" i="24"/>
  <c r="DN105" i="24"/>
  <c r="FC213" i="4"/>
  <c r="AG213" i="4" s="1"/>
  <c r="AG213" i="1" s="1"/>
  <c r="AG213" i="7"/>
  <c r="DT115" i="7"/>
  <c r="EW157" i="4"/>
  <c r="DU109" i="4"/>
  <c r="FK142" i="7"/>
  <c r="BI97" i="24"/>
  <c r="BI109" i="24"/>
  <c r="EY142" i="4"/>
  <c r="AC142" i="4" s="1"/>
  <c r="AC142" i="7"/>
  <c r="FK191" i="7"/>
  <c r="CU97" i="24"/>
  <c r="CU109" i="24"/>
  <c r="EY191" i="4"/>
  <c r="AC191" i="4" s="1"/>
  <c r="AC191" i="7"/>
  <c r="AH96" i="24"/>
  <c r="AH108" i="24"/>
  <c r="EZ109" i="4"/>
  <c r="AD109" i="4" s="1"/>
  <c r="AD109" i="1" s="1"/>
  <c r="CE93" i="24"/>
  <c r="CE105" i="24"/>
  <c r="FC171" i="4"/>
  <c r="AG171" i="4" s="1"/>
  <c r="AG171" i="1" s="1"/>
  <c r="AG171" i="7"/>
  <c r="DR129" i="4"/>
  <c r="BP230" i="7"/>
  <c r="CT99" i="24"/>
  <c r="CT87" i="24"/>
  <c r="FI190" i="4"/>
  <c r="AM190" i="4" s="1"/>
  <c r="AM190" i="1" s="1"/>
  <c r="AM190" i="7"/>
  <c r="DP104" i="4"/>
  <c r="CX105" i="24"/>
  <c r="CX93" i="24"/>
  <c r="FC195" i="4"/>
  <c r="AG195" i="4" s="1"/>
  <c r="AG195" i="1" s="1"/>
  <c r="Y156" i="7"/>
  <c r="AA104" i="24"/>
  <c r="AA92" i="24"/>
  <c r="FD100" i="4"/>
  <c r="AH100" i="4" s="1"/>
  <c r="AH100" i="1" s="1"/>
  <c r="O154" i="1"/>
  <c r="AA154" i="4"/>
  <c r="AK128" i="7"/>
  <c r="AC98" i="24"/>
  <c r="AC86" i="24"/>
  <c r="FJ102" i="4"/>
  <c r="AN102" i="4" s="1"/>
  <c r="AN102" i="1" s="1"/>
  <c r="AN102" i="7"/>
  <c r="DU181" i="4"/>
  <c r="CQ105" i="24"/>
  <c r="CQ93" i="24"/>
  <c r="FC186" i="4"/>
  <c r="AG186" i="4" s="1"/>
  <c r="AG186" i="1" s="1"/>
  <c r="AG186" i="7"/>
  <c r="CG91" i="24"/>
  <c r="CG103" i="24"/>
  <c r="FE174" i="4"/>
  <c r="AI174" i="4" s="1"/>
  <c r="AI174" i="1" s="1"/>
  <c r="AI174" i="7"/>
  <c r="BE86" i="24"/>
  <c r="BE98" i="24"/>
  <c r="FJ137" i="4"/>
  <c r="AN137" i="4" s="1"/>
  <c r="AN137" i="1" s="1"/>
  <c r="AN137" i="7"/>
  <c r="FK123" i="7"/>
  <c r="AS109" i="24"/>
  <c r="AS97" i="24"/>
  <c r="EY123" i="4"/>
  <c r="AC123" i="4" s="1"/>
  <c r="U39" i="1"/>
  <c r="U38" i="1" s="1"/>
  <c r="U38" i="4"/>
  <c r="O80" i="1"/>
  <c r="AA80" i="4"/>
  <c r="DM70" i="7"/>
  <c r="E81" i="24"/>
  <c r="D81" i="24" s="1"/>
  <c r="DM43" i="7"/>
  <c r="DM47" i="7" s="1"/>
  <c r="DM71" i="7" s="1"/>
  <c r="DO116" i="4"/>
  <c r="AC44" i="7"/>
  <c r="BS87" i="4"/>
  <c r="BS75" i="4" s="1"/>
  <c r="CE88" i="4"/>
  <c r="CE87" i="4" s="1"/>
  <c r="CD86" i="24"/>
  <c r="CD98" i="24"/>
  <c r="FJ170" i="4"/>
  <c r="AN170" i="4" s="1"/>
  <c r="AN170" i="1" s="1"/>
  <c r="AN170" i="7"/>
  <c r="DS164" i="4"/>
  <c r="FK46" i="7"/>
  <c r="EY46" i="4"/>
  <c r="AC46" i="7"/>
  <c r="FA41" i="4"/>
  <c r="AE41" i="4" s="1"/>
  <c r="AE41" i="1" s="1"/>
  <c r="AE41" i="7"/>
  <c r="EM115" i="4"/>
  <c r="Y87" i="24"/>
  <c r="Y99" i="24"/>
  <c r="FI98" i="4"/>
  <c r="AM98" i="4" s="1"/>
  <c r="AM98" i="1" s="1"/>
  <c r="AM98" i="7"/>
  <c r="BN91" i="24"/>
  <c r="BN103" i="24"/>
  <c r="FE148" i="4"/>
  <c r="AI148" i="4" s="1"/>
  <c r="AI148" i="1" s="1"/>
  <c r="AI148" i="7"/>
  <c r="DU135" i="4"/>
  <c r="AM99" i="24"/>
  <c r="AM87" i="24"/>
  <c r="FI117" i="4"/>
  <c r="FI116" i="7"/>
  <c r="AA6" i="7"/>
  <c r="X214" i="4"/>
  <c r="X215" i="1"/>
  <c r="X214" i="1" s="1"/>
  <c r="DL38" i="4"/>
  <c r="Z51" i="1"/>
  <c r="Z54" i="1" s="1"/>
  <c r="Z54" i="4"/>
  <c r="V129" i="4"/>
  <c r="V130" i="1"/>
  <c r="V129" i="1" s="1"/>
  <c r="FC41" i="4"/>
  <c r="AG41" i="4" s="1"/>
  <c r="AG41" i="1" s="1"/>
  <c r="AG41" i="7"/>
  <c r="BY91" i="24"/>
  <c r="BY103" i="24"/>
  <c r="FE165" i="4"/>
  <c r="FE164" i="7"/>
  <c r="AI165" i="7"/>
  <c r="DU164" i="7"/>
  <c r="T210" i="1"/>
  <c r="T209" i="1" s="1"/>
  <c r="T209" i="4"/>
  <c r="BL71" i="7"/>
  <c r="BS70" i="4"/>
  <c r="DC156" i="4"/>
  <c r="DU89" i="24"/>
  <c r="DU101" i="24"/>
  <c r="FG225" i="4"/>
  <c r="AK225" i="7"/>
  <c r="BA88" i="24"/>
  <c r="BA100" i="24"/>
  <c r="FH132" i="4"/>
  <c r="AL132" i="4" s="1"/>
  <c r="AL132" i="1" s="1"/>
  <c r="AL132" i="7"/>
  <c r="AB132" i="7" s="1"/>
  <c r="CL92" i="24"/>
  <c r="CL104" i="24"/>
  <c r="FD180" i="4"/>
  <c r="AH180" i="4" s="1"/>
  <c r="AH180" i="1" s="1"/>
  <c r="AH180" i="7"/>
  <c r="BQ87" i="4"/>
  <c r="P95" i="24"/>
  <c r="P107" i="24"/>
  <c r="FA86" i="4"/>
  <c r="AE86" i="4" s="1"/>
  <c r="AE86" i="1" s="1"/>
  <c r="AE86" i="7"/>
  <c r="DG98" i="24"/>
  <c r="DG86" i="24"/>
  <c r="FJ204" i="4"/>
  <c r="AN204" i="4" s="1"/>
  <c r="AN204" i="1" s="1"/>
  <c r="AN204" i="7"/>
  <c r="DA104" i="24"/>
  <c r="DA92" i="24"/>
  <c r="FD198" i="4"/>
  <c r="AH198" i="4" s="1"/>
  <c r="AH198" i="1" s="1"/>
  <c r="AH198" i="7"/>
  <c r="S108" i="24"/>
  <c r="S96" i="24"/>
  <c r="EZ92" i="4"/>
  <c r="AD92" i="4" s="1"/>
  <c r="AD92" i="1" s="1"/>
  <c r="AD92" i="7"/>
  <c r="CS98" i="24"/>
  <c r="CS86" i="24"/>
  <c r="FJ189" i="4"/>
  <c r="AN189" i="4" s="1"/>
  <c r="AN189" i="1" s="1"/>
  <c r="AN189" i="7"/>
  <c r="CC88" i="24"/>
  <c r="CC100" i="24"/>
  <c r="FH169" i="4"/>
  <c r="AL169" i="4" s="1"/>
  <c r="AL169" i="1" s="1"/>
  <c r="AL169" i="7"/>
  <c r="AB169" i="7" s="1"/>
  <c r="CH98" i="24"/>
  <c r="CH86" i="24"/>
  <c r="FJ175" i="4"/>
  <c r="AN175" i="4" s="1"/>
  <c r="AN175" i="1" s="1"/>
  <c r="AN175" i="7"/>
  <c r="U60" i="4"/>
  <c r="U61" i="1"/>
  <c r="U60" i="1" s="1"/>
  <c r="AW88" i="24"/>
  <c r="AW100" i="24"/>
  <c r="FH127" i="4"/>
  <c r="AL127" i="4" s="1"/>
  <c r="AL127" i="1" s="1"/>
  <c r="AL127" i="7"/>
  <c r="AB127" i="7" s="1"/>
  <c r="AA131" i="4"/>
  <c r="O131" i="1"/>
  <c r="DS227" i="4"/>
  <c r="AM228" i="4"/>
  <c r="CD156" i="4"/>
  <c r="S129" i="4"/>
  <c r="S130" i="1"/>
  <c r="S129" i="1" s="1"/>
  <c r="FK113" i="7"/>
  <c r="AL97" i="24"/>
  <c r="AL109" i="24"/>
  <c r="EY113" i="4"/>
  <c r="AC113" i="4" s="1"/>
  <c r="AC113" i="7"/>
  <c r="O21" i="1"/>
  <c r="AA21" i="1" s="1"/>
  <c r="AA21" i="4"/>
  <c r="DO182" i="4"/>
  <c r="L103" i="24"/>
  <c r="L91" i="24"/>
  <c r="FE82" i="4"/>
  <c r="AI82" i="4" s="1"/>
  <c r="AI82" i="1" s="1"/>
  <c r="AI82" i="7"/>
  <c r="S215" i="1"/>
  <c r="S214" i="1" s="1"/>
  <c r="S214" i="4"/>
  <c r="DG75" i="7"/>
  <c r="R98" i="24"/>
  <c r="R86" i="24"/>
  <c r="FJ91" i="4"/>
  <c r="AN91" i="4" s="1"/>
  <c r="FJ90" i="7"/>
  <c r="AN91" i="7"/>
  <c r="DO92" i="24"/>
  <c r="DO104" i="24"/>
  <c r="FD215" i="4"/>
  <c r="AH215" i="4" s="1"/>
  <c r="FD214" i="7"/>
  <c r="AH215" i="7"/>
  <c r="AH214" i="7" s="1"/>
  <c r="R158" i="1"/>
  <c r="R157" i="1" s="1"/>
  <c r="R157" i="4"/>
  <c r="Z103" i="24"/>
  <c r="Z91" i="24"/>
  <c r="FE99" i="4"/>
  <c r="AI99" i="4" s="1"/>
  <c r="AI99" i="1" s="1"/>
  <c r="AI99" i="7"/>
  <c r="FK60" i="7"/>
  <c r="CE218" i="7"/>
  <c r="BS230" i="7"/>
  <c r="BS231" i="7" s="1"/>
  <c r="AV89" i="24"/>
  <c r="AV101" i="24"/>
  <c r="FG126" i="4"/>
  <c r="AK126" i="7"/>
  <c r="S188" i="1"/>
  <c r="S187" i="1" s="1"/>
  <c r="S187" i="4"/>
  <c r="Z183" i="1"/>
  <c r="Z182" i="1" s="1"/>
  <c r="Z182" i="4"/>
  <c r="BT102" i="24"/>
  <c r="BT90" i="24"/>
  <c r="FF157" i="7"/>
  <c r="FF158" i="4"/>
  <c r="DQ156" i="7"/>
  <c r="U77" i="1"/>
  <c r="U76" i="1" s="1"/>
  <c r="U76" i="4"/>
  <c r="AU103" i="24"/>
  <c r="AU91" i="24"/>
  <c r="FE125" i="4"/>
  <c r="AI125" i="4" s="1"/>
  <c r="AI125" i="1" s="1"/>
  <c r="CO90" i="24"/>
  <c r="CO102" i="24"/>
  <c r="FF184" i="4"/>
  <c r="AJ184" i="4" s="1"/>
  <c r="AJ184" i="1" s="1"/>
  <c r="X116" i="4"/>
  <c r="X117" i="1"/>
  <c r="X116" i="1" s="1"/>
  <c r="FI34" i="4"/>
  <c r="AM34" i="4" s="1"/>
  <c r="AM34" i="1" s="1"/>
  <c r="AM34" i="7"/>
  <c r="CB92" i="24"/>
  <c r="CB104" i="24"/>
  <c r="FD168" i="4"/>
  <c r="AH168" i="4" s="1"/>
  <c r="AH168" i="1" s="1"/>
  <c r="AH168" i="7"/>
  <c r="O192" i="1"/>
  <c r="AA192" i="4"/>
  <c r="CF95" i="24"/>
  <c r="CF107" i="24"/>
  <c r="FA173" i="4"/>
  <c r="FA172" i="7"/>
  <c r="AE173" i="7"/>
  <c r="O208" i="1"/>
  <c r="AA208" i="4"/>
  <c r="Z139" i="1"/>
  <c r="Z138" i="1" s="1"/>
  <c r="Z138" i="4"/>
  <c r="DI241" i="4"/>
  <c r="DU242" i="4"/>
  <c r="R14" i="1"/>
  <c r="R13" i="1" s="1"/>
  <c r="R6" i="1" s="1"/>
  <c r="R13" i="4"/>
  <c r="R6" i="4" s="1"/>
  <c r="CW103" i="24"/>
  <c r="CW91" i="24"/>
  <c r="FE193" i="7"/>
  <c r="FE194" i="4"/>
  <c r="AI194" i="4" s="1"/>
  <c r="AI194" i="7"/>
  <c r="DU193" i="7"/>
  <c r="DT70" i="7"/>
  <c r="E74" i="24"/>
  <c r="D74" i="24" s="1"/>
  <c r="DT43" i="7"/>
  <c r="DT47" i="7" s="1"/>
  <c r="DT71" i="7" s="1"/>
  <c r="T183" i="1"/>
  <c r="T182" i="1" s="1"/>
  <c r="T182" i="4"/>
  <c r="X89" i="24"/>
  <c r="X101" i="24"/>
  <c r="FG97" i="4"/>
  <c r="AK97" i="7"/>
  <c r="FC30" i="4"/>
  <c r="AG30" i="4" s="1"/>
  <c r="AG30" i="1" s="1"/>
  <c r="AG30" i="7"/>
  <c r="DM138" i="4"/>
  <c r="BQ116" i="4"/>
  <c r="DL89" i="24"/>
  <c r="DL101" i="24"/>
  <c r="FG211" i="4"/>
  <c r="AK211" i="7"/>
  <c r="DV88" i="24"/>
  <c r="DV100" i="24"/>
  <c r="FH226" i="4"/>
  <c r="AL226" i="4" s="1"/>
  <c r="AL226" i="1" s="1"/>
  <c r="EN71" i="7"/>
  <c r="DD115" i="4"/>
  <c r="DT205" i="4"/>
  <c r="DM91" i="24"/>
  <c r="DM103" i="24"/>
  <c r="FE212" i="4"/>
  <c r="AI212" i="4" s="1"/>
  <c r="AI212" i="1" s="1"/>
  <c r="AI212" i="7"/>
  <c r="BK92" i="24"/>
  <c r="BK104" i="24"/>
  <c r="FD144" i="4"/>
  <c r="AH144" i="4" s="1"/>
  <c r="AH144" i="1" s="1"/>
  <c r="AH144" i="7"/>
  <c r="FB39" i="4"/>
  <c r="FB38" i="7"/>
  <c r="AF39" i="7"/>
  <c r="O40" i="1"/>
  <c r="AA40" i="4"/>
  <c r="DT116" i="4"/>
  <c r="AI125" i="7"/>
  <c r="AA202" i="4"/>
  <c r="O202" i="1"/>
  <c r="CU96" i="24"/>
  <c r="CU108" i="24"/>
  <c r="EZ191" i="4"/>
  <c r="AD191" i="4" s="1"/>
  <c r="AD191" i="1" s="1"/>
  <c r="AD191" i="7"/>
  <c r="DK182" i="4"/>
  <c r="Y105" i="1"/>
  <c r="Y104" i="1" s="1"/>
  <c r="Y104" i="4"/>
  <c r="AA125" i="4"/>
  <c r="O125" i="1"/>
  <c r="AG195" i="7"/>
  <c r="AH106" i="24"/>
  <c r="AH94" i="24"/>
  <c r="FB109" i="4"/>
  <c r="AF109" i="4" s="1"/>
  <c r="AF109" i="1" s="1"/>
  <c r="AF109" i="7"/>
  <c r="CE91" i="24"/>
  <c r="CE103" i="24"/>
  <c r="FE171" i="4"/>
  <c r="AI171" i="4" s="1"/>
  <c r="AI171" i="1" s="1"/>
  <c r="AI171" i="7"/>
  <c r="AT88" i="24"/>
  <c r="AT100" i="24"/>
  <c r="FH124" i="4"/>
  <c r="AL124" i="4" s="1"/>
  <c r="AL124" i="1" s="1"/>
  <c r="CT98" i="24"/>
  <c r="CT86" i="24"/>
  <c r="FJ190" i="4"/>
  <c r="AN190" i="4" s="1"/>
  <c r="AN190" i="1" s="1"/>
  <c r="AN190" i="7"/>
  <c r="CX91" i="24"/>
  <c r="CX103" i="24"/>
  <c r="FE195" i="4"/>
  <c r="AI195" i="4" s="1"/>
  <c r="AI195" i="1" s="1"/>
  <c r="AI195" i="7"/>
  <c r="AA89" i="24"/>
  <c r="AA101" i="24"/>
  <c r="FG100" i="4"/>
  <c r="AK100" i="7"/>
  <c r="DU100" i="4"/>
  <c r="AC108" i="24"/>
  <c r="AC96" i="24"/>
  <c r="EZ102" i="4"/>
  <c r="AD102" i="4" s="1"/>
  <c r="AD102" i="1" s="1"/>
  <c r="AD102" i="7"/>
  <c r="CQ103" i="24"/>
  <c r="CQ91" i="24"/>
  <c r="FE186" i="4"/>
  <c r="AI186" i="4" s="1"/>
  <c r="AI186" i="1" s="1"/>
  <c r="AI186" i="7"/>
  <c r="CZ96" i="24"/>
  <c r="CZ108" i="24"/>
  <c r="EZ197" i="4"/>
  <c r="AD197" i="4" s="1"/>
  <c r="AD197" i="1" s="1"/>
  <c r="AD197" i="7"/>
  <c r="AD109" i="7"/>
  <c r="N89" i="24"/>
  <c r="N101" i="24"/>
  <c r="FG84" i="4"/>
  <c r="AK84" i="7"/>
  <c r="AS108" i="24"/>
  <c r="AS96" i="24"/>
  <c r="EZ123" i="4"/>
  <c r="AD123" i="4" s="1"/>
  <c r="AD123" i="1" s="1"/>
  <c r="AD123" i="7"/>
  <c r="BW88" i="24"/>
  <c r="BW100" i="24"/>
  <c r="FH161" i="4"/>
  <c r="AL161" i="4" s="1"/>
  <c r="AL161" i="1" s="1"/>
  <c r="S104" i="4"/>
  <c r="S105" i="1"/>
  <c r="S104" i="1" s="1"/>
  <c r="EW193" i="4"/>
  <c r="DG178" i="4"/>
  <c r="DM29" i="4"/>
  <c r="CV101" i="24"/>
  <c r="CV89" i="24"/>
  <c r="FG192" i="4"/>
  <c r="AK192" i="7"/>
  <c r="BR90" i="24"/>
  <c r="BR102" i="24"/>
  <c r="FF153" i="4"/>
  <c r="AJ153" i="4" s="1"/>
  <c r="AJ153" i="1" s="1"/>
  <c r="O110" i="1"/>
  <c r="AA110" i="4"/>
  <c r="X88" i="24"/>
  <c r="X100" i="24"/>
  <c r="FH97" i="4"/>
  <c r="AL97" i="4" s="1"/>
  <c r="AL97" i="1" s="1"/>
  <c r="AL97" i="7"/>
  <c r="AB97" i="7" s="1"/>
  <c r="FA30" i="4"/>
  <c r="AE30" i="4" s="1"/>
  <c r="AE30" i="1" s="1"/>
  <c r="AE30" i="7"/>
  <c r="S14" i="1"/>
  <c r="S13" i="1" s="1"/>
  <c r="S6" i="1" s="1"/>
  <c r="S13" i="4"/>
  <c r="S6" i="4" s="1"/>
  <c r="BL100" i="24"/>
  <c r="BL88" i="24"/>
  <c r="FH145" i="4"/>
  <c r="AL145" i="4" s="1"/>
  <c r="AL145" i="1" s="1"/>
  <c r="AL145" i="7"/>
  <c r="AB145" i="7" s="1"/>
  <c r="T158" i="1"/>
  <c r="T157" i="1" s="1"/>
  <c r="T157" i="4"/>
  <c r="U165" i="1"/>
  <c r="U164" i="1" s="1"/>
  <c r="U164" i="4"/>
  <c r="DL92" i="24"/>
  <c r="DL104" i="24"/>
  <c r="FD211" i="4"/>
  <c r="AH211" i="4" s="1"/>
  <c r="AH211" i="1" s="1"/>
  <c r="BM88" i="24"/>
  <c r="BM100" i="24"/>
  <c r="FH147" i="4"/>
  <c r="AL147" i="4" s="1"/>
  <c r="FH146" i="7"/>
  <c r="AL147" i="7"/>
  <c r="AB147" i="7" s="1"/>
  <c r="EK218" i="4"/>
  <c r="DM89" i="24"/>
  <c r="DM101" i="24"/>
  <c r="FG212" i="4"/>
  <c r="EW156" i="7"/>
  <c r="BK89" i="24"/>
  <c r="BK101" i="24"/>
  <c r="FG144" i="4"/>
  <c r="AK144" i="7"/>
  <c r="FI38" i="7"/>
  <c r="FI39" i="4"/>
  <c r="AM39" i="4" s="1"/>
  <c r="AM39" i="7"/>
  <c r="Y70" i="7"/>
  <c r="Y43" i="7"/>
  <c r="Y47" i="7" s="1"/>
  <c r="Y71" i="7" s="1"/>
  <c r="DJ108" i="24"/>
  <c r="DJ96" i="24"/>
  <c r="EZ208" i="4"/>
  <c r="AD208" i="4" s="1"/>
  <c r="AD208" i="1" s="1"/>
  <c r="AD208" i="7"/>
  <c r="O174" i="1"/>
  <c r="AA174" i="4"/>
  <c r="Q227" i="4"/>
  <c r="Q228" i="1"/>
  <c r="Q227" i="1" s="1"/>
  <c r="CU93" i="24"/>
  <c r="CU105" i="24"/>
  <c r="FC191" i="4"/>
  <c r="AG191" i="4" s="1"/>
  <c r="AG191" i="1" s="1"/>
  <c r="AG191" i="7"/>
  <c r="P219" i="4"/>
  <c r="P220" i="1"/>
  <c r="P219" i="1" s="1"/>
  <c r="V133" i="4"/>
  <c r="V134" i="1"/>
  <c r="V133" i="1" s="1"/>
  <c r="CE90" i="24"/>
  <c r="CE102" i="24"/>
  <c r="FF171" i="4"/>
  <c r="AJ171" i="4" s="1"/>
  <c r="AJ171" i="1" s="1"/>
  <c r="AT90" i="24"/>
  <c r="AT102" i="24"/>
  <c r="FF124" i="4"/>
  <c r="AJ124" i="4" s="1"/>
  <c r="AJ124" i="1" s="1"/>
  <c r="AJ124" i="7"/>
  <c r="FK190" i="7"/>
  <c r="CT97" i="24"/>
  <c r="CT109" i="24"/>
  <c r="EY190" i="4"/>
  <c r="AC190" i="7"/>
  <c r="T101" i="24"/>
  <c r="T89" i="24"/>
  <c r="FG93" i="4"/>
  <c r="AK93" i="7"/>
  <c r="CX92" i="24"/>
  <c r="CX104" i="24"/>
  <c r="FD195" i="4"/>
  <c r="AH195" i="4" s="1"/>
  <c r="AH195" i="1" s="1"/>
  <c r="AH195" i="7"/>
  <c r="V75" i="7"/>
  <c r="AA121" i="4"/>
  <c r="O121" i="1"/>
  <c r="AC107" i="24"/>
  <c r="AC95" i="24"/>
  <c r="FA102" i="4"/>
  <c r="AE102" i="4" s="1"/>
  <c r="AE102" i="1" s="1"/>
  <c r="AE102" i="7"/>
  <c r="AI119" i="7"/>
  <c r="AB96" i="24"/>
  <c r="AB108" i="24"/>
  <c r="EZ101" i="4"/>
  <c r="AD101" i="4" s="1"/>
  <c r="AD101" i="1" s="1"/>
  <c r="AD101" i="7"/>
  <c r="N108" i="24"/>
  <c r="N96" i="24"/>
  <c r="EZ84" i="4"/>
  <c r="AD84" i="4" s="1"/>
  <c r="AD84" i="1" s="1"/>
  <c r="AD84" i="7"/>
  <c r="BW86" i="24"/>
  <c r="BW98" i="24"/>
  <c r="FJ161" i="4"/>
  <c r="AN161" i="4" s="1"/>
  <c r="AN161" i="1" s="1"/>
  <c r="AN161" i="7"/>
  <c r="M108" i="24"/>
  <c r="M96" i="24"/>
  <c r="EZ83" i="4"/>
  <c r="AD83" i="4" s="1"/>
  <c r="AD83" i="1" s="1"/>
  <c r="AD83" i="7"/>
  <c r="AJ177" i="7"/>
  <c r="DP86" i="24"/>
  <c r="DP98" i="24"/>
  <c r="FJ216" i="4"/>
  <c r="AN216" i="4" s="1"/>
  <c r="AN216" i="1" s="1"/>
  <c r="AN216" i="7"/>
  <c r="AD98" i="24"/>
  <c r="AD86" i="24"/>
  <c r="FJ105" i="4"/>
  <c r="FJ104" i="7"/>
  <c r="AN105" i="7"/>
  <c r="CV91" i="24"/>
  <c r="CV103" i="24"/>
  <c r="FE192" i="4"/>
  <c r="AI192" i="4" s="1"/>
  <c r="AI192" i="1" s="1"/>
  <c r="AI192" i="7"/>
  <c r="P51" i="1"/>
  <c r="P54" i="1" s="1"/>
  <c r="P54" i="4"/>
  <c r="BR89" i="24"/>
  <c r="BR101" i="24"/>
  <c r="FG153" i="4"/>
  <c r="AK153" i="7"/>
  <c r="DU141" i="4"/>
  <c r="G94" i="24"/>
  <c r="G106" i="24"/>
  <c r="FB77" i="4"/>
  <c r="FB76" i="7"/>
  <c r="AF77" i="7"/>
  <c r="W206" i="1"/>
  <c r="W205" i="4"/>
  <c r="DM92" i="24"/>
  <c r="DM104" i="24"/>
  <c r="FD212" i="4"/>
  <c r="AH212" i="4" s="1"/>
  <c r="AH212" i="1" s="1"/>
  <c r="AH212" i="7"/>
  <c r="FA39" i="4"/>
  <c r="FA38" i="7"/>
  <c r="AE39" i="7"/>
  <c r="DI98" i="24"/>
  <c r="DI86" i="24"/>
  <c r="FJ207" i="4"/>
  <c r="AN207" i="4" s="1"/>
  <c r="AN207" i="1" s="1"/>
  <c r="AN207" i="7"/>
  <c r="W224" i="1"/>
  <c r="W223" i="4"/>
  <c r="DJ107" i="24"/>
  <c r="DJ95" i="24"/>
  <c r="FA208" i="4"/>
  <c r="AE208" i="4" s="1"/>
  <c r="AE208" i="1" s="1"/>
  <c r="CU103" i="24"/>
  <c r="CU91" i="24"/>
  <c r="FE191" i="4"/>
  <c r="AI191" i="4" s="1"/>
  <c r="AI191" i="1" s="1"/>
  <c r="AI191" i="7"/>
  <c r="DU191" i="4"/>
  <c r="FK162" i="7"/>
  <c r="BX109" i="24"/>
  <c r="BX97" i="24"/>
  <c r="EY162" i="4"/>
  <c r="BB94" i="24"/>
  <c r="BB106" i="24"/>
  <c r="FB134" i="4"/>
  <c r="FB133" i="7"/>
  <c r="AF134" i="7"/>
  <c r="O89" i="24"/>
  <c r="O101" i="24"/>
  <c r="FG85" i="4"/>
  <c r="AK85" i="7"/>
  <c r="V24" i="1"/>
  <c r="V27" i="1" s="1"/>
  <c r="V27" i="4"/>
  <c r="CE101" i="24"/>
  <c r="CE89" i="24"/>
  <c r="FG171" i="4"/>
  <c r="AT89" i="24"/>
  <c r="AT101" i="24"/>
  <c r="FG124" i="4"/>
  <c r="AA245" i="4"/>
  <c r="O245" i="1"/>
  <c r="FK42" i="7"/>
  <c r="EY42" i="4"/>
  <c r="CT96" i="24"/>
  <c r="CT108" i="24"/>
  <c r="EZ190" i="4"/>
  <c r="AD190" i="4" s="1"/>
  <c r="AD190" i="1" s="1"/>
  <c r="AD190" i="7"/>
  <c r="T99" i="24"/>
  <c r="T87" i="24"/>
  <c r="FI93" i="4"/>
  <c r="AM93" i="4" s="1"/>
  <c r="AM93" i="1" s="1"/>
  <c r="EW182" i="4"/>
  <c r="AC93" i="24"/>
  <c r="AC105" i="24"/>
  <c r="FC102" i="4"/>
  <c r="AG102" i="4" s="1"/>
  <c r="AG102" i="1" s="1"/>
  <c r="W13" i="4"/>
  <c r="W6" i="4" s="1"/>
  <c r="W14" i="1"/>
  <c r="H95" i="24"/>
  <c r="H107" i="24"/>
  <c r="FA78" i="4"/>
  <c r="AE78" i="4" s="1"/>
  <c r="AE78" i="1" s="1"/>
  <c r="AE78" i="7"/>
  <c r="CZ94" i="24"/>
  <c r="CZ106" i="24"/>
  <c r="FB197" i="4"/>
  <c r="AF197" i="4" s="1"/>
  <c r="AF197" i="1" s="1"/>
  <c r="AF197" i="7"/>
  <c r="AB94" i="24"/>
  <c r="AB106" i="24"/>
  <c r="FB101" i="4"/>
  <c r="AF101" i="4" s="1"/>
  <c r="AF101" i="1" s="1"/>
  <c r="N106" i="24"/>
  <c r="N94" i="24"/>
  <c r="FB84" i="4"/>
  <c r="AF84" i="4" s="1"/>
  <c r="AF84" i="1" s="1"/>
  <c r="AF84" i="7"/>
  <c r="FK161" i="7"/>
  <c r="BW97" i="24"/>
  <c r="BW109" i="24"/>
  <c r="EY161" i="4"/>
  <c r="AC161" i="7"/>
  <c r="M93" i="24"/>
  <c r="M105" i="24"/>
  <c r="FC83" i="4"/>
  <c r="AG83" i="4" s="1"/>
  <c r="AG83" i="1" s="1"/>
  <c r="AG83" i="7"/>
  <c r="AA63" i="4"/>
  <c r="O63" i="1"/>
  <c r="DP95" i="24"/>
  <c r="DP107" i="24"/>
  <c r="FA216" i="4"/>
  <c r="AE216" i="4" s="1"/>
  <c r="AE216" i="1" s="1"/>
  <c r="AE216" i="7"/>
  <c r="AE214" i="7" s="1"/>
  <c r="U206" i="1"/>
  <c r="U205" i="1" s="1"/>
  <c r="U205" i="4"/>
  <c r="FK105" i="7"/>
  <c r="AD97" i="24"/>
  <c r="AD109" i="24"/>
  <c r="EY105" i="4"/>
  <c r="EY104" i="7"/>
  <c r="AC105" i="7"/>
  <c r="CV90" i="24"/>
  <c r="CV102" i="24"/>
  <c r="FF192" i="4"/>
  <c r="AJ192" i="4" s="1"/>
  <c r="AJ192" i="1" s="1"/>
  <c r="AJ192" i="7"/>
  <c r="BR88" i="24"/>
  <c r="BR100" i="24"/>
  <c r="FH153" i="4"/>
  <c r="AL153" i="4" s="1"/>
  <c r="AL153" i="1" s="1"/>
  <c r="AL153" i="7"/>
  <c r="AB153" i="7" s="1"/>
  <c r="G98" i="24"/>
  <c r="G86" i="24"/>
  <c r="FJ77" i="4"/>
  <c r="FJ76" i="7"/>
  <c r="AN77" i="7"/>
  <c r="BP70" i="4"/>
  <c r="CM93" i="24"/>
  <c r="CM105" i="24"/>
  <c r="FC181" i="4"/>
  <c r="AG181" i="4" s="1"/>
  <c r="AG181" i="1" s="1"/>
  <c r="AG181" i="7"/>
  <c r="Z96" i="24"/>
  <c r="Z108" i="24"/>
  <c r="EZ99" i="4"/>
  <c r="AD99" i="4" s="1"/>
  <c r="AD99" i="1" s="1"/>
  <c r="AD99" i="7"/>
  <c r="BQ241" i="4"/>
  <c r="AV95" i="24"/>
  <c r="AV107" i="24"/>
  <c r="FA126" i="4"/>
  <c r="AE126" i="4" s="1"/>
  <c r="AE126" i="1" s="1"/>
  <c r="DU246" i="4"/>
  <c r="AU100" i="24"/>
  <c r="AU88" i="24"/>
  <c r="FH125" i="4"/>
  <c r="AL125" i="4" s="1"/>
  <c r="AL125" i="1" s="1"/>
  <c r="AL125" i="7"/>
  <c r="AB125" i="7" s="1"/>
  <c r="CE104" i="4"/>
  <c r="DM76" i="4"/>
  <c r="CB96" i="24"/>
  <c r="CB108" i="24"/>
  <c r="EZ168" i="4"/>
  <c r="AD168" i="4" s="1"/>
  <c r="AD168" i="1" s="1"/>
  <c r="AD168" i="7"/>
  <c r="CF101" i="24"/>
  <c r="CF89" i="24"/>
  <c r="FG172" i="7"/>
  <c r="EX172" i="7" s="1"/>
  <c r="FG173" i="4"/>
  <c r="AK173" i="7"/>
  <c r="U157" i="4"/>
  <c r="U158" i="1"/>
  <c r="U157" i="1" s="1"/>
  <c r="DG115" i="7"/>
  <c r="CW92" i="24"/>
  <c r="CW104" i="24"/>
  <c r="FD194" i="4"/>
  <c r="FD193" i="7"/>
  <c r="AH194" i="7"/>
  <c r="DE105" i="24"/>
  <c r="DE93" i="24"/>
  <c r="FC202" i="4"/>
  <c r="AG202" i="4" s="1"/>
  <c r="AG202" i="1" s="1"/>
  <c r="AG202" i="7"/>
  <c r="DD230" i="7"/>
  <c r="DI209" i="4"/>
  <c r="DU210" i="4"/>
  <c r="FG247" i="4"/>
  <c r="AK247" i="7"/>
  <c r="FH60" i="4"/>
  <c r="AL61" i="4"/>
  <c r="BL101" i="24"/>
  <c r="BL89" i="24"/>
  <c r="FG145" i="4"/>
  <c r="AK145" i="7"/>
  <c r="AJ202" i="7"/>
  <c r="DR146" i="4"/>
  <c r="DT182" i="4"/>
  <c r="R55" i="1"/>
  <c r="R57" i="1" s="1"/>
  <c r="R57" i="4"/>
  <c r="P206" i="1"/>
  <c r="P205" i="1" s="1"/>
  <c r="P205" i="4"/>
  <c r="CE90" i="4"/>
  <c r="BM96" i="24"/>
  <c r="BM108" i="24"/>
  <c r="EZ147" i="4"/>
  <c r="EZ146" i="7"/>
  <c r="AD147" i="7"/>
  <c r="CE205" i="4"/>
  <c r="R77" i="1"/>
  <c r="R76" i="1" s="1"/>
  <c r="R76" i="4"/>
  <c r="FC39" i="4"/>
  <c r="FC38" i="7"/>
  <c r="AG39" i="7"/>
  <c r="FG246" i="4"/>
  <c r="AK246" i="7"/>
  <c r="BJ75" i="4"/>
  <c r="W242" i="1"/>
  <c r="W241" i="4"/>
  <c r="DI95" i="24"/>
  <c r="DI107" i="24"/>
  <c r="FA207" i="4"/>
  <c r="AE207" i="4" s="1"/>
  <c r="AE207" i="1" s="1"/>
  <c r="AE207" i="7"/>
  <c r="DP146" i="4"/>
  <c r="DJ94" i="24"/>
  <c r="DJ106" i="24"/>
  <c r="FB208" i="4"/>
  <c r="AF208" i="4" s="1"/>
  <c r="AF208" i="1" s="1"/>
  <c r="AF208" i="7"/>
  <c r="U14" i="1"/>
  <c r="U13" i="1" s="1"/>
  <c r="U6" i="1" s="1"/>
  <c r="U13" i="4"/>
  <c r="U6" i="4" s="1"/>
  <c r="DT129" i="4"/>
  <c r="BX93" i="24"/>
  <c r="BX105" i="24"/>
  <c r="FC162" i="4"/>
  <c r="AG162" i="4" s="1"/>
  <c r="AG162" i="1" s="1"/>
  <c r="AG162" i="7"/>
  <c r="DL227" i="4"/>
  <c r="BB87" i="24"/>
  <c r="BB99" i="24"/>
  <c r="FI134" i="4"/>
  <c r="FI133" i="7"/>
  <c r="AM134" i="7"/>
  <c r="O103" i="24"/>
  <c r="O91" i="24"/>
  <c r="FE85" i="4"/>
  <c r="AI85" i="4" s="1"/>
  <c r="AI85" i="1" s="1"/>
  <c r="AI85" i="7"/>
  <c r="CE104" i="24"/>
  <c r="CE92" i="24"/>
  <c r="FD171" i="4"/>
  <c r="AH171" i="4" s="1"/>
  <c r="AH171" i="1" s="1"/>
  <c r="AH171" i="7"/>
  <c r="FK124" i="7"/>
  <c r="AT109" i="24"/>
  <c r="AT97" i="24"/>
  <c r="EY124" i="4"/>
  <c r="AC124" i="7"/>
  <c r="EZ42" i="4"/>
  <c r="AD42" i="4" s="1"/>
  <c r="AD42" i="1" s="1"/>
  <c r="AD42" i="7"/>
  <c r="O20" i="1"/>
  <c r="AA20" i="1" s="1"/>
  <c r="AA20" i="4"/>
  <c r="T96" i="24"/>
  <c r="T108" i="24"/>
  <c r="EZ93" i="4"/>
  <c r="AD93" i="4" s="1"/>
  <c r="AD93" i="1" s="1"/>
  <c r="AD93" i="7"/>
  <c r="AC92" i="24"/>
  <c r="AC104" i="24"/>
  <c r="FD102" i="4"/>
  <c r="AH102" i="4" s="1"/>
  <c r="AH102" i="1" s="1"/>
  <c r="AH102" i="7"/>
  <c r="CZ109" i="24"/>
  <c r="CZ97" i="24"/>
  <c r="FK197" i="7"/>
  <c r="EY197" i="4"/>
  <c r="AC197" i="7"/>
  <c r="AB87" i="24"/>
  <c r="AB99" i="24"/>
  <c r="FI101" i="4"/>
  <c r="AM101" i="4" s="1"/>
  <c r="AM101" i="1" s="1"/>
  <c r="AM101" i="7"/>
  <c r="O168" i="1"/>
  <c r="AA168" i="4"/>
  <c r="M100" i="24"/>
  <c r="M88" i="24"/>
  <c r="FH83" i="4"/>
  <c r="AL83" i="4" s="1"/>
  <c r="AL83" i="1" s="1"/>
  <c r="AL83" i="7"/>
  <c r="AB83" i="7" s="1"/>
  <c r="AC42" i="7"/>
  <c r="AJ184" i="7"/>
  <c r="DL70" i="7"/>
  <c r="E82" i="24"/>
  <c r="D82" i="24" s="1"/>
  <c r="DL43" i="7"/>
  <c r="DL47" i="7" s="1"/>
  <c r="DL71" i="7" s="1"/>
  <c r="AL161" i="7"/>
  <c r="AB161" i="7" s="1"/>
  <c r="DP129" i="4"/>
  <c r="DP106" i="24"/>
  <c r="DP94" i="24"/>
  <c r="FB216" i="4"/>
  <c r="AF216" i="4" s="1"/>
  <c r="AF216" i="1" s="1"/>
  <c r="AF216" i="7"/>
  <c r="AF214" i="7" s="1"/>
  <c r="AD105" i="24"/>
  <c r="AD93" i="24"/>
  <c r="FC104" i="7"/>
  <c r="FC105" i="4"/>
  <c r="AG105" i="7"/>
  <c r="AF88" i="24"/>
  <c r="AF100" i="24"/>
  <c r="FH107" i="4"/>
  <c r="AL107" i="4" s="1"/>
  <c r="AL107" i="1" s="1"/>
  <c r="AL107" i="7"/>
  <c r="AB107" i="7" s="1"/>
  <c r="U88" i="1"/>
  <c r="U87" i="1" s="1"/>
  <c r="U87" i="4"/>
  <c r="CM104" i="24"/>
  <c r="CM92" i="24"/>
  <c r="FD181" i="4"/>
  <c r="AH181" i="4" s="1"/>
  <c r="AH181" i="1" s="1"/>
  <c r="BM101" i="24"/>
  <c r="BM89" i="24"/>
  <c r="FG147" i="4"/>
  <c r="FG146" i="7"/>
  <c r="EX146" i="7" s="1"/>
  <c r="AK147" i="7"/>
  <c r="EW219" i="4"/>
  <c r="FK212" i="7"/>
  <c r="DM109" i="24"/>
  <c r="DM97" i="24"/>
  <c r="EY212" i="4"/>
  <c r="DK88" i="24"/>
  <c r="DK100" i="24"/>
  <c r="FH210" i="4"/>
  <c r="FH209" i="7"/>
  <c r="AL210" i="7"/>
  <c r="AB210" i="7" s="1"/>
  <c r="DF115" i="4"/>
  <c r="BK94" i="24"/>
  <c r="BK106" i="24"/>
  <c r="FB144" i="4"/>
  <c r="AF144" i="4" s="1"/>
  <c r="AF144" i="1" s="1"/>
  <c r="AF144" i="7"/>
  <c r="EZ39" i="4"/>
  <c r="AD39" i="4" s="1"/>
  <c r="EZ38" i="7"/>
  <c r="DI88" i="24"/>
  <c r="DI100" i="24"/>
  <c r="FH207" i="4"/>
  <c r="AL207" i="4" s="1"/>
  <c r="AL207" i="1" s="1"/>
  <c r="AL207" i="7"/>
  <c r="AB207" i="7" s="1"/>
  <c r="FK242" i="7"/>
  <c r="EY242" i="4"/>
  <c r="EY241" i="7"/>
  <c r="U147" i="1"/>
  <c r="U146" i="1" s="1"/>
  <c r="U146" i="4"/>
  <c r="DN108" i="24"/>
  <c r="DN96" i="24"/>
  <c r="EZ213" i="4"/>
  <c r="AD213" i="4" s="1"/>
  <c r="AD213" i="1" s="1"/>
  <c r="Y179" i="1"/>
  <c r="Y178" i="1" s="1"/>
  <c r="Y178" i="4"/>
  <c r="DJ87" i="24"/>
  <c r="DJ99" i="24"/>
  <c r="FI208" i="4"/>
  <c r="AM208" i="4" s="1"/>
  <c r="AM208" i="1" s="1"/>
  <c r="AM208" i="7"/>
  <c r="DE115" i="4"/>
  <c r="AA38" i="7"/>
  <c r="U102" i="24"/>
  <c r="U90" i="24"/>
  <c r="FF94" i="4"/>
  <c r="AJ94" i="4" s="1"/>
  <c r="AJ94" i="1" s="1"/>
  <c r="AJ94" i="7"/>
  <c r="BI103" i="24"/>
  <c r="BI91" i="24"/>
  <c r="FE142" i="4"/>
  <c r="AI142" i="4" s="1"/>
  <c r="AI142" i="1" s="1"/>
  <c r="DU142" i="4"/>
  <c r="DH95" i="24"/>
  <c r="DH107" i="24"/>
  <c r="FA206" i="4"/>
  <c r="FA205" i="7"/>
  <c r="AE206" i="7"/>
  <c r="J92" i="24"/>
  <c r="J104" i="24"/>
  <c r="FD80" i="4"/>
  <c r="AH80" i="4" s="1"/>
  <c r="AH80" i="1" s="1"/>
  <c r="AH80" i="7"/>
  <c r="CU99" i="24"/>
  <c r="CU87" i="24"/>
  <c r="FI191" i="4"/>
  <c r="AM191" i="4" s="1"/>
  <c r="AM191" i="1" s="1"/>
  <c r="CB218" i="4"/>
  <c r="AA90" i="7"/>
  <c r="BX86" i="24"/>
  <c r="BX98" i="24"/>
  <c r="FJ162" i="4"/>
  <c r="AN162" i="4" s="1"/>
  <c r="AN162" i="1" s="1"/>
  <c r="Y227" i="4"/>
  <c r="Y228" i="1"/>
  <c r="Y227" i="1" s="1"/>
  <c r="BB95" i="24"/>
  <c r="BB107" i="24"/>
  <c r="FA133" i="7"/>
  <c r="FA134" i="4"/>
  <c r="AE134" i="7"/>
  <c r="O104" i="24"/>
  <c r="O92" i="24"/>
  <c r="FD85" i="4"/>
  <c r="AH85" i="4" s="1"/>
  <c r="AH85" i="1" s="1"/>
  <c r="AH85" i="7"/>
  <c r="BQ99" i="24"/>
  <c r="BQ87" i="24"/>
  <c r="FI152" i="4"/>
  <c r="AM152" i="4" s="1"/>
  <c r="AM152" i="1" s="1"/>
  <c r="AM152" i="7"/>
  <c r="O221" i="1"/>
  <c r="AA221" i="4"/>
  <c r="AZ94" i="24"/>
  <c r="AZ106" i="24"/>
  <c r="FB131" i="4"/>
  <c r="AF131" i="4" s="1"/>
  <c r="AF131" i="1" s="1"/>
  <c r="AF131" i="7"/>
  <c r="X75" i="7"/>
  <c r="AH88" i="24"/>
  <c r="AH100" i="24"/>
  <c r="FH109" i="4"/>
  <c r="AL109" i="4" s="1"/>
  <c r="AL109" i="1" s="1"/>
  <c r="O137" i="1"/>
  <c r="AA137" i="4"/>
  <c r="CE87" i="24"/>
  <c r="CE99" i="24"/>
  <c r="FI171" i="4"/>
  <c r="AM171" i="4" s="1"/>
  <c r="AM171" i="1" s="1"/>
  <c r="BJ87" i="24"/>
  <c r="BJ99" i="24"/>
  <c r="FI143" i="4"/>
  <c r="AM143" i="4" s="1"/>
  <c r="AM143" i="1" s="1"/>
  <c r="AM143" i="7"/>
  <c r="AT103" i="24"/>
  <c r="AT91" i="24"/>
  <c r="FE124" i="4"/>
  <c r="AI124" i="4" s="1"/>
  <c r="AI124" i="1" s="1"/>
  <c r="AI124" i="7"/>
  <c r="DU124" i="4"/>
  <c r="CT92" i="24"/>
  <c r="CT104" i="24"/>
  <c r="FD190" i="4"/>
  <c r="AH190" i="4" s="1"/>
  <c r="AH190" i="1" s="1"/>
  <c r="AH190" i="7"/>
  <c r="FE44" i="4"/>
  <c r="AI44" i="4" s="1"/>
  <c r="AI44" i="1" s="1"/>
  <c r="AI44" i="7"/>
  <c r="T91" i="24"/>
  <c r="T103" i="24"/>
  <c r="FE93" i="4"/>
  <c r="AI93" i="4" s="1"/>
  <c r="AI93" i="1" s="1"/>
  <c r="W214" i="4"/>
  <c r="W215" i="1"/>
  <c r="CX88" i="24"/>
  <c r="CX100" i="24"/>
  <c r="FH195" i="4"/>
  <c r="AL195" i="4" s="1"/>
  <c r="AL195" i="1" s="1"/>
  <c r="U134" i="1"/>
  <c r="U133" i="1" s="1"/>
  <c r="U133" i="4"/>
  <c r="AA99" i="24"/>
  <c r="AA87" i="24"/>
  <c r="FI100" i="4"/>
  <c r="AM100" i="4" s="1"/>
  <c r="AM100" i="1" s="1"/>
  <c r="DU83" i="4"/>
  <c r="AC94" i="24"/>
  <c r="AC106" i="24"/>
  <c r="FB102" i="4"/>
  <c r="AF102" i="4" s="1"/>
  <c r="AF102" i="1" s="1"/>
  <c r="AF102" i="7"/>
  <c r="DU104" i="7"/>
  <c r="CQ95" i="24"/>
  <c r="CQ107" i="24"/>
  <c r="FA186" i="4"/>
  <c r="AE186" i="4" s="1"/>
  <c r="AE186" i="1" s="1"/>
  <c r="AE186" i="7"/>
  <c r="H96" i="24"/>
  <c r="H108" i="24"/>
  <c r="EZ78" i="4"/>
  <c r="AD78" i="4" s="1"/>
  <c r="AD78" i="1" s="1"/>
  <c r="BL218" i="4"/>
  <c r="CZ86" i="24"/>
  <c r="CZ98" i="24"/>
  <c r="FJ197" i="4"/>
  <c r="AN197" i="4" s="1"/>
  <c r="AN197" i="1" s="1"/>
  <c r="AN197" i="7"/>
  <c r="Z75" i="7"/>
  <c r="BU94" i="24"/>
  <c r="BU106" i="24"/>
  <c r="FB159" i="4"/>
  <c r="AF159" i="4" s="1"/>
  <c r="AF159" i="1" s="1"/>
  <c r="AF159" i="7"/>
  <c r="AD78" i="7"/>
  <c r="AB92" i="24"/>
  <c r="AB104" i="24"/>
  <c r="FD101" i="4"/>
  <c r="AH101" i="4" s="1"/>
  <c r="AH101" i="1" s="1"/>
  <c r="N100" i="24"/>
  <c r="N88" i="24"/>
  <c r="FH84" i="4"/>
  <c r="AL84" i="4" s="1"/>
  <c r="AL84" i="1" s="1"/>
  <c r="CG94" i="24"/>
  <c r="CG106" i="24"/>
  <c r="FB174" i="4"/>
  <c r="AF174" i="4" s="1"/>
  <c r="AF174" i="1" s="1"/>
  <c r="AF174" i="7"/>
  <c r="FK137" i="7"/>
  <c r="BE109" i="24"/>
  <c r="BE97" i="24"/>
  <c r="EY137" i="4"/>
  <c r="AC137" i="4" s="1"/>
  <c r="CA115" i="4"/>
  <c r="AS91" i="24"/>
  <c r="AS103" i="24"/>
  <c r="FE123" i="4"/>
  <c r="AI123" i="4" s="1"/>
  <c r="AI123" i="1" s="1"/>
  <c r="AI123" i="7"/>
  <c r="AY96" i="24"/>
  <c r="AY108" i="24"/>
  <c r="EZ130" i="4"/>
  <c r="EZ129" i="7"/>
  <c r="BW104" i="24"/>
  <c r="BW92" i="24"/>
  <c r="FD161" i="4"/>
  <c r="AH161" i="4" s="1"/>
  <c r="AH161" i="1" s="1"/>
  <c r="AH161" i="7"/>
  <c r="CB87" i="4"/>
  <c r="CB75" i="4" s="1"/>
  <c r="M95" i="24"/>
  <c r="M107" i="24"/>
  <c r="FA83" i="4"/>
  <c r="AE83" i="4" s="1"/>
  <c r="AE83" i="1" s="1"/>
  <c r="AE83" i="7"/>
  <c r="O153" i="1"/>
  <c r="AA153" i="4"/>
  <c r="R134" i="1"/>
  <c r="R133" i="1" s="1"/>
  <c r="R133" i="4"/>
  <c r="CK106" i="24"/>
  <c r="CK94" i="24"/>
  <c r="FB179" i="4"/>
  <c r="AF179" i="4" s="1"/>
  <c r="FB178" i="7"/>
  <c r="AF179" i="7"/>
  <c r="DC90" i="24"/>
  <c r="DC102" i="24"/>
  <c r="FF200" i="4"/>
  <c r="AJ200" i="4" s="1"/>
  <c r="AJ200" i="1" s="1"/>
  <c r="DP90" i="24"/>
  <c r="DP102" i="24"/>
  <c r="FF216" i="4"/>
  <c r="AJ216" i="4" s="1"/>
  <c r="AJ216" i="1" s="1"/>
  <c r="DR223" i="4"/>
  <c r="Q14" i="1"/>
  <c r="Q13" i="1" s="1"/>
  <c r="Q6" i="1" s="1"/>
  <c r="Q13" i="4"/>
  <c r="Q6" i="4" s="1"/>
  <c r="AD95" i="24"/>
  <c r="AD107" i="24"/>
  <c r="FA104" i="7"/>
  <c r="FA105" i="4"/>
  <c r="AE105" i="7"/>
  <c r="CJ95" i="24"/>
  <c r="CJ107" i="24"/>
  <c r="FA177" i="4"/>
  <c r="AE177" i="4" s="1"/>
  <c r="AE177" i="1" s="1"/>
  <c r="O67" i="1"/>
  <c r="AA67" i="4"/>
  <c r="O218" i="7"/>
  <c r="CV94" i="24"/>
  <c r="CV106" i="24"/>
  <c r="FB192" i="4"/>
  <c r="AF192" i="4" s="1"/>
  <c r="AF192" i="1" s="1"/>
  <c r="AF192" i="7"/>
  <c r="BZ92" i="24"/>
  <c r="BZ104" i="24"/>
  <c r="FD166" i="4"/>
  <c r="AH166" i="4" s="1"/>
  <c r="AH166" i="1" s="1"/>
  <c r="FK79" i="7"/>
  <c r="I109" i="24"/>
  <c r="I97" i="24"/>
  <c r="EY79" i="4"/>
  <c r="AC79" i="7"/>
  <c r="AF97" i="24"/>
  <c r="AF109" i="24"/>
  <c r="FK107" i="7"/>
  <c r="EY107" i="4"/>
  <c r="BR93" i="24"/>
  <c r="BR105" i="24"/>
  <c r="FC153" i="4"/>
  <c r="AG153" i="4" s="1"/>
  <c r="AG153" i="1" s="1"/>
  <c r="AG153" i="7"/>
  <c r="Y29" i="4"/>
  <c r="Y31" i="1"/>
  <c r="Y29" i="1" s="1"/>
  <c r="G89" i="24"/>
  <c r="G101" i="24"/>
  <c r="FG77" i="4"/>
  <c r="FG76" i="7"/>
  <c r="EX76" i="7" s="1"/>
  <c r="CD87" i="24"/>
  <c r="CD99" i="24"/>
  <c r="FI170" i="4"/>
  <c r="AM170" i="4" s="1"/>
  <c r="AM170" i="1" s="1"/>
  <c r="AM170" i="7"/>
  <c r="DU85" i="4"/>
  <c r="AD39" i="7"/>
  <c r="CM95" i="24"/>
  <c r="CM107" i="24"/>
  <c r="FA181" i="4"/>
  <c r="AE181" i="4" s="1"/>
  <c r="AE181" i="1" s="1"/>
  <c r="AE181" i="7"/>
  <c r="DR76" i="4"/>
  <c r="DK70" i="7"/>
  <c r="E83" i="24"/>
  <c r="D83" i="24" s="1"/>
  <c r="DK43" i="7"/>
  <c r="DK47" i="7" s="1"/>
  <c r="DK71" i="7" s="1"/>
  <c r="O44" i="1"/>
  <c r="AA44" i="4"/>
  <c r="DQ193" i="4"/>
  <c r="BU87" i="24"/>
  <c r="BU99" i="24"/>
  <c r="FI159" i="4"/>
  <c r="AM159" i="4" s="1"/>
  <c r="AM159" i="1" s="1"/>
  <c r="AM159" i="7"/>
  <c r="AB90" i="24"/>
  <c r="AB102" i="24"/>
  <c r="FF101" i="4"/>
  <c r="AJ101" i="4" s="1"/>
  <c r="AJ101" i="1" s="1"/>
  <c r="AJ101" i="7"/>
  <c r="DA75" i="4"/>
  <c r="N104" i="24"/>
  <c r="N92" i="24"/>
  <c r="FD84" i="4"/>
  <c r="AH84" i="4" s="1"/>
  <c r="AH84" i="1" s="1"/>
  <c r="CG87" i="24"/>
  <c r="CG99" i="24"/>
  <c r="FI174" i="4"/>
  <c r="AM174" i="4" s="1"/>
  <c r="AM174" i="1" s="1"/>
  <c r="BE96" i="24"/>
  <c r="BE108" i="24"/>
  <c r="EZ137" i="4"/>
  <c r="AD137" i="4" s="1"/>
  <c r="AD137" i="1" s="1"/>
  <c r="AS102" i="24"/>
  <c r="AS90" i="24"/>
  <c r="FF123" i="4"/>
  <c r="AJ123" i="4" s="1"/>
  <c r="AJ123" i="1" s="1"/>
  <c r="AY94" i="24"/>
  <c r="AY106" i="24"/>
  <c r="FB130" i="4"/>
  <c r="FB129" i="7"/>
  <c r="AF130" i="7"/>
  <c r="BW102" i="24"/>
  <c r="BW90" i="24"/>
  <c r="FF161" i="4"/>
  <c r="AJ161" i="4" s="1"/>
  <c r="AJ161" i="1" s="1"/>
  <c r="M94" i="24"/>
  <c r="M106" i="24"/>
  <c r="FB83" i="4"/>
  <c r="AF83" i="4" s="1"/>
  <c r="AF83" i="1" s="1"/>
  <c r="AF83" i="7"/>
  <c r="DU203" i="4"/>
  <c r="CK88" i="24"/>
  <c r="CK100" i="24"/>
  <c r="FH179" i="4"/>
  <c r="FH178" i="7"/>
  <c r="AL179" i="7"/>
  <c r="AB179" i="7" s="1"/>
  <c r="P193" i="4"/>
  <c r="P194" i="1"/>
  <c r="P193" i="1" s="1"/>
  <c r="CC72" i="7"/>
  <c r="BM70" i="4"/>
  <c r="FJ244" i="4"/>
  <c r="AN244" i="4" s="1"/>
  <c r="AN244" i="1" s="1"/>
  <c r="AN244" i="7"/>
  <c r="CZ115" i="4"/>
  <c r="DC101" i="24"/>
  <c r="DC89" i="24"/>
  <c r="FG200" i="4"/>
  <c r="AK200" i="7"/>
  <c r="DP89" i="24"/>
  <c r="DP101" i="24"/>
  <c r="FG216" i="4"/>
  <c r="Q133" i="4"/>
  <c r="Q134" i="1"/>
  <c r="Q133" i="1" s="1"/>
  <c r="AD106" i="24"/>
  <c r="AD94" i="24"/>
  <c r="FB104" i="7"/>
  <c r="FB105" i="4"/>
  <c r="AF105" i="4" s="1"/>
  <c r="AF105" i="7"/>
  <c r="DP70" i="7"/>
  <c r="E78" i="24"/>
  <c r="D78" i="24" s="1"/>
  <c r="DP43" i="7"/>
  <c r="DP47" i="7" s="1"/>
  <c r="DP71" i="7" s="1"/>
  <c r="CJ93" i="24"/>
  <c r="CJ105" i="24"/>
  <c r="FC177" i="4"/>
  <c r="AG177" i="4" s="1"/>
  <c r="AG177" i="1" s="1"/>
  <c r="AG177" i="7"/>
  <c r="CV93" i="24"/>
  <c r="CV105" i="24"/>
  <c r="FC192" i="4"/>
  <c r="AG192" i="4" s="1"/>
  <c r="AG192" i="1" s="1"/>
  <c r="CE146" i="4"/>
  <c r="BZ102" i="24"/>
  <c r="BZ90" i="24"/>
  <c r="FF166" i="4"/>
  <c r="AJ166" i="4" s="1"/>
  <c r="AJ166" i="1" s="1"/>
  <c r="Q115" i="7"/>
  <c r="I96" i="24"/>
  <c r="I108" i="24"/>
  <c r="EZ79" i="4"/>
  <c r="AD79" i="4" s="1"/>
  <c r="AD79" i="1" s="1"/>
  <c r="AD79" i="7"/>
  <c r="AF95" i="24"/>
  <c r="AF107" i="24"/>
  <c r="FA107" i="4"/>
  <c r="AE107" i="4" s="1"/>
  <c r="AE107" i="1" s="1"/>
  <c r="AE107" i="7"/>
  <c r="Z70" i="7"/>
  <c r="BR104" i="24"/>
  <c r="BR92" i="24"/>
  <c r="FD153" i="4"/>
  <c r="AH153" i="4" s="1"/>
  <c r="AH153" i="1" s="1"/>
  <c r="CC115" i="4"/>
  <c r="CE138" i="4"/>
  <c r="W139" i="1"/>
  <c r="W138" i="4"/>
  <c r="Q172" i="4"/>
  <c r="Q173" i="1"/>
  <c r="Q172" i="1" s="1"/>
  <c r="G88" i="24"/>
  <c r="G100" i="24"/>
  <c r="FH77" i="4"/>
  <c r="FH76" i="7"/>
  <c r="CD108" i="24"/>
  <c r="CD96" i="24"/>
  <c r="EZ170" i="4"/>
  <c r="AD170" i="4" s="1"/>
  <c r="AD170" i="1" s="1"/>
  <c r="AD170" i="7"/>
  <c r="CM94" i="24"/>
  <c r="CM106" i="24"/>
  <c r="FB181" i="4"/>
  <c r="AF181" i="4" s="1"/>
  <c r="AF181" i="1" s="1"/>
  <c r="AF181" i="7"/>
  <c r="DK29" i="4"/>
  <c r="CQ87" i="24"/>
  <c r="CQ99" i="24"/>
  <c r="FI186" i="4"/>
  <c r="AM186" i="4" s="1"/>
  <c r="AM186" i="1" s="1"/>
  <c r="DT164" i="4"/>
  <c r="H94" i="24"/>
  <c r="H106" i="24"/>
  <c r="FB78" i="4"/>
  <c r="AF78" i="4" s="1"/>
  <c r="AF78" i="1" s="1"/>
  <c r="AF78" i="7"/>
  <c r="V173" i="1"/>
  <c r="V172" i="1" s="1"/>
  <c r="V172" i="4"/>
  <c r="CZ95" i="24"/>
  <c r="CZ107" i="24"/>
  <c r="FA197" i="4"/>
  <c r="AE197" i="4" s="1"/>
  <c r="AE197" i="1" s="1"/>
  <c r="AE197" i="7"/>
  <c r="BU107" i="24"/>
  <c r="BU95" i="24"/>
  <c r="FA159" i="4"/>
  <c r="AE159" i="4" s="1"/>
  <c r="AE159" i="1" s="1"/>
  <c r="AE159" i="7"/>
  <c r="AB101" i="24"/>
  <c r="AB89" i="24"/>
  <c r="FG101" i="4"/>
  <c r="AK101" i="7"/>
  <c r="N103" i="24"/>
  <c r="N91" i="24"/>
  <c r="FE84" i="4"/>
  <c r="AI84" i="4" s="1"/>
  <c r="AI84" i="1" s="1"/>
  <c r="AI84" i="7"/>
  <c r="FJ243" i="4"/>
  <c r="AN243" i="4" s="1"/>
  <c r="AN243" i="1" s="1"/>
  <c r="AN243" i="7"/>
  <c r="CG93" i="24"/>
  <c r="CG105" i="24"/>
  <c r="FC174" i="4"/>
  <c r="AG174" i="4" s="1"/>
  <c r="AG174" i="1" s="1"/>
  <c r="BE95" i="24"/>
  <c r="BE107" i="24"/>
  <c r="FA137" i="4"/>
  <c r="AE137" i="4" s="1"/>
  <c r="AE137" i="1" s="1"/>
  <c r="AS88" i="24"/>
  <c r="AS100" i="24"/>
  <c r="FH123" i="4"/>
  <c r="AL123" i="4" s="1"/>
  <c r="AL123" i="1" s="1"/>
  <c r="AY86" i="24"/>
  <c r="AY98" i="24"/>
  <c r="FJ129" i="7"/>
  <c r="FJ130" i="4"/>
  <c r="AN130" i="4" s="1"/>
  <c r="BW89" i="24"/>
  <c r="BW101" i="24"/>
  <c r="FG161" i="4"/>
  <c r="O15" i="1"/>
  <c r="AA15" i="1" s="1"/>
  <c r="AA15" i="4"/>
  <c r="M98" i="24"/>
  <c r="M86" i="24"/>
  <c r="FJ83" i="4"/>
  <c r="AN83" i="4" s="1"/>
  <c r="AN83" i="1" s="1"/>
  <c r="AN83" i="7"/>
  <c r="DT76" i="4"/>
  <c r="CD43" i="4"/>
  <c r="CD47" i="4" s="1"/>
  <c r="CD71" i="4" s="1"/>
  <c r="FK179" i="7"/>
  <c r="CK109" i="24"/>
  <c r="CK97" i="24"/>
  <c r="EY179" i="4"/>
  <c r="AC179" i="4" s="1"/>
  <c r="EY178" i="7"/>
  <c r="AC179" i="7"/>
  <c r="P146" i="4"/>
  <c r="P147" i="1"/>
  <c r="P146" i="1" s="1"/>
  <c r="X130" i="1"/>
  <c r="X129" i="1" s="1"/>
  <c r="X129" i="4"/>
  <c r="W60" i="4"/>
  <c r="W61" i="1"/>
  <c r="FK244" i="7"/>
  <c r="EY244" i="4"/>
  <c r="AC244" i="7"/>
  <c r="CX115" i="4"/>
  <c r="DC104" i="24"/>
  <c r="DC92" i="24"/>
  <c r="FD200" i="4"/>
  <c r="AH200" i="4" s="1"/>
  <c r="AH200" i="1" s="1"/>
  <c r="AH200" i="7"/>
  <c r="V228" i="1"/>
  <c r="V227" i="1" s="1"/>
  <c r="V227" i="4"/>
  <c r="DP100" i="24"/>
  <c r="DP88" i="24"/>
  <c r="FH216" i="4"/>
  <c r="AL216" i="4" s="1"/>
  <c r="AL216" i="1" s="1"/>
  <c r="DL214" i="4"/>
  <c r="BI70" i="4"/>
  <c r="AD87" i="24"/>
  <c r="AD99" i="24"/>
  <c r="FI105" i="4"/>
  <c r="FI104" i="7"/>
  <c r="DP29" i="4"/>
  <c r="CJ92" i="24"/>
  <c r="CJ104" i="24"/>
  <c r="FD177" i="4"/>
  <c r="AH177" i="4" s="1"/>
  <c r="AH177" i="1" s="1"/>
  <c r="AH177" i="7"/>
  <c r="DT193" i="4"/>
  <c r="CV92" i="24"/>
  <c r="CV104" i="24"/>
  <c r="FD192" i="4"/>
  <c r="AH192" i="4" s="1"/>
  <c r="AH192" i="1" s="1"/>
  <c r="P129" i="4"/>
  <c r="P130" i="1"/>
  <c r="P129" i="1" s="1"/>
  <c r="BZ88" i="24"/>
  <c r="BZ100" i="24"/>
  <c r="FH166" i="4"/>
  <c r="AL166" i="4" s="1"/>
  <c r="AL166" i="1" s="1"/>
  <c r="AL166" i="7"/>
  <c r="AB166" i="7" s="1"/>
  <c r="AA181" i="4"/>
  <c r="O181" i="1"/>
  <c r="O212" i="1"/>
  <c r="AA212" i="4"/>
  <c r="I95" i="24"/>
  <c r="I107" i="24"/>
  <c r="FA79" i="4"/>
  <c r="AE79" i="4" s="1"/>
  <c r="AE79" i="1" s="1"/>
  <c r="AF93" i="24"/>
  <c r="AF105" i="24"/>
  <c r="FC107" i="4"/>
  <c r="AG107" i="4" s="1"/>
  <c r="AG107" i="1" s="1"/>
  <c r="AG107" i="7"/>
  <c r="BF58" i="4"/>
  <c r="BR103" i="24"/>
  <c r="BR91" i="24"/>
  <c r="FE153" i="4"/>
  <c r="AI153" i="4" s="1"/>
  <c r="AI153" i="1" s="1"/>
  <c r="AI153" i="7"/>
  <c r="AJ166" i="7"/>
  <c r="O171" i="1"/>
  <c r="AA171" i="4"/>
  <c r="G87" i="24"/>
  <c r="G99" i="24"/>
  <c r="FI77" i="4"/>
  <c r="FI76" i="7"/>
  <c r="DP178" i="4"/>
  <c r="CD95" i="24"/>
  <c r="CD107" i="24"/>
  <c r="FA170" i="4"/>
  <c r="AE170" i="4" s="1"/>
  <c r="AE170" i="1" s="1"/>
  <c r="DM38" i="4"/>
  <c r="CU58" i="4"/>
  <c r="Z61" i="1"/>
  <c r="Z60" i="1" s="1"/>
  <c r="Z60" i="4"/>
  <c r="CM109" i="24"/>
  <c r="CM97" i="24"/>
  <c r="FK181" i="7"/>
  <c r="EY181" i="4"/>
  <c r="AC181" i="4" s="1"/>
  <c r="BS43" i="4"/>
  <c r="BS47" i="4" s="1"/>
  <c r="BS71" i="4" s="1"/>
  <c r="AA111" i="4"/>
  <c r="O111" i="1"/>
  <c r="G97" i="24"/>
  <c r="G109" i="24"/>
  <c r="FK77" i="7"/>
  <c r="EY77" i="4"/>
  <c r="EY76" i="7"/>
  <c r="FK170" i="7"/>
  <c r="CD97" i="24"/>
  <c r="CD109" i="24"/>
  <c r="EY170" i="4"/>
  <c r="X173" i="1"/>
  <c r="X172" i="1" s="1"/>
  <c r="X172" i="4"/>
  <c r="DT133" i="4"/>
  <c r="CM89" i="24"/>
  <c r="CM101" i="24"/>
  <c r="FG181" i="4"/>
  <c r="AC77" i="7"/>
  <c r="Y91" i="24"/>
  <c r="Y103" i="24"/>
  <c r="FE98" i="4"/>
  <c r="AI98" i="4" s="1"/>
  <c r="AI98" i="1" s="1"/>
  <c r="BN106" i="24"/>
  <c r="BN94" i="24"/>
  <c r="FB148" i="4"/>
  <c r="AF148" i="4" s="1"/>
  <c r="AF148" i="1" s="1"/>
  <c r="AF148" i="7"/>
  <c r="R138" i="4"/>
  <c r="R139" i="1"/>
  <c r="R138" i="1" s="1"/>
  <c r="BV97" i="24"/>
  <c r="BV109" i="24"/>
  <c r="FK160" i="7"/>
  <c r="EY160" i="4"/>
  <c r="AC160" i="7"/>
  <c r="AM94" i="24"/>
  <c r="AM106" i="24"/>
  <c r="FB117" i="4"/>
  <c r="FB116" i="7"/>
  <c r="AG61" i="4"/>
  <c r="FC60" i="4"/>
  <c r="AJ97" i="24"/>
  <c r="AJ109" i="24"/>
  <c r="FK111" i="7"/>
  <c r="EY111" i="4"/>
  <c r="AC111" i="7"/>
  <c r="Y147" i="1"/>
  <c r="Y146" i="1" s="1"/>
  <c r="Y146" i="4"/>
  <c r="Q75" i="7"/>
  <c r="W89" i="24"/>
  <c r="W101" i="24"/>
  <c r="FG96" i="4"/>
  <c r="BQ178" i="4"/>
  <c r="BY109" i="24"/>
  <c r="BY97" i="24"/>
  <c r="FK165" i="7"/>
  <c r="EY165" i="4"/>
  <c r="AC165" i="4" s="1"/>
  <c r="EY164" i="7"/>
  <c r="AC165" i="7"/>
  <c r="DO146" i="4"/>
  <c r="FK183" i="7"/>
  <c r="CN109" i="24"/>
  <c r="CN97" i="24"/>
  <c r="EY183" i="4"/>
  <c r="AC183" i="4" s="1"/>
  <c r="EY182" i="7"/>
  <c r="S117" i="1"/>
  <c r="S116" i="1" s="1"/>
  <c r="S116" i="4"/>
  <c r="DD92" i="24"/>
  <c r="DD104" i="24"/>
  <c r="FD201" i="4"/>
  <c r="AH201" i="4" s="1"/>
  <c r="AH201" i="1" s="1"/>
  <c r="AH201" i="7"/>
  <c r="DU95" i="4"/>
  <c r="AA109" i="4"/>
  <c r="O109" i="1"/>
  <c r="FK108" i="7"/>
  <c r="AG109" i="24"/>
  <c r="AG97" i="24"/>
  <c r="EY108" i="4"/>
  <c r="AC108" i="7"/>
  <c r="FK245" i="7"/>
  <c r="EY245" i="4"/>
  <c r="AC245" i="4" s="1"/>
  <c r="BD95" i="24"/>
  <c r="BD107" i="24"/>
  <c r="FA136" i="4"/>
  <c r="AE136" i="4" s="1"/>
  <c r="AE136" i="1" s="1"/>
  <c r="BP102" i="24"/>
  <c r="BP90" i="24"/>
  <c r="FF151" i="4"/>
  <c r="FF150" i="7"/>
  <c r="AJ151" i="7"/>
  <c r="DU150" i="7"/>
  <c r="CR88" i="24"/>
  <c r="CR100" i="24"/>
  <c r="FH188" i="4"/>
  <c r="FH187" i="7"/>
  <c r="O7" i="1"/>
  <c r="AA7" i="4"/>
  <c r="DG104" i="4"/>
  <c r="BF98" i="24"/>
  <c r="BF86" i="24"/>
  <c r="FJ139" i="4"/>
  <c r="FJ138" i="7"/>
  <c r="DU93" i="24"/>
  <c r="DU105" i="24"/>
  <c r="FC225" i="4"/>
  <c r="AG225" i="4" s="1"/>
  <c r="AG225" i="1" s="1"/>
  <c r="AG225" i="7"/>
  <c r="Q178" i="4"/>
  <c r="Q179" i="1"/>
  <c r="Q178" i="1" s="1"/>
  <c r="DJ29" i="4"/>
  <c r="AQ94" i="24"/>
  <c r="AQ106" i="24"/>
  <c r="FB121" i="4"/>
  <c r="AF121" i="4" s="1"/>
  <c r="AF121" i="1" s="1"/>
  <c r="AF121" i="7"/>
  <c r="FK132" i="7"/>
  <c r="BA97" i="24"/>
  <c r="BA109" i="24"/>
  <c r="EY132" i="4"/>
  <c r="AC132" i="4" s="1"/>
  <c r="AC132" i="7"/>
  <c r="AC129" i="7" s="1"/>
  <c r="CU218" i="4"/>
  <c r="DT91" i="24"/>
  <c r="DT103" i="24"/>
  <c r="FE223" i="7"/>
  <c r="FE218" i="7" s="1"/>
  <c r="FE224" i="4"/>
  <c r="AI224" i="7"/>
  <c r="CL96" i="24"/>
  <c r="CL108" i="24"/>
  <c r="EZ180" i="4"/>
  <c r="AD180" i="4" s="1"/>
  <c r="AD180" i="1" s="1"/>
  <c r="AO101" i="24"/>
  <c r="AO89" i="24"/>
  <c r="FG119" i="4"/>
  <c r="R228" i="1"/>
  <c r="R227" i="1" s="1"/>
  <c r="R227" i="4"/>
  <c r="DF98" i="24"/>
  <c r="DF86" i="24"/>
  <c r="FJ203" i="4"/>
  <c r="AN203" i="4" s="1"/>
  <c r="AN203" i="1" s="1"/>
  <c r="AN203" i="7"/>
  <c r="P103" i="24"/>
  <c r="P91" i="24"/>
  <c r="FE86" i="4"/>
  <c r="AI86" i="4" s="1"/>
  <c r="AI86" i="1" s="1"/>
  <c r="DB98" i="24"/>
  <c r="DB86" i="24"/>
  <c r="FJ199" i="4"/>
  <c r="AN199" i="4" s="1"/>
  <c r="AN199" i="1" s="1"/>
  <c r="FK204" i="7"/>
  <c r="DG97" i="24"/>
  <c r="DG109" i="24"/>
  <c r="EY204" i="4"/>
  <c r="DA95" i="24"/>
  <c r="DA107" i="24"/>
  <c r="FA198" i="4"/>
  <c r="AE198" i="4" s="1"/>
  <c r="AE198" i="1" s="1"/>
  <c r="AE198" i="7"/>
  <c r="S91" i="24"/>
  <c r="S103" i="24"/>
  <c r="FE92" i="4"/>
  <c r="AI92" i="4" s="1"/>
  <c r="AI92" i="1" s="1"/>
  <c r="AI92" i="7"/>
  <c r="AC63" i="4"/>
  <c r="FK63" i="4"/>
  <c r="CS107" i="24"/>
  <c r="CS95" i="24"/>
  <c r="FA189" i="4"/>
  <c r="AE189" i="4" s="1"/>
  <c r="AE189" i="1" s="1"/>
  <c r="AE189" i="7"/>
  <c r="AA29" i="7"/>
  <c r="CC86" i="24"/>
  <c r="CC98" i="24"/>
  <c r="FJ169" i="4"/>
  <c r="AN169" i="4" s="1"/>
  <c r="AN169" i="1" s="1"/>
  <c r="AN169" i="7"/>
  <c r="K87" i="24"/>
  <c r="K99" i="24"/>
  <c r="FI81" i="4"/>
  <c r="AM81" i="4" s="1"/>
  <c r="AM81" i="1" s="1"/>
  <c r="DT90" i="4"/>
  <c r="BC91" i="24"/>
  <c r="BC103" i="24"/>
  <c r="FE135" i="4"/>
  <c r="AI135" i="4" s="1"/>
  <c r="AI135" i="1" s="1"/>
  <c r="CI100" i="24"/>
  <c r="CI88" i="24"/>
  <c r="FH176" i="4"/>
  <c r="AL176" i="4" s="1"/>
  <c r="AL176" i="1" s="1"/>
  <c r="AL176" i="7"/>
  <c r="AP95" i="24"/>
  <c r="AP107" i="24"/>
  <c r="FA120" i="4"/>
  <c r="AE120" i="4" s="1"/>
  <c r="AE120" i="1" s="1"/>
  <c r="AE120" i="7"/>
  <c r="DP138" i="4"/>
  <c r="FH31" i="4"/>
  <c r="FH29" i="7"/>
  <c r="DU31" i="4"/>
  <c r="DI29" i="4"/>
  <c r="CH103" i="24"/>
  <c r="CH91" i="24"/>
  <c r="FE175" i="4"/>
  <c r="AI175" i="4" s="1"/>
  <c r="AI175" i="1" s="1"/>
  <c r="AW103" i="24"/>
  <c r="AW91" i="24"/>
  <c r="FE127" i="4"/>
  <c r="AI127" i="4" s="1"/>
  <c r="AI127" i="1" s="1"/>
  <c r="AX88" i="24"/>
  <c r="AX100" i="24"/>
  <c r="FH128" i="4"/>
  <c r="AL128" i="4" s="1"/>
  <c r="AL128" i="1" s="1"/>
  <c r="FK141" i="7"/>
  <c r="BH97" i="24"/>
  <c r="BH109" i="24"/>
  <c r="EY141" i="4"/>
  <c r="R90" i="4"/>
  <c r="R91" i="1"/>
  <c r="R90" i="1" s="1"/>
  <c r="AI93" i="24"/>
  <c r="AI105" i="24"/>
  <c r="FC110" i="4"/>
  <c r="AG110" i="4" s="1"/>
  <c r="AG110" i="1" s="1"/>
  <c r="CP87" i="24"/>
  <c r="CP99" i="24"/>
  <c r="FI185" i="4"/>
  <c r="AM185" i="4" s="1"/>
  <c r="AM185" i="1" s="1"/>
  <c r="AM185" i="7"/>
  <c r="AK98" i="24"/>
  <c r="AK86" i="24"/>
  <c r="FJ112" i="4"/>
  <c r="AN112" i="4" s="1"/>
  <c r="AN112" i="1" s="1"/>
  <c r="AN112" i="7"/>
  <c r="EW133" i="4"/>
  <c r="BV87" i="4"/>
  <c r="BV75" i="4" s="1"/>
  <c r="BG104" i="24"/>
  <c r="BG92" i="24"/>
  <c r="FD140" i="4"/>
  <c r="AH140" i="4" s="1"/>
  <c r="AH140" i="1" s="1"/>
  <c r="AH140" i="7"/>
  <c r="EW178" i="4"/>
  <c r="DN138" i="4"/>
  <c r="AL89" i="24"/>
  <c r="AL101" i="24"/>
  <c r="FG113" i="4"/>
  <c r="BQ115" i="7"/>
  <c r="S88" i="1"/>
  <c r="S87" i="1" s="1"/>
  <c r="S87" i="4"/>
  <c r="Q84" i="24"/>
  <c r="DJ88" i="4"/>
  <c r="DJ87" i="7"/>
  <c r="DJ75" i="7" s="1"/>
  <c r="AR99" i="24"/>
  <c r="AR87" i="24"/>
  <c r="FI122" i="4"/>
  <c r="AM122" i="4" s="1"/>
  <c r="AM122" i="1" s="1"/>
  <c r="AM122" i="7"/>
  <c r="AE103" i="24"/>
  <c r="AE91" i="24"/>
  <c r="FE106" i="4"/>
  <c r="AI106" i="4" s="1"/>
  <c r="AI106" i="1" s="1"/>
  <c r="Z147" i="1"/>
  <c r="Z146" i="1" s="1"/>
  <c r="Z146" i="4"/>
  <c r="BS100" i="24"/>
  <c r="BS88" i="24"/>
  <c r="FH154" i="4"/>
  <c r="AL154" i="4" s="1"/>
  <c r="AL154" i="1" s="1"/>
  <c r="L96" i="24"/>
  <c r="L108" i="24"/>
  <c r="EZ82" i="4"/>
  <c r="AD82" i="4" s="1"/>
  <c r="AD82" i="1" s="1"/>
  <c r="X115" i="7"/>
  <c r="EU230" i="7"/>
  <c r="EU231" i="7" s="1"/>
  <c r="AC212" i="7"/>
  <c r="V103" i="24"/>
  <c r="V91" i="24"/>
  <c r="FE95" i="4"/>
  <c r="AI95" i="4" s="1"/>
  <c r="AI95" i="1" s="1"/>
  <c r="AN96" i="24"/>
  <c r="AN108" i="24"/>
  <c r="EZ118" i="4"/>
  <c r="AD118" i="4" s="1"/>
  <c r="AD118" i="1" s="1"/>
  <c r="X151" i="1"/>
  <c r="X150" i="1" s="1"/>
  <c r="X150" i="4"/>
  <c r="BW87" i="4"/>
  <c r="BW75" i="4" s="1"/>
  <c r="X55" i="1"/>
  <c r="X57" i="1" s="1"/>
  <c r="X57" i="4"/>
  <c r="FB33" i="4"/>
  <c r="AF33" i="4" s="1"/>
  <c r="AF33" i="1" s="1"/>
  <c r="AF33" i="7"/>
  <c r="EV115" i="4"/>
  <c r="R105" i="24"/>
  <c r="R93" i="24"/>
  <c r="FC91" i="4"/>
  <c r="FC90" i="7"/>
  <c r="AG91" i="7"/>
  <c r="DO99" i="24"/>
  <c r="DO87" i="24"/>
  <c r="FI215" i="4"/>
  <c r="FI214" i="7"/>
  <c r="AM215" i="7"/>
  <c r="AM214" i="7" s="1"/>
  <c r="O170" i="1"/>
  <c r="AA170" i="4"/>
  <c r="Z94" i="24"/>
  <c r="Z106" i="24"/>
  <c r="FB99" i="4"/>
  <c r="AF99" i="4" s="1"/>
  <c r="AF99" i="1" s="1"/>
  <c r="O242" i="1"/>
  <c r="O241" i="4"/>
  <c r="AA242" i="4"/>
  <c r="CY105" i="24"/>
  <c r="CY93" i="24"/>
  <c r="FC196" i="4"/>
  <c r="AG196" i="4" s="1"/>
  <c r="AG196" i="1" s="1"/>
  <c r="AG196" i="7"/>
  <c r="AV99" i="24"/>
  <c r="AV87" i="24"/>
  <c r="FI126" i="4"/>
  <c r="AM126" i="4" s="1"/>
  <c r="AM126" i="1" s="1"/>
  <c r="AM126" i="7"/>
  <c r="BW230" i="7"/>
  <c r="BT101" i="24"/>
  <c r="BT89" i="24"/>
  <c r="FG157" i="7"/>
  <c r="EX157" i="7" s="1"/>
  <c r="FG158" i="4"/>
  <c r="AK158" i="7"/>
  <c r="DL218" i="7"/>
  <c r="Q183" i="1"/>
  <c r="Q182" i="1" s="1"/>
  <c r="Q182" i="4"/>
  <c r="DK133" i="4"/>
  <c r="AU108" i="24"/>
  <c r="AU96" i="24"/>
  <c r="EZ125" i="4"/>
  <c r="AD125" i="4" s="1"/>
  <c r="AD125" i="1" s="1"/>
  <c r="CO96" i="24"/>
  <c r="CO108" i="24"/>
  <c r="EZ184" i="4"/>
  <c r="AD184" i="4" s="1"/>
  <c r="AD184" i="1" s="1"/>
  <c r="BN115" i="4"/>
  <c r="EU218" i="4"/>
  <c r="DU169" i="4"/>
  <c r="O199" i="1"/>
  <c r="AA199" i="4"/>
  <c r="CB98" i="24"/>
  <c r="CB86" i="24"/>
  <c r="FJ168" i="4"/>
  <c r="AN168" i="4" s="1"/>
  <c r="AN168" i="1" s="1"/>
  <c r="AN168" i="7"/>
  <c r="CF100" i="24"/>
  <c r="CF88" i="24"/>
  <c r="FH172" i="7"/>
  <c r="FH173" i="4"/>
  <c r="AL173" i="4" s="1"/>
  <c r="DP90" i="4"/>
  <c r="BK156" i="4"/>
  <c r="BQ27" i="4"/>
  <c r="DM187" i="4"/>
  <c r="DS146" i="4"/>
  <c r="O36" i="1"/>
  <c r="AA36" i="4"/>
  <c r="DN90" i="4"/>
  <c r="S227" i="4"/>
  <c r="S228" i="1"/>
  <c r="S227" i="1" s="1"/>
  <c r="BQ90" i="4"/>
  <c r="CA92" i="24"/>
  <c r="CA104" i="24"/>
  <c r="FD167" i="4"/>
  <c r="AH167" i="4" s="1"/>
  <c r="AH167" i="1" s="1"/>
  <c r="AH167" i="7"/>
  <c r="CW95" i="24"/>
  <c r="CW107" i="24"/>
  <c r="FA194" i="4"/>
  <c r="FA193" i="7"/>
  <c r="AE194" i="7"/>
  <c r="DE88" i="24"/>
  <c r="DE100" i="24"/>
  <c r="FH202" i="4"/>
  <c r="AL202" i="4" s="1"/>
  <c r="AL202" i="1" s="1"/>
  <c r="X96" i="24"/>
  <c r="X108" i="24"/>
  <c r="EZ97" i="4"/>
  <c r="AD97" i="4" s="1"/>
  <c r="AD97" i="1" s="1"/>
  <c r="AD97" i="7"/>
  <c r="FD30" i="4"/>
  <c r="AH30" i="4" s="1"/>
  <c r="AH30" i="1" s="1"/>
  <c r="AH30" i="7"/>
  <c r="AA133" i="7"/>
  <c r="BO90" i="24"/>
  <c r="BO102" i="24"/>
  <c r="FF149" i="4"/>
  <c r="AJ149" i="4" s="1"/>
  <c r="AJ149" i="1" s="1"/>
  <c r="AJ149" i="7"/>
  <c r="DJ150" i="4"/>
  <c r="O55" i="1"/>
  <c r="O57" i="4"/>
  <c r="AA55" i="4"/>
  <c r="AA57" i="4" s="1"/>
  <c r="BL98" i="24"/>
  <c r="BL86" i="24"/>
  <c r="FJ145" i="4"/>
  <c r="AN145" i="4" s="1"/>
  <c r="AN145" i="1" s="1"/>
  <c r="O81" i="1"/>
  <c r="AA81" i="4"/>
  <c r="O108" i="1"/>
  <c r="AA108" i="4"/>
  <c r="AH101" i="7"/>
  <c r="DK205" i="4"/>
  <c r="DL86" i="24"/>
  <c r="DL98" i="24"/>
  <c r="FJ211" i="4"/>
  <c r="AN211" i="4" s="1"/>
  <c r="AN211" i="1" s="1"/>
  <c r="T51" i="1"/>
  <c r="T54" i="1" s="1"/>
  <c r="T54" i="4"/>
  <c r="S241" i="4"/>
  <c r="S242" i="1"/>
  <c r="S241" i="1" s="1"/>
  <c r="AA141" i="4"/>
  <c r="O141" i="1"/>
  <c r="U139" i="1"/>
  <c r="U138" i="1" s="1"/>
  <c r="U138" i="4"/>
  <c r="FK226" i="7"/>
  <c r="DV109" i="24"/>
  <c r="DV97" i="24"/>
  <c r="EY226" i="4"/>
  <c r="AC226" i="4" s="1"/>
  <c r="AC226" i="7"/>
  <c r="BM98" i="24"/>
  <c r="BM86" i="24"/>
  <c r="FJ147" i="4"/>
  <c r="AN147" i="4" s="1"/>
  <c r="FJ146" i="7"/>
  <c r="AN147" i="7"/>
  <c r="BH75" i="4"/>
  <c r="DM90" i="24"/>
  <c r="DM102" i="24"/>
  <c r="FF212" i="4"/>
  <c r="AJ212" i="4" s="1"/>
  <c r="AJ212" i="1" s="1"/>
  <c r="DK108" i="24"/>
  <c r="DK96" i="24"/>
  <c r="EZ210" i="4"/>
  <c r="EZ209" i="7"/>
  <c r="AM186" i="7"/>
  <c r="BK91" i="24"/>
  <c r="BK103" i="24"/>
  <c r="FE144" i="4"/>
  <c r="AI144" i="4" s="1"/>
  <c r="AI144" i="1" s="1"/>
  <c r="AI144" i="7"/>
  <c r="FD39" i="4"/>
  <c r="FD38" i="7"/>
  <c r="FF246" i="4"/>
  <c r="AJ246" i="4" s="1"/>
  <c r="AJ246" i="1" s="1"/>
  <c r="AJ246" i="7"/>
  <c r="BX218" i="4"/>
  <c r="Y242" i="1"/>
  <c r="Y241" i="1" s="1"/>
  <c r="Y241" i="4"/>
  <c r="BX156" i="4"/>
  <c r="DI108" i="24"/>
  <c r="DI96" i="24"/>
  <c r="EZ207" i="4"/>
  <c r="AD207" i="4" s="1"/>
  <c r="AD207" i="1" s="1"/>
  <c r="AD207" i="7"/>
  <c r="FC241" i="7"/>
  <c r="FC242" i="4"/>
  <c r="AG242" i="7"/>
  <c r="DN92" i="24"/>
  <c r="DN104" i="24"/>
  <c r="FD213" i="4"/>
  <c r="AH213" i="4" s="1"/>
  <c r="AH213" i="1" s="1"/>
  <c r="AH213" i="7"/>
  <c r="DJ105" i="24"/>
  <c r="DJ93" i="24"/>
  <c r="FC208" i="4"/>
  <c r="AG208" i="4" s="1"/>
  <c r="AG208" i="1" s="1"/>
  <c r="U96" i="24"/>
  <c r="U108" i="24"/>
  <c r="EZ94" i="4"/>
  <c r="AD94" i="4" s="1"/>
  <c r="AD94" i="1" s="1"/>
  <c r="AD94" i="7"/>
  <c r="BI108" i="24"/>
  <c r="BI96" i="24"/>
  <c r="EZ142" i="4"/>
  <c r="AD142" i="4" s="1"/>
  <c r="AD142" i="1" s="1"/>
  <c r="DH89" i="24"/>
  <c r="DH101" i="24"/>
  <c r="FG205" i="7"/>
  <c r="EX205" i="7" s="1"/>
  <c r="FG206" i="4"/>
  <c r="DI205" i="4"/>
  <c r="DU206" i="4"/>
  <c r="DU201" i="4"/>
  <c r="J108" i="24"/>
  <c r="J96" i="24"/>
  <c r="EZ80" i="4"/>
  <c r="AD80" i="4" s="1"/>
  <c r="AD80" i="1" s="1"/>
  <c r="W178" i="4"/>
  <c r="W179" i="1"/>
  <c r="CU101" i="24"/>
  <c r="CU89" i="24"/>
  <c r="FG191" i="4"/>
  <c r="AG192" i="7"/>
  <c r="BX90" i="24"/>
  <c r="BX102" i="24"/>
  <c r="FF162" i="4"/>
  <c r="AJ162" i="4" s="1"/>
  <c r="AJ162" i="1" s="1"/>
  <c r="BB89" i="24"/>
  <c r="BB101" i="24"/>
  <c r="FG134" i="4"/>
  <c r="FG133" i="7"/>
  <c r="EX133" i="7" s="1"/>
  <c r="DI133" i="4"/>
  <c r="DU134" i="4"/>
  <c r="O97" i="24"/>
  <c r="O109" i="24"/>
  <c r="FK85" i="7"/>
  <c r="EY85" i="4"/>
  <c r="BQ76" i="4"/>
  <c r="BQ91" i="24"/>
  <c r="BQ103" i="24"/>
  <c r="FE152" i="4"/>
  <c r="AI152" i="4" s="1"/>
  <c r="AI152" i="1" s="1"/>
  <c r="AI152" i="7"/>
  <c r="DG193" i="4"/>
  <c r="AZ88" i="24"/>
  <c r="AZ100" i="24"/>
  <c r="FH131" i="4"/>
  <c r="AL131" i="4" s="1"/>
  <c r="AL131" i="1" s="1"/>
  <c r="BU115" i="4"/>
  <c r="O204" i="1"/>
  <c r="AA204" i="4"/>
  <c r="AH99" i="24"/>
  <c r="AH87" i="24"/>
  <c r="FI109" i="4"/>
  <c r="AM109" i="4" s="1"/>
  <c r="AM109" i="1" s="1"/>
  <c r="AM109" i="7"/>
  <c r="BP218" i="4"/>
  <c r="CE88" i="24"/>
  <c r="CE100" i="24"/>
  <c r="FH171" i="4"/>
  <c r="AL171" i="4" s="1"/>
  <c r="AL171" i="1" s="1"/>
  <c r="BJ88" i="24"/>
  <c r="BJ100" i="24"/>
  <c r="FH143" i="4"/>
  <c r="AL143" i="4" s="1"/>
  <c r="AL143" i="1" s="1"/>
  <c r="DU200" i="4"/>
  <c r="AT95" i="24"/>
  <c r="AT107" i="24"/>
  <c r="FA124" i="4"/>
  <c r="AE124" i="4" s="1"/>
  <c r="AE124" i="1" s="1"/>
  <c r="DK214" i="4"/>
  <c r="CT107" i="24"/>
  <c r="CT95" i="24"/>
  <c r="FA190" i="4"/>
  <c r="AE190" i="4" s="1"/>
  <c r="AE190" i="1" s="1"/>
  <c r="AE190" i="7"/>
  <c r="DC218" i="4"/>
  <c r="T98" i="24"/>
  <c r="T86" i="24"/>
  <c r="FJ93" i="4"/>
  <c r="AN93" i="4" s="1"/>
  <c r="AN93" i="1" s="1"/>
  <c r="AN93" i="7"/>
  <c r="BY218" i="4"/>
  <c r="AH246" i="7"/>
  <c r="CX102" i="24"/>
  <c r="CX90" i="24"/>
  <c r="FF195" i="4"/>
  <c r="AJ195" i="4" s="1"/>
  <c r="AJ195" i="1" s="1"/>
  <c r="AJ195" i="7"/>
  <c r="ES75" i="4"/>
  <c r="AA91" i="24"/>
  <c r="AA103" i="24"/>
  <c r="FE100" i="4"/>
  <c r="AI100" i="4" s="1"/>
  <c r="AI100" i="1" s="1"/>
  <c r="AI100" i="7"/>
  <c r="BE6" i="4"/>
  <c r="BQ6" i="4" s="1"/>
  <c r="BQ13" i="4"/>
  <c r="AK243" i="7"/>
  <c r="AC88" i="24"/>
  <c r="AC100" i="24"/>
  <c r="FH102" i="4"/>
  <c r="AL102" i="4" s="1"/>
  <c r="AL102" i="1" s="1"/>
  <c r="CQ90" i="24"/>
  <c r="CQ102" i="24"/>
  <c r="FF186" i="4"/>
  <c r="AJ186" i="4" s="1"/>
  <c r="AJ186" i="1" s="1"/>
  <c r="DJ164" i="4"/>
  <c r="Y115" i="7"/>
  <c r="DU166" i="4"/>
  <c r="H88" i="24"/>
  <c r="H100" i="24"/>
  <c r="FH78" i="4"/>
  <c r="AL78" i="4" s="1"/>
  <c r="AL78" i="1" s="1"/>
  <c r="AL78" i="7"/>
  <c r="AB78" i="7" s="1"/>
  <c r="CE172" i="4"/>
  <c r="CZ91" i="24"/>
  <c r="CZ103" i="24"/>
  <c r="FE197" i="4"/>
  <c r="AI197" i="4" s="1"/>
  <c r="AI197" i="1" s="1"/>
  <c r="O79" i="1"/>
  <c r="AA79" i="4"/>
  <c r="BU91" i="24"/>
  <c r="BU103" i="24"/>
  <c r="FE159" i="4"/>
  <c r="AI159" i="4" s="1"/>
  <c r="AI159" i="1" s="1"/>
  <c r="AB98" i="24"/>
  <c r="AB86" i="24"/>
  <c r="FJ101" i="4"/>
  <c r="AN101" i="4" s="1"/>
  <c r="AN101" i="1" s="1"/>
  <c r="AN101" i="7"/>
  <c r="N87" i="24"/>
  <c r="N99" i="24"/>
  <c r="FI84" i="4"/>
  <c r="AM84" i="4" s="1"/>
  <c r="AM84" i="1" s="1"/>
  <c r="FI243" i="4"/>
  <c r="AM243" i="4" s="1"/>
  <c r="AM243" i="1" s="1"/>
  <c r="AM243" i="7"/>
  <c r="CG90" i="24"/>
  <c r="CG102" i="24"/>
  <c r="FF174" i="4"/>
  <c r="AJ174" i="4" s="1"/>
  <c r="AJ174" i="1" s="1"/>
  <c r="AJ174" i="7"/>
  <c r="BE93" i="24"/>
  <c r="BE105" i="24"/>
  <c r="FC137" i="4"/>
  <c r="AG137" i="4" s="1"/>
  <c r="AG137" i="1" s="1"/>
  <c r="AG137" i="7"/>
  <c r="T179" i="1"/>
  <c r="T178" i="1" s="1"/>
  <c r="T178" i="4"/>
  <c r="AS106" i="24"/>
  <c r="AS94" i="24"/>
  <c r="FB123" i="4"/>
  <c r="AF123" i="4" s="1"/>
  <c r="AF123" i="1" s="1"/>
  <c r="AF123" i="7"/>
  <c r="AY101" i="24"/>
  <c r="AY89" i="24"/>
  <c r="FG130" i="4"/>
  <c r="FG129" i="7"/>
  <c r="EX129" i="7" s="1"/>
  <c r="BW96" i="24"/>
  <c r="BW108" i="24"/>
  <c r="EZ161" i="4"/>
  <c r="AD161" i="4" s="1"/>
  <c r="AD161" i="1" s="1"/>
  <c r="AD161" i="7"/>
  <c r="Z105" i="1"/>
  <c r="Z104" i="1" s="1"/>
  <c r="Z104" i="4"/>
  <c r="M103" i="24"/>
  <c r="M91" i="24"/>
  <c r="FE83" i="4"/>
  <c r="AI83" i="4" s="1"/>
  <c r="AI83" i="1" s="1"/>
  <c r="AI83" i="7"/>
  <c r="EL230" i="7"/>
  <c r="DU42" i="4"/>
  <c r="DQ218" i="7"/>
  <c r="DO223" i="4"/>
  <c r="CK101" i="24"/>
  <c r="CK89" i="24"/>
  <c r="FG178" i="7"/>
  <c r="EX178" i="7" s="1"/>
  <c r="FG179" i="4"/>
  <c r="P117" i="1"/>
  <c r="P116" i="1" s="1"/>
  <c r="P116" i="4"/>
  <c r="AA222" i="4"/>
  <c r="O222" i="1"/>
  <c r="FA244" i="4"/>
  <c r="AE244" i="4" s="1"/>
  <c r="AE244" i="1" s="1"/>
  <c r="AE244" i="7"/>
  <c r="P228" i="1"/>
  <c r="P227" i="1" s="1"/>
  <c r="P227" i="4"/>
  <c r="DN146" i="4"/>
  <c r="DC106" i="24"/>
  <c r="DC94" i="24"/>
  <c r="FB200" i="4"/>
  <c r="AF200" i="4" s="1"/>
  <c r="AF200" i="1" s="1"/>
  <c r="AF200" i="7"/>
  <c r="DP99" i="24"/>
  <c r="DP87" i="24"/>
  <c r="FI216" i="4"/>
  <c r="AM216" i="4" s="1"/>
  <c r="AM216" i="1" s="1"/>
  <c r="EW104" i="4"/>
  <c r="BH58" i="4"/>
  <c r="AD90" i="24"/>
  <c r="AD102" i="24"/>
  <c r="FF104" i="7"/>
  <c r="FF105" i="4"/>
  <c r="FJ32" i="4"/>
  <c r="AN32" i="4" s="1"/>
  <c r="AN32" i="1" s="1"/>
  <c r="AN32" i="7"/>
  <c r="CJ100" i="24"/>
  <c r="CJ88" i="24"/>
  <c r="FH177" i="4"/>
  <c r="AL177" i="4" s="1"/>
  <c r="AL177" i="1" s="1"/>
  <c r="Y133" i="4"/>
  <c r="Y134" i="1"/>
  <c r="Y133" i="1" s="1"/>
  <c r="CV88" i="24"/>
  <c r="CV100" i="24"/>
  <c r="FH192" i="4"/>
  <c r="AL192" i="4" s="1"/>
  <c r="AL192" i="1" s="1"/>
  <c r="BZ94" i="24"/>
  <c r="BZ106" i="24"/>
  <c r="FB166" i="4"/>
  <c r="AF166" i="4" s="1"/>
  <c r="AF166" i="1" s="1"/>
  <c r="BO115" i="4"/>
  <c r="DJ187" i="4"/>
  <c r="I89" i="24"/>
  <c r="I101" i="24"/>
  <c r="FG79" i="4"/>
  <c r="AK79" i="7"/>
  <c r="AF91" i="24"/>
  <c r="AF103" i="24"/>
  <c r="FE107" i="4"/>
  <c r="AI107" i="4" s="1"/>
  <c r="AI107" i="1" s="1"/>
  <c r="DR205" i="4"/>
  <c r="BE43" i="4"/>
  <c r="BE47" i="4" s="1"/>
  <c r="DU136" i="4"/>
  <c r="DO115" i="7"/>
  <c r="AK206" i="7"/>
  <c r="S164" i="4"/>
  <c r="S165" i="1"/>
  <c r="S164" i="1" s="1"/>
  <c r="BR99" i="24"/>
  <c r="BR87" i="24"/>
  <c r="FI153" i="4"/>
  <c r="AM153" i="4" s="1"/>
  <c r="AM153" i="1" s="1"/>
  <c r="AM153" i="7"/>
  <c r="AF117" i="7"/>
  <c r="CE29" i="4"/>
  <c r="O101" i="1"/>
  <c r="AA101" i="4"/>
  <c r="G96" i="24"/>
  <c r="G108" i="24"/>
  <c r="EZ77" i="4"/>
  <c r="EZ76" i="7"/>
  <c r="AD77" i="7"/>
  <c r="CD93" i="24"/>
  <c r="CD105" i="24"/>
  <c r="FC170" i="4"/>
  <c r="AG170" i="4" s="1"/>
  <c r="AG170" i="1" s="1"/>
  <c r="AG170" i="7"/>
  <c r="AE137" i="7"/>
  <c r="DU153" i="4"/>
  <c r="CM103" i="24"/>
  <c r="CM91" i="24"/>
  <c r="FE181" i="4"/>
  <c r="AI181" i="4" s="1"/>
  <c r="AI181" i="1" s="1"/>
  <c r="AI181" i="7"/>
  <c r="AD125" i="7"/>
  <c r="DU77" i="4"/>
  <c r="DI76" i="4"/>
  <c r="W54" i="4"/>
  <c r="W51" i="1"/>
  <c r="M89" i="24"/>
  <c r="M101" i="24"/>
  <c r="FG83" i="4"/>
  <c r="AF243" i="7"/>
  <c r="DQ115" i="7"/>
  <c r="CK92" i="24"/>
  <c r="CK104" i="24"/>
  <c r="FD179" i="4"/>
  <c r="FD178" i="7"/>
  <c r="AH179" i="7"/>
  <c r="DF218" i="4"/>
  <c r="S220" i="1"/>
  <c r="S219" i="1" s="1"/>
  <c r="S219" i="4"/>
  <c r="AI244" i="7"/>
  <c r="O180" i="1"/>
  <c r="AA180" i="4"/>
  <c r="AA157" i="7"/>
  <c r="AA156" i="7" s="1"/>
  <c r="DC87" i="24"/>
  <c r="DC99" i="24"/>
  <c r="FI200" i="4"/>
  <c r="AM200" i="4" s="1"/>
  <c r="AM200" i="1" s="1"/>
  <c r="AM200" i="7"/>
  <c r="Q88" i="1"/>
  <c r="Q87" i="1" s="1"/>
  <c r="Q87" i="4"/>
  <c r="FK216" i="7"/>
  <c r="DP97" i="24"/>
  <c r="DP109" i="24"/>
  <c r="EY216" i="4"/>
  <c r="AC216" i="7"/>
  <c r="AK161" i="7"/>
  <c r="Q206" i="1"/>
  <c r="Q205" i="1" s="1"/>
  <c r="Q205" i="4"/>
  <c r="BE156" i="4"/>
  <c r="R51" i="1"/>
  <c r="R54" i="1" s="1"/>
  <c r="R54" i="4"/>
  <c r="AD89" i="24"/>
  <c r="AD101" i="24"/>
  <c r="FG104" i="7"/>
  <c r="EX104" i="7" s="1"/>
  <c r="FG105" i="4"/>
  <c r="AK105" i="7"/>
  <c r="FK32" i="7"/>
  <c r="EY32" i="4"/>
  <c r="CJ99" i="24"/>
  <c r="CJ87" i="24"/>
  <c r="FI177" i="4"/>
  <c r="AM177" i="4" s="1"/>
  <c r="AM177" i="1" s="1"/>
  <c r="AM177" i="7"/>
  <c r="EW76" i="4"/>
  <c r="CV87" i="24"/>
  <c r="CV99" i="24"/>
  <c r="FI192" i="4"/>
  <c r="AM192" i="4" s="1"/>
  <c r="AM192" i="1" s="1"/>
  <c r="DU88" i="7"/>
  <c r="DU87" i="7" s="1"/>
  <c r="Q81" i="24"/>
  <c r="DM88" i="4"/>
  <c r="DM87" i="7"/>
  <c r="DM75" i="7" s="1"/>
  <c r="BZ98" i="24"/>
  <c r="BZ86" i="24"/>
  <c r="FJ166" i="4"/>
  <c r="AN166" i="4" s="1"/>
  <c r="AN166" i="1" s="1"/>
  <c r="AN166" i="7"/>
  <c r="Y117" i="1"/>
  <c r="Y116" i="1" s="1"/>
  <c r="Y116" i="4"/>
  <c r="AI106" i="7"/>
  <c r="I90" i="24"/>
  <c r="I102" i="24"/>
  <c r="FF79" i="4"/>
  <c r="AJ79" i="4" s="1"/>
  <c r="AJ79" i="1" s="1"/>
  <c r="AJ79" i="7"/>
  <c r="AF89" i="24"/>
  <c r="AF101" i="24"/>
  <c r="FG107" i="4"/>
  <c r="AK107" i="7"/>
  <c r="BQ29" i="4"/>
  <c r="Z90" i="4"/>
  <c r="Z91" i="1"/>
  <c r="Z90" i="1" s="1"/>
  <c r="BR98" i="24"/>
  <c r="BR86" i="24"/>
  <c r="FJ153" i="4"/>
  <c r="AN153" i="4" s="1"/>
  <c r="AN153" i="1" s="1"/>
  <c r="AN153" i="7"/>
  <c r="DL115" i="7"/>
  <c r="DR227" i="4"/>
  <c r="AK77" i="7"/>
  <c r="G95" i="24"/>
  <c r="G107" i="24"/>
  <c r="FA77" i="4"/>
  <c r="FA76" i="7"/>
  <c r="AE77" i="7"/>
  <c r="R223" i="4"/>
  <c r="R224" i="1"/>
  <c r="R223" i="1" s="1"/>
  <c r="CD92" i="24"/>
  <c r="CD104" i="24"/>
  <c r="FD170" i="4"/>
  <c r="AH170" i="4" s="1"/>
  <c r="AH170" i="1" s="1"/>
  <c r="AH170" i="7"/>
  <c r="AC170" i="7"/>
  <c r="AH227" i="7"/>
  <c r="O120" i="1"/>
  <c r="AA120" i="4"/>
  <c r="AF246" i="7"/>
  <c r="Y158" i="1"/>
  <c r="Y157" i="1" s="1"/>
  <c r="Y157" i="4"/>
  <c r="CM102" i="24"/>
  <c r="CM90" i="24"/>
  <c r="FF181" i="4"/>
  <c r="AJ181" i="4" s="1"/>
  <c r="AJ181" i="1" s="1"/>
  <c r="AJ181" i="7"/>
  <c r="BN98" i="24"/>
  <c r="BN86" i="24"/>
  <c r="FJ148" i="4"/>
  <c r="AN148" i="4" s="1"/>
  <c r="AN148" i="1" s="1"/>
  <c r="W88" i="24"/>
  <c r="W100" i="24"/>
  <c r="FH96" i="4"/>
  <c r="AL96" i="4" s="1"/>
  <c r="AL96" i="1" s="1"/>
  <c r="AL96" i="7"/>
  <c r="AB96" i="7" s="1"/>
  <c r="Y55" i="1"/>
  <c r="Y57" i="1" s="1"/>
  <c r="Y57" i="4"/>
  <c r="AG95" i="24"/>
  <c r="AG107" i="24"/>
  <c r="FA108" i="4"/>
  <c r="AE108" i="4" s="1"/>
  <c r="AE108" i="1" s="1"/>
  <c r="AE108" i="7"/>
  <c r="BD93" i="24"/>
  <c r="BD105" i="24"/>
  <c r="FC136" i="4"/>
  <c r="AG136" i="4" s="1"/>
  <c r="AG136" i="1" s="1"/>
  <c r="AG136" i="7"/>
  <c r="CR87" i="24"/>
  <c r="CR99" i="24"/>
  <c r="FI188" i="4"/>
  <c r="AM188" i="4" s="1"/>
  <c r="FI187" i="7"/>
  <c r="AE60" i="7"/>
  <c r="DT93" i="24"/>
  <c r="DT105" i="24"/>
  <c r="FC223" i="7"/>
  <c r="FC218" i="7" s="1"/>
  <c r="FC224" i="4"/>
  <c r="AG224" i="4" s="1"/>
  <c r="AG224" i="7"/>
  <c r="DF107" i="24"/>
  <c r="DF95" i="24"/>
  <c r="FA203" i="4"/>
  <c r="AE203" i="4" s="1"/>
  <c r="AE203" i="1" s="1"/>
  <c r="DB93" i="24"/>
  <c r="DB105" i="24"/>
  <c r="FC199" i="4"/>
  <c r="AG199" i="4" s="1"/>
  <c r="AG199" i="1" s="1"/>
  <c r="S89" i="24"/>
  <c r="S101" i="24"/>
  <c r="FG92" i="4"/>
  <c r="AK92" i="7"/>
  <c r="P173" i="1"/>
  <c r="P172" i="1" s="1"/>
  <c r="P172" i="4"/>
  <c r="DJ133" i="4"/>
  <c r="CC97" i="24"/>
  <c r="CC109" i="24"/>
  <c r="FK169" i="7"/>
  <c r="EY169" i="4"/>
  <c r="AC169" i="4" s="1"/>
  <c r="AC169" i="7"/>
  <c r="AP106" i="24"/>
  <c r="AP94" i="24"/>
  <c r="FB120" i="4"/>
  <c r="AF120" i="4" s="1"/>
  <c r="AF120" i="1" s="1"/>
  <c r="U220" i="1"/>
  <c r="U219" i="1" s="1"/>
  <c r="U219" i="4"/>
  <c r="AW92" i="24"/>
  <c r="AW104" i="24"/>
  <c r="FD127" i="4"/>
  <c r="AH127" i="4" s="1"/>
  <c r="AH127" i="1" s="1"/>
  <c r="AH127" i="7"/>
  <c r="CA156" i="4"/>
  <c r="DJ205" i="4"/>
  <c r="DT178" i="4"/>
  <c r="AK108" i="24"/>
  <c r="AK96" i="24"/>
  <c r="EZ112" i="4"/>
  <c r="AD112" i="4" s="1"/>
  <c r="AD112" i="1" s="1"/>
  <c r="AD112" i="7"/>
  <c r="AA246" i="4"/>
  <c r="O246" i="1"/>
  <c r="Y173" i="1"/>
  <c r="Y172" i="1" s="1"/>
  <c r="Y172" i="4"/>
  <c r="DS241" i="4"/>
  <c r="Y130" i="1"/>
  <c r="Y129" i="1" s="1"/>
  <c r="Y129" i="4"/>
  <c r="AL88" i="24"/>
  <c r="AL100" i="24"/>
  <c r="FH113" i="4"/>
  <c r="AL113" i="4" s="1"/>
  <c r="AL113" i="1" s="1"/>
  <c r="AE88" i="24"/>
  <c r="AE100" i="24"/>
  <c r="FH106" i="4"/>
  <c r="AL106" i="4" s="1"/>
  <c r="AL106" i="1" s="1"/>
  <c r="AL106" i="7"/>
  <c r="AB106" i="7" s="1"/>
  <c r="EQ115" i="4"/>
  <c r="V88" i="24"/>
  <c r="V100" i="24"/>
  <c r="FH95" i="4"/>
  <c r="AL95" i="4" s="1"/>
  <c r="AL95" i="1" s="1"/>
  <c r="AL95" i="7"/>
  <c r="AB95" i="7" s="1"/>
  <c r="DK129" i="4"/>
  <c r="U104" i="4"/>
  <c r="U105" i="1"/>
  <c r="U104" i="1" s="1"/>
  <c r="DU79" i="4"/>
  <c r="CY104" i="24"/>
  <c r="CY92" i="24"/>
  <c r="FD196" i="4"/>
  <c r="AH196" i="4" s="1"/>
  <c r="AH196" i="1" s="1"/>
  <c r="AU94" i="24"/>
  <c r="AU106" i="24"/>
  <c r="FB125" i="4"/>
  <c r="AF125" i="4" s="1"/>
  <c r="AF125" i="1" s="1"/>
  <c r="FK168" i="7"/>
  <c r="CB97" i="24"/>
  <c r="CB109" i="24"/>
  <c r="EY168" i="4"/>
  <c r="DU161" i="4"/>
  <c r="DV161" i="4" s="1"/>
  <c r="CA89" i="24"/>
  <c r="CA101" i="24"/>
  <c r="FG167" i="4"/>
  <c r="AK167" i="7"/>
  <c r="AM60" i="7"/>
  <c r="DE98" i="24"/>
  <c r="DE86" i="24"/>
  <c r="FJ202" i="4"/>
  <c r="AN202" i="4" s="1"/>
  <c r="AN202" i="1" s="1"/>
  <c r="AN202" i="7"/>
  <c r="BX72" i="7"/>
  <c r="AE79" i="7"/>
  <c r="FK145" i="7"/>
  <c r="BL97" i="24"/>
  <c r="BL109" i="24"/>
  <c r="EY145" i="4"/>
  <c r="BU87" i="4"/>
  <c r="BU75" i="4" s="1"/>
  <c r="DV108" i="24"/>
  <c r="DV96" i="24"/>
  <c r="EZ226" i="4"/>
  <c r="AD226" i="4" s="1"/>
  <c r="AD226" i="1" s="1"/>
  <c r="AD226" i="7"/>
  <c r="R210" i="1"/>
  <c r="R209" i="1" s="1"/>
  <c r="R209" i="4"/>
  <c r="DK105" i="24"/>
  <c r="DK93" i="24"/>
  <c r="FC210" i="4"/>
  <c r="FC209" i="7"/>
  <c r="AG210" i="7"/>
  <c r="BK90" i="24"/>
  <c r="BK102" i="24"/>
  <c r="FF144" i="4"/>
  <c r="AJ144" i="4" s="1"/>
  <c r="AJ144" i="1" s="1"/>
  <c r="DI38" i="4"/>
  <c r="DU39" i="4"/>
  <c r="DI93" i="24"/>
  <c r="DI105" i="24"/>
  <c r="FC207" i="4"/>
  <c r="AG207" i="4" s="1"/>
  <c r="AG207" i="1" s="1"/>
  <c r="AG207" i="7"/>
  <c r="DN89" i="24"/>
  <c r="DN101" i="24"/>
  <c r="FG213" i="4"/>
  <c r="DS187" i="4"/>
  <c r="DH91" i="24"/>
  <c r="DH103" i="24"/>
  <c r="FE205" i="7"/>
  <c r="FE206" i="4"/>
  <c r="AI206" i="4" s="1"/>
  <c r="AI206" i="7"/>
  <c r="AI205" i="7" s="1"/>
  <c r="AH153" i="7"/>
  <c r="S205" i="4"/>
  <c r="S206" i="1"/>
  <c r="S205" i="1" s="1"/>
  <c r="AA129" i="7"/>
  <c r="O95" i="24"/>
  <c r="O107" i="24"/>
  <c r="FA85" i="4"/>
  <c r="AE85" i="4" s="1"/>
  <c r="AE85" i="1" s="1"/>
  <c r="AE85" i="7"/>
  <c r="DS129" i="4"/>
  <c r="AZ91" i="24"/>
  <c r="AZ103" i="24"/>
  <c r="FE131" i="4"/>
  <c r="AI131" i="4" s="1"/>
  <c r="AI131" i="1" s="1"/>
  <c r="AI131" i="7"/>
  <c r="O129" i="4"/>
  <c r="AA130" i="4"/>
  <c r="O130" i="1"/>
  <c r="AH86" i="24"/>
  <c r="AH98" i="24"/>
  <c r="FJ109" i="4"/>
  <c r="AN109" i="4" s="1"/>
  <c r="AN109" i="1" s="1"/>
  <c r="BM156" i="4"/>
  <c r="Z220" i="1"/>
  <c r="Z219" i="1" s="1"/>
  <c r="Z219" i="4"/>
  <c r="AT94" i="24"/>
  <c r="AT106" i="24"/>
  <c r="FB124" i="4"/>
  <c r="AF124" i="4" s="1"/>
  <c r="AF124" i="1" s="1"/>
  <c r="AF124" i="7"/>
  <c r="T109" i="24"/>
  <c r="T97" i="24"/>
  <c r="FK93" i="7"/>
  <c r="EY93" i="4"/>
  <c r="Q77" i="24"/>
  <c r="DQ87" i="7"/>
  <c r="DQ88" i="4"/>
  <c r="X194" i="1"/>
  <c r="X193" i="1" s="1"/>
  <c r="X193" i="4"/>
  <c r="CQ89" i="24"/>
  <c r="CQ101" i="24"/>
  <c r="FG186" i="4"/>
  <c r="AK186" i="7"/>
  <c r="DU197" i="4"/>
  <c r="W70" i="7"/>
  <c r="AB109" i="24"/>
  <c r="AB97" i="24"/>
  <c r="FK101" i="7"/>
  <c r="EY101" i="4"/>
  <c r="AC101" i="7"/>
  <c r="N98" i="24"/>
  <c r="N86" i="24"/>
  <c r="FJ84" i="4"/>
  <c r="AN84" i="4" s="1"/>
  <c r="AN84" i="1" s="1"/>
  <c r="AN84" i="7"/>
  <c r="X165" i="1"/>
  <c r="X164" i="1" s="1"/>
  <c r="X164" i="4"/>
  <c r="BE89" i="24"/>
  <c r="BE101" i="24"/>
  <c r="FG137" i="4"/>
  <c r="AK137" i="7"/>
  <c r="BW106" i="24"/>
  <c r="BW94" i="24"/>
  <c r="FB161" i="4"/>
  <c r="AF161" i="4" s="1"/>
  <c r="AF161" i="1" s="1"/>
  <c r="AF161" i="7"/>
  <c r="CV115" i="4"/>
  <c r="R182" i="4"/>
  <c r="R183" i="1"/>
  <c r="R182" i="1" s="1"/>
  <c r="Y92" i="24"/>
  <c r="Y104" i="24"/>
  <c r="FD98" i="4"/>
  <c r="AH98" i="4" s="1"/>
  <c r="AH98" i="1" s="1"/>
  <c r="AH98" i="7"/>
  <c r="FK148" i="7"/>
  <c r="BN97" i="24"/>
  <c r="BN109" i="24"/>
  <c r="EY148" i="4"/>
  <c r="AC148" i="7"/>
  <c r="BV103" i="24"/>
  <c r="BV91" i="24"/>
  <c r="FE160" i="4"/>
  <c r="AI160" i="4" s="1"/>
  <c r="AI160" i="1" s="1"/>
  <c r="AI160" i="7"/>
  <c r="DU160" i="4"/>
  <c r="AM89" i="24"/>
  <c r="AM101" i="24"/>
  <c r="FG116" i="7"/>
  <c r="EX116" i="7" s="1"/>
  <c r="FG117" i="4"/>
  <c r="AJ93" i="24"/>
  <c r="AJ105" i="24"/>
  <c r="FC111" i="4"/>
  <c r="AG111" i="4" s="1"/>
  <c r="AG111" i="1" s="1"/>
  <c r="BY70" i="4"/>
  <c r="FF46" i="4"/>
  <c r="AJ46" i="4" s="1"/>
  <c r="AJ46" i="1" s="1"/>
  <c r="AJ46" i="7"/>
  <c r="FF41" i="4"/>
  <c r="AJ41" i="4" s="1"/>
  <c r="AJ41" i="1" s="1"/>
  <c r="AJ41" i="7"/>
  <c r="BX230" i="7"/>
  <c r="BX231" i="7" s="1"/>
  <c r="W92" i="24"/>
  <c r="W104" i="24"/>
  <c r="FD96" i="4"/>
  <c r="AH96" i="4" s="1"/>
  <c r="AH96" i="1" s="1"/>
  <c r="X188" i="1"/>
  <c r="X187" i="1" s="1"/>
  <c r="X187" i="4"/>
  <c r="O178" i="4"/>
  <c r="O179" i="1"/>
  <c r="AA179" i="4"/>
  <c r="BY94" i="24"/>
  <c r="BY106" i="24"/>
  <c r="FB165" i="4"/>
  <c r="FB164" i="7"/>
  <c r="AF165" i="7"/>
  <c r="DO133" i="4"/>
  <c r="CN107" i="24"/>
  <c r="CN95" i="24"/>
  <c r="FA183" i="4"/>
  <c r="FA182" i="7"/>
  <c r="P105" i="1"/>
  <c r="P104" i="1" s="1"/>
  <c r="P104" i="4"/>
  <c r="DD89" i="24"/>
  <c r="DD101" i="24"/>
  <c r="FG201" i="4"/>
  <c r="X242" i="1"/>
  <c r="X241" i="1" s="1"/>
  <c r="X241" i="4"/>
  <c r="AG106" i="24"/>
  <c r="AG94" i="24"/>
  <c r="FB108" i="4"/>
  <c r="AF108" i="4" s="1"/>
  <c r="AF108" i="1" s="1"/>
  <c r="AF108" i="7"/>
  <c r="FK62" i="4"/>
  <c r="X158" i="1"/>
  <c r="X157" i="1" s="1"/>
  <c r="X157" i="4"/>
  <c r="FF245" i="4"/>
  <c r="AJ245" i="4" s="1"/>
  <c r="AJ245" i="1" s="1"/>
  <c r="AJ245" i="7"/>
  <c r="BD88" i="24"/>
  <c r="BD100" i="24"/>
  <c r="FH136" i="4"/>
  <c r="AL136" i="4" s="1"/>
  <c r="AL136" i="1" s="1"/>
  <c r="AL136" i="7"/>
  <c r="AB136" i="7" s="1"/>
  <c r="BP89" i="24"/>
  <c r="BP101" i="24"/>
  <c r="FG151" i="4"/>
  <c r="FG150" i="7"/>
  <c r="EX150" i="7" s="1"/>
  <c r="AK151" i="7"/>
  <c r="BF43" i="4"/>
  <c r="BF47" i="4" s="1"/>
  <c r="DB115" i="4"/>
  <c r="FK188" i="7"/>
  <c r="CR97" i="24"/>
  <c r="CR109" i="24"/>
  <c r="EY188" i="4"/>
  <c r="EY187" i="7"/>
  <c r="FA60" i="4"/>
  <c r="AE61" i="4"/>
  <c r="DM104" i="4"/>
  <c r="BF95" i="24"/>
  <c r="BF107" i="24"/>
  <c r="FA139" i="4"/>
  <c r="AE139" i="4" s="1"/>
  <c r="FA138" i="7"/>
  <c r="DU88" i="24"/>
  <c r="DU100" i="24"/>
  <c r="FH225" i="4"/>
  <c r="AL225" i="4" s="1"/>
  <c r="AL225" i="1" s="1"/>
  <c r="AL225" i="7"/>
  <c r="U218" i="7"/>
  <c r="X206" i="1"/>
  <c r="X205" i="1" s="1"/>
  <c r="X205" i="4"/>
  <c r="AQ96" i="24"/>
  <c r="AQ108" i="24"/>
  <c r="EZ121" i="4"/>
  <c r="AD121" i="4" s="1"/>
  <c r="AD121" i="1" s="1"/>
  <c r="AD121" i="7"/>
  <c r="V209" i="4"/>
  <c r="V210" i="1"/>
  <c r="V209" i="1" s="1"/>
  <c r="BA93" i="24"/>
  <c r="BA105" i="24"/>
  <c r="FC132" i="4"/>
  <c r="AG132" i="4" s="1"/>
  <c r="AG132" i="1" s="1"/>
  <c r="AG132" i="7"/>
  <c r="DT94" i="24"/>
  <c r="DT106" i="24"/>
  <c r="FB224" i="4"/>
  <c r="FB223" i="7"/>
  <c r="FB218" i="7" s="1"/>
  <c r="AF224" i="7"/>
  <c r="U194" i="1"/>
  <c r="U193" i="1" s="1"/>
  <c r="U193" i="4"/>
  <c r="CL106" i="24"/>
  <c r="CL94" i="24"/>
  <c r="FB180" i="4"/>
  <c r="AF180" i="4" s="1"/>
  <c r="AF180" i="1" s="1"/>
  <c r="AF180" i="7"/>
  <c r="Q24" i="1"/>
  <c r="Q27" i="1" s="1"/>
  <c r="Q27" i="4"/>
  <c r="AO87" i="24"/>
  <c r="AO99" i="24"/>
  <c r="FI119" i="4"/>
  <c r="AM119" i="4" s="1"/>
  <c r="AM119" i="1" s="1"/>
  <c r="DF106" i="24"/>
  <c r="DF94" i="24"/>
  <c r="FB203" i="4"/>
  <c r="AF203" i="4" s="1"/>
  <c r="AF203" i="1" s="1"/>
  <c r="P101" i="24"/>
  <c r="P89" i="24"/>
  <c r="FG86" i="4"/>
  <c r="AK86" i="7"/>
  <c r="X220" i="1"/>
  <c r="X219" i="1" s="1"/>
  <c r="X219" i="4"/>
  <c r="DB101" i="24"/>
  <c r="DB89" i="24"/>
  <c r="FG199" i="4"/>
  <c r="AK199" i="7"/>
  <c r="DU199" i="4"/>
  <c r="DG91" i="24"/>
  <c r="DG103" i="24"/>
  <c r="FE204" i="4"/>
  <c r="AI204" i="4" s="1"/>
  <c r="AI204" i="1" s="1"/>
  <c r="DU204" i="4"/>
  <c r="DA99" i="24"/>
  <c r="DA87" i="24"/>
  <c r="FI198" i="4"/>
  <c r="AM198" i="4" s="1"/>
  <c r="AM198" i="1" s="1"/>
  <c r="AM198" i="7"/>
  <c r="S102" i="24"/>
  <c r="S90" i="24"/>
  <c r="FF92" i="4"/>
  <c r="AJ92" i="4" s="1"/>
  <c r="AJ92" i="1" s="1"/>
  <c r="Y7" i="1"/>
  <c r="CS92" i="24"/>
  <c r="CS104" i="24"/>
  <c r="FD189" i="4"/>
  <c r="AH189" i="4" s="1"/>
  <c r="AH189" i="1" s="1"/>
  <c r="O33" i="1"/>
  <c r="AA33" i="4"/>
  <c r="CC108" i="24"/>
  <c r="CC96" i="24"/>
  <c r="EZ169" i="4"/>
  <c r="AD169" i="4" s="1"/>
  <c r="AD169" i="1" s="1"/>
  <c r="K94" i="24"/>
  <c r="K106" i="24"/>
  <c r="FB81" i="4"/>
  <c r="AF81" i="4" s="1"/>
  <c r="AF81" i="1" s="1"/>
  <c r="BM115" i="4"/>
  <c r="BC92" i="24"/>
  <c r="BC104" i="24"/>
  <c r="FD135" i="4"/>
  <c r="AH135" i="4" s="1"/>
  <c r="AH135" i="1" s="1"/>
  <c r="AH135" i="7"/>
  <c r="W210" i="1"/>
  <c r="W209" i="4"/>
  <c r="U242" i="1"/>
  <c r="U241" i="1" s="1"/>
  <c r="U241" i="4"/>
  <c r="FK176" i="7"/>
  <c r="CI97" i="24"/>
  <c r="CI109" i="24"/>
  <c r="EY176" i="4"/>
  <c r="AC176" i="4" s="1"/>
  <c r="AC176" i="7"/>
  <c r="AP87" i="24"/>
  <c r="AP99" i="24"/>
  <c r="FI120" i="4"/>
  <c r="AM120" i="4" s="1"/>
  <c r="AM120" i="1" s="1"/>
  <c r="DU196" i="4"/>
  <c r="BK218" i="4"/>
  <c r="FF31" i="4"/>
  <c r="FF29" i="7"/>
  <c r="DU29" i="7"/>
  <c r="CH89" i="24"/>
  <c r="CH101" i="24"/>
  <c r="FG175" i="4"/>
  <c r="AW90" i="24"/>
  <c r="AW102" i="24"/>
  <c r="FF127" i="4"/>
  <c r="AJ127" i="4" s="1"/>
  <c r="AJ127" i="1" s="1"/>
  <c r="AJ127" i="7"/>
  <c r="DU244" i="4"/>
  <c r="CU156" i="4"/>
  <c r="AX94" i="24"/>
  <c r="AX106" i="24"/>
  <c r="FB128" i="4"/>
  <c r="AF128" i="4" s="1"/>
  <c r="AF128" i="1" s="1"/>
  <c r="O135" i="1"/>
  <c r="AA135" i="4"/>
  <c r="FI40" i="4"/>
  <c r="AM40" i="4" s="1"/>
  <c r="AM40" i="1" s="1"/>
  <c r="AM40" i="7"/>
  <c r="BH93" i="24"/>
  <c r="BH105" i="24"/>
  <c r="FC141" i="4"/>
  <c r="AG141" i="4" s="1"/>
  <c r="AG141" i="1" s="1"/>
  <c r="AI90" i="24"/>
  <c r="AI102" i="24"/>
  <c r="FF110" i="4"/>
  <c r="AJ110" i="4" s="1"/>
  <c r="AJ110" i="1" s="1"/>
  <c r="AJ110" i="7"/>
  <c r="AA165" i="4"/>
  <c r="O165" i="1"/>
  <c r="O164" i="4"/>
  <c r="CP97" i="24"/>
  <c r="CP109" i="24"/>
  <c r="FK185" i="7"/>
  <c r="EY185" i="4"/>
  <c r="AC185" i="7"/>
  <c r="AK93" i="24"/>
  <c r="AK105" i="24"/>
  <c r="FC112" i="4"/>
  <c r="AG112" i="4" s="1"/>
  <c r="AG112" i="1" s="1"/>
  <c r="AG112" i="7"/>
  <c r="DU101" i="4"/>
  <c r="BG96" i="24"/>
  <c r="BG108" i="24"/>
  <c r="EZ140" i="4"/>
  <c r="AD140" i="4" s="1"/>
  <c r="AD140" i="1" s="1"/>
  <c r="DR214" i="4"/>
  <c r="DJ178" i="4"/>
  <c r="AA241" i="7"/>
  <c r="R150" i="4"/>
  <c r="R151" i="1"/>
  <c r="R150" i="1" s="1"/>
  <c r="BS218" i="4"/>
  <c r="AL108" i="24"/>
  <c r="AL96" i="24"/>
  <c r="EZ113" i="4"/>
  <c r="AD113" i="4" s="1"/>
  <c r="AD113" i="1" s="1"/>
  <c r="BQ205" i="4"/>
  <c r="BK115" i="4"/>
  <c r="DM218" i="7"/>
  <c r="FK122" i="7"/>
  <c r="AR109" i="24"/>
  <c r="AR97" i="24"/>
  <c r="EY122" i="4"/>
  <c r="AE104" i="24"/>
  <c r="AE92" i="24"/>
  <c r="FD106" i="4"/>
  <c r="AH106" i="4" s="1"/>
  <c r="AH106" i="1" s="1"/>
  <c r="AH106" i="7"/>
  <c r="BS96" i="24"/>
  <c r="BS108" i="24"/>
  <c r="EZ154" i="4"/>
  <c r="AD154" i="4" s="1"/>
  <c r="AD154" i="1" s="1"/>
  <c r="AD154" i="7"/>
  <c r="AM42" i="7"/>
  <c r="L87" i="24"/>
  <c r="L99" i="24"/>
  <c r="FI82" i="4"/>
  <c r="AM82" i="4" s="1"/>
  <c r="AM82" i="1" s="1"/>
  <c r="AM82" i="7"/>
  <c r="V104" i="24"/>
  <c r="V92" i="24"/>
  <c r="FD95" i="4"/>
  <c r="AH95" i="4" s="1"/>
  <c r="AH95" i="1" s="1"/>
  <c r="AH95" i="7"/>
  <c r="AN93" i="24"/>
  <c r="AN105" i="24"/>
  <c r="FC118" i="4"/>
  <c r="AG118" i="4" s="1"/>
  <c r="AG118" i="1" s="1"/>
  <c r="DP214" i="4"/>
  <c r="EK43" i="4"/>
  <c r="EK47" i="4" s="1"/>
  <c r="DK193" i="4"/>
  <c r="FH33" i="4"/>
  <c r="AL33" i="4" s="1"/>
  <c r="AL33" i="1" s="1"/>
  <c r="AL33" i="7"/>
  <c r="AB33" i="7" s="1"/>
  <c r="DU33" i="4"/>
  <c r="BZ72" i="7"/>
  <c r="R89" i="24"/>
  <c r="R101" i="24"/>
  <c r="FG90" i="7"/>
  <c r="EX90" i="7" s="1"/>
  <c r="FG91" i="4"/>
  <c r="AK91" i="7"/>
  <c r="DI90" i="4"/>
  <c r="DU91" i="4"/>
  <c r="DO95" i="24"/>
  <c r="DO107" i="24"/>
  <c r="FA214" i="7"/>
  <c r="FA215" i="4"/>
  <c r="O70" i="7"/>
  <c r="Q194" i="1"/>
  <c r="Q193" i="1" s="1"/>
  <c r="Q193" i="4"/>
  <c r="FK99" i="7"/>
  <c r="Z97" i="24"/>
  <c r="Z109" i="24"/>
  <c r="EY99" i="4"/>
  <c r="AC99" i="7"/>
  <c r="P165" i="1"/>
  <c r="P164" i="1" s="1"/>
  <c r="P164" i="4"/>
  <c r="CY101" i="24"/>
  <c r="CY89" i="24"/>
  <c r="FG196" i="4"/>
  <c r="AK196" i="7"/>
  <c r="AV96" i="24"/>
  <c r="AV108" i="24"/>
  <c r="EZ126" i="4"/>
  <c r="AD126" i="4" s="1"/>
  <c r="AD126" i="1" s="1"/>
  <c r="BT87" i="24"/>
  <c r="BT99" i="24"/>
  <c r="FI158" i="4"/>
  <c r="FI157" i="7"/>
  <c r="AM158" i="7"/>
  <c r="X138" i="4"/>
  <c r="X139" i="1"/>
  <c r="X138" i="1" s="1"/>
  <c r="AA150" i="7"/>
  <c r="EY87" i="4"/>
  <c r="FK88" i="4"/>
  <c r="FK87" i="4" s="1"/>
  <c r="U91" i="1"/>
  <c r="U90" i="1" s="1"/>
  <c r="U90" i="4"/>
  <c r="AU86" i="24"/>
  <c r="AU98" i="24"/>
  <c r="FJ125" i="4"/>
  <c r="AN125" i="4" s="1"/>
  <c r="AN125" i="1" s="1"/>
  <c r="AN125" i="7"/>
  <c r="CO94" i="24"/>
  <c r="CO106" i="24"/>
  <c r="FB184" i="4"/>
  <c r="AF184" i="4" s="1"/>
  <c r="AF184" i="1" s="1"/>
  <c r="ES218" i="4"/>
  <c r="FG34" i="4"/>
  <c r="AK34" i="7"/>
  <c r="DG70" i="7"/>
  <c r="CB105" i="24"/>
  <c r="CB93" i="24"/>
  <c r="FC168" i="4"/>
  <c r="AG168" i="4" s="1"/>
  <c r="AG168" i="1" s="1"/>
  <c r="CF96" i="24"/>
  <c r="CF108" i="24"/>
  <c r="EZ173" i="4"/>
  <c r="EZ172" i="7"/>
  <c r="O24" i="1"/>
  <c r="O27" i="4"/>
  <c r="AA24" i="4"/>
  <c r="DN150" i="4"/>
  <c r="R117" i="1"/>
  <c r="R116" i="1" s="1"/>
  <c r="R116" i="4"/>
  <c r="DU84" i="4"/>
  <c r="W88" i="1"/>
  <c r="W87" i="4"/>
  <c r="BV218" i="4"/>
  <c r="BS115" i="4"/>
  <c r="DN178" i="4"/>
  <c r="DR193" i="4"/>
  <c r="DO172" i="4"/>
  <c r="T57" i="4"/>
  <c r="T55" i="1"/>
  <c r="T57" i="1" s="1"/>
  <c r="CA103" i="24"/>
  <c r="CA91" i="24"/>
  <c r="FE167" i="4"/>
  <c r="AI167" i="4" s="1"/>
  <c r="AI167" i="1" s="1"/>
  <c r="AI167" i="7"/>
  <c r="FI60" i="4"/>
  <c r="AM61" i="4"/>
  <c r="CW87" i="24"/>
  <c r="CW99" i="24"/>
  <c r="FI194" i="4"/>
  <c r="AM194" i="4" s="1"/>
  <c r="FI193" i="7"/>
  <c r="DO156" i="7"/>
  <c r="DE107" i="24"/>
  <c r="DE95" i="24"/>
  <c r="FA202" i="4"/>
  <c r="AE202" i="4" s="1"/>
  <c r="AE202" i="1" s="1"/>
  <c r="AE202" i="7"/>
  <c r="X94" i="24"/>
  <c r="X106" i="24"/>
  <c r="FB97" i="4"/>
  <c r="AF97" i="4" s="1"/>
  <c r="AF97" i="1" s="1"/>
  <c r="AF97" i="7"/>
  <c r="FG30" i="4"/>
  <c r="AK30" i="7"/>
  <c r="DJ90" i="4"/>
  <c r="BO97" i="24"/>
  <c r="BO109" i="24"/>
  <c r="FK149" i="7"/>
  <c r="EY149" i="4"/>
  <c r="EW90" i="4"/>
  <c r="FA247" i="4"/>
  <c r="AE247" i="4" s="1"/>
  <c r="AE247" i="1" s="1"/>
  <c r="AE247" i="7"/>
  <c r="R194" i="1"/>
  <c r="R193" i="1" s="1"/>
  <c r="R193" i="4"/>
  <c r="R173" i="1"/>
  <c r="R172" i="1" s="1"/>
  <c r="R172" i="4"/>
  <c r="BL95" i="24"/>
  <c r="BL107" i="24"/>
  <c r="FA145" i="4"/>
  <c r="AE145" i="4" s="1"/>
  <c r="AE145" i="1" s="1"/>
  <c r="AE145" i="7"/>
  <c r="DU46" i="4"/>
  <c r="Y24" i="1"/>
  <c r="Y27" i="1" s="1"/>
  <c r="Y27" i="4"/>
  <c r="DL94" i="24"/>
  <c r="DL106" i="24"/>
  <c r="FB211" i="4"/>
  <c r="AF211" i="4" s="1"/>
  <c r="AF211" i="1" s="1"/>
  <c r="Q91" i="1"/>
  <c r="Q90" i="1" s="1"/>
  <c r="Q90" i="4"/>
  <c r="BT70" i="4"/>
  <c r="DV102" i="24"/>
  <c r="DV90" i="24"/>
  <c r="FF226" i="4"/>
  <c r="AJ226" i="4" s="1"/>
  <c r="AJ226" i="1" s="1"/>
  <c r="DE75" i="4"/>
  <c r="BM93" i="24"/>
  <c r="BM105" i="24"/>
  <c r="FC147" i="4"/>
  <c r="FC146" i="7"/>
  <c r="BI58" i="4"/>
  <c r="DM86" i="24"/>
  <c r="DM98" i="24"/>
  <c r="FJ212" i="4"/>
  <c r="AN212" i="4" s="1"/>
  <c r="AN212" i="1" s="1"/>
  <c r="DK92" i="24"/>
  <c r="DK104" i="24"/>
  <c r="FD210" i="4"/>
  <c r="FD209" i="7"/>
  <c r="AH210" i="7"/>
  <c r="DN214" i="4"/>
  <c r="DR150" i="4"/>
  <c r="BK100" i="24"/>
  <c r="BK88" i="24"/>
  <c r="FH144" i="4"/>
  <c r="AL144" i="4" s="1"/>
  <c r="AL144" i="1" s="1"/>
  <c r="O46" i="1"/>
  <c r="AA46" i="4"/>
  <c r="FE39" i="4"/>
  <c r="FE38" i="7"/>
  <c r="AI39" i="7"/>
  <c r="DU38" i="7"/>
  <c r="FA246" i="4"/>
  <c r="AE246" i="4" s="1"/>
  <c r="AE246" i="1" s="1"/>
  <c r="AE246" i="7"/>
  <c r="R105" i="1"/>
  <c r="R104" i="1" s="1"/>
  <c r="R104" i="4"/>
  <c r="DT218" i="7"/>
  <c r="DI91" i="24"/>
  <c r="DI103" i="24"/>
  <c r="FE207" i="4"/>
  <c r="AI207" i="4" s="1"/>
  <c r="AI207" i="1" s="1"/>
  <c r="DU207" i="4"/>
  <c r="FD241" i="7"/>
  <c r="FD242" i="4"/>
  <c r="DN103" i="24"/>
  <c r="DN91" i="24"/>
  <c r="FE213" i="4"/>
  <c r="AI213" i="4" s="1"/>
  <c r="AI213" i="1" s="1"/>
  <c r="AI213" i="7"/>
  <c r="DJ92" i="24"/>
  <c r="DJ104" i="24"/>
  <c r="FD208" i="4"/>
  <c r="AH208" i="4" s="1"/>
  <c r="AH208" i="1" s="1"/>
  <c r="AH208" i="7"/>
  <c r="DU208" i="4"/>
  <c r="V193" i="4"/>
  <c r="V194" i="1"/>
  <c r="V193" i="1" s="1"/>
  <c r="AI175" i="7"/>
  <c r="U93" i="24"/>
  <c r="U105" i="24"/>
  <c r="FC94" i="4"/>
  <c r="AG94" i="4" s="1"/>
  <c r="AG94" i="1" s="1"/>
  <c r="T242" i="1"/>
  <c r="T241" i="1" s="1"/>
  <c r="T241" i="4"/>
  <c r="BI94" i="24"/>
  <c r="BI106" i="24"/>
  <c r="FB142" i="4"/>
  <c r="AF142" i="4" s="1"/>
  <c r="AF142" i="1" s="1"/>
  <c r="AF142" i="7"/>
  <c r="DH90" i="24"/>
  <c r="DH102" i="24"/>
  <c r="FF205" i="7"/>
  <c r="FF206" i="4"/>
  <c r="AJ206" i="7"/>
  <c r="J94" i="24"/>
  <c r="J106" i="24"/>
  <c r="FB80" i="4"/>
  <c r="AF80" i="4" s="1"/>
  <c r="AF80" i="1" s="1"/>
  <c r="AA177" i="4"/>
  <c r="O177" i="1"/>
  <c r="CU90" i="24"/>
  <c r="CU102" i="24"/>
  <c r="FF191" i="4"/>
  <c r="AJ191" i="4" s="1"/>
  <c r="AJ191" i="1" s="1"/>
  <c r="AJ191" i="7"/>
  <c r="DR187" i="4"/>
  <c r="BX87" i="24"/>
  <c r="BX99" i="24"/>
  <c r="FI162" i="4"/>
  <c r="AM162" i="4" s="1"/>
  <c r="AM162" i="1" s="1"/>
  <c r="CC70" i="4"/>
  <c r="O184" i="1"/>
  <c r="AA184" i="4"/>
  <c r="BB88" i="24"/>
  <c r="BB100" i="24"/>
  <c r="FH133" i="7"/>
  <c r="FH134" i="4"/>
  <c r="AL134" i="4" s="1"/>
  <c r="DU133" i="7"/>
  <c r="O106" i="24"/>
  <c r="O94" i="24"/>
  <c r="FB85" i="4"/>
  <c r="AF85" i="4" s="1"/>
  <c r="AF85" i="1" s="1"/>
  <c r="AF85" i="7"/>
  <c r="T193" i="4"/>
  <c r="T194" i="1"/>
  <c r="T193" i="1" s="1"/>
  <c r="BQ88" i="24"/>
  <c r="BQ100" i="24"/>
  <c r="FH152" i="4"/>
  <c r="AL152" i="4" s="1"/>
  <c r="AL152" i="1" s="1"/>
  <c r="ER115" i="4"/>
  <c r="AZ101" i="24"/>
  <c r="AZ89" i="24"/>
  <c r="FG131" i="4"/>
  <c r="FK109" i="7"/>
  <c r="AH109" i="24"/>
  <c r="AH97" i="24"/>
  <c r="EY109" i="4"/>
  <c r="AC109" i="7"/>
  <c r="DP133" i="4"/>
  <c r="W157" i="4"/>
  <c r="W158" i="1"/>
  <c r="AN40" i="7"/>
  <c r="FK171" i="7"/>
  <c r="CE97" i="24"/>
  <c r="CE109" i="24"/>
  <c r="EY171" i="4"/>
  <c r="BJ91" i="24"/>
  <c r="BJ103" i="24"/>
  <c r="FE143" i="4"/>
  <c r="AI143" i="4" s="1"/>
  <c r="AI143" i="1" s="1"/>
  <c r="AI143" i="7"/>
  <c r="AT87" i="24"/>
  <c r="AT99" i="24"/>
  <c r="FI124" i="4"/>
  <c r="AM124" i="4" s="1"/>
  <c r="AM124" i="1" s="1"/>
  <c r="AM77" i="7"/>
  <c r="FH42" i="4"/>
  <c r="AL42" i="4" s="1"/>
  <c r="AL42" i="1" s="1"/>
  <c r="AL42" i="7"/>
  <c r="AB42" i="7" s="1"/>
  <c r="CT105" i="24"/>
  <c r="CT93" i="24"/>
  <c r="FC190" i="4"/>
  <c r="AG190" i="4" s="1"/>
  <c r="AG190" i="1" s="1"/>
  <c r="AG190" i="7"/>
  <c r="S173" i="1"/>
  <c r="S172" i="1" s="1"/>
  <c r="S172" i="4"/>
  <c r="T93" i="24"/>
  <c r="T105" i="24"/>
  <c r="FC93" i="4"/>
  <c r="AG93" i="4" s="1"/>
  <c r="AG93" i="1" s="1"/>
  <c r="AG93" i="7"/>
  <c r="DS76" i="4"/>
  <c r="DS193" i="4"/>
  <c r="CX87" i="24"/>
  <c r="CX99" i="24"/>
  <c r="FI195" i="4"/>
  <c r="AM195" i="4" s="1"/>
  <c r="AM195" i="1" s="1"/>
  <c r="O100" i="1"/>
  <c r="AA100" i="4"/>
  <c r="AN228" i="4"/>
  <c r="DF230" i="7"/>
  <c r="DF231" i="7" s="1"/>
  <c r="AA88" i="24"/>
  <c r="AA100" i="24"/>
  <c r="FH100" i="4"/>
  <c r="AL100" i="4" s="1"/>
  <c r="AL100" i="1" s="1"/>
  <c r="BK58" i="4"/>
  <c r="BX43" i="4"/>
  <c r="BX47" i="4" s="1"/>
  <c r="BX71" i="4" s="1"/>
  <c r="X51" i="1"/>
  <c r="X54" i="1" s="1"/>
  <c r="X54" i="4"/>
  <c r="AI86" i="7"/>
  <c r="BH218" i="4"/>
  <c r="AC90" i="24"/>
  <c r="AC102" i="24"/>
  <c r="FF102" i="4"/>
  <c r="AJ102" i="4" s="1"/>
  <c r="AJ102" i="1" s="1"/>
  <c r="DN164" i="4"/>
  <c r="CQ92" i="24"/>
  <c r="CQ104" i="24"/>
  <c r="FD186" i="4"/>
  <c r="AH186" i="4" s="1"/>
  <c r="AH186" i="1" s="1"/>
  <c r="BT156" i="4"/>
  <c r="Q130" i="1"/>
  <c r="Q129" i="1" s="1"/>
  <c r="Q129" i="4"/>
  <c r="H90" i="24"/>
  <c r="H102" i="24"/>
  <c r="FF78" i="4"/>
  <c r="AJ78" i="4" s="1"/>
  <c r="AJ78" i="1" s="1"/>
  <c r="CZ89" i="24"/>
  <c r="CZ101" i="24"/>
  <c r="FG197" i="4"/>
  <c r="AK197" i="7"/>
  <c r="DJ172" i="4"/>
  <c r="BU89" i="24"/>
  <c r="BU101" i="24"/>
  <c r="FG159" i="4"/>
  <c r="AK159" i="7"/>
  <c r="AB107" i="24"/>
  <c r="AB95" i="24"/>
  <c r="FA101" i="4"/>
  <c r="AE101" i="4" s="1"/>
  <c r="AE101" i="1" s="1"/>
  <c r="AE101" i="7"/>
  <c r="U215" i="1"/>
  <c r="U214" i="1" s="1"/>
  <c r="U214" i="4"/>
  <c r="FK84" i="7"/>
  <c r="N97" i="24"/>
  <c r="N109" i="24"/>
  <c r="EY84" i="4"/>
  <c r="AC84" i="7"/>
  <c r="CG98" i="24"/>
  <c r="CG86" i="24"/>
  <c r="FJ174" i="4"/>
  <c r="AN174" i="4" s="1"/>
  <c r="AN174" i="1" s="1"/>
  <c r="BE88" i="24"/>
  <c r="BE100" i="24"/>
  <c r="FH137" i="4"/>
  <c r="AL137" i="4" s="1"/>
  <c r="AL137" i="1" s="1"/>
  <c r="AS95" i="24"/>
  <c r="AS107" i="24"/>
  <c r="FA123" i="4"/>
  <c r="AE123" i="4" s="1"/>
  <c r="AE123" i="1" s="1"/>
  <c r="AY90" i="24"/>
  <c r="AY102" i="24"/>
  <c r="FF129" i="7"/>
  <c r="FF130" i="4"/>
  <c r="AJ130" i="7"/>
  <c r="BW87" i="24"/>
  <c r="BW99" i="24"/>
  <c r="FI161" i="4"/>
  <c r="AM161" i="4" s="1"/>
  <c r="AM161" i="1" s="1"/>
  <c r="DS104" i="4"/>
  <c r="AJ226" i="7"/>
  <c r="M92" i="24"/>
  <c r="M104" i="24"/>
  <c r="FD83" i="4"/>
  <c r="AH83" i="4" s="1"/>
  <c r="AH83" i="1" s="1"/>
  <c r="AH83" i="7"/>
  <c r="DQ150" i="4"/>
  <c r="CK87" i="24"/>
  <c r="CK99" i="24"/>
  <c r="FI179" i="4"/>
  <c r="AM179" i="4" s="1"/>
  <c r="FI178" i="7"/>
  <c r="AM179" i="7"/>
  <c r="AM178" i="7" s="1"/>
  <c r="EW227" i="4"/>
  <c r="BI218" i="4"/>
  <c r="BZ218" i="4"/>
  <c r="AK83" i="7"/>
  <c r="O156" i="7"/>
  <c r="FK200" i="7"/>
  <c r="DC109" i="24"/>
  <c r="DC97" i="24"/>
  <c r="EY200" i="4"/>
  <c r="DP96" i="24"/>
  <c r="DP108" i="24"/>
  <c r="EZ216" i="4"/>
  <c r="AD216" i="4" s="1"/>
  <c r="AD216" i="1" s="1"/>
  <c r="AD216" i="7"/>
  <c r="AD214" i="7" s="1"/>
  <c r="CE75" i="7"/>
  <c r="BQ157" i="4"/>
  <c r="AD92" i="24"/>
  <c r="AD104" i="24"/>
  <c r="FD105" i="4"/>
  <c r="FD104" i="7"/>
  <c r="AH105" i="7"/>
  <c r="P88" i="1"/>
  <c r="P87" i="1" s="1"/>
  <c r="P87" i="4"/>
  <c r="EZ32" i="4"/>
  <c r="AD32" i="4" s="1"/>
  <c r="AD32" i="1" s="1"/>
  <c r="AD32" i="7"/>
  <c r="AC183" i="7"/>
  <c r="CJ109" i="24"/>
  <c r="CJ97" i="24"/>
  <c r="FK177" i="7"/>
  <c r="EY177" i="4"/>
  <c r="EK75" i="4"/>
  <c r="CV86" i="24"/>
  <c r="CV98" i="24"/>
  <c r="FJ192" i="4"/>
  <c r="AN192" i="4" s="1"/>
  <c r="AN192" i="1" s="1"/>
  <c r="Y39" i="1"/>
  <c r="Y38" i="1" s="1"/>
  <c r="Y38" i="4"/>
  <c r="FK166" i="7"/>
  <c r="BZ97" i="24"/>
  <c r="BZ109" i="24"/>
  <c r="EY166" i="4"/>
  <c r="I88" i="24"/>
  <c r="I100" i="24"/>
  <c r="FH79" i="4"/>
  <c r="AL79" i="4" s="1"/>
  <c r="AL79" i="1" s="1"/>
  <c r="AL79" i="7"/>
  <c r="AB79" i="7" s="1"/>
  <c r="AF99" i="24"/>
  <c r="AF87" i="24"/>
  <c r="FI107" i="4"/>
  <c r="AM107" i="4" s="1"/>
  <c r="AM107" i="1" s="1"/>
  <c r="O31" i="1"/>
  <c r="O29" i="4"/>
  <c r="AA31" i="4"/>
  <c r="CE156" i="7"/>
  <c r="DQ205" i="4"/>
  <c r="BR108" i="24"/>
  <c r="BR96" i="24"/>
  <c r="EZ153" i="4"/>
  <c r="AD153" i="4" s="1"/>
  <c r="AD153" i="1" s="1"/>
  <c r="AD153" i="7"/>
  <c r="DL116" i="4"/>
  <c r="G105" i="24"/>
  <c r="G93" i="24"/>
  <c r="FC77" i="4"/>
  <c r="AG77" i="4" s="1"/>
  <c r="FC76" i="7"/>
  <c r="AG77" i="7"/>
  <c r="BL70" i="4"/>
  <c r="CD89" i="24"/>
  <c r="CD101" i="24"/>
  <c r="FG170" i="4"/>
  <c r="DU170" i="4"/>
  <c r="AK134" i="7"/>
  <c r="AA225" i="4"/>
  <c r="O225" i="1"/>
  <c r="O118" i="1"/>
  <c r="AA118" i="4"/>
  <c r="BO156" i="4"/>
  <c r="CM88" i="24"/>
  <c r="CM100" i="24"/>
  <c r="FH181" i="4"/>
  <c r="AL181" i="4" s="1"/>
  <c r="AL181" i="1" s="1"/>
  <c r="Y14" i="1"/>
  <c r="Y13" i="1" s="1"/>
  <c r="Y13" i="4"/>
  <c r="Y6" i="4" s="1"/>
  <c r="AL131" i="7"/>
  <c r="AB131" i="7" s="1"/>
  <c r="CE116" i="4"/>
  <c r="CW94" i="24"/>
  <c r="CW106" i="24"/>
  <c r="FB194" i="4"/>
  <c r="FB193" i="7"/>
  <c r="DU111" i="4"/>
  <c r="X95" i="24"/>
  <c r="X107" i="24"/>
  <c r="FA97" i="4"/>
  <c r="AE97" i="4" s="1"/>
  <c r="AE97" i="1" s="1"/>
  <c r="AE97" i="7"/>
  <c r="BO89" i="24"/>
  <c r="BO101" i="24"/>
  <c r="FG149" i="4"/>
  <c r="AK149" i="7"/>
  <c r="CC156" i="4"/>
  <c r="DL95" i="24"/>
  <c r="DL107" i="24"/>
  <c r="FA211" i="4"/>
  <c r="AE211" i="4" s="1"/>
  <c r="AE211" i="1" s="1"/>
  <c r="AE211" i="7"/>
  <c r="BJ58" i="4"/>
  <c r="DL172" i="4"/>
  <c r="DM88" i="24"/>
  <c r="DM100" i="24"/>
  <c r="FH212" i="4"/>
  <c r="AL212" i="4" s="1"/>
  <c r="AL212" i="1" s="1"/>
  <c r="AL212" i="7"/>
  <c r="AB212" i="7" s="1"/>
  <c r="FB241" i="7"/>
  <c r="FB242" i="4"/>
  <c r="AF242" i="7"/>
  <c r="DU213" i="4"/>
  <c r="BI107" i="24"/>
  <c r="BI95" i="24"/>
  <c r="FA142" i="4"/>
  <c r="AE142" i="4" s="1"/>
  <c r="AE142" i="1" s="1"/>
  <c r="CU92" i="24"/>
  <c r="CU104" i="24"/>
  <c r="FD191" i="4"/>
  <c r="AH191" i="4" s="1"/>
  <c r="AH191" i="1" s="1"/>
  <c r="AH191" i="7"/>
  <c r="DD75" i="4"/>
  <c r="BB92" i="24"/>
  <c r="BB104" i="24"/>
  <c r="FD134" i="4"/>
  <c r="FD133" i="7"/>
  <c r="CE133" i="4"/>
  <c r="BQ102" i="24"/>
  <c r="BQ90" i="24"/>
  <c r="FF152" i="4"/>
  <c r="AJ152" i="4" s="1"/>
  <c r="AJ152" i="1" s="1"/>
  <c r="CE86" i="24"/>
  <c r="CE98" i="24"/>
  <c r="FJ171" i="4"/>
  <c r="AN171" i="4" s="1"/>
  <c r="AN171" i="1" s="1"/>
  <c r="CX101" i="24"/>
  <c r="CX89" i="24"/>
  <c r="FG195" i="4"/>
  <c r="AA90" i="24"/>
  <c r="AA102" i="24"/>
  <c r="FF100" i="4"/>
  <c r="AJ100" i="4" s="1"/>
  <c r="AJ100" i="1" s="1"/>
  <c r="O94" i="1"/>
  <c r="AA94" i="4"/>
  <c r="O195" i="1"/>
  <c r="AA195" i="4"/>
  <c r="DF75" i="4"/>
  <c r="H104" i="24"/>
  <c r="H92" i="24"/>
  <c r="FD78" i="4"/>
  <c r="AH78" i="4" s="1"/>
  <c r="AH78" i="1" s="1"/>
  <c r="AH78" i="7"/>
  <c r="BU90" i="24"/>
  <c r="BU102" i="24"/>
  <c r="FF159" i="4"/>
  <c r="AJ159" i="4" s="1"/>
  <c r="AJ159" i="1" s="1"/>
  <c r="CG88" i="24"/>
  <c r="CG100" i="24"/>
  <c r="FH174" i="4"/>
  <c r="AL174" i="4" s="1"/>
  <c r="AL174" i="1" s="1"/>
  <c r="AS86" i="24"/>
  <c r="AS98" i="24"/>
  <c r="FJ123" i="4"/>
  <c r="AN123" i="4" s="1"/>
  <c r="AN123" i="1" s="1"/>
  <c r="AY103" i="24"/>
  <c r="AY91" i="24"/>
  <c r="FE129" i="7"/>
  <c r="FE130" i="4"/>
  <c r="AI130" i="7"/>
  <c r="DU130" i="4"/>
  <c r="DI129" i="4"/>
  <c r="BX115" i="4"/>
  <c r="Y102" i="24"/>
  <c r="Y90" i="24"/>
  <c r="FF98" i="4"/>
  <c r="AJ98" i="4" s="1"/>
  <c r="AJ98" i="1" s="1"/>
  <c r="AJ98" i="7"/>
  <c r="DK172" i="4"/>
  <c r="DS90" i="4"/>
  <c r="BN105" i="24"/>
  <c r="BN93" i="24"/>
  <c r="FC148" i="4"/>
  <c r="AG148" i="4" s="1"/>
  <c r="AG148" i="1" s="1"/>
  <c r="AG148" i="7"/>
  <c r="X156" i="7"/>
  <c r="BV90" i="24"/>
  <c r="BV102" i="24"/>
  <c r="FF160" i="4"/>
  <c r="AJ160" i="4" s="1"/>
  <c r="AJ160" i="1" s="1"/>
  <c r="AJ160" i="7"/>
  <c r="AM92" i="24"/>
  <c r="AM104" i="24"/>
  <c r="FD117" i="4"/>
  <c r="AH117" i="4" s="1"/>
  <c r="FD116" i="7"/>
  <c r="AH117" i="7"/>
  <c r="DI116" i="4"/>
  <c r="DU117" i="4"/>
  <c r="AJ92" i="24"/>
  <c r="AJ104" i="24"/>
  <c r="FD111" i="4"/>
  <c r="AH111" i="4" s="1"/>
  <c r="AH111" i="1" s="1"/>
  <c r="AH111" i="7"/>
  <c r="FK96" i="7"/>
  <c r="W97" i="24"/>
  <c r="W109" i="24"/>
  <c r="EY96" i="4"/>
  <c r="AC96" i="4" s="1"/>
  <c r="AC96" i="7"/>
  <c r="BY87" i="24"/>
  <c r="BY99" i="24"/>
  <c r="FI164" i="7"/>
  <c r="FI165" i="4"/>
  <c r="CN94" i="24"/>
  <c r="CN106" i="24"/>
  <c r="FB183" i="4"/>
  <c r="FB182" i="7"/>
  <c r="AF183" i="7"/>
  <c r="DD100" i="24"/>
  <c r="DD88" i="24"/>
  <c r="FH201" i="4"/>
  <c r="AL201" i="4" s="1"/>
  <c r="AL201" i="1" s="1"/>
  <c r="Z157" i="4"/>
  <c r="Z158" i="1"/>
  <c r="Z157" i="1" s="1"/>
  <c r="Q156" i="7"/>
  <c r="R24" i="1"/>
  <c r="R27" i="1" s="1"/>
  <c r="R27" i="4"/>
  <c r="AG99" i="24"/>
  <c r="AG87" i="24"/>
  <c r="FI108" i="4"/>
  <c r="AM108" i="4" s="1"/>
  <c r="AM108" i="1" s="1"/>
  <c r="BN156" i="4"/>
  <c r="BD102" i="24"/>
  <c r="BD90" i="24"/>
  <c r="FF136" i="4"/>
  <c r="AJ136" i="4" s="1"/>
  <c r="AJ136" i="1" s="1"/>
  <c r="AJ136" i="7"/>
  <c r="BP99" i="24"/>
  <c r="BP87" i="24"/>
  <c r="FI150" i="7"/>
  <c r="FI151" i="4"/>
  <c r="AM151" i="4" s="1"/>
  <c r="AM151" i="7"/>
  <c r="P29" i="4"/>
  <c r="P31" i="1"/>
  <c r="P29" i="1" s="1"/>
  <c r="CR95" i="24"/>
  <c r="CR107" i="24"/>
  <c r="FA188" i="4"/>
  <c r="FA187" i="7"/>
  <c r="BF105" i="24"/>
  <c r="BF93" i="24"/>
  <c r="FC138" i="7"/>
  <c r="FC139" i="4"/>
  <c r="AG139" i="4" s="1"/>
  <c r="AG139" i="7"/>
  <c r="FK225" i="7"/>
  <c r="DU109" i="24"/>
  <c r="DU97" i="24"/>
  <c r="EY225" i="4"/>
  <c r="AC225" i="4" s="1"/>
  <c r="AQ95" i="24"/>
  <c r="AQ107" i="24"/>
  <c r="FA121" i="4"/>
  <c r="AE121" i="4" s="1"/>
  <c r="AE121" i="1" s="1"/>
  <c r="BA92" i="24"/>
  <c r="BA104" i="24"/>
  <c r="FD132" i="4"/>
  <c r="AH132" i="4" s="1"/>
  <c r="AH132" i="1" s="1"/>
  <c r="DU132" i="4"/>
  <c r="DT92" i="24"/>
  <c r="DT104" i="24"/>
  <c r="FD223" i="7"/>
  <c r="FD218" i="7" s="1"/>
  <c r="FD224" i="4"/>
  <c r="CL87" i="24"/>
  <c r="CL99" i="24"/>
  <c r="FI180" i="4"/>
  <c r="AM180" i="4" s="1"/>
  <c r="AM180" i="1" s="1"/>
  <c r="AO96" i="24"/>
  <c r="AO108" i="24"/>
  <c r="EZ119" i="4"/>
  <c r="AD119" i="4" s="1"/>
  <c r="AD119" i="1" s="1"/>
  <c r="FK203" i="7"/>
  <c r="DF97" i="24"/>
  <c r="DF109" i="24"/>
  <c r="EY203" i="4"/>
  <c r="P98" i="24"/>
  <c r="P86" i="24"/>
  <c r="FJ86" i="4"/>
  <c r="AN86" i="4" s="1"/>
  <c r="AN86" i="1" s="1"/>
  <c r="DB104" i="24"/>
  <c r="DB92" i="24"/>
  <c r="FD199" i="4"/>
  <c r="AH199" i="4" s="1"/>
  <c r="AH199" i="1" s="1"/>
  <c r="AH199" i="7"/>
  <c r="DG89" i="24"/>
  <c r="DG101" i="24"/>
  <c r="FG204" i="4"/>
  <c r="AK204" i="7"/>
  <c r="FK198" i="7"/>
  <c r="DA109" i="24"/>
  <c r="DA97" i="24"/>
  <c r="EY198" i="4"/>
  <c r="S88" i="24"/>
  <c r="S100" i="24"/>
  <c r="FH92" i="4"/>
  <c r="AL92" i="4" s="1"/>
  <c r="AL92" i="1" s="1"/>
  <c r="AL92" i="7"/>
  <c r="AB92" i="7" s="1"/>
  <c r="O86" i="1"/>
  <c r="AA86" i="4"/>
  <c r="BQ150" i="4"/>
  <c r="BQ193" i="4"/>
  <c r="CS89" i="24"/>
  <c r="CS101" i="24"/>
  <c r="FG189" i="4"/>
  <c r="CC94" i="24"/>
  <c r="CC106" i="24"/>
  <c r="FB169" i="4"/>
  <c r="AF169" i="4" s="1"/>
  <c r="AF169" i="1" s="1"/>
  <c r="K98" i="24"/>
  <c r="K86" i="24"/>
  <c r="FJ81" i="4"/>
  <c r="AN81" i="4" s="1"/>
  <c r="AN81" i="1" s="1"/>
  <c r="EN230" i="7"/>
  <c r="EN231" i="7" s="1"/>
  <c r="DM209" i="4"/>
  <c r="FE45" i="4"/>
  <c r="AI45" i="4" s="1"/>
  <c r="AI45" i="1" s="1"/>
  <c r="AI45" i="7"/>
  <c r="DU45" i="4"/>
  <c r="BC102" i="24"/>
  <c r="BC90" i="24"/>
  <c r="FF135" i="4"/>
  <c r="AJ135" i="4" s="1"/>
  <c r="AJ135" i="1" s="1"/>
  <c r="AJ135" i="7"/>
  <c r="AD61" i="4"/>
  <c r="EZ60" i="4"/>
  <c r="CI96" i="24"/>
  <c r="CI108" i="24"/>
  <c r="EZ176" i="4"/>
  <c r="AD176" i="4" s="1"/>
  <c r="AD176" i="1" s="1"/>
  <c r="V178" i="4"/>
  <c r="V179" i="1"/>
  <c r="V178" i="1" s="1"/>
  <c r="AP98" i="24"/>
  <c r="AP86" i="24"/>
  <c r="FJ120" i="4"/>
  <c r="AN120" i="4" s="1"/>
  <c r="AN120" i="1" s="1"/>
  <c r="CB43" i="4"/>
  <c r="CB47" i="4" s="1"/>
  <c r="CB71" i="4" s="1"/>
  <c r="S38" i="4"/>
  <c r="S39" i="1"/>
  <c r="S38" i="1" s="1"/>
  <c r="FG31" i="4"/>
  <c r="FG29" i="7"/>
  <c r="EX29" i="7" s="1"/>
  <c r="AK31" i="7"/>
  <c r="CH104" i="24"/>
  <c r="CH92" i="24"/>
  <c r="FD175" i="4"/>
  <c r="AH175" i="4" s="1"/>
  <c r="AH175" i="1" s="1"/>
  <c r="AH175" i="7"/>
  <c r="AW87" i="24"/>
  <c r="AW99" i="24"/>
  <c r="FI127" i="4"/>
  <c r="AM127" i="4" s="1"/>
  <c r="AM127" i="1" s="1"/>
  <c r="BQ58" i="4"/>
  <c r="T173" i="1"/>
  <c r="T172" i="1" s="1"/>
  <c r="T172" i="4"/>
  <c r="AX87" i="24"/>
  <c r="AX99" i="24"/>
  <c r="FI128" i="4"/>
  <c r="AM128" i="4" s="1"/>
  <c r="AM128" i="1" s="1"/>
  <c r="FA40" i="4"/>
  <c r="AE40" i="4" s="1"/>
  <c r="AE40" i="1" s="1"/>
  <c r="AE40" i="7"/>
  <c r="BH92" i="24"/>
  <c r="BH104" i="24"/>
  <c r="FD141" i="4"/>
  <c r="AH141" i="4" s="1"/>
  <c r="AH141" i="1" s="1"/>
  <c r="AH141" i="7"/>
  <c r="AI89" i="24"/>
  <c r="AI101" i="24"/>
  <c r="FG110" i="4"/>
  <c r="AK110" i="7"/>
  <c r="BQ164" i="4"/>
  <c r="AN60" i="7"/>
  <c r="CP96" i="24"/>
  <c r="CP108" i="24"/>
  <c r="EZ185" i="4"/>
  <c r="AD185" i="4" s="1"/>
  <c r="AD185" i="1" s="1"/>
  <c r="AD185" i="7"/>
  <c r="AK89" i="24"/>
  <c r="AK101" i="24"/>
  <c r="FG112" i="4"/>
  <c r="AK112" i="7"/>
  <c r="X182" i="4"/>
  <c r="X183" i="1"/>
  <c r="X182" i="1" s="1"/>
  <c r="EN218" i="4"/>
  <c r="BG95" i="24"/>
  <c r="BG107" i="24"/>
  <c r="FA140" i="4"/>
  <c r="AE140" i="4" s="1"/>
  <c r="AE140" i="1" s="1"/>
  <c r="DK150" i="4"/>
  <c r="AF60" i="7"/>
  <c r="CB72" i="7"/>
  <c r="AC168" i="7"/>
  <c r="CE227" i="4"/>
  <c r="AL94" i="24"/>
  <c r="AL106" i="24"/>
  <c r="FB113" i="4"/>
  <c r="AF113" i="4" s="1"/>
  <c r="AF113" i="1" s="1"/>
  <c r="AF113" i="7"/>
  <c r="U117" i="1"/>
  <c r="U116" i="1" s="1"/>
  <c r="U116" i="4"/>
  <c r="AR105" i="24"/>
  <c r="AR93" i="24"/>
  <c r="FC122" i="4"/>
  <c r="AG122" i="4" s="1"/>
  <c r="AG122" i="1" s="1"/>
  <c r="AE102" i="24"/>
  <c r="AE90" i="24"/>
  <c r="FF106" i="4"/>
  <c r="AJ106" i="4" s="1"/>
  <c r="AJ106" i="1" s="1"/>
  <c r="U75" i="7"/>
  <c r="X61" i="1"/>
  <c r="X60" i="1" s="1"/>
  <c r="X60" i="4"/>
  <c r="DA115" i="4"/>
  <c r="EM218" i="4"/>
  <c r="BS106" i="24"/>
  <c r="BS94" i="24"/>
  <c r="FB154" i="4"/>
  <c r="AF154" i="4" s="1"/>
  <c r="AF154" i="1" s="1"/>
  <c r="FK82" i="7"/>
  <c r="L97" i="24"/>
  <c r="L109" i="24"/>
  <c r="EY82" i="4"/>
  <c r="AC82" i="7"/>
  <c r="BX70" i="4"/>
  <c r="Y139" i="1"/>
  <c r="Y138" i="1" s="1"/>
  <c r="Y138" i="4"/>
  <c r="V90" i="24"/>
  <c r="V102" i="24"/>
  <c r="FF95" i="4"/>
  <c r="AJ95" i="4" s="1"/>
  <c r="AJ95" i="1" s="1"/>
  <c r="S156" i="7"/>
  <c r="X38" i="4"/>
  <c r="X39" i="1"/>
  <c r="X38" i="1" s="1"/>
  <c r="AN92" i="24"/>
  <c r="AN104" i="24"/>
  <c r="FD118" i="4"/>
  <c r="AH118" i="4" s="1"/>
  <c r="AH118" i="1" s="1"/>
  <c r="DU216" i="4"/>
  <c r="DJ209" i="4"/>
  <c r="DG187" i="4"/>
  <c r="FI33" i="4"/>
  <c r="AM33" i="4" s="1"/>
  <c r="AM33" i="1" s="1"/>
  <c r="AM33" i="7"/>
  <c r="V188" i="1"/>
  <c r="V187" i="1" s="1"/>
  <c r="V187" i="4"/>
  <c r="R92" i="24"/>
  <c r="R104" i="24"/>
  <c r="FD91" i="4"/>
  <c r="FD90" i="7"/>
  <c r="AH91" i="7"/>
  <c r="DO106" i="24"/>
  <c r="DO94" i="24"/>
  <c r="FB214" i="7"/>
  <c r="FB215" i="4"/>
  <c r="Z173" i="1"/>
  <c r="Z172" i="1" s="1"/>
  <c r="Z172" i="4"/>
  <c r="Z107" i="24"/>
  <c r="Z95" i="24"/>
  <c r="FA99" i="4"/>
  <c r="AE99" i="4" s="1"/>
  <c r="AE99" i="1" s="1"/>
  <c r="DO187" i="4"/>
  <c r="CY91" i="24"/>
  <c r="CY103" i="24"/>
  <c r="FE196" i="4"/>
  <c r="AI196" i="4" s="1"/>
  <c r="AI196" i="1" s="1"/>
  <c r="AI196" i="7"/>
  <c r="DO70" i="7"/>
  <c r="E79" i="24"/>
  <c r="D79" i="24" s="1"/>
  <c r="DO43" i="7"/>
  <c r="DO47" i="7" s="1"/>
  <c r="DO71" i="7" s="1"/>
  <c r="AV93" i="24"/>
  <c r="AV105" i="24"/>
  <c r="FC126" i="4"/>
  <c r="AG126" i="4" s="1"/>
  <c r="AG126" i="1" s="1"/>
  <c r="BT98" i="24"/>
  <c r="BT86" i="24"/>
  <c r="FJ158" i="4"/>
  <c r="FJ157" i="7"/>
  <c r="Z193" i="4"/>
  <c r="Z194" i="1"/>
  <c r="Z193" i="1" s="1"/>
  <c r="AU109" i="24"/>
  <c r="AU97" i="24"/>
  <c r="FK125" i="7"/>
  <c r="EY125" i="4"/>
  <c r="AC125" i="7"/>
  <c r="CO98" i="24"/>
  <c r="CO86" i="24"/>
  <c r="FJ184" i="4"/>
  <c r="AN184" i="4" s="1"/>
  <c r="AN184" i="1" s="1"/>
  <c r="AN184" i="7"/>
  <c r="FE34" i="4"/>
  <c r="AI34" i="4" s="1"/>
  <c r="AI34" i="1" s="1"/>
  <c r="AI34" i="7"/>
  <c r="CB91" i="24"/>
  <c r="CB103" i="24"/>
  <c r="FE168" i="4"/>
  <c r="AI168" i="4" s="1"/>
  <c r="AI168" i="1" s="1"/>
  <c r="AI168" i="7"/>
  <c r="DU168" i="4"/>
  <c r="CF94" i="24"/>
  <c r="CF106" i="24"/>
  <c r="FB173" i="4"/>
  <c r="AF173" i="4" s="1"/>
  <c r="FB172" i="7"/>
  <c r="AF173" i="7"/>
  <c r="BH115" i="4"/>
  <c r="DU212" i="4"/>
  <c r="BM43" i="4"/>
  <c r="AG45" i="7"/>
  <c r="Y220" i="1"/>
  <c r="Y219" i="1" s="1"/>
  <c r="Y219" i="4"/>
  <c r="Z117" i="1"/>
  <c r="Z116" i="1" s="1"/>
  <c r="Z116" i="4"/>
  <c r="CA102" i="24"/>
  <c r="CA90" i="24"/>
  <c r="FF167" i="4"/>
  <c r="AJ167" i="4" s="1"/>
  <c r="AJ167" i="1" s="1"/>
  <c r="FK194" i="7"/>
  <c r="CW109" i="24"/>
  <c r="CW97" i="24"/>
  <c r="EY194" i="4"/>
  <c r="AC194" i="4" s="1"/>
  <c r="EY193" i="7"/>
  <c r="AC194" i="7"/>
  <c r="O115" i="7"/>
  <c r="DO157" i="4"/>
  <c r="DE94" i="24"/>
  <c r="DE106" i="24"/>
  <c r="FB202" i="4"/>
  <c r="AF202" i="4" s="1"/>
  <c r="AF202" i="1" s="1"/>
  <c r="AF202" i="7"/>
  <c r="X87" i="24"/>
  <c r="X99" i="24"/>
  <c r="FI97" i="4"/>
  <c r="AM97" i="4" s="1"/>
  <c r="AM97" i="1" s="1"/>
  <c r="AM97" i="7"/>
  <c r="BQ227" i="4"/>
  <c r="BO108" i="24"/>
  <c r="BO96" i="24"/>
  <c r="EZ149" i="4"/>
  <c r="AD149" i="4" s="1"/>
  <c r="AD149" i="1" s="1"/>
  <c r="AD149" i="7"/>
  <c r="AM247" i="7"/>
  <c r="U29" i="4"/>
  <c r="U31" i="1"/>
  <c r="U29" i="1" s="1"/>
  <c r="BL93" i="24"/>
  <c r="BL105" i="24"/>
  <c r="FC145" i="4"/>
  <c r="AG145" i="4" s="1"/>
  <c r="AG145" i="1" s="1"/>
  <c r="AG145" i="7"/>
  <c r="AA132" i="4"/>
  <c r="O132" i="1"/>
  <c r="DJ218" i="7"/>
  <c r="V105" i="1"/>
  <c r="V104" i="1" s="1"/>
  <c r="V104" i="4"/>
  <c r="DL99" i="24"/>
  <c r="DL87" i="24"/>
  <c r="FI211" i="4"/>
  <c r="AM211" i="4" s="1"/>
  <c r="AM211" i="1" s="1"/>
  <c r="AM211" i="7"/>
  <c r="W57" i="4"/>
  <c r="W55" i="1"/>
  <c r="DT150" i="4"/>
  <c r="U151" i="1"/>
  <c r="U150" i="1" s="1"/>
  <c r="U150" i="4"/>
  <c r="Y61" i="1"/>
  <c r="Y60" i="1" s="1"/>
  <c r="Y60" i="4"/>
  <c r="BW43" i="4"/>
  <c r="BW47" i="4" s="1"/>
  <c r="BW71" i="4" s="1"/>
  <c r="AA213" i="4"/>
  <c r="O213" i="1"/>
  <c r="DV89" i="24"/>
  <c r="DV101" i="24"/>
  <c r="FG226" i="4"/>
  <c r="W165" i="1"/>
  <c r="W164" i="4"/>
  <c r="BM92" i="24"/>
  <c r="BM104" i="24"/>
  <c r="FD146" i="7"/>
  <c r="FD147" i="4"/>
  <c r="V31" i="1"/>
  <c r="V29" i="1" s="1"/>
  <c r="V29" i="4"/>
  <c r="DM95" i="24"/>
  <c r="DM107" i="24"/>
  <c r="FA212" i="4"/>
  <c r="AE212" i="4" s="1"/>
  <c r="AE212" i="1" s="1"/>
  <c r="AE212" i="7"/>
  <c r="DK89" i="24"/>
  <c r="DK101" i="24"/>
  <c r="FG210" i="4"/>
  <c r="FG209" i="7"/>
  <c r="EX209" i="7" s="1"/>
  <c r="BK97" i="24"/>
  <c r="BK109" i="24"/>
  <c r="FK144" i="7"/>
  <c r="EY144" i="4"/>
  <c r="AE188" i="7"/>
  <c r="AN139" i="7"/>
  <c r="AH196" i="7"/>
  <c r="FG39" i="4"/>
  <c r="FG38" i="7"/>
  <c r="EX38" i="7" s="1"/>
  <c r="AK39" i="7"/>
  <c r="FE246" i="4"/>
  <c r="AI246" i="4" s="1"/>
  <c r="AI246" i="1" s="1"/>
  <c r="AI246" i="7"/>
  <c r="V147" i="1"/>
  <c r="V146" i="1" s="1"/>
  <c r="V146" i="4"/>
  <c r="DT223" i="4"/>
  <c r="DI90" i="24"/>
  <c r="DI102" i="24"/>
  <c r="FF207" i="4"/>
  <c r="AJ207" i="4" s="1"/>
  <c r="AJ207" i="1" s="1"/>
  <c r="DS205" i="4"/>
  <c r="FG242" i="4"/>
  <c r="FG241" i="7"/>
  <c r="EX241" i="7" s="1"/>
  <c r="DM90" i="4"/>
  <c r="DN102" i="24"/>
  <c r="DN90" i="24"/>
  <c r="FF213" i="4"/>
  <c r="AJ213" i="4" s="1"/>
  <c r="AJ213" i="1" s="1"/>
  <c r="AJ213" i="7"/>
  <c r="DJ90" i="24"/>
  <c r="DJ102" i="24"/>
  <c r="FF208" i="4"/>
  <c r="AJ208" i="4" s="1"/>
  <c r="AJ208" i="1" s="1"/>
  <c r="U101" i="24"/>
  <c r="U89" i="24"/>
  <c r="FG94" i="4"/>
  <c r="AK94" i="7"/>
  <c r="T31" i="1"/>
  <c r="T29" i="1" s="1"/>
  <c r="T29" i="4"/>
  <c r="BI86" i="24"/>
  <c r="BI98" i="24"/>
  <c r="FJ142" i="4"/>
  <c r="AN142" i="4" s="1"/>
  <c r="AN142" i="1" s="1"/>
  <c r="AN142" i="7"/>
  <c r="DH100" i="24"/>
  <c r="DH88" i="24"/>
  <c r="FH206" i="4"/>
  <c r="FH205" i="7"/>
  <c r="AM171" i="7"/>
  <c r="AF40" i="7"/>
  <c r="J87" i="24"/>
  <c r="J99" i="24"/>
  <c r="FI80" i="4"/>
  <c r="AM80" i="4" s="1"/>
  <c r="AM80" i="1" s="1"/>
  <c r="CU88" i="24"/>
  <c r="CU100" i="24"/>
  <c r="FH191" i="4"/>
  <c r="AL191" i="4" s="1"/>
  <c r="AL191" i="1" s="1"/>
  <c r="AD45" i="7"/>
  <c r="AJ208" i="7"/>
  <c r="BX108" i="24"/>
  <c r="BX96" i="24"/>
  <c r="EZ162" i="4"/>
  <c r="AD162" i="4" s="1"/>
  <c r="AD162" i="1" s="1"/>
  <c r="T139" i="1"/>
  <c r="T138" i="1" s="1"/>
  <c r="T138" i="4"/>
  <c r="AA189" i="4"/>
  <c r="O189" i="1"/>
  <c r="AN109" i="7"/>
  <c r="BB91" i="24"/>
  <c r="BB103" i="24"/>
  <c r="FE134" i="4"/>
  <c r="FE133" i="7"/>
  <c r="O86" i="24"/>
  <c r="O98" i="24"/>
  <c r="FJ85" i="4"/>
  <c r="AN85" i="4" s="1"/>
  <c r="AN85" i="1" s="1"/>
  <c r="AN85" i="7"/>
  <c r="FK152" i="7"/>
  <c r="BQ109" i="24"/>
  <c r="BQ97" i="24"/>
  <c r="EY152" i="4"/>
  <c r="CE164" i="4"/>
  <c r="FK131" i="7"/>
  <c r="AZ97" i="24"/>
  <c r="AZ109" i="24"/>
  <c r="EY131" i="4"/>
  <c r="AC131" i="4" s="1"/>
  <c r="BQ129" i="4"/>
  <c r="DR115" i="7"/>
  <c r="DH115" i="7" s="1"/>
  <c r="AA186" i="4"/>
  <c r="O186" i="1"/>
  <c r="AH107" i="24"/>
  <c r="AH95" i="24"/>
  <c r="FA109" i="4"/>
  <c r="AE109" i="4" s="1"/>
  <c r="AE109" i="1" s="1"/>
  <c r="AE109" i="7"/>
  <c r="CE108" i="24"/>
  <c r="CE96" i="24"/>
  <c r="EZ171" i="4"/>
  <c r="AD171" i="4" s="1"/>
  <c r="AD171" i="1" s="1"/>
  <c r="BJ89" i="24"/>
  <c r="BJ101" i="24"/>
  <c r="FG143" i="4"/>
  <c r="AT98" i="24"/>
  <c r="AT86" i="24"/>
  <c r="FJ124" i="4"/>
  <c r="AN124" i="4" s="1"/>
  <c r="AN124" i="1" s="1"/>
  <c r="AJ161" i="7"/>
  <c r="FD42" i="4"/>
  <c r="AH42" i="4" s="1"/>
  <c r="AH42" i="1" s="1"/>
  <c r="AH42" i="7"/>
  <c r="CT103" i="24"/>
  <c r="CT91" i="24"/>
  <c r="FE190" i="4"/>
  <c r="AI190" i="4" s="1"/>
  <c r="AI190" i="1" s="1"/>
  <c r="DK156" i="7"/>
  <c r="T88" i="24"/>
  <c r="T100" i="24"/>
  <c r="FH93" i="4"/>
  <c r="AL93" i="4" s="1"/>
  <c r="AL93" i="1" s="1"/>
  <c r="ES115" i="4"/>
  <c r="CX108" i="24"/>
  <c r="CX96" i="24"/>
  <c r="EZ195" i="4"/>
  <c r="AD195" i="4" s="1"/>
  <c r="AD195" i="1" s="1"/>
  <c r="AD195" i="7"/>
  <c r="DK241" i="4"/>
  <c r="AK117" i="7"/>
  <c r="FK100" i="7"/>
  <c r="AA97" i="24"/>
  <c r="AA109" i="24"/>
  <c r="EY100" i="4"/>
  <c r="BN43" i="4"/>
  <c r="BN47" i="4" s="1"/>
  <c r="AL244" i="7"/>
  <c r="AB244" i="7" s="1"/>
  <c r="U54" i="4"/>
  <c r="U51" i="1"/>
  <c r="U54" i="1" s="1"/>
  <c r="BN58" i="4"/>
  <c r="T134" i="1"/>
  <c r="T133" i="1" s="1"/>
  <c r="T133" i="4"/>
  <c r="R220" i="1"/>
  <c r="R219" i="1" s="1"/>
  <c r="R219" i="4"/>
  <c r="O203" i="1"/>
  <c r="AA203" i="4"/>
  <c r="AC101" i="24"/>
  <c r="AC89" i="24"/>
  <c r="FG102" i="4"/>
  <c r="AK102" i="7"/>
  <c r="CW75" i="4"/>
  <c r="AN148" i="7"/>
  <c r="EW58" i="4"/>
  <c r="CQ88" i="24"/>
  <c r="CQ100" i="24"/>
  <c r="FH186" i="4"/>
  <c r="AL186" i="4" s="1"/>
  <c r="AL186" i="1" s="1"/>
  <c r="AL30" i="7"/>
  <c r="AB30" i="7" s="1"/>
  <c r="H91" i="24"/>
  <c r="H103" i="24"/>
  <c r="FE78" i="4"/>
  <c r="AI78" i="4" s="1"/>
  <c r="AI78" i="1" s="1"/>
  <c r="AI78" i="7"/>
  <c r="CZ104" i="24"/>
  <c r="CZ92" i="24"/>
  <c r="FD197" i="4"/>
  <c r="AH197" i="4" s="1"/>
  <c r="AH197" i="1" s="1"/>
  <c r="AH197" i="7"/>
  <c r="P182" i="4"/>
  <c r="P183" i="1"/>
  <c r="P182" i="1" s="1"/>
  <c r="DQ104" i="4"/>
  <c r="BU98" i="24"/>
  <c r="BU86" i="24"/>
  <c r="FJ159" i="4"/>
  <c r="AN159" i="4" s="1"/>
  <c r="AN159" i="1" s="1"/>
  <c r="DU102" i="4"/>
  <c r="AB93" i="24"/>
  <c r="AB105" i="24"/>
  <c r="FC101" i="4"/>
  <c r="AG101" i="4" s="1"/>
  <c r="AG101" i="1" s="1"/>
  <c r="BL75" i="4"/>
  <c r="N95" i="24"/>
  <c r="N107" i="24"/>
  <c r="FA84" i="4"/>
  <c r="AE84" i="4" s="1"/>
  <c r="AE84" i="1" s="1"/>
  <c r="AL201" i="7"/>
  <c r="AB201" i="7" s="1"/>
  <c r="FK174" i="7"/>
  <c r="CG97" i="24"/>
  <c r="CG109" i="24"/>
  <c r="EY174" i="4"/>
  <c r="BE104" i="24"/>
  <c r="BE92" i="24"/>
  <c r="FD137" i="4"/>
  <c r="AH137" i="4" s="1"/>
  <c r="AH137" i="1" s="1"/>
  <c r="AS105" i="24"/>
  <c r="AS93" i="24"/>
  <c r="FC123" i="4"/>
  <c r="AG123" i="4" s="1"/>
  <c r="AG123" i="1" s="1"/>
  <c r="AY88" i="24"/>
  <c r="AY100" i="24"/>
  <c r="FH130" i="4"/>
  <c r="FH129" i="7"/>
  <c r="AL130" i="7"/>
  <c r="AB130" i="7" s="1"/>
  <c r="DU129" i="7"/>
  <c r="BW107" i="24"/>
  <c r="BW95" i="24"/>
  <c r="FA161" i="4"/>
  <c r="AE161" i="4" s="1"/>
  <c r="AE161" i="1" s="1"/>
  <c r="AE161" i="7"/>
  <c r="M90" i="24"/>
  <c r="M102" i="24"/>
  <c r="FF83" i="4"/>
  <c r="AJ83" i="4" s="1"/>
  <c r="AJ83" i="1" s="1"/>
  <c r="O224" i="1"/>
  <c r="O223" i="4"/>
  <c r="AA224" i="4"/>
  <c r="DU44" i="4"/>
  <c r="DU78" i="4"/>
  <c r="CK98" i="24"/>
  <c r="CK86" i="24"/>
  <c r="FJ179" i="4"/>
  <c r="FJ178" i="7"/>
  <c r="AN179" i="7"/>
  <c r="DT104" i="4"/>
  <c r="DG138" i="4"/>
  <c r="V151" i="1"/>
  <c r="V150" i="1" s="1"/>
  <c r="V150" i="4"/>
  <c r="FC244" i="4"/>
  <c r="AG244" i="4" s="1"/>
  <c r="AG244" i="1" s="1"/>
  <c r="AG244" i="7"/>
  <c r="AA102" i="4"/>
  <c r="O102" i="1"/>
  <c r="DC96" i="24"/>
  <c r="DC108" i="24"/>
  <c r="EZ200" i="4"/>
  <c r="AD200" i="4" s="1"/>
  <c r="AD200" i="1" s="1"/>
  <c r="DP93" i="24"/>
  <c r="DP105" i="24"/>
  <c r="FC216" i="4"/>
  <c r="AG216" i="4" s="1"/>
  <c r="AG216" i="1" s="1"/>
  <c r="DU86" i="4"/>
  <c r="AA158" i="4"/>
  <c r="O158" i="1"/>
  <c r="O157" i="4"/>
  <c r="AD88" i="24"/>
  <c r="AD100" i="24"/>
  <c r="FH105" i="4"/>
  <c r="FH104" i="7"/>
  <c r="AL105" i="7"/>
  <c r="AB105" i="7" s="1"/>
  <c r="FB32" i="4"/>
  <c r="AF32" i="4" s="1"/>
  <c r="AF32" i="1" s="1"/>
  <c r="AF32" i="7"/>
  <c r="CJ108" i="24"/>
  <c r="CJ96" i="24"/>
  <c r="EZ177" i="4"/>
  <c r="AD177" i="4" s="1"/>
  <c r="AD177" i="1" s="1"/>
  <c r="AD177" i="7"/>
  <c r="CY115" i="4"/>
  <c r="FK192" i="7"/>
  <c r="CV109" i="24"/>
  <c r="CV97" i="24"/>
  <c r="EY192" i="4"/>
  <c r="BZ105" i="24"/>
  <c r="BZ93" i="24"/>
  <c r="FC166" i="4"/>
  <c r="AG166" i="4" s="1"/>
  <c r="AG166" i="1" s="1"/>
  <c r="AG166" i="7"/>
  <c r="AI40" i="7"/>
  <c r="P139" i="1"/>
  <c r="P138" i="1" s="1"/>
  <c r="P138" i="4"/>
  <c r="AK60" i="7"/>
  <c r="I87" i="24"/>
  <c r="I99" i="24"/>
  <c r="FI79" i="4"/>
  <c r="AM79" i="4" s="1"/>
  <c r="AM79" i="1" s="1"/>
  <c r="AC188" i="7"/>
  <c r="AF108" i="24"/>
  <c r="AF96" i="24"/>
  <c r="EZ107" i="4"/>
  <c r="AD107" i="4" s="1"/>
  <c r="AD107" i="1" s="1"/>
  <c r="AD107" i="7"/>
  <c r="CD218" i="4"/>
  <c r="AC171" i="7"/>
  <c r="BR107" i="24"/>
  <c r="BR95" i="24"/>
  <c r="FA153" i="4"/>
  <c r="AE153" i="4" s="1"/>
  <c r="AE153" i="1" s="1"/>
  <c r="AE153" i="7"/>
  <c r="AH60" i="7"/>
  <c r="CE157" i="4"/>
  <c r="DQ76" i="4"/>
  <c r="G92" i="24"/>
  <c r="G104" i="24"/>
  <c r="FD76" i="7"/>
  <c r="FD77" i="4"/>
  <c r="V61" i="1"/>
  <c r="V60" i="1" s="1"/>
  <c r="V60" i="4"/>
  <c r="AK213" i="7"/>
  <c r="CD91" i="24"/>
  <c r="CD103" i="24"/>
  <c r="FE170" i="4"/>
  <c r="AI170" i="4" s="1"/>
  <c r="AI170" i="1" s="1"/>
  <c r="DN227" i="4"/>
  <c r="DQ133" i="4"/>
  <c r="AM41" i="7"/>
  <c r="AA92" i="4"/>
  <c r="O92" i="1"/>
  <c r="CM87" i="24"/>
  <c r="CM99" i="24"/>
  <c r="FI181" i="4"/>
  <c r="AM181" i="4" s="1"/>
  <c r="AM181" i="1" s="1"/>
  <c r="Z57" i="4"/>
  <c r="Z55" i="1"/>
  <c r="Z57" i="1" s="1"/>
  <c r="BV105" i="24"/>
  <c r="BV93" i="24"/>
  <c r="FC160" i="4"/>
  <c r="AG160" i="4" s="1"/>
  <c r="AG160" i="1" s="1"/>
  <c r="AG160" i="7"/>
  <c r="AM93" i="24"/>
  <c r="AM105" i="24"/>
  <c r="FC117" i="4"/>
  <c r="FC116" i="7"/>
  <c r="AG117" i="7"/>
  <c r="EU156" i="4"/>
  <c r="FD46" i="4"/>
  <c r="AH46" i="4" s="1"/>
  <c r="AH46" i="1" s="1"/>
  <c r="AH46" i="7"/>
  <c r="FE41" i="4"/>
  <c r="AI41" i="4" s="1"/>
  <c r="AI41" i="1" s="1"/>
  <c r="AI41" i="7"/>
  <c r="DS223" i="4"/>
  <c r="CN96" i="24"/>
  <c r="CN108" i="24"/>
  <c r="EZ183" i="4"/>
  <c r="AD183" i="4" s="1"/>
  <c r="EZ182" i="7"/>
  <c r="BI115" i="4"/>
  <c r="EZ245" i="4"/>
  <c r="AD245" i="4" s="1"/>
  <c r="AD245" i="1" s="1"/>
  <c r="AD245" i="7"/>
  <c r="FK139" i="7"/>
  <c r="BF109" i="24"/>
  <c r="BF97" i="24"/>
  <c r="EY139" i="4"/>
  <c r="EY138" i="7"/>
  <c r="AC139" i="7"/>
  <c r="AQ86" i="24"/>
  <c r="AQ98" i="24"/>
  <c r="FJ121" i="4"/>
  <c r="AN121" i="4" s="1"/>
  <c r="AN121" i="1" s="1"/>
  <c r="AA65" i="4"/>
  <c r="O65" i="1"/>
  <c r="CA218" i="4"/>
  <c r="DN133" i="4"/>
  <c r="AO88" i="24"/>
  <c r="AO100" i="24"/>
  <c r="FH119" i="4"/>
  <c r="AL119" i="4" s="1"/>
  <c r="AL119" i="1" s="1"/>
  <c r="P90" i="24"/>
  <c r="P102" i="24"/>
  <c r="FF86" i="4"/>
  <c r="AJ86" i="4" s="1"/>
  <c r="AJ86" i="1" s="1"/>
  <c r="DA94" i="24"/>
  <c r="DA106" i="24"/>
  <c r="FB198" i="4"/>
  <c r="AF198" i="4" s="1"/>
  <c r="AF198" i="1" s="1"/>
  <c r="CS93" i="24"/>
  <c r="CS105" i="24"/>
  <c r="FC189" i="4"/>
  <c r="AG189" i="4" s="1"/>
  <c r="AG189" i="1" s="1"/>
  <c r="O43" i="7"/>
  <c r="O47" i="7" s="1"/>
  <c r="BC101" i="24"/>
  <c r="BC89" i="24"/>
  <c r="FG135" i="4"/>
  <c r="AK135" i="7"/>
  <c r="CI98" i="24"/>
  <c r="CI86" i="24"/>
  <c r="FJ176" i="4"/>
  <c r="AN176" i="4" s="1"/>
  <c r="AN176" i="1" s="1"/>
  <c r="CH90" i="24"/>
  <c r="CH102" i="24"/>
  <c r="FF175" i="4"/>
  <c r="AJ175" i="4" s="1"/>
  <c r="AJ175" i="1" s="1"/>
  <c r="AJ175" i="7"/>
  <c r="AX96" i="24"/>
  <c r="AX108" i="24"/>
  <c r="EZ128" i="4"/>
  <c r="AD128" i="4" s="1"/>
  <c r="AD128" i="1" s="1"/>
  <c r="AD128" i="7"/>
  <c r="BH95" i="24"/>
  <c r="BH107" i="24"/>
  <c r="FA141" i="4"/>
  <c r="AE141" i="4" s="1"/>
  <c r="AE141" i="1" s="1"/>
  <c r="AE141" i="7"/>
  <c r="AI103" i="24"/>
  <c r="AI91" i="24"/>
  <c r="FE110" i="4"/>
  <c r="AI110" i="4" s="1"/>
  <c r="AI110" i="1" s="1"/>
  <c r="T129" i="4"/>
  <c r="T130" i="1"/>
  <c r="T129" i="1" s="1"/>
  <c r="BG109" i="24"/>
  <c r="BG97" i="24"/>
  <c r="FK140" i="7"/>
  <c r="EY140" i="4"/>
  <c r="AC140" i="4" s="1"/>
  <c r="AC140" i="7"/>
  <c r="BM230" i="7"/>
  <c r="AC228" i="1"/>
  <c r="DM223" i="4"/>
  <c r="DA218" i="4"/>
  <c r="DU146" i="7"/>
  <c r="BS109" i="24"/>
  <c r="BS97" i="24"/>
  <c r="FK154" i="7"/>
  <c r="EY154" i="4"/>
  <c r="AC154" i="7"/>
  <c r="AA166" i="4"/>
  <c r="O166" i="1"/>
  <c r="DO86" i="24"/>
  <c r="DO98" i="24"/>
  <c r="FJ215" i="4"/>
  <c r="FJ214" i="7"/>
  <c r="AN215" i="7"/>
  <c r="AA60" i="7"/>
  <c r="DO150" i="4"/>
  <c r="DL193" i="4"/>
  <c r="BT100" i="24"/>
  <c r="BT88" i="24"/>
  <c r="FH158" i="4"/>
  <c r="FH157" i="7"/>
  <c r="CO107" i="24"/>
  <c r="CO95" i="24"/>
  <c r="FA184" i="4"/>
  <c r="AE184" i="4" s="1"/>
  <c r="AE184" i="1" s="1"/>
  <c r="CF87" i="24"/>
  <c r="CF99" i="24"/>
  <c r="FI173" i="4"/>
  <c r="FI172" i="7"/>
  <c r="AM173" i="7"/>
  <c r="CA87" i="4"/>
  <c r="CA75" i="4" s="1"/>
  <c r="CE193" i="4"/>
  <c r="O90" i="4"/>
  <c r="AA91" i="4"/>
  <c r="O91" i="1"/>
  <c r="Z130" i="1"/>
  <c r="Z129" i="1" s="1"/>
  <c r="Z129" i="4"/>
  <c r="FF30" i="4"/>
  <c r="AJ30" i="4" s="1"/>
  <c r="AJ30" i="1" s="1"/>
  <c r="AJ30" i="7"/>
  <c r="S146" i="4"/>
  <c r="S147" i="1"/>
  <c r="S146" i="1" s="1"/>
  <c r="CB70" i="4"/>
  <c r="BM95" i="24"/>
  <c r="BM107" i="24"/>
  <c r="FA147" i="4"/>
  <c r="FA146" i="7"/>
  <c r="S51" i="1"/>
  <c r="S54" i="1" s="1"/>
  <c r="S54" i="4"/>
  <c r="AA13" i="7"/>
  <c r="FF39" i="4"/>
  <c r="FF38" i="7"/>
  <c r="DQ182" i="4"/>
  <c r="DJ91" i="24"/>
  <c r="DJ103" i="24"/>
  <c r="FE208" i="4"/>
  <c r="AI208" i="4" s="1"/>
  <c r="AI208" i="1" s="1"/>
  <c r="U107" i="24"/>
  <c r="U95" i="24"/>
  <c r="FA94" i="4"/>
  <c r="AE94" i="4" s="1"/>
  <c r="AE94" i="1" s="1"/>
  <c r="AE94" i="7"/>
  <c r="DS133" i="4"/>
  <c r="J95" i="24"/>
  <c r="J107" i="24"/>
  <c r="FA80" i="4"/>
  <c r="AE80" i="4" s="1"/>
  <c r="AE80" i="1" s="1"/>
  <c r="BX88" i="24"/>
  <c r="BX100" i="24"/>
  <c r="FH162" i="4"/>
  <c r="AL162" i="4" s="1"/>
  <c r="AL162" i="1" s="1"/>
  <c r="T215" i="1"/>
  <c r="T214" i="1" s="1"/>
  <c r="T214" i="4"/>
  <c r="BJ104" i="24"/>
  <c r="BJ92" i="24"/>
  <c r="FD143" i="4"/>
  <c r="AH143" i="4" s="1"/>
  <c r="AH143" i="1" s="1"/>
  <c r="AH143" i="7"/>
  <c r="CT94" i="24"/>
  <c r="CT106" i="24"/>
  <c r="FB190" i="4"/>
  <c r="AF190" i="4" s="1"/>
  <c r="AF190" i="1" s="1"/>
  <c r="AF190" i="7"/>
  <c r="FA44" i="4"/>
  <c r="AE44" i="4" s="1"/>
  <c r="AE44" i="1" s="1"/>
  <c r="AE44" i="7"/>
  <c r="EW205" i="4"/>
  <c r="Y187" i="4"/>
  <c r="Y188" i="1"/>
  <c r="Y187" i="1" s="1"/>
  <c r="AC91" i="24"/>
  <c r="AC103" i="24"/>
  <c r="FE102" i="4"/>
  <c r="AI102" i="4" s="1"/>
  <c r="AI102" i="1" s="1"/>
  <c r="AI102" i="7"/>
  <c r="CZ102" i="24"/>
  <c r="CZ90" i="24"/>
  <c r="FF197" i="4"/>
  <c r="AJ197" i="4" s="1"/>
  <c r="AJ197" i="1" s="1"/>
  <c r="AM105" i="7"/>
  <c r="FK98" i="7"/>
  <c r="Y109" i="24"/>
  <c r="Y97" i="24"/>
  <c r="EY98" i="4"/>
  <c r="AC98" i="7"/>
  <c r="BN90" i="24"/>
  <c r="BN102" i="24"/>
  <c r="FF148" i="4"/>
  <c r="AJ148" i="4" s="1"/>
  <c r="AJ148" i="1" s="1"/>
  <c r="AJ148" i="7"/>
  <c r="DU148" i="4"/>
  <c r="Z76" i="4"/>
  <c r="Z77" i="1"/>
  <c r="Z76" i="1" s="1"/>
  <c r="BV89" i="24"/>
  <c r="BV101" i="24"/>
  <c r="FG160" i="4"/>
  <c r="AM91" i="24"/>
  <c r="AM103" i="24"/>
  <c r="FE117" i="4"/>
  <c r="FE116" i="7"/>
  <c r="DN193" i="4"/>
  <c r="AJ90" i="24"/>
  <c r="AJ102" i="24"/>
  <c r="FF111" i="4"/>
  <c r="AJ111" i="4" s="1"/>
  <c r="AJ111" i="1" s="1"/>
  <c r="CB115" i="4"/>
  <c r="W106" i="24"/>
  <c r="W94" i="24"/>
  <c r="FB96" i="4"/>
  <c r="AF96" i="4" s="1"/>
  <c r="AF96" i="1" s="1"/>
  <c r="AF96" i="7"/>
  <c r="BY95" i="24"/>
  <c r="BY107" i="24"/>
  <c r="FA164" i="7"/>
  <c r="FA165" i="4"/>
  <c r="AE165" i="7"/>
  <c r="AA196" i="4"/>
  <c r="O196" i="1"/>
  <c r="CN99" i="24"/>
  <c r="CN87" i="24"/>
  <c r="FI182" i="7"/>
  <c r="FI183" i="4"/>
  <c r="AM183" i="4" s="1"/>
  <c r="DU154" i="4"/>
  <c r="DD87" i="24"/>
  <c r="DD99" i="24"/>
  <c r="FI201" i="4"/>
  <c r="AM201" i="4" s="1"/>
  <c r="AM201" i="1" s="1"/>
  <c r="BP156" i="4"/>
  <c r="T70" i="7"/>
  <c r="DK76" i="4"/>
  <c r="AG86" i="24"/>
  <c r="AG98" i="24"/>
  <c r="FJ108" i="4"/>
  <c r="AN108" i="4" s="1"/>
  <c r="AN108" i="1" s="1"/>
  <c r="DR90" i="4"/>
  <c r="BD92" i="24"/>
  <c r="BD104" i="24"/>
  <c r="FD136" i="4"/>
  <c r="AH136" i="4" s="1"/>
  <c r="AH136" i="1" s="1"/>
  <c r="AH136" i="7"/>
  <c r="O16" i="1"/>
  <c r="AA16" i="1" s="1"/>
  <c r="AA16" i="4"/>
  <c r="BP86" i="24"/>
  <c r="BP98" i="24"/>
  <c r="FJ150" i="7"/>
  <c r="FJ151" i="4"/>
  <c r="AN151" i="7"/>
  <c r="DP115" i="7"/>
  <c r="CR94" i="24"/>
  <c r="CR106" i="24"/>
  <c r="FB187" i="7"/>
  <c r="FB188" i="4"/>
  <c r="AF188" i="7"/>
  <c r="BF103" i="24"/>
  <c r="BF91" i="24"/>
  <c r="FE139" i="4"/>
  <c r="FE138" i="7"/>
  <c r="DI115" i="7"/>
  <c r="DU108" i="24"/>
  <c r="DU96" i="24"/>
  <c r="EZ225" i="4"/>
  <c r="AD225" i="4" s="1"/>
  <c r="AD225" i="1" s="1"/>
  <c r="AD225" i="7"/>
  <c r="AQ105" i="24"/>
  <c r="AQ93" i="24"/>
  <c r="FC121" i="4"/>
  <c r="AG121" i="4" s="1"/>
  <c r="AG121" i="1" s="1"/>
  <c r="AG121" i="7"/>
  <c r="BA91" i="24"/>
  <c r="BA103" i="24"/>
  <c r="FE132" i="4"/>
  <c r="AI132" i="4" s="1"/>
  <c r="AI132" i="1" s="1"/>
  <c r="DT90" i="24"/>
  <c r="DT102" i="24"/>
  <c r="FF223" i="7"/>
  <c r="FF218" i="7" s="1"/>
  <c r="FF224" i="4"/>
  <c r="AJ224" i="7"/>
  <c r="CL98" i="24"/>
  <c r="CL86" i="24"/>
  <c r="FJ180" i="4"/>
  <c r="AN180" i="4" s="1"/>
  <c r="AN180" i="1" s="1"/>
  <c r="AN180" i="7"/>
  <c r="Q43" i="7"/>
  <c r="Q47" i="7" s="1"/>
  <c r="Q71" i="7" s="1"/>
  <c r="DU184" i="4"/>
  <c r="AO94" i="24"/>
  <c r="AO106" i="24"/>
  <c r="FB119" i="4"/>
  <c r="AF119" i="4" s="1"/>
  <c r="AF119" i="1" s="1"/>
  <c r="DF96" i="24"/>
  <c r="DF108" i="24"/>
  <c r="EZ203" i="4"/>
  <c r="AD203" i="4" s="1"/>
  <c r="AD203" i="1" s="1"/>
  <c r="P39" i="1"/>
  <c r="P38" i="1" s="1"/>
  <c r="P38" i="4"/>
  <c r="P96" i="24"/>
  <c r="P108" i="24"/>
  <c r="EZ86" i="4"/>
  <c r="AD86" i="4" s="1"/>
  <c r="AD86" i="1" s="1"/>
  <c r="BT115" i="4"/>
  <c r="DB91" i="24"/>
  <c r="DB103" i="24"/>
  <c r="FE199" i="4"/>
  <c r="AI199" i="4" s="1"/>
  <c r="AI199" i="1" s="1"/>
  <c r="AI199" i="7"/>
  <c r="DG92" i="24"/>
  <c r="DG104" i="24"/>
  <c r="FD204" i="4"/>
  <c r="AH204" i="4" s="1"/>
  <c r="AH204" i="1" s="1"/>
  <c r="AH204" i="7"/>
  <c r="DA108" i="24"/>
  <c r="DA96" i="24"/>
  <c r="EZ198" i="4"/>
  <c r="AD198" i="4" s="1"/>
  <c r="AD198" i="1" s="1"/>
  <c r="AD198" i="7"/>
  <c r="FK92" i="7"/>
  <c r="S97" i="24"/>
  <c r="S109" i="24"/>
  <c r="EY92" i="4"/>
  <c r="AC92" i="4" s="1"/>
  <c r="AC92" i="7"/>
  <c r="R146" i="4"/>
  <c r="R147" i="1"/>
  <c r="R146" i="1" s="1"/>
  <c r="CA72" i="7"/>
  <c r="CS91" i="24"/>
  <c r="CS103" i="24"/>
  <c r="FE189" i="4"/>
  <c r="AI189" i="4" s="1"/>
  <c r="AI189" i="1" s="1"/>
  <c r="R130" i="1"/>
  <c r="R129" i="1" s="1"/>
  <c r="R129" i="4"/>
  <c r="CC99" i="24"/>
  <c r="CC87" i="24"/>
  <c r="FI169" i="4"/>
  <c r="AM169" i="4" s="1"/>
  <c r="AM169" i="1" s="1"/>
  <c r="K96" i="24"/>
  <c r="K108" i="24"/>
  <c r="EZ81" i="4"/>
  <c r="AD81" i="4" s="1"/>
  <c r="AD81" i="1" s="1"/>
  <c r="AD81" i="7"/>
  <c r="DS214" i="4"/>
  <c r="FG45" i="4"/>
  <c r="AK45" i="7"/>
  <c r="BC88" i="24"/>
  <c r="BC100" i="24"/>
  <c r="FH135" i="4"/>
  <c r="AL135" i="4" s="1"/>
  <c r="AL135" i="1" s="1"/>
  <c r="R165" i="1"/>
  <c r="R164" i="1" s="1"/>
  <c r="R164" i="4"/>
  <c r="CI95" i="24"/>
  <c r="CI107" i="24"/>
  <c r="FA176" i="4"/>
  <c r="AE176" i="4" s="1"/>
  <c r="AE176" i="1" s="1"/>
  <c r="AP105" i="24"/>
  <c r="AP93" i="24"/>
  <c r="FC120" i="4"/>
  <c r="AG120" i="4" s="1"/>
  <c r="AG120" i="1" s="1"/>
  <c r="AG120" i="7"/>
  <c r="FE31" i="4"/>
  <c r="FE29" i="7"/>
  <c r="AI31" i="7"/>
  <c r="CH88" i="24"/>
  <c r="CH100" i="24"/>
  <c r="FH175" i="4"/>
  <c r="AL175" i="4" s="1"/>
  <c r="AL175" i="1" s="1"/>
  <c r="FK127" i="7"/>
  <c r="AW97" i="24"/>
  <c r="AW109" i="24"/>
  <c r="EY127" i="4"/>
  <c r="Y210" i="1"/>
  <c r="Y209" i="1" s="1"/>
  <c r="Y209" i="4"/>
  <c r="DN223" i="4"/>
  <c r="AX98" i="24"/>
  <c r="AX86" i="24"/>
  <c r="FJ128" i="4"/>
  <c r="AN128" i="4" s="1"/>
  <c r="AN128" i="1" s="1"/>
  <c r="AN128" i="7"/>
  <c r="Q31" i="1"/>
  <c r="Q29" i="1" s="1"/>
  <c r="Q29" i="4"/>
  <c r="Z214" i="4"/>
  <c r="Z215" i="1"/>
  <c r="Z214" i="1" s="1"/>
  <c r="U24" i="1"/>
  <c r="U27" i="1" s="1"/>
  <c r="U27" i="4"/>
  <c r="BH103" i="24"/>
  <c r="BH91" i="24"/>
  <c r="FE141" i="4"/>
  <c r="AI141" i="4" s="1"/>
  <c r="AI141" i="1" s="1"/>
  <c r="AI100" i="24"/>
  <c r="AI88" i="24"/>
  <c r="FH110" i="4"/>
  <c r="AL110" i="4" s="1"/>
  <c r="AL110" i="1" s="1"/>
  <c r="AL110" i="7"/>
  <c r="AB110" i="7" s="1"/>
  <c r="CP95" i="24"/>
  <c r="CP107" i="24"/>
  <c r="FA185" i="4"/>
  <c r="AE185" i="4" s="1"/>
  <c r="AE185" i="1" s="1"/>
  <c r="AK88" i="24"/>
  <c r="AK100" i="24"/>
  <c r="FH112" i="4"/>
  <c r="AL112" i="4" s="1"/>
  <c r="AL112" i="1" s="1"/>
  <c r="AL112" i="7"/>
  <c r="AB112" i="7" s="1"/>
  <c r="T227" i="4"/>
  <c r="T228" i="1"/>
  <c r="T227" i="1" s="1"/>
  <c r="DL182" i="4"/>
  <c r="BG106" i="24"/>
  <c r="BG94" i="24"/>
  <c r="FB140" i="4"/>
  <c r="AF140" i="4" s="1"/>
  <c r="AF140" i="1" s="1"/>
  <c r="AF120" i="7"/>
  <c r="T115" i="7"/>
  <c r="AL87" i="24"/>
  <c r="AL99" i="24"/>
  <c r="FI113" i="4"/>
  <c r="AM113" i="4" s="1"/>
  <c r="AM113" i="1" s="1"/>
  <c r="AM113" i="7"/>
  <c r="DG214" i="4"/>
  <c r="O211" i="1"/>
  <c r="AA211" i="4"/>
  <c r="AR102" i="24"/>
  <c r="AR90" i="24"/>
  <c r="FF122" i="4"/>
  <c r="AJ122" i="4" s="1"/>
  <c r="AJ122" i="1" s="1"/>
  <c r="AJ122" i="7"/>
  <c r="DU122" i="4"/>
  <c r="AE89" i="24"/>
  <c r="AE101" i="24"/>
  <c r="FG106" i="4"/>
  <c r="BF156" i="4"/>
  <c r="BN70" i="4"/>
  <c r="BS87" i="24"/>
  <c r="BS99" i="24"/>
  <c r="FI154" i="4"/>
  <c r="AM154" i="4" s="1"/>
  <c r="AM154" i="1" s="1"/>
  <c r="AM154" i="7"/>
  <c r="L95" i="24"/>
  <c r="L107" i="24"/>
  <c r="FA82" i="4"/>
  <c r="AE82" i="4" s="1"/>
  <c r="AE82" i="1" s="1"/>
  <c r="W147" i="1"/>
  <c r="W146" i="4"/>
  <c r="V89" i="24"/>
  <c r="V101" i="24"/>
  <c r="FG95" i="4"/>
  <c r="BV156" i="4"/>
  <c r="AN103" i="24"/>
  <c r="AN91" i="24"/>
  <c r="FE118" i="4"/>
  <c r="AI118" i="4" s="1"/>
  <c r="AI118" i="1" s="1"/>
  <c r="FE33" i="4"/>
  <c r="AI33" i="4" s="1"/>
  <c r="AI33" i="1" s="1"/>
  <c r="AI33" i="7"/>
  <c r="R100" i="24"/>
  <c r="R88" i="24"/>
  <c r="FH91" i="4"/>
  <c r="FH90" i="7"/>
  <c r="AL91" i="7"/>
  <c r="AB91" i="7" s="1"/>
  <c r="DU90" i="7"/>
  <c r="FK215" i="7"/>
  <c r="DO97" i="24"/>
  <c r="DO109" i="24"/>
  <c r="EY215" i="4"/>
  <c r="AC215" i="4" s="1"/>
  <c r="EY214" i="7"/>
  <c r="AC215" i="7"/>
  <c r="U156" i="7"/>
  <c r="DU178" i="7"/>
  <c r="EW43" i="7"/>
  <c r="EW47" i="7" s="1"/>
  <c r="EW71" i="7" s="1"/>
  <c r="Z93" i="24"/>
  <c r="Z105" i="24"/>
  <c r="FC99" i="4"/>
  <c r="AG99" i="4" s="1"/>
  <c r="AG99" i="1" s="1"/>
  <c r="AG99" i="7"/>
  <c r="T164" i="4"/>
  <c r="T165" i="1"/>
  <c r="T164" i="1" s="1"/>
  <c r="AI142" i="7"/>
  <c r="DL138" i="4"/>
  <c r="AD88" i="7"/>
  <c r="AD87" i="7" s="1"/>
  <c r="CY102" i="24"/>
  <c r="CY90" i="24"/>
  <c r="FF196" i="4"/>
  <c r="AJ196" i="4" s="1"/>
  <c r="AJ196" i="1" s="1"/>
  <c r="AJ196" i="7"/>
  <c r="DR38" i="4"/>
  <c r="DO29" i="4"/>
  <c r="AV92" i="24"/>
  <c r="AV104" i="24"/>
  <c r="FD126" i="4"/>
  <c r="AH126" i="4" s="1"/>
  <c r="AH126" i="1" s="1"/>
  <c r="DO227" i="4"/>
  <c r="BT96" i="24"/>
  <c r="BT108" i="24"/>
  <c r="EZ158" i="4"/>
  <c r="EZ157" i="7"/>
  <c r="Y205" i="4"/>
  <c r="Y206" i="1"/>
  <c r="Y205" i="1" s="1"/>
  <c r="AA124" i="4"/>
  <c r="O124" i="1"/>
  <c r="CA43" i="4"/>
  <c r="CA47" i="4" s="1"/>
  <c r="CA71" i="4" s="1"/>
  <c r="DF156" i="4"/>
  <c r="U57" i="4"/>
  <c r="U55" i="1"/>
  <c r="U57" i="1" s="1"/>
  <c r="AU95" i="24"/>
  <c r="AU107" i="24"/>
  <c r="FA125" i="4"/>
  <c r="AE125" i="4" s="1"/>
  <c r="AE125" i="1" s="1"/>
  <c r="AE125" i="7"/>
  <c r="FK184" i="7"/>
  <c r="CO97" i="24"/>
  <c r="CO109" i="24"/>
  <c r="EY184" i="4"/>
  <c r="CB90" i="24"/>
  <c r="CB102" i="24"/>
  <c r="FF168" i="4"/>
  <c r="AJ168" i="4" s="1"/>
  <c r="AJ168" i="1" s="1"/>
  <c r="AJ168" i="7"/>
  <c r="CF98" i="24"/>
  <c r="CF86" i="24"/>
  <c r="FJ173" i="4"/>
  <c r="FJ172" i="7"/>
  <c r="AN173" i="7"/>
  <c r="DO164" i="4"/>
  <c r="DP172" i="4"/>
  <c r="W31" i="1"/>
  <c r="W29" i="4"/>
  <c r="AD210" i="7"/>
  <c r="DU167" i="4"/>
  <c r="BO218" i="4"/>
  <c r="AC242" i="7"/>
  <c r="BP115" i="4"/>
  <c r="CA98" i="24"/>
  <c r="CA86" i="24"/>
  <c r="FJ167" i="4"/>
  <c r="AN167" i="4" s="1"/>
  <c r="AN167" i="1" s="1"/>
  <c r="AN167" i="7"/>
  <c r="CW108" i="24"/>
  <c r="CW96" i="24"/>
  <c r="EZ194" i="4"/>
  <c r="EZ193" i="7"/>
  <c r="AD194" i="7"/>
  <c r="DG172" i="4"/>
  <c r="AA116" i="7"/>
  <c r="DE99" i="24"/>
  <c r="DE87" i="24"/>
  <c r="FI202" i="4"/>
  <c r="AM202" i="4" s="1"/>
  <c r="AM202" i="1" s="1"/>
  <c r="Q82" i="24"/>
  <c r="DL88" i="4"/>
  <c r="DL87" i="4" s="1"/>
  <c r="DL87" i="7"/>
  <c r="DL75" i="7" s="1"/>
  <c r="X109" i="24"/>
  <c r="X97" i="24"/>
  <c r="FK97" i="7"/>
  <c r="EY97" i="4"/>
  <c r="AC97" i="7"/>
  <c r="FE30" i="4"/>
  <c r="AI30" i="4" s="1"/>
  <c r="AI30" i="1" s="1"/>
  <c r="AI30" i="7"/>
  <c r="R39" i="1"/>
  <c r="R38" i="1" s="1"/>
  <c r="R38" i="4"/>
  <c r="AA228" i="4"/>
  <c r="O227" i="4"/>
  <c r="O228" i="1"/>
  <c r="BO94" i="24"/>
  <c r="BO106" i="24"/>
  <c r="FB149" i="4"/>
  <c r="AF149" i="4" s="1"/>
  <c r="AF149" i="1" s="1"/>
  <c r="AF149" i="7"/>
  <c r="FD247" i="4"/>
  <c r="AH247" i="4" s="1"/>
  <c r="AH247" i="1" s="1"/>
  <c r="AH247" i="7"/>
  <c r="BK43" i="4"/>
  <c r="BK47" i="4" s="1"/>
  <c r="BL92" i="24"/>
  <c r="BL104" i="24"/>
  <c r="FD145" i="4"/>
  <c r="AH145" i="4" s="1"/>
  <c r="AH145" i="1" s="1"/>
  <c r="AH145" i="7"/>
  <c r="DJ223" i="4"/>
  <c r="T146" i="4"/>
  <c r="T147" i="1"/>
  <c r="T146" i="1" s="1"/>
  <c r="FK211" i="7"/>
  <c r="DL97" i="24"/>
  <c r="DL109" i="24"/>
  <c r="EY211" i="4"/>
  <c r="AC211" i="7"/>
  <c r="AF99" i="7"/>
  <c r="BQ133" i="4"/>
  <c r="Q146" i="4"/>
  <c r="Q147" i="1"/>
  <c r="Q146" i="1" s="1"/>
  <c r="BO70" i="4"/>
  <c r="BO71" i="7"/>
  <c r="DV87" i="24"/>
  <c r="DV99" i="24"/>
  <c r="FI226" i="4"/>
  <c r="AM226" i="4" s="1"/>
  <c r="AM226" i="1" s="1"/>
  <c r="DI223" i="4"/>
  <c r="DU224" i="4"/>
  <c r="BM103" i="24"/>
  <c r="BM91" i="24"/>
  <c r="FE147" i="4"/>
  <c r="FE146" i="7"/>
  <c r="AI147" i="7"/>
  <c r="DQ146" i="4"/>
  <c r="DR182" i="4"/>
  <c r="BL43" i="4"/>
  <c r="BL47" i="4" s="1"/>
  <c r="DM94" i="24"/>
  <c r="DM106" i="24"/>
  <c r="FB212" i="4"/>
  <c r="AF212" i="4" s="1"/>
  <c r="AF212" i="1" s="1"/>
  <c r="DK91" i="24"/>
  <c r="DK103" i="24"/>
  <c r="FE209" i="7"/>
  <c r="FE210" i="4"/>
  <c r="AI210" i="4" s="1"/>
  <c r="AI210" i="7"/>
  <c r="DS209" i="4"/>
  <c r="BK96" i="24"/>
  <c r="BK108" i="24"/>
  <c r="EZ144" i="4"/>
  <c r="AD144" i="4" s="1"/>
  <c r="AD144" i="1" s="1"/>
  <c r="AD144" i="7"/>
  <c r="DK187" i="4"/>
  <c r="FJ39" i="4"/>
  <c r="FJ38" i="7"/>
  <c r="AN39" i="7"/>
  <c r="X105" i="1"/>
  <c r="X104" i="1" s="1"/>
  <c r="X104" i="4"/>
  <c r="DL157" i="4"/>
  <c r="DI89" i="24"/>
  <c r="DI101" i="24"/>
  <c r="FG207" i="4"/>
  <c r="AK207" i="7"/>
  <c r="FH242" i="4"/>
  <c r="FH241" i="7"/>
  <c r="AL242" i="7"/>
  <c r="AB242" i="7" s="1"/>
  <c r="DN88" i="24"/>
  <c r="DN100" i="24"/>
  <c r="FH213" i="4"/>
  <c r="AL213" i="4" s="1"/>
  <c r="AL213" i="1" s="1"/>
  <c r="DJ89" i="24"/>
  <c r="DJ101" i="24"/>
  <c r="FG208" i="4"/>
  <c r="U104" i="24"/>
  <c r="U92" i="24"/>
  <c r="FD94" i="4"/>
  <c r="AH94" i="4" s="1"/>
  <c r="AH94" i="1" s="1"/>
  <c r="P218" i="7"/>
  <c r="BJ43" i="4"/>
  <c r="BJ47" i="4" s="1"/>
  <c r="BI105" i="24"/>
  <c r="BI93" i="24"/>
  <c r="FC142" i="4"/>
  <c r="AG142" i="4" s="1"/>
  <c r="AG142" i="1" s="1"/>
  <c r="AG142" i="7"/>
  <c r="DH98" i="24"/>
  <c r="DH86" i="24"/>
  <c r="FJ206" i="4"/>
  <c r="FJ205" i="7"/>
  <c r="S115" i="7"/>
  <c r="V164" i="4"/>
  <c r="V165" i="1"/>
  <c r="V164" i="1" s="1"/>
  <c r="J86" i="24"/>
  <c r="J98" i="24"/>
  <c r="FJ80" i="4"/>
  <c r="AN80" i="4" s="1"/>
  <c r="AN80" i="1" s="1"/>
  <c r="EV156" i="4"/>
  <c r="AH118" i="7"/>
  <c r="DP76" i="4"/>
  <c r="O96" i="1"/>
  <c r="AA96" i="4"/>
  <c r="CU95" i="24"/>
  <c r="CU107" i="24"/>
  <c r="FA191" i="4"/>
  <c r="AE191" i="4" s="1"/>
  <c r="AE191" i="1" s="1"/>
  <c r="AE191" i="7"/>
  <c r="BX95" i="24"/>
  <c r="BX107" i="24"/>
  <c r="FA162" i="4"/>
  <c r="AE162" i="4" s="1"/>
  <c r="AE162" i="1" s="1"/>
  <c r="AE162" i="7"/>
  <c r="FK134" i="7"/>
  <c r="BB97" i="24"/>
  <c r="BB109" i="24"/>
  <c r="EY134" i="4"/>
  <c r="AC134" i="4" s="1"/>
  <c r="EY133" i="7"/>
  <c r="AG189" i="7"/>
  <c r="O96" i="24"/>
  <c r="O108" i="24"/>
  <c r="EZ85" i="4"/>
  <c r="AD85" i="4" s="1"/>
  <c r="AD85" i="1" s="1"/>
  <c r="AD85" i="7"/>
  <c r="AK201" i="7"/>
  <c r="AH34" i="7"/>
  <c r="BQ108" i="24"/>
  <c r="BQ96" i="24"/>
  <c r="EZ152" i="4"/>
  <c r="AD152" i="4" s="1"/>
  <c r="AD152" i="1" s="1"/>
  <c r="AD152" i="7"/>
  <c r="AZ96" i="24"/>
  <c r="AZ108" i="24"/>
  <c r="EZ131" i="4"/>
  <c r="AD131" i="4" s="1"/>
  <c r="AD131" i="1" s="1"/>
  <c r="DR116" i="4"/>
  <c r="AH93" i="24"/>
  <c r="AH105" i="24"/>
  <c r="FC109" i="4"/>
  <c r="AG109" i="4" s="1"/>
  <c r="AG109" i="1" s="1"/>
  <c r="AG109" i="7"/>
  <c r="Z210" i="1"/>
  <c r="Z209" i="1" s="1"/>
  <c r="Z209" i="4"/>
  <c r="CE95" i="24"/>
  <c r="CE107" i="24"/>
  <c r="FA171" i="4"/>
  <c r="AE171" i="4" s="1"/>
  <c r="AE171" i="1" s="1"/>
  <c r="AE171" i="7"/>
  <c r="BJ96" i="24"/>
  <c r="BJ108" i="24"/>
  <c r="EZ143" i="4"/>
  <c r="AD143" i="4" s="1"/>
  <c r="AD143" i="1" s="1"/>
  <c r="AD143" i="7"/>
  <c r="AT105" i="24"/>
  <c r="AT93" i="24"/>
  <c r="FC124" i="4"/>
  <c r="AG124" i="4" s="1"/>
  <c r="AG124" i="1" s="1"/>
  <c r="FJ42" i="4"/>
  <c r="AN42" i="4" s="1"/>
  <c r="AN42" i="1" s="1"/>
  <c r="AN42" i="7"/>
  <c r="CT90" i="24"/>
  <c r="CT102" i="24"/>
  <c r="FF190" i="4"/>
  <c r="AJ190" i="4" s="1"/>
  <c r="AJ190" i="1" s="1"/>
  <c r="DK157" i="4"/>
  <c r="DJ146" i="4"/>
  <c r="T102" i="24"/>
  <c r="T90" i="24"/>
  <c r="FF93" i="4"/>
  <c r="AJ93" i="4" s="1"/>
  <c r="AJ93" i="1" s="1"/>
  <c r="R43" i="7"/>
  <c r="R47" i="7" s="1"/>
  <c r="R71" i="7" s="1"/>
  <c r="Q210" i="1"/>
  <c r="Q209" i="1" s="1"/>
  <c r="Q209" i="4"/>
  <c r="CE178" i="4"/>
  <c r="CX107" i="24"/>
  <c r="CX95" i="24"/>
  <c r="FA195" i="4"/>
  <c r="AE195" i="4" s="1"/>
  <c r="AE195" i="1" s="1"/>
  <c r="AM81" i="7"/>
  <c r="AA95" i="24"/>
  <c r="AA107" i="24"/>
  <c r="FA100" i="4"/>
  <c r="AE100" i="4" s="1"/>
  <c r="AE100" i="1" s="1"/>
  <c r="AE100" i="7"/>
  <c r="X31" i="1"/>
  <c r="X29" i="1" s="1"/>
  <c r="X29" i="4"/>
  <c r="AI134" i="7"/>
  <c r="DQ129" i="4"/>
  <c r="AC87" i="24"/>
  <c r="AC99" i="24"/>
  <c r="FI102" i="4"/>
  <c r="AM102" i="4" s="1"/>
  <c r="AM102" i="1" s="1"/>
  <c r="DB230" i="7"/>
  <c r="DI104" i="4"/>
  <c r="DU105" i="4"/>
  <c r="EK58" i="4"/>
  <c r="AN86" i="7"/>
  <c r="CQ98" i="24"/>
  <c r="CQ86" i="24"/>
  <c r="FJ186" i="4"/>
  <c r="AN186" i="4" s="1"/>
  <c r="AN186" i="1" s="1"/>
  <c r="AN186" i="7"/>
  <c r="O160" i="1"/>
  <c r="AA160" i="4"/>
  <c r="H101" i="24"/>
  <c r="H89" i="24"/>
  <c r="FG78" i="4"/>
  <c r="CZ88" i="24"/>
  <c r="CZ100" i="24"/>
  <c r="FH197" i="4"/>
  <c r="AL197" i="4" s="1"/>
  <c r="AL197" i="1" s="1"/>
  <c r="AL197" i="7"/>
  <c r="AB197" i="7" s="1"/>
  <c r="AK181" i="7"/>
  <c r="AM108" i="7"/>
  <c r="FK159" i="7"/>
  <c r="BU97" i="24"/>
  <c r="BU109" i="24"/>
  <c r="EY159" i="4"/>
  <c r="AC159" i="7"/>
  <c r="AK226" i="7"/>
  <c r="AB91" i="24"/>
  <c r="AB103" i="24"/>
  <c r="FE101" i="4"/>
  <c r="AI101" i="4" s="1"/>
  <c r="AI101" i="1" s="1"/>
  <c r="V76" i="4"/>
  <c r="V77" i="1"/>
  <c r="V76" i="1" s="1"/>
  <c r="N105" i="24"/>
  <c r="N93" i="24"/>
  <c r="FC84" i="4"/>
  <c r="AG84" i="4" s="1"/>
  <c r="AG84" i="1" s="1"/>
  <c r="W188" i="1"/>
  <c r="W187" i="4"/>
  <c r="FC243" i="4"/>
  <c r="AG243" i="4" s="1"/>
  <c r="AG243" i="1" s="1"/>
  <c r="AG243" i="7"/>
  <c r="W90" i="4"/>
  <c r="W91" i="1"/>
  <c r="CG96" i="24"/>
  <c r="CG108" i="24"/>
  <c r="EZ174" i="4"/>
  <c r="AD174" i="4" s="1"/>
  <c r="AD174" i="1" s="1"/>
  <c r="BE91" i="24"/>
  <c r="BE103" i="24"/>
  <c r="FE137" i="4"/>
  <c r="AI137" i="4" s="1"/>
  <c r="AI137" i="1" s="1"/>
  <c r="BQ156" i="7"/>
  <c r="AS92" i="24"/>
  <c r="AS104" i="24"/>
  <c r="FD123" i="4"/>
  <c r="AH123" i="4" s="1"/>
  <c r="AH123" i="1" s="1"/>
  <c r="AN123" i="7"/>
  <c r="AY87" i="24"/>
  <c r="AY99" i="24"/>
  <c r="FI130" i="4"/>
  <c r="FI129" i="7"/>
  <c r="BW93" i="24"/>
  <c r="BW105" i="24"/>
  <c r="FC161" i="4"/>
  <c r="AG161" i="4" s="1"/>
  <c r="AG161" i="1" s="1"/>
  <c r="AG161" i="7"/>
  <c r="AF211" i="7"/>
  <c r="M87" i="24"/>
  <c r="M99" i="24"/>
  <c r="FI83" i="4"/>
  <c r="AM83" i="4" s="1"/>
  <c r="AM83" i="1" s="1"/>
  <c r="BQ223" i="4"/>
  <c r="Z227" i="4"/>
  <c r="Z228" i="1"/>
  <c r="Z227" i="1" s="1"/>
  <c r="DJ214" i="4"/>
  <c r="CK96" i="24"/>
  <c r="CK108" i="24"/>
  <c r="EZ179" i="4"/>
  <c r="EZ178" i="7"/>
  <c r="AJ159" i="7"/>
  <c r="DC93" i="24"/>
  <c r="DC105" i="24"/>
  <c r="FC200" i="4"/>
  <c r="AG200" i="4" s="1"/>
  <c r="AG200" i="1" s="1"/>
  <c r="AG200" i="7"/>
  <c r="AJ123" i="7"/>
  <c r="DP103" i="24"/>
  <c r="DP91" i="24"/>
  <c r="FE216" i="4"/>
  <c r="AI216" i="4" s="1"/>
  <c r="AI216" i="1" s="1"/>
  <c r="AK216" i="7"/>
  <c r="AH84" i="7"/>
  <c r="AD91" i="24"/>
  <c r="AD103" i="24"/>
  <c r="FE104" i="7"/>
  <c r="FE105" i="4"/>
  <c r="AI105" i="4" s="1"/>
  <c r="CJ106" i="24"/>
  <c r="CJ94" i="24"/>
  <c r="FB177" i="4"/>
  <c r="AF177" i="4" s="1"/>
  <c r="AF177" i="1" s="1"/>
  <c r="AF177" i="7"/>
  <c r="BL156" i="4"/>
  <c r="BT218" i="4"/>
  <c r="CV96" i="24"/>
  <c r="CV108" i="24"/>
  <c r="EZ192" i="4"/>
  <c r="AD192" i="4" s="1"/>
  <c r="AD192" i="1" s="1"/>
  <c r="AD192" i="7"/>
  <c r="BZ103" i="24"/>
  <c r="BZ91" i="24"/>
  <c r="FE166" i="4"/>
  <c r="AI166" i="4" s="1"/>
  <c r="AI166" i="1" s="1"/>
  <c r="AI166" i="7"/>
  <c r="DU195" i="4"/>
  <c r="FG60" i="4"/>
  <c r="AK61" i="4"/>
  <c r="AA34" i="4"/>
  <c r="O34" i="1"/>
  <c r="I86" i="24"/>
  <c r="I98" i="24"/>
  <c r="FJ79" i="4"/>
  <c r="AN79" i="4" s="1"/>
  <c r="AN79" i="1" s="1"/>
  <c r="AN79" i="7"/>
  <c r="DU187" i="7"/>
  <c r="AF94" i="24"/>
  <c r="AF106" i="24"/>
  <c r="FB107" i="4"/>
  <c r="AF107" i="4" s="1"/>
  <c r="AF107" i="1" s="1"/>
  <c r="AM202" i="7"/>
  <c r="Q215" i="1"/>
  <c r="Q214" i="1" s="1"/>
  <c r="Q214" i="4"/>
  <c r="DO90" i="4"/>
  <c r="DU171" i="4"/>
  <c r="BR94" i="24"/>
  <c r="BR106" i="24"/>
  <c r="FB153" i="4"/>
  <c r="AF153" i="4" s="1"/>
  <c r="AF153" i="1" s="1"/>
  <c r="DP209" i="4"/>
  <c r="BS156" i="4"/>
  <c r="BZ87" i="4"/>
  <c r="BZ75" i="4" s="1"/>
  <c r="G103" i="24"/>
  <c r="G91" i="24"/>
  <c r="FE76" i="7"/>
  <c r="FE77" i="4"/>
  <c r="AI77" i="4" s="1"/>
  <c r="CD90" i="24"/>
  <c r="CD102" i="24"/>
  <c r="FF170" i="4"/>
  <c r="AJ170" i="4" s="1"/>
  <c r="AJ170" i="1" s="1"/>
  <c r="AJ170" i="7"/>
  <c r="AE124" i="7"/>
  <c r="O216" i="1"/>
  <c r="AA216" i="4"/>
  <c r="CM86" i="24"/>
  <c r="CM98" i="24"/>
  <c r="FJ181" i="4"/>
  <c r="AN181" i="4" s="1"/>
  <c r="AN181" i="1" s="1"/>
  <c r="AL77" i="7"/>
  <c r="AB77" i="7" s="1"/>
  <c r="AC134" i="7"/>
  <c r="Y100" i="24"/>
  <c r="Y88" i="24"/>
  <c r="FH98" i="4"/>
  <c r="AL98" i="4" s="1"/>
  <c r="AL98" i="1" s="1"/>
  <c r="AL98" i="7"/>
  <c r="AB98" i="7" s="1"/>
  <c r="AJ95" i="24"/>
  <c r="AJ107" i="24"/>
  <c r="FA111" i="4"/>
  <c r="AE111" i="4" s="1"/>
  <c r="AE111" i="1" s="1"/>
  <c r="BY96" i="24"/>
  <c r="BY108" i="24"/>
  <c r="EZ165" i="4"/>
  <c r="AD165" i="4" s="1"/>
  <c r="EZ164" i="7"/>
  <c r="DD90" i="24"/>
  <c r="DD102" i="24"/>
  <c r="FF201" i="4"/>
  <c r="AJ201" i="4" s="1"/>
  <c r="AJ201" i="1" s="1"/>
  <c r="BP91" i="24"/>
  <c r="BP103" i="24"/>
  <c r="FE151" i="4"/>
  <c r="FE150" i="7"/>
  <c r="AI151" i="7"/>
  <c r="DU92" i="24"/>
  <c r="DU104" i="24"/>
  <c r="FD225" i="4"/>
  <c r="AH225" i="4" s="1"/>
  <c r="AH225" i="1" s="1"/>
  <c r="AH225" i="7"/>
  <c r="BA95" i="24"/>
  <c r="BA107" i="24"/>
  <c r="FA132" i="4"/>
  <c r="AE132" i="4" s="1"/>
  <c r="AE132" i="1" s="1"/>
  <c r="AE132" i="7"/>
  <c r="CL95" i="24"/>
  <c r="CL107" i="24"/>
  <c r="FA180" i="4"/>
  <c r="AE180" i="4" s="1"/>
  <c r="AE180" i="1" s="1"/>
  <c r="CZ75" i="4"/>
  <c r="CE182" i="4"/>
  <c r="BY72" i="7"/>
  <c r="DG93" i="24"/>
  <c r="DG105" i="24"/>
  <c r="FC204" i="4"/>
  <c r="AG204" i="4" s="1"/>
  <c r="AG204" i="1" s="1"/>
  <c r="AG204" i="7"/>
  <c r="AA151" i="4"/>
  <c r="O150" i="4"/>
  <c r="O151" i="1"/>
  <c r="K97" i="24"/>
  <c r="K109" i="24"/>
  <c r="FK81" i="7"/>
  <c r="EY81" i="4"/>
  <c r="AC81" i="4" s="1"/>
  <c r="AC81" i="7"/>
  <c r="W117" i="1"/>
  <c r="W116" i="4"/>
  <c r="FI29" i="7"/>
  <c r="FI31" i="4"/>
  <c r="AM31" i="7"/>
  <c r="DI70" i="7"/>
  <c r="E85" i="24"/>
  <c r="D85" i="24" s="1"/>
  <c r="DI43" i="7"/>
  <c r="DI47" i="7" s="1"/>
  <c r="DI71" i="7" s="1"/>
  <c r="DG157" i="4"/>
  <c r="O51" i="1"/>
  <c r="O54" i="4"/>
  <c r="AA51" i="4"/>
  <c r="AA54" i="4" s="1"/>
  <c r="CP98" i="24"/>
  <c r="CP86" i="24"/>
  <c r="FJ185" i="4"/>
  <c r="AN185" i="4" s="1"/>
  <c r="AN185" i="1" s="1"/>
  <c r="AN185" i="7"/>
  <c r="DN187" i="4"/>
  <c r="BQ138" i="4"/>
  <c r="O206" i="1"/>
  <c r="AA206" i="4"/>
  <c r="O205" i="4"/>
  <c r="AR86" i="24"/>
  <c r="AR98" i="24"/>
  <c r="FJ122" i="4"/>
  <c r="AN122" i="4" s="1"/>
  <c r="AN122" i="1" s="1"/>
  <c r="AI227" i="4"/>
  <c r="AI228" i="1"/>
  <c r="AI227" i="1" s="1"/>
  <c r="AA68" i="4"/>
  <c r="O68" i="1"/>
  <c r="L94" i="24"/>
  <c r="L106" i="24"/>
  <c r="FB82" i="4"/>
  <c r="AF82" i="4" s="1"/>
  <c r="AF82" i="1" s="1"/>
  <c r="AN95" i="24"/>
  <c r="AN107" i="24"/>
  <c r="FA118" i="4"/>
  <c r="AE118" i="4" s="1"/>
  <c r="AE118" i="1" s="1"/>
  <c r="X223" i="4"/>
  <c r="X224" i="1"/>
  <c r="X223" i="1" s="1"/>
  <c r="R102" i="24"/>
  <c r="R90" i="24"/>
  <c r="FF90" i="7"/>
  <c r="FF91" i="4"/>
  <c r="Z98" i="24"/>
  <c r="Z86" i="24"/>
  <c r="FJ99" i="4"/>
  <c r="AN99" i="4" s="1"/>
  <c r="AN99" i="1" s="1"/>
  <c r="AN99" i="7"/>
  <c r="AV86" i="24"/>
  <c r="AV98" i="24"/>
  <c r="FJ126" i="4"/>
  <c r="AN126" i="4" s="1"/>
  <c r="AN126" i="1" s="1"/>
  <c r="DU226" i="4"/>
  <c r="CE115" i="7"/>
  <c r="Y94" i="24"/>
  <c r="Y106" i="24"/>
  <c r="FB98" i="4"/>
  <c r="AF98" i="4" s="1"/>
  <c r="AF98" i="1" s="1"/>
  <c r="AF98" i="7"/>
  <c r="BN104" i="24"/>
  <c r="BN92" i="24"/>
  <c r="FD148" i="4"/>
  <c r="AH148" i="4" s="1"/>
  <c r="AH148" i="1" s="1"/>
  <c r="AH148" i="7"/>
  <c r="BP75" i="4"/>
  <c r="BV104" i="24"/>
  <c r="BV92" i="24"/>
  <c r="FD160" i="4"/>
  <c r="AH160" i="4" s="1"/>
  <c r="AH160" i="1" s="1"/>
  <c r="AH160" i="7"/>
  <c r="DS150" i="4"/>
  <c r="AM90" i="24"/>
  <c r="AM102" i="24"/>
  <c r="FF116" i="7"/>
  <c r="FF117" i="4"/>
  <c r="AJ117" i="4" s="1"/>
  <c r="AJ117" i="7"/>
  <c r="DU116" i="7"/>
  <c r="Q139" i="1"/>
  <c r="Q138" i="1" s="1"/>
  <c r="Q138" i="4"/>
  <c r="EW115" i="7"/>
  <c r="AJ101" i="24"/>
  <c r="AJ89" i="24"/>
  <c r="FG111" i="4"/>
  <c r="BK230" i="7"/>
  <c r="DU126" i="4"/>
  <c r="DU228" i="4"/>
  <c r="DI227" i="4"/>
  <c r="V115" i="7"/>
  <c r="W99" i="24"/>
  <c r="W87" i="24"/>
  <c r="FI96" i="4"/>
  <c r="AM96" i="4" s="1"/>
  <c r="AM96" i="1" s="1"/>
  <c r="BY93" i="24"/>
  <c r="BY105" i="24"/>
  <c r="FC165" i="4"/>
  <c r="FC164" i="7"/>
  <c r="AG165" i="7"/>
  <c r="CN93" i="24"/>
  <c r="CN105" i="24"/>
  <c r="FC183" i="4"/>
  <c r="FC182" i="7"/>
  <c r="AG183" i="7"/>
  <c r="EO218" i="4"/>
  <c r="DD98" i="24"/>
  <c r="DD86" i="24"/>
  <c r="FJ201" i="4"/>
  <c r="AN201" i="4" s="1"/>
  <c r="AN201" i="1" s="1"/>
  <c r="W183" i="1"/>
  <c r="W182" i="4"/>
  <c r="DU118" i="4"/>
  <c r="AG108" i="24"/>
  <c r="AG96" i="24"/>
  <c r="EZ108" i="4"/>
  <c r="AD108" i="4" s="1"/>
  <c r="AD108" i="1" s="1"/>
  <c r="DU172" i="7"/>
  <c r="R187" i="4"/>
  <c r="R188" i="1"/>
  <c r="R187" i="1" s="1"/>
  <c r="FE245" i="4"/>
  <c r="AI245" i="4" s="1"/>
  <c r="AI245" i="1" s="1"/>
  <c r="AI245" i="7"/>
  <c r="BD91" i="24"/>
  <c r="BD103" i="24"/>
  <c r="FE136" i="4"/>
  <c r="AI136" i="4" s="1"/>
  <c r="AI136" i="1" s="1"/>
  <c r="AI136" i="7"/>
  <c r="BP107" i="24"/>
  <c r="BP95" i="24"/>
  <c r="FA150" i="7"/>
  <c r="FA151" i="4"/>
  <c r="AE151" i="7"/>
  <c r="DP116" i="4"/>
  <c r="CR98" i="24"/>
  <c r="CR86" i="24"/>
  <c r="FJ188" i="4"/>
  <c r="FJ187" i="7"/>
  <c r="AN188" i="7"/>
  <c r="BF88" i="24"/>
  <c r="BF100" i="24"/>
  <c r="FH139" i="4"/>
  <c r="FH138" i="7"/>
  <c r="DU139" i="4"/>
  <c r="DI138" i="4"/>
  <c r="DU90" i="24"/>
  <c r="DU102" i="24"/>
  <c r="FF225" i="4"/>
  <c r="AJ225" i="4" s="1"/>
  <c r="AJ225" i="1" s="1"/>
  <c r="AJ225" i="7"/>
  <c r="DK38" i="4"/>
  <c r="AQ91" i="24"/>
  <c r="AQ103" i="24"/>
  <c r="FE121" i="4"/>
  <c r="AI121" i="4" s="1"/>
  <c r="AI121" i="1" s="1"/>
  <c r="DU121" i="4"/>
  <c r="BA90" i="24"/>
  <c r="BA102" i="24"/>
  <c r="FF132" i="4"/>
  <c r="AJ132" i="4" s="1"/>
  <c r="AJ132" i="1" s="1"/>
  <c r="AJ132" i="7"/>
  <c r="Q165" i="1"/>
  <c r="Q164" i="1" s="1"/>
  <c r="Q164" i="4"/>
  <c r="DT88" i="24"/>
  <c r="DT100" i="24"/>
  <c r="FH224" i="4"/>
  <c r="FH223" i="7"/>
  <c r="FH218" i="7" s="1"/>
  <c r="Q83" i="24"/>
  <c r="DK88" i="4"/>
  <c r="DK87" i="4" s="1"/>
  <c r="DK87" i="7"/>
  <c r="DK75" i="7" s="1"/>
  <c r="DU106" i="4"/>
  <c r="CL93" i="24"/>
  <c r="CL105" i="24"/>
  <c r="FC180" i="4"/>
  <c r="AG180" i="4" s="1"/>
  <c r="AG180" i="1" s="1"/>
  <c r="AG180" i="7"/>
  <c r="O88" i="1"/>
  <c r="O87" i="4"/>
  <c r="AA88" i="4"/>
  <c r="AO98" i="24"/>
  <c r="AO86" i="24"/>
  <c r="FJ119" i="4"/>
  <c r="AN119" i="4" s="1"/>
  <c r="AN119" i="1" s="1"/>
  <c r="DF93" i="24"/>
  <c r="DF105" i="24"/>
  <c r="FC203" i="4"/>
  <c r="AG203" i="4" s="1"/>
  <c r="AG203" i="1" s="1"/>
  <c r="AG203" i="7"/>
  <c r="P106" i="24"/>
  <c r="P94" i="24"/>
  <c r="FB86" i="4"/>
  <c r="AF86" i="4" s="1"/>
  <c r="AF86" i="1" s="1"/>
  <c r="AF86" i="7"/>
  <c r="DB102" i="24"/>
  <c r="DB90" i="24"/>
  <c r="FF199" i="4"/>
  <c r="AJ199" i="4" s="1"/>
  <c r="AJ199" i="1" s="1"/>
  <c r="AJ199" i="7"/>
  <c r="DG90" i="24"/>
  <c r="DG102" i="24"/>
  <c r="FF204" i="4"/>
  <c r="AJ204" i="4" s="1"/>
  <c r="AJ204" i="1" s="1"/>
  <c r="DM129" i="4"/>
  <c r="O190" i="1"/>
  <c r="AA190" i="4"/>
  <c r="DA93" i="24"/>
  <c r="DA105" i="24"/>
  <c r="FC198" i="4"/>
  <c r="AG198" i="4" s="1"/>
  <c r="AG198" i="1" s="1"/>
  <c r="AG198" i="7"/>
  <c r="S94" i="24"/>
  <c r="S106" i="24"/>
  <c r="FB92" i="4"/>
  <c r="AF92" i="4" s="1"/>
  <c r="AF92" i="1" s="1"/>
  <c r="DK138" i="4"/>
  <c r="EW138" i="4"/>
  <c r="O45" i="1"/>
  <c r="AA45" i="4"/>
  <c r="Z87" i="4"/>
  <c r="Z88" i="1"/>
  <c r="Z87" i="1" s="1"/>
  <c r="O194" i="1"/>
  <c r="O193" i="4"/>
  <c r="AA194" i="4"/>
  <c r="CS102" i="24"/>
  <c r="CS90" i="24"/>
  <c r="FF189" i="4"/>
  <c r="AJ189" i="4" s="1"/>
  <c r="AJ189" i="1" s="1"/>
  <c r="CC107" i="24"/>
  <c r="CC95" i="24"/>
  <c r="FA169" i="4"/>
  <c r="AE169" i="4" s="1"/>
  <c r="AE169" i="1" s="1"/>
  <c r="AE169" i="7"/>
  <c r="K95" i="24"/>
  <c r="K107" i="24"/>
  <c r="FA81" i="4"/>
  <c r="AE81" i="4" s="1"/>
  <c r="AE81" i="1" s="1"/>
  <c r="AE81" i="7"/>
  <c r="O191" i="1"/>
  <c r="AA191" i="4"/>
  <c r="BY115" i="4"/>
  <c r="FH45" i="4"/>
  <c r="AL45" i="4" s="1"/>
  <c r="AL45" i="1" s="1"/>
  <c r="AL45" i="7"/>
  <c r="AB45" i="7" s="1"/>
  <c r="BC99" i="24"/>
  <c r="BC87" i="24"/>
  <c r="FI135" i="4"/>
  <c r="AM135" i="4" s="1"/>
  <c r="AM135" i="1" s="1"/>
  <c r="AM135" i="7"/>
  <c r="CI94" i="24"/>
  <c r="CI106" i="24"/>
  <c r="FB176" i="4"/>
  <c r="AF176" i="4" s="1"/>
  <c r="AF176" i="1" s="1"/>
  <c r="AP90" i="24"/>
  <c r="AP102" i="24"/>
  <c r="FF120" i="4"/>
  <c r="AJ120" i="4" s="1"/>
  <c r="AJ120" i="1" s="1"/>
  <c r="AJ120" i="7"/>
  <c r="DU120" i="4"/>
  <c r="AG111" i="7"/>
  <c r="FA29" i="7"/>
  <c r="FA70" i="7" s="1"/>
  <c r="FA31" i="4"/>
  <c r="CH87" i="24"/>
  <c r="CH99" i="24"/>
  <c r="FI175" i="4"/>
  <c r="AM175" i="4" s="1"/>
  <c r="AM175" i="1" s="1"/>
  <c r="AM175" i="7"/>
  <c r="AW96" i="24"/>
  <c r="AW108" i="24"/>
  <c r="EZ127" i="4"/>
  <c r="AD127" i="4" s="1"/>
  <c r="AD127" i="1" s="1"/>
  <c r="AD127" i="7"/>
  <c r="EN115" i="4"/>
  <c r="FK128" i="7"/>
  <c r="AX97" i="24"/>
  <c r="AX109" i="24"/>
  <c r="EY128" i="4"/>
  <c r="X70" i="7"/>
  <c r="BG43" i="4"/>
  <c r="BG47" i="4" s="1"/>
  <c r="AI98" i="7"/>
  <c r="BH90" i="24"/>
  <c r="BH102" i="24"/>
  <c r="FF141" i="4"/>
  <c r="AJ141" i="4" s="1"/>
  <c r="AJ141" i="1" s="1"/>
  <c r="AJ141" i="7"/>
  <c r="AI92" i="24"/>
  <c r="AI104" i="24"/>
  <c r="FD110" i="4"/>
  <c r="AH110" i="4" s="1"/>
  <c r="AH110" i="1" s="1"/>
  <c r="AN61" i="4"/>
  <c r="FJ60" i="4"/>
  <c r="CP106" i="24"/>
  <c r="CP94" i="24"/>
  <c r="FB185" i="4"/>
  <c r="AF185" i="4" s="1"/>
  <c r="AF185" i="1" s="1"/>
  <c r="AK91" i="24"/>
  <c r="AK103" i="24"/>
  <c r="FE112" i="4"/>
  <c r="AI112" i="4" s="1"/>
  <c r="AI112" i="1" s="1"/>
  <c r="AI112" i="7"/>
  <c r="V156" i="7"/>
  <c r="O97" i="1"/>
  <c r="AA97" i="4"/>
  <c r="EM75" i="4"/>
  <c r="ES230" i="7"/>
  <c r="BG87" i="24"/>
  <c r="BG99" i="24"/>
  <c r="FI140" i="4"/>
  <c r="AM140" i="4" s="1"/>
  <c r="AM140" i="1" s="1"/>
  <c r="DL209" i="4"/>
  <c r="AA104" i="7"/>
  <c r="FB60" i="4"/>
  <c r="AF61" i="4"/>
  <c r="DQ70" i="7"/>
  <c r="E77" i="24"/>
  <c r="D77" i="24" s="1"/>
  <c r="DQ43" i="7"/>
  <c r="DQ47" i="7" s="1"/>
  <c r="DQ71" i="7" s="1"/>
  <c r="P24" i="1"/>
  <c r="P27" i="1" s="1"/>
  <c r="P27" i="4"/>
  <c r="DP227" i="4"/>
  <c r="AL98" i="24"/>
  <c r="AL86" i="24"/>
  <c r="FJ113" i="4"/>
  <c r="AN113" i="4" s="1"/>
  <c r="AN113" i="1" s="1"/>
  <c r="AN113" i="7"/>
  <c r="AR100" i="24"/>
  <c r="AR88" i="24"/>
  <c r="FH122" i="4"/>
  <c r="AL122" i="4" s="1"/>
  <c r="AL122" i="1" s="1"/>
  <c r="AL122" i="7"/>
  <c r="AB122" i="7" s="1"/>
  <c r="FK106" i="7"/>
  <c r="AE97" i="24"/>
  <c r="AE109" i="24"/>
  <c r="EY106" i="4"/>
  <c r="P157" i="4"/>
  <c r="P158" i="1"/>
  <c r="P157" i="1" s="1"/>
  <c r="CA230" i="7"/>
  <c r="BY156" i="4"/>
  <c r="BS98" i="24"/>
  <c r="BS86" i="24"/>
  <c r="FJ154" i="4"/>
  <c r="AN154" i="4" s="1"/>
  <c r="AN154" i="1" s="1"/>
  <c r="L93" i="24"/>
  <c r="L105" i="24"/>
  <c r="FC82" i="4"/>
  <c r="AG82" i="4" s="1"/>
  <c r="AG82" i="1" s="1"/>
  <c r="V87" i="24"/>
  <c r="V99" i="24"/>
  <c r="FI95" i="4"/>
  <c r="AM95" i="4" s="1"/>
  <c r="AM95" i="1" s="1"/>
  <c r="AM95" i="7"/>
  <c r="R70" i="7"/>
  <c r="AN100" i="24"/>
  <c r="AN88" i="24"/>
  <c r="FH118" i="4"/>
  <c r="AL118" i="4" s="1"/>
  <c r="AL118" i="1" s="1"/>
  <c r="AL118" i="7"/>
  <c r="AB118" i="7" s="1"/>
  <c r="W219" i="4"/>
  <c r="W220" i="1"/>
  <c r="X227" i="4"/>
  <c r="X228" i="1"/>
  <c r="X227" i="1" s="1"/>
  <c r="DS172" i="4"/>
  <c r="R91" i="24"/>
  <c r="R103" i="24"/>
  <c r="FE90" i="7"/>
  <c r="FE91" i="4"/>
  <c r="DO108" i="24"/>
  <c r="DO96" i="24"/>
  <c r="EZ215" i="4"/>
  <c r="EZ214" i="7"/>
  <c r="DU179" i="4"/>
  <c r="DI178" i="4"/>
  <c r="Y193" i="4"/>
  <c r="Y194" i="1"/>
  <c r="Y193" i="1" s="1"/>
  <c r="Z92" i="24"/>
  <c r="Z104" i="24"/>
  <c r="FD99" i="4"/>
  <c r="AH99" i="4" s="1"/>
  <c r="AH99" i="1" s="1"/>
  <c r="T117" i="1"/>
  <c r="T116" i="1" s="1"/>
  <c r="T116" i="4"/>
  <c r="CY88" i="24"/>
  <c r="CY100" i="24"/>
  <c r="FH196" i="4"/>
  <c r="AL196" i="4" s="1"/>
  <c r="AL196" i="1" s="1"/>
  <c r="AL196" i="7"/>
  <c r="AB196" i="7" s="1"/>
  <c r="O98" i="1"/>
  <c r="AA98" i="4"/>
  <c r="X146" i="4"/>
  <c r="X147" i="1"/>
  <c r="X146" i="1" s="1"/>
  <c r="AV91" i="24"/>
  <c r="AV103" i="24"/>
  <c r="FE126" i="4"/>
  <c r="AI126" i="4" s="1"/>
  <c r="AI126" i="1" s="1"/>
  <c r="CZ230" i="7"/>
  <c r="CZ231" i="7" s="1"/>
  <c r="BT95" i="24"/>
  <c r="BT107" i="24"/>
  <c r="FA158" i="4"/>
  <c r="FA157" i="7"/>
  <c r="AE158" i="7"/>
  <c r="DK164" i="4"/>
  <c r="AA176" i="4"/>
  <c r="O176" i="1"/>
  <c r="DM182" i="4"/>
  <c r="AU93" i="24"/>
  <c r="AU105" i="24"/>
  <c r="FC125" i="4"/>
  <c r="AG125" i="4" s="1"/>
  <c r="AG125" i="1" s="1"/>
  <c r="CO93" i="24"/>
  <c r="CO105" i="24"/>
  <c r="FC184" i="4"/>
  <c r="AG184" i="4" s="1"/>
  <c r="AG184" i="1" s="1"/>
  <c r="W172" i="4"/>
  <c r="W173" i="1"/>
  <c r="DU229" i="4"/>
  <c r="FH34" i="4"/>
  <c r="AL34" i="4" s="1"/>
  <c r="AL34" i="1" s="1"/>
  <c r="AL34" i="7"/>
  <c r="AB34" i="7" s="1"/>
  <c r="CB101" i="24"/>
  <c r="CB89" i="24"/>
  <c r="FG168" i="4"/>
  <c r="AK168" i="7"/>
  <c r="CF97" i="24"/>
  <c r="CF109" i="24"/>
  <c r="FK173" i="7"/>
  <c r="EY173" i="4"/>
  <c r="EY172" i="7"/>
  <c r="AC173" i="7"/>
  <c r="DU144" i="4"/>
  <c r="DQ38" i="4"/>
  <c r="DN70" i="7"/>
  <c r="E80" i="24"/>
  <c r="D80" i="24" s="1"/>
  <c r="DN43" i="7"/>
  <c r="DN47" i="7" s="1"/>
  <c r="DN71" i="7" s="1"/>
  <c r="S43" i="7"/>
  <c r="S47" i="7" s="1"/>
  <c r="S71" i="7" s="1"/>
  <c r="DG164" i="4"/>
  <c r="DL205" i="4"/>
  <c r="EQ156" i="4"/>
  <c r="AC245" i="7"/>
  <c r="W227" i="4"/>
  <c r="W228" i="1"/>
  <c r="EV75" i="4"/>
  <c r="DR209" i="4"/>
  <c r="FK167" i="7"/>
  <c r="CA97" i="24"/>
  <c r="CA109" i="24"/>
  <c r="EY167" i="4"/>
  <c r="CW93" i="24"/>
  <c r="CW105" i="24"/>
  <c r="FC194" i="4"/>
  <c r="AG194" i="4" s="1"/>
  <c r="FC193" i="7"/>
  <c r="AG194" i="7"/>
  <c r="T156" i="7"/>
  <c r="FK202" i="7"/>
  <c r="DE97" i="24"/>
  <c r="DE109" i="24"/>
  <c r="EY202" i="4"/>
  <c r="X93" i="24"/>
  <c r="X105" i="24"/>
  <c r="FC97" i="4"/>
  <c r="AG97" i="4" s="1"/>
  <c r="AG97" i="1" s="1"/>
  <c r="AG97" i="7"/>
  <c r="BT43" i="4"/>
  <c r="BT47" i="4" s="1"/>
  <c r="BT71" i="4" s="1"/>
  <c r="BQ172" i="4"/>
  <c r="BO87" i="24"/>
  <c r="BO99" i="24"/>
  <c r="FI149" i="4"/>
  <c r="AM149" i="4" s="1"/>
  <c r="AM149" i="1" s="1"/>
  <c r="T151" i="1"/>
  <c r="T150" i="1" s="1"/>
  <c r="T150" i="4"/>
  <c r="DS29" i="4"/>
  <c r="BL103" i="24"/>
  <c r="BL91" i="24"/>
  <c r="FE145" i="4"/>
  <c r="AI145" i="4" s="1"/>
  <c r="AI145" i="1" s="1"/>
  <c r="AI145" i="7"/>
  <c r="O116" i="4"/>
  <c r="O117" i="1"/>
  <c r="AA117" i="4"/>
  <c r="DG146" i="4"/>
  <c r="CE76" i="4"/>
  <c r="AA152" i="4"/>
  <c r="O152" i="1"/>
  <c r="DL96" i="24"/>
  <c r="DL108" i="24"/>
  <c r="EZ211" i="4"/>
  <c r="AD211" i="4" s="1"/>
  <c r="AD211" i="1" s="1"/>
  <c r="P90" i="4"/>
  <c r="P91" i="1"/>
  <c r="P90" i="1" s="1"/>
  <c r="DL187" i="4"/>
  <c r="AL31" i="7"/>
  <c r="AB31" i="7" s="1"/>
  <c r="DV98" i="24"/>
  <c r="DV86" i="24"/>
  <c r="FJ226" i="4"/>
  <c r="AN226" i="4" s="1"/>
  <c r="AN226" i="1" s="1"/>
  <c r="AN226" i="7"/>
  <c r="DI218" i="7"/>
  <c r="BM90" i="24"/>
  <c r="BM102" i="24"/>
  <c r="FF147" i="4"/>
  <c r="AJ147" i="4" s="1"/>
  <c r="FF146" i="7"/>
  <c r="DM99" i="24"/>
  <c r="DM87" i="24"/>
  <c r="FI212" i="4"/>
  <c r="AM212" i="4" s="1"/>
  <c r="AM212" i="1" s="1"/>
  <c r="AM212" i="7"/>
  <c r="DK102" i="24"/>
  <c r="DK90" i="24"/>
  <c r="FF209" i="7"/>
  <c r="FF210" i="4"/>
  <c r="BK95" i="24"/>
  <c r="BK107" i="24"/>
  <c r="FA144" i="4"/>
  <c r="AE144" i="4" s="1"/>
  <c r="AE144" i="1" s="1"/>
  <c r="AE144" i="7"/>
  <c r="DT138" i="4"/>
  <c r="FK39" i="7"/>
  <c r="EY39" i="4"/>
  <c r="EY38" i="7"/>
  <c r="AJ33" i="7"/>
  <c r="FC246" i="4"/>
  <c r="AG246" i="4" s="1"/>
  <c r="AG246" i="1" s="1"/>
  <c r="AG246" i="7"/>
  <c r="DG90" i="4"/>
  <c r="DL156" i="7"/>
  <c r="CE187" i="4"/>
  <c r="DI92" i="24"/>
  <c r="DI104" i="24"/>
  <c r="FD207" i="4"/>
  <c r="AH207" i="4" s="1"/>
  <c r="AH207" i="1" s="1"/>
  <c r="FJ242" i="4"/>
  <c r="FJ241" i="7"/>
  <c r="AN242" i="7"/>
  <c r="DN98" i="24"/>
  <c r="DN86" i="24"/>
  <c r="FJ213" i="4"/>
  <c r="AN213" i="4" s="1"/>
  <c r="AN213" i="1" s="1"/>
  <c r="EW70" i="7"/>
  <c r="Y51" i="1"/>
  <c r="Y54" i="1" s="1"/>
  <c r="Y54" i="4"/>
  <c r="DJ88" i="24"/>
  <c r="DJ100" i="24"/>
  <c r="FH208" i="4"/>
  <c r="AL208" i="4" s="1"/>
  <c r="AL208" i="1" s="1"/>
  <c r="AL208" i="7"/>
  <c r="AB208" i="7" s="1"/>
  <c r="U91" i="24"/>
  <c r="U103" i="24"/>
  <c r="FE94" i="4"/>
  <c r="AI94" i="4" s="1"/>
  <c r="AI94" i="1" s="1"/>
  <c r="AI94" i="7"/>
  <c r="DQ164" i="4"/>
  <c r="BI89" i="24"/>
  <c r="BI101" i="24"/>
  <c r="FG142" i="4"/>
  <c r="FK206" i="7"/>
  <c r="DH109" i="24"/>
  <c r="DH97" i="24"/>
  <c r="EY206" i="4"/>
  <c r="EY205" i="7"/>
  <c r="AC206" i="7"/>
  <c r="BW70" i="4"/>
  <c r="AE184" i="7"/>
  <c r="J93" i="24"/>
  <c r="J105" i="24"/>
  <c r="FC80" i="4"/>
  <c r="AG80" i="4" s="1"/>
  <c r="AG80" i="1" s="1"/>
  <c r="AG80" i="7"/>
  <c r="CU94" i="24"/>
  <c r="CU106" i="24"/>
  <c r="FB191" i="4"/>
  <c r="AF191" i="4" s="1"/>
  <c r="AF191" i="1" s="1"/>
  <c r="AF191" i="7"/>
  <c r="BX106" i="24"/>
  <c r="BX94" i="24"/>
  <c r="FB162" i="4"/>
  <c r="AF162" i="4" s="1"/>
  <c r="AF162" i="1" s="1"/>
  <c r="AF162" i="7"/>
  <c r="BB108" i="24"/>
  <c r="BB96" i="24"/>
  <c r="EZ133" i="7"/>
  <c r="EZ134" i="4"/>
  <c r="AE183" i="7"/>
  <c r="O93" i="24"/>
  <c r="O105" i="24"/>
  <c r="FC85" i="4"/>
  <c r="AG85" i="4" s="1"/>
  <c r="AG85" i="1" s="1"/>
  <c r="DU143" i="4"/>
  <c r="BQ94" i="24"/>
  <c r="BQ106" i="24"/>
  <c r="FB152" i="4"/>
  <c r="AF152" i="4" s="1"/>
  <c r="AF152" i="1" s="1"/>
  <c r="AF152" i="7"/>
  <c r="AA84" i="4"/>
  <c r="O84" i="1"/>
  <c r="AZ107" i="24"/>
  <c r="AZ95" i="24"/>
  <c r="FA131" i="4"/>
  <c r="AE131" i="4" s="1"/>
  <c r="AE131" i="1" s="1"/>
  <c r="AE131" i="7"/>
  <c r="AG126" i="7"/>
  <c r="AH90" i="24"/>
  <c r="AH102" i="24"/>
  <c r="FF109" i="4"/>
  <c r="AJ109" i="4" s="1"/>
  <c r="AJ109" i="1" s="1"/>
  <c r="CE94" i="24"/>
  <c r="CE106" i="24"/>
  <c r="FB171" i="4"/>
  <c r="AF171" i="4" s="1"/>
  <c r="AF171" i="1" s="1"/>
  <c r="AF171" i="7"/>
  <c r="AG82" i="7"/>
  <c r="BJ94" i="24"/>
  <c r="BJ106" i="24"/>
  <c r="FB143" i="4"/>
  <c r="AF143" i="4" s="1"/>
  <c r="AF143" i="1" s="1"/>
  <c r="AF143" i="7"/>
  <c r="P210" i="1"/>
  <c r="P209" i="1" s="1"/>
  <c r="P209" i="4"/>
  <c r="O106" i="1"/>
  <c r="AA106" i="4"/>
  <c r="AT92" i="24"/>
  <c r="AT104" i="24"/>
  <c r="FD124" i="4"/>
  <c r="AH124" i="4" s="1"/>
  <c r="AH124" i="1" s="1"/>
  <c r="AE34" i="7"/>
  <c r="FB42" i="4"/>
  <c r="AF42" i="4" s="1"/>
  <c r="AF42" i="1" s="1"/>
  <c r="AF42" i="7"/>
  <c r="CT89" i="24"/>
  <c r="CT101" i="24"/>
  <c r="FG190" i="4"/>
  <c r="FD44" i="4"/>
  <c r="AH44" i="4" s="1"/>
  <c r="AH44" i="1" s="1"/>
  <c r="AH44" i="7"/>
  <c r="AG141" i="7"/>
  <c r="T104" i="24"/>
  <c r="T92" i="24"/>
  <c r="FD93" i="4"/>
  <c r="AH93" i="4" s="1"/>
  <c r="AH93" i="1" s="1"/>
  <c r="AH93" i="7"/>
  <c r="Z134" i="1"/>
  <c r="Z133" i="1" s="1"/>
  <c r="Z133" i="4"/>
  <c r="O26" i="1"/>
  <c r="AA26" i="1" s="1"/>
  <c r="AA26" i="4"/>
  <c r="CX94" i="24"/>
  <c r="CX106" i="24"/>
  <c r="FB195" i="4"/>
  <c r="AF195" i="4" s="1"/>
  <c r="AF195" i="1" s="1"/>
  <c r="AF195" i="7"/>
  <c r="DM150" i="4"/>
  <c r="DQ116" i="4"/>
  <c r="AA94" i="24"/>
  <c r="AA106" i="24"/>
  <c r="FB100" i="4"/>
  <c r="AF100" i="4" s="1"/>
  <c r="AF100" i="1" s="1"/>
  <c r="FK102" i="7"/>
  <c r="AC97" i="24"/>
  <c r="AC109" i="24"/>
  <c r="EY102" i="4"/>
  <c r="CQ108" i="24"/>
  <c r="CQ96" i="24"/>
  <c r="EZ186" i="4"/>
  <c r="AD186" i="4" s="1"/>
  <c r="AD186" i="1" s="1"/>
  <c r="O82" i="1"/>
  <c r="AA82" i="4"/>
  <c r="FK78" i="7"/>
  <c r="H97" i="24"/>
  <c r="H109" i="24"/>
  <c r="EY78" i="4"/>
  <c r="V219" i="4"/>
  <c r="V220" i="1"/>
  <c r="V219" i="1" s="1"/>
  <c r="CZ99" i="24"/>
  <c r="CZ87" i="24"/>
  <c r="FI197" i="4"/>
  <c r="AM197" i="4" s="1"/>
  <c r="AM197" i="1" s="1"/>
  <c r="AM197" i="7"/>
  <c r="CD70" i="4"/>
  <c r="AC198" i="7"/>
  <c r="O197" i="1"/>
  <c r="AA197" i="4"/>
  <c r="AN121" i="7"/>
  <c r="BU96" i="24"/>
  <c r="BU108" i="24"/>
  <c r="EZ159" i="4"/>
  <c r="AD159" i="4" s="1"/>
  <c r="AD159" i="1" s="1"/>
  <c r="AD159" i="7"/>
  <c r="AB88" i="24"/>
  <c r="AB100" i="24"/>
  <c r="FH101" i="4"/>
  <c r="AL101" i="4" s="1"/>
  <c r="AL101" i="1" s="1"/>
  <c r="AL101" i="7"/>
  <c r="AB101" i="7" s="1"/>
  <c r="N90" i="24"/>
  <c r="N102" i="24"/>
  <c r="FF84" i="4"/>
  <c r="AJ84" i="4" s="1"/>
  <c r="AJ84" i="1" s="1"/>
  <c r="CG107" i="24"/>
  <c r="CG95" i="24"/>
  <c r="FA174" i="4"/>
  <c r="AE174" i="4" s="1"/>
  <c r="AE174" i="1" s="1"/>
  <c r="AE174" i="7"/>
  <c r="BE102" i="24"/>
  <c r="BE90" i="24"/>
  <c r="FF137" i="4"/>
  <c r="AJ137" i="4" s="1"/>
  <c r="AJ137" i="1" s="1"/>
  <c r="AS89" i="24"/>
  <c r="AS101" i="24"/>
  <c r="FG123" i="4"/>
  <c r="AK123" i="7"/>
  <c r="AY97" i="24"/>
  <c r="AY109" i="24"/>
  <c r="FK130" i="7"/>
  <c r="EY129" i="7"/>
  <c r="EY130" i="4"/>
  <c r="AL216" i="7"/>
  <c r="AB216" i="7" s="1"/>
  <c r="BW91" i="24"/>
  <c r="BW103" i="24"/>
  <c r="FE161" i="4"/>
  <c r="AI161" i="4" s="1"/>
  <c r="AI161" i="1" s="1"/>
  <c r="AI161" i="7"/>
  <c r="Z224" i="1"/>
  <c r="Z223" i="1" s="1"/>
  <c r="Z223" i="4"/>
  <c r="AG147" i="7"/>
  <c r="AE82" i="7"/>
  <c r="FK83" i="7"/>
  <c r="M97" i="24"/>
  <c r="M109" i="24"/>
  <c r="EY83" i="4"/>
  <c r="AC83" i="7"/>
  <c r="DU76" i="7"/>
  <c r="CK107" i="24"/>
  <c r="CK95" i="24"/>
  <c r="FA179" i="4"/>
  <c r="AE179" i="4" s="1"/>
  <c r="FA178" i="7"/>
  <c r="AE179" i="7"/>
  <c r="AG125" i="7"/>
  <c r="DU108" i="4"/>
  <c r="AL135" i="7"/>
  <c r="AB135" i="7" s="1"/>
  <c r="W38" i="4"/>
  <c r="W39" i="1"/>
  <c r="FG244" i="4"/>
  <c r="AK244" i="7"/>
  <c r="AN176" i="7"/>
  <c r="Q151" i="1"/>
  <c r="Q150" i="1" s="1"/>
  <c r="Q150" i="4"/>
  <c r="DC91" i="24"/>
  <c r="DC103" i="24"/>
  <c r="FE200" i="4"/>
  <c r="AI200" i="4" s="1"/>
  <c r="AI200" i="1" s="1"/>
  <c r="AI200" i="7"/>
  <c r="DP92" i="24"/>
  <c r="DP104" i="24"/>
  <c r="FD216" i="4"/>
  <c r="AH216" i="4" s="1"/>
  <c r="AH216" i="1" s="1"/>
  <c r="AA113" i="4"/>
  <c r="O113" i="1"/>
  <c r="AD108" i="24"/>
  <c r="AD96" i="24"/>
  <c r="EZ105" i="4"/>
  <c r="EZ104" i="7"/>
  <c r="AD105" i="7"/>
  <c r="FA32" i="4"/>
  <c r="AE32" i="4" s="1"/>
  <c r="AE32" i="1" s="1"/>
  <c r="AE32" i="7"/>
  <c r="CJ98" i="24"/>
  <c r="CJ86" i="24"/>
  <c r="FJ177" i="4"/>
  <c r="AN177" i="4" s="1"/>
  <c r="AN177" i="1" s="1"/>
  <c r="CB156" i="4"/>
  <c r="V157" i="4"/>
  <c r="V158" i="1"/>
  <c r="V157" i="1" s="1"/>
  <c r="AC229" i="4"/>
  <c r="CV95" i="24"/>
  <c r="CV107" i="24"/>
  <c r="FA192" i="4"/>
  <c r="AE192" i="4" s="1"/>
  <c r="AE192" i="1" s="1"/>
  <c r="AE192" i="7"/>
  <c r="BZ89" i="24"/>
  <c r="BZ101" i="24"/>
  <c r="FG166" i="4"/>
  <c r="Z242" i="1"/>
  <c r="Z241" i="1" s="1"/>
  <c r="Z241" i="4"/>
  <c r="BV43" i="4"/>
  <c r="BV47" i="4" s="1"/>
  <c r="BV71" i="4" s="1"/>
  <c r="I106" i="24"/>
  <c r="I94" i="24"/>
  <c r="FB79" i="4"/>
  <c r="AF79" i="4" s="1"/>
  <c r="AF79" i="1" s="1"/>
  <c r="AF79" i="7"/>
  <c r="DU188" i="4"/>
  <c r="DI187" i="4"/>
  <c r="AF86" i="24"/>
  <c r="AF98" i="24"/>
  <c r="FJ107" i="4"/>
  <c r="AN107" i="4" s="1"/>
  <c r="AN107" i="1" s="1"/>
  <c r="AN107" i="7"/>
  <c r="AH189" i="7"/>
  <c r="FK153" i="7"/>
  <c r="BR109" i="24"/>
  <c r="BR97" i="24"/>
  <c r="EY153" i="4"/>
  <c r="O142" i="1"/>
  <c r="AA142" i="4"/>
  <c r="AH61" i="4"/>
  <c r="FD60" i="4"/>
  <c r="AD186" i="7"/>
  <c r="AL188" i="7"/>
  <c r="AB188" i="7" s="1"/>
  <c r="G102" i="24"/>
  <c r="G90" i="24"/>
  <c r="FF77" i="4"/>
  <c r="FF76" i="7"/>
  <c r="AK142" i="7"/>
  <c r="CD88" i="24"/>
  <c r="CD100" i="24"/>
  <c r="FH170" i="4"/>
  <c r="AL170" i="4" s="1"/>
  <c r="AL170" i="1" s="1"/>
  <c r="AN41" i="7"/>
  <c r="AC85" i="7"/>
  <c r="AD174" i="7"/>
  <c r="AM80" i="7"/>
  <c r="CM96" i="24"/>
  <c r="CM108" i="24"/>
  <c r="EZ181" i="4"/>
  <c r="AD181" i="4" s="1"/>
  <c r="AD181" i="1" s="1"/>
  <c r="AD181" i="7"/>
  <c r="AD178" i="7" s="1"/>
  <c r="S57" i="4"/>
  <c r="S55" i="1"/>
  <c r="S57" i="1" s="1"/>
  <c r="AE31" i="7"/>
  <c r="O112" i="1"/>
  <c r="AA112" i="4"/>
  <c r="M230" i="7"/>
  <c r="M233" i="7" s="1"/>
  <c r="M249" i="7" s="1"/>
  <c r="C231" i="7"/>
  <c r="D233" i="7"/>
  <c r="D249" i="7" s="1"/>
  <c r="D250" i="7" s="1"/>
  <c r="C234" i="7"/>
  <c r="E231" i="7"/>
  <c r="B231" i="7"/>
  <c r="F233" i="7"/>
  <c r="F249" i="7" s="1"/>
  <c r="F250" i="7" s="1"/>
  <c r="K231" i="7"/>
  <c r="K249" i="7"/>
  <c r="K250" i="7" s="1"/>
  <c r="K234" i="7"/>
  <c r="H233" i="7"/>
  <c r="H249" i="7" s="1"/>
  <c r="H250" i="7" s="1"/>
  <c r="I231" i="7"/>
  <c r="L233" i="7"/>
  <c r="L234" i="7" s="1"/>
  <c r="B249" i="7"/>
  <c r="B250" i="7" s="1"/>
  <c r="I234" i="7"/>
  <c r="I250" i="7"/>
  <c r="G231" i="7"/>
  <c r="G250" i="7"/>
  <c r="G234" i="7"/>
  <c r="B234" i="7"/>
  <c r="A231" i="7"/>
  <c r="A233" i="7"/>
  <c r="A249" i="7" s="1"/>
  <c r="J233" i="7"/>
  <c r="J249" i="7" s="1"/>
  <c r="J231" i="7"/>
  <c r="E250" i="7"/>
  <c r="E234" i="7"/>
  <c r="AL223" i="7" l="1"/>
  <c r="AB225" i="7"/>
  <c r="AL172" i="7"/>
  <c r="AB172" i="7" s="1"/>
  <c r="AB176" i="7"/>
  <c r="AL87" i="7"/>
  <c r="AB87" i="7" s="1"/>
  <c r="AB88" i="7"/>
  <c r="DR75" i="7"/>
  <c r="DH75" i="7" s="1"/>
  <c r="DH87" i="7"/>
  <c r="DH43" i="7"/>
  <c r="DH47" i="7"/>
  <c r="DD72" i="4"/>
  <c r="BN71" i="7"/>
  <c r="BN233" i="7" s="1"/>
  <c r="DD71" i="7"/>
  <c r="DD233" i="7" s="1"/>
  <c r="DD231" i="7"/>
  <c r="X47" i="7"/>
  <c r="BN231" i="7"/>
  <c r="BR231" i="7" s="1"/>
  <c r="BR230" i="7"/>
  <c r="AA112" i="1"/>
  <c r="AA175" i="1"/>
  <c r="EW218" i="4"/>
  <c r="DG43" i="4"/>
  <c r="DG47" i="4" s="1"/>
  <c r="DG71" i="4" s="1"/>
  <c r="AA201" i="1"/>
  <c r="AA46" i="1"/>
  <c r="AA186" i="1"/>
  <c r="BY72" i="4"/>
  <c r="AA181" i="1"/>
  <c r="AA226" i="1"/>
  <c r="AA213" i="1"/>
  <c r="AA109" i="1"/>
  <c r="AA79" i="1"/>
  <c r="AA211" i="1"/>
  <c r="AA160" i="1"/>
  <c r="AA45" i="1"/>
  <c r="AA42" i="1"/>
  <c r="DC71" i="4"/>
  <c r="DC72" i="4" s="1"/>
  <c r="AA67" i="1"/>
  <c r="AA198" i="1"/>
  <c r="AA200" i="1"/>
  <c r="EW43" i="4"/>
  <c r="EW47" i="4" s="1"/>
  <c r="EW71" i="4" s="1"/>
  <c r="AA111" i="1"/>
  <c r="AA222" i="1"/>
  <c r="AA195" i="1"/>
  <c r="AA221" i="1"/>
  <c r="AA177" i="1"/>
  <c r="AK81" i="4"/>
  <c r="AK81" i="1" s="1"/>
  <c r="AA41" i="1"/>
  <c r="EW70" i="4"/>
  <c r="AA94" i="1"/>
  <c r="AA203" i="1"/>
  <c r="AJ88" i="4"/>
  <c r="AJ88" i="1" s="1"/>
  <c r="AJ87" i="1" s="1"/>
  <c r="AA78" i="1"/>
  <c r="EK233" i="7"/>
  <c r="EK249" i="7" s="1"/>
  <c r="EK250" i="7" s="1"/>
  <c r="AA89" i="1"/>
  <c r="EK72" i="7"/>
  <c r="AA86" i="1"/>
  <c r="AA36" i="1"/>
  <c r="AA245" i="1"/>
  <c r="AK80" i="4"/>
  <c r="AA62" i="1"/>
  <c r="AA35" i="1"/>
  <c r="AK41" i="4"/>
  <c r="AA92" i="1"/>
  <c r="BE233" i="7"/>
  <c r="BE234" i="7" s="1"/>
  <c r="AH178" i="7"/>
  <c r="AA126" i="1"/>
  <c r="AA169" i="1"/>
  <c r="DG70" i="4"/>
  <c r="AA244" i="1"/>
  <c r="AK243" i="4"/>
  <c r="AK243" i="1" s="1"/>
  <c r="AA108" i="1"/>
  <c r="AH38" i="7"/>
  <c r="AN205" i="7"/>
  <c r="AA142" i="1"/>
  <c r="AA81" i="1"/>
  <c r="AA149" i="1"/>
  <c r="AA69" i="1"/>
  <c r="AA191" i="1"/>
  <c r="AA82" i="1"/>
  <c r="AA34" i="1"/>
  <c r="AA96" i="1"/>
  <c r="AA196" i="1"/>
  <c r="AA247" i="1"/>
  <c r="AA32" i="1"/>
  <c r="AK99" i="4"/>
  <c r="AA128" i="1"/>
  <c r="AA207" i="1"/>
  <c r="AA132" i="1"/>
  <c r="AA80" i="1"/>
  <c r="BO71" i="4"/>
  <c r="BO72" i="4" s="1"/>
  <c r="BP71" i="4"/>
  <c r="BP72" i="4" s="1"/>
  <c r="AA84" i="1"/>
  <c r="AA184" i="1"/>
  <c r="AA171" i="1"/>
  <c r="AA101" i="1"/>
  <c r="AA131" i="1"/>
  <c r="AA167" i="1"/>
  <c r="AA176" i="1"/>
  <c r="AD157" i="7"/>
  <c r="AG182" i="7"/>
  <c r="AA216" i="1"/>
  <c r="AL205" i="7"/>
  <c r="AB205" i="7" s="1"/>
  <c r="AA192" i="1"/>
  <c r="CC233" i="7"/>
  <c r="CC249" i="7" s="1"/>
  <c r="CC250" i="7" s="1"/>
  <c r="AA212" i="1"/>
  <c r="AA190" i="1"/>
  <c r="AA168" i="1"/>
  <c r="AL182" i="7"/>
  <c r="AB182" i="7" s="1"/>
  <c r="AM187" i="7"/>
  <c r="AA118" i="1"/>
  <c r="AA153" i="1"/>
  <c r="AA140" i="1"/>
  <c r="AK148" i="4"/>
  <c r="AK148" i="1" s="1"/>
  <c r="AA143" i="1"/>
  <c r="CX233" i="7"/>
  <c r="CX234" i="7" s="1"/>
  <c r="AK189" i="4"/>
  <c r="AK159" i="4"/>
  <c r="AK96" i="4"/>
  <c r="AO96" i="4" s="1"/>
  <c r="AK46" i="4"/>
  <c r="AK33" i="4"/>
  <c r="AK40" i="4"/>
  <c r="CU231" i="7"/>
  <c r="CU233" i="7"/>
  <c r="CU234" i="7" s="1"/>
  <c r="AK185" i="4"/>
  <c r="AK177" i="4"/>
  <c r="AK78" i="4"/>
  <c r="AK212" i="4"/>
  <c r="AK169" i="4"/>
  <c r="AO169" i="4" s="1"/>
  <c r="AK42" i="4"/>
  <c r="AK85" i="4"/>
  <c r="AK91" i="4"/>
  <c r="AK186" i="4"/>
  <c r="AA199" i="1"/>
  <c r="AK113" i="4"/>
  <c r="AK168" i="4"/>
  <c r="DT218" i="4"/>
  <c r="AK97" i="4"/>
  <c r="AK108" i="4"/>
  <c r="AA166" i="1"/>
  <c r="AK180" i="4"/>
  <c r="AK170" i="4"/>
  <c r="AK84" i="4"/>
  <c r="AK198" i="4"/>
  <c r="AK162" i="4"/>
  <c r="AA123" i="1"/>
  <c r="AK204" i="4"/>
  <c r="AK30" i="4"/>
  <c r="AO30" i="4" s="1"/>
  <c r="DQ75" i="7"/>
  <c r="FD29" i="4"/>
  <c r="FD70" i="4" s="1"/>
  <c r="AK106" i="4"/>
  <c r="BM47" i="4"/>
  <c r="W209" i="1"/>
  <c r="EY75" i="7"/>
  <c r="FG218" i="7"/>
  <c r="EX218" i="7" s="1"/>
  <c r="EX223" i="7"/>
  <c r="AA98" i="1"/>
  <c r="AK178" i="7"/>
  <c r="AK110" i="4"/>
  <c r="AA33" i="1"/>
  <c r="AK86" i="4"/>
  <c r="AK213" i="4"/>
  <c r="AO213" i="4" s="1"/>
  <c r="AK167" i="4"/>
  <c r="AA204" i="1"/>
  <c r="AK101" i="4"/>
  <c r="AK247" i="4"/>
  <c r="AO247" i="4" s="1"/>
  <c r="AA63" i="1"/>
  <c r="AA125" i="1"/>
  <c r="AK109" i="4"/>
  <c r="Z43" i="4"/>
  <c r="Z47" i="4" s="1"/>
  <c r="AA161" i="1"/>
  <c r="W241" i="1"/>
  <c r="AK176" i="4"/>
  <c r="AO176" i="4" s="1"/>
  <c r="AK207" i="4"/>
  <c r="AK98" i="4"/>
  <c r="ES71" i="7"/>
  <c r="ES233" i="7" s="1"/>
  <c r="AK87" i="7"/>
  <c r="AK160" i="4"/>
  <c r="AA68" i="1"/>
  <c r="DQ87" i="4"/>
  <c r="AK79" i="4"/>
  <c r="AA113" i="1"/>
  <c r="AK111" i="4"/>
  <c r="AK171" i="4"/>
  <c r="AK211" i="4"/>
  <c r="AA106" i="1"/>
  <c r="BI71" i="4"/>
  <c r="BI72" i="4" s="1"/>
  <c r="AK82" i="4"/>
  <c r="AK203" i="4"/>
  <c r="AL187" i="7"/>
  <c r="AB187" i="7" s="1"/>
  <c r="AK166" i="4"/>
  <c r="W219" i="1"/>
  <c r="AK94" i="4"/>
  <c r="AO94" i="4" s="1"/>
  <c r="AK226" i="4"/>
  <c r="AK201" i="4"/>
  <c r="AK179" i="4"/>
  <c r="AK191" i="4"/>
  <c r="AO191" i="4" s="1"/>
  <c r="AK181" i="4"/>
  <c r="AO181" i="4" s="1"/>
  <c r="AK161" i="4"/>
  <c r="AA174" i="1"/>
  <c r="AK100" i="4"/>
  <c r="AA66" i="1"/>
  <c r="AA95" i="1"/>
  <c r="AA136" i="1"/>
  <c r="AK34" i="4"/>
  <c r="AA93" i="1"/>
  <c r="ES47" i="4"/>
  <c r="ES71" i="4" s="1"/>
  <c r="AK95" i="4"/>
  <c r="AO95" i="4" s="1"/>
  <c r="AK208" i="4"/>
  <c r="AA189" i="1"/>
  <c r="AA110" i="1"/>
  <c r="AA185" i="1"/>
  <c r="AA119" i="1"/>
  <c r="AK194" i="4"/>
  <c r="AK197" i="4"/>
  <c r="AK174" i="4"/>
  <c r="W47" i="7"/>
  <c r="AJ29" i="7"/>
  <c r="AJ70" i="7" s="1"/>
  <c r="AA102" i="1"/>
  <c r="AK102" i="4"/>
  <c r="AA44" i="1"/>
  <c r="AK93" i="4"/>
  <c r="AA99" i="1"/>
  <c r="AA83" i="1"/>
  <c r="AK190" i="4"/>
  <c r="AL133" i="7"/>
  <c r="AB133" i="7" s="1"/>
  <c r="AK45" i="4"/>
  <c r="AA65" i="1"/>
  <c r="AK112" i="4"/>
  <c r="AO112" i="4" s="1"/>
  <c r="AA100" i="1"/>
  <c r="AK92" i="4"/>
  <c r="AO92" i="4" s="1"/>
  <c r="W214" i="1"/>
  <c r="AA137" i="1"/>
  <c r="W223" i="1"/>
  <c r="AK192" i="4"/>
  <c r="AO227" i="7"/>
  <c r="AA107" i="1"/>
  <c r="AK202" i="4"/>
  <c r="AA162" i="1"/>
  <c r="FB75" i="7"/>
  <c r="AA85" i="1"/>
  <c r="AA159" i="1"/>
  <c r="AA148" i="1"/>
  <c r="AA197" i="1"/>
  <c r="AK199" i="4"/>
  <c r="AK200" i="4"/>
  <c r="AK225" i="4"/>
  <c r="AO225" i="4" s="1"/>
  <c r="AK196" i="4"/>
  <c r="AA127" i="1"/>
  <c r="AK246" i="4"/>
  <c r="AK215" i="4"/>
  <c r="AK184" i="4"/>
  <c r="AA229" i="1"/>
  <c r="AA202" i="1"/>
  <c r="AK224" i="4"/>
  <c r="AK244" i="4"/>
  <c r="W227" i="1"/>
  <c r="AA246" i="1"/>
  <c r="AK107" i="4"/>
  <c r="AA122" i="1"/>
  <c r="BN230" i="4"/>
  <c r="BN231" i="4" s="1"/>
  <c r="AA97" i="1"/>
  <c r="AK195" i="4"/>
  <c r="AA225" i="1"/>
  <c r="AK175" i="4"/>
  <c r="AO175" i="4" s="1"/>
  <c r="AA180" i="1"/>
  <c r="AK83" i="4"/>
  <c r="AA170" i="1"/>
  <c r="AK216" i="4"/>
  <c r="AA121" i="1"/>
  <c r="AA40" i="1"/>
  <c r="AA208" i="1"/>
  <c r="AA64" i="1"/>
  <c r="AK32" i="4"/>
  <c r="AA243" i="1"/>
  <c r="AK245" i="4"/>
  <c r="BM71" i="7"/>
  <c r="BM233" i="7" s="1"/>
  <c r="M231" i="7"/>
  <c r="AK127" i="4"/>
  <c r="AK121" i="4"/>
  <c r="AK125" i="4"/>
  <c r="DC231" i="7"/>
  <c r="BM231" i="7"/>
  <c r="AJ150" i="7"/>
  <c r="AK126" i="4"/>
  <c r="AO126" i="4" s="1"/>
  <c r="AK142" i="4"/>
  <c r="AO142" i="4" s="1"/>
  <c r="AK120" i="4"/>
  <c r="AK145" i="4"/>
  <c r="AA152" i="1"/>
  <c r="AA124" i="1"/>
  <c r="AK135" i="4"/>
  <c r="AO135" i="4" s="1"/>
  <c r="AK124" i="4"/>
  <c r="AK128" i="4"/>
  <c r="AK137" i="4"/>
  <c r="AO137" i="4" s="1"/>
  <c r="AK143" i="4"/>
  <c r="AK118" i="4"/>
  <c r="AK136" i="4"/>
  <c r="AK140" i="4"/>
  <c r="AO140" i="4" s="1"/>
  <c r="AK152" i="4"/>
  <c r="AK141" i="4"/>
  <c r="AK131" i="4"/>
  <c r="AO131" i="4" s="1"/>
  <c r="AK123" i="4"/>
  <c r="AO123" i="4" s="1"/>
  <c r="AA135" i="1"/>
  <c r="AA145" i="1"/>
  <c r="AK132" i="4"/>
  <c r="AO132" i="4" s="1"/>
  <c r="AK153" i="4"/>
  <c r="AH133" i="7"/>
  <c r="AK149" i="4"/>
  <c r="FF115" i="7"/>
  <c r="AK129" i="7"/>
  <c r="AL146" i="7"/>
  <c r="AB146" i="7" s="1"/>
  <c r="AA154" i="1"/>
  <c r="AK119" i="4"/>
  <c r="AK144" i="4"/>
  <c r="AH150" i="7"/>
  <c r="AK122" i="4"/>
  <c r="X230" i="7"/>
  <c r="AA120" i="1"/>
  <c r="AA141" i="1"/>
  <c r="AA144" i="1"/>
  <c r="AK154" i="4"/>
  <c r="R230" i="7"/>
  <c r="R233" i="7" s="1"/>
  <c r="Z230" i="7"/>
  <c r="Z231" i="7" s="1"/>
  <c r="DR230" i="7"/>
  <c r="DR233" i="7" s="1"/>
  <c r="DL218" i="4"/>
  <c r="DS230" i="7"/>
  <c r="DS231" i="7" s="1"/>
  <c r="BE231" i="7"/>
  <c r="CB233" i="7"/>
  <c r="CB249" i="7" s="1"/>
  <c r="CB250" i="7" s="1"/>
  <c r="DP218" i="4"/>
  <c r="BU233" i="7"/>
  <c r="BU249" i="7" s="1"/>
  <c r="BU250" i="7" s="1"/>
  <c r="BZ233" i="7"/>
  <c r="BZ249" i="7" s="1"/>
  <c r="BZ250" i="7" s="1"/>
  <c r="Y230" i="7"/>
  <c r="Y233" i="7" s="1"/>
  <c r="BX233" i="7"/>
  <c r="BX234" i="7" s="1"/>
  <c r="BY231" i="7"/>
  <c r="CV233" i="7"/>
  <c r="CV234" i="7" s="1"/>
  <c r="BG233" i="7"/>
  <c r="BG249" i="7" s="1"/>
  <c r="BG250" i="7" s="1"/>
  <c r="BI233" i="7"/>
  <c r="BI234" i="7" s="1"/>
  <c r="EU233" i="7"/>
  <c r="EU249" i="7" s="1"/>
  <c r="EU250" i="7" s="1"/>
  <c r="S72" i="7"/>
  <c r="P58" i="4"/>
  <c r="EM233" i="7"/>
  <c r="EM249" i="7" s="1"/>
  <c r="EM250" i="7" s="1"/>
  <c r="BF233" i="7"/>
  <c r="BF234" i="7" s="1"/>
  <c r="ER233" i="7"/>
  <c r="ER249" i="7" s="1"/>
  <c r="ER250" i="7" s="1"/>
  <c r="DN230" i="7"/>
  <c r="DN233" i="7" s="1"/>
  <c r="AO85" i="7"/>
  <c r="AN146" i="7"/>
  <c r="EV233" i="7"/>
  <c r="EV234" i="7" s="1"/>
  <c r="AI193" i="7"/>
  <c r="AN133" i="7"/>
  <c r="DJ218" i="4"/>
  <c r="AM146" i="7"/>
  <c r="AE150" i="7"/>
  <c r="AH223" i="7"/>
  <c r="AH218" i="7" s="1"/>
  <c r="AG133" i="7"/>
  <c r="P72" i="7"/>
  <c r="FF75" i="7"/>
  <c r="AI29" i="7"/>
  <c r="FD75" i="7"/>
  <c r="FA75" i="7"/>
  <c r="AE205" i="7"/>
  <c r="AD164" i="7"/>
  <c r="AH205" i="7"/>
  <c r="BV233" i="7"/>
  <c r="BV234" i="7" s="1"/>
  <c r="AI138" i="7"/>
  <c r="O71" i="7"/>
  <c r="O72" i="7" s="1"/>
  <c r="AO32" i="7"/>
  <c r="AK38" i="7"/>
  <c r="DU178" i="4"/>
  <c r="BJ233" i="7"/>
  <c r="BJ234" i="7" s="1"/>
  <c r="DK218" i="4"/>
  <c r="FA223" i="4"/>
  <c r="FA218" i="4" s="1"/>
  <c r="DL230" i="7"/>
  <c r="DL231" i="7" s="1"/>
  <c r="AO127" i="7"/>
  <c r="FK133" i="7"/>
  <c r="AI223" i="7"/>
  <c r="AI218" i="7" s="1"/>
  <c r="FB115" i="7"/>
  <c r="FH75" i="7"/>
  <c r="CW233" i="7"/>
  <c r="CW249" i="7" s="1"/>
  <c r="CW250" i="7" s="1"/>
  <c r="U72" i="7"/>
  <c r="AO186" i="7"/>
  <c r="AI76" i="7"/>
  <c r="AK29" i="7"/>
  <c r="FK38" i="7"/>
  <c r="AF178" i="7"/>
  <c r="FG75" i="7"/>
  <c r="EX75" i="7" s="1"/>
  <c r="BK230" i="4"/>
  <c r="BK231" i="4" s="1"/>
  <c r="AD133" i="7"/>
  <c r="DU75" i="7"/>
  <c r="AF193" i="7"/>
  <c r="DU218" i="7"/>
  <c r="AC209" i="7"/>
  <c r="DN218" i="4"/>
  <c r="FD115" i="7"/>
  <c r="ET233" i="7"/>
  <c r="ET249" i="7" s="1"/>
  <c r="ET250" i="7" s="1"/>
  <c r="AO225" i="7"/>
  <c r="ER230" i="4"/>
  <c r="ER233" i="4" s="1"/>
  <c r="ER249" i="4" s="1"/>
  <c r="AL209" i="7"/>
  <c r="AB209" i="7" s="1"/>
  <c r="EQ230" i="4"/>
  <c r="EQ233" i="4" s="1"/>
  <c r="EQ249" i="4" s="1"/>
  <c r="FJ156" i="7"/>
  <c r="AN157" i="7"/>
  <c r="Q72" i="7"/>
  <c r="DJ230" i="7"/>
  <c r="DJ233" i="7" s="1"/>
  <c r="AJ205" i="7"/>
  <c r="DA233" i="7"/>
  <c r="DA249" i="7" s="1"/>
  <c r="DA250" i="7" s="1"/>
  <c r="ET230" i="4"/>
  <c r="ET231" i="4" s="1"/>
  <c r="AM88" i="4"/>
  <c r="AM87" i="4" s="1"/>
  <c r="U58" i="4"/>
  <c r="AL88" i="4"/>
  <c r="AL87" i="4" s="1"/>
  <c r="DQ218" i="4"/>
  <c r="BN71" i="4"/>
  <c r="BN72" i="4" s="1"/>
  <c r="BF230" i="4"/>
  <c r="BF231" i="4" s="1"/>
  <c r="X75" i="4"/>
  <c r="EP230" i="4"/>
  <c r="EP231" i="4" s="1"/>
  <c r="FB241" i="4"/>
  <c r="CW230" i="4"/>
  <c r="CW231" i="4" s="1"/>
  <c r="Y218" i="4"/>
  <c r="BH71" i="4"/>
  <c r="BH72" i="4" s="1"/>
  <c r="FD241" i="4"/>
  <c r="FF223" i="4"/>
  <c r="FF218" i="4" s="1"/>
  <c r="CE43" i="4"/>
  <c r="CE47" i="4" s="1"/>
  <c r="CE71" i="4" s="1"/>
  <c r="DN43" i="4"/>
  <c r="DN47" i="4" s="1"/>
  <c r="DN71" i="4" s="1"/>
  <c r="DN72" i="4" s="1"/>
  <c r="DM218" i="4"/>
  <c r="EK71" i="4"/>
  <c r="EK72" i="4" s="1"/>
  <c r="FA182" i="4"/>
  <c r="CX230" i="4"/>
  <c r="CX233" i="4" s="1"/>
  <c r="CX249" i="4" s="1"/>
  <c r="FE214" i="4"/>
  <c r="O75" i="4"/>
  <c r="Z58" i="4"/>
  <c r="AN88" i="4"/>
  <c r="AN88" i="1" s="1"/>
  <c r="AN87" i="1" s="1"/>
  <c r="AK88" i="4"/>
  <c r="AH31" i="4"/>
  <c r="AH29" i="4" s="1"/>
  <c r="BJ230" i="4"/>
  <c r="BJ231" i="4" s="1"/>
  <c r="FF214" i="4"/>
  <c r="BG71" i="4"/>
  <c r="BG72" i="4" s="1"/>
  <c r="EV230" i="4"/>
  <c r="EV231" i="4" s="1"/>
  <c r="FC223" i="4"/>
  <c r="FC218" i="4" s="1"/>
  <c r="DN75" i="4"/>
  <c r="BG230" i="4"/>
  <c r="Y115" i="4"/>
  <c r="FE150" i="4"/>
  <c r="FK100" i="4"/>
  <c r="FG38" i="4"/>
  <c r="FA29" i="4"/>
  <c r="FA70" i="4" s="1"/>
  <c r="BE230" i="4"/>
  <c r="BE231" i="4" s="1"/>
  <c r="DP115" i="4"/>
  <c r="DU138" i="4"/>
  <c r="DS218" i="4"/>
  <c r="FG178" i="4"/>
  <c r="FB29" i="4"/>
  <c r="FB70" i="4" s="1"/>
  <c r="EL230" i="4"/>
  <c r="EL231" i="4" s="1"/>
  <c r="DU227" i="4"/>
  <c r="AH88" i="4"/>
  <c r="AH88" i="1" s="1"/>
  <c r="AH87" i="1" s="1"/>
  <c r="DU90" i="4"/>
  <c r="Q58" i="1"/>
  <c r="FB182" i="4"/>
  <c r="U218" i="4"/>
  <c r="DQ43" i="4"/>
  <c r="AI151" i="4"/>
  <c r="AI150" i="4" s="1"/>
  <c r="CV230" i="4"/>
  <c r="CV231" i="4" s="1"/>
  <c r="AD228" i="1"/>
  <c r="AD227" i="1" s="1"/>
  <c r="DR75" i="4"/>
  <c r="X115" i="4"/>
  <c r="R43" i="4"/>
  <c r="R47" i="4" s="1"/>
  <c r="FI157" i="4"/>
  <c r="X70" i="4"/>
  <c r="DR115" i="4"/>
  <c r="FI150" i="4"/>
  <c r="Q43" i="4"/>
  <c r="Q47" i="4" s="1"/>
  <c r="FF38" i="4"/>
  <c r="DU129" i="4"/>
  <c r="DD230" i="4"/>
  <c r="AE224" i="4"/>
  <c r="AE224" i="1" s="1"/>
  <c r="AE223" i="1" s="1"/>
  <c r="FE182" i="4"/>
  <c r="X43" i="1"/>
  <c r="X47" i="1" s="1"/>
  <c r="U43" i="1"/>
  <c r="U47" i="1" s="1"/>
  <c r="W150" i="1"/>
  <c r="W133" i="1"/>
  <c r="W116" i="1"/>
  <c r="W138" i="1"/>
  <c r="W104" i="1"/>
  <c r="W76" i="1"/>
  <c r="W57" i="1"/>
  <c r="W146" i="1"/>
  <c r="W178" i="1"/>
  <c r="W205" i="1"/>
  <c r="W193" i="1"/>
  <c r="W129" i="1"/>
  <c r="W29" i="1"/>
  <c r="Q43" i="1"/>
  <c r="Q47" i="1" s="1"/>
  <c r="W182" i="1"/>
  <c r="W187" i="1"/>
  <c r="W38" i="1"/>
  <c r="W157" i="1"/>
  <c r="W60" i="1"/>
  <c r="W172" i="1"/>
  <c r="W27" i="1"/>
  <c r="W164" i="1"/>
  <c r="W87" i="1"/>
  <c r="W13" i="1"/>
  <c r="W90" i="1"/>
  <c r="Y218" i="1"/>
  <c r="W54" i="1"/>
  <c r="S230" i="7"/>
  <c r="S231" i="7" s="1"/>
  <c r="EO230" i="4"/>
  <c r="EO231" i="4" s="1"/>
  <c r="EP233" i="7"/>
  <c r="EP249" i="7" s="1"/>
  <c r="EP250" i="7" s="1"/>
  <c r="BJ71" i="4"/>
  <c r="BJ72" i="4" s="1"/>
  <c r="T43" i="1"/>
  <c r="T47" i="1" s="1"/>
  <c r="V230" i="7"/>
  <c r="V233" i="7" s="1"/>
  <c r="V218" i="4"/>
  <c r="BL71" i="4"/>
  <c r="BL72" i="4" s="1"/>
  <c r="V58" i="4"/>
  <c r="V75" i="1"/>
  <c r="V218" i="1"/>
  <c r="BU230" i="4"/>
  <c r="BU231" i="4" s="1"/>
  <c r="AD104" i="7"/>
  <c r="AM157" i="7"/>
  <c r="AH76" i="7"/>
  <c r="AE157" i="7"/>
  <c r="AN187" i="7"/>
  <c r="AD209" i="7"/>
  <c r="AO153" i="7"/>
  <c r="AF164" i="7"/>
  <c r="AH182" i="7"/>
  <c r="AL150" i="7"/>
  <c r="AB150" i="7" s="1"/>
  <c r="AI187" i="7"/>
  <c r="AO131" i="7"/>
  <c r="AO177" i="7"/>
  <c r="AO128" i="7"/>
  <c r="AO107" i="7"/>
  <c r="AF182" i="7"/>
  <c r="AK241" i="7"/>
  <c r="AO184" i="7"/>
  <c r="AL76" i="7"/>
  <c r="AB76" i="7" s="1"/>
  <c r="AO144" i="7"/>
  <c r="AJ90" i="7"/>
  <c r="AJ38" i="7"/>
  <c r="CE230" i="7"/>
  <c r="CE231" i="7" s="1"/>
  <c r="AO93" i="7"/>
  <c r="AG164" i="7"/>
  <c r="AI150" i="7"/>
  <c r="AI146" i="7"/>
  <c r="AO92" i="7"/>
  <c r="AN214" i="7"/>
  <c r="AE138" i="7"/>
  <c r="AK205" i="7"/>
  <c r="AO244" i="7"/>
  <c r="AG38" i="7"/>
  <c r="AM116" i="7"/>
  <c r="AJ157" i="7"/>
  <c r="AE133" i="7"/>
  <c r="AF209" i="7"/>
  <c r="AO96" i="7"/>
  <c r="AM182" i="7"/>
  <c r="AE146" i="7"/>
  <c r="AE178" i="7"/>
  <c r="AL29" i="7"/>
  <c r="AO185" i="7"/>
  <c r="AO245" i="7"/>
  <c r="CE70" i="4"/>
  <c r="AO81" i="7"/>
  <c r="AO152" i="7"/>
  <c r="AO78" i="7"/>
  <c r="AL157" i="7"/>
  <c r="AB157" i="7" s="1"/>
  <c r="AL241" i="7"/>
  <c r="AB241" i="7" s="1"/>
  <c r="AO140" i="7"/>
  <c r="AK209" i="7"/>
  <c r="AG146" i="7"/>
  <c r="AH146" i="7"/>
  <c r="AJ146" i="7"/>
  <c r="AO174" i="7"/>
  <c r="AO203" i="7"/>
  <c r="AN172" i="7"/>
  <c r="AO168" i="7"/>
  <c r="AF223" i="7"/>
  <c r="AF218" i="7" s="1"/>
  <c r="AJ76" i="7"/>
  <c r="AD205" i="7"/>
  <c r="AK146" i="7"/>
  <c r="AK223" i="7"/>
  <c r="AO122" i="7"/>
  <c r="BS230" i="4"/>
  <c r="BS231" i="4" s="1"/>
  <c r="BW230" i="4"/>
  <c r="BW233" i="4" s="1"/>
  <c r="BW249" i="4" s="1"/>
  <c r="CE75" i="4"/>
  <c r="CC230" i="4"/>
  <c r="CC231" i="4" s="1"/>
  <c r="BV230" i="4"/>
  <c r="BV231" i="4" s="1"/>
  <c r="BT72" i="4"/>
  <c r="AO228" i="4"/>
  <c r="S75" i="1"/>
  <c r="R115" i="1"/>
  <c r="T115" i="1"/>
  <c r="X218" i="1"/>
  <c r="R218" i="1"/>
  <c r="U218" i="1"/>
  <c r="BQ230" i="7"/>
  <c r="BQ233" i="7" s="1"/>
  <c r="AA223" i="4"/>
  <c r="W43" i="4"/>
  <c r="DC233" i="7"/>
  <c r="P230" i="7"/>
  <c r="P233" i="7" s="1"/>
  <c r="DG218" i="4"/>
  <c r="P115" i="4"/>
  <c r="P218" i="4"/>
  <c r="P75" i="4"/>
  <c r="U43" i="4"/>
  <c r="U47" i="4" s="1"/>
  <c r="U156" i="1"/>
  <c r="BK71" i="4"/>
  <c r="U156" i="4"/>
  <c r="EQ233" i="7"/>
  <c r="EQ249" i="7" s="1"/>
  <c r="EQ250" i="7" s="1"/>
  <c r="EW230" i="7"/>
  <c r="EW231" i="7" s="1"/>
  <c r="BQ218" i="4"/>
  <c r="AA43" i="7"/>
  <c r="AA47" i="7" s="1"/>
  <c r="AA71" i="7" s="1"/>
  <c r="BM230" i="4"/>
  <c r="AA115" i="7"/>
  <c r="AA205" i="4"/>
  <c r="W230" i="7"/>
  <c r="EW156" i="4"/>
  <c r="DG156" i="4"/>
  <c r="AA157" i="4"/>
  <c r="AA87" i="4"/>
  <c r="W70" i="4"/>
  <c r="AA227" i="4"/>
  <c r="DG230" i="7"/>
  <c r="DG233" i="7" s="1"/>
  <c r="AA178" i="4"/>
  <c r="Q58" i="4"/>
  <c r="Y58" i="4"/>
  <c r="R58" i="4"/>
  <c r="AA58" i="4"/>
  <c r="Y58" i="1"/>
  <c r="R58" i="1"/>
  <c r="T58" i="4"/>
  <c r="CU71" i="4"/>
  <c r="CU72" i="4" s="1"/>
  <c r="O58" i="4"/>
  <c r="T58" i="1"/>
  <c r="X58" i="4"/>
  <c r="AI193" i="4"/>
  <c r="AI194" i="1"/>
  <c r="AI193" i="1" s="1"/>
  <c r="CA72" i="4"/>
  <c r="AJ146" i="4"/>
  <c r="AJ147" i="1"/>
  <c r="AJ146" i="1" s="1"/>
  <c r="DM87" i="4"/>
  <c r="DM75" i="4" s="1"/>
  <c r="AG88" i="4"/>
  <c r="AO216" i="7"/>
  <c r="AJ224" i="4"/>
  <c r="AO200" i="7"/>
  <c r="FC241" i="4"/>
  <c r="AG242" i="4"/>
  <c r="FK111" i="4"/>
  <c r="AC111" i="4"/>
  <c r="DK72" i="7"/>
  <c r="FK107" i="4"/>
  <c r="AC107" i="4"/>
  <c r="FA104" i="4"/>
  <c r="AE105" i="4"/>
  <c r="EZ129" i="4"/>
  <c r="AD130" i="4"/>
  <c r="EY241" i="4"/>
  <c r="FK242" i="4"/>
  <c r="EZ146" i="4"/>
  <c r="AD147" i="4"/>
  <c r="AE38" i="7"/>
  <c r="FB76" i="4"/>
  <c r="AF77" i="4"/>
  <c r="BH72" i="7"/>
  <c r="BH233" i="7"/>
  <c r="FF133" i="4"/>
  <c r="AJ134" i="4"/>
  <c r="CZ230" i="4"/>
  <c r="AC194" i="1"/>
  <c r="DI87" i="4"/>
  <c r="DI75" i="4" s="1"/>
  <c r="DU88" i="4"/>
  <c r="DU87" i="4" s="1"/>
  <c r="AC88" i="4"/>
  <c r="AC176" i="1"/>
  <c r="AM158" i="4"/>
  <c r="BE71" i="4"/>
  <c r="DG115" i="4"/>
  <c r="DR43" i="4"/>
  <c r="DR47" i="4" s="1"/>
  <c r="DR71" i="4" s="1"/>
  <c r="DR70" i="4"/>
  <c r="FI146" i="4"/>
  <c r="AM147" i="4"/>
  <c r="FF29" i="4"/>
  <c r="FF70" i="4" s="1"/>
  <c r="AJ31" i="4"/>
  <c r="AM193" i="7"/>
  <c r="FG150" i="4"/>
  <c r="AK151" i="4"/>
  <c r="AO148" i="7"/>
  <c r="FK168" i="4"/>
  <c r="AC168" i="4"/>
  <c r="AK104" i="7"/>
  <c r="FK216" i="4"/>
  <c r="AO212" i="7"/>
  <c r="CB230" i="4"/>
  <c r="CB231" i="4" s="1"/>
  <c r="FK241" i="7"/>
  <c r="AG76" i="4"/>
  <c r="AG77" i="1"/>
  <c r="AG76" i="1" s="1"/>
  <c r="BS72" i="4"/>
  <c r="AO191" i="7"/>
  <c r="FK86" i="4"/>
  <c r="AC86" i="4"/>
  <c r="O187" i="1"/>
  <c r="AA188" i="1"/>
  <c r="EW115" i="4"/>
  <c r="AO207" i="7"/>
  <c r="FK118" i="4"/>
  <c r="AC118" i="4"/>
  <c r="EZ187" i="4"/>
  <c r="AD188" i="4"/>
  <c r="AJ116" i="4"/>
  <c r="AJ117" i="1"/>
  <c r="AJ116" i="1" s="1"/>
  <c r="AF29" i="4"/>
  <c r="AF31" i="1"/>
  <c r="AF29" i="1" s="1"/>
  <c r="AJ104" i="7"/>
  <c r="AO145" i="7"/>
  <c r="DN72" i="7"/>
  <c r="FE90" i="4"/>
  <c r="AI91" i="4"/>
  <c r="AD182" i="4"/>
  <c r="AD183" i="1"/>
  <c r="AD182" i="1" s="1"/>
  <c r="AO171" i="7"/>
  <c r="O29" i="1"/>
  <c r="AA31" i="1"/>
  <c r="FK109" i="4"/>
  <c r="AC109" i="4"/>
  <c r="BW72" i="4"/>
  <c r="AM150" i="4"/>
  <c r="AM151" i="1"/>
  <c r="AM150" i="1" s="1"/>
  <c r="FA150" i="4"/>
  <c r="AE151" i="4"/>
  <c r="FE115" i="7"/>
  <c r="O227" i="1"/>
  <c r="AA228" i="1"/>
  <c r="AL214" i="4"/>
  <c r="AL215" i="1"/>
  <c r="AL214" i="1" s="1"/>
  <c r="AO139" i="7"/>
  <c r="AC138" i="7"/>
  <c r="AO166" i="7"/>
  <c r="AD164" i="4"/>
  <c r="AD165" i="1"/>
  <c r="AD164" i="1" s="1"/>
  <c r="DK230" i="7"/>
  <c r="DK231" i="7" s="1"/>
  <c r="FD223" i="4"/>
  <c r="FD218" i="4" s="1"/>
  <c r="AH224" i="4"/>
  <c r="AC96" i="1"/>
  <c r="X218" i="4"/>
  <c r="AE60" i="4"/>
  <c r="AE61" i="1"/>
  <c r="AE60" i="1" s="1"/>
  <c r="FK148" i="4"/>
  <c r="AC148" i="4"/>
  <c r="Z70" i="1"/>
  <c r="FA38" i="4"/>
  <c r="AE39" i="4"/>
  <c r="BP233" i="7"/>
  <c r="BP231" i="7"/>
  <c r="FK60" i="4"/>
  <c r="AD172" i="7"/>
  <c r="AG205" i="4"/>
  <c r="AG206" i="1"/>
  <c r="AG205" i="1" s="1"/>
  <c r="Q115" i="4"/>
  <c r="AC226" i="1"/>
  <c r="AC175" i="1"/>
  <c r="FJ182" i="4"/>
  <c r="AI104" i="7"/>
  <c r="BQ70" i="4"/>
  <c r="AF178" i="4"/>
  <c r="AF179" i="1"/>
  <c r="AF178" i="1" s="1"/>
  <c r="BX72" i="4"/>
  <c r="AK133" i="7"/>
  <c r="AH104" i="7"/>
  <c r="FF129" i="4"/>
  <c r="AJ130" i="4"/>
  <c r="FK171" i="4"/>
  <c r="AC171" i="4"/>
  <c r="AO99" i="7"/>
  <c r="FK122" i="4"/>
  <c r="AC122" i="4"/>
  <c r="U230" i="7"/>
  <c r="AA55" i="1"/>
  <c r="AA57" i="1" s="1"/>
  <c r="O57" i="1"/>
  <c r="DI43" i="4"/>
  <c r="DI47" i="4" s="1"/>
  <c r="DI71" i="4" s="1"/>
  <c r="DI70" i="4"/>
  <c r="FJ138" i="4"/>
  <c r="FK182" i="7"/>
  <c r="FG76" i="4"/>
  <c r="AK77" i="4"/>
  <c r="AN139" i="4"/>
  <c r="AO100" i="7"/>
  <c r="AG193" i="4"/>
  <c r="AG194" i="1"/>
  <c r="AG193" i="1" s="1"/>
  <c r="AJ164" i="4"/>
  <c r="AJ165" i="1"/>
  <c r="AJ164" i="1" s="1"/>
  <c r="AC113" i="1"/>
  <c r="AC126" i="1"/>
  <c r="FB90" i="4"/>
  <c r="AF91" i="4"/>
  <c r="FK136" i="4"/>
  <c r="AC136" i="4"/>
  <c r="AC133" i="4" s="1"/>
  <c r="DS43" i="4"/>
  <c r="DS47" i="4" s="1"/>
  <c r="DS71" i="4" s="1"/>
  <c r="DS70" i="4"/>
  <c r="BK231" i="7"/>
  <c r="BK233" i="7"/>
  <c r="EB101" i="24"/>
  <c r="EB89" i="24"/>
  <c r="CA231" i="7"/>
  <c r="CA233" i="7"/>
  <c r="AG129" i="4"/>
  <c r="AG130" i="1"/>
  <c r="AG129" i="1" s="1"/>
  <c r="FC164" i="4"/>
  <c r="AG165" i="4"/>
  <c r="FJ205" i="4"/>
  <c r="AN206" i="4"/>
  <c r="AA70" i="7"/>
  <c r="AH214" i="4"/>
  <c r="AH215" i="1"/>
  <c r="AH214" i="1" s="1"/>
  <c r="EZ104" i="4"/>
  <c r="AD105" i="4"/>
  <c r="AC33" i="1"/>
  <c r="AE187" i="7"/>
  <c r="CE218" i="4"/>
  <c r="AO202" i="7"/>
  <c r="Q156" i="4"/>
  <c r="AF172" i="4"/>
  <c r="AF173" i="1"/>
  <c r="AF172" i="1" s="1"/>
  <c r="FH241" i="4"/>
  <c r="AL242" i="4"/>
  <c r="FC116" i="4"/>
  <c r="AG117" i="4"/>
  <c r="FD76" i="4"/>
  <c r="AH77" i="4"/>
  <c r="AE138" i="4"/>
  <c r="AE139" i="1"/>
  <c r="AE138" i="1" s="1"/>
  <c r="AJ178" i="4"/>
  <c r="AJ179" i="1"/>
  <c r="AJ178" i="1" s="1"/>
  <c r="AA206" i="1"/>
  <c r="O205" i="1"/>
  <c r="FK78" i="4"/>
  <c r="AC78" i="4"/>
  <c r="AC179" i="1"/>
  <c r="AA151" i="1"/>
  <c r="O150" i="1"/>
  <c r="FE116" i="4"/>
  <c r="AI117" i="4"/>
  <c r="AM193" i="4"/>
  <c r="AM194" i="1"/>
  <c r="AM193" i="1" s="1"/>
  <c r="FK153" i="4"/>
  <c r="AC153" i="4"/>
  <c r="FK139" i="4"/>
  <c r="EY138" i="4"/>
  <c r="AC139" i="4"/>
  <c r="AN182" i="7"/>
  <c r="P43" i="4"/>
  <c r="P47" i="4" s="1"/>
  <c r="FK99" i="4"/>
  <c r="AL172" i="4"/>
  <c r="AL173" i="1"/>
  <c r="AL172" i="1" s="1"/>
  <c r="AC183" i="1"/>
  <c r="FH76" i="4"/>
  <c r="AL77" i="4"/>
  <c r="DP72" i="7"/>
  <c r="P156" i="1"/>
  <c r="DL72" i="7"/>
  <c r="FF157" i="4"/>
  <c r="AO61" i="4"/>
  <c r="AC60" i="4"/>
  <c r="AC61" i="1"/>
  <c r="AM182" i="4"/>
  <c r="AM183" i="1"/>
  <c r="AM182" i="1" s="1"/>
  <c r="FF178" i="4"/>
  <c r="DE231" i="7"/>
  <c r="DE233" i="7"/>
  <c r="FJ133" i="4"/>
  <c r="AN134" i="4"/>
  <c r="AJ187" i="4"/>
  <c r="AJ188" i="1"/>
  <c r="AJ187" i="1" s="1"/>
  <c r="FB157" i="4"/>
  <c r="AF158" i="4"/>
  <c r="AO229" i="4"/>
  <c r="AC229" i="1"/>
  <c r="AO229" i="1" s="1"/>
  <c r="AC227" i="4"/>
  <c r="T230" i="7"/>
  <c r="T231" i="7" s="1"/>
  <c r="AO192" i="7"/>
  <c r="AF183" i="4"/>
  <c r="AD31" i="1"/>
  <c r="AD29" i="1" s="1"/>
  <c r="AD29" i="4"/>
  <c r="AN150" i="7"/>
  <c r="FK98" i="4"/>
  <c r="AC98" i="4"/>
  <c r="S58" i="4"/>
  <c r="DA230" i="4"/>
  <c r="FE133" i="4"/>
  <c r="AI134" i="4"/>
  <c r="EN230" i="4"/>
  <c r="AG138" i="7"/>
  <c r="FD104" i="4"/>
  <c r="AH105" i="4"/>
  <c r="FK84" i="4"/>
  <c r="AC84" i="4"/>
  <c r="EB92" i="24"/>
  <c r="EB104" i="24"/>
  <c r="AI38" i="7"/>
  <c r="FD209" i="4"/>
  <c r="AH210" i="4"/>
  <c r="FK149" i="4"/>
  <c r="AC149" i="4"/>
  <c r="R115" i="4"/>
  <c r="FK185" i="4"/>
  <c r="AC185" i="4"/>
  <c r="AO137" i="7"/>
  <c r="CA230" i="4"/>
  <c r="CA231" i="4" s="1"/>
  <c r="Y156" i="1"/>
  <c r="AE76" i="7"/>
  <c r="S218" i="1"/>
  <c r="AJ39" i="4"/>
  <c r="AF116" i="7"/>
  <c r="FG156" i="7"/>
  <c r="EX156" i="7" s="1"/>
  <c r="AA241" i="4"/>
  <c r="E88" i="24"/>
  <c r="D88" i="24" s="1"/>
  <c r="E100" i="24"/>
  <c r="D100" i="24" s="1"/>
  <c r="FH43" i="7"/>
  <c r="FH47" i="7" s="1"/>
  <c r="FH71" i="7" s="1"/>
  <c r="FH70" i="7"/>
  <c r="FE223" i="4"/>
  <c r="FE218" i="4" s="1"/>
  <c r="AI224" i="4"/>
  <c r="FF150" i="4"/>
  <c r="AJ151" i="4"/>
  <c r="AG60" i="4"/>
  <c r="AG61" i="1"/>
  <c r="AG60" i="1" s="1"/>
  <c r="AO181" i="7"/>
  <c r="Z72" i="7"/>
  <c r="F105" i="24"/>
  <c r="F93" i="24"/>
  <c r="AG31" i="1"/>
  <c r="AG29" i="1" s="1"/>
  <c r="AG29" i="4"/>
  <c r="AO123" i="7"/>
  <c r="AC100" i="4"/>
  <c r="DU241" i="4"/>
  <c r="U70" i="1"/>
  <c r="AJ193" i="4"/>
  <c r="AJ194" i="1"/>
  <c r="AJ193" i="1" s="1"/>
  <c r="FC156" i="7"/>
  <c r="AI178" i="7"/>
  <c r="FK180" i="4"/>
  <c r="AC180" i="4"/>
  <c r="AC215" i="1"/>
  <c r="EY129" i="4"/>
  <c r="FK130" i="4"/>
  <c r="AC130" i="4"/>
  <c r="DU70" i="7"/>
  <c r="DU43" i="7"/>
  <c r="DU47" i="7" s="1"/>
  <c r="DU71" i="7" s="1"/>
  <c r="EW72" i="7"/>
  <c r="FB187" i="4"/>
  <c r="AF188" i="4"/>
  <c r="FA164" i="4"/>
  <c r="AE165" i="4"/>
  <c r="F89" i="24"/>
  <c r="F101" i="24"/>
  <c r="AD182" i="7"/>
  <c r="DI72" i="7"/>
  <c r="EY205" i="4"/>
  <c r="FK206" i="4"/>
  <c r="AC206" i="4"/>
  <c r="EY38" i="4"/>
  <c r="FK39" i="4"/>
  <c r="AC39" i="4"/>
  <c r="O116" i="1"/>
  <c r="AA117" i="1"/>
  <c r="S58" i="1"/>
  <c r="FJ214" i="4"/>
  <c r="AN215" i="4"/>
  <c r="FJ178" i="4"/>
  <c r="AN179" i="4"/>
  <c r="FB172" i="4"/>
  <c r="FD90" i="4"/>
  <c r="AH91" i="4"/>
  <c r="FK82" i="4"/>
  <c r="AC82" i="4"/>
  <c r="FH133" i="4"/>
  <c r="DG72" i="7"/>
  <c r="AN146" i="4"/>
  <c r="AN147" i="1"/>
  <c r="AN146" i="1" s="1"/>
  <c r="F96" i="24"/>
  <c r="F108" i="24"/>
  <c r="FC104" i="4"/>
  <c r="AG105" i="4"/>
  <c r="FK124" i="4"/>
  <c r="AC124" i="4"/>
  <c r="AI214" i="4"/>
  <c r="AI215" i="1"/>
  <c r="AI214" i="1" s="1"/>
  <c r="FC38" i="4"/>
  <c r="AG39" i="4"/>
  <c r="EY104" i="4"/>
  <c r="FK105" i="4"/>
  <c r="AC105" i="4"/>
  <c r="DM70" i="4"/>
  <c r="DM43" i="4"/>
  <c r="DM47" i="4" s="1"/>
  <c r="DM71" i="4" s="1"/>
  <c r="U70" i="4"/>
  <c r="AA104" i="4"/>
  <c r="AM90" i="7"/>
  <c r="AI178" i="4"/>
  <c r="AI179" i="1"/>
  <c r="AI178" i="1" s="1"/>
  <c r="FD156" i="7"/>
  <c r="FK157" i="7"/>
  <c r="AM178" i="4"/>
  <c r="AM179" i="1"/>
  <c r="AM178" i="1" s="1"/>
  <c r="V70" i="1"/>
  <c r="AC193" i="7"/>
  <c r="AO194" i="7"/>
  <c r="FH129" i="4"/>
  <c r="AL130" i="4"/>
  <c r="FB223" i="4"/>
  <c r="FB218" i="4" s="1"/>
  <c r="AF224" i="4"/>
  <c r="O178" i="1"/>
  <c r="AA179" i="1"/>
  <c r="R72" i="7"/>
  <c r="O223" i="1"/>
  <c r="AA224" i="1"/>
  <c r="EB86" i="24"/>
  <c r="EB98" i="24"/>
  <c r="AG193" i="7"/>
  <c r="FJ150" i="4"/>
  <c r="AN151" i="4"/>
  <c r="F103" i="24"/>
  <c r="F91" i="24"/>
  <c r="AK90" i="7"/>
  <c r="AC95" i="1"/>
  <c r="FF76" i="4"/>
  <c r="AJ77" i="4"/>
  <c r="FJ241" i="4"/>
  <c r="AN242" i="4"/>
  <c r="O115" i="4"/>
  <c r="AO162" i="7"/>
  <c r="FJ172" i="4"/>
  <c r="AN173" i="4"/>
  <c r="EZ156" i="7"/>
  <c r="E91" i="24"/>
  <c r="D91" i="24" s="1"/>
  <c r="E103" i="24"/>
  <c r="D103" i="24" s="1"/>
  <c r="FE43" i="7"/>
  <c r="FE47" i="7" s="1"/>
  <c r="FE71" i="7" s="1"/>
  <c r="FA115" i="7"/>
  <c r="AA90" i="4"/>
  <c r="FH104" i="4"/>
  <c r="AL105" i="4"/>
  <c r="FD146" i="4"/>
  <c r="AH147" i="4"/>
  <c r="Y70" i="4"/>
  <c r="FG29" i="4"/>
  <c r="AK31" i="4"/>
  <c r="AM76" i="7"/>
  <c r="FE38" i="4"/>
  <c r="AI39" i="4"/>
  <c r="AE31" i="4"/>
  <c r="AC134" i="1"/>
  <c r="AA242" i="1"/>
  <c r="O241" i="1"/>
  <c r="DJ43" i="4"/>
  <c r="DJ47" i="4" s="1"/>
  <c r="DJ71" i="4" s="1"/>
  <c r="DJ70" i="4"/>
  <c r="AA6" i="4"/>
  <c r="FB116" i="4"/>
  <c r="AF117" i="4"/>
  <c r="AF129" i="7"/>
  <c r="AO130" i="7"/>
  <c r="Y43" i="4"/>
  <c r="Y47" i="4" s="1"/>
  <c r="AN129" i="4"/>
  <c r="AN130" i="1"/>
  <c r="AN129" i="1" s="1"/>
  <c r="AC135" i="1"/>
  <c r="AG138" i="4"/>
  <c r="AG139" i="1"/>
  <c r="AG138" i="1" s="1"/>
  <c r="AN90" i="7"/>
  <c r="AI182" i="4"/>
  <c r="AI183" i="1"/>
  <c r="AI182" i="1" s="1"/>
  <c r="AI164" i="7"/>
  <c r="EY209" i="4"/>
  <c r="FK210" i="4"/>
  <c r="O104" i="1"/>
  <c r="AA105" i="1"/>
  <c r="AO213" i="7"/>
  <c r="DO87" i="4"/>
  <c r="DO75" i="4" s="1"/>
  <c r="AI88" i="4"/>
  <c r="AA183" i="1"/>
  <c r="O182" i="1"/>
  <c r="AJ60" i="4"/>
  <c r="AJ61" i="1"/>
  <c r="AJ60" i="1" s="1"/>
  <c r="AC247" i="1"/>
  <c r="AD116" i="7"/>
  <c r="AO204" i="7"/>
  <c r="Q75" i="4"/>
  <c r="AF29" i="7"/>
  <c r="AF70" i="7" s="1"/>
  <c r="AE209" i="4"/>
  <c r="AE210" i="1"/>
  <c r="AE209" i="1" s="1"/>
  <c r="AC242" i="4"/>
  <c r="DE230" i="4"/>
  <c r="FH29" i="4"/>
  <c r="FH70" i="4" s="1"/>
  <c r="AL31" i="4"/>
  <c r="BV72" i="4"/>
  <c r="CD72" i="4"/>
  <c r="EY172" i="4"/>
  <c r="FK173" i="4"/>
  <c r="AC173" i="4"/>
  <c r="ES231" i="7"/>
  <c r="AG223" i="4"/>
  <c r="AG218" i="4" s="1"/>
  <c r="AG224" i="1"/>
  <c r="AG223" i="1" s="1"/>
  <c r="AG218" i="1" s="1"/>
  <c r="AE182" i="7"/>
  <c r="F98" i="24"/>
  <c r="F86" i="24"/>
  <c r="DU223" i="4"/>
  <c r="EZ157" i="4"/>
  <c r="AD158" i="4"/>
  <c r="FE29" i="4"/>
  <c r="FE70" i="4" s="1"/>
  <c r="AI31" i="4"/>
  <c r="FK166" i="4"/>
  <c r="AC166" i="4"/>
  <c r="BQ156" i="4"/>
  <c r="DO230" i="7"/>
  <c r="DO231" i="7" s="1"/>
  <c r="FK176" i="4"/>
  <c r="FK145" i="4"/>
  <c r="AC145" i="4"/>
  <c r="BW231" i="7"/>
  <c r="BW233" i="7"/>
  <c r="FC90" i="4"/>
  <c r="AG91" i="4"/>
  <c r="DJ87" i="4"/>
  <c r="DJ75" i="4" s="1"/>
  <c r="AD88" i="4"/>
  <c r="BF71" i="4"/>
  <c r="AC137" i="1"/>
  <c r="AM133" i="7"/>
  <c r="AN183" i="4"/>
  <c r="FJ104" i="4"/>
  <c r="AN105" i="4"/>
  <c r="AG172" i="4"/>
  <c r="AG173" i="1"/>
  <c r="AG172" i="1" s="1"/>
  <c r="AE178" i="4"/>
  <c r="AE179" i="1"/>
  <c r="AE178" i="1" s="1"/>
  <c r="AH242" i="4"/>
  <c r="AC213" i="1"/>
  <c r="AM164" i="7"/>
  <c r="AJ158" i="4"/>
  <c r="FK116" i="7"/>
  <c r="AL164" i="4"/>
  <c r="AL165" i="1"/>
  <c r="AL164" i="1" s="1"/>
  <c r="AO189" i="7"/>
  <c r="AI76" i="4"/>
  <c r="AI77" i="1"/>
  <c r="AI76" i="1" s="1"/>
  <c r="AC81" i="1"/>
  <c r="FF209" i="4"/>
  <c r="AJ210" i="4"/>
  <c r="FK202" i="4"/>
  <c r="AC202" i="4"/>
  <c r="FI129" i="4"/>
  <c r="AM130" i="4"/>
  <c r="AM60" i="4"/>
  <c r="AM61" i="1"/>
  <c r="AM60" i="1" s="1"/>
  <c r="FK172" i="7"/>
  <c r="AL133" i="4"/>
  <c r="AL134" i="1"/>
  <c r="AL133" i="1" s="1"/>
  <c r="AA91" i="1"/>
  <c r="O90" i="1"/>
  <c r="FK177" i="4"/>
  <c r="AC177" i="4"/>
  <c r="FK204" i="4"/>
  <c r="AC204" i="4"/>
  <c r="FA156" i="7"/>
  <c r="FH223" i="4"/>
  <c r="FH218" i="4" s="1"/>
  <c r="AL224" i="4"/>
  <c r="EZ178" i="4"/>
  <c r="AD179" i="4"/>
  <c r="FK159" i="4"/>
  <c r="AC159" i="4"/>
  <c r="DB231" i="7"/>
  <c r="DB233" i="7"/>
  <c r="FK211" i="4"/>
  <c r="FK174" i="4"/>
  <c r="AC174" i="4"/>
  <c r="Z115" i="1"/>
  <c r="FK125" i="4"/>
  <c r="AC125" i="4"/>
  <c r="Q230" i="7"/>
  <c r="FI164" i="4"/>
  <c r="AM165" i="4"/>
  <c r="EL231" i="7"/>
  <c r="EL233" i="7"/>
  <c r="FG129" i="4"/>
  <c r="AK130" i="4"/>
  <c r="AN90" i="4"/>
  <c r="AN91" i="1"/>
  <c r="AN90" i="1" s="1"/>
  <c r="EZ209" i="4"/>
  <c r="AD210" i="4"/>
  <c r="AO226" i="7"/>
  <c r="FA193" i="4"/>
  <c r="AE194" i="4"/>
  <c r="AO42" i="7"/>
  <c r="AO197" i="7"/>
  <c r="FK104" i="7"/>
  <c r="Y72" i="7"/>
  <c r="FE164" i="4"/>
  <c r="AI165" i="4"/>
  <c r="FE241" i="4"/>
  <c r="AI242" i="4"/>
  <c r="AC123" i="1"/>
  <c r="AJ241" i="4"/>
  <c r="AJ242" i="1"/>
  <c r="AJ241" i="1" s="1"/>
  <c r="O133" i="1"/>
  <c r="AA134" i="1"/>
  <c r="AC99" i="4"/>
  <c r="AK164" i="7"/>
  <c r="FB70" i="7"/>
  <c r="E94" i="24"/>
  <c r="D94" i="24" s="1"/>
  <c r="E106" i="24"/>
  <c r="D106" i="24" s="1"/>
  <c r="FB43" i="7"/>
  <c r="FB47" i="7" s="1"/>
  <c r="FB71" i="7" s="1"/>
  <c r="AO39" i="7"/>
  <c r="O60" i="1"/>
  <c r="AA61" i="1"/>
  <c r="FE138" i="4"/>
  <c r="AI139" i="4"/>
  <c r="FA146" i="4"/>
  <c r="AE147" i="4"/>
  <c r="AL193" i="4"/>
  <c r="AL194" i="1"/>
  <c r="AL193" i="1" s="1"/>
  <c r="DO156" i="4"/>
  <c r="Z115" i="4"/>
  <c r="AO125" i="7"/>
  <c r="AD60" i="4"/>
  <c r="AD61" i="1"/>
  <c r="AD60" i="1" s="1"/>
  <c r="FE75" i="7"/>
  <c r="FJ38" i="4"/>
  <c r="AN39" i="4"/>
  <c r="AC241" i="7"/>
  <c r="AO242" i="7"/>
  <c r="AO215" i="7"/>
  <c r="AC214" i="7"/>
  <c r="FF146" i="4"/>
  <c r="BY234" i="7"/>
  <c r="BY249" i="7"/>
  <c r="BY250" i="7" s="1"/>
  <c r="EZ164" i="4"/>
  <c r="AK60" i="4"/>
  <c r="AK61" i="1"/>
  <c r="AK60" i="1" s="1"/>
  <c r="AC216" i="4"/>
  <c r="AC142" i="1"/>
  <c r="EB100" i="24"/>
  <c r="EB88" i="24"/>
  <c r="AO149" i="7"/>
  <c r="AO97" i="7"/>
  <c r="BO230" i="4"/>
  <c r="BO231" i="4" s="1"/>
  <c r="FK214" i="7"/>
  <c r="FH157" i="4"/>
  <c r="AL158" i="4"/>
  <c r="AO141" i="7"/>
  <c r="O156" i="4"/>
  <c r="T43" i="4"/>
  <c r="T47" i="4" s="1"/>
  <c r="FG209" i="4"/>
  <c r="AK210" i="4"/>
  <c r="AC169" i="1"/>
  <c r="DO72" i="7"/>
  <c r="CB72" i="4"/>
  <c r="AC132" i="1"/>
  <c r="FI193" i="4"/>
  <c r="O27" i="1"/>
  <c r="AA24" i="1"/>
  <c r="AA27" i="1" s="1"/>
  <c r="ES230" i="4"/>
  <c r="O164" i="1"/>
  <c r="AA165" i="1"/>
  <c r="FA138" i="4"/>
  <c r="X156" i="4"/>
  <c r="AO170" i="7"/>
  <c r="AK76" i="7"/>
  <c r="EZ75" i="7"/>
  <c r="AH241" i="7"/>
  <c r="BP230" i="4"/>
  <c r="BX230" i="4"/>
  <c r="BX231" i="4" s="1"/>
  <c r="FK226" i="4"/>
  <c r="AI90" i="7"/>
  <c r="FK197" i="4"/>
  <c r="AC197" i="4"/>
  <c r="FB133" i="4"/>
  <c r="AF134" i="4"/>
  <c r="AI116" i="7"/>
  <c r="AJ209" i="7"/>
  <c r="AO167" i="7"/>
  <c r="AO106" i="7"/>
  <c r="AO201" i="7"/>
  <c r="O38" i="1"/>
  <c r="AA39" i="1"/>
  <c r="AD116" i="4"/>
  <c r="AD117" i="1"/>
  <c r="AD116" i="1" s="1"/>
  <c r="AA129" i="4"/>
  <c r="FK32" i="4"/>
  <c r="AC32" i="4"/>
  <c r="EZ76" i="4"/>
  <c r="AD77" i="4"/>
  <c r="AF146" i="4"/>
  <c r="AF147" i="1"/>
  <c r="AF146" i="1" s="1"/>
  <c r="BY230" i="4"/>
  <c r="FG133" i="4"/>
  <c r="AK134" i="4"/>
  <c r="AG241" i="7"/>
  <c r="FA205" i="4"/>
  <c r="AE206" i="4"/>
  <c r="EB97" i="24"/>
  <c r="EB109" i="24"/>
  <c r="AC210" i="1"/>
  <c r="AC246" i="1"/>
  <c r="AO102" i="7"/>
  <c r="AM38" i="7"/>
  <c r="AE183" i="4"/>
  <c r="FE193" i="4"/>
  <c r="FI116" i="4"/>
  <c r="AM117" i="4"/>
  <c r="AH157" i="4"/>
  <c r="AH158" i="1"/>
  <c r="AH157" i="1" s="1"/>
  <c r="AC211" i="4"/>
  <c r="E104" i="24"/>
  <c r="D104" i="24" s="1"/>
  <c r="E92" i="24"/>
  <c r="D92" i="24" s="1"/>
  <c r="FD43" i="7"/>
  <c r="FD47" i="7" s="1"/>
  <c r="FD71" i="7" s="1"/>
  <c r="FD70" i="7"/>
  <c r="AA214" i="4"/>
  <c r="AH150" i="4"/>
  <c r="AH151" i="1"/>
  <c r="AH150" i="1" s="1"/>
  <c r="FE70" i="7"/>
  <c r="DS115" i="4"/>
  <c r="AL138" i="7"/>
  <c r="AB138" i="7" s="1"/>
  <c r="AF242" i="4"/>
  <c r="AD187" i="7"/>
  <c r="FJ164" i="4"/>
  <c r="AN165" i="4"/>
  <c r="FD164" i="4"/>
  <c r="AH165" i="4"/>
  <c r="AC92" i="1"/>
  <c r="FG164" i="4"/>
  <c r="AK165" i="4"/>
  <c r="AC150" i="7"/>
  <c r="AO151" i="7"/>
  <c r="AA60" i="4"/>
  <c r="AD241" i="7"/>
  <c r="AO143" i="7"/>
  <c r="AM205" i="7"/>
  <c r="FK207" i="4"/>
  <c r="AC207" i="4"/>
  <c r="AO196" i="7"/>
  <c r="AO208" i="7"/>
  <c r="FK147" i="4"/>
  <c r="EY146" i="4"/>
  <c r="Z43" i="1"/>
  <c r="Z47" i="1" s="1"/>
  <c r="FA116" i="4"/>
  <c r="R70" i="1"/>
  <c r="AO60" i="7"/>
  <c r="DP156" i="4"/>
  <c r="EZ115" i="7"/>
  <c r="DU193" i="4"/>
  <c r="EY223" i="4"/>
  <c r="EY218" i="4" s="1"/>
  <c r="FK224" i="4"/>
  <c r="AC224" i="4"/>
  <c r="AH116" i="4"/>
  <c r="AH117" i="1"/>
  <c r="AH116" i="1" s="1"/>
  <c r="AJ172" i="7"/>
  <c r="FH182" i="4"/>
  <c r="AL183" i="4"/>
  <c r="DL70" i="4"/>
  <c r="DL43" i="4"/>
  <c r="DL47" i="4" s="1"/>
  <c r="DL71" i="4" s="1"/>
  <c r="AO120" i="7"/>
  <c r="AE129" i="4"/>
  <c r="AE130" i="1"/>
  <c r="AE129" i="1" s="1"/>
  <c r="FC150" i="4"/>
  <c r="AG151" i="4"/>
  <c r="DU214" i="4"/>
  <c r="FD187" i="4"/>
  <c r="AO94" i="7"/>
  <c r="O146" i="1"/>
  <c r="AA147" i="1"/>
  <c r="AC90" i="7"/>
  <c r="AO91" i="7"/>
  <c r="AC245" i="1"/>
  <c r="CZ233" i="7"/>
  <c r="AK227" i="4"/>
  <c r="AK228" i="1"/>
  <c r="AK227" i="1" s="1"/>
  <c r="AH188" i="4"/>
  <c r="V75" i="4"/>
  <c r="AI133" i="7"/>
  <c r="FK97" i="4"/>
  <c r="AD193" i="7"/>
  <c r="EY214" i="4"/>
  <c r="FK215" i="4"/>
  <c r="Z75" i="1"/>
  <c r="AM104" i="7"/>
  <c r="R218" i="4"/>
  <c r="FK131" i="4"/>
  <c r="FG241" i="4"/>
  <c r="AK242" i="4"/>
  <c r="FK193" i="7"/>
  <c r="FB214" i="4"/>
  <c r="AF215" i="4"/>
  <c r="FK198" i="4"/>
  <c r="AC198" i="4"/>
  <c r="Z156" i="1"/>
  <c r="DU116" i="4"/>
  <c r="AG76" i="7"/>
  <c r="BI230" i="4"/>
  <c r="BI231" i="4" s="1"/>
  <c r="DN156" i="4"/>
  <c r="W156" i="4"/>
  <c r="FG90" i="4"/>
  <c r="FK187" i="7"/>
  <c r="AO101" i="7"/>
  <c r="FE205" i="4"/>
  <c r="DU38" i="4"/>
  <c r="FG104" i="4"/>
  <c r="AK105" i="4"/>
  <c r="P115" i="1"/>
  <c r="EB93" i="24"/>
  <c r="EB105" i="24"/>
  <c r="F104" i="24"/>
  <c r="F92" i="24"/>
  <c r="AF88" i="4"/>
  <c r="AO63" i="4"/>
  <c r="AC63" i="1"/>
  <c r="AO63" i="1" s="1"/>
  <c r="CU230" i="4"/>
  <c r="CU231" i="4" s="1"/>
  <c r="AA7" i="1"/>
  <c r="AO165" i="7"/>
  <c r="AC164" i="7"/>
  <c r="FK170" i="4"/>
  <c r="AC170" i="4"/>
  <c r="FK244" i="4"/>
  <c r="AC244" i="4"/>
  <c r="AC178" i="7"/>
  <c r="AO179" i="7"/>
  <c r="DK43" i="4"/>
  <c r="DK47" i="4" s="1"/>
  <c r="DK71" i="4" s="1"/>
  <c r="DK70" i="4"/>
  <c r="AL178" i="7"/>
  <c r="AB178" i="7" s="1"/>
  <c r="AO79" i="7"/>
  <c r="O230" i="7"/>
  <c r="O231" i="7" s="1"/>
  <c r="FA133" i="4"/>
  <c r="AE134" i="4"/>
  <c r="FG146" i="4"/>
  <c r="AK147" i="4"/>
  <c r="AL60" i="4"/>
  <c r="AL61" i="1"/>
  <c r="AL60" i="1" s="1"/>
  <c r="AK172" i="7"/>
  <c r="AN76" i="7"/>
  <c r="AO161" i="7"/>
  <c r="AC191" i="1"/>
  <c r="AH172" i="4"/>
  <c r="AH173" i="1"/>
  <c r="AH172" i="1" s="1"/>
  <c r="AO190" i="7"/>
  <c r="FI38" i="4"/>
  <c r="AO210" i="7"/>
  <c r="AF38" i="7"/>
  <c r="FJ90" i="4"/>
  <c r="FK191" i="4"/>
  <c r="FI90" i="4"/>
  <c r="AM91" i="4"/>
  <c r="AO121" i="7"/>
  <c r="AM209" i="7"/>
  <c r="AC112" i="1"/>
  <c r="FD205" i="4"/>
  <c r="EB108" i="24"/>
  <c r="EB96" i="24"/>
  <c r="FK143" i="4"/>
  <c r="AC143" i="4"/>
  <c r="AK39" i="4"/>
  <c r="FK196" i="4"/>
  <c r="AC196" i="4"/>
  <c r="FK208" i="4"/>
  <c r="AC208" i="4"/>
  <c r="AK138" i="7"/>
  <c r="O172" i="1"/>
  <c r="AA173" i="1"/>
  <c r="R70" i="4"/>
  <c r="AD223" i="7"/>
  <c r="AD218" i="7" s="1"/>
  <c r="EZ116" i="4"/>
  <c r="AO175" i="7"/>
  <c r="FK223" i="7"/>
  <c r="AI172" i="7"/>
  <c r="DN115" i="4"/>
  <c r="FF172" i="4"/>
  <c r="AJ173" i="4"/>
  <c r="AE90" i="7"/>
  <c r="DU156" i="7"/>
  <c r="FK120" i="4"/>
  <c r="AC120" i="4"/>
  <c r="AO34" i="7"/>
  <c r="AL38" i="7"/>
  <c r="AB38" i="7" s="1"/>
  <c r="FK151" i="4"/>
  <c r="EY150" i="4"/>
  <c r="V72" i="7"/>
  <c r="FK94" i="4"/>
  <c r="AE117" i="4"/>
  <c r="AA146" i="4"/>
  <c r="FE187" i="4"/>
  <c r="AI188" i="4"/>
  <c r="AM138" i="7"/>
  <c r="AO126" i="7"/>
  <c r="AN223" i="7"/>
  <c r="AN219" i="7"/>
  <c r="AN193" i="7"/>
  <c r="AL193" i="7"/>
  <c r="AB193" i="7" s="1"/>
  <c r="AF150" i="4"/>
  <c r="AF151" i="1"/>
  <c r="AF150" i="1" s="1"/>
  <c r="AG129" i="7"/>
  <c r="AE209" i="7"/>
  <c r="AL38" i="4"/>
  <c r="AL39" i="1"/>
  <c r="AL38" i="1" s="1"/>
  <c r="V156" i="1"/>
  <c r="FA178" i="4"/>
  <c r="AC205" i="7"/>
  <c r="AO206" i="7"/>
  <c r="P156" i="4"/>
  <c r="FH138" i="4"/>
  <c r="AL139" i="4"/>
  <c r="AM29" i="7"/>
  <c r="AM70" i="7" s="1"/>
  <c r="AE29" i="7"/>
  <c r="V156" i="4"/>
  <c r="AO198" i="7"/>
  <c r="FK76" i="7"/>
  <c r="FK205" i="7"/>
  <c r="AN241" i="7"/>
  <c r="F97" i="24"/>
  <c r="F109" i="24"/>
  <c r="AA116" i="4"/>
  <c r="AO173" i="7"/>
  <c r="AC172" i="7"/>
  <c r="FK106" i="4"/>
  <c r="AC106" i="4"/>
  <c r="FF90" i="4"/>
  <c r="AJ91" i="4"/>
  <c r="FI29" i="4"/>
  <c r="FI70" i="4" s="1"/>
  <c r="AM31" i="4"/>
  <c r="AA150" i="4"/>
  <c r="FE104" i="4"/>
  <c r="X43" i="4"/>
  <c r="X47" i="4" s="1"/>
  <c r="BO233" i="7"/>
  <c r="BO72" i="7"/>
  <c r="FK127" i="4"/>
  <c r="AC127" i="4"/>
  <c r="T72" i="7"/>
  <c r="Z75" i="4"/>
  <c r="AL104" i="7"/>
  <c r="AB104" i="7" s="1"/>
  <c r="AN178" i="7"/>
  <c r="AK116" i="7"/>
  <c r="FK194" i="4"/>
  <c r="EY193" i="4"/>
  <c r="AN193" i="4"/>
  <c r="AN194" i="1"/>
  <c r="AN193" i="1" s="1"/>
  <c r="EM230" i="4"/>
  <c r="U115" i="4"/>
  <c r="Z156" i="4"/>
  <c r="DI115" i="4"/>
  <c r="AI129" i="7"/>
  <c r="FC75" i="7"/>
  <c r="AA29" i="4"/>
  <c r="AC182" i="7"/>
  <c r="AO183" i="7"/>
  <c r="AA27" i="4"/>
  <c r="FK188" i="4"/>
  <c r="EY187" i="4"/>
  <c r="AC188" i="4"/>
  <c r="FG116" i="4"/>
  <c r="AK117" i="4"/>
  <c r="FK101" i="4"/>
  <c r="AC101" i="4"/>
  <c r="Z218" i="4"/>
  <c r="AO169" i="7"/>
  <c r="FF104" i="4"/>
  <c r="BQ75" i="4"/>
  <c r="FD38" i="4"/>
  <c r="AH39" i="4"/>
  <c r="AO132" i="7"/>
  <c r="FK164" i="7"/>
  <c r="AO160" i="7"/>
  <c r="FK181" i="4"/>
  <c r="FI75" i="7"/>
  <c r="FK178" i="7"/>
  <c r="AF104" i="7"/>
  <c r="FK79" i="4"/>
  <c r="AC79" i="4"/>
  <c r="FB178" i="4"/>
  <c r="FH209" i="4"/>
  <c r="FI133" i="4"/>
  <c r="AM134" i="4"/>
  <c r="R75" i="4"/>
  <c r="FG172" i="4"/>
  <c r="FJ75" i="7"/>
  <c r="AC104" i="7"/>
  <c r="AO105" i="7"/>
  <c r="FK161" i="4"/>
  <c r="AC161" i="4"/>
  <c r="AF133" i="7"/>
  <c r="AN104" i="7"/>
  <c r="FK190" i="4"/>
  <c r="AC190" i="4"/>
  <c r="F87" i="24"/>
  <c r="F99" i="24"/>
  <c r="F106" i="24"/>
  <c r="F94" i="24"/>
  <c r="AM227" i="4"/>
  <c r="AM228" i="1"/>
  <c r="AM227" i="1" s="1"/>
  <c r="BL72" i="7"/>
  <c r="BL233" i="7"/>
  <c r="AN29" i="4"/>
  <c r="AN31" i="1"/>
  <c r="AN29" i="1" s="1"/>
  <c r="FK121" i="4"/>
  <c r="AC121" i="4"/>
  <c r="S70" i="4"/>
  <c r="AH129" i="7"/>
  <c r="FK186" i="4"/>
  <c r="FC129" i="4"/>
  <c r="AM241" i="7"/>
  <c r="CC72" i="4"/>
  <c r="AJ241" i="7"/>
  <c r="FA209" i="4"/>
  <c r="EZ241" i="4"/>
  <c r="FJ209" i="4"/>
  <c r="AD223" i="4"/>
  <c r="AD218" i="4" s="1"/>
  <c r="AD224" i="1"/>
  <c r="AD223" i="1" s="1"/>
  <c r="FI205" i="4"/>
  <c r="AM206" i="4"/>
  <c r="FC133" i="4"/>
  <c r="AA139" i="1"/>
  <c r="O138" i="1"/>
  <c r="AO40" i="7"/>
  <c r="AJ193" i="7"/>
  <c r="FK175" i="4"/>
  <c r="AO199" i="7"/>
  <c r="FE172" i="4"/>
  <c r="AI173" i="4"/>
  <c r="AN116" i="7"/>
  <c r="Q218" i="4"/>
  <c r="AO45" i="7"/>
  <c r="AC158" i="1"/>
  <c r="FH150" i="4"/>
  <c r="AL151" i="4"/>
  <c r="AO95" i="7"/>
  <c r="FK34" i="4"/>
  <c r="AC34" i="4"/>
  <c r="FH38" i="4"/>
  <c r="AK187" i="7"/>
  <c r="DK115" i="4"/>
  <c r="AC147" i="4"/>
  <c r="FK91" i="4"/>
  <c r="EY90" i="4"/>
  <c r="AC91" i="4"/>
  <c r="AG187" i="7"/>
  <c r="FK126" i="4"/>
  <c r="AO33" i="7"/>
  <c r="AF146" i="7"/>
  <c r="AA193" i="4"/>
  <c r="AD205" i="4"/>
  <c r="AD206" i="1"/>
  <c r="AD205" i="1" s="1"/>
  <c r="FI70" i="7"/>
  <c r="E87" i="24"/>
  <c r="D87" i="24" s="1"/>
  <c r="E99" i="24"/>
  <c r="D99" i="24" s="1"/>
  <c r="FI43" i="7"/>
  <c r="FI47" i="7" s="1"/>
  <c r="FI71" i="7" s="1"/>
  <c r="EY133" i="4"/>
  <c r="FK134" i="4"/>
  <c r="EZ193" i="4"/>
  <c r="AF187" i="7"/>
  <c r="AE164" i="7"/>
  <c r="FH156" i="7"/>
  <c r="FK138" i="7"/>
  <c r="CE156" i="4"/>
  <c r="AC187" i="7"/>
  <c r="AO188" i="7"/>
  <c r="FK192" i="4"/>
  <c r="AC192" i="4"/>
  <c r="FH205" i="4"/>
  <c r="AN138" i="7"/>
  <c r="U115" i="1"/>
  <c r="FK225" i="4"/>
  <c r="FA187" i="4"/>
  <c r="AE188" i="4"/>
  <c r="BU72" i="4"/>
  <c r="AH116" i="7"/>
  <c r="FE129" i="4"/>
  <c r="FD133" i="4"/>
  <c r="AH134" i="4"/>
  <c r="AF241" i="7"/>
  <c r="FB193" i="4"/>
  <c r="AF194" i="4"/>
  <c r="FC76" i="4"/>
  <c r="O43" i="4"/>
  <c r="O47" i="4" s="1"/>
  <c r="AN227" i="4"/>
  <c r="AN228" i="1"/>
  <c r="AN227" i="1" s="1"/>
  <c r="AO109" i="7"/>
  <c r="DT230" i="7"/>
  <c r="DT231" i="7" s="1"/>
  <c r="AO176" i="7"/>
  <c r="FG115" i="7"/>
  <c r="EX115" i="7" s="1"/>
  <c r="Z218" i="1"/>
  <c r="FK169" i="4"/>
  <c r="FI187" i="4"/>
  <c r="Y156" i="4"/>
  <c r="S218" i="4"/>
  <c r="FK85" i="4"/>
  <c r="AC85" i="4"/>
  <c r="DU205" i="4"/>
  <c r="FK132" i="4"/>
  <c r="FH187" i="4"/>
  <c r="AL188" i="4"/>
  <c r="FK245" i="4"/>
  <c r="EY164" i="4"/>
  <c r="FK165" i="4"/>
  <c r="AO111" i="7"/>
  <c r="FK160" i="4"/>
  <c r="AC160" i="4"/>
  <c r="FI76" i="4"/>
  <c r="AM77" i="4"/>
  <c r="FK179" i="4"/>
  <c r="EY178" i="4"/>
  <c r="FB104" i="4"/>
  <c r="FH178" i="4"/>
  <c r="AL179" i="4"/>
  <c r="Y43" i="1"/>
  <c r="Y47" i="1" s="1"/>
  <c r="DR218" i="4"/>
  <c r="AG104" i="7"/>
  <c r="R75" i="1"/>
  <c r="AH193" i="7"/>
  <c r="FJ76" i="4"/>
  <c r="AN77" i="4"/>
  <c r="EK230" i="4"/>
  <c r="EK231" i="4" s="1"/>
  <c r="FB38" i="4"/>
  <c r="AO113" i="7"/>
  <c r="DT43" i="4"/>
  <c r="DT47" i="4" s="1"/>
  <c r="DT71" i="4" s="1"/>
  <c r="DT70" i="4"/>
  <c r="S70" i="1"/>
  <c r="AE241" i="7"/>
  <c r="FI209" i="4"/>
  <c r="AM210" i="4"/>
  <c r="O219" i="1"/>
  <c r="AA220" i="1"/>
  <c r="EB87" i="24"/>
  <c r="EB99" i="24"/>
  <c r="AE129" i="7"/>
  <c r="EB90" i="24"/>
  <c r="EB102" i="24"/>
  <c r="Y75" i="4"/>
  <c r="S156" i="1"/>
  <c r="FK146" i="7"/>
  <c r="FG138" i="4"/>
  <c r="AA172" i="4"/>
  <c r="AI157" i="7"/>
  <c r="AA138" i="4"/>
  <c r="AO110" i="7"/>
  <c r="FK40" i="4"/>
  <c r="EZ223" i="4"/>
  <c r="EZ218" i="4" s="1"/>
  <c r="FF193" i="4"/>
  <c r="AC97" i="4"/>
  <c r="FK199" i="4"/>
  <c r="AC199" i="4"/>
  <c r="DB230" i="4"/>
  <c r="AD150" i="7"/>
  <c r="FJ115" i="7"/>
  <c r="Q218" i="1"/>
  <c r="R43" i="1"/>
  <c r="R47" i="1" s="1"/>
  <c r="FK45" i="4"/>
  <c r="AC45" i="4"/>
  <c r="DU157" i="4"/>
  <c r="AK139" i="4"/>
  <c r="FA90" i="4"/>
  <c r="FK95" i="4"/>
  <c r="F88" i="24"/>
  <c r="F100" i="24"/>
  <c r="AJ182" i="7"/>
  <c r="FG187" i="4"/>
  <c r="DU146" i="4"/>
  <c r="FI138" i="4"/>
  <c r="AO135" i="7"/>
  <c r="AG134" i="4"/>
  <c r="FC187" i="4"/>
  <c r="S75" i="4"/>
  <c r="AO119" i="7"/>
  <c r="FJ223" i="4"/>
  <c r="FJ218" i="4" s="1"/>
  <c r="FK33" i="4"/>
  <c r="FJ193" i="4"/>
  <c r="FH193" i="4"/>
  <c r="AG29" i="7"/>
  <c r="FD129" i="4"/>
  <c r="AO195" i="7"/>
  <c r="O218" i="4"/>
  <c r="DJ156" i="4"/>
  <c r="FI241" i="4"/>
  <c r="AM242" i="4"/>
  <c r="FF241" i="4"/>
  <c r="Y75" i="1"/>
  <c r="S156" i="4"/>
  <c r="AO30" i="7"/>
  <c r="FC214" i="4"/>
  <c r="AG215" i="4"/>
  <c r="AJ138" i="7"/>
  <c r="AI209" i="4"/>
  <c r="AI210" i="1"/>
  <c r="AI209" i="1" s="1"/>
  <c r="AC29" i="7"/>
  <c r="AC70" i="7" s="1"/>
  <c r="AO31" i="7"/>
  <c r="AM38" i="4"/>
  <c r="AM39" i="1"/>
  <c r="AM38" i="1" s="1"/>
  <c r="FJ116" i="4"/>
  <c r="AN117" i="4"/>
  <c r="AD29" i="7"/>
  <c r="AO64" i="4"/>
  <c r="AC64" i="1"/>
  <c r="AO64" i="1" s="1"/>
  <c r="AH172" i="7"/>
  <c r="DI156" i="4"/>
  <c r="AC165" i="1"/>
  <c r="DQ115" i="4"/>
  <c r="DU182" i="4"/>
  <c r="AH182" i="4"/>
  <c r="AH183" i="1"/>
  <c r="AH182" i="1" s="1"/>
  <c r="T218" i="4"/>
  <c r="AD138" i="4"/>
  <c r="AD139" i="1"/>
  <c r="AD138" i="1" s="1"/>
  <c r="FF182" i="4"/>
  <c r="AJ187" i="7"/>
  <c r="FK150" i="7"/>
  <c r="AO41" i="7"/>
  <c r="FK135" i="4"/>
  <c r="FK119" i="4"/>
  <c r="AF104" i="4"/>
  <c r="AF105" i="1"/>
  <c r="AF104" i="1" s="1"/>
  <c r="FB146" i="4"/>
  <c r="FC70" i="7"/>
  <c r="E93" i="24"/>
  <c r="D93" i="24" s="1"/>
  <c r="E105" i="24"/>
  <c r="D105" i="24" s="1"/>
  <c r="FC43" i="7"/>
  <c r="FC47" i="7" s="1"/>
  <c r="FC71" i="7" s="1"/>
  <c r="U75" i="4"/>
  <c r="R156" i="4"/>
  <c r="FK113" i="4"/>
  <c r="FK123" i="4"/>
  <c r="EB95" i="24"/>
  <c r="EB107" i="24"/>
  <c r="FE157" i="4"/>
  <c r="AI158" i="4"/>
  <c r="FK110" i="4"/>
  <c r="AC30" i="1"/>
  <c r="EZ150" i="4"/>
  <c r="AD151" i="4"/>
  <c r="AC225" i="1"/>
  <c r="AK182" i="7"/>
  <c r="AO83" i="7"/>
  <c r="EZ133" i="4"/>
  <c r="AD134" i="4"/>
  <c r="FC193" i="4"/>
  <c r="FA157" i="4"/>
  <c r="AE158" i="4"/>
  <c r="W218" i="4"/>
  <c r="DQ72" i="7"/>
  <c r="AN60" i="4"/>
  <c r="AN61" i="1"/>
  <c r="AN60" i="1" s="1"/>
  <c r="FK128" i="4"/>
  <c r="AC128" i="4"/>
  <c r="AJ116" i="7"/>
  <c r="W115" i="4"/>
  <c r="DU104" i="4"/>
  <c r="DL156" i="4"/>
  <c r="AI209" i="7"/>
  <c r="FK184" i="4"/>
  <c r="AC184" i="4"/>
  <c r="DO43" i="4"/>
  <c r="DO47" i="4" s="1"/>
  <c r="DO71" i="4" s="1"/>
  <c r="DO70" i="4"/>
  <c r="AO154" i="7"/>
  <c r="AG116" i="7"/>
  <c r="FK144" i="4"/>
  <c r="AC144" i="4"/>
  <c r="V43" i="4"/>
  <c r="V47" i="4" s="1"/>
  <c r="AF172" i="7"/>
  <c r="FJ157" i="4"/>
  <c r="AH90" i="7"/>
  <c r="X70" i="1"/>
  <c r="FK203" i="4"/>
  <c r="AC203" i="4"/>
  <c r="FK96" i="4"/>
  <c r="FD116" i="4"/>
  <c r="DS75" i="4"/>
  <c r="EB106" i="24"/>
  <c r="EB94" i="24"/>
  <c r="FI178" i="4"/>
  <c r="BH230" i="4"/>
  <c r="BH231" i="4" s="1"/>
  <c r="AA164" i="4"/>
  <c r="Y6" i="1"/>
  <c r="AD39" i="1"/>
  <c r="AD38" i="1" s="1"/>
  <c r="AD38" i="4"/>
  <c r="AE88" i="4"/>
  <c r="Y115" i="1"/>
  <c r="EW75" i="4"/>
  <c r="DF230" i="4"/>
  <c r="FG205" i="4"/>
  <c r="AK206" i="4"/>
  <c r="EU230" i="4"/>
  <c r="AK157" i="7"/>
  <c r="FI214" i="4"/>
  <c r="AM215" i="4"/>
  <c r="X58" i="1"/>
  <c r="FK141" i="4"/>
  <c r="AC141" i="4"/>
  <c r="AO108" i="7"/>
  <c r="S115" i="4"/>
  <c r="AO77" i="7"/>
  <c r="AC76" i="7"/>
  <c r="DF233" i="7"/>
  <c r="AD38" i="7"/>
  <c r="FK137" i="4"/>
  <c r="BL230" i="4"/>
  <c r="BL231" i="4" s="1"/>
  <c r="EZ38" i="4"/>
  <c r="FK212" i="4"/>
  <c r="AC212" i="4"/>
  <c r="AN223" i="4"/>
  <c r="AN224" i="1"/>
  <c r="AN223" i="1" s="1"/>
  <c r="AD146" i="7"/>
  <c r="FD193" i="4"/>
  <c r="AH194" i="4"/>
  <c r="AF76" i="7"/>
  <c r="P58" i="1"/>
  <c r="T156" i="4"/>
  <c r="U75" i="1"/>
  <c r="R156" i="1"/>
  <c r="Z58" i="1"/>
  <c r="AO46" i="7"/>
  <c r="AO44" i="7"/>
  <c r="AJ105" i="4"/>
  <c r="AO142" i="7"/>
  <c r="BZ230" i="4"/>
  <c r="BZ231" i="4" s="1"/>
  <c r="FK195" i="4"/>
  <c r="AC195" i="4"/>
  <c r="FA241" i="4"/>
  <c r="AE242" i="4"/>
  <c r="AA219" i="4"/>
  <c r="CD230" i="4"/>
  <c r="CD231" i="4" s="1"/>
  <c r="AO80" i="7"/>
  <c r="BZ72" i="4"/>
  <c r="FA129" i="4"/>
  <c r="AG205" i="7"/>
  <c r="DM230" i="7"/>
  <c r="DM231" i="7" s="1"/>
  <c r="BS233" i="7"/>
  <c r="P70" i="4"/>
  <c r="FG223" i="4"/>
  <c r="FG218" i="4" s="1"/>
  <c r="FK30" i="4"/>
  <c r="FE156" i="7"/>
  <c r="AO243" i="7"/>
  <c r="AE90" i="4"/>
  <c r="AE91" i="1"/>
  <c r="AE90" i="1" s="1"/>
  <c r="P75" i="1"/>
  <c r="AH138" i="7"/>
  <c r="AL164" i="7"/>
  <c r="AB164" i="7" s="1"/>
  <c r="AG172" i="7"/>
  <c r="EY70" i="7"/>
  <c r="E109" i="24"/>
  <c r="D109" i="24" s="1"/>
  <c r="E97" i="24"/>
  <c r="D97" i="24" s="1"/>
  <c r="EY43" i="7"/>
  <c r="EY47" i="7" s="1"/>
  <c r="EY71" i="7" s="1"/>
  <c r="FG182" i="4"/>
  <c r="AK183" i="4"/>
  <c r="E96" i="24"/>
  <c r="D96" i="24" s="1"/>
  <c r="E108" i="24"/>
  <c r="D108" i="24" s="1"/>
  <c r="EZ43" i="7"/>
  <c r="EZ47" i="7" s="1"/>
  <c r="EZ71" i="7" s="1"/>
  <c r="EZ72" i="7" s="1"/>
  <c r="FD172" i="4"/>
  <c r="FD182" i="4"/>
  <c r="Q70" i="1"/>
  <c r="AL116" i="7"/>
  <c r="AB116" i="7" s="1"/>
  <c r="DK75" i="4"/>
  <c r="T218" i="1"/>
  <c r="FF187" i="4"/>
  <c r="AH206" i="4"/>
  <c r="AF150" i="7"/>
  <c r="FK41" i="4"/>
  <c r="AC40" i="4"/>
  <c r="FK90" i="7"/>
  <c r="AN29" i="7"/>
  <c r="AN70" i="7" s="1"/>
  <c r="FC29" i="4"/>
  <c r="FC70" i="4" s="1"/>
  <c r="O193" i="1"/>
  <c r="AA194" i="1"/>
  <c r="AH60" i="4"/>
  <c r="AH61" i="1"/>
  <c r="AH60" i="1" s="1"/>
  <c r="FK83" i="4"/>
  <c r="AC83" i="4"/>
  <c r="AG187" i="4"/>
  <c r="AG188" i="1"/>
  <c r="AG187" i="1" s="1"/>
  <c r="EZ214" i="4"/>
  <c r="AD215" i="4"/>
  <c r="AA88" i="1"/>
  <c r="O87" i="1"/>
  <c r="FJ187" i="4"/>
  <c r="AN188" i="4"/>
  <c r="FC182" i="4"/>
  <c r="AG183" i="4"/>
  <c r="DI218" i="4"/>
  <c r="FF116" i="4"/>
  <c r="AC133" i="7"/>
  <c r="AO134" i="7"/>
  <c r="FE76" i="4"/>
  <c r="AO159" i="7"/>
  <c r="DP75" i="4"/>
  <c r="FE209" i="4"/>
  <c r="FE146" i="4"/>
  <c r="AI147" i="4"/>
  <c r="AL90" i="7"/>
  <c r="AB90" i="7" s="1"/>
  <c r="AJ223" i="7"/>
  <c r="AJ218" i="7" s="1"/>
  <c r="F90" i="24"/>
  <c r="F102" i="24"/>
  <c r="AM172" i="7"/>
  <c r="FK154" i="4"/>
  <c r="AC154" i="4"/>
  <c r="FC115" i="7"/>
  <c r="V70" i="4"/>
  <c r="U58" i="1"/>
  <c r="FK152" i="4"/>
  <c r="AC152" i="4"/>
  <c r="V43" i="1"/>
  <c r="V47" i="1" s="1"/>
  <c r="AM187" i="4"/>
  <c r="AM188" i="1"/>
  <c r="AM187" i="1" s="1"/>
  <c r="AO82" i="7"/>
  <c r="P43" i="1"/>
  <c r="P47" i="1" s="1"/>
  <c r="CE115" i="4"/>
  <c r="DL115" i="4"/>
  <c r="FK200" i="4"/>
  <c r="AC200" i="4"/>
  <c r="AJ129" i="7"/>
  <c r="FC146" i="4"/>
  <c r="AG147" i="4"/>
  <c r="EZ172" i="4"/>
  <c r="AD173" i="4"/>
  <c r="FA214" i="4"/>
  <c r="AE215" i="4"/>
  <c r="FB164" i="4"/>
  <c r="AF165" i="4"/>
  <c r="FK93" i="4"/>
  <c r="AC93" i="4"/>
  <c r="AG209" i="7"/>
  <c r="FA76" i="4"/>
  <c r="BQ43" i="4"/>
  <c r="BQ47" i="4" s="1"/>
  <c r="BQ71" i="4" s="1"/>
  <c r="W58" i="4"/>
  <c r="DO218" i="4"/>
  <c r="DC230" i="4"/>
  <c r="AG178" i="4"/>
  <c r="AG179" i="1"/>
  <c r="AG178" i="1" s="1"/>
  <c r="FJ146" i="4"/>
  <c r="FH172" i="4"/>
  <c r="FG157" i="4"/>
  <c r="FK129" i="7"/>
  <c r="DU115" i="7"/>
  <c r="FK108" i="4"/>
  <c r="AC108" i="4"/>
  <c r="S115" i="1"/>
  <c r="FK77" i="4"/>
  <c r="EY76" i="4"/>
  <c r="AC77" i="4"/>
  <c r="Z70" i="4"/>
  <c r="DP43" i="4"/>
  <c r="DP47" i="4" s="1"/>
  <c r="DP71" i="4" s="1"/>
  <c r="DP70" i="4"/>
  <c r="FJ129" i="4"/>
  <c r="FB129" i="4"/>
  <c r="AF130" i="4"/>
  <c r="AL146" i="4"/>
  <c r="AL147" i="1"/>
  <c r="AL146" i="1" s="1"/>
  <c r="FK42" i="4"/>
  <c r="AC42" i="4"/>
  <c r="P218" i="1"/>
  <c r="FH146" i="4"/>
  <c r="T156" i="1"/>
  <c r="EN233" i="7"/>
  <c r="EN72" i="7"/>
  <c r="BQ115" i="4"/>
  <c r="DT72" i="7"/>
  <c r="AE172" i="7"/>
  <c r="AF39" i="4"/>
  <c r="FK46" i="4"/>
  <c r="AC46" i="4"/>
  <c r="DO115" i="4"/>
  <c r="FK142" i="4"/>
  <c r="FK209" i="7"/>
  <c r="AK214" i="7"/>
  <c r="AH29" i="7"/>
  <c r="AH70" i="7" s="1"/>
  <c r="AC151" i="1"/>
  <c r="BT233" i="7"/>
  <c r="FK80" i="4"/>
  <c r="FB209" i="4"/>
  <c r="AF210" i="4"/>
  <c r="AA75" i="7"/>
  <c r="DM156" i="4"/>
  <c r="AO246" i="7"/>
  <c r="P70" i="1"/>
  <c r="V115" i="4"/>
  <c r="FF138" i="4"/>
  <c r="AJ139" i="4"/>
  <c r="FK243" i="4"/>
  <c r="AC243" i="4"/>
  <c r="AK158" i="4"/>
  <c r="FD138" i="4"/>
  <c r="AH139" i="4"/>
  <c r="AC116" i="7"/>
  <c r="AO117" i="7"/>
  <c r="EY29" i="4"/>
  <c r="FK31" i="4"/>
  <c r="AC31" i="4"/>
  <c r="DR156" i="4"/>
  <c r="W75" i="4"/>
  <c r="AK173" i="4"/>
  <c r="EZ29" i="4"/>
  <c r="EZ70" i="4" s="1"/>
  <c r="AA76" i="4"/>
  <c r="AE77" i="4"/>
  <c r="Q70" i="4"/>
  <c r="DU164" i="4"/>
  <c r="FH116" i="4"/>
  <c r="AL117" i="4"/>
  <c r="AJ183" i="4"/>
  <c r="AC157" i="7"/>
  <c r="AO158" i="7"/>
  <c r="AJ164" i="7"/>
  <c r="DG75" i="4"/>
  <c r="AG178" i="7"/>
  <c r="AL214" i="7"/>
  <c r="AB214" i="7" s="1"/>
  <c r="AF138" i="7"/>
  <c r="DU172" i="4"/>
  <c r="AN158" i="4"/>
  <c r="FJ70" i="7"/>
  <c r="E98" i="24"/>
  <c r="D98" i="24" s="1"/>
  <c r="E86" i="24"/>
  <c r="D86" i="24" s="1"/>
  <c r="FJ43" i="7"/>
  <c r="FJ47" i="7" s="1"/>
  <c r="FJ71" i="7" s="1"/>
  <c r="T75" i="4"/>
  <c r="AC80" i="4"/>
  <c r="FB150" i="4"/>
  <c r="CY230" i="4"/>
  <c r="FB138" i="4"/>
  <c r="AF139" i="4"/>
  <c r="T70" i="4"/>
  <c r="DT156" i="4"/>
  <c r="FJ29" i="4"/>
  <c r="FJ70" i="4" s="1"/>
  <c r="DS72" i="7"/>
  <c r="AI130" i="4"/>
  <c r="T75" i="1"/>
  <c r="AA215" i="1"/>
  <c r="O214" i="1"/>
  <c r="AA14" i="1"/>
  <c r="O13" i="1"/>
  <c r="AC131" i="1"/>
  <c r="S43" i="4"/>
  <c r="S47" i="4" s="1"/>
  <c r="AI60" i="4"/>
  <c r="AI61" i="1"/>
  <c r="AI60" i="1" s="1"/>
  <c r="FC205" i="4"/>
  <c r="AA182" i="4"/>
  <c r="AJ133" i="7"/>
  <c r="FK246" i="4"/>
  <c r="AO247" i="7"/>
  <c r="AD194" i="4"/>
  <c r="AK193" i="7"/>
  <c r="V115" i="1"/>
  <c r="DQ156" i="4"/>
  <c r="FH164" i="4"/>
  <c r="EY116" i="4"/>
  <c r="FK117" i="4"/>
  <c r="FC172" i="4"/>
  <c r="FK29" i="7"/>
  <c r="AF205" i="7"/>
  <c r="EO233" i="7"/>
  <c r="EO231" i="7"/>
  <c r="AO112" i="7"/>
  <c r="AH164" i="7"/>
  <c r="AF157" i="7"/>
  <c r="DI230" i="7"/>
  <c r="DI231" i="7" s="1"/>
  <c r="FH115" i="7"/>
  <c r="EY156" i="7"/>
  <c r="AI205" i="4"/>
  <c r="AI206" i="1"/>
  <c r="AI205" i="1" s="1"/>
  <c r="AA210" i="1"/>
  <c r="O209" i="1"/>
  <c r="AC140" i="1"/>
  <c r="AE227" i="4"/>
  <c r="AE228" i="1"/>
  <c r="AE227" i="1" s="1"/>
  <c r="AF90" i="7"/>
  <c r="DU187" i="4"/>
  <c r="FK102" i="4"/>
  <c r="AC102" i="4"/>
  <c r="FK167" i="4"/>
  <c r="AC167" i="4"/>
  <c r="T115" i="4"/>
  <c r="AF60" i="4"/>
  <c r="AF61" i="1"/>
  <c r="AF60" i="1" s="1"/>
  <c r="E107" i="24"/>
  <c r="D107" i="24" s="1"/>
  <c r="E95" i="24"/>
  <c r="D95" i="24" s="1"/>
  <c r="FA43" i="7"/>
  <c r="FA47" i="7" s="1"/>
  <c r="FA71" i="7" s="1"/>
  <c r="AA51" i="1"/>
  <c r="AA54" i="1" s="1"/>
  <c r="O54" i="1"/>
  <c r="FK81" i="4"/>
  <c r="BT230" i="4"/>
  <c r="AM223" i="4"/>
  <c r="AM224" i="1"/>
  <c r="AM223" i="1" s="1"/>
  <c r="DK156" i="4"/>
  <c r="AN38" i="7"/>
  <c r="AO211" i="7"/>
  <c r="FH90" i="4"/>
  <c r="AL91" i="4"/>
  <c r="FK92" i="4"/>
  <c r="DP230" i="7"/>
  <c r="DP231" i="7" s="1"/>
  <c r="FI182" i="4"/>
  <c r="AO98" i="7"/>
  <c r="FI172" i="4"/>
  <c r="AM173" i="4"/>
  <c r="FK140" i="4"/>
  <c r="EZ182" i="4"/>
  <c r="AL206" i="4"/>
  <c r="O157" i="1"/>
  <c r="AA158" i="1"/>
  <c r="AL129" i="7"/>
  <c r="AB129" i="7" s="1"/>
  <c r="Y70" i="1"/>
  <c r="AJ215" i="4"/>
  <c r="FG70" i="7"/>
  <c r="EX70" i="7" s="1"/>
  <c r="E101" i="24"/>
  <c r="D101" i="24" s="1"/>
  <c r="E89" i="24"/>
  <c r="D89" i="24" s="1"/>
  <c r="FG43" i="7"/>
  <c r="FC138" i="4"/>
  <c r="AM150" i="7"/>
  <c r="AO84" i="7"/>
  <c r="FF205" i="4"/>
  <c r="AJ206" i="4"/>
  <c r="AD241" i="4"/>
  <c r="AD242" i="1"/>
  <c r="AD241" i="1" s="1"/>
  <c r="AH209" i="7"/>
  <c r="FI156" i="7"/>
  <c r="FF70" i="7"/>
  <c r="E90" i="24"/>
  <c r="D90" i="24" s="1"/>
  <c r="E102" i="24"/>
  <c r="D102" i="24" s="1"/>
  <c r="FF43" i="7"/>
  <c r="FF47" i="7" s="1"/>
  <c r="FF71" i="7" s="1"/>
  <c r="AK150" i="7"/>
  <c r="X156" i="1"/>
  <c r="O129" i="1"/>
  <c r="AA130" i="1"/>
  <c r="FC209" i="4"/>
  <c r="AG210" i="4"/>
  <c r="AG223" i="7"/>
  <c r="AG218" i="7" s="1"/>
  <c r="FD178" i="4"/>
  <c r="AH179" i="4"/>
  <c r="DU76" i="4"/>
  <c r="AD76" i="7"/>
  <c r="DU133" i="4"/>
  <c r="AE193" i="7"/>
  <c r="AG90" i="7"/>
  <c r="DU29" i="4"/>
  <c r="FK183" i="4"/>
  <c r="EY182" i="4"/>
  <c r="FI104" i="4"/>
  <c r="AM105" i="4"/>
  <c r="DT75" i="4"/>
  <c r="AE104" i="7"/>
  <c r="AO124" i="7"/>
  <c r="DU209" i="4"/>
  <c r="FK162" i="4"/>
  <c r="AC162" i="4"/>
  <c r="F107" i="24"/>
  <c r="F95" i="24"/>
  <c r="DT115" i="4"/>
  <c r="DM115" i="4"/>
  <c r="FA172" i="4"/>
  <c r="AE173" i="4"/>
  <c r="X115" i="1"/>
  <c r="FF156" i="7"/>
  <c r="FD214" i="4"/>
  <c r="DM72" i="7"/>
  <c r="AI241" i="7"/>
  <c r="AG157" i="7"/>
  <c r="FG214" i="4"/>
  <c r="DU150" i="4"/>
  <c r="AA187" i="4"/>
  <c r="AA13" i="4"/>
  <c r="S43" i="1"/>
  <c r="S47" i="1" s="1"/>
  <c r="AN210" i="4"/>
  <c r="AM138" i="4"/>
  <c r="AM139" i="1"/>
  <c r="AM138" i="1" s="1"/>
  <c r="FK44" i="4"/>
  <c r="AC44" i="4"/>
  <c r="CD233" i="7"/>
  <c r="DL75" i="4"/>
  <c r="AJ178" i="7"/>
  <c r="EZ205" i="4"/>
  <c r="FK247" i="4"/>
  <c r="AD90" i="7"/>
  <c r="AO118" i="7"/>
  <c r="FG193" i="4"/>
  <c r="CY233" i="7"/>
  <c r="CY231" i="7"/>
  <c r="AH157" i="7"/>
  <c r="EY115" i="7"/>
  <c r="FB205" i="4"/>
  <c r="AF206" i="4"/>
  <c r="AO88" i="7"/>
  <c r="AO87" i="7" s="1"/>
  <c r="AC87" i="7"/>
  <c r="FK112" i="4"/>
  <c r="FB156" i="7"/>
  <c r="O76" i="1"/>
  <c r="AA77" i="1"/>
  <c r="Q75" i="1"/>
  <c r="EY157" i="4"/>
  <c r="FK158" i="4"/>
  <c r="AA209" i="4"/>
  <c r="FF164" i="4"/>
  <c r="FC178" i="4"/>
  <c r="AC38" i="7"/>
  <c r="Q156" i="1"/>
  <c r="AK188" i="4"/>
  <c r="FH214" i="4"/>
  <c r="AC117" i="4"/>
  <c r="AO136" i="7"/>
  <c r="AH130" i="4"/>
  <c r="AM223" i="7"/>
  <c r="AM218" i="7" s="1"/>
  <c r="T70" i="1"/>
  <c r="AD138" i="7"/>
  <c r="AC181" i="1"/>
  <c r="EB91" i="24"/>
  <c r="EB103" i="24"/>
  <c r="FC157" i="4"/>
  <c r="AG158" i="4"/>
  <c r="AO86" i="7"/>
  <c r="FD150" i="4"/>
  <c r="FK213" i="4"/>
  <c r="AI104" i="4"/>
  <c r="AI105" i="1"/>
  <c r="AI104" i="1" s="1"/>
  <c r="AC186" i="1"/>
  <c r="FE178" i="4"/>
  <c r="Q115" i="1"/>
  <c r="AA133" i="4"/>
  <c r="X75" i="1"/>
  <c r="AO147" i="7"/>
  <c r="AC146" i="7"/>
  <c r="EZ90" i="4"/>
  <c r="AD91" i="4"/>
  <c r="V58" i="1"/>
  <c r="AC94" i="1"/>
  <c r="AO180" i="7"/>
  <c r="AE116" i="7"/>
  <c r="AN164" i="7"/>
  <c r="FD157" i="4"/>
  <c r="AC223" i="7"/>
  <c r="AC218" i="7" s="1"/>
  <c r="AO224" i="7"/>
  <c r="DJ72" i="7"/>
  <c r="FK189" i="4"/>
  <c r="AC189" i="4"/>
  <c r="BQ72" i="7"/>
  <c r="FK201" i="4"/>
  <c r="AC201" i="4"/>
  <c r="AC41" i="1"/>
  <c r="AA38" i="4"/>
  <c r="AI182" i="7"/>
  <c r="AG150" i="7"/>
  <c r="DS156" i="4"/>
  <c r="DJ115" i="4"/>
  <c r="AH187" i="7"/>
  <c r="AC119" i="4"/>
  <c r="AC110" i="4"/>
  <c r="O70" i="4"/>
  <c r="AE223" i="7"/>
  <c r="AE218" i="7" s="1"/>
  <c r="FI223" i="4"/>
  <c r="FI218" i="4" s="1"/>
  <c r="FI115" i="7"/>
  <c r="EZ138" i="4"/>
  <c r="DR72" i="7"/>
  <c r="AL210" i="4"/>
  <c r="D234" i="7"/>
  <c r="L249" i="7"/>
  <c r="L250" i="7" s="1"/>
  <c r="F234" i="7"/>
  <c r="H234" i="7"/>
  <c r="J234" i="7"/>
  <c r="J250" i="7"/>
  <c r="A234" i="7"/>
  <c r="A250" i="7"/>
  <c r="M234" i="7"/>
  <c r="M250" i="7"/>
  <c r="AL70" i="7" l="1"/>
  <c r="AB70" i="7" s="1"/>
  <c r="AB29" i="7"/>
  <c r="DH230" i="7"/>
  <c r="DH233" i="7"/>
  <c r="DH71" i="7"/>
  <c r="AL218" i="7"/>
  <c r="AB218" i="7" s="1"/>
  <c r="AB223" i="7"/>
  <c r="DD72" i="7"/>
  <c r="DH72" i="7" s="1"/>
  <c r="BN72" i="7"/>
  <c r="BR72" i="7" s="1"/>
  <c r="BR71" i="7"/>
  <c r="X71" i="7"/>
  <c r="BN234" i="7"/>
  <c r="BR234" i="7" s="1"/>
  <c r="BR233" i="7"/>
  <c r="AJ43" i="7"/>
  <c r="AJ47" i="7" s="1"/>
  <c r="AJ71" i="7" s="1"/>
  <c r="AJ72" i="7" s="1"/>
  <c r="AO81" i="4"/>
  <c r="AH75" i="7"/>
  <c r="BG233" i="4"/>
  <c r="BG249" i="4" s="1"/>
  <c r="BG250" i="4" s="1"/>
  <c r="EY43" i="4"/>
  <c r="EY47" i="4" s="1"/>
  <c r="EY71" i="4" s="1"/>
  <c r="DQ230" i="7"/>
  <c r="DQ231" i="7" s="1"/>
  <c r="EK234" i="7"/>
  <c r="FK218" i="7"/>
  <c r="FK43" i="7"/>
  <c r="FK47" i="7" s="1"/>
  <c r="FK71" i="7" s="1"/>
  <c r="AO81" i="1"/>
  <c r="EW72" i="4"/>
  <c r="AA219" i="1"/>
  <c r="AA87" i="1"/>
  <c r="AJ87" i="4"/>
  <c r="P71" i="4"/>
  <c r="P72" i="4" s="1"/>
  <c r="W218" i="1"/>
  <c r="AA178" i="1"/>
  <c r="AA146" i="1"/>
  <c r="AA29" i="1"/>
  <c r="DG72" i="4"/>
  <c r="FI230" i="7"/>
  <c r="FI231" i="7" s="1"/>
  <c r="AA227" i="1"/>
  <c r="CC234" i="7"/>
  <c r="AI43" i="7"/>
  <c r="AI47" i="7" s="1"/>
  <c r="AI71" i="7" s="1"/>
  <c r="AM88" i="1"/>
  <c r="AM87" i="1" s="1"/>
  <c r="AG43" i="7"/>
  <c r="AG47" i="7" s="1"/>
  <c r="AG71" i="7" s="1"/>
  <c r="AG70" i="7"/>
  <c r="AI75" i="7"/>
  <c r="AO41" i="4"/>
  <c r="AK43" i="7"/>
  <c r="AK47" i="7" s="1"/>
  <c r="AK71" i="7" s="1"/>
  <c r="AK41" i="1"/>
  <c r="AL43" i="7"/>
  <c r="AK91" i="1"/>
  <c r="AA38" i="1"/>
  <c r="AA205" i="1"/>
  <c r="FD43" i="4"/>
  <c r="FD47" i="4" s="1"/>
  <c r="FD71" i="4" s="1"/>
  <c r="FD72" i="4" s="1"/>
  <c r="BE249" i="7"/>
  <c r="BE250" i="7" s="1"/>
  <c r="AK99" i="1"/>
  <c r="AA129" i="1"/>
  <c r="AK80" i="1"/>
  <c r="AA76" i="1"/>
  <c r="CX249" i="7"/>
  <c r="CX250" i="7" s="1"/>
  <c r="AA187" i="1"/>
  <c r="AA182" i="1"/>
  <c r="FJ230" i="7"/>
  <c r="FJ231" i="7" s="1"/>
  <c r="AA164" i="1"/>
  <c r="FI156" i="4"/>
  <c r="AA214" i="1"/>
  <c r="AA209" i="1"/>
  <c r="DS233" i="7"/>
  <c r="DS234" i="7" s="1"/>
  <c r="X231" i="7"/>
  <c r="AK33" i="1"/>
  <c r="AK97" i="1"/>
  <c r="DQ75" i="4"/>
  <c r="DQ230" i="4" s="1"/>
  <c r="DQ231" i="4" s="1"/>
  <c r="AK70" i="7"/>
  <c r="AK194" i="1"/>
  <c r="CU249" i="7"/>
  <c r="CU250" i="7" s="1"/>
  <c r="AK224" i="1"/>
  <c r="AK178" i="4"/>
  <c r="AA150" i="1"/>
  <c r="AK84" i="1"/>
  <c r="AK96" i="1"/>
  <c r="DQ47" i="4"/>
  <c r="AK113" i="1"/>
  <c r="AK244" i="1"/>
  <c r="AK195" i="1"/>
  <c r="AK190" i="1"/>
  <c r="AK100" i="1"/>
  <c r="AK180" i="1"/>
  <c r="EY230" i="7"/>
  <c r="EY231" i="7" s="1"/>
  <c r="AK102" i="1"/>
  <c r="AK216" i="1"/>
  <c r="AK92" i="1"/>
  <c r="AK186" i="1"/>
  <c r="AK245" i="1"/>
  <c r="AK203" i="1"/>
  <c r="AO245" i="4"/>
  <c r="R231" i="7"/>
  <c r="DU230" i="7"/>
  <c r="DU231" i="7" s="1"/>
  <c r="AO186" i="4"/>
  <c r="AA193" i="1"/>
  <c r="FK214" i="4"/>
  <c r="AK75" i="7"/>
  <c r="AA60" i="1"/>
  <c r="ER231" i="4"/>
  <c r="FG43" i="4"/>
  <c r="AH31" i="1"/>
  <c r="AH29" i="1" s="1"/>
  <c r="AH70" i="1" s="1"/>
  <c r="AI70" i="7"/>
  <c r="AO113" i="4"/>
  <c r="FA43" i="4"/>
  <c r="FA47" i="4" s="1"/>
  <c r="FA71" i="4" s="1"/>
  <c r="FA72" i="4" s="1"/>
  <c r="Q71" i="4"/>
  <c r="Q72" i="4" s="1"/>
  <c r="AK32" i="1"/>
  <c r="AK83" i="1"/>
  <c r="AK107" i="1"/>
  <c r="AK112" i="1"/>
  <c r="W71" i="7"/>
  <c r="AK160" i="1"/>
  <c r="AK170" i="1"/>
  <c r="AK40" i="1"/>
  <c r="AK93" i="1"/>
  <c r="AK211" i="1"/>
  <c r="AK108" i="1"/>
  <c r="AK98" i="1"/>
  <c r="AA223" i="1"/>
  <c r="AK215" i="1"/>
  <c r="AK166" i="1"/>
  <c r="AK171" i="1"/>
  <c r="AK213" i="1"/>
  <c r="FA230" i="7"/>
  <c r="FA231" i="7" s="1"/>
  <c r="AK214" i="4"/>
  <c r="AK246" i="1"/>
  <c r="AK202" i="1"/>
  <c r="ES72" i="4"/>
  <c r="AK185" i="1"/>
  <c r="AA172" i="1"/>
  <c r="W47" i="4"/>
  <c r="AK111" i="1"/>
  <c r="AK198" i="1"/>
  <c r="AO33" i="4"/>
  <c r="AK193" i="4"/>
  <c r="AA90" i="1"/>
  <c r="AK192" i="1"/>
  <c r="AK110" i="1"/>
  <c r="AK169" i="1"/>
  <c r="AK88" i="1"/>
  <c r="AK225" i="1"/>
  <c r="AK181" i="1"/>
  <c r="AK94" i="1"/>
  <c r="AK176" i="1"/>
  <c r="AK101" i="1"/>
  <c r="AK85" i="1"/>
  <c r="AK212" i="1"/>
  <c r="AK159" i="1"/>
  <c r="FG47" i="7"/>
  <c r="EX43" i="7"/>
  <c r="AK90" i="4"/>
  <c r="AK162" i="1"/>
  <c r="AK42" i="1"/>
  <c r="FD230" i="7"/>
  <c r="FD231" i="7" s="1"/>
  <c r="AK86" i="1"/>
  <c r="AK179" i="1"/>
  <c r="BM71" i="4"/>
  <c r="BM233" i="4" s="1"/>
  <c r="Z71" i="4"/>
  <c r="Z72" i="4" s="1"/>
  <c r="AK199" i="1"/>
  <c r="AA157" i="1"/>
  <c r="AK223" i="4"/>
  <c r="AO246" i="4"/>
  <c r="AK226" i="1"/>
  <c r="AK168" i="1"/>
  <c r="AL88" i="1"/>
  <c r="AL87" i="1" s="1"/>
  <c r="AK87" i="4"/>
  <c r="AA241" i="1"/>
  <c r="AA116" i="1"/>
  <c r="AK218" i="7"/>
  <c r="AK174" i="1"/>
  <c r="AK34" i="1"/>
  <c r="AK79" i="1"/>
  <c r="AK167" i="1"/>
  <c r="AK197" i="1"/>
  <c r="AK177" i="1"/>
  <c r="BM72" i="7"/>
  <c r="AK95" i="1"/>
  <c r="AK30" i="1"/>
  <c r="AK46" i="1"/>
  <c r="AK109" i="1"/>
  <c r="AK201" i="1"/>
  <c r="AK207" i="1"/>
  <c r="CE72" i="4"/>
  <c r="AK204" i="1"/>
  <c r="AK196" i="1"/>
  <c r="AK161" i="1"/>
  <c r="AK82" i="1"/>
  <c r="AK247" i="1"/>
  <c r="AK106" i="1"/>
  <c r="FF230" i="7"/>
  <c r="FF231" i="7" s="1"/>
  <c r="AA104" i="1"/>
  <c r="AO226" i="4"/>
  <c r="AK175" i="1"/>
  <c r="AK184" i="1"/>
  <c r="AK200" i="1"/>
  <c r="AK45" i="1"/>
  <c r="AK208" i="1"/>
  <c r="AK191" i="1"/>
  <c r="ES72" i="7"/>
  <c r="AK78" i="1"/>
  <c r="AK189" i="1"/>
  <c r="AK123" i="1"/>
  <c r="AK128" i="1"/>
  <c r="DC231" i="4"/>
  <c r="AK154" i="1"/>
  <c r="AK122" i="1"/>
  <c r="AK118" i="1"/>
  <c r="AK127" i="1"/>
  <c r="AK132" i="1"/>
  <c r="W231" i="7"/>
  <c r="AK121" i="1"/>
  <c r="AK120" i="1"/>
  <c r="AE115" i="7"/>
  <c r="AA138" i="1"/>
  <c r="FG230" i="7"/>
  <c r="EX230" i="7" s="1"/>
  <c r="AK135" i="1"/>
  <c r="DC249" i="7"/>
  <c r="AK144" i="1"/>
  <c r="DR231" i="7"/>
  <c r="DH231" i="7" s="1"/>
  <c r="AK145" i="1"/>
  <c r="AK136" i="1"/>
  <c r="AK115" i="7"/>
  <c r="Z233" i="7"/>
  <c r="Z249" i="7" s="1"/>
  <c r="Z250" i="7" s="1"/>
  <c r="AK131" i="1"/>
  <c r="AK124" i="1"/>
  <c r="AK143" i="1"/>
  <c r="AK141" i="1"/>
  <c r="AK142" i="1"/>
  <c r="AK152" i="1"/>
  <c r="AK125" i="1"/>
  <c r="AK119" i="1"/>
  <c r="AK140" i="1"/>
  <c r="AK126" i="1"/>
  <c r="AK153" i="1"/>
  <c r="AC115" i="7"/>
  <c r="BM249" i="7"/>
  <c r="AA133" i="1"/>
  <c r="AK149" i="1"/>
  <c r="AK137" i="1"/>
  <c r="CB234" i="7"/>
  <c r="DN231" i="7"/>
  <c r="BZ234" i="7"/>
  <c r="O233" i="7"/>
  <c r="O234" i="7" s="1"/>
  <c r="BX249" i="7"/>
  <c r="BX250" i="7" s="1"/>
  <c r="Q71" i="1"/>
  <c r="Q72" i="1" s="1"/>
  <c r="X71" i="1"/>
  <c r="X72" i="1" s="1"/>
  <c r="P71" i="1"/>
  <c r="P72" i="1" s="1"/>
  <c r="Y231" i="7"/>
  <c r="V231" i="7"/>
  <c r="BN249" i="7"/>
  <c r="BG234" i="7"/>
  <c r="BU234" i="7"/>
  <c r="DI233" i="7"/>
  <c r="DI234" i="7" s="1"/>
  <c r="BW231" i="4"/>
  <c r="BI249" i="7"/>
  <c r="BI250" i="7" s="1"/>
  <c r="CV249" i="7"/>
  <c r="CV250" i="7" s="1"/>
  <c r="DL233" i="7"/>
  <c r="DL249" i="7" s="1"/>
  <c r="DL250" i="7" s="1"/>
  <c r="EQ234" i="7"/>
  <c r="AN218" i="7"/>
  <c r="EU234" i="7"/>
  <c r="Y230" i="4"/>
  <c r="Y231" i="4" s="1"/>
  <c r="CX231" i="4"/>
  <c r="BK233" i="4"/>
  <c r="BK234" i="4" s="1"/>
  <c r="ET233" i="4"/>
  <c r="ER234" i="7"/>
  <c r="BF249" i="7"/>
  <c r="BF250" i="7" s="1"/>
  <c r="EM234" i="7"/>
  <c r="DA234" i="7"/>
  <c r="ET234" i="7"/>
  <c r="BJ249" i="7"/>
  <c r="BJ250" i="7" s="1"/>
  <c r="U71" i="4"/>
  <c r="U72" i="4" s="1"/>
  <c r="EV249" i="7"/>
  <c r="EV250" i="7" s="1"/>
  <c r="O71" i="4"/>
  <c r="O72" i="4" s="1"/>
  <c r="BK72" i="4"/>
  <c r="EQ234" i="4"/>
  <c r="EQ250" i="4"/>
  <c r="CW234" i="7"/>
  <c r="DJ231" i="7"/>
  <c r="AJ75" i="7"/>
  <c r="DS230" i="4"/>
  <c r="DS231" i="4" s="1"/>
  <c r="AE223" i="4"/>
  <c r="AE218" i="4" s="1"/>
  <c r="BV249" i="7"/>
  <c r="BV250" i="7" s="1"/>
  <c r="AI115" i="7"/>
  <c r="EP234" i="7"/>
  <c r="P231" i="7"/>
  <c r="FH230" i="7"/>
  <c r="FH231" i="7" s="1"/>
  <c r="S233" i="7"/>
  <c r="S234" i="7" s="1"/>
  <c r="EQ231" i="4"/>
  <c r="AM115" i="7"/>
  <c r="EY75" i="4"/>
  <c r="FH75" i="4"/>
  <c r="AM43" i="7"/>
  <c r="AM47" i="7" s="1"/>
  <c r="AM71" i="7" s="1"/>
  <c r="AM72" i="7" s="1"/>
  <c r="DO233" i="7"/>
  <c r="DO249" i="7" s="1"/>
  <c r="DO250" i="7" s="1"/>
  <c r="AN156" i="7"/>
  <c r="AJ156" i="7"/>
  <c r="FB230" i="7"/>
  <c r="FB233" i="7" s="1"/>
  <c r="FE230" i="7"/>
  <c r="FE231" i="7" s="1"/>
  <c r="EP233" i="4"/>
  <c r="R71" i="4"/>
  <c r="EZ230" i="7"/>
  <c r="EZ233" i="7" s="1"/>
  <c r="AN87" i="4"/>
  <c r="BJ233" i="4"/>
  <c r="BJ249" i="4" s="1"/>
  <c r="BJ250" i="4" s="1"/>
  <c r="EY70" i="4"/>
  <c r="AH87" i="4"/>
  <c r="EZ75" i="4"/>
  <c r="CW233" i="4"/>
  <c r="DS72" i="4"/>
  <c r="P230" i="4"/>
  <c r="P231" i="4" s="1"/>
  <c r="DT230" i="4"/>
  <c r="DT233" i="4" s="1"/>
  <c r="DT249" i="4" s="1"/>
  <c r="DN230" i="4"/>
  <c r="DN233" i="4" s="1"/>
  <c r="DN249" i="4" s="1"/>
  <c r="FE75" i="4"/>
  <c r="BN233" i="4"/>
  <c r="BN249" i="4" s="1"/>
  <c r="BN250" i="4" s="1"/>
  <c r="U71" i="1"/>
  <c r="U72" i="1" s="1"/>
  <c r="FJ75" i="4"/>
  <c r="FI43" i="4"/>
  <c r="FI47" i="4" s="1"/>
  <c r="FI71" i="4" s="1"/>
  <c r="FI72" i="4" s="1"/>
  <c r="DP230" i="4"/>
  <c r="DP231" i="4" s="1"/>
  <c r="FF156" i="4"/>
  <c r="AI151" i="1"/>
  <c r="AI150" i="1" s="1"/>
  <c r="DU75" i="4"/>
  <c r="FG156" i="4"/>
  <c r="EL233" i="4"/>
  <c r="FB75" i="4"/>
  <c r="EO233" i="4"/>
  <c r="DD231" i="4"/>
  <c r="DD233" i="4"/>
  <c r="DD249" i="4" s="1"/>
  <c r="FD75" i="4"/>
  <c r="DU218" i="4"/>
  <c r="FK209" i="4"/>
  <c r="Y71" i="4"/>
  <c r="EV233" i="4"/>
  <c r="DJ230" i="4"/>
  <c r="DJ233" i="4" s="1"/>
  <c r="DJ249" i="4" s="1"/>
  <c r="DJ72" i="4"/>
  <c r="CV233" i="4"/>
  <c r="X230" i="4"/>
  <c r="X231" i="4" s="1"/>
  <c r="FF115" i="4"/>
  <c r="BG231" i="4"/>
  <c r="FB43" i="4"/>
  <c r="FB47" i="4" s="1"/>
  <c r="FB71" i="4" s="1"/>
  <c r="FB72" i="4" s="1"/>
  <c r="FK129" i="4"/>
  <c r="BU233" i="4"/>
  <c r="FH43" i="4"/>
  <c r="FH47" i="4" s="1"/>
  <c r="FH71" i="4" s="1"/>
  <c r="FH72" i="4" s="1"/>
  <c r="FG75" i="4"/>
  <c r="FF43" i="4"/>
  <c r="FF47" i="4" s="1"/>
  <c r="FF71" i="4" s="1"/>
  <c r="FF72" i="4" s="1"/>
  <c r="EZ43" i="4"/>
  <c r="EZ47" i="4" s="1"/>
  <c r="EZ71" i="4" s="1"/>
  <c r="EZ72" i="4" s="1"/>
  <c r="O230" i="4"/>
  <c r="FK178" i="4"/>
  <c r="AD218" i="1"/>
  <c r="BO233" i="4"/>
  <c r="BO234" i="4" s="1"/>
  <c r="V230" i="4"/>
  <c r="V231" i="4" s="1"/>
  <c r="FC43" i="4"/>
  <c r="FC47" i="4" s="1"/>
  <c r="FC71" i="4" s="1"/>
  <c r="FC72" i="4" s="1"/>
  <c r="DL230" i="4"/>
  <c r="DL231" i="4" s="1"/>
  <c r="DK230" i="4"/>
  <c r="DK231" i="4" s="1"/>
  <c r="U230" i="4"/>
  <c r="U231" i="4" s="1"/>
  <c r="Z230" i="4"/>
  <c r="V71" i="1"/>
  <c r="V72" i="1" s="1"/>
  <c r="O58" i="1"/>
  <c r="Z71" i="1"/>
  <c r="Z72" i="1" s="1"/>
  <c r="W70" i="1"/>
  <c r="W156" i="1"/>
  <c r="R230" i="1"/>
  <c r="R231" i="1" s="1"/>
  <c r="W58" i="1"/>
  <c r="T71" i="1"/>
  <c r="T72" i="1" s="1"/>
  <c r="R71" i="1"/>
  <c r="V230" i="1"/>
  <c r="V231" i="1" s="1"/>
  <c r="W6" i="1"/>
  <c r="AA13" i="1"/>
  <c r="O218" i="1"/>
  <c r="W75" i="1"/>
  <c r="W115" i="1"/>
  <c r="O43" i="1"/>
  <c r="O47" i="1" s="1"/>
  <c r="W43" i="1"/>
  <c r="S71" i="4"/>
  <c r="S72" i="4" s="1"/>
  <c r="T71" i="4"/>
  <c r="T72" i="4" s="1"/>
  <c r="V71" i="4"/>
  <c r="V72" i="4" s="1"/>
  <c r="BL233" i="4"/>
  <c r="BL234" i="4" s="1"/>
  <c r="AI156" i="7"/>
  <c r="CA233" i="4"/>
  <c r="AL156" i="7"/>
  <c r="AB156" i="7" s="1"/>
  <c r="AO150" i="7"/>
  <c r="AK156" i="7"/>
  <c r="CE233" i="7"/>
  <c r="CE234" i="7" s="1"/>
  <c r="AC75" i="7"/>
  <c r="AM156" i="7"/>
  <c r="AO165" i="4"/>
  <c r="AO76" i="7"/>
  <c r="AE43" i="7"/>
  <c r="AE47" i="7" s="1"/>
  <c r="AE71" i="7" s="1"/>
  <c r="BV233" i="4"/>
  <c r="AD115" i="7"/>
  <c r="AG75" i="7"/>
  <c r="BS233" i="4"/>
  <c r="CC233" i="4"/>
  <c r="AE156" i="7"/>
  <c r="AE75" i="7"/>
  <c r="AO157" i="7"/>
  <c r="AL75" i="7"/>
  <c r="AB75" i="7" s="1"/>
  <c r="AN115" i="7"/>
  <c r="AO182" i="7"/>
  <c r="AD156" i="7"/>
  <c r="AO183" i="4"/>
  <c r="AO194" i="4"/>
  <c r="AC193" i="4"/>
  <c r="AM218" i="1"/>
  <c r="AO134" i="4"/>
  <c r="AO179" i="4"/>
  <c r="AM218" i="4"/>
  <c r="CE230" i="4"/>
  <c r="CE231" i="4" s="1"/>
  <c r="Y230" i="1"/>
  <c r="Y231" i="1" s="1"/>
  <c r="O75" i="1"/>
  <c r="P230" i="1"/>
  <c r="X230" i="1"/>
  <c r="X231" i="1" s="1"/>
  <c r="S230" i="1"/>
  <c r="S231" i="1" s="1"/>
  <c r="AE218" i="1"/>
  <c r="U230" i="1"/>
  <c r="U231" i="1" s="1"/>
  <c r="BQ231" i="7"/>
  <c r="BM231" i="4"/>
  <c r="DC234" i="7"/>
  <c r="AA230" i="7"/>
  <c r="AA233" i="7" s="1"/>
  <c r="BM234" i="7"/>
  <c r="AA218" i="4"/>
  <c r="DG231" i="7"/>
  <c r="EW233" i="7"/>
  <c r="EW234" i="7" s="1"/>
  <c r="DG230" i="4"/>
  <c r="DG231" i="4" s="1"/>
  <c r="AA58" i="1"/>
  <c r="EW230" i="4"/>
  <c r="EW231" i="4" s="1"/>
  <c r="AA43" i="4"/>
  <c r="AA47" i="4" s="1"/>
  <c r="AA71" i="4" s="1"/>
  <c r="DC233" i="4"/>
  <c r="DC249" i="4" s="1"/>
  <c r="BQ230" i="4"/>
  <c r="BQ231" i="4" s="1"/>
  <c r="AA156" i="4"/>
  <c r="X71" i="4"/>
  <c r="DK72" i="4"/>
  <c r="CU233" i="4"/>
  <c r="S71" i="1"/>
  <c r="S72" i="1" s="1"/>
  <c r="Y71" i="1"/>
  <c r="Y72" i="1" s="1"/>
  <c r="DT72" i="4"/>
  <c r="AO93" i="4"/>
  <c r="AC93" i="1"/>
  <c r="FC72" i="7"/>
  <c r="AC45" i="1"/>
  <c r="AO45" i="4"/>
  <c r="AJ172" i="4"/>
  <c r="AJ173" i="1"/>
  <c r="AJ172" i="1" s="1"/>
  <c r="AH223" i="4"/>
  <c r="AH218" i="4" s="1"/>
  <c r="AH224" i="1"/>
  <c r="AH223" i="1" s="1"/>
  <c r="AH218" i="1" s="1"/>
  <c r="AH138" i="4"/>
  <c r="AH139" i="1"/>
  <c r="AH138" i="1" s="1"/>
  <c r="EN249" i="7"/>
  <c r="EN250" i="7" s="1"/>
  <c r="EN234" i="7"/>
  <c r="AE116" i="4"/>
  <c r="AE117" i="1"/>
  <c r="AE116" i="1" s="1"/>
  <c r="AG70" i="1"/>
  <c r="AL209" i="4"/>
  <c r="AL210" i="1"/>
  <c r="AL209" i="1" s="1"/>
  <c r="AO189" i="4"/>
  <c r="AC189" i="1"/>
  <c r="AK187" i="4"/>
  <c r="AK188" i="1"/>
  <c r="AO180" i="4"/>
  <c r="AC180" i="1"/>
  <c r="AG70" i="4"/>
  <c r="AI133" i="4"/>
  <c r="AI134" i="1"/>
  <c r="AI133" i="1" s="1"/>
  <c r="AH43" i="7"/>
  <c r="AH47" i="7" s="1"/>
  <c r="AH71" i="7" s="1"/>
  <c r="AE150" i="4"/>
  <c r="AE151" i="1"/>
  <c r="AE150" i="1" s="1"/>
  <c r="AA75" i="4"/>
  <c r="Q230" i="1"/>
  <c r="Q231" i="1" s="1"/>
  <c r="AL150" i="4"/>
  <c r="AL151" i="1"/>
  <c r="AL150" i="1" s="1"/>
  <c r="AO190" i="4"/>
  <c r="AC190" i="1"/>
  <c r="AO211" i="4"/>
  <c r="AC211" i="1"/>
  <c r="ER250" i="4"/>
  <c r="ER234" i="4"/>
  <c r="FE72" i="7"/>
  <c r="BZ233" i="4"/>
  <c r="BZ249" i="4" s="1"/>
  <c r="FJ156" i="4"/>
  <c r="AE157" i="4"/>
  <c r="AE158" i="1"/>
  <c r="AE157" i="1" s="1"/>
  <c r="AO85" i="4"/>
  <c r="AC85" i="1"/>
  <c r="AO101" i="4"/>
  <c r="AC101" i="1"/>
  <c r="AG150" i="4"/>
  <c r="AG151" i="1"/>
  <c r="AG150" i="1" s="1"/>
  <c r="AA70" i="4"/>
  <c r="AC209" i="4"/>
  <c r="AO197" i="4"/>
  <c r="AC197" i="1"/>
  <c r="AD70" i="4"/>
  <c r="AJ157" i="4"/>
  <c r="AJ158" i="1"/>
  <c r="AJ157" i="1" s="1"/>
  <c r="AN241" i="4"/>
  <c r="AN242" i="1"/>
  <c r="AN241" i="1" s="1"/>
  <c r="AG104" i="4"/>
  <c r="AG105" i="1"/>
  <c r="AG104" i="1" s="1"/>
  <c r="DA231" i="4"/>
  <c r="DA233" i="4"/>
  <c r="DA249" i="4" s="1"/>
  <c r="AK172" i="4"/>
  <c r="AK173" i="1"/>
  <c r="AF209" i="4"/>
  <c r="AF210" i="1"/>
  <c r="AF209" i="1" s="1"/>
  <c r="AN187" i="4"/>
  <c r="AN188" i="1"/>
  <c r="AN187" i="1" s="1"/>
  <c r="FK223" i="4"/>
  <c r="FK219" i="4"/>
  <c r="DB249" i="7"/>
  <c r="DB250" i="7" s="1"/>
  <c r="DB234" i="7"/>
  <c r="AE164" i="4"/>
  <c r="AE165" i="1"/>
  <c r="AE164" i="1" s="1"/>
  <c r="AI223" i="4"/>
  <c r="AI218" i="4" s="1"/>
  <c r="AI224" i="1"/>
  <c r="AI223" i="1" s="1"/>
  <c r="AI218" i="1" s="1"/>
  <c r="AD104" i="4"/>
  <c r="AD105" i="1"/>
  <c r="AD104" i="1" s="1"/>
  <c r="AJ29" i="4"/>
  <c r="AJ31" i="1"/>
  <c r="AJ29" i="1" s="1"/>
  <c r="AO107" i="4"/>
  <c r="AC107" i="1"/>
  <c r="FK76" i="4"/>
  <c r="AL115" i="7"/>
  <c r="AB115" i="7" s="1"/>
  <c r="AN218" i="1"/>
  <c r="AN116" i="4"/>
  <c r="AN117" i="1"/>
  <c r="AN116" i="1" s="1"/>
  <c r="DB231" i="4"/>
  <c r="DB233" i="4"/>
  <c r="DB249" i="4" s="1"/>
  <c r="AO160" i="4"/>
  <c r="AC160" i="1"/>
  <c r="S230" i="4"/>
  <c r="S231" i="4" s="1"/>
  <c r="FC75" i="4"/>
  <c r="FK90" i="4"/>
  <c r="AO158" i="4"/>
  <c r="AK116" i="4"/>
  <c r="AK117" i="1"/>
  <c r="AJ90" i="4"/>
  <c r="AJ91" i="1"/>
  <c r="AJ90" i="1" s="1"/>
  <c r="EZ115" i="4"/>
  <c r="AO164" i="7"/>
  <c r="AK104" i="4"/>
  <c r="AK105" i="1"/>
  <c r="DU115" i="4"/>
  <c r="AO90" i="7"/>
  <c r="FK146" i="4"/>
  <c r="AM116" i="4"/>
  <c r="AM117" i="1"/>
  <c r="AM116" i="1" s="1"/>
  <c r="O70" i="1"/>
  <c r="AD209" i="4"/>
  <c r="AD210" i="1"/>
  <c r="AD209" i="1" s="1"/>
  <c r="Q233" i="7"/>
  <c r="Q231" i="7"/>
  <c r="AO177" i="4"/>
  <c r="AC177" i="1"/>
  <c r="AM129" i="4"/>
  <c r="AM130" i="1"/>
  <c r="AM129" i="1" s="1"/>
  <c r="FG70" i="4"/>
  <c r="AN182" i="4"/>
  <c r="AN183" i="1"/>
  <c r="AN182" i="1" s="1"/>
  <c r="AO129" i="7"/>
  <c r="AJ76" i="4"/>
  <c r="AJ77" i="1"/>
  <c r="AJ76" i="1" s="1"/>
  <c r="AL129" i="4"/>
  <c r="AL130" i="1"/>
  <c r="AL129" i="1" s="1"/>
  <c r="FK156" i="7"/>
  <c r="FK38" i="4"/>
  <c r="AO98" i="4"/>
  <c r="AC98" i="1"/>
  <c r="FC115" i="4"/>
  <c r="AO136" i="4"/>
  <c r="AC136" i="1"/>
  <c r="AD187" i="4"/>
  <c r="AD188" i="1"/>
  <c r="AD187" i="1" s="1"/>
  <c r="AG87" i="4"/>
  <c r="AG88" i="1"/>
  <c r="AG87" i="1" s="1"/>
  <c r="BQ249" i="7"/>
  <c r="BQ250" i="7" s="1"/>
  <c r="BQ234" i="7"/>
  <c r="AI157" i="4"/>
  <c r="AI158" i="1"/>
  <c r="AI157" i="1" s="1"/>
  <c r="BP231" i="4"/>
  <c r="BP233" i="4"/>
  <c r="AL223" i="4"/>
  <c r="AL218" i="4" s="1"/>
  <c r="AL224" i="1"/>
  <c r="AL223" i="1" s="1"/>
  <c r="AL218" i="1" s="1"/>
  <c r="AN133" i="4"/>
  <c r="AN134" i="1"/>
  <c r="AN133" i="1" s="1"/>
  <c r="AF70" i="1"/>
  <c r="FI72" i="7"/>
  <c r="AO209" i="7"/>
  <c r="AO100" i="4"/>
  <c r="AC100" i="1"/>
  <c r="AG164" i="4"/>
  <c r="AG165" i="1"/>
  <c r="AG164" i="1" s="1"/>
  <c r="AM157" i="4"/>
  <c r="AM158" i="1"/>
  <c r="AM157" i="1" s="1"/>
  <c r="EO249" i="7"/>
  <c r="EO250" i="7" s="1"/>
  <c r="EO234" i="7"/>
  <c r="AE76" i="4"/>
  <c r="AE77" i="1"/>
  <c r="AE76" i="1" s="1"/>
  <c r="AF164" i="4"/>
  <c r="AF165" i="1"/>
  <c r="AF164" i="1" s="1"/>
  <c r="DI230" i="4"/>
  <c r="DI231" i="4" s="1"/>
  <c r="AH205" i="4"/>
  <c r="AH206" i="1"/>
  <c r="AH205" i="1" s="1"/>
  <c r="DF249" i="7"/>
  <c r="DF250" i="7" s="1"/>
  <c r="DF234" i="7"/>
  <c r="AK133" i="4"/>
  <c r="AK134" i="1"/>
  <c r="ES231" i="4"/>
  <c r="ES233" i="4"/>
  <c r="ES249" i="4" s="1"/>
  <c r="AI241" i="4"/>
  <c r="AI242" i="1"/>
  <c r="AI241" i="1" s="1"/>
  <c r="AN150" i="4"/>
  <c r="AN151" i="1"/>
  <c r="AN150" i="1" s="1"/>
  <c r="AF115" i="7"/>
  <c r="AK150" i="4"/>
  <c r="AK151" i="1"/>
  <c r="W230" i="4"/>
  <c r="AO121" i="4"/>
  <c r="AC121" i="1"/>
  <c r="AK209" i="4"/>
  <c r="AK210" i="1"/>
  <c r="AI138" i="4"/>
  <c r="AI139" i="1"/>
  <c r="AI138" i="1" s="1"/>
  <c r="BW234" i="7"/>
  <c r="BW249" i="7"/>
  <c r="BW250" i="7" s="1"/>
  <c r="AK29" i="4"/>
  <c r="AK31" i="1"/>
  <c r="P249" i="7"/>
  <c r="P250" i="7" s="1"/>
  <c r="P234" i="7"/>
  <c r="DM233" i="7"/>
  <c r="AI129" i="4"/>
  <c r="AI130" i="1"/>
  <c r="AI129" i="1" s="1"/>
  <c r="AO243" i="4"/>
  <c r="AC243" i="1"/>
  <c r="AO243" i="1" s="1"/>
  <c r="AO77" i="4"/>
  <c r="AC76" i="4"/>
  <c r="AC77" i="1"/>
  <c r="AE214" i="4"/>
  <c r="AE215" i="1"/>
  <c r="AE214" i="1" s="1"/>
  <c r="AM76" i="4"/>
  <c r="AM77" i="1"/>
  <c r="AM76" i="1" s="1"/>
  <c r="AO91" i="4"/>
  <c r="AC90" i="4"/>
  <c r="AC91" i="1"/>
  <c r="AI164" i="4"/>
  <c r="AI165" i="1"/>
  <c r="AI164" i="1" s="1"/>
  <c r="AM164" i="4"/>
  <c r="AM165" i="1"/>
  <c r="AM164" i="1" s="1"/>
  <c r="AO204" i="4"/>
  <c r="AC204" i="1"/>
  <c r="AN104" i="4"/>
  <c r="AN105" i="1"/>
  <c r="AN104" i="1" s="1"/>
  <c r="DE231" i="4"/>
  <c r="DE233" i="4"/>
  <c r="DE249" i="4" s="1"/>
  <c r="O115" i="1"/>
  <c r="BQ72" i="4"/>
  <c r="AO86" i="4"/>
  <c r="AC86" i="1"/>
  <c r="AJ223" i="4"/>
  <c r="AJ218" i="4" s="1"/>
  <c r="AJ224" i="1"/>
  <c r="AJ223" i="1" s="1"/>
  <c r="AJ218" i="1" s="1"/>
  <c r="FK150" i="4"/>
  <c r="AK241" i="4"/>
  <c r="AK242" i="1"/>
  <c r="AO210" i="4"/>
  <c r="BH233" i="4"/>
  <c r="ES249" i="7"/>
  <c r="ES234" i="7"/>
  <c r="AC241" i="4"/>
  <c r="AO242" i="4"/>
  <c r="AC242" i="1"/>
  <c r="AC39" i="1"/>
  <c r="AO39" i="4"/>
  <c r="AC38" i="4"/>
  <c r="CA249" i="7"/>
  <c r="CA250" i="7" s="1"/>
  <c r="CA234" i="7"/>
  <c r="AO148" i="4"/>
  <c r="AC148" i="1"/>
  <c r="AO148" i="1" s="1"/>
  <c r="AF76" i="4"/>
  <c r="AF77" i="1"/>
  <c r="AF76" i="1" s="1"/>
  <c r="AD90" i="4"/>
  <c r="AD91" i="1"/>
  <c r="AD90" i="1" s="1"/>
  <c r="AF205" i="4"/>
  <c r="AF206" i="1"/>
  <c r="AF205" i="1" s="1"/>
  <c r="EY115" i="4"/>
  <c r="FJ43" i="4"/>
  <c r="FJ47" i="4" s="1"/>
  <c r="FJ71" i="4" s="1"/>
  <c r="AF38" i="4"/>
  <c r="AF43" i="4" s="1"/>
  <c r="AF47" i="4" s="1"/>
  <c r="AF71" i="4" s="1"/>
  <c r="AF39" i="1"/>
  <c r="AF38" i="1" s="1"/>
  <c r="AF43" i="1" s="1"/>
  <c r="AF47" i="1" s="1"/>
  <c r="AF71" i="1" s="1"/>
  <c r="AN218" i="4"/>
  <c r="AO141" i="4"/>
  <c r="AC141" i="1"/>
  <c r="AO144" i="4"/>
  <c r="AC144" i="1"/>
  <c r="AD133" i="4"/>
  <c r="AD134" i="1"/>
  <c r="AD133" i="1" s="1"/>
  <c r="AD150" i="4"/>
  <c r="AD151" i="1"/>
  <c r="AD150" i="1" s="1"/>
  <c r="FJ115" i="4"/>
  <c r="AO199" i="4"/>
  <c r="AC199" i="1"/>
  <c r="DR230" i="4"/>
  <c r="DR231" i="4" s="1"/>
  <c r="AF193" i="4"/>
  <c r="AF194" i="1"/>
  <c r="AF193" i="1" s="1"/>
  <c r="AC146" i="4"/>
  <c r="AO147" i="4"/>
  <c r="AC147" i="1"/>
  <c r="AC157" i="4"/>
  <c r="BL249" i="7"/>
  <c r="BL250" i="7" s="1"/>
  <c r="BL234" i="7"/>
  <c r="AO161" i="4"/>
  <c r="AC161" i="1"/>
  <c r="FG115" i="4"/>
  <c r="T233" i="7"/>
  <c r="FK75" i="7"/>
  <c r="AK39" i="1"/>
  <c r="AK38" i="4"/>
  <c r="O6" i="1"/>
  <c r="AK164" i="4"/>
  <c r="AK165" i="1"/>
  <c r="FI115" i="4"/>
  <c r="AO38" i="7"/>
  <c r="Y249" i="7"/>
  <c r="Y250" i="7" s="1"/>
  <c r="Y234" i="7"/>
  <c r="AO159" i="4"/>
  <c r="AC159" i="1"/>
  <c r="AO145" i="4"/>
  <c r="AC145" i="1"/>
  <c r="AC172" i="4"/>
  <c r="AO173" i="4"/>
  <c r="AC173" i="1"/>
  <c r="AE31" i="1"/>
  <c r="AE29" i="1" s="1"/>
  <c r="AE70" i="1" s="1"/>
  <c r="AE29" i="4"/>
  <c r="AH146" i="4"/>
  <c r="AH147" i="1"/>
  <c r="AH146" i="1" s="1"/>
  <c r="AN172" i="4"/>
  <c r="AN173" i="1"/>
  <c r="AN172" i="1" s="1"/>
  <c r="FF75" i="4"/>
  <c r="AC104" i="4"/>
  <c r="AO105" i="4"/>
  <c r="AC105" i="1"/>
  <c r="AN178" i="4"/>
  <c r="AN179" i="1"/>
  <c r="AN178" i="1" s="1"/>
  <c r="AF187" i="4"/>
  <c r="AF188" i="1"/>
  <c r="AF187" i="1" s="1"/>
  <c r="AO84" i="4"/>
  <c r="AC84" i="1"/>
  <c r="AF157" i="4"/>
  <c r="AF158" i="1"/>
  <c r="AF157" i="1" s="1"/>
  <c r="AO78" i="4"/>
  <c r="AC78" i="1"/>
  <c r="AL241" i="4"/>
  <c r="AL242" i="1"/>
  <c r="AL241" i="1" s="1"/>
  <c r="AJ129" i="4"/>
  <c r="AJ130" i="1"/>
  <c r="AJ129" i="1" s="1"/>
  <c r="AO138" i="7"/>
  <c r="BW250" i="4"/>
  <c r="BW234" i="4"/>
  <c r="AM146" i="4"/>
  <c r="AM147" i="1"/>
  <c r="AM146" i="1" s="1"/>
  <c r="DK233" i="7"/>
  <c r="AN70" i="4"/>
  <c r="AL187" i="4"/>
  <c r="AL188" i="1"/>
  <c r="AL187" i="1" s="1"/>
  <c r="FK193" i="4"/>
  <c r="EL249" i="7"/>
  <c r="EL250" i="7" s="1"/>
  <c r="EL234" i="7"/>
  <c r="AO149" i="4"/>
  <c r="AC149" i="1"/>
  <c r="AC138" i="4"/>
  <c r="AO139" i="4"/>
  <c r="AC139" i="1"/>
  <c r="DO72" i="4"/>
  <c r="FE156" i="4"/>
  <c r="AO187" i="7"/>
  <c r="AF214" i="4"/>
  <c r="AF215" i="1"/>
  <c r="AF214" i="1" s="1"/>
  <c r="AD129" i="4"/>
  <c r="AD130" i="1"/>
  <c r="AD129" i="1" s="1"/>
  <c r="AM172" i="4"/>
  <c r="AM173" i="1"/>
  <c r="AM172" i="1" s="1"/>
  <c r="AK182" i="4"/>
  <c r="AK183" i="1"/>
  <c r="AO184" i="4"/>
  <c r="AC184" i="1"/>
  <c r="AO124" i="4"/>
  <c r="AC124" i="1"/>
  <c r="AH209" i="4"/>
  <c r="AH210" i="1"/>
  <c r="AH209" i="1" s="1"/>
  <c r="DE249" i="7"/>
  <c r="DE250" i="7" s="1"/>
  <c r="DE234" i="7"/>
  <c r="FK138" i="4"/>
  <c r="AO208" i="4"/>
  <c r="AC208" i="1"/>
  <c r="AJ150" i="4"/>
  <c r="AJ151" i="1"/>
  <c r="AJ150" i="1" s="1"/>
  <c r="AO153" i="4"/>
  <c r="AC153" i="1"/>
  <c r="AH76" i="4"/>
  <c r="AH77" i="1"/>
  <c r="AH76" i="1" s="1"/>
  <c r="AI90" i="4"/>
  <c r="AI91" i="1"/>
  <c r="AI90" i="1" s="1"/>
  <c r="AE104" i="4"/>
  <c r="AE105" i="1"/>
  <c r="AE104" i="1" s="1"/>
  <c r="FC230" i="7"/>
  <c r="FC231" i="7" s="1"/>
  <c r="AI146" i="4"/>
  <c r="AI147" i="1"/>
  <c r="AI146" i="1" s="1"/>
  <c r="AM209" i="4"/>
  <c r="AM210" i="1"/>
  <c r="AM209" i="1" s="1"/>
  <c r="AO224" i="4"/>
  <c r="AC223" i="4"/>
  <c r="AC218" i="4" s="1"/>
  <c r="AC224" i="1"/>
  <c r="AC129" i="4"/>
  <c r="AO130" i="4"/>
  <c r="AO129" i="4" s="1"/>
  <c r="AC130" i="1"/>
  <c r="AC87" i="4"/>
  <c r="AO88" i="4"/>
  <c r="AO87" i="4" s="1"/>
  <c r="AC88" i="1"/>
  <c r="AJ214" i="4"/>
  <c r="AJ215" i="1"/>
  <c r="AJ214" i="1" s="1"/>
  <c r="FJ72" i="7"/>
  <c r="AC42" i="1"/>
  <c r="AO42" i="4"/>
  <c r="AO154" i="4"/>
  <c r="AC154" i="1"/>
  <c r="DF231" i="4"/>
  <c r="DF233" i="4"/>
  <c r="DF249" i="4" s="1"/>
  <c r="AD43" i="7"/>
  <c r="AD47" i="7" s="1"/>
  <c r="AD71" i="7" s="1"/>
  <c r="AD70" i="7"/>
  <c r="AO196" i="4"/>
  <c r="AC196" i="1"/>
  <c r="AI31" i="1"/>
  <c r="AI29" i="1" s="1"/>
  <c r="AI29" i="4"/>
  <c r="AG116" i="4"/>
  <c r="AG117" i="1"/>
  <c r="AG116" i="1" s="1"/>
  <c r="DN249" i="7"/>
  <c r="DN250" i="7" s="1"/>
  <c r="DN234" i="7"/>
  <c r="DJ234" i="7"/>
  <c r="DJ249" i="7"/>
  <c r="DJ250" i="7" s="1"/>
  <c r="BT233" i="4"/>
  <c r="BT249" i="4" s="1"/>
  <c r="BT231" i="4"/>
  <c r="AO102" i="4"/>
  <c r="AC102" i="1"/>
  <c r="FK116" i="4"/>
  <c r="AD172" i="4"/>
  <c r="AD173" i="1"/>
  <c r="AD172" i="1" s="1"/>
  <c r="AH129" i="4"/>
  <c r="AH130" i="1"/>
  <c r="AH129" i="1" s="1"/>
  <c r="CD234" i="7"/>
  <c r="CD249" i="7"/>
  <c r="CD250" i="7" s="1"/>
  <c r="AJ205" i="4"/>
  <c r="AJ206" i="1"/>
  <c r="AJ205" i="1" s="1"/>
  <c r="AO31" i="4"/>
  <c r="AC29" i="4"/>
  <c r="AC31" i="1"/>
  <c r="BT249" i="7"/>
  <c r="BT250" i="7" s="1"/>
  <c r="BT234" i="7"/>
  <c r="AO108" i="4"/>
  <c r="AC108" i="1"/>
  <c r="AG146" i="4"/>
  <c r="AG147" i="1"/>
  <c r="AG146" i="1" s="1"/>
  <c r="BS234" i="7"/>
  <c r="BS249" i="7"/>
  <c r="BS250" i="7" s="1"/>
  <c r="AE241" i="4"/>
  <c r="AE242" i="1"/>
  <c r="AE241" i="1" s="1"/>
  <c r="AO212" i="4"/>
  <c r="AC212" i="1"/>
  <c r="AE87" i="4"/>
  <c r="AE88" i="1"/>
  <c r="AE87" i="1" s="1"/>
  <c r="FD115" i="4"/>
  <c r="AJ115" i="7"/>
  <c r="AO188" i="4"/>
  <c r="AC187" i="4"/>
  <c r="AC188" i="1"/>
  <c r="EM233" i="4"/>
  <c r="EM249" i="4" s="1"/>
  <c r="EM231" i="4"/>
  <c r="AO120" i="4"/>
  <c r="AC120" i="1"/>
  <c r="AO143" i="4"/>
  <c r="AC143" i="1"/>
  <c r="AM90" i="4"/>
  <c r="AM91" i="1"/>
  <c r="AM90" i="1" s="1"/>
  <c r="AE70" i="7"/>
  <c r="R230" i="4"/>
  <c r="R231" i="4" s="1"/>
  <c r="AH187" i="4"/>
  <c r="AH188" i="1"/>
  <c r="AH187" i="1" s="1"/>
  <c r="AE205" i="4"/>
  <c r="AE206" i="1"/>
  <c r="AE205" i="1" s="1"/>
  <c r="AD76" i="4"/>
  <c r="AD77" i="1"/>
  <c r="AD76" i="1" s="1"/>
  <c r="CB233" i="4"/>
  <c r="CB249" i="4" s="1"/>
  <c r="AO214" i="7"/>
  <c r="FB72" i="7"/>
  <c r="AO202" i="4"/>
  <c r="AC202" i="1"/>
  <c r="AD157" i="4"/>
  <c r="AD158" i="1"/>
  <c r="AD157" i="1" s="1"/>
  <c r="FK172" i="4"/>
  <c r="AN75" i="7"/>
  <c r="AF116" i="4"/>
  <c r="AF117" i="1"/>
  <c r="AF116" i="1" s="1"/>
  <c r="AI39" i="1"/>
  <c r="AI38" i="1" s="1"/>
  <c r="AI38" i="4"/>
  <c r="FK104" i="4"/>
  <c r="AC205" i="4"/>
  <c r="AO206" i="4"/>
  <c r="AC206" i="1"/>
  <c r="FH72" i="7"/>
  <c r="FB156" i="4"/>
  <c r="AF90" i="4"/>
  <c r="AF91" i="1"/>
  <c r="AF90" i="1" s="1"/>
  <c r="BP249" i="7"/>
  <c r="BP250" i="7" s="1"/>
  <c r="BP234" i="7"/>
  <c r="AO109" i="4"/>
  <c r="AC109" i="1"/>
  <c r="AO118" i="4"/>
  <c r="AC118" i="1"/>
  <c r="AD146" i="4"/>
  <c r="AD147" i="1"/>
  <c r="AD146" i="1" s="1"/>
  <c r="EK233" i="4"/>
  <c r="EK249" i="4" s="1"/>
  <c r="CY249" i="7"/>
  <c r="CY250" i="7" s="1"/>
  <c r="CY234" i="7"/>
  <c r="BO249" i="7"/>
  <c r="BO250" i="7" s="1"/>
  <c r="BO234" i="7"/>
  <c r="AO122" i="4"/>
  <c r="AC122" i="1"/>
  <c r="CY231" i="4"/>
  <c r="CY233" i="4"/>
  <c r="CY249" i="4" s="1"/>
  <c r="AH193" i="4"/>
  <c r="AH194" i="1"/>
  <c r="AH193" i="1" s="1"/>
  <c r="AH115" i="7"/>
  <c r="AN164" i="4"/>
  <c r="AN165" i="1"/>
  <c r="AN164" i="1" s="1"/>
  <c r="AE146" i="4"/>
  <c r="AE147" i="1"/>
  <c r="AE146" i="1" s="1"/>
  <c r="AG90" i="4"/>
  <c r="AG91" i="1"/>
  <c r="AG90" i="1" s="1"/>
  <c r="DP72" i="4"/>
  <c r="AK205" i="4"/>
  <c r="AK206" i="1"/>
  <c r="AN76" i="4"/>
  <c r="AN77" i="1"/>
  <c r="AN76" i="1" s="1"/>
  <c r="AN75" i="1" s="1"/>
  <c r="AA115" i="4"/>
  <c r="AK146" i="4"/>
  <c r="AK147" i="1"/>
  <c r="AO174" i="4"/>
  <c r="AC174" i="1"/>
  <c r="AL31" i="1"/>
  <c r="AL29" i="1" s="1"/>
  <c r="AL43" i="1" s="1"/>
  <c r="AL47" i="1" s="1"/>
  <c r="AL71" i="1" s="1"/>
  <c r="AL29" i="4"/>
  <c r="AL43" i="4" s="1"/>
  <c r="AL47" i="4" s="1"/>
  <c r="AL71" i="4" s="1"/>
  <c r="AO162" i="4"/>
  <c r="AC162" i="1"/>
  <c r="AO80" i="4"/>
  <c r="AC80" i="1"/>
  <c r="AG214" i="4"/>
  <c r="AG215" i="1"/>
  <c r="AG214" i="1" s="1"/>
  <c r="AO205" i="7"/>
  <c r="FA115" i="4"/>
  <c r="AE193" i="4"/>
  <c r="AE194" i="1"/>
  <c r="AE193" i="1" s="1"/>
  <c r="AH90" i="4"/>
  <c r="AH91" i="1"/>
  <c r="AH90" i="1" s="1"/>
  <c r="AJ38" i="4"/>
  <c r="AJ39" i="1"/>
  <c r="AJ38" i="1" s="1"/>
  <c r="BH249" i="7"/>
  <c r="BH250" i="7" s="1"/>
  <c r="BH234" i="7"/>
  <c r="EY72" i="7"/>
  <c r="AE187" i="4"/>
  <c r="AE188" i="1"/>
  <c r="AE187" i="1" s="1"/>
  <c r="AM31" i="1"/>
  <c r="AM29" i="1" s="1"/>
  <c r="AM43" i="1" s="1"/>
  <c r="AM47" i="1" s="1"/>
  <c r="AM71" i="1" s="1"/>
  <c r="AM29" i="4"/>
  <c r="AM70" i="4" s="1"/>
  <c r="AE133" i="4"/>
  <c r="AE134" i="1"/>
  <c r="AE133" i="1" s="1"/>
  <c r="BY231" i="4"/>
  <c r="BY233" i="4"/>
  <c r="BY249" i="4" s="1"/>
  <c r="AO171" i="4"/>
  <c r="AC171" i="1"/>
  <c r="DU43" i="4"/>
  <c r="DU47" i="4" s="1"/>
  <c r="DU71" i="4" s="1"/>
  <c r="DU70" i="4"/>
  <c r="AO46" i="4"/>
  <c r="AC46" i="1"/>
  <c r="AH70" i="4"/>
  <c r="FA156" i="4"/>
  <c r="T230" i="4"/>
  <c r="T231" i="4" s="1"/>
  <c r="DM72" i="4"/>
  <c r="AC178" i="4"/>
  <c r="DI72" i="4"/>
  <c r="AJ182" i="4"/>
  <c r="AJ183" i="1"/>
  <c r="AJ182" i="1" s="1"/>
  <c r="AJ138" i="4"/>
  <c r="AJ139" i="1"/>
  <c r="AJ138" i="1" s="1"/>
  <c r="DO230" i="4"/>
  <c r="AO223" i="7"/>
  <c r="AO219" i="7"/>
  <c r="FK157" i="4"/>
  <c r="EY156" i="4"/>
  <c r="AC44" i="1"/>
  <c r="AO44" i="1" s="1"/>
  <c r="AO44" i="4"/>
  <c r="AE172" i="4"/>
  <c r="AE173" i="1"/>
  <c r="AE172" i="1" s="1"/>
  <c r="AD75" i="7"/>
  <c r="AF75" i="7"/>
  <c r="AF156" i="7"/>
  <c r="AN157" i="4"/>
  <c r="AN158" i="1"/>
  <c r="AN157" i="1" s="1"/>
  <c r="AL116" i="4"/>
  <c r="AL117" i="1"/>
  <c r="AL116" i="1" s="1"/>
  <c r="FK29" i="4"/>
  <c r="DT233" i="7"/>
  <c r="FA75" i="4"/>
  <c r="AD214" i="4"/>
  <c r="AD215" i="1"/>
  <c r="AD214" i="1" s="1"/>
  <c r="AN43" i="7"/>
  <c r="AN47" i="7" s="1"/>
  <c r="AN71" i="7" s="1"/>
  <c r="AN72" i="7" s="1"/>
  <c r="AO128" i="4"/>
  <c r="AC128" i="1"/>
  <c r="AM241" i="4"/>
  <c r="AM242" i="1"/>
  <c r="AM241" i="1" s="1"/>
  <c r="AK138" i="4"/>
  <c r="AK139" i="1"/>
  <c r="AO97" i="4"/>
  <c r="AC97" i="1"/>
  <c r="AL178" i="4"/>
  <c r="AL179" i="1"/>
  <c r="AL178" i="1" s="1"/>
  <c r="FK164" i="4"/>
  <c r="Q230" i="4"/>
  <c r="Q231" i="4" s="1"/>
  <c r="AM205" i="4"/>
  <c r="AM206" i="1"/>
  <c r="AM205" i="1" s="1"/>
  <c r="AO104" i="7"/>
  <c r="AH39" i="1"/>
  <c r="AH38" i="1" s="1"/>
  <c r="AH38" i="4"/>
  <c r="AH43" i="4" s="1"/>
  <c r="AH47" i="4" s="1"/>
  <c r="AH71" i="4" s="1"/>
  <c r="AO127" i="4"/>
  <c r="AC127" i="1"/>
  <c r="FI75" i="4"/>
  <c r="AO198" i="4"/>
  <c r="AC198" i="1"/>
  <c r="DL72" i="4"/>
  <c r="AO241" i="7"/>
  <c r="AD178" i="4"/>
  <c r="AD179" i="1"/>
  <c r="AD178" i="1" s="1"/>
  <c r="EZ156" i="4"/>
  <c r="AF43" i="7"/>
  <c r="AF47" i="7" s="1"/>
  <c r="AF71" i="7" s="1"/>
  <c r="AF72" i="7" s="1"/>
  <c r="FK70" i="7"/>
  <c r="FB115" i="4"/>
  <c r="FE43" i="4"/>
  <c r="FE47" i="4" s="1"/>
  <c r="FE71" i="4" s="1"/>
  <c r="AL104" i="4"/>
  <c r="AL105" i="1"/>
  <c r="AL104" i="1" s="1"/>
  <c r="AN214" i="4"/>
  <c r="AN215" i="1"/>
  <c r="AN214" i="1" s="1"/>
  <c r="FK205" i="4"/>
  <c r="AO215" i="4"/>
  <c r="AO185" i="4"/>
  <c r="AC185" i="1"/>
  <c r="AH104" i="4"/>
  <c r="AH105" i="1"/>
  <c r="AH104" i="1" s="1"/>
  <c r="AD43" i="4"/>
  <c r="AD47" i="4" s="1"/>
  <c r="AD71" i="4" s="1"/>
  <c r="AO61" i="1"/>
  <c r="AO60" i="1" s="1"/>
  <c r="AC60" i="1"/>
  <c r="AI116" i="4"/>
  <c r="AI117" i="1"/>
  <c r="AI116" i="1" s="1"/>
  <c r="AA72" i="7"/>
  <c r="AO168" i="4"/>
  <c r="AC168" i="1"/>
  <c r="AO119" i="4"/>
  <c r="AC119" i="1"/>
  <c r="AD193" i="4"/>
  <c r="AD194" i="1"/>
  <c r="AD193" i="1" s="1"/>
  <c r="CZ233" i="4"/>
  <c r="CZ249" i="4" s="1"/>
  <c r="CZ231" i="4"/>
  <c r="AO244" i="4"/>
  <c r="AC244" i="1"/>
  <c r="AO82" i="4"/>
  <c r="AC82" i="1"/>
  <c r="EN231" i="4"/>
  <c r="EN233" i="4"/>
  <c r="EN249" i="4" s="1"/>
  <c r="AJ133" i="4"/>
  <c r="AJ134" i="1"/>
  <c r="AJ133" i="1" s="1"/>
  <c r="AG156" i="7"/>
  <c r="AG209" i="4"/>
  <c r="AG210" i="1"/>
  <c r="AG209" i="1" s="1"/>
  <c r="AF70" i="4"/>
  <c r="AJ104" i="4"/>
  <c r="AJ105" i="1"/>
  <c r="AJ104" i="1" s="1"/>
  <c r="AF133" i="4"/>
  <c r="AF134" i="1"/>
  <c r="AF133" i="1" s="1"/>
  <c r="AN209" i="4"/>
  <c r="AN210" i="1"/>
  <c r="AN209" i="1" s="1"/>
  <c r="DM230" i="4"/>
  <c r="DM231" i="4" s="1"/>
  <c r="AO170" i="4"/>
  <c r="AC170" i="1"/>
  <c r="AD70" i="1"/>
  <c r="FK115" i="7"/>
  <c r="FK182" i="4"/>
  <c r="AO167" i="4"/>
  <c r="AC167" i="1"/>
  <c r="T230" i="1"/>
  <c r="T231" i="1" s="1"/>
  <c r="AM133" i="4"/>
  <c r="AM134" i="1"/>
  <c r="AM133" i="1" s="1"/>
  <c r="AF223" i="4"/>
  <c r="AF218" i="4" s="1"/>
  <c r="AF224" i="1"/>
  <c r="AF223" i="1" s="1"/>
  <c r="AF218" i="1" s="1"/>
  <c r="AO146" i="7"/>
  <c r="AH156" i="7"/>
  <c r="O156" i="1"/>
  <c r="FA72" i="7"/>
  <c r="FH115" i="4"/>
  <c r="AF129" i="4"/>
  <c r="AF130" i="1"/>
  <c r="AF129" i="1" s="1"/>
  <c r="AO133" i="7"/>
  <c r="AO195" i="4"/>
  <c r="AC195" i="1"/>
  <c r="AM214" i="4"/>
  <c r="AM215" i="1"/>
  <c r="AM214" i="1" s="1"/>
  <c r="AG115" i="7"/>
  <c r="AO29" i="7"/>
  <c r="DU156" i="4"/>
  <c r="Z230" i="1"/>
  <c r="Z231" i="1" s="1"/>
  <c r="AH133" i="4"/>
  <c r="AH134" i="1"/>
  <c r="AH133" i="1" s="1"/>
  <c r="AO79" i="4"/>
  <c r="AC79" i="1"/>
  <c r="FK187" i="4"/>
  <c r="AO106" i="4"/>
  <c r="AC106" i="1"/>
  <c r="AI187" i="4"/>
  <c r="AI188" i="1"/>
  <c r="AI187" i="1" s="1"/>
  <c r="AC227" i="1"/>
  <c r="AO207" i="4"/>
  <c r="AC207" i="1"/>
  <c r="AE182" i="4"/>
  <c r="AE183" i="1"/>
  <c r="AE182" i="1" s="1"/>
  <c r="AL157" i="4"/>
  <c r="AL158" i="1"/>
  <c r="AL157" i="1" s="1"/>
  <c r="AO216" i="4"/>
  <c r="AC216" i="1"/>
  <c r="V249" i="7"/>
  <c r="V250" i="7" s="1"/>
  <c r="V234" i="7"/>
  <c r="AK129" i="4"/>
  <c r="AK130" i="1"/>
  <c r="AJ209" i="4"/>
  <c r="AJ210" i="1"/>
  <c r="AJ209" i="1" s="1"/>
  <c r="BF72" i="4"/>
  <c r="BF233" i="4"/>
  <c r="AI87" i="4"/>
  <c r="AI88" i="1"/>
  <c r="AI87" i="1" s="1"/>
  <c r="AM75" i="7"/>
  <c r="AO193" i="7"/>
  <c r="AG38" i="4"/>
  <c r="AG43" i="4" s="1"/>
  <c r="AG47" i="4" s="1"/>
  <c r="AG71" i="4" s="1"/>
  <c r="AG39" i="1"/>
  <c r="AG38" i="1" s="1"/>
  <c r="AG43" i="1" s="1"/>
  <c r="AG47" i="1" s="1"/>
  <c r="AG71" i="1" s="1"/>
  <c r="DG249" i="7"/>
  <c r="DG234" i="7"/>
  <c r="AC214" i="4"/>
  <c r="AD43" i="1"/>
  <c r="AD47" i="1" s="1"/>
  <c r="AD71" i="1" s="1"/>
  <c r="DP233" i="7"/>
  <c r="FE115" i="4"/>
  <c r="BK249" i="7"/>
  <c r="BK250" i="7" s="1"/>
  <c r="BK234" i="7"/>
  <c r="AN138" i="4"/>
  <c r="AN139" i="1"/>
  <c r="AN138" i="1" s="1"/>
  <c r="U231" i="7"/>
  <c r="U233" i="7"/>
  <c r="AE38" i="4"/>
  <c r="AE39" i="1"/>
  <c r="AE38" i="1" s="1"/>
  <c r="DR72" i="4"/>
  <c r="BI233" i="4"/>
  <c r="AL138" i="4"/>
  <c r="AL139" i="1"/>
  <c r="AL138" i="1" s="1"/>
  <c r="AF87" i="4"/>
  <c r="AF88" i="1"/>
  <c r="AF87" i="1" s="1"/>
  <c r="FD72" i="7"/>
  <c r="BE72" i="4"/>
  <c r="BE233" i="4"/>
  <c r="EU231" i="4"/>
  <c r="EU233" i="4"/>
  <c r="EU249" i="4" s="1"/>
  <c r="AO172" i="7"/>
  <c r="AO99" i="4"/>
  <c r="AC99" i="1"/>
  <c r="AO166" i="4"/>
  <c r="AC166" i="1"/>
  <c r="AG241" i="4"/>
  <c r="AG242" i="1"/>
  <c r="AG241" i="1" s="1"/>
  <c r="AO83" i="4"/>
  <c r="AC83" i="1"/>
  <c r="AC182" i="4"/>
  <c r="DR249" i="7"/>
  <c r="DR250" i="7" s="1"/>
  <c r="DR234" i="7"/>
  <c r="AK157" i="4"/>
  <c r="AK158" i="1"/>
  <c r="AG182" i="4"/>
  <c r="AG183" i="1"/>
  <c r="AG182" i="1" s="1"/>
  <c r="AF241" i="4"/>
  <c r="AF242" i="1"/>
  <c r="AF241" i="1" s="1"/>
  <c r="AC156" i="7"/>
  <c r="AO201" i="4"/>
  <c r="AC201" i="1"/>
  <c r="FD156" i="4"/>
  <c r="AG157" i="4"/>
  <c r="AG158" i="1"/>
  <c r="AG157" i="1" s="1"/>
  <c r="AC116" i="4"/>
  <c r="AO117" i="4"/>
  <c r="AC117" i="1"/>
  <c r="FF72" i="7"/>
  <c r="AC150" i="4"/>
  <c r="AO110" i="4"/>
  <c r="AC110" i="1"/>
  <c r="FC156" i="4"/>
  <c r="AM104" i="4"/>
  <c r="AM105" i="1"/>
  <c r="AM104" i="1" s="1"/>
  <c r="AH178" i="4"/>
  <c r="AH179" i="1"/>
  <c r="AH178" i="1" s="1"/>
  <c r="AL205" i="4"/>
  <c r="AL206" i="1"/>
  <c r="AL205" i="1" s="1"/>
  <c r="AL90" i="4"/>
  <c r="AL91" i="1"/>
  <c r="AL90" i="1" s="1"/>
  <c r="AF138" i="4"/>
  <c r="AF139" i="1"/>
  <c r="AF138" i="1" s="1"/>
  <c r="AO116" i="7"/>
  <c r="AO151" i="4"/>
  <c r="AO200" i="4"/>
  <c r="AC200" i="1"/>
  <c r="AO152" i="4"/>
  <c r="AC152" i="1"/>
  <c r="AC40" i="1"/>
  <c r="AO40" i="4"/>
  <c r="AO203" i="4"/>
  <c r="AC203" i="1"/>
  <c r="AN70" i="1"/>
  <c r="AC164" i="4"/>
  <c r="AC43" i="7"/>
  <c r="AC47" i="7" s="1"/>
  <c r="AC71" i="7" s="1"/>
  <c r="AC72" i="7" s="1"/>
  <c r="AG133" i="4"/>
  <c r="AG134" i="1"/>
  <c r="AG133" i="1" s="1"/>
  <c r="AO192" i="4"/>
  <c r="AC192" i="1"/>
  <c r="FK133" i="4"/>
  <c r="AC34" i="1"/>
  <c r="AO34" i="4"/>
  <c r="AI172" i="4"/>
  <c r="AI173" i="1"/>
  <c r="AI172" i="1" s="1"/>
  <c r="AO178" i="7"/>
  <c r="AO228" i="1"/>
  <c r="CZ234" i="7"/>
  <c r="CZ249" i="7"/>
  <c r="CZ250" i="7" s="1"/>
  <c r="AL182" i="4"/>
  <c r="AL183" i="1"/>
  <c r="AL182" i="1" s="1"/>
  <c r="AH164" i="4"/>
  <c r="AH165" i="1"/>
  <c r="AH164" i="1" s="1"/>
  <c r="AO32" i="4"/>
  <c r="AC32" i="1"/>
  <c r="FH156" i="4"/>
  <c r="AN39" i="1"/>
  <c r="AN38" i="1" s="1"/>
  <c r="AN43" i="1" s="1"/>
  <c r="AN47" i="1" s="1"/>
  <c r="AN71" i="1" s="1"/>
  <c r="AN38" i="4"/>
  <c r="AN43" i="4" s="1"/>
  <c r="AN47" i="4" s="1"/>
  <c r="AN71" i="4" s="1"/>
  <c r="AO125" i="4"/>
  <c r="AC125" i="1"/>
  <c r="AH241" i="4"/>
  <c r="AH242" i="1"/>
  <c r="AH241" i="1" s="1"/>
  <c r="AD87" i="4"/>
  <c r="AD88" i="1"/>
  <c r="AD87" i="1" s="1"/>
  <c r="CD233" i="4"/>
  <c r="CD249" i="4" s="1"/>
  <c r="R234" i="7"/>
  <c r="R249" i="7"/>
  <c r="R250" i="7" s="1"/>
  <c r="DU72" i="7"/>
  <c r="CX234" i="4"/>
  <c r="CX250" i="4"/>
  <c r="AF182" i="4"/>
  <c r="AF183" i="1"/>
  <c r="AF182" i="1" s="1"/>
  <c r="AO60" i="4"/>
  <c r="AL76" i="4"/>
  <c r="AL77" i="1"/>
  <c r="AL76" i="1" s="1"/>
  <c r="AN205" i="4"/>
  <c r="AN206" i="1"/>
  <c r="AN205" i="1" s="1"/>
  <c r="AK76" i="4"/>
  <c r="AK77" i="1"/>
  <c r="BX233" i="4"/>
  <c r="BX249" i="4" s="1"/>
  <c r="DD234" i="7"/>
  <c r="DD249" i="7"/>
  <c r="FK241" i="4"/>
  <c r="AO111" i="4"/>
  <c r="AC111" i="1"/>
  <c r="DH234" i="7" l="1"/>
  <c r="AL47" i="7"/>
  <c r="AB43" i="7"/>
  <c r="DD250" i="7"/>
  <c r="DH250" i="7" s="1"/>
  <c r="DH249" i="7"/>
  <c r="X72" i="7"/>
  <c r="BN250" i="7"/>
  <c r="BR250" i="7" s="1"/>
  <c r="BR249" i="7"/>
  <c r="X233" i="7"/>
  <c r="FJ233" i="7"/>
  <c r="FJ234" i="7" s="1"/>
  <c r="BG234" i="4"/>
  <c r="EY72" i="4"/>
  <c r="DU233" i="7"/>
  <c r="DU234" i="7" s="1"/>
  <c r="DQ233" i="7"/>
  <c r="DQ234" i="7" s="1"/>
  <c r="FI233" i="7"/>
  <c r="FI249" i="7" s="1"/>
  <c r="FI250" i="7" s="1"/>
  <c r="FK72" i="7"/>
  <c r="AO75" i="7"/>
  <c r="AO203" i="1"/>
  <c r="DG250" i="7"/>
  <c r="CV252" i="7"/>
  <c r="AO167" i="1"/>
  <c r="CU234" i="4"/>
  <c r="CU249" i="4"/>
  <c r="CU250" i="4" s="1"/>
  <c r="EL249" i="4"/>
  <c r="EL250" i="4" s="1"/>
  <c r="CA249" i="4"/>
  <c r="CA250" i="4" s="1"/>
  <c r="EO249" i="4"/>
  <c r="EO250" i="4" s="1"/>
  <c r="EP234" i="4"/>
  <c r="EP249" i="4"/>
  <c r="EP250" i="4" s="1"/>
  <c r="BS234" i="4"/>
  <c r="BS249" i="4"/>
  <c r="BS250" i="4" s="1"/>
  <c r="BU234" i="4"/>
  <c r="BU249" i="4"/>
  <c r="BU250" i="4" s="1"/>
  <c r="ET234" i="4"/>
  <c r="ET249" i="4"/>
  <c r="ET250" i="4" s="1"/>
  <c r="CV249" i="4"/>
  <c r="CV250" i="4" s="1"/>
  <c r="CC249" i="4"/>
  <c r="CC250" i="4" s="1"/>
  <c r="EV234" i="4"/>
  <c r="EV249" i="4"/>
  <c r="EV250" i="4" s="1"/>
  <c r="CW234" i="4"/>
  <c r="CW249" i="4"/>
  <c r="CW250" i="4" s="1"/>
  <c r="BV249" i="4"/>
  <c r="BV250" i="4" s="1"/>
  <c r="AG72" i="7"/>
  <c r="AA43" i="1"/>
  <c r="AA47" i="1" s="1"/>
  <c r="AO216" i="1"/>
  <c r="AO196" i="1"/>
  <c r="AO195" i="1"/>
  <c r="AA218" i="1"/>
  <c r="AO202" i="1"/>
  <c r="AO33" i="1"/>
  <c r="AO113" i="1"/>
  <c r="AO168" i="1"/>
  <c r="AO153" i="1"/>
  <c r="AO244" i="1"/>
  <c r="AO41" i="1"/>
  <c r="AO159" i="1"/>
  <c r="AO171" i="1"/>
  <c r="AO166" i="1"/>
  <c r="AO96" i="1"/>
  <c r="AA115" i="1"/>
  <c r="AA70" i="1"/>
  <c r="Z233" i="4"/>
  <c r="Z249" i="4" s="1"/>
  <c r="Z250" i="4" s="1"/>
  <c r="AI72" i="7"/>
  <c r="AA75" i="1"/>
  <c r="AO34" i="1"/>
  <c r="AO40" i="1"/>
  <c r="AO99" i="1"/>
  <c r="AO100" i="1"/>
  <c r="AO246" i="1"/>
  <c r="AO45" i="1"/>
  <c r="FF233" i="7"/>
  <c r="FF249" i="7" s="1"/>
  <c r="FF250" i="7" s="1"/>
  <c r="AO32" i="1"/>
  <c r="AO177" i="1"/>
  <c r="AO86" i="1"/>
  <c r="AO92" i="1"/>
  <c r="AO80" i="1"/>
  <c r="AO102" i="1"/>
  <c r="AN75" i="4"/>
  <c r="AO82" i="1"/>
  <c r="AO79" i="1"/>
  <c r="AO212" i="1"/>
  <c r="AO161" i="1"/>
  <c r="AH43" i="1"/>
  <c r="AH47" i="1" s="1"/>
  <c r="AH71" i="1" s="1"/>
  <c r="AH72" i="1" s="1"/>
  <c r="AO46" i="1"/>
  <c r="AO149" i="1"/>
  <c r="AO85" i="1"/>
  <c r="AO83" i="1"/>
  <c r="AO160" i="1"/>
  <c r="AO190" i="1"/>
  <c r="AO180" i="1"/>
  <c r="AO112" i="1"/>
  <c r="AO181" i="1"/>
  <c r="AO109" i="1"/>
  <c r="AA156" i="1"/>
  <c r="AO225" i="1"/>
  <c r="AO111" i="1"/>
  <c r="FD233" i="7"/>
  <c r="FD249" i="7" s="1"/>
  <c r="FD250" i="7" s="1"/>
  <c r="AO108" i="1"/>
  <c r="AO198" i="1"/>
  <c r="AO97" i="1"/>
  <c r="AO101" i="1"/>
  <c r="AO98" i="1"/>
  <c r="AO107" i="1"/>
  <c r="AO211" i="1"/>
  <c r="AO154" i="1"/>
  <c r="AO42" i="1"/>
  <c r="AI230" i="7"/>
  <c r="AI231" i="7" s="1"/>
  <c r="AO135" i="1"/>
  <c r="AO200" i="1"/>
  <c r="AO207" i="1"/>
  <c r="AO201" i="1"/>
  <c r="AO170" i="1"/>
  <c r="AO199" i="1"/>
  <c r="DS249" i="7"/>
  <c r="DS250" i="7" s="1"/>
  <c r="AO185" i="1"/>
  <c r="Z234" i="7"/>
  <c r="AO204" i="1"/>
  <c r="AO191" i="1"/>
  <c r="AO162" i="1"/>
  <c r="AO152" i="1"/>
  <c r="AO192" i="1"/>
  <c r="AO208" i="1"/>
  <c r="AO128" i="1"/>
  <c r="FJ230" i="4"/>
  <c r="FJ231" i="4" s="1"/>
  <c r="AO123" i="1"/>
  <c r="AO127" i="1"/>
  <c r="FG231" i="7"/>
  <c r="EX231" i="7" s="1"/>
  <c r="AO126" i="1"/>
  <c r="FA233" i="7"/>
  <c r="FA249" i="7" s="1"/>
  <c r="FA250" i="7" s="1"/>
  <c r="AO141" i="1"/>
  <c r="AE230" i="7"/>
  <c r="AE231" i="7" s="1"/>
  <c r="AO140" i="1"/>
  <c r="EY233" i="7"/>
  <c r="EY234" i="7" s="1"/>
  <c r="AK241" i="1"/>
  <c r="AO169" i="1"/>
  <c r="AK75" i="4"/>
  <c r="AK70" i="4"/>
  <c r="BM72" i="4"/>
  <c r="AK178" i="1"/>
  <c r="AO176" i="1"/>
  <c r="AK193" i="1"/>
  <c r="FG71" i="7"/>
  <c r="EX47" i="7"/>
  <c r="W72" i="7"/>
  <c r="AO94" i="1"/>
  <c r="AO143" i="1"/>
  <c r="AO124" i="1"/>
  <c r="W233" i="7"/>
  <c r="W234" i="7" s="1"/>
  <c r="W71" i="4"/>
  <c r="AO175" i="1"/>
  <c r="AO93" i="1"/>
  <c r="AO132" i="1"/>
  <c r="AO226" i="1"/>
  <c r="AO122" i="1"/>
  <c r="AO120" i="1"/>
  <c r="AO145" i="1"/>
  <c r="AO213" i="1"/>
  <c r="AO30" i="1"/>
  <c r="AO121" i="1"/>
  <c r="AK218" i="4"/>
  <c r="AO247" i="1"/>
  <c r="AK90" i="1"/>
  <c r="FG47" i="4"/>
  <c r="DQ71" i="4"/>
  <c r="DQ233" i="4" s="1"/>
  <c r="FG230" i="4"/>
  <c r="FD230" i="4"/>
  <c r="FD231" i="4" s="1"/>
  <c r="AO78" i="1"/>
  <c r="AO144" i="1"/>
  <c r="AK209" i="1"/>
  <c r="AO184" i="1"/>
  <c r="AO125" i="1"/>
  <c r="AH230" i="7"/>
  <c r="AH231" i="7" s="1"/>
  <c r="FF230" i="4"/>
  <c r="FF231" i="4" s="1"/>
  <c r="AO186" i="1"/>
  <c r="AO245" i="1"/>
  <c r="AO110" i="1"/>
  <c r="AO106" i="1"/>
  <c r="AO174" i="1"/>
  <c r="AO84" i="1"/>
  <c r="AO197" i="1"/>
  <c r="AK72" i="7"/>
  <c r="AK87" i="1"/>
  <c r="AK214" i="1"/>
  <c r="AK223" i="1"/>
  <c r="AO189" i="1"/>
  <c r="P233" i="1"/>
  <c r="P249" i="1" s="1"/>
  <c r="P250" i="1" s="1"/>
  <c r="AO142" i="1"/>
  <c r="AO95" i="1"/>
  <c r="BM249" i="4"/>
  <c r="BM250" i="7"/>
  <c r="AK230" i="7"/>
  <c r="O249" i="7"/>
  <c r="O250" i="7" s="1"/>
  <c r="AO131" i="1"/>
  <c r="AM230" i="7"/>
  <c r="AM233" i="7" s="1"/>
  <c r="AO119" i="1"/>
  <c r="ES250" i="7"/>
  <c r="AO137" i="1"/>
  <c r="DC250" i="7"/>
  <c r="AO118" i="1"/>
  <c r="W231" i="4"/>
  <c r="AO136" i="1"/>
  <c r="FB230" i="4"/>
  <c r="FB231" i="4" s="1"/>
  <c r="W230" i="1"/>
  <c r="Y233" i="4"/>
  <c r="Y234" i="4" s="1"/>
  <c r="DL234" i="7"/>
  <c r="FB231" i="7"/>
  <c r="DI249" i="7"/>
  <c r="DI250" i="7" s="1"/>
  <c r="X233" i="4"/>
  <c r="X249" i="4" s="1"/>
  <c r="X250" i="4" s="1"/>
  <c r="EZ231" i="7"/>
  <c r="AO218" i="7"/>
  <c r="DP233" i="4"/>
  <c r="DS233" i="4"/>
  <c r="R233" i="4"/>
  <c r="R249" i="4" s="1"/>
  <c r="R250" i="4" s="1"/>
  <c r="BK249" i="4"/>
  <c r="BK250" i="4" s="1"/>
  <c r="DK233" i="4"/>
  <c r="R233" i="1"/>
  <c r="R249" i="1" s="1"/>
  <c r="R250" i="1" s="1"/>
  <c r="O233" i="4"/>
  <c r="O249" i="4" s="1"/>
  <c r="O250" i="4" s="1"/>
  <c r="DO234" i="7"/>
  <c r="BJ234" i="4"/>
  <c r="CA234" i="4"/>
  <c r="S249" i="7"/>
  <c r="S250" i="7" s="1"/>
  <c r="EO234" i="4"/>
  <c r="R72" i="4"/>
  <c r="BO249" i="4"/>
  <c r="BO250" i="4" s="1"/>
  <c r="BN234" i="4"/>
  <c r="V233" i="4"/>
  <c r="V249" i="4" s="1"/>
  <c r="V250" i="4" s="1"/>
  <c r="FH233" i="7"/>
  <c r="FH249" i="7" s="1"/>
  <c r="FH250" i="7" s="1"/>
  <c r="CE249" i="7"/>
  <c r="CE250" i="7" s="1"/>
  <c r="DT231" i="4"/>
  <c r="P233" i="4"/>
  <c r="P234" i="4" s="1"/>
  <c r="AL230" i="7"/>
  <c r="AG75" i="4"/>
  <c r="AN230" i="7"/>
  <c r="AN231" i="7" s="1"/>
  <c r="AG230" i="7"/>
  <c r="AG233" i="7" s="1"/>
  <c r="EY230" i="4"/>
  <c r="EY233" i="4" s="1"/>
  <c r="EY249" i="4" s="1"/>
  <c r="AJ230" i="7"/>
  <c r="AJ231" i="7" s="1"/>
  <c r="U233" i="4"/>
  <c r="U249" i="4" s="1"/>
  <c r="U250" i="4" s="1"/>
  <c r="FK218" i="4"/>
  <c r="FE233" i="7"/>
  <c r="FE234" i="7" s="1"/>
  <c r="EL234" i="4"/>
  <c r="CC234" i="4"/>
  <c r="AL75" i="4"/>
  <c r="Y72" i="4"/>
  <c r="DJ231" i="4"/>
  <c r="DN231" i="4"/>
  <c r="Z231" i="4"/>
  <c r="AE43" i="4"/>
  <c r="AE47" i="4" s="1"/>
  <c r="AE71" i="4" s="1"/>
  <c r="AO133" i="4"/>
  <c r="X72" i="4"/>
  <c r="DU230" i="4"/>
  <c r="DU233" i="4" s="1"/>
  <c r="DU249" i="4" s="1"/>
  <c r="CV234" i="4"/>
  <c r="O231" i="4"/>
  <c r="BL249" i="4"/>
  <c r="BL250" i="4" s="1"/>
  <c r="DL233" i="4"/>
  <c r="AJ75" i="4"/>
  <c r="FI230" i="4"/>
  <c r="FI233" i="4" s="1"/>
  <c r="FI249" i="4" s="1"/>
  <c r="DD234" i="4"/>
  <c r="DD250" i="4"/>
  <c r="FH230" i="4"/>
  <c r="FH233" i="4" s="1"/>
  <c r="FH249" i="4" s="1"/>
  <c r="FK115" i="4"/>
  <c r="AI43" i="4"/>
  <c r="AI47" i="4" s="1"/>
  <c r="AI71" i="4" s="1"/>
  <c r="FE230" i="4"/>
  <c r="FE231" i="4" s="1"/>
  <c r="AM43" i="4"/>
  <c r="AM47" i="4" s="1"/>
  <c r="AM71" i="4" s="1"/>
  <c r="AM72" i="4" s="1"/>
  <c r="DM233" i="4"/>
  <c r="AC43" i="4"/>
  <c r="AC47" i="4" s="1"/>
  <c r="AC71" i="4" s="1"/>
  <c r="O71" i="1"/>
  <c r="O72" i="1" s="1"/>
  <c r="AA6" i="1"/>
  <c r="V233" i="1"/>
  <c r="V234" i="1" s="1"/>
  <c r="AK146" i="1"/>
  <c r="AK129" i="1"/>
  <c r="AK138" i="1"/>
  <c r="AC178" i="1"/>
  <c r="R72" i="1"/>
  <c r="AK205" i="1"/>
  <c r="AK38" i="1"/>
  <c r="AK116" i="1"/>
  <c r="P231" i="1"/>
  <c r="AK182" i="1"/>
  <c r="AK133" i="1"/>
  <c r="AK187" i="1"/>
  <c r="AK157" i="1"/>
  <c r="AK164" i="1"/>
  <c r="AK76" i="1"/>
  <c r="AK172" i="1"/>
  <c r="AL75" i="1"/>
  <c r="AI43" i="1"/>
  <c r="AI47" i="1" s="1"/>
  <c r="AI71" i="1" s="1"/>
  <c r="AG75" i="1"/>
  <c r="S233" i="1"/>
  <c r="S249" i="1" s="1"/>
  <c r="S250" i="1" s="1"/>
  <c r="AK150" i="1"/>
  <c r="AK29" i="1"/>
  <c r="W47" i="1"/>
  <c r="AK104" i="1"/>
  <c r="S233" i="4"/>
  <c r="S249" i="4" s="1"/>
  <c r="S250" i="4" s="1"/>
  <c r="AJ43" i="4"/>
  <c r="AJ47" i="4" s="1"/>
  <c r="AJ71" i="4" s="1"/>
  <c r="AH156" i="4"/>
  <c r="AO156" i="7"/>
  <c r="AM75" i="1"/>
  <c r="AD230" i="7"/>
  <c r="AD233" i="7" s="1"/>
  <c r="AJ115" i="1"/>
  <c r="AM75" i="4"/>
  <c r="AM115" i="1"/>
  <c r="AC230" i="7"/>
  <c r="AC233" i="7" s="1"/>
  <c r="AE70" i="4"/>
  <c r="AE43" i="1"/>
  <c r="AE47" i="1" s="1"/>
  <c r="AE71" i="1" s="1"/>
  <c r="AE72" i="1" s="1"/>
  <c r="AE72" i="7"/>
  <c r="BV234" i="4"/>
  <c r="AL115" i="1"/>
  <c r="AJ115" i="4"/>
  <c r="AD115" i="1"/>
  <c r="AJ70" i="4"/>
  <c r="AL70" i="4"/>
  <c r="AL72" i="4" s="1"/>
  <c r="AI75" i="4"/>
  <c r="AD115" i="4"/>
  <c r="AC133" i="1"/>
  <c r="AO241" i="4"/>
  <c r="AH115" i="4"/>
  <c r="CE233" i="4"/>
  <c r="AO90" i="4"/>
  <c r="AI115" i="4"/>
  <c r="AM156" i="1"/>
  <c r="AH156" i="1"/>
  <c r="U233" i="1"/>
  <c r="U234" i="1" s="1"/>
  <c r="AI156" i="1"/>
  <c r="AF75" i="1"/>
  <c r="AJ75" i="1"/>
  <c r="O230" i="1"/>
  <c r="O231" i="1" s="1"/>
  <c r="X233" i="1"/>
  <c r="X234" i="1" s="1"/>
  <c r="AI75" i="1"/>
  <c r="AH115" i="1"/>
  <c r="Q233" i="1"/>
  <c r="Q234" i="1" s="1"/>
  <c r="Z233" i="1"/>
  <c r="Z249" i="1" s="1"/>
  <c r="Z250" i="1" s="1"/>
  <c r="T233" i="1"/>
  <c r="T234" i="1" s="1"/>
  <c r="BM234" i="4"/>
  <c r="DC234" i="4"/>
  <c r="AA231" i="7"/>
  <c r="BQ233" i="4"/>
  <c r="DG233" i="4"/>
  <c r="EW233" i="4"/>
  <c r="EW249" i="7"/>
  <c r="EW250" i="7" s="1"/>
  <c r="AA230" i="4"/>
  <c r="AA231" i="4" s="1"/>
  <c r="AD72" i="1"/>
  <c r="Y233" i="1"/>
  <c r="Y249" i="1" s="1"/>
  <c r="Y250" i="1" s="1"/>
  <c r="AG72" i="1"/>
  <c r="AN72" i="1"/>
  <c r="AH72" i="4"/>
  <c r="AF72" i="1"/>
  <c r="AD72" i="4"/>
  <c r="AG72" i="4"/>
  <c r="AF72" i="4"/>
  <c r="AN72" i="4"/>
  <c r="AL115" i="4"/>
  <c r="AC29" i="1"/>
  <c r="AO31" i="1"/>
  <c r="AO138" i="4"/>
  <c r="DE250" i="4"/>
  <c r="DE234" i="4"/>
  <c r="AM156" i="4"/>
  <c r="AI156" i="4"/>
  <c r="U249" i="7"/>
  <c r="U250" i="7" s="1"/>
  <c r="U234" i="7"/>
  <c r="Q249" i="7"/>
  <c r="Q250" i="7" s="1"/>
  <c r="Q234" i="7"/>
  <c r="EU234" i="4"/>
  <c r="EU250" i="4"/>
  <c r="AN156" i="1"/>
  <c r="AD156" i="1"/>
  <c r="AO38" i="4"/>
  <c r="DM249" i="7"/>
  <c r="DM250" i="7" s="1"/>
  <c r="DM234" i="7"/>
  <c r="AJ156" i="1"/>
  <c r="AO183" i="1"/>
  <c r="AO139" i="1"/>
  <c r="AC138" i="1"/>
  <c r="AN156" i="4"/>
  <c r="EK250" i="4"/>
  <c r="EK234" i="4"/>
  <c r="AO224" i="1"/>
  <c r="AC223" i="1"/>
  <c r="AC218" i="1" s="1"/>
  <c r="AH75" i="1"/>
  <c r="AD156" i="4"/>
  <c r="AO29" i="4"/>
  <c r="AO39" i="1"/>
  <c r="AC38" i="1"/>
  <c r="DB250" i="4"/>
  <c r="DB234" i="4"/>
  <c r="AJ156" i="4"/>
  <c r="AC182" i="1"/>
  <c r="AO117" i="1"/>
  <c r="AC116" i="1"/>
  <c r="BE249" i="4"/>
  <c r="BE250" i="4" s="1"/>
  <c r="BE234" i="4"/>
  <c r="AF230" i="7"/>
  <c r="AH75" i="4"/>
  <c r="DK234" i="7"/>
  <c r="DK249" i="7"/>
  <c r="DK250" i="7" s="1"/>
  <c r="AO173" i="1"/>
  <c r="AC172" i="1"/>
  <c r="AC241" i="1"/>
  <c r="AO242" i="1"/>
  <c r="AJ43" i="1"/>
  <c r="AJ47" i="1" s="1"/>
  <c r="AJ71" i="1" s="1"/>
  <c r="AM70" i="1"/>
  <c r="FC233" i="7"/>
  <c r="EZ249" i="7"/>
  <c r="EZ250" i="7" s="1"/>
  <c r="EZ234" i="7"/>
  <c r="DA250" i="4"/>
  <c r="DA234" i="4"/>
  <c r="AD75" i="1"/>
  <c r="T249" i="7"/>
  <c r="T250" i="7" s="1"/>
  <c r="T234" i="7"/>
  <c r="AC90" i="1"/>
  <c r="AO91" i="1"/>
  <c r="DO233" i="4"/>
  <c r="DO249" i="4" s="1"/>
  <c r="DO231" i="4"/>
  <c r="AC115" i="4"/>
  <c r="DR233" i="4"/>
  <c r="DR249" i="4" s="1"/>
  <c r="FA230" i="4"/>
  <c r="AO179" i="1"/>
  <c r="AF115" i="1"/>
  <c r="AO188" i="1"/>
  <c r="AC187" i="1"/>
  <c r="AO194" i="1"/>
  <c r="AC104" i="1"/>
  <c r="AO105" i="1"/>
  <c r="AC156" i="4"/>
  <c r="AI70" i="1"/>
  <c r="AM115" i="4"/>
  <c r="AN115" i="4"/>
  <c r="DT234" i="4"/>
  <c r="DT250" i="4"/>
  <c r="T233" i="4"/>
  <c r="DU72" i="4"/>
  <c r="AC129" i="1"/>
  <c r="AO130" i="1"/>
  <c r="AD75" i="4"/>
  <c r="FK156" i="4"/>
  <c r="BI234" i="4"/>
  <c r="BI249" i="4"/>
  <c r="BI250" i="4" s="1"/>
  <c r="AO116" i="4"/>
  <c r="AC76" i="1"/>
  <c r="AO77" i="1"/>
  <c r="AC209" i="1"/>
  <c r="ES234" i="4"/>
  <c r="AK115" i="4"/>
  <c r="AC157" i="1"/>
  <c r="AE156" i="1"/>
  <c r="AC193" i="1"/>
  <c r="BX234" i="4"/>
  <c r="BX250" i="4"/>
  <c r="AF115" i="4"/>
  <c r="AO104" i="4"/>
  <c r="AC146" i="1"/>
  <c r="AO147" i="1"/>
  <c r="AO150" i="4"/>
  <c r="FC230" i="4"/>
  <c r="AG156" i="4"/>
  <c r="CZ234" i="4"/>
  <c r="CZ250" i="4"/>
  <c r="DT249" i="7"/>
  <c r="DT250" i="7" s="1"/>
  <c r="DT234" i="7"/>
  <c r="FB249" i="7"/>
  <c r="FB250" i="7" s="1"/>
  <c r="FB234" i="7"/>
  <c r="AF156" i="1"/>
  <c r="AO146" i="4"/>
  <c r="FJ72" i="4"/>
  <c r="AF75" i="4"/>
  <c r="AC75" i="4"/>
  <c r="AO210" i="1"/>
  <c r="AE75" i="1"/>
  <c r="AO158" i="1"/>
  <c r="AE156" i="4"/>
  <c r="EM250" i="4"/>
  <c r="EM234" i="4"/>
  <c r="AO115" i="7"/>
  <c r="AK156" i="4"/>
  <c r="BF234" i="4"/>
  <c r="BF249" i="4"/>
  <c r="BF250" i="4" s="1"/>
  <c r="AO151" i="1"/>
  <c r="AO215" i="1"/>
  <c r="AO88" i="1"/>
  <c r="AO87" i="1" s="1"/>
  <c r="AC87" i="1"/>
  <c r="AF156" i="4"/>
  <c r="BH249" i="4"/>
  <c r="BH250" i="4" s="1"/>
  <c r="BH234" i="4"/>
  <c r="AO76" i="4"/>
  <c r="AE75" i="4"/>
  <c r="AO157" i="4"/>
  <c r="AO156" i="4" s="1"/>
  <c r="AC70" i="4"/>
  <c r="AO43" i="7"/>
  <c r="AO47" i="7" s="1"/>
  <c r="AO71" i="7" s="1"/>
  <c r="AO70" i="7"/>
  <c r="AA249" i="7"/>
  <c r="AA250" i="7" s="1"/>
  <c r="AA234" i="7"/>
  <c r="AL156" i="4"/>
  <c r="AG115" i="1"/>
  <c r="AD72" i="7"/>
  <c r="AI70" i="4"/>
  <c r="AK43" i="4"/>
  <c r="BP249" i="4"/>
  <c r="BP250" i="4" s="1"/>
  <c r="BP234" i="4"/>
  <c r="FK230" i="7"/>
  <c r="FK75" i="4"/>
  <c r="BZ250" i="4"/>
  <c r="BZ234" i="4"/>
  <c r="AH72" i="7"/>
  <c r="AE115" i="1"/>
  <c r="BT250" i="4"/>
  <c r="BT234" i="4"/>
  <c r="AN115" i="1"/>
  <c r="AG156" i="1"/>
  <c r="DP249" i="7"/>
  <c r="DP250" i="7" s="1"/>
  <c r="DP234" i="7"/>
  <c r="FE72" i="4"/>
  <c r="BY250" i="4"/>
  <c r="BY234" i="4"/>
  <c r="AL156" i="1"/>
  <c r="AO165" i="1"/>
  <c r="AC150" i="1"/>
  <c r="AL70" i="1"/>
  <c r="AL72" i="1" s="1"/>
  <c r="AC214" i="1"/>
  <c r="CD250" i="4"/>
  <c r="CD234" i="4"/>
  <c r="AC164" i="1"/>
  <c r="EN234" i="4"/>
  <c r="EN250" i="4"/>
  <c r="Q233" i="4"/>
  <c r="AI115" i="1"/>
  <c r="EZ230" i="4"/>
  <c r="FK43" i="4"/>
  <c r="FK47" i="4" s="1"/>
  <c r="FK71" i="4" s="1"/>
  <c r="DI233" i="4"/>
  <c r="DI249" i="4" s="1"/>
  <c r="CY250" i="4"/>
  <c r="CY234" i="4"/>
  <c r="AO206" i="1"/>
  <c r="AC205" i="1"/>
  <c r="CB250" i="4"/>
  <c r="CB234" i="4"/>
  <c r="AG115" i="4"/>
  <c r="DF234" i="4"/>
  <c r="DF250" i="4"/>
  <c r="AO134" i="1"/>
  <c r="AJ70" i="1"/>
  <c r="FK70" i="4"/>
  <c r="AA72" i="4"/>
  <c r="AE115" i="4"/>
  <c r="DN250" i="4"/>
  <c r="DN234" i="4"/>
  <c r="DJ250" i="4"/>
  <c r="DJ234" i="4"/>
  <c r="FJ249" i="7" l="1"/>
  <c r="FJ250" i="7" s="1"/>
  <c r="AL71" i="7"/>
  <c r="AB47" i="7"/>
  <c r="AL233" i="7"/>
  <c r="AL234" i="7" s="1"/>
  <c r="AB230" i="7"/>
  <c r="X234" i="7"/>
  <c r="X249" i="7"/>
  <c r="DU249" i="7"/>
  <c r="DU250" i="7" s="1"/>
  <c r="DQ249" i="7"/>
  <c r="DQ250" i="7" s="1"/>
  <c r="FI234" i="7"/>
  <c r="FA234" i="7"/>
  <c r="FF234" i="7"/>
  <c r="AO214" i="1"/>
  <c r="CE234" i="4"/>
  <c r="CE249" i="4"/>
  <c r="CE250" i="4" s="1"/>
  <c r="DK249" i="4"/>
  <c r="DK250" i="4" s="1"/>
  <c r="EW234" i="4"/>
  <c r="EW249" i="4"/>
  <c r="EW250" i="4" s="1"/>
  <c r="DS234" i="4"/>
  <c r="DS249" i="4"/>
  <c r="DS250" i="4" s="1"/>
  <c r="DG249" i="4"/>
  <c r="DG250" i="4" s="1"/>
  <c r="DL249" i="4"/>
  <c r="DL250" i="4" s="1"/>
  <c r="DP249" i="4"/>
  <c r="DP250" i="4" s="1"/>
  <c r="DQ249" i="4"/>
  <c r="DQ250" i="4" s="1"/>
  <c r="DM249" i="4"/>
  <c r="DM250" i="4" s="1"/>
  <c r="BQ249" i="4"/>
  <c r="BQ250" i="4" s="1"/>
  <c r="AA71" i="1"/>
  <c r="AA72" i="1" s="1"/>
  <c r="AA230" i="1"/>
  <c r="AA231" i="1" s="1"/>
  <c r="AO150" i="1"/>
  <c r="Z234" i="4"/>
  <c r="AO29" i="1"/>
  <c r="AO70" i="1" s="1"/>
  <c r="AO205" i="1"/>
  <c r="FJ233" i="4"/>
  <c r="AO146" i="1"/>
  <c r="AO38" i="1"/>
  <c r="AI233" i="7"/>
  <c r="AI249" i="7" s="1"/>
  <c r="AI250" i="7" s="1"/>
  <c r="AM231" i="7"/>
  <c r="P234" i="1"/>
  <c r="FD234" i="7"/>
  <c r="AO178" i="1"/>
  <c r="AO164" i="1"/>
  <c r="AO104" i="1"/>
  <c r="AO187" i="1"/>
  <c r="AO157" i="1"/>
  <c r="FF233" i="4"/>
  <c r="AO172" i="1"/>
  <c r="AE233" i="7"/>
  <c r="AE234" i="7" s="1"/>
  <c r="AO209" i="1"/>
  <c r="FB233" i="4"/>
  <c r="W249" i="7"/>
  <c r="W250" i="7" s="1"/>
  <c r="EY249" i="7"/>
  <c r="EY250" i="7" s="1"/>
  <c r="FG231" i="4"/>
  <c r="AO138" i="1"/>
  <c r="Y249" i="4"/>
  <c r="Y250" i="4" s="1"/>
  <c r="AO133" i="1"/>
  <c r="AO182" i="1"/>
  <c r="AO193" i="1"/>
  <c r="AK47" i="4"/>
  <c r="W72" i="4"/>
  <c r="AH233" i="7"/>
  <c r="AH249" i="7" s="1"/>
  <c r="AH250" i="7" s="1"/>
  <c r="W233" i="4"/>
  <c r="W249" i="4" s="1"/>
  <c r="EX71" i="7"/>
  <c r="FG72" i="7"/>
  <c r="EX72" i="7" s="1"/>
  <c r="AO90" i="1"/>
  <c r="AO241" i="1"/>
  <c r="AK218" i="1"/>
  <c r="FG71" i="4"/>
  <c r="FG233" i="7"/>
  <c r="FG234" i="7" s="1"/>
  <c r="EX234" i="7" s="1"/>
  <c r="AO129" i="1"/>
  <c r="FD233" i="4"/>
  <c r="AO76" i="1"/>
  <c r="AO223" i="1"/>
  <c r="AO218" i="1" s="1"/>
  <c r="DQ72" i="4"/>
  <c r="W231" i="1"/>
  <c r="AL230" i="4"/>
  <c r="AL231" i="4" s="1"/>
  <c r="AO116" i="1"/>
  <c r="AK233" i="7"/>
  <c r="DC250" i="4"/>
  <c r="ES250" i="4"/>
  <c r="AK231" i="7"/>
  <c r="BM250" i="4"/>
  <c r="DK234" i="4"/>
  <c r="AO230" i="7"/>
  <c r="AO231" i="7" s="1"/>
  <c r="X234" i="4"/>
  <c r="R234" i="4"/>
  <c r="DP234" i="4"/>
  <c r="AN233" i="7"/>
  <c r="AN249" i="7" s="1"/>
  <c r="AN250" i="7" s="1"/>
  <c r="O234" i="4"/>
  <c r="FE233" i="4"/>
  <c r="FH231" i="4"/>
  <c r="R234" i="1"/>
  <c r="FI231" i="4"/>
  <c r="DM234" i="4"/>
  <c r="V234" i="4"/>
  <c r="P249" i="4"/>
  <c r="P250" i="4" s="1"/>
  <c r="U234" i="4"/>
  <c r="S234" i="4"/>
  <c r="FE249" i="7"/>
  <c r="FE250" i="7" s="1"/>
  <c r="FH234" i="7"/>
  <c r="DL234" i="4"/>
  <c r="AJ233" i="7"/>
  <c r="AJ249" i="7" s="1"/>
  <c r="AJ250" i="7" s="1"/>
  <c r="AC72" i="4"/>
  <c r="AG231" i="7"/>
  <c r="EY231" i="4"/>
  <c r="AI72" i="4"/>
  <c r="AL231" i="7"/>
  <c r="AB231" i="7" s="1"/>
  <c r="AJ72" i="4"/>
  <c r="DU231" i="4"/>
  <c r="V249" i="1"/>
  <c r="V250" i="1" s="1"/>
  <c r="FK230" i="4"/>
  <c r="FK231" i="4" s="1"/>
  <c r="AC230" i="4"/>
  <c r="AC231" i="4" s="1"/>
  <c r="DQ234" i="4"/>
  <c r="AI230" i="4"/>
  <c r="AI231" i="4" s="1"/>
  <c r="AE72" i="4"/>
  <c r="AN230" i="4"/>
  <c r="AN231" i="4" s="1"/>
  <c r="U249" i="1"/>
  <c r="U250" i="1" s="1"/>
  <c r="AK230" i="4"/>
  <c r="AH230" i="4"/>
  <c r="AH233" i="4" s="1"/>
  <c r="AJ230" i="1"/>
  <c r="AJ231" i="1" s="1"/>
  <c r="AK43" i="1"/>
  <c r="AL230" i="1"/>
  <c r="AL231" i="1" s="1"/>
  <c r="AN230" i="1"/>
  <c r="AN231" i="1" s="1"/>
  <c r="O233" i="1"/>
  <c r="O249" i="1" s="1"/>
  <c r="O250" i="1" s="1"/>
  <c r="S234" i="1"/>
  <c r="W71" i="1"/>
  <c r="AK115" i="1"/>
  <c r="AM230" i="1"/>
  <c r="AM233" i="1" s="1"/>
  <c r="AM234" i="1" s="1"/>
  <c r="AK70" i="1"/>
  <c r="AK156" i="1"/>
  <c r="AK75" i="1"/>
  <c r="AH230" i="1"/>
  <c r="AH231" i="1" s="1"/>
  <c r="AI72" i="1"/>
  <c r="AD231" i="7"/>
  <c r="AC231" i="7"/>
  <c r="AO75" i="4"/>
  <c r="AC43" i="1"/>
  <c r="AC47" i="1" s="1"/>
  <c r="AC71" i="1" s="1"/>
  <c r="AF230" i="4"/>
  <c r="AF231" i="4" s="1"/>
  <c r="AJ230" i="4"/>
  <c r="AJ231" i="4" s="1"/>
  <c r="AC70" i="1"/>
  <c r="X249" i="1"/>
  <c r="X250" i="1" s="1"/>
  <c r="AC75" i="1"/>
  <c r="Z234" i="1"/>
  <c r="AI230" i="1"/>
  <c r="AI231" i="1" s="1"/>
  <c r="Q249" i="1"/>
  <c r="Q250" i="1" s="1"/>
  <c r="AE230" i="1"/>
  <c r="AE231" i="1" s="1"/>
  <c r="T249" i="1"/>
  <c r="T250" i="1" s="1"/>
  <c r="AG230" i="1"/>
  <c r="AG231" i="1" s="1"/>
  <c r="AF230" i="1"/>
  <c r="AF231" i="1" s="1"/>
  <c r="Y234" i="1"/>
  <c r="BQ234" i="4"/>
  <c r="DG234" i="4"/>
  <c r="AA233" i="4"/>
  <c r="AA234" i="4" s="1"/>
  <c r="AJ72" i="1"/>
  <c r="AM72" i="1"/>
  <c r="AG249" i="7"/>
  <c r="AG250" i="7" s="1"/>
  <c r="AG234" i="7"/>
  <c r="T249" i="4"/>
  <c r="T250" i="4" s="1"/>
  <c r="T234" i="4"/>
  <c r="AC156" i="1"/>
  <c r="FC249" i="7"/>
  <c r="FC250" i="7" s="1"/>
  <c r="FC234" i="7"/>
  <c r="AD230" i="1"/>
  <c r="AD249" i="7"/>
  <c r="AD250" i="7" s="1"/>
  <c r="AD234" i="7"/>
  <c r="FI234" i="4"/>
  <c r="FI250" i="4"/>
  <c r="DU234" i="4"/>
  <c r="DU250" i="4"/>
  <c r="DO250" i="4"/>
  <c r="DO234" i="4"/>
  <c r="AE230" i="4"/>
  <c r="AO72" i="7"/>
  <c r="AO43" i="4"/>
  <c r="AO47" i="4" s="1"/>
  <c r="AO71" i="4" s="1"/>
  <c r="AG230" i="4"/>
  <c r="AC115" i="1"/>
  <c r="FH250" i="4"/>
  <c r="FH234" i="4"/>
  <c r="FC231" i="4"/>
  <c r="FC233" i="4"/>
  <c r="FC249" i="4" s="1"/>
  <c r="AM249" i="7"/>
  <c r="AM250" i="7" s="1"/>
  <c r="AM234" i="7"/>
  <c r="DI250" i="4"/>
  <c r="DI234" i="4"/>
  <c r="FA231" i="4"/>
  <c r="FA233" i="4"/>
  <c r="FA249" i="4" s="1"/>
  <c r="AD230" i="4"/>
  <c r="EY234" i="4"/>
  <c r="EY250" i="4"/>
  <c r="AC249" i="7"/>
  <c r="AC250" i="7" s="1"/>
  <c r="AC234" i="7"/>
  <c r="DR250" i="4"/>
  <c r="DR234" i="4"/>
  <c r="Q234" i="4"/>
  <c r="Q249" i="4"/>
  <c r="Q250" i="4" s="1"/>
  <c r="AO115" i="4"/>
  <c r="FK231" i="7"/>
  <c r="FK233" i="7"/>
  <c r="FK72" i="4"/>
  <c r="AF233" i="7"/>
  <c r="AF231" i="7"/>
  <c r="AM230" i="4"/>
  <c r="EZ231" i="4"/>
  <c r="EZ233" i="4"/>
  <c r="EZ249" i="4" s="1"/>
  <c r="AO70" i="4"/>
  <c r="AB233" i="7" l="1"/>
  <c r="AL72" i="7"/>
  <c r="AB72" i="7" s="1"/>
  <c r="AB71" i="7"/>
  <c r="AB234" i="7"/>
  <c r="AL249" i="7"/>
  <c r="AL250" i="7" s="1"/>
  <c r="X250" i="7"/>
  <c r="AA233" i="1"/>
  <c r="AA249" i="1" s="1"/>
  <c r="FE234" i="4"/>
  <c r="FE249" i="4"/>
  <c r="FE250" i="4" s="1"/>
  <c r="FB234" i="4"/>
  <c r="FB249" i="4"/>
  <c r="FB250" i="4" s="1"/>
  <c r="FF234" i="4"/>
  <c r="FF249" i="4"/>
  <c r="FF250" i="4" s="1"/>
  <c r="FJ249" i="4"/>
  <c r="FJ250" i="4" s="1"/>
  <c r="FD249" i="4"/>
  <c r="FD250" i="4" s="1"/>
  <c r="AI234" i="7"/>
  <c r="AO43" i="1"/>
  <c r="AO47" i="1" s="1"/>
  <c r="AO71" i="1" s="1"/>
  <c r="AO72" i="1" s="1"/>
  <c r="FJ234" i="4"/>
  <c r="AO156" i="1"/>
  <c r="AE249" i="7"/>
  <c r="AE250" i="7" s="1"/>
  <c r="AO75" i="1"/>
  <c r="AO115" i="1"/>
  <c r="AH234" i="7"/>
  <c r="AO233" i="7"/>
  <c r="AO234" i="7" s="1"/>
  <c r="AK47" i="1"/>
  <c r="AK71" i="4"/>
  <c r="AK233" i="4" s="1"/>
  <c r="EX233" i="7"/>
  <c r="FG249" i="7"/>
  <c r="FD234" i="4"/>
  <c r="W234" i="4"/>
  <c r="FG72" i="4"/>
  <c r="FG233" i="4"/>
  <c r="FG249" i="4" s="1"/>
  <c r="AL233" i="4"/>
  <c r="AL249" i="4" s="1"/>
  <c r="AL250" i="4" s="1"/>
  <c r="AK234" i="7"/>
  <c r="AK249" i="7"/>
  <c r="AK231" i="4"/>
  <c r="AJ234" i="7"/>
  <c r="W250" i="4"/>
  <c r="AN234" i="7"/>
  <c r="AN233" i="4"/>
  <c r="AN249" i="4" s="1"/>
  <c r="AN250" i="4" s="1"/>
  <c r="AI233" i="4"/>
  <c r="AI249" i="4" s="1"/>
  <c r="AI250" i="4" s="1"/>
  <c r="AC233" i="4"/>
  <c r="AC249" i="4" s="1"/>
  <c r="AC250" i="4" s="1"/>
  <c r="FK233" i="4"/>
  <c r="AH231" i="4"/>
  <c r="AF233" i="4"/>
  <c r="AF234" i="4" s="1"/>
  <c r="AJ233" i="1"/>
  <c r="AJ249" i="1" s="1"/>
  <c r="AJ250" i="1" s="1"/>
  <c r="AH234" i="4"/>
  <c r="AH249" i="4"/>
  <c r="AH250" i="4" s="1"/>
  <c r="AJ233" i="4"/>
  <c r="AJ234" i="4" s="1"/>
  <c r="AN233" i="1"/>
  <c r="AN234" i="1" s="1"/>
  <c r="O234" i="1"/>
  <c r="AM231" i="1"/>
  <c r="AL233" i="1"/>
  <c r="AL249" i="1" s="1"/>
  <c r="AL250" i="1" s="1"/>
  <c r="AC72" i="1"/>
  <c r="W72" i="1"/>
  <c r="W233" i="1"/>
  <c r="W234" i="1" s="1"/>
  <c r="AH233" i="1"/>
  <c r="AH234" i="1" s="1"/>
  <c r="AK230" i="1"/>
  <c r="AM249" i="1"/>
  <c r="AM250" i="1" s="1"/>
  <c r="AO230" i="4"/>
  <c r="AO231" i="4" s="1"/>
  <c r="AE233" i="1"/>
  <c r="AE249" i="1" s="1"/>
  <c r="AE250" i="1" s="1"/>
  <c r="AC230" i="1"/>
  <c r="AC233" i="1" s="1"/>
  <c r="AI233" i="1"/>
  <c r="AI249" i="1" s="1"/>
  <c r="AI250" i="1" s="1"/>
  <c r="AF233" i="1"/>
  <c r="AF249" i="1" s="1"/>
  <c r="AF250" i="1" s="1"/>
  <c r="AG233" i="1"/>
  <c r="AG234" i="1" s="1"/>
  <c r="AA249" i="4"/>
  <c r="AA250" i="4" s="1"/>
  <c r="AO72" i="4"/>
  <c r="AD233" i="1"/>
  <c r="AD231" i="1"/>
  <c r="AD231" i="4"/>
  <c r="AD233" i="4"/>
  <c r="EZ250" i="4"/>
  <c r="EZ234" i="4"/>
  <c r="AE231" i="4"/>
  <c r="AE233" i="4"/>
  <c r="FC250" i="4"/>
  <c r="FC234" i="4"/>
  <c r="FK249" i="7"/>
  <c r="FK250" i="7" s="1"/>
  <c r="FK234" i="7"/>
  <c r="AM231" i="4"/>
  <c r="AM233" i="4"/>
  <c r="AG231" i="4"/>
  <c r="AG233" i="4"/>
  <c r="AF249" i="7"/>
  <c r="AF250" i="7" s="1"/>
  <c r="AF234" i="7"/>
  <c r="FA250" i="4"/>
  <c r="FA234" i="4"/>
  <c r="AB249" i="7" l="1"/>
  <c r="AB250" i="7"/>
  <c r="AO230" i="1"/>
  <c r="AO231" i="1" s="1"/>
  <c r="AA250" i="1"/>
  <c r="AA234" i="1"/>
  <c r="FK234" i="4"/>
  <c r="FK249" i="4"/>
  <c r="FK250" i="4" s="1"/>
  <c r="AL234" i="4"/>
  <c r="AC234" i="4"/>
  <c r="AO249" i="7"/>
  <c r="AO250" i="7" s="1"/>
  <c r="AJ234" i="1"/>
  <c r="AK72" i="4"/>
  <c r="AK71" i="1"/>
  <c r="AK233" i="1" s="1"/>
  <c r="AK249" i="1" s="1"/>
  <c r="AK250" i="1" s="1"/>
  <c r="FG250" i="7"/>
  <c r="EX250" i="7" s="1"/>
  <c r="EX249" i="7"/>
  <c r="FG234" i="4"/>
  <c r="AK231" i="1"/>
  <c r="AK234" i="4"/>
  <c r="AK250" i="7"/>
  <c r="AN249" i="1"/>
  <c r="AN250" i="1" s="1"/>
  <c r="AN234" i="4"/>
  <c r="AI234" i="4"/>
  <c r="AH249" i="1"/>
  <c r="AH250" i="1" s="1"/>
  <c r="AF249" i="4"/>
  <c r="AF250" i="4" s="1"/>
  <c r="AK249" i="4"/>
  <c r="AJ249" i="4"/>
  <c r="AJ250" i="4" s="1"/>
  <c r="AL234" i="1"/>
  <c r="W249" i="1"/>
  <c r="AO233" i="4"/>
  <c r="AO234" i="4" s="1"/>
  <c r="AI234" i="1"/>
  <c r="AC231" i="1"/>
  <c r="AE234" i="1"/>
  <c r="AF234" i="1"/>
  <c r="AG249" i="1"/>
  <c r="AG250" i="1" s="1"/>
  <c r="AE249" i="4"/>
  <c r="AE250" i="4" s="1"/>
  <c r="AE234" i="4"/>
  <c r="AD249" i="4"/>
  <c r="AD250" i="4" s="1"/>
  <c r="AD234" i="4"/>
  <c r="AC249" i="1"/>
  <c r="AC250" i="1" s="1"/>
  <c r="AC234" i="1"/>
  <c r="AD249" i="1"/>
  <c r="AD250" i="1" s="1"/>
  <c r="AD234" i="1"/>
  <c r="AG249" i="4"/>
  <c r="AG250" i="4" s="1"/>
  <c r="AG234" i="4"/>
  <c r="AM234" i="4"/>
  <c r="AM249" i="4"/>
  <c r="AM250" i="4" s="1"/>
  <c r="AO233" i="1" l="1"/>
  <c r="AO249" i="1" s="1"/>
  <c r="AO250" i="1" s="1"/>
  <c r="AO249" i="4"/>
  <c r="AO250" i="4" s="1"/>
  <c r="W252" i="1"/>
  <c r="FG250" i="4"/>
  <c r="AK72" i="1"/>
  <c r="W250" i="1"/>
  <c r="AK250" i="4"/>
  <c r="AK234" i="1"/>
  <c r="AO23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Reports</author>
  </authors>
  <commentList>
    <comment ref="A16" authorId="0" shapeId="0" xr:uid="{7DB77103-26EF-4310-ADD3-9BAB335E1289}">
      <text>
        <r>
          <rPr>
            <b/>
            <sz val="9"/>
            <color indexed="81"/>
            <rFont val="Tahoma"/>
            <family val="2"/>
          </rPr>
          <t>Reports:</t>
        </r>
        <r>
          <rPr>
            <sz val="9"/>
            <color indexed="81"/>
            <rFont val="Tahoma"/>
            <family val="2"/>
          </rPr>
          <t xml:space="preserve">
50% of revenue</t>
        </r>
      </text>
    </comment>
    <comment ref="A32" authorId="0" shapeId="0" xr:uid="{34DE8265-C1CF-407B-88AB-95A1505E6D84}">
      <text>
        <r>
          <rPr>
            <b/>
            <sz val="9"/>
            <color indexed="81"/>
            <rFont val="Tahoma"/>
            <family val="2"/>
          </rPr>
          <t>Reports:</t>
        </r>
        <r>
          <rPr>
            <sz val="9"/>
            <color indexed="81"/>
            <rFont val="Tahoma"/>
            <family val="2"/>
          </rPr>
          <t xml:space="preserve">
Added 7% with PY budget</t>
        </r>
      </text>
    </comment>
    <comment ref="A50" authorId="0" shapeId="0" xr:uid="{B00AE194-4CDE-4B68-8AAA-2A4E4B418F36}">
      <text>
        <r>
          <rPr>
            <b/>
            <sz val="9"/>
            <color indexed="81"/>
            <rFont val="Tahoma"/>
            <family val="2"/>
          </rPr>
          <t>Reports:</t>
        </r>
        <r>
          <rPr>
            <sz val="9"/>
            <color indexed="81"/>
            <rFont val="Tahoma"/>
            <family val="2"/>
          </rPr>
          <t xml:space="preserve">
500 PER CAR</t>
        </r>
      </text>
    </comment>
    <comment ref="A58" authorId="0" shapeId="0" xr:uid="{D66AFE65-6006-4422-91E3-0CE08E4D5E99}">
      <text>
        <r>
          <rPr>
            <b/>
            <sz val="9"/>
            <color indexed="81"/>
            <rFont val="Tahoma"/>
            <family val="2"/>
          </rPr>
          <t>Reports:</t>
        </r>
        <r>
          <rPr>
            <sz val="9"/>
            <color indexed="81"/>
            <rFont val="Tahoma"/>
            <family val="2"/>
          </rPr>
          <t xml:space="preserve">
Avrge- 
600*ret count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<sst xmlns="http://schemas.openxmlformats.org/spreadsheetml/2006/main" count="6702" uniqueCount="280">
  <si>
    <t>BRIDGEWAY MOTORS - MIS REPORT</t>
  </si>
  <si>
    <t>Particulars</t>
  </si>
  <si>
    <t>Rs in Lakhs</t>
  </si>
  <si>
    <t>No of Cars</t>
  </si>
  <si>
    <t>New Car Sales</t>
  </si>
  <si>
    <t>Total Commission</t>
  </si>
  <si>
    <t>Fixed Commission</t>
  </si>
  <si>
    <t>Sales Target Bonus</t>
  </si>
  <si>
    <t>EV</t>
  </si>
  <si>
    <t>TEV</t>
  </si>
  <si>
    <t>Market Share Bonus</t>
  </si>
  <si>
    <t>Quantitative Margin</t>
  </si>
  <si>
    <t>Digital and Lead Management</t>
  </si>
  <si>
    <t>Customer Experience</t>
  </si>
  <si>
    <t>Marketing And Process Steering</t>
  </si>
  <si>
    <t>Sales Demo Car</t>
  </si>
  <si>
    <t>No of Cars Sold</t>
  </si>
  <si>
    <t>Turnover.</t>
  </si>
  <si>
    <t>Cost of goods sold - Demo Car</t>
  </si>
  <si>
    <t>Trade Discount</t>
  </si>
  <si>
    <t>Gross Profit</t>
  </si>
  <si>
    <t>Turnover,</t>
  </si>
  <si>
    <t>Cost of goods sold - Exchange</t>
  </si>
  <si>
    <t>Refurbishment expenses</t>
  </si>
  <si>
    <t>Service</t>
  </si>
  <si>
    <t>Throughputs</t>
  </si>
  <si>
    <t>Parts Revenue</t>
  </si>
  <si>
    <t>Labour Revenue</t>
  </si>
  <si>
    <t>Warranty Parts</t>
  </si>
  <si>
    <t>Warranty Labour</t>
  </si>
  <si>
    <t>Internal Sales</t>
  </si>
  <si>
    <t>Starease Sales</t>
  </si>
  <si>
    <t>Other star package</t>
  </si>
  <si>
    <t>Cost of Good sold</t>
  </si>
  <si>
    <t>Cost  of Goods Sold - Parts and Consumables</t>
  </si>
  <si>
    <t>Labour Cost</t>
  </si>
  <si>
    <t>Consumables</t>
  </si>
  <si>
    <t>Direct Expenses [Sub contract other than Access]</t>
  </si>
  <si>
    <t>Monthly Target Incentive</t>
  </si>
  <si>
    <t>Quarterly Target Incentive</t>
  </si>
  <si>
    <t>Qualitative Quarterly Incentive</t>
  </si>
  <si>
    <t>Gross Profit 2</t>
  </si>
  <si>
    <t>Accessceries and VAS</t>
  </si>
  <si>
    <t>Sale Revenue Accsories &amp; Boutiques</t>
  </si>
  <si>
    <t>VAS</t>
  </si>
  <si>
    <t>Total GP</t>
  </si>
  <si>
    <t>Other Source of Income</t>
  </si>
  <si>
    <t>Insurance Commission</t>
  </si>
  <si>
    <t>Insurance Renewal</t>
  </si>
  <si>
    <t>Finance Commission</t>
  </si>
  <si>
    <t>Dealer Incentive</t>
  </si>
  <si>
    <t>Profit/Loss on sale of fixed Asset</t>
  </si>
  <si>
    <t>Sales of Scraps/Wastages/Dead Stock/Oil</t>
  </si>
  <si>
    <t>Logistic and Facilitation</t>
  </si>
  <si>
    <t>Bank Interest</t>
  </si>
  <si>
    <t>Others</t>
  </si>
  <si>
    <t>Total Revenue</t>
  </si>
  <si>
    <t>Total Income</t>
  </si>
  <si>
    <t>% to Sales</t>
  </si>
  <si>
    <t>Selling &amp; Distribution Expenses</t>
  </si>
  <si>
    <t>Selling Expenses</t>
  </si>
  <si>
    <t>Demo Vehicle Expense</t>
  </si>
  <si>
    <t>Demo Vehicle Fuel Expenses</t>
  </si>
  <si>
    <t>Demo Vehicle Other Expenses</t>
  </si>
  <si>
    <t>Demo Vehicle Repair and Maintenance</t>
  </si>
  <si>
    <t>Discount Customer Service</t>
  </si>
  <si>
    <t>Discount Insurance</t>
  </si>
  <si>
    <t>Discount New Car</t>
  </si>
  <si>
    <t>Display Vehicle Expenses</t>
  </si>
  <si>
    <t>Sale Commission (outsiders)</t>
  </si>
  <si>
    <t>Sales promotion- Compl goods.</t>
  </si>
  <si>
    <t>Incentive</t>
  </si>
  <si>
    <t>Delivery Expenses</t>
  </si>
  <si>
    <t>Delivery Charges Customer Service</t>
  </si>
  <si>
    <t>Delivery Expenses Others</t>
  </si>
  <si>
    <t>Delivery Polish - New  Car</t>
  </si>
  <si>
    <t>Flat Bed  Charges</t>
  </si>
  <si>
    <t>Flatbed Vehicle Expense (KL11CA7195)</t>
  </si>
  <si>
    <t>Flatbed Vehicle Expenses (KL 11 BK 224 )</t>
  </si>
  <si>
    <t>Fuel-New Car Delivery</t>
  </si>
  <si>
    <t>New Car - PDI Transportation</t>
  </si>
  <si>
    <t>New Car - PDI Washing</t>
  </si>
  <si>
    <t>New Car Delivery-Gifts</t>
  </si>
  <si>
    <t>Refreshment Expenses -Delivery</t>
  </si>
  <si>
    <t>Marketing Expenses</t>
  </si>
  <si>
    <t>CRM Activities</t>
  </si>
  <si>
    <t>Digital Marketing</t>
  </si>
  <si>
    <t>Flexi Kit</t>
  </si>
  <si>
    <t>print Advertisement</t>
  </si>
  <si>
    <t>Printing and other Charges</t>
  </si>
  <si>
    <t>Retail Activation Program</t>
  </si>
  <si>
    <t>Retention Program</t>
  </si>
  <si>
    <t>Service Compaign and Other Activities</t>
  </si>
  <si>
    <t>Personal Expenses</t>
  </si>
  <si>
    <t>Salaries and Allowances</t>
  </si>
  <si>
    <t>Salaries &amp; Wages - basic Staff</t>
  </si>
  <si>
    <t>Conveyance  - Staff</t>
  </si>
  <si>
    <t>Fuel Allowance - Staff</t>
  </si>
  <si>
    <t>HRA - Staff</t>
  </si>
  <si>
    <t>Meals Allowance - Staff</t>
  </si>
  <si>
    <t>Medical Allowance - Staff</t>
  </si>
  <si>
    <t>Special Allowance - Staff</t>
  </si>
  <si>
    <t>Provident Fund Contribution Company - Staff</t>
  </si>
  <si>
    <t>Employer Insurance Contributions - Staff</t>
  </si>
  <si>
    <t>Salary - Consultancy Service</t>
  </si>
  <si>
    <t>Employee Gratuity</t>
  </si>
  <si>
    <t>Training Expenses</t>
  </si>
  <si>
    <t>Training Expenses - Others</t>
  </si>
  <si>
    <t>Training Expenses - Senior Management MBIL</t>
  </si>
  <si>
    <t>Training Expenses MBIL</t>
  </si>
  <si>
    <t>Travelling - Operational</t>
  </si>
  <si>
    <t>Travel Costs - Other</t>
  </si>
  <si>
    <t>Travelling Domestic</t>
  </si>
  <si>
    <t>Travelling Expenses - Directors</t>
  </si>
  <si>
    <t>Travelling Foreign</t>
  </si>
  <si>
    <t>Employee Benefit Expenses</t>
  </si>
  <si>
    <t>Medical Expenses</t>
  </si>
  <si>
    <t>Refreshment Expenses</t>
  </si>
  <si>
    <t>Staff Recruitment Expenses</t>
  </si>
  <si>
    <t>Staff Uniform</t>
  </si>
  <si>
    <t>Staff Welfare Expenses</t>
  </si>
  <si>
    <t>Daily Allowance</t>
  </si>
  <si>
    <t>Daily Allowance to Consultant</t>
  </si>
  <si>
    <t>Daily Allowance to Drivers</t>
  </si>
  <si>
    <t>Daily Allowance to Others</t>
  </si>
  <si>
    <t>"Outside sourced services</t>
  </si>
  <si>
    <t>Cleaning Service</t>
  </si>
  <si>
    <t>Security Service</t>
  </si>
  <si>
    <t>Waste Disposal</t>
  </si>
  <si>
    <t>Administrative Expenses</t>
  </si>
  <si>
    <t>Repair and Maintenance</t>
  </si>
  <si>
    <t>Repair and Maintenance - Building</t>
  </si>
  <si>
    <t>Repair and Maintenance - Computer</t>
  </si>
  <si>
    <t>Repair and Maintenance - Generator</t>
  </si>
  <si>
    <t>Repair and Maintenance - Machinery</t>
  </si>
  <si>
    <t>Repair and Maintenance - Others</t>
  </si>
  <si>
    <t>Company Vehicle Expenses</t>
  </si>
  <si>
    <t>Fuel Expenses For Company Car</t>
  </si>
  <si>
    <t>Fuel Expenses For Courtesy Car</t>
  </si>
  <si>
    <t>Fuel Expenses For Scooter</t>
  </si>
  <si>
    <t>Repair and Maintenance - Courtesy Car</t>
  </si>
  <si>
    <t>Repair and Maintenance - Flatbed</t>
  </si>
  <si>
    <t>Repair and Maintenance - Own Car</t>
  </si>
  <si>
    <t>Repair and Maintenance - Pickup Vehicle</t>
  </si>
  <si>
    <t>System Updation charge -Mercedes</t>
  </si>
  <si>
    <t>Ewnet Charge</t>
  </si>
  <si>
    <t>Edealer Charges</t>
  </si>
  <si>
    <t>Utilities</t>
  </si>
  <si>
    <t>Electricity</t>
  </si>
  <si>
    <t>Diesel Expenses</t>
  </si>
  <si>
    <t>Water</t>
  </si>
  <si>
    <t>Telephone &amp; Internet Expenses</t>
  </si>
  <si>
    <t>Email Service</t>
  </si>
  <si>
    <t>Internet Charges</t>
  </si>
  <si>
    <t>Mobile Expenses</t>
  </si>
  <si>
    <t>Telephone</t>
  </si>
  <si>
    <t>Professional Fees</t>
  </si>
  <si>
    <t>Audit Fees</t>
  </si>
  <si>
    <t>Consultancy Fees</t>
  </si>
  <si>
    <t>Legal Fees</t>
  </si>
  <si>
    <t>Other Professional Fees</t>
  </si>
  <si>
    <t>Professional Fee - Trainer</t>
  </si>
  <si>
    <t>General Expenses</t>
  </si>
  <si>
    <t>Corporation or PunchayathTaxes</t>
  </si>
  <si>
    <t>License Fees</t>
  </si>
  <si>
    <t>Lux Elements Expenses</t>
  </si>
  <si>
    <t>Office Expenses</t>
  </si>
  <si>
    <t>Office Stationery</t>
  </si>
  <si>
    <t>Printing</t>
  </si>
  <si>
    <t>Postage</t>
  </si>
  <si>
    <t>Subscription and Periodicals</t>
  </si>
  <si>
    <t>Round Off</t>
  </si>
  <si>
    <t>Insurance</t>
  </si>
  <si>
    <t>Demo Car Insurance</t>
  </si>
  <si>
    <t>Premises Insurance</t>
  </si>
  <si>
    <t>Rent Expenses</t>
  </si>
  <si>
    <t>Rent Machinery</t>
  </si>
  <si>
    <t>Rent Service</t>
  </si>
  <si>
    <t>Rent Showroom</t>
  </si>
  <si>
    <t>Rent Yard</t>
  </si>
  <si>
    <t>Donation</t>
  </si>
  <si>
    <t>CSR Expenses</t>
  </si>
  <si>
    <t>Other Donation</t>
  </si>
  <si>
    <t>Inventory Cost</t>
  </si>
  <si>
    <t>Finance Charge - Floor Funding</t>
  </si>
  <si>
    <t>Interest - Floor Fund - POC</t>
  </si>
  <si>
    <t>Finance Charge - Others</t>
  </si>
  <si>
    <t>Bank Charge</t>
  </si>
  <si>
    <t>Commission on Bank Guarantee</t>
  </si>
  <si>
    <t>Commission on Credit Card</t>
  </si>
  <si>
    <t>Financial Expenses</t>
  </si>
  <si>
    <t>Interest on Other Short Term Borrowing</t>
  </si>
  <si>
    <t>Interest on Over Draft Facility</t>
  </si>
  <si>
    <t>Total of Operating Cost</t>
  </si>
  <si>
    <t>EBITDA</t>
  </si>
  <si>
    <t xml:space="preserve">Finance Charge </t>
  </si>
  <si>
    <t>Interest DFSI  Car Loan</t>
  </si>
  <si>
    <t>Interest on Term Loan - ICICI</t>
  </si>
  <si>
    <t>Interest on Vehicle Loan Others</t>
  </si>
  <si>
    <t>Depreciation</t>
  </si>
  <si>
    <t>Amortization - Intangible Assets</t>
  </si>
  <si>
    <t>PBT</t>
  </si>
  <si>
    <t>Admin</t>
  </si>
  <si>
    <t>Other</t>
  </si>
  <si>
    <t>interst</t>
  </si>
  <si>
    <t>SUMMARY</t>
  </si>
  <si>
    <t>Actual</t>
  </si>
  <si>
    <t>YTD 2025</t>
  </si>
  <si>
    <t>Budget</t>
  </si>
  <si>
    <t>CALICUT</t>
  </si>
  <si>
    <t>THRISSUR</t>
  </si>
  <si>
    <t>Personnel Expenses</t>
  </si>
  <si>
    <t>KOTTAYAM</t>
  </si>
  <si>
    <t>Thrissur</t>
  </si>
  <si>
    <t>Kottayam</t>
  </si>
  <si>
    <t>New car</t>
  </si>
  <si>
    <t>Accessories</t>
  </si>
  <si>
    <t>PMGR</t>
  </si>
  <si>
    <t>BP</t>
  </si>
  <si>
    <t>Target achievement bonus</t>
  </si>
  <si>
    <t>Sales Used Car</t>
  </si>
  <si>
    <t>Demo Vehicle Repaire and Maintanence</t>
  </si>
  <si>
    <t>Incentive to Employee</t>
  </si>
  <si>
    <t>XOXODAY MBIL Incentive</t>
  </si>
  <si>
    <t>"Registration -Expenses_x000D_"</t>
  </si>
  <si>
    <t>Sponcership</t>
  </si>
  <si>
    <t>Bonus</t>
  </si>
  <si>
    <t>Staff Accommedation -Rent</t>
  </si>
  <si>
    <t>Staff Accommedation -Maintanence</t>
  </si>
  <si>
    <t>Pest Contol</t>
  </si>
  <si>
    <t>Xentry Finance Charge</t>
  </si>
  <si>
    <t>Xentry Finance Charge Interest</t>
  </si>
  <si>
    <t>Other Software Charges</t>
  </si>
  <si>
    <t>Fees and Taxes</t>
  </si>
  <si>
    <t>Miscellanioues Expense</t>
  </si>
  <si>
    <t>Company Vehicle Insurance</t>
  </si>
  <si>
    <t>Interest on Unsecured Loan - Skyline</t>
  </si>
  <si>
    <t>Interest on Demo Vehicle</t>
  </si>
  <si>
    <t>Depreciation  - Building</t>
  </si>
  <si>
    <t>Depreciation  -Computer</t>
  </si>
  <si>
    <t>Depreciation  - Furniture &amp; Fixures</t>
  </si>
  <si>
    <t>Depreciation  -Plant &amp; Machinery</t>
  </si>
  <si>
    <t>Depreciation  -Vehicle</t>
  </si>
  <si>
    <t xml:space="preserve">Sales Used Car </t>
  </si>
  <si>
    <t>BRIDGEWAY MOTORS</t>
  </si>
  <si>
    <t>YTD 2024</t>
  </si>
  <si>
    <t>Clt New car</t>
  </si>
  <si>
    <t>Clt-POC</t>
  </si>
  <si>
    <t>CSA-PMGR</t>
  </si>
  <si>
    <t>CSA-BP</t>
  </si>
  <si>
    <t>TCR-NEW CAR</t>
  </si>
  <si>
    <t>TCR-PMGR</t>
  </si>
  <si>
    <t>TCR-BP</t>
  </si>
  <si>
    <t>KTM-PMGR</t>
  </si>
  <si>
    <t>KTM-BP</t>
  </si>
  <si>
    <t>Location</t>
  </si>
  <si>
    <t>HO</t>
  </si>
  <si>
    <t>Cost Cntre</t>
  </si>
  <si>
    <t>Interest on Demo Vehicle -Internal Funding</t>
  </si>
  <si>
    <t>Total Parts</t>
  </si>
  <si>
    <t>CGS</t>
  </si>
  <si>
    <t>GP</t>
  </si>
  <si>
    <t>GP%</t>
  </si>
  <si>
    <t>Labour Income</t>
  </si>
  <si>
    <t>POM</t>
  </si>
  <si>
    <t>Dept</t>
  </si>
  <si>
    <t>Month</t>
  </si>
  <si>
    <t>Principal sales</t>
  </si>
  <si>
    <t>Cost</t>
  </si>
  <si>
    <t>CLT</t>
  </si>
  <si>
    <t>NEW CAR</t>
  </si>
  <si>
    <t>TCR</t>
  </si>
  <si>
    <t>KTM</t>
  </si>
  <si>
    <t>Access</t>
  </si>
  <si>
    <t>Revenue</t>
  </si>
  <si>
    <t>Count</t>
  </si>
  <si>
    <t>Achivement</t>
  </si>
  <si>
    <t>Q3</t>
  </si>
  <si>
    <t>Q2</t>
  </si>
  <si>
    <t>Ho genral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</si>
</sst>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 * #,##0_ ;_ * \-#,##0_ ;_ * &quot;-&quot;??_ ;_ @_ "/>
    <numFmt numFmtId="168" formatCode="0.000%"/>
    <numFmt numFmtId="169" formatCode="_-* #,##0_-;\-* #,##0_-;_-* &quot;-&quot;??_-;_-@_-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indexed="9"/>
      <name val="Franklin Gothic Demi"/>
      <family val="2"/>
    </font>
    <font>
      <b/>
      <sz val="10"/>
      <color theme="1"/>
      <name val="Aptos Narrow"/>
      <family val="2"/>
      <scheme val="minor"/>
    </font>
    <font>
      <b/>
      <u val="singleAccounting"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name val="Arial"/>
      <family val="2"/>
    </font>
    <font>
      <sz val="8"/>
      <color indexed="9"/>
      <name val="Audi Type"/>
      <family val="2"/>
    </font>
    <font>
      <sz val="11"/>
      <color theme="1"/>
      <name val="Franklin Gothic Demi"/>
      <family val="2"/>
    </font>
    <font>
      <b/>
      <sz val="10"/>
      <color rgb="FF5F9025"/>
      <name val="Arial Unicode MS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theme="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8EE9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79998168889431442"/>
      </left>
      <right/>
      <top/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  <border>
      <left style="thin">
        <color theme="4" tint="0.79998168889431442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9" fillId="0" borderId="0"/>
    <xf numFmtId="166" fontId="1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31">
    <xf numFmtId="0" fontId="0" fillId="0" borderId="0" xfId="0"/>
    <xf numFmtId="43" fontId="3" fillId="2" borderId="1" xfId="1" applyFont="1" applyFill="1" applyBorder="1"/>
    <xf numFmtId="17" fontId="4" fillId="3" borderId="2" xfId="1" applyNumberFormat="1" applyFont="1" applyFill="1" applyBorder="1" applyAlignment="1">
      <alignment vertical="top"/>
    </xf>
    <xf numFmtId="43" fontId="4" fillId="3" borderId="2" xfId="1" applyFont="1" applyFill="1" applyBorder="1" applyAlignment="1">
      <alignment vertical="top"/>
    </xf>
    <xf numFmtId="43" fontId="5" fillId="4" borderId="2" xfId="1" applyFont="1" applyFill="1" applyBorder="1"/>
    <xf numFmtId="43" fontId="6" fillId="4" borderId="2" xfId="1" applyFont="1" applyFill="1" applyBorder="1" applyAlignment="1">
      <alignment horizontal="left"/>
    </xf>
    <xf numFmtId="43" fontId="5" fillId="4" borderId="2" xfId="1" applyFont="1" applyFill="1" applyBorder="1" applyAlignment="1">
      <alignment horizontal="left"/>
    </xf>
    <xf numFmtId="43" fontId="7" fillId="4" borderId="2" xfId="1" applyFont="1" applyFill="1" applyBorder="1" applyAlignment="1">
      <alignment horizontal="left" indent="2"/>
    </xf>
    <xf numFmtId="43" fontId="6" fillId="4" borderId="2" xfId="1" applyFont="1" applyFill="1" applyBorder="1" applyAlignment="1"/>
    <xf numFmtId="43" fontId="5" fillId="4" borderId="2" xfId="1" applyFont="1" applyFill="1" applyBorder="1" applyAlignment="1"/>
    <xf numFmtId="43" fontId="7" fillId="4" borderId="2" xfId="1" applyFont="1" applyFill="1" applyBorder="1" applyAlignment="1">
      <alignment horizontal="left" indent="6"/>
    </xf>
    <xf numFmtId="43" fontId="7" fillId="4" borderId="2" xfId="1" applyFont="1" applyFill="1" applyBorder="1" applyAlignment="1">
      <alignment horizontal="left" indent="1"/>
    </xf>
    <xf numFmtId="43" fontId="7" fillId="4" borderId="2" xfId="1" applyFont="1" applyFill="1" applyBorder="1" applyAlignment="1">
      <alignment horizontal="left"/>
    </xf>
    <xf numFmtId="43" fontId="7" fillId="4" borderId="2" xfId="1" applyFont="1" applyFill="1" applyBorder="1" applyAlignment="1"/>
    <xf numFmtId="43" fontId="8" fillId="5" borderId="2" xfId="1" applyFont="1" applyFill="1" applyBorder="1" applyAlignment="1">
      <alignment horizontal="center"/>
    </xf>
    <xf numFmtId="43" fontId="9" fillId="5" borderId="2" xfId="1" applyFont="1" applyFill="1" applyBorder="1" applyAlignment="1">
      <alignment horizontal="center"/>
    </xf>
    <xf numFmtId="43" fontId="7" fillId="6" borderId="2" xfId="1" applyFont="1" applyFill="1" applyBorder="1" applyAlignment="1">
      <alignment horizontal="left" indent="4"/>
    </xf>
    <xf numFmtId="43" fontId="6" fillId="6" borderId="2" xfId="1" applyFont="1" applyFill="1" applyBorder="1" applyAlignment="1"/>
    <xf numFmtId="43" fontId="10" fillId="6" borderId="2" xfId="1" applyFont="1" applyFill="1" applyBorder="1" applyAlignment="1">
      <alignment vertical="top" wrapText="1" readingOrder="1"/>
    </xf>
    <xf numFmtId="43" fontId="6" fillId="6" borderId="2" xfId="1" applyFont="1" applyFill="1" applyBorder="1" applyAlignment="1">
      <alignment horizontal="left"/>
    </xf>
    <xf numFmtId="43" fontId="11" fillId="6" borderId="2" xfId="1" applyFont="1" applyFill="1" applyBorder="1" applyAlignment="1">
      <alignment vertical="top" wrapText="1" readingOrder="1"/>
    </xf>
    <xf numFmtId="165" fontId="7" fillId="6" borderId="2" xfId="3" applyNumberFormat="1" applyFont="1" applyFill="1" applyBorder="1" applyAlignment="1">
      <alignment horizontal="left" indent="4"/>
    </xf>
    <xf numFmtId="43" fontId="0" fillId="0" borderId="0" xfId="1" applyFont="1"/>
    <xf numFmtId="43" fontId="2" fillId="2" borderId="0" xfId="1" applyFont="1" applyFill="1"/>
    <xf numFmtId="43" fontId="0" fillId="2" borderId="0" xfId="1" applyFont="1" applyFill="1"/>
    <xf numFmtId="17" fontId="4" fillId="5" borderId="3" xfId="1" applyNumberFormat="1" applyFont="1" applyFill="1" applyBorder="1" applyAlignment="1">
      <alignment horizontal="center" vertical="top"/>
    </xf>
    <xf numFmtId="43" fontId="4" fillId="5" borderId="4" xfId="1" applyFont="1" applyFill="1" applyBorder="1" applyAlignment="1">
      <alignment horizontal="center" vertical="top"/>
    </xf>
    <xf numFmtId="43" fontId="13" fillId="7" borderId="0" xfId="1" applyFont="1" applyFill="1" applyBorder="1" applyAlignment="1">
      <alignment vertical="top"/>
    </xf>
    <xf numFmtId="43" fontId="0" fillId="8" borderId="0" xfId="1" applyFont="1" applyFill="1"/>
    <xf numFmtId="43" fontId="0" fillId="8" borderId="0" xfId="1" applyFont="1" applyFill="1" applyBorder="1"/>
    <xf numFmtId="43" fontId="0" fillId="9" borderId="0" xfId="1" applyFont="1" applyFill="1"/>
    <xf numFmtId="43" fontId="11" fillId="8" borderId="0" xfId="1" applyFont="1" applyFill="1" applyBorder="1" applyAlignment="1">
      <alignment horizontal="left" vertical="top"/>
    </xf>
    <xf numFmtId="9" fontId="0" fillId="0" borderId="0" xfId="2" applyFont="1"/>
    <xf numFmtId="43" fontId="0" fillId="10" borderId="0" xfId="1" applyFont="1" applyFill="1"/>
    <xf numFmtId="43" fontId="3" fillId="10" borderId="1" xfId="1" applyFont="1" applyFill="1" applyBorder="1"/>
    <xf numFmtId="43" fontId="0" fillId="10" borderId="0" xfId="1" applyFont="1" applyFill="1" applyAlignment="1">
      <alignment horizontal="center"/>
    </xf>
    <xf numFmtId="43" fontId="3" fillId="11" borderId="1" xfId="1" applyFont="1" applyFill="1" applyBorder="1"/>
    <xf numFmtId="43" fontId="0" fillId="11" borderId="0" xfId="1" applyFont="1" applyFill="1"/>
    <xf numFmtId="17" fontId="14" fillId="0" borderId="0" xfId="1" applyNumberFormat="1" applyFont="1" applyAlignment="1">
      <alignment horizontal="center"/>
    </xf>
    <xf numFmtId="17" fontId="14" fillId="0" borderId="0" xfId="1" applyNumberFormat="1" applyFont="1"/>
    <xf numFmtId="43" fontId="14" fillId="0" borderId="0" xfId="1" applyFont="1" applyAlignment="1">
      <alignment horizontal="center"/>
    </xf>
    <xf numFmtId="43" fontId="14" fillId="0" borderId="0" xfId="1" applyFont="1"/>
    <xf numFmtId="43" fontId="4" fillId="5" borderId="5" xfId="1" applyFont="1" applyFill="1" applyBorder="1" applyAlignment="1">
      <alignment horizontal="center" vertical="top"/>
    </xf>
    <xf numFmtId="43" fontId="0" fillId="0" borderId="6" xfId="1" applyFont="1" applyBorder="1"/>
    <xf numFmtId="43" fontId="15" fillId="0" borderId="0" xfId="1" applyFont="1"/>
    <xf numFmtId="9" fontId="7" fillId="4" borderId="2" xfId="2" applyFont="1" applyFill="1" applyBorder="1" applyAlignment="1">
      <alignment horizontal="left" indent="6"/>
    </xf>
    <xf numFmtId="10" fontId="9" fillId="5" borderId="2" xfId="2" applyNumberFormat="1" applyFont="1" applyFill="1" applyBorder="1" applyAlignment="1">
      <alignment horizontal="center"/>
    </xf>
    <xf numFmtId="10" fontId="0" fillId="0" borderId="0" xfId="2" applyNumberFormat="1" applyFont="1"/>
    <xf numFmtId="167" fontId="0" fillId="9" borderId="0" xfId="1" applyNumberFormat="1" applyFont="1" applyFill="1"/>
    <xf numFmtId="0" fontId="16" fillId="0" borderId="0" xfId="0" applyFont="1"/>
    <xf numFmtId="167" fontId="16" fillId="13" borderId="0" xfId="1" applyNumberFormat="1" applyFont="1" applyFill="1" applyBorder="1"/>
    <xf numFmtId="0" fontId="17" fillId="9" borderId="8" xfId="0" applyFont="1" applyFill="1" applyBorder="1" applyAlignment="1">
      <alignment horizontal="center"/>
    </xf>
    <xf numFmtId="0" fontId="17" fillId="9" borderId="9" xfId="0" applyFont="1" applyFill="1" applyBorder="1"/>
    <xf numFmtId="0" fontId="17" fillId="9" borderId="10" xfId="0" applyFont="1" applyFill="1" applyBorder="1"/>
    <xf numFmtId="0" fontId="17" fillId="9" borderId="0" xfId="0" applyFont="1" applyFill="1"/>
    <xf numFmtId="0" fontId="18" fillId="14" borderId="0" xfId="0" applyFont="1" applyFill="1"/>
    <xf numFmtId="167" fontId="16" fillId="13" borderId="0" xfId="1" applyNumberFormat="1" applyFont="1" applyFill="1"/>
    <xf numFmtId="165" fontId="6" fillId="4" borderId="2" xfId="3" applyNumberFormat="1" applyFont="1" applyFill="1" applyBorder="1" applyAlignment="1">
      <alignment horizontal="left"/>
    </xf>
    <xf numFmtId="167" fontId="0" fillId="8" borderId="0" xfId="1" applyNumberFormat="1" applyFont="1" applyFill="1"/>
    <xf numFmtId="167" fontId="0" fillId="8" borderId="0" xfId="1" applyNumberFormat="1" applyFont="1" applyFill="1" applyBorder="1"/>
    <xf numFmtId="0" fontId="16" fillId="14" borderId="0" xfId="0" applyFont="1" applyFill="1"/>
    <xf numFmtId="0" fontId="20" fillId="14" borderId="0" xfId="4" applyFont="1" applyFill="1" applyAlignment="1">
      <alignment vertical="top"/>
    </xf>
    <xf numFmtId="0" fontId="21" fillId="14" borderId="0" xfId="4" applyFont="1" applyFill="1" applyAlignment="1">
      <alignment vertical="top"/>
    </xf>
    <xf numFmtId="165" fontId="5" fillId="4" borderId="2" xfId="3" applyNumberFormat="1" applyFont="1" applyFill="1" applyBorder="1" applyAlignment="1">
      <alignment horizontal="left"/>
    </xf>
    <xf numFmtId="165" fontId="8" fillId="5" borderId="2" xfId="3" applyNumberFormat="1" applyFont="1" applyFill="1" applyBorder="1" applyAlignment="1">
      <alignment horizontal="center"/>
    </xf>
    <xf numFmtId="165" fontId="9" fillId="5" borderId="2" xfId="3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vertical="top" wrapText="1" readingOrder="1"/>
    </xf>
    <xf numFmtId="167" fontId="7" fillId="8" borderId="0" xfId="1" applyNumberFormat="1" applyFont="1" applyFill="1"/>
    <xf numFmtId="167" fontId="17" fillId="13" borderId="0" xfId="1" applyNumberFormat="1" applyFont="1" applyFill="1"/>
    <xf numFmtId="167" fontId="17" fillId="13" borderId="0" xfId="1" applyNumberFormat="1" applyFont="1" applyFill="1" applyBorder="1"/>
    <xf numFmtId="165" fontId="6" fillId="6" borderId="2" xfId="3" applyNumberFormat="1" applyFont="1" applyFill="1" applyBorder="1" applyAlignment="1"/>
    <xf numFmtId="165" fontId="6" fillId="6" borderId="2" xfId="3" applyNumberFormat="1" applyFont="1" applyFill="1" applyBorder="1" applyAlignment="1">
      <alignment horizontal="left"/>
    </xf>
    <xf numFmtId="0" fontId="11" fillId="6" borderId="2" xfId="0" applyFont="1" applyFill="1" applyBorder="1" applyAlignment="1">
      <alignment vertical="top" wrapText="1" readingOrder="1"/>
    </xf>
    <xf numFmtId="9" fontId="9" fillId="5" borderId="2" xfId="2" applyFont="1" applyFill="1" applyBorder="1" applyAlignment="1">
      <alignment horizontal="center"/>
    </xf>
    <xf numFmtId="168" fontId="9" fillId="5" borderId="2" xfId="2" applyNumberFormat="1" applyFont="1" applyFill="1" applyBorder="1" applyAlignment="1">
      <alignment horizontal="center"/>
    </xf>
    <xf numFmtId="0" fontId="20" fillId="14" borderId="0" xfId="4" applyFont="1" applyFill="1" applyAlignment="1">
      <alignment horizontal="center" vertical="center"/>
    </xf>
    <xf numFmtId="0" fontId="20" fillId="14" borderId="0" xfId="4" applyFont="1" applyFill="1" applyAlignment="1">
      <alignment horizontal="center" vertical="top"/>
    </xf>
    <xf numFmtId="43" fontId="0" fillId="0" borderId="0" xfId="1" applyFont="1" applyFill="1"/>
    <xf numFmtId="43" fontId="0" fillId="0" borderId="3" xfId="1" applyFont="1" applyFill="1" applyBorder="1"/>
    <xf numFmtId="43" fontId="0" fillId="0" borderId="12" xfId="1" applyFont="1" applyFill="1" applyBorder="1"/>
    <xf numFmtId="14" fontId="6" fillId="0" borderId="4" xfId="1" applyNumberFormat="1" applyFont="1" applyFill="1" applyBorder="1" applyAlignment="1"/>
    <xf numFmtId="14" fontId="0" fillId="0" borderId="13" xfId="1" applyNumberFormat="1" applyFont="1" applyFill="1" applyBorder="1"/>
    <xf numFmtId="14" fontId="0" fillId="0" borderId="0" xfId="1" applyNumberFormat="1" applyFont="1" applyFill="1"/>
    <xf numFmtId="43" fontId="0" fillId="0" borderId="13" xfId="1" applyFont="1" applyFill="1" applyBorder="1"/>
    <xf numFmtId="43" fontId="0" fillId="10" borderId="13" xfId="1" applyFont="1" applyFill="1" applyBorder="1"/>
    <xf numFmtId="169" fontId="0" fillId="0" borderId="13" xfId="1" applyNumberFormat="1" applyFont="1" applyFill="1" applyBorder="1"/>
    <xf numFmtId="43" fontId="0" fillId="16" borderId="13" xfId="1" applyFont="1" applyFill="1" applyBorder="1"/>
    <xf numFmtId="43" fontId="0" fillId="0" borderId="14" xfId="1" applyFont="1" applyFill="1" applyBorder="1"/>
    <xf numFmtId="43" fontId="0" fillId="17" borderId="13" xfId="1" applyFont="1" applyFill="1" applyBorder="1"/>
    <xf numFmtId="43" fontId="0" fillId="17" borderId="0" xfId="1" applyFont="1" applyFill="1"/>
    <xf numFmtId="43" fontId="0" fillId="0" borderId="15" xfId="1" applyFont="1" applyFill="1" applyBorder="1"/>
    <xf numFmtId="43" fontId="0" fillId="0" borderId="13" xfId="1" applyFont="1" applyBorder="1"/>
    <xf numFmtId="43" fontId="0" fillId="0" borderId="0" xfId="1" applyFont="1" applyBorder="1"/>
    <xf numFmtId="43" fontId="2" fillId="0" borderId="13" xfId="1" applyFont="1" applyFill="1" applyBorder="1"/>
    <xf numFmtId="43" fontId="2" fillId="0" borderId="0" xfId="1" applyFont="1" applyFill="1"/>
    <xf numFmtId="165" fontId="2" fillId="0" borderId="13" xfId="1" applyNumberFormat="1" applyFont="1" applyBorder="1"/>
    <xf numFmtId="43" fontId="0" fillId="18" borderId="13" xfId="1" applyFont="1" applyFill="1" applyBorder="1"/>
    <xf numFmtId="43" fontId="0" fillId="18" borderId="0" xfId="1" applyFont="1" applyFill="1"/>
    <xf numFmtId="43" fontId="2" fillId="18" borderId="0" xfId="1" applyFont="1" applyFill="1"/>
    <xf numFmtId="43" fontId="0" fillId="2" borderId="13" xfId="1" applyFont="1" applyFill="1" applyBorder="1"/>
    <xf numFmtId="43" fontId="2" fillId="2" borderId="13" xfId="1" applyFont="1" applyFill="1" applyBorder="1"/>
    <xf numFmtId="43" fontId="19" fillId="0" borderId="16" xfId="1" applyFont="1" applyFill="1" applyBorder="1" applyAlignment="1">
      <alignment vertical="top"/>
    </xf>
    <xf numFmtId="43" fontId="0" fillId="0" borderId="16" xfId="1" applyFont="1" applyFill="1" applyBorder="1"/>
    <xf numFmtId="43" fontId="0" fillId="0" borderId="7" xfId="1" applyFont="1" applyFill="1" applyBorder="1"/>
    <xf numFmtId="43" fontId="0" fillId="0" borderId="13" xfId="6" applyFont="1" applyBorder="1"/>
    <xf numFmtId="167" fontId="13" fillId="7" borderId="0" xfId="1" applyNumberFormat="1" applyFont="1" applyFill="1" applyBorder="1" applyAlignment="1">
      <alignment vertical="top"/>
    </xf>
    <xf numFmtId="167" fontId="0" fillId="0" borderId="0" xfId="1" applyNumberFormat="1" applyFont="1"/>
    <xf numFmtId="167" fontId="11" fillId="8" borderId="0" xfId="1" applyNumberFormat="1" applyFont="1" applyFill="1" applyBorder="1" applyAlignment="1">
      <alignment horizontal="left" vertical="top"/>
    </xf>
    <xf numFmtId="9" fontId="0" fillId="9" borderId="0" xfId="2" applyFont="1" applyFill="1"/>
    <xf numFmtId="167" fontId="0" fillId="0" borderId="0" xfId="0" applyNumberFormat="1"/>
    <xf numFmtId="167" fontId="0" fillId="0" borderId="6" xfId="1" applyNumberFormat="1" applyFont="1" applyBorder="1"/>
    <xf numFmtId="9" fontId="0" fillId="8" borderId="0" xfId="2" applyFont="1" applyFill="1"/>
    <xf numFmtId="167" fontId="15" fillId="0" borderId="0" xfId="1" applyNumberFormat="1" applyFont="1"/>
    <xf numFmtId="167" fontId="0" fillId="0" borderId="0" xfId="1" applyNumberFormat="1" applyFont="1" applyAlignment="1">
      <alignment wrapText="1"/>
    </xf>
    <xf numFmtId="167" fontId="0" fillId="0" borderId="0" xfId="1" applyNumberFormat="1" applyFont="1" applyAlignment="1">
      <alignment horizontal="center"/>
    </xf>
    <xf numFmtId="9" fontId="7" fillId="8" borderId="0" xfId="2" applyFont="1" applyFill="1"/>
    <xf numFmtId="10" fontId="7" fillId="8" borderId="0" xfId="2" applyNumberFormat="1" applyFont="1" applyFill="1"/>
    <xf numFmtId="17" fontId="0" fillId="0" borderId="0" xfId="0" applyNumberFormat="1"/>
    <xf numFmtId="43" fontId="0" fillId="0" borderId="0" xfId="0" applyNumberFormat="1"/>
    <xf numFmtId="3" fontId="0" fillId="0" borderId="0" xfId="0" applyNumberFormat="1"/>
    <xf numFmtId="1" fontId="0" fillId="0" borderId="0" xfId="1" applyNumberFormat="1" applyFont="1"/>
    <xf numFmtId="167" fontId="16" fillId="0" borderId="0" xfId="0" applyNumberFormat="1" applyFont="1"/>
    <xf numFmtId="3" fontId="16" fillId="0" borderId="0" xfId="0" applyNumberFormat="1" applyFont="1"/>
    <xf numFmtId="4" fontId="16" fillId="0" borderId="0" xfId="0" applyNumberFormat="1" applyFont="1"/>
    <xf numFmtId="0" fontId="22" fillId="15" borderId="0" xfId="0" applyFont="1" applyFill="1" applyAlignment="1">
      <alignment horizontal="center"/>
    </xf>
    <xf numFmtId="0" fontId="16" fillId="12" borderId="2" xfId="0" applyFont="1" applyFill="1" applyBorder="1" applyAlignment="1">
      <alignment horizontal="center" vertical="center"/>
    </xf>
    <xf numFmtId="0" fontId="16" fillId="12" borderId="7" xfId="0" applyFont="1" applyFill="1" applyBorder="1" applyAlignment="1">
      <alignment horizontal="center" vertical="center"/>
    </xf>
    <xf numFmtId="0" fontId="17" fillId="9" borderId="8" xfId="0" applyFont="1" applyFill="1" applyBorder="1" applyAlignment="1">
      <alignment horizontal="center"/>
    </xf>
    <xf numFmtId="0" fontId="17" fillId="9" borderId="10" xfId="0" applyFont="1" applyFill="1" applyBorder="1" applyAlignment="1">
      <alignment horizontal="center"/>
    </xf>
    <xf numFmtId="0" fontId="17" fillId="9" borderId="11" xfId="0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</cellXfs>
  <cellStyles count="7">
    <cellStyle name="Comma" xfId="1" builtinId="3"/>
    <cellStyle name="Comma 17" xfId="6" xr:uid="{CF529CDE-15A9-4C23-88C5-85D66D74DB0E}"/>
    <cellStyle name="Comma 3" xfId="3" xr:uid="{CB66CA68-346C-4C81-9D11-5CF1117A4290}"/>
    <cellStyle name="Normal" xfId="0" builtinId="0"/>
    <cellStyle name="Normal 12 3" xfId="5" xr:uid="{C9E3A4F8-52C9-4862-8E7E-D7DFDC70431F}"/>
    <cellStyle name="Normal 2" xfId="4" xr:uid="{32A2F5AE-9958-40B1-8606-722EC53A1DBB}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eena\2025\2-MIS\oct-25\MIS%20DATA%20OCT%20-25.xlsx" TargetMode="External"/><Relationship Id="rId1" Type="http://schemas.openxmlformats.org/officeDocument/2006/relationships/externalLinkPath" Target="MIS%20DATA%20OCT%20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heet"/>
      <sheetName val="summery"/>
      <sheetName val="Demo P&amp;L"/>
      <sheetName val="WO Analysis"/>
      <sheetName val="Cash Flow"/>
      <sheetName val="MIS"/>
      <sheetName val="ALL"/>
      <sheetName val="HO"/>
      <sheetName val="KTM"/>
      <sheetName val="TCR"/>
      <sheetName val="CSA"/>
      <sheetName val="CLT"/>
      <sheetName val="General ledger"/>
      <sheetName val="Prepaid"/>
      <sheetName val="Notes"/>
      <sheetName val="TB"/>
    </sheetNames>
    <sheetDataSet>
      <sheetData sheetId="0"/>
      <sheetData sheetId="1"/>
      <sheetData sheetId="2"/>
      <sheetData sheetId="3"/>
      <sheetData sheetId="4"/>
      <sheetData sheetId="5">
        <row r="249">
          <cell r="B249">
            <v>1541678.1686297008</v>
          </cell>
          <cell r="C249">
            <v>339274.90282051271</v>
          </cell>
          <cell r="D249">
            <v>1006531.5890073058</v>
          </cell>
          <cell r="E249">
            <v>581103.25333956233</v>
          </cell>
          <cell r="F249">
            <v>-1215828.9545724951</v>
          </cell>
          <cell r="G249">
            <v>1208996.5514962336</v>
          </cell>
          <cell r="H249">
            <v>292999.59504159598</v>
          </cell>
          <cell r="I249">
            <v>-630946.62386395957</v>
          </cell>
          <cell r="J249">
            <v>-727632.32407692308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91C0-C568-42E4-BB75-08D548831EEE}">
  <sheetPr>
    <tabColor rgb="FFC00000"/>
  </sheetPr>
  <dimension ref="A1:FM272"/>
  <sheetViews>
    <sheetView topLeftCell="DU217" zoomScale="82" zoomScaleNormal="82" workbookViewId="0">
      <selection activeCell="FI249" sqref="FI249:FJ249"/>
    </sheetView>
  </sheetViews>
  <sheetFormatPr defaultRowHeight="15" outlineLevelRow="2" outlineLevelCol="1"/>
  <cols>
    <col min="1" max="8" width="11.85546875" hidden="1" customWidth="1" outlineLevel="1"/>
    <col min="9" max="9" width="11.85546875" hidden="1" customWidth="1" outlineLevel="1" collapsed="1"/>
    <col min="10" max="10" width="11.85546875" bestFit="1" customWidth="1" collapsed="1"/>
    <col min="11" max="12" width="11.85546875" hidden="1" customWidth="1" outlineLevel="1"/>
    <col min="13" max="13" width="12.85546875" bestFit="1" customWidth="1" collapsed="1"/>
    <col min="14" max="14" width="42.7109375" style="22" bestFit="1" customWidth="1"/>
    <col min="15" max="23" width="11.85546875" hidden="1" customWidth="1" outlineLevel="1"/>
    <col min="24" max="24" width="11.85546875" bestFit="1" customWidth="1" collapsed="1"/>
    <col min="25" max="26" width="6.5703125" hidden="1" customWidth="1" outlineLevel="1"/>
    <col min="27" max="27" width="12.85546875" bestFit="1" customWidth="1" collapsed="1"/>
    <col min="28" max="28" width="7.5703125" bestFit="1" customWidth="1"/>
    <col min="29" max="37" width="11.85546875" hidden="1" customWidth="1" outlineLevel="1"/>
    <col min="38" max="38" width="11.85546875" bestFit="1" customWidth="1" collapsed="1"/>
    <col min="39" max="40" width="11.85546875" hidden="1" customWidth="1" outlineLevel="1"/>
    <col min="41" max="41" width="12.85546875" bestFit="1" customWidth="1" collapsed="1"/>
    <col min="43" max="50" width="11.85546875" hidden="1" customWidth="1" outlineLevel="1"/>
    <col min="51" max="51" width="11.85546875" hidden="1" customWidth="1" outlineLevel="1" collapsed="1"/>
    <col min="52" max="52" width="11.85546875" bestFit="1" customWidth="1" collapsed="1"/>
    <col min="53" max="54" width="11.85546875" hidden="1" customWidth="1" outlineLevel="1"/>
    <col min="55" max="55" width="12.85546875" bestFit="1" customWidth="1" collapsed="1"/>
    <col min="56" max="56" width="42.7109375" bestFit="1" customWidth="1"/>
    <col min="57" max="64" width="11.85546875" hidden="1" customWidth="1" outlineLevel="1"/>
    <col min="65" max="65" width="11.85546875" hidden="1" customWidth="1" outlineLevel="1" collapsed="1"/>
    <col min="66" max="66" width="11.85546875" bestFit="1" customWidth="1" collapsed="1"/>
    <col min="67" max="68" width="6.5703125" hidden="1" customWidth="1" outlineLevel="1"/>
    <col min="69" max="69" width="12.85546875" bestFit="1" customWidth="1" collapsed="1"/>
    <col min="70" max="70" width="7.5703125" bestFit="1" customWidth="1"/>
    <col min="71" max="78" width="11.85546875" hidden="1" customWidth="1" outlineLevel="1"/>
    <col min="79" max="79" width="11.85546875" hidden="1" customWidth="1" outlineLevel="1" collapsed="1"/>
    <col min="80" max="80" width="11.85546875" bestFit="1" customWidth="1" collapsed="1"/>
    <col min="81" max="82" width="11.85546875" hidden="1" customWidth="1" outlineLevel="1"/>
    <col min="83" max="83" width="12.85546875" bestFit="1" customWidth="1" collapsed="1"/>
    <col min="85" max="87" width="11.85546875" hidden="1" customWidth="1" outlineLevel="1"/>
    <col min="88" max="88" width="10.28515625" hidden="1" customWidth="1" outlineLevel="1"/>
    <col min="89" max="92" width="11.85546875" hidden="1" customWidth="1" outlineLevel="1"/>
    <col min="93" max="93" width="11.85546875" hidden="1" customWidth="1" outlineLevel="1" collapsed="1"/>
    <col min="94" max="94" width="11.85546875" bestFit="1" customWidth="1" collapsed="1"/>
    <col min="95" max="96" width="11.85546875" hidden="1" customWidth="1" outlineLevel="1"/>
    <col min="97" max="97" width="12.85546875" bestFit="1" customWidth="1" collapsed="1"/>
    <col min="98" max="98" width="42.7109375" bestFit="1" customWidth="1"/>
    <col min="99" max="99" width="11.85546875" hidden="1" customWidth="1" outlineLevel="1"/>
    <col min="100" max="100" width="10.28515625" hidden="1" customWidth="1" outlineLevel="1"/>
    <col min="101" max="101" width="11.85546875" hidden="1" customWidth="1" outlineLevel="1"/>
    <col min="102" max="102" width="10.28515625" hidden="1" customWidth="1" outlineLevel="1"/>
    <col min="103" max="106" width="11.85546875" hidden="1" customWidth="1" outlineLevel="1"/>
    <col min="107" max="107" width="11.85546875" hidden="1" customWidth="1" outlineLevel="1" collapsed="1"/>
    <col min="108" max="108" width="11.85546875" bestFit="1" customWidth="1" collapsed="1"/>
    <col min="109" max="110" width="6.5703125" hidden="1" customWidth="1" outlineLevel="1"/>
    <col min="111" max="111" width="12.85546875" bestFit="1" customWidth="1" collapsed="1"/>
    <col min="112" max="112" width="7.5703125" bestFit="1" customWidth="1"/>
    <col min="113" max="120" width="11.85546875" hidden="1" customWidth="1" outlineLevel="1"/>
    <col min="121" max="121" width="11.85546875" hidden="1" customWidth="1" outlineLevel="1" collapsed="1"/>
    <col min="122" max="122" width="11.85546875" bestFit="1" customWidth="1" collapsed="1"/>
    <col min="123" max="124" width="11.85546875" hidden="1" customWidth="1" outlineLevel="1"/>
    <col min="125" max="125" width="12.85546875" bestFit="1" customWidth="1" collapsed="1"/>
    <col min="127" max="127" width="12.140625" hidden="1" customWidth="1" outlineLevel="1"/>
    <col min="128" max="134" width="6.5703125" hidden="1" customWidth="1" outlineLevel="1"/>
    <col min="135" max="135" width="6.5703125" hidden="1" customWidth="1" outlineLevel="1" collapsed="1"/>
    <col min="136" max="136" width="6.5703125" bestFit="1" customWidth="1" collapsed="1"/>
    <col min="137" max="138" width="6.5703125" hidden="1" customWidth="1" outlineLevel="1"/>
    <col min="139" max="139" width="8.28515625" bestFit="1" customWidth="1" collapsed="1"/>
    <col min="140" max="140" width="42.7109375" bestFit="1" customWidth="1"/>
    <col min="141" max="141" width="12.140625" hidden="1" customWidth="1" outlineLevel="1"/>
    <col min="142" max="145" width="11" hidden="1" customWidth="1" outlineLevel="1"/>
    <col min="146" max="146" width="10.28515625" hidden="1" customWidth="1" outlineLevel="1"/>
    <col min="147" max="148" width="11" hidden="1" customWidth="1" outlineLevel="1"/>
    <col min="149" max="149" width="11" hidden="1" customWidth="1" outlineLevel="1" collapsed="1"/>
    <col min="150" max="150" width="11" bestFit="1" customWidth="1" collapsed="1"/>
    <col min="151" max="152" width="6.5703125" hidden="1" customWidth="1" outlineLevel="1"/>
    <col min="153" max="153" width="12.5703125" bestFit="1" customWidth="1" collapsed="1"/>
    <col min="154" max="154" width="7.5703125" bestFit="1" customWidth="1"/>
    <col min="155" max="155" width="12.140625" hidden="1" customWidth="1" outlineLevel="1"/>
    <col min="156" max="156" width="11" hidden="1" customWidth="1" outlineLevel="1"/>
    <col min="157" max="157" width="10.28515625" hidden="1" customWidth="1" outlineLevel="1"/>
    <col min="158" max="158" width="11" hidden="1" customWidth="1" outlineLevel="1"/>
    <col min="159" max="162" width="10.28515625" hidden="1" customWidth="1" outlineLevel="1"/>
    <col min="163" max="163" width="10.28515625" hidden="1" customWidth="1" outlineLevel="1" collapsed="1"/>
    <col min="164" max="164" width="11" bestFit="1" customWidth="1" collapsed="1"/>
    <col min="165" max="166" width="10.28515625" hidden="1" customWidth="1" outlineLevel="1"/>
    <col min="167" max="167" width="11.85546875" bestFit="1" customWidth="1" collapsed="1"/>
    <col min="169" max="169" width="9.42578125" bestFit="1" customWidth="1"/>
  </cols>
  <sheetData>
    <row r="1" spans="1:167" ht="14.45" customHeight="1" thickBot="1">
      <c r="A1" s="23" t="s">
        <v>205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" t="s">
        <v>0</v>
      </c>
      <c r="O1" s="23" t="s">
        <v>205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C1" s="23" t="s">
        <v>205</v>
      </c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Q1" s="34" t="s">
        <v>209</v>
      </c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4" t="str">
        <f>N1</f>
        <v>BRIDGEWAY MOTORS - MIS REPORT</v>
      </c>
      <c r="BE1" s="34" t="s">
        <v>209</v>
      </c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5"/>
      <c r="BS1" s="34" t="s">
        <v>209</v>
      </c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4" t="s">
        <v>209</v>
      </c>
      <c r="CF1" s="22"/>
      <c r="CG1" s="36" t="s">
        <v>210</v>
      </c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6" t="str">
        <f>BD1</f>
        <v>BRIDGEWAY MOTORS - MIS REPORT</v>
      </c>
      <c r="CU1" s="36" t="s">
        <v>210</v>
      </c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6" t="s">
        <v>210</v>
      </c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6"/>
      <c r="DW1" s="36" t="s">
        <v>212</v>
      </c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6" t="str">
        <f>CT1</f>
        <v>BRIDGEWAY MOTORS - MIS REPORT</v>
      </c>
      <c r="EK1" s="36" t="s">
        <v>212</v>
      </c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6" t="s">
        <v>212</v>
      </c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6"/>
    </row>
    <row r="2" spans="1:167" ht="14.45" customHeight="1">
      <c r="A2" s="25">
        <v>45292</v>
      </c>
      <c r="B2" s="25">
        <v>45323</v>
      </c>
      <c r="C2" s="25">
        <v>45352</v>
      </c>
      <c r="D2" s="25">
        <v>45383</v>
      </c>
      <c r="E2" s="25">
        <v>45413</v>
      </c>
      <c r="F2" s="25">
        <v>45444</v>
      </c>
      <c r="G2" s="25">
        <v>45474</v>
      </c>
      <c r="H2" s="25">
        <v>45505</v>
      </c>
      <c r="I2" s="25">
        <v>45536</v>
      </c>
      <c r="J2" s="25">
        <v>45566</v>
      </c>
      <c r="K2" s="25">
        <v>45597</v>
      </c>
      <c r="L2" s="25">
        <v>45627</v>
      </c>
      <c r="M2" s="25" t="s">
        <v>245</v>
      </c>
      <c r="N2" s="2" t="s">
        <v>1</v>
      </c>
      <c r="O2" s="25">
        <v>45658</v>
      </c>
      <c r="P2" s="25">
        <v>45689</v>
      </c>
      <c r="Q2" s="25">
        <v>45717</v>
      </c>
      <c r="R2" s="25">
        <v>45748</v>
      </c>
      <c r="S2" s="25">
        <v>45778</v>
      </c>
      <c r="T2" s="25">
        <v>45809</v>
      </c>
      <c r="U2" s="25">
        <v>45839</v>
      </c>
      <c r="V2" s="25">
        <v>45870</v>
      </c>
      <c r="W2" s="25">
        <v>45901</v>
      </c>
      <c r="X2" s="25">
        <v>45931</v>
      </c>
      <c r="Y2" s="25">
        <v>45962</v>
      </c>
      <c r="Z2" s="25">
        <v>45992</v>
      </c>
      <c r="AA2" s="25" t="s">
        <v>207</v>
      </c>
      <c r="AC2" s="25">
        <v>45658</v>
      </c>
      <c r="AD2" s="25">
        <v>45689</v>
      </c>
      <c r="AE2" s="25">
        <v>45717</v>
      </c>
      <c r="AF2" s="25">
        <v>45748</v>
      </c>
      <c r="AG2" s="25">
        <v>45778</v>
      </c>
      <c r="AH2" s="25">
        <v>45809</v>
      </c>
      <c r="AI2" s="25">
        <v>45839</v>
      </c>
      <c r="AJ2" s="25">
        <v>45870</v>
      </c>
      <c r="AK2" s="25">
        <v>45901</v>
      </c>
      <c r="AL2" s="25">
        <v>45931</v>
      </c>
      <c r="AM2" s="25">
        <v>45962</v>
      </c>
      <c r="AN2" s="25">
        <v>45992</v>
      </c>
      <c r="AO2" s="25" t="s">
        <v>207</v>
      </c>
      <c r="AQ2" s="25">
        <v>45292</v>
      </c>
      <c r="AR2" s="25">
        <v>45323</v>
      </c>
      <c r="AS2" s="25">
        <v>45352</v>
      </c>
      <c r="AT2" s="25">
        <v>45383</v>
      </c>
      <c r="AU2" s="25">
        <v>45413</v>
      </c>
      <c r="AV2" s="25">
        <v>45444</v>
      </c>
      <c r="AW2" s="25">
        <v>45474</v>
      </c>
      <c r="AX2" s="25">
        <v>45505</v>
      </c>
      <c r="AY2" s="25">
        <v>45536</v>
      </c>
      <c r="AZ2" s="25">
        <v>45566</v>
      </c>
      <c r="BA2" s="25">
        <v>45597</v>
      </c>
      <c r="BB2" s="25">
        <v>45627</v>
      </c>
      <c r="BC2" s="25" t="s">
        <v>245</v>
      </c>
      <c r="BD2" s="2" t="s">
        <v>1</v>
      </c>
      <c r="BE2" s="25">
        <v>45658</v>
      </c>
      <c r="BF2" s="25">
        <v>45689</v>
      </c>
      <c r="BG2" s="25">
        <v>45717</v>
      </c>
      <c r="BH2" s="25">
        <v>45748</v>
      </c>
      <c r="BI2" s="25">
        <v>45778</v>
      </c>
      <c r="BJ2" s="25">
        <v>45809</v>
      </c>
      <c r="BK2" s="25">
        <v>45839</v>
      </c>
      <c r="BL2" s="25">
        <v>45870</v>
      </c>
      <c r="BM2" s="25">
        <v>45901</v>
      </c>
      <c r="BN2" s="25">
        <v>45931</v>
      </c>
      <c r="BO2" s="25">
        <v>45962</v>
      </c>
      <c r="BP2" s="25">
        <v>45992</v>
      </c>
      <c r="BQ2" s="25" t="s">
        <v>207</v>
      </c>
      <c r="BR2" s="38"/>
      <c r="BS2" s="25">
        <v>45658</v>
      </c>
      <c r="BT2" s="25">
        <v>45689</v>
      </c>
      <c r="BU2" s="25">
        <v>45717</v>
      </c>
      <c r="BV2" s="25">
        <v>45748</v>
      </c>
      <c r="BW2" s="25">
        <v>45778</v>
      </c>
      <c r="BX2" s="25">
        <v>45809</v>
      </c>
      <c r="BY2" s="25">
        <v>45839</v>
      </c>
      <c r="BZ2" s="25">
        <v>45870</v>
      </c>
      <c r="CA2" s="25">
        <v>45901</v>
      </c>
      <c r="CB2" s="25">
        <v>45931</v>
      </c>
      <c r="CC2" s="25">
        <v>45962</v>
      </c>
      <c r="CD2" s="25">
        <v>45992</v>
      </c>
      <c r="CE2" s="25" t="s">
        <v>207</v>
      </c>
      <c r="CF2" s="39"/>
      <c r="CG2" s="25">
        <v>45292</v>
      </c>
      <c r="CH2" s="25">
        <v>45323</v>
      </c>
      <c r="CI2" s="25">
        <v>45352</v>
      </c>
      <c r="CJ2" s="25">
        <v>45383</v>
      </c>
      <c r="CK2" s="25">
        <v>45413</v>
      </c>
      <c r="CL2" s="25">
        <v>45444</v>
      </c>
      <c r="CM2" s="25">
        <v>45474</v>
      </c>
      <c r="CN2" s="25">
        <v>45505</v>
      </c>
      <c r="CO2" s="25">
        <v>45536</v>
      </c>
      <c r="CP2" s="25">
        <v>45566</v>
      </c>
      <c r="CQ2" s="25">
        <v>45597</v>
      </c>
      <c r="CR2" s="25">
        <v>45627</v>
      </c>
      <c r="CS2" s="25" t="s">
        <v>245</v>
      </c>
      <c r="CT2" s="2" t="s">
        <v>1</v>
      </c>
      <c r="CU2" s="25">
        <v>45658</v>
      </c>
      <c r="CV2" s="25">
        <v>45689</v>
      </c>
      <c r="CW2" s="25">
        <v>45717</v>
      </c>
      <c r="CX2" s="25">
        <v>45748</v>
      </c>
      <c r="CY2" s="25">
        <v>45778</v>
      </c>
      <c r="CZ2" s="25">
        <v>45809</v>
      </c>
      <c r="DA2" s="25">
        <v>45839</v>
      </c>
      <c r="DB2" s="25">
        <v>45870</v>
      </c>
      <c r="DC2" s="25">
        <v>45901</v>
      </c>
      <c r="DD2" s="25">
        <v>45931</v>
      </c>
      <c r="DE2" s="25">
        <v>45962</v>
      </c>
      <c r="DF2" s="25">
        <v>45992</v>
      </c>
      <c r="DG2" s="25" t="s">
        <v>207</v>
      </c>
      <c r="DH2" s="39"/>
      <c r="DI2" s="25">
        <v>45658</v>
      </c>
      <c r="DJ2" s="25">
        <v>45689</v>
      </c>
      <c r="DK2" s="25">
        <v>45717</v>
      </c>
      <c r="DL2" s="25">
        <v>45748</v>
      </c>
      <c r="DM2" s="25">
        <v>45778</v>
      </c>
      <c r="DN2" s="25">
        <v>45809</v>
      </c>
      <c r="DO2" s="25">
        <v>45839</v>
      </c>
      <c r="DP2" s="25">
        <v>45870</v>
      </c>
      <c r="DQ2" s="25">
        <v>45901</v>
      </c>
      <c r="DR2" s="25">
        <v>45931</v>
      </c>
      <c r="DS2" s="25">
        <v>45962</v>
      </c>
      <c r="DT2" s="25">
        <v>45992</v>
      </c>
      <c r="DU2" s="25" t="s">
        <v>207</v>
      </c>
      <c r="DW2" s="25">
        <v>45292</v>
      </c>
      <c r="DX2" s="25">
        <v>45323</v>
      </c>
      <c r="DY2" s="25">
        <v>45352</v>
      </c>
      <c r="DZ2" s="25">
        <v>45383</v>
      </c>
      <c r="EA2" s="25">
        <v>45413</v>
      </c>
      <c r="EB2" s="25">
        <v>45444</v>
      </c>
      <c r="EC2" s="25">
        <v>45474</v>
      </c>
      <c r="ED2" s="25">
        <v>45505</v>
      </c>
      <c r="EE2" s="25">
        <v>45536</v>
      </c>
      <c r="EF2" s="25">
        <v>45566</v>
      </c>
      <c r="EG2" s="25">
        <v>45597</v>
      </c>
      <c r="EH2" s="25">
        <v>45627</v>
      </c>
      <c r="EI2" s="25" t="s">
        <v>245</v>
      </c>
      <c r="EJ2" s="2" t="s">
        <v>1</v>
      </c>
      <c r="EK2" s="25">
        <v>45658</v>
      </c>
      <c r="EL2" s="25">
        <v>45689</v>
      </c>
      <c r="EM2" s="25">
        <v>45717</v>
      </c>
      <c r="EN2" s="25">
        <v>45748</v>
      </c>
      <c r="EO2" s="25">
        <v>45778</v>
      </c>
      <c r="EP2" s="25">
        <v>45809</v>
      </c>
      <c r="EQ2" s="25">
        <v>45839</v>
      </c>
      <c r="ER2" s="25">
        <v>45870</v>
      </c>
      <c r="ES2" s="25">
        <v>45901</v>
      </c>
      <c r="ET2" s="25">
        <v>45931</v>
      </c>
      <c r="EU2" s="25">
        <v>45962</v>
      </c>
      <c r="EV2" s="25">
        <v>45992</v>
      </c>
      <c r="EW2" s="25" t="s">
        <v>207</v>
      </c>
      <c r="EX2" s="39"/>
      <c r="EY2" s="25">
        <v>45658</v>
      </c>
      <c r="EZ2" s="25">
        <v>45689</v>
      </c>
      <c r="FA2" s="25">
        <v>45717</v>
      </c>
      <c r="FB2" s="25">
        <v>45748</v>
      </c>
      <c r="FC2" s="25">
        <v>45778</v>
      </c>
      <c r="FD2" s="25">
        <v>45809</v>
      </c>
      <c r="FE2" s="25">
        <v>45839</v>
      </c>
      <c r="FF2" s="25">
        <v>45870</v>
      </c>
      <c r="FG2" s="25">
        <v>45901</v>
      </c>
      <c r="FH2" s="25">
        <v>45931</v>
      </c>
      <c r="FI2" s="25">
        <v>45962</v>
      </c>
      <c r="FJ2" s="25">
        <v>45992</v>
      </c>
      <c r="FK2" s="25" t="s">
        <v>207</v>
      </c>
    </row>
    <row r="3" spans="1:167" ht="14.45" customHeight="1">
      <c r="A3" s="26" t="s">
        <v>206</v>
      </c>
      <c r="B3" s="26" t="s">
        <v>206</v>
      </c>
      <c r="C3" s="26" t="s">
        <v>206</v>
      </c>
      <c r="D3" s="26" t="s">
        <v>206</v>
      </c>
      <c r="E3" s="26" t="s">
        <v>206</v>
      </c>
      <c r="F3" s="26" t="s">
        <v>206</v>
      </c>
      <c r="G3" s="26" t="s">
        <v>206</v>
      </c>
      <c r="H3" s="26" t="s">
        <v>206</v>
      </c>
      <c r="I3" s="26" t="s">
        <v>206</v>
      </c>
      <c r="J3" s="26" t="s">
        <v>206</v>
      </c>
      <c r="K3" s="26" t="s">
        <v>206</v>
      </c>
      <c r="L3" s="26" t="s">
        <v>206</v>
      </c>
      <c r="M3" s="26" t="s">
        <v>206</v>
      </c>
      <c r="N3" s="3" t="s">
        <v>2</v>
      </c>
      <c r="O3" s="26" t="s">
        <v>206</v>
      </c>
      <c r="P3" s="26" t="s">
        <v>206</v>
      </c>
      <c r="Q3" s="26" t="s">
        <v>206</v>
      </c>
      <c r="R3" s="26" t="s">
        <v>206</v>
      </c>
      <c r="S3" s="26" t="s">
        <v>206</v>
      </c>
      <c r="T3" s="26" t="s">
        <v>206</v>
      </c>
      <c r="U3" s="26" t="s">
        <v>206</v>
      </c>
      <c r="V3" s="26" t="s">
        <v>206</v>
      </c>
      <c r="W3" s="26" t="s">
        <v>206</v>
      </c>
      <c r="X3" s="26" t="s">
        <v>206</v>
      </c>
      <c r="Y3" s="26" t="s">
        <v>206</v>
      </c>
      <c r="Z3" s="26" t="s">
        <v>206</v>
      </c>
      <c r="AA3" s="26" t="s">
        <v>206</v>
      </c>
      <c r="AC3" s="26" t="s">
        <v>208</v>
      </c>
      <c r="AD3" s="26" t="s">
        <v>208</v>
      </c>
      <c r="AE3" s="26" t="s">
        <v>208</v>
      </c>
      <c r="AF3" s="26" t="s">
        <v>208</v>
      </c>
      <c r="AG3" s="26" t="s">
        <v>208</v>
      </c>
      <c r="AH3" s="26" t="s">
        <v>208</v>
      </c>
      <c r="AI3" s="26" t="s">
        <v>208</v>
      </c>
      <c r="AJ3" s="26" t="s">
        <v>208</v>
      </c>
      <c r="AK3" s="26" t="s">
        <v>208</v>
      </c>
      <c r="AL3" s="26" t="s">
        <v>208</v>
      </c>
      <c r="AM3" s="26" t="s">
        <v>208</v>
      </c>
      <c r="AN3" s="26" t="s">
        <v>208</v>
      </c>
      <c r="AO3" s="26" t="s">
        <v>208</v>
      </c>
      <c r="AQ3" s="26" t="s">
        <v>206</v>
      </c>
      <c r="AR3" s="26" t="s">
        <v>206</v>
      </c>
      <c r="AS3" s="26" t="s">
        <v>206</v>
      </c>
      <c r="AT3" s="26" t="s">
        <v>206</v>
      </c>
      <c r="AU3" s="26" t="s">
        <v>206</v>
      </c>
      <c r="AV3" s="26" t="s">
        <v>206</v>
      </c>
      <c r="AW3" s="26" t="s">
        <v>206</v>
      </c>
      <c r="AX3" s="26" t="s">
        <v>206</v>
      </c>
      <c r="AY3" s="26" t="s">
        <v>206</v>
      </c>
      <c r="AZ3" s="26" t="s">
        <v>206</v>
      </c>
      <c r="BA3" s="26" t="s">
        <v>206</v>
      </c>
      <c r="BB3" s="26" t="s">
        <v>206</v>
      </c>
      <c r="BC3" s="26" t="s">
        <v>206</v>
      </c>
      <c r="BD3" s="3" t="str">
        <f>N3</f>
        <v>Rs in Lakhs</v>
      </c>
      <c r="BE3" s="26" t="s">
        <v>206</v>
      </c>
      <c r="BF3" s="26" t="s">
        <v>206</v>
      </c>
      <c r="BG3" s="26" t="s">
        <v>206</v>
      </c>
      <c r="BH3" s="26" t="s">
        <v>206</v>
      </c>
      <c r="BI3" s="26" t="s">
        <v>206</v>
      </c>
      <c r="BJ3" s="26" t="s">
        <v>206</v>
      </c>
      <c r="BK3" s="26" t="s">
        <v>206</v>
      </c>
      <c r="BL3" s="26" t="s">
        <v>206</v>
      </c>
      <c r="BM3" s="26" t="s">
        <v>206</v>
      </c>
      <c r="BN3" s="26" t="s">
        <v>206</v>
      </c>
      <c r="BO3" s="26" t="s">
        <v>206</v>
      </c>
      <c r="BP3" s="26" t="s">
        <v>206</v>
      </c>
      <c r="BQ3" s="26" t="s">
        <v>206</v>
      </c>
      <c r="BR3" s="40"/>
      <c r="BS3" s="26" t="s">
        <v>208</v>
      </c>
      <c r="BT3" s="26" t="s">
        <v>208</v>
      </c>
      <c r="BU3" s="26" t="s">
        <v>208</v>
      </c>
      <c r="BV3" s="26" t="s">
        <v>208</v>
      </c>
      <c r="BW3" s="26" t="s">
        <v>208</v>
      </c>
      <c r="BX3" s="26" t="s">
        <v>208</v>
      </c>
      <c r="BY3" s="26" t="s">
        <v>208</v>
      </c>
      <c r="BZ3" s="26" t="s">
        <v>208</v>
      </c>
      <c r="CA3" s="26" t="s">
        <v>208</v>
      </c>
      <c r="CB3" s="26" t="s">
        <v>208</v>
      </c>
      <c r="CC3" s="26" t="s">
        <v>208</v>
      </c>
      <c r="CD3" s="26" t="s">
        <v>208</v>
      </c>
      <c r="CE3" s="26" t="s">
        <v>208</v>
      </c>
      <c r="CF3" s="41"/>
      <c r="CG3" s="42" t="s">
        <v>206</v>
      </c>
      <c r="CH3" s="26" t="s">
        <v>206</v>
      </c>
      <c r="CI3" s="26" t="s">
        <v>206</v>
      </c>
      <c r="CJ3" s="26" t="s">
        <v>206</v>
      </c>
      <c r="CK3" s="26" t="s">
        <v>206</v>
      </c>
      <c r="CL3" s="26" t="s">
        <v>206</v>
      </c>
      <c r="CM3" s="26" t="s">
        <v>206</v>
      </c>
      <c r="CN3" s="26" t="s">
        <v>206</v>
      </c>
      <c r="CO3" s="26" t="s">
        <v>206</v>
      </c>
      <c r="CP3" s="26" t="s">
        <v>206</v>
      </c>
      <c r="CQ3" s="26" t="s">
        <v>206</v>
      </c>
      <c r="CR3" s="26" t="s">
        <v>206</v>
      </c>
      <c r="CS3" s="26" t="s">
        <v>206</v>
      </c>
      <c r="CT3" s="3" t="str">
        <f>BD3</f>
        <v>Rs in Lakhs</v>
      </c>
      <c r="CU3" s="26" t="s">
        <v>206</v>
      </c>
      <c r="CV3" s="26" t="s">
        <v>206</v>
      </c>
      <c r="CW3" s="26" t="s">
        <v>206</v>
      </c>
      <c r="CX3" s="26" t="s">
        <v>206</v>
      </c>
      <c r="CY3" s="26" t="s">
        <v>206</v>
      </c>
      <c r="CZ3" s="26" t="s">
        <v>206</v>
      </c>
      <c r="DA3" s="26" t="s">
        <v>206</v>
      </c>
      <c r="DB3" s="26" t="s">
        <v>206</v>
      </c>
      <c r="DC3" s="26" t="s">
        <v>206</v>
      </c>
      <c r="DD3" s="26" t="s">
        <v>206</v>
      </c>
      <c r="DE3" s="26" t="s">
        <v>206</v>
      </c>
      <c r="DF3" s="26" t="s">
        <v>206</v>
      </c>
      <c r="DG3" s="26" t="s">
        <v>206</v>
      </c>
      <c r="DH3" s="41"/>
      <c r="DI3" s="26" t="s">
        <v>208</v>
      </c>
      <c r="DJ3" s="26" t="s">
        <v>208</v>
      </c>
      <c r="DK3" s="26" t="s">
        <v>208</v>
      </c>
      <c r="DL3" s="26" t="s">
        <v>208</v>
      </c>
      <c r="DM3" s="26" t="s">
        <v>208</v>
      </c>
      <c r="DN3" s="26" t="s">
        <v>208</v>
      </c>
      <c r="DO3" s="26" t="s">
        <v>208</v>
      </c>
      <c r="DP3" s="26" t="s">
        <v>208</v>
      </c>
      <c r="DQ3" s="26" t="s">
        <v>208</v>
      </c>
      <c r="DR3" s="26" t="s">
        <v>208</v>
      </c>
      <c r="DS3" s="26" t="s">
        <v>208</v>
      </c>
      <c r="DT3" s="26" t="s">
        <v>208</v>
      </c>
      <c r="DU3" s="26" t="s">
        <v>208</v>
      </c>
      <c r="DW3" s="42" t="s">
        <v>206</v>
      </c>
      <c r="DX3" s="26" t="s">
        <v>206</v>
      </c>
      <c r="DY3" s="26" t="s">
        <v>206</v>
      </c>
      <c r="DZ3" s="26" t="s">
        <v>206</v>
      </c>
      <c r="EA3" s="26" t="s">
        <v>206</v>
      </c>
      <c r="EB3" s="26" t="s">
        <v>206</v>
      </c>
      <c r="EC3" s="26" t="s">
        <v>206</v>
      </c>
      <c r="ED3" s="26" t="s">
        <v>206</v>
      </c>
      <c r="EE3" s="26" t="s">
        <v>206</v>
      </c>
      <c r="EF3" s="26" t="s">
        <v>206</v>
      </c>
      <c r="EG3" s="26" t="s">
        <v>206</v>
      </c>
      <c r="EH3" s="26" t="s">
        <v>206</v>
      </c>
      <c r="EI3" s="26" t="s">
        <v>206</v>
      </c>
      <c r="EJ3" s="3" t="str">
        <f>CT3</f>
        <v>Rs in Lakhs</v>
      </c>
      <c r="EK3" s="26" t="s">
        <v>206</v>
      </c>
      <c r="EL3" s="26" t="s">
        <v>206</v>
      </c>
      <c r="EM3" s="26" t="s">
        <v>206</v>
      </c>
      <c r="EN3" s="26" t="s">
        <v>206</v>
      </c>
      <c r="EO3" s="26" t="s">
        <v>206</v>
      </c>
      <c r="EP3" s="26" t="s">
        <v>206</v>
      </c>
      <c r="EQ3" s="26" t="s">
        <v>206</v>
      </c>
      <c r="ER3" s="26" t="s">
        <v>206</v>
      </c>
      <c r="ES3" s="26" t="s">
        <v>206</v>
      </c>
      <c r="ET3" s="26" t="s">
        <v>206</v>
      </c>
      <c r="EU3" s="26" t="s">
        <v>206</v>
      </c>
      <c r="EV3" s="26" t="s">
        <v>206</v>
      </c>
      <c r="EW3" s="26" t="s">
        <v>206</v>
      </c>
      <c r="EX3" s="41"/>
      <c r="EY3" s="26" t="s">
        <v>208</v>
      </c>
      <c r="EZ3" s="26" t="s">
        <v>208</v>
      </c>
      <c r="FA3" s="26" t="s">
        <v>208</v>
      </c>
      <c r="FB3" s="26" t="s">
        <v>208</v>
      </c>
      <c r="FC3" s="26" t="s">
        <v>208</v>
      </c>
      <c r="FD3" s="26" t="s">
        <v>208</v>
      </c>
      <c r="FE3" s="26" t="s">
        <v>208</v>
      </c>
      <c r="FF3" s="26" t="s">
        <v>208</v>
      </c>
      <c r="FG3" s="26" t="s">
        <v>208</v>
      </c>
      <c r="FH3" s="26" t="s">
        <v>208</v>
      </c>
      <c r="FI3" s="26" t="s">
        <v>208</v>
      </c>
      <c r="FJ3" s="26" t="s">
        <v>208</v>
      </c>
      <c r="FK3" s="26" t="s">
        <v>208</v>
      </c>
    </row>
    <row r="4" spans="1:167" ht="14.45" hidden="1" customHeight="1" outlineLevel="2">
      <c r="A4" s="105">
        <f>+AQ4+CG4+DW4</f>
        <v>0</v>
      </c>
      <c r="B4" s="105">
        <f t="shared" ref="B4:L4" si="0">+AR4+CH4+DX4</f>
        <v>0</v>
      </c>
      <c r="C4" s="105">
        <f t="shared" si="0"/>
        <v>0</v>
      </c>
      <c r="D4" s="105">
        <f t="shared" si="0"/>
        <v>0</v>
      </c>
      <c r="E4" s="105">
        <f t="shared" si="0"/>
        <v>0</v>
      </c>
      <c r="F4" s="105">
        <f t="shared" si="0"/>
        <v>0</v>
      </c>
      <c r="G4" s="105">
        <f t="shared" si="0"/>
        <v>0</v>
      </c>
      <c r="H4" s="105">
        <f t="shared" si="0"/>
        <v>0</v>
      </c>
      <c r="I4" s="105">
        <f t="shared" si="0"/>
        <v>0</v>
      </c>
      <c r="J4" s="105">
        <f t="shared" si="0"/>
        <v>0</v>
      </c>
      <c r="K4" s="105">
        <f t="shared" si="0"/>
        <v>0</v>
      </c>
      <c r="L4" s="105">
        <f t="shared" si="0"/>
        <v>0</v>
      </c>
      <c r="M4" s="105">
        <f>+SUM(A4:L4)</f>
        <v>0</v>
      </c>
      <c r="N4" s="4" t="s">
        <v>3</v>
      </c>
      <c r="O4" s="105">
        <f>+BE4+CU4+EK4</f>
        <v>0</v>
      </c>
      <c r="P4" s="105">
        <f t="shared" ref="P4:Z4" si="1">+BF4+CV4+EL4</f>
        <v>0</v>
      </c>
      <c r="Q4" s="105">
        <f t="shared" si="1"/>
        <v>0</v>
      </c>
      <c r="R4" s="105">
        <f t="shared" si="1"/>
        <v>0</v>
      </c>
      <c r="S4" s="105">
        <f t="shared" si="1"/>
        <v>0</v>
      </c>
      <c r="T4" s="105">
        <f t="shared" si="1"/>
        <v>0</v>
      </c>
      <c r="U4" s="105">
        <f t="shared" si="1"/>
        <v>0</v>
      </c>
      <c r="V4" s="105">
        <f t="shared" si="1"/>
        <v>0</v>
      </c>
      <c r="W4" s="105">
        <f t="shared" si="1"/>
        <v>0</v>
      </c>
      <c r="X4" s="105">
        <f t="shared" si="1"/>
        <v>0</v>
      </c>
      <c r="Y4" s="105">
        <f t="shared" si="1"/>
        <v>0</v>
      </c>
      <c r="Z4" s="105">
        <f t="shared" si="1"/>
        <v>0</v>
      </c>
      <c r="AA4" s="105">
        <f>+SUM(O4:Z4)</f>
        <v>0</v>
      </c>
      <c r="AB4" s="106"/>
      <c r="AC4" s="105">
        <f>+BS4+DI4+EY4</f>
        <v>0</v>
      </c>
      <c r="AD4" s="105">
        <f t="shared" ref="AD4:AN4" si="2">+BT4+DJ4+EZ4</f>
        <v>0</v>
      </c>
      <c r="AE4" s="105">
        <f t="shared" si="2"/>
        <v>0</v>
      </c>
      <c r="AF4" s="105">
        <f t="shared" si="2"/>
        <v>0</v>
      </c>
      <c r="AG4" s="105">
        <f t="shared" si="2"/>
        <v>0</v>
      </c>
      <c r="AH4" s="105">
        <f t="shared" si="2"/>
        <v>0</v>
      </c>
      <c r="AI4" s="105">
        <f t="shared" si="2"/>
        <v>0</v>
      </c>
      <c r="AJ4" s="105">
        <f t="shared" si="2"/>
        <v>0</v>
      </c>
      <c r="AK4" s="105">
        <f t="shared" si="2"/>
        <v>0</v>
      </c>
      <c r="AL4" s="105">
        <f t="shared" si="2"/>
        <v>0</v>
      </c>
      <c r="AM4" s="105">
        <f t="shared" si="2"/>
        <v>0</v>
      </c>
      <c r="AN4" s="105">
        <f t="shared" si="2"/>
        <v>0</v>
      </c>
      <c r="AO4" s="105">
        <f>+SUM(AC4:AN4)</f>
        <v>0</v>
      </c>
      <c r="AP4" s="106"/>
      <c r="AQ4" s="105">
        <f>+PMGR!AQ4+BP!AQ4</f>
        <v>0</v>
      </c>
      <c r="AR4" s="105">
        <f>+PMGR!AR4+BP!AR4</f>
        <v>0</v>
      </c>
      <c r="AS4" s="105">
        <f>+PMGR!AS4+BP!AS4</f>
        <v>0</v>
      </c>
      <c r="AT4" s="105">
        <f>+PMGR!AT4+BP!AT4</f>
        <v>0</v>
      </c>
      <c r="AU4" s="105">
        <f>+PMGR!AU4+BP!AU4</f>
        <v>0</v>
      </c>
      <c r="AV4" s="105">
        <f>+PMGR!AV4+BP!AV4</f>
        <v>0</v>
      </c>
      <c r="AW4" s="105">
        <f>+PMGR!AW4+BP!AW4</f>
        <v>0</v>
      </c>
      <c r="AX4" s="105">
        <f>+PMGR!AX4+BP!AX4</f>
        <v>0</v>
      </c>
      <c r="AY4" s="105">
        <f>+PMGR!AY4+BP!AY4</f>
        <v>0</v>
      </c>
      <c r="AZ4" s="105">
        <f>+PMGR!AZ4+BP!AZ4</f>
        <v>0</v>
      </c>
      <c r="BA4" s="105">
        <f>+PMGR!BA4+BP!BA4</f>
        <v>0</v>
      </c>
      <c r="BB4" s="105">
        <f>+PMGR!BB4+BP!BB4</f>
        <v>0</v>
      </c>
      <c r="BC4" s="105">
        <f t="shared" ref="BC4" si="3">+SUM(AQ4:BB4)</f>
        <v>0</v>
      </c>
      <c r="BD4" s="4" t="str">
        <f>N4</f>
        <v>No of Cars</v>
      </c>
      <c r="BE4" s="105">
        <f>+PMGR!BE4+BP!BE4</f>
        <v>0</v>
      </c>
      <c r="BF4" s="105">
        <f>+PMGR!BF4+BP!BF4</f>
        <v>0</v>
      </c>
      <c r="BG4" s="105">
        <f>+PMGR!BG4+BP!BG4</f>
        <v>0</v>
      </c>
      <c r="BH4" s="105">
        <f>+PMGR!BH4+BP!BH4</f>
        <v>0</v>
      </c>
      <c r="BI4" s="105">
        <f>+PMGR!BI4+BP!BI4</f>
        <v>0</v>
      </c>
      <c r="BJ4" s="105">
        <f>+PMGR!BJ4+BP!BJ4</f>
        <v>0</v>
      </c>
      <c r="BK4" s="105">
        <f>+PMGR!BK4+BP!BK4</f>
        <v>0</v>
      </c>
      <c r="BL4" s="105">
        <f>+PMGR!BL4+BP!BL4</f>
        <v>0</v>
      </c>
      <c r="BM4" s="105">
        <f>+PMGR!BM4+BP!BM4</f>
        <v>0</v>
      </c>
      <c r="BN4" s="105">
        <f>+PMGR!BN4+BP!BN4</f>
        <v>0</v>
      </c>
      <c r="BO4" s="105">
        <f>+PMGR!BO4+BP!BO4</f>
        <v>0</v>
      </c>
      <c r="BP4" s="105">
        <f>+PMGR!BP4+BP!BP4</f>
        <v>0</v>
      </c>
      <c r="BQ4" s="105">
        <f t="shared" ref="BQ4" si="4">+SUM(BE4:BP4)</f>
        <v>0</v>
      </c>
      <c r="BR4" s="114"/>
      <c r="BS4" s="105">
        <f>+PMGR!BS4+BP!BS4</f>
        <v>0</v>
      </c>
      <c r="BT4" s="105">
        <f>+PMGR!BT4+BP!BT4</f>
        <v>0</v>
      </c>
      <c r="BU4" s="105">
        <f>+PMGR!BU4+BP!BU4</f>
        <v>0</v>
      </c>
      <c r="BV4" s="105">
        <f>+PMGR!BV4+BP!BV4</f>
        <v>0</v>
      </c>
      <c r="BW4" s="105">
        <f>+PMGR!BW4+BP!BW4</f>
        <v>0</v>
      </c>
      <c r="BX4" s="105">
        <f>+PMGR!BX4+BP!BX4</f>
        <v>0</v>
      </c>
      <c r="BY4" s="105">
        <f>+PMGR!BY4+BP!BY4</f>
        <v>0</v>
      </c>
      <c r="BZ4" s="105">
        <f>+PMGR!BZ4+BP!BZ4</f>
        <v>0</v>
      </c>
      <c r="CA4" s="105">
        <f>+PMGR!CA4+BP!CA4</f>
        <v>0</v>
      </c>
      <c r="CB4" s="105">
        <f>+PMGR!CB4+BP!CB4</f>
        <v>0</v>
      </c>
      <c r="CC4" s="105">
        <f>+PMGR!CC4+BP!CC4</f>
        <v>0</v>
      </c>
      <c r="CD4" s="105">
        <f>+PMGR!CD4+BP!CD4</f>
        <v>0</v>
      </c>
      <c r="CE4" s="105">
        <f t="shared" ref="CE4" si="5">+SUM(BS4:CD4)</f>
        <v>0</v>
      </c>
      <c r="CF4" s="106"/>
      <c r="CG4" s="105">
        <f>+PMGR!CG4+BP!CG4</f>
        <v>0</v>
      </c>
      <c r="CH4" s="105">
        <f>+PMGR!CH4+BP!CH4</f>
        <v>0</v>
      </c>
      <c r="CI4" s="105">
        <f>+PMGR!CI4+BP!CI4</f>
        <v>0</v>
      </c>
      <c r="CJ4" s="105">
        <f>+PMGR!CJ4+BP!CJ4</f>
        <v>0</v>
      </c>
      <c r="CK4" s="105">
        <f>+PMGR!CK4+BP!CK4</f>
        <v>0</v>
      </c>
      <c r="CL4" s="105">
        <f>+PMGR!CL4+BP!CL4</f>
        <v>0</v>
      </c>
      <c r="CM4" s="105">
        <f>+PMGR!CM4+BP!CM4</f>
        <v>0</v>
      </c>
      <c r="CN4" s="105">
        <f>+PMGR!CN4+BP!CN4</f>
        <v>0</v>
      </c>
      <c r="CO4" s="105">
        <f>+PMGR!CO4+BP!CO4</f>
        <v>0</v>
      </c>
      <c r="CP4" s="105">
        <f>+PMGR!CP4+BP!CP4</f>
        <v>0</v>
      </c>
      <c r="CQ4" s="105">
        <f>+PMGR!CQ4+BP!CQ4</f>
        <v>0</v>
      </c>
      <c r="CR4" s="105">
        <f>+PMGR!CR4+BP!CR4</f>
        <v>0</v>
      </c>
      <c r="CS4" s="105">
        <f t="shared" ref="CS4" si="6">+SUM(CG4:CR4)</f>
        <v>0</v>
      </c>
      <c r="CT4" s="4" t="str">
        <f>BD4</f>
        <v>No of Cars</v>
      </c>
      <c r="CU4" s="105">
        <f>+PMGR!CU4+BP!CU4</f>
        <v>0</v>
      </c>
      <c r="CV4" s="105">
        <f>+PMGR!CV4+BP!CV4</f>
        <v>0</v>
      </c>
      <c r="CW4" s="105">
        <f>+PMGR!CW4+BP!CW4</f>
        <v>0</v>
      </c>
      <c r="CX4" s="105">
        <f>+PMGR!CX4+BP!CX4</f>
        <v>0</v>
      </c>
      <c r="CY4" s="105">
        <f>+PMGR!CY4+BP!CY4</f>
        <v>0</v>
      </c>
      <c r="CZ4" s="105">
        <f>+PMGR!CZ4+BP!CZ4</f>
        <v>0</v>
      </c>
      <c r="DA4" s="105">
        <f>+PMGR!DA4+BP!DA4</f>
        <v>0</v>
      </c>
      <c r="DB4" s="105">
        <f>+PMGR!DB4+BP!DB4</f>
        <v>0</v>
      </c>
      <c r="DC4" s="105">
        <f>+PMGR!DC4+BP!DC4</f>
        <v>0</v>
      </c>
      <c r="DD4" s="105">
        <f>+PMGR!DD4+BP!DD4</f>
        <v>0</v>
      </c>
      <c r="DE4" s="105">
        <f>+PMGR!DE4+BP!DE4</f>
        <v>0</v>
      </c>
      <c r="DF4" s="105">
        <f>+PMGR!DF4+BP!DF4</f>
        <v>0</v>
      </c>
      <c r="DG4" s="105">
        <f t="shared" ref="DG4" si="7">+SUM(CU4:DF4)</f>
        <v>0</v>
      </c>
      <c r="DH4" s="106"/>
      <c r="DI4" s="105">
        <f>+PMGR!DI4+BP!DI4</f>
        <v>0</v>
      </c>
      <c r="DJ4" s="105">
        <f>+PMGR!DJ4+BP!DJ4</f>
        <v>0</v>
      </c>
      <c r="DK4" s="105">
        <f>+PMGR!DK4+BP!DK4</f>
        <v>0</v>
      </c>
      <c r="DL4" s="105">
        <f>+PMGR!DL4+BP!DL4</f>
        <v>0</v>
      </c>
      <c r="DM4" s="105">
        <f>+PMGR!DM4+BP!DM4</f>
        <v>0</v>
      </c>
      <c r="DN4" s="105">
        <f>+PMGR!DN4+BP!DN4</f>
        <v>0</v>
      </c>
      <c r="DO4" s="105">
        <f>+PMGR!DO4+BP!DO4</f>
        <v>0</v>
      </c>
      <c r="DP4" s="105">
        <f>+PMGR!DP4+BP!DP4</f>
        <v>0</v>
      </c>
      <c r="DQ4" s="105">
        <f>+PMGR!DQ4+BP!DQ4</f>
        <v>0</v>
      </c>
      <c r="DR4" s="105">
        <f>+PMGR!DR4+BP!DR4</f>
        <v>0</v>
      </c>
      <c r="DS4" s="105">
        <f>+PMGR!DS4+BP!DS4</f>
        <v>0</v>
      </c>
      <c r="DT4" s="105">
        <f>+PMGR!DT4+BP!DT4</f>
        <v>0</v>
      </c>
      <c r="DU4" s="105">
        <f t="shared" ref="DU4" si="8">+SUM(DI4:DT4)</f>
        <v>0</v>
      </c>
      <c r="DV4" s="106"/>
      <c r="DW4" s="105">
        <f>+PMGR!DW4+BP!DW4</f>
        <v>0</v>
      </c>
      <c r="DX4" s="105">
        <f>+PMGR!DX4+BP!DX4</f>
        <v>0</v>
      </c>
      <c r="DY4" s="105">
        <f>+PMGR!DY4+BP!DY4</f>
        <v>0</v>
      </c>
      <c r="DZ4" s="105">
        <f>+PMGR!DZ4+BP!DZ4</f>
        <v>0</v>
      </c>
      <c r="EA4" s="105">
        <f>+PMGR!EA4+BP!EA4</f>
        <v>0</v>
      </c>
      <c r="EB4" s="105">
        <f>+PMGR!EB4+BP!EB4</f>
        <v>0</v>
      </c>
      <c r="EC4" s="105">
        <f>+PMGR!EC4+BP!EC4</f>
        <v>0</v>
      </c>
      <c r="ED4" s="105">
        <f>+PMGR!ED4+BP!ED4</f>
        <v>0</v>
      </c>
      <c r="EE4" s="105">
        <f>+PMGR!EE4+BP!EE4</f>
        <v>0</v>
      </c>
      <c r="EF4" s="105">
        <f>+PMGR!EF4+BP!EF4</f>
        <v>0</v>
      </c>
      <c r="EG4" s="105">
        <f>+PMGR!EG4+BP!EG4</f>
        <v>0</v>
      </c>
      <c r="EH4" s="105">
        <f>+PMGR!EH4+BP!EH4</f>
        <v>0</v>
      </c>
      <c r="EI4" s="105">
        <f t="shared" ref="EI4" si="9">+SUM(DW4:EH4)</f>
        <v>0</v>
      </c>
      <c r="EJ4" s="4" t="str">
        <f>CT4</f>
        <v>No of Cars</v>
      </c>
      <c r="EK4" s="105">
        <f>+PMGR!EK4+BP!EK4</f>
        <v>0</v>
      </c>
      <c r="EL4" s="105">
        <f>+PMGR!EL4+BP!EL4</f>
        <v>0</v>
      </c>
      <c r="EM4" s="105">
        <f>+PMGR!EM4+BP!EM4</f>
        <v>0</v>
      </c>
      <c r="EN4" s="105">
        <f>+PMGR!EN4+BP!EN4</f>
        <v>0</v>
      </c>
      <c r="EO4" s="105">
        <f>+PMGR!EO4+BP!EO4</f>
        <v>0</v>
      </c>
      <c r="EP4" s="105">
        <f>+PMGR!EP4+BP!EP4</f>
        <v>0</v>
      </c>
      <c r="EQ4" s="105">
        <f>+PMGR!EQ4+BP!EQ4</f>
        <v>0</v>
      </c>
      <c r="ER4" s="105">
        <f>+PMGR!ER4+BP!ER4</f>
        <v>0</v>
      </c>
      <c r="ES4" s="105">
        <f>+PMGR!ES4+BP!ES4</f>
        <v>0</v>
      </c>
      <c r="ET4" s="105">
        <f>+PMGR!ET4+BP!ET4</f>
        <v>0</v>
      </c>
      <c r="EU4" s="105">
        <f>+PMGR!EU4+BP!EU4</f>
        <v>0</v>
      </c>
      <c r="EV4" s="105">
        <f>+PMGR!EV4+BP!EV4</f>
        <v>0</v>
      </c>
      <c r="EW4" s="105">
        <f t="shared" ref="EW4" si="10">+SUM(EK4:EV4)</f>
        <v>0</v>
      </c>
      <c r="EX4" s="106"/>
      <c r="EY4" s="105">
        <f>+PMGR!EY4+BP!EY4</f>
        <v>0</v>
      </c>
      <c r="EZ4" s="105">
        <f>+PMGR!EZ4+BP!EZ4</f>
        <v>0</v>
      </c>
      <c r="FA4" s="105">
        <f>+PMGR!FA4+BP!FA4</f>
        <v>0</v>
      </c>
      <c r="FB4" s="105">
        <f>+PMGR!FB4+BP!FB4</f>
        <v>0</v>
      </c>
      <c r="FC4" s="105">
        <f>+PMGR!FC4+BP!FC4</f>
        <v>0</v>
      </c>
      <c r="FD4" s="105">
        <f>+PMGR!FD4+BP!FD4</f>
        <v>0</v>
      </c>
      <c r="FE4" s="105">
        <f>+PMGR!FE4+BP!FE4</f>
        <v>0</v>
      </c>
      <c r="FF4" s="105">
        <f>+PMGR!FF4+BP!FF4</f>
        <v>0</v>
      </c>
      <c r="FG4" s="105">
        <f>+PMGR!FG4+BP!FG4</f>
        <v>0</v>
      </c>
      <c r="FH4" s="105">
        <f>+PMGR!FH4+BP!FH4</f>
        <v>0</v>
      </c>
      <c r="FI4" s="105">
        <f>+PMGR!FI4+BP!FI4</f>
        <v>0</v>
      </c>
      <c r="FJ4" s="105">
        <f>+PMGR!FJ4+BP!FJ4</f>
        <v>0</v>
      </c>
      <c r="FK4" s="105">
        <f t="shared" ref="FK4" si="11">+SUM(EY4:FJ4)</f>
        <v>0</v>
      </c>
    </row>
    <row r="5" spans="1:167" ht="14.45" hidden="1" customHeight="1" outlineLevel="2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5" t="s">
        <v>4</v>
      </c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>
        <f>+PMGR!AQ5+BP!AQ5</f>
        <v>0</v>
      </c>
      <c r="AR5" s="106">
        <f>+PMGR!AR5+BP!AR5</f>
        <v>0</v>
      </c>
      <c r="AS5" s="106">
        <f>+PMGR!AS5+BP!AS5</f>
        <v>0</v>
      </c>
      <c r="AT5" s="106">
        <f>+PMGR!AT5+BP!AT5</f>
        <v>0</v>
      </c>
      <c r="AU5" s="106">
        <f>+PMGR!AU5+BP!AU5</f>
        <v>0</v>
      </c>
      <c r="AV5" s="106">
        <f>+PMGR!AV5+BP!AV5</f>
        <v>0</v>
      </c>
      <c r="AW5" s="106">
        <f>+PMGR!AW5+BP!AW5</f>
        <v>0</v>
      </c>
      <c r="AX5" s="106">
        <f>+PMGR!AX5+BP!AX5</f>
        <v>0</v>
      </c>
      <c r="AY5" s="106">
        <f>+PMGR!AY5+BP!AY5</f>
        <v>0</v>
      </c>
      <c r="AZ5" s="106">
        <f>+PMGR!AZ5+BP!AZ5</f>
        <v>0</v>
      </c>
      <c r="BA5" s="106">
        <f>+PMGR!BA5+BP!BA5</f>
        <v>0</v>
      </c>
      <c r="BB5" s="106">
        <f>+PMGR!BB5+BP!BB5</f>
        <v>0</v>
      </c>
      <c r="BC5" s="106"/>
      <c r="BD5" s="5" t="str">
        <f>N5</f>
        <v>New Car Sales</v>
      </c>
      <c r="BE5" s="106">
        <f>+PMGR!BE5+BP!BE5</f>
        <v>0</v>
      </c>
      <c r="BF5" s="106">
        <f>+PMGR!BF5+BP!BF5</f>
        <v>0</v>
      </c>
      <c r="BG5" s="106">
        <f>+PMGR!BG5+BP!BG5</f>
        <v>0</v>
      </c>
      <c r="BH5" s="106">
        <f>+PMGR!BH5+BP!BH5</f>
        <v>0</v>
      </c>
      <c r="BI5" s="106">
        <f>+PMGR!BI5+BP!BI5</f>
        <v>0</v>
      </c>
      <c r="BJ5" s="106">
        <f>+PMGR!BJ5+BP!BJ5</f>
        <v>0</v>
      </c>
      <c r="BK5" s="106">
        <f>+PMGR!BK5+BP!BK5</f>
        <v>0</v>
      </c>
      <c r="BL5" s="106">
        <f>+PMGR!BL5+BP!BL5</f>
        <v>0</v>
      </c>
      <c r="BM5" s="106">
        <f>+PMGR!BM5+BP!BM5</f>
        <v>0</v>
      </c>
      <c r="BN5" s="106">
        <f>+PMGR!BN5+BP!BN5</f>
        <v>0</v>
      </c>
      <c r="BO5" s="106">
        <f>+PMGR!BO5+BP!BO5</f>
        <v>0</v>
      </c>
      <c r="BP5" s="106">
        <f>+PMGR!BP5+BP!BP5</f>
        <v>0</v>
      </c>
      <c r="BQ5" s="106"/>
      <c r="BR5" s="114"/>
      <c r="BS5" s="106">
        <f>+PMGR!BS5+BP!BS5</f>
        <v>0</v>
      </c>
      <c r="BT5" s="106">
        <f>+PMGR!BT5+BP!BT5</f>
        <v>0</v>
      </c>
      <c r="BU5" s="106">
        <f>+PMGR!BU5+BP!BU5</f>
        <v>0</v>
      </c>
      <c r="BV5" s="106">
        <f>+PMGR!BV5+BP!BV5</f>
        <v>0</v>
      </c>
      <c r="BW5" s="106">
        <f>+PMGR!BW5+BP!BW5</f>
        <v>0</v>
      </c>
      <c r="BX5" s="106">
        <f>+PMGR!BX5+BP!BX5</f>
        <v>0</v>
      </c>
      <c r="BY5" s="106">
        <f>+PMGR!BY5+BP!BY5</f>
        <v>0</v>
      </c>
      <c r="BZ5" s="106">
        <f>+PMGR!BZ5+BP!BZ5</f>
        <v>0</v>
      </c>
      <c r="CA5" s="106">
        <f>+PMGR!CA5+BP!CA5</f>
        <v>0</v>
      </c>
      <c r="CB5" s="106">
        <f>+PMGR!CB5+BP!CB5</f>
        <v>0</v>
      </c>
      <c r="CC5" s="106">
        <f>+PMGR!CC5+BP!CC5</f>
        <v>0</v>
      </c>
      <c r="CD5" s="106">
        <f>+PMGR!CD5+BP!CD5</f>
        <v>0</v>
      </c>
      <c r="CE5" s="106"/>
      <c r="CF5" s="106"/>
      <c r="CG5" s="106">
        <f>+PMGR!CG5+BP!CG5</f>
        <v>0</v>
      </c>
      <c r="CH5" s="106">
        <f>+PMGR!CH5+BP!CH5</f>
        <v>0</v>
      </c>
      <c r="CI5" s="106">
        <f>+PMGR!CI5+BP!CI5</f>
        <v>0</v>
      </c>
      <c r="CJ5" s="106">
        <f>+PMGR!CJ5+BP!CJ5</f>
        <v>0</v>
      </c>
      <c r="CK5" s="106">
        <f>+PMGR!CK5+BP!CK5</f>
        <v>0</v>
      </c>
      <c r="CL5" s="106">
        <f>+PMGR!CL5+BP!CL5</f>
        <v>0</v>
      </c>
      <c r="CM5" s="106">
        <f>+PMGR!CM5+BP!CM5</f>
        <v>0</v>
      </c>
      <c r="CN5" s="106">
        <f>+PMGR!CN5+BP!CN5</f>
        <v>0</v>
      </c>
      <c r="CO5" s="106">
        <f>+PMGR!CO5+BP!CO5</f>
        <v>0</v>
      </c>
      <c r="CP5" s="106">
        <f>+PMGR!CP5+BP!CP5</f>
        <v>0</v>
      </c>
      <c r="CQ5" s="106">
        <f>+PMGR!CQ5+BP!CQ5</f>
        <v>0</v>
      </c>
      <c r="CR5" s="106">
        <f>+PMGR!CR5+BP!CR5</f>
        <v>0</v>
      </c>
      <c r="CS5" s="106"/>
      <c r="CT5" s="5" t="str">
        <f>BD5</f>
        <v>New Car Sales</v>
      </c>
      <c r="CU5" s="106">
        <f>+PMGR!CU5+BP!CU5</f>
        <v>0</v>
      </c>
      <c r="CV5" s="106">
        <f>+PMGR!CV5+BP!CV5</f>
        <v>0</v>
      </c>
      <c r="CW5" s="106">
        <f>+PMGR!CW5+BP!CW5</f>
        <v>0</v>
      </c>
      <c r="CX5" s="106">
        <f>+PMGR!CX5+BP!CX5</f>
        <v>0</v>
      </c>
      <c r="CY5" s="106">
        <f>+PMGR!CY5+BP!CY5</f>
        <v>0</v>
      </c>
      <c r="CZ5" s="106">
        <f>+PMGR!CZ5+BP!CZ5</f>
        <v>0</v>
      </c>
      <c r="DA5" s="106">
        <f>+PMGR!DA5+BP!DA5</f>
        <v>0</v>
      </c>
      <c r="DB5" s="106">
        <f>+PMGR!DB5+BP!DB5</f>
        <v>0</v>
      </c>
      <c r="DC5" s="106">
        <f>+PMGR!DC5+BP!DC5</f>
        <v>0</v>
      </c>
      <c r="DD5" s="106">
        <f>+PMGR!DD5+BP!DD5</f>
        <v>0</v>
      </c>
      <c r="DE5" s="106">
        <f>+PMGR!DE5+BP!DE5</f>
        <v>0</v>
      </c>
      <c r="DF5" s="106">
        <f>+PMGR!DF5+BP!DF5</f>
        <v>0</v>
      </c>
      <c r="DG5" s="106"/>
      <c r="DH5" s="106"/>
      <c r="DI5" s="106">
        <f>+PMGR!DI5+BP!DI5</f>
        <v>0</v>
      </c>
      <c r="DJ5" s="106">
        <f>+PMGR!DJ5+BP!DJ5</f>
        <v>0</v>
      </c>
      <c r="DK5" s="106">
        <f>+PMGR!DK5+BP!DK5</f>
        <v>0</v>
      </c>
      <c r="DL5" s="106">
        <f>+PMGR!DL5+BP!DL5</f>
        <v>0</v>
      </c>
      <c r="DM5" s="106">
        <f>+PMGR!DM5+BP!DM5</f>
        <v>0</v>
      </c>
      <c r="DN5" s="106">
        <f>+PMGR!DN5+BP!DN5</f>
        <v>0</v>
      </c>
      <c r="DO5" s="106">
        <f>+PMGR!DO5+BP!DO5</f>
        <v>0</v>
      </c>
      <c r="DP5" s="106">
        <f>+PMGR!DP5+BP!DP5</f>
        <v>0</v>
      </c>
      <c r="DQ5" s="106">
        <f>+PMGR!DQ5+BP!DQ5</f>
        <v>0</v>
      </c>
      <c r="DR5" s="106">
        <f>+PMGR!DR5+BP!DR5</f>
        <v>0</v>
      </c>
      <c r="DS5" s="106">
        <f>+PMGR!DS5+BP!DS5</f>
        <v>0</v>
      </c>
      <c r="DT5" s="106">
        <f>+PMGR!DT5+BP!DT5</f>
        <v>0</v>
      </c>
      <c r="DU5" s="106"/>
      <c r="DV5" s="106"/>
      <c r="DW5" s="106">
        <f>+PMGR!DW5+BP!DW5</f>
        <v>0</v>
      </c>
      <c r="DX5" s="106">
        <f>+PMGR!DX5+BP!DX5</f>
        <v>0</v>
      </c>
      <c r="DY5" s="106">
        <f>+PMGR!DY5+BP!DY5</f>
        <v>0</v>
      </c>
      <c r="DZ5" s="106">
        <f>+PMGR!DZ5+BP!DZ5</f>
        <v>0</v>
      </c>
      <c r="EA5" s="106">
        <f>+PMGR!EA5+BP!EA5</f>
        <v>0</v>
      </c>
      <c r="EB5" s="106">
        <f>+PMGR!EB5+BP!EB5</f>
        <v>0</v>
      </c>
      <c r="EC5" s="106">
        <f>+PMGR!EC5+BP!EC5</f>
        <v>0</v>
      </c>
      <c r="ED5" s="106">
        <f>+PMGR!ED5+BP!ED5</f>
        <v>0</v>
      </c>
      <c r="EE5" s="106">
        <f>+PMGR!EE5+BP!EE5</f>
        <v>0</v>
      </c>
      <c r="EF5" s="106">
        <f>+PMGR!EF5+BP!EF5</f>
        <v>0</v>
      </c>
      <c r="EG5" s="106">
        <f>+PMGR!EG5+BP!EG5</f>
        <v>0</v>
      </c>
      <c r="EH5" s="106">
        <f>+PMGR!EH5+BP!EH5</f>
        <v>0</v>
      </c>
      <c r="EI5" s="106"/>
      <c r="EJ5" s="5" t="str">
        <f>CT5</f>
        <v>New Car Sales</v>
      </c>
      <c r="EK5" s="106">
        <f>+PMGR!EK5+BP!EK5</f>
        <v>0</v>
      </c>
      <c r="EL5" s="106">
        <f>+PMGR!EL5+BP!EL5</f>
        <v>0</v>
      </c>
      <c r="EM5" s="106">
        <f>+PMGR!EM5+BP!EM5</f>
        <v>0</v>
      </c>
      <c r="EN5" s="106">
        <f>+PMGR!EN5+BP!EN5</f>
        <v>0</v>
      </c>
      <c r="EO5" s="106">
        <f>+PMGR!EO5+BP!EO5</f>
        <v>0</v>
      </c>
      <c r="EP5" s="106">
        <f>+PMGR!EP5+BP!EP5</f>
        <v>0</v>
      </c>
      <c r="EQ5" s="106">
        <f>+PMGR!EQ5+BP!EQ5</f>
        <v>0</v>
      </c>
      <c r="ER5" s="106">
        <f>+PMGR!ER5+BP!ER5</f>
        <v>0</v>
      </c>
      <c r="ES5" s="106">
        <f>+PMGR!ES5+BP!ES5</f>
        <v>0</v>
      </c>
      <c r="ET5" s="106">
        <f>+PMGR!ET5+BP!ET5</f>
        <v>0</v>
      </c>
      <c r="EU5" s="106">
        <f>+PMGR!EU5+BP!EU5</f>
        <v>0</v>
      </c>
      <c r="EV5" s="106">
        <f>+PMGR!EV5+BP!EV5</f>
        <v>0</v>
      </c>
      <c r="EW5" s="106"/>
      <c r="EX5" s="106"/>
      <c r="EY5" s="106">
        <f>+PMGR!EY5+BP!EY5</f>
        <v>0</v>
      </c>
      <c r="EZ5" s="106">
        <f>+PMGR!EZ5+BP!EZ5</f>
        <v>0</v>
      </c>
      <c r="FA5" s="106">
        <f>+PMGR!FA5+BP!FA5</f>
        <v>0</v>
      </c>
      <c r="FB5" s="106">
        <f>+PMGR!FB5+BP!FB5</f>
        <v>0</v>
      </c>
      <c r="FC5" s="106">
        <f>+PMGR!FC5+BP!FC5</f>
        <v>0</v>
      </c>
      <c r="FD5" s="106">
        <f>+PMGR!FD5+BP!FD5</f>
        <v>0</v>
      </c>
      <c r="FE5" s="106">
        <f>+PMGR!FE5+BP!FE5</f>
        <v>0</v>
      </c>
      <c r="FF5" s="106">
        <f>+PMGR!FF5+BP!FF5</f>
        <v>0</v>
      </c>
      <c r="FG5" s="106">
        <f>+PMGR!FG5+BP!FG5</f>
        <v>0</v>
      </c>
      <c r="FH5" s="106">
        <f>+PMGR!FH5+BP!FH5</f>
        <v>0</v>
      </c>
      <c r="FI5" s="106">
        <f>+PMGR!FI5+BP!FI5</f>
        <v>0</v>
      </c>
      <c r="FJ5" s="106">
        <f>+PMGR!FJ5+BP!FJ5</f>
        <v>0</v>
      </c>
      <c r="FK5" s="106"/>
    </row>
    <row r="6" spans="1:167" ht="14.45" hidden="1" customHeight="1" outlineLevel="2">
      <c r="A6" s="58">
        <f>+A7+A8+A13</f>
        <v>0</v>
      </c>
      <c r="B6" s="58">
        <f t="shared" ref="B6:L6" si="12">+B7+B8+B13</f>
        <v>0</v>
      </c>
      <c r="C6" s="58">
        <f t="shared" si="12"/>
        <v>0</v>
      </c>
      <c r="D6" s="58">
        <f t="shared" si="12"/>
        <v>0</v>
      </c>
      <c r="E6" s="58">
        <f t="shared" si="12"/>
        <v>0</v>
      </c>
      <c r="F6" s="58">
        <f t="shared" si="12"/>
        <v>0</v>
      </c>
      <c r="G6" s="58">
        <f t="shared" si="12"/>
        <v>0</v>
      </c>
      <c r="H6" s="58">
        <f t="shared" si="12"/>
        <v>0</v>
      </c>
      <c r="I6" s="58">
        <f t="shared" si="12"/>
        <v>0</v>
      </c>
      <c r="J6" s="58">
        <f t="shared" si="12"/>
        <v>0</v>
      </c>
      <c r="K6" s="58">
        <f t="shared" si="12"/>
        <v>0</v>
      </c>
      <c r="L6" s="58">
        <f t="shared" si="12"/>
        <v>0</v>
      </c>
      <c r="M6" s="58">
        <f>+SUM(A6:L6)</f>
        <v>0</v>
      </c>
      <c r="N6" s="6" t="s">
        <v>5</v>
      </c>
      <c r="O6" s="58">
        <f>+O7+O8+O13</f>
        <v>0</v>
      </c>
      <c r="P6" s="58">
        <f t="shared" ref="P6:Z6" si="13">+P7+P8+P13</f>
        <v>0</v>
      </c>
      <c r="Q6" s="58">
        <f t="shared" si="13"/>
        <v>0</v>
      </c>
      <c r="R6" s="58">
        <f t="shared" si="13"/>
        <v>0</v>
      </c>
      <c r="S6" s="58">
        <f t="shared" si="13"/>
        <v>0</v>
      </c>
      <c r="T6" s="58">
        <f t="shared" si="13"/>
        <v>0</v>
      </c>
      <c r="U6" s="58">
        <f t="shared" si="13"/>
        <v>0</v>
      </c>
      <c r="V6" s="58">
        <f t="shared" si="13"/>
        <v>0</v>
      </c>
      <c r="W6" s="58">
        <f t="shared" si="13"/>
        <v>0</v>
      </c>
      <c r="X6" s="58">
        <f t="shared" si="13"/>
        <v>0</v>
      </c>
      <c r="Y6" s="58">
        <f t="shared" si="13"/>
        <v>0</v>
      </c>
      <c r="Z6" s="58">
        <f t="shared" si="13"/>
        <v>0</v>
      </c>
      <c r="AA6" s="58">
        <f>+SUM(O6:Z6)</f>
        <v>0</v>
      </c>
      <c r="AB6" s="106"/>
      <c r="AC6" s="58">
        <f>+AC7+AC8+AC13</f>
        <v>0</v>
      </c>
      <c r="AD6" s="58">
        <f t="shared" ref="AD6:AN6" si="14">+AD7+AD8+AD13</f>
        <v>0</v>
      </c>
      <c r="AE6" s="58">
        <f t="shared" si="14"/>
        <v>0</v>
      </c>
      <c r="AF6" s="58">
        <f t="shared" si="14"/>
        <v>0</v>
      </c>
      <c r="AG6" s="58">
        <f t="shared" si="14"/>
        <v>0</v>
      </c>
      <c r="AH6" s="58">
        <f t="shared" si="14"/>
        <v>0</v>
      </c>
      <c r="AI6" s="58">
        <f t="shared" si="14"/>
        <v>0</v>
      </c>
      <c r="AJ6" s="58">
        <f t="shared" si="14"/>
        <v>0</v>
      </c>
      <c r="AK6" s="58">
        <f t="shared" si="14"/>
        <v>0</v>
      </c>
      <c r="AL6" s="58">
        <f t="shared" si="14"/>
        <v>0</v>
      </c>
      <c r="AM6" s="58">
        <f t="shared" si="14"/>
        <v>0</v>
      </c>
      <c r="AN6" s="58">
        <f t="shared" si="14"/>
        <v>0</v>
      </c>
      <c r="AO6" s="58">
        <f>+SUM(AC6:AN6)</f>
        <v>0</v>
      </c>
      <c r="AP6" s="106"/>
      <c r="AQ6" s="58">
        <f t="shared" ref="AQ6:BB6" si="15">+AQ7+AQ8+AQ13</f>
        <v>0</v>
      </c>
      <c r="AR6" s="58">
        <f t="shared" si="15"/>
        <v>0</v>
      </c>
      <c r="AS6" s="58">
        <f t="shared" si="15"/>
        <v>0</v>
      </c>
      <c r="AT6" s="58">
        <f t="shared" si="15"/>
        <v>0</v>
      </c>
      <c r="AU6" s="58">
        <f t="shared" si="15"/>
        <v>0</v>
      </c>
      <c r="AV6" s="58">
        <f t="shared" si="15"/>
        <v>0</v>
      </c>
      <c r="AW6" s="58">
        <f t="shared" si="15"/>
        <v>0</v>
      </c>
      <c r="AX6" s="58">
        <f t="shared" si="15"/>
        <v>0</v>
      </c>
      <c r="AY6" s="58">
        <f t="shared" si="15"/>
        <v>0</v>
      </c>
      <c r="AZ6" s="58">
        <f t="shared" si="15"/>
        <v>0</v>
      </c>
      <c r="BA6" s="58">
        <f t="shared" si="15"/>
        <v>0</v>
      </c>
      <c r="BB6" s="58">
        <f t="shared" si="15"/>
        <v>0</v>
      </c>
      <c r="BC6" s="58">
        <f>+SUM(AQ6:BB6)</f>
        <v>0</v>
      </c>
      <c r="BD6" s="6" t="str">
        <f t="shared" ref="BD6:BD69" si="16">N6</f>
        <v>Total Commission</v>
      </c>
      <c r="BE6" s="58">
        <f t="shared" ref="BE6:BP6" si="17">+BE7+BE8+BE13</f>
        <v>0</v>
      </c>
      <c r="BF6" s="58">
        <f t="shared" si="17"/>
        <v>0</v>
      </c>
      <c r="BG6" s="58">
        <f t="shared" si="17"/>
        <v>0</v>
      </c>
      <c r="BH6" s="58">
        <f t="shared" si="17"/>
        <v>0</v>
      </c>
      <c r="BI6" s="58">
        <f t="shared" si="17"/>
        <v>0</v>
      </c>
      <c r="BJ6" s="58">
        <f t="shared" si="17"/>
        <v>0</v>
      </c>
      <c r="BK6" s="58">
        <f t="shared" si="17"/>
        <v>0</v>
      </c>
      <c r="BL6" s="58">
        <f t="shared" si="17"/>
        <v>0</v>
      </c>
      <c r="BM6" s="58">
        <f t="shared" si="17"/>
        <v>0</v>
      </c>
      <c r="BN6" s="58">
        <f t="shared" si="17"/>
        <v>0</v>
      </c>
      <c r="BO6" s="58">
        <f t="shared" si="17"/>
        <v>0</v>
      </c>
      <c r="BP6" s="58">
        <f t="shared" si="17"/>
        <v>0</v>
      </c>
      <c r="BQ6" s="58">
        <f>+SUM(BE6:BP6)</f>
        <v>0</v>
      </c>
      <c r="BR6" s="114"/>
      <c r="BS6" s="58">
        <f t="shared" ref="BS6:CD6" si="18">+BS7+BS8+BS13</f>
        <v>0</v>
      </c>
      <c r="BT6" s="58">
        <f t="shared" si="18"/>
        <v>0</v>
      </c>
      <c r="BU6" s="58">
        <f t="shared" si="18"/>
        <v>0</v>
      </c>
      <c r="BV6" s="58">
        <f t="shared" si="18"/>
        <v>0</v>
      </c>
      <c r="BW6" s="58">
        <f t="shared" si="18"/>
        <v>0</v>
      </c>
      <c r="BX6" s="58">
        <f t="shared" si="18"/>
        <v>0</v>
      </c>
      <c r="BY6" s="58">
        <f t="shared" si="18"/>
        <v>0</v>
      </c>
      <c r="BZ6" s="58">
        <f t="shared" si="18"/>
        <v>0</v>
      </c>
      <c r="CA6" s="58">
        <f t="shared" si="18"/>
        <v>0</v>
      </c>
      <c r="CB6" s="58">
        <f t="shared" si="18"/>
        <v>0</v>
      </c>
      <c r="CC6" s="58">
        <f t="shared" si="18"/>
        <v>0</v>
      </c>
      <c r="CD6" s="58">
        <f t="shared" si="18"/>
        <v>0</v>
      </c>
      <c r="CE6" s="58">
        <f>+SUM(BS6:CD6)</f>
        <v>0</v>
      </c>
      <c r="CF6" s="112"/>
      <c r="CG6" s="58">
        <f t="shared" ref="CG6:CR6" si="19">+CG7+CG8+CG13</f>
        <v>0</v>
      </c>
      <c r="CH6" s="58">
        <f t="shared" si="19"/>
        <v>0</v>
      </c>
      <c r="CI6" s="58">
        <f t="shared" si="19"/>
        <v>0</v>
      </c>
      <c r="CJ6" s="58">
        <f t="shared" si="19"/>
        <v>0</v>
      </c>
      <c r="CK6" s="58">
        <f t="shared" si="19"/>
        <v>0</v>
      </c>
      <c r="CL6" s="58">
        <f t="shared" si="19"/>
        <v>0</v>
      </c>
      <c r="CM6" s="58">
        <f t="shared" si="19"/>
        <v>0</v>
      </c>
      <c r="CN6" s="58">
        <f t="shared" si="19"/>
        <v>0</v>
      </c>
      <c r="CO6" s="58">
        <f t="shared" si="19"/>
        <v>0</v>
      </c>
      <c r="CP6" s="58">
        <f t="shared" si="19"/>
        <v>0</v>
      </c>
      <c r="CQ6" s="58">
        <f t="shared" si="19"/>
        <v>0</v>
      </c>
      <c r="CR6" s="58">
        <f t="shared" si="19"/>
        <v>0</v>
      </c>
      <c r="CS6" s="58">
        <f>+SUM(CG6:CR6)</f>
        <v>0</v>
      </c>
      <c r="CT6" s="6" t="str">
        <f t="shared" ref="CT6:CT69" si="20">BD6</f>
        <v>Total Commission</v>
      </c>
      <c r="CU6" s="58">
        <f t="shared" ref="CU6:DF6" si="21">+CU7+CU8+CU13</f>
        <v>0</v>
      </c>
      <c r="CV6" s="58">
        <f t="shared" si="21"/>
        <v>0</v>
      </c>
      <c r="CW6" s="58">
        <f t="shared" si="21"/>
        <v>0</v>
      </c>
      <c r="CX6" s="58">
        <f t="shared" si="21"/>
        <v>0</v>
      </c>
      <c r="CY6" s="58">
        <f t="shared" si="21"/>
        <v>0</v>
      </c>
      <c r="CZ6" s="58">
        <f t="shared" si="21"/>
        <v>0</v>
      </c>
      <c r="DA6" s="58">
        <f t="shared" si="21"/>
        <v>0</v>
      </c>
      <c r="DB6" s="58">
        <f t="shared" si="21"/>
        <v>0</v>
      </c>
      <c r="DC6" s="58">
        <f t="shared" si="21"/>
        <v>0</v>
      </c>
      <c r="DD6" s="58">
        <f t="shared" si="21"/>
        <v>0</v>
      </c>
      <c r="DE6" s="58">
        <f t="shared" si="21"/>
        <v>0</v>
      </c>
      <c r="DF6" s="58">
        <f t="shared" si="21"/>
        <v>0</v>
      </c>
      <c r="DG6" s="58">
        <f>+SUM(CU6:DF6)</f>
        <v>0</v>
      </c>
      <c r="DH6" s="106"/>
      <c r="DI6" s="58">
        <f t="shared" ref="DI6:DT6" si="22">+DI7+DI8+DI13</f>
        <v>0</v>
      </c>
      <c r="DJ6" s="58">
        <f t="shared" si="22"/>
        <v>0</v>
      </c>
      <c r="DK6" s="58">
        <f t="shared" si="22"/>
        <v>0</v>
      </c>
      <c r="DL6" s="58">
        <f t="shared" si="22"/>
        <v>0</v>
      </c>
      <c r="DM6" s="58">
        <f t="shared" si="22"/>
        <v>0</v>
      </c>
      <c r="DN6" s="58">
        <f t="shared" si="22"/>
        <v>0</v>
      </c>
      <c r="DO6" s="58">
        <f t="shared" si="22"/>
        <v>0</v>
      </c>
      <c r="DP6" s="58">
        <f t="shared" si="22"/>
        <v>0</v>
      </c>
      <c r="DQ6" s="58">
        <f t="shared" si="22"/>
        <v>0</v>
      </c>
      <c r="DR6" s="58">
        <f t="shared" si="22"/>
        <v>0</v>
      </c>
      <c r="DS6" s="58">
        <f t="shared" si="22"/>
        <v>0</v>
      </c>
      <c r="DT6" s="58">
        <f t="shared" si="22"/>
        <v>0</v>
      </c>
      <c r="DU6" s="58">
        <f>+SUM(DI6:DT6)</f>
        <v>0</v>
      </c>
      <c r="DV6" s="106"/>
      <c r="DW6" s="58">
        <f t="shared" ref="DW6:EH6" si="23">+DW7+DW8+DW13</f>
        <v>0</v>
      </c>
      <c r="DX6" s="58">
        <f t="shared" si="23"/>
        <v>0</v>
      </c>
      <c r="DY6" s="58">
        <f t="shared" si="23"/>
        <v>0</v>
      </c>
      <c r="DZ6" s="58">
        <f t="shared" si="23"/>
        <v>0</v>
      </c>
      <c r="EA6" s="58">
        <f t="shared" si="23"/>
        <v>0</v>
      </c>
      <c r="EB6" s="58">
        <f t="shared" si="23"/>
        <v>0</v>
      </c>
      <c r="EC6" s="58">
        <f t="shared" si="23"/>
        <v>0</v>
      </c>
      <c r="ED6" s="58">
        <f t="shared" si="23"/>
        <v>0</v>
      </c>
      <c r="EE6" s="58">
        <f t="shared" si="23"/>
        <v>0</v>
      </c>
      <c r="EF6" s="58">
        <f t="shared" si="23"/>
        <v>0</v>
      </c>
      <c r="EG6" s="58">
        <f t="shared" si="23"/>
        <v>0</v>
      </c>
      <c r="EH6" s="58">
        <f t="shared" si="23"/>
        <v>0</v>
      </c>
      <c r="EI6" s="58">
        <f>+SUM(DW6:EH6)</f>
        <v>0</v>
      </c>
      <c r="EJ6" s="6" t="str">
        <f t="shared" ref="EJ6:EJ8" si="24">CT6</f>
        <v>Total Commission</v>
      </c>
      <c r="EK6" s="58">
        <f t="shared" ref="EK6:EV6" si="25">+EK7+EK8+EK13</f>
        <v>0</v>
      </c>
      <c r="EL6" s="58">
        <f t="shared" si="25"/>
        <v>0</v>
      </c>
      <c r="EM6" s="58">
        <f t="shared" si="25"/>
        <v>0</v>
      </c>
      <c r="EN6" s="58">
        <f t="shared" si="25"/>
        <v>0</v>
      </c>
      <c r="EO6" s="58">
        <f t="shared" si="25"/>
        <v>0</v>
      </c>
      <c r="EP6" s="58">
        <f t="shared" si="25"/>
        <v>0</v>
      </c>
      <c r="EQ6" s="58">
        <f t="shared" si="25"/>
        <v>0</v>
      </c>
      <c r="ER6" s="58">
        <f t="shared" si="25"/>
        <v>0</v>
      </c>
      <c r="ES6" s="58">
        <f t="shared" si="25"/>
        <v>0</v>
      </c>
      <c r="ET6" s="58">
        <f t="shared" si="25"/>
        <v>0</v>
      </c>
      <c r="EU6" s="58">
        <f t="shared" si="25"/>
        <v>0</v>
      </c>
      <c r="EV6" s="58">
        <f t="shared" si="25"/>
        <v>0</v>
      </c>
      <c r="EW6" s="58">
        <f>+SUM(EK6:EV6)</f>
        <v>0</v>
      </c>
      <c r="EX6" s="106"/>
      <c r="EY6" s="58">
        <f t="shared" ref="EY6:FJ6" si="26">+EY7+EY8+EY13</f>
        <v>0</v>
      </c>
      <c r="EZ6" s="58">
        <f t="shared" si="26"/>
        <v>0</v>
      </c>
      <c r="FA6" s="58">
        <f t="shared" si="26"/>
        <v>0</v>
      </c>
      <c r="FB6" s="58">
        <f t="shared" si="26"/>
        <v>0</v>
      </c>
      <c r="FC6" s="58">
        <f t="shared" si="26"/>
        <v>0</v>
      </c>
      <c r="FD6" s="58">
        <f t="shared" si="26"/>
        <v>0</v>
      </c>
      <c r="FE6" s="58">
        <f t="shared" si="26"/>
        <v>0</v>
      </c>
      <c r="FF6" s="58">
        <f t="shared" si="26"/>
        <v>0</v>
      </c>
      <c r="FG6" s="58">
        <f t="shared" si="26"/>
        <v>0</v>
      </c>
      <c r="FH6" s="58">
        <f t="shared" si="26"/>
        <v>0</v>
      </c>
      <c r="FI6" s="58">
        <f t="shared" si="26"/>
        <v>0</v>
      </c>
      <c r="FJ6" s="58">
        <f t="shared" si="26"/>
        <v>0</v>
      </c>
      <c r="FK6" s="58">
        <f>+SUM(EY6:FJ6)</f>
        <v>0</v>
      </c>
    </row>
    <row r="7" spans="1:167" ht="14.45" hidden="1" customHeight="1" outlineLevel="2">
      <c r="A7" s="58">
        <f t="shared" ref="A7:L12" si="27">+AQ7+CG7+DW7</f>
        <v>0</v>
      </c>
      <c r="B7" s="58">
        <f t="shared" si="27"/>
        <v>0</v>
      </c>
      <c r="C7" s="58">
        <f t="shared" si="27"/>
        <v>0</v>
      </c>
      <c r="D7" s="58">
        <f t="shared" si="27"/>
        <v>0</v>
      </c>
      <c r="E7" s="58">
        <f t="shared" si="27"/>
        <v>0</v>
      </c>
      <c r="F7" s="58">
        <f t="shared" si="27"/>
        <v>0</v>
      </c>
      <c r="G7" s="58">
        <f t="shared" si="27"/>
        <v>0</v>
      </c>
      <c r="H7" s="58">
        <f t="shared" si="27"/>
        <v>0</v>
      </c>
      <c r="I7" s="58">
        <f t="shared" si="27"/>
        <v>0</v>
      </c>
      <c r="J7" s="58">
        <f t="shared" si="27"/>
        <v>0</v>
      </c>
      <c r="K7" s="58">
        <f t="shared" si="27"/>
        <v>0</v>
      </c>
      <c r="L7" s="58">
        <f t="shared" si="27"/>
        <v>0</v>
      </c>
      <c r="M7" s="58">
        <f t="shared" ref="M7:M8" si="28">+SUM(A7:L7)</f>
        <v>0</v>
      </c>
      <c r="N7" s="6" t="s">
        <v>6</v>
      </c>
      <c r="O7" s="58">
        <f t="shared" ref="O7:Z7" si="29">+BE7+CU7+EK7</f>
        <v>0</v>
      </c>
      <c r="P7" s="58">
        <f t="shared" si="29"/>
        <v>0</v>
      </c>
      <c r="Q7" s="58">
        <f t="shared" si="29"/>
        <v>0</v>
      </c>
      <c r="R7" s="58">
        <f t="shared" si="29"/>
        <v>0</v>
      </c>
      <c r="S7" s="58">
        <f t="shared" si="29"/>
        <v>0</v>
      </c>
      <c r="T7" s="58">
        <f t="shared" si="29"/>
        <v>0</v>
      </c>
      <c r="U7" s="58">
        <f t="shared" si="29"/>
        <v>0</v>
      </c>
      <c r="V7" s="58">
        <f t="shared" si="29"/>
        <v>0</v>
      </c>
      <c r="W7" s="58">
        <f t="shared" si="29"/>
        <v>0</v>
      </c>
      <c r="X7" s="58">
        <f t="shared" si="29"/>
        <v>0</v>
      </c>
      <c r="Y7" s="58">
        <f t="shared" si="29"/>
        <v>0</v>
      </c>
      <c r="Z7" s="58">
        <f t="shared" si="29"/>
        <v>0</v>
      </c>
      <c r="AA7" s="58">
        <f t="shared" ref="AA7:AA8" si="30">+SUM(O7:Z7)</f>
        <v>0</v>
      </c>
      <c r="AB7" s="106"/>
      <c r="AC7" s="58">
        <f t="shared" ref="AC7:AN7" si="31">+BS7+DI7+EY7</f>
        <v>0</v>
      </c>
      <c r="AD7" s="58">
        <f t="shared" si="31"/>
        <v>0</v>
      </c>
      <c r="AE7" s="58">
        <f t="shared" si="31"/>
        <v>0</v>
      </c>
      <c r="AF7" s="58">
        <f t="shared" si="31"/>
        <v>0</v>
      </c>
      <c r="AG7" s="58">
        <f t="shared" si="31"/>
        <v>0</v>
      </c>
      <c r="AH7" s="58">
        <f t="shared" si="31"/>
        <v>0</v>
      </c>
      <c r="AI7" s="58">
        <f t="shared" si="31"/>
        <v>0</v>
      </c>
      <c r="AJ7" s="58">
        <f t="shared" si="31"/>
        <v>0</v>
      </c>
      <c r="AK7" s="58">
        <f t="shared" si="31"/>
        <v>0</v>
      </c>
      <c r="AL7" s="58">
        <f t="shared" si="31"/>
        <v>0</v>
      </c>
      <c r="AM7" s="58">
        <f t="shared" si="31"/>
        <v>0</v>
      </c>
      <c r="AN7" s="58">
        <f t="shared" si="31"/>
        <v>0</v>
      </c>
      <c r="AO7" s="58">
        <f t="shared" ref="AO7:AO8" si="32">+SUM(AC7:AN7)</f>
        <v>0</v>
      </c>
      <c r="AP7" s="106"/>
      <c r="AQ7" s="58">
        <f>+PMGR!AQ7+BP!AQ7</f>
        <v>0</v>
      </c>
      <c r="AR7" s="58">
        <f>+PMGR!AR7+BP!AR7</f>
        <v>0</v>
      </c>
      <c r="AS7" s="58">
        <f>+PMGR!AS7+BP!AS7</f>
        <v>0</v>
      </c>
      <c r="AT7" s="58">
        <f>+PMGR!AT7+BP!AT7</f>
        <v>0</v>
      </c>
      <c r="AU7" s="58">
        <f>+PMGR!AU7+BP!AU7</f>
        <v>0</v>
      </c>
      <c r="AV7" s="58">
        <f>+PMGR!AV7+BP!AV7</f>
        <v>0</v>
      </c>
      <c r="AW7" s="58">
        <f>+PMGR!AW7+BP!AW7</f>
        <v>0</v>
      </c>
      <c r="AX7" s="58">
        <f>+PMGR!AX7+BP!AX7</f>
        <v>0</v>
      </c>
      <c r="AY7" s="58">
        <f>+PMGR!AY7+BP!AY7</f>
        <v>0</v>
      </c>
      <c r="AZ7" s="58">
        <f>+PMGR!AZ7+BP!AZ7</f>
        <v>0</v>
      </c>
      <c r="BA7" s="58">
        <f>+PMGR!BA7+BP!BA7</f>
        <v>0</v>
      </c>
      <c r="BB7" s="58">
        <f>+PMGR!BB7+BP!BB7</f>
        <v>0</v>
      </c>
      <c r="BC7" s="58">
        <f t="shared" ref="BC7" si="33">+SUM(AQ7:BB7)</f>
        <v>0</v>
      </c>
      <c r="BD7" s="6" t="str">
        <f t="shared" si="16"/>
        <v>Fixed Commission</v>
      </c>
      <c r="BE7" s="58">
        <f>+PMGR!BE7+BP!BE7</f>
        <v>0</v>
      </c>
      <c r="BF7" s="58">
        <f>+PMGR!BF7+BP!BF7</f>
        <v>0</v>
      </c>
      <c r="BG7" s="58">
        <f>+PMGR!BG7+BP!BG7</f>
        <v>0</v>
      </c>
      <c r="BH7" s="58">
        <f>+PMGR!BH7+BP!BH7</f>
        <v>0</v>
      </c>
      <c r="BI7" s="58">
        <f>+PMGR!BI7+BP!BI7</f>
        <v>0</v>
      </c>
      <c r="BJ7" s="58">
        <f>+PMGR!BJ7+BP!BJ7</f>
        <v>0</v>
      </c>
      <c r="BK7" s="58">
        <f>+PMGR!BK7+BP!BK7</f>
        <v>0</v>
      </c>
      <c r="BL7" s="58">
        <f>+PMGR!BL7+BP!BL7</f>
        <v>0</v>
      </c>
      <c r="BM7" s="58">
        <f>+PMGR!BM7+BP!BM7</f>
        <v>0</v>
      </c>
      <c r="BN7" s="58">
        <f>+PMGR!BN7+BP!BN7</f>
        <v>0</v>
      </c>
      <c r="BO7" s="58">
        <f>+PMGR!BO7+BP!BO7</f>
        <v>0</v>
      </c>
      <c r="BP7" s="58">
        <f>+PMGR!BP7+BP!BP7</f>
        <v>0</v>
      </c>
      <c r="BQ7" s="58">
        <f t="shared" ref="BQ7:BQ12" si="34">+SUM(BE7:BP7)</f>
        <v>0</v>
      </c>
      <c r="BR7" s="114"/>
      <c r="BS7" s="58">
        <f>+PMGR!BS7+BP!BS7</f>
        <v>0</v>
      </c>
      <c r="BT7" s="58">
        <f>+PMGR!BT7+BP!BT7</f>
        <v>0</v>
      </c>
      <c r="BU7" s="58">
        <f>+PMGR!BU7+BP!BU7</f>
        <v>0</v>
      </c>
      <c r="BV7" s="58">
        <f>+PMGR!BV7+BP!BV7</f>
        <v>0</v>
      </c>
      <c r="BW7" s="58">
        <f>+PMGR!BW7+BP!BW7</f>
        <v>0</v>
      </c>
      <c r="BX7" s="58">
        <f>+PMGR!BX7+BP!BX7</f>
        <v>0</v>
      </c>
      <c r="BY7" s="58">
        <f>+PMGR!BY7+BP!BY7</f>
        <v>0</v>
      </c>
      <c r="BZ7" s="58">
        <f>+PMGR!BZ7+BP!BZ7</f>
        <v>0</v>
      </c>
      <c r="CA7" s="58">
        <f>+PMGR!CA7+BP!CA7</f>
        <v>0</v>
      </c>
      <c r="CB7" s="58">
        <f>+PMGR!CB7+BP!CB7</f>
        <v>0</v>
      </c>
      <c r="CC7" s="58">
        <f>+PMGR!CC7+BP!CC7</f>
        <v>0</v>
      </c>
      <c r="CD7" s="58">
        <f>+PMGR!CD7+BP!CD7</f>
        <v>0</v>
      </c>
      <c r="CE7" s="58">
        <f t="shared" ref="CE7" si="35">+SUM(BS7:CD7)</f>
        <v>0</v>
      </c>
      <c r="CF7" s="106"/>
      <c r="CG7" s="58">
        <f>+PMGR!CG7+BP!CG7</f>
        <v>0</v>
      </c>
      <c r="CH7" s="58">
        <f>+PMGR!CH7+BP!CH7</f>
        <v>0</v>
      </c>
      <c r="CI7" s="58">
        <f>+PMGR!CI7+BP!CI7</f>
        <v>0</v>
      </c>
      <c r="CJ7" s="58">
        <f>+PMGR!CJ7+BP!CJ7</f>
        <v>0</v>
      </c>
      <c r="CK7" s="58">
        <f>+PMGR!CK7+BP!CK7</f>
        <v>0</v>
      </c>
      <c r="CL7" s="58">
        <f>+PMGR!CL7+BP!CL7</f>
        <v>0</v>
      </c>
      <c r="CM7" s="58">
        <f>+PMGR!CM7+BP!CM7</f>
        <v>0</v>
      </c>
      <c r="CN7" s="58">
        <f>+PMGR!CN7+BP!CN7</f>
        <v>0</v>
      </c>
      <c r="CO7" s="58">
        <f>+PMGR!CO7+BP!CO7</f>
        <v>0</v>
      </c>
      <c r="CP7" s="58">
        <f>+PMGR!CP7+BP!CP7</f>
        <v>0</v>
      </c>
      <c r="CQ7" s="58">
        <f>+PMGR!CQ7+BP!CQ7</f>
        <v>0</v>
      </c>
      <c r="CR7" s="58">
        <f>+PMGR!CR7+BP!CR7</f>
        <v>0</v>
      </c>
      <c r="CS7" s="58">
        <f t="shared" ref="CS7" si="36">+SUM(CG7:CR7)</f>
        <v>0</v>
      </c>
      <c r="CT7" s="6" t="str">
        <f t="shared" si="20"/>
        <v>Fixed Commission</v>
      </c>
      <c r="CU7" s="58">
        <f>+PMGR!CU7+BP!CU7</f>
        <v>0</v>
      </c>
      <c r="CV7" s="58">
        <f>+PMGR!CV7+BP!CV7</f>
        <v>0</v>
      </c>
      <c r="CW7" s="58">
        <f>+PMGR!CW7+BP!CW7</f>
        <v>0</v>
      </c>
      <c r="CX7" s="58">
        <f>+PMGR!CX7+BP!CX7</f>
        <v>0</v>
      </c>
      <c r="CY7" s="58">
        <f>+PMGR!CY7+BP!CY7</f>
        <v>0</v>
      </c>
      <c r="CZ7" s="58">
        <f>+PMGR!CZ7+BP!CZ7</f>
        <v>0</v>
      </c>
      <c r="DA7" s="58">
        <f>+PMGR!DA7+BP!DA7</f>
        <v>0</v>
      </c>
      <c r="DB7" s="58">
        <f>+PMGR!DB7+BP!DB7</f>
        <v>0</v>
      </c>
      <c r="DC7" s="58">
        <f>+PMGR!DC7+BP!DC7</f>
        <v>0</v>
      </c>
      <c r="DD7" s="58">
        <f>+PMGR!DD7+BP!DD7</f>
        <v>0</v>
      </c>
      <c r="DE7" s="58">
        <f>+PMGR!DE7+BP!DE7</f>
        <v>0</v>
      </c>
      <c r="DF7" s="58">
        <f>+PMGR!DF7+BP!DF7</f>
        <v>0</v>
      </c>
      <c r="DG7" s="58">
        <f t="shared" ref="DG7" si="37">+SUM(CU7:DF7)</f>
        <v>0</v>
      </c>
      <c r="DH7" s="106"/>
      <c r="DI7" s="58">
        <f>+PMGR!DI7+BP!DI7</f>
        <v>0</v>
      </c>
      <c r="DJ7" s="58">
        <f>+PMGR!DJ7+BP!DJ7</f>
        <v>0</v>
      </c>
      <c r="DK7" s="58">
        <f>+PMGR!DK7+BP!DK7</f>
        <v>0</v>
      </c>
      <c r="DL7" s="58">
        <f>+PMGR!DL7+BP!DL7</f>
        <v>0</v>
      </c>
      <c r="DM7" s="58">
        <f>+PMGR!DM7+BP!DM7</f>
        <v>0</v>
      </c>
      <c r="DN7" s="58">
        <f>+PMGR!DN7+BP!DN7</f>
        <v>0</v>
      </c>
      <c r="DO7" s="58">
        <f>+PMGR!DO7+BP!DO7</f>
        <v>0</v>
      </c>
      <c r="DP7" s="58">
        <f>+PMGR!DP7+BP!DP7</f>
        <v>0</v>
      </c>
      <c r="DQ7" s="58">
        <f>+PMGR!DQ7+BP!DQ7</f>
        <v>0</v>
      </c>
      <c r="DR7" s="58">
        <f>+PMGR!DR7+BP!DR7</f>
        <v>0</v>
      </c>
      <c r="DS7" s="58">
        <f>+PMGR!DS7+BP!DS7</f>
        <v>0</v>
      </c>
      <c r="DT7" s="58">
        <f>+PMGR!DT7+BP!DT7</f>
        <v>0</v>
      </c>
      <c r="DU7" s="58">
        <f t="shared" ref="DU7" si="38">+SUM(DI7:DT7)</f>
        <v>0</v>
      </c>
      <c r="DV7" s="106"/>
      <c r="DW7" s="58">
        <f>+PMGR!DW7+BP!DW7</f>
        <v>0</v>
      </c>
      <c r="DX7" s="58">
        <f>+PMGR!DX7+BP!DX7</f>
        <v>0</v>
      </c>
      <c r="DY7" s="58">
        <f>+PMGR!DY7+BP!DY7</f>
        <v>0</v>
      </c>
      <c r="DZ7" s="58">
        <f>+PMGR!DZ7+BP!DZ7</f>
        <v>0</v>
      </c>
      <c r="EA7" s="58">
        <f>+PMGR!EA7+BP!EA7</f>
        <v>0</v>
      </c>
      <c r="EB7" s="58">
        <f>+PMGR!EB7+BP!EB7</f>
        <v>0</v>
      </c>
      <c r="EC7" s="58">
        <f>+PMGR!EC7+BP!EC7</f>
        <v>0</v>
      </c>
      <c r="ED7" s="58">
        <f>+PMGR!ED7+BP!ED7</f>
        <v>0</v>
      </c>
      <c r="EE7" s="58">
        <f>+PMGR!EE7+BP!EE7</f>
        <v>0</v>
      </c>
      <c r="EF7" s="58">
        <f>+PMGR!EF7+BP!EF7</f>
        <v>0</v>
      </c>
      <c r="EG7" s="58">
        <f>+PMGR!EG7+BP!EG7</f>
        <v>0</v>
      </c>
      <c r="EH7" s="58">
        <f>+PMGR!EH7+BP!EH7</f>
        <v>0</v>
      </c>
      <c r="EI7" s="58">
        <f t="shared" ref="EI7" si="39">+SUM(DW7:EH7)</f>
        <v>0</v>
      </c>
      <c r="EJ7" s="6" t="str">
        <f t="shared" si="24"/>
        <v>Fixed Commission</v>
      </c>
      <c r="EK7" s="58">
        <f>+PMGR!EK7+BP!EK7</f>
        <v>0</v>
      </c>
      <c r="EL7" s="58">
        <f>+PMGR!EL7+BP!EL7</f>
        <v>0</v>
      </c>
      <c r="EM7" s="58">
        <f>+PMGR!EM7+BP!EM7</f>
        <v>0</v>
      </c>
      <c r="EN7" s="58">
        <f>+PMGR!EN7+BP!EN7</f>
        <v>0</v>
      </c>
      <c r="EO7" s="58">
        <f>+PMGR!EO7+BP!EO7</f>
        <v>0</v>
      </c>
      <c r="EP7" s="58">
        <f>+PMGR!EP7+BP!EP7</f>
        <v>0</v>
      </c>
      <c r="EQ7" s="58">
        <f>+PMGR!EQ7+BP!EQ7</f>
        <v>0</v>
      </c>
      <c r="ER7" s="58">
        <f>+PMGR!ER7+BP!ER7</f>
        <v>0</v>
      </c>
      <c r="ES7" s="58">
        <f>+PMGR!ES7+BP!ES7</f>
        <v>0</v>
      </c>
      <c r="ET7" s="58">
        <f>+PMGR!ET7+BP!ET7</f>
        <v>0</v>
      </c>
      <c r="EU7" s="58">
        <f>+PMGR!EU7+BP!EU7</f>
        <v>0</v>
      </c>
      <c r="EV7" s="58">
        <f>+PMGR!EV7+BP!EV7</f>
        <v>0</v>
      </c>
      <c r="EW7" s="58">
        <f t="shared" ref="EW7" si="40">+SUM(EK7:EV7)</f>
        <v>0</v>
      </c>
      <c r="EX7" s="106"/>
      <c r="EY7" s="58">
        <f>+PMGR!EY7+BP!EY7</f>
        <v>0</v>
      </c>
      <c r="EZ7" s="58">
        <f>+PMGR!EZ7+BP!EZ7</f>
        <v>0</v>
      </c>
      <c r="FA7" s="58">
        <f>+PMGR!FA7+BP!FA7</f>
        <v>0</v>
      </c>
      <c r="FB7" s="58">
        <f>+PMGR!FB7+BP!FB7</f>
        <v>0</v>
      </c>
      <c r="FC7" s="58">
        <f>+PMGR!FC7+BP!FC7</f>
        <v>0</v>
      </c>
      <c r="FD7" s="58">
        <f>+PMGR!FD7+BP!FD7</f>
        <v>0</v>
      </c>
      <c r="FE7" s="58">
        <f>+PMGR!FE7+BP!FE7</f>
        <v>0</v>
      </c>
      <c r="FF7" s="58">
        <f>+PMGR!FF7+BP!FF7</f>
        <v>0</v>
      </c>
      <c r="FG7" s="58">
        <f>+PMGR!FG7+BP!FG7</f>
        <v>0</v>
      </c>
      <c r="FH7" s="58">
        <f>+PMGR!FH7+BP!FH7</f>
        <v>0</v>
      </c>
      <c r="FI7" s="58">
        <f>+PMGR!FI7+BP!FI7</f>
        <v>0</v>
      </c>
      <c r="FJ7" s="58">
        <f>+PMGR!FJ7+BP!FJ7</f>
        <v>0</v>
      </c>
      <c r="FK7" s="58">
        <f t="shared" ref="FK7" si="41">+SUM(EY7:FJ7)</f>
        <v>0</v>
      </c>
    </row>
    <row r="8" spans="1:167" ht="14.45" hidden="1" customHeight="1" outlineLevel="2">
      <c r="A8" s="58">
        <f>+SUM(A9:A12)</f>
        <v>0</v>
      </c>
      <c r="B8" s="58">
        <f t="shared" ref="B8:L8" si="42">+SUM(B9:B12)</f>
        <v>0</v>
      </c>
      <c r="C8" s="58">
        <f t="shared" si="42"/>
        <v>0</v>
      </c>
      <c r="D8" s="58">
        <f t="shared" si="42"/>
        <v>0</v>
      </c>
      <c r="E8" s="58">
        <f t="shared" si="42"/>
        <v>0</v>
      </c>
      <c r="F8" s="58">
        <f t="shared" si="42"/>
        <v>0</v>
      </c>
      <c r="G8" s="58">
        <f t="shared" si="42"/>
        <v>0</v>
      </c>
      <c r="H8" s="58">
        <f t="shared" si="42"/>
        <v>0</v>
      </c>
      <c r="I8" s="58">
        <f t="shared" si="42"/>
        <v>0</v>
      </c>
      <c r="J8" s="58">
        <f t="shared" si="42"/>
        <v>0</v>
      </c>
      <c r="K8" s="58">
        <f t="shared" si="42"/>
        <v>0</v>
      </c>
      <c r="L8" s="58">
        <f t="shared" si="42"/>
        <v>0</v>
      </c>
      <c r="M8" s="58">
        <f t="shared" si="28"/>
        <v>0</v>
      </c>
      <c r="N8" s="6" t="s">
        <v>219</v>
      </c>
      <c r="O8" s="58">
        <f>+SUM(O9:O12)</f>
        <v>0</v>
      </c>
      <c r="P8" s="58">
        <f t="shared" ref="P8:Z8" si="43">+SUM(P9:P12)</f>
        <v>0</v>
      </c>
      <c r="Q8" s="58">
        <f t="shared" si="43"/>
        <v>0</v>
      </c>
      <c r="R8" s="58">
        <f t="shared" si="43"/>
        <v>0</v>
      </c>
      <c r="S8" s="58">
        <f t="shared" si="43"/>
        <v>0</v>
      </c>
      <c r="T8" s="58">
        <f t="shared" si="43"/>
        <v>0</v>
      </c>
      <c r="U8" s="58">
        <f t="shared" si="43"/>
        <v>0</v>
      </c>
      <c r="V8" s="58">
        <f t="shared" si="43"/>
        <v>0</v>
      </c>
      <c r="W8" s="58">
        <f t="shared" si="43"/>
        <v>0</v>
      </c>
      <c r="X8" s="58">
        <f t="shared" si="43"/>
        <v>0</v>
      </c>
      <c r="Y8" s="58">
        <f t="shared" si="43"/>
        <v>0</v>
      </c>
      <c r="Z8" s="58">
        <f t="shared" si="43"/>
        <v>0</v>
      </c>
      <c r="AA8" s="58">
        <f t="shared" si="30"/>
        <v>0</v>
      </c>
      <c r="AB8" s="106"/>
      <c r="AC8" s="58">
        <f>+SUM(AC9:AC12)</f>
        <v>0</v>
      </c>
      <c r="AD8" s="58">
        <f t="shared" ref="AD8:AN8" si="44">+SUM(AD9:AD12)</f>
        <v>0</v>
      </c>
      <c r="AE8" s="58">
        <f t="shared" si="44"/>
        <v>0</v>
      </c>
      <c r="AF8" s="58">
        <f t="shared" si="44"/>
        <v>0</v>
      </c>
      <c r="AG8" s="58">
        <f t="shared" si="44"/>
        <v>0</v>
      </c>
      <c r="AH8" s="58">
        <f t="shared" si="44"/>
        <v>0</v>
      </c>
      <c r="AI8" s="58">
        <f t="shared" si="44"/>
        <v>0</v>
      </c>
      <c r="AJ8" s="58">
        <f t="shared" si="44"/>
        <v>0</v>
      </c>
      <c r="AK8" s="58">
        <f t="shared" si="44"/>
        <v>0</v>
      </c>
      <c r="AL8" s="58">
        <f t="shared" si="44"/>
        <v>0</v>
      </c>
      <c r="AM8" s="58">
        <f t="shared" si="44"/>
        <v>0</v>
      </c>
      <c r="AN8" s="58">
        <f t="shared" si="44"/>
        <v>0</v>
      </c>
      <c r="AO8" s="58">
        <f t="shared" si="32"/>
        <v>0</v>
      </c>
      <c r="AP8" s="106"/>
      <c r="AQ8" s="58">
        <f t="shared" ref="AQ8:BB8" si="45">+SUM(AQ9:AQ12)</f>
        <v>0</v>
      </c>
      <c r="AR8" s="58">
        <f t="shared" si="45"/>
        <v>0</v>
      </c>
      <c r="AS8" s="58">
        <f t="shared" si="45"/>
        <v>0</v>
      </c>
      <c r="AT8" s="58">
        <f t="shared" si="45"/>
        <v>0</v>
      </c>
      <c r="AU8" s="58">
        <f t="shared" si="45"/>
        <v>0</v>
      </c>
      <c r="AV8" s="58">
        <f t="shared" si="45"/>
        <v>0</v>
      </c>
      <c r="AW8" s="58">
        <f t="shared" si="45"/>
        <v>0</v>
      </c>
      <c r="AX8" s="58">
        <f t="shared" si="45"/>
        <v>0</v>
      </c>
      <c r="AY8" s="58">
        <f t="shared" si="45"/>
        <v>0</v>
      </c>
      <c r="AZ8" s="58">
        <f t="shared" si="45"/>
        <v>0</v>
      </c>
      <c r="BA8" s="58">
        <f t="shared" si="45"/>
        <v>0</v>
      </c>
      <c r="BB8" s="58">
        <f t="shared" si="45"/>
        <v>0</v>
      </c>
      <c r="BC8" s="58">
        <f t="shared" ref="BC8" si="46">+SUM(AQ8:BB8)</f>
        <v>0</v>
      </c>
      <c r="BD8" s="6" t="str">
        <f t="shared" si="16"/>
        <v>Target achievement bonus</v>
      </c>
      <c r="BE8" s="58">
        <f t="shared" ref="BE8:BP8" si="47">+SUM(BE9:BE12)</f>
        <v>0</v>
      </c>
      <c r="BF8" s="58">
        <f t="shared" si="47"/>
        <v>0</v>
      </c>
      <c r="BG8" s="58">
        <f t="shared" si="47"/>
        <v>0</v>
      </c>
      <c r="BH8" s="58">
        <f t="shared" si="47"/>
        <v>0</v>
      </c>
      <c r="BI8" s="58">
        <f t="shared" si="47"/>
        <v>0</v>
      </c>
      <c r="BJ8" s="58">
        <f t="shared" si="47"/>
        <v>0</v>
      </c>
      <c r="BK8" s="58">
        <f t="shared" si="47"/>
        <v>0</v>
      </c>
      <c r="BL8" s="58">
        <f t="shared" si="47"/>
        <v>0</v>
      </c>
      <c r="BM8" s="58">
        <f t="shared" si="47"/>
        <v>0</v>
      </c>
      <c r="BN8" s="58">
        <f t="shared" si="47"/>
        <v>0</v>
      </c>
      <c r="BO8" s="58">
        <f t="shared" si="47"/>
        <v>0</v>
      </c>
      <c r="BP8" s="58">
        <f t="shared" si="47"/>
        <v>0</v>
      </c>
      <c r="BQ8" s="58">
        <f t="shared" ref="BQ8" si="48">+SUM(BE8:BP8)</f>
        <v>0</v>
      </c>
      <c r="BR8" s="114"/>
      <c r="BS8" s="58">
        <f t="shared" ref="BS8:CD8" si="49">+SUM(BS9:BS12)</f>
        <v>0</v>
      </c>
      <c r="BT8" s="58">
        <f t="shared" si="49"/>
        <v>0</v>
      </c>
      <c r="BU8" s="58">
        <f t="shared" si="49"/>
        <v>0</v>
      </c>
      <c r="BV8" s="58">
        <f t="shared" si="49"/>
        <v>0</v>
      </c>
      <c r="BW8" s="58">
        <f t="shared" si="49"/>
        <v>0</v>
      </c>
      <c r="BX8" s="58">
        <f t="shared" si="49"/>
        <v>0</v>
      </c>
      <c r="BY8" s="58">
        <f t="shared" si="49"/>
        <v>0</v>
      </c>
      <c r="BZ8" s="58">
        <f t="shared" si="49"/>
        <v>0</v>
      </c>
      <c r="CA8" s="58">
        <f t="shared" si="49"/>
        <v>0</v>
      </c>
      <c r="CB8" s="58">
        <f t="shared" si="49"/>
        <v>0</v>
      </c>
      <c r="CC8" s="58">
        <f t="shared" si="49"/>
        <v>0</v>
      </c>
      <c r="CD8" s="58">
        <f t="shared" si="49"/>
        <v>0</v>
      </c>
      <c r="CE8" s="58">
        <f t="shared" ref="CE8" si="50">+SUM(BS8:CD8)</f>
        <v>0</v>
      </c>
      <c r="CF8" s="106"/>
      <c r="CG8" s="58">
        <f t="shared" ref="CG8:CR8" si="51">+SUM(CG9:CG12)</f>
        <v>0</v>
      </c>
      <c r="CH8" s="58">
        <f t="shared" si="51"/>
        <v>0</v>
      </c>
      <c r="CI8" s="58">
        <f t="shared" si="51"/>
        <v>0</v>
      </c>
      <c r="CJ8" s="58">
        <f t="shared" si="51"/>
        <v>0</v>
      </c>
      <c r="CK8" s="58">
        <f t="shared" si="51"/>
        <v>0</v>
      </c>
      <c r="CL8" s="58">
        <f t="shared" si="51"/>
        <v>0</v>
      </c>
      <c r="CM8" s="58">
        <f t="shared" si="51"/>
        <v>0</v>
      </c>
      <c r="CN8" s="58">
        <f t="shared" si="51"/>
        <v>0</v>
      </c>
      <c r="CO8" s="58">
        <f t="shared" si="51"/>
        <v>0</v>
      </c>
      <c r="CP8" s="58">
        <f t="shared" si="51"/>
        <v>0</v>
      </c>
      <c r="CQ8" s="58">
        <f t="shared" si="51"/>
        <v>0</v>
      </c>
      <c r="CR8" s="58">
        <f t="shared" si="51"/>
        <v>0</v>
      </c>
      <c r="CS8" s="58">
        <f t="shared" ref="CS8" si="52">+SUM(CG8:CR8)</f>
        <v>0</v>
      </c>
      <c r="CT8" s="6" t="str">
        <f t="shared" si="20"/>
        <v>Target achievement bonus</v>
      </c>
      <c r="CU8" s="58">
        <f t="shared" ref="CU8:DF8" si="53">+SUM(CU9:CU12)</f>
        <v>0</v>
      </c>
      <c r="CV8" s="58">
        <f t="shared" si="53"/>
        <v>0</v>
      </c>
      <c r="CW8" s="58">
        <f t="shared" si="53"/>
        <v>0</v>
      </c>
      <c r="CX8" s="58">
        <f t="shared" si="53"/>
        <v>0</v>
      </c>
      <c r="CY8" s="58">
        <f t="shared" si="53"/>
        <v>0</v>
      </c>
      <c r="CZ8" s="58">
        <f t="shared" si="53"/>
        <v>0</v>
      </c>
      <c r="DA8" s="58">
        <f t="shared" si="53"/>
        <v>0</v>
      </c>
      <c r="DB8" s="58">
        <f t="shared" si="53"/>
        <v>0</v>
      </c>
      <c r="DC8" s="58">
        <f t="shared" si="53"/>
        <v>0</v>
      </c>
      <c r="DD8" s="58">
        <f t="shared" si="53"/>
        <v>0</v>
      </c>
      <c r="DE8" s="58">
        <f t="shared" si="53"/>
        <v>0</v>
      </c>
      <c r="DF8" s="58">
        <f t="shared" si="53"/>
        <v>0</v>
      </c>
      <c r="DG8" s="58">
        <f t="shared" ref="DG8" si="54">+SUM(CU8:DF8)</f>
        <v>0</v>
      </c>
      <c r="DH8" s="106"/>
      <c r="DI8" s="58">
        <f t="shared" ref="DI8:DT8" si="55">+SUM(DI9:DI12)</f>
        <v>0</v>
      </c>
      <c r="DJ8" s="58">
        <f t="shared" si="55"/>
        <v>0</v>
      </c>
      <c r="DK8" s="58">
        <f t="shared" si="55"/>
        <v>0</v>
      </c>
      <c r="DL8" s="58">
        <f t="shared" si="55"/>
        <v>0</v>
      </c>
      <c r="DM8" s="58">
        <f t="shared" si="55"/>
        <v>0</v>
      </c>
      <c r="DN8" s="58">
        <f t="shared" si="55"/>
        <v>0</v>
      </c>
      <c r="DO8" s="58">
        <f t="shared" si="55"/>
        <v>0</v>
      </c>
      <c r="DP8" s="58">
        <f t="shared" si="55"/>
        <v>0</v>
      </c>
      <c r="DQ8" s="58">
        <f t="shared" si="55"/>
        <v>0</v>
      </c>
      <c r="DR8" s="58">
        <f t="shared" si="55"/>
        <v>0</v>
      </c>
      <c r="DS8" s="58">
        <f t="shared" si="55"/>
        <v>0</v>
      </c>
      <c r="DT8" s="58">
        <f t="shared" si="55"/>
        <v>0</v>
      </c>
      <c r="DU8" s="58">
        <f t="shared" ref="DU8" si="56">+SUM(DI8:DT8)</f>
        <v>0</v>
      </c>
      <c r="DV8" s="106"/>
      <c r="DW8" s="58">
        <f t="shared" ref="DW8:EH8" si="57">+SUM(DW9:DW12)</f>
        <v>0</v>
      </c>
      <c r="DX8" s="58">
        <f t="shared" si="57"/>
        <v>0</v>
      </c>
      <c r="DY8" s="58">
        <f t="shared" si="57"/>
        <v>0</v>
      </c>
      <c r="DZ8" s="58">
        <f t="shared" si="57"/>
        <v>0</v>
      </c>
      <c r="EA8" s="58">
        <f t="shared" si="57"/>
        <v>0</v>
      </c>
      <c r="EB8" s="58">
        <f t="shared" si="57"/>
        <v>0</v>
      </c>
      <c r="EC8" s="58">
        <f t="shared" si="57"/>
        <v>0</v>
      </c>
      <c r="ED8" s="58">
        <f t="shared" si="57"/>
        <v>0</v>
      </c>
      <c r="EE8" s="58">
        <f t="shared" si="57"/>
        <v>0</v>
      </c>
      <c r="EF8" s="58">
        <f t="shared" si="57"/>
        <v>0</v>
      </c>
      <c r="EG8" s="58">
        <f t="shared" si="57"/>
        <v>0</v>
      </c>
      <c r="EH8" s="58">
        <f t="shared" si="57"/>
        <v>0</v>
      </c>
      <c r="EI8" s="58">
        <f t="shared" ref="EI8" si="58">+SUM(DW8:EH8)</f>
        <v>0</v>
      </c>
      <c r="EJ8" s="6" t="str">
        <f t="shared" si="24"/>
        <v>Target achievement bonus</v>
      </c>
      <c r="EK8" s="58">
        <f t="shared" ref="EK8:EV8" si="59">+SUM(EK9:EK12)</f>
        <v>0</v>
      </c>
      <c r="EL8" s="58">
        <f t="shared" si="59"/>
        <v>0</v>
      </c>
      <c r="EM8" s="58">
        <f t="shared" si="59"/>
        <v>0</v>
      </c>
      <c r="EN8" s="58">
        <f t="shared" si="59"/>
        <v>0</v>
      </c>
      <c r="EO8" s="58">
        <f t="shared" si="59"/>
        <v>0</v>
      </c>
      <c r="EP8" s="58">
        <f t="shared" si="59"/>
        <v>0</v>
      </c>
      <c r="EQ8" s="58">
        <f t="shared" si="59"/>
        <v>0</v>
      </c>
      <c r="ER8" s="58">
        <f t="shared" si="59"/>
        <v>0</v>
      </c>
      <c r="ES8" s="58">
        <f t="shared" si="59"/>
        <v>0</v>
      </c>
      <c r="ET8" s="58">
        <f t="shared" si="59"/>
        <v>0</v>
      </c>
      <c r="EU8" s="58">
        <f t="shared" si="59"/>
        <v>0</v>
      </c>
      <c r="EV8" s="58">
        <f t="shared" si="59"/>
        <v>0</v>
      </c>
      <c r="EW8" s="58">
        <f t="shared" ref="EW8" si="60">+SUM(EK8:EV8)</f>
        <v>0</v>
      </c>
      <c r="EX8" s="106"/>
      <c r="EY8" s="58">
        <f t="shared" ref="EY8:FJ8" si="61">+SUM(EY9:EY12)</f>
        <v>0</v>
      </c>
      <c r="EZ8" s="58">
        <f t="shared" si="61"/>
        <v>0</v>
      </c>
      <c r="FA8" s="58">
        <f t="shared" si="61"/>
        <v>0</v>
      </c>
      <c r="FB8" s="58">
        <f t="shared" si="61"/>
        <v>0</v>
      </c>
      <c r="FC8" s="58">
        <f t="shared" si="61"/>
        <v>0</v>
      </c>
      <c r="FD8" s="58">
        <f t="shared" si="61"/>
        <v>0</v>
      </c>
      <c r="FE8" s="58">
        <f t="shared" si="61"/>
        <v>0</v>
      </c>
      <c r="FF8" s="58">
        <f t="shared" si="61"/>
        <v>0</v>
      </c>
      <c r="FG8" s="58">
        <f t="shared" si="61"/>
        <v>0</v>
      </c>
      <c r="FH8" s="58">
        <f t="shared" si="61"/>
        <v>0</v>
      </c>
      <c r="FI8" s="58">
        <f t="shared" si="61"/>
        <v>0</v>
      </c>
      <c r="FJ8" s="58">
        <f t="shared" si="61"/>
        <v>0</v>
      </c>
      <c r="FK8" s="58">
        <f t="shared" ref="FK8" si="62">+SUM(EY8:FJ8)</f>
        <v>0</v>
      </c>
    </row>
    <row r="9" spans="1:167" ht="14.45" hidden="1" customHeight="1" outlineLevel="2">
      <c r="A9" s="106">
        <f t="shared" si="27"/>
        <v>0</v>
      </c>
      <c r="B9" s="106">
        <f t="shared" si="27"/>
        <v>0</v>
      </c>
      <c r="C9" s="106">
        <f t="shared" si="27"/>
        <v>0</v>
      </c>
      <c r="D9" s="106">
        <f t="shared" si="27"/>
        <v>0</v>
      </c>
      <c r="E9" s="106">
        <f t="shared" si="27"/>
        <v>0</v>
      </c>
      <c r="F9" s="106">
        <f t="shared" si="27"/>
        <v>0</v>
      </c>
      <c r="G9" s="106">
        <f t="shared" si="27"/>
        <v>0</v>
      </c>
      <c r="H9" s="106">
        <f t="shared" si="27"/>
        <v>0</v>
      </c>
      <c r="I9" s="106">
        <f t="shared" si="27"/>
        <v>0</v>
      </c>
      <c r="J9" s="106">
        <f t="shared" si="27"/>
        <v>0</v>
      </c>
      <c r="K9" s="106">
        <f t="shared" si="27"/>
        <v>0</v>
      </c>
      <c r="L9" s="106">
        <f t="shared" si="27"/>
        <v>0</v>
      </c>
      <c r="M9" s="106">
        <f>+SUM(A9:L9)</f>
        <v>0</v>
      </c>
      <c r="N9" s="7" t="s">
        <v>7</v>
      </c>
      <c r="O9" s="106">
        <f t="shared" ref="O9:Z12" si="63">+BE9+CU9+EK9</f>
        <v>0</v>
      </c>
      <c r="P9" s="106">
        <f t="shared" si="63"/>
        <v>0</v>
      </c>
      <c r="Q9" s="106">
        <f t="shared" si="63"/>
        <v>0</v>
      </c>
      <c r="R9" s="106">
        <f t="shared" si="63"/>
        <v>0</v>
      </c>
      <c r="S9" s="106">
        <f t="shared" si="63"/>
        <v>0</v>
      </c>
      <c r="T9" s="106">
        <f t="shared" si="63"/>
        <v>0</v>
      </c>
      <c r="U9" s="106">
        <f t="shared" si="63"/>
        <v>0</v>
      </c>
      <c r="V9" s="106">
        <f t="shared" si="63"/>
        <v>0</v>
      </c>
      <c r="W9" s="106">
        <f t="shared" si="63"/>
        <v>0</v>
      </c>
      <c r="X9" s="106">
        <f t="shared" si="63"/>
        <v>0</v>
      </c>
      <c r="Y9" s="106">
        <f t="shared" si="63"/>
        <v>0</v>
      </c>
      <c r="Z9" s="106">
        <f t="shared" si="63"/>
        <v>0</v>
      </c>
      <c r="AA9" s="106">
        <f>+SUM(O9:Z9)</f>
        <v>0</v>
      </c>
      <c r="AB9" s="106"/>
      <c r="AC9" s="106">
        <f t="shared" ref="AC9:AN12" si="64">+BS9+DI9+EY9</f>
        <v>0</v>
      </c>
      <c r="AD9" s="106">
        <f t="shared" si="64"/>
        <v>0</v>
      </c>
      <c r="AE9" s="106">
        <f t="shared" si="64"/>
        <v>0</v>
      </c>
      <c r="AF9" s="106">
        <f t="shared" si="64"/>
        <v>0</v>
      </c>
      <c r="AG9" s="106">
        <f t="shared" si="64"/>
        <v>0</v>
      </c>
      <c r="AH9" s="106">
        <f t="shared" si="64"/>
        <v>0</v>
      </c>
      <c r="AI9" s="106">
        <f t="shared" si="64"/>
        <v>0</v>
      </c>
      <c r="AJ9" s="106">
        <f t="shared" si="64"/>
        <v>0</v>
      </c>
      <c r="AK9" s="106">
        <f t="shared" si="64"/>
        <v>0</v>
      </c>
      <c r="AL9" s="106">
        <f t="shared" si="64"/>
        <v>0</v>
      </c>
      <c r="AM9" s="106">
        <f t="shared" si="64"/>
        <v>0</v>
      </c>
      <c r="AN9" s="106">
        <f t="shared" si="64"/>
        <v>0</v>
      </c>
      <c r="AO9" s="106">
        <f>+SUM(AC9:AN9)</f>
        <v>0</v>
      </c>
      <c r="AP9" s="106"/>
      <c r="AQ9" s="106">
        <f>+PMGR!AQ9+BP!AQ9</f>
        <v>0</v>
      </c>
      <c r="AR9" s="106">
        <f>+PMGR!AR9+BP!AR9</f>
        <v>0</v>
      </c>
      <c r="AS9" s="106">
        <f>+PMGR!AS9+BP!AS9</f>
        <v>0</v>
      </c>
      <c r="AT9" s="106">
        <f>+PMGR!AT9+BP!AT9</f>
        <v>0</v>
      </c>
      <c r="AU9" s="106">
        <f>+PMGR!AU9+BP!AU9</f>
        <v>0</v>
      </c>
      <c r="AV9" s="106">
        <f>+PMGR!AV9+BP!AV9</f>
        <v>0</v>
      </c>
      <c r="AW9" s="106">
        <f>+PMGR!AW9+BP!AW9</f>
        <v>0</v>
      </c>
      <c r="AX9" s="106">
        <f>+PMGR!AX9+BP!AX9</f>
        <v>0</v>
      </c>
      <c r="AY9" s="106">
        <f>+PMGR!AY9+BP!AY9</f>
        <v>0</v>
      </c>
      <c r="AZ9" s="106">
        <f>+PMGR!AZ9+BP!AZ9</f>
        <v>0</v>
      </c>
      <c r="BA9" s="106">
        <f>+PMGR!BA9+BP!BA9</f>
        <v>0</v>
      </c>
      <c r="BB9" s="106">
        <f>+PMGR!BB9+BP!BB9</f>
        <v>0</v>
      </c>
      <c r="BC9" s="106">
        <f t="shared" ref="BC9:BC12" si="65">+SUM(AQ9:BB9)</f>
        <v>0</v>
      </c>
      <c r="BD9" s="7" t="s">
        <v>7</v>
      </c>
      <c r="BE9" s="106">
        <f>+PMGR!BE9+BP!BE9</f>
        <v>0</v>
      </c>
      <c r="BF9" s="106">
        <f>+PMGR!BF9+BP!BF9</f>
        <v>0</v>
      </c>
      <c r="BG9" s="106">
        <f>+PMGR!BG9+BP!BG9</f>
        <v>0</v>
      </c>
      <c r="BH9" s="106">
        <f>+PMGR!BH9+BP!BH9</f>
        <v>0</v>
      </c>
      <c r="BI9" s="106">
        <f>+PMGR!BI9+BP!BI9</f>
        <v>0</v>
      </c>
      <c r="BJ9" s="106">
        <f>+PMGR!BJ9+BP!BJ9</f>
        <v>0</v>
      </c>
      <c r="BK9" s="106">
        <f>+PMGR!BK9+BP!BK9</f>
        <v>0</v>
      </c>
      <c r="BL9" s="106">
        <f>+PMGR!BL9+BP!BL9</f>
        <v>0</v>
      </c>
      <c r="BM9" s="106">
        <f>+PMGR!BM9+BP!BM9</f>
        <v>0</v>
      </c>
      <c r="BN9" s="106">
        <f>+PMGR!BN9+BP!BN9</f>
        <v>0</v>
      </c>
      <c r="BO9" s="106">
        <f>+PMGR!BO9+BP!BO9</f>
        <v>0</v>
      </c>
      <c r="BP9" s="106">
        <f>+PMGR!BP9+BP!BP9</f>
        <v>0</v>
      </c>
      <c r="BQ9" s="106">
        <f t="shared" si="34"/>
        <v>0</v>
      </c>
      <c r="BR9" s="114"/>
      <c r="BS9" s="106">
        <f>+PMGR!BS9+BP!BS9</f>
        <v>0</v>
      </c>
      <c r="BT9" s="106">
        <f>+PMGR!BT9+BP!BT9</f>
        <v>0</v>
      </c>
      <c r="BU9" s="106">
        <f>+PMGR!BU9+BP!BU9</f>
        <v>0</v>
      </c>
      <c r="BV9" s="106">
        <f>+PMGR!BV9+BP!BV9</f>
        <v>0</v>
      </c>
      <c r="BW9" s="106">
        <f>+PMGR!BW9+BP!BW9</f>
        <v>0</v>
      </c>
      <c r="BX9" s="106">
        <f>+PMGR!BX9+BP!BX9</f>
        <v>0</v>
      </c>
      <c r="BY9" s="106">
        <f>+PMGR!BY9+BP!BY9</f>
        <v>0</v>
      </c>
      <c r="BZ9" s="106">
        <f>+PMGR!BZ9+BP!BZ9</f>
        <v>0</v>
      </c>
      <c r="CA9" s="106">
        <f>+PMGR!CA9+BP!CA9</f>
        <v>0</v>
      </c>
      <c r="CB9" s="106">
        <f>+PMGR!CB9+BP!CB9</f>
        <v>0</v>
      </c>
      <c r="CC9" s="106">
        <f>+PMGR!CC9+BP!CC9</f>
        <v>0</v>
      </c>
      <c r="CD9" s="106">
        <f>+PMGR!CD9+BP!CD9</f>
        <v>0</v>
      </c>
      <c r="CE9" s="106">
        <f t="shared" ref="CE9:CE12" si="66">+SUM(BS9:CD9)</f>
        <v>0</v>
      </c>
      <c r="CF9" s="106"/>
      <c r="CG9" s="106">
        <f>+PMGR!CG9+BP!CG9</f>
        <v>0</v>
      </c>
      <c r="CH9" s="106">
        <f>+PMGR!CH9+BP!CH9</f>
        <v>0</v>
      </c>
      <c r="CI9" s="106">
        <f>+PMGR!CI9+BP!CI9</f>
        <v>0</v>
      </c>
      <c r="CJ9" s="106">
        <f>+PMGR!CJ9+BP!CJ9</f>
        <v>0</v>
      </c>
      <c r="CK9" s="106">
        <f>+PMGR!CK9+BP!CK9</f>
        <v>0</v>
      </c>
      <c r="CL9" s="106">
        <f>+PMGR!CL9+BP!CL9</f>
        <v>0</v>
      </c>
      <c r="CM9" s="106">
        <f>+PMGR!CM9+BP!CM9</f>
        <v>0</v>
      </c>
      <c r="CN9" s="106">
        <f>+PMGR!CN9+BP!CN9</f>
        <v>0</v>
      </c>
      <c r="CO9" s="106">
        <f>+PMGR!CO9+BP!CO9</f>
        <v>0</v>
      </c>
      <c r="CP9" s="106">
        <f>+PMGR!CP9+BP!CP9</f>
        <v>0</v>
      </c>
      <c r="CQ9" s="106">
        <f>+PMGR!CQ9+BP!CQ9</f>
        <v>0</v>
      </c>
      <c r="CR9" s="106">
        <f>+PMGR!CR9+BP!CR9</f>
        <v>0</v>
      </c>
      <c r="CS9" s="106">
        <f t="shared" ref="CS9:CS12" si="67">+SUM(CG9:CR9)</f>
        <v>0</v>
      </c>
      <c r="CT9" s="7" t="s">
        <v>7</v>
      </c>
      <c r="CU9" s="106">
        <f>+PMGR!CU9+BP!CU9</f>
        <v>0</v>
      </c>
      <c r="CV9" s="106">
        <f>+PMGR!CV9+BP!CV9</f>
        <v>0</v>
      </c>
      <c r="CW9" s="106">
        <f>+PMGR!CW9+BP!CW9</f>
        <v>0</v>
      </c>
      <c r="CX9" s="106">
        <f>+PMGR!CX9+BP!CX9</f>
        <v>0</v>
      </c>
      <c r="CY9" s="106">
        <f>+PMGR!CY9+BP!CY9</f>
        <v>0</v>
      </c>
      <c r="CZ9" s="106">
        <f>+PMGR!CZ9+BP!CZ9</f>
        <v>0</v>
      </c>
      <c r="DA9" s="106">
        <f>+PMGR!DA9+BP!DA9</f>
        <v>0</v>
      </c>
      <c r="DB9" s="106">
        <f>+PMGR!DB9+BP!DB9</f>
        <v>0</v>
      </c>
      <c r="DC9" s="106">
        <f>+PMGR!DC9+BP!DC9</f>
        <v>0</v>
      </c>
      <c r="DD9" s="106">
        <f>+PMGR!DD9+BP!DD9</f>
        <v>0</v>
      </c>
      <c r="DE9" s="106">
        <f>+PMGR!DE9+BP!DE9</f>
        <v>0</v>
      </c>
      <c r="DF9" s="106">
        <f>+PMGR!DF9+BP!DF9</f>
        <v>0</v>
      </c>
      <c r="DG9" s="106">
        <f t="shared" ref="DG9:DG12" si="68">+SUM(CU9:DF9)</f>
        <v>0</v>
      </c>
      <c r="DH9" s="106"/>
      <c r="DI9" s="106">
        <f>+PMGR!DI9+BP!DI9</f>
        <v>0</v>
      </c>
      <c r="DJ9" s="106">
        <f>+PMGR!DJ9+BP!DJ9</f>
        <v>0</v>
      </c>
      <c r="DK9" s="106">
        <f>+PMGR!DK9+BP!DK9</f>
        <v>0</v>
      </c>
      <c r="DL9" s="106">
        <f>+PMGR!DL9+BP!DL9</f>
        <v>0</v>
      </c>
      <c r="DM9" s="106">
        <f>+PMGR!DM9+BP!DM9</f>
        <v>0</v>
      </c>
      <c r="DN9" s="106">
        <f>+PMGR!DN9+BP!DN9</f>
        <v>0</v>
      </c>
      <c r="DO9" s="106">
        <f>+PMGR!DO9+BP!DO9</f>
        <v>0</v>
      </c>
      <c r="DP9" s="106">
        <f>+PMGR!DP9+BP!DP9</f>
        <v>0</v>
      </c>
      <c r="DQ9" s="106">
        <f>+PMGR!DQ9+BP!DQ9</f>
        <v>0</v>
      </c>
      <c r="DR9" s="106">
        <f>+PMGR!DR9+BP!DR9</f>
        <v>0</v>
      </c>
      <c r="DS9" s="106">
        <f>+PMGR!DS9+BP!DS9</f>
        <v>0</v>
      </c>
      <c r="DT9" s="106">
        <f>+PMGR!DT9+BP!DT9</f>
        <v>0</v>
      </c>
      <c r="DU9" s="106">
        <f t="shared" ref="DU9:DU12" si="69">+SUM(DI9:DT9)</f>
        <v>0</v>
      </c>
      <c r="DV9" s="106"/>
      <c r="DW9" s="106">
        <f>+PMGR!DW9+BP!DW9</f>
        <v>0</v>
      </c>
      <c r="DX9" s="106">
        <f>+PMGR!DX9+BP!DX9</f>
        <v>0</v>
      </c>
      <c r="DY9" s="106">
        <f>+PMGR!DY9+BP!DY9</f>
        <v>0</v>
      </c>
      <c r="DZ9" s="106">
        <f>+PMGR!DZ9+BP!DZ9</f>
        <v>0</v>
      </c>
      <c r="EA9" s="106">
        <f>+PMGR!EA9+BP!EA9</f>
        <v>0</v>
      </c>
      <c r="EB9" s="106">
        <f>+PMGR!EB9+BP!EB9</f>
        <v>0</v>
      </c>
      <c r="EC9" s="106">
        <f>+PMGR!EC9+BP!EC9</f>
        <v>0</v>
      </c>
      <c r="ED9" s="106">
        <f>+PMGR!ED9+BP!ED9</f>
        <v>0</v>
      </c>
      <c r="EE9" s="106">
        <f>+PMGR!EE9+BP!EE9</f>
        <v>0</v>
      </c>
      <c r="EF9" s="106">
        <f>+PMGR!EF9+BP!EF9</f>
        <v>0</v>
      </c>
      <c r="EG9" s="106">
        <f>+PMGR!EG9+BP!EG9</f>
        <v>0</v>
      </c>
      <c r="EH9" s="106">
        <f>+PMGR!EH9+BP!EH9</f>
        <v>0</v>
      </c>
      <c r="EI9" s="106">
        <f t="shared" ref="EI9:EI12" si="70">+SUM(DW9:EH9)</f>
        <v>0</v>
      </c>
      <c r="EJ9" s="7" t="s">
        <v>7</v>
      </c>
      <c r="EK9" s="106">
        <f>+PMGR!EK9+BP!EK9</f>
        <v>0</v>
      </c>
      <c r="EL9" s="106">
        <f>+PMGR!EL9+BP!EL9</f>
        <v>0</v>
      </c>
      <c r="EM9" s="106">
        <f>+PMGR!EM9+BP!EM9</f>
        <v>0</v>
      </c>
      <c r="EN9" s="106">
        <f>+PMGR!EN9+BP!EN9</f>
        <v>0</v>
      </c>
      <c r="EO9" s="106">
        <f>+PMGR!EO9+BP!EO9</f>
        <v>0</v>
      </c>
      <c r="EP9" s="106">
        <f>+PMGR!EP9+BP!EP9</f>
        <v>0</v>
      </c>
      <c r="EQ9" s="106">
        <f>+PMGR!EQ9+BP!EQ9</f>
        <v>0</v>
      </c>
      <c r="ER9" s="106">
        <f>+PMGR!ER9+BP!ER9</f>
        <v>0</v>
      </c>
      <c r="ES9" s="106">
        <f>+PMGR!ES9+BP!ES9</f>
        <v>0</v>
      </c>
      <c r="ET9" s="106">
        <f>+PMGR!ET9+BP!ET9</f>
        <v>0</v>
      </c>
      <c r="EU9" s="106">
        <f>+PMGR!EU9+BP!EU9</f>
        <v>0</v>
      </c>
      <c r="EV9" s="106">
        <f>+PMGR!EV9+BP!EV9</f>
        <v>0</v>
      </c>
      <c r="EW9" s="106">
        <f t="shared" ref="EW9:EW12" si="71">+SUM(EK9:EV9)</f>
        <v>0</v>
      </c>
      <c r="EX9" s="106"/>
      <c r="EY9" s="106">
        <f>+PMGR!EY9+BP!EY9</f>
        <v>0</v>
      </c>
      <c r="EZ9" s="106">
        <f>+PMGR!EZ9+BP!EZ9</f>
        <v>0</v>
      </c>
      <c r="FA9" s="106">
        <f>+PMGR!FA9+BP!FA9</f>
        <v>0</v>
      </c>
      <c r="FB9" s="106">
        <f>+PMGR!FB9+BP!FB9</f>
        <v>0</v>
      </c>
      <c r="FC9" s="106">
        <f>+PMGR!FC9+BP!FC9</f>
        <v>0</v>
      </c>
      <c r="FD9" s="106">
        <f>+PMGR!FD9+BP!FD9</f>
        <v>0</v>
      </c>
      <c r="FE9" s="106">
        <f>+PMGR!FE9+BP!FE9</f>
        <v>0</v>
      </c>
      <c r="FF9" s="106">
        <f>+PMGR!FF9+BP!FF9</f>
        <v>0</v>
      </c>
      <c r="FG9" s="106">
        <f>+PMGR!FG9+BP!FG9</f>
        <v>0</v>
      </c>
      <c r="FH9" s="106">
        <f>+PMGR!FH9+BP!FH9</f>
        <v>0</v>
      </c>
      <c r="FI9" s="106">
        <f>+PMGR!FI9+BP!FI9</f>
        <v>0</v>
      </c>
      <c r="FJ9" s="106">
        <f>+PMGR!FJ9+BP!FJ9</f>
        <v>0</v>
      </c>
      <c r="FK9" s="106">
        <f t="shared" ref="FK9:FK12" si="72">+SUM(EY9:FJ9)</f>
        <v>0</v>
      </c>
    </row>
    <row r="10" spans="1:167" ht="14.45" hidden="1" customHeight="1" outlineLevel="2">
      <c r="A10" s="106">
        <f t="shared" si="27"/>
        <v>0</v>
      </c>
      <c r="B10" s="106">
        <f t="shared" si="27"/>
        <v>0</v>
      </c>
      <c r="C10" s="106">
        <f t="shared" si="27"/>
        <v>0</v>
      </c>
      <c r="D10" s="106">
        <f t="shared" si="27"/>
        <v>0</v>
      </c>
      <c r="E10" s="106">
        <f t="shared" si="27"/>
        <v>0</v>
      </c>
      <c r="F10" s="106">
        <f t="shared" si="27"/>
        <v>0</v>
      </c>
      <c r="G10" s="106">
        <f t="shared" si="27"/>
        <v>0</v>
      </c>
      <c r="H10" s="106">
        <f t="shared" si="27"/>
        <v>0</v>
      </c>
      <c r="I10" s="106">
        <f t="shared" si="27"/>
        <v>0</v>
      </c>
      <c r="J10" s="106">
        <f t="shared" si="27"/>
        <v>0</v>
      </c>
      <c r="K10" s="106">
        <f t="shared" si="27"/>
        <v>0</v>
      </c>
      <c r="L10" s="106">
        <f t="shared" si="27"/>
        <v>0</v>
      </c>
      <c r="M10" s="106">
        <f t="shared" ref="M10:M26" si="73">+SUM(A10:L10)</f>
        <v>0</v>
      </c>
      <c r="N10" s="7" t="s">
        <v>8</v>
      </c>
      <c r="O10" s="106">
        <f t="shared" si="63"/>
        <v>0</v>
      </c>
      <c r="P10" s="106">
        <f t="shared" si="63"/>
        <v>0</v>
      </c>
      <c r="Q10" s="106">
        <f t="shared" si="63"/>
        <v>0</v>
      </c>
      <c r="R10" s="106">
        <f t="shared" si="63"/>
        <v>0</v>
      </c>
      <c r="S10" s="106">
        <f t="shared" si="63"/>
        <v>0</v>
      </c>
      <c r="T10" s="106">
        <f t="shared" si="63"/>
        <v>0</v>
      </c>
      <c r="U10" s="106">
        <f t="shared" si="63"/>
        <v>0</v>
      </c>
      <c r="V10" s="106">
        <f t="shared" si="63"/>
        <v>0</v>
      </c>
      <c r="W10" s="106">
        <f t="shared" si="63"/>
        <v>0</v>
      </c>
      <c r="X10" s="106">
        <f t="shared" si="63"/>
        <v>0</v>
      </c>
      <c r="Y10" s="106">
        <f t="shared" si="63"/>
        <v>0</v>
      </c>
      <c r="Z10" s="106">
        <f t="shared" si="63"/>
        <v>0</v>
      </c>
      <c r="AA10" s="106">
        <f t="shared" ref="AA10:AA16" si="74">+SUM(O10:Z10)</f>
        <v>0</v>
      </c>
      <c r="AB10" s="106"/>
      <c r="AC10" s="106">
        <f t="shared" si="64"/>
        <v>0</v>
      </c>
      <c r="AD10" s="106">
        <f t="shared" si="64"/>
        <v>0</v>
      </c>
      <c r="AE10" s="106">
        <f t="shared" si="64"/>
        <v>0</v>
      </c>
      <c r="AF10" s="106">
        <f t="shared" si="64"/>
        <v>0</v>
      </c>
      <c r="AG10" s="106">
        <f t="shared" si="64"/>
        <v>0</v>
      </c>
      <c r="AH10" s="106">
        <f t="shared" si="64"/>
        <v>0</v>
      </c>
      <c r="AI10" s="106">
        <f t="shared" si="64"/>
        <v>0</v>
      </c>
      <c r="AJ10" s="106">
        <f t="shared" si="64"/>
        <v>0</v>
      </c>
      <c r="AK10" s="106">
        <f t="shared" si="64"/>
        <v>0</v>
      </c>
      <c r="AL10" s="106">
        <f t="shared" si="64"/>
        <v>0</v>
      </c>
      <c r="AM10" s="106">
        <f t="shared" si="64"/>
        <v>0</v>
      </c>
      <c r="AN10" s="106">
        <f t="shared" si="64"/>
        <v>0</v>
      </c>
      <c r="AO10" s="106">
        <f t="shared" ref="AO10:AO16" si="75">+SUM(AC10:AN10)</f>
        <v>0</v>
      </c>
      <c r="AP10" s="106"/>
      <c r="AQ10" s="106">
        <f>+PMGR!AQ10+BP!AQ10</f>
        <v>0</v>
      </c>
      <c r="AR10" s="106">
        <f>+PMGR!AR10+BP!AR10</f>
        <v>0</v>
      </c>
      <c r="AS10" s="106">
        <f>+PMGR!AS10+BP!AS10</f>
        <v>0</v>
      </c>
      <c r="AT10" s="106">
        <f>+PMGR!AT10+BP!AT10</f>
        <v>0</v>
      </c>
      <c r="AU10" s="106">
        <f>+PMGR!AU10+BP!AU10</f>
        <v>0</v>
      </c>
      <c r="AV10" s="106">
        <f>+PMGR!AV10+BP!AV10</f>
        <v>0</v>
      </c>
      <c r="AW10" s="106">
        <f>+PMGR!AW10+BP!AW10</f>
        <v>0</v>
      </c>
      <c r="AX10" s="106">
        <f>+PMGR!AX10+BP!AX10</f>
        <v>0</v>
      </c>
      <c r="AY10" s="106">
        <f>+PMGR!AY10+BP!AY10</f>
        <v>0</v>
      </c>
      <c r="AZ10" s="106">
        <f>+PMGR!AZ10+BP!AZ10</f>
        <v>0</v>
      </c>
      <c r="BA10" s="106">
        <f>+PMGR!BA10+BP!BA10</f>
        <v>0</v>
      </c>
      <c r="BB10" s="106">
        <f>+PMGR!BB10+BP!BB10</f>
        <v>0</v>
      </c>
      <c r="BC10" s="106">
        <f t="shared" si="65"/>
        <v>0</v>
      </c>
      <c r="BD10" s="7" t="s">
        <v>8</v>
      </c>
      <c r="BE10" s="106">
        <f>+PMGR!BE10+BP!BE10</f>
        <v>0</v>
      </c>
      <c r="BF10" s="106">
        <f>+PMGR!BF10+BP!BF10</f>
        <v>0</v>
      </c>
      <c r="BG10" s="106">
        <f>+PMGR!BG10+BP!BG10</f>
        <v>0</v>
      </c>
      <c r="BH10" s="106">
        <f>+PMGR!BH10+BP!BH10</f>
        <v>0</v>
      </c>
      <c r="BI10" s="106">
        <f>+PMGR!BI10+BP!BI10</f>
        <v>0</v>
      </c>
      <c r="BJ10" s="106">
        <f>+PMGR!BJ10+BP!BJ10</f>
        <v>0</v>
      </c>
      <c r="BK10" s="106">
        <f>+PMGR!BK10+BP!BK10</f>
        <v>0</v>
      </c>
      <c r="BL10" s="106">
        <f>+PMGR!BL10+BP!BL10</f>
        <v>0</v>
      </c>
      <c r="BM10" s="106">
        <f>+PMGR!BM10+BP!BM10</f>
        <v>0</v>
      </c>
      <c r="BN10" s="106">
        <f>+PMGR!BN10+BP!BN10</f>
        <v>0</v>
      </c>
      <c r="BO10" s="106">
        <f>+PMGR!BO10+BP!BO10</f>
        <v>0</v>
      </c>
      <c r="BP10" s="106">
        <f>+PMGR!BP10+BP!BP10</f>
        <v>0</v>
      </c>
      <c r="BQ10" s="106">
        <f t="shared" si="34"/>
        <v>0</v>
      </c>
      <c r="BR10" s="114"/>
      <c r="BS10" s="106">
        <f>+PMGR!BS10+BP!BS10</f>
        <v>0</v>
      </c>
      <c r="BT10" s="106">
        <f>+PMGR!BT10+BP!BT10</f>
        <v>0</v>
      </c>
      <c r="BU10" s="106">
        <f>+PMGR!BU10+BP!BU10</f>
        <v>0</v>
      </c>
      <c r="BV10" s="106">
        <f>+PMGR!BV10+BP!BV10</f>
        <v>0</v>
      </c>
      <c r="BW10" s="106">
        <f>+PMGR!BW10+BP!BW10</f>
        <v>0</v>
      </c>
      <c r="BX10" s="106">
        <f>+PMGR!BX10+BP!BX10</f>
        <v>0</v>
      </c>
      <c r="BY10" s="106">
        <f>+PMGR!BY10+BP!BY10</f>
        <v>0</v>
      </c>
      <c r="BZ10" s="106">
        <f>+PMGR!BZ10+BP!BZ10</f>
        <v>0</v>
      </c>
      <c r="CA10" s="106">
        <f>+PMGR!CA10+BP!CA10</f>
        <v>0</v>
      </c>
      <c r="CB10" s="106">
        <f>+PMGR!CB10+BP!CB10</f>
        <v>0</v>
      </c>
      <c r="CC10" s="106">
        <f>+PMGR!CC10+BP!CC10</f>
        <v>0</v>
      </c>
      <c r="CD10" s="106">
        <f>+PMGR!CD10+BP!CD10</f>
        <v>0</v>
      </c>
      <c r="CE10" s="106">
        <f t="shared" si="66"/>
        <v>0</v>
      </c>
      <c r="CF10" s="106"/>
      <c r="CG10" s="106">
        <f>+PMGR!CG10+BP!CG10</f>
        <v>0</v>
      </c>
      <c r="CH10" s="106">
        <f>+PMGR!CH10+BP!CH10</f>
        <v>0</v>
      </c>
      <c r="CI10" s="106">
        <f>+PMGR!CI10+BP!CI10</f>
        <v>0</v>
      </c>
      <c r="CJ10" s="106">
        <f>+PMGR!CJ10+BP!CJ10</f>
        <v>0</v>
      </c>
      <c r="CK10" s="106">
        <f>+PMGR!CK10+BP!CK10</f>
        <v>0</v>
      </c>
      <c r="CL10" s="106">
        <f>+PMGR!CL10+BP!CL10</f>
        <v>0</v>
      </c>
      <c r="CM10" s="106">
        <f>+PMGR!CM10+BP!CM10</f>
        <v>0</v>
      </c>
      <c r="CN10" s="106">
        <f>+PMGR!CN10+BP!CN10</f>
        <v>0</v>
      </c>
      <c r="CO10" s="106">
        <f>+PMGR!CO10+BP!CO10</f>
        <v>0</v>
      </c>
      <c r="CP10" s="106">
        <f>+PMGR!CP10+BP!CP10</f>
        <v>0</v>
      </c>
      <c r="CQ10" s="106">
        <f>+PMGR!CQ10+BP!CQ10</f>
        <v>0</v>
      </c>
      <c r="CR10" s="106">
        <f>+PMGR!CR10+BP!CR10</f>
        <v>0</v>
      </c>
      <c r="CS10" s="106">
        <f t="shared" si="67"/>
        <v>0</v>
      </c>
      <c r="CT10" s="7" t="s">
        <v>8</v>
      </c>
      <c r="CU10" s="106">
        <f>+PMGR!CU10+BP!CU10</f>
        <v>0</v>
      </c>
      <c r="CV10" s="106">
        <f>+PMGR!CV10+BP!CV10</f>
        <v>0</v>
      </c>
      <c r="CW10" s="106">
        <f>+PMGR!CW10+BP!CW10</f>
        <v>0</v>
      </c>
      <c r="CX10" s="106">
        <f>+PMGR!CX10+BP!CX10</f>
        <v>0</v>
      </c>
      <c r="CY10" s="106">
        <f>+PMGR!CY10+BP!CY10</f>
        <v>0</v>
      </c>
      <c r="CZ10" s="106">
        <f>+PMGR!CZ10+BP!CZ10</f>
        <v>0</v>
      </c>
      <c r="DA10" s="106">
        <f>+PMGR!DA10+BP!DA10</f>
        <v>0</v>
      </c>
      <c r="DB10" s="106">
        <f>+PMGR!DB10+BP!DB10</f>
        <v>0</v>
      </c>
      <c r="DC10" s="106">
        <f>+PMGR!DC10+BP!DC10</f>
        <v>0</v>
      </c>
      <c r="DD10" s="106">
        <f>+PMGR!DD10+BP!DD10</f>
        <v>0</v>
      </c>
      <c r="DE10" s="106">
        <f>+PMGR!DE10+BP!DE10</f>
        <v>0</v>
      </c>
      <c r="DF10" s="106">
        <f>+PMGR!DF10+BP!DF10</f>
        <v>0</v>
      </c>
      <c r="DG10" s="106">
        <f t="shared" si="68"/>
        <v>0</v>
      </c>
      <c r="DH10" s="106"/>
      <c r="DI10" s="106">
        <f>+PMGR!DI10+BP!DI10</f>
        <v>0</v>
      </c>
      <c r="DJ10" s="106">
        <f>+PMGR!DJ10+BP!DJ10</f>
        <v>0</v>
      </c>
      <c r="DK10" s="106">
        <f>+PMGR!DK10+BP!DK10</f>
        <v>0</v>
      </c>
      <c r="DL10" s="106">
        <f>+PMGR!DL10+BP!DL10</f>
        <v>0</v>
      </c>
      <c r="DM10" s="106">
        <f>+PMGR!DM10+BP!DM10</f>
        <v>0</v>
      </c>
      <c r="DN10" s="106">
        <f>+PMGR!DN10+BP!DN10</f>
        <v>0</v>
      </c>
      <c r="DO10" s="106">
        <f>+PMGR!DO10+BP!DO10</f>
        <v>0</v>
      </c>
      <c r="DP10" s="106">
        <f>+PMGR!DP10+BP!DP10</f>
        <v>0</v>
      </c>
      <c r="DQ10" s="106">
        <f>+PMGR!DQ10+BP!DQ10</f>
        <v>0</v>
      </c>
      <c r="DR10" s="106">
        <f>+PMGR!DR10+BP!DR10</f>
        <v>0</v>
      </c>
      <c r="DS10" s="106">
        <f>+PMGR!DS10+BP!DS10</f>
        <v>0</v>
      </c>
      <c r="DT10" s="106">
        <f>+PMGR!DT10+BP!DT10</f>
        <v>0</v>
      </c>
      <c r="DU10" s="106">
        <f t="shared" si="69"/>
        <v>0</v>
      </c>
      <c r="DV10" s="106"/>
      <c r="DW10" s="106">
        <f>+PMGR!DW10+BP!DW10</f>
        <v>0</v>
      </c>
      <c r="DX10" s="106">
        <f>+PMGR!DX10+BP!DX10</f>
        <v>0</v>
      </c>
      <c r="DY10" s="106">
        <f>+PMGR!DY10+BP!DY10</f>
        <v>0</v>
      </c>
      <c r="DZ10" s="106">
        <f>+PMGR!DZ10+BP!DZ10</f>
        <v>0</v>
      </c>
      <c r="EA10" s="106">
        <f>+PMGR!EA10+BP!EA10</f>
        <v>0</v>
      </c>
      <c r="EB10" s="106">
        <f>+PMGR!EB10+BP!EB10</f>
        <v>0</v>
      </c>
      <c r="EC10" s="106">
        <f>+PMGR!EC10+BP!EC10</f>
        <v>0</v>
      </c>
      <c r="ED10" s="106">
        <f>+PMGR!ED10+BP!ED10</f>
        <v>0</v>
      </c>
      <c r="EE10" s="106">
        <f>+PMGR!EE10+BP!EE10</f>
        <v>0</v>
      </c>
      <c r="EF10" s="106">
        <f>+PMGR!EF10+BP!EF10</f>
        <v>0</v>
      </c>
      <c r="EG10" s="106">
        <f>+PMGR!EG10+BP!EG10</f>
        <v>0</v>
      </c>
      <c r="EH10" s="106">
        <f>+PMGR!EH10+BP!EH10</f>
        <v>0</v>
      </c>
      <c r="EI10" s="106">
        <f t="shared" si="70"/>
        <v>0</v>
      </c>
      <c r="EJ10" s="7" t="s">
        <v>8</v>
      </c>
      <c r="EK10" s="106">
        <f>+PMGR!EK10+BP!EK10</f>
        <v>0</v>
      </c>
      <c r="EL10" s="106">
        <f>+PMGR!EL10+BP!EL10</f>
        <v>0</v>
      </c>
      <c r="EM10" s="106">
        <f>+PMGR!EM10+BP!EM10</f>
        <v>0</v>
      </c>
      <c r="EN10" s="106">
        <f>+PMGR!EN10+BP!EN10</f>
        <v>0</v>
      </c>
      <c r="EO10" s="106">
        <f>+PMGR!EO10+BP!EO10</f>
        <v>0</v>
      </c>
      <c r="EP10" s="106">
        <f>+PMGR!EP10+BP!EP10</f>
        <v>0</v>
      </c>
      <c r="EQ10" s="106">
        <f>+PMGR!EQ10+BP!EQ10</f>
        <v>0</v>
      </c>
      <c r="ER10" s="106">
        <f>+PMGR!ER10+BP!ER10</f>
        <v>0</v>
      </c>
      <c r="ES10" s="106">
        <f>+PMGR!ES10+BP!ES10</f>
        <v>0</v>
      </c>
      <c r="ET10" s="106">
        <f>+PMGR!ET10+BP!ET10</f>
        <v>0</v>
      </c>
      <c r="EU10" s="106">
        <f>+PMGR!EU10+BP!EU10</f>
        <v>0</v>
      </c>
      <c r="EV10" s="106">
        <f>+PMGR!EV10+BP!EV10</f>
        <v>0</v>
      </c>
      <c r="EW10" s="106">
        <f t="shared" si="71"/>
        <v>0</v>
      </c>
      <c r="EX10" s="106"/>
      <c r="EY10" s="106">
        <f>+PMGR!EY10+BP!EY10</f>
        <v>0</v>
      </c>
      <c r="EZ10" s="106">
        <f>+PMGR!EZ10+BP!EZ10</f>
        <v>0</v>
      </c>
      <c r="FA10" s="106">
        <f>+PMGR!FA10+BP!FA10</f>
        <v>0</v>
      </c>
      <c r="FB10" s="106">
        <f>+PMGR!FB10+BP!FB10</f>
        <v>0</v>
      </c>
      <c r="FC10" s="106">
        <f>+PMGR!FC10+BP!FC10</f>
        <v>0</v>
      </c>
      <c r="FD10" s="106">
        <f>+PMGR!FD10+BP!FD10</f>
        <v>0</v>
      </c>
      <c r="FE10" s="106">
        <f>+PMGR!FE10+BP!FE10</f>
        <v>0</v>
      </c>
      <c r="FF10" s="106">
        <f>+PMGR!FF10+BP!FF10</f>
        <v>0</v>
      </c>
      <c r="FG10" s="106">
        <f>+PMGR!FG10+BP!FG10</f>
        <v>0</v>
      </c>
      <c r="FH10" s="106">
        <f>+PMGR!FH10+BP!FH10</f>
        <v>0</v>
      </c>
      <c r="FI10" s="106">
        <f>+PMGR!FI10+BP!FI10</f>
        <v>0</v>
      </c>
      <c r="FJ10" s="106">
        <f>+PMGR!FJ10+BP!FJ10</f>
        <v>0</v>
      </c>
      <c r="FK10" s="106">
        <f t="shared" si="72"/>
        <v>0</v>
      </c>
    </row>
    <row r="11" spans="1:167" ht="14.45" hidden="1" customHeight="1" outlineLevel="2">
      <c r="A11" s="106">
        <f t="shared" si="27"/>
        <v>0</v>
      </c>
      <c r="B11" s="106">
        <f t="shared" si="27"/>
        <v>0</v>
      </c>
      <c r="C11" s="106">
        <f t="shared" si="27"/>
        <v>0</v>
      </c>
      <c r="D11" s="106">
        <f t="shared" si="27"/>
        <v>0</v>
      </c>
      <c r="E11" s="106">
        <f t="shared" si="27"/>
        <v>0</v>
      </c>
      <c r="F11" s="106">
        <f t="shared" si="27"/>
        <v>0</v>
      </c>
      <c r="G11" s="106">
        <f t="shared" si="27"/>
        <v>0</v>
      </c>
      <c r="H11" s="106">
        <f t="shared" si="27"/>
        <v>0</v>
      </c>
      <c r="I11" s="106">
        <f t="shared" si="27"/>
        <v>0</v>
      </c>
      <c r="J11" s="106">
        <f t="shared" si="27"/>
        <v>0</v>
      </c>
      <c r="K11" s="106">
        <f t="shared" si="27"/>
        <v>0</v>
      </c>
      <c r="L11" s="106">
        <f t="shared" si="27"/>
        <v>0</v>
      </c>
      <c r="M11" s="106">
        <f t="shared" si="73"/>
        <v>0</v>
      </c>
      <c r="N11" s="7" t="s">
        <v>9</v>
      </c>
      <c r="O11" s="106">
        <f t="shared" si="63"/>
        <v>0</v>
      </c>
      <c r="P11" s="106">
        <f t="shared" si="63"/>
        <v>0</v>
      </c>
      <c r="Q11" s="106">
        <f t="shared" si="63"/>
        <v>0</v>
      </c>
      <c r="R11" s="106">
        <f t="shared" si="63"/>
        <v>0</v>
      </c>
      <c r="S11" s="106">
        <f t="shared" si="63"/>
        <v>0</v>
      </c>
      <c r="T11" s="106">
        <f t="shared" si="63"/>
        <v>0</v>
      </c>
      <c r="U11" s="106">
        <f t="shared" si="63"/>
        <v>0</v>
      </c>
      <c r="V11" s="106">
        <f t="shared" si="63"/>
        <v>0</v>
      </c>
      <c r="W11" s="106">
        <f t="shared" si="63"/>
        <v>0</v>
      </c>
      <c r="X11" s="106">
        <f t="shared" si="63"/>
        <v>0</v>
      </c>
      <c r="Y11" s="106">
        <f t="shared" si="63"/>
        <v>0</v>
      </c>
      <c r="Z11" s="106">
        <f t="shared" si="63"/>
        <v>0</v>
      </c>
      <c r="AA11" s="106">
        <f t="shared" si="74"/>
        <v>0</v>
      </c>
      <c r="AB11" s="106"/>
      <c r="AC11" s="106">
        <f t="shared" si="64"/>
        <v>0</v>
      </c>
      <c r="AD11" s="106">
        <f t="shared" si="64"/>
        <v>0</v>
      </c>
      <c r="AE11" s="106">
        <f t="shared" si="64"/>
        <v>0</v>
      </c>
      <c r="AF11" s="106">
        <f t="shared" si="64"/>
        <v>0</v>
      </c>
      <c r="AG11" s="106">
        <f t="shared" si="64"/>
        <v>0</v>
      </c>
      <c r="AH11" s="106">
        <f t="shared" si="64"/>
        <v>0</v>
      </c>
      <c r="AI11" s="106">
        <f t="shared" si="64"/>
        <v>0</v>
      </c>
      <c r="AJ11" s="106">
        <f t="shared" si="64"/>
        <v>0</v>
      </c>
      <c r="AK11" s="106">
        <f t="shared" si="64"/>
        <v>0</v>
      </c>
      <c r="AL11" s="106">
        <f t="shared" si="64"/>
        <v>0</v>
      </c>
      <c r="AM11" s="106">
        <f t="shared" si="64"/>
        <v>0</v>
      </c>
      <c r="AN11" s="106">
        <f t="shared" si="64"/>
        <v>0</v>
      </c>
      <c r="AO11" s="106">
        <f t="shared" si="75"/>
        <v>0</v>
      </c>
      <c r="AP11" s="106"/>
      <c r="AQ11" s="106">
        <f>+PMGR!AQ11+BP!AQ11</f>
        <v>0</v>
      </c>
      <c r="AR11" s="106">
        <f>+PMGR!AR11+BP!AR11</f>
        <v>0</v>
      </c>
      <c r="AS11" s="106">
        <f>+PMGR!AS11+BP!AS11</f>
        <v>0</v>
      </c>
      <c r="AT11" s="106">
        <f>+PMGR!AT11+BP!AT11</f>
        <v>0</v>
      </c>
      <c r="AU11" s="106">
        <f>+PMGR!AU11+BP!AU11</f>
        <v>0</v>
      </c>
      <c r="AV11" s="106">
        <f>+PMGR!AV11+BP!AV11</f>
        <v>0</v>
      </c>
      <c r="AW11" s="106">
        <f>+PMGR!AW11+BP!AW11</f>
        <v>0</v>
      </c>
      <c r="AX11" s="106">
        <f>+PMGR!AX11+BP!AX11</f>
        <v>0</v>
      </c>
      <c r="AY11" s="106">
        <f>+PMGR!AY11+BP!AY11</f>
        <v>0</v>
      </c>
      <c r="AZ11" s="106">
        <f>+PMGR!AZ11+BP!AZ11</f>
        <v>0</v>
      </c>
      <c r="BA11" s="106">
        <f>+PMGR!BA11+BP!BA11</f>
        <v>0</v>
      </c>
      <c r="BB11" s="106">
        <f>+PMGR!BB11+BP!BB11</f>
        <v>0</v>
      </c>
      <c r="BC11" s="106">
        <f t="shared" si="65"/>
        <v>0</v>
      </c>
      <c r="BD11" s="7" t="s">
        <v>9</v>
      </c>
      <c r="BE11" s="106">
        <f>+PMGR!BE11+BP!BE11</f>
        <v>0</v>
      </c>
      <c r="BF11" s="106">
        <f>+PMGR!BF11+BP!BF11</f>
        <v>0</v>
      </c>
      <c r="BG11" s="106">
        <f>+PMGR!BG11+BP!BG11</f>
        <v>0</v>
      </c>
      <c r="BH11" s="106">
        <f>+PMGR!BH11+BP!BH11</f>
        <v>0</v>
      </c>
      <c r="BI11" s="106">
        <f>+PMGR!BI11+BP!BI11</f>
        <v>0</v>
      </c>
      <c r="BJ11" s="106">
        <f>+PMGR!BJ11+BP!BJ11</f>
        <v>0</v>
      </c>
      <c r="BK11" s="106">
        <f>+PMGR!BK11+BP!BK11</f>
        <v>0</v>
      </c>
      <c r="BL11" s="106">
        <f>+PMGR!BL11+BP!BL11</f>
        <v>0</v>
      </c>
      <c r="BM11" s="106">
        <f>+PMGR!BM11+BP!BM11</f>
        <v>0</v>
      </c>
      <c r="BN11" s="106">
        <f>+PMGR!BN11+BP!BN11</f>
        <v>0</v>
      </c>
      <c r="BO11" s="106">
        <f>+PMGR!BO11+BP!BO11</f>
        <v>0</v>
      </c>
      <c r="BP11" s="106">
        <f>+PMGR!BP11+BP!BP11</f>
        <v>0</v>
      </c>
      <c r="BQ11" s="106">
        <f t="shared" si="34"/>
        <v>0</v>
      </c>
      <c r="BR11" s="114"/>
      <c r="BS11" s="106">
        <f>+PMGR!BS11+BP!BS11</f>
        <v>0</v>
      </c>
      <c r="BT11" s="106">
        <f>+PMGR!BT11+BP!BT11</f>
        <v>0</v>
      </c>
      <c r="BU11" s="106">
        <f>+PMGR!BU11+BP!BU11</f>
        <v>0</v>
      </c>
      <c r="BV11" s="106">
        <f>+PMGR!BV11+BP!BV11</f>
        <v>0</v>
      </c>
      <c r="BW11" s="106">
        <f>+PMGR!BW11+BP!BW11</f>
        <v>0</v>
      </c>
      <c r="BX11" s="106">
        <f>+PMGR!BX11+BP!BX11</f>
        <v>0</v>
      </c>
      <c r="BY11" s="106">
        <f>+PMGR!BY11+BP!BY11</f>
        <v>0</v>
      </c>
      <c r="BZ11" s="106">
        <f>+PMGR!BZ11+BP!BZ11</f>
        <v>0</v>
      </c>
      <c r="CA11" s="106">
        <f>+PMGR!CA11+BP!CA11</f>
        <v>0</v>
      </c>
      <c r="CB11" s="106">
        <f>+PMGR!CB11+BP!CB11</f>
        <v>0</v>
      </c>
      <c r="CC11" s="106">
        <f>+PMGR!CC11+BP!CC11</f>
        <v>0</v>
      </c>
      <c r="CD11" s="106">
        <f>+PMGR!CD11+BP!CD11</f>
        <v>0</v>
      </c>
      <c r="CE11" s="106">
        <f t="shared" si="66"/>
        <v>0</v>
      </c>
      <c r="CF11" s="106"/>
      <c r="CG11" s="106">
        <f>+PMGR!CG11+BP!CG11</f>
        <v>0</v>
      </c>
      <c r="CH11" s="106">
        <f>+PMGR!CH11+BP!CH11</f>
        <v>0</v>
      </c>
      <c r="CI11" s="106">
        <f>+PMGR!CI11+BP!CI11</f>
        <v>0</v>
      </c>
      <c r="CJ11" s="106">
        <f>+PMGR!CJ11+BP!CJ11</f>
        <v>0</v>
      </c>
      <c r="CK11" s="106">
        <f>+PMGR!CK11+BP!CK11</f>
        <v>0</v>
      </c>
      <c r="CL11" s="106">
        <f>+PMGR!CL11+BP!CL11</f>
        <v>0</v>
      </c>
      <c r="CM11" s="106">
        <f>+PMGR!CM11+BP!CM11</f>
        <v>0</v>
      </c>
      <c r="CN11" s="106">
        <f>+PMGR!CN11+BP!CN11</f>
        <v>0</v>
      </c>
      <c r="CO11" s="106">
        <f>+PMGR!CO11+BP!CO11</f>
        <v>0</v>
      </c>
      <c r="CP11" s="106">
        <f>+PMGR!CP11+BP!CP11</f>
        <v>0</v>
      </c>
      <c r="CQ11" s="106">
        <f>+PMGR!CQ11+BP!CQ11</f>
        <v>0</v>
      </c>
      <c r="CR11" s="106">
        <f>+PMGR!CR11+BP!CR11</f>
        <v>0</v>
      </c>
      <c r="CS11" s="106">
        <f t="shared" si="67"/>
        <v>0</v>
      </c>
      <c r="CT11" s="7" t="s">
        <v>9</v>
      </c>
      <c r="CU11" s="106">
        <f>+PMGR!CU11+BP!CU11</f>
        <v>0</v>
      </c>
      <c r="CV11" s="106">
        <f>+PMGR!CV11+BP!CV11</f>
        <v>0</v>
      </c>
      <c r="CW11" s="106">
        <f>+PMGR!CW11+BP!CW11</f>
        <v>0</v>
      </c>
      <c r="CX11" s="106">
        <f>+PMGR!CX11+BP!CX11</f>
        <v>0</v>
      </c>
      <c r="CY11" s="106">
        <f>+PMGR!CY11+BP!CY11</f>
        <v>0</v>
      </c>
      <c r="CZ11" s="106">
        <f>+PMGR!CZ11+BP!CZ11</f>
        <v>0</v>
      </c>
      <c r="DA11" s="106">
        <f>+PMGR!DA11+BP!DA11</f>
        <v>0</v>
      </c>
      <c r="DB11" s="106">
        <f>+PMGR!DB11+BP!DB11</f>
        <v>0</v>
      </c>
      <c r="DC11" s="106">
        <f>+PMGR!DC11+BP!DC11</f>
        <v>0</v>
      </c>
      <c r="DD11" s="106">
        <f>+PMGR!DD11+BP!DD11</f>
        <v>0</v>
      </c>
      <c r="DE11" s="106">
        <f>+PMGR!DE11+BP!DE11</f>
        <v>0</v>
      </c>
      <c r="DF11" s="106">
        <f>+PMGR!DF11+BP!DF11</f>
        <v>0</v>
      </c>
      <c r="DG11" s="106">
        <f t="shared" si="68"/>
        <v>0</v>
      </c>
      <c r="DH11" s="106"/>
      <c r="DI11" s="106">
        <f>+PMGR!DI11+BP!DI11</f>
        <v>0</v>
      </c>
      <c r="DJ11" s="106">
        <f>+PMGR!DJ11+BP!DJ11</f>
        <v>0</v>
      </c>
      <c r="DK11" s="106">
        <f>+PMGR!DK11+BP!DK11</f>
        <v>0</v>
      </c>
      <c r="DL11" s="106">
        <f>+PMGR!DL11+BP!DL11</f>
        <v>0</v>
      </c>
      <c r="DM11" s="106">
        <f>+PMGR!DM11+BP!DM11</f>
        <v>0</v>
      </c>
      <c r="DN11" s="106">
        <f>+PMGR!DN11+BP!DN11</f>
        <v>0</v>
      </c>
      <c r="DO11" s="106">
        <f>+PMGR!DO11+BP!DO11</f>
        <v>0</v>
      </c>
      <c r="DP11" s="106">
        <f>+PMGR!DP11+BP!DP11</f>
        <v>0</v>
      </c>
      <c r="DQ11" s="106">
        <f>+PMGR!DQ11+BP!DQ11</f>
        <v>0</v>
      </c>
      <c r="DR11" s="106">
        <f>+PMGR!DR11+BP!DR11</f>
        <v>0</v>
      </c>
      <c r="DS11" s="106">
        <f>+PMGR!DS11+BP!DS11</f>
        <v>0</v>
      </c>
      <c r="DT11" s="106">
        <f>+PMGR!DT11+BP!DT11</f>
        <v>0</v>
      </c>
      <c r="DU11" s="106">
        <f t="shared" si="69"/>
        <v>0</v>
      </c>
      <c r="DV11" s="106"/>
      <c r="DW11" s="106">
        <f>+PMGR!DW11+BP!DW11</f>
        <v>0</v>
      </c>
      <c r="DX11" s="106">
        <f>+PMGR!DX11+BP!DX11</f>
        <v>0</v>
      </c>
      <c r="DY11" s="106">
        <f>+PMGR!DY11+BP!DY11</f>
        <v>0</v>
      </c>
      <c r="DZ11" s="106">
        <f>+PMGR!DZ11+BP!DZ11</f>
        <v>0</v>
      </c>
      <c r="EA11" s="106">
        <f>+PMGR!EA11+BP!EA11</f>
        <v>0</v>
      </c>
      <c r="EB11" s="106">
        <f>+PMGR!EB11+BP!EB11</f>
        <v>0</v>
      </c>
      <c r="EC11" s="106">
        <f>+PMGR!EC11+BP!EC11</f>
        <v>0</v>
      </c>
      <c r="ED11" s="106">
        <f>+PMGR!ED11+BP!ED11</f>
        <v>0</v>
      </c>
      <c r="EE11" s="106">
        <f>+PMGR!EE11+BP!EE11</f>
        <v>0</v>
      </c>
      <c r="EF11" s="106">
        <f>+PMGR!EF11+BP!EF11</f>
        <v>0</v>
      </c>
      <c r="EG11" s="106">
        <f>+PMGR!EG11+BP!EG11</f>
        <v>0</v>
      </c>
      <c r="EH11" s="106">
        <f>+PMGR!EH11+BP!EH11</f>
        <v>0</v>
      </c>
      <c r="EI11" s="106">
        <f t="shared" si="70"/>
        <v>0</v>
      </c>
      <c r="EJ11" s="7" t="s">
        <v>9</v>
      </c>
      <c r="EK11" s="106">
        <f>+PMGR!EK11+BP!EK11</f>
        <v>0</v>
      </c>
      <c r="EL11" s="106">
        <f>+PMGR!EL11+BP!EL11</f>
        <v>0</v>
      </c>
      <c r="EM11" s="106">
        <f>+PMGR!EM11+BP!EM11</f>
        <v>0</v>
      </c>
      <c r="EN11" s="106">
        <f>+PMGR!EN11+BP!EN11</f>
        <v>0</v>
      </c>
      <c r="EO11" s="106">
        <f>+PMGR!EO11+BP!EO11</f>
        <v>0</v>
      </c>
      <c r="EP11" s="106">
        <f>+PMGR!EP11+BP!EP11</f>
        <v>0</v>
      </c>
      <c r="EQ11" s="106">
        <f>+PMGR!EQ11+BP!EQ11</f>
        <v>0</v>
      </c>
      <c r="ER11" s="106">
        <f>+PMGR!ER11+BP!ER11</f>
        <v>0</v>
      </c>
      <c r="ES11" s="106">
        <f>+PMGR!ES11+BP!ES11</f>
        <v>0</v>
      </c>
      <c r="ET11" s="106">
        <f>+PMGR!ET11+BP!ET11</f>
        <v>0</v>
      </c>
      <c r="EU11" s="106">
        <f>+PMGR!EU11+BP!EU11</f>
        <v>0</v>
      </c>
      <c r="EV11" s="106">
        <f>+PMGR!EV11+BP!EV11</f>
        <v>0</v>
      </c>
      <c r="EW11" s="106">
        <f t="shared" si="71"/>
        <v>0</v>
      </c>
      <c r="EX11" s="106"/>
      <c r="EY11" s="106">
        <f>+PMGR!EY11+BP!EY11</f>
        <v>0</v>
      </c>
      <c r="EZ11" s="106">
        <f>+PMGR!EZ11+BP!EZ11</f>
        <v>0</v>
      </c>
      <c r="FA11" s="106">
        <f>+PMGR!FA11+BP!FA11</f>
        <v>0</v>
      </c>
      <c r="FB11" s="106">
        <f>+PMGR!FB11+BP!FB11</f>
        <v>0</v>
      </c>
      <c r="FC11" s="106">
        <f>+PMGR!FC11+BP!FC11</f>
        <v>0</v>
      </c>
      <c r="FD11" s="106">
        <f>+PMGR!FD11+BP!FD11</f>
        <v>0</v>
      </c>
      <c r="FE11" s="106">
        <f>+PMGR!FE11+BP!FE11</f>
        <v>0</v>
      </c>
      <c r="FF11" s="106">
        <f>+PMGR!FF11+BP!FF11</f>
        <v>0</v>
      </c>
      <c r="FG11" s="106">
        <f>+PMGR!FG11+BP!FG11</f>
        <v>0</v>
      </c>
      <c r="FH11" s="106">
        <f>+PMGR!FH11+BP!FH11</f>
        <v>0</v>
      </c>
      <c r="FI11" s="106">
        <f>+PMGR!FI11+BP!FI11</f>
        <v>0</v>
      </c>
      <c r="FJ11" s="106">
        <f>+PMGR!FJ11+BP!FJ11</f>
        <v>0</v>
      </c>
      <c r="FK11" s="106">
        <f t="shared" si="72"/>
        <v>0</v>
      </c>
    </row>
    <row r="12" spans="1:167" ht="14.45" hidden="1" customHeight="1" outlineLevel="2">
      <c r="A12" s="106">
        <f t="shared" si="27"/>
        <v>0</v>
      </c>
      <c r="B12" s="106">
        <f t="shared" si="27"/>
        <v>0</v>
      </c>
      <c r="C12" s="106">
        <f t="shared" si="27"/>
        <v>0</v>
      </c>
      <c r="D12" s="106">
        <f t="shared" si="27"/>
        <v>0</v>
      </c>
      <c r="E12" s="106">
        <f t="shared" si="27"/>
        <v>0</v>
      </c>
      <c r="F12" s="106">
        <f t="shared" si="27"/>
        <v>0</v>
      </c>
      <c r="G12" s="106">
        <f t="shared" si="27"/>
        <v>0</v>
      </c>
      <c r="H12" s="106">
        <f t="shared" si="27"/>
        <v>0</v>
      </c>
      <c r="I12" s="106">
        <f t="shared" si="27"/>
        <v>0</v>
      </c>
      <c r="J12" s="106">
        <f t="shared" si="27"/>
        <v>0</v>
      </c>
      <c r="K12" s="106">
        <f t="shared" si="27"/>
        <v>0</v>
      </c>
      <c r="L12" s="106">
        <f t="shared" si="27"/>
        <v>0</v>
      </c>
      <c r="M12" s="106">
        <f t="shared" si="73"/>
        <v>0</v>
      </c>
      <c r="N12" s="7" t="s">
        <v>10</v>
      </c>
      <c r="O12" s="106">
        <f t="shared" si="63"/>
        <v>0</v>
      </c>
      <c r="P12" s="106">
        <f t="shared" si="63"/>
        <v>0</v>
      </c>
      <c r="Q12" s="106">
        <f t="shared" si="63"/>
        <v>0</v>
      </c>
      <c r="R12" s="106">
        <f t="shared" si="63"/>
        <v>0</v>
      </c>
      <c r="S12" s="106">
        <f t="shared" si="63"/>
        <v>0</v>
      </c>
      <c r="T12" s="106">
        <f t="shared" si="63"/>
        <v>0</v>
      </c>
      <c r="U12" s="106">
        <f t="shared" si="63"/>
        <v>0</v>
      </c>
      <c r="V12" s="106">
        <f t="shared" si="63"/>
        <v>0</v>
      </c>
      <c r="W12" s="106">
        <f t="shared" si="63"/>
        <v>0</v>
      </c>
      <c r="X12" s="106">
        <f t="shared" si="63"/>
        <v>0</v>
      </c>
      <c r="Y12" s="106">
        <f t="shared" si="63"/>
        <v>0</v>
      </c>
      <c r="Z12" s="106">
        <f t="shared" si="63"/>
        <v>0</v>
      </c>
      <c r="AA12" s="106">
        <f t="shared" si="74"/>
        <v>0</v>
      </c>
      <c r="AB12" s="106"/>
      <c r="AC12" s="106">
        <f t="shared" si="64"/>
        <v>0</v>
      </c>
      <c r="AD12" s="106">
        <f t="shared" si="64"/>
        <v>0</v>
      </c>
      <c r="AE12" s="106">
        <f t="shared" si="64"/>
        <v>0</v>
      </c>
      <c r="AF12" s="106">
        <f t="shared" si="64"/>
        <v>0</v>
      </c>
      <c r="AG12" s="106">
        <f t="shared" si="64"/>
        <v>0</v>
      </c>
      <c r="AH12" s="106">
        <f t="shared" si="64"/>
        <v>0</v>
      </c>
      <c r="AI12" s="106">
        <f t="shared" si="64"/>
        <v>0</v>
      </c>
      <c r="AJ12" s="106">
        <f t="shared" si="64"/>
        <v>0</v>
      </c>
      <c r="AK12" s="106">
        <f t="shared" si="64"/>
        <v>0</v>
      </c>
      <c r="AL12" s="106">
        <f t="shared" si="64"/>
        <v>0</v>
      </c>
      <c r="AM12" s="106">
        <f t="shared" si="64"/>
        <v>0</v>
      </c>
      <c r="AN12" s="106">
        <f t="shared" si="64"/>
        <v>0</v>
      </c>
      <c r="AO12" s="106">
        <f t="shared" si="75"/>
        <v>0</v>
      </c>
      <c r="AP12" s="106"/>
      <c r="AQ12" s="106">
        <f>+PMGR!AQ12+BP!AQ12</f>
        <v>0</v>
      </c>
      <c r="AR12" s="106">
        <f>+PMGR!AR12+BP!AR12</f>
        <v>0</v>
      </c>
      <c r="AS12" s="106">
        <f>+PMGR!AS12+BP!AS12</f>
        <v>0</v>
      </c>
      <c r="AT12" s="106">
        <f>+PMGR!AT12+BP!AT12</f>
        <v>0</v>
      </c>
      <c r="AU12" s="106">
        <f>+PMGR!AU12+BP!AU12</f>
        <v>0</v>
      </c>
      <c r="AV12" s="106">
        <f>+PMGR!AV12+BP!AV12</f>
        <v>0</v>
      </c>
      <c r="AW12" s="106">
        <f>+PMGR!AW12+BP!AW12</f>
        <v>0</v>
      </c>
      <c r="AX12" s="106">
        <f>+PMGR!AX12+BP!AX12</f>
        <v>0</v>
      </c>
      <c r="AY12" s="106">
        <f>+PMGR!AY12+BP!AY12</f>
        <v>0</v>
      </c>
      <c r="AZ12" s="106">
        <f>+PMGR!AZ12+BP!AZ12</f>
        <v>0</v>
      </c>
      <c r="BA12" s="106">
        <f>+PMGR!BA12+BP!BA12</f>
        <v>0</v>
      </c>
      <c r="BB12" s="106">
        <f>+PMGR!BB12+BP!BB12</f>
        <v>0</v>
      </c>
      <c r="BC12" s="106">
        <f t="shared" si="65"/>
        <v>0</v>
      </c>
      <c r="BD12" s="7" t="s">
        <v>10</v>
      </c>
      <c r="BE12" s="106">
        <f>+PMGR!BE12+BP!BE12</f>
        <v>0</v>
      </c>
      <c r="BF12" s="106">
        <f>+PMGR!BF12+BP!BF12</f>
        <v>0</v>
      </c>
      <c r="BG12" s="106">
        <f>+PMGR!BG12+BP!BG12</f>
        <v>0</v>
      </c>
      <c r="BH12" s="106">
        <f>+PMGR!BH12+BP!BH12</f>
        <v>0</v>
      </c>
      <c r="BI12" s="106">
        <f>+PMGR!BI12+BP!BI12</f>
        <v>0</v>
      </c>
      <c r="BJ12" s="106">
        <f>+PMGR!BJ12+BP!BJ12</f>
        <v>0</v>
      </c>
      <c r="BK12" s="106">
        <f>+PMGR!BK12+BP!BK12</f>
        <v>0</v>
      </c>
      <c r="BL12" s="106">
        <f>+PMGR!BL12+BP!BL12</f>
        <v>0</v>
      </c>
      <c r="BM12" s="106">
        <f>+PMGR!BM12+BP!BM12</f>
        <v>0</v>
      </c>
      <c r="BN12" s="106">
        <f>+PMGR!BN12+BP!BN12</f>
        <v>0</v>
      </c>
      <c r="BO12" s="106">
        <f>+PMGR!BO12+BP!BO12</f>
        <v>0</v>
      </c>
      <c r="BP12" s="106">
        <f>+PMGR!BP12+BP!BP12</f>
        <v>0</v>
      </c>
      <c r="BQ12" s="106">
        <f t="shared" si="34"/>
        <v>0</v>
      </c>
      <c r="BR12" s="114"/>
      <c r="BS12" s="106">
        <f>+PMGR!BS12+BP!BS12</f>
        <v>0</v>
      </c>
      <c r="BT12" s="106">
        <f>+PMGR!BT12+BP!BT12</f>
        <v>0</v>
      </c>
      <c r="BU12" s="106">
        <f>+PMGR!BU12+BP!BU12</f>
        <v>0</v>
      </c>
      <c r="BV12" s="106">
        <f>+PMGR!BV12+BP!BV12</f>
        <v>0</v>
      </c>
      <c r="BW12" s="106">
        <f>+PMGR!BW12+BP!BW12</f>
        <v>0</v>
      </c>
      <c r="BX12" s="106">
        <f>+PMGR!BX12+BP!BX12</f>
        <v>0</v>
      </c>
      <c r="BY12" s="106">
        <f>+PMGR!BY12+BP!BY12</f>
        <v>0</v>
      </c>
      <c r="BZ12" s="106">
        <f>+PMGR!BZ12+BP!BZ12</f>
        <v>0</v>
      </c>
      <c r="CA12" s="106">
        <f>+PMGR!CA12+BP!CA12</f>
        <v>0</v>
      </c>
      <c r="CB12" s="106">
        <f>+PMGR!CB12+BP!CB12</f>
        <v>0</v>
      </c>
      <c r="CC12" s="106">
        <f>+PMGR!CC12+BP!CC12</f>
        <v>0</v>
      </c>
      <c r="CD12" s="106">
        <f>+PMGR!CD12+BP!CD12</f>
        <v>0</v>
      </c>
      <c r="CE12" s="106">
        <f t="shared" si="66"/>
        <v>0</v>
      </c>
      <c r="CF12" s="106"/>
      <c r="CG12" s="106">
        <f>+PMGR!CG12+BP!CG12</f>
        <v>0</v>
      </c>
      <c r="CH12" s="106">
        <f>+PMGR!CH12+BP!CH12</f>
        <v>0</v>
      </c>
      <c r="CI12" s="106">
        <f>+PMGR!CI12+BP!CI12</f>
        <v>0</v>
      </c>
      <c r="CJ12" s="106">
        <f>+PMGR!CJ12+BP!CJ12</f>
        <v>0</v>
      </c>
      <c r="CK12" s="106">
        <f>+PMGR!CK12+BP!CK12</f>
        <v>0</v>
      </c>
      <c r="CL12" s="106">
        <f>+PMGR!CL12+BP!CL12</f>
        <v>0</v>
      </c>
      <c r="CM12" s="106">
        <f>+PMGR!CM12+BP!CM12</f>
        <v>0</v>
      </c>
      <c r="CN12" s="106">
        <f>+PMGR!CN12+BP!CN12</f>
        <v>0</v>
      </c>
      <c r="CO12" s="106">
        <f>+PMGR!CO12+BP!CO12</f>
        <v>0</v>
      </c>
      <c r="CP12" s="106">
        <f>+PMGR!CP12+BP!CP12</f>
        <v>0</v>
      </c>
      <c r="CQ12" s="106">
        <f>+PMGR!CQ12+BP!CQ12</f>
        <v>0</v>
      </c>
      <c r="CR12" s="106">
        <f>+PMGR!CR12+BP!CR12</f>
        <v>0</v>
      </c>
      <c r="CS12" s="106">
        <f t="shared" si="67"/>
        <v>0</v>
      </c>
      <c r="CT12" s="7" t="s">
        <v>10</v>
      </c>
      <c r="CU12" s="106">
        <f>+PMGR!CU12+BP!CU12</f>
        <v>0</v>
      </c>
      <c r="CV12" s="106">
        <f>+PMGR!CV12+BP!CV12</f>
        <v>0</v>
      </c>
      <c r="CW12" s="106">
        <f>+PMGR!CW12+BP!CW12</f>
        <v>0</v>
      </c>
      <c r="CX12" s="106">
        <f>+PMGR!CX12+BP!CX12</f>
        <v>0</v>
      </c>
      <c r="CY12" s="106">
        <f>+PMGR!CY12+BP!CY12</f>
        <v>0</v>
      </c>
      <c r="CZ12" s="106">
        <f>+PMGR!CZ12+BP!CZ12</f>
        <v>0</v>
      </c>
      <c r="DA12" s="106">
        <f>+PMGR!DA12+BP!DA12</f>
        <v>0</v>
      </c>
      <c r="DB12" s="106">
        <f>+PMGR!DB12+BP!DB12</f>
        <v>0</v>
      </c>
      <c r="DC12" s="106">
        <f>+PMGR!DC12+BP!DC12</f>
        <v>0</v>
      </c>
      <c r="DD12" s="106">
        <f>+PMGR!DD12+BP!DD12</f>
        <v>0</v>
      </c>
      <c r="DE12" s="106">
        <f>+PMGR!DE12+BP!DE12</f>
        <v>0</v>
      </c>
      <c r="DF12" s="106">
        <f>+PMGR!DF12+BP!DF12</f>
        <v>0</v>
      </c>
      <c r="DG12" s="106">
        <f t="shared" si="68"/>
        <v>0</v>
      </c>
      <c r="DH12" s="106"/>
      <c r="DI12" s="106">
        <f>+PMGR!DI12+BP!DI12</f>
        <v>0</v>
      </c>
      <c r="DJ12" s="106">
        <f>+PMGR!DJ12+BP!DJ12</f>
        <v>0</v>
      </c>
      <c r="DK12" s="106">
        <f>+PMGR!DK12+BP!DK12</f>
        <v>0</v>
      </c>
      <c r="DL12" s="106">
        <f>+PMGR!DL12+BP!DL12</f>
        <v>0</v>
      </c>
      <c r="DM12" s="106">
        <f>+PMGR!DM12+BP!DM12</f>
        <v>0</v>
      </c>
      <c r="DN12" s="106">
        <f>+PMGR!DN12+BP!DN12</f>
        <v>0</v>
      </c>
      <c r="DO12" s="106">
        <f>+PMGR!DO12+BP!DO12</f>
        <v>0</v>
      </c>
      <c r="DP12" s="106">
        <f>+PMGR!DP12+BP!DP12</f>
        <v>0</v>
      </c>
      <c r="DQ12" s="106">
        <f>+PMGR!DQ12+BP!DQ12</f>
        <v>0</v>
      </c>
      <c r="DR12" s="106">
        <f>+PMGR!DR12+BP!DR12</f>
        <v>0</v>
      </c>
      <c r="DS12" s="106">
        <f>+PMGR!DS12+BP!DS12</f>
        <v>0</v>
      </c>
      <c r="DT12" s="106">
        <f>+PMGR!DT12+BP!DT12</f>
        <v>0</v>
      </c>
      <c r="DU12" s="106">
        <f t="shared" si="69"/>
        <v>0</v>
      </c>
      <c r="DV12" s="106"/>
      <c r="DW12" s="106">
        <f>+PMGR!DW12+BP!DW12</f>
        <v>0</v>
      </c>
      <c r="DX12" s="106">
        <f>+PMGR!DX12+BP!DX12</f>
        <v>0</v>
      </c>
      <c r="DY12" s="106">
        <f>+PMGR!DY12+BP!DY12</f>
        <v>0</v>
      </c>
      <c r="DZ12" s="106">
        <f>+PMGR!DZ12+BP!DZ12</f>
        <v>0</v>
      </c>
      <c r="EA12" s="106">
        <f>+PMGR!EA12+BP!EA12</f>
        <v>0</v>
      </c>
      <c r="EB12" s="106">
        <f>+PMGR!EB12+BP!EB12</f>
        <v>0</v>
      </c>
      <c r="EC12" s="106">
        <f>+PMGR!EC12+BP!EC12</f>
        <v>0</v>
      </c>
      <c r="ED12" s="106">
        <f>+PMGR!ED12+BP!ED12</f>
        <v>0</v>
      </c>
      <c r="EE12" s="106">
        <f>+PMGR!EE12+BP!EE12</f>
        <v>0</v>
      </c>
      <c r="EF12" s="106">
        <f>+PMGR!EF12+BP!EF12</f>
        <v>0</v>
      </c>
      <c r="EG12" s="106">
        <f>+PMGR!EG12+BP!EG12</f>
        <v>0</v>
      </c>
      <c r="EH12" s="106">
        <f>+PMGR!EH12+BP!EH12</f>
        <v>0</v>
      </c>
      <c r="EI12" s="106">
        <f t="shared" si="70"/>
        <v>0</v>
      </c>
      <c r="EJ12" s="7" t="s">
        <v>10</v>
      </c>
      <c r="EK12" s="106">
        <f>+PMGR!EK12+BP!EK12</f>
        <v>0</v>
      </c>
      <c r="EL12" s="106">
        <f>+PMGR!EL12+BP!EL12</f>
        <v>0</v>
      </c>
      <c r="EM12" s="106">
        <f>+PMGR!EM12+BP!EM12</f>
        <v>0</v>
      </c>
      <c r="EN12" s="106">
        <f>+PMGR!EN12+BP!EN12</f>
        <v>0</v>
      </c>
      <c r="EO12" s="106">
        <f>+PMGR!EO12+BP!EO12</f>
        <v>0</v>
      </c>
      <c r="EP12" s="106">
        <f>+PMGR!EP12+BP!EP12</f>
        <v>0</v>
      </c>
      <c r="EQ12" s="106">
        <f>+PMGR!EQ12+BP!EQ12</f>
        <v>0</v>
      </c>
      <c r="ER12" s="106">
        <f>+PMGR!ER12+BP!ER12</f>
        <v>0</v>
      </c>
      <c r="ES12" s="106">
        <f>+PMGR!ES12+BP!ES12</f>
        <v>0</v>
      </c>
      <c r="ET12" s="106">
        <f>+PMGR!ET12+BP!ET12</f>
        <v>0</v>
      </c>
      <c r="EU12" s="106">
        <f>+PMGR!EU12+BP!EU12</f>
        <v>0</v>
      </c>
      <c r="EV12" s="106">
        <f>+PMGR!EV12+BP!EV12</f>
        <v>0</v>
      </c>
      <c r="EW12" s="106">
        <f t="shared" si="71"/>
        <v>0</v>
      </c>
      <c r="EX12" s="106"/>
      <c r="EY12" s="106">
        <f>+PMGR!EY12+BP!EY12</f>
        <v>0</v>
      </c>
      <c r="EZ12" s="106">
        <f>+PMGR!EZ12+BP!EZ12</f>
        <v>0</v>
      </c>
      <c r="FA12" s="106">
        <f>+PMGR!FA12+BP!FA12</f>
        <v>0</v>
      </c>
      <c r="FB12" s="106">
        <f>+PMGR!FB12+BP!FB12</f>
        <v>0</v>
      </c>
      <c r="FC12" s="106">
        <f>+PMGR!FC12+BP!FC12</f>
        <v>0</v>
      </c>
      <c r="FD12" s="106">
        <f>+PMGR!FD12+BP!FD12</f>
        <v>0</v>
      </c>
      <c r="FE12" s="106">
        <f>+PMGR!FE12+BP!FE12</f>
        <v>0</v>
      </c>
      <c r="FF12" s="106">
        <f>+PMGR!FF12+BP!FF12</f>
        <v>0</v>
      </c>
      <c r="FG12" s="106">
        <f>+PMGR!FG12+BP!FG12</f>
        <v>0</v>
      </c>
      <c r="FH12" s="106">
        <f>+PMGR!FH12+BP!FH12</f>
        <v>0</v>
      </c>
      <c r="FI12" s="106">
        <f>+PMGR!FI12+BP!FI12</f>
        <v>0</v>
      </c>
      <c r="FJ12" s="106">
        <f>+PMGR!FJ12+BP!FJ12</f>
        <v>0</v>
      </c>
      <c r="FK12" s="106">
        <f t="shared" si="72"/>
        <v>0</v>
      </c>
    </row>
    <row r="13" spans="1:167" ht="14.45" hidden="1" customHeight="1" outlineLevel="2">
      <c r="A13" s="58">
        <f>+SUM(A14:A17)</f>
        <v>0</v>
      </c>
      <c r="B13" s="58">
        <f t="shared" ref="B13:L13" si="76">+SUM(B14:B17)</f>
        <v>0</v>
      </c>
      <c r="C13" s="58">
        <f t="shared" si="76"/>
        <v>0</v>
      </c>
      <c r="D13" s="58">
        <f t="shared" si="76"/>
        <v>0</v>
      </c>
      <c r="E13" s="58">
        <f t="shared" si="76"/>
        <v>0</v>
      </c>
      <c r="F13" s="58">
        <f t="shared" si="76"/>
        <v>0</v>
      </c>
      <c r="G13" s="58">
        <f t="shared" si="76"/>
        <v>0</v>
      </c>
      <c r="H13" s="58">
        <f t="shared" si="76"/>
        <v>0</v>
      </c>
      <c r="I13" s="58">
        <f t="shared" si="76"/>
        <v>0</v>
      </c>
      <c r="J13" s="58">
        <f t="shared" si="76"/>
        <v>0</v>
      </c>
      <c r="K13" s="58">
        <f t="shared" si="76"/>
        <v>0</v>
      </c>
      <c r="L13" s="58">
        <f t="shared" si="76"/>
        <v>0</v>
      </c>
      <c r="M13" s="58">
        <f t="shared" si="73"/>
        <v>0</v>
      </c>
      <c r="N13" s="6" t="s">
        <v>11</v>
      </c>
      <c r="O13" s="58">
        <f>+SUM(O14:O17)</f>
        <v>0</v>
      </c>
      <c r="P13" s="58">
        <f t="shared" ref="P13:Z13" si="77">+SUM(P14:P17)</f>
        <v>0</v>
      </c>
      <c r="Q13" s="58">
        <f t="shared" si="77"/>
        <v>0</v>
      </c>
      <c r="R13" s="58">
        <f t="shared" si="77"/>
        <v>0</v>
      </c>
      <c r="S13" s="58">
        <f t="shared" si="77"/>
        <v>0</v>
      </c>
      <c r="T13" s="58">
        <f t="shared" si="77"/>
        <v>0</v>
      </c>
      <c r="U13" s="58">
        <f t="shared" si="77"/>
        <v>0</v>
      </c>
      <c r="V13" s="58">
        <f t="shared" si="77"/>
        <v>0</v>
      </c>
      <c r="W13" s="58">
        <f t="shared" si="77"/>
        <v>0</v>
      </c>
      <c r="X13" s="58">
        <f t="shared" si="77"/>
        <v>0</v>
      </c>
      <c r="Y13" s="58">
        <f t="shared" si="77"/>
        <v>0</v>
      </c>
      <c r="Z13" s="58">
        <f t="shared" si="77"/>
        <v>0</v>
      </c>
      <c r="AA13" s="58">
        <f t="shared" si="74"/>
        <v>0</v>
      </c>
      <c r="AB13" s="106"/>
      <c r="AC13" s="58">
        <f>+SUM(AC14:AC17)</f>
        <v>0</v>
      </c>
      <c r="AD13" s="58">
        <f t="shared" ref="AD13:AN13" si="78">+SUM(AD14:AD17)</f>
        <v>0</v>
      </c>
      <c r="AE13" s="58">
        <f t="shared" si="78"/>
        <v>0</v>
      </c>
      <c r="AF13" s="58">
        <f t="shared" si="78"/>
        <v>0</v>
      </c>
      <c r="AG13" s="58">
        <f t="shared" si="78"/>
        <v>0</v>
      </c>
      <c r="AH13" s="58">
        <f t="shared" si="78"/>
        <v>0</v>
      </c>
      <c r="AI13" s="58">
        <f t="shared" si="78"/>
        <v>0</v>
      </c>
      <c r="AJ13" s="58">
        <f t="shared" si="78"/>
        <v>0</v>
      </c>
      <c r="AK13" s="58">
        <f t="shared" si="78"/>
        <v>0</v>
      </c>
      <c r="AL13" s="58">
        <f t="shared" si="78"/>
        <v>0</v>
      </c>
      <c r="AM13" s="58">
        <f t="shared" si="78"/>
        <v>0</v>
      </c>
      <c r="AN13" s="58">
        <f t="shared" si="78"/>
        <v>0</v>
      </c>
      <c r="AO13" s="58">
        <f t="shared" si="75"/>
        <v>0</v>
      </c>
      <c r="AP13" s="106"/>
      <c r="AQ13" s="58">
        <f t="shared" ref="AQ13:BB13" si="79">+SUM(AQ14:AQ17)</f>
        <v>0</v>
      </c>
      <c r="AR13" s="58">
        <f t="shared" si="79"/>
        <v>0</v>
      </c>
      <c r="AS13" s="58">
        <f t="shared" si="79"/>
        <v>0</v>
      </c>
      <c r="AT13" s="58">
        <f t="shared" si="79"/>
        <v>0</v>
      </c>
      <c r="AU13" s="58">
        <f t="shared" si="79"/>
        <v>0</v>
      </c>
      <c r="AV13" s="58">
        <f t="shared" si="79"/>
        <v>0</v>
      </c>
      <c r="AW13" s="58">
        <f t="shared" si="79"/>
        <v>0</v>
      </c>
      <c r="AX13" s="58">
        <f t="shared" si="79"/>
        <v>0</v>
      </c>
      <c r="AY13" s="58">
        <f t="shared" si="79"/>
        <v>0</v>
      </c>
      <c r="AZ13" s="58">
        <f t="shared" si="79"/>
        <v>0</v>
      </c>
      <c r="BA13" s="58">
        <f t="shared" si="79"/>
        <v>0</v>
      </c>
      <c r="BB13" s="58">
        <f t="shared" si="79"/>
        <v>0</v>
      </c>
      <c r="BC13" s="58">
        <f t="shared" ref="BC13" si="80">+SUM(AQ13:BB13)</f>
        <v>0</v>
      </c>
      <c r="BD13" s="6" t="str">
        <f t="shared" si="16"/>
        <v>Quantitative Margin</v>
      </c>
      <c r="BE13" s="58">
        <f t="shared" ref="BE13:BP13" si="81">+SUM(BE14:BE17)</f>
        <v>0</v>
      </c>
      <c r="BF13" s="58">
        <f t="shared" si="81"/>
        <v>0</v>
      </c>
      <c r="BG13" s="58">
        <f t="shared" si="81"/>
        <v>0</v>
      </c>
      <c r="BH13" s="58">
        <f t="shared" si="81"/>
        <v>0</v>
      </c>
      <c r="BI13" s="58">
        <f t="shared" si="81"/>
        <v>0</v>
      </c>
      <c r="BJ13" s="58">
        <f t="shared" si="81"/>
        <v>0</v>
      </c>
      <c r="BK13" s="58">
        <f t="shared" si="81"/>
        <v>0</v>
      </c>
      <c r="BL13" s="58">
        <f t="shared" si="81"/>
        <v>0</v>
      </c>
      <c r="BM13" s="58">
        <f t="shared" si="81"/>
        <v>0</v>
      </c>
      <c r="BN13" s="58">
        <f t="shared" si="81"/>
        <v>0</v>
      </c>
      <c r="BO13" s="58">
        <f t="shared" si="81"/>
        <v>0</v>
      </c>
      <c r="BP13" s="58">
        <f t="shared" si="81"/>
        <v>0</v>
      </c>
      <c r="BQ13" s="58">
        <f t="shared" ref="BQ13" si="82">+SUM(BE13:BP13)</f>
        <v>0</v>
      </c>
      <c r="BR13" s="114"/>
      <c r="BS13" s="58">
        <f t="shared" ref="BS13:CD13" si="83">+SUM(BS14:BS17)</f>
        <v>0</v>
      </c>
      <c r="BT13" s="58">
        <f t="shared" si="83"/>
        <v>0</v>
      </c>
      <c r="BU13" s="58">
        <f t="shared" si="83"/>
        <v>0</v>
      </c>
      <c r="BV13" s="58">
        <f t="shared" si="83"/>
        <v>0</v>
      </c>
      <c r="BW13" s="58">
        <f t="shared" si="83"/>
        <v>0</v>
      </c>
      <c r="BX13" s="58">
        <f t="shared" si="83"/>
        <v>0</v>
      </c>
      <c r="BY13" s="58">
        <f t="shared" si="83"/>
        <v>0</v>
      </c>
      <c r="BZ13" s="58">
        <f t="shared" si="83"/>
        <v>0</v>
      </c>
      <c r="CA13" s="58">
        <f t="shared" si="83"/>
        <v>0</v>
      </c>
      <c r="CB13" s="58">
        <f t="shared" si="83"/>
        <v>0</v>
      </c>
      <c r="CC13" s="58">
        <f t="shared" si="83"/>
        <v>0</v>
      </c>
      <c r="CD13" s="58">
        <f t="shared" si="83"/>
        <v>0</v>
      </c>
      <c r="CE13" s="58">
        <f t="shared" ref="CE13" si="84">+SUM(BS13:CD13)</f>
        <v>0</v>
      </c>
      <c r="CF13" s="106"/>
      <c r="CG13" s="58">
        <f t="shared" ref="CG13:CR13" si="85">+SUM(CG14:CG17)</f>
        <v>0</v>
      </c>
      <c r="CH13" s="58">
        <f t="shared" si="85"/>
        <v>0</v>
      </c>
      <c r="CI13" s="58">
        <f t="shared" si="85"/>
        <v>0</v>
      </c>
      <c r="CJ13" s="58">
        <f t="shared" si="85"/>
        <v>0</v>
      </c>
      <c r="CK13" s="58">
        <f t="shared" si="85"/>
        <v>0</v>
      </c>
      <c r="CL13" s="58">
        <f t="shared" si="85"/>
        <v>0</v>
      </c>
      <c r="CM13" s="58">
        <f t="shared" si="85"/>
        <v>0</v>
      </c>
      <c r="CN13" s="58">
        <f t="shared" si="85"/>
        <v>0</v>
      </c>
      <c r="CO13" s="58">
        <f t="shared" si="85"/>
        <v>0</v>
      </c>
      <c r="CP13" s="58">
        <f t="shared" si="85"/>
        <v>0</v>
      </c>
      <c r="CQ13" s="58">
        <f t="shared" si="85"/>
        <v>0</v>
      </c>
      <c r="CR13" s="58">
        <f t="shared" si="85"/>
        <v>0</v>
      </c>
      <c r="CS13" s="58">
        <f t="shared" ref="CS13" si="86">+SUM(CG13:CR13)</f>
        <v>0</v>
      </c>
      <c r="CT13" s="6" t="str">
        <f t="shared" si="20"/>
        <v>Quantitative Margin</v>
      </c>
      <c r="CU13" s="58">
        <f t="shared" ref="CU13:DF13" si="87">+SUM(CU14:CU17)</f>
        <v>0</v>
      </c>
      <c r="CV13" s="58">
        <f t="shared" si="87"/>
        <v>0</v>
      </c>
      <c r="CW13" s="58">
        <f t="shared" si="87"/>
        <v>0</v>
      </c>
      <c r="CX13" s="58">
        <f t="shared" si="87"/>
        <v>0</v>
      </c>
      <c r="CY13" s="58">
        <f t="shared" si="87"/>
        <v>0</v>
      </c>
      <c r="CZ13" s="58">
        <f t="shared" si="87"/>
        <v>0</v>
      </c>
      <c r="DA13" s="58">
        <f t="shared" si="87"/>
        <v>0</v>
      </c>
      <c r="DB13" s="58">
        <f t="shared" si="87"/>
        <v>0</v>
      </c>
      <c r="DC13" s="58">
        <f t="shared" si="87"/>
        <v>0</v>
      </c>
      <c r="DD13" s="58">
        <f t="shared" si="87"/>
        <v>0</v>
      </c>
      <c r="DE13" s="58">
        <f t="shared" si="87"/>
        <v>0</v>
      </c>
      <c r="DF13" s="58">
        <f t="shared" si="87"/>
        <v>0</v>
      </c>
      <c r="DG13" s="58">
        <f t="shared" ref="DG13" si="88">+SUM(CU13:DF13)</f>
        <v>0</v>
      </c>
      <c r="DH13" s="106"/>
      <c r="DI13" s="58">
        <f t="shared" ref="DI13:DT13" si="89">+SUM(DI14:DI17)</f>
        <v>0</v>
      </c>
      <c r="DJ13" s="58">
        <f t="shared" si="89"/>
        <v>0</v>
      </c>
      <c r="DK13" s="58">
        <f t="shared" si="89"/>
        <v>0</v>
      </c>
      <c r="DL13" s="58">
        <f t="shared" si="89"/>
        <v>0</v>
      </c>
      <c r="DM13" s="58">
        <f t="shared" si="89"/>
        <v>0</v>
      </c>
      <c r="DN13" s="58">
        <f t="shared" si="89"/>
        <v>0</v>
      </c>
      <c r="DO13" s="58">
        <f t="shared" si="89"/>
        <v>0</v>
      </c>
      <c r="DP13" s="58">
        <f t="shared" si="89"/>
        <v>0</v>
      </c>
      <c r="DQ13" s="58">
        <f t="shared" si="89"/>
        <v>0</v>
      </c>
      <c r="DR13" s="58">
        <f t="shared" si="89"/>
        <v>0</v>
      </c>
      <c r="DS13" s="58">
        <f t="shared" si="89"/>
        <v>0</v>
      </c>
      <c r="DT13" s="58">
        <f t="shared" si="89"/>
        <v>0</v>
      </c>
      <c r="DU13" s="58">
        <f t="shared" ref="DU13" si="90">+SUM(DI13:DT13)</f>
        <v>0</v>
      </c>
      <c r="DV13" s="106"/>
      <c r="DW13" s="58">
        <f t="shared" ref="DW13:EH13" si="91">+SUM(DW14:DW17)</f>
        <v>0</v>
      </c>
      <c r="DX13" s="58">
        <f t="shared" si="91"/>
        <v>0</v>
      </c>
      <c r="DY13" s="58">
        <f t="shared" si="91"/>
        <v>0</v>
      </c>
      <c r="DZ13" s="58">
        <f t="shared" si="91"/>
        <v>0</v>
      </c>
      <c r="EA13" s="58">
        <f t="shared" si="91"/>
        <v>0</v>
      </c>
      <c r="EB13" s="58">
        <f t="shared" si="91"/>
        <v>0</v>
      </c>
      <c r="EC13" s="58">
        <f t="shared" si="91"/>
        <v>0</v>
      </c>
      <c r="ED13" s="58">
        <f t="shared" si="91"/>
        <v>0</v>
      </c>
      <c r="EE13" s="58">
        <f t="shared" si="91"/>
        <v>0</v>
      </c>
      <c r="EF13" s="58">
        <f t="shared" si="91"/>
        <v>0</v>
      </c>
      <c r="EG13" s="58">
        <f t="shared" si="91"/>
        <v>0</v>
      </c>
      <c r="EH13" s="58">
        <f t="shared" si="91"/>
        <v>0</v>
      </c>
      <c r="EI13" s="58">
        <f t="shared" ref="EI13" si="92">+SUM(DW13:EH13)</f>
        <v>0</v>
      </c>
      <c r="EJ13" s="6" t="str">
        <f t="shared" ref="EJ13:EJ71" si="93">CT13</f>
        <v>Quantitative Margin</v>
      </c>
      <c r="EK13" s="58">
        <f t="shared" ref="EK13:EV13" si="94">+SUM(EK14:EK17)</f>
        <v>0</v>
      </c>
      <c r="EL13" s="58">
        <f t="shared" si="94"/>
        <v>0</v>
      </c>
      <c r="EM13" s="58">
        <f t="shared" si="94"/>
        <v>0</v>
      </c>
      <c r="EN13" s="58">
        <f t="shared" si="94"/>
        <v>0</v>
      </c>
      <c r="EO13" s="58">
        <f t="shared" si="94"/>
        <v>0</v>
      </c>
      <c r="EP13" s="58">
        <f t="shared" si="94"/>
        <v>0</v>
      </c>
      <c r="EQ13" s="58">
        <f t="shared" si="94"/>
        <v>0</v>
      </c>
      <c r="ER13" s="58">
        <f t="shared" si="94"/>
        <v>0</v>
      </c>
      <c r="ES13" s="58">
        <f t="shared" si="94"/>
        <v>0</v>
      </c>
      <c r="ET13" s="58">
        <f t="shared" si="94"/>
        <v>0</v>
      </c>
      <c r="EU13" s="58">
        <f t="shared" si="94"/>
        <v>0</v>
      </c>
      <c r="EV13" s="58">
        <f t="shared" si="94"/>
        <v>0</v>
      </c>
      <c r="EW13" s="58">
        <f t="shared" ref="EW13" si="95">+SUM(EK13:EV13)</f>
        <v>0</v>
      </c>
      <c r="EX13" s="106"/>
      <c r="EY13" s="58">
        <f t="shared" ref="EY13:FJ13" si="96">+SUM(EY14:EY17)</f>
        <v>0</v>
      </c>
      <c r="EZ13" s="58">
        <f t="shared" si="96"/>
        <v>0</v>
      </c>
      <c r="FA13" s="58">
        <f t="shared" si="96"/>
        <v>0</v>
      </c>
      <c r="FB13" s="58">
        <f t="shared" si="96"/>
        <v>0</v>
      </c>
      <c r="FC13" s="58">
        <f t="shared" si="96"/>
        <v>0</v>
      </c>
      <c r="FD13" s="58">
        <f t="shared" si="96"/>
        <v>0</v>
      </c>
      <c r="FE13" s="58">
        <f t="shared" si="96"/>
        <v>0</v>
      </c>
      <c r="FF13" s="58">
        <f t="shared" si="96"/>
        <v>0</v>
      </c>
      <c r="FG13" s="58">
        <f t="shared" si="96"/>
        <v>0</v>
      </c>
      <c r="FH13" s="58">
        <f t="shared" si="96"/>
        <v>0</v>
      </c>
      <c r="FI13" s="58">
        <f t="shared" si="96"/>
        <v>0</v>
      </c>
      <c r="FJ13" s="58">
        <f t="shared" si="96"/>
        <v>0</v>
      </c>
      <c r="FK13" s="58">
        <f t="shared" ref="FK13" si="97">+SUM(EY13:FJ13)</f>
        <v>0</v>
      </c>
    </row>
    <row r="14" spans="1:167" ht="14.45" hidden="1" customHeight="1" outlineLevel="2">
      <c r="A14" s="106">
        <f t="shared" ref="A14:L16" si="98">+AQ14+CG14+DW14</f>
        <v>0</v>
      </c>
      <c r="B14" s="106">
        <f t="shared" si="98"/>
        <v>0</v>
      </c>
      <c r="C14" s="106">
        <f t="shared" si="98"/>
        <v>0</v>
      </c>
      <c r="D14" s="106">
        <f t="shared" si="98"/>
        <v>0</v>
      </c>
      <c r="E14" s="106">
        <f t="shared" si="98"/>
        <v>0</v>
      </c>
      <c r="F14" s="106">
        <f t="shared" si="98"/>
        <v>0</v>
      </c>
      <c r="G14" s="106">
        <f t="shared" si="98"/>
        <v>0</v>
      </c>
      <c r="H14" s="106">
        <f t="shared" si="98"/>
        <v>0</v>
      </c>
      <c r="I14" s="106">
        <f t="shared" si="98"/>
        <v>0</v>
      </c>
      <c r="J14" s="106">
        <f t="shared" si="98"/>
        <v>0</v>
      </c>
      <c r="K14" s="106">
        <f t="shared" si="98"/>
        <v>0</v>
      </c>
      <c r="L14" s="106">
        <f t="shared" si="98"/>
        <v>0</v>
      </c>
      <c r="M14" s="106">
        <f t="shared" si="73"/>
        <v>0</v>
      </c>
      <c r="N14" s="7" t="s">
        <v>12</v>
      </c>
      <c r="O14" s="106">
        <f t="shared" ref="O14:Z16" si="99">+BE14+CU14+EK14</f>
        <v>0</v>
      </c>
      <c r="P14" s="106">
        <f t="shared" si="99"/>
        <v>0</v>
      </c>
      <c r="Q14" s="106">
        <f t="shared" si="99"/>
        <v>0</v>
      </c>
      <c r="R14" s="106">
        <f t="shared" si="99"/>
        <v>0</v>
      </c>
      <c r="S14" s="106">
        <f t="shared" si="99"/>
        <v>0</v>
      </c>
      <c r="T14" s="106">
        <f t="shared" si="99"/>
        <v>0</v>
      </c>
      <c r="U14" s="106">
        <f t="shared" si="99"/>
        <v>0</v>
      </c>
      <c r="V14" s="106">
        <f t="shared" si="99"/>
        <v>0</v>
      </c>
      <c r="W14" s="106">
        <f t="shared" si="99"/>
        <v>0</v>
      </c>
      <c r="X14" s="106">
        <f t="shared" si="99"/>
        <v>0</v>
      </c>
      <c r="Y14" s="106">
        <f t="shared" si="99"/>
        <v>0</v>
      </c>
      <c r="Z14" s="106">
        <f t="shared" si="99"/>
        <v>0</v>
      </c>
      <c r="AA14" s="106">
        <f t="shared" si="74"/>
        <v>0</v>
      </c>
      <c r="AB14" s="106"/>
      <c r="AC14" s="106">
        <f t="shared" ref="AC14:AN16" si="100">+BS14+DI14+EY14</f>
        <v>0</v>
      </c>
      <c r="AD14" s="106">
        <f t="shared" si="100"/>
        <v>0</v>
      </c>
      <c r="AE14" s="106">
        <f t="shared" si="100"/>
        <v>0</v>
      </c>
      <c r="AF14" s="106">
        <f t="shared" si="100"/>
        <v>0</v>
      </c>
      <c r="AG14" s="106">
        <f t="shared" si="100"/>
        <v>0</v>
      </c>
      <c r="AH14" s="106">
        <f t="shared" si="100"/>
        <v>0</v>
      </c>
      <c r="AI14" s="106">
        <f t="shared" si="100"/>
        <v>0</v>
      </c>
      <c r="AJ14" s="106">
        <f t="shared" si="100"/>
        <v>0</v>
      </c>
      <c r="AK14" s="106">
        <f t="shared" si="100"/>
        <v>0</v>
      </c>
      <c r="AL14" s="106">
        <f t="shared" si="100"/>
        <v>0</v>
      </c>
      <c r="AM14" s="106">
        <f t="shared" si="100"/>
        <v>0</v>
      </c>
      <c r="AN14" s="106">
        <f t="shared" si="100"/>
        <v>0</v>
      </c>
      <c r="AO14" s="106">
        <f t="shared" si="75"/>
        <v>0</v>
      </c>
      <c r="AP14" s="106"/>
      <c r="AQ14" s="106">
        <f>+PMGR!AQ14+BP!AQ14</f>
        <v>0</v>
      </c>
      <c r="AR14" s="106">
        <f>+PMGR!AR14+BP!AR14</f>
        <v>0</v>
      </c>
      <c r="AS14" s="106">
        <f>+PMGR!AS14+BP!AS14</f>
        <v>0</v>
      </c>
      <c r="AT14" s="106">
        <f>+PMGR!AT14+BP!AT14</f>
        <v>0</v>
      </c>
      <c r="AU14" s="106">
        <f>+PMGR!AU14+BP!AU14</f>
        <v>0</v>
      </c>
      <c r="AV14" s="106">
        <f>+PMGR!AV14+BP!AV14</f>
        <v>0</v>
      </c>
      <c r="AW14" s="106">
        <f>+PMGR!AW14+BP!AW14</f>
        <v>0</v>
      </c>
      <c r="AX14" s="106">
        <f>+PMGR!AX14+BP!AX14</f>
        <v>0</v>
      </c>
      <c r="AY14" s="106">
        <f>+PMGR!AY14+BP!AY14</f>
        <v>0</v>
      </c>
      <c r="AZ14" s="106">
        <f>+PMGR!AZ14+BP!AZ14</f>
        <v>0</v>
      </c>
      <c r="BA14" s="106">
        <f>+PMGR!BA14+BP!BA14</f>
        <v>0</v>
      </c>
      <c r="BB14" s="106">
        <f>+PMGR!BB14+BP!BB14</f>
        <v>0</v>
      </c>
      <c r="BC14" s="106">
        <f t="shared" ref="BC14:BC16" si="101">+SUM(AQ14:BB14)</f>
        <v>0</v>
      </c>
      <c r="BD14" s="7" t="str">
        <f t="shared" si="16"/>
        <v>Digital and Lead Management</v>
      </c>
      <c r="BE14" s="106">
        <f>+PMGR!BE14+BP!BE14</f>
        <v>0</v>
      </c>
      <c r="BF14" s="106">
        <f>+PMGR!BF14+BP!BF14</f>
        <v>0</v>
      </c>
      <c r="BG14" s="106">
        <f>+PMGR!BG14+BP!BG14</f>
        <v>0</v>
      </c>
      <c r="BH14" s="106">
        <f>+PMGR!BH14+BP!BH14</f>
        <v>0</v>
      </c>
      <c r="BI14" s="106">
        <f>+PMGR!BI14+BP!BI14</f>
        <v>0</v>
      </c>
      <c r="BJ14" s="106">
        <f>+PMGR!BJ14+BP!BJ14</f>
        <v>0</v>
      </c>
      <c r="BK14" s="106">
        <f>+PMGR!BK14+BP!BK14</f>
        <v>0</v>
      </c>
      <c r="BL14" s="106">
        <f>+PMGR!BL14+BP!BL14</f>
        <v>0</v>
      </c>
      <c r="BM14" s="106">
        <f>+PMGR!BM14+BP!BM14</f>
        <v>0</v>
      </c>
      <c r="BN14" s="106">
        <f>+PMGR!BN14+BP!BN14</f>
        <v>0</v>
      </c>
      <c r="BO14" s="106">
        <f>+PMGR!BO14+BP!BO14</f>
        <v>0</v>
      </c>
      <c r="BP14" s="106">
        <f>+PMGR!BP14+BP!BP14</f>
        <v>0</v>
      </c>
      <c r="BQ14" s="106">
        <f t="shared" ref="BQ14:BQ16" si="102">+SUM(BE14:BP14)</f>
        <v>0</v>
      </c>
      <c r="BR14" s="114"/>
      <c r="BS14" s="106">
        <f>+PMGR!BS14+BP!BS14</f>
        <v>0</v>
      </c>
      <c r="BT14" s="106">
        <f>+PMGR!BT14+BP!BT14</f>
        <v>0</v>
      </c>
      <c r="BU14" s="106">
        <f>+PMGR!BU14+BP!BU14</f>
        <v>0</v>
      </c>
      <c r="BV14" s="106">
        <f>+PMGR!BV14+BP!BV14</f>
        <v>0</v>
      </c>
      <c r="BW14" s="106">
        <f>+PMGR!BW14+BP!BW14</f>
        <v>0</v>
      </c>
      <c r="BX14" s="106">
        <f>+PMGR!BX14+BP!BX14</f>
        <v>0</v>
      </c>
      <c r="BY14" s="106">
        <f>+PMGR!BY14+BP!BY14</f>
        <v>0</v>
      </c>
      <c r="BZ14" s="106">
        <f>+PMGR!BZ14+BP!BZ14</f>
        <v>0</v>
      </c>
      <c r="CA14" s="106">
        <f>+PMGR!CA14+BP!CA14</f>
        <v>0</v>
      </c>
      <c r="CB14" s="106">
        <f>+PMGR!CB14+BP!CB14</f>
        <v>0</v>
      </c>
      <c r="CC14" s="106">
        <f>+PMGR!CC14+BP!CC14</f>
        <v>0</v>
      </c>
      <c r="CD14" s="106">
        <f>+PMGR!CD14+BP!CD14</f>
        <v>0</v>
      </c>
      <c r="CE14" s="106">
        <f t="shared" ref="CE14:CE16" si="103">+SUM(BS14:CD14)</f>
        <v>0</v>
      </c>
      <c r="CF14" s="106"/>
      <c r="CG14" s="106">
        <f>+PMGR!CG14+BP!CG14</f>
        <v>0</v>
      </c>
      <c r="CH14" s="106">
        <f>+PMGR!CH14+BP!CH14</f>
        <v>0</v>
      </c>
      <c r="CI14" s="106">
        <f>+PMGR!CI14+BP!CI14</f>
        <v>0</v>
      </c>
      <c r="CJ14" s="106">
        <f>+PMGR!CJ14+BP!CJ14</f>
        <v>0</v>
      </c>
      <c r="CK14" s="106">
        <f>+PMGR!CK14+BP!CK14</f>
        <v>0</v>
      </c>
      <c r="CL14" s="106">
        <f>+PMGR!CL14+BP!CL14</f>
        <v>0</v>
      </c>
      <c r="CM14" s="106">
        <f>+PMGR!CM14+BP!CM14</f>
        <v>0</v>
      </c>
      <c r="CN14" s="106">
        <f>+PMGR!CN14+BP!CN14</f>
        <v>0</v>
      </c>
      <c r="CO14" s="106">
        <f>+PMGR!CO14+BP!CO14</f>
        <v>0</v>
      </c>
      <c r="CP14" s="106">
        <f>+PMGR!CP14+BP!CP14</f>
        <v>0</v>
      </c>
      <c r="CQ14" s="106">
        <f>+PMGR!CQ14+BP!CQ14</f>
        <v>0</v>
      </c>
      <c r="CR14" s="106">
        <f>+PMGR!CR14+BP!CR14</f>
        <v>0</v>
      </c>
      <c r="CS14" s="106">
        <f t="shared" ref="CS14:CS16" si="104">+SUM(CG14:CR14)</f>
        <v>0</v>
      </c>
      <c r="CT14" s="7" t="str">
        <f t="shared" si="20"/>
        <v>Digital and Lead Management</v>
      </c>
      <c r="CU14" s="106">
        <f>+PMGR!CU14+BP!CU14</f>
        <v>0</v>
      </c>
      <c r="CV14" s="106">
        <f>+PMGR!CV14+BP!CV14</f>
        <v>0</v>
      </c>
      <c r="CW14" s="106">
        <f>+PMGR!CW14+BP!CW14</f>
        <v>0</v>
      </c>
      <c r="CX14" s="106">
        <f>+PMGR!CX14+BP!CX14</f>
        <v>0</v>
      </c>
      <c r="CY14" s="106">
        <f>+PMGR!CY14+BP!CY14</f>
        <v>0</v>
      </c>
      <c r="CZ14" s="106">
        <f>+PMGR!CZ14+BP!CZ14</f>
        <v>0</v>
      </c>
      <c r="DA14" s="106">
        <f>+PMGR!DA14+BP!DA14</f>
        <v>0</v>
      </c>
      <c r="DB14" s="106">
        <f>+PMGR!DB14+BP!DB14</f>
        <v>0</v>
      </c>
      <c r="DC14" s="106">
        <f>+PMGR!DC14+BP!DC14</f>
        <v>0</v>
      </c>
      <c r="DD14" s="106">
        <f>+PMGR!DD14+BP!DD14</f>
        <v>0</v>
      </c>
      <c r="DE14" s="106">
        <f>+PMGR!DE14+BP!DE14</f>
        <v>0</v>
      </c>
      <c r="DF14" s="106">
        <f>+PMGR!DF14+BP!DF14</f>
        <v>0</v>
      </c>
      <c r="DG14" s="106">
        <f t="shared" ref="DG14:DG16" si="105">+SUM(CU14:DF14)</f>
        <v>0</v>
      </c>
      <c r="DH14" s="106"/>
      <c r="DI14" s="106">
        <f>+PMGR!DI14+BP!DI14</f>
        <v>0</v>
      </c>
      <c r="DJ14" s="106">
        <f>+PMGR!DJ14+BP!DJ14</f>
        <v>0</v>
      </c>
      <c r="DK14" s="106">
        <f>+PMGR!DK14+BP!DK14</f>
        <v>0</v>
      </c>
      <c r="DL14" s="106">
        <f>+PMGR!DL14+BP!DL14</f>
        <v>0</v>
      </c>
      <c r="DM14" s="106">
        <f>+PMGR!DM14+BP!DM14</f>
        <v>0</v>
      </c>
      <c r="DN14" s="106">
        <f>+PMGR!DN14+BP!DN14</f>
        <v>0</v>
      </c>
      <c r="DO14" s="106">
        <f>+PMGR!DO14+BP!DO14</f>
        <v>0</v>
      </c>
      <c r="DP14" s="106">
        <f>+PMGR!DP14+BP!DP14</f>
        <v>0</v>
      </c>
      <c r="DQ14" s="106">
        <f>+PMGR!DQ14+BP!DQ14</f>
        <v>0</v>
      </c>
      <c r="DR14" s="106">
        <f>+PMGR!DR14+BP!DR14</f>
        <v>0</v>
      </c>
      <c r="DS14" s="106">
        <f>+PMGR!DS14+BP!DS14</f>
        <v>0</v>
      </c>
      <c r="DT14" s="106">
        <f>+PMGR!DT14+BP!DT14</f>
        <v>0</v>
      </c>
      <c r="DU14" s="106">
        <f t="shared" ref="DU14:DU16" si="106">+SUM(DI14:DT14)</f>
        <v>0</v>
      </c>
      <c r="DV14" s="106"/>
      <c r="DW14" s="106">
        <f>+PMGR!DW14+BP!DW14</f>
        <v>0</v>
      </c>
      <c r="DX14" s="106">
        <f>+PMGR!DX14+BP!DX14</f>
        <v>0</v>
      </c>
      <c r="DY14" s="106">
        <f>+PMGR!DY14+BP!DY14</f>
        <v>0</v>
      </c>
      <c r="DZ14" s="106">
        <f>+PMGR!DZ14+BP!DZ14</f>
        <v>0</v>
      </c>
      <c r="EA14" s="106">
        <f>+PMGR!EA14+BP!EA14</f>
        <v>0</v>
      </c>
      <c r="EB14" s="106">
        <f>+PMGR!EB14+BP!EB14</f>
        <v>0</v>
      </c>
      <c r="EC14" s="106">
        <f>+PMGR!EC14+BP!EC14</f>
        <v>0</v>
      </c>
      <c r="ED14" s="106">
        <f>+PMGR!ED14+BP!ED14</f>
        <v>0</v>
      </c>
      <c r="EE14" s="106">
        <f>+PMGR!EE14+BP!EE14</f>
        <v>0</v>
      </c>
      <c r="EF14" s="106">
        <f>+PMGR!EF14+BP!EF14</f>
        <v>0</v>
      </c>
      <c r="EG14" s="106">
        <f>+PMGR!EG14+BP!EG14</f>
        <v>0</v>
      </c>
      <c r="EH14" s="106">
        <f>+PMGR!EH14+BP!EH14</f>
        <v>0</v>
      </c>
      <c r="EI14" s="106">
        <f t="shared" ref="EI14:EI16" si="107">+SUM(DW14:EH14)</f>
        <v>0</v>
      </c>
      <c r="EJ14" s="7" t="str">
        <f t="shared" si="93"/>
        <v>Digital and Lead Management</v>
      </c>
      <c r="EK14" s="106">
        <f>+PMGR!EK14+BP!EK14</f>
        <v>0</v>
      </c>
      <c r="EL14" s="106">
        <f>+PMGR!EL14+BP!EL14</f>
        <v>0</v>
      </c>
      <c r="EM14" s="106">
        <f>+PMGR!EM14+BP!EM14</f>
        <v>0</v>
      </c>
      <c r="EN14" s="106">
        <f>+PMGR!EN14+BP!EN14</f>
        <v>0</v>
      </c>
      <c r="EO14" s="106">
        <f>+PMGR!EO14+BP!EO14</f>
        <v>0</v>
      </c>
      <c r="EP14" s="106">
        <f>+PMGR!EP14+BP!EP14</f>
        <v>0</v>
      </c>
      <c r="EQ14" s="106">
        <f>+PMGR!EQ14+BP!EQ14</f>
        <v>0</v>
      </c>
      <c r="ER14" s="106">
        <f>+PMGR!ER14+BP!ER14</f>
        <v>0</v>
      </c>
      <c r="ES14" s="106">
        <f>+PMGR!ES14+BP!ES14</f>
        <v>0</v>
      </c>
      <c r="ET14" s="106">
        <f>+PMGR!ET14+BP!ET14</f>
        <v>0</v>
      </c>
      <c r="EU14" s="106">
        <f>+PMGR!EU14+BP!EU14</f>
        <v>0</v>
      </c>
      <c r="EV14" s="106">
        <f>+PMGR!EV14+BP!EV14</f>
        <v>0</v>
      </c>
      <c r="EW14" s="106">
        <f t="shared" ref="EW14:EW16" si="108">+SUM(EK14:EV14)</f>
        <v>0</v>
      </c>
      <c r="EX14" s="106"/>
      <c r="EY14" s="106">
        <f>+PMGR!EY14+BP!EY14</f>
        <v>0</v>
      </c>
      <c r="EZ14" s="106">
        <f>+PMGR!EZ14+BP!EZ14</f>
        <v>0</v>
      </c>
      <c r="FA14" s="106">
        <f>+PMGR!FA14+BP!FA14</f>
        <v>0</v>
      </c>
      <c r="FB14" s="106">
        <f>+PMGR!FB14+BP!FB14</f>
        <v>0</v>
      </c>
      <c r="FC14" s="106">
        <f>+PMGR!FC14+BP!FC14</f>
        <v>0</v>
      </c>
      <c r="FD14" s="106">
        <f>+PMGR!FD14+BP!FD14</f>
        <v>0</v>
      </c>
      <c r="FE14" s="106">
        <f>+PMGR!FE14+BP!FE14</f>
        <v>0</v>
      </c>
      <c r="FF14" s="106">
        <f>+PMGR!FF14+BP!FF14</f>
        <v>0</v>
      </c>
      <c r="FG14" s="106">
        <f>+PMGR!FG14+BP!FG14</f>
        <v>0</v>
      </c>
      <c r="FH14" s="106">
        <f>+PMGR!FH14+BP!FH14</f>
        <v>0</v>
      </c>
      <c r="FI14" s="106">
        <f>+PMGR!FI14+BP!FI14</f>
        <v>0</v>
      </c>
      <c r="FJ14" s="106">
        <f>+PMGR!FJ14+BP!FJ14</f>
        <v>0</v>
      </c>
      <c r="FK14" s="106">
        <f t="shared" ref="FK14:FK16" si="109">+SUM(EY14:FJ14)</f>
        <v>0</v>
      </c>
    </row>
    <row r="15" spans="1:167" ht="14.45" hidden="1" customHeight="1" outlineLevel="2">
      <c r="A15" s="106">
        <f t="shared" si="98"/>
        <v>0</v>
      </c>
      <c r="B15" s="106">
        <f t="shared" si="98"/>
        <v>0</v>
      </c>
      <c r="C15" s="106">
        <f t="shared" si="98"/>
        <v>0</v>
      </c>
      <c r="D15" s="106">
        <f t="shared" si="98"/>
        <v>0</v>
      </c>
      <c r="E15" s="106">
        <f t="shared" si="98"/>
        <v>0</v>
      </c>
      <c r="F15" s="106">
        <f t="shared" si="98"/>
        <v>0</v>
      </c>
      <c r="G15" s="106">
        <f t="shared" si="98"/>
        <v>0</v>
      </c>
      <c r="H15" s="106">
        <f t="shared" si="98"/>
        <v>0</v>
      </c>
      <c r="I15" s="106">
        <f t="shared" si="98"/>
        <v>0</v>
      </c>
      <c r="J15" s="106">
        <f t="shared" si="98"/>
        <v>0</v>
      </c>
      <c r="K15" s="106">
        <f t="shared" si="98"/>
        <v>0</v>
      </c>
      <c r="L15" s="106">
        <f t="shared" si="98"/>
        <v>0</v>
      </c>
      <c r="M15" s="106">
        <f t="shared" si="73"/>
        <v>0</v>
      </c>
      <c r="N15" s="7" t="s">
        <v>13</v>
      </c>
      <c r="O15" s="106">
        <f t="shared" si="99"/>
        <v>0</v>
      </c>
      <c r="P15" s="106">
        <f t="shared" si="99"/>
        <v>0</v>
      </c>
      <c r="Q15" s="106">
        <f t="shared" si="99"/>
        <v>0</v>
      </c>
      <c r="R15" s="106">
        <f t="shared" si="99"/>
        <v>0</v>
      </c>
      <c r="S15" s="106">
        <f t="shared" si="99"/>
        <v>0</v>
      </c>
      <c r="T15" s="106">
        <f t="shared" si="99"/>
        <v>0</v>
      </c>
      <c r="U15" s="106">
        <f t="shared" si="99"/>
        <v>0</v>
      </c>
      <c r="V15" s="106">
        <f t="shared" si="99"/>
        <v>0</v>
      </c>
      <c r="W15" s="106">
        <f t="shared" si="99"/>
        <v>0</v>
      </c>
      <c r="X15" s="106">
        <f t="shared" si="99"/>
        <v>0</v>
      </c>
      <c r="Y15" s="106">
        <f t="shared" si="99"/>
        <v>0</v>
      </c>
      <c r="Z15" s="106">
        <f t="shared" si="99"/>
        <v>0</v>
      </c>
      <c r="AA15" s="106">
        <f t="shared" si="74"/>
        <v>0</v>
      </c>
      <c r="AB15" s="106"/>
      <c r="AC15" s="106">
        <f t="shared" si="100"/>
        <v>0</v>
      </c>
      <c r="AD15" s="106">
        <f t="shared" si="100"/>
        <v>0</v>
      </c>
      <c r="AE15" s="106">
        <f t="shared" si="100"/>
        <v>0</v>
      </c>
      <c r="AF15" s="106">
        <f t="shared" si="100"/>
        <v>0</v>
      </c>
      <c r="AG15" s="106">
        <f t="shared" si="100"/>
        <v>0</v>
      </c>
      <c r="AH15" s="106">
        <f t="shared" si="100"/>
        <v>0</v>
      </c>
      <c r="AI15" s="106">
        <f t="shared" si="100"/>
        <v>0</v>
      </c>
      <c r="AJ15" s="106">
        <f t="shared" si="100"/>
        <v>0</v>
      </c>
      <c r="AK15" s="106">
        <f t="shared" si="100"/>
        <v>0</v>
      </c>
      <c r="AL15" s="106">
        <f t="shared" si="100"/>
        <v>0</v>
      </c>
      <c r="AM15" s="106">
        <f t="shared" si="100"/>
        <v>0</v>
      </c>
      <c r="AN15" s="106">
        <f t="shared" si="100"/>
        <v>0</v>
      </c>
      <c r="AO15" s="106">
        <f t="shared" si="75"/>
        <v>0</v>
      </c>
      <c r="AP15" s="106"/>
      <c r="AQ15" s="106">
        <f>+PMGR!AQ15+BP!AQ15</f>
        <v>0</v>
      </c>
      <c r="AR15" s="106">
        <f>+PMGR!AR15+BP!AR15</f>
        <v>0</v>
      </c>
      <c r="AS15" s="106">
        <f>+PMGR!AS15+BP!AS15</f>
        <v>0</v>
      </c>
      <c r="AT15" s="106">
        <f>+PMGR!AT15+BP!AT15</f>
        <v>0</v>
      </c>
      <c r="AU15" s="106">
        <f>+PMGR!AU15+BP!AU15</f>
        <v>0</v>
      </c>
      <c r="AV15" s="106">
        <f>+PMGR!AV15+BP!AV15</f>
        <v>0</v>
      </c>
      <c r="AW15" s="106">
        <f>+PMGR!AW15+BP!AW15</f>
        <v>0</v>
      </c>
      <c r="AX15" s="106">
        <f>+PMGR!AX15+BP!AX15</f>
        <v>0</v>
      </c>
      <c r="AY15" s="106">
        <f>+PMGR!AY15+BP!AY15</f>
        <v>0</v>
      </c>
      <c r="AZ15" s="106">
        <f>+PMGR!AZ15+BP!AZ15</f>
        <v>0</v>
      </c>
      <c r="BA15" s="106">
        <f>+PMGR!BA15+BP!BA15</f>
        <v>0</v>
      </c>
      <c r="BB15" s="106">
        <f>+PMGR!BB15+BP!BB15</f>
        <v>0</v>
      </c>
      <c r="BC15" s="106">
        <f t="shared" si="101"/>
        <v>0</v>
      </c>
      <c r="BD15" s="7" t="str">
        <f t="shared" si="16"/>
        <v>Customer Experience</v>
      </c>
      <c r="BE15" s="106">
        <f>+PMGR!BE15+BP!BE15</f>
        <v>0</v>
      </c>
      <c r="BF15" s="106">
        <f>+PMGR!BF15+BP!BF15</f>
        <v>0</v>
      </c>
      <c r="BG15" s="106">
        <f>+PMGR!BG15+BP!BG15</f>
        <v>0</v>
      </c>
      <c r="BH15" s="106">
        <f>+PMGR!BH15+BP!BH15</f>
        <v>0</v>
      </c>
      <c r="BI15" s="106">
        <f>+PMGR!BI15+BP!BI15</f>
        <v>0</v>
      </c>
      <c r="BJ15" s="106">
        <f>+PMGR!BJ15+BP!BJ15</f>
        <v>0</v>
      </c>
      <c r="BK15" s="106">
        <f>+PMGR!BK15+BP!BK15</f>
        <v>0</v>
      </c>
      <c r="BL15" s="106">
        <f>+PMGR!BL15+BP!BL15</f>
        <v>0</v>
      </c>
      <c r="BM15" s="106">
        <f>+PMGR!BM15+BP!BM15</f>
        <v>0</v>
      </c>
      <c r="BN15" s="106">
        <f>+PMGR!BN15+BP!BN15</f>
        <v>0</v>
      </c>
      <c r="BO15" s="106">
        <f>+PMGR!BO15+BP!BO15</f>
        <v>0</v>
      </c>
      <c r="BP15" s="106">
        <f>+PMGR!BP15+BP!BP15</f>
        <v>0</v>
      </c>
      <c r="BQ15" s="106">
        <f t="shared" si="102"/>
        <v>0</v>
      </c>
      <c r="BR15" s="114"/>
      <c r="BS15" s="106">
        <f>+PMGR!BS15+BP!BS15</f>
        <v>0</v>
      </c>
      <c r="BT15" s="106">
        <f>+PMGR!BT15+BP!BT15</f>
        <v>0</v>
      </c>
      <c r="BU15" s="106">
        <f>+PMGR!BU15+BP!BU15</f>
        <v>0</v>
      </c>
      <c r="BV15" s="106">
        <f>+PMGR!BV15+BP!BV15</f>
        <v>0</v>
      </c>
      <c r="BW15" s="106">
        <f>+PMGR!BW15+BP!BW15</f>
        <v>0</v>
      </c>
      <c r="BX15" s="106">
        <f>+PMGR!BX15+BP!BX15</f>
        <v>0</v>
      </c>
      <c r="BY15" s="106">
        <f>+PMGR!BY15+BP!BY15</f>
        <v>0</v>
      </c>
      <c r="BZ15" s="106">
        <f>+PMGR!BZ15+BP!BZ15</f>
        <v>0</v>
      </c>
      <c r="CA15" s="106">
        <f>+PMGR!CA15+BP!CA15</f>
        <v>0</v>
      </c>
      <c r="CB15" s="106">
        <f>+PMGR!CB15+BP!CB15</f>
        <v>0</v>
      </c>
      <c r="CC15" s="106">
        <f>+PMGR!CC15+BP!CC15</f>
        <v>0</v>
      </c>
      <c r="CD15" s="106">
        <f>+PMGR!CD15+BP!CD15</f>
        <v>0</v>
      </c>
      <c r="CE15" s="106">
        <f t="shared" si="103"/>
        <v>0</v>
      </c>
      <c r="CF15" s="106"/>
      <c r="CG15" s="106">
        <f>+PMGR!CG15+BP!CG15</f>
        <v>0</v>
      </c>
      <c r="CH15" s="106">
        <f>+PMGR!CH15+BP!CH15</f>
        <v>0</v>
      </c>
      <c r="CI15" s="106">
        <f>+PMGR!CI15+BP!CI15</f>
        <v>0</v>
      </c>
      <c r="CJ15" s="106">
        <f>+PMGR!CJ15+BP!CJ15</f>
        <v>0</v>
      </c>
      <c r="CK15" s="106">
        <f>+PMGR!CK15+BP!CK15</f>
        <v>0</v>
      </c>
      <c r="CL15" s="106">
        <f>+PMGR!CL15+BP!CL15</f>
        <v>0</v>
      </c>
      <c r="CM15" s="106">
        <f>+PMGR!CM15+BP!CM15</f>
        <v>0</v>
      </c>
      <c r="CN15" s="106">
        <f>+PMGR!CN15+BP!CN15</f>
        <v>0</v>
      </c>
      <c r="CO15" s="106">
        <f>+PMGR!CO15+BP!CO15</f>
        <v>0</v>
      </c>
      <c r="CP15" s="106">
        <f>+PMGR!CP15+BP!CP15</f>
        <v>0</v>
      </c>
      <c r="CQ15" s="106">
        <f>+PMGR!CQ15+BP!CQ15</f>
        <v>0</v>
      </c>
      <c r="CR15" s="106">
        <f>+PMGR!CR15+BP!CR15</f>
        <v>0</v>
      </c>
      <c r="CS15" s="106">
        <f t="shared" si="104"/>
        <v>0</v>
      </c>
      <c r="CT15" s="7" t="str">
        <f t="shared" si="20"/>
        <v>Customer Experience</v>
      </c>
      <c r="CU15" s="106">
        <f>+PMGR!CU15+BP!CU15</f>
        <v>0</v>
      </c>
      <c r="CV15" s="106">
        <f>+PMGR!CV15+BP!CV15</f>
        <v>0</v>
      </c>
      <c r="CW15" s="106">
        <f>+PMGR!CW15+BP!CW15</f>
        <v>0</v>
      </c>
      <c r="CX15" s="106">
        <f>+PMGR!CX15+BP!CX15</f>
        <v>0</v>
      </c>
      <c r="CY15" s="106">
        <f>+PMGR!CY15+BP!CY15</f>
        <v>0</v>
      </c>
      <c r="CZ15" s="106">
        <f>+PMGR!CZ15+BP!CZ15</f>
        <v>0</v>
      </c>
      <c r="DA15" s="106">
        <f>+PMGR!DA15+BP!DA15</f>
        <v>0</v>
      </c>
      <c r="DB15" s="106">
        <f>+PMGR!DB15+BP!DB15</f>
        <v>0</v>
      </c>
      <c r="DC15" s="106">
        <f>+PMGR!DC15+BP!DC15</f>
        <v>0</v>
      </c>
      <c r="DD15" s="106">
        <f>+PMGR!DD15+BP!DD15</f>
        <v>0</v>
      </c>
      <c r="DE15" s="106">
        <f>+PMGR!DE15+BP!DE15</f>
        <v>0</v>
      </c>
      <c r="DF15" s="106">
        <f>+PMGR!DF15+BP!DF15</f>
        <v>0</v>
      </c>
      <c r="DG15" s="106">
        <f t="shared" si="105"/>
        <v>0</v>
      </c>
      <c r="DH15" s="106"/>
      <c r="DI15" s="106">
        <f>+PMGR!DI15+BP!DI15</f>
        <v>0</v>
      </c>
      <c r="DJ15" s="106">
        <f>+PMGR!DJ15+BP!DJ15</f>
        <v>0</v>
      </c>
      <c r="DK15" s="106">
        <f>+PMGR!DK15+BP!DK15</f>
        <v>0</v>
      </c>
      <c r="DL15" s="106">
        <f>+PMGR!DL15+BP!DL15</f>
        <v>0</v>
      </c>
      <c r="DM15" s="106">
        <f>+PMGR!DM15+BP!DM15</f>
        <v>0</v>
      </c>
      <c r="DN15" s="106">
        <f>+PMGR!DN15+BP!DN15</f>
        <v>0</v>
      </c>
      <c r="DO15" s="106">
        <f>+PMGR!DO15+BP!DO15</f>
        <v>0</v>
      </c>
      <c r="DP15" s="106">
        <f>+PMGR!DP15+BP!DP15</f>
        <v>0</v>
      </c>
      <c r="DQ15" s="106">
        <f>+PMGR!DQ15+BP!DQ15</f>
        <v>0</v>
      </c>
      <c r="DR15" s="106">
        <f>+PMGR!DR15+BP!DR15</f>
        <v>0</v>
      </c>
      <c r="DS15" s="106">
        <f>+PMGR!DS15+BP!DS15</f>
        <v>0</v>
      </c>
      <c r="DT15" s="106">
        <f>+PMGR!DT15+BP!DT15</f>
        <v>0</v>
      </c>
      <c r="DU15" s="106">
        <f t="shared" si="106"/>
        <v>0</v>
      </c>
      <c r="DV15" s="106"/>
      <c r="DW15" s="106">
        <f>+PMGR!DW15+BP!DW15</f>
        <v>0</v>
      </c>
      <c r="DX15" s="106">
        <f>+PMGR!DX15+BP!DX15</f>
        <v>0</v>
      </c>
      <c r="DY15" s="106">
        <f>+PMGR!DY15+BP!DY15</f>
        <v>0</v>
      </c>
      <c r="DZ15" s="106">
        <f>+PMGR!DZ15+BP!DZ15</f>
        <v>0</v>
      </c>
      <c r="EA15" s="106">
        <f>+PMGR!EA15+BP!EA15</f>
        <v>0</v>
      </c>
      <c r="EB15" s="106">
        <f>+PMGR!EB15+BP!EB15</f>
        <v>0</v>
      </c>
      <c r="EC15" s="106">
        <f>+PMGR!EC15+BP!EC15</f>
        <v>0</v>
      </c>
      <c r="ED15" s="106">
        <f>+PMGR!ED15+BP!ED15</f>
        <v>0</v>
      </c>
      <c r="EE15" s="106">
        <f>+PMGR!EE15+BP!EE15</f>
        <v>0</v>
      </c>
      <c r="EF15" s="106">
        <f>+PMGR!EF15+BP!EF15</f>
        <v>0</v>
      </c>
      <c r="EG15" s="106">
        <f>+PMGR!EG15+BP!EG15</f>
        <v>0</v>
      </c>
      <c r="EH15" s="106">
        <f>+PMGR!EH15+BP!EH15</f>
        <v>0</v>
      </c>
      <c r="EI15" s="106">
        <f t="shared" si="107"/>
        <v>0</v>
      </c>
      <c r="EJ15" s="7" t="str">
        <f t="shared" si="93"/>
        <v>Customer Experience</v>
      </c>
      <c r="EK15" s="106">
        <f>+PMGR!EK15+BP!EK15</f>
        <v>0</v>
      </c>
      <c r="EL15" s="106">
        <f>+PMGR!EL15+BP!EL15</f>
        <v>0</v>
      </c>
      <c r="EM15" s="106">
        <f>+PMGR!EM15+BP!EM15</f>
        <v>0</v>
      </c>
      <c r="EN15" s="106">
        <f>+PMGR!EN15+BP!EN15</f>
        <v>0</v>
      </c>
      <c r="EO15" s="106">
        <f>+PMGR!EO15+BP!EO15</f>
        <v>0</v>
      </c>
      <c r="EP15" s="106">
        <f>+PMGR!EP15+BP!EP15</f>
        <v>0</v>
      </c>
      <c r="EQ15" s="106">
        <f>+PMGR!EQ15+BP!EQ15</f>
        <v>0</v>
      </c>
      <c r="ER15" s="106">
        <f>+PMGR!ER15+BP!ER15</f>
        <v>0</v>
      </c>
      <c r="ES15" s="106">
        <f>+PMGR!ES15+BP!ES15</f>
        <v>0</v>
      </c>
      <c r="ET15" s="106">
        <f>+PMGR!ET15+BP!ET15</f>
        <v>0</v>
      </c>
      <c r="EU15" s="106">
        <f>+PMGR!EU15+BP!EU15</f>
        <v>0</v>
      </c>
      <c r="EV15" s="106">
        <f>+PMGR!EV15+BP!EV15</f>
        <v>0</v>
      </c>
      <c r="EW15" s="106">
        <f t="shared" si="108"/>
        <v>0</v>
      </c>
      <c r="EX15" s="106"/>
      <c r="EY15" s="106">
        <f>+PMGR!EY15+BP!EY15</f>
        <v>0</v>
      </c>
      <c r="EZ15" s="106">
        <f>+PMGR!EZ15+BP!EZ15</f>
        <v>0</v>
      </c>
      <c r="FA15" s="106">
        <f>+PMGR!FA15+BP!FA15</f>
        <v>0</v>
      </c>
      <c r="FB15" s="106">
        <f>+PMGR!FB15+BP!FB15</f>
        <v>0</v>
      </c>
      <c r="FC15" s="106">
        <f>+PMGR!FC15+BP!FC15</f>
        <v>0</v>
      </c>
      <c r="FD15" s="106">
        <f>+PMGR!FD15+BP!FD15</f>
        <v>0</v>
      </c>
      <c r="FE15" s="106">
        <f>+PMGR!FE15+BP!FE15</f>
        <v>0</v>
      </c>
      <c r="FF15" s="106">
        <f>+PMGR!FF15+BP!FF15</f>
        <v>0</v>
      </c>
      <c r="FG15" s="106">
        <f>+PMGR!FG15+BP!FG15</f>
        <v>0</v>
      </c>
      <c r="FH15" s="106">
        <f>+PMGR!FH15+BP!FH15</f>
        <v>0</v>
      </c>
      <c r="FI15" s="106">
        <f>+PMGR!FI15+BP!FI15</f>
        <v>0</v>
      </c>
      <c r="FJ15" s="106">
        <f>+PMGR!FJ15+BP!FJ15</f>
        <v>0</v>
      </c>
      <c r="FK15" s="106">
        <f t="shared" si="109"/>
        <v>0</v>
      </c>
    </row>
    <row r="16" spans="1:167" ht="14.45" hidden="1" customHeight="1" outlineLevel="2">
      <c r="A16" s="106">
        <f t="shared" si="98"/>
        <v>0</v>
      </c>
      <c r="B16" s="106">
        <f t="shared" si="98"/>
        <v>0</v>
      </c>
      <c r="C16" s="106">
        <f t="shared" si="98"/>
        <v>0</v>
      </c>
      <c r="D16" s="106">
        <f t="shared" si="98"/>
        <v>0</v>
      </c>
      <c r="E16" s="106">
        <f t="shared" si="98"/>
        <v>0</v>
      </c>
      <c r="F16" s="106">
        <f t="shared" si="98"/>
        <v>0</v>
      </c>
      <c r="G16" s="106">
        <f t="shared" si="98"/>
        <v>0</v>
      </c>
      <c r="H16" s="106">
        <f t="shared" si="98"/>
        <v>0</v>
      </c>
      <c r="I16" s="106">
        <f t="shared" si="98"/>
        <v>0</v>
      </c>
      <c r="J16" s="106">
        <f t="shared" si="98"/>
        <v>0</v>
      </c>
      <c r="K16" s="106">
        <f t="shared" si="98"/>
        <v>0</v>
      </c>
      <c r="L16" s="106">
        <f t="shared" si="98"/>
        <v>0</v>
      </c>
      <c r="M16" s="106">
        <f t="shared" si="73"/>
        <v>0</v>
      </c>
      <c r="N16" s="7" t="s">
        <v>14</v>
      </c>
      <c r="O16" s="106">
        <f t="shared" si="99"/>
        <v>0</v>
      </c>
      <c r="P16" s="106">
        <f t="shared" si="99"/>
        <v>0</v>
      </c>
      <c r="Q16" s="106">
        <f t="shared" si="99"/>
        <v>0</v>
      </c>
      <c r="R16" s="106">
        <f t="shared" si="99"/>
        <v>0</v>
      </c>
      <c r="S16" s="106">
        <f t="shared" si="99"/>
        <v>0</v>
      </c>
      <c r="T16" s="106">
        <f t="shared" si="99"/>
        <v>0</v>
      </c>
      <c r="U16" s="106">
        <f t="shared" si="99"/>
        <v>0</v>
      </c>
      <c r="V16" s="106">
        <f t="shared" si="99"/>
        <v>0</v>
      </c>
      <c r="W16" s="106">
        <f t="shared" si="99"/>
        <v>0</v>
      </c>
      <c r="X16" s="106">
        <f t="shared" si="99"/>
        <v>0</v>
      </c>
      <c r="Y16" s="106">
        <f t="shared" si="99"/>
        <v>0</v>
      </c>
      <c r="Z16" s="106">
        <f t="shared" si="99"/>
        <v>0</v>
      </c>
      <c r="AA16" s="106">
        <f t="shared" si="74"/>
        <v>0</v>
      </c>
      <c r="AB16" s="106"/>
      <c r="AC16" s="106">
        <f t="shared" si="100"/>
        <v>0</v>
      </c>
      <c r="AD16" s="106">
        <f t="shared" si="100"/>
        <v>0</v>
      </c>
      <c r="AE16" s="106">
        <f t="shared" si="100"/>
        <v>0</v>
      </c>
      <c r="AF16" s="106">
        <f t="shared" si="100"/>
        <v>0</v>
      </c>
      <c r="AG16" s="106">
        <f t="shared" si="100"/>
        <v>0</v>
      </c>
      <c r="AH16" s="106">
        <f t="shared" si="100"/>
        <v>0</v>
      </c>
      <c r="AI16" s="106">
        <f t="shared" si="100"/>
        <v>0</v>
      </c>
      <c r="AJ16" s="106">
        <f t="shared" si="100"/>
        <v>0</v>
      </c>
      <c r="AK16" s="106">
        <f t="shared" si="100"/>
        <v>0</v>
      </c>
      <c r="AL16" s="106">
        <f t="shared" si="100"/>
        <v>0</v>
      </c>
      <c r="AM16" s="106">
        <f t="shared" si="100"/>
        <v>0</v>
      </c>
      <c r="AN16" s="106">
        <f t="shared" si="100"/>
        <v>0</v>
      </c>
      <c r="AO16" s="106">
        <f t="shared" si="75"/>
        <v>0</v>
      </c>
      <c r="AP16" s="106"/>
      <c r="AQ16" s="106">
        <f>+PMGR!AQ16+BP!AQ16</f>
        <v>0</v>
      </c>
      <c r="AR16" s="106">
        <f>+PMGR!AR16+BP!AR16</f>
        <v>0</v>
      </c>
      <c r="AS16" s="106">
        <f>+PMGR!AS16+BP!AS16</f>
        <v>0</v>
      </c>
      <c r="AT16" s="106">
        <f>+PMGR!AT16+BP!AT16</f>
        <v>0</v>
      </c>
      <c r="AU16" s="106">
        <f>+PMGR!AU16+BP!AU16</f>
        <v>0</v>
      </c>
      <c r="AV16" s="106">
        <f>+PMGR!AV16+BP!AV16</f>
        <v>0</v>
      </c>
      <c r="AW16" s="106">
        <f>+PMGR!AW16+BP!AW16</f>
        <v>0</v>
      </c>
      <c r="AX16" s="106">
        <f>+PMGR!AX16+BP!AX16</f>
        <v>0</v>
      </c>
      <c r="AY16" s="106">
        <f>+PMGR!AY16+BP!AY16</f>
        <v>0</v>
      </c>
      <c r="AZ16" s="106">
        <f>+PMGR!AZ16+BP!AZ16</f>
        <v>0</v>
      </c>
      <c r="BA16" s="106">
        <f>+PMGR!BA16+BP!BA16</f>
        <v>0</v>
      </c>
      <c r="BB16" s="106">
        <f>+PMGR!BB16+BP!BB16</f>
        <v>0</v>
      </c>
      <c r="BC16" s="106">
        <f t="shared" si="101"/>
        <v>0</v>
      </c>
      <c r="BD16" s="7" t="str">
        <f t="shared" si="16"/>
        <v>Marketing And Process Steering</v>
      </c>
      <c r="BE16" s="106">
        <f>+PMGR!BE16+BP!BE16</f>
        <v>0</v>
      </c>
      <c r="BF16" s="106">
        <f>+PMGR!BF16+BP!BF16</f>
        <v>0</v>
      </c>
      <c r="BG16" s="106">
        <f>+PMGR!BG16+BP!BG16</f>
        <v>0</v>
      </c>
      <c r="BH16" s="106">
        <f>+PMGR!BH16+BP!BH16</f>
        <v>0</v>
      </c>
      <c r="BI16" s="106">
        <f>+PMGR!BI16+BP!BI16</f>
        <v>0</v>
      </c>
      <c r="BJ16" s="106">
        <f>+PMGR!BJ16+BP!BJ16</f>
        <v>0</v>
      </c>
      <c r="BK16" s="106">
        <f>+PMGR!BK16+BP!BK16</f>
        <v>0</v>
      </c>
      <c r="BL16" s="106">
        <f>+PMGR!BL16+BP!BL16</f>
        <v>0</v>
      </c>
      <c r="BM16" s="106">
        <f>+PMGR!BM16+BP!BM16</f>
        <v>0</v>
      </c>
      <c r="BN16" s="106">
        <f>+PMGR!BN16+BP!BN16</f>
        <v>0</v>
      </c>
      <c r="BO16" s="106">
        <f>+PMGR!BO16+BP!BO16</f>
        <v>0</v>
      </c>
      <c r="BP16" s="106">
        <f>+PMGR!BP16+BP!BP16</f>
        <v>0</v>
      </c>
      <c r="BQ16" s="106">
        <f t="shared" si="102"/>
        <v>0</v>
      </c>
      <c r="BR16" s="114"/>
      <c r="BS16" s="106">
        <f>+PMGR!BS16+BP!BS16</f>
        <v>0</v>
      </c>
      <c r="BT16" s="106">
        <f>+PMGR!BT16+BP!BT16</f>
        <v>0</v>
      </c>
      <c r="BU16" s="106">
        <f>+PMGR!BU16+BP!BU16</f>
        <v>0</v>
      </c>
      <c r="BV16" s="106">
        <f>+PMGR!BV16+BP!BV16</f>
        <v>0</v>
      </c>
      <c r="BW16" s="106">
        <f>+PMGR!BW16+BP!BW16</f>
        <v>0</v>
      </c>
      <c r="BX16" s="106">
        <f>+PMGR!BX16+BP!BX16</f>
        <v>0</v>
      </c>
      <c r="BY16" s="106">
        <f>+PMGR!BY16+BP!BY16</f>
        <v>0</v>
      </c>
      <c r="BZ16" s="106">
        <f>+PMGR!BZ16+BP!BZ16</f>
        <v>0</v>
      </c>
      <c r="CA16" s="106">
        <f>+PMGR!CA16+BP!CA16</f>
        <v>0</v>
      </c>
      <c r="CB16" s="106">
        <f>+PMGR!CB16+BP!CB16</f>
        <v>0</v>
      </c>
      <c r="CC16" s="106">
        <f>+PMGR!CC16+BP!CC16</f>
        <v>0</v>
      </c>
      <c r="CD16" s="106">
        <f>+PMGR!CD16+BP!CD16</f>
        <v>0</v>
      </c>
      <c r="CE16" s="106">
        <f t="shared" si="103"/>
        <v>0</v>
      </c>
      <c r="CF16" s="106"/>
      <c r="CG16" s="106">
        <f>+PMGR!CG16+BP!CG16</f>
        <v>0</v>
      </c>
      <c r="CH16" s="106">
        <f>+PMGR!CH16+BP!CH16</f>
        <v>0</v>
      </c>
      <c r="CI16" s="106">
        <f>+PMGR!CI16+BP!CI16</f>
        <v>0</v>
      </c>
      <c r="CJ16" s="106">
        <f>+PMGR!CJ16+BP!CJ16</f>
        <v>0</v>
      </c>
      <c r="CK16" s="106">
        <f>+PMGR!CK16+BP!CK16</f>
        <v>0</v>
      </c>
      <c r="CL16" s="106">
        <f>+PMGR!CL16+BP!CL16</f>
        <v>0</v>
      </c>
      <c r="CM16" s="106">
        <f>+PMGR!CM16+BP!CM16</f>
        <v>0</v>
      </c>
      <c r="CN16" s="106">
        <f>+PMGR!CN16+BP!CN16</f>
        <v>0</v>
      </c>
      <c r="CO16" s="106">
        <f>+PMGR!CO16+BP!CO16</f>
        <v>0</v>
      </c>
      <c r="CP16" s="106">
        <f>+PMGR!CP16+BP!CP16</f>
        <v>0</v>
      </c>
      <c r="CQ16" s="106">
        <f>+PMGR!CQ16+BP!CQ16</f>
        <v>0</v>
      </c>
      <c r="CR16" s="106">
        <f>+PMGR!CR16+BP!CR16</f>
        <v>0</v>
      </c>
      <c r="CS16" s="106">
        <f t="shared" si="104"/>
        <v>0</v>
      </c>
      <c r="CT16" s="7" t="str">
        <f t="shared" si="20"/>
        <v>Marketing And Process Steering</v>
      </c>
      <c r="CU16" s="106">
        <f>+PMGR!CU16+BP!CU16</f>
        <v>0</v>
      </c>
      <c r="CV16" s="106">
        <f>+PMGR!CV16+BP!CV16</f>
        <v>0</v>
      </c>
      <c r="CW16" s="106">
        <f>+PMGR!CW16+BP!CW16</f>
        <v>0</v>
      </c>
      <c r="CX16" s="106">
        <f>+PMGR!CX16+BP!CX16</f>
        <v>0</v>
      </c>
      <c r="CY16" s="106">
        <f>+PMGR!CY16+BP!CY16</f>
        <v>0</v>
      </c>
      <c r="CZ16" s="106">
        <f>+PMGR!CZ16+BP!CZ16</f>
        <v>0</v>
      </c>
      <c r="DA16" s="106">
        <f>+PMGR!DA16+BP!DA16</f>
        <v>0</v>
      </c>
      <c r="DB16" s="106">
        <f>+PMGR!DB16+BP!DB16</f>
        <v>0</v>
      </c>
      <c r="DC16" s="106">
        <f>+PMGR!DC16+BP!DC16</f>
        <v>0</v>
      </c>
      <c r="DD16" s="106">
        <f>+PMGR!DD16+BP!DD16</f>
        <v>0</v>
      </c>
      <c r="DE16" s="106">
        <f>+PMGR!DE16+BP!DE16</f>
        <v>0</v>
      </c>
      <c r="DF16" s="106">
        <f>+PMGR!DF16+BP!DF16</f>
        <v>0</v>
      </c>
      <c r="DG16" s="106">
        <f t="shared" si="105"/>
        <v>0</v>
      </c>
      <c r="DH16" s="106"/>
      <c r="DI16" s="106">
        <f>+PMGR!DI16+BP!DI16</f>
        <v>0</v>
      </c>
      <c r="DJ16" s="106">
        <f>+PMGR!DJ16+BP!DJ16</f>
        <v>0</v>
      </c>
      <c r="DK16" s="106">
        <f>+PMGR!DK16+BP!DK16</f>
        <v>0</v>
      </c>
      <c r="DL16" s="106">
        <f>+PMGR!DL16+BP!DL16</f>
        <v>0</v>
      </c>
      <c r="DM16" s="106">
        <f>+PMGR!DM16+BP!DM16</f>
        <v>0</v>
      </c>
      <c r="DN16" s="106">
        <f>+PMGR!DN16+BP!DN16</f>
        <v>0</v>
      </c>
      <c r="DO16" s="106">
        <f>+PMGR!DO16+BP!DO16</f>
        <v>0</v>
      </c>
      <c r="DP16" s="106">
        <f>+PMGR!DP16+BP!DP16</f>
        <v>0</v>
      </c>
      <c r="DQ16" s="106">
        <f>+PMGR!DQ16+BP!DQ16</f>
        <v>0</v>
      </c>
      <c r="DR16" s="106">
        <f>+PMGR!DR16+BP!DR16</f>
        <v>0</v>
      </c>
      <c r="DS16" s="106">
        <f>+PMGR!DS16+BP!DS16</f>
        <v>0</v>
      </c>
      <c r="DT16" s="106">
        <f>+PMGR!DT16+BP!DT16</f>
        <v>0</v>
      </c>
      <c r="DU16" s="106">
        <f t="shared" si="106"/>
        <v>0</v>
      </c>
      <c r="DV16" s="106"/>
      <c r="DW16" s="106">
        <f>+PMGR!DW16+BP!DW16</f>
        <v>0</v>
      </c>
      <c r="DX16" s="106">
        <f>+PMGR!DX16+BP!DX16</f>
        <v>0</v>
      </c>
      <c r="DY16" s="106">
        <f>+PMGR!DY16+BP!DY16</f>
        <v>0</v>
      </c>
      <c r="DZ16" s="106">
        <f>+PMGR!DZ16+BP!DZ16</f>
        <v>0</v>
      </c>
      <c r="EA16" s="106">
        <f>+PMGR!EA16+BP!EA16</f>
        <v>0</v>
      </c>
      <c r="EB16" s="106">
        <f>+PMGR!EB16+BP!EB16</f>
        <v>0</v>
      </c>
      <c r="EC16" s="106">
        <f>+PMGR!EC16+BP!EC16</f>
        <v>0</v>
      </c>
      <c r="ED16" s="106">
        <f>+PMGR!ED16+BP!ED16</f>
        <v>0</v>
      </c>
      <c r="EE16" s="106">
        <f>+PMGR!EE16+BP!EE16</f>
        <v>0</v>
      </c>
      <c r="EF16" s="106">
        <f>+PMGR!EF16+BP!EF16</f>
        <v>0</v>
      </c>
      <c r="EG16" s="106">
        <f>+PMGR!EG16+BP!EG16</f>
        <v>0</v>
      </c>
      <c r="EH16" s="106">
        <f>+PMGR!EH16+BP!EH16</f>
        <v>0</v>
      </c>
      <c r="EI16" s="106">
        <f t="shared" si="107"/>
        <v>0</v>
      </c>
      <c r="EJ16" s="7" t="str">
        <f t="shared" si="93"/>
        <v>Marketing And Process Steering</v>
      </c>
      <c r="EK16" s="106">
        <f>+PMGR!EK16+BP!EK16</f>
        <v>0</v>
      </c>
      <c r="EL16" s="106">
        <f>+PMGR!EL16+BP!EL16</f>
        <v>0</v>
      </c>
      <c r="EM16" s="106">
        <f>+PMGR!EM16+BP!EM16</f>
        <v>0</v>
      </c>
      <c r="EN16" s="106">
        <f>+PMGR!EN16+BP!EN16</f>
        <v>0</v>
      </c>
      <c r="EO16" s="106">
        <f>+PMGR!EO16+BP!EO16</f>
        <v>0</v>
      </c>
      <c r="EP16" s="106">
        <f>+PMGR!EP16+BP!EP16</f>
        <v>0</v>
      </c>
      <c r="EQ16" s="106">
        <f>+PMGR!EQ16+BP!EQ16</f>
        <v>0</v>
      </c>
      <c r="ER16" s="106">
        <f>+PMGR!ER16+BP!ER16</f>
        <v>0</v>
      </c>
      <c r="ES16" s="106">
        <f>+PMGR!ES16+BP!ES16</f>
        <v>0</v>
      </c>
      <c r="ET16" s="106">
        <f>+PMGR!ET16+BP!ET16</f>
        <v>0</v>
      </c>
      <c r="EU16" s="106">
        <f>+PMGR!EU16+BP!EU16</f>
        <v>0</v>
      </c>
      <c r="EV16" s="106">
        <f>+PMGR!EV16+BP!EV16</f>
        <v>0</v>
      </c>
      <c r="EW16" s="106">
        <f t="shared" si="108"/>
        <v>0</v>
      </c>
      <c r="EX16" s="106"/>
      <c r="EY16" s="106">
        <f>+PMGR!EY16+BP!EY16</f>
        <v>0</v>
      </c>
      <c r="EZ16" s="106">
        <f>+PMGR!EZ16+BP!EZ16</f>
        <v>0</v>
      </c>
      <c r="FA16" s="106">
        <f>+PMGR!FA16+BP!FA16</f>
        <v>0</v>
      </c>
      <c r="FB16" s="106">
        <f>+PMGR!FB16+BP!FB16</f>
        <v>0</v>
      </c>
      <c r="FC16" s="106">
        <f>+PMGR!FC16+BP!FC16</f>
        <v>0</v>
      </c>
      <c r="FD16" s="106">
        <f>+PMGR!FD16+BP!FD16</f>
        <v>0</v>
      </c>
      <c r="FE16" s="106">
        <f>+PMGR!FE16+BP!FE16</f>
        <v>0</v>
      </c>
      <c r="FF16" s="106">
        <f>+PMGR!FF16+BP!FF16</f>
        <v>0</v>
      </c>
      <c r="FG16" s="106">
        <f>+PMGR!FG16+BP!FG16</f>
        <v>0</v>
      </c>
      <c r="FH16" s="106">
        <f>+PMGR!FH16+BP!FH16</f>
        <v>0</v>
      </c>
      <c r="FI16" s="106">
        <f>+PMGR!FI16+BP!FI16</f>
        <v>0</v>
      </c>
      <c r="FJ16" s="106">
        <f>+PMGR!FJ16+BP!FJ16</f>
        <v>0</v>
      </c>
      <c r="FK16" s="106">
        <f t="shared" si="109"/>
        <v>0</v>
      </c>
    </row>
    <row r="17" spans="1:167" ht="14.45" hidden="1" customHeight="1" outlineLevel="2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8" t="s">
        <v>15</v>
      </c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8" t="str">
        <f t="shared" si="16"/>
        <v>Sales Demo Car</v>
      </c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14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  <c r="CF17" s="106"/>
      <c r="CG17" s="106"/>
      <c r="CH17" s="106"/>
      <c r="CI17" s="106"/>
      <c r="CJ17" s="106"/>
      <c r="CK17" s="106"/>
      <c r="CL17" s="106"/>
      <c r="CM17" s="106"/>
      <c r="CN17" s="106"/>
      <c r="CO17" s="106"/>
      <c r="CP17" s="106"/>
      <c r="CQ17" s="106"/>
      <c r="CR17" s="106"/>
      <c r="CS17" s="106"/>
      <c r="CT17" s="8" t="str">
        <f t="shared" si="20"/>
        <v>Sales Demo Car</v>
      </c>
      <c r="CU17" s="106"/>
      <c r="CV17" s="106"/>
      <c r="CW17" s="106"/>
      <c r="CX17" s="106"/>
      <c r="CY17" s="106"/>
      <c r="CZ17" s="106"/>
      <c r="DA17" s="106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6"/>
      <c r="DO17" s="106"/>
      <c r="DP17" s="106"/>
      <c r="DQ17" s="106"/>
      <c r="DR17" s="106"/>
      <c r="DS17" s="106"/>
      <c r="DT17" s="106"/>
      <c r="DU17" s="106"/>
      <c r="DV17" s="106"/>
      <c r="DW17" s="106"/>
      <c r="DX17" s="106"/>
      <c r="DY17" s="106"/>
      <c r="DZ17" s="106"/>
      <c r="EA17" s="106"/>
      <c r="EB17" s="106"/>
      <c r="EC17" s="106"/>
      <c r="ED17" s="106"/>
      <c r="EE17" s="106"/>
      <c r="EF17" s="106"/>
      <c r="EG17" s="106"/>
      <c r="EH17" s="106"/>
      <c r="EI17" s="106"/>
      <c r="EJ17" s="8" t="str">
        <f t="shared" si="93"/>
        <v>Sales Demo Car</v>
      </c>
      <c r="EK17" s="106"/>
      <c r="EL17" s="106"/>
      <c r="EM17" s="106"/>
      <c r="EN17" s="106"/>
      <c r="EO17" s="106"/>
      <c r="EP17" s="106"/>
      <c r="EQ17" s="106"/>
      <c r="ER17" s="106"/>
      <c r="ES17" s="106"/>
      <c r="ET17" s="106"/>
      <c r="EU17" s="106"/>
      <c r="EV17" s="106"/>
      <c r="EW17" s="106"/>
      <c r="EX17" s="106"/>
      <c r="EY17" s="106"/>
      <c r="EZ17" s="106"/>
      <c r="FA17" s="106"/>
      <c r="FB17" s="106"/>
      <c r="FC17" s="106"/>
      <c r="FD17" s="106"/>
      <c r="FE17" s="106"/>
      <c r="FF17" s="106"/>
      <c r="FG17" s="106"/>
      <c r="FH17" s="106"/>
      <c r="FI17" s="106"/>
      <c r="FJ17" s="106"/>
      <c r="FK17" s="106"/>
    </row>
    <row r="18" spans="1:167" ht="14.45" hidden="1" customHeight="1" outlineLevel="2">
      <c r="A18" s="105">
        <f>+AQ18+CG18+DW18</f>
        <v>0</v>
      </c>
      <c r="B18" s="105">
        <f t="shared" ref="B18:L21" si="110">+AR18+CH18+DX18</f>
        <v>0</v>
      </c>
      <c r="C18" s="105">
        <f t="shared" si="110"/>
        <v>0</v>
      </c>
      <c r="D18" s="105">
        <f t="shared" si="110"/>
        <v>0</v>
      </c>
      <c r="E18" s="105">
        <f t="shared" si="110"/>
        <v>0</v>
      </c>
      <c r="F18" s="105">
        <f t="shared" si="110"/>
        <v>0</v>
      </c>
      <c r="G18" s="105">
        <f t="shared" si="110"/>
        <v>0</v>
      </c>
      <c r="H18" s="105">
        <f t="shared" si="110"/>
        <v>0</v>
      </c>
      <c r="I18" s="105">
        <f t="shared" si="110"/>
        <v>0</v>
      </c>
      <c r="J18" s="105">
        <f t="shared" si="110"/>
        <v>0</v>
      </c>
      <c r="K18" s="105">
        <f t="shared" si="110"/>
        <v>0</v>
      </c>
      <c r="L18" s="105">
        <f t="shared" si="110"/>
        <v>0</v>
      </c>
      <c r="M18" s="105">
        <f t="shared" si="73"/>
        <v>0</v>
      </c>
      <c r="N18" s="9" t="s">
        <v>16</v>
      </c>
      <c r="O18" s="105">
        <f>+BE18+CU18+EK18</f>
        <v>0</v>
      </c>
      <c r="P18" s="105">
        <f t="shared" ref="P18:Z21" si="111">+BF18+CV18+EL18</f>
        <v>0</v>
      </c>
      <c r="Q18" s="105">
        <f t="shared" si="111"/>
        <v>0</v>
      </c>
      <c r="R18" s="105">
        <f t="shared" si="111"/>
        <v>0</v>
      </c>
      <c r="S18" s="105">
        <f t="shared" si="111"/>
        <v>0</v>
      </c>
      <c r="T18" s="105">
        <f t="shared" si="111"/>
        <v>0</v>
      </c>
      <c r="U18" s="105">
        <f t="shared" si="111"/>
        <v>0</v>
      </c>
      <c r="V18" s="105">
        <f t="shared" si="111"/>
        <v>0</v>
      </c>
      <c r="W18" s="105">
        <f t="shared" si="111"/>
        <v>0</v>
      </c>
      <c r="X18" s="105">
        <f t="shared" si="111"/>
        <v>0</v>
      </c>
      <c r="Y18" s="105">
        <f t="shared" si="111"/>
        <v>0</v>
      </c>
      <c r="Z18" s="105">
        <f t="shared" si="111"/>
        <v>0</v>
      </c>
      <c r="AA18" s="105">
        <f t="shared" ref="AA18:AA21" si="112">+SUM(O18:Z18)</f>
        <v>0</v>
      </c>
      <c r="AB18" s="106"/>
      <c r="AC18" s="105">
        <f>+BS18+DI18+EY18</f>
        <v>0</v>
      </c>
      <c r="AD18" s="105">
        <f t="shared" ref="AD18:AN21" si="113">+BT18+DJ18+EZ18</f>
        <v>0</v>
      </c>
      <c r="AE18" s="105">
        <f t="shared" si="113"/>
        <v>0</v>
      </c>
      <c r="AF18" s="105">
        <f t="shared" si="113"/>
        <v>0</v>
      </c>
      <c r="AG18" s="105">
        <f t="shared" si="113"/>
        <v>0</v>
      </c>
      <c r="AH18" s="105">
        <f t="shared" si="113"/>
        <v>0</v>
      </c>
      <c r="AI18" s="105">
        <f t="shared" si="113"/>
        <v>0</v>
      </c>
      <c r="AJ18" s="105">
        <f t="shared" si="113"/>
        <v>0</v>
      </c>
      <c r="AK18" s="105">
        <f t="shared" si="113"/>
        <v>0</v>
      </c>
      <c r="AL18" s="105">
        <f t="shared" si="113"/>
        <v>0</v>
      </c>
      <c r="AM18" s="105">
        <f t="shared" si="113"/>
        <v>0</v>
      </c>
      <c r="AN18" s="105">
        <f t="shared" si="113"/>
        <v>0</v>
      </c>
      <c r="AO18" s="105">
        <f t="shared" ref="AO18:AO21" si="114">+SUM(AC18:AN18)</f>
        <v>0</v>
      </c>
      <c r="AP18" s="106"/>
      <c r="AQ18" s="105">
        <f>+PMGR!AQ18+BP!AQ18</f>
        <v>0</v>
      </c>
      <c r="AR18" s="105">
        <f>+PMGR!AR18+BP!AR18</f>
        <v>0</v>
      </c>
      <c r="AS18" s="105">
        <f>+PMGR!AS18+BP!AS18</f>
        <v>0</v>
      </c>
      <c r="AT18" s="105">
        <f>+PMGR!AT18+BP!AT18</f>
        <v>0</v>
      </c>
      <c r="AU18" s="105">
        <f>+PMGR!AU18+BP!AU18</f>
        <v>0</v>
      </c>
      <c r="AV18" s="105">
        <f>+PMGR!AV18+BP!AV18</f>
        <v>0</v>
      </c>
      <c r="AW18" s="105">
        <f>+PMGR!AW18+BP!AW18</f>
        <v>0</v>
      </c>
      <c r="AX18" s="105">
        <f>+PMGR!AX18+BP!AX18</f>
        <v>0</v>
      </c>
      <c r="AY18" s="105">
        <f>+PMGR!AY18+BP!AY18</f>
        <v>0</v>
      </c>
      <c r="AZ18" s="105">
        <f>+PMGR!AZ18+BP!AZ18</f>
        <v>0</v>
      </c>
      <c r="BA18" s="105">
        <f>+PMGR!BA18+BP!BA18</f>
        <v>0</v>
      </c>
      <c r="BB18" s="105">
        <f>+PMGR!BB18+BP!BB18</f>
        <v>0</v>
      </c>
      <c r="BC18" s="105">
        <f t="shared" ref="BC18:BC21" si="115">+SUM(AQ18:BB18)</f>
        <v>0</v>
      </c>
      <c r="BD18" s="9" t="str">
        <f t="shared" si="16"/>
        <v>No of Cars Sold</v>
      </c>
      <c r="BE18" s="105">
        <f>+PMGR!BE18+BP!BE18</f>
        <v>0</v>
      </c>
      <c r="BF18" s="105">
        <f>+PMGR!BF18+BP!BF18</f>
        <v>0</v>
      </c>
      <c r="BG18" s="105">
        <f>+PMGR!BG18+BP!BG18</f>
        <v>0</v>
      </c>
      <c r="BH18" s="105">
        <f>+PMGR!BH18+BP!BH18</f>
        <v>0</v>
      </c>
      <c r="BI18" s="105">
        <f>+PMGR!BI18+BP!BI18</f>
        <v>0</v>
      </c>
      <c r="BJ18" s="105">
        <f>+PMGR!BJ18+BP!BJ18</f>
        <v>0</v>
      </c>
      <c r="BK18" s="105">
        <f>+PMGR!BK18+BP!BK18</f>
        <v>0</v>
      </c>
      <c r="BL18" s="105">
        <f>+PMGR!BL18+BP!BL18</f>
        <v>0</v>
      </c>
      <c r="BM18" s="105">
        <f>+PMGR!BM18+BP!BM18</f>
        <v>0</v>
      </c>
      <c r="BN18" s="105">
        <f>+PMGR!BN18+BP!BN18</f>
        <v>0</v>
      </c>
      <c r="BO18" s="105">
        <f>+PMGR!BO18+BP!BO18</f>
        <v>0</v>
      </c>
      <c r="BP18" s="105">
        <f>+PMGR!BP18+BP!BP18</f>
        <v>0</v>
      </c>
      <c r="BQ18" s="105">
        <f t="shared" ref="BQ18" si="116">+SUM(BE18:BP18)</f>
        <v>0</v>
      </c>
      <c r="BR18" s="114"/>
      <c r="BS18" s="105">
        <f>+PMGR!BS18+BP!BS18</f>
        <v>0</v>
      </c>
      <c r="BT18" s="105">
        <f>+PMGR!BT18+BP!BT18</f>
        <v>0</v>
      </c>
      <c r="BU18" s="105">
        <f>+PMGR!BU18+BP!BU18</f>
        <v>0</v>
      </c>
      <c r="BV18" s="105">
        <f>+PMGR!BV18+BP!BV18</f>
        <v>0</v>
      </c>
      <c r="BW18" s="105">
        <f>+PMGR!BW18+BP!BW18</f>
        <v>0</v>
      </c>
      <c r="BX18" s="105">
        <f>+PMGR!BX18+BP!BX18</f>
        <v>0</v>
      </c>
      <c r="BY18" s="105">
        <f>+PMGR!BY18+BP!BY18</f>
        <v>0</v>
      </c>
      <c r="BZ18" s="105">
        <f>+PMGR!BZ18+BP!BZ18</f>
        <v>0</v>
      </c>
      <c r="CA18" s="105">
        <f>+PMGR!CA18+BP!CA18</f>
        <v>0</v>
      </c>
      <c r="CB18" s="105">
        <f>+PMGR!CB18+BP!CB18</f>
        <v>0</v>
      </c>
      <c r="CC18" s="105">
        <f>+PMGR!CC18+BP!CC18</f>
        <v>0</v>
      </c>
      <c r="CD18" s="105">
        <f>+PMGR!CD18+BP!CD18</f>
        <v>0</v>
      </c>
      <c r="CE18" s="105">
        <f t="shared" ref="CE18:CE21" si="117">+SUM(BS18:CD18)</f>
        <v>0</v>
      </c>
      <c r="CF18" s="106"/>
      <c r="CG18" s="105">
        <f>+PMGR!CG18+BP!CG18</f>
        <v>0</v>
      </c>
      <c r="CH18" s="105">
        <f>+PMGR!CH18+BP!CH18</f>
        <v>0</v>
      </c>
      <c r="CI18" s="105">
        <f>+PMGR!CI18+BP!CI18</f>
        <v>0</v>
      </c>
      <c r="CJ18" s="105">
        <f>+PMGR!CJ18+BP!CJ18</f>
        <v>0</v>
      </c>
      <c r="CK18" s="105">
        <f>+PMGR!CK18+BP!CK18</f>
        <v>0</v>
      </c>
      <c r="CL18" s="105">
        <f>+PMGR!CL18+BP!CL18</f>
        <v>0</v>
      </c>
      <c r="CM18" s="105">
        <f>+PMGR!CM18+BP!CM18</f>
        <v>0</v>
      </c>
      <c r="CN18" s="105">
        <f>+PMGR!CN18+BP!CN18</f>
        <v>0</v>
      </c>
      <c r="CO18" s="105">
        <f>+PMGR!CO18+BP!CO18</f>
        <v>0</v>
      </c>
      <c r="CP18" s="105">
        <f>+PMGR!CP18+BP!CP18</f>
        <v>0</v>
      </c>
      <c r="CQ18" s="105">
        <f>+PMGR!CQ18+BP!CQ18</f>
        <v>0</v>
      </c>
      <c r="CR18" s="105">
        <f>+PMGR!CR18+BP!CR18</f>
        <v>0</v>
      </c>
      <c r="CS18" s="105">
        <f t="shared" ref="CS18:CS21" si="118">+SUM(CG18:CR18)</f>
        <v>0</v>
      </c>
      <c r="CT18" s="9" t="str">
        <f t="shared" si="20"/>
        <v>No of Cars Sold</v>
      </c>
      <c r="CU18" s="105">
        <f>+PMGR!CU18+BP!CU18</f>
        <v>0</v>
      </c>
      <c r="CV18" s="105">
        <f>+PMGR!CV18+BP!CV18</f>
        <v>0</v>
      </c>
      <c r="CW18" s="105">
        <f>+PMGR!CW18+BP!CW18</f>
        <v>0</v>
      </c>
      <c r="CX18" s="105">
        <f>+PMGR!CX18+BP!CX18</f>
        <v>0</v>
      </c>
      <c r="CY18" s="105">
        <f>+PMGR!CY18+BP!CY18</f>
        <v>0</v>
      </c>
      <c r="CZ18" s="105">
        <f>+PMGR!CZ18+BP!CZ18</f>
        <v>0</v>
      </c>
      <c r="DA18" s="105">
        <f>+PMGR!DA18+BP!DA18</f>
        <v>0</v>
      </c>
      <c r="DB18" s="105">
        <f>+PMGR!DB18+BP!DB18</f>
        <v>0</v>
      </c>
      <c r="DC18" s="105">
        <f>+PMGR!DC18+BP!DC18</f>
        <v>0</v>
      </c>
      <c r="DD18" s="105">
        <f>+PMGR!DD18+BP!DD18</f>
        <v>0</v>
      </c>
      <c r="DE18" s="105">
        <f>+PMGR!DE18+BP!DE18</f>
        <v>0</v>
      </c>
      <c r="DF18" s="105">
        <f>+PMGR!DF18+BP!DF18</f>
        <v>0</v>
      </c>
      <c r="DG18" s="105">
        <f t="shared" ref="DG18:DG21" si="119">+SUM(CU18:DF18)</f>
        <v>0</v>
      </c>
      <c r="DH18" s="106"/>
      <c r="DI18" s="105">
        <f>+PMGR!DI18+BP!DI18</f>
        <v>0</v>
      </c>
      <c r="DJ18" s="105">
        <f>+PMGR!DJ18+BP!DJ18</f>
        <v>0</v>
      </c>
      <c r="DK18" s="105">
        <f>+PMGR!DK18+BP!DK18</f>
        <v>0</v>
      </c>
      <c r="DL18" s="105">
        <f>+PMGR!DL18+BP!DL18</f>
        <v>0</v>
      </c>
      <c r="DM18" s="105">
        <f>+PMGR!DM18+BP!DM18</f>
        <v>0</v>
      </c>
      <c r="DN18" s="105">
        <f>+PMGR!DN18+BP!DN18</f>
        <v>0</v>
      </c>
      <c r="DO18" s="105">
        <f>+PMGR!DO18+BP!DO18</f>
        <v>0</v>
      </c>
      <c r="DP18" s="105">
        <f>+PMGR!DP18+BP!DP18</f>
        <v>0</v>
      </c>
      <c r="DQ18" s="105">
        <f>+PMGR!DQ18+BP!DQ18</f>
        <v>0</v>
      </c>
      <c r="DR18" s="105">
        <f>+PMGR!DR18+BP!DR18</f>
        <v>0</v>
      </c>
      <c r="DS18" s="105">
        <f>+PMGR!DS18+BP!DS18</f>
        <v>0</v>
      </c>
      <c r="DT18" s="105">
        <f>+PMGR!DT18+BP!DT18</f>
        <v>0</v>
      </c>
      <c r="DU18" s="105">
        <f t="shared" ref="DU18:DU21" si="120">+SUM(DI18:DT18)</f>
        <v>0</v>
      </c>
      <c r="DV18" s="106"/>
      <c r="DW18" s="105">
        <f>+PMGR!DW18+BP!DW18</f>
        <v>0</v>
      </c>
      <c r="DX18" s="105">
        <f>+PMGR!DX18+BP!DX18</f>
        <v>0</v>
      </c>
      <c r="DY18" s="105">
        <f>+PMGR!DY18+BP!DY18</f>
        <v>0</v>
      </c>
      <c r="DZ18" s="105">
        <f>+PMGR!DZ18+BP!DZ18</f>
        <v>0</v>
      </c>
      <c r="EA18" s="105">
        <f>+PMGR!EA18+BP!EA18</f>
        <v>0</v>
      </c>
      <c r="EB18" s="105">
        <f>+PMGR!EB18+BP!EB18</f>
        <v>0</v>
      </c>
      <c r="EC18" s="105">
        <f>+PMGR!EC18+BP!EC18</f>
        <v>0</v>
      </c>
      <c r="ED18" s="105">
        <f>+PMGR!ED18+BP!ED18</f>
        <v>0</v>
      </c>
      <c r="EE18" s="105">
        <f>+PMGR!EE18+BP!EE18</f>
        <v>0</v>
      </c>
      <c r="EF18" s="105">
        <f>+PMGR!EF18+BP!EF18</f>
        <v>0</v>
      </c>
      <c r="EG18" s="105">
        <f>+PMGR!EG18+BP!EG18</f>
        <v>0</v>
      </c>
      <c r="EH18" s="105">
        <f>+PMGR!EH18+BP!EH18</f>
        <v>0</v>
      </c>
      <c r="EI18" s="105">
        <f t="shared" ref="EI18:EI21" si="121">+SUM(DW18:EH18)</f>
        <v>0</v>
      </c>
      <c r="EJ18" s="9" t="str">
        <f t="shared" si="93"/>
        <v>No of Cars Sold</v>
      </c>
      <c r="EK18" s="105">
        <f>+PMGR!EK18+BP!EK18</f>
        <v>0</v>
      </c>
      <c r="EL18" s="105">
        <f>+PMGR!EL18+BP!EL18</f>
        <v>0</v>
      </c>
      <c r="EM18" s="105">
        <f>+PMGR!EM18+BP!EM18</f>
        <v>0</v>
      </c>
      <c r="EN18" s="105">
        <f>+PMGR!EN18+BP!EN18</f>
        <v>0</v>
      </c>
      <c r="EO18" s="105">
        <f>+PMGR!EO18+BP!EO18</f>
        <v>0</v>
      </c>
      <c r="EP18" s="105">
        <f>+PMGR!EP18+BP!EP18</f>
        <v>0</v>
      </c>
      <c r="EQ18" s="105">
        <f>+PMGR!EQ18+BP!EQ18</f>
        <v>0</v>
      </c>
      <c r="ER18" s="105">
        <f>+PMGR!ER18+BP!ER18</f>
        <v>0</v>
      </c>
      <c r="ES18" s="105">
        <f>+PMGR!ES18+BP!ES18</f>
        <v>0</v>
      </c>
      <c r="ET18" s="105">
        <f>+PMGR!ET18+BP!ET18</f>
        <v>0</v>
      </c>
      <c r="EU18" s="105">
        <f>+PMGR!EU18+BP!EU18</f>
        <v>0</v>
      </c>
      <c r="EV18" s="105">
        <f>+PMGR!EV18+BP!EV18</f>
        <v>0</v>
      </c>
      <c r="EW18" s="105">
        <f t="shared" ref="EW18:EW21" si="122">+SUM(EK18:EV18)</f>
        <v>0</v>
      </c>
      <c r="EX18" s="106"/>
      <c r="EY18" s="105">
        <f>+PMGR!EY18+BP!EY18</f>
        <v>0</v>
      </c>
      <c r="EZ18" s="105">
        <f>+PMGR!EZ18+BP!EZ18</f>
        <v>0</v>
      </c>
      <c r="FA18" s="105">
        <f>+PMGR!FA18+BP!FA18</f>
        <v>0</v>
      </c>
      <c r="FB18" s="105">
        <f>+PMGR!FB18+BP!FB18</f>
        <v>0</v>
      </c>
      <c r="FC18" s="105">
        <f>+PMGR!FC18+BP!FC18</f>
        <v>0</v>
      </c>
      <c r="FD18" s="105">
        <f>+PMGR!FD18+BP!FD18</f>
        <v>0</v>
      </c>
      <c r="FE18" s="105">
        <f>+PMGR!FE18+BP!FE18</f>
        <v>0</v>
      </c>
      <c r="FF18" s="105">
        <f>+PMGR!FF18+BP!FF18</f>
        <v>0</v>
      </c>
      <c r="FG18" s="105">
        <f>+PMGR!FG18+BP!FG18</f>
        <v>0</v>
      </c>
      <c r="FH18" s="105">
        <f>+PMGR!FH18+BP!FH18</f>
        <v>0</v>
      </c>
      <c r="FI18" s="105">
        <f>+PMGR!FI18+BP!FI18</f>
        <v>0</v>
      </c>
      <c r="FJ18" s="105">
        <f>+PMGR!FJ18+BP!FJ18</f>
        <v>0</v>
      </c>
      <c r="FK18" s="105">
        <f t="shared" ref="FK18:FK21" si="123">+SUM(EY18:FJ18)</f>
        <v>0</v>
      </c>
    </row>
    <row r="19" spans="1:167" ht="14.45" hidden="1" customHeight="1" outlineLevel="2">
      <c r="A19" s="106">
        <f t="shared" ref="A19:A21" si="124">+AQ19+CG19+DW19</f>
        <v>0</v>
      </c>
      <c r="B19" s="106">
        <f t="shared" si="110"/>
        <v>0</v>
      </c>
      <c r="C19" s="106">
        <f t="shared" si="110"/>
        <v>0</v>
      </c>
      <c r="D19" s="106">
        <f t="shared" si="110"/>
        <v>0</v>
      </c>
      <c r="E19" s="106">
        <f t="shared" si="110"/>
        <v>0</v>
      </c>
      <c r="F19" s="106">
        <f t="shared" si="110"/>
        <v>0</v>
      </c>
      <c r="G19" s="106">
        <f t="shared" si="110"/>
        <v>0</v>
      </c>
      <c r="H19" s="106">
        <f t="shared" si="110"/>
        <v>0</v>
      </c>
      <c r="I19" s="106">
        <f t="shared" si="110"/>
        <v>0</v>
      </c>
      <c r="J19" s="106">
        <f t="shared" si="110"/>
        <v>0</v>
      </c>
      <c r="K19" s="106">
        <f t="shared" si="110"/>
        <v>0</v>
      </c>
      <c r="L19" s="106">
        <f t="shared" si="110"/>
        <v>0</v>
      </c>
      <c r="M19" s="106">
        <f t="shared" si="73"/>
        <v>0</v>
      </c>
      <c r="N19" s="7" t="s">
        <v>17</v>
      </c>
      <c r="O19" s="106">
        <f t="shared" ref="O19:O21" si="125">+BE19+CU19+EK19</f>
        <v>0</v>
      </c>
      <c r="P19" s="106">
        <f t="shared" si="111"/>
        <v>0</v>
      </c>
      <c r="Q19" s="106">
        <f t="shared" si="111"/>
        <v>0</v>
      </c>
      <c r="R19" s="106">
        <f t="shared" si="111"/>
        <v>0</v>
      </c>
      <c r="S19" s="106">
        <f t="shared" si="111"/>
        <v>0</v>
      </c>
      <c r="T19" s="106">
        <f t="shared" si="111"/>
        <v>0</v>
      </c>
      <c r="U19" s="106">
        <f t="shared" si="111"/>
        <v>0</v>
      </c>
      <c r="V19" s="106">
        <f t="shared" si="111"/>
        <v>0</v>
      </c>
      <c r="W19" s="106">
        <f t="shared" si="111"/>
        <v>0</v>
      </c>
      <c r="X19" s="106">
        <f t="shared" si="111"/>
        <v>0</v>
      </c>
      <c r="Y19" s="106">
        <f t="shared" si="111"/>
        <v>0</v>
      </c>
      <c r="Z19" s="106">
        <f t="shared" si="111"/>
        <v>0</v>
      </c>
      <c r="AA19" s="106">
        <f t="shared" si="112"/>
        <v>0</v>
      </c>
      <c r="AB19" s="106"/>
      <c r="AC19" s="106">
        <f t="shared" ref="AC19:AC21" si="126">+BS19+DI19+EY19</f>
        <v>0</v>
      </c>
      <c r="AD19" s="106">
        <f t="shared" si="113"/>
        <v>0</v>
      </c>
      <c r="AE19" s="106">
        <f t="shared" si="113"/>
        <v>0</v>
      </c>
      <c r="AF19" s="106">
        <f t="shared" si="113"/>
        <v>0</v>
      </c>
      <c r="AG19" s="106">
        <f t="shared" si="113"/>
        <v>0</v>
      </c>
      <c r="AH19" s="106">
        <f t="shared" si="113"/>
        <v>0</v>
      </c>
      <c r="AI19" s="106">
        <f t="shared" si="113"/>
        <v>0</v>
      </c>
      <c r="AJ19" s="106">
        <f t="shared" si="113"/>
        <v>0</v>
      </c>
      <c r="AK19" s="106">
        <f t="shared" si="113"/>
        <v>0</v>
      </c>
      <c r="AL19" s="106">
        <f t="shared" si="113"/>
        <v>0</v>
      </c>
      <c r="AM19" s="106">
        <f t="shared" si="113"/>
        <v>0</v>
      </c>
      <c r="AN19" s="106">
        <f t="shared" si="113"/>
        <v>0</v>
      </c>
      <c r="AO19" s="106">
        <f t="shared" si="114"/>
        <v>0</v>
      </c>
      <c r="AP19" s="106"/>
      <c r="AQ19" s="106">
        <f>+PMGR!AQ19+BP!AQ19</f>
        <v>0</v>
      </c>
      <c r="AR19" s="106">
        <f>+PMGR!AR19+BP!AR19</f>
        <v>0</v>
      </c>
      <c r="AS19" s="106">
        <f>+PMGR!AS19+BP!AS19</f>
        <v>0</v>
      </c>
      <c r="AT19" s="106">
        <f>+PMGR!AT19+BP!AT19</f>
        <v>0</v>
      </c>
      <c r="AU19" s="106">
        <f>+PMGR!AU19+BP!AU19</f>
        <v>0</v>
      </c>
      <c r="AV19" s="106">
        <f>+PMGR!AV19+BP!AV19</f>
        <v>0</v>
      </c>
      <c r="AW19" s="106">
        <f>+PMGR!AW19+BP!AW19</f>
        <v>0</v>
      </c>
      <c r="AX19" s="106">
        <f>+PMGR!AX19+BP!AX19</f>
        <v>0</v>
      </c>
      <c r="AY19" s="106">
        <f>+PMGR!AY19+BP!AY19</f>
        <v>0</v>
      </c>
      <c r="AZ19" s="106">
        <f>+PMGR!AZ19+BP!AZ19</f>
        <v>0</v>
      </c>
      <c r="BA19" s="106">
        <f>+PMGR!BA19+BP!BA19</f>
        <v>0</v>
      </c>
      <c r="BB19" s="106">
        <f>+PMGR!BB19+BP!BB19</f>
        <v>0</v>
      </c>
      <c r="BC19" s="106">
        <f t="shared" si="115"/>
        <v>0</v>
      </c>
      <c r="BD19" s="7" t="str">
        <f t="shared" si="16"/>
        <v>Turnover.</v>
      </c>
      <c r="BE19" s="106">
        <f>+PMGR!BE19+BP!BE19</f>
        <v>0</v>
      </c>
      <c r="BF19" s="106">
        <f>+PMGR!BF19+BP!BF19</f>
        <v>0</v>
      </c>
      <c r="BG19" s="106">
        <f>+PMGR!BG19+BP!BG19</f>
        <v>0</v>
      </c>
      <c r="BH19" s="106">
        <f>+PMGR!BH19+BP!BH19</f>
        <v>0</v>
      </c>
      <c r="BI19" s="106">
        <f>+PMGR!BI19+BP!BI19</f>
        <v>0</v>
      </c>
      <c r="BJ19" s="106">
        <f>+PMGR!BJ19+BP!BJ19</f>
        <v>0</v>
      </c>
      <c r="BK19" s="106">
        <f>+PMGR!BK19+BP!BK19</f>
        <v>0</v>
      </c>
      <c r="BL19" s="106">
        <f>+PMGR!BL19+BP!BL19</f>
        <v>0</v>
      </c>
      <c r="BM19" s="106">
        <f>+PMGR!BM19+BP!BM19</f>
        <v>0</v>
      </c>
      <c r="BN19" s="106">
        <f>+PMGR!BN19+BP!BN19</f>
        <v>0</v>
      </c>
      <c r="BO19" s="106">
        <f>+PMGR!BO19+BP!BO19</f>
        <v>0</v>
      </c>
      <c r="BP19" s="106">
        <f>+PMGR!BP19+BP!BP19</f>
        <v>0</v>
      </c>
      <c r="BQ19" s="106">
        <f t="shared" ref="BQ19:BQ21" si="127">+SUM(BE19:BP19)</f>
        <v>0</v>
      </c>
      <c r="BR19" s="114"/>
      <c r="BS19" s="106">
        <f>+PMGR!BS19+BP!BS19</f>
        <v>0</v>
      </c>
      <c r="BT19" s="106">
        <f>+PMGR!BT19+BP!BT19</f>
        <v>0</v>
      </c>
      <c r="BU19" s="106">
        <f>+PMGR!BU19+BP!BU19</f>
        <v>0</v>
      </c>
      <c r="BV19" s="106">
        <f>+PMGR!BV19+BP!BV19</f>
        <v>0</v>
      </c>
      <c r="BW19" s="106">
        <f>+PMGR!BW19+BP!BW19</f>
        <v>0</v>
      </c>
      <c r="BX19" s="106">
        <f>+PMGR!BX19+BP!BX19</f>
        <v>0</v>
      </c>
      <c r="BY19" s="106">
        <f>+PMGR!BY19+BP!BY19</f>
        <v>0</v>
      </c>
      <c r="BZ19" s="106">
        <f>+PMGR!BZ19+BP!BZ19</f>
        <v>0</v>
      </c>
      <c r="CA19" s="106">
        <f>+PMGR!CA19+BP!CA19</f>
        <v>0</v>
      </c>
      <c r="CB19" s="106">
        <f>+PMGR!CB19+BP!CB19</f>
        <v>0</v>
      </c>
      <c r="CC19" s="106">
        <f>+PMGR!CC19+BP!CC19</f>
        <v>0</v>
      </c>
      <c r="CD19" s="106">
        <f>+PMGR!CD19+BP!CD19</f>
        <v>0</v>
      </c>
      <c r="CE19" s="106">
        <f t="shared" si="117"/>
        <v>0</v>
      </c>
      <c r="CF19" s="106"/>
      <c r="CG19" s="106">
        <f>+PMGR!CG19+BP!CG19</f>
        <v>0</v>
      </c>
      <c r="CH19" s="106">
        <f>+PMGR!CH19+BP!CH19</f>
        <v>0</v>
      </c>
      <c r="CI19" s="106">
        <f>+PMGR!CI19+BP!CI19</f>
        <v>0</v>
      </c>
      <c r="CJ19" s="106">
        <f>+PMGR!CJ19+BP!CJ19</f>
        <v>0</v>
      </c>
      <c r="CK19" s="106">
        <f>+PMGR!CK19+BP!CK19</f>
        <v>0</v>
      </c>
      <c r="CL19" s="106">
        <f>+PMGR!CL19+BP!CL19</f>
        <v>0</v>
      </c>
      <c r="CM19" s="106">
        <f>+PMGR!CM19+BP!CM19</f>
        <v>0</v>
      </c>
      <c r="CN19" s="106">
        <f>+PMGR!CN19+BP!CN19</f>
        <v>0</v>
      </c>
      <c r="CO19" s="106">
        <f>+PMGR!CO19+BP!CO19</f>
        <v>0</v>
      </c>
      <c r="CP19" s="106">
        <f>+PMGR!CP19+BP!CP19</f>
        <v>0</v>
      </c>
      <c r="CQ19" s="106">
        <f>+PMGR!CQ19+BP!CQ19</f>
        <v>0</v>
      </c>
      <c r="CR19" s="106">
        <f>+PMGR!CR19+BP!CR19</f>
        <v>0</v>
      </c>
      <c r="CS19" s="106">
        <f t="shared" si="118"/>
        <v>0</v>
      </c>
      <c r="CT19" s="7" t="str">
        <f t="shared" si="20"/>
        <v>Turnover.</v>
      </c>
      <c r="CU19" s="106">
        <f>+PMGR!CU19+BP!CU19</f>
        <v>0</v>
      </c>
      <c r="CV19" s="106">
        <f>+PMGR!CV19+BP!CV19</f>
        <v>0</v>
      </c>
      <c r="CW19" s="106">
        <f>+PMGR!CW19+BP!CW19</f>
        <v>0</v>
      </c>
      <c r="CX19" s="106">
        <f>+PMGR!CX19+BP!CX19</f>
        <v>0</v>
      </c>
      <c r="CY19" s="106">
        <f>+PMGR!CY19+BP!CY19</f>
        <v>0</v>
      </c>
      <c r="CZ19" s="106">
        <f>+PMGR!CZ19+BP!CZ19</f>
        <v>0</v>
      </c>
      <c r="DA19" s="106">
        <f>+PMGR!DA19+BP!DA19</f>
        <v>0</v>
      </c>
      <c r="DB19" s="106">
        <f>+PMGR!DB19+BP!DB19</f>
        <v>0</v>
      </c>
      <c r="DC19" s="106">
        <f>+PMGR!DC19+BP!DC19</f>
        <v>0</v>
      </c>
      <c r="DD19" s="106">
        <f>+PMGR!DD19+BP!DD19</f>
        <v>0</v>
      </c>
      <c r="DE19" s="106">
        <f>+PMGR!DE19+BP!DE19</f>
        <v>0</v>
      </c>
      <c r="DF19" s="106">
        <f>+PMGR!DF19+BP!DF19</f>
        <v>0</v>
      </c>
      <c r="DG19" s="106">
        <f t="shared" si="119"/>
        <v>0</v>
      </c>
      <c r="DH19" s="106"/>
      <c r="DI19" s="106">
        <f>+PMGR!DI19+BP!DI19</f>
        <v>0</v>
      </c>
      <c r="DJ19" s="106">
        <f>+PMGR!DJ19+BP!DJ19</f>
        <v>0</v>
      </c>
      <c r="DK19" s="106">
        <f>+PMGR!DK19+BP!DK19</f>
        <v>0</v>
      </c>
      <c r="DL19" s="106">
        <f>+PMGR!DL19+BP!DL19</f>
        <v>0</v>
      </c>
      <c r="DM19" s="106">
        <f>+PMGR!DM19+BP!DM19</f>
        <v>0</v>
      </c>
      <c r="DN19" s="106">
        <f>+PMGR!DN19+BP!DN19</f>
        <v>0</v>
      </c>
      <c r="DO19" s="106">
        <f>+PMGR!DO19+BP!DO19</f>
        <v>0</v>
      </c>
      <c r="DP19" s="106">
        <f>+PMGR!DP19+BP!DP19</f>
        <v>0</v>
      </c>
      <c r="DQ19" s="106">
        <f>+PMGR!DQ19+BP!DQ19</f>
        <v>0</v>
      </c>
      <c r="DR19" s="106">
        <f>+PMGR!DR19+BP!DR19</f>
        <v>0</v>
      </c>
      <c r="DS19" s="106">
        <f>+PMGR!DS19+BP!DS19</f>
        <v>0</v>
      </c>
      <c r="DT19" s="106">
        <f>+PMGR!DT19+BP!DT19</f>
        <v>0</v>
      </c>
      <c r="DU19" s="106">
        <f t="shared" si="120"/>
        <v>0</v>
      </c>
      <c r="DV19" s="106"/>
      <c r="DW19" s="106">
        <f>+PMGR!DW19+BP!DW19</f>
        <v>0</v>
      </c>
      <c r="DX19" s="106">
        <f>+PMGR!DX19+BP!DX19</f>
        <v>0</v>
      </c>
      <c r="DY19" s="106">
        <f>+PMGR!DY19+BP!DY19</f>
        <v>0</v>
      </c>
      <c r="DZ19" s="106">
        <f>+PMGR!DZ19+BP!DZ19</f>
        <v>0</v>
      </c>
      <c r="EA19" s="106">
        <f>+PMGR!EA19+BP!EA19</f>
        <v>0</v>
      </c>
      <c r="EB19" s="106">
        <f>+PMGR!EB19+BP!EB19</f>
        <v>0</v>
      </c>
      <c r="EC19" s="106">
        <f>+PMGR!EC19+BP!EC19</f>
        <v>0</v>
      </c>
      <c r="ED19" s="106">
        <f>+PMGR!ED19+BP!ED19</f>
        <v>0</v>
      </c>
      <c r="EE19" s="106">
        <f>+PMGR!EE19+BP!EE19</f>
        <v>0</v>
      </c>
      <c r="EF19" s="106">
        <f>+PMGR!EF19+BP!EF19</f>
        <v>0</v>
      </c>
      <c r="EG19" s="106">
        <f>+PMGR!EG19+BP!EG19</f>
        <v>0</v>
      </c>
      <c r="EH19" s="106">
        <f>+PMGR!EH19+BP!EH19</f>
        <v>0</v>
      </c>
      <c r="EI19" s="106">
        <f t="shared" si="121"/>
        <v>0</v>
      </c>
      <c r="EJ19" s="7" t="str">
        <f t="shared" si="93"/>
        <v>Turnover.</v>
      </c>
      <c r="EK19" s="106">
        <f>+PMGR!EK19+BP!EK19</f>
        <v>0</v>
      </c>
      <c r="EL19" s="106">
        <f>+PMGR!EL19+BP!EL19</f>
        <v>0</v>
      </c>
      <c r="EM19" s="106">
        <f>+PMGR!EM19+BP!EM19</f>
        <v>0</v>
      </c>
      <c r="EN19" s="106">
        <f>+PMGR!EN19+BP!EN19</f>
        <v>0</v>
      </c>
      <c r="EO19" s="106">
        <f>+PMGR!EO19+BP!EO19</f>
        <v>0</v>
      </c>
      <c r="EP19" s="106">
        <f>+PMGR!EP19+BP!EP19</f>
        <v>0</v>
      </c>
      <c r="EQ19" s="106">
        <f>+PMGR!EQ19+BP!EQ19</f>
        <v>0</v>
      </c>
      <c r="ER19" s="106">
        <f>+PMGR!ER19+BP!ER19</f>
        <v>0</v>
      </c>
      <c r="ES19" s="106">
        <f>+PMGR!ES19+BP!ES19</f>
        <v>0</v>
      </c>
      <c r="ET19" s="106">
        <f>+PMGR!ET19+BP!ET19</f>
        <v>0</v>
      </c>
      <c r="EU19" s="106">
        <f>+PMGR!EU19+BP!EU19</f>
        <v>0</v>
      </c>
      <c r="EV19" s="106">
        <f>+PMGR!EV19+BP!EV19</f>
        <v>0</v>
      </c>
      <c r="EW19" s="106">
        <f t="shared" si="122"/>
        <v>0</v>
      </c>
      <c r="EX19" s="106"/>
      <c r="EY19" s="106">
        <f>+PMGR!EY19+BP!EY19</f>
        <v>0</v>
      </c>
      <c r="EZ19" s="106">
        <f>+PMGR!EZ19+BP!EZ19</f>
        <v>0</v>
      </c>
      <c r="FA19" s="106">
        <f>+PMGR!FA19+BP!FA19</f>
        <v>0</v>
      </c>
      <c r="FB19" s="106">
        <f>+PMGR!FB19+BP!FB19</f>
        <v>0</v>
      </c>
      <c r="FC19" s="106">
        <f>+PMGR!FC19+BP!FC19</f>
        <v>0</v>
      </c>
      <c r="FD19" s="106">
        <f>+PMGR!FD19+BP!FD19</f>
        <v>0</v>
      </c>
      <c r="FE19" s="106">
        <f>+PMGR!FE19+BP!FE19</f>
        <v>0</v>
      </c>
      <c r="FF19" s="106">
        <f>+PMGR!FF19+BP!FF19</f>
        <v>0</v>
      </c>
      <c r="FG19" s="106">
        <f>+PMGR!FG19+BP!FG19</f>
        <v>0</v>
      </c>
      <c r="FH19" s="106">
        <f>+PMGR!FH19+BP!FH19</f>
        <v>0</v>
      </c>
      <c r="FI19" s="106">
        <f>+PMGR!FI19+BP!FI19</f>
        <v>0</v>
      </c>
      <c r="FJ19" s="106">
        <f>+PMGR!FJ19+BP!FJ19</f>
        <v>0</v>
      </c>
      <c r="FK19" s="106">
        <f t="shared" si="123"/>
        <v>0</v>
      </c>
    </row>
    <row r="20" spans="1:167" ht="14.45" hidden="1" customHeight="1" outlineLevel="2">
      <c r="A20" s="106">
        <f t="shared" si="124"/>
        <v>0</v>
      </c>
      <c r="B20" s="106">
        <f t="shared" si="110"/>
        <v>0</v>
      </c>
      <c r="C20" s="106">
        <f t="shared" si="110"/>
        <v>0</v>
      </c>
      <c r="D20" s="106">
        <f t="shared" si="110"/>
        <v>0</v>
      </c>
      <c r="E20" s="106">
        <f t="shared" si="110"/>
        <v>0</v>
      </c>
      <c r="F20" s="106">
        <f t="shared" si="110"/>
        <v>0</v>
      </c>
      <c r="G20" s="106">
        <f t="shared" si="110"/>
        <v>0</v>
      </c>
      <c r="H20" s="106">
        <f t="shared" si="110"/>
        <v>0</v>
      </c>
      <c r="I20" s="106">
        <f t="shared" si="110"/>
        <v>0</v>
      </c>
      <c r="J20" s="106">
        <f t="shared" si="110"/>
        <v>0</v>
      </c>
      <c r="K20" s="106">
        <f t="shared" si="110"/>
        <v>0</v>
      </c>
      <c r="L20" s="106">
        <f t="shared" si="110"/>
        <v>0</v>
      </c>
      <c r="M20" s="106">
        <f t="shared" si="73"/>
        <v>0</v>
      </c>
      <c r="N20" s="7" t="s">
        <v>18</v>
      </c>
      <c r="O20" s="106">
        <f t="shared" si="125"/>
        <v>0</v>
      </c>
      <c r="P20" s="106">
        <f t="shared" si="111"/>
        <v>0</v>
      </c>
      <c r="Q20" s="106">
        <f t="shared" si="111"/>
        <v>0</v>
      </c>
      <c r="R20" s="106">
        <f t="shared" si="111"/>
        <v>0</v>
      </c>
      <c r="S20" s="106">
        <f t="shared" si="111"/>
        <v>0</v>
      </c>
      <c r="T20" s="106">
        <f t="shared" si="111"/>
        <v>0</v>
      </c>
      <c r="U20" s="106">
        <f t="shared" si="111"/>
        <v>0</v>
      </c>
      <c r="V20" s="106">
        <f t="shared" si="111"/>
        <v>0</v>
      </c>
      <c r="W20" s="106">
        <f t="shared" si="111"/>
        <v>0</v>
      </c>
      <c r="X20" s="106">
        <f t="shared" si="111"/>
        <v>0</v>
      </c>
      <c r="Y20" s="106">
        <f t="shared" si="111"/>
        <v>0</v>
      </c>
      <c r="Z20" s="106">
        <f t="shared" si="111"/>
        <v>0</v>
      </c>
      <c r="AA20" s="106">
        <f t="shared" si="112"/>
        <v>0</v>
      </c>
      <c r="AB20" s="106"/>
      <c r="AC20" s="106">
        <f t="shared" si="126"/>
        <v>0</v>
      </c>
      <c r="AD20" s="106">
        <f t="shared" si="113"/>
        <v>0</v>
      </c>
      <c r="AE20" s="106">
        <f t="shared" si="113"/>
        <v>0</v>
      </c>
      <c r="AF20" s="106">
        <f t="shared" si="113"/>
        <v>0</v>
      </c>
      <c r="AG20" s="106">
        <f t="shared" si="113"/>
        <v>0</v>
      </c>
      <c r="AH20" s="106">
        <f t="shared" si="113"/>
        <v>0</v>
      </c>
      <c r="AI20" s="106">
        <f t="shared" si="113"/>
        <v>0</v>
      </c>
      <c r="AJ20" s="106">
        <f t="shared" si="113"/>
        <v>0</v>
      </c>
      <c r="AK20" s="106">
        <f t="shared" si="113"/>
        <v>0</v>
      </c>
      <c r="AL20" s="106">
        <f t="shared" si="113"/>
        <v>0</v>
      </c>
      <c r="AM20" s="106">
        <f t="shared" si="113"/>
        <v>0</v>
      </c>
      <c r="AN20" s="106">
        <f t="shared" si="113"/>
        <v>0</v>
      </c>
      <c r="AO20" s="106">
        <f t="shared" si="114"/>
        <v>0</v>
      </c>
      <c r="AP20" s="106"/>
      <c r="AQ20" s="106">
        <f>+PMGR!AQ20+BP!AQ20</f>
        <v>0</v>
      </c>
      <c r="AR20" s="106">
        <f>+PMGR!AR20+BP!AR20</f>
        <v>0</v>
      </c>
      <c r="AS20" s="106">
        <f>+PMGR!AS20+BP!AS20</f>
        <v>0</v>
      </c>
      <c r="AT20" s="106">
        <f>+PMGR!AT20+BP!AT20</f>
        <v>0</v>
      </c>
      <c r="AU20" s="106">
        <f>+PMGR!AU20+BP!AU20</f>
        <v>0</v>
      </c>
      <c r="AV20" s="106">
        <f>+PMGR!AV20+BP!AV20</f>
        <v>0</v>
      </c>
      <c r="AW20" s="106">
        <f>+PMGR!AW20+BP!AW20</f>
        <v>0</v>
      </c>
      <c r="AX20" s="106">
        <f>+PMGR!AX20+BP!AX20</f>
        <v>0</v>
      </c>
      <c r="AY20" s="106">
        <f>+PMGR!AY20+BP!AY20</f>
        <v>0</v>
      </c>
      <c r="AZ20" s="106">
        <f>+PMGR!AZ20+BP!AZ20</f>
        <v>0</v>
      </c>
      <c r="BA20" s="106">
        <f>+PMGR!BA20+BP!BA20</f>
        <v>0</v>
      </c>
      <c r="BB20" s="106">
        <f>+PMGR!BB20+BP!BB20</f>
        <v>0</v>
      </c>
      <c r="BC20" s="106">
        <f t="shared" si="115"/>
        <v>0</v>
      </c>
      <c r="BD20" s="7" t="str">
        <f t="shared" si="16"/>
        <v>Cost of goods sold - Demo Car</v>
      </c>
      <c r="BE20" s="106">
        <f>+PMGR!BE20+BP!BE20</f>
        <v>0</v>
      </c>
      <c r="BF20" s="106">
        <f>+PMGR!BF20+BP!BF20</f>
        <v>0</v>
      </c>
      <c r="BG20" s="106">
        <f>+PMGR!BG20+BP!BG20</f>
        <v>0</v>
      </c>
      <c r="BH20" s="106">
        <f>+PMGR!BH20+BP!BH20</f>
        <v>0</v>
      </c>
      <c r="BI20" s="106">
        <f>+PMGR!BI20+BP!BI20</f>
        <v>0</v>
      </c>
      <c r="BJ20" s="106">
        <f>+PMGR!BJ20+BP!BJ20</f>
        <v>0</v>
      </c>
      <c r="BK20" s="106">
        <f>+PMGR!BK20+BP!BK20</f>
        <v>0</v>
      </c>
      <c r="BL20" s="106">
        <f>+PMGR!BL20+BP!BL20</f>
        <v>0</v>
      </c>
      <c r="BM20" s="106">
        <f>+PMGR!BM20+BP!BM20</f>
        <v>0</v>
      </c>
      <c r="BN20" s="106">
        <f>+PMGR!BN20+BP!BN20</f>
        <v>0</v>
      </c>
      <c r="BO20" s="106">
        <f>+PMGR!BO20+BP!BO20</f>
        <v>0</v>
      </c>
      <c r="BP20" s="106">
        <f>+PMGR!BP20+BP!BP20</f>
        <v>0</v>
      </c>
      <c r="BQ20" s="106">
        <f t="shared" si="127"/>
        <v>0</v>
      </c>
      <c r="BR20" s="114"/>
      <c r="BS20" s="106">
        <f>+PMGR!BS20+BP!BS20</f>
        <v>0</v>
      </c>
      <c r="BT20" s="106">
        <f>+PMGR!BT20+BP!BT20</f>
        <v>0</v>
      </c>
      <c r="BU20" s="106">
        <f>+PMGR!BU20+BP!BU20</f>
        <v>0</v>
      </c>
      <c r="BV20" s="106">
        <f>+PMGR!BV20+BP!BV20</f>
        <v>0</v>
      </c>
      <c r="BW20" s="106">
        <f>+PMGR!BW20+BP!BW20</f>
        <v>0</v>
      </c>
      <c r="BX20" s="106">
        <f>+PMGR!BX20+BP!BX20</f>
        <v>0</v>
      </c>
      <c r="BY20" s="106">
        <f>+PMGR!BY20+BP!BY20</f>
        <v>0</v>
      </c>
      <c r="BZ20" s="106">
        <f>+PMGR!BZ20+BP!BZ20</f>
        <v>0</v>
      </c>
      <c r="CA20" s="106">
        <f>+PMGR!CA20+BP!CA20</f>
        <v>0</v>
      </c>
      <c r="CB20" s="106">
        <f>+PMGR!CB20+BP!CB20</f>
        <v>0</v>
      </c>
      <c r="CC20" s="106">
        <f>+PMGR!CC20+BP!CC20</f>
        <v>0</v>
      </c>
      <c r="CD20" s="106">
        <f>+PMGR!CD20+BP!CD20</f>
        <v>0</v>
      </c>
      <c r="CE20" s="106">
        <f t="shared" si="117"/>
        <v>0</v>
      </c>
      <c r="CF20" s="106"/>
      <c r="CG20" s="106">
        <f>+PMGR!CG20+BP!CG20</f>
        <v>0</v>
      </c>
      <c r="CH20" s="106">
        <f>+PMGR!CH20+BP!CH20</f>
        <v>0</v>
      </c>
      <c r="CI20" s="106">
        <f>+PMGR!CI20+BP!CI20</f>
        <v>0</v>
      </c>
      <c r="CJ20" s="106">
        <f>+PMGR!CJ20+BP!CJ20</f>
        <v>0</v>
      </c>
      <c r="CK20" s="106">
        <f>+PMGR!CK20+BP!CK20</f>
        <v>0</v>
      </c>
      <c r="CL20" s="106">
        <f>+PMGR!CL20+BP!CL20</f>
        <v>0</v>
      </c>
      <c r="CM20" s="106">
        <f>+PMGR!CM20+BP!CM20</f>
        <v>0</v>
      </c>
      <c r="CN20" s="106">
        <f>+PMGR!CN20+BP!CN20</f>
        <v>0</v>
      </c>
      <c r="CO20" s="106">
        <f>+PMGR!CO20+BP!CO20</f>
        <v>0</v>
      </c>
      <c r="CP20" s="106">
        <f>+PMGR!CP20+BP!CP20</f>
        <v>0</v>
      </c>
      <c r="CQ20" s="106">
        <f>+PMGR!CQ20+BP!CQ20</f>
        <v>0</v>
      </c>
      <c r="CR20" s="106">
        <f>+PMGR!CR20+BP!CR20</f>
        <v>0</v>
      </c>
      <c r="CS20" s="106">
        <f t="shared" si="118"/>
        <v>0</v>
      </c>
      <c r="CT20" s="7" t="str">
        <f t="shared" si="20"/>
        <v>Cost of goods sold - Demo Car</v>
      </c>
      <c r="CU20" s="106">
        <f>+PMGR!CU20+BP!CU20</f>
        <v>0</v>
      </c>
      <c r="CV20" s="106">
        <f>+PMGR!CV20+BP!CV20</f>
        <v>0</v>
      </c>
      <c r="CW20" s="106">
        <f>+PMGR!CW20+BP!CW20</f>
        <v>0</v>
      </c>
      <c r="CX20" s="106">
        <f>+PMGR!CX20+BP!CX20</f>
        <v>0</v>
      </c>
      <c r="CY20" s="106">
        <f>+PMGR!CY20+BP!CY20</f>
        <v>0</v>
      </c>
      <c r="CZ20" s="106">
        <f>+PMGR!CZ20+BP!CZ20</f>
        <v>0</v>
      </c>
      <c r="DA20" s="106">
        <f>+PMGR!DA20+BP!DA20</f>
        <v>0</v>
      </c>
      <c r="DB20" s="106">
        <f>+PMGR!DB20+BP!DB20</f>
        <v>0</v>
      </c>
      <c r="DC20" s="106">
        <f>+PMGR!DC20+BP!DC20</f>
        <v>0</v>
      </c>
      <c r="DD20" s="106">
        <f>+PMGR!DD20+BP!DD20</f>
        <v>0</v>
      </c>
      <c r="DE20" s="106">
        <f>+PMGR!DE20+BP!DE20</f>
        <v>0</v>
      </c>
      <c r="DF20" s="106">
        <f>+PMGR!DF20+BP!DF20</f>
        <v>0</v>
      </c>
      <c r="DG20" s="106">
        <f t="shared" si="119"/>
        <v>0</v>
      </c>
      <c r="DH20" s="106"/>
      <c r="DI20" s="106">
        <f>+PMGR!DI20+BP!DI20</f>
        <v>0</v>
      </c>
      <c r="DJ20" s="106">
        <f>+PMGR!DJ20+BP!DJ20</f>
        <v>0</v>
      </c>
      <c r="DK20" s="106">
        <f>+PMGR!DK20+BP!DK20</f>
        <v>0</v>
      </c>
      <c r="DL20" s="106">
        <f>+PMGR!DL20+BP!DL20</f>
        <v>0</v>
      </c>
      <c r="DM20" s="106">
        <f>+PMGR!DM20+BP!DM20</f>
        <v>0</v>
      </c>
      <c r="DN20" s="106">
        <f>+PMGR!DN20+BP!DN20</f>
        <v>0</v>
      </c>
      <c r="DO20" s="106">
        <f>+PMGR!DO20+BP!DO20</f>
        <v>0</v>
      </c>
      <c r="DP20" s="106">
        <f>+PMGR!DP20+BP!DP20</f>
        <v>0</v>
      </c>
      <c r="DQ20" s="106">
        <f>+PMGR!DQ20+BP!DQ20</f>
        <v>0</v>
      </c>
      <c r="DR20" s="106">
        <f>+PMGR!DR20+BP!DR20</f>
        <v>0</v>
      </c>
      <c r="DS20" s="106">
        <f>+PMGR!DS20+BP!DS20</f>
        <v>0</v>
      </c>
      <c r="DT20" s="106">
        <f>+PMGR!DT20+BP!DT20</f>
        <v>0</v>
      </c>
      <c r="DU20" s="106">
        <f t="shared" si="120"/>
        <v>0</v>
      </c>
      <c r="DV20" s="106"/>
      <c r="DW20" s="106">
        <f>+PMGR!DW20+BP!DW20</f>
        <v>0</v>
      </c>
      <c r="DX20" s="106">
        <f>+PMGR!DX20+BP!DX20</f>
        <v>0</v>
      </c>
      <c r="DY20" s="106">
        <f>+PMGR!DY20+BP!DY20</f>
        <v>0</v>
      </c>
      <c r="DZ20" s="106">
        <f>+PMGR!DZ20+BP!DZ20</f>
        <v>0</v>
      </c>
      <c r="EA20" s="106">
        <f>+PMGR!EA20+BP!EA20</f>
        <v>0</v>
      </c>
      <c r="EB20" s="106">
        <f>+PMGR!EB20+BP!EB20</f>
        <v>0</v>
      </c>
      <c r="EC20" s="106">
        <f>+PMGR!EC20+BP!EC20</f>
        <v>0</v>
      </c>
      <c r="ED20" s="106">
        <f>+PMGR!ED20+BP!ED20</f>
        <v>0</v>
      </c>
      <c r="EE20" s="106">
        <f>+PMGR!EE20+BP!EE20</f>
        <v>0</v>
      </c>
      <c r="EF20" s="106">
        <f>+PMGR!EF20+BP!EF20</f>
        <v>0</v>
      </c>
      <c r="EG20" s="106">
        <f>+PMGR!EG20+BP!EG20</f>
        <v>0</v>
      </c>
      <c r="EH20" s="106">
        <f>+PMGR!EH20+BP!EH20</f>
        <v>0</v>
      </c>
      <c r="EI20" s="106">
        <f t="shared" si="121"/>
        <v>0</v>
      </c>
      <c r="EJ20" s="7" t="str">
        <f t="shared" si="93"/>
        <v>Cost of goods sold - Demo Car</v>
      </c>
      <c r="EK20" s="106">
        <f>+PMGR!EK20+BP!EK20</f>
        <v>0</v>
      </c>
      <c r="EL20" s="106">
        <f>+PMGR!EL20+BP!EL20</f>
        <v>0</v>
      </c>
      <c r="EM20" s="106">
        <f>+PMGR!EM20+BP!EM20</f>
        <v>0</v>
      </c>
      <c r="EN20" s="106">
        <f>+PMGR!EN20+BP!EN20</f>
        <v>0</v>
      </c>
      <c r="EO20" s="106">
        <f>+PMGR!EO20+BP!EO20</f>
        <v>0</v>
      </c>
      <c r="EP20" s="106">
        <f>+PMGR!EP20+BP!EP20</f>
        <v>0</v>
      </c>
      <c r="EQ20" s="106">
        <f>+PMGR!EQ20+BP!EQ20</f>
        <v>0</v>
      </c>
      <c r="ER20" s="106">
        <f>+PMGR!ER20+BP!ER20</f>
        <v>0</v>
      </c>
      <c r="ES20" s="106">
        <f>+PMGR!ES20+BP!ES20</f>
        <v>0</v>
      </c>
      <c r="ET20" s="106">
        <f>+PMGR!ET20+BP!ET20</f>
        <v>0</v>
      </c>
      <c r="EU20" s="106">
        <f>+PMGR!EU20+BP!EU20</f>
        <v>0</v>
      </c>
      <c r="EV20" s="106">
        <f>+PMGR!EV20+BP!EV20</f>
        <v>0</v>
      </c>
      <c r="EW20" s="106">
        <f t="shared" si="122"/>
        <v>0</v>
      </c>
      <c r="EX20" s="106"/>
      <c r="EY20" s="106">
        <f>+PMGR!EY20+BP!EY20</f>
        <v>0</v>
      </c>
      <c r="EZ20" s="106">
        <f>+PMGR!EZ20+BP!EZ20</f>
        <v>0</v>
      </c>
      <c r="FA20" s="106">
        <f>+PMGR!FA20+BP!FA20</f>
        <v>0</v>
      </c>
      <c r="FB20" s="106">
        <f>+PMGR!FB20+BP!FB20</f>
        <v>0</v>
      </c>
      <c r="FC20" s="106">
        <f>+PMGR!FC20+BP!FC20</f>
        <v>0</v>
      </c>
      <c r="FD20" s="106">
        <f>+PMGR!FD20+BP!FD20</f>
        <v>0</v>
      </c>
      <c r="FE20" s="106">
        <f>+PMGR!FE20+BP!FE20</f>
        <v>0</v>
      </c>
      <c r="FF20" s="106">
        <f>+PMGR!FF20+BP!FF20</f>
        <v>0</v>
      </c>
      <c r="FG20" s="106">
        <f>+PMGR!FG20+BP!FG20</f>
        <v>0</v>
      </c>
      <c r="FH20" s="106">
        <f>+PMGR!FH20+BP!FH20</f>
        <v>0</v>
      </c>
      <c r="FI20" s="106">
        <f>+PMGR!FI20+BP!FI20</f>
        <v>0</v>
      </c>
      <c r="FJ20" s="106">
        <f>+PMGR!FJ20+BP!FJ20</f>
        <v>0</v>
      </c>
      <c r="FK20" s="106">
        <f t="shared" si="123"/>
        <v>0</v>
      </c>
    </row>
    <row r="21" spans="1:167" ht="14.45" hidden="1" customHeight="1" outlineLevel="2">
      <c r="A21" s="106">
        <f t="shared" si="124"/>
        <v>0</v>
      </c>
      <c r="B21" s="106">
        <f t="shared" si="110"/>
        <v>0</v>
      </c>
      <c r="C21" s="106">
        <f t="shared" si="110"/>
        <v>0</v>
      </c>
      <c r="D21" s="106">
        <f t="shared" si="110"/>
        <v>0</v>
      </c>
      <c r="E21" s="106">
        <f t="shared" si="110"/>
        <v>0</v>
      </c>
      <c r="F21" s="106">
        <f t="shared" si="110"/>
        <v>0</v>
      </c>
      <c r="G21" s="106">
        <f t="shared" si="110"/>
        <v>0</v>
      </c>
      <c r="H21" s="106">
        <f t="shared" si="110"/>
        <v>0</v>
      </c>
      <c r="I21" s="106">
        <f t="shared" si="110"/>
        <v>0</v>
      </c>
      <c r="J21" s="106">
        <f t="shared" si="110"/>
        <v>0</v>
      </c>
      <c r="K21" s="106">
        <f t="shared" si="110"/>
        <v>0</v>
      </c>
      <c r="L21" s="106">
        <f t="shared" si="110"/>
        <v>0</v>
      </c>
      <c r="M21" s="106">
        <f t="shared" si="73"/>
        <v>0</v>
      </c>
      <c r="N21" s="7" t="s">
        <v>19</v>
      </c>
      <c r="O21" s="106">
        <f t="shared" si="125"/>
        <v>0</v>
      </c>
      <c r="P21" s="106">
        <f t="shared" si="111"/>
        <v>0</v>
      </c>
      <c r="Q21" s="106">
        <f t="shared" si="111"/>
        <v>0</v>
      </c>
      <c r="R21" s="106">
        <f t="shared" si="111"/>
        <v>0</v>
      </c>
      <c r="S21" s="106">
        <f t="shared" si="111"/>
        <v>0</v>
      </c>
      <c r="T21" s="106">
        <f t="shared" si="111"/>
        <v>0</v>
      </c>
      <c r="U21" s="106">
        <f t="shared" si="111"/>
        <v>0</v>
      </c>
      <c r="V21" s="106">
        <f t="shared" si="111"/>
        <v>0</v>
      </c>
      <c r="W21" s="106">
        <f t="shared" si="111"/>
        <v>0</v>
      </c>
      <c r="X21" s="106">
        <f t="shared" si="111"/>
        <v>0</v>
      </c>
      <c r="Y21" s="106">
        <f t="shared" si="111"/>
        <v>0</v>
      </c>
      <c r="Z21" s="106">
        <f t="shared" si="111"/>
        <v>0</v>
      </c>
      <c r="AA21" s="106">
        <f t="shared" si="112"/>
        <v>0</v>
      </c>
      <c r="AB21" s="106"/>
      <c r="AC21" s="106">
        <f t="shared" si="126"/>
        <v>0</v>
      </c>
      <c r="AD21" s="106">
        <f t="shared" si="113"/>
        <v>0</v>
      </c>
      <c r="AE21" s="106">
        <f t="shared" si="113"/>
        <v>0</v>
      </c>
      <c r="AF21" s="106">
        <f t="shared" si="113"/>
        <v>0</v>
      </c>
      <c r="AG21" s="106">
        <f t="shared" si="113"/>
        <v>0</v>
      </c>
      <c r="AH21" s="106">
        <f t="shared" si="113"/>
        <v>0</v>
      </c>
      <c r="AI21" s="106">
        <f t="shared" si="113"/>
        <v>0</v>
      </c>
      <c r="AJ21" s="106">
        <f t="shared" si="113"/>
        <v>0</v>
      </c>
      <c r="AK21" s="106">
        <f t="shared" si="113"/>
        <v>0</v>
      </c>
      <c r="AL21" s="106">
        <f t="shared" si="113"/>
        <v>0</v>
      </c>
      <c r="AM21" s="106">
        <f t="shared" si="113"/>
        <v>0</v>
      </c>
      <c r="AN21" s="106">
        <f t="shared" si="113"/>
        <v>0</v>
      </c>
      <c r="AO21" s="106">
        <f t="shared" si="114"/>
        <v>0</v>
      </c>
      <c r="AP21" s="106"/>
      <c r="AQ21" s="106">
        <f>+PMGR!AQ21+BP!AQ21</f>
        <v>0</v>
      </c>
      <c r="AR21" s="106">
        <f>+PMGR!AR21+BP!AR21</f>
        <v>0</v>
      </c>
      <c r="AS21" s="106">
        <f>+PMGR!AS21+BP!AS21</f>
        <v>0</v>
      </c>
      <c r="AT21" s="106">
        <f>+PMGR!AT21+BP!AT21</f>
        <v>0</v>
      </c>
      <c r="AU21" s="106">
        <f>+PMGR!AU21+BP!AU21</f>
        <v>0</v>
      </c>
      <c r="AV21" s="106">
        <f>+PMGR!AV21+BP!AV21</f>
        <v>0</v>
      </c>
      <c r="AW21" s="106">
        <f>+PMGR!AW21+BP!AW21</f>
        <v>0</v>
      </c>
      <c r="AX21" s="106">
        <f>+PMGR!AX21+BP!AX21</f>
        <v>0</v>
      </c>
      <c r="AY21" s="106">
        <f>+PMGR!AY21+BP!AY21</f>
        <v>0</v>
      </c>
      <c r="AZ21" s="106">
        <f>+PMGR!AZ21+BP!AZ21</f>
        <v>0</v>
      </c>
      <c r="BA21" s="106">
        <f>+PMGR!BA21+BP!BA21</f>
        <v>0</v>
      </c>
      <c r="BB21" s="106">
        <f>+PMGR!BB21+BP!BB21</f>
        <v>0</v>
      </c>
      <c r="BC21" s="106">
        <f t="shared" si="115"/>
        <v>0</v>
      </c>
      <c r="BD21" s="7" t="str">
        <f t="shared" si="16"/>
        <v>Trade Discount</v>
      </c>
      <c r="BE21" s="106">
        <f>+PMGR!BE21+BP!BE21</f>
        <v>0</v>
      </c>
      <c r="BF21" s="106">
        <f>+PMGR!BF21+BP!BF21</f>
        <v>0</v>
      </c>
      <c r="BG21" s="106">
        <f>+PMGR!BG21+BP!BG21</f>
        <v>0</v>
      </c>
      <c r="BH21" s="106">
        <f>+PMGR!BH21+BP!BH21</f>
        <v>0</v>
      </c>
      <c r="BI21" s="106">
        <f>+PMGR!BI21+BP!BI21</f>
        <v>0</v>
      </c>
      <c r="BJ21" s="106">
        <f>+PMGR!BJ21+BP!BJ21</f>
        <v>0</v>
      </c>
      <c r="BK21" s="106">
        <f>+PMGR!BK21+BP!BK21</f>
        <v>0</v>
      </c>
      <c r="BL21" s="106">
        <f>+PMGR!BL21+BP!BL21</f>
        <v>0</v>
      </c>
      <c r="BM21" s="106">
        <f>+PMGR!BM21+BP!BM21</f>
        <v>0</v>
      </c>
      <c r="BN21" s="106">
        <f>+PMGR!BN21+BP!BN21</f>
        <v>0</v>
      </c>
      <c r="BO21" s="106">
        <f>+PMGR!BO21+BP!BO21</f>
        <v>0</v>
      </c>
      <c r="BP21" s="106">
        <f>+PMGR!BP21+BP!BP21</f>
        <v>0</v>
      </c>
      <c r="BQ21" s="106">
        <f t="shared" si="127"/>
        <v>0</v>
      </c>
      <c r="BR21" s="114"/>
      <c r="BS21" s="106">
        <f>+PMGR!BS21+BP!BS21</f>
        <v>0</v>
      </c>
      <c r="BT21" s="106">
        <f>+PMGR!BT21+BP!BT21</f>
        <v>0</v>
      </c>
      <c r="BU21" s="106">
        <f>+PMGR!BU21+BP!BU21</f>
        <v>0</v>
      </c>
      <c r="BV21" s="106">
        <f>+PMGR!BV21+BP!BV21</f>
        <v>0</v>
      </c>
      <c r="BW21" s="106">
        <f>+PMGR!BW21+BP!BW21</f>
        <v>0</v>
      </c>
      <c r="BX21" s="106">
        <f>+PMGR!BX21+BP!BX21</f>
        <v>0</v>
      </c>
      <c r="BY21" s="106">
        <f>+PMGR!BY21+BP!BY21</f>
        <v>0</v>
      </c>
      <c r="BZ21" s="106">
        <f>+PMGR!BZ21+BP!BZ21</f>
        <v>0</v>
      </c>
      <c r="CA21" s="106">
        <f>+PMGR!CA21+BP!CA21</f>
        <v>0</v>
      </c>
      <c r="CB21" s="106">
        <f>+PMGR!CB21+BP!CB21</f>
        <v>0</v>
      </c>
      <c r="CC21" s="106">
        <f>+PMGR!CC21+BP!CC21</f>
        <v>0</v>
      </c>
      <c r="CD21" s="106">
        <f>+PMGR!CD21+BP!CD21</f>
        <v>0</v>
      </c>
      <c r="CE21" s="106">
        <f t="shared" si="117"/>
        <v>0</v>
      </c>
      <c r="CF21" s="106"/>
      <c r="CG21" s="106">
        <f>+PMGR!CG21+BP!CG21</f>
        <v>0</v>
      </c>
      <c r="CH21" s="106">
        <f>+PMGR!CH21+BP!CH21</f>
        <v>0</v>
      </c>
      <c r="CI21" s="106">
        <f>+PMGR!CI21+BP!CI21</f>
        <v>0</v>
      </c>
      <c r="CJ21" s="106">
        <f>+PMGR!CJ21+BP!CJ21</f>
        <v>0</v>
      </c>
      <c r="CK21" s="106">
        <f>+PMGR!CK21+BP!CK21</f>
        <v>0</v>
      </c>
      <c r="CL21" s="106">
        <f>+PMGR!CL21+BP!CL21</f>
        <v>0</v>
      </c>
      <c r="CM21" s="106">
        <f>+PMGR!CM21+BP!CM21</f>
        <v>0</v>
      </c>
      <c r="CN21" s="106">
        <f>+PMGR!CN21+BP!CN21</f>
        <v>0</v>
      </c>
      <c r="CO21" s="106">
        <f>+PMGR!CO21+BP!CO21</f>
        <v>0</v>
      </c>
      <c r="CP21" s="106">
        <f>+PMGR!CP21+BP!CP21</f>
        <v>0</v>
      </c>
      <c r="CQ21" s="106">
        <f>+PMGR!CQ21+BP!CQ21</f>
        <v>0</v>
      </c>
      <c r="CR21" s="106">
        <f>+PMGR!CR21+BP!CR21</f>
        <v>0</v>
      </c>
      <c r="CS21" s="106">
        <f t="shared" si="118"/>
        <v>0</v>
      </c>
      <c r="CT21" s="7" t="str">
        <f t="shared" si="20"/>
        <v>Trade Discount</v>
      </c>
      <c r="CU21" s="106">
        <f>+PMGR!CU21+BP!CU21</f>
        <v>0</v>
      </c>
      <c r="CV21" s="106">
        <f>+PMGR!CV21+BP!CV21</f>
        <v>0</v>
      </c>
      <c r="CW21" s="106">
        <f>+PMGR!CW21+BP!CW21</f>
        <v>0</v>
      </c>
      <c r="CX21" s="106">
        <f>+PMGR!CX21+BP!CX21</f>
        <v>0</v>
      </c>
      <c r="CY21" s="106">
        <f>+PMGR!CY21+BP!CY21</f>
        <v>0</v>
      </c>
      <c r="CZ21" s="106">
        <f>+PMGR!CZ21+BP!CZ21</f>
        <v>0</v>
      </c>
      <c r="DA21" s="106">
        <f>+PMGR!DA21+BP!DA21</f>
        <v>0</v>
      </c>
      <c r="DB21" s="106">
        <f>+PMGR!DB21+BP!DB21</f>
        <v>0</v>
      </c>
      <c r="DC21" s="106">
        <f>+PMGR!DC21+BP!DC21</f>
        <v>0</v>
      </c>
      <c r="DD21" s="106">
        <f>+PMGR!DD21+BP!DD21</f>
        <v>0</v>
      </c>
      <c r="DE21" s="106">
        <f>+PMGR!DE21+BP!DE21</f>
        <v>0</v>
      </c>
      <c r="DF21" s="106">
        <f>+PMGR!DF21+BP!DF21</f>
        <v>0</v>
      </c>
      <c r="DG21" s="106">
        <f t="shared" si="119"/>
        <v>0</v>
      </c>
      <c r="DH21" s="106"/>
      <c r="DI21" s="106">
        <f>+PMGR!DI21+BP!DI21</f>
        <v>0</v>
      </c>
      <c r="DJ21" s="106">
        <f>+PMGR!DJ21+BP!DJ21</f>
        <v>0</v>
      </c>
      <c r="DK21" s="106">
        <f>+PMGR!DK21+BP!DK21</f>
        <v>0</v>
      </c>
      <c r="DL21" s="106">
        <f>+PMGR!DL21+BP!DL21</f>
        <v>0</v>
      </c>
      <c r="DM21" s="106">
        <f>+PMGR!DM21+BP!DM21</f>
        <v>0</v>
      </c>
      <c r="DN21" s="106">
        <f>+PMGR!DN21+BP!DN21</f>
        <v>0</v>
      </c>
      <c r="DO21" s="106">
        <f>+PMGR!DO21+BP!DO21</f>
        <v>0</v>
      </c>
      <c r="DP21" s="106">
        <f>+PMGR!DP21+BP!DP21</f>
        <v>0</v>
      </c>
      <c r="DQ21" s="106">
        <f>+PMGR!DQ21+BP!DQ21</f>
        <v>0</v>
      </c>
      <c r="DR21" s="106">
        <f>+PMGR!DR21+BP!DR21</f>
        <v>0</v>
      </c>
      <c r="DS21" s="106">
        <f>+PMGR!DS21+BP!DS21</f>
        <v>0</v>
      </c>
      <c r="DT21" s="106">
        <f>+PMGR!DT21+BP!DT21</f>
        <v>0</v>
      </c>
      <c r="DU21" s="106">
        <f t="shared" si="120"/>
        <v>0</v>
      </c>
      <c r="DV21" s="106"/>
      <c r="DW21" s="106">
        <f>+PMGR!DW21+BP!DW21</f>
        <v>0</v>
      </c>
      <c r="DX21" s="106">
        <f>+PMGR!DX21+BP!DX21</f>
        <v>0</v>
      </c>
      <c r="DY21" s="106">
        <f>+PMGR!DY21+BP!DY21</f>
        <v>0</v>
      </c>
      <c r="DZ21" s="106">
        <f>+PMGR!DZ21+BP!DZ21</f>
        <v>0</v>
      </c>
      <c r="EA21" s="106">
        <f>+PMGR!EA21+BP!EA21</f>
        <v>0</v>
      </c>
      <c r="EB21" s="106">
        <f>+PMGR!EB21+BP!EB21</f>
        <v>0</v>
      </c>
      <c r="EC21" s="106">
        <f>+PMGR!EC21+BP!EC21</f>
        <v>0</v>
      </c>
      <c r="ED21" s="106">
        <f>+PMGR!ED21+BP!ED21</f>
        <v>0</v>
      </c>
      <c r="EE21" s="106">
        <f>+PMGR!EE21+BP!EE21</f>
        <v>0</v>
      </c>
      <c r="EF21" s="106">
        <f>+PMGR!EF21+BP!EF21</f>
        <v>0</v>
      </c>
      <c r="EG21" s="106">
        <f>+PMGR!EG21+BP!EG21</f>
        <v>0</v>
      </c>
      <c r="EH21" s="106">
        <f>+PMGR!EH21+BP!EH21</f>
        <v>0</v>
      </c>
      <c r="EI21" s="106">
        <f t="shared" si="121"/>
        <v>0</v>
      </c>
      <c r="EJ21" s="7" t="str">
        <f t="shared" si="93"/>
        <v>Trade Discount</v>
      </c>
      <c r="EK21" s="106">
        <f>+PMGR!EK21+BP!EK21</f>
        <v>0</v>
      </c>
      <c r="EL21" s="106">
        <f>+PMGR!EL21+BP!EL21</f>
        <v>0</v>
      </c>
      <c r="EM21" s="106">
        <f>+PMGR!EM21+BP!EM21</f>
        <v>0</v>
      </c>
      <c r="EN21" s="106">
        <f>+PMGR!EN21+BP!EN21</f>
        <v>0</v>
      </c>
      <c r="EO21" s="106">
        <f>+PMGR!EO21+BP!EO21</f>
        <v>0</v>
      </c>
      <c r="EP21" s="106">
        <f>+PMGR!EP21+BP!EP21</f>
        <v>0</v>
      </c>
      <c r="EQ21" s="106">
        <f>+PMGR!EQ21+BP!EQ21</f>
        <v>0</v>
      </c>
      <c r="ER21" s="106">
        <f>+PMGR!ER21+BP!ER21</f>
        <v>0</v>
      </c>
      <c r="ES21" s="106">
        <f>+PMGR!ES21+BP!ES21</f>
        <v>0</v>
      </c>
      <c r="ET21" s="106">
        <f>+PMGR!ET21+BP!ET21</f>
        <v>0</v>
      </c>
      <c r="EU21" s="106">
        <f>+PMGR!EU21+BP!EU21</f>
        <v>0</v>
      </c>
      <c r="EV21" s="106">
        <f>+PMGR!EV21+BP!EV21</f>
        <v>0</v>
      </c>
      <c r="EW21" s="106">
        <f t="shared" si="122"/>
        <v>0</v>
      </c>
      <c r="EX21" s="106"/>
      <c r="EY21" s="106">
        <f>+PMGR!EY21+BP!EY21</f>
        <v>0</v>
      </c>
      <c r="EZ21" s="106">
        <f>+PMGR!EZ21+BP!EZ21</f>
        <v>0</v>
      </c>
      <c r="FA21" s="106">
        <f>+PMGR!FA21+BP!FA21</f>
        <v>0</v>
      </c>
      <c r="FB21" s="106">
        <f>+PMGR!FB21+BP!FB21</f>
        <v>0</v>
      </c>
      <c r="FC21" s="106">
        <f>+PMGR!FC21+BP!FC21</f>
        <v>0</v>
      </c>
      <c r="FD21" s="106">
        <f>+PMGR!FD21+BP!FD21</f>
        <v>0</v>
      </c>
      <c r="FE21" s="106">
        <f>+PMGR!FE21+BP!FE21</f>
        <v>0</v>
      </c>
      <c r="FF21" s="106">
        <f>+PMGR!FF21+BP!FF21</f>
        <v>0</v>
      </c>
      <c r="FG21" s="106">
        <f>+PMGR!FG21+BP!FG21</f>
        <v>0</v>
      </c>
      <c r="FH21" s="106">
        <f>+PMGR!FH21+BP!FH21</f>
        <v>0</v>
      </c>
      <c r="FI21" s="106">
        <f>+PMGR!FI21+BP!FI21</f>
        <v>0</v>
      </c>
      <c r="FJ21" s="106">
        <f>+PMGR!FJ21+BP!FJ21</f>
        <v>0</v>
      </c>
      <c r="FK21" s="106">
        <f t="shared" si="123"/>
        <v>0</v>
      </c>
    </row>
    <row r="22" spans="1:167" ht="14.45" hidden="1" customHeight="1" outlineLevel="2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8" t="s">
        <v>243</v>
      </c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8" t="str">
        <f t="shared" si="16"/>
        <v xml:space="preserve">Sales Used Car </v>
      </c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14"/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  <c r="CF22" s="106"/>
      <c r="CG22" s="106"/>
      <c r="CH22" s="106"/>
      <c r="CI22" s="106"/>
      <c r="CJ22" s="106"/>
      <c r="CK22" s="106"/>
      <c r="CL22" s="106"/>
      <c r="CM22" s="106"/>
      <c r="CN22" s="106"/>
      <c r="CO22" s="106"/>
      <c r="CP22" s="106"/>
      <c r="CQ22" s="106"/>
      <c r="CR22" s="106"/>
      <c r="CS22" s="106"/>
      <c r="CT22" s="8" t="str">
        <f t="shared" si="20"/>
        <v xml:space="preserve">Sales Used Car </v>
      </c>
      <c r="CU22" s="106"/>
      <c r="CV22" s="106"/>
      <c r="CW22" s="106"/>
      <c r="CX22" s="106"/>
      <c r="CY22" s="106"/>
      <c r="CZ22" s="106"/>
      <c r="DA22" s="106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6"/>
      <c r="DO22" s="106"/>
      <c r="DP22" s="106"/>
      <c r="DQ22" s="106"/>
      <c r="DR22" s="106"/>
      <c r="DS22" s="106"/>
      <c r="DT22" s="106"/>
      <c r="DU22" s="106"/>
      <c r="DV22" s="106"/>
      <c r="DW22" s="106"/>
      <c r="DX22" s="106"/>
      <c r="DY22" s="106"/>
      <c r="DZ22" s="106"/>
      <c r="EA22" s="106"/>
      <c r="EB22" s="106"/>
      <c r="EC22" s="106"/>
      <c r="ED22" s="106"/>
      <c r="EE22" s="106"/>
      <c r="EF22" s="106"/>
      <c r="EG22" s="106"/>
      <c r="EH22" s="106"/>
      <c r="EI22" s="106"/>
      <c r="EJ22" s="8" t="str">
        <f t="shared" si="93"/>
        <v xml:space="preserve">Sales Used Car </v>
      </c>
      <c r="EK22" s="106"/>
      <c r="EL22" s="106"/>
      <c r="EM22" s="106"/>
      <c r="EN22" s="106"/>
      <c r="EO22" s="106"/>
      <c r="EP22" s="106"/>
      <c r="EQ22" s="106"/>
      <c r="ER22" s="106"/>
      <c r="ES22" s="106"/>
      <c r="ET22" s="106"/>
      <c r="EU22" s="106"/>
      <c r="EV22" s="106"/>
      <c r="EW22" s="106"/>
      <c r="EX22" s="106"/>
      <c r="EY22" s="106"/>
      <c r="EZ22" s="106"/>
      <c r="FA22" s="106"/>
      <c r="FB22" s="106"/>
      <c r="FC22" s="106"/>
      <c r="FD22" s="106"/>
      <c r="FE22" s="106"/>
      <c r="FF22" s="106"/>
      <c r="FG22" s="106"/>
      <c r="FH22" s="106"/>
      <c r="FI22" s="106"/>
      <c r="FJ22" s="106"/>
      <c r="FK22" s="106"/>
    </row>
    <row r="23" spans="1:167" ht="14.45" hidden="1" customHeight="1" outlineLevel="2">
      <c r="A23" s="105">
        <f>+AQ23+CG23+DW23</f>
        <v>0</v>
      </c>
      <c r="B23" s="105">
        <f t="shared" ref="B23:L26" si="128">+AR23+CH23+DX23</f>
        <v>0</v>
      </c>
      <c r="C23" s="105">
        <f t="shared" si="128"/>
        <v>0</v>
      </c>
      <c r="D23" s="105">
        <f t="shared" si="128"/>
        <v>0</v>
      </c>
      <c r="E23" s="105">
        <f t="shared" si="128"/>
        <v>0</v>
      </c>
      <c r="F23" s="105">
        <f t="shared" si="128"/>
        <v>0</v>
      </c>
      <c r="G23" s="105">
        <f t="shared" si="128"/>
        <v>0</v>
      </c>
      <c r="H23" s="105">
        <f t="shared" si="128"/>
        <v>0</v>
      </c>
      <c r="I23" s="105">
        <f t="shared" si="128"/>
        <v>0</v>
      </c>
      <c r="J23" s="105">
        <f t="shared" si="128"/>
        <v>0</v>
      </c>
      <c r="K23" s="105">
        <f t="shared" si="128"/>
        <v>0</v>
      </c>
      <c r="L23" s="105">
        <f t="shared" si="128"/>
        <v>0</v>
      </c>
      <c r="M23" s="105">
        <f t="shared" si="73"/>
        <v>0</v>
      </c>
      <c r="N23" s="9" t="s">
        <v>16</v>
      </c>
      <c r="O23" s="105">
        <f>+BE23+CU23+EK23</f>
        <v>0</v>
      </c>
      <c r="P23" s="105">
        <f t="shared" ref="P23:Z26" si="129">+BF23+CV23+EL23</f>
        <v>0</v>
      </c>
      <c r="Q23" s="105">
        <f t="shared" si="129"/>
        <v>0</v>
      </c>
      <c r="R23" s="105">
        <f t="shared" si="129"/>
        <v>0</v>
      </c>
      <c r="S23" s="105">
        <f t="shared" si="129"/>
        <v>0</v>
      </c>
      <c r="T23" s="105">
        <f t="shared" si="129"/>
        <v>0</v>
      </c>
      <c r="U23" s="105">
        <f t="shared" si="129"/>
        <v>0</v>
      </c>
      <c r="V23" s="105">
        <f t="shared" si="129"/>
        <v>0</v>
      </c>
      <c r="W23" s="105">
        <f t="shared" si="129"/>
        <v>0</v>
      </c>
      <c r="X23" s="105">
        <f t="shared" si="129"/>
        <v>0</v>
      </c>
      <c r="Y23" s="105">
        <f t="shared" si="129"/>
        <v>0</v>
      </c>
      <c r="Z23" s="105">
        <f t="shared" si="129"/>
        <v>0</v>
      </c>
      <c r="AA23" s="105">
        <f t="shared" ref="AA23:AA26" si="130">+SUM(O23:Z23)</f>
        <v>0</v>
      </c>
      <c r="AB23" s="106"/>
      <c r="AC23" s="105">
        <f>+BS23+DI23+EY23</f>
        <v>0</v>
      </c>
      <c r="AD23" s="105">
        <f t="shared" ref="AD23:AN26" si="131">+BT23+DJ23+EZ23</f>
        <v>0</v>
      </c>
      <c r="AE23" s="105">
        <f t="shared" si="131"/>
        <v>0</v>
      </c>
      <c r="AF23" s="105">
        <f t="shared" si="131"/>
        <v>0</v>
      </c>
      <c r="AG23" s="105">
        <f t="shared" si="131"/>
        <v>0</v>
      </c>
      <c r="AH23" s="105">
        <f t="shared" si="131"/>
        <v>0</v>
      </c>
      <c r="AI23" s="105">
        <f t="shared" si="131"/>
        <v>0</v>
      </c>
      <c r="AJ23" s="105">
        <f t="shared" si="131"/>
        <v>0</v>
      </c>
      <c r="AK23" s="105">
        <f t="shared" si="131"/>
        <v>0</v>
      </c>
      <c r="AL23" s="105">
        <f t="shared" si="131"/>
        <v>0</v>
      </c>
      <c r="AM23" s="105">
        <f t="shared" si="131"/>
        <v>0</v>
      </c>
      <c r="AN23" s="105">
        <f t="shared" si="131"/>
        <v>0</v>
      </c>
      <c r="AO23" s="105">
        <f t="shared" ref="AO23:AO26" si="132">+SUM(AC23:AN23)</f>
        <v>0</v>
      </c>
      <c r="AP23" s="106"/>
      <c r="AQ23" s="105">
        <f>+PMGR!AQ23+BP!AQ23</f>
        <v>0</v>
      </c>
      <c r="AR23" s="105">
        <f>+PMGR!AR23+BP!AR23</f>
        <v>0</v>
      </c>
      <c r="AS23" s="105">
        <f>+PMGR!AS23+BP!AS23</f>
        <v>0</v>
      </c>
      <c r="AT23" s="105">
        <f>+PMGR!AT23+BP!AT23</f>
        <v>0</v>
      </c>
      <c r="AU23" s="105">
        <f>+PMGR!AU23+BP!AU23</f>
        <v>0</v>
      </c>
      <c r="AV23" s="105">
        <f>+PMGR!AV23+BP!AV23</f>
        <v>0</v>
      </c>
      <c r="AW23" s="105">
        <f>+PMGR!AW23+BP!AW23</f>
        <v>0</v>
      </c>
      <c r="AX23" s="105">
        <f>+PMGR!AX23+BP!AX23</f>
        <v>0</v>
      </c>
      <c r="AY23" s="105">
        <f>+PMGR!AY23+BP!AY23</f>
        <v>0</v>
      </c>
      <c r="AZ23" s="105">
        <f>+PMGR!AZ23+BP!AZ23</f>
        <v>0</v>
      </c>
      <c r="BA23" s="105">
        <f>+PMGR!BA23+BP!BA23</f>
        <v>0</v>
      </c>
      <c r="BB23" s="105">
        <f>+PMGR!BB23+BP!BB23</f>
        <v>0</v>
      </c>
      <c r="BC23" s="105">
        <f t="shared" ref="BC23:BC26" si="133">+SUM(AQ23:BB23)</f>
        <v>0</v>
      </c>
      <c r="BD23" s="9" t="str">
        <f t="shared" si="16"/>
        <v>No of Cars Sold</v>
      </c>
      <c r="BE23" s="105">
        <f>+PMGR!BE23+BP!BE23</f>
        <v>0</v>
      </c>
      <c r="BF23" s="105">
        <f>+PMGR!BF23+BP!BF23</f>
        <v>0</v>
      </c>
      <c r="BG23" s="105">
        <f>+PMGR!BG23+BP!BG23</f>
        <v>0</v>
      </c>
      <c r="BH23" s="105">
        <f>+PMGR!BH23+BP!BH23</f>
        <v>0</v>
      </c>
      <c r="BI23" s="105">
        <f>+PMGR!BI23+BP!BI23</f>
        <v>0</v>
      </c>
      <c r="BJ23" s="105">
        <f>+PMGR!BJ23+BP!BJ23</f>
        <v>0</v>
      </c>
      <c r="BK23" s="105">
        <f>+PMGR!BK23+BP!BK23</f>
        <v>0</v>
      </c>
      <c r="BL23" s="105">
        <f>+PMGR!BL23+BP!BL23</f>
        <v>0</v>
      </c>
      <c r="BM23" s="105">
        <f>+PMGR!BM23+BP!BM23</f>
        <v>0</v>
      </c>
      <c r="BN23" s="105">
        <f>+PMGR!BN23+BP!BN23</f>
        <v>0</v>
      </c>
      <c r="BO23" s="105">
        <f>+PMGR!BO23+BP!BO23</f>
        <v>0</v>
      </c>
      <c r="BP23" s="105">
        <f>+PMGR!BP23+BP!BP23</f>
        <v>0</v>
      </c>
      <c r="BQ23" s="105">
        <f t="shared" ref="BQ23:BQ26" si="134">+SUM(BE23:BP23)</f>
        <v>0</v>
      </c>
      <c r="BR23" s="114"/>
      <c r="BS23" s="105">
        <f>+PMGR!BS23+BP!BS23</f>
        <v>0</v>
      </c>
      <c r="BT23" s="105">
        <f>+PMGR!BT23+BP!BT23</f>
        <v>0</v>
      </c>
      <c r="BU23" s="105">
        <f>+PMGR!BU23+BP!BU23</f>
        <v>0</v>
      </c>
      <c r="BV23" s="105">
        <f>+PMGR!BV23+BP!BV23</f>
        <v>0</v>
      </c>
      <c r="BW23" s="105">
        <f>+PMGR!BW23+BP!BW23</f>
        <v>0</v>
      </c>
      <c r="BX23" s="105">
        <f>+PMGR!BX23+BP!BX23</f>
        <v>0</v>
      </c>
      <c r="BY23" s="105">
        <f>+PMGR!BY23+BP!BY23</f>
        <v>0</v>
      </c>
      <c r="BZ23" s="105">
        <f>+PMGR!BZ23+BP!BZ23</f>
        <v>0</v>
      </c>
      <c r="CA23" s="105">
        <f>+PMGR!CA23+BP!CA23</f>
        <v>0</v>
      </c>
      <c r="CB23" s="105">
        <f>+PMGR!CB23+BP!CB23</f>
        <v>0</v>
      </c>
      <c r="CC23" s="105">
        <f>+PMGR!CC23+BP!CC23</f>
        <v>0</v>
      </c>
      <c r="CD23" s="105">
        <f>+PMGR!CD23+BP!CD23</f>
        <v>0</v>
      </c>
      <c r="CE23" s="105">
        <f t="shared" ref="CE23:CE26" si="135">+SUM(BS23:CD23)</f>
        <v>0</v>
      </c>
      <c r="CF23" s="106"/>
      <c r="CG23" s="105">
        <f>+PMGR!CG23+BP!CG23</f>
        <v>0</v>
      </c>
      <c r="CH23" s="105">
        <f>+PMGR!CH23+BP!CH23</f>
        <v>0</v>
      </c>
      <c r="CI23" s="105">
        <f>+PMGR!CI23+BP!CI23</f>
        <v>0</v>
      </c>
      <c r="CJ23" s="105">
        <f>+PMGR!CJ23+BP!CJ23</f>
        <v>0</v>
      </c>
      <c r="CK23" s="105">
        <f>+PMGR!CK23+BP!CK23</f>
        <v>0</v>
      </c>
      <c r="CL23" s="105">
        <f>+PMGR!CL23+BP!CL23</f>
        <v>0</v>
      </c>
      <c r="CM23" s="105">
        <f>+PMGR!CM23+BP!CM23</f>
        <v>0</v>
      </c>
      <c r="CN23" s="105">
        <f>+PMGR!CN23+BP!CN23</f>
        <v>0</v>
      </c>
      <c r="CO23" s="105">
        <f>+PMGR!CO23+BP!CO23</f>
        <v>0</v>
      </c>
      <c r="CP23" s="105">
        <f>+PMGR!CP23+BP!CP23</f>
        <v>0</v>
      </c>
      <c r="CQ23" s="105">
        <f>+PMGR!CQ23+BP!CQ23</f>
        <v>0</v>
      </c>
      <c r="CR23" s="105">
        <f>+PMGR!CR23+BP!CR23</f>
        <v>0</v>
      </c>
      <c r="CS23" s="105">
        <f t="shared" ref="CS23:CS26" si="136">+SUM(CG23:CR23)</f>
        <v>0</v>
      </c>
      <c r="CT23" s="9" t="str">
        <f t="shared" si="20"/>
        <v>No of Cars Sold</v>
      </c>
      <c r="CU23" s="105">
        <f>+PMGR!CU23+BP!CU23</f>
        <v>0</v>
      </c>
      <c r="CV23" s="105">
        <f>+PMGR!CV23+BP!CV23</f>
        <v>0</v>
      </c>
      <c r="CW23" s="105">
        <f>+PMGR!CW23+BP!CW23</f>
        <v>0</v>
      </c>
      <c r="CX23" s="105">
        <f>+PMGR!CX23+BP!CX23</f>
        <v>0</v>
      </c>
      <c r="CY23" s="105">
        <f>+PMGR!CY23+BP!CY23</f>
        <v>0</v>
      </c>
      <c r="CZ23" s="105">
        <f>+PMGR!CZ23+BP!CZ23</f>
        <v>0</v>
      </c>
      <c r="DA23" s="105">
        <f>+PMGR!DA23+BP!DA23</f>
        <v>0</v>
      </c>
      <c r="DB23" s="105">
        <f>+PMGR!DB23+BP!DB23</f>
        <v>0</v>
      </c>
      <c r="DC23" s="105">
        <f>+PMGR!DC23+BP!DC23</f>
        <v>0</v>
      </c>
      <c r="DD23" s="105">
        <f>+PMGR!DD23+BP!DD23</f>
        <v>0</v>
      </c>
      <c r="DE23" s="105">
        <f>+PMGR!DE23+BP!DE23</f>
        <v>0</v>
      </c>
      <c r="DF23" s="105">
        <f>+PMGR!DF23+BP!DF23</f>
        <v>0</v>
      </c>
      <c r="DG23" s="105">
        <f t="shared" ref="DG23:DG26" si="137">+SUM(CU23:DF23)</f>
        <v>0</v>
      </c>
      <c r="DH23" s="106"/>
      <c r="DI23" s="105">
        <f>+PMGR!DI23+BP!DI23</f>
        <v>0</v>
      </c>
      <c r="DJ23" s="105">
        <f>+PMGR!DJ23+BP!DJ23</f>
        <v>0</v>
      </c>
      <c r="DK23" s="105">
        <f>+PMGR!DK23+BP!DK23</f>
        <v>0</v>
      </c>
      <c r="DL23" s="105">
        <f>+PMGR!DL23+BP!DL23</f>
        <v>0</v>
      </c>
      <c r="DM23" s="105">
        <f>+PMGR!DM23+BP!DM23</f>
        <v>0</v>
      </c>
      <c r="DN23" s="105">
        <f>+PMGR!DN23+BP!DN23</f>
        <v>0</v>
      </c>
      <c r="DO23" s="105">
        <f>+PMGR!DO23+BP!DO23</f>
        <v>0</v>
      </c>
      <c r="DP23" s="105">
        <f>+PMGR!DP23+BP!DP23</f>
        <v>0</v>
      </c>
      <c r="DQ23" s="105">
        <f>+PMGR!DQ23+BP!DQ23</f>
        <v>0</v>
      </c>
      <c r="DR23" s="105">
        <f>+PMGR!DR23+BP!DR23</f>
        <v>0</v>
      </c>
      <c r="DS23" s="105">
        <f>+PMGR!DS23+BP!DS23</f>
        <v>0</v>
      </c>
      <c r="DT23" s="105">
        <f>+PMGR!DT23+BP!DT23</f>
        <v>0</v>
      </c>
      <c r="DU23" s="105">
        <f t="shared" ref="DU23:DU26" si="138">+SUM(DI23:DT23)</f>
        <v>0</v>
      </c>
      <c r="DV23" s="106"/>
      <c r="DW23" s="105">
        <f>+PMGR!DW23+BP!DW23</f>
        <v>0</v>
      </c>
      <c r="DX23" s="105">
        <f>+PMGR!DX23+BP!DX23</f>
        <v>0</v>
      </c>
      <c r="DY23" s="105">
        <f>+PMGR!DY23+BP!DY23</f>
        <v>0</v>
      </c>
      <c r="DZ23" s="105">
        <f>+PMGR!DZ23+BP!DZ23</f>
        <v>0</v>
      </c>
      <c r="EA23" s="105">
        <f>+PMGR!EA23+BP!EA23</f>
        <v>0</v>
      </c>
      <c r="EB23" s="105">
        <f>+PMGR!EB23+BP!EB23</f>
        <v>0</v>
      </c>
      <c r="EC23" s="105">
        <f>+PMGR!EC23+BP!EC23</f>
        <v>0</v>
      </c>
      <c r="ED23" s="105">
        <f>+PMGR!ED23+BP!ED23</f>
        <v>0</v>
      </c>
      <c r="EE23" s="105">
        <f>+PMGR!EE23+BP!EE23</f>
        <v>0</v>
      </c>
      <c r="EF23" s="105">
        <f>+PMGR!EF23+BP!EF23</f>
        <v>0</v>
      </c>
      <c r="EG23" s="105">
        <f>+PMGR!EG23+BP!EG23</f>
        <v>0</v>
      </c>
      <c r="EH23" s="105">
        <f>+PMGR!EH23+BP!EH23</f>
        <v>0</v>
      </c>
      <c r="EI23" s="105">
        <f t="shared" ref="EI23:EI26" si="139">+SUM(DW23:EH23)</f>
        <v>0</v>
      </c>
      <c r="EJ23" s="9" t="str">
        <f t="shared" si="93"/>
        <v>No of Cars Sold</v>
      </c>
      <c r="EK23" s="105">
        <f>+PMGR!EK23+BP!EK23</f>
        <v>0</v>
      </c>
      <c r="EL23" s="105">
        <f>+PMGR!EL23+BP!EL23</f>
        <v>0</v>
      </c>
      <c r="EM23" s="105">
        <f>+PMGR!EM23+BP!EM23</f>
        <v>0</v>
      </c>
      <c r="EN23" s="105">
        <f>+PMGR!EN23+BP!EN23</f>
        <v>0</v>
      </c>
      <c r="EO23" s="105">
        <f>+PMGR!EO23+BP!EO23</f>
        <v>0</v>
      </c>
      <c r="EP23" s="105">
        <f>+PMGR!EP23+BP!EP23</f>
        <v>0</v>
      </c>
      <c r="EQ23" s="105">
        <f>+PMGR!EQ23+BP!EQ23</f>
        <v>0</v>
      </c>
      <c r="ER23" s="105">
        <f>+PMGR!ER23+BP!ER23</f>
        <v>0</v>
      </c>
      <c r="ES23" s="105">
        <f>+PMGR!ES23+BP!ES23</f>
        <v>0</v>
      </c>
      <c r="ET23" s="105">
        <f>+PMGR!ET23+BP!ET23</f>
        <v>0</v>
      </c>
      <c r="EU23" s="105">
        <f>+PMGR!EU23+BP!EU23</f>
        <v>0</v>
      </c>
      <c r="EV23" s="105">
        <f>+PMGR!EV23+BP!EV23</f>
        <v>0</v>
      </c>
      <c r="EW23" s="105">
        <f t="shared" ref="EW23:EW26" si="140">+SUM(EK23:EV23)</f>
        <v>0</v>
      </c>
      <c r="EX23" s="106"/>
      <c r="EY23" s="105">
        <f>+PMGR!EY23+BP!EY23</f>
        <v>0</v>
      </c>
      <c r="EZ23" s="105">
        <f>+PMGR!EZ23+BP!EZ23</f>
        <v>0</v>
      </c>
      <c r="FA23" s="105">
        <f>+PMGR!FA23+BP!FA23</f>
        <v>0</v>
      </c>
      <c r="FB23" s="105">
        <f>+PMGR!FB23+BP!FB23</f>
        <v>0</v>
      </c>
      <c r="FC23" s="105">
        <f>+PMGR!FC23+BP!FC23</f>
        <v>0</v>
      </c>
      <c r="FD23" s="105">
        <f>+PMGR!FD23+BP!FD23</f>
        <v>0</v>
      </c>
      <c r="FE23" s="105">
        <f>+PMGR!FE23+BP!FE23</f>
        <v>0</v>
      </c>
      <c r="FF23" s="105">
        <f>+PMGR!FF23+BP!FF23</f>
        <v>0</v>
      </c>
      <c r="FG23" s="105">
        <f>+PMGR!FG23+BP!FG23</f>
        <v>0</v>
      </c>
      <c r="FH23" s="105">
        <f>+PMGR!FH23+BP!FH23</f>
        <v>0</v>
      </c>
      <c r="FI23" s="105">
        <f>+PMGR!FI23+BP!FI23</f>
        <v>0</v>
      </c>
      <c r="FJ23" s="105">
        <f>+PMGR!FJ23+BP!FJ23</f>
        <v>0</v>
      </c>
      <c r="FK23" s="105">
        <f t="shared" ref="FK23:FK26" si="141">+SUM(EY23:FJ23)</f>
        <v>0</v>
      </c>
    </row>
    <row r="24" spans="1:167" ht="14.45" hidden="1" customHeight="1" outlineLevel="2">
      <c r="A24" s="106">
        <f t="shared" ref="A24:A26" si="142">+AQ24+CG24+DW24</f>
        <v>0</v>
      </c>
      <c r="B24" s="106">
        <f t="shared" si="128"/>
        <v>0</v>
      </c>
      <c r="C24" s="106">
        <f t="shared" si="128"/>
        <v>0</v>
      </c>
      <c r="D24" s="106">
        <f t="shared" si="128"/>
        <v>0</v>
      </c>
      <c r="E24" s="106">
        <f t="shared" si="128"/>
        <v>0</v>
      </c>
      <c r="F24" s="106">
        <f t="shared" si="128"/>
        <v>0</v>
      </c>
      <c r="G24" s="106">
        <f t="shared" si="128"/>
        <v>0</v>
      </c>
      <c r="H24" s="106">
        <f t="shared" si="128"/>
        <v>0</v>
      </c>
      <c r="I24" s="106">
        <f t="shared" si="128"/>
        <v>0</v>
      </c>
      <c r="J24" s="106">
        <f t="shared" si="128"/>
        <v>0</v>
      </c>
      <c r="K24" s="106">
        <f t="shared" si="128"/>
        <v>0</v>
      </c>
      <c r="L24" s="106">
        <f t="shared" si="128"/>
        <v>0</v>
      </c>
      <c r="M24" s="106">
        <f t="shared" si="73"/>
        <v>0</v>
      </c>
      <c r="N24" s="7" t="s">
        <v>21</v>
      </c>
      <c r="O24" s="106">
        <f t="shared" ref="O24:O26" si="143">+BE24+CU24+EK24</f>
        <v>0</v>
      </c>
      <c r="P24" s="106">
        <f t="shared" si="129"/>
        <v>0</v>
      </c>
      <c r="Q24" s="106">
        <f t="shared" si="129"/>
        <v>0</v>
      </c>
      <c r="R24" s="106">
        <f t="shared" si="129"/>
        <v>0</v>
      </c>
      <c r="S24" s="106">
        <f t="shared" si="129"/>
        <v>0</v>
      </c>
      <c r="T24" s="106">
        <f t="shared" si="129"/>
        <v>0</v>
      </c>
      <c r="U24" s="106">
        <f t="shared" si="129"/>
        <v>0</v>
      </c>
      <c r="V24" s="106">
        <f t="shared" si="129"/>
        <v>0</v>
      </c>
      <c r="W24" s="106">
        <f t="shared" si="129"/>
        <v>0</v>
      </c>
      <c r="X24" s="106">
        <f t="shared" si="129"/>
        <v>0</v>
      </c>
      <c r="Y24" s="106">
        <f t="shared" si="129"/>
        <v>0</v>
      </c>
      <c r="Z24" s="106">
        <f t="shared" si="129"/>
        <v>0</v>
      </c>
      <c r="AA24" s="106">
        <f t="shared" si="130"/>
        <v>0</v>
      </c>
      <c r="AB24" s="106"/>
      <c r="AC24" s="106">
        <f t="shared" ref="AC24:AC26" si="144">+BS24+DI24+EY24</f>
        <v>0</v>
      </c>
      <c r="AD24" s="106">
        <f t="shared" si="131"/>
        <v>0</v>
      </c>
      <c r="AE24" s="106">
        <f t="shared" si="131"/>
        <v>0</v>
      </c>
      <c r="AF24" s="106">
        <f t="shared" si="131"/>
        <v>0</v>
      </c>
      <c r="AG24" s="106">
        <f t="shared" si="131"/>
        <v>0</v>
      </c>
      <c r="AH24" s="106">
        <f t="shared" si="131"/>
        <v>0</v>
      </c>
      <c r="AI24" s="106">
        <f t="shared" si="131"/>
        <v>0</v>
      </c>
      <c r="AJ24" s="106">
        <f t="shared" si="131"/>
        <v>0</v>
      </c>
      <c r="AK24" s="106">
        <f t="shared" si="131"/>
        <v>0</v>
      </c>
      <c r="AL24" s="106">
        <f t="shared" si="131"/>
        <v>0</v>
      </c>
      <c r="AM24" s="106">
        <f t="shared" si="131"/>
        <v>0</v>
      </c>
      <c r="AN24" s="106">
        <f t="shared" si="131"/>
        <v>0</v>
      </c>
      <c r="AO24" s="106">
        <f t="shared" si="132"/>
        <v>0</v>
      </c>
      <c r="AP24" s="106"/>
      <c r="AQ24" s="106">
        <f>+PMGR!AQ24+BP!AQ24</f>
        <v>0</v>
      </c>
      <c r="AR24" s="106">
        <f>+PMGR!AR24+BP!AR24</f>
        <v>0</v>
      </c>
      <c r="AS24" s="106">
        <f>+PMGR!AS24+BP!AS24</f>
        <v>0</v>
      </c>
      <c r="AT24" s="106">
        <f>+PMGR!AT24+BP!AT24</f>
        <v>0</v>
      </c>
      <c r="AU24" s="106">
        <f>+PMGR!AU24+BP!AU24</f>
        <v>0</v>
      </c>
      <c r="AV24" s="106">
        <f>+PMGR!AV24+BP!AV24</f>
        <v>0</v>
      </c>
      <c r="AW24" s="106">
        <f>+PMGR!AW24+BP!AW24</f>
        <v>0</v>
      </c>
      <c r="AX24" s="106">
        <f>+PMGR!AX24+BP!AX24</f>
        <v>0</v>
      </c>
      <c r="AY24" s="106">
        <f>+PMGR!AY24+BP!AY24</f>
        <v>0</v>
      </c>
      <c r="AZ24" s="106">
        <f>+PMGR!AZ24+BP!AZ24</f>
        <v>0</v>
      </c>
      <c r="BA24" s="106">
        <f>+PMGR!BA24+BP!BA24</f>
        <v>0</v>
      </c>
      <c r="BB24" s="106">
        <f>+PMGR!BB24+BP!BB24</f>
        <v>0</v>
      </c>
      <c r="BC24" s="106">
        <f t="shared" si="133"/>
        <v>0</v>
      </c>
      <c r="BD24" s="7" t="str">
        <f t="shared" si="16"/>
        <v>Turnover,</v>
      </c>
      <c r="BE24" s="106">
        <f>+PMGR!BE24+BP!BE24</f>
        <v>0</v>
      </c>
      <c r="BF24" s="106">
        <f>+PMGR!BF24+BP!BF24</f>
        <v>0</v>
      </c>
      <c r="BG24" s="106">
        <f>+PMGR!BG24+BP!BG24</f>
        <v>0</v>
      </c>
      <c r="BH24" s="106">
        <f>+PMGR!BH24+BP!BH24</f>
        <v>0</v>
      </c>
      <c r="BI24" s="106">
        <f>+PMGR!BI24+BP!BI24</f>
        <v>0</v>
      </c>
      <c r="BJ24" s="106">
        <f>+PMGR!BJ24+BP!BJ24</f>
        <v>0</v>
      </c>
      <c r="BK24" s="106">
        <f>+PMGR!BK24+BP!BK24</f>
        <v>0</v>
      </c>
      <c r="BL24" s="106">
        <f>+PMGR!BL24+BP!BL24</f>
        <v>0</v>
      </c>
      <c r="BM24" s="106">
        <f>+PMGR!BM24+BP!BM24</f>
        <v>0</v>
      </c>
      <c r="BN24" s="106">
        <f>+PMGR!BN24+BP!BN24</f>
        <v>0</v>
      </c>
      <c r="BO24" s="106">
        <f>+PMGR!BO24+BP!BO24</f>
        <v>0</v>
      </c>
      <c r="BP24" s="106">
        <f>+PMGR!BP24+BP!BP24</f>
        <v>0</v>
      </c>
      <c r="BQ24" s="106">
        <f t="shared" si="134"/>
        <v>0</v>
      </c>
      <c r="BR24" s="114"/>
      <c r="BS24" s="106">
        <f>+PMGR!BS24+BP!BS24</f>
        <v>0</v>
      </c>
      <c r="BT24" s="106">
        <f>+PMGR!BT24+BP!BT24</f>
        <v>0</v>
      </c>
      <c r="BU24" s="106">
        <f>+PMGR!BU24+BP!BU24</f>
        <v>0</v>
      </c>
      <c r="BV24" s="106">
        <f>+PMGR!BV24+BP!BV24</f>
        <v>0</v>
      </c>
      <c r="BW24" s="106">
        <f>+PMGR!BW24+BP!BW24</f>
        <v>0</v>
      </c>
      <c r="BX24" s="106">
        <f>+PMGR!BX24+BP!BX24</f>
        <v>0</v>
      </c>
      <c r="BY24" s="106">
        <f>+PMGR!BY24+BP!BY24</f>
        <v>0</v>
      </c>
      <c r="BZ24" s="106">
        <f>+PMGR!BZ24+BP!BZ24</f>
        <v>0</v>
      </c>
      <c r="CA24" s="106">
        <f>+PMGR!CA24+BP!CA24</f>
        <v>0</v>
      </c>
      <c r="CB24" s="106">
        <f>+PMGR!CB24+BP!CB24</f>
        <v>0</v>
      </c>
      <c r="CC24" s="106">
        <f>+PMGR!CC24+BP!CC24</f>
        <v>0</v>
      </c>
      <c r="CD24" s="106">
        <f>+PMGR!CD24+BP!CD24</f>
        <v>0</v>
      </c>
      <c r="CE24" s="106">
        <f t="shared" si="135"/>
        <v>0</v>
      </c>
      <c r="CF24" s="106"/>
      <c r="CG24" s="106">
        <f>+PMGR!CG24+BP!CG24</f>
        <v>0</v>
      </c>
      <c r="CH24" s="106">
        <f>+PMGR!CH24+BP!CH24</f>
        <v>0</v>
      </c>
      <c r="CI24" s="106">
        <f>+PMGR!CI24+BP!CI24</f>
        <v>0</v>
      </c>
      <c r="CJ24" s="106">
        <f>+PMGR!CJ24+BP!CJ24</f>
        <v>0</v>
      </c>
      <c r="CK24" s="106">
        <f>+PMGR!CK24+BP!CK24</f>
        <v>0</v>
      </c>
      <c r="CL24" s="106">
        <f>+PMGR!CL24+BP!CL24</f>
        <v>0</v>
      </c>
      <c r="CM24" s="106">
        <f>+PMGR!CM24+BP!CM24</f>
        <v>0</v>
      </c>
      <c r="CN24" s="106">
        <f>+PMGR!CN24+BP!CN24</f>
        <v>0</v>
      </c>
      <c r="CO24" s="106">
        <f>+PMGR!CO24+BP!CO24</f>
        <v>0</v>
      </c>
      <c r="CP24" s="106">
        <f>+PMGR!CP24+BP!CP24</f>
        <v>0</v>
      </c>
      <c r="CQ24" s="106">
        <f>+PMGR!CQ24+BP!CQ24</f>
        <v>0</v>
      </c>
      <c r="CR24" s="106">
        <f>+PMGR!CR24+BP!CR24</f>
        <v>0</v>
      </c>
      <c r="CS24" s="106">
        <f t="shared" si="136"/>
        <v>0</v>
      </c>
      <c r="CT24" s="7" t="str">
        <f t="shared" si="20"/>
        <v>Turnover,</v>
      </c>
      <c r="CU24" s="106">
        <f>+PMGR!CU24+BP!CU24</f>
        <v>0</v>
      </c>
      <c r="CV24" s="106">
        <f>+PMGR!CV24+BP!CV24</f>
        <v>0</v>
      </c>
      <c r="CW24" s="106">
        <f>+PMGR!CW24+BP!CW24</f>
        <v>0</v>
      </c>
      <c r="CX24" s="106">
        <f>+PMGR!CX24+BP!CX24</f>
        <v>0</v>
      </c>
      <c r="CY24" s="106">
        <f>+PMGR!CY24+BP!CY24</f>
        <v>0</v>
      </c>
      <c r="CZ24" s="106">
        <f>+PMGR!CZ24+BP!CZ24</f>
        <v>0</v>
      </c>
      <c r="DA24" s="106">
        <f>+PMGR!DA24+BP!DA24</f>
        <v>0</v>
      </c>
      <c r="DB24" s="106">
        <f>+PMGR!DB24+BP!DB24</f>
        <v>0</v>
      </c>
      <c r="DC24" s="106">
        <f>+PMGR!DC24+BP!DC24</f>
        <v>0</v>
      </c>
      <c r="DD24" s="106">
        <f>+PMGR!DD24+BP!DD24</f>
        <v>0</v>
      </c>
      <c r="DE24" s="106">
        <f>+PMGR!DE24+BP!DE24</f>
        <v>0</v>
      </c>
      <c r="DF24" s="106">
        <f>+PMGR!DF24+BP!DF24</f>
        <v>0</v>
      </c>
      <c r="DG24" s="106">
        <f t="shared" si="137"/>
        <v>0</v>
      </c>
      <c r="DH24" s="106"/>
      <c r="DI24" s="106">
        <f>+PMGR!DI24+BP!DI24</f>
        <v>0</v>
      </c>
      <c r="DJ24" s="106">
        <f>+PMGR!DJ24+BP!DJ24</f>
        <v>0</v>
      </c>
      <c r="DK24" s="106">
        <f>+PMGR!DK24+BP!DK24</f>
        <v>0</v>
      </c>
      <c r="DL24" s="106">
        <f>+PMGR!DL24+BP!DL24</f>
        <v>0</v>
      </c>
      <c r="DM24" s="106">
        <f>+PMGR!DM24+BP!DM24</f>
        <v>0</v>
      </c>
      <c r="DN24" s="106">
        <f>+PMGR!DN24+BP!DN24</f>
        <v>0</v>
      </c>
      <c r="DO24" s="106">
        <f>+PMGR!DO24+BP!DO24</f>
        <v>0</v>
      </c>
      <c r="DP24" s="106">
        <f>+PMGR!DP24+BP!DP24</f>
        <v>0</v>
      </c>
      <c r="DQ24" s="106">
        <f>+PMGR!DQ24+BP!DQ24</f>
        <v>0</v>
      </c>
      <c r="DR24" s="106">
        <f>+PMGR!DR24+BP!DR24</f>
        <v>0</v>
      </c>
      <c r="DS24" s="106">
        <f>+PMGR!DS24+BP!DS24</f>
        <v>0</v>
      </c>
      <c r="DT24" s="106">
        <f>+PMGR!DT24+BP!DT24</f>
        <v>0</v>
      </c>
      <c r="DU24" s="106">
        <f t="shared" si="138"/>
        <v>0</v>
      </c>
      <c r="DV24" s="106"/>
      <c r="DW24" s="106">
        <f>+PMGR!DW24+BP!DW24</f>
        <v>0</v>
      </c>
      <c r="DX24" s="106">
        <f>+PMGR!DX24+BP!DX24</f>
        <v>0</v>
      </c>
      <c r="DY24" s="106">
        <f>+PMGR!DY24+BP!DY24</f>
        <v>0</v>
      </c>
      <c r="DZ24" s="106">
        <f>+PMGR!DZ24+BP!DZ24</f>
        <v>0</v>
      </c>
      <c r="EA24" s="106">
        <f>+PMGR!EA24+BP!EA24</f>
        <v>0</v>
      </c>
      <c r="EB24" s="106">
        <f>+PMGR!EB24+BP!EB24</f>
        <v>0</v>
      </c>
      <c r="EC24" s="106">
        <f>+PMGR!EC24+BP!EC24</f>
        <v>0</v>
      </c>
      <c r="ED24" s="106">
        <f>+PMGR!ED24+BP!ED24</f>
        <v>0</v>
      </c>
      <c r="EE24" s="106">
        <f>+PMGR!EE24+BP!EE24</f>
        <v>0</v>
      </c>
      <c r="EF24" s="106">
        <f>+PMGR!EF24+BP!EF24</f>
        <v>0</v>
      </c>
      <c r="EG24" s="106">
        <f>+PMGR!EG24+BP!EG24</f>
        <v>0</v>
      </c>
      <c r="EH24" s="106">
        <f>+PMGR!EH24+BP!EH24</f>
        <v>0</v>
      </c>
      <c r="EI24" s="106">
        <f t="shared" si="139"/>
        <v>0</v>
      </c>
      <c r="EJ24" s="7" t="str">
        <f t="shared" si="93"/>
        <v>Turnover,</v>
      </c>
      <c r="EK24" s="106">
        <f>+PMGR!EK24+BP!EK24</f>
        <v>0</v>
      </c>
      <c r="EL24" s="106">
        <f>+PMGR!EL24+BP!EL24</f>
        <v>0</v>
      </c>
      <c r="EM24" s="106">
        <f>+PMGR!EM24+BP!EM24</f>
        <v>0</v>
      </c>
      <c r="EN24" s="106">
        <f>+PMGR!EN24+BP!EN24</f>
        <v>0</v>
      </c>
      <c r="EO24" s="106">
        <f>+PMGR!EO24+BP!EO24</f>
        <v>0</v>
      </c>
      <c r="EP24" s="106">
        <f>+PMGR!EP24+BP!EP24</f>
        <v>0</v>
      </c>
      <c r="EQ24" s="106">
        <f>+PMGR!EQ24+BP!EQ24</f>
        <v>0</v>
      </c>
      <c r="ER24" s="106">
        <f>+PMGR!ER24+BP!ER24</f>
        <v>0</v>
      </c>
      <c r="ES24" s="106">
        <f>+PMGR!ES24+BP!ES24</f>
        <v>0</v>
      </c>
      <c r="ET24" s="106">
        <f>+PMGR!ET24+BP!ET24</f>
        <v>0</v>
      </c>
      <c r="EU24" s="106">
        <f>+PMGR!EU24+BP!EU24</f>
        <v>0</v>
      </c>
      <c r="EV24" s="106">
        <f>+PMGR!EV24+BP!EV24</f>
        <v>0</v>
      </c>
      <c r="EW24" s="106">
        <f t="shared" si="140"/>
        <v>0</v>
      </c>
      <c r="EX24" s="106"/>
      <c r="EY24" s="106">
        <f>+PMGR!EY24+BP!EY24</f>
        <v>0</v>
      </c>
      <c r="EZ24" s="106">
        <f>+PMGR!EZ24+BP!EZ24</f>
        <v>0</v>
      </c>
      <c r="FA24" s="106">
        <f>+PMGR!FA24+BP!FA24</f>
        <v>0</v>
      </c>
      <c r="FB24" s="106">
        <f>+PMGR!FB24+BP!FB24</f>
        <v>0</v>
      </c>
      <c r="FC24" s="106">
        <f>+PMGR!FC24+BP!FC24</f>
        <v>0</v>
      </c>
      <c r="FD24" s="106">
        <f>+PMGR!FD24+BP!FD24</f>
        <v>0</v>
      </c>
      <c r="FE24" s="106">
        <f>+PMGR!FE24+BP!FE24</f>
        <v>0</v>
      </c>
      <c r="FF24" s="106">
        <f>+PMGR!FF24+BP!FF24</f>
        <v>0</v>
      </c>
      <c r="FG24" s="106">
        <f>+PMGR!FG24+BP!FG24</f>
        <v>0</v>
      </c>
      <c r="FH24" s="106">
        <f>+PMGR!FH24+BP!FH24</f>
        <v>0</v>
      </c>
      <c r="FI24" s="106">
        <f>+PMGR!FI24+BP!FI24</f>
        <v>0</v>
      </c>
      <c r="FJ24" s="106">
        <f>+PMGR!FJ24+BP!FJ24</f>
        <v>0</v>
      </c>
      <c r="FK24" s="106">
        <f t="shared" si="141"/>
        <v>0</v>
      </c>
    </row>
    <row r="25" spans="1:167" ht="14.45" hidden="1" customHeight="1" outlineLevel="2">
      <c r="A25" s="106">
        <f t="shared" si="142"/>
        <v>0</v>
      </c>
      <c r="B25" s="106">
        <f t="shared" si="128"/>
        <v>0</v>
      </c>
      <c r="C25" s="106">
        <f t="shared" si="128"/>
        <v>0</v>
      </c>
      <c r="D25" s="106">
        <f t="shared" si="128"/>
        <v>0</v>
      </c>
      <c r="E25" s="106">
        <f t="shared" si="128"/>
        <v>0</v>
      </c>
      <c r="F25" s="106">
        <f t="shared" si="128"/>
        <v>0</v>
      </c>
      <c r="G25" s="106">
        <f t="shared" si="128"/>
        <v>0</v>
      </c>
      <c r="H25" s="106">
        <f t="shared" si="128"/>
        <v>0</v>
      </c>
      <c r="I25" s="106">
        <f t="shared" si="128"/>
        <v>0</v>
      </c>
      <c r="J25" s="106">
        <f t="shared" si="128"/>
        <v>0</v>
      </c>
      <c r="K25" s="106">
        <f t="shared" si="128"/>
        <v>0</v>
      </c>
      <c r="L25" s="106">
        <f t="shared" si="128"/>
        <v>0</v>
      </c>
      <c r="M25" s="106">
        <f t="shared" si="73"/>
        <v>0</v>
      </c>
      <c r="N25" s="7" t="s">
        <v>22</v>
      </c>
      <c r="O25" s="106">
        <f t="shared" si="143"/>
        <v>0</v>
      </c>
      <c r="P25" s="106">
        <f t="shared" si="129"/>
        <v>0</v>
      </c>
      <c r="Q25" s="106">
        <f t="shared" si="129"/>
        <v>0</v>
      </c>
      <c r="R25" s="106">
        <f t="shared" si="129"/>
        <v>0</v>
      </c>
      <c r="S25" s="106">
        <f t="shared" si="129"/>
        <v>0</v>
      </c>
      <c r="T25" s="106">
        <f t="shared" si="129"/>
        <v>0</v>
      </c>
      <c r="U25" s="106">
        <f t="shared" si="129"/>
        <v>0</v>
      </c>
      <c r="V25" s="106">
        <f t="shared" si="129"/>
        <v>0</v>
      </c>
      <c r="W25" s="106">
        <f t="shared" si="129"/>
        <v>0</v>
      </c>
      <c r="X25" s="106">
        <f t="shared" si="129"/>
        <v>0</v>
      </c>
      <c r="Y25" s="106">
        <f t="shared" si="129"/>
        <v>0</v>
      </c>
      <c r="Z25" s="106">
        <f t="shared" si="129"/>
        <v>0</v>
      </c>
      <c r="AA25" s="106">
        <f t="shared" si="130"/>
        <v>0</v>
      </c>
      <c r="AB25" s="106"/>
      <c r="AC25" s="106">
        <f t="shared" si="144"/>
        <v>0</v>
      </c>
      <c r="AD25" s="106">
        <f t="shared" si="131"/>
        <v>0</v>
      </c>
      <c r="AE25" s="106">
        <f t="shared" si="131"/>
        <v>0</v>
      </c>
      <c r="AF25" s="106">
        <f t="shared" si="131"/>
        <v>0</v>
      </c>
      <c r="AG25" s="106">
        <f t="shared" si="131"/>
        <v>0</v>
      </c>
      <c r="AH25" s="106">
        <f t="shared" si="131"/>
        <v>0</v>
      </c>
      <c r="AI25" s="106">
        <f t="shared" si="131"/>
        <v>0</v>
      </c>
      <c r="AJ25" s="106">
        <f t="shared" si="131"/>
        <v>0</v>
      </c>
      <c r="AK25" s="106">
        <f t="shared" si="131"/>
        <v>0</v>
      </c>
      <c r="AL25" s="106">
        <f t="shared" si="131"/>
        <v>0</v>
      </c>
      <c r="AM25" s="106">
        <f t="shared" si="131"/>
        <v>0</v>
      </c>
      <c r="AN25" s="106">
        <f t="shared" si="131"/>
        <v>0</v>
      </c>
      <c r="AO25" s="106">
        <f t="shared" si="132"/>
        <v>0</v>
      </c>
      <c r="AP25" s="106"/>
      <c r="AQ25" s="106">
        <f>+PMGR!AQ25+BP!AQ25</f>
        <v>0</v>
      </c>
      <c r="AR25" s="106">
        <f>+PMGR!AR25+BP!AR25</f>
        <v>0</v>
      </c>
      <c r="AS25" s="106">
        <f>+PMGR!AS25+BP!AS25</f>
        <v>0</v>
      </c>
      <c r="AT25" s="106">
        <f>+PMGR!AT25+BP!AT25</f>
        <v>0</v>
      </c>
      <c r="AU25" s="106">
        <f>+PMGR!AU25+BP!AU25</f>
        <v>0</v>
      </c>
      <c r="AV25" s="106">
        <f>+PMGR!AV25+BP!AV25</f>
        <v>0</v>
      </c>
      <c r="AW25" s="106">
        <f>+PMGR!AW25+BP!AW25</f>
        <v>0</v>
      </c>
      <c r="AX25" s="106">
        <f>+PMGR!AX25+BP!AX25</f>
        <v>0</v>
      </c>
      <c r="AY25" s="106">
        <f>+PMGR!AY25+BP!AY25</f>
        <v>0</v>
      </c>
      <c r="AZ25" s="106">
        <f>+PMGR!AZ25+BP!AZ25</f>
        <v>0</v>
      </c>
      <c r="BA25" s="106">
        <f>+PMGR!BA25+BP!BA25</f>
        <v>0</v>
      </c>
      <c r="BB25" s="106">
        <f>+PMGR!BB25+BP!BB25</f>
        <v>0</v>
      </c>
      <c r="BC25" s="106">
        <f t="shared" si="133"/>
        <v>0</v>
      </c>
      <c r="BD25" s="7" t="str">
        <f t="shared" si="16"/>
        <v>Cost of goods sold - Exchange</v>
      </c>
      <c r="BE25" s="106">
        <f>+PMGR!BE25+BP!BE25</f>
        <v>0</v>
      </c>
      <c r="BF25" s="106">
        <f>+PMGR!BF25+BP!BF25</f>
        <v>0</v>
      </c>
      <c r="BG25" s="106">
        <f>+PMGR!BG25+BP!BG25</f>
        <v>0</v>
      </c>
      <c r="BH25" s="106">
        <f>+PMGR!BH25+BP!BH25</f>
        <v>0</v>
      </c>
      <c r="BI25" s="106">
        <f>+PMGR!BI25+BP!BI25</f>
        <v>0</v>
      </c>
      <c r="BJ25" s="106">
        <f>+PMGR!BJ25+BP!BJ25</f>
        <v>0</v>
      </c>
      <c r="BK25" s="106">
        <f>+PMGR!BK25+BP!BK25</f>
        <v>0</v>
      </c>
      <c r="BL25" s="106">
        <f>+PMGR!BL25+BP!BL25</f>
        <v>0</v>
      </c>
      <c r="BM25" s="106">
        <f>+PMGR!BM25+BP!BM25</f>
        <v>0</v>
      </c>
      <c r="BN25" s="106">
        <f>+PMGR!BN25+BP!BN25</f>
        <v>0</v>
      </c>
      <c r="BO25" s="106">
        <f>+PMGR!BO25+BP!BO25</f>
        <v>0</v>
      </c>
      <c r="BP25" s="106">
        <f>+PMGR!BP25+BP!BP25</f>
        <v>0</v>
      </c>
      <c r="BQ25" s="106">
        <f t="shared" si="134"/>
        <v>0</v>
      </c>
      <c r="BR25" s="114"/>
      <c r="BS25" s="106">
        <f>+PMGR!BS25+BP!BS25</f>
        <v>0</v>
      </c>
      <c r="BT25" s="106">
        <f>+PMGR!BT25+BP!BT25</f>
        <v>0</v>
      </c>
      <c r="BU25" s="106">
        <f>+PMGR!BU25+BP!BU25</f>
        <v>0</v>
      </c>
      <c r="BV25" s="106">
        <f>+PMGR!BV25+BP!BV25</f>
        <v>0</v>
      </c>
      <c r="BW25" s="106">
        <f>+PMGR!BW25+BP!BW25</f>
        <v>0</v>
      </c>
      <c r="BX25" s="106">
        <f>+PMGR!BX25+BP!BX25</f>
        <v>0</v>
      </c>
      <c r="BY25" s="106">
        <f>+PMGR!BY25+BP!BY25</f>
        <v>0</v>
      </c>
      <c r="BZ25" s="106">
        <f>+PMGR!BZ25+BP!BZ25</f>
        <v>0</v>
      </c>
      <c r="CA25" s="106">
        <f>+PMGR!CA25+BP!CA25</f>
        <v>0</v>
      </c>
      <c r="CB25" s="106">
        <f>+PMGR!CB25+BP!CB25</f>
        <v>0</v>
      </c>
      <c r="CC25" s="106">
        <f>+PMGR!CC25+BP!CC25</f>
        <v>0</v>
      </c>
      <c r="CD25" s="106">
        <f>+PMGR!CD25+BP!CD25</f>
        <v>0</v>
      </c>
      <c r="CE25" s="106">
        <f t="shared" si="135"/>
        <v>0</v>
      </c>
      <c r="CF25" s="106"/>
      <c r="CG25" s="106">
        <f>+PMGR!CG25+BP!CG25</f>
        <v>0</v>
      </c>
      <c r="CH25" s="106">
        <f>+PMGR!CH25+BP!CH25</f>
        <v>0</v>
      </c>
      <c r="CI25" s="106">
        <f>+PMGR!CI25+BP!CI25</f>
        <v>0</v>
      </c>
      <c r="CJ25" s="106">
        <f>+PMGR!CJ25+BP!CJ25</f>
        <v>0</v>
      </c>
      <c r="CK25" s="106">
        <f>+PMGR!CK25+BP!CK25</f>
        <v>0</v>
      </c>
      <c r="CL25" s="106">
        <f>+PMGR!CL25+BP!CL25</f>
        <v>0</v>
      </c>
      <c r="CM25" s="106">
        <f>+PMGR!CM25+BP!CM25</f>
        <v>0</v>
      </c>
      <c r="CN25" s="106">
        <f>+PMGR!CN25+BP!CN25</f>
        <v>0</v>
      </c>
      <c r="CO25" s="106">
        <f>+PMGR!CO25+BP!CO25</f>
        <v>0</v>
      </c>
      <c r="CP25" s="106">
        <f>+PMGR!CP25+BP!CP25</f>
        <v>0</v>
      </c>
      <c r="CQ25" s="106">
        <f>+PMGR!CQ25+BP!CQ25</f>
        <v>0</v>
      </c>
      <c r="CR25" s="106">
        <f>+PMGR!CR25+BP!CR25</f>
        <v>0</v>
      </c>
      <c r="CS25" s="106">
        <f t="shared" si="136"/>
        <v>0</v>
      </c>
      <c r="CT25" s="7" t="str">
        <f t="shared" si="20"/>
        <v>Cost of goods sold - Exchange</v>
      </c>
      <c r="CU25" s="106">
        <f>+PMGR!CU25+BP!CU25</f>
        <v>0</v>
      </c>
      <c r="CV25" s="106">
        <f>+PMGR!CV25+BP!CV25</f>
        <v>0</v>
      </c>
      <c r="CW25" s="106">
        <f>+PMGR!CW25+BP!CW25</f>
        <v>0</v>
      </c>
      <c r="CX25" s="106">
        <f>+PMGR!CX25+BP!CX25</f>
        <v>0</v>
      </c>
      <c r="CY25" s="106">
        <f>+PMGR!CY25+BP!CY25</f>
        <v>0</v>
      </c>
      <c r="CZ25" s="106">
        <f>+PMGR!CZ25+BP!CZ25</f>
        <v>0</v>
      </c>
      <c r="DA25" s="106">
        <f>+PMGR!DA25+BP!DA25</f>
        <v>0</v>
      </c>
      <c r="DB25" s="106">
        <f>+PMGR!DB25+BP!DB25</f>
        <v>0</v>
      </c>
      <c r="DC25" s="106">
        <f>+PMGR!DC25+BP!DC25</f>
        <v>0</v>
      </c>
      <c r="DD25" s="106">
        <f>+PMGR!DD25+BP!DD25</f>
        <v>0</v>
      </c>
      <c r="DE25" s="106">
        <f>+PMGR!DE25+BP!DE25</f>
        <v>0</v>
      </c>
      <c r="DF25" s="106">
        <f>+PMGR!DF25+BP!DF25</f>
        <v>0</v>
      </c>
      <c r="DG25" s="106">
        <f t="shared" si="137"/>
        <v>0</v>
      </c>
      <c r="DH25" s="106"/>
      <c r="DI25" s="106">
        <f>+PMGR!DI25+BP!DI25</f>
        <v>0</v>
      </c>
      <c r="DJ25" s="106">
        <f>+PMGR!DJ25+BP!DJ25</f>
        <v>0</v>
      </c>
      <c r="DK25" s="106">
        <f>+PMGR!DK25+BP!DK25</f>
        <v>0</v>
      </c>
      <c r="DL25" s="106">
        <f>+PMGR!DL25+BP!DL25</f>
        <v>0</v>
      </c>
      <c r="DM25" s="106">
        <f>+PMGR!DM25+BP!DM25</f>
        <v>0</v>
      </c>
      <c r="DN25" s="106">
        <f>+PMGR!DN25+BP!DN25</f>
        <v>0</v>
      </c>
      <c r="DO25" s="106">
        <f>+PMGR!DO25+BP!DO25</f>
        <v>0</v>
      </c>
      <c r="DP25" s="106">
        <f>+PMGR!DP25+BP!DP25</f>
        <v>0</v>
      </c>
      <c r="DQ25" s="106">
        <f>+PMGR!DQ25+BP!DQ25</f>
        <v>0</v>
      </c>
      <c r="DR25" s="106">
        <f>+PMGR!DR25+BP!DR25</f>
        <v>0</v>
      </c>
      <c r="DS25" s="106">
        <f>+PMGR!DS25+BP!DS25</f>
        <v>0</v>
      </c>
      <c r="DT25" s="106">
        <f>+PMGR!DT25+BP!DT25</f>
        <v>0</v>
      </c>
      <c r="DU25" s="106">
        <f t="shared" si="138"/>
        <v>0</v>
      </c>
      <c r="DV25" s="106"/>
      <c r="DW25" s="106">
        <f>+PMGR!DW25+BP!DW25</f>
        <v>0</v>
      </c>
      <c r="DX25" s="106">
        <f>+PMGR!DX25+BP!DX25</f>
        <v>0</v>
      </c>
      <c r="DY25" s="106">
        <f>+PMGR!DY25+BP!DY25</f>
        <v>0</v>
      </c>
      <c r="DZ25" s="106">
        <f>+PMGR!DZ25+BP!DZ25</f>
        <v>0</v>
      </c>
      <c r="EA25" s="106">
        <f>+PMGR!EA25+BP!EA25</f>
        <v>0</v>
      </c>
      <c r="EB25" s="106">
        <f>+PMGR!EB25+BP!EB25</f>
        <v>0</v>
      </c>
      <c r="EC25" s="106">
        <f>+PMGR!EC25+BP!EC25</f>
        <v>0</v>
      </c>
      <c r="ED25" s="106">
        <f>+PMGR!ED25+BP!ED25</f>
        <v>0</v>
      </c>
      <c r="EE25" s="106">
        <f>+PMGR!EE25+BP!EE25</f>
        <v>0</v>
      </c>
      <c r="EF25" s="106">
        <f>+PMGR!EF25+BP!EF25</f>
        <v>0</v>
      </c>
      <c r="EG25" s="106">
        <f>+PMGR!EG25+BP!EG25</f>
        <v>0</v>
      </c>
      <c r="EH25" s="106">
        <f>+PMGR!EH25+BP!EH25</f>
        <v>0</v>
      </c>
      <c r="EI25" s="106">
        <f t="shared" si="139"/>
        <v>0</v>
      </c>
      <c r="EJ25" s="7" t="str">
        <f t="shared" si="93"/>
        <v>Cost of goods sold - Exchange</v>
      </c>
      <c r="EK25" s="106">
        <f>+PMGR!EK25+BP!EK25</f>
        <v>0</v>
      </c>
      <c r="EL25" s="106">
        <f>+PMGR!EL25+BP!EL25</f>
        <v>0</v>
      </c>
      <c r="EM25" s="106">
        <f>+PMGR!EM25+BP!EM25</f>
        <v>0</v>
      </c>
      <c r="EN25" s="106">
        <f>+PMGR!EN25+BP!EN25</f>
        <v>0</v>
      </c>
      <c r="EO25" s="106">
        <f>+PMGR!EO25+BP!EO25</f>
        <v>0</v>
      </c>
      <c r="EP25" s="106">
        <f>+PMGR!EP25+BP!EP25</f>
        <v>0</v>
      </c>
      <c r="EQ25" s="106">
        <f>+PMGR!EQ25+BP!EQ25</f>
        <v>0</v>
      </c>
      <c r="ER25" s="106">
        <f>+PMGR!ER25+BP!ER25</f>
        <v>0</v>
      </c>
      <c r="ES25" s="106">
        <f>+PMGR!ES25+BP!ES25</f>
        <v>0</v>
      </c>
      <c r="ET25" s="106">
        <f>+PMGR!ET25+BP!ET25</f>
        <v>0</v>
      </c>
      <c r="EU25" s="106">
        <f>+PMGR!EU25+BP!EU25</f>
        <v>0</v>
      </c>
      <c r="EV25" s="106">
        <f>+PMGR!EV25+BP!EV25</f>
        <v>0</v>
      </c>
      <c r="EW25" s="106">
        <f t="shared" si="140"/>
        <v>0</v>
      </c>
      <c r="EX25" s="106"/>
      <c r="EY25" s="106">
        <f>+PMGR!EY25+BP!EY25</f>
        <v>0</v>
      </c>
      <c r="EZ25" s="106">
        <f>+PMGR!EZ25+BP!EZ25</f>
        <v>0</v>
      </c>
      <c r="FA25" s="106">
        <f>+PMGR!FA25+BP!FA25</f>
        <v>0</v>
      </c>
      <c r="FB25" s="106">
        <f>+PMGR!FB25+BP!FB25</f>
        <v>0</v>
      </c>
      <c r="FC25" s="106">
        <f>+PMGR!FC25+BP!FC25</f>
        <v>0</v>
      </c>
      <c r="FD25" s="106">
        <f>+PMGR!FD25+BP!FD25</f>
        <v>0</v>
      </c>
      <c r="FE25" s="106">
        <f>+PMGR!FE25+BP!FE25</f>
        <v>0</v>
      </c>
      <c r="FF25" s="106">
        <f>+PMGR!FF25+BP!FF25</f>
        <v>0</v>
      </c>
      <c r="FG25" s="106">
        <f>+PMGR!FG25+BP!FG25</f>
        <v>0</v>
      </c>
      <c r="FH25" s="106">
        <f>+PMGR!FH25+BP!FH25</f>
        <v>0</v>
      </c>
      <c r="FI25" s="106">
        <f>+PMGR!FI25+BP!FI25</f>
        <v>0</v>
      </c>
      <c r="FJ25" s="106">
        <f>+PMGR!FJ25+BP!FJ25</f>
        <v>0</v>
      </c>
      <c r="FK25" s="106">
        <f t="shared" si="141"/>
        <v>0</v>
      </c>
    </row>
    <row r="26" spans="1:167" ht="14.45" hidden="1" customHeight="1" outlineLevel="2">
      <c r="A26" s="106">
        <f t="shared" si="142"/>
        <v>0</v>
      </c>
      <c r="B26" s="106">
        <f t="shared" si="128"/>
        <v>0</v>
      </c>
      <c r="C26" s="106">
        <f t="shared" si="128"/>
        <v>0</v>
      </c>
      <c r="D26" s="106">
        <f t="shared" si="128"/>
        <v>0</v>
      </c>
      <c r="E26" s="106">
        <f t="shared" si="128"/>
        <v>0</v>
      </c>
      <c r="F26" s="106">
        <f t="shared" si="128"/>
        <v>0</v>
      </c>
      <c r="G26" s="106">
        <f t="shared" si="128"/>
        <v>0</v>
      </c>
      <c r="H26" s="106">
        <f t="shared" si="128"/>
        <v>0</v>
      </c>
      <c r="I26" s="106">
        <f t="shared" si="128"/>
        <v>0</v>
      </c>
      <c r="J26" s="106">
        <f t="shared" si="128"/>
        <v>0</v>
      </c>
      <c r="K26" s="106">
        <f t="shared" si="128"/>
        <v>0</v>
      </c>
      <c r="L26" s="106">
        <f t="shared" si="128"/>
        <v>0</v>
      </c>
      <c r="M26" s="106">
        <f t="shared" si="73"/>
        <v>0</v>
      </c>
      <c r="N26" s="7" t="s">
        <v>23</v>
      </c>
      <c r="O26" s="106">
        <f t="shared" si="143"/>
        <v>0</v>
      </c>
      <c r="P26" s="106">
        <f t="shared" si="129"/>
        <v>0</v>
      </c>
      <c r="Q26" s="106">
        <f t="shared" si="129"/>
        <v>0</v>
      </c>
      <c r="R26" s="106">
        <f t="shared" si="129"/>
        <v>0</v>
      </c>
      <c r="S26" s="106">
        <f t="shared" si="129"/>
        <v>0</v>
      </c>
      <c r="T26" s="106">
        <f t="shared" si="129"/>
        <v>0</v>
      </c>
      <c r="U26" s="106">
        <f t="shared" si="129"/>
        <v>0</v>
      </c>
      <c r="V26" s="106">
        <f t="shared" si="129"/>
        <v>0</v>
      </c>
      <c r="W26" s="106">
        <f t="shared" si="129"/>
        <v>0</v>
      </c>
      <c r="X26" s="106">
        <f t="shared" si="129"/>
        <v>0</v>
      </c>
      <c r="Y26" s="106">
        <f t="shared" si="129"/>
        <v>0</v>
      </c>
      <c r="Z26" s="106">
        <f t="shared" si="129"/>
        <v>0</v>
      </c>
      <c r="AA26" s="106">
        <f t="shared" si="130"/>
        <v>0</v>
      </c>
      <c r="AB26" s="106"/>
      <c r="AC26" s="106">
        <f t="shared" si="144"/>
        <v>0</v>
      </c>
      <c r="AD26" s="106">
        <f t="shared" si="131"/>
        <v>0</v>
      </c>
      <c r="AE26" s="106">
        <f t="shared" si="131"/>
        <v>0</v>
      </c>
      <c r="AF26" s="106">
        <f t="shared" si="131"/>
        <v>0</v>
      </c>
      <c r="AG26" s="106">
        <f t="shared" si="131"/>
        <v>0</v>
      </c>
      <c r="AH26" s="106">
        <f t="shared" si="131"/>
        <v>0</v>
      </c>
      <c r="AI26" s="106">
        <f t="shared" si="131"/>
        <v>0</v>
      </c>
      <c r="AJ26" s="106">
        <f t="shared" si="131"/>
        <v>0</v>
      </c>
      <c r="AK26" s="106">
        <f t="shared" si="131"/>
        <v>0</v>
      </c>
      <c r="AL26" s="106">
        <f t="shared" si="131"/>
        <v>0</v>
      </c>
      <c r="AM26" s="106">
        <f t="shared" si="131"/>
        <v>0</v>
      </c>
      <c r="AN26" s="106">
        <f t="shared" si="131"/>
        <v>0</v>
      </c>
      <c r="AO26" s="106">
        <f t="shared" si="132"/>
        <v>0</v>
      </c>
      <c r="AP26" s="106"/>
      <c r="AQ26" s="106">
        <f>+PMGR!AQ26+BP!AQ26</f>
        <v>0</v>
      </c>
      <c r="AR26" s="106">
        <f>+PMGR!AR26+BP!AR26</f>
        <v>0</v>
      </c>
      <c r="AS26" s="106">
        <f>+PMGR!AS26+BP!AS26</f>
        <v>0</v>
      </c>
      <c r="AT26" s="106">
        <f>+PMGR!AT26+BP!AT26</f>
        <v>0</v>
      </c>
      <c r="AU26" s="106">
        <f>+PMGR!AU26+BP!AU26</f>
        <v>0</v>
      </c>
      <c r="AV26" s="106">
        <f>+PMGR!AV26+BP!AV26</f>
        <v>0</v>
      </c>
      <c r="AW26" s="106">
        <f>+PMGR!AW26+BP!AW26</f>
        <v>0</v>
      </c>
      <c r="AX26" s="106">
        <f>+PMGR!AX26+BP!AX26</f>
        <v>0</v>
      </c>
      <c r="AY26" s="106">
        <f>+PMGR!AY26+BP!AY26</f>
        <v>0</v>
      </c>
      <c r="AZ26" s="106">
        <f>+PMGR!AZ26+BP!AZ26</f>
        <v>0</v>
      </c>
      <c r="BA26" s="106">
        <f>+PMGR!BA26+BP!BA26</f>
        <v>0</v>
      </c>
      <c r="BB26" s="106">
        <f>+PMGR!BB26+BP!BB26</f>
        <v>0</v>
      </c>
      <c r="BC26" s="106">
        <f t="shared" si="133"/>
        <v>0</v>
      </c>
      <c r="BD26" s="7" t="str">
        <f t="shared" si="16"/>
        <v>Refurbishment expenses</v>
      </c>
      <c r="BE26" s="106">
        <f>+PMGR!BE26+BP!BE26</f>
        <v>0</v>
      </c>
      <c r="BF26" s="106">
        <f>+PMGR!BF26+BP!BF26</f>
        <v>0</v>
      </c>
      <c r="BG26" s="106">
        <f>+PMGR!BG26+BP!BG26</f>
        <v>0</v>
      </c>
      <c r="BH26" s="106">
        <f>+PMGR!BH26+BP!BH26</f>
        <v>0</v>
      </c>
      <c r="BI26" s="106">
        <f>+PMGR!BI26+BP!BI26</f>
        <v>0</v>
      </c>
      <c r="BJ26" s="106">
        <f>+PMGR!BJ26+BP!BJ26</f>
        <v>0</v>
      </c>
      <c r="BK26" s="106">
        <f>+PMGR!BK26+BP!BK26</f>
        <v>0</v>
      </c>
      <c r="BL26" s="106">
        <f>+PMGR!BL26+BP!BL26</f>
        <v>0</v>
      </c>
      <c r="BM26" s="106">
        <f>+PMGR!BM26+BP!BM26</f>
        <v>0</v>
      </c>
      <c r="BN26" s="106">
        <f>+PMGR!BN26+BP!BN26</f>
        <v>0</v>
      </c>
      <c r="BO26" s="106">
        <f>+PMGR!BO26+BP!BO26</f>
        <v>0</v>
      </c>
      <c r="BP26" s="106">
        <f>+PMGR!BP26+BP!BP26</f>
        <v>0</v>
      </c>
      <c r="BQ26" s="106">
        <f t="shared" si="134"/>
        <v>0</v>
      </c>
      <c r="BR26" s="114"/>
      <c r="BS26" s="106">
        <f>+PMGR!BS26+BP!BS26</f>
        <v>0</v>
      </c>
      <c r="BT26" s="106">
        <f>+PMGR!BT26+BP!BT26</f>
        <v>0</v>
      </c>
      <c r="BU26" s="106">
        <f>+PMGR!BU26+BP!BU26</f>
        <v>0</v>
      </c>
      <c r="BV26" s="106">
        <f>+PMGR!BV26+BP!BV26</f>
        <v>0</v>
      </c>
      <c r="BW26" s="106">
        <f>+PMGR!BW26+BP!BW26</f>
        <v>0</v>
      </c>
      <c r="BX26" s="106">
        <f>+PMGR!BX26+BP!BX26</f>
        <v>0</v>
      </c>
      <c r="BY26" s="106">
        <f>+PMGR!BY26+BP!BY26</f>
        <v>0</v>
      </c>
      <c r="BZ26" s="106">
        <f>+PMGR!BZ26+BP!BZ26</f>
        <v>0</v>
      </c>
      <c r="CA26" s="106">
        <f>+PMGR!CA26+BP!CA26</f>
        <v>0</v>
      </c>
      <c r="CB26" s="106">
        <f>+PMGR!CB26+BP!CB26</f>
        <v>0</v>
      </c>
      <c r="CC26" s="106">
        <f>+PMGR!CC26+BP!CC26</f>
        <v>0</v>
      </c>
      <c r="CD26" s="106">
        <f>+PMGR!CD26+BP!CD26</f>
        <v>0</v>
      </c>
      <c r="CE26" s="106">
        <f t="shared" si="135"/>
        <v>0</v>
      </c>
      <c r="CF26" s="106"/>
      <c r="CG26" s="106">
        <f>+PMGR!CG26+BP!CG26</f>
        <v>0</v>
      </c>
      <c r="CH26" s="106">
        <f>+PMGR!CH26+BP!CH26</f>
        <v>0</v>
      </c>
      <c r="CI26" s="106">
        <f>+PMGR!CI26+BP!CI26</f>
        <v>0</v>
      </c>
      <c r="CJ26" s="106">
        <f>+PMGR!CJ26+BP!CJ26</f>
        <v>0</v>
      </c>
      <c r="CK26" s="106">
        <f>+PMGR!CK26+BP!CK26</f>
        <v>0</v>
      </c>
      <c r="CL26" s="106">
        <f>+PMGR!CL26+BP!CL26</f>
        <v>0</v>
      </c>
      <c r="CM26" s="106">
        <f>+PMGR!CM26+BP!CM26</f>
        <v>0</v>
      </c>
      <c r="CN26" s="106">
        <f>+PMGR!CN26+BP!CN26</f>
        <v>0</v>
      </c>
      <c r="CO26" s="106">
        <f>+PMGR!CO26+BP!CO26</f>
        <v>0</v>
      </c>
      <c r="CP26" s="106">
        <f>+PMGR!CP26+BP!CP26</f>
        <v>0</v>
      </c>
      <c r="CQ26" s="106">
        <f>+PMGR!CQ26+BP!CQ26</f>
        <v>0</v>
      </c>
      <c r="CR26" s="106">
        <f>+PMGR!CR26+BP!CR26</f>
        <v>0</v>
      </c>
      <c r="CS26" s="106">
        <f t="shared" si="136"/>
        <v>0</v>
      </c>
      <c r="CT26" s="7" t="str">
        <f t="shared" si="20"/>
        <v>Refurbishment expenses</v>
      </c>
      <c r="CU26" s="106">
        <f>+PMGR!CU26+BP!CU26</f>
        <v>0</v>
      </c>
      <c r="CV26" s="106">
        <f>+PMGR!CV26+BP!CV26</f>
        <v>0</v>
      </c>
      <c r="CW26" s="106">
        <f>+PMGR!CW26+BP!CW26</f>
        <v>0</v>
      </c>
      <c r="CX26" s="106">
        <f>+PMGR!CX26+BP!CX26</f>
        <v>0</v>
      </c>
      <c r="CY26" s="106">
        <f>+PMGR!CY26+BP!CY26</f>
        <v>0</v>
      </c>
      <c r="CZ26" s="106">
        <f>+PMGR!CZ26+BP!CZ26</f>
        <v>0</v>
      </c>
      <c r="DA26" s="106">
        <f>+PMGR!DA26+BP!DA26</f>
        <v>0</v>
      </c>
      <c r="DB26" s="106">
        <f>+PMGR!DB26+BP!DB26</f>
        <v>0</v>
      </c>
      <c r="DC26" s="106">
        <f>+PMGR!DC26+BP!DC26</f>
        <v>0</v>
      </c>
      <c r="DD26" s="106">
        <f>+PMGR!DD26+BP!DD26</f>
        <v>0</v>
      </c>
      <c r="DE26" s="106">
        <f>+PMGR!DE26+BP!DE26</f>
        <v>0</v>
      </c>
      <c r="DF26" s="106">
        <f>+PMGR!DF26+BP!DF26</f>
        <v>0</v>
      </c>
      <c r="DG26" s="106">
        <f t="shared" si="137"/>
        <v>0</v>
      </c>
      <c r="DH26" s="106"/>
      <c r="DI26" s="106">
        <f>+PMGR!DI26+BP!DI26</f>
        <v>0</v>
      </c>
      <c r="DJ26" s="106">
        <f>+PMGR!DJ26+BP!DJ26</f>
        <v>0</v>
      </c>
      <c r="DK26" s="106">
        <f>+PMGR!DK26+BP!DK26</f>
        <v>0</v>
      </c>
      <c r="DL26" s="106">
        <f>+PMGR!DL26+BP!DL26</f>
        <v>0</v>
      </c>
      <c r="DM26" s="106">
        <f>+PMGR!DM26+BP!DM26</f>
        <v>0</v>
      </c>
      <c r="DN26" s="106">
        <f>+PMGR!DN26+BP!DN26</f>
        <v>0</v>
      </c>
      <c r="DO26" s="106">
        <f>+PMGR!DO26+BP!DO26</f>
        <v>0</v>
      </c>
      <c r="DP26" s="106">
        <f>+PMGR!DP26+BP!DP26</f>
        <v>0</v>
      </c>
      <c r="DQ26" s="106">
        <f>+PMGR!DQ26+BP!DQ26</f>
        <v>0</v>
      </c>
      <c r="DR26" s="106">
        <f>+PMGR!DR26+BP!DR26</f>
        <v>0</v>
      </c>
      <c r="DS26" s="106">
        <f>+PMGR!DS26+BP!DS26</f>
        <v>0</v>
      </c>
      <c r="DT26" s="106">
        <f>+PMGR!DT26+BP!DT26</f>
        <v>0</v>
      </c>
      <c r="DU26" s="106">
        <f t="shared" si="138"/>
        <v>0</v>
      </c>
      <c r="DV26" s="106"/>
      <c r="DW26" s="106">
        <f>+PMGR!DW26+BP!DW26</f>
        <v>0</v>
      </c>
      <c r="DX26" s="106">
        <f>+PMGR!DX26+BP!DX26</f>
        <v>0</v>
      </c>
      <c r="DY26" s="106">
        <f>+PMGR!DY26+BP!DY26</f>
        <v>0</v>
      </c>
      <c r="DZ26" s="106">
        <f>+PMGR!DZ26+BP!DZ26</f>
        <v>0</v>
      </c>
      <c r="EA26" s="106">
        <f>+PMGR!EA26+BP!EA26</f>
        <v>0</v>
      </c>
      <c r="EB26" s="106">
        <f>+PMGR!EB26+BP!EB26</f>
        <v>0</v>
      </c>
      <c r="EC26" s="106">
        <f>+PMGR!EC26+BP!EC26</f>
        <v>0</v>
      </c>
      <c r="ED26" s="106">
        <f>+PMGR!ED26+BP!ED26</f>
        <v>0</v>
      </c>
      <c r="EE26" s="106">
        <f>+PMGR!EE26+BP!EE26</f>
        <v>0</v>
      </c>
      <c r="EF26" s="106">
        <f>+PMGR!EF26+BP!EF26</f>
        <v>0</v>
      </c>
      <c r="EG26" s="106">
        <f>+PMGR!EG26+BP!EG26</f>
        <v>0</v>
      </c>
      <c r="EH26" s="106">
        <f>+PMGR!EH26+BP!EH26</f>
        <v>0</v>
      </c>
      <c r="EI26" s="106">
        <f t="shared" si="139"/>
        <v>0</v>
      </c>
      <c r="EJ26" s="7" t="str">
        <f t="shared" si="93"/>
        <v>Refurbishment expenses</v>
      </c>
      <c r="EK26" s="106">
        <f>+PMGR!EK26+BP!EK26</f>
        <v>0</v>
      </c>
      <c r="EL26" s="106">
        <f>+PMGR!EL26+BP!EL26</f>
        <v>0</v>
      </c>
      <c r="EM26" s="106">
        <f>+PMGR!EM26+BP!EM26</f>
        <v>0</v>
      </c>
      <c r="EN26" s="106">
        <f>+PMGR!EN26+BP!EN26</f>
        <v>0</v>
      </c>
      <c r="EO26" s="106">
        <f>+PMGR!EO26+BP!EO26</f>
        <v>0</v>
      </c>
      <c r="EP26" s="106">
        <f>+PMGR!EP26+BP!EP26</f>
        <v>0</v>
      </c>
      <c r="EQ26" s="106">
        <f>+PMGR!EQ26+BP!EQ26</f>
        <v>0</v>
      </c>
      <c r="ER26" s="106">
        <f>+PMGR!ER26+BP!ER26</f>
        <v>0</v>
      </c>
      <c r="ES26" s="106">
        <f>+PMGR!ES26+BP!ES26</f>
        <v>0</v>
      </c>
      <c r="ET26" s="106">
        <f>+PMGR!ET26+BP!ET26</f>
        <v>0</v>
      </c>
      <c r="EU26" s="106">
        <f>+PMGR!EU26+BP!EU26</f>
        <v>0</v>
      </c>
      <c r="EV26" s="106">
        <f>+PMGR!EV26+BP!EV26</f>
        <v>0</v>
      </c>
      <c r="EW26" s="106">
        <f t="shared" si="140"/>
        <v>0</v>
      </c>
      <c r="EX26" s="106"/>
      <c r="EY26" s="106">
        <f>+PMGR!EY26+BP!EY26</f>
        <v>0</v>
      </c>
      <c r="EZ26" s="106">
        <f>+PMGR!EZ26+BP!EZ26</f>
        <v>0</v>
      </c>
      <c r="FA26" s="106">
        <f>+PMGR!FA26+BP!FA26</f>
        <v>0</v>
      </c>
      <c r="FB26" s="106">
        <f>+PMGR!FB26+BP!FB26</f>
        <v>0</v>
      </c>
      <c r="FC26" s="106">
        <f>+PMGR!FC26+BP!FC26</f>
        <v>0</v>
      </c>
      <c r="FD26" s="106">
        <f>+PMGR!FD26+BP!FD26</f>
        <v>0</v>
      </c>
      <c r="FE26" s="106">
        <f>+PMGR!FE26+BP!FE26</f>
        <v>0</v>
      </c>
      <c r="FF26" s="106">
        <f>+PMGR!FF26+BP!FF26</f>
        <v>0</v>
      </c>
      <c r="FG26" s="106">
        <f>+PMGR!FG26+BP!FG26</f>
        <v>0</v>
      </c>
      <c r="FH26" s="106">
        <f>+PMGR!FH26+BP!FH26</f>
        <v>0</v>
      </c>
      <c r="FI26" s="106">
        <f>+PMGR!FI26+BP!FI26</f>
        <v>0</v>
      </c>
      <c r="FJ26" s="106">
        <f>+PMGR!FJ26+BP!FJ26</f>
        <v>0</v>
      </c>
      <c r="FK26" s="106">
        <f t="shared" si="141"/>
        <v>0</v>
      </c>
    </row>
    <row r="27" spans="1:167" ht="14.45" hidden="1" customHeight="1" outlineLevel="2">
      <c r="A27" s="58">
        <f>+A24-A25-A26</f>
        <v>0</v>
      </c>
      <c r="B27" s="58">
        <f t="shared" ref="B27:L27" si="145">+B24-B25-B26</f>
        <v>0</v>
      </c>
      <c r="C27" s="58">
        <f t="shared" si="145"/>
        <v>0</v>
      </c>
      <c r="D27" s="58">
        <f t="shared" si="145"/>
        <v>0</v>
      </c>
      <c r="E27" s="58">
        <f t="shared" si="145"/>
        <v>0</v>
      </c>
      <c r="F27" s="58">
        <f t="shared" si="145"/>
        <v>0</v>
      </c>
      <c r="G27" s="58">
        <f t="shared" si="145"/>
        <v>0</v>
      </c>
      <c r="H27" s="58">
        <f t="shared" si="145"/>
        <v>0</v>
      </c>
      <c r="I27" s="58">
        <f t="shared" si="145"/>
        <v>0</v>
      </c>
      <c r="J27" s="58">
        <f t="shared" si="145"/>
        <v>0</v>
      </c>
      <c r="K27" s="58">
        <f t="shared" si="145"/>
        <v>0</v>
      </c>
      <c r="L27" s="58">
        <f t="shared" si="145"/>
        <v>0</v>
      </c>
      <c r="M27" s="58">
        <f>+M24-M25-M26</f>
        <v>0</v>
      </c>
      <c r="N27" s="10" t="s">
        <v>20</v>
      </c>
      <c r="O27" s="58">
        <f>+O24-O25-O26</f>
        <v>0</v>
      </c>
      <c r="P27" s="58">
        <f t="shared" ref="P27:Z27" si="146">+P24-P25-P26</f>
        <v>0</v>
      </c>
      <c r="Q27" s="58">
        <f t="shared" si="146"/>
        <v>0</v>
      </c>
      <c r="R27" s="58">
        <f t="shared" si="146"/>
        <v>0</v>
      </c>
      <c r="S27" s="58">
        <f t="shared" si="146"/>
        <v>0</v>
      </c>
      <c r="T27" s="58">
        <f t="shared" si="146"/>
        <v>0</v>
      </c>
      <c r="U27" s="58">
        <f t="shared" si="146"/>
        <v>0</v>
      </c>
      <c r="V27" s="58">
        <f t="shared" si="146"/>
        <v>0</v>
      </c>
      <c r="W27" s="58">
        <f t="shared" si="146"/>
        <v>0</v>
      </c>
      <c r="X27" s="58">
        <f t="shared" si="146"/>
        <v>0</v>
      </c>
      <c r="Y27" s="58">
        <f t="shared" si="146"/>
        <v>0</v>
      </c>
      <c r="Z27" s="58">
        <f t="shared" si="146"/>
        <v>0</v>
      </c>
      <c r="AA27" s="58">
        <f>+AA24-AA25-AA26</f>
        <v>0</v>
      </c>
      <c r="AB27" s="106"/>
      <c r="AC27" s="58">
        <f>+AC24-AC25-AC26</f>
        <v>0</v>
      </c>
      <c r="AD27" s="58">
        <f t="shared" ref="AD27:AN27" si="147">+AD24-AD25-AD26</f>
        <v>0</v>
      </c>
      <c r="AE27" s="58">
        <f t="shared" si="147"/>
        <v>0</v>
      </c>
      <c r="AF27" s="58">
        <f t="shared" si="147"/>
        <v>0</v>
      </c>
      <c r="AG27" s="58">
        <f t="shared" si="147"/>
        <v>0</v>
      </c>
      <c r="AH27" s="58">
        <f t="shared" si="147"/>
        <v>0</v>
      </c>
      <c r="AI27" s="58">
        <f t="shared" si="147"/>
        <v>0</v>
      </c>
      <c r="AJ27" s="58">
        <f t="shared" si="147"/>
        <v>0</v>
      </c>
      <c r="AK27" s="58">
        <f t="shared" si="147"/>
        <v>0</v>
      </c>
      <c r="AL27" s="58">
        <f t="shared" si="147"/>
        <v>0</v>
      </c>
      <c r="AM27" s="58">
        <f t="shared" si="147"/>
        <v>0</v>
      </c>
      <c r="AN27" s="58">
        <f t="shared" si="147"/>
        <v>0</v>
      </c>
      <c r="AO27" s="58">
        <f>+AO24-AO25-AO26</f>
        <v>0</v>
      </c>
      <c r="AP27" s="106"/>
      <c r="AQ27" s="58">
        <f t="shared" ref="AQ27:BC27" si="148">+AQ24-AQ25-AQ26</f>
        <v>0</v>
      </c>
      <c r="AR27" s="58">
        <f t="shared" si="148"/>
        <v>0</v>
      </c>
      <c r="AS27" s="58">
        <f t="shared" si="148"/>
        <v>0</v>
      </c>
      <c r="AT27" s="58">
        <f t="shared" si="148"/>
        <v>0</v>
      </c>
      <c r="AU27" s="58">
        <f t="shared" si="148"/>
        <v>0</v>
      </c>
      <c r="AV27" s="58">
        <f t="shared" si="148"/>
        <v>0</v>
      </c>
      <c r="AW27" s="58">
        <f t="shared" si="148"/>
        <v>0</v>
      </c>
      <c r="AX27" s="58">
        <f t="shared" si="148"/>
        <v>0</v>
      </c>
      <c r="AY27" s="58">
        <f t="shared" si="148"/>
        <v>0</v>
      </c>
      <c r="AZ27" s="58">
        <f t="shared" si="148"/>
        <v>0</v>
      </c>
      <c r="BA27" s="58">
        <f t="shared" si="148"/>
        <v>0</v>
      </c>
      <c r="BB27" s="58">
        <f t="shared" si="148"/>
        <v>0</v>
      </c>
      <c r="BC27" s="58">
        <f t="shared" si="148"/>
        <v>0</v>
      </c>
      <c r="BD27" s="10" t="str">
        <f t="shared" si="16"/>
        <v>Gross Profit</v>
      </c>
      <c r="BE27" s="58">
        <f t="shared" ref="BE27:BQ27" si="149">+BE24-BE25-BE26</f>
        <v>0</v>
      </c>
      <c r="BF27" s="58">
        <f t="shared" si="149"/>
        <v>0</v>
      </c>
      <c r="BG27" s="58">
        <f t="shared" si="149"/>
        <v>0</v>
      </c>
      <c r="BH27" s="58">
        <f t="shared" si="149"/>
        <v>0</v>
      </c>
      <c r="BI27" s="58">
        <f t="shared" si="149"/>
        <v>0</v>
      </c>
      <c r="BJ27" s="58">
        <f t="shared" si="149"/>
        <v>0</v>
      </c>
      <c r="BK27" s="58">
        <f t="shared" si="149"/>
        <v>0</v>
      </c>
      <c r="BL27" s="58">
        <f t="shared" si="149"/>
        <v>0</v>
      </c>
      <c r="BM27" s="58">
        <f t="shared" si="149"/>
        <v>0</v>
      </c>
      <c r="BN27" s="58">
        <f t="shared" si="149"/>
        <v>0</v>
      </c>
      <c r="BO27" s="58">
        <f t="shared" si="149"/>
        <v>0</v>
      </c>
      <c r="BP27" s="58">
        <f t="shared" si="149"/>
        <v>0</v>
      </c>
      <c r="BQ27" s="58">
        <f t="shared" si="149"/>
        <v>0</v>
      </c>
      <c r="BR27" s="114"/>
      <c r="BS27" s="58">
        <f t="shared" ref="BS27:CE27" si="150">+BS24-BS25-BS26</f>
        <v>0</v>
      </c>
      <c r="BT27" s="58">
        <f t="shared" si="150"/>
        <v>0</v>
      </c>
      <c r="BU27" s="58">
        <f t="shared" si="150"/>
        <v>0</v>
      </c>
      <c r="BV27" s="58">
        <f t="shared" si="150"/>
        <v>0</v>
      </c>
      <c r="BW27" s="58">
        <f t="shared" si="150"/>
        <v>0</v>
      </c>
      <c r="BX27" s="58">
        <f t="shared" si="150"/>
        <v>0</v>
      </c>
      <c r="BY27" s="58">
        <f t="shared" si="150"/>
        <v>0</v>
      </c>
      <c r="BZ27" s="58">
        <f t="shared" si="150"/>
        <v>0</v>
      </c>
      <c r="CA27" s="58">
        <f t="shared" si="150"/>
        <v>0</v>
      </c>
      <c r="CB27" s="58">
        <f t="shared" si="150"/>
        <v>0</v>
      </c>
      <c r="CC27" s="58">
        <f t="shared" si="150"/>
        <v>0</v>
      </c>
      <c r="CD27" s="58">
        <f t="shared" si="150"/>
        <v>0</v>
      </c>
      <c r="CE27" s="58">
        <f t="shared" si="150"/>
        <v>0</v>
      </c>
      <c r="CF27" s="106"/>
      <c r="CG27" s="58">
        <f t="shared" ref="CG27:CS27" si="151">+CG24-CG25-CG26</f>
        <v>0</v>
      </c>
      <c r="CH27" s="58">
        <f t="shared" si="151"/>
        <v>0</v>
      </c>
      <c r="CI27" s="58">
        <f t="shared" si="151"/>
        <v>0</v>
      </c>
      <c r="CJ27" s="58">
        <f t="shared" si="151"/>
        <v>0</v>
      </c>
      <c r="CK27" s="58">
        <f t="shared" si="151"/>
        <v>0</v>
      </c>
      <c r="CL27" s="58">
        <f t="shared" si="151"/>
        <v>0</v>
      </c>
      <c r="CM27" s="58">
        <f t="shared" si="151"/>
        <v>0</v>
      </c>
      <c r="CN27" s="58">
        <f t="shared" si="151"/>
        <v>0</v>
      </c>
      <c r="CO27" s="58">
        <f t="shared" si="151"/>
        <v>0</v>
      </c>
      <c r="CP27" s="58">
        <f t="shared" si="151"/>
        <v>0</v>
      </c>
      <c r="CQ27" s="58">
        <f t="shared" si="151"/>
        <v>0</v>
      </c>
      <c r="CR27" s="58">
        <f t="shared" si="151"/>
        <v>0</v>
      </c>
      <c r="CS27" s="58">
        <f t="shared" si="151"/>
        <v>0</v>
      </c>
      <c r="CT27" s="10" t="str">
        <f t="shared" si="20"/>
        <v>Gross Profit</v>
      </c>
      <c r="CU27" s="58">
        <f t="shared" ref="CU27:DG27" si="152">+CU24-CU25-CU26</f>
        <v>0</v>
      </c>
      <c r="CV27" s="58">
        <f t="shared" si="152"/>
        <v>0</v>
      </c>
      <c r="CW27" s="58">
        <f t="shared" si="152"/>
        <v>0</v>
      </c>
      <c r="CX27" s="58">
        <f t="shared" si="152"/>
        <v>0</v>
      </c>
      <c r="CY27" s="58">
        <f t="shared" si="152"/>
        <v>0</v>
      </c>
      <c r="CZ27" s="58">
        <f t="shared" si="152"/>
        <v>0</v>
      </c>
      <c r="DA27" s="58">
        <f t="shared" si="152"/>
        <v>0</v>
      </c>
      <c r="DB27" s="58">
        <f t="shared" si="152"/>
        <v>0</v>
      </c>
      <c r="DC27" s="58">
        <f t="shared" si="152"/>
        <v>0</v>
      </c>
      <c r="DD27" s="58">
        <f t="shared" si="152"/>
        <v>0</v>
      </c>
      <c r="DE27" s="58">
        <f t="shared" si="152"/>
        <v>0</v>
      </c>
      <c r="DF27" s="58">
        <f t="shared" si="152"/>
        <v>0</v>
      </c>
      <c r="DG27" s="58">
        <f t="shared" si="152"/>
        <v>0</v>
      </c>
      <c r="DH27" s="106"/>
      <c r="DI27" s="58">
        <f t="shared" ref="DI27:DU27" si="153">+DI24-DI25-DI26</f>
        <v>0</v>
      </c>
      <c r="DJ27" s="58">
        <f t="shared" si="153"/>
        <v>0</v>
      </c>
      <c r="DK27" s="58">
        <f t="shared" si="153"/>
        <v>0</v>
      </c>
      <c r="DL27" s="58">
        <f t="shared" si="153"/>
        <v>0</v>
      </c>
      <c r="DM27" s="58">
        <f t="shared" si="153"/>
        <v>0</v>
      </c>
      <c r="DN27" s="58">
        <f t="shared" si="153"/>
        <v>0</v>
      </c>
      <c r="DO27" s="58">
        <f t="shared" si="153"/>
        <v>0</v>
      </c>
      <c r="DP27" s="58">
        <f t="shared" si="153"/>
        <v>0</v>
      </c>
      <c r="DQ27" s="58">
        <f t="shared" si="153"/>
        <v>0</v>
      </c>
      <c r="DR27" s="58">
        <f t="shared" si="153"/>
        <v>0</v>
      </c>
      <c r="DS27" s="58">
        <f t="shared" si="153"/>
        <v>0</v>
      </c>
      <c r="DT27" s="58">
        <f t="shared" si="153"/>
        <v>0</v>
      </c>
      <c r="DU27" s="58">
        <f t="shared" si="153"/>
        <v>0</v>
      </c>
      <c r="DV27" s="106"/>
      <c r="DW27" s="58">
        <f t="shared" ref="DW27:EI27" si="154">+DW24-DW25-DW26</f>
        <v>0</v>
      </c>
      <c r="DX27" s="58">
        <f t="shared" si="154"/>
        <v>0</v>
      </c>
      <c r="DY27" s="58">
        <f t="shared" si="154"/>
        <v>0</v>
      </c>
      <c r="DZ27" s="58">
        <f t="shared" si="154"/>
        <v>0</v>
      </c>
      <c r="EA27" s="58">
        <f t="shared" si="154"/>
        <v>0</v>
      </c>
      <c r="EB27" s="58">
        <f t="shared" si="154"/>
        <v>0</v>
      </c>
      <c r="EC27" s="58">
        <f t="shared" si="154"/>
        <v>0</v>
      </c>
      <c r="ED27" s="58">
        <f t="shared" si="154"/>
        <v>0</v>
      </c>
      <c r="EE27" s="58">
        <f t="shared" si="154"/>
        <v>0</v>
      </c>
      <c r="EF27" s="58">
        <f t="shared" si="154"/>
        <v>0</v>
      </c>
      <c r="EG27" s="58">
        <f t="shared" si="154"/>
        <v>0</v>
      </c>
      <c r="EH27" s="58">
        <f t="shared" si="154"/>
        <v>0</v>
      </c>
      <c r="EI27" s="58">
        <f t="shared" si="154"/>
        <v>0</v>
      </c>
      <c r="EJ27" s="10" t="str">
        <f t="shared" si="93"/>
        <v>Gross Profit</v>
      </c>
      <c r="EK27" s="58">
        <f t="shared" ref="EK27:EW27" si="155">+EK24-EK25-EK26</f>
        <v>0</v>
      </c>
      <c r="EL27" s="58">
        <f t="shared" si="155"/>
        <v>0</v>
      </c>
      <c r="EM27" s="58">
        <f t="shared" si="155"/>
        <v>0</v>
      </c>
      <c r="EN27" s="58">
        <f t="shared" si="155"/>
        <v>0</v>
      </c>
      <c r="EO27" s="58">
        <f t="shared" si="155"/>
        <v>0</v>
      </c>
      <c r="EP27" s="58">
        <f t="shared" si="155"/>
        <v>0</v>
      </c>
      <c r="EQ27" s="58">
        <f t="shared" si="155"/>
        <v>0</v>
      </c>
      <c r="ER27" s="58">
        <f t="shared" si="155"/>
        <v>0</v>
      </c>
      <c r="ES27" s="58">
        <f t="shared" si="155"/>
        <v>0</v>
      </c>
      <c r="ET27" s="58">
        <f t="shared" si="155"/>
        <v>0</v>
      </c>
      <c r="EU27" s="58">
        <f t="shared" si="155"/>
        <v>0</v>
      </c>
      <c r="EV27" s="58">
        <f t="shared" si="155"/>
        <v>0</v>
      </c>
      <c r="EW27" s="58">
        <f t="shared" si="155"/>
        <v>0</v>
      </c>
      <c r="EX27" s="106"/>
      <c r="EY27" s="58">
        <f t="shared" ref="EY27:FK27" si="156">+EY24-EY25-EY26</f>
        <v>0</v>
      </c>
      <c r="EZ27" s="58">
        <f t="shared" si="156"/>
        <v>0</v>
      </c>
      <c r="FA27" s="58">
        <f t="shared" si="156"/>
        <v>0</v>
      </c>
      <c r="FB27" s="58">
        <f t="shared" si="156"/>
        <v>0</v>
      </c>
      <c r="FC27" s="58">
        <f t="shared" si="156"/>
        <v>0</v>
      </c>
      <c r="FD27" s="58">
        <f t="shared" si="156"/>
        <v>0</v>
      </c>
      <c r="FE27" s="58">
        <f t="shared" si="156"/>
        <v>0</v>
      </c>
      <c r="FF27" s="58">
        <f t="shared" si="156"/>
        <v>0</v>
      </c>
      <c r="FG27" s="58">
        <f t="shared" si="156"/>
        <v>0</v>
      </c>
      <c r="FH27" s="58">
        <f t="shared" si="156"/>
        <v>0</v>
      </c>
      <c r="FI27" s="58">
        <f t="shared" si="156"/>
        <v>0</v>
      </c>
      <c r="FJ27" s="58">
        <f t="shared" si="156"/>
        <v>0</v>
      </c>
      <c r="FK27" s="58">
        <f t="shared" si="156"/>
        <v>0</v>
      </c>
    </row>
    <row r="28" spans="1:167" ht="14.45" hidden="1" customHeight="1" outlineLevel="2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1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1">
        <f t="shared" si="16"/>
        <v>0</v>
      </c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14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  <c r="CF28" s="106"/>
      <c r="CG28" s="106"/>
      <c r="CH28" s="106"/>
      <c r="CI28" s="106"/>
      <c r="CJ28" s="106"/>
      <c r="CK28" s="106"/>
      <c r="CL28" s="106"/>
      <c r="CM28" s="106"/>
      <c r="CN28" s="106"/>
      <c r="CO28" s="106"/>
      <c r="CP28" s="106"/>
      <c r="CQ28" s="106"/>
      <c r="CR28" s="106"/>
      <c r="CS28" s="106"/>
      <c r="CT28" s="11">
        <f t="shared" si="20"/>
        <v>0</v>
      </c>
      <c r="CU28" s="106"/>
      <c r="CV28" s="106"/>
      <c r="CW28" s="106"/>
      <c r="CX28" s="106"/>
      <c r="CY28" s="106"/>
      <c r="CZ28" s="106"/>
      <c r="DA28" s="106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  <c r="DN28" s="106"/>
      <c r="DO28" s="106"/>
      <c r="DP28" s="106"/>
      <c r="DQ28" s="106"/>
      <c r="DR28" s="106"/>
      <c r="DS28" s="106"/>
      <c r="DT28" s="106"/>
      <c r="DU28" s="106"/>
      <c r="DV28" s="106"/>
      <c r="DW28" s="106"/>
      <c r="DX28" s="106"/>
      <c r="DY28" s="106"/>
      <c r="DZ28" s="106"/>
      <c r="EA28" s="106"/>
      <c r="EB28" s="106"/>
      <c r="EC28" s="106"/>
      <c r="ED28" s="106"/>
      <c r="EE28" s="106"/>
      <c r="EF28" s="106"/>
      <c r="EG28" s="106"/>
      <c r="EH28" s="106"/>
      <c r="EI28" s="106"/>
      <c r="EJ28" s="11">
        <f t="shared" si="93"/>
        <v>0</v>
      </c>
      <c r="EK28" s="106"/>
      <c r="EL28" s="106"/>
      <c r="EM28" s="106"/>
      <c r="EN28" s="106"/>
      <c r="EO28" s="106"/>
      <c r="EP28" s="106"/>
      <c r="EQ28" s="106"/>
      <c r="ER28" s="106"/>
      <c r="ES28" s="106"/>
      <c r="ET28" s="106"/>
      <c r="EU28" s="106"/>
      <c r="EV28" s="106"/>
      <c r="EW28" s="106"/>
      <c r="EX28" s="106"/>
      <c r="EY28" s="106"/>
      <c r="EZ28" s="106"/>
      <c r="FA28" s="106"/>
      <c r="FB28" s="106"/>
      <c r="FC28" s="106"/>
      <c r="FD28" s="106"/>
      <c r="FE28" s="106"/>
      <c r="FF28" s="106"/>
      <c r="FG28" s="106"/>
      <c r="FH28" s="106"/>
      <c r="FI28" s="106"/>
      <c r="FJ28" s="106"/>
      <c r="FK28" s="106"/>
    </row>
    <row r="29" spans="1:167" ht="17.25" customHeight="1" collapsed="1">
      <c r="A29" s="58">
        <f>+SUM(A31:A37)</f>
        <v>32712449.459999979</v>
      </c>
      <c r="B29" s="58">
        <f t="shared" ref="B29:L29" si="157">+SUM(B31:B37)</f>
        <v>41690513.539999992</v>
      </c>
      <c r="C29" s="58">
        <f t="shared" si="157"/>
        <v>30097325.573438089</v>
      </c>
      <c r="D29" s="58">
        <f t="shared" si="157"/>
        <v>27036521.819999985</v>
      </c>
      <c r="E29" s="58">
        <f t="shared" si="157"/>
        <v>30530527.565169748</v>
      </c>
      <c r="F29" s="58">
        <f t="shared" si="157"/>
        <v>34507885.905382149</v>
      </c>
      <c r="G29" s="58">
        <f t="shared" si="157"/>
        <v>34186451.012530409</v>
      </c>
      <c r="H29" s="58">
        <f t="shared" si="157"/>
        <v>39880081.528633915</v>
      </c>
      <c r="I29" s="58">
        <f t="shared" si="157"/>
        <v>37495977.817720674</v>
      </c>
      <c r="J29" s="58">
        <f t="shared" si="157"/>
        <v>34756798.74821268</v>
      </c>
      <c r="K29" s="58">
        <f t="shared" si="157"/>
        <v>41585670.693762675</v>
      </c>
      <c r="L29" s="58">
        <f t="shared" si="157"/>
        <v>41698838.718836673</v>
      </c>
      <c r="M29" s="58">
        <f>+SUM(M31:M37)</f>
        <v>426179042.38368702</v>
      </c>
      <c r="N29" s="5" t="s">
        <v>24</v>
      </c>
      <c r="O29" s="58">
        <f>+SUM(O31:O37)</f>
        <v>33689540.953171842</v>
      </c>
      <c r="P29" s="58">
        <f t="shared" ref="P29:Z29" si="158">+SUM(P31:P37)</f>
        <v>30209173.421385035</v>
      </c>
      <c r="Q29" s="58">
        <f t="shared" si="158"/>
        <v>45373708.862692036</v>
      </c>
      <c r="R29" s="58">
        <f t="shared" si="158"/>
        <v>37420969.841410019</v>
      </c>
      <c r="S29" s="58">
        <f t="shared" si="158"/>
        <v>50647749.458475992</v>
      </c>
      <c r="T29" s="58">
        <f t="shared" si="158"/>
        <v>37247192.001837112</v>
      </c>
      <c r="U29" s="58">
        <f t="shared" si="158"/>
        <v>45528757.009999968</v>
      </c>
      <c r="V29" s="58">
        <f t="shared" si="158"/>
        <v>45087699.951017499</v>
      </c>
      <c r="W29" s="58">
        <f t="shared" si="158"/>
        <v>42043993.019999981</v>
      </c>
      <c r="X29" s="58">
        <f t="shared" si="158"/>
        <v>42505737.080965117</v>
      </c>
      <c r="Y29" s="58">
        <f t="shared" si="158"/>
        <v>0</v>
      </c>
      <c r="Z29" s="58">
        <f t="shared" si="158"/>
        <v>0</v>
      </c>
      <c r="AA29" s="58">
        <f>+SUM(AA31:AA37)</f>
        <v>409754521.60095465</v>
      </c>
      <c r="AB29" s="118"/>
      <c r="AC29" s="58">
        <f>+SUM(AC31:AC37)</f>
        <v>44168917.765400007</v>
      </c>
      <c r="AD29" s="58">
        <f t="shared" ref="AD29:AN29" si="159">+SUM(AD31:AD37)</f>
        <v>43170397.356800012</v>
      </c>
      <c r="AE29" s="58">
        <f t="shared" si="159"/>
        <v>43875552.3728</v>
      </c>
      <c r="AF29" s="58">
        <f t="shared" si="159"/>
        <v>37255656.567299999</v>
      </c>
      <c r="AG29" s="58">
        <f t="shared" si="159"/>
        <v>42632013.480299994</v>
      </c>
      <c r="AH29" s="58">
        <f t="shared" si="159"/>
        <v>44599368.007199995</v>
      </c>
      <c r="AI29" s="58">
        <f t="shared" si="159"/>
        <v>46299927.826000005</v>
      </c>
      <c r="AJ29" s="58">
        <f t="shared" si="159"/>
        <v>47435269.585900009</v>
      </c>
      <c r="AK29" s="58">
        <f t="shared" si="159"/>
        <v>48582914.538100004</v>
      </c>
      <c r="AL29" s="58">
        <f t="shared" si="159"/>
        <v>40376705.479944445</v>
      </c>
      <c r="AM29" s="58">
        <f t="shared" si="159"/>
        <v>36488436.878177792</v>
      </c>
      <c r="AN29" s="58">
        <f t="shared" si="159"/>
        <v>44152208.88702929</v>
      </c>
      <c r="AO29" s="58">
        <f>+SUM(AO31:AO37)</f>
        <v>519037368.74495155</v>
      </c>
      <c r="AP29" s="106"/>
      <c r="AQ29" s="58">
        <f t="shared" ref="AQ29:BC29" si="160">+SUM(AQ31:AQ37)</f>
        <v>18341375.886360019</v>
      </c>
      <c r="AR29" s="58">
        <f t="shared" si="160"/>
        <v>26419966.069797456</v>
      </c>
      <c r="AS29" s="58">
        <f t="shared" si="160"/>
        <v>19142831.066425558</v>
      </c>
      <c r="AT29" s="58">
        <f t="shared" si="160"/>
        <v>19360736.576088224</v>
      </c>
      <c r="AU29" s="58">
        <f t="shared" si="160"/>
        <v>14722600.411950152</v>
      </c>
      <c r="AV29" s="58">
        <f t="shared" si="160"/>
        <v>19319600.087692514</v>
      </c>
      <c r="AW29" s="58">
        <f t="shared" si="160"/>
        <v>21705117.685518499</v>
      </c>
      <c r="AX29" s="58">
        <f t="shared" si="160"/>
        <v>26035903.698191877</v>
      </c>
      <c r="AY29" s="58">
        <f t="shared" si="160"/>
        <v>25615046.424798656</v>
      </c>
      <c r="AZ29" s="58">
        <f t="shared" si="160"/>
        <v>22143694.327266749</v>
      </c>
      <c r="BA29" s="58">
        <f t="shared" si="160"/>
        <v>24987729.869703498</v>
      </c>
      <c r="BB29" s="58">
        <f t="shared" si="160"/>
        <v>28388378.464677084</v>
      </c>
      <c r="BC29" s="58">
        <f t="shared" si="160"/>
        <v>266182980.5684703</v>
      </c>
      <c r="BD29" s="5" t="str">
        <f t="shared" si="16"/>
        <v>Service</v>
      </c>
      <c r="BE29" s="58">
        <f t="shared" ref="BE29:BQ29" si="161">+SUM(BE31:BE37)</f>
        <v>19119342.519422498</v>
      </c>
      <c r="BF29" s="58">
        <f t="shared" si="161"/>
        <v>17560892.160538107</v>
      </c>
      <c r="BG29" s="58">
        <f t="shared" si="161"/>
        <v>29947615.161152951</v>
      </c>
      <c r="BH29" s="58">
        <f t="shared" si="161"/>
        <v>25660410.674590435</v>
      </c>
      <c r="BI29" s="58">
        <f t="shared" si="161"/>
        <v>32618196.486053851</v>
      </c>
      <c r="BJ29" s="58">
        <f t="shared" si="161"/>
        <v>21514408.461642697</v>
      </c>
      <c r="BK29" s="58">
        <f t="shared" si="161"/>
        <v>27545435.480122548</v>
      </c>
      <c r="BL29" s="58">
        <f t="shared" si="161"/>
        <v>26420258.786312915</v>
      </c>
      <c r="BM29" s="58">
        <f t="shared" si="161"/>
        <v>27759750.36381745</v>
      </c>
      <c r="BN29" s="58">
        <f t="shared" si="161"/>
        <v>23468012.651675578</v>
      </c>
      <c r="BO29" s="58">
        <f t="shared" si="161"/>
        <v>0</v>
      </c>
      <c r="BP29" s="58">
        <f t="shared" si="161"/>
        <v>0</v>
      </c>
      <c r="BQ29" s="58">
        <f t="shared" si="161"/>
        <v>251614322.74532902</v>
      </c>
      <c r="BR29" s="118"/>
      <c r="BS29" s="58">
        <f t="shared" ref="BS29:CE29" si="162">+SUM(BS31:BS37)</f>
        <v>23670492.344000001</v>
      </c>
      <c r="BT29" s="58">
        <f t="shared" si="162"/>
        <v>23112943.833600003</v>
      </c>
      <c r="BU29" s="58">
        <f t="shared" si="162"/>
        <v>21440298.3024</v>
      </c>
      <c r="BV29" s="58">
        <f t="shared" si="162"/>
        <v>20068695.768799998</v>
      </c>
      <c r="BW29" s="58">
        <f t="shared" si="162"/>
        <v>22142515.011999998</v>
      </c>
      <c r="BX29" s="58">
        <f t="shared" si="162"/>
        <v>22933405.663999997</v>
      </c>
      <c r="BY29" s="58">
        <f t="shared" si="162"/>
        <v>23484510.096000005</v>
      </c>
      <c r="BZ29" s="58">
        <f t="shared" si="162"/>
        <v>24512139.156000003</v>
      </c>
      <c r="CA29" s="58">
        <f t="shared" si="162"/>
        <v>25991910.348000001</v>
      </c>
      <c r="CB29" s="58">
        <f t="shared" si="162"/>
        <v>22757562.436000001</v>
      </c>
      <c r="CC29" s="58">
        <f t="shared" si="162"/>
        <v>18206049.948800001</v>
      </c>
      <c r="CD29" s="58">
        <f t="shared" si="162"/>
        <v>24057994.575199995</v>
      </c>
      <c r="CE29" s="58">
        <f t="shared" si="162"/>
        <v>272378517.48479998</v>
      </c>
      <c r="CF29" s="106"/>
      <c r="CG29" s="58">
        <f t="shared" ref="CG29:CS29" si="163">+SUM(CG31:CG37)</f>
        <v>14371073.573639957</v>
      </c>
      <c r="CH29" s="58">
        <f t="shared" si="163"/>
        <v>15270547.470202528</v>
      </c>
      <c r="CI29" s="58">
        <f t="shared" si="163"/>
        <v>10954494.507012535</v>
      </c>
      <c r="CJ29" s="58">
        <f t="shared" si="163"/>
        <v>7675785.2439117618</v>
      </c>
      <c r="CK29" s="58">
        <f t="shared" si="163"/>
        <v>15807927.153219596</v>
      </c>
      <c r="CL29" s="58">
        <f t="shared" si="163"/>
        <v>15188285.817689629</v>
      </c>
      <c r="CM29" s="58">
        <f t="shared" si="163"/>
        <v>12481333.327011915</v>
      </c>
      <c r="CN29" s="58">
        <f t="shared" si="163"/>
        <v>13844177.830442037</v>
      </c>
      <c r="CO29" s="58">
        <f t="shared" si="163"/>
        <v>11880931.392922018</v>
      </c>
      <c r="CP29" s="58">
        <f t="shared" si="163"/>
        <v>12613104.420945941</v>
      </c>
      <c r="CQ29" s="58">
        <f t="shared" si="163"/>
        <v>16597940.824059179</v>
      </c>
      <c r="CR29" s="58">
        <f t="shared" si="163"/>
        <v>13310460.254159583</v>
      </c>
      <c r="CS29" s="58">
        <f t="shared" si="163"/>
        <v>159996061.81521672</v>
      </c>
      <c r="CT29" s="5" t="str">
        <f t="shared" si="20"/>
        <v>Service</v>
      </c>
      <c r="CU29" s="58">
        <f t="shared" ref="CU29:DG29" si="164">+SUM(CU31:CU37)</f>
        <v>11984106.396249656</v>
      </c>
      <c r="CV29" s="58">
        <f t="shared" si="164"/>
        <v>8548458.8452460878</v>
      </c>
      <c r="CW29" s="58">
        <f t="shared" si="164"/>
        <v>12392486.171539085</v>
      </c>
      <c r="CX29" s="58">
        <f t="shared" si="164"/>
        <v>9431339.9368195869</v>
      </c>
      <c r="CY29" s="58">
        <f t="shared" si="164"/>
        <v>14296493.412422143</v>
      </c>
      <c r="CZ29" s="58">
        <f t="shared" si="164"/>
        <v>10170735.786799749</v>
      </c>
      <c r="DA29" s="58">
        <f t="shared" si="164"/>
        <v>13586205.319877423</v>
      </c>
      <c r="DB29" s="58">
        <f t="shared" si="164"/>
        <v>13373025.574704584</v>
      </c>
      <c r="DC29" s="58">
        <f t="shared" si="164"/>
        <v>10498981.911998043</v>
      </c>
      <c r="DD29" s="58">
        <f t="shared" si="164"/>
        <v>13885052.84005093</v>
      </c>
      <c r="DE29" s="58">
        <f t="shared" si="164"/>
        <v>0</v>
      </c>
      <c r="DF29" s="58">
        <f t="shared" si="164"/>
        <v>0</v>
      </c>
      <c r="DG29" s="58">
        <f t="shared" si="164"/>
        <v>118166886.19570729</v>
      </c>
      <c r="DH29" s="118"/>
      <c r="DI29" s="58">
        <f t="shared" ref="DI29:DU29" si="165">+SUM(DI31:DI37)</f>
        <v>15156869.621400002</v>
      </c>
      <c r="DJ29" s="58">
        <f t="shared" si="165"/>
        <v>15072001.443200001</v>
      </c>
      <c r="DK29" s="58">
        <f t="shared" si="165"/>
        <v>16871133.4454</v>
      </c>
      <c r="DL29" s="58">
        <f t="shared" si="165"/>
        <v>12201508.718500001</v>
      </c>
      <c r="DM29" s="58">
        <f t="shared" si="165"/>
        <v>14554436.4683</v>
      </c>
      <c r="DN29" s="58">
        <f t="shared" si="165"/>
        <v>15730900.3432</v>
      </c>
      <c r="DO29" s="58">
        <f t="shared" si="165"/>
        <v>16138472.979999999</v>
      </c>
      <c r="DP29" s="58">
        <f t="shared" si="165"/>
        <v>16493479.929900002</v>
      </c>
      <c r="DQ29" s="58">
        <f t="shared" si="165"/>
        <v>16448215.020099999</v>
      </c>
      <c r="DR29" s="58">
        <f t="shared" si="165"/>
        <v>13290598.5995</v>
      </c>
      <c r="DS29" s="58">
        <f t="shared" si="165"/>
        <v>13792073.5516</v>
      </c>
      <c r="DT29" s="58">
        <f t="shared" si="165"/>
        <v>15404173.378899999</v>
      </c>
      <c r="DU29" s="58">
        <f t="shared" si="165"/>
        <v>181153863.5</v>
      </c>
      <c r="DV29" s="106"/>
      <c r="DW29" s="58">
        <f t="shared" ref="DW29:EI29" si="166">+SUM(DW31:DW37)</f>
        <v>0</v>
      </c>
      <c r="DX29" s="58">
        <f t="shared" si="166"/>
        <v>0</v>
      </c>
      <c r="DY29" s="58">
        <f t="shared" si="166"/>
        <v>0</v>
      </c>
      <c r="DZ29" s="58">
        <f t="shared" si="166"/>
        <v>0</v>
      </c>
      <c r="EA29" s="58">
        <f t="shared" si="166"/>
        <v>0</v>
      </c>
      <c r="EB29" s="58">
        <f t="shared" si="166"/>
        <v>0</v>
      </c>
      <c r="EC29" s="58">
        <f t="shared" si="166"/>
        <v>0</v>
      </c>
      <c r="ED29" s="58">
        <f t="shared" si="166"/>
        <v>0</v>
      </c>
      <c r="EE29" s="58">
        <f t="shared" si="166"/>
        <v>0</v>
      </c>
      <c r="EF29" s="58">
        <f t="shared" si="166"/>
        <v>0</v>
      </c>
      <c r="EG29" s="58">
        <f t="shared" si="166"/>
        <v>0</v>
      </c>
      <c r="EH29" s="58">
        <f t="shared" si="166"/>
        <v>0</v>
      </c>
      <c r="EI29" s="58">
        <f t="shared" si="166"/>
        <v>0</v>
      </c>
      <c r="EJ29" s="5" t="str">
        <f t="shared" si="93"/>
        <v>Service</v>
      </c>
      <c r="EK29" s="58">
        <f t="shared" ref="EK29:EW29" si="167">+SUM(EK31:EK37)</f>
        <v>2586092.0374996974</v>
      </c>
      <c r="EL29" s="58">
        <f t="shared" si="167"/>
        <v>4099822.4156008442</v>
      </c>
      <c r="EM29" s="58">
        <f t="shared" si="167"/>
        <v>3033607.53</v>
      </c>
      <c r="EN29" s="58">
        <f t="shared" si="167"/>
        <v>2329219.23</v>
      </c>
      <c r="EO29" s="58">
        <f t="shared" si="167"/>
        <v>3733059.560000001</v>
      </c>
      <c r="EP29" s="58">
        <f t="shared" si="167"/>
        <v>5562047.7533946661</v>
      </c>
      <c r="EQ29" s="58">
        <f t="shared" si="167"/>
        <v>4397116.21</v>
      </c>
      <c r="ER29" s="58">
        <f t="shared" si="167"/>
        <v>5294415.5899999989</v>
      </c>
      <c r="ES29" s="58">
        <f t="shared" si="167"/>
        <v>3785260.7441844949</v>
      </c>
      <c r="ET29" s="58">
        <f t="shared" si="167"/>
        <v>5152671.5892386036</v>
      </c>
      <c r="EU29" s="58">
        <f t="shared" si="167"/>
        <v>0</v>
      </c>
      <c r="EV29" s="58">
        <f t="shared" si="167"/>
        <v>0</v>
      </c>
      <c r="EW29" s="58">
        <f t="shared" si="167"/>
        <v>39973312.659918301</v>
      </c>
      <c r="EX29" s="118"/>
      <c r="EY29" s="58">
        <f t="shared" ref="EY29:FK29" si="168">+SUM(EY31:EY37)</f>
        <v>5341555.8</v>
      </c>
      <c r="EZ29" s="58">
        <f t="shared" si="168"/>
        <v>4985452.08</v>
      </c>
      <c r="FA29" s="58">
        <f t="shared" si="168"/>
        <v>5564120.625</v>
      </c>
      <c r="FB29" s="58">
        <f t="shared" si="168"/>
        <v>4985452.08</v>
      </c>
      <c r="FC29" s="58">
        <f t="shared" si="168"/>
        <v>5935062</v>
      </c>
      <c r="FD29" s="58">
        <f t="shared" si="168"/>
        <v>5935062</v>
      </c>
      <c r="FE29" s="58">
        <f t="shared" si="168"/>
        <v>6676944.75</v>
      </c>
      <c r="FF29" s="58">
        <f t="shared" si="168"/>
        <v>6429650.5</v>
      </c>
      <c r="FG29" s="58">
        <f t="shared" si="168"/>
        <v>6142789.1699999999</v>
      </c>
      <c r="FH29" s="58">
        <f t="shared" si="168"/>
        <v>4328544.444444444</v>
      </c>
      <c r="FI29" s="58">
        <f t="shared" si="168"/>
        <v>4490313.3777777785</v>
      </c>
      <c r="FJ29" s="58">
        <f t="shared" si="168"/>
        <v>4690040.9329292923</v>
      </c>
      <c r="FK29" s="58">
        <f t="shared" si="168"/>
        <v>65504987.760151513</v>
      </c>
    </row>
    <row r="30" spans="1:167" ht="14.45" customHeight="1">
      <c r="A30" s="105">
        <f t="shared" ref="A30:L42" si="169">+AQ30+CG30+DW30</f>
        <v>525</v>
      </c>
      <c r="B30" s="105">
        <f t="shared" si="169"/>
        <v>493</v>
      </c>
      <c r="C30" s="105">
        <f t="shared" si="169"/>
        <v>453</v>
      </c>
      <c r="D30" s="105">
        <f t="shared" si="169"/>
        <v>466</v>
      </c>
      <c r="E30" s="105">
        <f t="shared" si="169"/>
        <v>590</v>
      </c>
      <c r="F30" s="105">
        <f t="shared" si="169"/>
        <v>501</v>
      </c>
      <c r="G30" s="105">
        <f t="shared" si="169"/>
        <v>639</v>
      </c>
      <c r="H30" s="105">
        <f t="shared" si="169"/>
        <v>668</v>
      </c>
      <c r="I30" s="105">
        <f t="shared" si="169"/>
        <v>581</v>
      </c>
      <c r="J30" s="105">
        <f t="shared" si="169"/>
        <v>639</v>
      </c>
      <c r="K30" s="105">
        <f t="shared" si="169"/>
        <v>614</v>
      </c>
      <c r="L30" s="105">
        <f t="shared" si="169"/>
        <v>757</v>
      </c>
      <c r="M30" s="105">
        <f t="shared" ref="M30:M46" si="170">+SUM(A30:L30)</f>
        <v>6926</v>
      </c>
      <c r="N30" s="12" t="s">
        <v>25</v>
      </c>
      <c r="O30" s="105">
        <f t="shared" ref="O30:Z37" si="171">+BE30+CU30+EK30</f>
        <v>997</v>
      </c>
      <c r="P30" s="105">
        <f t="shared" si="171"/>
        <v>767</v>
      </c>
      <c r="Q30" s="105">
        <f t="shared" si="171"/>
        <v>819</v>
      </c>
      <c r="R30" s="105">
        <f t="shared" si="171"/>
        <v>723</v>
      </c>
      <c r="S30" s="105">
        <f t="shared" si="171"/>
        <v>894</v>
      </c>
      <c r="T30" s="105">
        <f t="shared" si="171"/>
        <v>692</v>
      </c>
      <c r="U30" s="105">
        <f t="shared" si="171"/>
        <v>1034</v>
      </c>
      <c r="V30" s="105">
        <f t="shared" si="171"/>
        <v>719</v>
      </c>
      <c r="W30" s="105">
        <f t="shared" si="171"/>
        <v>666</v>
      </c>
      <c r="X30" s="105">
        <f t="shared" si="171"/>
        <v>667</v>
      </c>
      <c r="Y30" s="105">
        <f t="shared" si="171"/>
        <v>0</v>
      </c>
      <c r="Z30" s="105">
        <f t="shared" si="171"/>
        <v>0</v>
      </c>
      <c r="AA30" s="105">
        <f t="shared" ref="AA30:AA37" si="172">+SUM(O30:Z30)</f>
        <v>7978</v>
      </c>
      <c r="AB30" s="118"/>
      <c r="AC30" s="105">
        <f t="shared" ref="AC30:AN37" si="173">+BS30+DI30+EY30</f>
        <v>940.78115000000003</v>
      </c>
      <c r="AD30" s="105">
        <f t="shared" si="173"/>
        <v>932.74306000000013</v>
      </c>
      <c r="AE30" s="105">
        <f t="shared" si="173"/>
        <v>986.08170000000018</v>
      </c>
      <c r="AF30" s="105">
        <f t="shared" si="173"/>
        <v>801.13717599999995</v>
      </c>
      <c r="AG30" s="105">
        <f t="shared" si="173"/>
        <v>915.21572000000003</v>
      </c>
      <c r="AH30" s="105">
        <f t="shared" si="173"/>
        <v>974.02840000000003</v>
      </c>
      <c r="AI30" s="105">
        <f t="shared" si="173"/>
        <v>999.48703000000023</v>
      </c>
      <c r="AJ30" s="105">
        <f t="shared" si="173"/>
        <v>1058.4305200000001</v>
      </c>
      <c r="AK30" s="105">
        <f t="shared" si="173"/>
        <v>1084.4024499999998</v>
      </c>
      <c r="AL30" s="105">
        <f t="shared" si="173"/>
        <v>925.2478000000001</v>
      </c>
      <c r="AM30" s="105">
        <f t="shared" si="173"/>
        <v>839.47424000000001</v>
      </c>
      <c r="AN30" s="105">
        <f t="shared" si="173"/>
        <v>1014.19596</v>
      </c>
      <c r="AO30" s="105">
        <f t="shared" ref="AO30:AO37" si="174">+SUM(AC30:AN30)</f>
        <v>11471.225206000003</v>
      </c>
      <c r="AP30" s="106"/>
      <c r="AQ30" s="105">
        <f>+PMGR!AQ30+BP!AQ30</f>
        <v>506</v>
      </c>
      <c r="AR30" s="105">
        <f>+PMGR!AR30+BP!AR30</f>
        <v>465</v>
      </c>
      <c r="AS30" s="105">
        <f>+PMGR!AS30+BP!AS30</f>
        <v>434</v>
      </c>
      <c r="AT30" s="105">
        <f>+PMGR!AT30+BP!AT30</f>
        <v>444</v>
      </c>
      <c r="AU30" s="105">
        <f>+PMGR!AU30+BP!AU30</f>
        <v>555</v>
      </c>
      <c r="AV30" s="105">
        <f>+PMGR!AV30+BP!AV30</f>
        <v>479</v>
      </c>
      <c r="AW30" s="105">
        <f>+PMGR!AW30+BP!AW30</f>
        <v>613</v>
      </c>
      <c r="AX30" s="105">
        <f>+PMGR!AX30+BP!AX30</f>
        <v>634</v>
      </c>
      <c r="AY30" s="105">
        <f>+PMGR!AY30+BP!AY30</f>
        <v>558</v>
      </c>
      <c r="AZ30" s="105">
        <f>+PMGR!AZ30+BP!AZ30</f>
        <v>606</v>
      </c>
      <c r="BA30" s="105">
        <f>+PMGR!BA30+BP!BA30</f>
        <v>579</v>
      </c>
      <c r="BB30" s="105">
        <f>+PMGR!BB30+BP!BB30</f>
        <v>734</v>
      </c>
      <c r="BC30" s="105">
        <f t="shared" ref="BC30:BC37" si="175">+SUM(AQ30:BB30)</f>
        <v>6607</v>
      </c>
      <c r="BD30" s="12" t="str">
        <f t="shared" si="16"/>
        <v>Throughputs</v>
      </c>
      <c r="BE30" s="105">
        <f>+PMGR!BE30+BP!BE30</f>
        <v>457</v>
      </c>
      <c r="BF30" s="105">
        <f>+PMGR!BF30+BP!BF30</f>
        <v>429</v>
      </c>
      <c r="BG30" s="105">
        <f>+PMGR!BG30+BP!BG30</f>
        <v>435</v>
      </c>
      <c r="BH30" s="105">
        <f>+PMGR!BH30+BP!BH30</f>
        <v>399</v>
      </c>
      <c r="BI30" s="105">
        <f>+PMGR!BI30+BP!BI30</f>
        <v>500</v>
      </c>
      <c r="BJ30" s="105">
        <f>+PMGR!BJ30+BP!BJ30</f>
        <v>335</v>
      </c>
      <c r="BK30" s="105">
        <f>+PMGR!BK30+BP!BK30</f>
        <v>592</v>
      </c>
      <c r="BL30" s="105">
        <f>+PMGR!BL30+BP!BL30</f>
        <v>385</v>
      </c>
      <c r="BM30" s="105">
        <f>+PMGR!BM30+BP!BM30</f>
        <v>387</v>
      </c>
      <c r="BN30" s="105">
        <f>+PMGR!BN30+BP!BN30</f>
        <v>367</v>
      </c>
      <c r="BO30" s="105">
        <f>+PMGR!BO30+BP!BO30</f>
        <v>0</v>
      </c>
      <c r="BP30" s="105">
        <f>+PMGR!BP30+BP!BP30</f>
        <v>0</v>
      </c>
      <c r="BQ30" s="105">
        <f t="shared" ref="BQ30:BQ37" si="176">+SUM(BE30:BP30)</f>
        <v>4286</v>
      </c>
      <c r="BR30" s="118"/>
      <c r="BS30" s="105">
        <f>+PMGR!BS30+BP!BS30</f>
        <v>496.78114999999997</v>
      </c>
      <c r="BT30" s="105">
        <f>+PMGR!BT30+BP!BT30</f>
        <v>496.91906000000006</v>
      </c>
      <c r="BU30" s="105">
        <f>+PMGR!BU30+BP!BU30</f>
        <v>496.33279000000005</v>
      </c>
      <c r="BV30" s="105">
        <f>+PMGR!BV30+BP!BV30</f>
        <v>402.40417600000001</v>
      </c>
      <c r="BW30" s="105">
        <f>+PMGR!BW30+BP!BW30</f>
        <v>471.37192000000005</v>
      </c>
      <c r="BX30" s="105">
        <f>+PMGR!BX30+BP!BX30</f>
        <v>501.5172</v>
      </c>
      <c r="BY30" s="105">
        <f>+PMGR!BY30+BP!BY30</f>
        <v>503.30048000000011</v>
      </c>
      <c r="BZ30" s="105">
        <f>+PMGR!BZ30+BP!BZ30</f>
        <v>554.39706999999999</v>
      </c>
      <c r="CA30" s="105">
        <f>+PMGR!CA30+BP!CA30</f>
        <v>586.52144999999996</v>
      </c>
      <c r="CB30" s="105">
        <f>+PMGR!CB30+BP!CB30</f>
        <v>480.71839999999997</v>
      </c>
      <c r="CC30" s="105">
        <f>+PMGR!CC30+BP!CC30</f>
        <v>384.17471999999998</v>
      </c>
      <c r="CD30" s="105">
        <f>+PMGR!CD30+BP!CD30</f>
        <v>508.73088000000001</v>
      </c>
      <c r="CE30" s="105">
        <f t="shared" ref="CE30:CE37" si="177">+SUM(BS30:CD30)</f>
        <v>5883.169296</v>
      </c>
      <c r="CF30" s="106"/>
      <c r="CG30" s="105">
        <f>+PMGR!CG30+BP!CG30</f>
        <v>19</v>
      </c>
      <c r="CH30" s="105">
        <f>+PMGR!CH30+BP!CH30</f>
        <v>28</v>
      </c>
      <c r="CI30" s="105">
        <f>+PMGR!CI30+BP!CI30</f>
        <v>19</v>
      </c>
      <c r="CJ30" s="105">
        <f>+PMGR!CJ30+BP!CJ30</f>
        <v>22</v>
      </c>
      <c r="CK30" s="105">
        <f>+PMGR!CK30+BP!CK30</f>
        <v>35</v>
      </c>
      <c r="CL30" s="105">
        <f>+PMGR!CL30+BP!CL30</f>
        <v>22</v>
      </c>
      <c r="CM30" s="105">
        <f>+PMGR!CM30+BP!CM30</f>
        <v>26</v>
      </c>
      <c r="CN30" s="105">
        <f>+PMGR!CN30+BP!CN30</f>
        <v>34</v>
      </c>
      <c r="CO30" s="105">
        <f>+PMGR!CO30+BP!CO30</f>
        <v>23</v>
      </c>
      <c r="CP30" s="105">
        <f>+PMGR!CP30+BP!CP30</f>
        <v>33</v>
      </c>
      <c r="CQ30" s="105">
        <f>+PMGR!CQ30+BP!CQ30</f>
        <v>35</v>
      </c>
      <c r="CR30" s="105">
        <f>+PMGR!CR30+BP!CR30</f>
        <v>23</v>
      </c>
      <c r="CS30" s="105">
        <f t="shared" ref="CS30:CS37" si="178">+SUM(CG30:CR30)</f>
        <v>319</v>
      </c>
      <c r="CT30" s="12" t="str">
        <f t="shared" si="20"/>
        <v>Throughputs</v>
      </c>
      <c r="CU30" s="105">
        <f>+PMGR!CU30+BP!CU30</f>
        <v>454</v>
      </c>
      <c r="CV30" s="105">
        <f>+PMGR!CV30+BP!CV30</f>
        <v>244</v>
      </c>
      <c r="CW30" s="105">
        <f>+PMGR!CW30+BP!CW30</f>
        <v>293</v>
      </c>
      <c r="CX30" s="105">
        <f>+PMGR!CX30+BP!CX30</f>
        <v>240</v>
      </c>
      <c r="CY30" s="105">
        <f>+PMGR!CY30+BP!CY30</f>
        <v>286</v>
      </c>
      <c r="CZ30" s="105">
        <f>+PMGR!CZ30+BP!CZ30</f>
        <v>253</v>
      </c>
      <c r="DA30" s="105">
        <f>+PMGR!DA30+BP!DA30</f>
        <v>336</v>
      </c>
      <c r="DB30" s="105">
        <f>+PMGR!DB30+BP!DB30</f>
        <v>247</v>
      </c>
      <c r="DC30" s="105">
        <f>+PMGR!DC30+BP!DC30</f>
        <v>213</v>
      </c>
      <c r="DD30" s="105">
        <f>+PMGR!DD30+BP!DD30</f>
        <v>213</v>
      </c>
      <c r="DE30" s="105">
        <f>+PMGR!DE30+BP!DE30</f>
        <v>0</v>
      </c>
      <c r="DF30" s="105">
        <f>+PMGR!DF30+BP!DF30</f>
        <v>0</v>
      </c>
      <c r="DG30" s="105">
        <f t="shared" ref="DG30:DG37" si="179">+SUM(CU30:DF30)</f>
        <v>2779</v>
      </c>
      <c r="DH30" s="118"/>
      <c r="DI30" s="105">
        <f>+PMGR!DI30+BP!DI30</f>
        <v>320</v>
      </c>
      <c r="DJ30" s="105">
        <f>+PMGR!DJ30+BP!DJ30</f>
        <v>320</v>
      </c>
      <c r="DK30" s="105">
        <f>+PMGR!DK30+BP!DK30</f>
        <v>359.87391000000008</v>
      </c>
      <c r="DL30" s="105">
        <f>+PMGR!DL30+BP!DL30</f>
        <v>255.90899999999999</v>
      </c>
      <c r="DM30" s="105">
        <f>+PMGR!DM30+BP!DM30</f>
        <v>308.24380000000002</v>
      </c>
      <c r="DN30" s="105">
        <f>+PMGR!DN30+BP!DN30</f>
        <v>334.91120000000001</v>
      </c>
      <c r="DO30" s="105">
        <f>+PMGR!DO30+BP!DO30</f>
        <v>341.13655000000006</v>
      </c>
      <c r="DP30" s="105">
        <f>+PMGR!DP30+BP!DP30</f>
        <v>354.13344999999998</v>
      </c>
      <c r="DQ30" s="105">
        <f>+PMGR!DQ30+BP!DQ30</f>
        <v>354.95499999999998</v>
      </c>
      <c r="DR30" s="105">
        <f>+PMGR!DR30+BP!DR30</f>
        <v>283.32940000000002</v>
      </c>
      <c r="DS30" s="105">
        <f>+PMGR!DS30+BP!DS30</f>
        <v>288.94952000000001</v>
      </c>
      <c r="DT30" s="105">
        <f>+PMGR!DT30+BP!DT30</f>
        <v>325.78507999999994</v>
      </c>
      <c r="DU30" s="105">
        <f t="shared" ref="DU30:DU37" si="180">+SUM(DI30:DT30)</f>
        <v>3847.2269099999999</v>
      </c>
      <c r="DV30" s="106"/>
      <c r="DW30" s="105">
        <f>+PMGR!DW30+BP!DW30</f>
        <v>0</v>
      </c>
      <c r="DX30" s="105">
        <f>+PMGR!DX30+BP!DX30</f>
        <v>0</v>
      </c>
      <c r="DY30" s="105">
        <f>+PMGR!DY30+BP!DY30</f>
        <v>0</v>
      </c>
      <c r="DZ30" s="105">
        <f>+PMGR!DZ30+BP!DZ30</f>
        <v>0</v>
      </c>
      <c r="EA30" s="105">
        <f>+PMGR!EA30+BP!EA30</f>
        <v>0</v>
      </c>
      <c r="EB30" s="105">
        <f>+PMGR!EB30+BP!EB30</f>
        <v>0</v>
      </c>
      <c r="EC30" s="105">
        <f>+PMGR!EC30+BP!EC30</f>
        <v>0</v>
      </c>
      <c r="ED30" s="105">
        <f>+PMGR!ED30+BP!ED30</f>
        <v>0</v>
      </c>
      <c r="EE30" s="105">
        <f>+PMGR!EE30+BP!EE30</f>
        <v>0</v>
      </c>
      <c r="EF30" s="105">
        <f>+PMGR!EF30+BP!EF30</f>
        <v>0</v>
      </c>
      <c r="EG30" s="105">
        <f>+PMGR!EG30+BP!EG30</f>
        <v>0</v>
      </c>
      <c r="EH30" s="105">
        <f>+PMGR!EH30+BP!EH30</f>
        <v>0</v>
      </c>
      <c r="EI30" s="105">
        <f t="shared" ref="EI30:EI37" si="181">+SUM(DW30:EH30)</f>
        <v>0</v>
      </c>
      <c r="EJ30" s="12" t="str">
        <f t="shared" si="93"/>
        <v>Throughputs</v>
      </c>
      <c r="EK30" s="105">
        <f>+PMGR!EK30+BP!EK30</f>
        <v>86</v>
      </c>
      <c r="EL30" s="105">
        <f>+PMGR!EL30+BP!EL30</f>
        <v>94</v>
      </c>
      <c r="EM30" s="105">
        <f>+PMGR!EM30+BP!EM30</f>
        <v>91</v>
      </c>
      <c r="EN30" s="105">
        <f>+PMGR!EN30+BP!EN30</f>
        <v>84</v>
      </c>
      <c r="EO30" s="105">
        <f>+PMGR!EO30+BP!EO30</f>
        <v>108</v>
      </c>
      <c r="EP30" s="105">
        <f>+PMGR!EP30+BP!EP30</f>
        <v>104</v>
      </c>
      <c r="EQ30" s="105">
        <f>+PMGR!EQ30+BP!EQ30</f>
        <v>106</v>
      </c>
      <c r="ER30" s="105">
        <f>+PMGR!ER30+BP!ER30</f>
        <v>87</v>
      </c>
      <c r="ES30" s="105">
        <f>+PMGR!ES30+BP!ES30</f>
        <v>66</v>
      </c>
      <c r="ET30" s="105">
        <f>+PMGR!ET30+BP!ET30</f>
        <v>87</v>
      </c>
      <c r="EU30" s="105">
        <f>+PMGR!EU30+BP!EU30</f>
        <v>0</v>
      </c>
      <c r="EV30" s="105">
        <f>+PMGR!EV30+BP!EV30</f>
        <v>0</v>
      </c>
      <c r="EW30" s="105">
        <f t="shared" ref="EW30:EW37" si="182">+SUM(EK30:EV30)</f>
        <v>913</v>
      </c>
      <c r="EX30" s="118"/>
      <c r="EY30" s="105">
        <f>+PMGR!EY30+BP!EY30</f>
        <v>124</v>
      </c>
      <c r="EZ30" s="105">
        <f>+PMGR!EZ30+BP!EZ30</f>
        <v>115.82400000000003</v>
      </c>
      <c r="FA30" s="105">
        <f>+PMGR!FA30+BP!FA30</f>
        <v>129.875</v>
      </c>
      <c r="FB30" s="105">
        <f>+PMGR!FB30+BP!FB30</f>
        <v>142.82400000000001</v>
      </c>
      <c r="FC30" s="105">
        <f>+PMGR!FC30+BP!FC30</f>
        <v>135.6</v>
      </c>
      <c r="FD30" s="105">
        <f>+PMGR!FD30+BP!FD30</f>
        <v>137.6</v>
      </c>
      <c r="FE30" s="105">
        <f>+PMGR!FE30+BP!FE30</f>
        <v>155.05000000000001</v>
      </c>
      <c r="FF30" s="105">
        <f>+PMGR!FF30+BP!FF30</f>
        <v>149.9</v>
      </c>
      <c r="FG30" s="105">
        <f>+PMGR!FG30+BP!FG30</f>
        <v>142.92600000000002</v>
      </c>
      <c r="FH30" s="105">
        <f>+PMGR!FH30+BP!FH30</f>
        <v>161.19999999999999</v>
      </c>
      <c r="FI30" s="105">
        <f>+PMGR!FI30+BP!FI30</f>
        <v>166.35</v>
      </c>
      <c r="FJ30" s="105">
        <f>+PMGR!FJ30+BP!FJ30</f>
        <v>179.68</v>
      </c>
      <c r="FK30" s="105">
        <f t="shared" ref="FK30:FK37" si="183">+SUM(EY30:FJ30)</f>
        <v>1740.8290000000002</v>
      </c>
    </row>
    <row r="31" spans="1:167" ht="14.45" customHeight="1">
      <c r="A31" s="106">
        <f t="shared" si="169"/>
        <v>21038049.739999976</v>
      </c>
      <c r="B31" s="106">
        <f t="shared" si="169"/>
        <v>27967304.529999986</v>
      </c>
      <c r="C31" s="106">
        <f t="shared" si="169"/>
        <v>17711561.589999981</v>
      </c>
      <c r="D31" s="106">
        <f t="shared" si="169"/>
        <v>16734424.329999983</v>
      </c>
      <c r="E31" s="106">
        <f t="shared" si="169"/>
        <v>19707195.169999979</v>
      </c>
      <c r="F31" s="106">
        <f t="shared" si="169"/>
        <v>21145089.339999996</v>
      </c>
      <c r="G31" s="106">
        <f t="shared" si="169"/>
        <v>21503979.129999973</v>
      </c>
      <c r="H31" s="106">
        <f t="shared" si="169"/>
        <v>26950573.08999997</v>
      </c>
      <c r="I31" s="106">
        <f t="shared" si="169"/>
        <v>20450490.959999975</v>
      </c>
      <c r="J31" s="106">
        <f t="shared" si="169"/>
        <v>22128883.139999971</v>
      </c>
      <c r="K31" s="106">
        <f t="shared" si="169"/>
        <v>25575724.729999974</v>
      </c>
      <c r="L31" s="106">
        <f t="shared" si="169"/>
        <v>26631355.379999973</v>
      </c>
      <c r="M31" s="106">
        <f t="shared" si="170"/>
        <v>267544631.12999973</v>
      </c>
      <c r="N31" s="7" t="s">
        <v>26</v>
      </c>
      <c r="O31" s="106">
        <f t="shared" si="171"/>
        <v>19791647.349999979</v>
      </c>
      <c r="P31" s="106">
        <f t="shared" si="171"/>
        <v>17943373.089999981</v>
      </c>
      <c r="Q31" s="106">
        <f t="shared" si="171"/>
        <v>24255737.129999984</v>
      </c>
      <c r="R31" s="106">
        <f t="shared" si="171"/>
        <v>21266704.119999982</v>
      </c>
      <c r="S31" s="106">
        <f t="shared" si="171"/>
        <v>28782982.59999999</v>
      </c>
      <c r="T31" s="106">
        <f t="shared" si="171"/>
        <v>23215059.299999978</v>
      </c>
      <c r="U31" s="106">
        <f t="shared" si="171"/>
        <v>28958176.779999968</v>
      </c>
      <c r="V31" s="106">
        <f t="shared" si="171"/>
        <v>28842793.189999975</v>
      </c>
      <c r="W31" s="106">
        <f t="shared" si="171"/>
        <v>26275283.059999987</v>
      </c>
      <c r="X31" s="106">
        <f t="shared" si="171"/>
        <v>25665776.639999982</v>
      </c>
      <c r="Y31" s="106">
        <f t="shared" si="171"/>
        <v>0</v>
      </c>
      <c r="Z31" s="106">
        <f t="shared" si="171"/>
        <v>0</v>
      </c>
      <c r="AA31" s="106">
        <f t="shared" si="172"/>
        <v>244997533.25999981</v>
      </c>
      <c r="AB31" s="118"/>
      <c r="AC31" s="106">
        <f t="shared" si="173"/>
        <v>31475162.268000003</v>
      </c>
      <c r="AD31" s="106">
        <f t="shared" si="173"/>
        <v>30755437.672000006</v>
      </c>
      <c r="AE31" s="106">
        <f t="shared" si="173"/>
        <v>31251379.66</v>
      </c>
      <c r="AF31" s="106">
        <f t="shared" si="173"/>
        <v>26576260.612</v>
      </c>
      <c r="AG31" s="106">
        <f t="shared" si="173"/>
        <v>30432412.075999998</v>
      </c>
      <c r="AH31" s="106">
        <f t="shared" si="173"/>
        <v>31816471.743999999</v>
      </c>
      <c r="AI31" s="106">
        <f t="shared" si="173"/>
        <v>33050040.120000001</v>
      </c>
      <c r="AJ31" s="106">
        <f t="shared" si="173"/>
        <v>33884800.208000004</v>
      </c>
      <c r="AK31" s="106">
        <f t="shared" si="173"/>
        <v>34707517.272</v>
      </c>
      <c r="AL31" s="106">
        <f t="shared" si="173"/>
        <v>28682723.553333331</v>
      </c>
      <c r="AM31" s="106">
        <f t="shared" si="173"/>
        <v>25837125.88266667</v>
      </c>
      <c r="AN31" s="106">
        <f t="shared" si="173"/>
        <v>31309902.204404037</v>
      </c>
      <c r="AO31" s="106">
        <f t="shared" si="174"/>
        <v>369779233.27240407</v>
      </c>
      <c r="AP31" s="106"/>
      <c r="AQ31" s="106">
        <f>+PMGR!AQ31+BP!AQ31</f>
        <v>11330188.839999985</v>
      </c>
      <c r="AR31" s="106">
        <f>+PMGR!AR31+BP!AR31</f>
        <v>18552474.019999988</v>
      </c>
      <c r="AS31" s="106">
        <f>+PMGR!AS31+BP!AS31</f>
        <v>10924469.61999999</v>
      </c>
      <c r="AT31" s="106">
        <f>+PMGR!AT31+BP!AT31</f>
        <v>12368520.399999987</v>
      </c>
      <c r="AU31" s="106">
        <f>+PMGR!AU31+BP!AU31</f>
        <v>8979975.4699999876</v>
      </c>
      <c r="AV31" s="106">
        <f>+PMGR!AV31+BP!AV31</f>
        <v>12849068.599999996</v>
      </c>
      <c r="AW31" s="106">
        <f>+PMGR!AW31+BP!AW31</f>
        <v>13646605.029999984</v>
      </c>
      <c r="AX31" s="106">
        <f>+PMGR!AX31+BP!AX31</f>
        <v>17620947.329999983</v>
      </c>
      <c r="AY31" s="106">
        <f>+PMGR!AY31+BP!AY31</f>
        <v>12955577.939999981</v>
      </c>
      <c r="AZ31" s="106">
        <f>+PMGR!AZ31+BP!AZ31</f>
        <v>13665122.549999978</v>
      </c>
      <c r="BA31" s="106">
        <f>+PMGR!BA31+BP!BA31</f>
        <v>13296623.939999985</v>
      </c>
      <c r="BB31" s="106">
        <f>+PMGR!BB31+BP!BB31</f>
        <v>17264189.62999998</v>
      </c>
      <c r="BC31" s="106">
        <f t="shared" si="175"/>
        <v>163453763.36999983</v>
      </c>
      <c r="BD31" s="7" t="str">
        <f t="shared" si="16"/>
        <v>Parts Revenue</v>
      </c>
      <c r="BE31" s="106">
        <f>+PMGR!BE31+BP!BE31</f>
        <v>11227308.329999987</v>
      </c>
      <c r="BF31" s="106">
        <f>+PMGR!BF31+BP!BF31</f>
        <v>8888250.209999986</v>
      </c>
      <c r="BG31" s="106">
        <f>+PMGR!BG31+BP!BG31</f>
        <v>13478074.229999991</v>
      </c>
      <c r="BH31" s="106">
        <f>+PMGR!BH31+BP!BH31</f>
        <v>14616580.239999987</v>
      </c>
      <c r="BI31" s="106">
        <f>+PMGR!BI31+BP!BI31</f>
        <v>18028660.089999989</v>
      </c>
      <c r="BJ31" s="106">
        <f>+PMGR!BJ31+BP!BJ31</f>
        <v>13066495.839999981</v>
      </c>
      <c r="BK31" s="106">
        <f>+PMGR!BK31+BP!BK31</f>
        <v>16956249.519999977</v>
      </c>
      <c r="BL31" s="106">
        <f>+PMGR!BL31+BP!BL31</f>
        <v>16142393.609999981</v>
      </c>
      <c r="BM31" s="106">
        <f>+PMGR!BM31+BP!BM31</f>
        <v>17161365.759999998</v>
      </c>
      <c r="BN31" s="106">
        <f>+PMGR!BN31+BP!BN31</f>
        <v>12983247.099999985</v>
      </c>
      <c r="BO31" s="106">
        <f>+PMGR!BO31+BP!BO31</f>
        <v>0</v>
      </c>
      <c r="BP31" s="106">
        <f>+PMGR!BP31+BP!BP31</f>
        <v>0</v>
      </c>
      <c r="BQ31" s="106">
        <f t="shared" si="176"/>
        <v>142548624.92999989</v>
      </c>
      <c r="BR31" s="118"/>
      <c r="BS31" s="106">
        <f>+PMGR!BS31+BP!BS31</f>
        <v>16819787.100000001</v>
      </c>
      <c r="BT31" s="106">
        <f>+PMGR!BT31+BP!BT31</f>
        <v>16410411.240000004</v>
      </c>
      <c r="BU31" s="106">
        <f>+PMGR!BU31+BP!BU31</f>
        <v>15182283.66</v>
      </c>
      <c r="BV31" s="106">
        <f>+PMGR!BV31+BP!BV31</f>
        <v>14281288.991999999</v>
      </c>
      <c r="BW31" s="106">
        <f>+PMGR!BW31+BP!BW31</f>
        <v>15726471.84</v>
      </c>
      <c r="BX31" s="106">
        <f>+PMGR!BX31+BP!BX31</f>
        <v>16272727.199999999</v>
      </c>
      <c r="BY31" s="106">
        <f>+PMGR!BY31+BP!BY31</f>
        <v>16675234.560000002</v>
      </c>
      <c r="BZ31" s="106">
        <f>+PMGR!BZ31+BP!BZ31</f>
        <v>17372426.940000005</v>
      </c>
      <c r="CA31" s="106">
        <f>+PMGR!CA31+BP!CA31</f>
        <v>18421816.5</v>
      </c>
      <c r="CB31" s="106">
        <f>+PMGR!CB31+BP!CB31</f>
        <v>16167312</v>
      </c>
      <c r="CC31" s="106">
        <f>+PMGR!CC31+BP!CC31</f>
        <v>12933849.600000001</v>
      </c>
      <c r="CD31" s="106">
        <f>+PMGR!CD31+BP!CD31</f>
        <v>17091158.399999999</v>
      </c>
      <c r="CE31" s="106">
        <f t="shared" si="177"/>
        <v>193354768.03200001</v>
      </c>
      <c r="CF31" s="106"/>
      <c r="CG31" s="106">
        <f>+PMGR!CG31+BP!CG31</f>
        <v>9707860.8999999911</v>
      </c>
      <c r="CH31" s="106">
        <f>+PMGR!CH31+BP!CH31</f>
        <v>9414830.5099999961</v>
      </c>
      <c r="CI31" s="106">
        <f>+PMGR!CI31+BP!CI31</f>
        <v>6787091.9699999923</v>
      </c>
      <c r="CJ31" s="106">
        <f>+PMGR!CJ31+BP!CJ31</f>
        <v>4365903.929999996</v>
      </c>
      <c r="CK31" s="106">
        <f>+PMGR!CK31+BP!CK31</f>
        <v>10727219.699999994</v>
      </c>
      <c r="CL31" s="106">
        <f>+PMGR!CL31+BP!CL31</f>
        <v>8296020.7400000002</v>
      </c>
      <c r="CM31" s="106">
        <f>+PMGR!CM31+BP!CM31</f>
        <v>7857374.0999999903</v>
      </c>
      <c r="CN31" s="106">
        <f>+PMGR!CN31+BP!CN31</f>
        <v>9329625.7599999867</v>
      </c>
      <c r="CO31" s="106">
        <f>+PMGR!CO31+BP!CO31</f>
        <v>7494913.019999994</v>
      </c>
      <c r="CP31" s="106">
        <f>+PMGR!CP31+BP!CP31</f>
        <v>8463760.5899999943</v>
      </c>
      <c r="CQ31" s="106">
        <f>+PMGR!CQ31+BP!CQ31</f>
        <v>12279100.789999988</v>
      </c>
      <c r="CR31" s="106">
        <f>+PMGR!CR31+BP!CR31</f>
        <v>9367165.7499999925</v>
      </c>
      <c r="CS31" s="106">
        <f t="shared" si="178"/>
        <v>104090867.75999993</v>
      </c>
      <c r="CT31" s="7" t="str">
        <f t="shared" si="20"/>
        <v>Parts Revenue</v>
      </c>
      <c r="CU31" s="106">
        <f>+PMGR!CU31+BP!CU31</f>
        <v>6979476.5699999919</v>
      </c>
      <c r="CV31" s="106">
        <f>+PMGR!CV31+BP!CV31</f>
        <v>5912108.969999996</v>
      </c>
      <c r="CW31" s="106">
        <f>+PMGR!CW31+BP!CW31</f>
        <v>8784681.7099999934</v>
      </c>
      <c r="CX31" s="106">
        <f>+PMGR!CX31+BP!CX31</f>
        <v>5639542.8799999962</v>
      </c>
      <c r="CY31" s="106">
        <f>+PMGR!CY31+BP!CY31</f>
        <v>8294231.7499999981</v>
      </c>
      <c r="CZ31" s="106">
        <f>+PMGR!CZ31+BP!CZ31</f>
        <v>6072540.4299999969</v>
      </c>
      <c r="DA31" s="106">
        <f>+PMGR!DA31+BP!DA31</f>
        <v>8900010.4499999918</v>
      </c>
      <c r="DB31" s="106">
        <f>+PMGR!DB31+BP!DB31</f>
        <v>9178956.0299999937</v>
      </c>
      <c r="DC31" s="106">
        <f>+PMGR!DC31+BP!DC31</f>
        <v>6508260.9599999906</v>
      </c>
      <c r="DD31" s="106">
        <f>+PMGR!DD31+BP!DD31</f>
        <v>9446559.9399999976</v>
      </c>
      <c r="DE31" s="106">
        <f>+PMGR!DE31+BP!DE31</f>
        <v>0</v>
      </c>
      <c r="DF31" s="106">
        <f>+PMGR!DF31+BP!DF31</f>
        <v>0</v>
      </c>
      <c r="DG31" s="106">
        <f t="shared" si="179"/>
        <v>75716369.689999938</v>
      </c>
      <c r="DH31" s="118"/>
      <c r="DI31" s="106">
        <f>+PMGR!DI31+BP!DI31</f>
        <v>10518975.168000001</v>
      </c>
      <c r="DJ31" s="106">
        <f>+PMGR!DJ31+BP!DJ31</f>
        <v>10484386.432000002</v>
      </c>
      <c r="DK31" s="106">
        <f>+PMGR!DK31+BP!DK31</f>
        <v>11760346</v>
      </c>
      <c r="DL31" s="106">
        <f>+PMGR!DL31+BP!DL31</f>
        <v>8434331.620000001</v>
      </c>
      <c r="DM31" s="106">
        <f>+PMGR!DM31+BP!DM31</f>
        <v>10109940.236</v>
      </c>
      <c r="DN31" s="106">
        <f>+PMGR!DN31+BP!DN31</f>
        <v>10947744.544</v>
      </c>
      <c r="DO31" s="106">
        <f>+PMGR!DO31+BP!DO31</f>
        <v>11204305.559999999</v>
      </c>
      <c r="DP31" s="106">
        <f>+PMGR!DP31+BP!DP31</f>
        <v>11533373.268000001</v>
      </c>
      <c r="DQ31" s="106">
        <f>+PMGR!DQ31+BP!DQ31</f>
        <v>11528840.772</v>
      </c>
      <c r="DR31" s="106">
        <f>+PMGR!DR31+BP!DR31</f>
        <v>9260878.2200000007</v>
      </c>
      <c r="DS31" s="106">
        <f>+PMGR!DS31+BP!DS31</f>
        <v>9531357.6160000004</v>
      </c>
      <c r="DT31" s="106">
        <f>+PMGR!DT31+BP!DT31</f>
        <v>10699780.563999999</v>
      </c>
      <c r="DU31" s="106">
        <f t="shared" si="180"/>
        <v>126014260</v>
      </c>
      <c r="DV31" s="106"/>
      <c r="DW31" s="106">
        <f>+PMGR!DW31+BP!DW31</f>
        <v>0</v>
      </c>
      <c r="DX31" s="106">
        <f>+PMGR!DX31+BP!DX31</f>
        <v>0</v>
      </c>
      <c r="DY31" s="106">
        <f>+PMGR!DY31+BP!DY31</f>
        <v>0</v>
      </c>
      <c r="DZ31" s="106">
        <f>+PMGR!DZ31+BP!DZ31</f>
        <v>0</v>
      </c>
      <c r="EA31" s="106">
        <f>+PMGR!EA31+BP!EA31</f>
        <v>0</v>
      </c>
      <c r="EB31" s="106">
        <f>+PMGR!EB31+BP!EB31</f>
        <v>0</v>
      </c>
      <c r="EC31" s="106">
        <f>+PMGR!EC31+BP!EC31</f>
        <v>0</v>
      </c>
      <c r="ED31" s="106">
        <f>+PMGR!ED31+BP!ED31</f>
        <v>0</v>
      </c>
      <c r="EE31" s="106">
        <f>+PMGR!EE31+BP!EE31</f>
        <v>0</v>
      </c>
      <c r="EF31" s="106">
        <f>+PMGR!EF31+BP!EF31</f>
        <v>0</v>
      </c>
      <c r="EG31" s="106">
        <f>+PMGR!EG31+BP!EG31</f>
        <v>0</v>
      </c>
      <c r="EH31" s="106">
        <f>+PMGR!EH31+BP!EH31</f>
        <v>0</v>
      </c>
      <c r="EI31" s="106">
        <f t="shared" si="181"/>
        <v>0</v>
      </c>
      <c r="EJ31" s="7" t="str">
        <f t="shared" si="93"/>
        <v>Parts Revenue</v>
      </c>
      <c r="EK31" s="106">
        <f>+PMGR!EK31+BP!EK31</f>
        <v>1584862.45</v>
      </c>
      <c r="EL31" s="106">
        <f>+PMGR!EL31+BP!EL31</f>
        <v>3143013.9099999992</v>
      </c>
      <c r="EM31" s="106">
        <f>+PMGR!EM31+BP!EM31</f>
        <v>1992981.19</v>
      </c>
      <c r="EN31" s="106">
        <f>+PMGR!EN31+BP!EN31</f>
        <v>1010581.0000000002</v>
      </c>
      <c r="EO31" s="106">
        <f>+PMGR!EO31+BP!EO31</f>
        <v>2460090.7600000007</v>
      </c>
      <c r="EP31" s="106">
        <f>+PMGR!EP31+BP!EP31</f>
        <v>4076023.0300000003</v>
      </c>
      <c r="EQ31" s="106">
        <f>+PMGR!EQ31+BP!EQ31</f>
        <v>3101916.81</v>
      </c>
      <c r="ER31" s="106">
        <f>+PMGR!ER31+BP!ER31</f>
        <v>3521443.5499999989</v>
      </c>
      <c r="ES31" s="106">
        <f>+PMGR!ES31+BP!ES31</f>
        <v>2605656.3399999994</v>
      </c>
      <c r="ET31" s="106">
        <f>+PMGR!ET31+BP!ET31</f>
        <v>3235969.5999999992</v>
      </c>
      <c r="EU31" s="106">
        <f>+PMGR!EU31+BP!EU31</f>
        <v>0</v>
      </c>
      <c r="EV31" s="106">
        <f>+PMGR!EV31+BP!EV31</f>
        <v>0</v>
      </c>
      <c r="EW31" s="106">
        <f t="shared" si="182"/>
        <v>26732538.639999993</v>
      </c>
      <c r="EX31" s="118"/>
      <c r="EY31" s="106">
        <f>+PMGR!EY31+BP!EY31</f>
        <v>4136400</v>
      </c>
      <c r="EZ31" s="106">
        <f>+PMGR!EZ31+BP!EZ31</f>
        <v>3860640</v>
      </c>
      <c r="FA31" s="106">
        <f>+PMGR!FA31+BP!FA31</f>
        <v>4308750</v>
      </c>
      <c r="FB31" s="106">
        <f>+PMGR!FB31+BP!FB31</f>
        <v>3860640</v>
      </c>
      <c r="FC31" s="106">
        <f>+PMGR!FC31+BP!FC31</f>
        <v>4596000</v>
      </c>
      <c r="FD31" s="106">
        <f>+PMGR!FD31+BP!FD31</f>
        <v>4596000</v>
      </c>
      <c r="FE31" s="106">
        <f>+PMGR!FE31+BP!FE31</f>
        <v>5170500</v>
      </c>
      <c r="FF31" s="106">
        <f>+PMGR!FF31+BP!FF31</f>
        <v>4979000</v>
      </c>
      <c r="FG31" s="106">
        <f>+PMGR!FG31+BP!FG31</f>
        <v>4756860</v>
      </c>
      <c r="FH31" s="106">
        <f>+PMGR!FH31+BP!FH31</f>
        <v>3254533.3333333335</v>
      </c>
      <c r="FI31" s="106">
        <f>+PMGR!FI31+BP!FI31</f>
        <v>3371918.6666666674</v>
      </c>
      <c r="FJ31" s="106">
        <f>+PMGR!FJ31+BP!FJ31</f>
        <v>3518963.2404040401</v>
      </c>
      <c r="FK31" s="106">
        <f t="shared" si="183"/>
        <v>50410205.24040404</v>
      </c>
    </row>
    <row r="32" spans="1:167" ht="14.45" customHeight="1">
      <c r="A32" s="106">
        <f t="shared" si="169"/>
        <v>6533383.9600000009</v>
      </c>
      <c r="B32" s="106">
        <f t="shared" si="169"/>
        <v>6877912.6299999999</v>
      </c>
      <c r="C32" s="106">
        <f t="shared" si="169"/>
        <v>4644464.55</v>
      </c>
      <c r="D32" s="106">
        <f t="shared" si="169"/>
        <v>5397449.6000000006</v>
      </c>
      <c r="E32" s="106">
        <f t="shared" si="169"/>
        <v>5664848.5899999999</v>
      </c>
      <c r="F32" s="106">
        <f t="shared" si="169"/>
        <v>5466635.4299999988</v>
      </c>
      <c r="G32" s="106">
        <f t="shared" si="169"/>
        <v>6570390.2199999988</v>
      </c>
      <c r="H32" s="106">
        <f t="shared" si="169"/>
        <v>6511380.4100000001</v>
      </c>
      <c r="I32" s="106">
        <f t="shared" si="169"/>
        <v>5671462.3099999996</v>
      </c>
      <c r="J32" s="106">
        <f t="shared" si="169"/>
        <v>6540520.0700000003</v>
      </c>
      <c r="K32" s="106">
        <f t="shared" si="169"/>
        <v>6545971.0199999996</v>
      </c>
      <c r="L32" s="106">
        <f t="shared" si="169"/>
        <v>6757256.9700000007</v>
      </c>
      <c r="M32" s="106">
        <f t="shared" si="170"/>
        <v>73181675.760000005</v>
      </c>
      <c r="N32" s="7" t="s">
        <v>27</v>
      </c>
      <c r="O32" s="106">
        <f t="shared" si="171"/>
        <v>6742748.2499999991</v>
      </c>
      <c r="P32" s="106">
        <f t="shared" si="171"/>
        <v>5467131.7599999998</v>
      </c>
      <c r="Q32" s="106">
        <f t="shared" si="171"/>
        <v>6925399.1200000001</v>
      </c>
      <c r="R32" s="106">
        <f t="shared" si="171"/>
        <v>5828733.7000000002</v>
      </c>
      <c r="S32" s="106">
        <f t="shared" si="171"/>
        <v>8672548.4400000013</v>
      </c>
      <c r="T32" s="106">
        <f t="shared" si="171"/>
        <v>6976122.2800000012</v>
      </c>
      <c r="U32" s="106">
        <f t="shared" si="171"/>
        <v>8705674.370000001</v>
      </c>
      <c r="V32" s="106">
        <f t="shared" si="171"/>
        <v>8324101.7300000014</v>
      </c>
      <c r="W32" s="106">
        <f t="shared" si="171"/>
        <v>7731885.8700000001</v>
      </c>
      <c r="X32" s="106">
        <f t="shared" si="171"/>
        <v>7741977.7900000019</v>
      </c>
      <c r="Y32" s="106">
        <f t="shared" si="171"/>
        <v>0</v>
      </c>
      <c r="Z32" s="106">
        <f t="shared" si="171"/>
        <v>0</v>
      </c>
      <c r="AA32" s="106">
        <f t="shared" si="172"/>
        <v>73116323.310000002</v>
      </c>
      <c r="AB32" s="118"/>
      <c r="AC32" s="106">
        <f t="shared" si="173"/>
        <v>9441936.7580000013</v>
      </c>
      <c r="AD32" s="106">
        <f t="shared" si="173"/>
        <v>9236846.685200002</v>
      </c>
      <c r="AE32" s="106">
        <f t="shared" si="173"/>
        <v>9425724.9217999987</v>
      </c>
      <c r="AF32" s="106">
        <f t="shared" si="173"/>
        <v>7952653.3289999999</v>
      </c>
      <c r="AG32" s="106">
        <f t="shared" si="173"/>
        <v>9130180.8269999996</v>
      </c>
      <c r="AH32" s="106">
        <f t="shared" si="173"/>
        <v>9560766.7679999992</v>
      </c>
      <c r="AI32" s="106">
        <f t="shared" si="173"/>
        <v>9921564.1689999998</v>
      </c>
      <c r="AJ32" s="106">
        <f t="shared" si="173"/>
        <v>10189445.734999999</v>
      </c>
      <c r="AK32" s="106">
        <f t="shared" si="173"/>
        <v>10432453.816000002</v>
      </c>
      <c r="AL32" s="106">
        <f t="shared" si="173"/>
        <v>8726572.0581111088</v>
      </c>
      <c r="AM32" s="106">
        <f t="shared" si="173"/>
        <v>7905918.4687111117</v>
      </c>
      <c r="AN32" s="106">
        <f t="shared" si="173"/>
        <v>9546131.4079252519</v>
      </c>
      <c r="AO32" s="106">
        <f t="shared" si="174"/>
        <v>111470194.94374746</v>
      </c>
      <c r="AP32" s="106"/>
      <c r="AQ32" s="106">
        <f>+PMGR!AQ32+BP!AQ32</f>
        <v>3920902.4300000011</v>
      </c>
      <c r="AR32" s="106">
        <f>+PMGR!AR32+BP!AR32</f>
        <v>4293005.42</v>
      </c>
      <c r="AS32" s="106">
        <f>+PMGR!AS32+BP!AS32</f>
        <v>2636039.67</v>
      </c>
      <c r="AT32" s="106">
        <f>+PMGR!AT32+BP!AT32</f>
        <v>3710824.41</v>
      </c>
      <c r="AU32" s="106">
        <f>+PMGR!AU32+BP!AU32</f>
        <v>2687682.72</v>
      </c>
      <c r="AV32" s="106">
        <f>+PMGR!AV32+BP!AV32</f>
        <v>2949083.4399999995</v>
      </c>
      <c r="AW32" s="106">
        <f>+PMGR!AW32+BP!AW32</f>
        <v>3925919.2500000009</v>
      </c>
      <c r="AX32" s="106">
        <f>+PMGR!AX32+BP!AX32</f>
        <v>3757423.620000001</v>
      </c>
      <c r="AY32" s="106">
        <f>+PMGR!AY32+BP!AY32</f>
        <v>3463571.0999999996</v>
      </c>
      <c r="AZ32" s="106">
        <f>+PMGR!AZ32+BP!AZ32</f>
        <v>3978730.2100000009</v>
      </c>
      <c r="BA32" s="106">
        <f>+PMGR!BA32+BP!BA32</f>
        <v>3775300.51</v>
      </c>
      <c r="BB32" s="106">
        <f>+PMGR!BB32+BP!BB32</f>
        <v>4210696.9000000004</v>
      </c>
      <c r="BC32" s="106">
        <f t="shared" si="175"/>
        <v>43309179.68</v>
      </c>
      <c r="BD32" s="7" t="str">
        <f t="shared" si="16"/>
        <v>Labour Revenue</v>
      </c>
      <c r="BE32" s="106">
        <f>+PMGR!BE32+BP!BE32</f>
        <v>3603435.3899999997</v>
      </c>
      <c r="BF32" s="106">
        <f>+PMGR!BF32+BP!BF32</f>
        <v>3109730.6400000006</v>
      </c>
      <c r="BG32" s="106">
        <f>+PMGR!BG32+BP!BG32</f>
        <v>3999000.2</v>
      </c>
      <c r="BH32" s="106">
        <f>+PMGR!BH32+BP!BH32</f>
        <v>3675527.1100000003</v>
      </c>
      <c r="BI32" s="106">
        <f>+PMGR!BI32+BP!BI32</f>
        <v>5201298.9000000004</v>
      </c>
      <c r="BJ32" s="106">
        <f>+PMGR!BJ32+BP!BJ32</f>
        <v>3783780.580000001</v>
      </c>
      <c r="BK32" s="106">
        <f>+PMGR!BK32+BP!BK32</f>
        <v>5225356.22</v>
      </c>
      <c r="BL32" s="106">
        <f>+PMGR!BL32+BP!BL32</f>
        <v>4340422.4700000007</v>
      </c>
      <c r="BM32" s="106">
        <f>+PMGR!BM32+BP!BM32</f>
        <v>4531179.99</v>
      </c>
      <c r="BN32" s="106">
        <f>+PMGR!BN32+BP!BN32</f>
        <v>3932953.0300000021</v>
      </c>
      <c r="BO32" s="106">
        <f>+PMGR!BO32+BP!BO32</f>
        <v>0</v>
      </c>
      <c r="BP32" s="106">
        <f>+PMGR!BP32+BP!BP32</f>
        <v>0</v>
      </c>
      <c r="BQ32" s="106">
        <f t="shared" si="176"/>
        <v>41402684.530000009</v>
      </c>
      <c r="BR32" s="118"/>
      <c r="BS32" s="106">
        <f>+PMGR!BS32+BP!BS32</f>
        <v>5021842.4390000002</v>
      </c>
      <c r="BT32" s="106">
        <f>+PMGR!BT32+BP!BT32</f>
        <v>4913464.8516000006</v>
      </c>
      <c r="BU32" s="106">
        <f>+PMGR!BU32+BP!BU32</f>
        <v>4588332.0893999999</v>
      </c>
      <c r="BV32" s="106">
        <f>+PMGR!BV32+BP!BV32</f>
        <v>4242023.9840000002</v>
      </c>
      <c r="BW32" s="106">
        <f>+PMGR!BW32+BP!BW32</f>
        <v>4703354.6560000004</v>
      </c>
      <c r="BX32" s="106">
        <f>+PMGR!BX32+BP!BX32</f>
        <v>4882967.1439999994</v>
      </c>
      <c r="BY32" s="106">
        <f>+PMGR!BY32+BP!BY32</f>
        <v>4991697.3120000008</v>
      </c>
      <c r="BZ32" s="106">
        <f>+PMGR!BZ32+BP!BZ32</f>
        <v>5234518.6950000003</v>
      </c>
      <c r="CA32" s="106">
        <f>+PMGR!CA32+BP!CA32</f>
        <v>5550043.8930000002</v>
      </c>
      <c r="CB32" s="106">
        <f>+PMGR!CB32+BP!CB32</f>
        <v>4830986.7759999996</v>
      </c>
      <c r="CC32" s="106">
        <f>+PMGR!CC32+BP!CC32</f>
        <v>3864789.4208</v>
      </c>
      <c r="CD32" s="106">
        <f>+PMGR!CD32+BP!CD32</f>
        <v>5107043.1631999994</v>
      </c>
      <c r="CE32" s="106">
        <f t="shared" si="177"/>
        <v>57931064.424000002</v>
      </c>
      <c r="CF32" s="106"/>
      <c r="CG32" s="106">
        <f>+PMGR!CG32+BP!CG32</f>
        <v>2612481.5299999993</v>
      </c>
      <c r="CH32" s="106">
        <f>+PMGR!CH32+BP!CH32</f>
        <v>2584907.21</v>
      </c>
      <c r="CI32" s="106">
        <f>+PMGR!CI32+BP!CI32</f>
        <v>2008424.8799999997</v>
      </c>
      <c r="CJ32" s="106">
        <f>+PMGR!CJ32+BP!CJ32</f>
        <v>1686625.1900000004</v>
      </c>
      <c r="CK32" s="106">
        <f>+PMGR!CK32+BP!CK32</f>
        <v>2977165.8699999996</v>
      </c>
      <c r="CL32" s="106">
        <f>+PMGR!CL32+BP!CL32</f>
        <v>2517551.9899999993</v>
      </c>
      <c r="CM32" s="106">
        <f>+PMGR!CM32+BP!CM32</f>
        <v>2644470.9699999983</v>
      </c>
      <c r="CN32" s="106">
        <f>+PMGR!CN32+BP!CN32</f>
        <v>2753956.7899999996</v>
      </c>
      <c r="CO32" s="106">
        <f>+PMGR!CO32+BP!CO32</f>
        <v>2207891.21</v>
      </c>
      <c r="CP32" s="106">
        <f>+PMGR!CP32+BP!CP32</f>
        <v>2561789.86</v>
      </c>
      <c r="CQ32" s="106">
        <f>+PMGR!CQ32+BP!CQ32</f>
        <v>2770670.5099999993</v>
      </c>
      <c r="CR32" s="106">
        <f>+PMGR!CR32+BP!CR32</f>
        <v>2546560.0699999998</v>
      </c>
      <c r="CS32" s="106">
        <f t="shared" si="178"/>
        <v>29872496.079999994</v>
      </c>
      <c r="CT32" s="7" t="str">
        <f t="shared" si="20"/>
        <v>Labour Revenue</v>
      </c>
      <c r="CU32" s="106">
        <f>+PMGR!CU32+BP!CU32</f>
        <v>2498719.0099999998</v>
      </c>
      <c r="CV32" s="106">
        <f>+PMGR!CV32+BP!CV32</f>
        <v>1671025.6099999994</v>
      </c>
      <c r="CW32" s="106">
        <f>+PMGR!CW32+BP!CW32</f>
        <v>2234045.2200000002</v>
      </c>
      <c r="CX32" s="106">
        <f>+PMGR!CX32+BP!CX32</f>
        <v>1739259.4900000002</v>
      </c>
      <c r="CY32" s="106">
        <f>+PMGR!CY32+BP!CY32</f>
        <v>2672222.9400000004</v>
      </c>
      <c r="CZ32" s="106">
        <f>+PMGR!CZ32+BP!CZ32</f>
        <v>2140620.77</v>
      </c>
      <c r="DA32" s="106">
        <f>+PMGR!DA32+BP!DA32</f>
        <v>2712379.3900000006</v>
      </c>
      <c r="DB32" s="106">
        <f>+PMGR!DB32+BP!DB32</f>
        <v>2881628.310000001</v>
      </c>
      <c r="DC32" s="106">
        <f>+PMGR!DC32+BP!DC32</f>
        <v>2360284</v>
      </c>
      <c r="DD32" s="106">
        <f>+PMGR!DD32+BP!DD32</f>
        <v>2691441.7199999997</v>
      </c>
      <c r="DE32" s="106">
        <f>+PMGR!DE32+BP!DE32</f>
        <v>0</v>
      </c>
      <c r="DF32" s="106">
        <f>+PMGR!DF32+BP!DF32</f>
        <v>0</v>
      </c>
      <c r="DG32" s="106">
        <f t="shared" si="179"/>
        <v>23601626.460000001</v>
      </c>
      <c r="DH32" s="118"/>
      <c r="DI32" s="106">
        <f>+PMGR!DI32+BP!DI32</f>
        <v>3214938.5190000003</v>
      </c>
      <c r="DJ32" s="106">
        <f>+PMGR!DJ32+BP!DJ32</f>
        <v>3198569.7536000004</v>
      </c>
      <c r="DK32" s="106">
        <f>+PMGR!DK32+BP!DK32</f>
        <v>3582022.2073999997</v>
      </c>
      <c r="DL32" s="106">
        <f>+PMGR!DL32+BP!DL32</f>
        <v>2585817.2650000001</v>
      </c>
      <c r="DM32" s="106">
        <f>+PMGR!DM32+BP!DM32</f>
        <v>3087764.1709999996</v>
      </c>
      <c r="DN32" s="106">
        <f>+PMGR!DN32+BP!DN32</f>
        <v>3338737.6240000003</v>
      </c>
      <c r="DO32" s="106">
        <f>+PMGR!DO32+BP!DO32</f>
        <v>3423422.1069999998</v>
      </c>
      <c r="DP32" s="106">
        <f>+PMGR!DP32+BP!DP32</f>
        <v>3504276.54</v>
      </c>
      <c r="DQ32" s="106">
        <f>+PMGR!DQ32+BP!DQ32</f>
        <v>3496480.7530000005</v>
      </c>
      <c r="DR32" s="106">
        <f>+PMGR!DR32+BP!DR32</f>
        <v>2821574.1709999996</v>
      </c>
      <c r="DS32" s="106">
        <f>+PMGR!DS32+BP!DS32</f>
        <v>2922734.3368000002</v>
      </c>
      <c r="DT32" s="106">
        <f>+PMGR!DT32+BP!DT32</f>
        <v>3268010.5522000003</v>
      </c>
      <c r="DU32" s="106">
        <f t="shared" si="180"/>
        <v>38444348</v>
      </c>
      <c r="DV32" s="106"/>
      <c r="DW32" s="106">
        <f>+PMGR!DW32+BP!DW32</f>
        <v>0</v>
      </c>
      <c r="DX32" s="106">
        <f>+PMGR!DX32+BP!DX32</f>
        <v>0</v>
      </c>
      <c r="DY32" s="106">
        <f>+PMGR!DY32+BP!DY32</f>
        <v>0</v>
      </c>
      <c r="DZ32" s="106">
        <f>+PMGR!DZ32+BP!DZ32</f>
        <v>0</v>
      </c>
      <c r="EA32" s="106">
        <f>+PMGR!EA32+BP!EA32</f>
        <v>0</v>
      </c>
      <c r="EB32" s="106">
        <f>+PMGR!EB32+BP!EB32</f>
        <v>0</v>
      </c>
      <c r="EC32" s="106">
        <f>+PMGR!EC32+BP!EC32</f>
        <v>0</v>
      </c>
      <c r="ED32" s="106">
        <f>+PMGR!ED32+BP!ED32</f>
        <v>0</v>
      </c>
      <c r="EE32" s="106">
        <f>+PMGR!EE32+BP!EE32</f>
        <v>0</v>
      </c>
      <c r="EF32" s="106">
        <f>+PMGR!EF32+BP!EF32</f>
        <v>0</v>
      </c>
      <c r="EG32" s="106">
        <f>+PMGR!EG32+BP!EG32</f>
        <v>0</v>
      </c>
      <c r="EH32" s="106">
        <f>+PMGR!EH32+BP!EH32</f>
        <v>0</v>
      </c>
      <c r="EI32" s="106">
        <f t="shared" si="181"/>
        <v>0</v>
      </c>
      <c r="EJ32" s="7" t="str">
        <f t="shared" si="93"/>
        <v>Labour Revenue</v>
      </c>
      <c r="EK32" s="106">
        <f>+PMGR!EK32+BP!EK32</f>
        <v>640593.84999999986</v>
      </c>
      <c r="EL32" s="106">
        <f>+PMGR!EL32+BP!EL32</f>
        <v>686375.51000000013</v>
      </c>
      <c r="EM32" s="106">
        <f>+PMGR!EM32+BP!EM32</f>
        <v>692353.7</v>
      </c>
      <c r="EN32" s="106">
        <f>+PMGR!EN32+BP!EN32</f>
        <v>413947.1</v>
      </c>
      <c r="EO32" s="106">
        <f>+PMGR!EO32+BP!EO32</f>
        <v>799026.6</v>
      </c>
      <c r="EP32" s="106">
        <f>+PMGR!EP32+BP!EP32</f>
        <v>1051720.9300000002</v>
      </c>
      <c r="EQ32" s="106">
        <f>+PMGR!EQ32+BP!EQ32</f>
        <v>767938.76</v>
      </c>
      <c r="ER32" s="106">
        <f>+PMGR!ER32+BP!ER32</f>
        <v>1102050.95</v>
      </c>
      <c r="ES32" s="106">
        <f>+PMGR!ES32+BP!ES32</f>
        <v>840421.88</v>
      </c>
      <c r="ET32" s="106">
        <f>+PMGR!ET32+BP!ET32</f>
        <v>1117583.04</v>
      </c>
      <c r="EU32" s="106">
        <f>+PMGR!EU32+BP!EU32</f>
        <v>0</v>
      </c>
      <c r="EV32" s="106">
        <f>+PMGR!EV32+BP!EV32</f>
        <v>0</v>
      </c>
      <c r="EW32" s="106">
        <f t="shared" si="182"/>
        <v>8112012.3199999994</v>
      </c>
      <c r="EX32" s="118"/>
      <c r="EY32" s="106">
        <f>+PMGR!EY32+BP!EY32</f>
        <v>1205155.8</v>
      </c>
      <c r="EZ32" s="106">
        <f>+PMGR!EZ32+BP!EZ32</f>
        <v>1124812.08</v>
      </c>
      <c r="FA32" s="106">
        <f>+PMGR!FA32+BP!FA32</f>
        <v>1255370.625</v>
      </c>
      <c r="FB32" s="106">
        <f>+PMGR!FB32+BP!FB32</f>
        <v>1124812.08</v>
      </c>
      <c r="FC32" s="106">
        <f>+PMGR!FC32+BP!FC32</f>
        <v>1339062</v>
      </c>
      <c r="FD32" s="106">
        <f>+PMGR!FD32+BP!FD32</f>
        <v>1339062</v>
      </c>
      <c r="FE32" s="106">
        <f>+PMGR!FE32+BP!FE32</f>
        <v>1506444.75</v>
      </c>
      <c r="FF32" s="106">
        <f>+PMGR!FF32+BP!FF32</f>
        <v>1450650.5</v>
      </c>
      <c r="FG32" s="106">
        <f>+PMGR!FG32+BP!FG32</f>
        <v>1385929.1700000002</v>
      </c>
      <c r="FH32" s="106">
        <f>+PMGR!FH32+BP!FH32</f>
        <v>1074011.111111111</v>
      </c>
      <c r="FI32" s="106">
        <f>+PMGR!FI32+BP!FI32</f>
        <v>1118394.7111111113</v>
      </c>
      <c r="FJ32" s="106">
        <f>+PMGR!FJ32+BP!FJ32</f>
        <v>1171077.6925252525</v>
      </c>
      <c r="FK32" s="106">
        <f t="shared" si="183"/>
        <v>15094782.519747475</v>
      </c>
    </row>
    <row r="33" spans="1:167" ht="14.45" customHeight="1">
      <c r="A33" s="106">
        <f t="shared" si="169"/>
        <v>2358067.3599999994</v>
      </c>
      <c r="B33" s="106">
        <f t="shared" si="169"/>
        <v>3107710.05</v>
      </c>
      <c r="C33" s="106">
        <f t="shared" si="169"/>
        <v>3767254.77</v>
      </c>
      <c r="D33" s="106">
        <f t="shared" si="169"/>
        <v>1544498.04</v>
      </c>
      <c r="E33" s="106">
        <f t="shared" si="169"/>
        <v>2343547.6900000004</v>
      </c>
      <c r="F33" s="106">
        <f t="shared" si="169"/>
        <v>4896443.55</v>
      </c>
      <c r="G33" s="106">
        <f t="shared" si="169"/>
        <v>3119333.84</v>
      </c>
      <c r="H33" s="106">
        <f t="shared" si="169"/>
        <v>3617154.5</v>
      </c>
      <c r="I33" s="106">
        <f t="shared" si="169"/>
        <v>7530551.9000000004</v>
      </c>
      <c r="J33" s="106">
        <f t="shared" si="169"/>
        <v>3137719.9499999997</v>
      </c>
      <c r="K33" s="106">
        <f t="shared" si="169"/>
        <v>6038952.7600000007</v>
      </c>
      <c r="L33" s="106">
        <f t="shared" si="169"/>
        <v>3795582.57</v>
      </c>
      <c r="M33" s="106">
        <f t="shared" si="170"/>
        <v>45256816.980000004</v>
      </c>
      <c r="N33" s="7" t="s">
        <v>28</v>
      </c>
      <c r="O33" s="106">
        <f t="shared" si="171"/>
        <v>4076459.73</v>
      </c>
      <c r="P33" s="106">
        <f t="shared" si="171"/>
        <v>4192320.98</v>
      </c>
      <c r="Q33" s="106">
        <f t="shared" si="171"/>
        <v>9964813.5000000019</v>
      </c>
      <c r="R33" s="106">
        <f t="shared" si="171"/>
        <v>5876564.96</v>
      </c>
      <c r="S33" s="106">
        <f t="shared" si="171"/>
        <v>6626650.8599999994</v>
      </c>
      <c r="T33" s="106">
        <f t="shared" si="171"/>
        <v>3459252.04</v>
      </c>
      <c r="U33" s="106">
        <f t="shared" si="171"/>
        <v>3722684.7600000002</v>
      </c>
      <c r="V33" s="106">
        <f t="shared" si="171"/>
        <v>4436778.3499999996</v>
      </c>
      <c r="W33" s="106">
        <f t="shared" si="171"/>
        <v>4291361.29</v>
      </c>
      <c r="X33" s="106">
        <f t="shared" si="171"/>
        <v>4788729.0999999996</v>
      </c>
      <c r="Y33" s="106">
        <f t="shared" si="171"/>
        <v>0</v>
      </c>
      <c r="Z33" s="106">
        <f t="shared" si="171"/>
        <v>0</v>
      </c>
      <c r="AA33" s="106">
        <f t="shared" si="172"/>
        <v>51435615.57</v>
      </c>
      <c r="AB33" s="118"/>
      <c r="AC33" s="106">
        <f t="shared" si="173"/>
        <v>2787273.2052000007</v>
      </c>
      <c r="AD33" s="106">
        <f t="shared" si="173"/>
        <v>2724096.8568000006</v>
      </c>
      <c r="AE33" s="106">
        <f t="shared" si="173"/>
        <v>2741526.6779999998</v>
      </c>
      <c r="AF33" s="106">
        <f t="shared" si="173"/>
        <v>2337207.9654000001</v>
      </c>
      <c r="AG33" s="106">
        <f t="shared" si="173"/>
        <v>2630931.9233999997</v>
      </c>
      <c r="AH33" s="106">
        <f t="shared" si="173"/>
        <v>2761825.2815999999</v>
      </c>
      <c r="AI33" s="106">
        <f t="shared" si="173"/>
        <v>2852848.7459999998</v>
      </c>
      <c r="AJ33" s="106">
        <f t="shared" si="173"/>
        <v>2880877.4082000009</v>
      </c>
      <c r="AK33" s="106">
        <f t="shared" si="173"/>
        <v>2951094.3858000003</v>
      </c>
      <c r="AL33" s="106">
        <f t="shared" si="173"/>
        <v>2543494.173</v>
      </c>
      <c r="AM33" s="106">
        <f t="shared" si="173"/>
        <v>2353193.5943999998</v>
      </c>
      <c r="AN33" s="106">
        <f t="shared" si="173"/>
        <v>2825293.0925999996</v>
      </c>
      <c r="AO33" s="106">
        <f t="shared" si="174"/>
        <v>32389663.310400002</v>
      </c>
      <c r="AP33" s="106"/>
      <c r="AQ33" s="106">
        <f>+PMGR!AQ33+BP!AQ33</f>
        <v>1297444.0399999996</v>
      </c>
      <c r="AR33" s="106">
        <f>+PMGR!AR33+BP!AR33</f>
        <v>1465654.2000000002</v>
      </c>
      <c r="AS33" s="106">
        <f>+PMGR!AS33+BP!AS33</f>
        <v>3137334.08</v>
      </c>
      <c r="AT33" s="106">
        <f>+PMGR!AT33+BP!AT33</f>
        <v>993269</v>
      </c>
      <c r="AU33" s="106">
        <f>+PMGR!AU33+BP!AU33</f>
        <v>1486260.9100000004</v>
      </c>
      <c r="AV33" s="106">
        <f>+PMGR!AV33+BP!AV33</f>
        <v>1707649.27</v>
      </c>
      <c r="AW33" s="106">
        <f>+PMGR!AW33+BP!AW33</f>
        <v>2123853.08</v>
      </c>
      <c r="AX33" s="106">
        <f>+PMGR!AX33+BP!AX33</f>
        <v>2401313.52</v>
      </c>
      <c r="AY33" s="106">
        <f>+PMGR!AY33+BP!AY33</f>
        <v>6564030.0279999999</v>
      </c>
      <c r="AZ33" s="106">
        <f>+PMGR!AZ33+BP!AZ33</f>
        <v>2588360.5699999998</v>
      </c>
      <c r="BA33" s="106">
        <f>+PMGR!BA33+BP!BA33</f>
        <v>5364485.0500000007</v>
      </c>
      <c r="BB33" s="106">
        <f>+PMGR!BB33+BP!BB33</f>
        <v>2920345.09</v>
      </c>
      <c r="BC33" s="106">
        <f t="shared" si="175"/>
        <v>32049998.838</v>
      </c>
      <c r="BD33" s="7" t="str">
        <f t="shared" si="16"/>
        <v>Warranty Parts</v>
      </c>
      <c r="BE33" s="106">
        <f>+PMGR!BE33+BP!BE33</f>
        <v>2558615.17</v>
      </c>
      <c r="BF33" s="106">
        <f>+PMGR!BF33+BP!BF33</f>
        <v>3755948</v>
      </c>
      <c r="BG33" s="106">
        <f>+PMGR!BG33+BP!BG33</f>
        <v>9018030.5600000005</v>
      </c>
      <c r="BH33" s="106">
        <f>+PMGR!BH33+BP!BH33</f>
        <v>4867078.96</v>
      </c>
      <c r="BI33" s="106">
        <f>+PMGR!BI33+BP!BI33</f>
        <v>3560311.49</v>
      </c>
      <c r="BJ33" s="106">
        <f>+PMGR!BJ33+BP!BJ33</f>
        <v>1843594.84</v>
      </c>
      <c r="BK33" s="106">
        <f>+PMGR!BK33+BP!BK33</f>
        <v>2497832.1</v>
      </c>
      <c r="BL33" s="106">
        <f>+PMGR!BL33+BP!BL33</f>
        <v>3439648.77</v>
      </c>
      <c r="BM33" s="106">
        <f>+PMGR!BM33+BP!BM33</f>
        <v>3106226.5300000003</v>
      </c>
      <c r="BN33" s="106">
        <f>+PMGR!BN33+BP!BN33</f>
        <v>3515340.4400000004</v>
      </c>
      <c r="BO33" s="106">
        <f>+PMGR!BO33+BP!BO33</f>
        <v>0</v>
      </c>
      <c r="BP33" s="106">
        <f>+PMGR!BP33+BP!BP33</f>
        <v>0</v>
      </c>
      <c r="BQ33" s="106">
        <f t="shared" si="176"/>
        <v>38162626.859999999</v>
      </c>
      <c r="BR33" s="118"/>
      <c r="BS33" s="106">
        <f>+PMGR!BS33+BP!BS33</f>
        <v>1567596.6900000002</v>
      </c>
      <c r="BT33" s="106">
        <f>+PMGR!BT33+BP!BT33</f>
        <v>1533486.6360000006</v>
      </c>
      <c r="BU33" s="106">
        <f>+PMGR!BU33+BP!BU33</f>
        <v>1431156.4739999999</v>
      </c>
      <c r="BV33" s="106">
        <f>+PMGR!BV33+BP!BV33</f>
        <v>1324613.8223999999</v>
      </c>
      <c r="BW33" s="106">
        <f>+PMGR!BW33+BP!BW33</f>
        <v>1468018.7279999999</v>
      </c>
      <c r="BX33" s="106">
        <f>+PMGR!BX33+BP!BX33</f>
        <v>1523752.56</v>
      </c>
      <c r="BY33" s="106">
        <f>+PMGR!BY33+BP!BY33</f>
        <v>1557924.192</v>
      </c>
      <c r="BZ33" s="106">
        <f>+PMGR!BZ33+BP!BZ33</f>
        <v>1633023.0180000006</v>
      </c>
      <c r="CA33" s="106">
        <f>+PMGR!CA33+BP!CA33</f>
        <v>1731471.3900000001</v>
      </c>
      <c r="CB33" s="106">
        <f>+PMGR!CB33+BP!CB33</f>
        <v>1507940.28</v>
      </c>
      <c r="CC33" s="106">
        <f>+PMGR!CC33+BP!CC33</f>
        <v>1206352.2239999999</v>
      </c>
      <c r="CD33" s="106">
        <f>+PMGR!CD33+BP!CD33</f>
        <v>1594108.2959999999</v>
      </c>
      <c r="CE33" s="106">
        <f t="shared" si="177"/>
        <v>18079444.310400002</v>
      </c>
      <c r="CF33" s="106"/>
      <c r="CG33" s="106">
        <f>+PMGR!CG33+BP!CG33</f>
        <v>1060623.32</v>
      </c>
      <c r="CH33" s="106">
        <f>+PMGR!CH33+BP!CH33</f>
        <v>1642055.8499999999</v>
      </c>
      <c r="CI33" s="106">
        <f>+PMGR!CI33+BP!CI33</f>
        <v>629920.68999999983</v>
      </c>
      <c r="CJ33" s="106">
        <f>+PMGR!CJ33+BP!CJ33</f>
        <v>551229.04</v>
      </c>
      <c r="CK33" s="106">
        <f>+PMGR!CK33+BP!CK33</f>
        <v>857286.78</v>
      </c>
      <c r="CL33" s="106">
        <f>+PMGR!CL33+BP!CL33</f>
        <v>3188794.28</v>
      </c>
      <c r="CM33" s="106">
        <f>+PMGR!CM33+BP!CM33</f>
        <v>995480.76</v>
      </c>
      <c r="CN33" s="106">
        <f>+PMGR!CN33+BP!CN33</f>
        <v>1215840.98</v>
      </c>
      <c r="CO33" s="106">
        <f>+PMGR!CO33+BP!CO33</f>
        <v>966521.87199999997</v>
      </c>
      <c r="CP33" s="106">
        <f>+PMGR!CP33+BP!CP33</f>
        <v>549359.38</v>
      </c>
      <c r="CQ33" s="106">
        <f>+PMGR!CQ33+BP!CQ33</f>
        <v>674467.71</v>
      </c>
      <c r="CR33" s="106">
        <f>+PMGR!CR33+BP!CR33</f>
        <v>875237.48</v>
      </c>
      <c r="CS33" s="106">
        <f t="shared" si="178"/>
        <v>13206818.142000001</v>
      </c>
      <c r="CT33" s="7" t="str">
        <f t="shared" si="20"/>
        <v>Warranty Parts</v>
      </c>
      <c r="CU33" s="106">
        <f>+PMGR!CU33+BP!CU33</f>
        <v>1274652.56</v>
      </c>
      <c r="CV33" s="106">
        <f>+PMGR!CV33+BP!CV33</f>
        <v>337392.2</v>
      </c>
      <c r="CW33" s="106">
        <f>+PMGR!CW33+BP!CW33</f>
        <v>624996.30000000005</v>
      </c>
      <c r="CX33" s="106">
        <f>+PMGR!CX33+BP!CX33</f>
        <v>890704.14</v>
      </c>
      <c r="CY33" s="106">
        <f>+PMGR!CY33+BP!CY33</f>
        <v>2707176.44</v>
      </c>
      <c r="CZ33" s="106">
        <f>+PMGR!CZ33+BP!CZ33</f>
        <v>1444507.03</v>
      </c>
      <c r="DA33" s="106">
        <f>+PMGR!DA33+BP!DA33</f>
        <v>855358.04</v>
      </c>
      <c r="DB33" s="106">
        <f>+PMGR!DB33+BP!DB33</f>
        <v>516392.99</v>
      </c>
      <c r="DC33" s="106">
        <f>+PMGR!DC33+BP!DC33</f>
        <v>951032.77</v>
      </c>
      <c r="DD33" s="106">
        <f>+PMGR!DD33+BP!DD33</f>
        <v>869122.89000000013</v>
      </c>
      <c r="DE33" s="106">
        <f>+PMGR!DE33+BP!DE33</f>
        <v>0</v>
      </c>
      <c r="DF33" s="106">
        <f>+PMGR!DF33+BP!DF33</f>
        <v>0</v>
      </c>
      <c r="DG33" s="106">
        <f t="shared" si="179"/>
        <v>10471335.360000001</v>
      </c>
      <c r="DH33" s="118"/>
      <c r="DI33" s="106">
        <f>+PMGR!DI33+BP!DI33</f>
        <v>1219676.5152000003</v>
      </c>
      <c r="DJ33" s="106">
        <f>+PMGR!DJ33+BP!DJ33</f>
        <v>1190610.2208</v>
      </c>
      <c r="DK33" s="106">
        <f>+PMGR!DK33+BP!DK33</f>
        <v>1310370.2039999999</v>
      </c>
      <c r="DL33" s="106">
        <f>+PMGR!DL33+BP!DL33</f>
        <v>1012594.1429999999</v>
      </c>
      <c r="DM33" s="106">
        <f>+PMGR!DM33+BP!DM33</f>
        <v>1162913.1953999999</v>
      </c>
      <c r="DN33" s="106">
        <f>+PMGR!DN33+BP!DN33</f>
        <v>1238072.7215999998</v>
      </c>
      <c r="DO33" s="106">
        <f>+PMGR!DO33+BP!DO33</f>
        <v>1294924.5539999998</v>
      </c>
      <c r="DP33" s="106">
        <f>+PMGR!DP33+BP!DP33</f>
        <v>1247854.3902000003</v>
      </c>
      <c r="DQ33" s="106">
        <f>+PMGR!DQ33+BP!DQ33</f>
        <v>1219622.9958000001</v>
      </c>
      <c r="DR33" s="106">
        <f>+PMGR!DR33+BP!DR33</f>
        <v>1035553.8929999999</v>
      </c>
      <c r="DS33" s="106">
        <f>+PMGR!DS33+BP!DS33</f>
        <v>1146841.3703999999</v>
      </c>
      <c r="DT33" s="106">
        <f>+PMGR!DT33+BP!DT33</f>
        <v>1231184.7965999998</v>
      </c>
      <c r="DU33" s="106">
        <f t="shared" si="180"/>
        <v>14310218.999999998</v>
      </c>
      <c r="DV33" s="106"/>
      <c r="DW33" s="106">
        <f>+PMGR!DW33+BP!DW33</f>
        <v>0</v>
      </c>
      <c r="DX33" s="106">
        <f>+PMGR!DX33+BP!DX33</f>
        <v>0</v>
      </c>
      <c r="DY33" s="106">
        <f>+PMGR!DY33+BP!DY33</f>
        <v>0</v>
      </c>
      <c r="DZ33" s="106">
        <f>+PMGR!DZ33+BP!DZ33</f>
        <v>0</v>
      </c>
      <c r="EA33" s="106">
        <f>+PMGR!EA33+BP!EA33</f>
        <v>0</v>
      </c>
      <c r="EB33" s="106">
        <f>+PMGR!EB33+BP!EB33</f>
        <v>0</v>
      </c>
      <c r="EC33" s="106">
        <f>+PMGR!EC33+BP!EC33</f>
        <v>0</v>
      </c>
      <c r="ED33" s="106">
        <f>+PMGR!ED33+BP!ED33</f>
        <v>0</v>
      </c>
      <c r="EE33" s="106">
        <f>+PMGR!EE33+BP!EE33</f>
        <v>0</v>
      </c>
      <c r="EF33" s="106">
        <f>+PMGR!EF33+BP!EF33</f>
        <v>0</v>
      </c>
      <c r="EG33" s="106">
        <f>+PMGR!EG33+BP!EG33</f>
        <v>0</v>
      </c>
      <c r="EH33" s="106">
        <f>+PMGR!EH33+BP!EH33</f>
        <v>0</v>
      </c>
      <c r="EI33" s="106">
        <f t="shared" si="181"/>
        <v>0</v>
      </c>
      <c r="EJ33" s="7" t="str">
        <f t="shared" si="93"/>
        <v>Warranty Parts</v>
      </c>
      <c r="EK33" s="106">
        <f>+PMGR!EK33+BP!EK33</f>
        <v>243192</v>
      </c>
      <c r="EL33" s="106">
        <f>+PMGR!EL33+BP!EL33</f>
        <v>98980.78</v>
      </c>
      <c r="EM33" s="106">
        <f>+PMGR!EM33+BP!EM33</f>
        <v>321786.64</v>
      </c>
      <c r="EN33" s="106">
        <f>+PMGR!EN33+BP!EN33</f>
        <v>118781.86</v>
      </c>
      <c r="EO33" s="106">
        <f>+PMGR!EO33+BP!EO33</f>
        <v>359162.93</v>
      </c>
      <c r="EP33" s="106">
        <f>+PMGR!EP33+BP!EP33</f>
        <v>171150.17</v>
      </c>
      <c r="EQ33" s="106">
        <f>+PMGR!EQ33+BP!EQ33</f>
        <v>369494.62</v>
      </c>
      <c r="ER33" s="106">
        <f>+PMGR!ER33+BP!ER33</f>
        <v>480736.59</v>
      </c>
      <c r="ES33" s="106">
        <f>+PMGR!ES33+BP!ES33</f>
        <v>234101.99</v>
      </c>
      <c r="ET33" s="106">
        <f>+PMGR!ET33+BP!ET33</f>
        <v>404265.76999999996</v>
      </c>
      <c r="EU33" s="106">
        <f>+PMGR!EU33+BP!EU33</f>
        <v>0</v>
      </c>
      <c r="EV33" s="106">
        <f>+PMGR!EV33+BP!EV33</f>
        <v>0</v>
      </c>
      <c r="EW33" s="106">
        <f t="shared" si="182"/>
        <v>2801653.35</v>
      </c>
      <c r="EX33" s="118"/>
      <c r="EY33" s="106">
        <f>+PMGR!EY33+BP!EY33</f>
        <v>0</v>
      </c>
      <c r="EZ33" s="106">
        <f>+PMGR!EZ33+BP!EZ33</f>
        <v>0</v>
      </c>
      <c r="FA33" s="106">
        <f>+PMGR!FA33+BP!FA33</f>
        <v>0</v>
      </c>
      <c r="FB33" s="106">
        <f>+PMGR!FB33+BP!FB33</f>
        <v>0</v>
      </c>
      <c r="FC33" s="106">
        <f>+PMGR!FC33+BP!FC33</f>
        <v>0</v>
      </c>
      <c r="FD33" s="106">
        <f>+PMGR!FD33+BP!FD33</f>
        <v>0</v>
      </c>
      <c r="FE33" s="106">
        <f>+PMGR!FE33+BP!FE33</f>
        <v>0</v>
      </c>
      <c r="FF33" s="106">
        <f>+PMGR!FF33+BP!FF33</f>
        <v>0</v>
      </c>
      <c r="FG33" s="106">
        <f>+PMGR!FG33+BP!FG33</f>
        <v>0</v>
      </c>
      <c r="FH33" s="106">
        <f>+PMGR!FH33+BP!FH33</f>
        <v>0</v>
      </c>
      <c r="FI33" s="106">
        <f>+PMGR!FI33+BP!FI33</f>
        <v>0</v>
      </c>
      <c r="FJ33" s="106">
        <f>+PMGR!FJ33+BP!FJ33</f>
        <v>0</v>
      </c>
      <c r="FK33" s="106">
        <f t="shared" si="183"/>
        <v>0</v>
      </c>
    </row>
    <row r="34" spans="1:167" ht="14.45" customHeight="1">
      <c r="A34" s="106">
        <f t="shared" si="169"/>
        <v>116704.8</v>
      </c>
      <c r="B34" s="106">
        <f t="shared" si="169"/>
        <v>621355.5</v>
      </c>
      <c r="C34" s="106">
        <f t="shared" si="169"/>
        <v>485198.7</v>
      </c>
      <c r="D34" s="106">
        <f t="shared" si="169"/>
        <v>300793.5</v>
      </c>
      <c r="E34" s="106">
        <f t="shared" si="169"/>
        <v>404654.7</v>
      </c>
      <c r="F34" s="106">
        <f t="shared" si="169"/>
        <v>427433.03</v>
      </c>
      <c r="G34" s="106">
        <f t="shared" si="169"/>
        <v>407081.1</v>
      </c>
      <c r="H34" s="106">
        <f t="shared" si="169"/>
        <v>254504.1</v>
      </c>
      <c r="I34" s="106">
        <f t="shared" si="169"/>
        <v>465538.2</v>
      </c>
      <c r="J34" s="106">
        <f t="shared" si="169"/>
        <v>308984.40000000002</v>
      </c>
      <c r="K34" s="106">
        <f t="shared" si="169"/>
        <v>600061.73</v>
      </c>
      <c r="L34" s="106">
        <f t="shared" si="169"/>
        <v>320163.59999999998</v>
      </c>
      <c r="M34" s="106">
        <f t="shared" si="170"/>
        <v>4712473.3599999994</v>
      </c>
      <c r="N34" s="7" t="s">
        <v>29</v>
      </c>
      <c r="O34" s="106">
        <f t="shared" si="171"/>
        <v>740246.39999999991</v>
      </c>
      <c r="P34" s="106">
        <f t="shared" si="171"/>
        <v>57217.2</v>
      </c>
      <c r="Q34" s="106">
        <f t="shared" si="171"/>
        <v>1482770.6300000001</v>
      </c>
      <c r="R34" s="106">
        <f t="shared" si="171"/>
        <v>1638210.4</v>
      </c>
      <c r="S34" s="106">
        <f t="shared" si="171"/>
        <v>2978382.3</v>
      </c>
      <c r="T34" s="106">
        <f t="shared" si="171"/>
        <v>599895.5</v>
      </c>
      <c r="U34" s="106">
        <f t="shared" si="171"/>
        <v>382592.4</v>
      </c>
      <c r="V34" s="106">
        <f t="shared" si="171"/>
        <v>497054.5</v>
      </c>
      <c r="W34" s="106">
        <f t="shared" si="171"/>
        <v>491488</v>
      </c>
      <c r="X34" s="106">
        <f t="shared" si="171"/>
        <v>762427.4</v>
      </c>
      <c r="Y34" s="106">
        <f t="shared" si="171"/>
        <v>0</v>
      </c>
      <c r="Z34" s="106">
        <f t="shared" si="171"/>
        <v>0</v>
      </c>
      <c r="AA34" s="106">
        <f t="shared" si="172"/>
        <v>9630284.7300000004</v>
      </c>
      <c r="AB34" s="118"/>
      <c r="AC34" s="106">
        <f t="shared" si="173"/>
        <v>464545.53420000011</v>
      </c>
      <c r="AD34" s="106">
        <f t="shared" si="173"/>
        <v>454016.14280000015</v>
      </c>
      <c r="AE34" s="106">
        <f t="shared" si="173"/>
        <v>456921.11300000001</v>
      </c>
      <c r="AF34" s="106">
        <f t="shared" si="173"/>
        <v>389534.66090000002</v>
      </c>
      <c r="AG34" s="106">
        <f t="shared" si="173"/>
        <v>438488.65390000003</v>
      </c>
      <c r="AH34" s="106">
        <f t="shared" si="173"/>
        <v>460304.21360000002</v>
      </c>
      <c r="AI34" s="106">
        <f t="shared" si="173"/>
        <v>475474.79100000003</v>
      </c>
      <c r="AJ34" s="106">
        <f t="shared" si="173"/>
        <v>480146.2347000002</v>
      </c>
      <c r="AK34" s="106">
        <f t="shared" si="173"/>
        <v>491849.06430000009</v>
      </c>
      <c r="AL34" s="106">
        <f t="shared" si="173"/>
        <v>423915.69550000003</v>
      </c>
      <c r="AM34" s="106">
        <f t="shared" si="173"/>
        <v>392198.93240000005</v>
      </c>
      <c r="AN34" s="106">
        <f t="shared" si="173"/>
        <v>470882.18209999998</v>
      </c>
      <c r="AO34" s="106">
        <f t="shared" si="174"/>
        <v>5398277.2184000015</v>
      </c>
      <c r="AP34" s="106"/>
      <c r="AQ34" s="106">
        <f>+PMGR!AQ34+BP!AQ34</f>
        <v>85780.800000000003</v>
      </c>
      <c r="AR34" s="106">
        <f>+PMGR!AR34+BP!AR34</f>
        <v>348451.2</v>
      </c>
      <c r="AS34" s="106">
        <f>+PMGR!AS34+BP!AS34</f>
        <v>320013</v>
      </c>
      <c r="AT34" s="106">
        <f>+PMGR!AT34+BP!AT34</f>
        <v>222710.39999999999</v>
      </c>
      <c r="AU34" s="106">
        <f>+PMGR!AU34+BP!AU34</f>
        <v>211122</v>
      </c>
      <c r="AV34" s="106">
        <f>+PMGR!AV34+BP!AV34</f>
        <v>241824.6</v>
      </c>
      <c r="AW34" s="106">
        <f>+PMGR!AW34+BP!AW34</f>
        <v>210456</v>
      </c>
      <c r="AX34" s="106">
        <f>+PMGR!AX34+BP!AX34</f>
        <v>186213.6</v>
      </c>
      <c r="AY34" s="106">
        <f>+PMGR!AY34+BP!AY34</f>
        <v>319680</v>
      </c>
      <c r="AZ34" s="106">
        <f>+PMGR!AZ34+BP!AZ34</f>
        <v>213120</v>
      </c>
      <c r="BA34" s="106">
        <f>+PMGR!BA34+BP!BA34</f>
        <v>444088.8</v>
      </c>
      <c r="BB34" s="106">
        <f>+PMGR!BB34+BP!BB34</f>
        <v>263469.59999999998</v>
      </c>
      <c r="BC34" s="106">
        <f t="shared" si="175"/>
        <v>3066930</v>
      </c>
      <c r="BD34" s="7" t="str">
        <f t="shared" si="16"/>
        <v>Warranty Labour</v>
      </c>
      <c r="BE34" s="106">
        <f>+PMGR!BE34+BP!BE34</f>
        <v>548517.6</v>
      </c>
      <c r="BF34" s="106">
        <f>+PMGR!BF34+BP!BF34</f>
        <v>39693.599999999999</v>
      </c>
      <c r="BG34" s="106">
        <f>+PMGR!BG34+BP!BG34</f>
        <v>1358809.6</v>
      </c>
      <c r="BH34" s="106">
        <f>+PMGR!BH34+BP!BH34</f>
        <v>867111.6</v>
      </c>
      <c r="BI34" s="106">
        <f>+PMGR!BI34+BP!BI34</f>
        <v>2725840</v>
      </c>
      <c r="BJ34" s="106">
        <f>+PMGR!BJ34+BP!BJ34</f>
        <v>394619</v>
      </c>
      <c r="BK34" s="106">
        <f>+PMGR!BK34+BP!BK34</f>
        <v>220260.6</v>
      </c>
      <c r="BL34" s="106">
        <f>+PMGR!BL34+BP!BL34</f>
        <v>336657</v>
      </c>
      <c r="BM34" s="106">
        <f>+PMGR!BM34+BP!BM34</f>
        <v>354823</v>
      </c>
      <c r="BN34" s="106">
        <f>+PMGR!BN34+BP!BN34</f>
        <v>583274.9</v>
      </c>
      <c r="BO34" s="106">
        <f>+PMGR!BO34+BP!BO34</f>
        <v>0</v>
      </c>
      <c r="BP34" s="106">
        <f>+PMGR!BP34+BP!BP34</f>
        <v>0</v>
      </c>
      <c r="BQ34" s="106">
        <f t="shared" si="176"/>
        <v>7429606.9000000004</v>
      </c>
      <c r="BR34" s="118"/>
      <c r="BS34" s="106">
        <f>+PMGR!BS34+BP!BS34</f>
        <v>261266.11500000005</v>
      </c>
      <c r="BT34" s="106">
        <f>+PMGR!BT34+BP!BT34</f>
        <v>255581.10600000012</v>
      </c>
      <c r="BU34" s="106">
        <f>+PMGR!BU34+BP!BU34</f>
        <v>238526.07900000003</v>
      </c>
      <c r="BV34" s="106">
        <f>+PMGR!BV34+BP!BV34</f>
        <v>220768.97039999999</v>
      </c>
      <c r="BW34" s="106">
        <f>+PMGR!BW34+BP!BW34</f>
        <v>244669.788</v>
      </c>
      <c r="BX34" s="106">
        <f>+PMGR!BX34+BP!BX34</f>
        <v>253958.76</v>
      </c>
      <c r="BY34" s="106">
        <f>+PMGR!BY34+BP!BY34</f>
        <v>259654.03200000004</v>
      </c>
      <c r="BZ34" s="106">
        <f>+PMGR!BZ34+BP!BZ34</f>
        <v>272170.50300000014</v>
      </c>
      <c r="CA34" s="106">
        <f>+PMGR!CA34+BP!CA34</f>
        <v>288578.56500000006</v>
      </c>
      <c r="CB34" s="106">
        <f>+PMGR!CB34+BP!CB34</f>
        <v>251323.38000000003</v>
      </c>
      <c r="CC34" s="106">
        <f>+PMGR!CC34+BP!CC34</f>
        <v>201058.70400000003</v>
      </c>
      <c r="CD34" s="106">
        <f>+PMGR!CD34+BP!CD34</f>
        <v>265684.71599999996</v>
      </c>
      <c r="CE34" s="106">
        <f t="shared" si="177"/>
        <v>3013240.7184000001</v>
      </c>
      <c r="CF34" s="106"/>
      <c r="CG34" s="106">
        <f>+PMGR!CG34+BP!CG34</f>
        <v>30924</v>
      </c>
      <c r="CH34" s="106">
        <f>+PMGR!CH34+BP!CH34</f>
        <v>272904.3</v>
      </c>
      <c r="CI34" s="106">
        <f>+PMGR!CI34+BP!CI34</f>
        <v>165185.70000000001</v>
      </c>
      <c r="CJ34" s="106">
        <f>+PMGR!CJ34+BP!CJ34</f>
        <v>78083.100000000006</v>
      </c>
      <c r="CK34" s="106">
        <f>+PMGR!CK34+BP!CK34</f>
        <v>193532.7</v>
      </c>
      <c r="CL34" s="106">
        <f>+PMGR!CL34+BP!CL34</f>
        <v>185608.43</v>
      </c>
      <c r="CM34" s="106">
        <f>+PMGR!CM34+BP!CM34</f>
        <v>196625.1</v>
      </c>
      <c r="CN34" s="106">
        <f>+PMGR!CN34+BP!CN34</f>
        <v>68290.5</v>
      </c>
      <c r="CO34" s="106">
        <f>+PMGR!CO34+BP!CO34</f>
        <v>145858.20000000001</v>
      </c>
      <c r="CP34" s="106">
        <f>+PMGR!CP34+BP!CP34</f>
        <v>95864.4</v>
      </c>
      <c r="CQ34" s="106">
        <f>+PMGR!CQ34+BP!CQ34</f>
        <v>155972.93</v>
      </c>
      <c r="CR34" s="106">
        <f>+PMGR!CR34+BP!CR34</f>
        <v>56694</v>
      </c>
      <c r="CS34" s="106">
        <f t="shared" si="178"/>
        <v>1645543.3599999999</v>
      </c>
      <c r="CT34" s="7" t="str">
        <f t="shared" si="20"/>
        <v>Warranty Labour</v>
      </c>
      <c r="CU34" s="106">
        <f>+PMGR!CU34+BP!CU34</f>
        <v>191728.8</v>
      </c>
      <c r="CV34" s="106">
        <f>+PMGR!CV34+BP!CV34</f>
        <v>17523.599999999999</v>
      </c>
      <c r="CW34" s="106">
        <f>+PMGR!CW34+BP!CW34</f>
        <v>97475.03</v>
      </c>
      <c r="CX34" s="106">
        <f>+PMGR!CX34+BP!CX34</f>
        <v>115042.8</v>
      </c>
      <c r="CY34" s="106">
        <f>+PMGR!CY34+BP!CY34</f>
        <v>177929.3</v>
      </c>
      <c r="CZ34" s="106">
        <f>+PMGR!CZ34+BP!CZ34</f>
        <v>151981.5</v>
      </c>
      <c r="DA34" s="106">
        <f>+PMGR!DA34+BP!DA34</f>
        <v>72214.8</v>
      </c>
      <c r="DB34" s="106">
        <f>+PMGR!DB34+BP!DB34</f>
        <v>100642.5</v>
      </c>
      <c r="DC34" s="106">
        <f>+PMGR!DC34+BP!DC34</f>
        <v>90153</v>
      </c>
      <c r="DD34" s="106">
        <f>+PMGR!DD34+BP!DD34</f>
        <v>107446.5</v>
      </c>
      <c r="DE34" s="106">
        <f>+PMGR!DE34+BP!DE34</f>
        <v>0</v>
      </c>
      <c r="DF34" s="106">
        <f>+PMGR!DF34+BP!DF34</f>
        <v>0</v>
      </c>
      <c r="DG34" s="106">
        <f t="shared" si="179"/>
        <v>1122137.83</v>
      </c>
      <c r="DH34" s="118"/>
      <c r="DI34" s="106">
        <f>+PMGR!DI34+BP!DI34</f>
        <v>203279.41920000006</v>
      </c>
      <c r="DJ34" s="106">
        <f>+PMGR!DJ34+BP!DJ34</f>
        <v>198435.03680000003</v>
      </c>
      <c r="DK34" s="106">
        <f>+PMGR!DK34+BP!DK34</f>
        <v>218395.03399999999</v>
      </c>
      <c r="DL34" s="106">
        <f>+PMGR!DL34+BP!DL34</f>
        <v>168765.69050000003</v>
      </c>
      <c r="DM34" s="106">
        <f>+PMGR!DM34+BP!DM34</f>
        <v>193818.8659</v>
      </c>
      <c r="DN34" s="106">
        <f>+PMGR!DN34+BP!DN34</f>
        <v>206345.45360000001</v>
      </c>
      <c r="DO34" s="106">
        <f>+PMGR!DO34+BP!DO34</f>
        <v>215820.75899999999</v>
      </c>
      <c r="DP34" s="106">
        <f>+PMGR!DP34+BP!DP34</f>
        <v>207975.73170000006</v>
      </c>
      <c r="DQ34" s="106">
        <f>+PMGR!DQ34+BP!DQ34</f>
        <v>203270.49930000002</v>
      </c>
      <c r="DR34" s="106">
        <f>+PMGR!DR34+BP!DR34</f>
        <v>172592.31550000003</v>
      </c>
      <c r="DS34" s="106">
        <f>+PMGR!DS34+BP!DS34</f>
        <v>191140.22840000002</v>
      </c>
      <c r="DT34" s="106">
        <f>+PMGR!DT34+BP!DT34</f>
        <v>205197.46609999999</v>
      </c>
      <c r="DU34" s="106">
        <f t="shared" si="180"/>
        <v>2385036.5</v>
      </c>
      <c r="DV34" s="106"/>
      <c r="DW34" s="106">
        <f>+PMGR!DW34+BP!DW34</f>
        <v>0</v>
      </c>
      <c r="DX34" s="106">
        <f>+PMGR!DX34+BP!DX34</f>
        <v>0</v>
      </c>
      <c r="DY34" s="106">
        <f>+PMGR!DY34+BP!DY34</f>
        <v>0</v>
      </c>
      <c r="DZ34" s="106">
        <f>+PMGR!DZ34+BP!DZ34</f>
        <v>0</v>
      </c>
      <c r="EA34" s="106">
        <f>+PMGR!EA34+BP!EA34</f>
        <v>0</v>
      </c>
      <c r="EB34" s="106">
        <f>+PMGR!EB34+BP!EB34</f>
        <v>0</v>
      </c>
      <c r="EC34" s="106">
        <f>+PMGR!EC34+BP!EC34</f>
        <v>0</v>
      </c>
      <c r="ED34" s="106">
        <f>+PMGR!ED34+BP!ED34</f>
        <v>0</v>
      </c>
      <c r="EE34" s="106">
        <f>+PMGR!EE34+BP!EE34</f>
        <v>0</v>
      </c>
      <c r="EF34" s="106">
        <f>+PMGR!EF34+BP!EF34</f>
        <v>0</v>
      </c>
      <c r="EG34" s="106">
        <f>+PMGR!EG34+BP!EG34</f>
        <v>0</v>
      </c>
      <c r="EH34" s="106">
        <f>+PMGR!EH34+BP!EH34</f>
        <v>0</v>
      </c>
      <c r="EI34" s="106">
        <f t="shared" si="181"/>
        <v>0</v>
      </c>
      <c r="EJ34" s="7" t="str">
        <f t="shared" si="93"/>
        <v>Warranty Labour</v>
      </c>
      <c r="EK34" s="106">
        <f>+PMGR!EK34+BP!EK34</f>
        <v>0</v>
      </c>
      <c r="EL34" s="106">
        <f>+PMGR!EL34+BP!EL34</f>
        <v>0</v>
      </c>
      <c r="EM34" s="106">
        <f>+PMGR!EM34+BP!EM34</f>
        <v>26486</v>
      </c>
      <c r="EN34" s="106">
        <f>+PMGR!EN34+BP!EN34</f>
        <v>656056</v>
      </c>
      <c r="EO34" s="106">
        <f>+PMGR!EO34+BP!EO34</f>
        <v>74613</v>
      </c>
      <c r="EP34" s="106">
        <f>+PMGR!EP34+BP!EP34</f>
        <v>53295</v>
      </c>
      <c r="EQ34" s="106">
        <f>+PMGR!EQ34+BP!EQ34</f>
        <v>90117</v>
      </c>
      <c r="ER34" s="106">
        <f>+PMGR!ER34+BP!ER34</f>
        <v>59755</v>
      </c>
      <c r="ES34" s="106">
        <f>+PMGR!ES34+BP!ES34</f>
        <v>46512</v>
      </c>
      <c r="ET34" s="106">
        <f>+PMGR!ET34+BP!ET34</f>
        <v>71706</v>
      </c>
      <c r="EU34" s="106">
        <f>+PMGR!EU34+BP!EU34</f>
        <v>0</v>
      </c>
      <c r="EV34" s="106">
        <f>+PMGR!EV34+BP!EV34</f>
        <v>0</v>
      </c>
      <c r="EW34" s="106">
        <f t="shared" si="182"/>
        <v>1078540</v>
      </c>
      <c r="EX34" s="118"/>
      <c r="EY34" s="106">
        <f>+PMGR!EY34+BP!EY34</f>
        <v>0</v>
      </c>
      <c r="EZ34" s="106">
        <f>+PMGR!EZ34+BP!EZ34</f>
        <v>0</v>
      </c>
      <c r="FA34" s="106">
        <f>+PMGR!FA34+BP!FA34</f>
        <v>0</v>
      </c>
      <c r="FB34" s="106">
        <f>+PMGR!FB34+BP!FB34</f>
        <v>0</v>
      </c>
      <c r="FC34" s="106">
        <f>+PMGR!FC34+BP!FC34</f>
        <v>0</v>
      </c>
      <c r="FD34" s="106">
        <f>+PMGR!FD34+BP!FD34</f>
        <v>0</v>
      </c>
      <c r="FE34" s="106">
        <f>+PMGR!FE34+BP!FE34</f>
        <v>0</v>
      </c>
      <c r="FF34" s="106">
        <f>+PMGR!FF34+BP!FF34</f>
        <v>0</v>
      </c>
      <c r="FG34" s="106">
        <f>+PMGR!FG34+BP!FG34</f>
        <v>0</v>
      </c>
      <c r="FH34" s="106">
        <f>+PMGR!FH34+BP!FH34</f>
        <v>0</v>
      </c>
      <c r="FI34" s="106">
        <f>+PMGR!FI34+BP!FI34</f>
        <v>0</v>
      </c>
      <c r="FJ34" s="106">
        <f>+PMGR!FJ34+BP!FJ34</f>
        <v>0</v>
      </c>
      <c r="FK34" s="106">
        <f t="shared" si="183"/>
        <v>0</v>
      </c>
    </row>
    <row r="35" spans="1:167" ht="14.45" customHeight="1">
      <c r="A35" s="106">
        <f t="shared" si="169"/>
        <v>475961.27999999997</v>
      </c>
      <c r="B35" s="106">
        <f t="shared" si="169"/>
        <v>580892.85</v>
      </c>
      <c r="C35" s="106">
        <f t="shared" si="169"/>
        <v>756699.16999999993</v>
      </c>
      <c r="D35" s="106">
        <f t="shared" si="169"/>
        <v>768157.27999999991</v>
      </c>
      <c r="E35" s="106">
        <f t="shared" si="169"/>
        <v>540240.48</v>
      </c>
      <c r="F35" s="106">
        <f t="shared" si="169"/>
        <v>680318.35</v>
      </c>
      <c r="G35" s="106">
        <f t="shared" si="169"/>
        <v>463228.73000000004</v>
      </c>
      <c r="H35" s="106">
        <f t="shared" si="169"/>
        <v>502265.5</v>
      </c>
      <c r="I35" s="106">
        <f t="shared" si="169"/>
        <v>1284435.06</v>
      </c>
      <c r="J35" s="106">
        <f t="shared" si="169"/>
        <v>501218.75</v>
      </c>
      <c r="K35" s="106">
        <f t="shared" si="169"/>
        <v>642930.04</v>
      </c>
      <c r="L35" s="106">
        <f t="shared" si="169"/>
        <v>496696.42</v>
      </c>
      <c r="M35" s="106">
        <f t="shared" si="170"/>
        <v>7693043.9099999992</v>
      </c>
      <c r="N35" s="7" t="s">
        <v>30</v>
      </c>
      <c r="O35" s="106">
        <f t="shared" si="171"/>
        <v>211620.97</v>
      </c>
      <c r="P35" s="106">
        <f t="shared" si="171"/>
        <v>402740.79000000004</v>
      </c>
      <c r="Q35" s="106">
        <f t="shared" si="171"/>
        <v>668858.42000000004</v>
      </c>
      <c r="R35" s="106">
        <f t="shared" si="171"/>
        <v>798064.66999999993</v>
      </c>
      <c r="S35" s="106">
        <f t="shared" si="171"/>
        <v>1097659.54</v>
      </c>
      <c r="T35" s="106">
        <f t="shared" si="171"/>
        <v>651985.42999999993</v>
      </c>
      <c r="U35" s="106">
        <f t="shared" si="171"/>
        <v>998684.53</v>
      </c>
      <c r="V35" s="106">
        <f t="shared" si="171"/>
        <v>507049.1</v>
      </c>
      <c r="W35" s="106">
        <f t="shared" si="171"/>
        <v>1149489.76</v>
      </c>
      <c r="X35" s="106">
        <f t="shared" si="171"/>
        <v>1040440.6</v>
      </c>
      <c r="Y35" s="106">
        <f t="shared" si="171"/>
        <v>0</v>
      </c>
      <c r="Z35" s="106">
        <f t="shared" si="171"/>
        <v>0</v>
      </c>
      <c r="AA35" s="106">
        <f t="shared" si="172"/>
        <v>7526593.8099999996</v>
      </c>
      <c r="AB35" s="118"/>
      <c r="AC35" s="106">
        <f t="shared" si="173"/>
        <v>0</v>
      </c>
      <c r="AD35" s="106">
        <f t="shared" si="173"/>
        <v>0</v>
      </c>
      <c r="AE35" s="106">
        <f t="shared" si="173"/>
        <v>0</v>
      </c>
      <c r="AF35" s="106">
        <f t="shared" si="173"/>
        <v>0</v>
      </c>
      <c r="AG35" s="106">
        <f t="shared" si="173"/>
        <v>0</v>
      </c>
      <c r="AH35" s="106">
        <f t="shared" si="173"/>
        <v>0</v>
      </c>
      <c r="AI35" s="106">
        <f t="shared" si="173"/>
        <v>0</v>
      </c>
      <c r="AJ35" s="106">
        <f t="shared" si="173"/>
        <v>0</v>
      </c>
      <c r="AK35" s="106">
        <f t="shared" si="173"/>
        <v>0</v>
      </c>
      <c r="AL35" s="106">
        <f t="shared" si="173"/>
        <v>0</v>
      </c>
      <c r="AM35" s="106">
        <f t="shared" si="173"/>
        <v>0</v>
      </c>
      <c r="AN35" s="106">
        <f t="shared" si="173"/>
        <v>0</v>
      </c>
      <c r="AO35" s="106">
        <f t="shared" si="174"/>
        <v>0</v>
      </c>
      <c r="AP35" s="106"/>
      <c r="AQ35" s="106">
        <f>+PMGR!AQ35+BP!AQ35</f>
        <v>405435.70999999996</v>
      </c>
      <c r="AR35" s="106">
        <f>+PMGR!AR35+BP!AR35</f>
        <v>312776.71999999997</v>
      </c>
      <c r="AS35" s="106">
        <f>+PMGR!AS35+BP!AS35</f>
        <v>445611.32</v>
      </c>
      <c r="AT35" s="106">
        <f>+PMGR!AT35+BP!AT35</f>
        <v>727204.91999999993</v>
      </c>
      <c r="AU35" s="106">
        <f>+PMGR!AU35+BP!AU35</f>
        <v>215353.95</v>
      </c>
      <c r="AV35" s="106">
        <f>+PMGR!AV35+BP!AV35</f>
        <v>347874.12</v>
      </c>
      <c r="AW35" s="106">
        <f>+PMGR!AW35+BP!AW35</f>
        <v>261126.2</v>
      </c>
      <c r="AX35" s="106">
        <f>+PMGR!AX35+BP!AX35</f>
        <v>399862.92</v>
      </c>
      <c r="AY35" s="106">
        <f>+PMGR!AY35+BP!AY35</f>
        <v>819979.32</v>
      </c>
      <c r="AZ35" s="106">
        <f>+PMGR!AZ35+BP!AZ35</f>
        <v>339063.42</v>
      </c>
      <c r="BA35" s="106">
        <f>+PMGR!BA35+BP!BA35</f>
        <v>358729.83999999997</v>
      </c>
      <c r="BB35" s="106">
        <f>+PMGR!BB35+BP!BB35</f>
        <v>371935.99</v>
      </c>
      <c r="BC35" s="106">
        <f t="shared" si="175"/>
        <v>5004954.4300000006</v>
      </c>
      <c r="BD35" s="7" t="str">
        <f t="shared" si="16"/>
        <v>Internal Sales</v>
      </c>
      <c r="BE35" s="106">
        <f>+PMGR!BE35+BP!BE35</f>
        <v>50334.85</v>
      </c>
      <c r="BF35" s="106">
        <f>+PMGR!BF35+BP!BF35</f>
        <v>265017.98</v>
      </c>
      <c r="BG35" s="106">
        <f>+PMGR!BG35+BP!BG35</f>
        <v>639641.80000000005</v>
      </c>
      <c r="BH35" s="106">
        <f>+PMGR!BH35+BP!BH35</f>
        <v>157190.56</v>
      </c>
      <c r="BI35" s="106">
        <f>+PMGR!BI35+BP!BI35</f>
        <v>891498.91</v>
      </c>
      <c r="BJ35" s="106">
        <f>+PMGR!BJ35+BP!BJ35</f>
        <v>468490.17</v>
      </c>
      <c r="BK35" s="106">
        <f>+PMGR!BK35+BP!BK35</f>
        <v>604172.04</v>
      </c>
      <c r="BL35" s="106">
        <f>+PMGR!BL35+BP!BL35</f>
        <v>353757</v>
      </c>
      <c r="BM35" s="106">
        <f>+PMGR!BM35+BP!BM35</f>
        <v>912856.39</v>
      </c>
      <c r="BN35" s="106">
        <f>+PMGR!BN35+BP!BN35</f>
        <v>648903.65</v>
      </c>
      <c r="BO35" s="106">
        <f>+PMGR!BO35+BP!BO35</f>
        <v>0</v>
      </c>
      <c r="BP35" s="106">
        <f>+PMGR!BP35+BP!BP35</f>
        <v>0</v>
      </c>
      <c r="BQ35" s="106">
        <f t="shared" si="176"/>
        <v>4991863.3500000006</v>
      </c>
      <c r="BR35" s="118"/>
      <c r="BS35" s="106">
        <f>+PMGR!BS35+BP!BS35</f>
        <v>0</v>
      </c>
      <c r="BT35" s="106">
        <f>+PMGR!BT35+BP!BT35</f>
        <v>0</v>
      </c>
      <c r="BU35" s="106">
        <f>+PMGR!BU35+BP!BU35</f>
        <v>0</v>
      </c>
      <c r="BV35" s="106">
        <f>+PMGR!BV35+BP!BV35</f>
        <v>0</v>
      </c>
      <c r="BW35" s="106">
        <f>+PMGR!BW35+BP!BW35</f>
        <v>0</v>
      </c>
      <c r="BX35" s="106">
        <f>+PMGR!BX35+BP!BX35</f>
        <v>0</v>
      </c>
      <c r="BY35" s="106">
        <f>+PMGR!BY35+BP!BY35</f>
        <v>0</v>
      </c>
      <c r="BZ35" s="106">
        <f>+PMGR!BZ35+BP!BZ35</f>
        <v>0</v>
      </c>
      <c r="CA35" s="106">
        <f>+PMGR!CA35+BP!CA35</f>
        <v>0</v>
      </c>
      <c r="CB35" s="106">
        <f>+PMGR!CB35+BP!CB35</f>
        <v>0</v>
      </c>
      <c r="CC35" s="106">
        <f>+PMGR!CC35+BP!CC35</f>
        <v>0</v>
      </c>
      <c r="CD35" s="106">
        <f>+PMGR!CD35+BP!CD35</f>
        <v>0</v>
      </c>
      <c r="CE35" s="106">
        <f t="shared" si="177"/>
        <v>0</v>
      </c>
      <c r="CF35" s="106"/>
      <c r="CG35" s="106">
        <f>+PMGR!CG35+BP!CG35</f>
        <v>70525.570000000007</v>
      </c>
      <c r="CH35" s="106">
        <f>+PMGR!CH35+BP!CH35</f>
        <v>268116.13</v>
      </c>
      <c r="CI35" s="106">
        <f>+PMGR!CI35+BP!CI35</f>
        <v>311087.84999999998</v>
      </c>
      <c r="CJ35" s="106">
        <f>+PMGR!CJ35+BP!CJ35</f>
        <v>40952.36</v>
      </c>
      <c r="CK35" s="106">
        <f>+PMGR!CK35+BP!CK35</f>
        <v>324886.53000000003</v>
      </c>
      <c r="CL35" s="106">
        <f>+PMGR!CL35+BP!CL35</f>
        <v>332444.23</v>
      </c>
      <c r="CM35" s="106">
        <f>+PMGR!CM35+BP!CM35</f>
        <v>202102.53000000003</v>
      </c>
      <c r="CN35" s="106">
        <f>+PMGR!CN35+BP!CN35</f>
        <v>102402.58</v>
      </c>
      <c r="CO35" s="106">
        <f>+PMGR!CO35+BP!CO35</f>
        <v>464455.74</v>
      </c>
      <c r="CP35" s="106">
        <f>+PMGR!CP35+BP!CP35</f>
        <v>162155.32999999999</v>
      </c>
      <c r="CQ35" s="106">
        <f>+PMGR!CQ35+BP!CQ35</f>
        <v>284200.2</v>
      </c>
      <c r="CR35" s="106">
        <f>+PMGR!CR35+BP!CR35</f>
        <v>124760.43</v>
      </c>
      <c r="CS35" s="106">
        <f t="shared" si="178"/>
        <v>2688089.4800000004</v>
      </c>
      <c r="CT35" s="7" t="str">
        <f t="shared" si="20"/>
        <v>Internal Sales</v>
      </c>
      <c r="CU35" s="106">
        <f>+PMGR!CU35+BP!CU35</f>
        <v>159413.56</v>
      </c>
      <c r="CV35" s="106">
        <f>+PMGR!CV35+BP!CV35</f>
        <v>133546.54</v>
      </c>
      <c r="CW35" s="106">
        <f>+PMGR!CW35+BP!CW35</f>
        <v>29216.62</v>
      </c>
      <c r="CX35" s="106">
        <f>+PMGR!CX35+BP!CX35</f>
        <v>511020.83999999997</v>
      </c>
      <c r="CY35" s="106">
        <f>+PMGR!CY35+BP!CY35</f>
        <v>165994.35999999999</v>
      </c>
      <c r="CZ35" s="106">
        <f>+PMGR!CZ35+BP!CZ35</f>
        <v>51500.990000000005</v>
      </c>
      <c r="DA35" s="106">
        <f>+PMGR!DA35+BP!DA35</f>
        <v>326863.46999999997</v>
      </c>
      <c r="DB35" s="106">
        <f>+PMGR!DB35+BP!DB35</f>
        <v>22862.6</v>
      </c>
      <c r="DC35" s="106">
        <f>+PMGR!DC35+BP!DC35</f>
        <v>236633.37</v>
      </c>
      <c r="DD35" s="106">
        <f>+PMGR!DD35+BP!DD35</f>
        <v>162002.03999999998</v>
      </c>
      <c r="DE35" s="106">
        <f>+PMGR!DE35+BP!DE35</f>
        <v>0</v>
      </c>
      <c r="DF35" s="106">
        <f>+PMGR!DF35+BP!DF35</f>
        <v>0</v>
      </c>
      <c r="DG35" s="106">
        <f t="shared" si="179"/>
        <v>1799054.3900000001</v>
      </c>
      <c r="DH35" s="118"/>
      <c r="DI35" s="106">
        <f>+PMGR!DI35+BP!DI35</f>
        <v>0</v>
      </c>
      <c r="DJ35" s="106">
        <f>+PMGR!DJ35+BP!DJ35</f>
        <v>0</v>
      </c>
      <c r="DK35" s="106">
        <f>+PMGR!DK35+BP!DK35</f>
        <v>0</v>
      </c>
      <c r="DL35" s="106">
        <f>+PMGR!DL35+BP!DL35</f>
        <v>0</v>
      </c>
      <c r="DM35" s="106">
        <f>+PMGR!DM35+BP!DM35</f>
        <v>0</v>
      </c>
      <c r="DN35" s="106">
        <f>+PMGR!DN35+BP!DN35</f>
        <v>0</v>
      </c>
      <c r="DO35" s="106">
        <f>+PMGR!DO35+BP!DO35</f>
        <v>0</v>
      </c>
      <c r="DP35" s="106">
        <f>+PMGR!DP35+BP!DP35</f>
        <v>0</v>
      </c>
      <c r="DQ35" s="106">
        <f>+PMGR!DQ35+BP!DQ35</f>
        <v>0</v>
      </c>
      <c r="DR35" s="106">
        <f>+PMGR!DR35+BP!DR35</f>
        <v>0</v>
      </c>
      <c r="DS35" s="106">
        <f>+PMGR!DS35+BP!DS35</f>
        <v>0</v>
      </c>
      <c r="DT35" s="106">
        <f>+PMGR!DT35+BP!DT35</f>
        <v>0</v>
      </c>
      <c r="DU35" s="106">
        <f t="shared" si="180"/>
        <v>0</v>
      </c>
      <c r="DV35" s="106"/>
      <c r="DW35" s="106">
        <f>+PMGR!DW35+BP!DW35</f>
        <v>0</v>
      </c>
      <c r="DX35" s="106">
        <f>+PMGR!DX35+BP!DX35</f>
        <v>0</v>
      </c>
      <c r="DY35" s="106">
        <f>+PMGR!DY35+BP!DY35</f>
        <v>0</v>
      </c>
      <c r="DZ35" s="106">
        <f>+PMGR!DZ35+BP!DZ35</f>
        <v>0</v>
      </c>
      <c r="EA35" s="106">
        <f>+PMGR!EA35+BP!EA35</f>
        <v>0</v>
      </c>
      <c r="EB35" s="106">
        <f>+PMGR!EB35+BP!EB35</f>
        <v>0</v>
      </c>
      <c r="EC35" s="106">
        <f>+PMGR!EC35+BP!EC35</f>
        <v>0</v>
      </c>
      <c r="ED35" s="106">
        <f>+PMGR!ED35+BP!ED35</f>
        <v>0</v>
      </c>
      <c r="EE35" s="106">
        <f>+PMGR!EE35+BP!EE35</f>
        <v>0</v>
      </c>
      <c r="EF35" s="106">
        <f>+PMGR!EF35+BP!EF35</f>
        <v>0</v>
      </c>
      <c r="EG35" s="106">
        <f>+PMGR!EG35+BP!EG35</f>
        <v>0</v>
      </c>
      <c r="EH35" s="106">
        <f>+PMGR!EH35+BP!EH35</f>
        <v>0</v>
      </c>
      <c r="EI35" s="106">
        <f t="shared" si="181"/>
        <v>0</v>
      </c>
      <c r="EJ35" s="7" t="str">
        <f t="shared" si="93"/>
        <v>Internal Sales</v>
      </c>
      <c r="EK35" s="106">
        <f>+PMGR!EK35+BP!EK35</f>
        <v>1872.56</v>
      </c>
      <c r="EL35" s="106">
        <f>+PMGR!EL35+BP!EL35</f>
        <v>4176.2700000000004</v>
      </c>
      <c r="EM35" s="106">
        <f>+PMGR!EM35+BP!EM35</f>
        <v>0</v>
      </c>
      <c r="EN35" s="106">
        <f>+PMGR!EN35+BP!EN35</f>
        <v>129853.27000000002</v>
      </c>
      <c r="EO35" s="106">
        <f>+PMGR!EO35+BP!EO35</f>
        <v>40166.269999999997</v>
      </c>
      <c r="EP35" s="106">
        <f>+PMGR!EP35+BP!EP35</f>
        <v>131994.27000000002</v>
      </c>
      <c r="EQ35" s="106">
        <f>+PMGR!EQ35+BP!EQ35</f>
        <v>67649.02</v>
      </c>
      <c r="ER35" s="106">
        <f>+PMGR!ER35+BP!ER35</f>
        <v>130429.5</v>
      </c>
      <c r="ES35" s="106">
        <f>+PMGR!ES35+BP!ES35</f>
        <v>0</v>
      </c>
      <c r="ET35" s="106">
        <f>+PMGR!ET35+BP!ET35</f>
        <v>229534.91000000003</v>
      </c>
      <c r="EU35" s="106">
        <f>+PMGR!EU35+BP!EU35</f>
        <v>0</v>
      </c>
      <c r="EV35" s="106">
        <f>+PMGR!EV35+BP!EV35</f>
        <v>0</v>
      </c>
      <c r="EW35" s="106">
        <f t="shared" si="182"/>
        <v>735676.07000000007</v>
      </c>
      <c r="EX35" s="118"/>
      <c r="EY35" s="106">
        <f>+PMGR!EY35+BP!EY35</f>
        <v>0</v>
      </c>
      <c r="EZ35" s="106">
        <f>+PMGR!EZ35+BP!EZ35</f>
        <v>0</v>
      </c>
      <c r="FA35" s="106">
        <f>+PMGR!FA35+BP!FA35</f>
        <v>0</v>
      </c>
      <c r="FB35" s="106">
        <f>+PMGR!FB35+BP!FB35</f>
        <v>0</v>
      </c>
      <c r="FC35" s="106">
        <f>+PMGR!FC35+BP!FC35</f>
        <v>0</v>
      </c>
      <c r="FD35" s="106">
        <f>+PMGR!FD35+BP!FD35</f>
        <v>0</v>
      </c>
      <c r="FE35" s="106">
        <f>+PMGR!FE35+BP!FE35</f>
        <v>0</v>
      </c>
      <c r="FF35" s="106">
        <f>+PMGR!FF35+BP!FF35</f>
        <v>0</v>
      </c>
      <c r="FG35" s="106">
        <f>+PMGR!FG35+BP!FG35</f>
        <v>0</v>
      </c>
      <c r="FH35" s="106">
        <f>+PMGR!FH35+BP!FH35</f>
        <v>0</v>
      </c>
      <c r="FI35" s="106">
        <f>+PMGR!FI35+BP!FI35</f>
        <v>0</v>
      </c>
      <c r="FJ35" s="106">
        <f>+PMGR!FJ35+BP!FJ35</f>
        <v>0</v>
      </c>
      <c r="FK35" s="106">
        <f t="shared" si="183"/>
        <v>0</v>
      </c>
    </row>
    <row r="36" spans="1:167" ht="14.45" customHeight="1">
      <c r="A36" s="106">
        <f t="shared" si="169"/>
        <v>2011629.6099999999</v>
      </c>
      <c r="B36" s="106">
        <f t="shared" si="169"/>
        <v>2366818.13</v>
      </c>
      <c r="C36" s="106">
        <f t="shared" si="169"/>
        <v>2459466.9334381106</v>
      </c>
      <c r="D36" s="106">
        <f t="shared" si="169"/>
        <v>2184377</v>
      </c>
      <c r="E36" s="106">
        <f t="shared" si="169"/>
        <v>1775208.7151697697</v>
      </c>
      <c r="F36" s="106">
        <f t="shared" si="169"/>
        <v>1714035.8753821501</v>
      </c>
      <c r="G36" s="106">
        <f t="shared" si="169"/>
        <v>1849420.5125304409</v>
      </c>
      <c r="H36" s="106">
        <f t="shared" si="169"/>
        <v>1881207.0886339415</v>
      </c>
      <c r="I36" s="106">
        <f t="shared" si="169"/>
        <v>2057451.8877206999</v>
      </c>
      <c r="J36" s="106">
        <f t="shared" si="169"/>
        <v>2019382.9382127142</v>
      </c>
      <c r="K36" s="106">
        <f t="shared" si="169"/>
        <v>1980694.7637627067</v>
      </c>
      <c r="L36" s="106">
        <f t="shared" si="169"/>
        <v>1816696.4888366945</v>
      </c>
      <c r="M36" s="106">
        <f t="shared" si="170"/>
        <v>24116389.943687227</v>
      </c>
      <c r="N36" s="7" t="s">
        <v>31</v>
      </c>
      <c r="O36" s="106">
        <f t="shared" si="171"/>
        <v>1953531.563171868</v>
      </c>
      <c r="P36" s="106">
        <f t="shared" si="171"/>
        <v>2028960.1513850586</v>
      </c>
      <c r="Q36" s="106">
        <f t="shared" si="171"/>
        <v>1847315.6426920434</v>
      </c>
      <c r="R36" s="106">
        <f t="shared" si="171"/>
        <v>1919821.5814100388</v>
      </c>
      <c r="S36" s="106">
        <f t="shared" si="171"/>
        <v>1988266.2984760059</v>
      </c>
      <c r="T36" s="106">
        <f t="shared" si="171"/>
        <v>1887437.4118371306</v>
      </c>
      <c r="U36" s="106">
        <f t="shared" si="171"/>
        <v>2210241.6</v>
      </c>
      <c r="V36" s="106">
        <f t="shared" si="171"/>
        <v>2043928.8910175224</v>
      </c>
      <c r="W36" s="106">
        <f t="shared" si="171"/>
        <v>1806038.1699999997</v>
      </c>
      <c r="X36" s="106">
        <f t="shared" si="171"/>
        <v>2340306.73096513</v>
      </c>
      <c r="Y36" s="106">
        <f t="shared" si="171"/>
        <v>0</v>
      </c>
      <c r="Z36" s="106">
        <f t="shared" si="171"/>
        <v>0</v>
      </c>
      <c r="AA36" s="106">
        <f t="shared" si="172"/>
        <v>20025848.040954798</v>
      </c>
      <c r="AB36" s="118"/>
      <c r="AC36" s="106">
        <f t="shared" si="173"/>
        <v>0</v>
      </c>
      <c r="AD36" s="106">
        <f t="shared" si="173"/>
        <v>0</v>
      </c>
      <c r="AE36" s="106">
        <f t="shared" si="173"/>
        <v>0</v>
      </c>
      <c r="AF36" s="106">
        <f t="shared" si="173"/>
        <v>0</v>
      </c>
      <c r="AG36" s="106">
        <f t="shared" si="173"/>
        <v>0</v>
      </c>
      <c r="AH36" s="106">
        <f t="shared" si="173"/>
        <v>0</v>
      </c>
      <c r="AI36" s="106">
        <f t="shared" si="173"/>
        <v>0</v>
      </c>
      <c r="AJ36" s="106">
        <f t="shared" si="173"/>
        <v>0</v>
      </c>
      <c r="AK36" s="106">
        <f t="shared" si="173"/>
        <v>0</v>
      </c>
      <c r="AL36" s="106">
        <f t="shared" si="173"/>
        <v>0</v>
      </c>
      <c r="AM36" s="106">
        <f t="shared" si="173"/>
        <v>0</v>
      </c>
      <c r="AN36" s="106">
        <f t="shared" si="173"/>
        <v>0</v>
      </c>
      <c r="AO36" s="106">
        <f t="shared" si="174"/>
        <v>0</v>
      </c>
      <c r="AP36" s="106"/>
      <c r="AQ36" s="106">
        <f>+PMGR!AQ36+BP!AQ36</f>
        <v>1122971.3563600334</v>
      </c>
      <c r="AR36" s="106">
        <f>+PMGR!AR36+BP!AR36</f>
        <v>1279084.659797468</v>
      </c>
      <c r="AS36" s="106">
        <f>+PMGR!AS36+BP!AS36</f>
        <v>1406683.516425567</v>
      </c>
      <c r="AT36" s="106">
        <f>+PMGR!AT36+BP!AT36</f>
        <v>1231385.3760882351</v>
      </c>
      <c r="AU36" s="106">
        <f>+PMGR!AU36+BP!AU36</f>
        <v>1047373.1419501642</v>
      </c>
      <c r="AV36" s="106">
        <f>+PMGR!AV36+BP!AV36</f>
        <v>1046169.7276925202</v>
      </c>
      <c r="AW36" s="106">
        <f>+PMGR!AW36+BP!AW36</f>
        <v>1264140.6455185134</v>
      </c>
      <c r="AX36" s="106">
        <f>+PMGR!AX36+BP!AX36</f>
        <v>1507145.8681918907</v>
      </c>
      <c r="AY36" s="106">
        <f>+PMGR!AY36+BP!AY36</f>
        <v>1456160.5367986737</v>
      </c>
      <c r="AZ36" s="106">
        <f>+PMGR!AZ36+BP!AZ36</f>
        <v>1239208.0772667676</v>
      </c>
      <c r="BA36" s="106">
        <f>+PMGR!BA36+BP!BA36</f>
        <v>1547166.079703514</v>
      </c>
      <c r="BB36" s="106">
        <f>+PMGR!BB36+BP!BB36</f>
        <v>1476653.9646771052</v>
      </c>
      <c r="BC36" s="106">
        <f t="shared" si="175"/>
        <v>15624142.950470449</v>
      </c>
      <c r="BD36" s="7" t="str">
        <f t="shared" si="16"/>
        <v>Starease Sales</v>
      </c>
      <c r="BE36" s="106">
        <f>+PMGR!BE36+BP!BE36</f>
        <v>957844.48942250747</v>
      </c>
      <c r="BF36" s="106">
        <f>+PMGR!BF36+BP!BF36</f>
        <v>1384822.2805381208</v>
      </c>
      <c r="BG36" s="106">
        <f>+PMGR!BG36+BP!BG36</f>
        <v>1225244.3511529523</v>
      </c>
      <c r="BH36" s="106">
        <f>+PMGR!BH36+BP!BH36</f>
        <v>1384051.7945904487</v>
      </c>
      <c r="BI36" s="106">
        <f>+PMGR!BI36+BP!BI36</f>
        <v>1709327.67605386</v>
      </c>
      <c r="BJ36" s="106">
        <f>+PMGR!BJ36+BP!BJ36</f>
        <v>1499987.9916427133</v>
      </c>
      <c r="BK36" s="106">
        <f>+PMGR!BK36+BP!BK36</f>
        <v>1490862.4301225697</v>
      </c>
      <c r="BL36" s="106">
        <f>+PMGR!BL36+BP!BL36</f>
        <v>1371385.7463129323</v>
      </c>
      <c r="BM36" s="106">
        <f>+PMGR!BM36+BP!BM36</f>
        <v>1394851.8238174487</v>
      </c>
      <c r="BN36" s="106">
        <f>+PMGR!BN36+BP!BN36</f>
        <v>1638214.7116755908</v>
      </c>
      <c r="BO36" s="106">
        <f>+PMGR!BO36+BP!BO36</f>
        <v>0</v>
      </c>
      <c r="BP36" s="106">
        <f>+PMGR!BP36+BP!BP36</f>
        <v>0</v>
      </c>
      <c r="BQ36" s="106">
        <f t="shared" si="176"/>
        <v>14056593.295329146</v>
      </c>
      <c r="BR36" s="118"/>
      <c r="BS36" s="106">
        <f>+PMGR!BS36+BP!BS36</f>
        <v>0</v>
      </c>
      <c r="BT36" s="106">
        <f>+PMGR!BT36+BP!BT36</f>
        <v>0</v>
      </c>
      <c r="BU36" s="106">
        <f>+PMGR!BU36+BP!BU36</f>
        <v>0</v>
      </c>
      <c r="BV36" s="106">
        <f>+PMGR!BV36+BP!BV36</f>
        <v>0</v>
      </c>
      <c r="BW36" s="106">
        <f>+PMGR!BW36+BP!BW36</f>
        <v>0</v>
      </c>
      <c r="BX36" s="106">
        <f>+PMGR!BX36+BP!BX36</f>
        <v>0</v>
      </c>
      <c r="BY36" s="106">
        <f>+PMGR!BY36+BP!BY36</f>
        <v>0</v>
      </c>
      <c r="BZ36" s="106">
        <f>+PMGR!BZ36+BP!BZ36</f>
        <v>0</v>
      </c>
      <c r="CA36" s="106">
        <f>+PMGR!CA36+BP!CA36</f>
        <v>0</v>
      </c>
      <c r="CB36" s="106">
        <f>+PMGR!CB36+BP!CB36</f>
        <v>0</v>
      </c>
      <c r="CC36" s="106">
        <f>+PMGR!CC36+BP!CC36</f>
        <v>0</v>
      </c>
      <c r="CD36" s="106">
        <f>+PMGR!CD36+BP!CD36</f>
        <v>0</v>
      </c>
      <c r="CE36" s="106">
        <f t="shared" si="177"/>
        <v>0</v>
      </c>
      <c r="CF36" s="106"/>
      <c r="CG36" s="106">
        <f>+PMGR!CG36+BP!CG36</f>
        <v>888658.25363996648</v>
      </c>
      <c r="CH36" s="106">
        <f>+PMGR!CH36+BP!CH36</f>
        <v>1087733.4702025319</v>
      </c>
      <c r="CI36" s="106">
        <f>+PMGR!CI36+BP!CI36</f>
        <v>1052783.4170125437</v>
      </c>
      <c r="CJ36" s="106">
        <f>+PMGR!CJ36+BP!CJ36</f>
        <v>952991.62391176505</v>
      </c>
      <c r="CK36" s="106">
        <f>+PMGR!CK36+BP!CK36</f>
        <v>727835.57321960561</v>
      </c>
      <c r="CL36" s="106">
        <f>+PMGR!CL36+BP!CL36</f>
        <v>667866.14768962981</v>
      </c>
      <c r="CM36" s="106">
        <f>+PMGR!CM36+BP!CM36</f>
        <v>585279.86701192753</v>
      </c>
      <c r="CN36" s="106">
        <f>+PMGR!CN36+BP!CN36</f>
        <v>374061.22044205095</v>
      </c>
      <c r="CO36" s="106">
        <f>+PMGR!CO36+BP!CO36</f>
        <v>601291.35092202609</v>
      </c>
      <c r="CP36" s="106">
        <f>+PMGR!CP36+BP!CP36</f>
        <v>780174.86094594642</v>
      </c>
      <c r="CQ36" s="106">
        <f>+PMGR!CQ36+BP!CQ36</f>
        <v>433528.68405919272</v>
      </c>
      <c r="CR36" s="106">
        <f>+PMGR!CR36+BP!CR36</f>
        <v>340042.52415958943</v>
      </c>
      <c r="CS36" s="106">
        <f t="shared" si="178"/>
        <v>8492246.9932167754</v>
      </c>
      <c r="CT36" s="7" t="str">
        <f t="shared" si="20"/>
        <v>Starease Sales</v>
      </c>
      <c r="CU36" s="106">
        <f>+PMGR!CU36+BP!CU36</f>
        <v>880115.89624966297</v>
      </c>
      <c r="CV36" s="106">
        <f>+PMGR!CV36+BP!CV36</f>
        <v>476861.92524609325</v>
      </c>
      <c r="CW36" s="106">
        <f>+PMGR!CW36+BP!CW36</f>
        <v>622071.29153909127</v>
      </c>
      <c r="CX36" s="106">
        <f>+PMGR!CX36+BP!CX36</f>
        <v>535769.78681959014</v>
      </c>
      <c r="CY36" s="106">
        <f>+PMGR!CY36+BP!CY36</f>
        <v>278938.62242214597</v>
      </c>
      <c r="CZ36" s="106">
        <f>+PMGR!CZ36+BP!CZ36</f>
        <v>309585.06679975166</v>
      </c>
      <c r="DA36" s="106">
        <f>+PMGR!DA36+BP!DA36</f>
        <v>719379.16987743042</v>
      </c>
      <c r="DB36" s="106">
        <f>+PMGR!DB36+BP!DB36</f>
        <v>672543.14470459009</v>
      </c>
      <c r="DC36" s="106">
        <f>+PMGR!DC36+BP!DC36</f>
        <v>352617.81199805485</v>
      </c>
      <c r="DD36" s="106">
        <f>+PMGR!DD36+BP!DD36</f>
        <v>608479.7500509338</v>
      </c>
      <c r="DE36" s="106">
        <f>+PMGR!DE36+BP!DE36</f>
        <v>0</v>
      </c>
      <c r="DF36" s="106">
        <f>+PMGR!DF36+BP!DF36</f>
        <v>0</v>
      </c>
      <c r="DG36" s="106">
        <f t="shared" si="179"/>
        <v>5456362.4657073449</v>
      </c>
      <c r="DH36" s="118"/>
      <c r="DI36" s="106">
        <f>+PMGR!DI36+BP!DI36</f>
        <v>0</v>
      </c>
      <c r="DJ36" s="106">
        <f>+PMGR!DJ36+BP!DJ36</f>
        <v>0</v>
      </c>
      <c r="DK36" s="106">
        <f>+PMGR!DK36+BP!DK36</f>
        <v>0</v>
      </c>
      <c r="DL36" s="106">
        <f>+PMGR!DL36+BP!DL36</f>
        <v>0</v>
      </c>
      <c r="DM36" s="106">
        <f>+PMGR!DM36+BP!DM36</f>
        <v>0</v>
      </c>
      <c r="DN36" s="106">
        <f>+PMGR!DN36+BP!DN36</f>
        <v>0</v>
      </c>
      <c r="DO36" s="106">
        <f>+PMGR!DO36+BP!DO36</f>
        <v>0</v>
      </c>
      <c r="DP36" s="106">
        <f>+PMGR!DP36+BP!DP36</f>
        <v>0</v>
      </c>
      <c r="DQ36" s="106">
        <f>+PMGR!DQ36+BP!DQ36</f>
        <v>0</v>
      </c>
      <c r="DR36" s="106">
        <f>+PMGR!DR36+BP!DR36</f>
        <v>0</v>
      </c>
      <c r="DS36" s="106">
        <f>+PMGR!DS36+BP!DS36</f>
        <v>0</v>
      </c>
      <c r="DT36" s="106">
        <f>+PMGR!DT36+BP!DT36</f>
        <v>0</v>
      </c>
      <c r="DU36" s="106">
        <f t="shared" si="180"/>
        <v>0</v>
      </c>
      <c r="DV36" s="106"/>
      <c r="DW36" s="106">
        <f>+PMGR!DW36+BP!DW36</f>
        <v>0</v>
      </c>
      <c r="DX36" s="106">
        <f>+PMGR!DX36+BP!DX36</f>
        <v>0</v>
      </c>
      <c r="DY36" s="106">
        <f>+PMGR!DY36+BP!DY36</f>
        <v>0</v>
      </c>
      <c r="DZ36" s="106">
        <f>+PMGR!DZ36+BP!DZ36</f>
        <v>0</v>
      </c>
      <c r="EA36" s="106">
        <f>+PMGR!EA36+BP!EA36</f>
        <v>0</v>
      </c>
      <c r="EB36" s="106">
        <f>+PMGR!EB36+BP!EB36</f>
        <v>0</v>
      </c>
      <c r="EC36" s="106">
        <f>+PMGR!EC36+BP!EC36</f>
        <v>0</v>
      </c>
      <c r="ED36" s="106">
        <f>+PMGR!ED36+BP!ED36</f>
        <v>0</v>
      </c>
      <c r="EE36" s="106">
        <f>+PMGR!EE36+BP!EE36</f>
        <v>0</v>
      </c>
      <c r="EF36" s="106">
        <f>+PMGR!EF36+BP!EF36</f>
        <v>0</v>
      </c>
      <c r="EG36" s="106">
        <f>+PMGR!EG36+BP!EG36</f>
        <v>0</v>
      </c>
      <c r="EH36" s="106">
        <f>+PMGR!EH36+BP!EH36</f>
        <v>0</v>
      </c>
      <c r="EI36" s="106">
        <f t="shared" si="181"/>
        <v>0</v>
      </c>
      <c r="EJ36" s="7" t="str">
        <f t="shared" si="93"/>
        <v>Starease Sales</v>
      </c>
      <c r="EK36" s="106">
        <f>+PMGR!EK36+BP!EK36</f>
        <v>115571.17749969746</v>
      </c>
      <c r="EL36" s="106">
        <f>+PMGR!EL36+BP!EL36</f>
        <v>167275.94560084477</v>
      </c>
      <c r="EM36" s="106">
        <f>+PMGR!EM36+BP!EM36</f>
        <v>0</v>
      </c>
      <c r="EN36" s="106">
        <f>+PMGR!EN36+BP!EN36</f>
        <v>0</v>
      </c>
      <c r="EO36" s="106">
        <f>+PMGR!EO36+BP!EO36</f>
        <v>0</v>
      </c>
      <c r="EP36" s="106">
        <f>+PMGR!EP36+BP!EP36</f>
        <v>77864.353394665435</v>
      </c>
      <c r="EQ36" s="106">
        <f>+PMGR!EQ36+BP!EQ36</f>
        <v>0</v>
      </c>
      <c r="ER36" s="106">
        <f>+PMGR!ER36+BP!ER36</f>
        <v>0</v>
      </c>
      <c r="ES36" s="106">
        <f>+PMGR!ES36+BP!ES36</f>
        <v>58568.534184496151</v>
      </c>
      <c r="ET36" s="106">
        <f>+PMGR!ET36+BP!ET36</f>
        <v>93612.269238605208</v>
      </c>
      <c r="EU36" s="106">
        <f>+PMGR!EU36+BP!EU36</f>
        <v>0</v>
      </c>
      <c r="EV36" s="106">
        <f>+PMGR!EV36+BP!EV36</f>
        <v>0</v>
      </c>
      <c r="EW36" s="106">
        <f t="shared" si="182"/>
        <v>512892.27991830901</v>
      </c>
      <c r="EX36" s="118"/>
      <c r="EY36" s="106">
        <f>+PMGR!EY36+BP!EY36</f>
        <v>0</v>
      </c>
      <c r="EZ36" s="106">
        <f>+PMGR!EZ36+BP!EZ36</f>
        <v>0</v>
      </c>
      <c r="FA36" s="106">
        <f>+PMGR!FA36+BP!FA36</f>
        <v>0</v>
      </c>
      <c r="FB36" s="106">
        <f>+PMGR!FB36+BP!FB36</f>
        <v>0</v>
      </c>
      <c r="FC36" s="106">
        <f>+PMGR!FC36+BP!FC36</f>
        <v>0</v>
      </c>
      <c r="FD36" s="106">
        <f>+PMGR!FD36+BP!FD36</f>
        <v>0</v>
      </c>
      <c r="FE36" s="106">
        <f>+PMGR!FE36+BP!FE36</f>
        <v>0</v>
      </c>
      <c r="FF36" s="106">
        <f>+PMGR!FF36+BP!FF36</f>
        <v>0</v>
      </c>
      <c r="FG36" s="106">
        <f>+PMGR!FG36+BP!FG36</f>
        <v>0</v>
      </c>
      <c r="FH36" s="106">
        <f>+PMGR!FH36+BP!FH36</f>
        <v>0</v>
      </c>
      <c r="FI36" s="106">
        <f>+PMGR!FI36+BP!FI36</f>
        <v>0</v>
      </c>
      <c r="FJ36" s="106">
        <f>+PMGR!FJ36+BP!FJ36</f>
        <v>0</v>
      </c>
      <c r="FK36" s="106">
        <f t="shared" si="183"/>
        <v>0</v>
      </c>
    </row>
    <row r="37" spans="1:167" ht="14.45" customHeight="1">
      <c r="A37" s="106">
        <f t="shared" si="169"/>
        <v>178652.71000000002</v>
      </c>
      <c r="B37" s="106">
        <f t="shared" si="169"/>
        <v>168519.85</v>
      </c>
      <c r="C37" s="106">
        <f t="shared" si="169"/>
        <v>272679.86</v>
      </c>
      <c r="D37" s="106">
        <f t="shared" si="169"/>
        <v>106822.07</v>
      </c>
      <c r="E37" s="106">
        <f t="shared" si="169"/>
        <v>94832.22</v>
      </c>
      <c r="F37" s="106">
        <f t="shared" si="169"/>
        <v>177930.33</v>
      </c>
      <c r="G37" s="106">
        <f t="shared" si="169"/>
        <v>273017.48</v>
      </c>
      <c r="H37" s="106">
        <f t="shared" si="169"/>
        <v>162996.84</v>
      </c>
      <c r="I37" s="106">
        <f t="shared" si="169"/>
        <v>36047.5</v>
      </c>
      <c r="J37" s="106">
        <f t="shared" si="169"/>
        <v>120089.5</v>
      </c>
      <c r="K37" s="106">
        <f t="shared" si="169"/>
        <v>201335.65</v>
      </c>
      <c r="L37" s="106">
        <f t="shared" si="169"/>
        <v>1881087.29</v>
      </c>
      <c r="M37" s="106">
        <f t="shared" si="170"/>
        <v>3674011.3</v>
      </c>
      <c r="N37" s="7" t="s">
        <v>32</v>
      </c>
      <c r="O37" s="106">
        <f t="shared" si="171"/>
        <v>173286.69</v>
      </c>
      <c r="P37" s="106">
        <f t="shared" si="171"/>
        <v>117429.45</v>
      </c>
      <c r="Q37" s="106">
        <f t="shared" si="171"/>
        <v>228814.42</v>
      </c>
      <c r="R37" s="106">
        <f t="shared" si="171"/>
        <v>92870.41</v>
      </c>
      <c r="S37" s="106">
        <f t="shared" si="171"/>
        <v>501259.42</v>
      </c>
      <c r="T37" s="106">
        <f t="shared" si="171"/>
        <v>457440.04</v>
      </c>
      <c r="U37" s="106">
        <f t="shared" si="171"/>
        <v>550702.57000000007</v>
      </c>
      <c r="V37" s="106">
        <f t="shared" si="171"/>
        <v>435994.19</v>
      </c>
      <c r="W37" s="106">
        <f t="shared" si="171"/>
        <v>298446.87</v>
      </c>
      <c r="X37" s="106">
        <f t="shared" si="171"/>
        <v>166078.82</v>
      </c>
      <c r="Y37" s="106">
        <f t="shared" si="171"/>
        <v>0</v>
      </c>
      <c r="Z37" s="106">
        <f t="shared" si="171"/>
        <v>0</v>
      </c>
      <c r="AA37" s="106">
        <f t="shared" si="172"/>
        <v>3022322.88</v>
      </c>
      <c r="AB37" s="118"/>
      <c r="AC37" s="106">
        <f t="shared" si="173"/>
        <v>0</v>
      </c>
      <c r="AD37" s="106">
        <f t="shared" si="173"/>
        <v>0</v>
      </c>
      <c r="AE37" s="106">
        <f t="shared" si="173"/>
        <v>0</v>
      </c>
      <c r="AF37" s="106">
        <f t="shared" si="173"/>
        <v>0</v>
      </c>
      <c r="AG37" s="106">
        <f t="shared" si="173"/>
        <v>0</v>
      </c>
      <c r="AH37" s="106">
        <f t="shared" si="173"/>
        <v>0</v>
      </c>
      <c r="AI37" s="106">
        <f t="shared" si="173"/>
        <v>0</v>
      </c>
      <c r="AJ37" s="106">
        <f t="shared" si="173"/>
        <v>0</v>
      </c>
      <c r="AK37" s="106">
        <f t="shared" si="173"/>
        <v>0</v>
      </c>
      <c r="AL37" s="106">
        <f t="shared" si="173"/>
        <v>0</v>
      </c>
      <c r="AM37" s="106">
        <f t="shared" si="173"/>
        <v>0</v>
      </c>
      <c r="AN37" s="106">
        <f t="shared" si="173"/>
        <v>0</v>
      </c>
      <c r="AO37" s="106">
        <f t="shared" si="174"/>
        <v>0</v>
      </c>
      <c r="AP37" s="106"/>
      <c r="AQ37" s="106">
        <f>+PMGR!AQ37+BP!AQ37</f>
        <v>178652.71000000002</v>
      </c>
      <c r="AR37" s="106">
        <f>+PMGR!AR37+BP!AR37</f>
        <v>168519.85</v>
      </c>
      <c r="AS37" s="106">
        <f>+PMGR!AS37+BP!AS37</f>
        <v>272679.86</v>
      </c>
      <c r="AT37" s="106">
        <f>+PMGR!AT37+BP!AT37</f>
        <v>106822.07</v>
      </c>
      <c r="AU37" s="106">
        <f>+PMGR!AU37+BP!AU37</f>
        <v>94832.22</v>
      </c>
      <c r="AV37" s="106">
        <f>+PMGR!AV37+BP!AV37</f>
        <v>177930.33</v>
      </c>
      <c r="AW37" s="106">
        <f>+PMGR!AW37+BP!AW37</f>
        <v>273017.48</v>
      </c>
      <c r="AX37" s="106">
        <f>+PMGR!AX37+BP!AX37</f>
        <v>162996.84</v>
      </c>
      <c r="AY37" s="106">
        <f>+PMGR!AY37+BP!AY37</f>
        <v>36047.5</v>
      </c>
      <c r="AZ37" s="106">
        <f>+PMGR!AZ37+BP!AZ37</f>
        <v>120089.5</v>
      </c>
      <c r="BA37" s="106">
        <f>+PMGR!BA37+BP!BA37</f>
        <v>201335.65</v>
      </c>
      <c r="BB37" s="106">
        <f>+PMGR!BB37+BP!BB37</f>
        <v>1881087.29</v>
      </c>
      <c r="BC37" s="106">
        <f t="shared" si="175"/>
        <v>3674011.3</v>
      </c>
      <c r="BD37" s="7" t="s">
        <v>32</v>
      </c>
      <c r="BE37" s="106">
        <f>+PMGR!BE37+BP!BE37</f>
        <v>173286.69</v>
      </c>
      <c r="BF37" s="106">
        <f>+PMGR!BF37+BP!BF37</f>
        <v>117429.45</v>
      </c>
      <c r="BG37" s="106">
        <f>+PMGR!BG37+BP!BG37</f>
        <v>228814.42</v>
      </c>
      <c r="BH37" s="106">
        <f>+PMGR!BH37+BP!BH37</f>
        <v>92870.41</v>
      </c>
      <c r="BI37" s="106">
        <f>+PMGR!BI37+BP!BI37</f>
        <v>501259.42</v>
      </c>
      <c r="BJ37" s="106">
        <f>+PMGR!BJ37+BP!BJ37</f>
        <v>457440.04</v>
      </c>
      <c r="BK37" s="106">
        <f>+PMGR!BK37+BP!BK37</f>
        <v>550702.57000000007</v>
      </c>
      <c r="BL37" s="106">
        <f>+PMGR!BL37+BP!BL37</f>
        <v>435994.19</v>
      </c>
      <c r="BM37" s="106">
        <f>+PMGR!BM37+BP!BM37</f>
        <v>298446.87</v>
      </c>
      <c r="BN37" s="106">
        <f>+PMGR!BN37+BP!BN37</f>
        <v>166078.82</v>
      </c>
      <c r="BO37" s="106">
        <f>+PMGR!BO37+BP!BO37</f>
        <v>0</v>
      </c>
      <c r="BP37" s="106">
        <f>+PMGR!BP37+BP!BP37</f>
        <v>0</v>
      </c>
      <c r="BQ37" s="106">
        <f t="shared" si="176"/>
        <v>3022322.88</v>
      </c>
      <c r="BR37" s="118"/>
      <c r="BS37" s="106">
        <f>+PMGR!BS37+BP!BS37</f>
        <v>0</v>
      </c>
      <c r="BT37" s="106">
        <f>+PMGR!BT37+BP!BT37</f>
        <v>0</v>
      </c>
      <c r="BU37" s="106">
        <f>+PMGR!BU37+BP!BU37</f>
        <v>0</v>
      </c>
      <c r="BV37" s="106">
        <f>+PMGR!BV37+BP!BV37</f>
        <v>0</v>
      </c>
      <c r="BW37" s="106">
        <f>+PMGR!BW37+BP!BW37</f>
        <v>0</v>
      </c>
      <c r="BX37" s="106">
        <f>+PMGR!BX37+BP!BX37</f>
        <v>0</v>
      </c>
      <c r="BY37" s="106">
        <f>+PMGR!BY37+BP!BY37</f>
        <v>0</v>
      </c>
      <c r="BZ37" s="106">
        <f>+PMGR!BZ37+BP!BZ37</f>
        <v>0</v>
      </c>
      <c r="CA37" s="106">
        <f>+PMGR!CA37+BP!CA37</f>
        <v>0</v>
      </c>
      <c r="CB37" s="106">
        <f>+PMGR!CB37+BP!CB37</f>
        <v>0</v>
      </c>
      <c r="CC37" s="106">
        <f>+PMGR!CC37+BP!CC37</f>
        <v>0</v>
      </c>
      <c r="CD37" s="106">
        <f>+PMGR!CD37+BP!CD37</f>
        <v>0</v>
      </c>
      <c r="CE37" s="106">
        <f t="shared" si="177"/>
        <v>0</v>
      </c>
      <c r="CF37" s="106"/>
      <c r="CG37" s="106">
        <f>+PMGR!CG37+BP!CG37</f>
        <v>0</v>
      </c>
      <c r="CH37" s="106">
        <f>+PMGR!CH37+BP!CH37</f>
        <v>0</v>
      </c>
      <c r="CI37" s="106">
        <f>+PMGR!CI37+BP!CI37</f>
        <v>0</v>
      </c>
      <c r="CJ37" s="106">
        <f>+PMGR!CJ37+BP!CJ37</f>
        <v>0</v>
      </c>
      <c r="CK37" s="106">
        <f>+PMGR!CK37+BP!CK37</f>
        <v>0</v>
      </c>
      <c r="CL37" s="106">
        <f>+PMGR!CL37+BP!CL37</f>
        <v>0</v>
      </c>
      <c r="CM37" s="106">
        <f>+PMGR!CM37+BP!CM37</f>
        <v>0</v>
      </c>
      <c r="CN37" s="106">
        <f>+PMGR!CN37+BP!CN37</f>
        <v>0</v>
      </c>
      <c r="CO37" s="106">
        <f>+PMGR!CO37+BP!CO37</f>
        <v>0</v>
      </c>
      <c r="CP37" s="106">
        <f>+PMGR!CP37+BP!CP37</f>
        <v>0</v>
      </c>
      <c r="CQ37" s="106">
        <f>+PMGR!CQ37+BP!CQ37</f>
        <v>0</v>
      </c>
      <c r="CR37" s="106">
        <f>+PMGR!CR37+BP!CR37</f>
        <v>0</v>
      </c>
      <c r="CS37" s="106">
        <f t="shared" si="178"/>
        <v>0</v>
      </c>
      <c r="CT37" s="7" t="str">
        <f t="shared" si="20"/>
        <v>Other star package</v>
      </c>
      <c r="CU37" s="106">
        <f>+PMGR!CU37+BP!CU37</f>
        <v>0</v>
      </c>
      <c r="CV37" s="106">
        <f>+PMGR!CV37+BP!CV37</f>
        <v>0</v>
      </c>
      <c r="CW37" s="106">
        <f>+PMGR!CW37+BP!CW37</f>
        <v>0</v>
      </c>
      <c r="CX37" s="106">
        <f>+PMGR!CX37+BP!CX37</f>
        <v>0</v>
      </c>
      <c r="CY37" s="106">
        <f>+PMGR!CY37+BP!CY37</f>
        <v>0</v>
      </c>
      <c r="CZ37" s="106">
        <f>+PMGR!CZ37+BP!CZ37</f>
        <v>0</v>
      </c>
      <c r="DA37" s="106">
        <f>+PMGR!DA37+BP!DA37</f>
        <v>0</v>
      </c>
      <c r="DB37" s="106">
        <f>+PMGR!DB37+BP!DB37</f>
        <v>0</v>
      </c>
      <c r="DC37" s="106">
        <f>+PMGR!DC37+BP!DC37</f>
        <v>0</v>
      </c>
      <c r="DD37" s="106">
        <f>+PMGR!DD37+BP!DD37</f>
        <v>0</v>
      </c>
      <c r="DE37" s="106">
        <f>+PMGR!DE37+BP!DE37</f>
        <v>0</v>
      </c>
      <c r="DF37" s="106">
        <f>+PMGR!DF37+BP!DF37</f>
        <v>0</v>
      </c>
      <c r="DG37" s="106">
        <f t="shared" si="179"/>
        <v>0</v>
      </c>
      <c r="DH37" s="118"/>
      <c r="DI37" s="106">
        <f>+PMGR!DI37+BP!DI37</f>
        <v>0</v>
      </c>
      <c r="DJ37" s="106">
        <f>+PMGR!DJ37+BP!DJ37</f>
        <v>0</v>
      </c>
      <c r="DK37" s="106">
        <f>+PMGR!DK37+BP!DK37</f>
        <v>0</v>
      </c>
      <c r="DL37" s="106">
        <f>+PMGR!DL37+BP!DL37</f>
        <v>0</v>
      </c>
      <c r="DM37" s="106">
        <f>+PMGR!DM37+BP!DM37</f>
        <v>0</v>
      </c>
      <c r="DN37" s="106">
        <f>+PMGR!DN37+BP!DN37</f>
        <v>0</v>
      </c>
      <c r="DO37" s="106">
        <f>+PMGR!DO37+BP!DO37</f>
        <v>0</v>
      </c>
      <c r="DP37" s="106">
        <f>+PMGR!DP37+BP!DP37</f>
        <v>0</v>
      </c>
      <c r="DQ37" s="106">
        <f>+PMGR!DQ37+BP!DQ37</f>
        <v>0</v>
      </c>
      <c r="DR37" s="106">
        <f>+PMGR!DR37+BP!DR37</f>
        <v>0</v>
      </c>
      <c r="DS37" s="106">
        <f>+PMGR!DS37+BP!DS37</f>
        <v>0</v>
      </c>
      <c r="DT37" s="106">
        <f>+PMGR!DT37+BP!DT37</f>
        <v>0</v>
      </c>
      <c r="DU37" s="106">
        <f t="shared" si="180"/>
        <v>0</v>
      </c>
      <c r="DV37" s="106"/>
      <c r="DW37" s="106">
        <f>+PMGR!DW37+BP!DW37</f>
        <v>0</v>
      </c>
      <c r="DX37" s="106">
        <f>+PMGR!DX37+BP!DX37</f>
        <v>0</v>
      </c>
      <c r="DY37" s="106">
        <f>+PMGR!DY37+BP!DY37</f>
        <v>0</v>
      </c>
      <c r="DZ37" s="106">
        <f>+PMGR!DZ37+BP!DZ37</f>
        <v>0</v>
      </c>
      <c r="EA37" s="106">
        <f>+PMGR!EA37+BP!EA37</f>
        <v>0</v>
      </c>
      <c r="EB37" s="106">
        <f>+PMGR!EB37+BP!EB37</f>
        <v>0</v>
      </c>
      <c r="EC37" s="106">
        <f>+PMGR!EC37+BP!EC37</f>
        <v>0</v>
      </c>
      <c r="ED37" s="106">
        <f>+PMGR!ED37+BP!ED37</f>
        <v>0</v>
      </c>
      <c r="EE37" s="106">
        <f>+PMGR!EE37+BP!EE37</f>
        <v>0</v>
      </c>
      <c r="EF37" s="106">
        <f>+PMGR!EF37+BP!EF37</f>
        <v>0</v>
      </c>
      <c r="EG37" s="106">
        <f>+PMGR!EG37+BP!EG37</f>
        <v>0</v>
      </c>
      <c r="EH37" s="106">
        <f>+PMGR!EH37+BP!EH37</f>
        <v>0</v>
      </c>
      <c r="EI37" s="106">
        <f t="shared" si="181"/>
        <v>0</v>
      </c>
      <c r="EJ37" s="7" t="str">
        <f t="shared" si="93"/>
        <v>Other star package</v>
      </c>
      <c r="EK37" s="106">
        <f>+PMGR!EK37+BP!EK37</f>
        <v>0</v>
      </c>
      <c r="EL37" s="106">
        <f>+PMGR!EL37+BP!EL37</f>
        <v>0</v>
      </c>
      <c r="EM37" s="106">
        <f>+PMGR!EM37+BP!EM37</f>
        <v>0</v>
      </c>
      <c r="EN37" s="106">
        <f>+PMGR!EN37+BP!EN37</f>
        <v>0</v>
      </c>
      <c r="EO37" s="106">
        <f>+PMGR!EO37+BP!EO37</f>
        <v>0</v>
      </c>
      <c r="EP37" s="106">
        <f>+PMGR!EP37+BP!EP37</f>
        <v>0</v>
      </c>
      <c r="EQ37" s="106">
        <f>+PMGR!EQ37+BP!EQ37</f>
        <v>0</v>
      </c>
      <c r="ER37" s="106">
        <f>+PMGR!ER37+BP!ER37</f>
        <v>0</v>
      </c>
      <c r="ES37" s="106">
        <f>+PMGR!ES37+BP!ES37</f>
        <v>0</v>
      </c>
      <c r="ET37" s="106">
        <f>+PMGR!ET37+BP!ET37</f>
        <v>0</v>
      </c>
      <c r="EU37" s="106">
        <f>+PMGR!EU37+BP!EU37</f>
        <v>0</v>
      </c>
      <c r="EV37" s="106">
        <f>+PMGR!EV37+BP!EV37</f>
        <v>0</v>
      </c>
      <c r="EW37" s="106">
        <f t="shared" si="182"/>
        <v>0</v>
      </c>
      <c r="EX37" s="118"/>
      <c r="EY37" s="106">
        <f>+PMGR!EY37+BP!EY37</f>
        <v>0</v>
      </c>
      <c r="EZ37" s="106">
        <f>+PMGR!EZ37+BP!EZ37</f>
        <v>0</v>
      </c>
      <c r="FA37" s="106">
        <f>+PMGR!FA37+BP!FA37</f>
        <v>0</v>
      </c>
      <c r="FB37" s="106">
        <f>+PMGR!FB37+BP!FB37</f>
        <v>0</v>
      </c>
      <c r="FC37" s="106">
        <f>+PMGR!FC37+BP!FC37</f>
        <v>0</v>
      </c>
      <c r="FD37" s="106">
        <f>+PMGR!FD37+BP!FD37</f>
        <v>0</v>
      </c>
      <c r="FE37" s="106">
        <f>+PMGR!FE37+BP!FE37</f>
        <v>0</v>
      </c>
      <c r="FF37" s="106">
        <f>+PMGR!FF37+BP!FF37</f>
        <v>0</v>
      </c>
      <c r="FG37" s="106">
        <f>+PMGR!FG37+BP!FG37</f>
        <v>0</v>
      </c>
      <c r="FH37" s="106">
        <f>+PMGR!FH37+BP!FH37</f>
        <v>0</v>
      </c>
      <c r="FI37" s="106">
        <f>+PMGR!FI37+BP!FI37</f>
        <v>0</v>
      </c>
      <c r="FJ37" s="106">
        <f>+PMGR!FJ37+BP!FJ37</f>
        <v>0</v>
      </c>
      <c r="FK37" s="106">
        <f t="shared" si="183"/>
        <v>0</v>
      </c>
    </row>
    <row r="38" spans="1:167" ht="14.45" customHeight="1">
      <c r="A38" s="59">
        <f>+SUM(A39:A42)</f>
        <v>22218372.986000005</v>
      </c>
      <c r="B38" s="59">
        <f t="shared" ref="B38:M38" si="184">+SUM(B39:B42)</f>
        <v>28640182.770000003</v>
      </c>
      <c r="C38" s="59">
        <f t="shared" si="184"/>
        <v>21368853.65000001</v>
      </c>
      <c r="D38" s="59">
        <f t="shared" si="184"/>
        <v>17955675.389999993</v>
      </c>
      <c r="E38" s="59">
        <f t="shared" si="184"/>
        <v>21666086.709999993</v>
      </c>
      <c r="F38" s="59">
        <f t="shared" si="184"/>
        <v>25393403.419999994</v>
      </c>
      <c r="G38" s="59">
        <f t="shared" si="184"/>
        <v>23187013.140000004</v>
      </c>
      <c r="H38" s="59">
        <f t="shared" si="184"/>
        <v>28744380.309999999</v>
      </c>
      <c r="I38" s="59">
        <f t="shared" si="184"/>
        <v>28406996.449999999</v>
      </c>
      <c r="J38" s="59">
        <f t="shared" si="184"/>
        <v>24152053.764999982</v>
      </c>
      <c r="K38" s="59">
        <f t="shared" si="184"/>
        <v>28279426.864999998</v>
      </c>
      <c r="L38" s="59">
        <f t="shared" si="184"/>
        <v>27235485.82</v>
      </c>
      <c r="M38" s="59">
        <f t="shared" si="184"/>
        <v>297247931.27600002</v>
      </c>
      <c r="N38" s="9" t="s">
        <v>33</v>
      </c>
      <c r="O38" s="59">
        <f>+SUM(O39:O42)</f>
        <v>22533396.210000001</v>
      </c>
      <c r="P38" s="59">
        <f t="shared" ref="P38:AA38" si="185">+SUM(P39:P42)</f>
        <v>22854948.064999994</v>
      </c>
      <c r="Q38" s="59">
        <f t="shared" si="185"/>
        <v>32953502.190000005</v>
      </c>
      <c r="R38" s="59">
        <f t="shared" si="185"/>
        <v>25647634.329999998</v>
      </c>
      <c r="S38" s="59">
        <f t="shared" si="185"/>
        <v>34245432.059999995</v>
      </c>
      <c r="T38" s="59">
        <f t="shared" si="185"/>
        <v>27025649.890000004</v>
      </c>
      <c r="U38" s="59">
        <f t="shared" si="185"/>
        <v>31897189.430000003</v>
      </c>
      <c r="V38" s="59">
        <f t="shared" si="185"/>
        <v>31588240.280000001</v>
      </c>
      <c r="W38" s="59">
        <f t="shared" si="185"/>
        <v>29193268.040000003</v>
      </c>
      <c r="X38" s="59">
        <f t="shared" si="185"/>
        <v>31164594.40000001</v>
      </c>
      <c r="Y38" s="59">
        <f t="shared" si="185"/>
        <v>0</v>
      </c>
      <c r="Z38" s="59">
        <f t="shared" si="185"/>
        <v>0</v>
      </c>
      <c r="AA38" s="59">
        <f t="shared" si="185"/>
        <v>289103854.89500004</v>
      </c>
      <c r="AB38" s="118"/>
      <c r="AC38" s="59">
        <f>+SUM(AC39:AC42)</f>
        <v>30140821.665935088</v>
      </c>
      <c r="AD38" s="59">
        <f t="shared" ref="AD38:AO38" si="186">+SUM(AD39:AD42)</f>
        <v>29576836.274119083</v>
      </c>
      <c r="AE38" s="59">
        <f t="shared" si="186"/>
        <v>29965922.736919083</v>
      </c>
      <c r="AF38" s="59">
        <f t="shared" si="186"/>
        <v>25773387.49720408</v>
      </c>
      <c r="AG38" s="59">
        <f t="shared" si="186"/>
        <v>29197818.584974084</v>
      </c>
      <c r="AH38" s="59">
        <f t="shared" si="186"/>
        <v>30457527.071483079</v>
      </c>
      <c r="AI38" s="59">
        <f t="shared" si="186"/>
        <v>31545548.607451085</v>
      </c>
      <c r="AJ38" s="59">
        <f t="shared" si="186"/>
        <v>32258579.996940091</v>
      </c>
      <c r="AK38" s="59">
        <f t="shared" si="186"/>
        <v>33014514.201982085</v>
      </c>
      <c r="AL38" s="59">
        <f t="shared" si="186"/>
        <v>27704693.794757195</v>
      </c>
      <c r="AM38" s="59">
        <f t="shared" si="186"/>
        <v>25159658.629819524</v>
      </c>
      <c r="AN38" s="59">
        <f t="shared" si="186"/>
        <v>30125739.52427531</v>
      </c>
      <c r="AO38" s="59">
        <f t="shared" si="186"/>
        <v>354921048.58585972</v>
      </c>
      <c r="AP38" s="106"/>
      <c r="AQ38" s="59">
        <f t="shared" ref="AQ38:BB38" si="187">+SUM(AQ39:AQ42)</f>
        <v>12571707.226</v>
      </c>
      <c r="AR38" s="59">
        <f t="shared" si="187"/>
        <v>18219992.07</v>
      </c>
      <c r="AS38" s="59">
        <f t="shared" si="187"/>
        <v>14063252.910000004</v>
      </c>
      <c r="AT38" s="59">
        <f t="shared" si="187"/>
        <v>13184037.329999994</v>
      </c>
      <c r="AU38" s="59">
        <f t="shared" si="187"/>
        <v>10894752.369999997</v>
      </c>
      <c r="AV38" s="59">
        <f t="shared" si="187"/>
        <v>14166662.019999998</v>
      </c>
      <c r="AW38" s="59">
        <f t="shared" si="187"/>
        <v>15095895.09</v>
      </c>
      <c r="AX38" s="59">
        <f t="shared" si="187"/>
        <v>19502431.649999999</v>
      </c>
      <c r="AY38" s="59">
        <f t="shared" si="187"/>
        <v>20002341.928000003</v>
      </c>
      <c r="AZ38" s="59">
        <f t="shared" si="187"/>
        <v>17477302.693999983</v>
      </c>
      <c r="BA38" s="59">
        <f t="shared" si="187"/>
        <v>18252253.530000001</v>
      </c>
      <c r="BB38" s="59">
        <f t="shared" si="187"/>
        <v>18162668.780000005</v>
      </c>
      <c r="BC38" s="59">
        <f t="shared" ref="BC38" si="188">+SUM(BC39:BC42)</f>
        <v>191593297.59799999</v>
      </c>
      <c r="BD38" s="9" t="str">
        <f t="shared" si="16"/>
        <v>Cost of Good sold</v>
      </c>
      <c r="BE38" s="59">
        <f t="shared" ref="BE38:BP38" si="189">+SUM(BE39:BE42)</f>
        <v>12921062.029999997</v>
      </c>
      <c r="BF38" s="59">
        <f t="shared" si="189"/>
        <v>13060730.129999993</v>
      </c>
      <c r="BG38" s="59">
        <f t="shared" si="189"/>
        <v>22235523.180000003</v>
      </c>
      <c r="BH38" s="59">
        <f t="shared" si="189"/>
        <v>18005158.27</v>
      </c>
      <c r="BI38" s="59">
        <f t="shared" si="189"/>
        <v>21491396.059999995</v>
      </c>
      <c r="BJ38" s="59">
        <f t="shared" si="189"/>
        <v>15954877.700000005</v>
      </c>
      <c r="BK38" s="59">
        <f t="shared" si="189"/>
        <v>19435223.779999997</v>
      </c>
      <c r="BL38" s="59">
        <f t="shared" si="189"/>
        <v>19344812.57</v>
      </c>
      <c r="BM38" s="59">
        <f t="shared" si="189"/>
        <v>19345879.299999997</v>
      </c>
      <c r="BN38" s="59">
        <f t="shared" si="189"/>
        <v>17579550.980000012</v>
      </c>
      <c r="BO38" s="59">
        <f t="shared" si="189"/>
        <v>0</v>
      </c>
      <c r="BP38" s="59">
        <f t="shared" si="189"/>
        <v>0</v>
      </c>
      <c r="BQ38" s="59">
        <f t="shared" ref="BQ38" si="190">+SUM(BQ39:BQ42)</f>
        <v>179374214</v>
      </c>
      <c r="BR38" s="118"/>
      <c r="BS38" s="59">
        <f t="shared" ref="BS38:CD38" si="191">+SUM(BS39:BS42)</f>
        <v>16265994.023776382</v>
      </c>
      <c r="BT38" s="59">
        <f t="shared" si="191"/>
        <v>15979387.910222383</v>
      </c>
      <c r="BU38" s="59">
        <f t="shared" si="191"/>
        <v>14863053.74756038</v>
      </c>
      <c r="BV38" s="59">
        <f t="shared" si="191"/>
        <v>14009543.705314377</v>
      </c>
      <c r="BW38" s="59">
        <f t="shared" si="191"/>
        <v>15348400.33950638</v>
      </c>
      <c r="BX38" s="59">
        <f t="shared" si="191"/>
        <v>15856143.999226376</v>
      </c>
      <c r="BY38" s="59">
        <f t="shared" si="191"/>
        <v>16222707.63674638</v>
      </c>
      <c r="BZ38" s="59">
        <f t="shared" si="191"/>
        <v>16875097.766696382</v>
      </c>
      <c r="CA38" s="59">
        <f t="shared" si="191"/>
        <v>17841045.973316379</v>
      </c>
      <c r="CB38" s="59">
        <f t="shared" si="191"/>
        <v>15752611.982946377</v>
      </c>
      <c r="CC38" s="59">
        <f t="shared" si="191"/>
        <v>12778185.656074381</v>
      </c>
      <c r="CD38" s="59">
        <f t="shared" si="191"/>
        <v>16602448.076338379</v>
      </c>
      <c r="CE38" s="59">
        <f t="shared" ref="CE38" si="192">+SUM(CE39:CE42)</f>
        <v>188394620.81772453</v>
      </c>
      <c r="CF38" s="106"/>
      <c r="CG38" s="59">
        <f t="shared" ref="CG38:CR38" si="193">+SUM(CG39:CG42)</f>
        <v>9646665.7600000054</v>
      </c>
      <c r="CH38" s="59">
        <f t="shared" si="193"/>
        <v>10420190.700000005</v>
      </c>
      <c r="CI38" s="59">
        <f t="shared" si="193"/>
        <v>7305600.740000003</v>
      </c>
      <c r="CJ38" s="59">
        <f t="shared" si="193"/>
        <v>4771638.0599999987</v>
      </c>
      <c r="CK38" s="59">
        <f t="shared" si="193"/>
        <v>10771334.34</v>
      </c>
      <c r="CL38" s="59">
        <f t="shared" si="193"/>
        <v>11226741.4</v>
      </c>
      <c r="CM38" s="59">
        <f t="shared" si="193"/>
        <v>8091118.0500000026</v>
      </c>
      <c r="CN38" s="59">
        <f t="shared" si="193"/>
        <v>9241948.6600000001</v>
      </c>
      <c r="CO38" s="59">
        <f t="shared" si="193"/>
        <v>8404654.5219999962</v>
      </c>
      <c r="CP38" s="59">
        <f t="shared" si="193"/>
        <v>6674751.0709999995</v>
      </c>
      <c r="CQ38" s="59">
        <f t="shared" si="193"/>
        <v>10027173.334999995</v>
      </c>
      <c r="CR38" s="59">
        <f t="shared" si="193"/>
        <v>9072817.0399999972</v>
      </c>
      <c r="CS38" s="59">
        <f t="shared" ref="CS38" si="194">+SUM(CS39:CS42)</f>
        <v>105654633.67800002</v>
      </c>
      <c r="CT38" s="9" t="str">
        <f t="shared" si="20"/>
        <v>Cost of Good sold</v>
      </c>
      <c r="CU38" s="59">
        <f t="shared" ref="CU38:DF38" si="195">+SUM(CU39:CU42)</f>
        <v>7885073.8099999987</v>
      </c>
      <c r="CV38" s="59">
        <f t="shared" si="195"/>
        <v>6679582.3550000014</v>
      </c>
      <c r="CW38" s="59">
        <f t="shared" si="195"/>
        <v>8620311.2899999991</v>
      </c>
      <c r="CX38" s="59">
        <f t="shared" si="195"/>
        <v>6299706.4299999969</v>
      </c>
      <c r="CY38" s="59">
        <f t="shared" si="195"/>
        <v>9889412.6400000025</v>
      </c>
      <c r="CZ38" s="59">
        <f t="shared" si="195"/>
        <v>7019204.5500000017</v>
      </c>
      <c r="DA38" s="59">
        <f t="shared" si="195"/>
        <v>9191513.3700000104</v>
      </c>
      <c r="DB38" s="59">
        <f t="shared" si="195"/>
        <v>8487305.7999999989</v>
      </c>
      <c r="DC38" s="59">
        <f t="shared" si="195"/>
        <v>7285146.6100000003</v>
      </c>
      <c r="DD38" s="59">
        <f t="shared" si="195"/>
        <v>9936409.0599999968</v>
      </c>
      <c r="DE38" s="59">
        <f t="shared" si="195"/>
        <v>0</v>
      </c>
      <c r="DF38" s="59">
        <f t="shared" si="195"/>
        <v>0</v>
      </c>
      <c r="DG38" s="59">
        <f t="shared" ref="DG38" si="196">+SUM(DG39:DG42)</f>
        <v>81293665.915000007</v>
      </c>
      <c r="DH38" s="118"/>
      <c r="DI38" s="59">
        <f t="shared" ref="DI38:DT38" si="197">+SUM(DI39:DI42)</f>
        <v>10350111.475492036</v>
      </c>
      <c r="DJ38" s="59">
        <f t="shared" si="197"/>
        <v>10290848.997230036</v>
      </c>
      <c r="DK38" s="59">
        <f t="shared" si="197"/>
        <v>11441829.822692035</v>
      </c>
      <c r="DL38" s="59">
        <f t="shared" si="197"/>
        <v>8457244.4252230339</v>
      </c>
      <c r="DM38" s="59">
        <f t="shared" si="197"/>
        <v>9961174.0788010359</v>
      </c>
      <c r="DN38" s="59">
        <f t="shared" si="197"/>
        <v>10713138.905590035</v>
      </c>
      <c r="DO38" s="59">
        <f t="shared" si="197"/>
        <v>10980186.804038033</v>
      </c>
      <c r="DP38" s="59">
        <f t="shared" si="197"/>
        <v>11192298.063577037</v>
      </c>
      <c r="DQ38" s="59">
        <f t="shared" si="197"/>
        <v>11157989.261999035</v>
      </c>
      <c r="DR38" s="59">
        <f t="shared" si="197"/>
        <v>9143470.534033034</v>
      </c>
      <c r="DS38" s="59">
        <f t="shared" si="197"/>
        <v>9480815.8026340343</v>
      </c>
      <c r="DT38" s="59">
        <f t="shared" si="197"/>
        <v>10507271.072947035</v>
      </c>
      <c r="DU38" s="59">
        <f t="shared" ref="DU38" si="198">+SUM(DU39:DU42)</f>
        <v>123676379.24425642</v>
      </c>
      <c r="DV38" s="106"/>
      <c r="DW38" s="59">
        <f t="shared" ref="DW38:EH38" si="199">+SUM(DW39:DW42)</f>
        <v>0</v>
      </c>
      <c r="DX38" s="59">
        <f t="shared" si="199"/>
        <v>0</v>
      </c>
      <c r="DY38" s="59">
        <f t="shared" si="199"/>
        <v>0</v>
      </c>
      <c r="DZ38" s="59">
        <f t="shared" si="199"/>
        <v>0</v>
      </c>
      <c r="EA38" s="59">
        <f t="shared" si="199"/>
        <v>0</v>
      </c>
      <c r="EB38" s="59">
        <f t="shared" si="199"/>
        <v>0</v>
      </c>
      <c r="EC38" s="59">
        <f t="shared" si="199"/>
        <v>0</v>
      </c>
      <c r="ED38" s="59">
        <f t="shared" si="199"/>
        <v>0</v>
      </c>
      <c r="EE38" s="59">
        <f t="shared" si="199"/>
        <v>0</v>
      </c>
      <c r="EF38" s="59">
        <f t="shared" si="199"/>
        <v>0</v>
      </c>
      <c r="EG38" s="59">
        <f t="shared" si="199"/>
        <v>0</v>
      </c>
      <c r="EH38" s="59">
        <f t="shared" si="199"/>
        <v>0</v>
      </c>
      <c r="EI38" s="59">
        <f t="shared" ref="EI38" si="200">+SUM(EI39:EI42)</f>
        <v>0</v>
      </c>
      <c r="EJ38" s="9" t="str">
        <f t="shared" si="93"/>
        <v>Cost of Good sold</v>
      </c>
      <c r="EK38" s="59">
        <f t="shared" ref="EK38:EV38" si="201">+SUM(EK39:EK42)</f>
        <v>1727260.3699999996</v>
      </c>
      <c r="EL38" s="59">
        <f t="shared" si="201"/>
        <v>3114635.5799999991</v>
      </c>
      <c r="EM38" s="59">
        <f t="shared" si="201"/>
        <v>2097667.7200000002</v>
      </c>
      <c r="EN38" s="59">
        <f t="shared" si="201"/>
        <v>1342769.63</v>
      </c>
      <c r="EO38" s="59">
        <f t="shared" si="201"/>
        <v>2864623.3600000003</v>
      </c>
      <c r="EP38" s="59">
        <f t="shared" si="201"/>
        <v>4051567.64</v>
      </c>
      <c r="EQ38" s="59">
        <f t="shared" si="201"/>
        <v>3270452.28</v>
      </c>
      <c r="ER38" s="59">
        <f t="shared" si="201"/>
        <v>3756121.9099999997</v>
      </c>
      <c r="ES38" s="59">
        <f t="shared" si="201"/>
        <v>2562242.13</v>
      </c>
      <c r="ET38" s="59">
        <f t="shared" si="201"/>
        <v>3648634.3600000003</v>
      </c>
      <c r="EU38" s="59">
        <f t="shared" si="201"/>
        <v>0</v>
      </c>
      <c r="EV38" s="59">
        <f t="shared" si="201"/>
        <v>0</v>
      </c>
      <c r="EW38" s="59">
        <f t="shared" ref="EW38" si="202">+SUM(EW39:EW42)</f>
        <v>28435974.98</v>
      </c>
      <c r="EX38" s="118"/>
      <c r="EY38" s="59">
        <f t="shared" ref="EY38:FJ38" si="203">+SUM(EY39:EY42)</f>
        <v>3524716.1666666665</v>
      </c>
      <c r="EZ38" s="59">
        <f t="shared" si="203"/>
        <v>3306599.3666666667</v>
      </c>
      <c r="FA38" s="59">
        <f t="shared" si="203"/>
        <v>3661039.1666666665</v>
      </c>
      <c r="FB38" s="59">
        <f t="shared" si="203"/>
        <v>3306599.3666666667</v>
      </c>
      <c r="FC38" s="59">
        <f t="shared" si="203"/>
        <v>3888244.1666666665</v>
      </c>
      <c r="FD38" s="59">
        <f t="shared" si="203"/>
        <v>3888244.1666666665</v>
      </c>
      <c r="FE38" s="59">
        <f t="shared" si="203"/>
        <v>4342654.166666666</v>
      </c>
      <c r="FF38" s="59">
        <f t="shared" si="203"/>
        <v>4191184.1666666665</v>
      </c>
      <c r="FG38" s="59">
        <f t="shared" si="203"/>
        <v>4015478.9666666663</v>
      </c>
      <c r="FH38" s="59">
        <f t="shared" si="203"/>
        <v>2808611.2777777775</v>
      </c>
      <c r="FI38" s="59">
        <f t="shared" si="203"/>
        <v>2900657.1711111115</v>
      </c>
      <c r="FJ38" s="59">
        <f t="shared" si="203"/>
        <v>3016020.3749898989</v>
      </c>
      <c r="FK38" s="59">
        <f t="shared" ref="FK38" si="204">+SUM(FK39:FK42)</f>
        <v>42850048.52387879</v>
      </c>
    </row>
    <row r="39" spans="1:167" ht="14.45" customHeight="1">
      <c r="A39" s="106">
        <f t="shared" si="169"/>
        <v>20552878.820000008</v>
      </c>
      <c r="B39" s="106">
        <f t="shared" si="169"/>
        <v>27001117.780000001</v>
      </c>
      <c r="C39" s="106">
        <f t="shared" si="169"/>
        <v>19683886.600000009</v>
      </c>
      <c r="D39" s="106">
        <f t="shared" si="169"/>
        <v>16329059.059999995</v>
      </c>
      <c r="E39" s="106">
        <f t="shared" si="169"/>
        <v>19733935.419999994</v>
      </c>
      <c r="F39" s="106">
        <f t="shared" si="169"/>
        <v>23759785.019999996</v>
      </c>
      <c r="G39" s="106">
        <f t="shared" si="169"/>
        <v>21664572.210000005</v>
      </c>
      <c r="H39" s="106">
        <f t="shared" si="169"/>
        <v>27718443.529999997</v>
      </c>
      <c r="I39" s="106">
        <f t="shared" si="169"/>
        <v>25877523.239999998</v>
      </c>
      <c r="J39" s="106">
        <f t="shared" si="169"/>
        <v>21983240.699999981</v>
      </c>
      <c r="K39" s="106">
        <f t="shared" si="169"/>
        <v>26340454.059999999</v>
      </c>
      <c r="L39" s="106">
        <f t="shared" si="169"/>
        <v>25536585.870000001</v>
      </c>
      <c r="M39" s="106">
        <f t="shared" si="170"/>
        <v>276181482.31</v>
      </c>
      <c r="N39" s="7" t="s">
        <v>34</v>
      </c>
      <c r="O39" s="106">
        <f t="shared" ref="O39:Z42" si="205">+BE39+CU39+EK39</f>
        <v>20360345.09</v>
      </c>
      <c r="P39" s="106">
        <f t="shared" si="205"/>
        <v>20483328.259999994</v>
      </c>
      <c r="Q39" s="106">
        <f t="shared" si="205"/>
        <v>30796560.530000005</v>
      </c>
      <c r="R39" s="106">
        <f t="shared" si="205"/>
        <v>23516745.469999999</v>
      </c>
      <c r="S39" s="106">
        <f t="shared" si="205"/>
        <v>31361305.929999996</v>
      </c>
      <c r="T39" s="106">
        <f t="shared" si="205"/>
        <v>24320546.060000006</v>
      </c>
      <c r="U39" s="106">
        <f t="shared" si="205"/>
        <v>28596090.490000002</v>
      </c>
      <c r="V39" s="106">
        <f t="shared" si="205"/>
        <v>28903313.43</v>
      </c>
      <c r="W39" s="106">
        <f t="shared" si="205"/>
        <v>27032489.270000003</v>
      </c>
      <c r="X39" s="106">
        <f t="shared" si="205"/>
        <v>28324165.230000012</v>
      </c>
      <c r="Y39" s="106">
        <f t="shared" si="205"/>
        <v>0</v>
      </c>
      <c r="Z39" s="106">
        <f t="shared" si="205"/>
        <v>0</v>
      </c>
      <c r="AA39" s="106">
        <f t="shared" ref="AA39:AA42" si="206">+SUM(O39:Z39)</f>
        <v>263694889.76000005</v>
      </c>
      <c r="AB39" s="118"/>
      <c r="AC39" s="106">
        <f t="shared" ref="AC39:AN42" si="207">+BS39+DI39+EY39</f>
        <v>26976564.913800009</v>
      </c>
      <c r="AD39" s="106">
        <f t="shared" si="207"/>
        <v>26442363.318800006</v>
      </c>
      <c r="AE39" s="106">
        <f t="shared" si="207"/>
        <v>26813617.333400004</v>
      </c>
      <c r="AF39" s="106">
        <f t="shared" si="207"/>
        <v>22835411.251759999</v>
      </c>
      <c r="AG39" s="106">
        <f t="shared" si="207"/>
        <v>26087180.006800003</v>
      </c>
      <c r="AH39" s="106">
        <f t="shared" si="207"/>
        <v>27281895.742399998</v>
      </c>
      <c r="AI39" s="106">
        <f t="shared" si="207"/>
        <v>28319707.480800003</v>
      </c>
      <c r="AJ39" s="106">
        <f t="shared" si="207"/>
        <v>28988732.037000008</v>
      </c>
      <c r="AK39" s="106">
        <f t="shared" si="207"/>
        <v>29702477.782200001</v>
      </c>
      <c r="AL39" s="106">
        <f t="shared" si="207"/>
        <v>24659768.306000002</v>
      </c>
      <c r="AM39" s="106">
        <f t="shared" si="207"/>
        <v>22253016.908800002</v>
      </c>
      <c r="AN39" s="106">
        <f t="shared" si="207"/>
        <v>26963018.895503029</v>
      </c>
      <c r="AO39" s="106">
        <f t="shared" ref="AO39:AO42" si="208">+SUM(AC39:AN39)</f>
        <v>317323753.97726303</v>
      </c>
      <c r="AP39" s="106"/>
      <c r="AQ39" s="106">
        <f>+PMGR!AQ39+BP!AQ39</f>
        <v>11352503.060000001</v>
      </c>
      <c r="AR39" s="106">
        <f>+PMGR!AR39+BP!AR39</f>
        <v>17309654.379999999</v>
      </c>
      <c r="AS39" s="106">
        <f>+PMGR!AS39+BP!AS39</f>
        <v>12937654.410000004</v>
      </c>
      <c r="AT39" s="106">
        <f>+PMGR!AT39+BP!AT39</f>
        <v>11987552.679999996</v>
      </c>
      <c r="AU39" s="106">
        <f>+PMGR!AU39+BP!AU39</f>
        <v>9576385.6599999964</v>
      </c>
      <c r="AV39" s="106">
        <f>+PMGR!AV39+BP!AV39</f>
        <v>13086560.319999997</v>
      </c>
      <c r="AW39" s="106">
        <f>+PMGR!AW39+BP!AW39</f>
        <v>14017595.73</v>
      </c>
      <c r="AX39" s="106">
        <f>+PMGR!AX39+BP!AX39</f>
        <v>18708917.329999998</v>
      </c>
      <c r="AY39" s="106">
        <f>+PMGR!AY39+BP!AY39</f>
        <v>18161463.678000003</v>
      </c>
      <c r="AZ39" s="106">
        <f>+PMGR!AZ39+BP!AZ39</f>
        <v>15866452.463999983</v>
      </c>
      <c r="BA39" s="106">
        <f>+PMGR!BA39+BP!BA39</f>
        <v>16723402.220000003</v>
      </c>
      <c r="BB39" s="106">
        <f>+PMGR!BB39+BP!BB39</f>
        <v>17138140.430000003</v>
      </c>
      <c r="BC39" s="106">
        <f t="shared" ref="BC39:BC42" si="209">+SUM(AQ39:BB39)</f>
        <v>176866282.36199999</v>
      </c>
      <c r="BD39" s="7" t="str">
        <f t="shared" si="16"/>
        <v>Cost  of Goods Sold - Parts and Consumables</v>
      </c>
      <c r="BE39" s="106">
        <f>+PMGR!BE39+BP!BE39</f>
        <v>11533609.909999998</v>
      </c>
      <c r="BF39" s="106">
        <f>+PMGR!BF39+BP!BF39</f>
        <v>11693239.229999993</v>
      </c>
      <c r="BG39" s="106">
        <f>+PMGR!BG39+BP!BG39</f>
        <v>20862355.110000003</v>
      </c>
      <c r="BH39" s="106">
        <f>+PMGR!BH39+BP!BH39</f>
        <v>16940071.640000001</v>
      </c>
      <c r="BI39" s="106">
        <f>+PMGR!BI39+BP!BI39</f>
        <v>19427896.849999994</v>
      </c>
      <c r="BJ39" s="106">
        <f>+PMGR!BJ39+BP!BJ39</f>
        <v>14141555.710000005</v>
      </c>
      <c r="BK39" s="106">
        <f>+PMGR!BK39+BP!BK39</f>
        <v>17315040.759999994</v>
      </c>
      <c r="BL39" s="106">
        <f>+PMGR!BL39+BP!BL39</f>
        <v>17521860.670000002</v>
      </c>
      <c r="BM39" s="106">
        <f>+PMGR!BM39+BP!BM39</f>
        <v>18042736.32</v>
      </c>
      <c r="BN39" s="106">
        <f>+PMGR!BN39+BP!BN39</f>
        <v>15827194.550000012</v>
      </c>
      <c r="BO39" s="106">
        <f>+PMGR!BO39+BP!BO39</f>
        <v>0</v>
      </c>
      <c r="BP39" s="106">
        <f>+PMGR!BP39+BP!BP39</f>
        <v>0</v>
      </c>
      <c r="BQ39" s="106">
        <f t="shared" ref="BQ39:BQ42" si="210">+SUM(BE39:BP39)</f>
        <v>163305560.75</v>
      </c>
      <c r="BR39" s="118"/>
      <c r="BS39" s="106">
        <f>+PMGR!BS39+BP!BS39</f>
        <v>14594837.445000004</v>
      </c>
      <c r="BT39" s="106">
        <f>+PMGR!BT39+BP!BT39</f>
        <v>14327498.883600004</v>
      </c>
      <c r="BU39" s="106">
        <f>+PMGR!BU39+BP!BU39</f>
        <v>13268967.377400002</v>
      </c>
      <c r="BV39" s="106">
        <f>+PMGR!BV39+BP!BV39</f>
        <v>12457681.709759999</v>
      </c>
      <c r="BW39" s="106">
        <f>+PMGR!BW39+BP!BW39</f>
        <v>13728652.4592</v>
      </c>
      <c r="BX39" s="106">
        <f>+PMGR!BX39+BP!BX39</f>
        <v>14210745.191999998</v>
      </c>
      <c r="BY39" s="106">
        <f>+PMGR!BY39+BP!BY39</f>
        <v>14558368.204800002</v>
      </c>
      <c r="BZ39" s="106">
        <f>+PMGR!BZ39+BP!BZ39</f>
        <v>15178042.618200004</v>
      </c>
      <c r="CA39" s="106">
        <f>+PMGR!CA39+BP!CA39</f>
        <v>16094664.117000002</v>
      </c>
      <c r="CB39" s="106">
        <f>+PMGR!CB39+BP!CB39</f>
        <v>14112134.063999999</v>
      </c>
      <c r="CC39" s="106">
        <f>+PMGR!CC39+BP!CC39</f>
        <v>11289707.251200002</v>
      </c>
      <c r="CD39" s="106">
        <f>+PMGR!CD39+BP!CD39</f>
        <v>14918541.7248</v>
      </c>
      <c r="CE39" s="106">
        <f t="shared" ref="CE39:CE42" si="211">+SUM(BS39:CD39)</f>
        <v>168739841.04696</v>
      </c>
      <c r="CF39" s="106"/>
      <c r="CG39" s="106">
        <f>+PMGR!CG39+BP!CG39</f>
        <v>9200375.7600000054</v>
      </c>
      <c r="CH39" s="106">
        <f>+PMGR!CH39+BP!CH39</f>
        <v>9691463.4000000041</v>
      </c>
      <c r="CI39" s="106">
        <f>+PMGR!CI39+BP!CI39</f>
        <v>6746232.1900000032</v>
      </c>
      <c r="CJ39" s="106">
        <f>+PMGR!CJ39+BP!CJ39</f>
        <v>4341506.379999998</v>
      </c>
      <c r="CK39" s="106">
        <f>+PMGR!CK39+BP!CK39</f>
        <v>10157549.76</v>
      </c>
      <c r="CL39" s="106">
        <f>+PMGR!CL39+BP!CL39</f>
        <v>10673224.700000001</v>
      </c>
      <c r="CM39" s="106">
        <f>+PMGR!CM39+BP!CM39</f>
        <v>7646976.4800000032</v>
      </c>
      <c r="CN39" s="106">
        <f>+PMGR!CN39+BP!CN39</f>
        <v>9009526.1999999993</v>
      </c>
      <c r="CO39" s="106">
        <f>+PMGR!CO39+BP!CO39</f>
        <v>7716059.5619999953</v>
      </c>
      <c r="CP39" s="106">
        <f>+PMGR!CP39+BP!CP39</f>
        <v>6116788.2359999996</v>
      </c>
      <c r="CQ39" s="106">
        <f>+PMGR!CQ39+BP!CQ39</f>
        <v>9617051.8399999961</v>
      </c>
      <c r="CR39" s="106">
        <f>+PMGR!CR39+BP!CR39</f>
        <v>8398445.4399999976</v>
      </c>
      <c r="CS39" s="106">
        <f t="shared" ref="CS39:CS42" si="212">+SUM(CG39:CR39)</f>
        <v>99315199.948000014</v>
      </c>
      <c r="CT39" s="7" t="str">
        <f t="shared" si="20"/>
        <v>Cost  of Goods Sold - Parts and Consumables</v>
      </c>
      <c r="CU39" s="106">
        <f>+PMGR!CU39+BP!CU39</f>
        <v>7269861.8099999987</v>
      </c>
      <c r="CV39" s="106">
        <f>+PMGR!CV39+BP!CV39</f>
        <v>6019767.370000001</v>
      </c>
      <c r="CW39" s="106">
        <f>+PMGR!CW39+BP!CW39</f>
        <v>8025339.25</v>
      </c>
      <c r="CX39" s="106">
        <f>+PMGR!CX39+BP!CX39</f>
        <v>5623076.299999997</v>
      </c>
      <c r="CY39" s="106">
        <f>+PMGR!CY39+BP!CY39</f>
        <v>9378242.5100000016</v>
      </c>
      <c r="CZ39" s="106">
        <f>+PMGR!CZ39+BP!CZ39</f>
        <v>6451811.5500000017</v>
      </c>
      <c r="DA39" s="106">
        <f>+PMGR!DA39+BP!DA39</f>
        <v>8375285.1200000104</v>
      </c>
      <c r="DB39" s="106">
        <f>+PMGR!DB39+BP!DB39</f>
        <v>8004114.0399999991</v>
      </c>
      <c r="DC39" s="106">
        <f>+PMGR!DC39+BP!DC39</f>
        <v>6672947.4199999999</v>
      </c>
      <c r="DD39" s="106">
        <f>+PMGR!DD39+BP!DD39</f>
        <v>9163499.8599999975</v>
      </c>
      <c r="DE39" s="106">
        <f>+PMGR!DE39+BP!DE39</f>
        <v>0</v>
      </c>
      <c r="DF39" s="106">
        <f>+PMGR!DF39+BP!DF39</f>
        <v>0</v>
      </c>
      <c r="DG39" s="106">
        <f t="shared" ref="DG39:DG42" si="213">+SUM(CU39:DF39)</f>
        <v>74983945.230000004</v>
      </c>
      <c r="DH39" s="118"/>
      <c r="DI39" s="106">
        <f>+PMGR!DI39+BP!DI39</f>
        <v>9256747.4688000027</v>
      </c>
      <c r="DJ39" s="106">
        <f>+PMGR!DJ39+BP!DJ39</f>
        <v>9198216.435200002</v>
      </c>
      <c r="DK39" s="106">
        <f>+PMGR!DK39+BP!DK39</f>
        <v>10289462.456</v>
      </c>
      <c r="DL39" s="106">
        <f>+PMGR!DL39+BP!DL39</f>
        <v>7461081.5420000004</v>
      </c>
      <c r="DM39" s="106">
        <f>+PMGR!DM39+BP!DM39</f>
        <v>8886327.5476000011</v>
      </c>
      <c r="DN39" s="106">
        <f>+PMGR!DN39+BP!DN39</f>
        <v>9598950.5504000001</v>
      </c>
      <c r="DO39" s="106">
        <f>+PMGR!DO39+BP!DO39</f>
        <v>9855114.2759999987</v>
      </c>
      <c r="DP39" s="106">
        <f>+PMGR!DP39+BP!DP39</f>
        <v>10049139.418800002</v>
      </c>
      <c r="DQ39" s="106">
        <f>+PMGR!DQ39+BP!DQ39</f>
        <v>10014086.665200001</v>
      </c>
      <c r="DR39" s="106">
        <f>+PMGR!DR39+BP!DR39</f>
        <v>8106734.2420000006</v>
      </c>
      <c r="DS39" s="106">
        <f>+PMGR!DS39+BP!DS39</f>
        <v>8434370.6576000005</v>
      </c>
      <c r="DT39" s="106">
        <f>+PMGR!DT39+BP!DT39</f>
        <v>9405254.7403999995</v>
      </c>
      <c r="DU39" s="106">
        <f t="shared" ref="DU39:DU42" si="214">+SUM(DI39:DT39)</f>
        <v>110555486.00000001</v>
      </c>
      <c r="DV39" s="106"/>
      <c r="DW39" s="106">
        <f>+PMGR!DW39+BP!DW39</f>
        <v>0</v>
      </c>
      <c r="DX39" s="106">
        <f>+PMGR!DX39+BP!DX39</f>
        <v>0</v>
      </c>
      <c r="DY39" s="106">
        <f>+PMGR!DY39+BP!DY39</f>
        <v>0</v>
      </c>
      <c r="DZ39" s="106">
        <f>+PMGR!DZ39+BP!DZ39</f>
        <v>0</v>
      </c>
      <c r="EA39" s="106">
        <f>+PMGR!EA39+BP!EA39</f>
        <v>0</v>
      </c>
      <c r="EB39" s="106">
        <f>+PMGR!EB39+BP!EB39</f>
        <v>0</v>
      </c>
      <c r="EC39" s="106">
        <f>+PMGR!EC39+BP!EC39</f>
        <v>0</v>
      </c>
      <c r="ED39" s="106">
        <f>+PMGR!ED39+BP!ED39</f>
        <v>0</v>
      </c>
      <c r="EE39" s="106">
        <f>+PMGR!EE39+BP!EE39</f>
        <v>0</v>
      </c>
      <c r="EF39" s="106">
        <f>+PMGR!EF39+BP!EF39</f>
        <v>0</v>
      </c>
      <c r="EG39" s="106">
        <f>+PMGR!EG39+BP!EG39</f>
        <v>0</v>
      </c>
      <c r="EH39" s="106">
        <f>+PMGR!EH39+BP!EH39</f>
        <v>0</v>
      </c>
      <c r="EI39" s="106">
        <f t="shared" ref="EI39:EI42" si="215">+SUM(DW39:EH39)</f>
        <v>0</v>
      </c>
      <c r="EJ39" s="7" t="str">
        <f t="shared" si="93"/>
        <v>Cost  of Goods Sold - Parts and Consumables</v>
      </c>
      <c r="EK39" s="106">
        <f>+PMGR!EK39+BP!EK39</f>
        <v>1556873.3699999996</v>
      </c>
      <c r="EL39" s="106">
        <f>+PMGR!EL39+BP!EL39</f>
        <v>2770321.6599999992</v>
      </c>
      <c r="EM39" s="106">
        <f>+PMGR!EM39+BP!EM39</f>
        <v>1908866.1700000002</v>
      </c>
      <c r="EN39" s="106">
        <f>+PMGR!EN39+BP!EN39</f>
        <v>953597.52999999991</v>
      </c>
      <c r="EO39" s="106">
        <f>+PMGR!EO39+BP!EO39</f>
        <v>2555166.5700000003</v>
      </c>
      <c r="EP39" s="106">
        <f>+PMGR!EP39+BP!EP39</f>
        <v>3727178.8000000003</v>
      </c>
      <c r="EQ39" s="106">
        <f>+PMGR!EQ39+BP!EQ39</f>
        <v>2905764.61</v>
      </c>
      <c r="ER39" s="106">
        <f>+PMGR!ER39+BP!ER39</f>
        <v>3377338.7199999997</v>
      </c>
      <c r="ES39" s="106">
        <f>+PMGR!ES39+BP!ES39</f>
        <v>2316805.5299999998</v>
      </c>
      <c r="ET39" s="106">
        <f>+PMGR!ET39+BP!ET39</f>
        <v>3333470.8200000003</v>
      </c>
      <c r="EU39" s="106">
        <f>+PMGR!EU39+BP!EU39</f>
        <v>0</v>
      </c>
      <c r="EV39" s="106">
        <f>+PMGR!EV39+BP!EV39</f>
        <v>0</v>
      </c>
      <c r="EW39" s="106">
        <f t="shared" ref="EW39:EW42" si="216">+SUM(EK39:EV39)</f>
        <v>25405383.780000001</v>
      </c>
      <c r="EX39" s="118"/>
      <c r="EY39" s="106">
        <f>+PMGR!EY39+BP!EY39</f>
        <v>3124980</v>
      </c>
      <c r="EZ39" s="106">
        <f>+PMGR!EZ39+BP!EZ39</f>
        <v>2916648</v>
      </c>
      <c r="FA39" s="106">
        <f>+PMGR!FA39+BP!FA39</f>
        <v>3255187.5</v>
      </c>
      <c r="FB39" s="106">
        <f>+PMGR!FB39+BP!FB39</f>
        <v>2916648</v>
      </c>
      <c r="FC39" s="106">
        <f>+PMGR!FC39+BP!FC39</f>
        <v>3472200</v>
      </c>
      <c r="FD39" s="106">
        <f>+PMGR!FD39+BP!FD39</f>
        <v>3472200</v>
      </c>
      <c r="FE39" s="106">
        <f>+PMGR!FE39+BP!FE39</f>
        <v>3906225</v>
      </c>
      <c r="FF39" s="106">
        <f>+PMGR!FF39+BP!FF39</f>
        <v>3761550</v>
      </c>
      <c r="FG39" s="106">
        <f>+PMGR!FG39+BP!FG39</f>
        <v>3593727</v>
      </c>
      <c r="FH39" s="106">
        <f>+PMGR!FH39+BP!FH39</f>
        <v>2440900</v>
      </c>
      <c r="FI39" s="106">
        <f>+PMGR!FI39+BP!FI39</f>
        <v>2528939.0000000005</v>
      </c>
      <c r="FJ39" s="106">
        <f>+PMGR!FJ39+BP!FJ39</f>
        <v>2639222.4303030302</v>
      </c>
      <c r="FK39" s="106">
        <f t="shared" ref="FK39:FK42" si="217">+SUM(EY39:FJ39)</f>
        <v>38028426.93030303</v>
      </c>
    </row>
    <row r="40" spans="1:167" ht="14.45" customHeight="1">
      <c r="A40" s="106">
        <f t="shared" si="169"/>
        <v>1005198</v>
      </c>
      <c r="B40" s="106">
        <f t="shared" si="169"/>
        <v>984825.9</v>
      </c>
      <c r="C40" s="106">
        <f t="shared" si="169"/>
        <v>987294</v>
      </c>
      <c r="D40" s="106">
        <f t="shared" si="169"/>
        <v>983968</v>
      </c>
      <c r="E40" s="106">
        <f t="shared" si="169"/>
        <v>1046181</v>
      </c>
      <c r="F40" s="106">
        <f t="shared" si="169"/>
        <v>1096266</v>
      </c>
      <c r="G40" s="106">
        <f t="shared" si="169"/>
        <v>1062341.68</v>
      </c>
      <c r="H40" s="106">
        <f t="shared" si="169"/>
        <v>560937</v>
      </c>
      <c r="I40" s="106">
        <f t="shared" si="169"/>
        <v>1095960.27</v>
      </c>
      <c r="J40" s="106">
        <f t="shared" si="169"/>
        <v>1065171</v>
      </c>
      <c r="K40" s="106">
        <f t="shared" si="169"/>
        <v>1024787</v>
      </c>
      <c r="L40" s="106">
        <f t="shared" si="169"/>
        <v>1105494</v>
      </c>
      <c r="M40" s="106">
        <f t="shared" si="170"/>
        <v>12018423.85</v>
      </c>
      <c r="N40" s="7" t="s">
        <v>35</v>
      </c>
      <c r="O40" s="106">
        <f t="shared" si="205"/>
        <v>1275874</v>
      </c>
      <c r="P40" s="106">
        <f t="shared" si="205"/>
        <v>1434676.57</v>
      </c>
      <c r="Q40" s="106">
        <f t="shared" si="205"/>
        <v>1203479</v>
      </c>
      <c r="R40" s="106">
        <f t="shared" si="205"/>
        <v>1424608</v>
      </c>
      <c r="S40" s="106">
        <f t="shared" si="205"/>
        <v>1411556</v>
      </c>
      <c r="T40" s="106">
        <f t="shared" si="205"/>
        <v>1345293</v>
      </c>
      <c r="U40" s="106">
        <f t="shared" si="205"/>
        <v>1384583</v>
      </c>
      <c r="V40" s="106">
        <f t="shared" si="205"/>
        <v>1452550</v>
      </c>
      <c r="W40" s="106">
        <f t="shared" si="205"/>
        <v>1441561</v>
      </c>
      <c r="X40" s="106">
        <f t="shared" si="205"/>
        <v>1399888</v>
      </c>
      <c r="Y40" s="106">
        <f t="shared" si="205"/>
        <v>0</v>
      </c>
      <c r="Z40" s="106">
        <f t="shared" si="205"/>
        <v>0</v>
      </c>
      <c r="AA40" s="106">
        <f t="shared" si="206"/>
        <v>13774068.57</v>
      </c>
      <c r="AB40" s="118"/>
      <c r="AC40" s="106">
        <f t="shared" si="207"/>
        <v>1742347.082691079</v>
      </c>
      <c r="AD40" s="106">
        <f t="shared" si="207"/>
        <v>1742347.082691079</v>
      </c>
      <c r="AE40" s="106">
        <f t="shared" si="207"/>
        <v>1742347.082691079</v>
      </c>
      <c r="AF40" s="106">
        <f t="shared" si="207"/>
        <v>1742347.082691079</v>
      </c>
      <c r="AG40" s="106">
        <f t="shared" si="207"/>
        <v>1742347.082691079</v>
      </c>
      <c r="AH40" s="106">
        <f t="shared" si="207"/>
        <v>1742347.082691079</v>
      </c>
      <c r="AI40" s="106">
        <f t="shared" si="207"/>
        <v>1742347.082691079</v>
      </c>
      <c r="AJ40" s="106">
        <f t="shared" si="207"/>
        <v>1742347.082691079</v>
      </c>
      <c r="AK40" s="106">
        <f t="shared" si="207"/>
        <v>1742347.082691079</v>
      </c>
      <c r="AL40" s="106">
        <f t="shared" si="207"/>
        <v>1742347.082691079</v>
      </c>
      <c r="AM40" s="106">
        <f t="shared" si="207"/>
        <v>1742347.082691079</v>
      </c>
      <c r="AN40" s="106">
        <f t="shared" si="207"/>
        <v>1742347.082691079</v>
      </c>
      <c r="AO40" s="106">
        <f t="shared" si="208"/>
        <v>20908164.992292948</v>
      </c>
      <c r="AP40" s="106"/>
      <c r="AQ40" s="106">
        <f>+PMGR!AQ40+BP!AQ40</f>
        <v>625660</v>
      </c>
      <c r="AR40" s="106">
        <f>+PMGR!AR40+BP!AR40</f>
        <v>605287.9</v>
      </c>
      <c r="AS40" s="106">
        <f>+PMGR!AS40+BP!AS40</f>
        <v>611294</v>
      </c>
      <c r="AT40" s="106">
        <f>+PMGR!AT40+BP!AT40</f>
        <v>626634</v>
      </c>
      <c r="AU40" s="106">
        <f>+PMGR!AU40+BP!AU40</f>
        <v>652245</v>
      </c>
      <c r="AV40" s="106">
        <f>+PMGR!AV40+BP!AV40</f>
        <v>696667</v>
      </c>
      <c r="AW40" s="106">
        <f>+PMGR!AW40+BP!AW40</f>
        <v>655842</v>
      </c>
      <c r="AX40" s="106">
        <f>+PMGR!AX40+BP!AX40</f>
        <v>368731</v>
      </c>
      <c r="AY40" s="106">
        <f>+PMGR!AY40+BP!AY40</f>
        <v>723049.60000000009</v>
      </c>
      <c r="AZ40" s="106">
        <f>+PMGR!AZ40+BP!AZ40</f>
        <v>699258</v>
      </c>
      <c r="BA40" s="106">
        <f>+PMGR!BA40+BP!BA40</f>
        <v>682225</v>
      </c>
      <c r="BB40" s="106">
        <f>+PMGR!BB40+BP!BB40</f>
        <v>739783</v>
      </c>
      <c r="BC40" s="106">
        <f t="shared" si="209"/>
        <v>7686676.5</v>
      </c>
      <c r="BD40" s="7" t="str">
        <f t="shared" si="16"/>
        <v>Labour Cost</v>
      </c>
      <c r="BE40" s="106">
        <f>+PMGR!BE40+BP!BE40</f>
        <v>702712</v>
      </c>
      <c r="BF40" s="106">
        <f>+PMGR!BF40+BP!BF40</f>
        <v>728100</v>
      </c>
      <c r="BG40" s="106">
        <f>+PMGR!BG40+BP!BG40</f>
        <v>665206</v>
      </c>
      <c r="BH40" s="106">
        <f>+PMGR!BH40+BP!BH40</f>
        <v>847800</v>
      </c>
      <c r="BI40" s="106">
        <f>+PMGR!BI40+BP!BI40</f>
        <v>821923</v>
      </c>
      <c r="BJ40" s="106">
        <f>+PMGR!BJ40+BP!BJ40</f>
        <v>772739</v>
      </c>
      <c r="BK40" s="106">
        <f>+PMGR!BK40+BP!BK40</f>
        <v>818146</v>
      </c>
      <c r="BL40" s="106">
        <f>+PMGR!BL40+BP!BL40</f>
        <v>816309</v>
      </c>
      <c r="BM40" s="106">
        <f>+PMGR!BM40+BP!BM40</f>
        <v>795380</v>
      </c>
      <c r="BN40" s="106">
        <f>+PMGR!BN40+BP!BN40</f>
        <v>776239</v>
      </c>
      <c r="BO40" s="106">
        <f>+PMGR!BO40+BP!BO40</f>
        <v>0</v>
      </c>
      <c r="BP40" s="106">
        <f>+PMGR!BP40+BP!BP40</f>
        <v>0</v>
      </c>
      <c r="BQ40" s="106">
        <f t="shared" si="210"/>
        <v>7744554</v>
      </c>
      <c r="BR40" s="118"/>
      <c r="BS40" s="106">
        <f>+PMGR!BS40+BP!BS40</f>
        <v>880480.34858637815</v>
      </c>
      <c r="BT40" s="106">
        <f>+PMGR!BT40+BP!BT40</f>
        <v>880480.34858637815</v>
      </c>
      <c r="BU40" s="106">
        <f>+PMGR!BU40+BP!BU40</f>
        <v>880480.34858637815</v>
      </c>
      <c r="BV40" s="106">
        <f>+PMGR!BV40+BP!BV40</f>
        <v>880480.34858637815</v>
      </c>
      <c r="BW40" s="106">
        <f>+PMGR!BW40+BP!BW40</f>
        <v>880480.34858637815</v>
      </c>
      <c r="BX40" s="106">
        <f>+PMGR!BX40+BP!BX40</f>
        <v>880480.34858637815</v>
      </c>
      <c r="BY40" s="106">
        <f>+PMGR!BY40+BP!BY40</f>
        <v>880480.34858637815</v>
      </c>
      <c r="BZ40" s="106">
        <f>+PMGR!BZ40+BP!BZ40</f>
        <v>880480.34858637815</v>
      </c>
      <c r="CA40" s="106">
        <f>+PMGR!CA40+BP!CA40</f>
        <v>880480.34858637815</v>
      </c>
      <c r="CB40" s="106">
        <f>+PMGR!CB40+BP!CB40</f>
        <v>880480.34858637815</v>
      </c>
      <c r="CC40" s="106">
        <f>+PMGR!CC40+BP!CC40</f>
        <v>880480.34858637815</v>
      </c>
      <c r="CD40" s="106">
        <f>+PMGR!CD40+BP!CD40</f>
        <v>880480.34858637815</v>
      </c>
      <c r="CE40" s="106">
        <f t="shared" si="211"/>
        <v>10565764.183036542</v>
      </c>
      <c r="CF40" s="106"/>
      <c r="CG40" s="106">
        <f>+PMGR!CG40+BP!CG40</f>
        <v>379538</v>
      </c>
      <c r="CH40" s="106">
        <f>+PMGR!CH40+BP!CH40</f>
        <v>379538</v>
      </c>
      <c r="CI40" s="106">
        <f>+PMGR!CI40+BP!CI40</f>
        <v>376000</v>
      </c>
      <c r="CJ40" s="106">
        <f>+PMGR!CJ40+BP!CJ40</f>
        <v>357334</v>
      </c>
      <c r="CK40" s="106">
        <f>+PMGR!CK40+BP!CK40</f>
        <v>393936</v>
      </c>
      <c r="CL40" s="106">
        <f>+PMGR!CL40+BP!CL40</f>
        <v>399599</v>
      </c>
      <c r="CM40" s="106">
        <f>+PMGR!CM40+BP!CM40</f>
        <v>406499.68</v>
      </c>
      <c r="CN40" s="106">
        <f>+PMGR!CN40+BP!CN40</f>
        <v>192206</v>
      </c>
      <c r="CO40" s="106">
        <f>+PMGR!CO40+BP!CO40</f>
        <v>372910.67000000004</v>
      </c>
      <c r="CP40" s="106">
        <f>+PMGR!CP40+BP!CP40</f>
        <v>365913</v>
      </c>
      <c r="CQ40" s="106">
        <f>+PMGR!CQ40+BP!CQ40</f>
        <v>342562</v>
      </c>
      <c r="CR40" s="106">
        <f>+PMGR!CR40+BP!CR40</f>
        <v>365711</v>
      </c>
      <c r="CS40" s="106">
        <f t="shared" si="212"/>
        <v>4331747.3499999996</v>
      </c>
      <c r="CT40" s="7" t="str">
        <f t="shared" si="20"/>
        <v>Labour Cost</v>
      </c>
      <c r="CU40" s="106">
        <f>+PMGR!CU40+BP!CU40</f>
        <v>402775</v>
      </c>
      <c r="CV40" s="106">
        <f>+PMGR!CV40+BP!CV40</f>
        <v>525576.57000000007</v>
      </c>
      <c r="CW40" s="106">
        <f>+PMGR!CW40+BP!CW40</f>
        <v>389473</v>
      </c>
      <c r="CX40" s="106">
        <f>+PMGR!CX40+BP!CX40</f>
        <v>340808</v>
      </c>
      <c r="CY40" s="106">
        <f>+PMGR!CY40+BP!CY40</f>
        <v>353633</v>
      </c>
      <c r="CZ40" s="106">
        <f>+PMGR!CZ40+BP!CZ40</f>
        <v>336954</v>
      </c>
      <c r="DA40" s="106">
        <f>+PMGR!DA40+BP!DA40</f>
        <v>331223</v>
      </c>
      <c r="DB40" s="106">
        <f>+PMGR!DB40+BP!DB40</f>
        <v>409145</v>
      </c>
      <c r="DC40" s="106">
        <f>+PMGR!DC40+BP!DC40</f>
        <v>424174</v>
      </c>
      <c r="DD40" s="106">
        <f>+PMGR!DD40+BP!DD40</f>
        <v>455618</v>
      </c>
      <c r="DE40" s="106">
        <f>+PMGR!DE40+BP!DE40</f>
        <v>0</v>
      </c>
      <c r="DF40" s="106">
        <f>+PMGR!DF40+BP!DF40</f>
        <v>0</v>
      </c>
      <c r="DG40" s="106">
        <f t="shared" si="213"/>
        <v>3969379.5700000003</v>
      </c>
      <c r="DH40" s="118"/>
      <c r="DI40" s="106">
        <f>+PMGR!DI40+BP!DI40</f>
        <v>608902.56743803411</v>
      </c>
      <c r="DJ40" s="106">
        <f>+PMGR!DJ40+BP!DJ40</f>
        <v>608902.56743803411</v>
      </c>
      <c r="DK40" s="106">
        <f>+PMGR!DK40+BP!DK40</f>
        <v>608902.56743803411</v>
      </c>
      <c r="DL40" s="106">
        <f>+PMGR!DL40+BP!DL40</f>
        <v>608902.56743803411</v>
      </c>
      <c r="DM40" s="106">
        <f>+PMGR!DM40+BP!DM40</f>
        <v>608902.56743803411</v>
      </c>
      <c r="DN40" s="106">
        <f>+PMGR!DN40+BP!DN40</f>
        <v>608902.56743803411</v>
      </c>
      <c r="DO40" s="106">
        <f>+PMGR!DO40+BP!DO40</f>
        <v>608902.56743803411</v>
      </c>
      <c r="DP40" s="106">
        <f>+PMGR!DP40+BP!DP40</f>
        <v>608902.56743803411</v>
      </c>
      <c r="DQ40" s="106">
        <f>+PMGR!DQ40+BP!DQ40</f>
        <v>608902.56743803411</v>
      </c>
      <c r="DR40" s="106">
        <f>+PMGR!DR40+BP!DR40</f>
        <v>608902.56743803411</v>
      </c>
      <c r="DS40" s="106">
        <f>+PMGR!DS40+BP!DS40</f>
        <v>608902.56743803411</v>
      </c>
      <c r="DT40" s="106">
        <f>+PMGR!DT40+BP!DT40</f>
        <v>608902.56743803411</v>
      </c>
      <c r="DU40" s="106">
        <f t="shared" si="214"/>
        <v>7306830.8092564112</v>
      </c>
      <c r="DV40" s="106"/>
      <c r="DW40" s="106">
        <f>+PMGR!DW40+BP!DW40</f>
        <v>0</v>
      </c>
      <c r="DX40" s="106">
        <f>+PMGR!DX40+BP!DX40</f>
        <v>0</v>
      </c>
      <c r="DY40" s="106">
        <f>+PMGR!DY40+BP!DY40</f>
        <v>0</v>
      </c>
      <c r="DZ40" s="106">
        <f>+PMGR!DZ40+BP!DZ40</f>
        <v>0</v>
      </c>
      <c r="EA40" s="106">
        <f>+PMGR!EA40+BP!EA40</f>
        <v>0</v>
      </c>
      <c r="EB40" s="106">
        <f>+PMGR!EB40+BP!EB40</f>
        <v>0</v>
      </c>
      <c r="EC40" s="106">
        <f>+PMGR!EC40+BP!EC40</f>
        <v>0</v>
      </c>
      <c r="ED40" s="106">
        <f>+PMGR!ED40+BP!ED40</f>
        <v>0</v>
      </c>
      <c r="EE40" s="106">
        <f>+PMGR!EE40+BP!EE40</f>
        <v>0</v>
      </c>
      <c r="EF40" s="106">
        <f>+PMGR!EF40+BP!EF40</f>
        <v>0</v>
      </c>
      <c r="EG40" s="106">
        <f>+PMGR!EG40+BP!EG40</f>
        <v>0</v>
      </c>
      <c r="EH40" s="106">
        <f>+PMGR!EH40+BP!EH40</f>
        <v>0</v>
      </c>
      <c r="EI40" s="106">
        <f t="shared" si="215"/>
        <v>0</v>
      </c>
      <c r="EJ40" s="7" t="str">
        <f t="shared" si="93"/>
        <v>Labour Cost</v>
      </c>
      <c r="EK40" s="106">
        <f>+PMGR!EK40+BP!EK40</f>
        <v>170387</v>
      </c>
      <c r="EL40" s="106">
        <f>+PMGR!EL40+BP!EL40</f>
        <v>181000</v>
      </c>
      <c r="EM40" s="106">
        <f>+PMGR!EM40+BP!EM40</f>
        <v>148800</v>
      </c>
      <c r="EN40" s="106">
        <f>+PMGR!EN40+BP!EN40</f>
        <v>236000</v>
      </c>
      <c r="EO40" s="106">
        <f>+PMGR!EO40+BP!EO40</f>
        <v>236000</v>
      </c>
      <c r="EP40" s="106">
        <f>+PMGR!EP40+BP!EP40</f>
        <v>235600</v>
      </c>
      <c r="EQ40" s="106">
        <f>+PMGR!EQ40+BP!EQ40</f>
        <v>235214</v>
      </c>
      <c r="ER40" s="106">
        <f>+PMGR!ER40+BP!ER40</f>
        <v>227096</v>
      </c>
      <c r="ES40" s="106">
        <f>+PMGR!ES40+BP!ES40</f>
        <v>222007</v>
      </c>
      <c r="ET40" s="106">
        <f>+PMGR!ET40+BP!ET40</f>
        <v>168031</v>
      </c>
      <c r="EU40" s="106">
        <f>+PMGR!EU40+BP!EU40</f>
        <v>0</v>
      </c>
      <c r="EV40" s="106">
        <f>+PMGR!EV40+BP!EV40</f>
        <v>0</v>
      </c>
      <c r="EW40" s="106">
        <f t="shared" si="216"/>
        <v>2060135</v>
      </c>
      <c r="EX40" s="118"/>
      <c r="EY40" s="106">
        <f>+PMGR!EY40+BP!EY40</f>
        <v>252964.16666666666</v>
      </c>
      <c r="EZ40" s="106">
        <f>+PMGR!EZ40+BP!EZ40</f>
        <v>252964.16666666666</v>
      </c>
      <c r="FA40" s="106">
        <f>+PMGR!FA40+BP!FA40</f>
        <v>252964.16666666666</v>
      </c>
      <c r="FB40" s="106">
        <f>+PMGR!FB40+BP!FB40</f>
        <v>252964.16666666666</v>
      </c>
      <c r="FC40" s="106">
        <f>+PMGR!FC40+BP!FC40</f>
        <v>252964.16666666666</v>
      </c>
      <c r="FD40" s="106">
        <f>+PMGR!FD40+BP!FD40</f>
        <v>252964.16666666666</v>
      </c>
      <c r="FE40" s="106">
        <f>+PMGR!FE40+BP!FE40</f>
        <v>252964.16666666666</v>
      </c>
      <c r="FF40" s="106">
        <f>+PMGR!FF40+BP!FF40</f>
        <v>252964.16666666666</v>
      </c>
      <c r="FG40" s="106">
        <f>+PMGR!FG40+BP!FG40</f>
        <v>252964.16666666666</v>
      </c>
      <c r="FH40" s="106">
        <f>+PMGR!FH40+BP!FH40</f>
        <v>252964.16666666666</v>
      </c>
      <c r="FI40" s="106">
        <f>+PMGR!FI40+BP!FI40</f>
        <v>252964.16666666666</v>
      </c>
      <c r="FJ40" s="106">
        <f>+PMGR!FJ40+BP!FJ40</f>
        <v>252964.16666666666</v>
      </c>
      <c r="FK40" s="106">
        <f t="shared" si="217"/>
        <v>3035569.9999999995</v>
      </c>
    </row>
    <row r="41" spans="1:167" ht="14.45" customHeight="1">
      <c r="A41" s="106">
        <f t="shared" si="169"/>
        <v>491269.83600000001</v>
      </c>
      <c r="B41" s="106">
        <f t="shared" si="169"/>
        <v>404842.92</v>
      </c>
      <c r="C41" s="106">
        <f t="shared" si="169"/>
        <v>492906.05</v>
      </c>
      <c r="D41" s="106">
        <f t="shared" si="169"/>
        <v>453301.81</v>
      </c>
      <c r="E41" s="106">
        <f t="shared" si="169"/>
        <v>493756.29000000004</v>
      </c>
      <c r="F41" s="106">
        <f t="shared" si="169"/>
        <v>122309.68</v>
      </c>
      <c r="G41" s="106">
        <f t="shared" si="169"/>
        <v>114582.71</v>
      </c>
      <c r="H41" s="106">
        <f t="shared" si="169"/>
        <v>32205.46</v>
      </c>
      <c r="I41" s="106">
        <f t="shared" si="169"/>
        <v>867025.16999999993</v>
      </c>
      <c r="J41" s="106">
        <f t="shared" si="169"/>
        <v>350463.94500000001</v>
      </c>
      <c r="K41" s="106">
        <f t="shared" si="169"/>
        <v>388771.35499999998</v>
      </c>
      <c r="L41" s="106">
        <f t="shared" si="169"/>
        <v>285207.94999999995</v>
      </c>
      <c r="M41" s="106">
        <f t="shared" si="170"/>
        <v>4496643.176</v>
      </c>
      <c r="N41" s="7" t="s">
        <v>36</v>
      </c>
      <c r="O41" s="106">
        <f t="shared" si="205"/>
        <v>0</v>
      </c>
      <c r="P41" s="106">
        <f t="shared" si="205"/>
        <v>138851.185</v>
      </c>
      <c r="Q41" s="106">
        <f t="shared" si="205"/>
        <v>242162.31</v>
      </c>
      <c r="R41" s="106">
        <f t="shared" si="205"/>
        <v>479833.52999999991</v>
      </c>
      <c r="S41" s="106">
        <f t="shared" si="205"/>
        <v>792082.99000000011</v>
      </c>
      <c r="T41" s="106">
        <f t="shared" si="205"/>
        <v>245797.24000000002</v>
      </c>
      <c r="U41" s="106">
        <f t="shared" si="205"/>
        <v>658964.84</v>
      </c>
      <c r="V41" s="106">
        <f t="shared" si="205"/>
        <v>304732.10000000003</v>
      </c>
      <c r="W41" s="106">
        <f t="shared" si="205"/>
        <v>240299.03</v>
      </c>
      <c r="X41" s="106">
        <f t="shared" si="205"/>
        <v>759669.02</v>
      </c>
      <c r="Y41" s="106">
        <f t="shared" si="205"/>
        <v>0</v>
      </c>
      <c r="Z41" s="106">
        <f t="shared" si="205"/>
        <v>0</v>
      </c>
      <c r="AA41" s="106">
        <f t="shared" si="206"/>
        <v>3862392.2450000001</v>
      </c>
      <c r="AB41" s="118"/>
      <c r="AC41" s="106">
        <f t="shared" si="207"/>
        <v>1142073.6860400001</v>
      </c>
      <c r="AD41" s="106">
        <f t="shared" si="207"/>
        <v>1118514.1693600002</v>
      </c>
      <c r="AE41" s="106">
        <f t="shared" si="207"/>
        <v>1134482.0926000001</v>
      </c>
      <c r="AF41" s="106">
        <f t="shared" si="207"/>
        <v>961140.50187999988</v>
      </c>
      <c r="AG41" s="106">
        <f t="shared" si="207"/>
        <v>1104109.68068</v>
      </c>
      <c r="AH41" s="106">
        <f t="shared" si="207"/>
        <v>1155860.2163200001</v>
      </c>
      <c r="AI41" s="106">
        <f t="shared" si="207"/>
        <v>1197062.1732000001</v>
      </c>
      <c r="AJ41" s="106">
        <f t="shared" si="207"/>
        <v>1237843.0226400001</v>
      </c>
      <c r="AK41" s="106">
        <f t="shared" si="207"/>
        <v>1272841.4121600001</v>
      </c>
      <c r="AL41" s="106">
        <f t="shared" si="207"/>
        <v>1047024.0657111111</v>
      </c>
      <c r="AM41" s="106">
        <f t="shared" si="207"/>
        <v>928255.21932444454</v>
      </c>
      <c r="AN41" s="106">
        <f t="shared" si="207"/>
        <v>1136674.980540202</v>
      </c>
      <c r="AO41" s="106">
        <f t="shared" si="208"/>
        <v>13435881.220455758</v>
      </c>
      <c r="AP41" s="106"/>
      <c r="AQ41" s="106">
        <f>+PMGR!AQ41+BP!AQ41</f>
        <v>465219.83600000001</v>
      </c>
      <c r="AR41" s="106">
        <f>+PMGR!AR41+BP!AR41</f>
        <v>98953.62</v>
      </c>
      <c r="AS41" s="106">
        <f>+PMGR!AS41+BP!AS41</f>
        <v>317937.5</v>
      </c>
      <c r="AT41" s="106">
        <f>+PMGR!AT41+BP!AT41</f>
        <v>400644.27999999997</v>
      </c>
      <c r="AU41" s="106">
        <f>+PMGR!AU41+BP!AU41</f>
        <v>470997.71</v>
      </c>
      <c r="AV41" s="106">
        <f>+PMGR!AV41+BP!AV41</f>
        <v>95041.98</v>
      </c>
      <c r="AW41" s="106">
        <f>+PMGR!AW41+BP!AW41</f>
        <v>95793.82</v>
      </c>
      <c r="AX41" s="106">
        <f>+PMGR!AX41+BP!AX41</f>
        <v>0</v>
      </c>
      <c r="AY41" s="106">
        <f>+PMGR!AY41+BP!AY41</f>
        <v>751056.88</v>
      </c>
      <c r="AZ41" s="106">
        <f>+PMGR!AZ41+BP!AZ41</f>
        <v>244153.11</v>
      </c>
      <c r="BA41" s="106">
        <f>+PMGR!BA41+BP!BA41</f>
        <v>332407.86</v>
      </c>
      <c r="BB41" s="106">
        <f>+PMGR!BB41+BP!BB41</f>
        <v>199675.34999999998</v>
      </c>
      <c r="BC41" s="106">
        <f t="shared" si="209"/>
        <v>3471881.946</v>
      </c>
      <c r="BD41" s="7" t="str">
        <f t="shared" si="16"/>
        <v>Consumables</v>
      </c>
      <c r="BE41" s="106">
        <f>+PMGR!BE41+BP!BE41</f>
        <v>0</v>
      </c>
      <c r="BF41" s="106">
        <f>+PMGR!BF41+BP!BF41</f>
        <v>27285.85</v>
      </c>
      <c r="BG41" s="106">
        <f>+PMGR!BG41+BP!BG41</f>
        <v>135615.72</v>
      </c>
      <c r="BH41" s="106">
        <f>+PMGR!BH41+BP!BH41</f>
        <v>18003.3</v>
      </c>
      <c r="BI41" s="106">
        <f>+PMGR!BI41+BP!BI41</f>
        <v>663892.07000000007</v>
      </c>
      <c r="BJ41" s="106">
        <f>+PMGR!BJ41+BP!BJ41</f>
        <v>193886.40000000002</v>
      </c>
      <c r="BK41" s="106">
        <f>+PMGR!BK41+BP!BK41</f>
        <v>320707.92</v>
      </c>
      <c r="BL41" s="106">
        <f>+PMGR!BL41+BP!BL41</f>
        <v>236026.15000000002</v>
      </c>
      <c r="BM41" s="106">
        <f>+PMGR!BM41+BP!BM41</f>
        <v>79343.240000000005</v>
      </c>
      <c r="BN41" s="106">
        <f>+PMGR!BN41+BP!BN41</f>
        <v>466844.28</v>
      </c>
      <c r="BO41" s="106">
        <f>+PMGR!BO41+BP!BO41</f>
        <v>0</v>
      </c>
      <c r="BP41" s="106">
        <f>+PMGR!BP41+BP!BP41</f>
        <v>0</v>
      </c>
      <c r="BQ41" s="106">
        <f t="shared" si="210"/>
        <v>2141604.9300000002</v>
      </c>
      <c r="BR41" s="118"/>
      <c r="BS41" s="106">
        <f>+PMGR!BS41+BP!BS41</f>
        <v>631976.46299999999</v>
      </c>
      <c r="BT41" s="106">
        <f>+PMGR!BT41+BP!BT41</f>
        <v>616055.67720000015</v>
      </c>
      <c r="BU41" s="106">
        <f>+PMGR!BU41+BP!BU41</f>
        <v>568293.31979999994</v>
      </c>
      <c r="BV41" s="106">
        <f>+PMGR!BV41+BP!BV41</f>
        <v>537449.27327999996</v>
      </c>
      <c r="BW41" s="106">
        <f>+PMGR!BW41+BP!BW41</f>
        <v>590587.76159999997</v>
      </c>
      <c r="BX41" s="106">
        <f>+PMGR!BX41+BP!BX41</f>
        <v>610469.35199999996</v>
      </c>
      <c r="BY41" s="106">
        <f>+PMGR!BY41+BP!BY41</f>
        <v>626038.50240000011</v>
      </c>
      <c r="BZ41" s="106">
        <f>+PMGR!BZ41+BP!BZ41</f>
        <v>650884.94460000016</v>
      </c>
      <c r="CA41" s="106">
        <f>+PMGR!CA41+BP!CA41</f>
        <v>690227.973</v>
      </c>
      <c r="CB41" s="106">
        <f>+PMGR!CB41+BP!CB41</f>
        <v>607306.89599999995</v>
      </c>
      <c r="CC41" s="106">
        <f>+PMGR!CC41+BP!CC41</f>
        <v>485845.51680000004</v>
      </c>
      <c r="CD41" s="106">
        <f>+PMGR!CD41+BP!CD41</f>
        <v>642010.14720000001</v>
      </c>
      <c r="CE41" s="106">
        <f t="shared" si="211"/>
        <v>7257145.8268800005</v>
      </c>
      <c r="CF41" s="106"/>
      <c r="CG41" s="106">
        <f>+PMGR!CG41+BP!CG41</f>
        <v>26050</v>
      </c>
      <c r="CH41" s="106">
        <f>+PMGR!CH41+BP!CH41</f>
        <v>305889.3</v>
      </c>
      <c r="CI41" s="106">
        <f>+PMGR!CI41+BP!CI41</f>
        <v>174968.55</v>
      </c>
      <c r="CJ41" s="106">
        <f>+PMGR!CJ41+BP!CJ41</f>
        <v>52657.530000000006</v>
      </c>
      <c r="CK41" s="106">
        <f>+PMGR!CK41+BP!CK41</f>
        <v>22758.58</v>
      </c>
      <c r="CL41" s="106">
        <f>+PMGR!CL41+BP!CL41</f>
        <v>27267.699999999997</v>
      </c>
      <c r="CM41" s="106">
        <f>+PMGR!CM41+BP!CM41</f>
        <v>18788.89</v>
      </c>
      <c r="CN41" s="106">
        <f>+PMGR!CN41+BP!CN41</f>
        <v>32205.46</v>
      </c>
      <c r="CO41" s="106">
        <f>+PMGR!CO41+BP!CO41</f>
        <v>115968.28999999998</v>
      </c>
      <c r="CP41" s="106">
        <f>+PMGR!CP41+BP!CP41</f>
        <v>106310.83500000001</v>
      </c>
      <c r="CQ41" s="106">
        <f>+PMGR!CQ41+BP!CQ41</f>
        <v>56363.495000000003</v>
      </c>
      <c r="CR41" s="106">
        <f>+PMGR!CR41+BP!CR41</f>
        <v>85532.6</v>
      </c>
      <c r="CS41" s="106">
        <f t="shared" si="212"/>
        <v>1024761.2299999997</v>
      </c>
      <c r="CT41" s="7" t="str">
        <f t="shared" si="20"/>
        <v>Consumables</v>
      </c>
      <c r="CU41" s="106">
        <f>+PMGR!CU41+BP!CU41</f>
        <v>0</v>
      </c>
      <c r="CV41" s="106">
        <f>+PMGR!CV41+BP!CV41</f>
        <v>15051.414999999999</v>
      </c>
      <c r="CW41" s="106">
        <f>+PMGR!CW41+BP!CW41</f>
        <v>89095.039999999994</v>
      </c>
      <c r="CX41" s="106">
        <f>+PMGR!CX41+BP!CX41</f>
        <v>308658.12999999995</v>
      </c>
      <c r="CY41" s="106">
        <f>+PMGR!CY41+BP!CY41</f>
        <v>54734.12999999999</v>
      </c>
      <c r="CZ41" s="106">
        <f>+PMGR!CZ41+BP!CZ41</f>
        <v>1502</v>
      </c>
      <c r="DA41" s="106">
        <f>+PMGR!DA41+BP!DA41</f>
        <v>271113.25</v>
      </c>
      <c r="DB41" s="106">
        <f>+PMGR!DB41+BP!DB41</f>
        <v>15498.759999999998</v>
      </c>
      <c r="DC41" s="106">
        <f>+PMGR!DC41+BP!DC41</f>
        <v>137526.19</v>
      </c>
      <c r="DD41" s="106">
        <f>+PMGR!DD41+BP!DD41</f>
        <v>177972.2</v>
      </c>
      <c r="DE41" s="106">
        <f>+PMGR!DE41+BP!DE41</f>
        <v>0</v>
      </c>
      <c r="DF41" s="106">
        <f>+PMGR!DF41+BP!DF41</f>
        <v>0</v>
      </c>
      <c r="DG41" s="106">
        <f t="shared" si="213"/>
        <v>1071151.115</v>
      </c>
      <c r="DH41" s="118"/>
      <c r="DI41" s="106">
        <f>+PMGR!DI41+BP!DI41</f>
        <v>363325.22304000007</v>
      </c>
      <c r="DJ41" s="106">
        <f>+PMGR!DJ41+BP!DJ41</f>
        <v>365471.29216000007</v>
      </c>
      <c r="DK41" s="106">
        <f>+PMGR!DK41+BP!DK41</f>
        <v>413301.27280000004</v>
      </c>
      <c r="DL41" s="106">
        <f>+PMGR!DL41+BP!DL41</f>
        <v>286704.02860000002</v>
      </c>
      <c r="DM41" s="106">
        <f>+PMGR!DM41+BP!DM41</f>
        <v>350441.91908000002</v>
      </c>
      <c r="DN41" s="106">
        <f>+PMGR!DN41+BP!DN41</f>
        <v>382310.86432000005</v>
      </c>
      <c r="DO41" s="106">
        <f>+PMGR!DO41+BP!DO41</f>
        <v>387558.67079999996</v>
      </c>
      <c r="DP41" s="106">
        <f>+PMGR!DP41+BP!DP41</f>
        <v>410288.07804000005</v>
      </c>
      <c r="DQ41" s="106">
        <f>+PMGR!DQ41+BP!DQ41</f>
        <v>413825.63916000002</v>
      </c>
      <c r="DR41" s="106">
        <f>+PMGR!DR41+BP!DR41</f>
        <v>324970.05859999999</v>
      </c>
      <c r="DS41" s="106">
        <f>+PMGR!DS41+BP!DS41</f>
        <v>323655.69808</v>
      </c>
      <c r="DT41" s="106">
        <f>+PMGR!DT41+BP!DT41</f>
        <v>370831.05531999998</v>
      </c>
      <c r="DU41" s="106">
        <f t="shared" si="214"/>
        <v>4392683.8000000007</v>
      </c>
      <c r="DV41" s="106"/>
      <c r="DW41" s="106">
        <f>+PMGR!DW41+BP!DW41</f>
        <v>0</v>
      </c>
      <c r="DX41" s="106">
        <f>+PMGR!DX41+BP!DX41</f>
        <v>0</v>
      </c>
      <c r="DY41" s="106">
        <f>+PMGR!DY41+BP!DY41</f>
        <v>0</v>
      </c>
      <c r="DZ41" s="106">
        <f>+PMGR!DZ41+BP!DZ41</f>
        <v>0</v>
      </c>
      <c r="EA41" s="106">
        <f>+PMGR!EA41+BP!EA41</f>
        <v>0</v>
      </c>
      <c r="EB41" s="106">
        <f>+PMGR!EB41+BP!EB41</f>
        <v>0</v>
      </c>
      <c r="EC41" s="106">
        <f>+PMGR!EC41+BP!EC41</f>
        <v>0</v>
      </c>
      <c r="ED41" s="106">
        <f>+PMGR!ED41+BP!ED41</f>
        <v>0</v>
      </c>
      <c r="EE41" s="106">
        <f>+PMGR!EE41+BP!EE41</f>
        <v>0</v>
      </c>
      <c r="EF41" s="106">
        <f>+PMGR!EF41+BP!EF41</f>
        <v>0</v>
      </c>
      <c r="EG41" s="106">
        <f>+PMGR!EG41+BP!EG41</f>
        <v>0</v>
      </c>
      <c r="EH41" s="106">
        <f>+PMGR!EH41+BP!EH41</f>
        <v>0</v>
      </c>
      <c r="EI41" s="106">
        <f t="shared" si="215"/>
        <v>0</v>
      </c>
      <c r="EJ41" s="7" t="str">
        <f t="shared" si="93"/>
        <v>Consumables</v>
      </c>
      <c r="EK41" s="106">
        <f>+PMGR!EK41+BP!EK41</f>
        <v>0</v>
      </c>
      <c r="EL41" s="106">
        <f>+PMGR!EL41+BP!EL41</f>
        <v>96513.919999999998</v>
      </c>
      <c r="EM41" s="106">
        <f>+PMGR!EM41+BP!EM41</f>
        <v>17451.55</v>
      </c>
      <c r="EN41" s="106">
        <f>+PMGR!EN41+BP!EN41</f>
        <v>153172.1</v>
      </c>
      <c r="EO41" s="106">
        <f>+PMGR!EO41+BP!EO41</f>
        <v>73456.789999999994</v>
      </c>
      <c r="EP41" s="106">
        <f>+PMGR!EP41+BP!EP41</f>
        <v>50408.84</v>
      </c>
      <c r="EQ41" s="106">
        <f>+PMGR!EQ41+BP!EQ41</f>
        <v>67143.67</v>
      </c>
      <c r="ER41" s="106">
        <f>+PMGR!ER41+BP!ER41</f>
        <v>53207.189999999995</v>
      </c>
      <c r="ES41" s="106">
        <f>+PMGR!ES41+BP!ES41</f>
        <v>23429.599999999999</v>
      </c>
      <c r="ET41" s="106">
        <f>+PMGR!ET41+BP!ET41</f>
        <v>114852.54</v>
      </c>
      <c r="EU41" s="106">
        <f>+PMGR!EU41+BP!EU41</f>
        <v>0</v>
      </c>
      <c r="EV41" s="106">
        <f>+PMGR!EV41+BP!EV41</f>
        <v>0</v>
      </c>
      <c r="EW41" s="106">
        <f t="shared" si="216"/>
        <v>649636.19999999995</v>
      </c>
      <c r="EX41" s="118"/>
      <c r="EY41" s="106">
        <f>+PMGR!EY41+BP!EY41</f>
        <v>146772</v>
      </c>
      <c r="EZ41" s="106">
        <f>+PMGR!EZ41+BP!EZ41</f>
        <v>136987.20000000001</v>
      </c>
      <c r="FA41" s="106">
        <f>+PMGR!FA41+BP!FA41</f>
        <v>152887.5</v>
      </c>
      <c r="FB41" s="106">
        <f>+PMGR!FB41+BP!FB41</f>
        <v>136987.20000000001</v>
      </c>
      <c r="FC41" s="106">
        <f>+PMGR!FC41+BP!FC41</f>
        <v>163080</v>
      </c>
      <c r="FD41" s="106">
        <f>+PMGR!FD41+BP!FD41</f>
        <v>163080</v>
      </c>
      <c r="FE41" s="106">
        <f>+PMGR!FE41+BP!FE41</f>
        <v>183465</v>
      </c>
      <c r="FF41" s="106">
        <f>+PMGR!FF41+BP!FF41</f>
        <v>176670</v>
      </c>
      <c r="FG41" s="106">
        <f>+PMGR!FG41+BP!FG41</f>
        <v>168787.80000000002</v>
      </c>
      <c r="FH41" s="106">
        <f>+PMGR!FH41+BP!FH41</f>
        <v>114747.11111111112</v>
      </c>
      <c r="FI41" s="106">
        <f>+PMGR!FI41+BP!FI41</f>
        <v>118754.00444444446</v>
      </c>
      <c r="FJ41" s="106">
        <f>+PMGR!FJ41+BP!FJ41</f>
        <v>123833.77802020201</v>
      </c>
      <c r="FK41" s="106">
        <f t="shared" si="217"/>
        <v>1786051.5935757577</v>
      </c>
    </row>
    <row r="42" spans="1:167" ht="14.45" customHeight="1">
      <c r="A42" s="106">
        <f t="shared" si="169"/>
        <v>169026.33000000002</v>
      </c>
      <c r="B42" s="106">
        <f t="shared" si="169"/>
        <v>249396.16999999998</v>
      </c>
      <c r="C42" s="106">
        <f t="shared" si="169"/>
        <v>204767</v>
      </c>
      <c r="D42" s="106">
        <f t="shared" si="169"/>
        <v>189346.52</v>
      </c>
      <c r="E42" s="106">
        <f t="shared" si="169"/>
        <v>392214</v>
      </c>
      <c r="F42" s="106">
        <f t="shared" si="169"/>
        <v>415042.72</v>
      </c>
      <c r="G42" s="106">
        <f t="shared" si="169"/>
        <v>345516.54000000004</v>
      </c>
      <c r="H42" s="106">
        <f t="shared" si="169"/>
        <v>432794.32</v>
      </c>
      <c r="I42" s="106">
        <f t="shared" si="169"/>
        <v>566487.77</v>
      </c>
      <c r="J42" s="106">
        <f t="shared" si="169"/>
        <v>753178.12</v>
      </c>
      <c r="K42" s="106">
        <f t="shared" si="169"/>
        <v>525414.44999999995</v>
      </c>
      <c r="L42" s="106">
        <f t="shared" si="169"/>
        <v>308198</v>
      </c>
      <c r="M42" s="106">
        <f t="shared" si="170"/>
        <v>4551381.9400000004</v>
      </c>
      <c r="N42" s="7" t="s">
        <v>37</v>
      </c>
      <c r="O42" s="106">
        <f t="shared" si="205"/>
        <v>897177.12</v>
      </c>
      <c r="P42" s="106">
        <f t="shared" si="205"/>
        <v>798092.05</v>
      </c>
      <c r="Q42" s="106">
        <f t="shared" si="205"/>
        <v>711300.35</v>
      </c>
      <c r="R42" s="106">
        <f t="shared" si="205"/>
        <v>226447.33000000002</v>
      </c>
      <c r="S42" s="106">
        <f t="shared" si="205"/>
        <v>680487.1399999999</v>
      </c>
      <c r="T42" s="106">
        <f t="shared" si="205"/>
        <v>1114013.5899999999</v>
      </c>
      <c r="U42" s="106">
        <f t="shared" si="205"/>
        <v>1257551.1000000001</v>
      </c>
      <c r="V42" s="106">
        <f t="shared" si="205"/>
        <v>927644.75</v>
      </c>
      <c r="W42" s="106">
        <f t="shared" si="205"/>
        <v>478918.74</v>
      </c>
      <c r="X42" s="106">
        <f t="shared" si="205"/>
        <v>680872.15</v>
      </c>
      <c r="Y42" s="106">
        <f t="shared" si="205"/>
        <v>0</v>
      </c>
      <c r="Z42" s="106">
        <f t="shared" si="205"/>
        <v>0</v>
      </c>
      <c r="AA42" s="106">
        <f t="shared" si="206"/>
        <v>7772504.3200000003</v>
      </c>
      <c r="AB42" s="118"/>
      <c r="AC42" s="106">
        <f t="shared" si="207"/>
        <v>279835.98340400006</v>
      </c>
      <c r="AD42" s="106">
        <f t="shared" si="207"/>
        <v>273611.70326800004</v>
      </c>
      <c r="AE42" s="106">
        <f t="shared" si="207"/>
        <v>275476.22822799999</v>
      </c>
      <c r="AF42" s="106">
        <f t="shared" si="207"/>
        <v>234488.66087299999</v>
      </c>
      <c r="AG42" s="106">
        <f t="shared" si="207"/>
        <v>264181.81480300002</v>
      </c>
      <c r="AH42" s="106">
        <f t="shared" si="207"/>
        <v>277424.03007199999</v>
      </c>
      <c r="AI42" s="106">
        <f t="shared" si="207"/>
        <v>286431.87076000002</v>
      </c>
      <c r="AJ42" s="106">
        <f t="shared" si="207"/>
        <v>289657.85460900009</v>
      </c>
      <c r="AK42" s="106">
        <f t="shared" si="207"/>
        <v>296847.92493100005</v>
      </c>
      <c r="AL42" s="106">
        <f t="shared" si="207"/>
        <v>255554.34035499999</v>
      </c>
      <c r="AM42" s="106">
        <f t="shared" si="207"/>
        <v>236039.419004</v>
      </c>
      <c r="AN42" s="106">
        <f t="shared" si="207"/>
        <v>283698.56554099999</v>
      </c>
      <c r="AO42" s="106">
        <f t="shared" si="208"/>
        <v>3253248.3958480004</v>
      </c>
      <c r="AP42" s="106"/>
      <c r="AQ42" s="106">
        <f>+PMGR!AQ42+BP!AQ42</f>
        <v>128324.33000000002</v>
      </c>
      <c r="AR42" s="106">
        <f>+PMGR!AR42+BP!AR42</f>
        <v>206096.16999999998</v>
      </c>
      <c r="AS42" s="106">
        <f>+PMGR!AS42+BP!AS42</f>
        <v>196367</v>
      </c>
      <c r="AT42" s="106">
        <f>+PMGR!AT42+BP!AT42</f>
        <v>169206.37</v>
      </c>
      <c r="AU42" s="106">
        <f>+PMGR!AU42+BP!AU42</f>
        <v>195124</v>
      </c>
      <c r="AV42" s="106">
        <f>+PMGR!AV42+BP!AV42</f>
        <v>288392.71999999997</v>
      </c>
      <c r="AW42" s="106">
        <f>+PMGR!AW42+BP!AW42</f>
        <v>326663.54000000004</v>
      </c>
      <c r="AX42" s="106">
        <f>+PMGR!AX42+BP!AX42</f>
        <v>424783.32</v>
      </c>
      <c r="AY42" s="106">
        <f>+PMGR!AY42+BP!AY42</f>
        <v>366771.77</v>
      </c>
      <c r="AZ42" s="106">
        <f>+PMGR!AZ42+BP!AZ42</f>
        <v>667439.12</v>
      </c>
      <c r="BA42" s="106">
        <f>+PMGR!BA42+BP!BA42</f>
        <v>514218.45</v>
      </c>
      <c r="BB42" s="106">
        <f>+PMGR!BB42+BP!BB42</f>
        <v>85070</v>
      </c>
      <c r="BC42" s="106">
        <f t="shared" si="209"/>
        <v>3568456.79</v>
      </c>
      <c r="BD42" s="7" t="str">
        <f t="shared" si="16"/>
        <v>Direct Expenses [Sub contract other than Access]</v>
      </c>
      <c r="BE42" s="106">
        <f>+PMGR!BE42+BP!BE42</f>
        <v>684740.12</v>
      </c>
      <c r="BF42" s="106">
        <f>+PMGR!BF42+BP!BF42</f>
        <v>612105.05000000005</v>
      </c>
      <c r="BG42" s="106">
        <f>+PMGR!BG42+BP!BG42</f>
        <v>572346.35</v>
      </c>
      <c r="BH42" s="106">
        <f>+PMGR!BH42+BP!BH42</f>
        <v>199283.33000000002</v>
      </c>
      <c r="BI42" s="106">
        <f>+PMGR!BI42+BP!BI42</f>
        <v>577684.1399999999</v>
      </c>
      <c r="BJ42" s="106">
        <f>+PMGR!BJ42+BP!BJ42</f>
        <v>846696.59</v>
      </c>
      <c r="BK42" s="106">
        <f>+PMGR!BK42+BP!BK42</f>
        <v>981329.1</v>
      </c>
      <c r="BL42" s="106">
        <f>+PMGR!BL42+BP!BL42</f>
        <v>770616.75</v>
      </c>
      <c r="BM42" s="106">
        <f>+PMGR!BM42+BP!BM42</f>
        <v>428419.74</v>
      </c>
      <c r="BN42" s="106">
        <f>+PMGR!BN42+BP!BN42</f>
        <v>509273.15</v>
      </c>
      <c r="BO42" s="106">
        <f>+PMGR!BO42+BP!BO42</f>
        <v>0</v>
      </c>
      <c r="BP42" s="106">
        <f>+PMGR!BP42+BP!BP42</f>
        <v>0</v>
      </c>
      <c r="BQ42" s="106">
        <f t="shared" si="210"/>
        <v>6182494.3200000003</v>
      </c>
      <c r="BR42" s="118"/>
      <c r="BS42" s="106">
        <f>+PMGR!BS42+BP!BS42</f>
        <v>158699.76719000001</v>
      </c>
      <c r="BT42" s="106">
        <f>+PMGR!BT42+BP!BT42</f>
        <v>155353.00083600005</v>
      </c>
      <c r="BU42" s="106">
        <f>+PMGR!BU42+BP!BU42</f>
        <v>145312.70177400002</v>
      </c>
      <c r="BV42" s="106">
        <f>+PMGR!BV42+BP!BV42</f>
        <v>133932.37368799999</v>
      </c>
      <c r="BW42" s="106">
        <f>+PMGR!BW42+BP!BW42</f>
        <v>148679.77012</v>
      </c>
      <c r="BX42" s="106">
        <f>+PMGR!BX42+BP!BX42</f>
        <v>154449.10664000001</v>
      </c>
      <c r="BY42" s="106">
        <f>+PMGR!BY42+BP!BY42</f>
        <v>157820.58096000002</v>
      </c>
      <c r="BZ42" s="106">
        <f>+PMGR!BZ42+BP!BZ42</f>
        <v>165689.85531000007</v>
      </c>
      <c r="CA42" s="106">
        <f>+PMGR!CA42+BP!CA42</f>
        <v>175673.53473000004</v>
      </c>
      <c r="CB42" s="106">
        <f>+PMGR!CB42+BP!CB42</f>
        <v>152690.67436</v>
      </c>
      <c r="CC42" s="106">
        <f>+PMGR!CC42+BP!CC42</f>
        <v>122152.53948799999</v>
      </c>
      <c r="CD42" s="106">
        <f>+PMGR!CD42+BP!CD42</f>
        <v>161415.85575199997</v>
      </c>
      <c r="CE42" s="106">
        <f t="shared" si="211"/>
        <v>1831869.7608480002</v>
      </c>
      <c r="CF42" s="106"/>
      <c r="CG42" s="106">
        <f>+PMGR!CG42+BP!CG42</f>
        <v>40702</v>
      </c>
      <c r="CH42" s="106">
        <f>+PMGR!CH42+BP!CH42</f>
        <v>43300</v>
      </c>
      <c r="CI42" s="106">
        <f>+PMGR!CI42+BP!CI42</f>
        <v>8400</v>
      </c>
      <c r="CJ42" s="106">
        <f>+PMGR!CJ42+BP!CJ42</f>
        <v>20140.150000000001</v>
      </c>
      <c r="CK42" s="106">
        <f>+PMGR!CK42+BP!CK42</f>
        <v>197090</v>
      </c>
      <c r="CL42" s="106">
        <f>+PMGR!CL42+BP!CL42</f>
        <v>126650</v>
      </c>
      <c r="CM42" s="106">
        <f>+PMGR!CM42+BP!CM42</f>
        <v>18853</v>
      </c>
      <c r="CN42" s="106">
        <f>+PMGR!CN42+BP!CN42</f>
        <v>8011</v>
      </c>
      <c r="CO42" s="106">
        <f>+PMGR!CO42+BP!CO42</f>
        <v>199716</v>
      </c>
      <c r="CP42" s="106">
        <f>+PMGR!CP42+BP!CP42</f>
        <v>85739</v>
      </c>
      <c r="CQ42" s="106">
        <f>+PMGR!CQ42+BP!CQ42</f>
        <v>11196</v>
      </c>
      <c r="CR42" s="106">
        <f>+PMGR!CR42+BP!CR42</f>
        <v>223128</v>
      </c>
      <c r="CS42" s="106">
        <f t="shared" si="212"/>
        <v>982925.15</v>
      </c>
      <c r="CT42" s="7" t="str">
        <f t="shared" si="20"/>
        <v>Direct Expenses [Sub contract other than Access]</v>
      </c>
      <c r="CU42" s="106">
        <f>+PMGR!CU42+BP!CU42</f>
        <v>212437</v>
      </c>
      <c r="CV42" s="106">
        <f>+PMGR!CV42+BP!CV42</f>
        <v>119187</v>
      </c>
      <c r="CW42" s="106">
        <f>+PMGR!CW42+BP!CW42</f>
        <v>116404</v>
      </c>
      <c r="CX42" s="106">
        <f>+PMGR!CX42+BP!CX42</f>
        <v>27164</v>
      </c>
      <c r="CY42" s="106">
        <f>+PMGR!CY42+BP!CY42</f>
        <v>102803</v>
      </c>
      <c r="CZ42" s="106">
        <f>+PMGR!CZ42+BP!CZ42</f>
        <v>228937</v>
      </c>
      <c r="DA42" s="106">
        <f>+PMGR!DA42+BP!DA42</f>
        <v>213892</v>
      </c>
      <c r="DB42" s="106">
        <f>+PMGR!DB42+BP!DB42</f>
        <v>58548</v>
      </c>
      <c r="DC42" s="106">
        <f>+PMGR!DC42+BP!DC42</f>
        <v>50499</v>
      </c>
      <c r="DD42" s="106">
        <f>+PMGR!DD42+BP!DD42</f>
        <v>139319</v>
      </c>
      <c r="DE42" s="106">
        <f>+PMGR!DE42+BP!DE42</f>
        <v>0</v>
      </c>
      <c r="DF42" s="106">
        <f>+PMGR!DF42+BP!DF42</f>
        <v>0</v>
      </c>
      <c r="DG42" s="106">
        <f t="shared" si="213"/>
        <v>1269190</v>
      </c>
      <c r="DH42" s="118"/>
      <c r="DI42" s="106">
        <f>+PMGR!DI42+BP!DI42</f>
        <v>121136.21621400003</v>
      </c>
      <c r="DJ42" s="106">
        <f>+PMGR!DJ42+BP!DJ42</f>
        <v>118258.70243200002</v>
      </c>
      <c r="DK42" s="106">
        <f>+PMGR!DK42+BP!DK42</f>
        <v>130163.52645399999</v>
      </c>
      <c r="DL42" s="106">
        <f>+PMGR!DL42+BP!DL42</f>
        <v>100556.28718499999</v>
      </c>
      <c r="DM42" s="106">
        <f>+PMGR!DM42+BP!DM42</f>
        <v>115502.044683</v>
      </c>
      <c r="DN42" s="106">
        <f>+PMGR!DN42+BP!DN42</f>
        <v>122974.923432</v>
      </c>
      <c r="DO42" s="106">
        <f>+PMGR!DO42+BP!DO42</f>
        <v>128611.28979999998</v>
      </c>
      <c r="DP42" s="106">
        <f>+PMGR!DP42+BP!DP42</f>
        <v>123967.99929900002</v>
      </c>
      <c r="DQ42" s="106">
        <f>+PMGR!DQ42+BP!DQ42</f>
        <v>121174.39020100002</v>
      </c>
      <c r="DR42" s="106">
        <f>+PMGR!DR42+BP!DR42</f>
        <v>102863.66599499999</v>
      </c>
      <c r="DS42" s="106">
        <f>+PMGR!DS42+BP!DS42</f>
        <v>113886.879516</v>
      </c>
      <c r="DT42" s="106">
        <f>+PMGR!DT42+BP!DT42</f>
        <v>122282.70978899999</v>
      </c>
      <c r="DU42" s="106">
        <f t="shared" si="214"/>
        <v>1421378.6349999998</v>
      </c>
      <c r="DV42" s="106"/>
      <c r="DW42" s="106">
        <f>+PMGR!DW42+BP!DW42</f>
        <v>0</v>
      </c>
      <c r="DX42" s="106">
        <f>+PMGR!DX42+BP!DX42</f>
        <v>0</v>
      </c>
      <c r="DY42" s="106">
        <f>+PMGR!DY42+BP!DY42</f>
        <v>0</v>
      </c>
      <c r="DZ42" s="106">
        <f>+PMGR!DZ42+BP!DZ42</f>
        <v>0</v>
      </c>
      <c r="EA42" s="106">
        <f>+PMGR!EA42+BP!EA42</f>
        <v>0</v>
      </c>
      <c r="EB42" s="106">
        <f>+PMGR!EB42+BP!EB42</f>
        <v>0</v>
      </c>
      <c r="EC42" s="106">
        <f>+PMGR!EC42+BP!EC42</f>
        <v>0</v>
      </c>
      <c r="ED42" s="106">
        <f>+PMGR!ED42+BP!ED42</f>
        <v>0</v>
      </c>
      <c r="EE42" s="106">
        <f>+PMGR!EE42+BP!EE42</f>
        <v>0</v>
      </c>
      <c r="EF42" s="106">
        <f>+PMGR!EF42+BP!EF42</f>
        <v>0</v>
      </c>
      <c r="EG42" s="106">
        <f>+PMGR!EG42+BP!EG42</f>
        <v>0</v>
      </c>
      <c r="EH42" s="106">
        <f>+PMGR!EH42+BP!EH42</f>
        <v>0</v>
      </c>
      <c r="EI42" s="106">
        <f t="shared" si="215"/>
        <v>0</v>
      </c>
      <c r="EJ42" s="7" t="str">
        <f t="shared" si="93"/>
        <v>Direct Expenses [Sub contract other than Access]</v>
      </c>
      <c r="EK42" s="106">
        <f>+PMGR!EK42+BP!EK42</f>
        <v>0</v>
      </c>
      <c r="EL42" s="106">
        <f>+PMGR!EL42+BP!EL42</f>
        <v>66800</v>
      </c>
      <c r="EM42" s="106">
        <f>+PMGR!EM42+BP!EM42</f>
        <v>22550</v>
      </c>
      <c r="EN42" s="106">
        <f>+PMGR!EN42+BP!EN42</f>
        <v>0</v>
      </c>
      <c r="EO42" s="106">
        <f>+PMGR!EO42+BP!EO42</f>
        <v>0</v>
      </c>
      <c r="EP42" s="106">
        <f>+PMGR!EP42+BP!EP42</f>
        <v>38380</v>
      </c>
      <c r="EQ42" s="106">
        <f>+PMGR!EQ42+BP!EQ42</f>
        <v>62330</v>
      </c>
      <c r="ER42" s="106">
        <f>+PMGR!ER42+BP!ER42</f>
        <v>98480</v>
      </c>
      <c r="ES42" s="106">
        <f>+PMGR!ES42+BP!ES42</f>
        <v>0</v>
      </c>
      <c r="ET42" s="106">
        <f>+PMGR!ET42+BP!ET42</f>
        <v>32280</v>
      </c>
      <c r="EU42" s="106">
        <f>+PMGR!EU42+BP!EU42</f>
        <v>0</v>
      </c>
      <c r="EV42" s="106">
        <f>+PMGR!EV42+BP!EV42</f>
        <v>0</v>
      </c>
      <c r="EW42" s="106">
        <f t="shared" si="216"/>
        <v>320820</v>
      </c>
      <c r="EX42" s="118"/>
      <c r="EY42" s="106">
        <f>+PMGR!EY42+BP!EY42</f>
        <v>0</v>
      </c>
      <c r="EZ42" s="106">
        <f>+PMGR!EZ42+BP!EZ42</f>
        <v>0</v>
      </c>
      <c r="FA42" s="106">
        <f>+PMGR!FA42+BP!FA42</f>
        <v>0</v>
      </c>
      <c r="FB42" s="106">
        <f>+PMGR!FB42+BP!FB42</f>
        <v>0</v>
      </c>
      <c r="FC42" s="106">
        <f>+PMGR!FC42+BP!FC42</f>
        <v>0</v>
      </c>
      <c r="FD42" s="106">
        <f>+PMGR!FD42+BP!FD42</f>
        <v>0</v>
      </c>
      <c r="FE42" s="106">
        <f>+PMGR!FE42+BP!FE42</f>
        <v>0</v>
      </c>
      <c r="FF42" s="106">
        <f>+PMGR!FF42+BP!FF42</f>
        <v>0</v>
      </c>
      <c r="FG42" s="106">
        <f>+PMGR!FG42+BP!FG42</f>
        <v>0</v>
      </c>
      <c r="FH42" s="106">
        <f>+PMGR!FH42+BP!FH42</f>
        <v>0</v>
      </c>
      <c r="FI42" s="106">
        <f>+PMGR!FI42+BP!FI42</f>
        <v>0</v>
      </c>
      <c r="FJ42" s="106">
        <f>+PMGR!FJ42+BP!FJ42</f>
        <v>0</v>
      </c>
      <c r="FK42" s="106">
        <f t="shared" si="217"/>
        <v>0</v>
      </c>
    </row>
    <row r="43" spans="1:167" ht="14.45" customHeight="1">
      <c r="A43" s="59">
        <f>+A29-A38</f>
        <v>10494076.473999973</v>
      </c>
      <c r="B43" s="59">
        <f t="shared" ref="B43:M43" si="218">+B29-B38</f>
        <v>13050330.769999988</v>
      </c>
      <c r="C43" s="59">
        <f t="shared" si="218"/>
        <v>8728471.9234380797</v>
      </c>
      <c r="D43" s="59">
        <f t="shared" si="218"/>
        <v>9080846.4299999923</v>
      </c>
      <c r="E43" s="59">
        <f t="shared" si="218"/>
        <v>8864440.8551697545</v>
      </c>
      <c r="F43" s="59">
        <f t="shared" si="218"/>
        <v>9114482.4853821546</v>
      </c>
      <c r="G43" s="59">
        <f t="shared" si="218"/>
        <v>10999437.872530404</v>
      </c>
      <c r="H43" s="59">
        <f t="shared" si="218"/>
        <v>11135701.218633916</v>
      </c>
      <c r="I43" s="59">
        <f t="shared" si="218"/>
        <v>9088981.3677206747</v>
      </c>
      <c r="J43" s="59">
        <f t="shared" si="218"/>
        <v>10604744.983212698</v>
      </c>
      <c r="K43" s="59">
        <f t="shared" si="218"/>
        <v>13306243.828762677</v>
      </c>
      <c r="L43" s="59">
        <f t="shared" si="218"/>
        <v>14463352.898836672</v>
      </c>
      <c r="M43" s="59">
        <f t="shared" si="218"/>
        <v>128931111.107687</v>
      </c>
      <c r="N43" s="10" t="s">
        <v>20</v>
      </c>
      <c r="O43" s="59">
        <f>+O29-O38</f>
        <v>11156144.743171841</v>
      </c>
      <c r="P43" s="59">
        <f t="shared" ref="P43:AA43" si="219">+P29-P38</f>
        <v>7354225.356385041</v>
      </c>
      <c r="Q43" s="59">
        <f t="shared" si="219"/>
        <v>12420206.672692031</v>
      </c>
      <c r="R43" s="59">
        <f t="shared" si="219"/>
        <v>11773335.51141002</v>
      </c>
      <c r="S43" s="59">
        <f t="shared" si="219"/>
        <v>16402317.398475997</v>
      </c>
      <c r="T43" s="59">
        <f t="shared" si="219"/>
        <v>10221542.111837108</v>
      </c>
      <c r="U43" s="59">
        <f t="shared" si="219"/>
        <v>13631567.579999965</v>
      </c>
      <c r="V43" s="59">
        <f t="shared" si="219"/>
        <v>13499459.671017498</v>
      </c>
      <c r="W43" s="59">
        <f t="shared" si="219"/>
        <v>12850724.979999978</v>
      </c>
      <c r="X43" s="59">
        <f t="shared" si="219"/>
        <v>11341142.680965107</v>
      </c>
      <c r="Y43" s="59">
        <f t="shared" si="219"/>
        <v>0</v>
      </c>
      <c r="Z43" s="59">
        <f t="shared" si="219"/>
        <v>0</v>
      </c>
      <c r="AA43" s="59">
        <f t="shared" si="219"/>
        <v>120650666.70595461</v>
      </c>
      <c r="AB43" s="118"/>
      <c r="AC43" s="59">
        <f>+AC29-AC38</f>
        <v>14028096.099464919</v>
      </c>
      <c r="AD43" s="59">
        <f t="shared" ref="AD43:AO43" si="220">+AD29-AD38</f>
        <v>13593561.082680929</v>
      </c>
      <c r="AE43" s="59">
        <f t="shared" si="220"/>
        <v>13909629.635880917</v>
      </c>
      <c r="AF43" s="59">
        <f t="shared" si="220"/>
        <v>11482269.070095919</v>
      </c>
      <c r="AG43" s="59">
        <f t="shared" si="220"/>
        <v>13434194.89532591</v>
      </c>
      <c r="AH43" s="59">
        <f t="shared" si="220"/>
        <v>14141840.935716916</v>
      </c>
      <c r="AI43" s="59">
        <f t="shared" si="220"/>
        <v>14754379.21854892</v>
      </c>
      <c r="AJ43" s="59">
        <f t="shared" si="220"/>
        <v>15176689.588959917</v>
      </c>
      <c r="AK43" s="59">
        <f t="shared" si="220"/>
        <v>15568400.33611792</v>
      </c>
      <c r="AL43" s="59">
        <f t="shared" si="220"/>
        <v>12672011.68518725</v>
      </c>
      <c r="AM43" s="59">
        <f t="shared" si="220"/>
        <v>11328778.248358268</v>
      </c>
      <c r="AN43" s="59">
        <f t="shared" si="220"/>
        <v>14026469.36275398</v>
      </c>
      <c r="AO43" s="59">
        <f t="shared" si="220"/>
        <v>164116320.15909183</v>
      </c>
      <c r="AP43" s="106"/>
      <c r="AQ43" s="59">
        <f t="shared" ref="AQ43:BB43" si="221">+AQ29-AQ38</f>
        <v>5769668.6603600197</v>
      </c>
      <c r="AR43" s="59">
        <f t="shared" si="221"/>
        <v>8199973.999797456</v>
      </c>
      <c r="AS43" s="59">
        <f t="shared" si="221"/>
        <v>5079578.1564255543</v>
      </c>
      <c r="AT43" s="59">
        <f t="shared" si="221"/>
        <v>6176699.2460882291</v>
      </c>
      <c r="AU43" s="59">
        <f t="shared" si="221"/>
        <v>3827848.041950155</v>
      </c>
      <c r="AV43" s="59">
        <f t="shared" si="221"/>
        <v>5152938.0676925164</v>
      </c>
      <c r="AW43" s="59">
        <f t="shared" si="221"/>
        <v>6609222.5955184996</v>
      </c>
      <c r="AX43" s="59">
        <f t="shared" si="221"/>
        <v>6533472.0481918789</v>
      </c>
      <c r="AY43" s="59">
        <f t="shared" si="221"/>
        <v>5612704.4967986532</v>
      </c>
      <c r="AZ43" s="59">
        <f t="shared" si="221"/>
        <v>4666391.6332667656</v>
      </c>
      <c r="BA43" s="59">
        <f t="shared" si="221"/>
        <v>6735476.3397034965</v>
      </c>
      <c r="BB43" s="59">
        <f t="shared" si="221"/>
        <v>10225709.684677079</v>
      </c>
      <c r="BC43" s="59">
        <f t="shared" ref="BC43" si="222">+BC29-BC38</f>
        <v>74589682.970470309</v>
      </c>
      <c r="BD43" s="10" t="str">
        <f t="shared" si="16"/>
        <v>Gross Profit</v>
      </c>
      <c r="BE43" s="59">
        <f t="shared" ref="BE43:BP43" si="223">+BE29-BE38</f>
        <v>6198280.4894225001</v>
      </c>
      <c r="BF43" s="59">
        <f t="shared" si="223"/>
        <v>4500162.0305381138</v>
      </c>
      <c r="BG43" s="59">
        <f t="shared" si="223"/>
        <v>7712091.981152948</v>
      </c>
      <c r="BH43" s="59">
        <f t="shared" si="223"/>
        <v>7655252.4045904353</v>
      </c>
      <c r="BI43" s="59">
        <f t="shared" si="223"/>
        <v>11126800.426053856</v>
      </c>
      <c r="BJ43" s="59">
        <f t="shared" si="223"/>
        <v>5559530.7616426926</v>
      </c>
      <c r="BK43" s="59">
        <f t="shared" si="223"/>
        <v>8110211.7001225501</v>
      </c>
      <c r="BL43" s="59">
        <f t="shared" si="223"/>
        <v>7075446.2163129151</v>
      </c>
      <c r="BM43" s="59">
        <f t="shared" si="223"/>
        <v>8413871.0638174526</v>
      </c>
      <c r="BN43" s="59">
        <f t="shared" si="223"/>
        <v>5888461.6716755666</v>
      </c>
      <c r="BO43" s="59">
        <f t="shared" si="223"/>
        <v>0</v>
      </c>
      <c r="BP43" s="59">
        <f t="shared" si="223"/>
        <v>0</v>
      </c>
      <c r="BQ43" s="59">
        <f t="shared" ref="BQ43" si="224">+BQ29-BQ38</f>
        <v>72240108.745329022</v>
      </c>
      <c r="BR43" s="118"/>
      <c r="BS43" s="59">
        <f t="shared" ref="BS43:CD43" si="225">+BS29-BS38</f>
        <v>7404498.3202236183</v>
      </c>
      <c r="BT43" s="59">
        <f t="shared" si="225"/>
        <v>7133555.9233776201</v>
      </c>
      <c r="BU43" s="59">
        <f t="shared" si="225"/>
        <v>6577244.5548396204</v>
      </c>
      <c r="BV43" s="59">
        <f t="shared" si="225"/>
        <v>6059152.0634856205</v>
      </c>
      <c r="BW43" s="59">
        <f t="shared" si="225"/>
        <v>6794114.672493618</v>
      </c>
      <c r="BX43" s="59">
        <f t="shared" si="225"/>
        <v>7077261.6647736207</v>
      </c>
      <c r="BY43" s="59">
        <f t="shared" si="225"/>
        <v>7261802.4592536241</v>
      </c>
      <c r="BZ43" s="59">
        <f t="shared" si="225"/>
        <v>7637041.3893036209</v>
      </c>
      <c r="CA43" s="59">
        <f t="shared" si="225"/>
        <v>8150864.3746836223</v>
      </c>
      <c r="CB43" s="59">
        <f t="shared" si="225"/>
        <v>7004950.4530536234</v>
      </c>
      <c r="CC43" s="59">
        <f t="shared" si="225"/>
        <v>5427864.2927256208</v>
      </c>
      <c r="CD43" s="59">
        <f t="shared" si="225"/>
        <v>7455546.4988616165</v>
      </c>
      <c r="CE43" s="59">
        <f t="shared" ref="CE43" si="226">+CE29-CE38</f>
        <v>83983896.667075455</v>
      </c>
      <c r="CF43" s="106"/>
      <c r="CG43" s="59">
        <f t="shared" ref="CG43:CR43" si="227">+CG29-CG38</f>
        <v>4724407.8136399519</v>
      </c>
      <c r="CH43" s="59">
        <f t="shared" si="227"/>
        <v>4850356.7702025231</v>
      </c>
      <c r="CI43" s="59">
        <f t="shared" si="227"/>
        <v>3648893.7670125319</v>
      </c>
      <c r="CJ43" s="59">
        <f t="shared" si="227"/>
        <v>2904147.1839117631</v>
      </c>
      <c r="CK43" s="59">
        <f t="shared" si="227"/>
        <v>5036592.8132195957</v>
      </c>
      <c r="CL43" s="59">
        <f t="shared" si="227"/>
        <v>3961544.4176896289</v>
      </c>
      <c r="CM43" s="59">
        <f t="shared" si="227"/>
        <v>4390215.2770119123</v>
      </c>
      <c r="CN43" s="59">
        <f t="shared" si="227"/>
        <v>4602229.1704420373</v>
      </c>
      <c r="CO43" s="59">
        <f t="shared" si="227"/>
        <v>3476276.8709220216</v>
      </c>
      <c r="CP43" s="59">
        <f t="shared" si="227"/>
        <v>5938353.349945941</v>
      </c>
      <c r="CQ43" s="59">
        <f t="shared" si="227"/>
        <v>6570767.4890591837</v>
      </c>
      <c r="CR43" s="59">
        <f t="shared" si="227"/>
        <v>4237643.2141595855</v>
      </c>
      <c r="CS43" s="59">
        <f t="shared" ref="CS43" si="228">+CS29-CS38</f>
        <v>54341428.137216702</v>
      </c>
      <c r="CT43" s="10" t="str">
        <f t="shared" si="20"/>
        <v>Gross Profit</v>
      </c>
      <c r="CU43" s="59">
        <f t="shared" ref="CU43:DF43" si="229">+CU29-CU38</f>
        <v>4099032.586249657</v>
      </c>
      <c r="CV43" s="59">
        <f t="shared" si="229"/>
        <v>1868876.4902460864</v>
      </c>
      <c r="CW43" s="59">
        <f t="shared" si="229"/>
        <v>3772174.8815390859</v>
      </c>
      <c r="CX43" s="59">
        <f t="shared" si="229"/>
        <v>3131633.50681959</v>
      </c>
      <c r="CY43" s="59">
        <f t="shared" si="229"/>
        <v>4407080.7724221405</v>
      </c>
      <c r="CZ43" s="59">
        <f t="shared" si="229"/>
        <v>3151531.2367997477</v>
      </c>
      <c r="DA43" s="59">
        <f t="shared" si="229"/>
        <v>4394691.949877413</v>
      </c>
      <c r="DB43" s="59">
        <f t="shared" si="229"/>
        <v>4885719.7747045849</v>
      </c>
      <c r="DC43" s="59">
        <f t="shared" si="229"/>
        <v>3213835.3019980425</v>
      </c>
      <c r="DD43" s="59">
        <f t="shared" si="229"/>
        <v>3948643.7800509334</v>
      </c>
      <c r="DE43" s="59">
        <f t="shared" si="229"/>
        <v>0</v>
      </c>
      <c r="DF43" s="59">
        <f t="shared" si="229"/>
        <v>0</v>
      </c>
      <c r="DG43" s="59">
        <f t="shared" ref="DG43" si="230">+DG29-DG38</f>
        <v>36873220.280707285</v>
      </c>
      <c r="DH43" s="118"/>
      <c r="DI43" s="59">
        <f t="shared" ref="DI43:DT43" si="231">+DI29-DI38</f>
        <v>4806758.1459079664</v>
      </c>
      <c r="DJ43" s="59">
        <f t="shared" si="231"/>
        <v>4781152.4459699653</v>
      </c>
      <c r="DK43" s="59">
        <f t="shared" si="231"/>
        <v>5429303.6227079649</v>
      </c>
      <c r="DL43" s="59">
        <f t="shared" si="231"/>
        <v>3744264.2932769675</v>
      </c>
      <c r="DM43" s="59">
        <f t="shared" si="231"/>
        <v>4593262.389498964</v>
      </c>
      <c r="DN43" s="59">
        <f t="shared" si="231"/>
        <v>5017761.437609965</v>
      </c>
      <c r="DO43" s="59">
        <f t="shared" si="231"/>
        <v>5158286.1759619657</v>
      </c>
      <c r="DP43" s="59">
        <f t="shared" si="231"/>
        <v>5301181.8663229644</v>
      </c>
      <c r="DQ43" s="59">
        <f t="shared" si="231"/>
        <v>5290225.7581009641</v>
      </c>
      <c r="DR43" s="59">
        <f t="shared" si="231"/>
        <v>4147128.0654669665</v>
      </c>
      <c r="DS43" s="59">
        <f t="shared" si="231"/>
        <v>4311257.7489659656</v>
      </c>
      <c r="DT43" s="59">
        <f t="shared" si="231"/>
        <v>4896902.3059529644</v>
      </c>
      <c r="DU43" s="59">
        <f t="shared" ref="DU43" si="232">+DU29-DU38</f>
        <v>57477484.255743578</v>
      </c>
      <c r="DV43" s="106"/>
      <c r="DW43" s="59">
        <f t="shared" ref="DW43:EH43" si="233">+DW29-DW38</f>
        <v>0</v>
      </c>
      <c r="DX43" s="59">
        <f t="shared" si="233"/>
        <v>0</v>
      </c>
      <c r="DY43" s="59">
        <f t="shared" si="233"/>
        <v>0</v>
      </c>
      <c r="DZ43" s="59">
        <f t="shared" si="233"/>
        <v>0</v>
      </c>
      <c r="EA43" s="59">
        <f t="shared" si="233"/>
        <v>0</v>
      </c>
      <c r="EB43" s="59">
        <f t="shared" si="233"/>
        <v>0</v>
      </c>
      <c r="EC43" s="59">
        <f t="shared" si="233"/>
        <v>0</v>
      </c>
      <c r="ED43" s="59">
        <f t="shared" si="233"/>
        <v>0</v>
      </c>
      <c r="EE43" s="59">
        <f t="shared" si="233"/>
        <v>0</v>
      </c>
      <c r="EF43" s="59">
        <f t="shared" si="233"/>
        <v>0</v>
      </c>
      <c r="EG43" s="59">
        <f t="shared" si="233"/>
        <v>0</v>
      </c>
      <c r="EH43" s="59">
        <f t="shared" si="233"/>
        <v>0</v>
      </c>
      <c r="EI43" s="59">
        <f t="shared" ref="EI43" si="234">+EI29-EI38</f>
        <v>0</v>
      </c>
      <c r="EJ43" s="10" t="str">
        <f t="shared" si="93"/>
        <v>Gross Profit</v>
      </c>
      <c r="EK43" s="59">
        <f t="shared" ref="EK43:EV43" si="235">+EK29-EK38</f>
        <v>858831.66749969777</v>
      </c>
      <c r="EL43" s="59">
        <f t="shared" si="235"/>
        <v>985186.83560084505</v>
      </c>
      <c r="EM43" s="59">
        <f t="shared" si="235"/>
        <v>935939.80999999959</v>
      </c>
      <c r="EN43" s="59">
        <f t="shared" si="235"/>
        <v>986449.60000000009</v>
      </c>
      <c r="EO43" s="59">
        <f t="shared" si="235"/>
        <v>868436.20000000065</v>
      </c>
      <c r="EP43" s="59">
        <f t="shared" si="235"/>
        <v>1510480.113394666</v>
      </c>
      <c r="EQ43" s="59">
        <f t="shared" si="235"/>
        <v>1126663.9300000002</v>
      </c>
      <c r="ER43" s="59">
        <f t="shared" si="235"/>
        <v>1538293.6799999992</v>
      </c>
      <c r="ES43" s="59">
        <f t="shared" si="235"/>
        <v>1223018.6141844951</v>
      </c>
      <c r="ET43" s="59">
        <f t="shared" si="235"/>
        <v>1504037.2292386033</v>
      </c>
      <c r="EU43" s="59">
        <f t="shared" si="235"/>
        <v>0</v>
      </c>
      <c r="EV43" s="59">
        <f t="shared" si="235"/>
        <v>0</v>
      </c>
      <c r="EW43" s="59">
        <f t="shared" ref="EW43" si="236">+EW29-EW38</f>
        <v>11537337.6799183</v>
      </c>
      <c r="EX43" s="118"/>
      <c r="EY43" s="59">
        <f t="shared" ref="EY43:FJ43" si="237">+EY29-EY38</f>
        <v>1816839.6333333333</v>
      </c>
      <c r="EZ43" s="59">
        <f t="shared" si="237"/>
        <v>1678852.7133333334</v>
      </c>
      <c r="FA43" s="59">
        <f t="shared" si="237"/>
        <v>1903081.4583333335</v>
      </c>
      <c r="FB43" s="59">
        <f t="shared" si="237"/>
        <v>1678852.7133333334</v>
      </c>
      <c r="FC43" s="59">
        <f t="shared" si="237"/>
        <v>2046817.8333333335</v>
      </c>
      <c r="FD43" s="59">
        <f t="shared" si="237"/>
        <v>2046817.8333333335</v>
      </c>
      <c r="FE43" s="59">
        <f t="shared" si="237"/>
        <v>2334290.583333334</v>
      </c>
      <c r="FF43" s="59">
        <f t="shared" si="237"/>
        <v>2238466.3333333335</v>
      </c>
      <c r="FG43" s="59">
        <f t="shared" si="237"/>
        <v>2127310.2033333336</v>
      </c>
      <c r="FH43" s="59">
        <f t="shared" si="237"/>
        <v>1519933.1666666665</v>
      </c>
      <c r="FI43" s="59">
        <f t="shared" si="237"/>
        <v>1589656.206666667</v>
      </c>
      <c r="FJ43" s="59">
        <f t="shared" si="237"/>
        <v>1674020.5579393934</v>
      </c>
      <c r="FK43" s="59">
        <f t="shared" ref="FK43" si="238">+FK29-FK38</f>
        <v>22654939.236272722</v>
      </c>
    </row>
    <row r="44" spans="1:167" ht="14.45" customHeight="1">
      <c r="A44" s="106">
        <f t="shared" ref="A44:L46" si="239">+AQ44+CG44+DW44</f>
        <v>1159231.15774304</v>
      </c>
      <c r="B44" s="106">
        <f t="shared" si="239"/>
        <v>1159231.15774304</v>
      </c>
      <c r="C44" s="106">
        <f t="shared" si="239"/>
        <v>621838.19460416702</v>
      </c>
      <c r="D44" s="106">
        <f t="shared" si="239"/>
        <v>351279.08783539198</v>
      </c>
      <c r="E44" s="106">
        <f t="shared" si="239"/>
        <v>429792.68799255497</v>
      </c>
      <c r="F44" s="106">
        <f t="shared" si="239"/>
        <v>349775.43934204208</v>
      </c>
      <c r="G44" s="106">
        <f t="shared" si="239"/>
        <v>845907</v>
      </c>
      <c r="H44" s="106">
        <f t="shared" si="239"/>
        <v>791776</v>
      </c>
      <c r="I44" s="106">
        <f t="shared" si="239"/>
        <v>392141</v>
      </c>
      <c r="J44" s="106">
        <f t="shared" si="239"/>
        <v>911487.27894517605</v>
      </c>
      <c r="K44" s="106">
        <f t="shared" si="239"/>
        <v>736702.09442617896</v>
      </c>
      <c r="L44" s="106">
        <f t="shared" si="239"/>
        <v>547440.78040656005</v>
      </c>
      <c r="M44" s="106">
        <f t="shared" si="170"/>
        <v>8296601.8790381504</v>
      </c>
      <c r="N44" s="7" t="s">
        <v>38</v>
      </c>
      <c r="O44" s="106">
        <f t="shared" ref="O44:Z46" si="240">+BE44+CU44+EK44</f>
        <v>0</v>
      </c>
      <c r="P44" s="106">
        <f t="shared" si="240"/>
        <v>937661.965951522</v>
      </c>
      <c r="Q44" s="106">
        <f t="shared" si="240"/>
        <v>632909.40479212312</v>
      </c>
      <c r="R44" s="106">
        <f t="shared" si="240"/>
        <v>467948.69160355901</v>
      </c>
      <c r="S44" s="106">
        <f t="shared" si="240"/>
        <v>682759.28443311516</v>
      </c>
      <c r="T44" s="106">
        <f t="shared" si="240"/>
        <v>1144469.28024575</v>
      </c>
      <c r="U44" s="106">
        <f t="shared" si="240"/>
        <v>949666.90762517205</v>
      </c>
      <c r="V44" s="106">
        <f t="shared" si="240"/>
        <v>912922</v>
      </c>
      <c r="W44" s="106">
        <f t="shared" si="240"/>
        <v>802318.44273583498</v>
      </c>
      <c r="X44" s="106">
        <f t="shared" si="240"/>
        <v>608343.19999999995</v>
      </c>
      <c r="Y44" s="106">
        <f t="shared" si="240"/>
        <v>0</v>
      </c>
      <c r="Z44" s="106">
        <f t="shared" si="240"/>
        <v>0</v>
      </c>
      <c r="AA44" s="106">
        <f t="shared" ref="AA44:AA46" si="241">+SUM(O44:Z44)</f>
        <v>7138999.1773870764</v>
      </c>
      <c r="AB44" s="118"/>
      <c r="AC44" s="106">
        <f t="shared" ref="AC44:AN46" si="242">+BS44+DI44+EY44</f>
        <v>796055.50378575013</v>
      </c>
      <c r="AD44" s="106">
        <f t="shared" si="242"/>
        <v>815711.1952372503</v>
      </c>
      <c r="AE44" s="106">
        <f t="shared" si="242"/>
        <v>845194.73241450009</v>
      </c>
      <c r="AF44" s="106">
        <f t="shared" si="242"/>
        <v>687949.20080250048</v>
      </c>
      <c r="AG44" s="106">
        <f t="shared" si="242"/>
        <v>825539.04096300039</v>
      </c>
      <c r="AH44" s="106">
        <f t="shared" si="242"/>
        <v>845194.73241450009</v>
      </c>
      <c r="AI44" s="106">
        <f t="shared" si="242"/>
        <v>913989.65249475022</v>
      </c>
      <c r="AJ44" s="106">
        <f t="shared" si="242"/>
        <v>894333.9610432504</v>
      </c>
      <c r="AK44" s="106">
        <f t="shared" si="242"/>
        <v>746916.27515700029</v>
      </c>
      <c r="AL44" s="106">
        <f t="shared" si="242"/>
        <v>835366.88668875024</v>
      </c>
      <c r="AM44" s="106">
        <f t="shared" si="242"/>
        <v>796055.50378575013</v>
      </c>
      <c r="AN44" s="106">
        <f t="shared" si="242"/>
        <v>825539.04096300039</v>
      </c>
      <c r="AO44" s="106">
        <f t="shared" ref="AO44:AO46" si="243">+SUM(AC44:AN44)</f>
        <v>9827845.725750003</v>
      </c>
      <c r="AP44" s="106"/>
      <c r="AQ44" s="106">
        <f>+PMGR!AQ44+BP!AQ44</f>
        <v>625984.82518124161</v>
      </c>
      <c r="AR44" s="106">
        <f>+PMGR!AR44+BP!AR44</f>
        <v>625984.82518124161</v>
      </c>
      <c r="AS44" s="106">
        <f>+PMGR!AS44+BP!AS44</f>
        <v>397976.44454666693</v>
      </c>
      <c r="AT44" s="106">
        <f>+PMGR!AT44+BP!AT44</f>
        <v>210767.45270123519</v>
      </c>
      <c r="AU44" s="106">
        <f>+PMGR!AU44+BP!AU44</f>
        <v>206300.49023642638</v>
      </c>
      <c r="AV44" s="106">
        <f>+PMGR!AV44+BP!AV44</f>
        <v>195874.24603154356</v>
      </c>
      <c r="AW44" s="106">
        <f>+PMGR!AW44+BP!AW44</f>
        <v>510555.81667409849</v>
      </c>
      <c r="AX44" s="106">
        <f>+PMGR!AX44+BP!AX44</f>
        <v>491753.16014207626</v>
      </c>
      <c r="AY44" s="106">
        <f>+PMGR!AY44+BP!AY44</f>
        <v>270268.5469309602</v>
      </c>
      <c r="AZ44" s="106">
        <f>+PMGR!AZ44+BP!AZ44</f>
        <v>646076.48939502367</v>
      </c>
      <c r="BA44" s="106">
        <f>+PMGR!BA44+BP!BA44</f>
        <v>468905.45923017355</v>
      </c>
      <c r="BB44" s="106">
        <f>+PMGR!BB44+BP!BB44</f>
        <v>391722.46599947836</v>
      </c>
      <c r="BC44" s="106">
        <f t="shared" ref="BC44:BC46" si="244">+SUM(AQ44:BB44)</f>
        <v>5042170.2222501663</v>
      </c>
      <c r="BD44" s="7" t="str">
        <f t="shared" si="16"/>
        <v>Monthly Target Incentive</v>
      </c>
      <c r="BE44" s="106">
        <f>+PMGR!BE44+BP!BE44</f>
        <v>0</v>
      </c>
      <c r="BF44" s="106">
        <f>+PMGR!BF44+BP!BF44</f>
        <v>427357.22413542401</v>
      </c>
      <c r="BG44" s="106">
        <f>+PMGR!BG44+BP!BG44</f>
        <v>287840.23030468501</v>
      </c>
      <c r="BH44" s="106">
        <f>+PMGR!BH44+BP!BH44</f>
        <v>267248.39093815553</v>
      </c>
      <c r="BI44" s="106">
        <f>+PMGR!BI44+BP!BI44</f>
        <v>385113.72809031658</v>
      </c>
      <c r="BJ44" s="106">
        <f>+PMGR!BJ44+BP!BJ44</f>
        <v>594691.0231845266</v>
      </c>
      <c r="BK44" s="106">
        <f>+PMGR!BK44+BP!BK44</f>
        <v>535753.29861110111</v>
      </c>
      <c r="BL44" s="106">
        <f>+PMGR!BL44+BP!BL44</f>
        <v>534430.56230356218</v>
      </c>
      <c r="BM44" s="106">
        <f>+PMGR!BM44+BP!BM44</f>
        <v>497437.4344962177</v>
      </c>
      <c r="BN44" s="106">
        <f>+PMGR!BN44+BP!BN44</f>
        <v>337299.20000000001</v>
      </c>
      <c r="BO44" s="106">
        <f>+PMGR!BO44+BP!BO44</f>
        <v>0</v>
      </c>
      <c r="BP44" s="106">
        <f>+PMGR!BP44+BP!BP44</f>
        <v>0</v>
      </c>
      <c r="BQ44" s="106">
        <f t="shared" ref="BQ44:BQ46" si="245">+SUM(BE44:BP44)</f>
        <v>3867171.092063989</v>
      </c>
      <c r="BR44" s="118"/>
      <c r="BS44" s="106">
        <f>+PMGR!BS44+BP!BS44</f>
        <v>437830.52708216262</v>
      </c>
      <c r="BT44" s="106">
        <f>+PMGR!BT44+BP!BT44</f>
        <v>448641.15738048765</v>
      </c>
      <c r="BU44" s="106">
        <f>+PMGR!BU44+BP!BU44</f>
        <v>464857.10282797506</v>
      </c>
      <c r="BV44" s="106">
        <f>+PMGR!BV44+BP!BV44</f>
        <v>378372.0604413753</v>
      </c>
      <c r="BW44" s="106">
        <f>+PMGR!BW44+BP!BW44</f>
        <v>454046.47252965026</v>
      </c>
      <c r="BX44" s="106">
        <f>+PMGR!BX44+BP!BX44</f>
        <v>464857.10282797506</v>
      </c>
      <c r="BY44" s="106">
        <f>+PMGR!BY44+BP!BY44</f>
        <v>502694.30887211266</v>
      </c>
      <c r="BZ44" s="106">
        <f>+PMGR!BZ44+BP!BZ44</f>
        <v>491883.67857378768</v>
      </c>
      <c r="CA44" s="106">
        <f>+PMGR!CA44+BP!CA44</f>
        <v>410803.95133635012</v>
      </c>
      <c r="CB44" s="106">
        <f>+PMGR!CB44+BP!CB44</f>
        <v>459451.78767881269</v>
      </c>
      <c r="CC44" s="106">
        <f>+PMGR!CC44+BP!CC44</f>
        <v>437830.52708216262</v>
      </c>
      <c r="CD44" s="106">
        <f>+PMGR!CD44+BP!CD44</f>
        <v>454046.47252965026</v>
      </c>
      <c r="CE44" s="106">
        <f t="shared" ref="CE44:CE46" si="246">+SUM(BS44:CD44)</f>
        <v>5405315.149162503</v>
      </c>
      <c r="CF44" s="106"/>
      <c r="CG44" s="106">
        <f>+PMGR!CG44+BP!CG44</f>
        <v>533246.33256179839</v>
      </c>
      <c r="CH44" s="106">
        <f>+PMGR!CH44+BP!CH44</f>
        <v>533246.33256179839</v>
      </c>
      <c r="CI44" s="106">
        <f>+PMGR!CI44+BP!CI44</f>
        <v>223861.75005750012</v>
      </c>
      <c r="CJ44" s="106">
        <f>+PMGR!CJ44+BP!CJ44</f>
        <v>140511.63513415679</v>
      </c>
      <c r="CK44" s="106">
        <f>+PMGR!CK44+BP!CK44</f>
        <v>223492.19775612859</v>
      </c>
      <c r="CL44" s="106">
        <f>+PMGR!CL44+BP!CL44</f>
        <v>153901.19331049852</v>
      </c>
      <c r="CM44" s="106">
        <f>+PMGR!CM44+BP!CM44</f>
        <v>335351.18332590151</v>
      </c>
      <c r="CN44" s="106">
        <f>+PMGR!CN44+BP!CN44</f>
        <v>300022.83985792374</v>
      </c>
      <c r="CO44" s="106">
        <f>+PMGR!CO44+BP!CO44</f>
        <v>121872.45306903981</v>
      </c>
      <c r="CP44" s="106">
        <f>+PMGR!CP44+BP!CP44</f>
        <v>265410.78955015237</v>
      </c>
      <c r="CQ44" s="106">
        <f>+PMGR!CQ44+BP!CQ44</f>
        <v>267796.6351960054</v>
      </c>
      <c r="CR44" s="106">
        <f>+PMGR!CR44+BP!CR44</f>
        <v>155718.31440708163</v>
      </c>
      <c r="CS44" s="106">
        <f t="shared" ref="CS44:CS46" si="247">+SUM(CG44:CR44)</f>
        <v>3254431.656787985</v>
      </c>
      <c r="CT44" s="7" t="str">
        <f t="shared" si="20"/>
        <v>Monthly Target Incentive</v>
      </c>
      <c r="CU44" s="106">
        <f>+PMGR!CU44+BP!CU44</f>
        <v>0</v>
      </c>
      <c r="CV44" s="106">
        <f>+PMGR!CV44+BP!CV44</f>
        <v>332462.98313311819</v>
      </c>
      <c r="CW44" s="106">
        <f>+PMGR!CW44+BP!CW44</f>
        <v>279777.48372347502</v>
      </c>
      <c r="CX44" s="106">
        <f>+PMGR!CX44+BP!CX44</f>
        <v>166159.91873700774</v>
      </c>
      <c r="CY44" s="106">
        <f>+PMGR!CY44+BP!CY44</f>
        <v>214540.39491902466</v>
      </c>
      <c r="CZ44" s="106">
        <f>+PMGR!CZ44+BP!CZ44</f>
        <v>380717.07847459521</v>
      </c>
      <c r="DA44" s="106">
        <f>+PMGR!DA44+BP!DA44</f>
        <v>307764.46470218076</v>
      </c>
      <c r="DB44" s="106">
        <f>+PMGR!DB44+BP!DB44</f>
        <v>274054.7486967771</v>
      </c>
      <c r="DC44" s="106">
        <f>+PMGR!DC44+BP!DC44</f>
        <v>216625.97953867546</v>
      </c>
      <c r="DD44" s="106">
        <f>+PMGR!DD44+BP!DD44</f>
        <v>192742.39999999999</v>
      </c>
      <c r="DE44" s="106">
        <f>+PMGR!DE44+BP!DE44</f>
        <v>0</v>
      </c>
      <c r="DF44" s="106">
        <f>+PMGR!DF44+BP!DF44</f>
        <v>0</v>
      </c>
      <c r="DG44" s="106">
        <f t="shared" ref="DG44:DG46" si="248">+SUM(CU44:DF44)</f>
        <v>2364845.4519248544</v>
      </c>
      <c r="DH44" s="118"/>
      <c r="DI44" s="106">
        <f>+PMGR!DI44+BP!DI44</f>
        <v>278619.42632501258</v>
      </c>
      <c r="DJ44" s="106">
        <f>+PMGR!DJ44+BP!DJ44</f>
        <v>285498.91833303758</v>
      </c>
      <c r="DK44" s="106">
        <f>+PMGR!DK44+BP!DK44</f>
        <v>295818.15634507505</v>
      </c>
      <c r="DL44" s="106">
        <f>+PMGR!DL44+BP!DL44</f>
        <v>240782.22028087519</v>
      </c>
      <c r="DM44" s="106">
        <f>+PMGR!DM44+BP!DM44</f>
        <v>288938.66433705017</v>
      </c>
      <c r="DN44" s="106">
        <f>+PMGR!DN44+BP!DN44</f>
        <v>295818.15634507505</v>
      </c>
      <c r="DO44" s="106">
        <f>+PMGR!DO44+BP!DO44</f>
        <v>319896.37837316259</v>
      </c>
      <c r="DP44" s="106">
        <f>+PMGR!DP44+BP!DP44</f>
        <v>313016.88636513765</v>
      </c>
      <c r="DQ44" s="106">
        <f>+PMGR!DQ44+BP!DQ44</f>
        <v>261420.69630495008</v>
      </c>
      <c r="DR44" s="106">
        <f>+PMGR!DR44+BP!DR44</f>
        <v>292378.41034106258</v>
      </c>
      <c r="DS44" s="106">
        <f>+PMGR!DS44+BP!DS44</f>
        <v>278619.42632501258</v>
      </c>
      <c r="DT44" s="106">
        <f>+PMGR!DT44+BP!DT44</f>
        <v>288938.66433705017</v>
      </c>
      <c r="DU44" s="106">
        <f t="shared" ref="DU44:DU46" si="249">+SUM(DI44:DT44)</f>
        <v>3439746.0040125009</v>
      </c>
      <c r="DV44" s="106"/>
      <c r="DW44" s="106">
        <f>+PMGR!DW44+BP!DW44</f>
        <v>0</v>
      </c>
      <c r="DX44" s="106">
        <f>+PMGR!DX44+BP!DX44</f>
        <v>0</v>
      </c>
      <c r="DY44" s="106">
        <f>+PMGR!DY44+BP!DY44</f>
        <v>0</v>
      </c>
      <c r="DZ44" s="106">
        <f>+PMGR!DZ44+BP!DZ44</f>
        <v>0</v>
      </c>
      <c r="EA44" s="106">
        <f>+PMGR!EA44+BP!EA44</f>
        <v>0</v>
      </c>
      <c r="EB44" s="106">
        <f>+PMGR!EB44+BP!EB44</f>
        <v>0</v>
      </c>
      <c r="EC44" s="106">
        <f>+PMGR!EC44+BP!EC44</f>
        <v>0</v>
      </c>
      <c r="ED44" s="106">
        <f>+PMGR!ED44+BP!ED44</f>
        <v>0</v>
      </c>
      <c r="EE44" s="106">
        <f>+PMGR!EE44+BP!EE44</f>
        <v>0</v>
      </c>
      <c r="EF44" s="106">
        <f>+PMGR!EF44+BP!EF44</f>
        <v>0</v>
      </c>
      <c r="EG44" s="106">
        <f>+PMGR!EG44+BP!EG44</f>
        <v>0</v>
      </c>
      <c r="EH44" s="106">
        <f>+PMGR!EH44+BP!EH44</f>
        <v>0</v>
      </c>
      <c r="EI44" s="106">
        <f t="shared" ref="EI44:EI46" si="250">+SUM(DW44:EH44)</f>
        <v>0</v>
      </c>
      <c r="EJ44" s="7" t="str">
        <f t="shared" si="93"/>
        <v>Monthly Target Incentive</v>
      </c>
      <c r="EK44" s="106">
        <f>+PMGR!EK44+BP!EK44</f>
        <v>0</v>
      </c>
      <c r="EL44" s="106">
        <f>+PMGR!EL44+BP!EL44</f>
        <v>177841.75868297982</v>
      </c>
      <c r="EM44" s="106">
        <f>+PMGR!EM44+BP!EM44</f>
        <v>65291.690763963074</v>
      </c>
      <c r="EN44" s="106">
        <f>+PMGR!EN44+BP!EN44</f>
        <v>34540.381928395764</v>
      </c>
      <c r="EO44" s="106">
        <f>+PMGR!EO44+BP!EO44</f>
        <v>83105.161423773825</v>
      </c>
      <c r="EP44" s="106">
        <f>+PMGR!EP44+BP!EP44</f>
        <v>169061.1785866282</v>
      </c>
      <c r="EQ44" s="106">
        <f>+PMGR!EQ44+BP!EQ44</f>
        <v>106149.14431189018</v>
      </c>
      <c r="ER44" s="106">
        <f>+PMGR!ER44+BP!ER44</f>
        <v>104436.68899966079</v>
      </c>
      <c r="ES44" s="106">
        <f>+PMGR!ES44+BP!ES44</f>
        <v>88255.028700941853</v>
      </c>
      <c r="ET44" s="106">
        <f>+PMGR!ET44+BP!ET44</f>
        <v>78301.600000000006</v>
      </c>
      <c r="EU44" s="106">
        <f>+PMGR!EU44+BP!EU44</f>
        <v>0</v>
      </c>
      <c r="EV44" s="106">
        <f>+PMGR!EV44+BP!EV44</f>
        <v>0</v>
      </c>
      <c r="EW44" s="106">
        <f t="shared" ref="EW44:EW46" si="251">+SUM(EK44:EV44)</f>
        <v>906982.63339823345</v>
      </c>
      <c r="EX44" s="118"/>
      <c r="EY44" s="106">
        <f>+PMGR!EY44+BP!EY44</f>
        <v>79605.550378575019</v>
      </c>
      <c r="EZ44" s="106">
        <f>+PMGR!EZ44+BP!EZ44</f>
        <v>81571.119523725036</v>
      </c>
      <c r="FA44" s="106">
        <f>+PMGR!FA44+BP!FA44</f>
        <v>84519.473241450018</v>
      </c>
      <c r="FB44" s="106">
        <f>+PMGR!FB44+BP!FB44</f>
        <v>68794.920080250056</v>
      </c>
      <c r="FC44" s="106">
        <f>+PMGR!FC44+BP!FC44</f>
        <v>82553.904096300044</v>
      </c>
      <c r="FD44" s="106">
        <f>+PMGR!FD44+BP!FD44</f>
        <v>84519.473241450018</v>
      </c>
      <c r="FE44" s="106">
        <f>+PMGR!FE44+BP!FE44</f>
        <v>91398.965249475019</v>
      </c>
      <c r="FF44" s="106">
        <f>+PMGR!FF44+BP!FF44</f>
        <v>89433.396104325046</v>
      </c>
      <c r="FG44" s="106">
        <f>+PMGR!FG44+BP!FG44</f>
        <v>74691.62751570002</v>
      </c>
      <c r="FH44" s="106">
        <f>+PMGR!FH44+BP!FH44</f>
        <v>83536.688668875024</v>
      </c>
      <c r="FI44" s="106">
        <f>+PMGR!FI44+BP!FI44</f>
        <v>79605.550378575019</v>
      </c>
      <c r="FJ44" s="106">
        <f>+PMGR!FJ44+BP!FJ44</f>
        <v>82553.904096300044</v>
      </c>
      <c r="FK44" s="106">
        <f t="shared" ref="FK44:FK46" si="252">+SUM(EY44:FJ44)</f>
        <v>982784.57257500035</v>
      </c>
    </row>
    <row r="45" spans="1:167" ht="14.45" customHeight="1">
      <c r="A45" s="106">
        <f t="shared" si="239"/>
        <v>0</v>
      </c>
      <c r="B45" s="106">
        <f t="shared" si="239"/>
        <v>0</v>
      </c>
      <c r="C45" s="106">
        <f t="shared" si="239"/>
        <v>2930221.8739818502</v>
      </c>
      <c r="D45" s="106">
        <f t="shared" si="239"/>
        <v>0</v>
      </c>
      <c r="E45" s="106">
        <f t="shared" si="239"/>
        <v>0</v>
      </c>
      <c r="F45" s="106">
        <f t="shared" si="239"/>
        <v>991070.35648600012</v>
      </c>
      <c r="G45" s="106">
        <f t="shared" si="239"/>
        <v>0</v>
      </c>
      <c r="H45" s="106">
        <f t="shared" si="239"/>
        <v>0</v>
      </c>
      <c r="I45" s="106">
        <f t="shared" si="239"/>
        <v>1798126.7062392002</v>
      </c>
      <c r="J45" s="106">
        <f t="shared" si="239"/>
        <v>0</v>
      </c>
      <c r="K45" s="106">
        <f t="shared" si="239"/>
        <v>0</v>
      </c>
      <c r="L45" s="106">
        <f t="shared" si="239"/>
        <v>2152924.8332923702</v>
      </c>
      <c r="M45" s="106">
        <f t="shared" si="170"/>
        <v>7872343.7699994203</v>
      </c>
      <c r="N45" s="7" t="s">
        <v>39</v>
      </c>
      <c r="O45" s="106">
        <f t="shared" si="240"/>
        <v>0</v>
      </c>
      <c r="P45" s="106">
        <f t="shared" si="240"/>
        <v>0</v>
      </c>
      <c r="Q45" s="106">
        <f t="shared" si="240"/>
        <v>1381933.36530128</v>
      </c>
      <c r="R45" s="106">
        <f t="shared" si="240"/>
        <v>0</v>
      </c>
      <c r="S45" s="106">
        <f t="shared" si="240"/>
        <v>0</v>
      </c>
      <c r="T45" s="106">
        <f t="shared" si="240"/>
        <v>2284394.3045478002</v>
      </c>
      <c r="U45" s="106">
        <f t="shared" si="240"/>
        <v>0</v>
      </c>
      <c r="V45" s="106">
        <f t="shared" si="240"/>
        <v>0</v>
      </c>
      <c r="W45" s="106">
        <f t="shared" si="240"/>
        <v>2678972.2739264001</v>
      </c>
      <c r="X45" s="106">
        <f t="shared" si="240"/>
        <v>0</v>
      </c>
      <c r="Y45" s="106">
        <f t="shared" si="240"/>
        <v>0</v>
      </c>
      <c r="Z45" s="106">
        <f t="shared" si="240"/>
        <v>0</v>
      </c>
      <c r="AA45" s="106">
        <f t="shared" si="241"/>
        <v>6345299.9437754806</v>
      </c>
      <c r="AB45" s="118"/>
      <c r="AC45" s="106">
        <f t="shared" si="242"/>
        <v>0</v>
      </c>
      <c r="AD45" s="106">
        <f t="shared" si="242"/>
        <v>0</v>
      </c>
      <c r="AE45" s="106">
        <f t="shared" si="242"/>
        <v>1720272.4723125</v>
      </c>
      <c r="AF45" s="106">
        <f t="shared" si="242"/>
        <v>0</v>
      </c>
      <c r="AG45" s="106">
        <f t="shared" si="242"/>
        <v>0</v>
      </c>
      <c r="AH45" s="106">
        <f t="shared" si="242"/>
        <v>1625446.6306200002</v>
      </c>
      <c r="AI45" s="106">
        <f t="shared" si="242"/>
        <v>0</v>
      </c>
      <c r="AJ45" s="106">
        <f t="shared" si="242"/>
        <v>0</v>
      </c>
      <c r="AK45" s="106">
        <f t="shared" si="242"/>
        <v>1763397.4340049999</v>
      </c>
      <c r="AL45" s="106">
        <f t="shared" si="242"/>
        <v>0</v>
      </c>
      <c r="AM45" s="106">
        <f t="shared" si="242"/>
        <v>0</v>
      </c>
      <c r="AN45" s="106">
        <f t="shared" si="242"/>
        <v>1691484.4823125</v>
      </c>
      <c r="AO45" s="106">
        <f t="shared" si="243"/>
        <v>6800601.0192499999</v>
      </c>
      <c r="AP45" s="106"/>
      <c r="AQ45" s="106">
        <f>+PMGR!AQ45+BP!AQ45</f>
        <v>0</v>
      </c>
      <c r="AR45" s="106">
        <f>+PMGR!AR45+BP!AR45</f>
        <v>0</v>
      </c>
      <c r="AS45" s="106">
        <f>+PMGR!AS45+BP!AS45</f>
        <v>1787435.3431289287</v>
      </c>
      <c r="AT45" s="106">
        <f>+PMGR!AT45+BP!AT45</f>
        <v>0</v>
      </c>
      <c r="AU45" s="106">
        <f>+PMGR!AU45+BP!AU45</f>
        <v>0</v>
      </c>
      <c r="AV45" s="106">
        <f>+PMGR!AV45+BP!AV45</f>
        <v>594642.21389160003</v>
      </c>
      <c r="AW45" s="106">
        <f>+PMGR!AW45+BP!AW45</f>
        <v>0</v>
      </c>
      <c r="AX45" s="106">
        <f>+PMGR!AX45+BP!AX45</f>
        <v>0</v>
      </c>
      <c r="AY45" s="106">
        <f>+PMGR!AY45+BP!AY45</f>
        <v>1078876.02374352</v>
      </c>
      <c r="AZ45" s="106">
        <f>+PMGR!AZ45+BP!AZ45</f>
        <v>0</v>
      </c>
      <c r="BA45" s="106">
        <f>+PMGR!BA45+BP!BA45</f>
        <v>0</v>
      </c>
      <c r="BB45" s="106">
        <f>+PMGR!BB45+BP!BB45</f>
        <v>1291754.8999754221</v>
      </c>
      <c r="BC45" s="106">
        <f t="shared" si="244"/>
        <v>4752708.4807394706</v>
      </c>
      <c r="BD45" s="7" t="str">
        <f t="shared" si="16"/>
        <v>Quarterly Target Incentive</v>
      </c>
      <c r="BE45" s="106">
        <f>+PMGR!BE45+BP!BE45</f>
        <v>0</v>
      </c>
      <c r="BF45" s="106">
        <f>+PMGR!BF45+BP!BF45</f>
        <v>0</v>
      </c>
      <c r="BG45" s="106">
        <f>+PMGR!BG45+BP!BG45</f>
        <v>690966.68265064002</v>
      </c>
      <c r="BH45" s="106">
        <f>+PMGR!BH45+BP!BH45</f>
        <v>0</v>
      </c>
      <c r="BI45" s="106">
        <f>+PMGR!BI45+BP!BI45</f>
        <v>0</v>
      </c>
      <c r="BJ45" s="106">
        <f>+PMGR!BJ45+BP!BJ45</f>
        <v>1142197.1522739001</v>
      </c>
      <c r="BK45" s="106">
        <f>+PMGR!BK45+BP!BK45</f>
        <v>0</v>
      </c>
      <c r="BL45" s="106">
        <f>+PMGR!BL45+BP!BL45</f>
        <v>0</v>
      </c>
      <c r="BM45" s="106">
        <f>+PMGR!BM45+BP!BM45</f>
        <v>1339486.1369632001</v>
      </c>
      <c r="BN45" s="106">
        <f>+PMGR!BN45+BP!BN45</f>
        <v>0</v>
      </c>
      <c r="BO45" s="106">
        <f>+PMGR!BO45+BP!BO45</f>
        <v>0</v>
      </c>
      <c r="BP45" s="106">
        <f>+PMGR!BP45+BP!BP45</f>
        <v>0</v>
      </c>
      <c r="BQ45" s="106">
        <f t="shared" si="245"/>
        <v>3172649.9718877403</v>
      </c>
      <c r="BR45" s="118"/>
      <c r="BS45" s="106">
        <f>+PMGR!BS45+BP!BS45</f>
        <v>0</v>
      </c>
      <c r="BT45" s="106">
        <f>+PMGR!BT45+BP!BT45</f>
        <v>0</v>
      </c>
      <c r="BU45" s="106">
        <f>+PMGR!BU45+BP!BU45</f>
        <v>946149.85977187508</v>
      </c>
      <c r="BV45" s="106">
        <f>+PMGR!BV45+BP!BV45</f>
        <v>0</v>
      </c>
      <c r="BW45" s="106">
        <f>+PMGR!BW45+BP!BW45</f>
        <v>0</v>
      </c>
      <c r="BX45" s="106">
        <f>+PMGR!BX45+BP!BX45</f>
        <v>893995.64684100018</v>
      </c>
      <c r="BY45" s="106">
        <f>+PMGR!BY45+BP!BY45</f>
        <v>0</v>
      </c>
      <c r="BZ45" s="106">
        <f>+PMGR!BZ45+BP!BZ45</f>
        <v>0</v>
      </c>
      <c r="CA45" s="106">
        <f>+PMGR!CA45+BP!CA45</f>
        <v>969868.58870274993</v>
      </c>
      <c r="CB45" s="106">
        <f>+PMGR!CB45+BP!CB45</f>
        <v>0</v>
      </c>
      <c r="CC45" s="106">
        <f>+PMGR!CC45+BP!CC45</f>
        <v>0</v>
      </c>
      <c r="CD45" s="106">
        <f>+PMGR!CD45+BP!CD45</f>
        <v>930316.46527187503</v>
      </c>
      <c r="CE45" s="106">
        <f t="shared" si="246"/>
        <v>3740330.5605875002</v>
      </c>
      <c r="CF45" s="106"/>
      <c r="CG45" s="106">
        <f>+PMGR!CG45+BP!CG45</f>
        <v>0</v>
      </c>
      <c r="CH45" s="106">
        <f>+PMGR!CH45+BP!CH45</f>
        <v>0</v>
      </c>
      <c r="CI45" s="106">
        <f>+PMGR!CI45+BP!CI45</f>
        <v>1142786.5308529215</v>
      </c>
      <c r="CJ45" s="106">
        <f>+PMGR!CJ45+BP!CJ45</f>
        <v>0</v>
      </c>
      <c r="CK45" s="106">
        <f>+PMGR!CK45+BP!CK45</f>
        <v>0</v>
      </c>
      <c r="CL45" s="106">
        <f>+PMGR!CL45+BP!CL45</f>
        <v>396428.14259440004</v>
      </c>
      <c r="CM45" s="106">
        <f>+PMGR!CM45+BP!CM45</f>
        <v>0</v>
      </c>
      <c r="CN45" s="106">
        <f>+PMGR!CN45+BP!CN45</f>
        <v>0</v>
      </c>
      <c r="CO45" s="106">
        <f>+PMGR!CO45+BP!CO45</f>
        <v>719250.68249568017</v>
      </c>
      <c r="CP45" s="106">
        <f>+PMGR!CP45+BP!CP45</f>
        <v>0</v>
      </c>
      <c r="CQ45" s="106">
        <f>+PMGR!CQ45+BP!CQ45</f>
        <v>0</v>
      </c>
      <c r="CR45" s="106">
        <f>+PMGR!CR45+BP!CR45</f>
        <v>861169.93331694813</v>
      </c>
      <c r="CS45" s="106">
        <f t="shared" si="247"/>
        <v>3119635.2892599497</v>
      </c>
      <c r="CT45" s="7" t="str">
        <f t="shared" si="20"/>
        <v>Quarterly Target Incentive</v>
      </c>
      <c r="CU45" s="106">
        <f>+PMGR!CU45+BP!CU45</f>
        <v>0</v>
      </c>
      <c r="CV45" s="106">
        <f>+PMGR!CV45+BP!CV45</f>
        <v>0</v>
      </c>
      <c r="CW45" s="106">
        <f>+PMGR!CW45+BP!CW45</f>
        <v>414580.00959038403</v>
      </c>
      <c r="CX45" s="106">
        <f>+PMGR!CX45+BP!CX45</f>
        <v>0</v>
      </c>
      <c r="CY45" s="106">
        <f>+PMGR!CY45+BP!CY45</f>
        <v>0</v>
      </c>
      <c r="CZ45" s="106">
        <f>+PMGR!CZ45+BP!CZ45</f>
        <v>685318.29136434</v>
      </c>
      <c r="DA45" s="106">
        <f>+PMGR!DA45+BP!DA45</f>
        <v>0</v>
      </c>
      <c r="DB45" s="106">
        <f>+PMGR!DB45+BP!DB45</f>
        <v>0</v>
      </c>
      <c r="DC45" s="106">
        <f>+PMGR!DC45+BP!DC45</f>
        <v>803691.68217792001</v>
      </c>
      <c r="DD45" s="106">
        <f>+PMGR!DD45+BP!DD45</f>
        <v>0</v>
      </c>
      <c r="DE45" s="106">
        <f>+PMGR!DE45+BP!DE45</f>
        <v>0</v>
      </c>
      <c r="DF45" s="106">
        <f>+PMGR!DF45+BP!DF45</f>
        <v>0</v>
      </c>
      <c r="DG45" s="106">
        <f t="shared" si="248"/>
        <v>1903589.9831326441</v>
      </c>
      <c r="DH45" s="118"/>
      <c r="DI45" s="106">
        <f>+PMGR!DI45+BP!DI45</f>
        <v>0</v>
      </c>
      <c r="DJ45" s="106">
        <f>+PMGR!DJ45+BP!DJ45</f>
        <v>0</v>
      </c>
      <c r="DK45" s="106">
        <f>+PMGR!DK45+BP!DK45</f>
        <v>602095.36530937499</v>
      </c>
      <c r="DL45" s="106">
        <f>+PMGR!DL45+BP!DL45</f>
        <v>0</v>
      </c>
      <c r="DM45" s="106">
        <f>+PMGR!DM45+BP!DM45</f>
        <v>0</v>
      </c>
      <c r="DN45" s="106">
        <f>+PMGR!DN45+BP!DN45</f>
        <v>568906.32071700017</v>
      </c>
      <c r="DO45" s="106">
        <f>+PMGR!DO45+BP!DO45</f>
        <v>0</v>
      </c>
      <c r="DP45" s="106">
        <f>+PMGR!DP45+BP!DP45</f>
        <v>0</v>
      </c>
      <c r="DQ45" s="106">
        <f>+PMGR!DQ45+BP!DQ45</f>
        <v>617189.10190174996</v>
      </c>
      <c r="DR45" s="106">
        <f>+PMGR!DR45+BP!DR45</f>
        <v>0</v>
      </c>
      <c r="DS45" s="106">
        <f>+PMGR!DS45+BP!DS45</f>
        <v>0</v>
      </c>
      <c r="DT45" s="106">
        <f>+PMGR!DT45+BP!DT45</f>
        <v>592019.56880937505</v>
      </c>
      <c r="DU45" s="106">
        <f t="shared" si="249"/>
        <v>2380210.3567375005</v>
      </c>
      <c r="DV45" s="106"/>
      <c r="DW45" s="106">
        <f>+PMGR!DW45+BP!DW45</f>
        <v>0</v>
      </c>
      <c r="DX45" s="106">
        <f>+PMGR!DX45+BP!DX45</f>
        <v>0</v>
      </c>
      <c r="DY45" s="106">
        <f>+PMGR!DY45+BP!DY45</f>
        <v>0</v>
      </c>
      <c r="DZ45" s="106">
        <f>+PMGR!DZ45+BP!DZ45</f>
        <v>0</v>
      </c>
      <c r="EA45" s="106">
        <f>+PMGR!EA45+BP!EA45</f>
        <v>0</v>
      </c>
      <c r="EB45" s="106">
        <f>+PMGR!EB45+BP!EB45</f>
        <v>0</v>
      </c>
      <c r="EC45" s="106">
        <f>+PMGR!EC45+BP!EC45</f>
        <v>0</v>
      </c>
      <c r="ED45" s="106">
        <f>+PMGR!ED45+BP!ED45</f>
        <v>0</v>
      </c>
      <c r="EE45" s="106">
        <f>+PMGR!EE45+BP!EE45</f>
        <v>0</v>
      </c>
      <c r="EF45" s="106">
        <f>+PMGR!EF45+BP!EF45</f>
        <v>0</v>
      </c>
      <c r="EG45" s="106">
        <f>+PMGR!EG45+BP!EG45</f>
        <v>0</v>
      </c>
      <c r="EH45" s="106">
        <f>+PMGR!EH45+BP!EH45</f>
        <v>0</v>
      </c>
      <c r="EI45" s="106">
        <f t="shared" si="250"/>
        <v>0</v>
      </c>
      <c r="EJ45" s="7" t="str">
        <f t="shared" si="93"/>
        <v>Quarterly Target Incentive</v>
      </c>
      <c r="EK45" s="106">
        <f>+PMGR!EK45+BP!EK45</f>
        <v>0</v>
      </c>
      <c r="EL45" s="106">
        <f>+PMGR!EL45+BP!EL45</f>
        <v>0</v>
      </c>
      <c r="EM45" s="106">
        <f>+PMGR!EM45+BP!EM45</f>
        <v>276386.673060256</v>
      </c>
      <c r="EN45" s="106">
        <f>+PMGR!EN45+BP!EN45</f>
        <v>0</v>
      </c>
      <c r="EO45" s="106">
        <f>+PMGR!EO45+BP!EO45</f>
        <v>0</v>
      </c>
      <c r="EP45" s="106">
        <f>+PMGR!EP45+BP!EP45</f>
        <v>456878.86090956006</v>
      </c>
      <c r="EQ45" s="106">
        <f>+PMGR!EQ45+BP!EQ45</f>
        <v>0</v>
      </c>
      <c r="ER45" s="106">
        <f>+PMGR!ER45+BP!ER45</f>
        <v>0</v>
      </c>
      <c r="ES45" s="106">
        <f>+PMGR!ES45+BP!ES45</f>
        <v>535794.45478528005</v>
      </c>
      <c r="ET45" s="106">
        <f>+PMGR!ET45+BP!ET45</f>
        <v>0</v>
      </c>
      <c r="EU45" s="106">
        <f>+PMGR!EU45+BP!EU45</f>
        <v>0</v>
      </c>
      <c r="EV45" s="106">
        <f>+PMGR!EV45+BP!EV45</f>
        <v>0</v>
      </c>
      <c r="EW45" s="106">
        <f t="shared" si="251"/>
        <v>1269059.9887550962</v>
      </c>
      <c r="EX45" s="118"/>
      <c r="EY45" s="106">
        <f>+PMGR!EY45+BP!EY45</f>
        <v>0</v>
      </c>
      <c r="EZ45" s="106">
        <f>+PMGR!EZ45+BP!EZ45</f>
        <v>0</v>
      </c>
      <c r="FA45" s="106">
        <f>+PMGR!FA45+BP!FA45</f>
        <v>172027.24723124999</v>
      </c>
      <c r="FB45" s="106">
        <f>+PMGR!FB45+BP!FB45</f>
        <v>0</v>
      </c>
      <c r="FC45" s="106">
        <f>+PMGR!FC45+BP!FC45</f>
        <v>0</v>
      </c>
      <c r="FD45" s="106">
        <f>+PMGR!FD45+BP!FD45</f>
        <v>162544.66306200004</v>
      </c>
      <c r="FE45" s="106">
        <f>+PMGR!FE45+BP!FE45</f>
        <v>0</v>
      </c>
      <c r="FF45" s="106">
        <f>+PMGR!FF45+BP!FF45</f>
        <v>0</v>
      </c>
      <c r="FG45" s="106">
        <f>+PMGR!FG45+BP!FG45</f>
        <v>176339.74340049998</v>
      </c>
      <c r="FH45" s="106">
        <f>+PMGR!FH45+BP!FH45</f>
        <v>0</v>
      </c>
      <c r="FI45" s="106">
        <f>+PMGR!FI45+BP!FI45</f>
        <v>0</v>
      </c>
      <c r="FJ45" s="106">
        <f>+PMGR!FJ45+BP!FJ45</f>
        <v>169148.44823124999</v>
      </c>
      <c r="FK45" s="106">
        <f t="shared" si="252"/>
        <v>680060.10192499997</v>
      </c>
    </row>
    <row r="46" spans="1:167" ht="14.45" customHeight="1">
      <c r="A46" s="106">
        <f t="shared" si="239"/>
        <v>0</v>
      </c>
      <c r="B46" s="106">
        <f t="shared" si="239"/>
        <v>0</v>
      </c>
      <c r="C46" s="106">
        <f t="shared" si="239"/>
        <v>1239680</v>
      </c>
      <c r="D46" s="106">
        <f t="shared" si="239"/>
        <v>0</v>
      </c>
      <c r="E46" s="106">
        <f t="shared" si="239"/>
        <v>0</v>
      </c>
      <c r="F46" s="106">
        <f t="shared" si="239"/>
        <v>2116850</v>
      </c>
      <c r="G46" s="106">
        <f t="shared" si="239"/>
        <v>0</v>
      </c>
      <c r="H46" s="106">
        <f t="shared" si="239"/>
        <v>0</v>
      </c>
      <c r="I46" s="106">
        <f t="shared" si="239"/>
        <v>2022640</v>
      </c>
      <c r="J46" s="106">
        <f t="shared" si="239"/>
        <v>0</v>
      </c>
      <c r="K46" s="106">
        <f t="shared" si="239"/>
        <v>0</v>
      </c>
      <c r="L46" s="106">
        <f t="shared" si="239"/>
        <v>2918137.5</v>
      </c>
      <c r="M46" s="106">
        <f t="shared" si="170"/>
        <v>8297307.5</v>
      </c>
      <c r="N46" s="7" t="s">
        <v>40</v>
      </c>
      <c r="O46" s="106">
        <f t="shared" si="240"/>
        <v>0</v>
      </c>
      <c r="P46" s="106">
        <f t="shared" si="240"/>
        <v>0</v>
      </c>
      <c r="Q46" s="106">
        <f t="shared" si="240"/>
        <v>2298900</v>
      </c>
      <c r="R46" s="106">
        <f t="shared" si="240"/>
        <v>0</v>
      </c>
      <c r="S46" s="106">
        <f t="shared" si="240"/>
        <v>0</v>
      </c>
      <c r="T46" s="106">
        <f t="shared" si="240"/>
        <v>1099650</v>
      </c>
      <c r="U46" s="106">
        <f t="shared" si="240"/>
        <v>0</v>
      </c>
      <c r="V46" s="106">
        <f t="shared" si="240"/>
        <v>0</v>
      </c>
      <c r="W46" s="106">
        <f t="shared" si="240"/>
        <v>3533100</v>
      </c>
      <c r="X46" s="106">
        <f t="shared" si="240"/>
        <v>0</v>
      </c>
      <c r="Y46" s="106">
        <f t="shared" si="240"/>
        <v>0</v>
      </c>
      <c r="Z46" s="106">
        <f t="shared" si="240"/>
        <v>0</v>
      </c>
      <c r="AA46" s="106">
        <f t="shared" si="241"/>
        <v>6931650</v>
      </c>
      <c r="AB46" s="118"/>
      <c r="AC46" s="106">
        <f t="shared" si="242"/>
        <v>0</v>
      </c>
      <c r="AD46" s="106">
        <f t="shared" si="242"/>
        <v>0</v>
      </c>
      <c r="AE46" s="106">
        <f t="shared" si="242"/>
        <v>5195082.1050000004</v>
      </c>
      <c r="AF46" s="106">
        <f t="shared" si="242"/>
        <v>0</v>
      </c>
      <c r="AG46" s="106">
        <f t="shared" si="242"/>
        <v>0</v>
      </c>
      <c r="AH46" s="106">
        <f t="shared" si="242"/>
        <v>4984081.3166400008</v>
      </c>
      <c r="AI46" s="106">
        <f t="shared" si="242"/>
        <v>0</v>
      </c>
      <c r="AJ46" s="106">
        <f t="shared" si="242"/>
        <v>0</v>
      </c>
      <c r="AK46" s="106">
        <f t="shared" si="242"/>
        <v>5536008.6900000004</v>
      </c>
      <c r="AL46" s="106">
        <f t="shared" si="242"/>
        <v>0</v>
      </c>
      <c r="AM46" s="106">
        <f t="shared" si="242"/>
        <v>0</v>
      </c>
      <c r="AN46" s="106">
        <f t="shared" si="242"/>
        <v>5184929.79</v>
      </c>
      <c r="AO46" s="106">
        <f t="shared" si="243"/>
        <v>20900101.901640002</v>
      </c>
      <c r="AP46" s="106"/>
      <c r="AQ46" s="106">
        <f>+PMGR!AQ46+BP!AQ46</f>
        <v>0</v>
      </c>
      <c r="AR46" s="106">
        <f>+PMGR!AR46+BP!AR46</f>
        <v>0</v>
      </c>
      <c r="AS46" s="106">
        <f>+PMGR!AS46+BP!AS46</f>
        <v>756204.79999999993</v>
      </c>
      <c r="AT46" s="106">
        <f>+PMGR!AT46+BP!AT46</f>
        <v>0</v>
      </c>
      <c r="AU46" s="106">
        <f>+PMGR!AU46+BP!AU46</f>
        <v>0</v>
      </c>
      <c r="AV46" s="106">
        <f>+PMGR!AV46+BP!AV46</f>
        <v>1270110</v>
      </c>
      <c r="AW46" s="106">
        <f>+PMGR!AW46+BP!AW46</f>
        <v>0</v>
      </c>
      <c r="AX46" s="106">
        <f>+PMGR!AX46+BP!AX46</f>
        <v>0</v>
      </c>
      <c r="AY46" s="106">
        <f>+PMGR!AY46+BP!AY46</f>
        <v>1213584</v>
      </c>
      <c r="AZ46" s="106">
        <f>+PMGR!AZ46+BP!AZ46</f>
        <v>0</v>
      </c>
      <c r="BA46" s="106">
        <f>+PMGR!BA46+BP!BA46</f>
        <v>0</v>
      </c>
      <c r="BB46" s="106">
        <f>+PMGR!BB46+BP!BB46</f>
        <v>1750882.5</v>
      </c>
      <c r="BC46" s="106">
        <f t="shared" si="244"/>
        <v>4990781.3</v>
      </c>
      <c r="BD46" s="7" t="str">
        <f t="shared" si="16"/>
        <v>Qualitative Quarterly Incentive</v>
      </c>
      <c r="BE46" s="106">
        <f>+PMGR!BE46+BP!BE46</f>
        <v>0</v>
      </c>
      <c r="BF46" s="106">
        <f>+PMGR!BF46+BP!BF46</f>
        <v>0</v>
      </c>
      <c r="BG46" s="106">
        <f>+PMGR!BG46+BP!BG46</f>
        <v>1149450</v>
      </c>
      <c r="BH46" s="106">
        <f>+PMGR!BH46+BP!BH46</f>
        <v>0</v>
      </c>
      <c r="BI46" s="106">
        <f>+PMGR!BI46+BP!BI46</f>
        <v>0</v>
      </c>
      <c r="BJ46" s="106">
        <f>+PMGR!BJ46+BP!BJ46</f>
        <v>549825</v>
      </c>
      <c r="BK46" s="106">
        <f>+PMGR!BK46+BP!BK46</f>
        <v>0</v>
      </c>
      <c r="BL46" s="106">
        <f>+PMGR!BL46+BP!BL46</f>
        <v>0</v>
      </c>
      <c r="BM46" s="106">
        <f>+PMGR!BM46+BP!BM46</f>
        <v>1766550</v>
      </c>
      <c r="BN46" s="106">
        <f>+PMGR!BN46+BP!BN46</f>
        <v>0</v>
      </c>
      <c r="BO46" s="106">
        <f>+PMGR!BO46+BP!BO46</f>
        <v>0</v>
      </c>
      <c r="BP46" s="106">
        <f>+PMGR!BP46+BP!BP46</f>
        <v>0</v>
      </c>
      <c r="BQ46" s="106">
        <f t="shared" si="245"/>
        <v>3465825</v>
      </c>
      <c r="BR46" s="118"/>
      <c r="BS46" s="106">
        <f>+PMGR!BS46+BP!BS46</f>
        <v>0</v>
      </c>
      <c r="BT46" s="106">
        <f>+PMGR!BT46+BP!BT46</f>
        <v>0</v>
      </c>
      <c r="BU46" s="106">
        <f>+PMGR!BU46+BP!BU46</f>
        <v>2857295.1577500002</v>
      </c>
      <c r="BV46" s="106">
        <f>+PMGR!BV46+BP!BV46</f>
        <v>0</v>
      </c>
      <c r="BW46" s="106">
        <f>+PMGR!BW46+BP!BW46</f>
        <v>0</v>
      </c>
      <c r="BX46" s="106">
        <f>+PMGR!BX46+BP!BX46</f>
        <v>2741244.7241520002</v>
      </c>
      <c r="BY46" s="106">
        <f>+PMGR!BY46+BP!BY46</f>
        <v>0</v>
      </c>
      <c r="BZ46" s="106">
        <f>+PMGR!BZ46+BP!BZ46</f>
        <v>0</v>
      </c>
      <c r="CA46" s="106">
        <f>+PMGR!CA46+BP!CA46</f>
        <v>3044804.7795000006</v>
      </c>
      <c r="CB46" s="106">
        <f>+PMGR!CB46+BP!CB46</f>
        <v>0</v>
      </c>
      <c r="CC46" s="106">
        <f>+PMGR!CC46+BP!CC46</f>
        <v>0</v>
      </c>
      <c r="CD46" s="106">
        <f>+PMGR!CD46+BP!CD46</f>
        <v>2851711.3844999997</v>
      </c>
      <c r="CE46" s="106">
        <f t="shared" si="246"/>
        <v>11495056.045901999</v>
      </c>
      <c r="CF46" s="106"/>
      <c r="CG46" s="106">
        <f>+PMGR!CG46+BP!CG46</f>
        <v>0</v>
      </c>
      <c r="CH46" s="106">
        <f>+PMGR!CH46+BP!CH46</f>
        <v>0</v>
      </c>
      <c r="CI46" s="106">
        <f>+PMGR!CI46+BP!CI46</f>
        <v>483475.20000000001</v>
      </c>
      <c r="CJ46" s="106">
        <f>+PMGR!CJ46+BP!CJ46</f>
        <v>0</v>
      </c>
      <c r="CK46" s="106">
        <f>+PMGR!CK46+BP!CK46</f>
        <v>0</v>
      </c>
      <c r="CL46" s="106">
        <f>+PMGR!CL46+BP!CL46</f>
        <v>846740</v>
      </c>
      <c r="CM46" s="106">
        <f>+PMGR!CM46+BP!CM46</f>
        <v>0</v>
      </c>
      <c r="CN46" s="106">
        <f>+PMGR!CN46+BP!CN46</f>
        <v>0</v>
      </c>
      <c r="CO46" s="106">
        <f>+PMGR!CO46+BP!CO46</f>
        <v>809056</v>
      </c>
      <c r="CP46" s="106">
        <f>+PMGR!CP46+BP!CP46</f>
        <v>0</v>
      </c>
      <c r="CQ46" s="106">
        <f>+PMGR!CQ46+BP!CQ46</f>
        <v>0</v>
      </c>
      <c r="CR46" s="106">
        <f>+PMGR!CR46+BP!CR46</f>
        <v>1167255</v>
      </c>
      <c r="CS46" s="106">
        <f t="shared" si="247"/>
        <v>3306526.2</v>
      </c>
      <c r="CT46" s="7" t="str">
        <f t="shared" si="20"/>
        <v>Qualitative Quarterly Incentive</v>
      </c>
      <c r="CU46" s="106">
        <f>+PMGR!CU46+BP!CU46</f>
        <v>0</v>
      </c>
      <c r="CV46" s="106">
        <f>+PMGR!CV46+BP!CV46</f>
        <v>0</v>
      </c>
      <c r="CW46" s="106">
        <f>+PMGR!CW46+BP!CW46</f>
        <v>689670</v>
      </c>
      <c r="CX46" s="106">
        <f>+PMGR!CX46+BP!CX46</f>
        <v>0</v>
      </c>
      <c r="CY46" s="106">
        <f>+PMGR!CY46+BP!CY46</f>
        <v>0</v>
      </c>
      <c r="CZ46" s="106">
        <f>+PMGR!CZ46+BP!CZ46</f>
        <v>329895</v>
      </c>
      <c r="DA46" s="106">
        <f>+PMGR!DA46+BP!DA46</f>
        <v>0</v>
      </c>
      <c r="DB46" s="106">
        <f>+PMGR!DB46+BP!DB46</f>
        <v>0</v>
      </c>
      <c r="DC46" s="106">
        <f>+PMGR!DC46+BP!DC46</f>
        <v>1059930</v>
      </c>
      <c r="DD46" s="106">
        <f>+PMGR!DD46+BP!DD46</f>
        <v>0</v>
      </c>
      <c r="DE46" s="106">
        <f>+PMGR!DE46+BP!DE46</f>
        <v>0</v>
      </c>
      <c r="DF46" s="106">
        <f>+PMGR!DF46+BP!DF46</f>
        <v>0</v>
      </c>
      <c r="DG46" s="106">
        <f t="shared" si="248"/>
        <v>2079495</v>
      </c>
      <c r="DH46" s="118"/>
      <c r="DI46" s="106">
        <f>+PMGR!DI46+BP!DI46</f>
        <v>0</v>
      </c>
      <c r="DJ46" s="106">
        <f>+PMGR!DJ46+BP!DJ46</f>
        <v>0</v>
      </c>
      <c r="DK46" s="106">
        <f>+PMGR!DK46+BP!DK46</f>
        <v>1818278.7367500002</v>
      </c>
      <c r="DL46" s="106">
        <f>+PMGR!DL46+BP!DL46</f>
        <v>0</v>
      </c>
      <c r="DM46" s="106">
        <f>+PMGR!DM46+BP!DM46</f>
        <v>0</v>
      </c>
      <c r="DN46" s="106">
        <f>+PMGR!DN46+BP!DN46</f>
        <v>1744428.4608240002</v>
      </c>
      <c r="DO46" s="106">
        <f>+PMGR!DO46+BP!DO46</f>
        <v>0</v>
      </c>
      <c r="DP46" s="106">
        <f>+PMGR!DP46+BP!DP46</f>
        <v>0</v>
      </c>
      <c r="DQ46" s="106">
        <f>+PMGR!DQ46+BP!DQ46</f>
        <v>1937603.0415000003</v>
      </c>
      <c r="DR46" s="106">
        <f>+PMGR!DR46+BP!DR46</f>
        <v>0</v>
      </c>
      <c r="DS46" s="106">
        <f>+PMGR!DS46+BP!DS46</f>
        <v>0</v>
      </c>
      <c r="DT46" s="106">
        <f>+PMGR!DT46+BP!DT46</f>
        <v>1814725.4264999998</v>
      </c>
      <c r="DU46" s="106">
        <f t="shared" si="249"/>
        <v>7315035.6655740011</v>
      </c>
      <c r="DV46" s="106"/>
      <c r="DW46" s="106">
        <f>+PMGR!DW46+BP!DW46</f>
        <v>0</v>
      </c>
      <c r="DX46" s="106">
        <f>+PMGR!DX46+BP!DX46</f>
        <v>0</v>
      </c>
      <c r="DY46" s="106">
        <f>+PMGR!DY46+BP!DY46</f>
        <v>0</v>
      </c>
      <c r="DZ46" s="106">
        <f>+PMGR!DZ46+BP!DZ46</f>
        <v>0</v>
      </c>
      <c r="EA46" s="106">
        <f>+PMGR!EA46+BP!EA46</f>
        <v>0</v>
      </c>
      <c r="EB46" s="106">
        <f>+PMGR!EB46+BP!EB46</f>
        <v>0</v>
      </c>
      <c r="EC46" s="106">
        <f>+PMGR!EC46+BP!EC46</f>
        <v>0</v>
      </c>
      <c r="ED46" s="106">
        <f>+PMGR!ED46+BP!ED46</f>
        <v>0</v>
      </c>
      <c r="EE46" s="106">
        <f>+PMGR!EE46+BP!EE46</f>
        <v>0</v>
      </c>
      <c r="EF46" s="106">
        <f>+PMGR!EF46+BP!EF46</f>
        <v>0</v>
      </c>
      <c r="EG46" s="106">
        <f>+PMGR!EG46+BP!EG46</f>
        <v>0</v>
      </c>
      <c r="EH46" s="106">
        <f>+PMGR!EH46+BP!EH46</f>
        <v>0</v>
      </c>
      <c r="EI46" s="106">
        <f t="shared" si="250"/>
        <v>0</v>
      </c>
      <c r="EJ46" s="7" t="str">
        <f t="shared" si="93"/>
        <v>Qualitative Quarterly Incentive</v>
      </c>
      <c r="EK46" s="106">
        <f>+PMGR!EK46+BP!EK46</f>
        <v>0</v>
      </c>
      <c r="EL46" s="106">
        <f>+PMGR!EL46+BP!EL46</f>
        <v>0</v>
      </c>
      <c r="EM46" s="106">
        <f>+PMGR!EM46+BP!EM46</f>
        <v>459780</v>
      </c>
      <c r="EN46" s="106">
        <f>+PMGR!EN46+BP!EN46</f>
        <v>0</v>
      </c>
      <c r="EO46" s="106">
        <f>+PMGR!EO46+BP!EO46</f>
        <v>0</v>
      </c>
      <c r="EP46" s="106">
        <f>+PMGR!EP46+BP!EP46</f>
        <v>219930</v>
      </c>
      <c r="EQ46" s="106">
        <f>+PMGR!EQ46+BP!EQ46</f>
        <v>0</v>
      </c>
      <c r="ER46" s="106">
        <f>+PMGR!ER46+BP!ER46</f>
        <v>0</v>
      </c>
      <c r="ES46" s="106">
        <f>+PMGR!ES46+BP!ES46</f>
        <v>706620</v>
      </c>
      <c r="ET46" s="106">
        <f>+PMGR!ET46+BP!ET46</f>
        <v>0</v>
      </c>
      <c r="EU46" s="106">
        <f>+PMGR!EU46+BP!EU46</f>
        <v>0</v>
      </c>
      <c r="EV46" s="106">
        <f>+PMGR!EV46+BP!EV46</f>
        <v>0</v>
      </c>
      <c r="EW46" s="106">
        <f t="shared" si="251"/>
        <v>1386330</v>
      </c>
      <c r="EX46" s="118"/>
      <c r="EY46" s="106">
        <f>+PMGR!EY46+BP!EY46</f>
        <v>0</v>
      </c>
      <c r="EZ46" s="106">
        <f>+PMGR!EZ46+BP!EZ46</f>
        <v>0</v>
      </c>
      <c r="FA46" s="106">
        <f>+PMGR!FA46+BP!FA46</f>
        <v>519508.21050000004</v>
      </c>
      <c r="FB46" s="106">
        <f>+PMGR!FB46+BP!FB46</f>
        <v>0</v>
      </c>
      <c r="FC46" s="106">
        <f>+PMGR!FC46+BP!FC46</f>
        <v>0</v>
      </c>
      <c r="FD46" s="106">
        <f>+PMGR!FD46+BP!FD46</f>
        <v>498408.13166400004</v>
      </c>
      <c r="FE46" s="106">
        <f>+PMGR!FE46+BP!FE46</f>
        <v>0</v>
      </c>
      <c r="FF46" s="106">
        <f>+PMGR!FF46+BP!FF46</f>
        <v>0</v>
      </c>
      <c r="FG46" s="106">
        <f>+PMGR!FG46+BP!FG46</f>
        <v>553600.86900000006</v>
      </c>
      <c r="FH46" s="106">
        <f>+PMGR!FH46+BP!FH46</f>
        <v>0</v>
      </c>
      <c r="FI46" s="106">
        <f>+PMGR!FI46+BP!FI46</f>
        <v>0</v>
      </c>
      <c r="FJ46" s="106">
        <f>+PMGR!FJ46+BP!FJ46</f>
        <v>518492.97899999999</v>
      </c>
      <c r="FK46" s="106">
        <f t="shared" si="252"/>
        <v>2090010.190164</v>
      </c>
    </row>
    <row r="47" spans="1:167" ht="14.45" customHeight="1">
      <c r="A47" s="59">
        <f>+A43+A44+A45+A46</f>
        <v>11653307.631743014</v>
      </c>
      <c r="B47" s="59">
        <f t="shared" ref="B47:M47" si="253">+B43+B44+B45+B46</f>
        <v>14209561.927743029</v>
      </c>
      <c r="C47" s="59">
        <f t="shared" si="253"/>
        <v>13520211.992024098</v>
      </c>
      <c r="D47" s="59">
        <f t="shared" si="253"/>
        <v>9432125.5178353842</v>
      </c>
      <c r="E47" s="59">
        <f t="shared" si="253"/>
        <v>9294233.5431623086</v>
      </c>
      <c r="F47" s="59">
        <f t="shared" si="253"/>
        <v>12572178.281210197</v>
      </c>
      <c r="G47" s="59">
        <f t="shared" si="253"/>
        <v>11845344.872530404</v>
      </c>
      <c r="H47" s="59">
        <f t="shared" si="253"/>
        <v>11927477.218633916</v>
      </c>
      <c r="I47" s="59">
        <f t="shared" si="253"/>
        <v>13301889.073959876</v>
      </c>
      <c r="J47" s="59">
        <f t="shared" si="253"/>
        <v>11516232.262157874</v>
      </c>
      <c r="K47" s="59">
        <f t="shared" si="253"/>
        <v>14042945.923188856</v>
      </c>
      <c r="L47" s="59">
        <f t="shared" si="253"/>
        <v>20081856.012535602</v>
      </c>
      <c r="M47" s="59">
        <f t="shared" si="253"/>
        <v>153397364.25672457</v>
      </c>
      <c r="N47" s="10" t="s">
        <v>41</v>
      </c>
      <c r="O47" s="59">
        <f>+O43+O44+O45+O46</f>
        <v>11156144.743171841</v>
      </c>
      <c r="P47" s="59">
        <f t="shared" ref="P47:AA47" si="254">+P43+P44+P45+P46</f>
        <v>8291887.3223365629</v>
      </c>
      <c r="Q47" s="59">
        <f t="shared" si="254"/>
        <v>16733949.442785433</v>
      </c>
      <c r="R47" s="59">
        <f t="shared" si="254"/>
        <v>12241284.203013578</v>
      </c>
      <c r="S47" s="59">
        <f t="shared" si="254"/>
        <v>17085076.682909112</v>
      </c>
      <c r="T47" s="59">
        <f t="shared" si="254"/>
        <v>14750055.696630657</v>
      </c>
      <c r="U47" s="59">
        <f t="shared" si="254"/>
        <v>14581234.487625137</v>
      </c>
      <c r="V47" s="59">
        <f t="shared" si="254"/>
        <v>14412381.671017498</v>
      </c>
      <c r="W47" s="59">
        <f t="shared" si="254"/>
        <v>19865115.696662214</v>
      </c>
      <c r="X47" s="59">
        <f t="shared" si="254"/>
        <v>11949485.880965106</v>
      </c>
      <c r="Y47" s="59">
        <f t="shared" si="254"/>
        <v>0</v>
      </c>
      <c r="Z47" s="59">
        <f t="shared" si="254"/>
        <v>0</v>
      </c>
      <c r="AA47" s="59">
        <f t="shared" si="254"/>
        <v>141066615.82711715</v>
      </c>
      <c r="AB47" s="118"/>
      <c r="AC47" s="59">
        <f>+AC43+AC44+AC45+AC46</f>
        <v>14824151.603250669</v>
      </c>
      <c r="AD47" s="59">
        <f t="shared" ref="AD47:AO47" si="255">+AD43+AD44+AD45+AD46</f>
        <v>14409272.27791818</v>
      </c>
      <c r="AE47" s="59">
        <f t="shared" si="255"/>
        <v>21670178.945607919</v>
      </c>
      <c r="AF47" s="59">
        <f t="shared" si="255"/>
        <v>12170218.27089842</v>
      </c>
      <c r="AG47" s="59">
        <f t="shared" si="255"/>
        <v>14259733.93628891</v>
      </c>
      <c r="AH47" s="59">
        <f t="shared" si="255"/>
        <v>21596563.615391418</v>
      </c>
      <c r="AI47" s="59">
        <f t="shared" si="255"/>
        <v>15668368.871043671</v>
      </c>
      <c r="AJ47" s="59">
        <f t="shared" si="255"/>
        <v>16071023.550003167</v>
      </c>
      <c r="AK47" s="59">
        <f t="shared" si="255"/>
        <v>23614722.735279921</v>
      </c>
      <c r="AL47" s="59">
        <f t="shared" si="255"/>
        <v>13507378.571876001</v>
      </c>
      <c r="AM47" s="59">
        <f t="shared" si="255"/>
        <v>12124833.752144018</v>
      </c>
      <c r="AN47" s="59">
        <f t="shared" si="255"/>
        <v>21728422.676029481</v>
      </c>
      <c r="AO47" s="59">
        <f t="shared" si="255"/>
        <v>201644868.80573183</v>
      </c>
      <c r="AP47" s="106"/>
      <c r="AQ47" s="59">
        <f t="shared" ref="AQ47:BB47" si="256">+AQ43+AQ44+AQ45+AQ46</f>
        <v>6395653.4855412617</v>
      </c>
      <c r="AR47" s="59">
        <f t="shared" si="256"/>
        <v>8825958.824978698</v>
      </c>
      <c r="AS47" s="59">
        <f t="shared" si="256"/>
        <v>8021194.74410115</v>
      </c>
      <c r="AT47" s="59">
        <f t="shared" si="256"/>
        <v>6387466.6987894643</v>
      </c>
      <c r="AU47" s="59">
        <f t="shared" si="256"/>
        <v>4034148.5321865813</v>
      </c>
      <c r="AV47" s="59">
        <f t="shared" si="256"/>
        <v>7213564.5276156599</v>
      </c>
      <c r="AW47" s="59">
        <f t="shared" si="256"/>
        <v>7119778.412192598</v>
      </c>
      <c r="AX47" s="59">
        <f t="shared" si="256"/>
        <v>7025225.2083339551</v>
      </c>
      <c r="AY47" s="59">
        <f t="shared" si="256"/>
        <v>8175433.067473134</v>
      </c>
      <c r="AZ47" s="59">
        <f t="shared" si="256"/>
        <v>5312468.1226617889</v>
      </c>
      <c r="BA47" s="59">
        <f t="shared" si="256"/>
        <v>7204381.7989336699</v>
      </c>
      <c r="BB47" s="59">
        <f t="shared" si="256"/>
        <v>13660069.550651981</v>
      </c>
      <c r="BC47" s="59">
        <f t="shared" ref="BC47" si="257">+BC43+BC44+BC45+BC46</f>
        <v>89375342.973459944</v>
      </c>
      <c r="BD47" s="10" t="str">
        <f t="shared" si="16"/>
        <v>Gross Profit 2</v>
      </c>
      <c r="BE47" s="59">
        <f t="shared" ref="BE47:BP47" si="258">+BE43+BE44+BE45+BE46</f>
        <v>6198280.4894225001</v>
      </c>
      <c r="BF47" s="59">
        <f t="shared" si="258"/>
        <v>4927519.2546735378</v>
      </c>
      <c r="BG47" s="59">
        <f t="shared" si="258"/>
        <v>9840348.8941082731</v>
      </c>
      <c r="BH47" s="59">
        <f t="shared" si="258"/>
        <v>7922500.7955285907</v>
      </c>
      <c r="BI47" s="59">
        <f t="shared" si="258"/>
        <v>11511914.154144172</v>
      </c>
      <c r="BJ47" s="59">
        <f t="shared" si="258"/>
        <v>7846243.9371011192</v>
      </c>
      <c r="BK47" s="59">
        <f t="shared" si="258"/>
        <v>8645964.9987336509</v>
      </c>
      <c r="BL47" s="59">
        <f t="shared" si="258"/>
        <v>7609876.7786164768</v>
      </c>
      <c r="BM47" s="59">
        <f t="shared" si="258"/>
        <v>12017344.635276871</v>
      </c>
      <c r="BN47" s="59">
        <f t="shared" si="258"/>
        <v>6225760.8716755668</v>
      </c>
      <c r="BO47" s="59">
        <f t="shared" si="258"/>
        <v>0</v>
      </c>
      <c r="BP47" s="59">
        <f t="shared" si="258"/>
        <v>0</v>
      </c>
      <c r="BQ47" s="59">
        <f t="shared" ref="BQ47" si="259">+BQ43+BQ44+BQ45+BQ46</f>
        <v>82745754.809280753</v>
      </c>
      <c r="BR47" s="118"/>
      <c r="BS47" s="59">
        <f t="shared" ref="BS47:CD47" si="260">+BS43+BS44+BS45+BS46</f>
        <v>7842328.8473057812</v>
      </c>
      <c r="BT47" s="59">
        <f t="shared" si="260"/>
        <v>7582197.0807581078</v>
      </c>
      <c r="BU47" s="59">
        <f t="shared" si="260"/>
        <v>10845546.675189471</v>
      </c>
      <c r="BV47" s="59">
        <f t="shared" si="260"/>
        <v>6437524.1239269963</v>
      </c>
      <c r="BW47" s="59">
        <f t="shared" si="260"/>
        <v>7248161.1450232686</v>
      </c>
      <c r="BX47" s="59">
        <f t="shared" si="260"/>
        <v>11177359.138594598</v>
      </c>
      <c r="BY47" s="59">
        <f t="shared" si="260"/>
        <v>7764496.7681257371</v>
      </c>
      <c r="BZ47" s="59">
        <f t="shared" si="260"/>
        <v>8128925.0678774081</v>
      </c>
      <c r="CA47" s="59">
        <f t="shared" si="260"/>
        <v>12576341.694222722</v>
      </c>
      <c r="CB47" s="59">
        <f t="shared" si="260"/>
        <v>7464402.2407324361</v>
      </c>
      <c r="CC47" s="59">
        <f t="shared" si="260"/>
        <v>5865694.8198077837</v>
      </c>
      <c r="CD47" s="59">
        <f t="shared" si="260"/>
        <v>11691620.82116314</v>
      </c>
      <c r="CE47" s="59">
        <f t="shared" ref="CE47" si="261">+CE43+CE44+CE45+CE46</f>
        <v>104624598.42272745</v>
      </c>
      <c r="CF47" s="106"/>
      <c r="CG47" s="59">
        <f t="shared" ref="CG47:CR47" si="262">+CG43+CG44+CG45+CG46</f>
        <v>5257654.1462017503</v>
      </c>
      <c r="CH47" s="59">
        <f t="shared" si="262"/>
        <v>5383603.1027643215</v>
      </c>
      <c r="CI47" s="59">
        <f t="shared" si="262"/>
        <v>5499017.2479229541</v>
      </c>
      <c r="CJ47" s="59">
        <f t="shared" si="262"/>
        <v>3044658.8190459199</v>
      </c>
      <c r="CK47" s="59">
        <f t="shared" si="262"/>
        <v>5260085.0109757241</v>
      </c>
      <c r="CL47" s="59">
        <f t="shared" si="262"/>
        <v>5358613.753594528</v>
      </c>
      <c r="CM47" s="59">
        <f t="shared" si="262"/>
        <v>4725566.4603378139</v>
      </c>
      <c r="CN47" s="59">
        <f t="shared" si="262"/>
        <v>4902252.0102999611</v>
      </c>
      <c r="CO47" s="59">
        <f t="shared" si="262"/>
        <v>5126456.0064867418</v>
      </c>
      <c r="CP47" s="59">
        <f t="shared" si="262"/>
        <v>6203764.1394960936</v>
      </c>
      <c r="CQ47" s="59">
        <f t="shared" si="262"/>
        <v>6838564.1242551887</v>
      </c>
      <c r="CR47" s="59">
        <f t="shared" si="262"/>
        <v>6421786.4618836148</v>
      </c>
      <c r="CS47" s="59">
        <f t="shared" ref="CS47" si="263">+CS43+CS44+CS45+CS46</f>
        <v>64022021.283264637</v>
      </c>
      <c r="CT47" s="10" t="str">
        <f t="shared" si="20"/>
        <v>Gross Profit 2</v>
      </c>
      <c r="CU47" s="59">
        <f t="shared" ref="CU47:DF47" si="264">+CU43+CU44+CU45+CU46</f>
        <v>4099032.586249657</v>
      </c>
      <c r="CV47" s="59">
        <f t="shared" si="264"/>
        <v>2201339.4733792045</v>
      </c>
      <c r="CW47" s="59">
        <f t="shared" si="264"/>
        <v>5156202.3748529451</v>
      </c>
      <c r="CX47" s="59">
        <f t="shared" si="264"/>
        <v>3297793.4255565978</v>
      </c>
      <c r="CY47" s="59">
        <f t="shared" si="264"/>
        <v>4621621.1673411652</v>
      </c>
      <c r="CZ47" s="59">
        <f t="shared" si="264"/>
        <v>4547461.606638683</v>
      </c>
      <c r="DA47" s="59">
        <f t="shared" si="264"/>
        <v>4702456.4145795936</v>
      </c>
      <c r="DB47" s="59">
        <f t="shared" si="264"/>
        <v>5159774.5234013619</v>
      </c>
      <c r="DC47" s="59">
        <f t="shared" si="264"/>
        <v>5294082.9637146378</v>
      </c>
      <c r="DD47" s="59">
        <f t="shared" si="264"/>
        <v>4141386.1800509333</v>
      </c>
      <c r="DE47" s="59">
        <f t="shared" si="264"/>
        <v>0</v>
      </c>
      <c r="DF47" s="59">
        <f t="shared" si="264"/>
        <v>0</v>
      </c>
      <c r="DG47" s="59">
        <f t="shared" ref="DG47" si="265">+DG43+DG44+DG45+DG46</f>
        <v>43221150.715764783</v>
      </c>
      <c r="DH47" s="118"/>
      <c r="DI47" s="59">
        <f t="shared" ref="DI47:DT47" si="266">+DI43+DI44+DI45+DI46</f>
        <v>5085377.5722329793</v>
      </c>
      <c r="DJ47" s="59">
        <f t="shared" si="266"/>
        <v>5066651.3643030031</v>
      </c>
      <c r="DK47" s="59">
        <f t="shared" si="266"/>
        <v>8145495.8811124153</v>
      </c>
      <c r="DL47" s="59">
        <f t="shared" si="266"/>
        <v>3985046.5135578425</v>
      </c>
      <c r="DM47" s="59">
        <f t="shared" si="266"/>
        <v>4882201.0538360141</v>
      </c>
      <c r="DN47" s="59">
        <f t="shared" si="266"/>
        <v>7626914.375496041</v>
      </c>
      <c r="DO47" s="59">
        <f t="shared" si="266"/>
        <v>5478182.5543351285</v>
      </c>
      <c r="DP47" s="59">
        <f t="shared" si="266"/>
        <v>5614198.7526881024</v>
      </c>
      <c r="DQ47" s="59">
        <f t="shared" si="266"/>
        <v>8106438.5978076644</v>
      </c>
      <c r="DR47" s="59">
        <f t="shared" si="266"/>
        <v>4439506.4758080291</v>
      </c>
      <c r="DS47" s="59">
        <f t="shared" si="266"/>
        <v>4589877.1752909785</v>
      </c>
      <c r="DT47" s="59">
        <f t="shared" si="266"/>
        <v>7592585.9655993897</v>
      </c>
      <c r="DU47" s="59">
        <f t="shared" ref="DU47" si="267">+DU43+DU44+DU45+DU46</f>
        <v>70612476.282067582</v>
      </c>
      <c r="DV47" s="106"/>
      <c r="DW47" s="59">
        <f t="shared" ref="DW47:EH47" si="268">+DW43+DW44+DW45+DW46</f>
        <v>0</v>
      </c>
      <c r="DX47" s="59">
        <f t="shared" si="268"/>
        <v>0</v>
      </c>
      <c r="DY47" s="59">
        <f t="shared" si="268"/>
        <v>0</v>
      </c>
      <c r="DZ47" s="59">
        <f t="shared" si="268"/>
        <v>0</v>
      </c>
      <c r="EA47" s="59">
        <f t="shared" si="268"/>
        <v>0</v>
      </c>
      <c r="EB47" s="59">
        <f t="shared" si="268"/>
        <v>0</v>
      </c>
      <c r="EC47" s="59">
        <f t="shared" si="268"/>
        <v>0</v>
      </c>
      <c r="ED47" s="59">
        <f t="shared" si="268"/>
        <v>0</v>
      </c>
      <c r="EE47" s="59">
        <f t="shared" si="268"/>
        <v>0</v>
      </c>
      <c r="EF47" s="59">
        <f t="shared" si="268"/>
        <v>0</v>
      </c>
      <c r="EG47" s="59">
        <f t="shared" si="268"/>
        <v>0</v>
      </c>
      <c r="EH47" s="59">
        <f t="shared" si="268"/>
        <v>0</v>
      </c>
      <c r="EI47" s="59">
        <f t="shared" ref="EI47" si="269">+EI43+EI44+EI45+EI46</f>
        <v>0</v>
      </c>
      <c r="EJ47" s="10" t="str">
        <f t="shared" si="93"/>
        <v>Gross Profit 2</v>
      </c>
      <c r="EK47" s="59">
        <f t="shared" ref="EK47:EV47" si="270">+EK43+EK44+EK45+EK46</f>
        <v>858831.66749969777</v>
      </c>
      <c r="EL47" s="59">
        <f t="shared" si="270"/>
        <v>1163028.5942838248</v>
      </c>
      <c r="EM47" s="59">
        <f t="shared" si="270"/>
        <v>1737398.1738242186</v>
      </c>
      <c r="EN47" s="59">
        <f t="shared" si="270"/>
        <v>1020989.9819283958</v>
      </c>
      <c r="EO47" s="59">
        <f t="shared" si="270"/>
        <v>951541.36142377451</v>
      </c>
      <c r="EP47" s="59">
        <f t="shared" si="270"/>
        <v>2356350.1528908545</v>
      </c>
      <c r="EQ47" s="59">
        <f t="shared" si="270"/>
        <v>1232813.0743118904</v>
      </c>
      <c r="ER47" s="59">
        <f t="shared" si="270"/>
        <v>1642730.36899966</v>
      </c>
      <c r="ES47" s="59">
        <f t="shared" si="270"/>
        <v>2553688.0976707172</v>
      </c>
      <c r="ET47" s="59">
        <f t="shared" si="270"/>
        <v>1582338.8292386034</v>
      </c>
      <c r="EU47" s="59">
        <f t="shared" si="270"/>
        <v>0</v>
      </c>
      <c r="EV47" s="59">
        <f t="shared" si="270"/>
        <v>0</v>
      </c>
      <c r="EW47" s="59">
        <f t="shared" ref="EW47" si="271">+EW43+EW44+EW45+EW46</f>
        <v>15099710.302071629</v>
      </c>
      <c r="EX47" s="118"/>
      <c r="EY47" s="59">
        <f t="shared" ref="EY47:FJ47" si="272">+EY43+EY44+EY45+EY46</f>
        <v>1896445.1837119083</v>
      </c>
      <c r="EZ47" s="59">
        <f t="shared" si="272"/>
        <v>1760423.8328570584</v>
      </c>
      <c r="FA47" s="59">
        <f t="shared" si="272"/>
        <v>2679136.3893060335</v>
      </c>
      <c r="FB47" s="59">
        <f t="shared" si="272"/>
        <v>1747647.6334135835</v>
      </c>
      <c r="FC47" s="59">
        <f t="shared" si="272"/>
        <v>2129371.7374296337</v>
      </c>
      <c r="FD47" s="59">
        <f t="shared" si="272"/>
        <v>2792290.1013007835</v>
      </c>
      <c r="FE47" s="59">
        <f t="shared" si="272"/>
        <v>2425689.548582809</v>
      </c>
      <c r="FF47" s="59">
        <f t="shared" si="272"/>
        <v>2327899.7294376586</v>
      </c>
      <c r="FG47" s="59">
        <f t="shared" si="272"/>
        <v>2931942.4432495339</v>
      </c>
      <c r="FH47" s="59">
        <f t="shared" si="272"/>
        <v>1603469.8553355415</v>
      </c>
      <c r="FI47" s="59">
        <f t="shared" si="272"/>
        <v>1669261.757045242</v>
      </c>
      <c r="FJ47" s="59">
        <f t="shared" si="272"/>
        <v>2444215.8892669436</v>
      </c>
      <c r="FK47" s="59">
        <f t="shared" ref="FK47" si="273">+FK43+FK44+FK45+FK46</f>
        <v>26407794.100936722</v>
      </c>
    </row>
    <row r="48" spans="1:167" ht="14.45" hidden="1" customHeight="1" outlineLevel="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18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">
        <f t="shared" si="16"/>
        <v>0</v>
      </c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6"/>
      <c r="BQ48" s="106"/>
      <c r="BR48" s="118"/>
      <c r="BS48" s="106"/>
      <c r="BT48" s="106"/>
      <c r="BU48" s="106"/>
      <c r="BV48" s="106"/>
      <c r="BW48" s="106"/>
      <c r="BX48" s="106"/>
      <c r="BY48" s="106"/>
      <c r="BZ48" s="106"/>
      <c r="CA48" s="106"/>
      <c r="CB48" s="106"/>
      <c r="CC48" s="106"/>
      <c r="CD48" s="106"/>
      <c r="CE48" s="106"/>
      <c r="CF48" s="106"/>
      <c r="CG48" s="106"/>
      <c r="CH48" s="106"/>
      <c r="CI48" s="106"/>
      <c r="CJ48" s="106"/>
      <c r="CK48" s="106"/>
      <c r="CL48" s="106"/>
      <c r="CM48" s="106"/>
      <c r="CN48" s="106"/>
      <c r="CO48" s="106"/>
      <c r="CP48" s="106"/>
      <c r="CQ48" s="106"/>
      <c r="CR48" s="106"/>
      <c r="CS48" s="106"/>
      <c r="CT48" s="10">
        <f t="shared" si="20"/>
        <v>0</v>
      </c>
      <c r="CU48" s="106"/>
      <c r="CV48" s="106"/>
      <c r="CW48" s="106"/>
      <c r="CX48" s="106"/>
      <c r="CY48" s="106"/>
      <c r="CZ48" s="106"/>
      <c r="DA48" s="106"/>
      <c r="DB48" s="106"/>
      <c r="DC48" s="106"/>
      <c r="DD48" s="106"/>
      <c r="DE48" s="106"/>
      <c r="DF48" s="106"/>
      <c r="DG48" s="106"/>
      <c r="DH48" s="118"/>
      <c r="DI48" s="106"/>
      <c r="DJ48" s="106"/>
      <c r="DK48" s="106"/>
      <c r="DL48" s="106"/>
      <c r="DM48" s="106"/>
      <c r="DN48" s="106"/>
      <c r="DO48" s="106"/>
      <c r="DP48" s="106"/>
      <c r="DQ48" s="106"/>
      <c r="DR48" s="106"/>
      <c r="DS48" s="106"/>
      <c r="DT48" s="106"/>
      <c r="DU48" s="106"/>
      <c r="DV48" s="106"/>
      <c r="DW48" s="106"/>
      <c r="DX48" s="106"/>
      <c r="DY48" s="106"/>
      <c r="DZ48" s="106"/>
      <c r="EA48" s="106"/>
      <c r="EB48" s="106"/>
      <c r="EC48" s="106"/>
      <c r="ED48" s="106"/>
      <c r="EE48" s="106"/>
      <c r="EF48" s="106"/>
      <c r="EG48" s="106"/>
      <c r="EH48" s="106"/>
      <c r="EI48" s="106"/>
      <c r="EJ48" s="10">
        <f t="shared" si="93"/>
        <v>0</v>
      </c>
      <c r="EK48" s="106"/>
      <c r="EL48" s="106"/>
      <c r="EM48" s="106"/>
      <c r="EN48" s="106"/>
      <c r="EO48" s="106"/>
      <c r="EP48" s="106"/>
      <c r="EQ48" s="106"/>
      <c r="ER48" s="106"/>
      <c r="ES48" s="106"/>
      <c r="ET48" s="106"/>
      <c r="EU48" s="106"/>
      <c r="EV48" s="106"/>
      <c r="EW48" s="106"/>
      <c r="EX48" s="118"/>
      <c r="EY48" s="106"/>
      <c r="EZ48" s="106"/>
      <c r="FA48" s="106"/>
      <c r="FB48" s="106"/>
      <c r="FC48" s="106"/>
      <c r="FD48" s="106"/>
      <c r="FE48" s="106"/>
      <c r="FF48" s="106"/>
      <c r="FG48" s="106"/>
      <c r="FH48" s="106"/>
      <c r="FI48" s="106"/>
      <c r="FJ48" s="106"/>
      <c r="FK48" s="106"/>
    </row>
    <row r="49" spans="1:167" ht="14.45" hidden="1" customHeight="1" outlineLevel="2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5" t="s">
        <v>42</v>
      </c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18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5" t="str">
        <f t="shared" si="16"/>
        <v>Accessceries and VAS</v>
      </c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118"/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E49" s="106"/>
      <c r="CF49" s="106"/>
      <c r="CG49" s="106"/>
      <c r="CH49" s="106"/>
      <c r="CI49" s="106"/>
      <c r="CJ49" s="106"/>
      <c r="CK49" s="106"/>
      <c r="CL49" s="106"/>
      <c r="CM49" s="106"/>
      <c r="CN49" s="106"/>
      <c r="CO49" s="106"/>
      <c r="CP49" s="106"/>
      <c r="CQ49" s="106"/>
      <c r="CR49" s="106"/>
      <c r="CS49" s="106"/>
      <c r="CT49" s="5" t="str">
        <f t="shared" si="20"/>
        <v>Accessceries and VAS</v>
      </c>
      <c r="CU49" s="106"/>
      <c r="CV49" s="106"/>
      <c r="CW49" s="106"/>
      <c r="CX49" s="106"/>
      <c r="CY49" s="106"/>
      <c r="CZ49" s="106"/>
      <c r="DA49" s="106"/>
      <c r="DB49" s="106"/>
      <c r="DC49" s="106"/>
      <c r="DD49" s="106"/>
      <c r="DE49" s="106"/>
      <c r="DF49" s="106"/>
      <c r="DG49" s="106"/>
      <c r="DH49" s="118"/>
      <c r="DI49" s="106"/>
      <c r="DJ49" s="106"/>
      <c r="DK49" s="106"/>
      <c r="DL49" s="106"/>
      <c r="DM49" s="106"/>
      <c r="DN49" s="106"/>
      <c r="DO49" s="106"/>
      <c r="DP49" s="106"/>
      <c r="DQ49" s="106"/>
      <c r="DR49" s="106"/>
      <c r="DS49" s="106"/>
      <c r="DT49" s="106"/>
      <c r="DU49" s="106"/>
      <c r="DV49" s="106"/>
      <c r="DW49" s="106"/>
      <c r="DX49" s="106"/>
      <c r="DY49" s="106"/>
      <c r="DZ49" s="106"/>
      <c r="EA49" s="106"/>
      <c r="EB49" s="106"/>
      <c r="EC49" s="106"/>
      <c r="ED49" s="106"/>
      <c r="EE49" s="106"/>
      <c r="EF49" s="106"/>
      <c r="EG49" s="106"/>
      <c r="EH49" s="106"/>
      <c r="EI49" s="106"/>
      <c r="EJ49" s="5" t="str">
        <f t="shared" si="93"/>
        <v>Accessceries and VAS</v>
      </c>
      <c r="EK49" s="106"/>
      <c r="EL49" s="106"/>
      <c r="EM49" s="106"/>
      <c r="EN49" s="106"/>
      <c r="EO49" s="106"/>
      <c r="EP49" s="106"/>
      <c r="EQ49" s="106"/>
      <c r="ER49" s="106"/>
      <c r="ES49" s="106"/>
      <c r="ET49" s="106"/>
      <c r="EU49" s="106"/>
      <c r="EV49" s="106"/>
      <c r="EW49" s="106"/>
      <c r="EX49" s="118"/>
      <c r="EY49" s="106"/>
      <c r="EZ49" s="106"/>
      <c r="FA49" s="106"/>
      <c r="FB49" s="106"/>
      <c r="FC49" s="106"/>
      <c r="FD49" s="106"/>
      <c r="FE49" s="106"/>
      <c r="FF49" s="106"/>
      <c r="FG49" s="106"/>
      <c r="FH49" s="106"/>
      <c r="FI49" s="106"/>
      <c r="FJ49" s="106"/>
      <c r="FK49" s="106"/>
    </row>
    <row r="50" spans="1:167" ht="14.45" hidden="1" customHeight="1" outlineLevel="2">
      <c r="A50" s="105">
        <f t="shared" ref="A50:L56" si="274">+AQ50+CG50+DW50</f>
        <v>0</v>
      </c>
      <c r="B50" s="105">
        <f t="shared" si="274"/>
        <v>0</v>
      </c>
      <c r="C50" s="105">
        <f t="shared" si="274"/>
        <v>0</v>
      </c>
      <c r="D50" s="105">
        <f t="shared" si="274"/>
        <v>0</v>
      </c>
      <c r="E50" s="105">
        <f t="shared" si="274"/>
        <v>0</v>
      </c>
      <c r="F50" s="105">
        <f t="shared" si="274"/>
        <v>0</v>
      </c>
      <c r="G50" s="105">
        <f t="shared" si="274"/>
        <v>0</v>
      </c>
      <c r="H50" s="105">
        <f t="shared" si="274"/>
        <v>0</v>
      </c>
      <c r="I50" s="105">
        <f t="shared" si="274"/>
        <v>0</v>
      </c>
      <c r="J50" s="105">
        <f t="shared" si="274"/>
        <v>0</v>
      </c>
      <c r="K50" s="105">
        <f t="shared" si="274"/>
        <v>0</v>
      </c>
      <c r="L50" s="105">
        <f t="shared" si="274"/>
        <v>0</v>
      </c>
      <c r="M50" s="105">
        <f t="shared" ref="M50:M56" si="275">+SUM(A50:L50)</f>
        <v>0</v>
      </c>
      <c r="N50" s="13" t="s">
        <v>3</v>
      </c>
      <c r="O50" s="105">
        <f t="shared" ref="O50:Z53" si="276">+BE50+CU50+EK50</f>
        <v>0</v>
      </c>
      <c r="P50" s="105">
        <f t="shared" si="276"/>
        <v>0</v>
      </c>
      <c r="Q50" s="105">
        <f t="shared" si="276"/>
        <v>0</v>
      </c>
      <c r="R50" s="105">
        <f t="shared" si="276"/>
        <v>0</v>
      </c>
      <c r="S50" s="105">
        <f t="shared" si="276"/>
        <v>0</v>
      </c>
      <c r="T50" s="105">
        <f t="shared" si="276"/>
        <v>0</v>
      </c>
      <c r="U50" s="105">
        <f t="shared" si="276"/>
        <v>0</v>
      </c>
      <c r="V50" s="105">
        <f t="shared" si="276"/>
        <v>0</v>
      </c>
      <c r="W50" s="105">
        <f t="shared" si="276"/>
        <v>0</v>
      </c>
      <c r="X50" s="105">
        <f t="shared" si="276"/>
        <v>0</v>
      </c>
      <c r="Y50" s="105">
        <f t="shared" si="276"/>
        <v>0</v>
      </c>
      <c r="Z50" s="105">
        <f t="shared" si="276"/>
        <v>0</v>
      </c>
      <c r="AA50" s="105">
        <f t="shared" ref="AA50:AA53" si="277">+SUM(O50:Z50)</f>
        <v>0</v>
      </c>
      <c r="AB50" s="118"/>
      <c r="AC50" s="105">
        <f t="shared" ref="AC50:AN53" si="278">+BS50+DI50+EY50</f>
        <v>0</v>
      </c>
      <c r="AD50" s="105">
        <f t="shared" si="278"/>
        <v>0</v>
      </c>
      <c r="AE50" s="105">
        <f t="shared" si="278"/>
        <v>0</v>
      </c>
      <c r="AF50" s="105">
        <f t="shared" si="278"/>
        <v>0</v>
      </c>
      <c r="AG50" s="105">
        <f t="shared" si="278"/>
        <v>0</v>
      </c>
      <c r="AH50" s="105">
        <f t="shared" si="278"/>
        <v>0</v>
      </c>
      <c r="AI50" s="105">
        <f t="shared" si="278"/>
        <v>0</v>
      </c>
      <c r="AJ50" s="105">
        <f t="shared" si="278"/>
        <v>0</v>
      </c>
      <c r="AK50" s="105">
        <f t="shared" si="278"/>
        <v>0</v>
      </c>
      <c r="AL50" s="105">
        <f t="shared" si="278"/>
        <v>0</v>
      </c>
      <c r="AM50" s="105">
        <f t="shared" si="278"/>
        <v>0</v>
      </c>
      <c r="AN50" s="105">
        <f t="shared" si="278"/>
        <v>0</v>
      </c>
      <c r="AO50" s="105">
        <f t="shared" ref="AO50:AO53" si="279">+SUM(AC50:AN50)</f>
        <v>0</v>
      </c>
      <c r="AP50" s="106"/>
      <c r="AQ50" s="105">
        <f>+PMGR!AQ50+BP!AQ50</f>
        <v>0</v>
      </c>
      <c r="AR50" s="105">
        <f>+PMGR!AR50+BP!AR50</f>
        <v>0</v>
      </c>
      <c r="AS50" s="105">
        <f>+PMGR!AS50+BP!AS50</f>
        <v>0</v>
      </c>
      <c r="AT50" s="105">
        <f>+PMGR!AT50+BP!AT50</f>
        <v>0</v>
      </c>
      <c r="AU50" s="105">
        <f>+PMGR!AU50+BP!AU50</f>
        <v>0</v>
      </c>
      <c r="AV50" s="105">
        <f>+PMGR!AV50+BP!AV50</f>
        <v>0</v>
      </c>
      <c r="AW50" s="105">
        <f>+PMGR!AW50+BP!AW50</f>
        <v>0</v>
      </c>
      <c r="AX50" s="105">
        <f>+PMGR!AX50+BP!AX50</f>
        <v>0</v>
      </c>
      <c r="AY50" s="105">
        <f>+PMGR!AY50+BP!AY50</f>
        <v>0</v>
      </c>
      <c r="AZ50" s="105">
        <f>+PMGR!AZ50+BP!AZ50</f>
        <v>0</v>
      </c>
      <c r="BA50" s="105">
        <f>+PMGR!BA50+BP!BA50</f>
        <v>0</v>
      </c>
      <c r="BB50" s="105">
        <f>+PMGR!BB50+BP!BB50</f>
        <v>0</v>
      </c>
      <c r="BC50" s="105">
        <f t="shared" ref="BC50:BC53" si="280">+SUM(AQ50:BB50)</f>
        <v>0</v>
      </c>
      <c r="BD50" s="13" t="str">
        <f t="shared" si="16"/>
        <v>No of Cars</v>
      </c>
      <c r="BE50" s="105">
        <f>+PMGR!BE50+BP!BE50</f>
        <v>0</v>
      </c>
      <c r="BF50" s="105">
        <f>+PMGR!BF50+BP!BF50</f>
        <v>0</v>
      </c>
      <c r="BG50" s="105">
        <f>+PMGR!BG50+BP!BG50</f>
        <v>0</v>
      </c>
      <c r="BH50" s="105">
        <f>+PMGR!BH50+BP!BH50</f>
        <v>0</v>
      </c>
      <c r="BI50" s="105">
        <f>+PMGR!BI50+BP!BI50</f>
        <v>0</v>
      </c>
      <c r="BJ50" s="105">
        <f>+PMGR!BJ50+BP!BJ50</f>
        <v>0</v>
      </c>
      <c r="BK50" s="105">
        <f>+PMGR!BK50+BP!BK50</f>
        <v>0</v>
      </c>
      <c r="BL50" s="105">
        <f>+PMGR!BL50+BP!BL50</f>
        <v>0</v>
      </c>
      <c r="BM50" s="105">
        <f>+PMGR!BM50+BP!BM50</f>
        <v>0</v>
      </c>
      <c r="BN50" s="105">
        <f>+PMGR!BN50+BP!BN50</f>
        <v>0</v>
      </c>
      <c r="BO50" s="105">
        <f>+PMGR!BO50+BP!BO50</f>
        <v>0</v>
      </c>
      <c r="BP50" s="105">
        <f>+PMGR!BP50+BP!BP50</f>
        <v>0</v>
      </c>
      <c r="BQ50" s="105">
        <f t="shared" ref="BQ50:BQ53" si="281">+SUM(BE50:BP50)</f>
        <v>0</v>
      </c>
      <c r="BR50" s="118"/>
      <c r="BS50" s="105">
        <f>+PMGR!BS50+BP!BS50</f>
        <v>0</v>
      </c>
      <c r="BT50" s="105">
        <f>+PMGR!BT50+BP!BT50</f>
        <v>0</v>
      </c>
      <c r="BU50" s="105">
        <f>+PMGR!BU50+BP!BU50</f>
        <v>0</v>
      </c>
      <c r="BV50" s="105">
        <f>+PMGR!BV50+BP!BV50</f>
        <v>0</v>
      </c>
      <c r="BW50" s="105">
        <f>+PMGR!BW50+BP!BW50</f>
        <v>0</v>
      </c>
      <c r="BX50" s="105">
        <f>+PMGR!BX50+BP!BX50</f>
        <v>0</v>
      </c>
      <c r="BY50" s="105">
        <f>+PMGR!BY50+BP!BY50</f>
        <v>0</v>
      </c>
      <c r="BZ50" s="105">
        <f>+PMGR!BZ50+BP!BZ50</f>
        <v>0</v>
      </c>
      <c r="CA50" s="105">
        <f>+PMGR!CA50+BP!CA50</f>
        <v>0</v>
      </c>
      <c r="CB50" s="105">
        <f>+PMGR!CB50+BP!CB50</f>
        <v>0</v>
      </c>
      <c r="CC50" s="105">
        <f>+PMGR!CC50+BP!CC50</f>
        <v>0</v>
      </c>
      <c r="CD50" s="105">
        <f>+PMGR!CD50+BP!CD50</f>
        <v>0</v>
      </c>
      <c r="CE50" s="105">
        <f t="shared" ref="CE50:CE53" si="282">+SUM(BS50:CD50)</f>
        <v>0</v>
      </c>
      <c r="CF50" s="106"/>
      <c r="CG50" s="105">
        <f>+PMGR!CG50+BP!CG50</f>
        <v>0</v>
      </c>
      <c r="CH50" s="105">
        <f>+PMGR!CH50+BP!CH50</f>
        <v>0</v>
      </c>
      <c r="CI50" s="105">
        <f>+PMGR!CI50+BP!CI50</f>
        <v>0</v>
      </c>
      <c r="CJ50" s="105">
        <f>+PMGR!CJ50+BP!CJ50</f>
        <v>0</v>
      </c>
      <c r="CK50" s="105">
        <f>+PMGR!CK50+BP!CK50</f>
        <v>0</v>
      </c>
      <c r="CL50" s="105">
        <f>+PMGR!CL50+BP!CL50</f>
        <v>0</v>
      </c>
      <c r="CM50" s="105">
        <f>+PMGR!CM50+BP!CM50</f>
        <v>0</v>
      </c>
      <c r="CN50" s="105">
        <f>+PMGR!CN50+BP!CN50</f>
        <v>0</v>
      </c>
      <c r="CO50" s="105">
        <f>+PMGR!CO50+BP!CO50</f>
        <v>0</v>
      </c>
      <c r="CP50" s="105">
        <f>+PMGR!CP50+BP!CP50</f>
        <v>0</v>
      </c>
      <c r="CQ50" s="105">
        <f>+PMGR!CQ50+BP!CQ50</f>
        <v>0</v>
      </c>
      <c r="CR50" s="105">
        <f>+PMGR!CR50+BP!CR50</f>
        <v>0</v>
      </c>
      <c r="CS50" s="105">
        <f t="shared" ref="CS50:CS53" si="283">+SUM(CG50:CR50)</f>
        <v>0</v>
      </c>
      <c r="CT50" s="13" t="str">
        <f t="shared" si="20"/>
        <v>No of Cars</v>
      </c>
      <c r="CU50" s="105">
        <f>+PMGR!CU50+BP!CU50</f>
        <v>0</v>
      </c>
      <c r="CV50" s="105">
        <f>+PMGR!CV50+BP!CV50</f>
        <v>0</v>
      </c>
      <c r="CW50" s="105">
        <f>+PMGR!CW50+BP!CW50</f>
        <v>0</v>
      </c>
      <c r="CX50" s="105">
        <f>+PMGR!CX50+BP!CX50</f>
        <v>0</v>
      </c>
      <c r="CY50" s="105">
        <f>+PMGR!CY50+BP!CY50</f>
        <v>0</v>
      </c>
      <c r="CZ50" s="105">
        <f>+PMGR!CZ50+BP!CZ50</f>
        <v>0</v>
      </c>
      <c r="DA50" s="105">
        <f>+PMGR!DA50+BP!DA50</f>
        <v>0</v>
      </c>
      <c r="DB50" s="105">
        <f>+PMGR!DB50+BP!DB50</f>
        <v>0</v>
      </c>
      <c r="DC50" s="105">
        <f>+PMGR!DC50+BP!DC50</f>
        <v>0</v>
      </c>
      <c r="DD50" s="105">
        <f>+PMGR!DD50+BP!DD50</f>
        <v>0</v>
      </c>
      <c r="DE50" s="105">
        <f>+PMGR!DE50+BP!DE50</f>
        <v>0</v>
      </c>
      <c r="DF50" s="105">
        <f>+PMGR!DF50+BP!DF50</f>
        <v>0</v>
      </c>
      <c r="DG50" s="105">
        <f t="shared" ref="DG50:DG53" si="284">+SUM(CU50:DF50)</f>
        <v>0</v>
      </c>
      <c r="DH50" s="118"/>
      <c r="DI50" s="105">
        <f>+PMGR!DI50+BP!DI50</f>
        <v>0</v>
      </c>
      <c r="DJ50" s="105">
        <f>+PMGR!DJ50+BP!DJ50</f>
        <v>0</v>
      </c>
      <c r="DK50" s="105">
        <f>+PMGR!DK50+BP!DK50</f>
        <v>0</v>
      </c>
      <c r="DL50" s="105">
        <f>+PMGR!DL50+BP!DL50</f>
        <v>0</v>
      </c>
      <c r="DM50" s="105">
        <f>+PMGR!DM50+BP!DM50</f>
        <v>0</v>
      </c>
      <c r="DN50" s="105">
        <f>+PMGR!DN50+BP!DN50</f>
        <v>0</v>
      </c>
      <c r="DO50" s="105">
        <f>+PMGR!DO50+BP!DO50</f>
        <v>0</v>
      </c>
      <c r="DP50" s="105">
        <f>+PMGR!DP50+BP!DP50</f>
        <v>0</v>
      </c>
      <c r="DQ50" s="105">
        <f>+PMGR!DQ50+BP!DQ50</f>
        <v>0</v>
      </c>
      <c r="DR50" s="105">
        <f>+PMGR!DR50+BP!DR50</f>
        <v>0</v>
      </c>
      <c r="DS50" s="105">
        <f>+PMGR!DS50+BP!DS50</f>
        <v>0</v>
      </c>
      <c r="DT50" s="105">
        <f>+PMGR!DT50+BP!DT50</f>
        <v>0</v>
      </c>
      <c r="DU50" s="105">
        <f t="shared" ref="DU50:DU53" si="285">+SUM(DI50:DT50)</f>
        <v>0</v>
      </c>
      <c r="DV50" s="106"/>
      <c r="DW50" s="105">
        <f>+PMGR!DW50+BP!DW50</f>
        <v>0</v>
      </c>
      <c r="DX50" s="105">
        <f>+PMGR!DX50+BP!DX50</f>
        <v>0</v>
      </c>
      <c r="DY50" s="105">
        <f>+PMGR!DY50+BP!DY50</f>
        <v>0</v>
      </c>
      <c r="DZ50" s="105">
        <f>+PMGR!DZ50+BP!DZ50</f>
        <v>0</v>
      </c>
      <c r="EA50" s="105">
        <f>+PMGR!EA50+BP!EA50</f>
        <v>0</v>
      </c>
      <c r="EB50" s="105">
        <f>+PMGR!EB50+BP!EB50</f>
        <v>0</v>
      </c>
      <c r="EC50" s="105">
        <f>+PMGR!EC50+BP!EC50</f>
        <v>0</v>
      </c>
      <c r="ED50" s="105">
        <f>+PMGR!ED50+BP!ED50</f>
        <v>0</v>
      </c>
      <c r="EE50" s="105">
        <f>+PMGR!EE50+BP!EE50</f>
        <v>0</v>
      </c>
      <c r="EF50" s="105">
        <f>+PMGR!EF50+BP!EF50</f>
        <v>0</v>
      </c>
      <c r="EG50" s="105">
        <f>+PMGR!EG50+BP!EG50</f>
        <v>0</v>
      </c>
      <c r="EH50" s="105">
        <f>+PMGR!EH50+BP!EH50</f>
        <v>0</v>
      </c>
      <c r="EI50" s="105">
        <f t="shared" ref="EI50:EI53" si="286">+SUM(DW50:EH50)</f>
        <v>0</v>
      </c>
      <c r="EJ50" s="13" t="str">
        <f t="shared" si="93"/>
        <v>No of Cars</v>
      </c>
      <c r="EK50" s="105">
        <f>+PMGR!EK50+BP!EK50</f>
        <v>0</v>
      </c>
      <c r="EL50" s="105">
        <f>+PMGR!EL50+BP!EL50</f>
        <v>0</v>
      </c>
      <c r="EM50" s="105">
        <f>+PMGR!EM50+BP!EM50</f>
        <v>0</v>
      </c>
      <c r="EN50" s="105">
        <f>+PMGR!EN50+BP!EN50</f>
        <v>0</v>
      </c>
      <c r="EO50" s="105">
        <f>+PMGR!EO50+BP!EO50</f>
        <v>0</v>
      </c>
      <c r="EP50" s="105">
        <f>+PMGR!EP50+BP!EP50</f>
        <v>0</v>
      </c>
      <c r="EQ50" s="105">
        <f>+PMGR!EQ50+BP!EQ50</f>
        <v>0</v>
      </c>
      <c r="ER50" s="105">
        <f>+PMGR!ER50+BP!ER50</f>
        <v>0</v>
      </c>
      <c r="ES50" s="105">
        <f>+PMGR!ES50+BP!ES50</f>
        <v>0</v>
      </c>
      <c r="ET50" s="105">
        <f>+PMGR!ET50+BP!ET50</f>
        <v>0</v>
      </c>
      <c r="EU50" s="105">
        <f>+PMGR!EU50+BP!EU50</f>
        <v>0</v>
      </c>
      <c r="EV50" s="105">
        <f>+PMGR!EV50+BP!EV50</f>
        <v>0</v>
      </c>
      <c r="EW50" s="105">
        <f t="shared" ref="EW50:EW53" si="287">+SUM(EK50:EV50)</f>
        <v>0</v>
      </c>
      <c r="EX50" s="118"/>
      <c r="EY50" s="105">
        <f>+PMGR!EY50+BP!EY50</f>
        <v>0</v>
      </c>
      <c r="EZ50" s="105">
        <f>+PMGR!EZ50+BP!EZ50</f>
        <v>0</v>
      </c>
      <c r="FA50" s="105">
        <f>+PMGR!FA50+BP!FA50</f>
        <v>0</v>
      </c>
      <c r="FB50" s="105">
        <f>+PMGR!FB50+BP!FB50</f>
        <v>0</v>
      </c>
      <c r="FC50" s="105">
        <f>+PMGR!FC50+BP!FC50</f>
        <v>0</v>
      </c>
      <c r="FD50" s="105">
        <f>+PMGR!FD50+BP!FD50</f>
        <v>0</v>
      </c>
      <c r="FE50" s="105">
        <f>+PMGR!FE50+BP!FE50</f>
        <v>0</v>
      </c>
      <c r="FF50" s="105">
        <f>+PMGR!FF50+BP!FF50</f>
        <v>0</v>
      </c>
      <c r="FG50" s="105">
        <f>+PMGR!FG50+BP!FG50</f>
        <v>0</v>
      </c>
      <c r="FH50" s="105">
        <f>+PMGR!FH50+BP!FH50</f>
        <v>0</v>
      </c>
      <c r="FI50" s="105">
        <f>+PMGR!FI50+BP!FI50</f>
        <v>0</v>
      </c>
      <c r="FJ50" s="105">
        <f>+PMGR!FJ50+BP!FJ50</f>
        <v>0</v>
      </c>
      <c r="FK50" s="105">
        <f t="shared" ref="FK50:FK53" si="288">+SUM(EY50:FJ50)</f>
        <v>0</v>
      </c>
    </row>
    <row r="51" spans="1:167" ht="14.45" hidden="1" customHeight="1" outlineLevel="2">
      <c r="A51" s="106">
        <f t="shared" si="274"/>
        <v>0</v>
      </c>
      <c r="B51" s="106">
        <f t="shared" si="274"/>
        <v>0</v>
      </c>
      <c r="C51" s="106">
        <f t="shared" si="274"/>
        <v>0</v>
      </c>
      <c r="D51" s="106">
        <f t="shared" si="274"/>
        <v>0</v>
      </c>
      <c r="E51" s="106">
        <f t="shared" si="274"/>
        <v>0</v>
      </c>
      <c r="F51" s="106">
        <f t="shared" si="274"/>
        <v>0</v>
      </c>
      <c r="G51" s="106">
        <f t="shared" si="274"/>
        <v>0</v>
      </c>
      <c r="H51" s="106">
        <f t="shared" si="274"/>
        <v>0</v>
      </c>
      <c r="I51" s="106">
        <f t="shared" si="274"/>
        <v>0</v>
      </c>
      <c r="J51" s="106">
        <f t="shared" si="274"/>
        <v>0</v>
      </c>
      <c r="K51" s="106">
        <f t="shared" si="274"/>
        <v>0</v>
      </c>
      <c r="L51" s="106">
        <f t="shared" si="274"/>
        <v>0</v>
      </c>
      <c r="M51" s="106">
        <f t="shared" si="275"/>
        <v>0</v>
      </c>
      <c r="N51" s="7" t="s">
        <v>43</v>
      </c>
      <c r="O51" s="106">
        <f t="shared" si="276"/>
        <v>0</v>
      </c>
      <c r="P51" s="106">
        <f t="shared" si="276"/>
        <v>0</v>
      </c>
      <c r="Q51" s="106">
        <f t="shared" si="276"/>
        <v>0</v>
      </c>
      <c r="R51" s="106">
        <f t="shared" si="276"/>
        <v>0</v>
      </c>
      <c r="S51" s="106">
        <f t="shared" si="276"/>
        <v>0</v>
      </c>
      <c r="T51" s="106">
        <f t="shared" si="276"/>
        <v>0</v>
      </c>
      <c r="U51" s="106">
        <f t="shared" si="276"/>
        <v>0</v>
      </c>
      <c r="V51" s="106">
        <f t="shared" si="276"/>
        <v>0</v>
      </c>
      <c r="W51" s="106">
        <f t="shared" si="276"/>
        <v>0</v>
      </c>
      <c r="X51" s="106">
        <f t="shared" si="276"/>
        <v>0</v>
      </c>
      <c r="Y51" s="106">
        <f t="shared" si="276"/>
        <v>0</v>
      </c>
      <c r="Z51" s="106">
        <f t="shared" si="276"/>
        <v>0</v>
      </c>
      <c r="AA51" s="106">
        <f t="shared" si="277"/>
        <v>0</v>
      </c>
      <c r="AB51" s="118"/>
      <c r="AC51" s="106">
        <f t="shared" si="278"/>
        <v>0</v>
      </c>
      <c r="AD51" s="106">
        <f t="shared" si="278"/>
        <v>0</v>
      </c>
      <c r="AE51" s="106">
        <f t="shared" si="278"/>
        <v>0</v>
      </c>
      <c r="AF51" s="106">
        <f t="shared" si="278"/>
        <v>0</v>
      </c>
      <c r="AG51" s="106">
        <f t="shared" si="278"/>
        <v>0</v>
      </c>
      <c r="AH51" s="106">
        <f t="shared" si="278"/>
        <v>0</v>
      </c>
      <c r="AI51" s="106">
        <f t="shared" si="278"/>
        <v>0</v>
      </c>
      <c r="AJ51" s="106">
        <f t="shared" si="278"/>
        <v>0</v>
      </c>
      <c r="AK51" s="106">
        <f t="shared" si="278"/>
        <v>0</v>
      </c>
      <c r="AL51" s="106">
        <f t="shared" si="278"/>
        <v>0</v>
      </c>
      <c r="AM51" s="106">
        <f t="shared" si="278"/>
        <v>0</v>
      </c>
      <c r="AN51" s="106">
        <f t="shared" si="278"/>
        <v>0</v>
      </c>
      <c r="AO51" s="106">
        <f t="shared" si="279"/>
        <v>0</v>
      </c>
      <c r="AP51" s="106"/>
      <c r="AQ51" s="106">
        <f>+PMGR!AQ51+BP!AQ51</f>
        <v>0</v>
      </c>
      <c r="AR51" s="106">
        <f>+PMGR!AR51+BP!AR51</f>
        <v>0</v>
      </c>
      <c r="AS51" s="106">
        <f>+PMGR!AS51+BP!AS51</f>
        <v>0</v>
      </c>
      <c r="AT51" s="106">
        <f>+PMGR!AT51+BP!AT51</f>
        <v>0</v>
      </c>
      <c r="AU51" s="106">
        <f>+PMGR!AU51+BP!AU51</f>
        <v>0</v>
      </c>
      <c r="AV51" s="106">
        <f>+PMGR!AV51+BP!AV51</f>
        <v>0</v>
      </c>
      <c r="AW51" s="106">
        <f>+PMGR!AW51+BP!AW51</f>
        <v>0</v>
      </c>
      <c r="AX51" s="106">
        <f>+PMGR!AX51+BP!AX51</f>
        <v>0</v>
      </c>
      <c r="AY51" s="106">
        <f>+PMGR!AY51+BP!AY51</f>
        <v>0</v>
      </c>
      <c r="AZ51" s="106">
        <f>+PMGR!AZ51+BP!AZ51</f>
        <v>0</v>
      </c>
      <c r="BA51" s="106">
        <f>+PMGR!BA51+BP!BA51</f>
        <v>0</v>
      </c>
      <c r="BB51" s="106">
        <f>+PMGR!BB51+BP!BB51</f>
        <v>0</v>
      </c>
      <c r="BC51" s="106">
        <f t="shared" si="280"/>
        <v>0</v>
      </c>
      <c r="BD51" s="7" t="str">
        <f t="shared" si="16"/>
        <v>Sale Revenue Accsories &amp; Boutiques</v>
      </c>
      <c r="BE51" s="106">
        <f>+PMGR!BE51+BP!BE51</f>
        <v>0</v>
      </c>
      <c r="BF51" s="106">
        <f>+PMGR!BF51+BP!BF51</f>
        <v>0</v>
      </c>
      <c r="BG51" s="106">
        <f>+PMGR!BG51+BP!BG51</f>
        <v>0</v>
      </c>
      <c r="BH51" s="106">
        <f>+PMGR!BH51+BP!BH51</f>
        <v>0</v>
      </c>
      <c r="BI51" s="106">
        <f>+PMGR!BI51+BP!BI51</f>
        <v>0</v>
      </c>
      <c r="BJ51" s="106">
        <f>+PMGR!BJ51+BP!BJ51</f>
        <v>0</v>
      </c>
      <c r="BK51" s="106">
        <f>+PMGR!BK51+BP!BK51</f>
        <v>0</v>
      </c>
      <c r="BL51" s="106">
        <f>+PMGR!BL51+BP!BL51</f>
        <v>0</v>
      </c>
      <c r="BM51" s="106">
        <f>+PMGR!BM51+BP!BM51</f>
        <v>0</v>
      </c>
      <c r="BN51" s="106">
        <f>+PMGR!BN51+BP!BN51</f>
        <v>0</v>
      </c>
      <c r="BO51" s="106">
        <f>+PMGR!BO51+BP!BO51</f>
        <v>0</v>
      </c>
      <c r="BP51" s="106">
        <f>+PMGR!BP51+BP!BP51</f>
        <v>0</v>
      </c>
      <c r="BQ51" s="106">
        <f t="shared" si="281"/>
        <v>0</v>
      </c>
      <c r="BR51" s="118"/>
      <c r="BS51" s="106">
        <f>+PMGR!BS51+BP!BS51</f>
        <v>0</v>
      </c>
      <c r="BT51" s="106">
        <f>+PMGR!BT51+BP!BT51</f>
        <v>0</v>
      </c>
      <c r="BU51" s="106">
        <f>+PMGR!BU51+BP!BU51</f>
        <v>0</v>
      </c>
      <c r="BV51" s="106">
        <f>+PMGR!BV51+BP!BV51</f>
        <v>0</v>
      </c>
      <c r="BW51" s="106">
        <f>+PMGR!BW51+BP!BW51</f>
        <v>0</v>
      </c>
      <c r="BX51" s="106">
        <f>+PMGR!BX51+BP!BX51</f>
        <v>0</v>
      </c>
      <c r="BY51" s="106">
        <f>+PMGR!BY51+BP!BY51</f>
        <v>0</v>
      </c>
      <c r="BZ51" s="106">
        <f>+PMGR!BZ51+BP!BZ51</f>
        <v>0</v>
      </c>
      <c r="CA51" s="106">
        <f>+PMGR!CA51+BP!CA51</f>
        <v>0</v>
      </c>
      <c r="CB51" s="106">
        <f>+PMGR!CB51+BP!CB51</f>
        <v>0</v>
      </c>
      <c r="CC51" s="106">
        <f>+PMGR!CC51+BP!CC51</f>
        <v>0</v>
      </c>
      <c r="CD51" s="106">
        <f>+PMGR!CD51+BP!CD51</f>
        <v>0</v>
      </c>
      <c r="CE51" s="106">
        <f t="shared" si="282"/>
        <v>0</v>
      </c>
      <c r="CF51" s="106"/>
      <c r="CG51" s="106">
        <f>+PMGR!CG51+BP!CG51</f>
        <v>0</v>
      </c>
      <c r="CH51" s="106">
        <f>+PMGR!CH51+BP!CH51</f>
        <v>0</v>
      </c>
      <c r="CI51" s="106">
        <f>+PMGR!CI51+BP!CI51</f>
        <v>0</v>
      </c>
      <c r="CJ51" s="106">
        <f>+PMGR!CJ51+BP!CJ51</f>
        <v>0</v>
      </c>
      <c r="CK51" s="106">
        <f>+PMGR!CK51+BP!CK51</f>
        <v>0</v>
      </c>
      <c r="CL51" s="106">
        <f>+PMGR!CL51+BP!CL51</f>
        <v>0</v>
      </c>
      <c r="CM51" s="106">
        <f>+PMGR!CM51+BP!CM51</f>
        <v>0</v>
      </c>
      <c r="CN51" s="106">
        <f>+PMGR!CN51+BP!CN51</f>
        <v>0</v>
      </c>
      <c r="CO51" s="106">
        <f>+PMGR!CO51+BP!CO51</f>
        <v>0</v>
      </c>
      <c r="CP51" s="106">
        <f>+PMGR!CP51+BP!CP51</f>
        <v>0</v>
      </c>
      <c r="CQ51" s="106">
        <f>+PMGR!CQ51+BP!CQ51</f>
        <v>0</v>
      </c>
      <c r="CR51" s="106">
        <f>+PMGR!CR51+BP!CR51</f>
        <v>0</v>
      </c>
      <c r="CS51" s="106">
        <f t="shared" si="283"/>
        <v>0</v>
      </c>
      <c r="CT51" s="7" t="str">
        <f t="shared" si="20"/>
        <v>Sale Revenue Accsories &amp; Boutiques</v>
      </c>
      <c r="CU51" s="106">
        <f>+PMGR!CU51+BP!CU51</f>
        <v>0</v>
      </c>
      <c r="CV51" s="106">
        <f>+PMGR!CV51+BP!CV51</f>
        <v>0</v>
      </c>
      <c r="CW51" s="106">
        <f>+PMGR!CW51+BP!CW51</f>
        <v>0</v>
      </c>
      <c r="CX51" s="106">
        <f>+PMGR!CX51+BP!CX51</f>
        <v>0</v>
      </c>
      <c r="CY51" s="106">
        <f>+PMGR!CY51+BP!CY51</f>
        <v>0</v>
      </c>
      <c r="CZ51" s="106">
        <f>+PMGR!CZ51+BP!CZ51</f>
        <v>0</v>
      </c>
      <c r="DA51" s="106">
        <f>+PMGR!DA51+BP!DA51</f>
        <v>0</v>
      </c>
      <c r="DB51" s="106">
        <f>+PMGR!DB51+BP!DB51</f>
        <v>0</v>
      </c>
      <c r="DC51" s="106">
        <f>+PMGR!DC51+BP!DC51</f>
        <v>0</v>
      </c>
      <c r="DD51" s="106">
        <f>+PMGR!DD51+BP!DD51</f>
        <v>0</v>
      </c>
      <c r="DE51" s="106">
        <f>+PMGR!DE51+BP!DE51</f>
        <v>0</v>
      </c>
      <c r="DF51" s="106">
        <f>+PMGR!DF51+BP!DF51</f>
        <v>0</v>
      </c>
      <c r="DG51" s="106">
        <f t="shared" si="284"/>
        <v>0</v>
      </c>
      <c r="DH51" s="118"/>
      <c r="DI51" s="106">
        <f>+PMGR!DI51+BP!DI51</f>
        <v>0</v>
      </c>
      <c r="DJ51" s="106">
        <f>+PMGR!DJ51+BP!DJ51</f>
        <v>0</v>
      </c>
      <c r="DK51" s="106">
        <f>+PMGR!DK51+BP!DK51</f>
        <v>0</v>
      </c>
      <c r="DL51" s="106">
        <f>+PMGR!DL51+BP!DL51</f>
        <v>0</v>
      </c>
      <c r="DM51" s="106">
        <f>+PMGR!DM51+BP!DM51</f>
        <v>0</v>
      </c>
      <c r="DN51" s="106">
        <f>+PMGR!DN51+BP!DN51</f>
        <v>0</v>
      </c>
      <c r="DO51" s="106">
        <f>+PMGR!DO51+BP!DO51</f>
        <v>0</v>
      </c>
      <c r="DP51" s="106">
        <f>+PMGR!DP51+BP!DP51</f>
        <v>0</v>
      </c>
      <c r="DQ51" s="106">
        <f>+PMGR!DQ51+BP!DQ51</f>
        <v>0</v>
      </c>
      <c r="DR51" s="106">
        <f>+PMGR!DR51+BP!DR51</f>
        <v>0</v>
      </c>
      <c r="DS51" s="106">
        <f>+PMGR!DS51+BP!DS51</f>
        <v>0</v>
      </c>
      <c r="DT51" s="106">
        <f>+PMGR!DT51+BP!DT51</f>
        <v>0</v>
      </c>
      <c r="DU51" s="106">
        <f t="shared" si="285"/>
        <v>0</v>
      </c>
      <c r="DV51" s="106"/>
      <c r="DW51" s="106">
        <f>+PMGR!DW51+BP!DW51</f>
        <v>0</v>
      </c>
      <c r="DX51" s="106">
        <f>+PMGR!DX51+BP!DX51</f>
        <v>0</v>
      </c>
      <c r="DY51" s="106">
        <f>+PMGR!DY51+BP!DY51</f>
        <v>0</v>
      </c>
      <c r="DZ51" s="106">
        <f>+PMGR!DZ51+BP!DZ51</f>
        <v>0</v>
      </c>
      <c r="EA51" s="106">
        <f>+PMGR!EA51+BP!EA51</f>
        <v>0</v>
      </c>
      <c r="EB51" s="106">
        <f>+PMGR!EB51+BP!EB51</f>
        <v>0</v>
      </c>
      <c r="EC51" s="106">
        <f>+PMGR!EC51+BP!EC51</f>
        <v>0</v>
      </c>
      <c r="ED51" s="106">
        <f>+PMGR!ED51+BP!ED51</f>
        <v>0</v>
      </c>
      <c r="EE51" s="106">
        <f>+PMGR!EE51+BP!EE51</f>
        <v>0</v>
      </c>
      <c r="EF51" s="106">
        <f>+PMGR!EF51+BP!EF51</f>
        <v>0</v>
      </c>
      <c r="EG51" s="106">
        <f>+PMGR!EG51+BP!EG51</f>
        <v>0</v>
      </c>
      <c r="EH51" s="106">
        <f>+PMGR!EH51+BP!EH51</f>
        <v>0</v>
      </c>
      <c r="EI51" s="106">
        <f t="shared" si="286"/>
        <v>0</v>
      </c>
      <c r="EJ51" s="7" t="str">
        <f t="shared" si="93"/>
        <v>Sale Revenue Accsories &amp; Boutiques</v>
      </c>
      <c r="EK51" s="106">
        <f>+PMGR!EK51+BP!EK51</f>
        <v>0</v>
      </c>
      <c r="EL51" s="106">
        <f>+PMGR!EL51+BP!EL51</f>
        <v>0</v>
      </c>
      <c r="EM51" s="106">
        <f>+PMGR!EM51+BP!EM51</f>
        <v>0</v>
      </c>
      <c r="EN51" s="106">
        <f>+PMGR!EN51+BP!EN51</f>
        <v>0</v>
      </c>
      <c r="EO51" s="106">
        <f>+PMGR!EO51+BP!EO51</f>
        <v>0</v>
      </c>
      <c r="EP51" s="106">
        <f>+PMGR!EP51+BP!EP51</f>
        <v>0</v>
      </c>
      <c r="EQ51" s="106">
        <f>+PMGR!EQ51+BP!EQ51</f>
        <v>0</v>
      </c>
      <c r="ER51" s="106">
        <f>+PMGR!ER51+BP!ER51</f>
        <v>0</v>
      </c>
      <c r="ES51" s="106">
        <f>+PMGR!ES51+BP!ES51</f>
        <v>0</v>
      </c>
      <c r="ET51" s="106">
        <f>+PMGR!ET51+BP!ET51</f>
        <v>0</v>
      </c>
      <c r="EU51" s="106">
        <f>+PMGR!EU51+BP!EU51</f>
        <v>0</v>
      </c>
      <c r="EV51" s="106">
        <f>+PMGR!EV51+BP!EV51</f>
        <v>0</v>
      </c>
      <c r="EW51" s="106">
        <f t="shared" si="287"/>
        <v>0</v>
      </c>
      <c r="EX51" s="118"/>
      <c r="EY51" s="106">
        <f>+PMGR!EY51+BP!EY51</f>
        <v>0</v>
      </c>
      <c r="EZ51" s="106">
        <f>+PMGR!EZ51+BP!EZ51</f>
        <v>0</v>
      </c>
      <c r="FA51" s="106">
        <f>+PMGR!FA51+BP!FA51</f>
        <v>0</v>
      </c>
      <c r="FB51" s="106">
        <f>+PMGR!FB51+BP!FB51</f>
        <v>0</v>
      </c>
      <c r="FC51" s="106">
        <f>+PMGR!FC51+BP!FC51</f>
        <v>0</v>
      </c>
      <c r="FD51" s="106">
        <f>+PMGR!FD51+BP!FD51</f>
        <v>0</v>
      </c>
      <c r="FE51" s="106">
        <f>+PMGR!FE51+BP!FE51</f>
        <v>0</v>
      </c>
      <c r="FF51" s="106">
        <f>+PMGR!FF51+BP!FF51</f>
        <v>0</v>
      </c>
      <c r="FG51" s="106">
        <f>+PMGR!FG51+BP!FG51</f>
        <v>0</v>
      </c>
      <c r="FH51" s="106">
        <f>+PMGR!FH51+BP!FH51</f>
        <v>0</v>
      </c>
      <c r="FI51" s="106">
        <f>+PMGR!FI51+BP!FI51</f>
        <v>0</v>
      </c>
      <c r="FJ51" s="106">
        <f>+PMGR!FJ51+BP!FJ51</f>
        <v>0</v>
      </c>
      <c r="FK51" s="106">
        <f t="shared" si="288"/>
        <v>0</v>
      </c>
    </row>
    <row r="52" spans="1:167" ht="14.45" hidden="1" customHeight="1" outlineLevel="2">
      <c r="A52" s="106">
        <f t="shared" si="274"/>
        <v>0</v>
      </c>
      <c r="B52" s="106">
        <f t="shared" si="274"/>
        <v>0</v>
      </c>
      <c r="C52" s="106">
        <f t="shared" si="274"/>
        <v>0</v>
      </c>
      <c r="D52" s="106">
        <f t="shared" si="274"/>
        <v>0</v>
      </c>
      <c r="E52" s="106">
        <f t="shared" si="274"/>
        <v>0</v>
      </c>
      <c r="F52" s="106">
        <f t="shared" si="274"/>
        <v>0</v>
      </c>
      <c r="G52" s="106">
        <f t="shared" si="274"/>
        <v>0</v>
      </c>
      <c r="H52" s="106">
        <f t="shared" si="274"/>
        <v>0</v>
      </c>
      <c r="I52" s="106">
        <f t="shared" si="274"/>
        <v>0</v>
      </c>
      <c r="J52" s="106">
        <f t="shared" si="274"/>
        <v>0</v>
      </c>
      <c r="K52" s="106">
        <f t="shared" si="274"/>
        <v>0</v>
      </c>
      <c r="L52" s="106">
        <f t="shared" si="274"/>
        <v>0</v>
      </c>
      <c r="M52" s="106">
        <f t="shared" si="275"/>
        <v>0</v>
      </c>
      <c r="N52" s="10" t="s">
        <v>30</v>
      </c>
      <c r="O52" s="106">
        <f t="shared" si="276"/>
        <v>0</v>
      </c>
      <c r="P52" s="106">
        <f t="shared" si="276"/>
        <v>0</v>
      </c>
      <c r="Q52" s="106">
        <f t="shared" si="276"/>
        <v>0</v>
      </c>
      <c r="R52" s="106">
        <f t="shared" si="276"/>
        <v>0</v>
      </c>
      <c r="S52" s="106">
        <f t="shared" si="276"/>
        <v>0</v>
      </c>
      <c r="T52" s="106">
        <f t="shared" si="276"/>
        <v>0</v>
      </c>
      <c r="U52" s="106">
        <f t="shared" si="276"/>
        <v>0</v>
      </c>
      <c r="V52" s="106">
        <f t="shared" si="276"/>
        <v>0</v>
      </c>
      <c r="W52" s="106">
        <f t="shared" si="276"/>
        <v>0</v>
      </c>
      <c r="X52" s="106">
        <f t="shared" si="276"/>
        <v>0</v>
      </c>
      <c r="Y52" s="106">
        <f t="shared" si="276"/>
        <v>0</v>
      </c>
      <c r="Z52" s="106">
        <f t="shared" si="276"/>
        <v>0</v>
      </c>
      <c r="AA52" s="106">
        <f t="shared" si="277"/>
        <v>0</v>
      </c>
      <c r="AB52" s="118"/>
      <c r="AC52" s="106">
        <f t="shared" si="278"/>
        <v>0</v>
      </c>
      <c r="AD52" s="106">
        <f t="shared" si="278"/>
        <v>0</v>
      </c>
      <c r="AE52" s="106">
        <f t="shared" si="278"/>
        <v>0</v>
      </c>
      <c r="AF52" s="106">
        <f t="shared" si="278"/>
        <v>0</v>
      </c>
      <c r="AG52" s="106">
        <f t="shared" si="278"/>
        <v>0</v>
      </c>
      <c r="AH52" s="106">
        <f t="shared" si="278"/>
        <v>0</v>
      </c>
      <c r="AI52" s="106">
        <f t="shared" si="278"/>
        <v>0</v>
      </c>
      <c r="AJ52" s="106">
        <f t="shared" si="278"/>
        <v>0</v>
      </c>
      <c r="AK52" s="106">
        <f t="shared" si="278"/>
        <v>0</v>
      </c>
      <c r="AL52" s="106">
        <f t="shared" si="278"/>
        <v>0</v>
      </c>
      <c r="AM52" s="106">
        <f t="shared" si="278"/>
        <v>0</v>
      </c>
      <c r="AN52" s="106">
        <f t="shared" si="278"/>
        <v>0</v>
      </c>
      <c r="AO52" s="106">
        <f t="shared" si="279"/>
        <v>0</v>
      </c>
      <c r="AP52" s="106"/>
      <c r="AQ52" s="106">
        <f>+PMGR!AQ52+BP!AQ52</f>
        <v>0</v>
      </c>
      <c r="AR52" s="106">
        <f>+PMGR!AR52+BP!AR52</f>
        <v>0</v>
      </c>
      <c r="AS52" s="106">
        <f>+PMGR!AS52+BP!AS52</f>
        <v>0</v>
      </c>
      <c r="AT52" s="106">
        <f>+PMGR!AT52+BP!AT52</f>
        <v>0</v>
      </c>
      <c r="AU52" s="106">
        <f>+PMGR!AU52+BP!AU52</f>
        <v>0</v>
      </c>
      <c r="AV52" s="106">
        <f>+PMGR!AV52+BP!AV52</f>
        <v>0</v>
      </c>
      <c r="AW52" s="106">
        <f>+PMGR!AW52+BP!AW52</f>
        <v>0</v>
      </c>
      <c r="AX52" s="106">
        <f>+PMGR!AX52+BP!AX52</f>
        <v>0</v>
      </c>
      <c r="AY52" s="106">
        <f>+PMGR!AY52+BP!AY52</f>
        <v>0</v>
      </c>
      <c r="AZ52" s="106">
        <f>+PMGR!AZ52+BP!AZ52</f>
        <v>0</v>
      </c>
      <c r="BA52" s="106">
        <f>+PMGR!BA52+BP!BA52</f>
        <v>0</v>
      </c>
      <c r="BB52" s="106">
        <f>+PMGR!BB52+BP!BB52</f>
        <v>0</v>
      </c>
      <c r="BC52" s="106">
        <f t="shared" si="280"/>
        <v>0</v>
      </c>
      <c r="BD52" s="10" t="str">
        <f t="shared" si="16"/>
        <v>Internal Sales</v>
      </c>
      <c r="BE52" s="106">
        <f>+PMGR!BE52+BP!BE52</f>
        <v>0</v>
      </c>
      <c r="BF52" s="106">
        <f>+PMGR!BF52+BP!BF52</f>
        <v>0</v>
      </c>
      <c r="BG52" s="106">
        <f>+PMGR!BG52+BP!BG52</f>
        <v>0</v>
      </c>
      <c r="BH52" s="106">
        <f>+PMGR!BH52+BP!BH52</f>
        <v>0</v>
      </c>
      <c r="BI52" s="106">
        <f>+PMGR!BI52+BP!BI52</f>
        <v>0</v>
      </c>
      <c r="BJ52" s="106">
        <f>+PMGR!BJ52+BP!BJ52</f>
        <v>0</v>
      </c>
      <c r="BK52" s="106">
        <f>+PMGR!BK52+BP!BK52</f>
        <v>0</v>
      </c>
      <c r="BL52" s="106">
        <f>+PMGR!BL52+BP!BL52</f>
        <v>0</v>
      </c>
      <c r="BM52" s="106">
        <f>+PMGR!BM52+BP!BM52</f>
        <v>0</v>
      </c>
      <c r="BN52" s="106">
        <f>+PMGR!BN52+BP!BN52</f>
        <v>0</v>
      </c>
      <c r="BO52" s="106">
        <f>+PMGR!BO52+BP!BO52</f>
        <v>0</v>
      </c>
      <c r="BP52" s="106">
        <f>+PMGR!BP52+BP!BP52</f>
        <v>0</v>
      </c>
      <c r="BQ52" s="106">
        <f t="shared" si="281"/>
        <v>0</v>
      </c>
      <c r="BR52" s="118"/>
      <c r="BS52" s="106">
        <f>+PMGR!BS52+BP!BS52</f>
        <v>0</v>
      </c>
      <c r="BT52" s="106">
        <f>+PMGR!BT52+BP!BT52</f>
        <v>0</v>
      </c>
      <c r="BU52" s="106">
        <f>+PMGR!BU52+BP!BU52</f>
        <v>0</v>
      </c>
      <c r="BV52" s="106">
        <f>+PMGR!BV52+BP!BV52</f>
        <v>0</v>
      </c>
      <c r="BW52" s="106">
        <f>+PMGR!BW52+BP!BW52</f>
        <v>0</v>
      </c>
      <c r="BX52" s="106">
        <f>+PMGR!BX52+BP!BX52</f>
        <v>0</v>
      </c>
      <c r="BY52" s="106">
        <f>+PMGR!BY52+BP!BY52</f>
        <v>0</v>
      </c>
      <c r="BZ52" s="106">
        <f>+PMGR!BZ52+BP!BZ52</f>
        <v>0</v>
      </c>
      <c r="CA52" s="106">
        <f>+PMGR!CA52+BP!CA52</f>
        <v>0</v>
      </c>
      <c r="CB52" s="106">
        <f>+PMGR!CB52+BP!CB52</f>
        <v>0</v>
      </c>
      <c r="CC52" s="106">
        <f>+PMGR!CC52+BP!CC52</f>
        <v>0</v>
      </c>
      <c r="CD52" s="106">
        <f>+PMGR!CD52+BP!CD52</f>
        <v>0</v>
      </c>
      <c r="CE52" s="106">
        <f t="shared" si="282"/>
        <v>0</v>
      </c>
      <c r="CF52" s="106"/>
      <c r="CG52" s="106">
        <f>+PMGR!CG52+BP!CG52</f>
        <v>0</v>
      </c>
      <c r="CH52" s="106">
        <f>+PMGR!CH52+BP!CH52</f>
        <v>0</v>
      </c>
      <c r="CI52" s="106">
        <f>+PMGR!CI52+BP!CI52</f>
        <v>0</v>
      </c>
      <c r="CJ52" s="106">
        <f>+PMGR!CJ52+BP!CJ52</f>
        <v>0</v>
      </c>
      <c r="CK52" s="106">
        <f>+PMGR!CK52+BP!CK52</f>
        <v>0</v>
      </c>
      <c r="CL52" s="106">
        <f>+PMGR!CL52+BP!CL52</f>
        <v>0</v>
      </c>
      <c r="CM52" s="106">
        <f>+PMGR!CM52+BP!CM52</f>
        <v>0</v>
      </c>
      <c r="CN52" s="106">
        <f>+PMGR!CN52+BP!CN52</f>
        <v>0</v>
      </c>
      <c r="CO52" s="106">
        <f>+PMGR!CO52+BP!CO52</f>
        <v>0</v>
      </c>
      <c r="CP52" s="106">
        <f>+PMGR!CP52+BP!CP52</f>
        <v>0</v>
      </c>
      <c r="CQ52" s="106">
        <f>+PMGR!CQ52+BP!CQ52</f>
        <v>0</v>
      </c>
      <c r="CR52" s="106">
        <f>+PMGR!CR52+BP!CR52</f>
        <v>0</v>
      </c>
      <c r="CS52" s="106">
        <f t="shared" si="283"/>
        <v>0</v>
      </c>
      <c r="CT52" s="10" t="str">
        <f t="shared" si="20"/>
        <v>Internal Sales</v>
      </c>
      <c r="CU52" s="106">
        <f>+PMGR!CU52+BP!CU52</f>
        <v>0</v>
      </c>
      <c r="CV52" s="106">
        <f>+PMGR!CV52+BP!CV52</f>
        <v>0</v>
      </c>
      <c r="CW52" s="106">
        <f>+PMGR!CW52+BP!CW52</f>
        <v>0</v>
      </c>
      <c r="CX52" s="106">
        <f>+PMGR!CX52+BP!CX52</f>
        <v>0</v>
      </c>
      <c r="CY52" s="106">
        <f>+PMGR!CY52+BP!CY52</f>
        <v>0</v>
      </c>
      <c r="CZ52" s="106">
        <f>+PMGR!CZ52+BP!CZ52</f>
        <v>0</v>
      </c>
      <c r="DA52" s="106">
        <f>+PMGR!DA52+BP!DA52</f>
        <v>0</v>
      </c>
      <c r="DB52" s="106">
        <f>+PMGR!DB52+BP!DB52</f>
        <v>0</v>
      </c>
      <c r="DC52" s="106">
        <f>+PMGR!DC52+BP!DC52</f>
        <v>0</v>
      </c>
      <c r="DD52" s="106">
        <f>+PMGR!DD52+BP!DD52</f>
        <v>0</v>
      </c>
      <c r="DE52" s="106">
        <f>+PMGR!DE52+BP!DE52</f>
        <v>0</v>
      </c>
      <c r="DF52" s="106">
        <f>+PMGR!DF52+BP!DF52</f>
        <v>0</v>
      </c>
      <c r="DG52" s="106">
        <f t="shared" si="284"/>
        <v>0</v>
      </c>
      <c r="DH52" s="118"/>
      <c r="DI52" s="106">
        <f>+PMGR!DI52+BP!DI52</f>
        <v>0</v>
      </c>
      <c r="DJ52" s="106">
        <f>+PMGR!DJ52+BP!DJ52</f>
        <v>0</v>
      </c>
      <c r="DK52" s="106">
        <f>+PMGR!DK52+BP!DK52</f>
        <v>0</v>
      </c>
      <c r="DL52" s="106">
        <f>+PMGR!DL52+BP!DL52</f>
        <v>0</v>
      </c>
      <c r="DM52" s="106">
        <f>+PMGR!DM52+BP!DM52</f>
        <v>0</v>
      </c>
      <c r="DN52" s="106">
        <f>+PMGR!DN52+BP!DN52</f>
        <v>0</v>
      </c>
      <c r="DO52" s="106">
        <f>+PMGR!DO52+BP!DO52</f>
        <v>0</v>
      </c>
      <c r="DP52" s="106">
        <f>+PMGR!DP52+BP!DP52</f>
        <v>0</v>
      </c>
      <c r="DQ52" s="106">
        <f>+PMGR!DQ52+BP!DQ52</f>
        <v>0</v>
      </c>
      <c r="DR52" s="106">
        <f>+PMGR!DR52+BP!DR52</f>
        <v>0</v>
      </c>
      <c r="DS52" s="106">
        <f>+PMGR!DS52+BP!DS52</f>
        <v>0</v>
      </c>
      <c r="DT52" s="106">
        <f>+PMGR!DT52+BP!DT52</f>
        <v>0</v>
      </c>
      <c r="DU52" s="106">
        <f t="shared" si="285"/>
        <v>0</v>
      </c>
      <c r="DV52" s="106"/>
      <c r="DW52" s="106">
        <f>+PMGR!DW52+BP!DW52</f>
        <v>0</v>
      </c>
      <c r="DX52" s="106">
        <f>+PMGR!DX52+BP!DX52</f>
        <v>0</v>
      </c>
      <c r="DY52" s="106">
        <f>+PMGR!DY52+BP!DY52</f>
        <v>0</v>
      </c>
      <c r="DZ52" s="106">
        <f>+PMGR!DZ52+BP!DZ52</f>
        <v>0</v>
      </c>
      <c r="EA52" s="106">
        <f>+PMGR!EA52+BP!EA52</f>
        <v>0</v>
      </c>
      <c r="EB52" s="106">
        <f>+PMGR!EB52+BP!EB52</f>
        <v>0</v>
      </c>
      <c r="EC52" s="106">
        <f>+PMGR!EC52+BP!EC52</f>
        <v>0</v>
      </c>
      <c r="ED52" s="106">
        <f>+PMGR!ED52+BP!ED52</f>
        <v>0</v>
      </c>
      <c r="EE52" s="106">
        <f>+PMGR!EE52+BP!EE52</f>
        <v>0</v>
      </c>
      <c r="EF52" s="106">
        <f>+PMGR!EF52+BP!EF52</f>
        <v>0</v>
      </c>
      <c r="EG52" s="106">
        <f>+PMGR!EG52+BP!EG52</f>
        <v>0</v>
      </c>
      <c r="EH52" s="106">
        <f>+PMGR!EH52+BP!EH52</f>
        <v>0</v>
      </c>
      <c r="EI52" s="106">
        <f t="shared" si="286"/>
        <v>0</v>
      </c>
      <c r="EJ52" s="10" t="str">
        <f t="shared" si="93"/>
        <v>Internal Sales</v>
      </c>
      <c r="EK52" s="106">
        <f>+PMGR!EK52+BP!EK52</f>
        <v>0</v>
      </c>
      <c r="EL52" s="106">
        <f>+PMGR!EL52+BP!EL52</f>
        <v>0</v>
      </c>
      <c r="EM52" s="106">
        <f>+PMGR!EM52+BP!EM52</f>
        <v>0</v>
      </c>
      <c r="EN52" s="106">
        <f>+PMGR!EN52+BP!EN52</f>
        <v>0</v>
      </c>
      <c r="EO52" s="106">
        <f>+PMGR!EO52+BP!EO52</f>
        <v>0</v>
      </c>
      <c r="EP52" s="106">
        <f>+PMGR!EP52+BP!EP52</f>
        <v>0</v>
      </c>
      <c r="EQ52" s="106">
        <f>+PMGR!EQ52+BP!EQ52</f>
        <v>0</v>
      </c>
      <c r="ER52" s="106">
        <f>+PMGR!ER52+BP!ER52</f>
        <v>0</v>
      </c>
      <c r="ES52" s="106">
        <f>+PMGR!ES52+BP!ES52</f>
        <v>0</v>
      </c>
      <c r="ET52" s="106">
        <f>+PMGR!ET52+BP!ET52</f>
        <v>0</v>
      </c>
      <c r="EU52" s="106">
        <f>+PMGR!EU52+BP!EU52</f>
        <v>0</v>
      </c>
      <c r="EV52" s="106">
        <f>+PMGR!EV52+BP!EV52</f>
        <v>0</v>
      </c>
      <c r="EW52" s="106">
        <f t="shared" si="287"/>
        <v>0</v>
      </c>
      <c r="EX52" s="118"/>
      <c r="EY52" s="106">
        <f>+PMGR!EY52+BP!EY52</f>
        <v>0</v>
      </c>
      <c r="EZ52" s="106">
        <f>+PMGR!EZ52+BP!EZ52</f>
        <v>0</v>
      </c>
      <c r="FA52" s="106">
        <f>+PMGR!FA52+BP!FA52</f>
        <v>0</v>
      </c>
      <c r="FB52" s="106">
        <f>+PMGR!FB52+BP!FB52</f>
        <v>0</v>
      </c>
      <c r="FC52" s="106">
        <f>+PMGR!FC52+BP!FC52</f>
        <v>0</v>
      </c>
      <c r="FD52" s="106">
        <f>+PMGR!FD52+BP!FD52</f>
        <v>0</v>
      </c>
      <c r="FE52" s="106">
        <f>+PMGR!FE52+BP!FE52</f>
        <v>0</v>
      </c>
      <c r="FF52" s="106">
        <f>+PMGR!FF52+BP!FF52</f>
        <v>0</v>
      </c>
      <c r="FG52" s="106">
        <f>+PMGR!FG52+BP!FG52</f>
        <v>0</v>
      </c>
      <c r="FH52" s="106">
        <f>+PMGR!FH52+BP!FH52</f>
        <v>0</v>
      </c>
      <c r="FI52" s="106">
        <f>+PMGR!FI52+BP!FI52</f>
        <v>0</v>
      </c>
      <c r="FJ52" s="106">
        <f>+PMGR!FJ52+BP!FJ52</f>
        <v>0</v>
      </c>
      <c r="FK52" s="106">
        <f t="shared" si="288"/>
        <v>0</v>
      </c>
    </row>
    <row r="53" spans="1:167" ht="14.45" hidden="1" customHeight="1" outlineLevel="2">
      <c r="A53" s="106">
        <f t="shared" si="274"/>
        <v>0</v>
      </c>
      <c r="B53" s="106">
        <f t="shared" si="274"/>
        <v>0</v>
      </c>
      <c r="C53" s="106">
        <f t="shared" si="274"/>
        <v>0</v>
      </c>
      <c r="D53" s="106">
        <f t="shared" si="274"/>
        <v>0</v>
      </c>
      <c r="E53" s="106">
        <f t="shared" si="274"/>
        <v>0</v>
      </c>
      <c r="F53" s="106">
        <f t="shared" si="274"/>
        <v>0</v>
      </c>
      <c r="G53" s="106">
        <f t="shared" si="274"/>
        <v>0</v>
      </c>
      <c r="H53" s="106">
        <f t="shared" si="274"/>
        <v>0</v>
      </c>
      <c r="I53" s="106">
        <f t="shared" si="274"/>
        <v>0</v>
      </c>
      <c r="J53" s="106">
        <f t="shared" si="274"/>
        <v>0</v>
      </c>
      <c r="K53" s="106">
        <f t="shared" si="274"/>
        <v>0</v>
      </c>
      <c r="L53" s="106">
        <f t="shared" si="274"/>
        <v>0</v>
      </c>
      <c r="M53" s="106">
        <f t="shared" si="275"/>
        <v>0</v>
      </c>
      <c r="N53" s="10" t="s">
        <v>33</v>
      </c>
      <c r="O53" s="106">
        <f t="shared" si="276"/>
        <v>0</v>
      </c>
      <c r="P53" s="106">
        <f t="shared" si="276"/>
        <v>0</v>
      </c>
      <c r="Q53" s="106">
        <f t="shared" si="276"/>
        <v>0</v>
      </c>
      <c r="R53" s="106">
        <f t="shared" si="276"/>
        <v>0</v>
      </c>
      <c r="S53" s="106">
        <f t="shared" si="276"/>
        <v>0</v>
      </c>
      <c r="T53" s="106">
        <f t="shared" si="276"/>
        <v>0</v>
      </c>
      <c r="U53" s="106">
        <f t="shared" si="276"/>
        <v>0</v>
      </c>
      <c r="V53" s="106">
        <f t="shared" si="276"/>
        <v>0</v>
      </c>
      <c r="W53" s="106">
        <f t="shared" si="276"/>
        <v>0</v>
      </c>
      <c r="X53" s="106">
        <f t="shared" si="276"/>
        <v>0</v>
      </c>
      <c r="Y53" s="106">
        <f t="shared" si="276"/>
        <v>0</v>
      </c>
      <c r="Z53" s="106">
        <f t="shared" si="276"/>
        <v>0</v>
      </c>
      <c r="AA53" s="106">
        <f t="shared" si="277"/>
        <v>0</v>
      </c>
      <c r="AB53" s="118"/>
      <c r="AC53" s="106">
        <f t="shared" si="278"/>
        <v>0</v>
      </c>
      <c r="AD53" s="106">
        <f t="shared" si="278"/>
        <v>0</v>
      </c>
      <c r="AE53" s="106">
        <f t="shared" si="278"/>
        <v>0</v>
      </c>
      <c r="AF53" s="106">
        <f t="shared" si="278"/>
        <v>0</v>
      </c>
      <c r="AG53" s="106">
        <f t="shared" si="278"/>
        <v>0</v>
      </c>
      <c r="AH53" s="106">
        <f t="shared" si="278"/>
        <v>0</v>
      </c>
      <c r="AI53" s="106">
        <f t="shared" si="278"/>
        <v>0</v>
      </c>
      <c r="AJ53" s="106">
        <f t="shared" si="278"/>
        <v>0</v>
      </c>
      <c r="AK53" s="106">
        <f t="shared" si="278"/>
        <v>0</v>
      </c>
      <c r="AL53" s="106">
        <f t="shared" si="278"/>
        <v>0</v>
      </c>
      <c r="AM53" s="106">
        <f t="shared" si="278"/>
        <v>0</v>
      </c>
      <c r="AN53" s="106">
        <f t="shared" si="278"/>
        <v>0</v>
      </c>
      <c r="AO53" s="106">
        <f t="shared" si="279"/>
        <v>0</v>
      </c>
      <c r="AP53" s="106"/>
      <c r="AQ53" s="106">
        <f>+PMGR!AQ53+BP!AQ53</f>
        <v>0</v>
      </c>
      <c r="AR53" s="106">
        <f>+PMGR!AR53+BP!AR53</f>
        <v>0</v>
      </c>
      <c r="AS53" s="106">
        <f>+PMGR!AS53+BP!AS53</f>
        <v>0</v>
      </c>
      <c r="AT53" s="106">
        <f>+PMGR!AT53+BP!AT53</f>
        <v>0</v>
      </c>
      <c r="AU53" s="106">
        <f>+PMGR!AU53+BP!AU53</f>
        <v>0</v>
      </c>
      <c r="AV53" s="106">
        <f>+PMGR!AV53+BP!AV53</f>
        <v>0</v>
      </c>
      <c r="AW53" s="106">
        <f>+PMGR!AW53+BP!AW53</f>
        <v>0</v>
      </c>
      <c r="AX53" s="106">
        <f>+PMGR!AX53+BP!AX53</f>
        <v>0</v>
      </c>
      <c r="AY53" s="106">
        <f>+PMGR!AY53+BP!AY53</f>
        <v>0</v>
      </c>
      <c r="AZ53" s="106">
        <f>+PMGR!AZ53+BP!AZ53</f>
        <v>0</v>
      </c>
      <c r="BA53" s="106">
        <f>+PMGR!BA53+BP!BA53</f>
        <v>0</v>
      </c>
      <c r="BB53" s="106">
        <f>+PMGR!BB53+BP!BB53</f>
        <v>0</v>
      </c>
      <c r="BC53" s="106">
        <f t="shared" si="280"/>
        <v>0</v>
      </c>
      <c r="BD53" s="10" t="str">
        <f t="shared" si="16"/>
        <v>Cost of Good sold</v>
      </c>
      <c r="BE53" s="106">
        <f>+PMGR!BE53+BP!BE53</f>
        <v>0</v>
      </c>
      <c r="BF53" s="106">
        <f>+PMGR!BF53+BP!BF53</f>
        <v>0</v>
      </c>
      <c r="BG53" s="106">
        <f>+PMGR!BG53+BP!BG53</f>
        <v>0</v>
      </c>
      <c r="BH53" s="106">
        <f>+PMGR!BH53+BP!BH53</f>
        <v>0</v>
      </c>
      <c r="BI53" s="106">
        <f>+PMGR!BI53+BP!BI53</f>
        <v>0</v>
      </c>
      <c r="BJ53" s="106">
        <f>+PMGR!BJ53+BP!BJ53</f>
        <v>0</v>
      </c>
      <c r="BK53" s="106">
        <f>+PMGR!BK53+BP!BK53</f>
        <v>0</v>
      </c>
      <c r="BL53" s="106">
        <f>+PMGR!BL53+BP!BL53</f>
        <v>0</v>
      </c>
      <c r="BM53" s="106">
        <f>+PMGR!BM53+BP!BM53</f>
        <v>0</v>
      </c>
      <c r="BN53" s="106">
        <f>+PMGR!BN53+BP!BN53</f>
        <v>0</v>
      </c>
      <c r="BO53" s="106">
        <f>+PMGR!BO53+BP!BO53</f>
        <v>0</v>
      </c>
      <c r="BP53" s="106">
        <f>+PMGR!BP53+BP!BP53</f>
        <v>0</v>
      </c>
      <c r="BQ53" s="106">
        <f t="shared" si="281"/>
        <v>0</v>
      </c>
      <c r="BR53" s="118"/>
      <c r="BS53" s="106">
        <f>+PMGR!BS53+BP!BS53</f>
        <v>0</v>
      </c>
      <c r="BT53" s="106">
        <f>+PMGR!BT53+BP!BT53</f>
        <v>0</v>
      </c>
      <c r="BU53" s="106">
        <f>+PMGR!BU53+BP!BU53</f>
        <v>0</v>
      </c>
      <c r="BV53" s="106">
        <f>+PMGR!BV53+BP!BV53</f>
        <v>0</v>
      </c>
      <c r="BW53" s="106">
        <f>+PMGR!BW53+BP!BW53</f>
        <v>0</v>
      </c>
      <c r="BX53" s="106">
        <f>+PMGR!BX53+BP!BX53</f>
        <v>0</v>
      </c>
      <c r="BY53" s="106">
        <f>+PMGR!BY53+BP!BY53</f>
        <v>0</v>
      </c>
      <c r="BZ53" s="106">
        <f>+PMGR!BZ53+BP!BZ53</f>
        <v>0</v>
      </c>
      <c r="CA53" s="106">
        <f>+PMGR!CA53+BP!CA53</f>
        <v>0</v>
      </c>
      <c r="CB53" s="106">
        <f>+PMGR!CB53+BP!CB53</f>
        <v>0</v>
      </c>
      <c r="CC53" s="106">
        <f>+PMGR!CC53+BP!CC53</f>
        <v>0</v>
      </c>
      <c r="CD53" s="106">
        <f>+PMGR!CD53+BP!CD53</f>
        <v>0</v>
      </c>
      <c r="CE53" s="106">
        <f t="shared" si="282"/>
        <v>0</v>
      </c>
      <c r="CF53" s="106"/>
      <c r="CG53" s="106">
        <f>+PMGR!CG53+BP!CG53</f>
        <v>0</v>
      </c>
      <c r="CH53" s="106">
        <f>+PMGR!CH53+BP!CH53</f>
        <v>0</v>
      </c>
      <c r="CI53" s="106">
        <f>+PMGR!CI53+BP!CI53</f>
        <v>0</v>
      </c>
      <c r="CJ53" s="106">
        <f>+PMGR!CJ53+BP!CJ53</f>
        <v>0</v>
      </c>
      <c r="CK53" s="106">
        <f>+PMGR!CK53+BP!CK53</f>
        <v>0</v>
      </c>
      <c r="CL53" s="106">
        <f>+PMGR!CL53+BP!CL53</f>
        <v>0</v>
      </c>
      <c r="CM53" s="106">
        <f>+PMGR!CM53+BP!CM53</f>
        <v>0</v>
      </c>
      <c r="CN53" s="106">
        <f>+PMGR!CN53+BP!CN53</f>
        <v>0</v>
      </c>
      <c r="CO53" s="106">
        <f>+PMGR!CO53+BP!CO53</f>
        <v>0</v>
      </c>
      <c r="CP53" s="106">
        <f>+PMGR!CP53+BP!CP53</f>
        <v>0</v>
      </c>
      <c r="CQ53" s="106">
        <f>+PMGR!CQ53+BP!CQ53</f>
        <v>0</v>
      </c>
      <c r="CR53" s="106">
        <f>+PMGR!CR53+BP!CR53</f>
        <v>0</v>
      </c>
      <c r="CS53" s="106">
        <f t="shared" si="283"/>
        <v>0</v>
      </c>
      <c r="CT53" s="10" t="str">
        <f t="shared" si="20"/>
        <v>Cost of Good sold</v>
      </c>
      <c r="CU53" s="106">
        <f>+PMGR!CU53+BP!CU53</f>
        <v>0</v>
      </c>
      <c r="CV53" s="106">
        <f>+PMGR!CV53+BP!CV53</f>
        <v>0</v>
      </c>
      <c r="CW53" s="106">
        <f>+PMGR!CW53+BP!CW53</f>
        <v>0</v>
      </c>
      <c r="CX53" s="106">
        <f>+PMGR!CX53+BP!CX53</f>
        <v>0</v>
      </c>
      <c r="CY53" s="106">
        <f>+PMGR!CY53+BP!CY53</f>
        <v>0</v>
      </c>
      <c r="CZ53" s="106">
        <f>+PMGR!CZ53+BP!CZ53</f>
        <v>0</v>
      </c>
      <c r="DA53" s="106">
        <f>+PMGR!DA53+BP!DA53</f>
        <v>0</v>
      </c>
      <c r="DB53" s="106">
        <f>+PMGR!DB53+BP!DB53</f>
        <v>0</v>
      </c>
      <c r="DC53" s="106">
        <f>+PMGR!DC53+BP!DC53</f>
        <v>0</v>
      </c>
      <c r="DD53" s="106">
        <f>+PMGR!DD53+BP!DD53</f>
        <v>0</v>
      </c>
      <c r="DE53" s="106">
        <f>+PMGR!DE53+BP!DE53</f>
        <v>0</v>
      </c>
      <c r="DF53" s="106">
        <f>+PMGR!DF53+BP!DF53</f>
        <v>0</v>
      </c>
      <c r="DG53" s="106">
        <f t="shared" si="284"/>
        <v>0</v>
      </c>
      <c r="DH53" s="118"/>
      <c r="DI53" s="106">
        <f>+PMGR!DI53+BP!DI53</f>
        <v>0</v>
      </c>
      <c r="DJ53" s="106">
        <f>+PMGR!DJ53+BP!DJ53</f>
        <v>0</v>
      </c>
      <c r="DK53" s="106">
        <f>+PMGR!DK53+BP!DK53</f>
        <v>0</v>
      </c>
      <c r="DL53" s="106">
        <f>+PMGR!DL53+BP!DL53</f>
        <v>0</v>
      </c>
      <c r="DM53" s="106">
        <f>+PMGR!DM53+BP!DM53</f>
        <v>0</v>
      </c>
      <c r="DN53" s="106">
        <f>+PMGR!DN53+BP!DN53</f>
        <v>0</v>
      </c>
      <c r="DO53" s="106">
        <f>+PMGR!DO53+BP!DO53</f>
        <v>0</v>
      </c>
      <c r="DP53" s="106">
        <f>+PMGR!DP53+BP!DP53</f>
        <v>0</v>
      </c>
      <c r="DQ53" s="106">
        <f>+PMGR!DQ53+BP!DQ53</f>
        <v>0</v>
      </c>
      <c r="DR53" s="106">
        <f>+PMGR!DR53+BP!DR53</f>
        <v>0</v>
      </c>
      <c r="DS53" s="106">
        <f>+PMGR!DS53+BP!DS53</f>
        <v>0</v>
      </c>
      <c r="DT53" s="106">
        <f>+PMGR!DT53+BP!DT53</f>
        <v>0</v>
      </c>
      <c r="DU53" s="106">
        <f t="shared" si="285"/>
        <v>0</v>
      </c>
      <c r="DV53" s="106"/>
      <c r="DW53" s="106">
        <f>+PMGR!DW53+BP!DW53</f>
        <v>0</v>
      </c>
      <c r="DX53" s="106">
        <f>+PMGR!DX53+BP!DX53</f>
        <v>0</v>
      </c>
      <c r="DY53" s="106">
        <f>+PMGR!DY53+BP!DY53</f>
        <v>0</v>
      </c>
      <c r="DZ53" s="106">
        <f>+PMGR!DZ53+BP!DZ53</f>
        <v>0</v>
      </c>
      <c r="EA53" s="106">
        <f>+PMGR!EA53+BP!EA53</f>
        <v>0</v>
      </c>
      <c r="EB53" s="106">
        <f>+PMGR!EB53+BP!EB53</f>
        <v>0</v>
      </c>
      <c r="EC53" s="106">
        <f>+PMGR!EC53+BP!EC53</f>
        <v>0</v>
      </c>
      <c r="ED53" s="106">
        <f>+PMGR!ED53+BP!ED53</f>
        <v>0</v>
      </c>
      <c r="EE53" s="106">
        <f>+PMGR!EE53+BP!EE53</f>
        <v>0</v>
      </c>
      <c r="EF53" s="106">
        <f>+PMGR!EF53+BP!EF53</f>
        <v>0</v>
      </c>
      <c r="EG53" s="106">
        <f>+PMGR!EG53+BP!EG53</f>
        <v>0</v>
      </c>
      <c r="EH53" s="106">
        <f>+PMGR!EH53+BP!EH53</f>
        <v>0</v>
      </c>
      <c r="EI53" s="106">
        <f t="shared" si="286"/>
        <v>0</v>
      </c>
      <c r="EJ53" s="10" t="str">
        <f t="shared" si="93"/>
        <v>Cost of Good sold</v>
      </c>
      <c r="EK53" s="106">
        <f>+PMGR!EK53+BP!EK53</f>
        <v>0</v>
      </c>
      <c r="EL53" s="106">
        <f>+PMGR!EL53+BP!EL53</f>
        <v>0</v>
      </c>
      <c r="EM53" s="106">
        <f>+PMGR!EM53+BP!EM53</f>
        <v>0</v>
      </c>
      <c r="EN53" s="106">
        <f>+PMGR!EN53+BP!EN53</f>
        <v>0</v>
      </c>
      <c r="EO53" s="106">
        <f>+PMGR!EO53+BP!EO53</f>
        <v>0</v>
      </c>
      <c r="EP53" s="106">
        <f>+PMGR!EP53+BP!EP53</f>
        <v>0</v>
      </c>
      <c r="EQ53" s="106">
        <f>+PMGR!EQ53+BP!EQ53</f>
        <v>0</v>
      </c>
      <c r="ER53" s="106">
        <f>+PMGR!ER53+BP!ER53</f>
        <v>0</v>
      </c>
      <c r="ES53" s="106">
        <f>+PMGR!ES53+BP!ES53</f>
        <v>0</v>
      </c>
      <c r="ET53" s="106">
        <f>+PMGR!ET53+BP!ET53</f>
        <v>0</v>
      </c>
      <c r="EU53" s="106">
        <f>+PMGR!EU53+BP!EU53</f>
        <v>0</v>
      </c>
      <c r="EV53" s="106">
        <f>+PMGR!EV53+BP!EV53</f>
        <v>0</v>
      </c>
      <c r="EW53" s="106">
        <f t="shared" si="287"/>
        <v>0</v>
      </c>
      <c r="EX53" s="118"/>
      <c r="EY53" s="106">
        <f>+PMGR!EY53+BP!EY53</f>
        <v>0</v>
      </c>
      <c r="EZ53" s="106">
        <f>+PMGR!EZ53+BP!EZ53</f>
        <v>0</v>
      </c>
      <c r="FA53" s="106">
        <f>+PMGR!FA53+BP!FA53</f>
        <v>0</v>
      </c>
      <c r="FB53" s="106">
        <f>+PMGR!FB53+BP!FB53</f>
        <v>0</v>
      </c>
      <c r="FC53" s="106">
        <f>+PMGR!FC53+BP!FC53</f>
        <v>0</v>
      </c>
      <c r="FD53" s="106">
        <f>+PMGR!FD53+BP!FD53</f>
        <v>0</v>
      </c>
      <c r="FE53" s="106">
        <f>+PMGR!FE53+BP!FE53</f>
        <v>0</v>
      </c>
      <c r="FF53" s="106">
        <f>+PMGR!FF53+BP!FF53</f>
        <v>0</v>
      </c>
      <c r="FG53" s="106">
        <f>+PMGR!FG53+BP!FG53</f>
        <v>0</v>
      </c>
      <c r="FH53" s="106">
        <f>+PMGR!FH53+BP!FH53</f>
        <v>0</v>
      </c>
      <c r="FI53" s="106">
        <f>+PMGR!FI53+BP!FI53</f>
        <v>0</v>
      </c>
      <c r="FJ53" s="106">
        <f>+PMGR!FJ53+BP!FJ53</f>
        <v>0</v>
      </c>
      <c r="FK53" s="106">
        <f t="shared" si="288"/>
        <v>0</v>
      </c>
    </row>
    <row r="54" spans="1:167" ht="14.45" hidden="1" customHeight="1" outlineLevel="2">
      <c r="A54" s="58">
        <f>+A51+A52-A53</f>
        <v>0</v>
      </c>
      <c r="B54" s="58">
        <f t="shared" ref="B54:M54" si="289">+B51+B52-B53</f>
        <v>0</v>
      </c>
      <c r="C54" s="58">
        <f t="shared" si="289"/>
        <v>0</v>
      </c>
      <c r="D54" s="58">
        <f t="shared" si="289"/>
        <v>0</v>
      </c>
      <c r="E54" s="58">
        <f t="shared" si="289"/>
        <v>0</v>
      </c>
      <c r="F54" s="58">
        <f t="shared" si="289"/>
        <v>0</v>
      </c>
      <c r="G54" s="58">
        <f t="shared" si="289"/>
        <v>0</v>
      </c>
      <c r="H54" s="58">
        <f t="shared" si="289"/>
        <v>0</v>
      </c>
      <c r="I54" s="58">
        <f t="shared" si="289"/>
        <v>0</v>
      </c>
      <c r="J54" s="58">
        <f t="shared" si="289"/>
        <v>0</v>
      </c>
      <c r="K54" s="58">
        <f t="shared" si="289"/>
        <v>0</v>
      </c>
      <c r="L54" s="58">
        <f t="shared" si="289"/>
        <v>0</v>
      </c>
      <c r="M54" s="58">
        <f t="shared" si="289"/>
        <v>0</v>
      </c>
      <c r="N54" s="10" t="s">
        <v>20</v>
      </c>
      <c r="O54" s="58">
        <f>+O51+O52-O53</f>
        <v>0</v>
      </c>
      <c r="P54" s="58">
        <f t="shared" ref="P54:AA54" si="290">+P51+P52-P53</f>
        <v>0</v>
      </c>
      <c r="Q54" s="58">
        <f t="shared" si="290"/>
        <v>0</v>
      </c>
      <c r="R54" s="58">
        <f t="shared" si="290"/>
        <v>0</v>
      </c>
      <c r="S54" s="58">
        <f t="shared" si="290"/>
        <v>0</v>
      </c>
      <c r="T54" s="58">
        <f t="shared" si="290"/>
        <v>0</v>
      </c>
      <c r="U54" s="58">
        <f t="shared" si="290"/>
        <v>0</v>
      </c>
      <c r="V54" s="58">
        <f t="shared" si="290"/>
        <v>0</v>
      </c>
      <c r="W54" s="58">
        <f t="shared" si="290"/>
        <v>0</v>
      </c>
      <c r="X54" s="58">
        <f t="shared" si="290"/>
        <v>0</v>
      </c>
      <c r="Y54" s="58">
        <f t="shared" si="290"/>
        <v>0</v>
      </c>
      <c r="Z54" s="58">
        <f t="shared" si="290"/>
        <v>0</v>
      </c>
      <c r="AA54" s="58">
        <f t="shared" si="290"/>
        <v>0</v>
      </c>
      <c r="AB54" s="118"/>
      <c r="AC54" s="58">
        <f>+AC51+AC52-AC53</f>
        <v>0</v>
      </c>
      <c r="AD54" s="58">
        <f t="shared" ref="AD54:AO54" si="291">+AD51+AD52-AD53</f>
        <v>0</v>
      </c>
      <c r="AE54" s="58">
        <f t="shared" si="291"/>
        <v>0</v>
      </c>
      <c r="AF54" s="58">
        <f t="shared" si="291"/>
        <v>0</v>
      </c>
      <c r="AG54" s="58">
        <f t="shared" si="291"/>
        <v>0</v>
      </c>
      <c r="AH54" s="58">
        <f t="shared" si="291"/>
        <v>0</v>
      </c>
      <c r="AI54" s="58">
        <f t="shared" si="291"/>
        <v>0</v>
      </c>
      <c r="AJ54" s="58">
        <f t="shared" si="291"/>
        <v>0</v>
      </c>
      <c r="AK54" s="58">
        <f t="shared" si="291"/>
        <v>0</v>
      </c>
      <c r="AL54" s="58">
        <f t="shared" si="291"/>
        <v>0</v>
      </c>
      <c r="AM54" s="58">
        <f t="shared" si="291"/>
        <v>0</v>
      </c>
      <c r="AN54" s="58">
        <f t="shared" si="291"/>
        <v>0</v>
      </c>
      <c r="AO54" s="58">
        <f t="shared" si="291"/>
        <v>0</v>
      </c>
      <c r="AP54" s="106"/>
      <c r="AQ54" s="58">
        <f t="shared" ref="AQ54:BB54" si="292">+AQ51+AQ52-AQ53</f>
        <v>0</v>
      </c>
      <c r="AR54" s="58">
        <f t="shared" si="292"/>
        <v>0</v>
      </c>
      <c r="AS54" s="58">
        <f t="shared" si="292"/>
        <v>0</v>
      </c>
      <c r="AT54" s="58">
        <f t="shared" si="292"/>
        <v>0</v>
      </c>
      <c r="AU54" s="58">
        <f t="shared" si="292"/>
        <v>0</v>
      </c>
      <c r="AV54" s="58">
        <f t="shared" si="292"/>
        <v>0</v>
      </c>
      <c r="AW54" s="58">
        <f t="shared" si="292"/>
        <v>0</v>
      </c>
      <c r="AX54" s="58">
        <f t="shared" si="292"/>
        <v>0</v>
      </c>
      <c r="AY54" s="58">
        <f t="shared" si="292"/>
        <v>0</v>
      </c>
      <c r="AZ54" s="58">
        <f t="shared" si="292"/>
        <v>0</v>
      </c>
      <c r="BA54" s="58">
        <f t="shared" si="292"/>
        <v>0</v>
      </c>
      <c r="BB54" s="58">
        <f t="shared" si="292"/>
        <v>0</v>
      </c>
      <c r="BC54" s="58">
        <f t="shared" ref="BC54" si="293">+BC51+BC52-BC53</f>
        <v>0</v>
      </c>
      <c r="BD54" s="10" t="str">
        <f t="shared" si="16"/>
        <v>Gross Profit</v>
      </c>
      <c r="BE54" s="58">
        <f t="shared" ref="BE54:BP54" si="294">+BE51+BE52-BE53</f>
        <v>0</v>
      </c>
      <c r="BF54" s="58">
        <f t="shared" si="294"/>
        <v>0</v>
      </c>
      <c r="BG54" s="58">
        <f t="shared" si="294"/>
        <v>0</v>
      </c>
      <c r="BH54" s="58">
        <f t="shared" si="294"/>
        <v>0</v>
      </c>
      <c r="BI54" s="58">
        <f t="shared" si="294"/>
        <v>0</v>
      </c>
      <c r="BJ54" s="58">
        <f t="shared" si="294"/>
        <v>0</v>
      </c>
      <c r="BK54" s="58">
        <f t="shared" si="294"/>
        <v>0</v>
      </c>
      <c r="BL54" s="58">
        <f t="shared" si="294"/>
        <v>0</v>
      </c>
      <c r="BM54" s="58">
        <f t="shared" si="294"/>
        <v>0</v>
      </c>
      <c r="BN54" s="58">
        <f t="shared" si="294"/>
        <v>0</v>
      </c>
      <c r="BO54" s="58">
        <f t="shared" si="294"/>
        <v>0</v>
      </c>
      <c r="BP54" s="58">
        <f t="shared" si="294"/>
        <v>0</v>
      </c>
      <c r="BQ54" s="58">
        <f t="shared" ref="BQ54" si="295">+BQ51+BQ52-BQ53</f>
        <v>0</v>
      </c>
      <c r="BR54" s="118"/>
      <c r="BS54" s="58">
        <f t="shared" ref="BS54:CD54" si="296">+BS51+BS52-BS53</f>
        <v>0</v>
      </c>
      <c r="BT54" s="58">
        <f t="shared" si="296"/>
        <v>0</v>
      </c>
      <c r="BU54" s="58">
        <f t="shared" si="296"/>
        <v>0</v>
      </c>
      <c r="BV54" s="58">
        <f t="shared" si="296"/>
        <v>0</v>
      </c>
      <c r="BW54" s="58">
        <f t="shared" si="296"/>
        <v>0</v>
      </c>
      <c r="BX54" s="58">
        <f t="shared" si="296"/>
        <v>0</v>
      </c>
      <c r="BY54" s="58">
        <f t="shared" si="296"/>
        <v>0</v>
      </c>
      <c r="BZ54" s="58">
        <f t="shared" si="296"/>
        <v>0</v>
      </c>
      <c r="CA54" s="58">
        <f t="shared" si="296"/>
        <v>0</v>
      </c>
      <c r="CB54" s="58">
        <f t="shared" si="296"/>
        <v>0</v>
      </c>
      <c r="CC54" s="58">
        <f t="shared" si="296"/>
        <v>0</v>
      </c>
      <c r="CD54" s="58">
        <f t="shared" si="296"/>
        <v>0</v>
      </c>
      <c r="CE54" s="58">
        <f t="shared" ref="CE54" si="297">+CE51+CE52-CE53</f>
        <v>0</v>
      </c>
      <c r="CF54" s="106"/>
      <c r="CG54" s="58">
        <f t="shared" ref="CG54:CR54" si="298">+CG51+CG52-CG53</f>
        <v>0</v>
      </c>
      <c r="CH54" s="58">
        <f t="shared" si="298"/>
        <v>0</v>
      </c>
      <c r="CI54" s="58">
        <f t="shared" si="298"/>
        <v>0</v>
      </c>
      <c r="CJ54" s="58">
        <f t="shared" si="298"/>
        <v>0</v>
      </c>
      <c r="CK54" s="58">
        <f t="shared" si="298"/>
        <v>0</v>
      </c>
      <c r="CL54" s="58">
        <f t="shared" si="298"/>
        <v>0</v>
      </c>
      <c r="CM54" s="58">
        <f t="shared" si="298"/>
        <v>0</v>
      </c>
      <c r="CN54" s="58">
        <f t="shared" si="298"/>
        <v>0</v>
      </c>
      <c r="CO54" s="58">
        <f t="shared" si="298"/>
        <v>0</v>
      </c>
      <c r="CP54" s="58">
        <f t="shared" si="298"/>
        <v>0</v>
      </c>
      <c r="CQ54" s="58">
        <f t="shared" si="298"/>
        <v>0</v>
      </c>
      <c r="CR54" s="58">
        <f t="shared" si="298"/>
        <v>0</v>
      </c>
      <c r="CS54" s="58">
        <f t="shared" ref="CS54" si="299">+CS51+CS52-CS53</f>
        <v>0</v>
      </c>
      <c r="CT54" s="10" t="str">
        <f t="shared" si="20"/>
        <v>Gross Profit</v>
      </c>
      <c r="CU54" s="58">
        <f t="shared" ref="CU54:DF54" si="300">+CU51+CU52-CU53</f>
        <v>0</v>
      </c>
      <c r="CV54" s="58">
        <f t="shared" si="300"/>
        <v>0</v>
      </c>
      <c r="CW54" s="58">
        <f t="shared" si="300"/>
        <v>0</v>
      </c>
      <c r="CX54" s="58">
        <f t="shared" si="300"/>
        <v>0</v>
      </c>
      <c r="CY54" s="58">
        <f t="shared" si="300"/>
        <v>0</v>
      </c>
      <c r="CZ54" s="58">
        <f t="shared" si="300"/>
        <v>0</v>
      </c>
      <c r="DA54" s="58">
        <f t="shared" si="300"/>
        <v>0</v>
      </c>
      <c r="DB54" s="58">
        <f t="shared" si="300"/>
        <v>0</v>
      </c>
      <c r="DC54" s="58">
        <f t="shared" si="300"/>
        <v>0</v>
      </c>
      <c r="DD54" s="58">
        <f t="shared" si="300"/>
        <v>0</v>
      </c>
      <c r="DE54" s="58">
        <f t="shared" si="300"/>
        <v>0</v>
      </c>
      <c r="DF54" s="58">
        <f t="shared" si="300"/>
        <v>0</v>
      </c>
      <c r="DG54" s="58">
        <f t="shared" ref="DG54" si="301">+DG51+DG52-DG53</f>
        <v>0</v>
      </c>
      <c r="DH54" s="118"/>
      <c r="DI54" s="58">
        <f t="shared" ref="DI54:DT54" si="302">+DI51+DI52-DI53</f>
        <v>0</v>
      </c>
      <c r="DJ54" s="58">
        <f t="shared" si="302"/>
        <v>0</v>
      </c>
      <c r="DK54" s="58">
        <f t="shared" si="302"/>
        <v>0</v>
      </c>
      <c r="DL54" s="58">
        <f t="shared" si="302"/>
        <v>0</v>
      </c>
      <c r="DM54" s="58">
        <f t="shared" si="302"/>
        <v>0</v>
      </c>
      <c r="DN54" s="58">
        <f t="shared" si="302"/>
        <v>0</v>
      </c>
      <c r="DO54" s="58">
        <f t="shared" si="302"/>
        <v>0</v>
      </c>
      <c r="DP54" s="58">
        <f t="shared" si="302"/>
        <v>0</v>
      </c>
      <c r="DQ54" s="58">
        <f t="shared" si="302"/>
        <v>0</v>
      </c>
      <c r="DR54" s="58">
        <f t="shared" si="302"/>
        <v>0</v>
      </c>
      <c r="DS54" s="58">
        <f t="shared" si="302"/>
        <v>0</v>
      </c>
      <c r="DT54" s="58">
        <f t="shared" si="302"/>
        <v>0</v>
      </c>
      <c r="DU54" s="58">
        <f t="shared" ref="DU54" si="303">+DU51+DU52-DU53</f>
        <v>0</v>
      </c>
      <c r="DV54" s="106"/>
      <c r="DW54" s="58">
        <f t="shared" ref="DW54:EH54" si="304">+DW51+DW52-DW53</f>
        <v>0</v>
      </c>
      <c r="DX54" s="58">
        <f t="shared" si="304"/>
        <v>0</v>
      </c>
      <c r="DY54" s="58">
        <f t="shared" si="304"/>
        <v>0</v>
      </c>
      <c r="DZ54" s="58">
        <f t="shared" si="304"/>
        <v>0</v>
      </c>
      <c r="EA54" s="58">
        <f t="shared" si="304"/>
        <v>0</v>
      </c>
      <c r="EB54" s="58">
        <f t="shared" si="304"/>
        <v>0</v>
      </c>
      <c r="EC54" s="58">
        <f t="shared" si="304"/>
        <v>0</v>
      </c>
      <c r="ED54" s="58">
        <f t="shared" si="304"/>
        <v>0</v>
      </c>
      <c r="EE54" s="58">
        <f t="shared" si="304"/>
        <v>0</v>
      </c>
      <c r="EF54" s="58">
        <f t="shared" si="304"/>
        <v>0</v>
      </c>
      <c r="EG54" s="58">
        <f t="shared" si="304"/>
        <v>0</v>
      </c>
      <c r="EH54" s="58">
        <f t="shared" si="304"/>
        <v>0</v>
      </c>
      <c r="EI54" s="58">
        <f t="shared" ref="EI54" si="305">+EI51+EI52-EI53</f>
        <v>0</v>
      </c>
      <c r="EJ54" s="10" t="str">
        <f t="shared" si="93"/>
        <v>Gross Profit</v>
      </c>
      <c r="EK54" s="58">
        <f t="shared" ref="EK54:EV54" si="306">+EK51+EK52-EK53</f>
        <v>0</v>
      </c>
      <c r="EL54" s="58">
        <f t="shared" si="306"/>
        <v>0</v>
      </c>
      <c r="EM54" s="58">
        <f t="shared" si="306"/>
        <v>0</v>
      </c>
      <c r="EN54" s="58">
        <f t="shared" si="306"/>
        <v>0</v>
      </c>
      <c r="EO54" s="58">
        <f t="shared" si="306"/>
        <v>0</v>
      </c>
      <c r="EP54" s="58">
        <f t="shared" si="306"/>
        <v>0</v>
      </c>
      <c r="EQ54" s="58">
        <f t="shared" si="306"/>
        <v>0</v>
      </c>
      <c r="ER54" s="58">
        <f t="shared" si="306"/>
        <v>0</v>
      </c>
      <c r="ES54" s="58">
        <f t="shared" si="306"/>
        <v>0</v>
      </c>
      <c r="ET54" s="58">
        <f t="shared" si="306"/>
        <v>0</v>
      </c>
      <c r="EU54" s="58">
        <f t="shared" si="306"/>
        <v>0</v>
      </c>
      <c r="EV54" s="58">
        <f t="shared" si="306"/>
        <v>0</v>
      </c>
      <c r="EW54" s="58">
        <f t="shared" ref="EW54" si="307">+EW51+EW52-EW53</f>
        <v>0</v>
      </c>
      <c r="EX54" s="118"/>
      <c r="EY54" s="58">
        <f t="shared" ref="EY54:FJ54" si="308">+EY51+EY52-EY53</f>
        <v>0</v>
      </c>
      <c r="EZ54" s="58">
        <f t="shared" si="308"/>
        <v>0</v>
      </c>
      <c r="FA54" s="58">
        <f t="shared" si="308"/>
        <v>0</v>
      </c>
      <c r="FB54" s="58">
        <f t="shared" si="308"/>
        <v>0</v>
      </c>
      <c r="FC54" s="58">
        <f t="shared" si="308"/>
        <v>0</v>
      </c>
      <c r="FD54" s="58">
        <f t="shared" si="308"/>
        <v>0</v>
      </c>
      <c r="FE54" s="58">
        <f t="shared" si="308"/>
        <v>0</v>
      </c>
      <c r="FF54" s="58">
        <f t="shared" si="308"/>
        <v>0</v>
      </c>
      <c r="FG54" s="58">
        <f t="shared" si="308"/>
        <v>0</v>
      </c>
      <c r="FH54" s="58">
        <f t="shared" si="308"/>
        <v>0</v>
      </c>
      <c r="FI54" s="58">
        <f t="shared" si="308"/>
        <v>0</v>
      </c>
      <c r="FJ54" s="58">
        <f t="shared" si="308"/>
        <v>0</v>
      </c>
      <c r="FK54" s="58">
        <f t="shared" ref="FK54" si="309">+FK51+FK52-FK53</f>
        <v>0</v>
      </c>
    </row>
    <row r="55" spans="1:167" ht="14.45" customHeight="1" collapsed="1">
      <c r="A55" s="106">
        <f t="shared" si="274"/>
        <v>415400</v>
      </c>
      <c r="B55" s="106">
        <f t="shared" si="274"/>
        <v>518260</v>
      </c>
      <c r="C55" s="106">
        <f t="shared" si="274"/>
        <v>372239</v>
      </c>
      <c r="D55" s="106">
        <f t="shared" si="274"/>
        <v>363995</v>
      </c>
      <c r="E55" s="106">
        <f t="shared" si="274"/>
        <v>483090</v>
      </c>
      <c r="F55" s="106">
        <f t="shared" si="274"/>
        <v>667887.5</v>
      </c>
      <c r="G55" s="106">
        <f t="shared" si="274"/>
        <v>760903.2</v>
      </c>
      <c r="H55" s="106">
        <f t="shared" si="274"/>
        <v>584876</v>
      </c>
      <c r="I55" s="106">
        <f t="shared" si="274"/>
        <v>620946.84000000008</v>
      </c>
      <c r="J55" s="106">
        <f t="shared" si="274"/>
        <v>607994</v>
      </c>
      <c r="K55" s="106">
        <f t="shared" si="274"/>
        <v>803552</v>
      </c>
      <c r="L55" s="106">
        <f t="shared" si="274"/>
        <v>630990</v>
      </c>
      <c r="M55" s="106">
        <f t="shared" si="275"/>
        <v>6830133.54</v>
      </c>
      <c r="N55" s="7" t="s">
        <v>44</v>
      </c>
      <c r="O55" s="106">
        <f t="shared" ref="O55:Z56" si="310">+BE55+CU55+EK55</f>
        <v>593580</v>
      </c>
      <c r="P55" s="106">
        <f t="shared" si="310"/>
        <v>477880</v>
      </c>
      <c r="Q55" s="106">
        <f t="shared" si="310"/>
        <v>633980</v>
      </c>
      <c r="R55" s="106">
        <f t="shared" si="310"/>
        <v>475640</v>
      </c>
      <c r="S55" s="106">
        <f t="shared" si="310"/>
        <v>767018</v>
      </c>
      <c r="T55" s="106">
        <f t="shared" si="310"/>
        <v>625958</v>
      </c>
      <c r="U55" s="106">
        <f t="shared" si="310"/>
        <v>610955</v>
      </c>
      <c r="V55" s="106">
        <f t="shared" si="310"/>
        <v>523992</v>
      </c>
      <c r="W55" s="106">
        <f t="shared" si="310"/>
        <v>545185</v>
      </c>
      <c r="X55" s="106">
        <f t="shared" si="310"/>
        <v>832030</v>
      </c>
      <c r="Y55" s="106">
        <f t="shared" si="310"/>
        <v>0</v>
      </c>
      <c r="Z55" s="106">
        <f t="shared" si="310"/>
        <v>0</v>
      </c>
      <c r="AA55" s="106">
        <f t="shared" ref="AA55:AA56" si="311">+SUM(O55:Z55)</f>
        <v>6086218</v>
      </c>
      <c r="AB55" s="118"/>
      <c r="AC55" s="106">
        <f t="shared" ref="AC55:AN56" si="312">+BS55+DI55+EY55</f>
        <v>550000</v>
      </c>
      <c r="AD55" s="106">
        <f t="shared" si="312"/>
        <v>489000</v>
      </c>
      <c r="AE55" s="106">
        <f t="shared" si="312"/>
        <v>568000</v>
      </c>
      <c r="AF55" s="106">
        <f t="shared" si="312"/>
        <v>546000</v>
      </c>
      <c r="AG55" s="106">
        <f t="shared" si="312"/>
        <v>462400</v>
      </c>
      <c r="AH55" s="106">
        <f t="shared" si="312"/>
        <v>529600</v>
      </c>
      <c r="AI55" s="106">
        <f t="shared" si="312"/>
        <v>537800</v>
      </c>
      <c r="AJ55" s="106">
        <f t="shared" si="312"/>
        <v>478800</v>
      </c>
      <c r="AK55" s="106">
        <f t="shared" si="312"/>
        <v>478800</v>
      </c>
      <c r="AL55" s="106">
        <f t="shared" si="312"/>
        <v>446000</v>
      </c>
      <c r="AM55" s="106">
        <f t="shared" si="312"/>
        <v>529600</v>
      </c>
      <c r="AN55" s="106">
        <f t="shared" si="312"/>
        <v>503400</v>
      </c>
      <c r="AO55" s="106">
        <f t="shared" ref="AO55:AO56" si="313">+SUM(AC55:AN55)</f>
        <v>6119400</v>
      </c>
      <c r="AP55" s="106"/>
      <c r="AQ55" s="106">
        <f>+PMGR!AQ55+BP!AQ55</f>
        <v>259740</v>
      </c>
      <c r="AR55" s="106">
        <f>+PMGR!AR55+BP!AR55</f>
        <v>424940</v>
      </c>
      <c r="AS55" s="106">
        <f>+PMGR!AS55+BP!AS55</f>
        <v>274690</v>
      </c>
      <c r="AT55" s="106">
        <f>+PMGR!AT55+BP!AT55</f>
        <v>292625</v>
      </c>
      <c r="AU55" s="106">
        <f>+PMGR!AU55+BP!AU55</f>
        <v>253560</v>
      </c>
      <c r="AV55" s="106">
        <f>+PMGR!AV55+BP!AV55</f>
        <v>315660</v>
      </c>
      <c r="AW55" s="106">
        <f>+PMGR!AW55+BP!AW55</f>
        <v>516995.2</v>
      </c>
      <c r="AX55" s="106">
        <f>+PMGR!AX55+BP!AX55</f>
        <v>440732.00000000006</v>
      </c>
      <c r="AY55" s="106">
        <f>+PMGR!AY55+BP!AY55</f>
        <v>505529.84000000008</v>
      </c>
      <c r="AZ55" s="106">
        <f>+PMGR!AZ55+BP!AZ55</f>
        <v>450929.99999999994</v>
      </c>
      <c r="BA55" s="106">
        <f>+PMGR!BA55+BP!BA55</f>
        <v>524581</v>
      </c>
      <c r="BB55" s="106">
        <f>+PMGR!BB55+BP!BB55</f>
        <v>494406.00000000006</v>
      </c>
      <c r="BC55" s="106">
        <f t="shared" ref="BC55:BC56" si="314">+SUM(AQ55:BB55)</f>
        <v>4754389.04</v>
      </c>
      <c r="BD55" s="7" t="str">
        <f t="shared" si="16"/>
        <v>VAS</v>
      </c>
      <c r="BE55" s="106">
        <f>+PMGR!BE55+BP!BE55</f>
        <v>222270</v>
      </c>
      <c r="BF55" s="106">
        <f>+PMGR!BF55+BP!BF55</f>
        <v>207731.99999999997</v>
      </c>
      <c r="BG55" s="106">
        <f>+PMGR!BG55+BP!BG55</f>
        <v>386242</v>
      </c>
      <c r="BH55" s="106">
        <f>+PMGR!BH55+BP!BH55</f>
        <v>235000</v>
      </c>
      <c r="BI55" s="106">
        <f>+PMGR!BI55+BP!BI55</f>
        <v>489578</v>
      </c>
      <c r="BJ55" s="106">
        <f>+PMGR!BJ55+BP!BJ55</f>
        <v>389813</v>
      </c>
      <c r="BK55" s="106">
        <f>+PMGR!BK55+BP!BK55</f>
        <v>403785</v>
      </c>
      <c r="BL55" s="106">
        <f>+PMGR!BL55+BP!BL55</f>
        <v>330638</v>
      </c>
      <c r="BM55" s="106">
        <f>+PMGR!BM55+BP!BM55</f>
        <v>311965</v>
      </c>
      <c r="BN55" s="106">
        <f>+PMGR!BN55+BP!BN55</f>
        <v>469640</v>
      </c>
      <c r="BO55" s="106">
        <f>+PMGR!BO55+BP!BO55</f>
        <v>0</v>
      </c>
      <c r="BP55" s="106">
        <f>+PMGR!BP55+BP!BP55</f>
        <v>0</v>
      </c>
      <c r="BQ55" s="106">
        <f t="shared" ref="BQ55:BQ56" si="315">+SUM(BE55:BP55)</f>
        <v>3446663</v>
      </c>
      <c r="BR55" s="118"/>
      <c r="BS55" s="106">
        <f>+PMGR!BS55+BP!BS55</f>
        <v>275000</v>
      </c>
      <c r="BT55" s="106">
        <f>+PMGR!BT55+BP!BT55</f>
        <v>244500</v>
      </c>
      <c r="BU55" s="106">
        <f>+PMGR!BU55+BP!BU55</f>
        <v>284000</v>
      </c>
      <c r="BV55" s="106">
        <f>+PMGR!BV55+BP!BV55</f>
        <v>273000</v>
      </c>
      <c r="BW55" s="106">
        <f>+PMGR!BW55+BP!BW55</f>
        <v>231200</v>
      </c>
      <c r="BX55" s="106">
        <f>+PMGR!BX55+BP!BX55</f>
        <v>264800</v>
      </c>
      <c r="BY55" s="106">
        <f>+PMGR!BY55+BP!BY55</f>
        <v>268900</v>
      </c>
      <c r="BZ55" s="106">
        <f>+PMGR!BZ55+BP!BZ55</f>
        <v>239400</v>
      </c>
      <c r="CA55" s="106">
        <f>+PMGR!CA55+BP!CA55</f>
        <v>239400</v>
      </c>
      <c r="CB55" s="106">
        <f>+PMGR!CB55+BP!CB55</f>
        <v>223000</v>
      </c>
      <c r="CC55" s="106">
        <f>+PMGR!CC55+BP!CC55</f>
        <v>264800</v>
      </c>
      <c r="CD55" s="106">
        <f>+PMGR!CD55+BP!CD55</f>
        <v>251700</v>
      </c>
      <c r="CE55" s="106">
        <f t="shared" ref="CE55:CE56" si="316">+SUM(BS55:CD55)</f>
        <v>3059700</v>
      </c>
      <c r="CF55" s="106"/>
      <c r="CG55" s="106">
        <f>+PMGR!CG55+BP!CG55</f>
        <v>155660</v>
      </c>
      <c r="CH55" s="106">
        <f>+PMGR!CH55+BP!CH55</f>
        <v>93320</v>
      </c>
      <c r="CI55" s="106">
        <f>+PMGR!CI55+BP!CI55</f>
        <v>97549</v>
      </c>
      <c r="CJ55" s="106">
        <f>+PMGR!CJ55+BP!CJ55</f>
        <v>71370</v>
      </c>
      <c r="CK55" s="106">
        <f>+PMGR!CK55+BP!CK55</f>
        <v>229530</v>
      </c>
      <c r="CL55" s="106">
        <f>+PMGR!CL55+BP!CL55</f>
        <v>352227.5</v>
      </c>
      <c r="CM55" s="106">
        <f>+PMGR!CM55+BP!CM55</f>
        <v>243908</v>
      </c>
      <c r="CN55" s="106">
        <f>+PMGR!CN55+BP!CN55</f>
        <v>144144</v>
      </c>
      <c r="CO55" s="106">
        <f>+PMGR!CO55+BP!CO55</f>
        <v>115416.99999999999</v>
      </c>
      <c r="CP55" s="106">
        <f>+PMGR!CP55+BP!CP55</f>
        <v>157064</v>
      </c>
      <c r="CQ55" s="106">
        <f>+PMGR!CQ55+BP!CQ55</f>
        <v>278971</v>
      </c>
      <c r="CR55" s="106">
        <f>+PMGR!CR55+BP!CR55</f>
        <v>136584</v>
      </c>
      <c r="CS55" s="106">
        <f t="shared" ref="CS55:CS56" si="317">+SUM(CG55:CR55)</f>
        <v>2075744.5</v>
      </c>
      <c r="CT55" s="7" t="str">
        <f t="shared" si="20"/>
        <v>VAS</v>
      </c>
      <c r="CU55" s="106">
        <f>+PMGR!CU55+BP!CU55</f>
        <v>310540</v>
      </c>
      <c r="CV55" s="106">
        <f>+PMGR!CV55+BP!CV55</f>
        <v>212238.00000000003</v>
      </c>
      <c r="CW55" s="106">
        <f>+PMGR!CW55+BP!CW55</f>
        <v>211458</v>
      </c>
      <c r="CX55" s="106">
        <f>+PMGR!CX55+BP!CX55</f>
        <v>219060</v>
      </c>
      <c r="CY55" s="106">
        <f>+PMGR!CY55+BP!CY55</f>
        <v>250680</v>
      </c>
      <c r="CZ55" s="106">
        <f>+PMGR!CZ55+BP!CZ55</f>
        <v>180010</v>
      </c>
      <c r="DA55" s="106">
        <f>+PMGR!DA55+BP!DA55</f>
        <v>200000</v>
      </c>
      <c r="DB55" s="106">
        <f>+PMGR!DB55+BP!DB55</f>
        <v>152164</v>
      </c>
      <c r="DC55" s="106">
        <f>+PMGR!DC55+BP!DC55</f>
        <v>214710</v>
      </c>
      <c r="DD55" s="106">
        <f>+PMGR!DD55+BP!DD55</f>
        <v>322940</v>
      </c>
      <c r="DE55" s="106">
        <f>+PMGR!DE55+BP!DE55</f>
        <v>0</v>
      </c>
      <c r="DF55" s="106">
        <f>+PMGR!DF55+BP!DF55</f>
        <v>0</v>
      </c>
      <c r="DG55" s="106">
        <f t="shared" ref="DG55:DG56" si="318">+SUM(CU55:DF55)</f>
        <v>2273800</v>
      </c>
      <c r="DH55" s="118"/>
      <c r="DI55" s="106">
        <f>+PMGR!DI55+BP!DI55</f>
        <v>165000</v>
      </c>
      <c r="DJ55" s="106">
        <f>+PMGR!DJ55+BP!DJ55</f>
        <v>146700</v>
      </c>
      <c r="DK55" s="106">
        <f>+PMGR!DK55+BP!DK55</f>
        <v>170400</v>
      </c>
      <c r="DL55" s="106">
        <f>+PMGR!DL55+BP!DL55</f>
        <v>163800</v>
      </c>
      <c r="DM55" s="106">
        <f>+PMGR!DM55+BP!DM55</f>
        <v>138720</v>
      </c>
      <c r="DN55" s="106">
        <f>+PMGR!DN55+BP!DN55</f>
        <v>158880</v>
      </c>
      <c r="DO55" s="106">
        <f>+PMGR!DO55+BP!DO55</f>
        <v>161340</v>
      </c>
      <c r="DP55" s="106">
        <f>+PMGR!DP55+BP!DP55</f>
        <v>143640</v>
      </c>
      <c r="DQ55" s="106">
        <f>+PMGR!DQ55+BP!DQ55</f>
        <v>143640</v>
      </c>
      <c r="DR55" s="106">
        <f>+PMGR!DR55+BP!DR55</f>
        <v>133800</v>
      </c>
      <c r="DS55" s="106">
        <f>+PMGR!DS55+BP!DS55</f>
        <v>158880</v>
      </c>
      <c r="DT55" s="106">
        <f>+PMGR!DT55+BP!DT55</f>
        <v>151020</v>
      </c>
      <c r="DU55" s="106">
        <f t="shared" ref="DU55:DU56" si="319">+SUM(DI55:DT55)</f>
        <v>1835820</v>
      </c>
      <c r="DV55" s="106"/>
      <c r="DW55" s="106">
        <f>+PMGR!DW55+BP!DW55</f>
        <v>0</v>
      </c>
      <c r="DX55" s="106">
        <f>+PMGR!DX55+BP!DX55</f>
        <v>0</v>
      </c>
      <c r="DY55" s="106">
        <f>+PMGR!DY55+BP!DY55</f>
        <v>0</v>
      </c>
      <c r="DZ55" s="106">
        <f>+PMGR!DZ55+BP!DZ55</f>
        <v>0</v>
      </c>
      <c r="EA55" s="106">
        <f>+PMGR!EA55+BP!EA55</f>
        <v>0</v>
      </c>
      <c r="EB55" s="106">
        <f>+PMGR!EB55+BP!EB55</f>
        <v>0</v>
      </c>
      <c r="EC55" s="106">
        <f>+PMGR!EC55+BP!EC55</f>
        <v>0</v>
      </c>
      <c r="ED55" s="106">
        <f>+PMGR!ED55+BP!ED55</f>
        <v>0</v>
      </c>
      <c r="EE55" s="106">
        <f>+PMGR!EE55+BP!EE55</f>
        <v>0</v>
      </c>
      <c r="EF55" s="106">
        <f>+PMGR!EF55+BP!EF55</f>
        <v>0</v>
      </c>
      <c r="EG55" s="106">
        <f>+PMGR!EG55+BP!EG55</f>
        <v>0</v>
      </c>
      <c r="EH55" s="106">
        <f>+PMGR!EH55+BP!EH55</f>
        <v>0</v>
      </c>
      <c r="EI55" s="106">
        <f t="shared" ref="EI55:EI56" si="320">+SUM(DW55:EH55)</f>
        <v>0</v>
      </c>
      <c r="EJ55" s="7" t="str">
        <f t="shared" si="93"/>
        <v>VAS</v>
      </c>
      <c r="EK55" s="106">
        <f>+PMGR!EK55+BP!EK55</f>
        <v>60770</v>
      </c>
      <c r="EL55" s="106">
        <f>+PMGR!EL55+BP!EL55</f>
        <v>57909.999999999993</v>
      </c>
      <c r="EM55" s="106">
        <f>+PMGR!EM55+BP!EM55</f>
        <v>36280</v>
      </c>
      <c r="EN55" s="106">
        <f>+PMGR!EN55+BP!EN55</f>
        <v>21580</v>
      </c>
      <c r="EO55" s="106">
        <f>+PMGR!EO55+BP!EO55</f>
        <v>26760</v>
      </c>
      <c r="EP55" s="106">
        <f>+PMGR!EP55+BP!EP55</f>
        <v>56135</v>
      </c>
      <c r="EQ55" s="106">
        <f>+PMGR!EQ55+BP!EQ55</f>
        <v>7170</v>
      </c>
      <c r="ER55" s="106">
        <f>+PMGR!ER55+BP!ER55</f>
        <v>41190</v>
      </c>
      <c r="ES55" s="106">
        <f>+PMGR!ES55+BP!ES55</f>
        <v>18510</v>
      </c>
      <c r="ET55" s="106">
        <f>+PMGR!ET55+BP!ET55</f>
        <v>39450</v>
      </c>
      <c r="EU55" s="106">
        <f>+PMGR!EU55+BP!EU55</f>
        <v>0</v>
      </c>
      <c r="EV55" s="106">
        <f>+PMGR!EV55+BP!EV55</f>
        <v>0</v>
      </c>
      <c r="EW55" s="106">
        <f t="shared" ref="EW55:EW56" si="321">+SUM(EK55:EV55)</f>
        <v>365755</v>
      </c>
      <c r="EX55" s="118"/>
      <c r="EY55" s="106">
        <f>+PMGR!EY55+BP!EY55</f>
        <v>110000</v>
      </c>
      <c r="EZ55" s="106">
        <f>+PMGR!EZ55+BP!EZ55</f>
        <v>97800</v>
      </c>
      <c r="FA55" s="106">
        <f>+PMGR!FA55+BP!FA55</f>
        <v>113600</v>
      </c>
      <c r="FB55" s="106">
        <f>+PMGR!FB55+BP!FB55</f>
        <v>109200</v>
      </c>
      <c r="FC55" s="106">
        <f>+PMGR!FC55+BP!FC55</f>
        <v>92480</v>
      </c>
      <c r="FD55" s="106">
        <f>+PMGR!FD55+BP!FD55</f>
        <v>105920</v>
      </c>
      <c r="FE55" s="106">
        <f>+PMGR!FE55+BP!FE55</f>
        <v>107560</v>
      </c>
      <c r="FF55" s="106">
        <f>+PMGR!FF55+BP!FF55</f>
        <v>95760</v>
      </c>
      <c r="FG55" s="106">
        <f>+PMGR!FG55+BP!FG55</f>
        <v>95760</v>
      </c>
      <c r="FH55" s="106">
        <f>+PMGR!FH55+BP!FH55</f>
        <v>89200</v>
      </c>
      <c r="FI55" s="106">
        <f>+PMGR!FI55+BP!FI55</f>
        <v>105920</v>
      </c>
      <c r="FJ55" s="106">
        <f>+PMGR!FJ55+BP!FJ55</f>
        <v>100680</v>
      </c>
      <c r="FK55" s="106">
        <f t="shared" ref="FK55:FK56" si="322">+SUM(EY55:FJ55)</f>
        <v>1223880</v>
      </c>
    </row>
    <row r="56" spans="1:167" ht="14.45" customHeight="1">
      <c r="A56" s="106">
        <f t="shared" si="274"/>
        <v>220687</v>
      </c>
      <c r="B56" s="106">
        <f t="shared" si="274"/>
        <v>259130</v>
      </c>
      <c r="C56" s="106">
        <f t="shared" si="274"/>
        <v>199854</v>
      </c>
      <c r="D56" s="106">
        <f t="shared" si="274"/>
        <v>196628.75</v>
      </c>
      <c r="E56" s="106">
        <f t="shared" si="274"/>
        <v>254223</v>
      </c>
      <c r="F56" s="106">
        <f t="shared" si="274"/>
        <v>333943.75</v>
      </c>
      <c r="G56" s="106">
        <f t="shared" si="274"/>
        <v>380451.6</v>
      </c>
      <c r="H56" s="106">
        <f t="shared" si="274"/>
        <v>292438</v>
      </c>
      <c r="I56" s="106">
        <f t="shared" si="274"/>
        <v>310473.42000000004</v>
      </c>
      <c r="J56" s="106">
        <f t="shared" si="274"/>
        <v>303997</v>
      </c>
      <c r="K56" s="106">
        <f t="shared" si="274"/>
        <v>401776</v>
      </c>
      <c r="L56" s="106">
        <f t="shared" si="274"/>
        <v>315495</v>
      </c>
      <c r="M56" s="106">
        <f t="shared" si="275"/>
        <v>3469097.52</v>
      </c>
      <c r="N56" s="10" t="s">
        <v>33</v>
      </c>
      <c r="O56" s="106">
        <f t="shared" si="310"/>
        <v>296790</v>
      </c>
      <c r="P56" s="106">
        <f t="shared" si="310"/>
        <v>238940</v>
      </c>
      <c r="Q56" s="106">
        <f t="shared" si="310"/>
        <v>316990</v>
      </c>
      <c r="R56" s="106">
        <f t="shared" si="310"/>
        <v>237820</v>
      </c>
      <c r="S56" s="106">
        <f t="shared" si="310"/>
        <v>383509</v>
      </c>
      <c r="T56" s="106">
        <f t="shared" si="310"/>
        <v>312979</v>
      </c>
      <c r="U56" s="106">
        <f t="shared" si="310"/>
        <v>305477.5</v>
      </c>
      <c r="V56" s="106">
        <f t="shared" si="310"/>
        <v>261996</v>
      </c>
      <c r="W56" s="106">
        <f t="shared" si="310"/>
        <v>272592.5</v>
      </c>
      <c r="X56" s="106">
        <f t="shared" si="310"/>
        <v>416015</v>
      </c>
      <c r="Y56" s="106">
        <f t="shared" si="310"/>
        <v>0</v>
      </c>
      <c r="Z56" s="106">
        <f t="shared" si="310"/>
        <v>0</v>
      </c>
      <c r="AA56" s="106">
        <f t="shared" si="311"/>
        <v>3043109</v>
      </c>
      <c r="AB56" s="118"/>
      <c r="AC56" s="106">
        <f t="shared" si="312"/>
        <v>275000</v>
      </c>
      <c r="AD56" s="106">
        <f t="shared" si="312"/>
        <v>244500</v>
      </c>
      <c r="AE56" s="106">
        <f t="shared" si="312"/>
        <v>284000</v>
      </c>
      <c r="AF56" s="106">
        <f t="shared" si="312"/>
        <v>273000</v>
      </c>
      <c r="AG56" s="106">
        <f t="shared" si="312"/>
        <v>231200</v>
      </c>
      <c r="AH56" s="106">
        <f t="shared" si="312"/>
        <v>264800</v>
      </c>
      <c r="AI56" s="106">
        <f t="shared" si="312"/>
        <v>268900</v>
      </c>
      <c r="AJ56" s="106">
        <f t="shared" si="312"/>
        <v>239400</v>
      </c>
      <c r="AK56" s="106">
        <f t="shared" si="312"/>
        <v>239400</v>
      </c>
      <c r="AL56" s="106">
        <f t="shared" si="312"/>
        <v>223000</v>
      </c>
      <c r="AM56" s="106">
        <f t="shared" si="312"/>
        <v>264800</v>
      </c>
      <c r="AN56" s="106">
        <f t="shared" si="312"/>
        <v>251700</v>
      </c>
      <c r="AO56" s="106">
        <f t="shared" si="313"/>
        <v>3059700</v>
      </c>
      <c r="AP56" s="106"/>
      <c r="AQ56" s="106">
        <f>+PMGR!AQ56+BP!AQ56</f>
        <v>142857</v>
      </c>
      <c r="AR56" s="106">
        <f>+PMGR!AR56+BP!AR56</f>
        <v>212470</v>
      </c>
      <c r="AS56" s="106">
        <f>+PMGR!AS56+BP!AS56</f>
        <v>151079.5</v>
      </c>
      <c r="AT56" s="106">
        <f>+PMGR!AT56+BP!AT56</f>
        <v>160943.75</v>
      </c>
      <c r="AU56" s="106">
        <f>+PMGR!AU56+BP!AU56</f>
        <v>139458</v>
      </c>
      <c r="AV56" s="106">
        <f>+PMGR!AV56+BP!AV56</f>
        <v>157830</v>
      </c>
      <c r="AW56" s="106">
        <f>+PMGR!AW56+BP!AW56</f>
        <v>258497.6</v>
      </c>
      <c r="AX56" s="106">
        <f>+PMGR!AX56+BP!AX56</f>
        <v>220366.00000000003</v>
      </c>
      <c r="AY56" s="106">
        <f>+PMGR!AY56+BP!AY56</f>
        <v>252764.92000000004</v>
      </c>
      <c r="AZ56" s="106">
        <f>+PMGR!AZ56+BP!AZ56</f>
        <v>225464.99999999997</v>
      </c>
      <c r="BA56" s="106">
        <f>+PMGR!BA56+BP!BA56</f>
        <v>262290.5</v>
      </c>
      <c r="BB56" s="106">
        <f>+PMGR!BB56+BP!BB56</f>
        <v>247203.00000000003</v>
      </c>
      <c r="BC56" s="106">
        <f t="shared" si="314"/>
        <v>2431225.27</v>
      </c>
      <c r="BD56" s="10" t="str">
        <f t="shared" si="16"/>
        <v>Cost of Good sold</v>
      </c>
      <c r="BE56" s="106">
        <f>+PMGR!BE56+BP!BE56</f>
        <v>111135</v>
      </c>
      <c r="BF56" s="106">
        <f>+PMGR!BF56+BP!BF56</f>
        <v>103865.99999999999</v>
      </c>
      <c r="BG56" s="106">
        <f>+PMGR!BG56+BP!BG56</f>
        <v>193121</v>
      </c>
      <c r="BH56" s="106">
        <f>+PMGR!BH56+BP!BH56</f>
        <v>117500</v>
      </c>
      <c r="BI56" s="106">
        <f>+PMGR!BI56+BP!BI56</f>
        <v>244789</v>
      </c>
      <c r="BJ56" s="106">
        <f>+PMGR!BJ56+BP!BJ56</f>
        <v>194906.5</v>
      </c>
      <c r="BK56" s="106">
        <f>+PMGR!BK56+BP!BK56</f>
        <v>201892.5</v>
      </c>
      <c r="BL56" s="106">
        <f>+PMGR!BL56+BP!BL56</f>
        <v>165319</v>
      </c>
      <c r="BM56" s="106">
        <f>+PMGR!BM56+BP!BM56</f>
        <v>155982.5</v>
      </c>
      <c r="BN56" s="106">
        <f>+PMGR!BN56+BP!BN56</f>
        <v>234820</v>
      </c>
      <c r="BO56" s="106">
        <f>+PMGR!BO56+BP!BO56</f>
        <v>0</v>
      </c>
      <c r="BP56" s="106">
        <f>+PMGR!BP56+BP!BP56</f>
        <v>0</v>
      </c>
      <c r="BQ56" s="106">
        <f t="shared" si="315"/>
        <v>1723331.5</v>
      </c>
      <c r="BR56" s="118"/>
      <c r="BS56" s="106">
        <f>+PMGR!BS56+BP!BS56</f>
        <v>137500</v>
      </c>
      <c r="BT56" s="106">
        <f>+PMGR!BT56+BP!BT56</f>
        <v>122250</v>
      </c>
      <c r="BU56" s="106">
        <f>+PMGR!BU56+BP!BU56</f>
        <v>142000</v>
      </c>
      <c r="BV56" s="106">
        <f>+PMGR!BV56+BP!BV56</f>
        <v>136500</v>
      </c>
      <c r="BW56" s="106">
        <f>+PMGR!BW56+BP!BW56</f>
        <v>115600</v>
      </c>
      <c r="BX56" s="106">
        <f>+PMGR!BX56+BP!BX56</f>
        <v>132400</v>
      </c>
      <c r="BY56" s="106">
        <f>+PMGR!BY56+BP!BY56</f>
        <v>134450</v>
      </c>
      <c r="BZ56" s="106">
        <f>+PMGR!BZ56+BP!BZ56</f>
        <v>119700</v>
      </c>
      <c r="CA56" s="106">
        <f>+PMGR!CA56+BP!CA56</f>
        <v>119700</v>
      </c>
      <c r="CB56" s="106">
        <f>+PMGR!CB56+BP!CB56</f>
        <v>111500</v>
      </c>
      <c r="CC56" s="106">
        <f>+PMGR!CC56+BP!CC56</f>
        <v>132400</v>
      </c>
      <c r="CD56" s="106">
        <f>+PMGR!CD56+BP!CD56</f>
        <v>125850</v>
      </c>
      <c r="CE56" s="106">
        <f t="shared" si="316"/>
        <v>1529850</v>
      </c>
      <c r="CF56" s="106"/>
      <c r="CG56" s="106">
        <f>+PMGR!CG56+BP!CG56</f>
        <v>77830</v>
      </c>
      <c r="CH56" s="106">
        <f>+PMGR!CH56+BP!CH56</f>
        <v>46660</v>
      </c>
      <c r="CI56" s="106">
        <f>+PMGR!CI56+BP!CI56</f>
        <v>48774.5</v>
      </c>
      <c r="CJ56" s="106">
        <f>+PMGR!CJ56+BP!CJ56</f>
        <v>35685</v>
      </c>
      <c r="CK56" s="106">
        <f>+PMGR!CK56+BP!CK56</f>
        <v>114765</v>
      </c>
      <c r="CL56" s="106">
        <f>+PMGR!CL56+BP!CL56</f>
        <v>176113.75</v>
      </c>
      <c r="CM56" s="106">
        <f>+PMGR!CM56+BP!CM56</f>
        <v>121954</v>
      </c>
      <c r="CN56" s="106">
        <f>+PMGR!CN56+BP!CN56</f>
        <v>72072</v>
      </c>
      <c r="CO56" s="106">
        <f>+PMGR!CO56+BP!CO56</f>
        <v>57708.499999999993</v>
      </c>
      <c r="CP56" s="106">
        <f>+PMGR!CP56+BP!CP56</f>
        <v>78532</v>
      </c>
      <c r="CQ56" s="106">
        <f>+PMGR!CQ56+BP!CQ56</f>
        <v>139485.5</v>
      </c>
      <c r="CR56" s="106">
        <f>+PMGR!CR56+BP!CR56</f>
        <v>68292</v>
      </c>
      <c r="CS56" s="106">
        <f t="shared" si="317"/>
        <v>1037872.25</v>
      </c>
      <c r="CT56" s="10" t="str">
        <f t="shared" si="20"/>
        <v>Cost of Good sold</v>
      </c>
      <c r="CU56" s="106">
        <f>+PMGR!CU56+BP!CU56</f>
        <v>155270</v>
      </c>
      <c r="CV56" s="106">
        <f>+PMGR!CV56+BP!CV56</f>
        <v>106119.00000000001</v>
      </c>
      <c r="CW56" s="106">
        <f>+PMGR!CW56+BP!CW56</f>
        <v>105729</v>
      </c>
      <c r="CX56" s="106">
        <f>+PMGR!CX56+BP!CX56</f>
        <v>109530</v>
      </c>
      <c r="CY56" s="106">
        <f>+PMGR!CY56+BP!CY56</f>
        <v>125340</v>
      </c>
      <c r="CZ56" s="106">
        <f>+PMGR!CZ56+BP!CZ56</f>
        <v>90005</v>
      </c>
      <c r="DA56" s="106">
        <f>+PMGR!DA56+BP!DA56</f>
        <v>100000</v>
      </c>
      <c r="DB56" s="106">
        <f>+PMGR!DB56+BP!DB56</f>
        <v>76082</v>
      </c>
      <c r="DC56" s="106">
        <f>+PMGR!DC56+BP!DC56</f>
        <v>107355</v>
      </c>
      <c r="DD56" s="106">
        <f>+PMGR!DD56+BP!DD56</f>
        <v>161470</v>
      </c>
      <c r="DE56" s="106">
        <f>+PMGR!DE56+BP!DE56</f>
        <v>0</v>
      </c>
      <c r="DF56" s="106">
        <f>+PMGR!DF56+BP!DF56</f>
        <v>0</v>
      </c>
      <c r="DG56" s="106">
        <f t="shared" si="318"/>
        <v>1136900</v>
      </c>
      <c r="DH56" s="118"/>
      <c r="DI56" s="106">
        <f>+PMGR!DI56+BP!DI56</f>
        <v>82500</v>
      </c>
      <c r="DJ56" s="106">
        <f>+PMGR!DJ56+BP!DJ56</f>
        <v>73350</v>
      </c>
      <c r="DK56" s="106">
        <f>+PMGR!DK56+BP!DK56</f>
        <v>85200</v>
      </c>
      <c r="DL56" s="106">
        <f>+PMGR!DL56+BP!DL56</f>
        <v>81900</v>
      </c>
      <c r="DM56" s="106">
        <f>+PMGR!DM56+BP!DM56</f>
        <v>69360</v>
      </c>
      <c r="DN56" s="106">
        <f>+PMGR!DN56+BP!DN56</f>
        <v>79440</v>
      </c>
      <c r="DO56" s="106">
        <f>+PMGR!DO56+BP!DO56</f>
        <v>80670</v>
      </c>
      <c r="DP56" s="106">
        <f>+PMGR!DP56+BP!DP56</f>
        <v>71820</v>
      </c>
      <c r="DQ56" s="106">
        <f>+PMGR!DQ56+BP!DQ56</f>
        <v>71820</v>
      </c>
      <c r="DR56" s="106">
        <f>+PMGR!DR56+BP!DR56</f>
        <v>66900</v>
      </c>
      <c r="DS56" s="106">
        <f>+PMGR!DS56+BP!DS56</f>
        <v>79440</v>
      </c>
      <c r="DT56" s="106">
        <f>+PMGR!DT56+BP!DT56</f>
        <v>75510</v>
      </c>
      <c r="DU56" s="106">
        <f t="shared" si="319"/>
        <v>917910</v>
      </c>
      <c r="DV56" s="106"/>
      <c r="DW56" s="106">
        <f>+PMGR!DW56+BP!DW56</f>
        <v>0</v>
      </c>
      <c r="DX56" s="106">
        <f>+PMGR!DX56+BP!DX56</f>
        <v>0</v>
      </c>
      <c r="DY56" s="106">
        <f>+PMGR!DY56+BP!DY56</f>
        <v>0</v>
      </c>
      <c r="DZ56" s="106">
        <f>+PMGR!DZ56+BP!DZ56</f>
        <v>0</v>
      </c>
      <c r="EA56" s="106">
        <f>+PMGR!EA56+BP!EA56</f>
        <v>0</v>
      </c>
      <c r="EB56" s="106">
        <f>+PMGR!EB56+BP!EB56</f>
        <v>0</v>
      </c>
      <c r="EC56" s="106">
        <f>+PMGR!EC56+BP!EC56</f>
        <v>0</v>
      </c>
      <c r="ED56" s="106">
        <f>+PMGR!ED56+BP!ED56</f>
        <v>0</v>
      </c>
      <c r="EE56" s="106">
        <f>+PMGR!EE56+BP!EE56</f>
        <v>0</v>
      </c>
      <c r="EF56" s="106">
        <f>+PMGR!EF56+BP!EF56</f>
        <v>0</v>
      </c>
      <c r="EG56" s="106">
        <f>+PMGR!EG56+BP!EG56</f>
        <v>0</v>
      </c>
      <c r="EH56" s="106">
        <f>+PMGR!EH56+BP!EH56</f>
        <v>0</v>
      </c>
      <c r="EI56" s="106">
        <f t="shared" si="320"/>
        <v>0</v>
      </c>
      <c r="EJ56" s="10" t="str">
        <f t="shared" si="93"/>
        <v>Cost of Good sold</v>
      </c>
      <c r="EK56" s="106">
        <f>+PMGR!EK56+BP!EK56</f>
        <v>30385</v>
      </c>
      <c r="EL56" s="106">
        <f>+PMGR!EL56+BP!EL56</f>
        <v>28954.999999999996</v>
      </c>
      <c r="EM56" s="106">
        <f>+PMGR!EM56+BP!EM56</f>
        <v>18140</v>
      </c>
      <c r="EN56" s="106">
        <f>+PMGR!EN56+BP!EN56</f>
        <v>10790</v>
      </c>
      <c r="EO56" s="106">
        <f>+PMGR!EO56+BP!EO56</f>
        <v>13380</v>
      </c>
      <c r="EP56" s="106">
        <f>+PMGR!EP56+BP!EP56</f>
        <v>28067.5</v>
      </c>
      <c r="EQ56" s="106">
        <f>+PMGR!EQ56+BP!EQ56</f>
        <v>3585</v>
      </c>
      <c r="ER56" s="106">
        <f>+PMGR!ER56+BP!ER56</f>
        <v>20595</v>
      </c>
      <c r="ES56" s="106">
        <f>+PMGR!ES56+BP!ES56</f>
        <v>9255</v>
      </c>
      <c r="ET56" s="106">
        <f>+PMGR!ET56+BP!ET56</f>
        <v>19725</v>
      </c>
      <c r="EU56" s="106">
        <f>+PMGR!EU56+BP!EU56</f>
        <v>0</v>
      </c>
      <c r="EV56" s="106">
        <f>+PMGR!EV56+BP!EV56</f>
        <v>0</v>
      </c>
      <c r="EW56" s="106">
        <f t="shared" si="321"/>
        <v>182877.5</v>
      </c>
      <c r="EX56" s="118"/>
      <c r="EY56" s="106">
        <f>+PMGR!EY56+BP!EY56</f>
        <v>55000</v>
      </c>
      <c r="EZ56" s="106">
        <f>+PMGR!EZ56+BP!EZ56</f>
        <v>48900</v>
      </c>
      <c r="FA56" s="106">
        <f>+PMGR!FA56+BP!FA56</f>
        <v>56800</v>
      </c>
      <c r="FB56" s="106">
        <f>+PMGR!FB56+BP!FB56</f>
        <v>54600</v>
      </c>
      <c r="FC56" s="106">
        <f>+PMGR!FC56+BP!FC56</f>
        <v>46240</v>
      </c>
      <c r="FD56" s="106">
        <f>+PMGR!FD56+BP!FD56</f>
        <v>52960</v>
      </c>
      <c r="FE56" s="106">
        <f>+PMGR!FE56+BP!FE56</f>
        <v>53780</v>
      </c>
      <c r="FF56" s="106">
        <f>+PMGR!FF56+BP!FF56</f>
        <v>47880</v>
      </c>
      <c r="FG56" s="106">
        <f>+PMGR!FG56+BP!FG56</f>
        <v>47880</v>
      </c>
      <c r="FH56" s="106">
        <f>+PMGR!FH56+BP!FH56</f>
        <v>44600</v>
      </c>
      <c r="FI56" s="106">
        <f>+PMGR!FI56+BP!FI56</f>
        <v>52960</v>
      </c>
      <c r="FJ56" s="106">
        <f>+PMGR!FJ56+BP!FJ56</f>
        <v>50340</v>
      </c>
      <c r="FK56" s="106">
        <f t="shared" si="322"/>
        <v>611940</v>
      </c>
    </row>
    <row r="57" spans="1:167" ht="14.45" customHeight="1">
      <c r="A57" s="58">
        <f>+A55-A56</f>
        <v>194713</v>
      </c>
      <c r="B57" s="58">
        <f t="shared" ref="B57:M57" si="323">+B55-B56</f>
        <v>259130</v>
      </c>
      <c r="C57" s="58">
        <f t="shared" si="323"/>
        <v>172385</v>
      </c>
      <c r="D57" s="58">
        <f t="shared" si="323"/>
        <v>167366.25</v>
      </c>
      <c r="E57" s="58">
        <f t="shared" si="323"/>
        <v>228867</v>
      </c>
      <c r="F57" s="58">
        <f t="shared" si="323"/>
        <v>333943.75</v>
      </c>
      <c r="G57" s="58">
        <f t="shared" si="323"/>
        <v>380451.6</v>
      </c>
      <c r="H57" s="58">
        <f t="shared" si="323"/>
        <v>292438</v>
      </c>
      <c r="I57" s="58">
        <f t="shared" si="323"/>
        <v>310473.42000000004</v>
      </c>
      <c r="J57" s="58">
        <f t="shared" si="323"/>
        <v>303997</v>
      </c>
      <c r="K57" s="58">
        <f t="shared" si="323"/>
        <v>401776</v>
      </c>
      <c r="L57" s="58">
        <f t="shared" si="323"/>
        <v>315495</v>
      </c>
      <c r="M57" s="58">
        <f t="shared" si="323"/>
        <v>3361036.02</v>
      </c>
      <c r="N57" s="10" t="s">
        <v>20</v>
      </c>
      <c r="O57" s="58">
        <f>+O55-O56</f>
        <v>296790</v>
      </c>
      <c r="P57" s="58">
        <f t="shared" ref="P57:AA57" si="324">+P55-P56</f>
        <v>238940</v>
      </c>
      <c r="Q57" s="58">
        <f t="shared" si="324"/>
        <v>316990</v>
      </c>
      <c r="R57" s="58">
        <f t="shared" si="324"/>
        <v>237820</v>
      </c>
      <c r="S57" s="58">
        <f t="shared" si="324"/>
        <v>383509</v>
      </c>
      <c r="T57" s="58">
        <f t="shared" si="324"/>
        <v>312979</v>
      </c>
      <c r="U57" s="58">
        <f t="shared" si="324"/>
        <v>305477.5</v>
      </c>
      <c r="V57" s="58">
        <f t="shared" si="324"/>
        <v>261996</v>
      </c>
      <c r="W57" s="58">
        <f t="shared" si="324"/>
        <v>272592.5</v>
      </c>
      <c r="X57" s="58">
        <f t="shared" si="324"/>
        <v>416015</v>
      </c>
      <c r="Y57" s="58">
        <f t="shared" si="324"/>
        <v>0</v>
      </c>
      <c r="Z57" s="58">
        <f t="shared" si="324"/>
        <v>0</v>
      </c>
      <c r="AA57" s="58">
        <f t="shared" si="324"/>
        <v>3043109</v>
      </c>
      <c r="AB57" s="118"/>
      <c r="AC57" s="58">
        <f>+AC55-AC56</f>
        <v>275000</v>
      </c>
      <c r="AD57" s="58">
        <f t="shared" ref="AD57:AO57" si="325">+AD55-AD56</f>
        <v>244500</v>
      </c>
      <c r="AE57" s="58">
        <f t="shared" si="325"/>
        <v>284000</v>
      </c>
      <c r="AF57" s="58">
        <f t="shared" si="325"/>
        <v>273000</v>
      </c>
      <c r="AG57" s="58">
        <f t="shared" si="325"/>
        <v>231200</v>
      </c>
      <c r="AH57" s="58">
        <f t="shared" si="325"/>
        <v>264800</v>
      </c>
      <c r="AI57" s="58">
        <f t="shared" si="325"/>
        <v>268900</v>
      </c>
      <c r="AJ57" s="58">
        <f t="shared" si="325"/>
        <v>239400</v>
      </c>
      <c r="AK57" s="58">
        <f t="shared" si="325"/>
        <v>239400</v>
      </c>
      <c r="AL57" s="58">
        <f t="shared" si="325"/>
        <v>223000</v>
      </c>
      <c r="AM57" s="58">
        <f t="shared" si="325"/>
        <v>264800</v>
      </c>
      <c r="AN57" s="58">
        <f t="shared" si="325"/>
        <v>251700</v>
      </c>
      <c r="AO57" s="58">
        <f t="shared" si="325"/>
        <v>3059700</v>
      </c>
      <c r="AP57" s="106"/>
      <c r="AQ57" s="58">
        <f t="shared" ref="AQ57:BB57" si="326">+AQ55-AQ56</f>
        <v>116883</v>
      </c>
      <c r="AR57" s="58">
        <f t="shared" si="326"/>
        <v>212470</v>
      </c>
      <c r="AS57" s="58">
        <f t="shared" si="326"/>
        <v>123610.5</v>
      </c>
      <c r="AT57" s="58">
        <f t="shared" si="326"/>
        <v>131681.25</v>
      </c>
      <c r="AU57" s="58">
        <f t="shared" si="326"/>
        <v>114102</v>
      </c>
      <c r="AV57" s="58">
        <f t="shared" si="326"/>
        <v>157830</v>
      </c>
      <c r="AW57" s="58">
        <f t="shared" si="326"/>
        <v>258497.6</v>
      </c>
      <c r="AX57" s="58">
        <f t="shared" si="326"/>
        <v>220366.00000000003</v>
      </c>
      <c r="AY57" s="58">
        <f t="shared" si="326"/>
        <v>252764.92000000004</v>
      </c>
      <c r="AZ57" s="58">
        <f t="shared" si="326"/>
        <v>225464.99999999997</v>
      </c>
      <c r="BA57" s="58">
        <f t="shared" si="326"/>
        <v>262290.5</v>
      </c>
      <c r="BB57" s="58">
        <f t="shared" si="326"/>
        <v>247203.00000000003</v>
      </c>
      <c r="BC57" s="58">
        <f t="shared" ref="BC57" si="327">+BC55-BC56</f>
        <v>2323163.77</v>
      </c>
      <c r="BD57" s="10" t="str">
        <f t="shared" si="16"/>
        <v>Gross Profit</v>
      </c>
      <c r="BE57" s="58">
        <f t="shared" ref="BE57:BP57" si="328">+BE55-BE56</f>
        <v>111135</v>
      </c>
      <c r="BF57" s="58">
        <f t="shared" si="328"/>
        <v>103865.99999999999</v>
      </c>
      <c r="BG57" s="58">
        <f t="shared" si="328"/>
        <v>193121</v>
      </c>
      <c r="BH57" s="58">
        <f t="shared" si="328"/>
        <v>117500</v>
      </c>
      <c r="BI57" s="58">
        <f t="shared" si="328"/>
        <v>244789</v>
      </c>
      <c r="BJ57" s="58">
        <f t="shared" si="328"/>
        <v>194906.5</v>
      </c>
      <c r="BK57" s="58">
        <f t="shared" si="328"/>
        <v>201892.5</v>
      </c>
      <c r="BL57" s="58">
        <f t="shared" si="328"/>
        <v>165319</v>
      </c>
      <c r="BM57" s="58">
        <f t="shared" si="328"/>
        <v>155982.5</v>
      </c>
      <c r="BN57" s="58">
        <f t="shared" si="328"/>
        <v>234820</v>
      </c>
      <c r="BO57" s="58">
        <f t="shared" si="328"/>
        <v>0</v>
      </c>
      <c r="BP57" s="58">
        <f t="shared" si="328"/>
        <v>0</v>
      </c>
      <c r="BQ57" s="58">
        <f t="shared" ref="BQ57" si="329">+BQ55-BQ56</f>
        <v>1723331.5</v>
      </c>
      <c r="BR57" s="118"/>
      <c r="BS57" s="58">
        <f t="shared" ref="BS57:CD57" si="330">+BS55-BS56</f>
        <v>137500</v>
      </c>
      <c r="BT57" s="58">
        <f t="shared" si="330"/>
        <v>122250</v>
      </c>
      <c r="BU57" s="58">
        <f t="shared" si="330"/>
        <v>142000</v>
      </c>
      <c r="BV57" s="58">
        <f t="shared" si="330"/>
        <v>136500</v>
      </c>
      <c r="BW57" s="58">
        <f t="shared" si="330"/>
        <v>115600</v>
      </c>
      <c r="BX57" s="58">
        <f t="shared" si="330"/>
        <v>132400</v>
      </c>
      <c r="BY57" s="58">
        <f t="shared" si="330"/>
        <v>134450</v>
      </c>
      <c r="BZ57" s="58">
        <f t="shared" si="330"/>
        <v>119700</v>
      </c>
      <c r="CA57" s="58">
        <f t="shared" si="330"/>
        <v>119700</v>
      </c>
      <c r="CB57" s="58">
        <f t="shared" si="330"/>
        <v>111500</v>
      </c>
      <c r="CC57" s="58">
        <f t="shared" si="330"/>
        <v>132400</v>
      </c>
      <c r="CD57" s="58">
        <f t="shared" si="330"/>
        <v>125850</v>
      </c>
      <c r="CE57" s="58">
        <f t="shared" ref="CE57" si="331">+CE55-CE56</f>
        <v>1529850</v>
      </c>
      <c r="CF57" s="106"/>
      <c r="CG57" s="58">
        <f t="shared" ref="CG57:CR57" si="332">+CG55-CG56</f>
        <v>77830</v>
      </c>
      <c r="CH57" s="58">
        <f t="shared" si="332"/>
        <v>46660</v>
      </c>
      <c r="CI57" s="58">
        <f t="shared" si="332"/>
        <v>48774.5</v>
      </c>
      <c r="CJ57" s="58">
        <f t="shared" si="332"/>
        <v>35685</v>
      </c>
      <c r="CK57" s="58">
        <f t="shared" si="332"/>
        <v>114765</v>
      </c>
      <c r="CL57" s="58">
        <f t="shared" si="332"/>
        <v>176113.75</v>
      </c>
      <c r="CM57" s="58">
        <f t="shared" si="332"/>
        <v>121954</v>
      </c>
      <c r="CN57" s="58">
        <f t="shared" si="332"/>
        <v>72072</v>
      </c>
      <c r="CO57" s="58">
        <f t="shared" si="332"/>
        <v>57708.499999999993</v>
      </c>
      <c r="CP57" s="58">
        <f t="shared" si="332"/>
        <v>78532</v>
      </c>
      <c r="CQ57" s="58">
        <f t="shared" si="332"/>
        <v>139485.5</v>
      </c>
      <c r="CR57" s="58">
        <f t="shared" si="332"/>
        <v>68292</v>
      </c>
      <c r="CS57" s="58">
        <f t="shared" ref="CS57" si="333">+CS55-CS56</f>
        <v>1037872.25</v>
      </c>
      <c r="CT57" s="10" t="str">
        <f t="shared" si="20"/>
        <v>Gross Profit</v>
      </c>
      <c r="CU57" s="58">
        <f t="shared" ref="CU57:DF57" si="334">+CU55-CU56</f>
        <v>155270</v>
      </c>
      <c r="CV57" s="58">
        <f t="shared" si="334"/>
        <v>106119.00000000001</v>
      </c>
      <c r="CW57" s="58">
        <f t="shared" si="334"/>
        <v>105729</v>
      </c>
      <c r="CX57" s="58">
        <f t="shared" si="334"/>
        <v>109530</v>
      </c>
      <c r="CY57" s="58">
        <f t="shared" si="334"/>
        <v>125340</v>
      </c>
      <c r="CZ57" s="58">
        <f t="shared" si="334"/>
        <v>90005</v>
      </c>
      <c r="DA57" s="58">
        <f t="shared" si="334"/>
        <v>100000</v>
      </c>
      <c r="DB57" s="58">
        <f t="shared" si="334"/>
        <v>76082</v>
      </c>
      <c r="DC57" s="58">
        <f t="shared" si="334"/>
        <v>107355</v>
      </c>
      <c r="DD57" s="58">
        <f t="shared" si="334"/>
        <v>161470</v>
      </c>
      <c r="DE57" s="58">
        <f t="shared" si="334"/>
        <v>0</v>
      </c>
      <c r="DF57" s="58">
        <f t="shared" si="334"/>
        <v>0</v>
      </c>
      <c r="DG57" s="58">
        <f t="shared" ref="DG57" si="335">+DG55-DG56</f>
        <v>1136900</v>
      </c>
      <c r="DH57" s="118"/>
      <c r="DI57" s="58">
        <f t="shared" ref="DI57:DT57" si="336">+DI55-DI56</f>
        <v>82500</v>
      </c>
      <c r="DJ57" s="58">
        <f t="shared" si="336"/>
        <v>73350</v>
      </c>
      <c r="DK57" s="58">
        <f t="shared" si="336"/>
        <v>85200</v>
      </c>
      <c r="DL57" s="58">
        <f t="shared" si="336"/>
        <v>81900</v>
      </c>
      <c r="DM57" s="58">
        <f t="shared" si="336"/>
        <v>69360</v>
      </c>
      <c r="DN57" s="58">
        <f t="shared" si="336"/>
        <v>79440</v>
      </c>
      <c r="DO57" s="58">
        <f t="shared" si="336"/>
        <v>80670</v>
      </c>
      <c r="DP57" s="58">
        <f t="shared" si="336"/>
        <v>71820</v>
      </c>
      <c r="DQ57" s="58">
        <f t="shared" si="336"/>
        <v>71820</v>
      </c>
      <c r="DR57" s="58">
        <f t="shared" si="336"/>
        <v>66900</v>
      </c>
      <c r="DS57" s="58">
        <f t="shared" si="336"/>
        <v>79440</v>
      </c>
      <c r="DT57" s="58">
        <f t="shared" si="336"/>
        <v>75510</v>
      </c>
      <c r="DU57" s="58">
        <f t="shared" ref="DU57" si="337">+DU55-DU56</f>
        <v>917910</v>
      </c>
      <c r="DV57" s="106"/>
      <c r="DW57" s="58">
        <f t="shared" ref="DW57:EH57" si="338">+DW55-DW56</f>
        <v>0</v>
      </c>
      <c r="DX57" s="58">
        <f t="shared" si="338"/>
        <v>0</v>
      </c>
      <c r="DY57" s="58">
        <f t="shared" si="338"/>
        <v>0</v>
      </c>
      <c r="DZ57" s="58">
        <f t="shared" si="338"/>
        <v>0</v>
      </c>
      <c r="EA57" s="58">
        <f t="shared" si="338"/>
        <v>0</v>
      </c>
      <c r="EB57" s="58">
        <f t="shared" si="338"/>
        <v>0</v>
      </c>
      <c r="EC57" s="58">
        <f t="shared" si="338"/>
        <v>0</v>
      </c>
      <c r="ED57" s="58">
        <f t="shared" si="338"/>
        <v>0</v>
      </c>
      <c r="EE57" s="58">
        <f t="shared" si="338"/>
        <v>0</v>
      </c>
      <c r="EF57" s="58">
        <f t="shared" si="338"/>
        <v>0</v>
      </c>
      <c r="EG57" s="58">
        <f t="shared" si="338"/>
        <v>0</v>
      </c>
      <c r="EH57" s="58">
        <f t="shared" si="338"/>
        <v>0</v>
      </c>
      <c r="EI57" s="58">
        <f t="shared" ref="EI57" si="339">+EI55-EI56</f>
        <v>0</v>
      </c>
      <c r="EJ57" s="10" t="str">
        <f t="shared" si="93"/>
        <v>Gross Profit</v>
      </c>
      <c r="EK57" s="58">
        <f t="shared" ref="EK57:EV57" si="340">+EK55-EK56</f>
        <v>30385</v>
      </c>
      <c r="EL57" s="58">
        <f t="shared" si="340"/>
        <v>28954.999999999996</v>
      </c>
      <c r="EM57" s="58">
        <f t="shared" si="340"/>
        <v>18140</v>
      </c>
      <c r="EN57" s="58">
        <f t="shared" si="340"/>
        <v>10790</v>
      </c>
      <c r="EO57" s="58">
        <f t="shared" si="340"/>
        <v>13380</v>
      </c>
      <c r="EP57" s="58">
        <f t="shared" si="340"/>
        <v>28067.5</v>
      </c>
      <c r="EQ57" s="58">
        <f t="shared" si="340"/>
        <v>3585</v>
      </c>
      <c r="ER57" s="58">
        <f t="shared" si="340"/>
        <v>20595</v>
      </c>
      <c r="ES57" s="58">
        <f t="shared" si="340"/>
        <v>9255</v>
      </c>
      <c r="ET57" s="58">
        <f t="shared" si="340"/>
        <v>19725</v>
      </c>
      <c r="EU57" s="58">
        <f t="shared" si="340"/>
        <v>0</v>
      </c>
      <c r="EV57" s="58">
        <f t="shared" si="340"/>
        <v>0</v>
      </c>
      <c r="EW57" s="58">
        <f t="shared" ref="EW57" si="341">+EW55-EW56</f>
        <v>182877.5</v>
      </c>
      <c r="EX57" s="118"/>
      <c r="EY57" s="58">
        <f t="shared" ref="EY57:FJ57" si="342">+EY55-EY56</f>
        <v>55000</v>
      </c>
      <c r="EZ57" s="58">
        <f t="shared" si="342"/>
        <v>48900</v>
      </c>
      <c r="FA57" s="58">
        <f t="shared" si="342"/>
        <v>56800</v>
      </c>
      <c r="FB57" s="58">
        <f t="shared" si="342"/>
        <v>54600</v>
      </c>
      <c r="FC57" s="58">
        <f t="shared" si="342"/>
        <v>46240</v>
      </c>
      <c r="FD57" s="58">
        <f t="shared" si="342"/>
        <v>52960</v>
      </c>
      <c r="FE57" s="58">
        <f t="shared" si="342"/>
        <v>53780</v>
      </c>
      <c r="FF57" s="58">
        <f t="shared" si="342"/>
        <v>47880</v>
      </c>
      <c r="FG57" s="58">
        <f t="shared" si="342"/>
        <v>47880</v>
      </c>
      <c r="FH57" s="58">
        <f t="shared" si="342"/>
        <v>44600</v>
      </c>
      <c r="FI57" s="58">
        <f t="shared" si="342"/>
        <v>52960</v>
      </c>
      <c r="FJ57" s="58">
        <f t="shared" si="342"/>
        <v>50340</v>
      </c>
      <c r="FK57" s="58">
        <f t="shared" ref="FK57" si="343">+FK55-FK56</f>
        <v>611940</v>
      </c>
    </row>
    <row r="58" spans="1:167" ht="14.45" customHeight="1">
      <c r="A58" s="58">
        <f>+A54+A57</f>
        <v>194713</v>
      </c>
      <c r="B58" s="58">
        <f t="shared" ref="B58:M58" si="344">+B54+B57</f>
        <v>259130</v>
      </c>
      <c r="C58" s="58">
        <f t="shared" si="344"/>
        <v>172385</v>
      </c>
      <c r="D58" s="58">
        <f t="shared" si="344"/>
        <v>167366.25</v>
      </c>
      <c r="E58" s="58">
        <f t="shared" si="344"/>
        <v>228867</v>
      </c>
      <c r="F58" s="58">
        <f t="shared" si="344"/>
        <v>333943.75</v>
      </c>
      <c r="G58" s="58">
        <f t="shared" si="344"/>
        <v>380451.6</v>
      </c>
      <c r="H58" s="58">
        <f t="shared" si="344"/>
        <v>292438</v>
      </c>
      <c r="I58" s="58">
        <f t="shared" si="344"/>
        <v>310473.42000000004</v>
      </c>
      <c r="J58" s="58">
        <f t="shared" si="344"/>
        <v>303997</v>
      </c>
      <c r="K58" s="58">
        <f t="shared" si="344"/>
        <v>401776</v>
      </c>
      <c r="L58" s="58">
        <f t="shared" si="344"/>
        <v>315495</v>
      </c>
      <c r="M58" s="58">
        <f t="shared" si="344"/>
        <v>3361036.02</v>
      </c>
      <c r="N58" s="10" t="s">
        <v>45</v>
      </c>
      <c r="O58" s="58">
        <f>+O54+O57</f>
        <v>296790</v>
      </c>
      <c r="P58" s="58">
        <f t="shared" ref="P58:AA58" si="345">+P54+P57</f>
        <v>238940</v>
      </c>
      <c r="Q58" s="58">
        <f t="shared" si="345"/>
        <v>316990</v>
      </c>
      <c r="R58" s="58">
        <f t="shared" si="345"/>
        <v>237820</v>
      </c>
      <c r="S58" s="58">
        <f t="shared" si="345"/>
        <v>383509</v>
      </c>
      <c r="T58" s="58">
        <f t="shared" si="345"/>
        <v>312979</v>
      </c>
      <c r="U58" s="58">
        <f t="shared" si="345"/>
        <v>305477.5</v>
      </c>
      <c r="V58" s="58">
        <f t="shared" si="345"/>
        <v>261996</v>
      </c>
      <c r="W58" s="58">
        <f t="shared" si="345"/>
        <v>272592.5</v>
      </c>
      <c r="X58" s="58">
        <f t="shared" si="345"/>
        <v>416015</v>
      </c>
      <c r="Y58" s="58">
        <f t="shared" si="345"/>
        <v>0</v>
      </c>
      <c r="Z58" s="58">
        <f t="shared" si="345"/>
        <v>0</v>
      </c>
      <c r="AA58" s="58">
        <f t="shared" si="345"/>
        <v>3043109</v>
      </c>
      <c r="AB58" s="118"/>
      <c r="AC58" s="58">
        <f>+AC54+AC57</f>
        <v>275000</v>
      </c>
      <c r="AD58" s="58">
        <f t="shared" ref="AD58:AO58" si="346">+AD54+AD57</f>
        <v>244500</v>
      </c>
      <c r="AE58" s="58">
        <f t="shared" si="346"/>
        <v>284000</v>
      </c>
      <c r="AF58" s="58">
        <f t="shared" si="346"/>
        <v>273000</v>
      </c>
      <c r="AG58" s="58">
        <f t="shared" si="346"/>
        <v>231200</v>
      </c>
      <c r="AH58" s="58">
        <f t="shared" si="346"/>
        <v>264800</v>
      </c>
      <c r="AI58" s="58">
        <f t="shared" si="346"/>
        <v>268900</v>
      </c>
      <c r="AJ58" s="58">
        <f t="shared" si="346"/>
        <v>239400</v>
      </c>
      <c r="AK58" s="58">
        <f t="shared" si="346"/>
        <v>239400</v>
      </c>
      <c r="AL58" s="58">
        <f t="shared" si="346"/>
        <v>223000</v>
      </c>
      <c r="AM58" s="58">
        <f t="shared" si="346"/>
        <v>264800</v>
      </c>
      <c r="AN58" s="58">
        <f t="shared" si="346"/>
        <v>251700</v>
      </c>
      <c r="AO58" s="58">
        <f t="shared" si="346"/>
        <v>3059700</v>
      </c>
      <c r="AP58" s="106"/>
      <c r="AQ58" s="58">
        <f t="shared" ref="AQ58:BB58" si="347">+AQ54+AQ57</f>
        <v>116883</v>
      </c>
      <c r="AR58" s="58">
        <f t="shared" si="347"/>
        <v>212470</v>
      </c>
      <c r="AS58" s="58">
        <f t="shared" si="347"/>
        <v>123610.5</v>
      </c>
      <c r="AT58" s="58">
        <f t="shared" si="347"/>
        <v>131681.25</v>
      </c>
      <c r="AU58" s="58">
        <f t="shared" si="347"/>
        <v>114102</v>
      </c>
      <c r="AV58" s="58">
        <f t="shared" si="347"/>
        <v>157830</v>
      </c>
      <c r="AW58" s="58">
        <f t="shared" si="347"/>
        <v>258497.6</v>
      </c>
      <c r="AX58" s="58">
        <f t="shared" si="347"/>
        <v>220366.00000000003</v>
      </c>
      <c r="AY58" s="58">
        <f t="shared" si="347"/>
        <v>252764.92000000004</v>
      </c>
      <c r="AZ58" s="58">
        <f t="shared" si="347"/>
        <v>225464.99999999997</v>
      </c>
      <c r="BA58" s="58">
        <f t="shared" si="347"/>
        <v>262290.5</v>
      </c>
      <c r="BB58" s="58">
        <f t="shared" si="347"/>
        <v>247203.00000000003</v>
      </c>
      <c r="BC58" s="58">
        <f t="shared" ref="BC58" si="348">+BC54+BC57</f>
        <v>2323163.77</v>
      </c>
      <c r="BD58" s="10" t="str">
        <f t="shared" si="16"/>
        <v>Total GP</v>
      </c>
      <c r="BE58" s="58">
        <f t="shared" ref="BE58:BP58" si="349">+BE54+BE57</f>
        <v>111135</v>
      </c>
      <c r="BF58" s="58">
        <f t="shared" si="349"/>
        <v>103865.99999999999</v>
      </c>
      <c r="BG58" s="58">
        <f t="shared" si="349"/>
        <v>193121</v>
      </c>
      <c r="BH58" s="58">
        <f t="shared" si="349"/>
        <v>117500</v>
      </c>
      <c r="BI58" s="58">
        <f t="shared" si="349"/>
        <v>244789</v>
      </c>
      <c r="BJ58" s="58">
        <f t="shared" si="349"/>
        <v>194906.5</v>
      </c>
      <c r="BK58" s="58">
        <f t="shared" si="349"/>
        <v>201892.5</v>
      </c>
      <c r="BL58" s="58">
        <f t="shared" si="349"/>
        <v>165319</v>
      </c>
      <c r="BM58" s="58">
        <f t="shared" si="349"/>
        <v>155982.5</v>
      </c>
      <c r="BN58" s="58">
        <f t="shared" si="349"/>
        <v>234820</v>
      </c>
      <c r="BO58" s="58">
        <f t="shared" si="349"/>
        <v>0</v>
      </c>
      <c r="BP58" s="58">
        <f t="shared" si="349"/>
        <v>0</v>
      </c>
      <c r="BQ58" s="58">
        <f t="shared" ref="BQ58" si="350">+BQ54+BQ57</f>
        <v>1723331.5</v>
      </c>
      <c r="BR58" s="118"/>
      <c r="BS58" s="58">
        <f t="shared" ref="BS58:CD58" si="351">+BS54+BS57</f>
        <v>137500</v>
      </c>
      <c r="BT58" s="58">
        <f t="shared" si="351"/>
        <v>122250</v>
      </c>
      <c r="BU58" s="58">
        <f t="shared" si="351"/>
        <v>142000</v>
      </c>
      <c r="BV58" s="58">
        <f t="shared" si="351"/>
        <v>136500</v>
      </c>
      <c r="BW58" s="58">
        <f t="shared" si="351"/>
        <v>115600</v>
      </c>
      <c r="BX58" s="58">
        <f t="shared" si="351"/>
        <v>132400</v>
      </c>
      <c r="BY58" s="58">
        <f t="shared" si="351"/>
        <v>134450</v>
      </c>
      <c r="BZ58" s="58">
        <f t="shared" si="351"/>
        <v>119700</v>
      </c>
      <c r="CA58" s="58">
        <f t="shared" si="351"/>
        <v>119700</v>
      </c>
      <c r="CB58" s="58">
        <f t="shared" si="351"/>
        <v>111500</v>
      </c>
      <c r="CC58" s="58">
        <f t="shared" si="351"/>
        <v>132400</v>
      </c>
      <c r="CD58" s="58">
        <f t="shared" si="351"/>
        <v>125850</v>
      </c>
      <c r="CE58" s="58">
        <f t="shared" ref="CE58" si="352">+CE54+CE57</f>
        <v>1529850</v>
      </c>
      <c r="CF58" s="106"/>
      <c r="CG58" s="58">
        <f t="shared" ref="CG58:CR58" si="353">+CG54+CG57</f>
        <v>77830</v>
      </c>
      <c r="CH58" s="58">
        <f t="shared" si="353"/>
        <v>46660</v>
      </c>
      <c r="CI58" s="58">
        <f t="shared" si="353"/>
        <v>48774.5</v>
      </c>
      <c r="CJ58" s="58">
        <f t="shared" si="353"/>
        <v>35685</v>
      </c>
      <c r="CK58" s="58">
        <f t="shared" si="353"/>
        <v>114765</v>
      </c>
      <c r="CL58" s="58">
        <f t="shared" si="353"/>
        <v>176113.75</v>
      </c>
      <c r="CM58" s="58">
        <f t="shared" si="353"/>
        <v>121954</v>
      </c>
      <c r="CN58" s="58">
        <f t="shared" si="353"/>
        <v>72072</v>
      </c>
      <c r="CO58" s="58">
        <f t="shared" si="353"/>
        <v>57708.499999999993</v>
      </c>
      <c r="CP58" s="58">
        <f t="shared" si="353"/>
        <v>78532</v>
      </c>
      <c r="CQ58" s="58">
        <f t="shared" si="353"/>
        <v>139485.5</v>
      </c>
      <c r="CR58" s="58">
        <f t="shared" si="353"/>
        <v>68292</v>
      </c>
      <c r="CS58" s="58">
        <f t="shared" ref="CS58" si="354">+CS54+CS57</f>
        <v>1037872.25</v>
      </c>
      <c r="CT58" s="10" t="str">
        <f t="shared" si="20"/>
        <v>Total GP</v>
      </c>
      <c r="CU58" s="58">
        <f t="shared" ref="CU58:DF58" si="355">+CU54+CU57</f>
        <v>155270</v>
      </c>
      <c r="CV58" s="58">
        <f t="shared" si="355"/>
        <v>106119.00000000001</v>
      </c>
      <c r="CW58" s="58">
        <f t="shared" si="355"/>
        <v>105729</v>
      </c>
      <c r="CX58" s="58">
        <f t="shared" si="355"/>
        <v>109530</v>
      </c>
      <c r="CY58" s="58">
        <f t="shared" si="355"/>
        <v>125340</v>
      </c>
      <c r="CZ58" s="58">
        <f t="shared" si="355"/>
        <v>90005</v>
      </c>
      <c r="DA58" s="58">
        <f t="shared" si="355"/>
        <v>100000</v>
      </c>
      <c r="DB58" s="58">
        <f t="shared" si="355"/>
        <v>76082</v>
      </c>
      <c r="DC58" s="58">
        <f t="shared" si="355"/>
        <v>107355</v>
      </c>
      <c r="DD58" s="58">
        <f t="shared" si="355"/>
        <v>161470</v>
      </c>
      <c r="DE58" s="58">
        <f t="shared" si="355"/>
        <v>0</v>
      </c>
      <c r="DF58" s="58">
        <f t="shared" si="355"/>
        <v>0</v>
      </c>
      <c r="DG58" s="58">
        <f t="shared" ref="DG58" si="356">+DG54+DG57</f>
        <v>1136900</v>
      </c>
      <c r="DH58" s="118"/>
      <c r="DI58" s="58">
        <f t="shared" ref="DI58:DT58" si="357">+DI54+DI57</f>
        <v>82500</v>
      </c>
      <c r="DJ58" s="58">
        <f t="shared" si="357"/>
        <v>73350</v>
      </c>
      <c r="DK58" s="58">
        <f t="shared" si="357"/>
        <v>85200</v>
      </c>
      <c r="DL58" s="58">
        <f t="shared" si="357"/>
        <v>81900</v>
      </c>
      <c r="DM58" s="58">
        <f t="shared" si="357"/>
        <v>69360</v>
      </c>
      <c r="DN58" s="58">
        <f t="shared" si="357"/>
        <v>79440</v>
      </c>
      <c r="DO58" s="58">
        <f t="shared" si="357"/>
        <v>80670</v>
      </c>
      <c r="DP58" s="58">
        <f t="shared" si="357"/>
        <v>71820</v>
      </c>
      <c r="DQ58" s="58">
        <f t="shared" si="357"/>
        <v>71820</v>
      </c>
      <c r="DR58" s="58">
        <f t="shared" si="357"/>
        <v>66900</v>
      </c>
      <c r="DS58" s="58">
        <f t="shared" si="357"/>
        <v>79440</v>
      </c>
      <c r="DT58" s="58">
        <f t="shared" si="357"/>
        <v>75510</v>
      </c>
      <c r="DU58" s="58">
        <f t="shared" ref="DU58" si="358">+DU54+DU57</f>
        <v>917910</v>
      </c>
      <c r="DV58" s="106"/>
      <c r="DW58" s="58">
        <f t="shared" ref="DW58:EH58" si="359">+DW54+DW57</f>
        <v>0</v>
      </c>
      <c r="DX58" s="58">
        <f t="shared" si="359"/>
        <v>0</v>
      </c>
      <c r="DY58" s="58">
        <f t="shared" si="359"/>
        <v>0</v>
      </c>
      <c r="DZ58" s="58">
        <f t="shared" si="359"/>
        <v>0</v>
      </c>
      <c r="EA58" s="58">
        <f t="shared" si="359"/>
        <v>0</v>
      </c>
      <c r="EB58" s="58">
        <f t="shared" si="359"/>
        <v>0</v>
      </c>
      <c r="EC58" s="58">
        <f t="shared" si="359"/>
        <v>0</v>
      </c>
      <c r="ED58" s="58">
        <f t="shared" si="359"/>
        <v>0</v>
      </c>
      <c r="EE58" s="58">
        <f t="shared" si="359"/>
        <v>0</v>
      </c>
      <c r="EF58" s="58">
        <f t="shared" si="359"/>
        <v>0</v>
      </c>
      <c r="EG58" s="58">
        <f t="shared" si="359"/>
        <v>0</v>
      </c>
      <c r="EH58" s="58">
        <f t="shared" si="359"/>
        <v>0</v>
      </c>
      <c r="EI58" s="58">
        <f t="shared" ref="EI58" si="360">+EI54+EI57</f>
        <v>0</v>
      </c>
      <c r="EJ58" s="10" t="str">
        <f t="shared" si="93"/>
        <v>Total GP</v>
      </c>
      <c r="EK58" s="58">
        <f t="shared" ref="EK58:EV58" si="361">+EK54+EK57</f>
        <v>30385</v>
      </c>
      <c r="EL58" s="58">
        <f t="shared" si="361"/>
        <v>28954.999999999996</v>
      </c>
      <c r="EM58" s="58">
        <f t="shared" si="361"/>
        <v>18140</v>
      </c>
      <c r="EN58" s="58">
        <f t="shared" si="361"/>
        <v>10790</v>
      </c>
      <c r="EO58" s="58">
        <f t="shared" si="361"/>
        <v>13380</v>
      </c>
      <c r="EP58" s="58">
        <f t="shared" si="361"/>
        <v>28067.5</v>
      </c>
      <c r="EQ58" s="58">
        <f t="shared" si="361"/>
        <v>3585</v>
      </c>
      <c r="ER58" s="58">
        <f t="shared" si="361"/>
        <v>20595</v>
      </c>
      <c r="ES58" s="58">
        <f t="shared" si="361"/>
        <v>9255</v>
      </c>
      <c r="ET58" s="58">
        <f t="shared" si="361"/>
        <v>19725</v>
      </c>
      <c r="EU58" s="58">
        <f t="shared" si="361"/>
        <v>0</v>
      </c>
      <c r="EV58" s="58">
        <f t="shared" si="361"/>
        <v>0</v>
      </c>
      <c r="EW58" s="58">
        <f t="shared" ref="EW58" si="362">+EW54+EW57</f>
        <v>182877.5</v>
      </c>
      <c r="EX58" s="118"/>
      <c r="EY58" s="58">
        <f t="shared" ref="EY58:FJ58" si="363">+EY54+EY57</f>
        <v>55000</v>
      </c>
      <c r="EZ58" s="58">
        <f t="shared" si="363"/>
        <v>48900</v>
      </c>
      <c r="FA58" s="58">
        <f t="shared" si="363"/>
        <v>56800</v>
      </c>
      <c r="FB58" s="58">
        <f t="shared" si="363"/>
        <v>54600</v>
      </c>
      <c r="FC58" s="58">
        <f t="shared" si="363"/>
        <v>46240</v>
      </c>
      <c r="FD58" s="58">
        <f t="shared" si="363"/>
        <v>52960</v>
      </c>
      <c r="FE58" s="58">
        <f t="shared" si="363"/>
        <v>53780</v>
      </c>
      <c r="FF58" s="58">
        <f t="shared" si="363"/>
        <v>47880</v>
      </c>
      <c r="FG58" s="58">
        <f t="shared" si="363"/>
        <v>47880</v>
      </c>
      <c r="FH58" s="58">
        <f t="shared" si="363"/>
        <v>44600</v>
      </c>
      <c r="FI58" s="58">
        <f t="shared" si="363"/>
        <v>52960</v>
      </c>
      <c r="FJ58" s="58">
        <f t="shared" si="363"/>
        <v>50340</v>
      </c>
      <c r="FK58" s="58">
        <f t="shared" ref="FK58" si="364">+FK54+FK57</f>
        <v>611940</v>
      </c>
    </row>
    <row r="59" spans="1:167" ht="14.4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18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45">
        <f t="shared" si="16"/>
        <v>0</v>
      </c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6"/>
      <c r="BQ59" s="106"/>
      <c r="BR59" s="118"/>
      <c r="BS59" s="106"/>
      <c r="BT59" s="106"/>
      <c r="BU59" s="106"/>
      <c r="BV59" s="106"/>
      <c r="BW59" s="106"/>
      <c r="BX59" s="106"/>
      <c r="BY59" s="106"/>
      <c r="BZ59" s="106"/>
      <c r="CA59" s="106"/>
      <c r="CB59" s="106"/>
      <c r="CC59" s="106"/>
      <c r="CD59" s="106"/>
      <c r="CE59" s="106"/>
      <c r="CF59" s="106"/>
      <c r="CG59" s="106"/>
      <c r="CH59" s="106"/>
      <c r="CI59" s="106"/>
      <c r="CJ59" s="106"/>
      <c r="CK59" s="106"/>
      <c r="CL59" s="106"/>
      <c r="CM59" s="106"/>
      <c r="CN59" s="106"/>
      <c r="CO59" s="106"/>
      <c r="CP59" s="106"/>
      <c r="CQ59" s="106"/>
      <c r="CR59" s="106"/>
      <c r="CS59" s="106"/>
      <c r="CT59" s="45">
        <f t="shared" si="20"/>
        <v>0</v>
      </c>
      <c r="CU59" s="106"/>
      <c r="CV59" s="106"/>
      <c r="CW59" s="106"/>
      <c r="CX59" s="106"/>
      <c r="CY59" s="106"/>
      <c r="CZ59" s="106"/>
      <c r="DA59" s="106"/>
      <c r="DB59" s="106"/>
      <c r="DC59" s="106"/>
      <c r="DD59" s="106"/>
      <c r="DE59" s="106"/>
      <c r="DF59" s="106"/>
      <c r="DG59" s="106"/>
      <c r="DH59" s="118"/>
      <c r="DI59" s="106"/>
      <c r="DJ59" s="106"/>
      <c r="DK59" s="106"/>
      <c r="DL59" s="106"/>
      <c r="DM59" s="106"/>
      <c r="DN59" s="106"/>
      <c r="DO59" s="106"/>
      <c r="DP59" s="106"/>
      <c r="DQ59" s="106"/>
      <c r="DR59" s="106"/>
      <c r="DS59" s="106"/>
      <c r="DT59" s="106"/>
      <c r="DU59" s="106"/>
      <c r="DV59" s="106"/>
      <c r="DW59" s="106"/>
      <c r="DX59" s="106"/>
      <c r="DY59" s="106"/>
      <c r="DZ59" s="106"/>
      <c r="EA59" s="106"/>
      <c r="EB59" s="106"/>
      <c r="EC59" s="106"/>
      <c r="ED59" s="106"/>
      <c r="EE59" s="106"/>
      <c r="EF59" s="106"/>
      <c r="EG59" s="106"/>
      <c r="EH59" s="106"/>
      <c r="EI59" s="106"/>
      <c r="EJ59" s="45">
        <f t="shared" si="93"/>
        <v>0</v>
      </c>
      <c r="EK59" s="106"/>
      <c r="EL59" s="106"/>
      <c r="EM59" s="106"/>
      <c r="EN59" s="106"/>
      <c r="EO59" s="106"/>
      <c r="EP59" s="106"/>
      <c r="EQ59" s="106"/>
      <c r="ER59" s="106"/>
      <c r="ES59" s="106"/>
      <c r="ET59" s="106"/>
      <c r="EU59" s="106"/>
      <c r="EV59" s="106"/>
      <c r="EW59" s="106"/>
      <c r="EX59" s="118"/>
      <c r="EY59" s="106"/>
      <c r="EZ59" s="106"/>
      <c r="FA59" s="106"/>
      <c r="FB59" s="106"/>
      <c r="FC59" s="106"/>
      <c r="FD59" s="106"/>
      <c r="FE59" s="106"/>
      <c r="FF59" s="106"/>
      <c r="FG59" s="106"/>
      <c r="FH59" s="106"/>
      <c r="FI59" s="106"/>
      <c r="FJ59" s="106"/>
      <c r="FK59" s="106"/>
    </row>
    <row r="60" spans="1:167" ht="14.45" customHeight="1">
      <c r="A60" s="58">
        <f>+SUM(A61:A69)</f>
        <v>1005097.81</v>
      </c>
      <c r="B60" s="58">
        <f t="shared" ref="B60:M60" si="365">+SUM(B61:B69)</f>
        <v>854715.80999999994</v>
      </c>
      <c r="C60" s="58">
        <f t="shared" si="365"/>
        <v>1025008.45</v>
      </c>
      <c r="D60" s="58">
        <f t="shared" si="365"/>
        <v>738207.08</v>
      </c>
      <c r="E60" s="58">
        <f t="shared" si="365"/>
        <v>1184321.67</v>
      </c>
      <c r="F60" s="58">
        <f t="shared" si="365"/>
        <v>1296207.82</v>
      </c>
      <c r="G60" s="58">
        <f t="shared" si="365"/>
        <v>1223385.58</v>
      </c>
      <c r="H60" s="58">
        <f t="shared" si="365"/>
        <v>1602286</v>
      </c>
      <c r="I60" s="58">
        <f t="shared" si="365"/>
        <v>955861</v>
      </c>
      <c r="J60" s="58">
        <f t="shared" si="365"/>
        <v>911533</v>
      </c>
      <c r="K60" s="58">
        <f t="shared" si="365"/>
        <v>868186</v>
      </c>
      <c r="L60" s="58">
        <f t="shared" si="365"/>
        <v>1032701</v>
      </c>
      <c r="M60" s="58">
        <f t="shared" si="365"/>
        <v>12697511.220000001</v>
      </c>
      <c r="N60" s="6" t="s">
        <v>46</v>
      </c>
      <c r="O60" s="58">
        <f>+SUM(O61:O69)</f>
        <v>1142642.365</v>
      </c>
      <c r="P60" s="58">
        <f t="shared" ref="P60:AA60" si="366">+SUM(P61:P69)</f>
        <v>815982.83050000004</v>
      </c>
      <c r="Q60" s="58">
        <f t="shared" si="366"/>
        <v>1654653.7425000002</v>
      </c>
      <c r="R60" s="58">
        <f t="shared" si="366"/>
        <v>622661.3075</v>
      </c>
      <c r="S60" s="58">
        <f t="shared" si="366"/>
        <v>1533708.8</v>
      </c>
      <c r="T60" s="58">
        <f t="shared" si="366"/>
        <v>985627.67600000009</v>
      </c>
      <c r="U60" s="58">
        <f t="shared" si="366"/>
        <v>1509998.4700000002</v>
      </c>
      <c r="V60" s="58">
        <f t="shared" si="366"/>
        <v>1201757.0164999999</v>
      </c>
      <c r="W60" s="58">
        <f t="shared" si="366"/>
        <v>922454.77299999993</v>
      </c>
      <c r="X60" s="58">
        <f t="shared" si="366"/>
        <v>930057.49049999996</v>
      </c>
      <c r="Y60" s="58">
        <f t="shared" si="366"/>
        <v>0</v>
      </c>
      <c r="Z60" s="58">
        <f t="shared" si="366"/>
        <v>0</v>
      </c>
      <c r="AA60" s="58">
        <f t="shared" si="366"/>
        <v>11319544.4715</v>
      </c>
      <c r="AB60" s="118"/>
      <c r="AC60" s="58">
        <f>+SUM(AC61:AC69)</f>
        <v>969766.68</v>
      </c>
      <c r="AD60" s="58">
        <f t="shared" ref="AD60:AO60" si="367">+SUM(AD61:AD69)</f>
        <v>840472.16</v>
      </c>
      <c r="AE60" s="58">
        <f t="shared" si="367"/>
        <v>1032578.89</v>
      </c>
      <c r="AF60" s="58">
        <f t="shared" si="367"/>
        <v>675764.92</v>
      </c>
      <c r="AG60" s="58">
        <f t="shared" si="367"/>
        <v>516671.97000000003</v>
      </c>
      <c r="AH60" s="58">
        <f t="shared" si="367"/>
        <v>975971.6100000001</v>
      </c>
      <c r="AI60" s="58">
        <f t="shared" si="367"/>
        <v>1253112.31</v>
      </c>
      <c r="AJ60" s="58">
        <f t="shared" si="367"/>
        <v>987572.55</v>
      </c>
      <c r="AK60" s="58">
        <f t="shared" si="367"/>
        <v>983181.27</v>
      </c>
      <c r="AL60" s="58">
        <f t="shared" si="367"/>
        <v>943668.31</v>
      </c>
      <c r="AM60" s="58">
        <f t="shared" si="367"/>
        <v>868666.66</v>
      </c>
      <c r="AN60" s="58">
        <f t="shared" si="367"/>
        <v>1103711.4200000002</v>
      </c>
      <c r="AO60" s="58">
        <f t="shared" si="367"/>
        <v>11151138.750000002</v>
      </c>
      <c r="AP60" s="106"/>
      <c r="AQ60" s="58">
        <f t="shared" ref="AQ60:BB60" si="368">+SUM(AQ61:AQ69)</f>
        <v>1005097.81</v>
      </c>
      <c r="AR60" s="58">
        <f t="shared" si="368"/>
        <v>854715.80999999994</v>
      </c>
      <c r="AS60" s="58">
        <f t="shared" si="368"/>
        <v>1025008.45</v>
      </c>
      <c r="AT60" s="58">
        <f t="shared" si="368"/>
        <v>679665.72</v>
      </c>
      <c r="AU60" s="58">
        <f t="shared" si="368"/>
        <v>1125121.67</v>
      </c>
      <c r="AV60" s="58">
        <f t="shared" si="368"/>
        <v>1296207.82</v>
      </c>
      <c r="AW60" s="58">
        <f t="shared" si="368"/>
        <v>1217910.5</v>
      </c>
      <c r="AX60" s="58">
        <f t="shared" si="368"/>
        <v>1563326</v>
      </c>
      <c r="AY60" s="58">
        <f t="shared" si="368"/>
        <v>918861</v>
      </c>
      <c r="AZ60" s="58">
        <f t="shared" si="368"/>
        <v>881933</v>
      </c>
      <c r="BA60" s="58">
        <f t="shared" si="368"/>
        <v>819062</v>
      </c>
      <c r="BB60" s="58">
        <f t="shared" si="368"/>
        <v>1032701</v>
      </c>
      <c r="BC60" s="58">
        <f t="shared" ref="BC60" si="369">+SUM(BC61:BC69)</f>
        <v>12419610.779999999</v>
      </c>
      <c r="BD60" s="6" t="str">
        <f t="shared" si="16"/>
        <v>Other Source of Income</v>
      </c>
      <c r="BE60" s="58">
        <f t="shared" ref="BE60:BP60" si="370">+SUM(BE61:BE69)</f>
        <v>1133205.9099999999</v>
      </c>
      <c r="BF60" s="58">
        <f t="shared" si="370"/>
        <v>801935.88699999999</v>
      </c>
      <c r="BG60" s="58">
        <f t="shared" si="370"/>
        <v>1601557.9949999999</v>
      </c>
      <c r="BH60" s="58">
        <f t="shared" si="370"/>
        <v>609669.06499999994</v>
      </c>
      <c r="BI60" s="58">
        <f t="shared" si="370"/>
        <v>1489977.8</v>
      </c>
      <c r="BJ60" s="58">
        <f t="shared" si="370"/>
        <v>976658.924</v>
      </c>
      <c r="BK60" s="58">
        <f t="shared" si="370"/>
        <v>1466472.0400000003</v>
      </c>
      <c r="BL60" s="58">
        <f t="shared" si="370"/>
        <v>1158607.0009999999</v>
      </c>
      <c r="BM60" s="58">
        <f t="shared" si="370"/>
        <v>910202.09199999995</v>
      </c>
      <c r="BN60" s="58">
        <f t="shared" si="370"/>
        <v>911816.63300000003</v>
      </c>
      <c r="BO60" s="58">
        <f t="shared" si="370"/>
        <v>0</v>
      </c>
      <c r="BP60" s="58">
        <f t="shared" si="370"/>
        <v>0</v>
      </c>
      <c r="BQ60" s="58">
        <f t="shared" ref="BQ60" si="371">+SUM(BQ61:BQ69)</f>
        <v>11060103.347000001</v>
      </c>
      <c r="BR60" s="118"/>
      <c r="BS60" s="58">
        <f t="shared" ref="BS60:CD60" si="372">+SUM(BS61:BS69)</f>
        <v>969766.68</v>
      </c>
      <c r="BT60" s="58">
        <f t="shared" si="372"/>
        <v>840472.16</v>
      </c>
      <c r="BU60" s="58">
        <f t="shared" si="372"/>
        <v>1032578.89</v>
      </c>
      <c r="BV60" s="58">
        <f t="shared" si="372"/>
        <v>675764.92</v>
      </c>
      <c r="BW60" s="58">
        <f t="shared" si="372"/>
        <v>516671.97000000003</v>
      </c>
      <c r="BX60" s="58">
        <f t="shared" si="372"/>
        <v>975971.6100000001</v>
      </c>
      <c r="BY60" s="58">
        <f t="shared" si="372"/>
        <v>1253112.31</v>
      </c>
      <c r="BZ60" s="58">
        <f t="shared" si="372"/>
        <v>987572.55</v>
      </c>
      <c r="CA60" s="58">
        <f t="shared" si="372"/>
        <v>983181.27</v>
      </c>
      <c r="CB60" s="58">
        <f t="shared" si="372"/>
        <v>943668.31</v>
      </c>
      <c r="CC60" s="58">
        <f t="shared" si="372"/>
        <v>868666.66</v>
      </c>
      <c r="CD60" s="58">
        <f t="shared" si="372"/>
        <v>1103711.4200000002</v>
      </c>
      <c r="CE60" s="58">
        <f t="shared" ref="CE60" si="373">+SUM(CE61:CE69)</f>
        <v>11151138.750000002</v>
      </c>
      <c r="CF60" s="106"/>
      <c r="CG60" s="58">
        <f t="shared" ref="CG60:CR60" si="374">+SUM(CG61:CG69)</f>
        <v>0</v>
      </c>
      <c r="CH60" s="58">
        <f t="shared" si="374"/>
        <v>0</v>
      </c>
      <c r="CI60" s="58">
        <f t="shared" si="374"/>
        <v>0</v>
      </c>
      <c r="CJ60" s="58">
        <f t="shared" si="374"/>
        <v>58541.36</v>
      </c>
      <c r="CK60" s="58">
        <f t="shared" si="374"/>
        <v>59200</v>
      </c>
      <c r="CL60" s="58">
        <f t="shared" si="374"/>
        <v>0</v>
      </c>
      <c r="CM60" s="58">
        <f t="shared" si="374"/>
        <v>5475.08</v>
      </c>
      <c r="CN60" s="58">
        <f t="shared" si="374"/>
        <v>38960</v>
      </c>
      <c r="CO60" s="58">
        <f t="shared" si="374"/>
        <v>37000</v>
      </c>
      <c r="CP60" s="58">
        <f t="shared" si="374"/>
        <v>29600</v>
      </c>
      <c r="CQ60" s="58">
        <f t="shared" si="374"/>
        <v>49124</v>
      </c>
      <c r="CR60" s="58">
        <f t="shared" si="374"/>
        <v>0</v>
      </c>
      <c r="CS60" s="58">
        <f t="shared" ref="CS60" si="375">+SUM(CS61:CS69)</f>
        <v>277900.44</v>
      </c>
      <c r="CT60" s="6" t="str">
        <f t="shared" si="20"/>
        <v>Other Source of Income</v>
      </c>
      <c r="CU60" s="58">
        <f t="shared" ref="CU60:DF60" si="376">+SUM(CU61:CU69)</f>
        <v>9436.4549999999999</v>
      </c>
      <c r="CV60" s="58">
        <f t="shared" si="376"/>
        <v>14046.943499999998</v>
      </c>
      <c r="CW60" s="58">
        <f t="shared" si="376"/>
        <v>53095.747499999998</v>
      </c>
      <c r="CX60" s="58">
        <f t="shared" si="376"/>
        <v>12992.242499999998</v>
      </c>
      <c r="CY60" s="58">
        <f t="shared" si="376"/>
        <v>37000</v>
      </c>
      <c r="CZ60" s="58">
        <f t="shared" si="376"/>
        <v>8968.7520000000004</v>
      </c>
      <c r="DA60" s="58">
        <f t="shared" si="376"/>
        <v>33905.43</v>
      </c>
      <c r="DB60" s="58">
        <f t="shared" si="376"/>
        <v>43150.015500000001</v>
      </c>
      <c r="DC60" s="58">
        <f t="shared" si="376"/>
        <v>12252.680999999999</v>
      </c>
      <c r="DD60" s="58">
        <f t="shared" si="376"/>
        <v>8910.6165000000001</v>
      </c>
      <c r="DE60" s="58">
        <f t="shared" si="376"/>
        <v>0</v>
      </c>
      <c r="DF60" s="58">
        <f t="shared" si="376"/>
        <v>0</v>
      </c>
      <c r="DG60" s="58">
        <f t="shared" ref="DG60" si="377">+SUM(DG61:DG69)</f>
        <v>233758.8835</v>
      </c>
      <c r="DH60" s="118"/>
      <c r="DI60" s="58">
        <f t="shared" ref="DI60:DT60" si="378">+SUM(DI61:DI69)</f>
        <v>0</v>
      </c>
      <c r="DJ60" s="58">
        <f t="shared" si="378"/>
        <v>0</v>
      </c>
      <c r="DK60" s="58">
        <f t="shared" si="378"/>
        <v>0</v>
      </c>
      <c r="DL60" s="58">
        <f t="shared" si="378"/>
        <v>0</v>
      </c>
      <c r="DM60" s="58">
        <f t="shared" si="378"/>
        <v>0</v>
      </c>
      <c r="DN60" s="58">
        <f t="shared" si="378"/>
        <v>0</v>
      </c>
      <c r="DO60" s="58">
        <f t="shared" si="378"/>
        <v>0</v>
      </c>
      <c r="DP60" s="58">
        <f t="shared" si="378"/>
        <v>0</v>
      </c>
      <c r="DQ60" s="58">
        <f t="shared" si="378"/>
        <v>0</v>
      </c>
      <c r="DR60" s="58">
        <f t="shared" si="378"/>
        <v>0</v>
      </c>
      <c r="DS60" s="58">
        <f t="shared" si="378"/>
        <v>0</v>
      </c>
      <c r="DT60" s="58">
        <f t="shared" si="378"/>
        <v>0</v>
      </c>
      <c r="DU60" s="58">
        <f t="shared" ref="DU60" si="379">+SUM(DU61:DU69)</f>
        <v>0</v>
      </c>
      <c r="DV60" s="106"/>
      <c r="DW60" s="58">
        <f t="shared" ref="DW60:EH60" si="380">+SUM(DW61:DW69)</f>
        <v>0</v>
      </c>
      <c r="DX60" s="58">
        <f t="shared" si="380"/>
        <v>0</v>
      </c>
      <c r="DY60" s="58">
        <f t="shared" si="380"/>
        <v>0</v>
      </c>
      <c r="DZ60" s="58">
        <f t="shared" si="380"/>
        <v>0</v>
      </c>
      <c r="EA60" s="58">
        <f t="shared" si="380"/>
        <v>0</v>
      </c>
      <c r="EB60" s="58">
        <f t="shared" si="380"/>
        <v>0</v>
      </c>
      <c r="EC60" s="58">
        <f t="shared" si="380"/>
        <v>0</v>
      </c>
      <c r="ED60" s="58">
        <f t="shared" si="380"/>
        <v>0</v>
      </c>
      <c r="EE60" s="58">
        <f t="shared" si="380"/>
        <v>0</v>
      </c>
      <c r="EF60" s="58">
        <f t="shared" si="380"/>
        <v>0</v>
      </c>
      <c r="EG60" s="58">
        <f t="shared" si="380"/>
        <v>0</v>
      </c>
      <c r="EH60" s="58">
        <f t="shared" si="380"/>
        <v>0</v>
      </c>
      <c r="EI60" s="58">
        <f t="shared" ref="EI60" si="381">+SUM(EI61:EI69)</f>
        <v>0</v>
      </c>
      <c r="EJ60" s="6" t="str">
        <f t="shared" si="93"/>
        <v>Other Source of Income</v>
      </c>
      <c r="EK60" s="58">
        <f t="shared" ref="EK60:EV60" si="382">+SUM(EK61:EK69)</f>
        <v>0</v>
      </c>
      <c r="EL60" s="58">
        <f t="shared" si="382"/>
        <v>0</v>
      </c>
      <c r="EM60" s="58">
        <f t="shared" si="382"/>
        <v>0</v>
      </c>
      <c r="EN60" s="58">
        <f t="shared" si="382"/>
        <v>0</v>
      </c>
      <c r="EO60" s="58">
        <f t="shared" si="382"/>
        <v>6731</v>
      </c>
      <c r="EP60" s="58">
        <f t="shared" si="382"/>
        <v>0</v>
      </c>
      <c r="EQ60" s="58">
        <f t="shared" si="382"/>
        <v>9621</v>
      </c>
      <c r="ER60" s="58">
        <f t="shared" si="382"/>
        <v>0</v>
      </c>
      <c r="ES60" s="58">
        <f t="shared" si="382"/>
        <v>0</v>
      </c>
      <c r="ET60" s="58">
        <f t="shared" si="382"/>
        <v>9330.241</v>
      </c>
      <c r="EU60" s="58">
        <f t="shared" si="382"/>
        <v>0</v>
      </c>
      <c r="EV60" s="58">
        <f t="shared" si="382"/>
        <v>0</v>
      </c>
      <c r="EW60" s="58">
        <f t="shared" ref="EW60" si="383">+SUM(EW61:EW69)</f>
        <v>25682.241000000002</v>
      </c>
      <c r="EX60" s="118"/>
      <c r="EY60" s="58">
        <f t="shared" ref="EY60:FJ60" si="384">+SUM(EY61:EY69)</f>
        <v>0</v>
      </c>
      <c r="EZ60" s="58">
        <f t="shared" si="384"/>
        <v>0</v>
      </c>
      <c r="FA60" s="58">
        <f t="shared" si="384"/>
        <v>0</v>
      </c>
      <c r="FB60" s="58">
        <f t="shared" si="384"/>
        <v>0</v>
      </c>
      <c r="FC60" s="58">
        <f t="shared" si="384"/>
        <v>0</v>
      </c>
      <c r="FD60" s="58">
        <f t="shared" si="384"/>
        <v>0</v>
      </c>
      <c r="FE60" s="58">
        <f t="shared" si="384"/>
        <v>0</v>
      </c>
      <c r="FF60" s="58">
        <f t="shared" si="384"/>
        <v>0</v>
      </c>
      <c r="FG60" s="58">
        <f t="shared" si="384"/>
        <v>0</v>
      </c>
      <c r="FH60" s="58">
        <f t="shared" si="384"/>
        <v>0</v>
      </c>
      <c r="FI60" s="58">
        <f t="shared" si="384"/>
        <v>0</v>
      </c>
      <c r="FJ60" s="58">
        <f t="shared" si="384"/>
        <v>0</v>
      </c>
      <c r="FK60" s="58">
        <f t="shared" ref="FK60" si="385">+SUM(FK61:FK69)</f>
        <v>0</v>
      </c>
    </row>
    <row r="61" spans="1:167" ht="14.45" hidden="1" customHeight="1" outlineLevel="1">
      <c r="A61" s="106">
        <f t="shared" ref="A61:L69" si="386">+AQ61+CG61+DW61</f>
        <v>0</v>
      </c>
      <c r="B61" s="106">
        <f t="shared" si="386"/>
        <v>0</v>
      </c>
      <c r="C61" s="106">
        <f t="shared" si="386"/>
        <v>0</v>
      </c>
      <c r="D61" s="106">
        <f t="shared" si="386"/>
        <v>0</v>
      </c>
      <c r="E61" s="106">
        <f t="shared" si="386"/>
        <v>0</v>
      </c>
      <c r="F61" s="106">
        <f t="shared" si="386"/>
        <v>0</v>
      </c>
      <c r="G61" s="106">
        <f t="shared" si="386"/>
        <v>0</v>
      </c>
      <c r="H61" s="106">
        <f t="shared" si="386"/>
        <v>0</v>
      </c>
      <c r="I61" s="106">
        <f t="shared" si="386"/>
        <v>0</v>
      </c>
      <c r="J61" s="106">
        <f t="shared" si="386"/>
        <v>0</v>
      </c>
      <c r="K61" s="106">
        <f t="shared" si="386"/>
        <v>0</v>
      </c>
      <c r="L61" s="106">
        <f t="shared" si="386"/>
        <v>0</v>
      </c>
      <c r="M61" s="106">
        <f t="shared" ref="M61:M69" si="387">+SUM(A61:L61)</f>
        <v>0</v>
      </c>
      <c r="N61" s="7" t="s">
        <v>47</v>
      </c>
      <c r="O61" s="106">
        <f t="shared" ref="O61:Z69" si="388">+BE61+CU61+EK61</f>
        <v>0</v>
      </c>
      <c r="P61" s="106">
        <f t="shared" si="388"/>
        <v>0</v>
      </c>
      <c r="Q61" s="106">
        <f t="shared" si="388"/>
        <v>0</v>
      </c>
      <c r="R61" s="106">
        <f t="shared" si="388"/>
        <v>0</v>
      </c>
      <c r="S61" s="106">
        <f t="shared" si="388"/>
        <v>0</v>
      </c>
      <c r="T61" s="106">
        <f t="shared" si="388"/>
        <v>0</v>
      </c>
      <c r="U61" s="106">
        <f t="shared" si="388"/>
        <v>0</v>
      </c>
      <c r="V61" s="106">
        <f t="shared" si="388"/>
        <v>0</v>
      </c>
      <c r="W61" s="106">
        <f t="shared" si="388"/>
        <v>0</v>
      </c>
      <c r="X61" s="106">
        <f t="shared" si="388"/>
        <v>0</v>
      </c>
      <c r="Y61" s="106">
        <f t="shared" si="388"/>
        <v>0</v>
      </c>
      <c r="Z61" s="106">
        <f t="shared" si="388"/>
        <v>0</v>
      </c>
      <c r="AA61" s="106">
        <f t="shared" ref="AA61:AA69" si="389">+SUM(O61:Z61)</f>
        <v>0</v>
      </c>
      <c r="AB61" s="118"/>
      <c r="AC61" s="106">
        <f t="shared" ref="AC61:AN69" si="390">+BS61+DI61+EY61</f>
        <v>0</v>
      </c>
      <c r="AD61" s="106">
        <f t="shared" si="390"/>
        <v>0</v>
      </c>
      <c r="AE61" s="106">
        <f t="shared" si="390"/>
        <v>0</v>
      </c>
      <c r="AF61" s="106">
        <f t="shared" si="390"/>
        <v>0</v>
      </c>
      <c r="AG61" s="106">
        <f t="shared" si="390"/>
        <v>0</v>
      </c>
      <c r="AH61" s="106">
        <f t="shared" si="390"/>
        <v>0</v>
      </c>
      <c r="AI61" s="106">
        <f t="shared" si="390"/>
        <v>0</v>
      </c>
      <c r="AJ61" s="106">
        <f t="shared" si="390"/>
        <v>0</v>
      </c>
      <c r="AK61" s="106">
        <f t="shared" si="390"/>
        <v>0</v>
      </c>
      <c r="AL61" s="106">
        <f t="shared" si="390"/>
        <v>0</v>
      </c>
      <c r="AM61" s="106">
        <f t="shared" si="390"/>
        <v>0</v>
      </c>
      <c r="AN61" s="106">
        <f t="shared" si="390"/>
        <v>0</v>
      </c>
      <c r="AO61" s="106">
        <f t="shared" ref="AO61:AO69" si="391">+SUM(AC61:AN61)</f>
        <v>0</v>
      </c>
      <c r="AP61" s="106"/>
      <c r="AQ61" s="106">
        <f>+PMGR!AQ61+BP!AQ61</f>
        <v>0</v>
      </c>
      <c r="AR61" s="106">
        <f>+PMGR!AR61+BP!AR61</f>
        <v>0</v>
      </c>
      <c r="AS61" s="106">
        <f>+PMGR!AS61+BP!AS61</f>
        <v>0</v>
      </c>
      <c r="AT61" s="106">
        <f>+PMGR!AT61+BP!AT61</f>
        <v>0</v>
      </c>
      <c r="AU61" s="106">
        <f>+PMGR!AU61+BP!AU61</f>
        <v>0</v>
      </c>
      <c r="AV61" s="106">
        <f>+PMGR!AV61+BP!AV61</f>
        <v>0</v>
      </c>
      <c r="AW61" s="106">
        <f>+PMGR!AW61+BP!AW61</f>
        <v>0</v>
      </c>
      <c r="AX61" s="106">
        <f>+PMGR!AX61+BP!AX61</f>
        <v>0</v>
      </c>
      <c r="AY61" s="106">
        <f>+PMGR!AY61+BP!AY61</f>
        <v>0</v>
      </c>
      <c r="AZ61" s="106">
        <f>+PMGR!AZ61+BP!AZ61</f>
        <v>0</v>
      </c>
      <c r="BA61" s="106">
        <f>+PMGR!BA61+BP!BA61</f>
        <v>0</v>
      </c>
      <c r="BB61" s="106">
        <f>+PMGR!BB61+BP!BB61</f>
        <v>0</v>
      </c>
      <c r="BC61" s="106">
        <f t="shared" ref="BC61:BC69" si="392">+SUM(AQ61:BB61)</f>
        <v>0</v>
      </c>
      <c r="BD61" s="7" t="str">
        <f t="shared" si="16"/>
        <v>Insurance Commission</v>
      </c>
      <c r="BE61" s="106">
        <f>+PMGR!BE61+BP!BE61</f>
        <v>0</v>
      </c>
      <c r="BF61" s="106">
        <f>+PMGR!BF61+BP!BF61</f>
        <v>0</v>
      </c>
      <c r="BG61" s="106">
        <f>+PMGR!BG61+BP!BG61</f>
        <v>0</v>
      </c>
      <c r="BH61" s="106">
        <f>+PMGR!BH61+BP!BH61</f>
        <v>0</v>
      </c>
      <c r="BI61" s="106">
        <f>+PMGR!BI61+BP!BI61</f>
        <v>0</v>
      </c>
      <c r="BJ61" s="106">
        <f>+PMGR!BJ61+BP!BJ61</f>
        <v>0</v>
      </c>
      <c r="BK61" s="106">
        <f>+PMGR!BK61+BP!BK61</f>
        <v>0</v>
      </c>
      <c r="BL61" s="106">
        <f>+PMGR!BL61+BP!BL61</f>
        <v>0</v>
      </c>
      <c r="BM61" s="106">
        <f>+PMGR!BM61+BP!BM61</f>
        <v>0</v>
      </c>
      <c r="BN61" s="106">
        <f>+PMGR!BN61+BP!BN61</f>
        <v>0</v>
      </c>
      <c r="BO61" s="106">
        <f>+PMGR!BO61+BP!BO61</f>
        <v>0</v>
      </c>
      <c r="BP61" s="106">
        <f>+PMGR!BP61+BP!BP61</f>
        <v>0</v>
      </c>
      <c r="BQ61" s="106">
        <f t="shared" ref="BQ61:BQ69" si="393">+SUM(BE61:BP61)</f>
        <v>0</v>
      </c>
      <c r="BR61" s="118"/>
      <c r="BS61" s="106">
        <f>+PMGR!BS61+BP!BS61</f>
        <v>0</v>
      </c>
      <c r="BT61" s="106">
        <f>+PMGR!BT61+BP!BT61</f>
        <v>0</v>
      </c>
      <c r="BU61" s="106">
        <f>+PMGR!BU61+BP!BU61</f>
        <v>0</v>
      </c>
      <c r="BV61" s="106">
        <f>+PMGR!BV61+BP!BV61</f>
        <v>0</v>
      </c>
      <c r="BW61" s="106">
        <f>+PMGR!BW61+BP!BW61</f>
        <v>0</v>
      </c>
      <c r="BX61" s="106">
        <f>+PMGR!BX61+BP!BX61</f>
        <v>0</v>
      </c>
      <c r="BY61" s="106">
        <f>+PMGR!BY61+BP!BY61</f>
        <v>0</v>
      </c>
      <c r="BZ61" s="106">
        <f>+PMGR!BZ61+BP!BZ61</f>
        <v>0</v>
      </c>
      <c r="CA61" s="106">
        <f>+PMGR!CA61+BP!CA61</f>
        <v>0</v>
      </c>
      <c r="CB61" s="106">
        <f>+PMGR!CB61+BP!CB61</f>
        <v>0</v>
      </c>
      <c r="CC61" s="106">
        <f>+PMGR!CC61+BP!CC61</f>
        <v>0</v>
      </c>
      <c r="CD61" s="106">
        <f>+PMGR!CD61+BP!CD61</f>
        <v>0</v>
      </c>
      <c r="CE61" s="106">
        <f t="shared" ref="CE61:CE69" si="394">+SUM(BS61:CD61)</f>
        <v>0</v>
      </c>
      <c r="CF61" s="106"/>
      <c r="CG61" s="106">
        <f>+PMGR!CG61+BP!CG61</f>
        <v>0</v>
      </c>
      <c r="CH61" s="106">
        <f>+PMGR!CH61+BP!CH61</f>
        <v>0</v>
      </c>
      <c r="CI61" s="106">
        <f>+PMGR!CI61+BP!CI61</f>
        <v>0</v>
      </c>
      <c r="CJ61" s="106">
        <f>+PMGR!CJ61+BP!CJ61</f>
        <v>0</v>
      </c>
      <c r="CK61" s="106">
        <f>+PMGR!CK61+BP!CK61</f>
        <v>0</v>
      </c>
      <c r="CL61" s="106">
        <f>+PMGR!CL61+BP!CL61</f>
        <v>0</v>
      </c>
      <c r="CM61" s="106">
        <f>+PMGR!CM61+BP!CM61</f>
        <v>0</v>
      </c>
      <c r="CN61" s="106">
        <f>+PMGR!CN61+BP!CN61</f>
        <v>0</v>
      </c>
      <c r="CO61" s="106">
        <f>+PMGR!CO61+BP!CO61</f>
        <v>0</v>
      </c>
      <c r="CP61" s="106">
        <f>+PMGR!CP61+BP!CP61</f>
        <v>0</v>
      </c>
      <c r="CQ61" s="106">
        <f>+PMGR!CQ61+BP!CQ61</f>
        <v>0</v>
      </c>
      <c r="CR61" s="106">
        <f>+PMGR!CR61+BP!CR61</f>
        <v>0</v>
      </c>
      <c r="CS61" s="106">
        <f t="shared" ref="CS61:CS69" si="395">+SUM(CG61:CR61)</f>
        <v>0</v>
      </c>
      <c r="CT61" s="7" t="str">
        <f t="shared" si="20"/>
        <v>Insurance Commission</v>
      </c>
      <c r="CU61" s="106">
        <f>+PMGR!CU61+BP!CU61</f>
        <v>0</v>
      </c>
      <c r="CV61" s="106">
        <f>+PMGR!CV61+BP!CV61</f>
        <v>0</v>
      </c>
      <c r="CW61" s="106">
        <f>+PMGR!CW61+BP!CW61</f>
        <v>0</v>
      </c>
      <c r="CX61" s="106">
        <f>+PMGR!CX61+BP!CX61</f>
        <v>0</v>
      </c>
      <c r="CY61" s="106">
        <f>+PMGR!CY61+BP!CY61</f>
        <v>0</v>
      </c>
      <c r="CZ61" s="106">
        <f>+PMGR!CZ61+BP!CZ61</f>
        <v>0</v>
      </c>
      <c r="DA61" s="106">
        <f>+PMGR!DA61+BP!DA61</f>
        <v>0</v>
      </c>
      <c r="DB61" s="106">
        <f>+PMGR!DB61+BP!DB61</f>
        <v>0</v>
      </c>
      <c r="DC61" s="106">
        <f>+PMGR!DC61+BP!DC61</f>
        <v>0</v>
      </c>
      <c r="DD61" s="106">
        <f>+PMGR!DD61+BP!DD61</f>
        <v>0</v>
      </c>
      <c r="DE61" s="106">
        <f>+PMGR!DE61+BP!DE61</f>
        <v>0</v>
      </c>
      <c r="DF61" s="106">
        <f>+PMGR!DF61+BP!DF61</f>
        <v>0</v>
      </c>
      <c r="DG61" s="106">
        <f t="shared" ref="DG61:DG69" si="396">+SUM(CU61:DF61)</f>
        <v>0</v>
      </c>
      <c r="DH61" s="118"/>
      <c r="DI61" s="106">
        <f>+PMGR!DI61+BP!DI61</f>
        <v>0</v>
      </c>
      <c r="DJ61" s="106">
        <f>+PMGR!DJ61+BP!DJ61</f>
        <v>0</v>
      </c>
      <c r="DK61" s="106">
        <f>+PMGR!DK61+BP!DK61</f>
        <v>0</v>
      </c>
      <c r="DL61" s="106">
        <f>+PMGR!DL61+BP!DL61</f>
        <v>0</v>
      </c>
      <c r="DM61" s="106">
        <f>+PMGR!DM61+BP!DM61</f>
        <v>0</v>
      </c>
      <c r="DN61" s="106">
        <f>+PMGR!DN61+BP!DN61</f>
        <v>0</v>
      </c>
      <c r="DO61" s="106">
        <f>+PMGR!DO61+BP!DO61</f>
        <v>0</v>
      </c>
      <c r="DP61" s="106">
        <f>+PMGR!DP61+BP!DP61</f>
        <v>0</v>
      </c>
      <c r="DQ61" s="106">
        <f>+PMGR!DQ61+BP!DQ61</f>
        <v>0</v>
      </c>
      <c r="DR61" s="106">
        <f>+PMGR!DR61+BP!DR61</f>
        <v>0</v>
      </c>
      <c r="DS61" s="106">
        <f>+PMGR!DS61+BP!DS61</f>
        <v>0</v>
      </c>
      <c r="DT61" s="106">
        <f>+PMGR!DT61+BP!DT61</f>
        <v>0</v>
      </c>
      <c r="DU61" s="106">
        <f t="shared" ref="DU61:DU69" si="397">+SUM(DI61:DT61)</f>
        <v>0</v>
      </c>
      <c r="DV61" s="106"/>
      <c r="DW61" s="106">
        <f>+PMGR!DW61+BP!DW61</f>
        <v>0</v>
      </c>
      <c r="DX61" s="106">
        <f>+PMGR!DX61+BP!DX61</f>
        <v>0</v>
      </c>
      <c r="DY61" s="106">
        <f>+PMGR!DY61+BP!DY61</f>
        <v>0</v>
      </c>
      <c r="DZ61" s="106">
        <f>+PMGR!DZ61+BP!DZ61</f>
        <v>0</v>
      </c>
      <c r="EA61" s="106">
        <f>+PMGR!EA61+BP!EA61</f>
        <v>0</v>
      </c>
      <c r="EB61" s="106">
        <f>+PMGR!EB61+BP!EB61</f>
        <v>0</v>
      </c>
      <c r="EC61" s="106">
        <f>+PMGR!EC61+BP!EC61</f>
        <v>0</v>
      </c>
      <c r="ED61" s="106">
        <f>+PMGR!ED61+BP!ED61</f>
        <v>0</v>
      </c>
      <c r="EE61" s="106">
        <f>+PMGR!EE61+BP!EE61</f>
        <v>0</v>
      </c>
      <c r="EF61" s="106">
        <f>+PMGR!EF61+BP!EF61</f>
        <v>0</v>
      </c>
      <c r="EG61" s="106">
        <f>+PMGR!EG61+BP!EG61</f>
        <v>0</v>
      </c>
      <c r="EH61" s="106">
        <f>+PMGR!EH61+BP!EH61</f>
        <v>0</v>
      </c>
      <c r="EI61" s="106">
        <f t="shared" ref="EI61:EI69" si="398">+SUM(DW61:EH61)</f>
        <v>0</v>
      </c>
      <c r="EJ61" s="7" t="str">
        <f t="shared" si="93"/>
        <v>Insurance Commission</v>
      </c>
      <c r="EK61" s="106">
        <f>+PMGR!EK61+BP!EK61</f>
        <v>0</v>
      </c>
      <c r="EL61" s="106">
        <f>+PMGR!EL61+BP!EL61</f>
        <v>0</v>
      </c>
      <c r="EM61" s="106">
        <f>+PMGR!EM61+BP!EM61</f>
        <v>0</v>
      </c>
      <c r="EN61" s="106">
        <f>+PMGR!EN61+BP!EN61</f>
        <v>0</v>
      </c>
      <c r="EO61" s="106">
        <f>+PMGR!EO61+BP!EO61</f>
        <v>0</v>
      </c>
      <c r="EP61" s="106">
        <f>+PMGR!EP61+BP!EP61</f>
        <v>0</v>
      </c>
      <c r="EQ61" s="106">
        <f>+PMGR!EQ61+BP!EQ61</f>
        <v>0</v>
      </c>
      <c r="ER61" s="106">
        <f>+PMGR!ER61+BP!ER61</f>
        <v>0</v>
      </c>
      <c r="ES61" s="106">
        <f>+PMGR!ES61+BP!ES61</f>
        <v>0</v>
      </c>
      <c r="ET61" s="106">
        <f>+PMGR!ET61+BP!ET61</f>
        <v>0</v>
      </c>
      <c r="EU61" s="106">
        <f>+PMGR!EU61+BP!EU61</f>
        <v>0</v>
      </c>
      <c r="EV61" s="106">
        <f>+PMGR!EV61+BP!EV61</f>
        <v>0</v>
      </c>
      <c r="EW61" s="106">
        <f t="shared" ref="EW61:EW69" si="399">+SUM(EK61:EV61)</f>
        <v>0</v>
      </c>
      <c r="EX61" s="118"/>
      <c r="EY61" s="106">
        <f>+PMGR!EY61+BP!EY61</f>
        <v>0</v>
      </c>
      <c r="EZ61" s="106">
        <f>+PMGR!EZ61+BP!EZ61</f>
        <v>0</v>
      </c>
      <c r="FA61" s="106">
        <f>+PMGR!FA61+BP!FA61</f>
        <v>0</v>
      </c>
      <c r="FB61" s="106">
        <f>+PMGR!FB61+BP!FB61</f>
        <v>0</v>
      </c>
      <c r="FC61" s="106">
        <f>+PMGR!FC61+BP!FC61</f>
        <v>0</v>
      </c>
      <c r="FD61" s="106">
        <f>+PMGR!FD61+BP!FD61</f>
        <v>0</v>
      </c>
      <c r="FE61" s="106">
        <f>+PMGR!FE61+BP!FE61</f>
        <v>0</v>
      </c>
      <c r="FF61" s="106">
        <f>+PMGR!FF61+BP!FF61</f>
        <v>0</v>
      </c>
      <c r="FG61" s="106">
        <f>+PMGR!FG61+BP!FG61</f>
        <v>0</v>
      </c>
      <c r="FH61" s="106">
        <f>+PMGR!FH61+BP!FH61</f>
        <v>0</v>
      </c>
      <c r="FI61" s="106">
        <f>+PMGR!FI61+BP!FI61</f>
        <v>0</v>
      </c>
      <c r="FJ61" s="106">
        <f>+PMGR!FJ61+BP!FJ61</f>
        <v>0</v>
      </c>
      <c r="FK61" s="106">
        <f t="shared" ref="FK61:FK69" si="400">+SUM(EY61:FJ61)</f>
        <v>0</v>
      </c>
    </row>
    <row r="62" spans="1:167" ht="14.45" hidden="1" customHeight="1" outlineLevel="1">
      <c r="A62" s="106">
        <f t="shared" si="386"/>
        <v>906324</v>
      </c>
      <c r="B62" s="106">
        <f t="shared" si="386"/>
        <v>785488</v>
      </c>
      <c r="C62" s="106">
        <f t="shared" si="386"/>
        <v>965027</v>
      </c>
      <c r="D62" s="106">
        <f t="shared" si="386"/>
        <v>631556</v>
      </c>
      <c r="E62" s="106">
        <f t="shared" si="386"/>
        <v>482871</v>
      </c>
      <c r="F62" s="106">
        <f t="shared" si="386"/>
        <v>912123</v>
      </c>
      <c r="G62" s="106">
        <f t="shared" si="386"/>
        <v>1171133</v>
      </c>
      <c r="H62" s="106">
        <f t="shared" si="386"/>
        <v>922965</v>
      </c>
      <c r="I62" s="106">
        <f t="shared" si="386"/>
        <v>918861</v>
      </c>
      <c r="J62" s="106">
        <f t="shared" si="386"/>
        <v>881933</v>
      </c>
      <c r="K62" s="106">
        <f t="shared" si="386"/>
        <v>811838</v>
      </c>
      <c r="L62" s="106">
        <f t="shared" si="386"/>
        <v>1031506</v>
      </c>
      <c r="M62" s="106">
        <f t="shared" si="387"/>
        <v>10421625</v>
      </c>
      <c r="N62" s="7" t="s">
        <v>48</v>
      </c>
      <c r="O62" s="106">
        <f t="shared" si="388"/>
        <v>1004843</v>
      </c>
      <c r="P62" s="106">
        <f t="shared" si="388"/>
        <v>729442</v>
      </c>
      <c r="Q62" s="106">
        <f t="shared" si="388"/>
        <v>1124729</v>
      </c>
      <c r="R62" s="106">
        <f t="shared" si="388"/>
        <v>478722</v>
      </c>
      <c r="S62" s="106">
        <f t="shared" si="388"/>
        <v>700542</v>
      </c>
      <c r="T62" s="106">
        <f t="shared" si="388"/>
        <v>833585</v>
      </c>
      <c r="U62" s="106">
        <f t="shared" si="388"/>
        <v>1205276</v>
      </c>
      <c r="V62" s="106">
        <f t="shared" si="388"/>
        <v>983312</v>
      </c>
      <c r="W62" s="106">
        <f t="shared" si="388"/>
        <v>792988</v>
      </c>
      <c r="X62" s="106">
        <f t="shared" si="388"/>
        <v>837390</v>
      </c>
      <c r="Y62" s="106">
        <f t="shared" si="388"/>
        <v>0</v>
      </c>
      <c r="Z62" s="106">
        <f t="shared" si="388"/>
        <v>0</v>
      </c>
      <c r="AA62" s="106">
        <f t="shared" si="389"/>
        <v>8690829</v>
      </c>
      <c r="AB62" s="118"/>
      <c r="AC62" s="106">
        <f t="shared" si="390"/>
        <v>969766.68</v>
      </c>
      <c r="AD62" s="106">
        <f t="shared" si="390"/>
        <v>840472.16</v>
      </c>
      <c r="AE62" s="106">
        <f t="shared" si="390"/>
        <v>1032578.89</v>
      </c>
      <c r="AF62" s="106">
        <f t="shared" si="390"/>
        <v>675764.92</v>
      </c>
      <c r="AG62" s="106">
        <f t="shared" si="390"/>
        <v>516671.97000000003</v>
      </c>
      <c r="AH62" s="106">
        <f t="shared" si="390"/>
        <v>975971.6100000001</v>
      </c>
      <c r="AI62" s="106">
        <f t="shared" si="390"/>
        <v>1253112.31</v>
      </c>
      <c r="AJ62" s="106">
        <f t="shared" si="390"/>
        <v>987572.55</v>
      </c>
      <c r="AK62" s="106">
        <f t="shared" si="390"/>
        <v>983181.27</v>
      </c>
      <c r="AL62" s="106">
        <f t="shared" si="390"/>
        <v>943668.31</v>
      </c>
      <c r="AM62" s="106">
        <f t="shared" si="390"/>
        <v>868666.66</v>
      </c>
      <c r="AN62" s="106">
        <f t="shared" si="390"/>
        <v>1103711.4200000002</v>
      </c>
      <c r="AO62" s="106">
        <f t="shared" si="391"/>
        <v>11151138.750000002</v>
      </c>
      <c r="AP62" s="106"/>
      <c r="AQ62" s="106">
        <f>+PMGR!AQ62+BP!AQ62</f>
        <v>906324</v>
      </c>
      <c r="AR62" s="106">
        <f>+PMGR!AR62+BP!AR62</f>
        <v>785488</v>
      </c>
      <c r="AS62" s="106">
        <f>+PMGR!AS62+BP!AS62</f>
        <v>965027</v>
      </c>
      <c r="AT62" s="106">
        <f>+PMGR!AT62+BP!AT62</f>
        <v>631556</v>
      </c>
      <c r="AU62" s="106">
        <f>+PMGR!AU62+BP!AU62</f>
        <v>482871</v>
      </c>
      <c r="AV62" s="106">
        <f>+PMGR!AV62+BP!AV62</f>
        <v>912123</v>
      </c>
      <c r="AW62" s="106">
        <f>+PMGR!AW62+BP!AW62</f>
        <v>1171133</v>
      </c>
      <c r="AX62" s="106">
        <f>+PMGR!AX62+BP!AX62</f>
        <v>922965</v>
      </c>
      <c r="AY62" s="106">
        <f>+PMGR!AY62+BP!AY62</f>
        <v>918861</v>
      </c>
      <c r="AZ62" s="106">
        <f>+PMGR!AZ62+BP!AZ62</f>
        <v>881933</v>
      </c>
      <c r="BA62" s="106">
        <f>+PMGR!BA62+BP!BA62</f>
        <v>811838</v>
      </c>
      <c r="BB62" s="106">
        <f>+PMGR!BB62+BP!BB62</f>
        <v>1031506</v>
      </c>
      <c r="BC62" s="106">
        <f t="shared" si="392"/>
        <v>10421625</v>
      </c>
      <c r="BD62" s="7" t="str">
        <f t="shared" si="16"/>
        <v>Insurance Renewal</v>
      </c>
      <c r="BE62" s="106">
        <f>+PMGR!BE62+BP!BE62</f>
        <v>1004843</v>
      </c>
      <c r="BF62" s="106">
        <f>+PMGR!BF62+BP!BF62</f>
        <v>729442</v>
      </c>
      <c r="BG62" s="106">
        <f>+PMGR!BG62+BP!BG62</f>
        <v>1124729</v>
      </c>
      <c r="BH62" s="106">
        <f>+PMGR!BH62+BP!BH62</f>
        <v>478722</v>
      </c>
      <c r="BI62" s="106">
        <f>+PMGR!BI62+BP!BI62</f>
        <v>700542</v>
      </c>
      <c r="BJ62" s="106">
        <f>+PMGR!BJ62+BP!BJ62</f>
        <v>833585</v>
      </c>
      <c r="BK62" s="106">
        <f>+PMGR!BK62+BP!BK62</f>
        <v>1205276</v>
      </c>
      <c r="BL62" s="106">
        <f>+PMGR!BL62+BP!BL62</f>
        <v>983312</v>
      </c>
      <c r="BM62" s="106">
        <f>+PMGR!BM62+BP!BM62</f>
        <v>792988</v>
      </c>
      <c r="BN62" s="106">
        <f>+PMGR!BN62+BP!BN62</f>
        <v>837390</v>
      </c>
      <c r="BO62" s="106">
        <f>+PMGR!BO62+BP!BO62</f>
        <v>0</v>
      </c>
      <c r="BP62" s="106">
        <f>+PMGR!BP62+BP!BP62</f>
        <v>0</v>
      </c>
      <c r="BQ62" s="106">
        <f t="shared" si="393"/>
        <v>8690829</v>
      </c>
      <c r="BR62" s="118"/>
      <c r="BS62" s="106">
        <f>+PMGR!BS62+BP!BS62</f>
        <v>969766.68</v>
      </c>
      <c r="BT62" s="106">
        <f>+PMGR!BT62+BP!BT62</f>
        <v>840472.16</v>
      </c>
      <c r="BU62" s="106">
        <f>+PMGR!BU62+BP!BU62</f>
        <v>1032578.89</v>
      </c>
      <c r="BV62" s="106">
        <f>+PMGR!BV62+BP!BV62</f>
        <v>675764.92</v>
      </c>
      <c r="BW62" s="106">
        <f>+PMGR!BW62+BP!BW62</f>
        <v>516671.97000000003</v>
      </c>
      <c r="BX62" s="106">
        <f>+PMGR!BX62+BP!BX62</f>
        <v>975971.6100000001</v>
      </c>
      <c r="BY62" s="106">
        <f>+PMGR!BY62+BP!BY62</f>
        <v>1253112.31</v>
      </c>
      <c r="BZ62" s="106">
        <f>+PMGR!BZ62+BP!BZ62</f>
        <v>987572.55</v>
      </c>
      <c r="CA62" s="106">
        <f>+PMGR!CA62+BP!CA62</f>
        <v>983181.27</v>
      </c>
      <c r="CB62" s="106">
        <f>+PMGR!CB62+BP!CB62</f>
        <v>943668.31</v>
      </c>
      <c r="CC62" s="106">
        <f>+PMGR!CC62+BP!CC62</f>
        <v>868666.66</v>
      </c>
      <c r="CD62" s="106">
        <f>+PMGR!CD62+BP!CD62</f>
        <v>1103711.4200000002</v>
      </c>
      <c r="CE62" s="106">
        <f t="shared" si="394"/>
        <v>11151138.750000002</v>
      </c>
      <c r="CF62" s="106"/>
      <c r="CG62" s="106">
        <f>+PMGR!CG62+BP!CG62</f>
        <v>0</v>
      </c>
      <c r="CH62" s="106">
        <f>+PMGR!CH62+BP!CH62</f>
        <v>0</v>
      </c>
      <c r="CI62" s="106">
        <f>+PMGR!CI62+BP!CI62</f>
        <v>0</v>
      </c>
      <c r="CJ62" s="106">
        <f>+PMGR!CJ62+BP!CJ62</f>
        <v>0</v>
      </c>
      <c r="CK62" s="106">
        <f>+PMGR!CK62+BP!CK62</f>
        <v>0</v>
      </c>
      <c r="CL62" s="106">
        <f>+PMGR!CL62+BP!CL62</f>
        <v>0</v>
      </c>
      <c r="CM62" s="106">
        <f>+PMGR!CM62+BP!CM62</f>
        <v>0</v>
      </c>
      <c r="CN62" s="106">
        <f>+PMGR!CN62+BP!CN62</f>
        <v>0</v>
      </c>
      <c r="CO62" s="106">
        <f>+PMGR!CO62+BP!CO62</f>
        <v>0</v>
      </c>
      <c r="CP62" s="106">
        <f>+PMGR!CP62+BP!CP62</f>
        <v>0</v>
      </c>
      <c r="CQ62" s="106">
        <f>+PMGR!CQ62+BP!CQ62</f>
        <v>0</v>
      </c>
      <c r="CR62" s="106">
        <f>+PMGR!CR62+BP!CR62</f>
        <v>0</v>
      </c>
      <c r="CS62" s="106">
        <f t="shared" si="395"/>
        <v>0</v>
      </c>
      <c r="CT62" s="7" t="str">
        <f t="shared" si="20"/>
        <v>Insurance Renewal</v>
      </c>
      <c r="CU62" s="106">
        <f>+PMGR!CU62+BP!CU62</f>
        <v>0</v>
      </c>
      <c r="CV62" s="106">
        <f>+PMGR!CV62+BP!CV62</f>
        <v>0</v>
      </c>
      <c r="CW62" s="106">
        <f>+PMGR!CW62+BP!CW62</f>
        <v>0</v>
      </c>
      <c r="CX62" s="106">
        <f>+PMGR!CX62+BP!CX62</f>
        <v>0</v>
      </c>
      <c r="CY62" s="106">
        <f>+PMGR!CY62+BP!CY62</f>
        <v>0</v>
      </c>
      <c r="CZ62" s="106">
        <f>+PMGR!CZ62+BP!CZ62</f>
        <v>0</v>
      </c>
      <c r="DA62" s="106">
        <f>+PMGR!DA62+BP!DA62</f>
        <v>0</v>
      </c>
      <c r="DB62" s="106">
        <f>+PMGR!DB62+BP!DB62</f>
        <v>0</v>
      </c>
      <c r="DC62" s="106">
        <f>+PMGR!DC62+BP!DC62</f>
        <v>0</v>
      </c>
      <c r="DD62" s="106">
        <f>+PMGR!DD62+BP!DD62</f>
        <v>0</v>
      </c>
      <c r="DE62" s="106">
        <f>+PMGR!DE62+BP!DE62</f>
        <v>0</v>
      </c>
      <c r="DF62" s="106">
        <f>+PMGR!DF62+BP!DF62</f>
        <v>0</v>
      </c>
      <c r="DG62" s="106">
        <f t="shared" si="396"/>
        <v>0</v>
      </c>
      <c r="DH62" s="118"/>
      <c r="DI62" s="106">
        <f>+PMGR!DI62+BP!DI62</f>
        <v>0</v>
      </c>
      <c r="DJ62" s="106">
        <f>+PMGR!DJ62+BP!DJ62</f>
        <v>0</v>
      </c>
      <c r="DK62" s="106">
        <f>+PMGR!DK62+BP!DK62</f>
        <v>0</v>
      </c>
      <c r="DL62" s="106">
        <f>+PMGR!DL62+BP!DL62</f>
        <v>0</v>
      </c>
      <c r="DM62" s="106">
        <f>+PMGR!DM62+BP!DM62</f>
        <v>0</v>
      </c>
      <c r="DN62" s="106">
        <f>+PMGR!DN62+BP!DN62</f>
        <v>0</v>
      </c>
      <c r="DO62" s="106">
        <f>+PMGR!DO62+BP!DO62</f>
        <v>0</v>
      </c>
      <c r="DP62" s="106">
        <f>+PMGR!DP62+BP!DP62</f>
        <v>0</v>
      </c>
      <c r="DQ62" s="106">
        <f>+PMGR!DQ62+BP!DQ62</f>
        <v>0</v>
      </c>
      <c r="DR62" s="106">
        <f>+PMGR!DR62+BP!DR62</f>
        <v>0</v>
      </c>
      <c r="DS62" s="106">
        <f>+PMGR!DS62+BP!DS62</f>
        <v>0</v>
      </c>
      <c r="DT62" s="106">
        <f>+PMGR!DT62+BP!DT62</f>
        <v>0</v>
      </c>
      <c r="DU62" s="106">
        <f t="shared" si="397"/>
        <v>0</v>
      </c>
      <c r="DV62" s="106"/>
      <c r="DW62" s="106">
        <f>+PMGR!DW62+BP!DW62</f>
        <v>0</v>
      </c>
      <c r="DX62" s="106">
        <f>+PMGR!DX62+BP!DX62</f>
        <v>0</v>
      </c>
      <c r="DY62" s="106">
        <f>+PMGR!DY62+BP!DY62</f>
        <v>0</v>
      </c>
      <c r="DZ62" s="106">
        <f>+PMGR!DZ62+BP!DZ62</f>
        <v>0</v>
      </c>
      <c r="EA62" s="106">
        <f>+PMGR!EA62+BP!EA62</f>
        <v>0</v>
      </c>
      <c r="EB62" s="106">
        <f>+PMGR!EB62+BP!EB62</f>
        <v>0</v>
      </c>
      <c r="EC62" s="106">
        <f>+PMGR!EC62+BP!EC62</f>
        <v>0</v>
      </c>
      <c r="ED62" s="106">
        <f>+PMGR!ED62+BP!ED62</f>
        <v>0</v>
      </c>
      <c r="EE62" s="106">
        <f>+PMGR!EE62+BP!EE62</f>
        <v>0</v>
      </c>
      <c r="EF62" s="106">
        <f>+PMGR!EF62+BP!EF62</f>
        <v>0</v>
      </c>
      <c r="EG62" s="106">
        <f>+PMGR!EG62+BP!EG62</f>
        <v>0</v>
      </c>
      <c r="EH62" s="106">
        <f>+PMGR!EH62+BP!EH62</f>
        <v>0</v>
      </c>
      <c r="EI62" s="106">
        <f t="shared" si="398"/>
        <v>0</v>
      </c>
      <c r="EJ62" s="7" t="str">
        <f t="shared" si="93"/>
        <v>Insurance Renewal</v>
      </c>
      <c r="EK62" s="106">
        <f>+PMGR!EK62+BP!EK62</f>
        <v>0</v>
      </c>
      <c r="EL62" s="106">
        <f>+PMGR!EL62+BP!EL62</f>
        <v>0</v>
      </c>
      <c r="EM62" s="106">
        <f>+PMGR!EM62+BP!EM62</f>
        <v>0</v>
      </c>
      <c r="EN62" s="106">
        <f>+PMGR!EN62+BP!EN62</f>
        <v>0</v>
      </c>
      <c r="EO62" s="106">
        <f>+PMGR!EO62+BP!EO62</f>
        <v>0</v>
      </c>
      <c r="EP62" s="106">
        <f>+PMGR!EP62+BP!EP62</f>
        <v>0</v>
      </c>
      <c r="EQ62" s="106">
        <f>+PMGR!EQ62+BP!EQ62</f>
        <v>0</v>
      </c>
      <c r="ER62" s="106">
        <f>+PMGR!ER62+BP!ER62</f>
        <v>0</v>
      </c>
      <c r="ES62" s="106">
        <f>+PMGR!ES62+BP!ES62</f>
        <v>0</v>
      </c>
      <c r="ET62" s="106">
        <f>+PMGR!ET62+BP!ET62</f>
        <v>0</v>
      </c>
      <c r="EU62" s="106">
        <f>+PMGR!EU62+BP!EU62</f>
        <v>0</v>
      </c>
      <c r="EV62" s="106">
        <f>+PMGR!EV62+BP!EV62</f>
        <v>0</v>
      </c>
      <c r="EW62" s="106">
        <f t="shared" si="399"/>
        <v>0</v>
      </c>
      <c r="EX62" s="118"/>
      <c r="EY62" s="106">
        <f>+PMGR!EY62+BP!EY62</f>
        <v>0</v>
      </c>
      <c r="EZ62" s="106">
        <f>+PMGR!EZ62+BP!EZ62</f>
        <v>0</v>
      </c>
      <c r="FA62" s="106">
        <f>+PMGR!FA62+BP!FA62</f>
        <v>0</v>
      </c>
      <c r="FB62" s="106">
        <f>+PMGR!FB62+BP!FB62</f>
        <v>0</v>
      </c>
      <c r="FC62" s="106">
        <f>+PMGR!FC62+BP!FC62</f>
        <v>0</v>
      </c>
      <c r="FD62" s="106">
        <f>+PMGR!FD62+BP!FD62</f>
        <v>0</v>
      </c>
      <c r="FE62" s="106">
        <f>+PMGR!FE62+BP!FE62</f>
        <v>0</v>
      </c>
      <c r="FF62" s="106">
        <f>+PMGR!FF62+BP!FF62</f>
        <v>0</v>
      </c>
      <c r="FG62" s="106">
        <f>+PMGR!FG62+BP!FG62</f>
        <v>0</v>
      </c>
      <c r="FH62" s="106">
        <f>+PMGR!FH62+BP!FH62</f>
        <v>0</v>
      </c>
      <c r="FI62" s="106">
        <f>+PMGR!FI62+BP!FI62</f>
        <v>0</v>
      </c>
      <c r="FJ62" s="106">
        <f>+PMGR!FJ62+BP!FJ62</f>
        <v>0</v>
      </c>
      <c r="FK62" s="106">
        <f t="shared" si="400"/>
        <v>0</v>
      </c>
    </row>
    <row r="63" spans="1:167" ht="14.45" hidden="1" customHeight="1" outlineLevel="1">
      <c r="A63" s="106">
        <f t="shared" si="386"/>
        <v>0</v>
      </c>
      <c r="B63" s="106">
        <f t="shared" si="386"/>
        <v>0</v>
      </c>
      <c r="C63" s="106">
        <f t="shared" si="386"/>
        <v>0</v>
      </c>
      <c r="D63" s="106">
        <f t="shared" si="386"/>
        <v>0</v>
      </c>
      <c r="E63" s="106">
        <f t="shared" si="386"/>
        <v>0</v>
      </c>
      <c r="F63" s="106">
        <f t="shared" si="386"/>
        <v>0</v>
      </c>
      <c r="G63" s="106">
        <f t="shared" si="386"/>
        <v>0</v>
      </c>
      <c r="H63" s="106">
        <f t="shared" si="386"/>
        <v>0</v>
      </c>
      <c r="I63" s="106">
        <f t="shared" si="386"/>
        <v>0</v>
      </c>
      <c r="J63" s="106">
        <f t="shared" si="386"/>
        <v>0</v>
      </c>
      <c r="K63" s="106">
        <f t="shared" si="386"/>
        <v>0</v>
      </c>
      <c r="L63" s="106">
        <f t="shared" si="386"/>
        <v>0</v>
      </c>
      <c r="M63" s="106">
        <f t="shared" si="387"/>
        <v>0</v>
      </c>
      <c r="N63" s="7" t="s">
        <v>49</v>
      </c>
      <c r="O63" s="106">
        <f t="shared" si="388"/>
        <v>0</v>
      </c>
      <c r="P63" s="106">
        <f t="shared" si="388"/>
        <v>0</v>
      </c>
      <c r="Q63" s="106">
        <f t="shared" si="388"/>
        <v>0</v>
      </c>
      <c r="R63" s="106">
        <f t="shared" si="388"/>
        <v>0</v>
      </c>
      <c r="S63" s="106">
        <f t="shared" si="388"/>
        <v>0</v>
      </c>
      <c r="T63" s="106">
        <f t="shared" si="388"/>
        <v>0</v>
      </c>
      <c r="U63" s="106">
        <f t="shared" si="388"/>
        <v>0</v>
      </c>
      <c r="V63" s="106">
        <f t="shared" si="388"/>
        <v>0</v>
      </c>
      <c r="W63" s="106">
        <f t="shared" si="388"/>
        <v>0</v>
      </c>
      <c r="X63" s="106">
        <f t="shared" si="388"/>
        <v>0</v>
      </c>
      <c r="Y63" s="106">
        <f t="shared" si="388"/>
        <v>0</v>
      </c>
      <c r="Z63" s="106">
        <f t="shared" si="388"/>
        <v>0</v>
      </c>
      <c r="AA63" s="106">
        <f t="shared" si="389"/>
        <v>0</v>
      </c>
      <c r="AB63" s="118"/>
      <c r="AC63" s="106">
        <f t="shared" si="390"/>
        <v>0</v>
      </c>
      <c r="AD63" s="106">
        <f t="shared" si="390"/>
        <v>0</v>
      </c>
      <c r="AE63" s="106">
        <f t="shared" si="390"/>
        <v>0</v>
      </c>
      <c r="AF63" s="106">
        <f t="shared" si="390"/>
        <v>0</v>
      </c>
      <c r="AG63" s="106">
        <f t="shared" si="390"/>
        <v>0</v>
      </c>
      <c r="AH63" s="106">
        <f t="shared" si="390"/>
        <v>0</v>
      </c>
      <c r="AI63" s="106">
        <f t="shared" si="390"/>
        <v>0</v>
      </c>
      <c r="AJ63" s="106">
        <f t="shared" si="390"/>
        <v>0</v>
      </c>
      <c r="AK63" s="106">
        <f t="shared" si="390"/>
        <v>0</v>
      </c>
      <c r="AL63" s="106">
        <f t="shared" si="390"/>
        <v>0</v>
      </c>
      <c r="AM63" s="106">
        <f t="shared" si="390"/>
        <v>0</v>
      </c>
      <c r="AN63" s="106">
        <f t="shared" si="390"/>
        <v>0</v>
      </c>
      <c r="AO63" s="106">
        <f t="shared" si="391"/>
        <v>0</v>
      </c>
      <c r="AP63" s="106"/>
      <c r="AQ63" s="106">
        <f>+PMGR!AQ63+BP!AQ63</f>
        <v>0</v>
      </c>
      <c r="AR63" s="106">
        <f>+PMGR!AR63+BP!AR63</f>
        <v>0</v>
      </c>
      <c r="AS63" s="106">
        <f>+PMGR!AS63+BP!AS63</f>
        <v>0</v>
      </c>
      <c r="AT63" s="106">
        <f>+PMGR!AT63+BP!AT63</f>
        <v>0</v>
      </c>
      <c r="AU63" s="106">
        <f>+PMGR!AU63+BP!AU63</f>
        <v>0</v>
      </c>
      <c r="AV63" s="106">
        <f>+PMGR!AV63+BP!AV63</f>
        <v>0</v>
      </c>
      <c r="AW63" s="106">
        <f>+PMGR!AW63+BP!AW63</f>
        <v>0</v>
      </c>
      <c r="AX63" s="106">
        <f>+PMGR!AX63+BP!AX63</f>
        <v>0</v>
      </c>
      <c r="AY63" s="106">
        <f>+PMGR!AY63+BP!AY63</f>
        <v>0</v>
      </c>
      <c r="AZ63" s="106">
        <f>+PMGR!AZ63+BP!AZ63</f>
        <v>0</v>
      </c>
      <c r="BA63" s="106">
        <f>+PMGR!BA63+BP!BA63</f>
        <v>0</v>
      </c>
      <c r="BB63" s="106">
        <f>+PMGR!BB63+BP!BB63</f>
        <v>0</v>
      </c>
      <c r="BC63" s="106">
        <f t="shared" si="392"/>
        <v>0</v>
      </c>
      <c r="BD63" s="7" t="str">
        <f t="shared" si="16"/>
        <v>Finance Commission</v>
      </c>
      <c r="BE63" s="106">
        <f>+PMGR!BE63+BP!BE63</f>
        <v>0</v>
      </c>
      <c r="BF63" s="106">
        <f>+PMGR!BF63+BP!BF63</f>
        <v>0</v>
      </c>
      <c r="BG63" s="106">
        <f>+PMGR!BG63+BP!BG63</f>
        <v>0</v>
      </c>
      <c r="BH63" s="106">
        <f>+PMGR!BH63+BP!BH63</f>
        <v>0</v>
      </c>
      <c r="BI63" s="106">
        <f>+PMGR!BI63+BP!BI63</f>
        <v>0</v>
      </c>
      <c r="BJ63" s="106">
        <f>+PMGR!BJ63+BP!BJ63</f>
        <v>0</v>
      </c>
      <c r="BK63" s="106">
        <f>+PMGR!BK63+BP!BK63</f>
        <v>0</v>
      </c>
      <c r="BL63" s="106">
        <f>+PMGR!BL63+BP!BL63</f>
        <v>0</v>
      </c>
      <c r="BM63" s="106">
        <f>+PMGR!BM63+BP!BM63</f>
        <v>0</v>
      </c>
      <c r="BN63" s="106">
        <f>+PMGR!BN63+BP!BN63</f>
        <v>0</v>
      </c>
      <c r="BO63" s="106">
        <f>+PMGR!BO63+BP!BO63</f>
        <v>0</v>
      </c>
      <c r="BP63" s="106">
        <f>+PMGR!BP63+BP!BP63</f>
        <v>0</v>
      </c>
      <c r="BQ63" s="106">
        <f t="shared" si="393"/>
        <v>0</v>
      </c>
      <c r="BR63" s="118"/>
      <c r="BS63" s="106">
        <f>+PMGR!BS63+BP!BS63</f>
        <v>0</v>
      </c>
      <c r="BT63" s="106">
        <f>+PMGR!BT63+BP!BT63</f>
        <v>0</v>
      </c>
      <c r="BU63" s="106">
        <f>+PMGR!BU63+BP!BU63</f>
        <v>0</v>
      </c>
      <c r="BV63" s="106">
        <f>+PMGR!BV63+BP!BV63</f>
        <v>0</v>
      </c>
      <c r="BW63" s="106">
        <f>+PMGR!BW63+BP!BW63</f>
        <v>0</v>
      </c>
      <c r="BX63" s="106">
        <f>+PMGR!BX63+BP!BX63</f>
        <v>0</v>
      </c>
      <c r="BY63" s="106">
        <f>+PMGR!BY63+BP!BY63</f>
        <v>0</v>
      </c>
      <c r="BZ63" s="106">
        <f>+PMGR!BZ63+BP!BZ63</f>
        <v>0</v>
      </c>
      <c r="CA63" s="106">
        <f>+PMGR!CA63+BP!CA63</f>
        <v>0</v>
      </c>
      <c r="CB63" s="106">
        <f>+PMGR!CB63+BP!CB63</f>
        <v>0</v>
      </c>
      <c r="CC63" s="106">
        <f>+PMGR!CC63+BP!CC63</f>
        <v>0</v>
      </c>
      <c r="CD63" s="106">
        <f>+PMGR!CD63+BP!CD63</f>
        <v>0</v>
      </c>
      <c r="CE63" s="106">
        <f t="shared" si="394"/>
        <v>0</v>
      </c>
      <c r="CF63" s="106"/>
      <c r="CG63" s="106">
        <f>+PMGR!CG63+BP!CG63</f>
        <v>0</v>
      </c>
      <c r="CH63" s="106">
        <f>+PMGR!CH63+BP!CH63</f>
        <v>0</v>
      </c>
      <c r="CI63" s="106">
        <f>+PMGR!CI63+BP!CI63</f>
        <v>0</v>
      </c>
      <c r="CJ63" s="106">
        <f>+PMGR!CJ63+BP!CJ63</f>
        <v>0</v>
      </c>
      <c r="CK63" s="106">
        <f>+PMGR!CK63+BP!CK63</f>
        <v>0</v>
      </c>
      <c r="CL63" s="106">
        <f>+PMGR!CL63+BP!CL63</f>
        <v>0</v>
      </c>
      <c r="CM63" s="106">
        <f>+PMGR!CM63+BP!CM63</f>
        <v>0</v>
      </c>
      <c r="CN63" s="106">
        <f>+PMGR!CN63+BP!CN63</f>
        <v>0</v>
      </c>
      <c r="CO63" s="106">
        <f>+PMGR!CO63+BP!CO63</f>
        <v>0</v>
      </c>
      <c r="CP63" s="106">
        <f>+PMGR!CP63+BP!CP63</f>
        <v>0</v>
      </c>
      <c r="CQ63" s="106">
        <f>+PMGR!CQ63+BP!CQ63</f>
        <v>0</v>
      </c>
      <c r="CR63" s="106">
        <f>+PMGR!CR63+BP!CR63</f>
        <v>0</v>
      </c>
      <c r="CS63" s="106">
        <f t="shared" si="395"/>
        <v>0</v>
      </c>
      <c r="CT63" s="7" t="str">
        <f t="shared" si="20"/>
        <v>Finance Commission</v>
      </c>
      <c r="CU63" s="106">
        <f>+PMGR!CU63+BP!CU63</f>
        <v>0</v>
      </c>
      <c r="CV63" s="106">
        <f>+PMGR!CV63+BP!CV63</f>
        <v>0</v>
      </c>
      <c r="CW63" s="106">
        <f>+PMGR!CW63+BP!CW63</f>
        <v>0</v>
      </c>
      <c r="CX63" s="106">
        <f>+PMGR!CX63+BP!CX63</f>
        <v>0</v>
      </c>
      <c r="CY63" s="106">
        <f>+PMGR!CY63+BP!CY63</f>
        <v>0</v>
      </c>
      <c r="CZ63" s="106">
        <f>+PMGR!CZ63+BP!CZ63</f>
        <v>0</v>
      </c>
      <c r="DA63" s="106">
        <f>+PMGR!DA63+BP!DA63</f>
        <v>0</v>
      </c>
      <c r="DB63" s="106">
        <f>+PMGR!DB63+BP!DB63</f>
        <v>0</v>
      </c>
      <c r="DC63" s="106">
        <f>+PMGR!DC63+BP!DC63</f>
        <v>0</v>
      </c>
      <c r="DD63" s="106">
        <f>+PMGR!DD63+BP!DD63</f>
        <v>0</v>
      </c>
      <c r="DE63" s="106">
        <f>+PMGR!DE63+BP!DE63</f>
        <v>0</v>
      </c>
      <c r="DF63" s="106">
        <f>+PMGR!DF63+BP!DF63</f>
        <v>0</v>
      </c>
      <c r="DG63" s="106">
        <f t="shared" si="396"/>
        <v>0</v>
      </c>
      <c r="DH63" s="118"/>
      <c r="DI63" s="106">
        <f>+PMGR!DI63+BP!DI63</f>
        <v>0</v>
      </c>
      <c r="DJ63" s="106">
        <f>+PMGR!DJ63+BP!DJ63</f>
        <v>0</v>
      </c>
      <c r="DK63" s="106">
        <f>+PMGR!DK63+BP!DK63</f>
        <v>0</v>
      </c>
      <c r="DL63" s="106">
        <f>+PMGR!DL63+BP!DL63</f>
        <v>0</v>
      </c>
      <c r="DM63" s="106">
        <f>+PMGR!DM63+BP!DM63</f>
        <v>0</v>
      </c>
      <c r="DN63" s="106">
        <f>+PMGR!DN63+BP!DN63</f>
        <v>0</v>
      </c>
      <c r="DO63" s="106">
        <f>+PMGR!DO63+BP!DO63</f>
        <v>0</v>
      </c>
      <c r="DP63" s="106">
        <f>+PMGR!DP63+BP!DP63</f>
        <v>0</v>
      </c>
      <c r="DQ63" s="106">
        <f>+PMGR!DQ63+BP!DQ63</f>
        <v>0</v>
      </c>
      <c r="DR63" s="106">
        <f>+PMGR!DR63+BP!DR63</f>
        <v>0</v>
      </c>
      <c r="DS63" s="106">
        <f>+PMGR!DS63+BP!DS63</f>
        <v>0</v>
      </c>
      <c r="DT63" s="106">
        <f>+PMGR!DT63+BP!DT63</f>
        <v>0</v>
      </c>
      <c r="DU63" s="106">
        <f t="shared" si="397"/>
        <v>0</v>
      </c>
      <c r="DV63" s="106"/>
      <c r="DW63" s="106">
        <f>+PMGR!DW63+BP!DW63</f>
        <v>0</v>
      </c>
      <c r="DX63" s="106">
        <f>+PMGR!DX63+BP!DX63</f>
        <v>0</v>
      </c>
      <c r="DY63" s="106">
        <f>+PMGR!DY63+BP!DY63</f>
        <v>0</v>
      </c>
      <c r="DZ63" s="106">
        <f>+PMGR!DZ63+BP!DZ63</f>
        <v>0</v>
      </c>
      <c r="EA63" s="106">
        <f>+PMGR!EA63+BP!EA63</f>
        <v>0</v>
      </c>
      <c r="EB63" s="106">
        <f>+PMGR!EB63+BP!EB63</f>
        <v>0</v>
      </c>
      <c r="EC63" s="106">
        <f>+PMGR!EC63+BP!EC63</f>
        <v>0</v>
      </c>
      <c r="ED63" s="106">
        <f>+PMGR!ED63+BP!ED63</f>
        <v>0</v>
      </c>
      <c r="EE63" s="106">
        <f>+PMGR!EE63+BP!EE63</f>
        <v>0</v>
      </c>
      <c r="EF63" s="106">
        <f>+PMGR!EF63+BP!EF63</f>
        <v>0</v>
      </c>
      <c r="EG63" s="106">
        <f>+PMGR!EG63+BP!EG63</f>
        <v>0</v>
      </c>
      <c r="EH63" s="106">
        <f>+PMGR!EH63+BP!EH63</f>
        <v>0</v>
      </c>
      <c r="EI63" s="106">
        <f t="shared" si="398"/>
        <v>0</v>
      </c>
      <c r="EJ63" s="7" t="str">
        <f t="shared" si="93"/>
        <v>Finance Commission</v>
      </c>
      <c r="EK63" s="106">
        <f>+PMGR!EK63+BP!EK63</f>
        <v>0</v>
      </c>
      <c r="EL63" s="106">
        <f>+PMGR!EL63+BP!EL63</f>
        <v>0</v>
      </c>
      <c r="EM63" s="106">
        <f>+PMGR!EM63+BP!EM63</f>
        <v>0</v>
      </c>
      <c r="EN63" s="106">
        <f>+PMGR!EN63+BP!EN63</f>
        <v>0</v>
      </c>
      <c r="EO63" s="106">
        <f>+PMGR!EO63+BP!EO63</f>
        <v>0</v>
      </c>
      <c r="EP63" s="106">
        <f>+PMGR!EP63+BP!EP63</f>
        <v>0</v>
      </c>
      <c r="EQ63" s="106">
        <f>+PMGR!EQ63+BP!EQ63</f>
        <v>0</v>
      </c>
      <c r="ER63" s="106">
        <f>+PMGR!ER63+BP!ER63</f>
        <v>0</v>
      </c>
      <c r="ES63" s="106">
        <f>+PMGR!ES63+BP!ES63</f>
        <v>0</v>
      </c>
      <c r="ET63" s="106">
        <f>+PMGR!ET63+BP!ET63</f>
        <v>0</v>
      </c>
      <c r="EU63" s="106">
        <f>+PMGR!EU63+BP!EU63</f>
        <v>0</v>
      </c>
      <c r="EV63" s="106">
        <f>+PMGR!EV63+BP!EV63</f>
        <v>0</v>
      </c>
      <c r="EW63" s="106">
        <f t="shared" si="399"/>
        <v>0</v>
      </c>
      <c r="EX63" s="118"/>
      <c r="EY63" s="106">
        <f>+PMGR!EY63+BP!EY63</f>
        <v>0</v>
      </c>
      <c r="EZ63" s="106">
        <f>+PMGR!EZ63+BP!EZ63</f>
        <v>0</v>
      </c>
      <c r="FA63" s="106">
        <f>+PMGR!FA63+BP!FA63</f>
        <v>0</v>
      </c>
      <c r="FB63" s="106">
        <f>+PMGR!FB63+BP!FB63</f>
        <v>0</v>
      </c>
      <c r="FC63" s="106">
        <f>+PMGR!FC63+BP!FC63</f>
        <v>0</v>
      </c>
      <c r="FD63" s="106">
        <f>+PMGR!FD63+BP!FD63</f>
        <v>0</v>
      </c>
      <c r="FE63" s="106">
        <f>+PMGR!FE63+BP!FE63</f>
        <v>0</v>
      </c>
      <c r="FF63" s="106">
        <f>+PMGR!FF63+BP!FF63</f>
        <v>0</v>
      </c>
      <c r="FG63" s="106">
        <f>+PMGR!FG63+BP!FG63</f>
        <v>0</v>
      </c>
      <c r="FH63" s="106">
        <f>+PMGR!FH63+BP!FH63</f>
        <v>0</v>
      </c>
      <c r="FI63" s="106">
        <f>+PMGR!FI63+BP!FI63</f>
        <v>0</v>
      </c>
      <c r="FJ63" s="106">
        <f>+PMGR!FJ63+BP!FJ63</f>
        <v>0</v>
      </c>
      <c r="FK63" s="106">
        <f t="shared" si="400"/>
        <v>0</v>
      </c>
    </row>
    <row r="64" spans="1:167" ht="14.45" hidden="1" customHeight="1" outlineLevel="1">
      <c r="A64" s="106">
        <f t="shared" si="386"/>
        <v>0</v>
      </c>
      <c r="B64" s="106">
        <f t="shared" si="386"/>
        <v>0</v>
      </c>
      <c r="C64" s="106">
        <f t="shared" si="386"/>
        <v>0</v>
      </c>
      <c r="D64" s="106">
        <f t="shared" si="386"/>
        <v>0</v>
      </c>
      <c r="E64" s="106">
        <f t="shared" si="386"/>
        <v>0</v>
      </c>
      <c r="F64" s="106">
        <f t="shared" si="386"/>
        <v>0</v>
      </c>
      <c r="G64" s="106">
        <f t="shared" si="386"/>
        <v>0</v>
      </c>
      <c r="H64" s="106">
        <f t="shared" si="386"/>
        <v>0</v>
      </c>
      <c r="I64" s="106">
        <f t="shared" si="386"/>
        <v>0</v>
      </c>
      <c r="J64" s="106">
        <f t="shared" si="386"/>
        <v>0</v>
      </c>
      <c r="K64" s="106">
        <f t="shared" si="386"/>
        <v>0</v>
      </c>
      <c r="L64" s="106">
        <f t="shared" si="386"/>
        <v>0</v>
      </c>
      <c r="M64" s="106">
        <f t="shared" si="387"/>
        <v>0</v>
      </c>
      <c r="N64" s="7" t="s">
        <v>50</v>
      </c>
      <c r="O64" s="106">
        <f t="shared" si="388"/>
        <v>0</v>
      </c>
      <c r="P64" s="106">
        <f t="shared" si="388"/>
        <v>0</v>
      </c>
      <c r="Q64" s="106">
        <f t="shared" si="388"/>
        <v>0</v>
      </c>
      <c r="R64" s="106">
        <f t="shared" si="388"/>
        <v>0</v>
      </c>
      <c r="S64" s="106">
        <f t="shared" si="388"/>
        <v>0</v>
      </c>
      <c r="T64" s="106">
        <f t="shared" si="388"/>
        <v>0</v>
      </c>
      <c r="U64" s="106">
        <f t="shared" si="388"/>
        <v>0</v>
      </c>
      <c r="V64" s="106">
        <f t="shared" si="388"/>
        <v>0</v>
      </c>
      <c r="W64" s="106">
        <f t="shared" si="388"/>
        <v>0</v>
      </c>
      <c r="X64" s="106">
        <f t="shared" si="388"/>
        <v>0</v>
      </c>
      <c r="Y64" s="106">
        <f t="shared" si="388"/>
        <v>0</v>
      </c>
      <c r="Z64" s="106">
        <f t="shared" si="388"/>
        <v>0</v>
      </c>
      <c r="AA64" s="106">
        <f t="shared" si="389"/>
        <v>0</v>
      </c>
      <c r="AB64" s="118"/>
      <c r="AC64" s="106">
        <f t="shared" si="390"/>
        <v>0</v>
      </c>
      <c r="AD64" s="106">
        <f t="shared" si="390"/>
        <v>0</v>
      </c>
      <c r="AE64" s="106">
        <f t="shared" si="390"/>
        <v>0</v>
      </c>
      <c r="AF64" s="106">
        <f t="shared" si="390"/>
        <v>0</v>
      </c>
      <c r="AG64" s="106">
        <f t="shared" si="390"/>
        <v>0</v>
      </c>
      <c r="AH64" s="106">
        <f t="shared" si="390"/>
        <v>0</v>
      </c>
      <c r="AI64" s="106">
        <f t="shared" si="390"/>
        <v>0</v>
      </c>
      <c r="AJ64" s="106">
        <f t="shared" si="390"/>
        <v>0</v>
      </c>
      <c r="AK64" s="106">
        <f t="shared" si="390"/>
        <v>0</v>
      </c>
      <c r="AL64" s="106">
        <f t="shared" si="390"/>
        <v>0</v>
      </c>
      <c r="AM64" s="106">
        <f t="shared" si="390"/>
        <v>0</v>
      </c>
      <c r="AN64" s="106">
        <f t="shared" si="390"/>
        <v>0</v>
      </c>
      <c r="AO64" s="106">
        <f t="shared" si="391"/>
        <v>0</v>
      </c>
      <c r="AP64" s="106"/>
      <c r="AQ64" s="106">
        <f>+PMGR!AQ64+BP!AQ64</f>
        <v>0</v>
      </c>
      <c r="AR64" s="106">
        <f>+PMGR!AR64+BP!AR64</f>
        <v>0</v>
      </c>
      <c r="AS64" s="106">
        <f>+PMGR!AS64+BP!AS64</f>
        <v>0</v>
      </c>
      <c r="AT64" s="106">
        <f>+PMGR!AT64+BP!AT64</f>
        <v>0</v>
      </c>
      <c r="AU64" s="106">
        <f>+PMGR!AU64+BP!AU64</f>
        <v>0</v>
      </c>
      <c r="AV64" s="106">
        <f>+PMGR!AV64+BP!AV64</f>
        <v>0</v>
      </c>
      <c r="AW64" s="106">
        <f>+PMGR!AW64+BP!AW64</f>
        <v>0</v>
      </c>
      <c r="AX64" s="106">
        <f>+PMGR!AX64+BP!AX64</f>
        <v>0</v>
      </c>
      <c r="AY64" s="106">
        <f>+PMGR!AY64+BP!AY64</f>
        <v>0</v>
      </c>
      <c r="AZ64" s="106">
        <f>+PMGR!AZ64+BP!AZ64</f>
        <v>0</v>
      </c>
      <c r="BA64" s="106">
        <f>+PMGR!BA64+BP!BA64</f>
        <v>0</v>
      </c>
      <c r="BB64" s="106">
        <f>+PMGR!BB64+BP!BB64</f>
        <v>0</v>
      </c>
      <c r="BC64" s="106">
        <f t="shared" si="392"/>
        <v>0</v>
      </c>
      <c r="BD64" s="7" t="str">
        <f t="shared" si="16"/>
        <v>Dealer Incentive</v>
      </c>
      <c r="BE64" s="106">
        <f>+PMGR!BE64+BP!BE64</f>
        <v>0</v>
      </c>
      <c r="BF64" s="106">
        <f>+PMGR!BF64+BP!BF64</f>
        <v>0</v>
      </c>
      <c r="BG64" s="106">
        <f>+PMGR!BG64+BP!BG64</f>
        <v>0</v>
      </c>
      <c r="BH64" s="106">
        <f>+PMGR!BH64+BP!BH64</f>
        <v>0</v>
      </c>
      <c r="BI64" s="106">
        <f>+PMGR!BI64+BP!BI64</f>
        <v>0</v>
      </c>
      <c r="BJ64" s="106">
        <f>+PMGR!BJ64+BP!BJ64</f>
        <v>0</v>
      </c>
      <c r="BK64" s="106">
        <f>+PMGR!BK64+BP!BK64</f>
        <v>0</v>
      </c>
      <c r="BL64" s="106">
        <f>+PMGR!BL64+BP!BL64</f>
        <v>0</v>
      </c>
      <c r="BM64" s="106">
        <f>+PMGR!BM64+BP!BM64</f>
        <v>0</v>
      </c>
      <c r="BN64" s="106">
        <f>+PMGR!BN64+BP!BN64</f>
        <v>0</v>
      </c>
      <c r="BO64" s="106">
        <f>+PMGR!BO64+BP!BO64</f>
        <v>0</v>
      </c>
      <c r="BP64" s="106">
        <f>+PMGR!BP64+BP!BP64</f>
        <v>0</v>
      </c>
      <c r="BQ64" s="106">
        <f t="shared" si="393"/>
        <v>0</v>
      </c>
      <c r="BR64" s="118"/>
      <c r="BS64" s="106">
        <f>+PMGR!BS64+BP!BS64</f>
        <v>0</v>
      </c>
      <c r="BT64" s="106">
        <f>+PMGR!BT64+BP!BT64</f>
        <v>0</v>
      </c>
      <c r="BU64" s="106">
        <f>+PMGR!BU64+BP!BU64</f>
        <v>0</v>
      </c>
      <c r="BV64" s="106">
        <f>+PMGR!BV64+BP!BV64</f>
        <v>0</v>
      </c>
      <c r="BW64" s="106">
        <f>+PMGR!BW64+BP!BW64</f>
        <v>0</v>
      </c>
      <c r="BX64" s="106">
        <f>+PMGR!BX64+BP!BX64</f>
        <v>0</v>
      </c>
      <c r="BY64" s="106">
        <f>+PMGR!BY64+BP!BY64</f>
        <v>0</v>
      </c>
      <c r="BZ64" s="106">
        <f>+PMGR!BZ64+BP!BZ64</f>
        <v>0</v>
      </c>
      <c r="CA64" s="106">
        <f>+PMGR!CA64+BP!CA64</f>
        <v>0</v>
      </c>
      <c r="CB64" s="106">
        <f>+PMGR!CB64+BP!CB64</f>
        <v>0</v>
      </c>
      <c r="CC64" s="106">
        <f>+PMGR!CC64+BP!CC64</f>
        <v>0</v>
      </c>
      <c r="CD64" s="106">
        <f>+PMGR!CD64+BP!CD64</f>
        <v>0</v>
      </c>
      <c r="CE64" s="106">
        <f t="shared" si="394"/>
        <v>0</v>
      </c>
      <c r="CF64" s="106"/>
      <c r="CG64" s="106">
        <f>+PMGR!CG64+BP!CG64</f>
        <v>0</v>
      </c>
      <c r="CH64" s="106">
        <f>+PMGR!CH64+BP!CH64</f>
        <v>0</v>
      </c>
      <c r="CI64" s="106">
        <f>+PMGR!CI64+BP!CI64</f>
        <v>0</v>
      </c>
      <c r="CJ64" s="106">
        <f>+PMGR!CJ64+BP!CJ64</f>
        <v>0</v>
      </c>
      <c r="CK64" s="106">
        <f>+PMGR!CK64+BP!CK64</f>
        <v>0</v>
      </c>
      <c r="CL64" s="106">
        <f>+PMGR!CL64+BP!CL64</f>
        <v>0</v>
      </c>
      <c r="CM64" s="106">
        <f>+PMGR!CM64+BP!CM64</f>
        <v>0</v>
      </c>
      <c r="CN64" s="106">
        <f>+PMGR!CN64+BP!CN64</f>
        <v>0</v>
      </c>
      <c r="CO64" s="106">
        <f>+PMGR!CO64+BP!CO64</f>
        <v>0</v>
      </c>
      <c r="CP64" s="106">
        <f>+PMGR!CP64+BP!CP64</f>
        <v>0</v>
      </c>
      <c r="CQ64" s="106">
        <f>+PMGR!CQ64+BP!CQ64</f>
        <v>0</v>
      </c>
      <c r="CR64" s="106">
        <f>+PMGR!CR64+BP!CR64</f>
        <v>0</v>
      </c>
      <c r="CS64" s="106">
        <f t="shared" si="395"/>
        <v>0</v>
      </c>
      <c r="CT64" s="7" t="str">
        <f t="shared" si="20"/>
        <v>Dealer Incentive</v>
      </c>
      <c r="CU64" s="106">
        <f>+PMGR!CU64+BP!CU64</f>
        <v>0</v>
      </c>
      <c r="CV64" s="106">
        <f>+PMGR!CV64+BP!CV64</f>
        <v>0</v>
      </c>
      <c r="CW64" s="106">
        <f>+PMGR!CW64+BP!CW64</f>
        <v>0</v>
      </c>
      <c r="CX64" s="106">
        <f>+PMGR!CX64+BP!CX64</f>
        <v>0</v>
      </c>
      <c r="CY64" s="106">
        <f>+PMGR!CY64+BP!CY64</f>
        <v>0</v>
      </c>
      <c r="CZ64" s="106">
        <f>+PMGR!CZ64+BP!CZ64</f>
        <v>0</v>
      </c>
      <c r="DA64" s="106">
        <f>+PMGR!DA64+BP!DA64</f>
        <v>0</v>
      </c>
      <c r="DB64" s="106">
        <f>+PMGR!DB64+BP!DB64</f>
        <v>0</v>
      </c>
      <c r="DC64" s="106">
        <f>+PMGR!DC64+BP!DC64</f>
        <v>0</v>
      </c>
      <c r="DD64" s="106">
        <f>+PMGR!DD64+BP!DD64</f>
        <v>0</v>
      </c>
      <c r="DE64" s="106">
        <f>+PMGR!DE64+BP!DE64</f>
        <v>0</v>
      </c>
      <c r="DF64" s="106">
        <f>+PMGR!DF64+BP!DF64</f>
        <v>0</v>
      </c>
      <c r="DG64" s="106">
        <f t="shared" si="396"/>
        <v>0</v>
      </c>
      <c r="DH64" s="118"/>
      <c r="DI64" s="106">
        <f>+PMGR!DI64+BP!DI64</f>
        <v>0</v>
      </c>
      <c r="DJ64" s="106">
        <f>+PMGR!DJ64+BP!DJ64</f>
        <v>0</v>
      </c>
      <c r="DK64" s="106">
        <f>+PMGR!DK64+BP!DK64</f>
        <v>0</v>
      </c>
      <c r="DL64" s="106">
        <f>+PMGR!DL64+BP!DL64</f>
        <v>0</v>
      </c>
      <c r="DM64" s="106">
        <f>+PMGR!DM64+BP!DM64</f>
        <v>0</v>
      </c>
      <c r="DN64" s="106">
        <f>+PMGR!DN64+BP!DN64</f>
        <v>0</v>
      </c>
      <c r="DO64" s="106">
        <f>+PMGR!DO64+BP!DO64</f>
        <v>0</v>
      </c>
      <c r="DP64" s="106">
        <f>+PMGR!DP64+BP!DP64</f>
        <v>0</v>
      </c>
      <c r="DQ64" s="106">
        <f>+PMGR!DQ64+BP!DQ64</f>
        <v>0</v>
      </c>
      <c r="DR64" s="106">
        <f>+PMGR!DR64+BP!DR64</f>
        <v>0</v>
      </c>
      <c r="DS64" s="106">
        <f>+PMGR!DS64+BP!DS64</f>
        <v>0</v>
      </c>
      <c r="DT64" s="106">
        <f>+PMGR!DT64+BP!DT64</f>
        <v>0</v>
      </c>
      <c r="DU64" s="106">
        <f t="shared" si="397"/>
        <v>0</v>
      </c>
      <c r="DV64" s="106"/>
      <c r="DW64" s="106">
        <f>+PMGR!DW64+BP!DW64</f>
        <v>0</v>
      </c>
      <c r="DX64" s="106">
        <f>+PMGR!DX64+BP!DX64</f>
        <v>0</v>
      </c>
      <c r="DY64" s="106">
        <f>+PMGR!DY64+BP!DY64</f>
        <v>0</v>
      </c>
      <c r="DZ64" s="106">
        <f>+PMGR!DZ64+BP!DZ64</f>
        <v>0</v>
      </c>
      <c r="EA64" s="106">
        <f>+PMGR!EA64+BP!EA64</f>
        <v>0</v>
      </c>
      <c r="EB64" s="106">
        <f>+PMGR!EB64+BP!EB64</f>
        <v>0</v>
      </c>
      <c r="EC64" s="106">
        <f>+PMGR!EC64+BP!EC64</f>
        <v>0</v>
      </c>
      <c r="ED64" s="106">
        <f>+PMGR!ED64+BP!ED64</f>
        <v>0</v>
      </c>
      <c r="EE64" s="106">
        <f>+PMGR!EE64+BP!EE64</f>
        <v>0</v>
      </c>
      <c r="EF64" s="106">
        <f>+PMGR!EF64+BP!EF64</f>
        <v>0</v>
      </c>
      <c r="EG64" s="106">
        <f>+PMGR!EG64+BP!EG64</f>
        <v>0</v>
      </c>
      <c r="EH64" s="106">
        <f>+PMGR!EH64+BP!EH64</f>
        <v>0</v>
      </c>
      <c r="EI64" s="106">
        <f t="shared" si="398"/>
        <v>0</v>
      </c>
      <c r="EJ64" s="7" t="str">
        <f t="shared" si="93"/>
        <v>Dealer Incentive</v>
      </c>
      <c r="EK64" s="106">
        <f>+PMGR!EK64+BP!EK64</f>
        <v>0</v>
      </c>
      <c r="EL64" s="106">
        <f>+PMGR!EL64+BP!EL64</f>
        <v>0</v>
      </c>
      <c r="EM64" s="106">
        <f>+PMGR!EM64+BP!EM64</f>
        <v>0</v>
      </c>
      <c r="EN64" s="106">
        <f>+PMGR!EN64+BP!EN64</f>
        <v>0</v>
      </c>
      <c r="EO64" s="106">
        <f>+PMGR!EO64+BP!EO64</f>
        <v>0</v>
      </c>
      <c r="EP64" s="106">
        <f>+PMGR!EP64+BP!EP64</f>
        <v>0</v>
      </c>
      <c r="EQ64" s="106">
        <f>+PMGR!EQ64+BP!EQ64</f>
        <v>0</v>
      </c>
      <c r="ER64" s="106">
        <f>+PMGR!ER64+BP!ER64</f>
        <v>0</v>
      </c>
      <c r="ES64" s="106">
        <f>+PMGR!ES64+BP!ES64</f>
        <v>0</v>
      </c>
      <c r="ET64" s="106">
        <f>+PMGR!ET64+BP!ET64</f>
        <v>0</v>
      </c>
      <c r="EU64" s="106">
        <f>+PMGR!EU64+BP!EU64</f>
        <v>0</v>
      </c>
      <c r="EV64" s="106">
        <f>+PMGR!EV64+BP!EV64</f>
        <v>0</v>
      </c>
      <c r="EW64" s="106">
        <f t="shared" si="399"/>
        <v>0</v>
      </c>
      <c r="EX64" s="118"/>
      <c r="EY64" s="106">
        <f>+PMGR!EY64+BP!EY64</f>
        <v>0</v>
      </c>
      <c r="EZ64" s="106">
        <f>+PMGR!EZ64+BP!EZ64</f>
        <v>0</v>
      </c>
      <c r="FA64" s="106">
        <f>+PMGR!FA64+BP!FA64</f>
        <v>0</v>
      </c>
      <c r="FB64" s="106">
        <f>+PMGR!FB64+BP!FB64</f>
        <v>0</v>
      </c>
      <c r="FC64" s="106">
        <f>+PMGR!FC64+BP!FC64</f>
        <v>0</v>
      </c>
      <c r="FD64" s="106">
        <f>+PMGR!FD64+BP!FD64</f>
        <v>0</v>
      </c>
      <c r="FE64" s="106">
        <f>+PMGR!FE64+BP!FE64</f>
        <v>0</v>
      </c>
      <c r="FF64" s="106">
        <f>+PMGR!FF64+BP!FF64</f>
        <v>0</v>
      </c>
      <c r="FG64" s="106">
        <f>+PMGR!FG64+BP!FG64</f>
        <v>0</v>
      </c>
      <c r="FH64" s="106">
        <f>+PMGR!FH64+BP!FH64</f>
        <v>0</v>
      </c>
      <c r="FI64" s="106">
        <f>+PMGR!FI64+BP!FI64</f>
        <v>0</v>
      </c>
      <c r="FJ64" s="106">
        <f>+PMGR!FJ64+BP!FJ64</f>
        <v>0</v>
      </c>
      <c r="FK64" s="106">
        <f t="shared" si="400"/>
        <v>0</v>
      </c>
    </row>
    <row r="65" spans="1:167" ht="14.45" hidden="1" customHeight="1" outlineLevel="1">
      <c r="A65" s="106">
        <f t="shared" si="386"/>
        <v>0</v>
      </c>
      <c r="B65" s="106">
        <f t="shared" si="386"/>
        <v>0</v>
      </c>
      <c r="C65" s="106">
        <f t="shared" si="386"/>
        <v>0</v>
      </c>
      <c r="D65" s="106">
        <f t="shared" si="386"/>
        <v>0</v>
      </c>
      <c r="E65" s="106">
        <f t="shared" si="386"/>
        <v>0</v>
      </c>
      <c r="F65" s="106">
        <f t="shared" si="386"/>
        <v>0</v>
      </c>
      <c r="G65" s="106">
        <f t="shared" si="386"/>
        <v>0</v>
      </c>
      <c r="H65" s="106">
        <f t="shared" si="386"/>
        <v>0</v>
      </c>
      <c r="I65" s="106">
        <f t="shared" si="386"/>
        <v>0</v>
      </c>
      <c r="J65" s="106">
        <f t="shared" si="386"/>
        <v>0</v>
      </c>
      <c r="K65" s="106">
        <f t="shared" si="386"/>
        <v>0</v>
      </c>
      <c r="L65" s="106">
        <f t="shared" si="386"/>
        <v>0</v>
      </c>
      <c r="M65" s="106">
        <f t="shared" si="387"/>
        <v>0</v>
      </c>
      <c r="N65" s="7" t="s">
        <v>51</v>
      </c>
      <c r="O65" s="106">
        <f t="shared" si="388"/>
        <v>0</v>
      </c>
      <c r="P65" s="106">
        <f t="shared" si="388"/>
        <v>0</v>
      </c>
      <c r="Q65" s="106">
        <f t="shared" si="388"/>
        <v>97700.849999999991</v>
      </c>
      <c r="R65" s="106">
        <f t="shared" si="388"/>
        <v>0</v>
      </c>
      <c r="S65" s="106">
        <f t="shared" si="388"/>
        <v>0</v>
      </c>
      <c r="T65" s="106">
        <f t="shared" si="388"/>
        <v>0</v>
      </c>
      <c r="U65" s="106">
        <f t="shared" si="388"/>
        <v>0</v>
      </c>
      <c r="V65" s="106">
        <f t="shared" si="388"/>
        <v>0</v>
      </c>
      <c r="W65" s="106">
        <f t="shared" si="388"/>
        <v>0</v>
      </c>
      <c r="X65" s="106">
        <f t="shared" si="388"/>
        <v>0</v>
      </c>
      <c r="Y65" s="106">
        <f t="shared" si="388"/>
        <v>0</v>
      </c>
      <c r="Z65" s="106">
        <f t="shared" si="388"/>
        <v>0</v>
      </c>
      <c r="AA65" s="106">
        <f t="shared" si="389"/>
        <v>97700.849999999991</v>
      </c>
      <c r="AB65" s="118"/>
      <c r="AC65" s="106">
        <f t="shared" si="390"/>
        <v>0</v>
      </c>
      <c r="AD65" s="106">
        <f t="shared" si="390"/>
        <v>0</v>
      </c>
      <c r="AE65" s="106">
        <f t="shared" si="390"/>
        <v>0</v>
      </c>
      <c r="AF65" s="106">
        <f t="shared" si="390"/>
        <v>0</v>
      </c>
      <c r="AG65" s="106">
        <f t="shared" si="390"/>
        <v>0</v>
      </c>
      <c r="AH65" s="106">
        <f t="shared" si="390"/>
        <v>0</v>
      </c>
      <c r="AI65" s="106">
        <f t="shared" si="390"/>
        <v>0</v>
      </c>
      <c r="AJ65" s="106">
        <f t="shared" si="390"/>
        <v>0</v>
      </c>
      <c r="AK65" s="106">
        <f t="shared" si="390"/>
        <v>0</v>
      </c>
      <c r="AL65" s="106">
        <f t="shared" si="390"/>
        <v>0</v>
      </c>
      <c r="AM65" s="106">
        <f t="shared" si="390"/>
        <v>0</v>
      </c>
      <c r="AN65" s="106">
        <f t="shared" si="390"/>
        <v>0</v>
      </c>
      <c r="AO65" s="106">
        <f t="shared" si="391"/>
        <v>0</v>
      </c>
      <c r="AP65" s="106"/>
      <c r="AQ65" s="106">
        <f>+PMGR!AQ65+BP!AQ65</f>
        <v>0</v>
      </c>
      <c r="AR65" s="106">
        <f>+PMGR!AR65+BP!AR65</f>
        <v>0</v>
      </c>
      <c r="AS65" s="106">
        <f>+PMGR!AS65+BP!AS65</f>
        <v>0</v>
      </c>
      <c r="AT65" s="106">
        <f>+PMGR!AT65+BP!AT65</f>
        <v>0</v>
      </c>
      <c r="AU65" s="106">
        <f>+PMGR!AU65+BP!AU65</f>
        <v>0</v>
      </c>
      <c r="AV65" s="106">
        <f>+PMGR!AV65+BP!AV65</f>
        <v>0</v>
      </c>
      <c r="AW65" s="106">
        <f>+PMGR!AW65+BP!AW65</f>
        <v>0</v>
      </c>
      <c r="AX65" s="106">
        <f>+PMGR!AX65+BP!AX65</f>
        <v>0</v>
      </c>
      <c r="AY65" s="106">
        <f>+PMGR!AY65+BP!AY65</f>
        <v>0</v>
      </c>
      <c r="AZ65" s="106">
        <f>+PMGR!AZ65+BP!AZ65</f>
        <v>0</v>
      </c>
      <c r="BA65" s="106">
        <f>+PMGR!BA65+BP!BA65</f>
        <v>0</v>
      </c>
      <c r="BB65" s="106">
        <f>+PMGR!BB65+BP!BB65</f>
        <v>0</v>
      </c>
      <c r="BC65" s="106">
        <f t="shared" si="392"/>
        <v>0</v>
      </c>
      <c r="BD65" s="7" t="str">
        <f t="shared" si="16"/>
        <v>Profit/Loss on sale of fixed Asset</v>
      </c>
      <c r="BE65" s="106">
        <f>+PMGR!BE65+BP!BE65</f>
        <v>0</v>
      </c>
      <c r="BF65" s="106">
        <f>+PMGR!BF65+BP!BF65</f>
        <v>0</v>
      </c>
      <c r="BG65" s="106">
        <f>+PMGR!BG65+BP!BG65</f>
        <v>65133.899999999994</v>
      </c>
      <c r="BH65" s="106">
        <f>+PMGR!BH65+BP!BH65</f>
        <v>0</v>
      </c>
      <c r="BI65" s="106">
        <f>+PMGR!BI65+BP!BI65</f>
        <v>0</v>
      </c>
      <c r="BJ65" s="106">
        <f>+PMGR!BJ65+BP!BJ65</f>
        <v>0</v>
      </c>
      <c r="BK65" s="106">
        <f>+PMGR!BK65+BP!BK65</f>
        <v>0</v>
      </c>
      <c r="BL65" s="106">
        <f>+PMGR!BL65+BP!BL65</f>
        <v>0</v>
      </c>
      <c r="BM65" s="106">
        <f>+PMGR!BM65+BP!BM65</f>
        <v>0</v>
      </c>
      <c r="BN65" s="106">
        <f>+PMGR!BN65+BP!BN65</f>
        <v>0</v>
      </c>
      <c r="BO65" s="106">
        <f>+PMGR!BO65+BP!BO65</f>
        <v>0</v>
      </c>
      <c r="BP65" s="106">
        <f>+PMGR!BP65+BP!BP65</f>
        <v>0</v>
      </c>
      <c r="BQ65" s="106">
        <f t="shared" si="393"/>
        <v>65133.899999999994</v>
      </c>
      <c r="BR65" s="118"/>
      <c r="BS65" s="106">
        <f>+PMGR!BS65+BP!BS65</f>
        <v>0</v>
      </c>
      <c r="BT65" s="106">
        <f>+PMGR!BT65+BP!BT65</f>
        <v>0</v>
      </c>
      <c r="BU65" s="106">
        <f>+PMGR!BU65+BP!BU65</f>
        <v>0</v>
      </c>
      <c r="BV65" s="106">
        <f>+PMGR!BV65+BP!BV65</f>
        <v>0</v>
      </c>
      <c r="BW65" s="106">
        <f>+PMGR!BW65+BP!BW65</f>
        <v>0</v>
      </c>
      <c r="BX65" s="106">
        <f>+PMGR!BX65+BP!BX65</f>
        <v>0</v>
      </c>
      <c r="BY65" s="106">
        <f>+PMGR!BY65+BP!BY65</f>
        <v>0</v>
      </c>
      <c r="BZ65" s="106">
        <f>+PMGR!BZ65+BP!BZ65</f>
        <v>0</v>
      </c>
      <c r="CA65" s="106">
        <f>+PMGR!CA65+BP!CA65</f>
        <v>0</v>
      </c>
      <c r="CB65" s="106">
        <f>+PMGR!CB65+BP!CB65</f>
        <v>0</v>
      </c>
      <c r="CC65" s="106">
        <f>+PMGR!CC65+BP!CC65</f>
        <v>0</v>
      </c>
      <c r="CD65" s="106">
        <f>+PMGR!CD65+BP!CD65</f>
        <v>0</v>
      </c>
      <c r="CE65" s="106">
        <f t="shared" si="394"/>
        <v>0</v>
      </c>
      <c r="CF65" s="106"/>
      <c r="CG65" s="106">
        <f>+PMGR!CG65+BP!CG65</f>
        <v>0</v>
      </c>
      <c r="CH65" s="106">
        <f>+PMGR!CH65+BP!CH65</f>
        <v>0</v>
      </c>
      <c r="CI65" s="106">
        <f>+PMGR!CI65+BP!CI65</f>
        <v>0</v>
      </c>
      <c r="CJ65" s="106">
        <f>+PMGR!CJ65+BP!CJ65</f>
        <v>0</v>
      </c>
      <c r="CK65" s="106">
        <f>+PMGR!CK65+BP!CK65</f>
        <v>0</v>
      </c>
      <c r="CL65" s="106">
        <f>+PMGR!CL65+BP!CL65</f>
        <v>0</v>
      </c>
      <c r="CM65" s="106">
        <f>+PMGR!CM65+BP!CM65</f>
        <v>0</v>
      </c>
      <c r="CN65" s="106">
        <f>+PMGR!CN65+BP!CN65</f>
        <v>0</v>
      </c>
      <c r="CO65" s="106">
        <f>+PMGR!CO65+BP!CO65</f>
        <v>0</v>
      </c>
      <c r="CP65" s="106">
        <f>+PMGR!CP65+BP!CP65</f>
        <v>0</v>
      </c>
      <c r="CQ65" s="106">
        <f>+PMGR!CQ65+BP!CQ65</f>
        <v>0</v>
      </c>
      <c r="CR65" s="106">
        <f>+PMGR!CR65+BP!CR65</f>
        <v>0</v>
      </c>
      <c r="CS65" s="106">
        <f t="shared" si="395"/>
        <v>0</v>
      </c>
      <c r="CT65" s="7" t="str">
        <f t="shared" si="20"/>
        <v>Profit/Loss on sale of fixed Asset</v>
      </c>
      <c r="CU65" s="106">
        <f>+PMGR!CU65+BP!CU65</f>
        <v>0</v>
      </c>
      <c r="CV65" s="106">
        <f>+PMGR!CV65+BP!CV65</f>
        <v>0</v>
      </c>
      <c r="CW65" s="106">
        <f>+PMGR!CW65+BP!CW65</f>
        <v>32566.949999999997</v>
      </c>
      <c r="CX65" s="106">
        <f>+PMGR!CX65+BP!CX65</f>
        <v>0</v>
      </c>
      <c r="CY65" s="106">
        <f>+PMGR!CY65+BP!CY65</f>
        <v>0</v>
      </c>
      <c r="CZ65" s="106">
        <f>+PMGR!CZ65+BP!CZ65</f>
        <v>0</v>
      </c>
      <c r="DA65" s="106">
        <f>+PMGR!DA65+BP!DA65</f>
        <v>0</v>
      </c>
      <c r="DB65" s="106">
        <f>+PMGR!DB65+BP!DB65</f>
        <v>0</v>
      </c>
      <c r="DC65" s="106">
        <f>+PMGR!DC65+BP!DC65</f>
        <v>0</v>
      </c>
      <c r="DD65" s="106">
        <f>+PMGR!DD65+BP!DD65</f>
        <v>0</v>
      </c>
      <c r="DE65" s="106">
        <f>+PMGR!DE65+BP!DE65</f>
        <v>0</v>
      </c>
      <c r="DF65" s="106">
        <f>+PMGR!DF65+BP!DF65</f>
        <v>0</v>
      </c>
      <c r="DG65" s="106">
        <f t="shared" si="396"/>
        <v>32566.949999999997</v>
      </c>
      <c r="DH65" s="118"/>
      <c r="DI65" s="106">
        <f>+PMGR!DI65+BP!DI65</f>
        <v>0</v>
      </c>
      <c r="DJ65" s="106">
        <f>+PMGR!DJ65+BP!DJ65</f>
        <v>0</v>
      </c>
      <c r="DK65" s="106">
        <f>+PMGR!DK65+BP!DK65</f>
        <v>0</v>
      </c>
      <c r="DL65" s="106">
        <f>+PMGR!DL65+BP!DL65</f>
        <v>0</v>
      </c>
      <c r="DM65" s="106">
        <f>+PMGR!DM65+BP!DM65</f>
        <v>0</v>
      </c>
      <c r="DN65" s="106">
        <f>+PMGR!DN65+BP!DN65</f>
        <v>0</v>
      </c>
      <c r="DO65" s="106">
        <f>+PMGR!DO65+BP!DO65</f>
        <v>0</v>
      </c>
      <c r="DP65" s="106">
        <f>+PMGR!DP65+BP!DP65</f>
        <v>0</v>
      </c>
      <c r="DQ65" s="106">
        <f>+PMGR!DQ65+BP!DQ65</f>
        <v>0</v>
      </c>
      <c r="DR65" s="106">
        <f>+PMGR!DR65+BP!DR65</f>
        <v>0</v>
      </c>
      <c r="DS65" s="106">
        <f>+PMGR!DS65+BP!DS65</f>
        <v>0</v>
      </c>
      <c r="DT65" s="106">
        <f>+PMGR!DT65+BP!DT65</f>
        <v>0</v>
      </c>
      <c r="DU65" s="106">
        <f t="shared" si="397"/>
        <v>0</v>
      </c>
      <c r="DV65" s="106"/>
      <c r="DW65" s="106">
        <f>+PMGR!DW65+BP!DW65</f>
        <v>0</v>
      </c>
      <c r="DX65" s="106">
        <f>+PMGR!DX65+BP!DX65</f>
        <v>0</v>
      </c>
      <c r="DY65" s="106">
        <f>+PMGR!DY65+BP!DY65</f>
        <v>0</v>
      </c>
      <c r="DZ65" s="106">
        <f>+PMGR!DZ65+BP!DZ65</f>
        <v>0</v>
      </c>
      <c r="EA65" s="106">
        <f>+PMGR!EA65+BP!EA65</f>
        <v>0</v>
      </c>
      <c r="EB65" s="106">
        <f>+PMGR!EB65+BP!EB65</f>
        <v>0</v>
      </c>
      <c r="EC65" s="106">
        <f>+PMGR!EC65+BP!EC65</f>
        <v>0</v>
      </c>
      <c r="ED65" s="106">
        <f>+PMGR!ED65+BP!ED65</f>
        <v>0</v>
      </c>
      <c r="EE65" s="106">
        <f>+PMGR!EE65+BP!EE65</f>
        <v>0</v>
      </c>
      <c r="EF65" s="106">
        <f>+PMGR!EF65+BP!EF65</f>
        <v>0</v>
      </c>
      <c r="EG65" s="106">
        <f>+PMGR!EG65+BP!EG65</f>
        <v>0</v>
      </c>
      <c r="EH65" s="106">
        <f>+PMGR!EH65+BP!EH65</f>
        <v>0</v>
      </c>
      <c r="EI65" s="106">
        <f t="shared" si="398"/>
        <v>0</v>
      </c>
      <c r="EJ65" s="7" t="str">
        <f t="shared" si="93"/>
        <v>Profit/Loss on sale of fixed Asset</v>
      </c>
      <c r="EK65" s="106">
        <f>+PMGR!EK65+BP!EK65</f>
        <v>0</v>
      </c>
      <c r="EL65" s="106">
        <f>+PMGR!EL65+BP!EL65</f>
        <v>0</v>
      </c>
      <c r="EM65" s="106">
        <f>+PMGR!EM65+BP!EM65</f>
        <v>0</v>
      </c>
      <c r="EN65" s="106">
        <f>+PMGR!EN65+BP!EN65</f>
        <v>0</v>
      </c>
      <c r="EO65" s="106">
        <f>+PMGR!EO65+BP!EO65</f>
        <v>0</v>
      </c>
      <c r="EP65" s="106">
        <f>+PMGR!EP65+BP!EP65</f>
        <v>0</v>
      </c>
      <c r="EQ65" s="106">
        <f>+PMGR!EQ65+BP!EQ65</f>
        <v>0</v>
      </c>
      <c r="ER65" s="106">
        <f>+PMGR!ER65+BP!ER65</f>
        <v>0</v>
      </c>
      <c r="ES65" s="106">
        <f>+PMGR!ES65+BP!ES65</f>
        <v>0</v>
      </c>
      <c r="ET65" s="106">
        <f>+PMGR!ET65+BP!ET65</f>
        <v>0</v>
      </c>
      <c r="EU65" s="106">
        <f>+PMGR!EU65+BP!EU65</f>
        <v>0</v>
      </c>
      <c r="EV65" s="106">
        <f>+PMGR!EV65+BP!EV65</f>
        <v>0</v>
      </c>
      <c r="EW65" s="106">
        <f t="shared" si="399"/>
        <v>0</v>
      </c>
      <c r="EX65" s="118"/>
      <c r="EY65" s="106">
        <f>+PMGR!EY65+BP!EY65</f>
        <v>0</v>
      </c>
      <c r="EZ65" s="106">
        <f>+PMGR!EZ65+BP!EZ65</f>
        <v>0</v>
      </c>
      <c r="FA65" s="106">
        <f>+PMGR!FA65+BP!FA65</f>
        <v>0</v>
      </c>
      <c r="FB65" s="106">
        <f>+PMGR!FB65+BP!FB65</f>
        <v>0</v>
      </c>
      <c r="FC65" s="106">
        <f>+PMGR!FC65+BP!FC65</f>
        <v>0</v>
      </c>
      <c r="FD65" s="106">
        <f>+PMGR!FD65+BP!FD65</f>
        <v>0</v>
      </c>
      <c r="FE65" s="106">
        <f>+PMGR!FE65+BP!FE65</f>
        <v>0</v>
      </c>
      <c r="FF65" s="106">
        <f>+PMGR!FF65+BP!FF65</f>
        <v>0</v>
      </c>
      <c r="FG65" s="106">
        <f>+PMGR!FG65+BP!FG65</f>
        <v>0</v>
      </c>
      <c r="FH65" s="106">
        <f>+PMGR!FH65+BP!FH65</f>
        <v>0</v>
      </c>
      <c r="FI65" s="106">
        <f>+PMGR!FI65+BP!FI65</f>
        <v>0</v>
      </c>
      <c r="FJ65" s="106">
        <f>+PMGR!FJ65+BP!FJ65</f>
        <v>0</v>
      </c>
      <c r="FK65" s="106">
        <f t="shared" si="400"/>
        <v>0</v>
      </c>
    </row>
    <row r="66" spans="1:167" ht="14.45" hidden="1" customHeight="1" outlineLevel="1">
      <c r="A66" s="106">
        <f t="shared" si="386"/>
        <v>82671.31</v>
      </c>
      <c r="B66" s="106">
        <f t="shared" si="386"/>
        <v>17870.990000000002</v>
      </c>
      <c r="C66" s="106">
        <f t="shared" si="386"/>
        <v>26929</v>
      </c>
      <c r="D66" s="106">
        <f t="shared" si="386"/>
        <v>59192.480000000003</v>
      </c>
      <c r="E66" s="106">
        <f t="shared" si="386"/>
        <v>61322.85</v>
      </c>
      <c r="F66" s="106">
        <f t="shared" si="386"/>
        <v>18700</v>
      </c>
      <c r="G66" s="106">
        <f t="shared" si="386"/>
        <v>27675.08</v>
      </c>
      <c r="H66" s="106">
        <f t="shared" si="386"/>
        <v>52486</v>
      </c>
      <c r="I66" s="106">
        <f t="shared" si="386"/>
        <v>37000</v>
      </c>
      <c r="J66" s="106">
        <f t="shared" si="386"/>
        <v>29600</v>
      </c>
      <c r="K66" s="106">
        <f t="shared" si="386"/>
        <v>56348</v>
      </c>
      <c r="L66" s="106">
        <f t="shared" si="386"/>
        <v>1195</v>
      </c>
      <c r="M66" s="106">
        <f t="shared" si="387"/>
        <v>470990.71</v>
      </c>
      <c r="N66" s="7" t="s">
        <v>52</v>
      </c>
      <c r="O66" s="106">
        <f t="shared" si="388"/>
        <v>109490</v>
      </c>
      <c r="P66" s="106">
        <f t="shared" si="388"/>
        <v>44400</v>
      </c>
      <c r="Q66" s="106">
        <f t="shared" si="388"/>
        <v>339280</v>
      </c>
      <c r="R66" s="106">
        <f t="shared" si="388"/>
        <v>33450</v>
      </c>
      <c r="S66" s="106">
        <f t="shared" si="388"/>
        <v>98032</v>
      </c>
      <c r="T66" s="106">
        <f t="shared" si="388"/>
        <v>86700</v>
      </c>
      <c r="U66" s="106">
        <f t="shared" si="388"/>
        <v>207781</v>
      </c>
      <c r="V66" s="106">
        <f t="shared" si="388"/>
        <v>96850</v>
      </c>
      <c r="W66" s="106">
        <f t="shared" si="388"/>
        <v>17030</v>
      </c>
      <c r="X66" s="106">
        <f t="shared" si="388"/>
        <v>37000</v>
      </c>
      <c r="Y66" s="106">
        <f t="shared" si="388"/>
        <v>0</v>
      </c>
      <c r="Z66" s="106">
        <f t="shared" si="388"/>
        <v>0</v>
      </c>
      <c r="AA66" s="106">
        <f t="shared" si="389"/>
        <v>1070013</v>
      </c>
      <c r="AB66" s="118"/>
      <c r="AC66" s="106">
        <f t="shared" si="390"/>
        <v>0</v>
      </c>
      <c r="AD66" s="106">
        <f t="shared" si="390"/>
        <v>0</v>
      </c>
      <c r="AE66" s="106">
        <f t="shared" si="390"/>
        <v>0</v>
      </c>
      <c r="AF66" s="106">
        <f t="shared" si="390"/>
        <v>0</v>
      </c>
      <c r="AG66" s="106">
        <f t="shared" si="390"/>
        <v>0</v>
      </c>
      <c r="AH66" s="106">
        <f t="shared" si="390"/>
        <v>0</v>
      </c>
      <c r="AI66" s="106">
        <f t="shared" si="390"/>
        <v>0</v>
      </c>
      <c r="AJ66" s="106">
        <f t="shared" si="390"/>
        <v>0</v>
      </c>
      <c r="AK66" s="106">
        <f t="shared" si="390"/>
        <v>0</v>
      </c>
      <c r="AL66" s="106">
        <f t="shared" si="390"/>
        <v>0</v>
      </c>
      <c r="AM66" s="106">
        <f t="shared" si="390"/>
        <v>0</v>
      </c>
      <c r="AN66" s="106">
        <f t="shared" si="390"/>
        <v>0</v>
      </c>
      <c r="AO66" s="106">
        <f t="shared" si="391"/>
        <v>0</v>
      </c>
      <c r="AP66" s="106"/>
      <c r="AQ66" s="106">
        <f>+PMGR!AQ66+BP!AQ66</f>
        <v>82671.31</v>
      </c>
      <c r="AR66" s="106">
        <f>+PMGR!AR66+BP!AR66</f>
        <v>17870.990000000002</v>
      </c>
      <c r="AS66" s="106">
        <f>+PMGR!AS66+BP!AS66</f>
        <v>26929</v>
      </c>
      <c r="AT66" s="106">
        <f>+PMGR!AT66+BP!AT66</f>
        <v>651.12</v>
      </c>
      <c r="AU66" s="106">
        <f>+PMGR!AU66+BP!AU66</f>
        <v>2122.85</v>
      </c>
      <c r="AV66" s="106">
        <f>+PMGR!AV66+BP!AV66</f>
        <v>18700</v>
      </c>
      <c r="AW66" s="106">
        <f>+PMGR!AW66+BP!AW66</f>
        <v>22200</v>
      </c>
      <c r="AX66" s="106">
        <f>+PMGR!AX66+BP!AX66</f>
        <v>13526</v>
      </c>
      <c r="AY66" s="106">
        <f>+PMGR!AY66+BP!AY66</f>
        <v>0</v>
      </c>
      <c r="AZ66" s="106">
        <f>+PMGR!AZ66+BP!AZ66</f>
        <v>0</v>
      </c>
      <c r="BA66" s="106">
        <f>+PMGR!BA66+BP!BA66</f>
        <v>7224</v>
      </c>
      <c r="BB66" s="106">
        <f>+PMGR!BB66+BP!BB66</f>
        <v>1195</v>
      </c>
      <c r="BC66" s="106">
        <f t="shared" si="392"/>
        <v>193090.27000000002</v>
      </c>
      <c r="BD66" s="7" t="str">
        <f t="shared" si="16"/>
        <v>Sales of Scraps/Wastages/Dead Stock/Oil</v>
      </c>
      <c r="BE66" s="106">
        <f>+PMGR!BE66+BP!BE66</f>
        <v>109490</v>
      </c>
      <c r="BF66" s="106">
        <f>+PMGR!BF66+BP!BF66</f>
        <v>44400</v>
      </c>
      <c r="BG66" s="106">
        <f>+PMGR!BG66+BP!BG66</f>
        <v>339280</v>
      </c>
      <c r="BH66" s="106">
        <f>+PMGR!BH66+BP!BH66</f>
        <v>33450</v>
      </c>
      <c r="BI66" s="106">
        <f>+PMGR!BI66+BP!BI66</f>
        <v>54301</v>
      </c>
      <c r="BJ66" s="106">
        <f>+PMGR!BJ66+BP!BJ66</f>
        <v>86700</v>
      </c>
      <c r="BK66" s="106">
        <f>+PMGR!BK66+BP!BK66</f>
        <v>183360</v>
      </c>
      <c r="BL66" s="106">
        <f>+PMGR!BL66+BP!BL66</f>
        <v>69580</v>
      </c>
      <c r="BM66" s="106">
        <f>+PMGR!BM66+BP!BM66</f>
        <v>17030</v>
      </c>
      <c r="BN66" s="106">
        <f>+PMGR!BN66+BP!BN66</f>
        <v>37000</v>
      </c>
      <c r="BO66" s="106">
        <f>+PMGR!BO66+BP!BO66</f>
        <v>0</v>
      </c>
      <c r="BP66" s="106">
        <f>+PMGR!BP66+BP!BP66</f>
        <v>0</v>
      </c>
      <c r="BQ66" s="106">
        <f t="shared" si="393"/>
        <v>974591</v>
      </c>
      <c r="BR66" s="118"/>
      <c r="BS66" s="106">
        <f>+PMGR!BS66+BP!BS66</f>
        <v>0</v>
      </c>
      <c r="BT66" s="106">
        <f>+PMGR!BT66+BP!BT66</f>
        <v>0</v>
      </c>
      <c r="BU66" s="106">
        <f>+PMGR!BU66+BP!BU66</f>
        <v>0</v>
      </c>
      <c r="BV66" s="106">
        <f>+PMGR!BV66+BP!BV66</f>
        <v>0</v>
      </c>
      <c r="BW66" s="106">
        <f>+PMGR!BW66+BP!BW66</f>
        <v>0</v>
      </c>
      <c r="BX66" s="106">
        <f>+PMGR!BX66+BP!BX66</f>
        <v>0</v>
      </c>
      <c r="BY66" s="106">
        <f>+PMGR!BY66+BP!BY66</f>
        <v>0</v>
      </c>
      <c r="BZ66" s="106">
        <f>+PMGR!BZ66+BP!BZ66</f>
        <v>0</v>
      </c>
      <c r="CA66" s="106">
        <f>+PMGR!CA66+BP!CA66</f>
        <v>0</v>
      </c>
      <c r="CB66" s="106">
        <f>+PMGR!CB66+BP!CB66</f>
        <v>0</v>
      </c>
      <c r="CC66" s="106">
        <f>+PMGR!CC66+BP!CC66</f>
        <v>0</v>
      </c>
      <c r="CD66" s="106">
        <f>+PMGR!CD66+BP!CD66</f>
        <v>0</v>
      </c>
      <c r="CE66" s="106">
        <f t="shared" si="394"/>
        <v>0</v>
      </c>
      <c r="CF66" s="106"/>
      <c r="CG66" s="106">
        <f>+PMGR!CG66+BP!CG66</f>
        <v>0</v>
      </c>
      <c r="CH66" s="106">
        <f>+PMGR!CH66+BP!CH66</f>
        <v>0</v>
      </c>
      <c r="CI66" s="106">
        <f>+PMGR!CI66+BP!CI66</f>
        <v>0</v>
      </c>
      <c r="CJ66" s="106">
        <f>+PMGR!CJ66+BP!CJ66</f>
        <v>58541.36</v>
      </c>
      <c r="CK66" s="106">
        <f>+PMGR!CK66+BP!CK66</f>
        <v>59200</v>
      </c>
      <c r="CL66" s="106">
        <f>+PMGR!CL66+BP!CL66</f>
        <v>0</v>
      </c>
      <c r="CM66" s="106">
        <f>+PMGR!CM66+BP!CM66</f>
        <v>5475.08</v>
      </c>
      <c r="CN66" s="106">
        <f>+PMGR!CN66+BP!CN66</f>
        <v>38960</v>
      </c>
      <c r="CO66" s="106">
        <f>+PMGR!CO66+BP!CO66</f>
        <v>37000</v>
      </c>
      <c r="CP66" s="106">
        <f>+PMGR!CP66+BP!CP66</f>
        <v>29600</v>
      </c>
      <c r="CQ66" s="106">
        <f>+PMGR!CQ66+BP!CQ66</f>
        <v>49124</v>
      </c>
      <c r="CR66" s="106">
        <f>+PMGR!CR66+BP!CR66</f>
        <v>0</v>
      </c>
      <c r="CS66" s="106">
        <f t="shared" si="395"/>
        <v>277900.44</v>
      </c>
      <c r="CT66" s="7" t="str">
        <f t="shared" si="20"/>
        <v>Sales of Scraps/Wastages/Dead Stock/Oil</v>
      </c>
      <c r="CU66" s="106">
        <f>+PMGR!CU66+BP!CU66</f>
        <v>0</v>
      </c>
      <c r="CV66" s="106">
        <f>+PMGR!CV66+BP!CV66</f>
        <v>0</v>
      </c>
      <c r="CW66" s="106">
        <f>+PMGR!CW66+BP!CW66</f>
        <v>0</v>
      </c>
      <c r="CX66" s="106">
        <f>+PMGR!CX66+BP!CX66</f>
        <v>0</v>
      </c>
      <c r="CY66" s="106">
        <f>+PMGR!CY66+BP!CY66</f>
        <v>37000</v>
      </c>
      <c r="CZ66" s="106">
        <f>+PMGR!CZ66+BP!CZ66</f>
        <v>0</v>
      </c>
      <c r="DA66" s="106">
        <f>+PMGR!DA66+BP!DA66</f>
        <v>14800</v>
      </c>
      <c r="DB66" s="106">
        <f>+PMGR!DB66+BP!DB66</f>
        <v>27270</v>
      </c>
      <c r="DC66" s="106">
        <f>+PMGR!DC66+BP!DC66</f>
        <v>0</v>
      </c>
      <c r="DD66" s="106">
        <f>+PMGR!DD66+BP!DD66</f>
        <v>0</v>
      </c>
      <c r="DE66" s="106">
        <f>+PMGR!DE66+BP!DE66</f>
        <v>0</v>
      </c>
      <c r="DF66" s="106">
        <f>+PMGR!DF66+BP!DF66</f>
        <v>0</v>
      </c>
      <c r="DG66" s="106">
        <f t="shared" si="396"/>
        <v>79070</v>
      </c>
      <c r="DH66" s="118"/>
      <c r="DI66" s="106">
        <f>+PMGR!DI66+BP!DI66</f>
        <v>0</v>
      </c>
      <c r="DJ66" s="106">
        <f>+PMGR!DJ66+BP!DJ66</f>
        <v>0</v>
      </c>
      <c r="DK66" s="106">
        <f>+PMGR!DK66+BP!DK66</f>
        <v>0</v>
      </c>
      <c r="DL66" s="106">
        <f>+PMGR!DL66+BP!DL66</f>
        <v>0</v>
      </c>
      <c r="DM66" s="106">
        <f>+PMGR!DM66+BP!DM66</f>
        <v>0</v>
      </c>
      <c r="DN66" s="106">
        <f>+PMGR!DN66+BP!DN66</f>
        <v>0</v>
      </c>
      <c r="DO66" s="106">
        <f>+PMGR!DO66+BP!DO66</f>
        <v>0</v>
      </c>
      <c r="DP66" s="106">
        <f>+PMGR!DP66+BP!DP66</f>
        <v>0</v>
      </c>
      <c r="DQ66" s="106">
        <f>+PMGR!DQ66+BP!DQ66</f>
        <v>0</v>
      </c>
      <c r="DR66" s="106">
        <f>+PMGR!DR66+BP!DR66</f>
        <v>0</v>
      </c>
      <c r="DS66" s="106">
        <f>+PMGR!DS66+BP!DS66</f>
        <v>0</v>
      </c>
      <c r="DT66" s="106">
        <f>+PMGR!DT66+BP!DT66</f>
        <v>0</v>
      </c>
      <c r="DU66" s="106">
        <f t="shared" si="397"/>
        <v>0</v>
      </c>
      <c r="DV66" s="106"/>
      <c r="DW66" s="106">
        <f>+PMGR!DW66+BP!DW66</f>
        <v>0</v>
      </c>
      <c r="DX66" s="106">
        <f>+PMGR!DX66+BP!DX66</f>
        <v>0</v>
      </c>
      <c r="DY66" s="106">
        <f>+PMGR!DY66+BP!DY66</f>
        <v>0</v>
      </c>
      <c r="DZ66" s="106">
        <f>+PMGR!DZ66+BP!DZ66</f>
        <v>0</v>
      </c>
      <c r="EA66" s="106">
        <f>+PMGR!EA66+BP!EA66</f>
        <v>0</v>
      </c>
      <c r="EB66" s="106">
        <f>+PMGR!EB66+BP!EB66</f>
        <v>0</v>
      </c>
      <c r="EC66" s="106">
        <f>+PMGR!EC66+BP!EC66</f>
        <v>0</v>
      </c>
      <c r="ED66" s="106">
        <f>+PMGR!ED66+BP!ED66</f>
        <v>0</v>
      </c>
      <c r="EE66" s="106">
        <f>+PMGR!EE66+BP!EE66</f>
        <v>0</v>
      </c>
      <c r="EF66" s="106">
        <f>+PMGR!EF66+BP!EF66</f>
        <v>0</v>
      </c>
      <c r="EG66" s="106">
        <f>+PMGR!EG66+BP!EG66</f>
        <v>0</v>
      </c>
      <c r="EH66" s="106">
        <f>+PMGR!EH66+BP!EH66</f>
        <v>0</v>
      </c>
      <c r="EI66" s="106">
        <f t="shared" si="398"/>
        <v>0</v>
      </c>
      <c r="EJ66" s="7" t="str">
        <f t="shared" si="93"/>
        <v>Sales of Scraps/Wastages/Dead Stock/Oil</v>
      </c>
      <c r="EK66" s="106">
        <f>+PMGR!EK66+BP!EK66</f>
        <v>0</v>
      </c>
      <c r="EL66" s="106">
        <f>+PMGR!EL66+BP!EL66</f>
        <v>0</v>
      </c>
      <c r="EM66" s="106">
        <f>+PMGR!EM66+BP!EM66</f>
        <v>0</v>
      </c>
      <c r="EN66" s="106">
        <f>+PMGR!EN66+BP!EN66</f>
        <v>0</v>
      </c>
      <c r="EO66" s="106">
        <f>+PMGR!EO66+BP!EO66</f>
        <v>6731</v>
      </c>
      <c r="EP66" s="106">
        <f>+PMGR!EP66+BP!EP66</f>
        <v>0</v>
      </c>
      <c r="EQ66" s="106">
        <f>+PMGR!EQ66+BP!EQ66</f>
        <v>9621</v>
      </c>
      <c r="ER66" s="106">
        <f>+PMGR!ER66+BP!ER66</f>
        <v>0</v>
      </c>
      <c r="ES66" s="106">
        <f>+PMGR!ES66+BP!ES66</f>
        <v>0</v>
      </c>
      <c r="ET66" s="106">
        <f>+PMGR!ET66+BP!ET66</f>
        <v>0</v>
      </c>
      <c r="EU66" s="106">
        <f>+PMGR!EU66+BP!EU66</f>
        <v>0</v>
      </c>
      <c r="EV66" s="106">
        <f>+PMGR!EV66+BP!EV66</f>
        <v>0</v>
      </c>
      <c r="EW66" s="106">
        <f t="shared" si="399"/>
        <v>16352</v>
      </c>
      <c r="EX66" s="118"/>
      <c r="EY66" s="106">
        <f>+PMGR!EY66+BP!EY66</f>
        <v>0</v>
      </c>
      <c r="EZ66" s="106">
        <f>+PMGR!EZ66+BP!EZ66</f>
        <v>0</v>
      </c>
      <c r="FA66" s="106">
        <f>+PMGR!FA66+BP!FA66</f>
        <v>0</v>
      </c>
      <c r="FB66" s="106">
        <f>+PMGR!FB66+BP!FB66</f>
        <v>0</v>
      </c>
      <c r="FC66" s="106">
        <f>+PMGR!FC66+BP!FC66</f>
        <v>0</v>
      </c>
      <c r="FD66" s="106">
        <f>+PMGR!FD66+BP!FD66</f>
        <v>0</v>
      </c>
      <c r="FE66" s="106">
        <f>+PMGR!FE66+BP!FE66</f>
        <v>0</v>
      </c>
      <c r="FF66" s="106">
        <f>+PMGR!FF66+BP!FF66</f>
        <v>0</v>
      </c>
      <c r="FG66" s="106">
        <f>+PMGR!FG66+BP!FG66</f>
        <v>0</v>
      </c>
      <c r="FH66" s="106">
        <f>+PMGR!FH66+BP!FH66</f>
        <v>0</v>
      </c>
      <c r="FI66" s="106">
        <f>+PMGR!FI66+BP!FI66</f>
        <v>0</v>
      </c>
      <c r="FJ66" s="106">
        <f>+PMGR!FJ66+BP!FJ66</f>
        <v>0</v>
      </c>
      <c r="FK66" s="106">
        <f t="shared" si="400"/>
        <v>0</v>
      </c>
    </row>
    <row r="67" spans="1:167" ht="14.45" hidden="1" customHeight="1" outlineLevel="1">
      <c r="A67" s="106">
        <f t="shared" si="386"/>
        <v>16102.5</v>
      </c>
      <c r="B67" s="106">
        <f t="shared" si="386"/>
        <v>51356.82</v>
      </c>
      <c r="C67" s="106">
        <f t="shared" si="386"/>
        <v>33052.449999999997</v>
      </c>
      <c r="D67" s="106">
        <f t="shared" si="386"/>
        <v>47458.6</v>
      </c>
      <c r="E67" s="106">
        <f t="shared" si="386"/>
        <v>640127.81999999995</v>
      </c>
      <c r="F67" s="106">
        <f t="shared" si="386"/>
        <v>365384.82</v>
      </c>
      <c r="G67" s="106">
        <f t="shared" si="386"/>
        <v>24577.5</v>
      </c>
      <c r="H67" s="106">
        <f t="shared" si="386"/>
        <v>626835</v>
      </c>
      <c r="I67" s="106">
        <f t="shared" si="386"/>
        <v>0</v>
      </c>
      <c r="J67" s="106">
        <f t="shared" si="386"/>
        <v>0</v>
      </c>
      <c r="K67" s="106">
        <f t="shared" si="386"/>
        <v>0</v>
      </c>
      <c r="L67" s="106">
        <f t="shared" si="386"/>
        <v>0</v>
      </c>
      <c r="M67" s="106">
        <f t="shared" si="387"/>
        <v>1804895.51</v>
      </c>
      <c r="N67" s="7" t="s">
        <v>53</v>
      </c>
      <c r="O67" s="106">
        <f t="shared" si="388"/>
        <v>0</v>
      </c>
      <c r="P67" s="106">
        <f t="shared" si="388"/>
        <v>0</v>
      </c>
      <c r="Q67" s="106">
        <f t="shared" si="388"/>
        <v>31357.5</v>
      </c>
      <c r="R67" s="106">
        <f t="shared" si="388"/>
        <v>71512.58</v>
      </c>
      <c r="S67" s="106">
        <f t="shared" si="388"/>
        <v>735134.8</v>
      </c>
      <c r="T67" s="106">
        <f t="shared" si="388"/>
        <v>38436.42</v>
      </c>
      <c r="U67" s="106">
        <f t="shared" si="388"/>
        <v>43303.33</v>
      </c>
      <c r="V67" s="106">
        <f t="shared" si="388"/>
        <v>73954.97</v>
      </c>
      <c r="W67" s="106">
        <f t="shared" si="388"/>
        <v>39993.33</v>
      </c>
      <c r="X67" s="106">
        <f t="shared" si="388"/>
        <v>0</v>
      </c>
      <c r="Y67" s="106">
        <f t="shared" si="388"/>
        <v>0</v>
      </c>
      <c r="Z67" s="106">
        <f t="shared" si="388"/>
        <v>0</v>
      </c>
      <c r="AA67" s="106">
        <f t="shared" si="389"/>
        <v>1033692.9299999999</v>
      </c>
      <c r="AB67" s="118"/>
      <c r="AC67" s="106">
        <f t="shared" si="390"/>
        <v>0</v>
      </c>
      <c r="AD67" s="106">
        <f t="shared" si="390"/>
        <v>0</v>
      </c>
      <c r="AE67" s="106">
        <f t="shared" si="390"/>
        <v>0</v>
      </c>
      <c r="AF67" s="106">
        <f t="shared" si="390"/>
        <v>0</v>
      </c>
      <c r="AG67" s="106">
        <f t="shared" si="390"/>
        <v>0</v>
      </c>
      <c r="AH67" s="106">
        <f t="shared" si="390"/>
        <v>0</v>
      </c>
      <c r="AI67" s="106">
        <f t="shared" si="390"/>
        <v>0</v>
      </c>
      <c r="AJ67" s="106">
        <f t="shared" si="390"/>
        <v>0</v>
      </c>
      <c r="AK67" s="106">
        <f t="shared" si="390"/>
        <v>0</v>
      </c>
      <c r="AL67" s="106">
        <f t="shared" si="390"/>
        <v>0</v>
      </c>
      <c r="AM67" s="106">
        <f t="shared" si="390"/>
        <v>0</v>
      </c>
      <c r="AN67" s="106">
        <f t="shared" si="390"/>
        <v>0</v>
      </c>
      <c r="AO67" s="106">
        <f t="shared" si="391"/>
        <v>0</v>
      </c>
      <c r="AP67" s="106"/>
      <c r="AQ67" s="106">
        <f>+PMGR!AQ67+BP!AQ67</f>
        <v>16102.5</v>
      </c>
      <c r="AR67" s="106">
        <f>+PMGR!AR67+BP!AR67</f>
        <v>51356.82</v>
      </c>
      <c r="AS67" s="106">
        <f>+PMGR!AS67+BP!AS67</f>
        <v>33052.449999999997</v>
      </c>
      <c r="AT67" s="106">
        <f>+PMGR!AT67+BP!AT67</f>
        <v>47458.6</v>
      </c>
      <c r="AU67" s="106">
        <f>+PMGR!AU67+BP!AU67</f>
        <v>640127.81999999995</v>
      </c>
      <c r="AV67" s="106">
        <f>+PMGR!AV67+BP!AV67</f>
        <v>365384.82</v>
      </c>
      <c r="AW67" s="106">
        <f>+PMGR!AW67+BP!AW67</f>
        <v>24577.5</v>
      </c>
      <c r="AX67" s="106">
        <f>+PMGR!AX67+BP!AX67</f>
        <v>626835</v>
      </c>
      <c r="AY67" s="106">
        <f>+PMGR!AY67+BP!AY67</f>
        <v>0</v>
      </c>
      <c r="AZ67" s="106">
        <f>+PMGR!AZ67+BP!AZ67</f>
        <v>0</v>
      </c>
      <c r="BA67" s="106">
        <f>+PMGR!BA67+BP!BA67</f>
        <v>0</v>
      </c>
      <c r="BB67" s="106">
        <f>+PMGR!BB67+BP!BB67</f>
        <v>0</v>
      </c>
      <c r="BC67" s="106">
        <f t="shared" si="392"/>
        <v>1804895.51</v>
      </c>
      <c r="BD67" s="7" t="str">
        <f t="shared" si="16"/>
        <v>Logistic and Facilitation</v>
      </c>
      <c r="BE67" s="106">
        <f>+PMGR!BE67+BP!BE67</f>
        <v>0</v>
      </c>
      <c r="BF67" s="106">
        <f>+PMGR!BF67+BP!BF67</f>
        <v>0</v>
      </c>
      <c r="BG67" s="106">
        <f>+PMGR!BG67+BP!BG67</f>
        <v>31357.5</v>
      </c>
      <c r="BH67" s="106">
        <f>+PMGR!BH67+BP!BH67</f>
        <v>71512.58</v>
      </c>
      <c r="BI67" s="106">
        <f>+PMGR!BI67+BP!BI67</f>
        <v>735134.8</v>
      </c>
      <c r="BJ67" s="106">
        <f>+PMGR!BJ67+BP!BJ67</f>
        <v>38436.42</v>
      </c>
      <c r="BK67" s="106">
        <f>+PMGR!BK67+BP!BK67</f>
        <v>43303.33</v>
      </c>
      <c r="BL67" s="106">
        <f>+PMGR!BL67+BP!BL67</f>
        <v>73954.97</v>
      </c>
      <c r="BM67" s="106">
        <f>+PMGR!BM67+BP!BM67</f>
        <v>39993.33</v>
      </c>
      <c r="BN67" s="106">
        <f>+PMGR!BN67+BP!BN67</f>
        <v>0</v>
      </c>
      <c r="BO67" s="106">
        <f>+PMGR!BO67+BP!BO67</f>
        <v>0</v>
      </c>
      <c r="BP67" s="106">
        <f>+PMGR!BP67+BP!BP67</f>
        <v>0</v>
      </c>
      <c r="BQ67" s="106">
        <f t="shared" si="393"/>
        <v>1033692.9299999999</v>
      </c>
      <c r="BR67" s="118"/>
      <c r="BS67" s="106">
        <f>+PMGR!BS67+BP!BS67</f>
        <v>0</v>
      </c>
      <c r="BT67" s="106">
        <f>+PMGR!BT67+BP!BT67</f>
        <v>0</v>
      </c>
      <c r="BU67" s="106">
        <f>+PMGR!BU67+BP!BU67</f>
        <v>0</v>
      </c>
      <c r="BV67" s="106">
        <f>+PMGR!BV67+BP!BV67</f>
        <v>0</v>
      </c>
      <c r="BW67" s="106">
        <f>+PMGR!BW67+BP!BW67</f>
        <v>0</v>
      </c>
      <c r="BX67" s="106">
        <f>+PMGR!BX67+BP!BX67</f>
        <v>0</v>
      </c>
      <c r="BY67" s="106">
        <f>+PMGR!BY67+BP!BY67</f>
        <v>0</v>
      </c>
      <c r="BZ67" s="106">
        <f>+PMGR!BZ67+BP!BZ67</f>
        <v>0</v>
      </c>
      <c r="CA67" s="106">
        <f>+PMGR!CA67+BP!CA67</f>
        <v>0</v>
      </c>
      <c r="CB67" s="106">
        <f>+PMGR!CB67+BP!CB67</f>
        <v>0</v>
      </c>
      <c r="CC67" s="106">
        <f>+PMGR!CC67+BP!CC67</f>
        <v>0</v>
      </c>
      <c r="CD67" s="106">
        <f>+PMGR!CD67+BP!CD67</f>
        <v>0</v>
      </c>
      <c r="CE67" s="106">
        <f t="shared" si="394"/>
        <v>0</v>
      </c>
      <c r="CF67" s="106"/>
      <c r="CG67" s="106">
        <f>+PMGR!CG67+BP!CG67</f>
        <v>0</v>
      </c>
      <c r="CH67" s="106">
        <f>+PMGR!CH67+BP!CH67</f>
        <v>0</v>
      </c>
      <c r="CI67" s="106">
        <f>+PMGR!CI67+BP!CI67</f>
        <v>0</v>
      </c>
      <c r="CJ67" s="106">
        <f>+PMGR!CJ67+BP!CJ67</f>
        <v>0</v>
      </c>
      <c r="CK67" s="106">
        <f>+PMGR!CK67+BP!CK67</f>
        <v>0</v>
      </c>
      <c r="CL67" s="106">
        <f>+PMGR!CL67+BP!CL67</f>
        <v>0</v>
      </c>
      <c r="CM67" s="106">
        <f>+PMGR!CM67+BP!CM67</f>
        <v>0</v>
      </c>
      <c r="CN67" s="106">
        <f>+PMGR!CN67+BP!CN67</f>
        <v>0</v>
      </c>
      <c r="CO67" s="106">
        <f>+PMGR!CO67+BP!CO67</f>
        <v>0</v>
      </c>
      <c r="CP67" s="106">
        <f>+PMGR!CP67+BP!CP67</f>
        <v>0</v>
      </c>
      <c r="CQ67" s="106">
        <f>+PMGR!CQ67+BP!CQ67</f>
        <v>0</v>
      </c>
      <c r="CR67" s="106">
        <f>+PMGR!CR67+BP!CR67</f>
        <v>0</v>
      </c>
      <c r="CS67" s="106">
        <f t="shared" si="395"/>
        <v>0</v>
      </c>
      <c r="CT67" s="7" t="str">
        <f t="shared" si="20"/>
        <v>Logistic and Facilitation</v>
      </c>
      <c r="CU67" s="106">
        <f>+PMGR!CU67+BP!CU67</f>
        <v>0</v>
      </c>
      <c r="CV67" s="106">
        <f>+PMGR!CV67+BP!CV67</f>
        <v>0</v>
      </c>
      <c r="CW67" s="106">
        <f>+PMGR!CW67+BP!CW67</f>
        <v>0</v>
      </c>
      <c r="CX67" s="106">
        <f>+PMGR!CX67+BP!CX67</f>
        <v>0</v>
      </c>
      <c r="CY67" s="106">
        <f>+PMGR!CY67+BP!CY67</f>
        <v>0</v>
      </c>
      <c r="CZ67" s="106">
        <f>+PMGR!CZ67+BP!CZ67</f>
        <v>0</v>
      </c>
      <c r="DA67" s="106">
        <f>+PMGR!DA67+BP!DA67</f>
        <v>0</v>
      </c>
      <c r="DB67" s="106">
        <f>+PMGR!DB67+BP!DB67</f>
        <v>0</v>
      </c>
      <c r="DC67" s="106">
        <f>+PMGR!DC67+BP!DC67</f>
        <v>0</v>
      </c>
      <c r="DD67" s="106">
        <f>+PMGR!DD67+BP!DD67</f>
        <v>0</v>
      </c>
      <c r="DE67" s="106">
        <f>+PMGR!DE67+BP!DE67</f>
        <v>0</v>
      </c>
      <c r="DF67" s="106">
        <f>+PMGR!DF67+BP!DF67</f>
        <v>0</v>
      </c>
      <c r="DG67" s="106">
        <f t="shared" si="396"/>
        <v>0</v>
      </c>
      <c r="DH67" s="118"/>
      <c r="DI67" s="106">
        <f>+PMGR!DI67+BP!DI67</f>
        <v>0</v>
      </c>
      <c r="DJ67" s="106">
        <f>+PMGR!DJ67+BP!DJ67</f>
        <v>0</v>
      </c>
      <c r="DK67" s="106">
        <f>+PMGR!DK67+BP!DK67</f>
        <v>0</v>
      </c>
      <c r="DL67" s="106">
        <f>+PMGR!DL67+BP!DL67</f>
        <v>0</v>
      </c>
      <c r="DM67" s="106">
        <f>+PMGR!DM67+BP!DM67</f>
        <v>0</v>
      </c>
      <c r="DN67" s="106">
        <f>+PMGR!DN67+BP!DN67</f>
        <v>0</v>
      </c>
      <c r="DO67" s="106">
        <f>+PMGR!DO67+BP!DO67</f>
        <v>0</v>
      </c>
      <c r="DP67" s="106">
        <f>+PMGR!DP67+BP!DP67</f>
        <v>0</v>
      </c>
      <c r="DQ67" s="106">
        <f>+PMGR!DQ67+BP!DQ67</f>
        <v>0</v>
      </c>
      <c r="DR67" s="106">
        <f>+PMGR!DR67+BP!DR67</f>
        <v>0</v>
      </c>
      <c r="DS67" s="106">
        <f>+PMGR!DS67+BP!DS67</f>
        <v>0</v>
      </c>
      <c r="DT67" s="106">
        <f>+PMGR!DT67+BP!DT67</f>
        <v>0</v>
      </c>
      <c r="DU67" s="106">
        <f t="shared" si="397"/>
        <v>0</v>
      </c>
      <c r="DV67" s="106"/>
      <c r="DW67" s="106">
        <f>+PMGR!DW67+BP!DW67</f>
        <v>0</v>
      </c>
      <c r="DX67" s="106">
        <f>+PMGR!DX67+BP!DX67</f>
        <v>0</v>
      </c>
      <c r="DY67" s="106">
        <f>+PMGR!DY67+BP!DY67</f>
        <v>0</v>
      </c>
      <c r="DZ67" s="106">
        <f>+PMGR!DZ67+BP!DZ67</f>
        <v>0</v>
      </c>
      <c r="EA67" s="106">
        <f>+PMGR!EA67+BP!EA67</f>
        <v>0</v>
      </c>
      <c r="EB67" s="106">
        <f>+PMGR!EB67+BP!EB67</f>
        <v>0</v>
      </c>
      <c r="EC67" s="106">
        <f>+PMGR!EC67+BP!EC67</f>
        <v>0</v>
      </c>
      <c r="ED67" s="106">
        <f>+PMGR!ED67+BP!ED67</f>
        <v>0</v>
      </c>
      <c r="EE67" s="106">
        <f>+PMGR!EE67+BP!EE67</f>
        <v>0</v>
      </c>
      <c r="EF67" s="106">
        <f>+PMGR!EF67+BP!EF67</f>
        <v>0</v>
      </c>
      <c r="EG67" s="106">
        <f>+PMGR!EG67+BP!EG67</f>
        <v>0</v>
      </c>
      <c r="EH67" s="106">
        <f>+PMGR!EH67+BP!EH67</f>
        <v>0</v>
      </c>
      <c r="EI67" s="106">
        <f t="shared" si="398"/>
        <v>0</v>
      </c>
      <c r="EJ67" s="7" t="str">
        <f t="shared" si="93"/>
        <v>Logistic and Facilitation</v>
      </c>
      <c r="EK67" s="106">
        <f>+PMGR!EK67+BP!EK67</f>
        <v>0</v>
      </c>
      <c r="EL67" s="106">
        <f>+PMGR!EL67+BP!EL67</f>
        <v>0</v>
      </c>
      <c r="EM67" s="106">
        <f>+PMGR!EM67+BP!EM67</f>
        <v>0</v>
      </c>
      <c r="EN67" s="106">
        <f>+PMGR!EN67+BP!EN67</f>
        <v>0</v>
      </c>
      <c r="EO67" s="106">
        <f>+PMGR!EO67+BP!EO67</f>
        <v>0</v>
      </c>
      <c r="EP67" s="106">
        <f>+PMGR!EP67+BP!EP67</f>
        <v>0</v>
      </c>
      <c r="EQ67" s="106">
        <f>+PMGR!EQ67+BP!EQ67</f>
        <v>0</v>
      </c>
      <c r="ER67" s="106">
        <f>+PMGR!ER67+BP!ER67</f>
        <v>0</v>
      </c>
      <c r="ES67" s="106">
        <f>+PMGR!ES67+BP!ES67</f>
        <v>0</v>
      </c>
      <c r="ET67" s="106">
        <f>+PMGR!ET67+BP!ET67</f>
        <v>0</v>
      </c>
      <c r="EU67" s="106">
        <f>+PMGR!EU67+BP!EU67</f>
        <v>0</v>
      </c>
      <c r="EV67" s="106">
        <f>+PMGR!EV67+BP!EV67</f>
        <v>0</v>
      </c>
      <c r="EW67" s="106">
        <f t="shared" si="399"/>
        <v>0</v>
      </c>
      <c r="EX67" s="118"/>
      <c r="EY67" s="106">
        <f>+PMGR!EY67+BP!EY67</f>
        <v>0</v>
      </c>
      <c r="EZ67" s="106">
        <f>+PMGR!EZ67+BP!EZ67</f>
        <v>0</v>
      </c>
      <c r="FA67" s="106">
        <f>+PMGR!FA67+BP!FA67</f>
        <v>0</v>
      </c>
      <c r="FB67" s="106">
        <f>+PMGR!FB67+BP!FB67</f>
        <v>0</v>
      </c>
      <c r="FC67" s="106">
        <f>+PMGR!FC67+BP!FC67</f>
        <v>0</v>
      </c>
      <c r="FD67" s="106">
        <f>+PMGR!FD67+BP!FD67</f>
        <v>0</v>
      </c>
      <c r="FE67" s="106">
        <f>+PMGR!FE67+BP!FE67</f>
        <v>0</v>
      </c>
      <c r="FF67" s="106">
        <f>+PMGR!FF67+BP!FF67</f>
        <v>0</v>
      </c>
      <c r="FG67" s="106">
        <f>+PMGR!FG67+BP!FG67</f>
        <v>0</v>
      </c>
      <c r="FH67" s="106">
        <f>+PMGR!FH67+BP!FH67</f>
        <v>0</v>
      </c>
      <c r="FI67" s="106">
        <f>+PMGR!FI67+BP!FI67</f>
        <v>0</v>
      </c>
      <c r="FJ67" s="106">
        <f>+PMGR!FJ67+BP!FJ67</f>
        <v>0</v>
      </c>
      <c r="FK67" s="106">
        <f t="shared" si="400"/>
        <v>0</v>
      </c>
    </row>
    <row r="68" spans="1:167" ht="14.45" hidden="1" customHeight="1" outlineLevel="1">
      <c r="A68" s="106">
        <f t="shared" si="386"/>
        <v>0</v>
      </c>
      <c r="B68" s="106">
        <f t="shared" si="386"/>
        <v>0</v>
      </c>
      <c r="C68" s="106">
        <f t="shared" si="386"/>
        <v>0</v>
      </c>
      <c r="D68" s="106">
        <f t="shared" si="386"/>
        <v>0</v>
      </c>
      <c r="E68" s="106">
        <f t="shared" si="386"/>
        <v>0</v>
      </c>
      <c r="F68" s="106">
        <f t="shared" si="386"/>
        <v>0</v>
      </c>
      <c r="G68" s="106">
        <f t="shared" si="386"/>
        <v>0</v>
      </c>
      <c r="H68" s="106">
        <f t="shared" si="386"/>
        <v>0</v>
      </c>
      <c r="I68" s="106">
        <f t="shared" si="386"/>
        <v>0</v>
      </c>
      <c r="J68" s="106">
        <f t="shared" si="386"/>
        <v>0</v>
      </c>
      <c r="K68" s="106">
        <f t="shared" si="386"/>
        <v>0</v>
      </c>
      <c r="L68" s="106">
        <f t="shared" si="386"/>
        <v>0</v>
      </c>
      <c r="M68" s="106">
        <f t="shared" si="387"/>
        <v>0</v>
      </c>
      <c r="N68" s="7" t="s">
        <v>54</v>
      </c>
      <c r="O68" s="106">
        <f t="shared" si="388"/>
        <v>28309.364999999998</v>
      </c>
      <c r="P68" s="106">
        <f t="shared" si="388"/>
        <v>42140.830499999996</v>
      </c>
      <c r="Q68" s="106">
        <f t="shared" si="388"/>
        <v>61586.392499999987</v>
      </c>
      <c r="R68" s="106">
        <f t="shared" si="388"/>
        <v>38976.727499999994</v>
      </c>
      <c r="S68" s="106">
        <f t="shared" si="388"/>
        <v>0</v>
      </c>
      <c r="T68" s="106">
        <f t="shared" si="388"/>
        <v>26906.256000000001</v>
      </c>
      <c r="U68" s="106">
        <f t="shared" si="388"/>
        <v>28618.289999999994</v>
      </c>
      <c r="V68" s="106">
        <f t="shared" si="388"/>
        <v>47640.046499999997</v>
      </c>
      <c r="W68" s="106">
        <f t="shared" si="388"/>
        <v>36758.042999999998</v>
      </c>
      <c r="X68" s="106">
        <f t="shared" si="388"/>
        <v>32672.2605</v>
      </c>
      <c r="Y68" s="106">
        <f t="shared" si="388"/>
        <v>0</v>
      </c>
      <c r="Z68" s="106">
        <f t="shared" si="388"/>
        <v>0</v>
      </c>
      <c r="AA68" s="106">
        <f t="shared" si="389"/>
        <v>343608.21149999992</v>
      </c>
      <c r="AB68" s="118"/>
      <c r="AC68" s="106">
        <f t="shared" si="390"/>
        <v>0</v>
      </c>
      <c r="AD68" s="106">
        <f t="shared" si="390"/>
        <v>0</v>
      </c>
      <c r="AE68" s="106">
        <f t="shared" si="390"/>
        <v>0</v>
      </c>
      <c r="AF68" s="106">
        <f t="shared" si="390"/>
        <v>0</v>
      </c>
      <c r="AG68" s="106">
        <f t="shared" si="390"/>
        <v>0</v>
      </c>
      <c r="AH68" s="106">
        <f t="shared" si="390"/>
        <v>0</v>
      </c>
      <c r="AI68" s="106">
        <f t="shared" si="390"/>
        <v>0</v>
      </c>
      <c r="AJ68" s="106">
        <f t="shared" si="390"/>
        <v>0</v>
      </c>
      <c r="AK68" s="106">
        <f t="shared" si="390"/>
        <v>0</v>
      </c>
      <c r="AL68" s="106">
        <f t="shared" si="390"/>
        <v>0</v>
      </c>
      <c r="AM68" s="106">
        <f t="shared" si="390"/>
        <v>0</v>
      </c>
      <c r="AN68" s="106">
        <f t="shared" si="390"/>
        <v>0</v>
      </c>
      <c r="AO68" s="106">
        <f t="shared" si="391"/>
        <v>0</v>
      </c>
      <c r="AP68" s="106"/>
      <c r="AQ68" s="106">
        <f>+PMGR!AQ68+BP!AQ68</f>
        <v>0</v>
      </c>
      <c r="AR68" s="106">
        <f>+PMGR!AR68+BP!AR68</f>
        <v>0</v>
      </c>
      <c r="AS68" s="106">
        <f>+PMGR!AS68+BP!AS68</f>
        <v>0</v>
      </c>
      <c r="AT68" s="106">
        <f>+PMGR!AT68+BP!AT68</f>
        <v>0</v>
      </c>
      <c r="AU68" s="106">
        <f>+PMGR!AU68+BP!AU68</f>
        <v>0</v>
      </c>
      <c r="AV68" s="106">
        <f>+PMGR!AV68+BP!AV68</f>
        <v>0</v>
      </c>
      <c r="AW68" s="106">
        <f>+PMGR!AW68+BP!AW68</f>
        <v>0</v>
      </c>
      <c r="AX68" s="106">
        <f>+PMGR!AX68+BP!AX68</f>
        <v>0</v>
      </c>
      <c r="AY68" s="106">
        <f>+PMGR!AY68+BP!AY68</f>
        <v>0</v>
      </c>
      <c r="AZ68" s="106">
        <f>+PMGR!AZ68+BP!AZ68</f>
        <v>0</v>
      </c>
      <c r="BA68" s="106">
        <f>+PMGR!BA68+BP!BA68</f>
        <v>0</v>
      </c>
      <c r="BB68" s="106">
        <f>+PMGR!BB68+BP!BB68</f>
        <v>0</v>
      </c>
      <c r="BC68" s="106">
        <f t="shared" si="392"/>
        <v>0</v>
      </c>
      <c r="BD68" s="7" t="str">
        <f t="shared" si="16"/>
        <v>Bank Interest</v>
      </c>
      <c r="BE68" s="106">
        <f>+PMGR!BE68+BP!BE68</f>
        <v>18872.91</v>
      </c>
      <c r="BF68" s="106">
        <f>+PMGR!BF68+BP!BF68</f>
        <v>28093.886999999995</v>
      </c>
      <c r="BG68" s="106">
        <f>+PMGR!BG68+BP!BG68</f>
        <v>41057.594999999994</v>
      </c>
      <c r="BH68" s="106">
        <f>+PMGR!BH68+BP!BH68</f>
        <v>25984.484999999997</v>
      </c>
      <c r="BI68" s="106">
        <f>+PMGR!BI68+BP!BI68</f>
        <v>0</v>
      </c>
      <c r="BJ68" s="106">
        <f>+PMGR!BJ68+BP!BJ68</f>
        <v>17937.504000000001</v>
      </c>
      <c r="BK68" s="106">
        <f>+PMGR!BK68+BP!BK68</f>
        <v>19078.859999999997</v>
      </c>
      <c r="BL68" s="106">
        <f>+PMGR!BL68+BP!BL68</f>
        <v>31760.030999999999</v>
      </c>
      <c r="BM68" s="106">
        <f>+PMGR!BM68+BP!BM68</f>
        <v>24505.361999999997</v>
      </c>
      <c r="BN68" s="106">
        <f>+PMGR!BN68+BP!BN68</f>
        <v>17821.233</v>
      </c>
      <c r="BO68" s="106">
        <f>+PMGR!BO68+BP!BO68</f>
        <v>0</v>
      </c>
      <c r="BP68" s="106">
        <f>+PMGR!BP68+BP!BP68</f>
        <v>0</v>
      </c>
      <c r="BQ68" s="106">
        <f t="shared" si="393"/>
        <v>225111.86699999997</v>
      </c>
      <c r="BR68" s="118"/>
      <c r="BS68" s="106">
        <f>+PMGR!BS68+BP!BS68</f>
        <v>0</v>
      </c>
      <c r="BT68" s="106">
        <f>+PMGR!BT68+BP!BT68</f>
        <v>0</v>
      </c>
      <c r="BU68" s="106">
        <f>+PMGR!BU68+BP!BU68</f>
        <v>0</v>
      </c>
      <c r="BV68" s="106">
        <f>+PMGR!BV68+BP!BV68</f>
        <v>0</v>
      </c>
      <c r="BW68" s="106">
        <f>+PMGR!BW68+BP!BW68</f>
        <v>0</v>
      </c>
      <c r="BX68" s="106">
        <f>+PMGR!BX68+BP!BX68</f>
        <v>0</v>
      </c>
      <c r="BY68" s="106">
        <f>+PMGR!BY68+BP!BY68</f>
        <v>0</v>
      </c>
      <c r="BZ68" s="106">
        <f>+PMGR!BZ68+BP!BZ68</f>
        <v>0</v>
      </c>
      <c r="CA68" s="106">
        <f>+PMGR!CA68+BP!CA68</f>
        <v>0</v>
      </c>
      <c r="CB68" s="106">
        <f>+PMGR!CB68+BP!CB68</f>
        <v>0</v>
      </c>
      <c r="CC68" s="106">
        <f>+PMGR!CC68+BP!CC68</f>
        <v>0</v>
      </c>
      <c r="CD68" s="106">
        <f>+PMGR!CD68+BP!CD68</f>
        <v>0</v>
      </c>
      <c r="CE68" s="106">
        <f t="shared" si="394"/>
        <v>0</v>
      </c>
      <c r="CF68" s="106"/>
      <c r="CG68" s="106">
        <f>+PMGR!CG68+BP!CG68</f>
        <v>0</v>
      </c>
      <c r="CH68" s="106">
        <f>+PMGR!CH68+BP!CH68</f>
        <v>0</v>
      </c>
      <c r="CI68" s="106">
        <f>+PMGR!CI68+BP!CI68</f>
        <v>0</v>
      </c>
      <c r="CJ68" s="106">
        <f>+PMGR!CJ68+BP!CJ68</f>
        <v>0</v>
      </c>
      <c r="CK68" s="106">
        <f>+PMGR!CK68+BP!CK68</f>
        <v>0</v>
      </c>
      <c r="CL68" s="106">
        <f>+PMGR!CL68+BP!CL68</f>
        <v>0</v>
      </c>
      <c r="CM68" s="106">
        <f>+PMGR!CM68+BP!CM68</f>
        <v>0</v>
      </c>
      <c r="CN68" s="106">
        <f>+PMGR!CN68+BP!CN68</f>
        <v>0</v>
      </c>
      <c r="CO68" s="106">
        <f>+PMGR!CO68+BP!CO68</f>
        <v>0</v>
      </c>
      <c r="CP68" s="106">
        <f>+PMGR!CP68+BP!CP68</f>
        <v>0</v>
      </c>
      <c r="CQ68" s="106">
        <f>+PMGR!CQ68+BP!CQ68</f>
        <v>0</v>
      </c>
      <c r="CR68" s="106">
        <f>+PMGR!CR68+BP!CR68</f>
        <v>0</v>
      </c>
      <c r="CS68" s="106">
        <f t="shared" si="395"/>
        <v>0</v>
      </c>
      <c r="CT68" s="7" t="str">
        <f t="shared" si="20"/>
        <v>Bank Interest</v>
      </c>
      <c r="CU68" s="106">
        <f>+PMGR!CU68+BP!CU68</f>
        <v>9436.4549999999999</v>
      </c>
      <c r="CV68" s="106">
        <f>+PMGR!CV68+BP!CV68</f>
        <v>14046.943499999998</v>
      </c>
      <c r="CW68" s="106">
        <f>+PMGR!CW68+BP!CW68</f>
        <v>20528.797499999997</v>
      </c>
      <c r="CX68" s="106">
        <f>+PMGR!CX68+BP!CX68</f>
        <v>12992.242499999998</v>
      </c>
      <c r="CY68" s="106">
        <f>+PMGR!CY68+BP!CY68</f>
        <v>0</v>
      </c>
      <c r="CZ68" s="106">
        <f>+PMGR!CZ68+BP!CZ68</f>
        <v>8968.7520000000004</v>
      </c>
      <c r="DA68" s="106">
        <f>+PMGR!DA68+BP!DA68</f>
        <v>9539.4299999999985</v>
      </c>
      <c r="DB68" s="106">
        <f>+PMGR!DB68+BP!DB68</f>
        <v>15880.0155</v>
      </c>
      <c r="DC68" s="106">
        <f>+PMGR!DC68+BP!DC68</f>
        <v>12252.680999999999</v>
      </c>
      <c r="DD68" s="106">
        <f>+PMGR!DD68+BP!DD68</f>
        <v>8910.6165000000001</v>
      </c>
      <c r="DE68" s="106">
        <f>+PMGR!DE68+BP!DE68</f>
        <v>0</v>
      </c>
      <c r="DF68" s="106">
        <f>+PMGR!DF68+BP!DF68</f>
        <v>0</v>
      </c>
      <c r="DG68" s="106">
        <f t="shared" si="396"/>
        <v>112555.93349999998</v>
      </c>
      <c r="DH68" s="118"/>
      <c r="DI68" s="106">
        <f>+PMGR!DI68+BP!DI68</f>
        <v>0</v>
      </c>
      <c r="DJ68" s="106">
        <f>+PMGR!DJ68+BP!DJ68</f>
        <v>0</v>
      </c>
      <c r="DK68" s="106">
        <f>+PMGR!DK68+BP!DK68</f>
        <v>0</v>
      </c>
      <c r="DL68" s="106">
        <f>+PMGR!DL68+BP!DL68</f>
        <v>0</v>
      </c>
      <c r="DM68" s="106">
        <f>+PMGR!DM68+BP!DM68</f>
        <v>0</v>
      </c>
      <c r="DN68" s="106">
        <f>+PMGR!DN68+BP!DN68</f>
        <v>0</v>
      </c>
      <c r="DO68" s="106">
        <f>+PMGR!DO68+BP!DO68</f>
        <v>0</v>
      </c>
      <c r="DP68" s="106">
        <f>+PMGR!DP68+BP!DP68</f>
        <v>0</v>
      </c>
      <c r="DQ68" s="106">
        <f>+PMGR!DQ68+BP!DQ68</f>
        <v>0</v>
      </c>
      <c r="DR68" s="106">
        <f>+PMGR!DR68+BP!DR68</f>
        <v>0</v>
      </c>
      <c r="DS68" s="106">
        <f>+PMGR!DS68+BP!DS68</f>
        <v>0</v>
      </c>
      <c r="DT68" s="106">
        <f>+PMGR!DT68+BP!DT68</f>
        <v>0</v>
      </c>
      <c r="DU68" s="106">
        <f t="shared" si="397"/>
        <v>0</v>
      </c>
      <c r="DV68" s="106"/>
      <c r="DW68" s="106">
        <f>+PMGR!DW68+BP!DW68</f>
        <v>0</v>
      </c>
      <c r="DX68" s="106">
        <f>+PMGR!DX68+BP!DX68</f>
        <v>0</v>
      </c>
      <c r="DY68" s="106">
        <f>+PMGR!DY68+BP!DY68</f>
        <v>0</v>
      </c>
      <c r="DZ68" s="106">
        <f>+PMGR!DZ68+BP!DZ68</f>
        <v>0</v>
      </c>
      <c r="EA68" s="106">
        <f>+PMGR!EA68+BP!EA68</f>
        <v>0</v>
      </c>
      <c r="EB68" s="106">
        <f>+PMGR!EB68+BP!EB68</f>
        <v>0</v>
      </c>
      <c r="EC68" s="106">
        <f>+PMGR!EC68+BP!EC68</f>
        <v>0</v>
      </c>
      <c r="ED68" s="106">
        <f>+PMGR!ED68+BP!ED68</f>
        <v>0</v>
      </c>
      <c r="EE68" s="106">
        <f>+PMGR!EE68+BP!EE68</f>
        <v>0</v>
      </c>
      <c r="EF68" s="106">
        <f>+PMGR!EF68+BP!EF68</f>
        <v>0</v>
      </c>
      <c r="EG68" s="106">
        <f>+PMGR!EG68+BP!EG68</f>
        <v>0</v>
      </c>
      <c r="EH68" s="106">
        <f>+PMGR!EH68+BP!EH68</f>
        <v>0</v>
      </c>
      <c r="EI68" s="106">
        <f t="shared" si="398"/>
        <v>0</v>
      </c>
      <c r="EJ68" s="7" t="str">
        <f t="shared" si="93"/>
        <v>Bank Interest</v>
      </c>
      <c r="EK68" s="106">
        <f>+PMGR!EK68+BP!EK68</f>
        <v>0</v>
      </c>
      <c r="EL68" s="106">
        <f>+PMGR!EL68+BP!EL68</f>
        <v>0</v>
      </c>
      <c r="EM68" s="106">
        <f>+PMGR!EM68+BP!EM68</f>
        <v>0</v>
      </c>
      <c r="EN68" s="106">
        <f>+PMGR!EN68+BP!EN68</f>
        <v>0</v>
      </c>
      <c r="EO68" s="106">
        <f>+PMGR!EO68+BP!EO68</f>
        <v>0</v>
      </c>
      <c r="EP68" s="106">
        <f>+PMGR!EP68+BP!EP68</f>
        <v>0</v>
      </c>
      <c r="EQ68" s="106">
        <f>+PMGR!EQ68+BP!EQ68</f>
        <v>0</v>
      </c>
      <c r="ER68" s="106">
        <f>+PMGR!ER68+BP!ER68</f>
        <v>0</v>
      </c>
      <c r="ES68" s="106">
        <f>+PMGR!ES68+BP!ES68</f>
        <v>0</v>
      </c>
      <c r="ET68" s="106">
        <f>+PMGR!ET68+BP!ET68</f>
        <v>5940.4110000000001</v>
      </c>
      <c r="EU68" s="106">
        <f>+PMGR!EU68+BP!EU68</f>
        <v>0</v>
      </c>
      <c r="EV68" s="106">
        <f>+PMGR!EV68+BP!EV68</f>
        <v>0</v>
      </c>
      <c r="EW68" s="106">
        <f t="shared" si="399"/>
        <v>5940.4110000000001</v>
      </c>
      <c r="EX68" s="118"/>
      <c r="EY68" s="106">
        <f>+PMGR!EY68+BP!EY68</f>
        <v>0</v>
      </c>
      <c r="EZ68" s="106">
        <f>+PMGR!EZ68+BP!EZ68</f>
        <v>0</v>
      </c>
      <c r="FA68" s="106">
        <f>+PMGR!FA68+BP!FA68</f>
        <v>0</v>
      </c>
      <c r="FB68" s="106">
        <f>+PMGR!FB68+BP!FB68</f>
        <v>0</v>
      </c>
      <c r="FC68" s="106">
        <f>+PMGR!FC68+BP!FC68</f>
        <v>0</v>
      </c>
      <c r="FD68" s="106">
        <f>+PMGR!FD68+BP!FD68</f>
        <v>0</v>
      </c>
      <c r="FE68" s="106">
        <f>+PMGR!FE68+BP!FE68</f>
        <v>0</v>
      </c>
      <c r="FF68" s="106">
        <f>+PMGR!FF68+BP!FF68</f>
        <v>0</v>
      </c>
      <c r="FG68" s="106">
        <f>+PMGR!FG68+BP!FG68</f>
        <v>0</v>
      </c>
      <c r="FH68" s="106">
        <f>+PMGR!FH68+BP!FH68</f>
        <v>0</v>
      </c>
      <c r="FI68" s="106">
        <f>+PMGR!FI68+BP!FI68</f>
        <v>0</v>
      </c>
      <c r="FJ68" s="106">
        <f>+PMGR!FJ68+BP!FJ68</f>
        <v>0</v>
      </c>
      <c r="FK68" s="106">
        <f t="shared" si="400"/>
        <v>0</v>
      </c>
    </row>
    <row r="69" spans="1:167" ht="14.45" hidden="1" customHeight="1" outlineLevel="1">
      <c r="A69" s="106">
        <f t="shared" si="386"/>
        <v>0</v>
      </c>
      <c r="B69" s="106">
        <f t="shared" si="386"/>
        <v>0</v>
      </c>
      <c r="C69" s="106">
        <f t="shared" si="386"/>
        <v>0</v>
      </c>
      <c r="D69" s="106">
        <f t="shared" si="386"/>
        <v>0</v>
      </c>
      <c r="E69" s="106">
        <f t="shared" si="386"/>
        <v>0</v>
      </c>
      <c r="F69" s="106">
        <f t="shared" si="386"/>
        <v>0</v>
      </c>
      <c r="G69" s="106">
        <f t="shared" si="386"/>
        <v>0</v>
      </c>
      <c r="H69" s="106">
        <f t="shared" si="386"/>
        <v>0</v>
      </c>
      <c r="I69" s="106">
        <f t="shared" si="386"/>
        <v>0</v>
      </c>
      <c r="J69" s="106">
        <f t="shared" si="386"/>
        <v>0</v>
      </c>
      <c r="K69" s="106">
        <f t="shared" si="386"/>
        <v>0</v>
      </c>
      <c r="L69" s="106">
        <f t="shared" si="386"/>
        <v>0</v>
      </c>
      <c r="M69" s="106">
        <f t="shared" si="387"/>
        <v>0</v>
      </c>
      <c r="N69" s="7" t="s">
        <v>55</v>
      </c>
      <c r="O69" s="106">
        <f t="shared" si="388"/>
        <v>0</v>
      </c>
      <c r="P69" s="106">
        <f t="shared" si="388"/>
        <v>0</v>
      </c>
      <c r="Q69" s="106">
        <f t="shared" si="388"/>
        <v>0</v>
      </c>
      <c r="R69" s="106">
        <f t="shared" si="388"/>
        <v>0</v>
      </c>
      <c r="S69" s="106">
        <f t="shared" si="388"/>
        <v>0</v>
      </c>
      <c r="T69" s="106">
        <f t="shared" si="388"/>
        <v>0</v>
      </c>
      <c r="U69" s="106">
        <f t="shared" si="388"/>
        <v>25019.85</v>
      </c>
      <c r="V69" s="106">
        <f t="shared" si="388"/>
        <v>0</v>
      </c>
      <c r="W69" s="106">
        <f t="shared" si="388"/>
        <v>35685.4</v>
      </c>
      <c r="X69" s="106">
        <f t="shared" si="388"/>
        <v>22995.230000000003</v>
      </c>
      <c r="Y69" s="106">
        <f t="shared" si="388"/>
        <v>0</v>
      </c>
      <c r="Z69" s="106">
        <f t="shared" si="388"/>
        <v>0</v>
      </c>
      <c r="AA69" s="106">
        <f t="shared" si="389"/>
        <v>83700.48000000001</v>
      </c>
      <c r="AB69" s="118"/>
      <c r="AC69" s="106">
        <f t="shared" si="390"/>
        <v>0</v>
      </c>
      <c r="AD69" s="106">
        <f t="shared" si="390"/>
        <v>0</v>
      </c>
      <c r="AE69" s="106">
        <f t="shared" si="390"/>
        <v>0</v>
      </c>
      <c r="AF69" s="106">
        <f t="shared" si="390"/>
        <v>0</v>
      </c>
      <c r="AG69" s="106">
        <f t="shared" si="390"/>
        <v>0</v>
      </c>
      <c r="AH69" s="106">
        <f t="shared" si="390"/>
        <v>0</v>
      </c>
      <c r="AI69" s="106">
        <f t="shared" si="390"/>
        <v>0</v>
      </c>
      <c r="AJ69" s="106">
        <f t="shared" si="390"/>
        <v>0</v>
      </c>
      <c r="AK69" s="106">
        <f t="shared" si="390"/>
        <v>0</v>
      </c>
      <c r="AL69" s="106">
        <f t="shared" si="390"/>
        <v>0</v>
      </c>
      <c r="AM69" s="106">
        <f t="shared" si="390"/>
        <v>0</v>
      </c>
      <c r="AN69" s="106">
        <f t="shared" si="390"/>
        <v>0</v>
      </c>
      <c r="AO69" s="106">
        <f t="shared" si="391"/>
        <v>0</v>
      </c>
      <c r="AP69" s="106"/>
      <c r="AQ69" s="106">
        <f>+PMGR!AQ69+BP!AQ69</f>
        <v>0</v>
      </c>
      <c r="AR69" s="106">
        <f>+PMGR!AR69+BP!AR69</f>
        <v>0</v>
      </c>
      <c r="AS69" s="106">
        <f>+PMGR!AS69+BP!AS69</f>
        <v>0</v>
      </c>
      <c r="AT69" s="106">
        <f>+PMGR!AT69+BP!AT69</f>
        <v>0</v>
      </c>
      <c r="AU69" s="106">
        <f>+PMGR!AU69+BP!AU69</f>
        <v>0</v>
      </c>
      <c r="AV69" s="106">
        <f>+PMGR!AV69+BP!AV69</f>
        <v>0</v>
      </c>
      <c r="AW69" s="106">
        <f>+PMGR!AW69+BP!AW69</f>
        <v>0</v>
      </c>
      <c r="AX69" s="106">
        <f>+PMGR!AX69+BP!AX69</f>
        <v>0</v>
      </c>
      <c r="AY69" s="106">
        <f>+PMGR!AY69+BP!AY69</f>
        <v>0</v>
      </c>
      <c r="AZ69" s="106">
        <f>+PMGR!AZ69+BP!AZ69</f>
        <v>0</v>
      </c>
      <c r="BA69" s="106">
        <f>+PMGR!BA69+BP!BA69</f>
        <v>0</v>
      </c>
      <c r="BB69" s="106">
        <f>+PMGR!BB69+BP!BB69</f>
        <v>0</v>
      </c>
      <c r="BC69" s="106">
        <f t="shared" si="392"/>
        <v>0</v>
      </c>
      <c r="BD69" s="7" t="str">
        <f t="shared" si="16"/>
        <v>Others</v>
      </c>
      <c r="BE69" s="106">
        <f>+PMGR!BE69+BP!BE69</f>
        <v>0</v>
      </c>
      <c r="BF69" s="106">
        <f>+PMGR!BF69+BP!BF69</f>
        <v>0</v>
      </c>
      <c r="BG69" s="106">
        <f>+PMGR!BG69+BP!BG69</f>
        <v>0</v>
      </c>
      <c r="BH69" s="106">
        <f>+PMGR!BH69+BP!BH69</f>
        <v>0</v>
      </c>
      <c r="BI69" s="106">
        <f>+PMGR!BI69+BP!BI69</f>
        <v>0</v>
      </c>
      <c r="BJ69" s="106">
        <f>+PMGR!BJ69+BP!BJ69</f>
        <v>0</v>
      </c>
      <c r="BK69" s="106">
        <f>+PMGR!BK69+BP!BK69</f>
        <v>15453.849999999999</v>
      </c>
      <c r="BL69" s="106">
        <f>+PMGR!BL69+BP!BL69</f>
        <v>0</v>
      </c>
      <c r="BM69" s="106">
        <f>+PMGR!BM69+BP!BM69</f>
        <v>35685.4</v>
      </c>
      <c r="BN69" s="106">
        <f>+PMGR!BN69+BP!BN69</f>
        <v>19605.400000000001</v>
      </c>
      <c r="BO69" s="106">
        <f>+PMGR!BO69+BP!BO69</f>
        <v>0</v>
      </c>
      <c r="BP69" s="106">
        <f>+PMGR!BP69+BP!BP69</f>
        <v>0</v>
      </c>
      <c r="BQ69" s="106">
        <f t="shared" si="393"/>
        <v>70744.649999999994</v>
      </c>
      <c r="BR69" s="118"/>
      <c r="BS69" s="106">
        <f>+PMGR!BS69+BP!BS69</f>
        <v>0</v>
      </c>
      <c r="BT69" s="106">
        <f>+PMGR!BT69+BP!BT69</f>
        <v>0</v>
      </c>
      <c r="BU69" s="106">
        <f>+PMGR!BU69+BP!BU69</f>
        <v>0</v>
      </c>
      <c r="BV69" s="106">
        <f>+PMGR!BV69+BP!BV69</f>
        <v>0</v>
      </c>
      <c r="BW69" s="106">
        <f>+PMGR!BW69+BP!BW69</f>
        <v>0</v>
      </c>
      <c r="BX69" s="106">
        <f>+PMGR!BX69+BP!BX69</f>
        <v>0</v>
      </c>
      <c r="BY69" s="106">
        <f>+PMGR!BY69+BP!BY69</f>
        <v>0</v>
      </c>
      <c r="BZ69" s="106">
        <f>+PMGR!BZ69+BP!BZ69</f>
        <v>0</v>
      </c>
      <c r="CA69" s="106">
        <f>+PMGR!CA69+BP!CA69</f>
        <v>0</v>
      </c>
      <c r="CB69" s="106">
        <f>+PMGR!CB69+BP!CB69</f>
        <v>0</v>
      </c>
      <c r="CC69" s="106">
        <f>+PMGR!CC69+BP!CC69</f>
        <v>0</v>
      </c>
      <c r="CD69" s="106">
        <f>+PMGR!CD69+BP!CD69</f>
        <v>0</v>
      </c>
      <c r="CE69" s="106">
        <f t="shared" si="394"/>
        <v>0</v>
      </c>
      <c r="CF69" s="106"/>
      <c r="CG69" s="106">
        <f>+PMGR!CG69+BP!CG69</f>
        <v>0</v>
      </c>
      <c r="CH69" s="106">
        <f>+PMGR!CH69+BP!CH69</f>
        <v>0</v>
      </c>
      <c r="CI69" s="106">
        <f>+PMGR!CI69+BP!CI69</f>
        <v>0</v>
      </c>
      <c r="CJ69" s="106">
        <f>+PMGR!CJ69+BP!CJ69</f>
        <v>0</v>
      </c>
      <c r="CK69" s="106">
        <f>+PMGR!CK69+BP!CK69</f>
        <v>0</v>
      </c>
      <c r="CL69" s="106">
        <f>+PMGR!CL69+BP!CL69</f>
        <v>0</v>
      </c>
      <c r="CM69" s="106">
        <f>+PMGR!CM69+BP!CM69</f>
        <v>0</v>
      </c>
      <c r="CN69" s="106">
        <f>+PMGR!CN69+BP!CN69</f>
        <v>0</v>
      </c>
      <c r="CO69" s="106">
        <f>+PMGR!CO69+BP!CO69</f>
        <v>0</v>
      </c>
      <c r="CP69" s="106">
        <f>+PMGR!CP69+BP!CP69</f>
        <v>0</v>
      </c>
      <c r="CQ69" s="106">
        <f>+PMGR!CQ69+BP!CQ69</f>
        <v>0</v>
      </c>
      <c r="CR69" s="106">
        <f>+PMGR!CR69+BP!CR69</f>
        <v>0</v>
      </c>
      <c r="CS69" s="106">
        <f t="shared" si="395"/>
        <v>0</v>
      </c>
      <c r="CT69" s="7" t="str">
        <f t="shared" si="20"/>
        <v>Others</v>
      </c>
      <c r="CU69" s="106">
        <f>+PMGR!CU69+BP!CU69</f>
        <v>0</v>
      </c>
      <c r="CV69" s="106">
        <f>+PMGR!CV69+BP!CV69</f>
        <v>0</v>
      </c>
      <c r="CW69" s="106">
        <f>+PMGR!CW69+BP!CW69</f>
        <v>0</v>
      </c>
      <c r="CX69" s="106">
        <f>+PMGR!CX69+BP!CX69</f>
        <v>0</v>
      </c>
      <c r="CY69" s="106">
        <f>+PMGR!CY69+BP!CY69</f>
        <v>0</v>
      </c>
      <c r="CZ69" s="106">
        <f>+PMGR!CZ69+BP!CZ69</f>
        <v>0</v>
      </c>
      <c r="DA69" s="106">
        <f>+PMGR!DA69+BP!DA69</f>
        <v>9566</v>
      </c>
      <c r="DB69" s="106">
        <f>+PMGR!DB69+BP!DB69</f>
        <v>0</v>
      </c>
      <c r="DC69" s="106">
        <f>+PMGR!DC69+BP!DC69</f>
        <v>0</v>
      </c>
      <c r="DD69" s="106">
        <f>+PMGR!DD69+BP!DD69</f>
        <v>0</v>
      </c>
      <c r="DE69" s="106">
        <f>+PMGR!DE69+BP!DE69</f>
        <v>0</v>
      </c>
      <c r="DF69" s="106">
        <f>+PMGR!DF69+BP!DF69</f>
        <v>0</v>
      </c>
      <c r="DG69" s="106">
        <f t="shared" si="396"/>
        <v>9566</v>
      </c>
      <c r="DH69" s="118"/>
      <c r="DI69" s="106">
        <f>+PMGR!DI69+BP!DI69</f>
        <v>0</v>
      </c>
      <c r="DJ69" s="106">
        <f>+PMGR!DJ69+BP!DJ69</f>
        <v>0</v>
      </c>
      <c r="DK69" s="106">
        <f>+PMGR!DK69+BP!DK69</f>
        <v>0</v>
      </c>
      <c r="DL69" s="106">
        <f>+PMGR!DL69+BP!DL69</f>
        <v>0</v>
      </c>
      <c r="DM69" s="106">
        <f>+PMGR!DM69+BP!DM69</f>
        <v>0</v>
      </c>
      <c r="DN69" s="106">
        <f>+PMGR!DN69+BP!DN69</f>
        <v>0</v>
      </c>
      <c r="DO69" s="106">
        <f>+PMGR!DO69+BP!DO69</f>
        <v>0</v>
      </c>
      <c r="DP69" s="106">
        <f>+PMGR!DP69+BP!DP69</f>
        <v>0</v>
      </c>
      <c r="DQ69" s="106">
        <f>+PMGR!DQ69+BP!DQ69</f>
        <v>0</v>
      </c>
      <c r="DR69" s="106">
        <f>+PMGR!DR69+BP!DR69</f>
        <v>0</v>
      </c>
      <c r="DS69" s="106">
        <f>+PMGR!DS69+BP!DS69</f>
        <v>0</v>
      </c>
      <c r="DT69" s="106">
        <f>+PMGR!DT69+BP!DT69</f>
        <v>0</v>
      </c>
      <c r="DU69" s="106">
        <f t="shared" si="397"/>
        <v>0</v>
      </c>
      <c r="DV69" s="106"/>
      <c r="DW69" s="106">
        <f>+PMGR!DW69+BP!DW69</f>
        <v>0</v>
      </c>
      <c r="DX69" s="106">
        <f>+PMGR!DX69+BP!DX69</f>
        <v>0</v>
      </c>
      <c r="DY69" s="106">
        <f>+PMGR!DY69+BP!DY69</f>
        <v>0</v>
      </c>
      <c r="DZ69" s="106">
        <f>+PMGR!DZ69+BP!DZ69</f>
        <v>0</v>
      </c>
      <c r="EA69" s="106">
        <f>+PMGR!EA69+BP!EA69</f>
        <v>0</v>
      </c>
      <c r="EB69" s="106">
        <f>+PMGR!EB69+BP!EB69</f>
        <v>0</v>
      </c>
      <c r="EC69" s="106">
        <f>+PMGR!EC69+BP!EC69</f>
        <v>0</v>
      </c>
      <c r="ED69" s="106">
        <f>+PMGR!ED69+BP!ED69</f>
        <v>0</v>
      </c>
      <c r="EE69" s="106">
        <f>+PMGR!EE69+BP!EE69</f>
        <v>0</v>
      </c>
      <c r="EF69" s="106">
        <f>+PMGR!EF69+BP!EF69</f>
        <v>0</v>
      </c>
      <c r="EG69" s="106">
        <f>+PMGR!EG69+BP!EG69</f>
        <v>0</v>
      </c>
      <c r="EH69" s="106">
        <f>+PMGR!EH69+BP!EH69</f>
        <v>0</v>
      </c>
      <c r="EI69" s="106">
        <f t="shared" si="398"/>
        <v>0</v>
      </c>
      <c r="EJ69" s="7" t="str">
        <f t="shared" si="93"/>
        <v>Others</v>
      </c>
      <c r="EK69" s="106">
        <f>+PMGR!EK69+BP!EK69</f>
        <v>0</v>
      </c>
      <c r="EL69" s="106">
        <f>+PMGR!EL69+BP!EL69</f>
        <v>0</v>
      </c>
      <c r="EM69" s="106">
        <f>+PMGR!EM69+BP!EM69</f>
        <v>0</v>
      </c>
      <c r="EN69" s="106">
        <f>+PMGR!EN69+BP!EN69</f>
        <v>0</v>
      </c>
      <c r="EO69" s="106">
        <f>+PMGR!EO69+BP!EO69</f>
        <v>0</v>
      </c>
      <c r="EP69" s="106">
        <f>+PMGR!EP69+BP!EP69</f>
        <v>0</v>
      </c>
      <c r="EQ69" s="106">
        <f>+PMGR!EQ69+BP!EQ69</f>
        <v>0</v>
      </c>
      <c r="ER69" s="106">
        <f>+PMGR!ER69+BP!ER69</f>
        <v>0</v>
      </c>
      <c r="ES69" s="106">
        <f>+PMGR!ES69+BP!ES69</f>
        <v>0</v>
      </c>
      <c r="ET69" s="106">
        <f>+PMGR!ET69+BP!ET69</f>
        <v>3389.83</v>
      </c>
      <c r="EU69" s="106">
        <f>+PMGR!EU69+BP!EU69</f>
        <v>0</v>
      </c>
      <c r="EV69" s="106">
        <f>+PMGR!EV69+BP!EV69</f>
        <v>0</v>
      </c>
      <c r="EW69" s="106">
        <f t="shared" si="399"/>
        <v>3389.83</v>
      </c>
      <c r="EX69" s="118"/>
      <c r="EY69" s="106">
        <f>+PMGR!EY69+BP!EY69</f>
        <v>0</v>
      </c>
      <c r="EZ69" s="106">
        <f>+PMGR!EZ69+BP!EZ69</f>
        <v>0</v>
      </c>
      <c r="FA69" s="106">
        <f>+PMGR!FA69+BP!FA69</f>
        <v>0</v>
      </c>
      <c r="FB69" s="106">
        <f>+PMGR!FB69+BP!FB69</f>
        <v>0</v>
      </c>
      <c r="FC69" s="106">
        <f>+PMGR!FC69+BP!FC69</f>
        <v>0</v>
      </c>
      <c r="FD69" s="106">
        <f>+PMGR!FD69+BP!FD69</f>
        <v>0</v>
      </c>
      <c r="FE69" s="106">
        <f>+PMGR!FE69+BP!FE69</f>
        <v>0</v>
      </c>
      <c r="FF69" s="106">
        <f>+PMGR!FF69+BP!FF69</f>
        <v>0</v>
      </c>
      <c r="FG69" s="106">
        <f>+PMGR!FG69+BP!FG69</f>
        <v>0</v>
      </c>
      <c r="FH69" s="106">
        <f>+PMGR!FH69+BP!FH69</f>
        <v>0</v>
      </c>
      <c r="FI69" s="106">
        <f>+PMGR!FI69+BP!FI69</f>
        <v>0</v>
      </c>
      <c r="FJ69" s="106">
        <f>+PMGR!FJ69+BP!FJ69</f>
        <v>0</v>
      </c>
      <c r="FK69" s="106">
        <f t="shared" si="400"/>
        <v>0</v>
      </c>
    </row>
    <row r="70" spans="1:167" ht="14.45" customHeight="1" collapsed="1">
      <c r="A70" s="58">
        <f t="shared" ref="A70:M70" si="401">+A60+A55+A51+A52+A29+A27+(A7/3.5%)+A8+A13</f>
        <v>34132947.269999981</v>
      </c>
      <c r="B70" s="58">
        <f t="shared" si="401"/>
        <v>43063489.349999994</v>
      </c>
      <c r="C70" s="58">
        <f t="shared" si="401"/>
        <v>31494573.023438089</v>
      </c>
      <c r="D70" s="58">
        <f t="shared" si="401"/>
        <v>28138723.899999984</v>
      </c>
      <c r="E70" s="58">
        <f t="shared" si="401"/>
        <v>32197939.235169746</v>
      </c>
      <c r="F70" s="58">
        <f t="shared" si="401"/>
        <v>36471981.225382149</v>
      </c>
      <c r="G70" s="58">
        <f t="shared" si="401"/>
        <v>36170739.79253041</v>
      </c>
      <c r="H70" s="58">
        <f t="shared" si="401"/>
        <v>42067243.528633915</v>
      </c>
      <c r="I70" s="58">
        <f t="shared" si="401"/>
        <v>39072785.657720678</v>
      </c>
      <c r="J70" s="58">
        <f t="shared" si="401"/>
        <v>36276325.74821268</v>
      </c>
      <c r="K70" s="58">
        <f t="shared" si="401"/>
        <v>43257408.693762675</v>
      </c>
      <c r="L70" s="58">
        <f t="shared" si="401"/>
        <v>43362529.718836673</v>
      </c>
      <c r="M70" s="58">
        <f t="shared" si="401"/>
        <v>445706687.14368701</v>
      </c>
      <c r="N70" s="14" t="s">
        <v>56</v>
      </c>
      <c r="O70" s="58">
        <f t="shared" ref="O70:AA70" si="402">+O60+O55+O51+O52+O29+O27+(O7/3.5%)+O8+O13</f>
        <v>35425763.318171844</v>
      </c>
      <c r="P70" s="58">
        <f t="shared" si="402"/>
        <v>31503036.251885034</v>
      </c>
      <c r="Q70" s="58">
        <f t="shared" si="402"/>
        <v>47662342.605192035</v>
      </c>
      <c r="R70" s="58">
        <f t="shared" si="402"/>
        <v>38519271.148910016</v>
      </c>
      <c r="S70" s="58">
        <f t="shared" si="402"/>
        <v>52948476.258475989</v>
      </c>
      <c r="T70" s="58">
        <f t="shared" si="402"/>
        <v>38858777.677837111</v>
      </c>
      <c r="U70" s="58">
        <f t="shared" si="402"/>
        <v>47649710.479999967</v>
      </c>
      <c r="V70" s="58">
        <f t="shared" si="402"/>
        <v>46813448.967517495</v>
      </c>
      <c r="W70" s="58">
        <f t="shared" si="402"/>
        <v>43511632.792999983</v>
      </c>
      <c r="X70" s="58">
        <f t="shared" si="402"/>
        <v>44267824.57146512</v>
      </c>
      <c r="Y70" s="58">
        <f t="shared" si="402"/>
        <v>0</v>
      </c>
      <c r="Z70" s="58">
        <f t="shared" si="402"/>
        <v>0</v>
      </c>
      <c r="AA70" s="58">
        <f t="shared" si="402"/>
        <v>427160284.07245463</v>
      </c>
      <c r="AB70" s="118"/>
      <c r="AC70" s="58">
        <f t="shared" ref="AC70:AO70" si="403">+AC60+AC55+AC51+AC52+AC29+AC27+(AC7/3.5%)+AC8+AC13</f>
        <v>45688684.445400007</v>
      </c>
      <c r="AD70" s="58">
        <f t="shared" si="403"/>
        <v>44499869.516800016</v>
      </c>
      <c r="AE70" s="58">
        <f t="shared" si="403"/>
        <v>45476131.262800001</v>
      </c>
      <c r="AF70" s="58">
        <f t="shared" si="403"/>
        <v>38477421.487300001</v>
      </c>
      <c r="AG70" s="58">
        <f t="shared" si="403"/>
        <v>43611085.450299993</v>
      </c>
      <c r="AH70" s="58">
        <f t="shared" si="403"/>
        <v>46104939.617199995</v>
      </c>
      <c r="AI70" s="58">
        <f t="shared" si="403"/>
        <v>48090840.136000007</v>
      </c>
      <c r="AJ70" s="58">
        <f t="shared" si="403"/>
        <v>48901642.135900006</v>
      </c>
      <c r="AK70" s="58">
        <f t="shared" si="403"/>
        <v>50044895.808100007</v>
      </c>
      <c r="AL70" s="58">
        <f t="shared" si="403"/>
        <v>41766373.789944448</v>
      </c>
      <c r="AM70" s="58">
        <f t="shared" si="403"/>
        <v>37886703.538177788</v>
      </c>
      <c r="AN70" s="58">
        <f t="shared" si="403"/>
        <v>45759320.307029292</v>
      </c>
      <c r="AO70" s="58">
        <f t="shared" si="403"/>
        <v>536307907.49495155</v>
      </c>
      <c r="AP70" s="106"/>
      <c r="AQ70" s="58">
        <f t="shared" ref="AQ70:BC70" si="404">+AQ60+AQ55+AQ51+AQ52+AQ29+AQ27+(AQ7/3.5%)+AQ8+AQ13</f>
        <v>19606213.696360018</v>
      </c>
      <c r="AR70" s="58">
        <f t="shared" si="404"/>
        <v>27699621.879797455</v>
      </c>
      <c r="AS70" s="58">
        <f t="shared" si="404"/>
        <v>20442529.516425557</v>
      </c>
      <c r="AT70" s="58">
        <f t="shared" si="404"/>
        <v>20333027.296088222</v>
      </c>
      <c r="AU70" s="58">
        <f t="shared" si="404"/>
        <v>16101282.081950152</v>
      </c>
      <c r="AV70" s="58">
        <f t="shared" si="404"/>
        <v>20931467.907692514</v>
      </c>
      <c r="AW70" s="58">
        <f t="shared" si="404"/>
        <v>23440023.385518499</v>
      </c>
      <c r="AX70" s="58">
        <f t="shared" si="404"/>
        <v>28039961.698191877</v>
      </c>
      <c r="AY70" s="58">
        <f t="shared" si="404"/>
        <v>27039437.264798656</v>
      </c>
      <c r="AZ70" s="58">
        <f t="shared" si="404"/>
        <v>23476557.327266749</v>
      </c>
      <c r="BA70" s="58">
        <f t="shared" si="404"/>
        <v>26331372.869703498</v>
      </c>
      <c r="BB70" s="58">
        <f t="shared" si="404"/>
        <v>29915485.464677084</v>
      </c>
      <c r="BC70" s="58">
        <f t="shared" si="404"/>
        <v>283356980.38847029</v>
      </c>
      <c r="BD70" s="14" t="str">
        <f t="shared" ref="BD70:BD133" si="405">N70</f>
        <v>Total Revenue</v>
      </c>
      <c r="BE70" s="58">
        <f t="shared" ref="BE70:BQ70" si="406">+BE60+BE55+BE51+BE52+BE29+BE27+(BE7/3.5%)+BE8+BE13</f>
        <v>20474818.429422498</v>
      </c>
      <c r="BF70" s="58">
        <f t="shared" si="406"/>
        <v>18570560.047538105</v>
      </c>
      <c r="BG70" s="58">
        <f t="shared" si="406"/>
        <v>31935415.156152952</v>
      </c>
      <c r="BH70" s="58">
        <f t="shared" si="406"/>
        <v>26505079.739590436</v>
      </c>
      <c r="BI70" s="58">
        <f t="shared" si="406"/>
        <v>34597752.286053851</v>
      </c>
      <c r="BJ70" s="58">
        <f t="shared" si="406"/>
        <v>22880880.385642696</v>
      </c>
      <c r="BK70" s="58">
        <f t="shared" si="406"/>
        <v>29415692.520122547</v>
      </c>
      <c r="BL70" s="58">
        <f t="shared" si="406"/>
        <v>27909503.787312914</v>
      </c>
      <c r="BM70" s="58">
        <f t="shared" si="406"/>
        <v>28981917.45581745</v>
      </c>
      <c r="BN70" s="58">
        <f t="shared" si="406"/>
        <v>24849469.28467558</v>
      </c>
      <c r="BO70" s="58">
        <f t="shared" si="406"/>
        <v>0</v>
      </c>
      <c r="BP70" s="58">
        <f t="shared" si="406"/>
        <v>0</v>
      </c>
      <c r="BQ70" s="58">
        <f t="shared" si="406"/>
        <v>266121089.09232903</v>
      </c>
      <c r="BR70" s="118"/>
      <c r="BS70" s="58">
        <f t="shared" ref="BS70:CE70" si="407">+BS60+BS55+BS51+BS52+BS29+BS27+(BS7/3.5%)+BS8+BS13</f>
        <v>24915259.024</v>
      </c>
      <c r="BT70" s="58">
        <f t="shared" si="407"/>
        <v>24197915.993600003</v>
      </c>
      <c r="BU70" s="58">
        <f t="shared" si="407"/>
        <v>22756877.192400001</v>
      </c>
      <c r="BV70" s="58">
        <f t="shared" si="407"/>
        <v>21017460.6888</v>
      </c>
      <c r="BW70" s="58">
        <f t="shared" si="407"/>
        <v>22890386.981999997</v>
      </c>
      <c r="BX70" s="58">
        <f t="shared" si="407"/>
        <v>24174177.273999996</v>
      </c>
      <c r="BY70" s="58">
        <f t="shared" si="407"/>
        <v>25006522.406000003</v>
      </c>
      <c r="BZ70" s="58">
        <f t="shared" si="407"/>
        <v>25739111.706000004</v>
      </c>
      <c r="CA70" s="58">
        <f t="shared" si="407"/>
        <v>27214491.618000001</v>
      </c>
      <c r="CB70" s="58">
        <f t="shared" si="407"/>
        <v>23924230.745999999</v>
      </c>
      <c r="CC70" s="58">
        <f t="shared" si="407"/>
        <v>19339516.608800001</v>
      </c>
      <c r="CD70" s="58">
        <f t="shared" si="407"/>
        <v>25413405.995199997</v>
      </c>
      <c r="CE70" s="58">
        <f t="shared" si="407"/>
        <v>286589356.23479998</v>
      </c>
      <c r="CF70" s="106"/>
      <c r="CG70" s="58">
        <f t="shared" ref="CG70:CS70" si="408">+CG60+CG55+CG51+CG52+CG29+CG27+(CG7/3.5%)+CG8+CG13</f>
        <v>14526733.573639957</v>
      </c>
      <c r="CH70" s="58">
        <f t="shared" si="408"/>
        <v>15363867.470202528</v>
      </c>
      <c r="CI70" s="58">
        <f t="shared" si="408"/>
        <v>11052043.507012535</v>
      </c>
      <c r="CJ70" s="58">
        <f t="shared" si="408"/>
        <v>7805696.6039117621</v>
      </c>
      <c r="CK70" s="58">
        <f t="shared" si="408"/>
        <v>16096657.153219596</v>
      </c>
      <c r="CL70" s="58">
        <f t="shared" si="408"/>
        <v>15540513.317689629</v>
      </c>
      <c r="CM70" s="58">
        <f t="shared" si="408"/>
        <v>12730716.407011915</v>
      </c>
      <c r="CN70" s="58">
        <f t="shared" si="408"/>
        <v>14027281.830442037</v>
      </c>
      <c r="CO70" s="58">
        <f t="shared" si="408"/>
        <v>12033348.392922018</v>
      </c>
      <c r="CP70" s="58">
        <f t="shared" si="408"/>
        <v>12799768.420945941</v>
      </c>
      <c r="CQ70" s="58">
        <f t="shared" si="408"/>
        <v>16926035.824059181</v>
      </c>
      <c r="CR70" s="58">
        <f t="shared" si="408"/>
        <v>13447044.254159583</v>
      </c>
      <c r="CS70" s="58">
        <f t="shared" si="408"/>
        <v>162349706.75521672</v>
      </c>
      <c r="CT70" s="14" t="str">
        <f t="shared" ref="CT70:CT133" si="409">BD70</f>
        <v>Total Revenue</v>
      </c>
      <c r="CU70" s="58">
        <f t="shared" ref="CU70:DG70" si="410">+CU60+CU55+CU51+CU52+CU29+CU27+(CU7/3.5%)+CU8+CU13</f>
        <v>12304082.851249656</v>
      </c>
      <c r="CV70" s="58">
        <f t="shared" si="410"/>
        <v>8774743.7887460869</v>
      </c>
      <c r="CW70" s="58">
        <f t="shared" si="410"/>
        <v>12657039.919039086</v>
      </c>
      <c r="CX70" s="58">
        <f t="shared" si="410"/>
        <v>9663392.1793195866</v>
      </c>
      <c r="CY70" s="58">
        <f t="shared" si="410"/>
        <v>14584173.412422143</v>
      </c>
      <c r="CZ70" s="58">
        <f t="shared" si="410"/>
        <v>10359714.53879975</v>
      </c>
      <c r="DA70" s="58">
        <f t="shared" si="410"/>
        <v>13820110.749877423</v>
      </c>
      <c r="DB70" s="58">
        <f t="shared" si="410"/>
        <v>13568339.590204583</v>
      </c>
      <c r="DC70" s="58">
        <f t="shared" si="410"/>
        <v>10725944.592998043</v>
      </c>
      <c r="DD70" s="58">
        <f t="shared" si="410"/>
        <v>14216903.45655093</v>
      </c>
      <c r="DE70" s="58">
        <f t="shared" si="410"/>
        <v>0</v>
      </c>
      <c r="DF70" s="58">
        <f t="shared" si="410"/>
        <v>0</v>
      </c>
      <c r="DG70" s="58">
        <f t="shared" si="410"/>
        <v>120674445.07920729</v>
      </c>
      <c r="DH70" s="118"/>
      <c r="DI70" s="58">
        <f t="shared" ref="DI70:DU70" si="411">+DI60+DI55+DI51+DI52+DI29+DI27+(DI7/3.5%)+DI8+DI13</f>
        <v>15321869.621400002</v>
      </c>
      <c r="DJ70" s="58">
        <f t="shared" si="411"/>
        <v>15218701.443200001</v>
      </c>
      <c r="DK70" s="58">
        <f t="shared" si="411"/>
        <v>17041533.4454</v>
      </c>
      <c r="DL70" s="58">
        <f t="shared" si="411"/>
        <v>12365308.718500001</v>
      </c>
      <c r="DM70" s="58">
        <f t="shared" si="411"/>
        <v>14693156.4683</v>
      </c>
      <c r="DN70" s="58">
        <f t="shared" si="411"/>
        <v>15889780.3432</v>
      </c>
      <c r="DO70" s="58">
        <f t="shared" si="411"/>
        <v>16299812.979999999</v>
      </c>
      <c r="DP70" s="58">
        <f t="shared" si="411"/>
        <v>16637119.929900002</v>
      </c>
      <c r="DQ70" s="58">
        <f t="shared" si="411"/>
        <v>16591855.020099999</v>
      </c>
      <c r="DR70" s="58">
        <f t="shared" si="411"/>
        <v>13424398.5995</v>
      </c>
      <c r="DS70" s="58">
        <f t="shared" si="411"/>
        <v>13950953.5516</v>
      </c>
      <c r="DT70" s="58">
        <f t="shared" si="411"/>
        <v>15555193.378899999</v>
      </c>
      <c r="DU70" s="58">
        <f t="shared" si="411"/>
        <v>182989683.5</v>
      </c>
      <c r="DV70" s="106"/>
      <c r="DW70" s="58">
        <f t="shared" ref="DW70:EI70" si="412">+DW60+DW55+DW51+DW52+DW29+DW27+(DW7/3.5%)+DW8+DW13</f>
        <v>0</v>
      </c>
      <c r="DX70" s="58">
        <f t="shared" si="412"/>
        <v>0</v>
      </c>
      <c r="DY70" s="58">
        <f t="shared" si="412"/>
        <v>0</v>
      </c>
      <c r="DZ70" s="58">
        <f t="shared" si="412"/>
        <v>0</v>
      </c>
      <c r="EA70" s="58">
        <f t="shared" si="412"/>
        <v>0</v>
      </c>
      <c r="EB70" s="58">
        <f t="shared" si="412"/>
        <v>0</v>
      </c>
      <c r="EC70" s="58">
        <f t="shared" si="412"/>
        <v>0</v>
      </c>
      <c r="ED70" s="58">
        <f t="shared" si="412"/>
        <v>0</v>
      </c>
      <c r="EE70" s="58">
        <f t="shared" si="412"/>
        <v>0</v>
      </c>
      <c r="EF70" s="58">
        <f t="shared" si="412"/>
        <v>0</v>
      </c>
      <c r="EG70" s="58">
        <f t="shared" si="412"/>
        <v>0</v>
      </c>
      <c r="EH70" s="58">
        <f t="shared" si="412"/>
        <v>0</v>
      </c>
      <c r="EI70" s="58">
        <f t="shared" si="412"/>
        <v>0</v>
      </c>
      <c r="EJ70" s="14" t="str">
        <f t="shared" si="93"/>
        <v>Total Revenue</v>
      </c>
      <c r="EK70" s="58">
        <f t="shared" ref="EK70:EW70" si="413">+EK60+EK55+EK51+EK52+EK29+EK27+(EK7/3.5%)+EK8+EK13</f>
        <v>2646862.0374996974</v>
      </c>
      <c r="EL70" s="58">
        <f t="shared" si="413"/>
        <v>4157732.4156008442</v>
      </c>
      <c r="EM70" s="58">
        <f t="shared" si="413"/>
        <v>3069887.53</v>
      </c>
      <c r="EN70" s="58">
        <f t="shared" si="413"/>
        <v>2350799.23</v>
      </c>
      <c r="EO70" s="58">
        <f t="shared" si="413"/>
        <v>3766550.560000001</v>
      </c>
      <c r="EP70" s="58">
        <f t="shared" si="413"/>
        <v>5618182.7533946661</v>
      </c>
      <c r="EQ70" s="58">
        <f t="shared" si="413"/>
        <v>4413907.21</v>
      </c>
      <c r="ER70" s="58">
        <f t="shared" si="413"/>
        <v>5335605.5899999989</v>
      </c>
      <c r="ES70" s="58">
        <f t="shared" si="413"/>
        <v>3803770.7441844949</v>
      </c>
      <c r="ET70" s="58">
        <f t="shared" si="413"/>
        <v>5201451.830238604</v>
      </c>
      <c r="EU70" s="58">
        <f t="shared" si="413"/>
        <v>0</v>
      </c>
      <c r="EV70" s="58">
        <f t="shared" si="413"/>
        <v>0</v>
      </c>
      <c r="EW70" s="58">
        <f t="shared" si="413"/>
        <v>40364749.900918297</v>
      </c>
      <c r="EX70" s="118"/>
      <c r="EY70" s="58">
        <f t="shared" ref="EY70:FK70" si="414">+EY60+EY55+EY51+EY52+EY29+EY27+(EY7/3.5%)+EY8+EY13</f>
        <v>5451555.7999999998</v>
      </c>
      <c r="EZ70" s="58">
        <f t="shared" si="414"/>
        <v>5083252.08</v>
      </c>
      <c r="FA70" s="58">
        <f t="shared" si="414"/>
        <v>5677720.625</v>
      </c>
      <c r="FB70" s="58">
        <f t="shared" si="414"/>
        <v>5094652.08</v>
      </c>
      <c r="FC70" s="58">
        <f t="shared" si="414"/>
        <v>6027542</v>
      </c>
      <c r="FD70" s="58">
        <f t="shared" si="414"/>
        <v>6040982</v>
      </c>
      <c r="FE70" s="58">
        <f t="shared" si="414"/>
        <v>6784504.75</v>
      </c>
      <c r="FF70" s="58">
        <f t="shared" si="414"/>
        <v>6525410.5</v>
      </c>
      <c r="FG70" s="58">
        <f t="shared" si="414"/>
        <v>6238549.1699999999</v>
      </c>
      <c r="FH70" s="58">
        <f t="shared" si="414"/>
        <v>4417744.444444444</v>
      </c>
      <c r="FI70" s="58">
        <f t="shared" si="414"/>
        <v>4596233.3777777785</v>
      </c>
      <c r="FJ70" s="58">
        <f t="shared" si="414"/>
        <v>4790720.9329292923</v>
      </c>
      <c r="FK70" s="58">
        <f t="shared" si="414"/>
        <v>66728867.760151513</v>
      </c>
    </row>
    <row r="71" spans="1:167" ht="14.45" customHeight="1">
      <c r="A71" s="58">
        <f>+A60+A58+A47+A27+A6</f>
        <v>12853118.441743014</v>
      </c>
      <c r="B71" s="58">
        <f t="shared" ref="B71:M71" si="415">+B60+B58+B47+B27+B6</f>
        <v>15323407.737743029</v>
      </c>
      <c r="C71" s="58">
        <f t="shared" si="415"/>
        <v>14717605.442024097</v>
      </c>
      <c r="D71" s="58">
        <f t="shared" si="415"/>
        <v>10337698.847835384</v>
      </c>
      <c r="E71" s="58">
        <f t="shared" si="415"/>
        <v>10707422.213162309</v>
      </c>
      <c r="F71" s="58">
        <f t="shared" si="415"/>
        <v>14202329.851210197</v>
      </c>
      <c r="G71" s="58">
        <f t="shared" si="415"/>
        <v>13449182.052530404</v>
      </c>
      <c r="H71" s="58">
        <f t="shared" si="415"/>
        <v>13822201.218633916</v>
      </c>
      <c r="I71" s="58">
        <f t="shared" si="415"/>
        <v>14568223.493959876</v>
      </c>
      <c r="J71" s="58">
        <f t="shared" si="415"/>
        <v>12731762.262157874</v>
      </c>
      <c r="K71" s="58">
        <f t="shared" si="415"/>
        <v>15312907.923188856</v>
      </c>
      <c r="L71" s="58">
        <f t="shared" si="415"/>
        <v>21430052.012535602</v>
      </c>
      <c r="M71" s="58">
        <f t="shared" si="415"/>
        <v>169455911.49672458</v>
      </c>
      <c r="N71" s="14" t="s">
        <v>57</v>
      </c>
      <c r="O71" s="58">
        <f>+O60+O58+O47+O27+O6</f>
        <v>12595577.108171841</v>
      </c>
      <c r="P71" s="58">
        <f t="shared" ref="P71:AA71" si="416">+P60+P58+P47+P27+P6</f>
        <v>9346810.1528365631</v>
      </c>
      <c r="Q71" s="58">
        <f t="shared" si="416"/>
        <v>18705593.185285434</v>
      </c>
      <c r="R71" s="58">
        <f t="shared" si="416"/>
        <v>13101765.510513578</v>
      </c>
      <c r="S71" s="58">
        <f t="shared" si="416"/>
        <v>19002294.482909113</v>
      </c>
      <c r="T71" s="58">
        <f t="shared" si="416"/>
        <v>16048662.372630656</v>
      </c>
      <c r="U71" s="58">
        <f t="shared" si="416"/>
        <v>16396710.457625138</v>
      </c>
      <c r="V71" s="58">
        <f t="shared" si="416"/>
        <v>15876134.687517498</v>
      </c>
      <c r="W71" s="58">
        <f t="shared" si="416"/>
        <v>21060162.969662212</v>
      </c>
      <c r="X71" s="58">
        <f t="shared" si="416"/>
        <v>13295558.371465106</v>
      </c>
      <c r="Y71" s="58">
        <f t="shared" si="416"/>
        <v>0</v>
      </c>
      <c r="Z71" s="58">
        <f t="shared" si="416"/>
        <v>0</v>
      </c>
      <c r="AA71" s="58">
        <f t="shared" si="416"/>
        <v>155429269.29861715</v>
      </c>
      <c r="AB71" s="118"/>
      <c r="AC71" s="58">
        <f>+AC60+AC58+AC47+AC27+AC6</f>
        <v>16068918.283250669</v>
      </c>
      <c r="AD71" s="58">
        <f t="shared" ref="AD71:AO71" si="417">+AD60+AD58+AD47+AD27+AD6</f>
        <v>15494244.437918181</v>
      </c>
      <c r="AE71" s="58">
        <f t="shared" si="417"/>
        <v>22986757.83560792</v>
      </c>
      <c r="AF71" s="58">
        <f t="shared" si="417"/>
        <v>13118983.19089842</v>
      </c>
      <c r="AG71" s="58">
        <f t="shared" si="417"/>
        <v>15007605.906288911</v>
      </c>
      <c r="AH71" s="58">
        <f t="shared" si="417"/>
        <v>22837335.225391418</v>
      </c>
      <c r="AI71" s="58">
        <f t="shared" si="417"/>
        <v>17190381.18104367</v>
      </c>
      <c r="AJ71" s="58">
        <f t="shared" si="417"/>
        <v>17297996.100003168</v>
      </c>
      <c r="AK71" s="58">
        <f t="shared" si="417"/>
        <v>24837304.005279921</v>
      </c>
      <c r="AL71" s="58">
        <f t="shared" si="417"/>
        <v>14674046.881876001</v>
      </c>
      <c r="AM71" s="58">
        <f t="shared" si="417"/>
        <v>13258300.412144018</v>
      </c>
      <c r="AN71" s="58">
        <f t="shared" si="417"/>
        <v>23083834.096029483</v>
      </c>
      <c r="AO71" s="58">
        <f t="shared" si="417"/>
        <v>215855707.55573183</v>
      </c>
      <c r="AP71" s="106"/>
      <c r="AQ71" s="58">
        <f t="shared" ref="AQ71:BB71" si="418">+AQ60+AQ58+AQ47+AQ27+AQ6</f>
        <v>7517634.2955412623</v>
      </c>
      <c r="AR71" s="58">
        <f t="shared" si="418"/>
        <v>9893144.6349786986</v>
      </c>
      <c r="AS71" s="58">
        <f t="shared" si="418"/>
        <v>9169813.6941011492</v>
      </c>
      <c r="AT71" s="58">
        <f t="shared" si="418"/>
        <v>7198813.668789464</v>
      </c>
      <c r="AU71" s="58">
        <f t="shared" si="418"/>
        <v>5273372.2021865807</v>
      </c>
      <c r="AV71" s="58">
        <f t="shared" si="418"/>
        <v>8667602.3476156592</v>
      </c>
      <c r="AW71" s="58">
        <f t="shared" si="418"/>
        <v>8596186.5121925976</v>
      </c>
      <c r="AX71" s="58">
        <f t="shared" si="418"/>
        <v>8808917.2083339542</v>
      </c>
      <c r="AY71" s="58">
        <f t="shared" si="418"/>
        <v>9347058.987473134</v>
      </c>
      <c r="AZ71" s="58">
        <f t="shared" si="418"/>
        <v>6419866.1226617889</v>
      </c>
      <c r="BA71" s="58">
        <f t="shared" si="418"/>
        <v>8285734.2989336699</v>
      </c>
      <c r="BB71" s="58">
        <f t="shared" si="418"/>
        <v>14939973.550651981</v>
      </c>
      <c r="BC71" s="58">
        <f t="shared" ref="BC71" si="419">+BC60+BC58+BC47+BC27+BC6</f>
        <v>104118117.52345994</v>
      </c>
      <c r="BD71" s="14" t="str">
        <f t="shared" si="405"/>
        <v>Total Income</v>
      </c>
      <c r="BE71" s="58">
        <f t="shared" ref="BE71:BP71" si="420">+BE60+BE58+BE47+BE27+BE6</f>
        <v>7442621.3994225003</v>
      </c>
      <c r="BF71" s="58">
        <f t="shared" si="420"/>
        <v>5833321.1416735379</v>
      </c>
      <c r="BG71" s="58">
        <f t="shared" si="420"/>
        <v>11635027.889108272</v>
      </c>
      <c r="BH71" s="58">
        <f t="shared" si="420"/>
        <v>8649669.8605285902</v>
      </c>
      <c r="BI71" s="58">
        <f t="shared" si="420"/>
        <v>13246680.954144172</v>
      </c>
      <c r="BJ71" s="58">
        <f t="shared" si="420"/>
        <v>9017809.3611011188</v>
      </c>
      <c r="BK71" s="58">
        <f t="shared" si="420"/>
        <v>10314329.538733652</v>
      </c>
      <c r="BL71" s="58">
        <f t="shared" si="420"/>
        <v>8933802.779616477</v>
      </c>
      <c r="BM71" s="58">
        <f t="shared" si="420"/>
        <v>13083529.227276871</v>
      </c>
      <c r="BN71" s="58">
        <f t="shared" si="420"/>
        <v>7372397.5046755672</v>
      </c>
      <c r="BO71" s="58">
        <f t="shared" si="420"/>
        <v>0</v>
      </c>
      <c r="BP71" s="58">
        <f t="shared" si="420"/>
        <v>0</v>
      </c>
      <c r="BQ71" s="58">
        <f t="shared" ref="BQ71" si="421">+BQ60+BQ58+BQ47+BQ27+BQ6</f>
        <v>95529189.656280756</v>
      </c>
      <c r="BR71" s="118"/>
      <c r="BS71" s="58">
        <f t="shared" ref="BS71:CD71" si="422">+BS60+BS58+BS47+BS27+BS6</f>
        <v>8949595.5273057818</v>
      </c>
      <c r="BT71" s="58">
        <f t="shared" si="422"/>
        <v>8544919.240758108</v>
      </c>
      <c r="BU71" s="58">
        <f t="shared" si="422"/>
        <v>12020125.565189471</v>
      </c>
      <c r="BV71" s="58">
        <f t="shared" si="422"/>
        <v>7249789.0439269962</v>
      </c>
      <c r="BW71" s="58">
        <f t="shared" si="422"/>
        <v>7880433.1150232684</v>
      </c>
      <c r="BX71" s="58">
        <f t="shared" si="422"/>
        <v>12285730.748594597</v>
      </c>
      <c r="BY71" s="58">
        <f t="shared" si="422"/>
        <v>9152059.0781257376</v>
      </c>
      <c r="BZ71" s="58">
        <f t="shared" si="422"/>
        <v>9236197.6178774089</v>
      </c>
      <c r="CA71" s="58">
        <f t="shared" si="422"/>
        <v>13679222.964222722</v>
      </c>
      <c r="CB71" s="58">
        <f t="shared" si="422"/>
        <v>8519570.5507324357</v>
      </c>
      <c r="CC71" s="58">
        <f t="shared" si="422"/>
        <v>6866761.4798077838</v>
      </c>
      <c r="CD71" s="58">
        <f t="shared" si="422"/>
        <v>12921182.24116314</v>
      </c>
      <c r="CE71" s="58">
        <f t="shared" ref="CE71" si="423">+CE60+CE58+CE47+CE27+CE6</f>
        <v>117305587.17272745</v>
      </c>
      <c r="CF71" s="106"/>
      <c r="CG71" s="58">
        <f t="shared" ref="CG71:CR71" si="424">+CG60+CG58+CG47+CG27+CG6</f>
        <v>5335484.1462017503</v>
      </c>
      <c r="CH71" s="58">
        <f t="shared" si="424"/>
        <v>5430263.1027643215</v>
      </c>
      <c r="CI71" s="58">
        <f t="shared" si="424"/>
        <v>5547791.7479229541</v>
      </c>
      <c r="CJ71" s="58">
        <f t="shared" si="424"/>
        <v>3138885.1790459198</v>
      </c>
      <c r="CK71" s="58">
        <f t="shared" si="424"/>
        <v>5434050.0109757241</v>
      </c>
      <c r="CL71" s="58">
        <f t="shared" si="424"/>
        <v>5534727.503594528</v>
      </c>
      <c r="CM71" s="58">
        <f t="shared" si="424"/>
        <v>4852995.540337814</v>
      </c>
      <c r="CN71" s="58">
        <f t="shared" si="424"/>
        <v>5013284.0102999611</v>
      </c>
      <c r="CO71" s="58">
        <f t="shared" si="424"/>
        <v>5221164.5064867418</v>
      </c>
      <c r="CP71" s="58">
        <f t="shared" si="424"/>
        <v>6311896.1394960936</v>
      </c>
      <c r="CQ71" s="58">
        <f t="shared" si="424"/>
        <v>7027173.6242551887</v>
      </c>
      <c r="CR71" s="58">
        <f t="shared" si="424"/>
        <v>6490078.4618836148</v>
      </c>
      <c r="CS71" s="58">
        <f t="shared" ref="CS71" si="425">+CS60+CS58+CS47+CS27+CS6</f>
        <v>65337793.973264635</v>
      </c>
      <c r="CT71" s="14" t="str">
        <f t="shared" si="409"/>
        <v>Total Income</v>
      </c>
      <c r="CU71" s="58">
        <f t="shared" ref="CU71:DF71" si="426">+CU60+CU58+CU47+CU27+CU6</f>
        <v>4263739.041249657</v>
      </c>
      <c r="CV71" s="58">
        <f t="shared" si="426"/>
        <v>2321505.4168792046</v>
      </c>
      <c r="CW71" s="58">
        <f t="shared" si="426"/>
        <v>5315027.1223529447</v>
      </c>
      <c r="CX71" s="58">
        <f t="shared" si="426"/>
        <v>3420315.6680565979</v>
      </c>
      <c r="CY71" s="58">
        <f t="shared" si="426"/>
        <v>4783961.1673411652</v>
      </c>
      <c r="CZ71" s="58">
        <f t="shared" si="426"/>
        <v>4646435.3586386833</v>
      </c>
      <c r="DA71" s="58">
        <f t="shared" si="426"/>
        <v>4836361.8445795933</v>
      </c>
      <c r="DB71" s="58">
        <f t="shared" si="426"/>
        <v>5279006.5389013616</v>
      </c>
      <c r="DC71" s="58">
        <f t="shared" si="426"/>
        <v>5413690.6447146377</v>
      </c>
      <c r="DD71" s="58">
        <f t="shared" si="426"/>
        <v>4311766.7965509333</v>
      </c>
      <c r="DE71" s="58">
        <f t="shared" si="426"/>
        <v>0</v>
      </c>
      <c r="DF71" s="58">
        <f t="shared" si="426"/>
        <v>0</v>
      </c>
      <c r="DG71" s="58">
        <f t="shared" ref="DG71" si="427">+DG60+DG58+DG47+DG27+DG6</f>
        <v>44591809.599264786</v>
      </c>
      <c r="DH71" s="118"/>
      <c r="DI71" s="58">
        <f t="shared" ref="DI71:DT71" si="428">+DI60+DI58+DI47+DI27+DI6</f>
        <v>5167877.5722329793</v>
      </c>
      <c r="DJ71" s="58">
        <f t="shared" si="428"/>
        <v>5140001.3643030031</v>
      </c>
      <c r="DK71" s="58">
        <f t="shared" si="428"/>
        <v>8230695.8811124153</v>
      </c>
      <c r="DL71" s="58">
        <f t="shared" si="428"/>
        <v>4066946.5135578425</v>
      </c>
      <c r="DM71" s="58">
        <f t="shared" si="428"/>
        <v>4951561.0538360141</v>
      </c>
      <c r="DN71" s="58">
        <f t="shared" si="428"/>
        <v>7706354.375496041</v>
      </c>
      <c r="DO71" s="58">
        <f t="shared" si="428"/>
        <v>5558852.5543351285</v>
      </c>
      <c r="DP71" s="58">
        <f t="shared" si="428"/>
        <v>5686018.7526881024</v>
      </c>
      <c r="DQ71" s="58">
        <f t="shared" si="428"/>
        <v>8178258.5978076644</v>
      </c>
      <c r="DR71" s="58">
        <f t="shared" si="428"/>
        <v>4506406.4758080291</v>
      </c>
      <c r="DS71" s="58">
        <f t="shared" si="428"/>
        <v>4669317.1752909785</v>
      </c>
      <c r="DT71" s="58">
        <f t="shared" si="428"/>
        <v>7668095.9655993897</v>
      </c>
      <c r="DU71" s="58">
        <f t="shared" ref="DU71" si="429">+DU60+DU58+DU47+DU27+DU6</f>
        <v>71530386.282067582</v>
      </c>
      <c r="DV71" s="106"/>
      <c r="DW71" s="58">
        <f t="shared" ref="DW71:EH71" si="430">+DW60+DW58+DW47+DW27+DW6</f>
        <v>0</v>
      </c>
      <c r="DX71" s="58">
        <f t="shared" si="430"/>
        <v>0</v>
      </c>
      <c r="DY71" s="58">
        <f t="shared" si="430"/>
        <v>0</v>
      </c>
      <c r="DZ71" s="58">
        <f t="shared" si="430"/>
        <v>0</v>
      </c>
      <c r="EA71" s="58">
        <f t="shared" si="430"/>
        <v>0</v>
      </c>
      <c r="EB71" s="58">
        <f t="shared" si="430"/>
        <v>0</v>
      </c>
      <c r="EC71" s="58">
        <f t="shared" si="430"/>
        <v>0</v>
      </c>
      <c r="ED71" s="58">
        <f t="shared" si="430"/>
        <v>0</v>
      </c>
      <c r="EE71" s="58">
        <f t="shared" si="430"/>
        <v>0</v>
      </c>
      <c r="EF71" s="58">
        <f t="shared" si="430"/>
        <v>0</v>
      </c>
      <c r="EG71" s="58">
        <f t="shared" si="430"/>
        <v>0</v>
      </c>
      <c r="EH71" s="58">
        <f t="shared" si="430"/>
        <v>0</v>
      </c>
      <c r="EI71" s="58">
        <f t="shared" ref="EI71" si="431">+EI60+EI58+EI47+EI27+EI6</f>
        <v>0</v>
      </c>
      <c r="EJ71" s="14" t="str">
        <f t="shared" si="93"/>
        <v>Total Income</v>
      </c>
      <c r="EK71" s="58">
        <f t="shared" ref="EK71:EV71" si="432">+EK60+EK58+EK47+EK27+EK6</f>
        <v>889216.66749969777</v>
      </c>
      <c r="EL71" s="58">
        <f t="shared" si="432"/>
        <v>1191983.5942838248</v>
      </c>
      <c r="EM71" s="58">
        <f t="shared" si="432"/>
        <v>1755538.1738242186</v>
      </c>
      <c r="EN71" s="58">
        <f t="shared" si="432"/>
        <v>1031779.9819283958</v>
      </c>
      <c r="EO71" s="58">
        <f t="shared" si="432"/>
        <v>971652.36142377451</v>
      </c>
      <c r="EP71" s="58">
        <f t="shared" si="432"/>
        <v>2384417.6528908545</v>
      </c>
      <c r="EQ71" s="58">
        <f t="shared" si="432"/>
        <v>1246019.0743118904</v>
      </c>
      <c r="ER71" s="58">
        <f t="shared" si="432"/>
        <v>1663325.36899966</v>
      </c>
      <c r="ES71" s="58">
        <f t="shared" si="432"/>
        <v>2562943.0976707172</v>
      </c>
      <c r="ET71" s="58">
        <f t="shared" si="432"/>
        <v>1611394.0702386033</v>
      </c>
      <c r="EU71" s="58">
        <f t="shared" si="432"/>
        <v>0</v>
      </c>
      <c r="EV71" s="58">
        <f t="shared" si="432"/>
        <v>0</v>
      </c>
      <c r="EW71" s="58">
        <f t="shared" ref="EW71" si="433">+EW60+EW58+EW47+EW27+EW6</f>
        <v>15308270.043071629</v>
      </c>
      <c r="EX71" s="118"/>
      <c r="EY71" s="58">
        <f t="shared" ref="EY71:FJ71" si="434">+EY60+EY58+EY47+EY27+EY6</f>
        <v>1951445.1837119083</v>
      </c>
      <c r="EZ71" s="58">
        <f t="shared" si="434"/>
        <v>1809323.8328570584</v>
      </c>
      <c r="FA71" s="58">
        <f t="shared" si="434"/>
        <v>2735936.3893060335</v>
      </c>
      <c r="FB71" s="58">
        <f t="shared" si="434"/>
        <v>1802247.6334135835</v>
      </c>
      <c r="FC71" s="58">
        <f t="shared" si="434"/>
        <v>2175611.7374296337</v>
      </c>
      <c r="FD71" s="58">
        <f t="shared" si="434"/>
        <v>2845250.1013007835</v>
      </c>
      <c r="FE71" s="58">
        <f t="shared" si="434"/>
        <v>2479469.548582809</v>
      </c>
      <c r="FF71" s="58">
        <f t="shared" si="434"/>
        <v>2375779.7294376586</v>
      </c>
      <c r="FG71" s="58">
        <f t="shared" si="434"/>
        <v>2979822.4432495339</v>
      </c>
      <c r="FH71" s="58">
        <f t="shared" si="434"/>
        <v>1648069.8553355415</v>
      </c>
      <c r="FI71" s="58">
        <f t="shared" si="434"/>
        <v>1722221.757045242</v>
      </c>
      <c r="FJ71" s="58">
        <f t="shared" si="434"/>
        <v>2494555.8892669436</v>
      </c>
      <c r="FK71" s="58">
        <f t="shared" ref="FK71" si="435">+FK60+FK58+FK47+FK27+FK6</f>
        <v>27019734.100936722</v>
      </c>
    </row>
    <row r="72" spans="1:167" ht="14.45" customHeight="1">
      <c r="A72" s="108">
        <f>+IFERROR(A71/A70,0)</f>
        <v>0.37656046341593935</v>
      </c>
      <c r="B72" s="108">
        <f t="shared" ref="B72:M72" si="436">+IFERROR(B71/B70,0)</f>
        <v>0.35583293339751232</v>
      </c>
      <c r="C72" s="108">
        <f t="shared" si="436"/>
        <v>0.46730607940203972</v>
      </c>
      <c r="D72" s="108">
        <f t="shared" si="436"/>
        <v>0.36738335699137337</v>
      </c>
      <c r="E72" s="108">
        <f t="shared" si="436"/>
        <v>0.33254992299217123</v>
      </c>
      <c r="F72" s="108">
        <f t="shared" si="436"/>
        <v>0.38940384848976317</v>
      </c>
      <c r="G72" s="108">
        <f t="shared" si="436"/>
        <v>0.37182490957256514</v>
      </c>
      <c r="H72" s="108">
        <f t="shared" si="436"/>
        <v>0.32857397013012174</v>
      </c>
      <c r="I72" s="108">
        <f t="shared" si="436"/>
        <v>0.37284834568945646</v>
      </c>
      <c r="J72" s="108">
        <f t="shared" si="436"/>
        <v>0.35096614664138531</v>
      </c>
      <c r="K72" s="108">
        <f t="shared" si="436"/>
        <v>0.35399503543070154</v>
      </c>
      <c r="L72" s="108">
        <f t="shared" si="436"/>
        <v>0.49420668377717808</v>
      </c>
      <c r="M72" s="108">
        <f t="shared" si="436"/>
        <v>0.3801960266351026</v>
      </c>
      <c r="N72" s="15" t="s">
        <v>58</v>
      </c>
      <c r="O72" s="108">
        <f>+IFERROR(O71/O70,0)</f>
        <v>0.35554850279572858</v>
      </c>
      <c r="P72" s="108">
        <f t="shared" ref="P72:AA72" si="437">+IFERROR(P71/P70,0)</f>
        <v>0.29669553366549811</v>
      </c>
      <c r="Q72" s="108">
        <f t="shared" si="437"/>
        <v>0.39246063375927653</v>
      </c>
      <c r="R72" s="108">
        <f t="shared" si="437"/>
        <v>0.34013534316015531</v>
      </c>
      <c r="S72" s="108">
        <f t="shared" si="437"/>
        <v>0.35888274461660691</v>
      </c>
      <c r="T72" s="108">
        <f t="shared" si="437"/>
        <v>0.41299967038808638</v>
      </c>
      <c r="U72" s="108">
        <f t="shared" si="437"/>
        <v>0.34410934069593846</v>
      </c>
      <c r="V72" s="108">
        <f t="shared" si="437"/>
        <v>0.339136189229157</v>
      </c>
      <c r="W72" s="108">
        <f t="shared" si="437"/>
        <v>0.48401224265365433</v>
      </c>
      <c r="X72" s="108">
        <f t="shared" si="437"/>
        <v>0.30034361300047652</v>
      </c>
      <c r="Y72" s="108">
        <f t="shared" si="437"/>
        <v>0</v>
      </c>
      <c r="Z72" s="108">
        <f t="shared" si="437"/>
        <v>0</v>
      </c>
      <c r="AA72" s="108">
        <f t="shared" si="437"/>
        <v>0.36386638714813979</v>
      </c>
      <c r="AB72" s="118"/>
      <c r="AC72" s="108">
        <f>+IFERROR(AC71/AC70,0)</f>
        <v>0.35170455175731169</v>
      </c>
      <c r="AD72" s="108">
        <f t="shared" ref="AD72:AO72" si="438">+IFERROR(AD71/AD70,0)</f>
        <v>0.34818628922200873</v>
      </c>
      <c r="AE72" s="108">
        <f t="shared" si="438"/>
        <v>0.50546863150628984</v>
      </c>
      <c r="AF72" s="108">
        <f t="shared" si="438"/>
        <v>0.34095276356365306</v>
      </c>
      <c r="AG72" s="108">
        <f t="shared" si="438"/>
        <v>0.34412365001535811</v>
      </c>
      <c r="AH72" s="108">
        <f t="shared" si="438"/>
        <v>0.49533380620395995</v>
      </c>
      <c r="AI72" s="108">
        <f t="shared" si="438"/>
        <v>0.35745645391990633</v>
      </c>
      <c r="AJ72" s="108">
        <f t="shared" si="438"/>
        <v>0.35373037273331659</v>
      </c>
      <c r="AK72" s="108">
        <f t="shared" si="438"/>
        <v>0.49630044391579858</v>
      </c>
      <c r="AL72" s="108">
        <f t="shared" si="438"/>
        <v>0.35133638739326906</v>
      </c>
      <c r="AM72" s="108">
        <f t="shared" si="438"/>
        <v>0.3499460014720957</v>
      </c>
      <c r="AN72" s="108">
        <f t="shared" si="438"/>
        <v>0.50446190942402336</v>
      </c>
      <c r="AO72" s="108">
        <f t="shared" si="438"/>
        <v>0.40248466326736709</v>
      </c>
      <c r="AP72" s="32"/>
      <c r="AQ72" s="108">
        <f t="shared" ref="AQ72:BB72" si="439">+IFERROR(AQ71/AQ70,0)</f>
        <v>0.38343121277602643</v>
      </c>
      <c r="AR72" s="108">
        <f t="shared" si="439"/>
        <v>0.35715811132404668</v>
      </c>
      <c r="AS72" s="108">
        <f t="shared" si="439"/>
        <v>0.44856551077659984</v>
      </c>
      <c r="AT72" s="108">
        <f t="shared" si="439"/>
        <v>0.35404534523860159</v>
      </c>
      <c r="AU72" s="108">
        <f t="shared" si="439"/>
        <v>0.32751256548061675</v>
      </c>
      <c r="AV72" s="108">
        <f t="shared" si="439"/>
        <v>0.41409433804832352</v>
      </c>
      <c r="AW72" s="108">
        <f t="shared" si="439"/>
        <v>0.36673114061410944</v>
      </c>
      <c r="AX72" s="108">
        <f t="shared" si="439"/>
        <v>0.31415582172146783</v>
      </c>
      <c r="AY72" s="108">
        <f t="shared" si="439"/>
        <v>0.34568245248364027</v>
      </c>
      <c r="AZ72" s="108">
        <f t="shared" si="439"/>
        <v>0.27345858394686612</v>
      </c>
      <c r="BA72" s="108">
        <f t="shared" si="439"/>
        <v>0.31467156459840789</v>
      </c>
      <c r="BB72" s="108">
        <f t="shared" si="439"/>
        <v>0.49940602061405481</v>
      </c>
      <c r="BC72" s="108">
        <f t="shared" ref="BC72" si="440">+IFERROR(BC71/BC70,0)</f>
        <v>0.36744504187162941</v>
      </c>
      <c r="BD72" s="46" t="str">
        <f t="shared" si="405"/>
        <v>% to Sales</v>
      </c>
      <c r="BE72" s="108">
        <f t="shared" ref="BE72:BP72" si="441">+IFERROR(BE71/BE70,0)</f>
        <v>0.36350121614399211</v>
      </c>
      <c r="BF72" s="108">
        <f t="shared" si="441"/>
        <v>0.31411659781616869</v>
      </c>
      <c r="BG72" s="108">
        <f t="shared" si="441"/>
        <v>0.36432994004358721</v>
      </c>
      <c r="BH72" s="108">
        <f t="shared" si="441"/>
        <v>0.3263400806755033</v>
      </c>
      <c r="BI72" s="108">
        <f t="shared" si="441"/>
        <v>0.38287692346661001</v>
      </c>
      <c r="BJ72" s="108">
        <f t="shared" si="441"/>
        <v>0.39411985942462324</v>
      </c>
      <c r="BK72" s="108">
        <f t="shared" si="441"/>
        <v>0.35064037780779339</v>
      </c>
      <c r="BL72" s="108">
        <f t="shared" si="441"/>
        <v>0.3200989472151633</v>
      </c>
      <c r="BM72" s="108">
        <f t="shared" si="441"/>
        <v>0.45143766789145467</v>
      </c>
      <c r="BN72" s="108">
        <f t="shared" si="441"/>
        <v>0.29668229209313746</v>
      </c>
      <c r="BO72" s="108">
        <f t="shared" si="441"/>
        <v>0</v>
      </c>
      <c r="BP72" s="108">
        <f t="shared" si="441"/>
        <v>0</v>
      </c>
      <c r="BQ72" s="108">
        <f t="shared" ref="BQ72" si="442">+IFERROR(BQ71/BQ70,0)</f>
        <v>0.35896888135437288</v>
      </c>
      <c r="BR72" s="118"/>
      <c r="BS72" s="108">
        <f t="shared" ref="BS72:CD72" si="443">+IFERROR(BS71/BS70,0)</f>
        <v>0.35920138412709052</v>
      </c>
      <c r="BT72" s="108">
        <f t="shared" si="443"/>
        <v>0.35312624620310751</v>
      </c>
      <c r="BU72" s="108">
        <f t="shared" si="443"/>
        <v>0.52819749667602778</v>
      </c>
      <c r="BV72" s="108">
        <f t="shared" si="443"/>
        <v>0.34494124439068596</v>
      </c>
      <c r="BW72" s="108">
        <f t="shared" si="443"/>
        <v>0.34426823457463157</v>
      </c>
      <c r="BX72" s="108">
        <f t="shared" si="443"/>
        <v>0.50821711983589379</v>
      </c>
      <c r="BY72" s="108">
        <f t="shared" si="443"/>
        <v>0.36598687852453304</v>
      </c>
      <c r="BZ72" s="108">
        <f t="shared" si="443"/>
        <v>0.35883901990776057</v>
      </c>
      <c r="CA72" s="108">
        <f t="shared" si="443"/>
        <v>0.50264480984003079</v>
      </c>
      <c r="CB72" s="108">
        <f t="shared" si="443"/>
        <v>0.35610635264236706</v>
      </c>
      <c r="CC72" s="108">
        <f t="shared" si="443"/>
        <v>0.3550637597985889</v>
      </c>
      <c r="CD72" s="108">
        <f t="shared" si="443"/>
        <v>0.50843961032234919</v>
      </c>
      <c r="CE72" s="108">
        <f t="shared" ref="CE72" si="444">+IFERROR(CE71/CE70,0)</f>
        <v>0.40931592405902223</v>
      </c>
      <c r="CF72" s="32"/>
      <c r="CG72" s="108">
        <f t="shared" ref="CG72:CR72" si="445">+IFERROR(CG71/CG70,0)</f>
        <v>0.36728725829208142</v>
      </c>
      <c r="CH72" s="108">
        <f t="shared" si="445"/>
        <v>0.35344376103842684</v>
      </c>
      <c r="CI72" s="108">
        <f t="shared" si="445"/>
        <v>0.50196977096614515</v>
      </c>
      <c r="CJ72" s="108">
        <f t="shared" si="445"/>
        <v>0.40212748948926513</v>
      </c>
      <c r="CK72" s="108">
        <f t="shared" si="445"/>
        <v>0.33758872784892641</v>
      </c>
      <c r="CL72" s="108">
        <f t="shared" si="445"/>
        <v>0.35614830671612346</v>
      </c>
      <c r="CM72" s="108">
        <f t="shared" si="445"/>
        <v>0.38120364834023374</v>
      </c>
      <c r="CN72" s="108">
        <f t="shared" si="445"/>
        <v>0.35739525810482548</v>
      </c>
      <c r="CO72" s="108">
        <f t="shared" si="445"/>
        <v>0.43389124423238806</v>
      </c>
      <c r="CP72" s="108">
        <f t="shared" si="445"/>
        <v>0.49312580758626146</v>
      </c>
      <c r="CQ72" s="108">
        <f t="shared" si="445"/>
        <v>0.41516948784112528</v>
      </c>
      <c r="CR72" s="108">
        <f t="shared" si="445"/>
        <v>0.48263977861722546</v>
      </c>
      <c r="CS72" s="108">
        <f t="shared" ref="CS72" si="446">+IFERROR(CS71/CS70,0)</f>
        <v>0.40245095158550487</v>
      </c>
      <c r="CT72" s="22"/>
      <c r="CU72" s="108">
        <f t="shared" ref="CU72:DF72" si="447">+IFERROR(CU71/CU70,0)</f>
        <v>0.34653042350219654</v>
      </c>
      <c r="CV72" s="108">
        <f t="shared" si="447"/>
        <v>0.26456674665038266</v>
      </c>
      <c r="CW72" s="108">
        <f t="shared" si="447"/>
        <v>0.41992655125926615</v>
      </c>
      <c r="CX72" s="108">
        <f t="shared" si="447"/>
        <v>0.35394565434034025</v>
      </c>
      <c r="CY72" s="108">
        <f t="shared" si="447"/>
        <v>0.32802415550451441</v>
      </c>
      <c r="CZ72" s="108">
        <f t="shared" si="447"/>
        <v>0.44850997981040969</v>
      </c>
      <c r="DA72" s="108">
        <f t="shared" si="447"/>
        <v>0.34995101935941353</v>
      </c>
      <c r="DB72" s="108">
        <f t="shared" si="447"/>
        <v>0.38906798461268205</v>
      </c>
      <c r="DC72" s="108">
        <f t="shared" si="447"/>
        <v>0.50472856705308045</v>
      </c>
      <c r="DD72" s="108">
        <f t="shared" si="447"/>
        <v>0.30328452392803845</v>
      </c>
      <c r="DE72" s="108">
        <f t="shared" si="447"/>
        <v>0</v>
      </c>
      <c r="DF72" s="108">
        <f t="shared" si="447"/>
        <v>0</v>
      </c>
      <c r="DG72" s="108">
        <f t="shared" ref="DG72" si="448">+IFERROR(DG71/DG70,0)</f>
        <v>0.3695215633268169</v>
      </c>
      <c r="DH72" s="118"/>
      <c r="DI72" s="108">
        <f t="shared" ref="DI72:DT72" si="449">+IFERROR(DI71/DI70,0)</f>
        <v>0.33728766135792088</v>
      </c>
      <c r="DJ72" s="108">
        <f t="shared" si="449"/>
        <v>0.33774244034464918</v>
      </c>
      <c r="DK72" s="108">
        <f t="shared" si="449"/>
        <v>0.48297859505912699</v>
      </c>
      <c r="DL72" s="108">
        <f t="shared" si="449"/>
        <v>0.32889971501263021</v>
      </c>
      <c r="DM72" s="108">
        <f t="shared" si="449"/>
        <v>0.33699777610881937</v>
      </c>
      <c r="DN72" s="108">
        <f t="shared" si="449"/>
        <v>0.48498809983826868</v>
      </c>
      <c r="DO72" s="108">
        <f t="shared" si="449"/>
        <v>0.3410378119770997</v>
      </c>
      <c r="DP72" s="108">
        <f t="shared" si="449"/>
        <v>0.34176701115613578</v>
      </c>
      <c r="DQ72" s="108">
        <f t="shared" si="449"/>
        <v>0.49290803155525487</v>
      </c>
      <c r="DR72" s="108">
        <f t="shared" si="449"/>
        <v>0.33568777345272455</v>
      </c>
      <c r="DS72" s="108">
        <f t="shared" si="449"/>
        <v>0.33469519900705758</v>
      </c>
      <c r="DT72" s="108">
        <f t="shared" si="449"/>
        <v>0.49296050385338552</v>
      </c>
      <c r="DU72" s="108">
        <f t="shared" ref="DU72" si="450">+IFERROR(DU71/DU70,0)</f>
        <v>0.39089846440478476</v>
      </c>
      <c r="DV72" s="32"/>
      <c r="DW72" s="108">
        <f t="shared" ref="DW72:EH72" si="451">+IFERROR(DW71/DW70,0)</f>
        <v>0</v>
      </c>
      <c r="DX72" s="108">
        <f t="shared" si="451"/>
        <v>0</v>
      </c>
      <c r="DY72" s="108">
        <f t="shared" si="451"/>
        <v>0</v>
      </c>
      <c r="DZ72" s="108">
        <f t="shared" si="451"/>
        <v>0</v>
      </c>
      <c r="EA72" s="108">
        <f t="shared" si="451"/>
        <v>0</v>
      </c>
      <c r="EB72" s="108">
        <f t="shared" si="451"/>
        <v>0</v>
      </c>
      <c r="EC72" s="108">
        <f t="shared" si="451"/>
        <v>0</v>
      </c>
      <c r="ED72" s="108">
        <f t="shared" si="451"/>
        <v>0</v>
      </c>
      <c r="EE72" s="108">
        <f t="shared" si="451"/>
        <v>0</v>
      </c>
      <c r="EF72" s="108">
        <f t="shared" si="451"/>
        <v>0</v>
      </c>
      <c r="EG72" s="108">
        <f t="shared" si="451"/>
        <v>0</v>
      </c>
      <c r="EH72" s="108">
        <f t="shared" si="451"/>
        <v>0</v>
      </c>
      <c r="EI72" s="108">
        <f t="shared" ref="EI72" si="452">+IFERROR(EI71/EI70,0)</f>
        <v>0</v>
      </c>
      <c r="EJ72" s="22"/>
      <c r="EK72" s="108">
        <f t="shared" ref="EK72:EV72" si="453">+IFERROR(EK71/EK70,0)</f>
        <v>0.33595127169517214</v>
      </c>
      <c r="EL72" s="108">
        <f t="shared" si="453"/>
        <v>0.28669079082896398</v>
      </c>
      <c r="EM72" s="108">
        <f t="shared" si="453"/>
        <v>0.57185748880650966</v>
      </c>
      <c r="EN72" s="108">
        <f t="shared" si="453"/>
        <v>0.438906040448378</v>
      </c>
      <c r="EO72" s="108">
        <f t="shared" si="453"/>
        <v>0.25796875574763933</v>
      </c>
      <c r="EP72" s="108">
        <f t="shared" si="453"/>
        <v>0.42441083844239874</v>
      </c>
      <c r="EQ72" s="108">
        <f t="shared" si="453"/>
        <v>0.2822938985869371</v>
      </c>
      <c r="ER72" s="108">
        <f t="shared" si="453"/>
        <v>0.31174069015091133</v>
      </c>
      <c r="ES72" s="108">
        <f t="shared" si="453"/>
        <v>0.67379010724795829</v>
      </c>
      <c r="ET72" s="108">
        <f t="shared" si="453"/>
        <v>0.30979698031053082</v>
      </c>
      <c r="EU72" s="108">
        <f t="shared" si="453"/>
        <v>0</v>
      </c>
      <c r="EV72" s="108">
        <f t="shared" si="453"/>
        <v>0</v>
      </c>
      <c r="EW72" s="108">
        <f t="shared" ref="EW72" si="454">+IFERROR(EW71/EW70,0)</f>
        <v>0.37924847993975475</v>
      </c>
      <c r="EX72" s="118"/>
      <c r="EY72" s="108">
        <f t="shared" ref="EY72:FJ72" si="455">+IFERROR(EY71/EY70,0)</f>
        <v>0.35796115004672763</v>
      </c>
      <c r="EZ72" s="108">
        <f t="shared" si="455"/>
        <v>0.35593824669365176</v>
      </c>
      <c r="FA72" s="108">
        <f t="shared" si="455"/>
        <v>0.48187231637626299</v>
      </c>
      <c r="FB72" s="108">
        <f t="shared" si="455"/>
        <v>0.35375283829265597</v>
      </c>
      <c r="FC72" s="108">
        <f t="shared" si="455"/>
        <v>0.36094509792376955</v>
      </c>
      <c r="FD72" s="108">
        <f t="shared" si="455"/>
        <v>0.47099132248710285</v>
      </c>
      <c r="FE72" s="108">
        <f t="shared" si="455"/>
        <v>0.36546065482271334</v>
      </c>
      <c r="FF72" s="108">
        <f t="shared" si="455"/>
        <v>0.36408126805779628</v>
      </c>
      <c r="FG72" s="108">
        <f t="shared" si="455"/>
        <v>0.47764670311150786</v>
      </c>
      <c r="FH72" s="108">
        <f t="shared" si="455"/>
        <v>0.37305685651601683</v>
      </c>
      <c r="FI72" s="108">
        <f t="shared" si="455"/>
        <v>0.37470285242084783</v>
      </c>
      <c r="FJ72" s="108">
        <f t="shared" si="455"/>
        <v>0.52070574015707571</v>
      </c>
      <c r="FK72" s="108">
        <f t="shared" ref="FK72" si="456">+IFERROR(FK71/FK70,0)</f>
        <v>0.40491821617677892</v>
      </c>
    </row>
    <row r="73" spans="1:167" ht="14.4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16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11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106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16">
        <f t="shared" si="405"/>
        <v>0</v>
      </c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11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106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16">
        <f t="shared" si="409"/>
        <v>0</v>
      </c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11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106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16">
        <f t="shared" ref="EJ73:EJ136" si="457">CT73</f>
        <v>0</v>
      </c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11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</row>
    <row r="74" spans="1:167" ht="14.4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18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6">
        <f t="shared" si="405"/>
        <v>0</v>
      </c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118"/>
      <c r="BS74" s="106"/>
      <c r="BT74" s="106"/>
      <c r="BU74" s="106"/>
      <c r="BV74" s="106"/>
      <c r="BW74" s="106"/>
      <c r="BX74" s="106"/>
      <c r="BY74" s="106"/>
      <c r="BZ74" s="106"/>
      <c r="CA74" s="106"/>
      <c r="CB74" s="106"/>
      <c r="CC74" s="106"/>
      <c r="CD74" s="106"/>
      <c r="CE74" s="106"/>
      <c r="CF74" s="106"/>
      <c r="CG74" s="106"/>
      <c r="CH74" s="106"/>
      <c r="CI74" s="106"/>
      <c r="CJ74" s="106"/>
      <c r="CK74" s="106"/>
      <c r="CL74" s="106"/>
      <c r="CM74" s="106"/>
      <c r="CN74" s="106"/>
      <c r="CO74" s="106"/>
      <c r="CP74" s="106"/>
      <c r="CQ74" s="106"/>
      <c r="CR74" s="106"/>
      <c r="CS74" s="106"/>
      <c r="CT74" s="16">
        <f t="shared" si="409"/>
        <v>0</v>
      </c>
      <c r="CU74" s="106"/>
      <c r="CV74" s="106"/>
      <c r="CW74" s="106"/>
      <c r="CX74" s="106"/>
      <c r="CY74" s="106"/>
      <c r="CZ74" s="106"/>
      <c r="DA74" s="106"/>
      <c r="DB74" s="106"/>
      <c r="DC74" s="106"/>
      <c r="DD74" s="106"/>
      <c r="DE74" s="106"/>
      <c r="DF74" s="106"/>
      <c r="DG74" s="106"/>
      <c r="DH74" s="118"/>
      <c r="DI74" s="106"/>
      <c r="DJ74" s="106"/>
      <c r="DK74" s="106"/>
      <c r="DL74" s="106"/>
      <c r="DM74" s="106"/>
      <c r="DN74" s="106"/>
      <c r="DO74" s="106"/>
      <c r="DP74" s="106"/>
      <c r="DQ74" s="106"/>
      <c r="DR74" s="106"/>
      <c r="DS74" s="106"/>
      <c r="DT74" s="106"/>
      <c r="DU74" s="106"/>
      <c r="DV74" s="106"/>
      <c r="DW74" s="106"/>
      <c r="DX74" s="106"/>
      <c r="DY74" s="106"/>
      <c r="DZ74" s="106"/>
      <c r="EA74" s="106"/>
      <c r="EB74" s="106"/>
      <c r="EC74" s="106"/>
      <c r="ED74" s="106"/>
      <c r="EE74" s="106"/>
      <c r="EF74" s="106"/>
      <c r="EG74" s="106"/>
      <c r="EH74" s="106"/>
      <c r="EI74" s="106"/>
      <c r="EJ74" s="16">
        <f t="shared" si="457"/>
        <v>0</v>
      </c>
      <c r="EK74" s="106"/>
      <c r="EL74" s="106"/>
      <c r="EM74" s="106"/>
      <c r="EN74" s="106"/>
      <c r="EO74" s="106"/>
      <c r="EP74" s="106"/>
      <c r="EQ74" s="106"/>
      <c r="ER74" s="106"/>
      <c r="ES74" s="106"/>
      <c r="ET74" s="106"/>
      <c r="EU74" s="106"/>
      <c r="EV74" s="106"/>
      <c r="EW74" s="106"/>
      <c r="EX74" s="118"/>
      <c r="EY74" s="106"/>
      <c r="EZ74" s="106"/>
      <c r="FA74" s="106"/>
      <c r="FB74" s="106"/>
      <c r="FC74" s="106"/>
      <c r="FD74" s="106"/>
      <c r="FE74" s="106"/>
      <c r="FF74" s="106"/>
      <c r="FG74" s="106"/>
      <c r="FH74" s="106"/>
      <c r="FI74" s="106"/>
      <c r="FJ74" s="106"/>
      <c r="FK74" s="106"/>
    </row>
    <row r="75" spans="1:167" ht="14.45" customHeight="1">
      <c r="A75" s="58">
        <f t="shared" ref="A75:M75" si="458">+A76+A87+A90</f>
        <v>681391.14100000018</v>
      </c>
      <c r="B75" s="58">
        <f t="shared" si="458"/>
        <v>806204.56300000008</v>
      </c>
      <c r="C75" s="58">
        <f t="shared" si="458"/>
        <v>549733.96000000008</v>
      </c>
      <c r="D75" s="58">
        <f t="shared" si="458"/>
        <v>547158.96</v>
      </c>
      <c r="E75" s="58">
        <f t="shared" si="458"/>
        <v>616007.39800000004</v>
      </c>
      <c r="F75" s="58">
        <f t="shared" si="458"/>
        <v>371626.44999999995</v>
      </c>
      <c r="G75" s="58">
        <f t="shared" si="458"/>
        <v>741451.1669999999</v>
      </c>
      <c r="H75" s="58">
        <f t="shared" si="458"/>
        <v>147012.71</v>
      </c>
      <c r="I75" s="58">
        <f t="shared" si="458"/>
        <v>791065.89900000009</v>
      </c>
      <c r="J75" s="58">
        <f t="shared" si="458"/>
        <v>899886.46799999999</v>
      </c>
      <c r="K75" s="58">
        <f t="shared" si="458"/>
        <v>809921.94</v>
      </c>
      <c r="L75" s="58">
        <f t="shared" si="458"/>
        <v>627161.53500000003</v>
      </c>
      <c r="M75" s="58">
        <f t="shared" si="458"/>
        <v>7588622.1910000006</v>
      </c>
      <c r="N75" s="17" t="s">
        <v>59</v>
      </c>
      <c r="O75" s="58">
        <f>+O76+O87+O90</f>
        <v>668806.81079521112</v>
      </c>
      <c r="P75" s="58">
        <f t="shared" ref="P75:AA75" si="459">+P76+P87+P90</f>
        <v>82906.351912188809</v>
      </c>
      <c r="Q75" s="58">
        <f t="shared" si="459"/>
        <v>758928.67200000014</v>
      </c>
      <c r="R75" s="58">
        <f t="shared" si="459"/>
        <v>614915.08000000019</v>
      </c>
      <c r="S75" s="58">
        <f t="shared" si="459"/>
        <v>932955.94400000025</v>
      </c>
      <c r="T75" s="58">
        <f t="shared" si="459"/>
        <v>765002.7080000001</v>
      </c>
      <c r="U75" s="58">
        <f t="shared" si="459"/>
        <v>980584.72200000007</v>
      </c>
      <c r="V75" s="58">
        <f t="shared" si="459"/>
        <v>876566.87800000026</v>
      </c>
      <c r="W75" s="58">
        <f t="shared" si="459"/>
        <v>1211526.4856666664</v>
      </c>
      <c r="X75" s="58">
        <f t="shared" si="459"/>
        <v>779559.01500000013</v>
      </c>
      <c r="Y75" s="58">
        <f t="shared" si="459"/>
        <v>0</v>
      </c>
      <c r="Z75" s="58">
        <f t="shared" si="459"/>
        <v>0</v>
      </c>
      <c r="AA75" s="58">
        <f t="shared" si="459"/>
        <v>7671752.6673740679</v>
      </c>
      <c r="AB75" s="118"/>
      <c r="AC75" s="58">
        <f>+AC76+AC87+AC90</f>
        <v>1010443.6758000001</v>
      </c>
      <c r="AD75" s="58">
        <f t="shared" ref="AD75:AO75" si="460">+AD76+AD87+AD90</f>
        <v>989034.66852000006</v>
      </c>
      <c r="AE75" s="58">
        <f t="shared" si="460"/>
        <v>1009384.9921800001</v>
      </c>
      <c r="AF75" s="58">
        <f t="shared" si="460"/>
        <v>860615.33290000004</v>
      </c>
      <c r="AG75" s="58">
        <f t="shared" si="460"/>
        <v>980768.08270000014</v>
      </c>
      <c r="AH75" s="58">
        <f t="shared" si="460"/>
        <v>1023826.6768</v>
      </c>
      <c r="AI75" s="58">
        <f t="shared" si="460"/>
        <v>1061781.4169000001</v>
      </c>
      <c r="AJ75" s="58">
        <f t="shared" si="460"/>
        <v>1087944.5735000002</v>
      </c>
      <c r="AK75" s="58">
        <f t="shared" si="460"/>
        <v>1111520.3816</v>
      </c>
      <c r="AL75" s="58">
        <f t="shared" si="460"/>
        <v>962818.31692222226</v>
      </c>
      <c r="AM75" s="58">
        <f t="shared" si="460"/>
        <v>882246.29131555557</v>
      </c>
      <c r="AN75" s="58">
        <f t="shared" si="460"/>
        <v>1050052.0397824242</v>
      </c>
      <c r="AO75" s="58">
        <f t="shared" si="460"/>
        <v>12030436.448920202</v>
      </c>
      <c r="AP75" s="106"/>
      <c r="AQ75" s="58">
        <f t="shared" ref="AQ75:BB75" si="461">+AQ76+AQ87+AQ90</f>
        <v>438501.65100000013</v>
      </c>
      <c r="AR75" s="58">
        <f t="shared" si="461"/>
        <v>530244.74200000009</v>
      </c>
      <c r="AS75" s="58">
        <f t="shared" si="461"/>
        <v>414054.26</v>
      </c>
      <c r="AT75" s="58">
        <f t="shared" si="461"/>
        <v>377228.44099999999</v>
      </c>
      <c r="AU75" s="58">
        <f t="shared" si="461"/>
        <v>459990.98000000004</v>
      </c>
      <c r="AV75" s="58">
        <f t="shared" si="461"/>
        <v>150576.29999999999</v>
      </c>
      <c r="AW75" s="58">
        <f t="shared" si="461"/>
        <v>469481.76</v>
      </c>
      <c r="AX75" s="58">
        <f t="shared" si="461"/>
        <v>62407</v>
      </c>
      <c r="AY75" s="58">
        <f t="shared" si="461"/>
        <v>561851.02800000005</v>
      </c>
      <c r="AZ75" s="58">
        <f t="shared" si="461"/>
        <v>683210.64599999995</v>
      </c>
      <c r="BA75" s="58">
        <f t="shared" si="461"/>
        <v>530263.93900000001</v>
      </c>
      <c r="BB75" s="58">
        <f t="shared" si="461"/>
        <v>390440</v>
      </c>
      <c r="BC75" s="58">
        <f t="shared" ref="BC75" si="462">+BC76+BC87+BC90</f>
        <v>5068250.7469999995</v>
      </c>
      <c r="BD75" s="17" t="str">
        <f t="shared" si="405"/>
        <v>Selling &amp; Distribution Expenses</v>
      </c>
      <c r="BE75" s="58">
        <f t="shared" ref="BE75:BP75" si="463">+BE76+BE87+BE90</f>
        <v>316329.06808781117</v>
      </c>
      <c r="BF75" s="58">
        <f t="shared" si="463"/>
        <v>43952.231912188814</v>
      </c>
      <c r="BG75" s="58">
        <f t="shared" si="463"/>
        <v>457820.74</v>
      </c>
      <c r="BH75" s="58">
        <f t="shared" si="463"/>
        <v>390273.71100000007</v>
      </c>
      <c r="BI75" s="58">
        <f t="shared" si="463"/>
        <v>555505.19000000006</v>
      </c>
      <c r="BJ75" s="58">
        <f t="shared" si="463"/>
        <v>413994.05800000014</v>
      </c>
      <c r="BK75" s="58">
        <f t="shared" si="463"/>
        <v>591163.97200000007</v>
      </c>
      <c r="BL75" s="58">
        <f t="shared" si="463"/>
        <v>501056.74700000009</v>
      </c>
      <c r="BM75" s="58">
        <f t="shared" si="463"/>
        <v>830985.26199999987</v>
      </c>
      <c r="BN75" s="58">
        <f t="shared" si="463"/>
        <v>451517.18000000005</v>
      </c>
      <c r="BO75" s="58">
        <f t="shared" si="463"/>
        <v>0</v>
      </c>
      <c r="BP75" s="58">
        <f t="shared" si="463"/>
        <v>0</v>
      </c>
      <c r="BQ75" s="58">
        <f t="shared" ref="BQ75" si="464">+BQ76+BQ87+BQ90</f>
        <v>4552598.16</v>
      </c>
      <c r="BR75" s="118"/>
      <c r="BS75" s="58">
        <f t="shared" ref="BS75:CD75" si="465">+BS76+BS87+BS90</f>
        <v>538184.24390000012</v>
      </c>
      <c r="BT75" s="58">
        <f t="shared" si="465"/>
        <v>527346.48516000004</v>
      </c>
      <c r="BU75" s="58">
        <f t="shared" si="465"/>
        <v>494833.20894000004</v>
      </c>
      <c r="BV75" s="58">
        <f t="shared" si="465"/>
        <v>460202.39840000006</v>
      </c>
      <c r="BW75" s="58">
        <f t="shared" si="465"/>
        <v>506335.46560000011</v>
      </c>
      <c r="BX75" s="58">
        <f t="shared" si="465"/>
        <v>524296.71439999994</v>
      </c>
      <c r="BY75" s="58">
        <f t="shared" si="465"/>
        <v>535169.73120000004</v>
      </c>
      <c r="BZ75" s="58">
        <f t="shared" si="465"/>
        <v>559451.86950000003</v>
      </c>
      <c r="CA75" s="58">
        <f t="shared" si="465"/>
        <v>591004.38930000004</v>
      </c>
      <c r="CB75" s="58">
        <f t="shared" si="465"/>
        <v>519098.6776</v>
      </c>
      <c r="CC75" s="58">
        <f t="shared" si="465"/>
        <v>422478.94208000001</v>
      </c>
      <c r="CD75" s="58">
        <f t="shared" si="465"/>
        <v>546704.31631999998</v>
      </c>
      <c r="CE75" s="58">
        <f t="shared" ref="CE75" si="466">+CE76+CE87+CE90</f>
        <v>6225106.442400001</v>
      </c>
      <c r="CF75" s="106"/>
      <c r="CG75" s="58">
        <f t="shared" ref="CG75:CR75" si="467">+CG76+CG87+CG90</f>
        <v>242889.49</v>
      </c>
      <c r="CH75" s="58">
        <f t="shared" si="467"/>
        <v>275959.821</v>
      </c>
      <c r="CI75" s="58">
        <f t="shared" si="467"/>
        <v>135679.70000000001</v>
      </c>
      <c r="CJ75" s="58">
        <f t="shared" si="467"/>
        <v>169930.51900000003</v>
      </c>
      <c r="CK75" s="58">
        <f t="shared" si="467"/>
        <v>156016.41800000003</v>
      </c>
      <c r="CL75" s="58">
        <f t="shared" si="467"/>
        <v>221050.15</v>
      </c>
      <c r="CM75" s="58">
        <f t="shared" si="467"/>
        <v>271969.40699999989</v>
      </c>
      <c r="CN75" s="58">
        <f t="shared" si="467"/>
        <v>84605.709999999992</v>
      </c>
      <c r="CO75" s="58">
        <f t="shared" si="467"/>
        <v>229214.87099999998</v>
      </c>
      <c r="CP75" s="58">
        <f t="shared" si="467"/>
        <v>216675.82199999999</v>
      </c>
      <c r="CQ75" s="58">
        <f t="shared" si="467"/>
        <v>279658.00099999993</v>
      </c>
      <c r="CR75" s="58">
        <f t="shared" si="467"/>
        <v>236721.535</v>
      </c>
      <c r="CS75" s="58">
        <f t="shared" ref="CS75" si="468">+CS76+CS87+CS90</f>
        <v>2520371.4440000001</v>
      </c>
      <c r="CT75" s="17" t="str">
        <f t="shared" si="409"/>
        <v>Selling &amp; Distribution Expenses</v>
      </c>
      <c r="CU75" s="58">
        <f t="shared" ref="CU75:DF75" si="469">+CU76+CU87+CU90</f>
        <v>131592.2127074</v>
      </c>
      <c r="CV75" s="58">
        <f t="shared" si="469"/>
        <v>10401.120000000001</v>
      </c>
      <c r="CW75" s="58">
        <f t="shared" si="469"/>
        <v>224360.56200000006</v>
      </c>
      <c r="CX75" s="58">
        <f t="shared" si="469"/>
        <v>187498.94900000002</v>
      </c>
      <c r="CY75" s="58">
        <f t="shared" si="469"/>
        <v>275300.09400000004</v>
      </c>
      <c r="CZ75" s="58">
        <f t="shared" si="469"/>
        <v>223129.11700000003</v>
      </c>
      <c r="DA75" s="58">
        <f t="shared" si="469"/>
        <v>312048.87400000007</v>
      </c>
      <c r="DB75" s="58">
        <f t="shared" si="469"/>
        <v>295530.83100000012</v>
      </c>
      <c r="DC75" s="58">
        <f t="shared" si="469"/>
        <v>186381.06344444433</v>
      </c>
      <c r="DD75" s="58">
        <f t="shared" si="469"/>
        <v>222889.79500000001</v>
      </c>
      <c r="DE75" s="58">
        <f t="shared" si="469"/>
        <v>0</v>
      </c>
      <c r="DF75" s="58">
        <f t="shared" si="469"/>
        <v>0</v>
      </c>
      <c r="DG75" s="58">
        <f t="shared" ref="DG75" si="470">+DG76+DG87+DG90</f>
        <v>2069132.6181518445</v>
      </c>
      <c r="DH75" s="118"/>
      <c r="DI75" s="58">
        <f t="shared" ref="DI75:DT75" si="471">+DI76+DI87+DI90</f>
        <v>337743.85190000007</v>
      </c>
      <c r="DJ75" s="58">
        <f t="shared" si="471"/>
        <v>336106.97536000004</v>
      </c>
      <c r="DK75" s="58">
        <f t="shared" si="471"/>
        <v>374452.22074000002</v>
      </c>
      <c r="DL75" s="58">
        <f t="shared" si="471"/>
        <v>274831.72649999999</v>
      </c>
      <c r="DM75" s="58">
        <f t="shared" si="471"/>
        <v>325026.41709999996</v>
      </c>
      <c r="DN75" s="58">
        <f t="shared" si="471"/>
        <v>350123.76240000007</v>
      </c>
      <c r="DO75" s="58">
        <f t="shared" si="471"/>
        <v>358592.2107</v>
      </c>
      <c r="DP75" s="58">
        <f t="shared" si="471"/>
        <v>366677.65399999998</v>
      </c>
      <c r="DQ75" s="58">
        <f t="shared" si="471"/>
        <v>365898.07530000003</v>
      </c>
      <c r="DR75" s="58">
        <f t="shared" si="471"/>
        <v>298407.41709999996</v>
      </c>
      <c r="DS75" s="58">
        <f t="shared" si="471"/>
        <v>308523.43368000002</v>
      </c>
      <c r="DT75" s="58">
        <f t="shared" si="471"/>
        <v>343051.05522000004</v>
      </c>
      <c r="DU75" s="58">
        <f t="shared" ref="DU75" si="472">+DU76+DU87+DU90</f>
        <v>4039434.8000000003</v>
      </c>
      <c r="DV75" s="106"/>
      <c r="DW75" s="58">
        <f t="shared" ref="DW75:EH75" si="473">+DW76+DW87+DW90</f>
        <v>0</v>
      </c>
      <c r="DX75" s="58">
        <f t="shared" si="473"/>
        <v>0</v>
      </c>
      <c r="DY75" s="58">
        <f t="shared" si="473"/>
        <v>0</v>
      </c>
      <c r="DZ75" s="58">
        <f t="shared" si="473"/>
        <v>0</v>
      </c>
      <c r="EA75" s="58">
        <f t="shared" si="473"/>
        <v>0</v>
      </c>
      <c r="EB75" s="58">
        <f t="shared" si="473"/>
        <v>0</v>
      </c>
      <c r="EC75" s="58">
        <f t="shared" si="473"/>
        <v>0</v>
      </c>
      <c r="ED75" s="58">
        <f t="shared" si="473"/>
        <v>0</v>
      </c>
      <c r="EE75" s="58">
        <f t="shared" si="473"/>
        <v>0</v>
      </c>
      <c r="EF75" s="58">
        <f t="shared" si="473"/>
        <v>0</v>
      </c>
      <c r="EG75" s="58">
        <f t="shared" si="473"/>
        <v>0</v>
      </c>
      <c r="EH75" s="58">
        <f t="shared" si="473"/>
        <v>0</v>
      </c>
      <c r="EI75" s="58">
        <f t="shared" ref="EI75" si="474">+EI76+EI87+EI90</f>
        <v>0</v>
      </c>
      <c r="EJ75" s="17" t="str">
        <f t="shared" si="457"/>
        <v>Selling &amp; Distribution Expenses</v>
      </c>
      <c r="EK75" s="58">
        <f t="shared" ref="EK75:EV75" si="475">+EK76+EK87+EK90</f>
        <v>220885.53</v>
      </c>
      <c r="EL75" s="58">
        <f t="shared" si="475"/>
        <v>28553</v>
      </c>
      <c r="EM75" s="58">
        <f t="shared" si="475"/>
        <v>76747.37</v>
      </c>
      <c r="EN75" s="58">
        <f t="shared" si="475"/>
        <v>37142.42</v>
      </c>
      <c r="EO75" s="58">
        <f t="shared" si="475"/>
        <v>102150.66</v>
      </c>
      <c r="EP75" s="58">
        <f t="shared" si="475"/>
        <v>127879.53300000001</v>
      </c>
      <c r="EQ75" s="58">
        <f t="shared" si="475"/>
        <v>77371.875999999989</v>
      </c>
      <c r="ER75" s="58">
        <f t="shared" si="475"/>
        <v>79979.299999999988</v>
      </c>
      <c r="ES75" s="58">
        <f t="shared" si="475"/>
        <v>194160.16022222227</v>
      </c>
      <c r="ET75" s="58">
        <f t="shared" si="475"/>
        <v>105152.04000000001</v>
      </c>
      <c r="EU75" s="58">
        <f t="shared" si="475"/>
        <v>0</v>
      </c>
      <c r="EV75" s="58">
        <f t="shared" si="475"/>
        <v>0</v>
      </c>
      <c r="EW75" s="58">
        <f t="shared" ref="EW75" si="476">+EW76+EW87+EW90</f>
        <v>1050021.8892222224</v>
      </c>
      <c r="EX75" s="118"/>
      <c r="EY75" s="58">
        <f t="shared" ref="EY75:FJ75" si="477">+EY76+EY87+EY90</f>
        <v>134515.58000000002</v>
      </c>
      <c r="EZ75" s="58">
        <f t="shared" si="477"/>
        <v>125581.20800000001</v>
      </c>
      <c r="FA75" s="58">
        <f t="shared" si="477"/>
        <v>140099.5625</v>
      </c>
      <c r="FB75" s="58">
        <f t="shared" si="477"/>
        <v>125581.20800000001</v>
      </c>
      <c r="FC75" s="58">
        <f t="shared" si="477"/>
        <v>149406.20000000001</v>
      </c>
      <c r="FD75" s="58">
        <f t="shared" si="477"/>
        <v>149406.20000000001</v>
      </c>
      <c r="FE75" s="58">
        <f t="shared" si="477"/>
        <v>168019.47500000001</v>
      </c>
      <c r="FF75" s="58">
        <f t="shared" si="477"/>
        <v>161815.05000000002</v>
      </c>
      <c r="FG75" s="58">
        <f t="shared" si="477"/>
        <v>154617.91700000002</v>
      </c>
      <c r="FH75" s="58">
        <f t="shared" si="477"/>
        <v>145312.22222222225</v>
      </c>
      <c r="FI75" s="58">
        <f t="shared" si="477"/>
        <v>151243.91555555558</v>
      </c>
      <c r="FJ75" s="58">
        <f t="shared" si="477"/>
        <v>160296.66824242426</v>
      </c>
      <c r="FK75" s="58">
        <f t="shared" ref="FK75" si="478">+FK76+FK87+FK90</f>
        <v>1765895.2065202021</v>
      </c>
    </row>
    <row r="76" spans="1:167" ht="14.25" hidden="1" customHeight="1" outlineLevel="1">
      <c r="A76" s="58">
        <f t="shared" ref="A76:M76" si="479">+SUM(A77:A86)</f>
        <v>46954.14</v>
      </c>
      <c r="B76" s="58">
        <f t="shared" si="479"/>
        <v>13308</v>
      </c>
      <c r="C76" s="58">
        <f t="shared" si="479"/>
        <v>37523</v>
      </c>
      <c r="D76" s="58">
        <f t="shared" si="479"/>
        <v>6146</v>
      </c>
      <c r="E76" s="58">
        <f t="shared" si="479"/>
        <v>4475.78</v>
      </c>
      <c r="F76" s="58">
        <f t="shared" si="479"/>
        <v>9656</v>
      </c>
      <c r="G76" s="58">
        <f t="shared" si="479"/>
        <v>23669</v>
      </c>
      <c r="H76" s="58">
        <f t="shared" si="479"/>
        <v>22743</v>
      </c>
      <c r="I76" s="58">
        <f t="shared" si="479"/>
        <v>8193.9</v>
      </c>
      <c r="J76" s="58">
        <f t="shared" si="479"/>
        <v>21978</v>
      </c>
      <c r="K76" s="58">
        <f t="shared" si="479"/>
        <v>29322</v>
      </c>
      <c r="L76" s="58">
        <f t="shared" si="479"/>
        <v>30364</v>
      </c>
      <c r="M76" s="58">
        <f t="shared" si="479"/>
        <v>254332.82</v>
      </c>
      <c r="N76" s="18" t="s">
        <v>60</v>
      </c>
      <c r="O76" s="58">
        <f t="shared" ref="O76:AA76" si="480">+SUM(O77:O86)</f>
        <v>119782</v>
      </c>
      <c r="P76" s="58">
        <f t="shared" si="480"/>
        <v>16631.3</v>
      </c>
      <c r="Q76" s="58">
        <f t="shared" si="480"/>
        <v>43184.72</v>
      </c>
      <c r="R76" s="58">
        <f t="shared" si="480"/>
        <v>9543</v>
      </c>
      <c r="S76" s="58">
        <f t="shared" si="480"/>
        <v>10787</v>
      </c>
      <c r="T76" s="58">
        <f t="shared" si="480"/>
        <v>16130</v>
      </c>
      <c r="U76" s="58">
        <f t="shared" si="480"/>
        <v>37972</v>
      </c>
      <c r="V76" s="58">
        <f t="shared" si="480"/>
        <v>27253</v>
      </c>
      <c r="W76" s="58">
        <f t="shared" si="480"/>
        <v>18127.14</v>
      </c>
      <c r="X76" s="58">
        <f t="shared" si="480"/>
        <v>188050.51</v>
      </c>
      <c r="Y76" s="58">
        <f t="shared" si="480"/>
        <v>0</v>
      </c>
      <c r="Z76" s="58">
        <f t="shared" si="480"/>
        <v>0</v>
      </c>
      <c r="AA76" s="58">
        <f t="shared" si="480"/>
        <v>487460.67</v>
      </c>
      <c r="AB76" s="118"/>
      <c r="AC76" s="58">
        <f t="shared" ref="AC76:AO76" si="481">+SUM(AC77:AC86)</f>
        <v>30000</v>
      </c>
      <c r="AD76" s="58">
        <f t="shared" si="481"/>
        <v>30000</v>
      </c>
      <c r="AE76" s="58">
        <f t="shared" si="481"/>
        <v>30000</v>
      </c>
      <c r="AF76" s="58">
        <f t="shared" si="481"/>
        <v>30000</v>
      </c>
      <c r="AG76" s="58">
        <f t="shared" si="481"/>
        <v>30000</v>
      </c>
      <c r="AH76" s="58">
        <f t="shared" si="481"/>
        <v>30000</v>
      </c>
      <c r="AI76" s="58">
        <f t="shared" si="481"/>
        <v>30000</v>
      </c>
      <c r="AJ76" s="58">
        <f t="shared" si="481"/>
        <v>30000</v>
      </c>
      <c r="AK76" s="58">
        <f t="shared" si="481"/>
        <v>30000</v>
      </c>
      <c r="AL76" s="58">
        <f t="shared" si="481"/>
        <v>30000</v>
      </c>
      <c r="AM76" s="58">
        <f t="shared" si="481"/>
        <v>30000</v>
      </c>
      <c r="AN76" s="58">
        <f t="shared" si="481"/>
        <v>30000</v>
      </c>
      <c r="AO76" s="58">
        <f t="shared" si="481"/>
        <v>360000</v>
      </c>
      <c r="AP76" s="106"/>
      <c r="AQ76" s="58">
        <f t="shared" ref="AQ76:BC76" si="482">+SUM(AQ77:AQ86)</f>
        <v>19484</v>
      </c>
      <c r="AR76" s="58">
        <f t="shared" si="482"/>
        <v>13308</v>
      </c>
      <c r="AS76" s="58">
        <f t="shared" si="482"/>
        <v>37523</v>
      </c>
      <c r="AT76" s="58">
        <f t="shared" si="482"/>
        <v>6146</v>
      </c>
      <c r="AU76" s="58">
        <f t="shared" si="482"/>
        <v>4475.78</v>
      </c>
      <c r="AV76" s="58">
        <f t="shared" si="482"/>
        <v>9656</v>
      </c>
      <c r="AW76" s="58">
        <f t="shared" si="482"/>
        <v>23669</v>
      </c>
      <c r="AX76" s="58">
        <f t="shared" si="482"/>
        <v>10996</v>
      </c>
      <c r="AY76" s="58">
        <f t="shared" si="482"/>
        <v>8193.9</v>
      </c>
      <c r="AZ76" s="58">
        <f t="shared" si="482"/>
        <v>21978</v>
      </c>
      <c r="BA76" s="58">
        <f t="shared" si="482"/>
        <v>28862</v>
      </c>
      <c r="BB76" s="58">
        <f t="shared" si="482"/>
        <v>30364</v>
      </c>
      <c r="BC76" s="58">
        <f t="shared" si="482"/>
        <v>214655.68</v>
      </c>
      <c r="BD76" s="18" t="str">
        <f t="shared" si="405"/>
        <v>Selling Expenses</v>
      </c>
      <c r="BE76" s="58">
        <f t="shared" ref="BE76:BQ76" si="483">+SUM(BE77:BE86)</f>
        <v>21547</v>
      </c>
      <c r="BF76" s="58">
        <f t="shared" si="483"/>
        <v>16631.3</v>
      </c>
      <c r="BG76" s="58">
        <f t="shared" si="483"/>
        <v>43184.72</v>
      </c>
      <c r="BH76" s="58">
        <f t="shared" si="483"/>
        <v>9543</v>
      </c>
      <c r="BI76" s="58">
        <f t="shared" si="483"/>
        <v>10787</v>
      </c>
      <c r="BJ76" s="58">
        <f t="shared" si="483"/>
        <v>16130</v>
      </c>
      <c r="BK76" s="58">
        <f t="shared" si="483"/>
        <v>37972</v>
      </c>
      <c r="BL76" s="58">
        <f t="shared" si="483"/>
        <v>27253</v>
      </c>
      <c r="BM76" s="58">
        <f t="shared" si="483"/>
        <v>18127.14</v>
      </c>
      <c r="BN76" s="58">
        <f t="shared" si="483"/>
        <v>113050.51000000001</v>
      </c>
      <c r="BO76" s="58">
        <f t="shared" si="483"/>
        <v>0</v>
      </c>
      <c r="BP76" s="58">
        <f t="shared" si="483"/>
        <v>0</v>
      </c>
      <c r="BQ76" s="58">
        <f t="shared" si="483"/>
        <v>314225.67</v>
      </c>
      <c r="BR76" s="118"/>
      <c r="BS76" s="58">
        <f t="shared" ref="BS76:CE76" si="484">+SUM(BS77:BS86)</f>
        <v>25000</v>
      </c>
      <c r="BT76" s="58">
        <f t="shared" si="484"/>
        <v>25000</v>
      </c>
      <c r="BU76" s="58">
        <f t="shared" si="484"/>
        <v>25000</v>
      </c>
      <c r="BV76" s="58">
        <f t="shared" si="484"/>
        <v>25000</v>
      </c>
      <c r="BW76" s="58">
        <f t="shared" si="484"/>
        <v>25000</v>
      </c>
      <c r="BX76" s="58">
        <f t="shared" si="484"/>
        <v>25000</v>
      </c>
      <c r="BY76" s="58">
        <f t="shared" si="484"/>
        <v>25000</v>
      </c>
      <c r="BZ76" s="58">
        <f t="shared" si="484"/>
        <v>25000</v>
      </c>
      <c r="CA76" s="58">
        <f t="shared" si="484"/>
        <v>25000</v>
      </c>
      <c r="CB76" s="58">
        <f t="shared" si="484"/>
        <v>25000</v>
      </c>
      <c r="CC76" s="58">
        <f t="shared" si="484"/>
        <v>25000</v>
      </c>
      <c r="CD76" s="58">
        <f t="shared" si="484"/>
        <v>25000</v>
      </c>
      <c r="CE76" s="58">
        <f t="shared" si="484"/>
        <v>300000</v>
      </c>
      <c r="CF76" s="106"/>
      <c r="CG76" s="58">
        <f t="shared" ref="CG76:CS76" si="485">+SUM(CG77:CG86)</f>
        <v>27470.14</v>
      </c>
      <c r="CH76" s="58">
        <f t="shared" si="485"/>
        <v>0</v>
      </c>
      <c r="CI76" s="58">
        <f t="shared" si="485"/>
        <v>0</v>
      </c>
      <c r="CJ76" s="58">
        <f t="shared" si="485"/>
        <v>0</v>
      </c>
      <c r="CK76" s="58">
        <f t="shared" si="485"/>
        <v>0</v>
      </c>
      <c r="CL76" s="58">
        <f t="shared" si="485"/>
        <v>0</v>
      </c>
      <c r="CM76" s="58">
        <f t="shared" si="485"/>
        <v>0</v>
      </c>
      <c r="CN76" s="58">
        <f t="shared" si="485"/>
        <v>11747</v>
      </c>
      <c r="CO76" s="58">
        <f t="shared" si="485"/>
        <v>0</v>
      </c>
      <c r="CP76" s="58">
        <f t="shared" si="485"/>
        <v>0</v>
      </c>
      <c r="CQ76" s="58">
        <f t="shared" si="485"/>
        <v>460</v>
      </c>
      <c r="CR76" s="58">
        <f t="shared" si="485"/>
        <v>0</v>
      </c>
      <c r="CS76" s="58">
        <f t="shared" si="485"/>
        <v>39677.14</v>
      </c>
      <c r="CT76" s="18" t="str">
        <f t="shared" si="409"/>
        <v>Selling Expenses</v>
      </c>
      <c r="CU76" s="58">
        <f t="shared" ref="CU76:DG76" si="486">+SUM(CU77:CU86)</f>
        <v>1275</v>
      </c>
      <c r="CV76" s="58">
        <f t="shared" si="486"/>
        <v>0</v>
      </c>
      <c r="CW76" s="58">
        <f t="shared" si="486"/>
        <v>0</v>
      </c>
      <c r="CX76" s="58">
        <f t="shared" si="486"/>
        <v>0</v>
      </c>
      <c r="CY76" s="58">
        <f t="shared" si="486"/>
        <v>0</v>
      </c>
      <c r="CZ76" s="58">
        <f t="shared" si="486"/>
        <v>0</v>
      </c>
      <c r="DA76" s="58">
        <f t="shared" si="486"/>
        <v>0</v>
      </c>
      <c r="DB76" s="58">
        <f t="shared" si="486"/>
        <v>0</v>
      </c>
      <c r="DC76" s="58">
        <f t="shared" si="486"/>
        <v>0</v>
      </c>
      <c r="DD76" s="58">
        <f t="shared" si="486"/>
        <v>75000</v>
      </c>
      <c r="DE76" s="58">
        <f t="shared" si="486"/>
        <v>0</v>
      </c>
      <c r="DF76" s="58">
        <f t="shared" si="486"/>
        <v>0</v>
      </c>
      <c r="DG76" s="58">
        <f t="shared" si="486"/>
        <v>76275</v>
      </c>
      <c r="DH76" s="118"/>
      <c r="DI76" s="58">
        <f t="shared" ref="DI76:DU76" si="487">+SUM(DI77:DI86)</f>
        <v>5000</v>
      </c>
      <c r="DJ76" s="58">
        <f t="shared" si="487"/>
        <v>5000</v>
      </c>
      <c r="DK76" s="58">
        <f t="shared" si="487"/>
        <v>5000</v>
      </c>
      <c r="DL76" s="58">
        <f t="shared" si="487"/>
        <v>5000</v>
      </c>
      <c r="DM76" s="58">
        <f t="shared" si="487"/>
        <v>5000</v>
      </c>
      <c r="DN76" s="58">
        <f t="shared" si="487"/>
        <v>5000</v>
      </c>
      <c r="DO76" s="58">
        <f t="shared" si="487"/>
        <v>5000</v>
      </c>
      <c r="DP76" s="58">
        <f t="shared" si="487"/>
        <v>5000</v>
      </c>
      <c r="DQ76" s="58">
        <f t="shared" si="487"/>
        <v>5000</v>
      </c>
      <c r="DR76" s="58">
        <f t="shared" si="487"/>
        <v>5000</v>
      </c>
      <c r="DS76" s="58">
        <f t="shared" si="487"/>
        <v>5000</v>
      </c>
      <c r="DT76" s="58">
        <f t="shared" si="487"/>
        <v>5000</v>
      </c>
      <c r="DU76" s="58">
        <f t="shared" si="487"/>
        <v>60000</v>
      </c>
      <c r="DV76" s="106"/>
      <c r="DW76" s="58">
        <f t="shared" ref="DW76:EI76" si="488">+SUM(DW77:DW86)</f>
        <v>0</v>
      </c>
      <c r="DX76" s="58">
        <f t="shared" si="488"/>
        <v>0</v>
      </c>
      <c r="DY76" s="58">
        <f t="shared" si="488"/>
        <v>0</v>
      </c>
      <c r="DZ76" s="58">
        <f t="shared" si="488"/>
        <v>0</v>
      </c>
      <c r="EA76" s="58">
        <f t="shared" si="488"/>
        <v>0</v>
      </c>
      <c r="EB76" s="58">
        <f t="shared" si="488"/>
        <v>0</v>
      </c>
      <c r="EC76" s="58">
        <f t="shared" si="488"/>
        <v>0</v>
      </c>
      <c r="ED76" s="58">
        <f t="shared" si="488"/>
        <v>0</v>
      </c>
      <c r="EE76" s="58">
        <f t="shared" si="488"/>
        <v>0</v>
      </c>
      <c r="EF76" s="58">
        <f t="shared" si="488"/>
        <v>0</v>
      </c>
      <c r="EG76" s="58">
        <f t="shared" si="488"/>
        <v>0</v>
      </c>
      <c r="EH76" s="58">
        <f t="shared" si="488"/>
        <v>0</v>
      </c>
      <c r="EI76" s="58">
        <f t="shared" si="488"/>
        <v>0</v>
      </c>
      <c r="EJ76" s="18" t="str">
        <f t="shared" si="457"/>
        <v>Selling Expenses</v>
      </c>
      <c r="EK76" s="58">
        <f t="shared" ref="EK76:EW76" si="489">+SUM(EK77:EK86)</f>
        <v>96960</v>
      </c>
      <c r="EL76" s="58">
        <f t="shared" si="489"/>
        <v>0</v>
      </c>
      <c r="EM76" s="58">
        <f t="shared" si="489"/>
        <v>0</v>
      </c>
      <c r="EN76" s="58">
        <f t="shared" si="489"/>
        <v>0</v>
      </c>
      <c r="EO76" s="58">
        <f t="shared" si="489"/>
        <v>0</v>
      </c>
      <c r="EP76" s="58">
        <f t="shared" si="489"/>
        <v>0</v>
      </c>
      <c r="EQ76" s="58">
        <f t="shared" si="489"/>
        <v>0</v>
      </c>
      <c r="ER76" s="58">
        <f t="shared" si="489"/>
        <v>0</v>
      </c>
      <c r="ES76" s="58">
        <f t="shared" si="489"/>
        <v>0</v>
      </c>
      <c r="ET76" s="58">
        <f t="shared" si="489"/>
        <v>0</v>
      </c>
      <c r="EU76" s="58">
        <f t="shared" si="489"/>
        <v>0</v>
      </c>
      <c r="EV76" s="58">
        <f t="shared" si="489"/>
        <v>0</v>
      </c>
      <c r="EW76" s="58">
        <f t="shared" si="489"/>
        <v>96960</v>
      </c>
      <c r="EX76" s="118"/>
      <c r="EY76" s="58">
        <f t="shared" ref="EY76:FK76" si="490">+SUM(EY77:EY86)</f>
        <v>0</v>
      </c>
      <c r="EZ76" s="58">
        <f t="shared" si="490"/>
        <v>0</v>
      </c>
      <c r="FA76" s="58">
        <f t="shared" si="490"/>
        <v>0</v>
      </c>
      <c r="FB76" s="58">
        <f t="shared" si="490"/>
        <v>0</v>
      </c>
      <c r="FC76" s="58">
        <f t="shared" si="490"/>
        <v>0</v>
      </c>
      <c r="FD76" s="58">
        <f t="shared" si="490"/>
        <v>0</v>
      </c>
      <c r="FE76" s="58">
        <f t="shared" si="490"/>
        <v>0</v>
      </c>
      <c r="FF76" s="58">
        <f t="shared" si="490"/>
        <v>0</v>
      </c>
      <c r="FG76" s="58">
        <f t="shared" si="490"/>
        <v>0</v>
      </c>
      <c r="FH76" s="58">
        <f t="shared" si="490"/>
        <v>0</v>
      </c>
      <c r="FI76" s="58">
        <f t="shared" si="490"/>
        <v>0</v>
      </c>
      <c r="FJ76" s="58">
        <f t="shared" si="490"/>
        <v>0</v>
      </c>
      <c r="FK76" s="58">
        <f t="shared" si="490"/>
        <v>0</v>
      </c>
    </row>
    <row r="77" spans="1:167" ht="14.45" hidden="1" customHeight="1" outlineLevel="2">
      <c r="A77" s="106">
        <f t="shared" ref="A77:L86" si="491">+AQ77+CG77+DW77</f>
        <v>0</v>
      </c>
      <c r="B77" s="106">
        <f t="shared" si="491"/>
        <v>0</v>
      </c>
      <c r="C77" s="106">
        <f t="shared" si="491"/>
        <v>0</v>
      </c>
      <c r="D77" s="106">
        <f t="shared" si="491"/>
        <v>0</v>
      </c>
      <c r="E77" s="106">
        <f t="shared" si="491"/>
        <v>0</v>
      </c>
      <c r="F77" s="106">
        <f t="shared" si="491"/>
        <v>0</v>
      </c>
      <c r="G77" s="106">
        <f t="shared" si="491"/>
        <v>0</v>
      </c>
      <c r="H77" s="106">
        <f t="shared" si="491"/>
        <v>0</v>
      </c>
      <c r="I77" s="106">
        <f t="shared" si="491"/>
        <v>0</v>
      </c>
      <c r="J77" s="106">
        <f t="shared" si="491"/>
        <v>0</v>
      </c>
      <c r="K77" s="106">
        <f t="shared" si="491"/>
        <v>460</v>
      </c>
      <c r="L77" s="106">
        <f t="shared" si="491"/>
        <v>0</v>
      </c>
      <c r="M77" s="106">
        <f>+SUM(A77:L77)</f>
        <v>460</v>
      </c>
      <c r="N77" s="16" t="s">
        <v>61</v>
      </c>
      <c r="O77" s="106">
        <f>+BE77+CU77+EK77</f>
        <v>600</v>
      </c>
      <c r="P77" s="106">
        <f t="shared" ref="P77:Z86" si="492">+BF77+CV77+EL77</f>
        <v>0</v>
      </c>
      <c r="Q77" s="106">
        <f t="shared" si="492"/>
        <v>0</v>
      </c>
      <c r="R77" s="106">
        <f t="shared" si="492"/>
        <v>0</v>
      </c>
      <c r="S77" s="106">
        <f t="shared" si="492"/>
        <v>0</v>
      </c>
      <c r="T77" s="106">
        <f t="shared" si="492"/>
        <v>0</v>
      </c>
      <c r="U77" s="106">
        <f t="shared" si="492"/>
        <v>0</v>
      </c>
      <c r="V77" s="106">
        <f t="shared" si="492"/>
        <v>0</v>
      </c>
      <c r="W77" s="106">
        <f t="shared" si="492"/>
        <v>0</v>
      </c>
      <c r="X77" s="106">
        <f t="shared" si="492"/>
        <v>0</v>
      </c>
      <c r="Y77" s="106">
        <f t="shared" si="492"/>
        <v>0</v>
      </c>
      <c r="Z77" s="106">
        <f t="shared" si="492"/>
        <v>0</v>
      </c>
      <c r="AA77" s="106">
        <f>+SUM(O77:Z77)</f>
        <v>600</v>
      </c>
      <c r="AB77" s="118"/>
      <c r="AC77" s="106">
        <f>+BS77+DI77+EY77</f>
        <v>0</v>
      </c>
      <c r="AD77" s="106">
        <f t="shared" ref="AD77:AN86" si="493">+BT77+DJ77+EZ77</f>
        <v>0</v>
      </c>
      <c r="AE77" s="106">
        <f t="shared" si="493"/>
        <v>0</v>
      </c>
      <c r="AF77" s="106">
        <f t="shared" si="493"/>
        <v>0</v>
      </c>
      <c r="AG77" s="106">
        <f t="shared" si="493"/>
        <v>0</v>
      </c>
      <c r="AH77" s="106">
        <f t="shared" si="493"/>
        <v>0</v>
      </c>
      <c r="AI77" s="106">
        <f t="shared" si="493"/>
        <v>0</v>
      </c>
      <c r="AJ77" s="106">
        <f t="shared" si="493"/>
        <v>0</v>
      </c>
      <c r="AK77" s="106">
        <f t="shared" si="493"/>
        <v>0</v>
      </c>
      <c r="AL77" s="106">
        <f t="shared" si="493"/>
        <v>0</v>
      </c>
      <c r="AM77" s="106">
        <f t="shared" si="493"/>
        <v>0</v>
      </c>
      <c r="AN77" s="106">
        <f t="shared" si="493"/>
        <v>0</v>
      </c>
      <c r="AO77" s="106">
        <f>+SUM(AC77:AN77)</f>
        <v>0</v>
      </c>
      <c r="AP77" s="106"/>
      <c r="AQ77" s="106">
        <f>+PMGR!AQ77+BP!AQ77</f>
        <v>0</v>
      </c>
      <c r="AR77" s="106">
        <f>+PMGR!AR77+BP!AR77</f>
        <v>0</v>
      </c>
      <c r="AS77" s="106">
        <f>+PMGR!AS77+BP!AS77</f>
        <v>0</v>
      </c>
      <c r="AT77" s="106">
        <f>+PMGR!AT77+BP!AT77</f>
        <v>0</v>
      </c>
      <c r="AU77" s="106">
        <f>+PMGR!AU77+BP!AU77</f>
        <v>0</v>
      </c>
      <c r="AV77" s="106">
        <f>+PMGR!AV77+BP!AV77</f>
        <v>0</v>
      </c>
      <c r="AW77" s="106">
        <f>+PMGR!AW77+BP!AW77</f>
        <v>0</v>
      </c>
      <c r="AX77" s="106">
        <f>+PMGR!AX77+BP!AX77</f>
        <v>0</v>
      </c>
      <c r="AY77" s="106">
        <f>+PMGR!AY77+BP!AY77</f>
        <v>0</v>
      </c>
      <c r="AZ77" s="106">
        <f>+PMGR!AZ77+BP!AZ77</f>
        <v>0</v>
      </c>
      <c r="BA77" s="106">
        <f>+PMGR!BA77+BP!BA77</f>
        <v>0</v>
      </c>
      <c r="BB77" s="106">
        <f>+PMGR!BB77+BP!BB77</f>
        <v>0</v>
      </c>
      <c r="BC77" s="106">
        <f t="shared" ref="BC77:BC86" si="494">+SUM(AQ77:BB77)</f>
        <v>0</v>
      </c>
      <c r="BD77" s="16" t="str">
        <f t="shared" si="405"/>
        <v>Demo Vehicle Expense</v>
      </c>
      <c r="BE77" s="106">
        <f>+PMGR!BE77+BP!BE77</f>
        <v>0</v>
      </c>
      <c r="BF77" s="106">
        <f>+PMGR!BF77+BP!BF77</f>
        <v>0</v>
      </c>
      <c r="BG77" s="106">
        <f>+PMGR!BG77+BP!BG77</f>
        <v>0</v>
      </c>
      <c r="BH77" s="106">
        <f>+PMGR!BH77+BP!BH77</f>
        <v>0</v>
      </c>
      <c r="BI77" s="106">
        <f>+PMGR!BI77+BP!BI77</f>
        <v>0</v>
      </c>
      <c r="BJ77" s="106">
        <f>+PMGR!BJ77+BP!BJ77</f>
        <v>0</v>
      </c>
      <c r="BK77" s="106">
        <f>+PMGR!BK77+BP!BK77</f>
        <v>0</v>
      </c>
      <c r="BL77" s="106">
        <f>+PMGR!BL77+BP!BL77</f>
        <v>0</v>
      </c>
      <c r="BM77" s="106">
        <f>+PMGR!BM77+BP!BM77</f>
        <v>0</v>
      </c>
      <c r="BN77" s="106">
        <f>+PMGR!BN77+BP!BN77</f>
        <v>0</v>
      </c>
      <c r="BO77" s="106">
        <f>+PMGR!BO77+BP!BO77</f>
        <v>0</v>
      </c>
      <c r="BP77" s="106">
        <f>+PMGR!BP77+BP!BP77</f>
        <v>0</v>
      </c>
      <c r="BQ77" s="106">
        <f t="shared" ref="BQ77:BQ86" si="495">+SUM(BE77:BP77)</f>
        <v>0</v>
      </c>
      <c r="BR77" s="118"/>
      <c r="BS77" s="106">
        <f>+PMGR!BS77+BP!BS77</f>
        <v>0</v>
      </c>
      <c r="BT77" s="106">
        <f>+PMGR!BT77+BP!BT77</f>
        <v>0</v>
      </c>
      <c r="BU77" s="106">
        <f>+PMGR!BU77+BP!BU77</f>
        <v>0</v>
      </c>
      <c r="BV77" s="106">
        <f>+PMGR!BV77+BP!BV77</f>
        <v>0</v>
      </c>
      <c r="BW77" s="106">
        <f>+PMGR!BW77+BP!BW77</f>
        <v>0</v>
      </c>
      <c r="BX77" s="106">
        <f>+PMGR!BX77+BP!BX77</f>
        <v>0</v>
      </c>
      <c r="BY77" s="106">
        <f>+PMGR!BY77+BP!BY77</f>
        <v>0</v>
      </c>
      <c r="BZ77" s="106">
        <f>+PMGR!BZ77+BP!BZ77</f>
        <v>0</v>
      </c>
      <c r="CA77" s="106">
        <f>+PMGR!CA77+BP!CA77</f>
        <v>0</v>
      </c>
      <c r="CB77" s="106">
        <f>+PMGR!CB77+BP!CB77</f>
        <v>0</v>
      </c>
      <c r="CC77" s="106">
        <f>+PMGR!CC77+BP!CC77</f>
        <v>0</v>
      </c>
      <c r="CD77" s="106">
        <f>+PMGR!CD77+BP!CD77</f>
        <v>0</v>
      </c>
      <c r="CE77" s="106">
        <f t="shared" ref="CE77:CE86" si="496">+SUM(BS77:CD77)</f>
        <v>0</v>
      </c>
      <c r="CF77" s="106"/>
      <c r="CG77" s="106">
        <f>+PMGR!CG77+BP!CG77</f>
        <v>0</v>
      </c>
      <c r="CH77" s="106">
        <f>+PMGR!CH77+BP!CH77</f>
        <v>0</v>
      </c>
      <c r="CI77" s="106">
        <f>+PMGR!CI77+BP!CI77</f>
        <v>0</v>
      </c>
      <c r="CJ77" s="106">
        <f>+PMGR!CJ77+BP!CJ77</f>
        <v>0</v>
      </c>
      <c r="CK77" s="106">
        <f>+PMGR!CK77+BP!CK77</f>
        <v>0</v>
      </c>
      <c r="CL77" s="106">
        <f>+PMGR!CL77+BP!CL77</f>
        <v>0</v>
      </c>
      <c r="CM77" s="106">
        <f>+PMGR!CM77+BP!CM77</f>
        <v>0</v>
      </c>
      <c r="CN77" s="106">
        <f>+PMGR!CN77+BP!CN77</f>
        <v>0</v>
      </c>
      <c r="CO77" s="106">
        <f>+PMGR!CO77+BP!CO77</f>
        <v>0</v>
      </c>
      <c r="CP77" s="106">
        <f>+PMGR!CP77+BP!CP77</f>
        <v>0</v>
      </c>
      <c r="CQ77" s="106">
        <f>+PMGR!CQ77+BP!CQ77</f>
        <v>460</v>
      </c>
      <c r="CR77" s="106">
        <f>+PMGR!CR77+BP!CR77</f>
        <v>0</v>
      </c>
      <c r="CS77" s="106">
        <f t="shared" ref="CS77:CS86" si="497">+SUM(CG77:CR77)</f>
        <v>460</v>
      </c>
      <c r="CT77" s="16" t="str">
        <f t="shared" si="409"/>
        <v>Demo Vehicle Expense</v>
      </c>
      <c r="CU77" s="106">
        <f>+PMGR!CU77+BP!CU77</f>
        <v>0</v>
      </c>
      <c r="CV77" s="106">
        <f>+PMGR!CV77+BP!CV77</f>
        <v>0</v>
      </c>
      <c r="CW77" s="106">
        <f>+PMGR!CW77+BP!CW77</f>
        <v>0</v>
      </c>
      <c r="CX77" s="106">
        <f>+PMGR!CX77+BP!CX77</f>
        <v>0</v>
      </c>
      <c r="CY77" s="106">
        <f>+PMGR!CY77+BP!CY77</f>
        <v>0</v>
      </c>
      <c r="CZ77" s="106">
        <f>+PMGR!CZ77+BP!CZ77</f>
        <v>0</v>
      </c>
      <c r="DA77" s="106">
        <f>+PMGR!DA77+BP!DA77</f>
        <v>0</v>
      </c>
      <c r="DB77" s="106">
        <f>+PMGR!DB77+BP!DB77</f>
        <v>0</v>
      </c>
      <c r="DC77" s="106">
        <f>+PMGR!DC77+BP!DC77</f>
        <v>0</v>
      </c>
      <c r="DD77" s="106">
        <f>+PMGR!DD77+BP!DD77</f>
        <v>0</v>
      </c>
      <c r="DE77" s="106">
        <f>+PMGR!DE77+BP!DE77</f>
        <v>0</v>
      </c>
      <c r="DF77" s="106">
        <f>+PMGR!DF77+BP!DF77</f>
        <v>0</v>
      </c>
      <c r="DG77" s="106">
        <f t="shared" ref="DG77:DG86" si="498">+SUM(CU77:DF77)</f>
        <v>0</v>
      </c>
      <c r="DH77" s="118"/>
      <c r="DI77" s="106">
        <f>+PMGR!DI77+BP!DI77</f>
        <v>0</v>
      </c>
      <c r="DJ77" s="106">
        <f>+PMGR!DJ77+BP!DJ77</f>
        <v>0</v>
      </c>
      <c r="DK77" s="106">
        <f>+PMGR!DK77+BP!DK77</f>
        <v>0</v>
      </c>
      <c r="DL77" s="106">
        <f>+PMGR!DL77+BP!DL77</f>
        <v>0</v>
      </c>
      <c r="DM77" s="106">
        <f>+PMGR!DM77+BP!DM77</f>
        <v>0</v>
      </c>
      <c r="DN77" s="106">
        <f>+PMGR!DN77+BP!DN77</f>
        <v>0</v>
      </c>
      <c r="DO77" s="106">
        <f>+PMGR!DO77+BP!DO77</f>
        <v>0</v>
      </c>
      <c r="DP77" s="106">
        <f>+PMGR!DP77+BP!DP77</f>
        <v>0</v>
      </c>
      <c r="DQ77" s="106">
        <f>+PMGR!DQ77+BP!DQ77</f>
        <v>0</v>
      </c>
      <c r="DR77" s="106">
        <f>+PMGR!DR77+BP!DR77</f>
        <v>0</v>
      </c>
      <c r="DS77" s="106">
        <f>+PMGR!DS77+BP!DS77</f>
        <v>0</v>
      </c>
      <c r="DT77" s="106">
        <f>+PMGR!DT77+BP!DT77</f>
        <v>0</v>
      </c>
      <c r="DU77" s="106">
        <f t="shared" ref="DU77:DU86" si="499">+SUM(DI77:DT77)</f>
        <v>0</v>
      </c>
      <c r="DV77" s="106"/>
      <c r="DW77" s="106">
        <f>+PMGR!DW77+BP!DW77</f>
        <v>0</v>
      </c>
      <c r="DX77" s="106">
        <f>+PMGR!DX77+BP!DX77</f>
        <v>0</v>
      </c>
      <c r="DY77" s="106">
        <f>+PMGR!DY77+BP!DY77</f>
        <v>0</v>
      </c>
      <c r="DZ77" s="106">
        <f>+PMGR!DZ77+BP!DZ77</f>
        <v>0</v>
      </c>
      <c r="EA77" s="106">
        <f>+PMGR!EA77+BP!EA77</f>
        <v>0</v>
      </c>
      <c r="EB77" s="106">
        <f>+PMGR!EB77+BP!EB77</f>
        <v>0</v>
      </c>
      <c r="EC77" s="106">
        <f>+PMGR!EC77+BP!EC77</f>
        <v>0</v>
      </c>
      <c r="ED77" s="106">
        <f>+PMGR!ED77+BP!ED77</f>
        <v>0</v>
      </c>
      <c r="EE77" s="106">
        <f>+PMGR!EE77+BP!EE77</f>
        <v>0</v>
      </c>
      <c r="EF77" s="106">
        <f>+PMGR!EF77+BP!EF77</f>
        <v>0</v>
      </c>
      <c r="EG77" s="106">
        <f>+PMGR!EG77+BP!EG77</f>
        <v>0</v>
      </c>
      <c r="EH77" s="106">
        <f>+PMGR!EH77+BP!EH77</f>
        <v>0</v>
      </c>
      <c r="EI77" s="106">
        <f t="shared" ref="EI77:EI86" si="500">+SUM(DW77:EH77)</f>
        <v>0</v>
      </c>
      <c r="EJ77" s="16" t="str">
        <f t="shared" si="457"/>
        <v>Demo Vehicle Expense</v>
      </c>
      <c r="EK77" s="106">
        <f>+PMGR!EK77+BP!EK77</f>
        <v>600</v>
      </c>
      <c r="EL77" s="106">
        <f>+PMGR!EL77+BP!EL77</f>
        <v>0</v>
      </c>
      <c r="EM77" s="106">
        <f>+PMGR!EM77+BP!EM77</f>
        <v>0</v>
      </c>
      <c r="EN77" s="106">
        <f>+PMGR!EN77+BP!EN77</f>
        <v>0</v>
      </c>
      <c r="EO77" s="106">
        <f>+PMGR!EO77+BP!EO77</f>
        <v>0</v>
      </c>
      <c r="EP77" s="106">
        <f>+PMGR!EP77+BP!EP77</f>
        <v>0</v>
      </c>
      <c r="EQ77" s="106">
        <f>+PMGR!EQ77+BP!EQ77</f>
        <v>0</v>
      </c>
      <c r="ER77" s="106">
        <f>+PMGR!ER77+BP!ER77</f>
        <v>0</v>
      </c>
      <c r="ES77" s="106">
        <f>+PMGR!ES77+BP!ES77</f>
        <v>0</v>
      </c>
      <c r="ET77" s="106">
        <f>+PMGR!ET77+BP!ET77</f>
        <v>0</v>
      </c>
      <c r="EU77" s="106">
        <f>+PMGR!EU77+BP!EU77</f>
        <v>0</v>
      </c>
      <c r="EV77" s="106">
        <f>+PMGR!EV77+BP!EV77</f>
        <v>0</v>
      </c>
      <c r="EW77" s="106">
        <f t="shared" ref="EW77:EW86" si="501">+SUM(EK77:EV77)</f>
        <v>600</v>
      </c>
      <c r="EX77" s="118"/>
      <c r="EY77" s="106">
        <f>+PMGR!EY77+BP!EY77</f>
        <v>0</v>
      </c>
      <c r="EZ77" s="106">
        <f>+PMGR!EZ77+BP!EZ77</f>
        <v>0</v>
      </c>
      <c r="FA77" s="106">
        <f>+PMGR!FA77+BP!FA77</f>
        <v>0</v>
      </c>
      <c r="FB77" s="106">
        <f>+PMGR!FB77+BP!FB77</f>
        <v>0</v>
      </c>
      <c r="FC77" s="106">
        <f>+PMGR!FC77+BP!FC77</f>
        <v>0</v>
      </c>
      <c r="FD77" s="106">
        <f>+PMGR!FD77+BP!FD77</f>
        <v>0</v>
      </c>
      <c r="FE77" s="106">
        <f>+PMGR!FE77+BP!FE77</f>
        <v>0</v>
      </c>
      <c r="FF77" s="106">
        <f>+PMGR!FF77+BP!FF77</f>
        <v>0</v>
      </c>
      <c r="FG77" s="106">
        <f>+PMGR!FG77+BP!FG77</f>
        <v>0</v>
      </c>
      <c r="FH77" s="106">
        <f>+PMGR!FH77+BP!FH77</f>
        <v>0</v>
      </c>
      <c r="FI77" s="106">
        <f>+PMGR!FI77+BP!FI77</f>
        <v>0</v>
      </c>
      <c r="FJ77" s="106">
        <f>+PMGR!FJ77+BP!FJ77</f>
        <v>0</v>
      </c>
      <c r="FK77" s="106">
        <f t="shared" ref="FK77:FK86" si="502">+SUM(EY77:FJ77)</f>
        <v>0</v>
      </c>
    </row>
    <row r="78" spans="1:167" ht="14.45" hidden="1" customHeight="1" outlineLevel="2">
      <c r="A78" s="106">
        <f t="shared" si="491"/>
        <v>0</v>
      </c>
      <c r="B78" s="106">
        <f t="shared" si="491"/>
        <v>0</v>
      </c>
      <c r="C78" s="106">
        <f t="shared" si="491"/>
        <v>0</v>
      </c>
      <c r="D78" s="106">
        <f t="shared" si="491"/>
        <v>0</v>
      </c>
      <c r="E78" s="106">
        <f t="shared" si="491"/>
        <v>0</v>
      </c>
      <c r="F78" s="106">
        <f t="shared" si="491"/>
        <v>0</v>
      </c>
      <c r="G78" s="106">
        <f t="shared" si="491"/>
        <v>0</v>
      </c>
      <c r="H78" s="106">
        <f t="shared" si="491"/>
        <v>0</v>
      </c>
      <c r="I78" s="106">
        <f t="shared" si="491"/>
        <v>0</v>
      </c>
      <c r="J78" s="106">
        <f t="shared" si="491"/>
        <v>0</v>
      </c>
      <c r="K78" s="106">
        <f t="shared" si="491"/>
        <v>0</v>
      </c>
      <c r="L78" s="106">
        <f t="shared" si="491"/>
        <v>0</v>
      </c>
      <c r="M78" s="106">
        <f t="shared" ref="M78:M102" si="503">+SUM(A78:L78)</f>
        <v>0</v>
      </c>
      <c r="N78" s="16" t="s">
        <v>62</v>
      </c>
      <c r="O78" s="106">
        <f t="shared" ref="O78:O86" si="504">+BE78+CU78+EK78</f>
        <v>96560</v>
      </c>
      <c r="P78" s="106">
        <f t="shared" si="492"/>
        <v>0</v>
      </c>
      <c r="Q78" s="106">
        <f t="shared" si="492"/>
        <v>0</v>
      </c>
      <c r="R78" s="106">
        <f t="shared" si="492"/>
        <v>0</v>
      </c>
      <c r="S78" s="106">
        <f t="shared" si="492"/>
        <v>0</v>
      </c>
      <c r="T78" s="106">
        <f t="shared" si="492"/>
        <v>0</v>
      </c>
      <c r="U78" s="106">
        <f t="shared" si="492"/>
        <v>0</v>
      </c>
      <c r="V78" s="106">
        <f t="shared" si="492"/>
        <v>0</v>
      </c>
      <c r="W78" s="106">
        <f t="shared" si="492"/>
        <v>0</v>
      </c>
      <c r="X78" s="106">
        <f t="shared" si="492"/>
        <v>0</v>
      </c>
      <c r="Y78" s="106">
        <f t="shared" si="492"/>
        <v>0</v>
      </c>
      <c r="Z78" s="106">
        <f t="shared" si="492"/>
        <v>0</v>
      </c>
      <c r="AA78" s="106">
        <f t="shared" ref="AA78:AA86" si="505">+SUM(O78:Z78)</f>
        <v>96560</v>
      </c>
      <c r="AB78" s="118"/>
      <c r="AC78" s="106">
        <f t="shared" ref="AC78:AC86" si="506">+BS78+DI78+EY78</f>
        <v>0</v>
      </c>
      <c r="AD78" s="106">
        <f t="shared" si="493"/>
        <v>0</v>
      </c>
      <c r="AE78" s="106">
        <f t="shared" si="493"/>
        <v>0</v>
      </c>
      <c r="AF78" s="106">
        <f t="shared" si="493"/>
        <v>0</v>
      </c>
      <c r="AG78" s="106">
        <f t="shared" si="493"/>
        <v>0</v>
      </c>
      <c r="AH78" s="106">
        <f t="shared" si="493"/>
        <v>0</v>
      </c>
      <c r="AI78" s="106">
        <f t="shared" si="493"/>
        <v>0</v>
      </c>
      <c r="AJ78" s="106">
        <f t="shared" si="493"/>
        <v>0</v>
      </c>
      <c r="AK78" s="106">
        <f t="shared" si="493"/>
        <v>0</v>
      </c>
      <c r="AL78" s="106">
        <f t="shared" si="493"/>
        <v>0</v>
      </c>
      <c r="AM78" s="106">
        <f t="shared" si="493"/>
        <v>0</v>
      </c>
      <c r="AN78" s="106">
        <f t="shared" si="493"/>
        <v>0</v>
      </c>
      <c r="AO78" s="106">
        <f t="shared" ref="AO78:AO86" si="507">+SUM(AC78:AN78)</f>
        <v>0</v>
      </c>
      <c r="AP78" s="106"/>
      <c r="AQ78" s="106">
        <f>+PMGR!AQ78+BP!AQ78</f>
        <v>0</v>
      </c>
      <c r="AR78" s="106">
        <f>+PMGR!AR78+BP!AR78</f>
        <v>0</v>
      </c>
      <c r="AS78" s="106">
        <f>+PMGR!AS78+BP!AS78</f>
        <v>0</v>
      </c>
      <c r="AT78" s="106">
        <f>+PMGR!AT78+BP!AT78</f>
        <v>0</v>
      </c>
      <c r="AU78" s="106">
        <f>+PMGR!AU78+BP!AU78</f>
        <v>0</v>
      </c>
      <c r="AV78" s="106">
        <f>+PMGR!AV78+BP!AV78</f>
        <v>0</v>
      </c>
      <c r="AW78" s="106">
        <f>+PMGR!AW78+BP!AW78</f>
        <v>0</v>
      </c>
      <c r="AX78" s="106">
        <f>+PMGR!AX78+BP!AX78</f>
        <v>0</v>
      </c>
      <c r="AY78" s="106">
        <f>+PMGR!AY78+BP!AY78</f>
        <v>0</v>
      </c>
      <c r="AZ78" s="106">
        <f>+PMGR!AZ78+BP!AZ78</f>
        <v>0</v>
      </c>
      <c r="BA78" s="106">
        <f>+PMGR!BA78+BP!BA78</f>
        <v>0</v>
      </c>
      <c r="BB78" s="106">
        <f>+PMGR!BB78+BP!BB78</f>
        <v>0</v>
      </c>
      <c r="BC78" s="106">
        <f t="shared" si="494"/>
        <v>0</v>
      </c>
      <c r="BD78" s="16" t="str">
        <f t="shared" si="405"/>
        <v>Demo Vehicle Fuel Expenses</v>
      </c>
      <c r="BE78" s="106">
        <f>+PMGR!BE78+BP!BE78</f>
        <v>600</v>
      </c>
      <c r="BF78" s="106">
        <f>+PMGR!BF78+BP!BF78</f>
        <v>0</v>
      </c>
      <c r="BG78" s="106">
        <f>+PMGR!BG78+BP!BG78</f>
        <v>0</v>
      </c>
      <c r="BH78" s="106">
        <f>+PMGR!BH78+BP!BH78</f>
        <v>0</v>
      </c>
      <c r="BI78" s="106">
        <f>+PMGR!BI78+BP!BI78</f>
        <v>0</v>
      </c>
      <c r="BJ78" s="106">
        <f>+PMGR!BJ78+BP!BJ78</f>
        <v>0</v>
      </c>
      <c r="BK78" s="106">
        <f>+PMGR!BK78+BP!BK78</f>
        <v>0</v>
      </c>
      <c r="BL78" s="106">
        <f>+PMGR!BL78+BP!BL78</f>
        <v>0</v>
      </c>
      <c r="BM78" s="106">
        <f>+PMGR!BM78+BP!BM78</f>
        <v>0</v>
      </c>
      <c r="BN78" s="106">
        <f>+PMGR!BN78+BP!BN78</f>
        <v>0</v>
      </c>
      <c r="BO78" s="106">
        <f>+PMGR!BO78+BP!BO78</f>
        <v>0</v>
      </c>
      <c r="BP78" s="106">
        <f>+PMGR!BP78+BP!BP78</f>
        <v>0</v>
      </c>
      <c r="BQ78" s="106">
        <f t="shared" si="495"/>
        <v>600</v>
      </c>
      <c r="BR78" s="118"/>
      <c r="BS78" s="106">
        <f>+PMGR!BS78+BP!BS78</f>
        <v>0</v>
      </c>
      <c r="BT78" s="106">
        <f>+PMGR!BT78+BP!BT78</f>
        <v>0</v>
      </c>
      <c r="BU78" s="106">
        <f>+PMGR!BU78+BP!BU78</f>
        <v>0</v>
      </c>
      <c r="BV78" s="106">
        <f>+PMGR!BV78+BP!BV78</f>
        <v>0</v>
      </c>
      <c r="BW78" s="106">
        <f>+PMGR!BW78+BP!BW78</f>
        <v>0</v>
      </c>
      <c r="BX78" s="106">
        <f>+PMGR!BX78+BP!BX78</f>
        <v>0</v>
      </c>
      <c r="BY78" s="106">
        <f>+PMGR!BY78+BP!BY78</f>
        <v>0</v>
      </c>
      <c r="BZ78" s="106">
        <f>+PMGR!BZ78+BP!BZ78</f>
        <v>0</v>
      </c>
      <c r="CA78" s="106">
        <f>+PMGR!CA78+BP!CA78</f>
        <v>0</v>
      </c>
      <c r="CB78" s="106">
        <f>+PMGR!CB78+BP!CB78</f>
        <v>0</v>
      </c>
      <c r="CC78" s="106">
        <f>+PMGR!CC78+BP!CC78</f>
        <v>0</v>
      </c>
      <c r="CD78" s="106">
        <f>+PMGR!CD78+BP!CD78</f>
        <v>0</v>
      </c>
      <c r="CE78" s="106">
        <f t="shared" si="496"/>
        <v>0</v>
      </c>
      <c r="CF78" s="106"/>
      <c r="CG78" s="106">
        <f>+PMGR!CG78+BP!CG78</f>
        <v>0</v>
      </c>
      <c r="CH78" s="106">
        <f>+PMGR!CH78+BP!CH78</f>
        <v>0</v>
      </c>
      <c r="CI78" s="106">
        <f>+PMGR!CI78+BP!CI78</f>
        <v>0</v>
      </c>
      <c r="CJ78" s="106">
        <f>+PMGR!CJ78+BP!CJ78</f>
        <v>0</v>
      </c>
      <c r="CK78" s="106">
        <f>+PMGR!CK78+BP!CK78</f>
        <v>0</v>
      </c>
      <c r="CL78" s="106">
        <f>+PMGR!CL78+BP!CL78</f>
        <v>0</v>
      </c>
      <c r="CM78" s="106">
        <f>+PMGR!CM78+BP!CM78</f>
        <v>0</v>
      </c>
      <c r="CN78" s="106">
        <f>+PMGR!CN78+BP!CN78</f>
        <v>0</v>
      </c>
      <c r="CO78" s="106">
        <f>+PMGR!CO78+BP!CO78</f>
        <v>0</v>
      </c>
      <c r="CP78" s="106">
        <f>+PMGR!CP78+BP!CP78</f>
        <v>0</v>
      </c>
      <c r="CQ78" s="106">
        <f>+PMGR!CQ78+BP!CQ78</f>
        <v>0</v>
      </c>
      <c r="CR78" s="106">
        <f>+PMGR!CR78+BP!CR78</f>
        <v>0</v>
      </c>
      <c r="CS78" s="106">
        <f t="shared" si="497"/>
        <v>0</v>
      </c>
      <c r="CT78" s="16" t="str">
        <f t="shared" si="409"/>
        <v>Demo Vehicle Fuel Expenses</v>
      </c>
      <c r="CU78" s="106">
        <f>+PMGR!CU78+BP!CU78</f>
        <v>0</v>
      </c>
      <c r="CV78" s="106">
        <f>+PMGR!CV78+BP!CV78</f>
        <v>0</v>
      </c>
      <c r="CW78" s="106">
        <f>+PMGR!CW78+BP!CW78</f>
        <v>0</v>
      </c>
      <c r="CX78" s="106">
        <f>+PMGR!CX78+BP!CX78</f>
        <v>0</v>
      </c>
      <c r="CY78" s="106">
        <f>+PMGR!CY78+BP!CY78</f>
        <v>0</v>
      </c>
      <c r="CZ78" s="106">
        <f>+PMGR!CZ78+BP!CZ78</f>
        <v>0</v>
      </c>
      <c r="DA78" s="106">
        <f>+PMGR!DA78+BP!DA78</f>
        <v>0</v>
      </c>
      <c r="DB78" s="106">
        <f>+PMGR!DB78+BP!DB78</f>
        <v>0</v>
      </c>
      <c r="DC78" s="106">
        <f>+PMGR!DC78+BP!DC78</f>
        <v>0</v>
      </c>
      <c r="DD78" s="106">
        <f>+PMGR!DD78+BP!DD78</f>
        <v>0</v>
      </c>
      <c r="DE78" s="106">
        <f>+PMGR!DE78+BP!DE78</f>
        <v>0</v>
      </c>
      <c r="DF78" s="106">
        <f>+PMGR!DF78+BP!DF78</f>
        <v>0</v>
      </c>
      <c r="DG78" s="106">
        <f t="shared" si="498"/>
        <v>0</v>
      </c>
      <c r="DH78" s="118"/>
      <c r="DI78" s="106">
        <f>+PMGR!DI78+BP!DI78</f>
        <v>0</v>
      </c>
      <c r="DJ78" s="106">
        <f>+PMGR!DJ78+BP!DJ78</f>
        <v>0</v>
      </c>
      <c r="DK78" s="106">
        <f>+PMGR!DK78+BP!DK78</f>
        <v>0</v>
      </c>
      <c r="DL78" s="106">
        <f>+PMGR!DL78+BP!DL78</f>
        <v>0</v>
      </c>
      <c r="DM78" s="106">
        <f>+PMGR!DM78+BP!DM78</f>
        <v>0</v>
      </c>
      <c r="DN78" s="106">
        <f>+PMGR!DN78+BP!DN78</f>
        <v>0</v>
      </c>
      <c r="DO78" s="106">
        <f>+PMGR!DO78+BP!DO78</f>
        <v>0</v>
      </c>
      <c r="DP78" s="106">
        <f>+PMGR!DP78+BP!DP78</f>
        <v>0</v>
      </c>
      <c r="DQ78" s="106">
        <f>+PMGR!DQ78+BP!DQ78</f>
        <v>0</v>
      </c>
      <c r="DR78" s="106">
        <f>+PMGR!DR78+BP!DR78</f>
        <v>0</v>
      </c>
      <c r="DS78" s="106">
        <f>+PMGR!DS78+BP!DS78</f>
        <v>0</v>
      </c>
      <c r="DT78" s="106">
        <f>+PMGR!DT78+BP!DT78</f>
        <v>0</v>
      </c>
      <c r="DU78" s="106">
        <f t="shared" si="499"/>
        <v>0</v>
      </c>
      <c r="DV78" s="106"/>
      <c r="DW78" s="106">
        <f>+PMGR!DW78+BP!DW78</f>
        <v>0</v>
      </c>
      <c r="DX78" s="106">
        <f>+PMGR!DX78+BP!DX78</f>
        <v>0</v>
      </c>
      <c r="DY78" s="106">
        <f>+PMGR!DY78+BP!DY78</f>
        <v>0</v>
      </c>
      <c r="DZ78" s="106">
        <f>+PMGR!DZ78+BP!DZ78</f>
        <v>0</v>
      </c>
      <c r="EA78" s="106">
        <f>+PMGR!EA78+BP!EA78</f>
        <v>0</v>
      </c>
      <c r="EB78" s="106">
        <f>+PMGR!EB78+BP!EB78</f>
        <v>0</v>
      </c>
      <c r="EC78" s="106">
        <f>+PMGR!EC78+BP!EC78</f>
        <v>0</v>
      </c>
      <c r="ED78" s="106">
        <f>+PMGR!ED78+BP!ED78</f>
        <v>0</v>
      </c>
      <c r="EE78" s="106">
        <f>+PMGR!EE78+BP!EE78</f>
        <v>0</v>
      </c>
      <c r="EF78" s="106">
        <f>+PMGR!EF78+BP!EF78</f>
        <v>0</v>
      </c>
      <c r="EG78" s="106">
        <f>+PMGR!EG78+BP!EG78</f>
        <v>0</v>
      </c>
      <c r="EH78" s="106">
        <f>+PMGR!EH78+BP!EH78</f>
        <v>0</v>
      </c>
      <c r="EI78" s="106">
        <f t="shared" si="500"/>
        <v>0</v>
      </c>
      <c r="EJ78" s="16" t="str">
        <f t="shared" si="457"/>
        <v>Demo Vehicle Fuel Expenses</v>
      </c>
      <c r="EK78" s="106">
        <f>+PMGR!EK78+BP!EK78</f>
        <v>95960</v>
      </c>
      <c r="EL78" s="106">
        <f>+PMGR!EL78+BP!EL78</f>
        <v>0</v>
      </c>
      <c r="EM78" s="106">
        <f>+PMGR!EM78+BP!EM78</f>
        <v>0</v>
      </c>
      <c r="EN78" s="106">
        <f>+PMGR!EN78+BP!EN78</f>
        <v>0</v>
      </c>
      <c r="EO78" s="106">
        <f>+PMGR!EO78+BP!EO78</f>
        <v>0</v>
      </c>
      <c r="EP78" s="106">
        <f>+PMGR!EP78+BP!EP78</f>
        <v>0</v>
      </c>
      <c r="EQ78" s="106">
        <f>+PMGR!EQ78+BP!EQ78</f>
        <v>0</v>
      </c>
      <c r="ER78" s="106">
        <f>+PMGR!ER78+BP!ER78</f>
        <v>0</v>
      </c>
      <c r="ES78" s="106">
        <f>+PMGR!ES78+BP!ES78</f>
        <v>0</v>
      </c>
      <c r="ET78" s="106">
        <f>+PMGR!ET78+BP!ET78</f>
        <v>0</v>
      </c>
      <c r="EU78" s="106">
        <f>+PMGR!EU78+BP!EU78</f>
        <v>0</v>
      </c>
      <c r="EV78" s="106">
        <f>+PMGR!EV78+BP!EV78</f>
        <v>0</v>
      </c>
      <c r="EW78" s="106">
        <f t="shared" si="501"/>
        <v>95960</v>
      </c>
      <c r="EX78" s="118"/>
      <c r="EY78" s="106">
        <f>+PMGR!EY78+BP!EY78</f>
        <v>0</v>
      </c>
      <c r="EZ78" s="106">
        <f>+PMGR!EZ78+BP!EZ78</f>
        <v>0</v>
      </c>
      <c r="FA78" s="106">
        <f>+PMGR!FA78+BP!FA78</f>
        <v>0</v>
      </c>
      <c r="FB78" s="106">
        <f>+PMGR!FB78+BP!FB78</f>
        <v>0</v>
      </c>
      <c r="FC78" s="106">
        <f>+PMGR!FC78+BP!FC78</f>
        <v>0</v>
      </c>
      <c r="FD78" s="106">
        <f>+PMGR!FD78+BP!FD78</f>
        <v>0</v>
      </c>
      <c r="FE78" s="106">
        <f>+PMGR!FE78+BP!FE78</f>
        <v>0</v>
      </c>
      <c r="FF78" s="106">
        <f>+PMGR!FF78+BP!FF78</f>
        <v>0</v>
      </c>
      <c r="FG78" s="106">
        <f>+PMGR!FG78+BP!FG78</f>
        <v>0</v>
      </c>
      <c r="FH78" s="106">
        <f>+PMGR!FH78+BP!FH78</f>
        <v>0</v>
      </c>
      <c r="FI78" s="106">
        <f>+PMGR!FI78+BP!FI78</f>
        <v>0</v>
      </c>
      <c r="FJ78" s="106">
        <f>+PMGR!FJ78+BP!FJ78</f>
        <v>0</v>
      </c>
      <c r="FK78" s="106">
        <f t="shared" si="502"/>
        <v>0</v>
      </c>
    </row>
    <row r="79" spans="1:167" ht="14.45" hidden="1" customHeight="1" outlineLevel="2">
      <c r="A79" s="106">
        <f t="shared" si="491"/>
        <v>0</v>
      </c>
      <c r="B79" s="106">
        <f t="shared" si="491"/>
        <v>0</v>
      </c>
      <c r="C79" s="106">
        <f t="shared" si="491"/>
        <v>0</v>
      </c>
      <c r="D79" s="106">
        <f t="shared" si="491"/>
        <v>0</v>
      </c>
      <c r="E79" s="106">
        <f t="shared" si="491"/>
        <v>0</v>
      </c>
      <c r="F79" s="106">
        <f t="shared" si="491"/>
        <v>0</v>
      </c>
      <c r="G79" s="106">
        <f t="shared" si="491"/>
        <v>0</v>
      </c>
      <c r="H79" s="106">
        <f t="shared" si="491"/>
        <v>0</v>
      </c>
      <c r="I79" s="106">
        <f t="shared" si="491"/>
        <v>0</v>
      </c>
      <c r="J79" s="106">
        <f t="shared" si="491"/>
        <v>0</v>
      </c>
      <c r="K79" s="106">
        <f t="shared" si="491"/>
        <v>0</v>
      </c>
      <c r="L79" s="106">
        <f t="shared" si="491"/>
        <v>0</v>
      </c>
      <c r="M79" s="106">
        <f t="shared" si="503"/>
        <v>0</v>
      </c>
      <c r="N79" s="16" t="s">
        <v>63</v>
      </c>
      <c r="O79" s="106">
        <f t="shared" si="504"/>
        <v>400</v>
      </c>
      <c r="P79" s="106">
        <f t="shared" si="492"/>
        <v>0</v>
      </c>
      <c r="Q79" s="106">
        <f t="shared" si="492"/>
        <v>0</v>
      </c>
      <c r="R79" s="106">
        <f t="shared" si="492"/>
        <v>0</v>
      </c>
      <c r="S79" s="106">
        <f t="shared" si="492"/>
        <v>0</v>
      </c>
      <c r="T79" s="106">
        <f t="shared" si="492"/>
        <v>0</v>
      </c>
      <c r="U79" s="106">
        <f t="shared" si="492"/>
        <v>0</v>
      </c>
      <c r="V79" s="106">
        <f t="shared" si="492"/>
        <v>0</v>
      </c>
      <c r="W79" s="106">
        <f t="shared" si="492"/>
        <v>0</v>
      </c>
      <c r="X79" s="106">
        <f t="shared" si="492"/>
        <v>0</v>
      </c>
      <c r="Y79" s="106">
        <f t="shared" si="492"/>
        <v>0</v>
      </c>
      <c r="Z79" s="106">
        <f t="shared" si="492"/>
        <v>0</v>
      </c>
      <c r="AA79" s="106">
        <f t="shared" si="505"/>
        <v>400</v>
      </c>
      <c r="AB79" s="118"/>
      <c r="AC79" s="106">
        <f t="shared" si="506"/>
        <v>0</v>
      </c>
      <c r="AD79" s="106">
        <f t="shared" si="493"/>
        <v>0</v>
      </c>
      <c r="AE79" s="106">
        <f t="shared" si="493"/>
        <v>0</v>
      </c>
      <c r="AF79" s="106">
        <f t="shared" si="493"/>
        <v>0</v>
      </c>
      <c r="AG79" s="106">
        <f t="shared" si="493"/>
        <v>0</v>
      </c>
      <c r="AH79" s="106">
        <f t="shared" si="493"/>
        <v>0</v>
      </c>
      <c r="AI79" s="106">
        <f t="shared" si="493"/>
        <v>0</v>
      </c>
      <c r="AJ79" s="106">
        <f t="shared" si="493"/>
        <v>0</v>
      </c>
      <c r="AK79" s="106">
        <f t="shared" si="493"/>
        <v>0</v>
      </c>
      <c r="AL79" s="106">
        <f t="shared" si="493"/>
        <v>0</v>
      </c>
      <c r="AM79" s="106">
        <f t="shared" si="493"/>
        <v>0</v>
      </c>
      <c r="AN79" s="106">
        <f t="shared" si="493"/>
        <v>0</v>
      </c>
      <c r="AO79" s="106">
        <f t="shared" si="507"/>
        <v>0</v>
      </c>
      <c r="AP79" s="106"/>
      <c r="AQ79" s="106">
        <f>+PMGR!AQ79+BP!AQ79</f>
        <v>0</v>
      </c>
      <c r="AR79" s="106">
        <f>+PMGR!AR79+BP!AR79</f>
        <v>0</v>
      </c>
      <c r="AS79" s="106">
        <f>+PMGR!AS79+BP!AS79</f>
        <v>0</v>
      </c>
      <c r="AT79" s="106">
        <f>+PMGR!AT79+BP!AT79</f>
        <v>0</v>
      </c>
      <c r="AU79" s="106">
        <f>+PMGR!AU79+BP!AU79</f>
        <v>0</v>
      </c>
      <c r="AV79" s="106">
        <f>+PMGR!AV79+BP!AV79</f>
        <v>0</v>
      </c>
      <c r="AW79" s="106">
        <f>+PMGR!AW79+BP!AW79</f>
        <v>0</v>
      </c>
      <c r="AX79" s="106">
        <f>+PMGR!AX79+BP!AX79</f>
        <v>0</v>
      </c>
      <c r="AY79" s="106">
        <f>+PMGR!AY79+BP!AY79</f>
        <v>0</v>
      </c>
      <c r="AZ79" s="106">
        <f>+PMGR!AZ79+BP!AZ79</f>
        <v>0</v>
      </c>
      <c r="BA79" s="106">
        <f>+PMGR!BA79+BP!BA79</f>
        <v>0</v>
      </c>
      <c r="BB79" s="106">
        <f>+PMGR!BB79+BP!BB79</f>
        <v>0</v>
      </c>
      <c r="BC79" s="106">
        <f t="shared" si="494"/>
        <v>0</v>
      </c>
      <c r="BD79" s="16" t="str">
        <f t="shared" si="405"/>
        <v>Demo Vehicle Other Expenses</v>
      </c>
      <c r="BE79" s="106">
        <f>+PMGR!BE79+BP!BE79</f>
        <v>0</v>
      </c>
      <c r="BF79" s="106">
        <f>+PMGR!BF79+BP!BF79</f>
        <v>0</v>
      </c>
      <c r="BG79" s="106">
        <f>+PMGR!BG79+BP!BG79</f>
        <v>0</v>
      </c>
      <c r="BH79" s="106">
        <f>+PMGR!BH79+BP!BH79</f>
        <v>0</v>
      </c>
      <c r="BI79" s="106">
        <f>+PMGR!BI79+BP!BI79</f>
        <v>0</v>
      </c>
      <c r="BJ79" s="106">
        <f>+PMGR!BJ79+BP!BJ79</f>
        <v>0</v>
      </c>
      <c r="BK79" s="106">
        <f>+PMGR!BK79+BP!BK79</f>
        <v>0</v>
      </c>
      <c r="BL79" s="106">
        <f>+PMGR!BL79+BP!BL79</f>
        <v>0</v>
      </c>
      <c r="BM79" s="106">
        <f>+PMGR!BM79+BP!BM79</f>
        <v>0</v>
      </c>
      <c r="BN79" s="106">
        <f>+PMGR!BN79+BP!BN79</f>
        <v>0</v>
      </c>
      <c r="BO79" s="106">
        <f>+PMGR!BO79+BP!BO79</f>
        <v>0</v>
      </c>
      <c r="BP79" s="106">
        <f>+PMGR!BP79+BP!BP79</f>
        <v>0</v>
      </c>
      <c r="BQ79" s="106">
        <f t="shared" si="495"/>
        <v>0</v>
      </c>
      <c r="BR79" s="118"/>
      <c r="BS79" s="106">
        <f>+PMGR!BS79+BP!BS79</f>
        <v>0</v>
      </c>
      <c r="BT79" s="106">
        <f>+PMGR!BT79+BP!BT79</f>
        <v>0</v>
      </c>
      <c r="BU79" s="106">
        <f>+PMGR!BU79+BP!BU79</f>
        <v>0</v>
      </c>
      <c r="BV79" s="106">
        <f>+PMGR!BV79+BP!BV79</f>
        <v>0</v>
      </c>
      <c r="BW79" s="106">
        <f>+PMGR!BW79+BP!BW79</f>
        <v>0</v>
      </c>
      <c r="BX79" s="106">
        <f>+PMGR!BX79+BP!BX79</f>
        <v>0</v>
      </c>
      <c r="BY79" s="106">
        <f>+PMGR!BY79+BP!BY79</f>
        <v>0</v>
      </c>
      <c r="BZ79" s="106">
        <f>+PMGR!BZ79+BP!BZ79</f>
        <v>0</v>
      </c>
      <c r="CA79" s="106">
        <f>+PMGR!CA79+BP!CA79</f>
        <v>0</v>
      </c>
      <c r="CB79" s="106">
        <f>+PMGR!CB79+BP!CB79</f>
        <v>0</v>
      </c>
      <c r="CC79" s="106">
        <f>+PMGR!CC79+BP!CC79</f>
        <v>0</v>
      </c>
      <c r="CD79" s="106">
        <f>+PMGR!CD79+BP!CD79</f>
        <v>0</v>
      </c>
      <c r="CE79" s="106">
        <f t="shared" si="496"/>
        <v>0</v>
      </c>
      <c r="CF79" s="106"/>
      <c r="CG79" s="106">
        <f>+PMGR!CG79+BP!CG79</f>
        <v>0</v>
      </c>
      <c r="CH79" s="106">
        <f>+PMGR!CH79+BP!CH79</f>
        <v>0</v>
      </c>
      <c r="CI79" s="106">
        <f>+PMGR!CI79+BP!CI79</f>
        <v>0</v>
      </c>
      <c r="CJ79" s="106">
        <f>+PMGR!CJ79+BP!CJ79</f>
        <v>0</v>
      </c>
      <c r="CK79" s="106">
        <f>+PMGR!CK79+BP!CK79</f>
        <v>0</v>
      </c>
      <c r="CL79" s="106">
        <f>+PMGR!CL79+BP!CL79</f>
        <v>0</v>
      </c>
      <c r="CM79" s="106">
        <f>+PMGR!CM79+BP!CM79</f>
        <v>0</v>
      </c>
      <c r="CN79" s="106">
        <f>+PMGR!CN79+BP!CN79</f>
        <v>0</v>
      </c>
      <c r="CO79" s="106">
        <f>+PMGR!CO79+BP!CO79</f>
        <v>0</v>
      </c>
      <c r="CP79" s="106">
        <f>+PMGR!CP79+BP!CP79</f>
        <v>0</v>
      </c>
      <c r="CQ79" s="106">
        <f>+PMGR!CQ79+BP!CQ79</f>
        <v>0</v>
      </c>
      <c r="CR79" s="106">
        <f>+PMGR!CR79+BP!CR79</f>
        <v>0</v>
      </c>
      <c r="CS79" s="106">
        <f t="shared" si="497"/>
        <v>0</v>
      </c>
      <c r="CT79" s="16" t="str">
        <f t="shared" si="409"/>
        <v>Demo Vehicle Other Expenses</v>
      </c>
      <c r="CU79" s="106">
        <f>+PMGR!CU79+BP!CU79</f>
        <v>0</v>
      </c>
      <c r="CV79" s="106">
        <f>+PMGR!CV79+BP!CV79</f>
        <v>0</v>
      </c>
      <c r="CW79" s="106">
        <f>+PMGR!CW79+BP!CW79</f>
        <v>0</v>
      </c>
      <c r="CX79" s="106">
        <f>+PMGR!CX79+BP!CX79</f>
        <v>0</v>
      </c>
      <c r="CY79" s="106">
        <f>+PMGR!CY79+BP!CY79</f>
        <v>0</v>
      </c>
      <c r="CZ79" s="106">
        <f>+PMGR!CZ79+BP!CZ79</f>
        <v>0</v>
      </c>
      <c r="DA79" s="106">
        <f>+PMGR!DA79+BP!DA79</f>
        <v>0</v>
      </c>
      <c r="DB79" s="106">
        <f>+PMGR!DB79+BP!DB79</f>
        <v>0</v>
      </c>
      <c r="DC79" s="106">
        <f>+PMGR!DC79+BP!DC79</f>
        <v>0</v>
      </c>
      <c r="DD79" s="106">
        <f>+PMGR!DD79+BP!DD79</f>
        <v>0</v>
      </c>
      <c r="DE79" s="106">
        <f>+PMGR!DE79+BP!DE79</f>
        <v>0</v>
      </c>
      <c r="DF79" s="106">
        <f>+PMGR!DF79+BP!DF79</f>
        <v>0</v>
      </c>
      <c r="DG79" s="106">
        <f t="shared" si="498"/>
        <v>0</v>
      </c>
      <c r="DH79" s="118"/>
      <c r="DI79" s="106">
        <f>+PMGR!DI79+BP!DI79</f>
        <v>0</v>
      </c>
      <c r="DJ79" s="106">
        <f>+PMGR!DJ79+BP!DJ79</f>
        <v>0</v>
      </c>
      <c r="DK79" s="106">
        <f>+PMGR!DK79+BP!DK79</f>
        <v>0</v>
      </c>
      <c r="DL79" s="106">
        <f>+PMGR!DL79+BP!DL79</f>
        <v>0</v>
      </c>
      <c r="DM79" s="106">
        <f>+PMGR!DM79+BP!DM79</f>
        <v>0</v>
      </c>
      <c r="DN79" s="106">
        <f>+PMGR!DN79+BP!DN79</f>
        <v>0</v>
      </c>
      <c r="DO79" s="106">
        <f>+PMGR!DO79+BP!DO79</f>
        <v>0</v>
      </c>
      <c r="DP79" s="106">
        <f>+PMGR!DP79+BP!DP79</f>
        <v>0</v>
      </c>
      <c r="DQ79" s="106">
        <f>+PMGR!DQ79+BP!DQ79</f>
        <v>0</v>
      </c>
      <c r="DR79" s="106">
        <f>+PMGR!DR79+BP!DR79</f>
        <v>0</v>
      </c>
      <c r="DS79" s="106">
        <f>+PMGR!DS79+BP!DS79</f>
        <v>0</v>
      </c>
      <c r="DT79" s="106">
        <f>+PMGR!DT79+BP!DT79</f>
        <v>0</v>
      </c>
      <c r="DU79" s="106">
        <f t="shared" si="499"/>
        <v>0</v>
      </c>
      <c r="DV79" s="106"/>
      <c r="DW79" s="106">
        <f>+PMGR!DW79+BP!DW79</f>
        <v>0</v>
      </c>
      <c r="DX79" s="106">
        <f>+PMGR!DX79+BP!DX79</f>
        <v>0</v>
      </c>
      <c r="DY79" s="106">
        <f>+PMGR!DY79+BP!DY79</f>
        <v>0</v>
      </c>
      <c r="DZ79" s="106">
        <f>+PMGR!DZ79+BP!DZ79</f>
        <v>0</v>
      </c>
      <c r="EA79" s="106">
        <f>+PMGR!EA79+BP!EA79</f>
        <v>0</v>
      </c>
      <c r="EB79" s="106">
        <f>+PMGR!EB79+BP!EB79</f>
        <v>0</v>
      </c>
      <c r="EC79" s="106">
        <f>+PMGR!EC79+BP!EC79</f>
        <v>0</v>
      </c>
      <c r="ED79" s="106">
        <f>+PMGR!ED79+BP!ED79</f>
        <v>0</v>
      </c>
      <c r="EE79" s="106">
        <f>+PMGR!EE79+BP!EE79</f>
        <v>0</v>
      </c>
      <c r="EF79" s="106">
        <f>+PMGR!EF79+BP!EF79</f>
        <v>0</v>
      </c>
      <c r="EG79" s="106">
        <f>+PMGR!EG79+BP!EG79</f>
        <v>0</v>
      </c>
      <c r="EH79" s="106">
        <f>+PMGR!EH79+BP!EH79</f>
        <v>0</v>
      </c>
      <c r="EI79" s="106">
        <f t="shared" si="500"/>
        <v>0</v>
      </c>
      <c r="EJ79" s="16" t="str">
        <f t="shared" si="457"/>
        <v>Demo Vehicle Other Expenses</v>
      </c>
      <c r="EK79" s="106">
        <f>+PMGR!EK79+BP!EK79</f>
        <v>400</v>
      </c>
      <c r="EL79" s="106">
        <f>+PMGR!EL79+BP!EL79</f>
        <v>0</v>
      </c>
      <c r="EM79" s="106">
        <f>+PMGR!EM79+BP!EM79</f>
        <v>0</v>
      </c>
      <c r="EN79" s="106">
        <f>+PMGR!EN79+BP!EN79</f>
        <v>0</v>
      </c>
      <c r="EO79" s="106">
        <f>+PMGR!EO79+BP!EO79</f>
        <v>0</v>
      </c>
      <c r="EP79" s="106">
        <f>+PMGR!EP79+BP!EP79</f>
        <v>0</v>
      </c>
      <c r="EQ79" s="106">
        <f>+PMGR!EQ79+BP!EQ79</f>
        <v>0</v>
      </c>
      <c r="ER79" s="106">
        <f>+PMGR!ER79+BP!ER79</f>
        <v>0</v>
      </c>
      <c r="ES79" s="106">
        <f>+PMGR!ES79+BP!ES79</f>
        <v>0</v>
      </c>
      <c r="ET79" s="106">
        <f>+PMGR!ET79+BP!ET79</f>
        <v>0</v>
      </c>
      <c r="EU79" s="106">
        <f>+PMGR!EU79+BP!EU79</f>
        <v>0</v>
      </c>
      <c r="EV79" s="106">
        <f>+PMGR!EV79+BP!EV79</f>
        <v>0</v>
      </c>
      <c r="EW79" s="106">
        <f t="shared" si="501"/>
        <v>400</v>
      </c>
      <c r="EX79" s="118"/>
      <c r="EY79" s="106">
        <f>+PMGR!EY79+BP!EY79</f>
        <v>0</v>
      </c>
      <c r="EZ79" s="106">
        <f>+PMGR!EZ79+BP!EZ79</f>
        <v>0</v>
      </c>
      <c r="FA79" s="106">
        <f>+PMGR!FA79+BP!FA79</f>
        <v>0</v>
      </c>
      <c r="FB79" s="106">
        <f>+PMGR!FB79+BP!FB79</f>
        <v>0</v>
      </c>
      <c r="FC79" s="106">
        <f>+PMGR!FC79+BP!FC79</f>
        <v>0</v>
      </c>
      <c r="FD79" s="106">
        <f>+PMGR!FD79+BP!FD79</f>
        <v>0</v>
      </c>
      <c r="FE79" s="106">
        <f>+PMGR!FE79+BP!FE79</f>
        <v>0</v>
      </c>
      <c r="FF79" s="106">
        <f>+PMGR!FF79+BP!FF79</f>
        <v>0</v>
      </c>
      <c r="FG79" s="106">
        <f>+PMGR!FG79+BP!FG79</f>
        <v>0</v>
      </c>
      <c r="FH79" s="106">
        <f>+PMGR!FH79+BP!FH79</f>
        <v>0</v>
      </c>
      <c r="FI79" s="106">
        <f>+PMGR!FI79+BP!FI79</f>
        <v>0</v>
      </c>
      <c r="FJ79" s="106">
        <f>+PMGR!FJ79+BP!FJ79</f>
        <v>0</v>
      </c>
      <c r="FK79" s="106">
        <f t="shared" si="502"/>
        <v>0</v>
      </c>
    </row>
    <row r="80" spans="1:167" ht="14.45" hidden="1" customHeight="1" outlineLevel="2">
      <c r="A80" s="106">
        <f t="shared" si="491"/>
        <v>0</v>
      </c>
      <c r="B80" s="106">
        <f t="shared" si="491"/>
        <v>0</v>
      </c>
      <c r="C80" s="106">
        <f t="shared" si="491"/>
        <v>0</v>
      </c>
      <c r="D80" s="106">
        <f t="shared" si="491"/>
        <v>0</v>
      </c>
      <c r="E80" s="106">
        <f t="shared" si="491"/>
        <v>0</v>
      </c>
      <c r="F80" s="106">
        <f t="shared" si="491"/>
        <v>0</v>
      </c>
      <c r="G80" s="106">
        <f t="shared" si="491"/>
        <v>0</v>
      </c>
      <c r="H80" s="106">
        <f t="shared" si="491"/>
        <v>0</v>
      </c>
      <c r="I80" s="106">
        <f t="shared" si="491"/>
        <v>0</v>
      </c>
      <c r="J80" s="106">
        <f t="shared" si="491"/>
        <v>0</v>
      </c>
      <c r="K80" s="106">
        <f t="shared" si="491"/>
        <v>0</v>
      </c>
      <c r="L80" s="106">
        <f t="shared" si="491"/>
        <v>0</v>
      </c>
      <c r="M80" s="106">
        <f t="shared" si="503"/>
        <v>0</v>
      </c>
      <c r="N80" s="16" t="s">
        <v>64</v>
      </c>
      <c r="O80" s="106">
        <f t="shared" si="504"/>
        <v>0</v>
      </c>
      <c r="P80" s="106">
        <f t="shared" si="492"/>
        <v>0</v>
      </c>
      <c r="Q80" s="106">
        <f t="shared" si="492"/>
        <v>0</v>
      </c>
      <c r="R80" s="106">
        <f t="shared" si="492"/>
        <v>0</v>
      </c>
      <c r="S80" s="106">
        <f t="shared" si="492"/>
        <v>0</v>
      </c>
      <c r="T80" s="106">
        <f t="shared" si="492"/>
        <v>0</v>
      </c>
      <c r="U80" s="106">
        <f t="shared" si="492"/>
        <v>0</v>
      </c>
      <c r="V80" s="106">
        <f t="shared" si="492"/>
        <v>0</v>
      </c>
      <c r="W80" s="106">
        <f t="shared" si="492"/>
        <v>0</v>
      </c>
      <c r="X80" s="106">
        <f t="shared" si="492"/>
        <v>0</v>
      </c>
      <c r="Y80" s="106">
        <f t="shared" si="492"/>
        <v>0</v>
      </c>
      <c r="Z80" s="106">
        <f t="shared" si="492"/>
        <v>0</v>
      </c>
      <c r="AA80" s="106">
        <f t="shared" si="505"/>
        <v>0</v>
      </c>
      <c r="AB80" s="118"/>
      <c r="AC80" s="106">
        <f t="shared" si="506"/>
        <v>0</v>
      </c>
      <c r="AD80" s="106">
        <f t="shared" si="493"/>
        <v>0</v>
      </c>
      <c r="AE80" s="106">
        <f t="shared" si="493"/>
        <v>0</v>
      </c>
      <c r="AF80" s="106">
        <f t="shared" si="493"/>
        <v>0</v>
      </c>
      <c r="AG80" s="106">
        <f t="shared" si="493"/>
        <v>0</v>
      </c>
      <c r="AH80" s="106">
        <f t="shared" si="493"/>
        <v>0</v>
      </c>
      <c r="AI80" s="106">
        <f t="shared" si="493"/>
        <v>0</v>
      </c>
      <c r="AJ80" s="106">
        <f t="shared" si="493"/>
        <v>0</v>
      </c>
      <c r="AK80" s="106">
        <f t="shared" si="493"/>
        <v>0</v>
      </c>
      <c r="AL80" s="106">
        <f t="shared" si="493"/>
        <v>0</v>
      </c>
      <c r="AM80" s="106">
        <f t="shared" si="493"/>
        <v>0</v>
      </c>
      <c r="AN80" s="106">
        <f t="shared" si="493"/>
        <v>0</v>
      </c>
      <c r="AO80" s="106">
        <f t="shared" si="507"/>
        <v>0</v>
      </c>
      <c r="AP80" s="106"/>
      <c r="AQ80" s="106">
        <f>+PMGR!AQ80+BP!AQ80</f>
        <v>0</v>
      </c>
      <c r="AR80" s="106">
        <f>+PMGR!AR80+BP!AR80</f>
        <v>0</v>
      </c>
      <c r="AS80" s="106">
        <f>+PMGR!AS80+BP!AS80</f>
        <v>0</v>
      </c>
      <c r="AT80" s="106">
        <f>+PMGR!AT80+BP!AT80</f>
        <v>0</v>
      </c>
      <c r="AU80" s="106">
        <f>+PMGR!AU80+BP!AU80</f>
        <v>0</v>
      </c>
      <c r="AV80" s="106">
        <f>+PMGR!AV80+BP!AV80</f>
        <v>0</v>
      </c>
      <c r="AW80" s="106">
        <f>+PMGR!AW80+BP!AW80</f>
        <v>0</v>
      </c>
      <c r="AX80" s="106">
        <f>+PMGR!AX80+BP!AX80</f>
        <v>0</v>
      </c>
      <c r="AY80" s="106">
        <f>+PMGR!AY80+BP!AY80</f>
        <v>0</v>
      </c>
      <c r="AZ80" s="106">
        <f>+PMGR!AZ80+BP!AZ80</f>
        <v>0</v>
      </c>
      <c r="BA80" s="106">
        <f>+PMGR!BA80+BP!BA80</f>
        <v>0</v>
      </c>
      <c r="BB80" s="106">
        <f>+PMGR!BB80+BP!BB80</f>
        <v>0</v>
      </c>
      <c r="BC80" s="106">
        <f t="shared" si="494"/>
        <v>0</v>
      </c>
      <c r="BD80" s="16" t="str">
        <f t="shared" si="405"/>
        <v>Demo Vehicle Repair and Maintenance</v>
      </c>
      <c r="BE80" s="106">
        <f>+PMGR!BE80+BP!BE80</f>
        <v>0</v>
      </c>
      <c r="BF80" s="106">
        <f>+PMGR!BF80+BP!BF80</f>
        <v>0</v>
      </c>
      <c r="BG80" s="106">
        <f>+PMGR!BG80+BP!BG80</f>
        <v>0</v>
      </c>
      <c r="BH80" s="106">
        <f>+PMGR!BH80+BP!BH80</f>
        <v>0</v>
      </c>
      <c r="BI80" s="106">
        <f>+PMGR!BI80+BP!BI80</f>
        <v>0</v>
      </c>
      <c r="BJ80" s="106">
        <f>+PMGR!BJ80+BP!BJ80</f>
        <v>0</v>
      </c>
      <c r="BK80" s="106">
        <f>+PMGR!BK80+BP!BK80</f>
        <v>0</v>
      </c>
      <c r="BL80" s="106">
        <f>+PMGR!BL80+BP!BL80</f>
        <v>0</v>
      </c>
      <c r="BM80" s="106">
        <f>+PMGR!BM80+BP!BM80</f>
        <v>0</v>
      </c>
      <c r="BN80" s="106">
        <f>+PMGR!BN80+BP!BN80</f>
        <v>0</v>
      </c>
      <c r="BO80" s="106">
        <f>+PMGR!BO80+BP!BO80</f>
        <v>0</v>
      </c>
      <c r="BP80" s="106">
        <f>+PMGR!BP80+BP!BP80</f>
        <v>0</v>
      </c>
      <c r="BQ80" s="106">
        <f t="shared" si="495"/>
        <v>0</v>
      </c>
      <c r="BR80" s="118"/>
      <c r="BS80" s="106">
        <f>+PMGR!BS80+BP!BS80</f>
        <v>0</v>
      </c>
      <c r="BT80" s="106">
        <f>+PMGR!BT80+BP!BT80</f>
        <v>0</v>
      </c>
      <c r="BU80" s="106">
        <f>+PMGR!BU80+BP!BU80</f>
        <v>0</v>
      </c>
      <c r="BV80" s="106">
        <f>+PMGR!BV80+BP!BV80</f>
        <v>0</v>
      </c>
      <c r="BW80" s="106">
        <f>+PMGR!BW80+BP!BW80</f>
        <v>0</v>
      </c>
      <c r="BX80" s="106">
        <f>+PMGR!BX80+BP!BX80</f>
        <v>0</v>
      </c>
      <c r="BY80" s="106">
        <f>+PMGR!BY80+BP!BY80</f>
        <v>0</v>
      </c>
      <c r="BZ80" s="106">
        <f>+PMGR!BZ80+BP!BZ80</f>
        <v>0</v>
      </c>
      <c r="CA80" s="106">
        <f>+PMGR!CA80+BP!CA80</f>
        <v>0</v>
      </c>
      <c r="CB80" s="106">
        <f>+PMGR!CB80+BP!CB80</f>
        <v>0</v>
      </c>
      <c r="CC80" s="106">
        <f>+PMGR!CC80+BP!CC80</f>
        <v>0</v>
      </c>
      <c r="CD80" s="106">
        <f>+PMGR!CD80+BP!CD80</f>
        <v>0</v>
      </c>
      <c r="CE80" s="106">
        <f t="shared" si="496"/>
        <v>0</v>
      </c>
      <c r="CF80" s="106"/>
      <c r="CG80" s="106">
        <f>+PMGR!CG80+BP!CG80</f>
        <v>0</v>
      </c>
      <c r="CH80" s="106">
        <f>+PMGR!CH80+BP!CH80</f>
        <v>0</v>
      </c>
      <c r="CI80" s="106">
        <f>+PMGR!CI80+BP!CI80</f>
        <v>0</v>
      </c>
      <c r="CJ80" s="106">
        <f>+PMGR!CJ80+BP!CJ80</f>
        <v>0</v>
      </c>
      <c r="CK80" s="106">
        <f>+PMGR!CK80+BP!CK80</f>
        <v>0</v>
      </c>
      <c r="CL80" s="106">
        <f>+PMGR!CL80+BP!CL80</f>
        <v>0</v>
      </c>
      <c r="CM80" s="106">
        <f>+PMGR!CM80+BP!CM80</f>
        <v>0</v>
      </c>
      <c r="CN80" s="106">
        <f>+PMGR!CN80+BP!CN80</f>
        <v>0</v>
      </c>
      <c r="CO80" s="106">
        <f>+PMGR!CO80+BP!CO80</f>
        <v>0</v>
      </c>
      <c r="CP80" s="106">
        <f>+PMGR!CP80+BP!CP80</f>
        <v>0</v>
      </c>
      <c r="CQ80" s="106">
        <f>+PMGR!CQ80+BP!CQ80</f>
        <v>0</v>
      </c>
      <c r="CR80" s="106">
        <f>+PMGR!CR80+BP!CR80</f>
        <v>0</v>
      </c>
      <c r="CS80" s="106">
        <f t="shared" si="497"/>
        <v>0</v>
      </c>
      <c r="CT80" s="16" t="str">
        <f t="shared" si="409"/>
        <v>Demo Vehicle Repair and Maintenance</v>
      </c>
      <c r="CU80" s="106">
        <f>+PMGR!CU80+BP!CU80</f>
        <v>0</v>
      </c>
      <c r="CV80" s="106">
        <f>+PMGR!CV80+BP!CV80</f>
        <v>0</v>
      </c>
      <c r="CW80" s="106">
        <f>+PMGR!CW80+BP!CW80</f>
        <v>0</v>
      </c>
      <c r="CX80" s="106">
        <f>+PMGR!CX80+BP!CX80</f>
        <v>0</v>
      </c>
      <c r="CY80" s="106">
        <f>+PMGR!CY80+BP!CY80</f>
        <v>0</v>
      </c>
      <c r="CZ80" s="106">
        <f>+PMGR!CZ80+BP!CZ80</f>
        <v>0</v>
      </c>
      <c r="DA80" s="106">
        <f>+PMGR!DA80+BP!DA80</f>
        <v>0</v>
      </c>
      <c r="DB80" s="106">
        <f>+PMGR!DB80+BP!DB80</f>
        <v>0</v>
      </c>
      <c r="DC80" s="106">
        <f>+PMGR!DC80+BP!DC80</f>
        <v>0</v>
      </c>
      <c r="DD80" s="106">
        <f>+PMGR!DD80+BP!DD80</f>
        <v>0</v>
      </c>
      <c r="DE80" s="106">
        <f>+PMGR!DE80+BP!DE80</f>
        <v>0</v>
      </c>
      <c r="DF80" s="106">
        <f>+PMGR!DF80+BP!DF80</f>
        <v>0</v>
      </c>
      <c r="DG80" s="106">
        <f t="shared" si="498"/>
        <v>0</v>
      </c>
      <c r="DH80" s="118"/>
      <c r="DI80" s="106">
        <f>+PMGR!DI80+BP!DI80</f>
        <v>0</v>
      </c>
      <c r="DJ80" s="106">
        <f>+PMGR!DJ80+BP!DJ80</f>
        <v>0</v>
      </c>
      <c r="DK80" s="106">
        <f>+PMGR!DK80+BP!DK80</f>
        <v>0</v>
      </c>
      <c r="DL80" s="106">
        <f>+PMGR!DL80+BP!DL80</f>
        <v>0</v>
      </c>
      <c r="DM80" s="106">
        <f>+PMGR!DM80+BP!DM80</f>
        <v>0</v>
      </c>
      <c r="DN80" s="106">
        <f>+PMGR!DN80+BP!DN80</f>
        <v>0</v>
      </c>
      <c r="DO80" s="106">
        <f>+PMGR!DO80+BP!DO80</f>
        <v>0</v>
      </c>
      <c r="DP80" s="106">
        <f>+PMGR!DP80+BP!DP80</f>
        <v>0</v>
      </c>
      <c r="DQ80" s="106">
        <f>+PMGR!DQ80+BP!DQ80</f>
        <v>0</v>
      </c>
      <c r="DR80" s="106">
        <f>+PMGR!DR80+BP!DR80</f>
        <v>0</v>
      </c>
      <c r="DS80" s="106">
        <f>+PMGR!DS80+BP!DS80</f>
        <v>0</v>
      </c>
      <c r="DT80" s="106">
        <f>+PMGR!DT80+BP!DT80</f>
        <v>0</v>
      </c>
      <c r="DU80" s="106">
        <f t="shared" si="499"/>
        <v>0</v>
      </c>
      <c r="DV80" s="106"/>
      <c r="DW80" s="106">
        <f>+PMGR!DW80+BP!DW80</f>
        <v>0</v>
      </c>
      <c r="DX80" s="106">
        <f>+PMGR!DX80+BP!DX80</f>
        <v>0</v>
      </c>
      <c r="DY80" s="106">
        <f>+PMGR!DY80+BP!DY80</f>
        <v>0</v>
      </c>
      <c r="DZ80" s="106">
        <f>+PMGR!DZ80+BP!DZ80</f>
        <v>0</v>
      </c>
      <c r="EA80" s="106">
        <f>+PMGR!EA80+BP!EA80</f>
        <v>0</v>
      </c>
      <c r="EB80" s="106">
        <f>+PMGR!EB80+BP!EB80</f>
        <v>0</v>
      </c>
      <c r="EC80" s="106">
        <f>+PMGR!EC80+BP!EC80</f>
        <v>0</v>
      </c>
      <c r="ED80" s="106">
        <f>+PMGR!ED80+BP!ED80</f>
        <v>0</v>
      </c>
      <c r="EE80" s="106">
        <f>+PMGR!EE80+BP!EE80</f>
        <v>0</v>
      </c>
      <c r="EF80" s="106">
        <f>+PMGR!EF80+BP!EF80</f>
        <v>0</v>
      </c>
      <c r="EG80" s="106">
        <f>+PMGR!EG80+BP!EG80</f>
        <v>0</v>
      </c>
      <c r="EH80" s="106">
        <f>+PMGR!EH80+BP!EH80</f>
        <v>0</v>
      </c>
      <c r="EI80" s="106">
        <f t="shared" si="500"/>
        <v>0</v>
      </c>
      <c r="EJ80" s="16" t="str">
        <f t="shared" si="457"/>
        <v>Demo Vehicle Repair and Maintenance</v>
      </c>
      <c r="EK80" s="106">
        <f>+PMGR!EK80+BP!EK80</f>
        <v>0</v>
      </c>
      <c r="EL80" s="106">
        <f>+PMGR!EL80+BP!EL80</f>
        <v>0</v>
      </c>
      <c r="EM80" s="106">
        <f>+PMGR!EM80+BP!EM80</f>
        <v>0</v>
      </c>
      <c r="EN80" s="106">
        <f>+PMGR!EN80+BP!EN80</f>
        <v>0</v>
      </c>
      <c r="EO80" s="106">
        <f>+PMGR!EO80+BP!EO80</f>
        <v>0</v>
      </c>
      <c r="EP80" s="106">
        <f>+PMGR!EP80+BP!EP80</f>
        <v>0</v>
      </c>
      <c r="EQ80" s="106">
        <f>+PMGR!EQ80+BP!EQ80</f>
        <v>0</v>
      </c>
      <c r="ER80" s="106">
        <f>+PMGR!ER80+BP!ER80</f>
        <v>0</v>
      </c>
      <c r="ES80" s="106">
        <f>+PMGR!ES80+BP!ES80</f>
        <v>0</v>
      </c>
      <c r="ET80" s="106">
        <f>+PMGR!ET80+BP!ET80</f>
        <v>0</v>
      </c>
      <c r="EU80" s="106">
        <f>+PMGR!EU80+BP!EU80</f>
        <v>0</v>
      </c>
      <c r="EV80" s="106">
        <f>+PMGR!EV80+BP!EV80</f>
        <v>0</v>
      </c>
      <c r="EW80" s="106">
        <f t="shared" si="501"/>
        <v>0</v>
      </c>
      <c r="EX80" s="118"/>
      <c r="EY80" s="106">
        <f>+PMGR!EY80+BP!EY80</f>
        <v>0</v>
      </c>
      <c r="EZ80" s="106">
        <f>+PMGR!EZ80+BP!EZ80</f>
        <v>0</v>
      </c>
      <c r="FA80" s="106">
        <f>+PMGR!FA80+BP!FA80</f>
        <v>0</v>
      </c>
      <c r="FB80" s="106">
        <f>+PMGR!FB80+BP!FB80</f>
        <v>0</v>
      </c>
      <c r="FC80" s="106">
        <f>+PMGR!FC80+BP!FC80</f>
        <v>0</v>
      </c>
      <c r="FD80" s="106">
        <f>+PMGR!FD80+BP!FD80</f>
        <v>0</v>
      </c>
      <c r="FE80" s="106">
        <f>+PMGR!FE80+BP!FE80</f>
        <v>0</v>
      </c>
      <c r="FF80" s="106">
        <f>+PMGR!FF80+BP!FF80</f>
        <v>0</v>
      </c>
      <c r="FG80" s="106">
        <f>+PMGR!FG80+BP!FG80</f>
        <v>0</v>
      </c>
      <c r="FH80" s="106">
        <f>+PMGR!FH80+BP!FH80</f>
        <v>0</v>
      </c>
      <c r="FI80" s="106">
        <f>+PMGR!FI80+BP!FI80</f>
        <v>0</v>
      </c>
      <c r="FJ80" s="106">
        <f>+PMGR!FJ80+BP!FJ80</f>
        <v>0</v>
      </c>
      <c r="FK80" s="106">
        <f t="shared" si="502"/>
        <v>0</v>
      </c>
    </row>
    <row r="81" spans="1:167" ht="14.45" hidden="1" customHeight="1" outlineLevel="2">
      <c r="A81" s="106">
        <f t="shared" si="491"/>
        <v>29470.14</v>
      </c>
      <c r="B81" s="106">
        <f t="shared" si="491"/>
        <v>0</v>
      </c>
      <c r="C81" s="106">
        <f t="shared" si="491"/>
        <v>11500</v>
      </c>
      <c r="D81" s="106">
        <f t="shared" si="491"/>
        <v>0</v>
      </c>
      <c r="E81" s="106">
        <f t="shared" si="491"/>
        <v>0</v>
      </c>
      <c r="F81" s="106">
        <f t="shared" si="491"/>
        <v>0</v>
      </c>
      <c r="G81" s="106">
        <f t="shared" si="491"/>
        <v>60</v>
      </c>
      <c r="H81" s="106">
        <f t="shared" si="491"/>
        <v>11747</v>
      </c>
      <c r="I81" s="106">
        <f t="shared" si="491"/>
        <v>0</v>
      </c>
      <c r="J81" s="106">
        <f t="shared" si="491"/>
        <v>0</v>
      </c>
      <c r="K81" s="106">
        <f t="shared" si="491"/>
        <v>0</v>
      </c>
      <c r="L81" s="106">
        <f t="shared" si="491"/>
        <v>0</v>
      </c>
      <c r="M81" s="106">
        <f t="shared" si="503"/>
        <v>52777.14</v>
      </c>
      <c r="N81" s="16" t="s">
        <v>65</v>
      </c>
      <c r="O81" s="106">
        <f t="shared" si="504"/>
        <v>0</v>
      </c>
      <c r="P81" s="106">
        <f t="shared" si="492"/>
        <v>6388.3</v>
      </c>
      <c r="Q81" s="106">
        <f t="shared" si="492"/>
        <v>23587</v>
      </c>
      <c r="R81" s="106">
        <f t="shared" si="492"/>
        <v>0</v>
      </c>
      <c r="S81" s="106">
        <f t="shared" si="492"/>
        <v>0</v>
      </c>
      <c r="T81" s="106">
        <f t="shared" si="492"/>
        <v>0</v>
      </c>
      <c r="U81" s="106">
        <f t="shared" si="492"/>
        <v>4000</v>
      </c>
      <c r="V81" s="106">
        <f t="shared" si="492"/>
        <v>0</v>
      </c>
      <c r="W81" s="106">
        <f t="shared" si="492"/>
        <v>0</v>
      </c>
      <c r="X81" s="106">
        <f t="shared" si="492"/>
        <v>150000</v>
      </c>
      <c r="Y81" s="106">
        <f t="shared" si="492"/>
        <v>0</v>
      </c>
      <c r="Z81" s="106">
        <f t="shared" si="492"/>
        <v>0</v>
      </c>
      <c r="AA81" s="106">
        <f t="shared" si="505"/>
        <v>183975.3</v>
      </c>
      <c r="AB81" s="118"/>
      <c r="AC81" s="106">
        <f t="shared" si="506"/>
        <v>15000</v>
      </c>
      <c r="AD81" s="106">
        <f t="shared" si="493"/>
        <v>15000</v>
      </c>
      <c r="AE81" s="106">
        <f t="shared" si="493"/>
        <v>15000</v>
      </c>
      <c r="AF81" s="106">
        <f t="shared" si="493"/>
        <v>15000</v>
      </c>
      <c r="AG81" s="106">
        <f t="shared" si="493"/>
        <v>15000</v>
      </c>
      <c r="AH81" s="106">
        <f t="shared" si="493"/>
        <v>15000</v>
      </c>
      <c r="AI81" s="106">
        <f t="shared" si="493"/>
        <v>15000</v>
      </c>
      <c r="AJ81" s="106">
        <f t="shared" si="493"/>
        <v>15000</v>
      </c>
      <c r="AK81" s="106">
        <f t="shared" si="493"/>
        <v>15000</v>
      </c>
      <c r="AL81" s="106">
        <f t="shared" si="493"/>
        <v>15000</v>
      </c>
      <c r="AM81" s="106">
        <f t="shared" si="493"/>
        <v>15000</v>
      </c>
      <c r="AN81" s="106">
        <f t="shared" si="493"/>
        <v>15000</v>
      </c>
      <c r="AO81" s="106">
        <f t="shared" si="507"/>
        <v>180000</v>
      </c>
      <c r="AP81" s="106"/>
      <c r="AQ81" s="106">
        <f>+PMGR!AQ81+BP!AQ81</f>
        <v>2000</v>
      </c>
      <c r="AR81" s="106">
        <f>+PMGR!AR81+BP!AR81</f>
        <v>0</v>
      </c>
      <c r="AS81" s="106">
        <f>+PMGR!AS81+BP!AS81</f>
        <v>11500</v>
      </c>
      <c r="AT81" s="106">
        <f>+PMGR!AT81+BP!AT81</f>
        <v>0</v>
      </c>
      <c r="AU81" s="106">
        <f>+PMGR!AU81+BP!AU81</f>
        <v>0</v>
      </c>
      <c r="AV81" s="106">
        <f>+PMGR!AV81+BP!AV81</f>
        <v>0</v>
      </c>
      <c r="AW81" s="106">
        <f>+PMGR!AW81+BP!AW81</f>
        <v>60</v>
      </c>
      <c r="AX81" s="106">
        <f>+PMGR!AX81+BP!AX81</f>
        <v>0</v>
      </c>
      <c r="AY81" s="106">
        <f>+PMGR!AY81+BP!AY81</f>
        <v>0</v>
      </c>
      <c r="AZ81" s="106">
        <f>+PMGR!AZ81+BP!AZ81</f>
        <v>0</v>
      </c>
      <c r="BA81" s="106">
        <f>+PMGR!BA81+BP!BA81</f>
        <v>0</v>
      </c>
      <c r="BB81" s="106">
        <f>+PMGR!BB81+BP!BB81</f>
        <v>0</v>
      </c>
      <c r="BC81" s="106">
        <f t="shared" si="494"/>
        <v>13560</v>
      </c>
      <c r="BD81" s="16" t="str">
        <f t="shared" si="405"/>
        <v>Discount Customer Service</v>
      </c>
      <c r="BE81" s="106">
        <f>+PMGR!BE81+BP!BE81</f>
        <v>0</v>
      </c>
      <c r="BF81" s="106">
        <f>+PMGR!BF81+BP!BF81</f>
        <v>6388.3</v>
      </c>
      <c r="BG81" s="106">
        <f>+PMGR!BG81+BP!BG81</f>
        <v>23587</v>
      </c>
      <c r="BH81" s="106">
        <f>+PMGR!BH81+BP!BH81</f>
        <v>0</v>
      </c>
      <c r="BI81" s="106">
        <f>+PMGR!BI81+BP!BI81</f>
        <v>0</v>
      </c>
      <c r="BJ81" s="106">
        <f>+PMGR!BJ81+BP!BJ81</f>
        <v>0</v>
      </c>
      <c r="BK81" s="106">
        <f>+PMGR!BK81+BP!BK81</f>
        <v>4000</v>
      </c>
      <c r="BL81" s="106">
        <f>+PMGR!BL81+BP!BL81</f>
        <v>0</v>
      </c>
      <c r="BM81" s="106">
        <f>+PMGR!BM81+BP!BM81</f>
        <v>0</v>
      </c>
      <c r="BN81" s="106">
        <f>+PMGR!BN81+BP!BN81</f>
        <v>75000</v>
      </c>
      <c r="BO81" s="106">
        <f>+PMGR!BO81+BP!BO81</f>
        <v>0</v>
      </c>
      <c r="BP81" s="106">
        <f>+PMGR!BP81+BP!BP81</f>
        <v>0</v>
      </c>
      <c r="BQ81" s="106">
        <f t="shared" si="495"/>
        <v>108975.3</v>
      </c>
      <c r="BR81" s="118"/>
      <c r="BS81" s="106">
        <f>+PMGR!BS81+BP!BS81</f>
        <v>10000</v>
      </c>
      <c r="BT81" s="106">
        <f>+PMGR!BT81+BP!BT81</f>
        <v>10000</v>
      </c>
      <c r="BU81" s="106">
        <f>+PMGR!BU81+BP!BU81</f>
        <v>10000</v>
      </c>
      <c r="BV81" s="106">
        <f>+PMGR!BV81+BP!BV81</f>
        <v>10000</v>
      </c>
      <c r="BW81" s="106">
        <f>+PMGR!BW81+BP!BW81</f>
        <v>10000</v>
      </c>
      <c r="BX81" s="106">
        <f>+PMGR!BX81+BP!BX81</f>
        <v>10000</v>
      </c>
      <c r="BY81" s="106">
        <f>+PMGR!BY81+BP!BY81</f>
        <v>10000</v>
      </c>
      <c r="BZ81" s="106">
        <f>+PMGR!BZ81+BP!BZ81</f>
        <v>10000</v>
      </c>
      <c r="CA81" s="106">
        <f>+PMGR!CA81+BP!CA81</f>
        <v>10000</v>
      </c>
      <c r="CB81" s="106">
        <f>+PMGR!CB81+BP!CB81</f>
        <v>10000</v>
      </c>
      <c r="CC81" s="106">
        <f>+PMGR!CC81+BP!CC81</f>
        <v>10000</v>
      </c>
      <c r="CD81" s="106">
        <f>+PMGR!CD81+BP!CD81</f>
        <v>10000</v>
      </c>
      <c r="CE81" s="106">
        <f t="shared" si="496"/>
        <v>120000</v>
      </c>
      <c r="CF81" s="106"/>
      <c r="CG81" s="106">
        <f>+PMGR!CG81+BP!CG81</f>
        <v>27470.14</v>
      </c>
      <c r="CH81" s="106">
        <f>+PMGR!CH81+BP!CH81</f>
        <v>0</v>
      </c>
      <c r="CI81" s="106">
        <f>+PMGR!CI81+BP!CI81</f>
        <v>0</v>
      </c>
      <c r="CJ81" s="106">
        <f>+PMGR!CJ81+BP!CJ81</f>
        <v>0</v>
      </c>
      <c r="CK81" s="106">
        <f>+PMGR!CK81+BP!CK81</f>
        <v>0</v>
      </c>
      <c r="CL81" s="106">
        <f>+PMGR!CL81+BP!CL81</f>
        <v>0</v>
      </c>
      <c r="CM81" s="106">
        <f>+PMGR!CM81+BP!CM81</f>
        <v>0</v>
      </c>
      <c r="CN81" s="106">
        <f>+PMGR!CN81+BP!CN81</f>
        <v>11747</v>
      </c>
      <c r="CO81" s="106">
        <f>+PMGR!CO81+BP!CO81</f>
        <v>0</v>
      </c>
      <c r="CP81" s="106">
        <f>+PMGR!CP81+BP!CP81</f>
        <v>0</v>
      </c>
      <c r="CQ81" s="106">
        <f>+PMGR!CQ81+BP!CQ81</f>
        <v>0</v>
      </c>
      <c r="CR81" s="106">
        <f>+PMGR!CR81+BP!CR81</f>
        <v>0</v>
      </c>
      <c r="CS81" s="106">
        <f t="shared" si="497"/>
        <v>39217.14</v>
      </c>
      <c r="CT81" s="16" t="str">
        <f t="shared" si="409"/>
        <v>Discount Customer Service</v>
      </c>
      <c r="CU81" s="106">
        <f>+PMGR!CU81+BP!CU81</f>
        <v>0</v>
      </c>
      <c r="CV81" s="106">
        <f>+PMGR!CV81+BP!CV81</f>
        <v>0</v>
      </c>
      <c r="CW81" s="106">
        <f>+PMGR!CW81+BP!CW81</f>
        <v>0</v>
      </c>
      <c r="CX81" s="106">
        <f>+PMGR!CX81+BP!CX81</f>
        <v>0</v>
      </c>
      <c r="CY81" s="106">
        <f>+PMGR!CY81+BP!CY81</f>
        <v>0</v>
      </c>
      <c r="CZ81" s="106">
        <f>+PMGR!CZ81+BP!CZ81</f>
        <v>0</v>
      </c>
      <c r="DA81" s="106">
        <f>+PMGR!DA81+BP!DA81</f>
        <v>0</v>
      </c>
      <c r="DB81" s="106">
        <f>+PMGR!DB81+BP!DB81</f>
        <v>0</v>
      </c>
      <c r="DC81" s="106">
        <f>+PMGR!DC81+BP!DC81</f>
        <v>0</v>
      </c>
      <c r="DD81" s="106">
        <f>+PMGR!DD81+BP!DD81</f>
        <v>75000</v>
      </c>
      <c r="DE81" s="106">
        <f>+PMGR!DE81+BP!DE81</f>
        <v>0</v>
      </c>
      <c r="DF81" s="106">
        <f>+PMGR!DF81+BP!DF81</f>
        <v>0</v>
      </c>
      <c r="DG81" s="106">
        <f t="shared" si="498"/>
        <v>75000</v>
      </c>
      <c r="DH81" s="118"/>
      <c r="DI81" s="106">
        <f>+PMGR!DI81+BP!DI81</f>
        <v>5000</v>
      </c>
      <c r="DJ81" s="106">
        <f>+PMGR!DJ81+BP!DJ81</f>
        <v>5000</v>
      </c>
      <c r="DK81" s="106">
        <f>+PMGR!DK81+BP!DK81</f>
        <v>5000</v>
      </c>
      <c r="DL81" s="106">
        <f>+PMGR!DL81+BP!DL81</f>
        <v>5000</v>
      </c>
      <c r="DM81" s="106">
        <f>+PMGR!DM81+BP!DM81</f>
        <v>5000</v>
      </c>
      <c r="DN81" s="106">
        <f>+PMGR!DN81+BP!DN81</f>
        <v>5000</v>
      </c>
      <c r="DO81" s="106">
        <f>+PMGR!DO81+BP!DO81</f>
        <v>5000</v>
      </c>
      <c r="DP81" s="106">
        <f>+PMGR!DP81+BP!DP81</f>
        <v>5000</v>
      </c>
      <c r="DQ81" s="106">
        <f>+PMGR!DQ81+BP!DQ81</f>
        <v>5000</v>
      </c>
      <c r="DR81" s="106">
        <f>+PMGR!DR81+BP!DR81</f>
        <v>5000</v>
      </c>
      <c r="DS81" s="106">
        <f>+PMGR!DS81+BP!DS81</f>
        <v>5000</v>
      </c>
      <c r="DT81" s="106">
        <f>+PMGR!DT81+BP!DT81</f>
        <v>5000</v>
      </c>
      <c r="DU81" s="106">
        <f t="shared" si="499"/>
        <v>60000</v>
      </c>
      <c r="DV81" s="106"/>
      <c r="DW81" s="106">
        <f>+PMGR!DW81+BP!DW81</f>
        <v>0</v>
      </c>
      <c r="DX81" s="106">
        <f>+PMGR!DX81+BP!DX81</f>
        <v>0</v>
      </c>
      <c r="DY81" s="106">
        <f>+PMGR!DY81+BP!DY81</f>
        <v>0</v>
      </c>
      <c r="DZ81" s="106">
        <f>+PMGR!DZ81+BP!DZ81</f>
        <v>0</v>
      </c>
      <c r="EA81" s="106">
        <f>+PMGR!EA81+BP!EA81</f>
        <v>0</v>
      </c>
      <c r="EB81" s="106">
        <f>+PMGR!EB81+BP!EB81</f>
        <v>0</v>
      </c>
      <c r="EC81" s="106">
        <f>+PMGR!EC81+BP!EC81</f>
        <v>0</v>
      </c>
      <c r="ED81" s="106">
        <f>+PMGR!ED81+BP!ED81</f>
        <v>0</v>
      </c>
      <c r="EE81" s="106">
        <f>+PMGR!EE81+BP!EE81</f>
        <v>0</v>
      </c>
      <c r="EF81" s="106">
        <f>+PMGR!EF81+BP!EF81</f>
        <v>0</v>
      </c>
      <c r="EG81" s="106">
        <f>+PMGR!EG81+BP!EG81</f>
        <v>0</v>
      </c>
      <c r="EH81" s="106">
        <f>+PMGR!EH81+BP!EH81</f>
        <v>0</v>
      </c>
      <c r="EI81" s="106">
        <f t="shared" si="500"/>
        <v>0</v>
      </c>
      <c r="EJ81" s="16" t="str">
        <f t="shared" si="457"/>
        <v>Discount Customer Service</v>
      </c>
      <c r="EK81" s="106">
        <f>+PMGR!EK81+BP!EK81</f>
        <v>0</v>
      </c>
      <c r="EL81" s="106">
        <f>+PMGR!EL81+BP!EL81</f>
        <v>0</v>
      </c>
      <c r="EM81" s="106">
        <f>+PMGR!EM81+BP!EM81</f>
        <v>0</v>
      </c>
      <c r="EN81" s="106">
        <f>+PMGR!EN81+BP!EN81</f>
        <v>0</v>
      </c>
      <c r="EO81" s="106">
        <f>+PMGR!EO81+BP!EO81</f>
        <v>0</v>
      </c>
      <c r="EP81" s="106">
        <f>+PMGR!EP81+BP!EP81</f>
        <v>0</v>
      </c>
      <c r="EQ81" s="106">
        <f>+PMGR!EQ81+BP!EQ81</f>
        <v>0</v>
      </c>
      <c r="ER81" s="106">
        <f>+PMGR!ER81+BP!ER81</f>
        <v>0</v>
      </c>
      <c r="ES81" s="106">
        <f>+PMGR!ES81+BP!ES81</f>
        <v>0</v>
      </c>
      <c r="ET81" s="106">
        <f>+PMGR!ET81+BP!ET81</f>
        <v>0</v>
      </c>
      <c r="EU81" s="106">
        <f>+PMGR!EU81+BP!EU81</f>
        <v>0</v>
      </c>
      <c r="EV81" s="106">
        <f>+PMGR!EV81+BP!EV81</f>
        <v>0</v>
      </c>
      <c r="EW81" s="106">
        <f t="shared" si="501"/>
        <v>0</v>
      </c>
      <c r="EX81" s="118"/>
      <c r="EY81" s="106">
        <f>+PMGR!EY81+BP!EY81</f>
        <v>0</v>
      </c>
      <c r="EZ81" s="106">
        <f>+PMGR!EZ81+BP!EZ81</f>
        <v>0</v>
      </c>
      <c r="FA81" s="106">
        <f>+PMGR!FA81+BP!FA81</f>
        <v>0</v>
      </c>
      <c r="FB81" s="106">
        <f>+PMGR!FB81+BP!FB81</f>
        <v>0</v>
      </c>
      <c r="FC81" s="106">
        <f>+PMGR!FC81+BP!FC81</f>
        <v>0</v>
      </c>
      <c r="FD81" s="106">
        <f>+PMGR!FD81+BP!FD81</f>
        <v>0</v>
      </c>
      <c r="FE81" s="106">
        <f>+PMGR!FE81+BP!FE81</f>
        <v>0</v>
      </c>
      <c r="FF81" s="106">
        <f>+PMGR!FF81+BP!FF81</f>
        <v>0</v>
      </c>
      <c r="FG81" s="106">
        <f>+PMGR!FG81+BP!FG81</f>
        <v>0</v>
      </c>
      <c r="FH81" s="106">
        <f>+PMGR!FH81+BP!FH81</f>
        <v>0</v>
      </c>
      <c r="FI81" s="106">
        <f>+PMGR!FI81+BP!FI81</f>
        <v>0</v>
      </c>
      <c r="FJ81" s="106">
        <f>+PMGR!FJ81+BP!FJ81</f>
        <v>0</v>
      </c>
      <c r="FK81" s="106">
        <f t="shared" si="502"/>
        <v>0</v>
      </c>
    </row>
    <row r="82" spans="1:167" ht="14.45" hidden="1" customHeight="1" outlineLevel="2">
      <c r="A82" s="106">
        <f t="shared" si="491"/>
        <v>17484</v>
      </c>
      <c r="B82" s="106">
        <f t="shared" si="491"/>
        <v>13308</v>
      </c>
      <c r="C82" s="106">
        <f t="shared" si="491"/>
        <v>26023</v>
      </c>
      <c r="D82" s="106">
        <f t="shared" si="491"/>
        <v>6146</v>
      </c>
      <c r="E82" s="106">
        <f t="shared" si="491"/>
        <v>4475.78</v>
      </c>
      <c r="F82" s="106">
        <f t="shared" si="491"/>
        <v>9656</v>
      </c>
      <c r="G82" s="106">
        <f t="shared" si="491"/>
        <v>23609</v>
      </c>
      <c r="H82" s="106">
        <f t="shared" si="491"/>
        <v>10996</v>
      </c>
      <c r="I82" s="106">
        <f t="shared" si="491"/>
        <v>8193.9</v>
      </c>
      <c r="J82" s="106">
        <f t="shared" si="491"/>
        <v>21978</v>
      </c>
      <c r="K82" s="106">
        <f t="shared" si="491"/>
        <v>28862</v>
      </c>
      <c r="L82" s="106">
        <f t="shared" si="491"/>
        <v>30364</v>
      </c>
      <c r="M82" s="106">
        <f t="shared" si="503"/>
        <v>201095.67999999999</v>
      </c>
      <c r="N82" s="16" t="s">
        <v>66</v>
      </c>
      <c r="O82" s="106">
        <f t="shared" si="504"/>
        <v>22222</v>
      </c>
      <c r="P82" s="106">
        <f t="shared" si="492"/>
        <v>10243</v>
      </c>
      <c r="Q82" s="106">
        <f t="shared" si="492"/>
        <v>19597.72</v>
      </c>
      <c r="R82" s="106">
        <f t="shared" si="492"/>
        <v>9543</v>
      </c>
      <c r="S82" s="106">
        <f t="shared" si="492"/>
        <v>10787</v>
      </c>
      <c r="T82" s="106">
        <f t="shared" si="492"/>
        <v>16130</v>
      </c>
      <c r="U82" s="106">
        <f t="shared" si="492"/>
        <v>33972</v>
      </c>
      <c r="V82" s="106">
        <f t="shared" si="492"/>
        <v>27253</v>
      </c>
      <c r="W82" s="106">
        <f t="shared" si="492"/>
        <v>18127.14</v>
      </c>
      <c r="X82" s="106">
        <f t="shared" si="492"/>
        <v>38050.51</v>
      </c>
      <c r="Y82" s="106">
        <f t="shared" si="492"/>
        <v>0</v>
      </c>
      <c r="Z82" s="106">
        <f t="shared" si="492"/>
        <v>0</v>
      </c>
      <c r="AA82" s="106">
        <f t="shared" si="505"/>
        <v>205925.37</v>
      </c>
      <c r="AB82" s="118"/>
      <c r="AC82" s="106">
        <f t="shared" si="506"/>
        <v>15000</v>
      </c>
      <c r="AD82" s="106">
        <f t="shared" si="493"/>
        <v>15000</v>
      </c>
      <c r="AE82" s="106">
        <f t="shared" si="493"/>
        <v>15000</v>
      </c>
      <c r="AF82" s="106">
        <f t="shared" si="493"/>
        <v>15000</v>
      </c>
      <c r="AG82" s="106">
        <f t="shared" si="493"/>
        <v>15000</v>
      </c>
      <c r="AH82" s="106">
        <f t="shared" si="493"/>
        <v>15000</v>
      </c>
      <c r="AI82" s="106">
        <f t="shared" si="493"/>
        <v>15000</v>
      </c>
      <c r="AJ82" s="106">
        <f t="shared" si="493"/>
        <v>15000</v>
      </c>
      <c r="AK82" s="106">
        <f t="shared" si="493"/>
        <v>15000</v>
      </c>
      <c r="AL82" s="106">
        <f t="shared" si="493"/>
        <v>15000</v>
      </c>
      <c r="AM82" s="106">
        <f t="shared" si="493"/>
        <v>15000</v>
      </c>
      <c r="AN82" s="106">
        <f t="shared" si="493"/>
        <v>15000</v>
      </c>
      <c r="AO82" s="106">
        <f t="shared" si="507"/>
        <v>180000</v>
      </c>
      <c r="AP82" s="106"/>
      <c r="AQ82" s="106">
        <f>+PMGR!AQ82+BP!AQ82</f>
        <v>17484</v>
      </c>
      <c r="AR82" s="106">
        <f>+PMGR!AR82+BP!AR82</f>
        <v>13308</v>
      </c>
      <c r="AS82" s="106">
        <f>+PMGR!AS82+BP!AS82</f>
        <v>26023</v>
      </c>
      <c r="AT82" s="106">
        <f>+PMGR!AT82+BP!AT82</f>
        <v>6146</v>
      </c>
      <c r="AU82" s="106">
        <f>+PMGR!AU82+BP!AU82</f>
        <v>4475.78</v>
      </c>
      <c r="AV82" s="106">
        <f>+PMGR!AV82+BP!AV82</f>
        <v>9656</v>
      </c>
      <c r="AW82" s="106">
        <f>+PMGR!AW82+BP!AW82</f>
        <v>23609</v>
      </c>
      <c r="AX82" s="106">
        <f>+PMGR!AX82+BP!AX82</f>
        <v>10996</v>
      </c>
      <c r="AY82" s="106">
        <f>+PMGR!AY82+BP!AY82</f>
        <v>8193.9</v>
      </c>
      <c r="AZ82" s="106">
        <f>+PMGR!AZ82+BP!AZ82</f>
        <v>21978</v>
      </c>
      <c r="BA82" s="106">
        <f>+PMGR!BA82+BP!BA82</f>
        <v>28862</v>
      </c>
      <c r="BB82" s="106">
        <f>+PMGR!BB82+BP!BB82</f>
        <v>30364</v>
      </c>
      <c r="BC82" s="106">
        <f t="shared" si="494"/>
        <v>201095.67999999999</v>
      </c>
      <c r="BD82" s="16" t="str">
        <f t="shared" si="405"/>
        <v>Discount Insurance</v>
      </c>
      <c r="BE82" s="106">
        <f>+PMGR!BE82+BP!BE82</f>
        <v>20947</v>
      </c>
      <c r="BF82" s="106">
        <f>+PMGR!BF82+BP!BF82</f>
        <v>10243</v>
      </c>
      <c r="BG82" s="106">
        <f>+PMGR!BG82+BP!BG82</f>
        <v>19597.72</v>
      </c>
      <c r="BH82" s="106">
        <f>+PMGR!BH82+BP!BH82</f>
        <v>9543</v>
      </c>
      <c r="BI82" s="106">
        <f>+PMGR!BI82+BP!BI82</f>
        <v>10787</v>
      </c>
      <c r="BJ82" s="106">
        <f>+PMGR!BJ82+BP!BJ82</f>
        <v>16130</v>
      </c>
      <c r="BK82" s="106">
        <f>+PMGR!BK82+BP!BK82</f>
        <v>33972</v>
      </c>
      <c r="BL82" s="106">
        <f>+PMGR!BL82+BP!BL82</f>
        <v>27253</v>
      </c>
      <c r="BM82" s="106">
        <f>+PMGR!BM82+BP!BM82</f>
        <v>18127.14</v>
      </c>
      <c r="BN82" s="106">
        <f>+PMGR!BN82+BP!BN82</f>
        <v>38050.51</v>
      </c>
      <c r="BO82" s="106">
        <f>+PMGR!BO82+BP!BO82</f>
        <v>0</v>
      </c>
      <c r="BP82" s="106">
        <f>+PMGR!BP82+BP!BP82</f>
        <v>0</v>
      </c>
      <c r="BQ82" s="106">
        <f t="shared" si="495"/>
        <v>204650.37</v>
      </c>
      <c r="BR82" s="118"/>
      <c r="BS82" s="106">
        <f>+PMGR!BS82+BP!BS82</f>
        <v>15000</v>
      </c>
      <c r="BT82" s="106">
        <f>+PMGR!BT82+BP!BT82</f>
        <v>15000</v>
      </c>
      <c r="BU82" s="106">
        <f>+PMGR!BU82+BP!BU82</f>
        <v>15000</v>
      </c>
      <c r="BV82" s="106">
        <f>+PMGR!BV82+BP!BV82</f>
        <v>15000</v>
      </c>
      <c r="BW82" s="106">
        <f>+PMGR!BW82+BP!BW82</f>
        <v>15000</v>
      </c>
      <c r="BX82" s="106">
        <f>+PMGR!BX82+BP!BX82</f>
        <v>15000</v>
      </c>
      <c r="BY82" s="106">
        <f>+PMGR!BY82+BP!BY82</f>
        <v>15000</v>
      </c>
      <c r="BZ82" s="106">
        <f>+PMGR!BZ82+BP!BZ82</f>
        <v>15000</v>
      </c>
      <c r="CA82" s="106">
        <f>+PMGR!CA82+BP!CA82</f>
        <v>15000</v>
      </c>
      <c r="CB82" s="106">
        <f>+PMGR!CB82+BP!CB82</f>
        <v>15000</v>
      </c>
      <c r="CC82" s="106">
        <f>+PMGR!CC82+BP!CC82</f>
        <v>15000</v>
      </c>
      <c r="CD82" s="106">
        <f>+PMGR!CD82+BP!CD82</f>
        <v>15000</v>
      </c>
      <c r="CE82" s="106">
        <f t="shared" si="496"/>
        <v>180000</v>
      </c>
      <c r="CF82" s="106"/>
      <c r="CG82" s="106">
        <f>+PMGR!CG82+BP!CG82</f>
        <v>0</v>
      </c>
      <c r="CH82" s="106">
        <f>+PMGR!CH82+BP!CH82</f>
        <v>0</v>
      </c>
      <c r="CI82" s="106">
        <f>+PMGR!CI82+BP!CI82</f>
        <v>0</v>
      </c>
      <c r="CJ82" s="106">
        <f>+PMGR!CJ82+BP!CJ82</f>
        <v>0</v>
      </c>
      <c r="CK82" s="106">
        <f>+PMGR!CK82+BP!CK82</f>
        <v>0</v>
      </c>
      <c r="CL82" s="106">
        <f>+PMGR!CL82+BP!CL82</f>
        <v>0</v>
      </c>
      <c r="CM82" s="106">
        <f>+PMGR!CM82+BP!CM82</f>
        <v>0</v>
      </c>
      <c r="CN82" s="106">
        <f>+PMGR!CN82+BP!CN82</f>
        <v>0</v>
      </c>
      <c r="CO82" s="106">
        <f>+PMGR!CO82+BP!CO82</f>
        <v>0</v>
      </c>
      <c r="CP82" s="106">
        <f>+PMGR!CP82+BP!CP82</f>
        <v>0</v>
      </c>
      <c r="CQ82" s="106">
        <f>+PMGR!CQ82+BP!CQ82</f>
        <v>0</v>
      </c>
      <c r="CR82" s="106">
        <f>+PMGR!CR82+BP!CR82</f>
        <v>0</v>
      </c>
      <c r="CS82" s="106">
        <f t="shared" si="497"/>
        <v>0</v>
      </c>
      <c r="CT82" s="16" t="str">
        <f t="shared" si="409"/>
        <v>Discount Insurance</v>
      </c>
      <c r="CU82" s="106">
        <f>+PMGR!CU82+BP!CU82</f>
        <v>1275</v>
      </c>
      <c r="CV82" s="106">
        <f>+PMGR!CV82+BP!CV82</f>
        <v>0</v>
      </c>
      <c r="CW82" s="106">
        <f>+PMGR!CW82+BP!CW82</f>
        <v>0</v>
      </c>
      <c r="CX82" s="106">
        <f>+PMGR!CX82+BP!CX82</f>
        <v>0</v>
      </c>
      <c r="CY82" s="106">
        <f>+PMGR!CY82+BP!CY82</f>
        <v>0</v>
      </c>
      <c r="CZ82" s="106">
        <f>+PMGR!CZ82+BP!CZ82</f>
        <v>0</v>
      </c>
      <c r="DA82" s="106">
        <f>+PMGR!DA82+BP!DA82</f>
        <v>0</v>
      </c>
      <c r="DB82" s="106">
        <f>+PMGR!DB82+BP!DB82</f>
        <v>0</v>
      </c>
      <c r="DC82" s="106">
        <f>+PMGR!DC82+BP!DC82</f>
        <v>0</v>
      </c>
      <c r="DD82" s="106">
        <f>+PMGR!DD82+BP!DD82</f>
        <v>0</v>
      </c>
      <c r="DE82" s="106">
        <f>+PMGR!DE82+BP!DE82</f>
        <v>0</v>
      </c>
      <c r="DF82" s="106">
        <f>+PMGR!DF82+BP!DF82</f>
        <v>0</v>
      </c>
      <c r="DG82" s="106">
        <f t="shared" si="498"/>
        <v>1275</v>
      </c>
      <c r="DH82" s="118"/>
      <c r="DI82" s="106">
        <f>+PMGR!DI82+BP!DI82</f>
        <v>0</v>
      </c>
      <c r="DJ82" s="106">
        <f>+PMGR!DJ82+BP!DJ82</f>
        <v>0</v>
      </c>
      <c r="DK82" s="106">
        <f>+PMGR!DK82+BP!DK82</f>
        <v>0</v>
      </c>
      <c r="DL82" s="106">
        <f>+PMGR!DL82+BP!DL82</f>
        <v>0</v>
      </c>
      <c r="DM82" s="106">
        <f>+PMGR!DM82+BP!DM82</f>
        <v>0</v>
      </c>
      <c r="DN82" s="106">
        <f>+PMGR!DN82+BP!DN82</f>
        <v>0</v>
      </c>
      <c r="DO82" s="106">
        <f>+PMGR!DO82+BP!DO82</f>
        <v>0</v>
      </c>
      <c r="DP82" s="106">
        <f>+PMGR!DP82+BP!DP82</f>
        <v>0</v>
      </c>
      <c r="DQ82" s="106">
        <f>+PMGR!DQ82+BP!DQ82</f>
        <v>0</v>
      </c>
      <c r="DR82" s="106">
        <f>+PMGR!DR82+BP!DR82</f>
        <v>0</v>
      </c>
      <c r="DS82" s="106">
        <f>+PMGR!DS82+BP!DS82</f>
        <v>0</v>
      </c>
      <c r="DT82" s="106">
        <f>+PMGR!DT82+BP!DT82</f>
        <v>0</v>
      </c>
      <c r="DU82" s="106">
        <f t="shared" si="499"/>
        <v>0</v>
      </c>
      <c r="DV82" s="106"/>
      <c r="DW82" s="106">
        <f>+PMGR!DW82+BP!DW82</f>
        <v>0</v>
      </c>
      <c r="DX82" s="106">
        <f>+PMGR!DX82+BP!DX82</f>
        <v>0</v>
      </c>
      <c r="DY82" s="106">
        <f>+PMGR!DY82+BP!DY82</f>
        <v>0</v>
      </c>
      <c r="DZ82" s="106">
        <f>+PMGR!DZ82+BP!DZ82</f>
        <v>0</v>
      </c>
      <c r="EA82" s="106">
        <f>+PMGR!EA82+BP!EA82</f>
        <v>0</v>
      </c>
      <c r="EB82" s="106">
        <f>+PMGR!EB82+BP!EB82</f>
        <v>0</v>
      </c>
      <c r="EC82" s="106">
        <f>+PMGR!EC82+BP!EC82</f>
        <v>0</v>
      </c>
      <c r="ED82" s="106">
        <f>+PMGR!ED82+BP!ED82</f>
        <v>0</v>
      </c>
      <c r="EE82" s="106">
        <f>+PMGR!EE82+BP!EE82</f>
        <v>0</v>
      </c>
      <c r="EF82" s="106">
        <f>+PMGR!EF82+BP!EF82</f>
        <v>0</v>
      </c>
      <c r="EG82" s="106">
        <f>+PMGR!EG82+BP!EG82</f>
        <v>0</v>
      </c>
      <c r="EH82" s="106">
        <f>+PMGR!EH82+BP!EH82</f>
        <v>0</v>
      </c>
      <c r="EI82" s="106">
        <f t="shared" si="500"/>
        <v>0</v>
      </c>
      <c r="EJ82" s="16" t="str">
        <f t="shared" si="457"/>
        <v>Discount Insurance</v>
      </c>
      <c r="EK82" s="106">
        <f>+PMGR!EK82+BP!EK82</f>
        <v>0</v>
      </c>
      <c r="EL82" s="106">
        <f>+PMGR!EL82+BP!EL82</f>
        <v>0</v>
      </c>
      <c r="EM82" s="106">
        <f>+PMGR!EM82+BP!EM82</f>
        <v>0</v>
      </c>
      <c r="EN82" s="106">
        <f>+PMGR!EN82+BP!EN82</f>
        <v>0</v>
      </c>
      <c r="EO82" s="106">
        <f>+PMGR!EO82+BP!EO82</f>
        <v>0</v>
      </c>
      <c r="EP82" s="106">
        <f>+PMGR!EP82+BP!EP82</f>
        <v>0</v>
      </c>
      <c r="EQ82" s="106">
        <f>+PMGR!EQ82+BP!EQ82</f>
        <v>0</v>
      </c>
      <c r="ER82" s="106">
        <f>+PMGR!ER82+BP!ER82</f>
        <v>0</v>
      </c>
      <c r="ES82" s="106">
        <f>+PMGR!ES82+BP!ES82</f>
        <v>0</v>
      </c>
      <c r="ET82" s="106">
        <f>+PMGR!ET82+BP!ET82</f>
        <v>0</v>
      </c>
      <c r="EU82" s="106">
        <f>+PMGR!EU82+BP!EU82</f>
        <v>0</v>
      </c>
      <c r="EV82" s="106">
        <f>+PMGR!EV82+BP!EV82</f>
        <v>0</v>
      </c>
      <c r="EW82" s="106">
        <f t="shared" si="501"/>
        <v>0</v>
      </c>
      <c r="EX82" s="118"/>
      <c r="EY82" s="106">
        <f>+PMGR!EY82+BP!EY82</f>
        <v>0</v>
      </c>
      <c r="EZ82" s="106">
        <f>+PMGR!EZ82+BP!EZ82</f>
        <v>0</v>
      </c>
      <c r="FA82" s="106">
        <f>+PMGR!FA82+BP!FA82</f>
        <v>0</v>
      </c>
      <c r="FB82" s="106">
        <f>+PMGR!FB82+BP!FB82</f>
        <v>0</v>
      </c>
      <c r="FC82" s="106">
        <f>+PMGR!FC82+BP!FC82</f>
        <v>0</v>
      </c>
      <c r="FD82" s="106">
        <f>+PMGR!FD82+BP!FD82</f>
        <v>0</v>
      </c>
      <c r="FE82" s="106">
        <f>+PMGR!FE82+BP!FE82</f>
        <v>0</v>
      </c>
      <c r="FF82" s="106">
        <f>+PMGR!FF82+BP!FF82</f>
        <v>0</v>
      </c>
      <c r="FG82" s="106">
        <f>+PMGR!FG82+BP!FG82</f>
        <v>0</v>
      </c>
      <c r="FH82" s="106">
        <f>+PMGR!FH82+BP!FH82</f>
        <v>0</v>
      </c>
      <c r="FI82" s="106">
        <f>+PMGR!FI82+BP!FI82</f>
        <v>0</v>
      </c>
      <c r="FJ82" s="106">
        <f>+PMGR!FJ82+BP!FJ82</f>
        <v>0</v>
      </c>
      <c r="FK82" s="106">
        <f t="shared" si="502"/>
        <v>0</v>
      </c>
    </row>
    <row r="83" spans="1:167" ht="14.45" hidden="1" customHeight="1" outlineLevel="2">
      <c r="A83" s="106">
        <f t="shared" si="491"/>
        <v>0</v>
      </c>
      <c r="B83" s="106">
        <f t="shared" si="491"/>
        <v>0</v>
      </c>
      <c r="C83" s="106">
        <f t="shared" si="491"/>
        <v>0</v>
      </c>
      <c r="D83" s="106">
        <f t="shared" si="491"/>
        <v>0</v>
      </c>
      <c r="E83" s="106">
        <f t="shared" si="491"/>
        <v>0</v>
      </c>
      <c r="F83" s="106">
        <f t="shared" si="491"/>
        <v>0</v>
      </c>
      <c r="G83" s="106">
        <f t="shared" si="491"/>
        <v>0</v>
      </c>
      <c r="H83" s="106">
        <f t="shared" si="491"/>
        <v>0</v>
      </c>
      <c r="I83" s="106">
        <f t="shared" si="491"/>
        <v>0</v>
      </c>
      <c r="J83" s="106">
        <f t="shared" si="491"/>
        <v>0</v>
      </c>
      <c r="K83" s="106">
        <f t="shared" si="491"/>
        <v>0</v>
      </c>
      <c r="L83" s="106">
        <f t="shared" si="491"/>
        <v>0</v>
      </c>
      <c r="M83" s="106">
        <f t="shared" si="503"/>
        <v>0</v>
      </c>
      <c r="N83" s="16" t="s">
        <v>67</v>
      </c>
      <c r="O83" s="106">
        <f t="shared" si="504"/>
        <v>0</v>
      </c>
      <c r="P83" s="106">
        <f t="shared" si="492"/>
        <v>0</v>
      </c>
      <c r="Q83" s="106">
        <f t="shared" si="492"/>
        <v>0</v>
      </c>
      <c r="R83" s="106">
        <f t="shared" si="492"/>
        <v>0</v>
      </c>
      <c r="S83" s="106">
        <f t="shared" si="492"/>
        <v>0</v>
      </c>
      <c r="T83" s="106">
        <f t="shared" si="492"/>
        <v>0</v>
      </c>
      <c r="U83" s="106">
        <f t="shared" si="492"/>
        <v>0</v>
      </c>
      <c r="V83" s="106">
        <f t="shared" si="492"/>
        <v>0</v>
      </c>
      <c r="W83" s="106">
        <f t="shared" si="492"/>
        <v>0</v>
      </c>
      <c r="X83" s="106">
        <f t="shared" si="492"/>
        <v>0</v>
      </c>
      <c r="Y83" s="106">
        <f t="shared" si="492"/>
        <v>0</v>
      </c>
      <c r="Z83" s="106">
        <f t="shared" si="492"/>
        <v>0</v>
      </c>
      <c r="AA83" s="106">
        <f t="shared" si="505"/>
        <v>0</v>
      </c>
      <c r="AB83" s="118"/>
      <c r="AC83" s="106">
        <f t="shared" si="506"/>
        <v>0</v>
      </c>
      <c r="AD83" s="106">
        <f t="shared" si="493"/>
        <v>0</v>
      </c>
      <c r="AE83" s="106">
        <f t="shared" si="493"/>
        <v>0</v>
      </c>
      <c r="AF83" s="106">
        <f t="shared" si="493"/>
        <v>0</v>
      </c>
      <c r="AG83" s="106">
        <f t="shared" si="493"/>
        <v>0</v>
      </c>
      <c r="AH83" s="106">
        <f t="shared" si="493"/>
        <v>0</v>
      </c>
      <c r="AI83" s="106">
        <f t="shared" si="493"/>
        <v>0</v>
      </c>
      <c r="AJ83" s="106">
        <f t="shared" si="493"/>
        <v>0</v>
      </c>
      <c r="AK83" s="106">
        <f t="shared" si="493"/>
        <v>0</v>
      </c>
      <c r="AL83" s="106">
        <f t="shared" si="493"/>
        <v>0</v>
      </c>
      <c r="AM83" s="106">
        <f t="shared" si="493"/>
        <v>0</v>
      </c>
      <c r="AN83" s="106">
        <f t="shared" si="493"/>
        <v>0</v>
      </c>
      <c r="AO83" s="106">
        <f t="shared" si="507"/>
        <v>0</v>
      </c>
      <c r="AP83" s="106"/>
      <c r="AQ83" s="106">
        <f>+PMGR!AQ83+BP!AQ83</f>
        <v>0</v>
      </c>
      <c r="AR83" s="106">
        <f>+PMGR!AR83+BP!AR83</f>
        <v>0</v>
      </c>
      <c r="AS83" s="106">
        <f>+PMGR!AS83+BP!AS83</f>
        <v>0</v>
      </c>
      <c r="AT83" s="106">
        <f>+PMGR!AT83+BP!AT83</f>
        <v>0</v>
      </c>
      <c r="AU83" s="106">
        <f>+PMGR!AU83+BP!AU83</f>
        <v>0</v>
      </c>
      <c r="AV83" s="106">
        <f>+PMGR!AV83+BP!AV83</f>
        <v>0</v>
      </c>
      <c r="AW83" s="106">
        <f>+PMGR!AW83+BP!AW83</f>
        <v>0</v>
      </c>
      <c r="AX83" s="106">
        <f>+PMGR!AX83+BP!AX83</f>
        <v>0</v>
      </c>
      <c r="AY83" s="106">
        <f>+PMGR!AY83+BP!AY83</f>
        <v>0</v>
      </c>
      <c r="AZ83" s="106">
        <f>+PMGR!AZ83+BP!AZ83</f>
        <v>0</v>
      </c>
      <c r="BA83" s="106">
        <f>+PMGR!BA83+BP!BA83</f>
        <v>0</v>
      </c>
      <c r="BB83" s="106">
        <f>+PMGR!BB83+BP!BB83</f>
        <v>0</v>
      </c>
      <c r="BC83" s="106">
        <f t="shared" si="494"/>
        <v>0</v>
      </c>
      <c r="BD83" s="16" t="str">
        <f t="shared" si="405"/>
        <v>Discount New Car</v>
      </c>
      <c r="BE83" s="106">
        <f>+PMGR!BE83+BP!BE83</f>
        <v>0</v>
      </c>
      <c r="BF83" s="106">
        <f>+PMGR!BF83+BP!BF83</f>
        <v>0</v>
      </c>
      <c r="BG83" s="106">
        <f>+PMGR!BG83+BP!BG83</f>
        <v>0</v>
      </c>
      <c r="BH83" s="106">
        <f>+PMGR!BH83+BP!BH83</f>
        <v>0</v>
      </c>
      <c r="BI83" s="106">
        <f>+PMGR!BI83+BP!BI83</f>
        <v>0</v>
      </c>
      <c r="BJ83" s="106">
        <f>+PMGR!BJ83+BP!BJ83</f>
        <v>0</v>
      </c>
      <c r="BK83" s="106">
        <f>+PMGR!BK83+BP!BK83</f>
        <v>0</v>
      </c>
      <c r="BL83" s="106">
        <f>+PMGR!BL83+BP!BL83</f>
        <v>0</v>
      </c>
      <c r="BM83" s="106">
        <f>+PMGR!BM83+BP!BM83</f>
        <v>0</v>
      </c>
      <c r="BN83" s="106">
        <f>+PMGR!BN83+BP!BN83</f>
        <v>0</v>
      </c>
      <c r="BO83" s="106">
        <f>+PMGR!BO83+BP!BO83</f>
        <v>0</v>
      </c>
      <c r="BP83" s="106">
        <f>+PMGR!BP83+BP!BP83</f>
        <v>0</v>
      </c>
      <c r="BQ83" s="106">
        <f t="shared" si="495"/>
        <v>0</v>
      </c>
      <c r="BR83" s="118"/>
      <c r="BS83" s="106">
        <f>+PMGR!BS83+BP!BS83</f>
        <v>0</v>
      </c>
      <c r="BT83" s="106">
        <f>+PMGR!BT83+BP!BT83</f>
        <v>0</v>
      </c>
      <c r="BU83" s="106">
        <f>+PMGR!BU83+BP!BU83</f>
        <v>0</v>
      </c>
      <c r="BV83" s="106">
        <f>+PMGR!BV83+BP!BV83</f>
        <v>0</v>
      </c>
      <c r="BW83" s="106">
        <f>+PMGR!BW83+BP!BW83</f>
        <v>0</v>
      </c>
      <c r="BX83" s="106">
        <f>+PMGR!BX83+BP!BX83</f>
        <v>0</v>
      </c>
      <c r="BY83" s="106">
        <f>+PMGR!BY83+BP!BY83</f>
        <v>0</v>
      </c>
      <c r="BZ83" s="106">
        <f>+PMGR!BZ83+BP!BZ83</f>
        <v>0</v>
      </c>
      <c r="CA83" s="106">
        <f>+PMGR!CA83+BP!CA83</f>
        <v>0</v>
      </c>
      <c r="CB83" s="106">
        <f>+PMGR!CB83+BP!CB83</f>
        <v>0</v>
      </c>
      <c r="CC83" s="106">
        <f>+PMGR!CC83+BP!CC83</f>
        <v>0</v>
      </c>
      <c r="CD83" s="106">
        <f>+PMGR!CD83+BP!CD83</f>
        <v>0</v>
      </c>
      <c r="CE83" s="106">
        <f t="shared" si="496"/>
        <v>0</v>
      </c>
      <c r="CF83" s="106"/>
      <c r="CG83" s="106">
        <f>+PMGR!CG83+BP!CG83</f>
        <v>0</v>
      </c>
      <c r="CH83" s="106">
        <f>+PMGR!CH83+BP!CH83</f>
        <v>0</v>
      </c>
      <c r="CI83" s="106">
        <f>+PMGR!CI83+BP!CI83</f>
        <v>0</v>
      </c>
      <c r="CJ83" s="106">
        <f>+PMGR!CJ83+BP!CJ83</f>
        <v>0</v>
      </c>
      <c r="CK83" s="106">
        <f>+PMGR!CK83+BP!CK83</f>
        <v>0</v>
      </c>
      <c r="CL83" s="106">
        <f>+PMGR!CL83+BP!CL83</f>
        <v>0</v>
      </c>
      <c r="CM83" s="106">
        <f>+PMGR!CM83+BP!CM83</f>
        <v>0</v>
      </c>
      <c r="CN83" s="106">
        <f>+PMGR!CN83+BP!CN83</f>
        <v>0</v>
      </c>
      <c r="CO83" s="106">
        <f>+PMGR!CO83+BP!CO83</f>
        <v>0</v>
      </c>
      <c r="CP83" s="106">
        <f>+PMGR!CP83+BP!CP83</f>
        <v>0</v>
      </c>
      <c r="CQ83" s="106">
        <f>+PMGR!CQ83+BP!CQ83</f>
        <v>0</v>
      </c>
      <c r="CR83" s="106">
        <f>+PMGR!CR83+BP!CR83</f>
        <v>0</v>
      </c>
      <c r="CS83" s="106">
        <f t="shared" si="497"/>
        <v>0</v>
      </c>
      <c r="CT83" s="16" t="str">
        <f t="shared" si="409"/>
        <v>Discount New Car</v>
      </c>
      <c r="CU83" s="106">
        <f>+PMGR!CU83+BP!CU83</f>
        <v>0</v>
      </c>
      <c r="CV83" s="106">
        <f>+PMGR!CV83+BP!CV83</f>
        <v>0</v>
      </c>
      <c r="CW83" s="106">
        <f>+PMGR!CW83+BP!CW83</f>
        <v>0</v>
      </c>
      <c r="CX83" s="106">
        <f>+PMGR!CX83+BP!CX83</f>
        <v>0</v>
      </c>
      <c r="CY83" s="106">
        <f>+PMGR!CY83+BP!CY83</f>
        <v>0</v>
      </c>
      <c r="CZ83" s="106">
        <f>+PMGR!CZ83+BP!CZ83</f>
        <v>0</v>
      </c>
      <c r="DA83" s="106">
        <f>+PMGR!DA83+BP!DA83</f>
        <v>0</v>
      </c>
      <c r="DB83" s="106">
        <f>+PMGR!DB83+BP!DB83</f>
        <v>0</v>
      </c>
      <c r="DC83" s="106">
        <f>+PMGR!DC83+BP!DC83</f>
        <v>0</v>
      </c>
      <c r="DD83" s="106">
        <f>+PMGR!DD83+BP!DD83</f>
        <v>0</v>
      </c>
      <c r="DE83" s="106">
        <f>+PMGR!DE83+BP!DE83</f>
        <v>0</v>
      </c>
      <c r="DF83" s="106">
        <f>+PMGR!DF83+BP!DF83</f>
        <v>0</v>
      </c>
      <c r="DG83" s="106">
        <f t="shared" si="498"/>
        <v>0</v>
      </c>
      <c r="DH83" s="118"/>
      <c r="DI83" s="106">
        <f>+PMGR!DI83+BP!DI83</f>
        <v>0</v>
      </c>
      <c r="DJ83" s="106">
        <f>+PMGR!DJ83+BP!DJ83</f>
        <v>0</v>
      </c>
      <c r="DK83" s="106">
        <f>+PMGR!DK83+BP!DK83</f>
        <v>0</v>
      </c>
      <c r="DL83" s="106">
        <f>+PMGR!DL83+BP!DL83</f>
        <v>0</v>
      </c>
      <c r="DM83" s="106">
        <f>+PMGR!DM83+BP!DM83</f>
        <v>0</v>
      </c>
      <c r="DN83" s="106">
        <f>+PMGR!DN83+BP!DN83</f>
        <v>0</v>
      </c>
      <c r="DO83" s="106">
        <f>+PMGR!DO83+BP!DO83</f>
        <v>0</v>
      </c>
      <c r="DP83" s="106">
        <f>+PMGR!DP83+BP!DP83</f>
        <v>0</v>
      </c>
      <c r="DQ83" s="106">
        <f>+PMGR!DQ83+BP!DQ83</f>
        <v>0</v>
      </c>
      <c r="DR83" s="106">
        <f>+PMGR!DR83+BP!DR83</f>
        <v>0</v>
      </c>
      <c r="DS83" s="106">
        <f>+PMGR!DS83+BP!DS83</f>
        <v>0</v>
      </c>
      <c r="DT83" s="106">
        <f>+PMGR!DT83+BP!DT83</f>
        <v>0</v>
      </c>
      <c r="DU83" s="106">
        <f t="shared" si="499"/>
        <v>0</v>
      </c>
      <c r="DV83" s="106"/>
      <c r="DW83" s="106">
        <f>+PMGR!DW83+BP!DW83</f>
        <v>0</v>
      </c>
      <c r="DX83" s="106">
        <f>+PMGR!DX83+BP!DX83</f>
        <v>0</v>
      </c>
      <c r="DY83" s="106">
        <f>+PMGR!DY83+BP!DY83</f>
        <v>0</v>
      </c>
      <c r="DZ83" s="106">
        <f>+PMGR!DZ83+BP!DZ83</f>
        <v>0</v>
      </c>
      <c r="EA83" s="106">
        <f>+PMGR!EA83+BP!EA83</f>
        <v>0</v>
      </c>
      <c r="EB83" s="106">
        <f>+PMGR!EB83+BP!EB83</f>
        <v>0</v>
      </c>
      <c r="EC83" s="106">
        <f>+PMGR!EC83+BP!EC83</f>
        <v>0</v>
      </c>
      <c r="ED83" s="106">
        <f>+PMGR!ED83+BP!ED83</f>
        <v>0</v>
      </c>
      <c r="EE83" s="106">
        <f>+PMGR!EE83+BP!EE83</f>
        <v>0</v>
      </c>
      <c r="EF83" s="106">
        <f>+PMGR!EF83+BP!EF83</f>
        <v>0</v>
      </c>
      <c r="EG83" s="106">
        <f>+PMGR!EG83+BP!EG83</f>
        <v>0</v>
      </c>
      <c r="EH83" s="106">
        <f>+PMGR!EH83+BP!EH83</f>
        <v>0</v>
      </c>
      <c r="EI83" s="106">
        <f t="shared" si="500"/>
        <v>0</v>
      </c>
      <c r="EJ83" s="16" t="str">
        <f t="shared" si="457"/>
        <v>Discount New Car</v>
      </c>
      <c r="EK83" s="106">
        <f>+PMGR!EK83+BP!EK83</f>
        <v>0</v>
      </c>
      <c r="EL83" s="106">
        <f>+PMGR!EL83+BP!EL83</f>
        <v>0</v>
      </c>
      <c r="EM83" s="106">
        <f>+PMGR!EM83+BP!EM83</f>
        <v>0</v>
      </c>
      <c r="EN83" s="106">
        <f>+PMGR!EN83+BP!EN83</f>
        <v>0</v>
      </c>
      <c r="EO83" s="106">
        <f>+PMGR!EO83+BP!EO83</f>
        <v>0</v>
      </c>
      <c r="EP83" s="106">
        <f>+PMGR!EP83+BP!EP83</f>
        <v>0</v>
      </c>
      <c r="EQ83" s="106">
        <f>+PMGR!EQ83+BP!EQ83</f>
        <v>0</v>
      </c>
      <c r="ER83" s="106">
        <f>+PMGR!ER83+BP!ER83</f>
        <v>0</v>
      </c>
      <c r="ES83" s="106">
        <f>+PMGR!ES83+BP!ES83</f>
        <v>0</v>
      </c>
      <c r="ET83" s="106">
        <f>+PMGR!ET83+BP!ET83</f>
        <v>0</v>
      </c>
      <c r="EU83" s="106">
        <f>+PMGR!EU83+BP!EU83</f>
        <v>0</v>
      </c>
      <c r="EV83" s="106">
        <f>+PMGR!EV83+BP!EV83</f>
        <v>0</v>
      </c>
      <c r="EW83" s="106">
        <f t="shared" si="501"/>
        <v>0</v>
      </c>
      <c r="EX83" s="118"/>
      <c r="EY83" s="106">
        <f>+PMGR!EY83+BP!EY83</f>
        <v>0</v>
      </c>
      <c r="EZ83" s="106">
        <f>+PMGR!EZ83+BP!EZ83</f>
        <v>0</v>
      </c>
      <c r="FA83" s="106">
        <f>+PMGR!FA83+BP!FA83</f>
        <v>0</v>
      </c>
      <c r="FB83" s="106">
        <f>+PMGR!FB83+BP!FB83</f>
        <v>0</v>
      </c>
      <c r="FC83" s="106">
        <f>+PMGR!FC83+BP!FC83</f>
        <v>0</v>
      </c>
      <c r="FD83" s="106">
        <f>+PMGR!FD83+BP!FD83</f>
        <v>0</v>
      </c>
      <c r="FE83" s="106">
        <f>+PMGR!FE83+BP!FE83</f>
        <v>0</v>
      </c>
      <c r="FF83" s="106">
        <f>+PMGR!FF83+BP!FF83</f>
        <v>0</v>
      </c>
      <c r="FG83" s="106">
        <f>+PMGR!FG83+BP!FG83</f>
        <v>0</v>
      </c>
      <c r="FH83" s="106">
        <f>+PMGR!FH83+BP!FH83</f>
        <v>0</v>
      </c>
      <c r="FI83" s="106">
        <f>+PMGR!FI83+BP!FI83</f>
        <v>0</v>
      </c>
      <c r="FJ83" s="106">
        <f>+PMGR!FJ83+BP!FJ83</f>
        <v>0</v>
      </c>
      <c r="FK83" s="106">
        <f t="shared" si="502"/>
        <v>0</v>
      </c>
    </row>
    <row r="84" spans="1:167" ht="14.45" hidden="1" customHeight="1" outlineLevel="2">
      <c r="A84" s="106">
        <f t="shared" si="491"/>
        <v>0</v>
      </c>
      <c r="B84" s="106">
        <f t="shared" si="491"/>
        <v>0</v>
      </c>
      <c r="C84" s="106">
        <f t="shared" si="491"/>
        <v>0</v>
      </c>
      <c r="D84" s="106">
        <f t="shared" si="491"/>
        <v>0</v>
      </c>
      <c r="E84" s="106">
        <f t="shared" si="491"/>
        <v>0</v>
      </c>
      <c r="F84" s="106">
        <f t="shared" si="491"/>
        <v>0</v>
      </c>
      <c r="G84" s="106">
        <f t="shared" si="491"/>
        <v>0</v>
      </c>
      <c r="H84" s="106">
        <f t="shared" si="491"/>
        <v>0</v>
      </c>
      <c r="I84" s="106">
        <f t="shared" si="491"/>
        <v>0</v>
      </c>
      <c r="J84" s="106">
        <f t="shared" si="491"/>
        <v>0</v>
      </c>
      <c r="K84" s="106">
        <f t="shared" si="491"/>
        <v>0</v>
      </c>
      <c r="L84" s="106">
        <f t="shared" si="491"/>
        <v>0</v>
      </c>
      <c r="M84" s="106">
        <f t="shared" si="503"/>
        <v>0</v>
      </c>
      <c r="N84" s="16" t="s">
        <v>68</v>
      </c>
      <c r="O84" s="106">
        <f t="shared" si="504"/>
        <v>0</v>
      </c>
      <c r="P84" s="106">
        <f t="shared" si="492"/>
        <v>0</v>
      </c>
      <c r="Q84" s="106">
        <f t="shared" si="492"/>
        <v>0</v>
      </c>
      <c r="R84" s="106">
        <f t="shared" si="492"/>
        <v>0</v>
      </c>
      <c r="S84" s="106">
        <f t="shared" si="492"/>
        <v>0</v>
      </c>
      <c r="T84" s="106">
        <f t="shared" si="492"/>
        <v>0</v>
      </c>
      <c r="U84" s="106">
        <f t="shared" si="492"/>
        <v>0</v>
      </c>
      <c r="V84" s="106">
        <f t="shared" si="492"/>
        <v>0</v>
      </c>
      <c r="W84" s="106">
        <f t="shared" si="492"/>
        <v>0</v>
      </c>
      <c r="X84" s="106">
        <f t="shared" si="492"/>
        <v>0</v>
      </c>
      <c r="Y84" s="106">
        <f t="shared" si="492"/>
        <v>0</v>
      </c>
      <c r="Z84" s="106">
        <f t="shared" si="492"/>
        <v>0</v>
      </c>
      <c r="AA84" s="106">
        <f t="shared" si="505"/>
        <v>0</v>
      </c>
      <c r="AB84" s="118"/>
      <c r="AC84" s="106">
        <f t="shared" si="506"/>
        <v>0</v>
      </c>
      <c r="AD84" s="106">
        <f t="shared" si="493"/>
        <v>0</v>
      </c>
      <c r="AE84" s="106">
        <f t="shared" si="493"/>
        <v>0</v>
      </c>
      <c r="AF84" s="106">
        <f t="shared" si="493"/>
        <v>0</v>
      </c>
      <c r="AG84" s="106">
        <f t="shared" si="493"/>
        <v>0</v>
      </c>
      <c r="AH84" s="106">
        <f t="shared" si="493"/>
        <v>0</v>
      </c>
      <c r="AI84" s="106">
        <f t="shared" si="493"/>
        <v>0</v>
      </c>
      <c r="AJ84" s="106">
        <f t="shared" si="493"/>
        <v>0</v>
      </c>
      <c r="AK84" s="106">
        <f t="shared" si="493"/>
        <v>0</v>
      </c>
      <c r="AL84" s="106">
        <f t="shared" si="493"/>
        <v>0</v>
      </c>
      <c r="AM84" s="106">
        <f t="shared" si="493"/>
        <v>0</v>
      </c>
      <c r="AN84" s="106">
        <f t="shared" si="493"/>
        <v>0</v>
      </c>
      <c r="AO84" s="106">
        <f t="shared" si="507"/>
        <v>0</v>
      </c>
      <c r="AP84" s="106"/>
      <c r="AQ84" s="106">
        <f>+PMGR!AQ84+BP!AQ84</f>
        <v>0</v>
      </c>
      <c r="AR84" s="106">
        <f>+PMGR!AR84+BP!AR84</f>
        <v>0</v>
      </c>
      <c r="AS84" s="106">
        <f>+PMGR!AS84+BP!AS84</f>
        <v>0</v>
      </c>
      <c r="AT84" s="106">
        <f>+PMGR!AT84+BP!AT84</f>
        <v>0</v>
      </c>
      <c r="AU84" s="106">
        <f>+PMGR!AU84+BP!AU84</f>
        <v>0</v>
      </c>
      <c r="AV84" s="106">
        <f>+PMGR!AV84+BP!AV84</f>
        <v>0</v>
      </c>
      <c r="AW84" s="106">
        <f>+PMGR!AW84+BP!AW84</f>
        <v>0</v>
      </c>
      <c r="AX84" s="106">
        <f>+PMGR!AX84+BP!AX84</f>
        <v>0</v>
      </c>
      <c r="AY84" s="106">
        <f>+PMGR!AY84+BP!AY84</f>
        <v>0</v>
      </c>
      <c r="AZ84" s="106">
        <f>+PMGR!AZ84+BP!AZ84</f>
        <v>0</v>
      </c>
      <c r="BA84" s="106">
        <f>+PMGR!BA84+BP!BA84</f>
        <v>0</v>
      </c>
      <c r="BB84" s="106">
        <f>+PMGR!BB84+BP!BB84</f>
        <v>0</v>
      </c>
      <c r="BC84" s="106">
        <f t="shared" si="494"/>
        <v>0</v>
      </c>
      <c r="BD84" s="16" t="str">
        <f t="shared" si="405"/>
        <v>Display Vehicle Expenses</v>
      </c>
      <c r="BE84" s="106">
        <f>+PMGR!BE84+BP!BE84</f>
        <v>0</v>
      </c>
      <c r="BF84" s="106">
        <f>+PMGR!BF84+BP!BF84</f>
        <v>0</v>
      </c>
      <c r="BG84" s="106">
        <f>+PMGR!BG84+BP!BG84</f>
        <v>0</v>
      </c>
      <c r="BH84" s="106">
        <f>+PMGR!BH84+BP!BH84</f>
        <v>0</v>
      </c>
      <c r="BI84" s="106">
        <f>+PMGR!BI84+BP!BI84</f>
        <v>0</v>
      </c>
      <c r="BJ84" s="106">
        <f>+PMGR!BJ84+BP!BJ84</f>
        <v>0</v>
      </c>
      <c r="BK84" s="106">
        <f>+PMGR!BK84+BP!BK84</f>
        <v>0</v>
      </c>
      <c r="BL84" s="106">
        <f>+PMGR!BL84+BP!BL84</f>
        <v>0</v>
      </c>
      <c r="BM84" s="106">
        <f>+PMGR!BM84+BP!BM84</f>
        <v>0</v>
      </c>
      <c r="BN84" s="106">
        <f>+PMGR!BN84+BP!BN84</f>
        <v>0</v>
      </c>
      <c r="BO84" s="106">
        <f>+PMGR!BO84+BP!BO84</f>
        <v>0</v>
      </c>
      <c r="BP84" s="106">
        <f>+PMGR!BP84+BP!BP84</f>
        <v>0</v>
      </c>
      <c r="BQ84" s="106">
        <f t="shared" si="495"/>
        <v>0</v>
      </c>
      <c r="BR84" s="118"/>
      <c r="BS84" s="106">
        <f>+PMGR!BS84+BP!BS84</f>
        <v>0</v>
      </c>
      <c r="BT84" s="106">
        <f>+PMGR!BT84+BP!BT84</f>
        <v>0</v>
      </c>
      <c r="BU84" s="106">
        <f>+PMGR!BU84+BP!BU84</f>
        <v>0</v>
      </c>
      <c r="BV84" s="106">
        <f>+PMGR!BV84+BP!BV84</f>
        <v>0</v>
      </c>
      <c r="BW84" s="106">
        <f>+PMGR!BW84+BP!BW84</f>
        <v>0</v>
      </c>
      <c r="BX84" s="106">
        <f>+PMGR!BX84+BP!BX84</f>
        <v>0</v>
      </c>
      <c r="BY84" s="106">
        <f>+PMGR!BY84+BP!BY84</f>
        <v>0</v>
      </c>
      <c r="BZ84" s="106">
        <f>+PMGR!BZ84+BP!BZ84</f>
        <v>0</v>
      </c>
      <c r="CA84" s="106">
        <f>+PMGR!CA84+BP!CA84</f>
        <v>0</v>
      </c>
      <c r="CB84" s="106">
        <f>+PMGR!CB84+BP!CB84</f>
        <v>0</v>
      </c>
      <c r="CC84" s="106">
        <f>+PMGR!CC84+BP!CC84</f>
        <v>0</v>
      </c>
      <c r="CD84" s="106">
        <f>+PMGR!CD84+BP!CD84</f>
        <v>0</v>
      </c>
      <c r="CE84" s="106">
        <f t="shared" si="496"/>
        <v>0</v>
      </c>
      <c r="CF84" s="106"/>
      <c r="CG84" s="106">
        <f>+PMGR!CG84+BP!CG84</f>
        <v>0</v>
      </c>
      <c r="CH84" s="106">
        <f>+PMGR!CH84+BP!CH84</f>
        <v>0</v>
      </c>
      <c r="CI84" s="106">
        <f>+PMGR!CI84+BP!CI84</f>
        <v>0</v>
      </c>
      <c r="CJ84" s="106">
        <f>+PMGR!CJ84+BP!CJ84</f>
        <v>0</v>
      </c>
      <c r="CK84" s="106">
        <f>+PMGR!CK84+BP!CK84</f>
        <v>0</v>
      </c>
      <c r="CL84" s="106">
        <f>+PMGR!CL84+BP!CL84</f>
        <v>0</v>
      </c>
      <c r="CM84" s="106">
        <f>+PMGR!CM84+BP!CM84</f>
        <v>0</v>
      </c>
      <c r="CN84" s="106">
        <f>+PMGR!CN84+BP!CN84</f>
        <v>0</v>
      </c>
      <c r="CO84" s="106">
        <f>+PMGR!CO84+BP!CO84</f>
        <v>0</v>
      </c>
      <c r="CP84" s="106">
        <f>+PMGR!CP84+BP!CP84</f>
        <v>0</v>
      </c>
      <c r="CQ84" s="106">
        <f>+PMGR!CQ84+BP!CQ84</f>
        <v>0</v>
      </c>
      <c r="CR84" s="106">
        <f>+PMGR!CR84+BP!CR84</f>
        <v>0</v>
      </c>
      <c r="CS84" s="106">
        <f t="shared" si="497"/>
        <v>0</v>
      </c>
      <c r="CT84" s="16" t="str">
        <f t="shared" si="409"/>
        <v>Display Vehicle Expenses</v>
      </c>
      <c r="CU84" s="106">
        <f>+PMGR!CU84+BP!CU84</f>
        <v>0</v>
      </c>
      <c r="CV84" s="106">
        <f>+PMGR!CV84+BP!CV84</f>
        <v>0</v>
      </c>
      <c r="CW84" s="106">
        <f>+PMGR!CW84+BP!CW84</f>
        <v>0</v>
      </c>
      <c r="CX84" s="106">
        <f>+PMGR!CX84+BP!CX84</f>
        <v>0</v>
      </c>
      <c r="CY84" s="106">
        <f>+PMGR!CY84+BP!CY84</f>
        <v>0</v>
      </c>
      <c r="CZ84" s="106">
        <f>+PMGR!CZ84+BP!CZ84</f>
        <v>0</v>
      </c>
      <c r="DA84" s="106">
        <f>+PMGR!DA84+BP!DA84</f>
        <v>0</v>
      </c>
      <c r="DB84" s="106">
        <f>+PMGR!DB84+BP!DB84</f>
        <v>0</v>
      </c>
      <c r="DC84" s="106">
        <f>+PMGR!DC84+BP!DC84</f>
        <v>0</v>
      </c>
      <c r="DD84" s="106">
        <f>+PMGR!DD84+BP!DD84</f>
        <v>0</v>
      </c>
      <c r="DE84" s="106">
        <f>+PMGR!DE84+BP!DE84</f>
        <v>0</v>
      </c>
      <c r="DF84" s="106">
        <f>+PMGR!DF84+BP!DF84</f>
        <v>0</v>
      </c>
      <c r="DG84" s="106">
        <f t="shared" si="498"/>
        <v>0</v>
      </c>
      <c r="DH84" s="118"/>
      <c r="DI84" s="106">
        <f>+PMGR!DI84+BP!DI84</f>
        <v>0</v>
      </c>
      <c r="DJ84" s="106">
        <f>+PMGR!DJ84+BP!DJ84</f>
        <v>0</v>
      </c>
      <c r="DK84" s="106">
        <f>+PMGR!DK84+BP!DK84</f>
        <v>0</v>
      </c>
      <c r="DL84" s="106">
        <f>+PMGR!DL84+BP!DL84</f>
        <v>0</v>
      </c>
      <c r="DM84" s="106">
        <f>+PMGR!DM84+BP!DM84</f>
        <v>0</v>
      </c>
      <c r="DN84" s="106">
        <f>+PMGR!DN84+BP!DN84</f>
        <v>0</v>
      </c>
      <c r="DO84" s="106">
        <f>+PMGR!DO84+BP!DO84</f>
        <v>0</v>
      </c>
      <c r="DP84" s="106">
        <f>+PMGR!DP84+BP!DP84</f>
        <v>0</v>
      </c>
      <c r="DQ84" s="106">
        <f>+PMGR!DQ84+BP!DQ84</f>
        <v>0</v>
      </c>
      <c r="DR84" s="106">
        <f>+PMGR!DR84+BP!DR84</f>
        <v>0</v>
      </c>
      <c r="DS84" s="106">
        <f>+PMGR!DS84+BP!DS84</f>
        <v>0</v>
      </c>
      <c r="DT84" s="106">
        <f>+PMGR!DT84+BP!DT84</f>
        <v>0</v>
      </c>
      <c r="DU84" s="106">
        <f t="shared" si="499"/>
        <v>0</v>
      </c>
      <c r="DV84" s="106"/>
      <c r="DW84" s="106">
        <f>+PMGR!DW84+BP!DW84</f>
        <v>0</v>
      </c>
      <c r="DX84" s="106">
        <f>+PMGR!DX84+BP!DX84</f>
        <v>0</v>
      </c>
      <c r="DY84" s="106">
        <f>+PMGR!DY84+BP!DY84</f>
        <v>0</v>
      </c>
      <c r="DZ84" s="106">
        <f>+PMGR!DZ84+BP!DZ84</f>
        <v>0</v>
      </c>
      <c r="EA84" s="106">
        <f>+PMGR!EA84+BP!EA84</f>
        <v>0</v>
      </c>
      <c r="EB84" s="106">
        <f>+PMGR!EB84+BP!EB84</f>
        <v>0</v>
      </c>
      <c r="EC84" s="106">
        <f>+PMGR!EC84+BP!EC84</f>
        <v>0</v>
      </c>
      <c r="ED84" s="106">
        <f>+PMGR!ED84+BP!ED84</f>
        <v>0</v>
      </c>
      <c r="EE84" s="106">
        <f>+PMGR!EE84+BP!EE84</f>
        <v>0</v>
      </c>
      <c r="EF84" s="106">
        <f>+PMGR!EF84+BP!EF84</f>
        <v>0</v>
      </c>
      <c r="EG84" s="106">
        <f>+PMGR!EG84+BP!EG84</f>
        <v>0</v>
      </c>
      <c r="EH84" s="106">
        <f>+PMGR!EH84+BP!EH84</f>
        <v>0</v>
      </c>
      <c r="EI84" s="106">
        <f t="shared" si="500"/>
        <v>0</v>
      </c>
      <c r="EJ84" s="16" t="str">
        <f t="shared" si="457"/>
        <v>Display Vehicle Expenses</v>
      </c>
      <c r="EK84" s="106">
        <f>+PMGR!EK84+BP!EK84</f>
        <v>0</v>
      </c>
      <c r="EL84" s="106">
        <f>+PMGR!EL84+BP!EL84</f>
        <v>0</v>
      </c>
      <c r="EM84" s="106">
        <f>+PMGR!EM84+BP!EM84</f>
        <v>0</v>
      </c>
      <c r="EN84" s="106">
        <f>+PMGR!EN84+BP!EN84</f>
        <v>0</v>
      </c>
      <c r="EO84" s="106">
        <f>+PMGR!EO84+BP!EO84</f>
        <v>0</v>
      </c>
      <c r="EP84" s="106">
        <f>+PMGR!EP84+BP!EP84</f>
        <v>0</v>
      </c>
      <c r="EQ84" s="106">
        <f>+PMGR!EQ84+BP!EQ84</f>
        <v>0</v>
      </c>
      <c r="ER84" s="106">
        <f>+PMGR!ER84+BP!ER84</f>
        <v>0</v>
      </c>
      <c r="ES84" s="106">
        <f>+PMGR!ES84+BP!ES84</f>
        <v>0</v>
      </c>
      <c r="ET84" s="106">
        <f>+PMGR!ET84+BP!ET84</f>
        <v>0</v>
      </c>
      <c r="EU84" s="106">
        <f>+PMGR!EU84+BP!EU84</f>
        <v>0</v>
      </c>
      <c r="EV84" s="106">
        <f>+PMGR!EV84+BP!EV84</f>
        <v>0</v>
      </c>
      <c r="EW84" s="106">
        <f t="shared" si="501"/>
        <v>0</v>
      </c>
      <c r="EX84" s="118"/>
      <c r="EY84" s="106">
        <f>+PMGR!EY84+BP!EY84</f>
        <v>0</v>
      </c>
      <c r="EZ84" s="106">
        <f>+PMGR!EZ84+BP!EZ84</f>
        <v>0</v>
      </c>
      <c r="FA84" s="106">
        <f>+PMGR!FA84+BP!FA84</f>
        <v>0</v>
      </c>
      <c r="FB84" s="106">
        <f>+PMGR!FB84+BP!FB84</f>
        <v>0</v>
      </c>
      <c r="FC84" s="106">
        <f>+PMGR!FC84+BP!FC84</f>
        <v>0</v>
      </c>
      <c r="FD84" s="106">
        <f>+PMGR!FD84+BP!FD84</f>
        <v>0</v>
      </c>
      <c r="FE84" s="106">
        <f>+PMGR!FE84+BP!FE84</f>
        <v>0</v>
      </c>
      <c r="FF84" s="106">
        <f>+PMGR!FF84+BP!FF84</f>
        <v>0</v>
      </c>
      <c r="FG84" s="106">
        <f>+PMGR!FG84+BP!FG84</f>
        <v>0</v>
      </c>
      <c r="FH84" s="106">
        <f>+PMGR!FH84+BP!FH84</f>
        <v>0</v>
      </c>
      <c r="FI84" s="106">
        <f>+PMGR!FI84+BP!FI84</f>
        <v>0</v>
      </c>
      <c r="FJ84" s="106">
        <f>+PMGR!FJ84+BP!FJ84</f>
        <v>0</v>
      </c>
      <c r="FK84" s="106">
        <f t="shared" si="502"/>
        <v>0</v>
      </c>
    </row>
    <row r="85" spans="1:167" ht="14.45" hidden="1" customHeight="1" outlineLevel="2">
      <c r="A85" s="106">
        <f t="shared" si="491"/>
        <v>0</v>
      </c>
      <c r="B85" s="106">
        <f t="shared" si="491"/>
        <v>0</v>
      </c>
      <c r="C85" s="106">
        <f t="shared" si="491"/>
        <v>0</v>
      </c>
      <c r="D85" s="106">
        <f t="shared" si="491"/>
        <v>0</v>
      </c>
      <c r="E85" s="106">
        <f t="shared" si="491"/>
        <v>0</v>
      </c>
      <c r="F85" s="106">
        <f t="shared" si="491"/>
        <v>0</v>
      </c>
      <c r="G85" s="106">
        <f t="shared" si="491"/>
        <v>0</v>
      </c>
      <c r="H85" s="106">
        <f t="shared" si="491"/>
        <v>0</v>
      </c>
      <c r="I85" s="106">
        <f t="shared" si="491"/>
        <v>0</v>
      </c>
      <c r="J85" s="106">
        <f t="shared" si="491"/>
        <v>0</v>
      </c>
      <c r="K85" s="106">
        <f t="shared" si="491"/>
        <v>0</v>
      </c>
      <c r="L85" s="106">
        <f t="shared" si="491"/>
        <v>0</v>
      </c>
      <c r="M85" s="106">
        <f t="shared" si="503"/>
        <v>0</v>
      </c>
      <c r="N85" s="16" t="s">
        <v>69</v>
      </c>
      <c r="O85" s="106">
        <f t="shared" si="504"/>
        <v>0</v>
      </c>
      <c r="P85" s="106">
        <f t="shared" si="492"/>
        <v>0</v>
      </c>
      <c r="Q85" s="106">
        <f t="shared" si="492"/>
        <v>0</v>
      </c>
      <c r="R85" s="106">
        <f t="shared" si="492"/>
        <v>0</v>
      </c>
      <c r="S85" s="106">
        <f t="shared" si="492"/>
        <v>0</v>
      </c>
      <c r="T85" s="106">
        <f t="shared" si="492"/>
        <v>0</v>
      </c>
      <c r="U85" s="106">
        <f t="shared" si="492"/>
        <v>0</v>
      </c>
      <c r="V85" s="106">
        <f t="shared" si="492"/>
        <v>0</v>
      </c>
      <c r="W85" s="106">
        <f t="shared" si="492"/>
        <v>0</v>
      </c>
      <c r="X85" s="106">
        <f t="shared" si="492"/>
        <v>0</v>
      </c>
      <c r="Y85" s="106">
        <f t="shared" si="492"/>
        <v>0</v>
      </c>
      <c r="Z85" s="106">
        <f t="shared" si="492"/>
        <v>0</v>
      </c>
      <c r="AA85" s="106">
        <f t="shared" si="505"/>
        <v>0</v>
      </c>
      <c r="AB85" s="118"/>
      <c r="AC85" s="106">
        <f t="shared" si="506"/>
        <v>0</v>
      </c>
      <c r="AD85" s="106">
        <f t="shared" si="493"/>
        <v>0</v>
      </c>
      <c r="AE85" s="106">
        <f t="shared" si="493"/>
        <v>0</v>
      </c>
      <c r="AF85" s="106">
        <f t="shared" si="493"/>
        <v>0</v>
      </c>
      <c r="AG85" s="106">
        <f t="shared" si="493"/>
        <v>0</v>
      </c>
      <c r="AH85" s="106">
        <f t="shared" si="493"/>
        <v>0</v>
      </c>
      <c r="AI85" s="106">
        <f t="shared" si="493"/>
        <v>0</v>
      </c>
      <c r="AJ85" s="106">
        <f t="shared" si="493"/>
        <v>0</v>
      </c>
      <c r="AK85" s="106">
        <f t="shared" si="493"/>
        <v>0</v>
      </c>
      <c r="AL85" s="106">
        <f t="shared" si="493"/>
        <v>0</v>
      </c>
      <c r="AM85" s="106">
        <f t="shared" si="493"/>
        <v>0</v>
      </c>
      <c r="AN85" s="106">
        <f t="shared" si="493"/>
        <v>0</v>
      </c>
      <c r="AO85" s="106">
        <f t="shared" si="507"/>
        <v>0</v>
      </c>
      <c r="AP85" s="106"/>
      <c r="AQ85" s="106">
        <f>+PMGR!AQ85+BP!AQ85</f>
        <v>0</v>
      </c>
      <c r="AR85" s="106">
        <f>+PMGR!AR85+BP!AR85</f>
        <v>0</v>
      </c>
      <c r="AS85" s="106">
        <f>+PMGR!AS85+BP!AS85</f>
        <v>0</v>
      </c>
      <c r="AT85" s="106">
        <f>+PMGR!AT85+BP!AT85</f>
        <v>0</v>
      </c>
      <c r="AU85" s="106">
        <f>+PMGR!AU85+BP!AU85</f>
        <v>0</v>
      </c>
      <c r="AV85" s="106">
        <f>+PMGR!AV85+BP!AV85</f>
        <v>0</v>
      </c>
      <c r="AW85" s="106">
        <f>+PMGR!AW85+BP!AW85</f>
        <v>0</v>
      </c>
      <c r="AX85" s="106">
        <f>+PMGR!AX85+BP!AX85</f>
        <v>0</v>
      </c>
      <c r="AY85" s="106">
        <f>+PMGR!AY85+BP!AY85</f>
        <v>0</v>
      </c>
      <c r="AZ85" s="106">
        <f>+PMGR!AZ85+BP!AZ85</f>
        <v>0</v>
      </c>
      <c r="BA85" s="106">
        <f>+PMGR!BA85+BP!BA85</f>
        <v>0</v>
      </c>
      <c r="BB85" s="106">
        <f>+PMGR!BB85+BP!BB85</f>
        <v>0</v>
      </c>
      <c r="BC85" s="106">
        <f t="shared" si="494"/>
        <v>0</v>
      </c>
      <c r="BD85" s="16" t="str">
        <f t="shared" si="405"/>
        <v>Sale Commission (outsiders)</v>
      </c>
      <c r="BE85" s="106">
        <f>+PMGR!BE85+BP!BE85</f>
        <v>0</v>
      </c>
      <c r="BF85" s="106">
        <f>+PMGR!BF85+BP!BF85</f>
        <v>0</v>
      </c>
      <c r="BG85" s="106">
        <f>+PMGR!BG85+BP!BG85</f>
        <v>0</v>
      </c>
      <c r="BH85" s="106">
        <f>+PMGR!BH85+BP!BH85</f>
        <v>0</v>
      </c>
      <c r="BI85" s="106">
        <f>+PMGR!BI85+BP!BI85</f>
        <v>0</v>
      </c>
      <c r="BJ85" s="106">
        <f>+PMGR!BJ85+BP!BJ85</f>
        <v>0</v>
      </c>
      <c r="BK85" s="106">
        <f>+PMGR!BK85+BP!BK85</f>
        <v>0</v>
      </c>
      <c r="BL85" s="106">
        <f>+PMGR!BL85+BP!BL85</f>
        <v>0</v>
      </c>
      <c r="BM85" s="106">
        <f>+PMGR!BM85+BP!BM85</f>
        <v>0</v>
      </c>
      <c r="BN85" s="106">
        <f>+PMGR!BN85+BP!BN85</f>
        <v>0</v>
      </c>
      <c r="BO85" s="106">
        <f>+PMGR!BO85+BP!BO85</f>
        <v>0</v>
      </c>
      <c r="BP85" s="106">
        <f>+PMGR!BP85+BP!BP85</f>
        <v>0</v>
      </c>
      <c r="BQ85" s="106">
        <f t="shared" si="495"/>
        <v>0</v>
      </c>
      <c r="BR85" s="118"/>
      <c r="BS85" s="106">
        <f>+PMGR!BS85+BP!BS85</f>
        <v>0</v>
      </c>
      <c r="BT85" s="106">
        <f>+PMGR!BT85+BP!BT85</f>
        <v>0</v>
      </c>
      <c r="BU85" s="106">
        <f>+PMGR!BU85+BP!BU85</f>
        <v>0</v>
      </c>
      <c r="BV85" s="106">
        <f>+PMGR!BV85+BP!BV85</f>
        <v>0</v>
      </c>
      <c r="BW85" s="106">
        <f>+PMGR!BW85+BP!BW85</f>
        <v>0</v>
      </c>
      <c r="BX85" s="106">
        <f>+PMGR!BX85+BP!BX85</f>
        <v>0</v>
      </c>
      <c r="BY85" s="106">
        <f>+PMGR!BY85+BP!BY85</f>
        <v>0</v>
      </c>
      <c r="BZ85" s="106">
        <f>+PMGR!BZ85+BP!BZ85</f>
        <v>0</v>
      </c>
      <c r="CA85" s="106">
        <f>+PMGR!CA85+BP!CA85</f>
        <v>0</v>
      </c>
      <c r="CB85" s="106">
        <f>+PMGR!CB85+BP!CB85</f>
        <v>0</v>
      </c>
      <c r="CC85" s="106">
        <f>+PMGR!CC85+BP!CC85</f>
        <v>0</v>
      </c>
      <c r="CD85" s="106">
        <f>+PMGR!CD85+BP!CD85</f>
        <v>0</v>
      </c>
      <c r="CE85" s="106">
        <f t="shared" si="496"/>
        <v>0</v>
      </c>
      <c r="CF85" s="106"/>
      <c r="CG85" s="106">
        <f>+PMGR!CG85+BP!CG85</f>
        <v>0</v>
      </c>
      <c r="CH85" s="106">
        <f>+PMGR!CH85+BP!CH85</f>
        <v>0</v>
      </c>
      <c r="CI85" s="106">
        <f>+PMGR!CI85+BP!CI85</f>
        <v>0</v>
      </c>
      <c r="CJ85" s="106">
        <f>+PMGR!CJ85+BP!CJ85</f>
        <v>0</v>
      </c>
      <c r="CK85" s="106">
        <f>+PMGR!CK85+BP!CK85</f>
        <v>0</v>
      </c>
      <c r="CL85" s="106">
        <f>+PMGR!CL85+BP!CL85</f>
        <v>0</v>
      </c>
      <c r="CM85" s="106">
        <f>+PMGR!CM85+BP!CM85</f>
        <v>0</v>
      </c>
      <c r="CN85" s="106">
        <f>+PMGR!CN85+BP!CN85</f>
        <v>0</v>
      </c>
      <c r="CO85" s="106">
        <f>+PMGR!CO85+BP!CO85</f>
        <v>0</v>
      </c>
      <c r="CP85" s="106">
        <f>+PMGR!CP85+BP!CP85</f>
        <v>0</v>
      </c>
      <c r="CQ85" s="106">
        <f>+PMGR!CQ85+BP!CQ85</f>
        <v>0</v>
      </c>
      <c r="CR85" s="106">
        <f>+PMGR!CR85+BP!CR85</f>
        <v>0</v>
      </c>
      <c r="CS85" s="106">
        <f t="shared" si="497"/>
        <v>0</v>
      </c>
      <c r="CT85" s="16" t="str">
        <f t="shared" si="409"/>
        <v>Sale Commission (outsiders)</v>
      </c>
      <c r="CU85" s="106">
        <f>+PMGR!CU85+BP!CU85</f>
        <v>0</v>
      </c>
      <c r="CV85" s="106">
        <f>+PMGR!CV85+BP!CV85</f>
        <v>0</v>
      </c>
      <c r="CW85" s="106">
        <f>+PMGR!CW85+BP!CW85</f>
        <v>0</v>
      </c>
      <c r="CX85" s="106">
        <f>+PMGR!CX85+BP!CX85</f>
        <v>0</v>
      </c>
      <c r="CY85" s="106">
        <f>+PMGR!CY85+BP!CY85</f>
        <v>0</v>
      </c>
      <c r="CZ85" s="106">
        <f>+PMGR!CZ85+BP!CZ85</f>
        <v>0</v>
      </c>
      <c r="DA85" s="106">
        <f>+PMGR!DA85+BP!DA85</f>
        <v>0</v>
      </c>
      <c r="DB85" s="106">
        <f>+PMGR!DB85+BP!DB85</f>
        <v>0</v>
      </c>
      <c r="DC85" s="106">
        <f>+PMGR!DC85+BP!DC85</f>
        <v>0</v>
      </c>
      <c r="DD85" s="106">
        <f>+PMGR!DD85+BP!DD85</f>
        <v>0</v>
      </c>
      <c r="DE85" s="106">
        <f>+PMGR!DE85+BP!DE85</f>
        <v>0</v>
      </c>
      <c r="DF85" s="106">
        <f>+PMGR!DF85+BP!DF85</f>
        <v>0</v>
      </c>
      <c r="DG85" s="106">
        <f t="shared" si="498"/>
        <v>0</v>
      </c>
      <c r="DH85" s="118"/>
      <c r="DI85" s="106">
        <f>+PMGR!DI85+BP!DI85</f>
        <v>0</v>
      </c>
      <c r="DJ85" s="106">
        <f>+PMGR!DJ85+BP!DJ85</f>
        <v>0</v>
      </c>
      <c r="DK85" s="106">
        <f>+PMGR!DK85+BP!DK85</f>
        <v>0</v>
      </c>
      <c r="DL85" s="106">
        <f>+PMGR!DL85+BP!DL85</f>
        <v>0</v>
      </c>
      <c r="DM85" s="106">
        <f>+PMGR!DM85+BP!DM85</f>
        <v>0</v>
      </c>
      <c r="DN85" s="106">
        <f>+PMGR!DN85+BP!DN85</f>
        <v>0</v>
      </c>
      <c r="DO85" s="106">
        <f>+PMGR!DO85+BP!DO85</f>
        <v>0</v>
      </c>
      <c r="DP85" s="106">
        <f>+PMGR!DP85+BP!DP85</f>
        <v>0</v>
      </c>
      <c r="DQ85" s="106">
        <f>+PMGR!DQ85+BP!DQ85</f>
        <v>0</v>
      </c>
      <c r="DR85" s="106">
        <f>+PMGR!DR85+BP!DR85</f>
        <v>0</v>
      </c>
      <c r="DS85" s="106">
        <f>+PMGR!DS85+BP!DS85</f>
        <v>0</v>
      </c>
      <c r="DT85" s="106">
        <f>+PMGR!DT85+BP!DT85</f>
        <v>0</v>
      </c>
      <c r="DU85" s="106">
        <f t="shared" si="499"/>
        <v>0</v>
      </c>
      <c r="DV85" s="106"/>
      <c r="DW85" s="106">
        <f>+PMGR!DW85+BP!DW85</f>
        <v>0</v>
      </c>
      <c r="DX85" s="106">
        <f>+PMGR!DX85+BP!DX85</f>
        <v>0</v>
      </c>
      <c r="DY85" s="106">
        <f>+PMGR!DY85+BP!DY85</f>
        <v>0</v>
      </c>
      <c r="DZ85" s="106">
        <f>+PMGR!DZ85+BP!DZ85</f>
        <v>0</v>
      </c>
      <c r="EA85" s="106">
        <f>+PMGR!EA85+BP!EA85</f>
        <v>0</v>
      </c>
      <c r="EB85" s="106">
        <f>+PMGR!EB85+BP!EB85</f>
        <v>0</v>
      </c>
      <c r="EC85" s="106">
        <f>+PMGR!EC85+BP!EC85</f>
        <v>0</v>
      </c>
      <c r="ED85" s="106">
        <f>+PMGR!ED85+BP!ED85</f>
        <v>0</v>
      </c>
      <c r="EE85" s="106">
        <f>+PMGR!EE85+BP!EE85</f>
        <v>0</v>
      </c>
      <c r="EF85" s="106">
        <f>+PMGR!EF85+BP!EF85</f>
        <v>0</v>
      </c>
      <c r="EG85" s="106">
        <f>+PMGR!EG85+BP!EG85</f>
        <v>0</v>
      </c>
      <c r="EH85" s="106">
        <f>+PMGR!EH85+BP!EH85</f>
        <v>0</v>
      </c>
      <c r="EI85" s="106">
        <f t="shared" si="500"/>
        <v>0</v>
      </c>
      <c r="EJ85" s="16" t="str">
        <f t="shared" si="457"/>
        <v>Sale Commission (outsiders)</v>
      </c>
      <c r="EK85" s="106">
        <f>+PMGR!EK85+BP!EK85</f>
        <v>0</v>
      </c>
      <c r="EL85" s="106">
        <f>+PMGR!EL85+BP!EL85</f>
        <v>0</v>
      </c>
      <c r="EM85" s="106">
        <f>+PMGR!EM85+BP!EM85</f>
        <v>0</v>
      </c>
      <c r="EN85" s="106">
        <f>+PMGR!EN85+BP!EN85</f>
        <v>0</v>
      </c>
      <c r="EO85" s="106">
        <f>+PMGR!EO85+BP!EO85</f>
        <v>0</v>
      </c>
      <c r="EP85" s="106">
        <f>+PMGR!EP85+BP!EP85</f>
        <v>0</v>
      </c>
      <c r="EQ85" s="106">
        <f>+PMGR!EQ85+BP!EQ85</f>
        <v>0</v>
      </c>
      <c r="ER85" s="106">
        <f>+PMGR!ER85+BP!ER85</f>
        <v>0</v>
      </c>
      <c r="ES85" s="106">
        <f>+PMGR!ES85+BP!ES85</f>
        <v>0</v>
      </c>
      <c r="ET85" s="106">
        <f>+PMGR!ET85+BP!ET85</f>
        <v>0</v>
      </c>
      <c r="EU85" s="106">
        <f>+PMGR!EU85+BP!EU85</f>
        <v>0</v>
      </c>
      <c r="EV85" s="106">
        <f>+PMGR!EV85+BP!EV85</f>
        <v>0</v>
      </c>
      <c r="EW85" s="106">
        <f t="shared" si="501"/>
        <v>0</v>
      </c>
      <c r="EX85" s="118"/>
      <c r="EY85" s="106">
        <f>+PMGR!EY85+BP!EY85</f>
        <v>0</v>
      </c>
      <c r="EZ85" s="106">
        <f>+PMGR!EZ85+BP!EZ85</f>
        <v>0</v>
      </c>
      <c r="FA85" s="106">
        <f>+PMGR!FA85+BP!FA85</f>
        <v>0</v>
      </c>
      <c r="FB85" s="106">
        <f>+PMGR!FB85+BP!FB85</f>
        <v>0</v>
      </c>
      <c r="FC85" s="106">
        <f>+PMGR!FC85+BP!FC85</f>
        <v>0</v>
      </c>
      <c r="FD85" s="106">
        <f>+PMGR!FD85+BP!FD85</f>
        <v>0</v>
      </c>
      <c r="FE85" s="106">
        <f>+PMGR!FE85+BP!FE85</f>
        <v>0</v>
      </c>
      <c r="FF85" s="106">
        <f>+PMGR!FF85+BP!FF85</f>
        <v>0</v>
      </c>
      <c r="FG85" s="106">
        <f>+PMGR!FG85+BP!FG85</f>
        <v>0</v>
      </c>
      <c r="FH85" s="106">
        <f>+PMGR!FH85+BP!FH85</f>
        <v>0</v>
      </c>
      <c r="FI85" s="106">
        <f>+PMGR!FI85+BP!FI85</f>
        <v>0</v>
      </c>
      <c r="FJ85" s="106">
        <f>+PMGR!FJ85+BP!FJ85</f>
        <v>0</v>
      </c>
      <c r="FK85" s="106">
        <f t="shared" si="502"/>
        <v>0</v>
      </c>
    </row>
    <row r="86" spans="1:167" ht="14.45" hidden="1" customHeight="1" outlineLevel="2">
      <c r="A86" s="106">
        <f t="shared" si="491"/>
        <v>0</v>
      </c>
      <c r="B86" s="106">
        <f t="shared" si="491"/>
        <v>0</v>
      </c>
      <c r="C86" s="106">
        <f t="shared" si="491"/>
        <v>0</v>
      </c>
      <c r="D86" s="106">
        <f t="shared" si="491"/>
        <v>0</v>
      </c>
      <c r="E86" s="106">
        <f t="shared" si="491"/>
        <v>0</v>
      </c>
      <c r="F86" s="106">
        <f t="shared" si="491"/>
        <v>0</v>
      </c>
      <c r="G86" s="106">
        <f t="shared" si="491"/>
        <v>0</v>
      </c>
      <c r="H86" s="106">
        <f t="shared" si="491"/>
        <v>0</v>
      </c>
      <c r="I86" s="106">
        <f t="shared" si="491"/>
        <v>0</v>
      </c>
      <c r="J86" s="106">
        <f t="shared" si="491"/>
        <v>0</v>
      </c>
      <c r="K86" s="106">
        <f t="shared" si="491"/>
        <v>0</v>
      </c>
      <c r="L86" s="106">
        <f t="shared" si="491"/>
        <v>0</v>
      </c>
      <c r="M86" s="106">
        <f t="shared" si="503"/>
        <v>0</v>
      </c>
      <c r="N86" s="16" t="s">
        <v>70</v>
      </c>
      <c r="O86" s="106">
        <f t="shared" si="504"/>
        <v>0</v>
      </c>
      <c r="P86" s="106">
        <f t="shared" si="492"/>
        <v>0</v>
      </c>
      <c r="Q86" s="106">
        <f t="shared" si="492"/>
        <v>0</v>
      </c>
      <c r="R86" s="106">
        <f t="shared" si="492"/>
        <v>0</v>
      </c>
      <c r="S86" s="106">
        <f t="shared" si="492"/>
        <v>0</v>
      </c>
      <c r="T86" s="106">
        <f t="shared" si="492"/>
        <v>0</v>
      </c>
      <c r="U86" s="106">
        <f t="shared" si="492"/>
        <v>0</v>
      </c>
      <c r="V86" s="106">
        <f t="shared" si="492"/>
        <v>0</v>
      </c>
      <c r="W86" s="106">
        <f t="shared" si="492"/>
        <v>0</v>
      </c>
      <c r="X86" s="106">
        <f t="shared" si="492"/>
        <v>0</v>
      </c>
      <c r="Y86" s="106">
        <f t="shared" si="492"/>
        <v>0</v>
      </c>
      <c r="Z86" s="106">
        <f t="shared" si="492"/>
        <v>0</v>
      </c>
      <c r="AA86" s="106">
        <f t="shared" si="505"/>
        <v>0</v>
      </c>
      <c r="AB86" s="118"/>
      <c r="AC86" s="106">
        <f t="shared" si="506"/>
        <v>0</v>
      </c>
      <c r="AD86" s="106">
        <f t="shared" si="493"/>
        <v>0</v>
      </c>
      <c r="AE86" s="106">
        <f t="shared" si="493"/>
        <v>0</v>
      </c>
      <c r="AF86" s="106">
        <f t="shared" si="493"/>
        <v>0</v>
      </c>
      <c r="AG86" s="106">
        <f t="shared" si="493"/>
        <v>0</v>
      </c>
      <c r="AH86" s="106">
        <f t="shared" si="493"/>
        <v>0</v>
      </c>
      <c r="AI86" s="106">
        <f t="shared" si="493"/>
        <v>0</v>
      </c>
      <c r="AJ86" s="106">
        <f t="shared" si="493"/>
        <v>0</v>
      </c>
      <c r="AK86" s="106">
        <f t="shared" si="493"/>
        <v>0</v>
      </c>
      <c r="AL86" s="106">
        <f t="shared" si="493"/>
        <v>0</v>
      </c>
      <c r="AM86" s="106">
        <f t="shared" si="493"/>
        <v>0</v>
      </c>
      <c r="AN86" s="106">
        <f t="shared" si="493"/>
        <v>0</v>
      </c>
      <c r="AO86" s="106">
        <f t="shared" si="507"/>
        <v>0</v>
      </c>
      <c r="AP86" s="106"/>
      <c r="AQ86" s="106">
        <f>+PMGR!AQ86+BP!AQ86</f>
        <v>0</v>
      </c>
      <c r="AR86" s="106">
        <f>+PMGR!AR86+BP!AR86</f>
        <v>0</v>
      </c>
      <c r="AS86" s="106">
        <f>+PMGR!AS86+BP!AS86</f>
        <v>0</v>
      </c>
      <c r="AT86" s="106">
        <f>+PMGR!AT86+BP!AT86</f>
        <v>0</v>
      </c>
      <c r="AU86" s="106">
        <f>+PMGR!AU86+BP!AU86</f>
        <v>0</v>
      </c>
      <c r="AV86" s="106">
        <f>+PMGR!AV86+BP!AV86</f>
        <v>0</v>
      </c>
      <c r="AW86" s="106">
        <f>+PMGR!AW86+BP!AW86</f>
        <v>0</v>
      </c>
      <c r="AX86" s="106">
        <f>+PMGR!AX86+BP!AX86</f>
        <v>0</v>
      </c>
      <c r="AY86" s="106">
        <f>+PMGR!AY86+BP!AY86</f>
        <v>0</v>
      </c>
      <c r="AZ86" s="106">
        <f>+PMGR!AZ86+BP!AZ86</f>
        <v>0</v>
      </c>
      <c r="BA86" s="106">
        <f>+PMGR!BA86+BP!BA86</f>
        <v>0</v>
      </c>
      <c r="BB86" s="106">
        <f>+PMGR!BB86+BP!BB86</f>
        <v>0</v>
      </c>
      <c r="BC86" s="106">
        <f t="shared" si="494"/>
        <v>0</v>
      </c>
      <c r="BD86" s="16" t="str">
        <f t="shared" si="405"/>
        <v>Sales promotion- Compl goods.</v>
      </c>
      <c r="BE86" s="106">
        <f>+PMGR!BE86+BP!BE86</f>
        <v>0</v>
      </c>
      <c r="BF86" s="106">
        <f>+PMGR!BF86+BP!BF86</f>
        <v>0</v>
      </c>
      <c r="BG86" s="106">
        <f>+PMGR!BG86+BP!BG86</f>
        <v>0</v>
      </c>
      <c r="BH86" s="106">
        <f>+PMGR!BH86+BP!BH86</f>
        <v>0</v>
      </c>
      <c r="BI86" s="106">
        <f>+PMGR!BI86+BP!BI86</f>
        <v>0</v>
      </c>
      <c r="BJ86" s="106">
        <f>+PMGR!BJ86+BP!BJ86</f>
        <v>0</v>
      </c>
      <c r="BK86" s="106">
        <f>+PMGR!BK86+BP!BK86</f>
        <v>0</v>
      </c>
      <c r="BL86" s="106">
        <f>+PMGR!BL86+BP!BL86</f>
        <v>0</v>
      </c>
      <c r="BM86" s="106">
        <f>+PMGR!BM86+BP!BM86</f>
        <v>0</v>
      </c>
      <c r="BN86" s="106">
        <f>+PMGR!BN86+BP!BN86</f>
        <v>0</v>
      </c>
      <c r="BO86" s="106">
        <f>+PMGR!BO86+BP!BO86</f>
        <v>0</v>
      </c>
      <c r="BP86" s="106">
        <f>+PMGR!BP86+BP!BP86</f>
        <v>0</v>
      </c>
      <c r="BQ86" s="106">
        <f t="shared" si="495"/>
        <v>0</v>
      </c>
      <c r="BR86" s="118"/>
      <c r="BS86" s="106">
        <f>+PMGR!BS86+BP!BS86</f>
        <v>0</v>
      </c>
      <c r="BT86" s="106">
        <f>+PMGR!BT86+BP!BT86</f>
        <v>0</v>
      </c>
      <c r="BU86" s="106">
        <f>+PMGR!BU86+BP!BU86</f>
        <v>0</v>
      </c>
      <c r="BV86" s="106">
        <f>+PMGR!BV86+BP!BV86</f>
        <v>0</v>
      </c>
      <c r="BW86" s="106">
        <f>+PMGR!BW86+BP!BW86</f>
        <v>0</v>
      </c>
      <c r="BX86" s="106">
        <f>+PMGR!BX86+BP!BX86</f>
        <v>0</v>
      </c>
      <c r="BY86" s="106">
        <f>+PMGR!BY86+BP!BY86</f>
        <v>0</v>
      </c>
      <c r="BZ86" s="106">
        <f>+PMGR!BZ86+BP!BZ86</f>
        <v>0</v>
      </c>
      <c r="CA86" s="106">
        <f>+PMGR!CA86+BP!CA86</f>
        <v>0</v>
      </c>
      <c r="CB86" s="106">
        <f>+PMGR!CB86+BP!CB86</f>
        <v>0</v>
      </c>
      <c r="CC86" s="106">
        <f>+PMGR!CC86+BP!CC86</f>
        <v>0</v>
      </c>
      <c r="CD86" s="106">
        <f>+PMGR!CD86+BP!CD86</f>
        <v>0</v>
      </c>
      <c r="CE86" s="106">
        <f t="shared" si="496"/>
        <v>0</v>
      </c>
      <c r="CF86" s="106"/>
      <c r="CG86" s="106">
        <f>+PMGR!CG86+BP!CG86</f>
        <v>0</v>
      </c>
      <c r="CH86" s="106">
        <f>+PMGR!CH86+BP!CH86</f>
        <v>0</v>
      </c>
      <c r="CI86" s="106">
        <f>+PMGR!CI86+BP!CI86</f>
        <v>0</v>
      </c>
      <c r="CJ86" s="106">
        <f>+PMGR!CJ86+BP!CJ86</f>
        <v>0</v>
      </c>
      <c r="CK86" s="106">
        <f>+PMGR!CK86+BP!CK86</f>
        <v>0</v>
      </c>
      <c r="CL86" s="106">
        <f>+PMGR!CL86+BP!CL86</f>
        <v>0</v>
      </c>
      <c r="CM86" s="106">
        <f>+PMGR!CM86+BP!CM86</f>
        <v>0</v>
      </c>
      <c r="CN86" s="106">
        <f>+PMGR!CN86+BP!CN86</f>
        <v>0</v>
      </c>
      <c r="CO86" s="106">
        <f>+PMGR!CO86+BP!CO86</f>
        <v>0</v>
      </c>
      <c r="CP86" s="106">
        <f>+PMGR!CP86+BP!CP86</f>
        <v>0</v>
      </c>
      <c r="CQ86" s="106">
        <f>+PMGR!CQ86+BP!CQ86</f>
        <v>0</v>
      </c>
      <c r="CR86" s="106">
        <f>+PMGR!CR86+BP!CR86</f>
        <v>0</v>
      </c>
      <c r="CS86" s="106">
        <f t="shared" si="497"/>
        <v>0</v>
      </c>
      <c r="CT86" s="16" t="str">
        <f t="shared" si="409"/>
        <v>Sales promotion- Compl goods.</v>
      </c>
      <c r="CU86" s="106">
        <f>+PMGR!CU86+BP!CU86</f>
        <v>0</v>
      </c>
      <c r="CV86" s="106">
        <f>+PMGR!CV86+BP!CV86</f>
        <v>0</v>
      </c>
      <c r="CW86" s="106">
        <f>+PMGR!CW86+BP!CW86</f>
        <v>0</v>
      </c>
      <c r="CX86" s="106">
        <f>+PMGR!CX86+BP!CX86</f>
        <v>0</v>
      </c>
      <c r="CY86" s="106">
        <f>+PMGR!CY86+BP!CY86</f>
        <v>0</v>
      </c>
      <c r="CZ86" s="106">
        <f>+PMGR!CZ86+BP!CZ86</f>
        <v>0</v>
      </c>
      <c r="DA86" s="106">
        <f>+PMGR!DA86+BP!DA86</f>
        <v>0</v>
      </c>
      <c r="DB86" s="106">
        <f>+PMGR!DB86+BP!DB86</f>
        <v>0</v>
      </c>
      <c r="DC86" s="106">
        <f>+PMGR!DC86+BP!DC86</f>
        <v>0</v>
      </c>
      <c r="DD86" s="106">
        <f>+PMGR!DD86+BP!DD86</f>
        <v>0</v>
      </c>
      <c r="DE86" s="106">
        <f>+PMGR!DE86+BP!DE86</f>
        <v>0</v>
      </c>
      <c r="DF86" s="106">
        <f>+PMGR!DF86+BP!DF86</f>
        <v>0</v>
      </c>
      <c r="DG86" s="106">
        <f t="shared" si="498"/>
        <v>0</v>
      </c>
      <c r="DH86" s="118"/>
      <c r="DI86" s="106">
        <f>+PMGR!DI86+BP!DI86</f>
        <v>0</v>
      </c>
      <c r="DJ86" s="106">
        <f>+PMGR!DJ86+BP!DJ86</f>
        <v>0</v>
      </c>
      <c r="DK86" s="106">
        <f>+PMGR!DK86+BP!DK86</f>
        <v>0</v>
      </c>
      <c r="DL86" s="106">
        <f>+PMGR!DL86+BP!DL86</f>
        <v>0</v>
      </c>
      <c r="DM86" s="106">
        <f>+PMGR!DM86+BP!DM86</f>
        <v>0</v>
      </c>
      <c r="DN86" s="106">
        <f>+PMGR!DN86+BP!DN86</f>
        <v>0</v>
      </c>
      <c r="DO86" s="106">
        <f>+PMGR!DO86+BP!DO86</f>
        <v>0</v>
      </c>
      <c r="DP86" s="106">
        <f>+PMGR!DP86+BP!DP86</f>
        <v>0</v>
      </c>
      <c r="DQ86" s="106">
        <f>+PMGR!DQ86+BP!DQ86</f>
        <v>0</v>
      </c>
      <c r="DR86" s="106">
        <f>+PMGR!DR86+BP!DR86</f>
        <v>0</v>
      </c>
      <c r="DS86" s="106">
        <f>+PMGR!DS86+BP!DS86</f>
        <v>0</v>
      </c>
      <c r="DT86" s="106">
        <f>+PMGR!DT86+BP!DT86</f>
        <v>0</v>
      </c>
      <c r="DU86" s="106">
        <f t="shared" si="499"/>
        <v>0</v>
      </c>
      <c r="DV86" s="106"/>
      <c r="DW86" s="106">
        <f>+PMGR!DW86+BP!DW86</f>
        <v>0</v>
      </c>
      <c r="DX86" s="106">
        <f>+PMGR!DX86+BP!DX86</f>
        <v>0</v>
      </c>
      <c r="DY86" s="106">
        <f>+PMGR!DY86+BP!DY86</f>
        <v>0</v>
      </c>
      <c r="DZ86" s="106">
        <f>+PMGR!DZ86+BP!DZ86</f>
        <v>0</v>
      </c>
      <c r="EA86" s="106">
        <f>+PMGR!EA86+BP!EA86</f>
        <v>0</v>
      </c>
      <c r="EB86" s="106">
        <f>+PMGR!EB86+BP!EB86</f>
        <v>0</v>
      </c>
      <c r="EC86" s="106">
        <f>+PMGR!EC86+BP!EC86</f>
        <v>0</v>
      </c>
      <c r="ED86" s="106">
        <f>+PMGR!ED86+BP!ED86</f>
        <v>0</v>
      </c>
      <c r="EE86" s="106">
        <f>+PMGR!EE86+BP!EE86</f>
        <v>0</v>
      </c>
      <c r="EF86" s="106">
        <f>+PMGR!EF86+BP!EF86</f>
        <v>0</v>
      </c>
      <c r="EG86" s="106">
        <f>+PMGR!EG86+BP!EG86</f>
        <v>0</v>
      </c>
      <c r="EH86" s="106">
        <f>+PMGR!EH86+BP!EH86</f>
        <v>0</v>
      </c>
      <c r="EI86" s="106">
        <f t="shared" si="500"/>
        <v>0</v>
      </c>
      <c r="EJ86" s="16" t="str">
        <f t="shared" si="457"/>
        <v>Sales promotion- Compl goods.</v>
      </c>
      <c r="EK86" s="106">
        <f>+PMGR!EK86+BP!EK86</f>
        <v>0</v>
      </c>
      <c r="EL86" s="106">
        <f>+PMGR!EL86+BP!EL86</f>
        <v>0</v>
      </c>
      <c r="EM86" s="106">
        <f>+PMGR!EM86+BP!EM86</f>
        <v>0</v>
      </c>
      <c r="EN86" s="106">
        <f>+PMGR!EN86+BP!EN86</f>
        <v>0</v>
      </c>
      <c r="EO86" s="106">
        <f>+PMGR!EO86+BP!EO86</f>
        <v>0</v>
      </c>
      <c r="EP86" s="106">
        <f>+PMGR!EP86+BP!EP86</f>
        <v>0</v>
      </c>
      <c r="EQ86" s="106">
        <f>+PMGR!EQ86+BP!EQ86</f>
        <v>0</v>
      </c>
      <c r="ER86" s="106">
        <f>+PMGR!ER86+BP!ER86</f>
        <v>0</v>
      </c>
      <c r="ES86" s="106">
        <f>+PMGR!ES86+BP!ES86</f>
        <v>0</v>
      </c>
      <c r="ET86" s="106">
        <f>+PMGR!ET86+BP!ET86</f>
        <v>0</v>
      </c>
      <c r="EU86" s="106">
        <f>+PMGR!EU86+BP!EU86</f>
        <v>0</v>
      </c>
      <c r="EV86" s="106">
        <f>+PMGR!EV86+BP!EV86</f>
        <v>0</v>
      </c>
      <c r="EW86" s="106">
        <f t="shared" si="501"/>
        <v>0</v>
      </c>
      <c r="EX86" s="118"/>
      <c r="EY86" s="106">
        <f>+PMGR!EY86+BP!EY86</f>
        <v>0</v>
      </c>
      <c r="EZ86" s="106">
        <f>+PMGR!EZ86+BP!EZ86</f>
        <v>0</v>
      </c>
      <c r="FA86" s="106">
        <f>+PMGR!FA86+BP!FA86</f>
        <v>0</v>
      </c>
      <c r="FB86" s="106">
        <f>+PMGR!FB86+BP!FB86</f>
        <v>0</v>
      </c>
      <c r="FC86" s="106">
        <f>+PMGR!FC86+BP!FC86</f>
        <v>0</v>
      </c>
      <c r="FD86" s="106">
        <f>+PMGR!FD86+BP!FD86</f>
        <v>0</v>
      </c>
      <c r="FE86" s="106">
        <f>+PMGR!FE86+BP!FE86</f>
        <v>0</v>
      </c>
      <c r="FF86" s="106">
        <f>+PMGR!FF86+BP!FF86</f>
        <v>0</v>
      </c>
      <c r="FG86" s="106">
        <f>+PMGR!FG86+BP!FG86</f>
        <v>0</v>
      </c>
      <c r="FH86" s="106">
        <f>+PMGR!FH86+BP!FH86</f>
        <v>0</v>
      </c>
      <c r="FI86" s="106">
        <f>+PMGR!FI86+BP!FI86</f>
        <v>0</v>
      </c>
      <c r="FJ86" s="106">
        <f>+PMGR!FJ86+BP!FJ86</f>
        <v>0</v>
      </c>
      <c r="FK86" s="106">
        <f t="shared" si="502"/>
        <v>0</v>
      </c>
    </row>
    <row r="87" spans="1:167" ht="14.45" hidden="1" customHeight="1" outlineLevel="1">
      <c r="A87" s="58">
        <f t="shared" ref="A87:M87" si="508">+SUM(A88:A89)</f>
        <v>633017.00100000016</v>
      </c>
      <c r="B87" s="58">
        <f t="shared" si="508"/>
        <v>782896.56300000008</v>
      </c>
      <c r="C87" s="58">
        <f t="shared" si="508"/>
        <v>498754.10000000003</v>
      </c>
      <c r="D87" s="58">
        <f t="shared" si="508"/>
        <v>539744.96</v>
      </c>
      <c r="E87" s="58">
        <f t="shared" si="508"/>
        <v>611371.61800000002</v>
      </c>
      <c r="F87" s="58">
        <f t="shared" si="508"/>
        <v>355720.44999999995</v>
      </c>
      <c r="G87" s="58">
        <f t="shared" si="508"/>
        <v>681353.35699999984</v>
      </c>
      <c r="H87" s="58">
        <f t="shared" si="508"/>
        <v>81815</v>
      </c>
      <c r="I87" s="58">
        <f t="shared" si="508"/>
        <v>756825.69900000002</v>
      </c>
      <c r="J87" s="58">
        <f t="shared" si="508"/>
        <v>861855.32299999997</v>
      </c>
      <c r="K87" s="58">
        <f t="shared" si="508"/>
        <v>761434.69</v>
      </c>
      <c r="L87" s="58">
        <f t="shared" si="508"/>
        <v>542776.5</v>
      </c>
      <c r="M87" s="58">
        <f t="shared" si="508"/>
        <v>7107565.2609999999</v>
      </c>
      <c r="N87" s="18" t="s">
        <v>71</v>
      </c>
      <c r="O87" s="58">
        <f t="shared" ref="O87:AA87" si="509">+SUM(O88:O89)</f>
        <v>387644.09579521115</v>
      </c>
      <c r="P87" s="58">
        <f t="shared" si="509"/>
        <v>37933.931912188811</v>
      </c>
      <c r="Q87" s="58">
        <f t="shared" si="509"/>
        <v>692539.91200000013</v>
      </c>
      <c r="R87" s="58">
        <f t="shared" si="509"/>
        <v>582992.08000000019</v>
      </c>
      <c r="S87" s="58">
        <f t="shared" si="509"/>
        <v>891843.1440000002</v>
      </c>
      <c r="T87" s="58">
        <f t="shared" si="509"/>
        <v>701462.22800000012</v>
      </c>
      <c r="U87" s="58">
        <f t="shared" si="509"/>
        <v>927728.33700000006</v>
      </c>
      <c r="V87" s="58">
        <f t="shared" si="509"/>
        <v>826309.87800000026</v>
      </c>
      <c r="W87" s="58">
        <f t="shared" si="509"/>
        <v>1115933.7089999998</v>
      </c>
      <c r="X87" s="58">
        <f t="shared" si="509"/>
        <v>493322.10000000003</v>
      </c>
      <c r="Y87" s="58">
        <f t="shared" si="509"/>
        <v>0</v>
      </c>
      <c r="Z87" s="58">
        <f t="shared" si="509"/>
        <v>0</v>
      </c>
      <c r="AA87" s="58">
        <f t="shared" si="509"/>
        <v>6657709.415707401</v>
      </c>
      <c r="AB87" s="118"/>
      <c r="AC87" s="58">
        <f t="shared" ref="AC87:AO87" si="510">+SUM(AC88:AC89)</f>
        <v>957693.67580000008</v>
      </c>
      <c r="AD87" s="58">
        <f t="shared" si="510"/>
        <v>936284.66852000006</v>
      </c>
      <c r="AE87" s="58">
        <f t="shared" si="510"/>
        <v>956634.99218000006</v>
      </c>
      <c r="AF87" s="58">
        <f t="shared" si="510"/>
        <v>807865.33290000004</v>
      </c>
      <c r="AG87" s="58">
        <f t="shared" si="510"/>
        <v>928018.08270000014</v>
      </c>
      <c r="AH87" s="58">
        <f t="shared" si="510"/>
        <v>971076.67680000002</v>
      </c>
      <c r="AI87" s="58">
        <f t="shared" si="510"/>
        <v>1009031.4169000001</v>
      </c>
      <c r="AJ87" s="58">
        <f t="shared" si="510"/>
        <v>1035194.5735000002</v>
      </c>
      <c r="AK87" s="58">
        <f t="shared" si="510"/>
        <v>1058770.3816</v>
      </c>
      <c r="AL87" s="58">
        <f t="shared" si="510"/>
        <v>910068.31692222226</v>
      </c>
      <c r="AM87" s="58">
        <f t="shared" si="510"/>
        <v>829496.29131555557</v>
      </c>
      <c r="AN87" s="58">
        <f t="shared" si="510"/>
        <v>997302.03978242422</v>
      </c>
      <c r="AO87" s="58">
        <f t="shared" si="510"/>
        <v>11397436.448920202</v>
      </c>
      <c r="AP87" s="106"/>
      <c r="AQ87" s="58">
        <f t="shared" ref="AQ87:BC87" si="511">+SUM(AQ88:AQ89)</f>
        <v>419017.65100000013</v>
      </c>
      <c r="AR87" s="58">
        <f t="shared" si="511"/>
        <v>506936.74200000003</v>
      </c>
      <c r="AS87" s="58">
        <f t="shared" si="511"/>
        <v>364274.4</v>
      </c>
      <c r="AT87" s="58">
        <f t="shared" si="511"/>
        <v>371082.44099999999</v>
      </c>
      <c r="AU87" s="58">
        <f t="shared" si="511"/>
        <v>455515.2</v>
      </c>
      <c r="AV87" s="58">
        <f t="shared" si="511"/>
        <v>137420.29999999999</v>
      </c>
      <c r="AW87" s="58">
        <f t="shared" si="511"/>
        <v>412152.16000000003</v>
      </c>
      <c r="AX87" s="58">
        <f t="shared" si="511"/>
        <v>22440</v>
      </c>
      <c r="AY87" s="58">
        <f t="shared" si="511"/>
        <v>531756.32799999998</v>
      </c>
      <c r="AZ87" s="58">
        <f t="shared" si="511"/>
        <v>646496.64599999995</v>
      </c>
      <c r="BA87" s="58">
        <f t="shared" si="511"/>
        <v>483377.93900000001</v>
      </c>
      <c r="BB87" s="58">
        <f t="shared" si="511"/>
        <v>352076</v>
      </c>
      <c r="BC87" s="58">
        <f t="shared" si="511"/>
        <v>4702545.807</v>
      </c>
      <c r="BD87" s="18" t="str">
        <f t="shared" si="405"/>
        <v>Incentive</v>
      </c>
      <c r="BE87" s="58">
        <f t="shared" ref="BE87:BQ87" si="512">+SUM(BE88:BE89)</f>
        <v>249349.06808781117</v>
      </c>
      <c r="BF87" s="58">
        <f t="shared" si="512"/>
        <v>19808.931912188811</v>
      </c>
      <c r="BG87" s="58">
        <f t="shared" si="512"/>
        <v>399900.02</v>
      </c>
      <c r="BH87" s="58">
        <f t="shared" si="512"/>
        <v>370218.71100000007</v>
      </c>
      <c r="BI87" s="58">
        <f t="shared" si="512"/>
        <v>544718.19000000006</v>
      </c>
      <c r="BJ87" s="58">
        <f t="shared" si="512"/>
        <v>382228.05800000014</v>
      </c>
      <c r="BK87" s="58">
        <f t="shared" si="512"/>
        <v>550332.22200000007</v>
      </c>
      <c r="BL87" s="58">
        <f t="shared" si="512"/>
        <v>459067.74700000009</v>
      </c>
      <c r="BM87" s="58">
        <f t="shared" si="512"/>
        <v>750428.25199999986</v>
      </c>
      <c r="BN87" s="58">
        <f t="shared" si="512"/>
        <v>287128.40000000002</v>
      </c>
      <c r="BO87" s="58">
        <f t="shared" si="512"/>
        <v>0</v>
      </c>
      <c r="BP87" s="58">
        <f t="shared" si="512"/>
        <v>0</v>
      </c>
      <c r="BQ87" s="58">
        <f t="shared" si="512"/>
        <v>4013179.6</v>
      </c>
      <c r="BR87" s="118"/>
      <c r="BS87" s="58">
        <f t="shared" ref="BS87:CE87" si="513">+SUM(BS88:BS89)</f>
        <v>502184.24390000006</v>
      </c>
      <c r="BT87" s="58">
        <f t="shared" si="513"/>
        <v>491346.48516000004</v>
      </c>
      <c r="BU87" s="58">
        <f t="shared" si="513"/>
        <v>458833.20894000004</v>
      </c>
      <c r="BV87" s="58">
        <f t="shared" si="513"/>
        <v>424202.39840000006</v>
      </c>
      <c r="BW87" s="58">
        <f t="shared" si="513"/>
        <v>470335.46560000011</v>
      </c>
      <c r="BX87" s="58">
        <f t="shared" si="513"/>
        <v>488296.7144</v>
      </c>
      <c r="BY87" s="58">
        <f t="shared" si="513"/>
        <v>499169.7312000001</v>
      </c>
      <c r="BZ87" s="58">
        <f t="shared" si="513"/>
        <v>523451.86950000009</v>
      </c>
      <c r="CA87" s="58">
        <f t="shared" si="513"/>
        <v>555004.38930000004</v>
      </c>
      <c r="CB87" s="58">
        <f t="shared" si="513"/>
        <v>483098.6776</v>
      </c>
      <c r="CC87" s="58">
        <f t="shared" si="513"/>
        <v>386478.94208000001</v>
      </c>
      <c r="CD87" s="58">
        <f t="shared" si="513"/>
        <v>510704.31631999993</v>
      </c>
      <c r="CE87" s="58">
        <f t="shared" si="513"/>
        <v>5793106.442400001</v>
      </c>
      <c r="CF87" s="106"/>
      <c r="CG87" s="58">
        <f t="shared" ref="CG87:CS87" si="514">+SUM(CG88:CG89)</f>
        <v>213999.34999999998</v>
      </c>
      <c r="CH87" s="58">
        <f t="shared" si="514"/>
        <v>275959.821</v>
      </c>
      <c r="CI87" s="58">
        <f t="shared" si="514"/>
        <v>134479.70000000001</v>
      </c>
      <c r="CJ87" s="58">
        <f t="shared" si="514"/>
        <v>168662.51900000003</v>
      </c>
      <c r="CK87" s="58">
        <f t="shared" si="514"/>
        <v>155856.41800000003</v>
      </c>
      <c r="CL87" s="58">
        <f t="shared" si="514"/>
        <v>218300.15</v>
      </c>
      <c r="CM87" s="58">
        <f t="shared" si="514"/>
        <v>269201.19699999987</v>
      </c>
      <c r="CN87" s="58">
        <f t="shared" si="514"/>
        <v>59375</v>
      </c>
      <c r="CO87" s="58">
        <f t="shared" si="514"/>
        <v>225069.37099999998</v>
      </c>
      <c r="CP87" s="58">
        <f t="shared" si="514"/>
        <v>215358.677</v>
      </c>
      <c r="CQ87" s="58">
        <f t="shared" si="514"/>
        <v>278056.75099999993</v>
      </c>
      <c r="CR87" s="58">
        <f t="shared" si="514"/>
        <v>190700.5</v>
      </c>
      <c r="CS87" s="58">
        <f t="shared" si="514"/>
        <v>2405019.4539999999</v>
      </c>
      <c r="CT87" s="18" t="str">
        <f t="shared" si="409"/>
        <v>Incentive</v>
      </c>
      <c r="CU87" s="58">
        <f t="shared" ref="CU87:DG87" si="515">+SUM(CU88:CU89)</f>
        <v>86845.027707400004</v>
      </c>
      <c r="CV87" s="58">
        <f t="shared" si="515"/>
        <v>1625</v>
      </c>
      <c r="CW87" s="58">
        <f t="shared" si="515"/>
        <v>223404.52200000006</v>
      </c>
      <c r="CX87" s="58">
        <f t="shared" si="515"/>
        <v>175630.94900000002</v>
      </c>
      <c r="CY87" s="58">
        <f t="shared" si="515"/>
        <v>267222.29400000005</v>
      </c>
      <c r="CZ87" s="58">
        <f t="shared" si="515"/>
        <v>214062.07700000002</v>
      </c>
      <c r="DA87" s="58">
        <f t="shared" si="515"/>
        <v>300602.23900000006</v>
      </c>
      <c r="DB87" s="58">
        <f t="shared" si="515"/>
        <v>288162.83100000012</v>
      </c>
      <c r="DC87" s="58">
        <f t="shared" si="515"/>
        <v>173097.56899999987</v>
      </c>
      <c r="DD87" s="58">
        <f t="shared" si="515"/>
        <v>145671.70000000001</v>
      </c>
      <c r="DE87" s="58">
        <f t="shared" si="515"/>
        <v>0</v>
      </c>
      <c r="DF87" s="58">
        <f t="shared" si="515"/>
        <v>0</v>
      </c>
      <c r="DG87" s="58">
        <f t="shared" si="515"/>
        <v>1876324.2087074001</v>
      </c>
      <c r="DH87" s="118"/>
      <c r="DI87" s="58">
        <f t="shared" ref="DI87:DU87" si="516">+SUM(DI88:DI89)</f>
        <v>321493.85190000007</v>
      </c>
      <c r="DJ87" s="58">
        <f t="shared" si="516"/>
        <v>319856.97536000004</v>
      </c>
      <c r="DK87" s="58">
        <f t="shared" si="516"/>
        <v>358202.22074000002</v>
      </c>
      <c r="DL87" s="58">
        <f t="shared" si="516"/>
        <v>258581.72650000002</v>
      </c>
      <c r="DM87" s="58">
        <f t="shared" si="516"/>
        <v>308776.41709999996</v>
      </c>
      <c r="DN87" s="58">
        <f t="shared" si="516"/>
        <v>333873.76240000007</v>
      </c>
      <c r="DO87" s="58">
        <f t="shared" si="516"/>
        <v>342342.2107</v>
      </c>
      <c r="DP87" s="58">
        <f t="shared" si="516"/>
        <v>350427.65399999998</v>
      </c>
      <c r="DQ87" s="58">
        <f t="shared" si="516"/>
        <v>349648.07530000003</v>
      </c>
      <c r="DR87" s="58">
        <f t="shared" si="516"/>
        <v>282157.41709999996</v>
      </c>
      <c r="DS87" s="58">
        <f t="shared" si="516"/>
        <v>292273.43368000002</v>
      </c>
      <c r="DT87" s="58">
        <f t="shared" si="516"/>
        <v>326801.05522000004</v>
      </c>
      <c r="DU87" s="58">
        <f t="shared" si="516"/>
        <v>3844434.8000000003</v>
      </c>
      <c r="DV87" s="106"/>
      <c r="DW87" s="58">
        <f t="shared" ref="DW87:EI87" si="517">+SUM(DW88:DW89)</f>
        <v>0</v>
      </c>
      <c r="DX87" s="58">
        <f t="shared" si="517"/>
        <v>0</v>
      </c>
      <c r="DY87" s="58">
        <f t="shared" si="517"/>
        <v>0</v>
      </c>
      <c r="DZ87" s="58">
        <f t="shared" si="517"/>
        <v>0</v>
      </c>
      <c r="EA87" s="58">
        <f t="shared" si="517"/>
        <v>0</v>
      </c>
      <c r="EB87" s="58">
        <f t="shared" si="517"/>
        <v>0</v>
      </c>
      <c r="EC87" s="58">
        <f t="shared" si="517"/>
        <v>0</v>
      </c>
      <c r="ED87" s="58">
        <f t="shared" si="517"/>
        <v>0</v>
      </c>
      <c r="EE87" s="58">
        <f t="shared" si="517"/>
        <v>0</v>
      </c>
      <c r="EF87" s="58">
        <f t="shared" si="517"/>
        <v>0</v>
      </c>
      <c r="EG87" s="58">
        <f t="shared" si="517"/>
        <v>0</v>
      </c>
      <c r="EH87" s="58">
        <f t="shared" si="517"/>
        <v>0</v>
      </c>
      <c r="EI87" s="58">
        <f t="shared" si="517"/>
        <v>0</v>
      </c>
      <c r="EJ87" s="18" t="str">
        <f t="shared" si="457"/>
        <v>Incentive</v>
      </c>
      <c r="EK87" s="58">
        <f t="shared" ref="EK87:EW87" si="518">+SUM(EK88:EK89)</f>
        <v>51450</v>
      </c>
      <c r="EL87" s="58">
        <f t="shared" si="518"/>
        <v>16500</v>
      </c>
      <c r="EM87" s="58">
        <f t="shared" si="518"/>
        <v>69235.37</v>
      </c>
      <c r="EN87" s="58">
        <f t="shared" si="518"/>
        <v>37142.42</v>
      </c>
      <c r="EO87" s="58">
        <f t="shared" si="518"/>
        <v>79902.66</v>
      </c>
      <c r="EP87" s="58">
        <f t="shared" si="518"/>
        <v>105172.09300000001</v>
      </c>
      <c r="EQ87" s="58">
        <f t="shared" si="518"/>
        <v>76793.875999999989</v>
      </c>
      <c r="ER87" s="58">
        <f t="shared" si="518"/>
        <v>79079.299999999988</v>
      </c>
      <c r="ES87" s="58">
        <f t="shared" si="518"/>
        <v>192407.88800000004</v>
      </c>
      <c r="ET87" s="58">
        <f t="shared" si="518"/>
        <v>60522</v>
      </c>
      <c r="EU87" s="58">
        <f t="shared" si="518"/>
        <v>0</v>
      </c>
      <c r="EV87" s="58">
        <f t="shared" si="518"/>
        <v>0</v>
      </c>
      <c r="EW87" s="58">
        <f t="shared" si="518"/>
        <v>768205.60700000008</v>
      </c>
      <c r="EX87" s="118"/>
      <c r="EY87" s="58">
        <f t="shared" ref="EY87:FK87" si="519">+SUM(EY88:EY89)</f>
        <v>134015.58000000002</v>
      </c>
      <c r="EZ87" s="58">
        <f t="shared" si="519"/>
        <v>125081.20800000001</v>
      </c>
      <c r="FA87" s="58">
        <f t="shared" si="519"/>
        <v>139599.5625</v>
      </c>
      <c r="FB87" s="58">
        <f t="shared" si="519"/>
        <v>125081.20800000001</v>
      </c>
      <c r="FC87" s="58">
        <f t="shared" si="519"/>
        <v>148906.20000000001</v>
      </c>
      <c r="FD87" s="58">
        <f t="shared" si="519"/>
        <v>148906.20000000001</v>
      </c>
      <c r="FE87" s="58">
        <f t="shared" si="519"/>
        <v>167519.47500000001</v>
      </c>
      <c r="FF87" s="58">
        <f t="shared" si="519"/>
        <v>161315.05000000002</v>
      </c>
      <c r="FG87" s="58">
        <f t="shared" si="519"/>
        <v>154117.91700000002</v>
      </c>
      <c r="FH87" s="58">
        <f t="shared" si="519"/>
        <v>144812.22222222225</v>
      </c>
      <c r="FI87" s="58">
        <f t="shared" si="519"/>
        <v>150743.91555555558</v>
      </c>
      <c r="FJ87" s="58">
        <f t="shared" si="519"/>
        <v>159796.66824242426</v>
      </c>
      <c r="FK87" s="58">
        <f t="shared" si="519"/>
        <v>1759895.2065202021</v>
      </c>
    </row>
    <row r="88" spans="1:167" ht="14.45" hidden="1" customHeight="1" outlineLevel="2">
      <c r="A88" s="106">
        <f t="shared" ref="A88:L89" si="520">+AQ88+CG88+DW88</f>
        <v>633017.00100000016</v>
      </c>
      <c r="B88" s="106">
        <f t="shared" si="520"/>
        <v>782896.56300000008</v>
      </c>
      <c r="C88" s="106">
        <f t="shared" si="520"/>
        <v>498754.10000000003</v>
      </c>
      <c r="D88" s="106">
        <f t="shared" si="520"/>
        <v>539744.96</v>
      </c>
      <c r="E88" s="106">
        <f t="shared" si="520"/>
        <v>611371.61800000002</v>
      </c>
      <c r="F88" s="106">
        <f t="shared" si="520"/>
        <v>355720.44999999995</v>
      </c>
      <c r="G88" s="106">
        <f t="shared" si="520"/>
        <v>681353.35699999984</v>
      </c>
      <c r="H88" s="106">
        <f t="shared" si="520"/>
        <v>81815</v>
      </c>
      <c r="I88" s="106">
        <f t="shared" si="520"/>
        <v>756825.69900000002</v>
      </c>
      <c r="J88" s="106">
        <f t="shared" si="520"/>
        <v>861855.32299999997</v>
      </c>
      <c r="K88" s="106">
        <f t="shared" si="520"/>
        <v>761434.69</v>
      </c>
      <c r="L88" s="106">
        <f t="shared" si="520"/>
        <v>542776.5</v>
      </c>
      <c r="M88" s="106">
        <f t="shared" si="503"/>
        <v>7107565.2609999999</v>
      </c>
      <c r="N88" s="16" t="s">
        <v>222</v>
      </c>
      <c r="O88" s="106">
        <f t="shared" ref="O88:Z89" si="521">+BE88+CU88+EK88</f>
        <v>387644.09579521115</v>
      </c>
      <c r="P88" s="106">
        <f t="shared" si="521"/>
        <v>37933.931912188811</v>
      </c>
      <c r="Q88" s="106">
        <f t="shared" si="521"/>
        <v>692539.91200000013</v>
      </c>
      <c r="R88" s="106">
        <f t="shared" si="521"/>
        <v>582992.08000000019</v>
      </c>
      <c r="S88" s="106">
        <f t="shared" si="521"/>
        <v>891843.1440000002</v>
      </c>
      <c r="T88" s="106">
        <f t="shared" si="521"/>
        <v>701462.22800000012</v>
      </c>
      <c r="U88" s="106">
        <f t="shared" si="521"/>
        <v>927728.33700000006</v>
      </c>
      <c r="V88" s="106">
        <f t="shared" si="521"/>
        <v>826309.87800000026</v>
      </c>
      <c r="W88" s="106">
        <f t="shared" si="521"/>
        <v>1115933.7089999998</v>
      </c>
      <c r="X88" s="106">
        <f t="shared" si="521"/>
        <v>493322.10000000003</v>
      </c>
      <c r="Y88" s="106">
        <f t="shared" si="521"/>
        <v>0</v>
      </c>
      <c r="Z88" s="106">
        <f t="shared" si="521"/>
        <v>0</v>
      </c>
      <c r="AA88" s="106">
        <f t="shared" ref="AA88:AA89" si="522">+SUM(O88:Z88)</f>
        <v>6657709.415707401</v>
      </c>
      <c r="AB88" s="118"/>
      <c r="AC88" s="106">
        <f t="shared" ref="AC88:AN89" si="523">+BS88+DI88+EY88</f>
        <v>957693.67580000008</v>
      </c>
      <c r="AD88" s="106">
        <f t="shared" si="523"/>
        <v>936284.66852000006</v>
      </c>
      <c r="AE88" s="106">
        <f t="shared" si="523"/>
        <v>956634.99218000006</v>
      </c>
      <c r="AF88" s="106">
        <f t="shared" si="523"/>
        <v>807865.33290000004</v>
      </c>
      <c r="AG88" s="106">
        <f t="shared" si="523"/>
        <v>928018.08270000014</v>
      </c>
      <c r="AH88" s="106">
        <f t="shared" si="523"/>
        <v>971076.67680000002</v>
      </c>
      <c r="AI88" s="106">
        <f t="shared" si="523"/>
        <v>1009031.4169000001</v>
      </c>
      <c r="AJ88" s="106">
        <f t="shared" si="523"/>
        <v>1035194.5735000002</v>
      </c>
      <c r="AK88" s="106">
        <f t="shared" si="523"/>
        <v>1058770.3816</v>
      </c>
      <c r="AL88" s="106">
        <f t="shared" si="523"/>
        <v>910068.31692222226</v>
      </c>
      <c r="AM88" s="106">
        <f t="shared" si="523"/>
        <v>829496.29131555557</v>
      </c>
      <c r="AN88" s="106">
        <f t="shared" si="523"/>
        <v>997302.03978242422</v>
      </c>
      <c r="AO88" s="106">
        <f t="shared" ref="AO88:AO89" si="524">+SUM(AC88:AN88)</f>
        <v>11397436.448920202</v>
      </c>
      <c r="AP88" s="106"/>
      <c r="AQ88" s="106">
        <f>+PMGR!AQ88+BP!AQ88</f>
        <v>419017.65100000013</v>
      </c>
      <c r="AR88" s="106">
        <f>+PMGR!AR88+BP!AR88</f>
        <v>506936.74200000003</v>
      </c>
      <c r="AS88" s="106">
        <f>+PMGR!AS88+BP!AS88</f>
        <v>364274.4</v>
      </c>
      <c r="AT88" s="106">
        <f>+PMGR!AT88+BP!AT88</f>
        <v>371082.44099999999</v>
      </c>
      <c r="AU88" s="106">
        <f>+PMGR!AU88+BP!AU88</f>
        <v>455515.2</v>
      </c>
      <c r="AV88" s="106">
        <f>+PMGR!AV88+BP!AV88</f>
        <v>137420.29999999999</v>
      </c>
      <c r="AW88" s="106">
        <f>+PMGR!AW88+BP!AW88</f>
        <v>412152.16000000003</v>
      </c>
      <c r="AX88" s="106">
        <f>+PMGR!AX88+BP!AX88</f>
        <v>22440</v>
      </c>
      <c r="AY88" s="106">
        <f>+PMGR!AY88+BP!AY88</f>
        <v>531756.32799999998</v>
      </c>
      <c r="AZ88" s="106">
        <f>+PMGR!AZ88+BP!AZ88</f>
        <v>646496.64599999995</v>
      </c>
      <c r="BA88" s="106">
        <f>+PMGR!BA88+BP!BA88</f>
        <v>483377.93900000001</v>
      </c>
      <c r="BB88" s="106">
        <f>+PMGR!BB88+BP!BB88</f>
        <v>352076</v>
      </c>
      <c r="BC88" s="106">
        <f t="shared" ref="BC88:BC89" si="525">+SUM(AQ88:BB88)</f>
        <v>4702545.807</v>
      </c>
      <c r="BD88" s="16" t="str">
        <f t="shared" si="405"/>
        <v>Incentive to Employee</v>
      </c>
      <c r="BE88" s="106">
        <f>+PMGR!BE88+BP!BE88</f>
        <v>249349.06808781117</v>
      </c>
      <c r="BF88" s="106">
        <f>+PMGR!BF88+BP!BF88</f>
        <v>19808.931912188811</v>
      </c>
      <c r="BG88" s="106">
        <f>+PMGR!BG88+BP!BG88</f>
        <v>399900.02</v>
      </c>
      <c r="BH88" s="106">
        <f>+PMGR!BH88+BP!BH88</f>
        <v>370218.71100000007</v>
      </c>
      <c r="BI88" s="106">
        <f>+PMGR!BI88+BP!BI88</f>
        <v>544718.19000000006</v>
      </c>
      <c r="BJ88" s="106">
        <f>+PMGR!BJ88+BP!BJ88</f>
        <v>382228.05800000014</v>
      </c>
      <c r="BK88" s="106">
        <f>+PMGR!BK88+BP!BK88</f>
        <v>550332.22200000007</v>
      </c>
      <c r="BL88" s="106">
        <f>+PMGR!BL88+BP!BL88</f>
        <v>459067.74700000009</v>
      </c>
      <c r="BM88" s="106">
        <f>+PMGR!BM88+BP!BM88</f>
        <v>750428.25199999986</v>
      </c>
      <c r="BN88" s="106">
        <f>+PMGR!BN88+BP!BN88</f>
        <v>287128.40000000002</v>
      </c>
      <c r="BO88" s="106">
        <f>+PMGR!BO88+BP!BO88</f>
        <v>0</v>
      </c>
      <c r="BP88" s="106">
        <f>+PMGR!BP88+BP!BP88</f>
        <v>0</v>
      </c>
      <c r="BQ88" s="106">
        <f t="shared" ref="BQ88:BQ89" si="526">+SUM(BE88:BP88)</f>
        <v>4013179.6</v>
      </c>
      <c r="BR88" s="118"/>
      <c r="BS88" s="106">
        <f>+PMGR!BS88+BP!BS88</f>
        <v>502184.24390000006</v>
      </c>
      <c r="BT88" s="106">
        <f>+PMGR!BT88+BP!BT88</f>
        <v>491346.48516000004</v>
      </c>
      <c r="BU88" s="106">
        <f>+PMGR!BU88+BP!BU88</f>
        <v>458833.20894000004</v>
      </c>
      <c r="BV88" s="106">
        <f>+PMGR!BV88+BP!BV88</f>
        <v>424202.39840000006</v>
      </c>
      <c r="BW88" s="106">
        <f>+PMGR!BW88+BP!BW88</f>
        <v>470335.46560000011</v>
      </c>
      <c r="BX88" s="106">
        <f>+PMGR!BX88+BP!BX88</f>
        <v>488296.7144</v>
      </c>
      <c r="BY88" s="106">
        <f>+PMGR!BY88+BP!BY88</f>
        <v>499169.7312000001</v>
      </c>
      <c r="BZ88" s="106">
        <f>+PMGR!BZ88+BP!BZ88</f>
        <v>523451.86950000009</v>
      </c>
      <c r="CA88" s="106">
        <f>+PMGR!CA88+BP!CA88</f>
        <v>555004.38930000004</v>
      </c>
      <c r="CB88" s="106">
        <f>+PMGR!CB88+BP!CB88</f>
        <v>483098.6776</v>
      </c>
      <c r="CC88" s="106">
        <f>+PMGR!CC88+BP!CC88</f>
        <v>386478.94208000001</v>
      </c>
      <c r="CD88" s="106">
        <f>+PMGR!CD88+BP!CD88</f>
        <v>510704.31631999993</v>
      </c>
      <c r="CE88" s="106">
        <f t="shared" ref="CE88:CE89" si="527">+SUM(BS88:CD88)</f>
        <v>5793106.442400001</v>
      </c>
      <c r="CF88" s="106"/>
      <c r="CG88" s="106">
        <f>+PMGR!CG88+BP!CG88</f>
        <v>213999.34999999998</v>
      </c>
      <c r="CH88" s="106">
        <f>+PMGR!CH88+BP!CH88</f>
        <v>275959.821</v>
      </c>
      <c r="CI88" s="106">
        <f>+PMGR!CI88+BP!CI88</f>
        <v>134479.70000000001</v>
      </c>
      <c r="CJ88" s="106">
        <f>+PMGR!CJ88+BP!CJ88</f>
        <v>168662.51900000003</v>
      </c>
      <c r="CK88" s="106">
        <f>+PMGR!CK88+BP!CK88</f>
        <v>155856.41800000003</v>
      </c>
      <c r="CL88" s="106">
        <f>+PMGR!CL88+BP!CL88</f>
        <v>218300.15</v>
      </c>
      <c r="CM88" s="106">
        <f>+PMGR!CM88+BP!CM88</f>
        <v>269201.19699999987</v>
      </c>
      <c r="CN88" s="106">
        <f>+PMGR!CN88+BP!CN88</f>
        <v>59375</v>
      </c>
      <c r="CO88" s="106">
        <f>+PMGR!CO88+BP!CO88</f>
        <v>225069.37099999998</v>
      </c>
      <c r="CP88" s="106">
        <f>+PMGR!CP88+BP!CP88</f>
        <v>215358.677</v>
      </c>
      <c r="CQ88" s="106">
        <f>+PMGR!CQ88+BP!CQ88</f>
        <v>278056.75099999993</v>
      </c>
      <c r="CR88" s="106">
        <f>+PMGR!CR88+BP!CR88</f>
        <v>190700.5</v>
      </c>
      <c r="CS88" s="106">
        <f t="shared" ref="CS88:CS89" si="528">+SUM(CG88:CR88)</f>
        <v>2405019.4539999999</v>
      </c>
      <c r="CT88" s="16" t="str">
        <f t="shared" si="409"/>
        <v>Incentive to Employee</v>
      </c>
      <c r="CU88" s="106">
        <f>+PMGR!CU88+BP!CU88</f>
        <v>86845.027707400004</v>
      </c>
      <c r="CV88" s="106">
        <f>+PMGR!CV88+BP!CV88</f>
        <v>1625</v>
      </c>
      <c r="CW88" s="106">
        <f>+PMGR!CW88+BP!CW88</f>
        <v>223404.52200000006</v>
      </c>
      <c r="CX88" s="106">
        <f>+PMGR!CX88+BP!CX88</f>
        <v>175630.94900000002</v>
      </c>
      <c r="CY88" s="106">
        <f>+PMGR!CY88+BP!CY88</f>
        <v>267222.29400000005</v>
      </c>
      <c r="CZ88" s="106">
        <f>+PMGR!CZ88+BP!CZ88</f>
        <v>214062.07700000002</v>
      </c>
      <c r="DA88" s="106">
        <f>+PMGR!DA88+BP!DA88</f>
        <v>300602.23900000006</v>
      </c>
      <c r="DB88" s="106">
        <f>+PMGR!DB88+BP!DB88</f>
        <v>288162.83100000012</v>
      </c>
      <c r="DC88" s="106">
        <f>+PMGR!DC88+BP!DC88</f>
        <v>173097.56899999987</v>
      </c>
      <c r="DD88" s="106">
        <f>+PMGR!DD88+BP!DD88</f>
        <v>145671.70000000001</v>
      </c>
      <c r="DE88" s="106">
        <f>+PMGR!DE88+BP!DE88</f>
        <v>0</v>
      </c>
      <c r="DF88" s="106">
        <f>+PMGR!DF88+BP!DF88</f>
        <v>0</v>
      </c>
      <c r="DG88" s="106">
        <f t="shared" ref="DG88:DG89" si="529">+SUM(CU88:DF88)</f>
        <v>1876324.2087074001</v>
      </c>
      <c r="DH88" s="118"/>
      <c r="DI88" s="106">
        <f>+PMGR!DI88+BP!DI88</f>
        <v>321493.85190000007</v>
      </c>
      <c r="DJ88" s="106">
        <f>+PMGR!DJ88+BP!DJ88</f>
        <v>319856.97536000004</v>
      </c>
      <c r="DK88" s="106">
        <f>+PMGR!DK88+BP!DK88</f>
        <v>358202.22074000002</v>
      </c>
      <c r="DL88" s="106">
        <f>+PMGR!DL88+BP!DL88</f>
        <v>258581.72650000002</v>
      </c>
      <c r="DM88" s="106">
        <f>+PMGR!DM88+BP!DM88</f>
        <v>308776.41709999996</v>
      </c>
      <c r="DN88" s="106">
        <f>+PMGR!DN88+BP!DN88</f>
        <v>333873.76240000007</v>
      </c>
      <c r="DO88" s="106">
        <f>+PMGR!DO88+BP!DO88</f>
        <v>342342.2107</v>
      </c>
      <c r="DP88" s="106">
        <f>+PMGR!DP88+BP!DP88</f>
        <v>350427.65399999998</v>
      </c>
      <c r="DQ88" s="106">
        <f>+PMGR!DQ88+BP!DQ88</f>
        <v>349648.07530000003</v>
      </c>
      <c r="DR88" s="106">
        <f>+PMGR!DR88+BP!DR88</f>
        <v>282157.41709999996</v>
      </c>
      <c r="DS88" s="106">
        <f>+PMGR!DS88+BP!DS88</f>
        <v>292273.43368000002</v>
      </c>
      <c r="DT88" s="106">
        <f>+PMGR!DT88+BP!DT88</f>
        <v>326801.05522000004</v>
      </c>
      <c r="DU88" s="106">
        <f t="shared" ref="DU88:DU89" si="530">+SUM(DI88:DT88)</f>
        <v>3844434.8000000003</v>
      </c>
      <c r="DV88" s="106"/>
      <c r="DW88" s="106">
        <f>+PMGR!DW88+BP!DW88</f>
        <v>0</v>
      </c>
      <c r="DX88" s="106">
        <f>+PMGR!DX88+BP!DX88</f>
        <v>0</v>
      </c>
      <c r="DY88" s="106">
        <f>+PMGR!DY88+BP!DY88</f>
        <v>0</v>
      </c>
      <c r="DZ88" s="106">
        <f>+PMGR!DZ88+BP!DZ88</f>
        <v>0</v>
      </c>
      <c r="EA88" s="106">
        <f>+PMGR!EA88+BP!EA88</f>
        <v>0</v>
      </c>
      <c r="EB88" s="106">
        <f>+PMGR!EB88+BP!EB88</f>
        <v>0</v>
      </c>
      <c r="EC88" s="106">
        <f>+PMGR!EC88+BP!EC88</f>
        <v>0</v>
      </c>
      <c r="ED88" s="106">
        <f>+PMGR!ED88+BP!ED88</f>
        <v>0</v>
      </c>
      <c r="EE88" s="106">
        <f>+PMGR!EE88+BP!EE88</f>
        <v>0</v>
      </c>
      <c r="EF88" s="106">
        <f>+PMGR!EF88+BP!EF88</f>
        <v>0</v>
      </c>
      <c r="EG88" s="106">
        <f>+PMGR!EG88+BP!EG88</f>
        <v>0</v>
      </c>
      <c r="EH88" s="106">
        <f>+PMGR!EH88+BP!EH88</f>
        <v>0</v>
      </c>
      <c r="EI88" s="106">
        <f t="shared" ref="EI88:EI89" si="531">+SUM(DW88:EH88)</f>
        <v>0</v>
      </c>
      <c r="EJ88" s="16" t="str">
        <f t="shared" si="457"/>
        <v>Incentive to Employee</v>
      </c>
      <c r="EK88" s="106">
        <f>+PMGR!EK88+BP!EK88</f>
        <v>51450</v>
      </c>
      <c r="EL88" s="106">
        <f>+PMGR!EL88+BP!EL88</f>
        <v>16500</v>
      </c>
      <c r="EM88" s="106">
        <f>+PMGR!EM88+BP!EM88</f>
        <v>69235.37</v>
      </c>
      <c r="EN88" s="106">
        <f>+PMGR!EN88+BP!EN88</f>
        <v>37142.42</v>
      </c>
      <c r="EO88" s="106">
        <f>+PMGR!EO88+BP!EO88</f>
        <v>79902.66</v>
      </c>
      <c r="EP88" s="106">
        <f>+PMGR!EP88+BP!EP88</f>
        <v>105172.09300000001</v>
      </c>
      <c r="EQ88" s="106">
        <f>+PMGR!EQ88+BP!EQ88</f>
        <v>76793.875999999989</v>
      </c>
      <c r="ER88" s="106">
        <f>+PMGR!ER88+BP!ER88</f>
        <v>79079.299999999988</v>
      </c>
      <c r="ES88" s="106">
        <f>+PMGR!ES88+BP!ES88</f>
        <v>192407.88800000004</v>
      </c>
      <c r="ET88" s="106">
        <f>+PMGR!ET88+BP!ET88</f>
        <v>60522</v>
      </c>
      <c r="EU88" s="106">
        <f>+PMGR!EU88+BP!EU88</f>
        <v>0</v>
      </c>
      <c r="EV88" s="106">
        <f>+PMGR!EV88+BP!EV88</f>
        <v>0</v>
      </c>
      <c r="EW88" s="106">
        <f t="shared" ref="EW88:EW89" si="532">+SUM(EK88:EV88)</f>
        <v>768205.60700000008</v>
      </c>
      <c r="EX88" s="118"/>
      <c r="EY88" s="106">
        <f>+PMGR!EY88+BP!EY88</f>
        <v>134015.58000000002</v>
      </c>
      <c r="EZ88" s="106">
        <f>+PMGR!EZ88+BP!EZ88</f>
        <v>125081.20800000001</v>
      </c>
      <c r="FA88" s="106">
        <f>+PMGR!FA88+BP!FA88</f>
        <v>139599.5625</v>
      </c>
      <c r="FB88" s="106">
        <f>+PMGR!FB88+BP!FB88</f>
        <v>125081.20800000001</v>
      </c>
      <c r="FC88" s="106">
        <f>+PMGR!FC88+BP!FC88</f>
        <v>148906.20000000001</v>
      </c>
      <c r="FD88" s="106">
        <f>+PMGR!FD88+BP!FD88</f>
        <v>148906.20000000001</v>
      </c>
      <c r="FE88" s="106">
        <f>+PMGR!FE88+BP!FE88</f>
        <v>167519.47500000001</v>
      </c>
      <c r="FF88" s="106">
        <f>+PMGR!FF88+BP!FF88</f>
        <v>161315.05000000002</v>
      </c>
      <c r="FG88" s="106">
        <f>+PMGR!FG88+BP!FG88</f>
        <v>154117.91700000002</v>
      </c>
      <c r="FH88" s="106">
        <f>+PMGR!FH88+BP!FH88</f>
        <v>144812.22222222225</v>
      </c>
      <c r="FI88" s="106">
        <f>+PMGR!FI88+BP!FI88</f>
        <v>150743.91555555558</v>
      </c>
      <c r="FJ88" s="106">
        <f>+PMGR!FJ88+BP!FJ88</f>
        <v>159796.66824242426</v>
      </c>
      <c r="FK88" s="106">
        <f t="shared" ref="FK88:FK89" si="533">+SUM(EY88:FJ88)</f>
        <v>1759895.2065202021</v>
      </c>
    </row>
    <row r="89" spans="1:167" ht="14.45" hidden="1" customHeight="1" outlineLevel="2">
      <c r="A89" s="106">
        <f t="shared" si="520"/>
        <v>0</v>
      </c>
      <c r="B89" s="106">
        <f t="shared" si="520"/>
        <v>0</v>
      </c>
      <c r="C89" s="106">
        <f t="shared" si="520"/>
        <v>0</v>
      </c>
      <c r="D89" s="106">
        <f t="shared" si="520"/>
        <v>0</v>
      </c>
      <c r="E89" s="106">
        <f t="shared" si="520"/>
        <v>0</v>
      </c>
      <c r="F89" s="106">
        <f t="shared" si="520"/>
        <v>0</v>
      </c>
      <c r="G89" s="106">
        <f t="shared" si="520"/>
        <v>0</v>
      </c>
      <c r="H89" s="106">
        <f t="shared" si="520"/>
        <v>0</v>
      </c>
      <c r="I89" s="106">
        <f t="shared" si="520"/>
        <v>0</v>
      </c>
      <c r="J89" s="106">
        <f t="shared" si="520"/>
        <v>0</v>
      </c>
      <c r="K89" s="106">
        <f t="shared" si="520"/>
        <v>0</v>
      </c>
      <c r="L89" s="106">
        <f t="shared" si="520"/>
        <v>0</v>
      </c>
      <c r="M89" s="106">
        <f t="shared" si="503"/>
        <v>0</v>
      </c>
      <c r="N89" s="16" t="s">
        <v>223</v>
      </c>
      <c r="O89" s="106">
        <f t="shared" si="521"/>
        <v>0</v>
      </c>
      <c r="P89" s="106">
        <f t="shared" si="521"/>
        <v>0</v>
      </c>
      <c r="Q89" s="106">
        <f t="shared" si="521"/>
        <v>0</v>
      </c>
      <c r="R89" s="106">
        <f t="shared" si="521"/>
        <v>0</v>
      </c>
      <c r="S89" s="106">
        <f t="shared" si="521"/>
        <v>0</v>
      </c>
      <c r="T89" s="106">
        <f t="shared" si="521"/>
        <v>0</v>
      </c>
      <c r="U89" s="106">
        <f t="shared" si="521"/>
        <v>0</v>
      </c>
      <c r="V89" s="106">
        <f t="shared" si="521"/>
        <v>0</v>
      </c>
      <c r="W89" s="106">
        <f t="shared" si="521"/>
        <v>0</v>
      </c>
      <c r="X89" s="106">
        <f t="shared" si="521"/>
        <v>0</v>
      </c>
      <c r="Y89" s="106">
        <f t="shared" si="521"/>
        <v>0</v>
      </c>
      <c r="Z89" s="106">
        <f t="shared" si="521"/>
        <v>0</v>
      </c>
      <c r="AA89" s="106">
        <f t="shared" si="522"/>
        <v>0</v>
      </c>
      <c r="AB89" s="118"/>
      <c r="AC89" s="106">
        <f t="shared" si="523"/>
        <v>0</v>
      </c>
      <c r="AD89" s="106">
        <f t="shared" si="523"/>
        <v>0</v>
      </c>
      <c r="AE89" s="106">
        <f t="shared" si="523"/>
        <v>0</v>
      </c>
      <c r="AF89" s="106">
        <f t="shared" si="523"/>
        <v>0</v>
      </c>
      <c r="AG89" s="106">
        <f t="shared" si="523"/>
        <v>0</v>
      </c>
      <c r="AH89" s="106">
        <f t="shared" si="523"/>
        <v>0</v>
      </c>
      <c r="AI89" s="106">
        <f t="shared" si="523"/>
        <v>0</v>
      </c>
      <c r="AJ89" s="106">
        <f t="shared" si="523"/>
        <v>0</v>
      </c>
      <c r="AK89" s="106">
        <f t="shared" si="523"/>
        <v>0</v>
      </c>
      <c r="AL89" s="106">
        <f t="shared" si="523"/>
        <v>0</v>
      </c>
      <c r="AM89" s="106">
        <f t="shared" si="523"/>
        <v>0</v>
      </c>
      <c r="AN89" s="106">
        <f t="shared" si="523"/>
        <v>0</v>
      </c>
      <c r="AO89" s="106">
        <f t="shared" si="524"/>
        <v>0</v>
      </c>
      <c r="AP89" s="106"/>
      <c r="AQ89" s="106">
        <f>+PMGR!AQ89+BP!AQ89</f>
        <v>0</v>
      </c>
      <c r="AR89" s="106">
        <f>+PMGR!AR89+BP!AR89</f>
        <v>0</v>
      </c>
      <c r="AS89" s="106">
        <f>+PMGR!AS89+BP!AS89</f>
        <v>0</v>
      </c>
      <c r="AT89" s="106">
        <f>+PMGR!AT89+BP!AT89</f>
        <v>0</v>
      </c>
      <c r="AU89" s="106">
        <f>+PMGR!AU89+BP!AU89</f>
        <v>0</v>
      </c>
      <c r="AV89" s="106">
        <f>+PMGR!AV89+BP!AV89</f>
        <v>0</v>
      </c>
      <c r="AW89" s="106">
        <f>+PMGR!AW89+BP!AW89</f>
        <v>0</v>
      </c>
      <c r="AX89" s="106">
        <f>+PMGR!AX89+BP!AX89</f>
        <v>0</v>
      </c>
      <c r="AY89" s="106">
        <f>+PMGR!AY89+BP!AY89</f>
        <v>0</v>
      </c>
      <c r="AZ89" s="106">
        <f>+PMGR!AZ89+BP!AZ89</f>
        <v>0</v>
      </c>
      <c r="BA89" s="106">
        <f>+PMGR!BA89+BP!BA89</f>
        <v>0</v>
      </c>
      <c r="BB89" s="106">
        <f>+PMGR!BB89+BP!BB89</f>
        <v>0</v>
      </c>
      <c r="BC89" s="106">
        <f t="shared" si="525"/>
        <v>0</v>
      </c>
      <c r="BD89" s="16" t="str">
        <f t="shared" si="405"/>
        <v>XOXODAY MBIL Incentive</v>
      </c>
      <c r="BE89" s="106">
        <f>+PMGR!BE89+BP!BE89</f>
        <v>0</v>
      </c>
      <c r="BF89" s="106">
        <f>+PMGR!BF89+BP!BF89</f>
        <v>0</v>
      </c>
      <c r="BG89" s="106">
        <f>+PMGR!BG89+BP!BG89</f>
        <v>0</v>
      </c>
      <c r="BH89" s="106">
        <f>+PMGR!BH89+BP!BH89</f>
        <v>0</v>
      </c>
      <c r="BI89" s="106">
        <f>+PMGR!BI89+BP!BI89</f>
        <v>0</v>
      </c>
      <c r="BJ89" s="106">
        <f>+PMGR!BJ89+BP!BJ89</f>
        <v>0</v>
      </c>
      <c r="BK89" s="106">
        <f>+PMGR!BK89+BP!BK89</f>
        <v>0</v>
      </c>
      <c r="BL89" s="106">
        <f>+PMGR!BL89+BP!BL89</f>
        <v>0</v>
      </c>
      <c r="BM89" s="106">
        <f>+PMGR!BM89+BP!BM89</f>
        <v>0</v>
      </c>
      <c r="BN89" s="106">
        <f>+PMGR!BN89+BP!BN89</f>
        <v>0</v>
      </c>
      <c r="BO89" s="106">
        <f>+PMGR!BO89+BP!BO89</f>
        <v>0</v>
      </c>
      <c r="BP89" s="106">
        <f>+PMGR!BP89+BP!BP89</f>
        <v>0</v>
      </c>
      <c r="BQ89" s="106">
        <f t="shared" si="526"/>
        <v>0</v>
      </c>
      <c r="BR89" s="118"/>
      <c r="BS89" s="106">
        <f>+PMGR!BS89+BP!BS89</f>
        <v>0</v>
      </c>
      <c r="BT89" s="106">
        <f>+PMGR!BT89+BP!BT89</f>
        <v>0</v>
      </c>
      <c r="BU89" s="106">
        <f>+PMGR!BU89+BP!BU89</f>
        <v>0</v>
      </c>
      <c r="BV89" s="106">
        <f>+PMGR!BV89+BP!BV89</f>
        <v>0</v>
      </c>
      <c r="BW89" s="106">
        <f>+PMGR!BW89+BP!BW89</f>
        <v>0</v>
      </c>
      <c r="BX89" s="106">
        <f>+PMGR!BX89+BP!BX89</f>
        <v>0</v>
      </c>
      <c r="BY89" s="106">
        <f>+PMGR!BY89+BP!BY89</f>
        <v>0</v>
      </c>
      <c r="BZ89" s="106">
        <f>+PMGR!BZ89+BP!BZ89</f>
        <v>0</v>
      </c>
      <c r="CA89" s="106">
        <f>+PMGR!CA89+BP!CA89</f>
        <v>0</v>
      </c>
      <c r="CB89" s="106">
        <f>+PMGR!CB89+BP!CB89</f>
        <v>0</v>
      </c>
      <c r="CC89" s="106">
        <f>+PMGR!CC89+BP!CC89</f>
        <v>0</v>
      </c>
      <c r="CD89" s="106">
        <f>+PMGR!CD89+BP!CD89</f>
        <v>0</v>
      </c>
      <c r="CE89" s="106">
        <f t="shared" si="527"/>
        <v>0</v>
      </c>
      <c r="CF89" s="106"/>
      <c r="CG89" s="106">
        <f>+PMGR!CG89+BP!CG89</f>
        <v>0</v>
      </c>
      <c r="CH89" s="106">
        <f>+PMGR!CH89+BP!CH89</f>
        <v>0</v>
      </c>
      <c r="CI89" s="106">
        <f>+PMGR!CI89+BP!CI89</f>
        <v>0</v>
      </c>
      <c r="CJ89" s="106">
        <f>+PMGR!CJ89+BP!CJ89</f>
        <v>0</v>
      </c>
      <c r="CK89" s="106">
        <f>+PMGR!CK89+BP!CK89</f>
        <v>0</v>
      </c>
      <c r="CL89" s="106">
        <f>+PMGR!CL89+BP!CL89</f>
        <v>0</v>
      </c>
      <c r="CM89" s="106">
        <f>+PMGR!CM89+BP!CM89</f>
        <v>0</v>
      </c>
      <c r="CN89" s="106">
        <f>+PMGR!CN89+BP!CN89</f>
        <v>0</v>
      </c>
      <c r="CO89" s="106">
        <f>+PMGR!CO89+BP!CO89</f>
        <v>0</v>
      </c>
      <c r="CP89" s="106">
        <f>+PMGR!CP89+BP!CP89</f>
        <v>0</v>
      </c>
      <c r="CQ89" s="106">
        <f>+PMGR!CQ89+BP!CQ89</f>
        <v>0</v>
      </c>
      <c r="CR89" s="106">
        <f>+PMGR!CR89+BP!CR89</f>
        <v>0</v>
      </c>
      <c r="CS89" s="106">
        <f t="shared" si="528"/>
        <v>0</v>
      </c>
      <c r="CT89" s="16" t="str">
        <f t="shared" si="409"/>
        <v>XOXODAY MBIL Incentive</v>
      </c>
      <c r="CU89" s="106">
        <f>+PMGR!CU89+BP!CU89</f>
        <v>0</v>
      </c>
      <c r="CV89" s="106">
        <f>+PMGR!CV89+BP!CV89</f>
        <v>0</v>
      </c>
      <c r="CW89" s="106">
        <f>+PMGR!CW89+BP!CW89</f>
        <v>0</v>
      </c>
      <c r="CX89" s="106">
        <f>+PMGR!CX89+BP!CX89</f>
        <v>0</v>
      </c>
      <c r="CY89" s="106">
        <f>+PMGR!CY89+BP!CY89</f>
        <v>0</v>
      </c>
      <c r="CZ89" s="106">
        <f>+PMGR!CZ89+BP!CZ89</f>
        <v>0</v>
      </c>
      <c r="DA89" s="106">
        <f>+PMGR!DA89+BP!DA89</f>
        <v>0</v>
      </c>
      <c r="DB89" s="106">
        <f>+PMGR!DB89+BP!DB89</f>
        <v>0</v>
      </c>
      <c r="DC89" s="106">
        <f>+PMGR!DC89+BP!DC89</f>
        <v>0</v>
      </c>
      <c r="DD89" s="106">
        <f>+PMGR!DD89+BP!DD89</f>
        <v>0</v>
      </c>
      <c r="DE89" s="106">
        <f>+PMGR!DE89+BP!DE89</f>
        <v>0</v>
      </c>
      <c r="DF89" s="106">
        <f>+PMGR!DF89+BP!DF89</f>
        <v>0</v>
      </c>
      <c r="DG89" s="106">
        <f t="shared" si="529"/>
        <v>0</v>
      </c>
      <c r="DH89" s="118"/>
      <c r="DI89" s="106">
        <f>+PMGR!DI89+BP!DI89</f>
        <v>0</v>
      </c>
      <c r="DJ89" s="106">
        <f>+PMGR!DJ89+BP!DJ89</f>
        <v>0</v>
      </c>
      <c r="DK89" s="106">
        <f>+PMGR!DK89+BP!DK89</f>
        <v>0</v>
      </c>
      <c r="DL89" s="106">
        <f>+PMGR!DL89+BP!DL89</f>
        <v>0</v>
      </c>
      <c r="DM89" s="106">
        <f>+PMGR!DM89+BP!DM89</f>
        <v>0</v>
      </c>
      <c r="DN89" s="106">
        <f>+PMGR!DN89+BP!DN89</f>
        <v>0</v>
      </c>
      <c r="DO89" s="106">
        <f>+PMGR!DO89+BP!DO89</f>
        <v>0</v>
      </c>
      <c r="DP89" s="106">
        <f>+PMGR!DP89+BP!DP89</f>
        <v>0</v>
      </c>
      <c r="DQ89" s="106">
        <f>+PMGR!DQ89+BP!DQ89</f>
        <v>0</v>
      </c>
      <c r="DR89" s="106">
        <f>+PMGR!DR89+BP!DR89</f>
        <v>0</v>
      </c>
      <c r="DS89" s="106">
        <f>+PMGR!DS89+BP!DS89</f>
        <v>0</v>
      </c>
      <c r="DT89" s="106">
        <f>+PMGR!DT89+BP!DT89</f>
        <v>0</v>
      </c>
      <c r="DU89" s="106">
        <f t="shared" si="530"/>
        <v>0</v>
      </c>
      <c r="DV89" s="106"/>
      <c r="DW89" s="106">
        <f>+PMGR!DW89+BP!DW89</f>
        <v>0</v>
      </c>
      <c r="DX89" s="106">
        <f>+PMGR!DX89+BP!DX89</f>
        <v>0</v>
      </c>
      <c r="DY89" s="106">
        <f>+PMGR!DY89+BP!DY89</f>
        <v>0</v>
      </c>
      <c r="DZ89" s="106">
        <f>+PMGR!DZ89+BP!DZ89</f>
        <v>0</v>
      </c>
      <c r="EA89" s="106">
        <f>+PMGR!EA89+BP!EA89</f>
        <v>0</v>
      </c>
      <c r="EB89" s="106">
        <f>+PMGR!EB89+BP!EB89</f>
        <v>0</v>
      </c>
      <c r="EC89" s="106">
        <f>+PMGR!EC89+BP!EC89</f>
        <v>0</v>
      </c>
      <c r="ED89" s="106">
        <f>+PMGR!ED89+BP!ED89</f>
        <v>0</v>
      </c>
      <c r="EE89" s="106">
        <f>+PMGR!EE89+BP!EE89</f>
        <v>0</v>
      </c>
      <c r="EF89" s="106">
        <f>+PMGR!EF89+BP!EF89</f>
        <v>0</v>
      </c>
      <c r="EG89" s="106">
        <f>+PMGR!EG89+BP!EG89</f>
        <v>0</v>
      </c>
      <c r="EH89" s="106">
        <f>+PMGR!EH89+BP!EH89</f>
        <v>0</v>
      </c>
      <c r="EI89" s="106">
        <f t="shared" si="531"/>
        <v>0</v>
      </c>
      <c r="EJ89" s="16" t="str">
        <f t="shared" si="457"/>
        <v>XOXODAY MBIL Incentive</v>
      </c>
      <c r="EK89" s="106">
        <f>+PMGR!EK89+BP!EK89</f>
        <v>0</v>
      </c>
      <c r="EL89" s="106">
        <f>+PMGR!EL89+BP!EL89</f>
        <v>0</v>
      </c>
      <c r="EM89" s="106">
        <f>+PMGR!EM89+BP!EM89</f>
        <v>0</v>
      </c>
      <c r="EN89" s="106">
        <f>+PMGR!EN89+BP!EN89</f>
        <v>0</v>
      </c>
      <c r="EO89" s="106">
        <f>+PMGR!EO89+BP!EO89</f>
        <v>0</v>
      </c>
      <c r="EP89" s="106">
        <f>+PMGR!EP89+BP!EP89</f>
        <v>0</v>
      </c>
      <c r="EQ89" s="106">
        <f>+PMGR!EQ89+BP!EQ89</f>
        <v>0</v>
      </c>
      <c r="ER89" s="106">
        <f>+PMGR!ER89+BP!ER89</f>
        <v>0</v>
      </c>
      <c r="ES89" s="106">
        <f>+PMGR!ES89+BP!ES89</f>
        <v>0</v>
      </c>
      <c r="ET89" s="106">
        <f>+PMGR!ET89+BP!ET89</f>
        <v>0</v>
      </c>
      <c r="EU89" s="106">
        <f>+PMGR!EU89+BP!EU89</f>
        <v>0</v>
      </c>
      <c r="EV89" s="106">
        <f>+PMGR!EV89+BP!EV89</f>
        <v>0</v>
      </c>
      <c r="EW89" s="106">
        <f t="shared" si="532"/>
        <v>0</v>
      </c>
      <c r="EX89" s="118"/>
      <c r="EY89" s="106">
        <f>+PMGR!EY89+BP!EY89</f>
        <v>0</v>
      </c>
      <c r="EZ89" s="106">
        <f>+PMGR!EZ89+BP!EZ89</f>
        <v>0</v>
      </c>
      <c r="FA89" s="106">
        <f>+PMGR!FA89+BP!FA89</f>
        <v>0</v>
      </c>
      <c r="FB89" s="106">
        <f>+PMGR!FB89+BP!FB89</f>
        <v>0</v>
      </c>
      <c r="FC89" s="106">
        <f>+PMGR!FC89+BP!FC89</f>
        <v>0</v>
      </c>
      <c r="FD89" s="106">
        <f>+PMGR!FD89+BP!FD89</f>
        <v>0</v>
      </c>
      <c r="FE89" s="106">
        <f>+PMGR!FE89+BP!FE89</f>
        <v>0</v>
      </c>
      <c r="FF89" s="106">
        <f>+PMGR!FF89+BP!FF89</f>
        <v>0</v>
      </c>
      <c r="FG89" s="106">
        <f>+PMGR!FG89+BP!FG89</f>
        <v>0</v>
      </c>
      <c r="FH89" s="106">
        <f>+PMGR!FH89+BP!FH89</f>
        <v>0</v>
      </c>
      <c r="FI89" s="106">
        <f>+PMGR!FI89+BP!FI89</f>
        <v>0</v>
      </c>
      <c r="FJ89" s="106">
        <f>+PMGR!FJ89+BP!FJ89</f>
        <v>0</v>
      </c>
      <c r="FK89" s="106">
        <f t="shared" si="533"/>
        <v>0</v>
      </c>
    </row>
    <row r="90" spans="1:167" ht="14.45" hidden="1" customHeight="1" outlineLevel="1">
      <c r="A90" s="58">
        <f t="shared" ref="A90:M90" si="534">+SUM(A91:A102)</f>
        <v>1420</v>
      </c>
      <c r="B90" s="58">
        <f t="shared" si="534"/>
        <v>10000</v>
      </c>
      <c r="C90" s="58">
        <f t="shared" si="534"/>
        <v>13456.86</v>
      </c>
      <c r="D90" s="58">
        <f t="shared" si="534"/>
        <v>1268</v>
      </c>
      <c r="E90" s="58">
        <f t="shared" si="534"/>
        <v>160</v>
      </c>
      <c r="F90" s="58">
        <f t="shared" si="534"/>
        <v>6250</v>
      </c>
      <c r="G90" s="58">
        <f t="shared" si="534"/>
        <v>36428.81</v>
      </c>
      <c r="H90" s="58">
        <f t="shared" si="534"/>
        <v>42454.71</v>
      </c>
      <c r="I90" s="58">
        <f t="shared" si="534"/>
        <v>26046.3</v>
      </c>
      <c r="J90" s="58">
        <f t="shared" si="534"/>
        <v>16053.145</v>
      </c>
      <c r="K90" s="58">
        <f t="shared" si="534"/>
        <v>19165.25</v>
      </c>
      <c r="L90" s="58">
        <f t="shared" si="534"/>
        <v>54021.035000000003</v>
      </c>
      <c r="M90" s="58">
        <f t="shared" si="534"/>
        <v>226724.11</v>
      </c>
      <c r="N90" s="18" t="s">
        <v>72</v>
      </c>
      <c r="O90" s="58">
        <f t="shared" ref="O90:AA90" si="535">+SUM(O91:O102)</f>
        <v>161380.715</v>
      </c>
      <c r="P90" s="58">
        <f t="shared" si="535"/>
        <v>28341.120000000003</v>
      </c>
      <c r="Q90" s="58">
        <f t="shared" si="535"/>
        <v>23204.04</v>
      </c>
      <c r="R90" s="58">
        <f t="shared" si="535"/>
        <v>22380</v>
      </c>
      <c r="S90" s="58">
        <f t="shared" si="535"/>
        <v>30325.8</v>
      </c>
      <c r="T90" s="58">
        <f t="shared" si="535"/>
        <v>47410.48</v>
      </c>
      <c r="U90" s="58">
        <f t="shared" si="535"/>
        <v>14884.385</v>
      </c>
      <c r="V90" s="58">
        <f t="shared" si="535"/>
        <v>23004</v>
      </c>
      <c r="W90" s="58">
        <f t="shared" si="535"/>
        <v>77465.636666666673</v>
      </c>
      <c r="X90" s="58">
        <f t="shared" si="535"/>
        <v>98186.404999999999</v>
      </c>
      <c r="Y90" s="58">
        <f t="shared" si="535"/>
        <v>0</v>
      </c>
      <c r="Z90" s="58">
        <f t="shared" si="535"/>
        <v>0</v>
      </c>
      <c r="AA90" s="58">
        <f t="shared" si="535"/>
        <v>526582.58166666667</v>
      </c>
      <c r="AB90" s="118"/>
      <c r="AC90" s="58">
        <f t="shared" ref="AC90:AO90" si="536">+SUM(AC91:AC102)</f>
        <v>22750</v>
      </c>
      <c r="AD90" s="58">
        <f t="shared" si="536"/>
        <v>22750</v>
      </c>
      <c r="AE90" s="58">
        <f t="shared" si="536"/>
        <v>22750</v>
      </c>
      <c r="AF90" s="58">
        <f t="shared" si="536"/>
        <v>22750</v>
      </c>
      <c r="AG90" s="58">
        <f t="shared" si="536"/>
        <v>22750</v>
      </c>
      <c r="AH90" s="58">
        <f t="shared" si="536"/>
        <v>22750</v>
      </c>
      <c r="AI90" s="58">
        <f t="shared" si="536"/>
        <v>22750</v>
      </c>
      <c r="AJ90" s="58">
        <f t="shared" si="536"/>
        <v>22750</v>
      </c>
      <c r="AK90" s="58">
        <f t="shared" si="536"/>
        <v>22750</v>
      </c>
      <c r="AL90" s="58">
        <f t="shared" si="536"/>
        <v>22750</v>
      </c>
      <c r="AM90" s="58">
        <f t="shared" si="536"/>
        <v>22750</v>
      </c>
      <c r="AN90" s="58">
        <f t="shared" si="536"/>
        <v>22750</v>
      </c>
      <c r="AO90" s="58">
        <f t="shared" si="536"/>
        <v>273000</v>
      </c>
      <c r="AP90" s="106"/>
      <c r="AQ90" s="58">
        <f t="shared" ref="AQ90:BC90" si="537">+SUM(AQ91:AQ102)</f>
        <v>0</v>
      </c>
      <c r="AR90" s="58">
        <f t="shared" si="537"/>
        <v>10000</v>
      </c>
      <c r="AS90" s="58">
        <f t="shared" si="537"/>
        <v>12256.86</v>
      </c>
      <c r="AT90" s="58">
        <f t="shared" si="537"/>
        <v>0</v>
      </c>
      <c r="AU90" s="58">
        <f t="shared" si="537"/>
        <v>0</v>
      </c>
      <c r="AV90" s="58">
        <f t="shared" si="537"/>
        <v>3500</v>
      </c>
      <c r="AW90" s="58">
        <f t="shared" si="537"/>
        <v>33660.6</v>
      </c>
      <c r="AX90" s="58">
        <f t="shared" si="537"/>
        <v>28971</v>
      </c>
      <c r="AY90" s="58">
        <f t="shared" si="537"/>
        <v>21900.799999999999</v>
      </c>
      <c r="AZ90" s="58">
        <f t="shared" si="537"/>
        <v>14736</v>
      </c>
      <c r="BA90" s="58">
        <f t="shared" si="537"/>
        <v>18024</v>
      </c>
      <c r="BB90" s="58">
        <f t="shared" si="537"/>
        <v>8000</v>
      </c>
      <c r="BC90" s="58">
        <f t="shared" si="537"/>
        <v>151049.26</v>
      </c>
      <c r="BD90" s="18" t="str">
        <f t="shared" si="405"/>
        <v>Delivery Expenses</v>
      </c>
      <c r="BE90" s="58">
        <f t="shared" ref="BE90:BQ90" si="538">+SUM(BE91:BE102)</f>
        <v>45433</v>
      </c>
      <c r="BF90" s="58">
        <f t="shared" si="538"/>
        <v>7512</v>
      </c>
      <c r="BG90" s="58">
        <f t="shared" si="538"/>
        <v>14736</v>
      </c>
      <c r="BH90" s="58">
        <f t="shared" si="538"/>
        <v>10512</v>
      </c>
      <c r="BI90" s="58">
        <f t="shared" si="538"/>
        <v>0</v>
      </c>
      <c r="BJ90" s="58">
        <f t="shared" si="538"/>
        <v>15636</v>
      </c>
      <c r="BK90" s="58">
        <f t="shared" si="538"/>
        <v>2859.75</v>
      </c>
      <c r="BL90" s="58">
        <f t="shared" si="538"/>
        <v>14736</v>
      </c>
      <c r="BM90" s="58">
        <f t="shared" si="538"/>
        <v>62429.87</v>
      </c>
      <c r="BN90" s="58">
        <f t="shared" si="538"/>
        <v>51338.270000000004</v>
      </c>
      <c r="BO90" s="58">
        <f t="shared" si="538"/>
        <v>0</v>
      </c>
      <c r="BP90" s="58">
        <f t="shared" si="538"/>
        <v>0</v>
      </c>
      <c r="BQ90" s="58">
        <f t="shared" si="538"/>
        <v>225192.89</v>
      </c>
      <c r="BR90" s="118"/>
      <c r="BS90" s="58">
        <f t="shared" ref="BS90:CE90" si="539">+SUM(BS91:BS102)</f>
        <v>11000</v>
      </c>
      <c r="BT90" s="58">
        <f t="shared" si="539"/>
        <v>11000</v>
      </c>
      <c r="BU90" s="58">
        <f t="shared" si="539"/>
        <v>11000</v>
      </c>
      <c r="BV90" s="58">
        <f t="shared" si="539"/>
        <v>11000</v>
      </c>
      <c r="BW90" s="58">
        <f t="shared" si="539"/>
        <v>11000</v>
      </c>
      <c r="BX90" s="58">
        <f t="shared" si="539"/>
        <v>11000</v>
      </c>
      <c r="BY90" s="58">
        <f t="shared" si="539"/>
        <v>11000</v>
      </c>
      <c r="BZ90" s="58">
        <f t="shared" si="539"/>
        <v>11000</v>
      </c>
      <c r="CA90" s="58">
        <f t="shared" si="539"/>
        <v>11000</v>
      </c>
      <c r="CB90" s="58">
        <f t="shared" si="539"/>
        <v>11000</v>
      </c>
      <c r="CC90" s="58">
        <f t="shared" si="539"/>
        <v>11000</v>
      </c>
      <c r="CD90" s="58">
        <f t="shared" si="539"/>
        <v>11000</v>
      </c>
      <c r="CE90" s="58">
        <f t="shared" si="539"/>
        <v>132000</v>
      </c>
      <c r="CF90" s="106"/>
      <c r="CG90" s="58">
        <f t="shared" ref="CG90:CS90" si="540">+SUM(CG91:CG102)</f>
        <v>1420</v>
      </c>
      <c r="CH90" s="58">
        <f t="shared" si="540"/>
        <v>0</v>
      </c>
      <c r="CI90" s="58">
        <f t="shared" si="540"/>
        <v>1200</v>
      </c>
      <c r="CJ90" s="58">
        <f t="shared" si="540"/>
        <v>1268</v>
      </c>
      <c r="CK90" s="58">
        <f t="shared" si="540"/>
        <v>160</v>
      </c>
      <c r="CL90" s="58">
        <f t="shared" si="540"/>
        <v>2750</v>
      </c>
      <c r="CM90" s="58">
        <f t="shared" si="540"/>
        <v>2768.21</v>
      </c>
      <c r="CN90" s="58">
        <f t="shared" si="540"/>
        <v>13483.71</v>
      </c>
      <c r="CO90" s="58">
        <f t="shared" si="540"/>
        <v>4145.5</v>
      </c>
      <c r="CP90" s="58">
        <f t="shared" si="540"/>
        <v>1317.145</v>
      </c>
      <c r="CQ90" s="58">
        <f t="shared" si="540"/>
        <v>1141.25</v>
      </c>
      <c r="CR90" s="58">
        <f t="shared" si="540"/>
        <v>46021.035000000003</v>
      </c>
      <c r="CS90" s="58">
        <f t="shared" si="540"/>
        <v>75674.850000000006</v>
      </c>
      <c r="CT90" s="18" t="str">
        <f t="shared" si="409"/>
        <v>Delivery Expenses</v>
      </c>
      <c r="CU90" s="58">
        <f t="shared" ref="CU90:DG90" si="541">+SUM(CU91:CU102)</f>
        <v>43472.184999999998</v>
      </c>
      <c r="CV90" s="58">
        <f t="shared" si="541"/>
        <v>8776.1200000000008</v>
      </c>
      <c r="CW90" s="58">
        <f t="shared" si="541"/>
        <v>956.04</v>
      </c>
      <c r="CX90" s="58">
        <f t="shared" si="541"/>
        <v>11868</v>
      </c>
      <c r="CY90" s="58">
        <f t="shared" si="541"/>
        <v>8077.8</v>
      </c>
      <c r="CZ90" s="58">
        <f t="shared" si="541"/>
        <v>9067.0400000000009</v>
      </c>
      <c r="DA90" s="58">
        <f t="shared" si="541"/>
        <v>11446.634999999998</v>
      </c>
      <c r="DB90" s="58">
        <f t="shared" si="541"/>
        <v>7368</v>
      </c>
      <c r="DC90" s="58">
        <f t="shared" si="541"/>
        <v>13283.494444444445</v>
      </c>
      <c r="DD90" s="58">
        <f t="shared" si="541"/>
        <v>2218.0950000000003</v>
      </c>
      <c r="DE90" s="58">
        <f t="shared" si="541"/>
        <v>0</v>
      </c>
      <c r="DF90" s="58">
        <f t="shared" si="541"/>
        <v>0</v>
      </c>
      <c r="DG90" s="58">
        <f t="shared" si="541"/>
        <v>116533.40944444445</v>
      </c>
      <c r="DH90" s="118"/>
      <c r="DI90" s="58">
        <f t="shared" ref="DI90:DU90" si="542">+SUM(DI91:DI102)</f>
        <v>11250</v>
      </c>
      <c r="DJ90" s="58">
        <f t="shared" si="542"/>
        <v>11250</v>
      </c>
      <c r="DK90" s="58">
        <f t="shared" si="542"/>
        <v>11250</v>
      </c>
      <c r="DL90" s="58">
        <f t="shared" si="542"/>
        <v>11250</v>
      </c>
      <c r="DM90" s="58">
        <f t="shared" si="542"/>
        <v>11250</v>
      </c>
      <c r="DN90" s="58">
        <f t="shared" si="542"/>
        <v>11250</v>
      </c>
      <c r="DO90" s="58">
        <f t="shared" si="542"/>
        <v>11250</v>
      </c>
      <c r="DP90" s="58">
        <f t="shared" si="542"/>
        <v>11250</v>
      </c>
      <c r="DQ90" s="58">
        <f t="shared" si="542"/>
        <v>11250</v>
      </c>
      <c r="DR90" s="58">
        <f t="shared" si="542"/>
        <v>11250</v>
      </c>
      <c r="DS90" s="58">
        <f t="shared" si="542"/>
        <v>11250</v>
      </c>
      <c r="DT90" s="58">
        <f t="shared" si="542"/>
        <v>11250</v>
      </c>
      <c r="DU90" s="58">
        <f t="shared" si="542"/>
        <v>135000</v>
      </c>
      <c r="DV90" s="106"/>
      <c r="DW90" s="58">
        <f t="shared" ref="DW90:EI90" si="543">+SUM(DW91:DW102)</f>
        <v>0</v>
      </c>
      <c r="DX90" s="58">
        <f t="shared" si="543"/>
        <v>0</v>
      </c>
      <c r="DY90" s="58">
        <f t="shared" si="543"/>
        <v>0</v>
      </c>
      <c r="DZ90" s="58">
        <f t="shared" si="543"/>
        <v>0</v>
      </c>
      <c r="EA90" s="58">
        <f t="shared" si="543"/>
        <v>0</v>
      </c>
      <c r="EB90" s="58">
        <f t="shared" si="543"/>
        <v>0</v>
      </c>
      <c r="EC90" s="58">
        <f t="shared" si="543"/>
        <v>0</v>
      </c>
      <c r="ED90" s="58">
        <f t="shared" si="543"/>
        <v>0</v>
      </c>
      <c r="EE90" s="58">
        <f t="shared" si="543"/>
        <v>0</v>
      </c>
      <c r="EF90" s="58">
        <f t="shared" si="543"/>
        <v>0</v>
      </c>
      <c r="EG90" s="58">
        <f t="shared" si="543"/>
        <v>0</v>
      </c>
      <c r="EH90" s="58">
        <f t="shared" si="543"/>
        <v>0</v>
      </c>
      <c r="EI90" s="58">
        <f t="shared" si="543"/>
        <v>0</v>
      </c>
      <c r="EJ90" s="18" t="str">
        <f t="shared" si="457"/>
        <v>Delivery Expenses</v>
      </c>
      <c r="EK90" s="58">
        <f t="shared" ref="EK90:EW90" si="544">+SUM(EK91:EK102)</f>
        <v>72475.53</v>
      </c>
      <c r="EL90" s="58">
        <f t="shared" si="544"/>
        <v>12053</v>
      </c>
      <c r="EM90" s="58">
        <f t="shared" si="544"/>
        <v>7512</v>
      </c>
      <c r="EN90" s="58">
        <f t="shared" si="544"/>
        <v>0</v>
      </c>
      <c r="EO90" s="58">
        <f t="shared" si="544"/>
        <v>22248</v>
      </c>
      <c r="EP90" s="58">
        <f t="shared" si="544"/>
        <v>22707.440000000002</v>
      </c>
      <c r="EQ90" s="58">
        <f t="shared" si="544"/>
        <v>578</v>
      </c>
      <c r="ER90" s="58">
        <f t="shared" si="544"/>
        <v>900</v>
      </c>
      <c r="ES90" s="58">
        <f t="shared" si="544"/>
        <v>1752.2722222222224</v>
      </c>
      <c r="ET90" s="58">
        <f t="shared" si="544"/>
        <v>44630.04</v>
      </c>
      <c r="EU90" s="58">
        <f t="shared" si="544"/>
        <v>0</v>
      </c>
      <c r="EV90" s="58">
        <f t="shared" si="544"/>
        <v>0</v>
      </c>
      <c r="EW90" s="58">
        <f t="shared" si="544"/>
        <v>184856.28222222222</v>
      </c>
      <c r="EX90" s="118"/>
      <c r="EY90" s="58">
        <f t="shared" ref="EY90:FK90" si="545">+SUM(EY91:EY102)</f>
        <v>500</v>
      </c>
      <c r="EZ90" s="58">
        <f t="shared" si="545"/>
        <v>500</v>
      </c>
      <c r="FA90" s="58">
        <f t="shared" si="545"/>
        <v>500</v>
      </c>
      <c r="FB90" s="58">
        <f t="shared" si="545"/>
        <v>500</v>
      </c>
      <c r="FC90" s="58">
        <f t="shared" si="545"/>
        <v>500</v>
      </c>
      <c r="FD90" s="58">
        <f t="shared" si="545"/>
        <v>500</v>
      </c>
      <c r="FE90" s="58">
        <f t="shared" si="545"/>
        <v>500</v>
      </c>
      <c r="FF90" s="58">
        <f t="shared" si="545"/>
        <v>500</v>
      </c>
      <c r="FG90" s="58">
        <f t="shared" si="545"/>
        <v>500</v>
      </c>
      <c r="FH90" s="58">
        <f t="shared" si="545"/>
        <v>500</v>
      </c>
      <c r="FI90" s="58">
        <f t="shared" si="545"/>
        <v>500</v>
      </c>
      <c r="FJ90" s="58">
        <f t="shared" si="545"/>
        <v>500</v>
      </c>
      <c r="FK90" s="58">
        <f t="shared" si="545"/>
        <v>6000</v>
      </c>
    </row>
    <row r="91" spans="1:167" ht="14.45" hidden="1" customHeight="1" outlineLevel="2">
      <c r="A91" s="106">
        <f t="shared" ref="A91:L102" si="546">+AQ91+CG91+DW91</f>
        <v>0</v>
      </c>
      <c r="B91" s="106">
        <f t="shared" si="546"/>
        <v>0</v>
      </c>
      <c r="C91" s="106">
        <f t="shared" si="546"/>
        <v>0</v>
      </c>
      <c r="D91" s="106">
        <f t="shared" si="546"/>
        <v>0</v>
      </c>
      <c r="E91" s="106">
        <f t="shared" si="546"/>
        <v>0</v>
      </c>
      <c r="F91" s="106">
        <f t="shared" si="546"/>
        <v>0</v>
      </c>
      <c r="G91" s="106">
        <f t="shared" si="546"/>
        <v>0</v>
      </c>
      <c r="H91" s="106">
        <f t="shared" si="546"/>
        <v>0</v>
      </c>
      <c r="I91" s="106">
        <f t="shared" si="546"/>
        <v>0</v>
      </c>
      <c r="J91" s="106">
        <f t="shared" si="546"/>
        <v>0</v>
      </c>
      <c r="K91" s="106">
        <f t="shared" si="546"/>
        <v>0</v>
      </c>
      <c r="L91" s="106">
        <f t="shared" si="546"/>
        <v>0</v>
      </c>
      <c r="M91" s="106">
        <f t="shared" si="503"/>
        <v>0</v>
      </c>
      <c r="N91" s="16" t="s">
        <v>224</v>
      </c>
      <c r="O91" s="106">
        <f t="shared" ref="O91:Z102" si="547">+BE91+CU91+EK91</f>
        <v>0</v>
      </c>
      <c r="P91" s="106">
        <f t="shared" si="547"/>
        <v>0</v>
      </c>
      <c r="Q91" s="106">
        <f t="shared" si="547"/>
        <v>0</v>
      </c>
      <c r="R91" s="106">
        <f t="shared" si="547"/>
        <v>0</v>
      </c>
      <c r="S91" s="106">
        <f t="shared" si="547"/>
        <v>0</v>
      </c>
      <c r="T91" s="106">
        <f t="shared" si="547"/>
        <v>0</v>
      </c>
      <c r="U91" s="106">
        <f t="shared" si="547"/>
        <v>0</v>
      </c>
      <c r="V91" s="106">
        <f t="shared" si="547"/>
        <v>0</v>
      </c>
      <c r="W91" s="106">
        <f t="shared" si="547"/>
        <v>0</v>
      </c>
      <c r="X91" s="106">
        <f t="shared" si="547"/>
        <v>0</v>
      </c>
      <c r="Y91" s="106">
        <f t="shared" si="547"/>
        <v>0</v>
      </c>
      <c r="Z91" s="106">
        <f t="shared" si="547"/>
        <v>0</v>
      </c>
      <c r="AA91" s="106">
        <f t="shared" ref="AA91:AA102" si="548">+SUM(O91:Z91)</f>
        <v>0</v>
      </c>
      <c r="AB91" s="118"/>
      <c r="AC91" s="106">
        <f t="shared" ref="AC91:AN102" si="549">+BS91+DI91+EY91</f>
        <v>0</v>
      </c>
      <c r="AD91" s="106">
        <f t="shared" si="549"/>
        <v>0</v>
      </c>
      <c r="AE91" s="106">
        <f t="shared" si="549"/>
        <v>0</v>
      </c>
      <c r="AF91" s="106">
        <f t="shared" si="549"/>
        <v>0</v>
      </c>
      <c r="AG91" s="106">
        <f t="shared" si="549"/>
        <v>0</v>
      </c>
      <c r="AH91" s="106">
        <f t="shared" si="549"/>
        <v>0</v>
      </c>
      <c r="AI91" s="106">
        <f t="shared" si="549"/>
        <v>0</v>
      </c>
      <c r="AJ91" s="106">
        <f t="shared" si="549"/>
        <v>0</v>
      </c>
      <c r="AK91" s="106">
        <f t="shared" si="549"/>
        <v>0</v>
      </c>
      <c r="AL91" s="106">
        <f t="shared" si="549"/>
        <v>0</v>
      </c>
      <c r="AM91" s="106">
        <f t="shared" si="549"/>
        <v>0</v>
      </c>
      <c r="AN91" s="106">
        <f t="shared" si="549"/>
        <v>0</v>
      </c>
      <c r="AO91" s="106">
        <f t="shared" ref="AO91:AO102" si="550">+SUM(AC91:AN91)</f>
        <v>0</v>
      </c>
      <c r="AP91" s="106"/>
      <c r="AQ91" s="106">
        <f>+PMGR!AQ91+BP!AQ91</f>
        <v>0</v>
      </c>
      <c r="AR91" s="106">
        <f>+PMGR!AR91+BP!AR91</f>
        <v>0</v>
      </c>
      <c r="AS91" s="106">
        <f>+PMGR!AS91+BP!AS91</f>
        <v>0</v>
      </c>
      <c r="AT91" s="106">
        <f>+PMGR!AT91+BP!AT91</f>
        <v>0</v>
      </c>
      <c r="AU91" s="106">
        <f>+PMGR!AU91+BP!AU91</f>
        <v>0</v>
      </c>
      <c r="AV91" s="106">
        <f>+PMGR!AV91+BP!AV91</f>
        <v>0</v>
      </c>
      <c r="AW91" s="106">
        <f>+PMGR!AW91+BP!AW91</f>
        <v>0</v>
      </c>
      <c r="AX91" s="106">
        <f>+PMGR!AX91+BP!AX91</f>
        <v>0</v>
      </c>
      <c r="AY91" s="106">
        <f>+PMGR!AY91+BP!AY91</f>
        <v>0</v>
      </c>
      <c r="AZ91" s="106">
        <f>+PMGR!AZ91+BP!AZ91</f>
        <v>0</v>
      </c>
      <c r="BA91" s="106">
        <f>+PMGR!BA91+BP!BA91</f>
        <v>0</v>
      </c>
      <c r="BB91" s="106">
        <f>+PMGR!BB91+BP!BB91</f>
        <v>0</v>
      </c>
      <c r="BC91" s="106">
        <f t="shared" ref="BC91:BC102" si="551">+SUM(AQ91:BB91)</f>
        <v>0</v>
      </c>
      <c r="BD91" s="16" t="str">
        <f t="shared" si="405"/>
        <v>"Registration -Expenses_x000D_"</v>
      </c>
      <c r="BE91" s="106">
        <f>+PMGR!BE91+BP!BE91</f>
        <v>0</v>
      </c>
      <c r="BF91" s="106">
        <f>+PMGR!BF91+BP!BF91</f>
        <v>0</v>
      </c>
      <c r="BG91" s="106">
        <f>+PMGR!BG91+BP!BG91</f>
        <v>0</v>
      </c>
      <c r="BH91" s="106">
        <f>+PMGR!BH91+BP!BH91</f>
        <v>0</v>
      </c>
      <c r="BI91" s="106">
        <f>+PMGR!BI91+BP!BI91</f>
        <v>0</v>
      </c>
      <c r="BJ91" s="106">
        <f>+PMGR!BJ91+BP!BJ91</f>
        <v>0</v>
      </c>
      <c r="BK91" s="106">
        <f>+PMGR!BK91+BP!BK91</f>
        <v>0</v>
      </c>
      <c r="BL91" s="106">
        <f>+PMGR!BL91+BP!BL91</f>
        <v>0</v>
      </c>
      <c r="BM91" s="106">
        <f>+PMGR!BM91+BP!BM91</f>
        <v>0</v>
      </c>
      <c r="BN91" s="106">
        <f>+PMGR!BN91+BP!BN91</f>
        <v>0</v>
      </c>
      <c r="BO91" s="106">
        <f>+PMGR!BO91+BP!BO91</f>
        <v>0</v>
      </c>
      <c r="BP91" s="106">
        <f>+PMGR!BP91+BP!BP91</f>
        <v>0</v>
      </c>
      <c r="BQ91" s="106">
        <f t="shared" ref="BQ91:BQ102" si="552">+SUM(BE91:BP91)</f>
        <v>0</v>
      </c>
      <c r="BR91" s="118"/>
      <c r="BS91" s="106">
        <f>+PMGR!BS91+BP!BS91</f>
        <v>0</v>
      </c>
      <c r="BT91" s="106">
        <f>+PMGR!BT91+BP!BT91</f>
        <v>0</v>
      </c>
      <c r="BU91" s="106">
        <f>+PMGR!BU91+BP!BU91</f>
        <v>0</v>
      </c>
      <c r="BV91" s="106">
        <f>+PMGR!BV91+BP!BV91</f>
        <v>0</v>
      </c>
      <c r="BW91" s="106">
        <f>+PMGR!BW91+BP!BW91</f>
        <v>0</v>
      </c>
      <c r="BX91" s="106">
        <f>+PMGR!BX91+BP!BX91</f>
        <v>0</v>
      </c>
      <c r="BY91" s="106">
        <f>+PMGR!BY91+BP!BY91</f>
        <v>0</v>
      </c>
      <c r="BZ91" s="106">
        <f>+PMGR!BZ91+BP!BZ91</f>
        <v>0</v>
      </c>
      <c r="CA91" s="106">
        <f>+PMGR!CA91+BP!CA91</f>
        <v>0</v>
      </c>
      <c r="CB91" s="106">
        <f>+PMGR!CB91+BP!CB91</f>
        <v>0</v>
      </c>
      <c r="CC91" s="106">
        <f>+PMGR!CC91+BP!CC91</f>
        <v>0</v>
      </c>
      <c r="CD91" s="106">
        <f>+PMGR!CD91+BP!CD91</f>
        <v>0</v>
      </c>
      <c r="CE91" s="106">
        <f t="shared" ref="CE91:CE102" si="553">+SUM(BS91:CD91)</f>
        <v>0</v>
      </c>
      <c r="CF91" s="106"/>
      <c r="CG91" s="106">
        <f>+PMGR!CG91+BP!CG91</f>
        <v>0</v>
      </c>
      <c r="CH91" s="106">
        <f>+PMGR!CH91+BP!CH91</f>
        <v>0</v>
      </c>
      <c r="CI91" s="106">
        <f>+PMGR!CI91+BP!CI91</f>
        <v>0</v>
      </c>
      <c r="CJ91" s="106">
        <f>+PMGR!CJ91+BP!CJ91</f>
        <v>0</v>
      </c>
      <c r="CK91" s="106">
        <f>+PMGR!CK91+BP!CK91</f>
        <v>0</v>
      </c>
      <c r="CL91" s="106">
        <f>+PMGR!CL91+BP!CL91</f>
        <v>0</v>
      </c>
      <c r="CM91" s="106">
        <f>+PMGR!CM91+BP!CM91</f>
        <v>0</v>
      </c>
      <c r="CN91" s="106">
        <f>+PMGR!CN91+BP!CN91</f>
        <v>0</v>
      </c>
      <c r="CO91" s="106">
        <f>+PMGR!CO91+BP!CO91</f>
        <v>0</v>
      </c>
      <c r="CP91" s="106">
        <f>+PMGR!CP91+BP!CP91</f>
        <v>0</v>
      </c>
      <c r="CQ91" s="106">
        <f>+PMGR!CQ91+BP!CQ91</f>
        <v>0</v>
      </c>
      <c r="CR91" s="106">
        <f>+PMGR!CR91+BP!CR91</f>
        <v>0</v>
      </c>
      <c r="CS91" s="106">
        <f t="shared" ref="CS91:CS102" si="554">+SUM(CG91:CR91)</f>
        <v>0</v>
      </c>
      <c r="CT91" s="16" t="str">
        <f t="shared" si="409"/>
        <v>"Registration -Expenses_x000D_"</v>
      </c>
      <c r="CU91" s="106">
        <f>+PMGR!CU91+BP!CU91</f>
        <v>0</v>
      </c>
      <c r="CV91" s="106">
        <f>+PMGR!CV91+BP!CV91</f>
        <v>0</v>
      </c>
      <c r="CW91" s="106">
        <f>+PMGR!CW91+BP!CW91</f>
        <v>0</v>
      </c>
      <c r="CX91" s="106">
        <f>+PMGR!CX91+BP!CX91</f>
        <v>0</v>
      </c>
      <c r="CY91" s="106">
        <f>+PMGR!CY91+BP!CY91</f>
        <v>0</v>
      </c>
      <c r="CZ91" s="106">
        <f>+PMGR!CZ91+BP!CZ91</f>
        <v>0</v>
      </c>
      <c r="DA91" s="106">
        <f>+PMGR!DA91+BP!DA91</f>
        <v>0</v>
      </c>
      <c r="DB91" s="106">
        <f>+PMGR!DB91+BP!DB91</f>
        <v>0</v>
      </c>
      <c r="DC91" s="106">
        <f>+PMGR!DC91+BP!DC91</f>
        <v>0</v>
      </c>
      <c r="DD91" s="106">
        <f>+PMGR!DD91+BP!DD91</f>
        <v>0</v>
      </c>
      <c r="DE91" s="106">
        <f>+PMGR!DE91+BP!DE91</f>
        <v>0</v>
      </c>
      <c r="DF91" s="106">
        <f>+PMGR!DF91+BP!DF91</f>
        <v>0</v>
      </c>
      <c r="DG91" s="106">
        <f t="shared" ref="DG91:DG102" si="555">+SUM(CU91:DF91)</f>
        <v>0</v>
      </c>
      <c r="DH91" s="118"/>
      <c r="DI91" s="106">
        <f>+PMGR!DI91+BP!DI91</f>
        <v>0</v>
      </c>
      <c r="DJ91" s="106">
        <f>+PMGR!DJ91+BP!DJ91</f>
        <v>0</v>
      </c>
      <c r="DK91" s="106">
        <f>+PMGR!DK91+BP!DK91</f>
        <v>0</v>
      </c>
      <c r="DL91" s="106">
        <f>+PMGR!DL91+BP!DL91</f>
        <v>0</v>
      </c>
      <c r="DM91" s="106">
        <f>+PMGR!DM91+BP!DM91</f>
        <v>0</v>
      </c>
      <c r="DN91" s="106">
        <f>+PMGR!DN91+BP!DN91</f>
        <v>0</v>
      </c>
      <c r="DO91" s="106">
        <f>+PMGR!DO91+BP!DO91</f>
        <v>0</v>
      </c>
      <c r="DP91" s="106">
        <f>+PMGR!DP91+BP!DP91</f>
        <v>0</v>
      </c>
      <c r="DQ91" s="106">
        <f>+PMGR!DQ91+BP!DQ91</f>
        <v>0</v>
      </c>
      <c r="DR91" s="106">
        <f>+PMGR!DR91+BP!DR91</f>
        <v>0</v>
      </c>
      <c r="DS91" s="106">
        <f>+PMGR!DS91+BP!DS91</f>
        <v>0</v>
      </c>
      <c r="DT91" s="106">
        <f>+PMGR!DT91+BP!DT91</f>
        <v>0</v>
      </c>
      <c r="DU91" s="106">
        <f t="shared" ref="DU91:DU102" si="556">+SUM(DI91:DT91)</f>
        <v>0</v>
      </c>
      <c r="DV91" s="106"/>
      <c r="DW91" s="106">
        <f>+PMGR!DW91+BP!DW91</f>
        <v>0</v>
      </c>
      <c r="DX91" s="106">
        <f>+PMGR!DX91+BP!DX91</f>
        <v>0</v>
      </c>
      <c r="DY91" s="106">
        <f>+PMGR!DY91+BP!DY91</f>
        <v>0</v>
      </c>
      <c r="DZ91" s="106">
        <f>+PMGR!DZ91+BP!DZ91</f>
        <v>0</v>
      </c>
      <c r="EA91" s="106">
        <f>+PMGR!EA91+BP!EA91</f>
        <v>0</v>
      </c>
      <c r="EB91" s="106">
        <f>+PMGR!EB91+BP!EB91</f>
        <v>0</v>
      </c>
      <c r="EC91" s="106">
        <f>+PMGR!EC91+BP!EC91</f>
        <v>0</v>
      </c>
      <c r="ED91" s="106">
        <f>+PMGR!ED91+BP!ED91</f>
        <v>0</v>
      </c>
      <c r="EE91" s="106">
        <f>+PMGR!EE91+BP!EE91</f>
        <v>0</v>
      </c>
      <c r="EF91" s="106">
        <f>+PMGR!EF91+BP!EF91</f>
        <v>0</v>
      </c>
      <c r="EG91" s="106">
        <f>+PMGR!EG91+BP!EG91</f>
        <v>0</v>
      </c>
      <c r="EH91" s="106">
        <f>+PMGR!EH91+BP!EH91</f>
        <v>0</v>
      </c>
      <c r="EI91" s="106">
        <f t="shared" ref="EI91:EI102" si="557">+SUM(DW91:EH91)</f>
        <v>0</v>
      </c>
      <c r="EJ91" s="16" t="str">
        <f t="shared" si="457"/>
        <v>"Registration -Expenses_x000D_"</v>
      </c>
      <c r="EK91" s="106">
        <f>+PMGR!EK91+BP!EK91</f>
        <v>0</v>
      </c>
      <c r="EL91" s="106">
        <f>+PMGR!EL91+BP!EL91</f>
        <v>0</v>
      </c>
      <c r="EM91" s="106">
        <f>+PMGR!EM91+BP!EM91</f>
        <v>0</v>
      </c>
      <c r="EN91" s="106">
        <f>+PMGR!EN91+BP!EN91</f>
        <v>0</v>
      </c>
      <c r="EO91" s="106">
        <f>+PMGR!EO91+BP!EO91</f>
        <v>0</v>
      </c>
      <c r="EP91" s="106">
        <f>+PMGR!EP91+BP!EP91</f>
        <v>0</v>
      </c>
      <c r="EQ91" s="106">
        <f>+PMGR!EQ91+BP!EQ91</f>
        <v>0</v>
      </c>
      <c r="ER91" s="106">
        <f>+PMGR!ER91+BP!ER91</f>
        <v>0</v>
      </c>
      <c r="ES91" s="106">
        <f>+PMGR!ES91+BP!ES91</f>
        <v>0</v>
      </c>
      <c r="ET91" s="106">
        <f>+PMGR!ET91+BP!ET91</f>
        <v>0</v>
      </c>
      <c r="EU91" s="106">
        <f>+PMGR!EU91+BP!EU91</f>
        <v>0</v>
      </c>
      <c r="EV91" s="106">
        <f>+PMGR!EV91+BP!EV91</f>
        <v>0</v>
      </c>
      <c r="EW91" s="106">
        <f t="shared" ref="EW91:EW102" si="558">+SUM(EK91:EV91)</f>
        <v>0</v>
      </c>
      <c r="EX91" s="118"/>
      <c r="EY91" s="106">
        <f>+PMGR!EY91+BP!EY91</f>
        <v>0</v>
      </c>
      <c r="EZ91" s="106">
        <f>+PMGR!EZ91+BP!EZ91</f>
        <v>0</v>
      </c>
      <c r="FA91" s="106">
        <f>+PMGR!FA91+BP!FA91</f>
        <v>0</v>
      </c>
      <c r="FB91" s="106">
        <f>+PMGR!FB91+BP!FB91</f>
        <v>0</v>
      </c>
      <c r="FC91" s="106">
        <f>+PMGR!FC91+BP!FC91</f>
        <v>0</v>
      </c>
      <c r="FD91" s="106">
        <f>+PMGR!FD91+BP!FD91</f>
        <v>0</v>
      </c>
      <c r="FE91" s="106">
        <f>+PMGR!FE91+BP!FE91</f>
        <v>0</v>
      </c>
      <c r="FF91" s="106">
        <f>+PMGR!FF91+BP!FF91</f>
        <v>0</v>
      </c>
      <c r="FG91" s="106">
        <f>+PMGR!FG91+BP!FG91</f>
        <v>0</v>
      </c>
      <c r="FH91" s="106">
        <f>+PMGR!FH91+BP!FH91</f>
        <v>0</v>
      </c>
      <c r="FI91" s="106">
        <f>+PMGR!FI91+BP!FI91</f>
        <v>0</v>
      </c>
      <c r="FJ91" s="106">
        <f>+PMGR!FJ91+BP!FJ91</f>
        <v>0</v>
      </c>
      <c r="FK91" s="106">
        <f t="shared" ref="FK91:FK102" si="559">+SUM(EY91:FJ91)</f>
        <v>0</v>
      </c>
    </row>
    <row r="92" spans="1:167" ht="14.45" hidden="1" customHeight="1" outlineLevel="2">
      <c r="A92" s="106">
        <f t="shared" si="546"/>
        <v>1420</v>
      </c>
      <c r="B92" s="106">
        <f t="shared" si="546"/>
        <v>10000</v>
      </c>
      <c r="C92" s="106">
        <f t="shared" si="546"/>
        <v>1200</v>
      </c>
      <c r="D92" s="106">
        <f t="shared" si="546"/>
        <v>1268</v>
      </c>
      <c r="E92" s="106">
        <f t="shared" si="546"/>
        <v>160</v>
      </c>
      <c r="F92" s="106">
        <f t="shared" si="546"/>
        <v>6250</v>
      </c>
      <c r="G92" s="106">
        <f t="shared" si="546"/>
        <v>13532</v>
      </c>
      <c r="H92" s="106">
        <f t="shared" si="546"/>
        <v>10022</v>
      </c>
      <c r="I92" s="106">
        <f t="shared" si="546"/>
        <v>3495</v>
      </c>
      <c r="J92" s="106">
        <f t="shared" si="546"/>
        <v>670</v>
      </c>
      <c r="K92" s="106">
        <f t="shared" si="546"/>
        <v>10832</v>
      </c>
      <c r="L92" s="106">
        <f t="shared" si="546"/>
        <v>740</v>
      </c>
      <c r="M92" s="106">
        <f t="shared" si="503"/>
        <v>59589</v>
      </c>
      <c r="N92" s="16" t="s">
        <v>73</v>
      </c>
      <c r="O92" s="106">
        <f t="shared" si="547"/>
        <v>2400</v>
      </c>
      <c r="P92" s="106">
        <f t="shared" si="547"/>
        <v>900</v>
      </c>
      <c r="Q92" s="106">
        <f t="shared" si="547"/>
        <v>900</v>
      </c>
      <c r="R92" s="106">
        <f t="shared" si="547"/>
        <v>8400</v>
      </c>
      <c r="S92" s="106">
        <f t="shared" si="547"/>
        <v>900</v>
      </c>
      <c r="T92" s="106">
        <f t="shared" si="547"/>
        <v>2550</v>
      </c>
      <c r="U92" s="106">
        <f t="shared" si="547"/>
        <v>5000</v>
      </c>
      <c r="V92" s="106">
        <f t="shared" si="547"/>
        <v>900</v>
      </c>
      <c r="W92" s="106">
        <f t="shared" si="547"/>
        <v>73261.636666666673</v>
      </c>
      <c r="X92" s="106">
        <f t="shared" si="547"/>
        <v>73138.404999999999</v>
      </c>
      <c r="Y92" s="106">
        <f t="shared" si="547"/>
        <v>0</v>
      </c>
      <c r="Z92" s="106">
        <f t="shared" si="547"/>
        <v>0</v>
      </c>
      <c r="AA92" s="106">
        <f t="shared" si="548"/>
        <v>168350.04166666669</v>
      </c>
      <c r="AB92" s="118"/>
      <c r="AC92" s="106">
        <f t="shared" si="549"/>
        <v>2750</v>
      </c>
      <c r="AD92" s="106">
        <f t="shared" si="549"/>
        <v>2750</v>
      </c>
      <c r="AE92" s="106">
        <f t="shared" si="549"/>
        <v>2750</v>
      </c>
      <c r="AF92" s="106">
        <f t="shared" si="549"/>
        <v>2750</v>
      </c>
      <c r="AG92" s="106">
        <f t="shared" si="549"/>
        <v>2750</v>
      </c>
      <c r="AH92" s="106">
        <f t="shared" si="549"/>
        <v>2750</v>
      </c>
      <c r="AI92" s="106">
        <f t="shared" si="549"/>
        <v>2750</v>
      </c>
      <c r="AJ92" s="106">
        <f t="shared" si="549"/>
        <v>2750</v>
      </c>
      <c r="AK92" s="106">
        <f t="shared" si="549"/>
        <v>2750</v>
      </c>
      <c r="AL92" s="106">
        <f t="shared" si="549"/>
        <v>2750</v>
      </c>
      <c r="AM92" s="106">
        <f t="shared" si="549"/>
        <v>2750</v>
      </c>
      <c r="AN92" s="106">
        <f t="shared" si="549"/>
        <v>2750</v>
      </c>
      <c r="AO92" s="106">
        <f t="shared" si="550"/>
        <v>33000</v>
      </c>
      <c r="AP92" s="106"/>
      <c r="AQ92" s="106">
        <f>+PMGR!AQ92+BP!AQ92</f>
        <v>0</v>
      </c>
      <c r="AR92" s="106">
        <f>+PMGR!AR92+BP!AR92</f>
        <v>10000</v>
      </c>
      <c r="AS92" s="106">
        <f>+PMGR!AS92+BP!AS92</f>
        <v>0</v>
      </c>
      <c r="AT92" s="106">
        <f>+PMGR!AT92+BP!AT92</f>
        <v>0</v>
      </c>
      <c r="AU92" s="106">
        <f>+PMGR!AU92+BP!AU92</f>
        <v>0</v>
      </c>
      <c r="AV92" s="106">
        <f>+PMGR!AV92+BP!AV92</f>
        <v>3500</v>
      </c>
      <c r="AW92" s="106">
        <f>+PMGR!AW92+BP!AW92</f>
        <v>11112</v>
      </c>
      <c r="AX92" s="106">
        <f>+PMGR!AX92+BP!AX92</f>
        <v>8112</v>
      </c>
      <c r="AY92" s="106">
        <f>+PMGR!AY92+BP!AY92</f>
        <v>0</v>
      </c>
      <c r="AZ92" s="106">
        <f>+PMGR!AZ92+BP!AZ92</f>
        <v>0</v>
      </c>
      <c r="BA92" s="106">
        <f>+PMGR!BA92+BP!BA92</f>
        <v>10512</v>
      </c>
      <c r="BB92" s="106">
        <f>+PMGR!BB92+BP!BB92</f>
        <v>0</v>
      </c>
      <c r="BC92" s="106">
        <f t="shared" si="551"/>
        <v>43236</v>
      </c>
      <c r="BD92" s="16" t="str">
        <f t="shared" si="405"/>
        <v>Delivery Charges Customer Service</v>
      </c>
      <c r="BE92" s="106">
        <f>+PMGR!BE92+BP!BE92</f>
        <v>900</v>
      </c>
      <c r="BF92" s="106">
        <f>+PMGR!BF92+BP!BF92</f>
        <v>900</v>
      </c>
      <c r="BG92" s="106">
        <f>+PMGR!BG92+BP!BG92</f>
        <v>0</v>
      </c>
      <c r="BH92" s="106">
        <f>+PMGR!BH92+BP!BH92</f>
        <v>3900</v>
      </c>
      <c r="BI92" s="106">
        <f>+PMGR!BI92+BP!BI92</f>
        <v>0</v>
      </c>
      <c r="BJ92" s="106">
        <f>+PMGR!BJ92+BP!BJ92</f>
        <v>900</v>
      </c>
      <c r="BK92" s="106">
        <f>+PMGR!BK92+BP!BK92</f>
        <v>0</v>
      </c>
      <c r="BL92" s="106">
        <f>+PMGR!BL92+BP!BL92</f>
        <v>0</v>
      </c>
      <c r="BM92" s="106">
        <f>+PMGR!BM92+BP!BM92</f>
        <v>58225.87</v>
      </c>
      <c r="BN92" s="106">
        <f>+PMGR!BN92+BP!BN92</f>
        <v>27550.27</v>
      </c>
      <c r="BO92" s="106">
        <f>+PMGR!BO92+BP!BO92</f>
        <v>0</v>
      </c>
      <c r="BP92" s="106">
        <f>+PMGR!BP92+BP!BP92</f>
        <v>0</v>
      </c>
      <c r="BQ92" s="106">
        <f t="shared" si="552"/>
        <v>92376.14</v>
      </c>
      <c r="BR92" s="118"/>
      <c r="BS92" s="106">
        <f>+PMGR!BS92+BP!BS92</f>
        <v>1000</v>
      </c>
      <c r="BT92" s="106">
        <f>+PMGR!BT92+BP!BT92</f>
        <v>1000</v>
      </c>
      <c r="BU92" s="106">
        <f>+PMGR!BU92+BP!BU92</f>
        <v>1000</v>
      </c>
      <c r="BV92" s="106">
        <f>+PMGR!BV92+BP!BV92</f>
        <v>1000</v>
      </c>
      <c r="BW92" s="106">
        <f>+PMGR!BW92+BP!BW92</f>
        <v>1000</v>
      </c>
      <c r="BX92" s="106">
        <f>+PMGR!BX92+BP!BX92</f>
        <v>1000</v>
      </c>
      <c r="BY92" s="106">
        <f>+PMGR!BY92+BP!BY92</f>
        <v>1000</v>
      </c>
      <c r="BZ92" s="106">
        <f>+PMGR!BZ92+BP!BZ92</f>
        <v>1000</v>
      </c>
      <c r="CA92" s="106">
        <f>+PMGR!CA92+BP!CA92</f>
        <v>1000</v>
      </c>
      <c r="CB92" s="106">
        <f>+PMGR!CB92+BP!CB92</f>
        <v>1000</v>
      </c>
      <c r="CC92" s="106">
        <f>+PMGR!CC92+BP!CC92</f>
        <v>1000</v>
      </c>
      <c r="CD92" s="106">
        <f>+PMGR!CD92+BP!CD92</f>
        <v>1000</v>
      </c>
      <c r="CE92" s="106">
        <f t="shared" si="553"/>
        <v>12000</v>
      </c>
      <c r="CF92" s="106"/>
      <c r="CG92" s="106">
        <f>+PMGR!CG92+BP!CG92</f>
        <v>1420</v>
      </c>
      <c r="CH92" s="106">
        <f>+PMGR!CH92+BP!CH92</f>
        <v>0</v>
      </c>
      <c r="CI92" s="106">
        <f>+PMGR!CI92+BP!CI92</f>
        <v>1200</v>
      </c>
      <c r="CJ92" s="106">
        <f>+PMGR!CJ92+BP!CJ92</f>
        <v>1268</v>
      </c>
      <c r="CK92" s="106">
        <f>+PMGR!CK92+BP!CK92</f>
        <v>160</v>
      </c>
      <c r="CL92" s="106">
        <f>+PMGR!CL92+BP!CL92</f>
        <v>2750</v>
      </c>
      <c r="CM92" s="106">
        <f>+PMGR!CM92+BP!CM92</f>
        <v>2420</v>
      </c>
      <c r="CN92" s="106">
        <f>+PMGR!CN92+BP!CN92</f>
        <v>1910</v>
      </c>
      <c r="CO92" s="106">
        <f>+PMGR!CO92+BP!CO92</f>
        <v>3495</v>
      </c>
      <c r="CP92" s="106">
        <f>+PMGR!CP92+BP!CP92</f>
        <v>670</v>
      </c>
      <c r="CQ92" s="106">
        <f>+PMGR!CQ92+BP!CQ92</f>
        <v>320</v>
      </c>
      <c r="CR92" s="106">
        <f>+PMGR!CR92+BP!CR92</f>
        <v>740</v>
      </c>
      <c r="CS92" s="106">
        <f t="shared" si="554"/>
        <v>16353</v>
      </c>
      <c r="CT92" s="16" t="str">
        <f t="shared" si="409"/>
        <v>Delivery Charges Customer Service</v>
      </c>
      <c r="CU92" s="106">
        <f>+PMGR!CU92+BP!CU92</f>
        <v>1500</v>
      </c>
      <c r="CV92" s="106">
        <f>+PMGR!CV92+BP!CV92</f>
        <v>0</v>
      </c>
      <c r="CW92" s="106">
        <f>+PMGR!CW92+BP!CW92</f>
        <v>0</v>
      </c>
      <c r="CX92" s="106">
        <f>+PMGR!CX92+BP!CX92</f>
        <v>4500</v>
      </c>
      <c r="CY92" s="106">
        <f>+PMGR!CY92+BP!CY92</f>
        <v>0</v>
      </c>
      <c r="CZ92" s="106">
        <f>+PMGR!CZ92+BP!CZ92</f>
        <v>750</v>
      </c>
      <c r="DA92" s="106">
        <f>+PMGR!DA92+BP!DA92</f>
        <v>5000</v>
      </c>
      <c r="DB92" s="106">
        <f>+PMGR!DB92+BP!DB92</f>
        <v>0</v>
      </c>
      <c r="DC92" s="106">
        <f>+PMGR!DC92+BP!DC92</f>
        <v>13283.494444444445</v>
      </c>
      <c r="DD92" s="106">
        <f>+PMGR!DD92+BP!DD92</f>
        <v>958.09500000000003</v>
      </c>
      <c r="DE92" s="106">
        <f>+PMGR!DE92+BP!DE92</f>
        <v>0</v>
      </c>
      <c r="DF92" s="106">
        <f>+PMGR!DF92+BP!DF92</f>
        <v>0</v>
      </c>
      <c r="DG92" s="106">
        <f t="shared" si="555"/>
        <v>25991.589444444446</v>
      </c>
      <c r="DH92" s="118"/>
      <c r="DI92" s="106">
        <f>+PMGR!DI92+BP!DI92</f>
        <v>1250</v>
      </c>
      <c r="DJ92" s="106">
        <f>+PMGR!DJ92+BP!DJ92</f>
        <v>1250</v>
      </c>
      <c r="DK92" s="106">
        <f>+PMGR!DK92+BP!DK92</f>
        <v>1250</v>
      </c>
      <c r="DL92" s="106">
        <f>+PMGR!DL92+BP!DL92</f>
        <v>1250</v>
      </c>
      <c r="DM92" s="106">
        <f>+PMGR!DM92+BP!DM92</f>
        <v>1250</v>
      </c>
      <c r="DN92" s="106">
        <f>+PMGR!DN92+BP!DN92</f>
        <v>1250</v>
      </c>
      <c r="DO92" s="106">
        <f>+PMGR!DO92+BP!DO92</f>
        <v>1250</v>
      </c>
      <c r="DP92" s="106">
        <f>+PMGR!DP92+BP!DP92</f>
        <v>1250</v>
      </c>
      <c r="DQ92" s="106">
        <f>+PMGR!DQ92+BP!DQ92</f>
        <v>1250</v>
      </c>
      <c r="DR92" s="106">
        <f>+PMGR!DR92+BP!DR92</f>
        <v>1250</v>
      </c>
      <c r="DS92" s="106">
        <f>+PMGR!DS92+BP!DS92</f>
        <v>1250</v>
      </c>
      <c r="DT92" s="106">
        <f>+PMGR!DT92+BP!DT92</f>
        <v>1250</v>
      </c>
      <c r="DU92" s="106">
        <f t="shared" si="556"/>
        <v>15000</v>
      </c>
      <c r="DV92" s="106"/>
      <c r="DW92" s="106">
        <f>+PMGR!DW92+BP!DW92</f>
        <v>0</v>
      </c>
      <c r="DX92" s="106">
        <f>+PMGR!DX92+BP!DX92</f>
        <v>0</v>
      </c>
      <c r="DY92" s="106">
        <f>+PMGR!DY92+BP!DY92</f>
        <v>0</v>
      </c>
      <c r="DZ92" s="106">
        <f>+PMGR!DZ92+BP!DZ92</f>
        <v>0</v>
      </c>
      <c r="EA92" s="106">
        <f>+PMGR!EA92+BP!EA92</f>
        <v>0</v>
      </c>
      <c r="EB92" s="106">
        <f>+PMGR!EB92+BP!EB92</f>
        <v>0</v>
      </c>
      <c r="EC92" s="106">
        <f>+PMGR!EC92+BP!EC92</f>
        <v>0</v>
      </c>
      <c r="ED92" s="106">
        <f>+PMGR!ED92+BP!ED92</f>
        <v>0</v>
      </c>
      <c r="EE92" s="106">
        <f>+PMGR!EE92+BP!EE92</f>
        <v>0</v>
      </c>
      <c r="EF92" s="106">
        <f>+PMGR!EF92+BP!EF92</f>
        <v>0</v>
      </c>
      <c r="EG92" s="106">
        <f>+PMGR!EG92+BP!EG92</f>
        <v>0</v>
      </c>
      <c r="EH92" s="106">
        <f>+PMGR!EH92+BP!EH92</f>
        <v>0</v>
      </c>
      <c r="EI92" s="106">
        <f t="shared" si="557"/>
        <v>0</v>
      </c>
      <c r="EJ92" s="16" t="str">
        <f t="shared" si="457"/>
        <v>Delivery Charges Customer Service</v>
      </c>
      <c r="EK92" s="106">
        <f>+PMGR!EK92+BP!EK92</f>
        <v>0</v>
      </c>
      <c r="EL92" s="106">
        <f>+PMGR!EL92+BP!EL92</f>
        <v>0</v>
      </c>
      <c r="EM92" s="106">
        <f>+PMGR!EM92+BP!EM92</f>
        <v>900</v>
      </c>
      <c r="EN92" s="106">
        <f>+PMGR!EN92+BP!EN92</f>
        <v>0</v>
      </c>
      <c r="EO92" s="106">
        <f>+PMGR!EO92+BP!EO92</f>
        <v>900</v>
      </c>
      <c r="EP92" s="106">
        <f>+PMGR!EP92+BP!EP92</f>
        <v>900</v>
      </c>
      <c r="EQ92" s="106">
        <f>+PMGR!EQ92+BP!EQ92</f>
        <v>0</v>
      </c>
      <c r="ER92" s="106">
        <f>+PMGR!ER92+BP!ER92</f>
        <v>900</v>
      </c>
      <c r="ES92" s="106">
        <f>+PMGR!ES92+BP!ES92</f>
        <v>1752.2722222222224</v>
      </c>
      <c r="ET92" s="106">
        <f>+PMGR!ET92+BP!ET92</f>
        <v>44630.04</v>
      </c>
      <c r="EU92" s="106">
        <f>+PMGR!EU92+BP!EU92</f>
        <v>0</v>
      </c>
      <c r="EV92" s="106">
        <f>+PMGR!EV92+BP!EV92</f>
        <v>0</v>
      </c>
      <c r="EW92" s="106">
        <f t="shared" si="558"/>
        <v>49982.312222222223</v>
      </c>
      <c r="EX92" s="118"/>
      <c r="EY92" s="106">
        <f>+PMGR!EY92+BP!EY92</f>
        <v>500</v>
      </c>
      <c r="EZ92" s="106">
        <f>+PMGR!EZ92+BP!EZ92</f>
        <v>500</v>
      </c>
      <c r="FA92" s="106">
        <f>+PMGR!FA92+BP!FA92</f>
        <v>500</v>
      </c>
      <c r="FB92" s="106">
        <f>+PMGR!FB92+BP!FB92</f>
        <v>500</v>
      </c>
      <c r="FC92" s="106">
        <f>+PMGR!FC92+BP!FC92</f>
        <v>500</v>
      </c>
      <c r="FD92" s="106">
        <f>+PMGR!FD92+BP!FD92</f>
        <v>500</v>
      </c>
      <c r="FE92" s="106">
        <f>+PMGR!FE92+BP!FE92</f>
        <v>500</v>
      </c>
      <c r="FF92" s="106">
        <f>+PMGR!FF92+BP!FF92</f>
        <v>500</v>
      </c>
      <c r="FG92" s="106">
        <f>+PMGR!FG92+BP!FG92</f>
        <v>500</v>
      </c>
      <c r="FH92" s="106">
        <f>+PMGR!FH92+BP!FH92</f>
        <v>500</v>
      </c>
      <c r="FI92" s="106">
        <f>+PMGR!FI92+BP!FI92</f>
        <v>500</v>
      </c>
      <c r="FJ92" s="106">
        <f>+PMGR!FJ92+BP!FJ92</f>
        <v>500</v>
      </c>
      <c r="FK92" s="106">
        <f t="shared" si="559"/>
        <v>6000</v>
      </c>
    </row>
    <row r="93" spans="1:167" ht="14.45" hidden="1" customHeight="1" outlineLevel="2">
      <c r="A93" s="106">
        <f t="shared" si="546"/>
        <v>0</v>
      </c>
      <c r="B93" s="106">
        <f t="shared" si="546"/>
        <v>0</v>
      </c>
      <c r="C93" s="106">
        <f t="shared" si="546"/>
        <v>0</v>
      </c>
      <c r="D93" s="106">
        <f t="shared" si="546"/>
        <v>0</v>
      </c>
      <c r="E93" s="106">
        <f t="shared" si="546"/>
        <v>0</v>
      </c>
      <c r="F93" s="106">
        <f t="shared" si="546"/>
        <v>0</v>
      </c>
      <c r="G93" s="106">
        <f t="shared" si="546"/>
        <v>8529.2099999999991</v>
      </c>
      <c r="H93" s="106">
        <f t="shared" si="546"/>
        <v>348.21</v>
      </c>
      <c r="I93" s="106">
        <f t="shared" si="546"/>
        <v>650.5</v>
      </c>
      <c r="J93" s="106">
        <f t="shared" si="546"/>
        <v>236.52</v>
      </c>
      <c r="K93" s="106">
        <f t="shared" si="546"/>
        <v>821.25</v>
      </c>
      <c r="L93" s="106">
        <f t="shared" si="546"/>
        <v>9073.0349999999999</v>
      </c>
      <c r="M93" s="106">
        <f t="shared" si="503"/>
        <v>19658.724999999999</v>
      </c>
      <c r="N93" s="16" t="s">
        <v>74</v>
      </c>
      <c r="O93" s="106">
        <f t="shared" si="547"/>
        <v>41660.625</v>
      </c>
      <c r="P93" s="106">
        <f t="shared" si="547"/>
        <v>12526.12</v>
      </c>
      <c r="Q93" s="106">
        <f t="shared" si="547"/>
        <v>473.04</v>
      </c>
      <c r="R93" s="106">
        <f t="shared" si="547"/>
        <v>0</v>
      </c>
      <c r="S93" s="106">
        <f t="shared" si="547"/>
        <v>709.8</v>
      </c>
      <c r="T93" s="106">
        <f t="shared" si="547"/>
        <v>473.04</v>
      </c>
      <c r="U93" s="106">
        <f t="shared" si="547"/>
        <v>4762.665</v>
      </c>
      <c r="V93" s="106">
        <f t="shared" si="547"/>
        <v>0</v>
      </c>
      <c r="W93" s="106">
        <f t="shared" si="547"/>
        <v>0</v>
      </c>
      <c r="X93" s="106">
        <f t="shared" si="547"/>
        <v>0</v>
      </c>
      <c r="Y93" s="106">
        <f t="shared" si="547"/>
        <v>0</v>
      </c>
      <c r="Z93" s="106">
        <f t="shared" si="547"/>
        <v>0</v>
      </c>
      <c r="AA93" s="106">
        <f t="shared" si="548"/>
        <v>60605.290000000008</v>
      </c>
      <c r="AB93" s="118"/>
      <c r="AC93" s="106">
        <f t="shared" si="549"/>
        <v>0</v>
      </c>
      <c r="AD93" s="106">
        <f t="shared" si="549"/>
        <v>0</v>
      </c>
      <c r="AE93" s="106">
        <f t="shared" si="549"/>
        <v>0</v>
      </c>
      <c r="AF93" s="106">
        <f t="shared" si="549"/>
        <v>0</v>
      </c>
      <c r="AG93" s="106">
        <f t="shared" si="549"/>
        <v>0</v>
      </c>
      <c r="AH93" s="106">
        <f t="shared" si="549"/>
        <v>0</v>
      </c>
      <c r="AI93" s="106">
        <f t="shared" si="549"/>
        <v>0</v>
      </c>
      <c r="AJ93" s="106">
        <f t="shared" si="549"/>
        <v>0</v>
      </c>
      <c r="AK93" s="106">
        <f t="shared" si="549"/>
        <v>0</v>
      </c>
      <c r="AL93" s="106">
        <f t="shared" si="549"/>
        <v>0</v>
      </c>
      <c r="AM93" s="106">
        <f t="shared" si="549"/>
        <v>0</v>
      </c>
      <c r="AN93" s="106">
        <f t="shared" si="549"/>
        <v>0</v>
      </c>
      <c r="AO93" s="106">
        <f t="shared" si="550"/>
        <v>0</v>
      </c>
      <c r="AP93" s="106"/>
      <c r="AQ93" s="106">
        <f>+PMGR!AQ93+BP!AQ93</f>
        <v>0</v>
      </c>
      <c r="AR93" s="106">
        <f>+PMGR!AR93+BP!AR93</f>
        <v>0</v>
      </c>
      <c r="AS93" s="106">
        <f>+PMGR!AS93+BP!AS93</f>
        <v>0</v>
      </c>
      <c r="AT93" s="106">
        <f>+PMGR!AT93+BP!AT93</f>
        <v>0</v>
      </c>
      <c r="AU93" s="106">
        <f>+PMGR!AU93+BP!AU93</f>
        <v>0</v>
      </c>
      <c r="AV93" s="106">
        <f>+PMGR!AV93+BP!AV93</f>
        <v>0</v>
      </c>
      <c r="AW93" s="106">
        <f>+PMGR!AW93+BP!AW93</f>
        <v>8181</v>
      </c>
      <c r="AX93" s="106">
        <f>+PMGR!AX93+BP!AX93</f>
        <v>0</v>
      </c>
      <c r="AY93" s="106">
        <f>+PMGR!AY93+BP!AY93</f>
        <v>0</v>
      </c>
      <c r="AZ93" s="106">
        <f>+PMGR!AZ93+BP!AZ93</f>
        <v>0</v>
      </c>
      <c r="BA93" s="106">
        <f>+PMGR!BA93+BP!BA93</f>
        <v>0</v>
      </c>
      <c r="BB93" s="106">
        <f>+PMGR!BB93+BP!BB93</f>
        <v>8000</v>
      </c>
      <c r="BC93" s="106">
        <f t="shared" si="551"/>
        <v>16181</v>
      </c>
      <c r="BD93" s="16" t="str">
        <f t="shared" si="405"/>
        <v>Delivery Expenses Others</v>
      </c>
      <c r="BE93" s="106">
        <f>+PMGR!BE93+BP!BE93</f>
        <v>0</v>
      </c>
      <c r="BF93" s="106">
        <f>+PMGR!BF93+BP!BF93</f>
        <v>0</v>
      </c>
      <c r="BG93" s="106">
        <f>+PMGR!BG93+BP!BG93</f>
        <v>0</v>
      </c>
      <c r="BH93" s="106">
        <f>+PMGR!BH93+BP!BH93</f>
        <v>0</v>
      </c>
      <c r="BI93" s="106">
        <f>+PMGR!BI93+BP!BI93</f>
        <v>0</v>
      </c>
      <c r="BJ93" s="106">
        <f>+PMGR!BJ93+BP!BJ93</f>
        <v>0</v>
      </c>
      <c r="BK93" s="106">
        <f>+PMGR!BK93+BP!BK93</f>
        <v>2859.75</v>
      </c>
      <c r="BL93" s="106">
        <f>+PMGR!BL93+BP!BL93</f>
        <v>0</v>
      </c>
      <c r="BM93" s="106">
        <f>+PMGR!BM93+BP!BM93</f>
        <v>0</v>
      </c>
      <c r="BN93" s="106">
        <f>+PMGR!BN93+BP!BN93</f>
        <v>0</v>
      </c>
      <c r="BO93" s="106">
        <f>+PMGR!BO93+BP!BO93</f>
        <v>0</v>
      </c>
      <c r="BP93" s="106">
        <f>+PMGR!BP93+BP!BP93</f>
        <v>0</v>
      </c>
      <c r="BQ93" s="106">
        <f t="shared" si="552"/>
        <v>2859.75</v>
      </c>
      <c r="BR93" s="118"/>
      <c r="BS93" s="106">
        <f>+PMGR!BS93+BP!BS93</f>
        <v>0</v>
      </c>
      <c r="BT93" s="106">
        <f>+PMGR!BT93+BP!BT93</f>
        <v>0</v>
      </c>
      <c r="BU93" s="106">
        <f>+PMGR!BU93+BP!BU93</f>
        <v>0</v>
      </c>
      <c r="BV93" s="106">
        <f>+PMGR!BV93+BP!BV93</f>
        <v>0</v>
      </c>
      <c r="BW93" s="106">
        <f>+PMGR!BW93+BP!BW93</f>
        <v>0</v>
      </c>
      <c r="BX93" s="106">
        <f>+PMGR!BX93+BP!BX93</f>
        <v>0</v>
      </c>
      <c r="BY93" s="106">
        <f>+PMGR!BY93+BP!BY93</f>
        <v>0</v>
      </c>
      <c r="BZ93" s="106">
        <f>+PMGR!BZ93+BP!BZ93</f>
        <v>0</v>
      </c>
      <c r="CA93" s="106">
        <f>+PMGR!CA93+BP!CA93</f>
        <v>0</v>
      </c>
      <c r="CB93" s="106">
        <f>+PMGR!CB93+BP!CB93</f>
        <v>0</v>
      </c>
      <c r="CC93" s="106">
        <f>+PMGR!CC93+BP!CC93</f>
        <v>0</v>
      </c>
      <c r="CD93" s="106">
        <f>+PMGR!CD93+BP!CD93</f>
        <v>0</v>
      </c>
      <c r="CE93" s="106">
        <f t="shared" si="553"/>
        <v>0</v>
      </c>
      <c r="CF93" s="106"/>
      <c r="CG93" s="106">
        <f>+PMGR!CG93+BP!CG93</f>
        <v>0</v>
      </c>
      <c r="CH93" s="106">
        <f>+PMGR!CH93+BP!CH93</f>
        <v>0</v>
      </c>
      <c r="CI93" s="106">
        <f>+PMGR!CI93+BP!CI93</f>
        <v>0</v>
      </c>
      <c r="CJ93" s="106">
        <f>+PMGR!CJ93+BP!CJ93</f>
        <v>0</v>
      </c>
      <c r="CK93" s="106">
        <f>+PMGR!CK93+BP!CK93</f>
        <v>0</v>
      </c>
      <c r="CL93" s="106">
        <f>+PMGR!CL93+BP!CL93</f>
        <v>0</v>
      </c>
      <c r="CM93" s="106">
        <f>+PMGR!CM93+BP!CM93</f>
        <v>348.21</v>
      </c>
      <c r="CN93" s="106">
        <f>+PMGR!CN93+BP!CN93</f>
        <v>348.21</v>
      </c>
      <c r="CO93" s="106">
        <f>+PMGR!CO93+BP!CO93</f>
        <v>650.5</v>
      </c>
      <c r="CP93" s="106">
        <f>+PMGR!CP93+BP!CP93</f>
        <v>236.52</v>
      </c>
      <c r="CQ93" s="106">
        <f>+PMGR!CQ93+BP!CQ93</f>
        <v>821.25</v>
      </c>
      <c r="CR93" s="106">
        <f>+PMGR!CR93+BP!CR93</f>
        <v>1073.0350000000001</v>
      </c>
      <c r="CS93" s="106">
        <f t="shared" si="554"/>
        <v>3477.7250000000004</v>
      </c>
      <c r="CT93" s="16" t="str">
        <f t="shared" si="409"/>
        <v>Delivery Expenses Others</v>
      </c>
      <c r="CU93" s="106">
        <f>+PMGR!CU93+BP!CU93</f>
        <v>810.625</v>
      </c>
      <c r="CV93" s="106">
        <f>+PMGR!CV93+BP!CV93</f>
        <v>473.12</v>
      </c>
      <c r="CW93" s="106">
        <f>+PMGR!CW93+BP!CW93</f>
        <v>473.04</v>
      </c>
      <c r="CX93" s="106">
        <f>+PMGR!CX93+BP!CX93</f>
        <v>0</v>
      </c>
      <c r="CY93" s="106">
        <f>+PMGR!CY93+BP!CY93</f>
        <v>709.8</v>
      </c>
      <c r="CZ93" s="106">
        <f>+PMGR!CZ93+BP!CZ93</f>
        <v>473.04</v>
      </c>
      <c r="DA93" s="106">
        <f>+PMGR!DA93+BP!DA93</f>
        <v>1902.915</v>
      </c>
      <c r="DB93" s="106">
        <f>+PMGR!DB93+BP!DB93</f>
        <v>0</v>
      </c>
      <c r="DC93" s="106">
        <f>+PMGR!DC93+BP!DC93</f>
        <v>0</v>
      </c>
      <c r="DD93" s="106">
        <f>+PMGR!DD93+BP!DD93</f>
        <v>0</v>
      </c>
      <c r="DE93" s="106">
        <f>+PMGR!DE93+BP!DE93</f>
        <v>0</v>
      </c>
      <c r="DF93" s="106">
        <f>+PMGR!DF93+BP!DF93</f>
        <v>0</v>
      </c>
      <c r="DG93" s="106">
        <f t="shared" si="555"/>
        <v>4842.54</v>
      </c>
      <c r="DH93" s="118"/>
      <c r="DI93" s="106">
        <f>+PMGR!DI93+BP!DI93</f>
        <v>0</v>
      </c>
      <c r="DJ93" s="106">
        <f>+PMGR!DJ93+BP!DJ93</f>
        <v>0</v>
      </c>
      <c r="DK93" s="106">
        <f>+PMGR!DK93+BP!DK93</f>
        <v>0</v>
      </c>
      <c r="DL93" s="106">
        <f>+PMGR!DL93+BP!DL93</f>
        <v>0</v>
      </c>
      <c r="DM93" s="106">
        <f>+PMGR!DM93+BP!DM93</f>
        <v>0</v>
      </c>
      <c r="DN93" s="106">
        <f>+PMGR!DN93+BP!DN93</f>
        <v>0</v>
      </c>
      <c r="DO93" s="106">
        <f>+PMGR!DO93+BP!DO93</f>
        <v>0</v>
      </c>
      <c r="DP93" s="106">
        <f>+PMGR!DP93+BP!DP93</f>
        <v>0</v>
      </c>
      <c r="DQ93" s="106">
        <f>+PMGR!DQ93+BP!DQ93</f>
        <v>0</v>
      </c>
      <c r="DR93" s="106">
        <f>+PMGR!DR93+BP!DR93</f>
        <v>0</v>
      </c>
      <c r="DS93" s="106">
        <f>+PMGR!DS93+BP!DS93</f>
        <v>0</v>
      </c>
      <c r="DT93" s="106">
        <f>+PMGR!DT93+BP!DT93</f>
        <v>0</v>
      </c>
      <c r="DU93" s="106">
        <f t="shared" si="556"/>
        <v>0</v>
      </c>
      <c r="DV93" s="106"/>
      <c r="DW93" s="106">
        <f>+PMGR!DW93+BP!DW93</f>
        <v>0</v>
      </c>
      <c r="DX93" s="106">
        <f>+PMGR!DX93+BP!DX93</f>
        <v>0</v>
      </c>
      <c r="DY93" s="106">
        <f>+PMGR!DY93+BP!DY93</f>
        <v>0</v>
      </c>
      <c r="DZ93" s="106">
        <f>+PMGR!DZ93+BP!DZ93</f>
        <v>0</v>
      </c>
      <c r="EA93" s="106">
        <f>+PMGR!EA93+BP!EA93</f>
        <v>0</v>
      </c>
      <c r="EB93" s="106">
        <f>+PMGR!EB93+BP!EB93</f>
        <v>0</v>
      </c>
      <c r="EC93" s="106">
        <f>+PMGR!EC93+BP!EC93</f>
        <v>0</v>
      </c>
      <c r="ED93" s="106">
        <f>+PMGR!ED93+BP!ED93</f>
        <v>0</v>
      </c>
      <c r="EE93" s="106">
        <f>+PMGR!EE93+BP!EE93</f>
        <v>0</v>
      </c>
      <c r="EF93" s="106">
        <f>+PMGR!EF93+BP!EF93</f>
        <v>0</v>
      </c>
      <c r="EG93" s="106">
        <f>+PMGR!EG93+BP!EG93</f>
        <v>0</v>
      </c>
      <c r="EH93" s="106">
        <f>+PMGR!EH93+BP!EH93</f>
        <v>0</v>
      </c>
      <c r="EI93" s="106">
        <f t="shared" si="557"/>
        <v>0</v>
      </c>
      <c r="EJ93" s="16" t="str">
        <f t="shared" si="457"/>
        <v>Delivery Expenses Others</v>
      </c>
      <c r="EK93" s="106">
        <f>+PMGR!EK93+BP!EK93</f>
        <v>40850</v>
      </c>
      <c r="EL93" s="106">
        <f>+PMGR!EL93+BP!EL93</f>
        <v>12053</v>
      </c>
      <c r="EM93" s="106">
        <f>+PMGR!EM93+BP!EM93</f>
        <v>0</v>
      </c>
      <c r="EN93" s="106">
        <f>+PMGR!EN93+BP!EN93</f>
        <v>0</v>
      </c>
      <c r="EO93" s="106">
        <f>+PMGR!EO93+BP!EO93</f>
        <v>0</v>
      </c>
      <c r="EP93" s="106">
        <f>+PMGR!EP93+BP!EP93</f>
        <v>0</v>
      </c>
      <c r="EQ93" s="106">
        <f>+PMGR!EQ93+BP!EQ93</f>
        <v>0</v>
      </c>
      <c r="ER93" s="106">
        <f>+PMGR!ER93+BP!ER93</f>
        <v>0</v>
      </c>
      <c r="ES93" s="106">
        <f>+PMGR!ES93+BP!ES93</f>
        <v>0</v>
      </c>
      <c r="ET93" s="106">
        <f>+PMGR!ET93+BP!ET93</f>
        <v>0</v>
      </c>
      <c r="EU93" s="106">
        <f>+PMGR!EU93+BP!EU93</f>
        <v>0</v>
      </c>
      <c r="EV93" s="106">
        <f>+PMGR!EV93+BP!EV93</f>
        <v>0</v>
      </c>
      <c r="EW93" s="106">
        <f t="shared" si="558"/>
        <v>52903</v>
      </c>
      <c r="EX93" s="118"/>
      <c r="EY93" s="106">
        <f>+PMGR!EY93+BP!EY93</f>
        <v>0</v>
      </c>
      <c r="EZ93" s="106">
        <f>+PMGR!EZ93+BP!EZ93</f>
        <v>0</v>
      </c>
      <c r="FA93" s="106">
        <f>+PMGR!FA93+BP!FA93</f>
        <v>0</v>
      </c>
      <c r="FB93" s="106">
        <f>+PMGR!FB93+BP!FB93</f>
        <v>0</v>
      </c>
      <c r="FC93" s="106">
        <f>+PMGR!FC93+BP!FC93</f>
        <v>0</v>
      </c>
      <c r="FD93" s="106">
        <f>+PMGR!FD93+BP!FD93</f>
        <v>0</v>
      </c>
      <c r="FE93" s="106">
        <f>+PMGR!FE93+BP!FE93</f>
        <v>0</v>
      </c>
      <c r="FF93" s="106">
        <f>+PMGR!FF93+BP!FF93</f>
        <v>0</v>
      </c>
      <c r="FG93" s="106">
        <f>+PMGR!FG93+BP!FG93</f>
        <v>0</v>
      </c>
      <c r="FH93" s="106">
        <f>+PMGR!FH93+BP!FH93</f>
        <v>0</v>
      </c>
      <c r="FI93" s="106">
        <f>+PMGR!FI93+BP!FI93</f>
        <v>0</v>
      </c>
      <c r="FJ93" s="106">
        <f>+PMGR!FJ93+BP!FJ93</f>
        <v>0</v>
      </c>
      <c r="FK93" s="106">
        <f t="shared" si="559"/>
        <v>0</v>
      </c>
    </row>
    <row r="94" spans="1:167" ht="14.45" hidden="1" customHeight="1" outlineLevel="2">
      <c r="A94" s="106">
        <f t="shared" si="546"/>
        <v>0</v>
      </c>
      <c r="B94" s="106">
        <f t="shared" si="546"/>
        <v>0</v>
      </c>
      <c r="C94" s="106">
        <f t="shared" si="546"/>
        <v>0</v>
      </c>
      <c r="D94" s="106">
        <f t="shared" si="546"/>
        <v>0</v>
      </c>
      <c r="E94" s="106">
        <f t="shared" si="546"/>
        <v>0</v>
      </c>
      <c r="F94" s="106">
        <f t="shared" si="546"/>
        <v>0</v>
      </c>
      <c r="G94" s="106">
        <f t="shared" si="546"/>
        <v>0</v>
      </c>
      <c r="H94" s="106">
        <f t="shared" si="546"/>
        <v>0</v>
      </c>
      <c r="I94" s="106">
        <f t="shared" si="546"/>
        <v>0</v>
      </c>
      <c r="J94" s="106">
        <f t="shared" si="546"/>
        <v>0</v>
      </c>
      <c r="K94" s="106">
        <f t="shared" si="546"/>
        <v>0</v>
      </c>
      <c r="L94" s="106">
        <f t="shared" si="546"/>
        <v>0</v>
      </c>
      <c r="M94" s="106">
        <f t="shared" si="503"/>
        <v>0</v>
      </c>
      <c r="N94" s="16" t="s">
        <v>75</v>
      </c>
      <c r="O94" s="106">
        <f t="shared" si="547"/>
        <v>0</v>
      </c>
      <c r="P94" s="106">
        <f t="shared" si="547"/>
        <v>0</v>
      </c>
      <c r="Q94" s="106">
        <f t="shared" si="547"/>
        <v>0</v>
      </c>
      <c r="R94" s="106">
        <f t="shared" si="547"/>
        <v>0</v>
      </c>
      <c r="S94" s="106">
        <f t="shared" si="547"/>
        <v>0</v>
      </c>
      <c r="T94" s="106">
        <f t="shared" si="547"/>
        <v>0</v>
      </c>
      <c r="U94" s="106">
        <f t="shared" si="547"/>
        <v>0</v>
      </c>
      <c r="V94" s="106">
        <f t="shared" si="547"/>
        <v>0</v>
      </c>
      <c r="W94" s="106">
        <f t="shared" si="547"/>
        <v>0</v>
      </c>
      <c r="X94" s="106">
        <f t="shared" si="547"/>
        <v>0</v>
      </c>
      <c r="Y94" s="106">
        <f t="shared" si="547"/>
        <v>0</v>
      </c>
      <c r="Z94" s="106">
        <f t="shared" si="547"/>
        <v>0</v>
      </c>
      <c r="AA94" s="106">
        <f t="shared" si="548"/>
        <v>0</v>
      </c>
      <c r="AB94" s="118"/>
      <c r="AC94" s="106">
        <f t="shared" si="549"/>
        <v>0</v>
      </c>
      <c r="AD94" s="106">
        <f t="shared" si="549"/>
        <v>0</v>
      </c>
      <c r="AE94" s="106">
        <f t="shared" si="549"/>
        <v>0</v>
      </c>
      <c r="AF94" s="106">
        <f t="shared" si="549"/>
        <v>0</v>
      </c>
      <c r="AG94" s="106">
        <f t="shared" si="549"/>
        <v>0</v>
      </c>
      <c r="AH94" s="106">
        <f t="shared" si="549"/>
        <v>0</v>
      </c>
      <c r="AI94" s="106">
        <f t="shared" si="549"/>
        <v>0</v>
      </c>
      <c r="AJ94" s="106">
        <f t="shared" si="549"/>
        <v>0</v>
      </c>
      <c r="AK94" s="106">
        <f t="shared" si="549"/>
        <v>0</v>
      </c>
      <c r="AL94" s="106">
        <f t="shared" si="549"/>
        <v>0</v>
      </c>
      <c r="AM94" s="106">
        <f t="shared" si="549"/>
        <v>0</v>
      </c>
      <c r="AN94" s="106">
        <f t="shared" si="549"/>
        <v>0</v>
      </c>
      <c r="AO94" s="106">
        <f t="shared" si="550"/>
        <v>0</v>
      </c>
      <c r="AP94" s="106"/>
      <c r="AQ94" s="106">
        <f>+PMGR!AQ94+BP!AQ94</f>
        <v>0</v>
      </c>
      <c r="AR94" s="106">
        <f>+PMGR!AR94+BP!AR94</f>
        <v>0</v>
      </c>
      <c r="AS94" s="106">
        <f>+PMGR!AS94+BP!AS94</f>
        <v>0</v>
      </c>
      <c r="AT94" s="106">
        <f>+PMGR!AT94+BP!AT94</f>
        <v>0</v>
      </c>
      <c r="AU94" s="106">
        <f>+PMGR!AU94+BP!AU94</f>
        <v>0</v>
      </c>
      <c r="AV94" s="106">
        <f>+PMGR!AV94+BP!AV94</f>
        <v>0</v>
      </c>
      <c r="AW94" s="106">
        <f>+PMGR!AW94+BP!AW94</f>
        <v>0</v>
      </c>
      <c r="AX94" s="106">
        <f>+PMGR!AX94+BP!AX94</f>
        <v>0</v>
      </c>
      <c r="AY94" s="106">
        <f>+PMGR!AY94+BP!AY94</f>
        <v>0</v>
      </c>
      <c r="AZ94" s="106">
        <f>+PMGR!AZ94+BP!AZ94</f>
        <v>0</v>
      </c>
      <c r="BA94" s="106">
        <f>+PMGR!BA94+BP!BA94</f>
        <v>0</v>
      </c>
      <c r="BB94" s="106">
        <f>+PMGR!BB94+BP!BB94</f>
        <v>0</v>
      </c>
      <c r="BC94" s="106">
        <f t="shared" si="551"/>
        <v>0</v>
      </c>
      <c r="BD94" s="16" t="str">
        <f t="shared" si="405"/>
        <v>Delivery Polish - New  Car</v>
      </c>
      <c r="BE94" s="106">
        <f>+PMGR!BE94+BP!BE94</f>
        <v>0</v>
      </c>
      <c r="BF94" s="106">
        <f>+PMGR!BF94+BP!BF94</f>
        <v>0</v>
      </c>
      <c r="BG94" s="106">
        <f>+PMGR!BG94+BP!BG94</f>
        <v>0</v>
      </c>
      <c r="BH94" s="106">
        <f>+PMGR!BH94+BP!BH94</f>
        <v>0</v>
      </c>
      <c r="BI94" s="106">
        <f>+PMGR!BI94+BP!BI94</f>
        <v>0</v>
      </c>
      <c r="BJ94" s="106">
        <f>+PMGR!BJ94+BP!BJ94</f>
        <v>0</v>
      </c>
      <c r="BK94" s="106">
        <f>+PMGR!BK94+BP!BK94</f>
        <v>0</v>
      </c>
      <c r="BL94" s="106">
        <f>+PMGR!BL94+BP!BL94</f>
        <v>0</v>
      </c>
      <c r="BM94" s="106">
        <f>+PMGR!BM94+BP!BM94</f>
        <v>0</v>
      </c>
      <c r="BN94" s="106">
        <f>+PMGR!BN94+BP!BN94</f>
        <v>0</v>
      </c>
      <c r="BO94" s="106">
        <f>+PMGR!BO94+BP!BO94</f>
        <v>0</v>
      </c>
      <c r="BP94" s="106">
        <f>+PMGR!BP94+BP!BP94</f>
        <v>0</v>
      </c>
      <c r="BQ94" s="106">
        <f t="shared" si="552"/>
        <v>0</v>
      </c>
      <c r="BR94" s="118"/>
      <c r="BS94" s="106">
        <f>+PMGR!BS94+BP!BS94</f>
        <v>0</v>
      </c>
      <c r="BT94" s="106">
        <f>+PMGR!BT94+BP!BT94</f>
        <v>0</v>
      </c>
      <c r="BU94" s="106">
        <f>+PMGR!BU94+BP!BU94</f>
        <v>0</v>
      </c>
      <c r="BV94" s="106">
        <f>+PMGR!BV94+BP!BV94</f>
        <v>0</v>
      </c>
      <c r="BW94" s="106">
        <f>+PMGR!BW94+BP!BW94</f>
        <v>0</v>
      </c>
      <c r="BX94" s="106">
        <f>+PMGR!BX94+BP!BX94</f>
        <v>0</v>
      </c>
      <c r="BY94" s="106">
        <f>+PMGR!BY94+BP!BY94</f>
        <v>0</v>
      </c>
      <c r="BZ94" s="106">
        <f>+PMGR!BZ94+BP!BZ94</f>
        <v>0</v>
      </c>
      <c r="CA94" s="106">
        <f>+PMGR!CA94+BP!CA94</f>
        <v>0</v>
      </c>
      <c r="CB94" s="106">
        <f>+PMGR!CB94+BP!CB94</f>
        <v>0</v>
      </c>
      <c r="CC94" s="106">
        <f>+PMGR!CC94+BP!CC94</f>
        <v>0</v>
      </c>
      <c r="CD94" s="106">
        <f>+PMGR!CD94+BP!CD94</f>
        <v>0</v>
      </c>
      <c r="CE94" s="106">
        <f t="shared" si="553"/>
        <v>0</v>
      </c>
      <c r="CF94" s="106"/>
      <c r="CG94" s="106">
        <f>+PMGR!CG94+BP!CG94</f>
        <v>0</v>
      </c>
      <c r="CH94" s="106">
        <f>+PMGR!CH94+BP!CH94</f>
        <v>0</v>
      </c>
      <c r="CI94" s="106">
        <f>+PMGR!CI94+BP!CI94</f>
        <v>0</v>
      </c>
      <c r="CJ94" s="106">
        <f>+PMGR!CJ94+BP!CJ94</f>
        <v>0</v>
      </c>
      <c r="CK94" s="106">
        <f>+PMGR!CK94+BP!CK94</f>
        <v>0</v>
      </c>
      <c r="CL94" s="106">
        <f>+PMGR!CL94+BP!CL94</f>
        <v>0</v>
      </c>
      <c r="CM94" s="106">
        <f>+PMGR!CM94+BP!CM94</f>
        <v>0</v>
      </c>
      <c r="CN94" s="106">
        <f>+PMGR!CN94+BP!CN94</f>
        <v>0</v>
      </c>
      <c r="CO94" s="106">
        <f>+PMGR!CO94+BP!CO94</f>
        <v>0</v>
      </c>
      <c r="CP94" s="106">
        <f>+PMGR!CP94+BP!CP94</f>
        <v>0</v>
      </c>
      <c r="CQ94" s="106">
        <f>+PMGR!CQ94+BP!CQ94</f>
        <v>0</v>
      </c>
      <c r="CR94" s="106">
        <f>+PMGR!CR94+BP!CR94</f>
        <v>0</v>
      </c>
      <c r="CS94" s="106">
        <f t="shared" si="554"/>
        <v>0</v>
      </c>
      <c r="CT94" s="16" t="str">
        <f t="shared" si="409"/>
        <v>Delivery Polish - New  Car</v>
      </c>
      <c r="CU94" s="106">
        <f>+PMGR!CU94+BP!CU94</f>
        <v>0</v>
      </c>
      <c r="CV94" s="106">
        <f>+PMGR!CV94+BP!CV94</f>
        <v>0</v>
      </c>
      <c r="CW94" s="106">
        <f>+PMGR!CW94+BP!CW94</f>
        <v>0</v>
      </c>
      <c r="CX94" s="106">
        <f>+PMGR!CX94+BP!CX94</f>
        <v>0</v>
      </c>
      <c r="CY94" s="106">
        <f>+PMGR!CY94+BP!CY94</f>
        <v>0</v>
      </c>
      <c r="CZ94" s="106">
        <f>+PMGR!CZ94+BP!CZ94</f>
        <v>0</v>
      </c>
      <c r="DA94" s="106">
        <f>+PMGR!DA94+BP!DA94</f>
        <v>0</v>
      </c>
      <c r="DB94" s="106">
        <f>+PMGR!DB94+BP!DB94</f>
        <v>0</v>
      </c>
      <c r="DC94" s="106">
        <f>+PMGR!DC94+BP!DC94</f>
        <v>0</v>
      </c>
      <c r="DD94" s="106">
        <f>+PMGR!DD94+BP!DD94</f>
        <v>0</v>
      </c>
      <c r="DE94" s="106">
        <f>+PMGR!DE94+BP!DE94</f>
        <v>0</v>
      </c>
      <c r="DF94" s="106">
        <f>+PMGR!DF94+BP!DF94</f>
        <v>0</v>
      </c>
      <c r="DG94" s="106">
        <f t="shared" si="555"/>
        <v>0</v>
      </c>
      <c r="DH94" s="118"/>
      <c r="DI94" s="106">
        <f>+PMGR!DI94+BP!DI94</f>
        <v>0</v>
      </c>
      <c r="DJ94" s="106">
        <f>+PMGR!DJ94+BP!DJ94</f>
        <v>0</v>
      </c>
      <c r="DK94" s="106">
        <f>+PMGR!DK94+BP!DK94</f>
        <v>0</v>
      </c>
      <c r="DL94" s="106">
        <f>+PMGR!DL94+BP!DL94</f>
        <v>0</v>
      </c>
      <c r="DM94" s="106">
        <f>+PMGR!DM94+BP!DM94</f>
        <v>0</v>
      </c>
      <c r="DN94" s="106">
        <f>+PMGR!DN94+BP!DN94</f>
        <v>0</v>
      </c>
      <c r="DO94" s="106">
        <f>+PMGR!DO94+BP!DO94</f>
        <v>0</v>
      </c>
      <c r="DP94" s="106">
        <f>+PMGR!DP94+BP!DP94</f>
        <v>0</v>
      </c>
      <c r="DQ94" s="106">
        <f>+PMGR!DQ94+BP!DQ94</f>
        <v>0</v>
      </c>
      <c r="DR94" s="106">
        <f>+PMGR!DR94+BP!DR94</f>
        <v>0</v>
      </c>
      <c r="DS94" s="106">
        <f>+PMGR!DS94+BP!DS94</f>
        <v>0</v>
      </c>
      <c r="DT94" s="106">
        <f>+PMGR!DT94+BP!DT94</f>
        <v>0</v>
      </c>
      <c r="DU94" s="106">
        <f t="shared" si="556"/>
        <v>0</v>
      </c>
      <c r="DV94" s="106"/>
      <c r="DW94" s="106">
        <f>+PMGR!DW94+BP!DW94</f>
        <v>0</v>
      </c>
      <c r="DX94" s="106">
        <f>+PMGR!DX94+BP!DX94</f>
        <v>0</v>
      </c>
      <c r="DY94" s="106">
        <f>+PMGR!DY94+BP!DY94</f>
        <v>0</v>
      </c>
      <c r="DZ94" s="106">
        <f>+PMGR!DZ94+BP!DZ94</f>
        <v>0</v>
      </c>
      <c r="EA94" s="106">
        <f>+PMGR!EA94+BP!EA94</f>
        <v>0</v>
      </c>
      <c r="EB94" s="106">
        <f>+PMGR!EB94+BP!EB94</f>
        <v>0</v>
      </c>
      <c r="EC94" s="106">
        <f>+PMGR!EC94+BP!EC94</f>
        <v>0</v>
      </c>
      <c r="ED94" s="106">
        <f>+PMGR!ED94+BP!ED94</f>
        <v>0</v>
      </c>
      <c r="EE94" s="106">
        <f>+PMGR!EE94+BP!EE94</f>
        <v>0</v>
      </c>
      <c r="EF94" s="106">
        <f>+PMGR!EF94+BP!EF94</f>
        <v>0</v>
      </c>
      <c r="EG94" s="106">
        <f>+PMGR!EG94+BP!EG94</f>
        <v>0</v>
      </c>
      <c r="EH94" s="106">
        <f>+PMGR!EH94+BP!EH94</f>
        <v>0</v>
      </c>
      <c r="EI94" s="106">
        <f t="shared" si="557"/>
        <v>0</v>
      </c>
      <c r="EJ94" s="16" t="str">
        <f t="shared" si="457"/>
        <v>Delivery Polish - New  Car</v>
      </c>
      <c r="EK94" s="106">
        <f>+PMGR!EK94+BP!EK94</f>
        <v>0</v>
      </c>
      <c r="EL94" s="106">
        <f>+PMGR!EL94+BP!EL94</f>
        <v>0</v>
      </c>
      <c r="EM94" s="106">
        <f>+PMGR!EM94+BP!EM94</f>
        <v>0</v>
      </c>
      <c r="EN94" s="106">
        <f>+PMGR!EN94+BP!EN94</f>
        <v>0</v>
      </c>
      <c r="EO94" s="106">
        <f>+PMGR!EO94+BP!EO94</f>
        <v>0</v>
      </c>
      <c r="EP94" s="106">
        <f>+PMGR!EP94+BP!EP94</f>
        <v>0</v>
      </c>
      <c r="EQ94" s="106">
        <f>+PMGR!EQ94+BP!EQ94</f>
        <v>0</v>
      </c>
      <c r="ER94" s="106">
        <f>+PMGR!ER94+BP!ER94</f>
        <v>0</v>
      </c>
      <c r="ES94" s="106">
        <f>+PMGR!ES94+BP!ES94</f>
        <v>0</v>
      </c>
      <c r="ET94" s="106">
        <f>+PMGR!ET94+BP!ET94</f>
        <v>0</v>
      </c>
      <c r="EU94" s="106">
        <f>+PMGR!EU94+BP!EU94</f>
        <v>0</v>
      </c>
      <c r="EV94" s="106">
        <f>+PMGR!EV94+BP!EV94</f>
        <v>0</v>
      </c>
      <c r="EW94" s="106">
        <f t="shared" si="558"/>
        <v>0</v>
      </c>
      <c r="EX94" s="118"/>
      <c r="EY94" s="106">
        <f>+PMGR!EY94+BP!EY94</f>
        <v>0</v>
      </c>
      <c r="EZ94" s="106">
        <f>+PMGR!EZ94+BP!EZ94</f>
        <v>0</v>
      </c>
      <c r="FA94" s="106">
        <f>+PMGR!FA94+BP!FA94</f>
        <v>0</v>
      </c>
      <c r="FB94" s="106">
        <f>+PMGR!FB94+BP!FB94</f>
        <v>0</v>
      </c>
      <c r="FC94" s="106">
        <f>+PMGR!FC94+BP!FC94</f>
        <v>0</v>
      </c>
      <c r="FD94" s="106">
        <f>+PMGR!FD94+BP!FD94</f>
        <v>0</v>
      </c>
      <c r="FE94" s="106">
        <f>+PMGR!FE94+BP!FE94</f>
        <v>0</v>
      </c>
      <c r="FF94" s="106">
        <f>+PMGR!FF94+BP!FF94</f>
        <v>0</v>
      </c>
      <c r="FG94" s="106">
        <f>+PMGR!FG94+BP!FG94</f>
        <v>0</v>
      </c>
      <c r="FH94" s="106">
        <f>+PMGR!FH94+BP!FH94</f>
        <v>0</v>
      </c>
      <c r="FI94" s="106">
        <f>+PMGR!FI94+BP!FI94</f>
        <v>0</v>
      </c>
      <c r="FJ94" s="106">
        <f>+PMGR!FJ94+BP!FJ94</f>
        <v>0</v>
      </c>
      <c r="FK94" s="106">
        <f t="shared" si="559"/>
        <v>0</v>
      </c>
    </row>
    <row r="95" spans="1:167" ht="14.45" hidden="1" customHeight="1" outlineLevel="2">
      <c r="A95" s="106">
        <f t="shared" si="546"/>
        <v>0</v>
      </c>
      <c r="B95" s="106">
        <f t="shared" si="546"/>
        <v>0</v>
      </c>
      <c r="C95" s="106">
        <f t="shared" si="546"/>
        <v>0</v>
      </c>
      <c r="D95" s="106">
        <f t="shared" si="546"/>
        <v>0</v>
      </c>
      <c r="E95" s="106">
        <f t="shared" si="546"/>
        <v>0</v>
      </c>
      <c r="F95" s="106">
        <f t="shared" si="546"/>
        <v>0</v>
      </c>
      <c r="G95" s="106">
        <f t="shared" si="546"/>
        <v>0</v>
      </c>
      <c r="H95" s="106">
        <f t="shared" si="546"/>
        <v>0</v>
      </c>
      <c r="I95" s="106">
        <f t="shared" si="546"/>
        <v>0</v>
      </c>
      <c r="J95" s="106">
        <f t="shared" si="546"/>
        <v>0</v>
      </c>
      <c r="K95" s="106">
        <f t="shared" si="546"/>
        <v>0</v>
      </c>
      <c r="L95" s="106">
        <f t="shared" si="546"/>
        <v>0</v>
      </c>
      <c r="M95" s="106">
        <f t="shared" si="503"/>
        <v>0</v>
      </c>
      <c r="N95" s="16" t="s">
        <v>76</v>
      </c>
      <c r="O95" s="106">
        <f t="shared" si="547"/>
        <v>0</v>
      </c>
      <c r="P95" s="106">
        <f t="shared" si="547"/>
        <v>0</v>
      </c>
      <c r="Q95" s="106">
        <f t="shared" si="547"/>
        <v>0</v>
      </c>
      <c r="R95" s="106">
        <f t="shared" si="547"/>
        <v>0</v>
      </c>
      <c r="S95" s="106">
        <f t="shared" si="547"/>
        <v>0</v>
      </c>
      <c r="T95" s="106">
        <f t="shared" si="547"/>
        <v>0</v>
      </c>
      <c r="U95" s="106">
        <f t="shared" si="547"/>
        <v>0</v>
      </c>
      <c r="V95" s="106">
        <f t="shared" si="547"/>
        <v>0</v>
      </c>
      <c r="W95" s="106">
        <f t="shared" si="547"/>
        <v>0</v>
      </c>
      <c r="X95" s="106">
        <f t="shared" si="547"/>
        <v>0</v>
      </c>
      <c r="Y95" s="106">
        <f t="shared" si="547"/>
        <v>0</v>
      </c>
      <c r="Z95" s="106">
        <f t="shared" si="547"/>
        <v>0</v>
      </c>
      <c r="AA95" s="106">
        <f t="shared" si="548"/>
        <v>0</v>
      </c>
      <c r="AB95" s="118"/>
      <c r="AC95" s="106">
        <f t="shared" si="549"/>
        <v>0</v>
      </c>
      <c r="AD95" s="106">
        <f t="shared" si="549"/>
        <v>0</v>
      </c>
      <c r="AE95" s="106">
        <f t="shared" si="549"/>
        <v>0</v>
      </c>
      <c r="AF95" s="106">
        <f t="shared" si="549"/>
        <v>0</v>
      </c>
      <c r="AG95" s="106">
        <f t="shared" si="549"/>
        <v>0</v>
      </c>
      <c r="AH95" s="106">
        <f t="shared" si="549"/>
        <v>0</v>
      </c>
      <c r="AI95" s="106">
        <f t="shared" si="549"/>
        <v>0</v>
      </c>
      <c r="AJ95" s="106">
        <f t="shared" si="549"/>
        <v>0</v>
      </c>
      <c r="AK95" s="106">
        <f t="shared" si="549"/>
        <v>0</v>
      </c>
      <c r="AL95" s="106">
        <f t="shared" si="549"/>
        <v>0</v>
      </c>
      <c r="AM95" s="106">
        <f t="shared" si="549"/>
        <v>0</v>
      </c>
      <c r="AN95" s="106">
        <f t="shared" si="549"/>
        <v>0</v>
      </c>
      <c r="AO95" s="106">
        <f t="shared" si="550"/>
        <v>0</v>
      </c>
      <c r="AP95" s="106"/>
      <c r="AQ95" s="106">
        <f>+PMGR!AQ95+BP!AQ95</f>
        <v>0</v>
      </c>
      <c r="AR95" s="106">
        <f>+PMGR!AR95+BP!AR95</f>
        <v>0</v>
      </c>
      <c r="AS95" s="106">
        <f>+PMGR!AS95+BP!AS95</f>
        <v>0</v>
      </c>
      <c r="AT95" s="106">
        <f>+PMGR!AT95+BP!AT95</f>
        <v>0</v>
      </c>
      <c r="AU95" s="106">
        <f>+PMGR!AU95+BP!AU95</f>
        <v>0</v>
      </c>
      <c r="AV95" s="106">
        <f>+PMGR!AV95+BP!AV95</f>
        <v>0</v>
      </c>
      <c r="AW95" s="106">
        <f>+PMGR!AW95+BP!AW95</f>
        <v>0</v>
      </c>
      <c r="AX95" s="106">
        <f>+PMGR!AX95+BP!AX95</f>
        <v>0</v>
      </c>
      <c r="AY95" s="106">
        <f>+PMGR!AY95+BP!AY95</f>
        <v>0</v>
      </c>
      <c r="AZ95" s="106">
        <f>+PMGR!AZ95+BP!AZ95</f>
        <v>0</v>
      </c>
      <c r="BA95" s="106">
        <f>+PMGR!BA95+BP!BA95</f>
        <v>0</v>
      </c>
      <c r="BB95" s="106">
        <f>+PMGR!BB95+BP!BB95</f>
        <v>0</v>
      </c>
      <c r="BC95" s="106">
        <f t="shared" si="551"/>
        <v>0</v>
      </c>
      <c r="BD95" s="16" t="str">
        <f t="shared" si="405"/>
        <v>Flat Bed  Charges</v>
      </c>
      <c r="BE95" s="106">
        <f>+PMGR!BE95+BP!BE95</f>
        <v>0</v>
      </c>
      <c r="BF95" s="106">
        <f>+PMGR!BF95+BP!BF95</f>
        <v>0</v>
      </c>
      <c r="BG95" s="106">
        <f>+PMGR!BG95+BP!BG95</f>
        <v>0</v>
      </c>
      <c r="BH95" s="106">
        <f>+PMGR!BH95+BP!BH95</f>
        <v>0</v>
      </c>
      <c r="BI95" s="106">
        <f>+PMGR!BI95+BP!BI95</f>
        <v>0</v>
      </c>
      <c r="BJ95" s="106">
        <f>+PMGR!BJ95+BP!BJ95</f>
        <v>0</v>
      </c>
      <c r="BK95" s="106">
        <f>+PMGR!BK95+BP!BK95</f>
        <v>0</v>
      </c>
      <c r="BL95" s="106">
        <f>+PMGR!BL95+BP!BL95</f>
        <v>0</v>
      </c>
      <c r="BM95" s="106">
        <f>+PMGR!BM95+BP!BM95</f>
        <v>0</v>
      </c>
      <c r="BN95" s="106">
        <f>+PMGR!BN95+BP!BN95</f>
        <v>0</v>
      </c>
      <c r="BO95" s="106">
        <f>+PMGR!BO95+BP!BO95</f>
        <v>0</v>
      </c>
      <c r="BP95" s="106">
        <f>+PMGR!BP95+BP!BP95</f>
        <v>0</v>
      </c>
      <c r="BQ95" s="106">
        <f t="shared" si="552"/>
        <v>0</v>
      </c>
      <c r="BR95" s="118"/>
      <c r="BS95" s="106">
        <f>+PMGR!BS95+BP!BS95</f>
        <v>0</v>
      </c>
      <c r="BT95" s="106">
        <f>+PMGR!BT95+BP!BT95</f>
        <v>0</v>
      </c>
      <c r="BU95" s="106">
        <f>+PMGR!BU95+BP!BU95</f>
        <v>0</v>
      </c>
      <c r="BV95" s="106">
        <f>+PMGR!BV95+BP!BV95</f>
        <v>0</v>
      </c>
      <c r="BW95" s="106">
        <f>+PMGR!BW95+BP!BW95</f>
        <v>0</v>
      </c>
      <c r="BX95" s="106">
        <f>+PMGR!BX95+BP!BX95</f>
        <v>0</v>
      </c>
      <c r="BY95" s="106">
        <f>+PMGR!BY95+BP!BY95</f>
        <v>0</v>
      </c>
      <c r="BZ95" s="106">
        <f>+PMGR!BZ95+BP!BZ95</f>
        <v>0</v>
      </c>
      <c r="CA95" s="106">
        <f>+PMGR!CA95+BP!CA95</f>
        <v>0</v>
      </c>
      <c r="CB95" s="106">
        <f>+PMGR!CB95+BP!CB95</f>
        <v>0</v>
      </c>
      <c r="CC95" s="106">
        <f>+PMGR!CC95+BP!CC95</f>
        <v>0</v>
      </c>
      <c r="CD95" s="106">
        <f>+PMGR!CD95+BP!CD95</f>
        <v>0</v>
      </c>
      <c r="CE95" s="106">
        <f t="shared" si="553"/>
        <v>0</v>
      </c>
      <c r="CF95" s="106"/>
      <c r="CG95" s="106">
        <f>+PMGR!CG95+BP!CG95</f>
        <v>0</v>
      </c>
      <c r="CH95" s="106">
        <f>+PMGR!CH95+BP!CH95</f>
        <v>0</v>
      </c>
      <c r="CI95" s="106">
        <f>+PMGR!CI95+BP!CI95</f>
        <v>0</v>
      </c>
      <c r="CJ95" s="106">
        <f>+PMGR!CJ95+BP!CJ95</f>
        <v>0</v>
      </c>
      <c r="CK95" s="106">
        <f>+PMGR!CK95+BP!CK95</f>
        <v>0</v>
      </c>
      <c r="CL95" s="106">
        <f>+PMGR!CL95+BP!CL95</f>
        <v>0</v>
      </c>
      <c r="CM95" s="106">
        <f>+PMGR!CM95+BP!CM95</f>
        <v>0</v>
      </c>
      <c r="CN95" s="106">
        <f>+PMGR!CN95+BP!CN95</f>
        <v>0</v>
      </c>
      <c r="CO95" s="106">
        <f>+PMGR!CO95+BP!CO95</f>
        <v>0</v>
      </c>
      <c r="CP95" s="106">
        <f>+PMGR!CP95+BP!CP95</f>
        <v>0</v>
      </c>
      <c r="CQ95" s="106">
        <f>+PMGR!CQ95+BP!CQ95</f>
        <v>0</v>
      </c>
      <c r="CR95" s="106">
        <f>+PMGR!CR95+BP!CR95</f>
        <v>0</v>
      </c>
      <c r="CS95" s="106">
        <f t="shared" si="554"/>
        <v>0</v>
      </c>
      <c r="CT95" s="16" t="str">
        <f t="shared" si="409"/>
        <v>Flat Bed  Charges</v>
      </c>
      <c r="CU95" s="106">
        <f>+PMGR!CU95+BP!CU95</f>
        <v>0</v>
      </c>
      <c r="CV95" s="106">
        <f>+PMGR!CV95+BP!CV95</f>
        <v>0</v>
      </c>
      <c r="CW95" s="106">
        <f>+PMGR!CW95+BP!CW95</f>
        <v>0</v>
      </c>
      <c r="CX95" s="106">
        <f>+PMGR!CX95+BP!CX95</f>
        <v>0</v>
      </c>
      <c r="CY95" s="106">
        <f>+PMGR!CY95+BP!CY95</f>
        <v>0</v>
      </c>
      <c r="CZ95" s="106">
        <f>+PMGR!CZ95+BP!CZ95</f>
        <v>0</v>
      </c>
      <c r="DA95" s="106">
        <f>+PMGR!DA95+BP!DA95</f>
        <v>0</v>
      </c>
      <c r="DB95" s="106">
        <f>+PMGR!DB95+BP!DB95</f>
        <v>0</v>
      </c>
      <c r="DC95" s="106">
        <f>+PMGR!DC95+BP!DC95</f>
        <v>0</v>
      </c>
      <c r="DD95" s="106">
        <f>+PMGR!DD95+BP!DD95</f>
        <v>0</v>
      </c>
      <c r="DE95" s="106">
        <f>+PMGR!DE95+BP!DE95</f>
        <v>0</v>
      </c>
      <c r="DF95" s="106">
        <f>+PMGR!DF95+BP!DF95</f>
        <v>0</v>
      </c>
      <c r="DG95" s="106">
        <f t="shared" si="555"/>
        <v>0</v>
      </c>
      <c r="DH95" s="118"/>
      <c r="DI95" s="106">
        <f>+PMGR!DI95+BP!DI95</f>
        <v>0</v>
      </c>
      <c r="DJ95" s="106">
        <f>+PMGR!DJ95+BP!DJ95</f>
        <v>0</v>
      </c>
      <c r="DK95" s="106">
        <f>+PMGR!DK95+BP!DK95</f>
        <v>0</v>
      </c>
      <c r="DL95" s="106">
        <f>+PMGR!DL95+BP!DL95</f>
        <v>0</v>
      </c>
      <c r="DM95" s="106">
        <f>+PMGR!DM95+BP!DM95</f>
        <v>0</v>
      </c>
      <c r="DN95" s="106">
        <f>+PMGR!DN95+BP!DN95</f>
        <v>0</v>
      </c>
      <c r="DO95" s="106">
        <f>+PMGR!DO95+BP!DO95</f>
        <v>0</v>
      </c>
      <c r="DP95" s="106">
        <f>+PMGR!DP95+BP!DP95</f>
        <v>0</v>
      </c>
      <c r="DQ95" s="106">
        <f>+PMGR!DQ95+BP!DQ95</f>
        <v>0</v>
      </c>
      <c r="DR95" s="106">
        <f>+PMGR!DR95+BP!DR95</f>
        <v>0</v>
      </c>
      <c r="DS95" s="106">
        <f>+PMGR!DS95+BP!DS95</f>
        <v>0</v>
      </c>
      <c r="DT95" s="106">
        <f>+PMGR!DT95+BP!DT95</f>
        <v>0</v>
      </c>
      <c r="DU95" s="106">
        <f t="shared" si="556"/>
        <v>0</v>
      </c>
      <c r="DV95" s="106"/>
      <c r="DW95" s="106">
        <f>+PMGR!DW95+BP!DW95</f>
        <v>0</v>
      </c>
      <c r="DX95" s="106">
        <f>+PMGR!DX95+BP!DX95</f>
        <v>0</v>
      </c>
      <c r="DY95" s="106">
        <f>+PMGR!DY95+BP!DY95</f>
        <v>0</v>
      </c>
      <c r="DZ95" s="106">
        <f>+PMGR!DZ95+BP!DZ95</f>
        <v>0</v>
      </c>
      <c r="EA95" s="106">
        <f>+PMGR!EA95+BP!EA95</f>
        <v>0</v>
      </c>
      <c r="EB95" s="106">
        <f>+PMGR!EB95+BP!EB95</f>
        <v>0</v>
      </c>
      <c r="EC95" s="106">
        <f>+PMGR!EC95+BP!EC95</f>
        <v>0</v>
      </c>
      <c r="ED95" s="106">
        <f>+PMGR!ED95+BP!ED95</f>
        <v>0</v>
      </c>
      <c r="EE95" s="106">
        <f>+PMGR!EE95+BP!EE95</f>
        <v>0</v>
      </c>
      <c r="EF95" s="106">
        <f>+PMGR!EF95+BP!EF95</f>
        <v>0</v>
      </c>
      <c r="EG95" s="106">
        <f>+PMGR!EG95+BP!EG95</f>
        <v>0</v>
      </c>
      <c r="EH95" s="106">
        <f>+PMGR!EH95+BP!EH95</f>
        <v>0</v>
      </c>
      <c r="EI95" s="106">
        <f t="shared" si="557"/>
        <v>0</v>
      </c>
      <c r="EJ95" s="16" t="str">
        <f t="shared" si="457"/>
        <v>Flat Bed  Charges</v>
      </c>
      <c r="EK95" s="106">
        <f>+PMGR!EK95+BP!EK95</f>
        <v>0</v>
      </c>
      <c r="EL95" s="106">
        <f>+PMGR!EL95+BP!EL95</f>
        <v>0</v>
      </c>
      <c r="EM95" s="106">
        <f>+PMGR!EM95+BP!EM95</f>
        <v>0</v>
      </c>
      <c r="EN95" s="106">
        <f>+PMGR!EN95+BP!EN95</f>
        <v>0</v>
      </c>
      <c r="EO95" s="106">
        <f>+PMGR!EO95+BP!EO95</f>
        <v>0</v>
      </c>
      <c r="EP95" s="106">
        <f>+PMGR!EP95+BP!EP95</f>
        <v>0</v>
      </c>
      <c r="EQ95" s="106">
        <f>+PMGR!EQ95+BP!EQ95</f>
        <v>0</v>
      </c>
      <c r="ER95" s="106">
        <f>+PMGR!ER95+BP!ER95</f>
        <v>0</v>
      </c>
      <c r="ES95" s="106">
        <f>+PMGR!ES95+BP!ES95</f>
        <v>0</v>
      </c>
      <c r="ET95" s="106">
        <f>+PMGR!ET95+BP!ET95</f>
        <v>0</v>
      </c>
      <c r="EU95" s="106">
        <f>+PMGR!EU95+BP!EU95</f>
        <v>0</v>
      </c>
      <c r="EV95" s="106">
        <f>+PMGR!EV95+BP!EV95</f>
        <v>0</v>
      </c>
      <c r="EW95" s="106">
        <f t="shared" si="558"/>
        <v>0</v>
      </c>
      <c r="EX95" s="118"/>
      <c r="EY95" s="106">
        <f>+PMGR!EY95+BP!EY95</f>
        <v>0</v>
      </c>
      <c r="EZ95" s="106">
        <f>+PMGR!EZ95+BP!EZ95</f>
        <v>0</v>
      </c>
      <c r="FA95" s="106">
        <f>+PMGR!FA95+BP!FA95</f>
        <v>0</v>
      </c>
      <c r="FB95" s="106">
        <f>+PMGR!FB95+BP!FB95</f>
        <v>0</v>
      </c>
      <c r="FC95" s="106">
        <f>+PMGR!FC95+BP!FC95</f>
        <v>0</v>
      </c>
      <c r="FD95" s="106">
        <f>+PMGR!FD95+BP!FD95</f>
        <v>0</v>
      </c>
      <c r="FE95" s="106">
        <f>+PMGR!FE95+BP!FE95</f>
        <v>0</v>
      </c>
      <c r="FF95" s="106">
        <f>+PMGR!FF95+BP!FF95</f>
        <v>0</v>
      </c>
      <c r="FG95" s="106">
        <f>+PMGR!FG95+BP!FG95</f>
        <v>0</v>
      </c>
      <c r="FH95" s="106">
        <f>+PMGR!FH95+BP!FH95</f>
        <v>0</v>
      </c>
      <c r="FI95" s="106">
        <f>+PMGR!FI95+BP!FI95</f>
        <v>0</v>
      </c>
      <c r="FJ95" s="106">
        <f>+PMGR!FJ95+BP!FJ95</f>
        <v>0</v>
      </c>
      <c r="FK95" s="106">
        <f t="shared" si="559"/>
        <v>0</v>
      </c>
    </row>
    <row r="96" spans="1:167" ht="14.45" hidden="1" customHeight="1" outlineLevel="2">
      <c r="A96" s="106">
        <f t="shared" si="546"/>
        <v>0</v>
      </c>
      <c r="B96" s="106">
        <f t="shared" si="546"/>
        <v>0</v>
      </c>
      <c r="C96" s="106">
        <f t="shared" si="546"/>
        <v>0</v>
      </c>
      <c r="D96" s="106">
        <f t="shared" si="546"/>
        <v>0</v>
      </c>
      <c r="E96" s="106">
        <f t="shared" si="546"/>
        <v>0</v>
      </c>
      <c r="F96" s="106">
        <f t="shared" si="546"/>
        <v>0</v>
      </c>
      <c r="G96" s="106">
        <f t="shared" si="546"/>
        <v>0</v>
      </c>
      <c r="H96" s="106">
        <f t="shared" si="546"/>
        <v>0</v>
      </c>
      <c r="I96" s="106">
        <f t="shared" si="546"/>
        <v>0</v>
      </c>
      <c r="J96" s="106">
        <f t="shared" si="546"/>
        <v>0</v>
      </c>
      <c r="K96" s="106">
        <f t="shared" si="546"/>
        <v>0</v>
      </c>
      <c r="L96" s="106">
        <f t="shared" si="546"/>
        <v>0</v>
      </c>
      <c r="M96" s="106">
        <f t="shared" si="503"/>
        <v>0</v>
      </c>
      <c r="N96" s="16" t="s">
        <v>77</v>
      </c>
      <c r="O96" s="106">
        <f t="shared" si="547"/>
        <v>50287.5</v>
      </c>
      <c r="P96" s="106">
        <f t="shared" si="547"/>
        <v>0</v>
      </c>
      <c r="Q96" s="106">
        <f t="shared" si="547"/>
        <v>0</v>
      </c>
      <c r="R96" s="106">
        <f t="shared" si="547"/>
        <v>0</v>
      </c>
      <c r="S96" s="106">
        <f t="shared" si="547"/>
        <v>0</v>
      </c>
      <c r="T96" s="106">
        <f t="shared" si="547"/>
        <v>0</v>
      </c>
      <c r="U96" s="106">
        <f t="shared" si="547"/>
        <v>0</v>
      </c>
      <c r="V96" s="106">
        <f t="shared" si="547"/>
        <v>0</v>
      </c>
      <c r="W96" s="106">
        <f t="shared" si="547"/>
        <v>0</v>
      </c>
      <c r="X96" s="106">
        <f t="shared" si="547"/>
        <v>10577</v>
      </c>
      <c r="Y96" s="106">
        <f t="shared" si="547"/>
        <v>0</v>
      </c>
      <c r="Z96" s="106">
        <f t="shared" si="547"/>
        <v>0</v>
      </c>
      <c r="AA96" s="106">
        <f t="shared" si="548"/>
        <v>60864.5</v>
      </c>
      <c r="AB96" s="118"/>
      <c r="AC96" s="106">
        <f t="shared" si="549"/>
        <v>0</v>
      </c>
      <c r="AD96" s="106">
        <f t="shared" si="549"/>
        <v>0</v>
      </c>
      <c r="AE96" s="106">
        <f t="shared" si="549"/>
        <v>0</v>
      </c>
      <c r="AF96" s="106">
        <f t="shared" si="549"/>
        <v>0</v>
      </c>
      <c r="AG96" s="106">
        <f t="shared" si="549"/>
        <v>0</v>
      </c>
      <c r="AH96" s="106">
        <f t="shared" si="549"/>
        <v>0</v>
      </c>
      <c r="AI96" s="106">
        <f t="shared" si="549"/>
        <v>0</v>
      </c>
      <c r="AJ96" s="106">
        <f t="shared" si="549"/>
        <v>0</v>
      </c>
      <c r="AK96" s="106">
        <f t="shared" si="549"/>
        <v>0</v>
      </c>
      <c r="AL96" s="106">
        <f t="shared" si="549"/>
        <v>0</v>
      </c>
      <c r="AM96" s="106">
        <f t="shared" si="549"/>
        <v>0</v>
      </c>
      <c r="AN96" s="106">
        <f t="shared" si="549"/>
        <v>0</v>
      </c>
      <c r="AO96" s="106">
        <f t="shared" si="550"/>
        <v>0</v>
      </c>
      <c r="AP96" s="106"/>
      <c r="AQ96" s="106">
        <f>+PMGR!AQ96+BP!AQ96</f>
        <v>0</v>
      </c>
      <c r="AR96" s="106">
        <f>+PMGR!AR96+BP!AR96</f>
        <v>0</v>
      </c>
      <c r="AS96" s="106">
        <f>+PMGR!AS96+BP!AS96</f>
        <v>0</v>
      </c>
      <c r="AT96" s="106">
        <f>+PMGR!AT96+BP!AT96</f>
        <v>0</v>
      </c>
      <c r="AU96" s="106">
        <f>+PMGR!AU96+BP!AU96</f>
        <v>0</v>
      </c>
      <c r="AV96" s="106">
        <f>+PMGR!AV96+BP!AV96</f>
        <v>0</v>
      </c>
      <c r="AW96" s="106">
        <f>+PMGR!AW96+BP!AW96</f>
        <v>0</v>
      </c>
      <c r="AX96" s="106">
        <f>+PMGR!AX96+BP!AX96</f>
        <v>0</v>
      </c>
      <c r="AY96" s="106">
        <f>+PMGR!AY96+BP!AY96</f>
        <v>0</v>
      </c>
      <c r="AZ96" s="106">
        <f>+PMGR!AZ96+BP!AZ96</f>
        <v>0</v>
      </c>
      <c r="BA96" s="106">
        <f>+PMGR!BA96+BP!BA96</f>
        <v>0</v>
      </c>
      <c r="BB96" s="106">
        <f>+PMGR!BB96+BP!BB96</f>
        <v>0</v>
      </c>
      <c r="BC96" s="106">
        <f t="shared" si="551"/>
        <v>0</v>
      </c>
      <c r="BD96" s="16" t="str">
        <f t="shared" si="405"/>
        <v>Flatbed Vehicle Expense (KL11CA7195)</v>
      </c>
      <c r="BE96" s="106">
        <f>+PMGR!BE96+BP!BE96</f>
        <v>23185</v>
      </c>
      <c r="BF96" s="106">
        <f>+PMGR!BF96+BP!BF96</f>
        <v>0</v>
      </c>
      <c r="BG96" s="106">
        <f>+PMGR!BG96+BP!BG96</f>
        <v>0</v>
      </c>
      <c r="BH96" s="106">
        <f>+PMGR!BH96+BP!BH96</f>
        <v>0</v>
      </c>
      <c r="BI96" s="106">
        <f>+PMGR!BI96+BP!BI96</f>
        <v>0</v>
      </c>
      <c r="BJ96" s="106">
        <f>+PMGR!BJ96+BP!BJ96</f>
        <v>0</v>
      </c>
      <c r="BK96" s="106">
        <f>+PMGR!BK96+BP!BK96</f>
        <v>0</v>
      </c>
      <c r="BL96" s="106">
        <f>+PMGR!BL96+BP!BL96</f>
        <v>0</v>
      </c>
      <c r="BM96" s="106">
        <f>+PMGR!BM96+BP!BM96</f>
        <v>0</v>
      </c>
      <c r="BN96" s="106">
        <f>+PMGR!BN96+BP!BN96</f>
        <v>10577</v>
      </c>
      <c r="BO96" s="106">
        <f>+PMGR!BO96+BP!BO96</f>
        <v>0</v>
      </c>
      <c r="BP96" s="106">
        <f>+PMGR!BP96+BP!BP96</f>
        <v>0</v>
      </c>
      <c r="BQ96" s="106">
        <f t="shared" si="552"/>
        <v>33762</v>
      </c>
      <c r="BR96" s="118"/>
      <c r="BS96" s="106">
        <f>+PMGR!BS96+BP!BS96</f>
        <v>0</v>
      </c>
      <c r="BT96" s="106">
        <f>+PMGR!BT96+BP!BT96</f>
        <v>0</v>
      </c>
      <c r="BU96" s="106">
        <f>+PMGR!BU96+BP!BU96</f>
        <v>0</v>
      </c>
      <c r="BV96" s="106">
        <f>+PMGR!BV96+BP!BV96</f>
        <v>0</v>
      </c>
      <c r="BW96" s="106">
        <f>+PMGR!BW96+BP!BW96</f>
        <v>0</v>
      </c>
      <c r="BX96" s="106">
        <f>+PMGR!BX96+BP!BX96</f>
        <v>0</v>
      </c>
      <c r="BY96" s="106">
        <f>+PMGR!BY96+BP!BY96</f>
        <v>0</v>
      </c>
      <c r="BZ96" s="106">
        <f>+PMGR!BZ96+BP!BZ96</f>
        <v>0</v>
      </c>
      <c r="CA96" s="106">
        <f>+PMGR!CA96+BP!CA96</f>
        <v>0</v>
      </c>
      <c r="CB96" s="106">
        <f>+PMGR!CB96+BP!CB96</f>
        <v>0</v>
      </c>
      <c r="CC96" s="106">
        <f>+PMGR!CC96+BP!CC96</f>
        <v>0</v>
      </c>
      <c r="CD96" s="106">
        <f>+PMGR!CD96+BP!CD96</f>
        <v>0</v>
      </c>
      <c r="CE96" s="106">
        <f t="shared" si="553"/>
        <v>0</v>
      </c>
      <c r="CF96" s="106"/>
      <c r="CG96" s="106">
        <f>+PMGR!CG96+BP!CG96</f>
        <v>0</v>
      </c>
      <c r="CH96" s="106">
        <f>+PMGR!CH96+BP!CH96</f>
        <v>0</v>
      </c>
      <c r="CI96" s="106">
        <f>+PMGR!CI96+BP!CI96</f>
        <v>0</v>
      </c>
      <c r="CJ96" s="106">
        <f>+PMGR!CJ96+BP!CJ96</f>
        <v>0</v>
      </c>
      <c r="CK96" s="106">
        <f>+PMGR!CK96+BP!CK96</f>
        <v>0</v>
      </c>
      <c r="CL96" s="106">
        <f>+PMGR!CL96+BP!CL96</f>
        <v>0</v>
      </c>
      <c r="CM96" s="106">
        <f>+PMGR!CM96+BP!CM96</f>
        <v>0</v>
      </c>
      <c r="CN96" s="106">
        <f>+PMGR!CN96+BP!CN96</f>
        <v>0</v>
      </c>
      <c r="CO96" s="106">
        <f>+PMGR!CO96+BP!CO96</f>
        <v>0</v>
      </c>
      <c r="CP96" s="106">
        <f>+PMGR!CP96+BP!CP96</f>
        <v>0</v>
      </c>
      <c r="CQ96" s="106">
        <f>+PMGR!CQ96+BP!CQ96</f>
        <v>0</v>
      </c>
      <c r="CR96" s="106">
        <f>+PMGR!CR96+BP!CR96</f>
        <v>0</v>
      </c>
      <c r="CS96" s="106">
        <f t="shared" si="554"/>
        <v>0</v>
      </c>
      <c r="CT96" s="16" t="str">
        <f t="shared" si="409"/>
        <v>Flatbed Vehicle Expense (KL11CA7195)</v>
      </c>
      <c r="CU96" s="106">
        <f>+PMGR!CU96+BP!CU96</f>
        <v>11562.5</v>
      </c>
      <c r="CV96" s="106">
        <f>+PMGR!CV96+BP!CV96</f>
        <v>0</v>
      </c>
      <c r="CW96" s="106">
        <f>+PMGR!CW96+BP!CW96</f>
        <v>0</v>
      </c>
      <c r="CX96" s="106">
        <f>+PMGR!CX96+BP!CX96</f>
        <v>0</v>
      </c>
      <c r="CY96" s="106">
        <f>+PMGR!CY96+BP!CY96</f>
        <v>0</v>
      </c>
      <c r="CZ96" s="106">
        <f>+PMGR!CZ96+BP!CZ96</f>
        <v>0</v>
      </c>
      <c r="DA96" s="106">
        <f>+PMGR!DA96+BP!DA96</f>
        <v>0</v>
      </c>
      <c r="DB96" s="106">
        <f>+PMGR!DB96+BP!DB96</f>
        <v>0</v>
      </c>
      <c r="DC96" s="106">
        <f>+PMGR!DC96+BP!DC96</f>
        <v>0</v>
      </c>
      <c r="DD96" s="106">
        <f>+PMGR!DD96+BP!DD96</f>
        <v>0</v>
      </c>
      <c r="DE96" s="106">
        <f>+PMGR!DE96+BP!DE96</f>
        <v>0</v>
      </c>
      <c r="DF96" s="106">
        <f>+PMGR!DF96+BP!DF96</f>
        <v>0</v>
      </c>
      <c r="DG96" s="106">
        <f t="shared" si="555"/>
        <v>11562.5</v>
      </c>
      <c r="DH96" s="118"/>
      <c r="DI96" s="106">
        <f>+PMGR!DI96+BP!DI96</f>
        <v>0</v>
      </c>
      <c r="DJ96" s="106">
        <f>+PMGR!DJ96+BP!DJ96</f>
        <v>0</v>
      </c>
      <c r="DK96" s="106">
        <f>+PMGR!DK96+BP!DK96</f>
        <v>0</v>
      </c>
      <c r="DL96" s="106">
        <f>+PMGR!DL96+BP!DL96</f>
        <v>0</v>
      </c>
      <c r="DM96" s="106">
        <f>+PMGR!DM96+BP!DM96</f>
        <v>0</v>
      </c>
      <c r="DN96" s="106">
        <f>+PMGR!DN96+BP!DN96</f>
        <v>0</v>
      </c>
      <c r="DO96" s="106">
        <f>+PMGR!DO96+BP!DO96</f>
        <v>0</v>
      </c>
      <c r="DP96" s="106">
        <f>+PMGR!DP96+BP!DP96</f>
        <v>0</v>
      </c>
      <c r="DQ96" s="106">
        <f>+PMGR!DQ96+BP!DQ96</f>
        <v>0</v>
      </c>
      <c r="DR96" s="106">
        <f>+PMGR!DR96+BP!DR96</f>
        <v>0</v>
      </c>
      <c r="DS96" s="106">
        <f>+PMGR!DS96+BP!DS96</f>
        <v>0</v>
      </c>
      <c r="DT96" s="106">
        <f>+PMGR!DT96+BP!DT96</f>
        <v>0</v>
      </c>
      <c r="DU96" s="106">
        <f t="shared" si="556"/>
        <v>0</v>
      </c>
      <c r="DV96" s="106"/>
      <c r="DW96" s="106">
        <f>+PMGR!DW96+BP!DW96</f>
        <v>0</v>
      </c>
      <c r="DX96" s="106">
        <f>+PMGR!DX96+BP!DX96</f>
        <v>0</v>
      </c>
      <c r="DY96" s="106">
        <f>+PMGR!DY96+BP!DY96</f>
        <v>0</v>
      </c>
      <c r="DZ96" s="106">
        <f>+PMGR!DZ96+BP!DZ96</f>
        <v>0</v>
      </c>
      <c r="EA96" s="106">
        <f>+PMGR!EA96+BP!EA96</f>
        <v>0</v>
      </c>
      <c r="EB96" s="106">
        <f>+PMGR!EB96+BP!EB96</f>
        <v>0</v>
      </c>
      <c r="EC96" s="106">
        <f>+PMGR!EC96+BP!EC96</f>
        <v>0</v>
      </c>
      <c r="ED96" s="106">
        <f>+PMGR!ED96+BP!ED96</f>
        <v>0</v>
      </c>
      <c r="EE96" s="106">
        <f>+PMGR!EE96+BP!EE96</f>
        <v>0</v>
      </c>
      <c r="EF96" s="106">
        <f>+PMGR!EF96+BP!EF96</f>
        <v>0</v>
      </c>
      <c r="EG96" s="106">
        <f>+PMGR!EG96+BP!EG96</f>
        <v>0</v>
      </c>
      <c r="EH96" s="106">
        <f>+PMGR!EH96+BP!EH96</f>
        <v>0</v>
      </c>
      <c r="EI96" s="106">
        <f t="shared" si="557"/>
        <v>0</v>
      </c>
      <c r="EJ96" s="16" t="str">
        <f t="shared" si="457"/>
        <v>Flatbed Vehicle Expense (KL11CA7195)</v>
      </c>
      <c r="EK96" s="106">
        <f>+PMGR!EK96+BP!EK96</f>
        <v>15540</v>
      </c>
      <c r="EL96" s="106">
        <f>+PMGR!EL96+BP!EL96</f>
        <v>0</v>
      </c>
      <c r="EM96" s="106">
        <f>+PMGR!EM96+BP!EM96</f>
        <v>0</v>
      </c>
      <c r="EN96" s="106">
        <f>+PMGR!EN96+BP!EN96</f>
        <v>0</v>
      </c>
      <c r="EO96" s="106">
        <f>+PMGR!EO96+BP!EO96</f>
        <v>0</v>
      </c>
      <c r="EP96" s="106">
        <f>+PMGR!EP96+BP!EP96</f>
        <v>0</v>
      </c>
      <c r="EQ96" s="106">
        <f>+PMGR!EQ96+BP!EQ96</f>
        <v>0</v>
      </c>
      <c r="ER96" s="106">
        <f>+PMGR!ER96+BP!ER96</f>
        <v>0</v>
      </c>
      <c r="ES96" s="106">
        <f>+PMGR!ES96+BP!ES96</f>
        <v>0</v>
      </c>
      <c r="ET96" s="106">
        <f>+PMGR!ET96+BP!ET96</f>
        <v>0</v>
      </c>
      <c r="EU96" s="106">
        <f>+PMGR!EU96+BP!EU96</f>
        <v>0</v>
      </c>
      <c r="EV96" s="106">
        <f>+PMGR!EV96+BP!EV96</f>
        <v>0</v>
      </c>
      <c r="EW96" s="106">
        <f t="shared" si="558"/>
        <v>15540</v>
      </c>
      <c r="EX96" s="118"/>
      <c r="EY96" s="106">
        <f>+PMGR!EY96+BP!EY96</f>
        <v>0</v>
      </c>
      <c r="EZ96" s="106">
        <f>+PMGR!EZ96+BP!EZ96</f>
        <v>0</v>
      </c>
      <c r="FA96" s="106">
        <f>+PMGR!FA96+BP!FA96</f>
        <v>0</v>
      </c>
      <c r="FB96" s="106">
        <f>+PMGR!FB96+BP!FB96</f>
        <v>0</v>
      </c>
      <c r="FC96" s="106">
        <f>+PMGR!FC96+BP!FC96</f>
        <v>0</v>
      </c>
      <c r="FD96" s="106">
        <f>+PMGR!FD96+BP!FD96</f>
        <v>0</v>
      </c>
      <c r="FE96" s="106">
        <f>+PMGR!FE96+BP!FE96</f>
        <v>0</v>
      </c>
      <c r="FF96" s="106">
        <f>+PMGR!FF96+BP!FF96</f>
        <v>0</v>
      </c>
      <c r="FG96" s="106">
        <f>+PMGR!FG96+BP!FG96</f>
        <v>0</v>
      </c>
      <c r="FH96" s="106">
        <f>+PMGR!FH96+BP!FH96</f>
        <v>0</v>
      </c>
      <c r="FI96" s="106">
        <f>+PMGR!FI96+BP!FI96</f>
        <v>0</v>
      </c>
      <c r="FJ96" s="106">
        <f>+PMGR!FJ96+BP!FJ96</f>
        <v>0</v>
      </c>
      <c r="FK96" s="106">
        <f t="shared" si="559"/>
        <v>0</v>
      </c>
    </row>
    <row r="97" spans="1:167" ht="14.45" hidden="1" customHeight="1" outlineLevel="2">
      <c r="A97" s="106">
        <f t="shared" si="546"/>
        <v>0</v>
      </c>
      <c r="B97" s="106">
        <f t="shared" si="546"/>
        <v>0</v>
      </c>
      <c r="C97" s="106">
        <f t="shared" si="546"/>
        <v>12256.86</v>
      </c>
      <c r="D97" s="106">
        <f t="shared" si="546"/>
        <v>0</v>
      </c>
      <c r="E97" s="106">
        <f t="shared" si="546"/>
        <v>0</v>
      </c>
      <c r="F97" s="106">
        <f t="shared" si="546"/>
        <v>0</v>
      </c>
      <c r="G97" s="106">
        <f t="shared" si="546"/>
        <v>0</v>
      </c>
      <c r="H97" s="106">
        <f t="shared" si="546"/>
        <v>32084.5</v>
      </c>
      <c r="I97" s="106">
        <f t="shared" si="546"/>
        <v>0</v>
      </c>
      <c r="J97" s="106">
        <f t="shared" si="546"/>
        <v>0</v>
      </c>
      <c r="K97" s="106">
        <f t="shared" si="546"/>
        <v>0</v>
      </c>
      <c r="L97" s="106">
        <f t="shared" si="546"/>
        <v>0</v>
      </c>
      <c r="M97" s="106">
        <f t="shared" si="503"/>
        <v>44341.36</v>
      </c>
      <c r="N97" s="16" t="s">
        <v>78</v>
      </c>
      <c r="O97" s="106">
        <f t="shared" si="547"/>
        <v>0</v>
      </c>
      <c r="P97" s="106">
        <f t="shared" si="547"/>
        <v>0</v>
      </c>
      <c r="Q97" s="106">
        <f t="shared" si="547"/>
        <v>0</v>
      </c>
      <c r="R97" s="106">
        <f t="shared" si="547"/>
        <v>0</v>
      </c>
      <c r="S97" s="106">
        <f t="shared" si="547"/>
        <v>0</v>
      </c>
      <c r="T97" s="106">
        <f t="shared" si="547"/>
        <v>0</v>
      </c>
      <c r="U97" s="106">
        <f t="shared" si="547"/>
        <v>0</v>
      </c>
      <c r="V97" s="106">
        <f t="shared" si="547"/>
        <v>0</v>
      </c>
      <c r="W97" s="106">
        <f t="shared" si="547"/>
        <v>0</v>
      </c>
      <c r="X97" s="106">
        <f t="shared" si="547"/>
        <v>0</v>
      </c>
      <c r="Y97" s="106">
        <f t="shared" si="547"/>
        <v>0</v>
      </c>
      <c r="Z97" s="106">
        <f t="shared" si="547"/>
        <v>0</v>
      </c>
      <c r="AA97" s="106">
        <f t="shared" si="548"/>
        <v>0</v>
      </c>
      <c r="AB97" s="118"/>
      <c r="AC97" s="106">
        <f t="shared" si="549"/>
        <v>0</v>
      </c>
      <c r="AD97" s="106">
        <f t="shared" si="549"/>
        <v>0</v>
      </c>
      <c r="AE97" s="106">
        <f t="shared" si="549"/>
        <v>0</v>
      </c>
      <c r="AF97" s="106">
        <f t="shared" si="549"/>
        <v>0</v>
      </c>
      <c r="AG97" s="106">
        <f t="shared" si="549"/>
        <v>0</v>
      </c>
      <c r="AH97" s="106">
        <f t="shared" si="549"/>
        <v>0</v>
      </c>
      <c r="AI97" s="106">
        <f t="shared" si="549"/>
        <v>0</v>
      </c>
      <c r="AJ97" s="106">
        <f t="shared" si="549"/>
        <v>0</v>
      </c>
      <c r="AK97" s="106">
        <f t="shared" si="549"/>
        <v>0</v>
      </c>
      <c r="AL97" s="106">
        <f t="shared" si="549"/>
        <v>0</v>
      </c>
      <c r="AM97" s="106">
        <f t="shared" si="549"/>
        <v>0</v>
      </c>
      <c r="AN97" s="106">
        <f t="shared" si="549"/>
        <v>0</v>
      </c>
      <c r="AO97" s="106">
        <f t="shared" si="550"/>
        <v>0</v>
      </c>
      <c r="AP97" s="106"/>
      <c r="AQ97" s="106">
        <f>+PMGR!AQ97+BP!AQ97</f>
        <v>0</v>
      </c>
      <c r="AR97" s="106">
        <f>+PMGR!AR97+BP!AR97</f>
        <v>0</v>
      </c>
      <c r="AS97" s="106">
        <f>+PMGR!AS97+BP!AS97</f>
        <v>12256.86</v>
      </c>
      <c r="AT97" s="106">
        <f>+PMGR!AT97+BP!AT97</f>
        <v>0</v>
      </c>
      <c r="AU97" s="106">
        <f>+PMGR!AU97+BP!AU97</f>
        <v>0</v>
      </c>
      <c r="AV97" s="106">
        <f>+PMGR!AV97+BP!AV97</f>
        <v>0</v>
      </c>
      <c r="AW97" s="106">
        <f>+PMGR!AW97+BP!AW97</f>
        <v>0</v>
      </c>
      <c r="AX97" s="106">
        <f>+PMGR!AX97+BP!AX97</f>
        <v>20859</v>
      </c>
      <c r="AY97" s="106">
        <f>+PMGR!AY97+BP!AY97</f>
        <v>0</v>
      </c>
      <c r="AZ97" s="106">
        <f>+PMGR!AZ97+BP!AZ97</f>
        <v>0</v>
      </c>
      <c r="BA97" s="106">
        <f>+PMGR!BA97+BP!BA97</f>
        <v>0</v>
      </c>
      <c r="BB97" s="106">
        <f>+PMGR!BB97+BP!BB97</f>
        <v>0</v>
      </c>
      <c r="BC97" s="106">
        <f t="shared" si="551"/>
        <v>33115.86</v>
      </c>
      <c r="BD97" s="16" t="str">
        <f t="shared" si="405"/>
        <v>Flatbed Vehicle Expenses (KL 11 BK 224 )</v>
      </c>
      <c r="BE97" s="106">
        <f>+PMGR!BE97+BP!BE97</f>
        <v>0</v>
      </c>
      <c r="BF97" s="106">
        <f>+PMGR!BF97+BP!BF97</f>
        <v>0</v>
      </c>
      <c r="BG97" s="106">
        <f>+PMGR!BG97+BP!BG97</f>
        <v>0</v>
      </c>
      <c r="BH97" s="106">
        <f>+PMGR!BH97+BP!BH97</f>
        <v>0</v>
      </c>
      <c r="BI97" s="106">
        <f>+PMGR!BI97+BP!BI97</f>
        <v>0</v>
      </c>
      <c r="BJ97" s="106">
        <f>+PMGR!BJ97+BP!BJ97</f>
        <v>0</v>
      </c>
      <c r="BK97" s="106">
        <f>+PMGR!BK97+BP!BK97</f>
        <v>0</v>
      </c>
      <c r="BL97" s="106">
        <f>+PMGR!BL97+BP!BL97</f>
        <v>0</v>
      </c>
      <c r="BM97" s="106">
        <f>+PMGR!BM97+BP!BM97</f>
        <v>0</v>
      </c>
      <c r="BN97" s="106">
        <f>+PMGR!BN97+BP!BN97</f>
        <v>0</v>
      </c>
      <c r="BO97" s="106">
        <f>+PMGR!BO97+BP!BO97</f>
        <v>0</v>
      </c>
      <c r="BP97" s="106">
        <f>+PMGR!BP97+BP!BP97</f>
        <v>0</v>
      </c>
      <c r="BQ97" s="106">
        <f t="shared" si="552"/>
        <v>0</v>
      </c>
      <c r="BR97" s="118"/>
      <c r="BS97" s="106">
        <f>+PMGR!BS97+BP!BS97</f>
        <v>0</v>
      </c>
      <c r="BT97" s="106">
        <f>+PMGR!BT97+BP!BT97</f>
        <v>0</v>
      </c>
      <c r="BU97" s="106">
        <f>+PMGR!BU97+BP!BU97</f>
        <v>0</v>
      </c>
      <c r="BV97" s="106">
        <f>+PMGR!BV97+BP!BV97</f>
        <v>0</v>
      </c>
      <c r="BW97" s="106">
        <f>+PMGR!BW97+BP!BW97</f>
        <v>0</v>
      </c>
      <c r="BX97" s="106">
        <f>+PMGR!BX97+BP!BX97</f>
        <v>0</v>
      </c>
      <c r="BY97" s="106">
        <f>+PMGR!BY97+BP!BY97</f>
        <v>0</v>
      </c>
      <c r="BZ97" s="106">
        <f>+PMGR!BZ97+BP!BZ97</f>
        <v>0</v>
      </c>
      <c r="CA97" s="106">
        <f>+PMGR!CA97+BP!CA97</f>
        <v>0</v>
      </c>
      <c r="CB97" s="106">
        <f>+PMGR!CB97+BP!CB97</f>
        <v>0</v>
      </c>
      <c r="CC97" s="106">
        <f>+PMGR!CC97+BP!CC97</f>
        <v>0</v>
      </c>
      <c r="CD97" s="106">
        <f>+PMGR!CD97+BP!CD97</f>
        <v>0</v>
      </c>
      <c r="CE97" s="106">
        <f t="shared" si="553"/>
        <v>0</v>
      </c>
      <c r="CF97" s="106"/>
      <c r="CG97" s="106">
        <f>+PMGR!CG97+BP!CG97</f>
        <v>0</v>
      </c>
      <c r="CH97" s="106">
        <f>+PMGR!CH97+BP!CH97</f>
        <v>0</v>
      </c>
      <c r="CI97" s="106">
        <f>+PMGR!CI97+BP!CI97</f>
        <v>0</v>
      </c>
      <c r="CJ97" s="106">
        <f>+PMGR!CJ97+BP!CJ97</f>
        <v>0</v>
      </c>
      <c r="CK97" s="106">
        <f>+PMGR!CK97+BP!CK97</f>
        <v>0</v>
      </c>
      <c r="CL97" s="106">
        <f>+PMGR!CL97+BP!CL97</f>
        <v>0</v>
      </c>
      <c r="CM97" s="106">
        <f>+PMGR!CM97+BP!CM97</f>
        <v>0</v>
      </c>
      <c r="CN97" s="106">
        <f>+PMGR!CN97+BP!CN97</f>
        <v>11225.5</v>
      </c>
      <c r="CO97" s="106">
        <f>+PMGR!CO97+BP!CO97</f>
        <v>0</v>
      </c>
      <c r="CP97" s="106">
        <f>+PMGR!CP97+BP!CP97</f>
        <v>0</v>
      </c>
      <c r="CQ97" s="106">
        <f>+PMGR!CQ97+BP!CQ97</f>
        <v>0</v>
      </c>
      <c r="CR97" s="106">
        <f>+PMGR!CR97+BP!CR97</f>
        <v>0</v>
      </c>
      <c r="CS97" s="106">
        <f t="shared" si="554"/>
        <v>11225.5</v>
      </c>
      <c r="CT97" s="16" t="str">
        <f t="shared" si="409"/>
        <v>Flatbed Vehicle Expenses (KL 11 BK 224 )</v>
      </c>
      <c r="CU97" s="106">
        <f>+PMGR!CU97+BP!CU97</f>
        <v>0</v>
      </c>
      <c r="CV97" s="106">
        <f>+PMGR!CV97+BP!CV97</f>
        <v>0</v>
      </c>
      <c r="CW97" s="106">
        <f>+PMGR!CW97+BP!CW97</f>
        <v>0</v>
      </c>
      <c r="CX97" s="106">
        <f>+PMGR!CX97+BP!CX97</f>
        <v>0</v>
      </c>
      <c r="CY97" s="106">
        <f>+PMGR!CY97+BP!CY97</f>
        <v>0</v>
      </c>
      <c r="CZ97" s="106">
        <f>+PMGR!CZ97+BP!CZ97</f>
        <v>0</v>
      </c>
      <c r="DA97" s="106">
        <f>+PMGR!DA97+BP!DA97</f>
        <v>0</v>
      </c>
      <c r="DB97" s="106">
        <f>+PMGR!DB97+BP!DB97</f>
        <v>0</v>
      </c>
      <c r="DC97" s="106">
        <f>+PMGR!DC97+BP!DC97</f>
        <v>0</v>
      </c>
      <c r="DD97" s="106">
        <f>+PMGR!DD97+BP!DD97</f>
        <v>0</v>
      </c>
      <c r="DE97" s="106">
        <f>+PMGR!DE97+BP!DE97</f>
        <v>0</v>
      </c>
      <c r="DF97" s="106">
        <f>+PMGR!DF97+BP!DF97</f>
        <v>0</v>
      </c>
      <c r="DG97" s="106">
        <f t="shared" si="555"/>
        <v>0</v>
      </c>
      <c r="DH97" s="118"/>
      <c r="DI97" s="106">
        <f>+PMGR!DI97+BP!DI97</f>
        <v>0</v>
      </c>
      <c r="DJ97" s="106">
        <f>+PMGR!DJ97+BP!DJ97</f>
        <v>0</v>
      </c>
      <c r="DK97" s="106">
        <f>+PMGR!DK97+BP!DK97</f>
        <v>0</v>
      </c>
      <c r="DL97" s="106">
        <f>+PMGR!DL97+BP!DL97</f>
        <v>0</v>
      </c>
      <c r="DM97" s="106">
        <f>+PMGR!DM97+BP!DM97</f>
        <v>0</v>
      </c>
      <c r="DN97" s="106">
        <f>+PMGR!DN97+BP!DN97</f>
        <v>0</v>
      </c>
      <c r="DO97" s="106">
        <f>+PMGR!DO97+BP!DO97</f>
        <v>0</v>
      </c>
      <c r="DP97" s="106">
        <f>+PMGR!DP97+BP!DP97</f>
        <v>0</v>
      </c>
      <c r="DQ97" s="106">
        <f>+PMGR!DQ97+BP!DQ97</f>
        <v>0</v>
      </c>
      <c r="DR97" s="106">
        <f>+PMGR!DR97+BP!DR97</f>
        <v>0</v>
      </c>
      <c r="DS97" s="106">
        <f>+PMGR!DS97+BP!DS97</f>
        <v>0</v>
      </c>
      <c r="DT97" s="106">
        <f>+PMGR!DT97+BP!DT97</f>
        <v>0</v>
      </c>
      <c r="DU97" s="106">
        <f t="shared" si="556"/>
        <v>0</v>
      </c>
      <c r="DV97" s="106"/>
      <c r="DW97" s="106">
        <f>+PMGR!DW97+BP!DW97</f>
        <v>0</v>
      </c>
      <c r="DX97" s="106">
        <f>+PMGR!DX97+BP!DX97</f>
        <v>0</v>
      </c>
      <c r="DY97" s="106">
        <f>+PMGR!DY97+BP!DY97</f>
        <v>0</v>
      </c>
      <c r="DZ97" s="106">
        <f>+PMGR!DZ97+BP!DZ97</f>
        <v>0</v>
      </c>
      <c r="EA97" s="106">
        <f>+PMGR!EA97+BP!EA97</f>
        <v>0</v>
      </c>
      <c r="EB97" s="106">
        <f>+PMGR!EB97+BP!EB97</f>
        <v>0</v>
      </c>
      <c r="EC97" s="106">
        <f>+PMGR!EC97+BP!EC97</f>
        <v>0</v>
      </c>
      <c r="ED97" s="106">
        <f>+PMGR!ED97+BP!ED97</f>
        <v>0</v>
      </c>
      <c r="EE97" s="106">
        <f>+PMGR!EE97+BP!EE97</f>
        <v>0</v>
      </c>
      <c r="EF97" s="106">
        <f>+PMGR!EF97+BP!EF97</f>
        <v>0</v>
      </c>
      <c r="EG97" s="106">
        <f>+PMGR!EG97+BP!EG97</f>
        <v>0</v>
      </c>
      <c r="EH97" s="106">
        <f>+PMGR!EH97+BP!EH97</f>
        <v>0</v>
      </c>
      <c r="EI97" s="106">
        <f t="shared" si="557"/>
        <v>0</v>
      </c>
      <c r="EJ97" s="16" t="str">
        <f t="shared" si="457"/>
        <v>Flatbed Vehicle Expenses (KL 11 BK 224 )</v>
      </c>
      <c r="EK97" s="106">
        <f>+PMGR!EK97+BP!EK97</f>
        <v>0</v>
      </c>
      <c r="EL97" s="106">
        <f>+PMGR!EL97+BP!EL97</f>
        <v>0</v>
      </c>
      <c r="EM97" s="106">
        <f>+PMGR!EM97+BP!EM97</f>
        <v>0</v>
      </c>
      <c r="EN97" s="106">
        <f>+PMGR!EN97+BP!EN97</f>
        <v>0</v>
      </c>
      <c r="EO97" s="106">
        <f>+PMGR!EO97+BP!EO97</f>
        <v>0</v>
      </c>
      <c r="EP97" s="106">
        <f>+PMGR!EP97+BP!EP97</f>
        <v>0</v>
      </c>
      <c r="EQ97" s="106">
        <f>+PMGR!EQ97+BP!EQ97</f>
        <v>0</v>
      </c>
      <c r="ER97" s="106">
        <f>+PMGR!ER97+BP!ER97</f>
        <v>0</v>
      </c>
      <c r="ES97" s="106">
        <f>+PMGR!ES97+BP!ES97</f>
        <v>0</v>
      </c>
      <c r="ET97" s="106">
        <f>+PMGR!ET97+BP!ET97</f>
        <v>0</v>
      </c>
      <c r="EU97" s="106">
        <f>+PMGR!EU97+BP!EU97</f>
        <v>0</v>
      </c>
      <c r="EV97" s="106">
        <f>+PMGR!EV97+BP!EV97</f>
        <v>0</v>
      </c>
      <c r="EW97" s="106">
        <f t="shared" si="558"/>
        <v>0</v>
      </c>
      <c r="EX97" s="118"/>
      <c r="EY97" s="106">
        <f>+PMGR!EY97+BP!EY97</f>
        <v>0</v>
      </c>
      <c r="EZ97" s="106">
        <f>+PMGR!EZ97+BP!EZ97</f>
        <v>0</v>
      </c>
      <c r="FA97" s="106">
        <f>+PMGR!FA97+BP!FA97</f>
        <v>0</v>
      </c>
      <c r="FB97" s="106">
        <f>+PMGR!FB97+BP!FB97</f>
        <v>0</v>
      </c>
      <c r="FC97" s="106">
        <f>+PMGR!FC97+BP!FC97</f>
        <v>0</v>
      </c>
      <c r="FD97" s="106">
        <f>+PMGR!FD97+BP!FD97</f>
        <v>0</v>
      </c>
      <c r="FE97" s="106">
        <f>+PMGR!FE97+BP!FE97</f>
        <v>0</v>
      </c>
      <c r="FF97" s="106">
        <f>+PMGR!FF97+BP!FF97</f>
        <v>0</v>
      </c>
      <c r="FG97" s="106">
        <f>+PMGR!FG97+BP!FG97</f>
        <v>0</v>
      </c>
      <c r="FH97" s="106">
        <f>+PMGR!FH97+BP!FH97</f>
        <v>0</v>
      </c>
      <c r="FI97" s="106">
        <f>+PMGR!FI97+BP!FI97</f>
        <v>0</v>
      </c>
      <c r="FJ97" s="106">
        <f>+PMGR!FJ97+BP!FJ97</f>
        <v>0</v>
      </c>
      <c r="FK97" s="106">
        <f t="shared" si="559"/>
        <v>0</v>
      </c>
    </row>
    <row r="98" spans="1:167" ht="14.45" hidden="1" customHeight="1" outlineLevel="2">
      <c r="A98" s="106">
        <f t="shared" si="546"/>
        <v>0</v>
      </c>
      <c r="B98" s="106">
        <f t="shared" si="546"/>
        <v>0</v>
      </c>
      <c r="C98" s="106">
        <f t="shared" si="546"/>
        <v>0</v>
      </c>
      <c r="D98" s="106">
        <f t="shared" si="546"/>
        <v>0</v>
      </c>
      <c r="E98" s="106">
        <f t="shared" si="546"/>
        <v>0</v>
      </c>
      <c r="F98" s="106">
        <f t="shared" si="546"/>
        <v>0</v>
      </c>
      <c r="G98" s="106">
        <f t="shared" si="546"/>
        <v>0</v>
      </c>
      <c r="H98" s="106">
        <f t="shared" si="546"/>
        <v>0</v>
      </c>
      <c r="I98" s="106">
        <f t="shared" si="546"/>
        <v>0</v>
      </c>
      <c r="J98" s="106">
        <f t="shared" si="546"/>
        <v>0</v>
      </c>
      <c r="K98" s="106">
        <f t="shared" si="546"/>
        <v>0</v>
      </c>
      <c r="L98" s="106">
        <f t="shared" si="546"/>
        <v>0</v>
      </c>
      <c r="M98" s="106">
        <f t="shared" si="503"/>
        <v>0</v>
      </c>
      <c r="N98" s="16" t="s">
        <v>79</v>
      </c>
      <c r="O98" s="106">
        <f t="shared" si="547"/>
        <v>8192</v>
      </c>
      <c r="P98" s="106">
        <f t="shared" si="547"/>
        <v>0</v>
      </c>
      <c r="Q98" s="106">
        <f t="shared" si="547"/>
        <v>0</v>
      </c>
      <c r="R98" s="106">
        <f t="shared" si="547"/>
        <v>0</v>
      </c>
      <c r="S98" s="106">
        <f t="shared" si="547"/>
        <v>0</v>
      </c>
      <c r="T98" s="106">
        <f t="shared" si="547"/>
        <v>0</v>
      </c>
      <c r="U98" s="106">
        <f t="shared" si="547"/>
        <v>0</v>
      </c>
      <c r="V98" s="106">
        <f t="shared" si="547"/>
        <v>0</v>
      </c>
      <c r="W98" s="106">
        <f t="shared" si="547"/>
        <v>0</v>
      </c>
      <c r="X98" s="106">
        <f t="shared" si="547"/>
        <v>0</v>
      </c>
      <c r="Y98" s="106">
        <f t="shared" si="547"/>
        <v>0</v>
      </c>
      <c r="Z98" s="106">
        <f t="shared" si="547"/>
        <v>0</v>
      </c>
      <c r="AA98" s="106">
        <f t="shared" si="548"/>
        <v>8192</v>
      </c>
      <c r="AB98" s="118"/>
      <c r="AC98" s="106">
        <f t="shared" si="549"/>
        <v>0</v>
      </c>
      <c r="AD98" s="106">
        <f t="shared" si="549"/>
        <v>0</v>
      </c>
      <c r="AE98" s="106">
        <f t="shared" si="549"/>
        <v>0</v>
      </c>
      <c r="AF98" s="106">
        <f t="shared" si="549"/>
        <v>0</v>
      </c>
      <c r="AG98" s="106">
        <f t="shared" si="549"/>
        <v>0</v>
      </c>
      <c r="AH98" s="106">
        <f t="shared" si="549"/>
        <v>0</v>
      </c>
      <c r="AI98" s="106">
        <f t="shared" si="549"/>
        <v>0</v>
      </c>
      <c r="AJ98" s="106">
        <f t="shared" si="549"/>
        <v>0</v>
      </c>
      <c r="AK98" s="106">
        <f t="shared" si="549"/>
        <v>0</v>
      </c>
      <c r="AL98" s="106">
        <f t="shared" si="549"/>
        <v>0</v>
      </c>
      <c r="AM98" s="106">
        <f t="shared" si="549"/>
        <v>0</v>
      </c>
      <c r="AN98" s="106">
        <f t="shared" si="549"/>
        <v>0</v>
      </c>
      <c r="AO98" s="106">
        <f t="shared" si="550"/>
        <v>0</v>
      </c>
      <c r="AP98" s="106"/>
      <c r="AQ98" s="106">
        <f>+PMGR!AQ98+BP!AQ98</f>
        <v>0</v>
      </c>
      <c r="AR98" s="106">
        <f>+PMGR!AR98+BP!AR98</f>
        <v>0</v>
      </c>
      <c r="AS98" s="106">
        <f>+PMGR!AS98+BP!AS98</f>
        <v>0</v>
      </c>
      <c r="AT98" s="106">
        <f>+PMGR!AT98+BP!AT98</f>
        <v>0</v>
      </c>
      <c r="AU98" s="106">
        <f>+PMGR!AU98+BP!AU98</f>
        <v>0</v>
      </c>
      <c r="AV98" s="106">
        <f>+PMGR!AV98+BP!AV98</f>
        <v>0</v>
      </c>
      <c r="AW98" s="106">
        <f>+PMGR!AW98+BP!AW98</f>
        <v>0</v>
      </c>
      <c r="AX98" s="106">
        <f>+PMGR!AX98+BP!AX98</f>
        <v>0</v>
      </c>
      <c r="AY98" s="106">
        <f>+PMGR!AY98+BP!AY98</f>
        <v>0</v>
      </c>
      <c r="AZ98" s="106">
        <f>+PMGR!AZ98+BP!AZ98</f>
        <v>0</v>
      </c>
      <c r="BA98" s="106">
        <f>+PMGR!BA98+BP!BA98</f>
        <v>0</v>
      </c>
      <c r="BB98" s="106">
        <f>+PMGR!BB98+BP!BB98</f>
        <v>0</v>
      </c>
      <c r="BC98" s="106">
        <f t="shared" si="551"/>
        <v>0</v>
      </c>
      <c r="BD98" s="16" t="str">
        <f t="shared" si="405"/>
        <v>Fuel-New Car Delivery</v>
      </c>
      <c r="BE98" s="106">
        <f>+PMGR!BE98+BP!BE98</f>
        <v>0</v>
      </c>
      <c r="BF98" s="106">
        <f>+PMGR!BF98+BP!BF98</f>
        <v>0</v>
      </c>
      <c r="BG98" s="106">
        <f>+PMGR!BG98+BP!BG98</f>
        <v>0</v>
      </c>
      <c r="BH98" s="106">
        <f>+PMGR!BH98+BP!BH98</f>
        <v>0</v>
      </c>
      <c r="BI98" s="106">
        <f>+PMGR!BI98+BP!BI98</f>
        <v>0</v>
      </c>
      <c r="BJ98" s="106">
        <f>+PMGR!BJ98+BP!BJ98</f>
        <v>0</v>
      </c>
      <c r="BK98" s="106">
        <f>+PMGR!BK98+BP!BK98</f>
        <v>0</v>
      </c>
      <c r="BL98" s="106">
        <f>+PMGR!BL98+BP!BL98</f>
        <v>0</v>
      </c>
      <c r="BM98" s="106">
        <f>+PMGR!BM98+BP!BM98</f>
        <v>0</v>
      </c>
      <c r="BN98" s="106">
        <f>+PMGR!BN98+BP!BN98</f>
        <v>0</v>
      </c>
      <c r="BO98" s="106">
        <f>+PMGR!BO98+BP!BO98</f>
        <v>0</v>
      </c>
      <c r="BP98" s="106">
        <f>+PMGR!BP98+BP!BP98</f>
        <v>0</v>
      </c>
      <c r="BQ98" s="106">
        <f t="shared" si="552"/>
        <v>0</v>
      </c>
      <c r="BR98" s="118"/>
      <c r="BS98" s="106">
        <f>+PMGR!BS98+BP!BS98</f>
        <v>0</v>
      </c>
      <c r="BT98" s="106">
        <f>+PMGR!BT98+BP!BT98</f>
        <v>0</v>
      </c>
      <c r="BU98" s="106">
        <f>+PMGR!BU98+BP!BU98</f>
        <v>0</v>
      </c>
      <c r="BV98" s="106">
        <f>+PMGR!BV98+BP!BV98</f>
        <v>0</v>
      </c>
      <c r="BW98" s="106">
        <f>+PMGR!BW98+BP!BW98</f>
        <v>0</v>
      </c>
      <c r="BX98" s="106">
        <f>+PMGR!BX98+BP!BX98</f>
        <v>0</v>
      </c>
      <c r="BY98" s="106">
        <f>+PMGR!BY98+BP!BY98</f>
        <v>0</v>
      </c>
      <c r="BZ98" s="106">
        <f>+PMGR!BZ98+BP!BZ98</f>
        <v>0</v>
      </c>
      <c r="CA98" s="106">
        <f>+PMGR!CA98+BP!CA98</f>
        <v>0</v>
      </c>
      <c r="CB98" s="106">
        <f>+PMGR!CB98+BP!CB98</f>
        <v>0</v>
      </c>
      <c r="CC98" s="106">
        <f>+PMGR!CC98+BP!CC98</f>
        <v>0</v>
      </c>
      <c r="CD98" s="106">
        <f>+PMGR!CD98+BP!CD98</f>
        <v>0</v>
      </c>
      <c r="CE98" s="106">
        <f t="shared" si="553"/>
        <v>0</v>
      </c>
      <c r="CF98" s="106"/>
      <c r="CG98" s="106">
        <f>+PMGR!CG98+BP!CG98</f>
        <v>0</v>
      </c>
      <c r="CH98" s="106">
        <f>+PMGR!CH98+BP!CH98</f>
        <v>0</v>
      </c>
      <c r="CI98" s="106">
        <f>+PMGR!CI98+BP!CI98</f>
        <v>0</v>
      </c>
      <c r="CJ98" s="106">
        <f>+PMGR!CJ98+BP!CJ98</f>
        <v>0</v>
      </c>
      <c r="CK98" s="106">
        <f>+PMGR!CK98+BP!CK98</f>
        <v>0</v>
      </c>
      <c r="CL98" s="106">
        <f>+PMGR!CL98+BP!CL98</f>
        <v>0</v>
      </c>
      <c r="CM98" s="106">
        <f>+PMGR!CM98+BP!CM98</f>
        <v>0</v>
      </c>
      <c r="CN98" s="106">
        <f>+PMGR!CN98+BP!CN98</f>
        <v>0</v>
      </c>
      <c r="CO98" s="106">
        <f>+PMGR!CO98+BP!CO98</f>
        <v>0</v>
      </c>
      <c r="CP98" s="106">
        <f>+PMGR!CP98+BP!CP98</f>
        <v>0</v>
      </c>
      <c r="CQ98" s="106">
        <f>+PMGR!CQ98+BP!CQ98</f>
        <v>0</v>
      </c>
      <c r="CR98" s="106">
        <f>+PMGR!CR98+BP!CR98</f>
        <v>0</v>
      </c>
      <c r="CS98" s="106">
        <f t="shared" si="554"/>
        <v>0</v>
      </c>
      <c r="CT98" s="16" t="str">
        <f t="shared" si="409"/>
        <v>Fuel-New Car Delivery</v>
      </c>
      <c r="CU98" s="106">
        <f>+PMGR!CU98+BP!CU98</f>
        <v>0</v>
      </c>
      <c r="CV98" s="106">
        <f>+PMGR!CV98+BP!CV98</f>
        <v>0</v>
      </c>
      <c r="CW98" s="106">
        <f>+PMGR!CW98+BP!CW98</f>
        <v>0</v>
      </c>
      <c r="CX98" s="106">
        <f>+PMGR!CX98+BP!CX98</f>
        <v>0</v>
      </c>
      <c r="CY98" s="106">
        <f>+PMGR!CY98+BP!CY98</f>
        <v>0</v>
      </c>
      <c r="CZ98" s="106">
        <f>+PMGR!CZ98+BP!CZ98</f>
        <v>0</v>
      </c>
      <c r="DA98" s="106">
        <f>+PMGR!DA98+BP!DA98</f>
        <v>0</v>
      </c>
      <c r="DB98" s="106">
        <f>+PMGR!DB98+BP!DB98</f>
        <v>0</v>
      </c>
      <c r="DC98" s="106">
        <f>+PMGR!DC98+BP!DC98</f>
        <v>0</v>
      </c>
      <c r="DD98" s="106">
        <f>+PMGR!DD98+BP!DD98</f>
        <v>0</v>
      </c>
      <c r="DE98" s="106">
        <f>+PMGR!DE98+BP!DE98</f>
        <v>0</v>
      </c>
      <c r="DF98" s="106">
        <f>+PMGR!DF98+BP!DF98</f>
        <v>0</v>
      </c>
      <c r="DG98" s="106">
        <f t="shared" si="555"/>
        <v>0</v>
      </c>
      <c r="DH98" s="118"/>
      <c r="DI98" s="106">
        <f>+PMGR!DI98+BP!DI98</f>
        <v>0</v>
      </c>
      <c r="DJ98" s="106">
        <f>+PMGR!DJ98+BP!DJ98</f>
        <v>0</v>
      </c>
      <c r="DK98" s="106">
        <f>+PMGR!DK98+BP!DK98</f>
        <v>0</v>
      </c>
      <c r="DL98" s="106">
        <f>+PMGR!DL98+BP!DL98</f>
        <v>0</v>
      </c>
      <c r="DM98" s="106">
        <f>+PMGR!DM98+BP!DM98</f>
        <v>0</v>
      </c>
      <c r="DN98" s="106">
        <f>+PMGR!DN98+BP!DN98</f>
        <v>0</v>
      </c>
      <c r="DO98" s="106">
        <f>+PMGR!DO98+BP!DO98</f>
        <v>0</v>
      </c>
      <c r="DP98" s="106">
        <f>+PMGR!DP98+BP!DP98</f>
        <v>0</v>
      </c>
      <c r="DQ98" s="106">
        <f>+PMGR!DQ98+BP!DQ98</f>
        <v>0</v>
      </c>
      <c r="DR98" s="106">
        <f>+PMGR!DR98+BP!DR98</f>
        <v>0</v>
      </c>
      <c r="DS98" s="106">
        <f>+PMGR!DS98+BP!DS98</f>
        <v>0</v>
      </c>
      <c r="DT98" s="106">
        <f>+PMGR!DT98+BP!DT98</f>
        <v>0</v>
      </c>
      <c r="DU98" s="106">
        <f t="shared" si="556"/>
        <v>0</v>
      </c>
      <c r="DV98" s="106"/>
      <c r="DW98" s="106">
        <f>+PMGR!DW98+BP!DW98</f>
        <v>0</v>
      </c>
      <c r="DX98" s="106">
        <f>+PMGR!DX98+BP!DX98</f>
        <v>0</v>
      </c>
      <c r="DY98" s="106">
        <f>+PMGR!DY98+BP!DY98</f>
        <v>0</v>
      </c>
      <c r="DZ98" s="106">
        <f>+PMGR!DZ98+BP!DZ98</f>
        <v>0</v>
      </c>
      <c r="EA98" s="106">
        <f>+PMGR!EA98+BP!EA98</f>
        <v>0</v>
      </c>
      <c r="EB98" s="106">
        <f>+PMGR!EB98+BP!EB98</f>
        <v>0</v>
      </c>
      <c r="EC98" s="106">
        <f>+PMGR!EC98+BP!EC98</f>
        <v>0</v>
      </c>
      <c r="ED98" s="106">
        <f>+PMGR!ED98+BP!ED98</f>
        <v>0</v>
      </c>
      <c r="EE98" s="106">
        <f>+PMGR!EE98+BP!EE98</f>
        <v>0</v>
      </c>
      <c r="EF98" s="106">
        <f>+PMGR!EF98+BP!EF98</f>
        <v>0</v>
      </c>
      <c r="EG98" s="106">
        <f>+PMGR!EG98+BP!EG98</f>
        <v>0</v>
      </c>
      <c r="EH98" s="106">
        <f>+PMGR!EH98+BP!EH98</f>
        <v>0</v>
      </c>
      <c r="EI98" s="106">
        <f t="shared" si="557"/>
        <v>0</v>
      </c>
      <c r="EJ98" s="16" t="str">
        <f t="shared" si="457"/>
        <v>Fuel-New Car Delivery</v>
      </c>
      <c r="EK98" s="106">
        <f>+PMGR!EK98+BP!EK98</f>
        <v>8192</v>
      </c>
      <c r="EL98" s="106">
        <f>+PMGR!EL98+BP!EL98</f>
        <v>0</v>
      </c>
      <c r="EM98" s="106">
        <f>+PMGR!EM98+BP!EM98</f>
        <v>0</v>
      </c>
      <c r="EN98" s="106">
        <f>+PMGR!EN98+BP!EN98</f>
        <v>0</v>
      </c>
      <c r="EO98" s="106">
        <f>+PMGR!EO98+BP!EO98</f>
        <v>0</v>
      </c>
      <c r="EP98" s="106">
        <f>+PMGR!EP98+BP!EP98</f>
        <v>0</v>
      </c>
      <c r="EQ98" s="106">
        <f>+PMGR!EQ98+BP!EQ98</f>
        <v>0</v>
      </c>
      <c r="ER98" s="106">
        <f>+PMGR!ER98+BP!ER98</f>
        <v>0</v>
      </c>
      <c r="ES98" s="106">
        <f>+PMGR!ES98+BP!ES98</f>
        <v>0</v>
      </c>
      <c r="ET98" s="106">
        <f>+PMGR!ET98+BP!ET98</f>
        <v>0</v>
      </c>
      <c r="EU98" s="106">
        <f>+PMGR!EU98+BP!EU98</f>
        <v>0</v>
      </c>
      <c r="EV98" s="106">
        <f>+PMGR!EV98+BP!EV98</f>
        <v>0</v>
      </c>
      <c r="EW98" s="106">
        <f t="shared" si="558"/>
        <v>8192</v>
      </c>
      <c r="EX98" s="118"/>
      <c r="EY98" s="106">
        <f>+PMGR!EY98+BP!EY98</f>
        <v>0</v>
      </c>
      <c r="EZ98" s="106">
        <f>+PMGR!EZ98+BP!EZ98</f>
        <v>0</v>
      </c>
      <c r="FA98" s="106">
        <f>+PMGR!FA98+BP!FA98</f>
        <v>0</v>
      </c>
      <c r="FB98" s="106">
        <f>+PMGR!FB98+BP!FB98</f>
        <v>0</v>
      </c>
      <c r="FC98" s="106">
        <f>+PMGR!FC98+BP!FC98</f>
        <v>0</v>
      </c>
      <c r="FD98" s="106">
        <f>+PMGR!FD98+BP!FD98</f>
        <v>0</v>
      </c>
      <c r="FE98" s="106">
        <f>+PMGR!FE98+BP!FE98</f>
        <v>0</v>
      </c>
      <c r="FF98" s="106">
        <f>+PMGR!FF98+BP!FF98</f>
        <v>0</v>
      </c>
      <c r="FG98" s="106">
        <f>+PMGR!FG98+BP!FG98</f>
        <v>0</v>
      </c>
      <c r="FH98" s="106">
        <f>+PMGR!FH98+BP!FH98</f>
        <v>0</v>
      </c>
      <c r="FI98" s="106">
        <f>+PMGR!FI98+BP!FI98</f>
        <v>0</v>
      </c>
      <c r="FJ98" s="106">
        <f>+PMGR!FJ98+BP!FJ98</f>
        <v>0</v>
      </c>
      <c r="FK98" s="106">
        <f t="shared" si="559"/>
        <v>0</v>
      </c>
    </row>
    <row r="99" spans="1:167" ht="14.45" hidden="1" customHeight="1" outlineLevel="2">
      <c r="A99" s="106">
        <f t="shared" si="546"/>
        <v>0</v>
      </c>
      <c r="B99" s="106">
        <f t="shared" si="546"/>
        <v>0</v>
      </c>
      <c r="C99" s="106">
        <f t="shared" si="546"/>
        <v>0</v>
      </c>
      <c r="D99" s="106">
        <f t="shared" si="546"/>
        <v>0</v>
      </c>
      <c r="E99" s="106">
        <f t="shared" si="546"/>
        <v>0</v>
      </c>
      <c r="F99" s="106">
        <f t="shared" si="546"/>
        <v>0</v>
      </c>
      <c r="G99" s="106">
        <f t="shared" si="546"/>
        <v>0</v>
      </c>
      <c r="H99" s="106">
        <f t="shared" si="546"/>
        <v>0</v>
      </c>
      <c r="I99" s="106">
        <f t="shared" si="546"/>
        <v>0</v>
      </c>
      <c r="J99" s="106">
        <f t="shared" si="546"/>
        <v>0</v>
      </c>
      <c r="K99" s="106">
        <f t="shared" si="546"/>
        <v>0</v>
      </c>
      <c r="L99" s="106">
        <f t="shared" si="546"/>
        <v>0</v>
      </c>
      <c r="M99" s="106">
        <f t="shared" si="503"/>
        <v>0</v>
      </c>
      <c r="N99" s="16" t="s">
        <v>80</v>
      </c>
      <c r="O99" s="106">
        <f t="shared" si="547"/>
        <v>0</v>
      </c>
      <c r="P99" s="106">
        <f t="shared" si="547"/>
        <v>0</v>
      </c>
      <c r="Q99" s="106">
        <f t="shared" si="547"/>
        <v>0</v>
      </c>
      <c r="R99" s="106">
        <f t="shared" si="547"/>
        <v>0</v>
      </c>
      <c r="S99" s="106">
        <f t="shared" si="547"/>
        <v>0</v>
      </c>
      <c r="T99" s="106">
        <f t="shared" si="547"/>
        <v>0</v>
      </c>
      <c r="U99" s="106">
        <f t="shared" si="547"/>
        <v>0</v>
      </c>
      <c r="V99" s="106">
        <f t="shared" si="547"/>
        <v>0</v>
      </c>
      <c r="W99" s="106">
        <f t="shared" si="547"/>
        <v>0</v>
      </c>
      <c r="X99" s="106">
        <f t="shared" si="547"/>
        <v>0</v>
      </c>
      <c r="Y99" s="106">
        <f t="shared" si="547"/>
        <v>0</v>
      </c>
      <c r="Z99" s="106">
        <f t="shared" si="547"/>
        <v>0</v>
      </c>
      <c r="AA99" s="106">
        <f t="shared" si="548"/>
        <v>0</v>
      </c>
      <c r="AB99" s="118"/>
      <c r="AC99" s="106">
        <f t="shared" si="549"/>
        <v>0</v>
      </c>
      <c r="AD99" s="106">
        <f t="shared" si="549"/>
        <v>0</v>
      </c>
      <c r="AE99" s="106">
        <f t="shared" si="549"/>
        <v>0</v>
      </c>
      <c r="AF99" s="106">
        <f t="shared" si="549"/>
        <v>0</v>
      </c>
      <c r="AG99" s="106">
        <f t="shared" si="549"/>
        <v>0</v>
      </c>
      <c r="AH99" s="106">
        <f t="shared" si="549"/>
        <v>0</v>
      </c>
      <c r="AI99" s="106">
        <f t="shared" si="549"/>
        <v>0</v>
      </c>
      <c r="AJ99" s="106">
        <f t="shared" si="549"/>
        <v>0</v>
      </c>
      <c r="AK99" s="106">
        <f t="shared" si="549"/>
        <v>0</v>
      </c>
      <c r="AL99" s="106">
        <f t="shared" si="549"/>
        <v>0</v>
      </c>
      <c r="AM99" s="106">
        <f t="shared" si="549"/>
        <v>0</v>
      </c>
      <c r="AN99" s="106">
        <f t="shared" si="549"/>
        <v>0</v>
      </c>
      <c r="AO99" s="106">
        <f t="shared" si="550"/>
        <v>0</v>
      </c>
      <c r="AP99" s="106"/>
      <c r="AQ99" s="106">
        <f>+PMGR!AQ99+BP!AQ99</f>
        <v>0</v>
      </c>
      <c r="AR99" s="106">
        <f>+PMGR!AR99+BP!AR99</f>
        <v>0</v>
      </c>
      <c r="AS99" s="106">
        <f>+PMGR!AS99+BP!AS99</f>
        <v>0</v>
      </c>
      <c r="AT99" s="106">
        <f>+PMGR!AT99+BP!AT99</f>
        <v>0</v>
      </c>
      <c r="AU99" s="106">
        <f>+PMGR!AU99+BP!AU99</f>
        <v>0</v>
      </c>
      <c r="AV99" s="106">
        <f>+PMGR!AV99+BP!AV99</f>
        <v>0</v>
      </c>
      <c r="AW99" s="106">
        <f>+PMGR!AW99+BP!AW99</f>
        <v>0</v>
      </c>
      <c r="AX99" s="106">
        <f>+PMGR!AX99+BP!AX99</f>
        <v>0</v>
      </c>
      <c r="AY99" s="106">
        <f>+PMGR!AY99+BP!AY99</f>
        <v>0</v>
      </c>
      <c r="AZ99" s="106">
        <f>+PMGR!AZ99+BP!AZ99</f>
        <v>0</v>
      </c>
      <c r="BA99" s="106">
        <f>+PMGR!BA99+BP!BA99</f>
        <v>0</v>
      </c>
      <c r="BB99" s="106">
        <f>+PMGR!BB99+BP!BB99</f>
        <v>0</v>
      </c>
      <c r="BC99" s="106">
        <f t="shared" si="551"/>
        <v>0</v>
      </c>
      <c r="BD99" s="16" t="str">
        <f t="shared" si="405"/>
        <v>New Car - PDI Transportation</v>
      </c>
      <c r="BE99" s="106">
        <f>+PMGR!BE99+BP!BE99</f>
        <v>0</v>
      </c>
      <c r="BF99" s="106">
        <f>+PMGR!BF99+BP!BF99</f>
        <v>0</v>
      </c>
      <c r="BG99" s="106">
        <f>+PMGR!BG99+BP!BG99</f>
        <v>0</v>
      </c>
      <c r="BH99" s="106">
        <f>+PMGR!BH99+BP!BH99</f>
        <v>0</v>
      </c>
      <c r="BI99" s="106">
        <f>+PMGR!BI99+BP!BI99</f>
        <v>0</v>
      </c>
      <c r="BJ99" s="106">
        <f>+PMGR!BJ99+BP!BJ99</f>
        <v>0</v>
      </c>
      <c r="BK99" s="106">
        <f>+PMGR!BK99+BP!BK99</f>
        <v>0</v>
      </c>
      <c r="BL99" s="106">
        <f>+PMGR!BL99+BP!BL99</f>
        <v>0</v>
      </c>
      <c r="BM99" s="106">
        <f>+PMGR!BM99+BP!BM99</f>
        <v>0</v>
      </c>
      <c r="BN99" s="106">
        <f>+PMGR!BN99+BP!BN99</f>
        <v>0</v>
      </c>
      <c r="BO99" s="106">
        <f>+PMGR!BO99+BP!BO99</f>
        <v>0</v>
      </c>
      <c r="BP99" s="106">
        <f>+PMGR!BP99+BP!BP99</f>
        <v>0</v>
      </c>
      <c r="BQ99" s="106">
        <f t="shared" si="552"/>
        <v>0</v>
      </c>
      <c r="BR99" s="118"/>
      <c r="BS99" s="106">
        <f>+PMGR!BS99+BP!BS99</f>
        <v>0</v>
      </c>
      <c r="BT99" s="106">
        <f>+PMGR!BT99+BP!BT99</f>
        <v>0</v>
      </c>
      <c r="BU99" s="106">
        <f>+PMGR!BU99+BP!BU99</f>
        <v>0</v>
      </c>
      <c r="BV99" s="106">
        <f>+PMGR!BV99+BP!BV99</f>
        <v>0</v>
      </c>
      <c r="BW99" s="106">
        <f>+PMGR!BW99+BP!BW99</f>
        <v>0</v>
      </c>
      <c r="BX99" s="106">
        <f>+PMGR!BX99+BP!BX99</f>
        <v>0</v>
      </c>
      <c r="BY99" s="106">
        <f>+PMGR!BY99+BP!BY99</f>
        <v>0</v>
      </c>
      <c r="BZ99" s="106">
        <f>+PMGR!BZ99+BP!BZ99</f>
        <v>0</v>
      </c>
      <c r="CA99" s="106">
        <f>+PMGR!CA99+BP!CA99</f>
        <v>0</v>
      </c>
      <c r="CB99" s="106">
        <f>+PMGR!CB99+BP!CB99</f>
        <v>0</v>
      </c>
      <c r="CC99" s="106">
        <f>+PMGR!CC99+BP!CC99</f>
        <v>0</v>
      </c>
      <c r="CD99" s="106">
        <f>+PMGR!CD99+BP!CD99</f>
        <v>0</v>
      </c>
      <c r="CE99" s="106">
        <f t="shared" si="553"/>
        <v>0</v>
      </c>
      <c r="CF99" s="106"/>
      <c r="CG99" s="106">
        <f>+PMGR!CG99+BP!CG99</f>
        <v>0</v>
      </c>
      <c r="CH99" s="106">
        <f>+PMGR!CH99+BP!CH99</f>
        <v>0</v>
      </c>
      <c r="CI99" s="106">
        <f>+PMGR!CI99+BP!CI99</f>
        <v>0</v>
      </c>
      <c r="CJ99" s="106">
        <f>+PMGR!CJ99+BP!CJ99</f>
        <v>0</v>
      </c>
      <c r="CK99" s="106">
        <f>+PMGR!CK99+BP!CK99</f>
        <v>0</v>
      </c>
      <c r="CL99" s="106">
        <f>+PMGR!CL99+BP!CL99</f>
        <v>0</v>
      </c>
      <c r="CM99" s="106">
        <f>+PMGR!CM99+BP!CM99</f>
        <v>0</v>
      </c>
      <c r="CN99" s="106">
        <f>+PMGR!CN99+BP!CN99</f>
        <v>0</v>
      </c>
      <c r="CO99" s="106">
        <f>+PMGR!CO99+BP!CO99</f>
        <v>0</v>
      </c>
      <c r="CP99" s="106">
        <f>+PMGR!CP99+BP!CP99</f>
        <v>0</v>
      </c>
      <c r="CQ99" s="106">
        <f>+PMGR!CQ99+BP!CQ99</f>
        <v>0</v>
      </c>
      <c r="CR99" s="106">
        <f>+PMGR!CR99+BP!CR99</f>
        <v>0</v>
      </c>
      <c r="CS99" s="106">
        <f t="shared" si="554"/>
        <v>0</v>
      </c>
      <c r="CT99" s="16" t="str">
        <f t="shared" si="409"/>
        <v>New Car - PDI Transportation</v>
      </c>
      <c r="CU99" s="106">
        <f>+PMGR!CU99+BP!CU99</f>
        <v>0</v>
      </c>
      <c r="CV99" s="106">
        <f>+PMGR!CV99+BP!CV99</f>
        <v>0</v>
      </c>
      <c r="CW99" s="106">
        <f>+PMGR!CW99+BP!CW99</f>
        <v>0</v>
      </c>
      <c r="CX99" s="106">
        <f>+PMGR!CX99+BP!CX99</f>
        <v>0</v>
      </c>
      <c r="CY99" s="106">
        <f>+PMGR!CY99+BP!CY99</f>
        <v>0</v>
      </c>
      <c r="CZ99" s="106">
        <f>+PMGR!CZ99+BP!CZ99</f>
        <v>0</v>
      </c>
      <c r="DA99" s="106">
        <f>+PMGR!DA99+BP!DA99</f>
        <v>0</v>
      </c>
      <c r="DB99" s="106">
        <f>+PMGR!DB99+BP!DB99</f>
        <v>0</v>
      </c>
      <c r="DC99" s="106">
        <f>+PMGR!DC99+BP!DC99</f>
        <v>0</v>
      </c>
      <c r="DD99" s="106">
        <f>+PMGR!DD99+BP!DD99</f>
        <v>0</v>
      </c>
      <c r="DE99" s="106">
        <f>+PMGR!DE99+BP!DE99</f>
        <v>0</v>
      </c>
      <c r="DF99" s="106">
        <f>+PMGR!DF99+BP!DF99</f>
        <v>0</v>
      </c>
      <c r="DG99" s="106">
        <f t="shared" si="555"/>
        <v>0</v>
      </c>
      <c r="DH99" s="118"/>
      <c r="DI99" s="106">
        <f>+PMGR!DI99+BP!DI99</f>
        <v>0</v>
      </c>
      <c r="DJ99" s="106">
        <f>+PMGR!DJ99+BP!DJ99</f>
        <v>0</v>
      </c>
      <c r="DK99" s="106">
        <f>+PMGR!DK99+BP!DK99</f>
        <v>0</v>
      </c>
      <c r="DL99" s="106">
        <f>+PMGR!DL99+BP!DL99</f>
        <v>0</v>
      </c>
      <c r="DM99" s="106">
        <f>+PMGR!DM99+BP!DM99</f>
        <v>0</v>
      </c>
      <c r="DN99" s="106">
        <f>+PMGR!DN99+BP!DN99</f>
        <v>0</v>
      </c>
      <c r="DO99" s="106">
        <f>+PMGR!DO99+BP!DO99</f>
        <v>0</v>
      </c>
      <c r="DP99" s="106">
        <f>+PMGR!DP99+BP!DP99</f>
        <v>0</v>
      </c>
      <c r="DQ99" s="106">
        <f>+PMGR!DQ99+BP!DQ99</f>
        <v>0</v>
      </c>
      <c r="DR99" s="106">
        <f>+PMGR!DR99+BP!DR99</f>
        <v>0</v>
      </c>
      <c r="DS99" s="106">
        <f>+PMGR!DS99+BP!DS99</f>
        <v>0</v>
      </c>
      <c r="DT99" s="106">
        <f>+PMGR!DT99+BP!DT99</f>
        <v>0</v>
      </c>
      <c r="DU99" s="106">
        <f t="shared" si="556"/>
        <v>0</v>
      </c>
      <c r="DV99" s="106"/>
      <c r="DW99" s="106">
        <f>+PMGR!DW99+BP!DW99</f>
        <v>0</v>
      </c>
      <c r="DX99" s="106">
        <f>+PMGR!DX99+BP!DX99</f>
        <v>0</v>
      </c>
      <c r="DY99" s="106">
        <f>+PMGR!DY99+BP!DY99</f>
        <v>0</v>
      </c>
      <c r="DZ99" s="106">
        <f>+PMGR!DZ99+BP!DZ99</f>
        <v>0</v>
      </c>
      <c r="EA99" s="106">
        <f>+PMGR!EA99+BP!EA99</f>
        <v>0</v>
      </c>
      <c r="EB99" s="106">
        <f>+PMGR!EB99+BP!EB99</f>
        <v>0</v>
      </c>
      <c r="EC99" s="106">
        <f>+PMGR!EC99+BP!EC99</f>
        <v>0</v>
      </c>
      <c r="ED99" s="106">
        <f>+PMGR!ED99+BP!ED99</f>
        <v>0</v>
      </c>
      <c r="EE99" s="106">
        <f>+PMGR!EE99+BP!EE99</f>
        <v>0</v>
      </c>
      <c r="EF99" s="106">
        <f>+PMGR!EF99+BP!EF99</f>
        <v>0</v>
      </c>
      <c r="EG99" s="106">
        <f>+PMGR!EG99+BP!EG99</f>
        <v>0</v>
      </c>
      <c r="EH99" s="106">
        <f>+PMGR!EH99+BP!EH99</f>
        <v>0</v>
      </c>
      <c r="EI99" s="106">
        <f t="shared" si="557"/>
        <v>0</v>
      </c>
      <c r="EJ99" s="16" t="str">
        <f t="shared" si="457"/>
        <v>New Car - PDI Transportation</v>
      </c>
      <c r="EK99" s="106">
        <f>+PMGR!EK99+BP!EK99</f>
        <v>0</v>
      </c>
      <c r="EL99" s="106">
        <f>+PMGR!EL99+BP!EL99</f>
        <v>0</v>
      </c>
      <c r="EM99" s="106">
        <f>+PMGR!EM99+BP!EM99</f>
        <v>0</v>
      </c>
      <c r="EN99" s="106">
        <f>+PMGR!EN99+BP!EN99</f>
        <v>0</v>
      </c>
      <c r="EO99" s="106">
        <f>+PMGR!EO99+BP!EO99</f>
        <v>0</v>
      </c>
      <c r="EP99" s="106">
        <f>+PMGR!EP99+BP!EP99</f>
        <v>0</v>
      </c>
      <c r="EQ99" s="106">
        <f>+PMGR!EQ99+BP!EQ99</f>
        <v>0</v>
      </c>
      <c r="ER99" s="106">
        <f>+PMGR!ER99+BP!ER99</f>
        <v>0</v>
      </c>
      <c r="ES99" s="106">
        <f>+PMGR!ES99+BP!ES99</f>
        <v>0</v>
      </c>
      <c r="ET99" s="106">
        <f>+PMGR!ET99+BP!ET99</f>
        <v>0</v>
      </c>
      <c r="EU99" s="106">
        <f>+PMGR!EU99+BP!EU99</f>
        <v>0</v>
      </c>
      <c r="EV99" s="106">
        <f>+PMGR!EV99+BP!EV99</f>
        <v>0</v>
      </c>
      <c r="EW99" s="106">
        <f t="shared" si="558"/>
        <v>0</v>
      </c>
      <c r="EX99" s="118"/>
      <c r="EY99" s="106">
        <f>+PMGR!EY99+BP!EY99</f>
        <v>0</v>
      </c>
      <c r="EZ99" s="106">
        <f>+PMGR!EZ99+BP!EZ99</f>
        <v>0</v>
      </c>
      <c r="FA99" s="106">
        <f>+PMGR!FA99+BP!FA99</f>
        <v>0</v>
      </c>
      <c r="FB99" s="106">
        <f>+PMGR!FB99+BP!FB99</f>
        <v>0</v>
      </c>
      <c r="FC99" s="106">
        <f>+PMGR!FC99+BP!FC99</f>
        <v>0</v>
      </c>
      <c r="FD99" s="106">
        <f>+PMGR!FD99+BP!FD99</f>
        <v>0</v>
      </c>
      <c r="FE99" s="106">
        <f>+PMGR!FE99+BP!FE99</f>
        <v>0</v>
      </c>
      <c r="FF99" s="106">
        <f>+PMGR!FF99+BP!FF99</f>
        <v>0</v>
      </c>
      <c r="FG99" s="106">
        <f>+PMGR!FG99+BP!FG99</f>
        <v>0</v>
      </c>
      <c r="FH99" s="106">
        <f>+PMGR!FH99+BP!FH99</f>
        <v>0</v>
      </c>
      <c r="FI99" s="106">
        <f>+PMGR!FI99+BP!FI99</f>
        <v>0</v>
      </c>
      <c r="FJ99" s="106">
        <f>+PMGR!FJ99+BP!FJ99</f>
        <v>0</v>
      </c>
      <c r="FK99" s="106">
        <f t="shared" si="559"/>
        <v>0</v>
      </c>
    </row>
    <row r="100" spans="1:167" ht="14.45" hidden="1" customHeight="1" outlineLevel="2">
      <c r="A100" s="106">
        <f t="shared" si="546"/>
        <v>0</v>
      </c>
      <c r="B100" s="106">
        <f t="shared" si="546"/>
        <v>0</v>
      </c>
      <c r="C100" s="106">
        <f t="shared" si="546"/>
        <v>0</v>
      </c>
      <c r="D100" s="106">
        <f t="shared" si="546"/>
        <v>0</v>
      </c>
      <c r="E100" s="106">
        <f t="shared" si="546"/>
        <v>0</v>
      </c>
      <c r="F100" s="106">
        <f t="shared" si="546"/>
        <v>0</v>
      </c>
      <c r="G100" s="106">
        <f t="shared" si="546"/>
        <v>0</v>
      </c>
      <c r="H100" s="106">
        <f t="shared" si="546"/>
        <v>0</v>
      </c>
      <c r="I100" s="106">
        <f t="shared" si="546"/>
        <v>0</v>
      </c>
      <c r="J100" s="106">
        <f t="shared" si="546"/>
        <v>0</v>
      </c>
      <c r="K100" s="106">
        <f t="shared" si="546"/>
        <v>0</v>
      </c>
      <c r="L100" s="106">
        <f t="shared" si="546"/>
        <v>0</v>
      </c>
      <c r="M100" s="106">
        <f t="shared" si="503"/>
        <v>0</v>
      </c>
      <c r="N100" s="16" t="s">
        <v>81</v>
      </c>
      <c r="O100" s="106">
        <f t="shared" si="547"/>
        <v>0</v>
      </c>
      <c r="P100" s="106">
        <f t="shared" si="547"/>
        <v>0</v>
      </c>
      <c r="Q100" s="106">
        <f t="shared" si="547"/>
        <v>0</v>
      </c>
      <c r="R100" s="106">
        <f t="shared" si="547"/>
        <v>0</v>
      </c>
      <c r="S100" s="106">
        <f t="shared" si="547"/>
        <v>0</v>
      </c>
      <c r="T100" s="106">
        <f t="shared" si="547"/>
        <v>0</v>
      </c>
      <c r="U100" s="106">
        <f t="shared" si="547"/>
        <v>0</v>
      </c>
      <c r="V100" s="106">
        <f t="shared" si="547"/>
        <v>0</v>
      </c>
      <c r="W100" s="106">
        <f t="shared" si="547"/>
        <v>0</v>
      </c>
      <c r="X100" s="106">
        <f t="shared" si="547"/>
        <v>0</v>
      </c>
      <c r="Y100" s="106">
        <f t="shared" si="547"/>
        <v>0</v>
      </c>
      <c r="Z100" s="106">
        <f t="shared" si="547"/>
        <v>0</v>
      </c>
      <c r="AA100" s="106">
        <f t="shared" si="548"/>
        <v>0</v>
      </c>
      <c r="AB100" s="118"/>
      <c r="AC100" s="106">
        <f t="shared" si="549"/>
        <v>0</v>
      </c>
      <c r="AD100" s="106">
        <f t="shared" si="549"/>
        <v>0</v>
      </c>
      <c r="AE100" s="106">
        <f t="shared" si="549"/>
        <v>0</v>
      </c>
      <c r="AF100" s="106">
        <f t="shared" si="549"/>
        <v>0</v>
      </c>
      <c r="AG100" s="106">
        <f t="shared" si="549"/>
        <v>0</v>
      </c>
      <c r="AH100" s="106">
        <f t="shared" si="549"/>
        <v>0</v>
      </c>
      <c r="AI100" s="106">
        <f t="shared" si="549"/>
        <v>0</v>
      </c>
      <c r="AJ100" s="106">
        <f t="shared" si="549"/>
        <v>0</v>
      </c>
      <c r="AK100" s="106">
        <f t="shared" si="549"/>
        <v>0</v>
      </c>
      <c r="AL100" s="106">
        <f t="shared" si="549"/>
        <v>0</v>
      </c>
      <c r="AM100" s="106">
        <f t="shared" si="549"/>
        <v>0</v>
      </c>
      <c r="AN100" s="106">
        <f t="shared" si="549"/>
        <v>0</v>
      </c>
      <c r="AO100" s="106">
        <f t="shared" si="550"/>
        <v>0</v>
      </c>
      <c r="AP100" s="106"/>
      <c r="AQ100" s="106">
        <f>+PMGR!AQ100+BP!AQ100</f>
        <v>0</v>
      </c>
      <c r="AR100" s="106">
        <f>+PMGR!AR100+BP!AR100</f>
        <v>0</v>
      </c>
      <c r="AS100" s="106">
        <f>+PMGR!AS100+BP!AS100</f>
        <v>0</v>
      </c>
      <c r="AT100" s="106">
        <f>+PMGR!AT100+BP!AT100</f>
        <v>0</v>
      </c>
      <c r="AU100" s="106">
        <f>+PMGR!AU100+BP!AU100</f>
        <v>0</v>
      </c>
      <c r="AV100" s="106">
        <f>+PMGR!AV100+BP!AV100</f>
        <v>0</v>
      </c>
      <c r="AW100" s="106">
        <f>+PMGR!AW100+BP!AW100</f>
        <v>0</v>
      </c>
      <c r="AX100" s="106">
        <f>+PMGR!AX100+BP!AX100</f>
        <v>0</v>
      </c>
      <c r="AY100" s="106">
        <f>+PMGR!AY100+BP!AY100</f>
        <v>0</v>
      </c>
      <c r="AZ100" s="106">
        <f>+PMGR!AZ100+BP!AZ100</f>
        <v>0</v>
      </c>
      <c r="BA100" s="106">
        <f>+PMGR!BA100+BP!BA100</f>
        <v>0</v>
      </c>
      <c r="BB100" s="106">
        <f>+PMGR!BB100+BP!BB100</f>
        <v>0</v>
      </c>
      <c r="BC100" s="106">
        <f t="shared" si="551"/>
        <v>0</v>
      </c>
      <c r="BD100" s="16" t="str">
        <f t="shared" si="405"/>
        <v>New Car - PDI Washing</v>
      </c>
      <c r="BE100" s="106">
        <f>+PMGR!BE100+BP!BE100</f>
        <v>0</v>
      </c>
      <c r="BF100" s="106">
        <f>+PMGR!BF100+BP!BF100</f>
        <v>0</v>
      </c>
      <c r="BG100" s="106">
        <f>+PMGR!BG100+BP!BG100</f>
        <v>0</v>
      </c>
      <c r="BH100" s="106">
        <f>+PMGR!BH100+BP!BH100</f>
        <v>0</v>
      </c>
      <c r="BI100" s="106">
        <f>+PMGR!BI100+BP!BI100</f>
        <v>0</v>
      </c>
      <c r="BJ100" s="106">
        <f>+PMGR!BJ100+BP!BJ100</f>
        <v>0</v>
      </c>
      <c r="BK100" s="106">
        <f>+PMGR!BK100+BP!BK100</f>
        <v>0</v>
      </c>
      <c r="BL100" s="106">
        <f>+PMGR!BL100+BP!BL100</f>
        <v>0</v>
      </c>
      <c r="BM100" s="106">
        <f>+PMGR!BM100+BP!BM100</f>
        <v>0</v>
      </c>
      <c r="BN100" s="106">
        <f>+PMGR!BN100+BP!BN100</f>
        <v>0</v>
      </c>
      <c r="BO100" s="106">
        <f>+PMGR!BO100+BP!BO100</f>
        <v>0</v>
      </c>
      <c r="BP100" s="106">
        <f>+PMGR!BP100+BP!BP100</f>
        <v>0</v>
      </c>
      <c r="BQ100" s="106">
        <f t="shared" si="552"/>
        <v>0</v>
      </c>
      <c r="BR100" s="118"/>
      <c r="BS100" s="106">
        <f>+PMGR!BS100+BP!BS100</f>
        <v>0</v>
      </c>
      <c r="BT100" s="106">
        <f>+PMGR!BT100+BP!BT100</f>
        <v>0</v>
      </c>
      <c r="BU100" s="106">
        <f>+PMGR!BU100+BP!BU100</f>
        <v>0</v>
      </c>
      <c r="BV100" s="106">
        <f>+PMGR!BV100+BP!BV100</f>
        <v>0</v>
      </c>
      <c r="BW100" s="106">
        <f>+PMGR!BW100+BP!BW100</f>
        <v>0</v>
      </c>
      <c r="BX100" s="106">
        <f>+PMGR!BX100+BP!BX100</f>
        <v>0</v>
      </c>
      <c r="BY100" s="106">
        <f>+PMGR!BY100+BP!BY100</f>
        <v>0</v>
      </c>
      <c r="BZ100" s="106">
        <f>+PMGR!BZ100+BP!BZ100</f>
        <v>0</v>
      </c>
      <c r="CA100" s="106">
        <f>+PMGR!CA100+BP!CA100</f>
        <v>0</v>
      </c>
      <c r="CB100" s="106">
        <f>+PMGR!CB100+BP!CB100</f>
        <v>0</v>
      </c>
      <c r="CC100" s="106">
        <f>+PMGR!CC100+BP!CC100</f>
        <v>0</v>
      </c>
      <c r="CD100" s="106">
        <f>+PMGR!CD100+BP!CD100</f>
        <v>0</v>
      </c>
      <c r="CE100" s="106">
        <f t="shared" si="553"/>
        <v>0</v>
      </c>
      <c r="CF100" s="106"/>
      <c r="CG100" s="106">
        <f>+PMGR!CG100+BP!CG100</f>
        <v>0</v>
      </c>
      <c r="CH100" s="106">
        <f>+PMGR!CH100+BP!CH100</f>
        <v>0</v>
      </c>
      <c r="CI100" s="106">
        <f>+PMGR!CI100+BP!CI100</f>
        <v>0</v>
      </c>
      <c r="CJ100" s="106">
        <f>+PMGR!CJ100+BP!CJ100</f>
        <v>0</v>
      </c>
      <c r="CK100" s="106">
        <f>+PMGR!CK100+BP!CK100</f>
        <v>0</v>
      </c>
      <c r="CL100" s="106">
        <f>+PMGR!CL100+BP!CL100</f>
        <v>0</v>
      </c>
      <c r="CM100" s="106">
        <f>+PMGR!CM100+BP!CM100</f>
        <v>0</v>
      </c>
      <c r="CN100" s="106">
        <f>+PMGR!CN100+BP!CN100</f>
        <v>0</v>
      </c>
      <c r="CO100" s="106">
        <f>+PMGR!CO100+BP!CO100</f>
        <v>0</v>
      </c>
      <c r="CP100" s="106">
        <f>+PMGR!CP100+BP!CP100</f>
        <v>0</v>
      </c>
      <c r="CQ100" s="106">
        <f>+PMGR!CQ100+BP!CQ100</f>
        <v>0</v>
      </c>
      <c r="CR100" s="106">
        <f>+PMGR!CR100+BP!CR100</f>
        <v>0</v>
      </c>
      <c r="CS100" s="106">
        <f t="shared" si="554"/>
        <v>0</v>
      </c>
      <c r="CT100" s="16" t="str">
        <f t="shared" si="409"/>
        <v>New Car - PDI Washing</v>
      </c>
      <c r="CU100" s="106">
        <f>+PMGR!CU100+BP!CU100</f>
        <v>0</v>
      </c>
      <c r="CV100" s="106">
        <f>+PMGR!CV100+BP!CV100</f>
        <v>0</v>
      </c>
      <c r="CW100" s="106">
        <f>+PMGR!CW100+BP!CW100</f>
        <v>0</v>
      </c>
      <c r="CX100" s="106">
        <f>+PMGR!CX100+BP!CX100</f>
        <v>0</v>
      </c>
      <c r="CY100" s="106">
        <f>+PMGR!CY100+BP!CY100</f>
        <v>0</v>
      </c>
      <c r="CZ100" s="106">
        <f>+PMGR!CZ100+BP!CZ100</f>
        <v>0</v>
      </c>
      <c r="DA100" s="106">
        <f>+PMGR!DA100+BP!DA100</f>
        <v>0</v>
      </c>
      <c r="DB100" s="106">
        <f>+PMGR!DB100+BP!DB100</f>
        <v>0</v>
      </c>
      <c r="DC100" s="106">
        <f>+PMGR!DC100+BP!DC100</f>
        <v>0</v>
      </c>
      <c r="DD100" s="106">
        <f>+PMGR!DD100+BP!DD100</f>
        <v>0</v>
      </c>
      <c r="DE100" s="106">
        <f>+PMGR!DE100+BP!DE100</f>
        <v>0</v>
      </c>
      <c r="DF100" s="106">
        <f>+PMGR!DF100+BP!DF100</f>
        <v>0</v>
      </c>
      <c r="DG100" s="106">
        <f t="shared" si="555"/>
        <v>0</v>
      </c>
      <c r="DH100" s="118"/>
      <c r="DI100" s="106">
        <f>+PMGR!DI100+BP!DI100</f>
        <v>0</v>
      </c>
      <c r="DJ100" s="106">
        <f>+PMGR!DJ100+BP!DJ100</f>
        <v>0</v>
      </c>
      <c r="DK100" s="106">
        <f>+PMGR!DK100+BP!DK100</f>
        <v>0</v>
      </c>
      <c r="DL100" s="106">
        <f>+PMGR!DL100+BP!DL100</f>
        <v>0</v>
      </c>
      <c r="DM100" s="106">
        <f>+PMGR!DM100+BP!DM100</f>
        <v>0</v>
      </c>
      <c r="DN100" s="106">
        <f>+PMGR!DN100+BP!DN100</f>
        <v>0</v>
      </c>
      <c r="DO100" s="106">
        <f>+PMGR!DO100+BP!DO100</f>
        <v>0</v>
      </c>
      <c r="DP100" s="106">
        <f>+PMGR!DP100+BP!DP100</f>
        <v>0</v>
      </c>
      <c r="DQ100" s="106">
        <f>+PMGR!DQ100+BP!DQ100</f>
        <v>0</v>
      </c>
      <c r="DR100" s="106">
        <f>+PMGR!DR100+BP!DR100</f>
        <v>0</v>
      </c>
      <c r="DS100" s="106">
        <f>+PMGR!DS100+BP!DS100</f>
        <v>0</v>
      </c>
      <c r="DT100" s="106">
        <f>+PMGR!DT100+BP!DT100</f>
        <v>0</v>
      </c>
      <c r="DU100" s="106">
        <f t="shared" si="556"/>
        <v>0</v>
      </c>
      <c r="DV100" s="106"/>
      <c r="DW100" s="106">
        <f>+PMGR!DW100+BP!DW100</f>
        <v>0</v>
      </c>
      <c r="DX100" s="106">
        <f>+PMGR!DX100+BP!DX100</f>
        <v>0</v>
      </c>
      <c r="DY100" s="106">
        <f>+PMGR!DY100+BP!DY100</f>
        <v>0</v>
      </c>
      <c r="DZ100" s="106">
        <f>+PMGR!DZ100+BP!DZ100</f>
        <v>0</v>
      </c>
      <c r="EA100" s="106">
        <f>+PMGR!EA100+BP!EA100</f>
        <v>0</v>
      </c>
      <c r="EB100" s="106">
        <f>+PMGR!EB100+BP!EB100</f>
        <v>0</v>
      </c>
      <c r="EC100" s="106">
        <f>+PMGR!EC100+BP!EC100</f>
        <v>0</v>
      </c>
      <c r="ED100" s="106">
        <f>+PMGR!ED100+BP!ED100</f>
        <v>0</v>
      </c>
      <c r="EE100" s="106">
        <f>+PMGR!EE100+BP!EE100</f>
        <v>0</v>
      </c>
      <c r="EF100" s="106">
        <f>+PMGR!EF100+BP!EF100</f>
        <v>0</v>
      </c>
      <c r="EG100" s="106">
        <f>+PMGR!EG100+BP!EG100</f>
        <v>0</v>
      </c>
      <c r="EH100" s="106">
        <f>+PMGR!EH100+BP!EH100</f>
        <v>0</v>
      </c>
      <c r="EI100" s="106">
        <f t="shared" si="557"/>
        <v>0</v>
      </c>
      <c r="EJ100" s="16" t="str">
        <f t="shared" si="457"/>
        <v>New Car - PDI Washing</v>
      </c>
      <c r="EK100" s="106">
        <f>+PMGR!EK100+BP!EK100</f>
        <v>0</v>
      </c>
      <c r="EL100" s="106">
        <f>+PMGR!EL100+BP!EL100</f>
        <v>0</v>
      </c>
      <c r="EM100" s="106">
        <f>+PMGR!EM100+BP!EM100</f>
        <v>0</v>
      </c>
      <c r="EN100" s="106">
        <f>+PMGR!EN100+BP!EN100</f>
        <v>0</v>
      </c>
      <c r="EO100" s="106">
        <f>+PMGR!EO100+BP!EO100</f>
        <v>0</v>
      </c>
      <c r="EP100" s="106">
        <f>+PMGR!EP100+BP!EP100</f>
        <v>0</v>
      </c>
      <c r="EQ100" s="106">
        <f>+PMGR!EQ100+BP!EQ100</f>
        <v>0</v>
      </c>
      <c r="ER100" s="106">
        <f>+PMGR!ER100+BP!ER100</f>
        <v>0</v>
      </c>
      <c r="ES100" s="106">
        <f>+PMGR!ES100+BP!ES100</f>
        <v>0</v>
      </c>
      <c r="ET100" s="106">
        <f>+PMGR!ET100+BP!ET100</f>
        <v>0</v>
      </c>
      <c r="EU100" s="106">
        <f>+PMGR!EU100+BP!EU100</f>
        <v>0</v>
      </c>
      <c r="EV100" s="106">
        <f>+PMGR!EV100+BP!EV100</f>
        <v>0</v>
      </c>
      <c r="EW100" s="106">
        <f t="shared" si="558"/>
        <v>0</v>
      </c>
      <c r="EX100" s="118"/>
      <c r="EY100" s="106">
        <f>+PMGR!EY100+BP!EY100</f>
        <v>0</v>
      </c>
      <c r="EZ100" s="106">
        <f>+PMGR!EZ100+BP!EZ100</f>
        <v>0</v>
      </c>
      <c r="FA100" s="106">
        <f>+PMGR!FA100+BP!FA100</f>
        <v>0</v>
      </c>
      <c r="FB100" s="106">
        <f>+PMGR!FB100+BP!FB100</f>
        <v>0</v>
      </c>
      <c r="FC100" s="106">
        <f>+PMGR!FC100+BP!FC100</f>
        <v>0</v>
      </c>
      <c r="FD100" s="106">
        <f>+PMGR!FD100+BP!FD100</f>
        <v>0</v>
      </c>
      <c r="FE100" s="106">
        <f>+PMGR!FE100+BP!FE100</f>
        <v>0</v>
      </c>
      <c r="FF100" s="106">
        <f>+PMGR!FF100+BP!FF100</f>
        <v>0</v>
      </c>
      <c r="FG100" s="106">
        <f>+PMGR!FG100+BP!FG100</f>
        <v>0</v>
      </c>
      <c r="FH100" s="106">
        <f>+PMGR!FH100+BP!FH100</f>
        <v>0</v>
      </c>
      <c r="FI100" s="106">
        <f>+PMGR!FI100+BP!FI100</f>
        <v>0</v>
      </c>
      <c r="FJ100" s="106">
        <f>+PMGR!FJ100+BP!FJ100</f>
        <v>0</v>
      </c>
      <c r="FK100" s="106">
        <f t="shared" si="559"/>
        <v>0</v>
      </c>
    </row>
    <row r="101" spans="1:167" ht="14.45" hidden="1" customHeight="1" outlineLevel="2">
      <c r="A101" s="106">
        <f t="shared" si="546"/>
        <v>0</v>
      </c>
      <c r="B101" s="106">
        <f t="shared" si="546"/>
        <v>0</v>
      </c>
      <c r="C101" s="106">
        <f t="shared" si="546"/>
        <v>0</v>
      </c>
      <c r="D101" s="106">
        <f t="shared" si="546"/>
        <v>0</v>
      </c>
      <c r="E101" s="106">
        <f t="shared" si="546"/>
        <v>0</v>
      </c>
      <c r="F101" s="106">
        <f t="shared" si="546"/>
        <v>0</v>
      </c>
      <c r="G101" s="106">
        <f t="shared" si="546"/>
        <v>0</v>
      </c>
      <c r="H101" s="106">
        <f t="shared" si="546"/>
        <v>0</v>
      </c>
      <c r="I101" s="106">
        <f t="shared" si="546"/>
        <v>0</v>
      </c>
      <c r="J101" s="106">
        <f t="shared" si="546"/>
        <v>0</v>
      </c>
      <c r="K101" s="106">
        <f t="shared" si="546"/>
        <v>0</v>
      </c>
      <c r="L101" s="106">
        <f t="shared" si="546"/>
        <v>0</v>
      </c>
      <c r="M101" s="106">
        <f t="shared" si="503"/>
        <v>0</v>
      </c>
      <c r="N101" s="16" t="s">
        <v>82</v>
      </c>
      <c r="O101" s="106">
        <f t="shared" si="547"/>
        <v>0</v>
      </c>
      <c r="P101" s="106">
        <f t="shared" si="547"/>
        <v>0</v>
      </c>
      <c r="Q101" s="106">
        <f t="shared" si="547"/>
        <v>0</v>
      </c>
      <c r="R101" s="106">
        <f t="shared" si="547"/>
        <v>0</v>
      </c>
      <c r="S101" s="106">
        <f t="shared" si="547"/>
        <v>0</v>
      </c>
      <c r="T101" s="106">
        <f t="shared" si="547"/>
        <v>0</v>
      </c>
      <c r="U101" s="106">
        <f t="shared" si="547"/>
        <v>0</v>
      </c>
      <c r="V101" s="106">
        <f t="shared" si="547"/>
        <v>0</v>
      </c>
      <c r="W101" s="106">
        <f t="shared" si="547"/>
        <v>0</v>
      </c>
      <c r="X101" s="106">
        <f t="shared" si="547"/>
        <v>0</v>
      </c>
      <c r="Y101" s="106">
        <f t="shared" si="547"/>
        <v>0</v>
      </c>
      <c r="Z101" s="106">
        <f t="shared" si="547"/>
        <v>0</v>
      </c>
      <c r="AA101" s="106">
        <f t="shared" si="548"/>
        <v>0</v>
      </c>
      <c r="AB101" s="118"/>
      <c r="AC101" s="106">
        <f t="shared" si="549"/>
        <v>0</v>
      </c>
      <c r="AD101" s="106">
        <f t="shared" si="549"/>
        <v>0</v>
      </c>
      <c r="AE101" s="106">
        <f t="shared" si="549"/>
        <v>0</v>
      </c>
      <c r="AF101" s="106">
        <f t="shared" si="549"/>
        <v>0</v>
      </c>
      <c r="AG101" s="106">
        <f t="shared" si="549"/>
        <v>0</v>
      </c>
      <c r="AH101" s="106">
        <f t="shared" si="549"/>
        <v>0</v>
      </c>
      <c r="AI101" s="106">
        <f t="shared" si="549"/>
        <v>0</v>
      </c>
      <c r="AJ101" s="106">
        <f t="shared" si="549"/>
        <v>0</v>
      </c>
      <c r="AK101" s="106">
        <f t="shared" si="549"/>
        <v>0</v>
      </c>
      <c r="AL101" s="106">
        <f t="shared" si="549"/>
        <v>0</v>
      </c>
      <c r="AM101" s="106">
        <f t="shared" si="549"/>
        <v>0</v>
      </c>
      <c r="AN101" s="106">
        <f t="shared" si="549"/>
        <v>0</v>
      </c>
      <c r="AO101" s="106">
        <f t="shared" si="550"/>
        <v>0</v>
      </c>
      <c r="AP101" s="106"/>
      <c r="AQ101" s="106">
        <f>+PMGR!AQ101+BP!AQ101</f>
        <v>0</v>
      </c>
      <c r="AR101" s="106">
        <f>+PMGR!AR101+BP!AR101</f>
        <v>0</v>
      </c>
      <c r="AS101" s="106">
        <f>+PMGR!AS101+BP!AS101</f>
        <v>0</v>
      </c>
      <c r="AT101" s="106">
        <f>+PMGR!AT101+BP!AT101</f>
        <v>0</v>
      </c>
      <c r="AU101" s="106">
        <f>+PMGR!AU101+BP!AU101</f>
        <v>0</v>
      </c>
      <c r="AV101" s="106">
        <f>+PMGR!AV101+BP!AV101</f>
        <v>0</v>
      </c>
      <c r="AW101" s="106">
        <f>+PMGR!AW101+BP!AW101</f>
        <v>0</v>
      </c>
      <c r="AX101" s="106">
        <f>+PMGR!AX101+BP!AX101</f>
        <v>0</v>
      </c>
      <c r="AY101" s="106">
        <f>+PMGR!AY101+BP!AY101</f>
        <v>0</v>
      </c>
      <c r="AZ101" s="106">
        <f>+PMGR!AZ101+BP!AZ101</f>
        <v>0</v>
      </c>
      <c r="BA101" s="106">
        <f>+PMGR!BA101+BP!BA101</f>
        <v>0</v>
      </c>
      <c r="BB101" s="106">
        <f>+PMGR!BB101+BP!BB101</f>
        <v>0</v>
      </c>
      <c r="BC101" s="106">
        <f t="shared" si="551"/>
        <v>0</v>
      </c>
      <c r="BD101" s="16" t="str">
        <f t="shared" si="405"/>
        <v>New Car Delivery-Gifts</v>
      </c>
      <c r="BE101" s="106">
        <f>+PMGR!BE101+BP!BE101</f>
        <v>0</v>
      </c>
      <c r="BF101" s="106">
        <f>+PMGR!BF101+BP!BF101</f>
        <v>0</v>
      </c>
      <c r="BG101" s="106">
        <f>+PMGR!BG101+BP!BG101</f>
        <v>0</v>
      </c>
      <c r="BH101" s="106">
        <f>+PMGR!BH101+BP!BH101</f>
        <v>0</v>
      </c>
      <c r="BI101" s="106">
        <f>+PMGR!BI101+BP!BI101</f>
        <v>0</v>
      </c>
      <c r="BJ101" s="106">
        <f>+PMGR!BJ101+BP!BJ101</f>
        <v>0</v>
      </c>
      <c r="BK101" s="106">
        <f>+PMGR!BK101+BP!BK101</f>
        <v>0</v>
      </c>
      <c r="BL101" s="106">
        <f>+PMGR!BL101+BP!BL101</f>
        <v>0</v>
      </c>
      <c r="BM101" s="106">
        <f>+PMGR!BM101+BP!BM101</f>
        <v>0</v>
      </c>
      <c r="BN101" s="106">
        <f>+PMGR!BN101+BP!BN101</f>
        <v>0</v>
      </c>
      <c r="BO101" s="106">
        <f>+PMGR!BO101+BP!BO101</f>
        <v>0</v>
      </c>
      <c r="BP101" s="106">
        <f>+PMGR!BP101+BP!BP101</f>
        <v>0</v>
      </c>
      <c r="BQ101" s="106">
        <f t="shared" si="552"/>
        <v>0</v>
      </c>
      <c r="BR101" s="118"/>
      <c r="BS101" s="106">
        <f>+PMGR!BS101+BP!BS101</f>
        <v>0</v>
      </c>
      <c r="BT101" s="106">
        <f>+PMGR!BT101+BP!BT101</f>
        <v>0</v>
      </c>
      <c r="BU101" s="106">
        <f>+PMGR!BU101+BP!BU101</f>
        <v>0</v>
      </c>
      <c r="BV101" s="106">
        <f>+PMGR!BV101+BP!BV101</f>
        <v>0</v>
      </c>
      <c r="BW101" s="106">
        <f>+PMGR!BW101+BP!BW101</f>
        <v>0</v>
      </c>
      <c r="BX101" s="106">
        <f>+PMGR!BX101+BP!BX101</f>
        <v>0</v>
      </c>
      <c r="BY101" s="106">
        <f>+PMGR!BY101+BP!BY101</f>
        <v>0</v>
      </c>
      <c r="BZ101" s="106">
        <f>+PMGR!BZ101+BP!BZ101</f>
        <v>0</v>
      </c>
      <c r="CA101" s="106">
        <f>+PMGR!CA101+BP!CA101</f>
        <v>0</v>
      </c>
      <c r="CB101" s="106">
        <f>+PMGR!CB101+BP!CB101</f>
        <v>0</v>
      </c>
      <c r="CC101" s="106">
        <f>+PMGR!CC101+BP!CC101</f>
        <v>0</v>
      </c>
      <c r="CD101" s="106">
        <f>+PMGR!CD101+BP!CD101</f>
        <v>0</v>
      </c>
      <c r="CE101" s="106">
        <f t="shared" si="553"/>
        <v>0</v>
      </c>
      <c r="CF101" s="106"/>
      <c r="CG101" s="106">
        <f>+PMGR!CG101+BP!CG101</f>
        <v>0</v>
      </c>
      <c r="CH101" s="106">
        <f>+PMGR!CH101+BP!CH101</f>
        <v>0</v>
      </c>
      <c r="CI101" s="106">
        <f>+PMGR!CI101+BP!CI101</f>
        <v>0</v>
      </c>
      <c r="CJ101" s="106">
        <f>+PMGR!CJ101+BP!CJ101</f>
        <v>0</v>
      </c>
      <c r="CK101" s="106">
        <f>+PMGR!CK101+BP!CK101</f>
        <v>0</v>
      </c>
      <c r="CL101" s="106">
        <f>+PMGR!CL101+BP!CL101</f>
        <v>0</v>
      </c>
      <c r="CM101" s="106">
        <f>+PMGR!CM101+BP!CM101</f>
        <v>0</v>
      </c>
      <c r="CN101" s="106">
        <f>+PMGR!CN101+BP!CN101</f>
        <v>0</v>
      </c>
      <c r="CO101" s="106">
        <f>+PMGR!CO101+BP!CO101</f>
        <v>0</v>
      </c>
      <c r="CP101" s="106">
        <f>+PMGR!CP101+BP!CP101</f>
        <v>0</v>
      </c>
      <c r="CQ101" s="106">
        <f>+PMGR!CQ101+BP!CQ101</f>
        <v>0</v>
      </c>
      <c r="CR101" s="106">
        <f>+PMGR!CR101+BP!CR101</f>
        <v>0</v>
      </c>
      <c r="CS101" s="106">
        <f t="shared" si="554"/>
        <v>0</v>
      </c>
      <c r="CT101" s="16" t="str">
        <f t="shared" si="409"/>
        <v>New Car Delivery-Gifts</v>
      </c>
      <c r="CU101" s="106">
        <f>+PMGR!CU101+BP!CU101</f>
        <v>0</v>
      </c>
      <c r="CV101" s="106">
        <f>+PMGR!CV101+BP!CV101</f>
        <v>0</v>
      </c>
      <c r="CW101" s="106">
        <f>+PMGR!CW101+BP!CW101</f>
        <v>0</v>
      </c>
      <c r="CX101" s="106">
        <f>+PMGR!CX101+BP!CX101</f>
        <v>0</v>
      </c>
      <c r="CY101" s="106">
        <f>+PMGR!CY101+BP!CY101</f>
        <v>0</v>
      </c>
      <c r="CZ101" s="106">
        <f>+PMGR!CZ101+BP!CZ101</f>
        <v>0</v>
      </c>
      <c r="DA101" s="106">
        <f>+PMGR!DA101+BP!DA101</f>
        <v>0</v>
      </c>
      <c r="DB101" s="106">
        <f>+PMGR!DB101+BP!DB101</f>
        <v>0</v>
      </c>
      <c r="DC101" s="106">
        <f>+PMGR!DC101+BP!DC101</f>
        <v>0</v>
      </c>
      <c r="DD101" s="106">
        <f>+PMGR!DD101+BP!DD101</f>
        <v>0</v>
      </c>
      <c r="DE101" s="106">
        <f>+PMGR!DE101+BP!DE101</f>
        <v>0</v>
      </c>
      <c r="DF101" s="106">
        <f>+PMGR!DF101+BP!DF101</f>
        <v>0</v>
      </c>
      <c r="DG101" s="106">
        <f t="shared" si="555"/>
        <v>0</v>
      </c>
      <c r="DH101" s="118"/>
      <c r="DI101" s="106">
        <f>+PMGR!DI101+BP!DI101</f>
        <v>0</v>
      </c>
      <c r="DJ101" s="106">
        <f>+PMGR!DJ101+BP!DJ101</f>
        <v>0</v>
      </c>
      <c r="DK101" s="106">
        <f>+PMGR!DK101+BP!DK101</f>
        <v>0</v>
      </c>
      <c r="DL101" s="106">
        <f>+PMGR!DL101+BP!DL101</f>
        <v>0</v>
      </c>
      <c r="DM101" s="106">
        <f>+PMGR!DM101+BP!DM101</f>
        <v>0</v>
      </c>
      <c r="DN101" s="106">
        <f>+PMGR!DN101+BP!DN101</f>
        <v>0</v>
      </c>
      <c r="DO101" s="106">
        <f>+PMGR!DO101+BP!DO101</f>
        <v>0</v>
      </c>
      <c r="DP101" s="106">
        <f>+PMGR!DP101+BP!DP101</f>
        <v>0</v>
      </c>
      <c r="DQ101" s="106">
        <f>+PMGR!DQ101+BP!DQ101</f>
        <v>0</v>
      </c>
      <c r="DR101" s="106">
        <f>+PMGR!DR101+BP!DR101</f>
        <v>0</v>
      </c>
      <c r="DS101" s="106">
        <f>+PMGR!DS101+BP!DS101</f>
        <v>0</v>
      </c>
      <c r="DT101" s="106">
        <f>+PMGR!DT101+BP!DT101</f>
        <v>0</v>
      </c>
      <c r="DU101" s="106">
        <f t="shared" si="556"/>
        <v>0</v>
      </c>
      <c r="DV101" s="106"/>
      <c r="DW101" s="106">
        <f>+PMGR!DW101+BP!DW101</f>
        <v>0</v>
      </c>
      <c r="DX101" s="106">
        <f>+PMGR!DX101+BP!DX101</f>
        <v>0</v>
      </c>
      <c r="DY101" s="106">
        <f>+PMGR!DY101+BP!DY101</f>
        <v>0</v>
      </c>
      <c r="DZ101" s="106">
        <f>+PMGR!DZ101+BP!DZ101</f>
        <v>0</v>
      </c>
      <c r="EA101" s="106">
        <f>+PMGR!EA101+BP!EA101</f>
        <v>0</v>
      </c>
      <c r="EB101" s="106">
        <f>+PMGR!EB101+BP!EB101</f>
        <v>0</v>
      </c>
      <c r="EC101" s="106">
        <f>+PMGR!EC101+BP!EC101</f>
        <v>0</v>
      </c>
      <c r="ED101" s="106">
        <f>+PMGR!ED101+BP!ED101</f>
        <v>0</v>
      </c>
      <c r="EE101" s="106">
        <f>+PMGR!EE101+BP!EE101</f>
        <v>0</v>
      </c>
      <c r="EF101" s="106">
        <f>+PMGR!EF101+BP!EF101</f>
        <v>0</v>
      </c>
      <c r="EG101" s="106">
        <f>+PMGR!EG101+BP!EG101</f>
        <v>0</v>
      </c>
      <c r="EH101" s="106">
        <f>+PMGR!EH101+BP!EH101</f>
        <v>0</v>
      </c>
      <c r="EI101" s="106">
        <f t="shared" si="557"/>
        <v>0</v>
      </c>
      <c r="EJ101" s="16" t="str">
        <f t="shared" si="457"/>
        <v>New Car Delivery-Gifts</v>
      </c>
      <c r="EK101" s="106">
        <f>+PMGR!EK101+BP!EK101</f>
        <v>0</v>
      </c>
      <c r="EL101" s="106">
        <f>+PMGR!EL101+BP!EL101</f>
        <v>0</v>
      </c>
      <c r="EM101" s="106">
        <f>+PMGR!EM101+BP!EM101</f>
        <v>0</v>
      </c>
      <c r="EN101" s="106">
        <f>+PMGR!EN101+BP!EN101</f>
        <v>0</v>
      </c>
      <c r="EO101" s="106">
        <f>+PMGR!EO101+BP!EO101</f>
        <v>0</v>
      </c>
      <c r="EP101" s="106">
        <f>+PMGR!EP101+BP!EP101</f>
        <v>0</v>
      </c>
      <c r="EQ101" s="106">
        <f>+PMGR!EQ101+BP!EQ101</f>
        <v>0</v>
      </c>
      <c r="ER101" s="106">
        <f>+PMGR!ER101+BP!ER101</f>
        <v>0</v>
      </c>
      <c r="ES101" s="106">
        <f>+PMGR!ES101+BP!ES101</f>
        <v>0</v>
      </c>
      <c r="ET101" s="106">
        <f>+PMGR!ET101+BP!ET101</f>
        <v>0</v>
      </c>
      <c r="EU101" s="106">
        <f>+PMGR!EU101+BP!EU101</f>
        <v>0</v>
      </c>
      <c r="EV101" s="106">
        <f>+PMGR!EV101+BP!EV101</f>
        <v>0</v>
      </c>
      <c r="EW101" s="106">
        <f t="shared" si="558"/>
        <v>0</v>
      </c>
      <c r="EX101" s="118"/>
      <c r="EY101" s="106">
        <f>+PMGR!EY101+BP!EY101</f>
        <v>0</v>
      </c>
      <c r="EZ101" s="106">
        <f>+PMGR!EZ101+BP!EZ101</f>
        <v>0</v>
      </c>
      <c r="FA101" s="106">
        <f>+PMGR!FA101+BP!FA101</f>
        <v>0</v>
      </c>
      <c r="FB101" s="106">
        <f>+PMGR!FB101+BP!FB101</f>
        <v>0</v>
      </c>
      <c r="FC101" s="106">
        <f>+PMGR!FC101+BP!FC101</f>
        <v>0</v>
      </c>
      <c r="FD101" s="106">
        <f>+PMGR!FD101+BP!FD101</f>
        <v>0</v>
      </c>
      <c r="FE101" s="106">
        <f>+PMGR!FE101+BP!FE101</f>
        <v>0</v>
      </c>
      <c r="FF101" s="106">
        <f>+PMGR!FF101+BP!FF101</f>
        <v>0</v>
      </c>
      <c r="FG101" s="106">
        <f>+PMGR!FG101+BP!FG101</f>
        <v>0</v>
      </c>
      <c r="FH101" s="106">
        <f>+PMGR!FH101+BP!FH101</f>
        <v>0</v>
      </c>
      <c r="FI101" s="106">
        <f>+PMGR!FI101+BP!FI101</f>
        <v>0</v>
      </c>
      <c r="FJ101" s="106">
        <f>+PMGR!FJ101+BP!FJ101</f>
        <v>0</v>
      </c>
      <c r="FK101" s="106">
        <f t="shared" si="559"/>
        <v>0</v>
      </c>
    </row>
    <row r="102" spans="1:167" ht="14.45" hidden="1" customHeight="1" outlineLevel="2">
      <c r="A102" s="106">
        <f t="shared" si="546"/>
        <v>0</v>
      </c>
      <c r="B102" s="106">
        <f t="shared" si="546"/>
        <v>0</v>
      </c>
      <c r="C102" s="106">
        <f t="shared" si="546"/>
        <v>0</v>
      </c>
      <c r="D102" s="106">
        <f t="shared" si="546"/>
        <v>0</v>
      </c>
      <c r="E102" s="106">
        <f t="shared" si="546"/>
        <v>0</v>
      </c>
      <c r="F102" s="106">
        <f t="shared" si="546"/>
        <v>0</v>
      </c>
      <c r="G102" s="106">
        <f t="shared" si="546"/>
        <v>14367.6</v>
      </c>
      <c r="H102" s="106">
        <f t="shared" si="546"/>
        <v>0</v>
      </c>
      <c r="I102" s="106">
        <f t="shared" si="546"/>
        <v>21900.799999999999</v>
      </c>
      <c r="J102" s="106">
        <f t="shared" si="546"/>
        <v>15146.625</v>
      </c>
      <c r="K102" s="106">
        <f t="shared" si="546"/>
        <v>7512</v>
      </c>
      <c r="L102" s="106">
        <f t="shared" si="546"/>
        <v>44208</v>
      </c>
      <c r="M102" s="106">
        <f t="shared" si="503"/>
        <v>103135.02499999999</v>
      </c>
      <c r="N102" s="16" t="s">
        <v>83</v>
      </c>
      <c r="O102" s="106">
        <f t="shared" si="547"/>
        <v>58840.59</v>
      </c>
      <c r="P102" s="106">
        <f t="shared" si="547"/>
        <v>14915</v>
      </c>
      <c r="Q102" s="106">
        <f t="shared" si="547"/>
        <v>21831</v>
      </c>
      <c r="R102" s="106">
        <f t="shared" si="547"/>
        <v>13980</v>
      </c>
      <c r="S102" s="106">
        <f t="shared" si="547"/>
        <v>28716</v>
      </c>
      <c r="T102" s="106">
        <f t="shared" si="547"/>
        <v>44387.44</v>
      </c>
      <c r="U102" s="106">
        <f t="shared" si="547"/>
        <v>5121.7199999999993</v>
      </c>
      <c r="V102" s="106">
        <f t="shared" si="547"/>
        <v>22104</v>
      </c>
      <c r="W102" s="106">
        <f t="shared" si="547"/>
        <v>4204</v>
      </c>
      <c r="X102" s="106">
        <f t="shared" si="547"/>
        <v>14471</v>
      </c>
      <c r="Y102" s="106">
        <f t="shared" si="547"/>
        <v>0</v>
      </c>
      <c r="Z102" s="106">
        <f t="shared" si="547"/>
        <v>0</v>
      </c>
      <c r="AA102" s="106">
        <f t="shared" si="548"/>
        <v>228570.75</v>
      </c>
      <c r="AB102" s="118"/>
      <c r="AC102" s="106">
        <f t="shared" si="549"/>
        <v>20000</v>
      </c>
      <c r="AD102" s="106">
        <f t="shared" si="549"/>
        <v>20000</v>
      </c>
      <c r="AE102" s="106">
        <f t="shared" si="549"/>
        <v>20000</v>
      </c>
      <c r="AF102" s="106">
        <f t="shared" si="549"/>
        <v>20000</v>
      </c>
      <c r="AG102" s="106">
        <f t="shared" si="549"/>
        <v>20000</v>
      </c>
      <c r="AH102" s="106">
        <f t="shared" si="549"/>
        <v>20000</v>
      </c>
      <c r="AI102" s="106">
        <f t="shared" si="549"/>
        <v>20000</v>
      </c>
      <c r="AJ102" s="106">
        <f t="shared" si="549"/>
        <v>20000</v>
      </c>
      <c r="AK102" s="106">
        <f t="shared" si="549"/>
        <v>20000</v>
      </c>
      <c r="AL102" s="106">
        <f t="shared" si="549"/>
        <v>20000</v>
      </c>
      <c r="AM102" s="106">
        <f t="shared" si="549"/>
        <v>20000</v>
      </c>
      <c r="AN102" s="106">
        <f t="shared" si="549"/>
        <v>20000</v>
      </c>
      <c r="AO102" s="106">
        <f t="shared" si="550"/>
        <v>240000</v>
      </c>
      <c r="AP102" s="106"/>
      <c r="AQ102" s="106">
        <f>+PMGR!AQ102+BP!AQ102</f>
        <v>0</v>
      </c>
      <c r="AR102" s="106">
        <f>+PMGR!AR102+BP!AR102</f>
        <v>0</v>
      </c>
      <c r="AS102" s="106">
        <f>+PMGR!AS102+BP!AS102</f>
        <v>0</v>
      </c>
      <c r="AT102" s="106">
        <f>+PMGR!AT102+BP!AT102</f>
        <v>0</v>
      </c>
      <c r="AU102" s="106">
        <f>+PMGR!AU102+BP!AU102</f>
        <v>0</v>
      </c>
      <c r="AV102" s="106">
        <f>+PMGR!AV102+BP!AV102</f>
        <v>0</v>
      </c>
      <c r="AW102" s="106">
        <f>+PMGR!AW102+BP!AW102</f>
        <v>14367.6</v>
      </c>
      <c r="AX102" s="106">
        <f>+PMGR!AX102+BP!AX102</f>
        <v>0</v>
      </c>
      <c r="AY102" s="106">
        <f>+PMGR!AY102+BP!AY102</f>
        <v>21900.799999999999</v>
      </c>
      <c r="AZ102" s="106">
        <f>+PMGR!AZ102+BP!AZ102</f>
        <v>14736</v>
      </c>
      <c r="BA102" s="106">
        <f>+PMGR!BA102+BP!BA102</f>
        <v>7512</v>
      </c>
      <c r="BB102" s="106">
        <f>+PMGR!BB102+BP!BB102</f>
        <v>0</v>
      </c>
      <c r="BC102" s="106">
        <f t="shared" si="551"/>
        <v>58516.4</v>
      </c>
      <c r="BD102" s="16" t="str">
        <f t="shared" si="405"/>
        <v>Refreshment Expenses -Delivery</v>
      </c>
      <c r="BE102" s="106">
        <f>+PMGR!BE102+BP!BE102</f>
        <v>21348</v>
      </c>
      <c r="BF102" s="106">
        <f>+PMGR!BF102+BP!BF102</f>
        <v>6612</v>
      </c>
      <c r="BG102" s="106">
        <f>+PMGR!BG102+BP!BG102</f>
        <v>14736</v>
      </c>
      <c r="BH102" s="106">
        <f>+PMGR!BH102+BP!BH102</f>
        <v>6612</v>
      </c>
      <c r="BI102" s="106">
        <f>+PMGR!BI102+BP!BI102</f>
        <v>0</v>
      </c>
      <c r="BJ102" s="106">
        <f>+PMGR!BJ102+BP!BJ102</f>
        <v>14736</v>
      </c>
      <c r="BK102" s="106">
        <f>+PMGR!BK102+BP!BK102</f>
        <v>0</v>
      </c>
      <c r="BL102" s="106">
        <f>+PMGR!BL102+BP!BL102</f>
        <v>14736</v>
      </c>
      <c r="BM102" s="106">
        <f>+PMGR!BM102+BP!BM102</f>
        <v>4204</v>
      </c>
      <c r="BN102" s="106">
        <f>+PMGR!BN102+BP!BN102</f>
        <v>13211</v>
      </c>
      <c r="BO102" s="106">
        <f>+PMGR!BO102+BP!BO102</f>
        <v>0</v>
      </c>
      <c r="BP102" s="106">
        <f>+PMGR!BP102+BP!BP102</f>
        <v>0</v>
      </c>
      <c r="BQ102" s="106">
        <f t="shared" si="552"/>
        <v>96195</v>
      </c>
      <c r="BR102" s="118"/>
      <c r="BS102" s="106">
        <f>+PMGR!BS102+BP!BS102</f>
        <v>10000</v>
      </c>
      <c r="BT102" s="106">
        <f>+PMGR!BT102+BP!BT102</f>
        <v>10000</v>
      </c>
      <c r="BU102" s="106">
        <f>+PMGR!BU102+BP!BU102</f>
        <v>10000</v>
      </c>
      <c r="BV102" s="106">
        <f>+PMGR!BV102+BP!BV102</f>
        <v>10000</v>
      </c>
      <c r="BW102" s="106">
        <f>+PMGR!BW102+BP!BW102</f>
        <v>10000</v>
      </c>
      <c r="BX102" s="106">
        <f>+PMGR!BX102+BP!BX102</f>
        <v>10000</v>
      </c>
      <c r="BY102" s="106">
        <f>+PMGR!BY102+BP!BY102</f>
        <v>10000</v>
      </c>
      <c r="BZ102" s="106">
        <f>+PMGR!BZ102+BP!BZ102</f>
        <v>10000</v>
      </c>
      <c r="CA102" s="106">
        <f>+PMGR!CA102+BP!CA102</f>
        <v>10000</v>
      </c>
      <c r="CB102" s="106">
        <f>+PMGR!CB102+BP!CB102</f>
        <v>10000</v>
      </c>
      <c r="CC102" s="106">
        <f>+PMGR!CC102+BP!CC102</f>
        <v>10000</v>
      </c>
      <c r="CD102" s="106">
        <f>+PMGR!CD102+BP!CD102</f>
        <v>10000</v>
      </c>
      <c r="CE102" s="106">
        <f t="shared" si="553"/>
        <v>120000</v>
      </c>
      <c r="CF102" s="106"/>
      <c r="CG102" s="106">
        <f>+PMGR!CG102+BP!CG102</f>
        <v>0</v>
      </c>
      <c r="CH102" s="106">
        <f>+PMGR!CH102+BP!CH102</f>
        <v>0</v>
      </c>
      <c r="CI102" s="106">
        <f>+PMGR!CI102+BP!CI102</f>
        <v>0</v>
      </c>
      <c r="CJ102" s="106">
        <f>+PMGR!CJ102+BP!CJ102</f>
        <v>0</v>
      </c>
      <c r="CK102" s="106">
        <f>+PMGR!CK102+BP!CK102</f>
        <v>0</v>
      </c>
      <c r="CL102" s="106">
        <f>+PMGR!CL102+BP!CL102</f>
        <v>0</v>
      </c>
      <c r="CM102" s="106">
        <f>+PMGR!CM102+BP!CM102</f>
        <v>0</v>
      </c>
      <c r="CN102" s="106">
        <f>+PMGR!CN102+BP!CN102</f>
        <v>0</v>
      </c>
      <c r="CO102" s="106">
        <f>+PMGR!CO102+BP!CO102</f>
        <v>0</v>
      </c>
      <c r="CP102" s="106">
        <f>+PMGR!CP102+BP!CP102</f>
        <v>410.625</v>
      </c>
      <c r="CQ102" s="106">
        <f>+PMGR!CQ102+BP!CQ102</f>
        <v>0</v>
      </c>
      <c r="CR102" s="106">
        <f>+PMGR!CR102+BP!CR102</f>
        <v>44208</v>
      </c>
      <c r="CS102" s="106">
        <f t="shared" si="554"/>
        <v>44618.625</v>
      </c>
      <c r="CT102" s="16" t="str">
        <f t="shared" si="409"/>
        <v>Refreshment Expenses -Delivery</v>
      </c>
      <c r="CU102" s="106">
        <f>+PMGR!CU102+BP!CU102</f>
        <v>29599.059999999998</v>
      </c>
      <c r="CV102" s="106">
        <f>+PMGR!CV102+BP!CV102</f>
        <v>8303</v>
      </c>
      <c r="CW102" s="106">
        <f>+PMGR!CW102+BP!CW102</f>
        <v>483</v>
      </c>
      <c r="CX102" s="106">
        <f>+PMGR!CX102+BP!CX102</f>
        <v>7368</v>
      </c>
      <c r="CY102" s="106">
        <f>+PMGR!CY102+BP!CY102</f>
        <v>7368</v>
      </c>
      <c r="CZ102" s="106">
        <f>+PMGR!CZ102+BP!CZ102</f>
        <v>7844</v>
      </c>
      <c r="DA102" s="106">
        <f>+PMGR!DA102+BP!DA102</f>
        <v>4543.7199999999993</v>
      </c>
      <c r="DB102" s="106">
        <f>+PMGR!DB102+BP!DB102</f>
        <v>7368</v>
      </c>
      <c r="DC102" s="106">
        <f>+PMGR!DC102+BP!DC102</f>
        <v>0</v>
      </c>
      <c r="DD102" s="106">
        <f>+PMGR!DD102+BP!DD102</f>
        <v>1260</v>
      </c>
      <c r="DE102" s="106">
        <f>+PMGR!DE102+BP!DE102</f>
        <v>0</v>
      </c>
      <c r="DF102" s="106">
        <f>+PMGR!DF102+BP!DF102</f>
        <v>0</v>
      </c>
      <c r="DG102" s="106">
        <f t="shared" si="555"/>
        <v>74136.78</v>
      </c>
      <c r="DH102" s="118"/>
      <c r="DI102" s="106">
        <f>+PMGR!DI102+BP!DI102</f>
        <v>10000</v>
      </c>
      <c r="DJ102" s="106">
        <f>+PMGR!DJ102+BP!DJ102</f>
        <v>10000</v>
      </c>
      <c r="DK102" s="106">
        <f>+PMGR!DK102+BP!DK102</f>
        <v>10000</v>
      </c>
      <c r="DL102" s="106">
        <f>+PMGR!DL102+BP!DL102</f>
        <v>10000</v>
      </c>
      <c r="DM102" s="106">
        <f>+PMGR!DM102+BP!DM102</f>
        <v>10000</v>
      </c>
      <c r="DN102" s="106">
        <f>+PMGR!DN102+BP!DN102</f>
        <v>10000</v>
      </c>
      <c r="DO102" s="106">
        <f>+PMGR!DO102+BP!DO102</f>
        <v>10000</v>
      </c>
      <c r="DP102" s="106">
        <f>+PMGR!DP102+BP!DP102</f>
        <v>10000</v>
      </c>
      <c r="DQ102" s="106">
        <f>+PMGR!DQ102+BP!DQ102</f>
        <v>10000</v>
      </c>
      <c r="DR102" s="106">
        <f>+PMGR!DR102+BP!DR102</f>
        <v>10000</v>
      </c>
      <c r="DS102" s="106">
        <f>+PMGR!DS102+BP!DS102</f>
        <v>10000</v>
      </c>
      <c r="DT102" s="106">
        <f>+PMGR!DT102+BP!DT102</f>
        <v>10000</v>
      </c>
      <c r="DU102" s="106">
        <f t="shared" si="556"/>
        <v>120000</v>
      </c>
      <c r="DV102" s="106"/>
      <c r="DW102" s="106">
        <f>+PMGR!DW102+BP!DW102</f>
        <v>0</v>
      </c>
      <c r="DX102" s="106">
        <f>+PMGR!DX102+BP!DX102</f>
        <v>0</v>
      </c>
      <c r="DY102" s="106">
        <f>+PMGR!DY102+BP!DY102</f>
        <v>0</v>
      </c>
      <c r="DZ102" s="106">
        <f>+PMGR!DZ102+BP!DZ102</f>
        <v>0</v>
      </c>
      <c r="EA102" s="106">
        <f>+PMGR!EA102+BP!EA102</f>
        <v>0</v>
      </c>
      <c r="EB102" s="106">
        <f>+PMGR!EB102+BP!EB102</f>
        <v>0</v>
      </c>
      <c r="EC102" s="106">
        <f>+PMGR!EC102+BP!EC102</f>
        <v>0</v>
      </c>
      <c r="ED102" s="106">
        <f>+PMGR!ED102+BP!ED102</f>
        <v>0</v>
      </c>
      <c r="EE102" s="106">
        <f>+PMGR!EE102+BP!EE102</f>
        <v>0</v>
      </c>
      <c r="EF102" s="106">
        <f>+PMGR!EF102+BP!EF102</f>
        <v>0</v>
      </c>
      <c r="EG102" s="106">
        <f>+PMGR!EG102+BP!EG102</f>
        <v>0</v>
      </c>
      <c r="EH102" s="106">
        <f>+PMGR!EH102+BP!EH102</f>
        <v>0</v>
      </c>
      <c r="EI102" s="106">
        <f t="shared" si="557"/>
        <v>0</v>
      </c>
      <c r="EJ102" s="16" t="str">
        <f t="shared" si="457"/>
        <v>Refreshment Expenses -Delivery</v>
      </c>
      <c r="EK102" s="106">
        <f>+PMGR!EK102+BP!EK102</f>
        <v>7893.53</v>
      </c>
      <c r="EL102" s="106">
        <f>+PMGR!EL102+BP!EL102</f>
        <v>0</v>
      </c>
      <c r="EM102" s="106">
        <f>+PMGR!EM102+BP!EM102</f>
        <v>6612</v>
      </c>
      <c r="EN102" s="106">
        <f>+PMGR!EN102+BP!EN102</f>
        <v>0</v>
      </c>
      <c r="EO102" s="106">
        <f>+PMGR!EO102+BP!EO102</f>
        <v>21348</v>
      </c>
      <c r="EP102" s="106">
        <f>+PMGR!EP102+BP!EP102</f>
        <v>21807.440000000002</v>
      </c>
      <c r="EQ102" s="106">
        <f>+PMGR!EQ102+BP!EQ102</f>
        <v>578</v>
      </c>
      <c r="ER102" s="106">
        <f>+PMGR!ER102+BP!ER102</f>
        <v>0</v>
      </c>
      <c r="ES102" s="106">
        <f>+PMGR!ES102+BP!ES102</f>
        <v>0</v>
      </c>
      <c r="ET102" s="106">
        <f>+PMGR!ET102+BP!ET102</f>
        <v>0</v>
      </c>
      <c r="EU102" s="106">
        <f>+PMGR!EU102+BP!EU102</f>
        <v>0</v>
      </c>
      <c r="EV102" s="106">
        <f>+PMGR!EV102+BP!EV102</f>
        <v>0</v>
      </c>
      <c r="EW102" s="106">
        <f t="shared" si="558"/>
        <v>58238.97</v>
      </c>
      <c r="EX102" s="118"/>
      <c r="EY102" s="106">
        <f>+PMGR!EY102+BP!EY102</f>
        <v>0</v>
      </c>
      <c r="EZ102" s="106">
        <f>+PMGR!EZ102+BP!EZ102</f>
        <v>0</v>
      </c>
      <c r="FA102" s="106">
        <f>+PMGR!FA102+BP!FA102</f>
        <v>0</v>
      </c>
      <c r="FB102" s="106">
        <f>+PMGR!FB102+BP!FB102</f>
        <v>0</v>
      </c>
      <c r="FC102" s="106">
        <f>+PMGR!FC102+BP!FC102</f>
        <v>0</v>
      </c>
      <c r="FD102" s="106">
        <f>+PMGR!FD102+BP!FD102</f>
        <v>0</v>
      </c>
      <c r="FE102" s="106">
        <f>+PMGR!FE102+BP!FE102</f>
        <v>0</v>
      </c>
      <c r="FF102" s="106">
        <f>+PMGR!FF102+BP!FF102</f>
        <v>0</v>
      </c>
      <c r="FG102" s="106">
        <f>+PMGR!FG102+BP!FG102</f>
        <v>0</v>
      </c>
      <c r="FH102" s="106">
        <f>+PMGR!FH102+BP!FH102</f>
        <v>0</v>
      </c>
      <c r="FI102" s="106">
        <f>+PMGR!FI102+BP!FI102</f>
        <v>0</v>
      </c>
      <c r="FJ102" s="106">
        <f>+PMGR!FJ102+BP!FJ102</f>
        <v>0</v>
      </c>
      <c r="FK102" s="106">
        <f t="shared" si="559"/>
        <v>0</v>
      </c>
    </row>
    <row r="103" spans="1:167" ht="14.45" hidden="1" customHeight="1" outlineLevel="2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18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6">
        <f t="shared" si="405"/>
        <v>0</v>
      </c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18"/>
      <c r="BS103" s="106"/>
      <c r="BT103" s="106"/>
      <c r="BU103" s="106"/>
      <c r="BV103" s="106"/>
      <c r="BW103" s="106"/>
      <c r="BX103" s="106"/>
      <c r="BY103" s="106"/>
      <c r="BZ103" s="106"/>
      <c r="CA103" s="106"/>
      <c r="CB103" s="106"/>
      <c r="CC103" s="106"/>
      <c r="CD103" s="106"/>
      <c r="CE103" s="106"/>
      <c r="CF103" s="106"/>
      <c r="CG103" s="106"/>
      <c r="CH103" s="106"/>
      <c r="CI103" s="106"/>
      <c r="CJ103" s="106"/>
      <c r="CK103" s="106"/>
      <c r="CL103" s="106"/>
      <c r="CM103" s="106"/>
      <c r="CN103" s="106"/>
      <c r="CO103" s="106"/>
      <c r="CP103" s="106"/>
      <c r="CQ103" s="106"/>
      <c r="CR103" s="106"/>
      <c r="CS103" s="106"/>
      <c r="CT103" s="16">
        <f t="shared" si="409"/>
        <v>0</v>
      </c>
      <c r="CU103" s="106"/>
      <c r="CV103" s="106"/>
      <c r="CW103" s="106"/>
      <c r="CX103" s="106"/>
      <c r="CY103" s="106"/>
      <c r="CZ103" s="106"/>
      <c r="DA103" s="106"/>
      <c r="DB103" s="106"/>
      <c r="DC103" s="106"/>
      <c r="DD103" s="106"/>
      <c r="DE103" s="106"/>
      <c r="DF103" s="106"/>
      <c r="DG103" s="106"/>
      <c r="DH103" s="118"/>
      <c r="DI103" s="106"/>
      <c r="DJ103" s="106"/>
      <c r="DK103" s="106"/>
      <c r="DL103" s="106"/>
      <c r="DM103" s="106"/>
      <c r="DN103" s="106"/>
      <c r="DO103" s="106"/>
      <c r="DP103" s="106"/>
      <c r="DQ103" s="106"/>
      <c r="DR103" s="106"/>
      <c r="DS103" s="106"/>
      <c r="DT103" s="106"/>
      <c r="DU103" s="106"/>
      <c r="DV103" s="106"/>
      <c r="DW103" s="106"/>
      <c r="DX103" s="106"/>
      <c r="DY103" s="106"/>
      <c r="DZ103" s="106"/>
      <c r="EA103" s="106"/>
      <c r="EB103" s="106"/>
      <c r="EC103" s="106"/>
      <c r="ED103" s="106"/>
      <c r="EE103" s="106"/>
      <c r="EF103" s="106"/>
      <c r="EG103" s="106"/>
      <c r="EH103" s="106"/>
      <c r="EI103" s="106"/>
      <c r="EJ103" s="16">
        <f t="shared" si="457"/>
        <v>0</v>
      </c>
      <c r="EK103" s="106"/>
      <c r="EL103" s="106"/>
      <c r="EM103" s="106"/>
      <c r="EN103" s="106"/>
      <c r="EO103" s="106"/>
      <c r="EP103" s="106"/>
      <c r="EQ103" s="106"/>
      <c r="ER103" s="106"/>
      <c r="ES103" s="106"/>
      <c r="ET103" s="106"/>
      <c r="EU103" s="106"/>
      <c r="EV103" s="106"/>
      <c r="EW103" s="106"/>
      <c r="EX103" s="118"/>
      <c r="EY103" s="106"/>
      <c r="EZ103" s="106"/>
      <c r="FA103" s="106"/>
      <c r="FB103" s="106"/>
      <c r="FC103" s="106"/>
      <c r="FD103" s="106"/>
      <c r="FE103" s="106"/>
      <c r="FF103" s="106"/>
      <c r="FG103" s="106"/>
      <c r="FH103" s="106"/>
      <c r="FI103" s="106"/>
      <c r="FJ103" s="106"/>
      <c r="FK103" s="106"/>
    </row>
    <row r="104" spans="1:167" ht="14.45" customHeight="1" collapsed="1">
      <c r="A104" s="58">
        <f t="shared" ref="A104:M104" si="560">+SUM(A105:A113)</f>
        <v>35250.5</v>
      </c>
      <c r="B104" s="58">
        <f t="shared" si="560"/>
        <v>22651</v>
      </c>
      <c r="C104" s="58">
        <f t="shared" si="560"/>
        <v>73800</v>
      </c>
      <c r="D104" s="58">
        <f t="shared" si="560"/>
        <v>81029</v>
      </c>
      <c r="E104" s="58">
        <f t="shared" si="560"/>
        <v>183112</v>
      </c>
      <c r="F104" s="58">
        <f t="shared" si="560"/>
        <v>56673</v>
      </c>
      <c r="G104" s="58">
        <f t="shared" si="560"/>
        <v>31000</v>
      </c>
      <c r="H104" s="58">
        <f t="shared" si="560"/>
        <v>218694.6</v>
      </c>
      <c r="I104" s="58">
        <f t="shared" si="560"/>
        <v>321179</v>
      </c>
      <c r="J104" s="58">
        <f t="shared" si="560"/>
        <v>252542.41999999998</v>
      </c>
      <c r="K104" s="58">
        <f t="shared" si="560"/>
        <v>29360</v>
      </c>
      <c r="L104" s="58">
        <f t="shared" si="560"/>
        <v>257230</v>
      </c>
      <c r="M104" s="58">
        <f t="shared" si="560"/>
        <v>1562521.52</v>
      </c>
      <c r="N104" s="17" t="s">
        <v>84</v>
      </c>
      <c r="O104" s="58">
        <f t="shared" ref="O104:AA104" si="561">+SUM(O105:O113)</f>
        <v>71445.5</v>
      </c>
      <c r="P104" s="58">
        <f t="shared" si="561"/>
        <v>47113</v>
      </c>
      <c r="Q104" s="58">
        <f t="shared" si="561"/>
        <v>90448.75</v>
      </c>
      <c r="R104" s="58">
        <f t="shared" si="561"/>
        <v>83838.820000000007</v>
      </c>
      <c r="S104" s="58">
        <f t="shared" si="561"/>
        <v>355730.48</v>
      </c>
      <c r="T104" s="58">
        <f t="shared" si="561"/>
        <v>131946.32</v>
      </c>
      <c r="U104" s="58">
        <f t="shared" si="561"/>
        <v>50348</v>
      </c>
      <c r="V104" s="58">
        <f t="shared" si="561"/>
        <v>372236.03999999992</v>
      </c>
      <c r="W104" s="58">
        <f t="shared" si="561"/>
        <v>539603.39999999991</v>
      </c>
      <c r="X104" s="58">
        <f t="shared" si="561"/>
        <v>108411.34</v>
      </c>
      <c r="Y104" s="58">
        <f t="shared" si="561"/>
        <v>0</v>
      </c>
      <c r="Z104" s="58">
        <f t="shared" si="561"/>
        <v>0</v>
      </c>
      <c r="AA104" s="58">
        <f t="shared" si="561"/>
        <v>1851121.65</v>
      </c>
      <c r="AB104" s="118"/>
      <c r="AC104" s="58">
        <f t="shared" ref="AC104:AO104" si="562">+SUM(AC105:AC113)</f>
        <v>169517.03428677004</v>
      </c>
      <c r="AD104" s="58">
        <f t="shared" si="562"/>
        <v>166512.61395502</v>
      </c>
      <c r="AE104" s="58">
        <f t="shared" si="562"/>
        <v>167474.23635961002</v>
      </c>
      <c r="AF104" s="58">
        <f t="shared" si="562"/>
        <v>141602.80309062402</v>
      </c>
      <c r="AG104" s="58">
        <f t="shared" si="562"/>
        <v>316953.60693712003</v>
      </c>
      <c r="AH104" s="58">
        <f t="shared" si="562"/>
        <v>276008.56442295999</v>
      </c>
      <c r="AI104" s="58">
        <f t="shared" si="562"/>
        <v>280478.06584992004</v>
      </c>
      <c r="AJ104" s="58">
        <f t="shared" si="562"/>
        <v>290639.42367045005</v>
      </c>
      <c r="AK104" s="58">
        <f t="shared" si="562"/>
        <v>312517.42520463007</v>
      </c>
      <c r="AL104" s="58">
        <f t="shared" si="562"/>
        <v>251396.59462839999</v>
      </c>
      <c r="AM104" s="58">
        <f t="shared" si="562"/>
        <v>243154.19620832001</v>
      </c>
      <c r="AN104" s="58">
        <f t="shared" si="562"/>
        <v>252220.58139527997</v>
      </c>
      <c r="AO104" s="58">
        <f t="shared" si="562"/>
        <v>2868475.1460091043</v>
      </c>
      <c r="AP104" s="106"/>
      <c r="AQ104" s="58">
        <f t="shared" ref="AQ104:BC104" si="563">+SUM(AQ105:AQ113)</f>
        <v>30466</v>
      </c>
      <c r="AR104" s="58">
        <f t="shared" si="563"/>
        <v>20151</v>
      </c>
      <c r="AS104" s="58">
        <f t="shared" si="563"/>
        <v>72801</v>
      </c>
      <c r="AT104" s="58">
        <f t="shared" si="563"/>
        <v>80790</v>
      </c>
      <c r="AU104" s="58">
        <f t="shared" si="563"/>
        <v>145048</v>
      </c>
      <c r="AV104" s="58">
        <f t="shared" si="563"/>
        <v>53833</v>
      </c>
      <c r="AW104" s="58">
        <f t="shared" si="563"/>
        <v>31000</v>
      </c>
      <c r="AX104" s="58">
        <f t="shared" si="563"/>
        <v>217481.4</v>
      </c>
      <c r="AY104" s="58">
        <f t="shared" si="563"/>
        <v>280608</v>
      </c>
      <c r="AZ104" s="58">
        <f t="shared" si="563"/>
        <v>188542.41999999998</v>
      </c>
      <c r="BA104" s="58">
        <f t="shared" si="563"/>
        <v>28000</v>
      </c>
      <c r="BB104" s="58">
        <f t="shared" si="563"/>
        <v>-148745</v>
      </c>
      <c r="BC104" s="58">
        <f t="shared" si="563"/>
        <v>999975.82</v>
      </c>
      <c r="BD104" s="17" t="str">
        <f t="shared" si="405"/>
        <v>Marketing Expenses</v>
      </c>
      <c r="BE104" s="58">
        <f t="shared" ref="BE104:BQ104" si="564">+SUM(BE105:BE113)</f>
        <v>56721.5</v>
      </c>
      <c r="BF104" s="58">
        <f t="shared" si="564"/>
        <v>12820</v>
      </c>
      <c r="BG104" s="58">
        <f t="shared" si="564"/>
        <v>40826.5</v>
      </c>
      <c r="BH104" s="58">
        <f t="shared" si="564"/>
        <v>62760.82</v>
      </c>
      <c r="BI104" s="58">
        <f t="shared" si="564"/>
        <v>80798.95</v>
      </c>
      <c r="BJ104" s="58">
        <f t="shared" si="564"/>
        <v>38713.214999999997</v>
      </c>
      <c r="BK104" s="58">
        <f t="shared" si="564"/>
        <v>14920</v>
      </c>
      <c r="BL104" s="58">
        <f t="shared" si="564"/>
        <v>274071.08999999997</v>
      </c>
      <c r="BM104" s="58">
        <f t="shared" si="564"/>
        <v>436249.11</v>
      </c>
      <c r="BN104" s="58">
        <f t="shared" si="564"/>
        <v>61210.51</v>
      </c>
      <c r="BO104" s="58">
        <f t="shared" si="564"/>
        <v>0</v>
      </c>
      <c r="BP104" s="58">
        <f t="shared" si="564"/>
        <v>0</v>
      </c>
      <c r="BQ104" s="58">
        <f t="shared" si="564"/>
        <v>1079091.6949999998</v>
      </c>
      <c r="BR104" s="118"/>
      <c r="BS104" s="58">
        <f t="shared" ref="BS104:CE104" si="565">+SUM(BS105:BS113)</f>
        <v>100971.40985925001</v>
      </c>
      <c r="BT104" s="58">
        <f t="shared" si="565"/>
        <v>98502.322580940032</v>
      </c>
      <c r="BU104" s="58">
        <f t="shared" si="565"/>
        <v>90992.45441721</v>
      </c>
      <c r="BV104" s="58">
        <f t="shared" si="565"/>
        <v>85832.561173823997</v>
      </c>
      <c r="BW104" s="58">
        <f t="shared" si="565"/>
        <v>94414.316338080011</v>
      </c>
      <c r="BX104" s="58">
        <f t="shared" si="565"/>
        <v>97641.091882799999</v>
      </c>
      <c r="BY104" s="58">
        <f t="shared" si="565"/>
        <v>100095.33953952001</v>
      </c>
      <c r="BZ104" s="58">
        <f t="shared" si="565"/>
        <v>104169.66556293004</v>
      </c>
      <c r="CA104" s="58">
        <f t="shared" si="565"/>
        <v>110464.25067855002</v>
      </c>
      <c r="CB104" s="58">
        <f t="shared" si="565"/>
        <v>97074.571431599994</v>
      </c>
      <c r="CC104" s="58">
        <f t="shared" si="565"/>
        <v>77659.657145280013</v>
      </c>
      <c r="CD104" s="58">
        <f t="shared" si="565"/>
        <v>102621.68979911999</v>
      </c>
      <c r="CE104" s="58">
        <f t="shared" si="565"/>
        <v>1160439.3304091042</v>
      </c>
      <c r="CF104" s="106"/>
      <c r="CG104" s="58">
        <f t="shared" ref="CG104:CS104" si="566">+SUM(CG105:CG113)</f>
        <v>4784.5</v>
      </c>
      <c r="CH104" s="58">
        <f t="shared" si="566"/>
        <v>2500</v>
      </c>
      <c r="CI104" s="58">
        <f t="shared" si="566"/>
        <v>999</v>
      </c>
      <c r="CJ104" s="58">
        <f t="shared" si="566"/>
        <v>239</v>
      </c>
      <c r="CK104" s="58">
        <f t="shared" si="566"/>
        <v>38064</v>
      </c>
      <c r="CL104" s="58">
        <f t="shared" si="566"/>
        <v>2840</v>
      </c>
      <c r="CM104" s="58">
        <f t="shared" si="566"/>
        <v>0</v>
      </c>
      <c r="CN104" s="58">
        <f t="shared" si="566"/>
        <v>1213.2000000000007</v>
      </c>
      <c r="CO104" s="58">
        <f t="shared" si="566"/>
        <v>40571</v>
      </c>
      <c r="CP104" s="58">
        <f t="shared" si="566"/>
        <v>64000</v>
      </c>
      <c r="CQ104" s="58">
        <f t="shared" si="566"/>
        <v>1360</v>
      </c>
      <c r="CR104" s="58">
        <f t="shared" si="566"/>
        <v>405975</v>
      </c>
      <c r="CS104" s="58">
        <f t="shared" si="566"/>
        <v>562545.69999999995</v>
      </c>
      <c r="CT104" s="17" t="str">
        <f t="shared" si="409"/>
        <v>Marketing Expenses</v>
      </c>
      <c r="CU104" s="58">
        <f t="shared" ref="CU104:DG104" si="567">+SUM(CU105:CU113)</f>
        <v>12250</v>
      </c>
      <c r="CV104" s="58">
        <f t="shared" si="567"/>
        <v>30455</v>
      </c>
      <c r="CW104" s="58">
        <f t="shared" si="567"/>
        <v>13913.25</v>
      </c>
      <c r="CX104" s="58">
        <f t="shared" si="567"/>
        <v>17378</v>
      </c>
      <c r="CY104" s="58">
        <f t="shared" si="567"/>
        <v>59537.599999999999</v>
      </c>
      <c r="CZ104" s="58">
        <f t="shared" si="567"/>
        <v>13332.929</v>
      </c>
      <c r="DA104" s="58">
        <f t="shared" si="567"/>
        <v>4500</v>
      </c>
      <c r="DB104" s="58">
        <f t="shared" si="567"/>
        <v>94950.03</v>
      </c>
      <c r="DC104" s="58">
        <f t="shared" si="567"/>
        <v>51239.29</v>
      </c>
      <c r="DD104" s="58">
        <f t="shared" si="567"/>
        <v>42719.29</v>
      </c>
      <c r="DE104" s="58">
        <f t="shared" si="567"/>
        <v>0</v>
      </c>
      <c r="DF104" s="58">
        <f t="shared" si="567"/>
        <v>0</v>
      </c>
      <c r="DG104" s="58">
        <f t="shared" si="567"/>
        <v>340275.38900000002</v>
      </c>
      <c r="DH104" s="118"/>
      <c r="DI104" s="58">
        <f t="shared" ref="DI104:DU104" si="568">+SUM(DI105:DI113)</f>
        <v>59879.272427520009</v>
      </c>
      <c r="DJ104" s="58">
        <f t="shared" si="568"/>
        <v>59921.696174080003</v>
      </c>
      <c r="DK104" s="58">
        <f t="shared" si="568"/>
        <v>67454.331942399993</v>
      </c>
      <c r="DL104" s="58">
        <f t="shared" si="568"/>
        <v>47681.646716799994</v>
      </c>
      <c r="DM104" s="58">
        <f t="shared" si="568"/>
        <v>212910.01059904002</v>
      </c>
      <c r="DN104" s="58">
        <f t="shared" si="568"/>
        <v>168738.19254016</v>
      </c>
      <c r="DO104" s="58">
        <f t="shared" si="568"/>
        <v>169549.78631040003</v>
      </c>
      <c r="DP104" s="58">
        <f t="shared" si="568"/>
        <v>176038.03810752</v>
      </c>
      <c r="DQ104" s="58">
        <f t="shared" si="568"/>
        <v>192086.86972608001</v>
      </c>
      <c r="DR104" s="58">
        <f t="shared" si="568"/>
        <v>143087.86319680003</v>
      </c>
      <c r="DS104" s="58">
        <f t="shared" si="568"/>
        <v>153859.15906304002</v>
      </c>
      <c r="DT104" s="58">
        <f t="shared" si="568"/>
        <v>137080.82759616</v>
      </c>
      <c r="DU104" s="58">
        <f t="shared" si="568"/>
        <v>1588287.6943999999</v>
      </c>
      <c r="DV104" s="106"/>
      <c r="DW104" s="58">
        <f t="shared" ref="DW104:EI104" si="569">+SUM(DW105:DW113)</f>
        <v>0</v>
      </c>
      <c r="DX104" s="58">
        <f t="shared" si="569"/>
        <v>0</v>
      </c>
      <c r="DY104" s="58">
        <f t="shared" si="569"/>
        <v>0</v>
      </c>
      <c r="DZ104" s="58">
        <f t="shared" si="569"/>
        <v>0</v>
      </c>
      <c r="EA104" s="58">
        <f t="shared" si="569"/>
        <v>0</v>
      </c>
      <c r="EB104" s="58">
        <f t="shared" si="569"/>
        <v>0</v>
      </c>
      <c r="EC104" s="58">
        <f t="shared" si="569"/>
        <v>0</v>
      </c>
      <c r="ED104" s="58">
        <f t="shared" si="569"/>
        <v>0</v>
      </c>
      <c r="EE104" s="58">
        <f t="shared" si="569"/>
        <v>0</v>
      </c>
      <c r="EF104" s="58">
        <f t="shared" si="569"/>
        <v>0</v>
      </c>
      <c r="EG104" s="58">
        <f t="shared" si="569"/>
        <v>0</v>
      </c>
      <c r="EH104" s="58">
        <f t="shared" si="569"/>
        <v>0</v>
      </c>
      <c r="EI104" s="58">
        <f t="shared" si="569"/>
        <v>0</v>
      </c>
      <c r="EJ104" s="17" t="str">
        <f t="shared" si="457"/>
        <v>Marketing Expenses</v>
      </c>
      <c r="EK104" s="58">
        <f t="shared" ref="EK104:EW104" si="570">+SUM(EK105:EK113)</f>
        <v>2474</v>
      </c>
      <c r="EL104" s="58">
        <f t="shared" si="570"/>
        <v>3838</v>
      </c>
      <c r="EM104" s="58">
        <f t="shared" si="570"/>
        <v>35709</v>
      </c>
      <c r="EN104" s="58">
        <f t="shared" si="570"/>
        <v>3700</v>
      </c>
      <c r="EO104" s="58">
        <f t="shared" si="570"/>
        <v>215393.93</v>
      </c>
      <c r="EP104" s="58">
        <f t="shared" si="570"/>
        <v>79900.176000000007</v>
      </c>
      <c r="EQ104" s="58">
        <f t="shared" si="570"/>
        <v>30928</v>
      </c>
      <c r="ER104" s="58">
        <f t="shared" si="570"/>
        <v>3214.92</v>
      </c>
      <c r="ES104" s="58">
        <f t="shared" si="570"/>
        <v>52115</v>
      </c>
      <c r="ET104" s="58">
        <f t="shared" si="570"/>
        <v>4481.54</v>
      </c>
      <c r="EU104" s="58">
        <f t="shared" si="570"/>
        <v>0</v>
      </c>
      <c r="EV104" s="58">
        <f t="shared" si="570"/>
        <v>0</v>
      </c>
      <c r="EW104" s="58">
        <f t="shared" si="570"/>
        <v>431754.56599999999</v>
      </c>
      <c r="EX104" s="118"/>
      <c r="EY104" s="58">
        <f t="shared" ref="EY104:FK104" si="571">+SUM(EY105:EY113)</f>
        <v>8666.3520000000008</v>
      </c>
      <c r="EZ104" s="58">
        <f t="shared" si="571"/>
        <v>8088.5952000000016</v>
      </c>
      <c r="FA104" s="58">
        <f t="shared" si="571"/>
        <v>9027.4500000000025</v>
      </c>
      <c r="FB104" s="58">
        <f t="shared" si="571"/>
        <v>8088.5952000000016</v>
      </c>
      <c r="FC104" s="58">
        <f t="shared" si="571"/>
        <v>9629.2799999999988</v>
      </c>
      <c r="FD104" s="58">
        <f t="shared" si="571"/>
        <v>9629.2799999999988</v>
      </c>
      <c r="FE104" s="58">
        <f t="shared" si="571"/>
        <v>10832.94</v>
      </c>
      <c r="FF104" s="58">
        <f t="shared" si="571"/>
        <v>10431.720000000003</v>
      </c>
      <c r="FG104" s="58">
        <f t="shared" si="571"/>
        <v>9966.3048000000017</v>
      </c>
      <c r="FH104" s="58">
        <f t="shared" si="571"/>
        <v>11234.16</v>
      </c>
      <c r="FI104" s="58">
        <f t="shared" si="571"/>
        <v>11635.38</v>
      </c>
      <c r="FJ104" s="58">
        <f t="shared" si="571"/>
        <v>12518.064</v>
      </c>
      <c r="FK104" s="58">
        <f t="shared" si="571"/>
        <v>119748.12120000001</v>
      </c>
    </row>
    <row r="105" spans="1:167" ht="14.45" hidden="1" customHeight="1" outlineLevel="1">
      <c r="A105" s="106">
        <f t="shared" ref="A105:L113" si="572">+AQ105+CG105+DW105</f>
        <v>6070.5</v>
      </c>
      <c r="B105" s="106">
        <f t="shared" si="572"/>
        <v>1000</v>
      </c>
      <c r="C105" s="106">
        <f t="shared" si="572"/>
        <v>1239</v>
      </c>
      <c r="D105" s="106">
        <f t="shared" si="572"/>
        <v>1109</v>
      </c>
      <c r="E105" s="106">
        <f t="shared" si="572"/>
        <v>0</v>
      </c>
      <c r="F105" s="106">
        <f t="shared" si="572"/>
        <v>2670</v>
      </c>
      <c r="G105" s="106">
        <f t="shared" si="572"/>
        <v>1000</v>
      </c>
      <c r="H105" s="106">
        <f t="shared" si="572"/>
        <v>1000</v>
      </c>
      <c r="I105" s="106">
        <f t="shared" si="572"/>
        <v>14064</v>
      </c>
      <c r="J105" s="106">
        <f t="shared" si="572"/>
        <v>38306.42</v>
      </c>
      <c r="K105" s="106">
        <f t="shared" si="572"/>
        <v>1360</v>
      </c>
      <c r="L105" s="106">
        <f t="shared" si="572"/>
        <v>360</v>
      </c>
      <c r="M105" s="106">
        <f t="shared" ref="M105:M113" si="573">+SUM(A105:L105)</f>
        <v>68178.92</v>
      </c>
      <c r="N105" s="16" t="s">
        <v>85</v>
      </c>
      <c r="O105" s="106">
        <f t="shared" ref="O105:Z113" si="574">+BE105+CU105+EK105</f>
        <v>41721.5</v>
      </c>
      <c r="P105" s="106">
        <f t="shared" si="574"/>
        <v>1500</v>
      </c>
      <c r="Q105" s="106">
        <f t="shared" si="574"/>
        <v>0</v>
      </c>
      <c r="R105" s="106">
        <f t="shared" si="574"/>
        <v>1928</v>
      </c>
      <c r="S105" s="106">
        <f t="shared" si="574"/>
        <v>112</v>
      </c>
      <c r="T105" s="106">
        <f t="shared" si="574"/>
        <v>500</v>
      </c>
      <c r="U105" s="106">
        <f t="shared" si="574"/>
        <v>0</v>
      </c>
      <c r="V105" s="106">
        <f t="shared" si="574"/>
        <v>100792.26999999999</v>
      </c>
      <c r="W105" s="106">
        <f t="shared" si="574"/>
        <v>459044.39999999997</v>
      </c>
      <c r="X105" s="106">
        <f t="shared" si="574"/>
        <v>38089</v>
      </c>
      <c r="Y105" s="106">
        <f t="shared" si="574"/>
        <v>0</v>
      </c>
      <c r="Z105" s="106">
        <f t="shared" si="574"/>
        <v>0</v>
      </c>
      <c r="AA105" s="106">
        <f t="shared" ref="AA105:AA113" si="575">+SUM(O105:Z105)</f>
        <v>643687.16999999993</v>
      </c>
      <c r="AB105" s="118"/>
      <c r="AC105" s="106">
        <f t="shared" ref="AC105:AN113" si="576">+BS105+DI105+EY105</f>
        <v>16362.596981250004</v>
      </c>
      <c r="AD105" s="106">
        <f t="shared" si="576"/>
        <v>16169.680267500004</v>
      </c>
      <c r="AE105" s="106">
        <f t="shared" si="576"/>
        <v>16129.391126250004</v>
      </c>
      <c r="AF105" s="106">
        <f t="shared" si="576"/>
        <v>13598.535529920002</v>
      </c>
      <c r="AG105" s="106">
        <f t="shared" si="576"/>
        <v>15766.674554400002</v>
      </c>
      <c r="AH105" s="106">
        <f t="shared" si="576"/>
        <v>16574.447405999999</v>
      </c>
      <c r="AI105" s="106">
        <f t="shared" si="576"/>
        <v>16935.982257600004</v>
      </c>
      <c r="AJ105" s="106">
        <f t="shared" si="576"/>
        <v>18159.929815650001</v>
      </c>
      <c r="AK105" s="106">
        <f t="shared" si="576"/>
        <v>19022.647731750003</v>
      </c>
      <c r="AL105" s="106">
        <f t="shared" si="576"/>
        <v>16392.736206000001</v>
      </c>
      <c r="AM105" s="106">
        <f t="shared" si="576"/>
        <v>13647.798964800002</v>
      </c>
      <c r="AN105" s="106">
        <f t="shared" si="576"/>
        <v>17458.823989199998</v>
      </c>
      <c r="AO105" s="106">
        <f t="shared" ref="AO105:AO113" si="577">+SUM(AC105:AN105)</f>
        <v>196219.24483032001</v>
      </c>
      <c r="AP105" s="106"/>
      <c r="AQ105" s="106">
        <f>+PMGR!AQ105+BP!AQ105</f>
        <v>4346</v>
      </c>
      <c r="AR105" s="106">
        <f>+PMGR!AR105+BP!AR105</f>
        <v>1000</v>
      </c>
      <c r="AS105" s="106">
        <f>+PMGR!AS105+BP!AS105</f>
        <v>240</v>
      </c>
      <c r="AT105" s="106">
        <f>+PMGR!AT105+BP!AT105</f>
        <v>870</v>
      </c>
      <c r="AU105" s="106">
        <f>+PMGR!AU105+BP!AU105</f>
        <v>0</v>
      </c>
      <c r="AV105" s="106">
        <f>+PMGR!AV105+BP!AV105</f>
        <v>1270</v>
      </c>
      <c r="AW105" s="106">
        <f>+PMGR!AW105+BP!AW105</f>
        <v>1000</v>
      </c>
      <c r="AX105" s="106">
        <f>+PMGR!AX105+BP!AX105</f>
        <v>1000</v>
      </c>
      <c r="AY105" s="106">
        <f>+PMGR!AY105+BP!AY105</f>
        <v>11718</v>
      </c>
      <c r="AZ105" s="106">
        <f>+PMGR!AZ105+BP!AZ105</f>
        <v>38306.42</v>
      </c>
      <c r="BA105" s="106">
        <f>+PMGR!BA105+BP!BA105</f>
        <v>0</v>
      </c>
      <c r="BB105" s="106">
        <f>+PMGR!BB105+BP!BB105</f>
        <v>360</v>
      </c>
      <c r="BC105" s="106">
        <f t="shared" ref="BC105:BC113" si="578">+SUM(AQ105:BB105)</f>
        <v>60110.42</v>
      </c>
      <c r="BD105" s="16" t="str">
        <f t="shared" si="405"/>
        <v>CRM Activities</v>
      </c>
      <c r="BE105" s="106">
        <f>+PMGR!BE105+BP!BE105</f>
        <v>41721.5</v>
      </c>
      <c r="BF105" s="106">
        <f>+PMGR!BF105+BP!BF105</f>
        <v>0</v>
      </c>
      <c r="BG105" s="106">
        <f>+PMGR!BG105+BP!BG105</f>
        <v>0</v>
      </c>
      <c r="BH105" s="106">
        <f>+PMGR!BH105+BP!BH105</f>
        <v>0</v>
      </c>
      <c r="BI105" s="106">
        <f>+PMGR!BI105+BP!BI105</f>
        <v>112</v>
      </c>
      <c r="BJ105" s="106">
        <f>+PMGR!BJ105+BP!BJ105</f>
        <v>0</v>
      </c>
      <c r="BK105" s="106">
        <f>+PMGR!BK105+BP!BK105</f>
        <v>0</v>
      </c>
      <c r="BL105" s="106">
        <f>+PMGR!BL105+BP!BL105</f>
        <v>82562.59</v>
      </c>
      <c r="BM105" s="106">
        <f>+PMGR!BM105+BP!BM105</f>
        <v>415202.70999999996</v>
      </c>
      <c r="BN105" s="106">
        <f>+PMGR!BN105+BP!BN105</f>
        <v>11890.11</v>
      </c>
      <c r="BO105" s="106">
        <f>+PMGR!BO105+BP!BO105</f>
        <v>0</v>
      </c>
      <c r="BP105" s="106">
        <f>+PMGR!BP105+BP!BP105</f>
        <v>0</v>
      </c>
      <c r="BQ105" s="106">
        <f t="shared" ref="BQ105:BQ113" si="579">+SUM(BE105:BP105)</f>
        <v>551488.90999999992</v>
      </c>
      <c r="BR105" s="118"/>
      <c r="BS105" s="106">
        <f>+PMGR!BS105+BP!BS105</f>
        <v>11034.539381250002</v>
      </c>
      <c r="BT105" s="106">
        <f>+PMGR!BT105+BP!BT105</f>
        <v>10719.266827500001</v>
      </c>
      <c r="BU105" s="106">
        <f>+PMGR!BU105+BP!BU105</f>
        <v>9773.4491662500022</v>
      </c>
      <c r="BV105" s="106">
        <f>+PMGR!BV105+BP!BV105</f>
        <v>9443.0435299199999</v>
      </c>
      <c r="BW105" s="106">
        <f>+PMGR!BW105+BP!BW105</f>
        <v>10290.496154400002</v>
      </c>
      <c r="BX105" s="106">
        <f>+PMGR!BX105+BP!BX105</f>
        <v>10593.157805999999</v>
      </c>
      <c r="BY105" s="106">
        <f>+PMGR!BY105+BP!BY105</f>
        <v>10895.819457600002</v>
      </c>
      <c r="BZ105" s="106">
        <f>+PMGR!BZ105+BP!BZ105</f>
        <v>11236.313815650003</v>
      </c>
      <c r="CA105" s="106">
        <f>+PMGR!CA105+BP!CA105</f>
        <v>11917.302531750001</v>
      </c>
      <c r="CB105" s="106">
        <f>+PMGR!CB105+BP!CB105</f>
        <v>10593.157805999999</v>
      </c>
      <c r="CC105" s="106">
        <f>+PMGR!CC105+BP!CC105</f>
        <v>8474.526244800003</v>
      </c>
      <c r="CD105" s="106">
        <f>+PMGR!CD105+BP!CD105</f>
        <v>11198.4811092</v>
      </c>
      <c r="CE105" s="106">
        <f t="shared" ref="CE105:CE113" si="580">+SUM(BS105:CD105)</f>
        <v>126169.55383032002</v>
      </c>
      <c r="CF105" s="106"/>
      <c r="CG105" s="106">
        <f>+PMGR!CG105+BP!CG105</f>
        <v>1724.4999999999998</v>
      </c>
      <c r="CH105" s="106">
        <f>+PMGR!CH105+BP!CH105</f>
        <v>0</v>
      </c>
      <c r="CI105" s="106">
        <f>+PMGR!CI105+BP!CI105</f>
        <v>999</v>
      </c>
      <c r="CJ105" s="106">
        <f>+PMGR!CJ105+BP!CJ105</f>
        <v>239</v>
      </c>
      <c r="CK105" s="106">
        <f>+PMGR!CK105+BP!CK105</f>
        <v>0</v>
      </c>
      <c r="CL105" s="106">
        <f>+PMGR!CL105+BP!CL105</f>
        <v>1400</v>
      </c>
      <c r="CM105" s="106">
        <f>+PMGR!CM105+BP!CM105</f>
        <v>0</v>
      </c>
      <c r="CN105" s="106">
        <f>+PMGR!CN105+BP!CN105</f>
        <v>0</v>
      </c>
      <c r="CO105" s="106">
        <f>+PMGR!CO105+BP!CO105</f>
        <v>2346</v>
      </c>
      <c r="CP105" s="106">
        <f>+PMGR!CP105+BP!CP105</f>
        <v>0</v>
      </c>
      <c r="CQ105" s="106">
        <f>+PMGR!CQ105+BP!CQ105</f>
        <v>1360</v>
      </c>
      <c r="CR105" s="106">
        <f>+PMGR!CR105+BP!CR105</f>
        <v>0</v>
      </c>
      <c r="CS105" s="106">
        <f t="shared" ref="CS105:CS113" si="581">+SUM(CG105:CR105)</f>
        <v>8068.5</v>
      </c>
      <c r="CT105" s="16" t="str">
        <f t="shared" si="409"/>
        <v>CRM Activities</v>
      </c>
      <c r="CU105" s="106">
        <f>+PMGR!CU105+BP!CU105</f>
        <v>0</v>
      </c>
      <c r="CV105" s="106">
        <f>+PMGR!CV105+BP!CV105</f>
        <v>0</v>
      </c>
      <c r="CW105" s="106">
        <f>+PMGR!CW105+BP!CW105</f>
        <v>0</v>
      </c>
      <c r="CX105" s="106">
        <f>+PMGR!CX105+BP!CX105</f>
        <v>1928</v>
      </c>
      <c r="CY105" s="106">
        <f>+PMGR!CY105+BP!CY105</f>
        <v>0</v>
      </c>
      <c r="CZ105" s="106">
        <f>+PMGR!CZ105+BP!CZ105</f>
        <v>500</v>
      </c>
      <c r="DA105" s="106">
        <f>+PMGR!DA105+BP!DA105</f>
        <v>0</v>
      </c>
      <c r="DB105" s="106">
        <f>+PMGR!DB105+BP!DB105</f>
        <v>18229.68</v>
      </c>
      <c r="DC105" s="106">
        <f>+PMGR!DC105+BP!DC105</f>
        <v>43841.69</v>
      </c>
      <c r="DD105" s="106">
        <f>+PMGR!DD105+BP!DD105</f>
        <v>26198.89</v>
      </c>
      <c r="DE105" s="106">
        <f>+PMGR!DE105+BP!DE105</f>
        <v>0</v>
      </c>
      <c r="DF105" s="106">
        <f>+PMGR!DF105+BP!DF105</f>
        <v>0</v>
      </c>
      <c r="DG105" s="106">
        <f t="shared" ref="DG105:DG113" si="582">+SUM(CU105:DF105)</f>
        <v>90698.260000000009</v>
      </c>
      <c r="DH105" s="118"/>
      <c r="DI105" s="106">
        <f>+PMGR!DI105+BP!DI105</f>
        <v>3581.6976000000004</v>
      </c>
      <c r="DJ105" s="106">
        <f>+PMGR!DJ105+BP!DJ105</f>
        <v>3820.4774400000006</v>
      </c>
      <c r="DK105" s="106">
        <f>+PMGR!DK105+BP!DK105</f>
        <v>4536.816960000001</v>
      </c>
      <c r="DL105" s="106">
        <f>+PMGR!DL105+BP!DL105</f>
        <v>2525.5560000000005</v>
      </c>
      <c r="DM105" s="106">
        <f>+PMGR!DM105+BP!DM105</f>
        <v>3535.7784000000006</v>
      </c>
      <c r="DN105" s="106">
        <f>+PMGR!DN105+BP!DN105</f>
        <v>4040.8896000000004</v>
      </c>
      <c r="DO105" s="106">
        <f>+PMGR!DO105+BP!DO105</f>
        <v>3857.2128000000002</v>
      </c>
      <c r="DP105" s="106">
        <f>+PMGR!DP105+BP!DP105</f>
        <v>4821.5159999999996</v>
      </c>
      <c r="DQ105" s="106">
        <f>+PMGR!DQ105+BP!DQ105</f>
        <v>5097.0311999999994</v>
      </c>
      <c r="DR105" s="106">
        <f>+PMGR!DR105+BP!DR105</f>
        <v>3535.7784000000006</v>
      </c>
      <c r="DS105" s="106">
        <f>+PMGR!DS105+BP!DS105</f>
        <v>2828.6227200000003</v>
      </c>
      <c r="DT105" s="106">
        <f>+PMGR!DT105+BP!DT105</f>
        <v>3737.8228800000002</v>
      </c>
      <c r="DU105" s="106">
        <f t="shared" ref="DU105:DU113" si="583">+SUM(DI105:DT105)</f>
        <v>45919.200000000004</v>
      </c>
      <c r="DV105" s="106"/>
      <c r="DW105" s="106">
        <f>+PMGR!DW105+BP!DW105</f>
        <v>0</v>
      </c>
      <c r="DX105" s="106">
        <f>+PMGR!DX105+BP!DX105</f>
        <v>0</v>
      </c>
      <c r="DY105" s="106">
        <f>+PMGR!DY105+BP!DY105</f>
        <v>0</v>
      </c>
      <c r="DZ105" s="106">
        <f>+PMGR!DZ105+BP!DZ105</f>
        <v>0</v>
      </c>
      <c r="EA105" s="106">
        <f>+PMGR!EA105+BP!EA105</f>
        <v>0</v>
      </c>
      <c r="EB105" s="106">
        <f>+PMGR!EB105+BP!EB105</f>
        <v>0</v>
      </c>
      <c r="EC105" s="106">
        <f>+PMGR!EC105+BP!EC105</f>
        <v>0</v>
      </c>
      <c r="ED105" s="106">
        <f>+PMGR!ED105+BP!ED105</f>
        <v>0</v>
      </c>
      <c r="EE105" s="106">
        <f>+PMGR!EE105+BP!EE105</f>
        <v>0</v>
      </c>
      <c r="EF105" s="106">
        <f>+PMGR!EF105+BP!EF105</f>
        <v>0</v>
      </c>
      <c r="EG105" s="106">
        <f>+PMGR!EG105+BP!EG105</f>
        <v>0</v>
      </c>
      <c r="EH105" s="106">
        <f>+PMGR!EH105+BP!EH105</f>
        <v>0</v>
      </c>
      <c r="EI105" s="106">
        <f t="shared" ref="EI105:EI113" si="584">+SUM(DW105:EH105)</f>
        <v>0</v>
      </c>
      <c r="EJ105" s="16" t="str">
        <f t="shared" si="457"/>
        <v>CRM Activities</v>
      </c>
      <c r="EK105" s="106">
        <f>+PMGR!EK105+BP!EK105</f>
        <v>0</v>
      </c>
      <c r="EL105" s="106">
        <f>+PMGR!EL105+BP!EL105</f>
        <v>1500</v>
      </c>
      <c r="EM105" s="106">
        <f>+PMGR!EM105+BP!EM105</f>
        <v>0</v>
      </c>
      <c r="EN105" s="106">
        <f>+PMGR!EN105+BP!EN105</f>
        <v>0</v>
      </c>
      <c r="EO105" s="106">
        <f>+PMGR!EO105+BP!EO105</f>
        <v>0</v>
      </c>
      <c r="EP105" s="106">
        <f>+PMGR!EP105+BP!EP105</f>
        <v>0</v>
      </c>
      <c r="EQ105" s="106">
        <f>+PMGR!EQ105+BP!EQ105</f>
        <v>0</v>
      </c>
      <c r="ER105" s="106">
        <f>+PMGR!ER105+BP!ER105</f>
        <v>0</v>
      </c>
      <c r="ES105" s="106">
        <f>+PMGR!ES105+BP!ES105</f>
        <v>0</v>
      </c>
      <c r="ET105" s="106">
        <f>+PMGR!ET105+BP!ET105</f>
        <v>0</v>
      </c>
      <c r="EU105" s="106">
        <f>+PMGR!EU105+BP!EU105</f>
        <v>0</v>
      </c>
      <c r="EV105" s="106">
        <f>+PMGR!EV105+BP!EV105</f>
        <v>0</v>
      </c>
      <c r="EW105" s="106">
        <f t="shared" ref="EW105:EW113" si="585">+SUM(EK105:EV105)</f>
        <v>1500</v>
      </c>
      <c r="EX105" s="118"/>
      <c r="EY105" s="106">
        <f>+PMGR!EY105+BP!EY105</f>
        <v>1746.3600000000001</v>
      </c>
      <c r="EZ105" s="106">
        <f>+PMGR!EZ105+BP!EZ105</f>
        <v>1629.9360000000006</v>
      </c>
      <c r="FA105" s="106">
        <f>+PMGR!FA105+BP!FA105</f>
        <v>1819.1250000000005</v>
      </c>
      <c r="FB105" s="106">
        <f>+PMGR!FB105+BP!FB105</f>
        <v>1629.9360000000006</v>
      </c>
      <c r="FC105" s="106">
        <f>+PMGR!FC105+BP!FC105</f>
        <v>1940.4</v>
      </c>
      <c r="FD105" s="106">
        <f>+PMGR!FD105+BP!FD105</f>
        <v>1940.4</v>
      </c>
      <c r="FE105" s="106">
        <f>+PMGR!FE105+BP!FE105</f>
        <v>2182.9500000000007</v>
      </c>
      <c r="FF105" s="106">
        <f>+PMGR!FF105+BP!FF105</f>
        <v>2102.1000000000004</v>
      </c>
      <c r="FG105" s="106">
        <f>+PMGR!FG105+BP!FG105</f>
        <v>2008.3140000000005</v>
      </c>
      <c r="FH105" s="106">
        <f>+PMGR!FH105+BP!FH105</f>
        <v>2263.8000000000002</v>
      </c>
      <c r="FI105" s="106">
        <f>+PMGR!FI105+BP!FI105</f>
        <v>2344.65</v>
      </c>
      <c r="FJ105" s="106">
        <f>+PMGR!FJ105+BP!FJ105</f>
        <v>2522.5200000000004</v>
      </c>
      <c r="FK105" s="106">
        <f t="shared" ref="FK105:FK113" si="586">+SUM(EY105:FJ105)</f>
        <v>24130.491000000005</v>
      </c>
    </row>
    <row r="106" spans="1:167" ht="14.45" hidden="1" customHeight="1" outlineLevel="1">
      <c r="A106" s="106">
        <f t="shared" si="572"/>
        <v>29180</v>
      </c>
      <c r="B106" s="106">
        <f t="shared" si="572"/>
        <v>21651</v>
      </c>
      <c r="C106" s="106">
        <f t="shared" si="572"/>
        <v>30000</v>
      </c>
      <c r="D106" s="106">
        <f t="shared" si="572"/>
        <v>71500</v>
      </c>
      <c r="E106" s="106">
        <f t="shared" si="572"/>
        <v>63500</v>
      </c>
      <c r="F106" s="106">
        <f t="shared" si="572"/>
        <v>30000</v>
      </c>
      <c r="G106" s="106">
        <f t="shared" si="572"/>
        <v>30000</v>
      </c>
      <c r="H106" s="106">
        <f t="shared" si="572"/>
        <v>31485</v>
      </c>
      <c r="I106" s="106">
        <f t="shared" si="572"/>
        <v>70400</v>
      </c>
      <c r="J106" s="106">
        <f t="shared" si="572"/>
        <v>35000</v>
      </c>
      <c r="K106" s="106">
        <f t="shared" si="572"/>
        <v>28000</v>
      </c>
      <c r="L106" s="106">
        <f t="shared" si="572"/>
        <v>0</v>
      </c>
      <c r="M106" s="106">
        <f t="shared" si="573"/>
        <v>440716</v>
      </c>
      <c r="N106" s="16" t="s">
        <v>86</v>
      </c>
      <c r="O106" s="106">
        <f t="shared" si="574"/>
        <v>0</v>
      </c>
      <c r="P106" s="106">
        <f t="shared" si="574"/>
        <v>10350</v>
      </c>
      <c r="Q106" s="106">
        <f t="shared" si="574"/>
        <v>31825</v>
      </c>
      <c r="R106" s="106">
        <f t="shared" si="574"/>
        <v>78210.820000000007</v>
      </c>
      <c r="S106" s="106">
        <f t="shared" si="574"/>
        <v>0</v>
      </c>
      <c r="T106" s="106">
        <f t="shared" si="574"/>
        <v>39526.43</v>
      </c>
      <c r="U106" s="106">
        <f t="shared" si="574"/>
        <v>13500</v>
      </c>
      <c r="V106" s="106">
        <f t="shared" si="574"/>
        <v>19935</v>
      </c>
      <c r="W106" s="106">
        <f t="shared" si="574"/>
        <v>0</v>
      </c>
      <c r="X106" s="106">
        <f t="shared" si="574"/>
        <v>58500</v>
      </c>
      <c r="Y106" s="106">
        <f t="shared" si="574"/>
        <v>0</v>
      </c>
      <c r="Z106" s="106">
        <f t="shared" si="574"/>
        <v>0</v>
      </c>
      <c r="AA106" s="106">
        <f t="shared" si="575"/>
        <v>251847.25</v>
      </c>
      <c r="AB106" s="118"/>
      <c r="AC106" s="106">
        <f t="shared" si="576"/>
        <v>142363.81134000001</v>
      </c>
      <c r="AD106" s="106">
        <f t="shared" si="576"/>
        <v>139765.98836000002</v>
      </c>
      <c r="AE106" s="106">
        <f t="shared" si="576"/>
        <v>140619.3983</v>
      </c>
      <c r="AF106" s="106">
        <f t="shared" si="576"/>
        <v>118870.10305999999</v>
      </c>
      <c r="AG106" s="106">
        <f t="shared" si="576"/>
        <v>135482.06038000001</v>
      </c>
      <c r="AH106" s="106">
        <f t="shared" si="576"/>
        <v>142402.35872000002</v>
      </c>
      <c r="AI106" s="106">
        <f t="shared" si="576"/>
        <v>146485.20060000001</v>
      </c>
      <c r="AJ106" s="106">
        <f t="shared" si="576"/>
        <v>151354.00104000003</v>
      </c>
      <c r="AK106" s="106">
        <f t="shared" si="576"/>
        <v>156273.78636000003</v>
      </c>
      <c r="AL106" s="106">
        <f t="shared" si="576"/>
        <v>134490.95110000001</v>
      </c>
      <c r="AM106" s="106">
        <f t="shared" si="576"/>
        <v>119938.53608000002</v>
      </c>
      <c r="AN106" s="106">
        <f t="shared" si="576"/>
        <v>147144.69481999998</v>
      </c>
      <c r="AO106" s="106">
        <f t="shared" si="577"/>
        <v>1675190.89016</v>
      </c>
      <c r="AP106" s="106"/>
      <c r="AQ106" s="106">
        <f>+PMGR!AQ106+BP!AQ106</f>
        <v>26120</v>
      </c>
      <c r="AR106" s="106">
        <f>+PMGR!AR106+BP!AR106</f>
        <v>19151</v>
      </c>
      <c r="AS106" s="106">
        <f>+PMGR!AS106+BP!AS106</f>
        <v>30000</v>
      </c>
      <c r="AT106" s="106">
        <f>+PMGR!AT106+BP!AT106</f>
        <v>71500</v>
      </c>
      <c r="AU106" s="106">
        <f>+PMGR!AU106+BP!AU106</f>
        <v>63500</v>
      </c>
      <c r="AV106" s="106">
        <f>+PMGR!AV106+BP!AV106</f>
        <v>30000</v>
      </c>
      <c r="AW106" s="106">
        <f>+PMGR!AW106+BP!AW106</f>
        <v>30000</v>
      </c>
      <c r="AX106" s="106">
        <f>+PMGR!AX106+BP!AX106</f>
        <v>31485</v>
      </c>
      <c r="AY106" s="106">
        <f>+PMGR!AY106+BP!AY106</f>
        <v>70400</v>
      </c>
      <c r="AZ106" s="106">
        <f>+PMGR!AZ106+BP!AZ106</f>
        <v>35000</v>
      </c>
      <c r="BA106" s="106">
        <f>+PMGR!BA106+BP!BA106</f>
        <v>28000</v>
      </c>
      <c r="BB106" s="106">
        <f>+PMGR!BB106+BP!BB106</f>
        <v>0</v>
      </c>
      <c r="BC106" s="106">
        <f t="shared" si="578"/>
        <v>435156</v>
      </c>
      <c r="BD106" s="16" t="str">
        <f t="shared" si="405"/>
        <v>Digital Marketing</v>
      </c>
      <c r="BE106" s="106">
        <f>+PMGR!BE106+BP!BE106</f>
        <v>0</v>
      </c>
      <c r="BF106" s="106">
        <f>+PMGR!BF106+BP!BF106</f>
        <v>6900</v>
      </c>
      <c r="BG106" s="106">
        <f>+PMGR!BG106+BP!BG106</f>
        <v>24550</v>
      </c>
      <c r="BH106" s="106">
        <f>+PMGR!BH106+BP!BH106</f>
        <v>62760.82</v>
      </c>
      <c r="BI106" s="106">
        <f>+PMGR!BI106+BP!BI106</f>
        <v>0</v>
      </c>
      <c r="BJ106" s="106">
        <f>+PMGR!BJ106+BP!BJ106</f>
        <v>24638.215</v>
      </c>
      <c r="BK106" s="106">
        <f>+PMGR!BK106+BP!BK106</f>
        <v>9000</v>
      </c>
      <c r="BL106" s="106">
        <f>+PMGR!BL106+BP!BL106</f>
        <v>13290</v>
      </c>
      <c r="BM106" s="106">
        <f>+PMGR!BM106+BP!BM106</f>
        <v>0</v>
      </c>
      <c r="BN106" s="106">
        <f>+PMGR!BN106+BP!BN106</f>
        <v>45000</v>
      </c>
      <c r="BO106" s="106">
        <f>+PMGR!BO106+BP!BO106</f>
        <v>0</v>
      </c>
      <c r="BP106" s="106">
        <f>+PMGR!BP106+BP!BP106</f>
        <v>0</v>
      </c>
      <c r="BQ106" s="106">
        <f t="shared" si="579"/>
        <v>186139.035</v>
      </c>
      <c r="BR106" s="118"/>
      <c r="BS106" s="106">
        <f>+PMGR!BS106+BP!BS106</f>
        <v>84098.935500000007</v>
      </c>
      <c r="BT106" s="106">
        <f>+PMGR!BT106+BP!BT106</f>
        <v>82052.056200000021</v>
      </c>
      <c r="BU106" s="106">
        <f>+PMGR!BU106+BP!BU106</f>
        <v>75911.41829999999</v>
      </c>
      <c r="BV106" s="106">
        <f>+PMGR!BV106+BP!BV106</f>
        <v>71406.444959999993</v>
      </c>
      <c r="BW106" s="106">
        <f>+PMGR!BW106+BP!BW106</f>
        <v>78632.359200000006</v>
      </c>
      <c r="BX106" s="106">
        <f>+PMGR!BX106+BP!BX106</f>
        <v>81363.635999999999</v>
      </c>
      <c r="BY106" s="106">
        <f>+PMGR!BY106+BP!BY106</f>
        <v>83376.172800000015</v>
      </c>
      <c r="BZ106" s="106">
        <f>+PMGR!BZ106+BP!BZ106</f>
        <v>86862.134700000024</v>
      </c>
      <c r="CA106" s="106">
        <f>+PMGR!CA106+BP!CA106</f>
        <v>92109.082500000019</v>
      </c>
      <c r="CB106" s="106">
        <f>+PMGR!CB106+BP!CB106</f>
        <v>80836.56</v>
      </c>
      <c r="CC106" s="106">
        <f>+PMGR!CC106+BP!CC106</f>
        <v>64669.248000000007</v>
      </c>
      <c r="CD106" s="106">
        <f>+PMGR!CD106+BP!CD106</f>
        <v>85455.791999999987</v>
      </c>
      <c r="CE106" s="106">
        <f t="shared" si="580"/>
        <v>966773.84016000014</v>
      </c>
      <c r="CF106" s="106"/>
      <c r="CG106" s="106">
        <f>+PMGR!CG106+BP!CG106</f>
        <v>3060</v>
      </c>
      <c r="CH106" s="106">
        <f>+PMGR!CH106+BP!CH106</f>
        <v>2500</v>
      </c>
      <c r="CI106" s="106">
        <f>+PMGR!CI106+BP!CI106</f>
        <v>0</v>
      </c>
      <c r="CJ106" s="106">
        <f>+PMGR!CJ106+BP!CJ106</f>
        <v>0</v>
      </c>
      <c r="CK106" s="106">
        <f>+PMGR!CK106+BP!CK106</f>
        <v>0</v>
      </c>
      <c r="CL106" s="106">
        <f>+PMGR!CL106+BP!CL106</f>
        <v>0</v>
      </c>
      <c r="CM106" s="106">
        <f>+PMGR!CM106+BP!CM106</f>
        <v>0</v>
      </c>
      <c r="CN106" s="106">
        <f>+PMGR!CN106+BP!CN106</f>
        <v>0</v>
      </c>
      <c r="CO106" s="106">
        <f>+PMGR!CO106+BP!CO106</f>
        <v>0</v>
      </c>
      <c r="CP106" s="106">
        <f>+PMGR!CP106+BP!CP106</f>
        <v>0</v>
      </c>
      <c r="CQ106" s="106">
        <f>+PMGR!CQ106+BP!CQ106</f>
        <v>0</v>
      </c>
      <c r="CR106" s="106">
        <f>+PMGR!CR106+BP!CR106</f>
        <v>0</v>
      </c>
      <c r="CS106" s="106">
        <f t="shared" si="581"/>
        <v>5560</v>
      </c>
      <c r="CT106" s="16" t="str">
        <f t="shared" si="409"/>
        <v>Digital Marketing</v>
      </c>
      <c r="CU106" s="106">
        <f>+PMGR!CU106+BP!CU106</f>
        <v>0</v>
      </c>
      <c r="CV106" s="106">
        <f>+PMGR!CV106+BP!CV106</f>
        <v>3450</v>
      </c>
      <c r="CW106" s="106">
        <f>+PMGR!CW106+BP!CW106</f>
        <v>7275</v>
      </c>
      <c r="CX106" s="106">
        <f>+PMGR!CX106+BP!CX106</f>
        <v>15450</v>
      </c>
      <c r="CY106" s="106">
        <f>+PMGR!CY106+BP!CY106</f>
        <v>0</v>
      </c>
      <c r="CZ106" s="106">
        <f>+PMGR!CZ106+BP!CZ106</f>
        <v>12832.929</v>
      </c>
      <c r="DA106" s="106">
        <f>+PMGR!DA106+BP!DA106</f>
        <v>4500</v>
      </c>
      <c r="DB106" s="106">
        <f>+PMGR!DB106+BP!DB106</f>
        <v>6645</v>
      </c>
      <c r="DC106" s="106">
        <f>+PMGR!DC106+BP!DC106</f>
        <v>0</v>
      </c>
      <c r="DD106" s="106">
        <f>+PMGR!DD106+BP!DD106</f>
        <v>13500</v>
      </c>
      <c r="DE106" s="106">
        <f>+PMGR!DE106+BP!DE106</f>
        <v>0</v>
      </c>
      <c r="DF106" s="106">
        <f>+PMGR!DF106+BP!DF106</f>
        <v>0</v>
      </c>
      <c r="DG106" s="106">
        <f t="shared" si="582"/>
        <v>63652.929000000004</v>
      </c>
      <c r="DH106" s="118"/>
      <c r="DI106" s="106">
        <f>+PMGR!DI106+BP!DI106</f>
        <v>52594.875840000008</v>
      </c>
      <c r="DJ106" s="106">
        <f>+PMGR!DJ106+BP!DJ106</f>
        <v>52421.932160000004</v>
      </c>
      <c r="DK106" s="106">
        <f>+PMGR!DK106+BP!DK106</f>
        <v>58801.729999999996</v>
      </c>
      <c r="DL106" s="106">
        <f>+PMGR!DL106+BP!DL106</f>
        <v>42171.658100000001</v>
      </c>
      <c r="DM106" s="106">
        <f>+PMGR!DM106+BP!DM106</f>
        <v>50549.701180000004</v>
      </c>
      <c r="DN106" s="106">
        <f>+PMGR!DN106+BP!DN106</f>
        <v>54738.722720000005</v>
      </c>
      <c r="DO106" s="106">
        <f>+PMGR!DO106+BP!DO106</f>
        <v>56021.527800000003</v>
      </c>
      <c r="DP106" s="106">
        <f>+PMGR!DP106+BP!DP106</f>
        <v>57666.866340000008</v>
      </c>
      <c r="DQ106" s="106">
        <f>+PMGR!DQ106+BP!DQ106</f>
        <v>57644.203860000009</v>
      </c>
      <c r="DR106" s="106">
        <f>+PMGR!DR106+BP!DR106</f>
        <v>46304.391100000001</v>
      </c>
      <c r="DS106" s="106">
        <f>+PMGR!DS106+BP!DS106</f>
        <v>47656.788080000006</v>
      </c>
      <c r="DT106" s="106">
        <f>+PMGR!DT106+BP!DT106</f>
        <v>53498.902819999996</v>
      </c>
      <c r="DU106" s="106">
        <f t="shared" si="583"/>
        <v>630071.29999999993</v>
      </c>
      <c r="DV106" s="106"/>
      <c r="DW106" s="106">
        <f>+PMGR!DW106+BP!DW106</f>
        <v>0</v>
      </c>
      <c r="DX106" s="106">
        <f>+PMGR!DX106+BP!DX106</f>
        <v>0</v>
      </c>
      <c r="DY106" s="106">
        <f>+PMGR!DY106+BP!DY106</f>
        <v>0</v>
      </c>
      <c r="DZ106" s="106">
        <f>+PMGR!DZ106+BP!DZ106</f>
        <v>0</v>
      </c>
      <c r="EA106" s="106">
        <f>+PMGR!EA106+BP!EA106</f>
        <v>0</v>
      </c>
      <c r="EB106" s="106">
        <f>+PMGR!EB106+BP!EB106</f>
        <v>0</v>
      </c>
      <c r="EC106" s="106">
        <f>+PMGR!EC106+BP!EC106</f>
        <v>0</v>
      </c>
      <c r="ED106" s="106">
        <f>+PMGR!ED106+BP!ED106</f>
        <v>0</v>
      </c>
      <c r="EE106" s="106">
        <f>+PMGR!EE106+BP!EE106</f>
        <v>0</v>
      </c>
      <c r="EF106" s="106">
        <f>+PMGR!EF106+BP!EF106</f>
        <v>0</v>
      </c>
      <c r="EG106" s="106">
        <f>+PMGR!EG106+BP!EG106</f>
        <v>0</v>
      </c>
      <c r="EH106" s="106">
        <f>+PMGR!EH106+BP!EH106</f>
        <v>0</v>
      </c>
      <c r="EI106" s="106">
        <f t="shared" si="584"/>
        <v>0</v>
      </c>
      <c r="EJ106" s="16" t="str">
        <f t="shared" si="457"/>
        <v>Digital Marketing</v>
      </c>
      <c r="EK106" s="106">
        <f>+PMGR!EK106+BP!EK106</f>
        <v>0</v>
      </c>
      <c r="EL106" s="106">
        <f>+PMGR!EL106+BP!EL106</f>
        <v>0</v>
      </c>
      <c r="EM106" s="106">
        <f>+PMGR!EM106+BP!EM106</f>
        <v>0</v>
      </c>
      <c r="EN106" s="106">
        <f>+PMGR!EN106+BP!EN106</f>
        <v>0</v>
      </c>
      <c r="EO106" s="106">
        <f>+PMGR!EO106+BP!EO106</f>
        <v>0</v>
      </c>
      <c r="EP106" s="106">
        <f>+PMGR!EP106+BP!EP106</f>
        <v>2055.2860000000001</v>
      </c>
      <c r="EQ106" s="106">
        <f>+PMGR!EQ106+BP!EQ106</f>
        <v>0</v>
      </c>
      <c r="ER106" s="106">
        <f>+PMGR!ER106+BP!ER106</f>
        <v>0</v>
      </c>
      <c r="ES106" s="106">
        <f>+PMGR!ES106+BP!ES106</f>
        <v>0</v>
      </c>
      <c r="ET106" s="106">
        <f>+PMGR!ET106+BP!ET106</f>
        <v>0</v>
      </c>
      <c r="EU106" s="106">
        <f>+PMGR!EU106+BP!EU106</f>
        <v>0</v>
      </c>
      <c r="EV106" s="106">
        <f>+PMGR!EV106+BP!EV106</f>
        <v>0</v>
      </c>
      <c r="EW106" s="106">
        <f t="shared" si="585"/>
        <v>2055.2860000000001</v>
      </c>
      <c r="EX106" s="118"/>
      <c r="EY106" s="106">
        <f>+PMGR!EY106+BP!EY106</f>
        <v>5670</v>
      </c>
      <c r="EZ106" s="106">
        <f>+PMGR!EZ106+BP!EZ106</f>
        <v>5292.0000000000009</v>
      </c>
      <c r="FA106" s="106">
        <f>+PMGR!FA106+BP!FA106</f>
        <v>5906.2500000000009</v>
      </c>
      <c r="FB106" s="106">
        <f>+PMGR!FB106+BP!FB106</f>
        <v>5292.0000000000009</v>
      </c>
      <c r="FC106" s="106">
        <f>+PMGR!FC106+BP!FC106</f>
        <v>6300</v>
      </c>
      <c r="FD106" s="106">
        <f>+PMGR!FD106+BP!FD106</f>
        <v>6300</v>
      </c>
      <c r="FE106" s="106">
        <f>+PMGR!FE106+BP!FE106</f>
        <v>7087.5000000000009</v>
      </c>
      <c r="FF106" s="106">
        <f>+PMGR!FF106+BP!FF106</f>
        <v>6825.0000000000009</v>
      </c>
      <c r="FG106" s="106">
        <f>+PMGR!FG106+BP!FG106</f>
        <v>6520.5000000000009</v>
      </c>
      <c r="FH106" s="106">
        <f>+PMGR!FH106+BP!FH106</f>
        <v>7350</v>
      </c>
      <c r="FI106" s="106">
        <f>+PMGR!FI106+BP!FI106</f>
        <v>7612.5</v>
      </c>
      <c r="FJ106" s="106">
        <f>+PMGR!FJ106+BP!FJ106</f>
        <v>8190.0000000000009</v>
      </c>
      <c r="FK106" s="106">
        <f t="shared" si="586"/>
        <v>78345.75</v>
      </c>
    </row>
    <row r="107" spans="1:167" ht="14.45" hidden="1" customHeight="1" outlineLevel="1">
      <c r="A107" s="106">
        <f t="shared" si="572"/>
        <v>0</v>
      </c>
      <c r="B107" s="106">
        <f t="shared" si="572"/>
        <v>0</v>
      </c>
      <c r="C107" s="106">
        <f t="shared" si="572"/>
        <v>0</v>
      </c>
      <c r="D107" s="106">
        <f t="shared" si="572"/>
        <v>0</v>
      </c>
      <c r="E107" s="106">
        <f t="shared" si="572"/>
        <v>0</v>
      </c>
      <c r="F107" s="106">
        <f t="shared" si="572"/>
        <v>0</v>
      </c>
      <c r="G107" s="106">
        <f t="shared" si="572"/>
        <v>0</v>
      </c>
      <c r="H107" s="106">
        <f t="shared" si="572"/>
        <v>0</v>
      </c>
      <c r="I107" s="106">
        <f t="shared" si="572"/>
        <v>0</v>
      </c>
      <c r="J107" s="106">
        <f t="shared" si="572"/>
        <v>0</v>
      </c>
      <c r="K107" s="106">
        <f t="shared" si="572"/>
        <v>0</v>
      </c>
      <c r="L107" s="106">
        <f t="shared" si="572"/>
        <v>0</v>
      </c>
      <c r="M107" s="106">
        <f t="shared" si="573"/>
        <v>0</v>
      </c>
      <c r="N107" s="16" t="s">
        <v>87</v>
      </c>
      <c r="O107" s="106">
        <f t="shared" si="574"/>
        <v>0</v>
      </c>
      <c r="P107" s="106">
        <f t="shared" si="574"/>
        <v>0</v>
      </c>
      <c r="Q107" s="106">
        <f t="shared" si="574"/>
        <v>0</v>
      </c>
      <c r="R107" s="106">
        <f t="shared" si="574"/>
        <v>0</v>
      </c>
      <c r="S107" s="106">
        <f t="shared" si="574"/>
        <v>0</v>
      </c>
      <c r="T107" s="106">
        <f t="shared" si="574"/>
        <v>0</v>
      </c>
      <c r="U107" s="106">
        <f t="shared" si="574"/>
        <v>0</v>
      </c>
      <c r="V107" s="106">
        <f t="shared" si="574"/>
        <v>0</v>
      </c>
      <c r="W107" s="106">
        <f t="shared" si="574"/>
        <v>0</v>
      </c>
      <c r="X107" s="106">
        <f t="shared" si="574"/>
        <v>0</v>
      </c>
      <c r="Y107" s="106">
        <f t="shared" si="574"/>
        <v>0</v>
      </c>
      <c r="Z107" s="106">
        <f t="shared" si="574"/>
        <v>0</v>
      </c>
      <c r="AA107" s="106">
        <f t="shared" si="575"/>
        <v>0</v>
      </c>
      <c r="AB107" s="118"/>
      <c r="AC107" s="106">
        <f t="shared" si="576"/>
        <v>0</v>
      </c>
      <c r="AD107" s="106">
        <f t="shared" si="576"/>
        <v>0</v>
      </c>
      <c r="AE107" s="106">
        <f t="shared" si="576"/>
        <v>0</v>
      </c>
      <c r="AF107" s="106">
        <f t="shared" si="576"/>
        <v>0</v>
      </c>
      <c r="AG107" s="106">
        <f t="shared" si="576"/>
        <v>0</v>
      </c>
      <c r="AH107" s="106">
        <f t="shared" si="576"/>
        <v>0</v>
      </c>
      <c r="AI107" s="106">
        <f t="shared" si="576"/>
        <v>0</v>
      </c>
      <c r="AJ107" s="106">
        <f t="shared" si="576"/>
        <v>0</v>
      </c>
      <c r="AK107" s="106">
        <f t="shared" si="576"/>
        <v>0</v>
      </c>
      <c r="AL107" s="106">
        <f t="shared" si="576"/>
        <v>0</v>
      </c>
      <c r="AM107" s="106">
        <f t="shared" si="576"/>
        <v>0</v>
      </c>
      <c r="AN107" s="106">
        <f t="shared" si="576"/>
        <v>0</v>
      </c>
      <c r="AO107" s="106">
        <f t="shared" si="577"/>
        <v>0</v>
      </c>
      <c r="AP107" s="106"/>
      <c r="AQ107" s="106">
        <f>+PMGR!AQ107+BP!AQ107</f>
        <v>0</v>
      </c>
      <c r="AR107" s="106">
        <f>+PMGR!AR107+BP!AR107</f>
        <v>0</v>
      </c>
      <c r="AS107" s="106">
        <f>+PMGR!AS107+BP!AS107</f>
        <v>0</v>
      </c>
      <c r="AT107" s="106">
        <f>+PMGR!AT107+BP!AT107</f>
        <v>0</v>
      </c>
      <c r="AU107" s="106">
        <f>+PMGR!AU107+BP!AU107</f>
        <v>0</v>
      </c>
      <c r="AV107" s="106">
        <f>+PMGR!AV107+BP!AV107</f>
        <v>0</v>
      </c>
      <c r="AW107" s="106">
        <f>+PMGR!AW107+BP!AW107</f>
        <v>0</v>
      </c>
      <c r="AX107" s="106">
        <f>+PMGR!AX107+BP!AX107</f>
        <v>0</v>
      </c>
      <c r="AY107" s="106">
        <f>+PMGR!AY107+BP!AY107</f>
        <v>0</v>
      </c>
      <c r="AZ107" s="106">
        <f>+PMGR!AZ107+BP!AZ107</f>
        <v>0</v>
      </c>
      <c r="BA107" s="106">
        <f>+PMGR!BA107+BP!BA107</f>
        <v>0</v>
      </c>
      <c r="BB107" s="106">
        <f>+PMGR!BB107+BP!BB107</f>
        <v>0</v>
      </c>
      <c r="BC107" s="106">
        <f t="shared" si="578"/>
        <v>0</v>
      </c>
      <c r="BD107" s="16" t="str">
        <f t="shared" si="405"/>
        <v>Flexi Kit</v>
      </c>
      <c r="BE107" s="106">
        <f>+PMGR!BE107+BP!BE107</f>
        <v>0</v>
      </c>
      <c r="BF107" s="106">
        <f>+PMGR!BF107+BP!BF107</f>
        <v>0</v>
      </c>
      <c r="BG107" s="106">
        <f>+PMGR!BG107+BP!BG107</f>
        <v>0</v>
      </c>
      <c r="BH107" s="106">
        <f>+PMGR!BH107+BP!BH107</f>
        <v>0</v>
      </c>
      <c r="BI107" s="106">
        <f>+PMGR!BI107+BP!BI107</f>
        <v>0</v>
      </c>
      <c r="BJ107" s="106">
        <f>+PMGR!BJ107+BP!BJ107</f>
        <v>0</v>
      </c>
      <c r="BK107" s="106">
        <f>+PMGR!BK107+BP!BK107</f>
        <v>0</v>
      </c>
      <c r="BL107" s="106">
        <f>+PMGR!BL107+BP!BL107</f>
        <v>0</v>
      </c>
      <c r="BM107" s="106">
        <f>+PMGR!BM107+BP!BM107</f>
        <v>0</v>
      </c>
      <c r="BN107" s="106">
        <f>+PMGR!BN107+BP!BN107</f>
        <v>0</v>
      </c>
      <c r="BO107" s="106">
        <f>+PMGR!BO107+BP!BO107</f>
        <v>0</v>
      </c>
      <c r="BP107" s="106">
        <f>+PMGR!BP107+BP!BP107</f>
        <v>0</v>
      </c>
      <c r="BQ107" s="106">
        <f t="shared" si="579"/>
        <v>0</v>
      </c>
      <c r="BR107" s="118"/>
      <c r="BS107" s="106">
        <f>+PMGR!BS107+BP!BS107</f>
        <v>0</v>
      </c>
      <c r="BT107" s="106">
        <f>+PMGR!BT107+BP!BT107</f>
        <v>0</v>
      </c>
      <c r="BU107" s="106">
        <f>+PMGR!BU107+BP!BU107</f>
        <v>0</v>
      </c>
      <c r="BV107" s="106">
        <f>+PMGR!BV107+BP!BV107</f>
        <v>0</v>
      </c>
      <c r="BW107" s="106">
        <f>+PMGR!BW107+BP!BW107</f>
        <v>0</v>
      </c>
      <c r="BX107" s="106">
        <f>+PMGR!BX107+BP!BX107</f>
        <v>0</v>
      </c>
      <c r="BY107" s="106">
        <f>+PMGR!BY107+BP!BY107</f>
        <v>0</v>
      </c>
      <c r="BZ107" s="106">
        <f>+PMGR!BZ107+BP!BZ107</f>
        <v>0</v>
      </c>
      <c r="CA107" s="106">
        <f>+PMGR!CA107+BP!CA107</f>
        <v>0</v>
      </c>
      <c r="CB107" s="106">
        <f>+PMGR!CB107+BP!CB107</f>
        <v>0</v>
      </c>
      <c r="CC107" s="106">
        <f>+PMGR!CC107+BP!CC107</f>
        <v>0</v>
      </c>
      <c r="CD107" s="106">
        <f>+PMGR!CD107+BP!CD107</f>
        <v>0</v>
      </c>
      <c r="CE107" s="106">
        <f t="shared" si="580"/>
        <v>0</v>
      </c>
      <c r="CF107" s="106"/>
      <c r="CG107" s="106">
        <f>+PMGR!CG107+BP!CG107</f>
        <v>0</v>
      </c>
      <c r="CH107" s="106">
        <f>+PMGR!CH107+BP!CH107</f>
        <v>0</v>
      </c>
      <c r="CI107" s="106">
        <f>+PMGR!CI107+BP!CI107</f>
        <v>0</v>
      </c>
      <c r="CJ107" s="106">
        <f>+PMGR!CJ107+BP!CJ107</f>
        <v>0</v>
      </c>
      <c r="CK107" s="106">
        <f>+PMGR!CK107+BP!CK107</f>
        <v>0</v>
      </c>
      <c r="CL107" s="106">
        <f>+PMGR!CL107+BP!CL107</f>
        <v>0</v>
      </c>
      <c r="CM107" s="106">
        <f>+PMGR!CM107+BP!CM107</f>
        <v>0</v>
      </c>
      <c r="CN107" s="106">
        <f>+PMGR!CN107+BP!CN107</f>
        <v>0</v>
      </c>
      <c r="CO107" s="106">
        <f>+PMGR!CO107+BP!CO107</f>
        <v>0</v>
      </c>
      <c r="CP107" s="106">
        <f>+PMGR!CP107+BP!CP107</f>
        <v>0</v>
      </c>
      <c r="CQ107" s="106">
        <f>+PMGR!CQ107+BP!CQ107</f>
        <v>0</v>
      </c>
      <c r="CR107" s="106">
        <f>+PMGR!CR107+BP!CR107</f>
        <v>0</v>
      </c>
      <c r="CS107" s="106">
        <f t="shared" si="581"/>
        <v>0</v>
      </c>
      <c r="CT107" s="16" t="str">
        <f t="shared" si="409"/>
        <v>Flexi Kit</v>
      </c>
      <c r="CU107" s="106">
        <f>+PMGR!CU107+BP!CU107</f>
        <v>0</v>
      </c>
      <c r="CV107" s="106">
        <f>+PMGR!CV107+BP!CV107</f>
        <v>0</v>
      </c>
      <c r="CW107" s="106">
        <f>+PMGR!CW107+BP!CW107</f>
        <v>0</v>
      </c>
      <c r="CX107" s="106">
        <f>+PMGR!CX107+BP!CX107</f>
        <v>0</v>
      </c>
      <c r="CY107" s="106">
        <f>+PMGR!CY107+BP!CY107</f>
        <v>0</v>
      </c>
      <c r="CZ107" s="106">
        <f>+PMGR!CZ107+BP!CZ107</f>
        <v>0</v>
      </c>
      <c r="DA107" s="106">
        <f>+PMGR!DA107+BP!DA107</f>
        <v>0</v>
      </c>
      <c r="DB107" s="106">
        <f>+PMGR!DB107+BP!DB107</f>
        <v>0</v>
      </c>
      <c r="DC107" s="106">
        <f>+PMGR!DC107+BP!DC107</f>
        <v>0</v>
      </c>
      <c r="DD107" s="106">
        <f>+PMGR!DD107+BP!DD107</f>
        <v>0</v>
      </c>
      <c r="DE107" s="106">
        <f>+PMGR!DE107+BP!DE107</f>
        <v>0</v>
      </c>
      <c r="DF107" s="106">
        <f>+PMGR!DF107+BP!DF107</f>
        <v>0</v>
      </c>
      <c r="DG107" s="106">
        <f t="shared" si="582"/>
        <v>0</v>
      </c>
      <c r="DH107" s="118"/>
      <c r="DI107" s="106">
        <f>+PMGR!DI107+BP!DI107</f>
        <v>0</v>
      </c>
      <c r="DJ107" s="106">
        <f>+PMGR!DJ107+BP!DJ107</f>
        <v>0</v>
      </c>
      <c r="DK107" s="106">
        <f>+PMGR!DK107+BP!DK107</f>
        <v>0</v>
      </c>
      <c r="DL107" s="106">
        <f>+PMGR!DL107+BP!DL107</f>
        <v>0</v>
      </c>
      <c r="DM107" s="106">
        <f>+PMGR!DM107+BP!DM107</f>
        <v>0</v>
      </c>
      <c r="DN107" s="106">
        <f>+PMGR!DN107+BP!DN107</f>
        <v>0</v>
      </c>
      <c r="DO107" s="106">
        <f>+PMGR!DO107+BP!DO107</f>
        <v>0</v>
      </c>
      <c r="DP107" s="106">
        <f>+PMGR!DP107+BP!DP107</f>
        <v>0</v>
      </c>
      <c r="DQ107" s="106">
        <f>+PMGR!DQ107+BP!DQ107</f>
        <v>0</v>
      </c>
      <c r="DR107" s="106">
        <f>+PMGR!DR107+BP!DR107</f>
        <v>0</v>
      </c>
      <c r="DS107" s="106">
        <f>+PMGR!DS107+BP!DS107</f>
        <v>0</v>
      </c>
      <c r="DT107" s="106">
        <f>+PMGR!DT107+BP!DT107</f>
        <v>0</v>
      </c>
      <c r="DU107" s="106">
        <f t="shared" si="583"/>
        <v>0</v>
      </c>
      <c r="DV107" s="106"/>
      <c r="DW107" s="106">
        <f>+PMGR!DW107+BP!DW107</f>
        <v>0</v>
      </c>
      <c r="DX107" s="106">
        <f>+PMGR!DX107+BP!DX107</f>
        <v>0</v>
      </c>
      <c r="DY107" s="106">
        <f>+PMGR!DY107+BP!DY107</f>
        <v>0</v>
      </c>
      <c r="DZ107" s="106">
        <f>+PMGR!DZ107+BP!DZ107</f>
        <v>0</v>
      </c>
      <c r="EA107" s="106">
        <f>+PMGR!EA107+BP!EA107</f>
        <v>0</v>
      </c>
      <c r="EB107" s="106">
        <f>+PMGR!EB107+BP!EB107</f>
        <v>0</v>
      </c>
      <c r="EC107" s="106">
        <f>+PMGR!EC107+BP!EC107</f>
        <v>0</v>
      </c>
      <c r="ED107" s="106">
        <f>+PMGR!ED107+BP!ED107</f>
        <v>0</v>
      </c>
      <c r="EE107" s="106">
        <f>+PMGR!EE107+BP!EE107</f>
        <v>0</v>
      </c>
      <c r="EF107" s="106">
        <f>+PMGR!EF107+BP!EF107</f>
        <v>0</v>
      </c>
      <c r="EG107" s="106">
        <f>+PMGR!EG107+BP!EG107</f>
        <v>0</v>
      </c>
      <c r="EH107" s="106">
        <f>+PMGR!EH107+BP!EH107</f>
        <v>0</v>
      </c>
      <c r="EI107" s="106">
        <f t="shared" si="584"/>
        <v>0</v>
      </c>
      <c r="EJ107" s="16" t="str">
        <f t="shared" si="457"/>
        <v>Flexi Kit</v>
      </c>
      <c r="EK107" s="106">
        <f>+PMGR!EK107+BP!EK107</f>
        <v>0</v>
      </c>
      <c r="EL107" s="106">
        <f>+PMGR!EL107+BP!EL107</f>
        <v>0</v>
      </c>
      <c r="EM107" s="106">
        <f>+PMGR!EM107+BP!EM107</f>
        <v>0</v>
      </c>
      <c r="EN107" s="106">
        <f>+PMGR!EN107+BP!EN107</f>
        <v>0</v>
      </c>
      <c r="EO107" s="106">
        <f>+PMGR!EO107+BP!EO107</f>
        <v>0</v>
      </c>
      <c r="EP107" s="106">
        <f>+PMGR!EP107+BP!EP107</f>
        <v>0</v>
      </c>
      <c r="EQ107" s="106">
        <f>+PMGR!EQ107+BP!EQ107</f>
        <v>0</v>
      </c>
      <c r="ER107" s="106">
        <f>+PMGR!ER107+BP!ER107</f>
        <v>0</v>
      </c>
      <c r="ES107" s="106">
        <f>+PMGR!ES107+BP!ES107</f>
        <v>0</v>
      </c>
      <c r="ET107" s="106">
        <f>+PMGR!ET107+BP!ET107</f>
        <v>0</v>
      </c>
      <c r="EU107" s="106">
        <f>+PMGR!EU107+BP!EU107</f>
        <v>0</v>
      </c>
      <c r="EV107" s="106">
        <f>+PMGR!EV107+BP!EV107</f>
        <v>0</v>
      </c>
      <c r="EW107" s="106">
        <f t="shared" si="585"/>
        <v>0</v>
      </c>
      <c r="EX107" s="118"/>
      <c r="EY107" s="106">
        <f>+PMGR!EY107+BP!EY107</f>
        <v>0</v>
      </c>
      <c r="EZ107" s="106">
        <f>+PMGR!EZ107+BP!EZ107</f>
        <v>0</v>
      </c>
      <c r="FA107" s="106">
        <f>+PMGR!FA107+BP!FA107</f>
        <v>0</v>
      </c>
      <c r="FB107" s="106">
        <f>+PMGR!FB107+BP!FB107</f>
        <v>0</v>
      </c>
      <c r="FC107" s="106">
        <f>+PMGR!FC107+BP!FC107</f>
        <v>0</v>
      </c>
      <c r="FD107" s="106">
        <f>+PMGR!FD107+BP!FD107</f>
        <v>0</v>
      </c>
      <c r="FE107" s="106">
        <f>+PMGR!FE107+BP!FE107</f>
        <v>0</v>
      </c>
      <c r="FF107" s="106">
        <f>+PMGR!FF107+BP!FF107</f>
        <v>0</v>
      </c>
      <c r="FG107" s="106">
        <f>+PMGR!FG107+BP!FG107</f>
        <v>0</v>
      </c>
      <c r="FH107" s="106">
        <f>+PMGR!FH107+BP!FH107</f>
        <v>0</v>
      </c>
      <c r="FI107" s="106">
        <f>+PMGR!FI107+BP!FI107</f>
        <v>0</v>
      </c>
      <c r="FJ107" s="106">
        <f>+PMGR!FJ107+BP!FJ107</f>
        <v>0</v>
      </c>
      <c r="FK107" s="106">
        <f t="shared" si="586"/>
        <v>0</v>
      </c>
    </row>
    <row r="108" spans="1:167" ht="14.45" hidden="1" customHeight="1" outlineLevel="1">
      <c r="A108" s="106">
        <f t="shared" si="572"/>
        <v>0</v>
      </c>
      <c r="B108" s="106">
        <f t="shared" si="572"/>
        <v>0</v>
      </c>
      <c r="C108" s="106">
        <f t="shared" si="572"/>
        <v>0</v>
      </c>
      <c r="D108" s="106">
        <f t="shared" si="572"/>
        <v>0</v>
      </c>
      <c r="E108" s="106">
        <f t="shared" si="572"/>
        <v>114192</v>
      </c>
      <c r="F108" s="106">
        <f t="shared" si="572"/>
        <v>0</v>
      </c>
      <c r="G108" s="106">
        <f t="shared" si="572"/>
        <v>0</v>
      </c>
      <c r="H108" s="106">
        <f t="shared" si="572"/>
        <v>0</v>
      </c>
      <c r="I108" s="106">
        <f t="shared" si="572"/>
        <v>0</v>
      </c>
      <c r="J108" s="106">
        <f t="shared" si="572"/>
        <v>0</v>
      </c>
      <c r="K108" s="106">
        <f t="shared" si="572"/>
        <v>0</v>
      </c>
      <c r="L108" s="106">
        <f t="shared" si="572"/>
        <v>0</v>
      </c>
      <c r="M108" s="106">
        <f t="shared" si="573"/>
        <v>114192</v>
      </c>
      <c r="N108" s="16" t="s">
        <v>88</v>
      </c>
      <c r="O108" s="106">
        <f t="shared" si="574"/>
        <v>0</v>
      </c>
      <c r="P108" s="106">
        <f t="shared" si="574"/>
        <v>0</v>
      </c>
      <c r="Q108" s="106">
        <f t="shared" si="574"/>
        <v>0</v>
      </c>
      <c r="R108" s="106">
        <f t="shared" si="574"/>
        <v>0</v>
      </c>
      <c r="S108" s="106">
        <f t="shared" si="574"/>
        <v>0</v>
      </c>
      <c r="T108" s="106">
        <f t="shared" si="574"/>
        <v>28570.5</v>
      </c>
      <c r="U108" s="106">
        <f t="shared" si="574"/>
        <v>0</v>
      </c>
      <c r="V108" s="106">
        <f t="shared" si="574"/>
        <v>0</v>
      </c>
      <c r="W108" s="106">
        <f t="shared" si="574"/>
        <v>0</v>
      </c>
      <c r="X108" s="106">
        <f t="shared" si="574"/>
        <v>0</v>
      </c>
      <c r="Y108" s="106">
        <f t="shared" si="574"/>
        <v>0</v>
      </c>
      <c r="Z108" s="106">
        <f t="shared" si="574"/>
        <v>0</v>
      </c>
      <c r="AA108" s="106">
        <f t="shared" si="575"/>
        <v>28570.5</v>
      </c>
      <c r="AB108" s="118"/>
      <c r="AC108" s="106">
        <f t="shared" si="576"/>
        <v>0</v>
      </c>
      <c r="AD108" s="106">
        <f t="shared" si="576"/>
        <v>0</v>
      </c>
      <c r="AE108" s="106">
        <f t="shared" si="576"/>
        <v>0</v>
      </c>
      <c r="AF108" s="106">
        <f t="shared" si="576"/>
        <v>0</v>
      </c>
      <c r="AG108" s="106">
        <f t="shared" si="576"/>
        <v>0</v>
      </c>
      <c r="AH108" s="106">
        <f t="shared" si="576"/>
        <v>0</v>
      </c>
      <c r="AI108" s="106">
        <f t="shared" si="576"/>
        <v>0</v>
      </c>
      <c r="AJ108" s="106">
        <f t="shared" si="576"/>
        <v>0</v>
      </c>
      <c r="AK108" s="106">
        <f t="shared" si="576"/>
        <v>0</v>
      </c>
      <c r="AL108" s="106">
        <f t="shared" si="576"/>
        <v>0</v>
      </c>
      <c r="AM108" s="106">
        <f t="shared" si="576"/>
        <v>0</v>
      </c>
      <c r="AN108" s="106">
        <f t="shared" si="576"/>
        <v>0</v>
      </c>
      <c r="AO108" s="106">
        <f t="shared" si="577"/>
        <v>0</v>
      </c>
      <c r="AP108" s="106"/>
      <c r="AQ108" s="106">
        <f>+PMGR!AQ108+BP!AQ108</f>
        <v>0</v>
      </c>
      <c r="AR108" s="106">
        <f>+PMGR!AR108+BP!AR108</f>
        <v>0</v>
      </c>
      <c r="AS108" s="106">
        <f>+PMGR!AS108+BP!AS108</f>
        <v>0</v>
      </c>
      <c r="AT108" s="106">
        <f>+PMGR!AT108+BP!AT108</f>
        <v>0</v>
      </c>
      <c r="AU108" s="106">
        <f>+PMGR!AU108+BP!AU108</f>
        <v>76128</v>
      </c>
      <c r="AV108" s="106">
        <f>+PMGR!AV108+BP!AV108</f>
        <v>0</v>
      </c>
      <c r="AW108" s="106">
        <f>+PMGR!AW108+BP!AW108</f>
        <v>0</v>
      </c>
      <c r="AX108" s="106">
        <f>+PMGR!AX108+BP!AX108</f>
        <v>0</v>
      </c>
      <c r="AY108" s="106">
        <f>+PMGR!AY108+BP!AY108</f>
        <v>0</v>
      </c>
      <c r="AZ108" s="106">
        <f>+PMGR!AZ108+BP!AZ108</f>
        <v>0</v>
      </c>
      <c r="BA108" s="106">
        <f>+PMGR!BA108+BP!BA108</f>
        <v>0</v>
      </c>
      <c r="BB108" s="106">
        <f>+PMGR!BB108+BP!BB108</f>
        <v>0</v>
      </c>
      <c r="BC108" s="106">
        <f t="shared" si="578"/>
        <v>76128</v>
      </c>
      <c r="BD108" s="16" t="str">
        <f t="shared" si="405"/>
        <v>print Advertisement</v>
      </c>
      <c r="BE108" s="106">
        <f>+PMGR!BE108+BP!BE108</f>
        <v>0</v>
      </c>
      <c r="BF108" s="106">
        <f>+PMGR!BF108+BP!BF108</f>
        <v>0</v>
      </c>
      <c r="BG108" s="106">
        <f>+PMGR!BG108+BP!BG108</f>
        <v>0</v>
      </c>
      <c r="BH108" s="106">
        <f>+PMGR!BH108+BP!BH108</f>
        <v>0</v>
      </c>
      <c r="BI108" s="106">
        <f>+PMGR!BI108+BP!BI108</f>
        <v>0</v>
      </c>
      <c r="BJ108" s="106">
        <f>+PMGR!BJ108+BP!BJ108</f>
        <v>0</v>
      </c>
      <c r="BK108" s="106">
        <f>+PMGR!BK108+BP!BK108</f>
        <v>0</v>
      </c>
      <c r="BL108" s="106">
        <f>+PMGR!BL108+BP!BL108</f>
        <v>0</v>
      </c>
      <c r="BM108" s="106">
        <f>+PMGR!BM108+BP!BM108</f>
        <v>0</v>
      </c>
      <c r="BN108" s="106">
        <f>+PMGR!BN108+BP!BN108</f>
        <v>0</v>
      </c>
      <c r="BO108" s="106">
        <f>+PMGR!BO108+BP!BO108</f>
        <v>0</v>
      </c>
      <c r="BP108" s="106">
        <f>+PMGR!BP108+BP!BP108</f>
        <v>0</v>
      </c>
      <c r="BQ108" s="106">
        <f t="shared" si="579"/>
        <v>0</v>
      </c>
      <c r="BR108" s="118"/>
      <c r="BS108" s="106">
        <f>+PMGR!BS108+BP!BS108</f>
        <v>0</v>
      </c>
      <c r="BT108" s="106">
        <f>+PMGR!BT108+BP!BT108</f>
        <v>0</v>
      </c>
      <c r="BU108" s="106">
        <f>+PMGR!BU108+BP!BU108</f>
        <v>0</v>
      </c>
      <c r="BV108" s="106">
        <f>+PMGR!BV108+BP!BV108</f>
        <v>0</v>
      </c>
      <c r="BW108" s="106">
        <f>+PMGR!BW108+BP!BW108</f>
        <v>0</v>
      </c>
      <c r="BX108" s="106">
        <f>+PMGR!BX108+BP!BX108</f>
        <v>0</v>
      </c>
      <c r="BY108" s="106">
        <f>+PMGR!BY108+BP!BY108</f>
        <v>0</v>
      </c>
      <c r="BZ108" s="106">
        <f>+PMGR!BZ108+BP!BZ108</f>
        <v>0</v>
      </c>
      <c r="CA108" s="106">
        <f>+PMGR!CA108+BP!CA108</f>
        <v>0</v>
      </c>
      <c r="CB108" s="106">
        <f>+PMGR!CB108+BP!CB108</f>
        <v>0</v>
      </c>
      <c r="CC108" s="106">
        <f>+PMGR!CC108+BP!CC108</f>
        <v>0</v>
      </c>
      <c r="CD108" s="106">
        <f>+PMGR!CD108+BP!CD108</f>
        <v>0</v>
      </c>
      <c r="CE108" s="106">
        <f t="shared" si="580"/>
        <v>0</v>
      </c>
      <c r="CF108" s="106"/>
      <c r="CG108" s="106">
        <f>+PMGR!CG108+BP!CG108</f>
        <v>0</v>
      </c>
      <c r="CH108" s="106">
        <f>+PMGR!CH108+BP!CH108</f>
        <v>0</v>
      </c>
      <c r="CI108" s="106">
        <f>+PMGR!CI108+BP!CI108</f>
        <v>0</v>
      </c>
      <c r="CJ108" s="106">
        <f>+PMGR!CJ108+BP!CJ108</f>
        <v>0</v>
      </c>
      <c r="CK108" s="106">
        <f>+PMGR!CK108+BP!CK108</f>
        <v>38064</v>
      </c>
      <c r="CL108" s="106">
        <f>+PMGR!CL108+BP!CL108</f>
        <v>0</v>
      </c>
      <c r="CM108" s="106">
        <f>+PMGR!CM108+BP!CM108</f>
        <v>0</v>
      </c>
      <c r="CN108" s="106">
        <f>+PMGR!CN108+BP!CN108</f>
        <v>0</v>
      </c>
      <c r="CO108" s="106">
        <f>+PMGR!CO108+BP!CO108</f>
        <v>0</v>
      </c>
      <c r="CP108" s="106">
        <f>+PMGR!CP108+BP!CP108</f>
        <v>0</v>
      </c>
      <c r="CQ108" s="106">
        <f>+PMGR!CQ108+BP!CQ108</f>
        <v>0</v>
      </c>
      <c r="CR108" s="106">
        <f>+PMGR!CR108+BP!CR108</f>
        <v>0</v>
      </c>
      <c r="CS108" s="106">
        <f t="shared" si="581"/>
        <v>38064</v>
      </c>
      <c r="CT108" s="16" t="str">
        <f t="shared" si="409"/>
        <v>print Advertisement</v>
      </c>
      <c r="CU108" s="106">
        <f>+PMGR!CU108+BP!CU108</f>
        <v>0</v>
      </c>
      <c r="CV108" s="106">
        <f>+PMGR!CV108+BP!CV108</f>
        <v>0</v>
      </c>
      <c r="CW108" s="106">
        <f>+PMGR!CW108+BP!CW108</f>
        <v>0</v>
      </c>
      <c r="CX108" s="106">
        <f>+PMGR!CX108+BP!CX108</f>
        <v>0</v>
      </c>
      <c r="CY108" s="106">
        <f>+PMGR!CY108+BP!CY108</f>
        <v>0</v>
      </c>
      <c r="CZ108" s="106">
        <f>+PMGR!CZ108+BP!CZ108</f>
        <v>0</v>
      </c>
      <c r="DA108" s="106">
        <f>+PMGR!DA108+BP!DA108</f>
        <v>0</v>
      </c>
      <c r="DB108" s="106">
        <f>+PMGR!DB108+BP!DB108</f>
        <v>0</v>
      </c>
      <c r="DC108" s="106">
        <f>+PMGR!DC108+BP!DC108</f>
        <v>0</v>
      </c>
      <c r="DD108" s="106">
        <f>+PMGR!DD108+BP!DD108</f>
        <v>0</v>
      </c>
      <c r="DE108" s="106">
        <f>+PMGR!DE108+BP!DE108</f>
        <v>0</v>
      </c>
      <c r="DF108" s="106">
        <f>+PMGR!DF108+BP!DF108</f>
        <v>0</v>
      </c>
      <c r="DG108" s="106">
        <f t="shared" si="582"/>
        <v>0</v>
      </c>
      <c r="DH108" s="118"/>
      <c r="DI108" s="106">
        <f>+PMGR!DI108+BP!DI108</f>
        <v>0</v>
      </c>
      <c r="DJ108" s="106">
        <f>+PMGR!DJ108+BP!DJ108</f>
        <v>0</v>
      </c>
      <c r="DK108" s="106">
        <f>+PMGR!DK108+BP!DK108</f>
        <v>0</v>
      </c>
      <c r="DL108" s="106">
        <f>+PMGR!DL108+BP!DL108</f>
        <v>0</v>
      </c>
      <c r="DM108" s="106">
        <f>+PMGR!DM108+BP!DM108</f>
        <v>0</v>
      </c>
      <c r="DN108" s="106">
        <f>+PMGR!DN108+BP!DN108</f>
        <v>0</v>
      </c>
      <c r="DO108" s="106">
        <f>+PMGR!DO108+BP!DO108</f>
        <v>0</v>
      </c>
      <c r="DP108" s="106">
        <f>+PMGR!DP108+BP!DP108</f>
        <v>0</v>
      </c>
      <c r="DQ108" s="106">
        <f>+PMGR!DQ108+BP!DQ108</f>
        <v>0</v>
      </c>
      <c r="DR108" s="106">
        <f>+PMGR!DR108+BP!DR108</f>
        <v>0</v>
      </c>
      <c r="DS108" s="106">
        <f>+PMGR!DS108+BP!DS108</f>
        <v>0</v>
      </c>
      <c r="DT108" s="106">
        <f>+PMGR!DT108+BP!DT108</f>
        <v>0</v>
      </c>
      <c r="DU108" s="106">
        <f t="shared" si="583"/>
        <v>0</v>
      </c>
      <c r="DV108" s="106"/>
      <c r="DW108" s="106">
        <f>+PMGR!DW108+BP!DW108</f>
        <v>0</v>
      </c>
      <c r="DX108" s="106">
        <f>+PMGR!DX108+BP!DX108</f>
        <v>0</v>
      </c>
      <c r="DY108" s="106">
        <f>+PMGR!DY108+BP!DY108</f>
        <v>0</v>
      </c>
      <c r="DZ108" s="106">
        <f>+PMGR!DZ108+BP!DZ108</f>
        <v>0</v>
      </c>
      <c r="EA108" s="106">
        <f>+PMGR!EA108+BP!EA108</f>
        <v>0</v>
      </c>
      <c r="EB108" s="106">
        <f>+PMGR!EB108+BP!EB108</f>
        <v>0</v>
      </c>
      <c r="EC108" s="106">
        <f>+PMGR!EC108+BP!EC108</f>
        <v>0</v>
      </c>
      <c r="ED108" s="106">
        <f>+PMGR!ED108+BP!ED108</f>
        <v>0</v>
      </c>
      <c r="EE108" s="106">
        <f>+PMGR!EE108+BP!EE108</f>
        <v>0</v>
      </c>
      <c r="EF108" s="106">
        <f>+PMGR!EF108+BP!EF108</f>
        <v>0</v>
      </c>
      <c r="EG108" s="106">
        <f>+PMGR!EG108+BP!EG108</f>
        <v>0</v>
      </c>
      <c r="EH108" s="106">
        <f>+PMGR!EH108+BP!EH108</f>
        <v>0</v>
      </c>
      <c r="EI108" s="106">
        <f t="shared" si="584"/>
        <v>0</v>
      </c>
      <c r="EJ108" s="16" t="str">
        <f t="shared" si="457"/>
        <v>print Advertisement</v>
      </c>
      <c r="EK108" s="106">
        <f>+PMGR!EK108+BP!EK108</f>
        <v>0</v>
      </c>
      <c r="EL108" s="106">
        <f>+PMGR!EL108+BP!EL108</f>
        <v>0</v>
      </c>
      <c r="EM108" s="106">
        <f>+PMGR!EM108+BP!EM108</f>
        <v>0</v>
      </c>
      <c r="EN108" s="106">
        <f>+PMGR!EN108+BP!EN108</f>
        <v>0</v>
      </c>
      <c r="EO108" s="106">
        <f>+PMGR!EO108+BP!EO108</f>
        <v>0</v>
      </c>
      <c r="EP108" s="106">
        <f>+PMGR!EP108+BP!EP108</f>
        <v>28570.5</v>
      </c>
      <c r="EQ108" s="106">
        <f>+PMGR!EQ108+BP!EQ108</f>
        <v>0</v>
      </c>
      <c r="ER108" s="106">
        <f>+PMGR!ER108+BP!ER108</f>
        <v>0</v>
      </c>
      <c r="ES108" s="106">
        <f>+PMGR!ES108+BP!ES108</f>
        <v>0</v>
      </c>
      <c r="ET108" s="106">
        <f>+PMGR!ET108+BP!ET108</f>
        <v>0</v>
      </c>
      <c r="EU108" s="106">
        <f>+PMGR!EU108+BP!EU108</f>
        <v>0</v>
      </c>
      <c r="EV108" s="106">
        <f>+PMGR!EV108+BP!EV108</f>
        <v>0</v>
      </c>
      <c r="EW108" s="106">
        <f t="shared" si="585"/>
        <v>28570.5</v>
      </c>
      <c r="EX108" s="118"/>
      <c r="EY108" s="106">
        <f>+PMGR!EY108+BP!EY108</f>
        <v>0</v>
      </c>
      <c r="EZ108" s="106">
        <f>+PMGR!EZ108+BP!EZ108</f>
        <v>0</v>
      </c>
      <c r="FA108" s="106">
        <f>+PMGR!FA108+BP!FA108</f>
        <v>0</v>
      </c>
      <c r="FB108" s="106">
        <f>+PMGR!FB108+BP!FB108</f>
        <v>0</v>
      </c>
      <c r="FC108" s="106">
        <f>+PMGR!FC108+BP!FC108</f>
        <v>0</v>
      </c>
      <c r="FD108" s="106">
        <f>+PMGR!FD108+BP!FD108</f>
        <v>0</v>
      </c>
      <c r="FE108" s="106">
        <f>+PMGR!FE108+BP!FE108</f>
        <v>0</v>
      </c>
      <c r="FF108" s="106">
        <f>+PMGR!FF108+BP!FF108</f>
        <v>0</v>
      </c>
      <c r="FG108" s="106">
        <f>+PMGR!FG108+BP!FG108</f>
        <v>0</v>
      </c>
      <c r="FH108" s="106">
        <f>+PMGR!FH108+BP!FH108</f>
        <v>0</v>
      </c>
      <c r="FI108" s="106">
        <f>+PMGR!FI108+BP!FI108</f>
        <v>0</v>
      </c>
      <c r="FJ108" s="106">
        <f>+PMGR!FJ108+BP!FJ108</f>
        <v>0</v>
      </c>
      <c r="FK108" s="106">
        <f t="shared" si="586"/>
        <v>0</v>
      </c>
    </row>
    <row r="109" spans="1:167" ht="14.45" hidden="1" customHeight="1" outlineLevel="1">
      <c r="A109" s="106">
        <f t="shared" si="572"/>
        <v>0</v>
      </c>
      <c r="B109" s="106">
        <f t="shared" si="572"/>
        <v>0</v>
      </c>
      <c r="C109" s="106">
        <f t="shared" si="572"/>
        <v>37141</v>
      </c>
      <c r="D109" s="106">
        <f t="shared" si="572"/>
        <v>0</v>
      </c>
      <c r="E109" s="106">
        <f t="shared" si="572"/>
        <v>0</v>
      </c>
      <c r="F109" s="106">
        <f t="shared" si="572"/>
        <v>17143</v>
      </c>
      <c r="G109" s="106">
        <f t="shared" si="572"/>
        <v>0</v>
      </c>
      <c r="H109" s="106">
        <f t="shared" si="572"/>
        <v>33750</v>
      </c>
      <c r="I109" s="106">
        <f t="shared" si="572"/>
        <v>195490</v>
      </c>
      <c r="J109" s="106">
        <f t="shared" si="572"/>
        <v>90160</v>
      </c>
      <c r="K109" s="106">
        <f t="shared" si="572"/>
        <v>0</v>
      </c>
      <c r="L109" s="106">
        <f t="shared" si="572"/>
        <v>37200</v>
      </c>
      <c r="M109" s="106">
        <f t="shared" si="573"/>
        <v>410884</v>
      </c>
      <c r="N109" s="16" t="s">
        <v>89</v>
      </c>
      <c r="O109" s="106">
        <f t="shared" si="574"/>
        <v>0</v>
      </c>
      <c r="P109" s="106">
        <f t="shared" si="574"/>
        <v>0</v>
      </c>
      <c r="Q109" s="106">
        <f t="shared" si="574"/>
        <v>0</v>
      </c>
      <c r="R109" s="106">
        <f t="shared" si="574"/>
        <v>0</v>
      </c>
      <c r="S109" s="106">
        <f t="shared" si="574"/>
        <v>91240</v>
      </c>
      <c r="T109" s="106">
        <f t="shared" si="574"/>
        <v>0</v>
      </c>
      <c r="U109" s="106">
        <f t="shared" si="574"/>
        <v>0</v>
      </c>
      <c r="V109" s="106">
        <f t="shared" si="574"/>
        <v>34103.25</v>
      </c>
      <c r="W109" s="106">
        <f t="shared" si="574"/>
        <v>5094</v>
      </c>
      <c r="X109" s="106">
        <f t="shared" si="574"/>
        <v>0</v>
      </c>
      <c r="Y109" s="106">
        <f t="shared" si="574"/>
        <v>0</v>
      </c>
      <c r="Z109" s="106">
        <f t="shared" si="574"/>
        <v>0</v>
      </c>
      <c r="AA109" s="106">
        <f t="shared" si="575"/>
        <v>130437.25</v>
      </c>
      <c r="AB109" s="118"/>
      <c r="AC109" s="106">
        <f t="shared" si="576"/>
        <v>0</v>
      </c>
      <c r="AD109" s="106">
        <f t="shared" si="576"/>
        <v>0</v>
      </c>
      <c r="AE109" s="106">
        <f t="shared" si="576"/>
        <v>0</v>
      </c>
      <c r="AF109" s="106">
        <f t="shared" si="576"/>
        <v>0</v>
      </c>
      <c r="AG109" s="106">
        <f t="shared" si="576"/>
        <v>0</v>
      </c>
      <c r="AH109" s="106">
        <f t="shared" si="576"/>
        <v>0</v>
      </c>
      <c r="AI109" s="106">
        <f t="shared" si="576"/>
        <v>0</v>
      </c>
      <c r="AJ109" s="106">
        <f t="shared" si="576"/>
        <v>0</v>
      </c>
      <c r="AK109" s="106">
        <f t="shared" si="576"/>
        <v>0</v>
      </c>
      <c r="AL109" s="106">
        <f t="shared" si="576"/>
        <v>0</v>
      </c>
      <c r="AM109" s="106">
        <f t="shared" si="576"/>
        <v>0</v>
      </c>
      <c r="AN109" s="106">
        <f t="shared" si="576"/>
        <v>0</v>
      </c>
      <c r="AO109" s="106">
        <f t="shared" si="577"/>
        <v>0</v>
      </c>
      <c r="AP109" s="106"/>
      <c r="AQ109" s="106">
        <f>+PMGR!AQ109+BP!AQ109</f>
        <v>0</v>
      </c>
      <c r="AR109" s="106">
        <f>+PMGR!AR109+BP!AR109</f>
        <v>0</v>
      </c>
      <c r="AS109" s="106">
        <f>+PMGR!AS109+BP!AS109</f>
        <v>37141</v>
      </c>
      <c r="AT109" s="106">
        <f>+PMGR!AT109+BP!AT109</f>
        <v>0</v>
      </c>
      <c r="AU109" s="106">
        <f>+PMGR!AU109+BP!AU109</f>
        <v>0</v>
      </c>
      <c r="AV109" s="106">
        <f>+PMGR!AV109+BP!AV109</f>
        <v>17143</v>
      </c>
      <c r="AW109" s="106">
        <f>+PMGR!AW109+BP!AW109</f>
        <v>0</v>
      </c>
      <c r="AX109" s="106">
        <f>+PMGR!AX109+BP!AX109</f>
        <v>33750</v>
      </c>
      <c r="AY109" s="106">
        <f>+PMGR!AY109+BP!AY109</f>
        <v>195490</v>
      </c>
      <c r="AZ109" s="106">
        <f>+PMGR!AZ109+BP!AZ109</f>
        <v>26160</v>
      </c>
      <c r="BA109" s="106">
        <f>+PMGR!BA109+BP!BA109</f>
        <v>0</v>
      </c>
      <c r="BB109" s="106">
        <f>+PMGR!BB109+BP!BB109</f>
        <v>34250</v>
      </c>
      <c r="BC109" s="106">
        <f t="shared" si="578"/>
        <v>343934</v>
      </c>
      <c r="BD109" s="16" t="str">
        <f t="shared" si="405"/>
        <v>Printing and other Charges</v>
      </c>
      <c r="BE109" s="106">
        <f>+PMGR!BE109+BP!BE109</f>
        <v>0</v>
      </c>
      <c r="BF109" s="106">
        <f>+PMGR!BF109+BP!BF109</f>
        <v>0</v>
      </c>
      <c r="BG109" s="106">
        <f>+PMGR!BG109+BP!BG109</f>
        <v>0</v>
      </c>
      <c r="BH109" s="106">
        <f>+PMGR!BH109+BP!BH109</f>
        <v>0</v>
      </c>
      <c r="BI109" s="106">
        <f>+PMGR!BI109+BP!BI109</f>
        <v>48400</v>
      </c>
      <c r="BJ109" s="106">
        <f>+PMGR!BJ109+BP!BJ109</f>
        <v>0</v>
      </c>
      <c r="BK109" s="106">
        <f>+PMGR!BK109+BP!BK109</f>
        <v>0</v>
      </c>
      <c r="BL109" s="106">
        <f>+PMGR!BL109+BP!BL109</f>
        <v>22735.5</v>
      </c>
      <c r="BM109" s="106">
        <f>+PMGR!BM109+BP!BM109</f>
        <v>3056.4</v>
      </c>
      <c r="BN109" s="106">
        <f>+PMGR!BN109+BP!BN109</f>
        <v>0</v>
      </c>
      <c r="BO109" s="106">
        <f>+PMGR!BO109+BP!BO109</f>
        <v>0</v>
      </c>
      <c r="BP109" s="106">
        <f>+PMGR!BP109+BP!BP109</f>
        <v>0</v>
      </c>
      <c r="BQ109" s="106">
        <f t="shared" si="579"/>
        <v>74191.899999999994</v>
      </c>
      <c r="BR109" s="118"/>
      <c r="BS109" s="106">
        <f>+PMGR!BS109+BP!BS109</f>
        <v>0</v>
      </c>
      <c r="BT109" s="106">
        <f>+PMGR!BT109+BP!BT109</f>
        <v>0</v>
      </c>
      <c r="BU109" s="106">
        <f>+PMGR!BU109+BP!BU109</f>
        <v>0</v>
      </c>
      <c r="BV109" s="106">
        <f>+PMGR!BV109+BP!BV109</f>
        <v>0</v>
      </c>
      <c r="BW109" s="106">
        <f>+PMGR!BW109+BP!BW109</f>
        <v>0</v>
      </c>
      <c r="BX109" s="106">
        <f>+PMGR!BX109+BP!BX109</f>
        <v>0</v>
      </c>
      <c r="BY109" s="106">
        <f>+PMGR!BY109+BP!BY109</f>
        <v>0</v>
      </c>
      <c r="BZ109" s="106">
        <f>+PMGR!BZ109+BP!BZ109</f>
        <v>0</v>
      </c>
      <c r="CA109" s="106">
        <f>+PMGR!CA109+BP!CA109</f>
        <v>0</v>
      </c>
      <c r="CB109" s="106">
        <f>+PMGR!CB109+BP!CB109</f>
        <v>0</v>
      </c>
      <c r="CC109" s="106">
        <f>+PMGR!CC109+BP!CC109</f>
        <v>0</v>
      </c>
      <c r="CD109" s="106">
        <f>+PMGR!CD109+BP!CD109</f>
        <v>0</v>
      </c>
      <c r="CE109" s="106">
        <f t="shared" si="580"/>
        <v>0</v>
      </c>
      <c r="CF109" s="106"/>
      <c r="CG109" s="106">
        <f>+PMGR!CG109+BP!CG109</f>
        <v>0</v>
      </c>
      <c r="CH109" s="106">
        <f>+PMGR!CH109+BP!CH109</f>
        <v>0</v>
      </c>
      <c r="CI109" s="106">
        <f>+PMGR!CI109+BP!CI109</f>
        <v>0</v>
      </c>
      <c r="CJ109" s="106">
        <f>+PMGR!CJ109+BP!CJ109</f>
        <v>0</v>
      </c>
      <c r="CK109" s="106">
        <f>+PMGR!CK109+BP!CK109</f>
        <v>0</v>
      </c>
      <c r="CL109" s="106">
        <f>+PMGR!CL109+BP!CL109</f>
        <v>0</v>
      </c>
      <c r="CM109" s="106">
        <f>+PMGR!CM109+BP!CM109</f>
        <v>0</v>
      </c>
      <c r="CN109" s="106">
        <f>+PMGR!CN109+BP!CN109</f>
        <v>0</v>
      </c>
      <c r="CO109" s="106">
        <f>+PMGR!CO109+BP!CO109</f>
        <v>0</v>
      </c>
      <c r="CP109" s="106">
        <f>+PMGR!CP109+BP!CP109</f>
        <v>64000</v>
      </c>
      <c r="CQ109" s="106">
        <f>+PMGR!CQ109+BP!CQ109</f>
        <v>0</v>
      </c>
      <c r="CR109" s="106">
        <f>+PMGR!CR109+BP!CR109</f>
        <v>2950</v>
      </c>
      <c r="CS109" s="106">
        <f t="shared" si="581"/>
        <v>66950</v>
      </c>
      <c r="CT109" s="16" t="str">
        <f t="shared" si="409"/>
        <v>Printing and other Charges</v>
      </c>
      <c r="CU109" s="106">
        <f>+PMGR!CU109+BP!CU109</f>
        <v>0</v>
      </c>
      <c r="CV109" s="106">
        <f>+PMGR!CV109+BP!CV109</f>
        <v>0</v>
      </c>
      <c r="CW109" s="106">
        <f>+PMGR!CW109+BP!CW109</f>
        <v>0</v>
      </c>
      <c r="CX109" s="106">
        <f>+PMGR!CX109+BP!CX109</f>
        <v>0</v>
      </c>
      <c r="CY109" s="106">
        <f>+PMGR!CY109+BP!CY109</f>
        <v>42840</v>
      </c>
      <c r="CZ109" s="106">
        <f>+PMGR!CZ109+BP!CZ109</f>
        <v>0</v>
      </c>
      <c r="DA109" s="106">
        <f>+PMGR!DA109+BP!DA109</f>
        <v>0</v>
      </c>
      <c r="DB109" s="106">
        <f>+PMGR!DB109+BP!DB109</f>
        <v>11367.75</v>
      </c>
      <c r="DC109" s="106">
        <f>+PMGR!DC109+BP!DC109</f>
        <v>2037.6000000000001</v>
      </c>
      <c r="DD109" s="106">
        <f>+PMGR!DD109+BP!DD109</f>
        <v>0</v>
      </c>
      <c r="DE109" s="106">
        <f>+PMGR!DE109+BP!DE109</f>
        <v>0</v>
      </c>
      <c r="DF109" s="106">
        <f>+PMGR!DF109+BP!DF109</f>
        <v>0</v>
      </c>
      <c r="DG109" s="106">
        <f t="shared" si="582"/>
        <v>56245.35</v>
      </c>
      <c r="DH109" s="118"/>
      <c r="DI109" s="106">
        <f>+PMGR!DI109+BP!DI109</f>
        <v>0</v>
      </c>
      <c r="DJ109" s="106">
        <f>+PMGR!DJ109+BP!DJ109</f>
        <v>0</v>
      </c>
      <c r="DK109" s="106">
        <f>+PMGR!DK109+BP!DK109</f>
        <v>0</v>
      </c>
      <c r="DL109" s="106">
        <f>+PMGR!DL109+BP!DL109</f>
        <v>0</v>
      </c>
      <c r="DM109" s="106">
        <f>+PMGR!DM109+BP!DM109</f>
        <v>0</v>
      </c>
      <c r="DN109" s="106">
        <f>+PMGR!DN109+BP!DN109</f>
        <v>0</v>
      </c>
      <c r="DO109" s="106">
        <f>+PMGR!DO109+BP!DO109</f>
        <v>0</v>
      </c>
      <c r="DP109" s="106">
        <f>+PMGR!DP109+BP!DP109</f>
        <v>0</v>
      </c>
      <c r="DQ109" s="106">
        <f>+PMGR!DQ109+BP!DQ109</f>
        <v>0</v>
      </c>
      <c r="DR109" s="106">
        <f>+PMGR!DR109+BP!DR109</f>
        <v>0</v>
      </c>
      <c r="DS109" s="106">
        <f>+PMGR!DS109+BP!DS109</f>
        <v>0</v>
      </c>
      <c r="DT109" s="106">
        <f>+PMGR!DT109+BP!DT109</f>
        <v>0</v>
      </c>
      <c r="DU109" s="106">
        <f t="shared" si="583"/>
        <v>0</v>
      </c>
      <c r="DV109" s="106"/>
      <c r="DW109" s="106">
        <f>+PMGR!DW109+BP!DW109</f>
        <v>0</v>
      </c>
      <c r="DX109" s="106">
        <f>+PMGR!DX109+BP!DX109</f>
        <v>0</v>
      </c>
      <c r="DY109" s="106">
        <f>+PMGR!DY109+BP!DY109</f>
        <v>0</v>
      </c>
      <c r="DZ109" s="106">
        <f>+PMGR!DZ109+BP!DZ109</f>
        <v>0</v>
      </c>
      <c r="EA109" s="106">
        <f>+PMGR!EA109+BP!EA109</f>
        <v>0</v>
      </c>
      <c r="EB109" s="106">
        <f>+PMGR!EB109+BP!EB109</f>
        <v>0</v>
      </c>
      <c r="EC109" s="106">
        <f>+PMGR!EC109+BP!EC109</f>
        <v>0</v>
      </c>
      <c r="ED109" s="106">
        <f>+PMGR!ED109+BP!ED109</f>
        <v>0</v>
      </c>
      <c r="EE109" s="106">
        <f>+PMGR!EE109+BP!EE109</f>
        <v>0</v>
      </c>
      <c r="EF109" s="106">
        <f>+PMGR!EF109+BP!EF109</f>
        <v>0</v>
      </c>
      <c r="EG109" s="106">
        <f>+PMGR!EG109+BP!EG109</f>
        <v>0</v>
      </c>
      <c r="EH109" s="106">
        <f>+PMGR!EH109+BP!EH109</f>
        <v>0</v>
      </c>
      <c r="EI109" s="106">
        <f t="shared" si="584"/>
        <v>0</v>
      </c>
      <c r="EJ109" s="16" t="str">
        <f t="shared" si="457"/>
        <v>Printing and other Charges</v>
      </c>
      <c r="EK109" s="106">
        <f>+PMGR!EK109+BP!EK109</f>
        <v>0</v>
      </c>
      <c r="EL109" s="106">
        <f>+PMGR!EL109+BP!EL109</f>
        <v>0</v>
      </c>
      <c r="EM109" s="106">
        <f>+PMGR!EM109+BP!EM109</f>
        <v>0</v>
      </c>
      <c r="EN109" s="106">
        <f>+PMGR!EN109+BP!EN109</f>
        <v>0</v>
      </c>
      <c r="EO109" s="106">
        <f>+PMGR!EO109+BP!EO109</f>
        <v>0</v>
      </c>
      <c r="EP109" s="106">
        <f>+PMGR!EP109+BP!EP109</f>
        <v>0</v>
      </c>
      <c r="EQ109" s="106">
        <f>+PMGR!EQ109+BP!EQ109</f>
        <v>0</v>
      </c>
      <c r="ER109" s="106">
        <f>+PMGR!ER109+BP!ER109</f>
        <v>0</v>
      </c>
      <c r="ES109" s="106">
        <f>+PMGR!ES109+BP!ES109</f>
        <v>0</v>
      </c>
      <c r="ET109" s="106">
        <f>+PMGR!ET109+BP!ET109</f>
        <v>0</v>
      </c>
      <c r="EU109" s="106">
        <f>+PMGR!EU109+BP!EU109</f>
        <v>0</v>
      </c>
      <c r="EV109" s="106">
        <f>+PMGR!EV109+BP!EV109</f>
        <v>0</v>
      </c>
      <c r="EW109" s="106">
        <f t="shared" si="585"/>
        <v>0</v>
      </c>
      <c r="EX109" s="118"/>
      <c r="EY109" s="106">
        <f>+PMGR!EY109+BP!EY109</f>
        <v>0</v>
      </c>
      <c r="EZ109" s="106">
        <f>+PMGR!EZ109+BP!EZ109</f>
        <v>0</v>
      </c>
      <c r="FA109" s="106">
        <f>+PMGR!FA109+BP!FA109</f>
        <v>0</v>
      </c>
      <c r="FB109" s="106">
        <f>+PMGR!FB109+BP!FB109</f>
        <v>0</v>
      </c>
      <c r="FC109" s="106">
        <f>+PMGR!FC109+BP!FC109</f>
        <v>0</v>
      </c>
      <c r="FD109" s="106">
        <f>+PMGR!FD109+BP!FD109</f>
        <v>0</v>
      </c>
      <c r="FE109" s="106">
        <f>+PMGR!FE109+BP!FE109</f>
        <v>0</v>
      </c>
      <c r="FF109" s="106">
        <f>+PMGR!FF109+BP!FF109</f>
        <v>0</v>
      </c>
      <c r="FG109" s="106">
        <f>+PMGR!FG109+BP!FG109</f>
        <v>0</v>
      </c>
      <c r="FH109" s="106">
        <f>+PMGR!FH109+BP!FH109</f>
        <v>0</v>
      </c>
      <c r="FI109" s="106">
        <f>+PMGR!FI109+BP!FI109</f>
        <v>0</v>
      </c>
      <c r="FJ109" s="106">
        <f>+PMGR!FJ109+BP!FJ109</f>
        <v>0</v>
      </c>
      <c r="FK109" s="106">
        <f t="shared" si="586"/>
        <v>0</v>
      </c>
    </row>
    <row r="110" spans="1:167" ht="14.45" hidden="1" customHeight="1" outlineLevel="1">
      <c r="A110" s="106">
        <f t="shared" si="572"/>
        <v>0</v>
      </c>
      <c r="B110" s="106">
        <f t="shared" si="572"/>
        <v>0</v>
      </c>
      <c r="C110" s="106">
        <f t="shared" si="572"/>
        <v>0</v>
      </c>
      <c r="D110" s="106">
        <f t="shared" si="572"/>
        <v>0</v>
      </c>
      <c r="E110" s="106">
        <f t="shared" si="572"/>
        <v>0</v>
      </c>
      <c r="F110" s="106">
        <f t="shared" si="572"/>
        <v>0</v>
      </c>
      <c r="G110" s="106">
        <f t="shared" si="572"/>
        <v>0</v>
      </c>
      <c r="H110" s="106">
        <f t="shared" si="572"/>
        <v>3639.6000000000022</v>
      </c>
      <c r="I110" s="106">
        <f t="shared" si="572"/>
        <v>38225</v>
      </c>
      <c r="J110" s="106">
        <f t="shared" si="572"/>
        <v>0</v>
      </c>
      <c r="K110" s="106">
        <f t="shared" si="572"/>
        <v>0</v>
      </c>
      <c r="L110" s="106">
        <f t="shared" si="572"/>
        <v>0</v>
      </c>
      <c r="M110" s="106">
        <f t="shared" si="573"/>
        <v>41864.600000000006</v>
      </c>
      <c r="N110" s="16" t="s">
        <v>90</v>
      </c>
      <c r="O110" s="106">
        <f t="shared" si="574"/>
        <v>0</v>
      </c>
      <c r="P110" s="106">
        <f t="shared" si="574"/>
        <v>0</v>
      </c>
      <c r="Q110" s="106">
        <f t="shared" si="574"/>
        <v>114.75</v>
      </c>
      <c r="R110" s="106">
        <f t="shared" si="574"/>
        <v>0</v>
      </c>
      <c r="S110" s="106">
        <f t="shared" si="574"/>
        <v>6750</v>
      </c>
      <c r="T110" s="106">
        <f t="shared" si="574"/>
        <v>0</v>
      </c>
      <c r="U110" s="106">
        <f t="shared" si="574"/>
        <v>0</v>
      </c>
      <c r="V110" s="106">
        <f t="shared" si="574"/>
        <v>176122.8</v>
      </c>
      <c r="W110" s="106">
        <f t="shared" si="574"/>
        <v>0</v>
      </c>
      <c r="X110" s="106">
        <f t="shared" si="574"/>
        <v>0</v>
      </c>
      <c r="Y110" s="106">
        <f t="shared" si="574"/>
        <v>0</v>
      </c>
      <c r="Z110" s="106">
        <f t="shared" si="574"/>
        <v>0</v>
      </c>
      <c r="AA110" s="106">
        <f t="shared" si="575"/>
        <v>182987.55</v>
      </c>
      <c r="AB110" s="118"/>
      <c r="AC110" s="106">
        <f t="shared" si="576"/>
        <v>0</v>
      </c>
      <c r="AD110" s="106">
        <f t="shared" si="576"/>
        <v>0</v>
      </c>
      <c r="AE110" s="106">
        <f t="shared" si="576"/>
        <v>0</v>
      </c>
      <c r="AF110" s="106">
        <f t="shared" si="576"/>
        <v>0</v>
      </c>
      <c r="AG110" s="106">
        <f t="shared" si="576"/>
        <v>0</v>
      </c>
      <c r="AH110" s="106">
        <f t="shared" si="576"/>
        <v>0</v>
      </c>
      <c r="AI110" s="106">
        <f t="shared" si="576"/>
        <v>0</v>
      </c>
      <c r="AJ110" s="106">
        <f t="shared" si="576"/>
        <v>0</v>
      </c>
      <c r="AK110" s="106">
        <f t="shared" si="576"/>
        <v>0</v>
      </c>
      <c r="AL110" s="106">
        <f t="shared" si="576"/>
        <v>0</v>
      </c>
      <c r="AM110" s="106">
        <f t="shared" si="576"/>
        <v>0</v>
      </c>
      <c r="AN110" s="106">
        <f t="shared" si="576"/>
        <v>0</v>
      </c>
      <c r="AO110" s="106">
        <f t="shared" si="577"/>
        <v>0</v>
      </c>
      <c r="AP110" s="106"/>
      <c r="AQ110" s="106">
        <f>+PMGR!AQ110+BP!AQ110</f>
        <v>0</v>
      </c>
      <c r="AR110" s="106">
        <f>+PMGR!AR110+BP!AR110</f>
        <v>0</v>
      </c>
      <c r="AS110" s="106">
        <f>+PMGR!AS110+BP!AS110</f>
        <v>0</v>
      </c>
      <c r="AT110" s="106">
        <f>+PMGR!AT110+BP!AT110</f>
        <v>0</v>
      </c>
      <c r="AU110" s="106">
        <f>+PMGR!AU110+BP!AU110</f>
        <v>0</v>
      </c>
      <c r="AV110" s="106">
        <f>+PMGR!AV110+BP!AV110</f>
        <v>0</v>
      </c>
      <c r="AW110" s="106">
        <f>+PMGR!AW110+BP!AW110</f>
        <v>0</v>
      </c>
      <c r="AX110" s="106">
        <f>+PMGR!AX110+BP!AX110</f>
        <v>2426.4000000000015</v>
      </c>
      <c r="AY110" s="106">
        <f>+PMGR!AY110+BP!AY110</f>
        <v>0</v>
      </c>
      <c r="AZ110" s="106">
        <f>+PMGR!AZ110+BP!AZ110</f>
        <v>0</v>
      </c>
      <c r="BA110" s="106">
        <f>+PMGR!BA110+BP!BA110</f>
        <v>0</v>
      </c>
      <c r="BB110" s="106">
        <f>+PMGR!BB110+BP!BB110</f>
        <v>0</v>
      </c>
      <c r="BC110" s="106">
        <f t="shared" si="578"/>
        <v>2426.4000000000015</v>
      </c>
      <c r="BD110" s="16" t="str">
        <f t="shared" si="405"/>
        <v>Retail Activation Program</v>
      </c>
      <c r="BE110" s="106">
        <f>+PMGR!BE110+BP!BE110</f>
        <v>0</v>
      </c>
      <c r="BF110" s="106">
        <f>+PMGR!BF110+BP!BF110</f>
        <v>0</v>
      </c>
      <c r="BG110" s="106">
        <f>+PMGR!BG110+BP!BG110</f>
        <v>76.5</v>
      </c>
      <c r="BH110" s="106">
        <f>+PMGR!BH110+BP!BH110</f>
        <v>0</v>
      </c>
      <c r="BI110" s="106">
        <f>+PMGR!BI110+BP!BI110</f>
        <v>4500</v>
      </c>
      <c r="BJ110" s="106">
        <f>+PMGR!BJ110+BP!BJ110</f>
        <v>0</v>
      </c>
      <c r="BK110" s="106">
        <f>+PMGR!BK110+BP!BK110</f>
        <v>0</v>
      </c>
      <c r="BL110" s="106">
        <f>+PMGR!BL110+BP!BL110</f>
        <v>117415.2</v>
      </c>
      <c r="BM110" s="106">
        <f>+PMGR!BM110+BP!BM110</f>
        <v>0</v>
      </c>
      <c r="BN110" s="106">
        <f>+PMGR!BN110+BP!BN110</f>
        <v>0</v>
      </c>
      <c r="BO110" s="106">
        <f>+PMGR!BO110+BP!BO110</f>
        <v>0</v>
      </c>
      <c r="BP110" s="106">
        <f>+PMGR!BP110+BP!BP110</f>
        <v>0</v>
      </c>
      <c r="BQ110" s="106">
        <f t="shared" si="579"/>
        <v>121991.7</v>
      </c>
      <c r="BR110" s="118"/>
      <c r="BS110" s="106">
        <f>+PMGR!BS110+BP!BS110</f>
        <v>0</v>
      </c>
      <c r="BT110" s="106">
        <f>+PMGR!BT110+BP!BT110</f>
        <v>0</v>
      </c>
      <c r="BU110" s="106">
        <f>+PMGR!BU110+BP!BU110</f>
        <v>0</v>
      </c>
      <c r="BV110" s="106">
        <f>+PMGR!BV110+BP!BV110</f>
        <v>0</v>
      </c>
      <c r="BW110" s="106">
        <f>+PMGR!BW110+BP!BW110</f>
        <v>0</v>
      </c>
      <c r="BX110" s="106">
        <f>+PMGR!BX110+BP!BX110</f>
        <v>0</v>
      </c>
      <c r="BY110" s="106">
        <f>+PMGR!BY110+BP!BY110</f>
        <v>0</v>
      </c>
      <c r="BZ110" s="106">
        <f>+PMGR!BZ110+BP!BZ110</f>
        <v>0</v>
      </c>
      <c r="CA110" s="106">
        <f>+PMGR!CA110+BP!CA110</f>
        <v>0</v>
      </c>
      <c r="CB110" s="106">
        <f>+PMGR!CB110+BP!CB110</f>
        <v>0</v>
      </c>
      <c r="CC110" s="106">
        <f>+PMGR!CC110+BP!CC110</f>
        <v>0</v>
      </c>
      <c r="CD110" s="106">
        <f>+PMGR!CD110+BP!CD110</f>
        <v>0</v>
      </c>
      <c r="CE110" s="106">
        <f t="shared" si="580"/>
        <v>0</v>
      </c>
      <c r="CF110" s="106"/>
      <c r="CG110" s="106">
        <f>+PMGR!CG110+BP!CG110</f>
        <v>0</v>
      </c>
      <c r="CH110" s="106">
        <f>+PMGR!CH110+BP!CH110</f>
        <v>0</v>
      </c>
      <c r="CI110" s="106">
        <f>+PMGR!CI110+BP!CI110</f>
        <v>0</v>
      </c>
      <c r="CJ110" s="106">
        <f>+PMGR!CJ110+BP!CJ110</f>
        <v>0</v>
      </c>
      <c r="CK110" s="106">
        <f>+PMGR!CK110+BP!CK110</f>
        <v>0</v>
      </c>
      <c r="CL110" s="106">
        <f>+PMGR!CL110+BP!CL110</f>
        <v>0</v>
      </c>
      <c r="CM110" s="106">
        <f>+PMGR!CM110+BP!CM110</f>
        <v>0</v>
      </c>
      <c r="CN110" s="106">
        <f>+PMGR!CN110+BP!CN110</f>
        <v>1213.2000000000007</v>
      </c>
      <c r="CO110" s="106">
        <f>+PMGR!CO110+BP!CO110</f>
        <v>38225</v>
      </c>
      <c r="CP110" s="106">
        <f>+PMGR!CP110+BP!CP110</f>
        <v>0</v>
      </c>
      <c r="CQ110" s="106">
        <f>+PMGR!CQ110+BP!CQ110</f>
        <v>0</v>
      </c>
      <c r="CR110" s="106">
        <f>+PMGR!CR110+BP!CR110</f>
        <v>0</v>
      </c>
      <c r="CS110" s="106">
        <f t="shared" si="581"/>
        <v>39438.199999999997</v>
      </c>
      <c r="CT110" s="16" t="str">
        <f t="shared" si="409"/>
        <v>Retail Activation Program</v>
      </c>
      <c r="CU110" s="106">
        <f>+PMGR!CU110+BP!CU110</f>
        <v>0</v>
      </c>
      <c r="CV110" s="106">
        <f>+PMGR!CV110+BP!CV110</f>
        <v>0</v>
      </c>
      <c r="CW110" s="106">
        <f>+PMGR!CW110+BP!CW110</f>
        <v>38.25</v>
      </c>
      <c r="CX110" s="106">
        <f>+PMGR!CX110+BP!CX110</f>
        <v>0</v>
      </c>
      <c r="CY110" s="106">
        <f>+PMGR!CY110+BP!CY110</f>
        <v>2250</v>
      </c>
      <c r="CZ110" s="106">
        <f>+PMGR!CZ110+BP!CZ110</f>
        <v>0</v>
      </c>
      <c r="DA110" s="106">
        <f>+PMGR!DA110+BP!DA110</f>
        <v>0</v>
      </c>
      <c r="DB110" s="106">
        <f>+PMGR!DB110+BP!DB110</f>
        <v>58707.6</v>
      </c>
      <c r="DC110" s="106">
        <f>+PMGR!DC110+BP!DC110</f>
        <v>0</v>
      </c>
      <c r="DD110" s="106">
        <f>+PMGR!DD110+BP!DD110</f>
        <v>0</v>
      </c>
      <c r="DE110" s="106">
        <f>+PMGR!DE110+BP!DE110</f>
        <v>0</v>
      </c>
      <c r="DF110" s="106">
        <f>+PMGR!DF110+BP!DF110</f>
        <v>0</v>
      </c>
      <c r="DG110" s="106">
        <f t="shared" si="582"/>
        <v>60995.85</v>
      </c>
      <c r="DH110" s="118"/>
      <c r="DI110" s="106">
        <f>+PMGR!DI110+BP!DI110</f>
        <v>0</v>
      </c>
      <c r="DJ110" s="106">
        <f>+PMGR!DJ110+BP!DJ110</f>
        <v>0</v>
      </c>
      <c r="DK110" s="106">
        <f>+PMGR!DK110+BP!DK110</f>
        <v>0</v>
      </c>
      <c r="DL110" s="106">
        <f>+PMGR!DL110+BP!DL110</f>
        <v>0</v>
      </c>
      <c r="DM110" s="106">
        <f>+PMGR!DM110+BP!DM110</f>
        <v>0</v>
      </c>
      <c r="DN110" s="106">
        <f>+PMGR!DN110+BP!DN110</f>
        <v>0</v>
      </c>
      <c r="DO110" s="106">
        <f>+PMGR!DO110+BP!DO110</f>
        <v>0</v>
      </c>
      <c r="DP110" s="106">
        <f>+PMGR!DP110+BP!DP110</f>
        <v>0</v>
      </c>
      <c r="DQ110" s="106">
        <f>+PMGR!DQ110+BP!DQ110</f>
        <v>0</v>
      </c>
      <c r="DR110" s="106">
        <f>+PMGR!DR110+BP!DR110</f>
        <v>0</v>
      </c>
      <c r="DS110" s="106">
        <f>+PMGR!DS110+BP!DS110</f>
        <v>0</v>
      </c>
      <c r="DT110" s="106">
        <f>+PMGR!DT110+BP!DT110</f>
        <v>0</v>
      </c>
      <c r="DU110" s="106">
        <f t="shared" si="583"/>
        <v>0</v>
      </c>
      <c r="DV110" s="106"/>
      <c r="DW110" s="106">
        <f>+PMGR!DW110+BP!DW110</f>
        <v>0</v>
      </c>
      <c r="DX110" s="106">
        <f>+PMGR!DX110+BP!DX110</f>
        <v>0</v>
      </c>
      <c r="DY110" s="106">
        <f>+PMGR!DY110+BP!DY110</f>
        <v>0</v>
      </c>
      <c r="DZ110" s="106">
        <f>+PMGR!DZ110+BP!DZ110</f>
        <v>0</v>
      </c>
      <c r="EA110" s="106">
        <f>+PMGR!EA110+BP!EA110</f>
        <v>0</v>
      </c>
      <c r="EB110" s="106">
        <f>+PMGR!EB110+BP!EB110</f>
        <v>0</v>
      </c>
      <c r="EC110" s="106">
        <f>+PMGR!EC110+BP!EC110</f>
        <v>0</v>
      </c>
      <c r="ED110" s="106">
        <f>+PMGR!ED110+BP!ED110</f>
        <v>0</v>
      </c>
      <c r="EE110" s="106">
        <f>+PMGR!EE110+BP!EE110</f>
        <v>0</v>
      </c>
      <c r="EF110" s="106">
        <f>+PMGR!EF110+BP!EF110</f>
        <v>0</v>
      </c>
      <c r="EG110" s="106">
        <f>+PMGR!EG110+BP!EG110</f>
        <v>0</v>
      </c>
      <c r="EH110" s="106">
        <f>+PMGR!EH110+BP!EH110</f>
        <v>0</v>
      </c>
      <c r="EI110" s="106">
        <f t="shared" si="584"/>
        <v>0</v>
      </c>
      <c r="EJ110" s="16" t="str">
        <f t="shared" si="457"/>
        <v>Retail Activation Program</v>
      </c>
      <c r="EK110" s="106">
        <f>+PMGR!EK110+BP!EK110</f>
        <v>0</v>
      </c>
      <c r="EL110" s="106">
        <f>+PMGR!EL110+BP!EL110</f>
        <v>0</v>
      </c>
      <c r="EM110" s="106">
        <f>+PMGR!EM110+BP!EM110</f>
        <v>0</v>
      </c>
      <c r="EN110" s="106">
        <f>+PMGR!EN110+BP!EN110</f>
        <v>0</v>
      </c>
      <c r="EO110" s="106">
        <f>+PMGR!EO110+BP!EO110</f>
        <v>0</v>
      </c>
      <c r="EP110" s="106">
        <f>+PMGR!EP110+BP!EP110</f>
        <v>0</v>
      </c>
      <c r="EQ110" s="106">
        <f>+PMGR!EQ110+BP!EQ110</f>
        <v>0</v>
      </c>
      <c r="ER110" s="106">
        <f>+PMGR!ER110+BP!ER110</f>
        <v>0</v>
      </c>
      <c r="ES110" s="106">
        <f>+PMGR!ES110+BP!ES110</f>
        <v>0</v>
      </c>
      <c r="ET110" s="106">
        <f>+PMGR!ET110+BP!ET110</f>
        <v>0</v>
      </c>
      <c r="EU110" s="106">
        <f>+PMGR!EU110+BP!EU110</f>
        <v>0</v>
      </c>
      <c r="EV110" s="106">
        <f>+PMGR!EV110+BP!EV110</f>
        <v>0</v>
      </c>
      <c r="EW110" s="106">
        <f t="shared" si="585"/>
        <v>0</v>
      </c>
      <c r="EX110" s="118"/>
      <c r="EY110" s="106">
        <f>+PMGR!EY110+BP!EY110</f>
        <v>0</v>
      </c>
      <c r="EZ110" s="106">
        <f>+PMGR!EZ110+BP!EZ110</f>
        <v>0</v>
      </c>
      <c r="FA110" s="106">
        <f>+PMGR!FA110+BP!FA110</f>
        <v>0</v>
      </c>
      <c r="FB110" s="106">
        <f>+PMGR!FB110+BP!FB110</f>
        <v>0</v>
      </c>
      <c r="FC110" s="106">
        <f>+PMGR!FC110+BP!FC110</f>
        <v>0</v>
      </c>
      <c r="FD110" s="106">
        <f>+PMGR!FD110+BP!FD110</f>
        <v>0</v>
      </c>
      <c r="FE110" s="106">
        <f>+PMGR!FE110+BP!FE110</f>
        <v>0</v>
      </c>
      <c r="FF110" s="106">
        <f>+PMGR!FF110+BP!FF110</f>
        <v>0</v>
      </c>
      <c r="FG110" s="106">
        <f>+PMGR!FG110+BP!FG110</f>
        <v>0</v>
      </c>
      <c r="FH110" s="106">
        <f>+PMGR!FH110+BP!FH110</f>
        <v>0</v>
      </c>
      <c r="FI110" s="106">
        <f>+PMGR!FI110+BP!FI110</f>
        <v>0</v>
      </c>
      <c r="FJ110" s="106">
        <f>+PMGR!FJ110+BP!FJ110</f>
        <v>0</v>
      </c>
      <c r="FK110" s="106">
        <f t="shared" si="586"/>
        <v>0</v>
      </c>
    </row>
    <row r="111" spans="1:167" ht="14.45" hidden="1" customHeight="1" outlineLevel="1">
      <c r="A111" s="106">
        <f t="shared" si="572"/>
        <v>0</v>
      </c>
      <c r="B111" s="106">
        <f t="shared" si="572"/>
        <v>0</v>
      </c>
      <c r="C111" s="106">
        <f t="shared" si="572"/>
        <v>0</v>
      </c>
      <c r="D111" s="106">
        <f t="shared" si="572"/>
        <v>0</v>
      </c>
      <c r="E111" s="106">
        <f t="shared" si="572"/>
        <v>0</v>
      </c>
      <c r="F111" s="106">
        <f t="shared" si="572"/>
        <v>0</v>
      </c>
      <c r="G111" s="106">
        <f t="shared" si="572"/>
        <v>0</v>
      </c>
      <c r="H111" s="106">
        <f t="shared" si="572"/>
        <v>0</v>
      </c>
      <c r="I111" s="106">
        <f t="shared" si="572"/>
        <v>0</v>
      </c>
      <c r="J111" s="106">
        <f t="shared" si="572"/>
        <v>0</v>
      </c>
      <c r="K111" s="106">
        <f t="shared" si="572"/>
        <v>0</v>
      </c>
      <c r="L111" s="106">
        <f t="shared" si="572"/>
        <v>0</v>
      </c>
      <c r="M111" s="106">
        <f t="shared" si="573"/>
        <v>0</v>
      </c>
      <c r="N111" s="16" t="s">
        <v>91</v>
      </c>
      <c r="O111" s="106">
        <f t="shared" si="574"/>
        <v>0</v>
      </c>
      <c r="P111" s="106">
        <f t="shared" si="574"/>
        <v>0</v>
      </c>
      <c r="Q111" s="106">
        <f t="shared" si="574"/>
        <v>0</v>
      </c>
      <c r="R111" s="106">
        <f t="shared" si="574"/>
        <v>0</v>
      </c>
      <c r="S111" s="106">
        <f t="shared" si="574"/>
        <v>0</v>
      </c>
      <c r="T111" s="106">
        <f t="shared" si="574"/>
        <v>0</v>
      </c>
      <c r="U111" s="106">
        <f t="shared" si="574"/>
        <v>0</v>
      </c>
      <c r="V111" s="106">
        <f t="shared" si="574"/>
        <v>0</v>
      </c>
      <c r="W111" s="106">
        <f t="shared" si="574"/>
        <v>0</v>
      </c>
      <c r="X111" s="106">
        <f t="shared" si="574"/>
        <v>0</v>
      </c>
      <c r="Y111" s="106">
        <f t="shared" si="574"/>
        <v>0</v>
      </c>
      <c r="Z111" s="106">
        <f t="shared" si="574"/>
        <v>0</v>
      </c>
      <c r="AA111" s="106">
        <f t="shared" si="575"/>
        <v>0</v>
      </c>
      <c r="AB111" s="118"/>
      <c r="AC111" s="106">
        <f t="shared" si="576"/>
        <v>0</v>
      </c>
      <c r="AD111" s="106">
        <f t="shared" si="576"/>
        <v>0</v>
      </c>
      <c r="AE111" s="106">
        <f t="shared" si="576"/>
        <v>0</v>
      </c>
      <c r="AF111" s="106">
        <f t="shared" si="576"/>
        <v>0</v>
      </c>
      <c r="AG111" s="106">
        <f t="shared" si="576"/>
        <v>155270</v>
      </c>
      <c r="AH111" s="106">
        <f t="shared" si="576"/>
        <v>106119.00000000001</v>
      </c>
      <c r="AI111" s="106">
        <f t="shared" si="576"/>
        <v>105729</v>
      </c>
      <c r="AJ111" s="106">
        <f t="shared" si="576"/>
        <v>109530</v>
      </c>
      <c r="AK111" s="106">
        <f t="shared" si="576"/>
        <v>125340</v>
      </c>
      <c r="AL111" s="106">
        <f t="shared" si="576"/>
        <v>90005</v>
      </c>
      <c r="AM111" s="106">
        <f t="shared" si="576"/>
        <v>100000</v>
      </c>
      <c r="AN111" s="106">
        <f t="shared" si="576"/>
        <v>76082</v>
      </c>
      <c r="AO111" s="106">
        <f t="shared" si="577"/>
        <v>868075</v>
      </c>
      <c r="AP111" s="106"/>
      <c r="AQ111" s="106">
        <f>+PMGR!AQ111+BP!AQ111</f>
        <v>0</v>
      </c>
      <c r="AR111" s="106">
        <f>+PMGR!AR111+BP!AR111</f>
        <v>0</v>
      </c>
      <c r="AS111" s="106">
        <f>+PMGR!AS111+BP!AS111</f>
        <v>0</v>
      </c>
      <c r="AT111" s="106">
        <f>+PMGR!AT111+BP!AT111</f>
        <v>0</v>
      </c>
      <c r="AU111" s="106">
        <f>+PMGR!AU111+BP!AU111</f>
        <v>0</v>
      </c>
      <c r="AV111" s="106">
        <f>+PMGR!AV111+BP!AV111</f>
        <v>0</v>
      </c>
      <c r="AW111" s="106">
        <f>+PMGR!AW111+BP!AW111</f>
        <v>0</v>
      </c>
      <c r="AX111" s="106">
        <f>+PMGR!AX111+BP!AX111</f>
        <v>0</v>
      </c>
      <c r="AY111" s="106">
        <f>+PMGR!AY111+BP!AY111</f>
        <v>0</v>
      </c>
      <c r="AZ111" s="106">
        <f>+PMGR!AZ111+BP!AZ111</f>
        <v>0</v>
      </c>
      <c r="BA111" s="106">
        <f>+PMGR!BA111+BP!BA111</f>
        <v>0</v>
      </c>
      <c r="BB111" s="106">
        <f>+PMGR!BB111+BP!BB111</f>
        <v>0</v>
      </c>
      <c r="BC111" s="106">
        <f t="shared" si="578"/>
        <v>0</v>
      </c>
      <c r="BD111" s="16" t="str">
        <f t="shared" si="405"/>
        <v>Retention Program</v>
      </c>
      <c r="BE111" s="106">
        <f>+PMGR!BE111+BP!BE111</f>
        <v>0</v>
      </c>
      <c r="BF111" s="106">
        <f>+PMGR!BF111+BP!BF111</f>
        <v>0</v>
      </c>
      <c r="BG111" s="106">
        <f>+PMGR!BG111+BP!BG111</f>
        <v>0</v>
      </c>
      <c r="BH111" s="106">
        <f>+PMGR!BH111+BP!BH111</f>
        <v>0</v>
      </c>
      <c r="BI111" s="106">
        <f>+PMGR!BI111+BP!BI111</f>
        <v>0</v>
      </c>
      <c r="BJ111" s="106">
        <f>+PMGR!BJ111+BP!BJ111</f>
        <v>0</v>
      </c>
      <c r="BK111" s="106">
        <f>+PMGR!BK111+BP!BK111</f>
        <v>0</v>
      </c>
      <c r="BL111" s="106">
        <f>+PMGR!BL111+BP!BL111</f>
        <v>0</v>
      </c>
      <c r="BM111" s="106">
        <f>+PMGR!BM111+BP!BM111</f>
        <v>0</v>
      </c>
      <c r="BN111" s="106">
        <f>+PMGR!BN111+BP!BN111</f>
        <v>0</v>
      </c>
      <c r="BO111" s="106">
        <f>+PMGR!BO111+BP!BO111</f>
        <v>0</v>
      </c>
      <c r="BP111" s="106">
        <f>+PMGR!BP111+BP!BP111</f>
        <v>0</v>
      </c>
      <c r="BQ111" s="106">
        <f t="shared" si="579"/>
        <v>0</v>
      </c>
      <c r="BR111" s="118"/>
      <c r="BS111" s="106">
        <f>+PMGR!BS111+BP!BS111</f>
        <v>0</v>
      </c>
      <c r="BT111" s="106">
        <f>+PMGR!BT111+BP!BT111</f>
        <v>0</v>
      </c>
      <c r="BU111" s="106">
        <f>+PMGR!BU111+BP!BU111</f>
        <v>0</v>
      </c>
      <c r="BV111" s="106">
        <f>+PMGR!BV111+BP!BV111</f>
        <v>0</v>
      </c>
      <c r="BW111" s="106">
        <f>+PMGR!BW111+BP!BW111</f>
        <v>0</v>
      </c>
      <c r="BX111" s="106">
        <f>+PMGR!BX111+BP!BX111</f>
        <v>0</v>
      </c>
      <c r="BY111" s="106">
        <f>+PMGR!BY111+BP!BY111</f>
        <v>0</v>
      </c>
      <c r="BZ111" s="106">
        <f>+PMGR!BZ111+BP!BZ111</f>
        <v>0</v>
      </c>
      <c r="CA111" s="106">
        <f>+PMGR!CA111+BP!CA111</f>
        <v>0</v>
      </c>
      <c r="CB111" s="106">
        <f>+PMGR!CB111+BP!CB111</f>
        <v>0</v>
      </c>
      <c r="CC111" s="106">
        <f>+PMGR!CC111+BP!CC111</f>
        <v>0</v>
      </c>
      <c r="CD111" s="106">
        <f>+PMGR!CD111+BP!CD111</f>
        <v>0</v>
      </c>
      <c r="CE111" s="106">
        <f t="shared" si="580"/>
        <v>0</v>
      </c>
      <c r="CF111" s="106"/>
      <c r="CG111" s="106">
        <f>+PMGR!CG111+BP!CG111</f>
        <v>0</v>
      </c>
      <c r="CH111" s="106">
        <f>+PMGR!CH111+BP!CH111</f>
        <v>0</v>
      </c>
      <c r="CI111" s="106">
        <f>+PMGR!CI111+BP!CI111</f>
        <v>0</v>
      </c>
      <c r="CJ111" s="106">
        <f>+PMGR!CJ111+BP!CJ111</f>
        <v>0</v>
      </c>
      <c r="CK111" s="106">
        <f>+PMGR!CK111+BP!CK111</f>
        <v>0</v>
      </c>
      <c r="CL111" s="106">
        <f>+PMGR!CL111+BP!CL111</f>
        <v>0</v>
      </c>
      <c r="CM111" s="106">
        <f>+PMGR!CM111+BP!CM111</f>
        <v>0</v>
      </c>
      <c r="CN111" s="106">
        <f>+PMGR!CN111+BP!CN111</f>
        <v>0</v>
      </c>
      <c r="CO111" s="106">
        <f>+PMGR!CO111+BP!CO111</f>
        <v>0</v>
      </c>
      <c r="CP111" s="106">
        <f>+PMGR!CP111+BP!CP111</f>
        <v>0</v>
      </c>
      <c r="CQ111" s="106">
        <f>+PMGR!CQ111+BP!CQ111</f>
        <v>0</v>
      </c>
      <c r="CR111" s="106">
        <f>+PMGR!CR111+BP!CR111</f>
        <v>0</v>
      </c>
      <c r="CS111" s="106">
        <f t="shared" si="581"/>
        <v>0</v>
      </c>
      <c r="CT111" s="16" t="str">
        <f t="shared" si="409"/>
        <v>Retention Program</v>
      </c>
      <c r="CU111" s="106">
        <f>+PMGR!CU111+BP!CU111</f>
        <v>0</v>
      </c>
      <c r="CV111" s="106">
        <f>+PMGR!CV111+BP!CV111</f>
        <v>0</v>
      </c>
      <c r="CW111" s="106">
        <f>+PMGR!CW111+BP!CW111</f>
        <v>0</v>
      </c>
      <c r="CX111" s="106">
        <f>+PMGR!CX111+BP!CX111</f>
        <v>0</v>
      </c>
      <c r="CY111" s="106">
        <f>+PMGR!CY111+BP!CY111</f>
        <v>0</v>
      </c>
      <c r="CZ111" s="106">
        <f>+PMGR!CZ111+BP!CZ111</f>
        <v>0</v>
      </c>
      <c r="DA111" s="106">
        <f>+PMGR!DA111+BP!DA111</f>
        <v>0</v>
      </c>
      <c r="DB111" s="106">
        <f>+PMGR!DB111+BP!DB111</f>
        <v>0</v>
      </c>
      <c r="DC111" s="106">
        <f>+PMGR!DC111+BP!DC111</f>
        <v>0</v>
      </c>
      <c r="DD111" s="106">
        <f>+PMGR!DD111+BP!DD111</f>
        <v>0</v>
      </c>
      <c r="DE111" s="106">
        <f>+PMGR!DE111+BP!DE111</f>
        <v>0</v>
      </c>
      <c r="DF111" s="106">
        <f>+PMGR!DF111+BP!DF111</f>
        <v>0</v>
      </c>
      <c r="DG111" s="106">
        <f t="shared" si="582"/>
        <v>0</v>
      </c>
      <c r="DH111" s="118"/>
      <c r="DI111" s="106">
        <f>+PMGR!DI111+BP!DI111</f>
        <v>0</v>
      </c>
      <c r="DJ111" s="106">
        <f>+PMGR!DJ111+BP!DJ111</f>
        <v>0</v>
      </c>
      <c r="DK111" s="106">
        <f>+PMGR!DK111+BP!DK111</f>
        <v>0</v>
      </c>
      <c r="DL111" s="106">
        <f>+PMGR!DL111+BP!DL111</f>
        <v>0</v>
      </c>
      <c r="DM111" s="106">
        <f>+PMGR!DM111+BP!DM111</f>
        <v>155270</v>
      </c>
      <c r="DN111" s="106">
        <f>+PMGR!DN111+BP!DN111</f>
        <v>106119.00000000001</v>
      </c>
      <c r="DO111" s="106">
        <f>+PMGR!DO111+BP!DO111</f>
        <v>105729</v>
      </c>
      <c r="DP111" s="106">
        <f>+PMGR!DP111+BP!DP111</f>
        <v>109530</v>
      </c>
      <c r="DQ111" s="106">
        <f>+PMGR!DQ111+BP!DQ111</f>
        <v>125340</v>
      </c>
      <c r="DR111" s="106">
        <f>+PMGR!DR111+BP!DR111</f>
        <v>90005</v>
      </c>
      <c r="DS111" s="106">
        <f>+PMGR!DS111+BP!DS111</f>
        <v>100000</v>
      </c>
      <c r="DT111" s="106">
        <f>+PMGR!DT111+BP!DT111</f>
        <v>76082</v>
      </c>
      <c r="DU111" s="106">
        <f t="shared" si="583"/>
        <v>868075</v>
      </c>
      <c r="DV111" s="106"/>
      <c r="DW111" s="106">
        <f>+PMGR!DW111+BP!DW111</f>
        <v>0</v>
      </c>
      <c r="DX111" s="106">
        <f>+PMGR!DX111+BP!DX111</f>
        <v>0</v>
      </c>
      <c r="DY111" s="106">
        <f>+PMGR!DY111+BP!DY111</f>
        <v>0</v>
      </c>
      <c r="DZ111" s="106">
        <f>+PMGR!DZ111+BP!DZ111</f>
        <v>0</v>
      </c>
      <c r="EA111" s="106">
        <f>+PMGR!EA111+BP!EA111</f>
        <v>0</v>
      </c>
      <c r="EB111" s="106">
        <f>+PMGR!EB111+BP!EB111</f>
        <v>0</v>
      </c>
      <c r="EC111" s="106">
        <f>+PMGR!EC111+BP!EC111</f>
        <v>0</v>
      </c>
      <c r="ED111" s="106">
        <f>+PMGR!ED111+BP!ED111</f>
        <v>0</v>
      </c>
      <c r="EE111" s="106">
        <f>+PMGR!EE111+BP!EE111</f>
        <v>0</v>
      </c>
      <c r="EF111" s="106">
        <f>+PMGR!EF111+BP!EF111</f>
        <v>0</v>
      </c>
      <c r="EG111" s="106">
        <f>+PMGR!EG111+BP!EG111</f>
        <v>0</v>
      </c>
      <c r="EH111" s="106">
        <f>+PMGR!EH111+BP!EH111</f>
        <v>0</v>
      </c>
      <c r="EI111" s="106">
        <f t="shared" si="584"/>
        <v>0</v>
      </c>
      <c r="EJ111" s="16" t="str">
        <f t="shared" si="457"/>
        <v>Retention Program</v>
      </c>
      <c r="EK111" s="106">
        <f>+PMGR!EK111+BP!EK111</f>
        <v>0</v>
      </c>
      <c r="EL111" s="106">
        <f>+PMGR!EL111+BP!EL111</f>
        <v>0</v>
      </c>
      <c r="EM111" s="106">
        <f>+PMGR!EM111+BP!EM111</f>
        <v>0</v>
      </c>
      <c r="EN111" s="106">
        <f>+PMGR!EN111+BP!EN111</f>
        <v>0</v>
      </c>
      <c r="EO111" s="106">
        <f>+PMGR!EO111+BP!EO111</f>
        <v>0</v>
      </c>
      <c r="EP111" s="106">
        <f>+PMGR!EP111+BP!EP111</f>
        <v>0</v>
      </c>
      <c r="EQ111" s="106">
        <f>+PMGR!EQ111+BP!EQ111</f>
        <v>0</v>
      </c>
      <c r="ER111" s="106">
        <f>+PMGR!ER111+BP!ER111</f>
        <v>0</v>
      </c>
      <c r="ES111" s="106">
        <f>+PMGR!ES111+BP!ES111</f>
        <v>0</v>
      </c>
      <c r="ET111" s="106">
        <f>+PMGR!ET111+BP!ET111</f>
        <v>0</v>
      </c>
      <c r="EU111" s="106">
        <f>+PMGR!EU111+BP!EU111</f>
        <v>0</v>
      </c>
      <c r="EV111" s="106">
        <f>+PMGR!EV111+BP!EV111</f>
        <v>0</v>
      </c>
      <c r="EW111" s="106">
        <f t="shared" si="585"/>
        <v>0</v>
      </c>
      <c r="EX111" s="118"/>
      <c r="EY111" s="106">
        <f>+PMGR!EY111+BP!EY111</f>
        <v>0</v>
      </c>
      <c r="EZ111" s="106">
        <f>+PMGR!EZ111+BP!EZ111</f>
        <v>0</v>
      </c>
      <c r="FA111" s="106">
        <f>+PMGR!FA111+BP!FA111</f>
        <v>0</v>
      </c>
      <c r="FB111" s="106">
        <f>+PMGR!FB111+BP!FB111</f>
        <v>0</v>
      </c>
      <c r="FC111" s="106">
        <f>+PMGR!FC111+BP!FC111</f>
        <v>0</v>
      </c>
      <c r="FD111" s="106">
        <f>+PMGR!FD111+BP!FD111</f>
        <v>0</v>
      </c>
      <c r="FE111" s="106">
        <f>+PMGR!FE111+BP!FE111</f>
        <v>0</v>
      </c>
      <c r="FF111" s="106">
        <f>+PMGR!FF111+BP!FF111</f>
        <v>0</v>
      </c>
      <c r="FG111" s="106">
        <f>+PMGR!FG111+BP!FG111</f>
        <v>0</v>
      </c>
      <c r="FH111" s="106">
        <f>+PMGR!FH111+BP!FH111</f>
        <v>0</v>
      </c>
      <c r="FI111" s="106">
        <f>+PMGR!FI111+BP!FI111</f>
        <v>0</v>
      </c>
      <c r="FJ111" s="106">
        <f>+PMGR!FJ111+BP!FJ111</f>
        <v>0</v>
      </c>
      <c r="FK111" s="106">
        <f t="shared" si="586"/>
        <v>0</v>
      </c>
    </row>
    <row r="112" spans="1:167" ht="14.45" hidden="1" customHeight="1" outlineLevel="1">
      <c r="A112" s="106">
        <f t="shared" si="572"/>
        <v>0</v>
      </c>
      <c r="B112" s="106">
        <f t="shared" si="572"/>
        <v>0</v>
      </c>
      <c r="C112" s="106">
        <f t="shared" si="572"/>
        <v>5420</v>
      </c>
      <c r="D112" s="106">
        <f t="shared" si="572"/>
        <v>8420</v>
      </c>
      <c r="E112" s="106">
        <f t="shared" si="572"/>
        <v>5420</v>
      </c>
      <c r="F112" s="106">
        <f t="shared" si="572"/>
        <v>6860</v>
      </c>
      <c r="G112" s="106">
        <f t="shared" si="572"/>
        <v>0</v>
      </c>
      <c r="H112" s="106">
        <f t="shared" si="572"/>
        <v>148820</v>
      </c>
      <c r="I112" s="106">
        <f t="shared" si="572"/>
        <v>3000</v>
      </c>
      <c r="J112" s="106">
        <f t="shared" si="572"/>
        <v>89076</v>
      </c>
      <c r="K112" s="106">
        <f t="shared" si="572"/>
        <v>0</v>
      </c>
      <c r="L112" s="106">
        <f t="shared" si="572"/>
        <v>219670</v>
      </c>
      <c r="M112" s="106">
        <f t="shared" si="573"/>
        <v>486686</v>
      </c>
      <c r="N112" s="16" t="s">
        <v>92</v>
      </c>
      <c r="O112" s="106">
        <f t="shared" si="574"/>
        <v>29724</v>
      </c>
      <c r="P112" s="106">
        <f t="shared" si="574"/>
        <v>35263</v>
      </c>
      <c r="Q112" s="106">
        <f t="shared" si="574"/>
        <v>58509</v>
      </c>
      <c r="R112" s="106">
        <f t="shared" si="574"/>
        <v>3700</v>
      </c>
      <c r="S112" s="106">
        <f t="shared" si="574"/>
        <v>257628.47999999998</v>
      </c>
      <c r="T112" s="106">
        <f t="shared" si="574"/>
        <v>63349.39</v>
      </c>
      <c r="U112" s="106">
        <f t="shared" si="574"/>
        <v>36848</v>
      </c>
      <c r="V112" s="106">
        <f t="shared" si="574"/>
        <v>41282.720000000001</v>
      </c>
      <c r="W112" s="106">
        <f t="shared" si="574"/>
        <v>75465</v>
      </c>
      <c r="X112" s="106">
        <f t="shared" si="574"/>
        <v>11822.34</v>
      </c>
      <c r="Y112" s="106">
        <f t="shared" si="574"/>
        <v>0</v>
      </c>
      <c r="Z112" s="106">
        <f t="shared" si="574"/>
        <v>0</v>
      </c>
      <c r="AA112" s="106">
        <f t="shared" si="575"/>
        <v>613591.92999999993</v>
      </c>
      <c r="AB112" s="118"/>
      <c r="AC112" s="106">
        <f t="shared" si="576"/>
        <v>10790.625965520003</v>
      </c>
      <c r="AD112" s="106">
        <f t="shared" si="576"/>
        <v>10576.945327520003</v>
      </c>
      <c r="AE112" s="106">
        <f t="shared" si="576"/>
        <v>10725.446933360003</v>
      </c>
      <c r="AF112" s="106">
        <f t="shared" si="576"/>
        <v>9134.1645007040006</v>
      </c>
      <c r="AG112" s="106">
        <f t="shared" si="576"/>
        <v>10434.872002720003</v>
      </c>
      <c r="AH112" s="106">
        <f t="shared" si="576"/>
        <v>10912.758296960001</v>
      </c>
      <c r="AI112" s="106">
        <f t="shared" si="576"/>
        <v>11327.882992320001</v>
      </c>
      <c r="AJ112" s="106">
        <f t="shared" si="576"/>
        <v>11595.492814800005</v>
      </c>
      <c r="AK112" s="106">
        <f t="shared" si="576"/>
        <v>11880.991112880001</v>
      </c>
      <c r="AL112" s="106">
        <f t="shared" si="576"/>
        <v>10507.907322400002</v>
      </c>
      <c r="AM112" s="106">
        <f t="shared" si="576"/>
        <v>9567.8611635200014</v>
      </c>
      <c r="AN112" s="106">
        <f t="shared" si="576"/>
        <v>11535.062586080001</v>
      </c>
      <c r="AO112" s="106">
        <f t="shared" si="577"/>
        <v>128990.01101878403</v>
      </c>
      <c r="AP112" s="106"/>
      <c r="AQ112" s="106">
        <f>+PMGR!AQ112+BP!AQ112</f>
        <v>0</v>
      </c>
      <c r="AR112" s="106">
        <f>+PMGR!AR112+BP!AR112</f>
        <v>0</v>
      </c>
      <c r="AS112" s="106">
        <f>+PMGR!AS112+BP!AS112</f>
        <v>5420</v>
      </c>
      <c r="AT112" s="106">
        <f>+PMGR!AT112+BP!AT112</f>
        <v>8420</v>
      </c>
      <c r="AU112" s="106">
        <f>+PMGR!AU112+BP!AU112</f>
        <v>5420</v>
      </c>
      <c r="AV112" s="106">
        <f>+PMGR!AV112+BP!AV112</f>
        <v>5420</v>
      </c>
      <c r="AW112" s="106">
        <f>+PMGR!AW112+BP!AW112</f>
        <v>0</v>
      </c>
      <c r="AX112" s="106">
        <f>+PMGR!AX112+BP!AX112</f>
        <v>148820</v>
      </c>
      <c r="AY112" s="106">
        <f>+PMGR!AY112+BP!AY112</f>
        <v>3000</v>
      </c>
      <c r="AZ112" s="106">
        <f>+PMGR!AZ112+BP!AZ112</f>
        <v>89076</v>
      </c>
      <c r="BA112" s="106">
        <f>+PMGR!BA112+BP!BA112</f>
        <v>0</v>
      </c>
      <c r="BB112" s="106">
        <f>+PMGR!BB112+BP!BB112</f>
        <v>-183355</v>
      </c>
      <c r="BC112" s="106">
        <f t="shared" si="578"/>
        <v>82221</v>
      </c>
      <c r="BD112" s="16" t="str">
        <f t="shared" si="405"/>
        <v>Service Compaign and Other Activities</v>
      </c>
      <c r="BE112" s="106">
        <f>+PMGR!BE112+BP!BE112</f>
        <v>15000</v>
      </c>
      <c r="BF112" s="106">
        <f>+PMGR!BF112+BP!BF112</f>
        <v>5920</v>
      </c>
      <c r="BG112" s="106">
        <f>+PMGR!BG112+BP!BG112</f>
        <v>16200</v>
      </c>
      <c r="BH112" s="106">
        <f>+PMGR!BH112+BP!BH112</f>
        <v>0</v>
      </c>
      <c r="BI112" s="106">
        <f>+PMGR!BI112+BP!BI112</f>
        <v>27786.949999999997</v>
      </c>
      <c r="BJ112" s="106">
        <f>+PMGR!BJ112+BP!BJ112</f>
        <v>14075</v>
      </c>
      <c r="BK112" s="106">
        <f>+PMGR!BK112+BP!BK112</f>
        <v>5920</v>
      </c>
      <c r="BL112" s="106">
        <f>+PMGR!BL112+BP!BL112</f>
        <v>38067.800000000003</v>
      </c>
      <c r="BM112" s="106">
        <f>+PMGR!BM112+BP!BM112</f>
        <v>17990</v>
      </c>
      <c r="BN112" s="106">
        <f>+PMGR!BN112+BP!BN112</f>
        <v>4320.3999999999996</v>
      </c>
      <c r="BO112" s="106">
        <f>+PMGR!BO112+BP!BO112</f>
        <v>0</v>
      </c>
      <c r="BP112" s="106">
        <f>+PMGR!BP112+BP!BP112</f>
        <v>0</v>
      </c>
      <c r="BQ112" s="106">
        <f t="shared" si="579"/>
        <v>145280.15</v>
      </c>
      <c r="BR112" s="118"/>
      <c r="BS112" s="106">
        <f>+PMGR!BS112+BP!BS112</f>
        <v>5837.934978000002</v>
      </c>
      <c r="BT112" s="106">
        <f>+PMGR!BT112+BP!BT112</f>
        <v>5730.9995534400023</v>
      </c>
      <c r="BU112" s="106">
        <f>+PMGR!BU112+BP!BU112</f>
        <v>5307.5869509600006</v>
      </c>
      <c r="BV112" s="106">
        <f>+PMGR!BV112+BP!BV112</f>
        <v>4983.0726839039999</v>
      </c>
      <c r="BW112" s="106">
        <f>+PMGR!BW112+BP!BW112</f>
        <v>5491.4609836800009</v>
      </c>
      <c r="BX112" s="106">
        <f>+PMGR!BX112+BP!BX112</f>
        <v>5684.2980767999998</v>
      </c>
      <c r="BY112" s="106">
        <f>+PMGR!BY112+BP!BY112</f>
        <v>5823.3472819200006</v>
      </c>
      <c r="BZ112" s="106">
        <f>+PMGR!BZ112+BP!BZ112</f>
        <v>6071.2170472800026</v>
      </c>
      <c r="CA112" s="106">
        <f>+PMGR!CA112+BP!CA112</f>
        <v>6437.8656468000008</v>
      </c>
      <c r="CB112" s="106">
        <f>+PMGR!CB112+BP!CB112</f>
        <v>5644.8536256000007</v>
      </c>
      <c r="CC112" s="106">
        <f>+PMGR!CC112+BP!CC112</f>
        <v>4515.8829004800009</v>
      </c>
      <c r="CD112" s="106">
        <f>+PMGR!CD112+BP!CD112</f>
        <v>5967.4166899200009</v>
      </c>
      <c r="CE112" s="106">
        <f t="shared" si="580"/>
        <v>67495.936418784011</v>
      </c>
      <c r="CF112" s="106"/>
      <c r="CG112" s="106">
        <f>+PMGR!CG112+BP!CG112</f>
        <v>0</v>
      </c>
      <c r="CH112" s="106">
        <f>+PMGR!CH112+BP!CH112</f>
        <v>0</v>
      </c>
      <c r="CI112" s="106">
        <f>+PMGR!CI112+BP!CI112</f>
        <v>0</v>
      </c>
      <c r="CJ112" s="106">
        <f>+PMGR!CJ112+BP!CJ112</f>
        <v>0</v>
      </c>
      <c r="CK112" s="106">
        <f>+PMGR!CK112+BP!CK112</f>
        <v>0</v>
      </c>
      <c r="CL112" s="106">
        <f>+PMGR!CL112+BP!CL112</f>
        <v>1440</v>
      </c>
      <c r="CM112" s="106">
        <f>+PMGR!CM112+BP!CM112</f>
        <v>0</v>
      </c>
      <c r="CN112" s="106">
        <f>+PMGR!CN112+BP!CN112</f>
        <v>0</v>
      </c>
      <c r="CO112" s="106">
        <f>+PMGR!CO112+BP!CO112</f>
        <v>0</v>
      </c>
      <c r="CP112" s="106">
        <f>+PMGR!CP112+BP!CP112</f>
        <v>0</v>
      </c>
      <c r="CQ112" s="106">
        <f>+PMGR!CQ112+BP!CQ112</f>
        <v>0</v>
      </c>
      <c r="CR112" s="106">
        <f>+PMGR!CR112+BP!CR112</f>
        <v>403025</v>
      </c>
      <c r="CS112" s="106">
        <f t="shared" si="581"/>
        <v>404465</v>
      </c>
      <c r="CT112" s="16" t="str">
        <f t="shared" si="409"/>
        <v>Service Compaign and Other Activities</v>
      </c>
      <c r="CU112" s="106">
        <f>+PMGR!CU112+BP!CU112</f>
        <v>12250</v>
      </c>
      <c r="CV112" s="106">
        <f>+PMGR!CV112+BP!CV112</f>
        <v>27005</v>
      </c>
      <c r="CW112" s="106">
        <f>+PMGR!CW112+BP!CW112</f>
        <v>6600</v>
      </c>
      <c r="CX112" s="106">
        <f>+PMGR!CX112+BP!CX112</f>
        <v>0</v>
      </c>
      <c r="CY112" s="106">
        <f>+PMGR!CY112+BP!CY112</f>
        <v>14447.6</v>
      </c>
      <c r="CZ112" s="106">
        <f>+PMGR!CZ112+BP!CZ112</f>
        <v>0</v>
      </c>
      <c r="DA112" s="106">
        <f>+PMGR!DA112+BP!DA112</f>
        <v>0</v>
      </c>
      <c r="DB112" s="106">
        <f>+PMGR!DB112+BP!DB112</f>
        <v>0</v>
      </c>
      <c r="DC112" s="106">
        <f>+PMGR!DC112+BP!DC112</f>
        <v>5360</v>
      </c>
      <c r="DD112" s="106">
        <f>+PMGR!DD112+BP!DD112</f>
        <v>3020.4</v>
      </c>
      <c r="DE112" s="106">
        <f>+PMGR!DE112+BP!DE112</f>
        <v>0</v>
      </c>
      <c r="DF112" s="106">
        <f>+PMGR!DF112+BP!DF112</f>
        <v>0</v>
      </c>
      <c r="DG112" s="106">
        <f t="shared" si="582"/>
        <v>68683</v>
      </c>
      <c r="DH112" s="118"/>
      <c r="DI112" s="106">
        <f>+PMGR!DI112+BP!DI112</f>
        <v>3702.6989875200011</v>
      </c>
      <c r="DJ112" s="106">
        <f>+PMGR!DJ112+BP!DJ112</f>
        <v>3679.2865740800007</v>
      </c>
      <c r="DK112" s="106">
        <f>+PMGR!DK112+BP!DK112</f>
        <v>4115.7849824000004</v>
      </c>
      <c r="DL112" s="106">
        <f>+PMGR!DL112+BP!DL112</f>
        <v>2984.4326168000007</v>
      </c>
      <c r="DM112" s="106">
        <f>+PMGR!DM112+BP!DM112</f>
        <v>3554.5310190400005</v>
      </c>
      <c r="DN112" s="106">
        <f>+PMGR!DN112+BP!DN112</f>
        <v>3839.58022016</v>
      </c>
      <c r="DO112" s="106">
        <f>+PMGR!DO112+BP!DO112</f>
        <v>3942.0457104000002</v>
      </c>
      <c r="DP112" s="106">
        <f>+PMGR!DP112+BP!DP112</f>
        <v>4019.6557675200011</v>
      </c>
      <c r="DQ112" s="106">
        <f>+PMGR!DQ112+BP!DQ112</f>
        <v>4005.6346660800004</v>
      </c>
      <c r="DR112" s="106">
        <f>+PMGR!DR112+BP!DR112</f>
        <v>3242.6936968000009</v>
      </c>
      <c r="DS112" s="106">
        <f>+PMGR!DS112+BP!DS112</f>
        <v>3373.7482630400004</v>
      </c>
      <c r="DT112" s="106">
        <f>+PMGR!DT112+BP!DT112</f>
        <v>3762.1018961599998</v>
      </c>
      <c r="DU112" s="106">
        <f t="shared" si="583"/>
        <v>44222.1944</v>
      </c>
      <c r="DV112" s="106"/>
      <c r="DW112" s="106">
        <f>+PMGR!DW112+BP!DW112</f>
        <v>0</v>
      </c>
      <c r="DX112" s="106">
        <f>+PMGR!DX112+BP!DX112</f>
        <v>0</v>
      </c>
      <c r="DY112" s="106">
        <f>+PMGR!DY112+BP!DY112</f>
        <v>0</v>
      </c>
      <c r="DZ112" s="106">
        <f>+PMGR!DZ112+BP!DZ112</f>
        <v>0</v>
      </c>
      <c r="EA112" s="106">
        <f>+PMGR!EA112+BP!EA112</f>
        <v>0</v>
      </c>
      <c r="EB112" s="106">
        <f>+PMGR!EB112+BP!EB112</f>
        <v>0</v>
      </c>
      <c r="EC112" s="106">
        <f>+PMGR!EC112+BP!EC112</f>
        <v>0</v>
      </c>
      <c r="ED112" s="106">
        <f>+PMGR!ED112+BP!ED112</f>
        <v>0</v>
      </c>
      <c r="EE112" s="106">
        <f>+PMGR!EE112+BP!EE112</f>
        <v>0</v>
      </c>
      <c r="EF112" s="106">
        <f>+PMGR!EF112+BP!EF112</f>
        <v>0</v>
      </c>
      <c r="EG112" s="106">
        <f>+PMGR!EG112+BP!EG112</f>
        <v>0</v>
      </c>
      <c r="EH112" s="106">
        <f>+PMGR!EH112+BP!EH112</f>
        <v>0</v>
      </c>
      <c r="EI112" s="106">
        <f t="shared" si="584"/>
        <v>0</v>
      </c>
      <c r="EJ112" s="16" t="str">
        <f t="shared" si="457"/>
        <v>Service Compaign and Other Activities</v>
      </c>
      <c r="EK112" s="106">
        <f>+PMGR!EK112+BP!EK112</f>
        <v>2474</v>
      </c>
      <c r="EL112" s="106">
        <f>+PMGR!EL112+BP!EL112</f>
        <v>2338</v>
      </c>
      <c r="EM112" s="106">
        <f>+PMGR!EM112+BP!EM112</f>
        <v>35709</v>
      </c>
      <c r="EN112" s="106">
        <f>+PMGR!EN112+BP!EN112</f>
        <v>3700</v>
      </c>
      <c r="EO112" s="106">
        <f>+PMGR!EO112+BP!EO112</f>
        <v>215393.93</v>
      </c>
      <c r="EP112" s="106">
        <f>+PMGR!EP112+BP!EP112</f>
        <v>49274.39</v>
      </c>
      <c r="EQ112" s="106">
        <f>+PMGR!EQ112+BP!EQ112</f>
        <v>30928</v>
      </c>
      <c r="ER112" s="106">
        <f>+PMGR!ER112+BP!ER112</f>
        <v>3214.92</v>
      </c>
      <c r="ES112" s="106">
        <f>+PMGR!ES112+BP!ES112</f>
        <v>52115</v>
      </c>
      <c r="ET112" s="106">
        <f>+PMGR!ET112+BP!ET112</f>
        <v>4481.54</v>
      </c>
      <c r="EU112" s="106">
        <f>+PMGR!EU112+BP!EU112</f>
        <v>0</v>
      </c>
      <c r="EV112" s="106">
        <f>+PMGR!EV112+BP!EV112</f>
        <v>0</v>
      </c>
      <c r="EW112" s="106">
        <f t="shared" si="585"/>
        <v>399628.77999999997</v>
      </c>
      <c r="EX112" s="118"/>
      <c r="EY112" s="106">
        <f>+PMGR!EY112+BP!EY112</f>
        <v>1249.9920000000002</v>
      </c>
      <c r="EZ112" s="106">
        <f>+PMGR!EZ112+BP!EZ112</f>
        <v>1166.6592000000001</v>
      </c>
      <c r="FA112" s="106">
        <f>+PMGR!FA112+BP!FA112</f>
        <v>1302.075</v>
      </c>
      <c r="FB112" s="106">
        <f>+PMGR!FB112+BP!FB112</f>
        <v>1166.6592000000001</v>
      </c>
      <c r="FC112" s="106">
        <f>+PMGR!FC112+BP!FC112</f>
        <v>1388.88</v>
      </c>
      <c r="FD112" s="106">
        <f>+PMGR!FD112+BP!FD112</f>
        <v>1388.88</v>
      </c>
      <c r="FE112" s="106">
        <f>+PMGR!FE112+BP!FE112</f>
        <v>1562.4900000000002</v>
      </c>
      <c r="FF112" s="106">
        <f>+PMGR!FF112+BP!FF112</f>
        <v>1504.6200000000001</v>
      </c>
      <c r="FG112" s="106">
        <f>+PMGR!FG112+BP!FG112</f>
        <v>1437.4908000000003</v>
      </c>
      <c r="FH112" s="106">
        <f>+PMGR!FH112+BP!FH112</f>
        <v>1620.3600000000001</v>
      </c>
      <c r="FI112" s="106">
        <f>+PMGR!FI112+BP!FI112</f>
        <v>1678.23</v>
      </c>
      <c r="FJ112" s="106">
        <f>+PMGR!FJ112+BP!FJ112</f>
        <v>1805.5440000000001</v>
      </c>
      <c r="FK112" s="106">
        <f t="shared" si="586"/>
        <v>17271.880200000003</v>
      </c>
    </row>
    <row r="113" spans="1:167" ht="14.45" hidden="1" customHeight="1" outlineLevel="1">
      <c r="A113" s="106">
        <f t="shared" si="572"/>
        <v>0</v>
      </c>
      <c r="B113" s="106">
        <f t="shared" si="572"/>
        <v>0</v>
      </c>
      <c r="C113" s="106">
        <f t="shared" si="572"/>
        <v>0</v>
      </c>
      <c r="D113" s="106">
        <f t="shared" si="572"/>
        <v>0</v>
      </c>
      <c r="E113" s="106">
        <f t="shared" si="572"/>
        <v>0</v>
      </c>
      <c r="F113" s="106">
        <f t="shared" si="572"/>
        <v>0</v>
      </c>
      <c r="G113" s="106">
        <f t="shared" si="572"/>
        <v>0</v>
      </c>
      <c r="H113" s="106">
        <f t="shared" si="572"/>
        <v>0</v>
      </c>
      <c r="I113" s="106">
        <f t="shared" si="572"/>
        <v>0</v>
      </c>
      <c r="J113" s="106">
        <f t="shared" si="572"/>
        <v>0</v>
      </c>
      <c r="K113" s="106">
        <f t="shared" si="572"/>
        <v>0</v>
      </c>
      <c r="L113" s="106">
        <f t="shared" si="572"/>
        <v>0</v>
      </c>
      <c r="M113" s="106">
        <f t="shared" si="573"/>
        <v>0</v>
      </c>
      <c r="N113" s="16" t="s">
        <v>225</v>
      </c>
      <c r="O113" s="106">
        <f t="shared" si="574"/>
        <v>0</v>
      </c>
      <c r="P113" s="106">
        <f t="shared" si="574"/>
        <v>0</v>
      </c>
      <c r="Q113" s="106">
        <f t="shared" si="574"/>
        <v>0</v>
      </c>
      <c r="R113" s="106">
        <f t="shared" si="574"/>
        <v>0</v>
      </c>
      <c r="S113" s="106">
        <f t="shared" si="574"/>
        <v>0</v>
      </c>
      <c r="T113" s="106">
        <f t="shared" si="574"/>
        <v>0</v>
      </c>
      <c r="U113" s="106">
        <f t="shared" si="574"/>
        <v>0</v>
      </c>
      <c r="V113" s="106">
        <f t="shared" si="574"/>
        <v>0</v>
      </c>
      <c r="W113" s="106">
        <f t="shared" si="574"/>
        <v>0</v>
      </c>
      <c r="X113" s="106">
        <f t="shared" si="574"/>
        <v>0</v>
      </c>
      <c r="Y113" s="106">
        <f t="shared" si="574"/>
        <v>0</v>
      </c>
      <c r="Z113" s="106">
        <f t="shared" si="574"/>
        <v>0</v>
      </c>
      <c r="AA113" s="106">
        <f t="shared" si="575"/>
        <v>0</v>
      </c>
      <c r="AB113" s="118"/>
      <c r="AC113" s="106">
        <f t="shared" si="576"/>
        <v>0</v>
      </c>
      <c r="AD113" s="106">
        <f t="shared" si="576"/>
        <v>0</v>
      </c>
      <c r="AE113" s="106">
        <f t="shared" si="576"/>
        <v>0</v>
      </c>
      <c r="AF113" s="106">
        <f t="shared" si="576"/>
        <v>0</v>
      </c>
      <c r="AG113" s="106">
        <f t="shared" si="576"/>
        <v>0</v>
      </c>
      <c r="AH113" s="106">
        <f t="shared" si="576"/>
        <v>0</v>
      </c>
      <c r="AI113" s="106">
        <f t="shared" si="576"/>
        <v>0</v>
      </c>
      <c r="AJ113" s="106">
        <f t="shared" si="576"/>
        <v>0</v>
      </c>
      <c r="AK113" s="106">
        <f t="shared" si="576"/>
        <v>0</v>
      </c>
      <c r="AL113" s="106">
        <f t="shared" si="576"/>
        <v>0</v>
      </c>
      <c r="AM113" s="106">
        <f t="shared" si="576"/>
        <v>0</v>
      </c>
      <c r="AN113" s="106">
        <f t="shared" si="576"/>
        <v>0</v>
      </c>
      <c r="AO113" s="106">
        <f t="shared" si="577"/>
        <v>0</v>
      </c>
      <c r="AP113" s="106"/>
      <c r="AQ113" s="106">
        <f>+PMGR!AQ113+BP!AQ113</f>
        <v>0</v>
      </c>
      <c r="AR113" s="106">
        <f>+PMGR!AR113+BP!AR113</f>
        <v>0</v>
      </c>
      <c r="AS113" s="106">
        <f>+PMGR!AS113+BP!AS113</f>
        <v>0</v>
      </c>
      <c r="AT113" s="106">
        <f>+PMGR!AT113+BP!AT113</f>
        <v>0</v>
      </c>
      <c r="AU113" s="106">
        <f>+PMGR!AU113+BP!AU113</f>
        <v>0</v>
      </c>
      <c r="AV113" s="106">
        <f>+PMGR!AV113+BP!AV113</f>
        <v>0</v>
      </c>
      <c r="AW113" s="106">
        <f>+PMGR!AW113+BP!AW113</f>
        <v>0</v>
      </c>
      <c r="AX113" s="106">
        <f>+PMGR!AX113+BP!AX113</f>
        <v>0</v>
      </c>
      <c r="AY113" s="106">
        <f>+PMGR!AY113+BP!AY113</f>
        <v>0</v>
      </c>
      <c r="AZ113" s="106">
        <f>+PMGR!AZ113+BP!AZ113</f>
        <v>0</v>
      </c>
      <c r="BA113" s="106">
        <f>+PMGR!BA113+BP!BA113</f>
        <v>0</v>
      </c>
      <c r="BB113" s="106">
        <f>+PMGR!BB113+BP!BB113</f>
        <v>0</v>
      </c>
      <c r="BC113" s="106">
        <f t="shared" si="578"/>
        <v>0</v>
      </c>
      <c r="BD113" s="16" t="str">
        <f t="shared" si="405"/>
        <v>Sponcership</v>
      </c>
      <c r="BE113" s="106">
        <f>+PMGR!BE113+BP!BE113</f>
        <v>0</v>
      </c>
      <c r="BF113" s="106">
        <f>+PMGR!BF113+BP!BF113</f>
        <v>0</v>
      </c>
      <c r="BG113" s="106">
        <f>+PMGR!BG113+BP!BG113</f>
        <v>0</v>
      </c>
      <c r="BH113" s="106">
        <f>+PMGR!BH113+BP!BH113</f>
        <v>0</v>
      </c>
      <c r="BI113" s="106">
        <f>+PMGR!BI113+BP!BI113</f>
        <v>0</v>
      </c>
      <c r="BJ113" s="106">
        <f>+PMGR!BJ113+BP!BJ113</f>
        <v>0</v>
      </c>
      <c r="BK113" s="106">
        <f>+PMGR!BK113+BP!BK113</f>
        <v>0</v>
      </c>
      <c r="BL113" s="106">
        <f>+PMGR!BL113+BP!BL113</f>
        <v>0</v>
      </c>
      <c r="BM113" s="106">
        <f>+PMGR!BM113+BP!BM113</f>
        <v>0</v>
      </c>
      <c r="BN113" s="106">
        <f>+PMGR!BN113+BP!BN113</f>
        <v>0</v>
      </c>
      <c r="BO113" s="106">
        <f>+PMGR!BO113+BP!BO113</f>
        <v>0</v>
      </c>
      <c r="BP113" s="106">
        <f>+PMGR!BP113+BP!BP113</f>
        <v>0</v>
      </c>
      <c r="BQ113" s="106">
        <f t="shared" si="579"/>
        <v>0</v>
      </c>
      <c r="BR113" s="118"/>
      <c r="BS113" s="106">
        <f>+PMGR!BS113+BP!BS113</f>
        <v>0</v>
      </c>
      <c r="BT113" s="106">
        <f>+PMGR!BT113+BP!BT113</f>
        <v>0</v>
      </c>
      <c r="BU113" s="106">
        <f>+PMGR!BU113+BP!BU113</f>
        <v>0</v>
      </c>
      <c r="BV113" s="106">
        <f>+PMGR!BV113+BP!BV113</f>
        <v>0</v>
      </c>
      <c r="BW113" s="106">
        <f>+PMGR!BW113+BP!BW113</f>
        <v>0</v>
      </c>
      <c r="BX113" s="106">
        <f>+PMGR!BX113+BP!BX113</f>
        <v>0</v>
      </c>
      <c r="BY113" s="106">
        <f>+PMGR!BY113+BP!BY113</f>
        <v>0</v>
      </c>
      <c r="BZ113" s="106">
        <f>+PMGR!BZ113+BP!BZ113</f>
        <v>0</v>
      </c>
      <c r="CA113" s="106">
        <f>+PMGR!CA113+BP!CA113</f>
        <v>0</v>
      </c>
      <c r="CB113" s="106">
        <f>+PMGR!CB113+BP!CB113</f>
        <v>0</v>
      </c>
      <c r="CC113" s="106">
        <f>+PMGR!CC113+BP!CC113</f>
        <v>0</v>
      </c>
      <c r="CD113" s="106">
        <f>+PMGR!CD113+BP!CD113</f>
        <v>0</v>
      </c>
      <c r="CE113" s="106">
        <f t="shared" si="580"/>
        <v>0</v>
      </c>
      <c r="CF113" s="106"/>
      <c r="CG113" s="106">
        <f>+PMGR!CG113+BP!CG113</f>
        <v>0</v>
      </c>
      <c r="CH113" s="106">
        <f>+PMGR!CH113+BP!CH113</f>
        <v>0</v>
      </c>
      <c r="CI113" s="106">
        <f>+PMGR!CI113+BP!CI113</f>
        <v>0</v>
      </c>
      <c r="CJ113" s="106">
        <f>+PMGR!CJ113+BP!CJ113</f>
        <v>0</v>
      </c>
      <c r="CK113" s="106">
        <f>+PMGR!CK113+BP!CK113</f>
        <v>0</v>
      </c>
      <c r="CL113" s="106">
        <f>+PMGR!CL113+BP!CL113</f>
        <v>0</v>
      </c>
      <c r="CM113" s="106">
        <f>+PMGR!CM113+BP!CM113</f>
        <v>0</v>
      </c>
      <c r="CN113" s="106">
        <f>+PMGR!CN113+BP!CN113</f>
        <v>0</v>
      </c>
      <c r="CO113" s="106">
        <f>+PMGR!CO113+BP!CO113</f>
        <v>0</v>
      </c>
      <c r="CP113" s="106">
        <f>+PMGR!CP113+BP!CP113</f>
        <v>0</v>
      </c>
      <c r="CQ113" s="106">
        <f>+PMGR!CQ113+BP!CQ113</f>
        <v>0</v>
      </c>
      <c r="CR113" s="106">
        <f>+PMGR!CR113+BP!CR113</f>
        <v>0</v>
      </c>
      <c r="CS113" s="106">
        <f t="shared" si="581"/>
        <v>0</v>
      </c>
      <c r="CT113" s="16" t="str">
        <f t="shared" si="409"/>
        <v>Sponcership</v>
      </c>
      <c r="CU113" s="106">
        <f>+PMGR!CU113+BP!CU113</f>
        <v>0</v>
      </c>
      <c r="CV113" s="106">
        <f>+PMGR!CV113+BP!CV113</f>
        <v>0</v>
      </c>
      <c r="CW113" s="106">
        <f>+PMGR!CW113+BP!CW113</f>
        <v>0</v>
      </c>
      <c r="CX113" s="106">
        <f>+PMGR!CX113+BP!CX113</f>
        <v>0</v>
      </c>
      <c r="CY113" s="106">
        <f>+PMGR!CY113+BP!CY113</f>
        <v>0</v>
      </c>
      <c r="CZ113" s="106">
        <f>+PMGR!CZ113+BP!CZ113</f>
        <v>0</v>
      </c>
      <c r="DA113" s="106">
        <f>+PMGR!DA113+BP!DA113</f>
        <v>0</v>
      </c>
      <c r="DB113" s="106">
        <f>+PMGR!DB113+BP!DB113</f>
        <v>0</v>
      </c>
      <c r="DC113" s="106">
        <f>+PMGR!DC113+BP!DC113</f>
        <v>0</v>
      </c>
      <c r="DD113" s="106">
        <f>+PMGR!DD113+BP!DD113</f>
        <v>0</v>
      </c>
      <c r="DE113" s="106">
        <f>+PMGR!DE113+BP!DE113</f>
        <v>0</v>
      </c>
      <c r="DF113" s="106">
        <f>+PMGR!DF113+BP!DF113</f>
        <v>0</v>
      </c>
      <c r="DG113" s="106">
        <f t="shared" si="582"/>
        <v>0</v>
      </c>
      <c r="DH113" s="118"/>
      <c r="DI113" s="106">
        <f>+PMGR!DI113+BP!DI113</f>
        <v>0</v>
      </c>
      <c r="DJ113" s="106">
        <f>+PMGR!DJ113+BP!DJ113</f>
        <v>0</v>
      </c>
      <c r="DK113" s="106">
        <f>+PMGR!DK113+BP!DK113</f>
        <v>0</v>
      </c>
      <c r="DL113" s="106">
        <f>+PMGR!DL113+BP!DL113</f>
        <v>0</v>
      </c>
      <c r="DM113" s="106">
        <f>+PMGR!DM113+BP!DM113</f>
        <v>0</v>
      </c>
      <c r="DN113" s="106">
        <f>+PMGR!DN113+BP!DN113</f>
        <v>0</v>
      </c>
      <c r="DO113" s="106">
        <f>+PMGR!DO113+BP!DO113</f>
        <v>0</v>
      </c>
      <c r="DP113" s="106">
        <f>+PMGR!DP113+BP!DP113</f>
        <v>0</v>
      </c>
      <c r="DQ113" s="106">
        <f>+PMGR!DQ113+BP!DQ113</f>
        <v>0</v>
      </c>
      <c r="DR113" s="106">
        <f>+PMGR!DR113+BP!DR113</f>
        <v>0</v>
      </c>
      <c r="DS113" s="106">
        <f>+PMGR!DS113+BP!DS113</f>
        <v>0</v>
      </c>
      <c r="DT113" s="106">
        <f>+PMGR!DT113+BP!DT113</f>
        <v>0</v>
      </c>
      <c r="DU113" s="106">
        <f t="shared" si="583"/>
        <v>0</v>
      </c>
      <c r="DV113" s="106"/>
      <c r="DW113" s="106">
        <f>+PMGR!DW113+BP!DW113</f>
        <v>0</v>
      </c>
      <c r="DX113" s="106">
        <f>+PMGR!DX113+BP!DX113</f>
        <v>0</v>
      </c>
      <c r="DY113" s="106">
        <f>+PMGR!DY113+BP!DY113</f>
        <v>0</v>
      </c>
      <c r="DZ113" s="106">
        <f>+PMGR!DZ113+BP!DZ113</f>
        <v>0</v>
      </c>
      <c r="EA113" s="106">
        <f>+PMGR!EA113+BP!EA113</f>
        <v>0</v>
      </c>
      <c r="EB113" s="106">
        <f>+PMGR!EB113+BP!EB113</f>
        <v>0</v>
      </c>
      <c r="EC113" s="106">
        <f>+PMGR!EC113+BP!EC113</f>
        <v>0</v>
      </c>
      <c r="ED113" s="106">
        <f>+PMGR!ED113+BP!ED113</f>
        <v>0</v>
      </c>
      <c r="EE113" s="106">
        <f>+PMGR!EE113+BP!EE113</f>
        <v>0</v>
      </c>
      <c r="EF113" s="106">
        <f>+PMGR!EF113+BP!EF113</f>
        <v>0</v>
      </c>
      <c r="EG113" s="106">
        <f>+PMGR!EG113+BP!EG113</f>
        <v>0</v>
      </c>
      <c r="EH113" s="106">
        <f>+PMGR!EH113+BP!EH113</f>
        <v>0</v>
      </c>
      <c r="EI113" s="106">
        <f t="shared" si="584"/>
        <v>0</v>
      </c>
      <c r="EJ113" s="16" t="str">
        <f t="shared" si="457"/>
        <v>Sponcership</v>
      </c>
      <c r="EK113" s="106">
        <f>+PMGR!EK113+BP!EK113</f>
        <v>0</v>
      </c>
      <c r="EL113" s="106">
        <f>+PMGR!EL113+BP!EL113</f>
        <v>0</v>
      </c>
      <c r="EM113" s="106">
        <f>+PMGR!EM113+BP!EM113</f>
        <v>0</v>
      </c>
      <c r="EN113" s="106">
        <f>+PMGR!EN113+BP!EN113</f>
        <v>0</v>
      </c>
      <c r="EO113" s="106">
        <f>+PMGR!EO113+BP!EO113</f>
        <v>0</v>
      </c>
      <c r="EP113" s="106">
        <f>+PMGR!EP113+BP!EP113</f>
        <v>0</v>
      </c>
      <c r="EQ113" s="106">
        <f>+PMGR!EQ113+BP!EQ113</f>
        <v>0</v>
      </c>
      <c r="ER113" s="106">
        <f>+PMGR!ER113+BP!ER113</f>
        <v>0</v>
      </c>
      <c r="ES113" s="106">
        <f>+PMGR!ES113+BP!ES113</f>
        <v>0</v>
      </c>
      <c r="ET113" s="106">
        <f>+PMGR!ET113+BP!ET113</f>
        <v>0</v>
      </c>
      <c r="EU113" s="106">
        <f>+PMGR!EU113+BP!EU113</f>
        <v>0</v>
      </c>
      <c r="EV113" s="106">
        <f>+PMGR!EV113+BP!EV113</f>
        <v>0</v>
      </c>
      <c r="EW113" s="106">
        <f t="shared" si="585"/>
        <v>0</v>
      </c>
      <c r="EX113" s="118"/>
      <c r="EY113" s="106">
        <f>+PMGR!EY113+BP!EY113</f>
        <v>0</v>
      </c>
      <c r="EZ113" s="106">
        <f>+PMGR!EZ113+BP!EZ113</f>
        <v>0</v>
      </c>
      <c r="FA113" s="106">
        <f>+PMGR!FA113+BP!FA113</f>
        <v>0</v>
      </c>
      <c r="FB113" s="106">
        <f>+PMGR!FB113+BP!FB113</f>
        <v>0</v>
      </c>
      <c r="FC113" s="106">
        <f>+PMGR!FC113+BP!FC113</f>
        <v>0</v>
      </c>
      <c r="FD113" s="106">
        <f>+PMGR!FD113+BP!FD113</f>
        <v>0</v>
      </c>
      <c r="FE113" s="106">
        <f>+PMGR!FE113+BP!FE113</f>
        <v>0</v>
      </c>
      <c r="FF113" s="106">
        <f>+PMGR!FF113+BP!FF113</f>
        <v>0</v>
      </c>
      <c r="FG113" s="106">
        <f>+PMGR!FG113+BP!FG113</f>
        <v>0</v>
      </c>
      <c r="FH113" s="106">
        <f>+PMGR!FH113+BP!FH113</f>
        <v>0</v>
      </c>
      <c r="FI113" s="106">
        <f>+PMGR!FI113+BP!FI113</f>
        <v>0</v>
      </c>
      <c r="FJ113" s="106">
        <f>+PMGR!FJ113+BP!FJ113</f>
        <v>0</v>
      </c>
      <c r="FK113" s="106">
        <f t="shared" si="586"/>
        <v>0</v>
      </c>
    </row>
    <row r="114" spans="1:167" ht="14.45" hidden="1" customHeight="1" outlineLevel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18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6">
        <f t="shared" si="405"/>
        <v>0</v>
      </c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6"/>
      <c r="BQ114" s="106"/>
      <c r="BR114" s="118"/>
      <c r="BS114" s="106"/>
      <c r="BT114" s="106"/>
      <c r="BU114" s="106"/>
      <c r="BV114" s="106"/>
      <c r="BW114" s="106"/>
      <c r="BX114" s="106"/>
      <c r="BY114" s="106"/>
      <c r="BZ114" s="106"/>
      <c r="CA114" s="106"/>
      <c r="CB114" s="106"/>
      <c r="CC114" s="106"/>
      <c r="CD114" s="106"/>
      <c r="CE114" s="106"/>
      <c r="CF114" s="106"/>
      <c r="CG114" s="106"/>
      <c r="CH114" s="106"/>
      <c r="CI114" s="106"/>
      <c r="CJ114" s="106"/>
      <c r="CK114" s="106"/>
      <c r="CL114" s="106"/>
      <c r="CM114" s="106"/>
      <c r="CN114" s="106"/>
      <c r="CO114" s="106"/>
      <c r="CP114" s="106"/>
      <c r="CQ114" s="106"/>
      <c r="CR114" s="106"/>
      <c r="CS114" s="106"/>
      <c r="CT114" s="16">
        <f t="shared" si="409"/>
        <v>0</v>
      </c>
      <c r="CU114" s="106"/>
      <c r="CV114" s="106"/>
      <c r="CW114" s="106"/>
      <c r="CX114" s="106"/>
      <c r="CY114" s="106"/>
      <c r="CZ114" s="106"/>
      <c r="DA114" s="106"/>
      <c r="DB114" s="106"/>
      <c r="DC114" s="106"/>
      <c r="DD114" s="106"/>
      <c r="DE114" s="106"/>
      <c r="DF114" s="106"/>
      <c r="DG114" s="106"/>
      <c r="DH114" s="118"/>
      <c r="DI114" s="106"/>
      <c r="DJ114" s="106"/>
      <c r="DK114" s="106"/>
      <c r="DL114" s="106"/>
      <c r="DM114" s="106"/>
      <c r="DN114" s="106"/>
      <c r="DO114" s="106"/>
      <c r="DP114" s="106"/>
      <c r="DQ114" s="106"/>
      <c r="DR114" s="106"/>
      <c r="DS114" s="106"/>
      <c r="DT114" s="106"/>
      <c r="DU114" s="106"/>
      <c r="DV114" s="106"/>
      <c r="DW114" s="106"/>
      <c r="DX114" s="106"/>
      <c r="DY114" s="106"/>
      <c r="DZ114" s="106"/>
      <c r="EA114" s="106"/>
      <c r="EB114" s="106"/>
      <c r="EC114" s="106"/>
      <c r="ED114" s="106"/>
      <c r="EE114" s="106"/>
      <c r="EF114" s="106"/>
      <c r="EG114" s="106"/>
      <c r="EH114" s="106"/>
      <c r="EI114" s="106"/>
      <c r="EJ114" s="16">
        <f t="shared" si="457"/>
        <v>0</v>
      </c>
      <c r="EK114" s="106"/>
      <c r="EL114" s="106"/>
      <c r="EM114" s="106"/>
      <c r="EN114" s="106"/>
      <c r="EO114" s="106"/>
      <c r="EP114" s="106"/>
      <c r="EQ114" s="106"/>
      <c r="ER114" s="106"/>
      <c r="ES114" s="106"/>
      <c r="ET114" s="106"/>
      <c r="EU114" s="106"/>
      <c r="EV114" s="106"/>
      <c r="EW114" s="106"/>
      <c r="EX114" s="118"/>
      <c r="EY114" s="106"/>
      <c r="EZ114" s="106"/>
      <c r="FA114" s="106"/>
      <c r="FB114" s="106"/>
      <c r="FC114" s="106"/>
      <c r="FD114" s="106"/>
      <c r="FE114" s="106"/>
      <c r="FF114" s="106"/>
      <c r="FG114" s="106"/>
      <c r="FH114" s="106"/>
      <c r="FI114" s="106"/>
      <c r="FJ114" s="106"/>
      <c r="FK114" s="106"/>
    </row>
    <row r="115" spans="1:167" ht="14.45" customHeight="1" collapsed="1">
      <c r="A115" s="58">
        <f t="shared" ref="A115:M115" si="587">+A116+A129+A133+A138+A146+A150</f>
        <v>3212940.3371153832</v>
      </c>
      <c r="B115" s="58">
        <f t="shared" si="587"/>
        <v>3268416.277179487</v>
      </c>
      <c r="C115" s="58">
        <f t="shared" si="587"/>
        <v>3148900.6546794875</v>
      </c>
      <c r="D115" s="58">
        <f t="shared" si="587"/>
        <v>3178350.7056794874</v>
      </c>
      <c r="E115" s="58">
        <f t="shared" si="587"/>
        <v>3402537.6016794867</v>
      </c>
      <c r="F115" s="58">
        <f t="shared" si="587"/>
        <v>3473873.9046794875</v>
      </c>
      <c r="G115" s="58">
        <f t="shared" si="587"/>
        <v>3585351.3996794866</v>
      </c>
      <c r="H115" s="58">
        <f t="shared" si="587"/>
        <v>4012891.0892923898</v>
      </c>
      <c r="I115" s="58">
        <f t="shared" si="587"/>
        <v>3899643.5396794872</v>
      </c>
      <c r="J115" s="58">
        <f t="shared" si="587"/>
        <v>3876181.3346794872</v>
      </c>
      <c r="K115" s="58">
        <f t="shared" si="587"/>
        <v>4635157.6986794872</v>
      </c>
      <c r="L115" s="58">
        <f t="shared" si="587"/>
        <v>3523047.1416794867</v>
      </c>
      <c r="M115" s="58">
        <f t="shared" si="587"/>
        <v>43217291.684702642</v>
      </c>
      <c r="N115" s="19" t="s">
        <v>93</v>
      </c>
      <c r="O115" s="58">
        <f t="shared" ref="O115:AA115" si="588">+O116+O129+O133+O138+O146+O150</f>
        <v>4423372.2287179492</v>
      </c>
      <c r="P115" s="58">
        <f t="shared" si="588"/>
        <v>3841364.7152179489</v>
      </c>
      <c r="Q115" s="58">
        <f t="shared" si="588"/>
        <v>4220833.8387179486</v>
      </c>
      <c r="R115" s="58">
        <f t="shared" si="588"/>
        <v>3815522.9542159345</v>
      </c>
      <c r="S115" s="58">
        <f t="shared" si="588"/>
        <v>3683688.7194826016</v>
      </c>
      <c r="T115" s="58">
        <f t="shared" si="588"/>
        <v>4191935.0694826017</v>
      </c>
      <c r="U115" s="58">
        <f t="shared" si="588"/>
        <v>4042820.0890647927</v>
      </c>
      <c r="V115" s="58">
        <f t="shared" si="588"/>
        <v>4005007.0894826017</v>
      </c>
      <c r="W115" s="58">
        <f t="shared" si="588"/>
        <v>4380558.2944826018</v>
      </c>
      <c r="X115" s="58">
        <f t="shared" si="588"/>
        <v>4285355.3244826011</v>
      </c>
      <c r="Y115" s="58">
        <f t="shared" si="588"/>
        <v>0</v>
      </c>
      <c r="Z115" s="58">
        <f t="shared" si="588"/>
        <v>0</v>
      </c>
      <c r="AA115" s="58">
        <f t="shared" si="588"/>
        <v>40890458.323347583</v>
      </c>
      <c r="AB115" s="118"/>
      <c r="AC115" s="58">
        <f t="shared" ref="AC115:AO115" si="589">+AC116+AC129+AC133+AC138+AC146+AC150</f>
        <v>4123007.0915395459</v>
      </c>
      <c r="AD115" s="58">
        <f t="shared" si="589"/>
        <v>4123007.0915395459</v>
      </c>
      <c r="AE115" s="58">
        <f t="shared" si="589"/>
        <v>4159757.0915395459</v>
      </c>
      <c r="AF115" s="58">
        <f t="shared" si="589"/>
        <v>4208757.0915395459</v>
      </c>
      <c r="AG115" s="58">
        <f t="shared" si="589"/>
        <v>4123007.0915395459</v>
      </c>
      <c r="AH115" s="58">
        <f t="shared" si="589"/>
        <v>4129132.0915395459</v>
      </c>
      <c r="AI115" s="58">
        <f t="shared" si="589"/>
        <v>4123007.0915395459</v>
      </c>
      <c r="AJ115" s="58">
        <f t="shared" si="589"/>
        <v>4123007.0915395459</v>
      </c>
      <c r="AK115" s="58">
        <f t="shared" si="589"/>
        <v>4159757.0915395459</v>
      </c>
      <c r="AL115" s="58">
        <f t="shared" si="589"/>
        <v>4581798.758206212</v>
      </c>
      <c r="AM115" s="58">
        <f t="shared" si="589"/>
        <v>4123007.0915395459</v>
      </c>
      <c r="AN115" s="58">
        <f t="shared" si="589"/>
        <v>4179132.0915395459</v>
      </c>
      <c r="AO115" s="58">
        <f t="shared" si="589"/>
        <v>50156376.765141211</v>
      </c>
      <c r="AP115" s="106"/>
      <c r="AQ115" s="58">
        <f t="shared" ref="AQ115:BC115" si="590">+AQ116+AQ129+AQ133+AQ138+AQ146+AQ150</f>
        <v>2324376.0084615373</v>
      </c>
      <c r="AR115" s="58">
        <f t="shared" si="590"/>
        <v>2365273.2670512823</v>
      </c>
      <c r="AS115" s="58">
        <f t="shared" si="590"/>
        <v>2324497.7120512822</v>
      </c>
      <c r="AT115" s="58">
        <f t="shared" si="590"/>
        <v>2281264.5360512822</v>
      </c>
      <c r="AU115" s="58">
        <f t="shared" si="590"/>
        <v>2440384.410051282</v>
      </c>
      <c r="AV115" s="58">
        <f t="shared" si="590"/>
        <v>2459886.3320512823</v>
      </c>
      <c r="AW115" s="58">
        <f t="shared" si="590"/>
        <v>2592015.3820512816</v>
      </c>
      <c r="AX115" s="58">
        <f t="shared" si="590"/>
        <v>2988646.2940512821</v>
      </c>
      <c r="AY115" s="58">
        <f t="shared" si="590"/>
        <v>2957425.6420512823</v>
      </c>
      <c r="AZ115" s="58">
        <f t="shared" si="590"/>
        <v>2939467.4720512824</v>
      </c>
      <c r="BA115" s="58">
        <f t="shared" si="590"/>
        <v>3132671.978051282</v>
      </c>
      <c r="BB115" s="58">
        <f t="shared" si="590"/>
        <v>2556054.930051282</v>
      </c>
      <c r="BC115" s="58">
        <f t="shared" si="590"/>
        <v>31361963.964025639</v>
      </c>
      <c r="BD115" s="19" t="s">
        <v>211</v>
      </c>
      <c r="BE115" s="58">
        <f t="shared" ref="BE115:BQ115" si="591">+BE116+BE129+BE133+BE138+BE146+BE150</f>
        <v>2671912.8069230765</v>
      </c>
      <c r="BF115" s="58">
        <f t="shared" si="591"/>
        <v>2261739.3879230767</v>
      </c>
      <c r="BG115" s="58">
        <f t="shared" si="591"/>
        <v>2466323.826923077</v>
      </c>
      <c r="BH115" s="58">
        <f t="shared" si="591"/>
        <v>2270121.1033995352</v>
      </c>
      <c r="BI115" s="58">
        <f t="shared" si="591"/>
        <v>2116236.2191328686</v>
      </c>
      <c r="BJ115" s="58">
        <f t="shared" si="591"/>
        <v>2351993.3591328687</v>
      </c>
      <c r="BK115" s="58">
        <f t="shared" si="591"/>
        <v>2356746.4821876627</v>
      </c>
      <c r="BL115" s="58">
        <f t="shared" si="591"/>
        <v>2218127.2891328689</v>
      </c>
      <c r="BM115" s="58">
        <f t="shared" si="591"/>
        <v>2562089.4191328683</v>
      </c>
      <c r="BN115" s="58">
        <f t="shared" si="591"/>
        <v>2388613.8791328687</v>
      </c>
      <c r="BO115" s="58">
        <f t="shared" si="591"/>
        <v>0</v>
      </c>
      <c r="BP115" s="58">
        <f t="shared" si="591"/>
        <v>0</v>
      </c>
      <c r="BQ115" s="58">
        <f t="shared" si="591"/>
        <v>23663903.77302077</v>
      </c>
      <c r="BR115" s="118"/>
      <c r="BS115" s="58">
        <f t="shared" ref="BS115:CE115" si="592">+BS116+BS129+BS133+BS138+BS146+BS150</f>
        <v>2382353.9059078684</v>
      </c>
      <c r="BT115" s="58">
        <f t="shared" si="592"/>
        <v>2382353.9059078684</v>
      </c>
      <c r="BU115" s="58">
        <f t="shared" si="592"/>
        <v>2402853.9059078684</v>
      </c>
      <c r="BV115" s="58">
        <f t="shared" si="592"/>
        <v>2430187.2392412019</v>
      </c>
      <c r="BW115" s="58">
        <f t="shared" si="592"/>
        <v>2382353.9059078684</v>
      </c>
      <c r="BX115" s="58">
        <f t="shared" si="592"/>
        <v>2385770.5725745349</v>
      </c>
      <c r="BY115" s="58">
        <f t="shared" si="592"/>
        <v>2382353.9059078684</v>
      </c>
      <c r="BZ115" s="58">
        <f t="shared" si="592"/>
        <v>2382353.9059078684</v>
      </c>
      <c r="CA115" s="58">
        <f t="shared" si="592"/>
        <v>2402853.9059078684</v>
      </c>
      <c r="CB115" s="58">
        <f t="shared" si="592"/>
        <v>2645437.2392412019</v>
      </c>
      <c r="CC115" s="58">
        <f t="shared" si="592"/>
        <v>2382353.9059078684</v>
      </c>
      <c r="CD115" s="58">
        <f t="shared" si="592"/>
        <v>2405770.5725745349</v>
      </c>
      <c r="CE115" s="58">
        <f t="shared" si="592"/>
        <v>28966996.870894425</v>
      </c>
      <c r="CF115" s="106"/>
      <c r="CG115" s="58">
        <f t="shared" ref="CG115:CS115" si="593">+CG116+CG129+CG133+CG138+CG146+CG150</f>
        <v>888564.3286538457</v>
      </c>
      <c r="CH115" s="58">
        <f t="shared" si="593"/>
        <v>903143.01012820541</v>
      </c>
      <c r="CI115" s="58">
        <f t="shared" si="593"/>
        <v>824402.94262820517</v>
      </c>
      <c r="CJ115" s="58">
        <f t="shared" si="593"/>
        <v>897086.16962820513</v>
      </c>
      <c r="CK115" s="58">
        <f t="shared" si="593"/>
        <v>962153.19162820512</v>
      </c>
      <c r="CL115" s="58">
        <f t="shared" si="593"/>
        <v>1013987.5726282052</v>
      </c>
      <c r="CM115" s="58">
        <f t="shared" si="593"/>
        <v>993336.01762820513</v>
      </c>
      <c r="CN115" s="58">
        <f t="shared" si="593"/>
        <v>1024244.7952411082</v>
      </c>
      <c r="CO115" s="58">
        <f t="shared" si="593"/>
        <v>942217.89762820536</v>
      </c>
      <c r="CP115" s="58">
        <f t="shared" si="593"/>
        <v>936713.86262820521</v>
      </c>
      <c r="CQ115" s="58">
        <f t="shared" si="593"/>
        <v>1502485.7206282052</v>
      </c>
      <c r="CR115" s="58">
        <f t="shared" si="593"/>
        <v>966992.21162820526</v>
      </c>
      <c r="CS115" s="58">
        <f t="shared" si="593"/>
        <v>11855327.720677005</v>
      </c>
      <c r="CT115" s="19" t="str">
        <f t="shared" si="409"/>
        <v>Personnel Expenses</v>
      </c>
      <c r="CU115" s="58">
        <f t="shared" ref="CU115:DG115" si="594">+CU116+CU129+CU133+CU138+CU146+CU150</f>
        <v>944141.31128205126</v>
      </c>
      <c r="CV115" s="58">
        <f t="shared" si="594"/>
        <v>979922.97678205126</v>
      </c>
      <c r="CW115" s="58">
        <f t="shared" si="594"/>
        <v>1071464.9212820511</v>
      </c>
      <c r="CX115" s="58">
        <f t="shared" si="594"/>
        <v>937336.73863691243</v>
      </c>
      <c r="CY115" s="58">
        <f t="shared" si="594"/>
        <v>958787.38817024569</v>
      </c>
      <c r="CZ115" s="58">
        <f t="shared" si="594"/>
        <v>1161172.058170246</v>
      </c>
      <c r="DA115" s="58">
        <f t="shared" si="594"/>
        <v>1058416.294697643</v>
      </c>
      <c r="DB115" s="58">
        <f t="shared" si="594"/>
        <v>1110806.6881702458</v>
      </c>
      <c r="DC115" s="58">
        <f t="shared" si="594"/>
        <v>1138680.6231702457</v>
      </c>
      <c r="DD115" s="58">
        <f t="shared" si="594"/>
        <v>1221886.7531702458</v>
      </c>
      <c r="DE115" s="58">
        <f t="shared" si="594"/>
        <v>0</v>
      </c>
      <c r="DF115" s="58">
        <f t="shared" si="594"/>
        <v>0</v>
      </c>
      <c r="DG115" s="58">
        <f t="shared" si="594"/>
        <v>10582615.753531937</v>
      </c>
      <c r="DH115" s="118"/>
      <c r="DI115" s="58">
        <f t="shared" ref="DI115:DU115" si="595">+DI116+DI129+DI133+DI138+DI146+DI150</f>
        <v>1078043.3234521903</v>
      </c>
      <c r="DJ115" s="58">
        <f t="shared" si="595"/>
        <v>1078043.3234521903</v>
      </c>
      <c r="DK115" s="58">
        <f t="shared" si="595"/>
        <v>1088543.3234521903</v>
      </c>
      <c r="DL115" s="58">
        <f t="shared" si="595"/>
        <v>1102543.3234521903</v>
      </c>
      <c r="DM115" s="58">
        <f t="shared" si="595"/>
        <v>1078043.3234521903</v>
      </c>
      <c r="DN115" s="58">
        <f t="shared" si="595"/>
        <v>1079793.3234521903</v>
      </c>
      <c r="DO115" s="58">
        <f t="shared" si="595"/>
        <v>1078043.3234521903</v>
      </c>
      <c r="DP115" s="58">
        <f t="shared" si="595"/>
        <v>1078043.3234521903</v>
      </c>
      <c r="DQ115" s="58">
        <f t="shared" si="595"/>
        <v>1088543.3234521903</v>
      </c>
      <c r="DR115" s="58">
        <f t="shared" si="595"/>
        <v>1199959.9901188568</v>
      </c>
      <c r="DS115" s="58">
        <f t="shared" si="595"/>
        <v>1078043.3234521903</v>
      </c>
      <c r="DT115" s="58">
        <f t="shared" si="595"/>
        <v>1099793.3234521903</v>
      </c>
      <c r="DU115" s="58">
        <f t="shared" si="595"/>
        <v>13127436.548092948</v>
      </c>
      <c r="DV115" s="106"/>
      <c r="DW115" s="58">
        <f t="shared" ref="DW115:EI115" si="596">+DW116+DW129+DW133+DW138+DW146+DW150</f>
        <v>0</v>
      </c>
      <c r="DX115" s="58">
        <f t="shared" si="596"/>
        <v>0</v>
      </c>
      <c r="DY115" s="58">
        <f t="shared" si="596"/>
        <v>0</v>
      </c>
      <c r="DZ115" s="58">
        <f t="shared" si="596"/>
        <v>0</v>
      </c>
      <c r="EA115" s="58">
        <f t="shared" si="596"/>
        <v>0</v>
      </c>
      <c r="EB115" s="58">
        <f t="shared" si="596"/>
        <v>0</v>
      </c>
      <c r="EC115" s="58">
        <f t="shared" si="596"/>
        <v>0</v>
      </c>
      <c r="ED115" s="58">
        <f t="shared" si="596"/>
        <v>0</v>
      </c>
      <c r="EE115" s="58">
        <f t="shared" si="596"/>
        <v>0</v>
      </c>
      <c r="EF115" s="58">
        <f t="shared" si="596"/>
        <v>0</v>
      </c>
      <c r="EG115" s="58">
        <f t="shared" si="596"/>
        <v>0</v>
      </c>
      <c r="EH115" s="58">
        <f t="shared" si="596"/>
        <v>0</v>
      </c>
      <c r="EI115" s="58">
        <f t="shared" si="596"/>
        <v>0</v>
      </c>
      <c r="EJ115" s="19" t="str">
        <f t="shared" si="457"/>
        <v>Personnel Expenses</v>
      </c>
      <c r="EK115" s="58">
        <f t="shared" ref="EK115:EW115" si="597">+EK116+EK129+EK133+EK138+EK146+EK150</f>
        <v>807318.11051282054</v>
      </c>
      <c r="EL115" s="58">
        <f t="shared" si="597"/>
        <v>599702.35051282053</v>
      </c>
      <c r="EM115" s="58">
        <f t="shared" si="597"/>
        <v>683045.09051282052</v>
      </c>
      <c r="EN115" s="58">
        <f t="shared" si="597"/>
        <v>608065.11217948725</v>
      </c>
      <c r="EO115" s="58">
        <f t="shared" si="597"/>
        <v>608665.11217948725</v>
      </c>
      <c r="EP115" s="58">
        <f t="shared" si="597"/>
        <v>678769.65217948728</v>
      </c>
      <c r="EQ115" s="58">
        <f t="shared" si="597"/>
        <v>627657.3121794872</v>
      </c>
      <c r="ER115" s="58">
        <f t="shared" si="597"/>
        <v>676073.11217948725</v>
      </c>
      <c r="ES115" s="58">
        <f t="shared" si="597"/>
        <v>679788.25217948726</v>
      </c>
      <c r="ET115" s="58">
        <f t="shared" si="597"/>
        <v>674854.69217948732</v>
      </c>
      <c r="EU115" s="58">
        <f t="shared" si="597"/>
        <v>0</v>
      </c>
      <c r="EV115" s="58">
        <f t="shared" si="597"/>
        <v>0</v>
      </c>
      <c r="EW115" s="58">
        <f t="shared" si="597"/>
        <v>6643938.7967948718</v>
      </c>
      <c r="EX115" s="118"/>
      <c r="EY115" s="58">
        <f t="shared" ref="EY115:FK115" si="598">+EY116+EY129+EY133+EY138+EY146+EY150</f>
        <v>662609.86217948725</v>
      </c>
      <c r="EZ115" s="58">
        <f t="shared" si="598"/>
        <v>662609.86217948725</v>
      </c>
      <c r="FA115" s="58">
        <f t="shared" si="598"/>
        <v>668359.86217948725</v>
      </c>
      <c r="FB115" s="58">
        <f t="shared" si="598"/>
        <v>676026.52884615387</v>
      </c>
      <c r="FC115" s="58">
        <f t="shared" si="598"/>
        <v>662609.86217948725</v>
      </c>
      <c r="FD115" s="58">
        <f t="shared" si="598"/>
        <v>663568.19551282062</v>
      </c>
      <c r="FE115" s="58">
        <f t="shared" si="598"/>
        <v>662609.86217948725</v>
      </c>
      <c r="FF115" s="58">
        <f t="shared" si="598"/>
        <v>662609.86217948725</v>
      </c>
      <c r="FG115" s="58">
        <f t="shared" si="598"/>
        <v>668359.86217948725</v>
      </c>
      <c r="FH115" s="58">
        <f t="shared" si="598"/>
        <v>736401.52884615387</v>
      </c>
      <c r="FI115" s="58">
        <f t="shared" si="598"/>
        <v>662609.86217948725</v>
      </c>
      <c r="FJ115" s="58">
        <f t="shared" si="598"/>
        <v>673568.19551282062</v>
      </c>
      <c r="FK115" s="58">
        <f t="shared" si="598"/>
        <v>8061943.346153846</v>
      </c>
    </row>
    <row r="116" spans="1:167" ht="14.45" customHeight="1">
      <c r="A116" s="58">
        <f t="shared" ref="A116:M116" si="599">+SUM(A117:A128)</f>
        <v>2475078.0887820497</v>
      </c>
      <c r="B116" s="58">
        <f t="shared" si="599"/>
        <v>2520045.4008461535</v>
      </c>
      <c r="C116" s="58">
        <f t="shared" si="599"/>
        <v>2526876.1913461541</v>
      </c>
      <c r="D116" s="58">
        <f t="shared" si="599"/>
        <v>2505883.591346154</v>
      </c>
      <c r="E116" s="58">
        <f t="shared" si="599"/>
        <v>2506629.7913461537</v>
      </c>
      <c r="F116" s="58">
        <f t="shared" si="599"/>
        <v>2566427.7913461537</v>
      </c>
      <c r="G116" s="58">
        <f t="shared" si="599"/>
        <v>2708755.7913461532</v>
      </c>
      <c r="H116" s="58">
        <f t="shared" si="599"/>
        <v>2919765.7929590563</v>
      </c>
      <c r="I116" s="58">
        <f t="shared" si="599"/>
        <v>3055219.1913461536</v>
      </c>
      <c r="J116" s="58">
        <f t="shared" si="599"/>
        <v>2895159.2413461534</v>
      </c>
      <c r="K116" s="58">
        <f t="shared" si="599"/>
        <v>3538666.7413461534</v>
      </c>
      <c r="L116" s="58">
        <f t="shared" si="599"/>
        <v>2678268.4413461536</v>
      </c>
      <c r="M116" s="58">
        <f t="shared" si="599"/>
        <v>32896776.054702647</v>
      </c>
      <c r="N116" s="20" t="s">
        <v>94</v>
      </c>
      <c r="O116" s="58">
        <f t="shared" ref="O116:AA116" si="600">+SUM(O117:O128)</f>
        <v>3079112.3653846155</v>
      </c>
      <c r="P116" s="58">
        <f t="shared" si="600"/>
        <v>3059515.6553846155</v>
      </c>
      <c r="Q116" s="58">
        <f t="shared" si="600"/>
        <v>3296337.3653846155</v>
      </c>
      <c r="R116" s="58">
        <f t="shared" si="600"/>
        <v>2954456.6844826015</v>
      </c>
      <c r="S116" s="58">
        <f t="shared" si="600"/>
        <v>2872863.6844826015</v>
      </c>
      <c r="T116" s="58">
        <f t="shared" si="600"/>
        <v>3128352.9444826017</v>
      </c>
      <c r="U116" s="58">
        <f t="shared" si="600"/>
        <v>3173172.9444826012</v>
      </c>
      <c r="V116" s="58">
        <f t="shared" si="600"/>
        <v>3117851.9444826017</v>
      </c>
      <c r="W116" s="58">
        <f t="shared" si="600"/>
        <v>3363943.6844826015</v>
      </c>
      <c r="X116" s="58">
        <f t="shared" si="600"/>
        <v>3218478.4344826015</v>
      </c>
      <c r="Y116" s="58">
        <f t="shared" si="600"/>
        <v>0</v>
      </c>
      <c r="Z116" s="58">
        <f t="shared" si="600"/>
        <v>0</v>
      </c>
      <c r="AA116" s="58">
        <f t="shared" si="600"/>
        <v>31264085.707532056</v>
      </c>
      <c r="AB116" s="118"/>
      <c r="AC116" s="58">
        <f t="shared" ref="AC116:AO116" si="601">+SUM(AC117:AC128)</f>
        <v>3094985.6844826015</v>
      </c>
      <c r="AD116" s="58">
        <f t="shared" si="601"/>
        <v>3094985.6844826015</v>
      </c>
      <c r="AE116" s="58">
        <f t="shared" si="601"/>
        <v>3094985.6844826015</v>
      </c>
      <c r="AF116" s="58">
        <f t="shared" si="601"/>
        <v>3094985.6844826015</v>
      </c>
      <c r="AG116" s="58">
        <f t="shared" si="601"/>
        <v>3094985.6844826015</v>
      </c>
      <c r="AH116" s="58">
        <f t="shared" si="601"/>
        <v>3094985.6844826015</v>
      </c>
      <c r="AI116" s="58">
        <f t="shared" si="601"/>
        <v>3094985.6844826015</v>
      </c>
      <c r="AJ116" s="58">
        <f t="shared" si="601"/>
        <v>3094985.6844826015</v>
      </c>
      <c r="AK116" s="58">
        <f t="shared" si="601"/>
        <v>3094985.6844826015</v>
      </c>
      <c r="AL116" s="58">
        <f t="shared" si="601"/>
        <v>3094985.6844826015</v>
      </c>
      <c r="AM116" s="58">
        <f t="shared" si="601"/>
        <v>3094985.6844826015</v>
      </c>
      <c r="AN116" s="58">
        <f t="shared" si="601"/>
        <v>3094985.6844826015</v>
      </c>
      <c r="AO116" s="58">
        <f t="shared" si="601"/>
        <v>37139828.213791214</v>
      </c>
      <c r="AP116" s="106"/>
      <c r="AQ116" s="58">
        <f t="shared" ref="AQ116:BC116" si="602">+SUM(AQ117:AQ128)</f>
        <v>1839023.1484615372</v>
      </c>
      <c r="AR116" s="58">
        <f t="shared" si="602"/>
        <v>1890662.0250512823</v>
      </c>
      <c r="AS116" s="58">
        <f t="shared" si="602"/>
        <v>1895392.9320512824</v>
      </c>
      <c r="AT116" s="58">
        <f t="shared" si="602"/>
        <v>1837588.5320512822</v>
      </c>
      <c r="AU116" s="58">
        <f t="shared" si="602"/>
        <v>1822710.3320512821</v>
      </c>
      <c r="AV116" s="58">
        <f t="shared" si="602"/>
        <v>1885868.3320512823</v>
      </c>
      <c r="AW116" s="58">
        <f t="shared" si="602"/>
        <v>2028915.3320512821</v>
      </c>
      <c r="AX116" s="58">
        <f t="shared" si="602"/>
        <v>2212226.032051282</v>
      </c>
      <c r="AY116" s="58">
        <f t="shared" si="602"/>
        <v>2409931.9220512826</v>
      </c>
      <c r="AZ116" s="58">
        <f t="shared" si="602"/>
        <v>2244545.6320512821</v>
      </c>
      <c r="BA116" s="58">
        <f t="shared" si="602"/>
        <v>2328060.6320512821</v>
      </c>
      <c r="BB116" s="58">
        <f t="shared" si="602"/>
        <v>1941859.4320512821</v>
      </c>
      <c r="BC116" s="58">
        <f t="shared" si="602"/>
        <v>24336784.284025639</v>
      </c>
      <c r="BD116" s="16" t="str">
        <f t="shared" si="405"/>
        <v>Salaries and Allowances</v>
      </c>
      <c r="BE116" s="58">
        <f t="shared" ref="BE116:BQ116" si="603">+SUM(BE117:BE128)</f>
        <v>1834352.4102564103</v>
      </c>
      <c r="BF116" s="58">
        <f t="shared" si="603"/>
        <v>1820506.7002564103</v>
      </c>
      <c r="BG116" s="58">
        <f t="shared" si="603"/>
        <v>1935478.4102564103</v>
      </c>
      <c r="BH116" s="58">
        <f t="shared" si="603"/>
        <v>1784818.1491328685</v>
      </c>
      <c r="BI116" s="58">
        <f t="shared" si="603"/>
        <v>1712273.1491328685</v>
      </c>
      <c r="BJ116" s="58">
        <f t="shared" si="603"/>
        <v>1805035.9891328686</v>
      </c>
      <c r="BK116" s="58">
        <f t="shared" si="603"/>
        <v>1869623.9891328684</v>
      </c>
      <c r="BL116" s="58">
        <f t="shared" si="603"/>
        <v>1833047.9891328686</v>
      </c>
      <c r="BM116" s="58">
        <f t="shared" si="603"/>
        <v>1981496.1491328685</v>
      </c>
      <c r="BN116" s="58">
        <f t="shared" si="603"/>
        <v>1903725.6491328685</v>
      </c>
      <c r="BO116" s="58">
        <f t="shared" si="603"/>
        <v>0</v>
      </c>
      <c r="BP116" s="58">
        <f t="shared" si="603"/>
        <v>0</v>
      </c>
      <c r="BQ116" s="58">
        <f t="shared" si="603"/>
        <v>18480358.584699307</v>
      </c>
      <c r="BR116" s="118"/>
      <c r="BS116" s="58">
        <f t="shared" ref="BS116:CE116" si="604">+SUM(BS117:BS128)</f>
        <v>1848970.1491328685</v>
      </c>
      <c r="BT116" s="58">
        <f t="shared" si="604"/>
        <v>1848970.1491328685</v>
      </c>
      <c r="BU116" s="58">
        <f t="shared" si="604"/>
        <v>1848970.1491328685</v>
      </c>
      <c r="BV116" s="58">
        <f t="shared" si="604"/>
        <v>1848970.1491328685</v>
      </c>
      <c r="BW116" s="58">
        <f t="shared" si="604"/>
        <v>1848970.1491328685</v>
      </c>
      <c r="BX116" s="58">
        <f t="shared" si="604"/>
        <v>1848970.1491328685</v>
      </c>
      <c r="BY116" s="58">
        <f t="shared" si="604"/>
        <v>1848970.1491328685</v>
      </c>
      <c r="BZ116" s="58">
        <f t="shared" si="604"/>
        <v>1848970.1491328685</v>
      </c>
      <c r="CA116" s="58">
        <f t="shared" si="604"/>
        <v>1848970.1491328685</v>
      </c>
      <c r="CB116" s="58">
        <f t="shared" si="604"/>
        <v>1848970.1491328685</v>
      </c>
      <c r="CC116" s="58">
        <f t="shared" si="604"/>
        <v>1848970.1491328685</v>
      </c>
      <c r="CD116" s="58">
        <f t="shared" si="604"/>
        <v>1848970.1491328685</v>
      </c>
      <c r="CE116" s="58">
        <f t="shared" si="604"/>
        <v>22187641.789594423</v>
      </c>
      <c r="CF116" s="106"/>
      <c r="CG116" s="58">
        <f t="shared" ref="CG116:CS116" si="605">+SUM(CG117:CG128)</f>
        <v>636054.94032051228</v>
      </c>
      <c r="CH116" s="58">
        <f t="shared" si="605"/>
        <v>629383.37579487194</v>
      </c>
      <c r="CI116" s="58">
        <f t="shared" si="605"/>
        <v>631483.25929487182</v>
      </c>
      <c r="CJ116" s="58">
        <f t="shared" si="605"/>
        <v>668295.05929487175</v>
      </c>
      <c r="CK116" s="58">
        <f t="shared" si="605"/>
        <v>683919.45929487178</v>
      </c>
      <c r="CL116" s="58">
        <f t="shared" si="605"/>
        <v>680559.45929487178</v>
      </c>
      <c r="CM116" s="58">
        <f t="shared" si="605"/>
        <v>679840.45929487178</v>
      </c>
      <c r="CN116" s="58">
        <f t="shared" si="605"/>
        <v>707539.76090777479</v>
      </c>
      <c r="CO116" s="58">
        <f t="shared" si="605"/>
        <v>645287.26929487195</v>
      </c>
      <c r="CP116" s="58">
        <f t="shared" si="605"/>
        <v>650613.6092948718</v>
      </c>
      <c r="CQ116" s="58">
        <f t="shared" si="605"/>
        <v>1210606.109294872</v>
      </c>
      <c r="CR116" s="58">
        <f t="shared" si="605"/>
        <v>736409.00929487182</v>
      </c>
      <c r="CS116" s="58">
        <f t="shared" si="605"/>
        <v>8559991.7706770059</v>
      </c>
      <c r="CT116" s="16" t="str">
        <f t="shared" si="409"/>
        <v>Salaries and Allowances</v>
      </c>
      <c r="CU116" s="58">
        <f t="shared" ref="CU116:DG116" si="606">+SUM(CU117:CU128)</f>
        <v>770840.88461538462</v>
      </c>
      <c r="CV116" s="58">
        <f t="shared" si="606"/>
        <v>784018.88461538462</v>
      </c>
      <c r="CW116" s="58">
        <f t="shared" si="606"/>
        <v>873166.88461538462</v>
      </c>
      <c r="CX116" s="58">
        <f t="shared" si="606"/>
        <v>724083.42317024572</v>
      </c>
      <c r="CY116" s="58">
        <f t="shared" si="606"/>
        <v>723422.42317024572</v>
      </c>
      <c r="CZ116" s="58">
        <f t="shared" si="606"/>
        <v>876375.84317024576</v>
      </c>
      <c r="DA116" s="58">
        <f t="shared" si="606"/>
        <v>817380.84317024576</v>
      </c>
      <c r="DB116" s="58">
        <f t="shared" si="606"/>
        <v>799217.84317024576</v>
      </c>
      <c r="DC116" s="58">
        <f t="shared" si="606"/>
        <v>901826.42317024572</v>
      </c>
      <c r="DD116" s="58">
        <f t="shared" si="606"/>
        <v>863774.67317024572</v>
      </c>
      <c r="DE116" s="58">
        <f t="shared" si="606"/>
        <v>0</v>
      </c>
      <c r="DF116" s="58">
        <f t="shared" si="606"/>
        <v>0</v>
      </c>
      <c r="DG116" s="58">
        <f t="shared" si="606"/>
        <v>8134108.1260378733</v>
      </c>
      <c r="DH116" s="118"/>
      <c r="DI116" s="58">
        <f t="shared" ref="DI116:DU116" si="607">+SUM(DI117:DI128)</f>
        <v>800460.42317024572</v>
      </c>
      <c r="DJ116" s="58">
        <f t="shared" si="607"/>
        <v>800460.42317024572</v>
      </c>
      <c r="DK116" s="58">
        <f t="shared" si="607"/>
        <v>800460.42317024572</v>
      </c>
      <c r="DL116" s="58">
        <f t="shared" si="607"/>
        <v>800460.42317024572</v>
      </c>
      <c r="DM116" s="58">
        <f t="shared" si="607"/>
        <v>800460.42317024572</v>
      </c>
      <c r="DN116" s="58">
        <f t="shared" si="607"/>
        <v>800460.42317024572</v>
      </c>
      <c r="DO116" s="58">
        <f t="shared" si="607"/>
        <v>800460.42317024572</v>
      </c>
      <c r="DP116" s="58">
        <f t="shared" si="607"/>
        <v>800460.42317024572</v>
      </c>
      <c r="DQ116" s="58">
        <f t="shared" si="607"/>
        <v>800460.42317024572</v>
      </c>
      <c r="DR116" s="58">
        <f t="shared" si="607"/>
        <v>800460.42317024572</v>
      </c>
      <c r="DS116" s="58">
        <f t="shared" si="607"/>
        <v>800460.42317024572</v>
      </c>
      <c r="DT116" s="58">
        <f t="shared" si="607"/>
        <v>800460.42317024572</v>
      </c>
      <c r="DU116" s="58">
        <f t="shared" si="607"/>
        <v>9605525.0780429486</v>
      </c>
      <c r="DV116" s="106"/>
      <c r="DW116" s="58">
        <f t="shared" ref="DW116:EI116" si="608">+SUM(DW117:DW128)</f>
        <v>0</v>
      </c>
      <c r="DX116" s="58">
        <f t="shared" si="608"/>
        <v>0</v>
      </c>
      <c r="DY116" s="58">
        <f t="shared" si="608"/>
        <v>0</v>
      </c>
      <c r="DZ116" s="58">
        <f t="shared" si="608"/>
        <v>0</v>
      </c>
      <c r="EA116" s="58">
        <f t="shared" si="608"/>
        <v>0</v>
      </c>
      <c r="EB116" s="58">
        <f t="shared" si="608"/>
        <v>0</v>
      </c>
      <c r="EC116" s="58">
        <f t="shared" si="608"/>
        <v>0</v>
      </c>
      <c r="ED116" s="58">
        <f t="shared" si="608"/>
        <v>0</v>
      </c>
      <c r="EE116" s="58">
        <f t="shared" si="608"/>
        <v>0</v>
      </c>
      <c r="EF116" s="58">
        <f t="shared" si="608"/>
        <v>0</v>
      </c>
      <c r="EG116" s="58">
        <f t="shared" si="608"/>
        <v>0</v>
      </c>
      <c r="EH116" s="58">
        <f t="shared" si="608"/>
        <v>0</v>
      </c>
      <c r="EI116" s="58">
        <f t="shared" si="608"/>
        <v>0</v>
      </c>
      <c r="EJ116" s="16" t="str">
        <f t="shared" si="457"/>
        <v>Salaries and Allowances</v>
      </c>
      <c r="EK116" s="58">
        <f t="shared" ref="EK116:EW116" si="609">+SUM(EK117:EK128)</f>
        <v>473919.07051282056</v>
      </c>
      <c r="EL116" s="58">
        <f t="shared" si="609"/>
        <v>454990.07051282056</v>
      </c>
      <c r="EM116" s="58">
        <f t="shared" si="609"/>
        <v>487692.07051282056</v>
      </c>
      <c r="EN116" s="58">
        <f t="shared" si="609"/>
        <v>445555.11217948725</v>
      </c>
      <c r="EO116" s="58">
        <f t="shared" si="609"/>
        <v>437168.11217948725</v>
      </c>
      <c r="EP116" s="58">
        <f t="shared" si="609"/>
        <v>446941.11217948725</v>
      </c>
      <c r="EQ116" s="58">
        <f t="shared" si="609"/>
        <v>486168.11217948725</v>
      </c>
      <c r="ER116" s="58">
        <f t="shared" si="609"/>
        <v>485586.11217948725</v>
      </c>
      <c r="ES116" s="58">
        <f t="shared" si="609"/>
        <v>480621.11217948725</v>
      </c>
      <c r="ET116" s="58">
        <f t="shared" si="609"/>
        <v>450978.11217948725</v>
      </c>
      <c r="EU116" s="58">
        <f t="shared" si="609"/>
        <v>0</v>
      </c>
      <c r="EV116" s="58">
        <f t="shared" si="609"/>
        <v>0</v>
      </c>
      <c r="EW116" s="58">
        <f t="shared" si="609"/>
        <v>4649618.996794872</v>
      </c>
      <c r="EX116" s="118"/>
      <c r="EY116" s="58">
        <f t="shared" ref="EY116:FK116" si="610">+SUM(EY117:EY128)</f>
        <v>445555.11217948725</v>
      </c>
      <c r="EZ116" s="58">
        <f t="shared" si="610"/>
        <v>445555.11217948725</v>
      </c>
      <c r="FA116" s="58">
        <f t="shared" si="610"/>
        <v>445555.11217948725</v>
      </c>
      <c r="FB116" s="58">
        <f t="shared" si="610"/>
        <v>445555.11217948725</v>
      </c>
      <c r="FC116" s="58">
        <f t="shared" si="610"/>
        <v>445555.11217948725</v>
      </c>
      <c r="FD116" s="58">
        <f t="shared" si="610"/>
        <v>445555.11217948725</v>
      </c>
      <c r="FE116" s="58">
        <f t="shared" si="610"/>
        <v>445555.11217948725</v>
      </c>
      <c r="FF116" s="58">
        <f t="shared" si="610"/>
        <v>445555.11217948725</v>
      </c>
      <c r="FG116" s="58">
        <f t="shared" si="610"/>
        <v>445555.11217948725</v>
      </c>
      <c r="FH116" s="58">
        <f t="shared" si="610"/>
        <v>445555.11217948725</v>
      </c>
      <c r="FI116" s="58">
        <f t="shared" si="610"/>
        <v>445555.11217948725</v>
      </c>
      <c r="FJ116" s="58">
        <f t="shared" si="610"/>
        <v>445555.11217948725</v>
      </c>
      <c r="FK116" s="58">
        <f t="shared" si="610"/>
        <v>5346661.346153846</v>
      </c>
    </row>
    <row r="117" spans="1:167" ht="14.45" hidden="1" customHeight="1" outlineLevel="1">
      <c r="A117" s="106">
        <f t="shared" ref="A117:L128" si="611">+AQ117+CG117+DW117</f>
        <v>903279.29399999836</v>
      </c>
      <c r="B117" s="106">
        <f t="shared" si="611"/>
        <v>898707.77949999995</v>
      </c>
      <c r="C117" s="106">
        <f t="shared" si="611"/>
        <v>931734.55</v>
      </c>
      <c r="D117" s="106">
        <f t="shared" si="611"/>
        <v>920678.55</v>
      </c>
      <c r="E117" s="106">
        <f t="shared" si="611"/>
        <v>895015.54999999993</v>
      </c>
      <c r="F117" s="106">
        <f t="shared" si="611"/>
        <v>961423.55</v>
      </c>
      <c r="G117" s="106">
        <f t="shared" si="611"/>
        <v>1005339.5499999999</v>
      </c>
      <c r="H117" s="106">
        <f t="shared" si="611"/>
        <v>1207430.901612903</v>
      </c>
      <c r="I117" s="106">
        <f t="shared" si="611"/>
        <v>1127988.79</v>
      </c>
      <c r="J117" s="106">
        <f t="shared" si="611"/>
        <v>1094410</v>
      </c>
      <c r="K117" s="106">
        <f t="shared" si="611"/>
        <v>1395561</v>
      </c>
      <c r="L117" s="106">
        <f t="shared" si="611"/>
        <v>990003</v>
      </c>
      <c r="M117" s="106">
        <f t="shared" ref="M117:M128" si="612">+SUM(A117:L117)</f>
        <v>12331572.515112901</v>
      </c>
      <c r="N117" s="16" t="s">
        <v>95</v>
      </c>
      <c r="O117" s="106">
        <f t="shared" ref="O117:Z128" si="613">+BE117+CU117+EK117</f>
        <v>1249444</v>
      </c>
      <c r="P117" s="106">
        <f t="shared" si="613"/>
        <v>1257890</v>
      </c>
      <c r="Q117" s="106">
        <f t="shared" si="613"/>
        <v>1153707</v>
      </c>
      <c r="R117" s="106">
        <f t="shared" si="613"/>
        <v>1151201</v>
      </c>
      <c r="S117" s="106">
        <f t="shared" si="613"/>
        <v>1120904</v>
      </c>
      <c r="T117" s="106">
        <f t="shared" si="613"/>
        <v>1175744</v>
      </c>
      <c r="U117" s="106">
        <f t="shared" si="613"/>
        <v>1178279</v>
      </c>
      <c r="V117" s="106">
        <f t="shared" si="613"/>
        <v>1178711</v>
      </c>
      <c r="W117" s="106">
        <f t="shared" si="613"/>
        <v>1163991</v>
      </c>
      <c r="X117" s="106">
        <f t="shared" si="613"/>
        <v>1207201</v>
      </c>
      <c r="Y117" s="106">
        <f t="shared" si="613"/>
        <v>0</v>
      </c>
      <c r="Z117" s="106">
        <f t="shared" si="613"/>
        <v>0</v>
      </c>
      <c r="AA117" s="106">
        <f t="shared" ref="AA117:AA128" si="614">+SUM(O117:Z117)</f>
        <v>11837072</v>
      </c>
      <c r="AB117" s="118"/>
      <c r="AC117" s="106">
        <f t="shared" ref="AC117:AN128" si="615">+BS117+DI117+EY117</f>
        <v>1221550</v>
      </c>
      <c r="AD117" s="106">
        <f t="shared" si="615"/>
        <v>1221550</v>
      </c>
      <c r="AE117" s="106">
        <f t="shared" si="615"/>
        <v>1221550</v>
      </c>
      <c r="AF117" s="106">
        <f t="shared" si="615"/>
        <v>1221550</v>
      </c>
      <c r="AG117" s="106">
        <f t="shared" si="615"/>
        <v>1221550</v>
      </c>
      <c r="AH117" s="106">
        <f t="shared" si="615"/>
        <v>1221550</v>
      </c>
      <c r="AI117" s="106">
        <f t="shared" si="615"/>
        <v>1221550</v>
      </c>
      <c r="AJ117" s="106">
        <f t="shared" si="615"/>
        <v>1221550</v>
      </c>
      <c r="AK117" s="106">
        <f t="shared" si="615"/>
        <v>1221550</v>
      </c>
      <c r="AL117" s="106">
        <f t="shared" si="615"/>
        <v>1221550</v>
      </c>
      <c r="AM117" s="106">
        <f t="shared" si="615"/>
        <v>1221550</v>
      </c>
      <c r="AN117" s="106">
        <f t="shared" si="615"/>
        <v>1221550</v>
      </c>
      <c r="AO117" s="106">
        <f t="shared" ref="AO117:AO128" si="616">+SUM(AC117:AN117)</f>
        <v>14658600</v>
      </c>
      <c r="AP117" s="106"/>
      <c r="AQ117" s="106">
        <f>+PMGR!AQ117+BP!AQ117</f>
        <v>663227.28599999892</v>
      </c>
      <c r="AR117" s="106">
        <f>+PMGR!AR117+BP!AR117</f>
        <v>670671.223</v>
      </c>
      <c r="AS117" s="106">
        <f>+PMGR!AS117+BP!AS117</f>
        <v>696997.70000000007</v>
      </c>
      <c r="AT117" s="106">
        <f>+PMGR!AT117+BP!AT117</f>
        <v>672203.70000000007</v>
      </c>
      <c r="AU117" s="106">
        <f>+PMGR!AU117+BP!AU117</f>
        <v>670696.69999999995</v>
      </c>
      <c r="AV117" s="106">
        <f>+PMGR!AV117+BP!AV117</f>
        <v>736390.70000000007</v>
      </c>
      <c r="AW117" s="106">
        <f>+PMGR!AW117+BP!AW117</f>
        <v>780665.7</v>
      </c>
      <c r="AX117" s="106">
        <f>+PMGR!AX117+BP!AX117</f>
        <v>938459.3</v>
      </c>
      <c r="AY117" s="106">
        <f>+PMGR!AY117+BP!AY117</f>
        <v>921172.12</v>
      </c>
      <c r="AZ117" s="106">
        <f>+PMGR!AZ117+BP!AZ117</f>
        <v>884885</v>
      </c>
      <c r="BA117" s="106">
        <f>+PMGR!BA117+BP!BA117</f>
        <v>930432</v>
      </c>
      <c r="BB117" s="106">
        <f>+PMGR!BB117+BP!BB117</f>
        <v>703172</v>
      </c>
      <c r="BC117" s="106">
        <f t="shared" ref="BC117:BC128" si="617">+SUM(AQ117:BB117)</f>
        <v>9268973.4289999995</v>
      </c>
      <c r="BD117" s="16" t="str">
        <f t="shared" si="405"/>
        <v>Salaries &amp; Wages - basic Staff</v>
      </c>
      <c r="BE117" s="106">
        <f>+PMGR!BE117+BP!BE117</f>
        <v>713097</v>
      </c>
      <c r="BF117" s="106">
        <f>+PMGR!BF117+BP!BF117</f>
        <v>714665</v>
      </c>
      <c r="BG117" s="106">
        <f>+PMGR!BG117+BP!BG117</f>
        <v>651021</v>
      </c>
      <c r="BH117" s="106">
        <f>+PMGR!BH117+BP!BH117</f>
        <v>664824</v>
      </c>
      <c r="BI117" s="106">
        <f>+PMGR!BI117+BP!BI117</f>
        <v>651042</v>
      </c>
      <c r="BJ117" s="106">
        <f>+PMGR!BJ117+BP!BJ117</f>
        <v>685020</v>
      </c>
      <c r="BK117" s="106">
        <f>+PMGR!BK117+BP!BK117</f>
        <v>683041</v>
      </c>
      <c r="BL117" s="106">
        <f>+PMGR!BL117+BP!BL117</f>
        <v>682768</v>
      </c>
      <c r="BM117" s="106">
        <f>+PMGR!BM117+BP!BM117</f>
        <v>673278</v>
      </c>
      <c r="BN117" s="106">
        <f>+PMGR!BN117+BP!BN117</f>
        <v>698274</v>
      </c>
      <c r="BO117" s="106">
        <f>+PMGR!BO117+BP!BO117</f>
        <v>0</v>
      </c>
      <c r="BP117" s="106">
        <f>+PMGR!BP117+BP!BP117</f>
        <v>0</v>
      </c>
      <c r="BQ117" s="106">
        <f t="shared" ref="BQ117:BQ128" si="618">+SUM(BE117:BP117)</f>
        <v>6817030</v>
      </c>
      <c r="BR117" s="118"/>
      <c r="BS117" s="106">
        <f>+PMGR!BS117+BP!BS117</f>
        <v>697800</v>
      </c>
      <c r="BT117" s="106">
        <f>+PMGR!BT117+BP!BT117</f>
        <v>697800</v>
      </c>
      <c r="BU117" s="106">
        <f>+PMGR!BU117+BP!BU117</f>
        <v>697800</v>
      </c>
      <c r="BV117" s="106">
        <f>+PMGR!BV117+BP!BV117</f>
        <v>697800</v>
      </c>
      <c r="BW117" s="106">
        <f>+PMGR!BW117+BP!BW117</f>
        <v>697800</v>
      </c>
      <c r="BX117" s="106">
        <f>+PMGR!BX117+BP!BX117</f>
        <v>697800</v>
      </c>
      <c r="BY117" s="106">
        <f>+PMGR!BY117+BP!BY117</f>
        <v>697800</v>
      </c>
      <c r="BZ117" s="106">
        <f>+PMGR!BZ117+BP!BZ117</f>
        <v>697800</v>
      </c>
      <c r="CA117" s="106">
        <f>+PMGR!CA117+BP!CA117</f>
        <v>697800</v>
      </c>
      <c r="CB117" s="106">
        <f>+PMGR!CB117+BP!CB117</f>
        <v>697800</v>
      </c>
      <c r="CC117" s="106">
        <f>+PMGR!CC117+BP!CC117</f>
        <v>697800</v>
      </c>
      <c r="CD117" s="106">
        <f>+PMGR!CD117+BP!CD117</f>
        <v>697800</v>
      </c>
      <c r="CE117" s="106">
        <f t="shared" ref="CE117:CE128" si="619">+SUM(BS117:CD117)</f>
        <v>8373600</v>
      </c>
      <c r="CF117" s="106"/>
      <c r="CG117" s="106">
        <f>+PMGR!CG117+BP!CG117</f>
        <v>240052.00799999945</v>
      </c>
      <c r="CH117" s="106">
        <f>+PMGR!CH117+BP!CH117</f>
        <v>228036.55650000001</v>
      </c>
      <c r="CI117" s="106">
        <f>+PMGR!CI117+BP!CI117</f>
        <v>234736.85</v>
      </c>
      <c r="CJ117" s="106">
        <f>+PMGR!CJ117+BP!CJ117</f>
        <v>248474.85</v>
      </c>
      <c r="CK117" s="106">
        <f>+PMGR!CK117+BP!CK117</f>
        <v>224318.85</v>
      </c>
      <c r="CL117" s="106">
        <f>+PMGR!CL117+BP!CL117</f>
        <v>225032.85</v>
      </c>
      <c r="CM117" s="106">
        <f>+PMGR!CM117+BP!CM117</f>
        <v>224673.85</v>
      </c>
      <c r="CN117" s="106">
        <f>+PMGR!CN117+BP!CN117</f>
        <v>268971.60161290294</v>
      </c>
      <c r="CO117" s="106">
        <f>+PMGR!CO117+BP!CO117</f>
        <v>206816.67</v>
      </c>
      <c r="CP117" s="106">
        <f>+PMGR!CP117+BP!CP117</f>
        <v>209525</v>
      </c>
      <c r="CQ117" s="106">
        <f>+PMGR!CQ117+BP!CQ117</f>
        <v>465129</v>
      </c>
      <c r="CR117" s="106">
        <f>+PMGR!CR117+BP!CR117</f>
        <v>286831</v>
      </c>
      <c r="CS117" s="106">
        <f t="shared" ref="CS117:CS128" si="620">+SUM(CG117:CR117)</f>
        <v>3062599.0861129025</v>
      </c>
      <c r="CT117" s="16" t="str">
        <f t="shared" si="409"/>
        <v>Salaries &amp; Wages - basic Staff</v>
      </c>
      <c r="CU117" s="106">
        <f>+PMGR!CU117+BP!CU117</f>
        <v>314226</v>
      </c>
      <c r="CV117" s="106">
        <f>+PMGR!CV117+BP!CV117</f>
        <v>319975</v>
      </c>
      <c r="CW117" s="106">
        <f>+PMGR!CW117+BP!CW117</f>
        <v>302436</v>
      </c>
      <c r="CX117" s="106">
        <f>+PMGR!CX117+BP!CX117</f>
        <v>286127</v>
      </c>
      <c r="CY117" s="106">
        <f>+PMGR!CY117+BP!CY117</f>
        <v>273806</v>
      </c>
      <c r="CZ117" s="106">
        <f>+PMGR!CZ117+BP!CZ117</f>
        <v>284141</v>
      </c>
      <c r="DA117" s="106">
        <f>+PMGR!DA117+BP!DA117</f>
        <v>288214</v>
      </c>
      <c r="DB117" s="106">
        <f>+PMGR!DB117+BP!DB117</f>
        <v>289258</v>
      </c>
      <c r="DC117" s="106">
        <f>+PMGR!DC117+BP!DC117</f>
        <v>286496</v>
      </c>
      <c r="DD117" s="106">
        <f>+PMGR!DD117+BP!DD117</f>
        <v>306996</v>
      </c>
      <c r="DE117" s="106">
        <f>+PMGR!DE117+BP!DE117</f>
        <v>0</v>
      </c>
      <c r="DF117" s="106">
        <f>+PMGR!DF117+BP!DF117</f>
        <v>0</v>
      </c>
      <c r="DG117" s="106">
        <f t="shared" ref="DG117:DG128" si="621">+SUM(CU117:DF117)</f>
        <v>2951675</v>
      </c>
      <c r="DH117" s="118"/>
      <c r="DI117" s="106">
        <f>+PMGR!DI117+BP!DI117</f>
        <v>323500</v>
      </c>
      <c r="DJ117" s="106">
        <f>+PMGR!DJ117+BP!DJ117</f>
        <v>323500</v>
      </c>
      <c r="DK117" s="106">
        <f>+PMGR!DK117+BP!DK117</f>
        <v>323500</v>
      </c>
      <c r="DL117" s="106">
        <f>+PMGR!DL117+BP!DL117</f>
        <v>323500</v>
      </c>
      <c r="DM117" s="106">
        <f>+PMGR!DM117+BP!DM117</f>
        <v>323500</v>
      </c>
      <c r="DN117" s="106">
        <f>+PMGR!DN117+BP!DN117</f>
        <v>323500</v>
      </c>
      <c r="DO117" s="106">
        <f>+PMGR!DO117+BP!DO117</f>
        <v>323500</v>
      </c>
      <c r="DP117" s="106">
        <f>+PMGR!DP117+BP!DP117</f>
        <v>323500</v>
      </c>
      <c r="DQ117" s="106">
        <f>+PMGR!DQ117+BP!DQ117</f>
        <v>323500</v>
      </c>
      <c r="DR117" s="106">
        <f>+PMGR!DR117+BP!DR117</f>
        <v>323500</v>
      </c>
      <c r="DS117" s="106">
        <f>+PMGR!DS117+BP!DS117</f>
        <v>323500</v>
      </c>
      <c r="DT117" s="106">
        <f>+PMGR!DT117+BP!DT117</f>
        <v>323500</v>
      </c>
      <c r="DU117" s="106">
        <f t="shared" ref="DU117:DU128" si="622">+SUM(DI117:DT117)</f>
        <v>3882000</v>
      </c>
      <c r="DV117" s="106"/>
      <c r="DW117" s="106">
        <f>+PMGR!DW117+BP!DW117</f>
        <v>0</v>
      </c>
      <c r="DX117" s="106">
        <f>+PMGR!DX117+BP!DX117</f>
        <v>0</v>
      </c>
      <c r="DY117" s="106">
        <f>+PMGR!DY117+BP!DY117</f>
        <v>0</v>
      </c>
      <c r="DZ117" s="106">
        <f>+PMGR!DZ117+BP!DZ117</f>
        <v>0</v>
      </c>
      <c r="EA117" s="106">
        <f>+PMGR!EA117+BP!EA117</f>
        <v>0</v>
      </c>
      <c r="EB117" s="106">
        <f>+PMGR!EB117+BP!EB117</f>
        <v>0</v>
      </c>
      <c r="EC117" s="106">
        <f>+PMGR!EC117+BP!EC117</f>
        <v>0</v>
      </c>
      <c r="ED117" s="106">
        <f>+PMGR!ED117+BP!ED117</f>
        <v>0</v>
      </c>
      <c r="EE117" s="106">
        <f>+PMGR!EE117+BP!EE117</f>
        <v>0</v>
      </c>
      <c r="EF117" s="106">
        <f>+PMGR!EF117+BP!EF117</f>
        <v>0</v>
      </c>
      <c r="EG117" s="106">
        <f>+PMGR!EG117+BP!EG117</f>
        <v>0</v>
      </c>
      <c r="EH117" s="106">
        <f>+PMGR!EH117+BP!EH117</f>
        <v>0</v>
      </c>
      <c r="EI117" s="106">
        <f t="shared" ref="EI117:EI128" si="623">+SUM(DW117:EH117)</f>
        <v>0</v>
      </c>
      <c r="EJ117" s="16" t="str">
        <f t="shared" si="457"/>
        <v>Salaries &amp; Wages - basic Staff</v>
      </c>
      <c r="EK117" s="106">
        <f>+PMGR!EK117+BP!EK117</f>
        <v>222121</v>
      </c>
      <c r="EL117" s="106">
        <f>+PMGR!EL117+BP!EL117</f>
        <v>223250</v>
      </c>
      <c r="EM117" s="106">
        <f>+PMGR!EM117+BP!EM117</f>
        <v>200250</v>
      </c>
      <c r="EN117" s="106">
        <f>+PMGR!EN117+BP!EN117</f>
        <v>200250</v>
      </c>
      <c r="EO117" s="106">
        <f>+PMGR!EO117+BP!EO117</f>
        <v>196056</v>
      </c>
      <c r="EP117" s="106">
        <f>+PMGR!EP117+BP!EP117</f>
        <v>206583</v>
      </c>
      <c r="EQ117" s="106">
        <f>+PMGR!EQ117+BP!EQ117</f>
        <v>207024</v>
      </c>
      <c r="ER117" s="106">
        <f>+PMGR!ER117+BP!ER117</f>
        <v>206685</v>
      </c>
      <c r="ES117" s="106">
        <f>+PMGR!ES117+BP!ES117</f>
        <v>204217</v>
      </c>
      <c r="ET117" s="106">
        <f>+PMGR!ET117+BP!ET117</f>
        <v>201931</v>
      </c>
      <c r="EU117" s="106">
        <f>+PMGR!EU117+BP!EU117</f>
        <v>0</v>
      </c>
      <c r="EV117" s="106">
        <f>+PMGR!EV117+BP!EV117</f>
        <v>0</v>
      </c>
      <c r="EW117" s="106">
        <f t="shared" ref="EW117:EW128" si="624">+SUM(EK117:EV117)</f>
        <v>2068367</v>
      </c>
      <c r="EX117" s="118"/>
      <c r="EY117" s="106">
        <f>+PMGR!EY117+BP!EY117</f>
        <v>200250</v>
      </c>
      <c r="EZ117" s="106">
        <f>+PMGR!EZ117+BP!EZ117</f>
        <v>200250</v>
      </c>
      <c r="FA117" s="106">
        <f>+PMGR!FA117+BP!FA117</f>
        <v>200250</v>
      </c>
      <c r="FB117" s="106">
        <f>+PMGR!FB117+BP!FB117</f>
        <v>200250</v>
      </c>
      <c r="FC117" s="106">
        <f>+PMGR!FC117+BP!FC117</f>
        <v>200250</v>
      </c>
      <c r="FD117" s="106">
        <f>+PMGR!FD117+BP!FD117</f>
        <v>200250</v>
      </c>
      <c r="FE117" s="106">
        <f>+PMGR!FE117+BP!FE117</f>
        <v>200250</v>
      </c>
      <c r="FF117" s="106">
        <f>+PMGR!FF117+BP!FF117</f>
        <v>200250</v>
      </c>
      <c r="FG117" s="106">
        <f>+PMGR!FG117+BP!FG117</f>
        <v>200250</v>
      </c>
      <c r="FH117" s="106">
        <f>+PMGR!FH117+BP!FH117</f>
        <v>200250</v>
      </c>
      <c r="FI117" s="106">
        <f>+PMGR!FI117+BP!FI117</f>
        <v>200250</v>
      </c>
      <c r="FJ117" s="106">
        <f>+PMGR!FJ117+BP!FJ117</f>
        <v>200250</v>
      </c>
      <c r="FK117" s="106">
        <f t="shared" ref="FK117:FK128" si="625">+SUM(EY117:FJ117)</f>
        <v>2403000</v>
      </c>
    </row>
    <row r="118" spans="1:167" ht="14.45" hidden="1" customHeight="1" outlineLevel="1">
      <c r="A118" s="106">
        <f t="shared" si="611"/>
        <v>137897.97100000002</v>
      </c>
      <c r="B118" s="106">
        <f t="shared" si="611"/>
        <v>133711.39000000001</v>
      </c>
      <c r="C118" s="106">
        <f t="shared" si="611"/>
        <v>143610.5</v>
      </c>
      <c r="D118" s="106">
        <f t="shared" si="611"/>
        <v>141730.5</v>
      </c>
      <c r="E118" s="106">
        <f t="shared" si="611"/>
        <v>144437.5</v>
      </c>
      <c r="F118" s="106">
        <f t="shared" si="611"/>
        <v>144732.5</v>
      </c>
      <c r="G118" s="106">
        <f t="shared" si="611"/>
        <v>159278.5</v>
      </c>
      <c r="H118" s="106">
        <f t="shared" si="611"/>
        <v>160997.25</v>
      </c>
      <c r="I118" s="106">
        <f t="shared" si="611"/>
        <v>172382.22</v>
      </c>
      <c r="J118" s="106">
        <f t="shared" si="611"/>
        <v>168424.5</v>
      </c>
      <c r="K118" s="106">
        <f t="shared" si="611"/>
        <v>205845.5</v>
      </c>
      <c r="L118" s="106">
        <f t="shared" si="611"/>
        <v>153282</v>
      </c>
      <c r="M118" s="106">
        <f t="shared" si="612"/>
        <v>1866330.331</v>
      </c>
      <c r="N118" s="16" t="s">
        <v>96</v>
      </c>
      <c r="O118" s="106">
        <f t="shared" si="613"/>
        <v>170930</v>
      </c>
      <c r="P118" s="106">
        <f t="shared" si="613"/>
        <v>172423</v>
      </c>
      <c r="Q118" s="106">
        <f t="shared" si="613"/>
        <v>177274</v>
      </c>
      <c r="R118" s="106">
        <f t="shared" si="613"/>
        <v>178423</v>
      </c>
      <c r="S118" s="106">
        <f t="shared" si="613"/>
        <v>173899</v>
      </c>
      <c r="T118" s="106">
        <f t="shared" si="613"/>
        <v>179603</v>
      </c>
      <c r="U118" s="106">
        <f t="shared" si="613"/>
        <v>183226</v>
      </c>
      <c r="V118" s="106">
        <f t="shared" si="613"/>
        <v>184154</v>
      </c>
      <c r="W118" s="106">
        <f t="shared" si="613"/>
        <v>182164</v>
      </c>
      <c r="X118" s="106">
        <f t="shared" si="613"/>
        <v>187202</v>
      </c>
      <c r="Y118" s="106">
        <f t="shared" si="613"/>
        <v>0</v>
      </c>
      <c r="Z118" s="106">
        <f t="shared" si="613"/>
        <v>0</v>
      </c>
      <c r="AA118" s="106">
        <f t="shared" si="614"/>
        <v>1789298</v>
      </c>
      <c r="AB118" s="118"/>
      <c r="AC118" s="106">
        <f t="shared" si="615"/>
        <v>190650</v>
      </c>
      <c r="AD118" s="106">
        <f t="shared" si="615"/>
        <v>190650</v>
      </c>
      <c r="AE118" s="106">
        <f t="shared" si="615"/>
        <v>190650</v>
      </c>
      <c r="AF118" s="106">
        <f t="shared" si="615"/>
        <v>190650</v>
      </c>
      <c r="AG118" s="106">
        <f t="shared" si="615"/>
        <v>190650</v>
      </c>
      <c r="AH118" s="106">
        <f t="shared" si="615"/>
        <v>190650</v>
      </c>
      <c r="AI118" s="106">
        <f t="shared" si="615"/>
        <v>190650</v>
      </c>
      <c r="AJ118" s="106">
        <f t="shared" si="615"/>
        <v>190650</v>
      </c>
      <c r="AK118" s="106">
        <f t="shared" si="615"/>
        <v>190650</v>
      </c>
      <c r="AL118" s="106">
        <f t="shared" si="615"/>
        <v>190650</v>
      </c>
      <c r="AM118" s="106">
        <f t="shared" si="615"/>
        <v>190650</v>
      </c>
      <c r="AN118" s="106">
        <f t="shared" si="615"/>
        <v>190650</v>
      </c>
      <c r="AO118" s="106">
        <f t="shared" si="616"/>
        <v>2287800</v>
      </c>
      <c r="AP118" s="106"/>
      <c r="AQ118" s="106">
        <f>+PMGR!AQ118+BP!AQ118</f>
        <v>98182.40400000001</v>
      </c>
      <c r="AR118" s="106">
        <f>+PMGR!AR118+BP!AR118</f>
        <v>98677.700000000012</v>
      </c>
      <c r="AS118" s="106">
        <f>+PMGR!AS118+BP!AS118</f>
        <v>104683</v>
      </c>
      <c r="AT118" s="106">
        <f>+PMGR!AT118+BP!AT118</f>
        <v>100858</v>
      </c>
      <c r="AU118" s="106">
        <f>+PMGR!AU118+BP!AU118</f>
        <v>105888</v>
      </c>
      <c r="AV118" s="106">
        <f>+PMGR!AV118+BP!AV118</f>
        <v>107140</v>
      </c>
      <c r="AW118" s="106">
        <f>+PMGR!AW118+BP!AW118</f>
        <v>121643</v>
      </c>
      <c r="AX118" s="106">
        <f>+PMGR!AX118+BP!AX118</f>
        <v>123960.5</v>
      </c>
      <c r="AY118" s="106">
        <f>+PMGR!AY118+BP!AY118</f>
        <v>137238.32</v>
      </c>
      <c r="AZ118" s="106">
        <f>+PMGR!AZ118+BP!AZ118</f>
        <v>133062</v>
      </c>
      <c r="BA118" s="106">
        <f>+PMGR!BA118+BP!BA118</f>
        <v>133859</v>
      </c>
      <c r="BB118" s="106">
        <f>+PMGR!BB118+BP!BB118</f>
        <v>104550</v>
      </c>
      <c r="BC118" s="106">
        <f t="shared" si="617"/>
        <v>1369741.9240000001</v>
      </c>
      <c r="BD118" s="16" t="str">
        <f t="shared" si="405"/>
        <v>Conveyance  - Staff</v>
      </c>
      <c r="BE118" s="106">
        <f>+PMGR!BE118+BP!BE118</f>
        <v>95834</v>
      </c>
      <c r="BF118" s="106">
        <f>+PMGR!BF118+BP!BF118</f>
        <v>95823</v>
      </c>
      <c r="BG118" s="106">
        <f>+PMGR!BG118+BP!BG118</f>
        <v>98904</v>
      </c>
      <c r="BH118" s="106">
        <f>+PMGR!BH118+BP!BH118</f>
        <v>101997</v>
      </c>
      <c r="BI118" s="106">
        <f>+PMGR!BI118+BP!BI118</f>
        <v>99609</v>
      </c>
      <c r="BJ118" s="106">
        <f>+PMGR!BJ118+BP!BJ118</f>
        <v>104918</v>
      </c>
      <c r="BK118" s="106">
        <f>+PMGR!BK118+BP!BK118</f>
        <v>104796</v>
      </c>
      <c r="BL118" s="106">
        <f>+PMGR!BL118+BP!BL118</f>
        <v>104711</v>
      </c>
      <c r="BM118" s="106">
        <f>+PMGR!BM118+BP!BM118</f>
        <v>103594</v>
      </c>
      <c r="BN118" s="106">
        <f>+PMGR!BN118+BP!BN118</f>
        <v>106638</v>
      </c>
      <c r="BO118" s="106">
        <f>+PMGR!BO118+BP!BO118</f>
        <v>0</v>
      </c>
      <c r="BP118" s="106">
        <f>+PMGR!BP118+BP!BP118</f>
        <v>0</v>
      </c>
      <c r="BQ118" s="106">
        <f t="shared" si="618"/>
        <v>1016824</v>
      </c>
      <c r="BR118" s="118"/>
      <c r="BS118" s="106">
        <f>+PMGR!BS118+BP!BS118</f>
        <v>109150</v>
      </c>
      <c r="BT118" s="106">
        <f>+PMGR!BT118+BP!BT118</f>
        <v>109150</v>
      </c>
      <c r="BU118" s="106">
        <f>+PMGR!BU118+BP!BU118</f>
        <v>109150</v>
      </c>
      <c r="BV118" s="106">
        <f>+PMGR!BV118+BP!BV118</f>
        <v>109150</v>
      </c>
      <c r="BW118" s="106">
        <f>+PMGR!BW118+BP!BW118</f>
        <v>109150</v>
      </c>
      <c r="BX118" s="106">
        <f>+PMGR!BX118+BP!BX118</f>
        <v>109150</v>
      </c>
      <c r="BY118" s="106">
        <f>+PMGR!BY118+BP!BY118</f>
        <v>109150</v>
      </c>
      <c r="BZ118" s="106">
        <f>+PMGR!BZ118+BP!BZ118</f>
        <v>109150</v>
      </c>
      <c r="CA118" s="106">
        <f>+PMGR!CA118+BP!CA118</f>
        <v>109150</v>
      </c>
      <c r="CB118" s="106">
        <f>+PMGR!CB118+BP!CB118</f>
        <v>109150</v>
      </c>
      <c r="CC118" s="106">
        <f>+PMGR!CC118+BP!CC118</f>
        <v>109150</v>
      </c>
      <c r="CD118" s="106">
        <f>+PMGR!CD118+BP!CD118</f>
        <v>109150</v>
      </c>
      <c r="CE118" s="106">
        <f t="shared" si="619"/>
        <v>1309800</v>
      </c>
      <c r="CF118" s="106"/>
      <c r="CG118" s="106">
        <f>+PMGR!CG118+BP!CG118</f>
        <v>39715.567000000003</v>
      </c>
      <c r="CH118" s="106">
        <f>+PMGR!CH118+BP!CH118</f>
        <v>35033.69</v>
      </c>
      <c r="CI118" s="106">
        <f>+PMGR!CI118+BP!CI118</f>
        <v>38927.5</v>
      </c>
      <c r="CJ118" s="106">
        <f>+PMGR!CJ118+BP!CJ118</f>
        <v>40872.5</v>
      </c>
      <c r="CK118" s="106">
        <f>+PMGR!CK118+BP!CK118</f>
        <v>38549.5</v>
      </c>
      <c r="CL118" s="106">
        <f>+PMGR!CL118+BP!CL118</f>
        <v>37592.5</v>
      </c>
      <c r="CM118" s="106">
        <f>+PMGR!CM118+BP!CM118</f>
        <v>37635.5</v>
      </c>
      <c r="CN118" s="106">
        <f>+PMGR!CN118+BP!CN118</f>
        <v>37036.75</v>
      </c>
      <c r="CO118" s="106">
        <f>+PMGR!CO118+BP!CO118</f>
        <v>35143.9</v>
      </c>
      <c r="CP118" s="106">
        <f>+PMGR!CP118+BP!CP118</f>
        <v>35362.5</v>
      </c>
      <c r="CQ118" s="106">
        <f>+PMGR!CQ118+BP!CQ118</f>
        <v>71986.5</v>
      </c>
      <c r="CR118" s="106">
        <f>+PMGR!CR118+BP!CR118</f>
        <v>48732</v>
      </c>
      <c r="CS118" s="106">
        <f t="shared" si="620"/>
        <v>496588.40700000001</v>
      </c>
      <c r="CT118" s="16" t="str">
        <f t="shared" si="409"/>
        <v>Conveyance  - Staff</v>
      </c>
      <c r="CU118" s="106">
        <f>+PMGR!CU118+BP!CU118</f>
        <v>46366</v>
      </c>
      <c r="CV118" s="106">
        <f>+PMGR!CV118+BP!CV118</f>
        <v>47700</v>
      </c>
      <c r="CW118" s="106">
        <f>+PMGR!CW118+BP!CW118</f>
        <v>49470</v>
      </c>
      <c r="CX118" s="106">
        <f>+PMGR!CX118+BP!CX118</f>
        <v>47526</v>
      </c>
      <c r="CY118" s="106">
        <f>+PMGR!CY118+BP!CY118</f>
        <v>46019</v>
      </c>
      <c r="CZ118" s="106">
        <f>+PMGR!CZ118+BP!CZ118</f>
        <v>47835</v>
      </c>
      <c r="DA118" s="106">
        <f>+PMGR!DA118+BP!DA118</f>
        <v>48512</v>
      </c>
      <c r="DB118" s="106">
        <f>+PMGR!DB118+BP!DB118</f>
        <v>49574</v>
      </c>
      <c r="DC118" s="106">
        <f>+PMGR!DC118+BP!DC118</f>
        <v>49072</v>
      </c>
      <c r="DD118" s="106">
        <f>+PMGR!DD118+BP!DD118</f>
        <v>51406</v>
      </c>
      <c r="DE118" s="106">
        <f>+PMGR!DE118+BP!DE118</f>
        <v>0</v>
      </c>
      <c r="DF118" s="106">
        <f>+PMGR!DF118+BP!DF118</f>
        <v>0</v>
      </c>
      <c r="DG118" s="106">
        <f t="shared" si="621"/>
        <v>483480</v>
      </c>
      <c r="DH118" s="118"/>
      <c r="DI118" s="106">
        <f>+PMGR!DI118+BP!DI118</f>
        <v>52600</v>
      </c>
      <c r="DJ118" s="106">
        <f>+PMGR!DJ118+BP!DJ118</f>
        <v>52600</v>
      </c>
      <c r="DK118" s="106">
        <f>+PMGR!DK118+BP!DK118</f>
        <v>52600</v>
      </c>
      <c r="DL118" s="106">
        <f>+PMGR!DL118+BP!DL118</f>
        <v>52600</v>
      </c>
      <c r="DM118" s="106">
        <f>+PMGR!DM118+BP!DM118</f>
        <v>52600</v>
      </c>
      <c r="DN118" s="106">
        <f>+PMGR!DN118+BP!DN118</f>
        <v>52600</v>
      </c>
      <c r="DO118" s="106">
        <f>+PMGR!DO118+BP!DO118</f>
        <v>52600</v>
      </c>
      <c r="DP118" s="106">
        <f>+PMGR!DP118+BP!DP118</f>
        <v>52600</v>
      </c>
      <c r="DQ118" s="106">
        <f>+PMGR!DQ118+BP!DQ118</f>
        <v>52600</v>
      </c>
      <c r="DR118" s="106">
        <f>+PMGR!DR118+BP!DR118</f>
        <v>52600</v>
      </c>
      <c r="DS118" s="106">
        <f>+PMGR!DS118+BP!DS118</f>
        <v>52600</v>
      </c>
      <c r="DT118" s="106">
        <f>+PMGR!DT118+BP!DT118</f>
        <v>52600</v>
      </c>
      <c r="DU118" s="106">
        <f t="shared" si="622"/>
        <v>631200</v>
      </c>
      <c r="DV118" s="106"/>
      <c r="DW118" s="106">
        <f>+PMGR!DW118+BP!DW118</f>
        <v>0</v>
      </c>
      <c r="DX118" s="106">
        <f>+PMGR!DX118+BP!DX118</f>
        <v>0</v>
      </c>
      <c r="DY118" s="106">
        <f>+PMGR!DY118+BP!DY118</f>
        <v>0</v>
      </c>
      <c r="DZ118" s="106">
        <f>+PMGR!DZ118+BP!DZ118</f>
        <v>0</v>
      </c>
      <c r="EA118" s="106">
        <f>+PMGR!EA118+BP!EA118</f>
        <v>0</v>
      </c>
      <c r="EB118" s="106">
        <f>+PMGR!EB118+BP!EB118</f>
        <v>0</v>
      </c>
      <c r="EC118" s="106">
        <f>+PMGR!EC118+BP!EC118</f>
        <v>0</v>
      </c>
      <c r="ED118" s="106">
        <f>+PMGR!ED118+BP!ED118</f>
        <v>0</v>
      </c>
      <c r="EE118" s="106">
        <f>+PMGR!EE118+BP!EE118</f>
        <v>0</v>
      </c>
      <c r="EF118" s="106">
        <f>+PMGR!EF118+BP!EF118</f>
        <v>0</v>
      </c>
      <c r="EG118" s="106">
        <f>+PMGR!EG118+BP!EG118</f>
        <v>0</v>
      </c>
      <c r="EH118" s="106">
        <f>+PMGR!EH118+BP!EH118</f>
        <v>0</v>
      </c>
      <c r="EI118" s="106">
        <f t="shared" si="623"/>
        <v>0</v>
      </c>
      <c r="EJ118" s="16" t="str">
        <f t="shared" si="457"/>
        <v>Conveyance  - Staff</v>
      </c>
      <c r="EK118" s="106">
        <f>+PMGR!EK118+BP!EK118</f>
        <v>28730</v>
      </c>
      <c r="EL118" s="106">
        <f>+PMGR!EL118+BP!EL118</f>
        <v>28900</v>
      </c>
      <c r="EM118" s="106">
        <f>+PMGR!EM118+BP!EM118</f>
        <v>28900</v>
      </c>
      <c r="EN118" s="106">
        <f>+PMGR!EN118+BP!EN118</f>
        <v>28900</v>
      </c>
      <c r="EO118" s="106">
        <f>+PMGR!EO118+BP!EO118</f>
        <v>28271</v>
      </c>
      <c r="EP118" s="106">
        <f>+PMGR!EP118+BP!EP118</f>
        <v>26850</v>
      </c>
      <c r="EQ118" s="106">
        <f>+PMGR!EQ118+BP!EQ118</f>
        <v>29918</v>
      </c>
      <c r="ER118" s="106">
        <f>+PMGR!ER118+BP!ER118</f>
        <v>29869</v>
      </c>
      <c r="ES118" s="106">
        <f>+PMGR!ES118+BP!ES118</f>
        <v>29498</v>
      </c>
      <c r="ET118" s="106">
        <f>+PMGR!ET118+BP!ET118</f>
        <v>29158</v>
      </c>
      <c r="EU118" s="106">
        <f>+PMGR!EU118+BP!EU118</f>
        <v>0</v>
      </c>
      <c r="EV118" s="106">
        <f>+PMGR!EV118+BP!EV118</f>
        <v>0</v>
      </c>
      <c r="EW118" s="106">
        <f t="shared" si="624"/>
        <v>288994</v>
      </c>
      <c r="EX118" s="118"/>
      <c r="EY118" s="106">
        <f>+PMGR!EY118+BP!EY118</f>
        <v>28900</v>
      </c>
      <c r="EZ118" s="106">
        <f>+PMGR!EZ118+BP!EZ118</f>
        <v>28900</v>
      </c>
      <c r="FA118" s="106">
        <f>+PMGR!FA118+BP!FA118</f>
        <v>28900</v>
      </c>
      <c r="FB118" s="106">
        <f>+PMGR!FB118+BP!FB118</f>
        <v>28900</v>
      </c>
      <c r="FC118" s="106">
        <f>+PMGR!FC118+BP!FC118</f>
        <v>28900</v>
      </c>
      <c r="FD118" s="106">
        <f>+PMGR!FD118+BP!FD118</f>
        <v>28900</v>
      </c>
      <c r="FE118" s="106">
        <f>+PMGR!FE118+BP!FE118</f>
        <v>28900</v>
      </c>
      <c r="FF118" s="106">
        <f>+PMGR!FF118+BP!FF118</f>
        <v>28900</v>
      </c>
      <c r="FG118" s="106">
        <f>+PMGR!FG118+BP!FG118</f>
        <v>28900</v>
      </c>
      <c r="FH118" s="106">
        <f>+PMGR!FH118+BP!FH118</f>
        <v>28900</v>
      </c>
      <c r="FI118" s="106">
        <f>+PMGR!FI118+BP!FI118</f>
        <v>28900</v>
      </c>
      <c r="FJ118" s="106">
        <f>+PMGR!FJ118+BP!FJ118</f>
        <v>28900</v>
      </c>
      <c r="FK118" s="106">
        <f t="shared" si="625"/>
        <v>346800</v>
      </c>
    </row>
    <row r="119" spans="1:167" ht="14.45" hidden="1" customHeight="1" outlineLevel="1">
      <c r="A119" s="106">
        <f t="shared" si="611"/>
        <v>13625</v>
      </c>
      <c r="B119" s="106">
        <f t="shared" si="611"/>
        <v>13625</v>
      </c>
      <c r="C119" s="106">
        <f t="shared" si="611"/>
        <v>12500</v>
      </c>
      <c r="D119" s="106">
        <f t="shared" si="611"/>
        <v>12500</v>
      </c>
      <c r="E119" s="106">
        <f t="shared" si="611"/>
        <v>12500</v>
      </c>
      <c r="F119" s="106">
        <f t="shared" si="611"/>
        <v>11700</v>
      </c>
      <c r="G119" s="106">
        <f t="shared" si="611"/>
        <v>11500</v>
      </c>
      <c r="H119" s="106">
        <f t="shared" si="611"/>
        <v>11258</v>
      </c>
      <c r="I119" s="106">
        <f t="shared" si="611"/>
        <v>8966.67</v>
      </c>
      <c r="J119" s="106">
        <f t="shared" si="611"/>
        <v>8871</v>
      </c>
      <c r="K119" s="106">
        <f t="shared" si="611"/>
        <v>16204.5</v>
      </c>
      <c r="L119" s="106">
        <f t="shared" si="611"/>
        <v>9836</v>
      </c>
      <c r="M119" s="106">
        <f t="shared" si="612"/>
        <v>143086.16999999998</v>
      </c>
      <c r="N119" s="16" t="s">
        <v>97</v>
      </c>
      <c r="O119" s="106">
        <f t="shared" si="613"/>
        <v>10000</v>
      </c>
      <c r="P119" s="106">
        <f t="shared" si="613"/>
        <v>10000</v>
      </c>
      <c r="Q119" s="106">
        <f t="shared" si="613"/>
        <v>7000</v>
      </c>
      <c r="R119" s="106">
        <f t="shared" si="613"/>
        <v>7000</v>
      </c>
      <c r="S119" s="106">
        <f t="shared" si="613"/>
        <v>7000</v>
      </c>
      <c r="T119" s="106">
        <f t="shared" si="613"/>
        <v>7000</v>
      </c>
      <c r="U119" s="106">
        <f t="shared" si="613"/>
        <v>7000</v>
      </c>
      <c r="V119" s="106">
        <f t="shared" si="613"/>
        <v>7000</v>
      </c>
      <c r="W119" s="106">
        <f t="shared" si="613"/>
        <v>7000</v>
      </c>
      <c r="X119" s="106">
        <f t="shared" si="613"/>
        <v>6879</v>
      </c>
      <c r="Y119" s="106">
        <f t="shared" si="613"/>
        <v>0</v>
      </c>
      <c r="Z119" s="106">
        <f t="shared" si="613"/>
        <v>0</v>
      </c>
      <c r="AA119" s="106">
        <f t="shared" si="614"/>
        <v>75879</v>
      </c>
      <c r="AB119" s="118"/>
      <c r="AC119" s="106">
        <f t="shared" si="615"/>
        <v>7000</v>
      </c>
      <c r="AD119" s="106">
        <f t="shared" si="615"/>
        <v>7000</v>
      </c>
      <c r="AE119" s="106">
        <f t="shared" si="615"/>
        <v>7000</v>
      </c>
      <c r="AF119" s="106">
        <f t="shared" si="615"/>
        <v>7000</v>
      </c>
      <c r="AG119" s="106">
        <f t="shared" si="615"/>
        <v>7000</v>
      </c>
      <c r="AH119" s="106">
        <f t="shared" si="615"/>
        <v>7000</v>
      </c>
      <c r="AI119" s="106">
        <f t="shared" si="615"/>
        <v>7000</v>
      </c>
      <c r="AJ119" s="106">
        <f t="shared" si="615"/>
        <v>7000</v>
      </c>
      <c r="AK119" s="106">
        <f t="shared" si="615"/>
        <v>7000</v>
      </c>
      <c r="AL119" s="106">
        <f t="shared" si="615"/>
        <v>7000</v>
      </c>
      <c r="AM119" s="106">
        <f t="shared" si="615"/>
        <v>7000</v>
      </c>
      <c r="AN119" s="106">
        <f t="shared" si="615"/>
        <v>7000</v>
      </c>
      <c r="AO119" s="106">
        <f t="shared" si="616"/>
        <v>84000</v>
      </c>
      <c r="AP119" s="106"/>
      <c r="AQ119" s="106">
        <f>+PMGR!AQ119+BP!AQ119</f>
        <v>9810</v>
      </c>
      <c r="AR119" s="106">
        <f>+PMGR!AR119+BP!AR119</f>
        <v>9810</v>
      </c>
      <c r="AS119" s="106">
        <f>+PMGR!AS119+BP!AS119</f>
        <v>9000</v>
      </c>
      <c r="AT119" s="106">
        <f>+PMGR!AT119+BP!AT119</f>
        <v>9000</v>
      </c>
      <c r="AU119" s="106">
        <f>+PMGR!AU119+BP!AU119</f>
        <v>9000</v>
      </c>
      <c r="AV119" s="106">
        <f>+PMGR!AV119+BP!AV119</f>
        <v>8200</v>
      </c>
      <c r="AW119" s="106">
        <f>+PMGR!AW119+BP!AW119</f>
        <v>8000</v>
      </c>
      <c r="AX119" s="106">
        <f>+PMGR!AX119+BP!AX119</f>
        <v>8000</v>
      </c>
      <c r="AY119" s="106">
        <f>+PMGR!AY119+BP!AY119</f>
        <v>7966.67</v>
      </c>
      <c r="AZ119" s="106">
        <f>+PMGR!AZ119+BP!AZ119</f>
        <v>7871</v>
      </c>
      <c r="BA119" s="106">
        <f>+PMGR!BA119+BP!BA119</f>
        <v>8370</v>
      </c>
      <c r="BB119" s="106">
        <f>+PMGR!BB119+BP!BB119</f>
        <v>6836</v>
      </c>
      <c r="BC119" s="106">
        <f t="shared" si="617"/>
        <v>101863.67</v>
      </c>
      <c r="BD119" s="16" t="str">
        <f t="shared" si="405"/>
        <v>Fuel Allowance - Staff</v>
      </c>
      <c r="BE119" s="106">
        <f>+PMGR!BE119+BP!BE119</f>
        <v>7000</v>
      </c>
      <c r="BF119" s="106">
        <f>+PMGR!BF119+BP!BF119</f>
        <v>7000</v>
      </c>
      <c r="BG119" s="106">
        <f>+PMGR!BG119+BP!BG119</f>
        <v>4000</v>
      </c>
      <c r="BH119" s="106">
        <f>+PMGR!BH119+BP!BH119</f>
        <v>4000</v>
      </c>
      <c r="BI119" s="106">
        <f>+PMGR!BI119+BP!BI119</f>
        <v>4000</v>
      </c>
      <c r="BJ119" s="106">
        <f>+PMGR!BJ119+BP!BJ119</f>
        <v>4000</v>
      </c>
      <c r="BK119" s="106">
        <f>+PMGR!BK119+BP!BK119</f>
        <v>4000</v>
      </c>
      <c r="BL119" s="106">
        <f>+PMGR!BL119+BP!BL119</f>
        <v>4000</v>
      </c>
      <c r="BM119" s="106">
        <f>+PMGR!BM119+BP!BM119</f>
        <v>4000</v>
      </c>
      <c r="BN119" s="106">
        <f>+PMGR!BN119+BP!BN119</f>
        <v>3879</v>
      </c>
      <c r="BO119" s="106">
        <f>+PMGR!BO119+BP!BO119</f>
        <v>0</v>
      </c>
      <c r="BP119" s="106">
        <f>+PMGR!BP119+BP!BP119</f>
        <v>0</v>
      </c>
      <c r="BQ119" s="106">
        <f t="shared" si="618"/>
        <v>45879</v>
      </c>
      <c r="BR119" s="118"/>
      <c r="BS119" s="106">
        <f>+PMGR!BS119+BP!BS119</f>
        <v>4000</v>
      </c>
      <c r="BT119" s="106">
        <f>+PMGR!BT119+BP!BT119</f>
        <v>4000</v>
      </c>
      <c r="BU119" s="106">
        <f>+PMGR!BU119+BP!BU119</f>
        <v>4000</v>
      </c>
      <c r="BV119" s="106">
        <f>+PMGR!BV119+BP!BV119</f>
        <v>4000</v>
      </c>
      <c r="BW119" s="106">
        <f>+PMGR!BW119+BP!BW119</f>
        <v>4000</v>
      </c>
      <c r="BX119" s="106">
        <f>+PMGR!BX119+BP!BX119</f>
        <v>4000</v>
      </c>
      <c r="BY119" s="106">
        <f>+PMGR!BY119+BP!BY119</f>
        <v>4000</v>
      </c>
      <c r="BZ119" s="106">
        <f>+PMGR!BZ119+BP!BZ119</f>
        <v>4000</v>
      </c>
      <c r="CA119" s="106">
        <f>+PMGR!CA119+BP!CA119</f>
        <v>4000</v>
      </c>
      <c r="CB119" s="106">
        <f>+PMGR!CB119+BP!CB119</f>
        <v>4000</v>
      </c>
      <c r="CC119" s="106">
        <f>+PMGR!CC119+BP!CC119</f>
        <v>4000</v>
      </c>
      <c r="CD119" s="106">
        <f>+PMGR!CD119+BP!CD119</f>
        <v>4000</v>
      </c>
      <c r="CE119" s="106">
        <f t="shared" si="619"/>
        <v>48000</v>
      </c>
      <c r="CF119" s="106"/>
      <c r="CG119" s="106">
        <f>+PMGR!CG119+BP!CG119</f>
        <v>3815.0000000000005</v>
      </c>
      <c r="CH119" s="106">
        <f>+PMGR!CH119+BP!CH119</f>
        <v>3815.0000000000005</v>
      </c>
      <c r="CI119" s="106">
        <f>+PMGR!CI119+BP!CI119</f>
        <v>3500</v>
      </c>
      <c r="CJ119" s="106">
        <f>+PMGR!CJ119+BP!CJ119</f>
        <v>3500</v>
      </c>
      <c r="CK119" s="106">
        <f>+PMGR!CK119+BP!CK119</f>
        <v>3500</v>
      </c>
      <c r="CL119" s="106">
        <f>+PMGR!CL119+BP!CL119</f>
        <v>3500</v>
      </c>
      <c r="CM119" s="106">
        <f>+PMGR!CM119+BP!CM119</f>
        <v>3500</v>
      </c>
      <c r="CN119" s="106">
        <f>+PMGR!CN119+BP!CN119</f>
        <v>3258</v>
      </c>
      <c r="CO119" s="106">
        <f>+PMGR!CO119+BP!CO119</f>
        <v>1000</v>
      </c>
      <c r="CP119" s="106">
        <f>+PMGR!CP119+BP!CP119</f>
        <v>1000</v>
      </c>
      <c r="CQ119" s="106">
        <f>+PMGR!CQ119+BP!CQ119</f>
        <v>7834.5</v>
      </c>
      <c r="CR119" s="106">
        <f>+PMGR!CR119+BP!CR119</f>
        <v>3000</v>
      </c>
      <c r="CS119" s="106">
        <f t="shared" si="620"/>
        <v>41222.5</v>
      </c>
      <c r="CT119" s="16" t="str">
        <f t="shared" si="409"/>
        <v>Fuel Allowance - Staff</v>
      </c>
      <c r="CU119" s="106">
        <f>+PMGR!CU119+BP!CU119</f>
        <v>3000</v>
      </c>
      <c r="CV119" s="106">
        <f>+PMGR!CV119+BP!CV119</f>
        <v>3000</v>
      </c>
      <c r="CW119" s="106">
        <f>+PMGR!CW119+BP!CW119</f>
        <v>3000</v>
      </c>
      <c r="CX119" s="106">
        <f>+PMGR!CX119+BP!CX119</f>
        <v>3000</v>
      </c>
      <c r="CY119" s="106">
        <f>+PMGR!CY119+BP!CY119</f>
        <v>3000</v>
      </c>
      <c r="CZ119" s="106">
        <f>+PMGR!CZ119+BP!CZ119</f>
        <v>3000</v>
      </c>
      <c r="DA119" s="106">
        <f>+PMGR!DA119+BP!DA119</f>
        <v>3000</v>
      </c>
      <c r="DB119" s="106">
        <f>+PMGR!DB119+BP!DB119</f>
        <v>3000</v>
      </c>
      <c r="DC119" s="106">
        <f>+PMGR!DC119+BP!DC119</f>
        <v>3000</v>
      </c>
      <c r="DD119" s="106">
        <f>+PMGR!DD119+BP!DD119</f>
        <v>3000</v>
      </c>
      <c r="DE119" s="106">
        <f>+PMGR!DE119+BP!DE119</f>
        <v>0</v>
      </c>
      <c r="DF119" s="106">
        <f>+PMGR!DF119+BP!DF119</f>
        <v>0</v>
      </c>
      <c r="DG119" s="106">
        <f t="shared" si="621"/>
        <v>30000</v>
      </c>
      <c r="DH119" s="118"/>
      <c r="DI119" s="106">
        <f>+PMGR!DI119+BP!DI119</f>
        <v>3000</v>
      </c>
      <c r="DJ119" s="106">
        <f>+PMGR!DJ119+BP!DJ119</f>
        <v>3000</v>
      </c>
      <c r="DK119" s="106">
        <f>+PMGR!DK119+BP!DK119</f>
        <v>3000</v>
      </c>
      <c r="DL119" s="106">
        <f>+PMGR!DL119+BP!DL119</f>
        <v>3000</v>
      </c>
      <c r="DM119" s="106">
        <f>+PMGR!DM119+BP!DM119</f>
        <v>3000</v>
      </c>
      <c r="DN119" s="106">
        <f>+PMGR!DN119+BP!DN119</f>
        <v>3000</v>
      </c>
      <c r="DO119" s="106">
        <f>+PMGR!DO119+BP!DO119</f>
        <v>3000</v>
      </c>
      <c r="DP119" s="106">
        <f>+PMGR!DP119+BP!DP119</f>
        <v>3000</v>
      </c>
      <c r="DQ119" s="106">
        <f>+PMGR!DQ119+BP!DQ119</f>
        <v>3000</v>
      </c>
      <c r="DR119" s="106">
        <f>+PMGR!DR119+BP!DR119</f>
        <v>3000</v>
      </c>
      <c r="DS119" s="106">
        <f>+PMGR!DS119+BP!DS119</f>
        <v>3000</v>
      </c>
      <c r="DT119" s="106">
        <f>+PMGR!DT119+BP!DT119</f>
        <v>3000</v>
      </c>
      <c r="DU119" s="106">
        <f t="shared" si="622"/>
        <v>36000</v>
      </c>
      <c r="DV119" s="106"/>
      <c r="DW119" s="106">
        <f>+PMGR!DW119+BP!DW119</f>
        <v>0</v>
      </c>
      <c r="DX119" s="106">
        <f>+PMGR!DX119+BP!DX119</f>
        <v>0</v>
      </c>
      <c r="DY119" s="106">
        <f>+PMGR!DY119+BP!DY119</f>
        <v>0</v>
      </c>
      <c r="DZ119" s="106">
        <f>+PMGR!DZ119+BP!DZ119</f>
        <v>0</v>
      </c>
      <c r="EA119" s="106">
        <f>+PMGR!EA119+BP!EA119</f>
        <v>0</v>
      </c>
      <c r="EB119" s="106">
        <f>+PMGR!EB119+BP!EB119</f>
        <v>0</v>
      </c>
      <c r="EC119" s="106">
        <f>+PMGR!EC119+BP!EC119</f>
        <v>0</v>
      </c>
      <c r="ED119" s="106">
        <f>+PMGR!ED119+BP!ED119</f>
        <v>0</v>
      </c>
      <c r="EE119" s="106">
        <f>+PMGR!EE119+BP!EE119</f>
        <v>0</v>
      </c>
      <c r="EF119" s="106">
        <f>+PMGR!EF119+BP!EF119</f>
        <v>0</v>
      </c>
      <c r="EG119" s="106">
        <f>+PMGR!EG119+BP!EG119</f>
        <v>0</v>
      </c>
      <c r="EH119" s="106">
        <f>+PMGR!EH119+BP!EH119</f>
        <v>0</v>
      </c>
      <c r="EI119" s="106">
        <f t="shared" si="623"/>
        <v>0</v>
      </c>
      <c r="EJ119" s="16" t="str">
        <f t="shared" si="457"/>
        <v>Fuel Allowance - Staff</v>
      </c>
      <c r="EK119" s="106">
        <f>+PMGR!EK119+BP!EK119</f>
        <v>0</v>
      </c>
      <c r="EL119" s="106">
        <f>+PMGR!EL119+BP!EL119</f>
        <v>0</v>
      </c>
      <c r="EM119" s="106">
        <f>+PMGR!EM119+BP!EM119</f>
        <v>0</v>
      </c>
      <c r="EN119" s="106">
        <f>+PMGR!EN119+BP!EN119</f>
        <v>0</v>
      </c>
      <c r="EO119" s="106">
        <f>+PMGR!EO119+BP!EO119</f>
        <v>0</v>
      </c>
      <c r="EP119" s="106">
        <f>+PMGR!EP119+BP!EP119</f>
        <v>0</v>
      </c>
      <c r="EQ119" s="106">
        <f>+PMGR!EQ119+BP!EQ119</f>
        <v>0</v>
      </c>
      <c r="ER119" s="106">
        <f>+PMGR!ER119+BP!ER119</f>
        <v>0</v>
      </c>
      <c r="ES119" s="106">
        <f>+PMGR!ES119+BP!ES119</f>
        <v>0</v>
      </c>
      <c r="ET119" s="106">
        <f>+PMGR!ET119+BP!ET119</f>
        <v>0</v>
      </c>
      <c r="EU119" s="106">
        <f>+PMGR!EU119+BP!EU119</f>
        <v>0</v>
      </c>
      <c r="EV119" s="106">
        <f>+PMGR!EV119+BP!EV119</f>
        <v>0</v>
      </c>
      <c r="EW119" s="106">
        <f t="shared" si="624"/>
        <v>0</v>
      </c>
      <c r="EX119" s="118"/>
      <c r="EY119" s="106">
        <f>+PMGR!EY119+BP!EY119</f>
        <v>0</v>
      </c>
      <c r="EZ119" s="106">
        <f>+PMGR!EZ119+BP!EZ119</f>
        <v>0</v>
      </c>
      <c r="FA119" s="106">
        <f>+PMGR!FA119+BP!FA119</f>
        <v>0</v>
      </c>
      <c r="FB119" s="106">
        <f>+PMGR!FB119+BP!FB119</f>
        <v>0</v>
      </c>
      <c r="FC119" s="106">
        <f>+PMGR!FC119+BP!FC119</f>
        <v>0</v>
      </c>
      <c r="FD119" s="106">
        <f>+PMGR!FD119+BP!FD119</f>
        <v>0</v>
      </c>
      <c r="FE119" s="106">
        <f>+PMGR!FE119+BP!FE119</f>
        <v>0</v>
      </c>
      <c r="FF119" s="106">
        <f>+PMGR!FF119+BP!FF119</f>
        <v>0</v>
      </c>
      <c r="FG119" s="106">
        <f>+PMGR!FG119+BP!FG119</f>
        <v>0</v>
      </c>
      <c r="FH119" s="106">
        <f>+PMGR!FH119+BP!FH119</f>
        <v>0</v>
      </c>
      <c r="FI119" s="106">
        <f>+PMGR!FI119+BP!FI119</f>
        <v>0</v>
      </c>
      <c r="FJ119" s="106">
        <f>+PMGR!FJ119+BP!FJ119</f>
        <v>0</v>
      </c>
      <c r="FK119" s="106">
        <f t="shared" si="625"/>
        <v>0</v>
      </c>
    </row>
    <row r="120" spans="1:167" ht="14.45" hidden="1" customHeight="1" outlineLevel="1">
      <c r="A120" s="106">
        <f t="shared" si="611"/>
        <v>273556.80949999997</v>
      </c>
      <c r="B120" s="106">
        <f t="shared" si="611"/>
        <v>271026.32</v>
      </c>
      <c r="C120" s="106">
        <f t="shared" si="611"/>
        <v>280916</v>
      </c>
      <c r="D120" s="106">
        <f t="shared" si="611"/>
        <v>270397</v>
      </c>
      <c r="E120" s="106">
        <f t="shared" si="611"/>
        <v>275148</v>
      </c>
      <c r="F120" s="106">
        <f t="shared" si="611"/>
        <v>283953</v>
      </c>
      <c r="G120" s="106">
        <f t="shared" si="611"/>
        <v>322647</v>
      </c>
      <c r="H120" s="106">
        <f t="shared" si="611"/>
        <v>344520.64999999997</v>
      </c>
      <c r="I120" s="106">
        <f t="shared" si="611"/>
        <v>376629.52</v>
      </c>
      <c r="J120" s="106">
        <f t="shared" si="611"/>
        <v>368309</v>
      </c>
      <c r="K120" s="106">
        <f t="shared" si="611"/>
        <v>468827</v>
      </c>
      <c r="L120" s="106">
        <f t="shared" si="611"/>
        <v>332086</v>
      </c>
      <c r="M120" s="106">
        <f t="shared" si="612"/>
        <v>3868016.2995000002</v>
      </c>
      <c r="N120" s="16" t="s">
        <v>98</v>
      </c>
      <c r="O120" s="106">
        <f t="shared" si="613"/>
        <v>409246</v>
      </c>
      <c r="P120" s="106">
        <f t="shared" si="613"/>
        <v>379081</v>
      </c>
      <c r="Q120" s="106">
        <f t="shared" si="613"/>
        <v>665691</v>
      </c>
      <c r="R120" s="106">
        <f t="shared" si="613"/>
        <v>412995</v>
      </c>
      <c r="S120" s="106">
        <f t="shared" si="613"/>
        <v>402641</v>
      </c>
      <c r="T120" s="106">
        <f t="shared" si="613"/>
        <v>519259</v>
      </c>
      <c r="U120" s="106">
        <f t="shared" si="613"/>
        <v>425732</v>
      </c>
      <c r="V120" s="106">
        <f t="shared" si="613"/>
        <v>427432</v>
      </c>
      <c r="W120" s="106">
        <f t="shared" si="613"/>
        <v>422593</v>
      </c>
      <c r="X120" s="106">
        <f t="shared" si="613"/>
        <v>434210</v>
      </c>
      <c r="Y120" s="106">
        <f t="shared" si="613"/>
        <v>0</v>
      </c>
      <c r="Z120" s="106">
        <f t="shared" si="613"/>
        <v>0</v>
      </c>
      <c r="AA120" s="106">
        <f t="shared" si="614"/>
        <v>4498880</v>
      </c>
      <c r="AB120" s="118"/>
      <c r="AC120" s="106">
        <f t="shared" si="615"/>
        <v>440450</v>
      </c>
      <c r="AD120" s="106">
        <f t="shared" si="615"/>
        <v>440450</v>
      </c>
      <c r="AE120" s="106">
        <f t="shared" si="615"/>
        <v>440450</v>
      </c>
      <c r="AF120" s="106">
        <f t="shared" si="615"/>
        <v>440450</v>
      </c>
      <c r="AG120" s="106">
        <f t="shared" si="615"/>
        <v>440450</v>
      </c>
      <c r="AH120" s="106">
        <f t="shared" si="615"/>
        <v>440450</v>
      </c>
      <c r="AI120" s="106">
        <f t="shared" si="615"/>
        <v>440450</v>
      </c>
      <c r="AJ120" s="106">
        <f t="shared" si="615"/>
        <v>440450</v>
      </c>
      <c r="AK120" s="106">
        <f t="shared" si="615"/>
        <v>440450</v>
      </c>
      <c r="AL120" s="106">
        <f t="shared" si="615"/>
        <v>440450</v>
      </c>
      <c r="AM120" s="106">
        <f t="shared" si="615"/>
        <v>440450</v>
      </c>
      <c r="AN120" s="106">
        <f t="shared" si="615"/>
        <v>440450</v>
      </c>
      <c r="AO120" s="106">
        <f t="shared" si="616"/>
        <v>5285400</v>
      </c>
      <c r="AP120" s="106"/>
      <c r="AQ120" s="106">
        <f>+PMGR!AQ120+BP!AQ120</f>
        <v>196676.003</v>
      </c>
      <c r="AR120" s="106">
        <f>+PMGR!AR120+BP!AR120</f>
        <v>197961.44</v>
      </c>
      <c r="AS120" s="106">
        <f>+PMGR!AS120+BP!AS120</f>
        <v>206745</v>
      </c>
      <c r="AT120" s="106">
        <f>+PMGR!AT120+BP!AT120</f>
        <v>193747</v>
      </c>
      <c r="AU120" s="106">
        <f>+PMGR!AU120+BP!AU120</f>
        <v>201466</v>
      </c>
      <c r="AV120" s="106">
        <f>+PMGR!AV120+BP!AV120</f>
        <v>209450</v>
      </c>
      <c r="AW120" s="106">
        <f>+PMGR!AW120+BP!AW120</f>
        <v>248081</v>
      </c>
      <c r="AX120" s="106">
        <f>+PMGR!AX120+BP!AX120</f>
        <v>271045.09999999998</v>
      </c>
      <c r="AY120" s="106">
        <f>+PMGR!AY120+BP!AY120</f>
        <v>306527.78999999998</v>
      </c>
      <c r="AZ120" s="106">
        <f>+PMGR!AZ120+BP!AZ120</f>
        <v>297474</v>
      </c>
      <c r="BA120" s="106">
        <f>+PMGR!BA120+BP!BA120</f>
        <v>305391</v>
      </c>
      <c r="BB120" s="106">
        <f>+PMGR!BB120+BP!BB120</f>
        <v>228806</v>
      </c>
      <c r="BC120" s="106">
        <f t="shared" si="617"/>
        <v>2863370.3330000001</v>
      </c>
      <c r="BD120" s="16" t="str">
        <f t="shared" si="405"/>
        <v>HRA - Staff</v>
      </c>
      <c r="BE120" s="106">
        <f>+PMGR!BE120+BP!BE120</f>
        <v>227365</v>
      </c>
      <c r="BF120" s="106">
        <f>+PMGR!BF120+BP!BF120</f>
        <v>202006</v>
      </c>
      <c r="BG120" s="106">
        <f>+PMGR!BG120+BP!BG120</f>
        <v>357682</v>
      </c>
      <c r="BH120" s="106">
        <f>+PMGR!BH120+BP!BH120</f>
        <v>230017</v>
      </c>
      <c r="BI120" s="106">
        <f>+PMGR!BI120+BP!BI120</f>
        <v>225289</v>
      </c>
      <c r="BJ120" s="106">
        <f>+PMGR!BJ120+BP!BJ120</f>
        <v>238883</v>
      </c>
      <c r="BK120" s="106">
        <f>+PMGR!BK120+BP!BK120</f>
        <v>238146</v>
      </c>
      <c r="BL120" s="106">
        <f>+PMGR!BL120+BP!BL120</f>
        <v>238273</v>
      </c>
      <c r="BM120" s="106">
        <f>+PMGR!BM120+BP!BM120</f>
        <v>235178</v>
      </c>
      <c r="BN120" s="106">
        <f>+PMGR!BN120+BP!BN120</f>
        <v>241396</v>
      </c>
      <c r="BO120" s="106">
        <f>+PMGR!BO120+BP!BO120</f>
        <v>0</v>
      </c>
      <c r="BP120" s="106">
        <f>+PMGR!BP120+BP!BP120</f>
        <v>0</v>
      </c>
      <c r="BQ120" s="106">
        <f t="shared" si="618"/>
        <v>2434235</v>
      </c>
      <c r="BR120" s="118"/>
      <c r="BS120" s="106">
        <f>+PMGR!BS120+BP!BS120</f>
        <v>242950</v>
      </c>
      <c r="BT120" s="106">
        <f>+PMGR!BT120+BP!BT120</f>
        <v>242950</v>
      </c>
      <c r="BU120" s="106">
        <f>+PMGR!BU120+BP!BU120</f>
        <v>242950</v>
      </c>
      <c r="BV120" s="106">
        <f>+PMGR!BV120+BP!BV120</f>
        <v>242950</v>
      </c>
      <c r="BW120" s="106">
        <f>+PMGR!BW120+BP!BW120</f>
        <v>242950</v>
      </c>
      <c r="BX120" s="106">
        <f>+PMGR!BX120+BP!BX120</f>
        <v>242950</v>
      </c>
      <c r="BY120" s="106">
        <f>+PMGR!BY120+BP!BY120</f>
        <v>242950</v>
      </c>
      <c r="BZ120" s="106">
        <f>+PMGR!BZ120+BP!BZ120</f>
        <v>242950</v>
      </c>
      <c r="CA120" s="106">
        <f>+PMGR!CA120+BP!CA120</f>
        <v>242950</v>
      </c>
      <c r="CB120" s="106">
        <f>+PMGR!CB120+BP!CB120</f>
        <v>242950</v>
      </c>
      <c r="CC120" s="106">
        <f>+PMGR!CC120+BP!CC120</f>
        <v>242950</v>
      </c>
      <c r="CD120" s="106">
        <f>+PMGR!CD120+BP!CD120</f>
        <v>242950</v>
      </c>
      <c r="CE120" s="106">
        <f t="shared" si="619"/>
        <v>2915400</v>
      </c>
      <c r="CF120" s="106"/>
      <c r="CG120" s="106">
        <f>+PMGR!CG120+BP!CG120</f>
        <v>76880.806500000006</v>
      </c>
      <c r="CH120" s="106">
        <f>+PMGR!CH120+BP!CH120</f>
        <v>73064.88</v>
      </c>
      <c r="CI120" s="106">
        <f>+PMGR!CI120+BP!CI120</f>
        <v>74171</v>
      </c>
      <c r="CJ120" s="106">
        <f>+PMGR!CJ120+BP!CJ120</f>
        <v>76650</v>
      </c>
      <c r="CK120" s="106">
        <f>+PMGR!CK120+BP!CK120</f>
        <v>73682</v>
      </c>
      <c r="CL120" s="106">
        <f>+PMGR!CL120+BP!CL120</f>
        <v>74503</v>
      </c>
      <c r="CM120" s="106">
        <f>+PMGR!CM120+BP!CM120</f>
        <v>74566</v>
      </c>
      <c r="CN120" s="106">
        <f>+PMGR!CN120+BP!CN120</f>
        <v>73475.549999999988</v>
      </c>
      <c r="CO120" s="106">
        <f>+PMGR!CO120+BP!CO120</f>
        <v>70101.73000000001</v>
      </c>
      <c r="CP120" s="106">
        <f>+PMGR!CP120+BP!CP120</f>
        <v>70835</v>
      </c>
      <c r="CQ120" s="106">
        <f>+PMGR!CQ120+BP!CQ120</f>
        <v>163436</v>
      </c>
      <c r="CR120" s="106">
        <f>+PMGR!CR120+BP!CR120</f>
        <v>103280</v>
      </c>
      <c r="CS120" s="106">
        <f t="shared" si="620"/>
        <v>1004645.9665</v>
      </c>
      <c r="CT120" s="16" t="str">
        <f t="shared" si="409"/>
        <v>HRA - Staff</v>
      </c>
      <c r="CU120" s="106">
        <f>+PMGR!CU120+BP!CU120</f>
        <v>100533</v>
      </c>
      <c r="CV120" s="106">
        <f>+PMGR!CV120+BP!CV120</f>
        <v>101275</v>
      </c>
      <c r="CW120" s="106">
        <f>+PMGR!CW120+BP!CW120</f>
        <v>197009</v>
      </c>
      <c r="CX120" s="106">
        <f>+PMGR!CX120+BP!CX120</f>
        <v>104178</v>
      </c>
      <c r="CY120" s="106">
        <f>+PMGR!CY120+BP!CY120</f>
        <v>100229</v>
      </c>
      <c r="CZ120" s="106">
        <f>+PMGR!CZ120+BP!CZ120</f>
        <v>199043</v>
      </c>
      <c r="DA120" s="106">
        <f>+PMGR!DA120+BP!DA120</f>
        <v>106067</v>
      </c>
      <c r="DB120" s="106">
        <f>+PMGR!DB120+BP!DB120</f>
        <v>107761</v>
      </c>
      <c r="DC120" s="106">
        <f>+PMGR!DC120+BP!DC120</f>
        <v>107008</v>
      </c>
      <c r="DD120" s="106">
        <f>+PMGR!DD120+BP!DD120</f>
        <v>113303</v>
      </c>
      <c r="DE120" s="106">
        <f>+PMGR!DE120+BP!DE120</f>
        <v>0</v>
      </c>
      <c r="DF120" s="106">
        <f>+PMGR!DF120+BP!DF120</f>
        <v>0</v>
      </c>
      <c r="DG120" s="106">
        <f t="shared" si="621"/>
        <v>1236406</v>
      </c>
      <c r="DH120" s="118"/>
      <c r="DI120" s="106">
        <f>+PMGR!DI120+BP!DI120</f>
        <v>118700</v>
      </c>
      <c r="DJ120" s="106">
        <f>+PMGR!DJ120+BP!DJ120</f>
        <v>118700</v>
      </c>
      <c r="DK120" s="106">
        <f>+PMGR!DK120+BP!DK120</f>
        <v>118700</v>
      </c>
      <c r="DL120" s="106">
        <f>+PMGR!DL120+BP!DL120</f>
        <v>118700</v>
      </c>
      <c r="DM120" s="106">
        <f>+PMGR!DM120+BP!DM120</f>
        <v>118700</v>
      </c>
      <c r="DN120" s="106">
        <f>+PMGR!DN120+BP!DN120</f>
        <v>118700</v>
      </c>
      <c r="DO120" s="106">
        <f>+PMGR!DO120+BP!DO120</f>
        <v>118700</v>
      </c>
      <c r="DP120" s="106">
        <f>+PMGR!DP120+BP!DP120</f>
        <v>118700</v>
      </c>
      <c r="DQ120" s="106">
        <f>+PMGR!DQ120+BP!DQ120</f>
        <v>118700</v>
      </c>
      <c r="DR120" s="106">
        <f>+PMGR!DR120+BP!DR120</f>
        <v>118700</v>
      </c>
      <c r="DS120" s="106">
        <f>+PMGR!DS120+BP!DS120</f>
        <v>118700</v>
      </c>
      <c r="DT120" s="106">
        <f>+PMGR!DT120+BP!DT120</f>
        <v>118700</v>
      </c>
      <c r="DU120" s="106">
        <f t="shared" si="622"/>
        <v>1424400</v>
      </c>
      <c r="DV120" s="106"/>
      <c r="DW120" s="106">
        <f>+PMGR!DW120+BP!DW120</f>
        <v>0</v>
      </c>
      <c r="DX120" s="106">
        <f>+PMGR!DX120+BP!DX120</f>
        <v>0</v>
      </c>
      <c r="DY120" s="106">
        <f>+PMGR!DY120+BP!DY120</f>
        <v>0</v>
      </c>
      <c r="DZ120" s="106">
        <f>+PMGR!DZ120+BP!DZ120</f>
        <v>0</v>
      </c>
      <c r="EA120" s="106">
        <f>+PMGR!EA120+BP!EA120</f>
        <v>0</v>
      </c>
      <c r="EB120" s="106">
        <f>+PMGR!EB120+BP!EB120</f>
        <v>0</v>
      </c>
      <c r="EC120" s="106">
        <f>+PMGR!EC120+BP!EC120</f>
        <v>0</v>
      </c>
      <c r="ED120" s="106">
        <f>+PMGR!ED120+BP!ED120</f>
        <v>0</v>
      </c>
      <c r="EE120" s="106">
        <f>+PMGR!EE120+BP!EE120</f>
        <v>0</v>
      </c>
      <c r="EF120" s="106">
        <f>+PMGR!EF120+BP!EF120</f>
        <v>0</v>
      </c>
      <c r="EG120" s="106">
        <f>+PMGR!EG120+BP!EG120</f>
        <v>0</v>
      </c>
      <c r="EH120" s="106">
        <f>+PMGR!EH120+BP!EH120</f>
        <v>0</v>
      </c>
      <c r="EI120" s="106">
        <f t="shared" si="623"/>
        <v>0</v>
      </c>
      <c r="EJ120" s="16" t="str">
        <f t="shared" si="457"/>
        <v>HRA - Staff</v>
      </c>
      <c r="EK120" s="106">
        <f>+PMGR!EK120+BP!EK120</f>
        <v>81348</v>
      </c>
      <c r="EL120" s="106">
        <f>+PMGR!EL120+BP!EL120</f>
        <v>75800</v>
      </c>
      <c r="EM120" s="106">
        <f>+PMGR!EM120+BP!EM120</f>
        <v>111000</v>
      </c>
      <c r="EN120" s="106">
        <f>+PMGR!EN120+BP!EN120</f>
        <v>78800</v>
      </c>
      <c r="EO120" s="106">
        <f>+PMGR!EO120+BP!EO120</f>
        <v>77123</v>
      </c>
      <c r="EP120" s="106">
        <f>+PMGR!EP120+BP!EP120</f>
        <v>81333</v>
      </c>
      <c r="EQ120" s="106">
        <f>+PMGR!EQ120+BP!EQ120</f>
        <v>81519</v>
      </c>
      <c r="ER120" s="106">
        <f>+PMGR!ER120+BP!ER120</f>
        <v>81398</v>
      </c>
      <c r="ES120" s="106">
        <f>+PMGR!ES120+BP!ES120</f>
        <v>80407</v>
      </c>
      <c r="ET120" s="106">
        <f>+PMGR!ET120+BP!ET120</f>
        <v>79511</v>
      </c>
      <c r="EU120" s="106">
        <f>+PMGR!EU120+BP!EU120</f>
        <v>0</v>
      </c>
      <c r="EV120" s="106">
        <f>+PMGR!EV120+BP!EV120</f>
        <v>0</v>
      </c>
      <c r="EW120" s="106">
        <f t="shared" si="624"/>
        <v>828239</v>
      </c>
      <c r="EX120" s="118"/>
      <c r="EY120" s="106">
        <f>+PMGR!EY120+BP!EY120</f>
        <v>78800</v>
      </c>
      <c r="EZ120" s="106">
        <f>+PMGR!EZ120+BP!EZ120</f>
        <v>78800</v>
      </c>
      <c r="FA120" s="106">
        <f>+PMGR!FA120+BP!FA120</f>
        <v>78800</v>
      </c>
      <c r="FB120" s="106">
        <f>+PMGR!FB120+BP!FB120</f>
        <v>78800</v>
      </c>
      <c r="FC120" s="106">
        <f>+PMGR!FC120+BP!FC120</f>
        <v>78800</v>
      </c>
      <c r="FD120" s="106">
        <f>+PMGR!FD120+BP!FD120</f>
        <v>78800</v>
      </c>
      <c r="FE120" s="106">
        <f>+PMGR!FE120+BP!FE120</f>
        <v>78800</v>
      </c>
      <c r="FF120" s="106">
        <f>+PMGR!FF120+BP!FF120</f>
        <v>78800</v>
      </c>
      <c r="FG120" s="106">
        <f>+PMGR!FG120+BP!FG120</f>
        <v>78800</v>
      </c>
      <c r="FH120" s="106">
        <f>+PMGR!FH120+BP!FH120</f>
        <v>78800</v>
      </c>
      <c r="FI120" s="106">
        <f>+PMGR!FI120+BP!FI120</f>
        <v>78800</v>
      </c>
      <c r="FJ120" s="106">
        <f>+PMGR!FJ120+BP!FJ120</f>
        <v>78800</v>
      </c>
      <c r="FK120" s="106">
        <f t="shared" si="625"/>
        <v>945600</v>
      </c>
    </row>
    <row r="121" spans="1:167" ht="14.45" hidden="1" customHeight="1" outlineLevel="1">
      <c r="A121" s="106">
        <f t="shared" si="611"/>
        <v>76735.400500000003</v>
      </c>
      <c r="B121" s="106">
        <f t="shared" si="611"/>
        <v>74123.270000000019</v>
      </c>
      <c r="C121" s="106">
        <f t="shared" si="611"/>
        <v>67961</v>
      </c>
      <c r="D121" s="106">
        <f t="shared" si="611"/>
        <v>64067</v>
      </c>
      <c r="E121" s="106">
        <f t="shared" si="611"/>
        <v>62690</v>
      </c>
      <c r="F121" s="106">
        <f t="shared" si="611"/>
        <v>61383</v>
      </c>
      <c r="G121" s="106">
        <f t="shared" si="611"/>
        <v>64012</v>
      </c>
      <c r="H121" s="106">
        <f t="shared" si="611"/>
        <v>67339</v>
      </c>
      <c r="I121" s="106">
        <f t="shared" si="611"/>
        <v>69737.899999999994</v>
      </c>
      <c r="J121" s="106">
        <f t="shared" si="611"/>
        <v>68111</v>
      </c>
      <c r="K121" s="106">
        <f t="shared" si="611"/>
        <v>95624.5</v>
      </c>
      <c r="L121" s="106">
        <f t="shared" si="611"/>
        <v>68025</v>
      </c>
      <c r="M121" s="106">
        <f t="shared" si="612"/>
        <v>839809.07050000003</v>
      </c>
      <c r="N121" s="16" t="s">
        <v>99</v>
      </c>
      <c r="O121" s="106">
        <f t="shared" si="613"/>
        <v>75543</v>
      </c>
      <c r="P121" s="106">
        <f t="shared" si="613"/>
        <v>76064.290000000008</v>
      </c>
      <c r="Q121" s="106">
        <f t="shared" si="613"/>
        <v>81881</v>
      </c>
      <c r="R121" s="106">
        <f t="shared" si="613"/>
        <v>83672</v>
      </c>
      <c r="S121" s="106">
        <f t="shared" si="613"/>
        <v>83425</v>
      </c>
      <c r="T121" s="106">
        <f t="shared" si="613"/>
        <v>91410</v>
      </c>
      <c r="U121" s="106">
        <f t="shared" si="613"/>
        <v>92715</v>
      </c>
      <c r="V121" s="106">
        <f t="shared" si="613"/>
        <v>94142</v>
      </c>
      <c r="W121" s="106">
        <f t="shared" si="613"/>
        <v>92658</v>
      </c>
      <c r="X121" s="106">
        <f t="shared" si="613"/>
        <v>101296</v>
      </c>
      <c r="Y121" s="106">
        <f t="shared" si="613"/>
        <v>0</v>
      </c>
      <c r="Z121" s="106">
        <f t="shared" si="613"/>
        <v>0</v>
      </c>
      <c r="AA121" s="106">
        <f t="shared" si="614"/>
        <v>872806.29</v>
      </c>
      <c r="AB121" s="118"/>
      <c r="AC121" s="106">
        <f t="shared" si="615"/>
        <v>82600</v>
      </c>
      <c r="AD121" s="106">
        <f t="shared" si="615"/>
        <v>82600</v>
      </c>
      <c r="AE121" s="106">
        <f t="shared" si="615"/>
        <v>82600</v>
      </c>
      <c r="AF121" s="106">
        <f t="shared" si="615"/>
        <v>82600</v>
      </c>
      <c r="AG121" s="106">
        <f t="shared" si="615"/>
        <v>82600</v>
      </c>
      <c r="AH121" s="106">
        <f t="shared" si="615"/>
        <v>82600</v>
      </c>
      <c r="AI121" s="106">
        <f t="shared" si="615"/>
        <v>82600</v>
      </c>
      <c r="AJ121" s="106">
        <f t="shared" si="615"/>
        <v>82600</v>
      </c>
      <c r="AK121" s="106">
        <f t="shared" si="615"/>
        <v>82600</v>
      </c>
      <c r="AL121" s="106">
        <f t="shared" si="615"/>
        <v>82600</v>
      </c>
      <c r="AM121" s="106">
        <f t="shared" si="615"/>
        <v>82600</v>
      </c>
      <c r="AN121" s="106">
        <f t="shared" si="615"/>
        <v>82600</v>
      </c>
      <c r="AO121" s="106">
        <f t="shared" si="616"/>
        <v>991200</v>
      </c>
      <c r="AP121" s="106"/>
      <c r="AQ121" s="106">
        <f>+PMGR!AQ121+BP!AQ121</f>
        <v>57143.576999999997</v>
      </c>
      <c r="AR121" s="106">
        <f>+PMGR!AR121+BP!AR121</f>
        <v>58141.69000000001</v>
      </c>
      <c r="AS121" s="106">
        <f>+PMGR!AS121+BP!AS121</f>
        <v>52571</v>
      </c>
      <c r="AT121" s="106">
        <f>+PMGR!AT121+BP!AT121</f>
        <v>46267</v>
      </c>
      <c r="AU121" s="106">
        <f>+PMGR!AU121+BP!AU121</f>
        <v>44890</v>
      </c>
      <c r="AV121" s="106">
        <f>+PMGR!AV121+BP!AV121</f>
        <v>43583</v>
      </c>
      <c r="AW121" s="106">
        <f>+PMGR!AW121+BP!AW121</f>
        <v>46277</v>
      </c>
      <c r="AX121" s="106">
        <f>+PMGR!AX121+BP!AX121</f>
        <v>49652</v>
      </c>
      <c r="AY121" s="106">
        <f>+PMGR!AY121+BP!AY121</f>
        <v>52034.57</v>
      </c>
      <c r="AZ121" s="106">
        <f>+PMGR!AZ121+BP!AZ121</f>
        <v>50356</v>
      </c>
      <c r="BA121" s="106">
        <f>+PMGR!BA121+BP!BA121</f>
        <v>53513</v>
      </c>
      <c r="BB121" s="106">
        <f>+PMGR!BB121+BP!BB121</f>
        <v>39696</v>
      </c>
      <c r="BC121" s="106">
        <f t="shared" si="617"/>
        <v>594124.83700000006</v>
      </c>
      <c r="BD121" s="16" t="str">
        <f t="shared" si="405"/>
        <v>Meals Allowance - Staff</v>
      </c>
      <c r="BE121" s="106">
        <f>+PMGR!BE121+BP!BE121</f>
        <v>36578</v>
      </c>
      <c r="BF121" s="106">
        <f>+PMGR!BF121+BP!BF121</f>
        <v>36764.29</v>
      </c>
      <c r="BG121" s="106">
        <f>+PMGR!BG121+BP!BG121</f>
        <v>39671</v>
      </c>
      <c r="BH121" s="106">
        <f>+PMGR!BH121+BP!BH121</f>
        <v>42846</v>
      </c>
      <c r="BI121" s="106">
        <f>+PMGR!BI121+BP!BI121</f>
        <v>43606</v>
      </c>
      <c r="BJ121" s="106">
        <f>+PMGR!BJ121+BP!BJ121</f>
        <v>49525</v>
      </c>
      <c r="BK121" s="106">
        <f>+PMGR!BK121+BP!BK121</f>
        <v>49519</v>
      </c>
      <c r="BL121" s="106">
        <f>+PMGR!BL121+BP!BL121</f>
        <v>49558</v>
      </c>
      <c r="BM121" s="106">
        <f>+PMGR!BM121+BP!BM121</f>
        <v>48602</v>
      </c>
      <c r="BN121" s="106">
        <f>+PMGR!BN121+BP!BN121</f>
        <v>54852</v>
      </c>
      <c r="BO121" s="106">
        <f>+PMGR!BO121+BP!BO121</f>
        <v>0</v>
      </c>
      <c r="BP121" s="106">
        <f>+PMGR!BP121+BP!BP121</f>
        <v>0</v>
      </c>
      <c r="BQ121" s="106">
        <f t="shared" si="618"/>
        <v>451521.29000000004</v>
      </c>
      <c r="BR121" s="118"/>
      <c r="BS121" s="106">
        <f>+PMGR!BS121+BP!BS121</f>
        <v>40300</v>
      </c>
      <c r="BT121" s="106">
        <f>+PMGR!BT121+BP!BT121</f>
        <v>40300</v>
      </c>
      <c r="BU121" s="106">
        <f>+PMGR!BU121+BP!BU121</f>
        <v>40300</v>
      </c>
      <c r="BV121" s="106">
        <f>+PMGR!BV121+BP!BV121</f>
        <v>40300</v>
      </c>
      <c r="BW121" s="106">
        <f>+PMGR!BW121+BP!BW121</f>
        <v>40300</v>
      </c>
      <c r="BX121" s="106">
        <f>+PMGR!BX121+BP!BX121</f>
        <v>40300</v>
      </c>
      <c r="BY121" s="106">
        <f>+PMGR!BY121+BP!BY121</f>
        <v>40300</v>
      </c>
      <c r="BZ121" s="106">
        <f>+PMGR!BZ121+BP!BZ121</f>
        <v>40300</v>
      </c>
      <c r="CA121" s="106">
        <f>+PMGR!CA121+BP!CA121</f>
        <v>40300</v>
      </c>
      <c r="CB121" s="106">
        <f>+PMGR!CB121+BP!CB121</f>
        <v>40300</v>
      </c>
      <c r="CC121" s="106">
        <f>+PMGR!CC121+BP!CC121</f>
        <v>40300</v>
      </c>
      <c r="CD121" s="106">
        <f>+PMGR!CD121+BP!CD121</f>
        <v>40300</v>
      </c>
      <c r="CE121" s="106">
        <f t="shared" si="619"/>
        <v>483600</v>
      </c>
      <c r="CF121" s="106"/>
      <c r="CG121" s="106">
        <f>+PMGR!CG121+BP!CG121</f>
        <v>19591.823500000002</v>
      </c>
      <c r="CH121" s="106">
        <f>+PMGR!CH121+BP!CH121</f>
        <v>15981.580000000002</v>
      </c>
      <c r="CI121" s="106">
        <f>+PMGR!CI121+BP!CI121</f>
        <v>15390</v>
      </c>
      <c r="CJ121" s="106">
        <f>+PMGR!CJ121+BP!CJ121</f>
        <v>17800</v>
      </c>
      <c r="CK121" s="106">
        <f>+PMGR!CK121+BP!CK121</f>
        <v>17800</v>
      </c>
      <c r="CL121" s="106">
        <f>+PMGR!CL121+BP!CL121</f>
        <v>17800</v>
      </c>
      <c r="CM121" s="106">
        <f>+PMGR!CM121+BP!CM121</f>
        <v>17735</v>
      </c>
      <c r="CN121" s="106">
        <f>+PMGR!CN121+BP!CN121</f>
        <v>17687</v>
      </c>
      <c r="CO121" s="106">
        <f>+PMGR!CO121+BP!CO121</f>
        <v>17703.330000000002</v>
      </c>
      <c r="CP121" s="106">
        <f>+PMGR!CP121+BP!CP121</f>
        <v>17755</v>
      </c>
      <c r="CQ121" s="106">
        <f>+PMGR!CQ121+BP!CQ121</f>
        <v>42111.5</v>
      </c>
      <c r="CR121" s="106">
        <f>+PMGR!CR121+BP!CR121</f>
        <v>28329</v>
      </c>
      <c r="CS121" s="106">
        <f t="shared" si="620"/>
        <v>245684.23350000003</v>
      </c>
      <c r="CT121" s="16" t="str">
        <f t="shared" si="409"/>
        <v>Meals Allowance - Staff</v>
      </c>
      <c r="CU121" s="106">
        <f>+PMGR!CU121+BP!CU121</f>
        <v>25565</v>
      </c>
      <c r="CV121" s="106">
        <f>+PMGR!CV121+BP!CV121</f>
        <v>25900</v>
      </c>
      <c r="CW121" s="106">
        <f>+PMGR!CW121+BP!CW121</f>
        <v>28810</v>
      </c>
      <c r="CX121" s="106">
        <f>+PMGR!CX121+BP!CX121</f>
        <v>27426</v>
      </c>
      <c r="CY121" s="106">
        <f>+PMGR!CY121+BP!CY121</f>
        <v>26419</v>
      </c>
      <c r="CZ121" s="106">
        <f>+PMGR!CZ121+BP!CZ121</f>
        <v>27685</v>
      </c>
      <c r="DA121" s="106">
        <f>+PMGR!DA121+BP!DA121</f>
        <v>27812</v>
      </c>
      <c r="DB121" s="106">
        <f>+PMGR!DB121+BP!DB121</f>
        <v>29224</v>
      </c>
      <c r="DC121" s="106">
        <f>+PMGR!DC121+BP!DC121</f>
        <v>28722</v>
      </c>
      <c r="DD121" s="106">
        <f>+PMGR!DD121+BP!DD121</f>
        <v>31239</v>
      </c>
      <c r="DE121" s="106">
        <f>+PMGR!DE121+BP!DE121</f>
        <v>0</v>
      </c>
      <c r="DF121" s="106">
        <f>+PMGR!DF121+BP!DF121</f>
        <v>0</v>
      </c>
      <c r="DG121" s="106">
        <f t="shared" si="621"/>
        <v>278802</v>
      </c>
      <c r="DH121" s="118"/>
      <c r="DI121" s="106">
        <f>+PMGR!DI121+BP!DI121</f>
        <v>28900</v>
      </c>
      <c r="DJ121" s="106">
        <f>+PMGR!DJ121+BP!DJ121</f>
        <v>28900</v>
      </c>
      <c r="DK121" s="106">
        <f>+PMGR!DK121+BP!DK121</f>
        <v>28900</v>
      </c>
      <c r="DL121" s="106">
        <f>+PMGR!DL121+BP!DL121</f>
        <v>28900</v>
      </c>
      <c r="DM121" s="106">
        <f>+PMGR!DM121+BP!DM121</f>
        <v>28900</v>
      </c>
      <c r="DN121" s="106">
        <f>+PMGR!DN121+BP!DN121</f>
        <v>28900</v>
      </c>
      <c r="DO121" s="106">
        <f>+PMGR!DO121+BP!DO121</f>
        <v>28900</v>
      </c>
      <c r="DP121" s="106">
        <f>+PMGR!DP121+BP!DP121</f>
        <v>28900</v>
      </c>
      <c r="DQ121" s="106">
        <f>+PMGR!DQ121+BP!DQ121</f>
        <v>28900</v>
      </c>
      <c r="DR121" s="106">
        <f>+PMGR!DR121+BP!DR121</f>
        <v>28900</v>
      </c>
      <c r="DS121" s="106">
        <f>+PMGR!DS121+BP!DS121</f>
        <v>28900</v>
      </c>
      <c r="DT121" s="106">
        <f>+PMGR!DT121+BP!DT121</f>
        <v>28900</v>
      </c>
      <c r="DU121" s="106">
        <f t="shared" si="622"/>
        <v>346800</v>
      </c>
      <c r="DV121" s="106"/>
      <c r="DW121" s="106">
        <f>+PMGR!DW121+BP!DW121</f>
        <v>0</v>
      </c>
      <c r="DX121" s="106">
        <f>+PMGR!DX121+BP!DX121</f>
        <v>0</v>
      </c>
      <c r="DY121" s="106">
        <f>+PMGR!DY121+BP!DY121</f>
        <v>0</v>
      </c>
      <c r="DZ121" s="106">
        <f>+PMGR!DZ121+BP!DZ121</f>
        <v>0</v>
      </c>
      <c r="EA121" s="106">
        <f>+PMGR!EA121+BP!EA121</f>
        <v>0</v>
      </c>
      <c r="EB121" s="106">
        <f>+PMGR!EB121+BP!EB121</f>
        <v>0</v>
      </c>
      <c r="EC121" s="106">
        <f>+PMGR!EC121+BP!EC121</f>
        <v>0</v>
      </c>
      <c r="ED121" s="106">
        <f>+PMGR!ED121+BP!ED121</f>
        <v>0</v>
      </c>
      <c r="EE121" s="106">
        <f>+PMGR!EE121+BP!EE121</f>
        <v>0</v>
      </c>
      <c r="EF121" s="106">
        <f>+PMGR!EF121+BP!EF121</f>
        <v>0</v>
      </c>
      <c r="EG121" s="106">
        <f>+PMGR!EG121+BP!EG121</f>
        <v>0</v>
      </c>
      <c r="EH121" s="106">
        <f>+PMGR!EH121+BP!EH121</f>
        <v>0</v>
      </c>
      <c r="EI121" s="106">
        <f t="shared" si="623"/>
        <v>0</v>
      </c>
      <c r="EJ121" s="16" t="str">
        <f t="shared" si="457"/>
        <v>Meals Allowance - Staff</v>
      </c>
      <c r="EK121" s="106">
        <f>+PMGR!EK121+BP!EK121</f>
        <v>13400</v>
      </c>
      <c r="EL121" s="106">
        <f>+PMGR!EL121+BP!EL121</f>
        <v>13400</v>
      </c>
      <c r="EM121" s="106">
        <f>+PMGR!EM121+BP!EM121</f>
        <v>13400</v>
      </c>
      <c r="EN121" s="106">
        <f>+PMGR!EN121+BP!EN121</f>
        <v>13400</v>
      </c>
      <c r="EO121" s="106">
        <f>+PMGR!EO121+BP!EO121</f>
        <v>13400</v>
      </c>
      <c r="EP121" s="106">
        <f>+PMGR!EP121+BP!EP121</f>
        <v>14200</v>
      </c>
      <c r="EQ121" s="106">
        <f>+PMGR!EQ121+BP!EQ121</f>
        <v>15384</v>
      </c>
      <c r="ER121" s="106">
        <f>+PMGR!ER121+BP!ER121</f>
        <v>15360</v>
      </c>
      <c r="ES121" s="106">
        <f>+PMGR!ES121+BP!ES121</f>
        <v>15334</v>
      </c>
      <c r="ET121" s="106">
        <f>+PMGR!ET121+BP!ET121</f>
        <v>15205</v>
      </c>
      <c r="EU121" s="106">
        <f>+PMGR!EU121+BP!EU121</f>
        <v>0</v>
      </c>
      <c r="EV121" s="106">
        <f>+PMGR!EV121+BP!EV121</f>
        <v>0</v>
      </c>
      <c r="EW121" s="106">
        <f t="shared" si="624"/>
        <v>142483</v>
      </c>
      <c r="EX121" s="118"/>
      <c r="EY121" s="106">
        <f>+PMGR!EY121+BP!EY121</f>
        <v>13400</v>
      </c>
      <c r="EZ121" s="106">
        <f>+PMGR!EZ121+BP!EZ121</f>
        <v>13400</v>
      </c>
      <c r="FA121" s="106">
        <f>+PMGR!FA121+BP!FA121</f>
        <v>13400</v>
      </c>
      <c r="FB121" s="106">
        <f>+PMGR!FB121+BP!FB121</f>
        <v>13400</v>
      </c>
      <c r="FC121" s="106">
        <f>+PMGR!FC121+BP!FC121</f>
        <v>13400</v>
      </c>
      <c r="FD121" s="106">
        <f>+PMGR!FD121+BP!FD121</f>
        <v>13400</v>
      </c>
      <c r="FE121" s="106">
        <f>+PMGR!FE121+BP!FE121</f>
        <v>13400</v>
      </c>
      <c r="FF121" s="106">
        <f>+PMGR!FF121+BP!FF121</f>
        <v>13400</v>
      </c>
      <c r="FG121" s="106">
        <f>+PMGR!FG121+BP!FG121</f>
        <v>13400</v>
      </c>
      <c r="FH121" s="106">
        <f>+PMGR!FH121+BP!FH121</f>
        <v>13400</v>
      </c>
      <c r="FI121" s="106">
        <f>+PMGR!FI121+BP!FI121</f>
        <v>13400</v>
      </c>
      <c r="FJ121" s="106">
        <f>+PMGR!FJ121+BP!FJ121</f>
        <v>13400</v>
      </c>
      <c r="FK121" s="106">
        <f t="shared" si="625"/>
        <v>160800</v>
      </c>
    </row>
    <row r="122" spans="1:167" ht="14.45" hidden="1" customHeight="1" outlineLevel="1">
      <c r="A122" s="106">
        <f t="shared" si="611"/>
        <v>49846.354000000007</v>
      </c>
      <c r="B122" s="106">
        <f t="shared" si="611"/>
        <v>47437.89</v>
      </c>
      <c r="C122" s="106">
        <f t="shared" si="611"/>
        <v>42263</v>
      </c>
      <c r="D122" s="106">
        <f t="shared" si="611"/>
        <v>39150</v>
      </c>
      <c r="E122" s="106">
        <f t="shared" si="611"/>
        <v>42981</v>
      </c>
      <c r="F122" s="106">
        <f t="shared" si="611"/>
        <v>43697</v>
      </c>
      <c r="G122" s="106">
        <f t="shared" si="611"/>
        <v>43983</v>
      </c>
      <c r="H122" s="106">
        <f t="shared" si="611"/>
        <v>43296.600000000006</v>
      </c>
      <c r="I122" s="106">
        <f t="shared" si="611"/>
        <v>41961.5</v>
      </c>
      <c r="J122" s="106">
        <f t="shared" si="611"/>
        <v>39798</v>
      </c>
      <c r="K122" s="106">
        <f t="shared" si="611"/>
        <v>48943</v>
      </c>
      <c r="L122" s="106">
        <f t="shared" si="611"/>
        <v>31371</v>
      </c>
      <c r="M122" s="106">
        <f t="shared" si="612"/>
        <v>514728.34400000004</v>
      </c>
      <c r="N122" s="16" t="s">
        <v>100</v>
      </c>
      <c r="O122" s="106">
        <f t="shared" si="613"/>
        <v>34489</v>
      </c>
      <c r="P122" s="106">
        <f t="shared" si="613"/>
        <v>34900</v>
      </c>
      <c r="Q122" s="106">
        <f t="shared" si="613"/>
        <v>38518</v>
      </c>
      <c r="R122" s="106">
        <f t="shared" si="613"/>
        <v>37990</v>
      </c>
      <c r="S122" s="106">
        <f t="shared" si="613"/>
        <v>37300</v>
      </c>
      <c r="T122" s="106">
        <f t="shared" si="613"/>
        <v>36215</v>
      </c>
      <c r="U122" s="106">
        <f t="shared" si="613"/>
        <v>37200</v>
      </c>
      <c r="V122" s="106">
        <f t="shared" si="613"/>
        <v>37185</v>
      </c>
      <c r="W122" s="106">
        <f t="shared" si="613"/>
        <v>37207</v>
      </c>
      <c r="X122" s="106">
        <f t="shared" si="613"/>
        <v>39910</v>
      </c>
      <c r="Y122" s="106">
        <f t="shared" si="613"/>
        <v>0</v>
      </c>
      <c r="Z122" s="106">
        <f t="shared" si="613"/>
        <v>0</v>
      </c>
      <c r="AA122" s="106">
        <f t="shared" si="614"/>
        <v>370914</v>
      </c>
      <c r="AB122" s="118"/>
      <c r="AC122" s="106">
        <f t="shared" si="615"/>
        <v>41050</v>
      </c>
      <c r="AD122" s="106">
        <f t="shared" si="615"/>
        <v>41050</v>
      </c>
      <c r="AE122" s="106">
        <f t="shared" si="615"/>
        <v>41050</v>
      </c>
      <c r="AF122" s="106">
        <f t="shared" si="615"/>
        <v>41050</v>
      </c>
      <c r="AG122" s="106">
        <f t="shared" si="615"/>
        <v>41050</v>
      </c>
      <c r="AH122" s="106">
        <f t="shared" si="615"/>
        <v>41050</v>
      </c>
      <c r="AI122" s="106">
        <f t="shared" si="615"/>
        <v>41050</v>
      </c>
      <c r="AJ122" s="106">
        <f t="shared" si="615"/>
        <v>41050</v>
      </c>
      <c r="AK122" s="106">
        <f t="shared" si="615"/>
        <v>41050</v>
      </c>
      <c r="AL122" s="106">
        <f t="shared" si="615"/>
        <v>41050</v>
      </c>
      <c r="AM122" s="106">
        <f t="shared" si="615"/>
        <v>41050</v>
      </c>
      <c r="AN122" s="106">
        <f t="shared" si="615"/>
        <v>41050</v>
      </c>
      <c r="AO122" s="106">
        <f t="shared" si="616"/>
        <v>492600</v>
      </c>
      <c r="AP122" s="106"/>
      <c r="AQ122" s="106">
        <f>+PMGR!AQ122+BP!AQ122</f>
        <v>39769.086000000003</v>
      </c>
      <c r="AR122" s="106">
        <f>+PMGR!AR122+BP!AR122</f>
        <v>37518.89</v>
      </c>
      <c r="AS122" s="106">
        <f>+PMGR!AS122+BP!AS122</f>
        <v>33163</v>
      </c>
      <c r="AT122" s="106">
        <f>+PMGR!AT122+BP!AT122</f>
        <v>30050</v>
      </c>
      <c r="AU122" s="106">
        <f>+PMGR!AU122+BP!AU122</f>
        <v>33881</v>
      </c>
      <c r="AV122" s="106">
        <f>+PMGR!AV122+BP!AV122</f>
        <v>34597</v>
      </c>
      <c r="AW122" s="106">
        <f>+PMGR!AW122+BP!AW122</f>
        <v>34948</v>
      </c>
      <c r="AX122" s="106">
        <f>+PMGR!AX122+BP!AX122</f>
        <v>34377.4</v>
      </c>
      <c r="AY122" s="106">
        <f>+PMGR!AY122+BP!AY122</f>
        <v>33258.17</v>
      </c>
      <c r="AZ122" s="106">
        <f>+PMGR!AZ122+BP!AZ122</f>
        <v>30998</v>
      </c>
      <c r="BA122" s="106">
        <f>+PMGR!BA122+BP!BA122</f>
        <v>33682</v>
      </c>
      <c r="BB122" s="106">
        <f>+PMGR!BB122+BP!BB122</f>
        <v>23608</v>
      </c>
      <c r="BC122" s="106">
        <f t="shared" si="617"/>
        <v>399850.54599999997</v>
      </c>
      <c r="BD122" s="16" t="str">
        <f t="shared" si="405"/>
        <v>Medical Allowance - Staff</v>
      </c>
      <c r="BE122" s="106">
        <f>+PMGR!BE122+BP!BE122</f>
        <v>18992</v>
      </c>
      <c r="BF122" s="106">
        <f>+PMGR!BF122+BP!BF122</f>
        <v>19250</v>
      </c>
      <c r="BG122" s="106">
        <f>+PMGR!BG122+BP!BG122</f>
        <v>21050</v>
      </c>
      <c r="BH122" s="106">
        <f>+PMGR!BH122+BP!BH122</f>
        <v>21050</v>
      </c>
      <c r="BI122" s="106">
        <f>+PMGR!BI122+BP!BI122</f>
        <v>20800</v>
      </c>
      <c r="BJ122" s="106">
        <f>+PMGR!BJ122+BP!BJ122</f>
        <v>20798</v>
      </c>
      <c r="BK122" s="106">
        <f>+PMGR!BK122+BP!BK122</f>
        <v>20700</v>
      </c>
      <c r="BL122" s="106">
        <f>+PMGR!BL122+BP!BL122</f>
        <v>20685</v>
      </c>
      <c r="BM122" s="106">
        <f>+PMGR!BM122+BP!BM122</f>
        <v>20790</v>
      </c>
      <c r="BN122" s="106">
        <f>+PMGR!BN122+BP!BN122</f>
        <v>22643</v>
      </c>
      <c r="BO122" s="106">
        <f>+PMGR!BO122+BP!BO122</f>
        <v>0</v>
      </c>
      <c r="BP122" s="106">
        <f>+PMGR!BP122+BP!BP122</f>
        <v>0</v>
      </c>
      <c r="BQ122" s="106">
        <f t="shared" si="618"/>
        <v>206758</v>
      </c>
      <c r="BR122" s="118"/>
      <c r="BS122" s="106">
        <f>+PMGR!BS122+BP!BS122</f>
        <v>21050</v>
      </c>
      <c r="BT122" s="106">
        <f>+PMGR!BT122+BP!BT122</f>
        <v>21050</v>
      </c>
      <c r="BU122" s="106">
        <f>+PMGR!BU122+BP!BU122</f>
        <v>21050</v>
      </c>
      <c r="BV122" s="106">
        <f>+PMGR!BV122+BP!BV122</f>
        <v>21050</v>
      </c>
      <c r="BW122" s="106">
        <f>+PMGR!BW122+BP!BW122</f>
        <v>21050</v>
      </c>
      <c r="BX122" s="106">
        <f>+PMGR!BX122+BP!BX122</f>
        <v>21050</v>
      </c>
      <c r="BY122" s="106">
        <f>+PMGR!BY122+BP!BY122</f>
        <v>21050</v>
      </c>
      <c r="BZ122" s="106">
        <f>+PMGR!BZ122+BP!BZ122</f>
        <v>21050</v>
      </c>
      <c r="CA122" s="106">
        <f>+PMGR!CA122+BP!CA122</f>
        <v>21050</v>
      </c>
      <c r="CB122" s="106">
        <f>+PMGR!CB122+BP!CB122</f>
        <v>21050</v>
      </c>
      <c r="CC122" s="106">
        <f>+PMGR!CC122+BP!CC122</f>
        <v>21050</v>
      </c>
      <c r="CD122" s="106">
        <f>+PMGR!CD122+BP!CD122</f>
        <v>21050</v>
      </c>
      <c r="CE122" s="106">
        <f t="shared" si="619"/>
        <v>252600</v>
      </c>
      <c r="CF122" s="106"/>
      <c r="CG122" s="106">
        <f>+PMGR!CG122+BP!CG122</f>
        <v>10077.268</v>
      </c>
      <c r="CH122" s="106">
        <f>+PMGR!CH122+BP!CH122</f>
        <v>9919.0000000000018</v>
      </c>
      <c r="CI122" s="106">
        <f>+PMGR!CI122+BP!CI122</f>
        <v>9100</v>
      </c>
      <c r="CJ122" s="106">
        <f>+PMGR!CJ122+BP!CJ122</f>
        <v>9100</v>
      </c>
      <c r="CK122" s="106">
        <f>+PMGR!CK122+BP!CK122</f>
        <v>9100</v>
      </c>
      <c r="CL122" s="106">
        <f>+PMGR!CL122+BP!CL122</f>
        <v>9100</v>
      </c>
      <c r="CM122" s="106">
        <f>+PMGR!CM122+BP!CM122</f>
        <v>9035</v>
      </c>
      <c r="CN122" s="106">
        <f>+PMGR!CN122+BP!CN122</f>
        <v>8919.2000000000007</v>
      </c>
      <c r="CO122" s="106">
        <f>+PMGR!CO122+BP!CO122</f>
        <v>8703.33</v>
      </c>
      <c r="CP122" s="106">
        <f>+PMGR!CP122+BP!CP122</f>
        <v>8800</v>
      </c>
      <c r="CQ122" s="106">
        <f>+PMGR!CQ122+BP!CQ122</f>
        <v>15261</v>
      </c>
      <c r="CR122" s="106">
        <f>+PMGR!CR122+BP!CR122</f>
        <v>7763</v>
      </c>
      <c r="CS122" s="106">
        <f t="shared" si="620"/>
        <v>114877.79800000001</v>
      </c>
      <c r="CT122" s="16" t="str">
        <f t="shared" si="409"/>
        <v>Medical Allowance - Staff</v>
      </c>
      <c r="CU122" s="106">
        <f>+PMGR!CU122+BP!CU122</f>
        <v>13078</v>
      </c>
      <c r="CV122" s="106">
        <f>+PMGR!CV122+BP!CV122</f>
        <v>13150</v>
      </c>
      <c r="CW122" s="106">
        <f>+PMGR!CW122+BP!CW122</f>
        <v>14968</v>
      </c>
      <c r="CX122" s="106">
        <f>+PMGR!CX122+BP!CX122</f>
        <v>14440</v>
      </c>
      <c r="CY122" s="106">
        <f>+PMGR!CY122+BP!CY122</f>
        <v>14000</v>
      </c>
      <c r="CZ122" s="106">
        <f>+PMGR!CZ122+BP!CZ122</f>
        <v>14000</v>
      </c>
      <c r="DA122" s="106">
        <f>+PMGR!DA122+BP!DA122</f>
        <v>14000</v>
      </c>
      <c r="DB122" s="106">
        <f>+PMGR!DB122+BP!DB122</f>
        <v>14000</v>
      </c>
      <c r="DC122" s="106">
        <f>+PMGR!DC122+BP!DC122</f>
        <v>14000</v>
      </c>
      <c r="DD122" s="106">
        <f>+PMGR!DD122+BP!DD122</f>
        <v>15095</v>
      </c>
      <c r="DE122" s="106">
        <f>+PMGR!DE122+BP!DE122</f>
        <v>0</v>
      </c>
      <c r="DF122" s="106">
        <f>+PMGR!DF122+BP!DF122</f>
        <v>0</v>
      </c>
      <c r="DG122" s="106">
        <f t="shared" si="621"/>
        <v>140731</v>
      </c>
      <c r="DH122" s="118"/>
      <c r="DI122" s="106">
        <f>+PMGR!DI122+BP!DI122</f>
        <v>17500</v>
      </c>
      <c r="DJ122" s="106">
        <f>+PMGR!DJ122+BP!DJ122</f>
        <v>17500</v>
      </c>
      <c r="DK122" s="106">
        <f>+PMGR!DK122+BP!DK122</f>
        <v>17500</v>
      </c>
      <c r="DL122" s="106">
        <f>+PMGR!DL122+BP!DL122</f>
        <v>17500</v>
      </c>
      <c r="DM122" s="106">
        <f>+PMGR!DM122+BP!DM122</f>
        <v>17500</v>
      </c>
      <c r="DN122" s="106">
        <f>+PMGR!DN122+BP!DN122</f>
        <v>17500</v>
      </c>
      <c r="DO122" s="106">
        <f>+PMGR!DO122+BP!DO122</f>
        <v>17500</v>
      </c>
      <c r="DP122" s="106">
        <f>+PMGR!DP122+BP!DP122</f>
        <v>17500</v>
      </c>
      <c r="DQ122" s="106">
        <f>+PMGR!DQ122+BP!DQ122</f>
        <v>17500</v>
      </c>
      <c r="DR122" s="106">
        <f>+PMGR!DR122+BP!DR122</f>
        <v>17500</v>
      </c>
      <c r="DS122" s="106">
        <f>+PMGR!DS122+BP!DS122</f>
        <v>17500</v>
      </c>
      <c r="DT122" s="106">
        <f>+PMGR!DT122+BP!DT122</f>
        <v>17500</v>
      </c>
      <c r="DU122" s="106">
        <f t="shared" si="622"/>
        <v>210000</v>
      </c>
      <c r="DV122" s="106"/>
      <c r="DW122" s="106">
        <f>+PMGR!DW122+BP!DW122</f>
        <v>0</v>
      </c>
      <c r="DX122" s="106">
        <f>+PMGR!DX122+BP!DX122</f>
        <v>0</v>
      </c>
      <c r="DY122" s="106">
        <f>+PMGR!DY122+BP!DY122</f>
        <v>0</v>
      </c>
      <c r="DZ122" s="106">
        <f>+PMGR!DZ122+BP!DZ122</f>
        <v>0</v>
      </c>
      <c r="EA122" s="106">
        <f>+PMGR!EA122+BP!EA122</f>
        <v>0</v>
      </c>
      <c r="EB122" s="106">
        <f>+PMGR!EB122+BP!EB122</f>
        <v>0</v>
      </c>
      <c r="EC122" s="106">
        <f>+PMGR!EC122+BP!EC122</f>
        <v>0</v>
      </c>
      <c r="ED122" s="106">
        <f>+PMGR!ED122+BP!ED122</f>
        <v>0</v>
      </c>
      <c r="EE122" s="106">
        <f>+PMGR!EE122+BP!EE122</f>
        <v>0</v>
      </c>
      <c r="EF122" s="106">
        <f>+PMGR!EF122+BP!EF122</f>
        <v>0</v>
      </c>
      <c r="EG122" s="106">
        <f>+PMGR!EG122+BP!EG122</f>
        <v>0</v>
      </c>
      <c r="EH122" s="106">
        <f>+PMGR!EH122+BP!EH122</f>
        <v>0</v>
      </c>
      <c r="EI122" s="106">
        <f t="shared" si="623"/>
        <v>0</v>
      </c>
      <c r="EJ122" s="16" t="str">
        <f t="shared" si="457"/>
        <v>Medical Allowance - Staff</v>
      </c>
      <c r="EK122" s="106">
        <f>+PMGR!EK122+BP!EK122</f>
        <v>2419</v>
      </c>
      <c r="EL122" s="106">
        <f>+PMGR!EL122+BP!EL122</f>
        <v>2500</v>
      </c>
      <c r="EM122" s="106">
        <f>+PMGR!EM122+BP!EM122</f>
        <v>2500</v>
      </c>
      <c r="EN122" s="106">
        <f>+PMGR!EN122+BP!EN122</f>
        <v>2500</v>
      </c>
      <c r="EO122" s="106">
        <f>+PMGR!EO122+BP!EO122</f>
        <v>2500</v>
      </c>
      <c r="EP122" s="106">
        <f>+PMGR!EP122+BP!EP122</f>
        <v>1417</v>
      </c>
      <c r="EQ122" s="106">
        <f>+PMGR!EQ122+BP!EQ122</f>
        <v>2500</v>
      </c>
      <c r="ER122" s="106">
        <f>+PMGR!ER122+BP!ER122</f>
        <v>2500</v>
      </c>
      <c r="ES122" s="106">
        <f>+PMGR!ES122+BP!ES122</f>
        <v>2417</v>
      </c>
      <c r="ET122" s="106">
        <f>+PMGR!ET122+BP!ET122</f>
        <v>2172</v>
      </c>
      <c r="EU122" s="106">
        <f>+PMGR!EU122+BP!EU122</f>
        <v>0</v>
      </c>
      <c r="EV122" s="106">
        <f>+PMGR!EV122+BP!EV122</f>
        <v>0</v>
      </c>
      <c r="EW122" s="106">
        <f t="shared" si="624"/>
        <v>23425</v>
      </c>
      <c r="EX122" s="118"/>
      <c r="EY122" s="106">
        <f>+PMGR!EY122+BP!EY122</f>
        <v>2500</v>
      </c>
      <c r="EZ122" s="106">
        <f>+PMGR!EZ122+BP!EZ122</f>
        <v>2500</v>
      </c>
      <c r="FA122" s="106">
        <f>+PMGR!FA122+BP!FA122</f>
        <v>2500</v>
      </c>
      <c r="FB122" s="106">
        <f>+PMGR!FB122+BP!FB122</f>
        <v>2500</v>
      </c>
      <c r="FC122" s="106">
        <f>+PMGR!FC122+BP!FC122</f>
        <v>2500</v>
      </c>
      <c r="FD122" s="106">
        <f>+PMGR!FD122+BP!FD122</f>
        <v>2500</v>
      </c>
      <c r="FE122" s="106">
        <f>+PMGR!FE122+BP!FE122</f>
        <v>2500</v>
      </c>
      <c r="FF122" s="106">
        <f>+PMGR!FF122+BP!FF122</f>
        <v>2500</v>
      </c>
      <c r="FG122" s="106">
        <f>+PMGR!FG122+BP!FG122</f>
        <v>2500</v>
      </c>
      <c r="FH122" s="106">
        <f>+PMGR!FH122+BP!FH122</f>
        <v>2500</v>
      </c>
      <c r="FI122" s="106">
        <f>+PMGR!FI122+BP!FI122</f>
        <v>2500</v>
      </c>
      <c r="FJ122" s="106">
        <f>+PMGR!FJ122+BP!FJ122</f>
        <v>2500</v>
      </c>
      <c r="FK122" s="106">
        <f t="shared" si="625"/>
        <v>30000</v>
      </c>
    </row>
    <row r="123" spans="1:167" ht="14.45" hidden="1" customHeight="1" outlineLevel="1">
      <c r="A123" s="106">
        <f t="shared" si="611"/>
        <v>497036.62099999998</v>
      </c>
      <c r="B123" s="106">
        <f t="shared" si="611"/>
        <v>496461.21</v>
      </c>
      <c r="C123" s="106">
        <f t="shared" si="611"/>
        <v>453011.5</v>
      </c>
      <c r="D123" s="106">
        <f t="shared" si="611"/>
        <v>442797.5</v>
      </c>
      <c r="E123" s="106">
        <f t="shared" si="611"/>
        <v>460375</v>
      </c>
      <c r="F123" s="106">
        <f t="shared" si="611"/>
        <v>446056</v>
      </c>
      <c r="G123" s="106">
        <f t="shared" si="611"/>
        <v>488513</v>
      </c>
      <c r="H123" s="106">
        <f t="shared" si="611"/>
        <v>471440.64999999997</v>
      </c>
      <c r="I123" s="106">
        <f t="shared" si="611"/>
        <v>644069.85000000009</v>
      </c>
      <c r="J123" s="106">
        <f t="shared" si="611"/>
        <v>533753</v>
      </c>
      <c r="K123" s="106">
        <f t="shared" si="611"/>
        <v>694178.5</v>
      </c>
      <c r="L123" s="106">
        <f t="shared" si="611"/>
        <v>448164</v>
      </c>
      <c r="M123" s="106">
        <f t="shared" si="612"/>
        <v>6075856.8310000002</v>
      </c>
      <c r="N123" s="16" t="s">
        <v>101</v>
      </c>
      <c r="O123" s="106">
        <f t="shared" si="613"/>
        <v>501225</v>
      </c>
      <c r="P123" s="106">
        <f t="shared" si="613"/>
        <v>501446</v>
      </c>
      <c r="Q123" s="106">
        <f t="shared" si="613"/>
        <v>535298</v>
      </c>
      <c r="R123" s="106">
        <f t="shared" si="613"/>
        <v>529840</v>
      </c>
      <c r="S123" s="106">
        <f t="shared" si="613"/>
        <v>519559</v>
      </c>
      <c r="T123" s="106">
        <f t="shared" si="613"/>
        <v>529659</v>
      </c>
      <c r="U123" s="106">
        <f t="shared" si="613"/>
        <v>538058</v>
      </c>
      <c r="V123" s="106">
        <f t="shared" si="613"/>
        <v>539015</v>
      </c>
      <c r="W123" s="106">
        <f t="shared" si="613"/>
        <v>746469</v>
      </c>
      <c r="X123" s="106">
        <f t="shared" si="613"/>
        <v>555850</v>
      </c>
      <c r="Y123" s="106">
        <f t="shared" si="613"/>
        <v>0</v>
      </c>
      <c r="Z123" s="106">
        <f t="shared" si="613"/>
        <v>0</v>
      </c>
      <c r="AA123" s="106">
        <f t="shared" si="614"/>
        <v>5496419</v>
      </c>
      <c r="AB123" s="118"/>
      <c r="AC123" s="106">
        <f t="shared" si="615"/>
        <v>558350</v>
      </c>
      <c r="AD123" s="106">
        <f t="shared" si="615"/>
        <v>558350</v>
      </c>
      <c r="AE123" s="106">
        <f t="shared" si="615"/>
        <v>558350</v>
      </c>
      <c r="AF123" s="106">
        <f t="shared" si="615"/>
        <v>558350</v>
      </c>
      <c r="AG123" s="106">
        <f t="shared" si="615"/>
        <v>558350</v>
      </c>
      <c r="AH123" s="106">
        <f t="shared" si="615"/>
        <v>558350</v>
      </c>
      <c r="AI123" s="106">
        <f t="shared" si="615"/>
        <v>558350</v>
      </c>
      <c r="AJ123" s="106">
        <f t="shared" si="615"/>
        <v>558350</v>
      </c>
      <c r="AK123" s="106">
        <f t="shared" si="615"/>
        <v>558350</v>
      </c>
      <c r="AL123" s="106">
        <f t="shared" si="615"/>
        <v>558350</v>
      </c>
      <c r="AM123" s="106">
        <f t="shared" si="615"/>
        <v>558350</v>
      </c>
      <c r="AN123" s="106">
        <f t="shared" si="615"/>
        <v>558350</v>
      </c>
      <c r="AO123" s="106">
        <f t="shared" si="616"/>
        <v>6700200</v>
      </c>
      <c r="AP123" s="106"/>
      <c r="AQ123" s="106">
        <f>+PMGR!AQ123+BP!AQ123</f>
        <v>375342.15399999998</v>
      </c>
      <c r="AR123" s="106">
        <f>+PMGR!AR123+BP!AR123</f>
        <v>378475.25</v>
      </c>
      <c r="AS123" s="106">
        <f>+PMGR!AS123+BP!AS123</f>
        <v>345655</v>
      </c>
      <c r="AT123" s="106">
        <f>+PMGR!AT123+BP!AT123</f>
        <v>329020</v>
      </c>
      <c r="AU123" s="106">
        <f>+PMGR!AU123+BP!AU123</f>
        <v>349851</v>
      </c>
      <c r="AV123" s="106">
        <f>+PMGR!AV123+BP!AV123</f>
        <v>339470</v>
      </c>
      <c r="AW123" s="106">
        <f>+PMGR!AW123+BP!AW123</f>
        <v>382263</v>
      </c>
      <c r="AX123" s="106">
        <f>+PMGR!AX123+BP!AX123</f>
        <v>379694.1</v>
      </c>
      <c r="AY123" s="106">
        <f>+PMGR!AY123+BP!AY123</f>
        <v>544696.65</v>
      </c>
      <c r="AZ123" s="106">
        <f>+PMGR!AZ123+BP!AZ123</f>
        <v>432862</v>
      </c>
      <c r="BA123" s="106">
        <f>+PMGR!BA123+BP!BA123</f>
        <v>455776</v>
      </c>
      <c r="BB123" s="106">
        <f>+PMGR!BB123+BP!BB123</f>
        <v>338610</v>
      </c>
      <c r="BC123" s="106">
        <f t="shared" si="617"/>
        <v>4651715.1540000001</v>
      </c>
      <c r="BD123" s="16" t="str">
        <f t="shared" si="405"/>
        <v>Special Allowance - Staff</v>
      </c>
      <c r="BE123" s="106">
        <f>+PMGR!BE123+BP!BE123</f>
        <v>307893</v>
      </c>
      <c r="BF123" s="106">
        <f>+PMGR!BF123+BP!BF123</f>
        <v>306846</v>
      </c>
      <c r="BG123" s="106">
        <f>+PMGR!BG123+BP!BG123</f>
        <v>330864</v>
      </c>
      <c r="BH123" s="106">
        <f>+PMGR!BH123+BP!BH123</f>
        <v>333414</v>
      </c>
      <c r="BI123" s="106">
        <f>+PMGR!BI123+BP!BI123</f>
        <v>331657</v>
      </c>
      <c r="BJ123" s="106">
        <f>+PMGR!BJ123+BP!BJ123</f>
        <v>341537</v>
      </c>
      <c r="BK123" s="106">
        <f>+PMGR!BK123+BP!BK123</f>
        <v>340667</v>
      </c>
      <c r="BL123" s="106">
        <f>+PMGR!BL123+BP!BL123</f>
        <v>344798</v>
      </c>
      <c r="BM123" s="106">
        <f>+PMGR!BM123+BP!BM123</f>
        <v>466700</v>
      </c>
      <c r="BN123" s="106">
        <f>+PMGR!BN123+BP!BN123</f>
        <v>351377</v>
      </c>
      <c r="BO123" s="106">
        <f>+PMGR!BO123+BP!BO123</f>
        <v>0</v>
      </c>
      <c r="BP123" s="106">
        <f>+PMGR!BP123+BP!BP123</f>
        <v>0</v>
      </c>
      <c r="BQ123" s="106">
        <f t="shared" si="618"/>
        <v>3455753</v>
      </c>
      <c r="BR123" s="118"/>
      <c r="BS123" s="106">
        <f>+PMGR!BS123+BP!BS123</f>
        <v>347050</v>
      </c>
      <c r="BT123" s="106">
        <f>+PMGR!BT123+BP!BT123</f>
        <v>347050</v>
      </c>
      <c r="BU123" s="106">
        <f>+PMGR!BU123+BP!BU123</f>
        <v>347050</v>
      </c>
      <c r="BV123" s="106">
        <f>+PMGR!BV123+BP!BV123</f>
        <v>347050</v>
      </c>
      <c r="BW123" s="106">
        <f>+PMGR!BW123+BP!BW123</f>
        <v>347050</v>
      </c>
      <c r="BX123" s="106">
        <f>+PMGR!BX123+BP!BX123</f>
        <v>347050</v>
      </c>
      <c r="BY123" s="106">
        <f>+PMGR!BY123+BP!BY123</f>
        <v>347050</v>
      </c>
      <c r="BZ123" s="106">
        <f>+PMGR!BZ123+BP!BZ123</f>
        <v>347050</v>
      </c>
      <c r="CA123" s="106">
        <f>+PMGR!CA123+BP!CA123</f>
        <v>347050</v>
      </c>
      <c r="CB123" s="106">
        <f>+PMGR!CB123+BP!CB123</f>
        <v>347050</v>
      </c>
      <c r="CC123" s="106">
        <f>+PMGR!CC123+BP!CC123</f>
        <v>347050</v>
      </c>
      <c r="CD123" s="106">
        <f>+PMGR!CD123+BP!CD123</f>
        <v>347050</v>
      </c>
      <c r="CE123" s="106">
        <f t="shared" si="619"/>
        <v>4164600</v>
      </c>
      <c r="CF123" s="106"/>
      <c r="CG123" s="106">
        <f>+PMGR!CG123+BP!CG123</f>
        <v>121694.467</v>
      </c>
      <c r="CH123" s="106">
        <f>+PMGR!CH123+BP!CH123</f>
        <v>117985.96000000002</v>
      </c>
      <c r="CI123" s="106">
        <f>+PMGR!CI123+BP!CI123</f>
        <v>107356.5</v>
      </c>
      <c r="CJ123" s="106">
        <f>+PMGR!CJ123+BP!CJ123</f>
        <v>113777.5</v>
      </c>
      <c r="CK123" s="106">
        <f>+PMGR!CK123+BP!CK123</f>
        <v>110524</v>
      </c>
      <c r="CL123" s="106">
        <f>+PMGR!CL123+BP!CL123</f>
        <v>106586</v>
      </c>
      <c r="CM123" s="106">
        <f>+PMGR!CM123+BP!CM123</f>
        <v>106250</v>
      </c>
      <c r="CN123" s="106">
        <f>+PMGR!CN123+BP!CN123</f>
        <v>91746.55</v>
      </c>
      <c r="CO123" s="106">
        <f>+PMGR!CO123+BP!CO123</f>
        <v>99373.200000000012</v>
      </c>
      <c r="CP123" s="106">
        <f>+PMGR!CP123+BP!CP123</f>
        <v>100891</v>
      </c>
      <c r="CQ123" s="106">
        <f>+PMGR!CQ123+BP!CQ123</f>
        <v>238402.5</v>
      </c>
      <c r="CR123" s="106">
        <f>+PMGR!CR123+BP!CR123</f>
        <v>109554</v>
      </c>
      <c r="CS123" s="106">
        <f t="shared" si="620"/>
        <v>1424141.6770000001</v>
      </c>
      <c r="CT123" s="16" t="str">
        <f t="shared" si="409"/>
        <v>Special Allowance - Staff</v>
      </c>
      <c r="CU123" s="106">
        <f>+PMGR!CU123+BP!CU123</f>
        <v>126110</v>
      </c>
      <c r="CV123" s="106">
        <f>+PMGR!CV123+BP!CV123</f>
        <v>126950</v>
      </c>
      <c r="CW123" s="106">
        <f>+PMGR!CW123+BP!CW123</f>
        <v>131784</v>
      </c>
      <c r="CX123" s="106">
        <f>+PMGR!CX123+BP!CX123</f>
        <v>123776</v>
      </c>
      <c r="CY123" s="106">
        <f>+PMGR!CY123+BP!CY123</f>
        <v>117139</v>
      </c>
      <c r="CZ123" s="106">
        <f>+PMGR!CZ123+BP!CZ123</f>
        <v>120619</v>
      </c>
      <c r="DA123" s="106">
        <f>+PMGR!DA123+BP!DA123</f>
        <v>121823</v>
      </c>
      <c r="DB123" s="106">
        <f>+PMGR!DB123+BP!DB123</f>
        <v>118698</v>
      </c>
      <c r="DC123" s="106">
        <f>+PMGR!DC123+BP!DC123</f>
        <v>205276</v>
      </c>
      <c r="DD123" s="106">
        <f>+PMGR!DD123+BP!DD123</f>
        <v>130527</v>
      </c>
      <c r="DE123" s="106">
        <f>+PMGR!DE123+BP!DE123</f>
        <v>0</v>
      </c>
      <c r="DF123" s="106">
        <f>+PMGR!DF123+BP!DF123</f>
        <v>0</v>
      </c>
      <c r="DG123" s="106">
        <f t="shared" si="621"/>
        <v>1322702</v>
      </c>
      <c r="DH123" s="118"/>
      <c r="DI123" s="106">
        <f>+PMGR!DI123+BP!DI123</f>
        <v>138650</v>
      </c>
      <c r="DJ123" s="106">
        <f>+PMGR!DJ123+BP!DJ123</f>
        <v>138650</v>
      </c>
      <c r="DK123" s="106">
        <f>+PMGR!DK123+BP!DK123</f>
        <v>138650</v>
      </c>
      <c r="DL123" s="106">
        <f>+PMGR!DL123+BP!DL123</f>
        <v>138650</v>
      </c>
      <c r="DM123" s="106">
        <f>+PMGR!DM123+BP!DM123</f>
        <v>138650</v>
      </c>
      <c r="DN123" s="106">
        <f>+PMGR!DN123+BP!DN123</f>
        <v>138650</v>
      </c>
      <c r="DO123" s="106">
        <f>+PMGR!DO123+BP!DO123</f>
        <v>138650</v>
      </c>
      <c r="DP123" s="106">
        <f>+PMGR!DP123+BP!DP123</f>
        <v>138650</v>
      </c>
      <c r="DQ123" s="106">
        <f>+PMGR!DQ123+BP!DQ123</f>
        <v>138650</v>
      </c>
      <c r="DR123" s="106">
        <f>+PMGR!DR123+BP!DR123</f>
        <v>138650</v>
      </c>
      <c r="DS123" s="106">
        <f>+PMGR!DS123+BP!DS123</f>
        <v>138650</v>
      </c>
      <c r="DT123" s="106">
        <f>+PMGR!DT123+BP!DT123</f>
        <v>138650</v>
      </c>
      <c r="DU123" s="106">
        <f t="shared" si="622"/>
        <v>1663800</v>
      </c>
      <c r="DV123" s="106"/>
      <c r="DW123" s="106">
        <f>+PMGR!DW123+BP!DW123</f>
        <v>0</v>
      </c>
      <c r="DX123" s="106">
        <f>+PMGR!DX123+BP!DX123</f>
        <v>0</v>
      </c>
      <c r="DY123" s="106">
        <f>+PMGR!DY123+BP!DY123</f>
        <v>0</v>
      </c>
      <c r="DZ123" s="106">
        <f>+PMGR!DZ123+BP!DZ123</f>
        <v>0</v>
      </c>
      <c r="EA123" s="106">
        <f>+PMGR!EA123+BP!EA123</f>
        <v>0</v>
      </c>
      <c r="EB123" s="106">
        <f>+PMGR!EB123+BP!EB123</f>
        <v>0</v>
      </c>
      <c r="EC123" s="106">
        <f>+PMGR!EC123+BP!EC123</f>
        <v>0</v>
      </c>
      <c r="ED123" s="106">
        <f>+PMGR!ED123+BP!ED123</f>
        <v>0</v>
      </c>
      <c r="EE123" s="106">
        <f>+PMGR!EE123+BP!EE123</f>
        <v>0</v>
      </c>
      <c r="EF123" s="106">
        <f>+PMGR!EF123+BP!EF123</f>
        <v>0</v>
      </c>
      <c r="EG123" s="106">
        <f>+PMGR!EG123+BP!EG123</f>
        <v>0</v>
      </c>
      <c r="EH123" s="106">
        <f>+PMGR!EH123+BP!EH123</f>
        <v>0</v>
      </c>
      <c r="EI123" s="106">
        <f t="shared" si="623"/>
        <v>0</v>
      </c>
      <c r="EJ123" s="16" t="str">
        <f t="shared" si="457"/>
        <v>Special Allowance - Staff</v>
      </c>
      <c r="EK123" s="106">
        <f>+PMGR!EK123+BP!EK123</f>
        <v>67222</v>
      </c>
      <c r="EL123" s="106">
        <f>+PMGR!EL123+BP!EL123</f>
        <v>67650</v>
      </c>
      <c r="EM123" s="106">
        <f>+PMGR!EM123+BP!EM123</f>
        <v>72650</v>
      </c>
      <c r="EN123" s="106">
        <f>+PMGR!EN123+BP!EN123</f>
        <v>72650</v>
      </c>
      <c r="EO123" s="106">
        <f>+PMGR!EO123+BP!EO123</f>
        <v>70763</v>
      </c>
      <c r="EP123" s="106">
        <f>+PMGR!EP123+BP!EP123</f>
        <v>67503</v>
      </c>
      <c r="EQ123" s="106">
        <f>+PMGR!EQ123+BP!EQ123</f>
        <v>75568</v>
      </c>
      <c r="ER123" s="106">
        <f>+PMGR!ER123+BP!ER123</f>
        <v>75519</v>
      </c>
      <c r="ES123" s="106">
        <f>+PMGR!ES123+BP!ES123</f>
        <v>74493</v>
      </c>
      <c r="ET123" s="106">
        <f>+PMGR!ET123+BP!ET123</f>
        <v>73946</v>
      </c>
      <c r="EU123" s="106">
        <f>+PMGR!EU123+BP!EU123</f>
        <v>0</v>
      </c>
      <c r="EV123" s="106">
        <f>+PMGR!EV123+BP!EV123</f>
        <v>0</v>
      </c>
      <c r="EW123" s="106">
        <f t="shared" si="624"/>
        <v>717964</v>
      </c>
      <c r="EX123" s="118"/>
      <c r="EY123" s="106">
        <f>+PMGR!EY123+BP!EY123</f>
        <v>72650</v>
      </c>
      <c r="EZ123" s="106">
        <f>+PMGR!EZ123+BP!EZ123</f>
        <v>72650</v>
      </c>
      <c r="FA123" s="106">
        <f>+PMGR!FA123+BP!FA123</f>
        <v>72650</v>
      </c>
      <c r="FB123" s="106">
        <f>+PMGR!FB123+BP!FB123</f>
        <v>72650</v>
      </c>
      <c r="FC123" s="106">
        <f>+PMGR!FC123+BP!FC123</f>
        <v>72650</v>
      </c>
      <c r="FD123" s="106">
        <f>+PMGR!FD123+BP!FD123</f>
        <v>72650</v>
      </c>
      <c r="FE123" s="106">
        <f>+PMGR!FE123+BP!FE123</f>
        <v>72650</v>
      </c>
      <c r="FF123" s="106">
        <f>+PMGR!FF123+BP!FF123</f>
        <v>72650</v>
      </c>
      <c r="FG123" s="106">
        <f>+PMGR!FG123+BP!FG123</f>
        <v>72650</v>
      </c>
      <c r="FH123" s="106">
        <f>+PMGR!FH123+BP!FH123</f>
        <v>72650</v>
      </c>
      <c r="FI123" s="106">
        <f>+PMGR!FI123+BP!FI123</f>
        <v>72650</v>
      </c>
      <c r="FJ123" s="106">
        <f>+PMGR!FJ123+BP!FJ123</f>
        <v>72650</v>
      </c>
      <c r="FK123" s="106">
        <f t="shared" si="625"/>
        <v>871800</v>
      </c>
    </row>
    <row r="124" spans="1:167" ht="14.45" hidden="1" customHeight="1" outlineLevel="1">
      <c r="A124" s="106">
        <f t="shared" si="611"/>
        <v>155002.09999999998</v>
      </c>
      <c r="B124" s="106">
        <f t="shared" si="611"/>
        <v>153345.40000000002</v>
      </c>
      <c r="C124" s="106">
        <f t="shared" si="611"/>
        <v>161518.90000000002</v>
      </c>
      <c r="D124" s="106">
        <f t="shared" si="611"/>
        <v>180977.3</v>
      </c>
      <c r="E124" s="106">
        <f t="shared" si="611"/>
        <v>180977.3</v>
      </c>
      <c r="F124" s="106">
        <f t="shared" si="611"/>
        <v>180977.3</v>
      </c>
      <c r="G124" s="106">
        <f t="shared" si="611"/>
        <v>180977.3</v>
      </c>
      <c r="H124" s="106">
        <f t="shared" si="611"/>
        <v>180977.3</v>
      </c>
      <c r="I124" s="106">
        <f t="shared" si="611"/>
        <v>180977.3</v>
      </c>
      <c r="J124" s="106">
        <f t="shared" si="611"/>
        <v>180977.3</v>
      </c>
      <c r="K124" s="106">
        <f t="shared" si="611"/>
        <v>180977.3</v>
      </c>
      <c r="L124" s="106">
        <f t="shared" si="611"/>
        <v>31179.799999999996</v>
      </c>
      <c r="M124" s="106">
        <f t="shared" si="612"/>
        <v>1948864.6000000003</v>
      </c>
      <c r="N124" s="16" t="s">
        <v>102</v>
      </c>
      <c r="O124" s="106">
        <f t="shared" si="613"/>
        <v>202604</v>
      </c>
      <c r="P124" s="106">
        <f t="shared" si="613"/>
        <v>202706</v>
      </c>
      <c r="Q124" s="106">
        <f t="shared" si="613"/>
        <v>209970</v>
      </c>
      <c r="R124" s="106">
        <f t="shared" si="613"/>
        <v>151338.56909798612</v>
      </c>
      <c r="S124" s="106">
        <f t="shared" si="613"/>
        <v>151338.56909798612</v>
      </c>
      <c r="T124" s="106">
        <f t="shared" si="613"/>
        <v>151338.56909798612</v>
      </c>
      <c r="U124" s="106">
        <f t="shared" si="613"/>
        <v>151338.56909798612</v>
      </c>
      <c r="V124" s="106">
        <f t="shared" si="613"/>
        <v>151338.56909798612</v>
      </c>
      <c r="W124" s="106">
        <f t="shared" si="613"/>
        <v>151338.56909798612</v>
      </c>
      <c r="X124" s="106">
        <f t="shared" si="613"/>
        <v>151338.56909798612</v>
      </c>
      <c r="Y124" s="106">
        <f t="shared" si="613"/>
        <v>0</v>
      </c>
      <c r="Z124" s="106">
        <f t="shared" si="613"/>
        <v>0</v>
      </c>
      <c r="AA124" s="106">
        <f t="shared" si="614"/>
        <v>1674649.9836859033</v>
      </c>
      <c r="AB124" s="118"/>
      <c r="AC124" s="106">
        <f t="shared" si="615"/>
        <v>151338.56909798612</v>
      </c>
      <c r="AD124" s="106">
        <f t="shared" si="615"/>
        <v>151338.56909798612</v>
      </c>
      <c r="AE124" s="106">
        <f t="shared" si="615"/>
        <v>151338.56909798612</v>
      </c>
      <c r="AF124" s="106">
        <f t="shared" si="615"/>
        <v>151338.56909798612</v>
      </c>
      <c r="AG124" s="106">
        <f t="shared" si="615"/>
        <v>151338.56909798612</v>
      </c>
      <c r="AH124" s="106">
        <f t="shared" si="615"/>
        <v>151338.56909798612</v>
      </c>
      <c r="AI124" s="106">
        <f t="shared" si="615"/>
        <v>151338.56909798612</v>
      </c>
      <c r="AJ124" s="106">
        <f t="shared" si="615"/>
        <v>151338.56909798612</v>
      </c>
      <c r="AK124" s="106">
        <f t="shared" si="615"/>
        <v>151338.56909798612</v>
      </c>
      <c r="AL124" s="106">
        <f t="shared" si="615"/>
        <v>151338.56909798612</v>
      </c>
      <c r="AM124" s="106">
        <f t="shared" si="615"/>
        <v>151338.56909798612</v>
      </c>
      <c r="AN124" s="106">
        <f t="shared" si="615"/>
        <v>151338.56909798612</v>
      </c>
      <c r="AO124" s="106">
        <f t="shared" si="616"/>
        <v>1816062.8291758338</v>
      </c>
      <c r="AP124" s="106"/>
      <c r="AQ124" s="106">
        <f>+PMGR!AQ124+BP!AQ124</f>
        <v>108199.4</v>
      </c>
      <c r="AR124" s="106">
        <f>+PMGR!AR124+BP!AR124</f>
        <v>107975.6</v>
      </c>
      <c r="AS124" s="106">
        <f>+PMGR!AS124+BP!AS124</f>
        <v>113737.60000000001</v>
      </c>
      <c r="AT124" s="106">
        <f>+PMGR!AT124+BP!AT124</f>
        <v>123452.19999999998</v>
      </c>
      <c r="AU124" s="106">
        <f>+PMGR!AU124+BP!AU124</f>
        <v>123452.19999999998</v>
      </c>
      <c r="AV124" s="106">
        <f>+PMGR!AV124+BP!AV124</f>
        <v>123452.19999999998</v>
      </c>
      <c r="AW124" s="106">
        <f>+PMGR!AW124+BP!AW124</f>
        <v>123452.19999999998</v>
      </c>
      <c r="AX124" s="106">
        <f>+PMGR!AX124+BP!AX124</f>
        <v>123452.19999999998</v>
      </c>
      <c r="AY124" s="106">
        <f>+PMGR!AY124+BP!AY124</f>
        <v>123452.19999999998</v>
      </c>
      <c r="AZ124" s="106">
        <f>+PMGR!AZ124+BP!AZ124</f>
        <v>123452.19999999998</v>
      </c>
      <c r="BA124" s="106">
        <f>+PMGR!BA124+BP!BA124</f>
        <v>123452.19999999998</v>
      </c>
      <c r="BB124" s="106">
        <f>+PMGR!BB124+BP!BB124</f>
        <v>19803.199999999997</v>
      </c>
      <c r="BC124" s="106">
        <f t="shared" si="617"/>
        <v>1337333.3999999997</v>
      </c>
      <c r="BD124" s="16" t="str">
        <f t="shared" si="405"/>
        <v>Provident Fund Contribution Company - Staff</v>
      </c>
      <c r="BE124" s="106">
        <f>+PMGR!BE124+BP!BE124</f>
        <v>115973</v>
      </c>
      <c r="BF124" s="106">
        <f>+PMGR!BF124+BP!BF124</f>
        <v>126956</v>
      </c>
      <c r="BG124" s="106">
        <f>+PMGR!BG124+BP!BG124</f>
        <v>119996</v>
      </c>
      <c r="BH124" s="106">
        <f>+PMGR!BH124+BP!BH124</f>
        <v>89304.988876458345</v>
      </c>
      <c r="BI124" s="106">
        <f>+PMGR!BI124+BP!BI124</f>
        <v>89304.988876458345</v>
      </c>
      <c r="BJ124" s="106">
        <f>+PMGR!BJ124+BP!BJ124</f>
        <v>89304.988876458345</v>
      </c>
      <c r="BK124" s="106">
        <f>+PMGR!BK124+BP!BK124</f>
        <v>89304.988876458345</v>
      </c>
      <c r="BL124" s="106">
        <f>+PMGR!BL124+BP!BL124</f>
        <v>89304.988876458345</v>
      </c>
      <c r="BM124" s="106">
        <f>+PMGR!BM124+BP!BM124</f>
        <v>89304.988876458345</v>
      </c>
      <c r="BN124" s="106">
        <f>+PMGR!BN124+BP!BN124</f>
        <v>89304.988876458345</v>
      </c>
      <c r="BO124" s="106">
        <f>+PMGR!BO124+BP!BO124</f>
        <v>0</v>
      </c>
      <c r="BP124" s="106">
        <f>+PMGR!BP124+BP!BP124</f>
        <v>0</v>
      </c>
      <c r="BQ124" s="106">
        <f t="shared" si="618"/>
        <v>988059.92213520862</v>
      </c>
      <c r="BR124" s="118"/>
      <c r="BS124" s="106">
        <f>+PMGR!BS124+BP!BS124</f>
        <v>89304.988876458345</v>
      </c>
      <c r="BT124" s="106">
        <f>+PMGR!BT124+BP!BT124</f>
        <v>89304.988876458345</v>
      </c>
      <c r="BU124" s="106">
        <f>+PMGR!BU124+BP!BU124</f>
        <v>89304.988876458345</v>
      </c>
      <c r="BV124" s="106">
        <f>+PMGR!BV124+BP!BV124</f>
        <v>89304.988876458345</v>
      </c>
      <c r="BW124" s="106">
        <f>+PMGR!BW124+BP!BW124</f>
        <v>89304.988876458345</v>
      </c>
      <c r="BX124" s="106">
        <f>+PMGR!BX124+BP!BX124</f>
        <v>89304.988876458345</v>
      </c>
      <c r="BY124" s="106">
        <f>+PMGR!BY124+BP!BY124</f>
        <v>89304.988876458345</v>
      </c>
      <c r="BZ124" s="106">
        <f>+PMGR!BZ124+BP!BZ124</f>
        <v>89304.988876458345</v>
      </c>
      <c r="CA124" s="106">
        <f>+PMGR!CA124+BP!CA124</f>
        <v>89304.988876458345</v>
      </c>
      <c r="CB124" s="106">
        <f>+PMGR!CB124+BP!CB124</f>
        <v>89304.988876458345</v>
      </c>
      <c r="CC124" s="106">
        <f>+PMGR!CC124+BP!CC124</f>
        <v>89304.988876458345</v>
      </c>
      <c r="CD124" s="106">
        <f>+PMGR!CD124+BP!CD124</f>
        <v>89304.988876458345</v>
      </c>
      <c r="CE124" s="106">
        <f t="shared" si="619"/>
        <v>1071659.8665175003</v>
      </c>
      <c r="CF124" s="106"/>
      <c r="CG124" s="106">
        <f>+PMGR!CG124+BP!CG124</f>
        <v>46802.7</v>
      </c>
      <c r="CH124" s="106">
        <f>+PMGR!CH124+BP!CH124</f>
        <v>45369.8</v>
      </c>
      <c r="CI124" s="106">
        <f>+PMGR!CI124+BP!CI124</f>
        <v>47781.3</v>
      </c>
      <c r="CJ124" s="106">
        <f>+PMGR!CJ124+BP!CJ124</f>
        <v>57525.1</v>
      </c>
      <c r="CK124" s="106">
        <f>+PMGR!CK124+BP!CK124</f>
        <v>57525.1</v>
      </c>
      <c r="CL124" s="106">
        <f>+PMGR!CL124+BP!CL124</f>
        <v>57525.1</v>
      </c>
      <c r="CM124" s="106">
        <f>+PMGR!CM124+BP!CM124</f>
        <v>57525.1</v>
      </c>
      <c r="CN124" s="106">
        <f>+PMGR!CN124+BP!CN124</f>
        <v>57525.1</v>
      </c>
      <c r="CO124" s="106">
        <f>+PMGR!CO124+BP!CO124</f>
        <v>57525.1</v>
      </c>
      <c r="CP124" s="106">
        <f>+PMGR!CP124+BP!CP124</f>
        <v>57525.1</v>
      </c>
      <c r="CQ124" s="106">
        <f>+PMGR!CQ124+BP!CQ124</f>
        <v>57525.1</v>
      </c>
      <c r="CR124" s="106">
        <f>+PMGR!CR124+BP!CR124</f>
        <v>11376.599999999999</v>
      </c>
      <c r="CS124" s="106">
        <f t="shared" si="620"/>
        <v>611531.19999999984</v>
      </c>
      <c r="CT124" s="16" t="str">
        <f t="shared" si="409"/>
        <v>Provident Fund Contribution Company - Staff</v>
      </c>
      <c r="CU124" s="106">
        <f>+PMGR!CU124+BP!CU124</f>
        <v>55556</v>
      </c>
      <c r="CV124" s="106">
        <f>+PMGR!CV124+BP!CV124</f>
        <v>59889</v>
      </c>
      <c r="CW124" s="106">
        <f>+PMGR!CW124+BP!CW124</f>
        <v>58611</v>
      </c>
      <c r="CX124" s="106">
        <f>+PMGR!CX124+BP!CX124</f>
        <v>37580.038554861116</v>
      </c>
      <c r="CY124" s="106">
        <f>+PMGR!CY124+BP!CY124</f>
        <v>37580.038554861116</v>
      </c>
      <c r="CZ124" s="106">
        <f>+PMGR!CZ124+BP!CZ124</f>
        <v>37580.038554861116</v>
      </c>
      <c r="DA124" s="106">
        <f>+PMGR!DA124+BP!DA124</f>
        <v>37580.038554861116</v>
      </c>
      <c r="DB124" s="106">
        <f>+PMGR!DB124+BP!DB124</f>
        <v>37580.038554861116</v>
      </c>
      <c r="DC124" s="106">
        <f>+PMGR!DC124+BP!DC124</f>
        <v>37580.038554861116</v>
      </c>
      <c r="DD124" s="106">
        <f>+PMGR!DD124+BP!DD124</f>
        <v>37580.038554861116</v>
      </c>
      <c r="DE124" s="106">
        <f>+PMGR!DE124+BP!DE124</f>
        <v>0</v>
      </c>
      <c r="DF124" s="106">
        <f>+PMGR!DF124+BP!DF124</f>
        <v>0</v>
      </c>
      <c r="DG124" s="106">
        <f t="shared" si="621"/>
        <v>437116.26988402772</v>
      </c>
      <c r="DH124" s="118"/>
      <c r="DI124" s="106">
        <f>+PMGR!DI124+BP!DI124</f>
        <v>37580.038554861116</v>
      </c>
      <c r="DJ124" s="106">
        <f>+PMGR!DJ124+BP!DJ124</f>
        <v>37580.038554861116</v>
      </c>
      <c r="DK124" s="106">
        <f>+PMGR!DK124+BP!DK124</f>
        <v>37580.038554861116</v>
      </c>
      <c r="DL124" s="106">
        <f>+PMGR!DL124+BP!DL124</f>
        <v>37580.038554861116</v>
      </c>
      <c r="DM124" s="106">
        <f>+PMGR!DM124+BP!DM124</f>
        <v>37580.038554861116</v>
      </c>
      <c r="DN124" s="106">
        <f>+PMGR!DN124+BP!DN124</f>
        <v>37580.038554861116</v>
      </c>
      <c r="DO124" s="106">
        <f>+PMGR!DO124+BP!DO124</f>
        <v>37580.038554861116</v>
      </c>
      <c r="DP124" s="106">
        <f>+PMGR!DP124+BP!DP124</f>
        <v>37580.038554861116</v>
      </c>
      <c r="DQ124" s="106">
        <f>+PMGR!DQ124+BP!DQ124</f>
        <v>37580.038554861116</v>
      </c>
      <c r="DR124" s="106">
        <f>+PMGR!DR124+BP!DR124</f>
        <v>37580.038554861116</v>
      </c>
      <c r="DS124" s="106">
        <f>+PMGR!DS124+BP!DS124</f>
        <v>37580.038554861116</v>
      </c>
      <c r="DT124" s="106">
        <f>+PMGR!DT124+BP!DT124</f>
        <v>37580.038554861116</v>
      </c>
      <c r="DU124" s="106">
        <f t="shared" si="622"/>
        <v>450960.4626583333</v>
      </c>
      <c r="DV124" s="106"/>
      <c r="DW124" s="106">
        <f>+PMGR!DW124+BP!DW124</f>
        <v>0</v>
      </c>
      <c r="DX124" s="106">
        <f>+PMGR!DX124+BP!DX124</f>
        <v>0</v>
      </c>
      <c r="DY124" s="106">
        <f>+PMGR!DY124+BP!DY124</f>
        <v>0</v>
      </c>
      <c r="DZ124" s="106">
        <f>+PMGR!DZ124+BP!DZ124</f>
        <v>0</v>
      </c>
      <c r="EA124" s="106">
        <f>+PMGR!EA124+BP!EA124</f>
        <v>0</v>
      </c>
      <c r="EB124" s="106">
        <f>+PMGR!EB124+BP!EB124</f>
        <v>0</v>
      </c>
      <c r="EC124" s="106">
        <f>+PMGR!EC124+BP!EC124</f>
        <v>0</v>
      </c>
      <c r="ED124" s="106">
        <f>+PMGR!ED124+BP!ED124</f>
        <v>0</v>
      </c>
      <c r="EE124" s="106">
        <f>+PMGR!EE124+BP!EE124</f>
        <v>0</v>
      </c>
      <c r="EF124" s="106">
        <f>+PMGR!EF124+BP!EF124</f>
        <v>0</v>
      </c>
      <c r="EG124" s="106">
        <f>+PMGR!EG124+BP!EG124</f>
        <v>0</v>
      </c>
      <c r="EH124" s="106">
        <f>+PMGR!EH124+BP!EH124</f>
        <v>0</v>
      </c>
      <c r="EI124" s="106">
        <f t="shared" si="623"/>
        <v>0</v>
      </c>
      <c r="EJ124" s="16" t="str">
        <f t="shared" si="457"/>
        <v>Provident Fund Contribution Company - Staff</v>
      </c>
      <c r="EK124" s="106">
        <f>+PMGR!EK124+BP!EK124</f>
        <v>31075</v>
      </c>
      <c r="EL124" s="106">
        <f>+PMGR!EL124+BP!EL124</f>
        <v>15861</v>
      </c>
      <c r="EM124" s="106">
        <f>+PMGR!EM124+BP!EM124</f>
        <v>31363</v>
      </c>
      <c r="EN124" s="106">
        <f>+PMGR!EN124+BP!EN124</f>
        <v>24453.541666666668</v>
      </c>
      <c r="EO124" s="106">
        <f>+PMGR!EO124+BP!EO124</f>
        <v>24453.541666666668</v>
      </c>
      <c r="EP124" s="106">
        <f>+PMGR!EP124+BP!EP124</f>
        <v>24453.541666666668</v>
      </c>
      <c r="EQ124" s="106">
        <f>+PMGR!EQ124+BP!EQ124</f>
        <v>24453.541666666668</v>
      </c>
      <c r="ER124" s="106">
        <f>+PMGR!ER124+BP!ER124</f>
        <v>24453.541666666668</v>
      </c>
      <c r="ES124" s="106">
        <f>+PMGR!ES124+BP!ES124</f>
        <v>24453.541666666668</v>
      </c>
      <c r="ET124" s="106">
        <f>+PMGR!ET124+BP!ET124</f>
        <v>24453.541666666668</v>
      </c>
      <c r="EU124" s="106">
        <f>+PMGR!EU124+BP!EU124</f>
        <v>0</v>
      </c>
      <c r="EV124" s="106">
        <f>+PMGR!EV124+BP!EV124</f>
        <v>0</v>
      </c>
      <c r="EW124" s="106">
        <f t="shared" si="624"/>
        <v>249473.79166666663</v>
      </c>
      <c r="EX124" s="118"/>
      <c r="EY124" s="106">
        <f>+PMGR!EY124+BP!EY124</f>
        <v>24453.541666666668</v>
      </c>
      <c r="EZ124" s="106">
        <f>+PMGR!EZ124+BP!EZ124</f>
        <v>24453.541666666668</v>
      </c>
      <c r="FA124" s="106">
        <f>+PMGR!FA124+BP!FA124</f>
        <v>24453.541666666668</v>
      </c>
      <c r="FB124" s="106">
        <f>+PMGR!FB124+BP!FB124</f>
        <v>24453.541666666668</v>
      </c>
      <c r="FC124" s="106">
        <f>+PMGR!FC124+BP!FC124</f>
        <v>24453.541666666668</v>
      </c>
      <c r="FD124" s="106">
        <f>+PMGR!FD124+BP!FD124</f>
        <v>24453.541666666668</v>
      </c>
      <c r="FE124" s="106">
        <f>+PMGR!FE124+BP!FE124</f>
        <v>24453.541666666668</v>
      </c>
      <c r="FF124" s="106">
        <f>+PMGR!FF124+BP!FF124</f>
        <v>24453.541666666668</v>
      </c>
      <c r="FG124" s="106">
        <f>+PMGR!FG124+BP!FG124</f>
        <v>24453.541666666668</v>
      </c>
      <c r="FH124" s="106">
        <f>+PMGR!FH124+BP!FH124</f>
        <v>24453.541666666668</v>
      </c>
      <c r="FI124" s="106">
        <f>+PMGR!FI124+BP!FI124</f>
        <v>24453.541666666668</v>
      </c>
      <c r="FJ124" s="106">
        <f>+PMGR!FJ124+BP!FJ124</f>
        <v>24453.541666666668</v>
      </c>
      <c r="FK124" s="106">
        <f t="shared" si="625"/>
        <v>293442.5</v>
      </c>
    </row>
    <row r="125" spans="1:167" ht="14.45" hidden="1" customHeight="1" outlineLevel="1">
      <c r="A125" s="106">
        <f t="shared" si="611"/>
        <v>29914.5</v>
      </c>
      <c r="B125" s="106">
        <f t="shared" si="611"/>
        <v>29609.5</v>
      </c>
      <c r="C125" s="106">
        <f t="shared" si="611"/>
        <v>32260.1</v>
      </c>
      <c r="D125" s="106">
        <f t="shared" si="611"/>
        <v>32260.1</v>
      </c>
      <c r="E125" s="106">
        <f t="shared" si="611"/>
        <v>31179.799999999996</v>
      </c>
      <c r="F125" s="106">
        <f t="shared" si="611"/>
        <v>31179.799999999996</v>
      </c>
      <c r="G125" s="106">
        <f t="shared" si="611"/>
        <v>31179.799999999996</v>
      </c>
      <c r="H125" s="106">
        <f t="shared" si="611"/>
        <v>31179.799999999996</v>
      </c>
      <c r="I125" s="106">
        <f t="shared" si="611"/>
        <v>31179.799999999996</v>
      </c>
      <c r="J125" s="106">
        <f t="shared" si="611"/>
        <v>31179.799999999996</v>
      </c>
      <c r="K125" s="106">
        <f t="shared" si="611"/>
        <v>31179.799999999996</v>
      </c>
      <c r="L125" s="106">
        <f t="shared" si="611"/>
        <v>120000</v>
      </c>
      <c r="M125" s="106">
        <f t="shared" si="612"/>
        <v>462302.79999999993</v>
      </c>
      <c r="N125" s="16" t="s">
        <v>103</v>
      </c>
      <c r="O125" s="106">
        <f t="shared" si="613"/>
        <v>37053</v>
      </c>
      <c r="P125" s="106">
        <f t="shared" si="613"/>
        <v>36427</v>
      </c>
      <c r="Q125" s="106">
        <f t="shared" si="613"/>
        <v>38420</v>
      </c>
      <c r="R125" s="106">
        <f t="shared" si="613"/>
        <v>13418.75</v>
      </c>
      <c r="S125" s="106">
        <f t="shared" si="613"/>
        <v>13418.75</v>
      </c>
      <c r="T125" s="106">
        <f t="shared" si="613"/>
        <v>13418.75</v>
      </c>
      <c r="U125" s="106">
        <f t="shared" si="613"/>
        <v>13418.75</v>
      </c>
      <c r="V125" s="106">
        <f t="shared" si="613"/>
        <v>13418.75</v>
      </c>
      <c r="W125" s="106">
        <f t="shared" si="613"/>
        <v>13418.75</v>
      </c>
      <c r="X125" s="106">
        <f t="shared" si="613"/>
        <v>13418.75</v>
      </c>
      <c r="Y125" s="106">
        <f t="shared" si="613"/>
        <v>0</v>
      </c>
      <c r="Z125" s="106">
        <f t="shared" si="613"/>
        <v>0</v>
      </c>
      <c r="AA125" s="106">
        <f t="shared" si="614"/>
        <v>205831.25</v>
      </c>
      <c r="AB125" s="118"/>
      <c r="AC125" s="106">
        <f t="shared" si="615"/>
        <v>13418.75</v>
      </c>
      <c r="AD125" s="106">
        <f t="shared" si="615"/>
        <v>13418.75</v>
      </c>
      <c r="AE125" s="106">
        <f t="shared" si="615"/>
        <v>13418.75</v>
      </c>
      <c r="AF125" s="106">
        <f t="shared" si="615"/>
        <v>13418.75</v>
      </c>
      <c r="AG125" s="106">
        <f t="shared" si="615"/>
        <v>13418.75</v>
      </c>
      <c r="AH125" s="106">
        <f t="shared" si="615"/>
        <v>13418.75</v>
      </c>
      <c r="AI125" s="106">
        <f t="shared" si="615"/>
        <v>13418.75</v>
      </c>
      <c r="AJ125" s="106">
        <f t="shared" si="615"/>
        <v>13418.75</v>
      </c>
      <c r="AK125" s="106">
        <f t="shared" si="615"/>
        <v>13418.75</v>
      </c>
      <c r="AL125" s="106">
        <f t="shared" si="615"/>
        <v>13418.75</v>
      </c>
      <c r="AM125" s="106">
        <f t="shared" si="615"/>
        <v>13418.75</v>
      </c>
      <c r="AN125" s="106">
        <f t="shared" si="615"/>
        <v>13418.75</v>
      </c>
      <c r="AO125" s="106">
        <f t="shared" si="616"/>
        <v>161025</v>
      </c>
      <c r="AP125" s="106"/>
      <c r="AQ125" s="106">
        <f>+PMGR!AQ125+BP!AQ125</f>
        <v>19611</v>
      </c>
      <c r="AR125" s="106">
        <f>+PMGR!AR125+BP!AR125</f>
        <v>19306</v>
      </c>
      <c r="AS125" s="106">
        <f>+PMGR!AS125+BP!AS125</f>
        <v>21208.399999999998</v>
      </c>
      <c r="AT125" s="106">
        <f>+PMGR!AT125+BP!AT125</f>
        <v>21208.399999999998</v>
      </c>
      <c r="AU125" s="106">
        <f>+PMGR!AU125+BP!AU125</f>
        <v>19803.199999999997</v>
      </c>
      <c r="AV125" s="106">
        <f>+PMGR!AV125+BP!AV125</f>
        <v>19803.199999999997</v>
      </c>
      <c r="AW125" s="106">
        <f>+PMGR!AW125+BP!AW125</f>
        <v>19803.199999999997</v>
      </c>
      <c r="AX125" s="106">
        <f>+PMGR!AX125+BP!AX125</f>
        <v>19803.199999999997</v>
      </c>
      <c r="AY125" s="106">
        <f>+PMGR!AY125+BP!AY125</f>
        <v>19803.199999999997</v>
      </c>
      <c r="AZ125" s="106">
        <f>+PMGR!AZ125+BP!AZ125</f>
        <v>19803.199999999997</v>
      </c>
      <c r="BA125" s="106">
        <f>+PMGR!BA125+BP!BA125</f>
        <v>19803.199999999997</v>
      </c>
      <c r="BB125" s="106">
        <f>+PMGR!BB125+BP!BB125</f>
        <v>72000</v>
      </c>
      <c r="BC125" s="106">
        <f t="shared" si="617"/>
        <v>291956.2</v>
      </c>
      <c r="BD125" s="16" t="str">
        <f t="shared" si="405"/>
        <v>Employer Insurance Contributions - Staff</v>
      </c>
      <c r="BE125" s="106">
        <f>+PMGR!BE125+BP!BE125</f>
        <v>23114</v>
      </c>
      <c r="BF125" s="106">
        <f>+PMGR!BF125+BP!BF125</f>
        <v>22690</v>
      </c>
      <c r="BG125" s="106">
        <f>+PMGR!BG125+BP!BG125</f>
        <v>23784</v>
      </c>
      <c r="BH125" s="106">
        <f>+PMGR!BH125+BP!BH125</f>
        <v>8858.75</v>
      </c>
      <c r="BI125" s="106">
        <f>+PMGR!BI125+BP!BI125</f>
        <v>8858.75</v>
      </c>
      <c r="BJ125" s="106">
        <f>+PMGR!BJ125+BP!BJ125</f>
        <v>8858.75</v>
      </c>
      <c r="BK125" s="106">
        <f>+PMGR!BK125+BP!BK125</f>
        <v>8858.75</v>
      </c>
      <c r="BL125" s="106">
        <f>+PMGR!BL125+BP!BL125</f>
        <v>8858.75</v>
      </c>
      <c r="BM125" s="106">
        <f>+PMGR!BM125+BP!BM125</f>
        <v>8858.75</v>
      </c>
      <c r="BN125" s="106">
        <f>+PMGR!BN125+BP!BN125</f>
        <v>8858.75</v>
      </c>
      <c r="BO125" s="106">
        <f>+PMGR!BO125+BP!BO125</f>
        <v>0</v>
      </c>
      <c r="BP125" s="106">
        <f>+PMGR!BP125+BP!BP125</f>
        <v>0</v>
      </c>
      <c r="BQ125" s="106">
        <f t="shared" si="618"/>
        <v>131599.25</v>
      </c>
      <c r="BR125" s="118"/>
      <c r="BS125" s="106">
        <f>+PMGR!BS125+BP!BS125</f>
        <v>8858.75</v>
      </c>
      <c r="BT125" s="106">
        <f>+PMGR!BT125+BP!BT125</f>
        <v>8858.75</v>
      </c>
      <c r="BU125" s="106">
        <f>+PMGR!BU125+BP!BU125</f>
        <v>8858.75</v>
      </c>
      <c r="BV125" s="106">
        <f>+PMGR!BV125+BP!BV125</f>
        <v>8858.75</v>
      </c>
      <c r="BW125" s="106">
        <f>+PMGR!BW125+BP!BW125</f>
        <v>8858.75</v>
      </c>
      <c r="BX125" s="106">
        <f>+PMGR!BX125+BP!BX125</f>
        <v>8858.75</v>
      </c>
      <c r="BY125" s="106">
        <f>+PMGR!BY125+BP!BY125</f>
        <v>8858.75</v>
      </c>
      <c r="BZ125" s="106">
        <f>+PMGR!BZ125+BP!BZ125</f>
        <v>8858.75</v>
      </c>
      <c r="CA125" s="106">
        <f>+PMGR!CA125+BP!CA125</f>
        <v>8858.75</v>
      </c>
      <c r="CB125" s="106">
        <f>+PMGR!CB125+BP!CB125</f>
        <v>8858.75</v>
      </c>
      <c r="CC125" s="106">
        <f>+PMGR!CC125+BP!CC125</f>
        <v>8858.75</v>
      </c>
      <c r="CD125" s="106">
        <f>+PMGR!CD125+BP!CD125</f>
        <v>8858.75</v>
      </c>
      <c r="CE125" s="106">
        <f t="shared" si="619"/>
        <v>106305</v>
      </c>
      <c r="CF125" s="106"/>
      <c r="CG125" s="106">
        <f>+PMGR!CG125+BP!CG125</f>
        <v>10303.5</v>
      </c>
      <c r="CH125" s="106">
        <f>+PMGR!CH125+BP!CH125</f>
        <v>10303.5</v>
      </c>
      <c r="CI125" s="106">
        <f>+PMGR!CI125+BP!CI125</f>
        <v>11051.699999999999</v>
      </c>
      <c r="CJ125" s="106">
        <f>+PMGR!CJ125+BP!CJ125</f>
        <v>11051.699999999999</v>
      </c>
      <c r="CK125" s="106">
        <f>+PMGR!CK125+BP!CK125</f>
        <v>11376.599999999999</v>
      </c>
      <c r="CL125" s="106">
        <f>+PMGR!CL125+BP!CL125</f>
        <v>11376.599999999999</v>
      </c>
      <c r="CM125" s="106">
        <f>+PMGR!CM125+BP!CM125</f>
        <v>11376.599999999999</v>
      </c>
      <c r="CN125" s="106">
        <f>+PMGR!CN125+BP!CN125</f>
        <v>11376.599999999999</v>
      </c>
      <c r="CO125" s="106">
        <f>+PMGR!CO125+BP!CO125</f>
        <v>11376.599999999999</v>
      </c>
      <c r="CP125" s="106">
        <f>+PMGR!CP125+BP!CP125</f>
        <v>11376.599999999999</v>
      </c>
      <c r="CQ125" s="106">
        <f>+PMGR!CQ125+BP!CQ125</f>
        <v>11376.599999999999</v>
      </c>
      <c r="CR125" s="106">
        <f>+PMGR!CR125+BP!CR125</f>
        <v>48000</v>
      </c>
      <c r="CS125" s="106">
        <f t="shared" si="620"/>
        <v>170346.6</v>
      </c>
      <c r="CT125" s="16" t="str">
        <f t="shared" si="409"/>
        <v>Employer Insurance Contributions - Staff</v>
      </c>
      <c r="CU125" s="106">
        <f>+PMGR!CU125+BP!CU125</f>
        <v>10129</v>
      </c>
      <c r="CV125" s="106">
        <f>+PMGR!CV125+BP!CV125</f>
        <v>9902</v>
      </c>
      <c r="CW125" s="106">
        <f>+PMGR!CW125+BP!CW125</f>
        <v>10801</v>
      </c>
      <c r="CX125" s="106">
        <f>+PMGR!CX125+BP!CX125</f>
        <v>3752.5</v>
      </c>
      <c r="CY125" s="106">
        <f>+PMGR!CY125+BP!CY125</f>
        <v>3752.5</v>
      </c>
      <c r="CZ125" s="106">
        <f>+PMGR!CZ125+BP!CZ125</f>
        <v>3752.5</v>
      </c>
      <c r="DA125" s="106">
        <f>+PMGR!DA125+BP!DA125</f>
        <v>3752.5</v>
      </c>
      <c r="DB125" s="106">
        <f>+PMGR!DB125+BP!DB125</f>
        <v>3752.5</v>
      </c>
      <c r="DC125" s="106">
        <f>+PMGR!DC125+BP!DC125</f>
        <v>3752.5</v>
      </c>
      <c r="DD125" s="106">
        <f>+PMGR!DD125+BP!DD125</f>
        <v>3752.5</v>
      </c>
      <c r="DE125" s="106">
        <f>+PMGR!DE125+BP!DE125</f>
        <v>0</v>
      </c>
      <c r="DF125" s="106">
        <f>+PMGR!DF125+BP!DF125</f>
        <v>0</v>
      </c>
      <c r="DG125" s="106">
        <f t="shared" si="621"/>
        <v>57099.5</v>
      </c>
      <c r="DH125" s="118"/>
      <c r="DI125" s="106">
        <f>+PMGR!DI125+BP!DI125</f>
        <v>3752.5</v>
      </c>
      <c r="DJ125" s="106">
        <f>+PMGR!DJ125+BP!DJ125</f>
        <v>3752.5</v>
      </c>
      <c r="DK125" s="106">
        <f>+PMGR!DK125+BP!DK125</f>
        <v>3752.5</v>
      </c>
      <c r="DL125" s="106">
        <f>+PMGR!DL125+BP!DL125</f>
        <v>3752.5</v>
      </c>
      <c r="DM125" s="106">
        <f>+PMGR!DM125+BP!DM125</f>
        <v>3752.5</v>
      </c>
      <c r="DN125" s="106">
        <f>+PMGR!DN125+BP!DN125</f>
        <v>3752.5</v>
      </c>
      <c r="DO125" s="106">
        <f>+PMGR!DO125+BP!DO125</f>
        <v>3752.5</v>
      </c>
      <c r="DP125" s="106">
        <f>+PMGR!DP125+BP!DP125</f>
        <v>3752.5</v>
      </c>
      <c r="DQ125" s="106">
        <f>+PMGR!DQ125+BP!DQ125</f>
        <v>3752.5</v>
      </c>
      <c r="DR125" s="106">
        <f>+PMGR!DR125+BP!DR125</f>
        <v>3752.5</v>
      </c>
      <c r="DS125" s="106">
        <f>+PMGR!DS125+BP!DS125</f>
        <v>3752.5</v>
      </c>
      <c r="DT125" s="106">
        <f>+PMGR!DT125+BP!DT125</f>
        <v>3752.5</v>
      </c>
      <c r="DU125" s="106">
        <f t="shared" si="622"/>
        <v>45030</v>
      </c>
      <c r="DV125" s="106"/>
      <c r="DW125" s="106">
        <f>+PMGR!DW125+BP!DW125</f>
        <v>0</v>
      </c>
      <c r="DX125" s="106">
        <f>+PMGR!DX125+BP!DX125</f>
        <v>0</v>
      </c>
      <c r="DY125" s="106">
        <f>+PMGR!DY125+BP!DY125</f>
        <v>0</v>
      </c>
      <c r="DZ125" s="106">
        <f>+PMGR!DZ125+BP!DZ125</f>
        <v>0</v>
      </c>
      <c r="EA125" s="106">
        <f>+PMGR!EA125+BP!EA125</f>
        <v>0</v>
      </c>
      <c r="EB125" s="106">
        <f>+PMGR!EB125+BP!EB125</f>
        <v>0</v>
      </c>
      <c r="EC125" s="106">
        <f>+PMGR!EC125+BP!EC125</f>
        <v>0</v>
      </c>
      <c r="ED125" s="106">
        <f>+PMGR!ED125+BP!ED125</f>
        <v>0</v>
      </c>
      <c r="EE125" s="106">
        <f>+PMGR!EE125+BP!EE125</f>
        <v>0</v>
      </c>
      <c r="EF125" s="106">
        <f>+PMGR!EF125+BP!EF125</f>
        <v>0</v>
      </c>
      <c r="EG125" s="106">
        <f>+PMGR!EG125+BP!EG125</f>
        <v>0</v>
      </c>
      <c r="EH125" s="106">
        <f>+PMGR!EH125+BP!EH125</f>
        <v>0</v>
      </c>
      <c r="EI125" s="106">
        <f t="shared" si="623"/>
        <v>0</v>
      </c>
      <c r="EJ125" s="16" t="str">
        <f t="shared" si="457"/>
        <v>Employer Insurance Contributions - Staff</v>
      </c>
      <c r="EK125" s="106">
        <f>+PMGR!EK125+BP!EK125</f>
        <v>3810</v>
      </c>
      <c r="EL125" s="106">
        <f>+PMGR!EL125+BP!EL125</f>
        <v>3835</v>
      </c>
      <c r="EM125" s="106">
        <f>+PMGR!EM125+BP!EM125</f>
        <v>3835</v>
      </c>
      <c r="EN125" s="106">
        <f>+PMGR!EN125+BP!EN125</f>
        <v>807.5</v>
      </c>
      <c r="EO125" s="106">
        <f>+PMGR!EO125+BP!EO125</f>
        <v>807.5</v>
      </c>
      <c r="EP125" s="106">
        <f>+PMGR!EP125+BP!EP125</f>
        <v>807.5</v>
      </c>
      <c r="EQ125" s="106">
        <f>+PMGR!EQ125+BP!EQ125</f>
        <v>807.5</v>
      </c>
      <c r="ER125" s="106">
        <f>+PMGR!ER125+BP!ER125</f>
        <v>807.5</v>
      </c>
      <c r="ES125" s="106">
        <f>+PMGR!ES125+BP!ES125</f>
        <v>807.5</v>
      </c>
      <c r="ET125" s="106">
        <f>+PMGR!ET125+BP!ET125</f>
        <v>807.5</v>
      </c>
      <c r="EU125" s="106">
        <f>+PMGR!EU125+BP!EU125</f>
        <v>0</v>
      </c>
      <c r="EV125" s="106">
        <f>+PMGR!EV125+BP!EV125</f>
        <v>0</v>
      </c>
      <c r="EW125" s="106">
        <f t="shared" si="624"/>
        <v>17132.5</v>
      </c>
      <c r="EX125" s="118"/>
      <c r="EY125" s="106">
        <f>+PMGR!EY125+BP!EY125</f>
        <v>807.5</v>
      </c>
      <c r="EZ125" s="106">
        <f>+PMGR!EZ125+BP!EZ125</f>
        <v>807.5</v>
      </c>
      <c r="FA125" s="106">
        <f>+PMGR!FA125+BP!FA125</f>
        <v>807.5</v>
      </c>
      <c r="FB125" s="106">
        <f>+PMGR!FB125+BP!FB125</f>
        <v>807.5</v>
      </c>
      <c r="FC125" s="106">
        <f>+PMGR!FC125+BP!FC125</f>
        <v>807.5</v>
      </c>
      <c r="FD125" s="106">
        <f>+PMGR!FD125+BP!FD125</f>
        <v>807.5</v>
      </c>
      <c r="FE125" s="106">
        <f>+PMGR!FE125+BP!FE125</f>
        <v>807.5</v>
      </c>
      <c r="FF125" s="106">
        <f>+PMGR!FF125+BP!FF125</f>
        <v>807.5</v>
      </c>
      <c r="FG125" s="106">
        <f>+PMGR!FG125+BP!FG125</f>
        <v>807.5</v>
      </c>
      <c r="FH125" s="106">
        <f>+PMGR!FH125+BP!FH125</f>
        <v>807.5</v>
      </c>
      <c r="FI125" s="106">
        <f>+PMGR!FI125+BP!FI125</f>
        <v>807.5</v>
      </c>
      <c r="FJ125" s="106">
        <f>+PMGR!FJ125+BP!FJ125</f>
        <v>807.5</v>
      </c>
      <c r="FK125" s="106">
        <f t="shared" si="625"/>
        <v>9690</v>
      </c>
    </row>
    <row r="126" spans="1:167" ht="14.45" hidden="1" customHeight="1" outlineLevel="1">
      <c r="A126" s="106">
        <f t="shared" si="611"/>
        <v>232497</v>
      </c>
      <c r="B126" s="106">
        <f t="shared" si="611"/>
        <v>232497</v>
      </c>
      <c r="C126" s="106">
        <f t="shared" si="611"/>
        <v>231600</v>
      </c>
      <c r="D126" s="106">
        <f t="shared" si="611"/>
        <v>231825</v>
      </c>
      <c r="E126" s="106">
        <f t="shared" si="611"/>
        <v>231825</v>
      </c>
      <c r="F126" s="106">
        <f t="shared" si="611"/>
        <v>231825</v>
      </c>
      <c r="G126" s="106">
        <f t="shared" si="611"/>
        <v>231825</v>
      </c>
      <c r="H126" s="106">
        <f t="shared" si="611"/>
        <v>231825</v>
      </c>
      <c r="I126" s="106">
        <f t="shared" si="611"/>
        <v>231825</v>
      </c>
      <c r="J126" s="106">
        <f t="shared" si="611"/>
        <v>231825</v>
      </c>
      <c r="K126" s="106">
        <f t="shared" si="611"/>
        <v>231825</v>
      </c>
      <c r="L126" s="106">
        <f t="shared" si="611"/>
        <v>324821</v>
      </c>
      <c r="M126" s="106">
        <f t="shared" si="612"/>
        <v>2876015</v>
      </c>
      <c r="N126" s="16" t="s">
        <v>104</v>
      </c>
      <c r="O126" s="106">
        <f t="shared" si="613"/>
        <v>243675</v>
      </c>
      <c r="P126" s="106">
        <f t="shared" si="613"/>
        <v>243675</v>
      </c>
      <c r="Q126" s="106">
        <f t="shared" si="613"/>
        <v>243675</v>
      </c>
      <c r="R126" s="106">
        <f t="shared" si="613"/>
        <v>243675</v>
      </c>
      <c r="S126" s="106">
        <f t="shared" si="613"/>
        <v>218475</v>
      </c>
      <c r="T126" s="106">
        <f t="shared" si="613"/>
        <v>279802.26</v>
      </c>
      <c r="U126" s="106">
        <f t="shared" si="613"/>
        <v>401302.25999999995</v>
      </c>
      <c r="V126" s="106">
        <f t="shared" si="613"/>
        <v>340552.26</v>
      </c>
      <c r="W126" s="106">
        <f t="shared" si="613"/>
        <v>402201</v>
      </c>
      <c r="X126" s="106">
        <f t="shared" si="613"/>
        <v>376269.75</v>
      </c>
      <c r="Y126" s="106">
        <f t="shared" si="613"/>
        <v>0</v>
      </c>
      <c r="Z126" s="106">
        <f t="shared" si="613"/>
        <v>0</v>
      </c>
      <c r="AA126" s="106">
        <f t="shared" si="614"/>
        <v>2993302.5300000003</v>
      </c>
      <c r="AB126" s="118"/>
      <c r="AC126" s="106">
        <f t="shared" si="615"/>
        <v>243675</v>
      </c>
      <c r="AD126" s="106">
        <f t="shared" si="615"/>
        <v>243675</v>
      </c>
      <c r="AE126" s="106">
        <f t="shared" si="615"/>
        <v>243675</v>
      </c>
      <c r="AF126" s="106">
        <f t="shared" si="615"/>
        <v>243675</v>
      </c>
      <c r="AG126" s="106">
        <f t="shared" si="615"/>
        <v>243675</v>
      </c>
      <c r="AH126" s="106">
        <f t="shared" si="615"/>
        <v>243675</v>
      </c>
      <c r="AI126" s="106">
        <f t="shared" si="615"/>
        <v>243675</v>
      </c>
      <c r="AJ126" s="106">
        <f t="shared" si="615"/>
        <v>243675</v>
      </c>
      <c r="AK126" s="106">
        <f t="shared" si="615"/>
        <v>243675</v>
      </c>
      <c r="AL126" s="106">
        <f t="shared" si="615"/>
        <v>243675</v>
      </c>
      <c r="AM126" s="106">
        <f t="shared" si="615"/>
        <v>243675</v>
      </c>
      <c r="AN126" s="106">
        <f t="shared" si="615"/>
        <v>243675</v>
      </c>
      <c r="AO126" s="106">
        <f t="shared" si="616"/>
        <v>2924100</v>
      </c>
      <c r="AP126" s="106"/>
      <c r="AQ126" s="106">
        <f>+PMGR!AQ126+BP!AQ126</f>
        <v>194892</v>
      </c>
      <c r="AR126" s="106">
        <f>+PMGR!AR126+BP!AR126</f>
        <v>194892</v>
      </c>
      <c r="AS126" s="106">
        <f>+PMGR!AS126+BP!AS126</f>
        <v>194400</v>
      </c>
      <c r="AT126" s="106">
        <f>+PMGR!AT126+BP!AT126</f>
        <v>194550</v>
      </c>
      <c r="AU126" s="106">
        <f>+PMGR!AU126+BP!AU126</f>
        <v>146550</v>
      </c>
      <c r="AV126" s="106">
        <f>+PMGR!AV126+BP!AV126</f>
        <v>146550</v>
      </c>
      <c r="AW126" s="106">
        <f>+PMGR!AW126+BP!AW126</f>
        <v>146550</v>
      </c>
      <c r="AX126" s="106">
        <f>+PMGR!AX126+BP!AX126</f>
        <v>146550</v>
      </c>
      <c r="AY126" s="106">
        <f>+PMGR!AY126+BP!AY126</f>
        <v>146550</v>
      </c>
      <c r="AZ126" s="106">
        <f>+PMGR!AZ126+BP!AZ126</f>
        <v>146550</v>
      </c>
      <c r="BA126" s="106">
        <f>+PMGR!BA126+BP!BA126</f>
        <v>146550</v>
      </c>
      <c r="BB126" s="106">
        <f>+PMGR!BB126+BP!BB126</f>
        <v>287546</v>
      </c>
      <c r="BC126" s="106">
        <f t="shared" si="617"/>
        <v>2092130</v>
      </c>
      <c r="BD126" s="16" t="str">
        <f t="shared" si="405"/>
        <v>Salary - Consultancy Service</v>
      </c>
      <c r="BE126" s="106">
        <f>+PMGR!BE126+BP!BE126</f>
        <v>204450</v>
      </c>
      <c r="BF126" s="106">
        <f>+PMGR!BF126+BP!BF126</f>
        <v>204450</v>
      </c>
      <c r="BG126" s="106">
        <f>+PMGR!BG126+BP!BG126</f>
        <v>204450</v>
      </c>
      <c r="BH126" s="106">
        <f>+PMGR!BH126+BP!BH126</f>
        <v>204450</v>
      </c>
      <c r="BI126" s="106">
        <f>+PMGR!BI126+BP!BI126</f>
        <v>154050</v>
      </c>
      <c r="BJ126" s="106">
        <f>+PMGR!BJ126+BP!BJ126</f>
        <v>178134.84</v>
      </c>
      <c r="BK126" s="106">
        <f>+PMGR!BK126+BP!BK126</f>
        <v>246534.83999999997</v>
      </c>
      <c r="BL126" s="106">
        <f>+PMGR!BL126+BP!BL126</f>
        <v>206034.84</v>
      </c>
      <c r="BM126" s="106">
        <f>+PMGR!BM126+BP!BM126</f>
        <v>247134</v>
      </c>
      <c r="BN126" s="106">
        <f>+PMGR!BN126+BP!BN126</f>
        <v>242446.5</v>
      </c>
      <c r="BO126" s="106">
        <f>+PMGR!BO126+BP!BO126</f>
        <v>0</v>
      </c>
      <c r="BP126" s="106">
        <f>+PMGR!BP126+BP!BP126</f>
        <v>0</v>
      </c>
      <c r="BQ126" s="106">
        <f t="shared" si="618"/>
        <v>2092135.0200000003</v>
      </c>
      <c r="BR126" s="118"/>
      <c r="BS126" s="106">
        <f>+PMGR!BS126+BP!BS126</f>
        <v>204450</v>
      </c>
      <c r="BT126" s="106">
        <f>+PMGR!BT126+BP!BT126</f>
        <v>204450</v>
      </c>
      <c r="BU126" s="106">
        <f>+PMGR!BU126+BP!BU126</f>
        <v>204450</v>
      </c>
      <c r="BV126" s="106">
        <f>+PMGR!BV126+BP!BV126</f>
        <v>204450</v>
      </c>
      <c r="BW126" s="106">
        <f>+PMGR!BW126+BP!BW126</f>
        <v>204450</v>
      </c>
      <c r="BX126" s="106">
        <f>+PMGR!BX126+BP!BX126</f>
        <v>204450</v>
      </c>
      <c r="BY126" s="106">
        <f>+PMGR!BY126+BP!BY126</f>
        <v>204450</v>
      </c>
      <c r="BZ126" s="106">
        <f>+PMGR!BZ126+BP!BZ126</f>
        <v>204450</v>
      </c>
      <c r="CA126" s="106">
        <f>+PMGR!CA126+BP!CA126</f>
        <v>204450</v>
      </c>
      <c r="CB126" s="106">
        <f>+PMGR!CB126+BP!CB126</f>
        <v>204450</v>
      </c>
      <c r="CC126" s="106">
        <f>+PMGR!CC126+BP!CC126</f>
        <v>204450</v>
      </c>
      <c r="CD126" s="106">
        <f>+PMGR!CD126+BP!CD126</f>
        <v>204450</v>
      </c>
      <c r="CE126" s="106">
        <f t="shared" si="619"/>
        <v>2453400</v>
      </c>
      <c r="CF126" s="106"/>
      <c r="CG126" s="106">
        <f>+PMGR!CG126+BP!CG126</f>
        <v>37605</v>
      </c>
      <c r="CH126" s="106">
        <f>+PMGR!CH126+BP!CH126</f>
        <v>37605</v>
      </c>
      <c r="CI126" s="106">
        <f>+PMGR!CI126+BP!CI126</f>
        <v>37200</v>
      </c>
      <c r="CJ126" s="106">
        <f>+PMGR!CJ126+BP!CJ126</f>
        <v>37275</v>
      </c>
      <c r="CK126" s="106">
        <f>+PMGR!CK126+BP!CK126</f>
        <v>85275</v>
      </c>
      <c r="CL126" s="106">
        <f>+PMGR!CL126+BP!CL126</f>
        <v>85275</v>
      </c>
      <c r="CM126" s="106">
        <f>+PMGR!CM126+BP!CM126</f>
        <v>85275</v>
      </c>
      <c r="CN126" s="106">
        <f>+PMGR!CN126+BP!CN126</f>
        <v>85275</v>
      </c>
      <c r="CO126" s="106">
        <f>+PMGR!CO126+BP!CO126</f>
        <v>85275</v>
      </c>
      <c r="CP126" s="106">
        <f>+PMGR!CP126+BP!CP126</f>
        <v>85275</v>
      </c>
      <c r="CQ126" s="106">
        <f>+PMGR!CQ126+BP!CQ126</f>
        <v>85275</v>
      </c>
      <c r="CR126" s="106">
        <f>+PMGR!CR126+BP!CR126</f>
        <v>37275</v>
      </c>
      <c r="CS126" s="106">
        <f t="shared" si="620"/>
        <v>783885</v>
      </c>
      <c r="CT126" s="16" t="str">
        <f t="shared" si="409"/>
        <v>Salary - Consultancy Service</v>
      </c>
      <c r="CU126" s="106">
        <f>+PMGR!CU126+BP!CU126</f>
        <v>39225</v>
      </c>
      <c r="CV126" s="106">
        <f>+PMGR!CV126+BP!CV126</f>
        <v>39225</v>
      </c>
      <c r="CW126" s="106">
        <f>+PMGR!CW126+BP!CW126</f>
        <v>39225</v>
      </c>
      <c r="CX126" s="106">
        <f>+PMGR!CX126+BP!CX126</f>
        <v>39225</v>
      </c>
      <c r="CY126" s="106">
        <f>+PMGR!CY126+BP!CY126</f>
        <v>64425</v>
      </c>
      <c r="CZ126" s="106">
        <f>+PMGR!CZ126+BP!CZ126</f>
        <v>101667.42</v>
      </c>
      <c r="DA126" s="106">
        <f>+PMGR!DA126+BP!DA126</f>
        <v>129567.41999999998</v>
      </c>
      <c r="DB126" s="106">
        <f>+PMGR!DB126+BP!DB126</f>
        <v>109317.41999999998</v>
      </c>
      <c r="DC126" s="106">
        <f>+PMGR!DC126+BP!DC126</f>
        <v>129867</v>
      </c>
      <c r="DD126" s="106">
        <f>+PMGR!DD126+BP!DD126</f>
        <v>133823.25</v>
      </c>
      <c r="DE126" s="106">
        <f>+PMGR!DE126+BP!DE126</f>
        <v>0</v>
      </c>
      <c r="DF126" s="106">
        <f>+PMGR!DF126+BP!DF126</f>
        <v>0</v>
      </c>
      <c r="DG126" s="106">
        <f t="shared" si="621"/>
        <v>825567.51</v>
      </c>
      <c r="DH126" s="118"/>
      <c r="DI126" s="106">
        <f>+PMGR!DI126+BP!DI126</f>
        <v>39225</v>
      </c>
      <c r="DJ126" s="106">
        <f>+PMGR!DJ126+BP!DJ126</f>
        <v>39225</v>
      </c>
      <c r="DK126" s="106">
        <f>+PMGR!DK126+BP!DK126</f>
        <v>39225</v>
      </c>
      <c r="DL126" s="106">
        <f>+PMGR!DL126+BP!DL126</f>
        <v>39225</v>
      </c>
      <c r="DM126" s="106">
        <f>+PMGR!DM126+BP!DM126</f>
        <v>39225</v>
      </c>
      <c r="DN126" s="106">
        <f>+PMGR!DN126+BP!DN126</f>
        <v>39225</v>
      </c>
      <c r="DO126" s="106">
        <f>+PMGR!DO126+BP!DO126</f>
        <v>39225</v>
      </c>
      <c r="DP126" s="106">
        <f>+PMGR!DP126+BP!DP126</f>
        <v>39225</v>
      </c>
      <c r="DQ126" s="106">
        <f>+PMGR!DQ126+BP!DQ126</f>
        <v>39225</v>
      </c>
      <c r="DR126" s="106">
        <f>+PMGR!DR126+BP!DR126</f>
        <v>39225</v>
      </c>
      <c r="DS126" s="106">
        <f>+PMGR!DS126+BP!DS126</f>
        <v>39225</v>
      </c>
      <c r="DT126" s="106">
        <f>+PMGR!DT126+BP!DT126</f>
        <v>39225</v>
      </c>
      <c r="DU126" s="106">
        <f t="shared" si="622"/>
        <v>470700</v>
      </c>
      <c r="DV126" s="106"/>
      <c r="DW126" s="106">
        <f>+PMGR!DW126+BP!DW126</f>
        <v>0</v>
      </c>
      <c r="DX126" s="106">
        <f>+PMGR!DX126+BP!DX126</f>
        <v>0</v>
      </c>
      <c r="DY126" s="106">
        <f>+PMGR!DY126+BP!DY126</f>
        <v>0</v>
      </c>
      <c r="DZ126" s="106">
        <f>+PMGR!DZ126+BP!DZ126</f>
        <v>0</v>
      </c>
      <c r="EA126" s="106">
        <f>+PMGR!EA126+BP!EA126</f>
        <v>0</v>
      </c>
      <c r="EB126" s="106">
        <f>+PMGR!EB126+BP!EB126</f>
        <v>0</v>
      </c>
      <c r="EC126" s="106">
        <f>+PMGR!EC126+BP!EC126</f>
        <v>0</v>
      </c>
      <c r="ED126" s="106">
        <f>+PMGR!ED126+BP!ED126</f>
        <v>0</v>
      </c>
      <c r="EE126" s="106">
        <f>+PMGR!EE126+BP!EE126</f>
        <v>0</v>
      </c>
      <c r="EF126" s="106">
        <f>+PMGR!EF126+BP!EF126</f>
        <v>0</v>
      </c>
      <c r="EG126" s="106">
        <f>+PMGR!EG126+BP!EG126</f>
        <v>0</v>
      </c>
      <c r="EH126" s="106">
        <f>+PMGR!EH126+BP!EH126</f>
        <v>0</v>
      </c>
      <c r="EI126" s="106">
        <f t="shared" si="623"/>
        <v>0</v>
      </c>
      <c r="EJ126" s="16" t="str">
        <f t="shared" si="457"/>
        <v>Salary - Consultancy Service</v>
      </c>
      <c r="EK126" s="106">
        <f>+PMGR!EK126+BP!EK126</f>
        <v>0</v>
      </c>
      <c r="EL126" s="106">
        <f>+PMGR!EL126+BP!EL126</f>
        <v>0</v>
      </c>
      <c r="EM126" s="106">
        <f>+PMGR!EM126+BP!EM126</f>
        <v>0</v>
      </c>
      <c r="EN126" s="106">
        <f>+PMGR!EN126+BP!EN126</f>
        <v>0</v>
      </c>
      <c r="EO126" s="106">
        <f>+PMGR!EO126+BP!EO126</f>
        <v>0</v>
      </c>
      <c r="EP126" s="106">
        <f>+PMGR!EP126+BP!EP126</f>
        <v>0</v>
      </c>
      <c r="EQ126" s="106">
        <f>+PMGR!EQ126+BP!EQ126</f>
        <v>25200</v>
      </c>
      <c r="ER126" s="106">
        <f>+PMGR!ER126+BP!ER126</f>
        <v>25200</v>
      </c>
      <c r="ES126" s="106">
        <f>+PMGR!ES126+BP!ES126</f>
        <v>25200</v>
      </c>
      <c r="ET126" s="106">
        <f>+PMGR!ET126+BP!ET126</f>
        <v>0</v>
      </c>
      <c r="EU126" s="106">
        <f>+PMGR!EU126+BP!EU126</f>
        <v>0</v>
      </c>
      <c r="EV126" s="106">
        <f>+PMGR!EV126+BP!EV126</f>
        <v>0</v>
      </c>
      <c r="EW126" s="106">
        <f t="shared" si="624"/>
        <v>75600</v>
      </c>
      <c r="EX126" s="118"/>
      <c r="EY126" s="106">
        <f>+PMGR!EY126+BP!EY126</f>
        <v>0</v>
      </c>
      <c r="EZ126" s="106">
        <f>+PMGR!EZ126+BP!EZ126</f>
        <v>0</v>
      </c>
      <c r="FA126" s="106">
        <f>+PMGR!FA126+BP!FA126</f>
        <v>0</v>
      </c>
      <c r="FB126" s="106">
        <f>+PMGR!FB126+BP!FB126</f>
        <v>0</v>
      </c>
      <c r="FC126" s="106">
        <f>+PMGR!FC126+BP!FC126</f>
        <v>0</v>
      </c>
      <c r="FD126" s="106">
        <f>+PMGR!FD126+BP!FD126</f>
        <v>0</v>
      </c>
      <c r="FE126" s="106">
        <f>+PMGR!FE126+BP!FE126</f>
        <v>0</v>
      </c>
      <c r="FF126" s="106">
        <f>+PMGR!FF126+BP!FF126</f>
        <v>0</v>
      </c>
      <c r="FG126" s="106">
        <f>+PMGR!FG126+BP!FG126</f>
        <v>0</v>
      </c>
      <c r="FH126" s="106">
        <f>+PMGR!FH126+BP!FH126</f>
        <v>0</v>
      </c>
      <c r="FI126" s="106">
        <f>+PMGR!FI126+BP!FI126</f>
        <v>0</v>
      </c>
      <c r="FJ126" s="106">
        <f>+PMGR!FJ126+BP!FJ126</f>
        <v>0</v>
      </c>
      <c r="FK126" s="106">
        <f t="shared" si="625"/>
        <v>0</v>
      </c>
    </row>
    <row r="127" spans="1:167" ht="14.45" hidden="1" customHeight="1" outlineLevel="1">
      <c r="A127" s="106">
        <f t="shared" si="611"/>
        <v>42878.44711538461</v>
      </c>
      <c r="B127" s="106">
        <f t="shared" si="611"/>
        <v>71270.466346153844</v>
      </c>
      <c r="C127" s="106">
        <f t="shared" si="611"/>
        <v>71270.466346153844</v>
      </c>
      <c r="D127" s="106">
        <f t="shared" si="611"/>
        <v>71270.466346153844</v>
      </c>
      <c r="E127" s="106">
        <f t="shared" si="611"/>
        <v>71270.466346153844</v>
      </c>
      <c r="F127" s="106">
        <f t="shared" si="611"/>
        <v>71270.466346153844</v>
      </c>
      <c r="G127" s="106">
        <f t="shared" si="611"/>
        <v>71270.466346153844</v>
      </c>
      <c r="H127" s="106">
        <f t="shared" si="611"/>
        <v>71270.466346153844</v>
      </c>
      <c r="I127" s="106">
        <f t="shared" si="611"/>
        <v>71270.466346153844</v>
      </c>
      <c r="J127" s="106">
        <f t="shared" si="611"/>
        <v>71270.466346153844</v>
      </c>
      <c r="K127" s="106">
        <f t="shared" si="611"/>
        <v>71270.466346153844</v>
      </c>
      <c r="L127" s="106">
        <f t="shared" si="611"/>
        <v>71270.466346153844</v>
      </c>
      <c r="M127" s="106">
        <f t="shared" si="612"/>
        <v>826853.57692307711</v>
      </c>
      <c r="N127" s="16" t="s">
        <v>105</v>
      </c>
      <c r="O127" s="106">
        <f t="shared" si="613"/>
        <v>58728.36538461539</v>
      </c>
      <c r="P127" s="106">
        <f t="shared" si="613"/>
        <v>58728.36538461539</v>
      </c>
      <c r="Q127" s="106">
        <f t="shared" si="613"/>
        <v>58728.36538461539</v>
      </c>
      <c r="R127" s="106">
        <f t="shared" si="613"/>
        <v>58728.36538461539</v>
      </c>
      <c r="S127" s="106">
        <f t="shared" si="613"/>
        <v>58728.36538461539</v>
      </c>
      <c r="T127" s="106">
        <f t="shared" si="613"/>
        <v>58728.36538461539</v>
      </c>
      <c r="U127" s="106">
        <f t="shared" si="613"/>
        <v>58728.36538461539</v>
      </c>
      <c r="V127" s="106">
        <f t="shared" si="613"/>
        <v>58728.36538461539</v>
      </c>
      <c r="W127" s="106">
        <f t="shared" si="613"/>
        <v>58728.36538461539</v>
      </c>
      <c r="X127" s="106">
        <f t="shared" si="613"/>
        <v>58728.36538461539</v>
      </c>
      <c r="Y127" s="106">
        <f t="shared" si="613"/>
        <v>0</v>
      </c>
      <c r="Z127" s="106">
        <f t="shared" si="613"/>
        <v>0</v>
      </c>
      <c r="AA127" s="106">
        <f t="shared" si="614"/>
        <v>587283.65384615387</v>
      </c>
      <c r="AB127" s="118"/>
      <c r="AC127" s="106">
        <f t="shared" si="615"/>
        <v>58728.36538461539</v>
      </c>
      <c r="AD127" s="106">
        <f t="shared" si="615"/>
        <v>58728.36538461539</v>
      </c>
      <c r="AE127" s="106">
        <f t="shared" si="615"/>
        <v>58728.36538461539</v>
      </c>
      <c r="AF127" s="106">
        <f t="shared" si="615"/>
        <v>58728.36538461539</v>
      </c>
      <c r="AG127" s="106">
        <f t="shared" si="615"/>
        <v>58728.36538461539</v>
      </c>
      <c r="AH127" s="106">
        <f t="shared" si="615"/>
        <v>58728.36538461539</v>
      </c>
      <c r="AI127" s="106">
        <f t="shared" si="615"/>
        <v>58728.36538461539</v>
      </c>
      <c r="AJ127" s="106">
        <f t="shared" si="615"/>
        <v>58728.36538461539</v>
      </c>
      <c r="AK127" s="106">
        <f t="shared" si="615"/>
        <v>58728.36538461539</v>
      </c>
      <c r="AL127" s="106">
        <f t="shared" si="615"/>
        <v>58728.36538461539</v>
      </c>
      <c r="AM127" s="106">
        <f t="shared" si="615"/>
        <v>58728.36538461539</v>
      </c>
      <c r="AN127" s="106">
        <f t="shared" si="615"/>
        <v>58728.36538461539</v>
      </c>
      <c r="AO127" s="106">
        <f t="shared" si="616"/>
        <v>704740.38461538462</v>
      </c>
      <c r="AP127" s="106"/>
      <c r="AQ127" s="106">
        <f>+PMGR!AQ127+BP!AQ127</f>
        <v>30841.913461538461</v>
      </c>
      <c r="AR127" s="106">
        <f>+PMGR!AR127+BP!AR127</f>
        <v>48867.49038461539</v>
      </c>
      <c r="AS127" s="106">
        <f>+PMGR!AS127+BP!AS127</f>
        <v>48867.49038461539</v>
      </c>
      <c r="AT127" s="106">
        <f>+PMGR!AT127+BP!AT127</f>
        <v>48867.49038461539</v>
      </c>
      <c r="AU127" s="106">
        <f>+PMGR!AU127+BP!AU127</f>
        <v>48867.49038461539</v>
      </c>
      <c r="AV127" s="106">
        <f>+PMGR!AV127+BP!AV127</f>
        <v>48867.49038461539</v>
      </c>
      <c r="AW127" s="106">
        <f>+PMGR!AW127+BP!AW127</f>
        <v>48867.49038461539</v>
      </c>
      <c r="AX127" s="106">
        <f>+PMGR!AX127+BP!AX127</f>
        <v>48867.49038461539</v>
      </c>
      <c r="AY127" s="106">
        <f>+PMGR!AY127+BP!AY127</f>
        <v>48867.49038461539</v>
      </c>
      <c r="AZ127" s="106">
        <f>+PMGR!AZ127+BP!AZ127</f>
        <v>48867.49038461539</v>
      </c>
      <c r="BA127" s="106">
        <f>+PMGR!BA127+BP!BA127</f>
        <v>48867.49038461539</v>
      </c>
      <c r="BB127" s="106">
        <f>+PMGR!BB127+BP!BB127</f>
        <v>48867.49038461539</v>
      </c>
      <c r="BC127" s="106">
        <f t="shared" si="617"/>
        <v>568384.30769230763</v>
      </c>
      <c r="BD127" s="16" t="str">
        <f t="shared" si="405"/>
        <v>Employee Gratuity</v>
      </c>
      <c r="BE127" s="106">
        <f>+PMGR!BE127+BP!BE127</f>
        <v>33548.076923076922</v>
      </c>
      <c r="BF127" s="106">
        <f>+PMGR!BF127+BP!BF127</f>
        <v>33548.076923076922</v>
      </c>
      <c r="BG127" s="106">
        <f>+PMGR!BG127+BP!BG127</f>
        <v>33548.076923076922</v>
      </c>
      <c r="BH127" s="106">
        <f>+PMGR!BH127+BP!BH127</f>
        <v>33548.076923076922</v>
      </c>
      <c r="BI127" s="106">
        <f>+PMGR!BI127+BP!BI127</f>
        <v>33548.076923076922</v>
      </c>
      <c r="BJ127" s="106">
        <f>+PMGR!BJ127+BP!BJ127</f>
        <v>33548.076923076922</v>
      </c>
      <c r="BK127" s="106">
        <f>+PMGR!BK127+BP!BK127</f>
        <v>33548.076923076922</v>
      </c>
      <c r="BL127" s="106">
        <f>+PMGR!BL127+BP!BL127</f>
        <v>33548.076923076922</v>
      </c>
      <c r="BM127" s="106">
        <f>+PMGR!BM127+BP!BM127</f>
        <v>33548.076923076922</v>
      </c>
      <c r="BN127" s="106">
        <f>+PMGR!BN127+BP!BN127</f>
        <v>33548.076923076922</v>
      </c>
      <c r="BO127" s="106">
        <f>+PMGR!BO127+BP!BO127</f>
        <v>0</v>
      </c>
      <c r="BP127" s="106">
        <f>+PMGR!BP127+BP!BP127</f>
        <v>0</v>
      </c>
      <c r="BQ127" s="106">
        <f t="shared" si="618"/>
        <v>335480.76923076931</v>
      </c>
      <c r="BR127" s="118"/>
      <c r="BS127" s="106">
        <f>+PMGR!BS127+BP!BS127</f>
        <v>33548.076923076922</v>
      </c>
      <c r="BT127" s="106">
        <f>+PMGR!BT127+BP!BT127</f>
        <v>33548.076923076922</v>
      </c>
      <c r="BU127" s="106">
        <f>+PMGR!BU127+BP!BU127</f>
        <v>33548.076923076922</v>
      </c>
      <c r="BV127" s="106">
        <f>+PMGR!BV127+BP!BV127</f>
        <v>33548.076923076922</v>
      </c>
      <c r="BW127" s="106">
        <f>+PMGR!BW127+BP!BW127</f>
        <v>33548.076923076922</v>
      </c>
      <c r="BX127" s="106">
        <f>+PMGR!BX127+BP!BX127</f>
        <v>33548.076923076922</v>
      </c>
      <c r="BY127" s="106">
        <f>+PMGR!BY127+BP!BY127</f>
        <v>33548.076923076922</v>
      </c>
      <c r="BZ127" s="106">
        <f>+PMGR!BZ127+BP!BZ127</f>
        <v>33548.076923076922</v>
      </c>
      <c r="CA127" s="106">
        <f>+PMGR!CA127+BP!CA127</f>
        <v>33548.076923076922</v>
      </c>
      <c r="CB127" s="106">
        <f>+PMGR!CB127+BP!CB127</f>
        <v>33548.076923076922</v>
      </c>
      <c r="CC127" s="106">
        <f>+PMGR!CC127+BP!CC127</f>
        <v>33548.076923076922</v>
      </c>
      <c r="CD127" s="106">
        <f>+PMGR!CD127+BP!CD127</f>
        <v>33548.076923076922</v>
      </c>
      <c r="CE127" s="106">
        <f t="shared" si="619"/>
        <v>402576.92307692318</v>
      </c>
      <c r="CF127" s="106"/>
      <c r="CG127" s="106">
        <f>+PMGR!CG127+BP!CG127</f>
        <v>12036.533653846152</v>
      </c>
      <c r="CH127" s="106">
        <f>+PMGR!CH127+BP!CH127</f>
        <v>22402.975961538461</v>
      </c>
      <c r="CI127" s="106">
        <f>+PMGR!CI127+BP!CI127</f>
        <v>22402.975961538461</v>
      </c>
      <c r="CJ127" s="106">
        <f>+PMGR!CJ127+BP!CJ127</f>
        <v>22402.975961538461</v>
      </c>
      <c r="CK127" s="106">
        <f>+PMGR!CK127+BP!CK127</f>
        <v>22402.975961538461</v>
      </c>
      <c r="CL127" s="106">
        <f>+PMGR!CL127+BP!CL127</f>
        <v>22402.975961538461</v>
      </c>
      <c r="CM127" s="106">
        <f>+PMGR!CM127+BP!CM127</f>
        <v>22402.975961538461</v>
      </c>
      <c r="CN127" s="106">
        <f>+PMGR!CN127+BP!CN127</f>
        <v>22402.975961538461</v>
      </c>
      <c r="CO127" s="106">
        <f>+PMGR!CO127+BP!CO127</f>
        <v>22402.975961538461</v>
      </c>
      <c r="CP127" s="106">
        <f>+PMGR!CP127+BP!CP127</f>
        <v>22402.975961538461</v>
      </c>
      <c r="CQ127" s="106">
        <f>+PMGR!CQ127+BP!CQ127</f>
        <v>22402.975961538461</v>
      </c>
      <c r="CR127" s="106">
        <f>+PMGR!CR127+BP!CR127</f>
        <v>22402.975961538461</v>
      </c>
      <c r="CS127" s="106">
        <f t="shared" si="620"/>
        <v>258469.26923076928</v>
      </c>
      <c r="CT127" s="16" t="str">
        <f t="shared" si="409"/>
        <v>Employee Gratuity</v>
      </c>
      <c r="CU127" s="106">
        <f>+PMGR!CU127+BP!CU127</f>
        <v>15552.884615384617</v>
      </c>
      <c r="CV127" s="106">
        <f>+PMGR!CV127+BP!CV127</f>
        <v>15552.884615384617</v>
      </c>
      <c r="CW127" s="106">
        <f>+PMGR!CW127+BP!CW127</f>
        <v>15552.884615384617</v>
      </c>
      <c r="CX127" s="106">
        <f>+PMGR!CX127+BP!CX127</f>
        <v>15552.884615384617</v>
      </c>
      <c r="CY127" s="106">
        <f>+PMGR!CY127+BP!CY127</f>
        <v>15552.884615384617</v>
      </c>
      <c r="CZ127" s="106">
        <f>+PMGR!CZ127+BP!CZ127</f>
        <v>15552.884615384617</v>
      </c>
      <c r="DA127" s="106">
        <f>+PMGR!DA127+BP!DA127</f>
        <v>15552.884615384617</v>
      </c>
      <c r="DB127" s="106">
        <f>+PMGR!DB127+BP!DB127</f>
        <v>15552.884615384617</v>
      </c>
      <c r="DC127" s="106">
        <f>+PMGR!DC127+BP!DC127</f>
        <v>15552.884615384617</v>
      </c>
      <c r="DD127" s="106">
        <f>+PMGR!DD127+BP!DD127</f>
        <v>15552.884615384617</v>
      </c>
      <c r="DE127" s="106">
        <f>+PMGR!DE127+BP!DE127</f>
        <v>0</v>
      </c>
      <c r="DF127" s="106">
        <f>+PMGR!DF127+BP!DF127</f>
        <v>0</v>
      </c>
      <c r="DG127" s="106">
        <f t="shared" si="621"/>
        <v>155528.84615384621</v>
      </c>
      <c r="DH127" s="118"/>
      <c r="DI127" s="106">
        <f>+PMGR!DI127+BP!DI127</f>
        <v>15552.884615384617</v>
      </c>
      <c r="DJ127" s="106">
        <f>+PMGR!DJ127+BP!DJ127</f>
        <v>15552.884615384617</v>
      </c>
      <c r="DK127" s="106">
        <f>+PMGR!DK127+BP!DK127</f>
        <v>15552.884615384617</v>
      </c>
      <c r="DL127" s="106">
        <f>+PMGR!DL127+BP!DL127</f>
        <v>15552.884615384617</v>
      </c>
      <c r="DM127" s="106">
        <f>+PMGR!DM127+BP!DM127</f>
        <v>15552.884615384617</v>
      </c>
      <c r="DN127" s="106">
        <f>+PMGR!DN127+BP!DN127</f>
        <v>15552.884615384617</v>
      </c>
      <c r="DO127" s="106">
        <f>+PMGR!DO127+BP!DO127</f>
        <v>15552.884615384617</v>
      </c>
      <c r="DP127" s="106">
        <f>+PMGR!DP127+BP!DP127</f>
        <v>15552.884615384617</v>
      </c>
      <c r="DQ127" s="106">
        <f>+PMGR!DQ127+BP!DQ127</f>
        <v>15552.884615384617</v>
      </c>
      <c r="DR127" s="106">
        <f>+PMGR!DR127+BP!DR127</f>
        <v>15552.884615384617</v>
      </c>
      <c r="DS127" s="106">
        <f>+PMGR!DS127+BP!DS127</f>
        <v>15552.884615384617</v>
      </c>
      <c r="DT127" s="106">
        <f>+PMGR!DT127+BP!DT127</f>
        <v>15552.884615384617</v>
      </c>
      <c r="DU127" s="106">
        <f t="shared" si="622"/>
        <v>186634.61538461546</v>
      </c>
      <c r="DV127" s="106"/>
      <c r="DW127" s="106">
        <f>+PMGR!DW127+BP!DW127</f>
        <v>0</v>
      </c>
      <c r="DX127" s="106">
        <f>+PMGR!DX127+BP!DX127</f>
        <v>0</v>
      </c>
      <c r="DY127" s="106">
        <f>+PMGR!DY127+BP!DY127</f>
        <v>0</v>
      </c>
      <c r="DZ127" s="106">
        <f>+PMGR!DZ127+BP!DZ127</f>
        <v>0</v>
      </c>
      <c r="EA127" s="106">
        <f>+PMGR!EA127+BP!EA127</f>
        <v>0</v>
      </c>
      <c r="EB127" s="106">
        <f>+PMGR!EB127+BP!EB127</f>
        <v>0</v>
      </c>
      <c r="EC127" s="106">
        <f>+PMGR!EC127+BP!EC127</f>
        <v>0</v>
      </c>
      <c r="ED127" s="106">
        <f>+PMGR!ED127+BP!ED127</f>
        <v>0</v>
      </c>
      <c r="EE127" s="106">
        <f>+PMGR!EE127+BP!EE127</f>
        <v>0</v>
      </c>
      <c r="EF127" s="106">
        <f>+PMGR!EF127+BP!EF127</f>
        <v>0</v>
      </c>
      <c r="EG127" s="106">
        <f>+PMGR!EG127+BP!EG127</f>
        <v>0</v>
      </c>
      <c r="EH127" s="106">
        <f>+PMGR!EH127+BP!EH127</f>
        <v>0</v>
      </c>
      <c r="EI127" s="106">
        <f t="shared" si="623"/>
        <v>0</v>
      </c>
      <c r="EJ127" s="16" t="str">
        <f t="shared" si="457"/>
        <v>Employee Gratuity</v>
      </c>
      <c r="EK127" s="106">
        <f>+PMGR!EK127+BP!EK127</f>
        <v>9627.4038461538476</v>
      </c>
      <c r="EL127" s="106">
        <f>+PMGR!EL127+BP!EL127</f>
        <v>9627.4038461538476</v>
      </c>
      <c r="EM127" s="106">
        <f>+PMGR!EM127+BP!EM127</f>
        <v>9627.4038461538476</v>
      </c>
      <c r="EN127" s="106">
        <f>+PMGR!EN127+BP!EN127</f>
        <v>9627.4038461538476</v>
      </c>
      <c r="EO127" s="106">
        <f>+PMGR!EO127+BP!EO127</f>
        <v>9627.4038461538476</v>
      </c>
      <c r="EP127" s="106">
        <f>+PMGR!EP127+BP!EP127</f>
        <v>9627.4038461538476</v>
      </c>
      <c r="EQ127" s="106">
        <f>+PMGR!EQ127+BP!EQ127</f>
        <v>9627.4038461538476</v>
      </c>
      <c r="ER127" s="106">
        <f>+PMGR!ER127+BP!ER127</f>
        <v>9627.4038461538476</v>
      </c>
      <c r="ES127" s="106">
        <f>+PMGR!ES127+BP!ES127</f>
        <v>9627.4038461538476</v>
      </c>
      <c r="ET127" s="106">
        <f>+PMGR!ET127+BP!ET127</f>
        <v>9627.4038461538476</v>
      </c>
      <c r="EU127" s="106">
        <f>+PMGR!EU127+BP!EU127</f>
        <v>0</v>
      </c>
      <c r="EV127" s="106">
        <f>+PMGR!EV127+BP!EV127</f>
        <v>0</v>
      </c>
      <c r="EW127" s="106">
        <f t="shared" si="624"/>
        <v>96274.038461538454</v>
      </c>
      <c r="EX127" s="118"/>
      <c r="EY127" s="106">
        <f>+PMGR!EY127+BP!EY127</f>
        <v>9627.4038461538476</v>
      </c>
      <c r="EZ127" s="106">
        <f>+PMGR!EZ127+BP!EZ127</f>
        <v>9627.4038461538476</v>
      </c>
      <c r="FA127" s="106">
        <f>+PMGR!FA127+BP!FA127</f>
        <v>9627.4038461538476</v>
      </c>
      <c r="FB127" s="106">
        <f>+PMGR!FB127+BP!FB127</f>
        <v>9627.4038461538476</v>
      </c>
      <c r="FC127" s="106">
        <f>+PMGR!FC127+BP!FC127</f>
        <v>9627.4038461538476</v>
      </c>
      <c r="FD127" s="106">
        <f>+PMGR!FD127+BP!FD127</f>
        <v>9627.4038461538476</v>
      </c>
      <c r="FE127" s="106">
        <f>+PMGR!FE127+BP!FE127</f>
        <v>9627.4038461538476</v>
      </c>
      <c r="FF127" s="106">
        <f>+PMGR!FF127+BP!FF127</f>
        <v>9627.4038461538476</v>
      </c>
      <c r="FG127" s="106">
        <f>+PMGR!FG127+BP!FG127</f>
        <v>9627.4038461538476</v>
      </c>
      <c r="FH127" s="106">
        <f>+PMGR!FH127+BP!FH127</f>
        <v>9627.4038461538476</v>
      </c>
      <c r="FI127" s="106">
        <f>+PMGR!FI127+BP!FI127</f>
        <v>9627.4038461538476</v>
      </c>
      <c r="FJ127" s="106">
        <f>+PMGR!FJ127+BP!FJ127</f>
        <v>9627.4038461538476</v>
      </c>
      <c r="FK127" s="106">
        <f t="shared" si="625"/>
        <v>115528.84615384614</v>
      </c>
    </row>
    <row r="128" spans="1:167" ht="14.45" hidden="1" customHeight="1" outlineLevel="1">
      <c r="A128" s="106">
        <f t="shared" si="611"/>
        <v>62808.591666666674</v>
      </c>
      <c r="B128" s="106">
        <f t="shared" si="611"/>
        <v>98230.175000000003</v>
      </c>
      <c r="C128" s="106">
        <f t="shared" si="611"/>
        <v>98230.175000000003</v>
      </c>
      <c r="D128" s="106">
        <f t="shared" si="611"/>
        <v>98230.175000000003</v>
      </c>
      <c r="E128" s="106">
        <f t="shared" si="611"/>
        <v>98230.175000000003</v>
      </c>
      <c r="F128" s="106">
        <f t="shared" si="611"/>
        <v>98230.175000000003</v>
      </c>
      <c r="G128" s="106">
        <f t="shared" si="611"/>
        <v>98230.175000000003</v>
      </c>
      <c r="H128" s="106">
        <f t="shared" si="611"/>
        <v>98230.175000000003</v>
      </c>
      <c r="I128" s="106">
        <f t="shared" si="611"/>
        <v>98230.175000000003</v>
      </c>
      <c r="J128" s="106">
        <f t="shared" si="611"/>
        <v>98230.175000000003</v>
      </c>
      <c r="K128" s="106">
        <f t="shared" si="611"/>
        <v>98230.175000000003</v>
      </c>
      <c r="L128" s="106">
        <f t="shared" si="611"/>
        <v>98230.175000000003</v>
      </c>
      <c r="M128" s="106">
        <f t="shared" si="612"/>
        <v>1143340.5166666668</v>
      </c>
      <c r="N128" s="16" t="s">
        <v>226</v>
      </c>
      <c r="O128" s="106">
        <f t="shared" si="613"/>
        <v>86175</v>
      </c>
      <c r="P128" s="106">
        <f t="shared" si="613"/>
        <v>86175</v>
      </c>
      <c r="Q128" s="106">
        <f t="shared" si="613"/>
        <v>86175</v>
      </c>
      <c r="R128" s="106">
        <f t="shared" si="613"/>
        <v>86175</v>
      </c>
      <c r="S128" s="106">
        <f t="shared" si="613"/>
        <v>86175</v>
      </c>
      <c r="T128" s="106">
        <f t="shared" si="613"/>
        <v>86175</v>
      </c>
      <c r="U128" s="106">
        <f t="shared" si="613"/>
        <v>86175</v>
      </c>
      <c r="V128" s="106">
        <f t="shared" si="613"/>
        <v>86175</v>
      </c>
      <c r="W128" s="106">
        <f t="shared" si="613"/>
        <v>86175</v>
      </c>
      <c r="X128" s="106">
        <f t="shared" si="613"/>
        <v>86175</v>
      </c>
      <c r="Y128" s="106">
        <f t="shared" si="613"/>
        <v>0</v>
      </c>
      <c r="Z128" s="106">
        <f t="shared" si="613"/>
        <v>0</v>
      </c>
      <c r="AA128" s="106">
        <f t="shared" si="614"/>
        <v>861750</v>
      </c>
      <c r="AB128" s="118"/>
      <c r="AC128" s="106">
        <f t="shared" si="615"/>
        <v>86175</v>
      </c>
      <c r="AD128" s="106">
        <f t="shared" si="615"/>
        <v>86175</v>
      </c>
      <c r="AE128" s="106">
        <f t="shared" si="615"/>
        <v>86175</v>
      </c>
      <c r="AF128" s="106">
        <f t="shared" si="615"/>
        <v>86175</v>
      </c>
      <c r="AG128" s="106">
        <f t="shared" si="615"/>
        <v>86175</v>
      </c>
      <c r="AH128" s="106">
        <f t="shared" si="615"/>
        <v>86175</v>
      </c>
      <c r="AI128" s="106">
        <f t="shared" si="615"/>
        <v>86175</v>
      </c>
      <c r="AJ128" s="106">
        <f t="shared" si="615"/>
        <v>86175</v>
      </c>
      <c r="AK128" s="106">
        <f t="shared" si="615"/>
        <v>86175</v>
      </c>
      <c r="AL128" s="106">
        <f t="shared" si="615"/>
        <v>86175</v>
      </c>
      <c r="AM128" s="106">
        <f t="shared" si="615"/>
        <v>86175</v>
      </c>
      <c r="AN128" s="106">
        <f t="shared" si="615"/>
        <v>86175</v>
      </c>
      <c r="AO128" s="106">
        <f t="shared" si="616"/>
        <v>1034100</v>
      </c>
      <c r="AP128" s="106"/>
      <c r="AQ128" s="106">
        <f>+PMGR!AQ128+BP!AQ128</f>
        <v>45328.325000000004</v>
      </c>
      <c r="AR128" s="106">
        <f>+PMGR!AR128+BP!AR128</f>
        <v>68364.741666666669</v>
      </c>
      <c r="AS128" s="106">
        <f>+PMGR!AS128+BP!AS128</f>
        <v>68364.741666666669</v>
      </c>
      <c r="AT128" s="106">
        <f>+PMGR!AT128+BP!AT128</f>
        <v>68364.741666666669</v>
      </c>
      <c r="AU128" s="106">
        <f>+PMGR!AU128+BP!AU128</f>
        <v>68364.741666666669</v>
      </c>
      <c r="AV128" s="106">
        <f>+PMGR!AV128+BP!AV128</f>
        <v>68364.741666666669</v>
      </c>
      <c r="AW128" s="106">
        <f>+PMGR!AW128+BP!AW128</f>
        <v>68364.741666666669</v>
      </c>
      <c r="AX128" s="106">
        <f>+PMGR!AX128+BP!AX128</f>
        <v>68364.741666666669</v>
      </c>
      <c r="AY128" s="106">
        <f>+PMGR!AY128+BP!AY128</f>
        <v>68364.741666666669</v>
      </c>
      <c r="AZ128" s="106">
        <f>+PMGR!AZ128+BP!AZ128</f>
        <v>68364.741666666669</v>
      </c>
      <c r="BA128" s="106">
        <f>+PMGR!BA128+BP!BA128</f>
        <v>68364.741666666669</v>
      </c>
      <c r="BB128" s="106">
        <f>+PMGR!BB128+BP!BB128</f>
        <v>68364.741666666669</v>
      </c>
      <c r="BC128" s="106">
        <f t="shared" si="617"/>
        <v>797340.48333333351</v>
      </c>
      <c r="BD128" s="16" t="str">
        <f t="shared" si="405"/>
        <v>Bonus</v>
      </c>
      <c r="BE128" s="106">
        <f>+PMGR!BE128+BP!BE128</f>
        <v>50508.333333333328</v>
      </c>
      <c r="BF128" s="106">
        <f>+PMGR!BF128+BP!BF128</f>
        <v>50508.333333333328</v>
      </c>
      <c r="BG128" s="106">
        <f>+PMGR!BG128+BP!BG128</f>
        <v>50508.333333333328</v>
      </c>
      <c r="BH128" s="106">
        <f>+PMGR!BH128+BP!BH128</f>
        <v>50508.333333333328</v>
      </c>
      <c r="BI128" s="106">
        <f>+PMGR!BI128+BP!BI128</f>
        <v>50508.333333333328</v>
      </c>
      <c r="BJ128" s="106">
        <f>+PMGR!BJ128+BP!BJ128</f>
        <v>50508.333333333328</v>
      </c>
      <c r="BK128" s="106">
        <f>+PMGR!BK128+BP!BK128</f>
        <v>50508.333333333328</v>
      </c>
      <c r="BL128" s="106">
        <f>+PMGR!BL128+BP!BL128</f>
        <v>50508.333333333328</v>
      </c>
      <c r="BM128" s="106">
        <f>+PMGR!BM128+BP!BM128</f>
        <v>50508.333333333328</v>
      </c>
      <c r="BN128" s="106">
        <f>+PMGR!BN128+BP!BN128</f>
        <v>50508.333333333328</v>
      </c>
      <c r="BO128" s="106">
        <f>+PMGR!BO128+BP!BO128</f>
        <v>0</v>
      </c>
      <c r="BP128" s="106">
        <f>+PMGR!BP128+BP!BP128</f>
        <v>0</v>
      </c>
      <c r="BQ128" s="106">
        <f t="shared" si="618"/>
        <v>505083.3333333332</v>
      </c>
      <c r="BR128" s="118"/>
      <c r="BS128" s="106">
        <f>+PMGR!BS128+BP!BS128</f>
        <v>50508.333333333328</v>
      </c>
      <c r="BT128" s="106">
        <f>+PMGR!BT128+BP!BT128</f>
        <v>50508.333333333328</v>
      </c>
      <c r="BU128" s="106">
        <f>+PMGR!BU128+BP!BU128</f>
        <v>50508.333333333328</v>
      </c>
      <c r="BV128" s="106">
        <f>+PMGR!BV128+BP!BV128</f>
        <v>50508.333333333328</v>
      </c>
      <c r="BW128" s="106">
        <f>+PMGR!BW128+BP!BW128</f>
        <v>50508.333333333328</v>
      </c>
      <c r="BX128" s="106">
        <f>+PMGR!BX128+BP!BX128</f>
        <v>50508.333333333328</v>
      </c>
      <c r="BY128" s="106">
        <f>+PMGR!BY128+BP!BY128</f>
        <v>50508.333333333328</v>
      </c>
      <c r="BZ128" s="106">
        <f>+PMGR!BZ128+BP!BZ128</f>
        <v>50508.333333333328</v>
      </c>
      <c r="CA128" s="106">
        <f>+PMGR!CA128+BP!CA128</f>
        <v>50508.333333333328</v>
      </c>
      <c r="CB128" s="106">
        <f>+PMGR!CB128+BP!CB128</f>
        <v>50508.333333333328</v>
      </c>
      <c r="CC128" s="106">
        <f>+PMGR!CC128+BP!CC128</f>
        <v>50508.333333333328</v>
      </c>
      <c r="CD128" s="106">
        <f>+PMGR!CD128+BP!CD128</f>
        <v>50508.333333333328</v>
      </c>
      <c r="CE128" s="106">
        <f t="shared" si="619"/>
        <v>606099.99999999988</v>
      </c>
      <c r="CF128" s="106"/>
      <c r="CG128" s="106">
        <f>+PMGR!CG128+BP!CG128</f>
        <v>17480.26666666667</v>
      </c>
      <c r="CH128" s="106">
        <f>+PMGR!CH128+BP!CH128</f>
        <v>29865.433333333334</v>
      </c>
      <c r="CI128" s="106">
        <f>+PMGR!CI128+BP!CI128</f>
        <v>29865.433333333334</v>
      </c>
      <c r="CJ128" s="106">
        <f>+PMGR!CJ128+BP!CJ128</f>
        <v>29865.433333333334</v>
      </c>
      <c r="CK128" s="106">
        <f>+PMGR!CK128+BP!CK128</f>
        <v>29865.433333333334</v>
      </c>
      <c r="CL128" s="106">
        <f>+PMGR!CL128+BP!CL128</f>
        <v>29865.433333333334</v>
      </c>
      <c r="CM128" s="106">
        <f>+PMGR!CM128+BP!CM128</f>
        <v>29865.433333333334</v>
      </c>
      <c r="CN128" s="106">
        <f>+PMGR!CN128+BP!CN128</f>
        <v>29865.433333333334</v>
      </c>
      <c r="CO128" s="106">
        <f>+PMGR!CO128+BP!CO128</f>
        <v>29865.433333333334</v>
      </c>
      <c r="CP128" s="106">
        <f>+PMGR!CP128+BP!CP128</f>
        <v>29865.433333333334</v>
      </c>
      <c r="CQ128" s="106">
        <f>+PMGR!CQ128+BP!CQ128</f>
        <v>29865.433333333334</v>
      </c>
      <c r="CR128" s="106">
        <f>+PMGR!CR128+BP!CR128</f>
        <v>29865.433333333334</v>
      </c>
      <c r="CS128" s="106">
        <f t="shared" si="620"/>
        <v>346000.03333333344</v>
      </c>
      <c r="CT128" s="16" t="str">
        <f t="shared" si="409"/>
        <v>Bonus</v>
      </c>
      <c r="CU128" s="106">
        <f>+PMGR!CU128+BP!CU128</f>
        <v>21499.999999999996</v>
      </c>
      <c r="CV128" s="106">
        <f>+PMGR!CV128+BP!CV128</f>
        <v>21499.999999999996</v>
      </c>
      <c r="CW128" s="106">
        <f>+PMGR!CW128+BP!CW128</f>
        <v>21499.999999999996</v>
      </c>
      <c r="CX128" s="106">
        <f>+PMGR!CX128+BP!CX128</f>
        <v>21499.999999999996</v>
      </c>
      <c r="CY128" s="106">
        <f>+PMGR!CY128+BP!CY128</f>
        <v>21499.999999999996</v>
      </c>
      <c r="CZ128" s="106">
        <f>+PMGR!CZ128+BP!CZ128</f>
        <v>21499.999999999996</v>
      </c>
      <c r="DA128" s="106">
        <f>+PMGR!DA128+BP!DA128</f>
        <v>21499.999999999996</v>
      </c>
      <c r="DB128" s="106">
        <f>+PMGR!DB128+BP!DB128</f>
        <v>21499.999999999996</v>
      </c>
      <c r="DC128" s="106">
        <f>+PMGR!DC128+BP!DC128</f>
        <v>21499.999999999996</v>
      </c>
      <c r="DD128" s="106">
        <f>+PMGR!DD128+BP!DD128</f>
        <v>21499.999999999996</v>
      </c>
      <c r="DE128" s="106">
        <f>+PMGR!DE128+BP!DE128</f>
        <v>0</v>
      </c>
      <c r="DF128" s="106">
        <f>+PMGR!DF128+BP!DF128</f>
        <v>0</v>
      </c>
      <c r="DG128" s="106">
        <f t="shared" si="621"/>
        <v>214999.99999999997</v>
      </c>
      <c r="DH128" s="118"/>
      <c r="DI128" s="106">
        <f>+PMGR!DI128+BP!DI128</f>
        <v>21499.999999999996</v>
      </c>
      <c r="DJ128" s="106">
        <f>+PMGR!DJ128+BP!DJ128</f>
        <v>21499.999999999996</v>
      </c>
      <c r="DK128" s="106">
        <f>+PMGR!DK128+BP!DK128</f>
        <v>21499.999999999996</v>
      </c>
      <c r="DL128" s="106">
        <f>+PMGR!DL128+BP!DL128</f>
        <v>21499.999999999996</v>
      </c>
      <c r="DM128" s="106">
        <f>+PMGR!DM128+BP!DM128</f>
        <v>21499.999999999996</v>
      </c>
      <c r="DN128" s="106">
        <f>+PMGR!DN128+BP!DN128</f>
        <v>21499.999999999996</v>
      </c>
      <c r="DO128" s="106">
        <f>+PMGR!DO128+BP!DO128</f>
        <v>21499.999999999996</v>
      </c>
      <c r="DP128" s="106">
        <f>+PMGR!DP128+BP!DP128</f>
        <v>21499.999999999996</v>
      </c>
      <c r="DQ128" s="106">
        <f>+PMGR!DQ128+BP!DQ128</f>
        <v>21499.999999999996</v>
      </c>
      <c r="DR128" s="106">
        <f>+PMGR!DR128+BP!DR128</f>
        <v>21499.999999999996</v>
      </c>
      <c r="DS128" s="106">
        <f>+PMGR!DS128+BP!DS128</f>
        <v>21499.999999999996</v>
      </c>
      <c r="DT128" s="106">
        <f>+PMGR!DT128+BP!DT128</f>
        <v>21499.999999999996</v>
      </c>
      <c r="DU128" s="106">
        <f t="shared" si="622"/>
        <v>257999.99999999997</v>
      </c>
      <c r="DV128" s="106"/>
      <c r="DW128" s="106">
        <f>+PMGR!DW128+BP!DW128</f>
        <v>0</v>
      </c>
      <c r="DX128" s="106">
        <f>+PMGR!DX128+BP!DX128</f>
        <v>0</v>
      </c>
      <c r="DY128" s="106">
        <f>+PMGR!DY128+BP!DY128</f>
        <v>0</v>
      </c>
      <c r="DZ128" s="106">
        <f>+PMGR!DZ128+BP!DZ128</f>
        <v>0</v>
      </c>
      <c r="EA128" s="106">
        <f>+PMGR!EA128+BP!EA128</f>
        <v>0</v>
      </c>
      <c r="EB128" s="106">
        <f>+PMGR!EB128+BP!EB128</f>
        <v>0</v>
      </c>
      <c r="EC128" s="106">
        <f>+PMGR!EC128+BP!EC128</f>
        <v>0</v>
      </c>
      <c r="ED128" s="106">
        <f>+PMGR!ED128+BP!ED128</f>
        <v>0</v>
      </c>
      <c r="EE128" s="106">
        <f>+PMGR!EE128+BP!EE128</f>
        <v>0</v>
      </c>
      <c r="EF128" s="106">
        <f>+PMGR!EF128+BP!EF128</f>
        <v>0</v>
      </c>
      <c r="EG128" s="106">
        <f>+PMGR!EG128+BP!EG128</f>
        <v>0</v>
      </c>
      <c r="EH128" s="106">
        <f>+PMGR!EH128+BP!EH128</f>
        <v>0</v>
      </c>
      <c r="EI128" s="106">
        <f t="shared" si="623"/>
        <v>0</v>
      </c>
      <c r="EJ128" s="16" t="str">
        <f t="shared" si="457"/>
        <v>Bonus</v>
      </c>
      <c r="EK128" s="106">
        <f>+PMGR!EK128+BP!EK128</f>
        <v>14166.666666666664</v>
      </c>
      <c r="EL128" s="106">
        <f>+PMGR!EL128+BP!EL128</f>
        <v>14166.666666666664</v>
      </c>
      <c r="EM128" s="106">
        <f>+PMGR!EM128+BP!EM128</f>
        <v>14166.666666666664</v>
      </c>
      <c r="EN128" s="106">
        <f>+PMGR!EN128+BP!EN128</f>
        <v>14166.666666666664</v>
      </c>
      <c r="EO128" s="106">
        <f>+PMGR!EO128+BP!EO128</f>
        <v>14166.666666666664</v>
      </c>
      <c r="EP128" s="106">
        <f>+PMGR!EP128+BP!EP128</f>
        <v>14166.666666666664</v>
      </c>
      <c r="EQ128" s="106">
        <f>+PMGR!EQ128+BP!EQ128</f>
        <v>14166.666666666664</v>
      </c>
      <c r="ER128" s="106">
        <f>+PMGR!ER128+BP!ER128</f>
        <v>14166.666666666664</v>
      </c>
      <c r="ES128" s="106">
        <f>+PMGR!ES128+BP!ES128</f>
        <v>14166.666666666664</v>
      </c>
      <c r="ET128" s="106">
        <f>+PMGR!ET128+BP!ET128</f>
        <v>14166.666666666664</v>
      </c>
      <c r="EU128" s="106">
        <f>+PMGR!EU128+BP!EU128</f>
        <v>0</v>
      </c>
      <c r="EV128" s="106">
        <f>+PMGR!EV128+BP!EV128</f>
        <v>0</v>
      </c>
      <c r="EW128" s="106">
        <f t="shared" si="624"/>
        <v>141666.6666666666</v>
      </c>
      <c r="EX128" s="118"/>
      <c r="EY128" s="106">
        <f>+PMGR!EY128+BP!EY128</f>
        <v>14166.666666666664</v>
      </c>
      <c r="EZ128" s="106">
        <f>+PMGR!EZ128+BP!EZ128</f>
        <v>14166.666666666664</v>
      </c>
      <c r="FA128" s="106">
        <f>+PMGR!FA128+BP!FA128</f>
        <v>14166.666666666664</v>
      </c>
      <c r="FB128" s="106">
        <f>+PMGR!FB128+BP!FB128</f>
        <v>14166.666666666664</v>
      </c>
      <c r="FC128" s="106">
        <f>+PMGR!FC128+BP!FC128</f>
        <v>14166.666666666664</v>
      </c>
      <c r="FD128" s="106">
        <f>+PMGR!FD128+BP!FD128</f>
        <v>14166.666666666664</v>
      </c>
      <c r="FE128" s="106">
        <f>+PMGR!FE128+BP!FE128</f>
        <v>14166.666666666664</v>
      </c>
      <c r="FF128" s="106">
        <f>+PMGR!FF128+BP!FF128</f>
        <v>14166.666666666664</v>
      </c>
      <c r="FG128" s="106">
        <f>+PMGR!FG128+BP!FG128</f>
        <v>14166.666666666664</v>
      </c>
      <c r="FH128" s="106">
        <f>+PMGR!FH128+BP!FH128</f>
        <v>14166.666666666664</v>
      </c>
      <c r="FI128" s="106">
        <f>+PMGR!FI128+BP!FI128</f>
        <v>14166.666666666664</v>
      </c>
      <c r="FJ128" s="106">
        <f>+PMGR!FJ128+BP!FJ128</f>
        <v>14166.666666666664</v>
      </c>
      <c r="FK128" s="106">
        <f t="shared" si="625"/>
        <v>169999.99999999991</v>
      </c>
    </row>
    <row r="129" spans="1:167" ht="14.45" customHeight="1" collapsed="1">
      <c r="A129" s="58">
        <f t="shared" ref="A129:M129" si="626">+SUM(A130:A132)</f>
        <v>161958.33333333334</v>
      </c>
      <c r="B129" s="58">
        <f t="shared" si="626"/>
        <v>161958.33333333334</v>
      </c>
      <c r="C129" s="58">
        <f t="shared" si="626"/>
        <v>161958.33333333334</v>
      </c>
      <c r="D129" s="58">
        <f t="shared" si="626"/>
        <v>161958.33333333334</v>
      </c>
      <c r="E129" s="58">
        <f t="shared" si="626"/>
        <v>183273.93333333335</v>
      </c>
      <c r="F129" s="58">
        <f t="shared" si="626"/>
        <v>161958.33333333334</v>
      </c>
      <c r="G129" s="58">
        <f t="shared" si="626"/>
        <v>161958.33333333334</v>
      </c>
      <c r="H129" s="58">
        <f t="shared" si="626"/>
        <v>161958.33333333334</v>
      </c>
      <c r="I129" s="58">
        <f t="shared" si="626"/>
        <v>161958.33333333334</v>
      </c>
      <c r="J129" s="58">
        <f t="shared" si="626"/>
        <v>161958.33333333334</v>
      </c>
      <c r="K129" s="58">
        <f t="shared" si="626"/>
        <v>161958.33333333334</v>
      </c>
      <c r="L129" s="58">
        <f t="shared" si="626"/>
        <v>161958.33333333334</v>
      </c>
      <c r="M129" s="58">
        <f t="shared" si="626"/>
        <v>1964815.5999999999</v>
      </c>
      <c r="N129" s="20" t="s">
        <v>106</v>
      </c>
      <c r="O129" s="58">
        <f t="shared" ref="O129:AA129" si="627">+SUM(O130:O132)</f>
        <v>399750</v>
      </c>
      <c r="P129" s="58">
        <f t="shared" si="627"/>
        <v>0</v>
      </c>
      <c r="Q129" s="58">
        <f t="shared" si="627"/>
        <v>0</v>
      </c>
      <c r="R129" s="58">
        <f t="shared" si="627"/>
        <v>0</v>
      </c>
      <c r="S129" s="58">
        <f t="shared" si="627"/>
        <v>0</v>
      </c>
      <c r="T129" s="58">
        <f t="shared" si="627"/>
        <v>0</v>
      </c>
      <c r="U129" s="58">
        <f t="shared" si="627"/>
        <v>0</v>
      </c>
      <c r="V129" s="58">
        <f t="shared" si="627"/>
        <v>0</v>
      </c>
      <c r="W129" s="58">
        <f t="shared" si="627"/>
        <v>148917.5</v>
      </c>
      <c r="X129" s="58">
        <f t="shared" si="627"/>
        <v>175127.7</v>
      </c>
      <c r="Y129" s="58">
        <f t="shared" si="627"/>
        <v>0</v>
      </c>
      <c r="Z129" s="58">
        <f t="shared" si="627"/>
        <v>0</v>
      </c>
      <c r="AA129" s="58">
        <f t="shared" si="627"/>
        <v>723795.2</v>
      </c>
      <c r="AB129" s="118"/>
      <c r="AC129" s="58">
        <f t="shared" ref="AC129:AO129" si="628">+SUM(AC130:AC132)</f>
        <v>112500</v>
      </c>
      <c r="AD129" s="58">
        <f t="shared" si="628"/>
        <v>112500</v>
      </c>
      <c r="AE129" s="58">
        <f t="shared" si="628"/>
        <v>112500</v>
      </c>
      <c r="AF129" s="58">
        <f t="shared" si="628"/>
        <v>112500</v>
      </c>
      <c r="AG129" s="58">
        <f t="shared" si="628"/>
        <v>112500</v>
      </c>
      <c r="AH129" s="58">
        <f t="shared" si="628"/>
        <v>112500</v>
      </c>
      <c r="AI129" s="58">
        <f t="shared" si="628"/>
        <v>112500</v>
      </c>
      <c r="AJ129" s="58">
        <f t="shared" si="628"/>
        <v>112500</v>
      </c>
      <c r="AK129" s="58">
        <f t="shared" si="628"/>
        <v>112500</v>
      </c>
      <c r="AL129" s="58">
        <f t="shared" si="628"/>
        <v>112500</v>
      </c>
      <c r="AM129" s="58">
        <f t="shared" si="628"/>
        <v>112500</v>
      </c>
      <c r="AN129" s="58">
        <f t="shared" si="628"/>
        <v>112500</v>
      </c>
      <c r="AO129" s="58">
        <f t="shared" si="628"/>
        <v>1350000</v>
      </c>
      <c r="AP129" s="106"/>
      <c r="AQ129" s="58">
        <f t="shared" ref="AQ129:BC129" si="629">+SUM(AQ130:AQ132)</f>
        <v>98175</v>
      </c>
      <c r="AR129" s="58">
        <f t="shared" si="629"/>
        <v>98175</v>
      </c>
      <c r="AS129" s="58">
        <f t="shared" si="629"/>
        <v>98175</v>
      </c>
      <c r="AT129" s="58">
        <f t="shared" si="629"/>
        <v>98175</v>
      </c>
      <c r="AU129" s="58">
        <f t="shared" si="629"/>
        <v>112385.4</v>
      </c>
      <c r="AV129" s="58">
        <f t="shared" si="629"/>
        <v>98175</v>
      </c>
      <c r="AW129" s="58">
        <f t="shared" si="629"/>
        <v>98175</v>
      </c>
      <c r="AX129" s="58">
        <f t="shared" si="629"/>
        <v>98175</v>
      </c>
      <c r="AY129" s="58">
        <f t="shared" si="629"/>
        <v>98175</v>
      </c>
      <c r="AZ129" s="58">
        <f t="shared" si="629"/>
        <v>98175</v>
      </c>
      <c r="BA129" s="58">
        <f t="shared" si="629"/>
        <v>98175</v>
      </c>
      <c r="BB129" s="58">
        <f t="shared" si="629"/>
        <v>98175</v>
      </c>
      <c r="BC129" s="58">
        <f t="shared" si="629"/>
        <v>1192310.3999999999</v>
      </c>
      <c r="BD129" s="20" t="str">
        <f t="shared" si="405"/>
        <v>Training Expenses</v>
      </c>
      <c r="BE129" s="58">
        <f t="shared" ref="BE129:BQ129" si="630">+SUM(BE130:BE132)</f>
        <v>399750</v>
      </c>
      <c r="BF129" s="58">
        <f t="shared" si="630"/>
        <v>0</v>
      </c>
      <c r="BG129" s="58">
        <f t="shared" si="630"/>
        <v>0</v>
      </c>
      <c r="BH129" s="58">
        <f t="shared" si="630"/>
        <v>0</v>
      </c>
      <c r="BI129" s="58">
        <f t="shared" si="630"/>
        <v>0</v>
      </c>
      <c r="BJ129" s="58">
        <f t="shared" si="630"/>
        <v>0</v>
      </c>
      <c r="BK129" s="58">
        <f t="shared" si="630"/>
        <v>0</v>
      </c>
      <c r="BL129" s="58">
        <f t="shared" si="630"/>
        <v>0</v>
      </c>
      <c r="BM129" s="58">
        <f t="shared" si="630"/>
        <v>111561</v>
      </c>
      <c r="BN129" s="58">
        <f t="shared" si="630"/>
        <v>53369.120000000003</v>
      </c>
      <c r="BO129" s="58">
        <f t="shared" si="630"/>
        <v>0</v>
      </c>
      <c r="BP129" s="58">
        <f t="shared" si="630"/>
        <v>0</v>
      </c>
      <c r="BQ129" s="58">
        <f t="shared" si="630"/>
        <v>564680.12</v>
      </c>
      <c r="BR129" s="118"/>
      <c r="BS129" s="58">
        <f t="shared" ref="BS129:CE129" si="631">+SUM(BS130:BS132)</f>
        <v>35000</v>
      </c>
      <c r="BT129" s="58">
        <f t="shared" si="631"/>
        <v>35000</v>
      </c>
      <c r="BU129" s="58">
        <f t="shared" si="631"/>
        <v>35000</v>
      </c>
      <c r="BV129" s="58">
        <f t="shared" si="631"/>
        <v>35000</v>
      </c>
      <c r="BW129" s="58">
        <f t="shared" si="631"/>
        <v>35000</v>
      </c>
      <c r="BX129" s="58">
        <f t="shared" si="631"/>
        <v>35000</v>
      </c>
      <c r="BY129" s="58">
        <f t="shared" si="631"/>
        <v>35000</v>
      </c>
      <c r="BZ129" s="58">
        <f t="shared" si="631"/>
        <v>35000</v>
      </c>
      <c r="CA129" s="58">
        <f t="shared" si="631"/>
        <v>35000</v>
      </c>
      <c r="CB129" s="58">
        <f t="shared" si="631"/>
        <v>35000</v>
      </c>
      <c r="CC129" s="58">
        <f t="shared" si="631"/>
        <v>35000</v>
      </c>
      <c r="CD129" s="58">
        <f t="shared" si="631"/>
        <v>35000</v>
      </c>
      <c r="CE129" s="58">
        <f t="shared" si="631"/>
        <v>420000</v>
      </c>
      <c r="CF129" s="106"/>
      <c r="CG129" s="58">
        <f t="shared" ref="CG129:CS129" si="632">+SUM(CG130:CG132)</f>
        <v>63783.333333333336</v>
      </c>
      <c r="CH129" s="58">
        <f t="shared" si="632"/>
        <v>63783.333333333336</v>
      </c>
      <c r="CI129" s="58">
        <f t="shared" si="632"/>
        <v>63783.333333333336</v>
      </c>
      <c r="CJ129" s="58">
        <f t="shared" si="632"/>
        <v>63783.333333333336</v>
      </c>
      <c r="CK129" s="58">
        <f t="shared" si="632"/>
        <v>70888.53333333334</v>
      </c>
      <c r="CL129" s="58">
        <f t="shared" si="632"/>
        <v>63783.333333333336</v>
      </c>
      <c r="CM129" s="58">
        <f t="shared" si="632"/>
        <v>63783.333333333336</v>
      </c>
      <c r="CN129" s="58">
        <f t="shared" si="632"/>
        <v>63783.333333333336</v>
      </c>
      <c r="CO129" s="58">
        <f t="shared" si="632"/>
        <v>63783.333333333336</v>
      </c>
      <c r="CP129" s="58">
        <f t="shared" si="632"/>
        <v>63783.333333333336</v>
      </c>
      <c r="CQ129" s="58">
        <f t="shared" si="632"/>
        <v>63783.333333333336</v>
      </c>
      <c r="CR129" s="58">
        <f t="shared" si="632"/>
        <v>63783.333333333336</v>
      </c>
      <c r="CS129" s="58">
        <f t="shared" si="632"/>
        <v>772505.20000000007</v>
      </c>
      <c r="CT129" s="20" t="str">
        <f t="shared" si="409"/>
        <v>Training Expenses</v>
      </c>
      <c r="CU129" s="58">
        <f t="shared" ref="CU129:DG129" si="633">+SUM(CU130:CU132)</f>
        <v>0</v>
      </c>
      <c r="CV129" s="58">
        <f t="shared" si="633"/>
        <v>0</v>
      </c>
      <c r="CW129" s="58">
        <f t="shared" si="633"/>
        <v>0</v>
      </c>
      <c r="CX129" s="58">
        <f t="shared" si="633"/>
        <v>0</v>
      </c>
      <c r="CY129" s="58">
        <f t="shared" si="633"/>
        <v>0</v>
      </c>
      <c r="CZ129" s="58">
        <f t="shared" si="633"/>
        <v>0</v>
      </c>
      <c r="DA129" s="58">
        <f t="shared" si="633"/>
        <v>0</v>
      </c>
      <c r="DB129" s="58">
        <f t="shared" si="633"/>
        <v>0</v>
      </c>
      <c r="DC129" s="58">
        <f t="shared" si="633"/>
        <v>37356.5</v>
      </c>
      <c r="DD129" s="58">
        <f t="shared" si="633"/>
        <v>117873.58</v>
      </c>
      <c r="DE129" s="58">
        <f t="shared" si="633"/>
        <v>0</v>
      </c>
      <c r="DF129" s="58">
        <f t="shared" si="633"/>
        <v>0</v>
      </c>
      <c r="DG129" s="58">
        <f t="shared" si="633"/>
        <v>155230.08000000002</v>
      </c>
      <c r="DH129" s="118"/>
      <c r="DI129" s="58">
        <f t="shared" ref="DI129:DU129" si="634">+SUM(DI130:DI132)</f>
        <v>45000</v>
      </c>
      <c r="DJ129" s="58">
        <f t="shared" si="634"/>
        <v>45000</v>
      </c>
      <c r="DK129" s="58">
        <f t="shared" si="634"/>
        <v>45000</v>
      </c>
      <c r="DL129" s="58">
        <f t="shared" si="634"/>
        <v>45000</v>
      </c>
      <c r="DM129" s="58">
        <f t="shared" si="634"/>
        <v>45000</v>
      </c>
      <c r="DN129" s="58">
        <f t="shared" si="634"/>
        <v>45000</v>
      </c>
      <c r="DO129" s="58">
        <f t="shared" si="634"/>
        <v>45000</v>
      </c>
      <c r="DP129" s="58">
        <f t="shared" si="634"/>
        <v>45000</v>
      </c>
      <c r="DQ129" s="58">
        <f t="shared" si="634"/>
        <v>45000</v>
      </c>
      <c r="DR129" s="58">
        <f t="shared" si="634"/>
        <v>45000</v>
      </c>
      <c r="DS129" s="58">
        <f t="shared" si="634"/>
        <v>45000</v>
      </c>
      <c r="DT129" s="58">
        <f t="shared" si="634"/>
        <v>45000</v>
      </c>
      <c r="DU129" s="58">
        <f t="shared" si="634"/>
        <v>540000</v>
      </c>
      <c r="DV129" s="106"/>
      <c r="DW129" s="58">
        <f t="shared" ref="DW129:EI129" si="635">+SUM(DW130:DW132)</f>
        <v>0</v>
      </c>
      <c r="DX129" s="58">
        <f t="shared" si="635"/>
        <v>0</v>
      </c>
      <c r="DY129" s="58">
        <f t="shared" si="635"/>
        <v>0</v>
      </c>
      <c r="DZ129" s="58">
        <f t="shared" si="635"/>
        <v>0</v>
      </c>
      <c r="EA129" s="58">
        <f t="shared" si="635"/>
        <v>0</v>
      </c>
      <c r="EB129" s="58">
        <f t="shared" si="635"/>
        <v>0</v>
      </c>
      <c r="EC129" s="58">
        <f t="shared" si="635"/>
        <v>0</v>
      </c>
      <c r="ED129" s="58">
        <f t="shared" si="635"/>
        <v>0</v>
      </c>
      <c r="EE129" s="58">
        <f t="shared" si="635"/>
        <v>0</v>
      </c>
      <c r="EF129" s="58">
        <f t="shared" si="635"/>
        <v>0</v>
      </c>
      <c r="EG129" s="58">
        <f t="shared" si="635"/>
        <v>0</v>
      </c>
      <c r="EH129" s="58">
        <f t="shared" si="635"/>
        <v>0</v>
      </c>
      <c r="EI129" s="58">
        <f t="shared" si="635"/>
        <v>0</v>
      </c>
      <c r="EJ129" s="20" t="str">
        <f t="shared" si="457"/>
        <v>Training Expenses</v>
      </c>
      <c r="EK129" s="58">
        <f t="shared" ref="EK129:EW129" si="636">+SUM(EK130:EK132)</f>
        <v>0</v>
      </c>
      <c r="EL129" s="58">
        <f t="shared" si="636"/>
        <v>0</v>
      </c>
      <c r="EM129" s="58">
        <f t="shared" si="636"/>
        <v>0</v>
      </c>
      <c r="EN129" s="58">
        <f t="shared" si="636"/>
        <v>0</v>
      </c>
      <c r="EO129" s="58">
        <f t="shared" si="636"/>
        <v>0</v>
      </c>
      <c r="EP129" s="58">
        <f t="shared" si="636"/>
        <v>0</v>
      </c>
      <c r="EQ129" s="58">
        <f t="shared" si="636"/>
        <v>0</v>
      </c>
      <c r="ER129" s="58">
        <f t="shared" si="636"/>
        <v>0</v>
      </c>
      <c r="ES129" s="58">
        <f t="shared" si="636"/>
        <v>0</v>
      </c>
      <c r="ET129" s="58">
        <f t="shared" si="636"/>
        <v>3885</v>
      </c>
      <c r="EU129" s="58">
        <f t="shared" si="636"/>
        <v>0</v>
      </c>
      <c r="EV129" s="58">
        <f t="shared" si="636"/>
        <v>0</v>
      </c>
      <c r="EW129" s="58">
        <f t="shared" si="636"/>
        <v>3885</v>
      </c>
      <c r="EX129" s="118"/>
      <c r="EY129" s="58">
        <f t="shared" ref="EY129:FK129" si="637">+SUM(EY130:EY132)</f>
        <v>32500</v>
      </c>
      <c r="EZ129" s="58">
        <f t="shared" si="637"/>
        <v>32500</v>
      </c>
      <c r="FA129" s="58">
        <f t="shared" si="637"/>
        <v>32500</v>
      </c>
      <c r="FB129" s="58">
        <f t="shared" si="637"/>
        <v>32500</v>
      </c>
      <c r="FC129" s="58">
        <f t="shared" si="637"/>
        <v>32500</v>
      </c>
      <c r="FD129" s="58">
        <f t="shared" si="637"/>
        <v>32500</v>
      </c>
      <c r="FE129" s="58">
        <f t="shared" si="637"/>
        <v>32500</v>
      </c>
      <c r="FF129" s="58">
        <f t="shared" si="637"/>
        <v>32500</v>
      </c>
      <c r="FG129" s="58">
        <f t="shared" si="637"/>
        <v>32500</v>
      </c>
      <c r="FH129" s="58">
        <f t="shared" si="637"/>
        <v>32500</v>
      </c>
      <c r="FI129" s="58">
        <f t="shared" si="637"/>
        <v>32500</v>
      </c>
      <c r="FJ129" s="58">
        <f t="shared" si="637"/>
        <v>32500</v>
      </c>
      <c r="FK129" s="58">
        <f t="shared" si="637"/>
        <v>390000</v>
      </c>
    </row>
    <row r="130" spans="1:167" ht="14.45" hidden="1" customHeight="1" outlineLevel="1">
      <c r="A130" s="106">
        <f t="shared" ref="A130:L154" si="638">+AQ130+CG130+DW130</f>
        <v>0</v>
      </c>
      <c r="B130" s="106">
        <f t="shared" si="638"/>
        <v>0</v>
      </c>
      <c r="C130" s="106">
        <f t="shared" si="638"/>
        <v>0</v>
      </c>
      <c r="D130" s="106">
        <f t="shared" si="638"/>
        <v>0</v>
      </c>
      <c r="E130" s="106">
        <f t="shared" si="638"/>
        <v>21315.599999999999</v>
      </c>
      <c r="F130" s="106">
        <f t="shared" si="638"/>
        <v>0</v>
      </c>
      <c r="G130" s="106">
        <f t="shared" si="638"/>
        <v>0</v>
      </c>
      <c r="H130" s="106">
        <f t="shared" si="638"/>
        <v>0</v>
      </c>
      <c r="I130" s="106">
        <f t="shared" si="638"/>
        <v>0</v>
      </c>
      <c r="J130" s="106">
        <f t="shared" si="638"/>
        <v>0</v>
      </c>
      <c r="K130" s="106">
        <f t="shared" si="638"/>
        <v>0</v>
      </c>
      <c r="L130" s="106">
        <f t="shared" si="638"/>
        <v>0</v>
      </c>
      <c r="M130" s="106">
        <f t="shared" ref="M130:M132" si="639">+SUM(A130:L130)</f>
        <v>21315.599999999999</v>
      </c>
      <c r="N130" s="16" t="s">
        <v>107</v>
      </c>
      <c r="O130" s="106">
        <f t="shared" ref="O130:Z132" si="640">+BE130+CU130+EK130</f>
        <v>0</v>
      </c>
      <c r="P130" s="106">
        <f t="shared" si="640"/>
        <v>0</v>
      </c>
      <c r="Q130" s="106">
        <f t="shared" si="640"/>
        <v>0</v>
      </c>
      <c r="R130" s="106">
        <f t="shared" si="640"/>
        <v>0</v>
      </c>
      <c r="S130" s="106">
        <f t="shared" si="640"/>
        <v>0</v>
      </c>
      <c r="T130" s="106">
        <f t="shared" si="640"/>
        <v>0</v>
      </c>
      <c r="U130" s="106">
        <f t="shared" si="640"/>
        <v>0</v>
      </c>
      <c r="V130" s="106">
        <f t="shared" si="640"/>
        <v>0</v>
      </c>
      <c r="W130" s="106">
        <f t="shared" si="640"/>
        <v>148917.5</v>
      </c>
      <c r="X130" s="106">
        <f t="shared" si="640"/>
        <v>175127.7</v>
      </c>
      <c r="Y130" s="106">
        <f t="shared" si="640"/>
        <v>0</v>
      </c>
      <c r="Z130" s="106">
        <f t="shared" si="640"/>
        <v>0</v>
      </c>
      <c r="AA130" s="106">
        <f t="shared" ref="AA130:AA132" si="641">+SUM(O130:Z130)</f>
        <v>324045.2</v>
      </c>
      <c r="AB130" s="118"/>
      <c r="AC130" s="106">
        <f t="shared" ref="AC130:AN132" si="642">+BS130+DI130+EY130</f>
        <v>0</v>
      </c>
      <c r="AD130" s="106">
        <f t="shared" si="642"/>
        <v>0</v>
      </c>
      <c r="AE130" s="106">
        <f t="shared" si="642"/>
        <v>0</v>
      </c>
      <c r="AF130" s="106">
        <f t="shared" si="642"/>
        <v>0</v>
      </c>
      <c r="AG130" s="106">
        <f t="shared" si="642"/>
        <v>0</v>
      </c>
      <c r="AH130" s="106">
        <f t="shared" si="642"/>
        <v>0</v>
      </c>
      <c r="AI130" s="106">
        <f t="shared" si="642"/>
        <v>0</v>
      </c>
      <c r="AJ130" s="106">
        <f t="shared" si="642"/>
        <v>0</v>
      </c>
      <c r="AK130" s="106">
        <f t="shared" si="642"/>
        <v>0</v>
      </c>
      <c r="AL130" s="106">
        <f t="shared" si="642"/>
        <v>0</v>
      </c>
      <c r="AM130" s="106">
        <f t="shared" si="642"/>
        <v>0</v>
      </c>
      <c r="AN130" s="106">
        <f t="shared" si="642"/>
        <v>0</v>
      </c>
      <c r="AO130" s="106">
        <f t="shared" ref="AO130:AO132" si="643">+SUM(AC130:AN130)</f>
        <v>0</v>
      </c>
      <c r="AP130" s="106"/>
      <c r="AQ130" s="106">
        <f>+PMGR!AQ130+BP!AQ130</f>
        <v>0</v>
      </c>
      <c r="AR130" s="106">
        <f>+PMGR!AR130+BP!AR130</f>
        <v>0</v>
      </c>
      <c r="AS130" s="106">
        <f>+PMGR!AS130+BP!AS130</f>
        <v>0</v>
      </c>
      <c r="AT130" s="106">
        <f>+PMGR!AT130+BP!AT130</f>
        <v>0</v>
      </c>
      <c r="AU130" s="106">
        <f>+PMGR!AU130+BP!AU130</f>
        <v>14210.4</v>
      </c>
      <c r="AV130" s="106">
        <f>+PMGR!AV130+BP!AV130</f>
        <v>0</v>
      </c>
      <c r="AW130" s="106">
        <f>+PMGR!AW130+BP!AW130</f>
        <v>0</v>
      </c>
      <c r="AX130" s="106">
        <f>+PMGR!AX130+BP!AX130</f>
        <v>0</v>
      </c>
      <c r="AY130" s="106">
        <f>+PMGR!AY130+BP!AY130</f>
        <v>0</v>
      </c>
      <c r="AZ130" s="106">
        <f>+PMGR!AZ130+BP!AZ130</f>
        <v>0</v>
      </c>
      <c r="BA130" s="106">
        <f>+PMGR!BA130+BP!BA130</f>
        <v>0</v>
      </c>
      <c r="BB130" s="106">
        <f>+PMGR!BB130+BP!BB130</f>
        <v>0</v>
      </c>
      <c r="BC130" s="106">
        <f t="shared" ref="BC130:BC132" si="644">+SUM(AQ130:BB130)</f>
        <v>14210.4</v>
      </c>
      <c r="BD130" s="16" t="str">
        <f t="shared" si="405"/>
        <v>Training Expenses - Others</v>
      </c>
      <c r="BE130" s="106">
        <f>+PMGR!BE130+BP!BE130</f>
        <v>0</v>
      </c>
      <c r="BF130" s="106">
        <f>+PMGR!BF130+BP!BF130</f>
        <v>0</v>
      </c>
      <c r="BG130" s="106">
        <f>+PMGR!BG130+BP!BG130</f>
        <v>0</v>
      </c>
      <c r="BH130" s="106">
        <f>+PMGR!BH130+BP!BH130</f>
        <v>0</v>
      </c>
      <c r="BI130" s="106">
        <f>+PMGR!BI130+BP!BI130</f>
        <v>0</v>
      </c>
      <c r="BJ130" s="106">
        <f>+PMGR!BJ130+BP!BJ130</f>
        <v>0</v>
      </c>
      <c r="BK130" s="106">
        <f>+PMGR!BK130+BP!BK130</f>
        <v>0</v>
      </c>
      <c r="BL130" s="106">
        <f>+PMGR!BL130+BP!BL130</f>
        <v>0</v>
      </c>
      <c r="BM130" s="106">
        <f>+PMGR!BM130+BP!BM130</f>
        <v>111561</v>
      </c>
      <c r="BN130" s="106">
        <f>+PMGR!BN130+BP!BN130</f>
        <v>53369.120000000003</v>
      </c>
      <c r="BO130" s="106">
        <f>+PMGR!BO130+BP!BO130</f>
        <v>0</v>
      </c>
      <c r="BP130" s="106">
        <f>+PMGR!BP130+BP!BP130</f>
        <v>0</v>
      </c>
      <c r="BQ130" s="106">
        <f t="shared" ref="BQ130:BQ132" si="645">+SUM(BE130:BP130)</f>
        <v>164930.12</v>
      </c>
      <c r="BR130" s="118"/>
      <c r="BS130" s="106">
        <f>+PMGR!BS130+BP!BS130</f>
        <v>0</v>
      </c>
      <c r="BT130" s="106">
        <f>+PMGR!BT130+BP!BT130</f>
        <v>0</v>
      </c>
      <c r="BU130" s="106">
        <f>+PMGR!BU130+BP!BU130</f>
        <v>0</v>
      </c>
      <c r="BV130" s="106">
        <f>+PMGR!BV130+BP!BV130</f>
        <v>0</v>
      </c>
      <c r="BW130" s="106">
        <f>+PMGR!BW130+BP!BW130</f>
        <v>0</v>
      </c>
      <c r="BX130" s="106">
        <f>+PMGR!BX130+BP!BX130</f>
        <v>0</v>
      </c>
      <c r="BY130" s="106">
        <f>+PMGR!BY130+BP!BY130</f>
        <v>0</v>
      </c>
      <c r="BZ130" s="106">
        <f>+PMGR!BZ130+BP!BZ130</f>
        <v>0</v>
      </c>
      <c r="CA130" s="106">
        <f>+PMGR!CA130+BP!CA130</f>
        <v>0</v>
      </c>
      <c r="CB130" s="106">
        <f>+PMGR!CB130+BP!CB130</f>
        <v>0</v>
      </c>
      <c r="CC130" s="106">
        <f>+PMGR!CC130+BP!CC130</f>
        <v>0</v>
      </c>
      <c r="CD130" s="106">
        <f>+PMGR!CD130+BP!CD130</f>
        <v>0</v>
      </c>
      <c r="CE130" s="106">
        <f t="shared" ref="CE130:CE132" si="646">+SUM(BS130:CD130)</f>
        <v>0</v>
      </c>
      <c r="CF130" s="106"/>
      <c r="CG130" s="106">
        <f>+PMGR!CG130+BP!CG130</f>
        <v>0</v>
      </c>
      <c r="CH130" s="106">
        <f>+PMGR!CH130+BP!CH130</f>
        <v>0</v>
      </c>
      <c r="CI130" s="106">
        <f>+PMGR!CI130+BP!CI130</f>
        <v>0</v>
      </c>
      <c r="CJ130" s="106">
        <f>+PMGR!CJ130+BP!CJ130</f>
        <v>0</v>
      </c>
      <c r="CK130" s="106">
        <f>+PMGR!CK130+BP!CK130</f>
        <v>7105.2</v>
      </c>
      <c r="CL130" s="106">
        <f>+PMGR!CL130+BP!CL130</f>
        <v>0</v>
      </c>
      <c r="CM130" s="106">
        <f>+PMGR!CM130+BP!CM130</f>
        <v>0</v>
      </c>
      <c r="CN130" s="106">
        <f>+PMGR!CN130+BP!CN130</f>
        <v>0</v>
      </c>
      <c r="CO130" s="106">
        <f>+PMGR!CO130+BP!CO130</f>
        <v>0</v>
      </c>
      <c r="CP130" s="106">
        <f>+PMGR!CP130+BP!CP130</f>
        <v>0</v>
      </c>
      <c r="CQ130" s="106">
        <f>+PMGR!CQ130+BP!CQ130</f>
        <v>0</v>
      </c>
      <c r="CR130" s="106">
        <f>+PMGR!CR130+BP!CR130</f>
        <v>0</v>
      </c>
      <c r="CS130" s="106">
        <f t="shared" ref="CS130:CS132" si="647">+SUM(CG130:CR130)</f>
        <v>7105.2</v>
      </c>
      <c r="CT130" s="16" t="str">
        <f t="shared" si="409"/>
        <v>Training Expenses - Others</v>
      </c>
      <c r="CU130" s="106">
        <f>+PMGR!CU130+BP!CU130</f>
        <v>0</v>
      </c>
      <c r="CV130" s="106">
        <f>+PMGR!CV130+BP!CV130</f>
        <v>0</v>
      </c>
      <c r="CW130" s="106">
        <f>+PMGR!CW130+BP!CW130</f>
        <v>0</v>
      </c>
      <c r="CX130" s="106">
        <f>+PMGR!CX130+BP!CX130</f>
        <v>0</v>
      </c>
      <c r="CY130" s="106">
        <f>+PMGR!CY130+BP!CY130</f>
        <v>0</v>
      </c>
      <c r="CZ130" s="106">
        <f>+PMGR!CZ130+BP!CZ130</f>
        <v>0</v>
      </c>
      <c r="DA130" s="106">
        <f>+PMGR!DA130+BP!DA130</f>
        <v>0</v>
      </c>
      <c r="DB130" s="106">
        <f>+PMGR!DB130+BP!DB130</f>
        <v>0</v>
      </c>
      <c r="DC130" s="106">
        <f>+PMGR!DC130+BP!DC130</f>
        <v>37356.5</v>
      </c>
      <c r="DD130" s="106">
        <f>+PMGR!DD130+BP!DD130</f>
        <v>117873.58</v>
      </c>
      <c r="DE130" s="106">
        <f>+PMGR!DE130+BP!DE130</f>
        <v>0</v>
      </c>
      <c r="DF130" s="106">
        <f>+PMGR!DF130+BP!DF130</f>
        <v>0</v>
      </c>
      <c r="DG130" s="106">
        <f t="shared" ref="DG130:DG132" si="648">+SUM(CU130:DF130)</f>
        <v>155230.08000000002</v>
      </c>
      <c r="DH130" s="118"/>
      <c r="DI130" s="106">
        <f>+PMGR!DI130+BP!DI130</f>
        <v>0</v>
      </c>
      <c r="DJ130" s="106">
        <f>+PMGR!DJ130+BP!DJ130</f>
        <v>0</v>
      </c>
      <c r="DK130" s="106">
        <f>+PMGR!DK130+BP!DK130</f>
        <v>0</v>
      </c>
      <c r="DL130" s="106">
        <f>+PMGR!DL130+BP!DL130</f>
        <v>0</v>
      </c>
      <c r="DM130" s="106">
        <f>+PMGR!DM130+BP!DM130</f>
        <v>0</v>
      </c>
      <c r="DN130" s="106">
        <f>+PMGR!DN130+BP!DN130</f>
        <v>0</v>
      </c>
      <c r="DO130" s="106">
        <f>+PMGR!DO130+BP!DO130</f>
        <v>0</v>
      </c>
      <c r="DP130" s="106">
        <f>+PMGR!DP130+BP!DP130</f>
        <v>0</v>
      </c>
      <c r="DQ130" s="106">
        <f>+PMGR!DQ130+BP!DQ130</f>
        <v>0</v>
      </c>
      <c r="DR130" s="106">
        <f>+PMGR!DR130+BP!DR130</f>
        <v>0</v>
      </c>
      <c r="DS130" s="106">
        <f>+PMGR!DS130+BP!DS130</f>
        <v>0</v>
      </c>
      <c r="DT130" s="106">
        <f>+PMGR!DT130+BP!DT130</f>
        <v>0</v>
      </c>
      <c r="DU130" s="106">
        <f t="shared" ref="DU130:DU132" si="649">+SUM(DI130:DT130)</f>
        <v>0</v>
      </c>
      <c r="DV130" s="106"/>
      <c r="DW130" s="106">
        <f>+PMGR!DW130+BP!DW130</f>
        <v>0</v>
      </c>
      <c r="DX130" s="106">
        <f>+PMGR!DX130+BP!DX130</f>
        <v>0</v>
      </c>
      <c r="DY130" s="106">
        <f>+PMGR!DY130+BP!DY130</f>
        <v>0</v>
      </c>
      <c r="DZ130" s="106">
        <f>+PMGR!DZ130+BP!DZ130</f>
        <v>0</v>
      </c>
      <c r="EA130" s="106">
        <f>+PMGR!EA130+BP!EA130</f>
        <v>0</v>
      </c>
      <c r="EB130" s="106">
        <f>+PMGR!EB130+BP!EB130</f>
        <v>0</v>
      </c>
      <c r="EC130" s="106">
        <f>+PMGR!EC130+BP!EC130</f>
        <v>0</v>
      </c>
      <c r="ED130" s="106">
        <f>+PMGR!ED130+BP!ED130</f>
        <v>0</v>
      </c>
      <c r="EE130" s="106">
        <f>+PMGR!EE130+BP!EE130</f>
        <v>0</v>
      </c>
      <c r="EF130" s="106">
        <f>+PMGR!EF130+BP!EF130</f>
        <v>0</v>
      </c>
      <c r="EG130" s="106">
        <f>+PMGR!EG130+BP!EG130</f>
        <v>0</v>
      </c>
      <c r="EH130" s="106">
        <f>+PMGR!EH130+BP!EH130</f>
        <v>0</v>
      </c>
      <c r="EI130" s="106">
        <f t="shared" ref="EI130:EI132" si="650">+SUM(DW130:EH130)</f>
        <v>0</v>
      </c>
      <c r="EJ130" s="16" t="str">
        <f t="shared" si="457"/>
        <v>Training Expenses - Others</v>
      </c>
      <c r="EK130" s="106">
        <f>+PMGR!EK130+BP!EK130</f>
        <v>0</v>
      </c>
      <c r="EL130" s="106">
        <f>+PMGR!EL130+BP!EL130</f>
        <v>0</v>
      </c>
      <c r="EM130" s="106">
        <f>+PMGR!EM130+BP!EM130</f>
        <v>0</v>
      </c>
      <c r="EN130" s="106">
        <f>+PMGR!EN130+BP!EN130</f>
        <v>0</v>
      </c>
      <c r="EO130" s="106">
        <f>+PMGR!EO130+BP!EO130</f>
        <v>0</v>
      </c>
      <c r="EP130" s="106">
        <f>+PMGR!EP130+BP!EP130</f>
        <v>0</v>
      </c>
      <c r="EQ130" s="106">
        <f>+PMGR!EQ130+BP!EQ130</f>
        <v>0</v>
      </c>
      <c r="ER130" s="106">
        <f>+PMGR!ER130+BP!ER130</f>
        <v>0</v>
      </c>
      <c r="ES130" s="106">
        <f>+PMGR!ES130+BP!ES130</f>
        <v>0</v>
      </c>
      <c r="ET130" s="106">
        <f>+PMGR!ET130+BP!ET130</f>
        <v>3885</v>
      </c>
      <c r="EU130" s="106">
        <f>+PMGR!EU130+BP!EU130</f>
        <v>0</v>
      </c>
      <c r="EV130" s="106">
        <f>+PMGR!EV130+BP!EV130</f>
        <v>0</v>
      </c>
      <c r="EW130" s="106">
        <f t="shared" ref="EW130:EW132" si="651">+SUM(EK130:EV130)</f>
        <v>3885</v>
      </c>
      <c r="EX130" s="118"/>
      <c r="EY130" s="106">
        <f>+PMGR!EY130+BP!EY130</f>
        <v>0</v>
      </c>
      <c r="EZ130" s="106">
        <f>+PMGR!EZ130+BP!EZ130</f>
        <v>0</v>
      </c>
      <c r="FA130" s="106">
        <f>+PMGR!FA130+BP!FA130</f>
        <v>0</v>
      </c>
      <c r="FB130" s="106">
        <f>+PMGR!FB130+BP!FB130</f>
        <v>0</v>
      </c>
      <c r="FC130" s="106">
        <f>+PMGR!FC130+BP!FC130</f>
        <v>0</v>
      </c>
      <c r="FD130" s="106">
        <f>+PMGR!FD130+BP!FD130</f>
        <v>0</v>
      </c>
      <c r="FE130" s="106">
        <f>+PMGR!FE130+BP!FE130</f>
        <v>0</v>
      </c>
      <c r="FF130" s="106">
        <f>+PMGR!FF130+BP!FF130</f>
        <v>0</v>
      </c>
      <c r="FG130" s="106">
        <f>+PMGR!FG130+BP!FG130</f>
        <v>0</v>
      </c>
      <c r="FH130" s="106">
        <f>+PMGR!FH130+BP!FH130</f>
        <v>0</v>
      </c>
      <c r="FI130" s="106">
        <f>+PMGR!FI130+BP!FI130</f>
        <v>0</v>
      </c>
      <c r="FJ130" s="106">
        <f>+PMGR!FJ130+BP!FJ130</f>
        <v>0</v>
      </c>
      <c r="FK130" s="106">
        <f t="shared" ref="FK130:FK132" si="652">+SUM(EY130:FJ130)</f>
        <v>0</v>
      </c>
    </row>
    <row r="131" spans="1:167" ht="14.45" hidden="1" customHeight="1" outlineLevel="1">
      <c r="A131" s="106">
        <f t="shared" si="638"/>
        <v>0</v>
      </c>
      <c r="B131" s="106">
        <f t="shared" si="638"/>
        <v>0</v>
      </c>
      <c r="C131" s="106">
        <f t="shared" si="638"/>
        <v>0</v>
      </c>
      <c r="D131" s="106">
        <f t="shared" si="638"/>
        <v>0</v>
      </c>
      <c r="E131" s="106">
        <f t="shared" si="638"/>
        <v>0</v>
      </c>
      <c r="F131" s="106">
        <f t="shared" si="638"/>
        <v>0</v>
      </c>
      <c r="G131" s="106">
        <f t="shared" si="638"/>
        <v>0</v>
      </c>
      <c r="H131" s="106">
        <f t="shared" si="638"/>
        <v>0</v>
      </c>
      <c r="I131" s="106">
        <f t="shared" si="638"/>
        <v>0</v>
      </c>
      <c r="J131" s="106">
        <f t="shared" si="638"/>
        <v>0</v>
      </c>
      <c r="K131" s="106">
        <f t="shared" si="638"/>
        <v>0</v>
      </c>
      <c r="L131" s="106">
        <f t="shared" si="638"/>
        <v>0</v>
      </c>
      <c r="M131" s="106">
        <f t="shared" si="639"/>
        <v>0</v>
      </c>
      <c r="N131" s="16" t="s">
        <v>108</v>
      </c>
      <c r="O131" s="106">
        <f t="shared" si="640"/>
        <v>0</v>
      </c>
      <c r="P131" s="106">
        <f t="shared" si="640"/>
        <v>0</v>
      </c>
      <c r="Q131" s="106">
        <f t="shared" si="640"/>
        <v>0</v>
      </c>
      <c r="R131" s="106">
        <f t="shared" si="640"/>
        <v>0</v>
      </c>
      <c r="S131" s="106">
        <f t="shared" si="640"/>
        <v>0</v>
      </c>
      <c r="T131" s="106">
        <f t="shared" si="640"/>
        <v>0</v>
      </c>
      <c r="U131" s="106">
        <f t="shared" si="640"/>
        <v>0</v>
      </c>
      <c r="V131" s="106">
        <f t="shared" si="640"/>
        <v>0</v>
      </c>
      <c r="W131" s="106">
        <f t="shared" si="640"/>
        <v>0</v>
      </c>
      <c r="X131" s="106">
        <f t="shared" si="640"/>
        <v>0</v>
      </c>
      <c r="Y131" s="106">
        <f t="shared" si="640"/>
        <v>0</v>
      </c>
      <c r="Z131" s="106">
        <f t="shared" si="640"/>
        <v>0</v>
      </c>
      <c r="AA131" s="106">
        <f t="shared" si="641"/>
        <v>0</v>
      </c>
      <c r="AB131" s="118"/>
      <c r="AC131" s="106">
        <f t="shared" si="642"/>
        <v>0</v>
      </c>
      <c r="AD131" s="106">
        <f t="shared" si="642"/>
        <v>0</v>
      </c>
      <c r="AE131" s="106">
        <f t="shared" si="642"/>
        <v>0</v>
      </c>
      <c r="AF131" s="106">
        <f t="shared" si="642"/>
        <v>0</v>
      </c>
      <c r="AG131" s="106">
        <f t="shared" si="642"/>
        <v>0</v>
      </c>
      <c r="AH131" s="106">
        <f t="shared" si="642"/>
        <v>0</v>
      </c>
      <c r="AI131" s="106">
        <f t="shared" si="642"/>
        <v>0</v>
      </c>
      <c r="AJ131" s="106">
        <f t="shared" si="642"/>
        <v>0</v>
      </c>
      <c r="AK131" s="106">
        <f t="shared" si="642"/>
        <v>0</v>
      </c>
      <c r="AL131" s="106">
        <f t="shared" si="642"/>
        <v>0</v>
      </c>
      <c r="AM131" s="106">
        <f t="shared" si="642"/>
        <v>0</v>
      </c>
      <c r="AN131" s="106">
        <f t="shared" si="642"/>
        <v>0</v>
      </c>
      <c r="AO131" s="106">
        <f t="shared" si="643"/>
        <v>0</v>
      </c>
      <c r="AP131" s="106"/>
      <c r="AQ131" s="106">
        <f>+PMGR!AQ131+BP!AQ131</f>
        <v>0</v>
      </c>
      <c r="AR131" s="106">
        <f>+PMGR!AR131+BP!AR131</f>
        <v>0</v>
      </c>
      <c r="AS131" s="106">
        <f>+PMGR!AS131+BP!AS131</f>
        <v>0</v>
      </c>
      <c r="AT131" s="106">
        <f>+PMGR!AT131+BP!AT131</f>
        <v>0</v>
      </c>
      <c r="AU131" s="106">
        <f>+PMGR!AU131+BP!AU131</f>
        <v>0</v>
      </c>
      <c r="AV131" s="106">
        <f>+PMGR!AV131+BP!AV131</f>
        <v>0</v>
      </c>
      <c r="AW131" s="106">
        <f>+PMGR!AW131+BP!AW131</f>
        <v>0</v>
      </c>
      <c r="AX131" s="106">
        <f>+PMGR!AX131+BP!AX131</f>
        <v>0</v>
      </c>
      <c r="AY131" s="106">
        <f>+PMGR!AY131+BP!AY131</f>
        <v>0</v>
      </c>
      <c r="AZ131" s="106">
        <f>+PMGR!AZ131+BP!AZ131</f>
        <v>0</v>
      </c>
      <c r="BA131" s="106">
        <f>+PMGR!BA131+BP!BA131</f>
        <v>0</v>
      </c>
      <c r="BB131" s="106">
        <f>+PMGR!BB131+BP!BB131</f>
        <v>0</v>
      </c>
      <c r="BC131" s="106">
        <f t="shared" si="644"/>
        <v>0</v>
      </c>
      <c r="BD131" s="16" t="str">
        <f t="shared" si="405"/>
        <v>Training Expenses - Senior Management MBIL</v>
      </c>
      <c r="BE131" s="106">
        <f>+PMGR!BE131+BP!BE131</f>
        <v>0</v>
      </c>
      <c r="BF131" s="106">
        <f>+PMGR!BF131+BP!BF131</f>
        <v>0</v>
      </c>
      <c r="BG131" s="106">
        <f>+PMGR!BG131+BP!BG131</f>
        <v>0</v>
      </c>
      <c r="BH131" s="106">
        <f>+PMGR!BH131+BP!BH131</f>
        <v>0</v>
      </c>
      <c r="BI131" s="106">
        <f>+PMGR!BI131+BP!BI131</f>
        <v>0</v>
      </c>
      <c r="BJ131" s="106">
        <f>+PMGR!BJ131+BP!BJ131</f>
        <v>0</v>
      </c>
      <c r="BK131" s="106">
        <f>+PMGR!BK131+BP!BK131</f>
        <v>0</v>
      </c>
      <c r="BL131" s="106">
        <f>+PMGR!BL131+BP!BL131</f>
        <v>0</v>
      </c>
      <c r="BM131" s="106">
        <f>+PMGR!BM131+BP!BM131</f>
        <v>0</v>
      </c>
      <c r="BN131" s="106">
        <f>+PMGR!BN131+BP!BN131</f>
        <v>0</v>
      </c>
      <c r="BO131" s="106">
        <f>+PMGR!BO131+BP!BO131</f>
        <v>0</v>
      </c>
      <c r="BP131" s="106">
        <f>+PMGR!BP131+BP!BP131</f>
        <v>0</v>
      </c>
      <c r="BQ131" s="106">
        <f t="shared" si="645"/>
        <v>0</v>
      </c>
      <c r="BR131" s="118"/>
      <c r="BS131" s="106">
        <f>+PMGR!BS131+BP!BS131</f>
        <v>0</v>
      </c>
      <c r="BT131" s="106">
        <f>+PMGR!BT131+BP!BT131</f>
        <v>0</v>
      </c>
      <c r="BU131" s="106">
        <f>+PMGR!BU131+BP!BU131</f>
        <v>0</v>
      </c>
      <c r="BV131" s="106">
        <f>+PMGR!BV131+BP!BV131</f>
        <v>0</v>
      </c>
      <c r="BW131" s="106">
        <f>+PMGR!BW131+BP!BW131</f>
        <v>0</v>
      </c>
      <c r="BX131" s="106">
        <f>+PMGR!BX131+BP!BX131</f>
        <v>0</v>
      </c>
      <c r="BY131" s="106">
        <f>+PMGR!BY131+BP!BY131</f>
        <v>0</v>
      </c>
      <c r="BZ131" s="106">
        <f>+PMGR!BZ131+BP!BZ131</f>
        <v>0</v>
      </c>
      <c r="CA131" s="106">
        <f>+PMGR!CA131+BP!CA131</f>
        <v>0</v>
      </c>
      <c r="CB131" s="106">
        <f>+PMGR!CB131+BP!CB131</f>
        <v>0</v>
      </c>
      <c r="CC131" s="106">
        <f>+PMGR!CC131+BP!CC131</f>
        <v>0</v>
      </c>
      <c r="CD131" s="106">
        <f>+PMGR!CD131+BP!CD131</f>
        <v>0</v>
      </c>
      <c r="CE131" s="106">
        <f t="shared" si="646"/>
        <v>0</v>
      </c>
      <c r="CF131" s="106"/>
      <c r="CG131" s="106">
        <f>+PMGR!CG131+BP!CG131</f>
        <v>0</v>
      </c>
      <c r="CH131" s="106">
        <f>+PMGR!CH131+BP!CH131</f>
        <v>0</v>
      </c>
      <c r="CI131" s="106">
        <f>+PMGR!CI131+BP!CI131</f>
        <v>0</v>
      </c>
      <c r="CJ131" s="106">
        <f>+PMGR!CJ131+BP!CJ131</f>
        <v>0</v>
      </c>
      <c r="CK131" s="106">
        <f>+PMGR!CK131+BP!CK131</f>
        <v>0</v>
      </c>
      <c r="CL131" s="106">
        <f>+PMGR!CL131+BP!CL131</f>
        <v>0</v>
      </c>
      <c r="CM131" s="106">
        <f>+PMGR!CM131+BP!CM131</f>
        <v>0</v>
      </c>
      <c r="CN131" s="106">
        <f>+PMGR!CN131+BP!CN131</f>
        <v>0</v>
      </c>
      <c r="CO131" s="106">
        <f>+PMGR!CO131+BP!CO131</f>
        <v>0</v>
      </c>
      <c r="CP131" s="106">
        <f>+PMGR!CP131+BP!CP131</f>
        <v>0</v>
      </c>
      <c r="CQ131" s="106">
        <f>+PMGR!CQ131+BP!CQ131</f>
        <v>0</v>
      </c>
      <c r="CR131" s="106">
        <f>+PMGR!CR131+BP!CR131</f>
        <v>0</v>
      </c>
      <c r="CS131" s="106">
        <f t="shared" si="647"/>
        <v>0</v>
      </c>
      <c r="CT131" s="16" t="str">
        <f t="shared" si="409"/>
        <v>Training Expenses - Senior Management MBIL</v>
      </c>
      <c r="CU131" s="106">
        <f>+PMGR!CU131+BP!CU131</f>
        <v>0</v>
      </c>
      <c r="CV131" s="106">
        <f>+PMGR!CV131+BP!CV131</f>
        <v>0</v>
      </c>
      <c r="CW131" s="106">
        <f>+PMGR!CW131+BP!CW131</f>
        <v>0</v>
      </c>
      <c r="CX131" s="106">
        <f>+PMGR!CX131+BP!CX131</f>
        <v>0</v>
      </c>
      <c r="CY131" s="106">
        <f>+PMGR!CY131+BP!CY131</f>
        <v>0</v>
      </c>
      <c r="CZ131" s="106">
        <f>+PMGR!CZ131+BP!CZ131</f>
        <v>0</v>
      </c>
      <c r="DA131" s="106">
        <f>+PMGR!DA131+BP!DA131</f>
        <v>0</v>
      </c>
      <c r="DB131" s="106">
        <f>+PMGR!DB131+BP!DB131</f>
        <v>0</v>
      </c>
      <c r="DC131" s="106">
        <f>+PMGR!DC131+BP!DC131</f>
        <v>0</v>
      </c>
      <c r="DD131" s="106">
        <f>+PMGR!DD131+BP!DD131</f>
        <v>0</v>
      </c>
      <c r="DE131" s="106">
        <f>+PMGR!DE131+BP!DE131</f>
        <v>0</v>
      </c>
      <c r="DF131" s="106">
        <f>+PMGR!DF131+BP!DF131</f>
        <v>0</v>
      </c>
      <c r="DG131" s="106">
        <f t="shared" si="648"/>
        <v>0</v>
      </c>
      <c r="DH131" s="118"/>
      <c r="DI131" s="106">
        <f>+PMGR!DI131+BP!DI131</f>
        <v>0</v>
      </c>
      <c r="DJ131" s="106">
        <f>+PMGR!DJ131+BP!DJ131</f>
        <v>0</v>
      </c>
      <c r="DK131" s="106">
        <f>+PMGR!DK131+BP!DK131</f>
        <v>0</v>
      </c>
      <c r="DL131" s="106">
        <f>+PMGR!DL131+BP!DL131</f>
        <v>0</v>
      </c>
      <c r="DM131" s="106">
        <f>+PMGR!DM131+BP!DM131</f>
        <v>0</v>
      </c>
      <c r="DN131" s="106">
        <f>+PMGR!DN131+BP!DN131</f>
        <v>0</v>
      </c>
      <c r="DO131" s="106">
        <f>+PMGR!DO131+BP!DO131</f>
        <v>0</v>
      </c>
      <c r="DP131" s="106">
        <f>+PMGR!DP131+BP!DP131</f>
        <v>0</v>
      </c>
      <c r="DQ131" s="106">
        <f>+PMGR!DQ131+BP!DQ131</f>
        <v>0</v>
      </c>
      <c r="DR131" s="106">
        <f>+PMGR!DR131+BP!DR131</f>
        <v>0</v>
      </c>
      <c r="DS131" s="106">
        <f>+PMGR!DS131+BP!DS131</f>
        <v>0</v>
      </c>
      <c r="DT131" s="106">
        <f>+PMGR!DT131+BP!DT131</f>
        <v>0</v>
      </c>
      <c r="DU131" s="106">
        <f t="shared" si="649"/>
        <v>0</v>
      </c>
      <c r="DV131" s="106"/>
      <c r="DW131" s="106">
        <f>+PMGR!DW131+BP!DW131</f>
        <v>0</v>
      </c>
      <c r="DX131" s="106">
        <f>+PMGR!DX131+BP!DX131</f>
        <v>0</v>
      </c>
      <c r="DY131" s="106">
        <f>+PMGR!DY131+BP!DY131</f>
        <v>0</v>
      </c>
      <c r="DZ131" s="106">
        <f>+PMGR!DZ131+BP!DZ131</f>
        <v>0</v>
      </c>
      <c r="EA131" s="106">
        <f>+PMGR!EA131+BP!EA131</f>
        <v>0</v>
      </c>
      <c r="EB131" s="106">
        <f>+PMGR!EB131+BP!EB131</f>
        <v>0</v>
      </c>
      <c r="EC131" s="106">
        <f>+PMGR!EC131+BP!EC131</f>
        <v>0</v>
      </c>
      <c r="ED131" s="106">
        <f>+PMGR!ED131+BP!ED131</f>
        <v>0</v>
      </c>
      <c r="EE131" s="106">
        <f>+PMGR!EE131+BP!EE131</f>
        <v>0</v>
      </c>
      <c r="EF131" s="106">
        <f>+PMGR!EF131+BP!EF131</f>
        <v>0</v>
      </c>
      <c r="EG131" s="106">
        <f>+PMGR!EG131+BP!EG131</f>
        <v>0</v>
      </c>
      <c r="EH131" s="106">
        <f>+PMGR!EH131+BP!EH131</f>
        <v>0</v>
      </c>
      <c r="EI131" s="106">
        <f t="shared" si="650"/>
        <v>0</v>
      </c>
      <c r="EJ131" s="16" t="str">
        <f t="shared" si="457"/>
        <v>Training Expenses - Senior Management MBIL</v>
      </c>
      <c r="EK131" s="106">
        <f>+PMGR!EK131+BP!EK131</f>
        <v>0</v>
      </c>
      <c r="EL131" s="106">
        <f>+PMGR!EL131+BP!EL131</f>
        <v>0</v>
      </c>
      <c r="EM131" s="106">
        <f>+PMGR!EM131+BP!EM131</f>
        <v>0</v>
      </c>
      <c r="EN131" s="106">
        <f>+PMGR!EN131+BP!EN131</f>
        <v>0</v>
      </c>
      <c r="EO131" s="106">
        <f>+PMGR!EO131+BP!EO131</f>
        <v>0</v>
      </c>
      <c r="EP131" s="106">
        <f>+PMGR!EP131+BP!EP131</f>
        <v>0</v>
      </c>
      <c r="EQ131" s="106">
        <f>+PMGR!EQ131+BP!EQ131</f>
        <v>0</v>
      </c>
      <c r="ER131" s="106">
        <f>+PMGR!ER131+BP!ER131</f>
        <v>0</v>
      </c>
      <c r="ES131" s="106">
        <f>+PMGR!ES131+BP!ES131</f>
        <v>0</v>
      </c>
      <c r="ET131" s="106">
        <f>+PMGR!ET131+BP!ET131</f>
        <v>0</v>
      </c>
      <c r="EU131" s="106">
        <f>+PMGR!EU131+BP!EU131</f>
        <v>0</v>
      </c>
      <c r="EV131" s="106">
        <f>+PMGR!EV131+BP!EV131</f>
        <v>0</v>
      </c>
      <c r="EW131" s="106">
        <f t="shared" si="651"/>
        <v>0</v>
      </c>
      <c r="EX131" s="118"/>
      <c r="EY131" s="106">
        <f>+PMGR!EY131+BP!EY131</f>
        <v>0</v>
      </c>
      <c r="EZ131" s="106">
        <f>+PMGR!EZ131+BP!EZ131</f>
        <v>0</v>
      </c>
      <c r="FA131" s="106">
        <f>+PMGR!FA131+BP!FA131</f>
        <v>0</v>
      </c>
      <c r="FB131" s="106">
        <f>+PMGR!FB131+BP!FB131</f>
        <v>0</v>
      </c>
      <c r="FC131" s="106">
        <f>+PMGR!FC131+BP!FC131</f>
        <v>0</v>
      </c>
      <c r="FD131" s="106">
        <f>+PMGR!FD131+BP!FD131</f>
        <v>0</v>
      </c>
      <c r="FE131" s="106">
        <f>+PMGR!FE131+BP!FE131</f>
        <v>0</v>
      </c>
      <c r="FF131" s="106">
        <f>+PMGR!FF131+BP!FF131</f>
        <v>0</v>
      </c>
      <c r="FG131" s="106">
        <f>+PMGR!FG131+BP!FG131</f>
        <v>0</v>
      </c>
      <c r="FH131" s="106">
        <f>+PMGR!FH131+BP!FH131</f>
        <v>0</v>
      </c>
      <c r="FI131" s="106">
        <f>+PMGR!FI131+BP!FI131</f>
        <v>0</v>
      </c>
      <c r="FJ131" s="106">
        <f>+PMGR!FJ131+BP!FJ131</f>
        <v>0</v>
      </c>
      <c r="FK131" s="106">
        <f t="shared" si="652"/>
        <v>0</v>
      </c>
    </row>
    <row r="132" spans="1:167" ht="14.45" hidden="1" customHeight="1" outlineLevel="1">
      <c r="A132" s="106">
        <f t="shared" si="638"/>
        <v>161958.33333333334</v>
      </c>
      <c r="B132" s="106">
        <f t="shared" si="638"/>
        <v>161958.33333333334</v>
      </c>
      <c r="C132" s="106">
        <f t="shared" si="638"/>
        <v>161958.33333333334</v>
      </c>
      <c r="D132" s="106">
        <f t="shared" si="638"/>
        <v>161958.33333333334</v>
      </c>
      <c r="E132" s="106">
        <f t="shared" si="638"/>
        <v>161958.33333333334</v>
      </c>
      <c r="F132" s="106">
        <f t="shared" si="638"/>
        <v>161958.33333333334</v>
      </c>
      <c r="G132" s="106">
        <f t="shared" si="638"/>
        <v>161958.33333333334</v>
      </c>
      <c r="H132" s="106">
        <f t="shared" si="638"/>
        <v>161958.33333333334</v>
      </c>
      <c r="I132" s="106">
        <f t="shared" si="638"/>
        <v>161958.33333333334</v>
      </c>
      <c r="J132" s="106">
        <f t="shared" si="638"/>
        <v>161958.33333333334</v>
      </c>
      <c r="K132" s="106">
        <f t="shared" si="638"/>
        <v>161958.33333333334</v>
      </c>
      <c r="L132" s="106">
        <f t="shared" si="638"/>
        <v>161958.33333333334</v>
      </c>
      <c r="M132" s="106">
        <f t="shared" si="639"/>
        <v>1943499.9999999998</v>
      </c>
      <c r="N132" s="16" t="s">
        <v>109</v>
      </c>
      <c r="O132" s="106">
        <f t="shared" si="640"/>
        <v>399750</v>
      </c>
      <c r="P132" s="106">
        <f t="shared" si="640"/>
        <v>0</v>
      </c>
      <c r="Q132" s="106">
        <f t="shared" si="640"/>
        <v>0</v>
      </c>
      <c r="R132" s="106">
        <f t="shared" si="640"/>
        <v>0</v>
      </c>
      <c r="S132" s="106">
        <f t="shared" si="640"/>
        <v>0</v>
      </c>
      <c r="T132" s="106">
        <f t="shared" si="640"/>
        <v>0</v>
      </c>
      <c r="U132" s="106">
        <f t="shared" si="640"/>
        <v>0</v>
      </c>
      <c r="V132" s="106">
        <f t="shared" si="640"/>
        <v>0</v>
      </c>
      <c r="W132" s="106">
        <f t="shared" si="640"/>
        <v>0</v>
      </c>
      <c r="X132" s="106">
        <f t="shared" si="640"/>
        <v>0</v>
      </c>
      <c r="Y132" s="106">
        <f t="shared" si="640"/>
        <v>0</v>
      </c>
      <c r="Z132" s="106">
        <f t="shared" si="640"/>
        <v>0</v>
      </c>
      <c r="AA132" s="106">
        <f t="shared" si="641"/>
        <v>399750</v>
      </c>
      <c r="AB132" s="118"/>
      <c r="AC132" s="106">
        <f t="shared" si="642"/>
        <v>112500</v>
      </c>
      <c r="AD132" s="106">
        <f t="shared" si="642"/>
        <v>112500</v>
      </c>
      <c r="AE132" s="106">
        <f t="shared" si="642"/>
        <v>112500</v>
      </c>
      <c r="AF132" s="106">
        <f t="shared" si="642"/>
        <v>112500</v>
      </c>
      <c r="AG132" s="106">
        <f t="shared" si="642"/>
        <v>112500</v>
      </c>
      <c r="AH132" s="106">
        <f t="shared" si="642"/>
        <v>112500</v>
      </c>
      <c r="AI132" s="106">
        <f t="shared" si="642"/>
        <v>112500</v>
      </c>
      <c r="AJ132" s="106">
        <f t="shared" si="642"/>
        <v>112500</v>
      </c>
      <c r="AK132" s="106">
        <f t="shared" si="642"/>
        <v>112500</v>
      </c>
      <c r="AL132" s="106">
        <f t="shared" si="642"/>
        <v>112500</v>
      </c>
      <c r="AM132" s="106">
        <f t="shared" si="642"/>
        <v>112500</v>
      </c>
      <c r="AN132" s="106">
        <f t="shared" si="642"/>
        <v>112500</v>
      </c>
      <c r="AO132" s="106">
        <f t="shared" si="643"/>
        <v>1350000</v>
      </c>
      <c r="AP132" s="106"/>
      <c r="AQ132" s="106">
        <f>+PMGR!AQ132+BP!AQ132</f>
        <v>98175</v>
      </c>
      <c r="AR132" s="106">
        <f>+PMGR!AR132+BP!AR132</f>
        <v>98175</v>
      </c>
      <c r="AS132" s="106">
        <f>+PMGR!AS132+BP!AS132</f>
        <v>98175</v>
      </c>
      <c r="AT132" s="106">
        <f>+PMGR!AT132+BP!AT132</f>
        <v>98175</v>
      </c>
      <c r="AU132" s="106">
        <f>+PMGR!AU132+BP!AU132</f>
        <v>98175</v>
      </c>
      <c r="AV132" s="106">
        <f>+PMGR!AV132+BP!AV132</f>
        <v>98175</v>
      </c>
      <c r="AW132" s="106">
        <f>+PMGR!AW132+BP!AW132</f>
        <v>98175</v>
      </c>
      <c r="AX132" s="106">
        <f>+PMGR!AX132+BP!AX132</f>
        <v>98175</v>
      </c>
      <c r="AY132" s="106">
        <f>+PMGR!AY132+BP!AY132</f>
        <v>98175</v>
      </c>
      <c r="AZ132" s="106">
        <f>+PMGR!AZ132+BP!AZ132</f>
        <v>98175</v>
      </c>
      <c r="BA132" s="106">
        <f>+PMGR!BA132+BP!BA132</f>
        <v>98175</v>
      </c>
      <c r="BB132" s="106">
        <f>+PMGR!BB132+BP!BB132</f>
        <v>98175</v>
      </c>
      <c r="BC132" s="106">
        <f t="shared" si="644"/>
        <v>1178100</v>
      </c>
      <c r="BD132" s="16" t="str">
        <f t="shared" si="405"/>
        <v>Training Expenses MBIL</v>
      </c>
      <c r="BE132" s="106">
        <f>+PMGR!BE132+BP!BE132</f>
        <v>399750</v>
      </c>
      <c r="BF132" s="106">
        <f>+PMGR!BF132+BP!BF132</f>
        <v>0</v>
      </c>
      <c r="BG132" s="106">
        <f>+PMGR!BG132+BP!BG132</f>
        <v>0</v>
      </c>
      <c r="BH132" s="106">
        <f>+PMGR!BH132+BP!BH132</f>
        <v>0</v>
      </c>
      <c r="BI132" s="106">
        <f>+PMGR!BI132+BP!BI132</f>
        <v>0</v>
      </c>
      <c r="BJ132" s="106">
        <f>+PMGR!BJ132+BP!BJ132</f>
        <v>0</v>
      </c>
      <c r="BK132" s="106">
        <f>+PMGR!BK132+BP!BK132</f>
        <v>0</v>
      </c>
      <c r="BL132" s="106">
        <f>+PMGR!BL132+BP!BL132</f>
        <v>0</v>
      </c>
      <c r="BM132" s="106">
        <f>+PMGR!BM132+BP!BM132</f>
        <v>0</v>
      </c>
      <c r="BN132" s="106">
        <f>+PMGR!BN132+BP!BN132</f>
        <v>0</v>
      </c>
      <c r="BO132" s="106">
        <f>+PMGR!BO132+BP!BO132</f>
        <v>0</v>
      </c>
      <c r="BP132" s="106">
        <f>+PMGR!BP132+BP!BP132</f>
        <v>0</v>
      </c>
      <c r="BQ132" s="106">
        <f t="shared" si="645"/>
        <v>399750</v>
      </c>
      <c r="BR132" s="118"/>
      <c r="BS132" s="106">
        <f>+PMGR!BS132+BP!BS132</f>
        <v>35000</v>
      </c>
      <c r="BT132" s="106">
        <f>+PMGR!BT132+BP!BT132</f>
        <v>35000</v>
      </c>
      <c r="BU132" s="106">
        <f>+PMGR!BU132+BP!BU132</f>
        <v>35000</v>
      </c>
      <c r="BV132" s="106">
        <f>+PMGR!BV132+BP!BV132</f>
        <v>35000</v>
      </c>
      <c r="BW132" s="106">
        <f>+PMGR!BW132+BP!BW132</f>
        <v>35000</v>
      </c>
      <c r="BX132" s="106">
        <f>+PMGR!BX132+BP!BX132</f>
        <v>35000</v>
      </c>
      <c r="BY132" s="106">
        <f>+PMGR!BY132+BP!BY132</f>
        <v>35000</v>
      </c>
      <c r="BZ132" s="106">
        <f>+PMGR!BZ132+BP!BZ132</f>
        <v>35000</v>
      </c>
      <c r="CA132" s="106">
        <f>+PMGR!CA132+BP!CA132</f>
        <v>35000</v>
      </c>
      <c r="CB132" s="106">
        <f>+PMGR!CB132+BP!CB132</f>
        <v>35000</v>
      </c>
      <c r="CC132" s="106">
        <f>+PMGR!CC132+BP!CC132</f>
        <v>35000</v>
      </c>
      <c r="CD132" s="106">
        <f>+PMGR!CD132+BP!CD132</f>
        <v>35000</v>
      </c>
      <c r="CE132" s="106">
        <f t="shared" si="646"/>
        <v>420000</v>
      </c>
      <c r="CF132" s="106"/>
      <c r="CG132" s="106">
        <f>+PMGR!CG132+BP!CG132</f>
        <v>63783.333333333336</v>
      </c>
      <c r="CH132" s="106">
        <f>+PMGR!CH132+BP!CH132</f>
        <v>63783.333333333336</v>
      </c>
      <c r="CI132" s="106">
        <f>+PMGR!CI132+BP!CI132</f>
        <v>63783.333333333336</v>
      </c>
      <c r="CJ132" s="106">
        <f>+PMGR!CJ132+BP!CJ132</f>
        <v>63783.333333333336</v>
      </c>
      <c r="CK132" s="106">
        <f>+PMGR!CK132+BP!CK132</f>
        <v>63783.333333333336</v>
      </c>
      <c r="CL132" s="106">
        <f>+PMGR!CL132+BP!CL132</f>
        <v>63783.333333333336</v>
      </c>
      <c r="CM132" s="106">
        <f>+PMGR!CM132+BP!CM132</f>
        <v>63783.333333333336</v>
      </c>
      <c r="CN132" s="106">
        <f>+PMGR!CN132+BP!CN132</f>
        <v>63783.333333333336</v>
      </c>
      <c r="CO132" s="106">
        <f>+PMGR!CO132+BP!CO132</f>
        <v>63783.333333333336</v>
      </c>
      <c r="CP132" s="106">
        <f>+PMGR!CP132+BP!CP132</f>
        <v>63783.333333333336</v>
      </c>
      <c r="CQ132" s="106">
        <f>+PMGR!CQ132+BP!CQ132</f>
        <v>63783.333333333336</v>
      </c>
      <c r="CR132" s="106">
        <f>+PMGR!CR132+BP!CR132</f>
        <v>63783.333333333336</v>
      </c>
      <c r="CS132" s="106">
        <f t="shared" si="647"/>
        <v>765400.00000000012</v>
      </c>
      <c r="CT132" s="16" t="str">
        <f t="shared" si="409"/>
        <v>Training Expenses MBIL</v>
      </c>
      <c r="CU132" s="106">
        <f>+PMGR!CU132+BP!CU132</f>
        <v>0</v>
      </c>
      <c r="CV132" s="106">
        <f>+PMGR!CV132+BP!CV132</f>
        <v>0</v>
      </c>
      <c r="CW132" s="106">
        <f>+PMGR!CW132+BP!CW132</f>
        <v>0</v>
      </c>
      <c r="CX132" s="106">
        <f>+PMGR!CX132+BP!CX132</f>
        <v>0</v>
      </c>
      <c r="CY132" s="106">
        <f>+PMGR!CY132+BP!CY132</f>
        <v>0</v>
      </c>
      <c r="CZ132" s="106">
        <f>+PMGR!CZ132+BP!CZ132</f>
        <v>0</v>
      </c>
      <c r="DA132" s="106">
        <f>+PMGR!DA132+BP!DA132</f>
        <v>0</v>
      </c>
      <c r="DB132" s="106">
        <f>+PMGR!DB132+BP!DB132</f>
        <v>0</v>
      </c>
      <c r="DC132" s="106">
        <f>+PMGR!DC132+BP!DC132</f>
        <v>0</v>
      </c>
      <c r="DD132" s="106">
        <f>+PMGR!DD132+BP!DD132</f>
        <v>0</v>
      </c>
      <c r="DE132" s="106">
        <f>+PMGR!DE132+BP!DE132</f>
        <v>0</v>
      </c>
      <c r="DF132" s="106">
        <f>+PMGR!DF132+BP!DF132</f>
        <v>0</v>
      </c>
      <c r="DG132" s="106">
        <f t="shared" si="648"/>
        <v>0</v>
      </c>
      <c r="DH132" s="118"/>
      <c r="DI132" s="106">
        <f>+PMGR!DI132+BP!DI132</f>
        <v>45000</v>
      </c>
      <c r="DJ132" s="106">
        <f>+PMGR!DJ132+BP!DJ132</f>
        <v>45000</v>
      </c>
      <c r="DK132" s="106">
        <f>+PMGR!DK132+BP!DK132</f>
        <v>45000</v>
      </c>
      <c r="DL132" s="106">
        <f>+PMGR!DL132+BP!DL132</f>
        <v>45000</v>
      </c>
      <c r="DM132" s="106">
        <f>+PMGR!DM132+BP!DM132</f>
        <v>45000</v>
      </c>
      <c r="DN132" s="106">
        <f>+PMGR!DN132+BP!DN132</f>
        <v>45000</v>
      </c>
      <c r="DO132" s="106">
        <f>+PMGR!DO132+BP!DO132</f>
        <v>45000</v>
      </c>
      <c r="DP132" s="106">
        <f>+PMGR!DP132+BP!DP132</f>
        <v>45000</v>
      </c>
      <c r="DQ132" s="106">
        <f>+PMGR!DQ132+BP!DQ132</f>
        <v>45000</v>
      </c>
      <c r="DR132" s="106">
        <f>+PMGR!DR132+BP!DR132</f>
        <v>45000</v>
      </c>
      <c r="DS132" s="106">
        <f>+PMGR!DS132+BP!DS132</f>
        <v>45000</v>
      </c>
      <c r="DT132" s="106">
        <f>+PMGR!DT132+BP!DT132</f>
        <v>45000</v>
      </c>
      <c r="DU132" s="106">
        <f t="shared" si="649"/>
        <v>540000</v>
      </c>
      <c r="DV132" s="106"/>
      <c r="DW132" s="106">
        <f>+PMGR!DW132+BP!DW132</f>
        <v>0</v>
      </c>
      <c r="DX132" s="106">
        <f>+PMGR!DX132+BP!DX132</f>
        <v>0</v>
      </c>
      <c r="DY132" s="106">
        <f>+PMGR!DY132+BP!DY132</f>
        <v>0</v>
      </c>
      <c r="DZ132" s="106">
        <f>+PMGR!DZ132+BP!DZ132</f>
        <v>0</v>
      </c>
      <c r="EA132" s="106">
        <f>+PMGR!EA132+BP!EA132</f>
        <v>0</v>
      </c>
      <c r="EB132" s="106">
        <f>+PMGR!EB132+BP!EB132</f>
        <v>0</v>
      </c>
      <c r="EC132" s="106">
        <f>+PMGR!EC132+BP!EC132</f>
        <v>0</v>
      </c>
      <c r="ED132" s="106">
        <f>+PMGR!ED132+BP!ED132</f>
        <v>0</v>
      </c>
      <c r="EE132" s="106">
        <f>+PMGR!EE132+BP!EE132</f>
        <v>0</v>
      </c>
      <c r="EF132" s="106">
        <f>+PMGR!EF132+BP!EF132</f>
        <v>0</v>
      </c>
      <c r="EG132" s="106">
        <f>+PMGR!EG132+BP!EG132</f>
        <v>0</v>
      </c>
      <c r="EH132" s="106">
        <f>+PMGR!EH132+BP!EH132</f>
        <v>0</v>
      </c>
      <c r="EI132" s="106">
        <f t="shared" si="650"/>
        <v>0</v>
      </c>
      <c r="EJ132" s="16" t="str">
        <f t="shared" si="457"/>
        <v>Training Expenses MBIL</v>
      </c>
      <c r="EK132" s="106">
        <f>+PMGR!EK132+BP!EK132</f>
        <v>0</v>
      </c>
      <c r="EL132" s="106">
        <f>+PMGR!EL132+BP!EL132</f>
        <v>0</v>
      </c>
      <c r="EM132" s="106">
        <f>+PMGR!EM132+BP!EM132</f>
        <v>0</v>
      </c>
      <c r="EN132" s="106">
        <f>+PMGR!EN132+BP!EN132</f>
        <v>0</v>
      </c>
      <c r="EO132" s="106">
        <f>+PMGR!EO132+BP!EO132</f>
        <v>0</v>
      </c>
      <c r="EP132" s="106">
        <f>+PMGR!EP132+BP!EP132</f>
        <v>0</v>
      </c>
      <c r="EQ132" s="106">
        <f>+PMGR!EQ132+BP!EQ132</f>
        <v>0</v>
      </c>
      <c r="ER132" s="106">
        <f>+PMGR!ER132+BP!ER132</f>
        <v>0</v>
      </c>
      <c r="ES132" s="106">
        <f>+PMGR!ES132+BP!ES132</f>
        <v>0</v>
      </c>
      <c r="ET132" s="106">
        <f>+PMGR!ET132+BP!ET132</f>
        <v>0</v>
      </c>
      <c r="EU132" s="106">
        <f>+PMGR!EU132+BP!EU132</f>
        <v>0</v>
      </c>
      <c r="EV132" s="106">
        <f>+PMGR!EV132+BP!EV132</f>
        <v>0</v>
      </c>
      <c r="EW132" s="106">
        <f t="shared" si="651"/>
        <v>0</v>
      </c>
      <c r="EX132" s="118"/>
      <c r="EY132" s="106">
        <f>+PMGR!EY132+BP!EY132</f>
        <v>32500</v>
      </c>
      <c r="EZ132" s="106">
        <f>+PMGR!EZ132+BP!EZ132</f>
        <v>32500</v>
      </c>
      <c r="FA132" s="106">
        <f>+PMGR!FA132+BP!FA132</f>
        <v>32500</v>
      </c>
      <c r="FB132" s="106">
        <f>+PMGR!FB132+BP!FB132</f>
        <v>32500</v>
      </c>
      <c r="FC132" s="106">
        <f>+PMGR!FC132+BP!FC132</f>
        <v>32500</v>
      </c>
      <c r="FD132" s="106">
        <f>+PMGR!FD132+BP!FD132</f>
        <v>32500</v>
      </c>
      <c r="FE132" s="106">
        <f>+PMGR!FE132+BP!FE132</f>
        <v>32500</v>
      </c>
      <c r="FF132" s="106">
        <f>+PMGR!FF132+BP!FF132</f>
        <v>32500</v>
      </c>
      <c r="FG132" s="106">
        <f>+PMGR!FG132+BP!FG132</f>
        <v>32500</v>
      </c>
      <c r="FH132" s="106">
        <f>+PMGR!FH132+BP!FH132</f>
        <v>32500</v>
      </c>
      <c r="FI132" s="106">
        <f>+PMGR!FI132+BP!FI132</f>
        <v>32500</v>
      </c>
      <c r="FJ132" s="106">
        <f>+PMGR!FJ132+BP!FJ132</f>
        <v>32500</v>
      </c>
      <c r="FK132" s="106">
        <f t="shared" si="652"/>
        <v>390000</v>
      </c>
    </row>
    <row r="133" spans="1:167" ht="14.45" customHeight="1" collapsed="1">
      <c r="A133" s="58">
        <f t="shared" ref="A133:M133" si="653">+SUM(A134:A137)</f>
        <v>75200</v>
      </c>
      <c r="B133" s="58">
        <f t="shared" si="653"/>
        <v>99531.402999999991</v>
      </c>
      <c r="C133" s="58">
        <f t="shared" si="653"/>
        <v>0</v>
      </c>
      <c r="D133" s="58">
        <f t="shared" si="653"/>
        <v>61228.156000000003</v>
      </c>
      <c r="E133" s="58">
        <f t="shared" si="653"/>
        <v>149505.10199999998</v>
      </c>
      <c r="F133" s="58">
        <f t="shared" si="653"/>
        <v>175196</v>
      </c>
      <c r="G133" s="58">
        <f t="shared" si="653"/>
        <v>171007.5</v>
      </c>
      <c r="H133" s="58">
        <f t="shared" si="653"/>
        <v>400073.68799999997</v>
      </c>
      <c r="I133" s="58">
        <f t="shared" si="653"/>
        <v>157540.63</v>
      </c>
      <c r="J133" s="58">
        <f t="shared" si="653"/>
        <v>110248.2</v>
      </c>
      <c r="K133" s="58">
        <f t="shared" si="653"/>
        <v>189340.682</v>
      </c>
      <c r="L133" s="58">
        <f t="shared" si="653"/>
        <v>184764.27699999997</v>
      </c>
      <c r="M133" s="58">
        <f t="shared" si="653"/>
        <v>1773635.6379999998</v>
      </c>
      <c r="N133" s="20" t="s">
        <v>110</v>
      </c>
      <c r="O133" s="58">
        <f t="shared" ref="O133:AA133" si="654">+SUM(O134:O137)</f>
        <v>200649.52999999997</v>
      </c>
      <c r="P133" s="58">
        <f t="shared" si="654"/>
        <v>116745.32650000001</v>
      </c>
      <c r="Q133" s="58">
        <f t="shared" si="654"/>
        <v>226466.58999999997</v>
      </c>
      <c r="R133" s="58">
        <f t="shared" si="654"/>
        <v>188138.18999999997</v>
      </c>
      <c r="S133" s="58">
        <f t="shared" si="654"/>
        <v>21831.489999999998</v>
      </c>
      <c r="T133" s="58">
        <f t="shared" si="654"/>
        <v>183991.67999999999</v>
      </c>
      <c r="U133" s="58">
        <f t="shared" si="654"/>
        <v>299740.20649999997</v>
      </c>
      <c r="V133" s="58">
        <f t="shared" si="654"/>
        <v>194359.82</v>
      </c>
      <c r="W133" s="58">
        <f t="shared" si="654"/>
        <v>117400.09</v>
      </c>
      <c r="X133" s="58">
        <f t="shared" si="654"/>
        <v>147197.94</v>
      </c>
      <c r="Y133" s="58">
        <f t="shared" si="654"/>
        <v>0</v>
      </c>
      <c r="Z133" s="58">
        <f t="shared" si="654"/>
        <v>0</v>
      </c>
      <c r="AA133" s="58">
        <f t="shared" si="654"/>
        <v>1696520.8629999999</v>
      </c>
      <c r="AB133" s="118"/>
      <c r="AC133" s="58">
        <f t="shared" ref="AC133:AO133" si="655">+SUM(AC134:AC137)</f>
        <v>165802.04719583332</v>
      </c>
      <c r="AD133" s="58">
        <f t="shared" si="655"/>
        <v>165802.04719583332</v>
      </c>
      <c r="AE133" s="58">
        <f t="shared" si="655"/>
        <v>165802.04719583332</v>
      </c>
      <c r="AF133" s="58">
        <f t="shared" si="655"/>
        <v>165802.04719583332</v>
      </c>
      <c r="AG133" s="58">
        <f t="shared" si="655"/>
        <v>165802.04719583332</v>
      </c>
      <c r="AH133" s="58">
        <f t="shared" si="655"/>
        <v>165802.04719583332</v>
      </c>
      <c r="AI133" s="58">
        <f t="shared" si="655"/>
        <v>165802.04719583332</v>
      </c>
      <c r="AJ133" s="58">
        <f t="shared" si="655"/>
        <v>165802.04719583332</v>
      </c>
      <c r="AK133" s="58">
        <f t="shared" si="655"/>
        <v>165802.04719583332</v>
      </c>
      <c r="AL133" s="58">
        <f t="shared" si="655"/>
        <v>165802.04719583332</v>
      </c>
      <c r="AM133" s="58">
        <f t="shared" si="655"/>
        <v>165802.04719583332</v>
      </c>
      <c r="AN133" s="58">
        <f t="shared" si="655"/>
        <v>165802.04719583332</v>
      </c>
      <c r="AO133" s="58">
        <f t="shared" si="655"/>
        <v>1989624.5663500002</v>
      </c>
      <c r="AP133" s="106"/>
      <c r="AQ133" s="58">
        <f t="shared" ref="AQ133:BC133" si="656">+SUM(AQ134:AQ137)</f>
        <v>75200</v>
      </c>
      <c r="AR133" s="58">
        <f t="shared" si="656"/>
        <v>57759.041999999987</v>
      </c>
      <c r="AS133" s="58">
        <f t="shared" si="656"/>
        <v>0</v>
      </c>
      <c r="AT133" s="58">
        <f t="shared" si="656"/>
        <v>56440.103999999999</v>
      </c>
      <c r="AU133" s="58">
        <f t="shared" si="656"/>
        <v>136108.628</v>
      </c>
      <c r="AV133" s="58">
        <f t="shared" si="656"/>
        <v>123062</v>
      </c>
      <c r="AW133" s="58">
        <f t="shared" si="656"/>
        <v>127901</v>
      </c>
      <c r="AX133" s="58">
        <f t="shared" si="656"/>
        <v>297760.41200000001</v>
      </c>
      <c r="AY133" s="58">
        <f t="shared" si="656"/>
        <v>104318.63</v>
      </c>
      <c r="AZ133" s="58">
        <f t="shared" si="656"/>
        <v>105361.2</v>
      </c>
      <c r="BA133" s="58">
        <f t="shared" si="656"/>
        <v>146865.23800000001</v>
      </c>
      <c r="BB133" s="58">
        <f t="shared" si="656"/>
        <v>135317.95799999998</v>
      </c>
      <c r="BC133" s="58">
        <f t="shared" si="656"/>
        <v>1366094.2119999998</v>
      </c>
      <c r="BD133" s="20" t="str">
        <f t="shared" si="405"/>
        <v>Travelling - Operational</v>
      </c>
      <c r="BE133" s="58">
        <f t="shared" ref="BE133:BQ133" si="657">+SUM(BE134:BE137)</f>
        <v>100911.23</v>
      </c>
      <c r="BF133" s="58">
        <f t="shared" si="657"/>
        <v>104090.12100000001</v>
      </c>
      <c r="BG133" s="58">
        <f t="shared" si="657"/>
        <v>202044.79999999999</v>
      </c>
      <c r="BH133" s="58">
        <f t="shared" si="657"/>
        <v>148933.03999999998</v>
      </c>
      <c r="BI133" s="58">
        <f t="shared" si="657"/>
        <v>2456.0400000000045</v>
      </c>
      <c r="BJ133" s="58">
        <f t="shared" si="657"/>
        <v>118995.24</v>
      </c>
      <c r="BK133" s="58">
        <f t="shared" si="657"/>
        <v>203792.09099999999</v>
      </c>
      <c r="BL133" s="58">
        <f t="shared" si="657"/>
        <v>69913.8</v>
      </c>
      <c r="BM133" s="58">
        <f t="shared" si="657"/>
        <v>95984</v>
      </c>
      <c r="BN133" s="58">
        <f t="shared" si="657"/>
        <v>95104.61</v>
      </c>
      <c r="BO133" s="58">
        <f t="shared" si="657"/>
        <v>0</v>
      </c>
      <c r="BP133" s="58">
        <f t="shared" si="657"/>
        <v>0</v>
      </c>
      <c r="BQ133" s="58">
        <f t="shared" si="657"/>
        <v>1142224.9720000001</v>
      </c>
      <c r="BR133" s="118"/>
      <c r="BS133" s="58">
        <f t="shared" ref="BS133:CE133" si="658">+SUM(BS134:BS137)</f>
        <v>132965.62594166666</v>
      </c>
      <c r="BT133" s="58">
        <f t="shared" si="658"/>
        <v>132965.62594166666</v>
      </c>
      <c r="BU133" s="58">
        <f t="shared" si="658"/>
        <v>132965.62594166666</v>
      </c>
      <c r="BV133" s="58">
        <f t="shared" si="658"/>
        <v>132965.62594166666</v>
      </c>
      <c r="BW133" s="58">
        <f t="shared" si="658"/>
        <v>132965.62594166666</v>
      </c>
      <c r="BX133" s="58">
        <f t="shared" si="658"/>
        <v>132965.62594166666</v>
      </c>
      <c r="BY133" s="58">
        <f t="shared" si="658"/>
        <v>132965.62594166666</v>
      </c>
      <c r="BZ133" s="58">
        <f t="shared" si="658"/>
        <v>132965.62594166666</v>
      </c>
      <c r="CA133" s="58">
        <f t="shared" si="658"/>
        <v>132965.62594166666</v>
      </c>
      <c r="CB133" s="58">
        <f t="shared" si="658"/>
        <v>132965.62594166666</v>
      </c>
      <c r="CC133" s="58">
        <f t="shared" si="658"/>
        <v>132965.62594166666</v>
      </c>
      <c r="CD133" s="58">
        <f t="shared" si="658"/>
        <v>132965.62594166666</v>
      </c>
      <c r="CE133" s="58">
        <f t="shared" si="658"/>
        <v>1595587.5113000004</v>
      </c>
      <c r="CF133" s="106"/>
      <c r="CG133" s="58">
        <f t="shared" ref="CG133:CS133" si="659">+SUM(CG134:CG137)</f>
        <v>0</v>
      </c>
      <c r="CH133" s="58">
        <f t="shared" si="659"/>
        <v>41772.360999999997</v>
      </c>
      <c r="CI133" s="58">
        <f t="shared" si="659"/>
        <v>0</v>
      </c>
      <c r="CJ133" s="58">
        <f t="shared" si="659"/>
        <v>4788.0519999999997</v>
      </c>
      <c r="CK133" s="58">
        <f t="shared" si="659"/>
        <v>13396.473999999998</v>
      </c>
      <c r="CL133" s="58">
        <f t="shared" si="659"/>
        <v>52134</v>
      </c>
      <c r="CM133" s="58">
        <f t="shared" si="659"/>
        <v>43106.5</v>
      </c>
      <c r="CN133" s="58">
        <f t="shared" si="659"/>
        <v>102313.27599999998</v>
      </c>
      <c r="CO133" s="58">
        <f t="shared" si="659"/>
        <v>53222</v>
      </c>
      <c r="CP133" s="58">
        <f t="shared" si="659"/>
        <v>4887</v>
      </c>
      <c r="CQ133" s="58">
        <f t="shared" si="659"/>
        <v>42475.443999999996</v>
      </c>
      <c r="CR133" s="58">
        <f t="shared" si="659"/>
        <v>49446.318999999996</v>
      </c>
      <c r="CS133" s="58">
        <f t="shared" si="659"/>
        <v>407541.42599999998</v>
      </c>
      <c r="CT133" s="20" t="str">
        <f t="shared" si="409"/>
        <v>Travelling - Operational</v>
      </c>
      <c r="CU133" s="58">
        <f t="shared" ref="CU133:DG133" si="660">+SUM(CU134:CU137)</f>
        <v>10380.259999999998</v>
      </c>
      <c r="CV133" s="58">
        <f t="shared" si="660"/>
        <v>6344.9254999999994</v>
      </c>
      <c r="CW133" s="58">
        <f t="shared" si="660"/>
        <v>15926.08</v>
      </c>
      <c r="CX133" s="58">
        <f t="shared" si="660"/>
        <v>34305.15</v>
      </c>
      <c r="CY133" s="58">
        <f t="shared" si="660"/>
        <v>13156.449999999999</v>
      </c>
      <c r="CZ133" s="58">
        <f t="shared" si="660"/>
        <v>46589.3</v>
      </c>
      <c r="DA133" s="58">
        <f t="shared" si="660"/>
        <v>88632.115499999985</v>
      </c>
      <c r="DB133" s="58">
        <f t="shared" si="660"/>
        <v>116726.02</v>
      </c>
      <c r="DC133" s="58">
        <f t="shared" si="660"/>
        <v>12859.95</v>
      </c>
      <c r="DD133" s="58">
        <f t="shared" si="660"/>
        <v>31410.75</v>
      </c>
      <c r="DE133" s="58">
        <f t="shared" si="660"/>
        <v>0</v>
      </c>
      <c r="DF133" s="58">
        <f t="shared" si="660"/>
        <v>0</v>
      </c>
      <c r="DG133" s="58">
        <f t="shared" si="660"/>
        <v>376331.00100000005</v>
      </c>
      <c r="DH133" s="118"/>
      <c r="DI133" s="58">
        <f t="shared" ref="DI133:DU133" si="661">+SUM(DI134:DI137)</f>
        <v>32836.421254166671</v>
      </c>
      <c r="DJ133" s="58">
        <f t="shared" si="661"/>
        <v>32836.421254166671</v>
      </c>
      <c r="DK133" s="58">
        <f t="shared" si="661"/>
        <v>32836.421254166671</v>
      </c>
      <c r="DL133" s="58">
        <f t="shared" si="661"/>
        <v>32836.421254166671</v>
      </c>
      <c r="DM133" s="58">
        <f t="shared" si="661"/>
        <v>32836.421254166671</v>
      </c>
      <c r="DN133" s="58">
        <f t="shared" si="661"/>
        <v>32836.421254166671</v>
      </c>
      <c r="DO133" s="58">
        <f t="shared" si="661"/>
        <v>32836.421254166671</v>
      </c>
      <c r="DP133" s="58">
        <f t="shared" si="661"/>
        <v>32836.421254166671</v>
      </c>
      <c r="DQ133" s="58">
        <f t="shared" si="661"/>
        <v>32836.421254166671</v>
      </c>
      <c r="DR133" s="58">
        <f t="shared" si="661"/>
        <v>32836.421254166671</v>
      </c>
      <c r="DS133" s="58">
        <f t="shared" si="661"/>
        <v>32836.421254166671</v>
      </c>
      <c r="DT133" s="58">
        <f t="shared" si="661"/>
        <v>32836.421254166671</v>
      </c>
      <c r="DU133" s="58">
        <f t="shared" si="661"/>
        <v>394037.05505000014</v>
      </c>
      <c r="DV133" s="106"/>
      <c r="DW133" s="58">
        <f t="shared" ref="DW133:EI133" si="662">+SUM(DW134:DW137)</f>
        <v>0</v>
      </c>
      <c r="DX133" s="58">
        <f t="shared" si="662"/>
        <v>0</v>
      </c>
      <c r="DY133" s="58">
        <f t="shared" si="662"/>
        <v>0</v>
      </c>
      <c r="DZ133" s="58">
        <f t="shared" si="662"/>
        <v>0</v>
      </c>
      <c r="EA133" s="58">
        <f t="shared" si="662"/>
        <v>0</v>
      </c>
      <c r="EB133" s="58">
        <f t="shared" si="662"/>
        <v>0</v>
      </c>
      <c r="EC133" s="58">
        <f t="shared" si="662"/>
        <v>0</v>
      </c>
      <c r="ED133" s="58">
        <f t="shared" si="662"/>
        <v>0</v>
      </c>
      <c r="EE133" s="58">
        <f t="shared" si="662"/>
        <v>0</v>
      </c>
      <c r="EF133" s="58">
        <f t="shared" si="662"/>
        <v>0</v>
      </c>
      <c r="EG133" s="58">
        <f t="shared" si="662"/>
        <v>0</v>
      </c>
      <c r="EH133" s="58">
        <f t="shared" si="662"/>
        <v>0</v>
      </c>
      <c r="EI133" s="58">
        <f t="shared" si="662"/>
        <v>0</v>
      </c>
      <c r="EJ133" s="20" t="str">
        <f t="shared" si="457"/>
        <v>Travelling - Operational</v>
      </c>
      <c r="EK133" s="58">
        <f t="shared" ref="EK133:EW133" si="663">+SUM(EK134:EK137)</f>
        <v>89358.04</v>
      </c>
      <c r="EL133" s="58">
        <f t="shared" si="663"/>
        <v>6310.28</v>
      </c>
      <c r="EM133" s="58">
        <f t="shared" si="663"/>
        <v>8495.7099999999991</v>
      </c>
      <c r="EN133" s="58">
        <f t="shared" si="663"/>
        <v>4900</v>
      </c>
      <c r="EO133" s="58">
        <f t="shared" si="663"/>
        <v>6219</v>
      </c>
      <c r="EP133" s="58">
        <f t="shared" si="663"/>
        <v>18407.14</v>
      </c>
      <c r="EQ133" s="58">
        <f t="shared" si="663"/>
        <v>7316</v>
      </c>
      <c r="ER133" s="58">
        <f t="shared" si="663"/>
        <v>7720</v>
      </c>
      <c r="ES133" s="58">
        <f t="shared" si="663"/>
        <v>8556.14</v>
      </c>
      <c r="ET133" s="58">
        <f t="shared" si="663"/>
        <v>20682.580000000002</v>
      </c>
      <c r="EU133" s="58">
        <f t="shared" si="663"/>
        <v>0</v>
      </c>
      <c r="EV133" s="58">
        <f t="shared" si="663"/>
        <v>0</v>
      </c>
      <c r="EW133" s="58">
        <f t="shared" si="663"/>
        <v>177964.89</v>
      </c>
      <c r="EX133" s="118"/>
      <c r="EY133" s="58">
        <f t="shared" ref="EY133:FK133" si="664">+SUM(EY134:EY137)</f>
        <v>0</v>
      </c>
      <c r="EZ133" s="58">
        <f t="shared" si="664"/>
        <v>0</v>
      </c>
      <c r="FA133" s="58">
        <f t="shared" si="664"/>
        <v>0</v>
      </c>
      <c r="FB133" s="58">
        <f t="shared" si="664"/>
        <v>0</v>
      </c>
      <c r="FC133" s="58">
        <f t="shared" si="664"/>
        <v>0</v>
      </c>
      <c r="FD133" s="58">
        <f t="shared" si="664"/>
        <v>0</v>
      </c>
      <c r="FE133" s="58">
        <f t="shared" si="664"/>
        <v>0</v>
      </c>
      <c r="FF133" s="58">
        <f t="shared" si="664"/>
        <v>0</v>
      </c>
      <c r="FG133" s="58">
        <f t="shared" si="664"/>
        <v>0</v>
      </c>
      <c r="FH133" s="58">
        <f t="shared" si="664"/>
        <v>0</v>
      </c>
      <c r="FI133" s="58">
        <f t="shared" si="664"/>
        <v>0</v>
      </c>
      <c r="FJ133" s="58">
        <f t="shared" si="664"/>
        <v>0</v>
      </c>
      <c r="FK133" s="58">
        <f t="shared" si="664"/>
        <v>0</v>
      </c>
    </row>
    <row r="134" spans="1:167" ht="14.45" hidden="1" customHeight="1" outlineLevel="1">
      <c r="A134" s="106">
        <f t="shared" si="638"/>
        <v>0</v>
      </c>
      <c r="B134" s="106">
        <f t="shared" si="638"/>
        <v>0</v>
      </c>
      <c r="C134" s="106">
        <f t="shared" si="638"/>
        <v>0</v>
      </c>
      <c r="D134" s="106">
        <f t="shared" si="638"/>
        <v>0</v>
      </c>
      <c r="E134" s="106">
        <f t="shared" si="638"/>
        <v>0</v>
      </c>
      <c r="F134" s="106">
        <f t="shared" si="638"/>
        <v>0</v>
      </c>
      <c r="G134" s="106">
        <f t="shared" si="638"/>
        <v>0</v>
      </c>
      <c r="H134" s="106">
        <f t="shared" si="638"/>
        <v>0</v>
      </c>
      <c r="I134" s="106">
        <f t="shared" si="638"/>
        <v>0</v>
      </c>
      <c r="J134" s="106">
        <f t="shared" si="638"/>
        <v>0</v>
      </c>
      <c r="K134" s="106">
        <f t="shared" si="638"/>
        <v>0</v>
      </c>
      <c r="L134" s="106">
        <f t="shared" si="638"/>
        <v>0</v>
      </c>
      <c r="M134" s="106">
        <f t="shared" ref="M134:M137" si="665">+SUM(A134:L134)</f>
        <v>0</v>
      </c>
      <c r="N134" s="16" t="s">
        <v>111</v>
      </c>
      <c r="O134" s="106">
        <f t="shared" ref="O134:Z137" si="666">+BE134+CU134+EK134</f>
        <v>0</v>
      </c>
      <c r="P134" s="106">
        <f t="shared" si="666"/>
        <v>0</v>
      </c>
      <c r="Q134" s="106">
        <f t="shared" si="666"/>
        <v>0</v>
      </c>
      <c r="R134" s="106">
        <f t="shared" si="666"/>
        <v>0</v>
      </c>
      <c r="S134" s="106">
        <f t="shared" si="666"/>
        <v>0</v>
      </c>
      <c r="T134" s="106">
        <f t="shared" si="666"/>
        <v>0</v>
      </c>
      <c r="U134" s="106">
        <f t="shared" si="666"/>
        <v>0</v>
      </c>
      <c r="V134" s="106">
        <f t="shared" si="666"/>
        <v>0</v>
      </c>
      <c r="W134" s="106">
        <f t="shared" si="666"/>
        <v>0</v>
      </c>
      <c r="X134" s="106">
        <f t="shared" si="666"/>
        <v>0</v>
      </c>
      <c r="Y134" s="106">
        <f t="shared" si="666"/>
        <v>0</v>
      </c>
      <c r="Z134" s="106">
        <f t="shared" si="666"/>
        <v>0</v>
      </c>
      <c r="AA134" s="106">
        <f t="shared" ref="AA134:AA137" si="667">+SUM(O134:Z134)</f>
        <v>0</v>
      </c>
      <c r="AB134" s="118"/>
      <c r="AC134" s="106">
        <f t="shared" ref="AC134:AN137" si="668">+BS134+DI134+EY134</f>
        <v>0</v>
      </c>
      <c r="AD134" s="106">
        <f t="shared" si="668"/>
        <v>0</v>
      </c>
      <c r="AE134" s="106">
        <f t="shared" si="668"/>
        <v>0</v>
      </c>
      <c r="AF134" s="106">
        <f t="shared" si="668"/>
        <v>0</v>
      </c>
      <c r="AG134" s="106">
        <f t="shared" si="668"/>
        <v>0</v>
      </c>
      <c r="AH134" s="106">
        <f t="shared" si="668"/>
        <v>0</v>
      </c>
      <c r="AI134" s="106">
        <f t="shared" si="668"/>
        <v>0</v>
      </c>
      <c r="AJ134" s="106">
        <f t="shared" si="668"/>
        <v>0</v>
      </c>
      <c r="AK134" s="106">
        <f t="shared" si="668"/>
        <v>0</v>
      </c>
      <c r="AL134" s="106">
        <f t="shared" si="668"/>
        <v>0</v>
      </c>
      <c r="AM134" s="106">
        <f t="shared" si="668"/>
        <v>0</v>
      </c>
      <c r="AN134" s="106">
        <f t="shared" si="668"/>
        <v>0</v>
      </c>
      <c r="AO134" s="106">
        <f t="shared" ref="AO134:AO137" si="669">+SUM(AC134:AN134)</f>
        <v>0</v>
      </c>
      <c r="AP134" s="106"/>
      <c r="AQ134" s="106">
        <f>+PMGR!AQ134+BP!AQ134</f>
        <v>0</v>
      </c>
      <c r="AR134" s="106">
        <f>+PMGR!AR134+BP!AR134</f>
        <v>0</v>
      </c>
      <c r="AS134" s="106">
        <f>+PMGR!AS134+BP!AS134</f>
        <v>0</v>
      </c>
      <c r="AT134" s="106">
        <f>+PMGR!AT134+BP!AT134</f>
        <v>0</v>
      </c>
      <c r="AU134" s="106">
        <f>+PMGR!AU134+BP!AU134</f>
        <v>0</v>
      </c>
      <c r="AV134" s="106">
        <f>+PMGR!AV134+BP!AV134</f>
        <v>0</v>
      </c>
      <c r="AW134" s="106">
        <f>+PMGR!AW134+BP!AW134</f>
        <v>0</v>
      </c>
      <c r="AX134" s="106">
        <f>+PMGR!AX134+BP!AX134</f>
        <v>0</v>
      </c>
      <c r="AY134" s="106">
        <f>+PMGR!AY134+BP!AY134</f>
        <v>0</v>
      </c>
      <c r="AZ134" s="106">
        <f>+PMGR!AZ134+BP!AZ134</f>
        <v>0</v>
      </c>
      <c r="BA134" s="106">
        <f>+PMGR!BA134+BP!BA134</f>
        <v>0</v>
      </c>
      <c r="BB134" s="106">
        <f>+PMGR!BB134+BP!BB134</f>
        <v>0</v>
      </c>
      <c r="BC134" s="106">
        <f t="shared" ref="BC134:BC137" si="670">+SUM(AQ134:BB134)</f>
        <v>0</v>
      </c>
      <c r="BD134" s="16" t="str">
        <f t="shared" ref="BD134:BD197" si="671">N134</f>
        <v>Travel Costs - Other</v>
      </c>
      <c r="BE134" s="106">
        <f>+PMGR!BE134+BP!BE134</f>
        <v>0</v>
      </c>
      <c r="BF134" s="106">
        <f>+PMGR!BF134+BP!BF134</f>
        <v>0</v>
      </c>
      <c r="BG134" s="106">
        <f>+PMGR!BG134+BP!BG134</f>
        <v>0</v>
      </c>
      <c r="BH134" s="106">
        <f>+PMGR!BH134+BP!BH134</f>
        <v>0</v>
      </c>
      <c r="BI134" s="106">
        <f>+PMGR!BI134+BP!BI134</f>
        <v>0</v>
      </c>
      <c r="BJ134" s="106">
        <f>+PMGR!BJ134+BP!BJ134</f>
        <v>0</v>
      </c>
      <c r="BK134" s="106">
        <f>+PMGR!BK134+BP!BK134</f>
        <v>0</v>
      </c>
      <c r="BL134" s="106">
        <f>+PMGR!BL134+BP!BL134</f>
        <v>0</v>
      </c>
      <c r="BM134" s="106">
        <f>+PMGR!BM134+BP!BM134</f>
        <v>0</v>
      </c>
      <c r="BN134" s="106">
        <f>+PMGR!BN134+BP!BN134</f>
        <v>0</v>
      </c>
      <c r="BO134" s="106">
        <f>+PMGR!BO134+BP!BO134</f>
        <v>0</v>
      </c>
      <c r="BP134" s="106">
        <f>+PMGR!BP134+BP!BP134</f>
        <v>0</v>
      </c>
      <c r="BQ134" s="106">
        <f t="shared" ref="BQ134:BQ137" si="672">+SUM(BE134:BP134)</f>
        <v>0</v>
      </c>
      <c r="BR134" s="118"/>
      <c r="BS134" s="106">
        <f>+PMGR!BS134+BP!BS134</f>
        <v>0</v>
      </c>
      <c r="BT134" s="106">
        <f>+PMGR!BT134+BP!BT134</f>
        <v>0</v>
      </c>
      <c r="BU134" s="106">
        <f>+PMGR!BU134+BP!BU134</f>
        <v>0</v>
      </c>
      <c r="BV134" s="106">
        <f>+PMGR!BV134+BP!BV134</f>
        <v>0</v>
      </c>
      <c r="BW134" s="106">
        <f>+PMGR!BW134+BP!BW134</f>
        <v>0</v>
      </c>
      <c r="BX134" s="106">
        <f>+PMGR!BX134+BP!BX134</f>
        <v>0</v>
      </c>
      <c r="BY134" s="106">
        <f>+PMGR!BY134+BP!BY134</f>
        <v>0</v>
      </c>
      <c r="BZ134" s="106">
        <f>+PMGR!BZ134+BP!BZ134</f>
        <v>0</v>
      </c>
      <c r="CA134" s="106">
        <f>+PMGR!CA134+BP!CA134</f>
        <v>0</v>
      </c>
      <c r="CB134" s="106">
        <f>+PMGR!CB134+BP!CB134</f>
        <v>0</v>
      </c>
      <c r="CC134" s="106">
        <f>+PMGR!CC134+BP!CC134</f>
        <v>0</v>
      </c>
      <c r="CD134" s="106">
        <f>+PMGR!CD134+BP!CD134</f>
        <v>0</v>
      </c>
      <c r="CE134" s="106">
        <f t="shared" ref="CE134:CE137" si="673">+SUM(BS134:CD134)</f>
        <v>0</v>
      </c>
      <c r="CF134" s="106"/>
      <c r="CG134" s="106">
        <f>+PMGR!CG134+BP!CG134</f>
        <v>0</v>
      </c>
      <c r="CH134" s="106">
        <f>+PMGR!CH134+BP!CH134</f>
        <v>0</v>
      </c>
      <c r="CI134" s="106">
        <f>+PMGR!CI134+BP!CI134</f>
        <v>0</v>
      </c>
      <c r="CJ134" s="106">
        <f>+PMGR!CJ134+BP!CJ134</f>
        <v>0</v>
      </c>
      <c r="CK134" s="106">
        <f>+PMGR!CK134+BP!CK134</f>
        <v>0</v>
      </c>
      <c r="CL134" s="106">
        <f>+PMGR!CL134+BP!CL134</f>
        <v>0</v>
      </c>
      <c r="CM134" s="106">
        <f>+PMGR!CM134+BP!CM134</f>
        <v>0</v>
      </c>
      <c r="CN134" s="106">
        <f>+PMGR!CN134+BP!CN134</f>
        <v>0</v>
      </c>
      <c r="CO134" s="106">
        <f>+PMGR!CO134+BP!CO134</f>
        <v>0</v>
      </c>
      <c r="CP134" s="106">
        <f>+PMGR!CP134+BP!CP134</f>
        <v>0</v>
      </c>
      <c r="CQ134" s="106">
        <f>+PMGR!CQ134+BP!CQ134</f>
        <v>0</v>
      </c>
      <c r="CR134" s="106">
        <f>+PMGR!CR134+BP!CR134</f>
        <v>0</v>
      </c>
      <c r="CS134" s="106">
        <f t="shared" ref="CS134:CS137" si="674">+SUM(CG134:CR134)</f>
        <v>0</v>
      </c>
      <c r="CT134" s="16" t="str">
        <f t="shared" ref="CT134:CT197" si="675">BD134</f>
        <v>Travel Costs - Other</v>
      </c>
      <c r="CU134" s="106">
        <f>+PMGR!CU134+BP!CU134</f>
        <v>0</v>
      </c>
      <c r="CV134" s="106">
        <f>+PMGR!CV134+BP!CV134</f>
        <v>0</v>
      </c>
      <c r="CW134" s="106">
        <f>+PMGR!CW134+BP!CW134</f>
        <v>0</v>
      </c>
      <c r="CX134" s="106">
        <f>+PMGR!CX134+BP!CX134</f>
        <v>0</v>
      </c>
      <c r="CY134" s="106">
        <f>+PMGR!CY134+BP!CY134</f>
        <v>0</v>
      </c>
      <c r="CZ134" s="106">
        <f>+PMGR!CZ134+BP!CZ134</f>
        <v>0</v>
      </c>
      <c r="DA134" s="106">
        <f>+PMGR!DA134+BP!DA134</f>
        <v>0</v>
      </c>
      <c r="DB134" s="106">
        <f>+PMGR!DB134+BP!DB134</f>
        <v>0</v>
      </c>
      <c r="DC134" s="106">
        <f>+PMGR!DC134+BP!DC134</f>
        <v>0</v>
      </c>
      <c r="DD134" s="106">
        <f>+PMGR!DD134+BP!DD134</f>
        <v>0</v>
      </c>
      <c r="DE134" s="106">
        <f>+PMGR!DE134+BP!DE134</f>
        <v>0</v>
      </c>
      <c r="DF134" s="106">
        <f>+PMGR!DF134+BP!DF134</f>
        <v>0</v>
      </c>
      <c r="DG134" s="106">
        <f t="shared" ref="DG134:DG137" si="676">+SUM(CU134:DF134)</f>
        <v>0</v>
      </c>
      <c r="DH134" s="118"/>
      <c r="DI134" s="106">
        <f>+PMGR!DI134+BP!DI134</f>
        <v>0</v>
      </c>
      <c r="DJ134" s="106">
        <f>+PMGR!DJ134+BP!DJ134</f>
        <v>0</v>
      </c>
      <c r="DK134" s="106">
        <f>+PMGR!DK134+BP!DK134</f>
        <v>0</v>
      </c>
      <c r="DL134" s="106">
        <f>+PMGR!DL134+BP!DL134</f>
        <v>0</v>
      </c>
      <c r="DM134" s="106">
        <f>+PMGR!DM134+BP!DM134</f>
        <v>0</v>
      </c>
      <c r="DN134" s="106">
        <f>+PMGR!DN134+BP!DN134</f>
        <v>0</v>
      </c>
      <c r="DO134" s="106">
        <f>+PMGR!DO134+BP!DO134</f>
        <v>0</v>
      </c>
      <c r="DP134" s="106">
        <f>+PMGR!DP134+BP!DP134</f>
        <v>0</v>
      </c>
      <c r="DQ134" s="106">
        <f>+PMGR!DQ134+BP!DQ134</f>
        <v>0</v>
      </c>
      <c r="DR134" s="106">
        <f>+PMGR!DR134+BP!DR134</f>
        <v>0</v>
      </c>
      <c r="DS134" s="106">
        <f>+PMGR!DS134+BP!DS134</f>
        <v>0</v>
      </c>
      <c r="DT134" s="106">
        <f>+PMGR!DT134+BP!DT134</f>
        <v>0</v>
      </c>
      <c r="DU134" s="106">
        <f t="shared" ref="DU134:DU137" si="677">+SUM(DI134:DT134)</f>
        <v>0</v>
      </c>
      <c r="DV134" s="106"/>
      <c r="DW134" s="106">
        <f>+PMGR!DW134+BP!DW134</f>
        <v>0</v>
      </c>
      <c r="DX134" s="106">
        <f>+PMGR!DX134+BP!DX134</f>
        <v>0</v>
      </c>
      <c r="DY134" s="106">
        <f>+PMGR!DY134+BP!DY134</f>
        <v>0</v>
      </c>
      <c r="DZ134" s="106">
        <f>+PMGR!DZ134+BP!DZ134</f>
        <v>0</v>
      </c>
      <c r="EA134" s="106">
        <f>+PMGR!EA134+BP!EA134</f>
        <v>0</v>
      </c>
      <c r="EB134" s="106">
        <f>+PMGR!EB134+BP!EB134</f>
        <v>0</v>
      </c>
      <c r="EC134" s="106">
        <f>+PMGR!EC134+BP!EC134</f>
        <v>0</v>
      </c>
      <c r="ED134" s="106">
        <f>+PMGR!ED134+BP!ED134</f>
        <v>0</v>
      </c>
      <c r="EE134" s="106">
        <f>+PMGR!EE134+BP!EE134</f>
        <v>0</v>
      </c>
      <c r="EF134" s="106">
        <f>+PMGR!EF134+BP!EF134</f>
        <v>0</v>
      </c>
      <c r="EG134" s="106">
        <f>+PMGR!EG134+BP!EG134</f>
        <v>0</v>
      </c>
      <c r="EH134" s="106">
        <f>+PMGR!EH134+BP!EH134</f>
        <v>0</v>
      </c>
      <c r="EI134" s="106">
        <f t="shared" ref="EI134:EI137" si="678">+SUM(DW134:EH134)</f>
        <v>0</v>
      </c>
      <c r="EJ134" s="16" t="str">
        <f t="shared" si="457"/>
        <v>Travel Costs - Other</v>
      </c>
      <c r="EK134" s="106">
        <f>+PMGR!EK134+BP!EK134</f>
        <v>0</v>
      </c>
      <c r="EL134" s="106">
        <f>+PMGR!EL134+BP!EL134</f>
        <v>0</v>
      </c>
      <c r="EM134" s="106">
        <f>+PMGR!EM134+BP!EM134</f>
        <v>0</v>
      </c>
      <c r="EN134" s="106">
        <f>+PMGR!EN134+BP!EN134</f>
        <v>0</v>
      </c>
      <c r="EO134" s="106">
        <f>+PMGR!EO134+BP!EO134</f>
        <v>0</v>
      </c>
      <c r="EP134" s="106">
        <f>+PMGR!EP134+BP!EP134</f>
        <v>0</v>
      </c>
      <c r="EQ134" s="106">
        <f>+PMGR!EQ134+BP!EQ134</f>
        <v>0</v>
      </c>
      <c r="ER134" s="106">
        <f>+PMGR!ER134+BP!ER134</f>
        <v>0</v>
      </c>
      <c r="ES134" s="106">
        <f>+PMGR!ES134+BP!ES134</f>
        <v>0</v>
      </c>
      <c r="ET134" s="106">
        <f>+PMGR!ET134+BP!ET134</f>
        <v>0</v>
      </c>
      <c r="EU134" s="106">
        <f>+PMGR!EU134+BP!EU134</f>
        <v>0</v>
      </c>
      <c r="EV134" s="106">
        <f>+PMGR!EV134+BP!EV134</f>
        <v>0</v>
      </c>
      <c r="EW134" s="106">
        <f t="shared" ref="EW134:EW137" si="679">+SUM(EK134:EV134)</f>
        <v>0</v>
      </c>
      <c r="EX134" s="118"/>
      <c r="EY134" s="106">
        <f>+PMGR!EY134+BP!EY134</f>
        <v>0</v>
      </c>
      <c r="EZ134" s="106">
        <f>+PMGR!EZ134+BP!EZ134</f>
        <v>0</v>
      </c>
      <c r="FA134" s="106">
        <f>+PMGR!FA134+BP!FA134</f>
        <v>0</v>
      </c>
      <c r="FB134" s="106">
        <f>+PMGR!FB134+BP!FB134</f>
        <v>0</v>
      </c>
      <c r="FC134" s="106">
        <f>+PMGR!FC134+BP!FC134</f>
        <v>0</v>
      </c>
      <c r="FD134" s="106">
        <f>+PMGR!FD134+BP!FD134</f>
        <v>0</v>
      </c>
      <c r="FE134" s="106">
        <f>+PMGR!FE134+BP!FE134</f>
        <v>0</v>
      </c>
      <c r="FF134" s="106">
        <f>+PMGR!FF134+BP!FF134</f>
        <v>0</v>
      </c>
      <c r="FG134" s="106">
        <f>+PMGR!FG134+BP!FG134</f>
        <v>0</v>
      </c>
      <c r="FH134" s="106">
        <f>+PMGR!FH134+BP!FH134</f>
        <v>0</v>
      </c>
      <c r="FI134" s="106">
        <f>+PMGR!FI134+BP!FI134</f>
        <v>0</v>
      </c>
      <c r="FJ134" s="106">
        <f>+PMGR!FJ134+BP!FJ134</f>
        <v>0</v>
      </c>
      <c r="FK134" s="106">
        <f t="shared" ref="FK134:FK137" si="680">+SUM(EY134:FJ134)</f>
        <v>0</v>
      </c>
    </row>
    <row r="135" spans="1:167" ht="14.45" hidden="1" customHeight="1" outlineLevel="1">
      <c r="A135" s="106">
        <f t="shared" si="638"/>
        <v>0</v>
      </c>
      <c r="B135" s="106">
        <f t="shared" si="638"/>
        <v>99531.402999999991</v>
      </c>
      <c r="C135" s="106">
        <f t="shared" si="638"/>
        <v>0</v>
      </c>
      <c r="D135" s="106">
        <f t="shared" si="638"/>
        <v>61228.156000000003</v>
      </c>
      <c r="E135" s="106">
        <f t="shared" si="638"/>
        <v>149505.10199999998</v>
      </c>
      <c r="F135" s="106">
        <f t="shared" si="638"/>
        <v>175196</v>
      </c>
      <c r="G135" s="106">
        <f t="shared" si="638"/>
        <v>171007.5</v>
      </c>
      <c r="H135" s="106">
        <f t="shared" si="638"/>
        <v>400073.68799999997</v>
      </c>
      <c r="I135" s="106">
        <f t="shared" si="638"/>
        <v>157540.63</v>
      </c>
      <c r="J135" s="106">
        <f t="shared" si="638"/>
        <v>110248.2</v>
      </c>
      <c r="K135" s="106">
        <f t="shared" si="638"/>
        <v>189340.682</v>
      </c>
      <c r="L135" s="106">
        <f t="shared" si="638"/>
        <v>184764.27699999997</v>
      </c>
      <c r="M135" s="106">
        <f t="shared" si="665"/>
        <v>1698435.6379999998</v>
      </c>
      <c r="N135" s="16" t="s">
        <v>112</v>
      </c>
      <c r="O135" s="106">
        <f t="shared" si="666"/>
        <v>200649.52999999997</v>
      </c>
      <c r="P135" s="106">
        <f t="shared" si="666"/>
        <v>116745.32650000001</v>
      </c>
      <c r="Q135" s="106">
        <f t="shared" si="666"/>
        <v>226466.58999999997</v>
      </c>
      <c r="R135" s="106">
        <f t="shared" si="666"/>
        <v>188138.18999999997</v>
      </c>
      <c r="S135" s="106">
        <f t="shared" si="666"/>
        <v>68047.839999999997</v>
      </c>
      <c r="T135" s="106">
        <f t="shared" si="666"/>
        <v>183991.67999999999</v>
      </c>
      <c r="U135" s="106">
        <f t="shared" si="666"/>
        <v>93940.91</v>
      </c>
      <c r="V135" s="106">
        <f t="shared" si="666"/>
        <v>194359.82</v>
      </c>
      <c r="W135" s="106">
        <f t="shared" si="666"/>
        <v>117400.09</v>
      </c>
      <c r="X135" s="106">
        <f t="shared" si="666"/>
        <v>147197.94</v>
      </c>
      <c r="Y135" s="106">
        <f t="shared" si="666"/>
        <v>0</v>
      </c>
      <c r="Z135" s="106">
        <f t="shared" si="666"/>
        <v>0</v>
      </c>
      <c r="AA135" s="106">
        <f t="shared" si="667"/>
        <v>1536937.9164999998</v>
      </c>
      <c r="AB135" s="118"/>
      <c r="AC135" s="106">
        <f t="shared" si="668"/>
        <v>165802.04719583332</v>
      </c>
      <c r="AD135" s="106">
        <f t="shared" si="668"/>
        <v>165802.04719583332</v>
      </c>
      <c r="AE135" s="106">
        <f t="shared" si="668"/>
        <v>165802.04719583332</v>
      </c>
      <c r="AF135" s="106">
        <f t="shared" si="668"/>
        <v>165802.04719583332</v>
      </c>
      <c r="AG135" s="106">
        <f t="shared" si="668"/>
        <v>165802.04719583332</v>
      </c>
      <c r="AH135" s="106">
        <f t="shared" si="668"/>
        <v>165802.04719583332</v>
      </c>
      <c r="AI135" s="106">
        <f t="shared" si="668"/>
        <v>165802.04719583332</v>
      </c>
      <c r="AJ135" s="106">
        <f t="shared" si="668"/>
        <v>165802.04719583332</v>
      </c>
      <c r="AK135" s="106">
        <f t="shared" si="668"/>
        <v>165802.04719583332</v>
      </c>
      <c r="AL135" s="106">
        <f t="shared" si="668"/>
        <v>165802.04719583332</v>
      </c>
      <c r="AM135" s="106">
        <f t="shared" si="668"/>
        <v>165802.04719583332</v>
      </c>
      <c r="AN135" s="106">
        <f t="shared" si="668"/>
        <v>165802.04719583332</v>
      </c>
      <c r="AO135" s="106">
        <f t="shared" si="669"/>
        <v>1989624.5663500002</v>
      </c>
      <c r="AP135" s="106"/>
      <c r="AQ135" s="106">
        <f>+PMGR!AQ135+BP!AQ135</f>
        <v>0</v>
      </c>
      <c r="AR135" s="106">
        <f>+PMGR!AR135+BP!AR135</f>
        <v>57759.041999999987</v>
      </c>
      <c r="AS135" s="106">
        <f>+PMGR!AS135+BP!AS135</f>
        <v>0</v>
      </c>
      <c r="AT135" s="106">
        <f>+PMGR!AT135+BP!AT135</f>
        <v>56440.103999999999</v>
      </c>
      <c r="AU135" s="106">
        <f>+PMGR!AU135+BP!AU135</f>
        <v>136108.628</v>
      </c>
      <c r="AV135" s="106">
        <f>+PMGR!AV135+BP!AV135</f>
        <v>123062</v>
      </c>
      <c r="AW135" s="106">
        <f>+PMGR!AW135+BP!AW135</f>
        <v>127901</v>
      </c>
      <c r="AX135" s="106">
        <f>+PMGR!AX135+BP!AX135</f>
        <v>297760.41200000001</v>
      </c>
      <c r="AY135" s="106">
        <f>+PMGR!AY135+BP!AY135</f>
        <v>104318.63</v>
      </c>
      <c r="AZ135" s="106">
        <f>+PMGR!AZ135+BP!AZ135</f>
        <v>105361.2</v>
      </c>
      <c r="BA135" s="106">
        <f>+PMGR!BA135+BP!BA135</f>
        <v>146865.23800000001</v>
      </c>
      <c r="BB135" s="106">
        <f>+PMGR!BB135+BP!BB135</f>
        <v>135317.95799999998</v>
      </c>
      <c r="BC135" s="106">
        <f t="shared" si="670"/>
        <v>1290894.2119999998</v>
      </c>
      <c r="BD135" s="16" t="str">
        <f t="shared" si="671"/>
        <v>Travelling Domestic</v>
      </c>
      <c r="BE135" s="106">
        <f>+PMGR!BE135+BP!BE135</f>
        <v>100911.23</v>
      </c>
      <c r="BF135" s="106">
        <f>+PMGR!BF135+BP!BF135</f>
        <v>104090.12100000001</v>
      </c>
      <c r="BG135" s="106">
        <f>+PMGR!BG135+BP!BG135</f>
        <v>202044.79999999999</v>
      </c>
      <c r="BH135" s="106">
        <f>+PMGR!BH135+BP!BH135</f>
        <v>148933.03999999998</v>
      </c>
      <c r="BI135" s="106">
        <f>+PMGR!BI135+BP!BI135</f>
        <v>33266.94</v>
      </c>
      <c r="BJ135" s="106">
        <f>+PMGR!BJ135+BP!BJ135</f>
        <v>118995.24</v>
      </c>
      <c r="BK135" s="106">
        <f>+PMGR!BK135+BP!BK135</f>
        <v>66592.56</v>
      </c>
      <c r="BL135" s="106">
        <f>+PMGR!BL135+BP!BL135</f>
        <v>69913.8</v>
      </c>
      <c r="BM135" s="106">
        <f>+PMGR!BM135+BP!BM135</f>
        <v>95984</v>
      </c>
      <c r="BN135" s="106">
        <f>+PMGR!BN135+BP!BN135</f>
        <v>95104.61</v>
      </c>
      <c r="BO135" s="106">
        <f>+PMGR!BO135+BP!BO135</f>
        <v>0</v>
      </c>
      <c r="BP135" s="106">
        <f>+PMGR!BP135+BP!BP135</f>
        <v>0</v>
      </c>
      <c r="BQ135" s="106">
        <f t="shared" si="672"/>
        <v>1035836.3410000001</v>
      </c>
      <c r="BR135" s="118"/>
      <c r="BS135" s="106">
        <f>+PMGR!BS135+BP!BS135</f>
        <v>132965.62594166666</v>
      </c>
      <c r="BT135" s="106">
        <f>+PMGR!BT135+BP!BT135</f>
        <v>132965.62594166666</v>
      </c>
      <c r="BU135" s="106">
        <f>+PMGR!BU135+BP!BU135</f>
        <v>132965.62594166666</v>
      </c>
      <c r="BV135" s="106">
        <f>+PMGR!BV135+BP!BV135</f>
        <v>132965.62594166666</v>
      </c>
      <c r="BW135" s="106">
        <f>+PMGR!BW135+BP!BW135</f>
        <v>132965.62594166666</v>
      </c>
      <c r="BX135" s="106">
        <f>+PMGR!BX135+BP!BX135</f>
        <v>132965.62594166666</v>
      </c>
      <c r="BY135" s="106">
        <f>+PMGR!BY135+BP!BY135</f>
        <v>132965.62594166666</v>
      </c>
      <c r="BZ135" s="106">
        <f>+PMGR!BZ135+BP!BZ135</f>
        <v>132965.62594166666</v>
      </c>
      <c r="CA135" s="106">
        <f>+PMGR!CA135+BP!CA135</f>
        <v>132965.62594166666</v>
      </c>
      <c r="CB135" s="106">
        <f>+PMGR!CB135+BP!CB135</f>
        <v>132965.62594166666</v>
      </c>
      <c r="CC135" s="106">
        <f>+PMGR!CC135+BP!CC135</f>
        <v>132965.62594166666</v>
      </c>
      <c r="CD135" s="106">
        <f>+PMGR!CD135+BP!CD135</f>
        <v>132965.62594166666</v>
      </c>
      <c r="CE135" s="106">
        <f t="shared" si="673"/>
        <v>1595587.5113000004</v>
      </c>
      <c r="CF135" s="106"/>
      <c r="CG135" s="106">
        <f>+PMGR!CG135+BP!CG135</f>
        <v>0</v>
      </c>
      <c r="CH135" s="106">
        <f>+PMGR!CH135+BP!CH135</f>
        <v>41772.360999999997</v>
      </c>
      <c r="CI135" s="106">
        <f>+PMGR!CI135+BP!CI135</f>
        <v>0</v>
      </c>
      <c r="CJ135" s="106">
        <f>+PMGR!CJ135+BP!CJ135</f>
        <v>4788.0519999999997</v>
      </c>
      <c r="CK135" s="106">
        <f>+PMGR!CK135+BP!CK135</f>
        <v>13396.473999999998</v>
      </c>
      <c r="CL135" s="106">
        <f>+PMGR!CL135+BP!CL135</f>
        <v>52134</v>
      </c>
      <c r="CM135" s="106">
        <f>+PMGR!CM135+BP!CM135</f>
        <v>43106.5</v>
      </c>
      <c r="CN135" s="106">
        <f>+PMGR!CN135+BP!CN135</f>
        <v>102313.27599999998</v>
      </c>
      <c r="CO135" s="106">
        <f>+PMGR!CO135+BP!CO135</f>
        <v>53222</v>
      </c>
      <c r="CP135" s="106">
        <f>+PMGR!CP135+BP!CP135</f>
        <v>4887</v>
      </c>
      <c r="CQ135" s="106">
        <f>+PMGR!CQ135+BP!CQ135</f>
        <v>42475.443999999996</v>
      </c>
      <c r="CR135" s="106">
        <f>+PMGR!CR135+BP!CR135</f>
        <v>49446.318999999996</v>
      </c>
      <c r="CS135" s="106">
        <f t="shared" si="674"/>
        <v>407541.42599999998</v>
      </c>
      <c r="CT135" s="16" t="str">
        <f t="shared" si="675"/>
        <v>Travelling Domestic</v>
      </c>
      <c r="CU135" s="106">
        <f>+PMGR!CU135+BP!CU135</f>
        <v>10380.259999999998</v>
      </c>
      <c r="CV135" s="106">
        <f>+PMGR!CV135+BP!CV135</f>
        <v>6344.9254999999994</v>
      </c>
      <c r="CW135" s="106">
        <f>+PMGR!CW135+BP!CW135</f>
        <v>15926.08</v>
      </c>
      <c r="CX135" s="106">
        <f>+PMGR!CX135+BP!CX135</f>
        <v>34305.15</v>
      </c>
      <c r="CY135" s="106">
        <f>+PMGR!CY135+BP!CY135</f>
        <v>28561.899999999998</v>
      </c>
      <c r="CZ135" s="106">
        <f>+PMGR!CZ135+BP!CZ135</f>
        <v>46589.3</v>
      </c>
      <c r="DA135" s="106">
        <f>+PMGR!DA135+BP!DA135</f>
        <v>20032.349999999999</v>
      </c>
      <c r="DB135" s="106">
        <f>+PMGR!DB135+BP!DB135</f>
        <v>116726.02</v>
      </c>
      <c r="DC135" s="106">
        <f>+PMGR!DC135+BP!DC135</f>
        <v>12859.95</v>
      </c>
      <c r="DD135" s="106">
        <f>+PMGR!DD135+BP!DD135</f>
        <v>31410.75</v>
      </c>
      <c r="DE135" s="106">
        <f>+PMGR!DE135+BP!DE135</f>
        <v>0</v>
      </c>
      <c r="DF135" s="106">
        <f>+PMGR!DF135+BP!DF135</f>
        <v>0</v>
      </c>
      <c r="DG135" s="106">
        <f t="shared" si="676"/>
        <v>323136.68550000002</v>
      </c>
      <c r="DH135" s="118"/>
      <c r="DI135" s="106">
        <f>+PMGR!DI135+BP!DI135</f>
        <v>32836.421254166671</v>
      </c>
      <c r="DJ135" s="106">
        <f>+PMGR!DJ135+BP!DJ135</f>
        <v>32836.421254166671</v>
      </c>
      <c r="DK135" s="106">
        <f>+PMGR!DK135+BP!DK135</f>
        <v>32836.421254166671</v>
      </c>
      <c r="DL135" s="106">
        <f>+PMGR!DL135+BP!DL135</f>
        <v>32836.421254166671</v>
      </c>
      <c r="DM135" s="106">
        <f>+PMGR!DM135+BP!DM135</f>
        <v>32836.421254166671</v>
      </c>
      <c r="DN135" s="106">
        <f>+PMGR!DN135+BP!DN135</f>
        <v>32836.421254166671</v>
      </c>
      <c r="DO135" s="106">
        <f>+PMGR!DO135+BP!DO135</f>
        <v>32836.421254166671</v>
      </c>
      <c r="DP135" s="106">
        <f>+PMGR!DP135+BP!DP135</f>
        <v>32836.421254166671</v>
      </c>
      <c r="DQ135" s="106">
        <f>+PMGR!DQ135+BP!DQ135</f>
        <v>32836.421254166671</v>
      </c>
      <c r="DR135" s="106">
        <f>+PMGR!DR135+BP!DR135</f>
        <v>32836.421254166671</v>
      </c>
      <c r="DS135" s="106">
        <f>+PMGR!DS135+BP!DS135</f>
        <v>32836.421254166671</v>
      </c>
      <c r="DT135" s="106">
        <f>+PMGR!DT135+BP!DT135</f>
        <v>32836.421254166671</v>
      </c>
      <c r="DU135" s="106">
        <f t="shared" si="677"/>
        <v>394037.05505000014</v>
      </c>
      <c r="DV135" s="106"/>
      <c r="DW135" s="106">
        <f>+PMGR!DW135+BP!DW135</f>
        <v>0</v>
      </c>
      <c r="DX135" s="106">
        <f>+PMGR!DX135+BP!DX135</f>
        <v>0</v>
      </c>
      <c r="DY135" s="106">
        <f>+PMGR!DY135+BP!DY135</f>
        <v>0</v>
      </c>
      <c r="DZ135" s="106">
        <f>+PMGR!DZ135+BP!DZ135</f>
        <v>0</v>
      </c>
      <c r="EA135" s="106">
        <f>+PMGR!EA135+BP!EA135</f>
        <v>0</v>
      </c>
      <c r="EB135" s="106">
        <f>+PMGR!EB135+BP!EB135</f>
        <v>0</v>
      </c>
      <c r="EC135" s="106">
        <f>+PMGR!EC135+BP!EC135</f>
        <v>0</v>
      </c>
      <c r="ED135" s="106">
        <f>+PMGR!ED135+BP!ED135</f>
        <v>0</v>
      </c>
      <c r="EE135" s="106">
        <f>+PMGR!EE135+BP!EE135</f>
        <v>0</v>
      </c>
      <c r="EF135" s="106">
        <f>+PMGR!EF135+BP!EF135</f>
        <v>0</v>
      </c>
      <c r="EG135" s="106">
        <f>+PMGR!EG135+BP!EG135</f>
        <v>0</v>
      </c>
      <c r="EH135" s="106">
        <f>+PMGR!EH135+BP!EH135</f>
        <v>0</v>
      </c>
      <c r="EI135" s="106">
        <f t="shared" si="678"/>
        <v>0</v>
      </c>
      <c r="EJ135" s="16" t="str">
        <f t="shared" si="457"/>
        <v>Travelling Domestic</v>
      </c>
      <c r="EK135" s="106">
        <f>+PMGR!EK135+BP!EK135</f>
        <v>89358.04</v>
      </c>
      <c r="EL135" s="106">
        <f>+PMGR!EL135+BP!EL135</f>
        <v>6310.28</v>
      </c>
      <c r="EM135" s="106">
        <f>+PMGR!EM135+BP!EM135</f>
        <v>8495.7099999999991</v>
      </c>
      <c r="EN135" s="106">
        <f>+PMGR!EN135+BP!EN135</f>
        <v>4900</v>
      </c>
      <c r="EO135" s="106">
        <f>+PMGR!EO135+BP!EO135</f>
        <v>6219</v>
      </c>
      <c r="EP135" s="106">
        <f>+PMGR!EP135+BP!EP135</f>
        <v>18407.14</v>
      </c>
      <c r="EQ135" s="106">
        <f>+PMGR!EQ135+BP!EQ135</f>
        <v>7316</v>
      </c>
      <c r="ER135" s="106">
        <f>+PMGR!ER135+BP!ER135</f>
        <v>7720</v>
      </c>
      <c r="ES135" s="106">
        <f>+PMGR!ES135+BP!ES135</f>
        <v>8556.14</v>
      </c>
      <c r="ET135" s="106">
        <f>+PMGR!ET135+BP!ET135</f>
        <v>20682.580000000002</v>
      </c>
      <c r="EU135" s="106">
        <f>+PMGR!EU135+BP!EU135</f>
        <v>0</v>
      </c>
      <c r="EV135" s="106">
        <f>+PMGR!EV135+BP!EV135</f>
        <v>0</v>
      </c>
      <c r="EW135" s="106">
        <f t="shared" si="679"/>
        <v>177964.89</v>
      </c>
      <c r="EX135" s="118"/>
      <c r="EY135" s="106">
        <f>+PMGR!EY135+BP!EY135</f>
        <v>0</v>
      </c>
      <c r="EZ135" s="106">
        <f>+PMGR!EZ135+BP!EZ135</f>
        <v>0</v>
      </c>
      <c r="FA135" s="106">
        <f>+PMGR!FA135+BP!FA135</f>
        <v>0</v>
      </c>
      <c r="FB135" s="106">
        <f>+PMGR!FB135+BP!FB135</f>
        <v>0</v>
      </c>
      <c r="FC135" s="106">
        <f>+PMGR!FC135+BP!FC135</f>
        <v>0</v>
      </c>
      <c r="FD135" s="106">
        <f>+PMGR!FD135+BP!FD135</f>
        <v>0</v>
      </c>
      <c r="FE135" s="106">
        <f>+PMGR!FE135+BP!FE135</f>
        <v>0</v>
      </c>
      <c r="FF135" s="106">
        <f>+PMGR!FF135+BP!FF135</f>
        <v>0</v>
      </c>
      <c r="FG135" s="106">
        <f>+PMGR!FG135+BP!FG135</f>
        <v>0</v>
      </c>
      <c r="FH135" s="106">
        <f>+PMGR!FH135+BP!FH135</f>
        <v>0</v>
      </c>
      <c r="FI135" s="106">
        <f>+PMGR!FI135+BP!FI135</f>
        <v>0</v>
      </c>
      <c r="FJ135" s="106">
        <f>+PMGR!FJ135+BP!FJ135</f>
        <v>0</v>
      </c>
      <c r="FK135" s="106">
        <f t="shared" si="680"/>
        <v>0</v>
      </c>
    </row>
    <row r="136" spans="1:167" ht="14.45" hidden="1" customHeight="1" outlineLevel="1">
      <c r="A136" s="106">
        <f t="shared" si="638"/>
        <v>0</v>
      </c>
      <c r="B136" s="106">
        <f t="shared" si="638"/>
        <v>0</v>
      </c>
      <c r="C136" s="106">
        <f t="shared" si="638"/>
        <v>0</v>
      </c>
      <c r="D136" s="106">
        <f t="shared" si="638"/>
        <v>0</v>
      </c>
      <c r="E136" s="106">
        <f t="shared" si="638"/>
        <v>0</v>
      </c>
      <c r="F136" s="106">
        <f t="shared" si="638"/>
        <v>0</v>
      </c>
      <c r="G136" s="106">
        <f t="shared" si="638"/>
        <v>0</v>
      </c>
      <c r="H136" s="106">
        <f t="shared" si="638"/>
        <v>0</v>
      </c>
      <c r="I136" s="106">
        <f t="shared" si="638"/>
        <v>0</v>
      </c>
      <c r="J136" s="106">
        <f t="shared" si="638"/>
        <v>0</v>
      </c>
      <c r="K136" s="106">
        <f t="shared" si="638"/>
        <v>0</v>
      </c>
      <c r="L136" s="106">
        <f t="shared" si="638"/>
        <v>0</v>
      </c>
      <c r="M136" s="106">
        <f t="shared" si="665"/>
        <v>0</v>
      </c>
      <c r="N136" s="16" t="s">
        <v>113</v>
      </c>
      <c r="O136" s="106">
        <f t="shared" si="666"/>
        <v>0</v>
      </c>
      <c r="P136" s="106">
        <f t="shared" si="666"/>
        <v>0</v>
      </c>
      <c r="Q136" s="106">
        <f t="shared" si="666"/>
        <v>0</v>
      </c>
      <c r="R136" s="106">
        <f t="shared" si="666"/>
        <v>0</v>
      </c>
      <c r="S136" s="106">
        <f t="shared" si="666"/>
        <v>0</v>
      </c>
      <c r="T136" s="106">
        <f t="shared" si="666"/>
        <v>0</v>
      </c>
      <c r="U136" s="106">
        <f t="shared" si="666"/>
        <v>0</v>
      </c>
      <c r="V136" s="106">
        <f t="shared" si="666"/>
        <v>0</v>
      </c>
      <c r="W136" s="106">
        <f t="shared" si="666"/>
        <v>0</v>
      </c>
      <c r="X136" s="106">
        <f t="shared" si="666"/>
        <v>0</v>
      </c>
      <c r="Y136" s="106">
        <f t="shared" si="666"/>
        <v>0</v>
      </c>
      <c r="Z136" s="106">
        <f t="shared" si="666"/>
        <v>0</v>
      </c>
      <c r="AA136" s="106">
        <f t="shared" si="667"/>
        <v>0</v>
      </c>
      <c r="AB136" s="118"/>
      <c r="AC136" s="106">
        <f t="shared" si="668"/>
        <v>0</v>
      </c>
      <c r="AD136" s="106">
        <f t="shared" si="668"/>
        <v>0</v>
      </c>
      <c r="AE136" s="106">
        <f t="shared" si="668"/>
        <v>0</v>
      </c>
      <c r="AF136" s="106">
        <f t="shared" si="668"/>
        <v>0</v>
      </c>
      <c r="AG136" s="106">
        <f t="shared" si="668"/>
        <v>0</v>
      </c>
      <c r="AH136" s="106">
        <f t="shared" si="668"/>
        <v>0</v>
      </c>
      <c r="AI136" s="106">
        <f t="shared" si="668"/>
        <v>0</v>
      </c>
      <c r="AJ136" s="106">
        <f t="shared" si="668"/>
        <v>0</v>
      </c>
      <c r="AK136" s="106">
        <f t="shared" si="668"/>
        <v>0</v>
      </c>
      <c r="AL136" s="106">
        <f t="shared" si="668"/>
        <v>0</v>
      </c>
      <c r="AM136" s="106">
        <f t="shared" si="668"/>
        <v>0</v>
      </c>
      <c r="AN136" s="106">
        <f t="shared" si="668"/>
        <v>0</v>
      </c>
      <c r="AO136" s="106">
        <f t="shared" si="669"/>
        <v>0</v>
      </c>
      <c r="AP136" s="106"/>
      <c r="AQ136" s="106">
        <f>+PMGR!AQ136+BP!AQ136</f>
        <v>0</v>
      </c>
      <c r="AR136" s="106">
        <f>+PMGR!AR136+BP!AR136</f>
        <v>0</v>
      </c>
      <c r="AS136" s="106">
        <f>+PMGR!AS136+BP!AS136</f>
        <v>0</v>
      </c>
      <c r="AT136" s="106">
        <f>+PMGR!AT136+BP!AT136</f>
        <v>0</v>
      </c>
      <c r="AU136" s="106">
        <f>+PMGR!AU136+BP!AU136</f>
        <v>0</v>
      </c>
      <c r="AV136" s="106">
        <f>+PMGR!AV136+BP!AV136</f>
        <v>0</v>
      </c>
      <c r="AW136" s="106">
        <f>+PMGR!AW136+BP!AW136</f>
        <v>0</v>
      </c>
      <c r="AX136" s="106">
        <f>+PMGR!AX136+BP!AX136</f>
        <v>0</v>
      </c>
      <c r="AY136" s="106">
        <f>+PMGR!AY136+BP!AY136</f>
        <v>0</v>
      </c>
      <c r="AZ136" s="106">
        <f>+PMGR!AZ136+BP!AZ136</f>
        <v>0</v>
      </c>
      <c r="BA136" s="106">
        <f>+PMGR!BA136+BP!BA136</f>
        <v>0</v>
      </c>
      <c r="BB136" s="106">
        <f>+PMGR!BB136+BP!BB136</f>
        <v>0</v>
      </c>
      <c r="BC136" s="106">
        <f t="shared" si="670"/>
        <v>0</v>
      </c>
      <c r="BD136" s="16" t="str">
        <f t="shared" si="671"/>
        <v>Travelling Expenses - Directors</v>
      </c>
      <c r="BE136" s="106">
        <f>+PMGR!BE136+BP!BE136</f>
        <v>0</v>
      </c>
      <c r="BF136" s="106">
        <f>+PMGR!BF136+BP!BF136</f>
        <v>0</v>
      </c>
      <c r="BG136" s="106">
        <f>+PMGR!BG136+BP!BG136</f>
        <v>0</v>
      </c>
      <c r="BH136" s="106">
        <f>+PMGR!BH136+BP!BH136</f>
        <v>0</v>
      </c>
      <c r="BI136" s="106">
        <f>+PMGR!BI136+BP!BI136</f>
        <v>0</v>
      </c>
      <c r="BJ136" s="106">
        <f>+PMGR!BJ136+BP!BJ136</f>
        <v>0</v>
      </c>
      <c r="BK136" s="106">
        <f>+PMGR!BK136+BP!BK136</f>
        <v>0</v>
      </c>
      <c r="BL136" s="106">
        <f>+PMGR!BL136+BP!BL136</f>
        <v>0</v>
      </c>
      <c r="BM136" s="106">
        <f>+PMGR!BM136+BP!BM136</f>
        <v>0</v>
      </c>
      <c r="BN136" s="106">
        <f>+PMGR!BN136+BP!BN136</f>
        <v>0</v>
      </c>
      <c r="BO136" s="106">
        <f>+PMGR!BO136+BP!BO136</f>
        <v>0</v>
      </c>
      <c r="BP136" s="106">
        <f>+PMGR!BP136+BP!BP136</f>
        <v>0</v>
      </c>
      <c r="BQ136" s="106">
        <f t="shared" si="672"/>
        <v>0</v>
      </c>
      <c r="BR136" s="118"/>
      <c r="BS136" s="106">
        <f>+PMGR!BS136+BP!BS136</f>
        <v>0</v>
      </c>
      <c r="BT136" s="106">
        <f>+PMGR!BT136+BP!BT136</f>
        <v>0</v>
      </c>
      <c r="BU136" s="106">
        <f>+PMGR!BU136+BP!BU136</f>
        <v>0</v>
      </c>
      <c r="BV136" s="106">
        <f>+PMGR!BV136+BP!BV136</f>
        <v>0</v>
      </c>
      <c r="BW136" s="106">
        <f>+PMGR!BW136+BP!BW136</f>
        <v>0</v>
      </c>
      <c r="BX136" s="106">
        <f>+PMGR!BX136+BP!BX136</f>
        <v>0</v>
      </c>
      <c r="BY136" s="106">
        <f>+PMGR!BY136+BP!BY136</f>
        <v>0</v>
      </c>
      <c r="BZ136" s="106">
        <f>+PMGR!BZ136+BP!BZ136</f>
        <v>0</v>
      </c>
      <c r="CA136" s="106">
        <f>+PMGR!CA136+BP!CA136</f>
        <v>0</v>
      </c>
      <c r="CB136" s="106">
        <f>+PMGR!CB136+BP!CB136</f>
        <v>0</v>
      </c>
      <c r="CC136" s="106">
        <f>+PMGR!CC136+BP!CC136</f>
        <v>0</v>
      </c>
      <c r="CD136" s="106">
        <f>+PMGR!CD136+BP!CD136</f>
        <v>0</v>
      </c>
      <c r="CE136" s="106">
        <f t="shared" si="673"/>
        <v>0</v>
      </c>
      <c r="CF136" s="106"/>
      <c r="CG136" s="106">
        <f>+PMGR!CG136+BP!CG136</f>
        <v>0</v>
      </c>
      <c r="CH136" s="106">
        <f>+PMGR!CH136+BP!CH136</f>
        <v>0</v>
      </c>
      <c r="CI136" s="106">
        <f>+PMGR!CI136+BP!CI136</f>
        <v>0</v>
      </c>
      <c r="CJ136" s="106">
        <f>+PMGR!CJ136+BP!CJ136</f>
        <v>0</v>
      </c>
      <c r="CK136" s="106">
        <f>+PMGR!CK136+BP!CK136</f>
        <v>0</v>
      </c>
      <c r="CL136" s="106">
        <f>+PMGR!CL136+BP!CL136</f>
        <v>0</v>
      </c>
      <c r="CM136" s="106">
        <f>+PMGR!CM136+BP!CM136</f>
        <v>0</v>
      </c>
      <c r="CN136" s="106">
        <f>+PMGR!CN136+BP!CN136</f>
        <v>0</v>
      </c>
      <c r="CO136" s="106">
        <f>+PMGR!CO136+BP!CO136</f>
        <v>0</v>
      </c>
      <c r="CP136" s="106">
        <f>+PMGR!CP136+BP!CP136</f>
        <v>0</v>
      </c>
      <c r="CQ136" s="106">
        <f>+PMGR!CQ136+BP!CQ136</f>
        <v>0</v>
      </c>
      <c r="CR136" s="106">
        <f>+PMGR!CR136+BP!CR136</f>
        <v>0</v>
      </c>
      <c r="CS136" s="106">
        <f t="shared" si="674"/>
        <v>0</v>
      </c>
      <c r="CT136" s="16" t="str">
        <f t="shared" si="675"/>
        <v>Travelling Expenses - Directors</v>
      </c>
      <c r="CU136" s="106">
        <f>+PMGR!CU136+BP!CU136</f>
        <v>0</v>
      </c>
      <c r="CV136" s="106">
        <f>+PMGR!CV136+BP!CV136</f>
        <v>0</v>
      </c>
      <c r="CW136" s="106">
        <f>+PMGR!CW136+BP!CW136</f>
        <v>0</v>
      </c>
      <c r="CX136" s="106">
        <f>+PMGR!CX136+BP!CX136</f>
        <v>0</v>
      </c>
      <c r="CY136" s="106">
        <f>+PMGR!CY136+BP!CY136</f>
        <v>0</v>
      </c>
      <c r="CZ136" s="106">
        <f>+PMGR!CZ136+BP!CZ136</f>
        <v>0</v>
      </c>
      <c r="DA136" s="106">
        <f>+PMGR!DA136+BP!DA136</f>
        <v>0</v>
      </c>
      <c r="DB136" s="106">
        <f>+PMGR!DB136+BP!DB136</f>
        <v>0</v>
      </c>
      <c r="DC136" s="106">
        <f>+PMGR!DC136+BP!DC136</f>
        <v>0</v>
      </c>
      <c r="DD136" s="106">
        <f>+PMGR!DD136+BP!DD136</f>
        <v>0</v>
      </c>
      <c r="DE136" s="106">
        <f>+PMGR!DE136+BP!DE136</f>
        <v>0</v>
      </c>
      <c r="DF136" s="106">
        <f>+PMGR!DF136+BP!DF136</f>
        <v>0</v>
      </c>
      <c r="DG136" s="106">
        <f t="shared" si="676"/>
        <v>0</v>
      </c>
      <c r="DH136" s="118"/>
      <c r="DI136" s="106">
        <f>+PMGR!DI136+BP!DI136</f>
        <v>0</v>
      </c>
      <c r="DJ136" s="106">
        <f>+PMGR!DJ136+BP!DJ136</f>
        <v>0</v>
      </c>
      <c r="DK136" s="106">
        <f>+PMGR!DK136+BP!DK136</f>
        <v>0</v>
      </c>
      <c r="DL136" s="106">
        <f>+PMGR!DL136+BP!DL136</f>
        <v>0</v>
      </c>
      <c r="DM136" s="106">
        <f>+PMGR!DM136+BP!DM136</f>
        <v>0</v>
      </c>
      <c r="DN136" s="106">
        <f>+PMGR!DN136+BP!DN136</f>
        <v>0</v>
      </c>
      <c r="DO136" s="106">
        <f>+PMGR!DO136+BP!DO136</f>
        <v>0</v>
      </c>
      <c r="DP136" s="106">
        <f>+PMGR!DP136+BP!DP136</f>
        <v>0</v>
      </c>
      <c r="DQ136" s="106">
        <f>+PMGR!DQ136+BP!DQ136</f>
        <v>0</v>
      </c>
      <c r="DR136" s="106">
        <f>+PMGR!DR136+BP!DR136</f>
        <v>0</v>
      </c>
      <c r="DS136" s="106">
        <f>+PMGR!DS136+BP!DS136</f>
        <v>0</v>
      </c>
      <c r="DT136" s="106">
        <f>+PMGR!DT136+BP!DT136</f>
        <v>0</v>
      </c>
      <c r="DU136" s="106">
        <f t="shared" si="677"/>
        <v>0</v>
      </c>
      <c r="DV136" s="106"/>
      <c r="DW136" s="106">
        <f>+PMGR!DW136+BP!DW136</f>
        <v>0</v>
      </c>
      <c r="DX136" s="106">
        <f>+PMGR!DX136+BP!DX136</f>
        <v>0</v>
      </c>
      <c r="DY136" s="106">
        <f>+PMGR!DY136+BP!DY136</f>
        <v>0</v>
      </c>
      <c r="DZ136" s="106">
        <f>+PMGR!DZ136+BP!DZ136</f>
        <v>0</v>
      </c>
      <c r="EA136" s="106">
        <f>+PMGR!EA136+BP!EA136</f>
        <v>0</v>
      </c>
      <c r="EB136" s="106">
        <f>+PMGR!EB136+BP!EB136</f>
        <v>0</v>
      </c>
      <c r="EC136" s="106">
        <f>+PMGR!EC136+BP!EC136</f>
        <v>0</v>
      </c>
      <c r="ED136" s="106">
        <f>+PMGR!ED136+BP!ED136</f>
        <v>0</v>
      </c>
      <c r="EE136" s="106">
        <f>+PMGR!EE136+BP!EE136</f>
        <v>0</v>
      </c>
      <c r="EF136" s="106">
        <f>+PMGR!EF136+BP!EF136</f>
        <v>0</v>
      </c>
      <c r="EG136" s="106">
        <f>+PMGR!EG136+BP!EG136</f>
        <v>0</v>
      </c>
      <c r="EH136" s="106">
        <f>+PMGR!EH136+BP!EH136</f>
        <v>0</v>
      </c>
      <c r="EI136" s="106">
        <f t="shared" si="678"/>
        <v>0</v>
      </c>
      <c r="EJ136" s="16" t="str">
        <f t="shared" si="457"/>
        <v>Travelling Expenses - Directors</v>
      </c>
      <c r="EK136" s="106">
        <f>+PMGR!EK136+BP!EK136</f>
        <v>0</v>
      </c>
      <c r="EL136" s="106">
        <f>+PMGR!EL136+BP!EL136</f>
        <v>0</v>
      </c>
      <c r="EM136" s="106">
        <f>+PMGR!EM136+BP!EM136</f>
        <v>0</v>
      </c>
      <c r="EN136" s="106">
        <f>+PMGR!EN136+BP!EN136</f>
        <v>0</v>
      </c>
      <c r="EO136" s="106">
        <f>+PMGR!EO136+BP!EO136</f>
        <v>0</v>
      </c>
      <c r="EP136" s="106">
        <f>+PMGR!EP136+BP!EP136</f>
        <v>0</v>
      </c>
      <c r="EQ136" s="106">
        <f>+PMGR!EQ136+BP!EQ136</f>
        <v>0</v>
      </c>
      <c r="ER136" s="106">
        <f>+PMGR!ER136+BP!ER136</f>
        <v>0</v>
      </c>
      <c r="ES136" s="106">
        <f>+PMGR!ES136+BP!ES136</f>
        <v>0</v>
      </c>
      <c r="ET136" s="106">
        <f>+PMGR!ET136+BP!ET136</f>
        <v>0</v>
      </c>
      <c r="EU136" s="106">
        <f>+PMGR!EU136+BP!EU136</f>
        <v>0</v>
      </c>
      <c r="EV136" s="106">
        <f>+PMGR!EV136+BP!EV136</f>
        <v>0</v>
      </c>
      <c r="EW136" s="106">
        <f t="shared" si="679"/>
        <v>0</v>
      </c>
      <c r="EX136" s="118"/>
      <c r="EY136" s="106">
        <f>+PMGR!EY136+BP!EY136</f>
        <v>0</v>
      </c>
      <c r="EZ136" s="106">
        <f>+PMGR!EZ136+BP!EZ136</f>
        <v>0</v>
      </c>
      <c r="FA136" s="106">
        <f>+PMGR!FA136+BP!FA136</f>
        <v>0</v>
      </c>
      <c r="FB136" s="106">
        <f>+PMGR!FB136+BP!FB136</f>
        <v>0</v>
      </c>
      <c r="FC136" s="106">
        <f>+PMGR!FC136+BP!FC136</f>
        <v>0</v>
      </c>
      <c r="FD136" s="106">
        <f>+PMGR!FD136+BP!FD136</f>
        <v>0</v>
      </c>
      <c r="FE136" s="106">
        <f>+PMGR!FE136+BP!FE136</f>
        <v>0</v>
      </c>
      <c r="FF136" s="106">
        <f>+PMGR!FF136+BP!FF136</f>
        <v>0</v>
      </c>
      <c r="FG136" s="106">
        <f>+PMGR!FG136+BP!FG136</f>
        <v>0</v>
      </c>
      <c r="FH136" s="106">
        <f>+PMGR!FH136+BP!FH136</f>
        <v>0</v>
      </c>
      <c r="FI136" s="106">
        <f>+PMGR!FI136+BP!FI136</f>
        <v>0</v>
      </c>
      <c r="FJ136" s="106">
        <f>+PMGR!FJ136+BP!FJ136</f>
        <v>0</v>
      </c>
      <c r="FK136" s="106">
        <f t="shared" si="680"/>
        <v>0</v>
      </c>
    </row>
    <row r="137" spans="1:167" ht="14.45" hidden="1" customHeight="1" outlineLevel="1">
      <c r="A137" s="106">
        <f t="shared" si="638"/>
        <v>75200</v>
      </c>
      <c r="B137" s="106">
        <f t="shared" si="638"/>
        <v>0</v>
      </c>
      <c r="C137" s="106">
        <f t="shared" si="638"/>
        <v>0</v>
      </c>
      <c r="D137" s="106">
        <f t="shared" si="638"/>
        <v>0</v>
      </c>
      <c r="E137" s="106">
        <f t="shared" si="638"/>
        <v>0</v>
      </c>
      <c r="F137" s="106">
        <f t="shared" si="638"/>
        <v>0</v>
      </c>
      <c r="G137" s="106">
        <f t="shared" si="638"/>
        <v>0</v>
      </c>
      <c r="H137" s="106">
        <f t="shared" si="638"/>
        <v>0</v>
      </c>
      <c r="I137" s="106">
        <f t="shared" si="638"/>
        <v>0</v>
      </c>
      <c r="J137" s="106">
        <f t="shared" si="638"/>
        <v>0</v>
      </c>
      <c r="K137" s="106">
        <f t="shared" si="638"/>
        <v>0</v>
      </c>
      <c r="L137" s="106">
        <f t="shared" si="638"/>
        <v>0</v>
      </c>
      <c r="M137" s="106">
        <f t="shared" si="665"/>
        <v>75200</v>
      </c>
      <c r="N137" s="16" t="s">
        <v>114</v>
      </c>
      <c r="O137" s="106">
        <f t="shared" si="666"/>
        <v>0</v>
      </c>
      <c r="P137" s="106">
        <f t="shared" si="666"/>
        <v>0</v>
      </c>
      <c r="Q137" s="106">
        <f t="shared" si="666"/>
        <v>0</v>
      </c>
      <c r="R137" s="106">
        <f t="shared" si="666"/>
        <v>0</v>
      </c>
      <c r="S137" s="106">
        <f t="shared" si="666"/>
        <v>-46216.35</v>
      </c>
      <c r="T137" s="106">
        <f t="shared" si="666"/>
        <v>0</v>
      </c>
      <c r="U137" s="106">
        <f t="shared" si="666"/>
        <v>205799.2965</v>
      </c>
      <c r="V137" s="106">
        <f t="shared" si="666"/>
        <v>0</v>
      </c>
      <c r="W137" s="106">
        <f t="shared" si="666"/>
        <v>0</v>
      </c>
      <c r="X137" s="106">
        <f t="shared" si="666"/>
        <v>0</v>
      </c>
      <c r="Y137" s="106">
        <f t="shared" si="666"/>
        <v>0</v>
      </c>
      <c r="Z137" s="106">
        <f t="shared" si="666"/>
        <v>0</v>
      </c>
      <c r="AA137" s="106">
        <f t="shared" si="667"/>
        <v>159582.94649999999</v>
      </c>
      <c r="AB137" s="118"/>
      <c r="AC137" s="106">
        <f t="shared" si="668"/>
        <v>0</v>
      </c>
      <c r="AD137" s="106">
        <f t="shared" si="668"/>
        <v>0</v>
      </c>
      <c r="AE137" s="106">
        <f t="shared" si="668"/>
        <v>0</v>
      </c>
      <c r="AF137" s="106">
        <f t="shared" si="668"/>
        <v>0</v>
      </c>
      <c r="AG137" s="106">
        <f t="shared" si="668"/>
        <v>0</v>
      </c>
      <c r="AH137" s="106">
        <f t="shared" si="668"/>
        <v>0</v>
      </c>
      <c r="AI137" s="106">
        <f t="shared" si="668"/>
        <v>0</v>
      </c>
      <c r="AJ137" s="106">
        <f t="shared" si="668"/>
        <v>0</v>
      </c>
      <c r="AK137" s="106">
        <f t="shared" si="668"/>
        <v>0</v>
      </c>
      <c r="AL137" s="106">
        <f t="shared" si="668"/>
        <v>0</v>
      </c>
      <c r="AM137" s="106">
        <f t="shared" si="668"/>
        <v>0</v>
      </c>
      <c r="AN137" s="106">
        <f t="shared" si="668"/>
        <v>0</v>
      </c>
      <c r="AO137" s="106">
        <f t="shared" si="669"/>
        <v>0</v>
      </c>
      <c r="AP137" s="106"/>
      <c r="AQ137" s="106">
        <f>+PMGR!AQ137+BP!AQ137</f>
        <v>75200</v>
      </c>
      <c r="AR137" s="106">
        <f>+PMGR!AR137+BP!AR137</f>
        <v>0</v>
      </c>
      <c r="AS137" s="106">
        <f>+PMGR!AS137+BP!AS137</f>
        <v>0</v>
      </c>
      <c r="AT137" s="106">
        <f>+PMGR!AT137+BP!AT137</f>
        <v>0</v>
      </c>
      <c r="AU137" s="106">
        <f>+PMGR!AU137+BP!AU137</f>
        <v>0</v>
      </c>
      <c r="AV137" s="106">
        <f>+PMGR!AV137+BP!AV137</f>
        <v>0</v>
      </c>
      <c r="AW137" s="106">
        <f>+PMGR!AW137+BP!AW137</f>
        <v>0</v>
      </c>
      <c r="AX137" s="106">
        <f>+PMGR!AX137+BP!AX137</f>
        <v>0</v>
      </c>
      <c r="AY137" s="106">
        <f>+PMGR!AY137+BP!AY137</f>
        <v>0</v>
      </c>
      <c r="AZ137" s="106">
        <f>+PMGR!AZ137+BP!AZ137</f>
        <v>0</v>
      </c>
      <c r="BA137" s="106">
        <f>+PMGR!BA137+BP!BA137</f>
        <v>0</v>
      </c>
      <c r="BB137" s="106">
        <f>+PMGR!BB137+BP!BB137</f>
        <v>0</v>
      </c>
      <c r="BC137" s="106">
        <f t="shared" si="670"/>
        <v>75200</v>
      </c>
      <c r="BD137" s="16" t="str">
        <f t="shared" si="671"/>
        <v>Travelling Foreign</v>
      </c>
      <c r="BE137" s="106">
        <f>+PMGR!BE137+BP!BE137</f>
        <v>0</v>
      </c>
      <c r="BF137" s="106">
        <f>+PMGR!BF137+BP!BF137</f>
        <v>0</v>
      </c>
      <c r="BG137" s="106">
        <f>+PMGR!BG137+BP!BG137</f>
        <v>0</v>
      </c>
      <c r="BH137" s="106">
        <f>+PMGR!BH137+BP!BH137</f>
        <v>0</v>
      </c>
      <c r="BI137" s="106">
        <f>+PMGR!BI137+BP!BI137</f>
        <v>-30810.899999999998</v>
      </c>
      <c r="BJ137" s="106">
        <f>+PMGR!BJ137+BP!BJ137</f>
        <v>0</v>
      </c>
      <c r="BK137" s="106">
        <f>+PMGR!BK137+BP!BK137</f>
        <v>137199.53099999999</v>
      </c>
      <c r="BL137" s="106">
        <f>+PMGR!BL137+BP!BL137</f>
        <v>0</v>
      </c>
      <c r="BM137" s="106">
        <f>+PMGR!BM137+BP!BM137</f>
        <v>0</v>
      </c>
      <c r="BN137" s="106">
        <f>+PMGR!BN137+BP!BN137</f>
        <v>0</v>
      </c>
      <c r="BO137" s="106">
        <f>+PMGR!BO137+BP!BO137</f>
        <v>0</v>
      </c>
      <c r="BP137" s="106">
        <f>+PMGR!BP137+BP!BP137</f>
        <v>0</v>
      </c>
      <c r="BQ137" s="106">
        <f t="shared" si="672"/>
        <v>106388.63099999999</v>
      </c>
      <c r="BR137" s="118"/>
      <c r="BS137" s="106">
        <f>+PMGR!BS137+BP!BS137</f>
        <v>0</v>
      </c>
      <c r="BT137" s="106">
        <f>+PMGR!BT137+BP!BT137</f>
        <v>0</v>
      </c>
      <c r="BU137" s="106">
        <f>+PMGR!BU137+BP!BU137</f>
        <v>0</v>
      </c>
      <c r="BV137" s="106">
        <f>+PMGR!BV137+BP!BV137</f>
        <v>0</v>
      </c>
      <c r="BW137" s="106">
        <f>+PMGR!BW137+BP!BW137</f>
        <v>0</v>
      </c>
      <c r="BX137" s="106">
        <f>+PMGR!BX137+BP!BX137</f>
        <v>0</v>
      </c>
      <c r="BY137" s="106">
        <f>+PMGR!BY137+BP!BY137</f>
        <v>0</v>
      </c>
      <c r="BZ137" s="106">
        <f>+PMGR!BZ137+BP!BZ137</f>
        <v>0</v>
      </c>
      <c r="CA137" s="106">
        <f>+PMGR!CA137+BP!CA137</f>
        <v>0</v>
      </c>
      <c r="CB137" s="106">
        <f>+PMGR!CB137+BP!CB137</f>
        <v>0</v>
      </c>
      <c r="CC137" s="106">
        <f>+PMGR!CC137+BP!CC137</f>
        <v>0</v>
      </c>
      <c r="CD137" s="106">
        <f>+PMGR!CD137+BP!CD137</f>
        <v>0</v>
      </c>
      <c r="CE137" s="106">
        <f t="shared" si="673"/>
        <v>0</v>
      </c>
      <c r="CF137" s="106"/>
      <c r="CG137" s="106">
        <f>+PMGR!CG137+BP!CG137</f>
        <v>0</v>
      </c>
      <c r="CH137" s="106">
        <f>+PMGR!CH137+BP!CH137</f>
        <v>0</v>
      </c>
      <c r="CI137" s="106">
        <f>+PMGR!CI137+BP!CI137</f>
        <v>0</v>
      </c>
      <c r="CJ137" s="106">
        <f>+PMGR!CJ137+BP!CJ137</f>
        <v>0</v>
      </c>
      <c r="CK137" s="106">
        <f>+PMGR!CK137+BP!CK137</f>
        <v>0</v>
      </c>
      <c r="CL137" s="106">
        <f>+PMGR!CL137+BP!CL137</f>
        <v>0</v>
      </c>
      <c r="CM137" s="106">
        <f>+PMGR!CM137+BP!CM137</f>
        <v>0</v>
      </c>
      <c r="CN137" s="106">
        <f>+PMGR!CN137+BP!CN137</f>
        <v>0</v>
      </c>
      <c r="CO137" s="106">
        <f>+PMGR!CO137+BP!CO137</f>
        <v>0</v>
      </c>
      <c r="CP137" s="106">
        <f>+PMGR!CP137+BP!CP137</f>
        <v>0</v>
      </c>
      <c r="CQ137" s="106">
        <f>+PMGR!CQ137+BP!CQ137</f>
        <v>0</v>
      </c>
      <c r="CR137" s="106">
        <f>+PMGR!CR137+BP!CR137</f>
        <v>0</v>
      </c>
      <c r="CS137" s="106">
        <f t="shared" si="674"/>
        <v>0</v>
      </c>
      <c r="CT137" s="16" t="str">
        <f t="shared" si="675"/>
        <v>Travelling Foreign</v>
      </c>
      <c r="CU137" s="106">
        <f>+PMGR!CU137+BP!CU137</f>
        <v>0</v>
      </c>
      <c r="CV137" s="106">
        <f>+PMGR!CV137+BP!CV137</f>
        <v>0</v>
      </c>
      <c r="CW137" s="106">
        <f>+PMGR!CW137+BP!CW137</f>
        <v>0</v>
      </c>
      <c r="CX137" s="106">
        <f>+PMGR!CX137+BP!CX137</f>
        <v>0</v>
      </c>
      <c r="CY137" s="106">
        <f>+PMGR!CY137+BP!CY137</f>
        <v>-15405.449999999999</v>
      </c>
      <c r="CZ137" s="106">
        <f>+PMGR!CZ137+BP!CZ137</f>
        <v>0</v>
      </c>
      <c r="DA137" s="106">
        <f>+PMGR!DA137+BP!DA137</f>
        <v>68599.765499999994</v>
      </c>
      <c r="DB137" s="106">
        <f>+PMGR!DB137+BP!DB137</f>
        <v>0</v>
      </c>
      <c r="DC137" s="106">
        <f>+PMGR!DC137+BP!DC137</f>
        <v>0</v>
      </c>
      <c r="DD137" s="106">
        <f>+PMGR!DD137+BP!DD137</f>
        <v>0</v>
      </c>
      <c r="DE137" s="106">
        <f>+PMGR!DE137+BP!DE137</f>
        <v>0</v>
      </c>
      <c r="DF137" s="106">
        <f>+PMGR!DF137+BP!DF137</f>
        <v>0</v>
      </c>
      <c r="DG137" s="106">
        <f t="shared" si="676"/>
        <v>53194.315499999997</v>
      </c>
      <c r="DH137" s="118"/>
      <c r="DI137" s="106">
        <f>+PMGR!DI137+BP!DI137</f>
        <v>0</v>
      </c>
      <c r="DJ137" s="106">
        <f>+PMGR!DJ137+BP!DJ137</f>
        <v>0</v>
      </c>
      <c r="DK137" s="106">
        <f>+PMGR!DK137+BP!DK137</f>
        <v>0</v>
      </c>
      <c r="DL137" s="106">
        <f>+PMGR!DL137+BP!DL137</f>
        <v>0</v>
      </c>
      <c r="DM137" s="106">
        <f>+PMGR!DM137+BP!DM137</f>
        <v>0</v>
      </c>
      <c r="DN137" s="106">
        <f>+PMGR!DN137+BP!DN137</f>
        <v>0</v>
      </c>
      <c r="DO137" s="106">
        <f>+PMGR!DO137+BP!DO137</f>
        <v>0</v>
      </c>
      <c r="DP137" s="106">
        <f>+PMGR!DP137+BP!DP137</f>
        <v>0</v>
      </c>
      <c r="DQ137" s="106">
        <f>+PMGR!DQ137+BP!DQ137</f>
        <v>0</v>
      </c>
      <c r="DR137" s="106">
        <f>+PMGR!DR137+BP!DR137</f>
        <v>0</v>
      </c>
      <c r="DS137" s="106">
        <f>+PMGR!DS137+BP!DS137</f>
        <v>0</v>
      </c>
      <c r="DT137" s="106">
        <f>+PMGR!DT137+BP!DT137</f>
        <v>0</v>
      </c>
      <c r="DU137" s="106">
        <f t="shared" si="677"/>
        <v>0</v>
      </c>
      <c r="DV137" s="106"/>
      <c r="DW137" s="106">
        <f>+PMGR!DW137+BP!DW137</f>
        <v>0</v>
      </c>
      <c r="DX137" s="106">
        <f>+PMGR!DX137+BP!DX137</f>
        <v>0</v>
      </c>
      <c r="DY137" s="106">
        <f>+PMGR!DY137+BP!DY137</f>
        <v>0</v>
      </c>
      <c r="DZ137" s="106">
        <f>+PMGR!DZ137+BP!DZ137</f>
        <v>0</v>
      </c>
      <c r="EA137" s="106">
        <f>+PMGR!EA137+BP!EA137</f>
        <v>0</v>
      </c>
      <c r="EB137" s="106">
        <f>+PMGR!EB137+BP!EB137</f>
        <v>0</v>
      </c>
      <c r="EC137" s="106">
        <f>+PMGR!EC137+BP!EC137</f>
        <v>0</v>
      </c>
      <c r="ED137" s="106">
        <f>+PMGR!ED137+BP!ED137</f>
        <v>0</v>
      </c>
      <c r="EE137" s="106">
        <f>+PMGR!EE137+BP!EE137</f>
        <v>0</v>
      </c>
      <c r="EF137" s="106">
        <f>+PMGR!EF137+BP!EF137</f>
        <v>0</v>
      </c>
      <c r="EG137" s="106">
        <f>+PMGR!EG137+BP!EG137</f>
        <v>0</v>
      </c>
      <c r="EH137" s="106">
        <f>+PMGR!EH137+BP!EH137</f>
        <v>0</v>
      </c>
      <c r="EI137" s="106">
        <f t="shared" si="678"/>
        <v>0</v>
      </c>
      <c r="EJ137" s="16" t="str">
        <f t="shared" ref="EJ137:EJ200" si="681">CT137</f>
        <v>Travelling Foreign</v>
      </c>
      <c r="EK137" s="106">
        <f>+PMGR!EK137+BP!EK137</f>
        <v>0</v>
      </c>
      <c r="EL137" s="106">
        <f>+PMGR!EL137+BP!EL137</f>
        <v>0</v>
      </c>
      <c r="EM137" s="106">
        <f>+PMGR!EM137+BP!EM137</f>
        <v>0</v>
      </c>
      <c r="EN137" s="106">
        <f>+PMGR!EN137+BP!EN137</f>
        <v>0</v>
      </c>
      <c r="EO137" s="106">
        <f>+PMGR!EO137+BP!EO137</f>
        <v>0</v>
      </c>
      <c r="EP137" s="106">
        <f>+PMGR!EP137+BP!EP137</f>
        <v>0</v>
      </c>
      <c r="EQ137" s="106">
        <f>+PMGR!EQ137+BP!EQ137</f>
        <v>0</v>
      </c>
      <c r="ER137" s="106">
        <f>+PMGR!ER137+BP!ER137</f>
        <v>0</v>
      </c>
      <c r="ES137" s="106">
        <f>+PMGR!ES137+BP!ES137</f>
        <v>0</v>
      </c>
      <c r="ET137" s="106">
        <f>+PMGR!ET137+BP!ET137</f>
        <v>0</v>
      </c>
      <c r="EU137" s="106">
        <f>+PMGR!EU137+BP!EU137</f>
        <v>0</v>
      </c>
      <c r="EV137" s="106">
        <f>+PMGR!EV137+BP!EV137</f>
        <v>0</v>
      </c>
      <c r="EW137" s="106">
        <f t="shared" si="679"/>
        <v>0</v>
      </c>
      <c r="EX137" s="118"/>
      <c r="EY137" s="106">
        <f>+PMGR!EY137+BP!EY137</f>
        <v>0</v>
      </c>
      <c r="EZ137" s="106">
        <f>+PMGR!EZ137+BP!EZ137</f>
        <v>0</v>
      </c>
      <c r="FA137" s="106">
        <f>+PMGR!FA137+BP!FA137</f>
        <v>0</v>
      </c>
      <c r="FB137" s="106">
        <f>+PMGR!FB137+BP!FB137</f>
        <v>0</v>
      </c>
      <c r="FC137" s="106">
        <f>+PMGR!FC137+BP!FC137</f>
        <v>0</v>
      </c>
      <c r="FD137" s="106">
        <f>+PMGR!FD137+BP!FD137</f>
        <v>0</v>
      </c>
      <c r="FE137" s="106">
        <f>+PMGR!FE137+BP!FE137</f>
        <v>0</v>
      </c>
      <c r="FF137" s="106">
        <f>+PMGR!FF137+BP!FF137</f>
        <v>0</v>
      </c>
      <c r="FG137" s="106">
        <f>+PMGR!FG137+BP!FG137</f>
        <v>0</v>
      </c>
      <c r="FH137" s="106">
        <f>+PMGR!FH137+BP!FH137</f>
        <v>0</v>
      </c>
      <c r="FI137" s="106">
        <f>+PMGR!FI137+BP!FI137</f>
        <v>0</v>
      </c>
      <c r="FJ137" s="106">
        <f>+PMGR!FJ137+BP!FJ137</f>
        <v>0</v>
      </c>
      <c r="FK137" s="106">
        <f t="shared" si="680"/>
        <v>0</v>
      </c>
    </row>
    <row r="138" spans="1:167" ht="14.45" customHeight="1" collapsed="1">
      <c r="A138" s="58">
        <f t="shared" ref="A138:M138" si="682">+SUM(A139:A145)</f>
        <v>192070.41500000001</v>
      </c>
      <c r="B138" s="58">
        <f t="shared" si="682"/>
        <v>205546.64</v>
      </c>
      <c r="C138" s="58">
        <f t="shared" si="682"/>
        <v>179985.13</v>
      </c>
      <c r="D138" s="58">
        <f t="shared" si="682"/>
        <v>217624.125</v>
      </c>
      <c r="E138" s="58">
        <f t="shared" si="682"/>
        <v>210368.77499999999</v>
      </c>
      <c r="F138" s="58">
        <f t="shared" si="682"/>
        <v>297671.78000000003</v>
      </c>
      <c r="G138" s="58">
        <f t="shared" si="682"/>
        <v>217471.27499999999</v>
      </c>
      <c r="H138" s="58">
        <f t="shared" si="682"/>
        <v>229597.27500000002</v>
      </c>
      <c r="I138" s="58">
        <f t="shared" si="682"/>
        <v>238209.38500000001</v>
      </c>
      <c r="J138" s="58">
        <f t="shared" si="682"/>
        <v>266701.56</v>
      </c>
      <c r="K138" s="58">
        <f t="shared" si="682"/>
        <v>407085.44199999998</v>
      </c>
      <c r="L138" s="58">
        <f t="shared" si="682"/>
        <v>235851.59000000003</v>
      </c>
      <c r="M138" s="58">
        <f t="shared" si="682"/>
        <v>2898183.392</v>
      </c>
      <c r="N138" s="20" t="s">
        <v>115</v>
      </c>
      <c r="O138" s="58">
        <f t="shared" ref="O138:AA138" si="683">+SUM(O139:O145)</f>
        <v>361482.33333333331</v>
      </c>
      <c r="P138" s="58">
        <f t="shared" si="683"/>
        <v>310526.23333333334</v>
      </c>
      <c r="Q138" s="58">
        <f t="shared" si="683"/>
        <v>321458.3833333333</v>
      </c>
      <c r="R138" s="58">
        <f t="shared" si="683"/>
        <v>289592.57973333332</v>
      </c>
      <c r="S138" s="58">
        <f t="shared" si="683"/>
        <v>411039.04500000004</v>
      </c>
      <c r="T138" s="58">
        <f t="shared" si="683"/>
        <v>403826.94499999995</v>
      </c>
      <c r="U138" s="58">
        <f t="shared" si="683"/>
        <v>213563.43808219177</v>
      </c>
      <c r="V138" s="58">
        <f t="shared" si="683"/>
        <v>202780.32500000001</v>
      </c>
      <c r="W138" s="58">
        <f t="shared" si="683"/>
        <v>296101.02</v>
      </c>
      <c r="X138" s="58">
        <f t="shared" si="683"/>
        <v>216264.25</v>
      </c>
      <c r="Y138" s="58">
        <f t="shared" si="683"/>
        <v>0</v>
      </c>
      <c r="Z138" s="58">
        <f t="shared" si="683"/>
        <v>0</v>
      </c>
      <c r="AA138" s="58">
        <f t="shared" si="683"/>
        <v>3026634.5528155253</v>
      </c>
      <c r="AB138" s="118"/>
      <c r="AC138" s="58">
        <f t="shared" ref="AC138:AO138" si="684">+SUM(AC139:AC145)</f>
        <v>338430.48486111109</v>
      </c>
      <c r="AD138" s="58">
        <f t="shared" si="684"/>
        <v>338430.48486111109</v>
      </c>
      <c r="AE138" s="58">
        <f t="shared" si="684"/>
        <v>375180.48486111109</v>
      </c>
      <c r="AF138" s="58">
        <f t="shared" si="684"/>
        <v>424180.48486111109</v>
      </c>
      <c r="AG138" s="58">
        <f t="shared" si="684"/>
        <v>338430.48486111109</v>
      </c>
      <c r="AH138" s="58">
        <f t="shared" si="684"/>
        <v>344555.48486111109</v>
      </c>
      <c r="AI138" s="58">
        <f t="shared" si="684"/>
        <v>338430.48486111109</v>
      </c>
      <c r="AJ138" s="58">
        <f t="shared" si="684"/>
        <v>338430.48486111109</v>
      </c>
      <c r="AK138" s="58">
        <f t="shared" si="684"/>
        <v>375180.48486111109</v>
      </c>
      <c r="AL138" s="58">
        <f t="shared" si="684"/>
        <v>797222.15152777778</v>
      </c>
      <c r="AM138" s="58">
        <f t="shared" si="684"/>
        <v>338430.48486111109</v>
      </c>
      <c r="AN138" s="58">
        <f t="shared" si="684"/>
        <v>394555.48486111109</v>
      </c>
      <c r="AO138" s="58">
        <f t="shared" si="684"/>
        <v>4741457.4850000003</v>
      </c>
      <c r="AP138" s="106"/>
      <c r="AQ138" s="58">
        <f t="shared" ref="AQ138:BC138" si="685">+SUM(AQ139:AQ145)</f>
        <v>142599.85999999999</v>
      </c>
      <c r="AR138" s="58">
        <f t="shared" si="685"/>
        <v>157248.20000000001</v>
      </c>
      <c r="AS138" s="58">
        <f t="shared" si="685"/>
        <v>132373.78</v>
      </c>
      <c r="AT138" s="58">
        <f t="shared" si="685"/>
        <v>161748.9</v>
      </c>
      <c r="AU138" s="58">
        <f t="shared" si="685"/>
        <v>154209.04999999999</v>
      </c>
      <c r="AV138" s="58">
        <f t="shared" si="685"/>
        <v>201950</v>
      </c>
      <c r="AW138" s="58">
        <f t="shared" si="685"/>
        <v>158923.04999999999</v>
      </c>
      <c r="AX138" s="58">
        <f t="shared" si="685"/>
        <v>178626.85</v>
      </c>
      <c r="AY138" s="58">
        <f t="shared" si="685"/>
        <v>176546.09</v>
      </c>
      <c r="AZ138" s="58">
        <f t="shared" si="685"/>
        <v>226571.64</v>
      </c>
      <c r="BA138" s="58">
        <f t="shared" si="685"/>
        <v>370335.10800000001</v>
      </c>
      <c r="BB138" s="58">
        <f t="shared" si="685"/>
        <v>206250.54</v>
      </c>
      <c r="BC138" s="58">
        <f t="shared" si="685"/>
        <v>2267383.0679999995</v>
      </c>
      <c r="BD138" s="20" t="str">
        <f t="shared" si="671"/>
        <v>Employee Benefit Expenses</v>
      </c>
      <c r="BE138" s="58">
        <f t="shared" ref="BE138:BQ138" si="686">+SUM(BE139:BE145)</f>
        <v>150051.16666666666</v>
      </c>
      <c r="BF138" s="58">
        <f t="shared" si="686"/>
        <v>177598.56666666665</v>
      </c>
      <c r="BG138" s="58">
        <f t="shared" si="686"/>
        <v>159765.61666666667</v>
      </c>
      <c r="BH138" s="58">
        <f t="shared" si="686"/>
        <v>168734.91426666666</v>
      </c>
      <c r="BI138" s="58">
        <f t="shared" si="686"/>
        <v>239200.03000000003</v>
      </c>
      <c r="BJ138" s="58">
        <f t="shared" si="686"/>
        <v>226830.13</v>
      </c>
      <c r="BK138" s="58">
        <f t="shared" si="686"/>
        <v>105923.60205479452</v>
      </c>
      <c r="BL138" s="58">
        <f t="shared" si="686"/>
        <v>101602.5</v>
      </c>
      <c r="BM138" s="58">
        <f t="shared" si="686"/>
        <v>167435.26999999999</v>
      </c>
      <c r="BN138" s="58">
        <f t="shared" si="686"/>
        <v>101272.5</v>
      </c>
      <c r="BO138" s="58">
        <f t="shared" si="686"/>
        <v>0</v>
      </c>
      <c r="BP138" s="58">
        <f t="shared" si="686"/>
        <v>0</v>
      </c>
      <c r="BQ138" s="58">
        <f t="shared" si="686"/>
        <v>1598414.2963214612</v>
      </c>
      <c r="BR138" s="118"/>
      <c r="BS138" s="58">
        <f t="shared" ref="BS138:CE138" si="687">+SUM(BS139:BS145)</f>
        <v>176845.13083333333</v>
      </c>
      <c r="BT138" s="58">
        <f t="shared" si="687"/>
        <v>176845.13083333333</v>
      </c>
      <c r="BU138" s="58">
        <f t="shared" si="687"/>
        <v>197345.13083333333</v>
      </c>
      <c r="BV138" s="58">
        <f t="shared" si="687"/>
        <v>224678.46416666667</v>
      </c>
      <c r="BW138" s="58">
        <f t="shared" si="687"/>
        <v>176845.13083333333</v>
      </c>
      <c r="BX138" s="58">
        <f t="shared" si="687"/>
        <v>180261.79749999999</v>
      </c>
      <c r="BY138" s="58">
        <f t="shared" si="687"/>
        <v>176845.13083333333</v>
      </c>
      <c r="BZ138" s="58">
        <f t="shared" si="687"/>
        <v>176845.13083333333</v>
      </c>
      <c r="CA138" s="58">
        <f t="shared" si="687"/>
        <v>197345.13083333333</v>
      </c>
      <c r="CB138" s="58">
        <f t="shared" si="687"/>
        <v>439928.46416666673</v>
      </c>
      <c r="CC138" s="58">
        <f t="shared" si="687"/>
        <v>176845.13083333333</v>
      </c>
      <c r="CD138" s="58">
        <f t="shared" si="687"/>
        <v>200261.79749999999</v>
      </c>
      <c r="CE138" s="58">
        <f t="shared" si="687"/>
        <v>2500891.5699999998</v>
      </c>
      <c r="CF138" s="106"/>
      <c r="CG138" s="58">
        <f t="shared" ref="CG138:CS138" si="688">+SUM(CG139:CG145)</f>
        <v>49470.555</v>
      </c>
      <c r="CH138" s="58">
        <f t="shared" si="688"/>
        <v>48298.44</v>
      </c>
      <c r="CI138" s="58">
        <f t="shared" si="688"/>
        <v>47611.35</v>
      </c>
      <c r="CJ138" s="58">
        <f t="shared" si="688"/>
        <v>55875.224999999999</v>
      </c>
      <c r="CK138" s="58">
        <f t="shared" si="688"/>
        <v>56159.724999999991</v>
      </c>
      <c r="CL138" s="58">
        <f t="shared" si="688"/>
        <v>95721.78</v>
      </c>
      <c r="CM138" s="58">
        <f t="shared" si="688"/>
        <v>58548.224999999999</v>
      </c>
      <c r="CN138" s="58">
        <f t="shared" si="688"/>
        <v>50970.425000000003</v>
      </c>
      <c r="CO138" s="58">
        <f t="shared" si="688"/>
        <v>61663.294999999998</v>
      </c>
      <c r="CP138" s="58">
        <f t="shared" si="688"/>
        <v>40129.919999999998</v>
      </c>
      <c r="CQ138" s="58">
        <f t="shared" si="688"/>
        <v>36750.334000000003</v>
      </c>
      <c r="CR138" s="58">
        <f t="shared" si="688"/>
        <v>29601.05</v>
      </c>
      <c r="CS138" s="58">
        <f t="shared" si="688"/>
        <v>630800.32399999991</v>
      </c>
      <c r="CT138" s="20" t="str">
        <f t="shared" si="675"/>
        <v>Employee Benefit Expenses</v>
      </c>
      <c r="CU138" s="58">
        <f t="shared" ref="CU138:DG138" si="689">+SUM(CU139:CU145)</f>
        <v>63068.166666666664</v>
      </c>
      <c r="CV138" s="58">
        <f t="shared" si="689"/>
        <v>82664.666666666657</v>
      </c>
      <c r="CW138" s="58">
        <f t="shared" si="689"/>
        <v>83361.456666666665</v>
      </c>
      <c r="CX138" s="58">
        <f t="shared" si="689"/>
        <v>77902.665466666658</v>
      </c>
      <c r="CY138" s="58">
        <f t="shared" si="689"/>
        <v>123410.01500000001</v>
      </c>
      <c r="CZ138" s="58">
        <f t="shared" si="689"/>
        <v>118707.41499999999</v>
      </c>
      <c r="DA138" s="58">
        <f t="shared" si="689"/>
        <v>62051.836027397258</v>
      </c>
      <c r="DB138" s="58">
        <f t="shared" si="689"/>
        <v>54166.824999999997</v>
      </c>
      <c r="DC138" s="58">
        <f t="shared" si="689"/>
        <v>59879.75</v>
      </c>
      <c r="DD138" s="58">
        <f t="shared" si="689"/>
        <v>66069.75</v>
      </c>
      <c r="DE138" s="58">
        <f t="shared" si="689"/>
        <v>0</v>
      </c>
      <c r="DF138" s="58">
        <f t="shared" si="689"/>
        <v>0</v>
      </c>
      <c r="DG138" s="58">
        <f t="shared" si="689"/>
        <v>791282.54649406392</v>
      </c>
      <c r="DH138" s="118"/>
      <c r="DI138" s="58">
        <f t="shared" ref="DI138:DU138" si="690">+SUM(DI139:DI145)</f>
        <v>86491.604027777765</v>
      </c>
      <c r="DJ138" s="58">
        <f t="shared" si="690"/>
        <v>86491.604027777765</v>
      </c>
      <c r="DK138" s="58">
        <f t="shared" si="690"/>
        <v>96991.604027777765</v>
      </c>
      <c r="DL138" s="58">
        <f t="shared" si="690"/>
        <v>110991.60402777776</v>
      </c>
      <c r="DM138" s="58">
        <f t="shared" si="690"/>
        <v>86491.604027777765</v>
      </c>
      <c r="DN138" s="58">
        <f t="shared" si="690"/>
        <v>88241.604027777765</v>
      </c>
      <c r="DO138" s="58">
        <f t="shared" si="690"/>
        <v>86491.604027777765</v>
      </c>
      <c r="DP138" s="58">
        <f t="shared" si="690"/>
        <v>86491.604027777765</v>
      </c>
      <c r="DQ138" s="58">
        <f t="shared" si="690"/>
        <v>96991.604027777765</v>
      </c>
      <c r="DR138" s="58">
        <f t="shared" si="690"/>
        <v>208408.27069444442</v>
      </c>
      <c r="DS138" s="58">
        <f t="shared" si="690"/>
        <v>86491.604027777765</v>
      </c>
      <c r="DT138" s="58">
        <f t="shared" si="690"/>
        <v>108241.60402777776</v>
      </c>
      <c r="DU138" s="58">
        <f t="shared" si="690"/>
        <v>1228815.9149999998</v>
      </c>
      <c r="DV138" s="106"/>
      <c r="DW138" s="58">
        <f t="shared" ref="DW138:EI138" si="691">+SUM(DW139:DW145)</f>
        <v>0</v>
      </c>
      <c r="DX138" s="58">
        <f t="shared" si="691"/>
        <v>0</v>
      </c>
      <c r="DY138" s="58">
        <f t="shared" si="691"/>
        <v>0</v>
      </c>
      <c r="DZ138" s="58">
        <f t="shared" si="691"/>
        <v>0</v>
      </c>
      <c r="EA138" s="58">
        <f t="shared" si="691"/>
        <v>0</v>
      </c>
      <c r="EB138" s="58">
        <f t="shared" si="691"/>
        <v>0</v>
      </c>
      <c r="EC138" s="58">
        <f t="shared" si="691"/>
        <v>0</v>
      </c>
      <c r="ED138" s="58">
        <f t="shared" si="691"/>
        <v>0</v>
      </c>
      <c r="EE138" s="58">
        <f t="shared" si="691"/>
        <v>0</v>
      </c>
      <c r="EF138" s="58">
        <f t="shared" si="691"/>
        <v>0</v>
      </c>
      <c r="EG138" s="58">
        <f t="shared" si="691"/>
        <v>0</v>
      </c>
      <c r="EH138" s="58">
        <f t="shared" si="691"/>
        <v>0</v>
      </c>
      <c r="EI138" s="58">
        <f t="shared" si="691"/>
        <v>0</v>
      </c>
      <c r="EJ138" s="20" t="str">
        <f t="shared" si="681"/>
        <v>Employee Benefit Expenses</v>
      </c>
      <c r="EK138" s="58">
        <f t="shared" ref="EK138:EW138" si="692">+SUM(EK139:EK145)</f>
        <v>148363</v>
      </c>
      <c r="EL138" s="58">
        <f t="shared" si="692"/>
        <v>50263</v>
      </c>
      <c r="EM138" s="58">
        <f t="shared" si="692"/>
        <v>78331.31</v>
      </c>
      <c r="EN138" s="58">
        <f t="shared" si="692"/>
        <v>42955</v>
      </c>
      <c r="EO138" s="58">
        <f t="shared" si="692"/>
        <v>48429</v>
      </c>
      <c r="EP138" s="58">
        <f t="shared" si="692"/>
        <v>58289.4</v>
      </c>
      <c r="EQ138" s="58">
        <f t="shared" si="692"/>
        <v>45588</v>
      </c>
      <c r="ER138" s="58">
        <f t="shared" si="692"/>
        <v>47011</v>
      </c>
      <c r="ES138" s="58">
        <f t="shared" si="692"/>
        <v>68786</v>
      </c>
      <c r="ET138" s="58">
        <f t="shared" si="692"/>
        <v>48922</v>
      </c>
      <c r="EU138" s="58">
        <f t="shared" si="692"/>
        <v>0</v>
      </c>
      <c r="EV138" s="58">
        <f t="shared" si="692"/>
        <v>0</v>
      </c>
      <c r="EW138" s="58">
        <f t="shared" si="692"/>
        <v>636937.71000000008</v>
      </c>
      <c r="EX138" s="118"/>
      <c r="EY138" s="58">
        <f t="shared" ref="EY138:FK138" si="693">+SUM(EY139:EY145)</f>
        <v>75093.749999999985</v>
      </c>
      <c r="EZ138" s="58">
        <f t="shared" si="693"/>
        <v>75093.749999999985</v>
      </c>
      <c r="FA138" s="58">
        <f t="shared" si="693"/>
        <v>80843.749999999985</v>
      </c>
      <c r="FB138" s="58">
        <f t="shared" si="693"/>
        <v>88510.416666666657</v>
      </c>
      <c r="FC138" s="58">
        <f t="shared" si="693"/>
        <v>75093.749999999985</v>
      </c>
      <c r="FD138" s="58">
        <f t="shared" si="693"/>
        <v>76052.083333333328</v>
      </c>
      <c r="FE138" s="58">
        <f t="shared" si="693"/>
        <v>75093.749999999985</v>
      </c>
      <c r="FF138" s="58">
        <f t="shared" si="693"/>
        <v>75093.749999999985</v>
      </c>
      <c r="FG138" s="58">
        <f t="shared" si="693"/>
        <v>80843.749999999985</v>
      </c>
      <c r="FH138" s="58">
        <f t="shared" si="693"/>
        <v>148885.41666666666</v>
      </c>
      <c r="FI138" s="58">
        <f t="shared" si="693"/>
        <v>75093.749999999985</v>
      </c>
      <c r="FJ138" s="58">
        <f t="shared" si="693"/>
        <v>86052.083333333328</v>
      </c>
      <c r="FK138" s="58">
        <f t="shared" si="693"/>
        <v>1011749.9999999999</v>
      </c>
    </row>
    <row r="139" spans="1:167" ht="14.45" hidden="1" customHeight="1" outlineLevel="1">
      <c r="A139" s="106">
        <f t="shared" si="638"/>
        <v>13343.3</v>
      </c>
      <c r="B139" s="106">
        <f t="shared" si="638"/>
        <v>14668.3</v>
      </c>
      <c r="C139" s="106">
        <f t="shared" si="638"/>
        <v>12768.3</v>
      </c>
      <c r="D139" s="106">
        <f t="shared" si="638"/>
        <v>13539.3</v>
      </c>
      <c r="E139" s="106">
        <f t="shared" si="638"/>
        <v>13088.3</v>
      </c>
      <c r="F139" s="106">
        <f t="shared" si="638"/>
        <v>12908.3</v>
      </c>
      <c r="G139" s="106">
        <f t="shared" si="638"/>
        <v>14358.3</v>
      </c>
      <c r="H139" s="106">
        <f t="shared" si="638"/>
        <v>14675.8</v>
      </c>
      <c r="I139" s="106">
        <f t="shared" si="638"/>
        <v>12768.3</v>
      </c>
      <c r="J139" s="106">
        <f t="shared" si="638"/>
        <v>13903.3</v>
      </c>
      <c r="K139" s="106">
        <f t="shared" si="638"/>
        <v>8570.5020000000004</v>
      </c>
      <c r="L139" s="106">
        <f t="shared" si="638"/>
        <v>932.5</v>
      </c>
      <c r="M139" s="106">
        <f t="shared" ref="M139:M145" si="694">+SUM(A139:L139)</f>
        <v>145524.50200000001</v>
      </c>
      <c r="N139" s="16" t="s">
        <v>116</v>
      </c>
      <c r="O139" s="106">
        <f t="shared" ref="O139:Z145" si="695">+BE139+CU139+EK139</f>
        <v>1178</v>
      </c>
      <c r="P139" s="106">
        <f t="shared" si="695"/>
        <v>500</v>
      </c>
      <c r="Q139" s="106">
        <f t="shared" si="695"/>
        <v>0</v>
      </c>
      <c r="R139" s="106">
        <f t="shared" si="695"/>
        <v>34344.546399999999</v>
      </c>
      <c r="S139" s="106">
        <f t="shared" si="695"/>
        <v>29381.902999999998</v>
      </c>
      <c r="T139" s="106">
        <f t="shared" si="695"/>
        <v>28339.402999999998</v>
      </c>
      <c r="U139" s="106">
        <f t="shared" si="695"/>
        <v>29435.403082191777</v>
      </c>
      <c r="V139" s="106">
        <f t="shared" si="695"/>
        <v>28019.25</v>
      </c>
      <c r="W139" s="106">
        <f t="shared" si="695"/>
        <v>29026.25</v>
      </c>
      <c r="X139" s="106">
        <f t="shared" si="695"/>
        <v>31535.75</v>
      </c>
      <c r="Y139" s="106">
        <f t="shared" si="695"/>
        <v>0</v>
      </c>
      <c r="Z139" s="106">
        <f t="shared" si="695"/>
        <v>0</v>
      </c>
      <c r="AA139" s="106">
        <f t="shared" ref="AA139:AA145" si="696">+SUM(O139:Z139)</f>
        <v>211760.50548219177</v>
      </c>
      <c r="AB139" s="118"/>
      <c r="AC139" s="106">
        <f t="shared" ref="AC139:AN145" si="697">+BS139+DI139+EY139</f>
        <v>33250</v>
      </c>
      <c r="AD139" s="106">
        <f t="shared" si="697"/>
        <v>33250</v>
      </c>
      <c r="AE139" s="106">
        <f t="shared" si="697"/>
        <v>33250</v>
      </c>
      <c r="AF139" s="106">
        <f t="shared" si="697"/>
        <v>33250</v>
      </c>
      <c r="AG139" s="106">
        <f t="shared" si="697"/>
        <v>33250</v>
      </c>
      <c r="AH139" s="106">
        <f t="shared" si="697"/>
        <v>33250</v>
      </c>
      <c r="AI139" s="106">
        <f t="shared" si="697"/>
        <v>33250</v>
      </c>
      <c r="AJ139" s="106">
        <f t="shared" si="697"/>
        <v>33250</v>
      </c>
      <c r="AK139" s="106">
        <f t="shared" si="697"/>
        <v>33250</v>
      </c>
      <c r="AL139" s="106">
        <f t="shared" si="697"/>
        <v>33250</v>
      </c>
      <c r="AM139" s="106">
        <f t="shared" si="697"/>
        <v>33250</v>
      </c>
      <c r="AN139" s="106">
        <f t="shared" si="697"/>
        <v>33250</v>
      </c>
      <c r="AO139" s="106">
        <f t="shared" ref="AO139:AO145" si="698">+SUM(AC139:AN139)</f>
        <v>399000</v>
      </c>
      <c r="AP139" s="106"/>
      <c r="AQ139" s="106">
        <f>+PMGR!AQ139+BP!AQ139</f>
        <v>8512.1999999999989</v>
      </c>
      <c r="AR139" s="106">
        <f>+PMGR!AR139+BP!AR139</f>
        <v>10287.199999999999</v>
      </c>
      <c r="AS139" s="106">
        <f>+PMGR!AS139+BP!AS139</f>
        <v>8512.1999999999989</v>
      </c>
      <c r="AT139" s="106">
        <f>+PMGR!AT139+BP!AT139</f>
        <v>8512.1999999999989</v>
      </c>
      <c r="AU139" s="106">
        <f>+PMGR!AU139+BP!AU139</f>
        <v>8832.1999999999989</v>
      </c>
      <c r="AV139" s="106">
        <f>+PMGR!AV139+BP!AV139</f>
        <v>8652.1999999999989</v>
      </c>
      <c r="AW139" s="106">
        <f>+PMGR!AW139+BP!AW139</f>
        <v>10062.199999999999</v>
      </c>
      <c r="AX139" s="106">
        <f>+PMGR!AX139+BP!AX139</f>
        <v>9423.1999999999989</v>
      </c>
      <c r="AY139" s="106">
        <f>+PMGR!AY139+BP!AY139</f>
        <v>8512.1999999999989</v>
      </c>
      <c r="AZ139" s="106">
        <f>+PMGR!AZ139+BP!AZ139</f>
        <v>9647.1999999999989</v>
      </c>
      <c r="BA139" s="106">
        <f>+PMGR!BA139+BP!BA139</f>
        <v>5713.6680000000006</v>
      </c>
      <c r="BB139" s="106">
        <f>+PMGR!BB139+BP!BB139</f>
        <v>0</v>
      </c>
      <c r="BC139" s="106">
        <f t="shared" ref="BC139:BC145" si="699">+SUM(AQ139:BB139)</f>
        <v>96666.667999999991</v>
      </c>
      <c r="BD139" s="16" t="str">
        <f t="shared" si="671"/>
        <v>Medical Expenses</v>
      </c>
      <c r="BE139" s="106">
        <f>+PMGR!BE139+BP!BE139</f>
        <v>1178</v>
      </c>
      <c r="BF139" s="106">
        <f>+PMGR!BF139+BP!BF139</f>
        <v>500</v>
      </c>
      <c r="BG139" s="106">
        <f>+PMGR!BG139+BP!BG139</f>
        <v>0</v>
      </c>
      <c r="BH139" s="106">
        <f>+PMGR!BH139+BP!BH139</f>
        <v>23439.6976</v>
      </c>
      <c r="BI139" s="106">
        <f>+PMGR!BI139+BP!BI139</f>
        <v>18994.601999999999</v>
      </c>
      <c r="BJ139" s="106">
        <f>+PMGR!BJ139+BP!BJ139</f>
        <v>18679.601999999999</v>
      </c>
      <c r="BK139" s="106">
        <f>+PMGR!BK139+BP!BK139</f>
        <v>18679.602054794519</v>
      </c>
      <c r="BL139" s="106">
        <f>+PMGR!BL139+BP!BL139</f>
        <v>18679.5</v>
      </c>
      <c r="BM139" s="106">
        <f>+PMGR!BM139+BP!BM139</f>
        <v>19061.5</v>
      </c>
      <c r="BN139" s="106">
        <f>+PMGR!BN139+BP!BN139</f>
        <v>20837.5</v>
      </c>
      <c r="BO139" s="106">
        <f>+PMGR!BO139+BP!BO139</f>
        <v>0</v>
      </c>
      <c r="BP139" s="106">
        <f>+PMGR!BP139+BP!BP139</f>
        <v>0</v>
      </c>
      <c r="BQ139" s="106">
        <f t="shared" ref="BQ139:BQ145" si="700">+SUM(BE139:BP139)</f>
        <v>140050.00365479453</v>
      </c>
      <c r="BR139" s="118"/>
      <c r="BS139" s="106">
        <f>+PMGR!BS139+BP!BS139</f>
        <v>19000</v>
      </c>
      <c r="BT139" s="106">
        <f>+PMGR!BT139+BP!BT139</f>
        <v>19000</v>
      </c>
      <c r="BU139" s="106">
        <f>+PMGR!BU139+BP!BU139</f>
        <v>19000</v>
      </c>
      <c r="BV139" s="106">
        <f>+PMGR!BV139+BP!BV139</f>
        <v>19000</v>
      </c>
      <c r="BW139" s="106">
        <f>+PMGR!BW139+BP!BW139</f>
        <v>19000</v>
      </c>
      <c r="BX139" s="106">
        <f>+PMGR!BX139+BP!BX139</f>
        <v>19000</v>
      </c>
      <c r="BY139" s="106">
        <f>+PMGR!BY139+BP!BY139</f>
        <v>19000</v>
      </c>
      <c r="BZ139" s="106">
        <f>+PMGR!BZ139+BP!BZ139</f>
        <v>19000</v>
      </c>
      <c r="CA139" s="106">
        <f>+PMGR!CA139+BP!CA139</f>
        <v>19000</v>
      </c>
      <c r="CB139" s="106">
        <f>+PMGR!CB139+BP!CB139</f>
        <v>19000</v>
      </c>
      <c r="CC139" s="106">
        <f>+PMGR!CC139+BP!CC139</f>
        <v>19000</v>
      </c>
      <c r="CD139" s="106">
        <f>+PMGR!CD139+BP!CD139</f>
        <v>19000</v>
      </c>
      <c r="CE139" s="106">
        <f t="shared" ref="CE139:CE145" si="701">+SUM(BS139:CD139)</f>
        <v>228000</v>
      </c>
      <c r="CF139" s="106"/>
      <c r="CG139" s="106">
        <f>+PMGR!CG139+BP!CG139</f>
        <v>4831.0999999999995</v>
      </c>
      <c r="CH139" s="106">
        <f>+PMGR!CH139+BP!CH139</f>
        <v>4381.0999999999995</v>
      </c>
      <c r="CI139" s="106">
        <f>+PMGR!CI139+BP!CI139</f>
        <v>4256.0999999999995</v>
      </c>
      <c r="CJ139" s="106">
        <f>+PMGR!CJ139+BP!CJ139</f>
        <v>5027.0999999999995</v>
      </c>
      <c r="CK139" s="106">
        <f>+PMGR!CK139+BP!CK139</f>
        <v>4256.0999999999995</v>
      </c>
      <c r="CL139" s="106">
        <f>+PMGR!CL139+BP!CL139</f>
        <v>4256.0999999999995</v>
      </c>
      <c r="CM139" s="106">
        <f>+PMGR!CM139+BP!CM139</f>
        <v>4296.0999999999995</v>
      </c>
      <c r="CN139" s="106">
        <f>+PMGR!CN139+BP!CN139</f>
        <v>5252.5999999999995</v>
      </c>
      <c r="CO139" s="106">
        <f>+PMGR!CO139+BP!CO139</f>
        <v>4256.0999999999995</v>
      </c>
      <c r="CP139" s="106">
        <f>+PMGR!CP139+BP!CP139</f>
        <v>4256.0999999999995</v>
      </c>
      <c r="CQ139" s="106">
        <f>+PMGR!CQ139+BP!CQ139</f>
        <v>2856.8340000000003</v>
      </c>
      <c r="CR139" s="106">
        <f>+PMGR!CR139+BP!CR139</f>
        <v>932.5</v>
      </c>
      <c r="CS139" s="106">
        <f t="shared" ref="CS139:CS145" si="702">+SUM(CG139:CR139)</f>
        <v>48857.833999999995</v>
      </c>
      <c r="CT139" s="16" t="str">
        <f t="shared" si="675"/>
        <v>Medical Expenses</v>
      </c>
      <c r="CU139" s="106">
        <f>+PMGR!CU139+BP!CU139</f>
        <v>0</v>
      </c>
      <c r="CV139" s="106">
        <f>+PMGR!CV139+BP!CV139</f>
        <v>0</v>
      </c>
      <c r="CW139" s="106">
        <f>+PMGR!CW139+BP!CW139</f>
        <v>0</v>
      </c>
      <c r="CX139" s="106">
        <f>+PMGR!CX139+BP!CX139</f>
        <v>10904.8488</v>
      </c>
      <c r="CY139" s="106">
        <f>+PMGR!CY139+BP!CY139</f>
        <v>10387.300999999999</v>
      </c>
      <c r="CZ139" s="106">
        <f>+PMGR!CZ139+BP!CZ139</f>
        <v>9339.8009999999995</v>
      </c>
      <c r="DA139" s="106">
        <f>+PMGR!DA139+BP!DA139</f>
        <v>10655.80102739726</v>
      </c>
      <c r="DB139" s="106">
        <f>+PMGR!DB139+BP!DB139</f>
        <v>9339.75</v>
      </c>
      <c r="DC139" s="106">
        <f>+PMGR!DC139+BP!DC139</f>
        <v>9964.75</v>
      </c>
      <c r="DD139" s="106">
        <f>+PMGR!DD139+BP!DD139</f>
        <v>10698.25</v>
      </c>
      <c r="DE139" s="106">
        <f>+PMGR!DE139+BP!DE139</f>
        <v>0</v>
      </c>
      <c r="DF139" s="106">
        <f>+PMGR!DF139+BP!DF139</f>
        <v>0</v>
      </c>
      <c r="DG139" s="106">
        <f t="shared" ref="DG139:DG145" si="703">+SUM(CU139:DF139)</f>
        <v>71290.501827397267</v>
      </c>
      <c r="DH139" s="118"/>
      <c r="DI139" s="106">
        <f>+PMGR!DI139+BP!DI139</f>
        <v>7750</v>
      </c>
      <c r="DJ139" s="106">
        <f>+PMGR!DJ139+BP!DJ139</f>
        <v>7750</v>
      </c>
      <c r="DK139" s="106">
        <f>+PMGR!DK139+BP!DK139</f>
        <v>7750</v>
      </c>
      <c r="DL139" s="106">
        <f>+PMGR!DL139+BP!DL139</f>
        <v>7750</v>
      </c>
      <c r="DM139" s="106">
        <f>+PMGR!DM139+BP!DM139</f>
        <v>7750</v>
      </c>
      <c r="DN139" s="106">
        <f>+PMGR!DN139+BP!DN139</f>
        <v>7750</v>
      </c>
      <c r="DO139" s="106">
        <f>+PMGR!DO139+BP!DO139</f>
        <v>7750</v>
      </c>
      <c r="DP139" s="106">
        <f>+PMGR!DP139+BP!DP139</f>
        <v>7750</v>
      </c>
      <c r="DQ139" s="106">
        <f>+PMGR!DQ139+BP!DQ139</f>
        <v>7750</v>
      </c>
      <c r="DR139" s="106">
        <f>+PMGR!DR139+BP!DR139</f>
        <v>7750</v>
      </c>
      <c r="DS139" s="106">
        <f>+PMGR!DS139+BP!DS139</f>
        <v>7750</v>
      </c>
      <c r="DT139" s="106">
        <f>+PMGR!DT139+BP!DT139</f>
        <v>7750</v>
      </c>
      <c r="DU139" s="106">
        <f t="shared" ref="DU139:DU145" si="704">+SUM(DI139:DT139)</f>
        <v>93000</v>
      </c>
      <c r="DV139" s="106"/>
      <c r="DW139" s="106">
        <f>+PMGR!DW139+BP!DW139</f>
        <v>0</v>
      </c>
      <c r="DX139" s="106">
        <f>+PMGR!DX139+BP!DX139</f>
        <v>0</v>
      </c>
      <c r="DY139" s="106">
        <f>+PMGR!DY139+BP!DY139</f>
        <v>0</v>
      </c>
      <c r="DZ139" s="106">
        <f>+PMGR!DZ139+BP!DZ139</f>
        <v>0</v>
      </c>
      <c r="EA139" s="106">
        <f>+PMGR!EA139+BP!EA139</f>
        <v>0</v>
      </c>
      <c r="EB139" s="106">
        <f>+PMGR!EB139+BP!EB139</f>
        <v>0</v>
      </c>
      <c r="EC139" s="106">
        <f>+PMGR!EC139+BP!EC139</f>
        <v>0</v>
      </c>
      <c r="ED139" s="106">
        <f>+PMGR!ED139+BP!ED139</f>
        <v>0</v>
      </c>
      <c r="EE139" s="106">
        <f>+PMGR!EE139+BP!EE139</f>
        <v>0</v>
      </c>
      <c r="EF139" s="106">
        <f>+PMGR!EF139+BP!EF139</f>
        <v>0</v>
      </c>
      <c r="EG139" s="106">
        <f>+PMGR!EG139+BP!EG139</f>
        <v>0</v>
      </c>
      <c r="EH139" s="106">
        <f>+PMGR!EH139+BP!EH139</f>
        <v>0</v>
      </c>
      <c r="EI139" s="106">
        <f t="shared" ref="EI139:EI145" si="705">+SUM(DW139:EH139)</f>
        <v>0</v>
      </c>
      <c r="EJ139" s="16" t="str">
        <f t="shared" si="681"/>
        <v>Medical Expenses</v>
      </c>
      <c r="EK139" s="106">
        <f>+PMGR!EK139+BP!EK139</f>
        <v>0</v>
      </c>
      <c r="EL139" s="106">
        <f>+PMGR!EL139+BP!EL139</f>
        <v>0</v>
      </c>
      <c r="EM139" s="106">
        <f>+PMGR!EM139+BP!EM139</f>
        <v>0</v>
      </c>
      <c r="EN139" s="106">
        <f>+PMGR!EN139+BP!EN139</f>
        <v>0</v>
      </c>
      <c r="EO139" s="106">
        <f>+PMGR!EO139+BP!EO139</f>
        <v>0</v>
      </c>
      <c r="EP139" s="106">
        <f>+PMGR!EP139+BP!EP139</f>
        <v>320</v>
      </c>
      <c r="EQ139" s="106">
        <f>+PMGR!EQ139+BP!EQ139</f>
        <v>100</v>
      </c>
      <c r="ER139" s="106">
        <f>+PMGR!ER139+BP!ER139</f>
        <v>0</v>
      </c>
      <c r="ES139" s="106">
        <f>+PMGR!ES139+BP!ES139</f>
        <v>0</v>
      </c>
      <c r="ET139" s="106">
        <f>+PMGR!ET139+BP!ET139</f>
        <v>0</v>
      </c>
      <c r="EU139" s="106">
        <f>+PMGR!EU139+BP!EU139</f>
        <v>0</v>
      </c>
      <c r="EV139" s="106">
        <f>+PMGR!EV139+BP!EV139</f>
        <v>0</v>
      </c>
      <c r="EW139" s="106">
        <f t="shared" ref="EW139:EW145" si="706">+SUM(EK139:EV139)</f>
        <v>420</v>
      </c>
      <c r="EX139" s="118"/>
      <c r="EY139" s="106">
        <f>+PMGR!EY139+BP!EY139</f>
        <v>6500</v>
      </c>
      <c r="EZ139" s="106">
        <f>+PMGR!EZ139+BP!EZ139</f>
        <v>6500</v>
      </c>
      <c r="FA139" s="106">
        <f>+PMGR!FA139+BP!FA139</f>
        <v>6500</v>
      </c>
      <c r="FB139" s="106">
        <f>+PMGR!FB139+BP!FB139</f>
        <v>6500</v>
      </c>
      <c r="FC139" s="106">
        <f>+PMGR!FC139+BP!FC139</f>
        <v>6500</v>
      </c>
      <c r="FD139" s="106">
        <f>+PMGR!FD139+BP!FD139</f>
        <v>6500</v>
      </c>
      <c r="FE139" s="106">
        <f>+PMGR!FE139+BP!FE139</f>
        <v>6500</v>
      </c>
      <c r="FF139" s="106">
        <f>+PMGR!FF139+BP!FF139</f>
        <v>6500</v>
      </c>
      <c r="FG139" s="106">
        <f>+PMGR!FG139+BP!FG139</f>
        <v>6500</v>
      </c>
      <c r="FH139" s="106">
        <f>+PMGR!FH139+BP!FH139</f>
        <v>6500</v>
      </c>
      <c r="FI139" s="106">
        <f>+PMGR!FI139+BP!FI139</f>
        <v>6500</v>
      </c>
      <c r="FJ139" s="106">
        <f>+PMGR!FJ139+BP!FJ139</f>
        <v>6500</v>
      </c>
      <c r="FK139" s="106">
        <f t="shared" ref="FK139:FK145" si="707">+SUM(EY139:FJ139)</f>
        <v>78000</v>
      </c>
    </row>
    <row r="140" spans="1:167" ht="14.45" hidden="1" customHeight="1" outlineLevel="1">
      <c r="A140" s="106">
        <f t="shared" si="638"/>
        <v>51861.740000000005</v>
      </c>
      <c r="B140" s="106">
        <f t="shared" si="638"/>
        <v>54451.964999999997</v>
      </c>
      <c r="C140" s="106">
        <f t="shared" si="638"/>
        <v>38047.955000000002</v>
      </c>
      <c r="D140" s="106">
        <f t="shared" si="638"/>
        <v>35188.449999999997</v>
      </c>
      <c r="E140" s="106">
        <f t="shared" si="638"/>
        <v>47005.75</v>
      </c>
      <c r="F140" s="106">
        <f t="shared" si="638"/>
        <v>57672.455000000002</v>
      </c>
      <c r="G140" s="106">
        <f t="shared" si="638"/>
        <v>35948.6</v>
      </c>
      <c r="H140" s="106">
        <f t="shared" si="638"/>
        <v>72020.100000000006</v>
      </c>
      <c r="I140" s="106">
        <f t="shared" si="638"/>
        <v>52668.170000000006</v>
      </c>
      <c r="J140" s="106">
        <f t="shared" si="638"/>
        <v>54774.32</v>
      </c>
      <c r="K140" s="106">
        <f t="shared" si="638"/>
        <v>55394.5</v>
      </c>
      <c r="L140" s="106">
        <f t="shared" si="638"/>
        <v>83278.650000000009</v>
      </c>
      <c r="M140" s="106">
        <f t="shared" si="694"/>
        <v>638312.65500000003</v>
      </c>
      <c r="N140" s="16" t="s">
        <v>117</v>
      </c>
      <c r="O140" s="106">
        <f t="shared" si="695"/>
        <v>75567</v>
      </c>
      <c r="P140" s="106">
        <f t="shared" si="695"/>
        <v>44301.600000000006</v>
      </c>
      <c r="Q140" s="106">
        <f t="shared" si="695"/>
        <v>68050.3</v>
      </c>
      <c r="R140" s="106">
        <f t="shared" si="695"/>
        <v>76295.7</v>
      </c>
      <c r="S140" s="106">
        <f t="shared" si="695"/>
        <v>65646.5</v>
      </c>
      <c r="T140" s="106">
        <f t="shared" si="695"/>
        <v>90904.9</v>
      </c>
      <c r="U140" s="106">
        <f t="shared" si="695"/>
        <v>69726.035000000003</v>
      </c>
      <c r="V140" s="106">
        <f t="shared" si="695"/>
        <v>59184.5</v>
      </c>
      <c r="W140" s="106">
        <f t="shared" si="695"/>
        <v>66435</v>
      </c>
      <c r="X140" s="106">
        <f t="shared" si="695"/>
        <v>63326.5</v>
      </c>
      <c r="Y140" s="106">
        <f t="shared" si="695"/>
        <v>0</v>
      </c>
      <c r="Z140" s="106">
        <f t="shared" si="695"/>
        <v>0</v>
      </c>
      <c r="AA140" s="106">
        <f t="shared" si="696"/>
        <v>679438.03500000003</v>
      </c>
      <c r="AB140" s="118"/>
      <c r="AC140" s="106">
        <f t="shared" si="697"/>
        <v>72148.29041666667</v>
      </c>
      <c r="AD140" s="106">
        <f t="shared" si="697"/>
        <v>72148.29041666667</v>
      </c>
      <c r="AE140" s="106">
        <f t="shared" si="697"/>
        <v>72148.29041666667</v>
      </c>
      <c r="AF140" s="106">
        <f t="shared" si="697"/>
        <v>72148.29041666667</v>
      </c>
      <c r="AG140" s="106">
        <f t="shared" si="697"/>
        <v>72148.29041666667</v>
      </c>
      <c r="AH140" s="106">
        <f t="shared" si="697"/>
        <v>72148.29041666667</v>
      </c>
      <c r="AI140" s="106">
        <f t="shared" si="697"/>
        <v>72148.29041666667</v>
      </c>
      <c r="AJ140" s="106">
        <f t="shared" si="697"/>
        <v>72148.29041666667</v>
      </c>
      <c r="AK140" s="106">
        <f t="shared" si="697"/>
        <v>72148.29041666667</v>
      </c>
      <c r="AL140" s="106">
        <f t="shared" si="697"/>
        <v>72148.29041666667</v>
      </c>
      <c r="AM140" s="106">
        <f t="shared" si="697"/>
        <v>72148.29041666667</v>
      </c>
      <c r="AN140" s="106">
        <f t="shared" si="697"/>
        <v>72148.29041666667</v>
      </c>
      <c r="AO140" s="106">
        <f t="shared" si="698"/>
        <v>865779.48499999999</v>
      </c>
      <c r="AP140" s="106"/>
      <c r="AQ140" s="106">
        <f>+PMGR!AQ140+BP!AQ140</f>
        <v>42419.41</v>
      </c>
      <c r="AR140" s="106">
        <f>+PMGR!AR140+BP!AR140</f>
        <v>43292.75</v>
      </c>
      <c r="AS140" s="106">
        <f>+PMGR!AS140+BP!AS140</f>
        <v>29536.33</v>
      </c>
      <c r="AT140" s="106">
        <f>+PMGR!AT140+BP!AT140</f>
        <v>27098.45</v>
      </c>
      <c r="AU140" s="106">
        <f>+PMGR!AU140+BP!AU140</f>
        <v>37418.699999999997</v>
      </c>
      <c r="AV140" s="106">
        <f>+PMGR!AV140+BP!AV140</f>
        <v>35004.9</v>
      </c>
      <c r="AW140" s="106">
        <f>+PMGR!AW140+BP!AW140</f>
        <v>21832.6</v>
      </c>
      <c r="AX140" s="106">
        <f>+PMGR!AX140+BP!AX140</f>
        <v>60060.4</v>
      </c>
      <c r="AY140" s="106">
        <f>+PMGR!AY140+BP!AY140</f>
        <v>39073.100000000006</v>
      </c>
      <c r="AZ140" s="106">
        <f>+PMGR!AZ140+BP!AZ140</f>
        <v>42655</v>
      </c>
      <c r="BA140" s="106">
        <f>+PMGR!BA140+BP!BA140</f>
        <v>34001</v>
      </c>
      <c r="BB140" s="106">
        <f>+PMGR!BB140+BP!BB140</f>
        <v>67110.100000000006</v>
      </c>
      <c r="BC140" s="106">
        <f t="shared" si="699"/>
        <v>479502.74</v>
      </c>
      <c r="BD140" s="16" t="str">
        <f t="shared" si="671"/>
        <v>Refreshment Expenses</v>
      </c>
      <c r="BE140" s="106">
        <f>+PMGR!BE140+BP!BE140</f>
        <v>37428</v>
      </c>
      <c r="BF140" s="106">
        <f>+PMGR!BF140+BP!BF140</f>
        <v>27388.400000000001</v>
      </c>
      <c r="BG140" s="106">
        <f>+PMGR!BG140+BP!BG140</f>
        <v>31356.2</v>
      </c>
      <c r="BH140" s="106">
        <f>+PMGR!BH140+BP!BH140</f>
        <v>46441.799999999996</v>
      </c>
      <c r="BI140" s="106">
        <f>+PMGR!BI140+BP!BI140</f>
        <v>31361</v>
      </c>
      <c r="BJ140" s="106">
        <f>+PMGR!BJ140+BP!BJ140</f>
        <v>37932.6</v>
      </c>
      <c r="BK140" s="106">
        <f>+PMGR!BK140+BP!BK140</f>
        <v>37592</v>
      </c>
      <c r="BL140" s="106">
        <f>+PMGR!BL140+BP!BL140</f>
        <v>30571</v>
      </c>
      <c r="BM140" s="106">
        <f>+PMGR!BM140+BP!BM140</f>
        <v>51219</v>
      </c>
      <c r="BN140" s="106">
        <f>+PMGR!BN140+BP!BN140</f>
        <v>29783</v>
      </c>
      <c r="BO140" s="106">
        <f>+PMGR!BO140+BP!BO140</f>
        <v>0</v>
      </c>
      <c r="BP140" s="106">
        <f>+PMGR!BP140+BP!BP140</f>
        <v>0</v>
      </c>
      <c r="BQ140" s="106">
        <f t="shared" si="700"/>
        <v>361073</v>
      </c>
      <c r="BR140" s="118"/>
      <c r="BS140" s="106">
        <f>+PMGR!BS140+BP!BS140</f>
        <v>42247.464166666672</v>
      </c>
      <c r="BT140" s="106">
        <f>+PMGR!BT140+BP!BT140</f>
        <v>42247.464166666672</v>
      </c>
      <c r="BU140" s="106">
        <f>+PMGR!BU140+BP!BU140</f>
        <v>42247.464166666672</v>
      </c>
      <c r="BV140" s="106">
        <f>+PMGR!BV140+BP!BV140</f>
        <v>42247.464166666672</v>
      </c>
      <c r="BW140" s="106">
        <f>+PMGR!BW140+BP!BW140</f>
        <v>42247.464166666672</v>
      </c>
      <c r="BX140" s="106">
        <f>+PMGR!BX140+BP!BX140</f>
        <v>42247.464166666672</v>
      </c>
      <c r="BY140" s="106">
        <f>+PMGR!BY140+BP!BY140</f>
        <v>42247.464166666672</v>
      </c>
      <c r="BZ140" s="106">
        <f>+PMGR!BZ140+BP!BZ140</f>
        <v>42247.464166666672</v>
      </c>
      <c r="CA140" s="106">
        <f>+PMGR!CA140+BP!CA140</f>
        <v>42247.464166666672</v>
      </c>
      <c r="CB140" s="106">
        <f>+PMGR!CB140+BP!CB140</f>
        <v>42247.464166666672</v>
      </c>
      <c r="CC140" s="106">
        <f>+PMGR!CC140+BP!CC140</f>
        <v>42247.464166666672</v>
      </c>
      <c r="CD140" s="106">
        <f>+PMGR!CD140+BP!CD140</f>
        <v>42247.464166666672</v>
      </c>
      <c r="CE140" s="106">
        <f t="shared" si="701"/>
        <v>506969.57000000007</v>
      </c>
      <c r="CF140" s="106"/>
      <c r="CG140" s="106">
        <f>+PMGR!CG140+BP!CG140</f>
        <v>9442.33</v>
      </c>
      <c r="CH140" s="106">
        <f>+PMGR!CH140+BP!CH140</f>
        <v>11159.215</v>
      </c>
      <c r="CI140" s="106">
        <f>+PMGR!CI140+BP!CI140</f>
        <v>8511.625</v>
      </c>
      <c r="CJ140" s="106">
        <f>+PMGR!CJ140+BP!CJ140</f>
        <v>8090</v>
      </c>
      <c r="CK140" s="106">
        <f>+PMGR!CK140+BP!CK140</f>
        <v>9587.0499999999993</v>
      </c>
      <c r="CL140" s="106">
        <f>+PMGR!CL140+BP!CL140</f>
        <v>22667.555</v>
      </c>
      <c r="CM140" s="106">
        <f>+PMGR!CM140+BP!CM140</f>
        <v>14115.999999999998</v>
      </c>
      <c r="CN140" s="106">
        <f>+PMGR!CN140+BP!CN140</f>
        <v>11959.7</v>
      </c>
      <c r="CO140" s="106">
        <f>+PMGR!CO140+BP!CO140</f>
        <v>13595.07</v>
      </c>
      <c r="CP140" s="106">
        <f>+PMGR!CP140+BP!CP140</f>
        <v>12119.32</v>
      </c>
      <c r="CQ140" s="106">
        <f>+PMGR!CQ140+BP!CQ140</f>
        <v>21393.5</v>
      </c>
      <c r="CR140" s="106">
        <f>+PMGR!CR140+BP!CR140</f>
        <v>16168.55</v>
      </c>
      <c r="CS140" s="106">
        <f t="shared" si="702"/>
        <v>158809.91499999998</v>
      </c>
      <c r="CT140" s="16" t="str">
        <f t="shared" si="675"/>
        <v>Refreshment Expenses</v>
      </c>
      <c r="CU140" s="106">
        <f>+PMGR!CU140+BP!CU140</f>
        <v>23276</v>
      </c>
      <c r="CV140" s="106">
        <f>+PMGR!CV140+BP!CV140</f>
        <v>6090.2000000000007</v>
      </c>
      <c r="CW140" s="106">
        <f>+PMGR!CW140+BP!CW140</f>
        <v>21774.1</v>
      </c>
      <c r="CX140" s="106">
        <f>+PMGR!CX140+BP!CX140</f>
        <v>19363.900000000001</v>
      </c>
      <c r="CY140" s="106">
        <f>+PMGR!CY140+BP!CY140</f>
        <v>15856.5</v>
      </c>
      <c r="CZ140" s="106">
        <f>+PMGR!CZ140+BP!CZ140</f>
        <v>28204.299999999996</v>
      </c>
      <c r="DA140" s="106">
        <f>+PMGR!DA140+BP!DA140</f>
        <v>16646.035</v>
      </c>
      <c r="DB140" s="106">
        <f>+PMGR!DB140+BP!DB140</f>
        <v>11602.5</v>
      </c>
      <c r="DC140" s="106">
        <f>+PMGR!DC140+BP!DC140</f>
        <v>3734</v>
      </c>
      <c r="DD140" s="106">
        <f>+PMGR!DD140+BP!DD140</f>
        <v>19621.5</v>
      </c>
      <c r="DE140" s="106">
        <f>+PMGR!DE140+BP!DE140</f>
        <v>0</v>
      </c>
      <c r="DF140" s="106">
        <f>+PMGR!DF140+BP!DF140</f>
        <v>0</v>
      </c>
      <c r="DG140" s="106">
        <f t="shared" si="703"/>
        <v>166169.035</v>
      </c>
      <c r="DH140" s="118"/>
      <c r="DI140" s="106">
        <f>+PMGR!DI140+BP!DI140</f>
        <v>13234.159583333334</v>
      </c>
      <c r="DJ140" s="106">
        <f>+PMGR!DJ140+BP!DJ140</f>
        <v>13234.159583333334</v>
      </c>
      <c r="DK140" s="106">
        <f>+PMGR!DK140+BP!DK140</f>
        <v>13234.159583333334</v>
      </c>
      <c r="DL140" s="106">
        <f>+PMGR!DL140+BP!DL140</f>
        <v>13234.159583333334</v>
      </c>
      <c r="DM140" s="106">
        <f>+PMGR!DM140+BP!DM140</f>
        <v>13234.159583333334</v>
      </c>
      <c r="DN140" s="106">
        <f>+PMGR!DN140+BP!DN140</f>
        <v>13234.159583333334</v>
      </c>
      <c r="DO140" s="106">
        <f>+PMGR!DO140+BP!DO140</f>
        <v>13234.159583333334</v>
      </c>
      <c r="DP140" s="106">
        <f>+PMGR!DP140+BP!DP140</f>
        <v>13234.159583333334</v>
      </c>
      <c r="DQ140" s="106">
        <f>+PMGR!DQ140+BP!DQ140</f>
        <v>13234.159583333334</v>
      </c>
      <c r="DR140" s="106">
        <f>+PMGR!DR140+BP!DR140</f>
        <v>13234.159583333334</v>
      </c>
      <c r="DS140" s="106">
        <f>+PMGR!DS140+BP!DS140</f>
        <v>13234.159583333334</v>
      </c>
      <c r="DT140" s="106">
        <f>+PMGR!DT140+BP!DT140</f>
        <v>13234.159583333334</v>
      </c>
      <c r="DU140" s="106">
        <f t="shared" si="704"/>
        <v>158809.91499999995</v>
      </c>
      <c r="DV140" s="106"/>
      <c r="DW140" s="106">
        <f>+PMGR!DW140+BP!DW140</f>
        <v>0</v>
      </c>
      <c r="DX140" s="106">
        <f>+PMGR!DX140+BP!DX140</f>
        <v>0</v>
      </c>
      <c r="DY140" s="106">
        <f>+PMGR!DY140+BP!DY140</f>
        <v>0</v>
      </c>
      <c r="DZ140" s="106">
        <f>+PMGR!DZ140+BP!DZ140</f>
        <v>0</v>
      </c>
      <c r="EA140" s="106">
        <f>+PMGR!EA140+BP!EA140</f>
        <v>0</v>
      </c>
      <c r="EB140" s="106">
        <f>+PMGR!EB140+BP!EB140</f>
        <v>0</v>
      </c>
      <c r="EC140" s="106">
        <f>+PMGR!EC140+BP!EC140</f>
        <v>0</v>
      </c>
      <c r="ED140" s="106">
        <f>+PMGR!ED140+BP!ED140</f>
        <v>0</v>
      </c>
      <c r="EE140" s="106">
        <f>+PMGR!EE140+BP!EE140</f>
        <v>0</v>
      </c>
      <c r="EF140" s="106">
        <f>+PMGR!EF140+BP!EF140</f>
        <v>0</v>
      </c>
      <c r="EG140" s="106">
        <f>+PMGR!EG140+BP!EG140</f>
        <v>0</v>
      </c>
      <c r="EH140" s="106">
        <f>+PMGR!EH140+BP!EH140</f>
        <v>0</v>
      </c>
      <c r="EI140" s="106">
        <f t="shared" si="705"/>
        <v>0</v>
      </c>
      <c r="EJ140" s="16" t="str">
        <f t="shared" si="681"/>
        <v>Refreshment Expenses</v>
      </c>
      <c r="EK140" s="106">
        <f>+PMGR!EK140+BP!EK140</f>
        <v>14863</v>
      </c>
      <c r="EL140" s="106">
        <f>+PMGR!EL140+BP!EL140</f>
        <v>10823</v>
      </c>
      <c r="EM140" s="106">
        <f>+PMGR!EM140+BP!EM140</f>
        <v>14920</v>
      </c>
      <c r="EN140" s="106">
        <f>+PMGR!EN140+BP!EN140</f>
        <v>10490</v>
      </c>
      <c r="EO140" s="106">
        <f>+PMGR!EO140+BP!EO140</f>
        <v>18429</v>
      </c>
      <c r="EP140" s="106">
        <f>+PMGR!EP140+BP!EP140</f>
        <v>24768</v>
      </c>
      <c r="EQ140" s="106">
        <f>+PMGR!EQ140+BP!EQ140</f>
        <v>15488</v>
      </c>
      <c r="ER140" s="106">
        <f>+PMGR!ER140+BP!ER140</f>
        <v>17011</v>
      </c>
      <c r="ES140" s="106">
        <f>+PMGR!ES140+BP!ES140</f>
        <v>11482</v>
      </c>
      <c r="ET140" s="106">
        <f>+PMGR!ET140+BP!ET140</f>
        <v>13922</v>
      </c>
      <c r="EU140" s="106">
        <f>+PMGR!EU140+BP!EU140</f>
        <v>0</v>
      </c>
      <c r="EV140" s="106">
        <f>+PMGR!EV140+BP!EV140</f>
        <v>0</v>
      </c>
      <c r="EW140" s="106">
        <f t="shared" si="706"/>
        <v>152196</v>
      </c>
      <c r="EX140" s="118"/>
      <c r="EY140" s="106">
        <f>+PMGR!EY140+BP!EY140</f>
        <v>16666.666666666664</v>
      </c>
      <c r="EZ140" s="106">
        <f>+PMGR!EZ140+BP!EZ140</f>
        <v>16666.666666666664</v>
      </c>
      <c r="FA140" s="106">
        <f>+PMGR!FA140+BP!FA140</f>
        <v>16666.666666666664</v>
      </c>
      <c r="FB140" s="106">
        <f>+PMGR!FB140+BP!FB140</f>
        <v>16666.666666666664</v>
      </c>
      <c r="FC140" s="106">
        <f>+PMGR!FC140+BP!FC140</f>
        <v>16666.666666666664</v>
      </c>
      <c r="FD140" s="106">
        <f>+PMGR!FD140+BP!FD140</f>
        <v>16666.666666666664</v>
      </c>
      <c r="FE140" s="106">
        <f>+PMGR!FE140+BP!FE140</f>
        <v>16666.666666666664</v>
      </c>
      <c r="FF140" s="106">
        <f>+PMGR!FF140+BP!FF140</f>
        <v>16666.666666666664</v>
      </c>
      <c r="FG140" s="106">
        <f>+PMGR!FG140+BP!FG140</f>
        <v>16666.666666666664</v>
      </c>
      <c r="FH140" s="106">
        <f>+PMGR!FH140+BP!FH140</f>
        <v>16666.666666666664</v>
      </c>
      <c r="FI140" s="106">
        <f>+PMGR!FI140+BP!FI140</f>
        <v>16666.666666666664</v>
      </c>
      <c r="FJ140" s="106">
        <f>+PMGR!FJ140+BP!FJ140</f>
        <v>16666.666666666664</v>
      </c>
      <c r="FK140" s="106">
        <f t="shared" si="707"/>
        <v>199999.99999999991</v>
      </c>
    </row>
    <row r="141" spans="1:167" ht="14.45" hidden="1" customHeight="1" outlineLevel="1">
      <c r="A141" s="106">
        <f t="shared" si="638"/>
        <v>60652</v>
      </c>
      <c r="B141" s="106">
        <f t="shared" si="638"/>
        <v>72652</v>
      </c>
      <c r="C141" s="106">
        <f t="shared" si="638"/>
        <v>60652</v>
      </c>
      <c r="D141" s="106">
        <f t="shared" si="638"/>
        <v>60652</v>
      </c>
      <c r="E141" s="106">
        <f t="shared" si="638"/>
        <v>61652</v>
      </c>
      <c r="F141" s="106">
        <f t="shared" si="638"/>
        <v>61152</v>
      </c>
      <c r="G141" s="106">
        <f t="shared" si="638"/>
        <v>87152</v>
      </c>
      <c r="H141" s="106">
        <f t="shared" si="638"/>
        <v>67152</v>
      </c>
      <c r="I141" s="106">
        <f t="shared" si="638"/>
        <v>62152</v>
      </c>
      <c r="J141" s="106">
        <f t="shared" si="638"/>
        <v>77152</v>
      </c>
      <c r="K141" s="106">
        <f t="shared" si="638"/>
        <v>62152</v>
      </c>
      <c r="L141" s="106">
        <f t="shared" si="638"/>
        <v>62152</v>
      </c>
      <c r="M141" s="106">
        <f t="shared" si="694"/>
        <v>795324</v>
      </c>
      <c r="N141" s="16" t="s">
        <v>227</v>
      </c>
      <c r="O141" s="106">
        <f t="shared" si="695"/>
        <v>132152</v>
      </c>
      <c r="P141" s="106">
        <f t="shared" si="695"/>
        <v>102152</v>
      </c>
      <c r="Q141" s="106">
        <f t="shared" si="695"/>
        <v>105652</v>
      </c>
      <c r="R141" s="106">
        <f t="shared" si="695"/>
        <v>102152</v>
      </c>
      <c r="S141" s="106">
        <f t="shared" si="695"/>
        <v>102152</v>
      </c>
      <c r="T141" s="106">
        <f t="shared" si="695"/>
        <v>102002</v>
      </c>
      <c r="U141" s="106">
        <f t="shared" si="695"/>
        <v>102152</v>
      </c>
      <c r="V141" s="106">
        <f t="shared" si="695"/>
        <v>104402</v>
      </c>
      <c r="W141" s="106">
        <f t="shared" si="695"/>
        <v>102902</v>
      </c>
      <c r="X141" s="106">
        <f t="shared" si="695"/>
        <v>103902</v>
      </c>
      <c r="Y141" s="106">
        <f t="shared" si="695"/>
        <v>0</v>
      </c>
      <c r="Z141" s="106">
        <f t="shared" si="695"/>
        <v>0</v>
      </c>
      <c r="AA141" s="106">
        <f t="shared" si="696"/>
        <v>1059620</v>
      </c>
      <c r="AB141" s="118"/>
      <c r="AC141" s="106">
        <f t="shared" si="697"/>
        <v>127652</v>
      </c>
      <c r="AD141" s="106">
        <f t="shared" si="697"/>
        <v>127652</v>
      </c>
      <c r="AE141" s="106">
        <f t="shared" si="697"/>
        <v>127652</v>
      </c>
      <c r="AF141" s="106">
        <f t="shared" si="697"/>
        <v>127652</v>
      </c>
      <c r="AG141" s="106">
        <f t="shared" si="697"/>
        <v>127652</v>
      </c>
      <c r="AH141" s="106">
        <f t="shared" si="697"/>
        <v>127652</v>
      </c>
      <c r="AI141" s="106">
        <f t="shared" si="697"/>
        <v>127652</v>
      </c>
      <c r="AJ141" s="106">
        <f t="shared" si="697"/>
        <v>127652</v>
      </c>
      <c r="AK141" s="106">
        <f t="shared" si="697"/>
        <v>127652</v>
      </c>
      <c r="AL141" s="106">
        <f t="shared" si="697"/>
        <v>127652</v>
      </c>
      <c r="AM141" s="106">
        <f t="shared" si="697"/>
        <v>127652</v>
      </c>
      <c r="AN141" s="106">
        <f t="shared" si="697"/>
        <v>127652</v>
      </c>
      <c r="AO141" s="106">
        <f t="shared" si="698"/>
        <v>1531824</v>
      </c>
      <c r="AP141" s="106"/>
      <c r="AQ141" s="106">
        <f>+PMGR!AQ141+BP!AQ141</f>
        <v>49152</v>
      </c>
      <c r="AR141" s="106">
        <f>+PMGR!AR141+BP!AR141</f>
        <v>61152</v>
      </c>
      <c r="AS141" s="106">
        <f>+PMGR!AS141+BP!AS141</f>
        <v>49152</v>
      </c>
      <c r="AT141" s="106">
        <f>+PMGR!AT141+BP!AT141</f>
        <v>49152</v>
      </c>
      <c r="AU141" s="106">
        <f>+PMGR!AU141+BP!AU141</f>
        <v>50152</v>
      </c>
      <c r="AV141" s="106">
        <f>+PMGR!AV141+BP!AV141</f>
        <v>49652</v>
      </c>
      <c r="AW141" s="106">
        <f>+PMGR!AW141+BP!AW141</f>
        <v>74652</v>
      </c>
      <c r="AX141" s="106">
        <f>+PMGR!AX141+BP!AX141</f>
        <v>54652</v>
      </c>
      <c r="AY141" s="106">
        <f>+PMGR!AY141+BP!AY141</f>
        <v>49652</v>
      </c>
      <c r="AZ141" s="106">
        <f>+PMGR!AZ141+BP!AZ141</f>
        <v>64652</v>
      </c>
      <c r="BA141" s="106">
        <f>+PMGR!BA141+BP!BA141</f>
        <v>49652</v>
      </c>
      <c r="BB141" s="106">
        <f>+PMGR!BB141+BP!BB141</f>
        <v>49652</v>
      </c>
      <c r="BC141" s="106">
        <f t="shared" si="699"/>
        <v>651324</v>
      </c>
      <c r="BD141" s="16" t="str">
        <f t="shared" si="671"/>
        <v>Staff Accommedation -Rent</v>
      </c>
      <c r="BE141" s="106">
        <f>+PMGR!BE141+BP!BE141</f>
        <v>49652</v>
      </c>
      <c r="BF141" s="106">
        <f>+PMGR!BF141+BP!BF141</f>
        <v>49652</v>
      </c>
      <c r="BG141" s="106">
        <f>+PMGR!BG141+BP!BG141</f>
        <v>49652</v>
      </c>
      <c r="BH141" s="106">
        <f>+PMGR!BH141+BP!BH141</f>
        <v>49652</v>
      </c>
      <c r="BI141" s="106">
        <f>+PMGR!BI141+BP!BI141</f>
        <v>49652</v>
      </c>
      <c r="BJ141" s="106">
        <f>+PMGR!BJ141+BP!BJ141</f>
        <v>49652</v>
      </c>
      <c r="BK141" s="106">
        <f>+PMGR!BK141+BP!BK141</f>
        <v>49652</v>
      </c>
      <c r="BL141" s="106">
        <f>+PMGR!BL141+BP!BL141</f>
        <v>49652</v>
      </c>
      <c r="BM141" s="106">
        <f>+PMGR!BM141+BP!BM141</f>
        <v>49652</v>
      </c>
      <c r="BN141" s="106">
        <f>+PMGR!BN141+BP!BN141</f>
        <v>50652</v>
      </c>
      <c r="BO141" s="106">
        <f>+PMGR!BO141+BP!BO141</f>
        <v>0</v>
      </c>
      <c r="BP141" s="106">
        <f>+PMGR!BP141+BP!BP141</f>
        <v>0</v>
      </c>
      <c r="BQ141" s="106">
        <f t="shared" si="700"/>
        <v>497520</v>
      </c>
      <c r="BR141" s="118"/>
      <c r="BS141" s="106">
        <f>+PMGR!BS141+BP!BS141</f>
        <v>49152</v>
      </c>
      <c r="BT141" s="106">
        <f>+PMGR!BT141+BP!BT141</f>
        <v>49152</v>
      </c>
      <c r="BU141" s="106">
        <f>+PMGR!BU141+BP!BU141</f>
        <v>49152</v>
      </c>
      <c r="BV141" s="106">
        <f>+PMGR!BV141+BP!BV141</f>
        <v>49152</v>
      </c>
      <c r="BW141" s="106">
        <f>+PMGR!BW141+BP!BW141</f>
        <v>49152</v>
      </c>
      <c r="BX141" s="106">
        <f>+PMGR!BX141+BP!BX141</f>
        <v>49152</v>
      </c>
      <c r="BY141" s="106">
        <f>+PMGR!BY141+BP!BY141</f>
        <v>49152</v>
      </c>
      <c r="BZ141" s="106">
        <f>+PMGR!BZ141+BP!BZ141</f>
        <v>49152</v>
      </c>
      <c r="CA141" s="106">
        <f>+PMGR!CA141+BP!CA141</f>
        <v>49152</v>
      </c>
      <c r="CB141" s="106">
        <f>+PMGR!CB141+BP!CB141</f>
        <v>49152</v>
      </c>
      <c r="CC141" s="106">
        <f>+PMGR!CC141+BP!CC141</f>
        <v>49152</v>
      </c>
      <c r="CD141" s="106">
        <f>+PMGR!CD141+BP!CD141</f>
        <v>49152</v>
      </c>
      <c r="CE141" s="106">
        <f t="shared" si="701"/>
        <v>589824</v>
      </c>
      <c r="CF141" s="106"/>
      <c r="CG141" s="106">
        <f>+PMGR!CG141+BP!CG141</f>
        <v>11500</v>
      </c>
      <c r="CH141" s="106">
        <f>+PMGR!CH141+BP!CH141</f>
        <v>11500</v>
      </c>
      <c r="CI141" s="106">
        <f>+PMGR!CI141+BP!CI141</f>
        <v>11500</v>
      </c>
      <c r="CJ141" s="106">
        <f>+PMGR!CJ141+BP!CJ141</f>
        <v>11500</v>
      </c>
      <c r="CK141" s="106">
        <f>+PMGR!CK141+BP!CK141</f>
        <v>11500</v>
      </c>
      <c r="CL141" s="106">
        <f>+PMGR!CL141+BP!CL141</f>
        <v>11500</v>
      </c>
      <c r="CM141" s="106">
        <f>+PMGR!CM141+BP!CM141</f>
        <v>12500</v>
      </c>
      <c r="CN141" s="106">
        <f>+PMGR!CN141+BP!CN141</f>
        <v>12500</v>
      </c>
      <c r="CO141" s="106">
        <f>+PMGR!CO141+BP!CO141</f>
        <v>12500</v>
      </c>
      <c r="CP141" s="106">
        <f>+PMGR!CP141+BP!CP141</f>
        <v>12500</v>
      </c>
      <c r="CQ141" s="106">
        <f>+PMGR!CQ141+BP!CQ141</f>
        <v>12500</v>
      </c>
      <c r="CR141" s="106">
        <f>+PMGR!CR141+BP!CR141</f>
        <v>12500</v>
      </c>
      <c r="CS141" s="106">
        <f t="shared" si="702"/>
        <v>144000</v>
      </c>
      <c r="CT141" s="16" t="str">
        <f t="shared" si="675"/>
        <v>Staff Accommedation -Rent</v>
      </c>
      <c r="CU141" s="106">
        <f>+PMGR!CU141+BP!CU141</f>
        <v>22500</v>
      </c>
      <c r="CV141" s="106">
        <f>+PMGR!CV141+BP!CV141</f>
        <v>22500</v>
      </c>
      <c r="CW141" s="106">
        <f>+PMGR!CW141+BP!CW141</f>
        <v>22500</v>
      </c>
      <c r="CX141" s="106">
        <f>+PMGR!CX141+BP!CX141</f>
        <v>22500</v>
      </c>
      <c r="CY141" s="106">
        <f>+PMGR!CY141+BP!CY141</f>
        <v>22500</v>
      </c>
      <c r="CZ141" s="106">
        <f>+PMGR!CZ141+BP!CZ141</f>
        <v>22500</v>
      </c>
      <c r="DA141" s="106">
        <f>+PMGR!DA141+BP!DA141</f>
        <v>22500</v>
      </c>
      <c r="DB141" s="106">
        <f>+PMGR!DB141+BP!DB141</f>
        <v>24750</v>
      </c>
      <c r="DC141" s="106">
        <f>+PMGR!DC141+BP!DC141</f>
        <v>23250</v>
      </c>
      <c r="DD141" s="106">
        <f>+PMGR!DD141+BP!DD141</f>
        <v>23250</v>
      </c>
      <c r="DE141" s="106">
        <f>+PMGR!DE141+BP!DE141</f>
        <v>0</v>
      </c>
      <c r="DF141" s="106">
        <f>+PMGR!DF141+BP!DF141</f>
        <v>0</v>
      </c>
      <c r="DG141" s="106">
        <f t="shared" si="703"/>
        <v>228750</v>
      </c>
      <c r="DH141" s="118"/>
      <c r="DI141" s="106">
        <f>+PMGR!DI141+BP!DI141</f>
        <v>45000</v>
      </c>
      <c r="DJ141" s="106">
        <f>+PMGR!DJ141+BP!DJ141</f>
        <v>45000</v>
      </c>
      <c r="DK141" s="106">
        <f>+PMGR!DK141+BP!DK141</f>
        <v>45000</v>
      </c>
      <c r="DL141" s="106">
        <f>+PMGR!DL141+BP!DL141</f>
        <v>45000</v>
      </c>
      <c r="DM141" s="106">
        <f>+PMGR!DM141+BP!DM141</f>
        <v>45000</v>
      </c>
      <c r="DN141" s="106">
        <f>+PMGR!DN141+BP!DN141</f>
        <v>45000</v>
      </c>
      <c r="DO141" s="106">
        <f>+PMGR!DO141+BP!DO141</f>
        <v>45000</v>
      </c>
      <c r="DP141" s="106">
        <f>+PMGR!DP141+BP!DP141</f>
        <v>45000</v>
      </c>
      <c r="DQ141" s="106">
        <f>+PMGR!DQ141+BP!DQ141</f>
        <v>45000</v>
      </c>
      <c r="DR141" s="106">
        <f>+PMGR!DR141+BP!DR141</f>
        <v>45000</v>
      </c>
      <c r="DS141" s="106">
        <f>+PMGR!DS141+BP!DS141</f>
        <v>45000</v>
      </c>
      <c r="DT141" s="106">
        <f>+PMGR!DT141+BP!DT141</f>
        <v>45000</v>
      </c>
      <c r="DU141" s="106">
        <f t="shared" si="704"/>
        <v>540000</v>
      </c>
      <c r="DV141" s="106"/>
      <c r="DW141" s="106">
        <f>+PMGR!DW141+BP!DW141</f>
        <v>0</v>
      </c>
      <c r="DX141" s="106">
        <f>+PMGR!DX141+BP!DX141</f>
        <v>0</v>
      </c>
      <c r="DY141" s="106">
        <f>+PMGR!DY141+BP!DY141</f>
        <v>0</v>
      </c>
      <c r="DZ141" s="106">
        <f>+PMGR!DZ141+BP!DZ141</f>
        <v>0</v>
      </c>
      <c r="EA141" s="106">
        <f>+PMGR!EA141+BP!EA141</f>
        <v>0</v>
      </c>
      <c r="EB141" s="106">
        <f>+PMGR!EB141+BP!EB141</f>
        <v>0</v>
      </c>
      <c r="EC141" s="106">
        <f>+PMGR!EC141+BP!EC141</f>
        <v>0</v>
      </c>
      <c r="ED141" s="106">
        <f>+PMGR!ED141+BP!ED141</f>
        <v>0</v>
      </c>
      <c r="EE141" s="106">
        <f>+PMGR!EE141+BP!EE141</f>
        <v>0</v>
      </c>
      <c r="EF141" s="106">
        <f>+PMGR!EF141+BP!EF141</f>
        <v>0</v>
      </c>
      <c r="EG141" s="106">
        <f>+PMGR!EG141+BP!EG141</f>
        <v>0</v>
      </c>
      <c r="EH141" s="106">
        <f>+PMGR!EH141+BP!EH141</f>
        <v>0</v>
      </c>
      <c r="EI141" s="106">
        <f t="shared" si="705"/>
        <v>0</v>
      </c>
      <c r="EJ141" s="16" t="str">
        <f t="shared" si="681"/>
        <v>Staff Accommedation -Rent</v>
      </c>
      <c r="EK141" s="106">
        <f>+PMGR!EK141+BP!EK141</f>
        <v>60000</v>
      </c>
      <c r="EL141" s="106">
        <f>+PMGR!EL141+BP!EL141</f>
        <v>30000</v>
      </c>
      <c r="EM141" s="106">
        <f>+PMGR!EM141+BP!EM141</f>
        <v>33500</v>
      </c>
      <c r="EN141" s="106">
        <f>+PMGR!EN141+BP!EN141</f>
        <v>30000</v>
      </c>
      <c r="EO141" s="106">
        <f>+PMGR!EO141+BP!EO141</f>
        <v>30000</v>
      </c>
      <c r="EP141" s="106">
        <f>+PMGR!EP141+BP!EP141</f>
        <v>29850</v>
      </c>
      <c r="EQ141" s="106">
        <f>+PMGR!EQ141+BP!EQ141</f>
        <v>30000</v>
      </c>
      <c r="ER141" s="106">
        <f>+PMGR!ER141+BP!ER141</f>
        <v>30000</v>
      </c>
      <c r="ES141" s="106">
        <f>+PMGR!ES141+BP!ES141</f>
        <v>30000</v>
      </c>
      <c r="ET141" s="106">
        <f>+PMGR!ET141+BP!ET141</f>
        <v>30000</v>
      </c>
      <c r="EU141" s="106">
        <f>+PMGR!EU141+BP!EU141</f>
        <v>0</v>
      </c>
      <c r="EV141" s="106">
        <f>+PMGR!EV141+BP!EV141</f>
        <v>0</v>
      </c>
      <c r="EW141" s="106">
        <f t="shared" si="706"/>
        <v>333350</v>
      </c>
      <c r="EX141" s="118"/>
      <c r="EY141" s="106">
        <f>+PMGR!EY141+BP!EY141</f>
        <v>33500</v>
      </c>
      <c r="EZ141" s="106">
        <f>+PMGR!EZ141+BP!EZ141</f>
        <v>33500</v>
      </c>
      <c r="FA141" s="106">
        <f>+PMGR!FA141+BP!FA141</f>
        <v>33500</v>
      </c>
      <c r="FB141" s="106">
        <f>+PMGR!FB141+BP!FB141</f>
        <v>33500</v>
      </c>
      <c r="FC141" s="106">
        <f>+PMGR!FC141+BP!FC141</f>
        <v>33500</v>
      </c>
      <c r="FD141" s="106">
        <f>+PMGR!FD141+BP!FD141</f>
        <v>33500</v>
      </c>
      <c r="FE141" s="106">
        <f>+PMGR!FE141+BP!FE141</f>
        <v>33500</v>
      </c>
      <c r="FF141" s="106">
        <f>+PMGR!FF141+BP!FF141</f>
        <v>33500</v>
      </c>
      <c r="FG141" s="106">
        <f>+PMGR!FG141+BP!FG141</f>
        <v>33500</v>
      </c>
      <c r="FH141" s="106">
        <f>+PMGR!FH141+BP!FH141</f>
        <v>33500</v>
      </c>
      <c r="FI141" s="106">
        <f>+PMGR!FI141+BP!FI141</f>
        <v>33500</v>
      </c>
      <c r="FJ141" s="106">
        <f>+PMGR!FJ141+BP!FJ141</f>
        <v>33500</v>
      </c>
      <c r="FK141" s="106">
        <f t="shared" si="707"/>
        <v>402000</v>
      </c>
    </row>
    <row r="142" spans="1:167" ht="14.45" hidden="1" customHeight="1" outlineLevel="1">
      <c r="A142" s="106">
        <f t="shared" si="638"/>
        <v>0</v>
      </c>
      <c r="B142" s="106">
        <f t="shared" si="638"/>
        <v>0</v>
      </c>
      <c r="C142" s="106">
        <f t="shared" si="638"/>
        <v>0</v>
      </c>
      <c r="D142" s="106">
        <f t="shared" si="638"/>
        <v>10300</v>
      </c>
      <c r="E142" s="106">
        <f t="shared" si="638"/>
        <v>3913.5</v>
      </c>
      <c r="F142" s="106">
        <f t="shared" si="638"/>
        <v>15564.65</v>
      </c>
      <c r="G142" s="106">
        <f t="shared" si="638"/>
        <v>3000</v>
      </c>
      <c r="H142" s="106">
        <f t="shared" si="638"/>
        <v>10600</v>
      </c>
      <c r="I142" s="106">
        <f t="shared" si="638"/>
        <v>4022.54</v>
      </c>
      <c r="J142" s="106">
        <f t="shared" si="638"/>
        <v>390</v>
      </c>
      <c r="K142" s="106">
        <f t="shared" si="638"/>
        <v>1741</v>
      </c>
      <c r="L142" s="106">
        <f t="shared" si="638"/>
        <v>0</v>
      </c>
      <c r="M142" s="106">
        <f t="shared" si="694"/>
        <v>49531.69</v>
      </c>
      <c r="N142" s="16" t="s">
        <v>228</v>
      </c>
      <c r="O142" s="106">
        <f t="shared" si="695"/>
        <v>73500</v>
      </c>
      <c r="P142" s="106">
        <f t="shared" si="695"/>
        <v>37157.300000000003</v>
      </c>
      <c r="Q142" s="106">
        <f t="shared" si="695"/>
        <v>31290.75</v>
      </c>
      <c r="R142" s="106">
        <f t="shared" si="695"/>
        <v>0</v>
      </c>
      <c r="S142" s="106">
        <f t="shared" si="695"/>
        <v>0</v>
      </c>
      <c r="T142" s="106">
        <f t="shared" si="695"/>
        <v>765</v>
      </c>
      <c r="U142" s="106">
        <f t="shared" si="695"/>
        <v>12250</v>
      </c>
      <c r="V142" s="106">
        <f t="shared" si="695"/>
        <v>8474.5750000000007</v>
      </c>
      <c r="W142" s="106">
        <f t="shared" si="695"/>
        <v>1700</v>
      </c>
      <c r="X142" s="106">
        <f t="shared" si="695"/>
        <v>0</v>
      </c>
      <c r="Y142" s="106">
        <f t="shared" si="695"/>
        <v>0</v>
      </c>
      <c r="Z142" s="106">
        <f t="shared" si="695"/>
        <v>0</v>
      </c>
      <c r="AA142" s="106">
        <f t="shared" si="696"/>
        <v>165137.625</v>
      </c>
      <c r="AB142" s="118"/>
      <c r="AC142" s="106">
        <f t="shared" si="697"/>
        <v>0</v>
      </c>
      <c r="AD142" s="106">
        <f t="shared" si="697"/>
        <v>0</v>
      </c>
      <c r="AE142" s="106">
        <f t="shared" si="697"/>
        <v>0</v>
      </c>
      <c r="AF142" s="106">
        <f t="shared" si="697"/>
        <v>0</v>
      </c>
      <c r="AG142" s="106">
        <f t="shared" si="697"/>
        <v>0</v>
      </c>
      <c r="AH142" s="106">
        <f t="shared" si="697"/>
        <v>0</v>
      </c>
      <c r="AI142" s="106">
        <f t="shared" si="697"/>
        <v>0</v>
      </c>
      <c r="AJ142" s="106">
        <f t="shared" si="697"/>
        <v>0</v>
      </c>
      <c r="AK142" s="106">
        <f t="shared" si="697"/>
        <v>0</v>
      </c>
      <c r="AL142" s="106">
        <f t="shared" si="697"/>
        <v>0</v>
      </c>
      <c r="AM142" s="106">
        <f t="shared" si="697"/>
        <v>0</v>
      </c>
      <c r="AN142" s="106">
        <f t="shared" si="697"/>
        <v>0</v>
      </c>
      <c r="AO142" s="106">
        <f t="shared" si="698"/>
        <v>0</v>
      </c>
      <c r="AP142" s="106"/>
      <c r="AQ142" s="106">
        <f>+PMGR!AQ142+BP!AQ142</f>
        <v>0</v>
      </c>
      <c r="AR142" s="106">
        <f>+PMGR!AR142+BP!AR142</f>
        <v>0</v>
      </c>
      <c r="AS142" s="106">
        <f>+PMGR!AS142+BP!AS142</f>
        <v>0</v>
      </c>
      <c r="AT142" s="106">
        <f>+PMGR!AT142+BP!AT142</f>
        <v>10300</v>
      </c>
      <c r="AU142" s="106">
        <f>+PMGR!AU142+BP!AU142</f>
        <v>0</v>
      </c>
      <c r="AV142" s="106">
        <f>+PMGR!AV142+BP!AV142</f>
        <v>14164.65</v>
      </c>
      <c r="AW142" s="106">
        <f>+PMGR!AW142+BP!AW142</f>
        <v>3000</v>
      </c>
      <c r="AX142" s="106">
        <f>+PMGR!AX142+BP!AX142</f>
        <v>10600</v>
      </c>
      <c r="AY142" s="106">
        <f>+PMGR!AY142+BP!AY142</f>
        <v>4022.54</v>
      </c>
      <c r="AZ142" s="106">
        <f>+PMGR!AZ142+BP!AZ142</f>
        <v>390</v>
      </c>
      <c r="BA142" s="106">
        <f>+PMGR!BA142+BP!BA142</f>
        <v>1741</v>
      </c>
      <c r="BB142" s="106">
        <f>+PMGR!BB142+BP!BB142</f>
        <v>0</v>
      </c>
      <c r="BC142" s="106">
        <f t="shared" si="699"/>
        <v>44218.19</v>
      </c>
      <c r="BD142" s="16" t="str">
        <f t="shared" si="671"/>
        <v>Staff Accommedation -Maintanence</v>
      </c>
      <c r="BE142" s="106">
        <f>+PMGR!BE142+BP!BE142</f>
        <v>0</v>
      </c>
      <c r="BF142" s="106">
        <f>+PMGR!BF142+BP!BF142</f>
        <v>0</v>
      </c>
      <c r="BG142" s="106">
        <f>+PMGR!BG142+BP!BG142</f>
        <v>0</v>
      </c>
      <c r="BH142" s="106">
        <f>+PMGR!BH142+BP!BH142</f>
        <v>0</v>
      </c>
      <c r="BI142" s="106">
        <f>+PMGR!BI142+BP!BI142</f>
        <v>0</v>
      </c>
      <c r="BJ142" s="106">
        <f>+PMGR!BJ142+BP!BJ142</f>
        <v>765</v>
      </c>
      <c r="BK142" s="106">
        <f>+PMGR!BK142+BP!BK142</f>
        <v>0</v>
      </c>
      <c r="BL142" s="106">
        <f>+PMGR!BL142+BP!BL142</f>
        <v>0</v>
      </c>
      <c r="BM142" s="106">
        <f>+PMGR!BM142+BP!BM142</f>
        <v>1700</v>
      </c>
      <c r="BN142" s="106">
        <f>+PMGR!BN142+BP!BN142</f>
        <v>0</v>
      </c>
      <c r="BO142" s="106">
        <f>+PMGR!BO142+BP!BO142</f>
        <v>0</v>
      </c>
      <c r="BP142" s="106">
        <f>+PMGR!BP142+BP!BP142</f>
        <v>0</v>
      </c>
      <c r="BQ142" s="106">
        <f t="shared" si="700"/>
        <v>2465</v>
      </c>
      <c r="BR142" s="118"/>
      <c r="BS142" s="106">
        <f>+PMGR!BS142+BP!BS142</f>
        <v>0</v>
      </c>
      <c r="BT142" s="106">
        <f>+PMGR!BT142+BP!BT142</f>
        <v>0</v>
      </c>
      <c r="BU142" s="106">
        <f>+PMGR!BU142+BP!BU142</f>
        <v>0</v>
      </c>
      <c r="BV142" s="106">
        <f>+PMGR!BV142+BP!BV142</f>
        <v>0</v>
      </c>
      <c r="BW142" s="106">
        <f>+PMGR!BW142+BP!BW142</f>
        <v>0</v>
      </c>
      <c r="BX142" s="106">
        <f>+PMGR!BX142+BP!BX142</f>
        <v>0</v>
      </c>
      <c r="BY142" s="106">
        <f>+PMGR!BY142+BP!BY142</f>
        <v>0</v>
      </c>
      <c r="BZ142" s="106">
        <f>+PMGR!BZ142+BP!BZ142</f>
        <v>0</v>
      </c>
      <c r="CA142" s="106">
        <f>+PMGR!CA142+BP!CA142</f>
        <v>0</v>
      </c>
      <c r="CB142" s="106">
        <f>+PMGR!CB142+BP!CB142</f>
        <v>0</v>
      </c>
      <c r="CC142" s="106">
        <f>+PMGR!CC142+BP!CC142</f>
        <v>0</v>
      </c>
      <c r="CD142" s="106">
        <f>+PMGR!CD142+BP!CD142</f>
        <v>0</v>
      </c>
      <c r="CE142" s="106">
        <f t="shared" si="701"/>
        <v>0</v>
      </c>
      <c r="CF142" s="106"/>
      <c r="CG142" s="106">
        <f>+PMGR!CG142+BP!CG142</f>
        <v>0</v>
      </c>
      <c r="CH142" s="106">
        <f>+PMGR!CH142+BP!CH142</f>
        <v>0</v>
      </c>
      <c r="CI142" s="106">
        <f>+PMGR!CI142+BP!CI142</f>
        <v>0</v>
      </c>
      <c r="CJ142" s="106">
        <f>+PMGR!CJ142+BP!CJ142</f>
        <v>0</v>
      </c>
      <c r="CK142" s="106">
        <f>+PMGR!CK142+BP!CK142</f>
        <v>3913.5</v>
      </c>
      <c r="CL142" s="106">
        <f>+PMGR!CL142+BP!CL142</f>
        <v>1400</v>
      </c>
      <c r="CM142" s="106">
        <f>+PMGR!CM142+BP!CM142</f>
        <v>0</v>
      </c>
      <c r="CN142" s="106">
        <f>+PMGR!CN142+BP!CN142</f>
        <v>0</v>
      </c>
      <c r="CO142" s="106">
        <f>+PMGR!CO142+BP!CO142</f>
        <v>0</v>
      </c>
      <c r="CP142" s="106">
        <f>+PMGR!CP142+BP!CP142</f>
        <v>0</v>
      </c>
      <c r="CQ142" s="106">
        <f>+PMGR!CQ142+BP!CQ142</f>
        <v>0</v>
      </c>
      <c r="CR142" s="106">
        <f>+PMGR!CR142+BP!CR142</f>
        <v>0</v>
      </c>
      <c r="CS142" s="106">
        <f t="shared" si="702"/>
        <v>5313.5</v>
      </c>
      <c r="CT142" s="16" t="str">
        <f t="shared" si="675"/>
        <v>Staff Accommedation -Maintanence</v>
      </c>
      <c r="CU142" s="106">
        <f>+PMGR!CU142+BP!CU142</f>
        <v>0</v>
      </c>
      <c r="CV142" s="106">
        <f>+PMGR!CV142+BP!CV142</f>
        <v>37157.300000000003</v>
      </c>
      <c r="CW142" s="106">
        <f>+PMGR!CW142+BP!CW142</f>
        <v>13953.439999999999</v>
      </c>
      <c r="CX142" s="106">
        <f>+PMGR!CX142+BP!CX142</f>
        <v>0</v>
      </c>
      <c r="CY142" s="106">
        <f>+PMGR!CY142+BP!CY142</f>
        <v>0</v>
      </c>
      <c r="CZ142" s="106">
        <f>+PMGR!CZ142+BP!CZ142</f>
        <v>0</v>
      </c>
      <c r="DA142" s="106">
        <f>+PMGR!DA142+BP!DA142</f>
        <v>12250</v>
      </c>
      <c r="DB142" s="106">
        <f>+PMGR!DB142+BP!DB142</f>
        <v>8474.5750000000007</v>
      </c>
      <c r="DC142" s="106">
        <f>+PMGR!DC142+BP!DC142</f>
        <v>0</v>
      </c>
      <c r="DD142" s="106">
        <f>+PMGR!DD142+BP!DD142</f>
        <v>0</v>
      </c>
      <c r="DE142" s="106">
        <f>+PMGR!DE142+BP!DE142</f>
        <v>0</v>
      </c>
      <c r="DF142" s="106">
        <f>+PMGR!DF142+BP!DF142</f>
        <v>0</v>
      </c>
      <c r="DG142" s="106">
        <f t="shared" si="703"/>
        <v>71835.315000000002</v>
      </c>
      <c r="DH142" s="118"/>
      <c r="DI142" s="106">
        <f>+PMGR!DI142+BP!DI142</f>
        <v>0</v>
      </c>
      <c r="DJ142" s="106">
        <f>+PMGR!DJ142+BP!DJ142</f>
        <v>0</v>
      </c>
      <c r="DK142" s="106">
        <f>+PMGR!DK142+BP!DK142</f>
        <v>0</v>
      </c>
      <c r="DL142" s="106">
        <f>+PMGR!DL142+BP!DL142</f>
        <v>0</v>
      </c>
      <c r="DM142" s="106">
        <f>+PMGR!DM142+BP!DM142</f>
        <v>0</v>
      </c>
      <c r="DN142" s="106">
        <f>+PMGR!DN142+BP!DN142</f>
        <v>0</v>
      </c>
      <c r="DO142" s="106">
        <f>+PMGR!DO142+BP!DO142</f>
        <v>0</v>
      </c>
      <c r="DP142" s="106">
        <f>+PMGR!DP142+BP!DP142</f>
        <v>0</v>
      </c>
      <c r="DQ142" s="106">
        <f>+PMGR!DQ142+BP!DQ142</f>
        <v>0</v>
      </c>
      <c r="DR142" s="106">
        <f>+PMGR!DR142+BP!DR142</f>
        <v>0</v>
      </c>
      <c r="DS142" s="106">
        <f>+PMGR!DS142+BP!DS142</f>
        <v>0</v>
      </c>
      <c r="DT142" s="106">
        <f>+PMGR!DT142+BP!DT142</f>
        <v>0</v>
      </c>
      <c r="DU142" s="106">
        <f t="shared" si="704"/>
        <v>0</v>
      </c>
      <c r="DV142" s="106"/>
      <c r="DW142" s="106">
        <f>+PMGR!DW142+BP!DW142</f>
        <v>0</v>
      </c>
      <c r="DX142" s="106">
        <f>+PMGR!DX142+BP!DX142</f>
        <v>0</v>
      </c>
      <c r="DY142" s="106">
        <f>+PMGR!DY142+BP!DY142</f>
        <v>0</v>
      </c>
      <c r="DZ142" s="106">
        <f>+PMGR!DZ142+BP!DZ142</f>
        <v>0</v>
      </c>
      <c r="EA142" s="106">
        <f>+PMGR!EA142+BP!EA142</f>
        <v>0</v>
      </c>
      <c r="EB142" s="106">
        <f>+PMGR!EB142+BP!EB142</f>
        <v>0</v>
      </c>
      <c r="EC142" s="106">
        <f>+PMGR!EC142+BP!EC142</f>
        <v>0</v>
      </c>
      <c r="ED142" s="106">
        <f>+PMGR!ED142+BP!ED142</f>
        <v>0</v>
      </c>
      <c r="EE142" s="106">
        <f>+PMGR!EE142+BP!EE142</f>
        <v>0</v>
      </c>
      <c r="EF142" s="106">
        <f>+PMGR!EF142+BP!EF142</f>
        <v>0</v>
      </c>
      <c r="EG142" s="106">
        <f>+PMGR!EG142+BP!EG142</f>
        <v>0</v>
      </c>
      <c r="EH142" s="106">
        <f>+PMGR!EH142+BP!EH142</f>
        <v>0</v>
      </c>
      <c r="EI142" s="106">
        <f t="shared" si="705"/>
        <v>0</v>
      </c>
      <c r="EJ142" s="16" t="str">
        <f t="shared" si="681"/>
        <v>Staff Accommedation -Maintanence</v>
      </c>
      <c r="EK142" s="106">
        <f>+PMGR!EK142+BP!EK142</f>
        <v>73500</v>
      </c>
      <c r="EL142" s="106">
        <f>+PMGR!EL142+BP!EL142</f>
        <v>0</v>
      </c>
      <c r="EM142" s="106">
        <f>+PMGR!EM142+BP!EM142</f>
        <v>17337.310000000001</v>
      </c>
      <c r="EN142" s="106">
        <f>+PMGR!EN142+BP!EN142</f>
        <v>0</v>
      </c>
      <c r="EO142" s="106">
        <f>+PMGR!EO142+BP!EO142</f>
        <v>0</v>
      </c>
      <c r="EP142" s="106">
        <f>+PMGR!EP142+BP!EP142</f>
        <v>0</v>
      </c>
      <c r="EQ142" s="106">
        <f>+PMGR!EQ142+BP!EQ142</f>
        <v>0</v>
      </c>
      <c r="ER142" s="106">
        <f>+PMGR!ER142+BP!ER142</f>
        <v>0</v>
      </c>
      <c r="ES142" s="106">
        <f>+PMGR!ES142+BP!ES142</f>
        <v>0</v>
      </c>
      <c r="ET142" s="106">
        <f>+PMGR!ET142+BP!ET142</f>
        <v>0</v>
      </c>
      <c r="EU142" s="106">
        <f>+PMGR!EU142+BP!EU142</f>
        <v>0</v>
      </c>
      <c r="EV142" s="106">
        <f>+PMGR!EV142+BP!EV142</f>
        <v>0</v>
      </c>
      <c r="EW142" s="106">
        <f t="shared" si="706"/>
        <v>90837.31</v>
      </c>
      <c r="EX142" s="118"/>
      <c r="EY142" s="106">
        <f>+PMGR!EY142+BP!EY142</f>
        <v>0</v>
      </c>
      <c r="EZ142" s="106">
        <f>+PMGR!EZ142+BP!EZ142</f>
        <v>0</v>
      </c>
      <c r="FA142" s="106">
        <f>+PMGR!FA142+BP!FA142</f>
        <v>0</v>
      </c>
      <c r="FB142" s="106">
        <f>+PMGR!FB142+BP!FB142</f>
        <v>0</v>
      </c>
      <c r="FC142" s="106">
        <f>+PMGR!FC142+BP!FC142</f>
        <v>0</v>
      </c>
      <c r="FD142" s="106">
        <f>+PMGR!FD142+BP!FD142</f>
        <v>0</v>
      </c>
      <c r="FE142" s="106">
        <f>+PMGR!FE142+BP!FE142</f>
        <v>0</v>
      </c>
      <c r="FF142" s="106">
        <f>+PMGR!FF142+BP!FF142</f>
        <v>0</v>
      </c>
      <c r="FG142" s="106">
        <f>+PMGR!FG142+BP!FG142</f>
        <v>0</v>
      </c>
      <c r="FH142" s="106">
        <f>+PMGR!FH142+BP!FH142</f>
        <v>0</v>
      </c>
      <c r="FI142" s="106">
        <f>+PMGR!FI142+BP!FI142</f>
        <v>0</v>
      </c>
      <c r="FJ142" s="106">
        <f>+PMGR!FJ142+BP!FJ142</f>
        <v>0</v>
      </c>
      <c r="FK142" s="106">
        <f t="shared" si="707"/>
        <v>0</v>
      </c>
    </row>
    <row r="143" spans="1:167" ht="14.45" hidden="1" customHeight="1" outlineLevel="1">
      <c r="A143" s="106">
        <f t="shared" si="638"/>
        <v>0</v>
      </c>
      <c r="B143" s="106">
        <f t="shared" si="638"/>
        <v>0</v>
      </c>
      <c r="C143" s="106">
        <f t="shared" si="638"/>
        <v>0</v>
      </c>
      <c r="D143" s="106">
        <f t="shared" si="638"/>
        <v>0</v>
      </c>
      <c r="E143" s="106">
        <f t="shared" si="638"/>
        <v>0</v>
      </c>
      <c r="F143" s="106">
        <f t="shared" si="638"/>
        <v>0</v>
      </c>
      <c r="G143" s="106">
        <f t="shared" si="638"/>
        <v>0</v>
      </c>
      <c r="H143" s="106">
        <f t="shared" si="638"/>
        <v>0</v>
      </c>
      <c r="I143" s="106">
        <f t="shared" si="638"/>
        <v>0</v>
      </c>
      <c r="J143" s="106">
        <f t="shared" si="638"/>
        <v>0</v>
      </c>
      <c r="K143" s="106">
        <f t="shared" si="638"/>
        <v>190000</v>
      </c>
      <c r="L143" s="106">
        <f t="shared" si="638"/>
        <v>0</v>
      </c>
      <c r="M143" s="106">
        <f t="shared" si="694"/>
        <v>190000</v>
      </c>
      <c r="N143" s="16" t="s">
        <v>118</v>
      </c>
      <c r="O143" s="106">
        <f t="shared" si="695"/>
        <v>0</v>
      </c>
      <c r="P143" s="106">
        <f t="shared" si="695"/>
        <v>0</v>
      </c>
      <c r="Q143" s="106">
        <f t="shared" si="695"/>
        <v>0</v>
      </c>
      <c r="R143" s="106">
        <f t="shared" si="695"/>
        <v>0</v>
      </c>
      <c r="S143" s="106">
        <f t="shared" si="695"/>
        <v>0</v>
      </c>
      <c r="T143" s="106">
        <f t="shared" si="695"/>
        <v>0</v>
      </c>
      <c r="U143" s="106">
        <f t="shared" si="695"/>
        <v>0</v>
      </c>
      <c r="V143" s="106">
        <f t="shared" si="695"/>
        <v>0</v>
      </c>
      <c r="W143" s="106">
        <f t="shared" si="695"/>
        <v>0</v>
      </c>
      <c r="X143" s="106">
        <f t="shared" si="695"/>
        <v>0</v>
      </c>
      <c r="Y143" s="106">
        <f t="shared" si="695"/>
        <v>0</v>
      </c>
      <c r="Z143" s="106">
        <f t="shared" si="695"/>
        <v>0</v>
      </c>
      <c r="AA143" s="106">
        <f t="shared" si="696"/>
        <v>0</v>
      </c>
      <c r="AB143" s="118"/>
      <c r="AC143" s="106">
        <f t="shared" si="697"/>
        <v>0</v>
      </c>
      <c r="AD143" s="106">
        <f t="shared" si="697"/>
        <v>0</v>
      </c>
      <c r="AE143" s="106">
        <f t="shared" si="697"/>
        <v>0</v>
      </c>
      <c r="AF143" s="106">
        <f t="shared" si="697"/>
        <v>0</v>
      </c>
      <c r="AG143" s="106">
        <f t="shared" si="697"/>
        <v>0</v>
      </c>
      <c r="AH143" s="106">
        <f t="shared" si="697"/>
        <v>0</v>
      </c>
      <c r="AI143" s="106">
        <f t="shared" si="697"/>
        <v>0</v>
      </c>
      <c r="AJ143" s="106">
        <f t="shared" si="697"/>
        <v>0</v>
      </c>
      <c r="AK143" s="106">
        <f t="shared" si="697"/>
        <v>0</v>
      </c>
      <c r="AL143" s="106">
        <f t="shared" si="697"/>
        <v>0</v>
      </c>
      <c r="AM143" s="106">
        <f t="shared" si="697"/>
        <v>0</v>
      </c>
      <c r="AN143" s="106">
        <f t="shared" si="697"/>
        <v>0</v>
      </c>
      <c r="AO143" s="106">
        <f t="shared" si="698"/>
        <v>0</v>
      </c>
      <c r="AP143" s="106"/>
      <c r="AQ143" s="106">
        <f>+PMGR!AQ143+BP!AQ143</f>
        <v>0</v>
      </c>
      <c r="AR143" s="106">
        <f>+PMGR!AR143+BP!AR143</f>
        <v>0</v>
      </c>
      <c r="AS143" s="106">
        <f>+PMGR!AS143+BP!AS143</f>
        <v>0</v>
      </c>
      <c r="AT143" s="106">
        <f>+PMGR!AT143+BP!AT143</f>
        <v>0</v>
      </c>
      <c r="AU143" s="106">
        <f>+PMGR!AU143+BP!AU143</f>
        <v>0</v>
      </c>
      <c r="AV143" s="106">
        <f>+PMGR!AV143+BP!AV143</f>
        <v>0</v>
      </c>
      <c r="AW143" s="106">
        <f>+PMGR!AW143+BP!AW143</f>
        <v>0</v>
      </c>
      <c r="AX143" s="106">
        <f>+PMGR!AX143+BP!AX143</f>
        <v>0</v>
      </c>
      <c r="AY143" s="106">
        <f>+PMGR!AY143+BP!AY143</f>
        <v>0</v>
      </c>
      <c r="AZ143" s="106">
        <f>+PMGR!AZ143+BP!AZ143</f>
        <v>0</v>
      </c>
      <c r="BA143" s="106">
        <f>+PMGR!BA143+BP!BA143</f>
        <v>190000</v>
      </c>
      <c r="BB143" s="106">
        <f>+PMGR!BB143+BP!BB143</f>
        <v>0</v>
      </c>
      <c r="BC143" s="106">
        <f t="shared" si="699"/>
        <v>190000</v>
      </c>
      <c r="BD143" s="16" t="str">
        <f t="shared" si="671"/>
        <v>Staff Recruitment Expenses</v>
      </c>
      <c r="BE143" s="106">
        <f>+PMGR!BE143+BP!BE143</f>
        <v>0</v>
      </c>
      <c r="BF143" s="106">
        <f>+PMGR!BF143+BP!BF143</f>
        <v>0</v>
      </c>
      <c r="BG143" s="106">
        <f>+PMGR!BG143+BP!BG143</f>
        <v>0</v>
      </c>
      <c r="BH143" s="106">
        <f>+PMGR!BH143+BP!BH143</f>
        <v>0</v>
      </c>
      <c r="BI143" s="106">
        <f>+PMGR!BI143+BP!BI143</f>
        <v>0</v>
      </c>
      <c r="BJ143" s="106">
        <f>+PMGR!BJ143+BP!BJ143</f>
        <v>0</v>
      </c>
      <c r="BK143" s="106">
        <f>+PMGR!BK143+BP!BK143</f>
        <v>0</v>
      </c>
      <c r="BL143" s="106">
        <f>+PMGR!BL143+BP!BL143</f>
        <v>0</v>
      </c>
      <c r="BM143" s="106">
        <f>+PMGR!BM143+BP!BM143</f>
        <v>0</v>
      </c>
      <c r="BN143" s="106">
        <f>+PMGR!BN143+BP!BN143</f>
        <v>0</v>
      </c>
      <c r="BO143" s="106">
        <f>+PMGR!BO143+BP!BO143</f>
        <v>0</v>
      </c>
      <c r="BP143" s="106">
        <f>+PMGR!BP143+BP!BP143</f>
        <v>0</v>
      </c>
      <c r="BQ143" s="106">
        <f t="shared" si="700"/>
        <v>0</v>
      </c>
      <c r="BR143" s="118"/>
      <c r="BS143" s="106">
        <f>+PMGR!BS143+BP!BS143</f>
        <v>0</v>
      </c>
      <c r="BT143" s="106">
        <f>+PMGR!BT143+BP!BT143</f>
        <v>0</v>
      </c>
      <c r="BU143" s="106">
        <f>+PMGR!BU143+BP!BU143</f>
        <v>0</v>
      </c>
      <c r="BV143" s="106">
        <f>+PMGR!BV143+BP!BV143</f>
        <v>0</v>
      </c>
      <c r="BW143" s="106">
        <f>+PMGR!BW143+BP!BW143</f>
        <v>0</v>
      </c>
      <c r="BX143" s="106">
        <f>+PMGR!BX143+BP!BX143</f>
        <v>0</v>
      </c>
      <c r="BY143" s="106">
        <f>+PMGR!BY143+BP!BY143</f>
        <v>0</v>
      </c>
      <c r="BZ143" s="106">
        <f>+PMGR!BZ143+BP!BZ143</f>
        <v>0</v>
      </c>
      <c r="CA143" s="106">
        <f>+PMGR!CA143+BP!CA143</f>
        <v>0</v>
      </c>
      <c r="CB143" s="106">
        <f>+PMGR!CB143+BP!CB143</f>
        <v>0</v>
      </c>
      <c r="CC143" s="106">
        <f>+PMGR!CC143+BP!CC143</f>
        <v>0</v>
      </c>
      <c r="CD143" s="106">
        <f>+PMGR!CD143+BP!CD143</f>
        <v>0</v>
      </c>
      <c r="CE143" s="106">
        <f t="shared" si="701"/>
        <v>0</v>
      </c>
      <c r="CF143" s="106"/>
      <c r="CG143" s="106">
        <f>+PMGR!CG143+BP!CG143</f>
        <v>0</v>
      </c>
      <c r="CH143" s="106">
        <f>+PMGR!CH143+BP!CH143</f>
        <v>0</v>
      </c>
      <c r="CI143" s="106">
        <f>+PMGR!CI143+BP!CI143</f>
        <v>0</v>
      </c>
      <c r="CJ143" s="106">
        <f>+PMGR!CJ143+BP!CJ143</f>
        <v>0</v>
      </c>
      <c r="CK143" s="106">
        <f>+PMGR!CK143+BP!CK143</f>
        <v>0</v>
      </c>
      <c r="CL143" s="106">
        <f>+PMGR!CL143+BP!CL143</f>
        <v>0</v>
      </c>
      <c r="CM143" s="106">
        <f>+PMGR!CM143+BP!CM143</f>
        <v>0</v>
      </c>
      <c r="CN143" s="106">
        <f>+PMGR!CN143+BP!CN143</f>
        <v>0</v>
      </c>
      <c r="CO143" s="106">
        <f>+PMGR!CO143+BP!CO143</f>
        <v>0</v>
      </c>
      <c r="CP143" s="106">
        <f>+PMGR!CP143+BP!CP143</f>
        <v>0</v>
      </c>
      <c r="CQ143" s="106">
        <f>+PMGR!CQ143+BP!CQ143</f>
        <v>0</v>
      </c>
      <c r="CR143" s="106">
        <f>+PMGR!CR143+BP!CR143</f>
        <v>0</v>
      </c>
      <c r="CS143" s="106">
        <f t="shared" si="702"/>
        <v>0</v>
      </c>
      <c r="CT143" s="16" t="str">
        <f t="shared" si="675"/>
        <v>Staff Recruitment Expenses</v>
      </c>
      <c r="CU143" s="106">
        <f>+PMGR!CU143+BP!CU143</f>
        <v>0</v>
      </c>
      <c r="CV143" s="106">
        <f>+PMGR!CV143+BP!CV143</f>
        <v>0</v>
      </c>
      <c r="CW143" s="106">
        <f>+PMGR!CW143+BP!CW143</f>
        <v>0</v>
      </c>
      <c r="CX143" s="106">
        <f>+PMGR!CX143+BP!CX143</f>
        <v>0</v>
      </c>
      <c r="CY143" s="106">
        <f>+PMGR!CY143+BP!CY143</f>
        <v>0</v>
      </c>
      <c r="CZ143" s="106">
        <f>+PMGR!CZ143+BP!CZ143</f>
        <v>0</v>
      </c>
      <c r="DA143" s="106">
        <f>+PMGR!DA143+BP!DA143</f>
        <v>0</v>
      </c>
      <c r="DB143" s="106">
        <f>+PMGR!DB143+BP!DB143</f>
        <v>0</v>
      </c>
      <c r="DC143" s="106">
        <f>+PMGR!DC143+BP!DC143</f>
        <v>0</v>
      </c>
      <c r="DD143" s="106">
        <f>+PMGR!DD143+BP!DD143</f>
        <v>0</v>
      </c>
      <c r="DE143" s="106">
        <f>+PMGR!DE143+BP!DE143</f>
        <v>0</v>
      </c>
      <c r="DF143" s="106">
        <f>+PMGR!DF143+BP!DF143</f>
        <v>0</v>
      </c>
      <c r="DG143" s="106">
        <f t="shared" si="703"/>
        <v>0</v>
      </c>
      <c r="DH143" s="118"/>
      <c r="DI143" s="106">
        <f>+PMGR!DI143+BP!DI143</f>
        <v>0</v>
      </c>
      <c r="DJ143" s="106">
        <f>+PMGR!DJ143+BP!DJ143</f>
        <v>0</v>
      </c>
      <c r="DK143" s="106">
        <f>+PMGR!DK143+BP!DK143</f>
        <v>0</v>
      </c>
      <c r="DL143" s="106">
        <f>+PMGR!DL143+BP!DL143</f>
        <v>0</v>
      </c>
      <c r="DM143" s="106">
        <f>+PMGR!DM143+BP!DM143</f>
        <v>0</v>
      </c>
      <c r="DN143" s="106">
        <f>+PMGR!DN143+BP!DN143</f>
        <v>0</v>
      </c>
      <c r="DO143" s="106">
        <f>+PMGR!DO143+BP!DO143</f>
        <v>0</v>
      </c>
      <c r="DP143" s="106">
        <f>+PMGR!DP143+BP!DP143</f>
        <v>0</v>
      </c>
      <c r="DQ143" s="106">
        <f>+PMGR!DQ143+BP!DQ143</f>
        <v>0</v>
      </c>
      <c r="DR143" s="106">
        <f>+PMGR!DR143+BP!DR143</f>
        <v>0</v>
      </c>
      <c r="DS143" s="106">
        <f>+PMGR!DS143+BP!DS143</f>
        <v>0</v>
      </c>
      <c r="DT143" s="106">
        <f>+PMGR!DT143+BP!DT143</f>
        <v>0</v>
      </c>
      <c r="DU143" s="106">
        <f t="shared" si="704"/>
        <v>0</v>
      </c>
      <c r="DV143" s="106"/>
      <c r="DW143" s="106">
        <f>+PMGR!DW143+BP!DW143</f>
        <v>0</v>
      </c>
      <c r="DX143" s="106">
        <f>+PMGR!DX143+BP!DX143</f>
        <v>0</v>
      </c>
      <c r="DY143" s="106">
        <f>+PMGR!DY143+BP!DY143</f>
        <v>0</v>
      </c>
      <c r="DZ143" s="106">
        <f>+PMGR!DZ143+BP!DZ143</f>
        <v>0</v>
      </c>
      <c r="EA143" s="106">
        <f>+PMGR!EA143+BP!EA143</f>
        <v>0</v>
      </c>
      <c r="EB143" s="106">
        <f>+PMGR!EB143+BP!EB143</f>
        <v>0</v>
      </c>
      <c r="EC143" s="106">
        <f>+PMGR!EC143+BP!EC143</f>
        <v>0</v>
      </c>
      <c r="ED143" s="106">
        <f>+PMGR!ED143+BP!ED143</f>
        <v>0</v>
      </c>
      <c r="EE143" s="106">
        <f>+PMGR!EE143+BP!EE143</f>
        <v>0</v>
      </c>
      <c r="EF143" s="106">
        <f>+PMGR!EF143+BP!EF143</f>
        <v>0</v>
      </c>
      <c r="EG143" s="106">
        <f>+PMGR!EG143+BP!EG143</f>
        <v>0</v>
      </c>
      <c r="EH143" s="106">
        <f>+PMGR!EH143+BP!EH143</f>
        <v>0</v>
      </c>
      <c r="EI143" s="106">
        <f t="shared" si="705"/>
        <v>0</v>
      </c>
      <c r="EJ143" s="16" t="str">
        <f t="shared" si="681"/>
        <v>Staff Recruitment Expenses</v>
      </c>
      <c r="EK143" s="106">
        <f>+PMGR!EK143+BP!EK143</f>
        <v>0</v>
      </c>
      <c r="EL143" s="106">
        <f>+PMGR!EL143+BP!EL143</f>
        <v>0</v>
      </c>
      <c r="EM143" s="106">
        <f>+PMGR!EM143+BP!EM143</f>
        <v>0</v>
      </c>
      <c r="EN143" s="106">
        <f>+PMGR!EN143+BP!EN143</f>
        <v>0</v>
      </c>
      <c r="EO143" s="106">
        <f>+PMGR!EO143+BP!EO143</f>
        <v>0</v>
      </c>
      <c r="EP143" s="106">
        <f>+PMGR!EP143+BP!EP143</f>
        <v>0</v>
      </c>
      <c r="EQ143" s="106">
        <f>+PMGR!EQ143+BP!EQ143</f>
        <v>0</v>
      </c>
      <c r="ER143" s="106">
        <f>+PMGR!ER143+BP!ER143</f>
        <v>0</v>
      </c>
      <c r="ES143" s="106">
        <f>+PMGR!ES143+BP!ES143</f>
        <v>0</v>
      </c>
      <c r="ET143" s="106">
        <f>+PMGR!ET143+BP!ET143</f>
        <v>0</v>
      </c>
      <c r="EU143" s="106">
        <f>+PMGR!EU143+BP!EU143</f>
        <v>0</v>
      </c>
      <c r="EV143" s="106">
        <f>+PMGR!EV143+BP!EV143</f>
        <v>0</v>
      </c>
      <c r="EW143" s="106">
        <f t="shared" si="706"/>
        <v>0</v>
      </c>
      <c r="EX143" s="118"/>
      <c r="EY143" s="106">
        <f>+PMGR!EY143+BP!EY143</f>
        <v>0</v>
      </c>
      <c r="EZ143" s="106">
        <f>+PMGR!EZ143+BP!EZ143</f>
        <v>0</v>
      </c>
      <c r="FA143" s="106">
        <f>+PMGR!FA143+BP!FA143</f>
        <v>0</v>
      </c>
      <c r="FB143" s="106">
        <f>+PMGR!FB143+BP!FB143</f>
        <v>0</v>
      </c>
      <c r="FC143" s="106">
        <f>+PMGR!FC143+BP!FC143</f>
        <v>0</v>
      </c>
      <c r="FD143" s="106">
        <f>+PMGR!FD143+BP!FD143</f>
        <v>0</v>
      </c>
      <c r="FE143" s="106">
        <f>+PMGR!FE143+BP!FE143</f>
        <v>0</v>
      </c>
      <c r="FF143" s="106">
        <f>+PMGR!FF143+BP!FF143</f>
        <v>0</v>
      </c>
      <c r="FG143" s="106">
        <f>+PMGR!FG143+BP!FG143</f>
        <v>0</v>
      </c>
      <c r="FH143" s="106">
        <f>+PMGR!FH143+BP!FH143</f>
        <v>0</v>
      </c>
      <c r="FI143" s="106">
        <f>+PMGR!FI143+BP!FI143</f>
        <v>0</v>
      </c>
      <c r="FJ143" s="106">
        <f>+PMGR!FJ143+BP!FJ143</f>
        <v>0</v>
      </c>
      <c r="FK143" s="106">
        <f t="shared" si="707"/>
        <v>0</v>
      </c>
    </row>
    <row r="144" spans="1:167" ht="14.45" hidden="1" customHeight="1" outlineLevel="1">
      <c r="A144" s="106">
        <f t="shared" si="638"/>
        <v>63774.375</v>
      </c>
      <c r="B144" s="106">
        <f t="shared" si="638"/>
        <v>63774.375</v>
      </c>
      <c r="C144" s="106">
        <f t="shared" si="638"/>
        <v>63774.375</v>
      </c>
      <c r="D144" s="106">
        <f t="shared" si="638"/>
        <v>63774.375</v>
      </c>
      <c r="E144" s="106">
        <f t="shared" si="638"/>
        <v>63774.375</v>
      </c>
      <c r="F144" s="106">
        <f t="shared" si="638"/>
        <v>63774.375</v>
      </c>
      <c r="G144" s="106">
        <f t="shared" si="638"/>
        <v>63774.375</v>
      </c>
      <c r="H144" s="106">
        <f t="shared" si="638"/>
        <v>63774.375</v>
      </c>
      <c r="I144" s="106">
        <f t="shared" si="638"/>
        <v>63774.375</v>
      </c>
      <c r="J144" s="106">
        <f t="shared" si="638"/>
        <v>89227.44</v>
      </c>
      <c r="K144" s="106">
        <f t="shared" si="638"/>
        <v>89227.44</v>
      </c>
      <c r="L144" s="106">
        <f t="shared" si="638"/>
        <v>89227.44</v>
      </c>
      <c r="M144" s="106">
        <f t="shared" si="694"/>
        <v>841651.69499999983</v>
      </c>
      <c r="N144" s="16" t="s">
        <v>119</v>
      </c>
      <c r="O144" s="106">
        <f t="shared" si="695"/>
        <v>76800.333333333328</v>
      </c>
      <c r="P144" s="106">
        <f t="shared" si="695"/>
        <v>76800.333333333328</v>
      </c>
      <c r="Q144" s="106">
        <f t="shared" si="695"/>
        <v>76800.333333333328</v>
      </c>
      <c r="R144" s="106">
        <f t="shared" si="695"/>
        <v>76800.333333333328</v>
      </c>
      <c r="S144" s="106">
        <f t="shared" si="695"/>
        <v>213858.64200000002</v>
      </c>
      <c r="T144" s="106">
        <f t="shared" si="695"/>
        <v>177415.64199999999</v>
      </c>
      <c r="U144" s="106">
        <f t="shared" si="695"/>
        <v>0</v>
      </c>
      <c r="V144" s="106">
        <f t="shared" si="695"/>
        <v>0</v>
      </c>
      <c r="W144" s="106">
        <f t="shared" si="695"/>
        <v>723.5</v>
      </c>
      <c r="X144" s="106">
        <f t="shared" si="695"/>
        <v>0</v>
      </c>
      <c r="Y144" s="106">
        <f t="shared" si="695"/>
        <v>0</v>
      </c>
      <c r="Z144" s="106">
        <f t="shared" si="695"/>
        <v>0</v>
      </c>
      <c r="AA144" s="106">
        <f t="shared" si="696"/>
        <v>699199.11733333336</v>
      </c>
      <c r="AB144" s="118"/>
      <c r="AC144" s="106">
        <f t="shared" si="697"/>
        <v>93800.333333333328</v>
      </c>
      <c r="AD144" s="106">
        <f t="shared" si="697"/>
        <v>93800.333333333328</v>
      </c>
      <c r="AE144" s="106">
        <f t="shared" si="697"/>
        <v>93800.333333333328</v>
      </c>
      <c r="AF144" s="106">
        <f t="shared" si="697"/>
        <v>93800.333333333328</v>
      </c>
      <c r="AG144" s="106">
        <f t="shared" si="697"/>
        <v>93800.333333333328</v>
      </c>
      <c r="AH144" s="106">
        <f t="shared" si="697"/>
        <v>93800.333333333328</v>
      </c>
      <c r="AI144" s="106">
        <f t="shared" si="697"/>
        <v>93800.333333333328</v>
      </c>
      <c r="AJ144" s="106">
        <f t="shared" si="697"/>
        <v>93800.333333333328</v>
      </c>
      <c r="AK144" s="106">
        <f t="shared" si="697"/>
        <v>93800.333333333328</v>
      </c>
      <c r="AL144" s="106">
        <f t="shared" si="697"/>
        <v>93800.333333333328</v>
      </c>
      <c r="AM144" s="106">
        <f t="shared" si="697"/>
        <v>93800.333333333328</v>
      </c>
      <c r="AN144" s="106">
        <f t="shared" si="697"/>
        <v>93800.333333333328</v>
      </c>
      <c r="AO144" s="106">
        <f t="shared" si="698"/>
        <v>1125604.0000000002</v>
      </c>
      <c r="AP144" s="106"/>
      <c r="AQ144" s="106">
        <f>+PMGR!AQ144+BP!AQ144</f>
        <v>42516.25</v>
      </c>
      <c r="AR144" s="106">
        <f>+PMGR!AR144+BP!AR144</f>
        <v>42516.25</v>
      </c>
      <c r="AS144" s="106">
        <f>+PMGR!AS144+BP!AS144</f>
        <v>42516.25</v>
      </c>
      <c r="AT144" s="106">
        <f>+PMGR!AT144+BP!AT144</f>
        <v>42516.25</v>
      </c>
      <c r="AU144" s="106">
        <f>+PMGR!AU144+BP!AU144</f>
        <v>42516.25</v>
      </c>
      <c r="AV144" s="106">
        <f>+PMGR!AV144+BP!AV144</f>
        <v>42516.25</v>
      </c>
      <c r="AW144" s="106">
        <f>+PMGR!AW144+BP!AW144</f>
        <v>42516.25</v>
      </c>
      <c r="AX144" s="106">
        <f>+PMGR!AX144+BP!AX144</f>
        <v>42516.25</v>
      </c>
      <c r="AY144" s="106">
        <f>+PMGR!AY144+BP!AY144</f>
        <v>42516.25</v>
      </c>
      <c r="AZ144" s="106">
        <f>+PMGR!AZ144+BP!AZ144</f>
        <v>89227.44</v>
      </c>
      <c r="BA144" s="106">
        <f>+PMGR!BA144+BP!BA144</f>
        <v>89227.44</v>
      </c>
      <c r="BB144" s="106">
        <f>+PMGR!BB144+BP!BB144</f>
        <v>89227.44</v>
      </c>
      <c r="BC144" s="106">
        <f t="shared" si="699"/>
        <v>650328.57000000007</v>
      </c>
      <c r="BD144" s="16" t="str">
        <f t="shared" si="671"/>
        <v>Staff Uniform</v>
      </c>
      <c r="BE144" s="106">
        <f>+PMGR!BE144+BP!BE144</f>
        <v>59883.166666666664</v>
      </c>
      <c r="BF144" s="106">
        <f>+PMGR!BF144+BP!BF144</f>
        <v>59883.166666666664</v>
      </c>
      <c r="BG144" s="106">
        <f>+PMGR!BG144+BP!BG144</f>
        <v>49201.416666666664</v>
      </c>
      <c r="BH144" s="106">
        <f>+PMGR!BH144+BP!BH144</f>
        <v>49201.416666666664</v>
      </c>
      <c r="BI144" s="106">
        <f>+PMGR!BI144+BP!BI144</f>
        <v>139192.42800000001</v>
      </c>
      <c r="BJ144" s="106">
        <f>+PMGR!BJ144+BP!BJ144</f>
        <v>115900.928</v>
      </c>
      <c r="BK144" s="106">
        <f>+PMGR!BK144+BP!BK144</f>
        <v>0</v>
      </c>
      <c r="BL144" s="106">
        <f>+PMGR!BL144+BP!BL144</f>
        <v>0</v>
      </c>
      <c r="BM144" s="106">
        <f>+PMGR!BM144+BP!BM144</f>
        <v>0</v>
      </c>
      <c r="BN144" s="106">
        <f>+PMGR!BN144+BP!BN144</f>
        <v>0</v>
      </c>
      <c r="BO144" s="106">
        <f>+PMGR!BO144+BP!BO144</f>
        <v>0</v>
      </c>
      <c r="BP144" s="106">
        <f>+PMGR!BP144+BP!BP144</f>
        <v>0</v>
      </c>
      <c r="BQ144" s="106">
        <f t="shared" si="700"/>
        <v>473262.52266666671</v>
      </c>
      <c r="BR144" s="118"/>
      <c r="BS144" s="106">
        <f>+PMGR!BS144+BP!BS144</f>
        <v>59883.166666666664</v>
      </c>
      <c r="BT144" s="106">
        <f>+PMGR!BT144+BP!BT144</f>
        <v>59883.166666666664</v>
      </c>
      <c r="BU144" s="106">
        <f>+PMGR!BU144+BP!BU144</f>
        <v>59883.166666666664</v>
      </c>
      <c r="BV144" s="106">
        <f>+PMGR!BV144+BP!BV144</f>
        <v>59883.166666666664</v>
      </c>
      <c r="BW144" s="106">
        <f>+PMGR!BW144+BP!BW144</f>
        <v>59883.166666666664</v>
      </c>
      <c r="BX144" s="106">
        <f>+PMGR!BX144+BP!BX144</f>
        <v>59883.166666666664</v>
      </c>
      <c r="BY144" s="106">
        <f>+PMGR!BY144+BP!BY144</f>
        <v>59883.166666666664</v>
      </c>
      <c r="BZ144" s="106">
        <f>+PMGR!BZ144+BP!BZ144</f>
        <v>59883.166666666664</v>
      </c>
      <c r="CA144" s="106">
        <f>+PMGR!CA144+BP!CA144</f>
        <v>59883.166666666664</v>
      </c>
      <c r="CB144" s="106">
        <f>+PMGR!CB144+BP!CB144</f>
        <v>59883.166666666664</v>
      </c>
      <c r="CC144" s="106">
        <f>+PMGR!CC144+BP!CC144</f>
        <v>59883.166666666664</v>
      </c>
      <c r="CD144" s="106">
        <f>+PMGR!CD144+BP!CD144</f>
        <v>59883.166666666664</v>
      </c>
      <c r="CE144" s="106">
        <f t="shared" si="701"/>
        <v>718597.99999999988</v>
      </c>
      <c r="CF144" s="106"/>
      <c r="CG144" s="106">
        <f>+PMGR!CG144+BP!CG144</f>
        <v>21258.125</v>
      </c>
      <c r="CH144" s="106">
        <f>+PMGR!CH144+BP!CH144</f>
        <v>21258.125</v>
      </c>
      <c r="CI144" s="106">
        <f>+PMGR!CI144+BP!CI144</f>
        <v>21258.125</v>
      </c>
      <c r="CJ144" s="106">
        <f>+PMGR!CJ144+BP!CJ144</f>
        <v>21258.125</v>
      </c>
      <c r="CK144" s="106">
        <f>+PMGR!CK144+BP!CK144</f>
        <v>21258.125</v>
      </c>
      <c r="CL144" s="106">
        <f>+PMGR!CL144+BP!CL144</f>
        <v>21258.125</v>
      </c>
      <c r="CM144" s="106">
        <f>+PMGR!CM144+BP!CM144</f>
        <v>21258.125</v>
      </c>
      <c r="CN144" s="106">
        <f>+PMGR!CN144+BP!CN144</f>
        <v>21258.125</v>
      </c>
      <c r="CO144" s="106">
        <f>+PMGR!CO144+BP!CO144</f>
        <v>21258.125</v>
      </c>
      <c r="CP144" s="106">
        <f>+PMGR!CP144+BP!CP144</f>
        <v>0</v>
      </c>
      <c r="CQ144" s="106">
        <f>+PMGR!CQ144+BP!CQ144</f>
        <v>0</v>
      </c>
      <c r="CR144" s="106">
        <f>+PMGR!CR144+BP!CR144</f>
        <v>0</v>
      </c>
      <c r="CS144" s="106">
        <f t="shared" si="702"/>
        <v>191323.125</v>
      </c>
      <c r="CT144" s="16" t="str">
        <f t="shared" si="675"/>
        <v>Staff Uniform</v>
      </c>
      <c r="CU144" s="106">
        <f>+PMGR!CU144+BP!CU144</f>
        <v>16917.166666666664</v>
      </c>
      <c r="CV144" s="106">
        <f>+PMGR!CV144+BP!CV144</f>
        <v>16917.166666666664</v>
      </c>
      <c r="CW144" s="106">
        <f>+PMGR!CW144+BP!CW144</f>
        <v>25133.916666666664</v>
      </c>
      <c r="CX144" s="106">
        <f>+PMGR!CX144+BP!CX144</f>
        <v>25133.916666666664</v>
      </c>
      <c r="CY144" s="106">
        <f>+PMGR!CY144+BP!CY144</f>
        <v>74666.214000000007</v>
      </c>
      <c r="CZ144" s="106">
        <f>+PMGR!CZ144+BP!CZ144</f>
        <v>58663.313999999998</v>
      </c>
      <c r="DA144" s="106">
        <f>+PMGR!DA144+BP!DA144</f>
        <v>0</v>
      </c>
      <c r="DB144" s="106">
        <f>+PMGR!DB144+BP!DB144</f>
        <v>0</v>
      </c>
      <c r="DC144" s="106">
        <f>+PMGR!DC144+BP!DC144</f>
        <v>723.5</v>
      </c>
      <c r="DD144" s="106">
        <f>+PMGR!DD144+BP!DD144</f>
        <v>0</v>
      </c>
      <c r="DE144" s="106">
        <f>+PMGR!DE144+BP!DE144</f>
        <v>0</v>
      </c>
      <c r="DF144" s="106">
        <f>+PMGR!DF144+BP!DF144</f>
        <v>0</v>
      </c>
      <c r="DG144" s="106">
        <f t="shared" si="703"/>
        <v>218155.19466666668</v>
      </c>
      <c r="DH144" s="118"/>
      <c r="DI144" s="106">
        <f>+PMGR!DI144+BP!DI144</f>
        <v>16917.166666666664</v>
      </c>
      <c r="DJ144" s="106">
        <f>+PMGR!DJ144+BP!DJ144</f>
        <v>16917.166666666664</v>
      </c>
      <c r="DK144" s="106">
        <f>+PMGR!DK144+BP!DK144</f>
        <v>16917.166666666664</v>
      </c>
      <c r="DL144" s="106">
        <f>+PMGR!DL144+BP!DL144</f>
        <v>16917.166666666664</v>
      </c>
      <c r="DM144" s="106">
        <f>+PMGR!DM144+BP!DM144</f>
        <v>16917.166666666664</v>
      </c>
      <c r="DN144" s="106">
        <f>+PMGR!DN144+BP!DN144</f>
        <v>16917.166666666664</v>
      </c>
      <c r="DO144" s="106">
        <f>+PMGR!DO144+BP!DO144</f>
        <v>16917.166666666664</v>
      </c>
      <c r="DP144" s="106">
        <f>+PMGR!DP144+BP!DP144</f>
        <v>16917.166666666664</v>
      </c>
      <c r="DQ144" s="106">
        <f>+PMGR!DQ144+BP!DQ144</f>
        <v>16917.166666666664</v>
      </c>
      <c r="DR144" s="106">
        <f>+PMGR!DR144+BP!DR144</f>
        <v>16917.166666666664</v>
      </c>
      <c r="DS144" s="106">
        <f>+PMGR!DS144+BP!DS144</f>
        <v>16917.166666666664</v>
      </c>
      <c r="DT144" s="106">
        <f>+PMGR!DT144+BP!DT144</f>
        <v>16917.166666666664</v>
      </c>
      <c r="DU144" s="106">
        <f t="shared" si="704"/>
        <v>203005.99999999991</v>
      </c>
      <c r="DV144" s="106"/>
      <c r="DW144" s="106">
        <f>+PMGR!DW144+BP!DW144</f>
        <v>0</v>
      </c>
      <c r="DX144" s="106">
        <f>+PMGR!DX144+BP!DX144</f>
        <v>0</v>
      </c>
      <c r="DY144" s="106">
        <f>+PMGR!DY144+BP!DY144</f>
        <v>0</v>
      </c>
      <c r="DZ144" s="106">
        <f>+PMGR!DZ144+BP!DZ144</f>
        <v>0</v>
      </c>
      <c r="EA144" s="106">
        <f>+PMGR!EA144+BP!EA144</f>
        <v>0</v>
      </c>
      <c r="EB144" s="106">
        <f>+PMGR!EB144+BP!EB144</f>
        <v>0</v>
      </c>
      <c r="EC144" s="106">
        <f>+PMGR!EC144+BP!EC144</f>
        <v>0</v>
      </c>
      <c r="ED144" s="106">
        <f>+PMGR!ED144+BP!ED144</f>
        <v>0</v>
      </c>
      <c r="EE144" s="106">
        <f>+PMGR!EE144+BP!EE144</f>
        <v>0</v>
      </c>
      <c r="EF144" s="106">
        <f>+PMGR!EF144+BP!EF144</f>
        <v>0</v>
      </c>
      <c r="EG144" s="106">
        <f>+PMGR!EG144+BP!EG144</f>
        <v>0</v>
      </c>
      <c r="EH144" s="106">
        <f>+PMGR!EH144+BP!EH144</f>
        <v>0</v>
      </c>
      <c r="EI144" s="106">
        <f t="shared" si="705"/>
        <v>0</v>
      </c>
      <c r="EJ144" s="16" t="str">
        <f t="shared" si="681"/>
        <v>Staff Uniform</v>
      </c>
      <c r="EK144" s="106">
        <f>+PMGR!EK144+BP!EK144</f>
        <v>0</v>
      </c>
      <c r="EL144" s="106">
        <f>+PMGR!EL144+BP!EL144</f>
        <v>0</v>
      </c>
      <c r="EM144" s="106">
        <f>+PMGR!EM144+BP!EM144</f>
        <v>2465</v>
      </c>
      <c r="EN144" s="106">
        <f>+PMGR!EN144+BP!EN144</f>
        <v>2465</v>
      </c>
      <c r="EO144" s="106">
        <f>+PMGR!EO144+BP!EO144</f>
        <v>0</v>
      </c>
      <c r="EP144" s="106">
        <f>+PMGR!EP144+BP!EP144</f>
        <v>2851.4</v>
      </c>
      <c r="EQ144" s="106">
        <f>+PMGR!EQ144+BP!EQ144</f>
        <v>0</v>
      </c>
      <c r="ER144" s="106">
        <f>+PMGR!ER144+BP!ER144</f>
        <v>0</v>
      </c>
      <c r="ES144" s="106">
        <f>+PMGR!ES144+BP!ES144</f>
        <v>0</v>
      </c>
      <c r="ET144" s="106">
        <f>+PMGR!ET144+BP!ET144</f>
        <v>0</v>
      </c>
      <c r="EU144" s="106">
        <f>+PMGR!EU144+BP!EU144</f>
        <v>0</v>
      </c>
      <c r="EV144" s="106">
        <f>+PMGR!EV144+BP!EV144</f>
        <v>0</v>
      </c>
      <c r="EW144" s="106">
        <f t="shared" si="706"/>
        <v>7781.4</v>
      </c>
      <c r="EX144" s="118"/>
      <c r="EY144" s="106">
        <f>+PMGR!EY144+BP!EY144</f>
        <v>17000</v>
      </c>
      <c r="EZ144" s="106">
        <f>+PMGR!EZ144+BP!EZ144</f>
        <v>17000</v>
      </c>
      <c r="FA144" s="106">
        <f>+PMGR!FA144+BP!FA144</f>
        <v>17000</v>
      </c>
      <c r="FB144" s="106">
        <f>+PMGR!FB144+BP!FB144</f>
        <v>17000</v>
      </c>
      <c r="FC144" s="106">
        <f>+PMGR!FC144+BP!FC144</f>
        <v>17000</v>
      </c>
      <c r="FD144" s="106">
        <f>+PMGR!FD144+BP!FD144</f>
        <v>17000</v>
      </c>
      <c r="FE144" s="106">
        <f>+PMGR!FE144+BP!FE144</f>
        <v>17000</v>
      </c>
      <c r="FF144" s="106">
        <f>+PMGR!FF144+BP!FF144</f>
        <v>17000</v>
      </c>
      <c r="FG144" s="106">
        <f>+PMGR!FG144+BP!FG144</f>
        <v>17000</v>
      </c>
      <c r="FH144" s="106">
        <f>+PMGR!FH144+BP!FH144</f>
        <v>17000</v>
      </c>
      <c r="FI144" s="106">
        <f>+PMGR!FI144+BP!FI144</f>
        <v>17000</v>
      </c>
      <c r="FJ144" s="106">
        <f>+PMGR!FJ144+BP!FJ144</f>
        <v>17000</v>
      </c>
      <c r="FK144" s="106">
        <f t="shared" si="707"/>
        <v>204000</v>
      </c>
    </row>
    <row r="145" spans="1:167" ht="14.45" hidden="1" customHeight="1" outlineLevel="1">
      <c r="A145" s="106">
        <f t="shared" si="638"/>
        <v>2439</v>
      </c>
      <c r="B145" s="106">
        <f t="shared" si="638"/>
        <v>0</v>
      </c>
      <c r="C145" s="106">
        <f t="shared" si="638"/>
        <v>4742.5</v>
      </c>
      <c r="D145" s="106">
        <f t="shared" si="638"/>
        <v>34170</v>
      </c>
      <c r="E145" s="106">
        <f t="shared" si="638"/>
        <v>20934.849999999999</v>
      </c>
      <c r="F145" s="106">
        <f t="shared" si="638"/>
        <v>86600</v>
      </c>
      <c r="G145" s="106">
        <f t="shared" si="638"/>
        <v>13238</v>
      </c>
      <c r="H145" s="106">
        <f t="shared" si="638"/>
        <v>1375</v>
      </c>
      <c r="I145" s="106">
        <f t="shared" si="638"/>
        <v>42824</v>
      </c>
      <c r="J145" s="106">
        <f t="shared" si="638"/>
        <v>31254.5</v>
      </c>
      <c r="K145" s="106">
        <f t="shared" si="638"/>
        <v>0</v>
      </c>
      <c r="L145" s="106">
        <f t="shared" si="638"/>
        <v>261</v>
      </c>
      <c r="M145" s="106">
        <f t="shared" si="694"/>
        <v>237838.85</v>
      </c>
      <c r="N145" s="16" t="s">
        <v>120</v>
      </c>
      <c r="O145" s="106">
        <f t="shared" si="695"/>
        <v>2285</v>
      </c>
      <c r="P145" s="106">
        <f t="shared" si="695"/>
        <v>49615</v>
      </c>
      <c r="Q145" s="106">
        <f t="shared" si="695"/>
        <v>39665</v>
      </c>
      <c r="R145" s="106">
        <f t="shared" si="695"/>
        <v>0</v>
      </c>
      <c r="S145" s="106">
        <f t="shared" si="695"/>
        <v>0</v>
      </c>
      <c r="T145" s="106">
        <f t="shared" si="695"/>
        <v>4400</v>
      </c>
      <c r="U145" s="106">
        <f t="shared" si="695"/>
        <v>0</v>
      </c>
      <c r="V145" s="106">
        <f t="shared" si="695"/>
        <v>2700</v>
      </c>
      <c r="W145" s="106">
        <f t="shared" si="695"/>
        <v>95314.26999999999</v>
      </c>
      <c r="X145" s="106">
        <f t="shared" si="695"/>
        <v>17500</v>
      </c>
      <c r="Y145" s="106">
        <f t="shared" si="695"/>
        <v>0</v>
      </c>
      <c r="Z145" s="106">
        <f t="shared" si="695"/>
        <v>0</v>
      </c>
      <c r="AA145" s="106">
        <f t="shared" si="696"/>
        <v>211479.27</v>
      </c>
      <c r="AB145" s="118"/>
      <c r="AC145" s="106">
        <f t="shared" si="697"/>
        <v>11579.861111111111</v>
      </c>
      <c r="AD145" s="106">
        <f t="shared" si="697"/>
        <v>11579.861111111111</v>
      </c>
      <c r="AE145" s="106">
        <f t="shared" si="697"/>
        <v>48329.861111111117</v>
      </c>
      <c r="AF145" s="106">
        <f t="shared" si="697"/>
        <v>97329.861111111109</v>
      </c>
      <c r="AG145" s="106">
        <f t="shared" si="697"/>
        <v>11579.861111111111</v>
      </c>
      <c r="AH145" s="106">
        <f t="shared" si="697"/>
        <v>17704.861111111113</v>
      </c>
      <c r="AI145" s="106">
        <f t="shared" si="697"/>
        <v>11579.861111111111</v>
      </c>
      <c r="AJ145" s="106">
        <f t="shared" si="697"/>
        <v>11579.861111111111</v>
      </c>
      <c r="AK145" s="106">
        <f t="shared" si="697"/>
        <v>48329.861111111117</v>
      </c>
      <c r="AL145" s="106">
        <f t="shared" si="697"/>
        <v>470371.52777777781</v>
      </c>
      <c r="AM145" s="106">
        <f t="shared" si="697"/>
        <v>11579.861111111111</v>
      </c>
      <c r="AN145" s="106">
        <f t="shared" si="697"/>
        <v>67704.861111111124</v>
      </c>
      <c r="AO145" s="106">
        <f t="shared" si="698"/>
        <v>819250.00000000012</v>
      </c>
      <c r="AP145" s="106"/>
      <c r="AQ145" s="106">
        <f>+PMGR!AQ145+BP!AQ145</f>
        <v>0</v>
      </c>
      <c r="AR145" s="106">
        <f>+PMGR!AR145+BP!AR145</f>
        <v>0</v>
      </c>
      <c r="AS145" s="106">
        <f>+PMGR!AS145+BP!AS145</f>
        <v>2657</v>
      </c>
      <c r="AT145" s="106">
        <f>+PMGR!AT145+BP!AT145</f>
        <v>24170</v>
      </c>
      <c r="AU145" s="106">
        <f>+PMGR!AU145+BP!AU145</f>
        <v>15289.899999999998</v>
      </c>
      <c r="AV145" s="106">
        <f>+PMGR!AV145+BP!AV145</f>
        <v>51960</v>
      </c>
      <c r="AW145" s="106">
        <f>+PMGR!AW145+BP!AW145</f>
        <v>6860</v>
      </c>
      <c r="AX145" s="106">
        <f>+PMGR!AX145+BP!AX145</f>
        <v>1375</v>
      </c>
      <c r="AY145" s="106">
        <f>+PMGR!AY145+BP!AY145</f>
        <v>32770</v>
      </c>
      <c r="AZ145" s="106">
        <f>+PMGR!AZ145+BP!AZ145</f>
        <v>20000</v>
      </c>
      <c r="BA145" s="106">
        <f>+PMGR!BA145+BP!BA145</f>
        <v>0</v>
      </c>
      <c r="BB145" s="106">
        <f>+PMGR!BB145+BP!BB145</f>
        <v>261</v>
      </c>
      <c r="BC145" s="106">
        <f t="shared" si="699"/>
        <v>155342.9</v>
      </c>
      <c r="BD145" s="16" t="str">
        <f t="shared" si="671"/>
        <v>Staff Welfare Expenses</v>
      </c>
      <c r="BE145" s="106">
        <f>+PMGR!BE145+BP!BE145</f>
        <v>1910</v>
      </c>
      <c r="BF145" s="106">
        <f>+PMGR!BF145+BP!BF145</f>
        <v>40175</v>
      </c>
      <c r="BG145" s="106">
        <f>+PMGR!BG145+BP!BG145</f>
        <v>29556</v>
      </c>
      <c r="BH145" s="106">
        <f>+PMGR!BH145+BP!BH145</f>
        <v>0</v>
      </c>
      <c r="BI145" s="106">
        <f>+PMGR!BI145+BP!BI145</f>
        <v>0</v>
      </c>
      <c r="BJ145" s="106">
        <f>+PMGR!BJ145+BP!BJ145</f>
        <v>3900</v>
      </c>
      <c r="BK145" s="106">
        <f>+PMGR!BK145+BP!BK145</f>
        <v>0</v>
      </c>
      <c r="BL145" s="106">
        <f>+PMGR!BL145+BP!BL145</f>
        <v>2700</v>
      </c>
      <c r="BM145" s="106">
        <f>+PMGR!BM145+BP!BM145</f>
        <v>45802.77</v>
      </c>
      <c r="BN145" s="106">
        <f>+PMGR!BN145+BP!BN145</f>
        <v>0</v>
      </c>
      <c r="BO145" s="106">
        <f>+PMGR!BO145+BP!BO145</f>
        <v>0</v>
      </c>
      <c r="BP145" s="106">
        <f>+PMGR!BP145+BP!BP145</f>
        <v>0</v>
      </c>
      <c r="BQ145" s="106">
        <f t="shared" si="700"/>
        <v>124043.76999999999</v>
      </c>
      <c r="BR145" s="118"/>
      <c r="BS145" s="106">
        <f>+PMGR!BS145+BP!BS145</f>
        <v>6562.5</v>
      </c>
      <c r="BT145" s="106">
        <f>+PMGR!BT145+BP!BT145</f>
        <v>6562.5</v>
      </c>
      <c r="BU145" s="106">
        <f>+PMGR!BU145+BP!BU145</f>
        <v>27062.5</v>
      </c>
      <c r="BV145" s="106">
        <f>+PMGR!BV145+BP!BV145</f>
        <v>54395.833333333336</v>
      </c>
      <c r="BW145" s="106">
        <f>+PMGR!BW145+BP!BW145</f>
        <v>6562.5</v>
      </c>
      <c r="BX145" s="106">
        <f>+PMGR!BX145+BP!BX145</f>
        <v>9979.1666666666679</v>
      </c>
      <c r="BY145" s="106">
        <f>+PMGR!BY145+BP!BY145</f>
        <v>6562.5</v>
      </c>
      <c r="BZ145" s="106">
        <f>+PMGR!BZ145+BP!BZ145</f>
        <v>6562.5</v>
      </c>
      <c r="CA145" s="106">
        <f>+PMGR!CA145+BP!CA145</f>
        <v>27062.5</v>
      </c>
      <c r="CB145" s="106">
        <f>+PMGR!CB145+BP!CB145</f>
        <v>269645.83333333337</v>
      </c>
      <c r="CC145" s="106">
        <f>+PMGR!CC145+BP!CC145</f>
        <v>6562.5</v>
      </c>
      <c r="CD145" s="106">
        <f>+PMGR!CD145+BP!CD145</f>
        <v>29979.166666666668</v>
      </c>
      <c r="CE145" s="106">
        <f t="shared" si="701"/>
        <v>457500.00000000006</v>
      </c>
      <c r="CF145" s="106"/>
      <c r="CG145" s="106">
        <f>+PMGR!CG145+BP!CG145</f>
        <v>2439</v>
      </c>
      <c r="CH145" s="106">
        <f>+PMGR!CH145+BP!CH145</f>
        <v>0</v>
      </c>
      <c r="CI145" s="106">
        <f>+PMGR!CI145+BP!CI145</f>
        <v>2085.5</v>
      </c>
      <c r="CJ145" s="106">
        <f>+PMGR!CJ145+BP!CJ145</f>
        <v>10000</v>
      </c>
      <c r="CK145" s="106">
        <f>+PMGR!CK145+BP!CK145</f>
        <v>5644.95</v>
      </c>
      <c r="CL145" s="106">
        <f>+PMGR!CL145+BP!CL145</f>
        <v>34640</v>
      </c>
      <c r="CM145" s="106">
        <f>+PMGR!CM145+BP!CM145</f>
        <v>6378</v>
      </c>
      <c r="CN145" s="106">
        <f>+PMGR!CN145+BP!CN145</f>
        <v>0</v>
      </c>
      <c r="CO145" s="106">
        <f>+PMGR!CO145+BP!CO145</f>
        <v>10054</v>
      </c>
      <c r="CP145" s="106">
        <f>+PMGR!CP145+BP!CP145</f>
        <v>11254.5</v>
      </c>
      <c r="CQ145" s="106">
        <f>+PMGR!CQ145+BP!CQ145</f>
        <v>0</v>
      </c>
      <c r="CR145" s="106">
        <f>+PMGR!CR145+BP!CR145</f>
        <v>0</v>
      </c>
      <c r="CS145" s="106">
        <f t="shared" si="702"/>
        <v>82495.95</v>
      </c>
      <c r="CT145" s="16" t="str">
        <f t="shared" si="675"/>
        <v>Staff Welfare Expenses</v>
      </c>
      <c r="CU145" s="106">
        <f>+PMGR!CU145+BP!CU145</f>
        <v>375</v>
      </c>
      <c r="CV145" s="106">
        <f>+PMGR!CV145+BP!CV145</f>
        <v>0</v>
      </c>
      <c r="CW145" s="106">
        <f>+PMGR!CW145+BP!CW145</f>
        <v>0</v>
      </c>
      <c r="CX145" s="106">
        <f>+PMGR!CX145+BP!CX145</f>
        <v>0</v>
      </c>
      <c r="CY145" s="106">
        <f>+PMGR!CY145+BP!CY145</f>
        <v>0</v>
      </c>
      <c r="CZ145" s="106">
        <f>+PMGR!CZ145+BP!CZ145</f>
        <v>0</v>
      </c>
      <c r="DA145" s="106">
        <f>+PMGR!DA145+BP!DA145</f>
        <v>0</v>
      </c>
      <c r="DB145" s="106">
        <f>+PMGR!DB145+BP!DB145</f>
        <v>0</v>
      </c>
      <c r="DC145" s="106">
        <f>+PMGR!DC145+BP!DC145</f>
        <v>22207.5</v>
      </c>
      <c r="DD145" s="106">
        <f>+PMGR!DD145+BP!DD145</f>
        <v>12500</v>
      </c>
      <c r="DE145" s="106">
        <f>+PMGR!DE145+BP!DE145</f>
        <v>0</v>
      </c>
      <c r="DF145" s="106">
        <f>+PMGR!DF145+BP!DF145</f>
        <v>0</v>
      </c>
      <c r="DG145" s="106">
        <f t="shared" si="703"/>
        <v>35082.5</v>
      </c>
      <c r="DH145" s="118"/>
      <c r="DI145" s="106">
        <f>+PMGR!DI145+BP!DI145</f>
        <v>3590.2777777777783</v>
      </c>
      <c r="DJ145" s="106">
        <f>+PMGR!DJ145+BP!DJ145</f>
        <v>3590.2777777777783</v>
      </c>
      <c r="DK145" s="106">
        <f>+PMGR!DK145+BP!DK145</f>
        <v>14090.277777777777</v>
      </c>
      <c r="DL145" s="106">
        <f>+PMGR!DL145+BP!DL145</f>
        <v>28090.277777777777</v>
      </c>
      <c r="DM145" s="106">
        <f>+PMGR!DM145+BP!DM145</f>
        <v>3590.2777777777783</v>
      </c>
      <c r="DN145" s="106">
        <f>+PMGR!DN145+BP!DN145</f>
        <v>5340.2777777777783</v>
      </c>
      <c r="DO145" s="106">
        <f>+PMGR!DO145+BP!DO145</f>
        <v>3590.2777777777783</v>
      </c>
      <c r="DP145" s="106">
        <f>+PMGR!DP145+BP!DP145</f>
        <v>3590.2777777777783</v>
      </c>
      <c r="DQ145" s="106">
        <f>+PMGR!DQ145+BP!DQ145</f>
        <v>14090.277777777777</v>
      </c>
      <c r="DR145" s="106">
        <f>+PMGR!DR145+BP!DR145</f>
        <v>125506.94444444444</v>
      </c>
      <c r="DS145" s="106">
        <f>+PMGR!DS145+BP!DS145</f>
        <v>3590.2777777777783</v>
      </c>
      <c r="DT145" s="106">
        <f>+PMGR!DT145+BP!DT145</f>
        <v>25340.277777777781</v>
      </c>
      <c r="DU145" s="106">
        <f t="shared" si="704"/>
        <v>234000</v>
      </c>
      <c r="DV145" s="106"/>
      <c r="DW145" s="106">
        <f>+PMGR!DW145+BP!DW145</f>
        <v>0</v>
      </c>
      <c r="DX145" s="106">
        <f>+PMGR!DX145+BP!DX145</f>
        <v>0</v>
      </c>
      <c r="DY145" s="106">
        <f>+PMGR!DY145+BP!DY145</f>
        <v>0</v>
      </c>
      <c r="DZ145" s="106">
        <f>+PMGR!DZ145+BP!DZ145</f>
        <v>0</v>
      </c>
      <c r="EA145" s="106">
        <f>+PMGR!EA145+BP!EA145</f>
        <v>0</v>
      </c>
      <c r="EB145" s="106">
        <f>+PMGR!EB145+BP!EB145</f>
        <v>0</v>
      </c>
      <c r="EC145" s="106">
        <f>+PMGR!EC145+BP!EC145</f>
        <v>0</v>
      </c>
      <c r="ED145" s="106">
        <f>+PMGR!ED145+BP!ED145</f>
        <v>0</v>
      </c>
      <c r="EE145" s="106">
        <f>+PMGR!EE145+BP!EE145</f>
        <v>0</v>
      </c>
      <c r="EF145" s="106">
        <f>+PMGR!EF145+BP!EF145</f>
        <v>0</v>
      </c>
      <c r="EG145" s="106">
        <f>+PMGR!EG145+BP!EG145</f>
        <v>0</v>
      </c>
      <c r="EH145" s="106">
        <f>+PMGR!EH145+BP!EH145</f>
        <v>0</v>
      </c>
      <c r="EI145" s="106">
        <f t="shared" si="705"/>
        <v>0</v>
      </c>
      <c r="EJ145" s="16" t="str">
        <f t="shared" si="681"/>
        <v>Staff Welfare Expenses</v>
      </c>
      <c r="EK145" s="106">
        <f>+PMGR!EK145+BP!EK145</f>
        <v>0</v>
      </c>
      <c r="EL145" s="106">
        <f>+PMGR!EL145+BP!EL145</f>
        <v>9440</v>
      </c>
      <c r="EM145" s="106">
        <f>+PMGR!EM145+BP!EM145</f>
        <v>10109</v>
      </c>
      <c r="EN145" s="106">
        <f>+PMGR!EN145+BP!EN145</f>
        <v>0</v>
      </c>
      <c r="EO145" s="106">
        <f>+PMGR!EO145+BP!EO145</f>
        <v>0</v>
      </c>
      <c r="EP145" s="106">
        <f>+PMGR!EP145+BP!EP145</f>
        <v>500</v>
      </c>
      <c r="EQ145" s="106">
        <f>+PMGR!EQ145+BP!EQ145</f>
        <v>0</v>
      </c>
      <c r="ER145" s="106">
        <f>+PMGR!ER145+BP!ER145</f>
        <v>0</v>
      </c>
      <c r="ES145" s="106">
        <f>+PMGR!ES145+BP!ES145</f>
        <v>27304</v>
      </c>
      <c r="ET145" s="106">
        <f>+PMGR!ET145+BP!ET145</f>
        <v>5000</v>
      </c>
      <c r="EU145" s="106">
        <f>+PMGR!EU145+BP!EU145</f>
        <v>0</v>
      </c>
      <c r="EV145" s="106">
        <f>+PMGR!EV145+BP!EV145</f>
        <v>0</v>
      </c>
      <c r="EW145" s="106">
        <f t="shared" si="706"/>
        <v>52353</v>
      </c>
      <c r="EX145" s="118"/>
      <c r="EY145" s="106">
        <f>+PMGR!EY145+BP!EY145</f>
        <v>1427.0833333333335</v>
      </c>
      <c r="EZ145" s="106">
        <f>+PMGR!EZ145+BP!EZ145</f>
        <v>1427.0833333333335</v>
      </c>
      <c r="FA145" s="106">
        <f>+PMGR!FA145+BP!FA145</f>
        <v>7177.0833333333339</v>
      </c>
      <c r="FB145" s="106">
        <f>+PMGR!FB145+BP!FB145</f>
        <v>14843.75</v>
      </c>
      <c r="FC145" s="106">
        <f>+PMGR!FC145+BP!FC145</f>
        <v>1427.0833333333335</v>
      </c>
      <c r="FD145" s="106">
        <f>+PMGR!FD145+BP!FD145</f>
        <v>2385.416666666667</v>
      </c>
      <c r="FE145" s="106">
        <f>+PMGR!FE145+BP!FE145</f>
        <v>1427.0833333333335</v>
      </c>
      <c r="FF145" s="106">
        <f>+PMGR!FF145+BP!FF145</f>
        <v>1427.0833333333335</v>
      </c>
      <c r="FG145" s="106">
        <f>+PMGR!FG145+BP!FG145</f>
        <v>7177.0833333333339</v>
      </c>
      <c r="FH145" s="106">
        <f>+PMGR!FH145+BP!FH145</f>
        <v>75218.75</v>
      </c>
      <c r="FI145" s="106">
        <f>+PMGR!FI145+BP!FI145</f>
        <v>1427.0833333333335</v>
      </c>
      <c r="FJ145" s="106">
        <f>+PMGR!FJ145+BP!FJ145</f>
        <v>12385.416666666666</v>
      </c>
      <c r="FK145" s="106">
        <f t="shared" si="707"/>
        <v>127750</v>
      </c>
    </row>
    <row r="146" spans="1:167" ht="14.45" customHeight="1" collapsed="1">
      <c r="A146" s="58">
        <f t="shared" ref="A146:M146" si="708">+SUM(A147:A149)</f>
        <v>115842</v>
      </c>
      <c r="B146" s="58">
        <f t="shared" si="708"/>
        <v>113533</v>
      </c>
      <c r="C146" s="58">
        <f t="shared" si="708"/>
        <v>105417</v>
      </c>
      <c r="D146" s="58">
        <f t="shared" si="708"/>
        <v>68937</v>
      </c>
      <c r="E146" s="58">
        <f t="shared" si="708"/>
        <v>174273</v>
      </c>
      <c r="F146" s="58">
        <f t="shared" si="708"/>
        <v>92633</v>
      </c>
      <c r="G146" s="58">
        <f t="shared" si="708"/>
        <v>152366</v>
      </c>
      <c r="H146" s="58">
        <f t="shared" si="708"/>
        <v>113823</v>
      </c>
      <c r="I146" s="58">
        <f t="shared" si="708"/>
        <v>86694</v>
      </c>
      <c r="J146" s="58">
        <f t="shared" si="708"/>
        <v>117657</v>
      </c>
      <c r="K146" s="58">
        <f t="shared" si="708"/>
        <v>153591</v>
      </c>
      <c r="L146" s="58">
        <f t="shared" si="708"/>
        <v>64758.5</v>
      </c>
      <c r="M146" s="58">
        <f t="shared" si="708"/>
        <v>1359524.5</v>
      </c>
      <c r="N146" s="20" t="s">
        <v>121</v>
      </c>
      <c r="O146" s="58">
        <f t="shared" ref="O146:AA146" si="709">+SUM(O147:O149)</f>
        <v>107948</v>
      </c>
      <c r="P146" s="58">
        <f t="shared" si="709"/>
        <v>88837</v>
      </c>
      <c r="Q146" s="58">
        <f t="shared" si="709"/>
        <v>84919</v>
      </c>
      <c r="R146" s="58">
        <f t="shared" si="709"/>
        <v>86435</v>
      </c>
      <c r="S146" s="58">
        <f t="shared" si="709"/>
        <v>80376</v>
      </c>
      <c r="T146" s="58">
        <f t="shared" si="709"/>
        <v>147153</v>
      </c>
      <c r="U146" s="58">
        <f t="shared" si="709"/>
        <v>42626</v>
      </c>
      <c r="V146" s="58">
        <f t="shared" si="709"/>
        <v>175327</v>
      </c>
      <c r="W146" s="58">
        <f t="shared" si="709"/>
        <v>57538</v>
      </c>
      <c r="X146" s="58">
        <f t="shared" si="709"/>
        <v>177995</v>
      </c>
      <c r="Y146" s="58">
        <f t="shared" si="709"/>
        <v>0</v>
      </c>
      <c r="Z146" s="58">
        <f t="shared" si="709"/>
        <v>0</v>
      </c>
      <c r="AA146" s="58">
        <f t="shared" si="709"/>
        <v>1049154</v>
      </c>
      <c r="AB146" s="118"/>
      <c r="AC146" s="58">
        <f t="shared" ref="AC146:AO146" si="710">+SUM(AC147:AC149)</f>
        <v>119074.63750000001</v>
      </c>
      <c r="AD146" s="58">
        <f t="shared" si="710"/>
        <v>119074.63750000001</v>
      </c>
      <c r="AE146" s="58">
        <f t="shared" si="710"/>
        <v>119074.63750000001</v>
      </c>
      <c r="AF146" s="58">
        <f t="shared" si="710"/>
        <v>119074.63750000001</v>
      </c>
      <c r="AG146" s="58">
        <f t="shared" si="710"/>
        <v>119074.63750000001</v>
      </c>
      <c r="AH146" s="58">
        <f t="shared" si="710"/>
        <v>119074.63750000001</v>
      </c>
      <c r="AI146" s="58">
        <f t="shared" si="710"/>
        <v>119074.63750000001</v>
      </c>
      <c r="AJ146" s="58">
        <f t="shared" si="710"/>
        <v>119074.63750000001</v>
      </c>
      <c r="AK146" s="58">
        <f t="shared" si="710"/>
        <v>119074.63750000001</v>
      </c>
      <c r="AL146" s="58">
        <f t="shared" si="710"/>
        <v>119074.63750000001</v>
      </c>
      <c r="AM146" s="58">
        <f t="shared" si="710"/>
        <v>119074.63750000001</v>
      </c>
      <c r="AN146" s="58">
        <f t="shared" si="710"/>
        <v>119074.63750000001</v>
      </c>
      <c r="AO146" s="58">
        <f t="shared" si="710"/>
        <v>1428895.6499999997</v>
      </c>
      <c r="AP146" s="106"/>
      <c r="AQ146" s="58">
        <f t="shared" ref="AQ146:BC146" si="711">+SUM(AQ147:AQ149)</f>
        <v>47453</v>
      </c>
      <c r="AR146" s="58">
        <f t="shared" si="711"/>
        <v>42496</v>
      </c>
      <c r="AS146" s="58">
        <f t="shared" si="711"/>
        <v>74941</v>
      </c>
      <c r="AT146" s="58">
        <f t="shared" si="711"/>
        <v>13454</v>
      </c>
      <c r="AU146" s="58">
        <f t="shared" si="711"/>
        <v>85976</v>
      </c>
      <c r="AV146" s="58">
        <f t="shared" si="711"/>
        <v>20336</v>
      </c>
      <c r="AW146" s="58">
        <f t="shared" si="711"/>
        <v>58665</v>
      </c>
      <c r="AX146" s="58">
        <f t="shared" si="711"/>
        <v>84105</v>
      </c>
      <c r="AY146" s="58">
        <f t="shared" si="711"/>
        <v>24564</v>
      </c>
      <c r="AZ146" s="58">
        <f t="shared" si="711"/>
        <v>50277</v>
      </c>
      <c r="BA146" s="58">
        <f t="shared" si="711"/>
        <v>62742</v>
      </c>
      <c r="BB146" s="58">
        <f t="shared" si="711"/>
        <v>48912</v>
      </c>
      <c r="BC146" s="58">
        <f t="shared" si="711"/>
        <v>613921</v>
      </c>
      <c r="BD146" s="20" t="str">
        <f t="shared" si="671"/>
        <v>Daily Allowance</v>
      </c>
      <c r="BE146" s="58">
        <f t="shared" ref="BE146:BQ146" si="712">+SUM(BE147:BE149)</f>
        <v>62266</v>
      </c>
      <c r="BF146" s="58">
        <f t="shared" si="712"/>
        <v>34781</v>
      </c>
      <c r="BG146" s="58">
        <f t="shared" si="712"/>
        <v>38971</v>
      </c>
      <c r="BH146" s="58">
        <f t="shared" si="712"/>
        <v>36776</v>
      </c>
      <c r="BI146" s="58">
        <f t="shared" si="712"/>
        <v>33262</v>
      </c>
      <c r="BJ146" s="58">
        <f t="shared" si="712"/>
        <v>67423</v>
      </c>
      <c r="BK146" s="58">
        <f t="shared" si="712"/>
        <v>17472</v>
      </c>
      <c r="BL146" s="58">
        <f t="shared" si="712"/>
        <v>77887</v>
      </c>
      <c r="BM146" s="58">
        <f t="shared" si="712"/>
        <v>16016</v>
      </c>
      <c r="BN146" s="58">
        <f t="shared" si="712"/>
        <v>72049</v>
      </c>
      <c r="BO146" s="58">
        <f t="shared" si="712"/>
        <v>0</v>
      </c>
      <c r="BP146" s="58">
        <f t="shared" si="712"/>
        <v>0</v>
      </c>
      <c r="BQ146" s="58">
        <f t="shared" si="712"/>
        <v>456903</v>
      </c>
      <c r="BR146" s="118"/>
      <c r="BS146" s="58">
        <f t="shared" ref="BS146:CE146" si="713">+SUM(BS147:BS149)</f>
        <v>59519.862500000003</v>
      </c>
      <c r="BT146" s="58">
        <f t="shared" si="713"/>
        <v>59519.862500000003</v>
      </c>
      <c r="BU146" s="58">
        <f t="shared" si="713"/>
        <v>59519.862500000003</v>
      </c>
      <c r="BV146" s="58">
        <f t="shared" si="713"/>
        <v>59519.862500000003</v>
      </c>
      <c r="BW146" s="58">
        <f t="shared" si="713"/>
        <v>59519.862500000003</v>
      </c>
      <c r="BX146" s="58">
        <f t="shared" si="713"/>
        <v>59519.862500000003</v>
      </c>
      <c r="BY146" s="58">
        <f t="shared" si="713"/>
        <v>59519.862500000003</v>
      </c>
      <c r="BZ146" s="58">
        <f t="shared" si="713"/>
        <v>59519.862500000003</v>
      </c>
      <c r="CA146" s="58">
        <f t="shared" si="713"/>
        <v>59519.862500000003</v>
      </c>
      <c r="CB146" s="58">
        <f t="shared" si="713"/>
        <v>59519.862500000003</v>
      </c>
      <c r="CC146" s="58">
        <f t="shared" si="713"/>
        <v>59519.862500000003</v>
      </c>
      <c r="CD146" s="58">
        <f t="shared" si="713"/>
        <v>59519.862500000003</v>
      </c>
      <c r="CE146" s="58">
        <f t="shared" si="713"/>
        <v>714238.35000000009</v>
      </c>
      <c r="CF146" s="106"/>
      <c r="CG146" s="58">
        <f t="shared" ref="CG146:CS146" si="714">+SUM(CG147:CG149)</f>
        <v>68389</v>
      </c>
      <c r="CH146" s="58">
        <f t="shared" si="714"/>
        <v>71037</v>
      </c>
      <c r="CI146" s="58">
        <f t="shared" si="714"/>
        <v>30476</v>
      </c>
      <c r="CJ146" s="58">
        <f t="shared" si="714"/>
        <v>55483</v>
      </c>
      <c r="CK146" s="58">
        <f t="shared" si="714"/>
        <v>88297</v>
      </c>
      <c r="CL146" s="58">
        <f t="shared" si="714"/>
        <v>72297</v>
      </c>
      <c r="CM146" s="58">
        <f t="shared" si="714"/>
        <v>93701</v>
      </c>
      <c r="CN146" s="58">
        <f t="shared" si="714"/>
        <v>29718</v>
      </c>
      <c r="CO146" s="58">
        <f t="shared" si="714"/>
        <v>62130</v>
      </c>
      <c r="CP146" s="58">
        <f t="shared" si="714"/>
        <v>67380</v>
      </c>
      <c r="CQ146" s="58">
        <f t="shared" si="714"/>
        <v>90849</v>
      </c>
      <c r="CR146" s="58">
        <f t="shared" si="714"/>
        <v>15846.5</v>
      </c>
      <c r="CS146" s="58">
        <f t="shared" si="714"/>
        <v>745603.5</v>
      </c>
      <c r="CT146" s="20" t="str">
        <f t="shared" si="675"/>
        <v>Daily Allowance</v>
      </c>
      <c r="CU146" s="58">
        <f t="shared" ref="CU146:DG146" si="715">+SUM(CU147:CU149)</f>
        <v>41200</v>
      </c>
      <c r="CV146" s="58">
        <f t="shared" si="715"/>
        <v>48015</v>
      </c>
      <c r="CW146" s="58">
        <f t="shared" si="715"/>
        <v>40051</v>
      </c>
      <c r="CX146" s="58">
        <f t="shared" si="715"/>
        <v>40902</v>
      </c>
      <c r="CY146" s="58">
        <f t="shared" si="715"/>
        <v>37976</v>
      </c>
      <c r="CZ146" s="58">
        <f t="shared" si="715"/>
        <v>56383</v>
      </c>
      <c r="DA146" s="58">
        <f t="shared" si="715"/>
        <v>18793</v>
      </c>
      <c r="DB146" s="58">
        <f t="shared" si="715"/>
        <v>77238</v>
      </c>
      <c r="DC146" s="58">
        <f t="shared" si="715"/>
        <v>38731</v>
      </c>
      <c r="DD146" s="58">
        <f t="shared" si="715"/>
        <v>80653</v>
      </c>
      <c r="DE146" s="58">
        <f t="shared" si="715"/>
        <v>0</v>
      </c>
      <c r="DF146" s="58">
        <f t="shared" si="715"/>
        <v>0</v>
      </c>
      <c r="DG146" s="58">
        <f t="shared" si="715"/>
        <v>479942</v>
      </c>
      <c r="DH146" s="118"/>
      <c r="DI146" s="58">
        <f t="shared" ref="DI146:DU146" si="716">+SUM(DI147:DI149)</f>
        <v>59554.775000000001</v>
      </c>
      <c r="DJ146" s="58">
        <f t="shared" si="716"/>
        <v>59554.775000000001</v>
      </c>
      <c r="DK146" s="58">
        <f t="shared" si="716"/>
        <v>59554.775000000001</v>
      </c>
      <c r="DL146" s="58">
        <f t="shared" si="716"/>
        <v>59554.775000000001</v>
      </c>
      <c r="DM146" s="58">
        <f t="shared" si="716"/>
        <v>59554.775000000001</v>
      </c>
      <c r="DN146" s="58">
        <f t="shared" si="716"/>
        <v>59554.775000000001</v>
      </c>
      <c r="DO146" s="58">
        <f t="shared" si="716"/>
        <v>59554.775000000001</v>
      </c>
      <c r="DP146" s="58">
        <f t="shared" si="716"/>
        <v>59554.775000000001</v>
      </c>
      <c r="DQ146" s="58">
        <f t="shared" si="716"/>
        <v>59554.775000000001</v>
      </c>
      <c r="DR146" s="58">
        <f t="shared" si="716"/>
        <v>59554.775000000001</v>
      </c>
      <c r="DS146" s="58">
        <f t="shared" si="716"/>
        <v>59554.775000000001</v>
      </c>
      <c r="DT146" s="58">
        <f t="shared" si="716"/>
        <v>59554.775000000001</v>
      </c>
      <c r="DU146" s="58">
        <f t="shared" si="716"/>
        <v>714657.30000000016</v>
      </c>
      <c r="DV146" s="106"/>
      <c r="DW146" s="58">
        <f t="shared" ref="DW146:EI146" si="717">+SUM(DW147:DW149)</f>
        <v>0</v>
      </c>
      <c r="DX146" s="58">
        <f t="shared" si="717"/>
        <v>0</v>
      </c>
      <c r="DY146" s="58">
        <f t="shared" si="717"/>
        <v>0</v>
      </c>
      <c r="DZ146" s="58">
        <f t="shared" si="717"/>
        <v>0</v>
      </c>
      <c r="EA146" s="58">
        <f t="shared" si="717"/>
        <v>0</v>
      </c>
      <c r="EB146" s="58">
        <f t="shared" si="717"/>
        <v>0</v>
      </c>
      <c r="EC146" s="58">
        <f t="shared" si="717"/>
        <v>0</v>
      </c>
      <c r="ED146" s="58">
        <f t="shared" si="717"/>
        <v>0</v>
      </c>
      <c r="EE146" s="58">
        <f t="shared" si="717"/>
        <v>0</v>
      </c>
      <c r="EF146" s="58">
        <f t="shared" si="717"/>
        <v>0</v>
      </c>
      <c r="EG146" s="58">
        <f t="shared" si="717"/>
        <v>0</v>
      </c>
      <c r="EH146" s="58">
        <f t="shared" si="717"/>
        <v>0</v>
      </c>
      <c r="EI146" s="58">
        <f t="shared" si="717"/>
        <v>0</v>
      </c>
      <c r="EJ146" s="20" t="str">
        <f t="shared" si="681"/>
        <v>Daily Allowance</v>
      </c>
      <c r="EK146" s="58">
        <f t="shared" ref="EK146:EW146" si="718">+SUM(EK147:EK149)</f>
        <v>4482</v>
      </c>
      <c r="EL146" s="58">
        <f t="shared" si="718"/>
        <v>6041</v>
      </c>
      <c r="EM146" s="58">
        <f t="shared" si="718"/>
        <v>5897</v>
      </c>
      <c r="EN146" s="58">
        <f t="shared" si="718"/>
        <v>8757</v>
      </c>
      <c r="EO146" s="58">
        <f t="shared" si="718"/>
        <v>9138</v>
      </c>
      <c r="EP146" s="58">
        <f t="shared" si="718"/>
        <v>23347</v>
      </c>
      <c r="EQ146" s="58">
        <f t="shared" si="718"/>
        <v>6361</v>
      </c>
      <c r="ER146" s="58">
        <f t="shared" si="718"/>
        <v>20202</v>
      </c>
      <c r="ES146" s="58">
        <f t="shared" si="718"/>
        <v>2791</v>
      </c>
      <c r="ET146" s="58">
        <f t="shared" si="718"/>
        <v>25293</v>
      </c>
      <c r="EU146" s="58">
        <f t="shared" si="718"/>
        <v>0</v>
      </c>
      <c r="EV146" s="58">
        <f t="shared" si="718"/>
        <v>0</v>
      </c>
      <c r="EW146" s="58">
        <f t="shared" si="718"/>
        <v>112309</v>
      </c>
      <c r="EX146" s="118"/>
      <c r="EY146" s="58">
        <f t="shared" ref="EY146:FK146" si="719">+SUM(EY147:EY149)</f>
        <v>0</v>
      </c>
      <c r="EZ146" s="58">
        <f t="shared" si="719"/>
        <v>0</v>
      </c>
      <c r="FA146" s="58">
        <f t="shared" si="719"/>
        <v>0</v>
      </c>
      <c r="FB146" s="58">
        <f t="shared" si="719"/>
        <v>0</v>
      </c>
      <c r="FC146" s="58">
        <f t="shared" si="719"/>
        <v>0</v>
      </c>
      <c r="FD146" s="58">
        <f t="shared" si="719"/>
        <v>0</v>
      </c>
      <c r="FE146" s="58">
        <f t="shared" si="719"/>
        <v>0</v>
      </c>
      <c r="FF146" s="58">
        <f t="shared" si="719"/>
        <v>0</v>
      </c>
      <c r="FG146" s="58">
        <f t="shared" si="719"/>
        <v>0</v>
      </c>
      <c r="FH146" s="58">
        <f t="shared" si="719"/>
        <v>0</v>
      </c>
      <c r="FI146" s="58">
        <f t="shared" si="719"/>
        <v>0</v>
      </c>
      <c r="FJ146" s="58">
        <f t="shared" si="719"/>
        <v>0</v>
      </c>
      <c r="FK146" s="58">
        <f t="shared" si="719"/>
        <v>0</v>
      </c>
    </row>
    <row r="147" spans="1:167" ht="14.45" hidden="1" customHeight="1" outlineLevel="1">
      <c r="A147" s="106">
        <f t="shared" si="638"/>
        <v>0</v>
      </c>
      <c r="B147" s="106">
        <f t="shared" si="638"/>
        <v>0</v>
      </c>
      <c r="C147" s="106">
        <f t="shared" si="638"/>
        <v>0</v>
      </c>
      <c r="D147" s="106">
        <f t="shared" si="638"/>
        <v>0</v>
      </c>
      <c r="E147" s="106">
        <f t="shared" si="638"/>
        <v>0</v>
      </c>
      <c r="F147" s="106">
        <f t="shared" si="638"/>
        <v>0</v>
      </c>
      <c r="G147" s="106">
        <f t="shared" si="638"/>
        <v>0</v>
      </c>
      <c r="H147" s="106">
        <f t="shared" si="638"/>
        <v>0</v>
      </c>
      <c r="I147" s="106">
        <f t="shared" si="638"/>
        <v>0</v>
      </c>
      <c r="J147" s="106">
        <f t="shared" si="638"/>
        <v>0</v>
      </c>
      <c r="K147" s="106">
        <f t="shared" si="638"/>
        <v>0</v>
      </c>
      <c r="L147" s="106">
        <f t="shared" si="638"/>
        <v>0</v>
      </c>
      <c r="M147" s="106">
        <f t="shared" ref="M147:M149" si="720">+SUM(A147:L147)</f>
        <v>0</v>
      </c>
      <c r="N147" s="16" t="s">
        <v>122</v>
      </c>
      <c r="O147" s="106">
        <f t="shared" ref="O147:Z149" si="721">+BE147+CU147+EK147</f>
        <v>0</v>
      </c>
      <c r="P147" s="106">
        <f t="shared" si="721"/>
        <v>0</v>
      </c>
      <c r="Q147" s="106">
        <f t="shared" si="721"/>
        <v>0</v>
      </c>
      <c r="R147" s="106">
        <f t="shared" si="721"/>
        <v>0</v>
      </c>
      <c r="S147" s="106">
        <f t="shared" si="721"/>
        <v>0</v>
      </c>
      <c r="T147" s="106">
        <f t="shared" si="721"/>
        <v>0</v>
      </c>
      <c r="U147" s="106">
        <f t="shared" si="721"/>
        <v>0</v>
      </c>
      <c r="V147" s="106">
        <f t="shared" si="721"/>
        <v>0</v>
      </c>
      <c r="W147" s="106">
        <f t="shared" si="721"/>
        <v>0</v>
      </c>
      <c r="X147" s="106">
        <f t="shared" si="721"/>
        <v>0</v>
      </c>
      <c r="Y147" s="106">
        <f t="shared" si="721"/>
        <v>0</v>
      </c>
      <c r="Z147" s="106">
        <f t="shared" si="721"/>
        <v>0</v>
      </c>
      <c r="AA147" s="106">
        <f t="shared" ref="AA147:AA149" si="722">+SUM(O147:Z147)</f>
        <v>0</v>
      </c>
      <c r="AB147" s="118"/>
      <c r="AC147" s="106">
        <f t="shared" ref="AC147:AN149" si="723">+BS147+DI147+EY147</f>
        <v>0</v>
      </c>
      <c r="AD147" s="106">
        <f t="shared" si="723"/>
        <v>0</v>
      </c>
      <c r="AE147" s="106">
        <f t="shared" si="723"/>
        <v>0</v>
      </c>
      <c r="AF147" s="106">
        <f t="shared" si="723"/>
        <v>0</v>
      </c>
      <c r="AG147" s="106">
        <f t="shared" si="723"/>
        <v>0</v>
      </c>
      <c r="AH147" s="106">
        <f t="shared" si="723"/>
        <v>0</v>
      </c>
      <c r="AI147" s="106">
        <f t="shared" si="723"/>
        <v>0</v>
      </c>
      <c r="AJ147" s="106">
        <f t="shared" si="723"/>
        <v>0</v>
      </c>
      <c r="AK147" s="106">
        <f t="shared" si="723"/>
        <v>0</v>
      </c>
      <c r="AL147" s="106">
        <f t="shared" si="723"/>
        <v>0</v>
      </c>
      <c r="AM147" s="106">
        <f t="shared" si="723"/>
        <v>0</v>
      </c>
      <c r="AN147" s="106">
        <f t="shared" si="723"/>
        <v>0</v>
      </c>
      <c r="AO147" s="106">
        <f t="shared" ref="AO147:AO149" si="724">+SUM(AC147:AN147)</f>
        <v>0</v>
      </c>
      <c r="AP147" s="106"/>
      <c r="AQ147" s="106">
        <f>+PMGR!AQ147+BP!AQ147</f>
        <v>0</v>
      </c>
      <c r="AR147" s="106">
        <f>+PMGR!AR147+BP!AR147</f>
        <v>0</v>
      </c>
      <c r="AS147" s="106">
        <f>+PMGR!AS147+BP!AS147</f>
        <v>0</v>
      </c>
      <c r="AT147" s="106">
        <f>+PMGR!AT147+BP!AT147</f>
        <v>0</v>
      </c>
      <c r="AU147" s="106">
        <f>+PMGR!AU147+BP!AU147</f>
        <v>0</v>
      </c>
      <c r="AV147" s="106">
        <f>+PMGR!AV147+BP!AV147</f>
        <v>0</v>
      </c>
      <c r="AW147" s="106">
        <f>+PMGR!AW147+BP!AW147</f>
        <v>0</v>
      </c>
      <c r="AX147" s="106">
        <f>+PMGR!AX147+BP!AX147</f>
        <v>0</v>
      </c>
      <c r="AY147" s="106">
        <f>+PMGR!AY147+BP!AY147</f>
        <v>0</v>
      </c>
      <c r="AZ147" s="106">
        <f>+PMGR!AZ147+BP!AZ147</f>
        <v>0</v>
      </c>
      <c r="BA147" s="106">
        <f>+PMGR!BA147+BP!BA147</f>
        <v>0</v>
      </c>
      <c r="BB147" s="106">
        <f>+PMGR!BB147+BP!BB147</f>
        <v>0</v>
      </c>
      <c r="BC147" s="106">
        <f t="shared" ref="BC147:BC149" si="725">+SUM(AQ147:BB147)</f>
        <v>0</v>
      </c>
      <c r="BD147" s="16" t="str">
        <f t="shared" si="671"/>
        <v>Daily Allowance to Consultant</v>
      </c>
      <c r="BE147" s="106">
        <f>+PMGR!BE147+BP!BE147</f>
        <v>0</v>
      </c>
      <c r="BF147" s="106">
        <f>+PMGR!BF147+BP!BF147</f>
        <v>0</v>
      </c>
      <c r="BG147" s="106">
        <f>+PMGR!BG147+BP!BG147</f>
        <v>0</v>
      </c>
      <c r="BH147" s="106">
        <f>+PMGR!BH147+BP!BH147</f>
        <v>0</v>
      </c>
      <c r="BI147" s="106">
        <f>+PMGR!BI147+BP!BI147</f>
        <v>0</v>
      </c>
      <c r="BJ147" s="106">
        <f>+PMGR!BJ147+BP!BJ147</f>
        <v>0</v>
      </c>
      <c r="BK147" s="106">
        <f>+PMGR!BK147+BP!BK147</f>
        <v>0</v>
      </c>
      <c r="BL147" s="106">
        <f>+PMGR!BL147+BP!BL147</f>
        <v>0</v>
      </c>
      <c r="BM147" s="106">
        <f>+PMGR!BM147+BP!BM147</f>
        <v>0</v>
      </c>
      <c r="BN147" s="106">
        <f>+PMGR!BN147+BP!BN147</f>
        <v>0</v>
      </c>
      <c r="BO147" s="106">
        <f>+PMGR!BO147+BP!BO147</f>
        <v>0</v>
      </c>
      <c r="BP147" s="106">
        <f>+PMGR!BP147+BP!BP147</f>
        <v>0</v>
      </c>
      <c r="BQ147" s="106">
        <f t="shared" ref="BQ147:BQ149" si="726">+SUM(BE147:BP147)</f>
        <v>0</v>
      </c>
      <c r="BR147" s="118"/>
      <c r="BS147" s="106">
        <f>+PMGR!BS147+BP!BS147</f>
        <v>0</v>
      </c>
      <c r="BT147" s="106">
        <f>+PMGR!BT147+BP!BT147</f>
        <v>0</v>
      </c>
      <c r="BU147" s="106">
        <f>+PMGR!BU147+BP!BU147</f>
        <v>0</v>
      </c>
      <c r="BV147" s="106">
        <f>+PMGR!BV147+BP!BV147</f>
        <v>0</v>
      </c>
      <c r="BW147" s="106">
        <f>+PMGR!BW147+BP!BW147</f>
        <v>0</v>
      </c>
      <c r="BX147" s="106">
        <f>+PMGR!BX147+BP!BX147</f>
        <v>0</v>
      </c>
      <c r="BY147" s="106">
        <f>+PMGR!BY147+BP!BY147</f>
        <v>0</v>
      </c>
      <c r="BZ147" s="106">
        <f>+PMGR!BZ147+BP!BZ147</f>
        <v>0</v>
      </c>
      <c r="CA147" s="106">
        <f>+PMGR!CA147+BP!CA147</f>
        <v>0</v>
      </c>
      <c r="CB147" s="106">
        <f>+PMGR!CB147+BP!CB147</f>
        <v>0</v>
      </c>
      <c r="CC147" s="106">
        <f>+PMGR!CC147+BP!CC147</f>
        <v>0</v>
      </c>
      <c r="CD147" s="106">
        <f>+PMGR!CD147+BP!CD147</f>
        <v>0</v>
      </c>
      <c r="CE147" s="106">
        <f t="shared" ref="CE147:CE149" si="727">+SUM(BS147:CD147)</f>
        <v>0</v>
      </c>
      <c r="CF147" s="106"/>
      <c r="CG147" s="106">
        <f>+PMGR!CG147+BP!CG147</f>
        <v>0</v>
      </c>
      <c r="CH147" s="106">
        <f>+PMGR!CH147+BP!CH147</f>
        <v>0</v>
      </c>
      <c r="CI147" s="106">
        <f>+PMGR!CI147+BP!CI147</f>
        <v>0</v>
      </c>
      <c r="CJ147" s="106">
        <f>+PMGR!CJ147+BP!CJ147</f>
        <v>0</v>
      </c>
      <c r="CK147" s="106">
        <f>+PMGR!CK147+BP!CK147</f>
        <v>0</v>
      </c>
      <c r="CL147" s="106">
        <f>+PMGR!CL147+BP!CL147</f>
        <v>0</v>
      </c>
      <c r="CM147" s="106">
        <f>+PMGR!CM147+BP!CM147</f>
        <v>0</v>
      </c>
      <c r="CN147" s="106">
        <f>+PMGR!CN147+BP!CN147</f>
        <v>0</v>
      </c>
      <c r="CO147" s="106">
        <f>+PMGR!CO147+BP!CO147</f>
        <v>0</v>
      </c>
      <c r="CP147" s="106">
        <f>+PMGR!CP147+BP!CP147</f>
        <v>0</v>
      </c>
      <c r="CQ147" s="106">
        <f>+PMGR!CQ147+BP!CQ147</f>
        <v>0</v>
      </c>
      <c r="CR147" s="106">
        <f>+PMGR!CR147+BP!CR147</f>
        <v>0</v>
      </c>
      <c r="CS147" s="106">
        <f t="shared" ref="CS147:CS149" si="728">+SUM(CG147:CR147)</f>
        <v>0</v>
      </c>
      <c r="CT147" s="16" t="str">
        <f t="shared" si="675"/>
        <v>Daily Allowance to Consultant</v>
      </c>
      <c r="CU147" s="106">
        <f>+PMGR!CU147+BP!CU147</f>
        <v>0</v>
      </c>
      <c r="CV147" s="106">
        <f>+PMGR!CV147+BP!CV147</f>
        <v>0</v>
      </c>
      <c r="CW147" s="106">
        <f>+PMGR!CW147+BP!CW147</f>
        <v>0</v>
      </c>
      <c r="CX147" s="106">
        <f>+PMGR!CX147+BP!CX147</f>
        <v>0</v>
      </c>
      <c r="CY147" s="106">
        <f>+PMGR!CY147+BP!CY147</f>
        <v>0</v>
      </c>
      <c r="CZ147" s="106">
        <f>+PMGR!CZ147+BP!CZ147</f>
        <v>0</v>
      </c>
      <c r="DA147" s="106">
        <f>+PMGR!DA147+BP!DA147</f>
        <v>0</v>
      </c>
      <c r="DB147" s="106">
        <f>+PMGR!DB147+BP!DB147</f>
        <v>0</v>
      </c>
      <c r="DC147" s="106">
        <f>+PMGR!DC147+BP!DC147</f>
        <v>0</v>
      </c>
      <c r="DD147" s="106">
        <f>+PMGR!DD147+BP!DD147</f>
        <v>0</v>
      </c>
      <c r="DE147" s="106">
        <f>+PMGR!DE147+BP!DE147</f>
        <v>0</v>
      </c>
      <c r="DF147" s="106">
        <f>+PMGR!DF147+BP!DF147</f>
        <v>0</v>
      </c>
      <c r="DG147" s="106">
        <f t="shared" ref="DG147:DG149" si="729">+SUM(CU147:DF147)</f>
        <v>0</v>
      </c>
      <c r="DH147" s="118"/>
      <c r="DI147" s="106">
        <f>+PMGR!DI147+BP!DI147</f>
        <v>0</v>
      </c>
      <c r="DJ147" s="106">
        <f>+PMGR!DJ147+BP!DJ147</f>
        <v>0</v>
      </c>
      <c r="DK147" s="106">
        <f>+PMGR!DK147+BP!DK147</f>
        <v>0</v>
      </c>
      <c r="DL147" s="106">
        <f>+PMGR!DL147+BP!DL147</f>
        <v>0</v>
      </c>
      <c r="DM147" s="106">
        <f>+PMGR!DM147+BP!DM147</f>
        <v>0</v>
      </c>
      <c r="DN147" s="106">
        <f>+PMGR!DN147+BP!DN147</f>
        <v>0</v>
      </c>
      <c r="DO147" s="106">
        <f>+PMGR!DO147+BP!DO147</f>
        <v>0</v>
      </c>
      <c r="DP147" s="106">
        <f>+PMGR!DP147+BP!DP147</f>
        <v>0</v>
      </c>
      <c r="DQ147" s="106">
        <f>+PMGR!DQ147+BP!DQ147</f>
        <v>0</v>
      </c>
      <c r="DR147" s="106">
        <f>+PMGR!DR147+BP!DR147</f>
        <v>0</v>
      </c>
      <c r="DS147" s="106">
        <f>+PMGR!DS147+BP!DS147</f>
        <v>0</v>
      </c>
      <c r="DT147" s="106">
        <f>+PMGR!DT147+BP!DT147</f>
        <v>0</v>
      </c>
      <c r="DU147" s="106">
        <f t="shared" ref="DU147:DU149" si="730">+SUM(DI147:DT147)</f>
        <v>0</v>
      </c>
      <c r="DV147" s="106"/>
      <c r="DW147" s="106">
        <f>+PMGR!DW147+BP!DW147</f>
        <v>0</v>
      </c>
      <c r="DX147" s="106">
        <f>+PMGR!DX147+BP!DX147</f>
        <v>0</v>
      </c>
      <c r="DY147" s="106">
        <f>+PMGR!DY147+BP!DY147</f>
        <v>0</v>
      </c>
      <c r="DZ147" s="106">
        <f>+PMGR!DZ147+BP!DZ147</f>
        <v>0</v>
      </c>
      <c r="EA147" s="106">
        <f>+PMGR!EA147+BP!EA147</f>
        <v>0</v>
      </c>
      <c r="EB147" s="106">
        <f>+PMGR!EB147+BP!EB147</f>
        <v>0</v>
      </c>
      <c r="EC147" s="106">
        <f>+PMGR!EC147+BP!EC147</f>
        <v>0</v>
      </c>
      <c r="ED147" s="106">
        <f>+PMGR!ED147+BP!ED147</f>
        <v>0</v>
      </c>
      <c r="EE147" s="106">
        <f>+PMGR!EE147+BP!EE147</f>
        <v>0</v>
      </c>
      <c r="EF147" s="106">
        <f>+PMGR!EF147+BP!EF147</f>
        <v>0</v>
      </c>
      <c r="EG147" s="106">
        <f>+PMGR!EG147+BP!EG147</f>
        <v>0</v>
      </c>
      <c r="EH147" s="106">
        <f>+PMGR!EH147+BP!EH147</f>
        <v>0</v>
      </c>
      <c r="EI147" s="106">
        <f t="shared" ref="EI147:EI149" si="731">+SUM(DW147:EH147)</f>
        <v>0</v>
      </c>
      <c r="EJ147" s="16" t="str">
        <f t="shared" si="681"/>
        <v>Daily Allowance to Consultant</v>
      </c>
      <c r="EK147" s="106">
        <f>+PMGR!EK147+BP!EK147</f>
        <v>0</v>
      </c>
      <c r="EL147" s="106">
        <f>+PMGR!EL147+BP!EL147</f>
        <v>0</v>
      </c>
      <c r="EM147" s="106">
        <f>+PMGR!EM147+BP!EM147</f>
        <v>0</v>
      </c>
      <c r="EN147" s="106">
        <f>+PMGR!EN147+BP!EN147</f>
        <v>0</v>
      </c>
      <c r="EO147" s="106">
        <f>+PMGR!EO147+BP!EO147</f>
        <v>0</v>
      </c>
      <c r="EP147" s="106">
        <f>+PMGR!EP147+BP!EP147</f>
        <v>0</v>
      </c>
      <c r="EQ147" s="106">
        <f>+PMGR!EQ147+BP!EQ147</f>
        <v>0</v>
      </c>
      <c r="ER147" s="106">
        <f>+PMGR!ER147+BP!ER147</f>
        <v>0</v>
      </c>
      <c r="ES147" s="106">
        <f>+PMGR!ES147+BP!ES147</f>
        <v>0</v>
      </c>
      <c r="ET147" s="106">
        <f>+PMGR!ET147+BP!ET147</f>
        <v>0</v>
      </c>
      <c r="EU147" s="106">
        <f>+PMGR!EU147+BP!EU147</f>
        <v>0</v>
      </c>
      <c r="EV147" s="106">
        <f>+PMGR!EV147+BP!EV147</f>
        <v>0</v>
      </c>
      <c r="EW147" s="106">
        <f t="shared" ref="EW147:EW149" si="732">+SUM(EK147:EV147)</f>
        <v>0</v>
      </c>
      <c r="EX147" s="118"/>
      <c r="EY147" s="106">
        <f>+PMGR!EY147+BP!EY147</f>
        <v>0</v>
      </c>
      <c r="EZ147" s="106">
        <f>+PMGR!EZ147+BP!EZ147</f>
        <v>0</v>
      </c>
      <c r="FA147" s="106">
        <f>+PMGR!FA147+BP!FA147</f>
        <v>0</v>
      </c>
      <c r="FB147" s="106">
        <f>+PMGR!FB147+BP!FB147</f>
        <v>0</v>
      </c>
      <c r="FC147" s="106">
        <f>+PMGR!FC147+BP!FC147</f>
        <v>0</v>
      </c>
      <c r="FD147" s="106">
        <f>+PMGR!FD147+BP!FD147</f>
        <v>0</v>
      </c>
      <c r="FE147" s="106">
        <f>+PMGR!FE147+BP!FE147</f>
        <v>0</v>
      </c>
      <c r="FF147" s="106">
        <f>+PMGR!FF147+BP!FF147</f>
        <v>0</v>
      </c>
      <c r="FG147" s="106">
        <f>+PMGR!FG147+BP!FG147</f>
        <v>0</v>
      </c>
      <c r="FH147" s="106">
        <f>+PMGR!FH147+BP!FH147</f>
        <v>0</v>
      </c>
      <c r="FI147" s="106">
        <f>+PMGR!FI147+BP!FI147</f>
        <v>0</v>
      </c>
      <c r="FJ147" s="106">
        <f>+PMGR!FJ147+BP!FJ147</f>
        <v>0</v>
      </c>
      <c r="FK147" s="106">
        <f t="shared" ref="FK147:FK149" si="733">+SUM(EY147:FJ147)</f>
        <v>0</v>
      </c>
    </row>
    <row r="148" spans="1:167" ht="14.45" hidden="1" customHeight="1" outlineLevel="1">
      <c r="A148" s="106">
        <f t="shared" si="638"/>
        <v>115842</v>
      </c>
      <c r="B148" s="106">
        <f t="shared" si="638"/>
        <v>113533</v>
      </c>
      <c r="C148" s="106">
        <f t="shared" si="638"/>
        <v>105417</v>
      </c>
      <c r="D148" s="106">
        <f t="shared" si="638"/>
        <v>68937</v>
      </c>
      <c r="E148" s="106">
        <f t="shared" si="638"/>
        <v>174273</v>
      </c>
      <c r="F148" s="106">
        <f t="shared" si="638"/>
        <v>92633</v>
      </c>
      <c r="G148" s="106">
        <f t="shared" si="638"/>
        <v>152366</v>
      </c>
      <c r="H148" s="106">
        <f t="shared" si="638"/>
        <v>113823</v>
      </c>
      <c r="I148" s="106">
        <f t="shared" si="638"/>
        <v>86694</v>
      </c>
      <c r="J148" s="106">
        <f t="shared" si="638"/>
        <v>117657</v>
      </c>
      <c r="K148" s="106">
        <f t="shared" si="638"/>
        <v>153591</v>
      </c>
      <c r="L148" s="106">
        <f t="shared" si="638"/>
        <v>64758.5</v>
      </c>
      <c r="M148" s="106">
        <f t="shared" si="720"/>
        <v>1359524.5</v>
      </c>
      <c r="N148" s="16" t="s">
        <v>123</v>
      </c>
      <c r="O148" s="106">
        <f t="shared" si="721"/>
        <v>107948</v>
      </c>
      <c r="P148" s="106">
        <f t="shared" si="721"/>
        <v>88837</v>
      </c>
      <c r="Q148" s="106">
        <f t="shared" si="721"/>
        <v>84919</v>
      </c>
      <c r="R148" s="106">
        <f t="shared" si="721"/>
        <v>86435</v>
      </c>
      <c r="S148" s="106">
        <f t="shared" si="721"/>
        <v>80376</v>
      </c>
      <c r="T148" s="106">
        <f t="shared" si="721"/>
        <v>147153</v>
      </c>
      <c r="U148" s="106">
        <f t="shared" si="721"/>
        <v>42626</v>
      </c>
      <c r="V148" s="106">
        <f t="shared" si="721"/>
        <v>175327</v>
      </c>
      <c r="W148" s="106">
        <f t="shared" si="721"/>
        <v>57538</v>
      </c>
      <c r="X148" s="106">
        <f t="shared" si="721"/>
        <v>177995</v>
      </c>
      <c r="Y148" s="106">
        <f t="shared" si="721"/>
        <v>0</v>
      </c>
      <c r="Z148" s="106">
        <f t="shared" si="721"/>
        <v>0</v>
      </c>
      <c r="AA148" s="106">
        <f t="shared" si="722"/>
        <v>1049154</v>
      </c>
      <c r="AB148" s="118"/>
      <c r="AC148" s="106">
        <f t="shared" si="723"/>
        <v>119074.63750000001</v>
      </c>
      <c r="AD148" s="106">
        <f t="shared" si="723"/>
        <v>119074.63750000001</v>
      </c>
      <c r="AE148" s="106">
        <f t="shared" si="723"/>
        <v>119074.63750000001</v>
      </c>
      <c r="AF148" s="106">
        <f t="shared" si="723"/>
        <v>119074.63750000001</v>
      </c>
      <c r="AG148" s="106">
        <f t="shared" si="723"/>
        <v>119074.63750000001</v>
      </c>
      <c r="AH148" s="106">
        <f t="shared" si="723"/>
        <v>119074.63750000001</v>
      </c>
      <c r="AI148" s="106">
        <f t="shared" si="723"/>
        <v>119074.63750000001</v>
      </c>
      <c r="AJ148" s="106">
        <f t="shared" si="723"/>
        <v>119074.63750000001</v>
      </c>
      <c r="AK148" s="106">
        <f t="shared" si="723"/>
        <v>119074.63750000001</v>
      </c>
      <c r="AL148" s="106">
        <f t="shared" si="723"/>
        <v>119074.63750000001</v>
      </c>
      <c r="AM148" s="106">
        <f t="shared" si="723"/>
        <v>119074.63750000001</v>
      </c>
      <c r="AN148" s="106">
        <f t="shared" si="723"/>
        <v>119074.63750000001</v>
      </c>
      <c r="AO148" s="106">
        <f t="shared" si="724"/>
        <v>1428895.6499999997</v>
      </c>
      <c r="AP148" s="106"/>
      <c r="AQ148" s="106">
        <f>+PMGR!AQ148+BP!AQ148</f>
        <v>47453</v>
      </c>
      <c r="AR148" s="106">
        <f>+PMGR!AR148+BP!AR148</f>
        <v>42496</v>
      </c>
      <c r="AS148" s="106">
        <f>+PMGR!AS148+BP!AS148</f>
        <v>74941</v>
      </c>
      <c r="AT148" s="106">
        <f>+PMGR!AT148+BP!AT148</f>
        <v>13454</v>
      </c>
      <c r="AU148" s="106">
        <f>+PMGR!AU148+BP!AU148</f>
        <v>85976</v>
      </c>
      <c r="AV148" s="106">
        <f>+PMGR!AV148+BP!AV148</f>
        <v>20336</v>
      </c>
      <c r="AW148" s="106">
        <f>+PMGR!AW148+BP!AW148</f>
        <v>58665</v>
      </c>
      <c r="AX148" s="106">
        <f>+PMGR!AX148+BP!AX148</f>
        <v>84105</v>
      </c>
      <c r="AY148" s="106">
        <f>+PMGR!AY148+BP!AY148</f>
        <v>24564</v>
      </c>
      <c r="AZ148" s="106">
        <f>+PMGR!AZ148+BP!AZ148</f>
        <v>50277</v>
      </c>
      <c r="BA148" s="106">
        <f>+PMGR!BA148+BP!BA148</f>
        <v>62742</v>
      </c>
      <c r="BB148" s="106">
        <f>+PMGR!BB148+BP!BB148</f>
        <v>48912</v>
      </c>
      <c r="BC148" s="106">
        <f t="shared" si="725"/>
        <v>613921</v>
      </c>
      <c r="BD148" s="16" t="str">
        <f t="shared" si="671"/>
        <v>Daily Allowance to Drivers</v>
      </c>
      <c r="BE148" s="106">
        <f>+PMGR!BE148+BP!BE148</f>
        <v>62266</v>
      </c>
      <c r="BF148" s="106">
        <f>+PMGR!BF148+BP!BF148</f>
        <v>34781</v>
      </c>
      <c r="BG148" s="106">
        <f>+PMGR!BG148+BP!BG148</f>
        <v>38971</v>
      </c>
      <c r="BH148" s="106">
        <f>+PMGR!BH148+BP!BH148</f>
        <v>36776</v>
      </c>
      <c r="BI148" s="106">
        <f>+PMGR!BI148+BP!BI148</f>
        <v>33262</v>
      </c>
      <c r="BJ148" s="106">
        <f>+PMGR!BJ148+BP!BJ148</f>
        <v>67423</v>
      </c>
      <c r="BK148" s="106">
        <f>+PMGR!BK148+BP!BK148</f>
        <v>17472</v>
      </c>
      <c r="BL148" s="106">
        <f>+PMGR!BL148+BP!BL148</f>
        <v>77887</v>
      </c>
      <c r="BM148" s="106">
        <f>+PMGR!BM148+BP!BM148</f>
        <v>16016</v>
      </c>
      <c r="BN148" s="106">
        <f>+PMGR!BN148+BP!BN148</f>
        <v>72049</v>
      </c>
      <c r="BO148" s="106">
        <f>+PMGR!BO148+BP!BO148</f>
        <v>0</v>
      </c>
      <c r="BP148" s="106">
        <f>+PMGR!BP148+BP!BP148</f>
        <v>0</v>
      </c>
      <c r="BQ148" s="106">
        <f t="shared" si="726"/>
        <v>456903</v>
      </c>
      <c r="BR148" s="118"/>
      <c r="BS148" s="106">
        <f>+PMGR!BS148+BP!BS148</f>
        <v>59519.862500000003</v>
      </c>
      <c r="BT148" s="106">
        <f>+PMGR!BT148+BP!BT148</f>
        <v>59519.862500000003</v>
      </c>
      <c r="BU148" s="106">
        <f>+PMGR!BU148+BP!BU148</f>
        <v>59519.862500000003</v>
      </c>
      <c r="BV148" s="106">
        <f>+PMGR!BV148+BP!BV148</f>
        <v>59519.862500000003</v>
      </c>
      <c r="BW148" s="106">
        <f>+PMGR!BW148+BP!BW148</f>
        <v>59519.862500000003</v>
      </c>
      <c r="BX148" s="106">
        <f>+PMGR!BX148+BP!BX148</f>
        <v>59519.862500000003</v>
      </c>
      <c r="BY148" s="106">
        <f>+PMGR!BY148+BP!BY148</f>
        <v>59519.862500000003</v>
      </c>
      <c r="BZ148" s="106">
        <f>+PMGR!BZ148+BP!BZ148</f>
        <v>59519.862500000003</v>
      </c>
      <c r="CA148" s="106">
        <f>+PMGR!CA148+BP!CA148</f>
        <v>59519.862500000003</v>
      </c>
      <c r="CB148" s="106">
        <f>+PMGR!CB148+BP!CB148</f>
        <v>59519.862500000003</v>
      </c>
      <c r="CC148" s="106">
        <f>+PMGR!CC148+BP!CC148</f>
        <v>59519.862500000003</v>
      </c>
      <c r="CD148" s="106">
        <f>+PMGR!CD148+BP!CD148</f>
        <v>59519.862500000003</v>
      </c>
      <c r="CE148" s="106">
        <f t="shared" si="727"/>
        <v>714238.35000000009</v>
      </c>
      <c r="CF148" s="106"/>
      <c r="CG148" s="106">
        <f>+PMGR!CG148+BP!CG148</f>
        <v>68389</v>
      </c>
      <c r="CH148" s="106">
        <f>+PMGR!CH148+BP!CH148</f>
        <v>71037</v>
      </c>
      <c r="CI148" s="106">
        <f>+PMGR!CI148+BP!CI148</f>
        <v>30476</v>
      </c>
      <c r="CJ148" s="106">
        <f>+PMGR!CJ148+BP!CJ148</f>
        <v>55483</v>
      </c>
      <c r="CK148" s="106">
        <f>+PMGR!CK148+BP!CK148</f>
        <v>88297</v>
      </c>
      <c r="CL148" s="106">
        <f>+PMGR!CL148+BP!CL148</f>
        <v>72297</v>
      </c>
      <c r="CM148" s="106">
        <f>+PMGR!CM148+BP!CM148</f>
        <v>93701</v>
      </c>
      <c r="CN148" s="106">
        <f>+PMGR!CN148+BP!CN148</f>
        <v>29718</v>
      </c>
      <c r="CO148" s="106">
        <f>+PMGR!CO148+BP!CO148</f>
        <v>62130</v>
      </c>
      <c r="CP148" s="106">
        <f>+PMGR!CP148+BP!CP148</f>
        <v>67380</v>
      </c>
      <c r="CQ148" s="106">
        <f>+PMGR!CQ148+BP!CQ148</f>
        <v>90849</v>
      </c>
      <c r="CR148" s="106">
        <f>+PMGR!CR148+BP!CR148</f>
        <v>15846.5</v>
      </c>
      <c r="CS148" s="106">
        <f t="shared" si="728"/>
        <v>745603.5</v>
      </c>
      <c r="CT148" s="16" t="str">
        <f t="shared" si="675"/>
        <v>Daily Allowance to Drivers</v>
      </c>
      <c r="CU148" s="106">
        <f>+PMGR!CU148+BP!CU148</f>
        <v>41200</v>
      </c>
      <c r="CV148" s="106">
        <f>+PMGR!CV148+BP!CV148</f>
        <v>48015</v>
      </c>
      <c r="CW148" s="106">
        <f>+PMGR!CW148+BP!CW148</f>
        <v>40051</v>
      </c>
      <c r="CX148" s="106">
        <f>+PMGR!CX148+BP!CX148</f>
        <v>40902</v>
      </c>
      <c r="CY148" s="106">
        <f>+PMGR!CY148+BP!CY148</f>
        <v>37976</v>
      </c>
      <c r="CZ148" s="106">
        <f>+PMGR!CZ148+BP!CZ148</f>
        <v>56383</v>
      </c>
      <c r="DA148" s="106">
        <f>+PMGR!DA148+BP!DA148</f>
        <v>18793</v>
      </c>
      <c r="DB148" s="106">
        <f>+PMGR!DB148+BP!DB148</f>
        <v>77238</v>
      </c>
      <c r="DC148" s="106">
        <f>+PMGR!DC148+BP!DC148</f>
        <v>38731</v>
      </c>
      <c r="DD148" s="106">
        <f>+PMGR!DD148+BP!DD148</f>
        <v>80653</v>
      </c>
      <c r="DE148" s="106">
        <f>+PMGR!DE148+BP!DE148</f>
        <v>0</v>
      </c>
      <c r="DF148" s="106">
        <f>+PMGR!DF148+BP!DF148</f>
        <v>0</v>
      </c>
      <c r="DG148" s="106">
        <f t="shared" si="729"/>
        <v>479942</v>
      </c>
      <c r="DH148" s="118"/>
      <c r="DI148" s="106">
        <f>+PMGR!DI148+BP!DI148</f>
        <v>59554.775000000001</v>
      </c>
      <c r="DJ148" s="106">
        <f>+PMGR!DJ148+BP!DJ148</f>
        <v>59554.775000000001</v>
      </c>
      <c r="DK148" s="106">
        <f>+PMGR!DK148+BP!DK148</f>
        <v>59554.775000000001</v>
      </c>
      <c r="DL148" s="106">
        <f>+PMGR!DL148+BP!DL148</f>
        <v>59554.775000000001</v>
      </c>
      <c r="DM148" s="106">
        <f>+PMGR!DM148+BP!DM148</f>
        <v>59554.775000000001</v>
      </c>
      <c r="DN148" s="106">
        <f>+PMGR!DN148+BP!DN148</f>
        <v>59554.775000000001</v>
      </c>
      <c r="DO148" s="106">
        <f>+PMGR!DO148+BP!DO148</f>
        <v>59554.775000000001</v>
      </c>
      <c r="DP148" s="106">
        <f>+PMGR!DP148+BP!DP148</f>
        <v>59554.775000000001</v>
      </c>
      <c r="DQ148" s="106">
        <f>+PMGR!DQ148+BP!DQ148</f>
        <v>59554.775000000001</v>
      </c>
      <c r="DR148" s="106">
        <f>+PMGR!DR148+BP!DR148</f>
        <v>59554.775000000001</v>
      </c>
      <c r="DS148" s="106">
        <f>+PMGR!DS148+BP!DS148</f>
        <v>59554.775000000001</v>
      </c>
      <c r="DT148" s="106">
        <f>+PMGR!DT148+BP!DT148</f>
        <v>59554.775000000001</v>
      </c>
      <c r="DU148" s="106">
        <f t="shared" si="730"/>
        <v>714657.30000000016</v>
      </c>
      <c r="DV148" s="106"/>
      <c r="DW148" s="106">
        <f>+PMGR!DW148+BP!DW148</f>
        <v>0</v>
      </c>
      <c r="DX148" s="106">
        <f>+PMGR!DX148+BP!DX148</f>
        <v>0</v>
      </c>
      <c r="DY148" s="106">
        <f>+PMGR!DY148+BP!DY148</f>
        <v>0</v>
      </c>
      <c r="DZ148" s="106">
        <f>+PMGR!DZ148+BP!DZ148</f>
        <v>0</v>
      </c>
      <c r="EA148" s="106">
        <f>+PMGR!EA148+BP!EA148</f>
        <v>0</v>
      </c>
      <c r="EB148" s="106">
        <f>+PMGR!EB148+BP!EB148</f>
        <v>0</v>
      </c>
      <c r="EC148" s="106">
        <f>+PMGR!EC148+BP!EC148</f>
        <v>0</v>
      </c>
      <c r="ED148" s="106">
        <f>+PMGR!ED148+BP!ED148</f>
        <v>0</v>
      </c>
      <c r="EE148" s="106">
        <f>+PMGR!EE148+BP!EE148</f>
        <v>0</v>
      </c>
      <c r="EF148" s="106">
        <f>+PMGR!EF148+BP!EF148</f>
        <v>0</v>
      </c>
      <c r="EG148" s="106">
        <f>+PMGR!EG148+BP!EG148</f>
        <v>0</v>
      </c>
      <c r="EH148" s="106">
        <f>+PMGR!EH148+BP!EH148</f>
        <v>0</v>
      </c>
      <c r="EI148" s="106">
        <f t="shared" si="731"/>
        <v>0</v>
      </c>
      <c r="EJ148" s="16" t="str">
        <f t="shared" si="681"/>
        <v>Daily Allowance to Drivers</v>
      </c>
      <c r="EK148" s="106">
        <f>+PMGR!EK148+BP!EK148</f>
        <v>4482</v>
      </c>
      <c r="EL148" s="106">
        <f>+PMGR!EL148+BP!EL148</f>
        <v>6041</v>
      </c>
      <c r="EM148" s="106">
        <f>+PMGR!EM148+BP!EM148</f>
        <v>5897</v>
      </c>
      <c r="EN148" s="106">
        <f>+PMGR!EN148+BP!EN148</f>
        <v>8757</v>
      </c>
      <c r="EO148" s="106">
        <f>+PMGR!EO148+BP!EO148</f>
        <v>9138</v>
      </c>
      <c r="EP148" s="106">
        <f>+PMGR!EP148+BP!EP148</f>
        <v>23347</v>
      </c>
      <c r="EQ148" s="106">
        <f>+PMGR!EQ148+BP!EQ148</f>
        <v>6361</v>
      </c>
      <c r="ER148" s="106">
        <f>+PMGR!ER148+BP!ER148</f>
        <v>20202</v>
      </c>
      <c r="ES148" s="106">
        <f>+PMGR!ES148+BP!ES148</f>
        <v>2791</v>
      </c>
      <c r="ET148" s="106">
        <f>+PMGR!ET148+BP!ET148</f>
        <v>25293</v>
      </c>
      <c r="EU148" s="106">
        <f>+PMGR!EU148+BP!EU148</f>
        <v>0</v>
      </c>
      <c r="EV148" s="106">
        <f>+PMGR!EV148+BP!EV148</f>
        <v>0</v>
      </c>
      <c r="EW148" s="106">
        <f t="shared" si="732"/>
        <v>112309</v>
      </c>
      <c r="EX148" s="118"/>
      <c r="EY148" s="106">
        <f>+PMGR!EY148+BP!EY148</f>
        <v>0</v>
      </c>
      <c r="EZ148" s="106">
        <f>+PMGR!EZ148+BP!EZ148</f>
        <v>0</v>
      </c>
      <c r="FA148" s="106">
        <f>+PMGR!FA148+BP!FA148</f>
        <v>0</v>
      </c>
      <c r="FB148" s="106">
        <f>+PMGR!FB148+BP!FB148</f>
        <v>0</v>
      </c>
      <c r="FC148" s="106">
        <f>+PMGR!FC148+BP!FC148</f>
        <v>0</v>
      </c>
      <c r="FD148" s="106">
        <f>+PMGR!FD148+BP!FD148</f>
        <v>0</v>
      </c>
      <c r="FE148" s="106">
        <f>+PMGR!FE148+BP!FE148</f>
        <v>0</v>
      </c>
      <c r="FF148" s="106">
        <f>+PMGR!FF148+BP!FF148</f>
        <v>0</v>
      </c>
      <c r="FG148" s="106">
        <f>+PMGR!FG148+BP!FG148</f>
        <v>0</v>
      </c>
      <c r="FH148" s="106">
        <f>+PMGR!FH148+BP!FH148</f>
        <v>0</v>
      </c>
      <c r="FI148" s="106">
        <f>+PMGR!FI148+BP!FI148</f>
        <v>0</v>
      </c>
      <c r="FJ148" s="106">
        <f>+PMGR!FJ148+BP!FJ148</f>
        <v>0</v>
      </c>
      <c r="FK148" s="106">
        <f t="shared" si="733"/>
        <v>0</v>
      </c>
    </row>
    <row r="149" spans="1:167" ht="14.45" hidden="1" customHeight="1" outlineLevel="1">
      <c r="A149" s="106">
        <f t="shared" si="638"/>
        <v>0</v>
      </c>
      <c r="B149" s="106">
        <f t="shared" si="638"/>
        <v>0</v>
      </c>
      <c r="C149" s="106">
        <f t="shared" si="638"/>
        <v>0</v>
      </c>
      <c r="D149" s="106">
        <f t="shared" si="638"/>
        <v>0</v>
      </c>
      <c r="E149" s="106">
        <f t="shared" si="638"/>
        <v>0</v>
      </c>
      <c r="F149" s="106">
        <f t="shared" si="638"/>
        <v>0</v>
      </c>
      <c r="G149" s="106">
        <f t="shared" si="638"/>
        <v>0</v>
      </c>
      <c r="H149" s="106">
        <f t="shared" si="638"/>
        <v>0</v>
      </c>
      <c r="I149" s="106">
        <f t="shared" si="638"/>
        <v>0</v>
      </c>
      <c r="J149" s="106">
        <f t="shared" si="638"/>
        <v>0</v>
      </c>
      <c r="K149" s="106">
        <f t="shared" si="638"/>
        <v>0</v>
      </c>
      <c r="L149" s="106">
        <f t="shared" si="638"/>
        <v>0</v>
      </c>
      <c r="M149" s="106">
        <f t="shared" si="720"/>
        <v>0</v>
      </c>
      <c r="N149" s="16" t="s">
        <v>124</v>
      </c>
      <c r="O149" s="106">
        <f t="shared" si="721"/>
        <v>0</v>
      </c>
      <c r="P149" s="106">
        <f t="shared" si="721"/>
        <v>0</v>
      </c>
      <c r="Q149" s="106">
        <f t="shared" si="721"/>
        <v>0</v>
      </c>
      <c r="R149" s="106">
        <f t="shared" si="721"/>
        <v>0</v>
      </c>
      <c r="S149" s="106">
        <f t="shared" si="721"/>
        <v>0</v>
      </c>
      <c r="T149" s="106">
        <f t="shared" si="721"/>
        <v>0</v>
      </c>
      <c r="U149" s="106">
        <f t="shared" si="721"/>
        <v>0</v>
      </c>
      <c r="V149" s="106">
        <f t="shared" si="721"/>
        <v>0</v>
      </c>
      <c r="W149" s="106">
        <f t="shared" si="721"/>
        <v>0</v>
      </c>
      <c r="X149" s="106">
        <f t="shared" si="721"/>
        <v>0</v>
      </c>
      <c r="Y149" s="106">
        <f t="shared" si="721"/>
        <v>0</v>
      </c>
      <c r="Z149" s="106">
        <f t="shared" si="721"/>
        <v>0</v>
      </c>
      <c r="AA149" s="106">
        <f t="shared" si="722"/>
        <v>0</v>
      </c>
      <c r="AB149" s="118"/>
      <c r="AC149" s="106">
        <f t="shared" si="723"/>
        <v>0</v>
      </c>
      <c r="AD149" s="106">
        <f t="shared" si="723"/>
        <v>0</v>
      </c>
      <c r="AE149" s="106">
        <f t="shared" si="723"/>
        <v>0</v>
      </c>
      <c r="AF149" s="106">
        <f t="shared" si="723"/>
        <v>0</v>
      </c>
      <c r="AG149" s="106">
        <f t="shared" si="723"/>
        <v>0</v>
      </c>
      <c r="AH149" s="106">
        <f t="shared" si="723"/>
        <v>0</v>
      </c>
      <c r="AI149" s="106">
        <f t="shared" si="723"/>
        <v>0</v>
      </c>
      <c r="AJ149" s="106">
        <f t="shared" si="723"/>
        <v>0</v>
      </c>
      <c r="AK149" s="106">
        <f t="shared" si="723"/>
        <v>0</v>
      </c>
      <c r="AL149" s="106">
        <f t="shared" si="723"/>
        <v>0</v>
      </c>
      <c r="AM149" s="106">
        <f t="shared" si="723"/>
        <v>0</v>
      </c>
      <c r="AN149" s="106">
        <f t="shared" si="723"/>
        <v>0</v>
      </c>
      <c r="AO149" s="106">
        <f t="shared" si="724"/>
        <v>0</v>
      </c>
      <c r="AP149" s="106"/>
      <c r="AQ149" s="106">
        <f>+PMGR!AQ149+BP!AQ149</f>
        <v>0</v>
      </c>
      <c r="AR149" s="106">
        <f>+PMGR!AR149+BP!AR149</f>
        <v>0</v>
      </c>
      <c r="AS149" s="106">
        <f>+PMGR!AS149+BP!AS149</f>
        <v>0</v>
      </c>
      <c r="AT149" s="106">
        <f>+PMGR!AT149+BP!AT149</f>
        <v>0</v>
      </c>
      <c r="AU149" s="106">
        <f>+PMGR!AU149+BP!AU149</f>
        <v>0</v>
      </c>
      <c r="AV149" s="106">
        <f>+PMGR!AV149+BP!AV149</f>
        <v>0</v>
      </c>
      <c r="AW149" s="106">
        <f>+PMGR!AW149+BP!AW149</f>
        <v>0</v>
      </c>
      <c r="AX149" s="106">
        <f>+PMGR!AX149+BP!AX149</f>
        <v>0</v>
      </c>
      <c r="AY149" s="106">
        <f>+PMGR!AY149+BP!AY149</f>
        <v>0</v>
      </c>
      <c r="AZ149" s="106">
        <f>+PMGR!AZ149+BP!AZ149</f>
        <v>0</v>
      </c>
      <c r="BA149" s="106">
        <f>+PMGR!BA149+BP!BA149</f>
        <v>0</v>
      </c>
      <c r="BB149" s="106">
        <f>+PMGR!BB149+BP!BB149</f>
        <v>0</v>
      </c>
      <c r="BC149" s="106">
        <f t="shared" si="725"/>
        <v>0</v>
      </c>
      <c r="BD149" s="16" t="str">
        <f t="shared" si="671"/>
        <v>Daily Allowance to Others</v>
      </c>
      <c r="BE149" s="106">
        <f>+PMGR!BE149+BP!BE149</f>
        <v>0</v>
      </c>
      <c r="BF149" s="106">
        <f>+PMGR!BF149+BP!BF149</f>
        <v>0</v>
      </c>
      <c r="BG149" s="106">
        <f>+PMGR!BG149+BP!BG149</f>
        <v>0</v>
      </c>
      <c r="BH149" s="106">
        <f>+PMGR!BH149+BP!BH149</f>
        <v>0</v>
      </c>
      <c r="BI149" s="106">
        <f>+PMGR!BI149+BP!BI149</f>
        <v>0</v>
      </c>
      <c r="BJ149" s="106">
        <f>+PMGR!BJ149+BP!BJ149</f>
        <v>0</v>
      </c>
      <c r="BK149" s="106">
        <f>+PMGR!BK149+BP!BK149</f>
        <v>0</v>
      </c>
      <c r="BL149" s="106">
        <f>+PMGR!BL149+BP!BL149</f>
        <v>0</v>
      </c>
      <c r="BM149" s="106">
        <f>+PMGR!BM149+BP!BM149</f>
        <v>0</v>
      </c>
      <c r="BN149" s="106">
        <f>+PMGR!BN149+BP!BN149</f>
        <v>0</v>
      </c>
      <c r="BO149" s="106">
        <f>+PMGR!BO149+BP!BO149</f>
        <v>0</v>
      </c>
      <c r="BP149" s="106">
        <f>+PMGR!BP149+BP!BP149</f>
        <v>0</v>
      </c>
      <c r="BQ149" s="106">
        <f t="shared" si="726"/>
        <v>0</v>
      </c>
      <c r="BR149" s="118"/>
      <c r="BS149" s="106">
        <f>+PMGR!BS149+BP!BS149</f>
        <v>0</v>
      </c>
      <c r="BT149" s="106">
        <f>+PMGR!BT149+BP!BT149</f>
        <v>0</v>
      </c>
      <c r="BU149" s="106">
        <f>+PMGR!BU149+BP!BU149</f>
        <v>0</v>
      </c>
      <c r="BV149" s="106">
        <f>+PMGR!BV149+BP!BV149</f>
        <v>0</v>
      </c>
      <c r="BW149" s="106">
        <f>+PMGR!BW149+BP!BW149</f>
        <v>0</v>
      </c>
      <c r="BX149" s="106">
        <f>+PMGR!BX149+BP!BX149</f>
        <v>0</v>
      </c>
      <c r="BY149" s="106">
        <f>+PMGR!BY149+BP!BY149</f>
        <v>0</v>
      </c>
      <c r="BZ149" s="106">
        <f>+PMGR!BZ149+BP!BZ149</f>
        <v>0</v>
      </c>
      <c r="CA149" s="106">
        <f>+PMGR!CA149+BP!CA149</f>
        <v>0</v>
      </c>
      <c r="CB149" s="106">
        <f>+PMGR!CB149+BP!CB149</f>
        <v>0</v>
      </c>
      <c r="CC149" s="106">
        <f>+PMGR!CC149+BP!CC149</f>
        <v>0</v>
      </c>
      <c r="CD149" s="106">
        <f>+PMGR!CD149+BP!CD149</f>
        <v>0</v>
      </c>
      <c r="CE149" s="106">
        <f t="shared" si="727"/>
        <v>0</v>
      </c>
      <c r="CF149" s="106"/>
      <c r="CG149" s="106">
        <f>+PMGR!CG149+BP!CG149</f>
        <v>0</v>
      </c>
      <c r="CH149" s="106">
        <f>+PMGR!CH149+BP!CH149</f>
        <v>0</v>
      </c>
      <c r="CI149" s="106">
        <f>+PMGR!CI149+BP!CI149</f>
        <v>0</v>
      </c>
      <c r="CJ149" s="106">
        <f>+PMGR!CJ149+BP!CJ149</f>
        <v>0</v>
      </c>
      <c r="CK149" s="106">
        <f>+PMGR!CK149+BP!CK149</f>
        <v>0</v>
      </c>
      <c r="CL149" s="106">
        <f>+PMGR!CL149+BP!CL149</f>
        <v>0</v>
      </c>
      <c r="CM149" s="106">
        <f>+PMGR!CM149+BP!CM149</f>
        <v>0</v>
      </c>
      <c r="CN149" s="106">
        <f>+PMGR!CN149+BP!CN149</f>
        <v>0</v>
      </c>
      <c r="CO149" s="106">
        <f>+PMGR!CO149+BP!CO149</f>
        <v>0</v>
      </c>
      <c r="CP149" s="106">
        <f>+PMGR!CP149+BP!CP149</f>
        <v>0</v>
      </c>
      <c r="CQ149" s="106">
        <f>+PMGR!CQ149+BP!CQ149</f>
        <v>0</v>
      </c>
      <c r="CR149" s="106">
        <f>+PMGR!CR149+BP!CR149</f>
        <v>0</v>
      </c>
      <c r="CS149" s="106">
        <f t="shared" si="728"/>
        <v>0</v>
      </c>
      <c r="CT149" s="16" t="str">
        <f t="shared" si="675"/>
        <v>Daily Allowance to Others</v>
      </c>
      <c r="CU149" s="106">
        <f>+PMGR!CU149+BP!CU149</f>
        <v>0</v>
      </c>
      <c r="CV149" s="106">
        <f>+PMGR!CV149+BP!CV149</f>
        <v>0</v>
      </c>
      <c r="CW149" s="106">
        <f>+PMGR!CW149+BP!CW149</f>
        <v>0</v>
      </c>
      <c r="CX149" s="106">
        <f>+PMGR!CX149+BP!CX149</f>
        <v>0</v>
      </c>
      <c r="CY149" s="106">
        <f>+PMGR!CY149+BP!CY149</f>
        <v>0</v>
      </c>
      <c r="CZ149" s="106">
        <f>+PMGR!CZ149+BP!CZ149</f>
        <v>0</v>
      </c>
      <c r="DA149" s="106">
        <f>+PMGR!DA149+BP!DA149</f>
        <v>0</v>
      </c>
      <c r="DB149" s="106">
        <f>+PMGR!DB149+BP!DB149</f>
        <v>0</v>
      </c>
      <c r="DC149" s="106">
        <f>+PMGR!DC149+BP!DC149</f>
        <v>0</v>
      </c>
      <c r="DD149" s="106">
        <f>+PMGR!DD149+BP!DD149</f>
        <v>0</v>
      </c>
      <c r="DE149" s="106">
        <f>+PMGR!DE149+BP!DE149</f>
        <v>0</v>
      </c>
      <c r="DF149" s="106">
        <f>+PMGR!DF149+BP!DF149</f>
        <v>0</v>
      </c>
      <c r="DG149" s="106">
        <f t="shared" si="729"/>
        <v>0</v>
      </c>
      <c r="DH149" s="118"/>
      <c r="DI149" s="106">
        <f>+PMGR!DI149+BP!DI149</f>
        <v>0</v>
      </c>
      <c r="DJ149" s="106">
        <f>+PMGR!DJ149+BP!DJ149</f>
        <v>0</v>
      </c>
      <c r="DK149" s="106">
        <f>+PMGR!DK149+BP!DK149</f>
        <v>0</v>
      </c>
      <c r="DL149" s="106">
        <f>+PMGR!DL149+BP!DL149</f>
        <v>0</v>
      </c>
      <c r="DM149" s="106">
        <f>+PMGR!DM149+BP!DM149</f>
        <v>0</v>
      </c>
      <c r="DN149" s="106">
        <f>+PMGR!DN149+BP!DN149</f>
        <v>0</v>
      </c>
      <c r="DO149" s="106">
        <f>+PMGR!DO149+BP!DO149</f>
        <v>0</v>
      </c>
      <c r="DP149" s="106">
        <f>+PMGR!DP149+BP!DP149</f>
        <v>0</v>
      </c>
      <c r="DQ149" s="106">
        <f>+PMGR!DQ149+BP!DQ149</f>
        <v>0</v>
      </c>
      <c r="DR149" s="106">
        <f>+PMGR!DR149+BP!DR149</f>
        <v>0</v>
      </c>
      <c r="DS149" s="106">
        <f>+PMGR!DS149+BP!DS149</f>
        <v>0</v>
      </c>
      <c r="DT149" s="106">
        <f>+PMGR!DT149+BP!DT149</f>
        <v>0</v>
      </c>
      <c r="DU149" s="106">
        <f t="shared" si="730"/>
        <v>0</v>
      </c>
      <c r="DV149" s="106"/>
      <c r="DW149" s="106">
        <f>+PMGR!DW149+BP!DW149</f>
        <v>0</v>
      </c>
      <c r="DX149" s="106">
        <f>+PMGR!DX149+BP!DX149</f>
        <v>0</v>
      </c>
      <c r="DY149" s="106">
        <f>+PMGR!DY149+BP!DY149</f>
        <v>0</v>
      </c>
      <c r="DZ149" s="106">
        <f>+PMGR!DZ149+BP!DZ149</f>
        <v>0</v>
      </c>
      <c r="EA149" s="106">
        <f>+PMGR!EA149+BP!EA149</f>
        <v>0</v>
      </c>
      <c r="EB149" s="106">
        <f>+PMGR!EB149+BP!EB149</f>
        <v>0</v>
      </c>
      <c r="EC149" s="106">
        <f>+PMGR!EC149+BP!EC149</f>
        <v>0</v>
      </c>
      <c r="ED149" s="106">
        <f>+PMGR!ED149+BP!ED149</f>
        <v>0</v>
      </c>
      <c r="EE149" s="106">
        <f>+PMGR!EE149+BP!EE149</f>
        <v>0</v>
      </c>
      <c r="EF149" s="106">
        <f>+PMGR!EF149+BP!EF149</f>
        <v>0</v>
      </c>
      <c r="EG149" s="106">
        <f>+PMGR!EG149+BP!EG149</f>
        <v>0</v>
      </c>
      <c r="EH149" s="106">
        <f>+PMGR!EH149+BP!EH149</f>
        <v>0</v>
      </c>
      <c r="EI149" s="106">
        <f t="shared" si="731"/>
        <v>0</v>
      </c>
      <c r="EJ149" s="16" t="str">
        <f t="shared" si="681"/>
        <v>Daily Allowance to Others</v>
      </c>
      <c r="EK149" s="106">
        <f>+PMGR!EK149+BP!EK149</f>
        <v>0</v>
      </c>
      <c r="EL149" s="106">
        <f>+PMGR!EL149+BP!EL149</f>
        <v>0</v>
      </c>
      <c r="EM149" s="106">
        <f>+PMGR!EM149+BP!EM149</f>
        <v>0</v>
      </c>
      <c r="EN149" s="106">
        <f>+PMGR!EN149+BP!EN149</f>
        <v>0</v>
      </c>
      <c r="EO149" s="106">
        <f>+PMGR!EO149+BP!EO149</f>
        <v>0</v>
      </c>
      <c r="EP149" s="106">
        <f>+PMGR!EP149+BP!EP149</f>
        <v>0</v>
      </c>
      <c r="EQ149" s="106">
        <f>+PMGR!EQ149+BP!EQ149</f>
        <v>0</v>
      </c>
      <c r="ER149" s="106">
        <f>+PMGR!ER149+BP!ER149</f>
        <v>0</v>
      </c>
      <c r="ES149" s="106">
        <f>+PMGR!ES149+BP!ES149</f>
        <v>0</v>
      </c>
      <c r="ET149" s="106">
        <f>+PMGR!ET149+BP!ET149</f>
        <v>0</v>
      </c>
      <c r="EU149" s="106">
        <f>+PMGR!EU149+BP!EU149</f>
        <v>0</v>
      </c>
      <c r="EV149" s="106">
        <f>+PMGR!EV149+BP!EV149</f>
        <v>0</v>
      </c>
      <c r="EW149" s="106">
        <f t="shared" si="732"/>
        <v>0</v>
      </c>
      <c r="EX149" s="118"/>
      <c r="EY149" s="106">
        <f>+PMGR!EY149+BP!EY149</f>
        <v>0</v>
      </c>
      <c r="EZ149" s="106">
        <f>+PMGR!EZ149+BP!EZ149</f>
        <v>0</v>
      </c>
      <c r="FA149" s="106">
        <f>+PMGR!FA149+BP!FA149</f>
        <v>0</v>
      </c>
      <c r="FB149" s="106">
        <f>+PMGR!FB149+BP!FB149</f>
        <v>0</v>
      </c>
      <c r="FC149" s="106">
        <f>+PMGR!FC149+BP!FC149</f>
        <v>0</v>
      </c>
      <c r="FD149" s="106">
        <f>+PMGR!FD149+BP!FD149</f>
        <v>0</v>
      </c>
      <c r="FE149" s="106">
        <f>+PMGR!FE149+BP!FE149</f>
        <v>0</v>
      </c>
      <c r="FF149" s="106">
        <f>+PMGR!FF149+BP!FF149</f>
        <v>0</v>
      </c>
      <c r="FG149" s="106">
        <f>+PMGR!FG149+BP!FG149</f>
        <v>0</v>
      </c>
      <c r="FH149" s="106">
        <f>+PMGR!FH149+BP!FH149</f>
        <v>0</v>
      </c>
      <c r="FI149" s="106">
        <f>+PMGR!FI149+BP!FI149</f>
        <v>0</v>
      </c>
      <c r="FJ149" s="106">
        <f>+PMGR!FJ149+BP!FJ149</f>
        <v>0</v>
      </c>
      <c r="FK149" s="106">
        <f t="shared" si="733"/>
        <v>0</v>
      </c>
    </row>
    <row r="150" spans="1:167" ht="14.45" customHeight="1" collapsed="1">
      <c r="A150" s="58">
        <f t="shared" ref="A150:M150" si="734">+SUM(A151:A154)</f>
        <v>192791.5</v>
      </c>
      <c r="B150" s="58">
        <f t="shared" si="734"/>
        <v>167801.5</v>
      </c>
      <c r="C150" s="58">
        <f t="shared" si="734"/>
        <v>174664</v>
      </c>
      <c r="D150" s="58">
        <f t="shared" si="734"/>
        <v>162719.5</v>
      </c>
      <c r="E150" s="58">
        <f t="shared" si="734"/>
        <v>178487</v>
      </c>
      <c r="F150" s="58">
        <f t="shared" si="734"/>
        <v>179987</v>
      </c>
      <c r="G150" s="58">
        <f t="shared" si="734"/>
        <v>173792.5</v>
      </c>
      <c r="H150" s="58">
        <f t="shared" si="734"/>
        <v>187673</v>
      </c>
      <c r="I150" s="58">
        <f t="shared" si="734"/>
        <v>200022</v>
      </c>
      <c r="J150" s="58">
        <f t="shared" si="734"/>
        <v>324457</v>
      </c>
      <c r="K150" s="58">
        <f t="shared" si="734"/>
        <v>184515.5</v>
      </c>
      <c r="L150" s="58">
        <f t="shared" si="734"/>
        <v>197446</v>
      </c>
      <c r="M150" s="58">
        <f t="shared" si="734"/>
        <v>2324356.5</v>
      </c>
      <c r="N150" s="20" t="s">
        <v>125</v>
      </c>
      <c r="O150" s="58">
        <f t="shared" ref="O150:AA150" si="735">+SUM(O151:O154)</f>
        <v>274430</v>
      </c>
      <c r="P150" s="58">
        <f t="shared" si="735"/>
        <v>265740.5</v>
      </c>
      <c r="Q150" s="58">
        <f t="shared" si="735"/>
        <v>291652.5</v>
      </c>
      <c r="R150" s="58">
        <f t="shared" si="735"/>
        <v>296900.5</v>
      </c>
      <c r="S150" s="58">
        <f t="shared" si="735"/>
        <v>297578.5</v>
      </c>
      <c r="T150" s="58">
        <f t="shared" si="735"/>
        <v>328610.5</v>
      </c>
      <c r="U150" s="58">
        <f t="shared" si="735"/>
        <v>313717.5</v>
      </c>
      <c r="V150" s="58">
        <f t="shared" si="735"/>
        <v>314688</v>
      </c>
      <c r="W150" s="58">
        <f t="shared" si="735"/>
        <v>396658</v>
      </c>
      <c r="X150" s="58">
        <f t="shared" si="735"/>
        <v>350292</v>
      </c>
      <c r="Y150" s="58">
        <f t="shared" si="735"/>
        <v>0</v>
      </c>
      <c r="Z150" s="58">
        <f t="shared" si="735"/>
        <v>0</v>
      </c>
      <c r="AA150" s="58">
        <f t="shared" si="735"/>
        <v>3130268</v>
      </c>
      <c r="AB150" s="118"/>
      <c r="AC150" s="58">
        <f t="shared" ref="AC150:AO150" si="736">+SUM(AC151:AC154)</f>
        <v>292214.23749999999</v>
      </c>
      <c r="AD150" s="58">
        <f t="shared" si="736"/>
        <v>292214.23749999999</v>
      </c>
      <c r="AE150" s="58">
        <f t="shared" si="736"/>
        <v>292214.23749999999</v>
      </c>
      <c r="AF150" s="58">
        <f t="shared" si="736"/>
        <v>292214.23749999999</v>
      </c>
      <c r="AG150" s="58">
        <f t="shared" si="736"/>
        <v>292214.23749999999</v>
      </c>
      <c r="AH150" s="58">
        <f t="shared" si="736"/>
        <v>292214.23749999999</v>
      </c>
      <c r="AI150" s="58">
        <f t="shared" si="736"/>
        <v>292214.23749999999</v>
      </c>
      <c r="AJ150" s="58">
        <f t="shared" si="736"/>
        <v>292214.23749999999</v>
      </c>
      <c r="AK150" s="58">
        <f t="shared" si="736"/>
        <v>292214.23749999999</v>
      </c>
      <c r="AL150" s="58">
        <f t="shared" si="736"/>
        <v>292214.23749999999</v>
      </c>
      <c r="AM150" s="58">
        <f t="shared" si="736"/>
        <v>292214.23749999999</v>
      </c>
      <c r="AN150" s="58">
        <f t="shared" si="736"/>
        <v>292214.23749999999</v>
      </c>
      <c r="AO150" s="58">
        <f t="shared" si="736"/>
        <v>3506570.85</v>
      </c>
      <c r="AP150" s="106"/>
      <c r="AQ150" s="58">
        <f t="shared" ref="AQ150:BC150" si="737">+SUM(AQ151:AQ154)</f>
        <v>121925.00000000001</v>
      </c>
      <c r="AR150" s="58">
        <f t="shared" si="737"/>
        <v>118933</v>
      </c>
      <c r="AS150" s="58">
        <f t="shared" si="737"/>
        <v>123615</v>
      </c>
      <c r="AT150" s="58">
        <f t="shared" si="737"/>
        <v>113858</v>
      </c>
      <c r="AU150" s="58">
        <f t="shared" si="737"/>
        <v>128995</v>
      </c>
      <c r="AV150" s="58">
        <f t="shared" si="737"/>
        <v>130495</v>
      </c>
      <c r="AW150" s="58">
        <f t="shared" si="737"/>
        <v>119436</v>
      </c>
      <c r="AX150" s="58">
        <f t="shared" si="737"/>
        <v>117753</v>
      </c>
      <c r="AY150" s="58">
        <f t="shared" si="737"/>
        <v>143890</v>
      </c>
      <c r="AZ150" s="58">
        <f t="shared" si="737"/>
        <v>214537</v>
      </c>
      <c r="BA150" s="58">
        <f t="shared" si="737"/>
        <v>126494</v>
      </c>
      <c r="BB150" s="58">
        <f t="shared" si="737"/>
        <v>125540</v>
      </c>
      <c r="BC150" s="58">
        <f t="shared" si="737"/>
        <v>1585471</v>
      </c>
      <c r="BD150" s="20" t="str">
        <f t="shared" si="671"/>
        <v>"Outside sourced services</v>
      </c>
      <c r="BE150" s="58">
        <f t="shared" ref="BE150:BQ150" si="738">+SUM(BE151:BE154)</f>
        <v>124582</v>
      </c>
      <c r="BF150" s="58">
        <f t="shared" si="738"/>
        <v>124763</v>
      </c>
      <c r="BG150" s="58">
        <f t="shared" si="738"/>
        <v>130064</v>
      </c>
      <c r="BH150" s="58">
        <f t="shared" si="738"/>
        <v>130859</v>
      </c>
      <c r="BI150" s="58">
        <f t="shared" si="738"/>
        <v>129045</v>
      </c>
      <c r="BJ150" s="58">
        <f t="shared" si="738"/>
        <v>133709</v>
      </c>
      <c r="BK150" s="58">
        <f t="shared" si="738"/>
        <v>159934.79999999999</v>
      </c>
      <c r="BL150" s="58">
        <f t="shared" si="738"/>
        <v>135676</v>
      </c>
      <c r="BM150" s="58">
        <f t="shared" si="738"/>
        <v>189597</v>
      </c>
      <c r="BN150" s="58">
        <f t="shared" si="738"/>
        <v>163093</v>
      </c>
      <c r="BO150" s="58">
        <f t="shared" si="738"/>
        <v>0</v>
      </c>
      <c r="BP150" s="58">
        <f t="shared" si="738"/>
        <v>0</v>
      </c>
      <c r="BQ150" s="58">
        <f t="shared" si="738"/>
        <v>1421322.8</v>
      </c>
      <c r="BR150" s="118"/>
      <c r="BS150" s="58">
        <f t="shared" ref="BS150:CE150" si="739">+SUM(BS151:BS154)</f>
        <v>129053.1375</v>
      </c>
      <c r="BT150" s="58">
        <f t="shared" si="739"/>
        <v>129053.1375</v>
      </c>
      <c r="BU150" s="58">
        <f t="shared" si="739"/>
        <v>129053.1375</v>
      </c>
      <c r="BV150" s="58">
        <f t="shared" si="739"/>
        <v>129053.1375</v>
      </c>
      <c r="BW150" s="58">
        <f t="shared" si="739"/>
        <v>129053.1375</v>
      </c>
      <c r="BX150" s="58">
        <f t="shared" si="739"/>
        <v>129053.1375</v>
      </c>
      <c r="BY150" s="58">
        <f t="shared" si="739"/>
        <v>129053.1375</v>
      </c>
      <c r="BZ150" s="58">
        <f t="shared" si="739"/>
        <v>129053.1375</v>
      </c>
      <c r="CA150" s="58">
        <f t="shared" si="739"/>
        <v>129053.1375</v>
      </c>
      <c r="CB150" s="58">
        <f t="shared" si="739"/>
        <v>129053.1375</v>
      </c>
      <c r="CC150" s="58">
        <f t="shared" si="739"/>
        <v>129053.1375</v>
      </c>
      <c r="CD150" s="58">
        <f t="shared" si="739"/>
        <v>129053.1375</v>
      </c>
      <c r="CE150" s="58">
        <f t="shared" si="739"/>
        <v>1548637.65</v>
      </c>
      <c r="CF150" s="106"/>
      <c r="CG150" s="58">
        <f t="shared" ref="CG150:CS150" si="740">+SUM(CG151:CG154)</f>
        <v>70866.5</v>
      </c>
      <c r="CH150" s="58">
        <f t="shared" si="740"/>
        <v>48868.5</v>
      </c>
      <c r="CI150" s="58">
        <f t="shared" si="740"/>
        <v>51049</v>
      </c>
      <c r="CJ150" s="58">
        <f t="shared" si="740"/>
        <v>48861.5</v>
      </c>
      <c r="CK150" s="58">
        <f t="shared" si="740"/>
        <v>49492</v>
      </c>
      <c r="CL150" s="58">
        <f t="shared" si="740"/>
        <v>49492</v>
      </c>
      <c r="CM150" s="58">
        <f t="shared" si="740"/>
        <v>54356.5</v>
      </c>
      <c r="CN150" s="58">
        <f t="shared" si="740"/>
        <v>69920</v>
      </c>
      <c r="CO150" s="58">
        <f t="shared" si="740"/>
        <v>56132</v>
      </c>
      <c r="CP150" s="58">
        <f t="shared" si="740"/>
        <v>109920</v>
      </c>
      <c r="CQ150" s="58">
        <f t="shared" si="740"/>
        <v>58021.5</v>
      </c>
      <c r="CR150" s="58">
        <f t="shared" si="740"/>
        <v>71906</v>
      </c>
      <c r="CS150" s="58">
        <f t="shared" si="740"/>
        <v>738885.5</v>
      </c>
      <c r="CT150" s="20" t="str">
        <f t="shared" si="675"/>
        <v>"Outside sourced services</v>
      </c>
      <c r="CU150" s="58">
        <f t="shared" ref="CU150:DG150" si="741">+SUM(CU151:CU154)</f>
        <v>58652</v>
      </c>
      <c r="CV150" s="58">
        <f t="shared" si="741"/>
        <v>58879.5</v>
      </c>
      <c r="CW150" s="58">
        <f t="shared" si="741"/>
        <v>58959.5</v>
      </c>
      <c r="CX150" s="58">
        <f t="shared" si="741"/>
        <v>60143.5</v>
      </c>
      <c r="CY150" s="58">
        <f t="shared" si="741"/>
        <v>60822.5</v>
      </c>
      <c r="CZ150" s="58">
        <f t="shared" si="741"/>
        <v>63116.5</v>
      </c>
      <c r="DA150" s="58">
        <f t="shared" si="741"/>
        <v>71558.5</v>
      </c>
      <c r="DB150" s="58">
        <f t="shared" si="741"/>
        <v>63458</v>
      </c>
      <c r="DC150" s="58">
        <f t="shared" si="741"/>
        <v>88027</v>
      </c>
      <c r="DD150" s="58">
        <f t="shared" si="741"/>
        <v>62105</v>
      </c>
      <c r="DE150" s="58">
        <f t="shared" si="741"/>
        <v>0</v>
      </c>
      <c r="DF150" s="58">
        <f t="shared" si="741"/>
        <v>0</v>
      </c>
      <c r="DG150" s="58">
        <f t="shared" si="741"/>
        <v>645722</v>
      </c>
      <c r="DH150" s="118"/>
      <c r="DI150" s="58">
        <f t="shared" ref="DI150:DU150" si="742">+SUM(DI151:DI154)</f>
        <v>53700.100000000006</v>
      </c>
      <c r="DJ150" s="58">
        <f t="shared" si="742"/>
        <v>53700.100000000006</v>
      </c>
      <c r="DK150" s="58">
        <f t="shared" si="742"/>
        <v>53700.100000000006</v>
      </c>
      <c r="DL150" s="58">
        <f t="shared" si="742"/>
        <v>53700.100000000006</v>
      </c>
      <c r="DM150" s="58">
        <f t="shared" si="742"/>
        <v>53700.100000000006</v>
      </c>
      <c r="DN150" s="58">
        <f t="shared" si="742"/>
        <v>53700.100000000006</v>
      </c>
      <c r="DO150" s="58">
        <f t="shared" si="742"/>
        <v>53700.100000000006</v>
      </c>
      <c r="DP150" s="58">
        <f t="shared" si="742"/>
        <v>53700.100000000006</v>
      </c>
      <c r="DQ150" s="58">
        <f t="shared" si="742"/>
        <v>53700.100000000006</v>
      </c>
      <c r="DR150" s="58">
        <f t="shared" si="742"/>
        <v>53700.100000000006</v>
      </c>
      <c r="DS150" s="58">
        <f t="shared" si="742"/>
        <v>53700.100000000006</v>
      </c>
      <c r="DT150" s="58">
        <f t="shared" si="742"/>
        <v>53700.100000000006</v>
      </c>
      <c r="DU150" s="58">
        <f t="shared" si="742"/>
        <v>644401.19999999995</v>
      </c>
      <c r="DV150" s="106"/>
      <c r="DW150" s="58">
        <f t="shared" ref="DW150:EI150" si="743">+SUM(DW151:DW154)</f>
        <v>0</v>
      </c>
      <c r="DX150" s="58">
        <f t="shared" si="743"/>
        <v>0</v>
      </c>
      <c r="DY150" s="58">
        <f t="shared" si="743"/>
        <v>0</v>
      </c>
      <c r="DZ150" s="58">
        <f t="shared" si="743"/>
        <v>0</v>
      </c>
      <c r="EA150" s="58">
        <f t="shared" si="743"/>
        <v>0</v>
      </c>
      <c r="EB150" s="58">
        <f t="shared" si="743"/>
        <v>0</v>
      </c>
      <c r="EC150" s="58">
        <f t="shared" si="743"/>
        <v>0</v>
      </c>
      <c r="ED150" s="58">
        <f t="shared" si="743"/>
        <v>0</v>
      </c>
      <c r="EE150" s="58">
        <f t="shared" si="743"/>
        <v>0</v>
      </c>
      <c r="EF150" s="58">
        <f t="shared" si="743"/>
        <v>0</v>
      </c>
      <c r="EG150" s="58">
        <f t="shared" si="743"/>
        <v>0</v>
      </c>
      <c r="EH150" s="58">
        <f t="shared" si="743"/>
        <v>0</v>
      </c>
      <c r="EI150" s="58">
        <f t="shared" si="743"/>
        <v>0</v>
      </c>
      <c r="EJ150" s="20" t="str">
        <f t="shared" si="681"/>
        <v>"Outside sourced services</v>
      </c>
      <c r="EK150" s="58">
        <f t="shared" ref="EK150:EW150" si="744">+SUM(EK151:EK154)</f>
        <v>91196</v>
      </c>
      <c r="EL150" s="58">
        <f t="shared" si="744"/>
        <v>82098</v>
      </c>
      <c r="EM150" s="58">
        <f t="shared" si="744"/>
        <v>102629</v>
      </c>
      <c r="EN150" s="58">
        <f t="shared" si="744"/>
        <v>105898</v>
      </c>
      <c r="EO150" s="58">
        <f t="shared" si="744"/>
        <v>107711</v>
      </c>
      <c r="EP150" s="58">
        <f t="shared" si="744"/>
        <v>131785</v>
      </c>
      <c r="EQ150" s="58">
        <f t="shared" si="744"/>
        <v>82224.2</v>
      </c>
      <c r="ER150" s="58">
        <f t="shared" si="744"/>
        <v>115554</v>
      </c>
      <c r="ES150" s="58">
        <f t="shared" si="744"/>
        <v>119034</v>
      </c>
      <c r="ET150" s="58">
        <f t="shared" si="744"/>
        <v>125094</v>
      </c>
      <c r="EU150" s="58">
        <f t="shared" si="744"/>
        <v>0</v>
      </c>
      <c r="EV150" s="58">
        <f t="shared" si="744"/>
        <v>0</v>
      </c>
      <c r="EW150" s="58">
        <f t="shared" si="744"/>
        <v>1063223.2</v>
      </c>
      <c r="EX150" s="118"/>
      <c r="EY150" s="58">
        <f t="shared" ref="EY150:FK150" si="745">+SUM(EY151:EY154)</f>
        <v>109461</v>
      </c>
      <c r="EZ150" s="58">
        <f t="shared" si="745"/>
        <v>109461</v>
      </c>
      <c r="FA150" s="58">
        <f t="shared" si="745"/>
        <v>109461</v>
      </c>
      <c r="FB150" s="58">
        <f t="shared" si="745"/>
        <v>109461</v>
      </c>
      <c r="FC150" s="58">
        <f t="shared" si="745"/>
        <v>109461</v>
      </c>
      <c r="FD150" s="58">
        <f t="shared" si="745"/>
        <v>109461</v>
      </c>
      <c r="FE150" s="58">
        <f t="shared" si="745"/>
        <v>109461</v>
      </c>
      <c r="FF150" s="58">
        <f t="shared" si="745"/>
        <v>109461</v>
      </c>
      <c r="FG150" s="58">
        <f t="shared" si="745"/>
        <v>109461</v>
      </c>
      <c r="FH150" s="58">
        <f t="shared" si="745"/>
        <v>109461</v>
      </c>
      <c r="FI150" s="58">
        <f t="shared" si="745"/>
        <v>109461</v>
      </c>
      <c r="FJ150" s="58">
        <f t="shared" si="745"/>
        <v>109461</v>
      </c>
      <c r="FK150" s="58">
        <f t="shared" si="745"/>
        <v>1313532</v>
      </c>
    </row>
    <row r="151" spans="1:167" ht="14.45" hidden="1" customHeight="1" outlineLevel="2">
      <c r="A151" s="106">
        <f t="shared" si="638"/>
        <v>110324.00000000001</v>
      </c>
      <c r="B151" s="106">
        <f t="shared" si="638"/>
        <v>107239</v>
      </c>
      <c r="C151" s="106">
        <f t="shared" si="638"/>
        <v>113901.5</v>
      </c>
      <c r="D151" s="106">
        <f t="shared" si="638"/>
        <v>102107</v>
      </c>
      <c r="E151" s="106">
        <f t="shared" si="638"/>
        <v>117874.5</v>
      </c>
      <c r="F151" s="106">
        <f t="shared" si="638"/>
        <v>117874.5</v>
      </c>
      <c r="G151" s="106">
        <f t="shared" si="638"/>
        <v>113130</v>
      </c>
      <c r="H151" s="106">
        <f t="shared" si="638"/>
        <v>109660.5</v>
      </c>
      <c r="I151" s="106">
        <f t="shared" si="638"/>
        <v>139059.5</v>
      </c>
      <c r="J151" s="106">
        <f t="shared" si="638"/>
        <v>263794.5</v>
      </c>
      <c r="K151" s="106">
        <f t="shared" si="638"/>
        <v>123613</v>
      </c>
      <c r="L151" s="106">
        <f t="shared" si="638"/>
        <v>120983.5</v>
      </c>
      <c r="M151" s="106">
        <f t="shared" ref="M151:M154" si="746">+SUM(A151:L151)</f>
        <v>1539561.5</v>
      </c>
      <c r="N151" s="16" t="s">
        <v>126</v>
      </c>
      <c r="O151" s="106">
        <f t="shared" ref="O151:Z154" si="747">+BE151+CU151+EK151</f>
        <v>188966.5</v>
      </c>
      <c r="P151" s="106">
        <f t="shared" si="747"/>
        <v>188238</v>
      </c>
      <c r="Q151" s="106">
        <f t="shared" si="747"/>
        <v>208689</v>
      </c>
      <c r="R151" s="106">
        <f t="shared" si="747"/>
        <v>207862</v>
      </c>
      <c r="S151" s="106">
        <f t="shared" si="747"/>
        <v>204315</v>
      </c>
      <c r="T151" s="106">
        <f t="shared" si="747"/>
        <v>208397</v>
      </c>
      <c r="U151" s="106">
        <f t="shared" si="747"/>
        <v>203074</v>
      </c>
      <c r="V151" s="106">
        <f t="shared" si="747"/>
        <v>211724.5</v>
      </c>
      <c r="W151" s="106">
        <f t="shared" si="747"/>
        <v>210494.5</v>
      </c>
      <c r="X151" s="106">
        <f t="shared" si="747"/>
        <v>242428.5</v>
      </c>
      <c r="Y151" s="106">
        <f t="shared" si="747"/>
        <v>0</v>
      </c>
      <c r="Z151" s="106">
        <f t="shared" si="747"/>
        <v>0</v>
      </c>
      <c r="AA151" s="106">
        <f t="shared" ref="AA151:AA154" si="748">+SUM(O151:Z151)</f>
        <v>2074189</v>
      </c>
      <c r="AB151" s="118"/>
      <c r="AC151" s="106">
        <f t="shared" ref="AC151:AN154" si="749">+BS151+DI151+EY151</f>
        <v>178350.73749999999</v>
      </c>
      <c r="AD151" s="106">
        <f t="shared" si="749"/>
        <v>178350.73749999999</v>
      </c>
      <c r="AE151" s="106">
        <f t="shared" si="749"/>
        <v>178350.73749999999</v>
      </c>
      <c r="AF151" s="106">
        <f t="shared" si="749"/>
        <v>178350.73749999999</v>
      </c>
      <c r="AG151" s="106">
        <f t="shared" si="749"/>
        <v>178350.73749999999</v>
      </c>
      <c r="AH151" s="106">
        <f t="shared" si="749"/>
        <v>178350.73749999999</v>
      </c>
      <c r="AI151" s="106">
        <f t="shared" si="749"/>
        <v>178350.73749999999</v>
      </c>
      <c r="AJ151" s="106">
        <f t="shared" si="749"/>
        <v>178350.73749999999</v>
      </c>
      <c r="AK151" s="106">
        <f t="shared" si="749"/>
        <v>178350.73749999999</v>
      </c>
      <c r="AL151" s="106">
        <f t="shared" si="749"/>
        <v>178350.73749999999</v>
      </c>
      <c r="AM151" s="106">
        <f t="shared" si="749"/>
        <v>178350.73749999999</v>
      </c>
      <c r="AN151" s="106">
        <f t="shared" si="749"/>
        <v>178350.73749999999</v>
      </c>
      <c r="AO151" s="106">
        <f t="shared" ref="AO151:AO154" si="750">+SUM(AC151:AN151)</f>
        <v>2140208.85</v>
      </c>
      <c r="AP151" s="106"/>
      <c r="AQ151" s="106">
        <f>+PMGR!AQ151+BP!AQ151</f>
        <v>80475.000000000015</v>
      </c>
      <c r="AR151" s="106">
        <f>+PMGR!AR151+BP!AR151</f>
        <v>77483</v>
      </c>
      <c r="AS151" s="106">
        <f>+PMGR!AS151+BP!AS151</f>
        <v>82165</v>
      </c>
      <c r="AT151" s="106">
        <f>+PMGR!AT151+BP!AT151</f>
        <v>72408</v>
      </c>
      <c r="AU151" s="106">
        <f>+PMGR!AU151+BP!AU151</f>
        <v>87545</v>
      </c>
      <c r="AV151" s="106">
        <f>+PMGR!AV151+BP!AV151</f>
        <v>87545</v>
      </c>
      <c r="AW151" s="106">
        <f>+PMGR!AW151+BP!AW151</f>
        <v>77986</v>
      </c>
      <c r="AX151" s="106">
        <f>+PMGR!AX151+BP!AX151</f>
        <v>76303</v>
      </c>
      <c r="AY151" s="106">
        <f>+PMGR!AY151+BP!AY151</f>
        <v>102090</v>
      </c>
      <c r="AZ151" s="106">
        <f>+PMGR!AZ151+BP!AZ151</f>
        <v>173087</v>
      </c>
      <c r="BA151" s="106">
        <f>+PMGR!BA151+BP!BA151</f>
        <v>84754</v>
      </c>
      <c r="BB151" s="106">
        <f>+PMGR!BB151+BP!BB151</f>
        <v>82590</v>
      </c>
      <c r="BC151" s="106">
        <f t="shared" ref="BC151:BC154" si="751">+SUM(AQ151:BB151)</f>
        <v>1084431</v>
      </c>
      <c r="BD151" s="16" t="str">
        <f t="shared" si="671"/>
        <v>Cleaning Service</v>
      </c>
      <c r="BE151" s="106">
        <f>+PMGR!BE151+BP!BE151</f>
        <v>82660</v>
      </c>
      <c r="BF151" s="106">
        <f>+PMGR!BF151+BP!BF151</f>
        <v>87802</v>
      </c>
      <c r="BG151" s="106">
        <f>+PMGR!BG151+BP!BG151</f>
        <v>87642</v>
      </c>
      <c r="BH151" s="106">
        <f>+PMGR!BH151+BP!BH151</f>
        <v>85937</v>
      </c>
      <c r="BI151" s="106">
        <f>+PMGR!BI151+BP!BI151</f>
        <v>83823</v>
      </c>
      <c r="BJ151" s="106">
        <f>+PMGR!BJ151+BP!BJ151</f>
        <v>87537</v>
      </c>
      <c r="BK151" s="106">
        <f>+PMGR!BK151+BP!BK151</f>
        <v>112832.8</v>
      </c>
      <c r="BL151" s="106">
        <f>+PMGR!BL151+BP!BL151</f>
        <v>90754</v>
      </c>
      <c r="BM151" s="106">
        <f>+PMGR!BM151+BP!BM151</f>
        <v>90475</v>
      </c>
      <c r="BN151" s="106">
        <f>+PMGR!BN151+BP!BN151</f>
        <v>117971</v>
      </c>
      <c r="BO151" s="106">
        <f>+PMGR!BO151+BP!BO151</f>
        <v>0</v>
      </c>
      <c r="BP151" s="106">
        <f>+PMGR!BP151+BP!BP151</f>
        <v>0</v>
      </c>
      <c r="BQ151" s="106">
        <f t="shared" ref="BQ151:BQ154" si="752">+SUM(BE151:BP151)</f>
        <v>927433.8</v>
      </c>
      <c r="BR151" s="118"/>
      <c r="BS151" s="106">
        <f>+PMGR!BS151+BP!BS151</f>
        <v>81131.137499999997</v>
      </c>
      <c r="BT151" s="106">
        <f>+PMGR!BT151+BP!BT151</f>
        <v>81131.137499999997</v>
      </c>
      <c r="BU151" s="106">
        <f>+PMGR!BU151+BP!BU151</f>
        <v>81131.137499999997</v>
      </c>
      <c r="BV151" s="106">
        <f>+PMGR!BV151+BP!BV151</f>
        <v>81131.137499999997</v>
      </c>
      <c r="BW151" s="106">
        <f>+PMGR!BW151+BP!BW151</f>
        <v>81131.137499999997</v>
      </c>
      <c r="BX151" s="106">
        <f>+PMGR!BX151+BP!BX151</f>
        <v>81131.137499999997</v>
      </c>
      <c r="BY151" s="106">
        <f>+PMGR!BY151+BP!BY151</f>
        <v>81131.137499999997</v>
      </c>
      <c r="BZ151" s="106">
        <f>+PMGR!BZ151+BP!BZ151</f>
        <v>81131.137499999997</v>
      </c>
      <c r="CA151" s="106">
        <f>+PMGR!CA151+BP!CA151</f>
        <v>81131.137499999997</v>
      </c>
      <c r="CB151" s="106">
        <f>+PMGR!CB151+BP!CB151</f>
        <v>81131.137499999997</v>
      </c>
      <c r="CC151" s="106">
        <f>+PMGR!CC151+BP!CC151</f>
        <v>81131.137499999997</v>
      </c>
      <c r="CD151" s="106">
        <f>+PMGR!CD151+BP!CD151</f>
        <v>81131.137499999997</v>
      </c>
      <c r="CE151" s="106">
        <f t="shared" ref="CE151:CE154" si="753">+SUM(BS151:CD151)</f>
        <v>973573.64999999979</v>
      </c>
      <c r="CF151" s="106"/>
      <c r="CG151" s="106">
        <f>+PMGR!CG151+BP!CG151</f>
        <v>29849</v>
      </c>
      <c r="CH151" s="106">
        <f>+PMGR!CH151+BP!CH151</f>
        <v>29756</v>
      </c>
      <c r="CI151" s="106">
        <f>+PMGR!CI151+BP!CI151</f>
        <v>31736.5</v>
      </c>
      <c r="CJ151" s="106">
        <f>+PMGR!CJ151+BP!CJ151</f>
        <v>29699</v>
      </c>
      <c r="CK151" s="106">
        <f>+PMGR!CK151+BP!CK151</f>
        <v>30329.5</v>
      </c>
      <c r="CL151" s="106">
        <f>+PMGR!CL151+BP!CL151</f>
        <v>30329.5</v>
      </c>
      <c r="CM151" s="106">
        <f>+PMGR!CM151+BP!CM151</f>
        <v>35144</v>
      </c>
      <c r="CN151" s="106">
        <f>+PMGR!CN151+BP!CN151</f>
        <v>33357.5</v>
      </c>
      <c r="CO151" s="106">
        <f>+PMGR!CO151+BP!CO151</f>
        <v>36969.5</v>
      </c>
      <c r="CP151" s="106">
        <f>+PMGR!CP151+BP!CP151</f>
        <v>90707.5</v>
      </c>
      <c r="CQ151" s="106">
        <f>+PMGR!CQ151+BP!CQ151</f>
        <v>38859</v>
      </c>
      <c r="CR151" s="106">
        <f>+PMGR!CR151+BP!CR151</f>
        <v>38393.5</v>
      </c>
      <c r="CS151" s="106">
        <f t="shared" ref="CS151:CS154" si="754">+SUM(CG151:CR151)</f>
        <v>455130.5</v>
      </c>
      <c r="CT151" s="16" t="str">
        <f t="shared" si="675"/>
        <v>Cleaning Service</v>
      </c>
      <c r="CU151" s="106">
        <f>+PMGR!CU151+BP!CU151</f>
        <v>39371.5</v>
      </c>
      <c r="CV151" s="106">
        <f>+PMGR!CV151+BP!CV151</f>
        <v>39599</v>
      </c>
      <c r="CW151" s="106">
        <f>+PMGR!CW151+BP!CW151</f>
        <v>39679</v>
      </c>
      <c r="CX151" s="106">
        <f>+PMGR!CX151+BP!CX151</f>
        <v>39288</v>
      </c>
      <c r="CY151" s="106">
        <f>+PMGR!CY151+BP!CY151</f>
        <v>40042</v>
      </c>
      <c r="CZ151" s="106">
        <f>+PMGR!CZ151+BP!CZ151</f>
        <v>42336</v>
      </c>
      <c r="DA151" s="106">
        <f>+PMGR!DA151+BP!DA151</f>
        <v>50778</v>
      </c>
      <c r="DB151" s="106">
        <f>+PMGR!DB151+BP!DB151</f>
        <v>42677.5</v>
      </c>
      <c r="DC151" s="106">
        <f>+PMGR!DC151+BP!DC151</f>
        <v>41246.5</v>
      </c>
      <c r="DD151" s="106">
        <f>+PMGR!DD151+BP!DD151</f>
        <v>41324.5</v>
      </c>
      <c r="DE151" s="106">
        <f>+PMGR!DE151+BP!DE151</f>
        <v>0</v>
      </c>
      <c r="DF151" s="106">
        <f>+PMGR!DF151+BP!DF151</f>
        <v>0</v>
      </c>
      <c r="DG151" s="106">
        <f t="shared" ref="DG151:DG154" si="755">+SUM(CU151:DF151)</f>
        <v>416342</v>
      </c>
      <c r="DH151" s="118"/>
      <c r="DI151" s="106">
        <f>+PMGR!DI151+BP!DI151</f>
        <v>32219.600000000002</v>
      </c>
      <c r="DJ151" s="106">
        <f>+PMGR!DJ151+BP!DJ151</f>
        <v>32219.600000000002</v>
      </c>
      <c r="DK151" s="106">
        <f>+PMGR!DK151+BP!DK151</f>
        <v>32219.600000000002</v>
      </c>
      <c r="DL151" s="106">
        <f>+PMGR!DL151+BP!DL151</f>
        <v>32219.600000000002</v>
      </c>
      <c r="DM151" s="106">
        <f>+PMGR!DM151+BP!DM151</f>
        <v>32219.600000000002</v>
      </c>
      <c r="DN151" s="106">
        <f>+PMGR!DN151+BP!DN151</f>
        <v>32219.600000000002</v>
      </c>
      <c r="DO151" s="106">
        <f>+PMGR!DO151+BP!DO151</f>
        <v>32219.600000000002</v>
      </c>
      <c r="DP151" s="106">
        <f>+PMGR!DP151+BP!DP151</f>
        <v>32219.600000000002</v>
      </c>
      <c r="DQ151" s="106">
        <f>+PMGR!DQ151+BP!DQ151</f>
        <v>32219.600000000002</v>
      </c>
      <c r="DR151" s="106">
        <f>+PMGR!DR151+BP!DR151</f>
        <v>32219.600000000002</v>
      </c>
      <c r="DS151" s="106">
        <f>+PMGR!DS151+BP!DS151</f>
        <v>32219.600000000002</v>
      </c>
      <c r="DT151" s="106">
        <f>+PMGR!DT151+BP!DT151</f>
        <v>32219.600000000002</v>
      </c>
      <c r="DU151" s="106">
        <f t="shared" ref="DU151:DU154" si="756">+SUM(DI151:DT151)</f>
        <v>386635.19999999995</v>
      </c>
      <c r="DV151" s="106"/>
      <c r="DW151" s="106">
        <f>+PMGR!DW151+BP!DW151</f>
        <v>0</v>
      </c>
      <c r="DX151" s="106">
        <f>+PMGR!DX151+BP!DX151</f>
        <v>0</v>
      </c>
      <c r="DY151" s="106">
        <f>+PMGR!DY151+BP!DY151</f>
        <v>0</v>
      </c>
      <c r="DZ151" s="106">
        <f>+PMGR!DZ151+BP!DZ151</f>
        <v>0</v>
      </c>
      <c r="EA151" s="106">
        <f>+PMGR!EA151+BP!EA151</f>
        <v>0</v>
      </c>
      <c r="EB151" s="106">
        <f>+PMGR!EB151+BP!EB151</f>
        <v>0</v>
      </c>
      <c r="EC151" s="106">
        <f>+PMGR!EC151+BP!EC151</f>
        <v>0</v>
      </c>
      <c r="ED151" s="106">
        <f>+PMGR!ED151+BP!ED151</f>
        <v>0</v>
      </c>
      <c r="EE151" s="106">
        <f>+PMGR!EE151+BP!EE151</f>
        <v>0</v>
      </c>
      <c r="EF151" s="106">
        <f>+PMGR!EF151+BP!EF151</f>
        <v>0</v>
      </c>
      <c r="EG151" s="106">
        <f>+PMGR!EG151+BP!EG151</f>
        <v>0</v>
      </c>
      <c r="EH151" s="106">
        <f>+PMGR!EH151+BP!EH151</f>
        <v>0</v>
      </c>
      <c r="EI151" s="106">
        <f t="shared" ref="EI151:EI154" si="757">+SUM(DW151:EH151)</f>
        <v>0</v>
      </c>
      <c r="EJ151" s="16" t="str">
        <f t="shared" si="681"/>
        <v>Cleaning Service</v>
      </c>
      <c r="EK151" s="106">
        <f>+PMGR!EK151+BP!EK151</f>
        <v>66935</v>
      </c>
      <c r="EL151" s="106">
        <f>+PMGR!EL151+BP!EL151</f>
        <v>60837</v>
      </c>
      <c r="EM151" s="106">
        <f>+PMGR!EM151+BP!EM151</f>
        <v>81368</v>
      </c>
      <c r="EN151" s="106">
        <f>+PMGR!EN151+BP!EN151</f>
        <v>82637</v>
      </c>
      <c r="EO151" s="106">
        <f>+PMGR!EO151+BP!EO151</f>
        <v>80450</v>
      </c>
      <c r="EP151" s="106">
        <f>+PMGR!EP151+BP!EP151</f>
        <v>78524</v>
      </c>
      <c r="EQ151" s="106">
        <f>+PMGR!EQ151+BP!EQ151</f>
        <v>39463.199999999997</v>
      </c>
      <c r="ER151" s="106">
        <f>+PMGR!ER151+BP!ER151</f>
        <v>78293</v>
      </c>
      <c r="ES151" s="106">
        <f>+PMGR!ES151+BP!ES151</f>
        <v>78773</v>
      </c>
      <c r="ET151" s="106">
        <f>+PMGR!ET151+BP!ET151</f>
        <v>83133</v>
      </c>
      <c r="EU151" s="106">
        <f>+PMGR!EU151+BP!EU151</f>
        <v>0</v>
      </c>
      <c r="EV151" s="106">
        <f>+PMGR!EV151+BP!EV151</f>
        <v>0</v>
      </c>
      <c r="EW151" s="106">
        <f t="shared" ref="EW151:EW154" si="758">+SUM(EK151:EV151)</f>
        <v>730413.2</v>
      </c>
      <c r="EX151" s="118"/>
      <c r="EY151" s="106">
        <f>+PMGR!EY151+BP!EY151</f>
        <v>65000</v>
      </c>
      <c r="EZ151" s="106">
        <f>+PMGR!EZ151+BP!EZ151</f>
        <v>65000</v>
      </c>
      <c r="FA151" s="106">
        <f>+PMGR!FA151+BP!FA151</f>
        <v>65000</v>
      </c>
      <c r="FB151" s="106">
        <f>+PMGR!FB151+BP!FB151</f>
        <v>65000</v>
      </c>
      <c r="FC151" s="106">
        <f>+PMGR!FC151+BP!FC151</f>
        <v>65000</v>
      </c>
      <c r="FD151" s="106">
        <f>+PMGR!FD151+BP!FD151</f>
        <v>65000</v>
      </c>
      <c r="FE151" s="106">
        <f>+PMGR!FE151+BP!FE151</f>
        <v>65000</v>
      </c>
      <c r="FF151" s="106">
        <f>+PMGR!FF151+BP!FF151</f>
        <v>65000</v>
      </c>
      <c r="FG151" s="106">
        <f>+PMGR!FG151+BP!FG151</f>
        <v>65000</v>
      </c>
      <c r="FH151" s="106">
        <f>+PMGR!FH151+BP!FH151</f>
        <v>65000</v>
      </c>
      <c r="FI151" s="106">
        <f>+PMGR!FI151+BP!FI151</f>
        <v>65000</v>
      </c>
      <c r="FJ151" s="106">
        <f>+PMGR!FJ151+BP!FJ151</f>
        <v>65000</v>
      </c>
      <c r="FK151" s="106">
        <f t="shared" ref="FK151:FK154" si="759">+SUM(EY151:FJ151)</f>
        <v>780000</v>
      </c>
    </row>
    <row r="152" spans="1:167" ht="14.45" hidden="1" customHeight="1" outlineLevel="2">
      <c r="A152" s="106">
        <f t="shared" si="638"/>
        <v>11812.5</v>
      </c>
      <c r="B152" s="106">
        <f t="shared" si="638"/>
        <v>11812.5</v>
      </c>
      <c r="C152" s="106">
        <f t="shared" si="638"/>
        <v>11812.5</v>
      </c>
      <c r="D152" s="106">
        <f t="shared" si="638"/>
        <v>11812.5</v>
      </c>
      <c r="E152" s="106">
        <f t="shared" si="638"/>
        <v>11812.5</v>
      </c>
      <c r="F152" s="106">
        <f t="shared" si="638"/>
        <v>11812.5</v>
      </c>
      <c r="G152" s="106">
        <f t="shared" si="638"/>
        <v>11812.5</v>
      </c>
      <c r="H152" s="106">
        <f t="shared" si="638"/>
        <v>11812.5</v>
      </c>
      <c r="I152" s="106">
        <f t="shared" si="638"/>
        <v>11812.5</v>
      </c>
      <c r="J152" s="106">
        <f t="shared" si="638"/>
        <v>11812.5</v>
      </c>
      <c r="K152" s="106">
        <f t="shared" si="638"/>
        <v>11812.5</v>
      </c>
      <c r="L152" s="106">
        <f t="shared" si="638"/>
        <v>11812.5</v>
      </c>
      <c r="M152" s="106">
        <f t="shared" si="746"/>
        <v>141750</v>
      </c>
      <c r="N152" s="16" t="s">
        <v>229</v>
      </c>
      <c r="O152" s="106">
        <f t="shared" si="747"/>
        <v>17363.5</v>
      </c>
      <c r="P152" s="106">
        <f t="shared" si="747"/>
        <v>12402.5</v>
      </c>
      <c r="Q152" s="106">
        <f t="shared" si="747"/>
        <v>17363.5</v>
      </c>
      <c r="R152" s="106">
        <f t="shared" si="747"/>
        <v>17363.5</v>
      </c>
      <c r="S152" s="106">
        <f t="shared" si="747"/>
        <v>17363.5</v>
      </c>
      <c r="T152" s="106">
        <f t="shared" si="747"/>
        <v>17363.5</v>
      </c>
      <c r="U152" s="106">
        <f t="shared" si="747"/>
        <v>17363.5</v>
      </c>
      <c r="V152" s="106">
        <f t="shared" si="747"/>
        <v>17363.5</v>
      </c>
      <c r="W152" s="106">
        <f t="shared" si="747"/>
        <v>17363.5</v>
      </c>
      <c r="X152" s="106">
        <f t="shared" si="747"/>
        <v>17363.5</v>
      </c>
      <c r="Y152" s="106">
        <f t="shared" si="747"/>
        <v>0</v>
      </c>
      <c r="Z152" s="106">
        <f t="shared" si="747"/>
        <v>0</v>
      </c>
      <c r="AA152" s="106">
        <f t="shared" si="748"/>
        <v>168674</v>
      </c>
      <c r="AB152" s="118"/>
      <c r="AC152" s="106">
        <f t="shared" si="749"/>
        <v>17363.5</v>
      </c>
      <c r="AD152" s="106">
        <f t="shared" si="749"/>
        <v>17363.5</v>
      </c>
      <c r="AE152" s="106">
        <f t="shared" si="749"/>
        <v>17363.5</v>
      </c>
      <c r="AF152" s="106">
        <f t="shared" si="749"/>
        <v>17363.5</v>
      </c>
      <c r="AG152" s="106">
        <f t="shared" si="749"/>
        <v>17363.5</v>
      </c>
      <c r="AH152" s="106">
        <f t="shared" si="749"/>
        <v>17363.5</v>
      </c>
      <c r="AI152" s="106">
        <f t="shared" si="749"/>
        <v>17363.5</v>
      </c>
      <c r="AJ152" s="106">
        <f t="shared" si="749"/>
        <v>17363.5</v>
      </c>
      <c r="AK152" s="106">
        <f t="shared" si="749"/>
        <v>17363.5</v>
      </c>
      <c r="AL152" s="106">
        <f t="shared" si="749"/>
        <v>17363.5</v>
      </c>
      <c r="AM152" s="106">
        <f t="shared" si="749"/>
        <v>17363.5</v>
      </c>
      <c r="AN152" s="106">
        <f t="shared" si="749"/>
        <v>17363.5</v>
      </c>
      <c r="AO152" s="106">
        <f t="shared" si="750"/>
        <v>208362</v>
      </c>
      <c r="AP152" s="106"/>
      <c r="AQ152" s="106">
        <f>+PMGR!AQ152+BP!AQ152</f>
        <v>9450</v>
      </c>
      <c r="AR152" s="106">
        <f>+PMGR!AR152+BP!AR152</f>
        <v>9450</v>
      </c>
      <c r="AS152" s="106">
        <f>+PMGR!AS152+BP!AS152</f>
        <v>9450</v>
      </c>
      <c r="AT152" s="106">
        <f>+PMGR!AT152+BP!AT152</f>
        <v>9450</v>
      </c>
      <c r="AU152" s="106">
        <f>+PMGR!AU152+BP!AU152</f>
        <v>9450</v>
      </c>
      <c r="AV152" s="106">
        <f>+PMGR!AV152+BP!AV152</f>
        <v>9450</v>
      </c>
      <c r="AW152" s="106">
        <f>+PMGR!AW152+BP!AW152</f>
        <v>9450</v>
      </c>
      <c r="AX152" s="106">
        <f>+PMGR!AX152+BP!AX152</f>
        <v>9450</v>
      </c>
      <c r="AY152" s="106">
        <f>+PMGR!AY152+BP!AY152</f>
        <v>9450</v>
      </c>
      <c r="AZ152" s="106">
        <f>+PMGR!AZ152+BP!AZ152</f>
        <v>9450</v>
      </c>
      <c r="BA152" s="106">
        <f>+PMGR!BA152+BP!BA152</f>
        <v>9450</v>
      </c>
      <c r="BB152" s="106">
        <f>+PMGR!BB152+BP!BB152</f>
        <v>9450</v>
      </c>
      <c r="BC152" s="106">
        <f t="shared" si="751"/>
        <v>113400</v>
      </c>
      <c r="BD152" s="16" t="str">
        <f t="shared" si="671"/>
        <v>Pest Contol</v>
      </c>
      <c r="BE152" s="106">
        <f>+PMGR!BE152+BP!BE152</f>
        <v>9922</v>
      </c>
      <c r="BF152" s="106">
        <f>+PMGR!BF152+BP!BF152</f>
        <v>4961</v>
      </c>
      <c r="BG152" s="106">
        <f>+PMGR!BG152+BP!BG152</f>
        <v>9922</v>
      </c>
      <c r="BH152" s="106">
        <f>+PMGR!BH152+BP!BH152</f>
        <v>9922</v>
      </c>
      <c r="BI152" s="106">
        <f>+PMGR!BI152+BP!BI152</f>
        <v>9922</v>
      </c>
      <c r="BJ152" s="106">
        <f>+PMGR!BJ152+BP!BJ152</f>
        <v>9922</v>
      </c>
      <c r="BK152" s="106">
        <f>+PMGR!BK152+BP!BK152</f>
        <v>9922</v>
      </c>
      <c r="BL152" s="106">
        <f>+PMGR!BL152+BP!BL152</f>
        <v>9922</v>
      </c>
      <c r="BM152" s="106">
        <f>+PMGR!BM152+BP!BM152</f>
        <v>9922</v>
      </c>
      <c r="BN152" s="106">
        <f>+PMGR!BN152+BP!BN152</f>
        <v>9922</v>
      </c>
      <c r="BO152" s="106">
        <f>+PMGR!BO152+BP!BO152</f>
        <v>0</v>
      </c>
      <c r="BP152" s="106">
        <f>+PMGR!BP152+BP!BP152</f>
        <v>0</v>
      </c>
      <c r="BQ152" s="106">
        <f t="shared" si="752"/>
        <v>94259</v>
      </c>
      <c r="BR152" s="118"/>
      <c r="BS152" s="106">
        <f>+PMGR!BS152+BP!BS152</f>
        <v>9922</v>
      </c>
      <c r="BT152" s="106">
        <f>+PMGR!BT152+BP!BT152</f>
        <v>9922</v>
      </c>
      <c r="BU152" s="106">
        <f>+PMGR!BU152+BP!BU152</f>
        <v>9922</v>
      </c>
      <c r="BV152" s="106">
        <f>+PMGR!BV152+BP!BV152</f>
        <v>9922</v>
      </c>
      <c r="BW152" s="106">
        <f>+PMGR!BW152+BP!BW152</f>
        <v>9922</v>
      </c>
      <c r="BX152" s="106">
        <f>+PMGR!BX152+BP!BX152</f>
        <v>9922</v>
      </c>
      <c r="BY152" s="106">
        <f>+PMGR!BY152+BP!BY152</f>
        <v>9922</v>
      </c>
      <c r="BZ152" s="106">
        <f>+PMGR!BZ152+BP!BZ152</f>
        <v>9922</v>
      </c>
      <c r="CA152" s="106">
        <f>+PMGR!CA152+BP!CA152</f>
        <v>9922</v>
      </c>
      <c r="CB152" s="106">
        <f>+PMGR!CB152+BP!CB152</f>
        <v>9922</v>
      </c>
      <c r="CC152" s="106">
        <f>+PMGR!CC152+BP!CC152</f>
        <v>9922</v>
      </c>
      <c r="CD152" s="106">
        <f>+PMGR!CD152+BP!CD152</f>
        <v>9922</v>
      </c>
      <c r="CE152" s="106">
        <f t="shared" si="753"/>
        <v>119064</v>
      </c>
      <c r="CF152" s="106"/>
      <c r="CG152" s="106">
        <f>+PMGR!CG152+BP!CG152</f>
        <v>2362.5</v>
      </c>
      <c r="CH152" s="106">
        <f>+PMGR!CH152+BP!CH152</f>
        <v>2362.5</v>
      </c>
      <c r="CI152" s="106">
        <f>+PMGR!CI152+BP!CI152</f>
        <v>2362.5</v>
      </c>
      <c r="CJ152" s="106">
        <f>+PMGR!CJ152+BP!CJ152</f>
        <v>2362.5</v>
      </c>
      <c r="CK152" s="106">
        <f>+PMGR!CK152+BP!CK152</f>
        <v>2362.5</v>
      </c>
      <c r="CL152" s="106">
        <f>+PMGR!CL152+BP!CL152</f>
        <v>2362.5</v>
      </c>
      <c r="CM152" s="106">
        <f>+PMGR!CM152+BP!CM152</f>
        <v>2362.5</v>
      </c>
      <c r="CN152" s="106">
        <f>+PMGR!CN152+BP!CN152</f>
        <v>2362.5</v>
      </c>
      <c r="CO152" s="106">
        <f>+PMGR!CO152+BP!CO152</f>
        <v>2362.5</v>
      </c>
      <c r="CP152" s="106">
        <f>+PMGR!CP152+BP!CP152</f>
        <v>2362.5</v>
      </c>
      <c r="CQ152" s="106">
        <f>+PMGR!CQ152+BP!CQ152</f>
        <v>2362.5</v>
      </c>
      <c r="CR152" s="106">
        <f>+PMGR!CR152+BP!CR152</f>
        <v>2362.5</v>
      </c>
      <c r="CS152" s="106">
        <f t="shared" si="754"/>
        <v>28350</v>
      </c>
      <c r="CT152" s="16" t="str">
        <f t="shared" si="675"/>
        <v>Pest Contol</v>
      </c>
      <c r="CU152" s="106">
        <f>+PMGR!CU152+BP!CU152</f>
        <v>2480.5</v>
      </c>
      <c r="CV152" s="106">
        <f>+PMGR!CV152+BP!CV152</f>
        <v>2480.5</v>
      </c>
      <c r="CW152" s="106">
        <f>+PMGR!CW152+BP!CW152</f>
        <v>2480.5</v>
      </c>
      <c r="CX152" s="106">
        <f>+PMGR!CX152+BP!CX152</f>
        <v>2480.5</v>
      </c>
      <c r="CY152" s="106">
        <f>+PMGR!CY152+BP!CY152</f>
        <v>2480.5</v>
      </c>
      <c r="CZ152" s="106">
        <f>+PMGR!CZ152+BP!CZ152</f>
        <v>2480.5</v>
      </c>
      <c r="DA152" s="106">
        <f>+PMGR!DA152+BP!DA152</f>
        <v>2480.5</v>
      </c>
      <c r="DB152" s="106">
        <f>+PMGR!DB152+BP!DB152</f>
        <v>2480.5</v>
      </c>
      <c r="DC152" s="106">
        <f>+PMGR!DC152+BP!DC152</f>
        <v>2480.5</v>
      </c>
      <c r="DD152" s="106">
        <f>+PMGR!DD152+BP!DD152</f>
        <v>2480.5</v>
      </c>
      <c r="DE152" s="106">
        <f>+PMGR!DE152+BP!DE152</f>
        <v>0</v>
      </c>
      <c r="DF152" s="106">
        <f>+PMGR!DF152+BP!DF152</f>
        <v>0</v>
      </c>
      <c r="DG152" s="106">
        <f t="shared" si="755"/>
        <v>24805</v>
      </c>
      <c r="DH152" s="118"/>
      <c r="DI152" s="106">
        <f>+PMGR!DI152+BP!DI152</f>
        <v>2480.5</v>
      </c>
      <c r="DJ152" s="106">
        <f>+PMGR!DJ152+BP!DJ152</f>
        <v>2480.5</v>
      </c>
      <c r="DK152" s="106">
        <f>+PMGR!DK152+BP!DK152</f>
        <v>2480.5</v>
      </c>
      <c r="DL152" s="106">
        <f>+PMGR!DL152+BP!DL152</f>
        <v>2480.5</v>
      </c>
      <c r="DM152" s="106">
        <f>+PMGR!DM152+BP!DM152</f>
        <v>2480.5</v>
      </c>
      <c r="DN152" s="106">
        <f>+PMGR!DN152+BP!DN152</f>
        <v>2480.5</v>
      </c>
      <c r="DO152" s="106">
        <f>+PMGR!DO152+BP!DO152</f>
        <v>2480.5</v>
      </c>
      <c r="DP152" s="106">
        <f>+PMGR!DP152+BP!DP152</f>
        <v>2480.5</v>
      </c>
      <c r="DQ152" s="106">
        <f>+PMGR!DQ152+BP!DQ152</f>
        <v>2480.5</v>
      </c>
      <c r="DR152" s="106">
        <f>+PMGR!DR152+BP!DR152</f>
        <v>2480.5</v>
      </c>
      <c r="DS152" s="106">
        <f>+PMGR!DS152+BP!DS152</f>
        <v>2480.5</v>
      </c>
      <c r="DT152" s="106">
        <f>+PMGR!DT152+BP!DT152</f>
        <v>2480.5</v>
      </c>
      <c r="DU152" s="106">
        <f t="shared" si="756"/>
        <v>29766</v>
      </c>
      <c r="DV152" s="106"/>
      <c r="DW152" s="106">
        <f>+PMGR!DW152+BP!DW152</f>
        <v>0</v>
      </c>
      <c r="DX152" s="106">
        <f>+PMGR!DX152+BP!DX152</f>
        <v>0</v>
      </c>
      <c r="DY152" s="106">
        <f>+PMGR!DY152+BP!DY152</f>
        <v>0</v>
      </c>
      <c r="DZ152" s="106">
        <f>+PMGR!DZ152+BP!DZ152</f>
        <v>0</v>
      </c>
      <c r="EA152" s="106">
        <f>+PMGR!EA152+BP!EA152</f>
        <v>0</v>
      </c>
      <c r="EB152" s="106">
        <f>+PMGR!EB152+BP!EB152</f>
        <v>0</v>
      </c>
      <c r="EC152" s="106">
        <f>+PMGR!EC152+BP!EC152</f>
        <v>0</v>
      </c>
      <c r="ED152" s="106">
        <f>+PMGR!ED152+BP!ED152</f>
        <v>0</v>
      </c>
      <c r="EE152" s="106">
        <f>+PMGR!EE152+BP!EE152</f>
        <v>0</v>
      </c>
      <c r="EF152" s="106">
        <f>+PMGR!EF152+BP!EF152</f>
        <v>0</v>
      </c>
      <c r="EG152" s="106">
        <f>+PMGR!EG152+BP!EG152</f>
        <v>0</v>
      </c>
      <c r="EH152" s="106">
        <f>+PMGR!EH152+BP!EH152</f>
        <v>0</v>
      </c>
      <c r="EI152" s="106">
        <f t="shared" si="757"/>
        <v>0</v>
      </c>
      <c r="EJ152" s="16" t="str">
        <f t="shared" si="681"/>
        <v>Pest Contol</v>
      </c>
      <c r="EK152" s="106">
        <f>+PMGR!EK152+BP!EK152</f>
        <v>4961</v>
      </c>
      <c r="EL152" s="106">
        <f>+PMGR!EL152+BP!EL152</f>
        <v>4961</v>
      </c>
      <c r="EM152" s="106">
        <f>+PMGR!EM152+BP!EM152</f>
        <v>4961</v>
      </c>
      <c r="EN152" s="106">
        <f>+PMGR!EN152+BP!EN152</f>
        <v>4961</v>
      </c>
      <c r="EO152" s="106">
        <f>+PMGR!EO152+BP!EO152</f>
        <v>4961</v>
      </c>
      <c r="EP152" s="106">
        <f>+PMGR!EP152+BP!EP152</f>
        <v>4961</v>
      </c>
      <c r="EQ152" s="106">
        <f>+PMGR!EQ152+BP!EQ152</f>
        <v>4961</v>
      </c>
      <c r="ER152" s="106">
        <f>+PMGR!ER152+BP!ER152</f>
        <v>4961</v>
      </c>
      <c r="ES152" s="106">
        <f>+PMGR!ES152+BP!ES152</f>
        <v>4961</v>
      </c>
      <c r="ET152" s="106">
        <f>+PMGR!ET152+BP!ET152</f>
        <v>4961</v>
      </c>
      <c r="EU152" s="106">
        <f>+PMGR!EU152+BP!EU152</f>
        <v>0</v>
      </c>
      <c r="EV152" s="106">
        <f>+PMGR!EV152+BP!EV152</f>
        <v>0</v>
      </c>
      <c r="EW152" s="106">
        <f t="shared" si="758"/>
        <v>49610</v>
      </c>
      <c r="EX152" s="118"/>
      <c r="EY152" s="106">
        <f>+PMGR!EY152+BP!EY152</f>
        <v>4961</v>
      </c>
      <c r="EZ152" s="106">
        <f>+PMGR!EZ152+BP!EZ152</f>
        <v>4961</v>
      </c>
      <c r="FA152" s="106">
        <f>+PMGR!FA152+BP!FA152</f>
        <v>4961</v>
      </c>
      <c r="FB152" s="106">
        <f>+PMGR!FB152+BP!FB152</f>
        <v>4961</v>
      </c>
      <c r="FC152" s="106">
        <f>+PMGR!FC152+BP!FC152</f>
        <v>4961</v>
      </c>
      <c r="FD152" s="106">
        <f>+PMGR!FD152+BP!FD152</f>
        <v>4961</v>
      </c>
      <c r="FE152" s="106">
        <f>+PMGR!FE152+BP!FE152</f>
        <v>4961</v>
      </c>
      <c r="FF152" s="106">
        <f>+PMGR!FF152+BP!FF152</f>
        <v>4961</v>
      </c>
      <c r="FG152" s="106">
        <f>+PMGR!FG152+BP!FG152</f>
        <v>4961</v>
      </c>
      <c r="FH152" s="106">
        <f>+PMGR!FH152+BP!FH152</f>
        <v>4961</v>
      </c>
      <c r="FI152" s="106">
        <f>+PMGR!FI152+BP!FI152</f>
        <v>4961</v>
      </c>
      <c r="FJ152" s="106">
        <f>+PMGR!FJ152+BP!FJ152</f>
        <v>4961</v>
      </c>
      <c r="FK152" s="106">
        <f t="shared" si="759"/>
        <v>59532</v>
      </c>
    </row>
    <row r="153" spans="1:167" ht="14.45" hidden="1" customHeight="1" outlineLevel="2">
      <c r="A153" s="106">
        <f t="shared" si="638"/>
        <v>48000</v>
      </c>
      <c r="B153" s="106">
        <f t="shared" si="638"/>
        <v>48000</v>
      </c>
      <c r="C153" s="106">
        <f t="shared" si="638"/>
        <v>48000</v>
      </c>
      <c r="D153" s="106">
        <f t="shared" si="638"/>
        <v>48000</v>
      </c>
      <c r="E153" s="106">
        <f t="shared" si="638"/>
        <v>48000</v>
      </c>
      <c r="F153" s="106">
        <f t="shared" si="638"/>
        <v>48000</v>
      </c>
      <c r="G153" s="106">
        <f t="shared" si="638"/>
        <v>48000</v>
      </c>
      <c r="H153" s="106">
        <f t="shared" si="638"/>
        <v>48000</v>
      </c>
      <c r="I153" s="106">
        <f t="shared" si="638"/>
        <v>48000</v>
      </c>
      <c r="J153" s="106">
        <f t="shared" si="638"/>
        <v>48000</v>
      </c>
      <c r="K153" s="106">
        <f t="shared" si="638"/>
        <v>48000</v>
      </c>
      <c r="L153" s="106">
        <f t="shared" si="638"/>
        <v>48000</v>
      </c>
      <c r="M153" s="106">
        <f t="shared" si="746"/>
        <v>576000</v>
      </c>
      <c r="N153" s="16" t="s">
        <v>127</v>
      </c>
      <c r="O153" s="106">
        <f t="shared" si="747"/>
        <v>64000</v>
      </c>
      <c r="P153" s="106">
        <f t="shared" si="747"/>
        <v>64000</v>
      </c>
      <c r="Q153" s="106">
        <f t="shared" si="747"/>
        <v>64000</v>
      </c>
      <c r="R153" s="106">
        <f t="shared" si="747"/>
        <v>70500</v>
      </c>
      <c r="S153" s="106">
        <f t="shared" si="747"/>
        <v>70500</v>
      </c>
      <c r="T153" s="106">
        <f t="shared" si="747"/>
        <v>88500</v>
      </c>
      <c r="U153" s="106">
        <f t="shared" si="747"/>
        <v>84500</v>
      </c>
      <c r="V153" s="106">
        <f t="shared" si="747"/>
        <v>84500</v>
      </c>
      <c r="W153" s="106">
        <f t="shared" si="747"/>
        <v>84500</v>
      </c>
      <c r="X153" s="106">
        <f t="shared" si="747"/>
        <v>84500</v>
      </c>
      <c r="Y153" s="106">
        <f t="shared" si="747"/>
        <v>0</v>
      </c>
      <c r="Z153" s="106">
        <f t="shared" si="747"/>
        <v>0</v>
      </c>
      <c r="AA153" s="106">
        <f t="shared" si="748"/>
        <v>759500</v>
      </c>
      <c r="AB153" s="118"/>
      <c r="AC153" s="106">
        <f t="shared" si="749"/>
        <v>80000</v>
      </c>
      <c r="AD153" s="106">
        <f t="shared" si="749"/>
        <v>80000</v>
      </c>
      <c r="AE153" s="106">
        <f t="shared" si="749"/>
        <v>80000</v>
      </c>
      <c r="AF153" s="106">
        <f t="shared" si="749"/>
        <v>80000</v>
      </c>
      <c r="AG153" s="106">
        <f t="shared" si="749"/>
        <v>80000</v>
      </c>
      <c r="AH153" s="106">
        <f t="shared" si="749"/>
        <v>80000</v>
      </c>
      <c r="AI153" s="106">
        <f t="shared" si="749"/>
        <v>80000</v>
      </c>
      <c r="AJ153" s="106">
        <f t="shared" si="749"/>
        <v>80000</v>
      </c>
      <c r="AK153" s="106">
        <f t="shared" si="749"/>
        <v>80000</v>
      </c>
      <c r="AL153" s="106">
        <f t="shared" si="749"/>
        <v>80000</v>
      </c>
      <c r="AM153" s="106">
        <f t="shared" si="749"/>
        <v>80000</v>
      </c>
      <c r="AN153" s="106">
        <f t="shared" si="749"/>
        <v>80000</v>
      </c>
      <c r="AO153" s="106">
        <f t="shared" si="750"/>
        <v>960000</v>
      </c>
      <c r="AP153" s="106"/>
      <c r="AQ153" s="106">
        <f>+PMGR!AQ153+BP!AQ153</f>
        <v>32000</v>
      </c>
      <c r="AR153" s="106">
        <f>+PMGR!AR153+BP!AR153</f>
        <v>32000</v>
      </c>
      <c r="AS153" s="106">
        <f>+PMGR!AS153+BP!AS153</f>
        <v>32000</v>
      </c>
      <c r="AT153" s="106">
        <f>+PMGR!AT153+BP!AT153</f>
        <v>32000</v>
      </c>
      <c r="AU153" s="106">
        <f>+PMGR!AU153+BP!AU153</f>
        <v>32000</v>
      </c>
      <c r="AV153" s="106">
        <f>+PMGR!AV153+BP!AV153</f>
        <v>32000</v>
      </c>
      <c r="AW153" s="106">
        <f>+PMGR!AW153+BP!AW153</f>
        <v>32000</v>
      </c>
      <c r="AX153" s="106">
        <f>+PMGR!AX153+BP!AX153</f>
        <v>32000</v>
      </c>
      <c r="AY153" s="106">
        <f>+PMGR!AY153+BP!AY153</f>
        <v>32000</v>
      </c>
      <c r="AZ153" s="106">
        <f>+PMGR!AZ153+BP!AZ153</f>
        <v>32000</v>
      </c>
      <c r="BA153" s="106">
        <f>+PMGR!BA153+BP!BA153</f>
        <v>32000</v>
      </c>
      <c r="BB153" s="106">
        <f>+PMGR!BB153+BP!BB153</f>
        <v>32000</v>
      </c>
      <c r="BC153" s="106">
        <f t="shared" si="751"/>
        <v>384000</v>
      </c>
      <c r="BD153" s="16" t="str">
        <f t="shared" si="671"/>
        <v>Security Service</v>
      </c>
      <c r="BE153" s="106">
        <f>+PMGR!BE153+BP!BE153</f>
        <v>32000</v>
      </c>
      <c r="BF153" s="106">
        <f>+PMGR!BF153+BP!BF153</f>
        <v>32000</v>
      </c>
      <c r="BG153" s="106">
        <f>+PMGR!BG153+BP!BG153</f>
        <v>32000</v>
      </c>
      <c r="BH153" s="106">
        <f>+PMGR!BH153+BP!BH153</f>
        <v>35000</v>
      </c>
      <c r="BI153" s="106">
        <f>+PMGR!BI153+BP!BI153</f>
        <v>35000</v>
      </c>
      <c r="BJ153" s="106">
        <f>+PMGR!BJ153+BP!BJ153</f>
        <v>35000</v>
      </c>
      <c r="BK153" s="106">
        <f>+PMGR!BK153+BP!BK153</f>
        <v>35000</v>
      </c>
      <c r="BL153" s="106">
        <f>+PMGR!BL153+BP!BL153</f>
        <v>35000</v>
      </c>
      <c r="BM153" s="106">
        <f>+PMGR!BM153+BP!BM153</f>
        <v>35000</v>
      </c>
      <c r="BN153" s="106">
        <f>+PMGR!BN153+BP!BN153</f>
        <v>35000</v>
      </c>
      <c r="BO153" s="106">
        <f>+PMGR!BO153+BP!BO153</f>
        <v>0</v>
      </c>
      <c r="BP153" s="106">
        <f>+PMGR!BP153+BP!BP153</f>
        <v>0</v>
      </c>
      <c r="BQ153" s="106">
        <f t="shared" si="752"/>
        <v>341000</v>
      </c>
      <c r="BR153" s="118"/>
      <c r="BS153" s="106">
        <f>+PMGR!BS153+BP!BS153</f>
        <v>32000</v>
      </c>
      <c r="BT153" s="106">
        <f>+PMGR!BT153+BP!BT153</f>
        <v>32000</v>
      </c>
      <c r="BU153" s="106">
        <f>+PMGR!BU153+BP!BU153</f>
        <v>32000</v>
      </c>
      <c r="BV153" s="106">
        <f>+PMGR!BV153+BP!BV153</f>
        <v>32000</v>
      </c>
      <c r="BW153" s="106">
        <f>+PMGR!BW153+BP!BW153</f>
        <v>32000</v>
      </c>
      <c r="BX153" s="106">
        <f>+PMGR!BX153+BP!BX153</f>
        <v>32000</v>
      </c>
      <c r="BY153" s="106">
        <f>+PMGR!BY153+BP!BY153</f>
        <v>32000</v>
      </c>
      <c r="BZ153" s="106">
        <f>+PMGR!BZ153+BP!BZ153</f>
        <v>32000</v>
      </c>
      <c r="CA153" s="106">
        <f>+PMGR!CA153+BP!CA153</f>
        <v>32000</v>
      </c>
      <c r="CB153" s="106">
        <f>+PMGR!CB153+BP!CB153</f>
        <v>32000</v>
      </c>
      <c r="CC153" s="106">
        <f>+PMGR!CC153+BP!CC153</f>
        <v>32000</v>
      </c>
      <c r="CD153" s="106">
        <f>+PMGR!CD153+BP!CD153</f>
        <v>32000</v>
      </c>
      <c r="CE153" s="106">
        <f t="shared" si="753"/>
        <v>384000</v>
      </c>
      <c r="CF153" s="106"/>
      <c r="CG153" s="106">
        <f>+PMGR!CG153+BP!CG153</f>
        <v>16000</v>
      </c>
      <c r="CH153" s="106">
        <f>+PMGR!CH153+BP!CH153</f>
        <v>16000</v>
      </c>
      <c r="CI153" s="106">
        <f>+PMGR!CI153+BP!CI153</f>
        <v>16000</v>
      </c>
      <c r="CJ153" s="106">
        <f>+PMGR!CJ153+BP!CJ153</f>
        <v>16000</v>
      </c>
      <c r="CK153" s="106">
        <f>+PMGR!CK153+BP!CK153</f>
        <v>16000</v>
      </c>
      <c r="CL153" s="106">
        <f>+PMGR!CL153+BP!CL153</f>
        <v>16000</v>
      </c>
      <c r="CM153" s="106">
        <f>+PMGR!CM153+BP!CM153</f>
        <v>16000</v>
      </c>
      <c r="CN153" s="106">
        <f>+PMGR!CN153+BP!CN153</f>
        <v>16000</v>
      </c>
      <c r="CO153" s="106">
        <f>+PMGR!CO153+BP!CO153</f>
        <v>16000</v>
      </c>
      <c r="CP153" s="106">
        <f>+PMGR!CP153+BP!CP153</f>
        <v>16000</v>
      </c>
      <c r="CQ153" s="106">
        <f>+PMGR!CQ153+BP!CQ153</f>
        <v>16000</v>
      </c>
      <c r="CR153" s="106">
        <f>+PMGR!CR153+BP!CR153</f>
        <v>16000</v>
      </c>
      <c r="CS153" s="106">
        <f t="shared" si="754"/>
        <v>192000</v>
      </c>
      <c r="CT153" s="16" t="str">
        <f t="shared" si="675"/>
        <v>Security Service</v>
      </c>
      <c r="CU153" s="106">
        <f>+PMGR!CU153+BP!CU153</f>
        <v>16000</v>
      </c>
      <c r="CV153" s="106">
        <f>+PMGR!CV153+BP!CV153</f>
        <v>16000</v>
      </c>
      <c r="CW153" s="106">
        <f>+PMGR!CW153+BP!CW153</f>
        <v>16000</v>
      </c>
      <c r="CX153" s="106">
        <f>+PMGR!CX153+BP!CX153</f>
        <v>17500</v>
      </c>
      <c r="CY153" s="106">
        <f>+PMGR!CY153+BP!CY153</f>
        <v>17500</v>
      </c>
      <c r="CZ153" s="106">
        <f>+PMGR!CZ153+BP!CZ153</f>
        <v>17500</v>
      </c>
      <c r="DA153" s="106">
        <f>+PMGR!DA153+BP!DA153</f>
        <v>17500</v>
      </c>
      <c r="DB153" s="106">
        <f>+PMGR!DB153+BP!DB153</f>
        <v>17500</v>
      </c>
      <c r="DC153" s="106">
        <f>+PMGR!DC153+BP!DC153</f>
        <v>17500</v>
      </c>
      <c r="DD153" s="106">
        <f>+PMGR!DD153+BP!DD153</f>
        <v>17500</v>
      </c>
      <c r="DE153" s="106">
        <f>+PMGR!DE153+BP!DE153</f>
        <v>0</v>
      </c>
      <c r="DF153" s="106">
        <f>+PMGR!DF153+BP!DF153</f>
        <v>0</v>
      </c>
      <c r="DG153" s="106">
        <f t="shared" si="755"/>
        <v>170500</v>
      </c>
      <c r="DH153" s="118"/>
      <c r="DI153" s="106">
        <f>+PMGR!DI153+BP!DI153</f>
        <v>16000</v>
      </c>
      <c r="DJ153" s="106">
        <f>+PMGR!DJ153+BP!DJ153</f>
        <v>16000</v>
      </c>
      <c r="DK153" s="106">
        <f>+PMGR!DK153+BP!DK153</f>
        <v>16000</v>
      </c>
      <c r="DL153" s="106">
        <f>+PMGR!DL153+BP!DL153</f>
        <v>16000</v>
      </c>
      <c r="DM153" s="106">
        <f>+PMGR!DM153+BP!DM153</f>
        <v>16000</v>
      </c>
      <c r="DN153" s="106">
        <f>+PMGR!DN153+BP!DN153</f>
        <v>16000</v>
      </c>
      <c r="DO153" s="106">
        <f>+PMGR!DO153+BP!DO153</f>
        <v>16000</v>
      </c>
      <c r="DP153" s="106">
        <f>+PMGR!DP153+BP!DP153</f>
        <v>16000</v>
      </c>
      <c r="DQ153" s="106">
        <f>+PMGR!DQ153+BP!DQ153</f>
        <v>16000</v>
      </c>
      <c r="DR153" s="106">
        <f>+PMGR!DR153+BP!DR153</f>
        <v>16000</v>
      </c>
      <c r="DS153" s="106">
        <f>+PMGR!DS153+BP!DS153</f>
        <v>16000</v>
      </c>
      <c r="DT153" s="106">
        <f>+PMGR!DT153+BP!DT153</f>
        <v>16000</v>
      </c>
      <c r="DU153" s="106">
        <f t="shared" si="756"/>
        <v>192000</v>
      </c>
      <c r="DV153" s="106"/>
      <c r="DW153" s="106">
        <f>+PMGR!DW153+BP!DW153</f>
        <v>0</v>
      </c>
      <c r="DX153" s="106">
        <f>+PMGR!DX153+BP!DX153</f>
        <v>0</v>
      </c>
      <c r="DY153" s="106">
        <f>+PMGR!DY153+BP!DY153</f>
        <v>0</v>
      </c>
      <c r="DZ153" s="106">
        <f>+PMGR!DZ153+BP!DZ153</f>
        <v>0</v>
      </c>
      <c r="EA153" s="106">
        <f>+PMGR!EA153+BP!EA153</f>
        <v>0</v>
      </c>
      <c r="EB153" s="106">
        <f>+PMGR!EB153+BP!EB153</f>
        <v>0</v>
      </c>
      <c r="EC153" s="106">
        <f>+PMGR!EC153+BP!EC153</f>
        <v>0</v>
      </c>
      <c r="ED153" s="106">
        <f>+PMGR!ED153+BP!ED153</f>
        <v>0</v>
      </c>
      <c r="EE153" s="106">
        <f>+PMGR!EE153+BP!EE153</f>
        <v>0</v>
      </c>
      <c r="EF153" s="106">
        <f>+PMGR!EF153+BP!EF153</f>
        <v>0</v>
      </c>
      <c r="EG153" s="106">
        <f>+PMGR!EG153+BP!EG153</f>
        <v>0</v>
      </c>
      <c r="EH153" s="106">
        <f>+PMGR!EH153+BP!EH153</f>
        <v>0</v>
      </c>
      <c r="EI153" s="106">
        <f t="shared" si="757"/>
        <v>0</v>
      </c>
      <c r="EJ153" s="16" t="str">
        <f t="shared" si="681"/>
        <v>Security Service</v>
      </c>
      <c r="EK153" s="106">
        <f>+PMGR!EK153+BP!EK153</f>
        <v>16000</v>
      </c>
      <c r="EL153" s="106">
        <f>+PMGR!EL153+BP!EL153</f>
        <v>16000</v>
      </c>
      <c r="EM153" s="106">
        <f>+PMGR!EM153+BP!EM153</f>
        <v>16000</v>
      </c>
      <c r="EN153" s="106">
        <f>+PMGR!EN153+BP!EN153</f>
        <v>18000</v>
      </c>
      <c r="EO153" s="106">
        <f>+PMGR!EO153+BP!EO153</f>
        <v>18000</v>
      </c>
      <c r="EP153" s="106">
        <f>+PMGR!EP153+BP!EP153</f>
        <v>36000</v>
      </c>
      <c r="EQ153" s="106">
        <f>+PMGR!EQ153+BP!EQ153</f>
        <v>32000</v>
      </c>
      <c r="ER153" s="106">
        <f>+PMGR!ER153+BP!ER153</f>
        <v>32000</v>
      </c>
      <c r="ES153" s="106">
        <f>+PMGR!ES153+BP!ES153</f>
        <v>32000</v>
      </c>
      <c r="ET153" s="106">
        <f>+PMGR!ET153+BP!ET153</f>
        <v>32000</v>
      </c>
      <c r="EU153" s="106">
        <f>+PMGR!EU153+BP!EU153</f>
        <v>0</v>
      </c>
      <c r="EV153" s="106">
        <f>+PMGR!EV153+BP!EV153</f>
        <v>0</v>
      </c>
      <c r="EW153" s="106">
        <f t="shared" si="758"/>
        <v>248000</v>
      </c>
      <c r="EX153" s="118"/>
      <c r="EY153" s="106">
        <f>+PMGR!EY153+BP!EY153</f>
        <v>32000</v>
      </c>
      <c r="EZ153" s="106">
        <f>+PMGR!EZ153+BP!EZ153</f>
        <v>32000</v>
      </c>
      <c r="FA153" s="106">
        <f>+PMGR!FA153+BP!FA153</f>
        <v>32000</v>
      </c>
      <c r="FB153" s="106">
        <f>+PMGR!FB153+BP!FB153</f>
        <v>32000</v>
      </c>
      <c r="FC153" s="106">
        <f>+PMGR!FC153+BP!FC153</f>
        <v>32000</v>
      </c>
      <c r="FD153" s="106">
        <f>+PMGR!FD153+BP!FD153</f>
        <v>32000</v>
      </c>
      <c r="FE153" s="106">
        <f>+PMGR!FE153+BP!FE153</f>
        <v>32000</v>
      </c>
      <c r="FF153" s="106">
        <f>+PMGR!FF153+BP!FF153</f>
        <v>32000</v>
      </c>
      <c r="FG153" s="106">
        <f>+PMGR!FG153+BP!FG153</f>
        <v>32000</v>
      </c>
      <c r="FH153" s="106">
        <f>+PMGR!FH153+BP!FH153</f>
        <v>32000</v>
      </c>
      <c r="FI153" s="106">
        <f>+PMGR!FI153+BP!FI153</f>
        <v>32000</v>
      </c>
      <c r="FJ153" s="106">
        <f>+PMGR!FJ153+BP!FJ153</f>
        <v>32000</v>
      </c>
      <c r="FK153" s="106">
        <f t="shared" si="759"/>
        <v>384000</v>
      </c>
    </row>
    <row r="154" spans="1:167" ht="14.45" hidden="1" customHeight="1" outlineLevel="2">
      <c r="A154" s="106">
        <f t="shared" si="638"/>
        <v>22655</v>
      </c>
      <c r="B154" s="106">
        <f t="shared" si="638"/>
        <v>750</v>
      </c>
      <c r="C154" s="106">
        <f t="shared" si="638"/>
        <v>950</v>
      </c>
      <c r="D154" s="106">
        <f t="shared" si="638"/>
        <v>800</v>
      </c>
      <c r="E154" s="106">
        <f t="shared" si="638"/>
        <v>800</v>
      </c>
      <c r="F154" s="106">
        <f t="shared" si="638"/>
        <v>2300</v>
      </c>
      <c r="G154" s="106">
        <f t="shared" si="638"/>
        <v>850</v>
      </c>
      <c r="H154" s="106">
        <f t="shared" si="638"/>
        <v>18200</v>
      </c>
      <c r="I154" s="106">
        <f t="shared" si="638"/>
        <v>1150</v>
      </c>
      <c r="J154" s="106">
        <f t="shared" si="638"/>
        <v>850</v>
      </c>
      <c r="K154" s="106">
        <f t="shared" si="638"/>
        <v>1090</v>
      </c>
      <c r="L154" s="106">
        <f t="shared" si="638"/>
        <v>16650</v>
      </c>
      <c r="M154" s="106">
        <f t="shared" si="746"/>
        <v>67045</v>
      </c>
      <c r="N154" s="16" t="s">
        <v>128</v>
      </c>
      <c r="O154" s="106">
        <f t="shared" si="747"/>
        <v>4100</v>
      </c>
      <c r="P154" s="106">
        <f t="shared" si="747"/>
        <v>1100</v>
      </c>
      <c r="Q154" s="106">
        <f t="shared" si="747"/>
        <v>1600</v>
      </c>
      <c r="R154" s="106">
        <f t="shared" si="747"/>
        <v>1175</v>
      </c>
      <c r="S154" s="106">
        <f t="shared" si="747"/>
        <v>5400</v>
      </c>
      <c r="T154" s="106">
        <f t="shared" si="747"/>
        <v>14350</v>
      </c>
      <c r="U154" s="106">
        <f t="shared" si="747"/>
        <v>8780</v>
      </c>
      <c r="V154" s="106">
        <f t="shared" si="747"/>
        <v>1100</v>
      </c>
      <c r="W154" s="106">
        <f t="shared" si="747"/>
        <v>84300</v>
      </c>
      <c r="X154" s="106">
        <f t="shared" si="747"/>
        <v>6000</v>
      </c>
      <c r="Y154" s="106">
        <f t="shared" si="747"/>
        <v>0</v>
      </c>
      <c r="Z154" s="106">
        <f t="shared" si="747"/>
        <v>0</v>
      </c>
      <c r="AA154" s="106">
        <f t="shared" si="748"/>
        <v>127905</v>
      </c>
      <c r="AB154" s="118"/>
      <c r="AC154" s="106">
        <f t="shared" si="749"/>
        <v>16500</v>
      </c>
      <c r="AD154" s="106">
        <f t="shared" si="749"/>
        <v>16500</v>
      </c>
      <c r="AE154" s="106">
        <f t="shared" si="749"/>
        <v>16500</v>
      </c>
      <c r="AF154" s="106">
        <f t="shared" si="749"/>
        <v>16500</v>
      </c>
      <c r="AG154" s="106">
        <f t="shared" si="749"/>
        <v>16500</v>
      </c>
      <c r="AH154" s="106">
        <f t="shared" si="749"/>
        <v>16500</v>
      </c>
      <c r="AI154" s="106">
        <f t="shared" si="749"/>
        <v>16500</v>
      </c>
      <c r="AJ154" s="106">
        <f t="shared" si="749"/>
        <v>16500</v>
      </c>
      <c r="AK154" s="106">
        <f t="shared" si="749"/>
        <v>16500</v>
      </c>
      <c r="AL154" s="106">
        <f t="shared" si="749"/>
        <v>16500</v>
      </c>
      <c r="AM154" s="106">
        <f t="shared" si="749"/>
        <v>16500</v>
      </c>
      <c r="AN154" s="106">
        <f t="shared" si="749"/>
        <v>16500</v>
      </c>
      <c r="AO154" s="106">
        <f t="shared" si="750"/>
        <v>198000</v>
      </c>
      <c r="AP154" s="106"/>
      <c r="AQ154" s="106">
        <f>+PMGR!AQ154+BP!AQ154</f>
        <v>0</v>
      </c>
      <c r="AR154" s="106">
        <f>+PMGR!AR154+BP!AR154</f>
        <v>0</v>
      </c>
      <c r="AS154" s="106">
        <f>+PMGR!AS154+BP!AS154</f>
        <v>0</v>
      </c>
      <c r="AT154" s="106">
        <f>+PMGR!AT154+BP!AT154</f>
        <v>0</v>
      </c>
      <c r="AU154" s="106">
        <f>+PMGR!AU154+BP!AU154</f>
        <v>0</v>
      </c>
      <c r="AV154" s="106">
        <f>+PMGR!AV154+BP!AV154</f>
        <v>1500</v>
      </c>
      <c r="AW154" s="106">
        <f>+PMGR!AW154+BP!AW154</f>
        <v>0</v>
      </c>
      <c r="AX154" s="106">
        <f>+PMGR!AX154+BP!AX154</f>
        <v>0</v>
      </c>
      <c r="AY154" s="106">
        <f>+PMGR!AY154+BP!AY154</f>
        <v>350</v>
      </c>
      <c r="AZ154" s="106">
        <f>+PMGR!AZ154+BP!AZ154</f>
        <v>0</v>
      </c>
      <c r="BA154" s="106">
        <f>+PMGR!BA154+BP!BA154</f>
        <v>290</v>
      </c>
      <c r="BB154" s="106">
        <f>+PMGR!BB154+BP!BB154</f>
        <v>1500</v>
      </c>
      <c r="BC154" s="106">
        <f t="shared" si="751"/>
        <v>3640</v>
      </c>
      <c r="BD154" s="16" t="str">
        <f t="shared" si="671"/>
        <v>Waste Disposal</v>
      </c>
      <c r="BE154" s="106">
        <f>+PMGR!BE154+BP!BE154</f>
        <v>0</v>
      </c>
      <c r="BF154" s="106">
        <f>+PMGR!BF154+BP!BF154</f>
        <v>0</v>
      </c>
      <c r="BG154" s="106">
        <f>+PMGR!BG154+BP!BG154</f>
        <v>500</v>
      </c>
      <c r="BH154" s="106">
        <f>+PMGR!BH154+BP!BH154</f>
        <v>0</v>
      </c>
      <c r="BI154" s="106">
        <f>+PMGR!BI154+BP!BI154</f>
        <v>300</v>
      </c>
      <c r="BJ154" s="106">
        <f>+PMGR!BJ154+BP!BJ154</f>
        <v>1250</v>
      </c>
      <c r="BK154" s="106">
        <f>+PMGR!BK154+BP!BK154</f>
        <v>2180</v>
      </c>
      <c r="BL154" s="106">
        <f>+PMGR!BL154+BP!BL154</f>
        <v>0</v>
      </c>
      <c r="BM154" s="106">
        <f>+PMGR!BM154+BP!BM154</f>
        <v>54200</v>
      </c>
      <c r="BN154" s="106">
        <f>+PMGR!BN154+BP!BN154</f>
        <v>200</v>
      </c>
      <c r="BO154" s="106">
        <f>+PMGR!BO154+BP!BO154</f>
        <v>0</v>
      </c>
      <c r="BP154" s="106">
        <f>+PMGR!BP154+BP!BP154</f>
        <v>0</v>
      </c>
      <c r="BQ154" s="106">
        <f t="shared" si="752"/>
        <v>58630</v>
      </c>
      <c r="BR154" s="118"/>
      <c r="BS154" s="106">
        <f>+PMGR!BS154+BP!BS154</f>
        <v>6000</v>
      </c>
      <c r="BT154" s="106">
        <f>+PMGR!BT154+BP!BT154</f>
        <v>6000</v>
      </c>
      <c r="BU154" s="106">
        <f>+PMGR!BU154+BP!BU154</f>
        <v>6000</v>
      </c>
      <c r="BV154" s="106">
        <f>+PMGR!BV154+BP!BV154</f>
        <v>6000</v>
      </c>
      <c r="BW154" s="106">
        <f>+PMGR!BW154+BP!BW154</f>
        <v>6000</v>
      </c>
      <c r="BX154" s="106">
        <f>+PMGR!BX154+BP!BX154</f>
        <v>6000</v>
      </c>
      <c r="BY154" s="106">
        <f>+PMGR!BY154+BP!BY154</f>
        <v>6000</v>
      </c>
      <c r="BZ154" s="106">
        <f>+PMGR!BZ154+BP!BZ154</f>
        <v>6000</v>
      </c>
      <c r="CA154" s="106">
        <f>+PMGR!CA154+BP!CA154</f>
        <v>6000</v>
      </c>
      <c r="CB154" s="106">
        <f>+PMGR!CB154+BP!CB154</f>
        <v>6000</v>
      </c>
      <c r="CC154" s="106">
        <f>+PMGR!CC154+BP!CC154</f>
        <v>6000</v>
      </c>
      <c r="CD154" s="106">
        <f>+PMGR!CD154+BP!CD154</f>
        <v>6000</v>
      </c>
      <c r="CE154" s="106">
        <f t="shared" si="753"/>
        <v>72000</v>
      </c>
      <c r="CF154" s="106"/>
      <c r="CG154" s="106">
        <f>+PMGR!CG154+BP!CG154</f>
        <v>22655</v>
      </c>
      <c r="CH154" s="106">
        <f>+PMGR!CH154+BP!CH154</f>
        <v>750</v>
      </c>
      <c r="CI154" s="106">
        <f>+PMGR!CI154+BP!CI154</f>
        <v>950</v>
      </c>
      <c r="CJ154" s="106">
        <f>+PMGR!CJ154+BP!CJ154</f>
        <v>800</v>
      </c>
      <c r="CK154" s="106">
        <f>+PMGR!CK154+BP!CK154</f>
        <v>800</v>
      </c>
      <c r="CL154" s="106">
        <f>+PMGR!CL154+BP!CL154</f>
        <v>800</v>
      </c>
      <c r="CM154" s="106">
        <f>+PMGR!CM154+BP!CM154</f>
        <v>850</v>
      </c>
      <c r="CN154" s="106">
        <f>+PMGR!CN154+BP!CN154</f>
        <v>18200</v>
      </c>
      <c r="CO154" s="106">
        <f>+PMGR!CO154+BP!CO154</f>
        <v>800</v>
      </c>
      <c r="CP154" s="106">
        <f>+PMGR!CP154+BP!CP154</f>
        <v>850</v>
      </c>
      <c r="CQ154" s="106">
        <f>+PMGR!CQ154+BP!CQ154</f>
        <v>800</v>
      </c>
      <c r="CR154" s="106">
        <f>+PMGR!CR154+BP!CR154</f>
        <v>15150</v>
      </c>
      <c r="CS154" s="106">
        <f t="shared" si="754"/>
        <v>63405</v>
      </c>
      <c r="CT154" s="16" t="str">
        <f t="shared" si="675"/>
        <v>Waste Disposal</v>
      </c>
      <c r="CU154" s="106">
        <f>+PMGR!CU154+BP!CU154</f>
        <v>800</v>
      </c>
      <c r="CV154" s="106">
        <f>+PMGR!CV154+BP!CV154</f>
        <v>800</v>
      </c>
      <c r="CW154" s="106">
        <f>+PMGR!CW154+BP!CW154</f>
        <v>800</v>
      </c>
      <c r="CX154" s="106">
        <f>+PMGR!CX154+BP!CX154</f>
        <v>875</v>
      </c>
      <c r="CY154" s="106">
        <f>+PMGR!CY154+BP!CY154</f>
        <v>800</v>
      </c>
      <c r="CZ154" s="106">
        <f>+PMGR!CZ154+BP!CZ154</f>
        <v>800</v>
      </c>
      <c r="DA154" s="106">
        <f>+PMGR!DA154+BP!DA154</f>
        <v>800</v>
      </c>
      <c r="DB154" s="106">
        <f>+PMGR!DB154+BP!DB154</f>
        <v>800</v>
      </c>
      <c r="DC154" s="106">
        <f>+PMGR!DC154+BP!DC154</f>
        <v>26800</v>
      </c>
      <c r="DD154" s="106">
        <f>+PMGR!DD154+BP!DD154</f>
        <v>800</v>
      </c>
      <c r="DE154" s="106">
        <f>+PMGR!DE154+BP!DE154</f>
        <v>0</v>
      </c>
      <c r="DF154" s="106">
        <f>+PMGR!DF154+BP!DF154</f>
        <v>0</v>
      </c>
      <c r="DG154" s="106">
        <f t="shared" si="755"/>
        <v>34075</v>
      </c>
      <c r="DH154" s="118"/>
      <c r="DI154" s="106">
        <f>+PMGR!DI154+BP!DI154</f>
        <v>3000</v>
      </c>
      <c r="DJ154" s="106">
        <f>+PMGR!DJ154+BP!DJ154</f>
        <v>3000</v>
      </c>
      <c r="DK154" s="106">
        <f>+PMGR!DK154+BP!DK154</f>
        <v>3000</v>
      </c>
      <c r="DL154" s="106">
        <f>+PMGR!DL154+BP!DL154</f>
        <v>3000</v>
      </c>
      <c r="DM154" s="106">
        <f>+PMGR!DM154+BP!DM154</f>
        <v>3000</v>
      </c>
      <c r="DN154" s="106">
        <f>+PMGR!DN154+BP!DN154</f>
        <v>3000</v>
      </c>
      <c r="DO154" s="106">
        <f>+PMGR!DO154+BP!DO154</f>
        <v>3000</v>
      </c>
      <c r="DP154" s="106">
        <f>+PMGR!DP154+BP!DP154</f>
        <v>3000</v>
      </c>
      <c r="DQ154" s="106">
        <f>+PMGR!DQ154+BP!DQ154</f>
        <v>3000</v>
      </c>
      <c r="DR154" s="106">
        <f>+PMGR!DR154+BP!DR154</f>
        <v>3000</v>
      </c>
      <c r="DS154" s="106">
        <f>+PMGR!DS154+BP!DS154</f>
        <v>3000</v>
      </c>
      <c r="DT154" s="106">
        <f>+PMGR!DT154+BP!DT154</f>
        <v>3000</v>
      </c>
      <c r="DU154" s="106">
        <f t="shared" si="756"/>
        <v>36000</v>
      </c>
      <c r="DV154" s="106"/>
      <c r="DW154" s="106">
        <f>+PMGR!DW154+BP!DW154</f>
        <v>0</v>
      </c>
      <c r="DX154" s="106">
        <f>+PMGR!DX154+BP!DX154</f>
        <v>0</v>
      </c>
      <c r="DY154" s="106">
        <f>+PMGR!DY154+BP!DY154</f>
        <v>0</v>
      </c>
      <c r="DZ154" s="106">
        <f>+PMGR!DZ154+BP!DZ154</f>
        <v>0</v>
      </c>
      <c r="EA154" s="106">
        <f>+PMGR!EA154+BP!EA154</f>
        <v>0</v>
      </c>
      <c r="EB154" s="106">
        <f>+PMGR!EB154+BP!EB154</f>
        <v>0</v>
      </c>
      <c r="EC154" s="106">
        <f>+PMGR!EC154+BP!EC154</f>
        <v>0</v>
      </c>
      <c r="ED154" s="106">
        <f>+PMGR!ED154+BP!ED154</f>
        <v>0</v>
      </c>
      <c r="EE154" s="106">
        <f>+PMGR!EE154+BP!EE154</f>
        <v>0</v>
      </c>
      <c r="EF154" s="106">
        <f>+PMGR!EF154+BP!EF154</f>
        <v>0</v>
      </c>
      <c r="EG154" s="106">
        <f>+PMGR!EG154+BP!EG154</f>
        <v>0</v>
      </c>
      <c r="EH154" s="106">
        <f>+PMGR!EH154+BP!EH154</f>
        <v>0</v>
      </c>
      <c r="EI154" s="106">
        <f t="shared" si="757"/>
        <v>0</v>
      </c>
      <c r="EJ154" s="16" t="str">
        <f t="shared" si="681"/>
        <v>Waste Disposal</v>
      </c>
      <c r="EK154" s="106">
        <f>+PMGR!EK154+BP!EK154</f>
        <v>3300</v>
      </c>
      <c r="EL154" s="106">
        <f>+PMGR!EL154+BP!EL154</f>
        <v>300</v>
      </c>
      <c r="EM154" s="106">
        <f>+PMGR!EM154+BP!EM154</f>
        <v>300</v>
      </c>
      <c r="EN154" s="106">
        <f>+PMGR!EN154+BP!EN154</f>
        <v>300</v>
      </c>
      <c r="EO154" s="106">
        <f>+PMGR!EO154+BP!EO154</f>
        <v>4300</v>
      </c>
      <c r="EP154" s="106">
        <f>+PMGR!EP154+BP!EP154</f>
        <v>12300</v>
      </c>
      <c r="EQ154" s="106">
        <f>+PMGR!EQ154+BP!EQ154</f>
        <v>5800</v>
      </c>
      <c r="ER154" s="106">
        <f>+PMGR!ER154+BP!ER154</f>
        <v>300</v>
      </c>
      <c r="ES154" s="106">
        <f>+PMGR!ES154+BP!ES154</f>
        <v>3300</v>
      </c>
      <c r="ET154" s="106">
        <f>+PMGR!ET154+BP!ET154</f>
        <v>5000</v>
      </c>
      <c r="EU154" s="106">
        <f>+PMGR!EU154+BP!EU154</f>
        <v>0</v>
      </c>
      <c r="EV154" s="106">
        <f>+PMGR!EV154+BP!EV154</f>
        <v>0</v>
      </c>
      <c r="EW154" s="106">
        <f t="shared" si="758"/>
        <v>35200</v>
      </c>
      <c r="EX154" s="118"/>
      <c r="EY154" s="106">
        <f>+PMGR!EY154+BP!EY154</f>
        <v>7500</v>
      </c>
      <c r="EZ154" s="106">
        <f>+PMGR!EZ154+BP!EZ154</f>
        <v>7500</v>
      </c>
      <c r="FA154" s="106">
        <f>+PMGR!FA154+BP!FA154</f>
        <v>7500</v>
      </c>
      <c r="FB154" s="106">
        <f>+PMGR!FB154+BP!FB154</f>
        <v>7500</v>
      </c>
      <c r="FC154" s="106">
        <f>+PMGR!FC154+BP!FC154</f>
        <v>7500</v>
      </c>
      <c r="FD154" s="106">
        <f>+PMGR!FD154+BP!FD154</f>
        <v>7500</v>
      </c>
      <c r="FE154" s="106">
        <f>+PMGR!FE154+BP!FE154</f>
        <v>7500</v>
      </c>
      <c r="FF154" s="106">
        <f>+PMGR!FF154+BP!FF154</f>
        <v>7500</v>
      </c>
      <c r="FG154" s="106">
        <f>+PMGR!FG154+BP!FG154</f>
        <v>7500</v>
      </c>
      <c r="FH154" s="106">
        <f>+PMGR!FH154+BP!FH154</f>
        <v>7500</v>
      </c>
      <c r="FI154" s="106">
        <f>+PMGR!FI154+BP!FI154</f>
        <v>7500</v>
      </c>
      <c r="FJ154" s="106">
        <f>+PMGR!FJ154+BP!FJ154</f>
        <v>7500</v>
      </c>
      <c r="FK154" s="106">
        <f t="shared" si="759"/>
        <v>90000</v>
      </c>
    </row>
    <row r="155" spans="1:167" ht="14.45" hidden="1" customHeight="1" outlineLevel="2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18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06"/>
      <c r="BC155" s="106"/>
      <c r="BD155" s="16">
        <f t="shared" si="671"/>
        <v>0</v>
      </c>
      <c r="BE155" s="106"/>
      <c r="BF155" s="106"/>
      <c r="BG155" s="106"/>
      <c r="BH155" s="106"/>
      <c r="BI155" s="106"/>
      <c r="BJ155" s="106"/>
      <c r="BK155" s="106"/>
      <c r="BL155" s="106"/>
      <c r="BM155" s="106"/>
      <c r="BN155" s="106"/>
      <c r="BO155" s="106"/>
      <c r="BP155" s="106"/>
      <c r="BQ155" s="106"/>
      <c r="BR155" s="118"/>
      <c r="BS155" s="106"/>
      <c r="BT155" s="106"/>
      <c r="BU155" s="106"/>
      <c r="BV155" s="106"/>
      <c r="BW155" s="106"/>
      <c r="BX155" s="106"/>
      <c r="BY155" s="106"/>
      <c r="BZ155" s="106"/>
      <c r="CA155" s="106"/>
      <c r="CB155" s="106"/>
      <c r="CC155" s="106"/>
      <c r="CD155" s="106"/>
      <c r="CE155" s="106"/>
      <c r="CF155" s="106"/>
      <c r="CG155" s="106"/>
      <c r="CH155" s="106"/>
      <c r="CI155" s="106"/>
      <c r="CJ155" s="106"/>
      <c r="CK155" s="106"/>
      <c r="CL155" s="106"/>
      <c r="CM155" s="106"/>
      <c r="CN155" s="106"/>
      <c r="CO155" s="106"/>
      <c r="CP155" s="106"/>
      <c r="CQ155" s="106"/>
      <c r="CR155" s="106"/>
      <c r="CS155" s="106"/>
      <c r="CT155" s="16">
        <f t="shared" si="675"/>
        <v>0</v>
      </c>
      <c r="CU155" s="106"/>
      <c r="CV155" s="106"/>
      <c r="CW155" s="106"/>
      <c r="CX155" s="106"/>
      <c r="CY155" s="106"/>
      <c r="CZ155" s="106"/>
      <c r="DA155" s="106"/>
      <c r="DB155" s="106"/>
      <c r="DC155" s="106"/>
      <c r="DD155" s="106"/>
      <c r="DE155" s="106"/>
      <c r="DF155" s="106"/>
      <c r="DG155" s="106"/>
      <c r="DH155" s="118"/>
      <c r="DI155" s="106"/>
      <c r="DJ155" s="106"/>
      <c r="DK155" s="106"/>
      <c r="DL155" s="106"/>
      <c r="DM155" s="106"/>
      <c r="DN155" s="106"/>
      <c r="DO155" s="106"/>
      <c r="DP155" s="106"/>
      <c r="DQ155" s="106"/>
      <c r="DR155" s="106"/>
      <c r="DS155" s="106"/>
      <c r="DT155" s="106"/>
      <c r="DU155" s="106"/>
      <c r="DV155" s="106"/>
      <c r="DW155" s="106"/>
      <c r="DX155" s="106"/>
      <c r="DY155" s="106"/>
      <c r="DZ155" s="106"/>
      <c r="EA155" s="106"/>
      <c r="EB155" s="106"/>
      <c r="EC155" s="106"/>
      <c r="ED155" s="106"/>
      <c r="EE155" s="106"/>
      <c r="EF155" s="106"/>
      <c r="EG155" s="106"/>
      <c r="EH155" s="106"/>
      <c r="EI155" s="106"/>
      <c r="EJ155" s="16">
        <f t="shared" si="681"/>
        <v>0</v>
      </c>
      <c r="EK155" s="106"/>
      <c r="EL155" s="106"/>
      <c r="EM155" s="106"/>
      <c r="EN155" s="106"/>
      <c r="EO155" s="106"/>
      <c r="EP155" s="106"/>
      <c r="EQ155" s="106"/>
      <c r="ER155" s="106"/>
      <c r="ES155" s="106"/>
      <c r="ET155" s="106"/>
      <c r="EU155" s="106"/>
      <c r="EV155" s="106"/>
      <c r="EW155" s="106"/>
      <c r="EX155" s="118"/>
      <c r="EY155" s="106"/>
      <c r="EZ155" s="106"/>
      <c r="FA155" s="106"/>
      <c r="FB155" s="106"/>
      <c r="FC155" s="106"/>
      <c r="FD155" s="106"/>
      <c r="FE155" s="106"/>
      <c r="FF155" s="106"/>
      <c r="FG155" s="106"/>
      <c r="FH155" s="106"/>
      <c r="FI155" s="106"/>
      <c r="FJ155" s="106"/>
      <c r="FK155" s="106"/>
    </row>
    <row r="156" spans="1:167" ht="14.45" customHeight="1" collapsed="1">
      <c r="A156" s="58">
        <f>+A157+A164+A172+A178+A182+A187+A193+A205+A209+A214</f>
        <v>1569939.7394999997</v>
      </c>
      <c r="B156" s="58">
        <f t="shared" ref="B156:L156" si="760">+B157+B164+B172+B178+B182+B187+B193+B205+B209+B214</f>
        <v>1601280.8519999997</v>
      </c>
      <c r="C156" s="58">
        <f t="shared" si="760"/>
        <v>1567446.3154999996</v>
      </c>
      <c r="D156" s="58">
        <f t="shared" si="760"/>
        <v>1428910.3760000002</v>
      </c>
      <c r="E156" s="58">
        <f t="shared" si="760"/>
        <v>1568474.213</v>
      </c>
      <c r="F156" s="58">
        <f t="shared" si="760"/>
        <v>1636893.5945000001</v>
      </c>
      <c r="G156" s="58">
        <f t="shared" si="760"/>
        <v>1649822.2219984999</v>
      </c>
      <c r="H156" s="58">
        <f t="shared" si="760"/>
        <v>1497590.8823846153</v>
      </c>
      <c r="I156" s="58">
        <f t="shared" si="760"/>
        <v>1607838.2094999999</v>
      </c>
      <c r="J156" s="58">
        <f t="shared" si="760"/>
        <v>1500492.5410000002</v>
      </c>
      <c r="K156" s="58">
        <f t="shared" si="760"/>
        <v>1540089.6814999999</v>
      </c>
      <c r="L156" s="58">
        <f t="shared" si="760"/>
        <v>2144065.4684999995</v>
      </c>
      <c r="M156" s="58">
        <f>+M157+M164+M172+M178+M182+M187+M193+M205+M209+M214</f>
        <v>1653711.6715000002</v>
      </c>
      <c r="N156" s="19" t="s">
        <v>129</v>
      </c>
      <c r="O156" s="58">
        <f>+O157+O164+O172+O178+O182+O187+O193+O205+O209+O214</f>
        <v>2637761.3838333334</v>
      </c>
      <c r="P156" s="58">
        <f t="shared" ref="P156:Z156" si="761">+P157+P164+P172+P178+P182+P187+P193+P205+P209+P214</f>
        <v>2725223.9589999998</v>
      </c>
      <c r="Q156" s="58">
        <f t="shared" si="761"/>
        <v>2523066.2433333332</v>
      </c>
      <c r="R156" s="58">
        <f t="shared" si="761"/>
        <v>2554131.193</v>
      </c>
      <c r="S156" s="58">
        <f t="shared" si="761"/>
        <v>3114441.673</v>
      </c>
      <c r="T156" s="58">
        <f t="shared" si="761"/>
        <v>3114956.7135000001</v>
      </c>
      <c r="U156" s="58">
        <f t="shared" si="761"/>
        <v>3362296.8028643331</v>
      </c>
      <c r="V156" s="58">
        <f t="shared" si="761"/>
        <v>2787644.0249999999</v>
      </c>
      <c r="W156" s="58">
        <f t="shared" si="761"/>
        <v>3287129.5508333333</v>
      </c>
      <c r="X156" s="58">
        <f t="shared" si="761"/>
        <v>2999976.4330000002</v>
      </c>
      <c r="Y156" s="58">
        <f t="shared" si="761"/>
        <v>0</v>
      </c>
      <c r="Z156" s="58">
        <f t="shared" si="761"/>
        <v>0</v>
      </c>
      <c r="AA156" s="58">
        <f>+AA157+AA164+AA172+AA178+AA182+AA187+AA193+AA205+AA209+AA214</f>
        <v>29106627.977364331</v>
      </c>
      <c r="AB156" s="118"/>
      <c r="AC156" s="58">
        <f>+AC157+AC164+AC172+AC178+AC182+AC187+AC193+AC205+AC209+AC214</f>
        <v>2863525.7811277527</v>
      </c>
      <c r="AD156" s="58">
        <f t="shared" ref="AD156:AN156" si="762">+AD157+AD164+AD172+AD178+AD182+AD187+AD193+AD205+AD209+AD214</f>
        <v>2713525.7811277527</v>
      </c>
      <c r="AE156" s="58">
        <f t="shared" si="762"/>
        <v>2713525.7811277527</v>
      </c>
      <c r="AF156" s="58">
        <f t="shared" si="762"/>
        <v>2714418.2811277527</v>
      </c>
      <c r="AG156" s="58">
        <f t="shared" si="762"/>
        <v>2774418.2811277527</v>
      </c>
      <c r="AH156" s="58">
        <f t="shared" si="762"/>
        <v>2729931.5442952528</v>
      </c>
      <c r="AI156" s="58">
        <f t="shared" si="762"/>
        <v>2729533.8192952527</v>
      </c>
      <c r="AJ156" s="58">
        <f t="shared" si="762"/>
        <v>2733533.8192952527</v>
      </c>
      <c r="AK156" s="58">
        <f t="shared" si="762"/>
        <v>2774744.0581558775</v>
      </c>
      <c r="AL156" s="58">
        <f t="shared" si="762"/>
        <v>2791530.5653433776</v>
      </c>
      <c r="AM156" s="58">
        <f t="shared" si="762"/>
        <v>2731530.5653433776</v>
      </c>
      <c r="AN156" s="58">
        <f t="shared" si="762"/>
        <v>2771530.5653433776</v>
      </c>
      <c r="AO156" s="58">
        <f>+AO157+AO164+AO172+AO178+AO182+AO187+AO193+AO205+AO209+AO214</f>
        <v>1495591.8935941667</v>
      </c>
      <c r="AP156" s="106"/>
      <c r="AQ156" s="58">
        <f t="shared" ref="AQ156:BC156" si="763">+AQ157+AQ164+AQ172+AQ178+AQ182+AQ187+AQ193+AQ205+AQ209+AQ214</f>
        <v>1076018.6409999998</v>
      </c>
      <c r="AR156" s="58">
        <f t="shared" si="763"/>
        <v>1177823.0359999998</v>
      </c>
      <c r="AS156" s="58">
        <f t="shared" si="763"/>
        <v>1143367.6949999996</v>
      </c>
      <c r="AT156" s="58">
        <f t="shared" si="763"/>
        <v>1053806.6239999998</v>
      </c>
      <c r="AU156" s="58">
        <f t="shared" si="763"/>
        <v>1150570.7219999998</v>
      </c>
      <c r="AV156" s="58">
        <f t="shared" si="763"/>
        <v>1123794.5630000001</v>
      </c>
      <c r="AW156" s="58">
        <f t="shared" si="763"/>
        <v>1203726.4879989999</v>
      </c>
      <c r="AX156" s="58">
        <f t="shared" si="763"/>
        <v>1072454.3415897435</v>
      </c>
      <c r="AY156" s="58">
        <f t="shared" si="763"/>
        <v>1126797.101</v>
      </c>
      <c r="AZ156" s="58">
        <f t="shared" si="763"/>
        <v>1076488.9139999999</v>
      </c>
      <c r="BA156" s="58">
        <f t="shared" si="763"/>
        <v>1116280.4309999999</v>
      </c>
      <c r="BB156" s="58">
        <f t="shared" si="763"/>
        <v>1691327.4890000001</v>
      </c>
      <c r="BC156" s="58">
        <f t="shared" si="763"/>
        <v>14012456.045588743</v>
      </c>
      <c r="BD156" s="19" t="str">
        <f t="shared" si="671"/>
        <v>Administrative Expenses</v>
      </c>
      <c r="BE156" s="58">
        <f t="shared" ref="BE156:BQ156" si="764">+BE157+BE164+BE172+BE178+BE182+BE187+BE193+BE205+BE209+BE214</f>
        <v>989405.66366666672</v>
      </c>
      <c r="BF156" s="58">
        <f t="shared" si="764"/>
        <v>1133185.7659999998</v>
      </c>
      <c r="BG156" s="58">
        <f t="shared" si="764"/>
        <v>1021467.7866666666</v>
      </c>
      <c r="BH156" s="58">
        <f t="shared" si="764"/>
        <v>1274771.142</v>
      </c>
      <c r="BI156" s="58">
        <f t="shared" si="764"/>
        <v>1558241.9210000001</v>
      </c>
      <c r="BJ156" s="58">
        <f t="shared" si="764"/>
        <v>1627821.899</v>
      </c>
      <c r="BK156" s="58">
        <f t="shared" si="764"/>
        <v>1382724.0792612042</v>
      </c>
      <c r="BL156" s="58">
        <f t="shared" si="764"/>
        <v>1282022.25</v>
      </c>
      <c r="BM156" s="58">
        <f t="shared" si="764"/>
        <v>1355372.1483333334</v>
      </c>
      <c r="BN156" s="58">
        <f t="shared" si="764"/>
        <v>1432808.7019999998</v>
      </c>
      <c r="BO156" s="58">
        <f t="shared" si="764"/>
        <v>0</v>
      </c>
      <c r="BP156" s="58">
        <f t="shared" si="764"/>
        <v>0</v>
      </c>
      <c r="BQ156" s="58">
        <f t="shared" si="764"/>
        <v>13057821.35792787</v>
      </c>
      <c r="BR156" s="118"/>
      <c r="BS156" s="58">
        <f t="shared" ref="BS156:CE156" si="765">+BS157+BS164+BS172+BS178+BS182+BS187+BS193+BS205+BS209+BS214</f>
        <v>1300866.0912313131</v>
      </c>
      <c r="BT156" s="58">
        <f t="shared" si="765"/>
        <v>1150866.0912313131</v>
      </c>
      <c r="BU156" s="58">
        <f t="shared" si="765"/>
        <v>1150866.0912313131</v>
      </c>
      <c r="BV156" s="58">
        <f t="shared" si="765"/>
        <v>1151758.5912313131</v>
      </c>
      <c r="BW156" s="58">
        <f t="shared" si="765"/>
        <v>1211758.5912313131</v>
      </c>
      <c r="BX156" s="58">
        <f t="shared" si="765"/>
        <v>1167271.8543988131</v>
      </c>
      <c r="BY156" s="58">
        <f t="shared" si="765"/>
        <v>1166874.129398813</v>
      </c>
      <c r="BZ156" s="58">
        <f t="shared" si="765"/>
        <v>1168874.129398813</v>
      </c>
      <c r="CA156" s="58">
        <f t="shared" si="765"/>
        <v>1210874.129398813</v>
      </c>
      <c r="CB156" s="58">
        <f t="shared" si="765"/>
        <v>1167679.966711313</v>
      </c>
      <c r="CC156" s="58">
        <f t="shared" si="765"/>
        <v>1167679.966711313</v>
      </c>
      <c r="CD156" s="58">
        <f t="shared" si="765"/>
        <v>1207679.966711313</v>
      </c>
      <c r="CE156" s="58">
        <f t="shared" si="765"/>
        <v>14223049.59888576</v>
      </c>
      <c r="CF156" s="106"/>
      <c r="CG156" s="58">
        <f t="shared" ref="CG156:CS156" si="766">+CG157+CG164+CG172+CG178+CG182+CG187+CG193+CG205+CG209+CG214</f>
        <v>493921.09849999985</v>
      </c>
      <c r="CH156" s="58">
        <f t="shared" si="766"/>
        <v>423457.81599999988</v>
      </c>
      <c r="CI156" s="58">
        <f t="shared" si="766"/>
        <v>424078.62049999984</v>
      </c>
      <c r="CJ156" s="58">
        <f t="shared" si="766"/>
        <v>375103.75199999998</v>
      </c>
      <c r="CK156" s="58">
        <f t="shared" si="766"/>
        <v>417903.49100000004</v>
      </c>
      <c r="CL156" s="58">
        <f t="shared" si="766"/>
        <v>513099.03149999998</v>
      </c>
      <c r="CM156" s="58">
        <f t="shared" si="766"/>
        <v>446095.73399949993</v>
      </c>
      <c r="CN156" s="58">
        <f t="shared" si="766"/>
        <v>425136.54079487175</v>
      </c>
      <c r="CO156" s="58">
        <f t="shared" si="766"/>
        <v>481041.10849999997</v>
      </c>
      <c r="CP156" s="58">
        <f t="shared" si="766"/>
        <v>424003.62700000004</v>
      </c>
      <c r="CQ156" s="58">
        <f t="shared" si="766"/>
        <v>423809.25050000002</v>
      </c>
      <c r="CR156" s="58">
        <f t="shared" si="766"/>
        <v>452737.97949999996</v>
      </c>
      <c r="CS156" s="58">
        <f t="shared" si="766"/>
        <v>5300388.0497943703</v>
      </c>
      <c r="CT156" s="19" t="str">
        <f t="shared" si="675"/>
        <v>Administrative Expenses</v>
      </c>
      <c r="CU156" s="58">
        <f t="shared" ref="CU156:DG156" si="767">+CU157+CU164+CU172+CU178+CU182+CU187+CU193+CU205+CU209+CU214</f>
        <v>466768.50016666669</v>
      </c>
      <c r="CV156" s="58">
        <f t="shared" si="767"/>
        <v>569480.39299999992</v>
      </c>
      <c r="CW156" s="58">
        <f t="shared" si="767"/>
        <v>531029.83666666667</v>
      </c>
      <c r="CX156" s="58">
        <f t="shared" si="767"/>
        <v>353931.05099999998</v>
      </c>
      <c r="CY156" s="58">
        <f t="shared" si="767"/>
        <v>506659.342</v>
      </c>
      <c r="CZ156" s="58">
        <f t="shared" si="767"/>
        <v>480174.80050000001</v>
      </c>
      <c r="DA156" s="58">
        <f t="shared" si="767"/>
        <v>526643.64693646273</v>
      </c>
      <c r="DB156" s="58">
        <f t="shared" si="767"/>
        <v>468575.17500000005</v>
      </c>
      <c r="DC156" s="58">
        <f t="shared" si="767"/>
        <v>667443.01249999995</v>
      </c>
      <c r="DD156" s="58">
        <f t="shared" si="767"/>
        <v>567994.56099999999</v>
      </c>
      <c r="DE156" s="58">
        <f t="shared" si="767"/>
        <v>0</v>
      </c>
      <c r="DF156" s="58">
        <f t="shared" si="767"/>
        <v>0</v>
      </c>
      <c r="DG156" s="58">
        <f t="shared" si="767"/>
        <v>5138700.3187697968</v>
      </c>
      <c r="DH156" s="118"/>
      <c r="DI156" s="58">
        <f t="shared" ref="DI156:DU156" si="768">+DI157+DI164+DI172+DI178+DI182+DI187+DI193+DI205+DI209+DI214</f>
        <v>549431.35656310606</v>
      </c>
      <c r="DJ156" s="58">
        <f t="shared" si="768"/>
        <v>549431.35656310606</v>
      </c>
      <c r="DK156" s="58">
        <f t="shared" si="768"/>
        <v>549431.35656310606</v>
      </c>
      <c r="DL156" s="58">
        <f t="shared" si="768"/>
        <v>549431.35656310606</v>
      </c>
      <c r="DM156" s="58">
        <f t="shared" si="768"/>
        <v>549431.35656310606</v>
      </c>
      <c r="DN156" s="58">
        <f t="shared" si="768"/>
        <v>549431.35656310606</v>
      </c>
      <c r="DO156" s="58">
        <f t="shared" si="768"/>
        <v>549431.35656310606</v>
      </c>
      <c r="DP156" s="58">
        <f t="shared" si="768"/>
        <v>551431.35656310606</v>
      </c>
      <c r="DQ156" s="58">
        <f t="shared" si="768"/>
        <v>550641.59542373114</v>
      </c>
      <c r="DR156" s="58">
        <f t="shared" si="768"/>
        <v>610622.26529873104</v>
      </c>
      <c r="DS156" s="58">
        <f t="shared" si="768"/>
        <v>550622.26529873104</v>
      </c>
      <c r="DT156" s="58">
        <f t="shared" si="768"/>
        <v>550622.26529873104</v>
      </c>
      <c r="DU156" s="58">
        <f t="shared" si="768"/>
        <v>6659959.2438247725</v>
      </c>
      <c r="DV156" s="106"/>
      <c r="DW156" s="58">
        <f t="shared" ref="DW156:EI156" si="769">+DW157+DW164+DW172+DW178+DW182+DW187+DW193+DW205+DW209+DW214</f>
        <v>0</v>
      </c>
      <c r="DX156" s="58">
        <f t="shared" si="769"/>
        <v>0</v>
      </c>
      <c r="DY156" s="58">
        <f t="shared" si="769"/>
        <v>0</v>
      </c>
      <c r="DZ156" s="58">
        <f t="shared" si="769"/>
        <v>0</v>
      </c>
      <c r="EA156" s="58">
        <f t="shared" si="769"/>
        <v>0</v>
      </c>
      <c r="EB156" s="58">
        <f t="shared" si="769"/>
        <v>0</v>
      </c>
      <c r="EC156" s="58">
        <f t="shared" si="769"/>
        <v>0</v>
      </c>
      <c r="ED156" s="58">
        <f t="shared" si="769"/>
        <v>0</v>
      </c>
      <c r="EE156" s="58">
        <f t="shared" si="769"/>
        <v>0</v>
      </c>
      <c r="EF156" s="58">
        <f t="shared" si="769"/>
        <v>0</v>
      </c>
      <c r="EG156" s="58">
        <f t="shared" si="769"/>
        <v>0</v>
      </c>
      <c r="EH156" s="58">
        <f t="shared" si="769"/>
        <v>0</v>
      </c>
      <c r="EI156" s="58">
        <f t="shared" si="769"/>
        <v>0</v>
      </c>
      <c r="EJ156" s="19" t="str">
        <f t="shared" si="681"/>
        <v>Administrative Expenses</v>
      </c>
      <c r="EK156" s="58">
        <f t="shared" ref="EK156:EW156" si="770">+EK157+EK164+EK172+EK178+EK182+EK187+EK193+EK205+EK209+EK214</f>
        <v>1181587.2200000002</v>
      </c>
      <c r="EL156" s="58">
        <f t="shared" si="770"/>
        <v>1022557.8</v>
      </c>
      <c r="EM156" s="58">
        <f t="shared" si="770"/>
        <v>970568.62</v>
      </c>
      <c r="EN156" s="58">
        <f t="shared" si="770"/>
        <v>925429</v>
      </c>
      <c r="EO156" s="58">
        <f t="shared" si="770"/>
        <v>1049540.4099999999</v>
      </c>
      <c r="EP156" s="58">
        <f t="shared" si="770"/>
        <v>1006960.014</v>
      </c>
      <c r="EQ156" s="58">
        <f t="shared" si="770"/>
        <v>1452929.0766666667</v>
      </c>
      <c r="ER156" s="58">
        <f t="shared" si="770"/>
        <v>1037046.6</v>
      </c>
      <c r="ES156" s="58">
        <f t="shared" si="770"/>
        <v>1264314.3900000001</v>
      </c>
      <c r="ET156" s="58">
        <f t="shared" si="770"/>
        <v>999173.17</v>
      </c>
      <c r="EU156" s="58">
        <f t="shared" si="770"/>
        <v>0</v>
      </c>
      <c r="EV156" s="58">
        <f t="shared" si="770"/>
        <v>0</v>
      </c>
      <c r="EW156" s="58">
        <f t="shared" si="770"/>
        <v>10910106.300666668</v>
      </c>
      <c r="EX156" s="118"/>
      <c r="EY156" s="58">
        <f t="shared" ref="EY156:FK156" si="771">+EY157+EY164+EY172+EY178+EY182+EY187+EY193+EY205+EY209+EY214</f>
        <v>1013228.3333333335</v>
      </c>
      <c r="EZ156" s="58">
        <f t="shared" si="771"/>
        <v>1013228.3333333334</v>
      </c>
      <c r="FA156" s="58">
        <f t="shared" si="771"/>
        <v>1013228.3333333334</v>
      </c>
      <c r="FB156" s="58">
        <f t="shared" si="771"/>
        <v>1013228.3333333334</v>
      </c>
      <c r="FC156" s="58">
        <f t="shared" si="771"/>
        <v>1013228.3333333334</v>
      </c>
      <c r="FD156" s="58">
        <f t="shared" si="771"/>
        <v>1013228.3333333334</v>
      </c>
      <c r="FE156" s="58">
        <f t="shared" si="771"/>
        <v>1013228.3333333334</v>
      </c>
      <c r="FF156" s="58">
        <f t="shared" si="771"/>
        <v>1013228.3333333334</v>
      </c>
      <c r="FG156" s="58">
        <f t="shared" si="771"/>
        <v>1013228.3333333334</v>
      </c>
      <c r="FH156" s="58">
        <f t="shared" si="771"/>
        <v>1013228.3333333334</v>
      </c>
      <c r="FI156" s="58">
        <f t="shared" si="771"/>
        <v>1013228.3333333334</v>
      </c>
      <c r="FJ156" s="58">
        <f t="shared" si="771"/>
        <v>1013228.3333333334</v>
      </c>
      <c r="FK156" s="58">
        <f t="shared" si="771"/>
        <v>12158740</v>
      </c>
    </row>
    <row r="157" spans="1:167" ht="14.45" customHeight="1" outlineLevel="1">
      <c r="A157" s="58">
        <f t="shared" ref="A157:M157" si="772">+SUM(A158:A162)</f>
        <v>112101.59849999999</v>
      </c>
      <c r="B157" s="58">
        <f t="shared" si="772"/>
        <v>167727.095</v>
      </c>
      <c r="C157" s="58">
        <f t="shared" si="772"/>
        <v>163722.75</v>
      </c>
      <c r="D157" s="58">
        <f t="shared" si="772"/>
        <v>67124.800000000003</v>
      </c>
      <c r="E157" s="58">
        <f t="shared" si="772"/>
        <v>64714.305999999997</v>
      </c>
      <c r="F157" s="58">
        <f t="shared" si="772"/>
        <v>183853.25</v>
      </c>
      <c r="G157" s="58">
        <f t="shared" si="772"/>
        <v>158482.97</v>
      </c>
      <c r="H157" s="58">
        <f t="shared" si="772"/>
        <v>189936.75</v>
      </c>
      <c r="I157" s="58">
        <f t="shared" si="772"/>
        <v>174600.86199999999</v>
      </c>
      <c r="J157" s="58">
        <f t="shared" si="772"/>
        <v>145567.66</v>
      </c>
      <c r="K157" s="58">
        <f t="shared" si="772"/>
        <v>84202.02</v>
      </c>
      <c r="L157" s="58">
        <f t="shared" si="772"/>
        <v>141677.60999999999</v>
      </c>
      <c r="M157" s="58">
        <f t="shared" si="772"/>
        <v>1653711.6715000002</v>
      </c>
      <c r="N157" s="20" t="s">
        <v>130</v>
      </c>
      <c r="O157" s="58">
        <f t="shared" ref="O157:AA157" si="773">+SUM(O158:O162)</f>
        <v>205831.334</v>
      </c>
      <c r="P157" s="58">
        <f t="shared" si="773"/>
        <v>424372.10550000001</v>
      </c>
      <c r="Q157" s="58">
        <f t="shared" si="773"/>
        <v>258691.09649999999</v>
      </c>
      <c r="R157" s="58">
        <f t="shared" si="773"/>
        <v>113145.70999999999</v>
      </c>
      <c r="S157" s="58">
        <f t="shared" si="773"/>
        <v>144484.18999999997</v>
      </c>
      <c r="T157" s="58">
        <f t="shared" si="773"/>
        <v>508328.42700000003</v>
      </c>
      <c r="U157" s="58">
        <f t="shared" si="773"/>
        <v>253358.75916666674</v>
      </c>
      <c r="V157" s="58">
        <f t="shared" si="773"/>
        <v>130843.37099999998</v>
      </c>
      <c r="W157" s="58">
        <f t="shared" si="773"/>
        <v>610413.12</v>
      </c>
      <c r="X157" s="58">
        <f t="shared" si="773"/>
        <v>302273.44999999995</v>
      </c>
      <c r="Y157" s="58">
        <f t="shared" si="773"/>
        <v>0</v>
      </c>
      <c r="Z157" s="58">
        <f t="shared" si="773"/>
        <v>0</v>
      </c>
      <c r="AA157" s="58">
        <f t="shared" si="773"/>
        <v>2951741.5631666668</v>
      </c>
      <c r="AB157" s="118"/>
      <c r="AC157" s="58">
        <f t="shared" ref="AC157:AO157" si="774">+SUM(AC158:AC162)</f>
        <v>121953.59975222222</v>
      </c>
      <c r="AD157" s="58">
        <f t="shared" si="774"/>
        <v>121953.59975222222</v>
      </c>
      <c r="AE157" s="58">
        <f t="shared" si="774"/>
        <v>121953.59975222222</v>
      </c>
      <c r="AF157" s="58">
        <f t="shared" si="774"/>
        <v>122846.09975222222</v>
      </c>
      <c r="AG157" s="58">
        <f t="shared" si="774"/>
        <v>122846.09975222222</v>
      </c>
      <c r="AH157" s="58">
        <f t="shared" si="774"/>
        <v>122846.09975222222</v>
      </c>
      <c r="AI157" s="58">
        <f t="shared" si="774"/>
        <v>122846.09975222222</v>
      </c>
      <c r="AJ157" s="58">
        <f t="shared" si="774"/>
        <v>122846.09975222222</v>
      </c>
      <c r="AK157" s="58">
        <f t="shared" si="774"/>
        <v>118206.71478472222</v>
      </c>
      <c r="AL157" s="58">
        <f t="shared" si="774"/>
        <v>119097.96026388886</v>
      </c>
      <c r="AM157" s="58">
        <f t="shared" si="774"/>
        <v>119097.96026388886</v>
      </c>
      <c r="AN157" s="58">
        <f t="shared" si="774"/>
        <v>159097.96026388885</v>
      </c>
      <c r="AO157" s="58">
        <f t="shared" si="774"/>
        <v>1495591.8935941667</v>
      </c>
      <c r="AP157" s="106"/>
      <c r="AQ157" s="58">
        <f t="shared" ref="AQ157:BC157" si="775">+SUM(AQ158:AQ162)</f>
        <v>54521.188999999998</v>
      </c>
      <c r="AR157" s="58">
        <f t="shared" si="775"/>
        <v>140418.54</v>
      </c>
      <c r="AS157" s="58">
        <f t="shared" si="775"/>
        <v>128006.5</v>
      </c>
      <c r="AT157" s="58">
        <f t="shared" si="775"/>
        <v>59121.8</v>
      </c>
      <c r="AU157" s="58">
        <f t="shared" si="775"/>
        <v>50945.203999999998</v>
      </c>
      <c r="AV157" s="58">
        <f t="shared" si="775"/>
        <v>91941.05</v>
      </c>
      <c r="AW157" s="58">
        <f t="shared" si="775"/>
        <v>127615.77</v>
      </c>
      <c r="AX157" s="58">
        <f t="shared" si="775"/>
        <v>154567.88</v>
      </c>
      <c r="AY157" s="58">
        <f t="shared" si="775"/>
        <v>141182.696</v>
      </c>
      <c r="AZ157" s="58">
        <f t="shared" si="775"/>
        <v>78925.710000000006</v>
      </c>
      <c r="BA157" s="58">
        <f t="shared" si="775"/>
        <v>70711.740000000005</v>
      </c>
      <c r="BB157" s="58">
        <f t="shared" si="775"/>
        <v>101917.15999999999</v>
      </c>
      <c r="BC157" s="58">
        <f t="shared" si="775"/>
        <v>1199875.2390000001</v>
      </c>
      <c r="BD157" s="20" t="str">
        <f t="shared" si="671"/>
        <v>Repair and Maintenance</v>
      </c>
      <c r="BE157" s="58">
        <f t="shared" ref="BE157:BQ157" si="776">+SUM(BE158:BE162)</f>
        <v>39327.576000000001</v>
      </c>
      <c r="BF157" s="58">
        <f t="shared" si="776"/>
        <v>160663.43700000001</v>
      </c>
      <c r="BG157" s="58">
        <f t="shared" si="776"/>
        <v>54596.351000000002</v>
      </c>
      <c r="BH157" s="58">
        <f t="shared" si="776"/>
        <v>67705.429999999993</v>
      </c>
      <c r="BI157" s="58">
        <f t="shared" si="776"/>
        <v>116693.91</v>
      </c>
      <c r="BJ157" s="58">
        <f t="shared" si="776"/>
        <v>336675.228</v>
      </c>
      <c r="BK157" s="58">
        <f t="shared" si="776"/>
        <v>38737.522222222251</v>
      </c>
      <c r="BL157" s="58">
        <f t="shared" si="776"/>
        <v>103257.00399999999</v>
      </c>
      <c r="BM157" s="58">
        <f t="shared" si="776"/>
        <v>123212.12</v>
      </c>
      <c r="BN157" s="58">
        <f t="shared" si="776"/>
        <v>204985.37</v>
      </c>
      <c r="BO157" s="58">
        <f t="shared" si="776"/>
        <v>0</v>
      </c>
      <c r="BP157" s="58">
        <f t="shared" si="776"/>
        <v>0</v>
      </c>
      <c r="BQ157" s="58">
        <f t="shared" si="776"/>
        <v>1245853.9482222223</v>
      </c>
      <c r="BR157" s="118"/>
      <c r="BS157" s="58">
        <f t="shared" ref="BS157:CE157" si="777">+SUM(BS158:BS162)</f>
        <v>76466.298472222232</v>
      </c>
      <c r="BT157" s="58">
        <f t="shared" si="777"/>
        <v>76466.298472222232</v>
      </c>
      <c r="BU157" s="58">
        <f t="shared" si="777"/>
        <v>76466.298472222232</v>
      </c>
      <c r="BV157" s="58">
        <f t="shared" si="777"/>
        <v>77358.798472222232</v>
      </c>
      <c r="BW157" s="58">
        <f t="shared" si="777"/>
        <v>77358.798472222232</v>
      </c>
      <c r="BX157" s="58">
        <f t="shared" si="777"/>
        <v>77358.798472222232</v>
      </c>
      <c r="BY157" s="58">
        <f t="shared" si="777"/>
        <v>77358.798472222232</v>
      </c>
      <c r="BZ157" s="58">
        <f t="shared" si="777"/>
        <v>77358.798472222232</v>
      </c>
      <c r="CA157" s="58">
        <f t="shared" si="777"/>
        <v>77358.798472222232</v>
      </c>
      <c r="CB157" s="58">
        <f t="shared" si="777"/>
        <v>78250.043951388856</v>
      </c>
      <c r="CC157" s="58">
        <f t="shared" si="777"/>
        <v>78250.043951388856</v>
      </c>
      <c r="CD157" s="58">
        <f t="shared" si="777"/>
        <v>118250.04395138886</v>
      </c>
      <c r="CE157" s="58">
        <f t="shared" si="777"/>
        <v>968301.81810416677</v>
      </c>
      <c r="CF157" s="106"/>
      <c r="CG157" s="58">
        <f t="shared" ref="CG157:CS157" si="778">+SUM(CG158:CG162)</f>
        <v>57580.409499999994</v>
      </c>
      <c r="CH157" s="58">
        <f t="shared" si="778"/>
        <v>27308.555</v>
      </c>
      <c r="CI157" s="58">
        <f t="shared" si="778"/>
        <v>35716.25</v>
      </c>
      <c r="CJ157" s="58">
        <f t="shared" si="778"/>
        <v>8003</v>
      </c>
      <c r="CK157" s="58">
        <f t="shared" si="778"/>
        <v>13769.101999999999</v>
      </c>
      <c r="CL157" s="58">
        <f t="shared" si="778"/>
        <v>91912.2</v>
      </c>
      <c r="CM157" s="58">
        <f t="shared" si="778"/>
        <v>30867.200000000001</v>
      </c>
      <c r="CN157" s="58">
        <f t="shared" si="778"/>
        <v>35368.869999999995</v>
      </c>
      <c r="CO157" s="58">
        <f t="shared" si="778"/>
        <v>33418.165999999997</v>
      </c>
      <c r="CP157" s="58">
        <f t="shared" si="778"/>
        <v>66641.95</v>
      </c>
      <c r="CQ157" s="58">
        <f t="shared" si="778"/>
        <v>13490.28</v>
      </c>
      <c r="CR157" s="58">
        <f t="shared" si="778"/>
        <v>39760.449999999997</v>
      </c>
      <c r="CS157" s="58">
        <f t="shared" si="778"/>
        <v>453836.4325</v>
      </c>
      <c r="CT157" s="20" t="str">
        <f t="shared" si="675"/>
        <v>Repair and Maintenance</v>
      </c>
      <c r="CU157" s="58">
        <f t="shared" ref="CU157:DG157" si="779">+SUM(CU158:CU162)</f>
        <v>50727.457999999999</v>
      </c>
      <c r="CV157" s="58">
        <f t="shared" si="779"/>
        <v>234578.6685</v>
      </c>
      <c r="CW157" s="58">
        <f t="shared" si="779"/>
        <v>160769.67550000001</v>
      </c>
      <c r="CX157" s="58">
        <f t="shared" si="779"/>
        <v>13590.28</v>
      </c>
      <c r="CY157" s="58">
        <f t="shared" si="779"/>
        <v>22190.28</v>
      </c>
      <c r="CZ157" s="58">
        <f t="shared" si="779"/>
        <v>39615.358999999997</v>
      </c>
      <c r="DA157" s="58">
        <f t="shared" si="779"/>
        <v>71510.486944444478</v>
      </c>
      <c r="DB157" s="58">
        <f t="shared" si="779"/>
        <v>25786.366999999998</v>
      </c>
      <c r="DC157" s="58">
        <f t="shared" si="779"/>
        <v>184951</v>
      </c>
      <c r="DD157" s="58">
        <f t="shared" si="779"/>
        <v>79461.38</v>
      </c>
      <c r="DE157" s="58">
        <f t="shared" si="779"/>
        <v>0</v>
      </c>
      <c r="DF157" s="58">
        <f t="shared" si="779"/>
        <v>0</v>
      </c>
      <c r="DG157" s="58">
        <f t="shared" si="779"/>
        <v>883180.95494444447</v>
      </c>
      <c r="DH157" s="118"/>
      <c r="DI157" s="58">
        <f t="shared" ref="DI157:DU157" si="780">+SUM(DI158:DI162)</f>
        <v>35987.30128</v>
      </c>
      <c r="DJ157" s="58">
        <f t="shared" si="780"/>
        <v>35987.30128</v>
      </c>
      <c r="DK157" s="58">
        <f t="shared" si="780"/>
        <v>35987.30128</v>
      </c>
      <c r="DL157" s="58">
        <f t="shared" si="780"/>
        <v>35987.30128</v>
      </c>
      <c r="DM157" s="58">
        <f t="shared" si="780"/>
        <v>35987.30128</v>
      </c>
      <c r="DN157" s="58">
        <f t="shared" si="780"/>
        <v>35987.30128</v>
      </c>
      <c r="DO157" s="58">
        <f t="shared" si="780"/>
        <v>35987.30128</v>
      </c>
      <c r="DP157" s="58">
        <f t="shared" si="780"/>
        <v>35987.30128</v>
      </c>
      <c r="DQ157" s="58">
        <f t="shared" si="780"/>
        <v>31347.916312500001</v>
      </c>
      <c r="DR157" s="58">
        <f t="shared" si="780"/>
        <v>31347.916312500001</v>
      </c>
      <c r="DS157" s="58">
        <f t="shared" si="780"/>
        <v>31347.916312500001</v>
      </c>
      <c r="DT157" s="58">
        <f t="shared" si="780"/>
        <v>31347.916312500001</v>
      </c>
      <c r="DU157" s="58">
        <f t="shared" si="780"/>
        <v>413290.07549000002</v>
      </c>
      <c r="DV157" s="106"/>
      <c r="DW157" s="58">
        <f t="shared" ref="DW157:EI157" si="781">+SUM(DW158:DW162)</f>
        <v>0</v>
      </c>
      <c r="DX157" s="58">
        <f t="shared" si="781"/>
        <v>0</v>
      </c>
      <c r="DY157" s="58">
        <f t="shared" si="781"/>
        <v>0</v>
      </c>
      <c r="DZ157" s="58">
        <f t="shared" si="781"/>
        <v>0</v>
      </c>
      <c r="EA157" s="58">
        <f t="shared" si="781"/>
        <v>0</v>
      </c>
      <c r="EB157" s="58">
        <f t="shared" si="781"/>
        <v>0</v>
      </c>
      <c r="EC157" s="58">
        <f t="shared" si="781"/>
        <v>0</v>
      </c>
      <c r="ED157" s="58">
        <f t="shared" si="781"/>
        <v>0</v>
      </c>
      <c r="EE157" s="58">
        <f t="shared" si="781"/>
        <v>0</v>
      </c>
      <c r="EF157" s="58">
        <f t="shared" si="781"/>
        <v>0</v>
      </c>
      <c r="EG157" s="58">
        <f t="shared" si="781"/>
        <v>0</v>
      </c>
      <c r="EH157" s="58">
        <f t="shared" si="781"/>
        <v>0</v>
      </c>
      <c r="EI157" s="58">
        <f t="shared" si="781"/>
        <v>0</v>
      </c>
      <c r="EJ157" s="20" t="str">
        <f t="shared" si="681"/>
        <v>Repair and Maintenance</v>
      </c>
      <c r="EK157" s="58">
        <f t="shared" ref="EK157:EW157" si="782">+SUM(EK158:EK162)</f>
        <v>115776.3</v>
      </c>
      <c r="EL157" s="58">
        <f t="shared" si="782"/>
        <v>29130</v>
      </c>
      <c r="EM157" s="58">
        <f t="shared" si="782"/>
        <v>43325.07</v>
      </c>
      <c r="EN157" s="58">
        <f t="shared" si="782"/>
        <v>31850</v>
      </c>
      <c r="EO157" s="58">
        <f t="shared" si="782"/>
        <v>5600</v>
      </c>
      <c r="EP157" s="58">
        <f t="shared" si="782"/>
        <v>132037.84</v>
      </c>
      <c r="EQ157" s="58">
        <f t="shared" si="782"/>
        <v>143110.75</v>
      </c>
      <c r="ER157" s="58">
        <f t="shared" si="782"/>
        <v>1800</v>
      </c>
      <c r="ES157" s="58">
        <f t="shared" si="782"/>
        <v>302250</v>
      </c>
      <c r="ET157" s="58">
        <f t="shared" si="782"/>
        <v>17826.7</v>
      </c>
      <c r="EU157" s="58">
        <f t="shared" si="782"/>
        <v>0</v>
      </c>
      <c r="EV157" s="58">
        <f t="shared" si="782"/>
        <v>0</v>
      </c>
      <c r="EW157" s="58">
        <f t="shared" si="782"/>
        <v>822706.66</v>
      </c>
      <c r="EX157" s="118"/>
      <c r="EY157" s="58">
        <f t="shared" ref="EY157:FK157" si="783">+SUM(EY158:EY162)</f>
        <v>9500</v>
      </c>
      <c r="EZ157" s="58">
        <f t="shared" si="783"/>
        <v>9500</v>
      </c>
      <c r="FA157" s="58">
        <f t="shared" si="783"/>
        <v>9500</v>
      </c>
      <c r="FB157" s="58">
        <f t="shared" si="783"/>
        <v>9500</v>
      </c>
      <c r="FC157" s="58">
        <f t="shared" si="783"/>
        <v>9500</v>
      </c>
      <c r="FD157" s="58">
        <f t="shared" si="783"/>
        <v>9500</v>
      </c>
      <c r="FE157" s="58">
        <f t="shared" si="783"/>
        <v>9500</v>
      </c>
      <c r="FF157" s="58">
        <f t="shared" si="783"/>
        <v>9500</v>
      </c>
      <c r="FG157" s="58">
        <f t="shared" si="783"/>
        <v>9500</v>
      </c>
      <c r="FH157" s="58">
        <f t="shared" si="783"/>
        <v>9500</v>
      </c>
      <c r="FI157" s="58">
        <f t="shared" si="783"/>
        <v>9500</v>
      </c>
      <c r="FJ157" s="58">
        <f t="shared" si="783"/>
        <v>9500</v>
      </c>
      <c r="FK157" s="58">
        <f t="shared" si="783"/>
        <v>114000</v>
      </c>
    </row>
    <row r="158" spans="1:167" ht="14.45" customHeight="1" outlineLevel="2">
      <c r="A158" s="106">
        <f t="shared" ref="A158:L162" si="784">+AQ158+CG158+DW158</f>
        <v>0</v>
      </c>
      <c r="B158" s="106">
        <f t="shared" si="784"/>
        <v>77800</v>
      </c>
      <c r="C158" s="106">
        <f t="shared" si="784"/>
        <v>34725</v>
      </c>
      <c r="D158" s="106">
        <f t="shared" si="784"/>
        <v>0</v>
      </c>
      <c r="E158" s="106">
        <f t="shared" si="784"/>
        <v>0</v>
      </c>
      <c r="F158" s="106">
        <f t="shared" si="784"/>
        <v>0</v>
      </c>
      <c r="G158" s="106">
        <f t="shared" si="784"/>
        <v>53075</v>
      </c>
      <c r="H158" s="106">
        <f t="shared" si="784"/>
        <v>38618</v>
      </c>
      <c r="I158" s="106">
        <f t="shared" si="784"/>
        <v>27390</v>
      </c>
      <c r="J158" s="106">
        <f t="shared" si="784"/>
        <v>0</v>
      </c>
      <c r="K158" s="106">
        <f t="shared" si="784"/>
        <v>13675</v>
      </c>
      <c r="L158" s="106">
        <f t="shared" si="784"/>
        <v>91972</v>
      </c>
      <c r="M158" s="106">
        <f t="shared" ref="M158:M162" si="785">+SUM(A158:L158)</f>
        <v>337255</v>
      </c>
      <c r="N158" s="16" t="s">
        <v>131</v>
      </c>
      <c r="O158" s="106">
        <f t="shared" ref="O158:Z162" si="786">+BE158+CU158+EK158</f>
        <v>0</v>
      </c>
      <c r="P158" s="106">
        <f t="shared" si="786"/>
        <v>165000</v>
      </c>
      <c r="Q158" s="106">
        <f t="shared" si="786"/>
        <v>116900</v>
      </c>
      <c r="R158" s="106">
        <f t="shared" si="786"/>
        <v>0</v>
      </c>
      <c r="S158" s="106">
        <f t="shared" si="786"/>
        <v>34947.229999999996</v>
      </c>
      <c r="T158" s="106">
        <f t="shared" si="786"/>
        <v>125463.88</v>
      </c>
      <c r="U158" s="106">
        <f t="shared" si="786"/>
        <v>0</v>
      </c>
      <c r="V158" s="106">
        <f t="shared" si="786"/>
        <v>0</v>
      </c>
      <c r="W158" s="106">
        <f t="shared" si="786"/>
        <v>299950</v>
      </c>
      <c r="X158" s="106">
        <f t="shared" si="786"/>
        <v>0</v>
      </c>
      <c r="Y158" s="106">
        <f t="shared" si="786"/>
        <v>0</v>
      </c>
      <c r="Z158" s="106">
        <f t="shared" si="786"/>
        <v>0</v>
      </c>
      <c r="AA158" s="106">
        <f t="shared" ref="AA158:AA162" si="787">+SUM(O158:Z158)</f>
        <v>742261.11</v>
      </c>
      <c r="AB158" s="118"/>
      <c r="AC158" s="106">
        <f t="shared" ref="AC158:AN162" si="788">+BS158+DI158+EY158</f>
        <v>33900</v>
      </c>
      <c r="AD158" s="106">
        <f t="shared" si="788"/>
        <v>33900</v>
      </c>
      <c r="AE158" s="106">
        <f t="shared" si="788"/>
        <v>33900</v>
      </c>
      <c r="AF158" s="106">
        <f t="shared" si="788"/>
        <v>33900</v>
      </c>
      <c r="AG158" s="106">
        <f t="shared" si="788"/>
        <v>33900</v>
      </c>
      <c r="AH158" s="106">
        <f t="shared" si="788"/>
        <v>33900</v>
      </c>
      <c r="AI158" s="106">
        <f t="shared" si="788"/>
        <v>33900</v>
      </c>
      <c r="AJ158" s="106">
        <f t="shared" si="788"/>
        <v>33900</v>
      </c>
      <c r="AK158" s="106">
        <f t="shared" si="788"/>
        <v>33900</v>
      </c>
      <c r="AL158" s="106">
        <f t="shared" si="788"/>
        <v>33900</v>
      </c>
      <c r="AM158" s="106">
        <f t="shared" si="788"/>
        <v>33900</v>
      </c>
      <c r="AN158" s="106">
        <f t="shared" si="788"/>
        <v>33900</v>
      </c>
      <c r="AO158" s="106">
        <f t="shared" ref="AO158:AO162" si="789">+SUM(AC158:AN158)</f>
        <v>406800</v>
      </c>
      <c r="AP158" s="106"/>
      <c r="AQ158" s="106">
        <f>+PMGR!AQ158+BP!AQ158</f>
        <v>0</v>
      </c>
      <c r="AR158" s="106">
        <f>+PMGR!AR158+BP!AR158</f>
        <v>77800</v>
      </c>
      <c r="AS158" s="106">
        <f>+PMGR!AS158+BP!AS158</f>
        <v>24725</v>
      </c>
      <c r="AT158" s="106">
        <f>+PMGR!AT158+BP!AT158</f>
        <v>0</v>
      </c>
      <c r="AU158" s="106">
        <f>+PMGR!AU158+BP!AU158</f>
        <v>0</v>
      </c>
      <c r="AV158" s="106">
        <f>+PMGR!AV158+BP!AV158</f>
        <v>0</v>
      </c>
      <c r="AW158" s="106">
        <f>+PMGR!AW158+BP!AW158</f>
        <v>47500</v>
      </c>
      <c r="AX158" s="106">
        <f>+PMGR!AX158+BP!AX158</f>
        <v>38618</v>
      </c>
      <c r="AY158" s="106">
        <f>+PMGR!AY158+BP!AY158</f>
        <v>0</v>
      </c>
      <c r="AZ158" s="106">
        <f>+PMGR!AZ158+BP!AZ158</f>
        <v>0</v>
      </c>
      <c r="BA158" s="106">
        <f>+PMGR!BA158+BP!BA158</f>
        <v>3000</v>
      </c>
      <c r="BB158" s="106">
        <f>+PMGR!BB158+BP!BB158</f>
        <v>59964</v>
      </c>
      <c r="BC158" s="106">
        <f t="shared" ref="BC158:BC162" si="790">+SUM(AQ158:BB158)</f>
        <v>251607</v>
      </c>
      <c r="BD158" s="16" t="str">
        <f t="shared" si="671"/>
        <v>Repair and Maintenance - Building</v>
      </c>
      <c r="BE158" s="106">
        <f>+PMGR!BE158+BP!BE158</f>
        <v>0</v>
      </c>
      <c r="BF158" s="106">
        <f>+PMGR!BF158+BP!BF158</f>
        <v>0</v>
      </c>
      <c r="BG158" s="106">
        <f>+PMGR!BG158+BP!BG158</f>
        <v>0</v>
      </c>
      <c r="BH158" s="106">
        <f>+PMGR!BH158+BP!BH158</f>
        <v>0</v>
      </c>
      <c r="BI158" s="106">
        <f>+PMGR!BI158+BP!BI158</f>
        <v>24897.23</v>
      </c>
      <c r="BJ158" s="106">
        <f>+PMGR!BJ158+BP!BJ158</f>
        <v>180022.13</v>
      </c>
      <c r="BK158" s="106">
        <f>+PMGR!BK158+BP!BK158</f>
        <v>0</v>
      </c>
      <c r="BL158" s="106">
        <f>+PMGR!BL158+BP!BL158</f>
        <v>0</v>
      </c>
      <c r="BM158" s="106">
        <f>+PMGR!BM158+BP!BM158</f>
        <v>0</v>
      </c>
      <c r="BN158" s="106">
        <f>+PMGR!BN158+BP!BN158</f>
        <v>0</v>
      </c>
      <c r="BO158" s="106">
        <f>+PMGR!BO158+BP!BO158</f>
        <v>0</v>
      </c>
      <c r="BP158" s="106">
        <f>+PMGR!BP158+BP!BP158</f>
        <v>0</v>
      </c>
      <c r="BQ158" s="106">
        <f t="shared" ref="BQ158:BQ162" si="791">+SUM(BE158:BP158)</f>
        <v>204919.36000000002</v>
      </c>
      <c r="BR158" s="118"/>
      <c r="BS158" s="106">
        <f>+PMGR!BS158+BP!BS158</f>
        <v>18300</v>
      </c>
      <c r="BT158" s="106">
        <f>+PMGR!BT158+BP!BT158</f>
        <v>18300</v>
      </c>
      <c r="BU158" s="106">
        <f>+PMGR!BU158+BP!BU158</f>
        <v>18300</v>
      </c>
      <c r="BV158" s="106">
        <f>+PMGR!BV158+BP!BV158</f>
        <v>18300</v>
      </c>
      <c r="BW158" s="106">
        <f>+PMGR!BW158+BP!BW158</f>
        <v>18300</v>
      </c>
      <c r="BX158" s="106">
        <f>+PMGR!BX158+BP!BX158</f>
        <v>18300</v>
      </c>
      <c r="BY158" s="106">
        <f>+PMGR!BY158+BP!BY158</f>
        <v>18300</v>
      </c>
      <c r="BZ158" s="106">
        <f>+PMGR!BZ158+BP!BZ158</f>
        <v>18300</v>
      </c>
      <c r="CA158" s="106">
        <f>+PMGR!CA158+BP!CA158</f>
        <v>18300</v>
      </c>
      <c r="CB158" s="106">
        <f>+PMGR!CB158+BP!CB158</f>
        <v>18300</v>
      </c>
      <c r="CC158" s="106">
        <f>+PMGR!CC158+BP!CC158</f>
        <v>18300</v>
      </c>
      <c r="CD158" s="106">
        <f>+PMGR!CD158+BP!CD158</f>
        <v>18300</v>
      </c>
      <c r="CE158" s="106">
        <f t="shared" ref="CE158:CE162" si="792">+SUM(BS158:CD158)</f>
        <v>219600</v>
      </c>
      <c r="CF158" s="106"/>
      <c r="CG158" s="106">
        <f>+PMGR!CG158+BP!CG158</f>
        <v>0</v>
      </c>
      <c r="CH158" s="106">
        <f>+PMGR!CH158+BP!CH158</f>
        <v>0</v>
      </c>
      <c r="CI158" s="106">
        <f>+PMGR!CI158+BP!CI158</f>
        <v>10000</v>
      </c>
      <c r="CJ158" s="106">
        <f>+PMGR!CJ158+BP!CJ158</f>
        <v>0</v>
      </c>
      <c r="CK158" s="106">
        <f>+PMGR!CK158+BP!CK158</f>
        <v>0</v>
      </c>
      <c r="CL158" s="106">
        <f>+PMGR!CL158+BP!CL158</f>
        <v>0</v>
      </c>
      <c r="CM158" s="106">
        <f>+PMGR!CM158+BP!CM158</f>
        <v>5575</v>
      </c>
      <c r="CN158" s="106">
        <f>+PMGR!CN158+BP!CN158</f>
        <v>0</v>
      </c>
      <c r="CO158" s="106">
        <f>+PMGR!CO158+BP!CO158</f>
        <v>27390</v>
      </c>
      <c r="CP158" s="106">
        <f>+PMGR!CP158+BP!CP158</f>
        <v>0</v>
      </c>
      <c r="CQ158" s="106">
        <f>+PMGR!CQ158+BP!CQ158</f>
        <v>10675</v>
      </c>
      <c r="CR158" s="106">
        <f>+PMGR!CR158+BP!CR158</f>
        <v>32008</v>
      </c>
      <c r="CS158" s="106">
        <f t="shared" ref="CS158:CS162" si="793">+SUM(CG158:CR158)</f>
        <v>85648</v>
      </c>
      <c r="CT158" s="16" t="str">
        <f t="shared" si="675"/>
        <v>Repair and Maintenance - Building</v>
      </c>
      <c r="CU158" s="106">
        <f>+PMGR!CU158+BP!CU158</f>
        <v>0</v>
      </c>
      <c r="CV158" s="106">
        <f>+PMGR!CV158+BP!CV158</f>
        <v>165000</v>
      </c>
      <c r="CW158" s="106">
        <f>+PMGR!CW158+BP!CW158</f>
        <v>116900</v>
      </c>
      <c r="CX158" s="106">
        <f>+PMGR!CX158+BP!CX158</f>
        <v>0</v>
      </c>
      <c r="CY158" s="106">
        <f>+PMGR!CY158+BP!CY158</f>
        <v>10050</v>
      </c>
      <c r="CZ158" s="106">
        <f>+PMGR!CZ158+BP!CZ158</f>
        <v>0</v>
      </c>
      <c r="DA158" s="106">
        <f>+PMGR!DA158+BP!DA158</f>
        <v>0</v>
      </c>
      <c r="DB158" s="106">
        <f>+PMGR!DB158+BP!DB158</f>
        <v>0</v>
      </c>
      <c r="DC158" s="106">
        <f>+PMGR!DC158+BP!DC158</f>
        <v>0</v>
      </c>
      <c r="DD158" s="106">
        <f>+PMGR!DD158+BP!DD158</f>
        <v>0</v>
      </c>
      <c r="DE158" s="106">
        <f>+PMGR!DE158+BP!DE158</f>
        <v>0</v>
      </c>
      <c r="DF158" s="106">
        <f>+PMGR!DF158+BP!DF158</f>
        <v>0</v>
      </c>
      <c r="DG158" s="106">
        <f t="shared" ref="DG158:DG162" si="794">+SUM(CU158:DF158)</f>
        <v>291950</v>
      </c>
      <c r="DH158" s="118"/>
      <c r="DI158" s="106">
        <f>+PMGR!DI158+BP!DI158</f>
        <v>10600</v>
      </c>
      <c r="DJ158" s="106">
        <f>+PMGR!DJ158+BP!DJ158</f>
        <v>10600</v>
      </c>
      <c r="DK158" s="106">
        <f>+PMGR!DK158+BP!DK158</f>
        <v>10600</v>
      </c>
      <c r="DL158" s="106">
        <f>+PMGR!DL158+BP!DL158</f>
        <v>10600</v>
      </c>
      <c r="DM158" s="106">
        <f>+PMGR!DM158+BP!DM158</f>
        <v>10600</v>
      </c>
      <c r="DN158" s="106">
        <f>+PMGR!DN158+BP!DN158</f>
        <v>10600</v>
      </c>
      <c r="DO158" s="106">
        <f>+PMGR!DO158+BP!DO158</f>
        <v>10600</v>
      </c>
      <c r="DP158" s="106">
        <f>+PMGR!DP158+BP!DP158</f>
        <v>10600</v>
      </c>
      <c r="DQ158" s="106">
        <f>+PMGR!DQ158+BP!DQ158</f>
        <v>10600</v>
      </c>
      <c r="DR158" s="106">
        <f>+PMGR!DR158+BP!DR158</f>
        <v>10600</v>
      </c>
      <c r="DS158" s="106">
        <f>+PMGR!DS158+BP!DS158</f>
        <v>10600</v>
      </c>
      <c r="DT158" s="106">
        <f>+PMGR!DT158+BP!DT158</f>
        <v>10600</v>
      </c>
      <c r="DU158" s="106">
        <f t="shared" ref="DU158:DU162" si="795">+SUM(DI158:DT158)</f>
        <v>127200</v>
      </c>
      <c r="DV158" s="106"/>
      <c r="DW158" s="106">
        <f>+PMGR!DW158+BP!DW158</f>
        <v>0</v>
      </c>
      <c r="DX158" s="106">
        <f>+PMGR!DX158+BP!DX158</f>
        <v>0</v>
      </c>
      <c r="DY158" s="106">
        <f>+PMGR!DY158+BP!DY158</f>
        <v>0</v>
      </c>
      <c r="DZ158" s="106">
        <f>+PMGR!DZ158+BP!DZ158</f>
        <v>0</v>
      </c>
      <c r="EA158" s="106">
        <f>+PMGR!EA158+BP!EA158</f>
        <v>0</v>
      </c>
      <c r="EB158" s="106">
        <f>+PMGR!EB158+BP!EB158</f>
        <v>0</v>
      </c>
      <c r="EC158" s="106">
        <f>+PMGR!EC158+BP!EC158</f>
        <v>0</v>
      </c>
      <c r="ED158" s="106">
        <f>+PMGR!ED158+BP!ED158</f>
        <v>0</v>
      </c>
      <c r="EE158" s="106">
        <f>+PMGR!EE158+BP!EE158</f>
        <v>0</v>
      </c>
      <c r="EF158" s="106">
        <f>+PMGR!EF158+BP!EF158</f>
        <v>0</v>
      </c>
      <c r="EG158" s="106">
        <f>+PMGR!EG158+BP!EG158</f>
        <v>0</v>
      </c>
      <c r="EH158" s="106">
        <f>+PMGR!EH158+BP!EH158</f>
        <v>0</v>
      </c>
      <c r="EI158" s="106">
        <f t="shared" ref="EI158:EI162" si="796">+SUM(DW158:EH158)</f>
        <v>0</v>
      </c>
      <c r="EJ158" s="16" t="str">
        <f t="shared" si="681"/>
        <v>Repair and Maintenance - Building</v>
      </c>
      <c r="EK158" s="106">
        <f>+PMGR!EK158+BP!EK158</f>
        <v>0</v>
      </c>
      <c r="EL158" s="106">
        <f>+PMGR!EL158+BP!EL158</f>
        <v>0</v>
      </c>
      <c r="EM158" s="106">
        <f>+PMGR!EM158+BP!EM158</f>
        <v>0</v>
      </c>
      <c r="EN158" s="106">
        <f>+PMGR!EN158+BP!EN158</f>
        <v>0</v>
      </c>
      <c r="EO158" s="106">
        <f>+PMGR!EO158+BP!EO158</f>
        <v>0</v>
      </c>
      <c r="EP158" s="106">
        <f>+PMGR!EP158+BP!EP158</f>
        <v>-54558.25</v>
      </c>
      <c r="EQ158" s="106">
        <f>+PMGR!EQ158+BP!EQ158</f>
        <v>0</v>
      </c>
      <c r="ER158" s="106">
        <f>+PMGR!ER158+BP!ER158</f>
        <v>0</v>
      </c>
      <c r="ES158" s="106">
        <f>+PMGR!ES158+BP!ES158</f>
        <v>299950</v>
      </c>
      <c r="ET158" s="106">
        <f>+PMGR!ET158+BP!ET158</f>
        <v>0</v>
      </c>
      <c r="EU158" s="106">
        <f>+PMGR!EU158+BP!EU158</f>
        <v>0</v>
      </c>
      <c r="EV158" s="106">
        <f>+PMGR!EV158+BP!EV158</f>
        <v>0</v>
      </c>
      <c r="EW158" s="106">
        <f t="shared" ref="EW158:EW162" si="797">+SUM(EK158:EV158)</f>
        <v>245391.75</v>
      </c>
      <c r="EX158" s="118"/>
      <c r="EY158" s="106">
        <f>+PMGR!EY158+BP!EY158</f>
        <v>5000</v>
      </c>
      <c r="EZ158" s="106">
        <f>+PMGR!EZ158+BP!EZ158</f>
        <v>5000</v>
      </c>
      <c r="FA158" s="106">
        <f>+PMGR!FA158+BP!FA158</f>
        <v>5000</v>
      </c>
      <c r="FB158" s="106">
        <f>+PMGR!FB158+BP!FB158</f>
        <v>5000</v>
      </c>
      <c r="FC158" s="106">
        <f>+PMGR!FC158+BP!FC158</f>
        <v>5000</v>
      </c>
      <c r="FD158" s="106">
        <f>+PMGR!FD158+BP!FD158</f>
        <v>5000</v>
      </c>
      <c r="FE158" s="106">
        <f>+PMGR!FE158+BP!FE158</f>
        <v>5000</v>
      </c>
      <c r="FF158" s="106">
        <f>+PMGR!FF158+BP!FF158</f>
        <v>5000</v>
      </c>
      <c r="FG158" s="106">
        <f>+PMGR!FG158+BP!FG158</f>
        <v>5000</v>
      </c>
      <c r="FH158" s="106">
        <f>+PMGR!FH158+BP!FH158</f>
        <v>5000</v>
      </c>
      <c r="FI158" s="106">
        <f>+PMGR!FI158+BP!FI158</f>
        <v>5000</v>
      </c>
      <c r="FJ158" s="106">
        <f>+PMGR!FJ158+BP!FJ158</f>
        <v>5000</v>
      </c>
      <c r="FK158" s="106">
        <f t="shared" ref="FK158:FK162" si="798">+SUM(EY158:FJ158)</f>
        <v>60000</v>
      </c>
    </row>
    <row r="159" spans="1:167" ht="14.45" customHeight="1" outlineLevel="2">
      <c r="A159" s="106">
        <f t="shared" si="784"/>
        <v>12021.6085</v>
      </c>
      <c r="B159" s="106">
        <f t="shared" si="784"/>
        <v>5288.41</v>
      </c>
      <c r="C159" s="106">
        <f t="shared" si="784"/>
        <v>20617</v>
      </c>
      <c r="D159" s="106">
        <f t="shared" si="784"/>
        <v>1864.41</v>
      </c>
      <c r="E159" s="106">
        <f t="shared" si="784"/>
        <v>1748.306</v>
      </c>
      <c r="F159" s="106">
        <f t="shared" si="784"/>
        <v>650</v>
      </c>
      <c r="G159" s="106">
        <f t="shared" si="784"/>
        <v>3177.97</v>
      </c>
      <c r="H159" s="106">
        <f t="shared" si="784"/>
        <v>6864.4</v>
      </c>
      <c r="I159" s="106">
        <f t="shared" si="784"/>
        <v>3962.6820000000002</v>
      </c>
      <c r="J159" s="106">
        <f t="shared" si="784"/>
        <v>3286.44</v>
      </c>
      <c r="K159" s="106">
        <f t="shared" si="784"/>
        <v>2664.41</v>
      </c>
      <c r="L159" s="106">
        <f t="shared" si="784"/>
        <v>0</v>
      </c>
      <c r="M159" s="106">
        <f t="shared" si="785"/>
        <v>62145.636500000008</v>
      </c>
      <c r="N159" s="16" t="s">
        <v>132</v>
      </c>
      <c r="O159" s="106">
        <f t="shared" si="786"/>
        <v>0</v>
      </c>
      <c r="P159" s="106">
        <f t="shared" si="786"/>
        <v>0</v>
      </c>
      <c r="Q159" s="106">
        <f t="shared" si="786"/>
        <v>3100</v>
      </c>
      <c r="R159" s="106">
        <f t="shared" si="786"/>
        <v>254.24</v>
      </c>
      <c r="S159" s="106">
        <f t="shared" si="786"/>
        <v>0</v>
      </c>
      <c r="T159" s="106">
        <f t="shared" si="786"/>
        <v>13617.416999999998</v>
      </c>
      <c r="U159" s="106">
        <f t="shared" si="786"/>
        <v>0</v>
      </c>
      <c r="V159" s="106">
        <f t="shared" si="786"/>
        <v>5000</v>
      </c>
      <c r="W159" s="106">
        <f t="shared" si="786"/>
        <v>14187.470000000001</v>
      </c>
      <c r="X159" s="106">
        <f t="shared" si="786"/>
        <v>7440.68</v>
      </c>
      <c r="Y159" s="106">
        <f t="shared" si="786"/>
        <v>0</v>
      </c>
      <c r="Z159" s="106">
        <f t="shared" si="786"/>
        <v>0</v>
      </c>
      <c r="AA159" s="106">
        <f t="shared" si="787"/>
        <v>43599.807000000001</v>
      </c>
      <c r="AB159" s="118"/>
      <c r="AC159" s="106">
        <f t="shared" si="788"/>
        <v>7025</v>
      </c>
      <c r="AD159" s="106">
        <f t="shared" si="788"/>
        <v>7025</v>
      </c>
      <c r="AE159" s="106">
        <f t="shared" si="788"/>
        <v>7025</v>
      </c>
      <c r="AF159" s="106">
        <f t="shared" si="788"/>
        <v>7025</v>
      </c>
      <c r="AG159" s="106">
        <f t="shared" si="788"/>
        <v>7025</v>
      </c>
      <c r="AH159" s="106">
        <f t="shared" si="788"/>
        <v>7025</v>
      </c>
      <c r="AI159" s="106">
        <f t="shared" si="788"/>
        <v>7025</v>
      </c>
      <c r="AJ159" s="106">
        <f t="shared" si="788"/>
        <v>7025</v>
      </c>
      <c r="AK159" s="106">
        <f t="shared" si="788"/>
        <v>7025</v>
      </c>
      <c r="AL159" s="106">
        <f t="shared" si="788"/>
        <v>7025</v>
      </c>
      <c r="AM159" s="106">
        <f t="shared" si="788"/>
        <v>7025</v>
      </c>
      <c r="AN159" s="106">
        <f t="shared" si="788"/>
        <v>7025</v>
      </c>
      <c r="AO159" s="106">
        <f t="shared" si="789"/>
        <v>84300</v>
      </c>
      <c r="AP159" s="106"/>
      <c r="AQ159" s="106">
        <f>+PMGR!AQ159+BP!AQ159</f>
        <v>546.60899999999992</v>
      </c>
      <c r="AR159" s="106">
        <f>+PMGR!AR159+BP!AR159</f>
        <v>2877.02</v>
      </c>
      <c r="AS159" s="106">
        <f>+PMGR!AS159+BP!AS159</f>
        <v>19767</v>
      </c>
      <c r="AT159" s="106">
        <f>+PMGR!AT159+BP!AT159</f>
        <v>1864.41</v>
      </c>
      <c r="AU159" s="106">
        <f>+PMGR!AU159+BP!AU159</f>
        <v>432.20400000000006</v>
      </c>
      <c r="AV159" s="106">
        <f>+PMGR!AV159+BP!AV159</f>
        <v>0</v>
      </c>
      <c r="AW159" s="106">
        <f>+PMGR!AW159+BP!AW159</f>
        <v>3177.97</v>
      </c>
      <c r="AX159" s="106">
        <f>+PMGR!AX159+BP!AX159</f>
        <v>5338.98</v>
      </c>
      <c r="AY159" s="106">
        <f>+PMGR!AY159+BP!AY159</f>
        <v>2749.1280000000002</v>
      </c>
      <c r="AZ159" s="106">
        <f>+PMGR!AZ159+BP!AZ159</f>
        <v>3286.44</v>
      </c>
      <c r="BA159" s="106">
        <f>+PMGR!BA159+BP!BA159</f>
        <v>2664.41</v>
      </c>
      <c r="BB159" s="106">
        <f>+PMGR!BB159+BP!BB159</f>
        <v>0</v>
      </c>
      <c r="BC159" s="106">
        <f t="shared" si="790"/>
        <v>42704.171000000002</v>
      </c>
      <c r="BD159" s="16" t="str">
        <f t="shared" si="671"/>
        <v>Repair and Maintenance - Computer</v>
      </c>
      <c r="BE159" s="106">
        <f>+PMGR!BE159+BP!BE159</f>
        <v>0</v>
      </c>
      <c r="BF159" s="106">
        <f>+PMGR!BF159+BP!BF159</f>
        <v>0</v>
      </c>
      <c r="BG159" s="106">
        <f>+PMGR!BG159+BP!BG159</f>
        <v>750</v>
      </c>
      <c r="BH159" s="106">
        <f>+PMGR!BH159+BP!BH159</f>
        <v>254.24</v>
      </c>
      <c r="BI159" s="106">
        <f>+PMGR!BI159+BP!BI159</f>
        <v>0</v>
      </c>
      <c r="BJ159" s="106">
        <f>+PMGR!BJ159+BP!BJ159</f>
        <v>9992.9679999999989</v>
      </c>
      <c r="BK159" s="106">
        <f>+PMGR!BK159+BP!BK159</f>
        <v>0</v>
      </c>
      <c r="BL159" s="106">
        <f>+PMGR!BL159+BP!BL159</f>
        <v>5000</v>
      </c>
      <c r="BM159" s="106">
        <f>+PMGR!BM159+BP!BM159</f>
        <v>13547.470000000001</v>
      </c>
      <c r="BN159" s="106">
        <f>+PMGR!BN159+BP!BN159</f>
        <v>4600</v>
      </c>
      <c r="BO159" s="106">
        <f>+PMGR!BO159+BP!BO159</f>
        <v>0</v>
      </c>
      <c r="BP159" s="106">
        <f>+PMGR!BP159+BP!BP159</f>
        <v>0</v>
      </c>
      <c r="BQ159" s="106">
        <f t="shared" si="791"/>
        <v>34144.678</v>
      </c>
      <c r="BR159" s="118"/>
      <c r="BS159" s="106">
        <f>+PMGR!BS159+BP!BS159</f>
        <v>4350</v>
      </c>
      <c r="BT159" s="106">
        <f>+PMGR!BT159+BP!BT159</f>
        <v>4350</v>
      </c>
      <c r="BU159" s="106">
        <f>+PMGR!BU159+BP!BU159</f>
        <v>4350</v>
      </c>
      <c r="BV159" s="106">
        <f>+PMGR!BV159+BP!BV159</f>
        <v>4350</v>
      </c>
      <c r="BW159" s="106">
        <f>+PMGR!BW159+BP!BW159</f>
        <v>4350</v>
      </c>
      <c r="BX159" s="106">
        <f>+PMGR!BX159+BP!BX159</f>
        <v>4350</v>
      </c>
      <c r="BY159" s="106">
        <f>+PMGR!BY159+BP!BY159</f>
        <v>4350</v>
      </c>
      <c r="BZ159" s="106">
        <f>+PMGR!BZ159+BP!BZ159</f>
        <v>4350</v>
      </c>
      <c r="CA159" s="106">
        <f>+PMGR!CA159+BP!CA159</f>
        <v>4350</v>
      </c>
      <c r="CB159" s="106">
        <f>+PMGR!CB159+BP!CB159</f>
        <v>4350</v>
      </c>
      <c r="CC159" s="106">
        <f>+PMGR!CC159+BP!CC159</f>
        <v>4350</v>
      </c>
      <c r="CD159" s="106">
        <f>+PMGR!CD159+BP!CD159</f>
        <v>4350</v>
      </c>
      <c r="CE159" s="106">
        <f t="shared" si="792"/>
        <v>52200</v>
      </c>
      <c r="CF159" s="106"/>
      <c r="CG159" s="106">
        <f>+PMGR!CG159+BP!CG159</f>
        <v>11474.9995</v>
      </c>
      <c r="CH159" s="106">
        <f>+PMGR!CH159+BP!CH159</f>
        <v>2411.39</v>
      </c>
      <c r="CI159" s="106">
        <f>+PMGR!CI159+BP!CI159</f>
        <v>850</v>
      </c>
      <c r="CJ159" s="106">
        <f>+PMGR!CJ159+BP!CJ159</f>
        <v>0</v>
      </c>
      <c r="CK159" s="106">
        <f>+PMGR!CK159+BP!CK159</f>
        <v>1316.1020000000001</v>
      </c>
      <c r="CL159" s="106">
        <f>+PMGR!CL159+BP!CL159</f>
        <v>650</v>
      </c>
      <c r="CM159" s="106">
        <f>+PMGR!CM159+BP!CM159</f>
        <v>0</v>
      </c>
      <c r="CN159" s="106">
        <f>+PMGR!CN159+BP!CN159</f>
        <v>1525.42</v>
      </c>
      <c r="CO159" s="106">
        <f>+PMGR!CO159+BP!CO159</f>
        <v>1213.5540000000001</v>
      </c>
      <c r="CP159" s="106">
        <f>+PMGR!CP159+BP!CP159</f>
        <v>0</v>
      </c>
      <c r="CQ159" s="106">
        <f>+PMGR!CQ159+BP!CQ159</f>
        <v>0</v>
      </c>
      <c r="CR159" s="106">
        <f>+PMGR!CR159+BP!CR159</f>
        <v>0</v>
      </c>
      <c r="CS159" s="106">
        <f t="shared" si="793"/>
        <v>19441.465500000002</v>
      </c>
      <c r="CT159" s="16" t="str">
        <f t="shared" si="675"/>
        <v>Repair and Maintenance - Computer</v>
      </c>
      <c r="CU159" s="106">
        <f>+PMGR!CU159+BP!CU159</f>
        <v>0</v>
      </c>
      <c r="CV159" s="106">
        <f>+PMGR!CV159+BP!CV159</f>
        <v>0</v>
      </c>
      <c r="CW159" s="106">
        <f>+PMGR!CW159+BP!CW159</f>
        <v>2350</v>
      </c>
      <c r="CX159" s="106">
        <f>+PMGR!CX159+BP!CX159</f>
        <v>0</v>
      </c>
      <c r="CY159" s="106">
        <f>+PMGR!CY159+BP!CY159</f>
        <v>0</v>
      </c>
      <c r="CZ159" s="106">
        <f>+PMGR!CZ159+BP!CZ159</f>
        <v>3624.4489999999996</v>
      </c>
      <c r="DA159" s="106">
        <f>+PMGR!DA159+BP!DA159</f>
        <v>0</v>
      </c>
      <c r="DB159" s="106">
        <f>+PMGR!DB159+BP!DB159</f>
        <v>0</v>
      </c>
      <c r="DC159" s="106">
        <f>+PMGR!DC159+BP!DC159</f>
        <v>640</v>
      </c>
      <c r="DD159" s="106">
        <f>+PMGR!DD159+BP!DD159</f>
        <v>2840.6800000000003</v>
      </c>
      <c r="DE159" s="106">
        <f>+PMGR!DE159+BP!DE159</f>
        <v>0</v>
      </c>
      <c r="DF159" s="106">
        <f>+PMGR!DF159+BP!DF159</f>
        <v>0</v>
      </c>
      <c r="DG159" s="106">
        <f t="shared" si="794"/>
        <v>9455.1290000000008</v>
      </c>
      <c r="DH159" s="118"/>
      <c r="DI159" s="106">
        <f>+PMGR!DI159+BP!DI159</f>
        <v>2175</v>
      </c>
      <c r="DJ159" s="106">
        <f>+PMGR!DJ159+BP!DJ159</f>
        <v>2175</v>
      </c>
      <c r="DK159" s="106">
        <f>+PMGR!DK159+BP!DK159</f>
        <v>2175</v>
      </c>
      <c r="DL159" s="106">
        <f>+PMGR!DL159+BP!DL159</f>
        <v>2175</v>
      </c>
      <c r="DM159" s="106">
        <f>+PMGR!DM159+BP!DM159</f>
        <v>2175</v>
      </c>
      <c r="DN159" s="106">
        <f>+PMGR!DN159+BP!DN159</f>
        <v>2175</v>
      </c>
      <c r="DO159" s="106">
        <f>+PMGR!DO159+BP!DO159</f>
        <v>2175</v>
      </c>
      <c r="DP159" s="106">
        <f>+PMGR!DP159+BP!DP159</f>
        <v>2175</v>
      </c>
      <c r="DQ159" s="106">
        <f>+PMGR!DQ159+BP!DQ159</f>
        <v>2175</v>
      </c>
      <c r="DR159" s="106">
        <f>+PMGR!DR159+BP!DR159</f>
        <v>2175</v>
      </c>
      <c r="DS159" s="106">
        <f>+PMGR!DS159+BP!DS159</f>
        <v>2175</v>
      </c>
      <c r="DT159" s="106">
        <f>+PMGR!DT159+BP!DT159</f>
        <v>2175</v>
      </c>
      <c r="DU159" s="106">
        <f t="shared" si="795"/>
        <v>26100</v>
      </c>
      <c r="DV159" s="106"/>
      <c r="DW159" s="106">
        <f>+PMGR!DW159+BP!DW159</f>
        <v>0</v>
      </c>
      <c r="DX159" s="106">
        <f>+PMGR!DX159+BP!DX159</f>
        <v>0</v>
      </c>
      <c r="DY159" s="106">
        <f>+PMGR!DY159+BP!DY159</f>
        <v>0</v>
      </c>
      <c r="DZ159" s="106">
        <f>+PMGR!DZ159+BP!DZ159</f>
        <v>0</v>
      </c>
      <c r="EA159" s="106">
        <f>+PMGR!EA159+BP!EA159</f>
        <v>0</v>
      </c>
      <c r="EB159" s="106">
        <f>+PMGR!EB159+BP!EB159</f>
        <v>0</v>
      </c>
      <c r="EC159" s="106">
        <f>+PMGR!EC159+BP!EC159</f>
        <v>0</v>
      </c>
      <c r="ED159" s="106">
        <f>+PMGR!ED159+BP!ED159</f>
        <v>0</v>
      </c>
      <c r="EE159" s="106">
        <f>+PMGR!EE159+BP!EE159</f>
        <v>0</v>
      </c>
      <c r="EF159" s="106">
        <f>+PMGR!EF159+BP!EF159</f>
        <v>0</v>
      </c>
      <c r="EG159" s="106">
        <f>+PMGR!EG159+BP!EG159</f>
        <v>0</v>
      </c>
      <c r="EH159" s="106">
        <f>+PMGR!EH159+BP!EH159</f>
        <v>0</v>
      </c>
      <c r="EI159" s="106">
        <f t="shared" si="796"/>
        <v>0</v>
      </c>
      <c r="EJ159" s="16" t="str">
        <f t="shared" si="681"/>
        <v>Repair and Maintenance - Computer</v>
      </c>
      <c r="EK159" s="106">
        <f>+PMGR!EK159+BP!EK159</f>
        <v>0</v>
      </c>
      <c r="EL159" s="106">
        <f>+PMGR!EL159+BP!EL159</f>
        <v>0</v>
      </c>
      <c r="EM159" s="106">
        <f>+PMGR!EM159+BP!EM159</f>
        <v>0</v>
      </c>
      <c r="EN159" s="106">
        <f>+PMGR!EN159+BP!EN159</f>
        <v>0</v>
      </c>
      <c r="EO159" s="106">
        <f>+PMGR!EO159+BP!EO159</f>
        <v>0</v>
      </c>
      <c r="EP159" s="106">
        <f>+PMGR!EP159+BP!EP159</f>
        <v>0</v>
      </c>
      <c r="EQ159" s="106">
        <f>+PMGR!EQ159+BP!EQ159</f>
        <v>0</v>
      </c>
      <c r="ER159" s="106">
        <f>+PMGR!ER159+BP!ER159</f>
        <v>0</v>
      </c>
      <c r="ES159" s="106">
        <f>+PMGR!ES159+BP!ES159</f>
        <v>0</v>
      </c>
      <c r="ET159" s="106">
        <f>+PMGR!ET159+BP!ET159</f>
        <v>0</v>
      </c>
      <c r="EU159" s="106">
        <f>+PMGR!EU159+BP!EU159</f>
        <v>0</v>
      </c>
      <c r="EV159" s="106">
        <f>+PMGR!EV159+BP!EV159</f>
        <v>0</v>
      </c>
      <c r="EW159" s="106">
        <f t="shared" si="797"/>
        <v>0</v>
      </c>
      <c r="EX159" s="118"/>
      <c r="EY159" s="106">
        <f>+PMGR!EY159+BP!EY159</f>
        <v>500</v>
      </c>
      <c r="EZ159" s="106">
        <f>+PMGR!EZ159+BP!EZ159</f>
        <v>500</v>
      </c>
      <c r="FA159" s="106">
        <f>+PMGR!FA159+BP!FA159</f>
        <v>500</v>
      </c>
      <c r="FB159" s="106">
        <f>+PMGR!FB159+BP!FB159</f>
        <v>500</v>
      </c>
      <c r="FC159" s="106">
        <f>+PMGR!FC159+BP!FC159</f>
        <v>500</v>
      </c>
      <c r="FD159" s="106">
        <f>+PMGR!FD159+BP!FD159</f>
        <v>500</v>
      </c>
      <c r="FE159" s="106">
        <f>+PMGR!FE159+BP!FE159</f>
        <v>500</v>
      </c>
      <c r="FF159" s="106">
        <f>+PMGR!FF159+BP!FF159</f>
        <v>500</v>
      </c>
      <c r="FG159" s="106">
        <f>+PMGR!FG159+BP!FG159</f>
        <v>500</v>
      </c>
      <c r="FH159" s="106">
        <f>+PMGR!FH159+BP!FH159</f>
        <v>500</v>
      </c>
      <c r="FI159" s="106">
        <f>+PMGR!FI159+BP!FI159</f>
        <v>500</v>
      </c>
      <c r="FJ159" s="106">
        <f>+PMGR!FJ159+BP!FJ159</f>
        <v>500</v>
      </c>
      <c r="FK159" s="106">
        <f t="shared" si="798"/>
        <v>6000</v>
      </c>
    </row>
    <row r="160" spans="1:167" ht="14.45" customHeight="1" outlineLevel="2">
      <c r="A160" s="106">
        <f t="shared" si="784"/>
        <v>930.56</v>
      </c>
      <c r="B160" s="106">
        <f t="shared" si="784"/>
        <v>7507.165</v>
      </c>
      <c r="C160" s="106">
        <f t="shared" si="784"/>
        <v>1072.5</v>
      </c>
      <c r="D160" s="106">
        <f t="shared" si="784"/>
        <v>1021.5</v>
      </c>
      <c r="E160" s="106">
        <f t="shared" si="784"/>
        <v>1021.5</v>
      </c>
      <c r="F160" s="106">
        <f t="shared" si="784"/>
        <v>22145.75</v>
      </c>
      <c r="G160" s="106">
        <f t="shared" si="784"/>
        <v>1021.5</v>
      </c>
      <c r="H160" s="106">
        <f t="shared" si="784"/>
        <v>1021.5</v>
      </c>
      <c r="I160" s="106">
        <f t="shared" si="784"/>
        <v>1020.8399999999999</v>
      </c>
      <c r="J160" s="106">
        <f t="shared" si="784"/>
        <v>681</v>
      </c>
      <c r="K160" s="106">
        <f t="shared" si="784"/>
        <v>340.28</v>
      </c>
      <c r="L160" s="106">
        <f t="shared" si="784"/>
        <v>6714.12</v>
      </c>
      <c r="M160" s="106">
        <f t="shared" si="785"/>
        <v>44498.214999999997</v>
      </c>
      <c r="N160" s="16" t="s">
        <v>133</v>
      </c>
      <c r="O160" s="106">
        <f t="shared" si="786"/>
        <v>7066.17</v>
      </c>
      <c r="P160" s="106">
        <f t="shared" si="786"/>
        <v>1021.5</v>
      </c>
      <c r="Q160" s="106">
        <f t="shared" si="786"/>
        <v>29307.056499999999</v>
      </c>
      <c r="R160" s="106">
        <f t="shared" si="786"/>
        <v>1020.8399999999999</v>
      </c>
      <c r="S160" s="106">
        <f t="shared" si="786"/>
        <v>1020.8399999999999</v>
      </c>
      <c r="T160" s="106">
        <f t="shared" si="786"/>
        <v>15798.1</v>
      </c>
      <c r="U160" s="106">
        <f t="shared" si="786"/>
        <v>43917.693333333336</v>
      </c>
      <c r="V160" s="106">
        <f t="shared" si="786"/>
        <v>1021.5</v>
      </c>
      <c r="W160" s="106">
        <f t="shared" si="786"/>
        <v>1021.5</v>
      </c>
      <c r="X160" s="106">
        <f t="shared" si="786"/>
        <v>1021.5</v>
      </c>
      <c r="Y160" s="106">
        <f t="shared" si="786"/>
        <v>0</v>
      </c>
      <c r="Z160" s="106">
        <f t="shared" si="786"/>
        <v>0</v>
      </c>
      <c r="AA160" s="106">
        <f t="shared" si="787"/>
        <v>102216.69983333332</v>
      </c>
      <c r="AB160" s="118"/>
      <c r="AC160" s="106">
        <f t="shared" si="788"/>
        <v>2499.7222222222222</v>
      </c>
      <c r="AD160" s="106">
        <f t="shared" si="788"/>
        <v>2499.7222222222222</v>
      </c>
      <c r="AE160" s="106">
        <f t="shared" si="788"/>
        <v>2499.7222222222222</v>
      </c>
      <c r="AF160" s="106">
        <f t="shared" si="788"/>
        <v>2499.7222222222222</v>
      </c>
      <c r="AG160" s="106">
        <f t="shared" si="788"/>
        <v>2499.7222222222222</v>
      </c>
      <c r="AH160" s="106">
        <f t="shared" si="788"/>
        <v>2499.7222222222222</v>
      </c>
      <c r="AI160" s="106">
        <f t="shared" si="788"/>
        <v>2499.7222222222222</v>
      </c>
      <c r="AJ160" s="106">
        <f t="shared" si="788"/>
        <v>2499.7222222222222</v>
      </c>
      <c r="AK160" s="106">
        <f t="shared" si="788"/>
        <v>2499.7222222222222</v>
      </c>
      <c r="AL160" s="106">
        <f t="shared" si="788"/>
        <v>2499.7222222222222</v>
      </c>
      <c r="AM160" s="106">
        <f t="shared" si="788"/>
        <v>2499.7222222222222</v>
      </c>
      <c r="AN160" s="106">
        <f t="shared" si="788"/>
        <v>42499.722222222219</v>
      </c>
      <c r="AO160" s="106">
        <f t="shared" si="789"/>
        <v>69996.666666666657</v>
      </c>
      <c r="AP160" s="106"/>
      <c r="AQ160" s="106">
        <f>+PMGR!AQ160+BP!AQ160</f>
        <v>680.56</v>
      </c>
      <c r="AR160" s="106">
        <f>+PMGR!AR160+BP!AR160</f>
        <v>681</v>
      </c>
      <c r="AS160" s="106">
        <f>+PMGR!AS160+BP!AS160</f>
        <v>681</v>
      </c>
      <c r="AT160" s="106">
        <f>+PMGR!AT160+BP!AT160</f>
        <v>681</v>
      </c>
      <c r="AU160" s="106">
        <f>+PMGR!AU160+BP!AU160</f>
        <v>681</v>
      </c>
      <c r="AV160" s="106">
        <f>+PMGR!AV160+BP!AV160</f>
        <v>21805.25</v>
      </c>
      <c r="AW160" s="106">
        <f>+PMGR!AW160+BP!AW160</f>
        <v>681</v>
      </c>
      <c r="AX160" s="106">
        <f>+PMGR!AX160+BP!AX160</f>
        <v>681</v>
      </c>
      <c r="AY160" s="106">
        <f>+PMGR!AY160+BP!AY160</f>
        <v>680.56</v>
      </c>
      <c r="AZ160" s="106">
        <f>+PMGR!AZ160+BP!AZ160</f>
        <v>0</v>
      </c>
      <c r="BA160" s="106">
        <f>+PMGR!BA160+BP!BA160</f>
        <v>0</v>
      </c>
      <c r="BB160" s="106">
        <f>+PMGR!BB160+BP!BB160</f>
        <v>6373.62</v>
      </c>
      <c r="BC160" s="106">
        <f t="shared" si="790"/>
        <v>33625.990000000005</v>
      </c>
      <c r="BD160" s="16" t="str">
        <f t="shared" si="671"/>
        <v>Repair and Maintenance - Generator</v>
      </c>
      <c r="BE160" s="106">
        <f>+PMGR!BE160+BP!BE160</f>
        <v>4710.78</v>
      </c>
      <c r="BF160" s="106">
        <f>+PMGR!BF160+BP!BF160</f>
        <v>681</v>
      </c>
      <c r="BG160" s="106">
        <f>+PMGR!BG160+BP!BG160</f>
        <v>4369.3509999999997</v>
      </c>
      <c r="BH160" s="106">
        <f>+PMGR!BH160+BP!BH160</f>
        <v>680.56</v>
      </c>
      <c r="BI160" s="106">
        <f>+PMGR!BI160+BP!BI160</f>
        <v>680.56</v>
      </c>
      <c r="BJ160" s="106">
        <f>+PMGR!BJ160+BP!BJ160</f>
        <v>8794.35</v>
      </c>
      <c r="BK160" s="106">
        <f>+PMGR!BK160+BP!BK160</f>
        <v>680.555555555556</v>
      </c>
      <c r="BL160" s="106">
        <f>+PMGR!BL160+BP!BL160</f>
        <v>681</v>
      </c>
      <c r="BM160" s="106">
        <f>+PMGR!BM160+BP!BM160</f>
        <v>681</v>
      </c>
      <c r="BN160" s="106">
        <f>+PMGR!BN160+BP!BN160</f>
        <v>681</v>
      </c>
      <c r="BO160" s="106">
        <f>+PMGR!BO160+BP!BO160</f>
        <v>0</v>
      </c>
      <c r="BP160" s="106">
        <f>+PMGR!BP160+BP!BP160</f>
        <v>0</v>
      </c>
      <c r="BQ160" s="106">
        <f t="shared" si="791"/>
        <v>22640.156555555553</v>
      </c>
      <c r="BR160" s="118"/>
      <c r="BS160" s="106">
        <f>+PMGR!BS160+BP!BS160</f>
        <v>999.72222222222217</v>
      </c>
      <c r="BT160" s="106">
        <f>+PMGR!BT160+BP!BT160</f>
        <v>999.72222222222217</v>
      </c>
      <c r="BU160" s="106">
        <f>+PMGR!BU160+BP!BU160</f>
        <v>999.72222222222217</v>
      </c>
      <c r="BV160" s="106">
        <f>+PMGR!BV160+BP!BV160</f>
        <v>999.72222222222217</v>
      </c>
      <c r="BW160" s="106">
        <f>+PMGR!BW160+BP!BW160</f>
        <v>999.72222222222217</v>
      </c>
      <c r="BX160" s="106">
        <f>+PMGR!BX160+BP!BX160</f>
        <v>999.72222222222217</v>
      </c>
      <c r="BY160" s="106">
        <f>+PMGR!BY160+BP!BY160</f>
        <v>999.72222222222217</v>
      </c>
      <c r="BZ160" s="106">
        <f>+PMGR!BZ160+BP!BZ160</f>
        <v>999.72222222222217</v>
      </c>
      <c r="CA160" s="106">
        <f>+PMGR!CA160+BP!CA160</f>
        <v>999.72222222222217</v>
      </c>
      <c r="CB160" s="106">
        <f>+PMGR!CB160+BP!CB160</f>
        <v>999.72222222222217</v>
      </c>
      <c r="CC160" s="106">
        <f>+PMGR!CC160+BP!CC160</f>
        <v>999.72222222222217</v>
      </c>
      <c r="CD160" s="106">
        <f>+PMGR!CD160+BP!CD160</f>
        <v>40999.722222222219</v>
      </c>
      <c r="CE160" s="106">
        <f t="shared" si="792"/>
        <v>51996.666666666664</v>
      </c>
      <c r="CF160" s="106"/>
      <c r="CG160" s="106">
        <f>+PMGR!CG160+BP!CG160</f>
        <v>250</v>
      </c>
      <c r="CH160" s="106">
        <f>+PMGR!CH160+BP!CH160</f>
        <v>6826.165</v>
      </c>
      <c r="CI160" s="106">
        <f>+PMGR!CI160+BP!CI160</f>
        <v>391.5</v>
      </c>
      <c r="CJ160" s="106">
        <f>+PMGR!CJ160+BP!CJ160</f>
        <v>340.5</v>
      </c>
      <c r="CK160" s="106">
        <f>+PMGR!CK160+BP!CK160</f>
        <v>340.5</v>
      </c>
      <c r="CL160" s="106">
        <f>+PMGR!CL160+BP!CL160</f>
        <v>340.5</v>
      </c>
      <c r="CM160" s="106">
        <f>+PMGR!CM160+BP!CM160</f>
        <v>340.5</v>
      </c>
      <c r="CN160" s="106">
        <f>+PMGR!CN160+BP!CN160</f>
        <v>340.5</v>
      </c>
      <c r="CO160" s="106">
        <f>+PMGR!CO160+BP!CO160</f>
        <v>340.28</v>
      </c>
      <c r="CP160" s="106">
        <f>+PMGR!CP160+BP!CP160</f>
        <v>681</v>
      </c>
      <c r="CQ160" s="106">
        <f>+PMGR!CQ160+BP!CQ160</f>
        <v>340.28</v>
      </c>
      <c r="CR160" s="106">
        <f>+PMGR!CR160+BP!CR160</f>
        <v>340.5</v>
      </c>
      <c r="CS160" s="106">
        <f t="shared" si="793"/>
        <v>10872.225000000002</v>
      </c>
      <c r="CT160" s="16" t="str">
        <f t="shared" si="675"/>
        <v>Repair and Maintenance - Generator</v>
      </c>
      <c r="CU160" s="106">
        <f>+PMGR!CU160+BP!CU160</f>
        <v>2355.39</v>
      </c>
      <c r="CV160" s="106">
        <f>+PMGR!CV160+BP!CV160</f>
        <v>340.5</v>
      </c>
      <c r="CW160" s="106">
        <f>+PMGR!CW160+BP!CW160</f>
        <v>2184.6754999999998</v>
      </c>
      <c r="CX160" s="106">
        <f>+PMGR!CX160+BP!CX160</f>
        <v>340.28</v>
      </c>
      <c r="CY160" s="106">
        <f>+PMGR!CY160+BP!CY160</f>
        <v>340.28</v>
      </c>
      <c r="CZ160" s="106">
        <f>+PMGR!CZ160+BP!CZ160</f>
        <v>7003.75</v>
      </c>
      <c r="DA160" s="106">
        <f>+PMGR!DA160+BP!DA160</f>
        <v>340.277777777778</v>
      </c>
      <c r="DB160" s="106">
        <f>+PMGR!DB160+BP!DB160</f>
        <v>340.5</v>
      </c>
      <c r="DC160" s="106">
        <f>+PMGR!DC160+BP!DC160</f>
        <v>340.5</v>
      </c>
      <c r="DD160" s="106">
        <f>+PMGR!DD160+BP!DD160</f>
        <v>340.5</v>
      </c>
      <c r="DE160" s="106">
        <f>+PMGR!DE160+BP!DE160</f>
        <v>0</v>
      </c>
      <c r="DF160" s="106">
        <f>+PMGR!DF160+BP!DF160</f>
        <v>0</v>
      </c>
      <c r="DG160" s="106">
        <f t="shared" si="794"/>
        <v>13926.653277777776</v>
      </c>
      <c r="DH160" s="118"/>
      <c r="DI160" s="106">
        <f>+PMGR!DI160+BP!DI160</f>
        <v>0</v>
      </c>
      <c r="DJ160" s="106">
        <f>+PMGR!DJ160+BP!DJ160</f>
        <v>0</v>
      </c>
      <c r="DK160" s="106">
        <f>+PMGR!DK160+BP!DK160</f>
        <v>0</v>
      </c>
      <c r="DL160" s="106">
        <f>+PMGR!DL160+BP!DL160</f>
        <v>0</v>
      </c>
      <c r="DM160" s="106">
        <f>+PMGR!DM160+BP!DM160</f>
        <v>0</v>
      </c>
      <c r="DN160" s="106">
        <f>+PMGR!DN160+BP!DN160</f>
        <v>0</v>
      </c>
      <c r="DO160" s="106">
        <f>+PMGR!DO160+BP!DO160</f>
        <v>0</v>
      </c>
      <c r="DP160" s="106">
        <f>+PMGR!DP160+BP!DP160</f>
        <v>0</v>
      </c>
      <c r="DQ160" s="106">
        <f>+PMGR!DQ160+BP!DQ160</f>
        <v>0</v>
      </c>
      <c r="DR160" s="106">
        <f>+PMGR!DR160+BP!DR160</f>
        <v>0</v>
      </c>
      <c r="DS160" s="106">
        <f>+PMGR!DS160+BP!DS160</f>
        <v>0</v>
      </c>
      <c r="DT160" s="106">
        <f>+PMGR!DT160+BP!DT160</f>
        <v>0</v>
      </c>
      <c r="DU160" s="106">
        <f t="shared" si="795"/>
        <v>0</v>
      </c>
      <c r="DV160" s="106"/>
      <c r="DW160" s="106">
        <f>+PMGR!DW160+BP!DW160</f>
        <v>0</v>
      </c>
      <c r="DX160" s="106">
        <f>+PMGR!DX160+BP!DX160</f>
        <v>0</v>
      </c>
      <c r="DY160" s="106">
        <f>+PMGR!DY160+BP!DY160</f>
        <v>0</v>
      </c>
      <c r="DZ160" s="106">
        <f>+PMGR!DZ160+BP!DZ160</f>
        <v>0</v>
      </c>
      <c r="EA160" s="106">
        <f>+PMGR!EA160+BP!EA160</f>
        <v>0</v>
      </c>
      <c r="EB160" s="106">
        <f>+PMGR!EB160+BP!EB160</f>
        <v>0</v>
      </c>
      <c r="EC160" s="106">
        <f>+PMGR!EC160+BP!EC160</f>
        <v>0</v>
      </c>
      <c r="ED160" s="106">
        <f>+PMGR!ED160+BP!ED160</f>
        <v>0</v>
      </c>
      <c r="EE160" s="106">
        <f>+PMGR!EE160+BP!EE160</f>
        <v>0</v>
      </c>
      <c r="EF160" s="106">
        <f>+PMGR!EF160+BP!EF160</f>
        <v>0</v>
      </c>
      <c r="EG160" s="106">
        <f>+PMGR!EG160+BP!EG160</f>
        <v>0</v>
      </c>
      <c r="EH160" s="106">
        <f>+PMGR!EH160+BP!EH160</f>
        <v>0</v>
      </c>
      <c r="EI160" s="106">
        <f t="shared" si="796"/>
        <v>0</v>
      </c>
      <c r="EJ160" s="16" t="str">
        <f t="shared" si="681"/>
        <v>Repair and Maintenance - Generator</v>
      </c>
      <c r="EK160" s="106">
        <f>+PMGR!EK160+BP!EK160</f>
        <v>0</v>
      </c>
      <c r="EL160" s="106">
        <f>+PMGR!EL160+BP!EL160</f>
        <v>0</v>
      </c>
      <c r="EM160" s="106">
        <f>+PMGR!EM160+BP!EM160</f>
        <v>22753.03</v>
      </c>
      <c r="EN160" s="106">
        <f>+PMGR!EN160+BP!EN160</f>
        <v>0</v>
      </c>
      <c r="EO160" s="106">
        <f>+PMGR!EO160+BP!EO160</f>
        <v>0</v>
      </c>
      <c r="EP160" s="106">
        <f>+PMGR!EP160+BP!EP160</f>
        <v>0</v>
      </c>
      <c r="EQ160" s="106">
        <f>+PMGR!EQ160+BP!EQ160</f>
        <v>42896.86</v>
      </c>
      <c r="ER160" s="106">
        <f>+PMGR!ER160+BP!ER160</f>
        <v>0</v>
      </c>
      <c r="ES160" s="106">
        <f>+PMGR!ES160+BP!ES160</f>
        <v>0</v>
      </c>
      <c r="ET160" s="106">
        <f>+PMGR!ET160+BP!ET160</f>
        <v>0</v>
      </c>
      <c r="EU160" s="106">
        <f>+PMGR!EU160+BP!EU160</f>
        <v>0</v>
      </c>
      <c r="EV160" s="106">
        <f>+PMGR!EV160+BP!EV160</f>
        <v>0</v>
      </c>
      <c r="EW160" s="106">
        <f t="shared" si="797"/>
        <v>65649.89</v>
      </c>
      <c r="EX160" s="118"/>
      <c r="EY160" s="106">
        <f>+PMGR!EY160+BP!EY160</f>
        <v>1500</v>
      </c>
      <c r="EZ160" s="106">
        <f>+PMGR!EZ160+BP!EZ160</f>
        <v>1500</v>
      </c>
      <c r="FA160" s="106">
        <f>+PMGR!FA160+BP!FA160</f>
        <v>1500</v>
      </c>
      <c r="FB160" s="106">
        <f>+PMGR!FB160+BP!FB160</f>
        <v>1500</v>
      </c>
      <c r="FC160" s="106">
        <f>+PMGR!FC160+BP!FC160</f>
        <v>1500</v>
      </c>
      <c r="FD160" s="106">
        <f>+PMGR!FD160+BP!FD160</f>
        <v>1500</v>
      </c>
      <c r="FE160" s="106">
        <f>+PMGR!FE160+BP!FE160</f>
        <v>1500</v>
      </c>
      <c r="FF160" s="106">
        <f>+PMGR!FF160+BP!FF160</f>
        <v>1500</v>
      </c>
      <c r="FG160" s="106">
        <f>+PMGR!FG160+BP!FG160</f>
        <v>1500</v>
      </c>
      <c r="FH160" s="106">
        <f>+PMGR!FH160+BP!FH160</f>
        <v>1500</v>
      </c>
      <c r="FI160" s="106">
        <f>+PMGR!FI160+BP!FI160</f>
        <v>1500</v>
      </c>
      <c r="FJ160" s="106">
        <f>+PMGR!FJ160+BP!FJ160</f>
        <v>1500</v>
      </c>
      <c r="FK160" s="106">
        <f t="shared" si="798"/>
        <v>18000</v>
      </c>
    </row>
    <row r="161" spans="1:167" ht="14.45" customHeight="1" outlineLevel="2">
      <c r="A161" s="106">
        <f t="shared" si="784"/>
        <v>72052.22</v>
      </c>
      <c r="B161" s="106">
        <f t="shared" si="784"/>
        <v>37013.020000000004</v>
      </c>
      <c r="C161" s="106">
        <f t="shared" si="784"/>
        <v>61724.5</v>
      </c>
      <c r="D161" s="106">
        <f t="shared" si="784"/>
        <v>37618.58</v>
      </c>
      <c r="E161" s="106">
        <f t="shared" si="784"/>
        <v>31807</v>
      </c>
      <c r="F161" s="106">
        <f t="shared" si="784"/>
        <v>112390</v>
      </c>
      <c r="G161" s="106">
        <f t="shared" si="784"/>
        <v>59258</v>
      </c>
      <c r="H161" s="106">
        <f t="shared" si="784"/>
        <v>61856</v>
      </c>
      <c r="I161" s="106">
        <f t="shared" si="784"/>
        <v>109011</v>
      </c>
      <c r="J161" s="106">
        <f t="shared" si="784"/>
        <v>108390</v>
      </c>
      <c r="K161" s="106">
        <f t="shared" si="784"/>
        <v>40454</v>
      </c>
      <c r="L161" s="106">
        <f t="shared" si="784"/>
        <v>22031</v>
      </c>
      <c r="M161" s="106">
        <f t="shared" si="785"/>
        <v>753605.32000000007</v>
      </c>
      <c r="N161" s="16" t="s">
        <v>134</v>
      </c>
      <c r="O161" s="106">
        <f t="shared" si="786"/>
        <v>95617.42</v>
      </c>
      <c r="P161" s="106">
        <f t="shared" si="786"/>
        <v>64578.170000000006</v>
      </c>
      <c r="Q161" s="106">
        <f t="shared" si="786"/>
        <v>66637.67</v>
      </c>
      <c r="R161" s="106">
        <f t="shared" si="786"/>
        <v>66435.42</v>
      </c>
      <c r="S161" s="106">
        <f t="shared" si="786"/>
        <v>81731.179999999993</v>
      </c>
      <c r="T161" s="106">
        <f t="shared" si="786"/>
        <v>78412.710000000006</v>
      </c>
      <c r="U161" s="106">
        <f t="shared" si="786"/>
        <v>78218.815833333399</v>
      </c>
      <c r="V161" s="106">
        <f t="shared" si="786"/>
        <v>65220.600999999995</v>
      </c>
      <c r="W161" s="106">
        <f t="shared" si="786"/>
        <v>123629.5</v>
      </c>
      <c r="X161" s="106">
        <f t="shared" si="786"/>
        <v>119262.23999999999</v>
      </c>
      <c r="Y161" s="106">
        <f t="shared" si="786"/>
        <v>0</v>
      </c>
      <c r="Z161" s="106">
        <f t="shared" si="786"/>
        <v>0</v>
      </c>
      <c r="AA161" s="106">
        <f t="shared" si="787"/>
        <v>839743.72683333338</v>
      </c>
      <c r="AB161" s="118"/>
      <c r="AC161" s="106">
        <f t="shared" si="788"/>
        <v>45991.666666666672</v>
      </c>
      <c r="AD161" s="106">
        <f t="shared" si="788"/>
        <v>45991.666666666672</v>
      </c>
      <c r="AE161" s="106">
        <f t="shared" si="788"/>
        <v>45991.666666666672</v>
      </c>
      <c r="AF161" s="106">
        <f t="shared" si="788"/>
        <v>46884.166666666672</v>
      </c>
      <c r="AG161" s="106">
        <f t="shared" si="788"/>
        <v>46884.166666666672</v>
      </c>
      <c r="AH161" s="106">
        <f t="shared" si="788"/>
        <v>46884.166666666672</v>
      </c>
      <c r="AI161" s="106">
        <f t="shared" si="788"/>
        <v>46884.166666666672</v>
      </c>
      <c r="AJ161" s="106">
        <f t="shared" si="788"/>
        <v>46884.166666666672</v>
      </c>
      <c r="AK161" s="106">
        <f t="shared" si="788"/>
        <v>46884.166666666672</v>
      </c>
      <c r="AL161" s="106">
        <f t="shared" si="788"/>
        <v>46884.166666666672</v>
      </c>
      <c r="AM161" s="106">
        <f t="shared" si="788"/>
        <v>46884.166666666672</v>
      </c>
      <c r="AN161" s="106">
        <f t="shared" si="788"/>
        <v>46884.166666666672</v>
      </c>
      <c r="AO161" s="106">
        <f t="shared" si="789"/>
        <v>559932.50000000012</v>
      </c>
      <c r="AP161" s="106"/>
      <c r="AQ161" s="106">
        <f>+PMGR!AQ161+BP!AQ161</f>
        <v>35469.11</v>
      </c>
      <c r="AR161" s="106">
        <f>+PMGR!AR161+BP!AR161</f>
        <v>31779.52</v>
      </c>
      <c r="AS161" s="106">
        <f>+PMGR!AS161+BP!AS161</f>
        <v>61391</v>
      </c>
      <c r="AT161" s="106">
        <f>+PMGR!AT161+BP!AT161</f>
        <v>37618.58</v>
      </c>
      <c r="AU161" s="106">
        <f>+PMGR!AU161+BP!AU161</f>
        <v>28007</v>
      </c>
      <c r="AV161" s="106">
        <f>+PMGR!AV161+BP!AV161</f>
        <v>30987</v>
      </c>
      <c r="AW161" s="106">
        <f>+PMGR!AW161+BP!AW161</f>
        <v>49508</v>
      </c>
      <c r="AX161" s="106">
        <f>+PMGR!AX161+BP!AX161</f>
        <v>44856</v>
      </c>
      <c r="AY161" s="106">
        <f>+PMGR!AY161+BP!AY161</f>
        <v>109011</v>
      </c>
      <c r="AZ161" s="106">
        <f>+PMGR!AZ161+BP!AZ161</f>
        <v>67385</v>
      </c>
      <c r="BA161" s="106">
        <f>+PMGR!BA161+BP!BA161</f>
        <v>40454</v>
      </c>
      <c r="BB161" s="106">
        <f>+PMGR!BB161+BP!BB161</f>
        <v>21000</v>
      </c>
      <c r="BC161" s="106">
        <f t="shared" si="790"/>
        <v>557466.21</v>
      </c>
      <c r="BD161" s="16" t="str">
        <f t="shared" si="671"/>
        <v>Repair and Maintenance - Machinery</v>
      </c>
      <c r="BE161" s="106">
        <f>+PMGR!BE161+BP!BE161</f>
        <v>23138.12</v>
      </c>
      <c r="BF161" s="106">
        <f>+PMGR!BF161+BP!BF161</f>
        <v>14805.01</v>
      </c>
      <c r="BG161" s="106">
        <f>+PMGR!BG161+BP!BG161</f>
        <v>28552.67</v>
      </c>
      <c r="BH161" s="106">
        <f>+PMGR!BH161+BP!BH161</f>
        <v>55435.42</v>
      </c>
      <c r="BI161" s="106">
        <f>+PMGR!BI161+BP!BI161</f>
        <v>70731.179999999993</v>
      </c>
      <c r="BJ161" s="106">
        <f>+PMGR!BJ161+BP!BJ161</f>
        <v>52550.55</v>
      </c>
      <c r="BK161" s="106">
        <f>+PMGR!BK161+BP!BK161</f>
        <v>29549.7166666667</v>
      </c>
      <c r="BL161" s="106">
        <f>+PMGR!BL161+BP!BL161</f>
        <v>43074.733999999997</v>
      </c>
      <c r="BM161" s="106">
        <f>+PMGR!BM161+BP!BM161</f>
        <v>73609</v>
      </c>
      <c r="BN161" s="106">
        <f>+PMGR!BN161+BP!BN161</f>
        <v>53856.34</v>
      </c>
      <c r="BO161" s="106">
        <f>+PMGR!BO161+BP!BO161</f>
        <v>0</v>
      </c>
      <c r="BP161" s="106">
        <f>+PMGR!BP161+BP!BP161</f>
        <v>0</v>
      </c>
      <c r="BQ161" s="106">
        <f t="shared" si="791"/>
        <v>445302.74066666665</v>
      </c>
      <c r="BR161" s="118"/>
      <c r="BS161" s="106">
        <f>+PMGR!BS161+BP!BS161</f>
        <v>34991.666666666672</v>
      </c>
      <c r="BT161" s="106">
        <f>+PMGR!BT161+BP!BT161</f>
        <v>34991.666666666672</v>
      </c>
      <c r="BU161" s="106">
        <f>+PMGR!BU161+BP!BU161</f>
        <v>34991.666666666672</v>
      </c>
      <c r="BV161" s="106">
        <f>+PMGR!BV161+BP!BV161</f>
        <v>35884.166666666672</v>
      </c>
      <c r="BW161" s="106">
        <f>+PMGR!BW161+BP!BW161</f>
        <v>35884.166666666672</v>
      </c>
      <c r="BX161" s="106">
        <f>+PMGR!BX161+BP!BX161</f>
        <v>35884.166666666672</v>
      </c>
      <c r="BY161" s="106">
        <f>+PMGR!BY161+BP!BY161</f>
        <v>35884.166666666672</v>
      </c>
      <c r="BZ161" s="106">
        <f>+PMGR!BZ161+BP!BZ161</f>
        <v>35884.166666666672</v>
      </c>
      <c r="CA161" s="106">
        <f>+PMGR!CA161+BP!CA161</f>
        <v>35884.166666666672</v>
      </c>
      <c r="CB161" s="106">
        <f>+PMGR!CB161+BP!CB161</f>
        <v>35884.166666666672</v>
      </c>
      <c r="CC161" s="106">
        <f>+PMGR!CC161+BP!CC161</f>
        <v>35884.166666666672</v>
      </c>
      <c r="CD161" s="106">
        <f>+PMGR!CD161+BP!CD161</f>
        <v>35884.166666666672</v>
      </c>
      <c r="CE161" s="106">
        <f t="shared" si="792"/>
        <v>427932.50000000017</v>
      </c>
      <c r="CF161" s="106"/>
      <c r="CG161" s="106">
        <f>+PMGR!CG161+BP!CG161</f>
        <v>36583.11</v>
      </c>
      <c r="CH161" s="106">
        <f>+PMGR!CH161+BP!CH161</f>
        <v>5233.5</v>
      </c>
      <c r="CI161" s="106">
        <f>+PMGR!CI161+BP!CI161</f>
        <v>333.5</v>
      </c>
      <c r="CJ161" s="106">
        <f>+PMGR!CJ161+BP!CJ161</f>
        <v>0</v>
      </c>
      <c r="CK161" s="106">
        <f>+PMGR!CK161+BP!CK161</f>
        <v>3800</v>
      </c>
      <c r="CL161" s="106">
        <f>+PMGR!CL161+BP!CL161</f>
        <v>81403</v>
      </c>
      <c r="CM161" s="106">
        <f>+PMGR!CM161+BP!CM161</f>
        <v>9750</v>
      </c>
      <c r="CN161" s="106">
        <f>+PMGR!CN161+BP!CN161</f>
        <v>17000</v>
      </c>
      <c r="CO161" s="106">
        <f>+PMGR!CO161+BP!CO161</f>
        <v>0</v>
      </c>
      <c r="CP161" s="106">
        <f>+PMGR!CP161+BP!CP161</f>
        <v>41005</v>
      </c>
      <c r="CQ161" s="106">
        <f>+PMGR!CQ161+BP!CQ161</f>
        <v>0</v>
      </c>
      <c r="CR161" s="106">
        <f>+PMGR!CR161+BP!CR161</f>
        <v>1031</v>
      </c>
      <c r="CS161" s="106">
        <f t="shared" si="793"/>
        <v>196139.11</v>
      </c>
      <c r="CT161" s="16" t="str">
        <f t="shared" si="675"/>
        <v>Repair and Maintenance - Machinery</v>
      </c>
      <c r="CU161" s="106">
        <f>+PMGR!CU161+BP!CU161</f>
        <v>41703</v>
      </c>
      <c r="CV161" s="106">
        <f>+PMGR!CV161+BP!CV161</f>
        <v>49773.16</v>
      </c>
      <c r="CW161" s="106">
        <f>+PMGR!CW161+BP!CW161</f>
        <v>38085</v>
      </c>
      <c r="CX161" s="106">
        <f>+PMGR!CX161+BP!CX161</f>
        <v>11000</v>
      </c>
      <c r="CY161" s="106">
        <f>+PMGR!CY161+BP!CY161</f>
        <v>11000</v>
      </c>
      <c r="CZ161" s="106">
        <f>+PMGR!CZ161+BP!CZ161</f>
        <v>25862.16</v>
      </c>
      <c r="DA161" s="106">
        <f>+PMGR!DA161+BP!DA161</f>
        <v>38255.209166666697</v>
      </c>
      <c r="DB161" s="106">
        <f>+PMGR!DB161+BP!DB161</f>
        <v>22145.866999999998</v>
      </c>
      <c r="DC161" s="106">
        <f>+PMGR!DC161+BP!DC161</f>
        <v>50020.5</v>
      </c>
      <c r="DD161" s="106">
        <f>+PMGR!DD161+BP!DD161</f>
        <v>49279.199999999997</v>
      </c>
      <c r="DE161" s="106">
        <f>+PMGR!DE161+BP!DE161</f>
        <v>0</v>
      </c>
      <c r="DF161" s="106">
        <f>+PMGR!DF161+BP!DF161</f>
        <v>0</v>
      </c>
      <c r="DG161" s="106">
        <f t="shared" si="794"/>
        <v>337124.09616666671</v>
      </c>
      <c r="DH161" s="118"/>
      <c r="DI161" s="106">
        <f>+PMGR!DI161+BP!DI161</f>
        <v>11000</v>
      </c>
      <c r="DJ161" s="106">
        <f>+PMGR!DJ161+BP!DJ161</f>
        <v>11000</v>
      </c>
      <c r="DK161" s="106">
        <f>+PMGR!DK161+BP!DK161</f>
        <v>11000</v>
      </c>
      <c r="DL161" s="106">
        <f>+PMGR!DL161+BP!DL161</f>
        <v>11000</v>
      </c>
      <c r="DM161" s="106">
        <f>+PMGR!DM161+BP!DM161</f>
        <v>11000</v>
      </c>
      <c r="DN161" s="106">
        <f>+PMGR!DN161+BP!DN161</f>
        <v>11000</v>
      </c>
      <c r="DO161" s="106">
        <f>+PMGR!DO161+BP!DO161</f>
        <v>11000</v>
      </c>
      <c r="DP161" s="106">
        <f>+PMGR!DP161+BP!DP161</f>
        <v>11000</v>
      </c>
      <c r="DQ161" s="106">
        <f>+PMGR!DQ161+BP!DQ161</f>
        <v>11000</v>
      </c>
      <c r="DR161" s="106">
        <f>+PMGR!DR161+BP!DR161</f>
        <v>11000</v>
      </c>
      <c r="DS161" s="106">
        <f>+PMGR!DS161+BP!DS161</f>
        <v>11000</v>
      </c>
      <c r="DT161" s="106">
        <f>+PMGR!DT161+BP!DT161</f>
        <v>11000</v>
      </c>
      <c r="DU161" s="106">
        <f t="shared" si="795"/>
        <v>132000</v>
      </c>
      <c r="DV161" s="106">
        <f>+DU161+'NEW CAR'!DU161</f>
        <v>264000</v>
      </c>
      <c r="DW161" s="106">
        <f>+PMGR!DW161+BP!DW161</f>
        <v>0</v>
      </c>
      <c r="DX161" s="106">
        <f>+PMGR!DX161+BP!DX161</f>
        <v>0</v>
      </c>
      <c r="DY161" s="106">
        <f>+PMGR!DY161+BP!DY161</f>
        <v>0</v>
      </c>
      <c r="DZ161" s="106">
        <f>+PMGR!DZ161+BP!DZ161</f>
        <v>0</v>
      </c>
      <c r="EA161" s="106">
        <f>+PMGR!EA161+BP!EA161</f>
        <v>0</v>
      </c>
      <c r="EB161" s="106">
        <f>+PMGR!EB161+BP!EB161</f>
        <v>0</v>
      </c>
      <c r="EC161" s="106">
        <f>+PMGR!EC161+BP!EC161</f>
        <v>0</v>
      </c>
      <c r="ED161" s="106">
        <f>+PMGR!ED161+BP!ED161</f>
        <v>0</v>
      </c>
      <c r="EE161" s="106">
        <f>+PMGR!EE161+BP!EE161</f>
        <v>0</v>
      </c>
      <c r="EF161" s="106">
        <f>+PMGR!EF161+BP!EF161</f>
        <v>0</v>
      </c>
      <c r="EG161" s="106">
        <f>+PMGR!EG161+BP!EG161</f>
        <v>0</v>
      </c>
      <c r="EH161" s="106">
        <f>+PMGR!EH161+BP!EH161</f>
        <v>0</v>
      </c>
      <c r="EI161" s="106">
        <f t="shared" si="796"/>
        <v>0</v>
      </c>
      <c r="EJ161" s="16" t="str">
        <f t="shared" si="681"/>
        <v>Repair and Maintenance - Machinery</v>
      </c>
      <c r="EK161" s="106">
        <f>+PMGR!EK161+BP!EK161</f>
        <v>30776.3</v>
      </c>
      <c r="EL161" s="106">
        <f>+PMGR!EL161+BP!EL161</f>
        <v>0</v>
      </c>
      <c r="EM161" s="106">
        <f>+PMGR!EM161+BP!EM161</f>
        <v>0</v>
      </c>
      <c r="EN161" s="106">
        <f>+PMGR!EN161+BP!EN161</f>
        <v>0</v>
      </c>
      <c r="EO161" s="106">
        <f>+PMGR!EO161+BP!EO161</f>
        <v>0</v>
      </c>
      <c r="EP161" s="106">
        <f>+PMGR!EP161+BP!EP161</f>
        <v>0</v>
      </c>
      <c r="EQ161" s="106">
        <f>+PMGR!EQ161+BP!EQ161</f>
        <v>10413.89</v>
      </c>
      <c r="ER161" s="106">
        <f>+PMGR!ER161+BP!ER161</f>
        <v>0</v>
      </c>
      <c r="ES161" s="106">
        <f>+PMGR!ES161+BP!ES161</f>
        <v>0</v>
      </c>
      <c r="ET161" s="106">
        <f>+PMGR!ET161+BP!ET161</f>
        <v>16126.7</v>
      </c>
      <c r="EU161" s="106">
        <f>+PMGR!EU161+BP!EU161</f>
        <v>0</v>
      </c>
      <c r="EV161" s="106">
        <f>+PMGR!EV161+BP!EV161</f>
        <v>0</v>
      </c>
      <c r="EW161" s="106">
        <f t="shared" si="797"/>
        <v>57316.89</v>
      </c>
      <c r="EX161" s="118"/>
      <c r="EY161" s="106">
        <f>+PMGR!EY161+BP!EY161</f>
        <v>0</v>
      </c>
      <c r="EZ161" s="106">
        <f>+PMGR!EZ161+BP!EZ161</f>
        <v>0</v>
      </c>
      <c r="FA161" s="106">
        <f>+PMGR!FA161+BP!FA161</f>
        <v>0</v>
      </c>
      <c r="FB161" s="106">
        <f>+PMGR!FB161+BP!FB161</f>
        <v>0</v>
      </c>
      <c r="FC161" s="106">
        <f>+PMGR!FC161+BP!FC161</f>
        <v>0</v>
      </c>
      <c r="FD161" s="106">
        <f>+PMGR!FD161+BP!FD161</f>
        <v>0</v>
      </c>
      <c r="FE161" s="106">
        <f>+PMGR!FE161+BP!FE161</f>
        <v>0</v>
      </c>
      <c r="FF161" s="106">
        <f>+PMGR!FF161+BP!FF161</f>
        <v>0</v>
      </c>
      <c r="FG161" s="106">
        <f>+PMGR!FG161+BP!FG161</f>
        <v>0</v>
      </c>
      <c r="FH161" s="106">
        <f>+PMGR!FH161+BP!FH161</f>
        <v>0</v>
      </c>
      <c r="FI161" s="106">
        <f>+PMGR!FI161+BP!FI161</f>
        <v>0</v>
      </c>
      <c r="FJ161" s="106">
        <f>+PMGR!FJ161+BP!FJ161</f>
        <v>0</v>
      </c>
      <c r="FK161" s="106">
        <f t="shared" si="798"/>
        <v>0</v>
      </c>
    </row>
    <row r="162" spans="1:167" ht="14.45" customHeight="1" outlineLevel="2">
      <c r="A162" s="106">
        <f t="shared" si="784"/>
        <v>27097.21</v>
      </c>
      <c r="B162" s="106">
        <f t="shared" si="784"/>
        <v>40118.5</v>
      </c>
      <c r="C162" s="106">
        <f t="shared" si="784"/>
        <v>45583.75</v>
      </c>
      <c r="D162" s="106">
        <f t="shared" si="784"/>
        <v>26620.309999999998</v>
      </c>
      <c r="E162" s="106">
        <f t="shared" si="784"/>
        <v>30137.5</v>
      </c>
      <c r="F162" s="106">
        <f t="shared" si="784"/>
        <v>48667.5</v>
      </c>
      <c r="G162" s="106">
        <f t="shared" si="784"/>
        <v>41950.5</v>
      </c>
      <c r="H162" s="106">
        <f t="shared" si="784"/>
        <v>81576.850000000006</v>
      </c>
      <c r="I162" s="106">
        <f t="shared" si="784"/>
        <v>33216.339999999997</v>
      </c>
      <c r="J162" s="106">
        <f t="shared" si="784"/>
        <v>33210.22</v>
      </c>
      <c r="K162" s="106">
        <f t="shared" si="784"/>
        <v>27068.33</v>
      </c>
      <c r="L162" s="106">
        <f t="shared" si="784"/>
        <v>20960.489999999998</v>
      </c>
      <c r="M162" s="106">
        <f t="shared" si="785"/>
        <v>456207.49999999994</v>
      </c>
      <c r="N162" s="16" t="s">
        <v>135</v>
      </c>
      <c r="O162" s="106">
        <f t="shared" si="786"/>
        <v>103147.74400000001</v>
      </c>
      <c r="P162" s="106">
        <f t="shared" si="786"/>
        <v>193772.43549999999</v>
      </c>
      <c r="Q162" s="106">
        <f t="shared" si="786"/>
        <v>42746.37</v>
      </c>
      <c r="R162" s="106">
        <f t="shared" si="786"/>
        <v>45435.21</v>
      </c>
      <c r="S162" s="106">
        <f t="shared" si="786"/>
        <v>26784.94</v>
      </c>
      <c r="T162" s="106">
        <f t="shared" si="786"/>
        <v>275036.32</v>
      </c>
      <c r="U162" s="106">
        <f t="shared" si="786"/>
        <v>131222.25</v>
      </c>
      <c r="V162" s="106">
        <f t="shared" si="786"/>
        <v>59601.27</v>
      </c>
      <c r="W162" s="106">
        <f t="shared" si="786"/>
        <v>171624.65</v>
      </c>
      <c r="X162" s="106">
        <f t="shared" si="786"/>
        <v>174549.03</v>
      </c>
      <c r="Y162" s="106">
        <f t="shared" si="786"/>
        <v>0</v>
      </c>
      <c r="Z162" s="106">
        <f t="shared" si="786"/>
        <v>0</v>
      </c>
      <c r="AA162" s="106">
        <f t="shared" si="787"/>
        <v>1223920.2194999999</v>
      </c>
      <c r="AB162" s="118"/>
      <c r="AC162" s="106">
        <f t="shared" si="788"/>
        <v>32537.210863333334</v>
      </c>
      <c r="AD162" s="106">
        <f t="shared" si="788"/>
        <v>32537.210863333334</v>
      </c>
      <c r="AE162" s="106">
        <f t="shared" si="788"/>
        <v>32537.210863333334</v>
      </c>
      <c r="AF162" s="106">
        <f t="shared" si="788"/>
        <v>32537.210863333334</v>
      </c>
      <c r="AG162" s="106">
        <f t="shared" si="788"/>
        <v>32537.210863333334</v>
      </c>
      <c r="AH162" s="106">
        <f t="shared" si="788"/>
        <v>32537.210863333334</v>
      </c>
      <c r="AI162" s="106">
        <f t="shared" si="788"/>
        <v>32537.210863333334</v>
      </c>
      <c r="AJ162" s="106">
        <f t="shared" si="788"/>
        <v>32537.210863333334</v>
      </c>
      <c r="AK162" s="106">
        <f t="shared" si="788"/>
        <v>27897.825895833335</v>
      </c>
      <c r="AL162" s="106">
        <f t="shared" si="788"/>
        <v>28789.071374999967</v>
      </c>
      <c r="AM162" s="106">
        <f t="shared" si="788"/>
        <v>28789.071374999967</v>
      </c>
      <c r="AN162" s="106">
        <f t="shared" si="788"/>
        <v>28789.071374999967</v>
      </c>
      <c r="AO162" s="106">
        <f t="shared" si="789"/>
        <v>374562.72692749987</v>
      </c>
      <c r="AP162" s="106"/>
      <c r="AQ162" s="106">
        <f>+PMGR!AQ162+BP!AQ162</f>
        <v>17824.91</v>
      </c>
      <c r="AR162" s="106">
        <f>+PMGR!AR162+BP!AR162</f>
        <v>27281</v>
      </c>
      <c r="AS162" s="106">
        <f>+PMGR!AS162+BP!AS162</f>
        <v>21442.5</v>
      </c>
      <c r="AT162" s="106">
        <f>+PMGR!AT162+BP!AT162</f>
        <v>18957.809999999998</v>
      </c>
      <c r="AU162" s="106">
        <f>+PMGR!AU162+BP!AU162</f>
        <v>21825</v>
      </c>
      <c r="AV162" s="106">
        <f>+PMGR!AV162+BP!AV162</f>
        <v>39148.800000000003</v>
      </c>
      <c r="AW162" s="106">
        <f>+PMGR!AW162+BP!AW162</f>
        <v>26748.799999999999</v>
      </c>
      <c r="AX162" s="106">
        <f>+PMGR!AX162+BP!AX162</f>
        <v>65073.9</v>
      </c>
      <c r="AY162" s="106">
        <f>+PMGR!AY162+BP!AY162</f>
        <v>28742.007999999998</v>
      </c>
      <c r="AZ162" s="106">
        <f>+PMGR!AZ162+BP!AZ162</f>
        <v>8254.27</v>
      </c>
      <c r="BA162" s="106">
        <f>+PMGR!BA162+BP!BA162</f>
        <v>24593.33</v>
      </c>
      <c r="BB162" s="106">
        <f>+PMGR!BB162+BP!BB162</f>
        <v>14579.539999999999</v>
      </c>
      <c r="BC162" s="106">
        <f t="shared" si="790"/>
        <v>314471.86800000002</v>
      </c>
      <c r="BD162" s="16" t="str">
        <f t="shared" si="671"/>
        <v>Repair and Maintenance - Others</v>
      </c>
      <c r="BE162" s="106">
        <f>+PMGR!BE162+BP!BE162</f>
        <v>11478.676000000001</v>
      </c>
      <c r="BF162" s="106">
        <f>+PMGR!BF162+BP!BF162</f>
        <v>145177.427</v>
      </c>
      <c r="BG162" s="106">
        <f>+PMGR!BG162+BP!BG162</f>
        <v>20924.330000000002</v>
      </c>
      <c r="BH162" s="106">
        <f>+PMGR!BH162+BP!BH162</f>
        <v>11335.21</v>
      </c>
      <c r="BI162" s="106">
        <f>+PMGR!BI162+BP!BI162</f>
        <v>20384.939999999999</v>
      </c>
      <c r="BJ162" s="106">
        <f>+PMGR!BJ162+BP!BJ162</f>
        <v>85315.23</v>
      </c>
      <c r="BK162" s="106">
        <f>+PMGR!BK162+BP!BK162</f>
        <v>8507.25</v>
      </c>
      <c r="BL162" s="106">
        <f>+PMGR!BL162+BP!BL162</f>
        <v>54501.27</v>
      </c>
      <c r="BM162" s="106">
        <f>+PMGR!BM162+BP!BM162</f>
        <v>35374.65</v>
      </c>
      <c r="BN162" s="106">
        <f>+PMGR!BN162+BP!BN162</f>
        <v>145848.03</v>
      </c>
      <c r="BO162" s="106">
        <f>+PMGR!BO162+BP!BO162</f>
        <v>0</v>
      </c>
      <c r="BP162" s="106">
        <f>+PMGR!BP162+BP!BP162</f>
        <v>0</v>
      </c>
      <c r="BQ162" s="106">
        <f t="shared" si="791"/>
        <v>538847.01300000004</v>
      </c>
      <c r="BR162" s="118"/>
      <c r="BS162" s="106">
        <f>+PMGR!BS162+BP!BS162</f>
        <v>17824.909583333334</v>
      </c>
      <c r="BT162" s="106">
        <f>+PMGR!BT162+BP!BT162</f>
        <v>17824.909583333334</v>
      </c>
      <c r="BU162" s="106">
        <f>+PMGR!BU162+BP!BU162</f>
        <v>17824.909583333334</v>
      </c>
      <c r="BV162" s="106">
        <f>+PMGR!BV162+BP!BV162</f>
        <v>17824.909583333334</v>
      </c>
      <c r="BW162" s="106">
        <f>+PMGR!BW162+BP!BW162</f>
        <v>17824.909583333334</v>
      </c>
      <c r="BX162" s="106">
        <f>+PMGR!BX162+BP!BX162</f>
        <v>17824.909583333334</v>
      </c>
      <c r="BY162" s="106">
        <f>+PMGR!BY162+BP!BY162</f>
        <v>17824.909583333334</v>
      </c>
      <c r="BZ162" s="106">
        <f>+PMGR!BZ162+BP!BZ162</f>
        <v>17824.909583333334</v>
      </c>
      <c r="CA162" s="106">
        <f>+PMGR!CA162+BP!CA162</f>
        <v>17824.909583333334</v>
      </c>
      <c r="CB162" s="106">
        <f>+PMGR!CB162+BP!CB162</f>
        <v>18716.155062499965</v>
      </c>
      <c r="CC162" s="106">
        <f>+PMGR!CC162+BP!CC162</f>
        <v>18716.155062499965</v>
      </c>
      <c r="CD162" s="106">
        <f>+PMGR!CD162+BP!CD162</f>
        <v>18716.155062499965</v>
      </c>
      <c r="CE162" s="106">
        <f t="shared" si="792"/>
        <v>216572.65143749991</v>
      </c>
      <c r="CF162" s="106"/>
      <c r="CG162" s="106">
        <f>+PMGR!CG162+BP!CG162</f>
        <v>9272.2999999999993</v>
      </c>
      <c r="CH162" s="106">
        <f>+PMGR!CH162+BP!CH162</f>
        <v>12837.5</v>
      </c>
      <c r="CI162" s="106">
        <f>+PMGR!CI162+BP!CI162</f>
        <v>24141.25</v>
      </c>
      <c r="CJ162" s="106">
        <f>+PMGR!CJ162+BP!CJ162</f>
        <v>7662.5</v>
      </c>
      <c r="CK162" s="106">
        <f>+PMGR!CK162+BP!CK162</f>
        <v>8312.5</v>
      </c>
      <c r="CL162" s="106">
        <f>+PMGR!CL162+BP!CL162</f>
        <v>9518.7000000000007</v>
      </c>
      <c r="CM162" s="106">
        <f>+PMGR!CM162+BP!CM162</f>
        <v>15201.7</v>
      </c>
      <c r="CN162" s="106">
        <f>+PMGR!CN162+BP!CN162</f>
        <v>16502.95</v>
      </c>
      <c r="CO162" s="106">
        <f>+PMGR!CO162+BP!CO162</f>
        <v>4474.3320000000003</v>
      </c>
      <c r="CP162" s="106">
        <f>+PMGR!CP162+BP!CP162</f>
        <v>24955.95</v>
      </c>
      <c r="CQ162" s="106">
        <f>+PMGR!CQ162+BP!CQ162</f>
        <v>2475</v>
      </c>
      <c r="CR162" s="106">
        <f>+PMGR!CR162+BP!CR162</f>
        <v>6380.95</v>
      </c>
      <c r="CS162" s="106">
        <f t="shared" si="793"/>
        <v>141735.63200000001</v>
      </c>
      <c r="CT162" s="16" t="str">
        <f t="shared" si="675"/>
        <v>Repair and Maintenance - Others</v>
      </c>
      <c r="CU162" s="106">
        <f>+PMGR!CU162+BP!CU162</f>
        <v>6669.0679999999993</v>
      </c>
      <c r="CV162" s="106">
        <f>+PMGR!CV162+BP!CV162</f>
        <v>19465.0085</v>
      </c>
      <c r="CW162" s="106">
        <f>+PMGR!CW162+BP!CW162</f>
        <v>1250</v>
      </c>
      <c r="CX162" s="106">
        <f>+PMGR!CX162+BP!CX162</f>
        <v>2250</v>
      </c>
      <c r="CY162" s="106">
        <f>+PMGR!CY162+BP!CY162</f>
        <v>800</v>
      </c>
      <c r="CZ162" s="106">
        <f>+PMGR!CZ162+BP!CZ162</f>
        <v>3125</v>
      </c>
      <c r="DA162" s="106">
        <f>+PMGR!DA162+BP!DA162</f>
        <v>32915</v>
      </c>
      <c r="DB162" s="106">
        <f>+PMGR!DB162+BP!DB162</f>
        <v>3300</v>
      </c>
      <c r="DC162" s="106">
        <f>+PMGR!DC162+BP!DC162</f>
        <v>133950</v>
      </c>
      <c r="DD162" s="106">
        <f>+PMGR!DD162+BP!DD162</f>
        <v>27001</v>
      </c>
      <c r="DE162" s="106">
        <f>+PMGR!DE162+BP!DE162</f>
        <v>0</v>
      </c>
      <c r="DF162" s="106">
        <f>+PMGR!DF162+BP!DF162</f>
        <v>0</v>
      </c>
      <c r="DG162" s="106">
        <f t="shared" si="794"/>
        <v>230725.0765</v>
      </c>
      <c r="DH162" s="118"/>
      <c r="DI162" s="106">
        <f>+PMGR!DI162+BP!DI162</f>
        <v>12212.30128</v>
      </c>
      <c r="DJ162" s="106">
        <f>+PMGR!DJ162+BP!DJ162</f>
        <v>12212.30128</v>
      </c>
      <c r="DK162" s="106">
        <f>+PMGR!DK162+BP!DK162</f>
        <v>12212.30128</v>
      </c>
      <c r="DL162" s="106">
        <f>+PMGR!DL162+BP!DL162</f>
        <v>12212.30128</v>
      </c>
      <c r="DM162" s="106">
        <f>+PMGR!DM162+BP!DM162</f>
        <v>12212.30128</v>
      </c>
      <c r="DN162" s="106">
        <f>+PMGR!DN162+BP!DN162</f>
        <v>12212.30128</v>
      </c>
      <c r="DO162" s="106">
        <f>+PMGR!DO162+BP!DO162</f>
        <v>12212.30128</v>
      </c>
      <c r="DP162" s="106">
        <f>+PMGR!DP162+BP!DP162</f>
        <v>12212.30128</v>
      </c>
      <c r="DQ162" s="106">
        <f>+PMGR!DQ162+BP!DQ162</f>
        <v>7572.9163125000005</v>
      </c>
      <c r="DR162" s="106">
        <f>+PMGR!DR162+BP!DR162</f>
        <v>7572.9163125000005</v>
      </c>
      <c r="DS162" s="106">
        <f>+PMGR!DS162+BP!DS162</f>
        <v>7572.9163125000005</v>
      </c>
      <c r="DT162" s="106">
        <f>+PMGR!DT162+BP!DT162</f>
        <v>7572.9163125000005</v>
      </c>
      <c r="DU162" s="106">
        <f t="shared" si="795"/>
        <v>127990.07549000002</v>
      </c>
      <c r="DV162" s="106">
        <f>+DG161+'NEW CAR'!DG161</f>
        <v>439154.26316666673</v>
      </c>
      <c r="DW162" s="106">
        <f>+PMGR!DW162+BP!DW162</f>
        <v>0</v>
      </c>
      <c r="DX162" s="106">
        <f>+PMGR!DX162+BP!DX162</f>
        <v>0</v>
      </c>
      <c r="DY162" s="106">
        <f>+PMGR!DY162+BP!DY162</f>
        <v>0</v>
      </c>
      <c r="DZ162" s="106">
        <f>+PMGR!DZ162+BP!DZ162</f>
        <v>0</v>
      </c>
      <c r="EA162" s="106">
        <f>+PMGR!EA162+BP!EA162</f>
        <v>0</v>
      </c>
      <c r="EB162" s="106">
        <f>+PMGR!EB162+BP!EB162</f>
        <v>0</v>
      </c>
      <c r="EC162" s="106">
        <f>+PMGR!EC162+BP!EC162</f>
        <v>0</v>
      </c>
      <c r="ED162" s="106">
        <f>+PMGR!ED162+BP!ED162</f>
        <v>0</v>
      </c>
      <c r="EE162" s="106">
        <f>+PMGR!EE162+BP!EE162</f>
        <v>0</v>
      </c>
      <c r="EF162" s="106">
        <f>+PMGR!EF162+BP!EF162</f>
        <v>0</v>
      </c>
      <c r="EG162" s="106">
        <f>+PMGR!EG162+BP!EG162</f>
        <v>0</v>
      </c>
      <c r="EH162" s="106">
        <f>+PMGR!EH162+BP!EH162</f>
        <v>0</v>
      </c>
      <c r="EI162" s="106">
        <f t="shared" si="796"/>
        <v>0</v>
      </c>
      <c r="EJ162" s="16" t="str">
        <f t="shared" si="681"/>
        <v>Repair and Maintenance - Others</v>
      </c>
      <c r="EK162" s="106">
        <f>+PMGR!EK162+BP!EK162</f>
        <v>85000</v>
      </c>
      <c r="EL162" s="106">
        <f>+PMGR!EL162+BP!EL162</f>
        <v>29130</v>
      </c>
      <c r="EM162" s="106">
        <f>+PMGR!EM162+BP!EM162</f>
        <v>20572.04</v>
      </c>
      <c r="EN162" s="106">
        <f>+PMGR!EN162+BP!EN162</f>
        <v>31850</v>
      </c>
      <c r="EO162" s="106">
        <f>+PMGR!EO162+BP!EO162</f>
        <v>5600</v>
      </c>
      <c r="EP162" s="106">
        <f>+PMGR!EP162+BP!EP162</f>
        <v>186596.09</v>
      </c>
      <c r="EQ162" s="106">
        <f>+PMGR!EQ162+BP!EQ162</f>
        <v>89800</v>
      </c>
      <c r="ER162" s="106">
        <f>+PMGR!ER162+BP!ER162</f>
        <v>1800</v>
      </c>
      <c r="ES162" s="106">
        <f>+PMGR!ES162+BP!ES162</f>
        <v>2300</v>
      </c>
      <c r="ET162" s="106">
        <f>+PMGR!ET162+BP!ET162</f>
        <v>1700</v>
      </c>
      <c r="EU162" s="106">
        <f>+PMGR!EU162+BP!EU162</f>
        <v>0</v>
      </c>
      <c r="EV162" s="106">
        <f>+PMGR!EV162+BP!EV162</f>
        <v>0</v>
      </c>
      <c r="EW162" s="106">
        <f t="shared" si="797"/>
        <v>454348.13</v>
      </c>
      <c r="EX162" s="118"/>
      <c r="EY162" s="106">
        <f>+PMGR!EY162+BP!EY162</f>
        <v>2500</v>
      </c>
      <c r="EZ162" s="106">
        <f>+PMGR!EZ162+BP!EZ162</f>
        <v>2500</v>
      </c>
      <c r="FA162" s="106">
        <f>+PMGR!FA162+BP!FA162</f>
        <v>2500</v>
      </c>
      <c r="FB162" s="106">
        <f>+PMGR!FB162+BP!FB162</f>
        <v>2500</v>
      </c>
      <c r="FC162" s="106">
        <f>+PMGR!FC162+BP!FC162</f>
        <v>2500</v>
      </c>
      <c r="FD162" s="106">
        <f>+PMGR!FD162+BP!FD162</f>
        <v>2500</v>
      </c>
      <c r="FE162" s="106">
        <f>+PMGR!FE162+BP!FE162</f>
        <v>2500</v>
      </c>
      <c r="FF162" s="106">
        <f>+PMGR!FF162+BP!FF162</f>
        <v>2500</v>
      </c>
      <c r="FG162" s="106">
        <f>+PMGR!FG162+BP!FG162</f>
        <v>2500</v>
      </c>
      <c r="FH162" s="106">
        <f>+PMGR!FH162+BP!FH162</f>
        <v>2500</v>
      </c>
      <c r="FI162" s="106">
        <f>+PMGR!FI162+BP!FI162</f>
        <v>2500</v>
      </c>
      <c r="FJ162" s="106">
        <f>+PMGR!FJ162+BP!FJ162</f>
        <v>2500</v>
      </c>
      <c r="FK162" s="106">
        <f t="shared" si="798"/>
        <v>30000</v>
      </c>
    </row>
    <row r="163" spans="1:167" ht="14.45" customHeight="1" outlineLevel="2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18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  <c r="BC163" s="106"/>
      <c r="BD163" s="16">
        <f t="shared" si="671"/>
        <v>0</v>
      </c>
      <c r="BE163" s="106"/>
      <c r="BF163" s="106"/>
      <c r="BG163" s="106"/>
      <c r="BH163" s="106"/>
      <c r="BI163" s="106"/>
      <c r="BJ163" s="106"/>
      <c r="BK163" s="106"/>
      <c r="BL163" s="106"/>
      <c r="BM163" s="106"/>
      <c r="BN163" s="106"/>
      <c r="BO163" s="106"/>
      <c r="BP163" s="106"/>
      <c r="BQ163" s="106"/>
      <c r="BR163" s="118"/>
      <c r="BS163" s="106"/>
      <c r="BT163" s="106"/>
      <c r="BU163" s="106"/>
      <c r="BV163" s="106"/>
      <c r="BW163" s="106"/>
      <c r="BX163" s="106"/>
      <c r="BY163" s="106"/>
      <c r="BZ163" s="106"/>
      <c r="CA163" s="106"/>
      <c r="CB163" s="106"/>
      <c r="CC163" s="106"/>
      <c r="CD163" s="106"/>
      <c r="CE163" s="106"/>
      <c r="CF163" s="106"/>
      <c r="CG163" s="106"/>
      <c r="CH163" s="106"/>
      <c r="CI163" s="106"/>
      <c r="CJ163" s="106"/>
      <c r="CK163" s="106"/>
      <c r="CL163" s="106"/>
      <c r="CM163" s="106"/>
      <c r="CN163" s="106"/>
      <c r="CO163" s="106"/>
      <c r="CP163" s="106"/>
      <c r="CQ163" s="106"/>
      <c r="CR163" s="106"/>
      <c r="CS163" s="106"/>
      <c r="CT163" s="16">
        <f t="shared" si="675"/>
        <v>0</v>
      </c>
      <c r="CU163" s="106"/>
      <c r="CV163" s="106"/>
      <c r="CW163" s="106"/>
      <c r="CX163" s="106"/>
      <c r="CY163" s="106"/>
      <c r="CZ163" s="106"/>
      <c r="DA163" s="106"/>
      <c r="DB163" s="106"/>
      <c r="DC163" s="106"/>
      <c r="DD163" s="106"/>
      <c r="DE163" s="106"/>
      <c r="DF163" s="106"/>
      <c r="DG163" s="106"/>
      <c r="DH163" s="118"/>
      <c r="DI163" s="106"/>
      <c r="DJ163" s="106"/>
      <c r="DK163" s="106"/>
      <c r="DL163" s="106"/>
      <c r="DM163" s="106"/>
      <c r="DN163" s="106"/>
      <c r="DO163" s="106"/>
      <c r="DP163" s="106"/>
      <c r="DQ163" s="106"/>
      <c r="DR163" s="106"/>
      <c r="DS163" s="106"/>
      <c r="DT163" s="106"/>
      <c r="DU163" s="106"/>
      <c r="DV163" s="106"/>
      <c r="DW163" s="106"/>
      <c r="DX163" s="106"/>
      <c r="DY163" s="106"/>
      <c r="DZ163" s="106"/>
      <c r="EA163" s="106"/>
      <c r="EB163" s="106"/>
      <c r="EC163" s="106"/>
      <c r="ED163" s="106"/>
      <c r="EE163" s="106"/>
      <c r="EF163" s="106"/>
      <c r="EG163" s="106"/>
      <c r="EH163" s="106"/>
      <c r="EI163" s="106"/>
      <c r="EJ163" s="16">
        <f t="shared" si="681"/>
        <v>0</v>
      </c>
      <c r="EK163" s="106"/>
      <c r="EL163" s="106"/>
      <c r="EM163" s="106"/>
      <c r="EN163" s="106"/>
      <c r="EO163" s="106"/>
      <c r="EP163" s="106"/>
      <c r="EQ163" s="106"/>
      <c r="ER163" s="106"/>
      <c r="ES163" s="106"/>
      <c r="ET163" s="106"/>
      <c r="EU163" s="106"/>
      <c r="EV163" s="106"/>
      <c r="EW163" s="106"/>
      <c r="EX163" s="118"/>
      <c r="EY163" s="106"/>
      <c r="EZ163" s="106"/>
      <c r="FA163" s="106"/>
      <c r="FB163" s="106"/>
      <c r="FC163" s="106"/>
      <c r="FD163" s="106"/>
      <c r="FE163" s="106"/>
      <c r="FF163" s="106"/>
      <c r="FG163" s="106"/>
      <c r="FH163" s="106"/>
      <c r="FI163" s="106"/>
      <c r="FJ163" s="106"/>
      <c r="FK163" s="106"/>
    </row>
    <row r="164" spans="1:167" ht="14.45" customHeight="1" outlineLevel="1">
      <c r="A164" s="58">
        <f t="shared" ref="A164:L164" si="799">+SUM(A165:A171)</f>
        <v>144965.43150000001</v>
      </c>
      <c r="B164" s="58">
        <f t="shared" si="799"/>
        <v>81456.639999999999</v>
      </c>
      <c r="C164" s="58">
        <f t="shared" si="799"/>
        <v>85979.05</v>
      </c>
      <c r="D164" s="58">
        <f t="shared" si="799"/>
        <v>71762.37999999999</v>
      </c>
      <c r="E164" s="58">
        <f t="shared" si="799"/>
        <v>155371.03899999999</v>
      </c>
      <c r="F164" s="58">
        <f t="shared" si="799"/>
        <v>106538.97</v>
      </c>
      <c r="G164" s="58">
        <f t="shared" si="799"/>
        <v>180304.5895</v>
      </c>
      <c r="H164" s="58">
        <f t="shared" si="799"/>
        <v>81565.755999999994</v>
      </c>
      <c r="I164" s="58">
        <f t="shared" si="799"/>
        <v>90813.193999999989</v>
      </c>
      <c r="J164" s="58">
        <f t="shared" si="799"/>
        <v>66932.593999999997</v>
      </c>
      <c r="K164" s="58">
        <f t="shared" si="799"/>
        <v>103762.04700000001</v>
      </c>
      <c r="L164" s="58">
        <f t="shared" si="799"/>
        <v>134065.66</v>
      </c>
      <c r="M164" s="58"/>
      <c r="N164" s="20" t="s">
        <v>136</v>
      </c>
      <c r="O164" s="58">
        <f t="shared" ref="O164:AA164" si="800">+SUM(O165:O171)</f>
        <v>72167.51999999999</v>
      </c>
      <c r="P164" s="58">
        <f t="shared" si="800"/>
        <v>67335.215499999991</v>
      </c>
      <c r="Q164" s="58">
        <f t="shared" si="800"/>
        <v>144893.43150000001</v>
      </c>
      <c r="R164" s="58">
        <f t="shared" si="800"/>
        <v>100588.33</v>
      </c>
      <c r="S164" s="58">
        <f t="shared" si="800"/>
        <v>269290.978</v>
      </c>
      <c r="T164" s="58">
        <f t="shared" si="800"/>
        <v>133382.12650000001</v>
      </c>
      <c r="U164" s="58">
        <f t="shared" si="800"/>
        <v>290180.28850000002</v>
      </c>
      <c r="V164" s="58">
        <f t="shared" si="800"/>
        <v>249768.3725</v>
      </c>
      <c r="W164" s="58">
        <f t="shared" si="800"/>
        <v>207105.25000000003</v>
      </c>
      <c r="X164" s="58">
        <f t="shared" si="800"/>
        <v>194617.04</v>
      </c>
      <c r="Y164" s="58">
        <f t="shared" si="800"/>
        <v>0</v>
      </c>
      <c r="Z164" s="58">
        <f t="shared" si="800"/>
        <v>0</v>
      </c>
      <c r="AA164" s="58">
        <f t="shared" si="800"/>
        <v>1729328.5524999998</v>
      </c>
      <c r="AB164" s="118"/>
      <c r="AC164" s="58">
        <f t="shared" ref="AC164:AN164" si="801">+SUM(AC165:AC171)</f>
        <v>259420</v>
      </c>
      <c r="AD164" s="58">
        <f t="shared" si="801"/>
        <v>109420</v>
      </c>
      <c r="AE164" s="58">
        <f t="shared" si="801"/>
        <v>109420</v>
      </c>
      <c r="AF164" s="58">
        <f t="shared" si="801"/>
        <v>109420</v>
      </c>
      <c r="AG164" s="58">
        <f t="shared" si="801"/>
        <v>169420</v>
      </c>
      <c r="AH164" s="58">
        <f t="shared" si="801"/>
        <v>109420</v>
      </c>
      <c r="AI164" s="58">
        <f t="shared" si="801"/>
        <v>109420</v>
      </c>
      <c r="AJ164" s="58">
        <f t="shared" si="801"/>
        <v>113420</v>
      </c>
      <c r="AK164" s="58">
        <f t="shared" si="801"/>
        <v>153420</v>
      </c>
      <c r="AL164" s="58">
        <f t="shared" si="801"/>
        <v>169420</v>
      </c>
      <c r="AM164" s="58">
        <f t="shared" si="801"/>
        <v>109420</v>
      </c>
      <c r="AN164" s="58">
        <f t="shared" si="801"/>
        <v>109420</v>
      </c>
      <c r="AO164" s="58"/>
      <c r="AP164" s="106"/>
      <c r="AQ164" s="58">
        <f t="shared" ref="AQ164:BC164" si="802">+SUM(AQ165:AQ171)</f>
        <v>77311.600999999995</v>
      </c>
      <c r="AR164" s="58">
        <f t="shared" si="802"/>
        <v>37777.14</v>
      </c>
      <c r="AS164" s="58">
        <f t="shared" si="802"/>
        <v>57959.229999999996</v>
      </c>
      <c r="AT164" s="58">
        <f t="shared" si="802"/>
        <v>44785.75</v>
      </c>
      <c r="AU164" s="58">
        <f t="shared" si="802"/>
        <v>110647.14599999999</v>
      </c>
      <c r="AV164" s="58">
        <f t="shared" si="802"/>
        <v>72833.14</v>
      </c>
      <c r="AW164" s="58">
        <f t="shared" si="802"/>
        <v>128173.133</v>
      </c>
      <c r="AX164" s="58">
        <f t="shared" si="802"/>
        <v>41266.183999999994</v>
      </c>
      <c r="AY164" s="58">
        <f t="shared" si="802"/>
        <v>57994.665999999997</v>
      </c>
      <c r="AZ164" s="58">
        <f t="shared" si="802"/>
        <v>24551.805999999997</v>
      </c>
      <c r="BA164" s="58">
        <f t="shared" si="802"/>
        <v>66560.047999999995</v>
      </c>
      <c r="BB164" s="58">
        <f t="shared" si="802"/>
        <v>86525.78</v>
      </c>
      <c r="BC164" s="58">
        <f t="shared" si="802"/>
        <v>806385.62400000019</v>
      </c>
      <c r="BD164" s="20" t="str">
        <f t="shared" si="671"/>
        <v>Company Vehicle Expenses</v>
      </c>
      <c r="BE164" s="58">
        <f t="shared" ref="BE164:BQ164" si="803">+SUM(BE165:BE171)</f>
        <v>37763.83</v>
      </c>
      <c r="BF164" s="58">
        <f t="shared" si="803"/>
        <v>52360.606999999996</v>
      </c>
      <c r="BG164" s="58">
        <f t="shared" si="803"/>
        <v>38922.481</v>
      </c>
      <c r="BH164" s="58">
        <f t="shared" si="803"/>
        <v>57229.25</v>
      </c>
      <c r="BI164" s="58">
        <f t="shared" si="803"/>
        <v>217701.842</v>
      </c>
      <c r="BJ164" s="58">
        <f t="shared" si="803"/>
        <v>100347.71100000001</v>
      </c>
      <c r="BK164" s="58">
        <f t="shared" si="803"/>
        <v>233791.57899999997</v>
      </c>
      <c r="BL164" s="58">
        <f t="shared" si="803"/>
        <v>127688.265</v>
      </c>
      <c r="BM164" s="58">
        <f t="shared" si="803"/>
        <v>106967.32</v>
      </c>
      <c r="BN164" s="58">
        <f t="shared" si="803"/>
        <v>123153.22999999998</v>
      </c>
      <c r="BO164" s="58">
        <f t="shared" si="803"/>
        <v>0</v>
      </c>
      <c r="BP164" s="58">
        <f t="shared" si="803"/>
        <v>0</v>
      </c>
      <c r="BQ164" s="58">
        <f t="shared" si="803"/>
        <v>1095926.115</v>
      </c>
      <c r="BR164" s="118"/>
      <c r="BS164" s="58">
        <f t="shared" ref="BS164:CE164" si="804">+SUM(BS165:BS171)</f>
        <v>219793.33333333334</v>
      </c>
      <c r="BT164" s="58">
        <f t="shared" si="804"/>
        <v>69793.333333333343</v>
      </c>
      <c r="BU164" s="58">
        <f t="shared" si="804"/>
        <v>69793.333333333343</v>
      </c>
      <c r="BV164" s="58">
        <f t="shared" si="804"/>
        <v>69793.333333333343</v>
      </c>
      <c r="BW164" s="58">
        <f t="shared" si="804"/>
        <v>129793.33333333334</v>
      </c>
      <c r="BX164" s="58">
        <f t="shared" si="804"/>
        <v>69793.333333333343</v>
      </c>
      <c r="BY164" s="58">
        <f t="shared" si="804"/>
        <v>69793.333333333343</v>
      </c>
      <c r="BZ164" s="58">
        <f t="shared" si="804"/>
        <v>71793.333333333343</v>
      </c>
      <c r="CA164" s="58">
        <f t="shared" si="804"/>
        <v>113793.33333333334</v>
      </c>
      <c r="CB164" s="58">
        <f t="shared" si="804"/>
        <v>69793.333333333343</v>
      </c>
      <c r="CC164" s="58">
        <f t="shared" si="804"/>
        <v>69793.333333333343</v>
      </c>
      <c r="CD164" s="58">
        <f t="shared" si="804"/>
        <v>69793.333333333343</v>
      </c>
      <c r="CE164" s="58">
        <f t="shared" si="804"/>
        <v>1093520</v>
      </c>
      <c r="CF164" s="106"/>
      <c r="CG164" s="58">
        <f t="shared" ref="CG164:CS164" si="805">+SUM(CG165:CG171)</f>
        <v>67653.830499999996</v>
      </c>
      <c r="CH164" s="58">
        <f t="shared" si="805"/>
        <v>43679.5</v>
      </c>
      <c r="CI164" s="58">
        <f t="shared" si="805"/>
        <v>28019.82</v>
      </c>
      <c r="CJ164" s="58">
        <f t="shared" si="805"/>
        <v>26976.63</v>
      </c>
      <c r="CK164" s="58">
        <f t="shared" si="805"/>
        <v>44723.892999999996</v>
      </c>
      <c r="CL164" s="58">
        <f t="shared" si="805"/>
        <v>33705.83</v>
      </c>
      <c r="CM164" s="58">
        <f t="shared" si="805"/>
        <v>52131.4565</v>
      </c>
      <c r="CN164" s="58">
        <f t="shared" si="805"/>
        <v>40299.572</v>
      </c>
      <c r="CO164" s="58">
        <f t="shared" si="805"/>
        <v>32818.527999999998</v>
      </c>
      <c r="CP164" s="58">
        <f t="shared" si="805"/>
        <v>42380.788</v>
      </c>
      <c r="CQ164" s="58">
        <f t="shared" si="805"/>
        <v>37201.999000000003</v>
      </c>
      <c r="CR164" s="58">
        <f t="shared" si="805"/>
        <v>47539.88</v>
      </c>
      <c r="CS164" s="58">
        <f t="shared" si="805"/>
        <v>497131.72699999996</v>
      </c>
      <c r="CT164" s="20" t="str">
        <f t="shared" si="675"/>
        <v>Company Vehicle Expenses</v>
      </c>
      <c r="CU164" s="58">
        <f t="shared" ref="CU164:DG164" si="806">+SUM(CU165:CU171)</f>
        <v>27940.69</v>
      </c>
      <c r="CV164" s="58">
        <f t="shared" si="806"/>
        <v>6737.6084999999994</v>
      </c>
      <c r="CW164" s="58">
        <f t="shared" si="806"/>
        <v>104920.95049999999</v>
      </c>
      <c r="CX164" s="58">
        <f t="shared" si="806"/>
        <v>19670.52</v>
      </c>
      <c r="CY164" s="58">
        <f t="shared" si="806"/>
        <v>51589.135999999999</v>
      </c>
      <c r="CZ164" s="58">
        <f t="shared" si="806"/>
        <v>33034.415500000003</v>
      </c>
      <c r="DA164" s="58">
        <f t="shared" si="806"/>
        <v>30561.9195</v>
      </c>
      <c r="DB164" s="58">
        <f t="shared" si="806"/>
        <v>30383.197500000002</v>
      </c>
      <c r="DC164" s="58">
        <f t="shared" si="806"/>
        <v>100137.93</v>
      </c>
      <c r="DD164" s="58">
        <f t="shared" si="806"/>
        <v>69463.810000000012</v>
      </c>
      <c r="DE164" s="58">
        <f t="shared" si="806"/>
        <v>0</v>
      </c>
      <c r="DF164" s="58">
        <f t="shared" si="806"/>
        <v>0</v>
      </c>
      <c r="DG164" s="58">
        <f t="shared" si="806"/>
        <v>474440.17749999999</v>
      </c>
      <c r="DH164" s="118"/>
      <c r="DI164" s="58">
        <f t="shared" ref="DI164:DU164" si="807">+SUM(DI165:DI171)</f>
        <v>39126.666666666664</v>
      </c>
      <c r="DJ164" s="58">
        <f t="shared" si="807"/>
        <v>39126.666666666664</v>
      </c>
      <c r="DK164" s="58">
        <f t="shared" si="807"/>
        <v>39126.666666666664</v>
      </c>
      <c r="DL164" s="58">
        <f t="shared" si="807"/>
        <v>39126.666666666664</v>
      </c>
      <c r="DM164" s="58">
        <f t="shared" si="807"/>
        <v>39126.666666666664</v>
      </c>
      <c r="DN164" s="58">
        <f t="shared" si="807"/>
        <v>39126.666666666664</v>
      </c>
      <c r="DO164" s="58">
        <f t="shared" si="807"/>
        <v>39126.666666666664</v>
      </c>
      <c r="DP164" s="58">
        <f t="shared" si="807"/>
        <v>41126.666666666664</v>
      </c>
      <c r="DQ164" s="58">
        <f t="shared" si="807"/>
        <v>39126.666666666664</v>
      </c>
      <c r="DR164" s="58">
        <f t="shared" si="807"/>
        <v>99126.666666666657</v>
      </c>
      <c r="DS164" s="58">
        <f t="shared" si="807"/>
        <v>39126.666666666664</v>
      </c>
      <c r="DT164" s="58">
        <f t="shared" si="807"/>
        <v>39126.666666666664</v>
      </c>
      <c r="DU164" s="58">
        <f t="shared" si="807"/>
        <v>531520</v>
      </c>
      <c r="DV164" s="106"/>
      <c r="DW164" s="58">
        <f t="shared" ref="DW164:EI164" si="808">+SUM(DW165:DW171)</f>
        <v>0</v>
      </c>
      <c r="DX164" s="58">
        <f t="shared" si="808"/>
        <v>0</v>
      </c>
      <c r="DY164" s="58">
        <f t="shared" si="808"/>
        <v>0</v>
      </c>
      <c r="DZ164" s="58">
        <f t="shared" si="808"/>
        <v>0</v>
      </c>
      <c r="EA164" s="58">
        <f t="shared" si="808"/>
        <v>0</v>
      </c>
      <c r="EB164" s="58">
        <f t="shared" si="808"/>
        <v>0</v>
      </c>
      <c r="EC164" s="58">
        <f t="shared" si="808"/>
        <v>0</v>
      </c>
      <c r="ED164" s="58">
        <f t="shared" si="808"/>
        <v>0</v>
      </c>
      <c r="EE164" s="58">
        <f t="shared" si="808"/>
        <v>0</v>
      </c>
      <c r="EF164" s="58">
        <f t="shared" si="808"/>
        <v>0</v>
      </c>
      <c r="EG164" s="58">
        <f t="shared" si="808"/>
        <v>0</v>
      </c>
      <c r="EH164" s="58">
        <f t="shared" si="808"/>
        <v>0</v>
      </c>
      <c r="EI164" s="58">
        <f t="shared" si="808"/>
        <v>0</v>
      </c>
      <c r="EJ164" s="20" t="str">
        <f t="shared" si="681"/>
        <v>Company Vehicle Expenses</v>
      </c>
      <c r="EK164" s="58">
        <f t="shared" ref="EK164:EW164" si="809">+SUM(EK165:EK171)</f>
        <v>6463</v>
      </c>
      <c r="EL164" s="58">
        <f t="shared" si="809"/>
        <v>8237</v>
      </c>
      <c r="EM164" s="58">
        <f t="shared" si="809"/>
        <v>1050</v>
      </c>
      <c r="EN164" s="58">
        <f t="shared" si="809"/>
        <v>23688.559999999998</v>
      </c>
      <c r="EO164" s="58">
        <f t="shared" si="809"/>
        <v>0</v>
      </c>
      <c r="EP164" s="58">
        <f t="shared" si="809"/>
        <v>0</v>
      </c>
      <c r="EQ164" s="58">
        <f t="shared" si="809"/>
        <v>25826.79</v>
      </c>
      <c r="ER164" s="58">
        <f t="shared" si="809"/>
        <v>91696.91</v>
      </c>
      <c r="ES164" s="58">
        <f t="shared" si="809"/>
        <v>0</v>
      </c>
      <c r="ET164" s="58">
        <f t="shared" si="809"/>
        <v>2000</v>
      </c>
      <c r="EU164" s="58">
        <f t="shared" si="809"/>
        <v>0</v>
      </c>
      <c r="EV164" s="58">
        <f t="shared" si="809"/>
        <v>0</v>
      </c>
      <c r="EW164" s="58">
        <f t="shared" si="809"/>
        <v>158962.26</v>
      </c>
      <c r="EX164" s="118"/>
      <c r="EY164" s="58">
        <f t="shared" ref="EY164:FK164" si="810">+SUM(EY165:EY171)</f>
        <v>500</v>
      </c>
      <c r="EZ164" s="58">
        <f t="shared" si="810"/>
        <v>500</v>
      </c>
      <c r="FA164" s="58">
        <f t="shared" si="810"/>
        <v>500</v>
      </c>
      <c r="FB164" s="58">
        <f t="shared" si="810"/>
        <v>500</v>
      </c>
      <c r="FC164" s="58">
        <f t="shared" si="810"/>
        <v>500</v>
      </c>
      <c r="FD164" s="58">
        <f t="shared" si="810"/>
        <v>500</v>
      </c>
      <c r="FE164" s="58">
        <f t="shared" si="810"/>
        <v>500</v>
      </c>
      <c r="FF164" s="58">
        <f t="shared" si="810"/>
        <v>500</v>
      </c>
      <c r="FG164" s="58">
        <f t="shared" si="810"/>
        <v>500</v>
      </c>
      <c r="FH164" s="58">
        <f t="shared" si="810"/>
        <v>500</v>
      </c>
      <c r="FI164" s="58">
        <f t="shared" si="810"/>
        <v>500</v>
      </c>
      <c r="FJ164" s="58">
        <f t="shared" si="810"/>
        <v>500</v>
      </c>
      <c r="FK164" s="58">
        <f t="shared" si="810"/>
        <v>6000</v>
      </c>
    </row>
    <row r="165" spans="1:167" ht="14.45" hidden="1" customHeight="1" outlineLevel="2">
      <c r="A165" s="106">
        <f t="shared" ref="A165:L171" si="811">+AQ165+CG165+DW165</f>
        <v>20833.821500000002</v>
      </c>
      <c r="B165" s="106">
        <f t="shared" si="811"/>
        <v>16486.86</v>
      </c>
      <c r="C165" s="106">
        <f t="shared" si="811"/>
        <v>10808.1</v>
      </c>
      <c r="D165" s="106">
        <f t="shared" si="811"/>
        <v>10257.280000000001</v>
      </c>
      <c r="E165" s="106">
        <f t="shared" si="811"/>
        <v>15999.02</v>
      </c>
      <c r="F165" s="106">
        <f t="shared" si="811"/>
        <v>14655.26</v>
      </c>
      <c r="G165" s="106">
        <f t="shared" si="811"/>
        <v>13482.734999999999</v>
      </c>
      <c r="H165" s="106">
        <f t="shared" si="811"/>
        <v>7618.2460000000001</v>
      </c>
      <c r="I165" s="106">
        <f t="shared" si="811"/>
        <v>15733.049500000001</v>
      </c>
      <c r="J165" s="106">
        <f t="shared" si="811"/>
        <v>12725.213999999998</v>
      </c>
      <c r="K165" s="106">
        <f t="shared" si="811"/>
        <v>16279.216999999999</v>
      </c>
      <c r="L165" s="106">
        <f t="shared" si="811"/>
        <v>28722.3</v>
      </c>
      <c r="M165" s="106">
        <f t="shared" ref="M165:M171" si="812">+SUM(A165:L165)</f>
        <v>183601.103</v>
      </c>
      <c r="N165" s="16" t="s">
        <v>137</v>
      </c>
      <c r="O165" s="106">
        <f t="shared" ref="O165:Z171" si="813">+BE165+CU165+EK165</f>
        <v>23285.199999999997</v>
      </c>
      <c r="P165" s="106">
        <f t="shared" si="813"/>
        <v>24312.069999999996</v>
      </c>
      <c r="Q165" s="106">
        <f t="shared" si="813"/>
        <v>7647.6100000000006</v>
      </c>
      <c r="R165" s="106">
        <f t="shared" si="813"/>
        <v>24119.579999999998</v>
      </c>
      <c r="S165" s="106">
        <f t="shared" si="813"/>
        <v>21373.777999999998</v>
      </c>
      <c r="T165" s="106">
        <f t="shared" si="813"/>
        <v>34117.9565</v>
      </c>
      <c r="U165" s="106">
        <f t="shared" si="813"/>
        <v>20042.809999999998</v>
      </c>
      <c r="V165" s="106">
        <f t="shared" si="813"/>
        <v>33743.432499999995</v>
      </c>
      <c r="W165" s="106">
        <f t="shared" si="813"/>
        <v>9327.0600000000013</v>
      </c>
      <c r="X165" s="106">
        <f t="shared" si="813"/>
        <v>18085.640000000003</v>
      </c>
      <c r="Y165" s="106">
        <f t="shared" si="813"/>
        <v>0</v>
      </c>
      <c r="Z165" s="106">
        <f t="shared" si="813"/>
        <v>0</v>
      </c>
      <c r="AA165" s="106">
        <f t="shared" ref="AA165:AA171" si="814">+SUM(O165:Z165)</f>
        <v>216055.13699999999</v>
      </c>
      <c r="AB165" s="118"/>
      <c r="AC165" s="106">
        <f t="shared" ref="AC165:AN171" si="815">+BS165+DI165+EY165</f>
        <v>10000</v>
      </c>
      <c r="AD165" s="106">
        <f t="shared" si="815"/>
        <v>10000</v>
      </c>
      <c r="AE165" s="106">
        <f t="shared" si="815"/>
        <v>10000</v>
      </c>
      <c r="AF165" s="106">
        <f t="shared" si="815"/>
        <v>10000</v>
      </c>
      <c r="AG165" s="106">
        <f t="shared" si="815"/>
        <v>10000</v>
      </c>
      <c r="AH165" s="106">
        <f t="shared" si="815"/>
        <v>10000</v>
      </c>
      <c r="AI165" s="106">
        <f t="shared" si="815"/>
        <v>10000</v>
      </c>
      <c r="AJ165" s="106">
        <f t="shared" si="815"/>
        <v>10000</v>
      </c>
      <c r="AK165" s="106">
        <f t="shared" si="815"/>
        <v>10000</v>
      </c>
      <c r="AL165" s="106">
        <f t="shared" si="815"/>
        <v>10000</v>
      </c>
      <c r="AM165" s="106">
        <f t="shared" si="815"/>
        <v>10000</v>
      </c>
      <c r="AN165" s="106">
        <f t="shared" si="815"/>
        <v>10000</v>
      </c>
      <c r="AO165" s="106">
        <f t="shared" ref="AO165:AO171" si="816">+SUM(AC165:AN165)</f>
        <v>120000</v>
      </c>
      <c r="AP165" s="106"/>
      <c r="AQ165" s="106">
        <f>+PMGR!AQ165+BP!AQ165</f>
        <v>16433.451000000001</v>
      </c>
      <c r="AR165" s="106">
        <f>+PMGR!AR165+BP!AR165</f>
        <v>13547.95</v>
      </c>
      <c r="AS165" s="106">
        <f>+PMGR!AS165+BP!AS165</f>
        <v>8912.74</v>
      </c>
      <c r="AT165" s="106">
        <f>+PMGR!AT165+BP!AT165</f>
        <v>8706.83</v>
      </c>
      <c r="AU165" s="106">
        <f>+PMGR!AU165+BP!AU165</f>
        <v>14424.02</v>
      </c>
      <c r="AV165" s="106">
        <f>+PMGR!AV165+BP!AV165</f>
        <v>10826.42</v>
      </c>
      <c r="AW165" s="106">
        <f>+PMGR!AW165+BP!AW165</f>
        <v>12383.05</v>
      </c>
      <c r="AX165" s="106">
        <f>+PMGR!AX165+BP!AX165</f>
        <v>6147.3040000000001</v>
      </c>
      <c r="AY165" s="106">
        <f>+PMGR!AY165+BP!AY165</f>
        <v>13721.983</v>
      </c>
      <c r="AZ165" s="106">
        <f>+PMGR!AZ165+BP!AZ165</f>
        <v>9731.7959999999985</v>
      </c>
      <c r="BA165" s="106">
        <f>+PMGR!BA165+BP!BA165</f>
        <v>12526.707999999999</v>
      </c>
      <c r="BB165" s="106">
        <f>+PMGR!BB165+BP!BB165</f>
        <v>21846.559999999998</v>
      </c>
      <c r="BC165" s="106">
        <f t="shared" ref="BC165:BC171" si="817">+SUM(AQ165:BB165)</f>
        <v>149208.81200000003</v>
      </c>
      <c r="BD165" s="16" t="str">
        <f t="shared" si="671"/>
        <v>Fuel Expenses For Company Car</v>
      </c>
      <c r="BE165" s="106">
        <f>+PMGR!BE165+BP!BE165</f>
        <v>14869.079999999998</v>
      </c>
      <c r="BF165" s="106">
        <f>+PMGR!BF165+BP!BF165</f>
        <v>18761.469999999998</v>
      </c>
      <c r="BG165" s="106">
        <f>+PMGR!BG165+BP!BG165</f>
        <v>7647.6100000000006</v>
      </c>
      <c r="BH165" s="106">
        <f>+PMGR!BH165+BP!BH165</f>
        <v>21477.51</v>
      </c>
      <c r="BI165" s="106">
        <f>+PMGR!BI165+BP!BI165</f>
        <v>16519.432000000001</v>
      </c>
      <c r="BJ165" s="106">
        <f>+PMGR!BJ165+BP!BJ165</f>
        <v>27438.280999999999</v>
      </c>
      <c r="BK165" s="106">
        <f>+PMGR!BK165+BP!BK165</f>
        <v>16231.609999999999</v>
      </c>
      <c r="BL165" s="106">
        <f>+PMGR!BL165+BP!BL165</f>
        <v>23299.224999999999</v>
      </c>
      <c r="BM165" s="106">
        <f>+PMGR!BM165+BP!BM165</f>
        <v>7975.7900000000009</v>
      </c>
      <c r="BN165" s="106">
        <f>+PMGR!BN165+BP!BN165</f>
        <v>16593.010000000002</v>
      </c>
      <c r="BO165" s="106">
        <f>+PMGR!BO165+BP!BO165</f>
        <v>0</v>
      </c>
      <c r="BP165" s="106">
        <f>+PMGR!BP165+BP!BP165</f>
        <v>0</v>
      </c>
      <c r="BQ165" s="106">
        <f t="shared" ref="BQ165:BQ171" si="818">+SUM(BE165:BP165)</f>
        <v>170813.01800000001</v>
      </c>
      <c r="BR165" s="118"/>
      <c r="BS165" s="106">
        <f>+PMGR!BS165+BP!BS165</f>
        <v>9000</v>
      </c>
      <c r="BT165" s="106">
        <f>+PMGR!BT165+BP!BT165</f>
        <v>9000</v>
      </c>
      <c r="BU165" s="106">
        <f>+PMGR!BU165+BP!BU165</f>
        <v>9000</v>
      </c>
      <c r="BV165" s="106">
        <f>+PMGR!BV165+BP!BV165</f>
        <v>9000</v>
      </c>
      <c r="BW165" s="106">
        <f>+PMGR!BW165+BP!BW165</f>
        <v>9000</v>
      </c>
      <c r="BX165" s="106">
        <f>+PMGR!BX165+BP!BX165</f>
        <v>9000</v>
      </c>
      <c r="BY165" s="106">
        <f>+PMGR!BY165+BP!BY165</f>
        <v>9000</v>
      </c>
      <c r="BZ165" s="106">
        <f>+PMGR!BZ165+BP!BZ165</f>
        <v>9000</v>
      </c>
      <c r="CA165" s="106">
        <f>+PMGR!CA165+BP!CA165</f>
        <v>9000</v>
      </c>
      <c r="CB165" s="106">
        <f>+PMGR!CB165+BP!CB165</f>
        <v>9000</v>
      </c>
      <c r="CC165" s="106">
        <f>+PMGR!CC165+BP!CC165</f>
        <v>9000</v>
      </c>
      <c r="CD165" s="106">
        <f>+PMGR!CD165+BP!CD165</f>
        <v>9000</v>
      </c>
      <c r="CE165" s="106">
        <f t="shared" ref="CE165:CE171" si="819">+SUM(BS165:CD165)</f>
        <v>108000</v>
      </c>
      <c r="CF165" s="106"/>
      <c r="CG165" s="106">
        <f>+PMGR!CG165+BP!CG165</f>
        <v>4400.3705</v>
      </c>
      <c r="CH165" s="106">
        <f>+PMGR!CH165+BP!CH165</f>
        <v>2938.91</v>
      </c>
      <c r="CI165" s="106">
        <f>+PMGR!CI165+BP!CI165</f>
        <v>1895.36</v>
      </c>
      <c r="CJ165" s="106">
        <f>+PMGR!CJ165+BP!CJ165</f>
        <v>1550.45</v>
      </c>
      <c r="CK165" s="106">
        <f>+PMGR!CK165+BP!CK165</f>
        <v>1575</v>
      </c>
      <c r="CL165" s="106">
        <f>+PMGR!CL165+BP!CL165</f>
        <v>3828.8399999999997</v>
      </c>
      <c r="CM165" s="106">
        <f>+PMGR!CM165+BP!CM165</f>
        <v>1099.6849999999999</v>
      </c>
      <c r="CN165" s="106">
        <f>+PMGR!CN165+BP!CN165</f>
        <v>1470.942</v>
      </c>
      <c r="CO165" s="106">
        <f>+PMGR!CO165+BP!CO165</f>
        <v>2011.0664999999999</v>
      </c>
      <c r="CP165" s="106">
        <f>+PMGR!CP165+BP!CP165</f>
        <v>2993.4179999999997</v>
      </c>
      <c r="CQ165" s="106">
        <f>+PMGR!CQ165+BP!CQ165</f>
        <v>3752.509</v>
      </c>
      <c r="CR165" s="106">
        <f>+PMGR!CR165+BP!CR165</f>
        <v>6875.7400000000007</v>
      </c>
      <c r="CS165" s="106">
        <f t="shared" ref="CS165:CS171" si="820">+SUM(CG165:CR165)</f>
        <v>34392.290999999997</v>
      </c>
      <c r="CT165" s="16" t="str">
        <f t="shared" si="675"/>
        <v>Fuel Expenses For Company Car</v>
      </c>
      <c r="CU165" s="106">
        <f>+PMGR!CU165+BP!CU165</f>
        <v>1953.12</v>
      </c>
      <c r="CV165" s="106">
        <f>+PMGR!CV165+BP!CV165</f>
        <v>5550.5999999999995</v>
      </c>
      <c r="CW165" s="106">
        <f>+PMGR!CW165+BP!CW165</f>
        <v>0</v>
      </c>
      <c r="CX165" s="106">
        <f>+PMGR!CX165+BP!CX165</f>
        <v>2642.07</v>
      </c>
      <c r="CY165" s="106">
        <f>+PMGR!CY165+BP!CY165</f>
        <v>4854.3459999999995</v>
      </c>
      <c r="CZ165" s="106">
        <f>+PMGR!CZ165+BP!CZ165</f>
        <v>6679.6754999999994</v>
      </c>
      <c r="DA165" s="106">
        <f>+PMGR!DA165+BP!DA165</f>
        <v>3811.2</v>
      </c>
      <c r="DB165" s="106">
        <f>+PMGR!DB165+BP!DB165</f>
        <v>10444.2075</v>
      </c>
      <c r="DC165" s="106">
        <f>+PMGR!DC165+BP!DC165</f>
        <v>1351.27</v>
      </c>
      <c r="DD165" s="106">
        <f>+PMGR!DD165+BP!DD165</f>
        <v>1492.63</v>
      </c>
      <c r="DE165" s="106">
        <f>+PMGR!DE165+BP!DE165</f>
        <v>0</v>
      </c>
      <c r="DF165" s="106">
        <f>+PMGR!DF165+BP!DF165</f>
        <v>0</v>
      </c>
      <c r="DG165" s="106">
        <f t="shared" ref="DG165:DG171" si="821">+SUM(CU165:DF165)</f>
        <v>38779.118999999992</v>
      </c>
      <c r="DH165" s="118"/>
      <c r="DI165" s="106">
        <f>+PMGR!DI165+BP!DI165</f>
        <v>1000</v>
      </c>
      <c r="DJ165" s="106">
        <f>+PMGR!DJ165+BP!DJ165</f>
        <v>1000</v>
      </c>
      <c r="DK165" s="106">
        <f>+PMGR!DK165+BP!DK165</f>
        <v>1000</v>
      </c>
      <c r="DL165" s="106">
        <f>+PMGR!DL165+BP!DL165</f>
        <v>1000</v>
      </c>
      <c r="DM165" s="106">
        <f>+PMGR!DM165+BP!DM165</f>
        <v>1000</v>
      </c>
      <c r="DN165" s="106">
        <f>+PMGR!DN165+BP!DN165</f>
        <v>1000</v>
      </c>
      <c r="DO165" s="106">
        <f>+PMGR!DO165+BP!DO165</f>
        <v>1000</v>
      </c>
      <c r="DP165" s="106">
        <f>+PMGR!DP165+BP!DP165</f>
        <v>1000</v>
      </c>
      <c r="DQ165" s="106">
        <f>+PMGR!DQ165+BP!DQ165</f>
        <v>1000</v>
      </c>
      <c r="DR165" s="106">
        <f>+PMGR!DR165+BP!DR165</f>
        <v>1000</v>
      </c>
      <c r="DS165" s="106">
        <f>+PMGR!DS165+BP!DS165</f>
        <v>1000</v>
      </c>
      <c r="DT165" s="106">
        <f>+PMGR!DT165+BP!DT165</f>
        <v>1000</v>
      </c>
      <c r="DU165" s="106">
        <f t="shared" ref="DU165:DU171" si="822">+SUM(DI165:DT165)</f>
        <v>12000</v>
      </c>
      <c r="DV165" s="106"/>
      <c r="DW165" s="106">
        <f>+PMGR!DW165+BP!DW165</f>
        <v>0</v>
      </c>
      <c r="DX165" s="106">
        <f>+PMGR!DX165+BP!DX165</f>
        <v>0</v>
      </c>
      <c r="DY165" s="106">
        <f>+PMGR!DY165+BP!DY165</f>
        <v>0</v>
      </c>
      <c r="DZ165" s="106">
        <f>+PMGR!DZ165+BP!DZ165</f>
        <v>0</v>
      </c>
      <c r="EA165" s="106">
        <f>+PMGR!EA165+BP!EA165</f>
        <v>0</v>
      </c>
      <c r="EB165" s="106">
        <f>+PMGR!EB165+BP!EB165</f>
        <v>0</v>
      </c>
      <c r="EC165" s="106">
        <f>+PMGR!EC165+BP!EC165</f>
        <v>0</v>
      </c>
      <c r="ED165" s="106">
        <f>+PMGR!ED165+BP!ED165</f>
        <v>0</v>
      </c>
      <c r="EE165" s="106">
        <f>+PMGR!EE165+BP!EE165</f>
        <v>0</v>
      </c>
      <c r="EF165" s="106">
        <f>+PMGR!EF165+BP!EF165</f>
        <v>0</v>
      </c>
      <c r="EG165" s="106">
        <f>+PMGR!EG165+BP!EG165</f>
        <v>0</v>
      </c>
      <c r="EH165" s="106">
        <f>+PMGR!EH165+BP!EH165</f>
        <v>0</v>
      </c>
      <c r="EI165" s="106">
        <f t="shared" ref="EI165:EI171" si="823">+SUM(DW165:EH165)</f>
        <v>0</v>
      </c>
      <c r="EJ165" s="16" t="str">
        <f t="shared" si="681"/>
        <v>Fuel Expenses For Company Car</v>
      </c>
      <c r="EK165" s="106">
        <f>+PMGR!EK165+BP!EK165</f>
        <v>6463</v>
      </c>
      <c r="EL165" s="106">
        <f>+PMGR!EL165+BP!EL165</f>
        <v>0</v>
      </c>
      <c r="EM165" s="106">
        <f>+PMGR!EM165+BP!EM165</f>
        <v>0</v>
      </c>
      <c r="EN165" s="106">
        <f>+PMGR!EN165+BP!EN165</f>
        <v>0</v>
      </c>
      <c r="EO165" s="106">
        <f>+PMGR!EO165+BP!EO165</f>
        <v>0</v>
      </c>
      <c r="EP165" s="106">
        <f>+PMGR!EP165+BP!EP165</f>
        <v>0</v>
      </c>
      <c r="EQ165" s="106">
        <f>+PMGR!EQ165+BP!EQ165</f>
        <v>0</v>
      </c>
      <c r="ER165" s="106">
        <f>+PMGR!ER165+BP!ER165</f>
        <v>0</v>
      </c>
      <c r="ES165" s="106">
        <f>+PMGR!ES165+BP!ES165</f>
        <v>0</v>
      </c>
      <c r="ET165" s="106">
        <f>+PMGR!ET165+BP!ET165</f>
        <v>0</v>
      </c>
      <c r="EU165" s="106">
        <f>+PMGR!EU165+BP!EU165</f>
        <v>0</v>
      </c>
      <c r="EV165" s="106">
        <f>+PMGR!EV165+BP!EV165</f>
        <v>0</v>
      </c>
      <c r="EW165" s="106">
        <f t="shared" ref="EW165:EW171" si="824">+SUM(EK165:EV165)</f>
        <v>6463</v>
      </c>
      <c r="EX165" s="118"/>
      <c r="EY165" s="106">
        <f>+PMGR!EY165+BP!EY165</f>
        <v>0</v>
      </c>
      <c r="EZ165" s="106">
        <f>+PMGR!EZ165+BP!EZ165</f>
        <v>0</v>
      </c>
      <c r="FA165" s="106">
        <f>+PMGR!FA165+BP!FA165</f>
        <v>0</v>
      </c>
      <c r="FB165" s="106">
        <f>+PMGR!FB165+BP!FB165</f>
        <v>0</v>
      </c>
      <c r="FC165" s="106">
        <f>+PMGR!FC165+BP!FC165</f>
        <v>0</v>
      </c>
      <c r="FD165" s="106">
        <f>+PMGR!FD165+BP!FD165</f>
        <v>0</v>
      </c>
      <c r="FE165" s="106">
        <f>+PMGR!FE165+BP!FE165</f>
        <v>0</v>
      </c>
      <c r="FF165" s="106">
        <f>+PMGR!FF165+BP!FF165</f>
        <v>0</v>
      </c>
      <c r="FG165" s="106">
        <f>+PMGR!FG165+BP!FG165</f>
        <v>0</v>
      </c>
      <c r="FH165" s="106">
        <f>+PMGR!FH165+BP!FH165</f>
        <v>0</v>
      </c>
      <c r="FI165" s="106">
        <f>+PMGR!FI165+BP!FI165</f>
        <v>0</v>
      </c>
      <c r="FJ165" s="106">
        <f>+PMGR!FJ165+BP!FJ165</f>
        <v>0</v>
      </c>
      <c r="FK165" s="106">
        <f t="shared" ref="FK165:FK171" si="825">+SUM(EY165:FJ165)</f>
        <v>0</v>
      </c>
    </row>
    <row r="166" spans="1:167" ht="14.45" hidden="1" customHeight="1" outlineLevel="2">
      <c r="A166" s="106">
        <f t="shared" si="811"/>
        <v>66303.51999999999</v>
      </c>
      <c r="B166" s="106">
        <f t="shared" si="811"/>
        <v>51000.94</v>
      </c>
      <c r="C166" s="106">
        <f t="shared" si="811"/>
        <v>64811.92</v>
      </c>
      <c r="D166" s="106">
        <f t="shared" si="811"/>
        <v>35704.589999999997</v>
      </c>
      <c r="E166" s="106">
        <f t="shared" si="811"/>
        <v>89748.94</v>
      </c>
      <c r="F166" s="106">
        <f t="shared" si="811"/>
        <v>44491.71</v>
      </c>
      <c r="G166" s="106">
        <f t="shared" si="811"/>
        <v>122024.51000000001</v>
      </c>
      <c r="H166" s="106">
        <f t="shared" si="811"/>
        <v>70442.509999999995</v>
      </c>
      <c r="I166" s="106">
        <f t="shared" si="811"/>
        <v>63843.369999999995</v>
      </c>
      <c r="J166" s="106">
        <f t="shared" si="811"/>
        <v>36108.86</v>
      </c>
      <c r="K166" s="106">
        <f t="shared" si="811"/>
        <v>62299.61</v>
      </c>
      <c r="L166" s="106">
        <f t="shared" si="811"/>
        <v>76872.52</v>
      </c>
      <c r="M166" s="106">
        <f t="shared" si="812"/>
        <v>783653</v>
      </c>
      <c r="N166" s="16" t="s">
        <v>138</v>
      </c>
      <c r="O166" s="106">
        <f t="shared" si="813"/>
        <v>42631.53</v>
      </c>
      <c r="P166" s="106">
        <f t="shared" si="813"/>
        <v>39062.119999999995</v>
      </c>
      <c r="Q166" s="106">
        <f t="shared" si="813"/>
        <v>29040.97</v>
      </c>
      <c r="R166" s="106">
        <f t="shared" si="813"/>
        <v>56939.97</v>
      </c>
      <c r="S166" s="106">
        <f t="shared" si="813"/>
        <v>51867.79</v>
      </c>
      <c r="T166" s="106">
        <f t="shared" si="813"/>
        <v>76730.02</v>
      </c>
      <c r="U166" s="106">
        <f t="shared" si="813"/>
        <v>53646.85</v>
      </c>
      <c r="V166" s="106">
        <f t="shared" si="813"/>
        <v>63823.59</v>
      </c>
      <c r="W166" s="106">
        <f t="shared" si="813"/>
        <v>53642.23</v>
      </c>
      <c r="X166" s="106">
        <f t="shared" si="813"/>
        <v>169161</v>
      </c>
      <c r="Y166" s="106">
        <f t="shared" si="813"/>
        <v>0</v>
      </c>
      <c r="Z166" s="106">
        <f t="shared" si="813"/>
        <v>0</v>
      </c>
      <c r="AA166" s="106">
        <f t="shared" si="814"/>
        <v>636546.06999999995</v>
      </c>
      <c r="AB166" s="118"/>
      <c r="AC166" s="106">
        <f t="shared" si="815"/>
        <v>63920</v>
      </c>
      <c r="AD166" s="106">
        <f t="shared" si="815"/>
        <v>63920</v>
      </c>
      <c r="AE166" s="106">
        <f t="shared" si="815"/>
        <v>63920</v>
      </c>
      <c r="AF166" s="106">
        <f t="shared" si="815"/>
        <v>63920</v>
      </c>
      <c r="AG166" s="106">
        <f t="shared" si="815"/>
        <v>63920</v>
      </c>
      <c r="AH166" s="106">
        <f t="shared" si="815"/>
        <v>63920</v>
      </c>
      <c r="AI166" s="106">
        <f t="shared" si="815"/>
        <v>63920</v>
      </c>
      <c r="AJ166" s="106">
        <f t="shared" si="815"/>
        <v>63920</v>
      </c>
      <c r="AK166" s="106">
        <f t="shared" si="815"/>
        <v>63920</v>
      </c>
      <c r="AL166" s="106">
        <f t="shared" si="815"/>
        <v>63920</v>
      </c>
      <c r="AM166" s="106">
        <f t="shared" si="815"/>
        <v>63920</v>
      </c>
      <c r="AN166" s="106">
        <f t="shared" si="815"/>
        <v>63920</v>
      </c>
      <c r="AO166" s="106">
        <f t="shared" si="816"/>
        <v>767040</v>
      </c>
      <c r="AP166" s="106"/>
      <c r="AQ166" s="106">
        <f>+PMGR!AQ166+BP!AQ166</f>
        <v>33505.699999999997</v>
      </c>
      <c r="AR166" s="106">
        <f>+PMGR!AR166+BP!AR166</f>
        <v>24229.19</v>
      </c>
      <c r="AS166" s="106">
        <f>+PMGR!AS166+BP!AS166</f>
        <v>39237.46</v>
      </c>
      <c r="AT166" s="106">
        <f>+PMGR!AT166+BP!AT166</f>
        <v>13988.41</v>
      </c>
      <c r="AU166" s="106">
        <f>+PMGR!AU166+BP!AU166</f>
        <v>62036.719999999994</v>
      </c>
      <c r="AV166" s="106">
        <f>+PMGR!AV166+BP!AV166</f>
        <v>15054.72</v>
      </c>
      <c r="AW166" s="106">
        <f>+PMGR!AW166+BP!AW166</f>
        <v>78936.11</v>
      </c>
      <c r="AX166" s="106">
        <f>+PMGR!AX166+BP!AX166</f>
        <v>34968.879999999997</v>
      </c>
      <c r="AY166" s="106">
        <f>+PMGR!AY166+BP!AY166</f>
        <v>36121.5</v>
      </c>
      <c r="AZ166" s="106">
        <f>+PMGR!AZ166+BP!AZ166</f>
        <v>13636.01</v>
      </c>
      <c r="BA166" s="106">
        <f>+PMGR!BA166+BP!BA166</f>
        <v>43230.02</v>
      </c>
      <c r="BB166" s="106">
        <f>+PMGR!BB166+BP!BB166</f>
        <v>51251.01</v>
      </c>
      <c r="BC166" s="106">
        <f t="shared" si="817"/>
        <v>446195.73000000004</v>
      </c>
      <c r="BD166" s="16" t="str">
        <f t="shared" si="671"/>
        <v>Fuel Expenses For Courtesy Car</v>
      </c>
      <c r="BE166" s="106">
        <f>+PMGR!BE166+BP!BE166</f>
        <v>19298.580000000002</v>
      </c>
      <c r="BF166" s="106">
        <f>+PMGR!BF166+BP!BF166</f>
        <v>30825.119999999999</v>
      </c>
      <c r="BG166" s="106">
        <f>+PMGR!BG166+BP!BG166</f>
        <v>28040.97</v>
      </c>
      <c r="BH166" s="106">
        <f>+PMGR!BH166+BP!BH166</f>
        <v>30749.519999999997</v>
      </c>
      <c r="BI166" s="106">
        <f>+PMGR!BI166+BP!BI166</f>
        <v>31383</v>
      </c>
      <c r="BJ166" s="106">
        <f>+PMGR!BJ166+BP!BJ166</f>
        <v>51965.279999999999</v>
      </c>
      <c r="BK166" s="106">
        <f>+PMGR!BK166+BP!BK166</f>
        <v>29893.66</v>
      </c>
      <c r="BL166" s="106">
        <f>+PMGR!BL166+BP!BL166</f>
        <v>44454.6</v>
      </c>
      <c r="BM166" s="106">
        <f>+PMGR!BM166+BP!BM166</f>
        <v>20855.150000000001</v>
      </c>
      <c r="BN166" s="106">
        <f>+PMGR!BN166+BP!BN166</f>
        <v>100296.59999999999</v>
      </c>
      <c r="BO166" s="106">
        <f>+PMGR!BO166+BP!BO166</f>
        <v>0</v>
      </c>
      <c r="BP166" s="106">
        <f>+PMGR!BP166+BP!BP166</f>
        <v>0</v>
      </c>
      <c r="BQ166" s="106">
        <f t="shared" si="818"/>
        <v>387762.48</v>
      </c>
      <c r="BR166" s="118"/>
      <c r="BS166" s="106">
        <f>+PMGR!BS166+BP!BS166</f>
        <v>38293.333333333336</v>
      </c>
      <c r="BT166" s="106">
        <f>+PMGR!BT166+BP!BT166</f>
        <v>38293.333333333336</v>
      </c>
      <c r="BU166" s="106">
        <f>+PMGR!BU166+BP!BU166</f>
        <v>38293.333333333336</v>
      </c>
      <c r="BV166" s="106">
        <f>+PMGR!BV166+BP!BV166</f>
        <v>38293.333333333336</v>
      </c>
      <c r="BW166" s="106">
        <f>+PMGR!BW166+BP!BW166</f>
        <v>38293.333333333336</v>
      </c>
      <c r="BX166" s="106">
        <f>+PMGR!BX166+BP!BX166</f>
        <v>38293.333333333336</v>
      </c>
      <c r="BY166" s="106">
        <f>+PMGR!BY166+BP!BY166</f>
        <v>38293.333333333336</v>
      </c>
      <c r="BZ166" s="106">
        <f>+PMGR!BZ166+BP!BZ166</f>
        <v>38293.333333333336</v>
      </c>
      <c r="CA166" s="106">
        <f>+PMGR!CA166+BP!CA166</f>
        <v>38293.333333333336</v>
      </c>
      <c r="CB166" s="106">
        <f>+PMGR!CB166+BP!CB166</f>
        <v>38293.333333333336</v>
      </c>
      <c r="CC166" s="106">
        <f>+PMGR!CC166+BP!CC166</f>
        <v>38293.333333333336</v>
      </c>
      <c r="CD166" s="106">
        <f>+PMGR!CD166+BP!CD166</f>
        <v>38293.333333333336</v>
      </c>
      <c r="CE166" s="106">
        <f t="shared" si="819"/>
        <v>459519.99999999994</v>
      </c>
      <c r="CF166" s="106"/>
      <c r="CG166" s="106">
        <f>+PMGR!CG166+BP!CG166</f>
        <v>32797.82</v>
      </c>
      <c r="CH166" s="106">
        <f>+PMGR!CH166+BP!CH166</f>
        <v>26771.75</v>
      </c>
      <c r="CI166" s="106">
        <f>+PMGR!CI166+BP!CI166</f>
        <v>25574.46</v>
      </c>
      <c r="CJ166" s="106">
        <f>+PMGR!CJ166+BP!CJ166</f>
        <v>21716.18</v>
      </c>
      <c r="CK166" s="106">
        <f>+PMGR!CK166+BP!CK166</f>
        <v>27712.22</v>
      </c>
      <c r="CL166" s="106">
        <f>+PMGR!CL166+BP!CL166</f>
        <v>29436.99</v>
      </c>
      <c r="CM166" s="106">
        <f>+PMGR!CM166+BP!CM166</f>
        <v>43088.4</v>
      </c>
      <c r="CN166" s="106">
        <f>+PMGR!CN166+BP!CN166</f>
        <v>35473.629999999997</v>
      </c>
      <c r="CO166" s="106">
        <f>+PMGR!CO166+BP!CO166</f>
        <v>27721.87</v>
      </c>
      <c r="CP166" s="106">
        <f>+PMGR!CP166+BP!CP166</f>
        <v>22472.85</v>
      </c>
      <c r="CQ166" s="106">
        <f>+PMGR!CQ166+BP!CQ166</f>
        <v>19069.59</v>
      </c>
      <c r="CR166" s="106">
        <f>+PMGR!CR166+BP!CR166</f>
        <v>25621.51</v>
      </c>
      <c r="CS166" s="106">
        <f t="shared" si="820"/>
        <v>337457.27</v>
      </c>
      <c r="CT166" s="16" t="str">
        <f t="shared" si="675"/>
        <v>Fuel Expenses For Courtesy Car</v>
      </c>
      <c r="CU166" s="106">
        <f>+PMGR!CU166+BP!CU166</f>
        <v>23332.95</v>
      </c>
      <c r="CV166" s="106">
        <f>+PMGR!CV166+BP!CV166</f>
        <v>0</v>
      </c>
      <c r="CW166" s="106">
        <f>+PMGR!CW166+BP!CW166</f>
        <v>1000</v>
      </c>
      <c r="CX166" s="106">
        <f>+PMGR!CX166+BP!CX166</f>
        <v>17028.45</v>
      </c>
      <c r="CY166" s="106">
        <f>+PMGR!CY166+BP!CY166</f>
        <v>20484.79</v>
      </c>
      <c r="CZ166" s="106">
        <f>+PMGR!CZ166+BP!CZ166</f>
        <v>24764.74</v>
      </c>
      <c r="DA166" s="106">
        <f>+PMGR!DA166+BP!DA166</f>
        <v>23753.19</v>
      </c>
      <c r="DB166" s="106">
        <f>+PMGR!DB166+BP!DB166</f>
        <v>19368.990000000002</v>
      </c>
      <c r="DC166" s="106">
        <f>+PMGR!DC166+BP!DC166</f>
        <v>32787.08</v>
      </c>
      <c r="DD166" s="106">
        <f>+PMGR!DD166+BP!DD166</f>
        <v>66864.400000000009</v>
      </c>
      <c r="DE166" s="106">
        <f>+PMGR!DE166+BP!DE166</f>
        <v>0</v>
      </c>
      <c r="DF166" s="106">
        <f>+PMGR!DF166+BP!DF166</f>
        <v>0</v>
      </c>
      <c r="DG166" s="106">
        <f t="shared" si="821"/>
        <v>229384.59000000003</v>
      </c>
      <c r="DH166" s="118"/>
      <c r="DI166" s="106">
        <f>+PMGR!DI166+BP!DI166</f>
        <v>25626.666666666664</v>
      </c>
      <c r="DJ166" s="106">
        <f>+PMGR!DJ166+BP!DJ166</f>
        <v>25626.666666666664</v>
      </c>
      <c r="DK166" s="106">
        <f>+PMGR!DK166+BP!DK166</f>
        <v>25626.666666666664</v>
      </c>
      <c r="DL166" s="106">
        <f>+PMGR!DL166+BP!DL166</f>
        <v>25626.666666666664</v>
      </c>
      <c r="DM166" s="106">
        <f>+PMGR!DM166+BP!DM166</f>
        <v>25626.666666666664</v>
      </c>
      <c r="DN166" s="106">
        <f>+PMGR!DN166+BP!DN166</f>
        <v>25626.666666666664</v>
      </c>
      <c r="DO166" s="106">
        <f>+PMGR!DO166+BP!DO166</f>
        <v>25626.666666666664</v>
      </c>
      <c r="DP166" s="106">
        <f>+PMGR!DP166+BP!DP166</f>
        <v>25626.666666666664</v>
      </c>
      <c r="DQ166" s="106">
        <f>+PMGR!DQ166+BP!DQ166</f>
        <v>25626.666666666664</v>
      </c>
      <c r="DR166" s="106">
        <f>+PMGR!DR166+BP!DR166</f>
        <v>25626.666666666664</v>
      </c>
      <c r="DS166" s="106">
        <f>+PMGR!DS166+BP!DS166</f>
        <v>25626.666666666664</v>
      </c>
      <c r="DT166" s="106">
        <f>+PMGR!DT166+BP!DT166</f>
        <v>25626.666666666664</v>
      </c>
      <c r="DU166" s="106">
        <f t="shared" si="822"/>
        <v>307519.99999999994</v>
      </c>
      <c r="DV166" s="106"/>
      <c r="DW166" s="106">
        <f>+PMGR!DW166+BP!DW166</f>
        <v>0</v>
      </c>
      <c r="DX166" s="106">
        <f>+PMGR!DX166+BP!DX166</f>
        <v>0</v>
      </c>
      <c r="DY166" s="106">
        <f>+PMGR!DY166+BP!DY166</f>
        <v>0</v>
      </c>
      <c r="DZ166" s="106">
        <f>+PMGR!DZ166+BP!DZ166</f>
        <v>0</v>
      </c>
      <c r="EA166" s="106">
        <f>+PMGR!EA166+BP!EA166</f>
        <v>0</v>
      </c>
      <c r="EB166" s="106">
        <f>+PMGR!EB166+BP!EB166</f>
        <v>0</v>
      </c>
      <c r="EC166" s="106">
        <f>+PMGR!EC166+BP!EC166</f>
        <v>0</v>
      </c>
      <c r="ED166" s="106">
        <f>+PMGR!ED166+BP!ED166</f>
        <v>0</v>
      </c>
      <c r="EE166" s="106">
        <f>+PMGR!EE166+BP!EE166</f>
        <v>0</v>
      </c>
      <c r="EF166" s="106">
        <f>+PMGR!EF166+BP!EF166</f>
        <v>0</v>
      </c>
      <c r="EG166" s="106">
        <f>+PMGR!EG166+BP!EG166</f>
        <v>0</v>
      </c>
      <c r="EH166" s="106">
        <f>+PMGR!EH166+BP!EH166</f>
        <v>0</v>
      </c>
      <c r="EI166" s="106">
        <f t="shared" si="823"/>
        <v>0</v>
      </c>
      <c r="EJ166" s="16" t="str">
        <f t="shared" si="681"/>
        <v>Fuel Expenses For Courtesy Car</v>
      </c>
      <c r="EK166" s="106">
        <f>+PMGR!EK166+BP!EK166</f>
        <v>0</v>
      </c>
      <c r="EL166" s="106">
        <f>+PMGR!EL166+BP!EL166</f>
        <v>8237</v>
      </c>
      <c r="EM166" s="106">
        <f>+PMGR!EM166+BP!EM166</f>
        <v>0</v>
      </c>
      <c r="EN166" s="106">
        <f>+PMGR!EN166+BP!EN166</f>
        <v>9162</v>
      </c>
      <c r="EO166" s="106">
        <f>+PMGR!EO166+BP!EO166</f>
        <v>0</v>
      </c>
      <c r="EP166" s="106">
        <f>+PMGR!EP166+BP!EP166</f>
        <v>0</v>
      </c>
      <c r="EQ166" s="106">
        <f>+PMGR!EQ166+BP!EQ166</f>
        <v>0</v>
      </c>
      <c r="ER166" s="106">
        <f>+PMGR!ER166+BP!ER166</f>
        <v>0</v>
      </c>
      <c r="ES166" s="106">
        <f>+PMGR!ES166+BP!ES166</f>
        <v>0</v>
      </c>
      <c r="ET166" s="106">
        <f>+PMGR!ET166+BP!ET166</f>
        <v>2000</v>
      </c>
      <c r="EU166" s="106">
        <f>+PMGR!EU166+BP!EU166</f>
        <v>0</v>
      </c>
      <c r="EV166" s="106">
        <f>+PMGR!EV166+BP!EV166</f>
        <v>0</v>
      </c>
      <c r="EW166" s="106">
        <f t="shared" si="824"/>
        <v>19399</v>
      </c>
      <c r="EX166" s="118"/>
      <c r="EY166" s="106">
        <f>+PMGR!EY166+BP!EY166</f>
        <v>0</v>
      </c>
      <c r="EZ166" s="106">
        <f>+PMGR!EZ166+BP!EZ166</f>
        <v>0</v>
      </c>
      <c r="FA166" s="106">
        <f>+PMGR!FA166+BP!FA166</f>
        <v>0</v>
      </c>
      <c r="FB166" s="106">
        <f>+PMGR!FB166+BP!FB166</f>
        <v>0</v>
      </c>
      <c r="FC166" s="106">
        <f>+PMGR!FC166+BP!FC166</f>
        <v>0</v>
      </c>
      <c r="FD166" s="106">
        <f>+PMGR!FD166+BP!FD166</f>
        <v>0</v>
      </c>
      <c r="FE166" s="106">
        <f>+PMGR!FE166+BP!FE166</f>
        <v>0</v>
      </c>
      <c r="FF166" s="106">
        <f>+PMGR!FF166+BP!FF166</f>
        <v>0</v>
      </c>
      <c r="FG166" s="106">
        <f>+PMGR!FG166+BP!FG166</f>
        <v>0</v>
      </c>
      <c r="FH166" s="106">
        <f>+PMGR!FH166+BP!FH166</f>
        <v>0</v>
      </c>
      <c r="FI166" s="106">
        <f>+PMGR!FI166+BP!FI166</f>
        <v>0</v>
      </c>
      <c r="FJ166" s="106">
        <f>+PMGR!FJ166+BP!FJ166</f>
        <v>0</v>
      </c>
      <c r="FK166" s="106">
        <f t="shared" si="825"/>
        <v>0</v>
      </c>
    </row>
    <row r="167" spans="1:167" ht="14.45" hidden="1" customHeight="1" outlineLevel="2">
      <c r="A167" s="106">
        <f t="shared" si="811"/>
        <v>0</v>
      </c>
      <c r="B167" s="106">
        <f t="shared" si="811"/>
        <v>0</v>
      </c>
      <c r="C167" s="106">
        <f t="shared" si="811"/>
        <v>0</v>
      </c>
      <c r="D167" s="106">
        <f t="shared" si="811"/>
        <v>0</v>
      </c>
      <c r="E167" s="106">
        <f t="shared" si="811"/>
        <v>0</v>
      </c>
      <c r="F167" s="106">
        <f t="shared" si="811"/>
        <v>0</v>
      </c>
      <c r="G167" s="106">
        <f t="shared" si="811"/>
        <v>0</v>
      </c>
      <c r="H167" s="106">
        <f t="shared" si="811"/>
        <v>0</v>
      </c>
      <c r="I167" s="106">
        <f t="shared" si="811"/>
        <v>0</v>
      </c>
      <c r="J167" s="106">
        <f t="shared" si="811"/>
        <v>0</v>
      </c>
      <c r="K167" s="106">
        <f t="shared" si="811"/>
        <v>437.97</v>
      </c>
      <c r="L167" s="106">
        <f t="shared" si="811"/>
        <v>0</v>
      </c>
      <c r="M167" s="106">
        <f t="shared" si="812"/>
        <v>437.97</v>
      </c>
      <c r="N167" s="16" t="s">
        <v>139</v>
      </c>
      <c r="O167" s="106">
        <f t="shared" si="813"/>
        <v>0</v>
      </c>
      <c r="P167" s="106">
        <f t="shared" si="813"/>
        <v>0</v>
      </c>
      <c r="Q167" s="106">
        <f t="shared" si="813"/>
        <v>0</v>
      </c>
      <c r="R167" s="106">
        <f t="shared" si="813"/>
        <v>0</v>
      </c>
      <c r="S167" s="106">
        <f t="shared" si="813"/>
        <v>0</v>
      </c>
      <c r="T167" s="106">
        <f t="shared" si="813"/>
        <v>0</v>
      </c>
      <c r="U167" s="106">
        <f t="shared" si="813"/>
        <v>0</v>
      </c>
      <c r="V167" s="106">
        <f t="shared" si="813"/>
        <v>0</v>
      </c>
      <c r="W167" s="106">
        <f t="shared" si="813"/>
        <v>0</v>
      </c>
      <c r="X167" s="106">
        <f t="shared" si="813"/>
        <v>0</v>
      </c>
      <c r="Y167" s="106">
        <f t="shared" si="813"/>
        <v>0</v>
      </c>
      <c r="Z167" s="106">
        <f t="shared" si="813"/>
        <v>0</v>
      </c>
      <c r="AA167" s="106">
        <f t="shared" si="814"/>
        <v>0</v>
      </c>
      <c r="AB167" s="118"/>
      <c r="AC167" s="106">
        <f t="shared" si="815"/>
        <v>0</v>
      </c>
      <c r="AD167" s="106">
        <f t="shared" si="815"/>
        <v>0</v>
      </c>
      <c r="AE167" s="106">
        <f t="shared" si="815"/>
        <v>0</v>
      </c>
      <c r="AF167" s="106">
        <f t="shared" si="815"/>
        <v>0</v>
      </c>
      <c r="AG167" s="106">
        <f t="shared" si="815"/>
        <v>0</v>
      </c>
      <c r="AH167" s="106">
        <f t="shared" si="815"/>
        <v>0</v>
      </c>
      <c r="AI167" s="106">
        <f t="shared" si="815"/>
        <v>0</v>
      </c>
      <c r="AJ167" s="106">
        <f t="shared" si="815"/>
        <v>0</v>
      </c>
      <c r="AK167" s="106">
        <f t="shared" si="815"/>
        <v>0</v>
      </c>
      <c r="AL167" s="106">
        <f t="shared" si="815"/>
        <v>0</v>
      </c>
      <c r="AM167" s="106">
        <f t="shared" si="815"/>
        <v>0</v>
      </c>
      <c r="AN167" s="106">
        <f t="shared" si="815"/>
        <v>0</v>
      </c>
      <c r="AO167" s="106">
        <f t="shared" si="816"/>
        <v>0</v>
      </c>
      <c r="AP167" s="106"/>
      <c r="AQ167" s="106">
        <f>+PMGR!AQ167+BP!AQ167</f>
        <v>0</v>
      </c>
      <c r="AR167" s="106">
        <f>+PMGR!AR167+BP!AR167</f>
        <v>0</v>
      </c>
      <c r="AS167" s="106">
        <f>+PMGR!AS167+BP!AS167</f>
        <v>0</v>
      </c>
      <c r="AT167" s="106">
        <f>+PMGR!AT167+BP!AT167</f>
        <v>0</v>
      </c>
      <c r="AU167" s="106">
        <f>+PMGR!AU167+BP!AU167</f>
        <v>0</v>
      </c>
      <c r="AV167" s="106">
        <f>+PMGR!AV167+BP!AV167</f>
        <v>0</v>
      </c>
      <c r="AW167" s="106">
        <f>+PMGR!AW167+BP!AW167</f>
        <v>0</v>
      </c>
      <c r="AX167" s="106">
        <f>+PMGR!AX167+BP!AX167</f>
        <v>0</v>
      </c>
      <c r="AY167" s="106">
        <f>+PMGR!AY167+BP!AY167</f>
        <v>0</v>
      </c>
      <c r="AZ167" s="106">
        <f>+PMGR!AZ167+BP!AZ167</f>
        <v>0</v>
      </c>
      <c r="BA167" s="106">
        <f>+PMGR!BA167+BP!BA167</f>
        <v>437.97</v>
      </c>
      <c r="BB167" s="106">
        <f>+PMGR!BB167+BP!BB167</f>
        <v>0</v>
      </c>
      <c r="BC167" s="106">
        <f t="shared" si="817"/>
        <v>437.97</v>
      </c>
      <c r="BD167" s="16" t="str">
        <f t="shared" si="671"/>
        <v>Fuel Expenses For Scooter</v>
      </c>
      <c r="BE167" s="106">
        <f>+PMGR!BE167+BP!BE167</f>
        <v>0</v>
      </c>
      <c r="BF167" s="106">
        <f>+PMGR!BF167+BP!BF167</f>
        <v>0</v>
      </c>
      <c r="BG167" s="106">
        <f>+PMGR!BG167+BP!BG167</f>
        <v>0</v>
      </c>
      <c r="BH167" s="106">
        <f>+PMGR!BH167+BP!BH167</f>
        <v>0</v>
      </c>
      <c r="BI167" s="106">
        <f>+PMGR!BI167+BP!BI167</f>
        <v>0</v>
      </c>
      <c r="BJ167" s="106">
        <f>+PMGR!BJ167+BP!BJ167</f>
        <v>0</v>
      </c>
      <c r="BK167" s="106">
        <f>+PMGR!BK167+BP!BK167</f>
        <v>0</v>
      </c>
      <c r="BL167" s="106">
        <f>+PMGR!BL167+BP!BL167</f>
        <v>0</v>
      </c>
      <c r="BM167" s="106">
        <f>+PMGR!BM167+BP!BM167</f>
        <v>0</v>
      </c>
      <c r="BN167" s="106">
        <f>+PMGR!BN167+BP!BN167</f>
        <v>0</v>
      </c>
      <c r="BO167" s="106">
        <f>+PMGR!BO167+BP!BO167</f>
        <v>0</v>
      </c>
      <c r="BP167" s="106">
        <f>+PMGR!BP167+BP!BP167</f>
        <v>0</v>
      </c>
      <c r="BQ167" s="106">
        <f t="shared" si="818"/>
        <v>0</v>
      </c>
      <c r="BR167" s="118"/>
      <c r="BS167" s="106">
        <f>+PMGR!BS167+BP!BS167</f>
        <v>0</v>
      </c>
      <c r="BT167" s="106">
        <f>+PMGR!BT167+BP!BT167</f>
        <v>0</v>
      </c>
      <c r="BU167" s="106">
        <f>+PMGR!BU167+BP!BU167</f>
        <v>0</v>
      </c>
      <c r="BV167" s="106">
        <f>+PMGR!BV167+BP!BV167</f>
        <v>0</v>
      </c>
      <c r="BW167" s="106">
        <f>+PMGR!BW167+BP!BW167</f>
        <v>0</v>
      </c>
      <c r="BX167" s="106">
        <f>+PMGR!BX167+BP!BX167</f>
        <v>0</v>
      </c>
      <c r="BY167" s="106">
        <f>+PMGR!BY167+BP!BY167</f>
        <v>0</v>
      </c>
      <c r="BZ167" s="106">
        <f>+PMGR!BZ167+BP!BZ167</f>
        <v>0</v>
      </c>
      <c r="CA167" s="106">
        <f>+PMGR!CA167+BP!CA167</f>
        <v>0</v>
      </c>
      <c r="CB167" s="106">
        <f>+PMGR!CB167+BP!CB167</f>
        <v>0</v>
      </c>
      <c r="CC167" s="106">
        <f>+PMGR!CC167+BP!CC167</f>
        <v>0</v>
      </c>
      <c r="CD167" s="106">
        <f>+PMGR!CD167+BP!CD167</f>
        <v>0</v>
      </c>
      <c r="CE167" s="106">
        <f t="shared" si="819"/>
        <v>0</v>
      </c>
      <c r="CF167" s="106"/>
      <c r="CG167" s="106">
        <f>+PMGR!CG167+BP!CG167</f>
        <v>0</v>
      </c>
      <c r="CH167" s="106">
        <f>+PMGR!CH167+BP!CH167</f>
        <v>0</v>
      </c>
      <c r="CI167" s="106">
        <f>+PMGR!CI167+BP!CI167</f>
        <v>0</v>
      </c>
      <c r="CJ167" s="106">
        <f>+PMGR!CJ167+BP!CJ167</f>
        <v>0</v>
      </c>
      <c r="CK167" s="106">
        <f>+PMGR!CK167+BP!CK167</f>
        <v>0</v>
      </c>
      <c r="CL167" s="106">
        <f>+PMGR!CL167+BP!CL167</f>
        <v>0</v>
      </c>
      <c r="CM167" s="106">
        <f>+PMGR!CM167+BP!CM167</f>
        <v>0</v>
      </c>
      <c r="CN167" s="106">
        <f>+PMGR!CN167+BP!CN167</f>
        <v>0</v>
      </c>
      <c r="CO167" s="106">
        <f>+PMGR!CO167+BP!CO167</f>
        <v>0</v>
      </c>
      <c r="CP167" s="106">
        <f>+PMGR!CP167+BP!CP167</f>
        <v>0</v>
      </c>
      <c r="CQ167" s="106">
        <f>+PMGR!CQ167+BP!CQ167</f>
        <v>0</v>
      </c>
      <c r="CR167" s="106">
        <f>+PMGR!CR167+BP!CR167</f>
        <v>0</v>
      </c>
      <c r="CS167" s="106">
        <f t="shared" si="820"/>
        <v>0</v>
      </c>
      <c r="CT167" s="16" t="str">
        <f t="shared" si="675"/>
        <v>Fuel Expenses For Scooter</v>
      </c>
      <c r="CU167" s="106">
        <f>+PMGR!CU167+BP!CU167</f>
        <v>0</v>
      </c>
      <c r="CV167" s="106">
        <f>+PMGR!CV167+BP!CV167</f>
        <v>0</v>
      </c>
      <c r="CW167" s="106">
        <f>+PMGR!CW167+BP!CW167</f>
        <v>0</v>
      </c>
      <c r="CX167" s="106">
        <f>+PMGR!CX167+BP!CX167</f>
        <v>0</v>
      </c>
      <c r="CY167" s="106">
        <f>+PMGR!CY167+BP!CY167</f>
        <v>0</v>
      </c>
      <c r="CZ167" s="106">
        <f>+PMGR!CZ167+BP!CZ167</f>
        <v>0</v>
      </c>
      <c r="DA167" s="106">
        <f>+PMGR!DA167+BP!DA167</f>
        <v>0</v>
      </c>
      <c r="DB167" s="106">
        <f>+PMGR!DB167+BP!DB167</f>
        <v>0</v>
      </c>
      <c r="DC167" s="106">
        <f>+PMGR!DC167+BP!DC167</f>
        <v>0</v>
      </c>
      <c r="DD167" s="106">
        <f>+PMGR!DD167+BP!DD167</f>
        <v>0</v>
      </c>
      <c r="DE167" s="106">
        <f>+PMGR!DE167+BP!DE167</f>
        <v>0</v>
      </c>
      <c r="DF167" s="106">
        <f>+PMGR!DF167+BP!DF167</f>
        <v>0</v>
      </c>
      <c r="DG167" s="106">
        <f t="shared" si="821"/>
        <v>0</v>
      </c>
      <c r="DH167" s="118"/>
      <c r="DI167" s="106">
        <f>+PMGR!DI167+BP!DI167</f>
        <v>0</v>
      </c>
      <c r="DJ167" s="106">
        <f>+PMGR!DJ167+BP!DJ167</f>
        <v>0</v>
      </c>
      <c r="DK167" s="106">
        <f>+PMGR!DK167+BP!DK167</f>
        <v>0</v>
      </c>
      <c r="DL167" s="106">
        <f>+PMGR!DL167+BP!DL167</f>
        <v>0</v>
      </c>
      <c r="DM167" s="106">
        <f>+PMGR!DM167+BP!DM167</f>
        <v>0</v>
      </c>
      <c r="DN167" s="106">
        <f>+PMGR!DN167+BP!DN167</f>
        <v>0</v>
      </c>
      <c r="DO167" s="106">
        <f>+PMGR!DO167+BP!DO167</f>
        <v>0</v>
      </c>
      <c r="DP167" s="106">
        <f>+PMGR!DP167+BP!DP167</f>
        <v>0</v>
      </c>
      <c r="DQ167" s="106">
        <f>+PMGR!DQ167+BP!DQ167</f>
        <v>0</v>
      </c>
      <c r="DR167" s="106">
        <f>+PMGR!DR167+BP!DR167</f>
        <v>0</v>
      </c>
      <c r="DS167" s="106">
        <f>+PMGR!DS167+BP!DS167</f>
        <v>0</v>
      </c>
      <c r="DT167" s="106">
        <f>+PMGR!DT167+BP!DT167</f>
        <v>0</v>
      </c>
      <c r="DU167" s="106">
        <f t="shared" si="822"/>
        <v>0</v>
      </c>
      <c r="DV167" s="106"/>
      <c r="DW167" s="106">
        <f>+PMGR!DW167+BP!DW167</f>
        <v>0</v>
      </c>
      <c r="DX167" s="106">
        <f>+PMGR!DX167+BP!DX167</f>
        <v>0</v>
      </c>
      <c r="DY167" s="106">
        <f>+PMGR!DY167+BP!DY167</f>
        <v>0</v>
      </c>
      <c r="DZ167" s="106">
        <f>+PMGR!DZ167+BP!DZ167</f>
        <v>0</v>
      </c>
      <c r="EA167" s="106">
        <f>+PMGR!EA167+BP!EA167</f>
        <v>0</v>
      </c>
      <c r="EB167" s="106">
        <f>+PMGR!EB167+BP!EB167</f>
        <v>0</v>
      </c>
      <c r="EC167" s="106">
        <f>+PMGR!EC167+BP!EC167</f>
        <v>0</v>
      </c>
      <c r="ED167" s="106">
        <f>+PMGR!ED167+BP!ED167</f>
        <v>0</v>
      </c>
      <c r="EE167" s="106">
        <f>+PMGR!EE167+BP!EE167</f>
        <v>0</v>
      </c>
      <c r="EF167" s="106">
        <f>+PMGR!EF167+BP!EF167</f>
        <v>0</v>
      </c>
      <c r="EG167" s="106">
        <f>+PMGR!EG167+BP!EG167</f>
        <v>0</v>
      </c>
      <c r="EH167" s="106">
        <f>+PMGR!EH167+BP!EH167</f>
        <v>0</v>
      </c>
      <c r="EI167" s="106">
        <f t="shared" si="823"/>
        <v>0</v>
      </c>
      <c r="EJ167" s="16" t="str">
        <f t="shared" si="681"/>
        <v>Fuel Expenses For Scooter</v>
      </c>
      <c r="EK167" s="106">
        <f>+PMGR!EK167+BP!EK167</f>
        <v>0</v>
      </c>
      <c r="EL167" s="106">
        <f>+PMGR!EL167+BP!EL167</f>
        <v>0</v>
      </c>
      <c r="EM167" s="106">
        <f>+PMGR!EM167+BP!EM167</f>
        <v>0</v>
      </c>
      <c r="EN167" s="106">
        <f>+PMGR!EN167+BP!EN167</f>
        <v>0</v>
      </c>
      <c r="EO167" s="106">
        <f>+PMGR!EO167+BP!EO167</f>
        <v>0</v>
      </c>
      <c r="EP167" s="106">
        <f>+PMGR!EP167+BP!EP167</f>
        <v>0</v>
      </c>
      <c r="EQ167" s="106">
        <f>+PMGR!EQ167+BP!EQ167</f>
        <v>0</v>
      </c>
      <c r="ER167" s="106">
        <f>+PMGR!ER167+BP!ER167</f>
        <v>0</v>
      </c>
      <c r="ES167" s="106">
        <f>+PMGR!ES167+BP!ES167</f>
        <v>0</v>
      </c>
      <c r="ET167" s="106">
        <f>+PMGR!ET167+BP!ET167</f>
        <v>0</v>
      </c>
      <c r="EU167" s="106">
        <f>+PMGR!EU167+BP!EU167</f>
        <v>0</v>
      </c>
      <c r="EV167" s="106">
        <f>+PMGR!EV167+BP!EV167</f>
        <v>0</v>
      </c>
      <c r="EW167" s="106">
        <f t="shared" si="824"/>
        <v>0</v>
      </c>
      <c r="EX167" s="118"/>
      <c r="EY167" s="106">
        <f>+PMGR!EY167+BP!EY167</f>
        <v>0</v>
      </c>
      <c r="EZ167" s="106">
        <f>+PMGR!EZ167+BP!EZ167</f>
        <v>0</v>
      </c>
      <c r="FA167" s="106">
        <f>+PMGR!FA167+BP!FA167</f>
        <v>0</v>
      </c>
      <c r="FB167" s="106">
        <f>+PMGR!FB167+BP!FB167</f>
        <v>0</v>
      </c>
      <c r="FC167" s="106">
        <f>+PMGR!FC167+BP!FC167</f>
        <v>0</v>
      </c>
      <c r="FD167" s="106">
        <f>+PMGR!FD167+BP!FD167</f>
        <v>0</v>
      </c>
      <c r="FE167" s="106">
        <f>+PMGR!FE167+BP!FE167</f>
        <v>0</v>
      </c>
      <c r="FF167" s="106">
        <f>+PMGR!FF167+BP!FF167</f>
        <v>0</v>
      </c>
      <c r="FG167" s="106">
        <f>+PMGR!FG167+BP!FG167</f>
        <v>0</v>
      </c>
      <c r="FH167" s="106">
        <f>+PMGR!FH167+BP!FH167</f>
        <v>0</v>
      </c>
      <c r="FI167" s="106">
        <f>+PMGR!FI167+BP!FI167</f>
        <v>0</v>
      </c>
      <c r="FJ167" s="106">
        <f>+PMGR!FJ167+BP!FJ167</f>
        <v>0</v>
      </c>
      <c r="FK167" s="106">
        <f t="shared" si="825"/>
        <v>0</v>
      </c>
    </row>
    <row r="168" spans="1:167" ht="14.45" hidden="1" customHeight="1" outlineLevel="2">
      <c r="A168" s="106">
        <f t="shared" si="811"/>
        <v>57828.09</v>
      </c>
      <c r="B168" s="106">
        <f t="shared" si="811"/>
        <v>13968.84</v>
      </c>
      <c r="C168" s="106">
        <f t="shared" si="811"/>
        <v>3155.11</v>
      </c>
      <c r="D168" s="106">
        <f t="shared" si="811"/>
        <v>22090.51</v>
      </c>
      <c r="E168" s="106">
        <f t="shared" si="811"/>
        <v>46019.09</v>
      </c>
      <c r="F168" s="106">
        <f t="shared" si="811"/>
        <v>47392</v>
      </c>
      <c r="G168" s="106">
        <f t="shared" si="811"/>
        <v>20967.23</v>
      </c>
      <c r="H168" s="106">
        <f t="shared" si="811"/>
        <v>3280</v>
      </c>
      <c r="I168" s="106">
        <f t="shared" si="811"/>
        <v>1180</v>
      </c>
      <c r="J168" s="106">
        <f t="shared" si="811"/>
        <v>17887.52</v>
      </c>
      <c r="K168" s="106">
        <f t="shared" si="811"/>
        <v>17101.5</v>
      </c>
      <c r="L168" s="106">
        <f t="shared" si="811"/>
        <v>22741.579999999998</v>
      </c>
      <c r="M168" s="106">
        <f t="shared" si="812"/>
        <v>273611.46999999997</v>
      </c>
      <c r="N168" s="16" t="s">
        <v>140</v>
      </c>
      <c r="O168" s="106">
        <f t="shared" si="813"/>
        <v>3596.17</v>
      </c>
      <c r="P168" s="106">
        <f t="shared" si="813"/>
        <v>400</v>
      </c>
      <c r="Q168" s="106">
        <f t="shared" si="813"/>
        <v>1350</v>
      </c>
      <c r="R168" s="106">
        <f t="shared" si="813"/>
        <v>19528.78</v>
      </c>
      <c r="S168" s="106">
        <f t="shared" si="813"/>
        <v>50878.07</v>
      </c>
      <c r="T168" s="106">
        <f t="shared" si="813"/>
        <v>15816.58</v>
      </c>
      <c r="U168" s="106">
        <f t="shared" si="813"/>
        <v>206430.11</v>
      </c>
      <c r="V168" s="106">
        <f t="shared" si="813"/>
        <v>151901.35</v>
      </c>
      <c r="W168" s="106">
        <f t="shared" si="813"/>
        <v>144135.96000000002</v>
      </c>
      <c r="X168" s="106">
        <f t="shared" si="813"/>
        <v>6800.4</v>
      </c>
      <c r="Y168" s="106">
        <f t="shared" si="813"/>
        <v>0</v>
      </c>
      <c r="Z168" s="106">
        <f t="shared" si="813"/>
        <v>0</v>
      </c>
      <c r="AA168" s="106">
        <f t="shared" si="814"/>
        <v>600837.42000000004</v>
      </c>
      <c r="AB168" s="118"/>
      <c r="AC168" s="106">
        <f t="shared" si="815"/>
        <v>185000</v>
      </c>
      <c r="AD168" s="106">
        <f t="shared" si="815"/>
        <v>35000</v>
      </c>
      <c r="AE168" s="106">
        <f t="shared" si="815"/>
        <v>35000</v>
      </c>
      <c r="AF168" s="106">
        <f t="shared" si="815"/>
        <v>35000</v>
      </c>
      <c r="AG168" s="106">
        <f t="shared" si="815"/>
        <v>95000</v>
      </c>
      <c r="AH168" s="106">
        <f t="shared" si="815"/>
        <v>35000</v>
      </c>
      <c r="AI168" s="106">
        <f t="shared" si="815"/>
        <v>35000</v>
      </c>
      <c r="AJ168" s="106">
        <f t="shared" si="815"/>
        <v>35000</v>
      </c>
      <c r="AK168" s="106">
        <f t="shared" si="815"/>
        <v>70000</v>
      </c>
      <c r="AL168" s="106">
        <f t="shared" si="815"/>
        <v>95000</v>
      </c>
      <c r="AM168" s="106">
        <f t="shared" si="815"/>
        <v>35000</v>
      </c>
      <c r="AN168" s="106">
        <f t="shared" si="815"/>
        <v>35000</v>
      </c>
      <c r="AO168" s="106">
        <f t="shared" si="816"/>
        <v>725000</v>
      </c>
      <c r="AP168" s="106"/>
      <c r="AQ168" s="106">
        <f>+PMGR!AQ168+BP!AQ168</f>
        <v>27372.45</v>
      </c>
      <c r="AR168" s="106">
        <f>+PMGR!AR168+BP!AR168</f>
        <v>0</v>
      </c>
      <c r="AS168" s="106">
        <f>+PMGR!AS168+BP!AS168</f>
        <v>2605.11</v>
      </c>
      <c r="AT168" s="106">
        <f>+PMGR!AT168+BP!AT168</f>
        <v>22090.51</v>
      </c>
      <c r="AU168" s="106">
        <f>+PMGR!AU168+BP!AU168</f>
        <v>31117.08</v>
      </c>
      <c r="AV168" s="106">
        <f>+PMGR!AV168+BP!AV168</f>
        <v>46952</v>
      </c>
      <c r="AW168" s="106">
        <f>+PMGR!AW168+BP!AW168</f>
        <v>20967.23</v>
      </c>
      <c r="AX168" s="106">
        <f>+PMGR!AX168+BP!AX168</f>
        <v>0</v>
      </c>
      <c r="AY168" s="106">
        <f>+PMGR!AY168+BP!AY168</f>
        <v>1180</v>
      </c>
      <c r="AZ168" s="106">
        <f>+PMGR!AZ168+BP!AZ168</f>
        <v>1000</v>
      </c>
      <c r="BA168" s="106">
        <f>+PMGR!BA168+BP!BA168</f>
        <v>3471.6</v>
      </c>
      <c r="BB168" s="106">
        <f>+PMGR!BB168+BP!BB168</f>
        <v>7773.95</v>
      </c>
      <c r="BC168" s="106">
        <f t="shared" si="817"/>
        <v>164529.93000000002</v>
      </c>
      <c r="BD168" s="16" t="str">
        <f t="shared" si="671"/>
        <v>Repair and Maintenance - Courtesy Car</v>
      </c>
      <c r="BE168" s="106">
        <f>+PMGR!BE168+BP!BE168</f>
        <v>3596.17</v>
      </c>
      <c r="BF168" s="106">
        <f>+PMGR!BF168+BP!BF168</f>
        <v>400</v>
      </c>
      <c r="BG168" s="106">
        <f>+PMGR!BG168+BP!BG168</f>
        <v>300</v>
      </c>
      <c r="BH168" s="106">
        <f>+PMGR!BH168+BP!BH168</f>
        <v>5002.22</v>
      </c>
      <c r="BI168" s="106">
        <f>+PMGR!BI168+BP!BI168</f>
        <v>50878.07</v>
      </c>
      <c r="BJ168" s="106">
        <f>+PMGR!BJ168+BP!BJ168</f>
        <v>14226.58</v>
      </c>
      <c r="BK168" s="106">
        <f>+PMGR!BK168+BP!BK168</f>
        <v>179013.31999999998</v>
      </c>
      <c r="BL168" s="106">
        <f>+PMGR!BL168+BP!BL168</f>
        <v>59634.44</v>
      </c>
      <c r="BM168" s="106">
        <f>+PMGR!BM168+BP!BM168</f>
        <v>78136.38</v>
      </c>
      <c r="BN168" s="106">
        <f>+PMGR!BN168+BP!BN168</f>
        <v>6263.62</v>
      </c>
      <c r="BO168" s="106">
        <f>+PMGR!BO168+BP!BO168</f>
        <v>0</v>
      </c>
      <c r="BP168" s="106">
        <f>+PMGR!BP168+BP!BP168</f>
        <v>0</v>
      </c>
      <c r="BQ168" s="106">
        <f t="shared" si="818"/>
        <v>397450.8</v>
      </c>
      <c r="BR168" s="118"/>
      <c r="BS168" s="106">
        <f>+PMGR!BS168+BP!BS168</f>
        <v>172500</v>
      </c>
      <c r="BT168" s="106">
        <f>+PMGR!BT168+BP!BT168</f>
        <v>22500</v>
      </c>
      <c r="BU168" s="106">
        <f>+PMGR!BU168+BP!BU168</f>
        <v>22500</v>
      </c>
      <c r="BV168" s="106">
        <f>+PMGR!BV168+BP!BV168</f>
        <v>22500</v>
      </c>
      <c r="BW168" s="106">
        <f>+PMGR!BW168+BP!BW168</f>
        <v>82500</v>
      </c>
      <c r="BX168" s="106">
        <f>+PMGR!BX168+BP!BX168</f>
        <v>22500</v>
      </c>
      <c r="BY168" s="106">
        <f>+PMGR!BY168+BP!BY168</f>
        <v>22500</v>
      </c>
      <c r="BZ168" s="106">
        <f>+PMGR!BZ168+BP!BZ168</f>
        <v>22500</v>
      </c>
      <c r="CA168" s="106">
        <f>+PMGR!CA168+BP!CA168</f>
        <v>57500</v>
      </c>
      <c r="CB168" s="106">
        <f>+PMGR!CB168+BP!CB168</f>
        <v>22500</v>
      </c>
      <c r="CC168" s="106">
        <f>+PMGR!CC168+BP!CC168</f>
        <v>22500</v>
      </c>
      <c r="CD168" s="106">
        <f>+PMGR!CD168+BP!CD168</f>
        <v>22500</v>
      </c>
      <c r="CE168" s="106">
        <f t="shared" si="819"/>
        <v>515000</v>
      </c>
      <c r="CF168" s="106"/>
      <c r="CG168" s="106">
        <f>+PMGR!CG168+BP!CG168</f>
        <v>30455.64</v>
      </c>
      <c r="CH168" s="106">
        <f>+PMGR!CH168+BP!CH168</f>
        <v>13968.84</v>
      </c>
      <c r="CI168" s="106">
        <f>+PMGR!CI168+BP!CI168</f>
        <v>550</v>
      </c>
      <c r="CJ168" s="106">
        <f>+PMGR!CJ168+BP!CJ168</f>
        <v>0</v>
      </c>
      <c r="CK168" s="106">
        <f>+PMGR!CK168+BP!CK168</f>
        <v>14902.009999999998</v>
      </c>
      <c r="CL168" s="106">
        <f>+PMGR!CL168+BP!CL168</f>
        <v>440</v>
      </c>
      <c r="CM168" s="106">
        <f>+PMGR!CM168+BP!CM168</f>
        <v>0</v>
      </c>
      <c r="CN168" s="106">
        <f>+PMGR!CN168+BP!CN168</f>
        <v>3280</v>
      </c>
      <c r="CO168" s="106">
        <f>+PMGR!CO168+BP!CO168</f>
        <v>0</v>
      </c>
      <c r="CP168" s="106">
        <f>+PMGR!CP168+BP!CP168</f>
        <v>16887.52</v>
      </c>
      <c r="CQ168" s="106">
        <f>+PMGR!CQ168+BP!CQ168</f>
        <v>13629.9</v>
      </c>
      <c r="CR168" s="106">
        <f>+PMGR!CR168+BP!CR168</f>
        <v>14967.63</v>
      </c>
      <c r="CS168" s="106">
        <f t="shared" si="820"/>
        <v>109081.54</v>
      </c>
      <c r="CT168" s="16" t="str">
        <f t="shared" si="675"/>
        <v>Repair and Maintenance - Courtesy Car</v>
      </c>
      <c r="CU168" s="106">
        <f>+PMGR!CU168+BP!CU168</f>
        <v>0</v>
      </c>
      <c r="CV168" s="106">
        <f>+PMGR!CV168+BP!CV168</f>
        <v>0</v>
      </c>
      <c r="CW168" s="106">
        <f>+PMGR!CW168+BP!CW168</f>
        <v>0</v>
      </c>
      <c r="CX168" s="106">
        <f>+PMGR!CX168+BP!CX168</f>
        <v>0</v>
      </c>
      <c r="CY168" s="106">
        <f>+PMGR!CY168+BP!CY168</f>
        <v>0</v>
      </c>
      <c r="CZ168" s="106">
        <f>+PMGR!CZ168+BP!CZ168</f>
        <v>1590</v>
      </c>
      <c r="DA168" s="106">
        <f>+PMGR!DA168+BP!DA168</f>
        <v>1590</v>
      </c>
      <c r="DB168" s="106">
        <f>+PMGR!DB168+BP!DB168</f>
        <v>570</v>
      </c>
      <c r="DC168" s="106">
        <f>+PMGR!DC168+BP!DC168</f>
        <v>65999.58</v>
      </c>
      <c r="DD168" s="106">
        <f>+PMGR!DD168+BP!DD168</f>
        <v>536.78</v>
      </c>
      <c r="DE168" s="106">
        <f>+PMGR!DE168+BP!DE168</f>
        <v>0</v>
      </c>
      <c r="DF168" s="106">
        <f>+PMGR!DF168+BP!DF168</f>
        <v>0</v>
      </c>
      <c r="DG168" s="106">
        <f t="shared" si="821"/>
        <v>70286.36</v>
      </c>
      <c r="DH168" s="118"/>
      <c r="DI168" s="106">
        <f>+PMGR!DI168+BP!DI168</f>
        <v>12500</v>
      </c>
      <c r="DJ168" s="106">
        <f>+PMGR!DJ168+BP!DJ168</f>
        <v>12500</v>
      </c>
      <c r="DK168" s="106">
        <f>+PMGR!DK168+BP!DK168</f>
        <v>12500</v>
      </c>
      <c r="DL168" s="106">
        <f>+PMGR!DL168+BP!DL168</f>
        <v>12500</v>
      </c>
      <c r="DM168" s="106">
        <f>+PMGR!DM168+BP!DM168</f>
        <v>12500</v>
      </c>
      <c r="DN168" s="106">
        <f>+PMGR!DN168+BP!DN168</f>
        <v>12500</v>
      </c>
      <c r="DO168" s="106">
        <f>+PMGR!DO168+BP!DO168</f>
        <v>12500</v>
      </c>
      <c r="DP168" s="106">
        <f>+PMGR!DP168+BP!DP168</f>
        <v>12500</v>
      </c>
      <c r="DQ168" s="106">
        <f>+PMGR!DQ168+BP!DQ168</f>
        <v>12500</v>
      </c>
      <c r="DR168" s="106">
        <f>+PMGR!DR168+BP!DR168</f>
        <v>72500</v>
      </c>
      <c r="DS168" s="106">
        <f>+PMGR!DS168+BP!DS168</f>
        <v>12500</v>
      </c>
      <c r="DT168" s="106">
        <f>+PMGR!DT168+BP!DT168</f>
        <v>12500</v>
      </c>
      <c r="DU168" s="106">
        <f t="shared" si="822"/>
        <v>210000</v>
      </c>
      <c r="DV168" s="106"/>
      <c r="DW168" s="106">
        <f>+PMGR!DW168+BP!DW168</f>
        <v>0</v>
      </c>
      <c r="DX168" s="106">
        <f>+PMGR!DX168+BP!DX168</f>
        <v>0</v>
      </c>
      <c r="DY168" s="106">
        <f>+PMGR!DY168+BP!DY168</f>
        <v>0</v>
      </c>
      <c r="DZ168" s="106">
        <f>+PMGR!DZ168+BP!DZ168</f>
        <v>0</v>
      </c>
      <c r="EA168" s="106">
        <f>+PMGR!EA168+BP!EA168</f>
        <v>0</v>
      </c>
      <c r="EB168" s="106">
        <f>+PMGR!EB168+BP!EB168</f>
        <v>0</v>
      </c>
      <c r="EC168" s="106">
        <f>+PMGR!EC168+BP!EC168</f>
        <v>0</v>
      </c>
      <c r="ED168" s="106">
        <f>+PMGR!ED168+BP!ED168</f>
        <v>0</v>
      </c>
      <c r="EE168" s="106">
        <f>+PMGR!EE168+BP!EE168</f>
        <v>0</v>
      </c>
      <c r="EF168" s="106">
        <f>+PMGR!EF168+BP!EF168</f>
        <v>0</v>
      </c>
      <c r="EG168" s="106">
        <f>+PMGR!EG168+BP!EG168</f>
        <v>0</v>
      </c>
      <c r="EH168" s="106">
        <f>+PMGR!EH168+BP!EH168</f>
        <v>0</v>
      </c>
      <c r="EI168" s="106">
        <f t="shared" si="823"/>
        <v>0</v>
      </c>
      <c r="EJ168" s="16" t="str">
        <f t="shared" si="681"/>
        <v>Repair and Maintenance - Courtesy Car</v>
      </c>
      <c r="EK168" s="106">
        <f>+PMGR!EK168+BP!EK168</f>
        <v>0</v>
      </c>
      <c r="EL168" s="106">
        <f>+PMGR!EL168+BP!EL168</f>
        <v>0</v>
      </c>
      <c r="EM168" s="106">
        <f>+PMGR!EM168+BP!EM168</f>
        <v>1050</v>
      </c>
      <c r="EN168" s="106">
        <f>+PMGR!EN168+BP!EN168</f>
        <v>14526.56</v>
      </c>
      <c r="EO168" s="106">
        <f>+PMGR!EO168+BP!EO168</f>
        <v>0</v>
      </c>
      <c r="EP168" s="106">
        <f>+PMGR!EP168+BP!EP168</f>
        <v>0</v>
      </c>
      <c r="EQ168" s="106">
        <f>+PMGR!EQ168+BP!EQ168</f>
        <v>25826.79</v>
      </c>
      <c r="ER168" s="106">
        <f>+PMGR!ER168+BP!ER168</f>
        <v>91696.91</v>
      </c>
      <c r="ES168" s="106">
        <f>+PMGR!ES168+BP!ES168</f>
        <v>0</v>
      </c>
      <c r="ET168" s="106">
        <f>+PMGR!ET168+BP!ET168</f>
        <v>0</v>
      </c>
      <c r="EU168" s="106">
        <f>+PMGR!EU168+BP!EU168</f>
        <v>0</v>
      </c>
      <c r="EV168" s="106">
        <f>+PMGR!EV168+BP!EV168</f>
        <v>0</v>
      </c>
      <c r="EW168" s="106">
        <f t="shared" si="824"/>
        <v>133100.26</v>
      </c>
      <c r="EX168" s="118"/>
      <c r="EY168" s="106">
        <f>+PMGR!EY168+BP!EY168</f>
        <v>0</v>
      </c>
      <c r="EZ168" s="106">
        <f>+PMGR!EZ168+BP!EZ168</f>
        <v>0</v>
      </c>
      <c r="FA168" s="106">
        <f>+PMGR!FA168+BP!FA168</f>
        <v>0</v>
      </c>
      <c r="FB168" s="106">
        <f>+PMGR!FB168+BP!FB168</f>
        <v>0</v>
      </c>
      <c r="FC168" s="106">
        <f>+PMGR!FC168+BP!FC168</f>
        <v>0</v>
      </c>
      <c r="FD168" s="106">
        <f>+PMGR!FD168+BP!FD168</f>
        <v>0</v>
      </c>
      <c r="FE168" s="106">
        <f>+PMGR!FE168+BP!FE168</f>
        <v>0</v>
      </c>
      <c r="FF168" s="106">
        <f>+PMGR!FF168+BP!FF168</f>
        <v>0</v>
      </c>
      <c r="FG168" s="106">
        <f>+PMGR!FG168+BP!FG168</f>
        <v>0</v>
      </c>
      <c r="FH168" s="106">
        <f>+PMGR!FH168+BP!FH168</f>
        <v>0</v>
      </c>
      <c r="FI168" s="106">
        <f>+PMGR!FI168+BP!FI168</f>
        <v>0</v>
      </c>
      <c r="FJ168" s="106">
        <f>+PMGR!FJ168+BP!FJ168</f>
        <v>0</v>
      </c>
      <c r="FK168" s="106">
        <f t="shared" si="825"/>
        <v>0</v>
      </c>
    </row>
    <row r="169" spans="1:167" ht="14.45" hidden="1" customHeight="1" outlineLevel="2">
      <c r="A169" s="106">
        <f t="shared" si="811"/>
        <v>0</v>
      </c>
      <c r="B169" s="106">
        <f t="shared" si="811"/>
        <v>0</v>
      </c>
      <c r="C169" s="106">
        <f t="shared" si="811"/>
        <v>0</v>
      </c>
      <c r="D169" s="106">
        <f t="shared" si="811"/>
        <v>0</v>
      </c>
      <c r="E169" s="106">
        <f t="shared" si="811"/>
        <v>0</v>
      </c>
      <c r="F169" s="106">
        <f t="shared" si="811"/>
        <v>0</v>
      </c>
      <c r="G169" s="106">
        <f t="shared" si="811"/>
        <v>0</v>
      </c>
      <c r="H169" s="106">
        <f t="shared" si="811"/>
        <v>0</v>
      </c>
      <c r="I169" s="106">
        <f t="shared" si="811"/>
        <v>0</v>
      </c>
      <c r="J169" s="106">
        <f t="shared" si="811"/>
        <v>0</v>
      </c>
      <c r="K169" s="106">
        <f t="shared" si="811"/>
        <v>0</v>
      </c>
      <c r="L169" s="106">
        <f t="shared" si="811"/>
        <v>0</v>
      </c>
      <c r="M169" s="106">
        <f t="shared" si="812"/>
        <v>0</v>
      </c>
      <c r="N169" s="16" t="s">
        <v>141</v>
      </c>
      <c r="O169" s="106">
        <f t="shared" si="813"/>
        <v>0</v>
      </c>
      <c r="P169" s="106">
        <f t="shared" si="813"/>
        <v>0</v>
      </c>
      <c r="Q169" s="106">
        <f t="shared" si="813"/>
        <v>0</v>
      </c>
      <c r="R169" s="106">
        <f t="shared" si="813"/>
        <v>0</v>
      </c>
      <c r="S169" s="106">
        <f t="shared" si="813"/>
        <v>0</v>
      </c>
      <c r="T169" s="106">
        <f t="shared" si="813"/>
        <v>0</v>
      </c>
      <c r="U169" s="106">
        <f t="shared" si="813"/>
        <v>0</v>
      </c>
      <c r="V169" s="106">
        <f t="shared" si="813"/>
        <v>0</v>
      </c>
      <c r="W169" s="106">
        <f t="shared" si="813"/>
        <v>0</v>
      </c>
      <c r="X169" s="106">
        <f t="shared" si="813"/>
        <v>0</v>
      </c>
      <c r="Y169" s="106">
        <f t="shared" si="813"/>
        <v>0</v>
      </c>
      <c r="Z169" s="106">
        <f t="shared" si="813"/>
        <v>0</v>
      </c>
      <c r="AA169" s="106">
        <f t="shared" si="814"/>
        <v>0</v>
      </c>
      <c r="AB169" s="118"/>
      <c r="AC169" s="106">
        <f t="shared" si="815"/>
        <v>0</v>
      </c>
      <c r="AD169" s="106">
        <f t="shared" si="815"/>
        <v>0</v>
      </c>
      <c r="AE169" s="106">
        <f t="shared" si="815"/>
        <v>0</v>
      </c>
      <c r="AF169" s="106">
        <f t="shared" si="815"/>
        <v>0</v>
      </c>
      <c r="AG169" s="106">
        <f t="shared" si="815"/>
        <v>0</v>
      </c>
      <c r="AH169" s="106">
        <f t="shared" si="815"/>
        <v>0</v>
      </c>
      <c r="AI169" s="106">
        <f t="shared" si="815"/>
        <v>0</v>
      </c>
      <c r="AJ169" s="106">
        <f t="shared" si="815"/>
        <v>0</v>
      </c>
      <c r="AK169" s="106">
        <f t="shared" si="815"/>
        <v>0</v>
      </c>
      <c r="AL169" s="106">
        <f t="shared" si="815"/>
        <v>0</v>
      </c>
      <c r="AM169" s="106">
        <f t="shared" si="815"/>
        <v>0</v>
      </c>
      <c r="AN169" s="106">
        <f t="shared" si="815"/>
        <v>0</v>
      </c>
      <c r="AO169" s="106">
        <f t="shared" si="816"/>
        <v>0</v>
      </c>
      <c r="AP169" s="106"/>
      <c r="AQ169" s="106">
        <f>+PMGR!AQ169+BP!AQ169</f>
        <v>0</v>
      </c>
      <c r="AR169" s="106">
        <f>+PMGR!AR169+BP!AR169</f>
        <v>0</v>
      </c>
      <c r="AS169" s="106">
        <f>+PMGR!AS169+BP!AS169</f>
        <v>0</v>
      </c>
      <c r="AT169" s="106">
        <f>+PMGR!AT169+BP!AT169</f>
        <v>0</v>
      </c>
      <c r="AU169" s="106">
        <f>+PMGR!AU169+BP!AU169</f>
        <v>0</v>
      </c>
      <c r="AV169" s="106">
        <f>+PMGR!AV169+BP!AV169</f>
        <v>0</v>
      </c>
      <c r="AW169" s="106">
        <f>+PMGR!AW169+BP!AW169</f>
        <v>0</v>
      </c>
      <c r="AX169" s="106">
        <f>+PMGR!AX169+BP!AX169</f>
        <v>0</v>
      </c>
      <c r="AY169" s="106">
        <f>+PMGR!AY169+BP!AY169</f>
        <v>0</v>
      </c>
      <c r="AZ169" s="106">
        <f>+PMGR!AZ169+BP!AZ169</f>
        <v>0</v>
      </c>
      <c r="BA169" s="106">
        <f>+PMGR!BA169+BP!BA169</f>
        <v>0</v>
      </c>
      <c r="BB169" s="106">
        <f>+PMGR!BB169+BP!BB169</f>
        <v>0</v>
      </c>
      <c r="BC169" s="106">
        <f t="shared" si="817"/>
        <v>0</v>
      </c>
      <c r="BD169" s="16" t="str">
        <f t="shared" si="671"/>
        <v>Repair and Maintenance - Flatbed</v>
      </c>
      <c r="BE169" s="106">
        <f>+PMGR!BE169+BP!BE169</f>
        <v>0</v>
      </c>
      <c r="BF169" s="106">
        <f>+PMGR!BF169+BP!BF169</f>
        <v>0</v>
      </c>
      <c r="BG169" s="106">
        <f>+PMGR!BG169+BP!BG169</f>
        <v>0</v>
      </c>
      <c r="BH169" s="106">
        <f>+PMGR!BH169+BP!BH169</f>
        <v>0</v>
      </c>
      <c r="BI169" s="106">
        <f>+PMGR!BI169+BP!BI169</f>
        <v>0</v>
      </c>
      <c r="BJ169" s="106">
        <f>+PMGR!BJ169+BP!BJ169</f>
        <v>0</v>
      </c>
      <c r="BK169" s="106">
        <f>+PMGR!BK169+BP!BK169</f>
        <v>0</v>
      </c>
      <c r="BL169" s="106">
        <f>+PMGR!BL169+BP!BL169</f>
        <v>0</v>
      </c>
      <c r="BM169" s="106">
        <f>+PMGR!BM169+BP!BM169</f>
        <v>0</v>
      </c>
      <c r="BN169" s="106">
        <f>+PMGR!BN169+BP!BN169</f>
        <v>0</v>
      </c>
      <c r="BO169" s="106">
        <f>+PMGR!BO169+BP!BO169</f>
        <v>0</v>
      </c>
      <c r="BP169" s="106">
        <f>+PMGR!BP169+BP!BP169</f>
        <v>0</v>
      </c>
      <c r="BQ169" s="106">
        <f t="shared" si="818"/>
        <v>0</v>
      </c>
      <c r="BR169" s="118"/>
      <c r="BS169" s="106">
        <f>+PMGR!BS169+BP!BS169</f>
        <v>0</v>
      </c>
      <c r="BT169" s="106">
        <f>+PMGR!BT169+BP!BT169</f>
        <v>0</v>
      </c>
      <c r="BU169" s="106">
        <f>+PMGR!BU169+BP!BU169</f>
        <v>0</v>
      </c>
      <c r="BV169" s="106">
        <f>+PMGR!BV169+BP!BV169</f>
        <v>0</v>
      </c>
      <c r="BW169" s="106">
        <f>+PMGR!BW169+BP!BW169</f>
        <v>0</v>
      </c>
      <c r="BX169" s="106">
        <f>+PMGR!BX169+BP!BX169</f>
        <v>0</v>
      </c>
      <c r="BY169" s="106">
        <f>+PMGR!BY169+BP!BY169</f>
        <v>0</v>
      </c>
      <c r="BZ169" s="106">
        <f>+PMGR!BZ169+BP!BZ169</f>
        <v>0</v>
      </c>
      <c r="CA169" s="106">
        <f>+PMGR!CA169+BP!CA169</f>
        <v>0</v>
      </c>
      <c r="CB169" s="106">
        <f>+PMGR!CB169+BP!CB169</f>
        <v>0</v>
      </c>
      <c r="CC169" s="106">
        <f>+PMGR!CC169+BP!CC169</f>
        <v>0</v>
      </c>
      <c r="CD169" s="106">
        <f>+PMGR!CD169+BP!CD169</f>
        <v>0</v>
      </c>
      <c r="CE169" s="106">
        <f t="shared" si="819"/>
        <v>0</v>
      </c>
      <c r="CF169" s="106"/>
      <c r="CG169" s="106">
        <f>+PMGR!CG169+BP!CG169</f>
        <v>0</v>
      </c>
      <c r="CH169" s="106">
        <f>+PMGR!CH169+BP!CH169</f>
        <v>0</v>
      </c>
      <c r="CI169" s="106">
        <f>+PMGR!CI169+BP!CI169</f>
        <v>0</v>
      </c>
      <c r="CJ169" s="106">
        <f>+PMGR!CJ169+BP!CJ169</f>
        <v>0</v>
      </c>
      <c r="CK169" s="106">
        <f>+PMGR!CK169+BP!CK169</f>
        <v>0</v>
      </c>
      <c r="CL169" s="106">
        <f>+PMGR!CL169+BP!CL169</f>
        <v>0</v>
      </c>
      <c r="CM169" s="106">
        <f>+PMGR!CM169+BP!CM169</f>
        <v>0</v>
      </c>
      <c r="CN169" s="106">
        <f>+PMGR!CN169+BP!CN169</f>
        <v>0</v>
      </c>
      <c r="CO169" s="106">
        <f>+PMGR!CO169+BP!CO169</f>
        <v>0</v>
      </c>
      <c r="CP169" s="106">
        <f>+PMGR!CP169+BP!CP169</f>
        <v>0</v>
      </c>
      <c r="CQ169" s="106">
        <f>+PMGR!CQ169+BP!CQ169</f>
        <v>0</v>
      </c>
      <c r="CR169" s="106">
        <f>+PMGR!CR169+BP!CR169</f>
        <v>0</v>
      </c>
      <c r="CS169" s="106">
        <f t="shared" si="820"/>
        <v>0</v>
      </c>
      <c r="CT169" s="16" t="str">
        <f t="shared" si="675"/>
        <v>Repair and Maintenance - Flatbed</v>
      </c>
      <c r="CU169" s="106">
        <f>+PMGR!CU169+BP!CU169</f>
        <v>0</v>
      </c>
      <c r="CV169" s="106">
        <f>+PMGR!CV169+BP!CV169</f>
        <v>0</v>
      </c>
      <c r="CW169" s="106">
        <f>+PMGR!CW169+BP!CW169</f>
        <v>0</v>
      </c>
      <c r="CX169" s="106">
        <f>+PMGR!CX169+BP!CX169</f>
        <v>0</v>
      </c>
      <c r="CY169" s="106">
        <f>+PMGR!CY169+BP!CY169</f>
        <v>0</v>
      </c>
      <c r="CZ169" s="106">
        <f>+PMGR!CZ169+BP!CZ169</f>
        <v>0</v>
      </c>
      <c r="DA169" s="106">
        <f>+PMGR!DA169+BP!DA169</f>
        <v>0</v>
      </c>
      <c r="DB169" s="106">
        <f>+PMGR!DB169+BP!DB169</f>
        <v>0</v>
      </c>
      <c r="DC169" s="106">
        <f>+PMGR!DC169+BP!DC169</f>
        <v>0</v>
      </c>
      <c r="DD169" s="106">
        <f>+PMGR!DD169+BP!DD169</f>
        <v>0</v>
      </c>
      <c r="DE169" s="106">
        <f>+PMGR!DE169+BP!DE169</f>
        <v>0</v>
      </c>
      <c r="DF169" s="106">
        <f>+PMGR!DF169+BP!DF169</f>
        <v>0</v>
      </c>
      <c r="DG169" s="106">
        <f t="shared" si="821"/>
        <v>0</v>
      </c>
      <c r="DH169" s="118"/>
      <c r="DI169" s="106">
        <f>+PMGR!DI169+BP!DI169</f>
        <v>0</v>
      </c>
      <c r="DJ169" s="106">
        <f>+PMGR!DJ169+BP!DJ169</f>
        <v>0</v>
      </c>
      <c r="DK169" s="106">
        <f>+PMGR!DK169+BP!DK169</f>
        <v>0</v>
      </c>
      <c r="DL169" s="106">
        <f>+PMGR!DL169+BP!DL169</f>
        <v>0</v>
      </c>
      <c r="DM169" s="106">
        <f>+PMGR!DM169+BP!DM169</f>
        <v>0</v>
      </c>
      <c r="DN169" s="106">
        <f>+PMGR!DN169+BP!DN169</f>
        <v>0</v>
      </c>
      <c r="DO169" s="106">
        <f>+PMGR!DO169+BP!DO169</f>
        <v>0</v>
      </c>
      <c r="DP169" s="106">
        <f>+PMGR!DP169+BP!DP169</f>
        <v>0</v>
      </c>
      <c r="DQ169" s="106">
        <f>+PMGR!DQ169+BP!DQ169</f>
        <v>0</v>
      </c>
      <c r="DR169" s="106">
        <f>+PMGR!DR169+BP!DR169</f>
        <v>0</v>
      </c>
      <c r="DS169" s="106">
        <f>+PMGR!DS169+BP!DS169</f>
        <v>0</v>
      </c>
      <c r="DT169" s="106">
        <f>+PMGR!DT169+BP!DT169</f>
        <v>0</v>
      </c>
      <c r="DU169" s="106">
        <f t="shared" si="822"/>
        <v>0</v>
      </c>
      <c r="DV169" s="106"/>
      <c r="DW169" s="106">
        <f>+PMGR!DW169+BP!DW169</f>
        <v>0</v>
      </c>
      <c r="DX169" s="106">
        <f>+PMGR!DX169+BP!DX169</f>
        <v>0</v>
      </c>
      <c r="DY169" s="106">
        <f>+PMGR!DY169+BP!DY169</f>
        <v>0</v>
      </c>
      <c r="DZ169" s="106">
        <f>+PMGR!DZ169+BP!DZ169</f>
        <v>0</v>
      </c>
      <c r="EA169" s="106">
        <f>+PMGR!EA169+BP!EA169</f>
        <v>0</v>
      </c>
      <c r="EB169" s="106">
        <f>+PMGR!EB169+BP!EB169</f>
        <v>0</v>
      </c>
      <c r="EC169" s="106">
        <f>+PMGR!EC169+BP!EC169</f>
        <v>0</v>
      </c>
      <c r="ED169" s="106">
        <f>+PMGR!ED169+BP!ED169</f>
        <v>0</v>
      </c>
      <c r="EE169" s="106">
        <f>+PMGR!EE169+BP!EE169</f>
        <v>0</v>
      </c>
      <c r="EF169" s="106">
        <f>+PMGR!EF169+BP!EF169</f>
        <v>0</v>
      </c>
      <c r="EG169" s="106">
        <f>+PMGR!EG169+BP!EG169</f>
        <v>0</v>
      </c>
      <c r="EH169" s="106">
        <f>+PMGR!EH169+BP!EH169</f>
        <v>0</v>
      </c>
      <c r="EI169" s="106">
        <f t="shared" si="823"/>
        <v>0</v>
      </c>
      <c r="EJ169" s="16" t="str">
        <f t="shared" si="681"/>
        <v>Repair and Maintenance - Flatbed</v>
      </c>
      <c r="EK169" s="106">
        <f>+PMGR!EK169+BP!EK169</f>
        <v>0</v>
      </c>
      <c r="EL169" s="106">
        <f>+PMGR!EL169+BP!EL169</f>
        <v>0</v>
      </c>
      <c r="EM169" s="106">
        <f>+PMGR!EM169+BP!EM169</f>
        <v>0</v>
      </c>
      <c r="EN169" s="106">
        <f>+PMGR!EN169+BP!EN169</f>
        <v>0</v>
      </c>
      <c r="EO169" s="106">
        <f>+PMGR!EO169+BP!EO169</f>
        <v>0</v>
      </c>
      <c r="EP169" s="106">
        <f>+PMGR!EP169+BP!EP169</f>
        <v>0</v>
      </c>
      <c r="EQ169" s="106">
        <f>+PMGR!EQ169+BP!EQ169</f>
        <v>0</v>
      </c>
      <c r="ER169" s="106">
        <f>+PMGR!ER169+BP!ER169</f>
        <v>0</v>
      </c>
      <c r="ES169" s="106">
        <f>+PMGR!ES169+BP!ES169</f>
        <v>0</v>
      </c>
      <c r="ET169" s="106">
        <f>+PMGR!ET169+BP!ET169</f>
        <v>0</v>
      </c>
      <c r="EU169" s="106">
        <f>+PMGR!EU169+BP!EU169</f>
        <v>0</v>
      </c>
      <c r="EV169" s="106">
        <f>+PMGR!EV169+BP!EV169</f>
        <v>0</v>
      </c>
      <c r="EW169" s="106">
        <f t="shared" si="824"/>
        <v>0</v>
      </c>
      <c r="EX169" s="118"/>
      <c r="EY169" s="106">
        <f>+PMGR!EY169+BP!EY169</f>
        <v>0</v>
      </c>
      <c r="EZ169" s="106">
        <f>+PMGR!EZ169+BP!EZ169</f>
        <v>0</v>
      </c>
      <c r="FA169" s="106">
        <f>+PMGR!FA169+BP!FA169</f>
        <v>0</v>
      </c>
      <c r="FB169" s="106">
        <f>+PMGR!FB169+BP!FB169</f>
        <v>0</v>
      </c>
      <c r="FC169" s="106">
        <f>+PMGR!FC169+BP!FC169</f>
        <v>0</v>
      </c>
      <c r="FD169" s="106">
        <f>+PMGR!FD169+BP!FD169</f>
        <v>0</v>
      </c>
      <c r="FE169" s="106">
        <f>+PMGR!FE169+BP!FE169</f>
        <v>0</v>
      </c>
      <c r="FF169" s="106">
        <f>+PMGR!FF169+BP!FF169</f>
        <v>0</v>
      </c>
      <c r="FG169" s="106">
        <f>+PMGR!FG169+BP!FG169</f>
        <v>0</v>
      </c>
      <c r="FH169" s="106">
        <f>+PMGR!FH169+BP!FH169</f>
        <v>0</v>
      </c>
      <c r="FI169" s="106">
        <f>+PMGR!FI169+BP!FI169</f>
        <v>0</v>
      </c>
      <c r="FJ169" s="106">
        <f>+PMGR!FJ169+BP!FJ169</f>
        <v>0</v>
      </c>
      <c r="FK169" s="106">
        <f t="shared" si="825"/>
        <v>0</v>
      </c>
    </row>
    <row r="170" spans="1:167" ht="14.45" hidden="1" customHeight="1" outlineLevel="2">
      <c r="A170" s="106">
        <f t="shared" si="811"/>
        <v>0</v>
      </c>
      <c r="B170" s="106">
        <f t="shared" si="811"/>
        <v>0</v>
      </c>
      <c r="C170" s="106">
        <f t="shared" si="811"/>
        <v>7203.92</v>
      </c>
      <c r="D170" s="106">
        <f t="shared" si="811"/>
        <v>3710</v>
      </c>
      <c r="E170" s="106">
        <f t="shared" si="811"/>
        <v>3603.989</v>
      </c>
      <c r="F170" s="106">
        <f t="shared" si="811"/>
        <v>0</v>
      </c>
      <c r="G170" s="106">
        <f t="shared" si="811"/>
        <v>23830.114499999996</v>
      </c>
      <c r="H170" s="106">
        <f t="shared" si="811"/>
        <v>225</v>
      </c>
      <c r="I170" s="106">
        <f t="shared" si="811"/>
        <v>10056.7745</v>
      </c>
      <c r="J170" s="106">
        <f t="shared" si="811"/>
        <v>211</v>
      </c>
      <c r="K170" s="106">
        <f t="shared" si="811"/>
        <v>7643.75</v>
      </c>
      <c r="L170" s="106">
        <f t="shared" si="811"/>
        <v>5729.26</v>
      </c>
      <c r="M170" s="106">
        <f t="shared" si="812"/>
        <v>62213.807999999997</v>
      </c>
      <c r="N170" s="16" t="s">
        <v>142</v>
      </c>
      <c r="O170" s="106">
        <f t="shared" si="813"/>
        <v>2654.62</v>
      </c>
      <c r="P170" s="106">
        <f t="shared" si="813"/>
        <v>3561.0254999999997</v>
      </c>
      <c r="Q170" s="106">
        <f t="shared" si="813"/>
        <v>106854.85149999999</v>
      </c>
      <c r="R170" s="106">
        <f t="shared" si="813"/>
        <v>0</v>
      </c>
      <c r="S170" s="106">
        <f t="shared" si="813"/>
        <v>145171.34</v>
      </c>
      <c r="T170" s="106">
        <f t="shared" si="813"/>
        <v>6717.57</v>
      </c>
      <c r="U170" s="106">
        <f t="shared" si="813"/>
        <v>10060.5185</v>
      </c>
      <c r="V170" s="106">
        <f t="shared" si="813"/>
        <v>300</v>
      </c>
      <c r="W170" s="106">
        <f t="shared" si="813"/>
        <v>0</v>
      </c>
      <c r="X170" s="106">
        <f t="shared" si="813"/>
        <v>570</v>
      </c>
      <c r="Y170" s="106">
        <f t="shared" si="813"/>
        <v>0</v>
      </c>
      <c r="Z170" s="106">
        <f t="shared" si="813"/>
        <v>0</v>
      </c>
      <c r="AA170" s="106">
        <f t="shared" si="814"/>
        <v>275889.92550000001</v>
      </c>
      <c r="AB170" s="118"/>
      <c r="AC170" s="106">
        <f t="shared" si="815"/>
        <v>0</v>
      </c>
      <c r="AD170" s="106">
        <f t="shared" si="815"/>
        <v>0</v>
      </c>
      <c r="AE170" s="106">
        <f t="shared" si="815"/>
        <v>0</v>
      </c>
      <c r="AF170" s="106">
        <f t="shared" si="815"/>
        <v>0</v>
      </c>
      <c r="AG170" s="106">
        <f t="shared" si="815"/>
        <v>0</v>
      </c>
      <c r="AH170" s="106">
        <f t="shared" si="815"/>
        <v>0</v>
      </c>
      <c r="AI170" s="106">
        <f t="shared" si="815"/>
        <v>0</v>
      </c>
      <c r="AJ170" s="106">
        <f t="shared" si="815"/>
        <v>4000</v>
      </c>
      <c r="AK170" s="106">
        <f t="shared" si="815"/>
        <v>9000</v>
      </c>
      <c r="AL170" s="106">
        <f t="shared" si="815"/>
        <v>0</v>
      </c>
      <c r="AM170" s="106">
        <f t="shared" si="815"/>
        <v>0</v>
      </c>
      <c r="AN170" s="106">
        <f t="shared" si="815"/>
        <v>0</v>
      </c>
      <c r="AO170" s="106">
        <f t="shared" si="816"/>
        <v>13000</v>
      </c>
      <c r="AP170" s="106"/>
      <c r="AQ170" s="106">
        <f>+PMGR!AQ170+BP!AQ170</f>
        <v>0</v>
      </c>
      <c r="AR170" s="106">
        <f>+PMGR!AR170+BP!AR170</f>
        <v>0</v>
      </c>
      <c r="AS170" s="106">
        <f>+PMGR!AS170+BP!AS170</f>
        <v>7203.92</v>
      </c>
      <c r="AT170" s="106">
        <f>+PMGR!AT170+BP!AT170</f>
        <v>0</v>
      </c>
      <c r="AU170" s="106">
        <f>+PMGR!AU170+BP!AU170</f>
        <v>3069.326</v>
      </c>
      <c r="AV170" s="106">
        <f>+PMGR!AV170+BP!AV170</f>
        <v>0</v>
      </c>
      <c r="AW170" s="106">
        <f>+PMGR!AW170+BP!AW170</f>
        <v>15886.742999999999</v>
      </c>
      <c r="AX170" s="106">
        <f>+PMGR!AX170+BP!AX170</f>
        <v>150</v>
      </c>
      <c r="AY170" s="106">
        <f>+PMGR!AY170+BP!AY170</f>
        <v>6971.183</v>
      </c>
      <c r="AZ170" s="106">
        <f>+PMGR!AZ170+BP!AZ170</f>
        <v>184</v>
      </c>
      <c r="BA170" s="106">
        <f>+PMGR!BA170+BP!BA170</f>
        <v>6893.75</v>
      </c>
      <c r="BB170" s="106">
        <f>+PMGR!BB170+BP!BB170</f>
        <v>5654.26</v>
      </c>
      <c r="BC170" s="106">
        <f t="shared" si="817"/>
        <v>46013.182000000001</v>
      </c>
      <c r="BD170" s="16" t="str">
        <f t="shared" si="671"/>
        <v>Repair and Maintenance - Own Car</v>
      </c>
      <c r="BE170" s="106">
        <f>+PMGR!BE170+BP!BE170</f>
        <v>0</v>
      </c>
      <c r="BF170" s="106">
        <f>+PMGR!BF170+BP!BF170</f>
        <v>2374.0169999999998</v>
      </c>
      <c r="BG170" s="106">
        <f>+PMGR!BG170+BP!BG170</f>
        <v>2933.9009999999989</v>
      </c>
      <c r="BH170" s="106">
        <f>+PMGR!BH170+BP!BH170</f>
        <v>0</v>
      </c>
      <c r="BI170" s="106">
        <f>+PMGR!BI170+BP!BI170</f>
        <v>118921.34</v>
      </c>
      <c r="BJ170" s="106">
        <f>+PMGR!BJ170+BP!BJ170</f>
        <v>6717.57</v>
      </c>
      <c r="BK170" s="106">
        <f>+PMGR!BK170+BP!BK170</f>
        <v>8652.9889999999996</v>
      </c>
      <c r="BL170" s="106">
        <f>+PMGR!BL170+BP!BL170</f>
        <v>300</v>
      </c>
      <c r="BM170" s="106">
        <f>+PMGR!BM170+BP!BM170</f>
        <v>0</v>
      </c>
      <c r="BN170" s="106">
        <f>+PMGR!BN170+BP!BN170</f>
        <v>0</v>
      </c>
      <c r="BO170" s="106">
        <f>+PMGR!BO170+BP!BO170</f>
        <v>0</v>
      </c>
      <c r="BP170" s="106">
        <f>+PMGR!BP170+BP!BP170</f>
        <v>0</v>
      </c>
      <c r="BQ170" s="106">
        <f t="shared" si="818"/>
        <v>139899.81700000001</v>
      </c>
      <c r="BR170" s="118"/>
      <c r="BS170" s="106">
        <f>+PMGR!BS170+BP!BS170</f>
        <v>0</v>
      </c>
      <c r="BT170" s="106">
        <f>+PMGR!BT170+BP!BT170</f>
        <v>0</v>
      </c>
      <c r="BU170" s="106">
        <f>+PMGR!BU170+BP!BU170</f>
        <v>0</v>
      </c>
      <c r="BV170" s="106">
        <f>+PMGR!BV170+BP!BV170</f>
        <v>0</v>
      </c>
      <c r="BW170" s="106">
        <f>+PMGR!BW170+BP!BW170</f>
        <v>0</v>
      </c>
      <c r="BX170" s="106">
        <f>+PMGR!BX170+BP!BX170</f>
        <v>0</v>
      </c>
      <c r="BY170" s="106">
        <f>+PMGR!BY170+BP!BY170</f>
        <v>0</v>
      </c>
      <c r="BZ170" s="106">
        <f>+PMGR!BZ170+BP!BZ170</f>
        <v>2000</v>
      </c>
      <c r="CA170" s="106">
        <f>+PMGR!CA170+BP!CA170</f>
        <v>9000</v>
      </c>
      <c r="CB170" s="106">
        <f>+PMGR!CB170+BP!CB170</f>
        <v>0</v>
      </c>
      <c r="CC170" s="106">
        <f>+PMGR!CC170+BP!CC170</f>
        <v>0</v>
      </c>
      <c r="CD170" s="106">
        <f>+PMGR!CD170+BP!CD170</f>
        <v>0</v>
      </c>
      <c r="CE170" s="106">
        <f t="shared" si="819"/>
        <v>11000</v>
      </c>
      <c r="CF170" s="106"/>
      <c r="CG170" s="106">
        <f>+PMGR!CG170+BP!CG170</f>
        <v>0</v>
      </c>
      <c r="CH170" s="106">
        <f>+PMGR!CH170+BP!CH170</f>
        <v>0</v>
      </c>
      <c r="CI170" s="106">
        <f>+PMGR!CI170+BP!CI170</f>
        <v>0</v>
      </c>
      <c r="CJ170" s="106">
        <f>+PMGR!CJ170+BP!CJ170</f>
        <v>3710</v>
      </c>
      <c r="CK170" s="106">
        <f>+PMGR!CK170+BP!CK170</f>
        <v>534.66300000000001</v>
      </c>
      <c r="CL170" s="106">
        <f>+PMGR!CL170+BP!CL170</f>
        <v>0</v>
      </c>
      <c r="CM170" s="106">
        <f>+PMGR!CM170+BP!CM170</f>
        <v>7943.3714999999993</v>
      </c>
      <c r="CN170" s="106">
        <f>+PMGR!CN170+BP!CN170</f>
        <v>75</v>
      </c>
      <c r="CO170" s="106">
        <f>+PMGR!CO170+BP!CO170</f>
        <v>3085.5915</v>
      </c>
      <c r="CP170" s="106">
        <f>+PMGR!CP170+BP!CP170</f>
        <v>27</v>
      </c>
      <c r="CQ170" s="106">
        <f>+PMGR!CQ170+BP!CQ170</f>
        <v>750</v>
      </c>
      <c r="CR170" s="106">
        <f>+PMGR!CR170+BP!CR170</f>
        <v>75</v>
      </c>
      <c r="CS170" s="106">
        <f t="shared" si="820"/>
        <v>16200.626</v>
      </c>
      <c r="CT170" s="16" t="str">
        <f t="shared" si="675"/>
        <v>Repair and Maintenance - Own Car</v>
      </c>
      <c r="CU170" s="106">
        <f>+PMGR!CU170+BP!CU170</f>
        <v>2654.62</v>
      </c>
      <c r="CV170" s="106">
        <f>+PMGR!CV170+BP!CV170</f>
        <v>1187.0084999999999</v>
      </c>
      <c r="CW170" s="106">
        <f>+PMGR!CW170+BP!CW170</f>
        <v>103920.95049999999</v>
      </c>
      <c r="CX170" s="106">
        <f>+PMGR!CX170+BP!CX170</f>
        <v>0</v>
      </c>
      <c r="CY170" s="106">
        <f>+PMGR!CY170+BP!CY170</f>
        <v>26250</v>
      </c>
      <c r="CZ170" s="106">
        <f>+PMGR!CZ170+BP!CZ170</f>
        <v>0</v>
      </c>
      <c r="DA170" s="106">
        <f>+PMGR!DA170+BP!DA170</f>
        <v>1407.5295000000001</v>
      </c>
      <c r="DB170" s="106">
        <f>+PMGR!DB170+BP!DB170</f>
        <v>0</v>
      </c>
      <c r="DC170" s="106">
        <f>+PMGR!DC170+BP!DC170</f>
        <v>0</v>
      </c>
      <c r="DD170" s="106">
        <f>+PMGR!DD170+BP!DD170</f>
        <v>570</v>
      </c>
      <c r="DE170" s="106">
        <f>+PMGR!DE170+BP!DE170</f>
        <v>0</v>
      </c>
      <c r="DF170" s="106">
        <f>+PMGR!DF170+BP!DF170</f>
        <v>0</v>
      </c>
      <c r="DG170" s="106">
        <f t="shared" si="821"/>
        <v>135990.1085</v>
      </c>
      <c r="DH170" s="118"/>
      <c r="DI170" s="106">
        <f>+PMGR!DI170+BP!DI170</f>
        <v>0</v>
      </c>
      <c r="DJ170" s="106">
        <f>+PMGR!DJ170+BP!DJ170</f>
        <v>0</v>
      </c>
      <c r="DK170" s="106">
        <f>+PMGR!DK170+BP!DK170</f>
        <v>0</v>
      </c>
      <c r="DL170" s="106">
        <f>+PMGR!DL170+BP!DL170</f>
        <v>0</v>
      </c>
      <c r="DM170" s="106">
        <f>+PMGR!DM170+BP!DM170</f>
        <v>0</v>
      </c>
      <c r="DN170" s="106">
        <f>+PMGR!DN170+BP!DN170</f>
        <v>0</v>
      </c>
      <c r="DO170" s="106">
        <f>+PMGR!DO170+BP!DO170</f>
        <v>0</v>
      </c>
      <c r="DP170" s="106">
        <f>+PMGR!DP170+BP!DP170</f>
        <v>2000</v>
      </c>
      <c r="DQ170" s="106">
        <f>+PMGR!DQ170+BP!DQ170</f>
        <v>0</v>
      </c>
      <c r="DR170" s="106">
        <f>+PMGR!DR170+BP!DR170</f>
        <v>0</v>
      </c>
      <c r="DS170" s="106">
        <f>+PMGR!DS170+BP!DS170</f>
        <v>0</v>
      </c>
      <c r="DT170" s="106">
        <f>+PMGR!DT170+BP!DT170</f>
        <v>0</v>
      </c>
      <c r="DU170" s="106">
        <f t="shared" si="822"/>
        <v>2000</v>
      </c>
      <c r="DV170" s="106"/>
      <c r="DW170" s="106">
        <f>+PMGR!DW170+BP!DW170</f>
        <v>0</v>
      </c>
      <c r="DX170" s="106">
        <f>+PMGR!DX170+BP!DX170</f>
        <v>0</v>
      </c>
      <c r="DY170" s="106">
        <f>+PMGR!DY170+BP!DY170</f>
        <v>0</v>
      </c>
      <c r="DZ170" s="106">
        <f>+PMGR!DZ170+BP!DZ170</f>
        <v>0</v>
      </c>
      <c r="EA170" s="106">
        <f>+PMGR!EA170+BP!EA170</f>
        <v>0</v>
      </c>
      <c r="EB170" s="106">
        <f>+PMGR!EB170+BP!EB170</f>
        <v>0</v>
      </c>
      <c r="EC170" s="106">
        <f>+PMGR!EC170+BP!EC170</f>
        <v>0</v>
      </c>
      <c r="ED170" s="106">
        <f>+PMGR!ED170+BP!ED170</f>
        <v>0</v>
      </c>
      <c r="EE170" s="106">
        <f>+PMGR!EE170+BP!EE170</f>
        <v>0</v>
      </c>
      <c r="EF170" s="106">
        <f>+PMGR!EF170+BP!EF170</f>
        <v>0</v>
      </c>
      <c r="EG170" s="106">
        <f>+PMGR!EG170+BP!EG170</f>
        <v>0</v>
      </c>
      <c r="EH170" s="106">
        <f>+PMGR!EH170+BP!EH170</f>
        <v>0</v>
      </c>
      <c r="EI170" s="106">
        <f t="shared" si="823"/>
        <v>0</v>
      </c>
      <c r="EJ170" s="16" t="str">
        <f t="shared" si="681"/>
        <v>Repair and Maintenance - Own Car</v>
      </c>
      <c r="EK170" s="106">
        <f>+PMGR!EK170+BP!EK170</f>
        <v>0</v>
      </c>
      <c r="EL170" s="106">
        <f>+PMGR!EL170+BP!EL170</f>
        <v>0</v>
      </c>
      <c r="EM170" s="106">
        <f>+PMGR!EM170+BP!EM170</f>
        <v>0</v>
      </c>
      <c r="EN170" s="106">
        <f>+PMGR!EN170+BP!EN170</f>
        <v>0</v>
      </c>
      <c r="EO170" s="106">
        <f>+PMGR!EO170+BP!EO170</f>
        <v>0</v>
      </c>
      <c r="EP170" s="106">
        <f>+PMGR!EP170+BP!EP170</f>
        <v>0</v>
      </c>
      <c r="EQ170" s="106">
        <f>+PMGR!EQ170+BP!EQ170</f>
        <v>0</v>
      </c>
      <c r="ER170" s="106">
        <f>+PMGR!ER170+BP!ER170</f>
        <v>0</v>
      </c>
      <c r="ES170" s="106">
        <f>+PMGR!ES170+BP!ES170</f>
        <v>0</v>
      </c>
      <c r="ET170" s="106">
        <f>+PMGR!ET170+BP!ET170</f>
        <v>0</v>
      </c>
      <c r="EU170" s="106">
        <f>+PMGR!EU170+BP!EU170</f>
        <v>0</v>
      </c>
      <c r="EV170" s="106">
        <f>+PMGR!EV170+BP!EV170</f>
        <v>0</v>
      </c>
      <c r="EW170" s="106">
        <f t="shared" si="824"/>
        <v>0</v>
      </c>
      <c r="EX170" s="118"/>
      <c r="EY170" s="106">
        <f>+PMGR!EY170+BP!EY170</f>
        <v>0</v>
      </c>
      <c r="EZ170" s="106">
        <f>+PMGR!EZ170+BP!EZ170</f>
        <v>0</v>
      </c>
      <c r="FA170" s="106">
        <f>+PMGR!FA170+BP!FA170</f>
        <v>0</v>
      </c>
      <c r="FB170" s="106">
        <f>+PMGR!FB170+BP!FB170</f>
        <v>0</v>
      </c>
      <c r="FC170" s="106">
        <f>+PMGR!FC170+BP!FC170</f>
        <v>0</v>
      </c>
      <c r="FD170" s="106">
        <f>+PMGR!FD170+BP!FD170</f>
        <v>0</v>
      </c>
      <c r="FE170" s="106">
        <f>+PMGR!FE170+BP!FE170</f>
        <v>0</v>
      </c>
      <c r="FF170" s="106">
        <f>+PMGR!FF170+BP!FF170</f>
        <v>0</v>
      </c>
      <c r="FG170" s="106">
        <f>+PMGR!FG170+BP!FG170</f>
        <v>0</v>
      </c>
      <c r="FH170" s="106">
        <f>+PMGR!FH170+BP!FH170</f>
        <v>0</v>
      </c>
      <c r="FI170" s="106">
        <f>+PMGR!FI170+BP!FI170</f>
        <v>0</v>
      </c>
      <c r="FJ170" s="106">
        <f>+PMGR!FJ170+BP!FJ170</f>
        <v>0</v>
      </c>
      <c r="FK170" s="106">
        <f t="shared" si="825"/>
        <v>0</v>
      </c>
    </row>
    <row r="171" spans="1:167" ht="14.45" hidden="1" customHeight="1" outlineLevel="2">
      <c r="A171" s="106">
        <f t="shared" si="811"/>
        <v>0</v>
      </c>
      <c r="B171" s="106">
        <f t="shared" si="811"/>
        <v>0</v>
      </c>
      <c r="C171" s="106">
        <f t="shared" si="811"/>
        <v>0</v>
      </c>
      <c r="D171" s="106">
        <f t="shared" si="811"/>
        <v>0</v>
      </c>
      <c r="E171" s="106">
        <f t="shared" si="811"/>
        <v>0</v>
      </c>
      <c r="F171" s="106">
        <f t="shared" si="811"/>
        <v>0</v>
      </c>
      <c r="G171" s="106">
        <f t="shared" si="811"/>
        <v>0</v>
      </c>
      <c r="H171" s="106">
        <f t="shared" si="811"/>
        <v>0</v>
      </c>
      <c r="I171" s="106">
        <f t="shared" si="811"/>
        <v>0</v>
      </c>
      <c r="J171" s="106">
        <f t="shared" si="811"/>
        <v>0</v>
      </c>
      <c r="K171" s="106">
        <f t="shared" si="811"/>
        <v>0</v>
      </c>
      <c r="L171" s="106">
        <f t="shared" si="811"/>
        <v>0</v>
      </c>
      <c r="M171" s="106">
        <f t="shared" si="812"/>
        <v>0</v>
      </c>
      <c r="N171" s="16" t="s">
        <v>143</v>
      </c>
      <c r="O171" s="106">
        <f t="shared" si="813"/>
        <v>0</v>
      </c>
      <c r="P171" s="106">
        <f t="shared" si="813"/>
        <v>0</v>
      </c>
      <c r="Q171" s="106">
        <f t="shared" si="813"/>
        <v>0</v>
      </c>
      <c r="R171" s="106">
        <f t="shared" si="813"/>
        <v>0</v>
      </c>
      <c r="S171" s="106">
        <f t="shared" si="813"/>
        <v>0</v>
      </c>
      <c r="T171" s="106">
        <f t="shared" si="813"/>
        <v>0</v>
      </c>
      <c r="U171" s="106">
        <f t="shared" si="813"/>
        <v>0</v>
      </c>
      <c r="V171" s="106">
        <f t="shared" si="813"/>
        <v>0</v>
      </c>
      <c r="W171" s="106">
        <f t="shared" si="813"/>
        <v>0</v>
      </c>
      <c r="X171" s="106">
        <f t="shared" si="813"/>
        <v>0</v>
      </c>
      <c r="Y171" s="106">
        <f t="shared" si="813"/>
        <v>0</v>
      </c>
      <c r="Z171" s="106">
        <f t="shared" si="813"/>
        <v>0</v>
      </c>
      <c r="AA171" s="106">
        <f t="shared" si="814"/>
        <v>0</v>
      </c>
      <c r="AB171" s="118"/>
      <c r="AC171" s="106">
        <f t="shared" si="815"/>
        <v>500</v>
      </c>
      <c r="AD171" s="106">
        <f t="shared" si="815"/>
        <v>500</v>
      </c>
      <c r="AE171" s="106">
        <f t="shared" si="815"/>
        <v>500</v>
      </c>
      <c r="AF171" s="106">
        <f t="shared" si="815"/>
        <v>500</v>
      </c>
      <c r="AG171" s="106">
        <f t="shared" si="815"/>
        <v>500</v>
      </c>
      <c r="AH171" s="106">
        <f t="shared" si="815"/>
        <v>500</v>
      </c>
      <c r="AI171" s="106">
        <f t="shared" si="815"/>
        <v>500</v>
      </c>
      <c r="AJ171" s="106">
        <f t="shared" si="815"/>
        <v>500</v>
      </c>
      <c r="AK171" s="106">
        <f t="shared" si="815"/>
        <v>500</v>
      </c>
      <c r="AL171" s="106">
        <f t="shared" si="815"/>
        <v>500</v>
      </c>
      <c r="AM171" s="106">
        <f t="shared" si="815"/>
        <v>500</v>
      </c>
      <c r="AN171" s="106">
        <f t="shared" si="815"/>
        <v>500</v>
      </c>
      <c r="AO171" s="106">
        <f t="shared" si="816"/>
        <v>6000</v>
      </c>
      <c r="AP171" s="106"/>
      <c r="AQ171" s="106">
        <f>+PMGR!AQ171+BP!AQ171</f>
        <v>0</v>
      </c>
      <c r="AR171" s="106">
        <f>+PMGR!AR171+BP!AR171</f>
        <v>0</v>
      </c>
      <c r="AS171" s="106">
        <f>+PMGR!AS171+BP!AS171</f>
        <v>0</v>
      </c>
      <c r="AT171" s="106">
        <f>+PMGR!AT171+BP!AT171</f>
        <v>0</v>
      </c>
      <c r="AU171" s="106">
        <f>+PMGR!AU171+BP!AU171</f>
        <v>0</v>
      </c>
      <c r="AV171" s="106">
        <f>+PMGR!AV171+BP!AV171</f>
        <v>0</v>
      </c>
      <c r="AW171" s="106">
        <f>+PMGR!AW171+BP!AW171</f>
        <v>0</v>
      </c>
      <c r="AX171" s="106">
        <f>+PMGR!AX171+BP!AX171</f>
        <v>0</v>
      </c>
      <c r="AY171" s="106">
        <f>+PMGR!AY171+BP!AY171</f>
        <v>0</v>
      </c>
      <c r="AZ171" s="106">
        <f>+PMGR!AZ171+BP!AZ171</f>
        <v>0</v>
      </c>
      <c r="BA171" s="106">
        <f>+PMGR!BA171+BP!BA171</f>
        <v>0</v>
      </c>
      <c r="BB171" s="106">
        <f>+PMGR!BB171+BP!BB171</f>
        <v>0</v>
      </c>
      <c r="BC171" s="106">
        <f t="shared" si="817"/>
        <v>0</v>
      </c>
      <c r="BD171" s="16" t="str">
        <f t="shared" si="671"/>
        <v>Repair and Maintenance - Pickup Vehicle</v>
      </c>
      <c r="BE171" s="106">
        <f>+PMGR!BE171+BP!BE171</f>
        <v>0</v>
      </c>
      <c r="BF171" s="106">
        <f>+PMGR!BF171+BP!BF171</f>
        <v>0</v>
      </c>
      <c r="BG171" s="106">
        <f>+PMGR!BG171+BP!BG171</f>
        <v>0</v>
      </c>
      <c r="BH171" s="106">
        <f>+PMGR!BH171+BP!BH171</f>
        <v>0</v>
      </c>
      <c r="BI171" s="106">
        <f>+PMGR!BI171+BP!BI171</f>
        <v>0</v>
      </c>
      <c r="BJ171" s="106">
        <f>+PMGR!BJ171+BP!BJ171</f>
        <v>0</v>
      </c>
      <c r="BK171" s="106">
        <f>+PMGR!BK171+BP!BK171</f>
        <v>0</v>
      </c>
      <c r="BL171" s="106">
        <f>+PMGR!BL171+BP!BL171</f>
        <v>0</v>
      </c>
      <c r="BM171" s="106">
        <f>+PMGR!BM171+BP!BM171</f>
        <v>0</v>
      </c>
      <c r="BN171" s="106">
        <f>+PMGR!BN171+BP!BN171</f>
        <v>0</v>
      </c>
      <c r="BO171" s="106">
        <f>+PMGR!BO171+BP!BO171</f>
        <v>0</v>
      </c>
      <c r="BP171" s="106">
        <f>+PMGR!BP171+BP!BP171</f>
        <v>0</v>
      </c>
      <c r="BQ171" s="106">
        <f t="shared" si="818"/>
        <v>0</v>
      </c>
      <c r="BR171" s="118"/>
      <c r="BS171" s="106">
        <f>+PMGR!BS171+BP!BS171</f>
        <v>0</v>
      </c>
      <c r="BT171" s="106">
        <f>+PMGR!BT171+BP!BT171</f>
        <v>0</v>
      </c>
      <c r="BU171" s="106">
        <f>+PMGR!BU171+BP!BU171</f>
        <v>0</v>
      </c>
      <c r="BV171" s="106">
        <f>+PMGR!BV171+BP!BV171</f>
        <v>0</v>
      </c>
      <c r="BW171" s="106">
        <f>+PMGR!BW171+BP!BW171</f>
        <v>0</v>
      </c>
      <c r="BX171" s="106">
        <f>+PMGR!BX171+BP!BX171</f>
        <v>0</v>
      </c>
      <c r="BY171" s="106">
        <f>+PMGR!BY171+BP!BY171</f>
        <v>0</v>
      </c>
      <c r="BZ171" s="106">
        <f>+PMGR!BZ171+BP!BZ171</f>
        <v>0</v>
      </c>
      <c r="CA171" s="106">
        <f>+PMGR!CA171+BP!CA171</f>
        <v>0</v>
      </c>
      <c r="CB171" s="106">
        <f>+PMGR!CB171+BP!CB171</f>
        <v>0</v>
      </c>
      <c r="CC171" s="106">
        <f>+PMGR!CC171+BP!CC171</f>
        <v>0</v>
      </c>
      <c r="CD171" s="106">
        <f>+PMGR!CD171+BP!CD171</f>
        <v>0</v>
      </c>
      <c r="CE171" s="106">
        <f t="shared" si="819"/>
        <v>0</v>
      </c>
      <c r="CF171" s="106"/>
      <c r="CG171" s="106">
        <f>+PMGR!CG171+BP!CG171</f>
        <v>0</v>
      </c>
      <c r="CH171" s="106">
        <f>+PMGR!CH171+BP!CH171</f>
        <v>0</v>
      </c>
      <c r="CI171" s="106">
        <f>+PMGR!CI171+BP!CI171</f>
        <v>0</v>
      </c>
      <c r="CJ171" s="106">
        <f>+PMGR!CJ171+BP!CJ171</f>
        <v>0</v>
      </c>
      <c r="CK171" s="106">
        <f>+PMGR!CK171+BP!CK171</f>
        <v>0</v>
      </c>
      <c r="CL171" s="106">
        <f>+PMGR!CL171+BP!CL171</f>
        <v>0</v>
      </c>
      <c r="CM171" s="106">
        <f>+PMGR!CM171+BP!CM171</f>
        <v>0</v>
      </c>
      <c r="CN171" s="106">
        <f>+PMGR!CN171+BP!CN171</f>
        <v>0</v>
      </c>
      <c r="CO171" s="106">
        <f>+PMGR!CO171+BP!CO171</f>
        <v>0</v>
      </c>
      <c r="CP171" s="106">
        <f>+PMGR!CP171+BP!CP171</f>
        <v>0</v>
      </c>
      <c r="CQ171" s="106">
        <f>+PMGR!CQ171+BP!CQ171</f>
        <v>0</v>
      </c>
      <c r="CR171" s="106">
        <f>+PMGR!CR171+BP!CR171</f>
        <v>0</v>
      </c>
      <c r="CS171" s="106">
        <f t="shared" si="820"/>
        <v>0</v>
      </c>
      <c r="CT171" s="16" t="str">
        <f t="shared" si="675"/>
        <v>Repair and Maintenance - Pickup Vehicle</v>
      </c>
      <c r="CU171" s="106">
        <f>+PMGR!CU171+BP!CU171</f>
        <v>0</v>
      </c>
      <c r="CV171" s="106">
        <f>+PMGR!CV171+BP!CV171</f>
        <v>0</v>
      </c>
      <c r="CW171" s="106">
        <f>+PMGR!CW171+BP!CW171</f>
        <v>0</v>
      </c>
      <c r="CX171" s="106">
        <f>+PMGR!CX171+BP!CX171</f>
        <v>0</v>
      </c>
      <c r="CY171" s="106">
        <f>+PMGR!CY171+BP!CY171</f>
        <v>0</v>
      </c>
      <c r="CZ171" s="106">
        <f>+PMGR!CZ171+BP!CZ171</f>
        <v>0</v>
      </c>
      <c r="DA171" s="106">
        <f>+PMGR!DA171+BP!DA171</f>
        <v>0</v>
      </c>
      <c r="DB171" s="106">
        <f>+PMGR!DB171+BP!DB171</f>
        <v>0</v>
      </c>
      <c r="DC171" s="106">
        <f>+PMGR!DC171+BP!DC171</f>
        <v>0</v>
      </c>
      <c r="DD171" s="106">
        <f>+PMGR!DD171+BP!DD171</f>
        <v>0</v>
      </c>
      <c r="DE171" s="106">
        <f>+PMGR!DE171+BP!DE171</f>
        <v>0</v>
      </c>
      <c r="DF171" s="106">
        <f>+PMGR!DF171+BP!DF171</f>
        <v>0</v>
      </c>
      <c r="DG171" s="106">
        <f t="shared" si="821"/>
        <v>0</v>
      </c>
      <c r="DH171" s="118"/>
      <c r="DI171" s="106">
        <f>+PMGR!DI171+BP!DI171</f>
        <v>0</v>
      </c>
      <c r="DJ171" s="106">
        <f>+PMGR!DJ171+BP!DJ171</f>
        <v>0</v>
      </c>
      <c r="DK171" s="106">
        <f>+PMGR!DK171+BP!DK171</f>
        <v>0</v>
      </c>
      <c r="DL171" s="106">
        <f>+PMGR!DL171+BP!DL171</f>
        <v>0</v>
      </c>
      <c r="DM171" s="106">
        <f>+PMGR!DM171+BP!DM171</f>
        <v>0</v>
      </c>
      <c r="DN171" s="106">
        <f>+PMGR!DN171+BP!DN171</f>
        <v>0</v>
      </c>
      <c r="DO171" s="106">
        <f>+PMGR!DO171+BP!DO171</f>
        <v>0</v>
      </c>
      <c r="DP171" s="106">
        <f>+PMGR!DP171+BP!DP171</f>
        <v>0</v>
      </c>
      <c r="DQ171" s="106">
        <f>+PMGR!DQ171+BP!DQ171</f>
        <v>0</v>
      </c>
      <c r="DR171" s="106">
        <f>+PMGR!DR171+BP!DR171</f>
        <v>0</v>
      </c>
      <c r="DS171" s="106">
        <f>+PMGR!DS171+BP!DS171</f>
        <v>0</v>
      </c>
      <c r="DT171" s="106">
        <f>+PMGR!DT171+BP!DT171</f>
        <v>0</v>
      </c>
      <c r="DU171" s="106">
        <f t="shared" si="822"/>
        <v>0</v>
      </c>
      <c r="DV171" s="106"/>
      <c r="DW171" s="106">
        <f>+PMGR!DW171+BP!DW171</f>
        <v>0</v>
      </c>
      <c r="DX171" s="106">
        <f>+PMGR!DX171+BP!DX171</f>
        <v>0</v>
      </c>
      <c r="DY171" s="106">
        <f>+PMGR!DY171+BP!DY171</f>
        <v>0</v>
      </c>
      <c r="DZ171" s="106">
        <f>+PMGR!DZ171+BP!DZ171</f>
        <v>0</v>
      </c>
      <c r="EA171" s="106">
        <f>+PMGR!EA171+BP!EA171</f>
        <v>0</v>
      </c>
      <c r="EB171" s="106">
        <f>+PMGR!EB171+BP!EB171</f>
        <v>0</v>
      </c>
      <c r="EC171" s="106">
        <f>+PMGR!EC171+BP!EC171</f>
        <v>0</v>
      </c>
      <c r="ED171" s="106">
        <f>+PMGR!ED171+BP!ED171</f>
        <v>0</v>
      </c>
      <c r="EE171" s="106">
        <f>+PMGR!EE171+BP!EE171</f>
        <v>0</v>
      </c>
      <c r="EF171" s="106">
        <f>+PMGR!EF171+BP!EF171</f>
        <v>0</v>
      </c>
      <c r="EG171" s="106">
        <f>+PMGR!EG171+BP!EG171</f>
        <v>0</v>
      </c>
      <c r="EH171" s="106">
        <f>+PMGR!EH171+BP!EH171</f>
        <v>0</v>
      </c>
      <c r="EI171" s="106">
        <f t="shared" si="823"/>
        <v>0</v>
      </c>
      <c r="EJ171" s="16" t="str">
        <f t="shared" si="681"/>
        <v>Repair and Maintenance - Pickup Vehicle</v>
      </c>
      <c r="EK171" s="106">
        <f>+PMGR!EK171+BP!EK171</f>
        <v>0</v>
      </c>
      <c r="EL171" s="106">
        <f>+PMGR!EL171+BP!EL171</f>
        <v>0</v>
      </c>
      <c r="EM171" s="106">
        <f>+PMGR!EM171+BP!EM171</f>
        <v>0</v>
      </c>
      <c r="EN171" s="106">
        <f>+PMGR!EN171+BP!EN171</f>
        <v>0</v>
      </c>
      <c r="EO171" s="106">
        <f>+PMGR!EO171+BP!EO171</f>
        <v>0</v>
      </c>
      <c r="EP171" s="106">
        <f>+PMGR!EP171+BP!EP171</f>
        <v>0</v>
      </c>
      <c r="EQ171" s="106">
        <f>+PMGR!EQ171+BP!EQ171</f>
        <v>0</v>
      </c>
      <c r="ER171" s="106">
        <f>+PMGR!ER171+BP!ER171</f>
        <v>0</v>
      </c>
      <c r="ES171" s="106">
        <f>+PMGR!ES171+BP!ES171</f>
        <v>0</v>
      </c>
      <c r="ET171" s="106">
        <f>+PMGR!ET171+BP!ET171</f>
        <v>0</v>
      </c>
      <c r="EU171" s="106">
        <f>+PMGR!EU171+BP!EU171</f>
        <v>0</v>
      </c>
      <c r="EV171" s="106">
        <f>+PMGR!EV171+BP!EV171</f>
        <v>0</v>
      </c>
      <c r="EW171" s="106">
        <f t="shared" si="824"/>
        <v>0</v>
      </c>
      <c r="EX171" s="118"/>
      <c r="EY171" s="106">
        <f>+PMGR!EY171+BP!EY171</f>
        <v>500</v>
      </c>
      <c r="EZ171" s="106">
        <f>+PMGR!EZ171+BP!EZ171</f>
        <v>500</v>
      </c>
      <c r="FA171" s="106">
        <f>+PMGR!FA171+BP!FA171</f>
        <v>500</v>
      </c>
      <c r="FB171" s="106">
        <f>+PMGR!FB171+BP!FB171</f>
        <v>500</v>
      </c>
      <c r="FC171" s="106">
        <f>+PMGR!FC171+BP!FC171</f>
        <v>500</v>
      </c>
      <c r="FD171" s="106">
        <f>+PMGR!FD171+BP!FD171</f>
        <v>500</v>
      </c>
      <c r="FE171" s="106">
        <f>+PMGR!FE171+BP!FE171</f>
        <v>500</v>
      </c>
      <c r="FF171" s="106">
        <f>+PMGR!FF171+BP!FF171</f>
        <v>500</v>
      </c>
      <c r="FG171" s="106">
        <f>+PMGR!FG171+BP!FG171</f>
        <v>500</v>
      </c>
      <c r="FH171" s="106">
        <f>+PMGR!FH171+BP!FH171</f>
        <v>500</v>
      </c>
      <c r="FI171" s="106">
        <f>+PMGR!FI171+BP!FI171</f>
        <v>500</v>
      </c>
      <c r="FJ171" s="106">
        <f>+PMGR!FJ171+BP!FJ171</f>
        <v>500</v>
      </c>
      <c r="FK171" s="106">
        <f t="shared" si="825"/>
        <v>6000</v>
      </c>
    </row>
    <row r="172" spans="1:167" ht="14.45" customHeight="1" outlineLevel="1" collapsed="1">
      <c r="A172" s="58">
        <f t="shared" ref="A172:L172" si="826">+SUM(A173:A177)</f>
        <v>234180.72849999968</v>
      </c>
      <c r="B172" s="58">
        <f t="shared" si="826"/>
        <v>234095.52999999968</v>
      </c>
      <c r="C172" s="58">
        <f t="shared" si="826"/>
        <v>229248.85449999967</v>
      </c>
      <c r="D172" s="58">
        <f t="shared" si="826"/>
        <v>246666</v>
      </c>
      <c r="E172" s="58">
        <f t="shared" si="826"/>
        <v>246666</v>
      </c>
      <c r="F172" s="58">
        <f t="shared" si="826"/>
        <v>246666</v>
      </c>
      <c r="G172" s="58">
        <f t="shared" si="826"/>
        <v>246666</v>
      </c>
      <c r="H172" s="58">
        <f t="shared" si="826"/>
        <v>246666</v>
      </c>
      <c r="I172" s="58">
        <f t="shared" si="826"/>
        <v>246666.14850000001</v>
      </c>
      <c r="J172" s="58">
        <f t="shared" si="826"/>
        <v>278527</v>
      </c>
      <c r="K172" s="58">
        <f t="shared" si="826"/>
        <v>245781.174</v>
      </c>
      <c r="L172" s="58">
        <f t="shared" si="826"/>
        <v>245153.28</v>
      </c>
      <c r="M172" s="58"/>
      <c r="N172" s="20" t="s">
        <v>144</v>
      </c>
      <c r="O172" s="58">
        <f t="shared" ref="O172:AA172" si="827">+SUM(O173:O177)</f>
        <v>242727.33</v>
      </c>
      <c r="P172" s="58">
        <f t="shared" si="827"/>
        <v>242727.33</v>
      </c>
      <c r="Q172" s="58">
        <f t="shared" si="827"/>
        <v>242907.6385</v>
      </c>
      <c r="R172" s="58">
        <f t="shared" si="827"/>
        <v>242727.6385</v>
      </c>
      <c r="S172" s="58">
        <f t="shared" si="827"/>
        <v>510012.45850000001</v>
      </c>
      <c r="T172" s="58">
        <f t="shared" si="827"/>
        <v>426127.68849999999</v>
      </c>
      <c r="U172" s="58">
        <f t="shared" si="827"/>
        <v>409545.20433333336</v>
      </c>
      <c r="V172" s="58">
        <f t="shared" si="827"/>
        <v>393402.5515</v>
      </c>
      <c r="W172" s="58">
        <f t="shared" si="827"/>
        <v>423402.7</v>
      </c>
      <c r="X172" s="58">
        <f t="shared" si="827"/>
        <v>393402.7</v>
      </c>
      <c r="Y172" s="58">
        <f t="shared" si="827"/>
        <v>0</v>
      </c>
      <c r="Z172" s="58">
        <f t="shared" si="827"/>
        <v>0</v>
      </c>
      <c r="AA172" s="58">
        <f t="shared" si="827"/>
        <v>3526983.2398333335</v>
      </c>
      <c r="AB172" s="118"/>
      <c r="AC172" s="58">
        <f t="shared" ref="AC172:AN172" si="828">+SUM(AC173:AC177)</f>
        <v>489855</v>
      </c>
      <c r="AD172" s="58">
        <f t="shared" si="828"/>
        <v>489855</v>
      </c>
      <c r="AE172" s="58">
        <f t="shared" si="828"/>
        <v>489855</v>
      </c>
      <c r="AF172" s="58">
        <f t="shared" si="828"/>
        <v>489855</v>
      </c>
      <c r="AG172" s="58">
        <f t="shared" si="828"/>
        <v>489855</v>
      </c>
      <c r="AH172" s="58">
        <f t="shared" si="828"/>
        <v>489855</v>
      </c>
      <c r="AI172" s="58">
        <f t="shared" si="828"/>
        <v>489855</v>
      </c>
      <c r="AJ172" s="58">
        <f t="shared" si="828"/>
        <v>489855</v>
      </c>
      <c r="AK172" s="58">
        <f t="shared" si="828"/>
        <v>489855</v>
      </c>
      <c r="AL172" s="58">
        <f t="shared" si="828"/>
        <v>489855</v>
      </c>
      <c r="AM172" s="58">
        <f t="shared" si="828"/>
        <v>489855</v>
      </c>
      <c r="AN172" s="58">
        <f t="shared" si="828"/>
        <v>489855</v>
      </c>
      <c r="AO172" s="58"/>
      <c r="AP172" s="106"/>
      <c r="AQ172" s="58">
        <f t="shared" ref="AQ172:BC172" si="829">+SUM(AQ173:AQ177)</f>
        <v>152014.51699999979</v>
      </c>
      <c r="AR172" s="58">
        <f t="shared" si="829"/>
        <v>151957.71799999979</v>
      </c>
      <c r="AS172" s="58">
        <f t="shared" si="829"/>
        <v>148726.60099999979</v>
      </c>
      <c r="AT172" s="58">
        <f t="shared" si="829"/>
        <v>159504</v>
      </c>
      <c r="AU172" s="58">
        <f t="shared" si="829"/>
        <v>159504</v>
      </c>
      <c r="AV172" s="58">
        <f t="shared" si="829"/>
        <v>159504</v>
      </c>
      <c r="AW172" s="58">
        <f t="shared" si="829"/>
        <v>159504</v>
      </c>
      <c r="AX172" s="58">
        <f t="shared" si="829"/>
        <v>159504</v>
      </c>
      <c r="AY172" s="58">
        <f t="shared" si="829"/>
        <v>159504.09899999999</v>
      </c>
      <c r="AZ172" s="58">
        <f t="shared" si="829"/>
        <v>191365</v>
      </c>
      <c r="BA172" s="58">
        <f t="shared" si="829"/>
        <v>158914.11600000001</v>
      </c>
      <c r="BB172" s="58">
        <f t="shared" si="829"/>
        <v>158495.57999999999</v>
      </c>
      <c r="BC172" s="58">
        <f t="shared" si="829"/>
        <v>1918497.6309999994</v>
      </c>
      <c r="BD172" s="20" t="str">
        <f t="shared" si="671"/>
        <v>System Updation charge -Mercedes</v>
      </c>
      <c r="BE172" s="58">
        <f t="shared" ref="BE172:BQ172" si="830">+SUM(BE173:BE177)</f>
        <v>157110.48000000001</v>
      </c>
      <c r="BF172" s="58">
        <f t="shared" si="830"/>
        <v>222355.28</v>
      </c>
      <c r="BG172" s="58">
        <f t="shared" si="830"/>
        <v>222535.75899999999</v>
      </c>
      <c r="BH172" s="58">
        <f t="shared" si="830"/>
        <v>222355.75899999999</v>
      </c>
      <c r="BI172" s="58">
        <f t="shared" si="830"/>
        <v>390006.57900000003</v>
      </c>
      <c r="BJ172" s="58">
        <f t="shared" si="830"/>
        <v>235297.959</v>
      </c>
      <c r="BK172" s="58">
        <f t="shared" si="830"/>
        <v>224242.96955555561</v>
      </c>
      <c r="BL172" s="58">
        <f t="shared" si="830"/>
        <v>214531.701</v>
      </c>
      <c r="BM172" s="58">
        <f t="shared" si="830"/>
        <v>244531.8</v>
      </c>
      <c r="BN172" s="58">
        <f t="shared" si="830"/>
        <v>214531.8</v>
      </c>
      <c r="BO172" s="58">
        <f t="shared" si="830"/>
        <v>0</v>
      </c>
      <c r="BP172" s="58">
        <f t="shared" si="830"/>
        <v>0</v>
      </c>
      <c r="BQ172" s="58">
        <f t="shared" si="830"/>
        <v>2347500.0865555559</v>
      </c>
      <c r="BR172" s="118"/>
      <c r="BS172" s="58">
        <f t="shared" ref="BS172:CE172" si="831">+SUM(BS173:BS177)</f>
        <v>269500</v>
      </c>
      <c r="BT172" s="58">
        <f t="shared" si="831"/>
        <v>269500</v>
      </c>
      <c r="BU172" s="58">
        <f t="shared" si="831"/>
        <v>269500</v>
      </c>
      <c r="BV172" s="58">
        <f t="shared" si="831"/>
        <v>269500</v>
      </c>
      <c r="BW172" s="58">
        <f t="shared" si="831"/>
        <v>269500</v>
      </c>
      <c r="BX172" s="58">
        <f t="shared" si="831"/>
        <v>269500</v>
      </c>
      <c r="BY172" s="58">
        <f t="shared" si="831"/>
        <v>269500</v>
      </c>
      <c r="BZ172" s="58">
        <f t="shared" si="831"/>
        <v>269500</v>
      </c>
      <c r="CA172" s="58">
        <f t="shared" si="831"/>
        <v>269500</v>
      </c>
      <c r="CB172" s="58">
        <f t="shared" si="831"/>
        <v>269500</v>
      </c>
      <c r="CC172" s="58">
        <f t="shared" si="831"/>
        <v>269500</v>
      </c>
      <c r="CD172" s="58">
        <f t="shared" si="831"/>
        <v>269500</v>
      </c>
      <c r="CE172" s="58">
        <f t="shared" si="831"/>
        <v>3234000</v>
      </c>
      <c r="CF172" s="106"/>
      <c r="CG172" s="58">
        <f t="shared" ref="CG172:CS172" si="832">+SUM(CG173:CG177)</f>
        <v>82166.211499999874</v>
      </c>
      <c r="CH172" s="58">
        <f t="shared" si="832"/>
        <v>82137.811999999874</v>
      </c>
      <c r="CI172" s="58">
        <f t="shared" si="832"/>
        <v>80522.253499999875</v>
      </c>
      <c r="CJ172" s="58">
        <f t="shared" si="832"/>
        <v>87162</v>
      </c>
      <c r="CK172" s="58">
        <f t="shared" si="832"/>
        <v>87162</v>
      </c>
      <c r="CL172" s="58">
        <f t="shared" si="832"/>
        <v>87162</v>
      </c>
      <c r="CM172" s="58">
        <f t="shared" si="832"/>
        <v>87162</v>
      </c>
      <c r="CN172" s="58">
        <f t="shared" si="832"/>
        <v>87162</v>
      </c>
      <c r="CO172" s="58">
        <f t="shared" si="832"/>
        <v>87162.049499999994</v>
      </c>
      <c r="CP172" s="58">
        <f t="shared" si="832"/>
        <v>87162</v>
      </c>
      <c r="CQ172" s="58">
        <f t="shared" si="832"/>
        <v>86867.058000000005</v>
      </c>
      <c r="CR172" s="58">
        <f t="shared" si="832"/>
        <v>86657.7</v>
      </c>
      <c r="CS172" s="58">
        <f t="shared" si="832"/>
        <v>1028485.0844999998</v>
      </c>
      <c r="CT172" s="20" t="str">
        <f t="shared" si="675"/>
        <v>System Updation charge -Mercedes</v>
      </c>
      <c r="CU172" s="58">
        <f t="shared" ref="CU172:DG172" si="833">+SUM(CU173:CU177)</f>
        <v>85616.85</v>
      </c>
      <c r="CV172" s="58">
        <f t="shared" si="833"/>
        <v>20372.05</v>
      </c>
      <c r="CW172" s="58">
        <f t="shared" si="833"/>
        <v>20371.879499999999</v>
      </c>
      <c r="CX172" s="58">
        <f t="shared" si="833"/>
        <v>20371.879499999999</v>
      </c>
      <c r="CY172" s="58">
        <f t="shared" si="833"/>
        <v>120005.8795</v>
      </c>
      <c r="CZ172" s="58">
        <f t="shared" si="833"/>
        <v>124885.1295</v>
      </c>
      <c r="DA172" s="58">
        <f t="shared" si="833"/>
        <v>119357.63477777777</v>
      </c>
      <c r="DB172" s="58">
        <f t="shared" si="833"/>
        <v>123870.8505</v>
      </c>
      <c r="DC172" s="58">
        <f t="shared" si="833"/>
        <v>123870.9</v>
      </c>
      <c r="DD172" s="58">
        <f t="shared" si="833"/>
        <v>123870.9</v>
      </c>
      <c r="DE172" s="58">
        <f t="shared" si="833"/>
        <v>0</v>
      </c>
      <c r="DF172" s="58">
        <f t="shared" si="833"/>
        <v>0</v>
      </c>
      <c r="DG172" s="58">
        <f t="shared" si="833"/>
        <v>882593.95327777776</v>
      </c>
      <c r="DH172" s="118"/>
      <c r="DI172" s="58">
        <f t="shared" ref="DI172:DU172" si="834">+SUM(DI173:DI177)</f>
        <v>145355</v>
      </c>
      <c r="DJ172" s="58">
        <f t="shared" si="834"/>
        <v>145355</v>
      </c>
      <c r="DK172" s="58">
        <f t="shared" si="834"/>
        <v>145355</v>
      </c>
      <c r="DL172" s="58">
        <f t="shared" si="834"/>
        <v>145355</v>
      </c>
      <c r="DM172" s="58">
        <f t="shared" si="834"/>
        <v>145355</v>
      </c>
      <c r="DN172" s="58">
        <f t="shared" si="834"/>
        <v>145355</v>
      </c>
      <c r="DO172" s="58">
        <f t="shared" si="834"/>
        <v>145355</v>
      </c>
      <c r="DP172" s="58">
        <f t="shared" si="834"/>
        <v>145355</v>
      </c>
      <c r="DQ172" s="58">
        <f t="shared" si="834"/>
        <v>145355</v>
      </c>
      <c r="DR172" s="58">
        <f t="shared" si="834"/>
        <v>145355</v>
      </c>
      <c r="DS172" s="58">
        <f t="shared" si="834"/>
        <v>145355</v>
      </c>
      <c r="DT172" s="58">
        <f t="shared" si="834"/>
        <v>145355</v>
      </c>
      <c r="DU172" s="58">
        <f t="shared" si="834"/>
        <v>1744260</v>
      </c>
      <c r="DV172" s="106"/>
      <c r="DW172" s="58">
        <f t="shared" ref="DW172:EI172" si="835">+SUM(DW173:DW177)</f>
        <v>0</v>
      </c>
      <c r="DX172" s="58">
        <f t="shared" si="835"/>
        <v>0</v>
      </c>
      <c r="DY172" s="58">
        <f t="shared" si="835"/>
        <v>0</v>
      </c>
      <c r="DZ172" s="58">
        <f t="shared" si="835"/>
        <v>0</v>
      </c>
      <c r="EA172" s="58">
        <f t="shared" si="835"/>
        <v>0</v>
      </c>
      <c r="EB172" s="58">
        <f t="shared" si="835"/>
        <v>0</v>
      </c>
      <c r="EC172" s="58">
        <f t="shared" si="835"/>
        <v>0</v>
      </c>
      <c r="ED172" s="58">
        <f t="shared" si="835"/>
        <v>0</v>
      </c>
      <c r="EE172" s="58">
        <f t="shared" si="835"/>
        <v>0</v>
      </c>
      <c r="EF172" s="58">
        <f t="shared" si="835"/>
        <v>0</v>
      </c>
      <c r="EG172" s="58">
        <f t="shared" si="835"/>
        <v>0</v>
      </c>
      <c r="EH172" s="58">
        <f t="shared" si="835"/>
        <v>0</v>
      </c>
      <c r="EI172" s="58">
        <f t="shared" si="835"/>
        <v>0</v>
      </c>
      <c r="EJ172" s="20" t="str">
        <f t="shared" si="681"/>
        <v>System Updation charge -Mercedes</v>
      </c>
      <c r="EK172" s="58">
        <f t="shared" ref="EK172:EW172" si="836">+SUM(EK173:EK177)</f>
        <v>0</v>
      </c>
      <c r="EL172" s="58">
        <f t="shared" si="836"/>
        <v>0</v>
      </c>
      <c r="EM172" s="58">
        <f t="shared" si="836"/>
        <v>0</v>
      </c>
      <c r="EN172" s="58">
        <f t="shared" si="836"/>
        <v>0</v>
      </c>
      <c r="EO172" s="58">
        <f t="shared" si="836"/>
        <v>0</v>
      </c>
      <c r="EP172" s="58">
        <f t="shared" si="836"/>
        <v>65944.600000000006</v>
      </c>
      <c r="EQ172" s="58">
        <f t="shared" si="836"/>
        <v>65944.600000000006</v>
      </c>
      <c r="ER172" s="58">
        <f t="shared" si="836"/>
        <v>55000</v>
      </c>
      <c r="ES172" s="58">
        <f t="shared" si="836"/>
        <v>55000</v>
      </c>
      <c r="ET172" s="58">
        <f t="shared" si="836"/>
        <v>55000</v>
      </c>
      <c r="EU172" s="58">
        <f t="shared" si="836"/>
        <v>0</v>
      </c>
      <c r="EV172" s="58">
        <f t="shared" si="836"/>
        <v>0</v>
      </c>
      <c r="EW172" s="58">
        <f t="shared" si="836"/>
        <v>296889.2</v>
      </c>
      <c r="EX172" s="118"/>
      <c r="EY172" s="58">
        <f t="shared" ref="EY172:FK172" si="837">+SUM(EY173:EY177)</f>
        <v>75000</v>
      </c>
      <c r="EZ172" s="58">
        <f t="shared" si="837"/>
        <v>75000</v>
      </c>
      <c r="FA172" s="58">
        <f t="shared" si="837"/>
        <v>75000</v>
      </c>
      <c r="FB172" s="58">
        <f t="shared" si="837"/>
        <v>75000</v>
      </c>
      <c r="FC172" s="58">
        <f t="shared" si="837"/>
        <v>75000</v>
      </c>
      <c r="FD172" s="58">
        <f t="shared" si="837"/>
        <v>75000</v>
      </c>
      <c r="FE172" s="58">
        <f t="shared" si="837"/>
        <v>75000</v>
      </c>
      <c r="FF172" s="58">
        <f t="shared" si="837"/>
        <v>75000</v>
      </c>
      <c r="FG172" s="58">
        <f t="shared" si="837"/>
        <v>75000</v>
      </c>
      <c r="FH172" s="58">
        <f t="shared" si="837"/>
        <v>75000</v>
      </c>
      <c r="FI172" s="58">
        <f t="shared" si="837"/>
        <v>75000</v>
      </c>
      <c r="FJ172" s="58">
        <f t="shared" si="837"/>
        <v>75000</v>
      </c>
      <c r="FK172" s="58">
        <f t="shared" si="837"/>
        <v>900000</v>
      </c>
    </row>
    <row r="173" spans="1:167" ht="14.45" hidden="1" customHeight="1" outlineLevel="2">
      <c r="A173" s="106">
        <f t="shared" ref="A173:L177" si="838">+AQ173+CG173+DW173</f>
        <v>72500</v>
      </c>
      <c r="B173" s="106">
        <f t="shared" si="838"/>
        <v>72500</v>
      </c>
      <c r="C173" s="106">
        <f t="shared" si="838"/>
        <v>72500</v>
      </c>
      <c r="D173" s="106">
        <f t="shared" si="838"/>
        <v>72500</v>
      </c>
      <c r="E173" s="106">
        <f t="shared" si="838"/>
        <v>72500</v>
      </c>
      <c r="F173" s="106">
        <f t="shared" si="838"/>
        <v>72500</v>
      </c>
      <c r="G173" s="106">
        <f t="shared" si="838"/>
        <v>72500</v>
      </c>
      <c r="H173" s="106">
        <f t="shared" si="838"/>
        <v>72500</v>
      </c>
      <c r="I173" s="106">
        <f t="shared" si="838"/>
        <v>72500</v>
      </c>
      <c r="J173" s="106">
        <f t="shared" si="838"/>
        <v>72500</v>
      </c>
      <c r="K173" s="106">
        <f t="shared" si="838"/>
        <v>72500</v>
      </c>
      <c r="L173" s="106">
        <f t="shared" si="838"/>
        <v>72500</v>
      </c>
      <c r="M173" s="106">
        <f t="shared" ref="M173:M177" si="839">+SUM(A173:L173)</f>
        <v>870000</v>
      </c>
      <c r="N173" s="16" t="s">
        <v>145</v>
      </c>
      <c r="O173" s="106">
        <f t="shared" ref="O173:Z177" si="840">+BE173+CU173+EK173</f>
        <v>72500</v>
      </c>
      <c r="P173" s="106">
        <f t="shared" si="840"/>
        <v>72500</v>
      </c>
      <c r="Q173" s="106">
        <f t="shared" si="840"/>
        <v>72500</v>
      </c>
      <c r="R173" s="106">
        <f t="shared" si="840"/>
        <v>72500</v>
      </c>
      <c r="S173" s="106">
        <f t="shared" si="840"/>
        <v>72500</v>
      </c>
      <c r="T173" s="106">
        <f t="shared" si="840"/>
        <v>72500</v>
      </c>
      <c r="U173" s="106">
        <f t="shared" si="840"/>
        <v>72500</v>
      </c>
      <c r="V173" s="106">
        <f t="shared" si="840"/>
        <v>72500</v>
      </c>
      <c r="W173" s="106">
        <f t="shared" si="840"/>
        <v>72500</v>
      </c>
      <c r="X173" s="106">
        <f t="shared" si="840"/>
        <v>72500</v>
      </c>
      <c r="Y173" s="106">
        <f t="shared" si="840"/>
        <v>0</v>
      </c>
      <c r="Z173" s="106">
        <f t="shared" si="840"/>
        <v>0</v>
      </c>
      <c r="AA173" s="106">
        <f t="shared" ref="AA173:AA177" si="841">+SUM(O173:Z173)</f>
        <v>725000</v>
      </c>
      <c r="AB173" s="118"/>
      <c r="AC173" s="106">
        <f t="shared" ref="AC173:AN177" si="842">+BS173+DI173+EY173</f>
        <v>72500</v>
      </c>
      <c r="AD173" s="106">
        <f t="shared" si="842"/>
        <v>72500</v>
      </c>
      <c r="AE173" s="106">
        <f t="shared" si="842"/>
        <v>72500</v>
      </c>
      <c r="AF173" s="106">
        <f t="shared" si="842"/>
        <v>72500</v>
      </c>
      <c r="AG173" s="106">
        <f t="shared" si="842"/>
        <v>72500</v>
      </c>
      <c r="AH173" s="106">
        <f t="shared" si="842"/>
        <v>72500</v>
      </c>
      <c r="AI173" s="106">
        <f t="shared" si="842"/>
        <v>72500</v>
      </c>
      <c r="AJ173" s="106">
        <f t="shared" si="842"/>
        <v>72500</v>
      </c>
      <c r="AK173" s="106">
        <f t="shared" si="842"/>
        <v>72500</v>
      </c>
      <c r="AL173" s="106">
        <f t="shared" si="842"/>
        <v>72500</v>
      </c>
      <c r="AM173" s="106">
        <f t="shared" si="842"/>
        <v>72500</v>
      </c>
      <c r="AN173" s="106">
        <f t="shared" si="842"/>
        <v>72500</v>
      </c>
      <c r="AO173" s="106">
        <f t="shared" ref="AO173:AO177" si="843">+SUM(AC173:AN173)</f>
        <v>870000</v>
      </c>
      <c r="AP173" s="106"/>
      <c r="AQ173" s="106">
        <f>+PMGR!AQ173+BP!AQ173</f>
        <v>54500</v>
      </c>
      <c r="AR173" s="106">
        <f>+PMGR!AR173+BP!AR173</f>
        <v>54500</v>
      </c>
      <c r="AS173" s="106">
        <f>+PMGR!AS173+BP!AS173</f>
        <v>54500</v>
      </c>
      <c r="AT173" s="106">
        <f>+PMGR!AT173+BP!AT173</f>
        <v>54500</v>
      </c>
      <c r="AU173" s="106">
        <f>+PMGR!AU173+BP!AU173</f>
        <v>54500</v>
      </c>
      <c r="AV173" s="106">
        <f>+PMGR!AV173+BP!AV173</f>
        <v>54500</v>
      </c>
      <c r="AW173" s="106">
        <f>+PMGR!AW173+BP!AW173</f>
        <v>54500</v>
      </c>
      <c r="AX173" s="106">
        <f>+PMGR!AX173+BP!AX173</f>
        <v>54500</v>
      </c>
      <c r="AY173" s="106">
        <f>+PMGR!AY173+BP!AY173</f>
        <v>54500</v>
      </c>
      <c r="AZ173" s="106">
        <f>+PMGR!AZ173+BP!AZ173</f>
        <v>54500</v>
      </c>
      <c r="BA173" s="106">
        <f>+PMGR!BA173+BP!BA173</f>
        <v>54500</v>
      </c>
      <c r="BB173" s="106">
        <f>+PMGR!BB173+BP!BB173</f>
        <v>54500</v>
      </c>
      <c r="BC173" s="106">
        <f t="shared" ref="BC173:BC177" si="844">+SUM(AQ173:BB173)</f>
        <v>654000</v>
      </c>
      <c r="BD173" s="16" t="str">
        <f t="shared" si="671"/>
        <v>Ewnet Charge</v>
      </c>
      <c r="BE173" s="106">
        <f>+PMGR!BE173+BP!BE173</f>
        <v>54500</v>
      </c>
      <c r="BF173" s="106">
        <f>+PMGR!BF173+BP!BF173</f>
        <v>54500</v>
      </c>
      <c r="BG173" s="106">
        <f>+PMGR!BG173+BP!BG173</f>
        <v>54500</v>
      </c>
      <c r="BH173" s="106">
        <f>+PMGR!BH173+BP!BH173</f>
        <v>54500</v>
      </c>
      <c r="BI173" s="106">
        <f>+PMGR!BI173+BP!BI173</f>
        <v>54500</v>
      </c>
      <c r="BJ173" s="106">
        <f>+PMGR!BJ173+BP!BJ173</f>
        <v>54500</v>
      </c>
      <c r="BK173" s="106">
        <f>+PMGR!BK173+BP!BK173</f>
        <v>54500</v>
      </c>
      <c r="BL173" s="106">
        <f>+PMGR!BL173+BP!BL173</f>
        <v>54500</v>
      </c>
      <c r="BM173" s="106">
        <f>+PMGR!BM173+BP!BM173</f>
        <v>54500</v>
      </c>
      <c r="BN173" s="106">
        <f>+PMGR!BN173+BP!BN173</f>
        <v>54500</v>
      </c>
      <c r="BO173" s="106">
        <f>+PMGR!BO173+BP!BO173</f>
        <v>0</v>
      </c>
      <c r="BP173" s="106">
        <f>+PMGR!BP173+BP!BP173</f>
        <v>0</v>
      </c>
      <c r="BQ173" s="106">
        <f t="shared" ref="BQ173:BQ177" si="845">+SUM(BE173:BP173)</f>
        <v>545000</v>
      </c>
      <c r="BR173" s="118"/>
      <c r="BS173" s="106">
        <f>+PMGR!BS173+BP!BS173</f>
        <v>54500</v>
      </c>
      <c r="BT173" s="106">
        <f>+PMGR!BT173+BP!BT173</f>
        <v>54500</v>
      </c>
      <c r="BU173" s="106">
        <f>+PMGR!BU173+BP!BU173</f>
        <v>54500</v>
      </c>
      <c r="BV173" s="106">
        <f>+PMGR!BV173+BP!BV173</f>
        <v>54500</v>
      </c>
      <c r="BW173" s="106">
        <f>+PMGR!BW173+BP!BW173</f>
        <v>54500</v>
      </c>
      <c r="BX173" s="106">
        <f>+PMGR!BX173+BP!BX173</f>
        <v>54500</v>
      </c>
      <c r="BY173" s="106">
        <f>+PMGR!BY173+BP!BY173</f>
        <v>54500</v>
      </c>
      <c r="BZ173" s="106">
        <f>+PMGR!BZ173+BP!BZ173</f>
        <v>54500</v>
      </c>
      <c r="CA173" s="106">
        <f>+PMGR!CA173+BP!CA173</f>
        <v>54500</v>
      </c>
      <c r="CB173" s="106">
        <f>+PMGR!CB173+BP!CB173</f>
        <v>54500</v>
      </c>
      <c r="CC173" s="106">
        <f>+PMGR!CC173+BP!CC173</f>
        <v>54500</v>
      </c>
      <c r="CD173" s="106">
        <f>+PMGR!CD173+BP!CD173</f>
        <v>54500</v>
      </c>
      <c r="CE173" s="106">
        <f t="shared" ref="CE173:CE177" si="846">+SUM(BS173:CD173)</f>
        <v>654000</v>
      </c>
      <c r="CF173" s="106"/>
      <c r="CG173" s="106">
        <f>+PMGR!CG173+BP!CG173</f>
        <v>18000</v>
      </c>
      <c r="CH173" s="106">
        <f>+PMGR!CH173+BP!CH173</f>
        <v>18000</v>
      </c>
      <c r="CI173" s="106">
        <f>+PMGR!CI173+BP!CI173</f>
        <v>18000</v>
      </c>
      <c r="CJ173" s="106">
        <f>+PMGR!CJ173+BP!CJ173</f>
        <v>18000</v>
      </c>
      <c r="CK173" s="106">
        <f>+PMGR!CK173+BP!CK173</f>
        <v>18000</v>
      </c>
      <c r="CL173" s="106">
        <f>+PMGR!CL173+BP!CL173</f>
        <v>18000</v>
      </c>
      <c r="CM173" s="106">
        <f>+PMGR!CM173+BP!CM173</f>
        <v>18000</v>
      </c>
      <c r="CN173" s="106">
        <f>+PMGR!CN173+BP!CN173</f>
        <v>18000</v>
      </c>
      <c r="CO173" s="106">
        <f>+PMGR!CO173+BP!CO173</f>
        <v>18000</v>
      </c>
      <c r="CP173" s="106">
        <f>+PMGR!CP173+BP!CP173</f>
        <v>18000</v>
      </c>
      <c r="CQ173" s="106">
        <f>+PMGR!CQ173+BP!CQ173</f>
        <v>18000</v>
      </c>
      <c r="CR173" s="106">
        <f>+PMGR!CR173+BP!CR173</f>
        <v>18000</v>
      </c>
      <c r="CS173" s="106">
        <f t="shared" ref="CS173:CS177" si="847">+SUM(CG173:CR173)</f>
        <v>216000</v>
      </c>
      <c r="CT173" s="16" t="str">
        <f t="shared" si="675"/>
        <v>Ewnet Charge</v>
      </c>
      <c r="CU173" s="106">
        <f>+PMGR!CU173+BP!CU173</f>
        <v>18000</v>
      </c>
      <c r="CV173" s="106">
        <f>+PMGR!CV173+BP!CV173</f>
        <v>18000</v>
      </c>
      <c r="CW173" s="106">
        <f>+PMGR!CW173+BP!CW173</f>
        <v>18000</v>
      </c>
      <c r="CX173" s="106">
        <f>+PMGR!CX173+BP!CX173</f>
        <v>18000</v>
      </c>
      <c r="CY173" s="106">
        <f>+PMGR!CY173+BP!CY173</f>
        <v>18000</v>
      </c>
      <c r="CZ173" s="106">
        <f>+PMGR!CZ173+BP!CZ173</f>
        <v>18000</v>
      </c>
      <c r="DA173" s="106">
        <f>+PMGR!DA173+BP!DA173</f>
        <v>18000</v>
      </c>
      <c r="DB173" s="106">
        <f>+PMGR!DB173+BP!DB173</f>
        <v>18000</v>
      </c>
      <c r="DC173" s="106">
        <f>+PMGR!DC173+BP!DC173</f>
        <v>18000</v>
      </c>
      <c r="DD173" s="106">
        <f>+PMGR!DD173+BP!DD173</f>
        <v>18000</v>
      </c>
      <c r="DE173" s="106">
        <f>+PMGR!DE173+BP!DE173</f>
        <v>0</v>
      </c>
      <c r="DF173" s="106">
        <f>+PMGR!DF173+BP!DF173</f>
        <v>0</v>
      </c>
      <c r="DG173" s="106">
        <f t="shared" ref="DG173:DG177" si="848">+SUM(CU173:DF173)</f>
        <v>180000</v>
      </c>
      <c r="DH173" s="118"/>
      <c r="DI173" s="106">
        <f>+PMGR!DI173+BP!DI173</f>
        <v>18000</v>
      </c>
      <c r="DJ173" s="106">
        <f>+PMGR!DJ173+BP!DJ173</f>
        <v>18000</v>
      </c>
      <c r="DK173" s="106">
        <f>+PMGR!DK173+BP!DK173</f>
        <v>18000</v>
      </c>
      <c r="DL173" s="106">
        <f>+PMGR!DL173+BP!DL173</f>
        <v>18000</v>
      </c>
      <c r="DM173" s="106">
        <f>+PMGR!DM173+BP!DM173</f>
        <v>18000</v>
      </c>
      <c r="DN173" s="106">
        <f>+PMGR!DN173+BP!DN173</f>
        <v>18000</v>
      </c>
      <c r="DO173" s="106">
        <f>+PMGR!DO173+BP!DO173</f>
        <v>18000</v>
      </c>
      <c r="DP173" s="106">
        <f>+PMGR!DP173+BP!DP173</f>
        <v>18000</v>
      </c>
      <c r="DQ173" s="106">
        <f>+PMGR!DQ173+BP!DQ173</f>
        <v>18000</v>
      </c>
      <c r="DR173" s="106">
        <f>+PMGR!DR173+BP!DR173</f>
        <v>18000</v>
      </c>
      <c r="DS173" s="106">
        <f>+PMGR!DS173+BP!DS173</f>
        <v>18000</v>
      </c>
      <c r="DT173" s="106">
        <f>+PMGR!DT173+BP!DT173</f>
        <v>18000</v>
      </c>
      <c r="DU173" s="106">
        <f t="shared" ref="DU173:DU177" si="849">+SUM(DI173:DT173)</f>
        <v>216000</v>
      </c>
      <c r="DV173" s="106"/>
      <c r="DW173" s="106">
        <f>+PMGR!DW173+BP!DW173</f>
        <v>0</v>
      </c>
      <c r="DX173" s="106">
        <f>+PMGR!DX173+BP!DX173</f>
        <v>0</v>
      </c>
      <c r="DY173" s="106">
        <f>+PMGR!DY173+BP!DY173</f>
        <v>0</v>
      </c>
      <c r="DZ173" s="106">
        <f>+PMGR!DZ173+BP!DZ173</f>
        <v>0</v>
      </c>
      <c r="EA173" s="106">
        <f>+PMGR!EA173+BP!EA173</f>
        <v>0</v>
      </c>
      <c r="EB173" s="106">
        <f>+PMGR!EB173+BP!EB173</f>
        <v>0</v>
      </c>
      <c r="EC173" s="106">
        <f>+PMGR!EC173+BP!EC173</f>
        <v>0</v>
      </c>
      <c r="ED173" s="106">
        <f>+PMGR!ED173+BP!ED173</f>
        <v>0</v>
      </c>
      <c r="EE173" s="106">
        <f>+PMGR!EE173+BP!EE173</f>
        <v>0</v>
      </c>
      <c r="EF173" s="106">
        <f>+PMGR!EF173+BP!EF173</f>
        <v>0</v>
      </c>
      <c r="EG173" s="106">
        <f>+PMGR!EG173+BP!EG173</f>
        <v>0</v>
      </c>
      <c r="EH173" s="106">
        <f>+PMGR!EH173+BP!EH173</f>
        <v>0</v>
      </c>
      <c r="EI173" s="106">
        <f t="shared" ref="EI173:EI177" si="850">+SUM(DW173:EH173)</f>
        <v>0</v>
      </c>
      <c r="EJ173" s="16" t="str">
        <f t="shared" si="681"/>
        <v>Ewnet Charge</v>
      </c>
      <c r="EK173" s="106">
        <f>+PMGR!EK173+BP!EK173</f>
        <v>0</v>
      </c>
      <c r="EL173" s="106">
        <f>+PMGR!EL173+BP!EL173</f>
        <v>0</v>
      </c>
      <c r="EM173" s="106">
        <f>+PMGR!EM173+BP!EM173</f>
        <v>0</v>
      </c>
      <c r="EN173" s="106">
        <f>+PMGR!EN173+BP!EN173</f>
        <v>0</v>
      </c>
      <c r="EO173" s="106">
        <f>+PMGR!EO173+BP!EO173</f>
        <v>0</v>
      </c>
      <c r="EP173" s="106">
        <f>+PMGR!EP173+BP!EP173</f>
        <v>0</v>
      </c>
      <c r="EQ173" s="106">
        <f>+PMGR!EQ173+BP!EQ173</f>
        <v>0</v>
      </c>
      <c r="ER173" s="106">
        <f>+PMGR!ER173+BP!ER173</f>
        <v>0</v>
      </c>
      <c r="ES173" s="106">
        <f>+PMGR!ES173+BP!ES173</f>
        <v>0</v>
      </c>
      <c r="ET173" s="106">
        <f>+PMGR!ET173+BP!ET173</f>
        <v>0</v>
      </c>
      <c r="EU173" s="106">
        <f>+PMGR!EU173+BP!EU173</f>
        <v>0</v>
      </c>
      <c r="EV173" s="106">
        <f>+PMGR!EV173+BP!EV173</f>
        <v>0</v>
      </c>
      <c r="EW173" s="106">
        <f t="shared" ref="EW173:EW177" si="851">+SUM(EK173:EV173)</f>
        <v>0</v>
      </c>
      <c r="EX173" s="118"/>
      <c r="EY173" s="106">
        <f>+PMGR!EY173+BP!EY173</f>
        <v>0</v>
      </c>
      <c r="EZ173" s="106">
        <f>+PMGR!EZ173+BP!EZ173</f>
        <v>0</v>
      </c>
      <c r="FA173" s="106">
        <f>+PMGR!FA173+BP!FA173</f>
        <v>0</v>
      </c>
      <c r="FB173" s="106">
        <f>+PMGR!FB173+BP!FB173</f>
        <v>0</v>
      </c>
      <c r="FC173" s="106">
        <f>+PMGR!FC173+BP!FC173</f>
        <v>0</v>
      </c>
      <c r="FD173" s="106">
        <f>+PMGR!FD173+BP!FD173</f>
        <v>0</v>
      </c>
      <c r="FE173" s="106">
        <f>+PMGR!FE173+BP!FE173</f>
        <v>0</v>
      </c>
      <c r="FF173" s="106">
        <f>+PMGR!FF173+BP!FF173</f>
        <v>0</v>
      </c>
      <c r="FG173" s="106">
        <f>+PMGR!FG173+BP!FG173</f>
        <v>0</v>
      </c>
      <c r="FH173" s="106">
        <f>+PMGR!FH173+BP!FH173</f>
        <v>0</v>
      </c>
      <c r="FI173" s="106">
        <f>+PMGR!FI173+BP!FI173</f>
        <v>0</v>
      </c>
      <c r="FJ173" s="106">
        <f>+PMGR!FJ173+BP!FJ173</f>
        <v>0</v>
      </c>
      <c r="FK173" s="106">
        <f t="shared" ref="FK173:FK177" si="852">+SUM(EY173:FJ173)</f>
        <v>0</v>
      </c>
    </row>
    <row r="174" spans="1:167" ht="14.45" hidden="1" customHeight="1" outlineLevel="2">
      <c r="A174" s="106">
        <f t="shared" si="838"/>
        <v>0</v>
      </c>
      <c r="B174" s="106">
        <f t="shared" si="838"/>
        <v>0</v>
      </c>
      <c r="C174" s="106">
        <f t="shared" si="838"/>
        <v>0</v>
      </c>
      <c r="D174" s="106">
        <f t="shared" si="838"/>
        <v>0</v>
      </c>
      <c r="E174" s="106">
        <f t="shared" si="838"/>
        <v>0</v>
      </c>
      <c r="F174" s="106">
        <f t="shared" si="838"/>
        <v>0</v>
      </c>
      <c r="G174" s="106">
        <f t="shared" si="838"/>
        <v>0</v>
      </c>
      <c r="H174" s="106">
        <f t="shared" si="838"/>
        <v>0</v>
      </c>
      <c r="I174" s="106">
        <f t="shared" si="838"/>
        <v>0</v>
      </c>
      <c r="J174" s="106">
        <f t="shared" si="838"/>
        <v>0</v>
      </c>
      <c r="K174" s="106">
        <f t="shared" si="838"/>
        <v>0</v>
      </c>
      <c r="L174" s="106">
        <f t="shared" si="838"/>
        <v>0</v>
      </c>
      <c r="M174" s="106">
        <f t="shared" si="839"/>
        <v>0</v>
      </c>
      <c r="N174" s="16" t="s">
        <v>146</v>
      </c>
      <c r="O174" s="106">
        <f t="shared" si="840"/>
        <v>0</v>
      </c>
      <c r="P174" s="106">
        <f t="shared" si="840"/>
        <v>0</v>
      </c>
      <c r="Q174" s="106">
        <f t="shared" si="840"/>
        <v>0</v>
      </c>
      <c r="R174" s="106">
        <f t="shared" si="840"/>
        <v>0</v>
      </c>
      <c r="S174" s="106">
        <f t="shared" si="840"/>
        <v>0</v>
      </c>
      <c r="T174" s="106">
        <f t="shared" si="840"/>
        <v>0</v>
      </c>
      <c r="U174" s="106">
        <f t="shared" si="840"/>
        <v>0</v>
      </c>
      <c r="V174" s="106">
        <f t="shared" si="840"/>
        <v>0</v>
      </c>
      <c r="W174" s="106">
        <f t="shared" si="840"/>
        <v>0</v>
      </c>
      <c r="X174" s="106">
        <f t="shared" si="840"/>
        <v>0</v>
      </c>
      <c r="Y174" s="106">
        <f t="shared" si="840"/>
        <v>0</v>
      </c>
      <c r="Z174" s="106">
        <f t="shared" si="840"/>
        <v>0</v>
      </c>
      <c r="AA174" s="106">
        <f t="shared" si="841"/>
        <v>0</v>
      </c>
      <c r="AB174" s="118"/>
      <c r="AC174" s="106">
        <f t="shared" si="842"/>
        <v>78000</v>
      </c>
      <c r="AD174" s="106">
        <f t="shared" si="842"/>
        <v>78000</v>
      </c>
      <c r="AE174" s="106">
        <f t="shared" si="842"/>
        <v>78000</v>
      </c>
      <c r="AF174" s="106">
        <f t="shared" si="842"/>
        <v>78000</v>
      </c>
      <c r="AG174" s="106">
        <f t="shared" si="842"/>
        <v>78000</v>
      </c>
      <c r="AH174" s="106">
        <f t="shared" si="842"/>
        <v>78000</v>
      </c>
      <c r="AI174" s="106">
        <f t="shared" si="842"/>
        <v>78000</v>
      </c>
      <c r="AJ174" s="106">
        <f t="shared" si="842"/>
        <v>78000</v>
      </c>
      <c r="AK174" s="106">
        <f t="shared" si="842"/>
        <v>78000</v>
      </c>
      <c r="AL174" s="106">
        <f t="shared" si="842"/>
        <v>78000</v>
      </c>
      <c r="AM174" s="106">
        <f t="shared" si="842"/>
        <v>78000</v>
      </c>
      <c r="AN174" s="106">
        <f t="shared" si="842"/>
        <v>78000</v>
      </c>
      <c r="AO174" s="106">
        <f t="shared" si="843"/>
        <v>936000</v>
      </c>
      <c r="AP174" s="106"/>
      <c r="AQ174" s="106">
        <f>+PMGR!AQ174+BP!AQ174</f>
        <v>0</v>
      </c>
      <c r="AR174" s="106">
        <f>+PMGR!AR174+BP!AR174</f>
        <v>0</v>
      </c>
      <c r="AS174" s="106">
        <f>+PMGR!AS174+BP!AS174</f>
        <v>0</v>
      </c>
      <c r="AT174" s="106">
        <f>+PMGR!AT174+BP!AT174</f>
        <v>0</v>
      </c>
      <c r="AU174" s="106">
        <f>+PMGR!AU174+BP!AU174</f>
        <v>0</v>
      </c>
      <c r="AV174" s="106">
        <f>+PMGR!AV174+BP!AV174</f>
        <v>0</v>
      </c>
      <c r="AW174" s="106">
        <f>+PMGR!AW174+BP!AW174</f>
        <v>0</v>
      </c>
      <c r="AX174" s="106">
        <f>+PMGR!AX174+BP!AX174</f>
        <v>0</v>
      </c>
      <c r="AY174" s="106">
        <f>+PMGR!AY174+BP!AY174</f>
        <v>0</v>
      </c>
      <c r="AZ174" s="106">
        <f>+PMGR!AZ174+BP!AZ174</f>
        <v>0</v>
      </c>
      <c r="BA174" s="106">
        <f>+PMGR!BA174+BP!BA174</f>
        <v>0</v>
      </c>
      <c r="BB174" s="106">
        <f>+PMGR!BB174+BP!BB174</f>
        <v>0</v>
      </c>
      <c r="BC174" s="106">
        <f t="shared" si="844"/>
        <v>0</v>
      </c>
      <c r="BD174" s="16" t="str">
        <f t="shared" si="671"/>
        <v>Edealer Charges</v>
      </c>
      <c r="BE174" s="106">
        <f>+PMGR!BE174+BP!BE174</f>
        <v>0</v>
      </c>
      <c r="BF174" s="106">
        <f>+PMGR!BF174+BP!BF174</f>
        <v>0</v>
      </c>
      <c r="BG174" s="106">
        <f>+PMGR!BG174+BP!BG174</f>
        <v>0</v>
      </c>
      <c r="BH174" s="106">
        <f>+PMGR!BH174+BP!BH174</f>
        <v>0</v>
      </c>
      <c r="BI174" s="106">
        <f>+PMGR!BI174+BP!BI174</f>
        <v>0</v>
      </c>
      <c r="BJ174" s="106">
        <f>+PMGR!BJ174+BP!BJ174</f>
        <v>0</v>
      </c>
      <c r="BK174" s="106">
        <f>+PMGR!BK174+BP!BK174</f>
        <v>0</v>
      </c>
      <c r="BL174" s="106">
        <f>+PMGR!BL174+BP!BL174</f>
        <v>0</v>
      </c>
      <c r="BM174" s="106">
        <f>+PMGR!BM174+BP!BM174</f>
        <v>0</v>
      </c>
      <c r="BN174" s="106">
        <f>+PMGR!BN174+BP!BN174</f>
        <v>0</v>
      </c>
      <c r="BO174" s="106">
        <f>+PMGR!BO174+BP!BO174</f>
        <v>0</v>
      </c>
      <c r="BP174" s="106">
        <f>+PMGR!BP174+BP!BP174</f>
        <v>0</v>
      </c>
      <c r="BQ174" s="106">
        <f t="shared" si="845"/>
        <v>0</v>
      </c>
      <c r="BR174" s="118"/>
      <c r="BS174" s="106">
        <f>+PMGR!BS174+BP!BS174</f>
        <v>48000</v>
      </c>
      <c r="BT174" s="106">
        <f>+PMGR!BT174+BP!BT174</f>
        <v>48000</v>
      </c>
      <c r="BU174" s="106">
        <f>+PMGR!BU174+BP!BU174</f>
        <v>48000</v>
      </c>
      <c r="BV174" s="106">
        <f>+PMGR!BV174+BP!BV174</f>
        <v>48000</v>
      </c>
      <c r="BW174" s="106">
        <f>+PMGR!BW174+BP!BW174</f>
        <v>48000</v>
      </c>
      <c r="BX174" s="106">
        <f>+PMGR!BX174+BP!BX174</f>
        <v>48000</v>
      </c>
      <c r="BY174" s="106">
        <f>+PMGR!BY174+BP!BY174</f>
        <v>48000</v>
      </c>
      <c r="BZ174" s="106">
        <f>+PMGR!BZ174+BP!BZ174</f>
        <v>48000</v>
      </c>
      <c r="CA174" s="106">
        <f>+PMGR!CA174+BP!CA174</f>
        <v>48000</v>
      </c>
      <c r="CB174" s="106">
        <f>+PMGR!CB174+BP!CB174</f>
        <v>48000</v>
      </c>
      <c r="CC174" s="106">
        <f>+PMGR!CC174+BP!CC174</f>
        <v>48000</v>
      </c>
      <c r="CD174" s="106">
        <f>+PMGR!CD174+BP!CD174</f>
        <v>48000</v>
      </c>
      <c r="CE174" s="106">
        <f t="shared" si="846"/>
        <v>576000</v>
      </c>
      <c r="CF174" s="106"/>
      <c r="CG174" s="106">
        <f>+PMGR!CG174+BP!CG174</f>
        <v>0</v>
      </c>
      <c r="CH174" s="106">
        <f>+PMGR!CH174+BP!CH174</f>
        <v>0</v>
      </c>
      <c r="CI174" s="106">
        <f>+PMGR!CI174+BP!CI174</f>
        <v>0</v>
      </c>
      <c r="CJ174" s="106">
        <f>+PMGR!CJ174+BP!CJ174</f>
        <v>0</v>
      </c>
      <c r="CK174" s="106">
        <f>+PMGR!CK174+BP!CK174</f>
        <v>0</v>
      </c>
      <c r="CL174" s="106">
        <f>+PMGR!CL174+BP!CL174</f>
        <v>0</v>
      </c>
      <c r="CM174" s="106">
        <f>+PMGR!CM174+BP!CM174</f>
        <v>0</v>
      </c>
      <c r="CN174" s="106">
        <f>+PMGR!CN174+BP!CN174</f>
        <v>0</v>
      </c>
      <c r="CO174" s="106">
        <f>+PMGR!CO174+BP!CO174</f>
        <v>0</v>
      </c>
      <c r="CP174" s="106">
        <f>+PMGR!CP174+BP!CP174</f>
        <v>0</v>
      </c>
      <c r="CQ174" s="106">
        <f>+PMGR!CQ174+BP!CQ174</f>
        <v>0</v>
      </c>
      <c r="CR174" s="106">
        <f>+PMGR!CR174+BP!CR174</f>
        <v>0</v>
      </c>
      <c r="CS174" s="106">
        <f t="shared" si="847"/>
        <v>0</v>
      </c>
      <c r="CT174" s="16" t="str">
        <f t="shared" si="675"/>
        <v>Edealer Charges</v>
      </c>
      <c r="CU174" s="106">
        <f>+PMGR!CU174+BP!CU174</f>
        <v>0</v>
      </c>
      <c r="CV174" s="106">
        <f>+PMGR!CV174+BP!CV174</f>
        <v>0</v>
      </c>
      <c r="CW174" s="106">
        <f>+PMGR!CW174+BP!CW174</f>
        <v>0</v>
      </c>
      <c r="CX174" s="106">
        <f>+PMGR!CX174+BP!CX174</f>
        <v>0</v>
      </c>
      <c r="CY174" s="106">
        <f>+PMGR!CY174+BP!CY174</f>
        <v>0</v>
      </c>
      <c r="CZ174" s="106">
        <f>+PMGR!CZ174+BP!CZ174</f>
        <v>0</v>
      </c>
      <c r="DA174" s="106">
        <f>+PMGR!DA174+BP!DA174</f>
        <v>0</v>
      </c>
      <c r="DB174" s="106">
        <f>+PMGR!DB174+BP!DB174</f>
        <v>0</v>
      </c>
      <c r="DC174" s="106">
        <f>+PMGR!DC174+BP!DC174</f>
        <v>0</v>
      </c>
      <c r="DD174" s="106">
        <f>+PMGR!DD174+BP!DD174</f>
        <v>0</v>
      </c>
      <c r="DE174" s="106">
        <f>+PMGR!DE174+BP!DE174</f>
        <v>0</v>
      </c>
      <c r="DF174" s="106">
        <f>+PMGR!DF174+BP!DF174</f>
        <v>0</v>
      </c>
      <c r="DG174" s="106">
        <f t="shared" si="848"/>
        <v>0</v>
      </c>
      <c r="DH174" s="118"/>
      <c r="DI174" s="106">
        <f>+PMGR!DI174+BP!DI174</f>
        <v>18000</v>
      </c>
      <c r="DJ174" s="106">
        <f>+PMGR!DJ174+BP!DJ174</f>
        <v>18000</v>
      </c>
      <c r="DK174" s="106">
        <f>+PMGR!DK174+BP!DK174</f>
        <v>18000</v>
      </c>
      <c r="DL174" s="106">
        <f>+PMGR!DL174+BP!DL174</f>
        <v>18000</v>
      </c>
      <c r="DM174" s="106">
        <f>+PMGR!DM174+BP!DM174</f>
        <v>18000</v>
      </c>
      <c r="DN174" s="106">
        <f>+PMGR!DN174+BP!DN174</f>
        <v>18000</v>
      </c>
      <c r="DO174" s="106">
        <f>+PMGR!DO174+BP!DO174</f>
        <v>18000</v>
      </c>
      <c r="DP174" s="106">
        <f>+PMGR!DP174+BP!DP174</f>
        <v>18000</v>
      </c>
      <c r="DQ174" s="106">
        <f>+PMGR!DQ174+BP!DQ174</f>
        <v>18000</v>
      </c>
      <c r="DR174" s="106">
        <f>+PMGR!DR174+BP!DR174</f>
        <v>18000</v>
      </c>
      <c r="DS174" s="106">
        <f>+PMGR!DS174+BP!DS174</f>
        <v>18000</v>
      </c>
      <c r="DT174" s="106">
        <f>+PMGR!DT174+BP!DT174</f>
        <v>18000</v>
      </c>
      <c r="DU174" s="106">
        <f t="shared" si="849"/>
        <v>216000</v>
      </c>
      <c r="DV174" s="106"/>
      <c r="DW174" s="106">
        <f>+PMGR!DW174+BP!DW174</f>
        <v>0</v>
      </c>
      <c r="DX174" s="106">
        <f>+PMGR!DX174+BP!DX174</f>
        <v>0</v>
      </c>
      <c r="DY174" s="106">
        <f>+PMGR!DY174+BP!DY174</f>
        <v>0</v>
      </c>
      <c r="DZ174" s="106">
        <f>+PMGR!DZ174+BP!DZ174</f>
        <v>0</v>
      </c>
      <c r="EA174" s="106">
        <f>+PMGR!EA174+BP!EA174</f>
        <v>0</v>
      </c>
      <c r="EB174" s="106">
        <f>+PMGR!EB174+BP!EB174</f>
        <v>0</v>
      </c>
      <c r="EC174" s="106">
        <f>+PMGR!EC174+BP!EC174</f>
        <v>0</v>
      </c>
      <c r="ED174" s="106">
        <f>+PMGR!ED174+BP!ED174</f>
        <v>0</v>
      </c>
      <c r="EE174" s="106">
        <f>+PMGR!EE174+BP!EE174</f>
        <v>0</v>
      </c>
      <c r="EF174" s="106">
        <f>+PMGR!EF174+BP!EF174</f>
        <v>0</v>
      </c>
      <c r="EG174" s="106">
        <f>+PMGR!EG174+BP!EG174</f>
        <v>0</v>
      </c>
      <c r="EH174" s="106">
        <f>+PMGR!EH174+BP!EH174</f>
        <v>0</v>
      </c>
      <c r="EI174" s="106">
        <f t="shared" si="850"/>
        <v>0</v>
      </c>
      <c r="EJ174" s="16" t="str">
        <f t="shared" si="681"/>
        <v>Edealer Charges</v>
      </c>
      <c r="EK174" s="106">
        <f>+PMGR!EK174+BP!EK174</f>
        <v>0</v>
      </c>
      <c r="EL174" s="106">
        <f>+PMGR!EL174+BP!EL174</f>
        <v>0</v>
      </c>
      <c r="EM174" s="106">
        <f>+PMGR!EM174+BP!EM174</f>
        <v>0</v>
      </c>
      <c r="EN174" s="106">
        <f>+PMGR!EN174+BP!EN174</f>
        <v>0</v>
      </c>
      <c r="EO174" s="106">
        <f>+PMGR!EO174+BP!EO174</f>
        <v>0</v>
      </c>
      <c r="EP174" s="106">
        <f>+PMGR!EP174+BP!EP174</f>
        <v>0</v>
      </c>
      <c r="EQ174" s="106">
        <f>+PMGR!EQ174+BP!EQ174</f>
        <v>0</v>
      </c>
      <c r="ER174" s="106">
        <f>+PMGR!ER174+BP!ER174</f>
        <v>0</v>
      </c>
      <c r="ES174" s="106">
        <f>+PMGR!ES174+BP!ES174</f>
        <v>0</v>
      </c>
      <c r="ET174" s="106">
        <f>+PMGR!ET174+BP!ET174</f>
        <v>0</v>
      </c>
      <c r="EU174" s="106">
        <f>+PMGR!EU174+BP!EU174</f>
        <v>0</v>
      </c>
      <c r="EV174" s="106">
        <f>+PMGR!EV174+BP!EV174</f>
        <v>0</v>
      </c>
      <c r="EW174" s="106">
        <f t="shared" si="851"/>
        <v>0</v>
      </c>
      <c r="EX174" s="118"/>
      <c r="EY174" s="106">
        <f>+PMGR!EY174+BP!EY174</f>
        <v>12000</v>
      </c>
      <c r="EZ174" s="106">
        <f>+PMGR!EZ174+BP!EZ174</f>
        <v>12000</v>
      </c>
      <c r="FA174" s="106">
        <f>+PMGR!FA174+BP!FA174</f>
        <v>12000</v>
      </c>
      <c r="FB174" s="106">
        <f>+PMGR!FB174+BP!FB174</f>
        <v>12000</v>
      </c>
      <c r="FC174" s="106">
        <f>+PMGR!FC174+BP!FC174</f>
        <v>12000</v>
      </c>
      <c r="FD174" s="106">
        <f>+PMGR!FD174+BP!FD174</f>
        <v>12000</v>
      </c>
      <c r="FE174" s="106">
        <f>+PMGR!FE174+BP!FE174</f>
        <v>12000</v>
      </c>
      <c r="FF174" s="106">
        <f>+PMGR!FF174+BP!FF174</f>
        <v>12000</v>
      </c>
      <c r="FG174" s="106">
        <f>+PMGR!FG174+BP!FG174</f>
        <v>12000</v>
      </c>
      <c r="FH174" s="106">
        <f>+PMGR!FH174+BP!FH174</f>
        <v>12000</v>
      </c>
      <c r="FI174" s="106">
        <f>+PMGR!FI174+BP!FI174</f>
        <v>12000</v>
      </c>
      <c r="FJ174" s="106">
        <f>+PMGR!FJ174+BP!FJ174</f>
        <v>12000</v>
      </c>
      <c r="FK174" s="106">
        <f t="shared" si="852"/>
        <v>144000</v>
      </c>
    </row>
    <row r="175" spans="1:167" ht="14.45" hidden="1" customHeight="1" outlineLevel="2">
      <c r="A175" s="106">
        <f t="shared" si="838"/>
        <v>137649.86333333299</v>
      </c>
      <c r="B175" s="106">
        <f t="shared" si="838"/>
        <v>137649.86333333299</v>
      </c>
      <c r="C175" s="106">
        <f t="shared" si="838"/>
        <v>137649.86333333299</v>
      </c>
      <c r="D175" s="106">
        <f t="shared" si="838"/>
        <v>148080</v>
      </c>
      <c r="E175" s="106">
        <f t="shared" si="838"/>
        <v>148080</v>
      </c>
      <c r="F175" s="106">
        <f t="shared" si="838"/>
        <v>148080</v>
      </c>
      <c r="G175" s="106">
        <f t="shared" si="838"/>
        <v>148080</v>
      </c>
      <c r="H175" s="106">
        <f t="shared" si="838"/>
        <v>148080</v>
      </c>
      <c r="I175" s="106">
        <f t="shared" si="838"/>
        <v>148080</v>
      </c>
      <c r="J175" s="106">
        <f t="shared" si="838"/>
        <v>148080</v>
      </c>
      <c r="K175" s="106">
        <f t="shared" si="838"/>
        <v>148080</v>
      </c>
      <c r="L175" s="106">
        <f t="shared" si="838"/>
        <v>148080</v>
      </c>
      <c r="M175" s="106">
        <f t="shared" si="839"/>
        <v>1745669.5899999989</v>
      </c>
      <c r="N175" s="16" t="s">
        <v>230</v>
      </c>
      <c r="O175" s="106">
        <f t="shared" si="840"/>
        <v>123405</v>
      </c>
      <c r="P175" s="106">
        <f t="shared" si="840"/>
        <v>124641</v>
      </c>
      <c r="Q175" s="106">
        <f t="shared" si="840"/>
        <v>124641</v>
      </c>
      <c r="R175" s="106">
        <f t="shared" si="840"/>
        <v>124641</v>
      </c>
      <c r="S175" s="106">
        <f t="shared" si="840"/>
        <v>315510.40000000002</v>
      </c>
      <c r="T175" s="106">
        <f t="shared" si="840"/>
        <v>229503</v>
      </c>
      <c r="U175" s="106">
        <f t="shared" si="840"/>
        <v>231791.99999999997</v>
      </c>
      <c r="V175" s="106">
        <f t="shared" si="840"/>
        <v>290000</v>
      </c>
      <c r="W175" s="106">
        <f t="shared" si="840"/>
        <v>290000</v>
      </c>
      <c r="X175" s="106">
        <f t="shared" si="840"/>
        <v>290000</v>
      </c>
      <c r="Y175" s="106">
        <f t="shared" si="840"/>
        <v>0</v>
      </c>
      <c r="Z175" s="106">
        <f t="shared" si="840"/>
        <v>0</v>
      </c>
      <c r="AA175" s="106">
        <f t="shared" si="841"/>
        <v>2144133.4</v>
      </c>
      <c r="AB175" s="118"/>
      <c r="AC175" s="106">
        <f t="shared" si="842"/>
        <v>290000</v>
      </c>
      <c r="AD175" s="106">
        <f t="shared" si="842"/>
        <v>290000</v>
      </c>
      <c r="AE175" s="106">
        <f t="shared" si="842"/>
        <v>290000</v>
      </c>
      <c r="AF175" s="106">
        <f t="shared" si="842"/>
        <v>290000</v>
      </c>
      <c r="AG175" s="106">
        <f t="shared" si="842"/>
        <v>290000</v>
      </c>
      <c r="AH175" s="106">
        <f t="shared" si="842"/>
        <v>290000</v>
      </c>
      <c r="AI175" s="106">
        <f t="shared" si="842"/>
        <v>290000</v>
      </c>
      <c r="AJ175" s="106">
        <f t="shared" si="842"/>
        <v>290000</v>
      </c>
      <c r="AK175" s="106">
        <f t="shared" si="842"/>
        <v>290000</v>
      </c>
      <c r="AL175" s="106">
        <f t="shared" si="842"/>
        <v>290000</v>
      </c>
      <c r="AM175" s="106">
        <f t="shared" si="842"/>
        <v>290000</v>
      </c>
      <c r="AN175" s="106">
        <f t="shared" si="842"/>
        <v>290000</v>
      </c>
      <c r="AO175" s="106">
        <f t="shared" si="843"/>
        <v>3480000</v>
      </c>
      <c r="AP175" s="106"/>
      <c r="AQ175" s="106">
        <f>+PMGR!AQ175+BP!AQ175</f>
        <v>82589.917999999787</v>
      </c>
      <c r="AR175" s="106">
        <f>+PMGR!AR175+BP!AR175</f>
        <v>82589.917999999787</v>
      </c>
      <c r="AS175" s="106">
        <f>+PMGR!AS175+BP!AS175</f>
        <v>82589.917999999787</v>
      </c>
      <c r="AT175" s="106">
        <f>+PMGR!AT175+BP!AT175</f>
        <v>88850</v>
      </c>
      <c r="AU175" s="106">
        <f>+PMGR!AU175+BP!AU175</f>
        <v>88850</v>
      </c>
      <c r="AV175" s="106">
        <f>+PMGR!AV175+BP!AV175</f>
        <v>88850</v>
      </c>
      <c r="AW175" s="106">
        <f>+PMGR!AW175+BP!AW175</f>
        <v>88850</v>
      </c>
      <c r="AX175" s="106">
        <f>+PMGR!AX175+BP!AX175</f>
        <v>88850</v>
      </c>
      <c r="AY175" s="106">
        <f>+PMGR!AY175+BP!AY175</f>
        <v>88850</v>
      </c>
      <c r="AZ175" s="106">
        <f>+PMGR!AZ175+BP!AZ175</f>
        <v>88850</v>
      </c>
      <c r="BA175" s="106">
        <f>+PMGR!BA175+BP!BA175</f>
        <v>88850</v>
      </c>
      <c r="BB175" s="106">
        <f>+PMGR!BB175+BP!BB175</f>
        <v>88850</v>
      </c>
      <c r="BC175" s="106">
        <f t="shared" si="844"/>
        <v>1047419.7539999994</v>
      </c>
      <c r="BD175" s="16" t="str">
        <f t="shared" si="671"/>
        <v>Xentry Finance Charge</v>
      </c>
      <c r="BE175" s="106">
        <f>+PMGR!BE175+BP!BE175</f>
        <v>74043</v>
      </c>
      <c r="BF175" s="106">
        <f>+PMGR!BF175+BP!BF175</f>
        <v>124641</v>
      </c>
      <c r="BG175" s="106">
        <f>+PMGR!BG175+BP!BG175</f>
        <v>124641</v>
      </c>
      <c r="BH175" s="106">
        <f>+PMGR!BH175+BP!BH175</f>
        <v>124641</v>
      </c>
      <c r="BI175" s="106">
        <f>+PMGR!BI175+BP!BI175</f>
        <v>236632.8</v>
      </c>
      <c r="BJ175" s="106">
        <f>+PMGR!BJ175+BP!BJ175</f>
        <v>114751.5</v>
      </c>
      <c r="BK175" s="106">
        <f>+PMGR!BK175+BP!BK175</f>
        <v>115896</v>
      </c>
      <c r="BL175" s="106">
        <f>+PMGR!BL175+BP!BL175</f>
        <v>144000</v>
      </c>
      <c r="BM175" s="106">
        <f>+PMGR!BM175+BP!BM175</f>
        <v>144000</v>
      </c>
      <c r="BN175" s="106">
        <f>+PMGR!BN175+BP!BN175</f>
        <v>144000</v>
      </c>
      <c r="BO175" s="106">
        <f>+PMGR!BO175+BP!BO175</f>
        <v>0</v>
      </c>
      <c r="BP175" s="106">
        <f>+PMGR!BP175+BP!BP175</f>
        <v>0</v>
      </c>
      <c r="BQ175" s="106">
        <f t="shared" si="845"/>
        <v>1347246.3</v>
      </c>
      <c r="BR175" s="118"/>
      <c r="BS175" s="106">
        <f>+PMGR!BS175+BP!BS175</f>
        <v>144000</v>
      </c>
      <c r="BT175" s="106">
        <f>+PMGR!BT175+BP!BT175</f>
        <v>144000</v>
      </c>
      <c r="BU175" s="106">
        <f>+PMGR!BU175+BP!BU175</f>
        <v>144000</v>
      </c>
      <c r="BV175" s="106">
        <f>+PMGR!BV175+BP!BV175</f>
        <v>144000</v>
      </c>
      <c r="BW175" s="106">
        <f>+PMGR!BW175+BP!BW175</f>
        <v>144000</v>
      </c>
      <c r="BX175" s="106">
        <f>+PMGR!BX175+BP!BX175</f>
        <v>144000</v>
      </c>
      <c r="BY175" s="106">
        <f>+PMGR!BY175+BP!BY175</f>
        <v>144000</v>
      </c>
      <c r="BZ175" s="106">
        <f>+PMGR!BZ175+BP!BZ175</f>
        <v>144000</v>
      </c>
      <c r="CA175" s="106">
        <f>+PMGR!CA175+BP!CA175</f>
        <v>144000</v>
      </c>
      <c r="CB175" s="106">
        <f>+PMGR!CB175+BP!CB175</f>
        <v>144000</v>
      </c>
      <c r="CC175" s="106">
        <f>+PMGR!CC175+BP!CC175</f>
        <v>144000</v>
      </c>
      <c r="CD175" s="106">
        <f>+PMGR!CD175+BP!CD175</f>
        <v>144000</v>
      </c>
      <c r="CE175" s="106">
        <f t="shared" si="846"/>
        <v>1728000</v>
      </c>
      <c r="CF175" s="106"/>
      <c r="CG175" s="106">
        <f>+PMGR!CG175+BP!CG175</f>
        <v>55059.945333333199</v>
      </c>
      <c r="CH175" s="106">
        <f>+PMGR!CH175+BP!CH175</f>
        <v>55059.945333333199</v>
      </c>
      <c r="CI175" s="106">
        <f>+PMGR!CI175+BP!CI175</f>
        <v>55059.945333333199</v>
      </c>
      <c r="CJ175" s="106">
        <f>+PMGR!CJ175+BP!CJ175</f>
        <v>59230</v>
      </c>
      <c r="CK175" s="106">
        <f>+PMGR!CK175+BP!CK175</f>
        <v>59230</v>
      </c>
      <c r="CL175" s="106">
        <f>+PMGR!CL175+BP!CL175</f>
        <v>59230</v>
      </c>
      <c r="CM175" s="106">
        <f>+PMGR!CM175+BP!CM175</f>
        <v>59230</v>
      </c>
      <c r="CN175" s="106">
        <f>+PMGR!CN175+BP!CN175</f>
        <v>59230</v>
      </c>
      <c r="CO175" s="106">
        <f>+PMGR!CO175+BP!CO175</f>
        <v>59230</v>
      </c>
      <c r="CP175" s="106">
        <f>+PMGR!CP175+BP!CP175</f>
        <v>59230</v>
      </c>
      <c r="CQ175" s="106">
        <f>+PMGR!CQ175+BP!CQ175</f>
        <v>59230</v>
      </c>
      <c r="CR175" s="106">
        <f>+PMGR!CR175+BP!CR175</f>
        <v>59230</v>
      </c>
      <c r="CS175" s="106">
        <f t="shared" si="847"/>
        <v>698249.83599999966</v>
      </c>
      <c r="CT175" s="16" t="str">
        <f t="shared" si="675"/>
        <v>Xentry Finance Charge</v>
      </c>
      <c r="CU175" s="106">
        <f>+PMGR!CU175+BP!CU175</f>
        <v>49362</v>
      </c>
      <c r="CV175" s="106">
        <f>+PMGR!CV175+BP!CV175</f>
        <v>0</v>
      </c>
      <c r="CW175" s="106">
        <f>+PMGR!CW175+BP!CW175</f>
        <v>0</v>
      </c>
      <c r="CX175" s="106">
        <f>+PMGR!CX175+BP!CX175</f>
        <v>0</v>
      </c>
      <c r="CY175" s="106">
        <f>+PMGR!CY175+BP!CY175</f>
        <v>78877.600000000006</v>
      </c>
      <c r="CZ175" s="106">
        <f>+PMGR!CZ175+BP!CZ175</f>
        <v>68850.899999999994</v>
      </c>
      <c r="DA175" s="106">
        <f>+PMGR!DA175+BP!DA175</f>
        <v>69537.599999999991</v>
      </c>
      <c r="DB175" s="106">
        <f>+PMGR!DB175+BP!DB175</f>
        <v>96000</v>
      </c>
      <c r="DC175" s="106">
        <f>+PMGR!DC175+BP!DC175</f>
        <v>96000</v>
      </c>
      <c r="DD175" s="106">
        <f>+PMGR!DD175+BP!DD175</f>
        <v>96000</v>
      </c>
      <c r="DE175" s="106">
        <f>+PMGR!DE175+BP!DE175</f>
        <v>0</v>
      </c>
      <c r="DF175" s="106">
        <f>+PMGR!DF175+BP!DF175</f>
        <v>0</v>
      </c>
      <c r="DG175" s="106">
        <f t="shared" si="848"/>
        <v>554628.1</v>
      </c>
      <c r="DH175" s="118"/>
      <c r="DI175" s="106">
        <f>+PMGR!DI175+BP!DI175</f>
        <v>96000</v>
      </c>
      <c r="DJ175" s="106">
        <f>+PMGR!DJ175+BP!DJ175</f>
        <v>96000</v>
      </c>
      <c r="DK175" s="106">
        <f>+PMGR!DK175+BP!DK175</f>
        <v>96000</v>
      </c>
      <c r="DL175" s="106">
        <f>+PMGR!DL175+BP!DL175</f>
        <v>96000</v>
      </c>
      <c r="DM175" s="106">
        <f>+PMGR!DM175+BP!DM175</f>
        <v>96000</v>
      </c>
      <c r="DN175" s="106">
        <f>+PMGR!DN175+BP!DN175</f>
        <v>96000</v>
      </c>
      <c r="DO175" s="106">
        <f>+PMGR!DO175+BP!DO175</f>
        <v>96000</v>
      </c>
      <c r="DP175" s="106">
        <f>+PMGR!DP175+BP!DP175</f>
        <v>96000</v>
      </c>
      <c r="DQ175" s="106">
        <f>+PMGR!DQ175+BP!DQ175</f>
        <v>96000</v>
      </c>
      <c r="DR175" s="106">
        <f>+PMGR!DR175+BP!DR175</f>
        <v>96000</v>
      </c>
      <c r="DS175" s="106">
        <f>+PMGR!DS175+BP!DS175</f>
        <v>96000</v>
      </c>
      <c r="DT175" s="106">
        <f>+PMGR!DT175+BP!DT175</f>
        <v>96000</v>
      </c>
      <c r="DU175" s="106">
        <f t="shared" si="849"/>
        <v>1152000</v>
      </c>
      <c r="DV175" s="106"/>
      <c r="DW175" s="106">
        <f>+PMGR!DW175+BP!DW175</f>
        <v>0</v>
      </c>
      <c r="DX175" s="106">
        <f>+PMGR!DX175+BP!DX175</f>
        <v>0</v>
      </c>
      <c r="DY175" s="106">
        <f>+PMGR!DY175+BP!DY175</f>
        <v>0</v>
      </c>
      <c r="DZ175" s="106">
        <f>+PMGR!DZ175+BP!DZ175</f>
        <v>0</v>
      </c>
      <c r="EA175" s="106">
        <f>+PMGR!EA175+BP!EA175</f>
        <v>0</v>
      </c>
      <c r="EB175" s="106">
        <f>+PMGR!EB175+BP!EB175</f>
        <v>0</v>
      </c>
      <c r="EC175" s="106">
        <f>+PMGR!EC175+BP!EC175</f>
        <v>0</v>
      </c>
      <c r="ED175" s="106">
        <f>+PMGR!ED175+BP!ED175</f>
        <v>0</v>
      </c>
      <c r="EE175" s="106">
        <f>+PMGR!EE175+BP!EE175</f>
        <v>0</v>
      </c>
      <c r="EF175" s="106">
        <f>+PMGR!EF175+BP!EF175</f>
        <v>0</v>
      </c>
      <c r="EG175" s="106">
        <f>+PMGR!EG175+BP!EG175</f>
        <v>0</v>
      </c>
      <c r="EH175" s="106">
        <f>+PMGR!EH175+BP!EH175</f>
        <v>0</v>
      </c>
      <c r="EI175" s="106">
        <f t="shared" si="850"/>
        <v>0</v>
      </c>
      <c r="EJ175" s="16" t="str">
        <f t="shared" si="681"/>
        <v>Xentry Finance Charge</v>
      </c>
      <c r="EK175" s="106">
        <f>+PMGR!EK175+BP!EK175</f>
        <v>0</v>
      </c>
      <c r="EL175" s="106">
        <f>+PMGR!EL175+BP!EL175</f>
        <v>0</v>
      </c>
      <c r="EM175" s="106">
        <f>+PMGR!EM175+BP!EM175</f>
        <v>0</v>
      </c>
      <c r="EN175" s="106">
        <f>+PMGR!EN175+BP!EN175</f>
        <v>0</v>
      </c>
      <c r="EO175" s="106">
        <f>+PMGR!EO175+BP!EO175</f>
        <v>0</v>
      </c>
      <c r="EP175" s="106">
        <f>+PMGR!EP175+BP!EP175</f>
        <v>45900.600000000006</v>
      </c>
      <c r="EQ175" s="106">
        <f>+PMGR!EQ175+BP!EQ175</f>
        <v>46358.400000000001</v>
      </c>
      <c r="ER175" s="106">
        <f>+PMGR!ER175+BP!ER175</f>
        <v>50000</v>
      </c>
      <c r="ES175" s="106">
        <f>+PMGR!ES175+BP!ES175</f>
        <v>50000</v>
      </c>
      <c r="ET175" s="106">
        <f>+PMGR!ET175+BP!ET175</f>
        <v>50000</v>
      </c>
      <c r="EU175" s="106">
        <f>+PMGR!EU175+BP!EU175</f>
        <v>0</v>
      </c>
      <c r="EV175" s="106">
        <f>+PMGR!EV175+BP!EV175</f>
        <v>0</v>
      </c>
      <c r="EW175" s="106">
        <f t="shared" si="851"/>
        <v>242259</v>
      </c>
      <c r="EX175" s="118"/>
      <c r="EY175" s="106">
        <f>+PMGR!EY175+BP!EY175</f>
        <v>50000</v>
      </c>
      <c r="EZ175" s="106">
        <f>+PMGR!EZ175+BP!EZ175</f>
        <v>50000</v>
      </c>
      <c r="FA175" s="106">
        <f>+PMGR!FA175+BP!FA175</f>
        <v>50000</v>
      </c>
      <c r="FB175" s="106">
        <f>+PMGR!FB175+BP!FB175</f>
        <v>50000</v>
      </c>
      <c r="FC175" s="106">
        <f>+PMGR!FC175+BP!FC175</f>
        <v>50000</v>
      </c>
      <c r="FD175" s="106">
        <f>+PMGR!FD175+BP!FD175</f>
        <v>50000</v>
      </c>
      <c r="FE175" s="106">
        <f>+PMGR!FE175+BP!FE175</f>
        <v>50000</v>
      </c>
      <c r="FF175" s="106">
        <f>+PMGR!FF175+BP!FF175</f>
        <v>50000</v>
      </c>
      <c r="FG175" s="106">
        <f>+PMGR!FG175+BP!FG175</f>
        <v>50000</v>
      </c>
      <c r="FH175" s="106">
        <f>+PMGR!FH175+BP!FH175</f>
        <v>50000</v>
      </c>
      <c r="FI175" s="106">
        <f>+PMGR!FI175+BP!FI175</f>
        <v>50000</v>
      </c>
      <c r="FJ175" s="106">
        <f>+PMGR!FJ175+BP!FJ175</f>
        <v>50000</v>
      </c>
      <c r="FK175" s="106">
        <f t="shared" si="852"/>
        <v>600000</v>
      </c>
    </row>
    <row r="176" spans="1:167" ht="14.45" hidden="1" customHeight="1" outlineLevel="2">
      <c r="A176" s="106">
        <f t="shared" si="838"/>
        <v>16439.666666666701</v>
      </c>
      <c r="B176" s="106">
        <f t="shared" si="838"/>
        <v>16439.666666666701</v>
      </c>
      <c r="C176" s="106">
        <f t="shared" si="838"/>
        <v>16439.666666666701</v>
      </c>
      <c r="D176" s="106">
        <f t="shared" si="838"/>
        <v>18580</v>
      </c>
      <c r="E176" s="106">
        <f t="shared" si="838"/>
        <v>18580</v>
      </c>
      <c r="F176" s="106">
        <f t="shared" si="838"/>
        <v>18580</v>
      </c>
      <c r="G176" s="106">
        <f t="shared" si="838"/>
        <v>18580</v>
      </c>
      <c r="H176" s="106">
        <f t="shared" si="838"/>
        <v>18580</v>
      </c>
      <c r="I176" s="106">
        <f t="shared" si="838"/>
        <v>18580</v>
      </c>
      <c r="J176" s="106">
        <f t="shared" si="838"/>
        <v>18580</v>
      </c>
      <c r="K176" s="106">
        <f t="shared" si="838"/>
        <v>18580</v>
      </c>
      <c r="L176" s="106">
        <f t="shared" si="838"/>
        <v>18580</v>
      </c>
      <c r="M176" s="106">
        <f t="shared" si="839"/>
        <v>216539.00000000012</v>
      </c>
      <c r="N176" s="16" t="s">
        <v>231</v>
      </c>
      <c r="O176" s="106">
        <f t="shared" si="840"/>
        <v>39707</v>
      </c>
      <c r="P176" s="106">
        <f t="shared" si="840"/>
        <v>38471</v>
      </c>
      <c r="Q176" s="106">
        <f t="shared" si="840"/>
        <v>38471</v>
      </c>
      <c r="R176" s="106">
        <f t="shared" si="840"/>
        <v>38471</v>
      </c>
      <c r="S176" s="106">
        <f t="shared" si="840"/>
        <v>83025.600000000006</v>
      </c>
      <c r="T176" s="106">
        <f t="shared" si="840"/>
        <v>100220</v>
      </c>
      <c r="U176" s="106">
        <f t="shared" si="840"/>
        <v>97931</v>
      </c>
      <c r="V176" s="106">
        <f t="shared" si="840"/>
        <v>23580</v>
      </c>
      <c r="W176" s="106">
        <f t="shared" si="840"/>
        <v>23580</v>
      </c>
      <c r="X176" s="106">
        <f t="shared" si="840"/>
        <v>23580</v>
      </c>
      <c r="Y176" s="106">
        <f t="shared" si="840"/>
        <v>0</v>
      </c>
      <c r="Z176" s="106">
        <f t="shared" si="840"/>
        <v>0</v>
      </c>
      <c r="AA176" s="106">
        <f t="shared" si="841"/>
        <v>507036.6</v>
      </c>
      <c r="AB176" s="118"/>
      <c r="AC176" s="106">
        <f t="shared" si="842"/>
        <v>23580</v>
      </c>
      <c r="AD176" s="106">
        <f t="shared" si="842"/>
        <v>23580</v>
      </c>
      <c r="AE176" s="106">
        <f t="shared" si="842"/>
        <v>23580</v>
      </c>
      <c r="AF176" s="106">
        <f t="shared" si="842"/>
        <v>23580</v>
      </c>
      <c r="AG176" s="106">
        <f t="shared" si="842"/>
        <v>23580</v>
      </c>
      <c r="AH176" s="106">
        <f t="shared" si="842"/>
        <v>23580</v>
      </c>
      <c r="AI176" s="106">
        <f t="shared" si="842"/>
        <v>23580</v>
      </c>
      <c r="AJ176" s="106">
        <f t="shared" si="842"/>
        <v>23580</v>
      </c>
      <c r="AK176" s="106">
        <f t="shared" si="842"/>
        <v>23580</v>
      </c>
      <c r="AL176" s="106">
        <f t="shared" si="842"/>
        <v>23580</v>
      </c>
      <c r="AM176" s="106">
        <f t="shared" si="842"/>
        <v>23580</v>
      </c>
      <c r="AN176" s="106">
        <f t="shared" si="842"/>
        <v>23580</v>
      </c>
      <c r="AO176" s="106">
        <f t="shared" si="843"/>
        <v>282960</v>
      </c>
      <c r="AP176" s="106"/>
      <c r="AQ176" s="106">
        <f>+PMGR!AQ176+BP!AQ176</f>
        <v>9863.8000000000193</v>
      </c>
      <c r="AR176" s="106">
        <f>+PMGR!AR176+BP!AR176</f>
        <v>9863.8000000000193</v>
      </c>
      <c r="AS176" s="106">
        <f>+PMGR!AS176+BP!AS176</f>
        <v>9863.8000000000193</v>
      </c>
      <c r="AT176" s="106">
        <f>+PMGR!AT176+BP!AT176</f>
        <v>11150</v>
      </c>
      <c r="AU176" s="106">
        <f>+PMGR!AU176+BP!AU176</f>
        <v>11150</v>
      </c>
      <c r="AV176" s="106">
        <f>+PMGR!AV176+BP!AV176</f>
        <v>11150</v>
      </c>
      <c r="AW176" s="106">
        <f>+PMGR!AW176+BP!AW176</f>
        <v>11150</v>
      </c>
      <c r="AX176" s="106">
        <f>+PMGR!AX176+BP!AX176</f>
        <v>11150</v>
      </c>
      <c r="AY176" s="106">
        <f>+PMGR!AY176+BP!AY176</f>
        <v>11150</v>
      </c>
      <c r="AZ176" s="106">
        <f>+PMGR!AZ176+BP!AZ176</f>
        <v>11150</v>
      </c>
      <c r="BA176" s="106">
        <f>+PMGR!BA176+BP!BA176</f>
        <v>11150</v>
      </c>
      <c r="BB176" s="106">
        <f>+PMGR!BB176+BP!BB176</f>
        <v>11150</v>
      </c>
      <c r="BC176" s="106">
        <f t="shared" si="844"/>
        <v>129941.40000000005</v>
      </c>
      <c r="BD176" s="16" t="str">
        <f t="shared" si="671"/>
        <v>Xentry Finance Charge Interest</v>
      </c>
      <c r="BE176" s="106">
        <f>+PMGR!BE176+BP!BE176</f>
        <v>23824.2</v>
      </c>
      <c r="BF176" s="106">
        <f>+PMGR!BF176+BP!BF176</f>
        <v>38471</v>
      </c>
      <c r="BG176" s="106">
        <f>+PMGR!BG176+BP!BG176</f>
        <v>38471</v>
      </c>
      <c r="BH176" s="106">
        <f>+PMGR!BH176+BP!BH176</f>
        <v>38471</v>
      </c>
      <c r="BI176" s="106">
        <f>+PMGR!BI176+BP!BI176</f>
        <v>62269.2</v>
      </c>
      <c r="BJ176" s="106">
        <f>+PMGR!BJ176+BP!BJ176</f>
        <v>50110</v>
      </c>
      <c r="BK176" s="106">
        <f>+PMGR!BK176+BP!BK176</f>
        <v>48965.5</v>
      </c>
      <c r="BL176" s="106">
        <f>+PMGR!BL176+BP!BL176</f>
        <v>11150</v>
      </c>
      <c r="BM176" s="106">
        <f>+PMGR!BM176+BP!BM176</f>
        <v>11150</v>
      </c>
      <c r="BN176" s="106">
        <f>+PMGR!BN176+BP!BN176</f>
        <v>11150</v>
      </c>
      <c r="BO176" s="106">
        <f>+PMGR!BO176+BP!BO176</f>
        <v>0</v>
      </c>
      <c r="BP176" s="106">
        <f>+PMGR!BP176+BP!BP176</f>
        <v>0</v>
      </c>
      <c r="BQ176" s="106">
        <f t="shared" si="845"/>
        <v>334031.90000000002</v>
      </c>
      <c r="BR176" s="118"/>
      <c r="BS176" s="106">
        <f>+PMGR!BS176+BP!BS176</f>
        <v>11150</v>
      </c>
      <c r="BT176" s="106">
        <f>+PMGR!BT176+BP!BT176</f>
        <v>11150</v>
      </c>
      <c r="BU176" s="106">
        <f>+PMGR!BU176+BP!BU176</f>
        <v>11150</v>
      </c>
      <c r="BV176" s="106">
        <f>+PMGR!BV176+BP!BV176</f>
        <v>11150</v>
      </c>
      <c r="BW176" s="106">
        <f>+PMGR!BW176+BP!BW176</f>
        <v>11150</v>
      </c>
      <c r="BX176" s="106">
        <f>+PMGR!BX176+BP!BX176</f>
        <v>11150</v>
      </c>
      <c r="BY176" s="106">
        <f>+PMGR!BY176+BP!BY176</f>
        <v>11150</v>
      </c>
      <c r="BZ176" s="106">
        <f>+PMGR!BZ176+BP!BZ176</f>
        <v>11150</v>
      </c>
      <c r="CA176" s="106">
        <f>+PMGR!CA176+BP!CA176</f>
        <v>11150</v>
      </c>
      <c r="CB176" s="106">
        <f>+PMGR!CB176+BP!CB176</f>
        <v>11150</v>
      </c>
      <c r="CC176" s="106">
        <f>+PMGR!CC176+BP!CC176</f>
        <v>11150</v>
      </c>
      <c r="CD176" s="106">
        <f>+PMGR!CD176+BP!CD176</f>
        <v>11150</v>
      </c>
      <c r="CE176" s="106">
        <f t="shared" si="846"/>
        <v>133800</v>
      </c>
      <c r="CF176" s="106"/>
      <c r="CG176" s="106">
        <f>+PMGR!CG176+BP!CG176</f>
        <v>6575.8666666666795</v>
      </c>
      <c r="CH176" s="106">
        <f>+PMGR!CH176+BP!CH176</f>
        <v>6575.8666666666795</v>
      </c>
      <c r="CI176" s="106">
        <f>+PMGR!CI176+BP!CI176</f>
        <v>6575.8666666666795</v>
      </c>
      <c r="CJ176" s="106">
        <f>+PMGR!CJ176+BP!CJ176</f>
        <v>7430</v>
      </c>
      <c r="CK176" s="106">
        <f>+PMGR!CK176+BP!CK176</f>
        <v>7430</v>
      </c>
      <c r="CL176" s="106">
        <f>+PMGR!CL176+BP!CL176</f>
        <v>7430</v>
      </c>
      <c r="CM176" s="106">
        <f>+PMGR!CM176+BP!CM176</f>
        <v>7430</v>
      </c>
      <c r="CN176" s="106">
        <f>+PMGR!CN176+BP!CN176</f>
        <v>7430</v>
      </c>
      <c r="CO176" s="106">
        <f>+PMGR!CO176+BP!CO176</f>
        <v>7430</v>
      </c>
      <c r="CP176" s="106">
        <f>+PMGR!CP176+BP!CP176</f>
        <v>7430</v>
      </c>
      <c r="CQ176" s="106">
        <f>+PMGR!CQ176+BP!CQ176</f>
        <v>7430</v>
      </c>
      <c r="CR176" s="106">
        <f>+PMGR!CR176+BP!CR176</f>
        <v>7430</v>
      </c>
      <c r="CS176" s="106">
        <f t="shared" si="847"/>
        <v>86597.600000000035</v>
      </c>
      <c r="CT176" s="16" t="str">
        <f t="shared" si="675"/>
        <v>Xentry Finance Charge Interest</v>
      </c>
      <c r="CU176" s="106">
        <f>+PMGR!CU176+BP!CU176</f>
        <v>15882.800000000001</v>
      </c>
      <c r="CV176" s="106">
        <f>+PMGR!CV176+BP!CV176</f>
        <v>0</v>
      </c>
      <c r="CW176" s="106">
        <f>+PMGR!CW176+BP!CW176</f>
        <v>0</v>
      </c>
      <c r="CX176" s="106">
        <f>+PMGR!CX176+BP!CX176</f>
        <v>0</v>
      </c>
      <c r="CY176" s="106">
        <f>+PMGR!CY176+BP!CY176</f>
        <v>20756.400000000001</v>
      </c>
      <c r="CZ176" s="106">
        <f>+PMGR!CZ176+BP!CZ176</f>
        <v>30066</v>
      </c>
      <c r="DA176" s="106">
        <f>+PMGR!DA176+BP!DA176</f>
        <v>29379.3</v>
      </c>
      <c r="DB176" s="106">
        <f>+PMGR!DB176+BP!DB176</f>
        <v>7430</v>
      </c>
      <c r="DC176" s="106">
        <f>+PMGR!DC176+BP!DC176</f>
        <v>7430</v>
      </c>
      <c r="DD176" s="106">
        <f>+PMGR!DD176+BP!DD176</f>
        <v>7430</v>
      </c>
      <c r="DE176" s="106">
        <f>+PMGR!DE176+BP!DE176</f>
        <v>0</v>
      </c>
      <c r="DF176" s="106">
        <f>+PMGR!DF176+BP!DF176</f>
        <v>0</v>
      </c>
      <c r="DG176" s="106">
        <f t="shared" si="848"/>
        <v>118374.50000000001</v>
      </c>
      <c r="DH176" s="118"/>
      <c r="DI176" s="106">
        <f>+PMGR!DI176+BP!DI176</f>
        <v>7430</v>
      </c>
      <c r="DJ176" s="106">
        <f>+PMGR!DJ176+BP!DJ176</f>
        <v>7430</v>
      </c>
      <c r="DK176" s="106">
        <f>+PMGR!DK176+BP!DK176</f>
        <v>7430</v>
      </c>
      <c r="DL176" s="106">
        <f>+PMGR!DL176+BP!DL176</f>
        <v>7430</v>
      </c>
      <c r="DM176" s="106">
        <f>+PMGR!DM176+BP!DM176</f>
        <v>7430</v>
      </c>
      <c r="DN176" s="106">
        <f>+PMGR!DN176+BP!DN176</f>
        <v>7430</v>
      </c>
      <c r="DO176" s="106">
        <f>+PMGR!DO176+BP!DO176</f>
        <v>7430</v>
      </c>
      <c r="DP176" s="106">
        <f>+PMGR!DP176+BP!DP176</f>
        <v>7430</v>
      </c>
      <c r="DQ176" s="106">
        <f>+PMGR!DQ176+BP!DQ176</f>
        <v>7430</v>
      </c>
      <c r="DR176" s="106">
        <f>+PMGR!DR176+BP!DR176</f>
        <v>7430</v>
      </c>
      <c r="DS176" s="106">
        <f>+PMGR!DS176+BP!DS176</f>
        <v>7430</v>
      </c>
      <c r="DT176" s="106">
        <f>+PMGR!DT176+BP!DT176</f>
        <v>7430</v>
      </c>
      <c r="DU176" s="106">
        <f t="shared" si="849"/>
        <v>89160</v>
      </c>
      <c r="DV176" s="106"/>
      <c r="DW176" s="106">
        <f>+PMGR!DW176+BP!DW176</f>
        <v>0</v>
      </c>
      <c r="DX176" s="106">
        <f>+PMGR!DX176+BP!DX176</f>
        <v>0</v>
      </c>
      <c r="DY176" s="106">
        <f>+PMGR!DY176+BP!DY176</f>
        <v>0</v>
      </c>
      <c r="DZ176" s="106">
        <f>+PMGR!DZ176+BP!DZ176</f>
        <v>0</v>
      </c>
      <c r="EA176" s="106">
        <f>+PMGR!EA176+BP!EA176</f>
        <v>0</v>
      </c>
      <c r="EB176" s="106">
        <f>+PMGR!EB176+BP!EB176</f>
        <v>0</v>
      </c>
      <c r="EC176" s="106">
        <f>+PMGR!EC176+BP!EC176</f>
        <v>0</v>
      </c>
      <c r="ED176" s="106">
        <f>+PMGR!ED176+BP!ED176</f>
        <v>0</v>
      </c>
      <c r="EE176" s="106">
        <f>+PMGR!EE176+BP!EE176</f>
        <v>0</v>
      </c>
      <c r="EF176" s="106">
        <f>+PMGR!EF176+BP!EF176</f>
        <v>0</v>
      </c>
      <c r="EG176" s="106">
        <f>+PMGR!EG176+BP!EG176</f>
        <v>0</v>
      </c>
      <c r="EH176" s="106">
        <f>+PMGR!EH176+BP!EH176</f>
        <v>0</v>
      </c>
      <c r="EI176" s="106">
        <f t="shared" si="850"/>
        <v>0</v>
      </c>
      <c r="EJ176" s="16" t="str">
        <f t="shared" si="681"/>
        <v>Xentry Finance Charge Interest</v>
      </c>
      <c r="EK176" s="106">
        <f>+PMGR!EK176+BP!EK176</f>
        <v>0</v>
      </c>
      <c r="EL176" s="106">
        <f>+PMGR!EL176+BP!EL176</f>
        <v>0</v>
      </c>
      <c r="EM176" s="106">
        <f>+PMGR!EM176+BP!EM176</f>
        <v>0</v>
      </c>
      <c r="EN176" s="106">
        <f>+PMGR!EN176+BP!EN176</f>
        <v>0</v>
      </c>
      <c r="EO176" s="106">
        <f>+PMGR!EO176+BP!EO176</f>
        <v>0</v>
      </c>
      <c r="EP176" s="106">
        <f>+PMGR!EP176+BP!EP176</f>
        <v>20044</v>
      </c>
      <c r="EQ176" s="106">
        <f>+PMGR!EQ176+BP!EQ176</f>
        <v>19586.2</v>
      </c>
      <c r="ER176" s="106">
        <f>+PMGR!ER176+BP!ER176</f>
        <v>5000</v>
      </c>
      <c r="ES176" s="106">
        <f>+PMGR!ES176+BP!ES176</f>
        <v>5000</v>
      </c>
      <c r="ET176" s="106">
        <f>+PMGR!ET176+BP!ET176</f>
        <v>5000</v>
      </c>
      <c r="EU176" s="106">
        <f>+PMGR!EU176+BP!EU176</f>
        <v>0</v>
      </c>
      <c r="EV176" s="106">
        <f>+PMGR!EV176+BP!EV176</f>
        <v>0</v>
      </c>
      <c r="EW176" s="106">
        <f t="shared" si="851"/>
        <v>54630.2</v>
      </c>
      <c r="EX176" s="118"/>
      <c r="EY176" s="106">
        <f>+PMGR!EY176+BP!EY176</f>
        <v>5000</v>
      </c>
      <c r="EZ176" s="106">
        <f>+PMGR!EZ176+BP!EZ176</f>
        <v>5000</v>
      </c>
      <c r="FA176" s="106">
        <f>+PMGR!FA176+BP!FA176</f>
        <v>5000</v>
      </c>
      <c r="FB176" s="106">
        <f>+PMGR!FB176+BP!FB176</f>
        <v>5000</v>
      </c>
      <c r="FC176" s="106">
        <f>+PMGR!FC176+BP!FC176</f>
        <v>5000</v>
      </c>
      <c r="FD176" s="106">
        <f>+PMGR!FD176+BP!FD176</f>
        <v>5000</v>
      </c>
      <c r="FE176" s="106">
        <f>+PMGR!FE176+BP!FE176</f>
        <v>5000</v>
      </c>
      <c r="FF176" s="106">
        <f>+PMGR!FF176+BP!FF176</f>
        <v>5000</v>
      </c>
      <c r="FG176" s="106">
        <f>+PMGR!FG176+BP!FG176</f>
        <v>5000</v>
      </c>
      <c r="FH176" s="106">
        <f>+PMGR!FH176+BP!FH176</f>
        <v>5000</v>
      </c>
      <c r="FI176" s="106">
        <f>+PMGR!FI176+BP!FI176</f>
        <v>5000</v>
      </c>
      <c r="FJ176" s="106">
        <f>+PMGR!FJ176+BP!FJ176</f>
        <v>5000</v>
      </c>
      <c r="FK176" s="106">
        <f t="shared" si="852"/>
        <v>60000</v>
      </c>
    </row>
    <row r="177" spans="1:167" ht="14.45" hidden="1" customHeight="1" outlineLevel="2">
      <c r="A177" s="106">
        <f t="shared" si="838"/>
        <v>7591.1985000000004</v>
      </c>
      <c r="B177" s="106">
        <f t="shared" si="838"/>
        <v>7506</v>
      </c>
      <c r="C177" s="106">
        <f t="shared" si="838"/>
        <v>2659.3245000000011</v>
      </c>
      <c r="D177" s="106">
        <f t="shared" si="838"/>
        <v>7506</v>
      </c>
      <c r="E177" s="106">
        <f t="shared" si="838"/>
        <v>7506</v>
      </c>
      <c r="F177" s="106">
        <f t="shared" si="838"/>
        <v>7506</v>
      </c>
      <c r="G177" s="106">
        <f t="shared" si="838"/>
        <v>7506</v>
      </c>
      <c r="H177" s="106">
        <f t="shared" si="838"/>
        <v>7506</v>
      </c>
      <c r="I177" s="106">
        <f t="shared" si="838"/>
        <v>7506.1485000000002</v>
      </c>
      <c r="J177" s="106">
        <f t="shared" si="838"/>
        <v>39367</v>
      </c>
      <c r="K177" s="106">
        <f t="shared" si="838"/>
        <v>6621.174</v>
      </c>
      <c r="L177" s="106">
        <f t="shared" si="838"/>
        <v>5993.28</v>
      </c>
      <c r="M177" s="106">
        <f t="shared" si="839"/>
        <v>114774.12549999999</v>
      </c>
      <c r="N177" s="16" t="s">
        <v>232</v>
      </c>
      <c r="O177" s="106">
        <f t="shared" si="840"/>
        <v>7115.33</v>
      </c>
      <c r="P177" s="106">
        <f t="shared" si="840"/>
        <v>7115.33</v>
      </c>
      <c r="Q177" s="106">
        <f t="shared" si="840"/>
        <v>7295.6384999999973</v>
      </c>
      <c r="R177" s="106">
        <f t="shared" si="840"/>
        <v>7115.6384999999973</v>
      </c>
      <c r="S177" s="106">
        <f t="shared" si="840"/>
        <v>38976.458500000001</v>
      </c>
      <c r="T177" s="106">
        <f t="shared" si="840"/>
        <v>23904.688500000004</v>
      </c>
      <c r="U177" s="106">
        <f t="shared" si="840"/>
        <v>7322.2043333333795</v>
      </c>
      <c r="V177" s="106">
        <f t="shared" si="840"/>
        <v>7322.5515000000014</v>
      </c>
      <c r="W177" s="106">
        <f t="shared" si="840"/>
        <v>37322.699999999997</v>
      </c>
      <c r="X177" s="106">
        <f t="shared" si="840"/>
        <v>7322.6999999999953</v>
      </c>
      <c r="Y177" s="106">
        <f t="shared" si="840"/>
        <v>0</v>
      </c>
      <c r="Z177" s="106">
        <f t="shared" si="840"/>
        <v>0</v>
      </c>
      <c r="AA177" s="106">
        <f t="shared" si="841"/>
        <v>150813.23983333338</v>
      </c>
      <c r="AB177" s="118"/>
      <c r="AC177" s="106">
        <f t="shared" si="842"/>
        <v>25775</v>
      </c>
      <c r="AD177" s="106">
        <f t="shared" si="842"/>
        <v>25775</v>
      </c>
      <c r="AE177" s="106">
        <f t="shared" si="842"/>
        <v>25775</v>
      </c>
      <c r="AF177" s="106">
        <f t="shared" si="842"/>
        <v>25775</v>
      </c>
      <c r="AG177" s="106">
        <f t="shared" si="842"/>
        <v>25775</v>
      </c>
      <c r="AH177" s="106">
        <f t="shared" si="842"/>
        <v>25775</v>
      </c>
      <c r="AI177" s="106">
        <f t="shared" si="842"/>
        <v>25775</v>
      </c>
      <c r="AJ177" s="106">
        <f t="shared" si="842"/>
        <v>25775</v>
      </c>
      <c r="AK177" s="106">
        <f t="shared" si="842"/>
        <v>25775</v>
      </c>
      <c r="AL177" s="106">
        <f t="shared" si="842"/>
        <v>25775</v>
      </c>
      <c r="AM177" s="106">
        <f t="shared" si="842"/>
        <v>25775</v>
      </c>
      <c r="AN177" s="106">
        <f t="shared" si="842"/>
        <v>25775</v>
      </c>
      <c r="AO177" s="106">
        <f t="shared" si="843"/>
        <v>309300</v>
      </c>
      <c r="AP177" s="106"/>
      <c r="AQ177" s="106">
        <f>+PMGR!AQ177+BP!AQ177</f>
        <v>5060.799</v>
      </c>
      <c r="AR177" s="106">
        <f>+PMGR!AR177+BP!AR177</f>
        <v>5004</v>
      </c>
      <c r="AS177" s="106">
        <f>+PMGR!AS177+BP!AS177</f>
        <v>1772.8830000000007</v>
      </c>
      <c r="AT177" s="106">
        <f>+PMGR!AT177+BP!AT177</f>
        <v>5004</v>
      </c>
      <c r="AU177" s="106">
        <f>+PMGR!AU177+BP!AU177</f>
        <v>5004</v>
      </c>
      <c r="AV177" s="106">
        <f>+PMGR!AV177+BP!AV177</f>
        <v>5004</v>
      </c>
      <c r="AW177" s="106">
        <f>+PMGR!AW177+BP!AW177</f>
        <v>5004</v>
      </c>
      <c r="AX177" s="106">
        <f>+PMGR!AX177+BP!AX177</f>
        <v>5004</v>
      </c>
      <c r="AY177" s="106">
        <f>+PMGR!AY177+BP!AY177</f>
        <v>5004.0990000000002</v>
      </c>
      <c r="AZ177" s="106">
        <f>+PMGR!AZ177+BP!AZ177</f>
        <v>36865</v>
      </c>
      <c r="BA177" s="106">
        <f>+PMGR!BA177+BP!BA177</f>
        <v>4414.116</v>
      </c>
      <c r="BB177" s="106">
        <f>+PMGR!BB177+BP!BB177</f>
        <v>3995.58</v>
      </c>
      <c r="BC177" s="106">
        <f t="shared" si="844"/>
        <v>87136.476999999999</v>
      </c>
      <c r="BD177" s="16" t="str">
        <f t="shared" si="671"/>
        <v>Other Software Charges</v>
      </c>
      <c r="BE177" s="106">
        <f>+PMGR!BE177+BP!BE177</f>
        <v>4743.28</v>
      </c>
      <c r="BF177" s="106">
        <f>+PMGR!BF177+BP!BF177</f>
        <v>4743.28</v>
      </c>
      <c r="BG177" s="106">
        <f>+PMGR!BG177+BP!BG177</f>
        <v>4923.7589999999973</v>
      </c>
      <c r="BH177" s="106">
        <f>+PMGR!BH177+BP!BH177</f>
        <v>4743.7589999999973</v>
      </c>
      <c r="BI177" s="106">
        <f>+PMGR!BI177+BP!BI177</f>
        <v>36604.578999999998</v>
      </c>
      <c r="BJ177" s="106">
        <f>+PMGR!BJ177+BP!BJ177</f>
        <v>15936.459000000003</v>
      </c>
      <c r="BK177" s="106">
        <f>+PMGR!BK177+BP!BK177</f>
        <v>4881.4695555555991</v>
      </c>
      <c r="BL177" s="106">
        <f>+PMGR!BL177+BP!BL177</f>
        <v>4881.7010000000009</v>
      </c>
      <c r="BM177" s="106">
        <f>+PMGR!BM177+BP!BM177</f>
        <v>34881.799999999996</v>
      </c>
      <c r="BN177" s="106">
        <f>+PMGR!BN177+BP!BN177</f>
        <v>4881.7999999999956</v>
      </c>
      <c r="BO177" s="106">
        <f>+PMGR!BO177+BP!BO177</f>
        <v>0</v>
      </c>
      <c r="BP177" s="106">
        <f>+PMGR!BP177+BP!BP177</f>
        <v>0</v>
      </c>
      <c r="BQ177" s="106">
        <f t="shared" si="845"/>
        <v>121221.88655555557</v>
      </c>
      <c r="BR177" s="118"/>
      <c r="BS177" s="106">
        <f>+PMGR!BS177+BP!BS177</f>
        <v>11850</v>
      </c>
      <c r="BT177" s="106">
        <f>+PMGR!BT177+BP!BT177</f>
        <v>11850</v>
      </c>
      <c r="BU177" s="106">
        <f>+PMGR!BU177+BP!BU177</f>
        <v>11850</v>
      </c>
      <c r="BV177" s="106">
        <f>+PMGR!BV177+BP!BV177</f>
        <v>11850</v>
      </c>
      <c r="BW177" s="106">
        <f>+PMGR!BW177+BP!BW177</f>
        <v>11850</v>
      </c>
      <c r="BX177" s="106">
        <f>+PMGR!BX177+BP!BX177</f>
        <v>11850</v>
      </c>
      <c r="BY177" s="106">
        <f>+PMGR!BY177+BP!BY177</f>
        <v>11850</v>
      </c>
      <c r="BZ177" s="106">
        <f>+PMGR!BZ177+BP!BZ177</f>
        <v>11850</v>
      </c>
      <c r="CA177" s="106">
        <f>+PMGR!CA177+BP!CA177</f>
        <v>11850</v>
      </c>
      <c r="CB177" s="106">
        <f>+PMGR!CB177+BP!CB177</f>
        <v>11850</v>
      </c>
      <c r="CC177" s="106">
        <f>+PMGR!CC177+BP!CC177</f>
        <v>11850</v>
      </c>
      <c r="CD177" s="106">
        <f>+PMGR!CD177+BP!CD177</f>
        <v>11850</v>
      </c>
      <c r="CE177" s="106">
        <f t="shared" si="846"/>
        <v>142200</v>
      </c>
      <c r="CF177" s="106"/>
      <c r="CG177" s="106">
        <f>+PMGR!CG177+BP!CG177</f>
        <v>2530.3995</v>
      </c>
      <c r="CH177" s="106">
        <f>+PMGR!CH177+BP!CH177</f>
        <v>2502</v>
      </c>
      <c r="CI177" s="106">
        <f>+PMGR!CI177+BP!CI177</f>
        <v>886.44150000000036</v>
      </c>
      <c r="CJ177" s="106">
        <f>+PMGR!CJ177+BP!CJ177</f>
        <v>2502</v>
      </c>
      <c r="CK177" s="106">
        <f>+PMGR!CK177+BP!CK177</f>
        <v>2502</v>
      </c>
      <c r="CL177" s="106">
        <f>+PMGR!CL177+BP!CL177</f>
        <v>2502</v>
      </c>
      <c r="CM177" s="106">
        <f>+PMGR!CM177+BP!CM177</f>
        <v>2502</v>
      </c>
      <c r="CN177" s="106">
        <f>+PMGR!CN177+BP!CN177</f>
        <v>2502</v>
      </c>
      <c r="CO177" s="106">
        <f>+PMGR!CO177+BP!CO177</f>
        <v>2502.0495000000001</v>
      </c>
      <c r="CP177" s="106">
        <f>+PMGR!CP177+BP!CP177</f>
        <v>2502</v>
      </c>
      <c r="CQ177" s="106">
        <f>+PMGR!CQ177+BP!CQ177</f>
        <v>2207.058</v>
      </c>
      <c r="CR177" s="106">
        <f>+PMGR!CR177+BP!CR177</f>
        <v>1997.6999999999998</v>
      </c>
      <c r="CS177" s="106">
        <f t="shared" si="847"/>
        <v>27637.648500000003</v>
      </c>
      <c r="CT177" s="16" t="str">
        <f t="shared" si="675"/>
        <v>Other Software Charges</v>
      </c>
      <c r="CU177" s="106">
        <f>+PMGR!CU177+BP!CU177</f>
        <v>2372.0499999999997</v>
      </c>
      <c r="CV177" s="106">
        <f>+PMGR!CV177+BP!CV177</f>
        <v>2372.0499999999997</v>
      </c>
      <c r="CW177" s="106">
        <f>+PMGR!CW177+BP!CW177</f>
        <v>2371.8795</v>
      </c>
      <c r="CX177" s="106">
        <f>+PMGR!CX177+BP!CX177</f>
        <v>2371.8795</v>
      </c>
      <c r="CY177" s="106">
        <f>+PMGR!CY177+BP!CY177</f>
        <v>2371.8795</v>
      </c>
      <c r="CZ177" s="106">
        <f>+PMGR!CZ177+BP!CZ177</f>
        <v>7968.2294999999995</v>
      </c>
      <c r="DA177" s="106">
        <f>+PMGR!DA177+BP!DA177</f>
        <v>2440.7347777777804</v>
      </c>
      <c r="DB177" s="106">
        <f>+PMGR!DB177+BP!DB177</f>
        <v>2440.8505000000005</v>
      </c>
      <c r="DC177" s="106">
        <f>+PMGR!DC177+BP!DC177</f>
        <v>2440.9</v>
      </c>
      <c r="DD177" s="106">
        <f>+PMGR!DD177+BP!DD177</f>
        <v>2440.9</v>
      </c>
      <c r="DE177" s="106">
        <f>+PMGR!DE177+BP!DE177</f>
        <v>0</v>
      </c>
      <c r="DF177" s="106">
        <f>+PMGR!DF177+BP!DF177</f>
        <v>0</v>
      </c>
      <c r="DG177" s="106">
        <f t="shared" si="848"/>
        <v>29591.353277777784</v>
      </c>
      <c r="DH177" s="118"/>
      <c r="DI177" s="106">
        <f>+PMGR!DI177+BP!DI177</f>
        <v>5925</v>
      </c>
      <c r="DJ177" s="106">
        <f>+PMGR!DJ177+BP!DJ177</f>
        <v>5925</v>
      </c>
      <c r="DK177" s="106">
        <f>+PMGR!DK177+BP!DK177</f>
        <v>5925</v>
      </c>
      <c r="DL177" s="106">
        <f>+PMGR!DL177+BP!DL177</f>
        <v>5925</v>
      </c>
      <c r="DM177" s="106">
        <f>+PMGR!DM177+BP!DM177</f>
        <v>5925</v>
      </c>
      <c r="DN177" s="106">
        <f>+PMGR!DN177+BP!DN177</f>
        <v>5925</v>
      </c>
      <c r="DO177" s="106">
        <f>+PMGR!DO177+BP!DO177</f>
        <v>5925</v>
      </c>
      <c r="DP177" s="106">
        <f>+PMGR!DP177+BP!DP177</f>
        <v>5925</v>
      </c>
      <c r="DQ177" s="106">
        <f>+PMGR!DQ177+BP!DQ177</f>
        <v>5925</v>
      </c>
      <c r="DR177" s="106">
        <f>+PMGR!DR177+BP!DR177</f>
        <v>5925</v>
      </c>
      <c r="DS177" s="106">
        <f>+PMGR!DS177+BP!DS177</f>
        <v>5925</v>
      </c>
      <c r="DT177" s="106">
        <f>+PMGR!DT177+BP!DT177</f>
        <v>5925</v>
      </c>
      <c r="DU177" s="106">
        <f t="shared" si="849"/>
        <v>71100</v>
      </c>
      <c r="DV177" s="106"/>
      <c r="DW177" s="106">
        <f>+PMGR!DW177+BP!DW177</f>
        <v>0</v>
      </c>
      <c r="DX177" s="106">
        <f>+PMGR!DX177+BP!DX177</f>
        <v>0</v>
      </c>
      <c r="DY177" s="106">
        <f>+PMGR!DY177+BP!DY177</f>
        <v>0</v>
      </c>
      <c r="DZ177" s="106">
        <f>+PMGR!DZ177+BP!DZ177</f>
        <v>0</v>
      </c>
      <c r="EA177" s="106">
        <f>+PMGR!EA177+BP!EA177</f>
        <v>0</v>
      </c>
      <c r="EB177" s="106">
        <f>+PMGR!EB177+BP!EB177</f>
        <v>0</v>
      </c>
      <c r="EC177" s="106">
        <f>+PMGR!EC177+BP!EC177</f>
        <v>0</v>
      </c>
      <c r="ED177" s="106">
        <f>+PMGR!ED177+BP!ED177</f>
        <v>0</v>
      </c>
      <c r="EE177" s="106">
        <f>+PMGR!EE177+BP!EE177</f>
        <v>0</v>
      </c>
      <c r="EF177" s="106">
        <f>+PMGR!EF177+BP!EF177</f>
        <v>0</v>
      </c>
      <c r="EG177" s="106">
        <f>+PMGR!EG177+BP!EG177</f>
        <v>0</v>
      </c>
      <c r="EH177" s="106">
        <f>+PMGR!EH177+BP!EH177</f>
        <v>0</v>
      </c>
      <c r="EI177" s="106">
        <f t="shared" si="850"/>
        <v>0</v>
      </c>
      <c r="EJ177" s="16" t="str">
        <f t="shared" si="681"/>
        <v>Other Software Charges</v>
      </c>
      <c r="EK177" s="106">
        <f>+PMGR!EK177+BP!EK177</f>
        <v>0</v>
      </c>
      <c r="EL177" s="106">
        <f>+PMGR!EL177+BP!EL177</f>
        <v>0</v>
      </c>
      <c r="EM177" s="106">
        <f>+PMGR!EM177+BP!EM177</f>
        <v>0</v>
      </c>
      <c r="EN177" s="106">
        <f>+PMGR!EN177+BP!EN177</f>
        <v>0</v>
      </c>
      <c r="EO177" s="106">
        <f>+PMGR!EO177+BP!EO177</f>
        <v>0</v>
      </c>
      <c r="EP177" s="106">
        <f>+PMGR!EP177+BP!EP177</f>
        <v>0</v>
      </c>
      <c r="EQ177" s="106">
        <f>+PMGR!EQ177+BP!EQ177</f>
        <v>0</v>
      </c>
      <c r="ER177" s="106">
        <f>+PMGR!ER177+BP!ER177</f>
        <v>0</v>
      </c>
      <c r="ES177" s="106">
        <f>+PMGR!ES177+BP!ES177</f>
        <v>0</v>
      </c>
      <c r="ET177" s="106">
        <f>+PMGR!ET177+BP!ET177</f>
        <v>0</v>
      </c>
      <c r="EU177" s="106">
        <f>+PMGR!EU177+BP!EU177</f>
        <v>0</v>
      </c>
      <c r="EV177" s="106">
        <f>+PMGR!EV177+BP!EV177</f>
        <v>0</v>
      </c>
      <c r="EW177" s="106">
        <f t="shared" si="851"/>
        <v>0</v>
      </c>
      <c r="EX177" s="118"/>
      <c r="EY177" s="106">
        <f>+PMGR!EY177+BP!EY177</f>
        <v>8000</v>
      </c>
      <c r="EZ177" s="106">
        <f>+PMGR!EZ177+BP!EZ177</f>
        <v>8000</v>
      </c>
      <c r="FA177" s="106">
        <f>+PMGR!FA177+BP!FA177</f>
        <v>8000</v>
      </c>
      <c r="FB177" s="106">
        <f>+PMGR!FB177+BP!FB177</f>
        <v>8000</v>
      </c>
      <c r="FC177" s="106">
        <f>+PMGR!FC177+BP!FC177</f>
        <v>8000</v>
      </c>
      <c r="FD177" s="106">
        <f>+PMGR!FD177+BP!FD177</f>
        <v>8000</v>
      </c>
      <c r="FE177" s="106">
        <f>+PMGR!FE177+BP!FE177</f>
        <v>8000</v>
      </c>
      <c r="FF177" s="106">
        <f>+PMGR!FF177+BP!FF177</f>
        <v>8000</v>
      </c>
      <c r="FG177" s="106">
        <f>+PMGR!FG177+BP!FG177</f>
        <v>8000</v>
      </c>
      <c r="FH177" s="106">
        <f>+PMGR!FH177+BP!FH177</f>
        <v>8000</v>
      </c>
      <c r="FI177" s="106">
        <f>+PMGR!FI177+BP!FI177</f>
        <v>8000</v>
      </c>
      <c r="FJ177" s="106">
        <f>+PMGR!FJ177+BP!FJ177</f>
        <v>8000</v>
      </c>
      <c r="FK177" s="106">
        <f t="shared" si="852"/>
        <v>96000</v>
      </c>
    </row>
    <row r="178" spans="1:167" ht="14.45" customHeight="1" outlineLevel="1" collapsed="1">
      <c r="A178" s="58">
        <f t="shared" ref="A178:L178" si="853">+SUM(A179:A181)</f>
        <v>246742.90099999998</v>
      </c>
      <c r="B178" s="58">
        <f t="shared" si="853"/>
        <v>217512.5</v>
      </c>
      <c r="C178" s="58">
        <f t="shared" si="853"/>
        <v>239405.05099999998</v>
      </c>
      <c r="D178" s="58">
        <f t="shared" si="853"/>
        <v>245959.31</v>
      </c>
      <c r="E178" s="58">
        <f t="shared" si="853"/>
        <v>285287.67</v>
      </c>
      <c r="F178" s="58">
        <f t="shared" si="853"/>
        <v>266062.09999999998</v>
      </c>
      <c r="G178" s="58">
        <f t="shared" si="853"/>
        <v>246359.31000000003</v>
      </c>
      <c r="H178" s="58">
        <f t="shared" si="853"/>
        <v>231934.90000000002</v>
      </c>
      <c r="I178" s="58">
        <f t="shared" si="853"/>
        <v>304000.61</v>
      </c>
      <c r="J178" s="58">
        <f t="shared" si="853"/>
        <v>222635.46000000002</v>
      </c>
      <c r="K178" s="58">
        <f t="shared" si="853"/>
        <v>259129.5</v>
      </c>
      <c r="L178" s="58">
        <f t="shared" si="853"/>
        <v>285154.20999999996</v>
      </c>
      <c r="M178" s="58"/>
      <c r="N178" s="20" t="s">
        <v>147</v>
      </c>
      <c r="O178" s="58">
        <f t="shared" ref="O178:AA178" si="854">+SUM(O179:O181)</f>
        <v>597661.69999999995</v>
      </c>
      <c r="P178" s="58">
        <f t="shared" si="854"/>
        <v>592815.09000000008</v>
      </c>
      <c r="Q178" s="58">
        <f t="shared" si="854"/>
        <v>447638</v>
      </c>
      <c r="R178" s="58">
        <f t="shared" si="854"/>
        <v>634818.78</v>
      </c>
      <c r="S178" s="58">
        <f t="shared" si="854"/>
        <v>792010.79999999993</v>
      </c>
      <c r="T178" s="58">
        <f t="shared" si="854"/>
        <v>624498.77</v>
      </c>
      <c r="U178" s="58">
        <f t="shared" si="854"/>
        <v>654023.35499999998</v>
      </c>
      <c r="V178" s="58">
        <f t="shared" si="854"/>
        <v>583793</v>
      </c>
      <c r="W178" s="58">
        <f t="shared" si="854"/>
        <v>602641.85</v>
      </c>
      <c r="X178" s="58">
        <f t="shared" si="854"/>
        <v>653166.36</v>
      </c>
      <c r="Y178" s="58">
        <f t="shared" si="854"/>
        <v>0</v>
      </c>
      <c r="Z178" s="58">
        <f t="shared" si="854"/>
        <v>0</v>
      </c>
      <c r="AA178" s="58">
        <f t="shared" si="854"/>
        <v>6183067.7050000001</v>
      </c>
      <c r="AB178" s="118"/>
      <c r="AC178" s="58">
        <f t="shared" ref="AC178:AN178" si="855">+SUM(AC179:AC181)</f>
        <v>602896.38690909091</v>
      </c>
      <c r="AD178" s="58">
        <f t="shared" si="855"/>
        <v>602896.38690909091</v>
      </c>
      <c r="AE178" s="58">
        <f t="shared" si="855"/>
        <v>602896.38690909091</v>
      </c>
      <c r="AF178" s="58">
        <f t="shared" si="855"/>
        <v>602896.38690909091</v>
      </c>
      <c r="AG178" s="58">
        <f t="shared" si="855"/>
        <v>602896.38690909091</v>
      </c>
      <c r="AH178" s="58">
        <f t="shared" si="855"/>
        <v>602896.38690909091</v>
      </c>
      <c r="AI178" s="58">
        <f t="shared" si="855"/>
        <v>602896.38690909091</v>
      </c>
      <c r="AJ178" s="58">
        <f t="shared" si="855"/>
        <v>602896.38690909091</v>
      </c>
      <c r="AK178" s="58">
        <f t="shared" si="855"/>
        <v>602896.38690909091</v>
      </c>
      <c r="AL178" s="58">
        <f t="shared" si="855"/>
        <v>602896.38690909091</v>
      </c>
      <c r="AM178" s="58">
        <f t="shared" si="855"/>
        <v>602896.38690909091</v>
      </c>
      <c r="AN178" s="58">
        <f t="shared" si="855"/>
        <v>602896.38690909091</v>
      </c>
      <c r="AO178" s="58"/>
      <c r="AP178" s="106"/>
      <c r="AQ178" s="58">
        <f t="shared" ref="AQ178:BC178" si="856">+SUM(AQ179:AQ181)</f>
        <v>172934.93400000001</v>
      </c>
      <c r="AR178" s="58">
        <f t="shared" si="856"/>
        <v>152440</v>
      </c>
      <c r="AS178" s="58">
        <f t="shared" si="856"/>
        <v>173595.03399999999</v>
      </c>
      <c r="AT178" s="58">
        <f t="shared" si="856"/>
        <v>192518.06</v>
      </c>
      <c r="AU178" s="58">
        <f t="shared" si="856"/>
        <v>221166.23</v>
      </c>
      <c r="AV178" s="58">
        <f t="shared" si="856"/>
        <v>169621.6</v>
      </c>
      <c r="AW178" s="58">
        <f t="shared" si="856"/>
        <v>173397.94</v>
      </c>
      <c r="AX178" s="58">
        <f t="shared" si="856"/>
        <v>141120.6</v>
      </c>
      <c r="AY178" s="58">
        <f t="shared" si="856"/>
        <v>172616.61</v>
      </c>
      <c r="AZ178" s="58">
        <f t="shared" si="856"/>
        <v>170324</v>
      </c>
      <c r="BA178" s="58">
        <f t="shared" si="856"/>
        <v>161445</v>
      </c>
      <c r="BB178" s="58">
        <f t="shared" si="856"/>
        <v>185682.21</v>
      </c>
      <c r="BC178" s="58">
        <f t="shared" si="856"/>
        <v>2086862.2180000001</v>
      </c>
      <c r="BD178" s="20" t="str">
        <f t="shared" si="671"/>
        <v>Utilities</v>
      </c>
      <c r="BE178" s="58">
        <f t="shared" ref="BE178:BQ178" si="857">+SUM(BE179:BE181)</f>
        <v>169545</v>
      </c>
      <c r="BF178" s="58">
        <f t="shared" si="857"/>
        <v>159540.09</v>
      </c>
      <c r="BG178" s="58">
        <f t="shared" si="857"/>
        <v>154094</v>
      </c>
      <c r="BH178" s="58">
        <f t="shared" si="857"/>
        <v>193052.54</v>
      </c>
      <c r="BI178" s="58">
        <f t="shared" si="857"/>
        <v>186913.3</v>
      </c>
      <c r="BJ178" s="58">
        <f t="shared" si="857"/>
        <v>251880.57</v>
      </c>
      <c r="BK178" s="58">
        <f t="shared" si="857"/>
        <v>169744.73</v>
      </c>
      <c r="BL178" s="58">
        <f t="shared" si="857"/>
        <v>158290.5</v>
      </c>
      <c r="BM178" s="58">
        <f t="shared" si="857"/>
        <v>158203.35</v>
      </c>
      <c r="BN178" s="58">
        <f t="shared" si="857"/>
        <v>180972.95</v>
      </c>
      <c r="BO178" s="58">
        <f t="shared" si="857"/>
        <v>0</v>
      </c>
      <c r="BP178" s="58">
        <f t="shared" si="857"/>
        <v>0</v>
      </c>
      <c r="BQ178" s="58">
        <f t="shared" si="857"/>
        <v>1782237.0299999998</v>
      </c>
      <c r="BR178" s="118"/>
      <c r="BS178" s="58">
        <f t="shared" ref="BS178:CE178" si="858">+SUM(BS179:BS181)</f>
        <v>156796.38690909091</v>
      </c>
      <c r="BT178" s="58">
        <f t="shared" si="858"/>
        <v>156796.38690909091</v>
      </c>
      <c r="BU178" s="58">
        <f t="shared" si="858"/>
        <v>156796.38690909091</v>
      </c>
      <c r="BV178" s="58">
        <f t="shared" si="858"/>
        <v>156796.38690909091</v>
      </c>
      <c r="BW178" s="58">
        <f t="shared" si="858"/>
        <v>156796.38690909091</v>
      </c>
      <c r="BX178" s="58">
        <f t="shared" si="858"/>
        <v>156796.38690909091</v>
      </c>
      <c r="BY178" s="58">
        <f t="shared" si="858"/>
        <v>156796.38690909091</v>
      </c>
      <c r="BZ178" s="58">
        <f t="shared" si="858"/>
        <v>156796.38690909091</v>
      </c>
      <c r="CA178" s="58">
        <f t="shared" si="858"/>
        <v>156796.38690909091</v>
      </c>
      <c r="CB178" s="58">
        <f t="shared" si="858"/>
        <v>156796.38690909091</v>
      </c>
      <c r="CC178" s="58">
        <f t="shared" si="858"/>
        <v>156796.38690909091</v>
      </c>
      <c r="CD178" s="58">
        <f t="shared" si="858"/>
        <v>156796.38690909091</v>
      </c>
      <c r="CE178" s="58">
        <f t="shared" si="858"/>
        <v>1881556.642909091</v>
      </c>
      <c r="CF178" s="106"/>
      <c r="CG178" s="58">
        <f t="shared" ref="CG178:CS178" si="859">+SUM(CG179:CG181)</f>
        <v>73807.967000000004</v>
      </c>
      <c r="CH178" s="58">
        <f t="shared" si="859"/>
        <v>65072.5</v>
      </c>
      <c r="CI178" s="58">
        <f t="shared" si="859"/>
        <v>65810.016999999993</v>
      </c>
      <c r="CJ178" s="58">
        <f t="shared" si="859"/>
        <v>53441.25</v>
      </c>
      <c r="CK178" s="58">
        <f t="shared" si="859"/>
        <v>64121.440000000002</v>
      </c>
      <c r="CL178" s="58">
        <f t="shared" si="859"/>
        <v>96440.5</v>
      </c>
      <c r="CM178" s="58">
        <f t="shared" si="859"/>
        <v>72961.37</v>
      </c>
      <c r="CN178" s="58">
        <f t="shared" si="859"/>
        <v>90814.3</v>
      </c>
      <c r="CO178" s="58">
        <f t="shared" si="859"/>
        <v>131384</v>
      </c>
      <c r="CP178" s="58">
        <f t="shared" si="859"/>
        <v>52311.46</v>
      </c>
      <c r="CQ178" s="58">
        <f t="shared" si="859"/>
        <v>97684.5</v>
      </c>
      <c r="CR178" s="58">
        <f t="shared" si="859"/>
        <v>99472</v>
      </c>
      <c r="CS178" s="58">
        <f t="shared" si="859"/>
        <v>963321.304</v>
      </c>
      <c r="CT178" s="20" t="str">
        <f t="shared" si="675"/>
        <v>Utilities</v>
      </c>
      <c r="CU178" s="58">
        <f t="shared" ref="CU178:DG178" si="860">+SUM(CU179:CU181)</f>
        <v>103508.7</v>
      </c>
      <c r="CV178" s="58">
        <f t="shared" si="860"/>
        <v>132018</v>
      </c>
      <c r="CW178" s="58">
        <f t="shared" si="860"/>
        <v>75257</v>
      </c>
      <c r="CX178" s="58">
        <f t="shared" si="860"/>
        <v>117149.24</v>
      </c>
      <c r="CY178" s="58">
        <f t="shared" si="860"/>
        <v>104870.5</v>
      </c>
      <c r="CZ178" s="58">
        <f t="shared" si="860"/>
        <v>78698.2</v>
      </c>
      <c r="DA178" s="58">
        <f t="shared" si="860"/>
        <v>83924.625</v>
      </c>
      <c r="DB178" s="58">
        <f t="shared" si="860"/>
        <v>57129.5</v>
      </c>
      <c r="DC178" s="58">
        <f t="shared" si="860"/>
        <v>55688.5</v>
      </c>
      <c r="DD178" s="58">
        <f t="shared" si="860"/>
        <v>76160.41</v>
      </c>
      <c r="DE178" s="58">
        <f t="shared" si="860"/>
        <v>0</v>
      </c>
      <c r="DF178" s="58">
        <f t="shared" si="860"/>
        <v>0</v>
      </c>
      <c r="DG178" s="58">
        <f t="shared" si="860"/>
        <v>884404.67500000005</v>
      </c>
      <c r="DH178" s="118"/>
      <c r="DI178" s="58">
        <f t="shared" ref="DI178:DU178" si="861">+SUM(DI179:DI181)</f>
        <v>74700</v>
      </c>
      <c r="DJ178" s="58">
        <f t="shared" si="861"/>
        <v>74700</v>
      </c>
      <c r="DK178" s="58">
        <f t="shared" si="861"/>
        <v>74700</v>
      </c>
      <c r="DL178" s="58">
        <f t="shared" si="861"/>
        <v>74700</v>
      </c>
      <c r="DM178" s="58">
        <f t="shared" si="861"/>
        <v>74700</v>
      </c>
      <c r="DN178" s="58">
        <f t="shared" si="861"/>
        <v>74700</v>
      </c>
      <c r="DO178" s="58">
        <f t="shared" si="861"/>
        <v>74700</v>
      </c>
      <c r="DP178" s="58">
        <f t="shared" si="861"/>
        <v>74700</v>
      </c>
      <c r="DQ178" s="58">
        <f t="shared" si="861"/>
        <v>74700</v>
      </c>
      <c r="DR178" s="58">
        <f t="shared" si="861"/>
        <v>74700</v>
      </c>
      <c r="DS178" s="58">
        <f t="shared" si="861"/>
        <v>74700</v>
      </c>
      <c r="DT178" s="58">
        <f t="shared" si="861"/>
        <v>74700</v>
      </c>
      <c r="DU178" s="58">
        <f t="shared" si="861"/>
        <v>896400</v>
      </c>
      <c r="DV178" s="106"/>
      <c r="DW178" s="58">
        <f t="shared" ref="DW178:EI178" si="862">+SUM(DW179:DW181)</f>
        <v>0</v>
      </c>
      <c r="DX178" s="58">
        <f t="shared" si="862"/>
        <v>0</v>
      </c>
      <c r="DY178" s="58">
        <f t="shared" si="862"/>
        <v>0</v>
      </c>
      <c r="DZ178" s="58">
        <f t="shared" si="862"/>
        <v>0</v>
      </c>
      <c r="EA178" s="58">
        <f t="shared" si="862"/>
        <v>0</v>
      </c>
      <c r="EB178" s="58">
        <f t="shared" si="862"/>
        <v>0</v>
      </c>
      <c r="EC178" s="58">
        <f t="shared" si="862"/>
        <v>0</v>
      </c>
      <c r="ED178" s="58">
        <f t="shared" si="862"/>
        <v>0</v>
      </c>
      <c r="EE178" s="58">
        <f t="shared" si="862"/>
        <v>0</v>
      </c>
      <c r="EF178" s="58">
        <f t="shared" si="862"/>
        <v>0</v>
      </c>
      <c r="EG178" s="58">
        <f t="shared" si="862"/>
        <v>0</v>
      </c>
      <c r="EH178" s="58">
        <f t="shared" si="862"/>
        <v>0</v>
      </c>
      <c r="EI178" s="58">
        <f t="shared" si="862"/>
        <v>0</v>
      </c>
      <c r="EJ178" s="20" t="str">
        <f t="shared" si="681"/>
        <v>Utilities</v>
      </c>
      <c r="EK178" s="58">
        <f t="shared" ref="EK178:EW178" si="863">+SUM(EK179:EK181)</f>
        <v>324608</v>
      </c>
      <c r="EL178" s="58">
        <f t="shared" si="863"/>
        <v>301257</v>
      </c>
      <c r="EM178" s="58">
        <f t="shared" si="863"/>
        <v>218287</v>
      </c>
      <c r="EN178" s="58">
        <f t="shared" si="863"/>
        <v>324617</v>
      </c>
      <c r="EO178" s="58">
        <f t="shared" si="863"/>
        <v>500226.99999999994</v>
      </c>
      <c r="EP178" s="58">
        <f t="shared" si="863"/>
        <v>293920</v>
      </c>
      <c r="EQ178" s="58">
        <f t="shared" si="863"/>
        <v>400354</v>
      </c>
      <c r="ER178" s="58">
        <f t="shared" si="863"/>
        <v>368373</v>
      </c>
      <c r="ES178" s="58">
        <f t="shared" si="863"/>
        <v>388750</v>
      </c>
      <c r="ET178" s="58">
        <f t="shared" si="863"/>
        <v>396033</v>
      </c>
      <c r="EU178" s="58">
        <f t="shared" si="863"/>
        <v>0</v>
      </c>
      <c r="EV178" s="58">
        <f t="shared" si="863"/>
        <v>0</v>
      </c>
      <c r="EW178" s="58">
        <f t="shared" si="863"/>
        <v>3516426</v>
      </c>
      <c r="EX178" s="118"/>
      <c r="EY178" s="58">
        <f t="shared" ref="EY178:FK178" si="864">+SUM(EY179:EY181)</f>
        <v>371400.00000000006</v>
      </c>
      <c r="EZ178" s="58">
        <f t="shared" si="864"/>
        <v>371400.00000000006</v>
      </c>
      <c r="FA178" s="58">
        <f t="shared" si="864"/>
        <v>371400.00000000006</v>
      </c>
      <c r="FB178" s="58">
        <f t="shared" si="864"/>
        <v>371400.00000000006</v>
      </c>
      <c r="FC178" s="58">
        <f t="shared" si="864"/>
        <v>371400.00000000006</v>
      </c>
      <c r="FD178" s="58">
        <f t="shared" si="864"/>
        <v>371400.00000000006</v>
      </c>
      <c r="FE178" s="58">
        <f t="shared" si="864"/>
        <v>371400.00000000006</v>
      </c>
      <c r="FF178" s="58">
        <f t="shared" si="864"/>
        <v>371400.00000000006</v>
      </c>
      <c r="FG178" s="58">
        <f t="shared" si="864"/>
        <v>371400.00000000006</v>
      </c>
      <c r="FH178" s="58">
        <f t="shared" si="864"/>
        <v>371400.00000000006</v>
      </c>
      <c r="FI178" s="58">
        <f t="shared" si="864"/>
        <v>371400.00000000006</v>
      </c>
      <c r="FJ178" s="58">
        <f t="shared" si="864"/>
        <v>371400.00000000006</v>
      </c>
      <c r="FK178" s="58">
        <f t="shared" si="864"/>
        <v>4456800</v>
      </c>
    </row>
    <row r="179" spans="1:167" ht="14.45" hidden="1" customHeight="1" outlineLevel="2">
      <c r="A179" s="106">
        <f t="shared" ref="A179:L181" si="865">+AQ179+CG179+DW179</f>
        <v>218969.50099999999</v>
      </c>
      <c r="B179" s="106">
        <f t="shared" si="865"/>
        <v>209112.5</v>
      </c>
      <c r="C179" s="106">
        <f t="shared" si="865"/>
        <v>218051.55099999998</v>
      </c>
      <c r="D179" s="106">
        <f t="shared" si="865"/>
        <v>229733.75</v>
      </c>
      <c r="E179" s="106">
        <f t="shared" si="865"/>
        <v>221662</v>
      </c>
      <c r="F179" s="106">
        <f t="shared" si="865"/>
        <v>206552</v>
      </c>
      <c r="G179" s="106">
        <f t="shared" si="865"/>
        <v>190893.29000000004</v>
      </c>
      <c r="H179" s="106">
        <f t="shared" si="865"/>
        <v>208429.90000000002</v>
      </c>
      <c r="I179" s="106">
        <f t="shared" si="865"/>
        <v>267928</v>
      </c>
      <c r="J179" s="106">
        <f t="shared" si="865"/>
        <v>197609.83000000002</v>
      </c>
      <c r="K179" s="106">
        <f t="shared" si="865"/>
        <v>234440</v>
      </c>
      <c r="L179" s="106">
        <f t="shared" si="865"/>
        <v>238493</v>
      </c>
      <c r="M179" s="106">
        <f t="shared" ref="M179:M181" si="866">+SUM(A179:L179)</f>
        <v>2641875.3220000002</v>
      </c>
      <c r="N179" s="16" t="s">
        <v>148</v>
      </c>
      <c r="O179" s="106">
        <f t="shared" ref="O179:Z181" si="867">+BE179+CU179+EK179</f>
        <v>252143</v>
      </c>
      <c r="P179" s="106">
        <f t="shared" si="867"/>
        <v>259140</v>
      </c>
      <c r="Q179" s="106">
        <f t="shared" si="867"/>
        <v>248516</v>
      </c>
      <c r="R179" s="106">
        <f t="shared" si="867"/>
        <v>268582</v>
      </c>
      <c r="S179" s="106">
        <f t="shared" si="867"/>
        <v>294009.5</v>
      </c>
      <c r="T179" s="106">
        <f t="shared" si="867"/>
        <v>297928.5</v>
      </c>
      <c r="U179" s="106">
        <f t="shared" si="867"/>
        <v>265067.125</v>
      </c>
      <c r="V179" s="106">
        <f t="shared" si="867"/>
        <v>190006.5</v>
      </c>
      <c r="W179" s="106">
        <f t="shared" si="867"/>
        <v>235274.5</v>
      </c>
      <c r="X179" s="106">
        <f t="shared" si="867"/>
        <v>252765.5</v>
      </c>
      <c r="Y179" s="106">
        <f t="shared" si="867"/>
        <v>0</v>
      </c>
      <c r="Z179" s="106">
        <f t="shared" si="867"/>
        <v>0</v>
      </c>
      <c r="AA179" s="106">
        <f t="shared" ref="AA179:AA181" si="868">+SUM(O179:Z179)</f>
        <v>2563432.625</v>
      </c>
      <c r="AB179" s="118"/>
      <c r="AC179" s="106">
        <f t="shared" ref="AC179:AN181" si="869">+BS179+DI179+EY179</f>
        <v>283396.38690909091</v>
      </c>
      <c r="AD179" s="106">
        <f t="shared" si="869"/>
        <v>283396.38690909091</v>
      </c>
      <c r="AE179" s="106">
        <f t="shared" si="869"/>
        <v>283396.38690909091</v>
      </c>
      <c r="AF179" s="106">
        <f t="shared" si="869"/>
        <v>283396.38690909091</v>
      </c>
      <c r="AG179" s="106">
        <f t="shared" si="869"/>
        <v>283396.38690909091</v>
      </c>
      <c r="AH179" s="106">
        <f t="shared" si="869"/>
        <v>283396.38690909091</v>
      </c>
      <c r="AI179" s="106">
        <f t="shared" si="869"/>
        <v>283396.38690909091</v>
      </c>
      <c r="AJ179" s="106">
        <f t="shared" si="869"/>
        <v>283396.38690909091</v>
      </c>
      <c r="AK179" s="106">
        <f t="shared" si="869"/>
        <v>283396.38690909091</v>
      </c>
      <c r="AL179" s="106">
        <f t="shared" si="869"/>
        <v>283396.38690909091</v>
      </c>
      <c r="AM179" s="106">
        <f t="shared" si="869"/>
        <v>283396.38690909091</v>
      </c>
      <c r="AN179" s="106">
        <f t="shared" si="869"/>
        <v>283396.38690909091</v>
      </c>
      <c r="AO179" s="106">
        <f t="shared" ref="AO179:AO181" si="870">+SUM(AC179:AN179)</f>
        <v>3400756.642909091</v>
      </c>
      <c r="AP179" s="106"/>
      <c r="AQ179" s="106">
        <f>+PMGR!AQ179+BP!AQ179</f>
        <v>164219.334</v>
      </c>
      <c r="AR179" s="106">
        <f>+PMGR!AR179+BP!AR179</f>
        <v>152440</v>
      </c>
      <c r="AS179" s="106">
        <f>+PMGR!AS179+BP!AS179</f>
        <v>173595.03399999999</v>
      </c>
      <c r="AT179" s="106">
        <f>+PMGR!AT179+BP!AT179</f>
        <v>179792.5</v>
      </c>
      <c r="AU179" s="106">
        <f>+PMGR!AU179+BP!AU179</f>
        <v>179743</v>
      </c>
      <c r="AV179" s="106">
        <f>+PMGR!AV179+BP!AV179</f>
        <v>146872</v>
      </c>
      <c r="AW179" s="106">
        <f>+PMGR!AW179+BP!AW179</f>
        <v>133224.99000000002</v>
      </c>
      <c r="AX179" s="106">
        <f>+PMGR!AX179+BP!AX179</f>
        <v>141120.6</v>
      </c>
      <c r="AY179" s="106">
        <f>+PMGR!AY179+BP!AY179</f>
        <v>156144</v>
      </c>
      <c r="AZ179" s="106">
        <f>+PMGR!AZ179+BP!AZ179</f>
        <v>153524</v>
      </c>
      <c r="BA179" s="106">
        <f>+PMGR!BA179+BP!BA179</f>
        <v>161445</v>
      </c>
      <c r="BB179" s="106">
        <f>+PMGR!BB179+BP!BB179</f>
        <v>169821</v>
      </c>
      <c r="BC179" s="106">
        <f t="shared" ref="BC179:BC181" si="871">+SUM(AQ179:BB179)</f>
        <v>1911941.4580000001</v>
      </c>
      <c r="BD179" s="16" t="str">
        <f t="shared" si="671"/>
        <v>Electricity</v>
      </c>
      <c r="BE179" s="106">
        <f>+PMGR!BE179+BP!BE179</f>
        <v>169545</v>
      </c>
      <c r="BF179" s="106">
        <f>+PMGR!BF179+BP!BF179</f>
        <v>152322</v>
      </c>
      <c r="BG179" s="106">
        <f>+PMGR!BG179+BP!BG179</f>
        <v>144609</v>
      </c>
      <c r="BH179" s="106">
        <f>+PMGR!BH179+BP!BH179</f>
        <v>171864</v>
      </c>
      <c r="BI179" s="106">
        <f>+PMGR!BI179+BP!BI179</f>
        <v>166236</v>
      </c>
      <c r="BJ179" s="106">
        <f>+PMGR!BJ179+BP!BJ179</f>
        <v>222681</v>
      </c>
      <c r="BK179" s="106">
        <f>+PMGR!BK179+BP!BK179</f>
        <v>148686.13</v>
      </c>
      <c r="BL179" s="106">
        <f>+PMGR!BL179+BP!BL179</f>
        <v>145913</v>
      </c>
      <c r="BM179" s="106">
        <f>+PMGR!BM179+BP!BM179</f>
        <v>149572</v>
      </c>
      <c r="BN179" s="106">
        <f>+PMGR!BN179+BP!BN179</f>
        <v>167030</v>
      </c>
      <c r="BO179" s="106">
        <f>+PMGR!BO179+BP!BO179</f>
        <v>0</v>
      </c>
      <c r="BP179" s="106">
        <f>+PMGR!BP179+BP!BP179</f>
        <v>0</v>
      </c>
      <c r="BQ179" s="106">
        <f t="shared" ref="BQ179:BQ181" si="872">+SUM(BE179:BP179)</f>
        <v>1638458.13</v>
      </c>
      <c r="BR179" s="118"/>
      <c r="BS179" s="106">
        <f>+PMGR!BS179+BP!BS179</f>
        <v>156796.38690909091</v>
      </c>
      <c r="BT179" s="106">
        <f>+PMGR!BT179+BP!BT179</f>
        <v>156796.38690909091</v>
      </c>
      <c r="BU179" s="106">
        <f>+PMGR!BU179+BP!BU179</f>
        <v>156796.38690909091</v>
      </c>
      <c r="BV179" s="106">
        <f>+PMGR!BV179+BP!BV179</f>
        <v>156796.38690909091</v>
      </c>
      <c r="BW179" s="106">
        <f>+PMGR!BW179+BP!BW179</f>
        <v>156796.38690909091</v>
      </c>
      <c r="BX179" s="106">
        <f>+PMGR!BX179+BP!BX179</f>
        <v>156796.38690909091</v>
      </c>
      <c r="BY179" s="106">
        <f>+PMGR!BY179+BP!BY179</f>
        <v>156796.38690909091</v>
      </c>
      <c r="BZ179" s="106">
        <f>+PMGR!BZ179+BP!BZ179</f>
        <v>156796.38690909091</v>
      </c>
      <c r="CA179" s="106">
        <f>+PMGR!CA179+BP!CA179</f>
        <v>156796.38690909091</v>
      </c>
      <c r="CB179" s="106">
        <f>+PMGR!CB179+BP!CB179</f>
        <v>156796.38690909091</v>
      </c>
      <c r="CC179" s="106">
        <f>+PMGR!CC179+BP!CC179</f>
        <v>156796.38690909091</v>
      </c>
      <c r="CD179" s="106">
        <f>+PMGR!CD179+BP!CD179</f>
        <v>156796.38690909091</v>
      </c>
      <c r="CE179" s="106">
        <f t="shared" ref="CE179:CE181" si="873">+SUM(BS179:CD179)</f>
        <v>1881556.642909091</v>
      </c>
      <c r="CF179" s="106"/>
      <c r="CG179" s="106">
        <f>+PMGR!CG179+BP!CG179</f>
        <v>54750.167000000001</v>
      </c>
      <c r="CH179" s="106">
        <f>+PMGR!CH179+BP!CH179</f>
        <v>56672.5</v>
      </c>
      <c r="CI179" s="106">
        <f>+PMGR!CI179+BP!CI179</f>
        <v>44456.517</v>
      </c>
      <c r="CJ179" s="106">
        <f>+PMGR!CJ179+BP!CJ179</f>
        <v>49941.25</v>
      </c>
      <c r="CK179" s="106">
        <f>+PMGR!CK179+BP!CK179</f>
        <v>41919</v>
      </c>
      <c r="CL179" s="106">
        <f>+PMGR!CL179+BP!CL179</f>
        <v>59680</v>
      </c>
      <c r="CM179" s="106">
        <f>+PMGR!CM179+BP!CM179</f>
        <v>57668.3</v>
      </c>
      <c r="CN179" s="106">
        <f>+PMGR!CN179+BP!CN179</f>
        <v>67309.3</v>
      </c>
      <c r="CO179" s="106">
        <f>+PMGR!CO179+BP!CO179</f>
        <v>111784</v>
      </c>
      <c r="CP179" s="106">
        <f>+PMGR!CP179+BP!CP179</f>
        <v>44085.83</v>
      </c>
      <c r="CQ179" s="106">
        <f>+PMGR!CQ179+BP!CQ179</f>
        <v>72995</v>
      </c>
      <c r="CR179" s="106">
        <f>+PMGR!CR179+BP!CR179</f>
        <v>68672</v>
      </c>
      <c r="CS179" s="106">
        <f t="shared" ref="CS179:CS181" si="874">+SUM(CG179:CR179)</f>
        <v>729933.86399999994</v>
      </c>
      <c r="CT179" s="16" t="str">
        <f t="shared" si="675"/>
        <v>Electricity</v>
      </c>
      <c r="CU179" s="106">
        <f>+PMGR!CU179+BP!CU179</f>
        <v>82598</v>
      </c>
      <c r="CV179" s="106">
        <f>+PMGR!CV179+BP!CV179</f>
        <v>106818</v>
      </c>
      <c r="CW179" s="106">
        <f>+PMGR!CW179+BP!CW179</f>
        <v>51457</v>
      </c>
      <c r="CX179" s="106">
        <f>+PMGR!CX179+BP!CX179</f>
        <v>88368</v>
      </c>
      <c r="CY179" s="106">
        <f>+PMGR!CY179+BP!CY179</f>
        <v>82420.5</v>
      </c>
      <c r="CZ179" s="106">
        <f>+PMGR!CZ179+BP!CZ179</f>
        <v>66440.5</v>
      </c>
      <c r="DA179" s="106">
        <f>+PMGR!DA179+BP!DA179</f>
        <v>60774.995000000003</v>
      </c>
      <c r="DB179" s="106">
        <f>+PMGR!DB179+BP!DB179</f>
        <v>39129.5</v>
      </c>
      <c r="DC179" s="106">
        <f>+PMGR!DC179+BP!DC179</f>
        <v>40288.5</v>
      </c>
      <c r="DD179" s="106">
        <f>+PMGR!DD179+BP!DD179</f>
        <v>52452.5</v>
      </c>
      <c r="DE179" s="106">
        <f>+PMGR!DE179+BP!DE179</f>
        <v>0</v>
      </c>
      <c r="DF179" s="106">
        <f>+PMGR!DF179+BP!DF179</f>
        <v>0</v>
      </c>
      <c r="DG179" s="106">
        <f t="shared" ref="DG179:DG181" si="875">+SUM(CU179:DF179)</f>
        <v>670747.495</v>
      </c>
      <c r="DH179" s="118"/>
      <c r="DI179" s="106">
        <f>+PMGR!DI179+BP!DI179</f>
        <v>60000</v>
      </c>
      <c r="DJ179" s="106">
        <f>+PMGR!DJ179+BP!DJ179</f>
        <v>60000</v>
      </c>
      <c r="DK179" s="106">
        <f>+PMGR!DK179+BP!DK179</f>
        <v>60000</v>
      </c>
      <c r="DL179" s="106">
        <f>+PMGR!DL179+BP!DL179</f>
        <v>60000</v>
      </c>
      <c r="DM179" s="106">
        <f>+PMGR!DM179+BP!DM179</f>
        <v>60000</v>
      </c>
      <c r="DN179" s="106">
        <f>+PMGR!DN179+BP!DN179</f>
        <v>60000</v>
      </c>
      <c r="DO179" s="106">
        <f>+PMGR!DO179+BP!DO179</f>
        <v>60000</v>
      </c>
      <c r="DP179" s="106">
        <f>+PMGR!DP179+BP!DP179</f>
        <v>60000</v>
      </c>
      <c r="DQ179" s="106">
        <f>+PMGR!DQ179+BP!DQ179</f>
        <v>60000</v>
      </c>
      <c r="DR179" s="106">
        <f>+PMGR!DR179+BP!DR179</f>
        <v>60000</v>
      </c>
      <c r="DS179" s="106">
        <f>+PMGR!DS179+BP!DS179</f>
        <v>60000</v>
      </c>
      <c r="DT179" s="106">
        <f>+PMGR!DT179+BP!DT179</f>
        <v>60000</v>
      </c>
      <c r="DU179" s="106">
        <f t="shared" ref="DU179:DU181" si="876">+SUM(DI179:DT179)</f>
        <v>720000</v>
      </c>
      <c r="DV179" s="106"/>
      <c r="DW179" s="106">
        <f>+PMGR!DW179+BP!DW179</f>
        <v>0</v>
      </c>
      <c r="DX179" s="106">
        <f>+PMGR!DX179+BP!DX179</f>
        <v>0</v>
      </c>
      <c r="DY179" s="106">
        <f>+PMGR!DY179+BP!DY179</f>
        <v>0</v>
      </c>
      <c r="DZ179" s="106">
        <f>+PMGR!DZ179+BP!DZ179</f>
        <v>0</v>
      </c>
      <c r="EA179" s="106">
        <f>+PMGR!EA179+BP!EA179</f>
        <v>0</v>
      </c>
      <c r="EB179" s="106">
        <f>+PMGR!EB179+BP!EB179</f>
        <v>0</v>
      </c>
      <c r="EC179" s="106">
        <f>+PMGR!EC179+BP!EC179</f>
        <v>0</v>
      </c>
      <c r="ED179" s="106">
        <f>+PMGR!ED179+BP!ED179</f>
        <v>0</v>
      </c>
      <c r="EE179" s="106">
        <f>+PMGR!EE179+BP!EE179</f>
        <v>0</v>
      </c>
      <c r="EF179" s="106">
        <f>+PMGR!EF179+BP!EF179</f>
        <v>0</v>
      </c>
      <c r="EG179" s="106">
        <f>+PMGR!EG179+BP!EG179</f>
        <v>0</v>
      </c>
      <c r="EH179" s="106">
        <f>+PMGR!EH179+BP!EH179</f>
        <v>0</v>
      </c>
      <c r="EI179" s="106">
        <f t="shared" ref="EI179:EI181" si="877">+SUM(DW179:EH179)</f>
        <v>0</v>
      </c>
      <c r="EJ179" s="16" t="str">
        <f t="shared" si="681"/>
        <v>Electricity</v>
      </c>
      <c r="EK179" s="106">
        <f>+PMGR!EK179+BP!EK179</f>
        <v>0</v>
      </c>
      <c r="EL179" s="106">
        <f>+PMGR!EL179+BP!EL179</f>
        <v>0</v>
      </c>
      <c r="EM179" s="106">
        <f>+PMGR!EM179+BP!EM179</f>
        <v>52450</v>
      </c>
      <c r="EN179" s="106">
        <f>+PMGR!EN179+BP!EN179</f>
        <v>8350</v>
      </c>
      <c r="EO179" s="106">
        <f>+PMGR!EO179+BP!EO179</f>
        <v>45353</v>
      </c>
      <c r="EP179" s="106">
        <f>+PMGR!EP179+BP!EP179</f>
        <v>8807</v>
      </c>
      <c r="EQ179" s="106">
        <f>+PMGR!EQ179+BP!EQ179</f>
        <v>55606</v>
      </c>
      <c r="ER179" s="106">
        <f>+PMGR!ER179+BP!ER179</f>
        <v>4964</v>
      </c>
      <c r="ES179" s="106">
        <f>+PMGR!ES179+BP!ES179</f>
        <v>45414</v>
      </c>
      <c r="ET179" s="106">
        <f>+PMGR!ET179+BP!ET179</f>
        <v>33283</v>
      </c>
      <c r="EU179" s="106">
        <f>+PMGR!EU179+BP!EU179</f>
        <v>0</v>
      </c>
      <c r="EV179" s="106">
        <f>+PMGR!EV179+BP!EV179</f>
        <v>0</v>
      </c>
      <c r="EW179" s="106">
        <f t="shared" ref="EW179:EW181" si="878">+SUM(EK179:EV179)</f>
        <v>254227</v>
      </c>
      <c r="EX179" s="118"/>
      <c r="EY179" s="106">
        <f>+PMGR!EY179+BP!EY179</f>
        <v>66600</v>
      </c>
      <c r="EZ179" s="106">
        <f>+PMGR!EZ179+BP!EZ179</f>
        <v>66600</v>
      </c>
      <c r="FA179" s="106">
        <f>+PMGR!FA179+BP!FA179</f>
        <v>66600</v>
      </c>
      <c r="FB179" s="106">
        <f>+PMGR!FB179+BP!FB179</f>
        <v>66600</v>
      </c>
      <c r="FC179" s="106">
        <f>+PMGR!FC179+BP!FC179</f>
        <v>66600</v>
      </c>
      <c r="FD179" s="106">
        <f>+PMGR!FD179+BP!FD179</f>
        <v>66600</v>
      </c>
      <c r="FE179" s="106">
        <f>+PMGR!FE179+BP!FE179</f>
        <v>66600</v>
      </c>
      <c r="FF179" s="106">
        <f>+PMGR!FF179+BP!FF179</f>
        <v>66600</v>
      </c>
      <c r="FG179" s="106">
        <f>+PMGR!FG179+BP!FG179</f>
        <v>66600</v>
      </c>
      <c r="FH179" s="106">
        <f>+PMGR!FH179+BP!FH179</f>
        <v>66600</v>
      </c>
      <c r="FI179" s="106">
        <f>+PMGR!FI179+BP!FI179</f>
        <v>66600</v>
      </c>
      <c r="FJ179" s="106">
        <f>+PMGR!FJ179+BP!FJ179</f>
        <v>66600</v>
      </c>
      <c r="FK179" s="106">
        <f t="shared" ref="FK179:FK181" si="879">+SUM(EY179:FJ179)</f>
        <v>799200</v>
      </c>
    </row>
    <row r="180" spans="1:167" ht="14.45" hidden="1" customHeight="1" outlineLevel="2">
      <c r="A180" s="106">
        <f t="shared" si="865"/>
        <v>13073.400000000001</v>
      </c>
      <c r="B180" s="106">
        <f t="shared" si="865"/>
        <v>0</v>
      </c>
      <c r="C180" s="106">
        <f t="shared" si="865"/>
        <v>6653.5</v>
      </c>
      <c r="D180" s="106">
        <f t="shared" si="865"/>
        <v>16225.56</v>
      </c>
      <c r="E180" s="106">
        <f t="shared" si="865"/>
        <v>55225.670000000006</v>
      </c>
      <c r="F180" s="106">
        <f t="shared" si="865"/>
        <v>42710.1</v>
      </c>
      <c r="G180" s="106">
        <f t="shared" si="865"/>
        <v>44966.02</v>
      </c>
      <c r="H180" s="106">
        <f t="shared" si="865"/>
        <v>9505</v>
      </c>
      <c r="I180" s="106">
        <f t="shared" si="865"/>
        <v>16472.61</v>
      </c>
      <c r="J180" s="106">
        <f t="shared" si="865"/>
        <v>8225.6299999999992</v>
      </c>
      <c r="K180" s="106">
        <f t="shared" si="865"/>
        <v>7889.5</v>
      </c>
      <c r="L180" s="106">
        <f t="shared" si="865"/>
        <v>15861.21</v>
      </c>
      <c r="M180" s="106">
        <f t="shared" si="866"/>
        <v>236808.19999999998</v>
      </c>
      <c r="N180" s="16" t="s">
        <v>149</v>
      </c>
      <c r="O180" s="106">
        <f t="shared" si="867"/>
        <v>327418.7</v>
      </c>
      <c r="P180" s="106">
        <f t="shared" si="867"/>
        <v>307675.09000000003</v>
      </c>
      <c r="Q180" s="106">
        <f t="shared" si="867"/>
        <v>175322</v>
      </c>
      <c r="R180" s="106">
        <f t="shared" si="867"/>
        <v>366236.78</v>
      </c>
      <c r="S180" s="106">
        <f t="shared" si="867"/>
        <v>478401.29999999993</v>
      </c>
      <c r="T180" s="106">
        <f t="shared" si="867"/>
        <v>320970.27</v>
      </c>
      <c r="U180" s="106">
        <f t="shared" si="867"/>
        <v>378456.23</v>
      </c>
      <c r="V180" s="106">
        <f t="shared" si="867"/>
        <v>379786.5</v>
      </c>
      <c r="W180" s="106">
        <f t="shared" si="867"/>
        <v>351967.35</v>
      </c>
      <c r="X180" s="106">
        <f t="shared" si="867"/>
        <v>388500.86</v>
      </c>
      <c r="Y180" s="106">
        <f t="shared" si="867"/>
        <v>0</v>
      </c>
      <c r="Z180" s="106">
        <f t="shared" si="867"/>
        <v>0</v>
      </c>
      <c r="AA180" s="106">
        <f t="shared" si="868"/>
        <v>3474735.08</v>
      </c>
      <c r="AB180" s="118"/>
      <c r="AC180" s="106">
        <f t="shared" si="869"/>
        <v>300000.00000000006</v>
      </c>
      <c r="AD180" s="106">
        <f t="shared" si="869"/>
        <v>300000.00000000006</v>
      </c>
      <c r="AE180" s="106">
        <f t="shared" si="869"/>
        <v>300000.00000000006</v>
      </c>
      <c r="AF180" s="106">
        <f t="shared" si="869"/>
        <v>300000.00000000006</v>
      </c>
      <c r="AG180" s="106">
        <f t="shared" si="869"/>
        <v>300000.00000000006</v>
      </c>
      <c r="AH180" s="106">
        <f t="shared" si="869"/>
        <v>300000.00000000006</v>
      </c>
      <c r="AI180" s="106">
        <f t="shared" si="869"/>
        <v>300000.00000000006</v>
      </c>
      <c r="AJ180" s="106">
        <f t="shared" si="869"/>
        <v>300000.00000000006</v>
      </c>
      <c r="AK180" s="106">
        <f t="shared" si="869"/>
        <v>300000.00000000006</v>
      </c>
      <c r="AL180" s="106">
        <f t="shared" si="869"/>
        <v>300000.00000000006</v>
      </c>
      <c r="AM180" s="106">
        <f t="shared" si="869"/>
        <v>300000.00000000006</v>
      </c>
      <c r="AN180" s="106">
        <f t="shared" si="869"/>
        <v>300000.00000000006</v>
      </c>
      <c r="AO180" s="106">
        <f t="shared" si="870"/>
        <v>3600000.0000000005</v>
      </c>
      <c r="AP180" s="106"/>
      <c r="AQ180" s="106">
        <f>+PMGR!AQ180+BP!AQ180</f>
        <v>8715.6</v>
      </c>
      <c r="AR180" s="106">
        <f>+PMGR!AR180+BP!AR180</f>
        <v>0</v>
      </c>
      <c r="AS180" s="106">
        <f>+PMGR!AS180+BP!AS180</f>
        <v>0</v>
      </c>
      <c r="AT180" s="106">
        <f>+PMGR!AT180+BP!AT180</f>
        <v>12725.56</v>
      </c>
      <c r="AU180" s="106">
        <f>+PMGR!AU180+BP!AU180</f>
        <v>41423.230000000003</v>
      </c>
      <c r="AV180" s="106">
        <f>+PMGR!AV180+BP!AV180</f>
        <v>22749.599999999999</v>
      </c>
      <c r="AW180" s="106">
        <f>+PMGR!AW180+BP!AW180</f>
        <v>40172.949999999997</v>
      </c>
      <c r="AX180" s="106">
        <f>+PMGR!AX180+BP!AX180</f>
        <v>0</v>
      </c>
      <c r="AY180" s="106">
        <f>+PMGR!AY180+BP!AY180</f>
        <v>16472.61</v>
      </c>
      <c r="AZ180" s="106">
        <f>+PMGR!AZ180+BP!AZ180</f>
        <v>0</v>
      </c>
      <c r="BA180" s="106">
        <f>+PMGR!BA180+BP!BA180</f>
        <v>0</v>
      </c>
      <c r="BB180" s="106">
        <f>+PMGR!BB180+BP!BB180</f>
        <v>15861.21</v>
      </c>
      <c r="BC180" s="106">
        <f t="shared" si="871"/>
        <v>158120.75999999998</v>
      </c>
      <c r="BD180" s="16" t="str">
        <f t="shared" si="671"/>
        <v>Diesel Expenses</v>
      </c>
      <c r="BE180" s="106">
        <f>+PMGR!BE180+BP!BE180</f>
        <v>0</v>
      </c>
      <c r="BF180" s="106">
        <f>+PMGR!BF180+BP!BF180</f>
        <v>7218.09</v>
      </c>
      <c r="BG180" s="106">
        <f>+PMGR!BG180+BP!BG180</f>
        <v>9485</v>
      </c>
      <c r="BH180" s="106">
        <f>+PMGR!BH180+BP!BH180</f>
        <v>21188.54</v>
      </c>
      <c r="BI180" s="106">
        <f>+PMGR!BI180+BP!BI180</f>
        <v>20677.3</v>
      </c>
      <c r="BJ180" s="106">
        <f>+PMGR!BJ180+BP!BJ180</f>
        <v>29199.57</v>
      </c>
      <c r="BK180" s="106">
        <f>+PMGR!BK180+BP!BK180</f>
        <v>21058.6</v>
      </c>
      <c r="BL180" s="106">
        <f>+PMGR!BL180+BP!BL180</f>
        <v>12377.5</v>
      </c>
      <c r="BM180" s="106">
        <f>+PMGR!BM180+BP!BM180</f>
        <v>8631.35</v>
      </c>
      <c r="BN180" s="106">
        <f>+PMGR!BN180+BP!BN180</f>
        <v>13942.95</v>
      </c>
      <c r="BO180" s="106">
        <f>+PMGR!BO180+BP!BO180</f>
        <v>0</v>
      </c>
      <c r="BP180" s="106">
        <f>+PMGR!BP180+BP!BP180</f>
        <v>0</v>
      </c>
      <c r="BQ180" s="106">
        <f t="shared" si="872"/>
        <v>143778.90000000002</v>
      </c>
      <c r="BR180" s="118"/>
      <c r="BS180" s="106">
        <f>+PMGR!BS180+BP!BS180</f>
        <v>0</v>
      </c>
      <c r="BT180" s="106">
        <f>+PMGR!BT180+BP!BT180</f>
        <v>0</v>
      </c>
      <c r="BU180" s="106">
        <f>+PMGR!BU180+BP!BU180</f>
        <v>0</v>
      </c>
      <c r="BV180" s="106">
        <f>+PMGR!BV180+BP!BV180</f>
        <v>0</v>
      </c>
      <c r="BW180" s="106">
        <f>+PMGR!BW180+BP!BW180</f>
        <v>0</v>
      </c>
      <c r="BX180" s="106">
        <f>+PMGR!BX180+BP!BX180</f>
        <v>0</v>
      </c>
      <c r="BY180" s="106">
        <f>+PMGR!BY180+BP!BY180</f>
        <v>0</v>
      </c>
      <c r="BZ180" s="106">
        <f>+PMGR!BZ180+BP!BZ180</f>
        <v>0</v>
      </c>
      <c r="CA180" s="106">
        <f>+PMGR!CA180+BP!CA180</f>
        <v>0</v>
      </c>
      <c r="CB180" s="106">
        <f>+PMGR!CB180+BP!CB180</f>
        <v>0</v>
      </c>
      <c r="CC180" s="106">
        <f>+PMGR!CC180+BP!CC180</f>
        <v>0</v>
      </c>
      <c r="CD180" s="106">
        <f>+PMGR!CD180+BP!CD180</f>
        <v>0</v>
      </c>
      <c r="CE180" s="106">
        <f t="shared" si="873"/>
        <v>0</v>
      </c>
      <c r="CF180" s="106"/>
      <c r="CG180" s="106">
        <f>+PMGR!CG180+BP!CG180</f>
        <v>4357.8</v>
      </c>
      <c r="CH180" s="106">
        <f>+PMGR!CH180+BP!CH180</f>
        <v>0</v>
      </c>
      <c r="CI180" s="106">
        <f>+PMGR!CI180+BP!CI180</f>
        <v>6653.5</v>
      </c>
      <c r="CJ180" s="106">
        <f>+PMGR!CJ180+BP!CJ180</f>
        <v>3500</v>
      </c>
      <c r="CK180" s="106">
        <f>+PMGR!CK180+BP!CK180</f>
        <v>13802.44</v>
      </c>
      <c r="CL180" s="106">
        <f>+PMGR!CL180+BP!CL180</f>
        <v>19960.5</v>
      </c>
      <c r="CM180" s="106">
        <f>+PMGR!CM180+BP!CM180</f>
        <v>4793.07</v>
      </c>
      <c r="CN180" s="106">
        <f>+PMGR!CN180+BP!CN180</f>
        <v>9505</v>
      </c>
      <c r="CO180" s="106">
        <f>+PMGR!CO180+BP!CO180</f>
        <v>0</v>
      </c>
      <c r="CP180" s="106">
        <f>+PMGR!CP180+BP!CP180</f>
        <v>8225.6299999999992</v>
      </c>
      <c r="CQ180" s="106">
        <f>+PMGR!CQ180+BP!CQ180</f>
        <v>7889.5</v>
      </c>
      <c r="CR180" s="106">
        <f>+PMGR!CR180+BP!CR180</f>
        <v>0</v>
      </c>
      <c r="CS180" s="106">
        <f t="shared" si="874"/>
        <v>78687.44</v>
      </c>
      <c r="CT180" s="16" t="str">
        <f t="shared" si="675"/>
        <v>Diesel Expenses</v>
      </c>
      <c r="CU180" s="106">
        <f>+PMGR!CU180+BP!CU180</f>
        <v>7610.7</v>
      </c>
      <c r="CV180" s="106">
        <f>+PMGR!CV180+BP!CV180</f>
        <v>0</v>
      </c>
      <c r="CW180" s="106">
        <f>+PMGR!CW180+BP!CW180</f>
        <v>0</v>
      </c>
      <c r="CX180" s="106">
        <f>+PMGR!CX180+BP!CX180</f>
        <v>28781.24</v>
      </c>
      <c r="CY180" s="106">
        <f>+PMGR!CY180+BP!CY180</f>
        <v>2850</v>
      </c>
      <c r="CZ180" s="106">
        <f>+PMGR!CZ180+BP!CZ180</f>
        <v>6657.7</v>
      </c>
      <c r="DA180" s="106">
        <f>+PMGR!DA180+BP!DA180</f>
        <v>12649.63</v>
      </c>
      <c r="DB180" s="106">
        <f>+PMGR!DB180+BP!DB180</f>
        <v>4000</v>
      </c>
      <c r="DC180" s="106">
        <f>+PMGR!DC180+BP!DC180</f>
        <v>0</v>
      </c>
      <c r="DD180" s="106">
        <f>+PMGR!DD180+BP!DD180</f>
        <v>11807.91</v>
      </c>
      <c r="DE180" s="106">
        <f>+PMGR!DE180+BP!DE180</f>
        <v>0</v>
      </c>
      <c r="DF180" s="106">
        <f>+PMGR!DF180+BP!DF180</f>
        <v>0</v>
      </c>
      <c r="DG180" s="106">
        <f t="shared" si="875"/>
        <v>74357.179999999993</v>
      </c>
      <c r="DH180" s="118"/>
      <c r="DI180" s="106">
        <f>+PMGR!DI180+BP!DI180</f>
        <v>0</v>
      </c>
      <c r="DJ180" s="106">
        <f>+PMGR!DJ180+BP!DJ180</f>
        <v>0</v>
      </c>
      <c r="DK180" s="106">
        <f>+PMGR!DK180+BP!DK180</f>
        <v>0</v>
      </c>
      <c r="DL180" s="106">
        <f>+PMGR!DL180+BP!DL180</f>
        <v>0</v>
      </c>
      <c r="DM180" s="106">
        <f>+PMGR!DM180+BP!DM180</f>
        <v>0</v>
      </c>
      <c r="DN180" s="106">
        <f>+PMGR!DN180+BP!DN180</f>
        <v>0</v>
      </c>
      <c r="DO180" s="106">
        <f>+PMGR!DO180+BP!DO180</f>
        <v>0</v>
      </c>
      <c r="DP180" s="106">
        <f>+PMGR!DP180+BP!DP180</f>
        <v>0</v>
      </c>
      <c r="DQ180" s="106">
        <f>+PMGR!DQ180+BP!DQ180</f>
        <v>0</v>
      </c>
      <c r="DR180" s="106">
        <f>+PMGR!DR180+BP!DR180</f>
        <v>0</v>
      </c>
      <c r="DS180" s="106">
        <f>+PMGR!DS180+BP!DS180</f>
        <v>0</v>
      </c>
      <c r="DT180" s="106">
        <f>+PMGR!DT180+BP!DT180</f>
        <v>0</v>
      </c>
      <c r="DU180" s="106">
        <f t="shared" si="876"/>
        <v>0</v>
      </c>
      <c r="DV180" s="106"/>
      <c r="DW180" s="106">
        <f>+PMGR!DW180+BP!DW180</f>
        <v>0</v>
      </c>
      <c r="DX180" s="106">
        <f>+PMGR!DX180+BP!DX180</f>
        <v>0</v>
      </c>
      <c r="DY180" s="106">
        <f>+PMGR!DY180+BP!DY180</f>
        <v>0</v>
      </c>
      <c r="DZ180" s="106">
        <f>+PMGR!DZ180+BP!DZ180</f>
        <v>0</v>
      </c>
      <c r="EA180" s="106">
        <f>+PMGR!EA180+BP!EA180</f>
        <v>0</v>
      </c>
      <c r="EB180" s="106">
        <f>+PMGR!EB180+BP!EB180</f>
        <v>0</v>
      </c>
      <c r="EC180" s="106">
        <f>+PMGR!EC180+BP!EC180</f>
        <v>0</v>
      </c>
      <c r="ED180" s="106">
        <f>+PMGR!ED180+BP!ED180</f>
        <v>0</v>
      </c>
      <c r="EE180" s="106">
        <f>+PMGR!EE180+BP!EE180</f>
        <v>0</v>
      </c>
      <c r="EF180" s="106">
        <f>+PMGR!EF180+BP!EF180</f>
        <v>0</v>
      </c>
      <c r="EG180" s="106">
        <f>+PMGR!EG180+BP!EG180</f>
        <v>0</v>
      </c>
      <c r="EH180" s="106">
        <f>+PMGR!EH180+BP!EH180</f>
        <v>0</v>
      </c>
      <c r="EI180" s="106">
        <f t="shared" si="877"/>
        <v>0</v>
      </c>
      <c r="EJ180" s="16" t="str">
        <f t="shared" si="681"/>
        <v>Diesel Expenses</v>
      </c>
      <c r="EK180" s="106">
        <f>+PMGR!EK180+BP!EK180</f>
        <v>319808</v>
      </c>
      <c r="EL180" s="106">
        <f>+PMGR!EL180+BP!EL180</f>
        <v>300457</v>
      </c>
      <c r="EM180" s="106">
        <f>+PMGR!EM180+BP!EM180</f>
        <v>165837</v>
      </c>
      <c r="EN180" s="106">
        <f>+PMGR!EN180+BP!EN180</f>
        <v>316267</v>
      </c>
      <c r="EO180" s="106">
        <f>+PMGR!EO180+BP!EO180</f>
        <v>454873.99999999994</v>
      </c>
      <c r="EP180" s="106">
        <f>+PMGR!EP180+BP!EP180</f>
        <v>285113</v>
      </c>
      <c r="EQ180" s="106">
        <f>+PMGR!EQ180+BP!EQ180</f>
        <v>344748</v>
      </c>
      <c r="ER180" s="106">
        <f>+PMGR!ER180+BP!ER180</f>
        <v>363409</v>
      </c>
      <c r="ES180" s="106">
        <f>+PMGR!ES180+BP!ES180</f>
        <v>343336</v>
      </c>
      <c r="ET180" s="106">
        <f>+PMGR!ET180+BP!ET180</f>
        <v>362750</v>
      </c>
      <c r="EU180" s="106">
        <f>+PMGR!EU180+BP!EU180</f>
        <v>0</v>
      </c>
      <c r="EV180" s="106">
        <f>+PMGR!EV180+BP!EV180</f>
        <v>0</v>
      </c>
      <c r="EW180" s="106">
        <f t="shared" si="878"/>
        <v>3256599</v>
      </c>
      <c r="EX180" s="118"/>
      <c r="EY180" s="106">
        <f>+PMGR!EY180+BP!EY180</f>
        <v>300000.00000000006</v>
      </c>
      <c r="EZ180" s="106">
        <f>+PMGR!EZ180+BP!EZ180</f>
        <v>300000.00000000006</v>
      </c>
      <c r="FA180" s="106">
        <f>+PMGR!FA180+BP!FA180</f>
        <v>300000.00000000006</v>
      </c>
      <c r="FB180" s="106">
        <f>+PMGR!FB180+BP!FB180</f>
        <v>300000.00000000006</v>
      </c>
      <c r="FC180" s="106">
        <f>+PMGR!FC180+BP!FC180</f>
        <v>300000.00000000006</v>
      </c>
      <c r="FD180" s="106">
        <f>+PMGR!FD180+BP!FD180</f>
        <v>300000.00000000006</v>
      </c>
      <c r="FE180" s="106">
        <f>+PMGR!FE180+BP!FE180</f>
        <v>300000.00000000006</v>
      </c>
      <c r="FF180" s="106">
        <f>+PMGR!FF180+BP!FF180</f>
        <v>300000.00000000006</v>
      </c>
      <c r="FG180" s="106">
        <f>+PMGR!FG180+BP!FG180</f>
        <v>300000.00000000006</v>
      </c>
      <c r="FH180" s="106">
        <f>+PMGR!FH180+BP!FH180</f>
        <v>300000.00000000006</v>
      </c>
      <c r="FI180" s="106">
        <f>+PMGR!FI180+BP!FI180</f>
        <v>300000.00000000006</v>
      </c>
      <c r="FJ180" s="106">
        <f>+PMGR!FJ180+BP!FJ180</f>
        <v>300000.00000000006</v>
      </c>
      <c r="FK180" s="106">
        <f t="shared" si="879"/>
        <v>3600000.0000000005</v>
      </c>
    </row>
    <row r="181" spans="1:167" ht="14.45" hidden="1" customHeight="1" outlineLevel="2">
      <c r="A181" s="106">
        <f t="shared" si="865"/>
        <v>14700</v>
      </c>
      <c r="B181" s="106">
        <f t="shared" si="865"/>
        <v>8400</v>
      </c>
      <c r="C181" s="106">
        <f t="shared" si="865"/>
        <v>14700</v>
      </c>
      <c r="D181" s="106">
        <f t="shared" si="865"/>
        <v>0</v>
      </c>
      <c r="E181" s="106">
        <f t="shared" si="865"/>
        <v>8400</v>
      </c>
      <c r="F181" s="106">
        <f t="shared" si="865"/>
        <v>16800</v>
      </c>
      <c r="G181" s="106">
        <f t="shared" si="865"/>
        <v>10500</v>
      </c>
      <c r="H181" s="106">
        <f t="shared" si="865"/>
        <v>14000</v>
      </c>
      <c r="I181" s="106">
        <f t="shared" si="865"/>
        <v>19600</v>
      </c>
      <c r="J181" s="106">
        <f t="shared" si="865"/>
        <v>16800</v>
      </c>
      <c r="K181" s="106">
        <f t="shared" si="865"/>
        <v>16800</v>
      </c>
      <c r="L181" s="106">
        <f t="shared" si="865"/>
        <v>30800</v>
      </c>
      <c r="M181" s="106">
        <f t="shared" si="866"/>
        <v>171500</v>
      </c>
      <c r="N181" s="16" t="s">
        <v>150</v>
      </c>
      <c r="O181" s="106">
        <f t="shared" si="867"/>
        <v>18100</v>
      </c>
      <c r="P181" s="106">
        <f t="shared" si="867"/>
        <v>26000</v>
      </c>
      <c r="Q181" s="106">
        <f t="shared" si="867"/>
        <v>23800</v>
      </c>
      <c r="R181" s="106">
        <f t="shared" si="867"/>
        <v>0</v>
      </c>
      <c r="S181" s="106">
        <f t="shared" si="867"/>
        <v>19600</v>
      </c>
      <c r="T181" s="106">
        <f t="shared" si="867"/>
        <v>5600</v>
      </c>
      <c r="U181" s="106">
        <f t="shared" si="867"/>
        <v>10500</v>
      </c>
      <c r="V181" s="106">
        <f t="shared" si="867"/>
        <v>14000</v>
      </c>
      <c r="W181" s="106">
        <f t="shared" si="867"/>
        <v>15400</v>
      </c>
      <c r="X181" s="106">
        <f t="shared" si="867"/>
        <v>11900</v>
      </c>
      <c r="Y181" s="106">
        <f t="shared" si="867"/>
        <v>0</v>
      </c>
      <c r="Z181" s="106">
        <f t="shared" si="867"/>
        <v>0</v>
      </c>
      <c r="AA181" s="106">
        <f t="shared" si="868"/>
        <v>144900</v>
      </c>
      <c r="AB181" s="118"/>
      <c r="AC181" s="106">
        <f t="shared" si="869"/>
        <v>19500</v>
      </c>
      <c r="AD181" s="106">
        <f t="shared" si="869"/>
        <v>19500</v>
      </c>
      <c r="AE181" s="106">
        <f t="shared" si="869"/>
        <v>19500</v>
      </c>
      <c r="AF181" s="106">
        <f t="shared" si="869"/>
        <v>19500</v>
      </c>
      <c r="AG181" s="106">
        <f t="shared" si="869"/>
        <v>19500</v>
      </c>
      <c r="AH181" s="106">
        <f t="shared" si="869"/>
        <v>19500</v>
      </c>
      <c r="AI181" s="106">
        <f t="shared" si="869"/>
        <v>19500</v>
      </c>
      <c r="AJ181" s="106">
        <f t="shared" si="869"/>
        <v>19500</v>
      </c>
      <c r="AK181" s="106">
        <f t="shared" si="869"/>
        <v>19500</v>
      </c>
      <c r="AL181" s="106">
        <f t="shared" si="869"/>
        <v>19500</v>
      </c>
      <c r="AM181" s="106">
        <f t="shared" si="869"/>
        <v>19500</v>
      </c>
      <c r="AN181" s="106">
        <f t="shared" si="869"/>
        <v>19500</v>
      </c>
      <c r="AO181" s="106">
        <f t="shared" si="870"/>
        <v>234000</v>
      </c>
      <c r="AP181" s="106"/>
      <c r="AQ181" s="106">
        <f>+PMGR!AQ181+BP!AQ181</f>
        <v>0</v>
      </c>
      <c r="AR181" s="106">
        <f>+PMGR!AR181+BP!AR181</f>
        <v>0</v>
      </c>
      <c r="AS181" s="106">
        <f>+PMGR!AS181+BP!AS181</f>
        <v>0</v>
      </c>
      <c r="AT181" s="106">
        <f>+PMGR!AT181+BP!AT181</f>
        <v>0</v>
      </c>
      <c r="AU181" s="106">
        <f>+PMGR!AU181+BP!AU181</f>
        <v>0</v>
      </c>
      <c r="AV181" s="106">
        <f>+PMGR!AV181+BP!AV181</f>
        <v>0</v>
      </c>
      <c r="AW181" s="106">
        <f>+PMGR!AW181+BP!AW181</f>
        <v>0</v>
      </c>
      <c r="AX181" s="106">
        <f>+PMGR!AX181+BP!AX181</f>
        <v>0</v>
      </c>
      <c r="AY181" s="106">
        <f>+PMGR!AY181+BP!AY181</f>
        <v>0</v>
      </c>
      <c r="AZ181" s="106">
        <f>+PMGR!AZ181+BP!AZ181</f>
        <v>16800</v>
      </c>
      <c r="BA181" s="106">
        <f>+PMGR!BA181+BP!BA181</f>
        <v>0</v>
      </c>
      <c r="BB181" s="106">
        <f>+PMGR!BB181+BP!BB181</f>
        <v>0</v>
      </c>
      <c r="BC181" s="106">
        <f t="shared" si="871"/>
        <v>16800</v>
      </c>
      <c r="BD181" s="16" t="str">
        <f t="shared" si="671"/>
        <v>Water</v>
      </c>
      <c r="BE181" s="106">
        <f>+PMGR!BE181+BP!BE181</f>
        <v>0</v>
      </c>
      <c r="BF181" s="106">
        <f>+PMGR!BF181+BP!BF181</f>
        <v>0</v>
      </c>
      <c r="BG181" s="106">
        <f>+PMGR!BG181+BP!BG181</f>
        <v>0</v>
      </c>
      <c r="BH181" s="106">
        <f>+PMGR!BH181+BP!BH181</f>
        <v>0</v>
      </c>
      <c r="BI181" s="106">
        <f>+PMGR!BI181+BP!BI181</f>
        <v>0</v>
      </c>
      <c r="BJ181" s="106">
        <f>+PMGR!BJ181+BP!BJ181</f>
        <v>0</v>
      </c>
      <c r="BK181" s="106">
        <f>+PMGR!BK181+BP!BK181</f>
        <v>0</v>
      </c>
      <c r="BL181" s="106">
        <f>+PMGR!BL181+BP!BL181</f>
        <v>0</v>
      </c>
      <c r="BM181" s="106">
        <f>+PMGR!BM181+BP!BM181</f>
        <v>0</v>
      </c>
      <c r="BN181" s="106">
        <f>+PMGR!BN181+BP!BN181</f>
        <v>0</v>
      </c>
      <c r="BO181" s="106">
        <f>+PMGR!BO181+BP!BO181</f>
        <v>0</v>
      </c>
      <c r="BP181" s="106">
        <f>+PMGR!BP181+BP!BP181</f>
        <v>0</v>
      </c>
      <c r="BQ181" s="106">
        <f t="shared" si="872"/>
        <v>0</v>
      </c>
      <c r="BR181" s="118"/>
      <c r="BS181" s="106">
        <f>+PMGR!BS181+BP!BS181</f>
        <v>0</v>
      </c>
      <c r="BT181" s="106">
        <f>+PMGR!BT181+BP!BT181</f>
        <v>0</v>
      </c>
      <c r="BU181" s="106">
        <f>+PMGR!BU181+BP!BU181</f>
        <v>0</v>
      </c>
      <c r="BV181" s="106">
        <f>+PMGR!BV181+BP!BV181</f>
        <v>0</v>
      </c>
      <c r="BW181" s="106">
        <f>+PMGR!BW181+BP!BW181</f>
        <v>0</v>
      </c>
      <c r="BX181" s="106">
        <f>+PMGR!BX181+BP!BX181</f>
        <v>0</v>
      </c>
      <c r="BY181" s="106">
        <f>+PMGR!BY181+BP!BY181</f>
        <v>0</v>
      </c>
      <c r="BZ181" s="106">
        <f>+PMGR!BZ181+BP!BZ181</f>
        <v>0</v>
      </c>
      <c r="CA181" s="106">
        <f>+PMGR!CA181+BP!CA181</f>
        <v>0</v>
      </c>
      <c r="CB181" s="106">
        <f>+PMGR!CB181+BP!CB181</f>
        <v>0</v>
      </c>
      <c r="CC181" s="106">
        <f>+PMGR!CC181+BP!CC181</f>
        <v>0</v>
      </c>
      <c r="CD181" s="106">
        <f>+PMGR!CD181+BP!CD181</f>
        <v>0</v>
      </c>
      <c r="CE181" s="106">
        <f t="shared" si="873"/>
        <v>0</v>
      </c>
      <c r="CF181" s="106"/>
      <c r="CG181" s="106">
        <f>+PMGR!CG181+BP!CG181</f>
        <v>14700</v>
      </c>
      <c r="CH181" s="106">
        <f>+PMGR!CH181+BP!CH181</f>
        <v>8400</v>
      </c>
      <c r="CI181" s="106">
        <f>+PMGR!CI181+BP!CI181</f>
        <v>14700</v>
      </c>
      <c r="CJ181" s="106">
        <f>+PMGR!CJ181+BP!CJ181</f>
        <v>0</v>
      </c>
      <c r="CK181" s="106">
        <f>+PMGR!CK181+BP!CK181</f>
        <v>8400</v>
      </c>
      <c r="CL181" s="106">
        <f>+PMGR!CL181+BP!CL181</f>
        <v>16800</v>
      </c>
      <c r="CM181" s="106">
        <f>+PMGR!CM181+BP!CM181</f>
        <v>10500</v>
      </c>
      <c r="CN181" s="106">
        <f>+PMGR!CN181+BP!CN181</f>
        <v>14000</v>
      </c>
      <c r="CO181" s="106">
        <f>+PMGR!CO181+BP!CO181</f>
        <v>19600</v>
      </c>
      <c r="CP181" s="106">
        <f>+PMGR!CP181+BP!CP181</f>
        <v>0</v>
      </c>
      <c r="CQ181" s="106">
        <f>+PMGR!CQ181+BP!CQ181</f>
        <v>16800</v>
      </c>
      <c r="CR181" s="106">
        <f>+PMGR!CR181+BP!CR181</f>
        <v>30800</v>
      </c>
      <c r="CS181" s="106">
        <f t="shared" si="874"/>
        <v>154700</v>
      </c>
      <c r="CT181" s="16" t="str">
        <f t="shared" si="675"/>
        <v>Water</v>
      </c>
      <c r="CU181" s="106">
        <f>+PMGR!CU181+BP!CU181</f>
        <v>13300</v>
      </c>
      <c r="CV181" s="106">
        <f>+PMGR!CV181+BP!CV181</f>
        <v>25200</v>
      </c>
      <c r="CW181" s="106">
        <f>+PMGR!CW181+BP!CW181</f>
        <v>23800</v>
      </c>
      <c r="CX181" s="106">
        <f>+PMGR!CX181+BP!CX181</f>
        <v>0</v>
      </c>
      <c r="CY181" s="106">
        <f>+PMGR!CY181+BP!CY181</f>
        <v>19600</v>
      </c>
      <c r="CZ181" s="106">
        <f>+PMGR!CZ181+BP!CZ181</f>
        <v>5600</v>
      </c>
      <c r="DA181" s="106">
        <f>+PMGR!DA181+BP!DA181</f>
        <v>10500</v>
      </c>
      <c r="DB181" s="106">
        <f>+PMGR!DB181+BP!DB181</f>
        <v>14000</v>
      </c>
      <c r="DC181" s="106">
        <f>+PMGR!DC181+BP!DC181</f>
        <v>15400</v>
      </c>
      <c r="DD181" s="106">
        <f>+PMGR!DD181+BP!DD181</f>
        <v>11900</v>
      </c>
      <c r="DE181" s="106">
        <f>+PMGR!DE181+BP!DE181</f>
        <v>0</v>
      </c>
      <c r="DF181" s="106">
        <f>+PMGR!DF181+BP!DF181</f>
        <v>0</v>
      </c>
      <c r="DG181" s="106">
        <f t="shared" si="875"/>
        <v>139300</v>
      </c>
      <c r="DH181" s="118"/>
      <c r="DI181" s="106">
        <f>+PMGR!DI181+BP!DI181</f>
        <v>14700</v>
      </c>
      <c r="DJ181" s="106">
        <f>+PMGR!DJ181+BP!DJ181</f>
        <v>14700</v>
      </c>
      <c r="DK181" s="106">
        <f>+PMGR!DK181+BP!DK181</f>
        <v>14700</v>
      </c>
      <c r="DL181" s="106">
        <f>+PMGR!DL181+BP!DL181</f>
        <v>14700</v>
      </c>
      <c r="DM181" s="106">
        <f>+PMGR!DM181+BP!DM181</f>
        <v>14700</v>
      </c>
      <c r="DN181" s="106">
        <f>+PMGR!DN181+BP!DN181</f>
        <v>14700</v>
      </c>
      <c r="DO181" s="106">
        <f>+PMGR!DO181+BP!DO181</f>
        <v>14700</v>
      </c>
      <c r="DP181" s="106">
        <f>+PMGR!DP181+BP!DP181</f>
        <v>14700</v>
      </c>
      <c r="DQ181" s="106">
        <f>+PMGR!DQ181+BP!DQ181</f>
        <v>14700</v>
      </c>
      <c r="DR181" s="106">
        <f>+PMGR!DR181+BP!DR181</f>
        <v>14700</v>
      </c>
      <c r="DS181" s="106">
        <f>+PMGR!DS181+BP!DS181</f>
        <v>14700</v>
      </c>
      <c r="DT181" s="106">
        <f>+PMGR!DT181+BP!DT181</f>
        <v>14700</v>
      </c>
      <c r="DU181" s="106">
        <f t="shared" si="876"/>
        <v>176400</v>
      </c>
      <c r="DV181" s="106"/>
      <c r="DW181" s="106">
        <f>+PMGR!DW181+BP!DW181</f>
        <v>0</v>
      </c>
      <c r="DX181" s="106">
        <f>+PMGR!DX181+BP!DX181</f>
        <v>0</v>
      </c>
      <c r="DY181" s="106">
        <f>+PMGR!DY181+BP!DY181</f>
        <v>0</v>
      </c>
      <c r="DZ181" s="106">
        <f>+PMGR!DZ181+BP!DZ181</f>
        <v>0</v>
      </c>
      <c r="EA181" s="106">
        <f>+PMGR!EA181+BP!EA181</f>
        <v>0</v>
      </c>
      <c r="EB181" s="106">
        <f>+PMGR!EB181+BP!EB181</f>
        <v>0</v>
      </c>
      <c r="EC181" s="106">
        <f>+PMGR!EC181+BP!EC181</f>
        <v>0</v>
      </c>
      <c r="ED181" s="106">
        <f>+PMGR!ED181+BP!ED181</f>
        <v>0</v>
      </c>
      <c r="EE181" s="106">
        <f>+PMGR!EE181+BP!EE181</f>
        <v>0</v>
      </c>
      <c r="EF181" s="106">
        <f>+PMGR!EF181+BP!EF181</f>
        <v>0</v>
      </c>
      <c r="EG181" s="106">
        <f>+PMGR!EG181+BP!EG181</f>
        <v>0</v>
      </c>
      <c r="EH181" s="106">
        <f>+PMGR!EH181+BP!EH181</f>
        <v>0</v>
      </c>
      <c r="EI181" s="106">
        <f t="shared" si="877"/>
        <v>0</v>
      </c>
      <c r="EJ181" s="16" t="str">
        <f t="shared" si="681"/>
        <v>Water</v>
      </c>
      <c r="EK181" s="106">
        <f>+PMGR!EK181+BP!EK181</f>
        <v>4800</v>
      </c>
      <c r="EL181" s="106">
        <f>+PMGR!EL181+BP!EL181</f>
        <v>800</v>
      </c>
      <c r="EM181" s="106">
        <f>+PMGR!EM181+BP!EM181</f>
        <v>0</v>
      </c>
      <c r="EN181" s="106">
        <f>+PMGR!EN181+BP!EN181</f>
        <v>0</v>
      </c>
      <c r="EO181" s="106">
        <f>+PMGR!EO181+BP!EO181</f>
        <v>0</v>
      </c>
      <c r="EP181" s="106">
        <f>+PMGR!EP181+BP!EP181</f>
        <v>0</v>
      </c>
      <c r="EQ181" s="106">
        <f>+PMGR!EQ181+BP!EQ181</f>
        <v>0</v>
      </c>
      <c r="ER181" s="106">
        <f>+PMGR!ER181+BP!ER181</f>
        <v>0</v>
      </c>
      <c r="ES181" s="106">
        <f>+PMGR!ES181+BP!ES181</f>
        <v>0</v>
      </c>
      <c r="ET181" s="106">
        <f>+PMGR!ET181+BP!ET181</f>
        <v>0</v>
      </c>
      <c r="EU181" s="106">
        <f>+PMGR!EU181+BP!EU181</f>
        <v>0</v>
      </c>
      <c r="EV181" s="106">
        <f>+PMGR!EV181+BP!EV181</f>
        <v>0</v>
      </c>
      <c r="EW181" s="106">
        <f t="shared" si="878"/>
        <v>5600</v>
      </c>
      <c r="EX181" s="118"/>
      <c r="EY181" s="106">
        <f>+PMGR!EY181+BP!EY181</f>
        <v>4800</v>
      </c>
      <c r="EZ181" s="106">
        <f>+PMGR!EZ181+BP!EZ181</f>
        <v>4800</v>
      </c>
      <c r="FA181" s="106">
        <f>+PMGR!FA181+BP!FA181</f>
        <v>4800</v>
      </c>
      <c r="FB181" s="106">
        <f>+PMGR!FB181+BP!FB181</f>
        <v>4800</v>
      </c>
      <c r="FC181" s="106">
        <f>+PMGR!FC181+BP!FC181</f>
        <v>4800</v>
      </c>
      <c r="FD181" s="106">
        <f>+PMGR!FD181+BP!FD181</f>
        <v>4800</v>
      </c>
      <c r="FE181" s="106">
        <f>+PMGR!FE181+BP!FE181</f>
        <v>4800</v>
      </c>
      <c r="FF181" s="106">
        <f>+PMGR!FF181+BP!FF181</f>
        <v>4800</v>
      </c>
      <c r="FG181" s="106">
        <f>+PMGR!FG181+BP!FG181</f>
        <v>4800</v>
      </c>
      <c r="FH181" s="106">
        <f>+PMGR!FH181+BP!FH181</f>
        <v>4800</v>
      </c>
      <c r="FI181" s="106">
        <f>+PMGR!FI181+BP!FI181</f>
        <v>4800</v>
      </c>
      <c r="FJ181" s="106">
        <f>+PMGR!FJ181+BP!FJ181</f>
        <v>4800</v>
      </c>
      <c r="FK181" s="106">
        <f t="shared" si="879"/>
        <v>57600</v>
      </c>
    </row>
    <row r="182" spans="1:167" ht="14.45" customHeight="1" outlineLevel="1" collapsed="1">
      <c r="A182" s="107">
        <f t="shared" ref="A182:L182" si="880">+SUM(A183:A186)</f>
        <v>42787.4925</v>
      </c>
      <c r="B182" s="107">
        <f t="shared" si="880"/>
        <v>34926.25</v>
      </c>
      <c r="C182" s="107">
        <f t="shared" si="880"/>
        <v>34926.25</v>
      </c>
      <c r="D182" s="107">
        <f t="shared" si="880"/>
        <v>57426.25</v>
      </c>
      <c r="E182" s="107">
        <f t="shared" si="880"/>
        <v>58225.25</v>
      </c>
      <c r="F182" s="107">
        <f t="shared" si="880"/>
        <v>54584.5</v>
      </c>
      <c r="G182" s="107">
        <f t="shared" si="880"/>
        <v>35075</v>
      </c>
      <c r="H182" s="107">
        <f t="shared" si="880"/>
        <v>999</v>
      </c>
      <c r="I182" s="107">
        <f t="shared" si="880"/>
        <v>33083.904999999999</v>
      </c>
      <c r="J182" s="107">
        <f t="shared" si="880"/>
        <v>45799</v>
      </c>
      <c r="K182" s="107">
        <f t="shared" si="880"/>
        <v>55983.405000000006</v>
      </c>
      <c r="L182" s="107">
        <f t="shared" si="880"/>
        <v>55383.5</v>
      </c>
      <c r="M182" s="107"/>
      <c r="N182" s="20" t="s">
        <v>151</v>
      </c>
      <c r="O182" s="107">
        <f t="shared" ref="O182:AA182" si="881">+SUM(O183:O186)</f>
        <v>68096.650000000009</v>
      </c>
      <c r="P182" s="107">
        <f t="shared" si="881"/>
        <v>65671.5</v>
      </c>
      <c r="Q182" s="107">
        <f t="shared" si="881"/>
        <v>27429.235000000001</v>
      </c>
      <c r="R182" s="107">
        <f t="shared" si="881"/>
        <v>47927.548000000003</v>
      </c>
      <c r="S182" s="107">
        <f t="shared" si="881"/>
        <v>76139.740999999995</v>
      </c>
      <c r="T182" s="107">
        <f t="shared" si="881"/>
        <v>108129.1505</v>
      </c>
      <c r="U182" s="107">
        <f t="shared" si="881"/>
        <v>80509.25404395604</v>
      </c>
      <c r="V182" s="107">
        <f t="shared" si="881"/>
        <v>57071.748499999987</v>
      </c>
      <c r="W182" s="107">
        <f t="shared" si="881"/>
        <v>82255.850000000006</v>
      </c>
      <c r="X182" s="107">
        <f t="shared" si="881"/>
        <v>79214.749999999985</v>
      </c>
      <c r="Y182" s="107">
        <f t="shared" si="881"/>
        <v>0</v>
      </c>
      <c r="Z182" s="107">
        <f t="shared" si="881"/>
        <v>0</v>
      </c>
      <c r="AA182" s="107">
        <f t="shared" si="881"/>
        <v>692445.42704395601</v>
      </c>
      <c r="AB182" s="118"/>
      <c r="AC182" s="107">
        <f t="shared" ref="AC182:AN182" si="882">+SUM(AC183:AC186)</f>
        <v>73047.25</v>
      </c>
      <c r="AD182" s="107">
        <f t="shared" si="882"/>
        <v>73047.25</v>
      </c>
      <c r="AE182" s="107">
        <f t="shared" si="882"/>
        <v>73047.25</v>
      </c>
      <c r="AF182" s="107">
        <f t="shared" si="882"/>
        <v>73047.25</v>
      </c>
      <c r="AG182" s="107">
        <f t="shared" si="882"/>
        <v>73047.25</v>
      </c>
      <c r="AH182" s="107">
        <f t="shared" si="882"/>
        <v>73047.25</v>
      </c>
      <c r="AI182" s="107">
        <f t="shared" si="882"/>
        <v>73047.25</v>
      </c>
      <c r="AJ182" s="107">
        <f t="shared" si="882"/>
        <v>73047.25</v>
      </c>
      <c r="AK182" s="107">
        <f t="shared" si="882"/>
        <v>73047.25</v>
      </c>
      <c r="AL182" s="107">
        <f t="shared" si="882"/>
        <v>73047.25</v>
      </c>
      <c r="AM182" s="107">
        <f t="shared" si="882"/>
        <v>73047.25</v>
      </c>
      <c r="AN182" s="107">
        <f t="shared" si="882"/>
        <v>73047.25</v>
      </c>
      <c r="AO182" s="107"/>
      <c r="AP182" s="106"/>
      <c r="AQ182" s="107">
        <f t="shared" ref="AQ182:BC182" si="883">+SUM(AQ183:AQ186)</f>
        <v>28061.134999999998</v>
      </c>
      <c r="AR182" s="107">
        <f t="shared" si="883"/>
        <v>23086.5</v>
      </c>
      <c r="AS182" s="107">
        <f t="shared" si="883"/>
        <v>23086.5</v>
      </c>
      <c r="AT182" s="107">
        <f t="shared" si="883"/>
        <v>53086.5</v>
      </c>
      <c r="AU182" s="107">
        <f t="shared" si="883"/>
        <v>53086.5</v>
      </c>
      <c r="AV182" s="107">
        <f t="shared" si="883"/>
        <v>50859</v>
      </c>
      <c r="AW182" s="107">
        <f t="shared" si="883"/>
        <v>22653</v>
      </c>
      <c r="AX182" s="107">
        <f t="shared" si="883"/>
        <v>999</v>
      </c>
      <c r="AY182" s="107">
        <f t="shared" si="883"/>
        <v>21858.41</v>
      </c>
      <c r="AZ182" s="107">
        <f t="shared" si="883"/>
        <v>45000</v>
      </c>
      <c r="BA182" s="107">
        <f t="shared" si="883"/>
        <v>51858.41</v>
      </c>
      <c r="BB182" s="107">
        <f t="shared" si="883"/>
        <v>50859</v>
      </c>
      <c r="BC182" s="107">
        <f t="shared" si="883"/>
        <v>424493.95499999996</v>
      </c>
      <c r="BD182" s="20" t="str">
        <f t="shared" si="671"/>
        <v>Telephone &amp; Internet Expenses</v>
      </c>
      <c r="BE182" s="107">
        <f t="shared" ref="BE182:BQ182" si="884">+SUM(BE183:BE186)</f>
        <v>50121.100000000006</v>
      </c>
      <c r="BF182" s="107">
        <f t="shared" si="884"/>
        <v>29238</v>
      </c>
      <c r="BG182" s="107">
        <f t="shared" si="884"/>
        <v>13564.329999999998</v>
      </c>
      <c r="BH182" s="107">
        <f t="shared" si="884"/>
        <v>22119.591999999997</v>
      </c>
      <c r="BI182" s="107">
        <f t="shared" si="884"/>
        <v>47591.054000000004</v>
      </c>
      <c r="BJ182" s="107">
        <f t="shared" si="884"/>
        <v>68380.46699999999</v>
      </c>
      <c r="BK182" s="107">
        <f t="shared" si="884"/>
        <v>59630.449362637359</v>
      </c>
      <c r="BL182" s="107">
        <f t="shared" si="884"/>
        <v>44298.498999999989</v>
      </c>
      <c r="BM182" s="107">
        <f t="shared" si="884"/>
        <v>61087.900000000009</v>
      </c>
      <c r="BN182" s="107">
        <f t="shared" si="884"/>
        <v>59060.5</v>
      </c>
      <c r="BO182" s="107">
        <f t="shared" si="884"/>
        <v>0</v>
      </c>
      <c r="BP182" s="107">
        <f t="shared" si="884"/>
        <v>0</v>
      </c>
      <c r="BQ182" s="107">
        <f t="shared" si="884"/>
        <v>455091.89136263728</v>
      </c>
      <c r="BR182" s="118"/>
      <c r="BS182" s="107">
        <f t="shared" ref="BS182:CE182" si="885">+SUM(BS183:BS186)</f>
        <v>33887.5</v>
      </c>
      <c r="BT182" s="107">
        <f t="shared" si="885"/>
        <v>33887.5</v>
      </c>
      <c r="BU182" s="107">
        <f t="shared" si="885"/>
        <v>33887.5</v>
      </c>
      <c r="BV182" s="107">
        <f t="shared" si="885"/>
        <v>33887.5</v>
      </c>
      <c r="BW182" s="107">
        <f t="shared" si="885"/>
        <v>33887.5</v>
      </c>
      <c r="BX182" s="107">
        <f t="shared" si="885"/>
        <v>33887.5</v>
      </c>
      <c r="BY182" s="107">
        <f t="shared" si="885"/>
        <v>33887.5</v>
      </c>
      <c r="BZ182" s="107">
        <f t="shared" si="885"/>
        <v>33887.5</v>
      </c>
      <c r="CA182" s="107">
        <f t="shared" si="885"/>
        <v>33887.5</v>
      </c>
      <c r="CB182" s="107">
        <f t="shared" si="885"/>
        <v>33887.5</v>
      </c>
      <c r="CC182" s="107">
        <f t="shared" si="885"/>
        <v>33887.5</v>
      </c>
      <c r="CD182" s="107">
        <f t="shared" si="885"/>
        <v>33887.5</v>
      </c>
      <c r="CE182" s="107">
        <f t="shared" si="885"/>
        <v>406650</v>
      </c>
      <c r="CF182" s="106"/>
      <c r="CG182" s="107">
        <f t="shared" ref="CG182:CS182" si="886">+SUM(CG183:CG186)</f>
        <v>14726.3575</v>
      </c>
      <c r="CH182" s="107">
        <f t="shared" si="886"/>
        <v>11839.75</v>
      </c>
      <c r="CI182" s="107">
        <f t="shared" si="886"/>
        <v>11839.75</v>
      </c>
      <c r="CJ182" s="107">
        <f t="shared" si="886"/>
        <v>4339.75</v>
      </c>
      <c r="CK182" s="107">
        <f t="shared" si="886"/>
        <v>5138.75</v>
      </c>
      <c r="CL182" s="107">
        <f t="shared" si="886"/>
        <v>3725.5</v>
      </c>
      <c r="CM182" s="107">
        <f t="shared" si="886"/>
        <v>12422</v>
      </c>
      <c r="CN182" s="107">
        <f t="shared" si="886"/>
        <v>0</v>
      </c>
      <c r="CO182" s="107">
        <f t="shared" si="886"/>
        <v>11225.495000000001</v>
      </c>
      <c r="CP182" s="107">
        <f t="shared" si="886"/>
        <v>799</v>
      </c>
      <c r="CQ182" s="107">
        <f t="shared" si="886"/>
        <v>4124.9949999999999</v>
      </c>
      <c r="CR182" s="107">
        <f t="shared" si="886"/>
        <v>4524.5</v>
      </c>
      <c r="CS182" s="107">
        <f t="shared" si="886"/>
        <v>84705.847500000003</v>
      </c>
      <c r="CT182" s="20" t="str">
        <f t="shared" si="675"/>
        <v>Telephone &amp; Internet Expenses</v>
      </c>
      <c r="CU182" s="107">
        <f t="shared" ref="CU182:DG182" si="887">+SUM(CU183:CU186)</f>
        <v>10560.55</v>
      </c>
      <c r="CV182" s="107">
        <f t="shared" si="887"/>
        <v>15774.5</v>
      </c>
      <c r="CW182" s="107">
        <f t="shared" si="887"/>
        <v>7138.415</v>
      </c>
      <c r="CX182" s="107">
        <f t="shared" si="887"/>
        <v>11815.546</v>
      </c>
      <c r="CY182" s="107">
        <f t="shared" si="887"/>
        <v>14556.277</v>
      </c>
      <c r="CZ182" s="107">
        <f t="shared" si="887"/>
        <v>25756.273500000003</v>
      </c>
      <c r="DA182" s="107">
        <f t="shared" si="887"/>
        <v>20219.724681318679</v>
      </c>
      <c r="DB182" s="107">
        <f t="shared" si="887"/>
        <v>12114.2495</v>
      </c>
      <c r="DC182" s="107">
        <f t="shared" si="887"/>
        <v>20508.949999999997</v>
      </c>
      <c r="DD182" s="107">
        <f t="shared" si="887"/>
        <v>19495.25</v>
      </c>
      <c r="DE182" s="107">
        <f t="shared" si="887"/>
        <v>0</v>
      </c>
      <c r="DF182" s="107">
        <f t="shared" si="887"/>
        <v>0</v>
      </c>
      <c r="DG182" s="107">
        <f t="shared" si="887"/>
        <v>157939.73568131868</v>
      </c>
      <c r="DH182" s="118"/>
      <c r="DI182" s="107">
        <f t="shared" ref="DI182:DU182" si="888">+SUM(DI183:DI186)</f>
        <v>17739.75</v>
      </c>
      <c r="DJ182" s="107">
        <f t="shared" si="888"/>
        <v>17739.75</v>
      </c>
      <c r="DK182" s="107">
        <f t="shared" si="888"/>
        <v>17739.75</v>
      </c>
      <c r="DL182" s="107">
        <f t="shared" si="888"/>
        <v>17739.75</v>
      </c>
      <c r="DM182" s="107">
        <f t="shared" si="888"/>
        <v>17739.75</v>
      </c>
      <c r="DN182" s="107">
        <f t="shared" si="888"/>
        <v>17739.75</v>
      </c>
      <c r="DO182" s="107">
        <f t="shared" si="888"/>
        <v>17739.75</v>
      </c>
      <c r="DP182" s="107">
        <f t="shared" si="888"/>
        <v>17739.75</v>
      </c>
      <c r="DQ182" s="107">
        <f t="shared" si="888"/>
        <v>17739.75</v>
      </c>
      <c r="DR182" s="107">
        <f t="shared" si="888"/>
        <v>17739.75</v>
      </c>
      <c r="DS182" s="107">
        <f t="shared" si="888"/>
        <v>17739.75</v>
      </c>
      <c r="DT182" s="107">
        <f t="shared" si="888"/>
        <v>17739.75</v>
      </c>
      <c r="DU182" s="107">
        <f t="shared" si="888"/>
        <v>212877</v>
      </c>
      <c r="DV182" s="106"/>
      <c r="DW182" s="107">
        <f t="shared" ref="DW182:EI182" si="889">+SUM(DW183:DW186)</f>
        <v>0</v>
      </c>
      <c r="DX182" s="107">
        <f t="shared" si="889"/>
        <v>0</v>
      </c>
      <c r="DY182" s="107">
        <f t="shared" si="889"/>
        <v>0</v>
      </c>
      <c r="DZ182" s="107">
        <f t="shared" si="889"/>
        <v>0</v>
      </c>
      <c r="EA182" s="107">
        <f t="shared" si="889"/>
        <v>0</v>
      </c>
      <c r="EB182" s="107">
        <f t="shared" si="889"/>
        <v>0</v>
      </c>
      <c r="EC182" s="107">
        <f t="shared" si="889"/>
        <v>0</v>
      </c>
      <c r="ED182" s="107">
        <f t="shared" si="889"/>
        <v>0</v>
      </c>
      <c r="EE182" s="107">
        <f t="shared" si="889"/>
        <v>0</v>
      </c>
      <c r="EF182" s="107">
        <f t="shared" si="889"/>
        <v>0</v>
      </c>
      <c r="EG182" s="107">
        <f t="shared" si="889"/>
        <v>0</v>
      </c>
      <c r="EH182" s="107">
        <f t="shared" si="889"/>
        <v>0</v>
      </c>
      <c r="EI182" s="107">
        <f t="shared" si="889"/>
        <v>0</v>
      </c>
      <c r="EJ182" s="20" t="str">
        <f t="shared" si="681"/>
        <v>Telephone &amp; Internet Expenses</v>
      </c>
      <c r="EK182" s="107">
        <f t="shared" ref="EK182:EW182" si="890">+SUM(EK183:EK186)</f>
        <v>7415</v>
      </c>
      <c r="EL182" s="107">
        <f t="shared" si="890"/>
        <v>20659</v>
      </c>
      <c r="EM182" s="107">
        <f t="shared" si="890"/>
        <v>6726.49</v>
      </c>
      <c r="EN182" s="107">
        <f t="shared" si="890"/>
        <v>13992.41</v>
      </c>
      <c r="EO182" s="107">
        <f t="shared" si="890"/>
        <v>13992.41</v>
      </c>
      <c r="EP182" s="107">
        <f t="shared" si="890"/>
        <v>13992.41</v>
      </c>
      <c r="EQ182" s="107">
        <f t="shared" si="890"/>
        <v>659.08</v>
      </c>
      <c r="ER182" s="107">
        <f t="shared" si="890"/>
        <v>659</v>
      </c>
      <c r="ES182" s="107">
        <f t="shared" si="890"/>
        <v>659</v>
      </c>
      <c r="ET182" s="107">
        <f t="shared" si="890"/>
        <v>659</v>
      </c>
      <c r="EU182" s="107">
        <f t="shared" si="890"/>
        <v>0</v>
      </c>
      <c r="EV182" s="107">
        <f t="shared" si="890"/>
        <v>0</v>
      </c>
      <c r="EW182" s="107">
        <f t="shared" si="890"/>
        <v>79413.8</v>
      </c>
      <c r="EX182" s="118"/>
      <c r="EY182" s="107">
        <f t="shared" ref="EY182:FK182" si="891">+SUM(EY183:EY186)</f>
        <v>21420</v>
      </c>
      <c r="EZ182" s="107">
        <f t="shared" si="891"/>
        <v>21420</v>
      </c>
      <c r="FA182" s="107">
        <f t="shared" si="891"/>
        <v>21420</v>
      </c>
      <c r="FB182" s="107">
        <f t="shared" si="891"/>
        <v>21420</v>
      </c>
      <c r="FC182" s="107">
        <f t="shared" si="891"/>
        <v>21420</v>
      </c>
      <c r="FD182" s="107">
        <f t="shared" si="891"/>
        <v>21420</v>
      </c>
      <c r="FE182" s="107">
        <f t="shared" si="891"/>
        <v>21420</v>
      </c>
      <c r="FF182" s="107">
        <f t="shared" si="891"/>
        <v>21420</v>
      </c>
      <c r="FG182" s="107">
        <f t="shared" si="891"/>
        <v>21420</v>
      </c>
      <c r="FH182" s="107">
        <f t="shared" si="891"/>
        <v>21420</v>
      </c>
      <c r="FI182" s="107">
        <f t="shared" si="891"/>
        <v>21420</v>
      </c>
      <c r="FJ182" s="107">
        <f t="shared" si="891"/>
        <v>21420</v>
      </c>
      <c r="FK182" s="107">
        <f t="shared" si="891"/>
        <v>257040</v>
      </c>
    </row>
    <row r="183" spans="1:167" ht="14.45" hidden="1" customHeight="1" outlineLevel="2">
      <c r="A183" s="106">
        <f t="shared" ref="A183:L186" si="892">+AQ183+CG183+DW183</f>
        <v>1842.75</v>
      </c>
      <c r="B183" s="106">
        <f t="shared" si="892"/>
        <v>1842.75</v>
      </c>
      <c r="C183" s="106">
        <f t="shared" si="892"/>
        <v>1842.75</v>
      </c>
      <c r="D183" s="106">
        <f t="shared" si="892"/>
        <v>1842.75</v>
      </c>
      <c r="E183" s="106">
        <f t="shared" si="892"/>
        <v>1842.75</v>
      </c>
      <c r="F183" s="106">
        <f t="shared" si="892"/>
        <v>0</v>
      </c>
      <c r="G183" s="106">
        <f t="shared" si="892"/>
        <v>0</v>
      </c>
      <c r="H183" s="106">
        <f t="shared" si="892"/>
        <v>0</v>
      </c>
      <c r="I183" s="106">
        <f t="shared" si="892"/>
        <v>0</v>
      </c>
      <c r="J183" s="106">
        <f t="shared" si="892"/>
        <v>0</v>
      </c>
      <c r="K183" s="106">
        <f t="shared" si="892"/>
        <v>0</v>
      </c>
      <c r="L183" s="106">
        <f t="shared" si="892"/>
        <v>0</v>
      </c>
      <c r="M183" s="106">
        <f t="shared" ref="M183:M186" si="893">+SUM(A183:L183)</f>
        <v>9213.75</v>
      </c>
      <c r="N183" s="16" t="s">
        <v>152</v>
      </c>
      <c r="O183" s="106">
        <f t="shared" ref="O183:Z186" si="894">+BE183+CU183+EK183</f>
        <v>68096.650000000009</v>
      </c>
      <c r="P183" s="106">
        <f t="shared" si="894"/>
        <v>0</v>
      </c>
      <c r="Q183" s="106">
        <f t="shared" si="894"/>
        <v>0</v>
      </c>
      <c r="R183" s="106">
        <f t="shared" si="894"/>
        <v>0</v>
      </c>
      <c r="S183" s="106">
        <f t="shared" si="894"/>
        <v>2334.5549999999998</v>
      </c>
      <c r="T183" s="106">
        <f t="shared" si="894"/>
        <v>2284.3485000000001</v>
      </c>
      <c r="U183" s="106">
        <f t="shared" si="894"/>
        <v>2284.3485000000001</v>
      </c>
      <c r="V183" s="106">
        <f t="shared" si="894"/>
        <v>2284.3485000000001</v>
      </c>
      <c r="W183" s="106">
        <f t="shared" si="894"/>
        <v>2284.1999999999998</v>
      </c>
      <c r="X183" s="106">
        <f t="shared" si="894"/>
        <v>2284.1999999999998</v>
      </c>
      <c r="Y183" s="106">
        <f t="shared" si="894"/>
        <v>0</v>
      </c>
      <c r="Z183" s="106">
        <f t="shared" si="894"/>
        <v>0</v>
      </c>
      <c r="AA183" s="106">
        <f t="shared" ref="AA183:AA186" si="895">+SUM(O183:Z183)</f>
        <v>81852.650499999989</v>
      </c>
      <c r="AB183" s="118"/>
      <c r="AC183" s="106">
        <f t="shared" ref="AC183:AN186" si="896">+BS183+DI183+EY183</f>
        <v>8842.75</v>
      </c>
      <c r="AD183" s="106">
        <f t="shared" si="896"/>
        <v>8842.75</v>
      </c>
      <c r="AE183" s="106">
        <f t="shared" si="896"/>
        <v>8842.75</v>
      </c>
      <c r="AF183" s="106">
        <f t="shared" si="896"/>
        <v>8842.75</v>
      </c>
      <c r="AG183" s="106">
        <f t="shared" si="896"/>
        <v>8842.75</v>
      </c>
      <c r="AH183" s="106">
        <f t="shared" si="896"/>
        <v>8842.75</v>
      </c>
      <c r="AI183" s="106">
        <f t="shared" si="896"/>
        <v>8842.75</v>
      </c>
      <c r="AJ183" s="106">
        <f t="shared" si="896"/>
        <v>8842.75</v>
      </c>
      <c r="AK183" s="106">
        <f t="shared" si="896"/>
        <v>8842.75</v>
      </c>
      <c r="AL183" s="106">
        <f t="shared" si="896"/>
        <v>8842.75</v>
      </c>
      <c r="AM183" s="106">
        <f t="shared" si="896"/>
        <v>8842.75</v>
      </c>
      <c r="AN183" s="106">
        <f t="shared" si="896"/>
        <v>8842.75</v>
      </c>
      <c r="AO183" s="106">
        <f t="shared" ref="AO183:AO186" si="897">+SUM(AC183:AN183)</f>
        <v>106113</v>
      </c>
      <c r="AP183" s="106"/>
      <c r="AQ183" s="106">
        <f>+PMGR!AQ183+BP!AQ183</f>
        <v>1228.5</v>
      </c>
      <c r="AR183" s="106">
        <f>+PMGR!AR183+BP!AR183</f>
        <v>1228.5</v>
      </c>
      <c r="AS183" s="106">
        <f>+PMGR!AS183+BP!AS183</f>
        <v>1228.5</v>
      </c>
      <c r="AT183" s="106">
        <f>+PMGR!AT183+BP!AT183</f>
        <v>1228.5</v>
      </c>
      <c r="AU183" s="106">
        <f>+PMGR!AU183+BP!AU183</f>
        <v>1228.5</v>
      </c>
      <c r="AV183" s="106">
        <f>+PMGR!AV183+BP!AV183</f>
        <v>0</v>
      </c>
      <c r="AW183" s="106">
        <f>+PMGR!AW183+BP!AW183</f>
        <v>0</v>
      </c>
      <c r="AX183" s="106">
        <f>+PMGR!AX183+BP!AX183</f>
        <v>0</v>
      </c>
      <c r="AY183" s="106">
        <f>+PMGR!AY183+BP!AY183</f>
        <v>0</v>
      </c>
      <c r="AZ183" s="106">
        <f>+PMGR!AZ183+BP!AZ183</f>
        <v>0</v>
      </c>
      <c r="BA183" s="106">
        <f>+PMGR!BA183+BP!BA183</f>
        <v>0</v>
      </c>
      <c r="BB183" s="106">
        <f>+PMGR!BB183+BP!BB183</f>
        <v>0</v>
      </c>
      <c r="BC183" s="106">
        <f t="shared" ref="BC183:BC186" si="898">+SUM(AQ183:BB183)</f>
        <v>6142.5</v>
      </c>
      <c r="BD183" s="16" t="str">
        <f t="shared" si="671"/>
        <v>Email Service</v>
      </c>
      <c r="BE183" s="106">
        <f>+PMGR!BE183+BP!BE183</f>
        <v>50121.100000000006</v>
      </c>
      <c r="BF183" s="106">
        <f>+PMGR!BF183+BP!BF183</f>
        <v>0</v>
      </c>
      <c r="BG183" s="106">
        <f>+PMGR!BG183+BP!BG183</f>
        <v>0</v>
      </c>
      <c r="BH183" s="106">
        <f>+PMGR!BH183+BP!BH183</f>
        <v>0</v>
      </c>
      <c r="BI183" s="106">
        <f>+PMGR!BI183+BP!BI183</f>
        <v>1556.37</v>
      </c>
      <c r="BJ183" s="106">
        <f>+PMGR!BJ183+BP!BJ183</f>
        <v>1522.8989999999999</v>
      </c>
      <c r="BK183" s="106">
        <f>+PMGR!BK183+BP!BK183</f>
        <v>1522.8989999999999</v>
      </c>
      <c r="BL183" s="106">
        <f>+PMGR!BL183+BP!BL183</f>
        <v>1522.8989999999999</v>
      </c>
      <c r="BM183" s="106">
        <f>+PMGR!BM183+BP!BM183</f>
        <v>1522.8</v>
      </c>
      <c r="BN183" s="106">
        <f>+PMGR!BN183+BP!BN183</f>
        <v>1522.8</v>
      </c>
      <c r="BO183" s="106">
        <f>+PMGR!BO183+BP!BO183</f>
        <v>0</v>
      </c>
      <c r="BP183" s="106">
        <f>+PMGR!BP183+BP!BP183</f>
        <v>0</v>
      </c>
      <c r="BQ183" s="106">
        <f t="shared" ref="BQ183:BQ186" si="899">+SUM(BE183:BP183)</f>
        <v>59291.767000000007</v>
      </c>
      <c r="BR183" s="118"/>
      <c r="BS183" s="106">
        <f>+PMGR!BS183+BP!BS183</f>
        <v>1228.5</v>
      </c>
      <c r="BT183" s="106">
        <f>+PMGR!BT183+BP!BT183</f>
        <v>1228.5</v>
      </c>
      <c r="BU183" s="106">
        <f>+PMGR!BU183+BP!BU183</f>
        <v>1228.5</v>
      </c>
      <c r="BV183" s="106">
        <f>+PMGR!BV183+BP!BV183</f>
        <v>1228.5</v>
      </c>
      <c r="BW183" s="106">
        <f>+PMGR!BW183+BP!BW183</f>
        <v>1228.5</v>
      </c>
      <c r="BX183" s="106">
        <f>+PMGR!BX183+BP!BX183</f>
        <v>1228.5</v>
      </c>
      <c r="BY183" s="106">
        <f>+PMGR!BY183+BP!BY183</f>
        <v>1228.5</v>
      </c>
      <c r="BZ183" s="106">
        <f>+PMGR!BZ183+BP!BZ183</f>
        <v>1228.5</v>
      </c>
      <c r="CA183" s="106">
        <f>+PMGR!CA183+BP!CA183</f>
        <v>1228.5</v>
      </c>
      <c r="CB183" s="106">
        <f>+PMGR!CB183+BP!CB183</f>
        <v>1228.5</v>
      </c>
      <c r="CC183" s="106">
        <f>+PMGR!CC183+BP!CC183</f>
        <v>1228.5</v>
      </c>
      <c r="CD183" s="106">
        <f>+PMGR!CD183+BP!CD183</f>
        <v>1228.5</v>
      </c>
      <c r="CE183" s="106">
        <f t="shared" ref="CE183:CE186" si="900">+SUM(BS183:CD183)</f>
        <v>14742</v>
      </c>
      <c r="CF183" s="106"/>
      <c r="CG183" s="106">
        <f>+PMGR!CG183+BP!CG183</f>
        <v>614.25</v>
      </c>
      <c r="CH183" s="106">
        <f>+PMGR!CH183+BP!CH183</f>
        <v>614.25</v>
      </c>
      <c r="CI183" s="106">
        <f>+PMGR!CI183+BP!CI183</f>
        <v>614.25</v>
      </c>
      <c r="CJ183" s="106">
        <f>+PMGR!CJ183+BP!CJ183</f>
        <v>614.25</v>
      </c>
      <c r="CK183" s="106">
        <f>+PMGR!CK183+BP!CK183</f>
        <v>614.25</v>
      </c>
      <c r="CL183" s="106">
        <f>+PMGR!CL183+BP!CL183</f>
        <v>0</v>
      </c>
      <c r="CM183" s="106">
        <f>+PMGR!CM183+BP!CM183</f>
        <v>0</v>
      </c>
      <c r="CN183" s="106">
        <f>+PMGR!CN183+BP!CN183</f>
        <v>0</v>
      </c>
      <c r="CO183" s="106">
        <f>+PMGR!CO183+BP!CO183</f>
        <v>0</v>
      </c>
      <c r="CP183" s="106">
        <f>+PMGR!CP183+BP!CP183</f>
        <v>0</v>
      </c>
      <c r="CQ183" s="106">
        <f>+PMGR!CQ183+BP!CQ183</f>
        <v>0</v>
      </c>
      <c r="CR183" s="106">
        <f>+PMGR!CR183+BP!CR183</f>
        <v>0</v>
      </c>
      <c r="CS183" s="106">
        <f t="shared" ref="CS183:CS186" si="901">+SUM(CG183:CR183)</f>
        <v>3071.25</v>
      </c>
      <c r="CT183" s="16" t="str">
        <f t="shared" si="675"/>
        <v>Email Service</v>
      </c>
      <c r="CU183" s="106">
        <f>+PMGR!CU183+BP!CU183</f>
        <v>10560.55</v>
      </c>
      <c r="CV183" s="106">
        <f>+PMGR!CV183+BP!CV183</f>
        <v>0</v>
      </c>
      <c r="CW183" s="106">
        <f>+PMGR!CW183+BP!CW183</f>
        <v>0</v>
      </c>
      <c r="CX183" s="106">
        <f>+PMGR!CX183+BP!CX183</f>
        <v>0</v>
      </c>
      <c r="CY183" s="106">
        <f>+PMGR!CY183+BP!CY183</f>
        <v>778.18499999999995</v>
      </c>
      <c r="CZ183" s="106">
        <f>+PMGR!CZ183+BP!CZ183</f>
        <v>761.44949999999994</v>
      </c>
      <c r="DA183" s="106">
        <f>+PMGR!DA183+BP!DA183</f>
        <v>761.44949999999994</v>
      </c>
      <c r="DB183" s="106">
        <f>+PMGR!DB183+BP!DB183</f>
        <v>761.44949999999994</v>
      </c>
      <c r="DC183" s="106">
        <f>+PMGR!DC183+BP!DC183</f>
        <v>761.4</v>
      </c>
      <c r="DD183" s="106">
        <f>+PMGR!DD183+BP!DD183</f>
        <v>761.4</v>
      </c>
      <c r="DE183" s="106">
        <f>+PMGR!DE183+BP!DE183</f>
        <v>0</v>
      </c>
      <c r="DF183" s="106">
        <f>+PMGR!DF183+BP!DF183</f>
        <v>0</v>
      </c>
      <c r="DG183" s="106">
        <f t="shared" ref="DG183:DG186" si="902">+SUM(CU183:DF183)</f>
        <v>15145.8835</v>
      </c>
      <c r="DH183" s="118"/>
      <c r="DI183" s="106">
        <f>+PMGR!DI183+BP!DI183</f>
        <v>614.25</v>
      </c>
      <c r="DJ183" s="106">
        <f>+PMGR!DJ183+BP!DJ183</f>
        <v>614.25</v>
      </c>
      <c r="DK183" s="106">
        <f>+PMGR!DK183+BP!DK183</f>
        <v>614.25</v>
      </c>
      <c r="DL183" s="106">
        <f>+PMGR!DL183+BP!DL183</f>
        <v>614.25</v>
      </c>
      <c r="DM183" s="106">
        <f>+PMGR!DM183+BP!DM183</f>
        <v>614.25</v>
      </c>
      <c r="DN183" s="106">
        <f>+PMGR!DN183+BP!DN183</f>
        <v>614.25</v>
      </c>
      <c r="DO183" s="106">
        <f>+PMGR!DO183+BP!DO183</f>
        <v>614.25</v>
      </c>
      <c r="DP183" s="106">
        <f>+PMGR!DP183+BP!DP183</f>
        <v>614.25</v>
      </c>
      <c r="DQ183" s="106">
        <f>+PMGR!DQ183+BP!DQ183</f>
        <v>614.25</v>
      </c>
      <c r="DR183" s="106">
        <f>+PMGR!DR183+BP!DR183</f>
        <v>614.25</v>
      </c>
      <c r="DS183" s="106">
        <f>+PMGR!DS183+BP!DS183</f>
        <v>614.25</v>
      </c>
      <c r="DT183" s="106">
        <f>+PMGR!DT183+BP!DT183</f>
        <v>614.25</v>
      </c>
      <c r="DU183" s="106">
        <f t="shared" ref="DU183:DU186" si="903">+SUM(DI183:DT183)</f>
        <v>7371</v>
      </c>
      <c r="DV183" s="106"/>
      <c r="DW183" s="106">
        <f>+PMGR!DW183+BP!DW183</f>
        <v>0</v>
      </c>
      <c r="DX183" s="106">
        <f>+PMGR!DX183+BP!DX183</f>
        <v>0</v>
      </c>
      <c r="DY183" s="106">
        <f>+PMGR!DY183+BP!DY183</f>
        <v>0</v>
      </c>
      <c r="DZ183" s="106">
        <f>+PMGR!DZ183+BP!DZ183</f>
        <v>0</v>
      </c>
      <c r="EA183" s="106">
        <f>+PMGR!EA183+BP!EA183</f>
        <v>0</v>
      </c>
      <c r="EB183" s="106">
        <f>+PMGR!EB183+BP!EB183</f>
        <v>0</v>
      </c>
      <c r="EC183" s="106">
        <f>+PMGR!EC183+BP!EC183</f>
        <v>0</v>
      </c>
      <c r="ED183" s="106">
        <f>+PMGR!ED183+BP!ED183</f>
        <v>0</v>
      </c>
      <c r="EE183" s="106">
        <f>+PMGR!EE183+BP!EE183</f>
        <v>0</v>
      </c>
      <c r="EF183" s="106">
        <f>+PMGR!EF183+BP!EF183</f>
        <v>0</v>
      </c>
      <c r="EG183" s="106">
        <f>+PMGR!EG183+BP!EG183</f>
        <v>0</v>
      </c>
      <c r="EH183" s="106">
        <f>+PMGR!EH183+BP!EH183</f>
        <v>0</v>
      </c>
      <c r="EI183" s="106">
        <f t="shared" ref="EI183:EI186" si="904">+SUM(DW183:EH183)</f>
        <v>0</v>
      </c>
      <c r="EJ183" s="16" t="str">
        <f t="shared" si="681"/>
        <v>Email Service</v>
      </c>
      <c r="EK183" s="106">
        <f>+PMGR!EK183+BP!EK183</f>
        <v>7415</v>
      </c>
      <c r="EL183" s="106">
        <f>+PMGR!EL183+BP!EL183</f>
        <v>0</v>
      </c>
      <c r="EM183" s="106">
        <f>+PMGR!EM183+BP!EM183</f>
        <v>0</v>
      </c>
      <c r="EN183" s="106">
        <f>+PMGR!EN183+BP!EN183</f>
        <v>0</v>
      </c>
      <c r="EO183" s="106">
        <f>+PMGR!EO183+BP!EO183</f>
        <v>0</v>
      </c>
      <c r="EP183" s="106">
        <f>+PMGR!EP183+BP!EP183</f>
        <v>0</v>
      </c>
      <c r="EQ183" s="106">
        <f>+PMGR!EQ183+BP!EQ183</f>
        <v>0</v>
      </c>
      <c r="ER183" s="106">
        <f>+PMGR!ER183+BP!ER183</f>
        <v>0</v>
      </c>
      <c r="ES183" s="106">
        <f>+PMGR!ES183+BP!ES183</f>
        <v>0</v>
      </c>
      <c r="ET183" s="106">
        <f>+PMGR!ET183+BP!ET183</f>
        <v>0</v>
      </c>
      <c r="EU183" s="106">
        <f>+PMGR!EU183+BP!EU183</f>
        <v>0</v>
      </c>
      <c r="EV183" s="106">
        <f>+PMGR!EV183+BP!EV183</f>
        <v>0</v>
      </c>
      <c r="EW183" s="106">
        <f t="shared" ref="EW183:EW186" si="905">+SUM(EK183:EV183)</f>
        <v>7415</v>
      </c>
      <c r="EX183" s="118"/>
      <c r="EY183" s="106">
        <f>+PMGR!EY183+BP!EY183</f>
        <v>7000</v>
      </c>
      <c r="EZ183" s="106">
        <f>+PMGR!EZ183+BP!EZ183</f>
        <v>7000</v>
      </c>
      <c r="FA183" s="106">
        <f>+PMGR!FA183+BP!FA183</f>
        <v>7000</v>
      </c>
      <c r="FB183" s="106">
        <f>+PMGR!FB183+BP!FB183</f>
        <v>7000</v>
      </c>
      <c r="FC183" s="106">
        <f>+PMGR!FC183+BP!FC183</f>
        <v>7000</v>
      </c>
      <c r="FD183" s="106">
        <f>+PMGR!FD183+BP!FD183</f>
        <v>7000</v>
      </c>
      <c r="FE183" s="106">
        <f>+PMGR!FE183+BP!FE183</f>
        <v>7000</v>
      </c>
      <c r="FF183" s="106">
        <f>+PMGR!FF183+BP!FF183</f>
        <v>7000</v>
      </c>
      <c r="FG183" s="106">
        <f>+PMGR!FG183+BP!FG183</f>
        <v>7000</v>
      </c>
      <c r="FH183" s="106">
        <f>+PMGR!FH183+BP!FH183</f>
        <v>7000</v>
      </c>
      <c r="FI183" s="106">
        <f>+PMGR!FI183+BP!FI183</f>
        <v>7000</v>
      </c>
      <c r="FJ183" s="106">
        <f>+PMGR!FJ183+BP!FJ183</f>
        <v>7000</v>
      </c>
      <c r="FK183" s="106">
        <f t="shared" ref="FK183:FK186" si="906">+SUM(EY183:FJ183)</f>
        <v>84000</v>
      </c>
    </row>
    <row r="184" spans="1:167" ht="14.45" hidden="1" customHeight="1" outlineLevel="2">
      <c r="A184" s="106">
        <f t="shared" si="892"/>
        <v>33483.404999999999</v>
      </c>
      <c r="B184" s="106">
        <f t="shared" si="892"/>
        <v>33083.5</v>
      </c>
      <c r="C184" s="106">
        <f t="shared" si="892"/>
        <v>33083.5</v>
      </c>
      <c r="D184" s="106">
        <f t="shared" si="892"/>
        <v>55583.5</v>
      </c>
      <c r="E184" s="106">
        <f t="shared" si="892"/>
        <v>56382.5</v>
      </c>
      <c r="F184" s="106">
        <f t="shared" si="892"/>
        <v>54584.5</v>
      </c>
      <c r="G184" s="106">
        <f t="shared" si="892"/>
        <v>35075</v>
      </c>
      <c r="H184" s="106">
        <f t="shared" si="892"/>
        <v>999</v>
      </c>
      <c r="I184" s="106">
        <f t="shared" si="892"/>
        <v>33083.904999999999</v>
      </c>
      <c r="J184" s="106">
        <f t="shared" si="892"/>
        <v>45799</v>
      </c>
      <c r="K184" s="106">
        <f t="shared" si="892"/>
        <v>55983.405000000006</v>
      </c>
      <c r="L184" s="106">
        <f t="shared" si="892"/>
        <v>55383.5</v>
      </c>
      <c r="M184" s="106">
        <f t="shared" si="893"/>
        <v>492524.71500000008</v>
      </c>
      <c r="N184" s="16" t="s">
        <v>153</v>
      </c>
      <c r="O184" s="106">
        <f t="shared" si="894"/>
        <v>0</v>
      </c>
      <c r="P184" s="106">
        <f t="shared" si="894"/>
        <v>65671.5</v>
      </c>
      <c r="Q184" s="106">
        <f t="shared" si="894"/>
        <v>27429.235000000001</v>
      </c>
      <c r="R184" s="106">
        <f t="shared" si="894"/>
        <v>47355.895000000004</v>
      </c>
      <c r="S184" s="106">
        <f t="shared" si="894"/>
        <v>67345.895000000004</v>
      </c>
      <c r="T184" s="106">
        <f t="shared" si="894"/>
        <v>76417.294999999998</v>
      </c>
      <c r="U184" s="106">
        <f t="shared" si="894"/>
        <v>49279.501543956037</v>
      </c>
      <c r="V184" s="106">
        <f t="shared" si="894"/>
        <v>48177.349999999991</v>
      </c>
      <c r="W184" s="106">
        <f t="shared" si="894"/>
        <v>47600.450000000004</v>
      </c>
      <c r="X184" s="106">
        <f t="shared" si="894"/>
        <v>50989.849999999991</v>
      </c>
      <c r="Y184" s="106">
        <f t="shared" si="894"/>
        <v>0</v>
      </c>
      <c r="Z184" s="106">
        <f t="shared" si="894"/>
        <v>0</v>
      </c>
      <c r="AA184" s="106">
        <f t="shared" si="895"/>
        <v>480266.97154395602</v>
      </c>
      <c r="AB184" s="118"/>
      <c r="AC184" s="106">
        <f t="shared" si="896"/>
        <v>46384.5</v>
      </c>
      <c r="AD184" s="106">
        <f t="shared" si="896"/>
        <v>46384.5</v>
      </c>
      <c r="AE184" s="106">
        <f t="shared" si="896"/>
        <v>46384.5</v>
      </c>
      <c r="AF184" s="106">
        <f t="shared" si="896"/>
        <v>46384.5</v>
      </c>
      <c r="AG184" s="106">
        <f t="shared" si="896"/>
        <v>46384.5</v>
      </c>
      <c r="AH184" s="106">
        <f t="shared" si="896"/>
        <v>46384.5</v>
      </c>
      <c r="AI184" s="106">
        <f t="shared" si="896"/>
        <v>46384.5</v>
      </c>
      <c r="AJ184" s="106">
        <f t="shared" si="896"/>
        <v>46384.5</v>
      </c>
      <c r="AK184" s="106">
        <f t="shared" si="896"/>
        <v>46384.5</v>
      </c>
      <c r="AL184" s="106">
        <f t="shared" si="896"/>
        <v>46384.5</v>
      </c>
      <c r="AM184" s="106">
        <f t="shared" si="896"/>
        <v>46384.5</v>
      </c>
      <c r="AN184" s="106">
        <f t="shared" si="896"/>
        <v>46384.5</v>
      </c>
      <c r="AO184" s="106">
        <f t="shared" si="897"/>
        <v>556614</v>
      </c>
      <c r="AP184" s="106"/>
      <c r="AQ184" s="106">
        <f>+PMGR!AQ184+BP!AQ184</f>
        <v>21858.41</v>
      </c>
      <c r="AR184" s="106">
        <f>+PMGR!AR184+BP!AR184</f>
        <v>21858</v>
      </c>
      <c r="AS184" s="106">
        <f>+PMGR!AS184+BP!AS184</f>
        <v>21858</v>
      </c>
      <c r="AT184" s="106">
        <f>+PMGR!AT184+BP!AT184</f>
        <v>51858</v>
      </c>
      <c r="AU184" s="106">
        <f>+PMGR!AU184+BP!AU184</f>
        <v>51858</v>
      </c>
      <c r="AV184" s="106">
        <f>+PMGR!AV184+BP!AV184</f>
        <v>50859</v>
      </c>
      <c r="AW184" s="106">
        <f>+PMGR!AW184+BP!AW184</f>
        <v>22653</v>
      </c>
      <c r="AX184" s="106">
        <f>+PMGR!AX184+BP!AX184</f>
        <v>999</v>
      </c>
      <c r="AY184" s="106">
        <f>+PMGR!AY184+BP!AY184</f>
        <v>21858.41</v>
      </c>
      <c r="AZ184" s="106">
        <f>+PMGR!AZ184+BP!AZ184</f>
        <v>45000</v>
      </c>
      <c r="BA184" s="106">
        <f>+PMGR!BA184+BP!BA184</f>
        <v>51858.41</v>
      </c>
      <c r="BB184" s="106">
        <f>+PMGR!BB184+BP!BB184</f>
        <v>50859</v>
      </c>
      <c r="BC184" s="106">
        <f t="shared" si="898"/>
        <v>413377.23</v>
      </c>
      <c r="BD184" s="16" t="str">
        <f t="shared" si="671"/>
        <v>Internet Charges</v>
      </c>
      <c r="BE184" s="106">
        <f>+PMGR!BE184+BP!BE184</f>
        <v>0</v>
      </c>
      <c r="BF184" s="106">
        <f>+PMGR!BF184+BP!BF184</f>
        <v>29238</v>
      </c>
      <c r="BG184" s="106">
        <f>+PMGR!BG184+BP!BG184</f>
        <v>13564.329999999998</v>
      </c>
      <c r="BH184" s="106">
        <f>+PMGR!BH184+BP!BH184</f>
        <v>21738.489999999998</v>
      </c>
      <c r="BI184" s="106">
        <f>+PMGR!BI184+BP!BI184</f>
        <v>41728.490000000005</v>
      </c>
      <c r="BJ184" s="106">
        <f>+PMGR!BJ184+BP!BJ184</f>
        <v>47239.229999999996</v>
      </c>
      <c r="BK184" s="106">
        <f>+PMGR!BK184+BP!BK184</f>
        <v>38810.61436263736</v>
      </c>
      <c r="BL184" s="106">
        <f>+PMGR!BL184+BP!BL184</f>
        <v>38368.899999999994</v>
      </c>
      <c r="BM184" s="106">
        <f>+PMGR!BM184+BP!BM184</f>
        <v>37984.300000000003</v>
      </c>
      <c r="BN184" s="106">
        <f>+PMGR!BN184+BP!BN184</f>
        <v>40243.899999999994</v>
      </c>
      <c r="BO184" s="106">
        <f>+PMGR!BO184+BP!BO184</f>
        <v>0</v>
      </c>
      <c r="BP184" s="106">
        <f>+PMGR!BP184+BP!BP184</f>
        <v>0</v>
      </c>
      <c r="BQ184" s="106">
        <f t="shared" si="899"/>
        <v>308916.25436263729</v>
      </c>
      <c r="BR184" s="118"/>
      <c r="BS184" s="106">
        <f>+PMGR!BS184+BP!BS184</f>
        <v>21859</v>
      </c>
      <c r="BT184" s="106">
        <f>+PMGR!BT184+BP!BT184</f>
        <v>21859</v>
      </c>
      <c r="BU184" s="106">
        <f>+PMGR!BU184+BP!BU184</f>
        <v>21859</v>
      </c>
      <c r="BV184" s="106">
        <f>+PMGR!BV184+BP!BV184</f>
        <v>21859</v>
      </c>
      <c r="BW184" s="106">
        <f>+PMGR!BW184+BP!BW184</f>
        <v>21859</v>
      </c>
      <c r="BX184" s="106">
        <f>+PMGR!BX184+BP!BX184</f>
        <v>21859</v>
      </c>
      <c r="BY184" s="106">
        <f>+PMGR!BY184+BP!BY184</f>
        <v>21859</v>
      </c>
      <c r="BZ184" s="106">
        <f>+PMGR!BZ184+BP!BZ184</f>
        <v>21859</v>
      </c>
      <c r="CA184" s="106">
        <f>+PMGR!CA184+BP!CA184</f>
        <v>21859</v>
      </c>
      <c r="CB184" s="106">
        <f>+PMGR!CB184+BP!CB184</f>
        <v>21859</v>
      </c>
      <c r="CC184" s="106">
        <f>+PMGR!CC184+BP!CC184</f>
        <v>21859</v>
      </c>
      <c r="CD184" s="106">
        <f>+PMGR!CD184+BP!CD184</f>
        <v>21859</v>
      </c>
      <c r="CE184" s="106">
        <f t="shared" si="900"/>
        <v>262308</v>
      </c>
      <c r="CF184" s="106"/>
      <c r="CG184" s="106">
        <f>+PMGR!CG184+BP!CG184</f>
        <v>11624.995000000001</v>
      </c>
      <c r="CH184" s="106">
        <f>+PMGR!CH184+BP!CH184</f>
        <v>11225.5</v>
      </c>
      <c r="CI184" s="106">
        <f>+PMGR!CI184+BP!CI184</f>
        <v>11225.5</v>
      </c>
      <c r="CJ184" s="106">
        <f>+PMGR!CJ184+BP!CJ184</f>
        <v>3725.5</v>
      </c>
      <c r="CK184" s="106">
        <f>+PMGR!CK184+BP!CK184</f>
        <v>4524.5</v>
      </c>
      <c r="CL184" s="106">
        <f>+PMGR!CL184+BP!CL184</f>
        <v>3725.5</v>
      </c>
      <c r="CM184" s="106">
        <f>+PMGR!CM184+BP!CM184</f>
        <v>12422</v>
      </c>
      <c r="CN184" s="106">
        <f>+PMGR!CN184+BP!CN184</f>
        <v>0</v>
      </c>
      <c r="CO184" s="106">
        <f>+PMGR!CO184+BP!CO184</f>
        <v>11225.495000000001</v>
      </c>
      <c r="CP184" s="106">
        <f>+PMGR!CP184+BP!CP184</f>
        <v>799</v>
      </c>
      <c r="CQ184" s="106">
        <f>+PMGR!CQ184+BP!CQ184</f>
        <v>4124.9949999999999</v>
      </c>
      <c r="CR184" s="106">
        <f>+PMGR!CR184+BP!CR184</f>
        <v>4524.5</v>
      </c>
      <c r="CS184" s="106">
        <f t="shared" si="901"/>
        <v>79147.485000000001</v>
      </c>
      <c r="CT184" s="16" t="str">
        <f t="shared" si="675"/>
        <v>Internet Charges</v>
      </c>
      <c r="CU184" s="106">
        <f>+PMGR!CU184+BP!CU184</f>
        <v>0</v>
      </c>
      <c r="CV184" s="106">
        <f>+PMGR!CV184+BP!CV184</f>
        <v>15774.5</v>
      </c>
      <c r="CW184" s="106">
        <f>+PMGR!CW184+BP!CW184</f>
        <v>7138.415</v>
      </c>
      <c r="CX184" s="106">
        <f>+PMGR!CX184+BP!CX184</f>
        <v>11624.995000000001</v>
      </c>
      <c r="CY184" s="106">
        <f>+PMGR!CY184+BP!CY184</f>
        <v>11624.995000000001</v>
      </c>
      <c r="CZ184" s="106">
        <f>+PMGR!CZ184+BP!CZ184</f>
        <v>15185.655000000001</v>
      </c>
      <c r="DA184" s="106">
        <f>+PMGR!DA184+BP!DA184</f>
        <v>9809.8071813186798</v>
      </c>
      <c r="DB184" s="106">
        <f>+PMGR!DB184+BP!DB184</f>
        <v>9149.4499999999989</v>
      </c>
      <c r="DC184" s="106">
        <f>+PMGR!DC184+BP!DC184</f>
        <v>8957.15</v>
      </c>
      <c r="DD184" s="106">
        <f>+PMGR!DD184+BP!DD184</f>
        <v>10086.949999999999</v>
      </c>
      <c r="DE184" s="106">
        <f>+PMGR!DE184+BP!DE184</f>
        <v>0</v>
      </c>
      <c r="DF184" s="106">
        <f>+PMGR!DF184+BP!DF184</f>
        <v>0</v>
      </c>
      <c r="DG184" s="106">
        <f t="shared" si="902"/>
        <v>99351.917181318669</v>
      </c>
      <c r="DH184" s="118"/>
      <c r="DI184" s="106">
        <f>+PMGR!DI184+BP!DI184</f>
        <v>11725.5</v>
      </c>
      <c r="DJ184" s="106">
        <f>+PMGR!DJ184+BP!DJ184</f>
        <v>11725.5</v>
      </c>
      <c r="DK184" s="106">
        <f>+PMGR!DK184+BP!DK184</f>
        <v>11725.5</v>
      </c>
      <c r="DL184" s="106">
        <f>+PMGR!DL184+BP!DL184</f>
        <v>11725.5</v>
      </c>
      <c r="DM184" s="106">
        <f>+PMGR!DM184+BP!DM184</f>
        <v>11725.5</v>
      </c>
      <c r="DN184" s="106">
        <f>+PMGR!DN184+BP!DN184</f>
        <v>11725.5</v>
      </c>
      <c r="DO184" s="106">
        <f>+PMGR!DO184+BP!DO184</f>
        <v>11725.5</v>
      </c>
      <c r="DP184" s="106">
        <f>+PMGR!DP184+BP!DP184</f>
        <v>11725.5</v>
      </c>
      <c r="DQ184" s="106">
        <f>+PMGR!DQ184+BP!DQ184</f>
        <v>11725.5</v>
      </c>
      <c r="DR184" s="106">
        <f>+PMGR!DR184+BP!DR184</f>
        <v>11725.5</v>
      </c>
      <c r="DS184" s="106">
        <f>+PMGR!DS184+BP!DS184</f>
        <v>11725.5</v>
      </c>
      <c r="DT184" s="106">
        <f>+PMGR!DT184+BP!DT184</f>
        <v>11725.5</v>
      </c>
      <c r="DU184" s="106">
        <f t="shared" si="903"/>
        <v>140706</v>
      </c>
      <c r="DV184" s="106"/>
      <c r="DW184" s="106">
        <f>+PMGR!DW184+BP!DW184</f>
        <v>0</v>
      </c>
      <c r="DX184" s="106">
        <f>+PMGR!DX184+BP!DX184</f>
        <v>0</v>
      </c>
      <c r="DY184" s="106">
        <f>+PMGR!DY184+BP!DY184</f>
        <v>0</v>
      </c>
      <c r="DZ184" s="106">
        <f>+PMGR!DZ184+BP!DZ184</f>
        <v>0</v>
      </c>
      <c r="EA184" s="106">
        <f>+PMGR!EA184+BP!EA184</f>
        <v>0</v>
      </c>
      <c r="EB184" s="106">
        <f>+PMGR!EB184+BP!EB184</f>
        <v>0</v>
      </c>
      <c r="EC184" s="106">
        <f>+PMGR!EC184+BP!EC184</f>
        <v>0</v>
      </c>
      <c r="ED184" s="106">
        <f>+PMGR!ED184+BP!ED184</f>
        <v>0</v>
      </c>
      <c r="EE184" s="106">
        <f>+PMGR!EE184+BP!EE184</f>
        <v>0</v>
      </c>
      <c r="EF184" s="106">
        <f>+PMGR!EF184+BP!EF184</f>
        <v>0</v>
      </c>
      <c r="EG184" s="106">
        <f>+PMGR!EG184+BP!EG184</f>
        <v>0</v>
      </c>
      <c r="EH184" s="106">
        <f>+PMGR!EH184+BP!EH184</f>
        <v>0</v>
      </c>
      <c r="EI184" s="106">
        <f t="shared" si="904"/>
        <v>0</v>
      </c>
      <c r="EJ184" s="16" t="str">
        <f t="shared" si="681"/>
        <v>Internet Charges</v>
      </c>
      <c r="EK184" s="106">
        <f>+PMGR!EK184+BP!EK184</f>
        <v>0</v>
      </c>
      <c r="EL184" s="106">
        <f>+PMGR!EL184+BP!EL184</f>
        <v>20659</v>
      </c>
      <c r="EM184" s="106">
        <f>+PMGR!EM184+BP!EM184</f>
        <v>6726.49</v>
      </c>
      <c r="EN184" s="106">
        <f>+PMGR!EN184+BP!EN184</f>
        <v>13992.41</v>
      </c>
      <c r="EO184" s="106">
        <f>+PMGR!EO184+BP!EO184</f>
        <v>13992.41</v>
      </c>
      <c r="EP184" s="106">
        <f>+PMGR!EP184+BP!EP184</f>
        <v>13992.41</v>
      </c>
      <c r="EQ184" s="106">
        <f>+PMGR!EQ184+BP!EQ184</f>
        <v>659.08</v>
      </c>
      <c r="ER184" s="106">
        <f>+PMGR!ER184+BP!ER184</f>
        <v>659</v>
      </c>
      <c r="ES184" s="106">
        <f>+PMGR!ES184+BP!ES184</f>
        <v>659</v>
      </c>
      <c r="ET184" s="106">
        <f>+PMGR!ET184+BP!ET184</f>
        <v>659</v>
      </c>
      <c r="EU184" s="106">
        <f>+PMGR!EU184+BP!EU184</f>
        <v>0</v>
      </c>
      <c r="EV184" s="106">
        <f>+PMGR!EV184+BP!EV184</f>
        <v>0</v>
      </c>
      <c r="EW184" s="106">
        <f t="shared" si="905"/>
        <v>71998.8</v>
      </c>
      <c r="EX184" s="118"/>
      <c r="EY184" s="106">
        <f>+PMGR!EY184+BP!EY184</f>
        <v>12800</v>
      </c>
      <c r="EZ184" s="106">
        <f>+PMGR!EZ184+BP!EZ184</f>
        <v>12800</v>
      </c>
      <c r="FA184" s="106">
        <f>+PMGR!FA184+BP!FA184</f>
        <v>12800</v>
      </c>
      <c r="FB184" s="106">
        <f>+PMGR!FB184+BP!FB184</f>
        <v>12800</v>
      </c>
      <c r="FC184" s="106">
        <f>+PMGR!FC184+BP!FC184</f>
        <v>12800</v>
      </c>
      <c r="FD184" s="106">
        <f>+PMGR!FD184+BP!FD184</f>
        <v>12800</v>
      </c>
      <c r="FE184" s="106">
        <f>+PMGR!FE184+BP!FE184</f>
        <v>12800</v>
      </c>
      <c r="FF184" s="106">
        <f>+PMGR!FF184+BP!FF184</f>
        <v>12800</v>
      </c>
      <c r="FG184" s="106">
        <f>+PMGR!FG184+BP!FG184</f>
        <v>12800</v>
      </c>
      <c r="FH184" s="106">
        <f>+PMGR!FH184+BP!FH184</f>
        <v>12800</v>
      </c>
      <c r="FI184" s="106">
        <f>+PMGR!FI184+BP!FI184</f>
        <v>12800</v>
      </c>
      <c r="FJ184" s="106">
        <f>+PMGR!FJ184+BP!FJ184</f>
        <v>12800</v>
      </c>
      <c r="FK184" s="106">
        <f t="shared" si="906"/>
        <v>153600</v>
      </c>
    </row>
    <row r="185" spans="1:167" ht="14.45" hidden="1" customHeight="1" outlineLevel="2">
      <c r="A185" s="106">
        <f t="shared" si="892"/>
        <v>7461.3374999999996</v>
      </c>
      <c r="B185" s="106">
        <f t="shared" si="892"/>
        <v>0</v>
      </c>
      <c r="C185" s="106">
        <f t="shared" si="892"/>
        <v>0</v>
      </c>
      <c r="D185" s="106">
        <f t="shared" si="892"/>
        <v>0</v>
      </c>
      <c r="E185" s="106">
        <f t="shared" si="892"/>
        <v>0</v>
      </c>
      <c r="F185" s="106">
        <f t="shared" si="892"/>
        <v>0</v>
      </c>
      <c r="G185" s="106">
        <f t="shared" si="892"/>
        <v>0</v>
      </c>
      <c r="H185" s="106">
        <f t="shared" si="892"/>
        <v>0</v>
      </c>
      <c r="I185" s="106">
        <f t="shared" si="892"/>
        <v>0</v>
      </c>
      <c r="J185" s="106">
        <f t="shared" si="892"/>
        <v>0</v>
      </c>
      <c r="K185" s="106">
        <f t="shared" si="892"/>
        <v>0</v>
      </c>
      <c r="L185" s="106">
        <f t="shared" si="892"/>
        <v>0</v>
      </c>
      <c r="M185" s="106">
        <f t="shared" si="893"/>
        <v>7461.3374999999996</v>
      </c>
      <c r="N185" s="16" t="s">
        <v>154</v>
      </c>
      <c r="O185" s="106">
        <f t="shared" si="894"/>
        <v>0</v>
      </c>
      <c r="P185" s="106">
        <f t="shared" si="894"/>
        <v>0</v>
      </c>
      <c r="Q185" s="106">
        <f t="shared" si="894"/>
        <v>0</v>
      </c>
      <c r="R185" s="106">
        <f t="shared" si="894"/>
        <v>571.65300000000002</v>
      </c>
      <c r="S185" s="106">
        <f t="shared" si="894"/>
        <v>6459.2909999999993</v>
      </c>
      <c r="T185" s="106">
        <f t="shared" si="894"/>
        <v>29427.506999999998</v>
      </c>
      <c r="U185" s="106">
        <f t="shared" si="894"/>
        <v>28945.404000000002</v>
      </c>
      <c r="V185" s="106">
        <f t="shared" si="894"/>
        <v>6610.0499999999993</v>
      </c>
      <c r="W185" s="106">
        <f t="shared" si="894"/>
        <v>32371.199999999997</v>
      </c>
      <c r="X185" s="106">
        <f t="shared" si="894"/>
        <v>25940.699999999997</v>
      </c>
      <c r="Y185" s="106">
        <f t="shared" si="894"/>
        <v>0</v>
      </c>
      <c r="Z185" s="106">
        <f t="shared" si="894"/>
        <v>0</v>
      </c>
      <c r="AA185" s="106">
        <f t="shared" si="895"/>
        <v>130325.80499999999</v>
      </c>
      <c r="AB185" s="118"/>
      <c r="AC185" s="106">
        <f t="shared" si="896"/>
        <v>17820</v>
      </c>
      <c r="AD185" s="106">
        <f t="shared" si="896"/>
        <v>17820</v>
      </c>
      <c r="AE185" s="106">
        <f t="shared" si="896"/>
        <v>17820</v>
      </c>
      <c r="AF185" s="106">
        <f t="shared" si="896"/>
        <v>17820</v>
      </c>
      <c r="AG185" s="106">
        <f t="shared" si="896"/>
        <v>17820</v>
      </c>
      <c r="AH185" s="106">
        <f t="shared" si="896"/>
        <v>17820</v>
      </c>
      <c r="AI185" s="106">
        <f t="shared" si="896"/>
        <v>17820</v>
      </c>
      <c r="AJ185" s="106">
        <f t="shared" si="896"/>
        <v>17820</v>
      </c>
      <c r="AK185" s="106">
        <f t="shared" si="896"/>
        <v>17820</v>
      </c>
      <c r="AL185" s="106">
        <f t="shared" si="896"/>
        <v>17820</v>
      </c>
      <c r="AM185" s="106">
        <f t="shared" si="896"/>
        <v>17820</v>
      </c>
      <c r="AN185" s="106">
        <f t="shared" si="896"/>
        <v>17820</v>
      </c>
      <c r="AO185" s="106">
        <f t="shared" si="897"/>
        <v>213840</v>
      </c>
      <c r="AP185" s="106"/>
      <c r="AQ185" s="106">
        <f>+PMGR!AQ185+BP!AQ185</f>
        <v>4974.2249999999995</v>
      </c>
      <c r="AR185" s="106">
        <f>+PMGR!AR185+BP!AR185</f>
        <v>0</v>
      </c>
      <c r="AS185" s="106">
        <f>+PMGR!AS185+BP!AS185</f>
        <v>0</v>
      </c>
      <c r="AT185" s="106">
        <f>+PMGR!AT185+BP!AT185</f>
        <v>0</v>
      </c>
      <c r="AU185" s="106">
        <f>+PMGR!AU185+BP!AU185</f>
        <v>0</v>
      </c>
      <c r="AV185" s="106">
        <f>+PMGR!AV185+BP!AV185</f>
        <v>0</v>
      </c>
      <c r="AW185" s="106">
        <f>+PMGR!AW185+BP!AW185</f>
        <v>0</v>
      </c>
      <c r="AX185" s="106">
        <f>+PMGR!AX185+BP!AX185</f>
        <v>0</v>
      </c>
      <c r="AY185" s="106">
        <f>+PMGR!AY185+BP!AY185</f>
        <v>0</v>
      </c>
      <c r="AZ185" s="106">
        <f>+PMGR!AZ185+BP!AZ185</f>
        <v>0</v>
      </c>
      <c r="BA185" s="106">
        <f>+PMGR!BA185+BP!BA185</f>
        <v>0</v>
      </c>
      <c r="BB185" s="106">
        <f>+PMGR!BB185+BP!BB185</f>
        <v>0</v>
      </c>
      <c r="BC185" s="106">
        <f t="shared" si="898"/>
        <v>4974.2249999999995</v>
      </c>
      <c r="BD185" s="16" t="str">
        <f t="shared" si="671"/>
        <v>Mobile Expenses</v>
      </c>
      <c r="BE185" s="106">
        <f>+PMGR!BE185+BP!BE185</f>
        <v>0</v>
      </c>
      <c r="BF185" s="106">
        <f>+PMGR!BF185+BP!BF185</f>
        <v>0</v>
      </c>
      <c r="BG185" s="106">
        <f>+PMGR!BG185+BP!BG185</f>
        <v>0</v>
      </c>
      <c r="BH185" s="106">
        <f>+PMGR!BH185+BP!BH185</f>
        <v>381.10199999999998</v>
      </c>
      <c r="BI185" s="106">
        <f>+PMGR!BI185+BP!BI185</f>
        <v>4306.1939999999995</v>
      </c>
      <c r="BJ185" s="106">
        <f>+PMGR!BJ185+BP!BJ185</f>
        <v>19618.338</v>
      </c>
      <c r="BK185" s="106">
        <f>+PMGR!BK185+BP!BK185</f>
        <v>19296.936000000002</v>
      </c>
      <c r="BL185" s="106">
        <f>+PMGR!BL185+BP!BL185</f>
        <v>4406.7</v>
      </c>
      <c r="BM185" s="106">
        <f>+PMGR!BM185+BP!BM185</f>
        <v>21580.799999999999</v>
      </c>
      <c r="BN185" s="106">
        <f>+PMGR!BN185+BP!BN185</f>
        <v>17293.8</v>
      </c>
      <c r="BO185" s="106">
        <f>+PMGR!BO185+BP!BO185</f>
        <v>0</v>
      </c>
      <c r="BP185" s="106">
        <f>+PMGR!BP185+BP!BP185</f>
        <v>0</v>
      </c>
      <c r="BQ185" s="106">
        <f t="shared" si="899"/>
        <v>86883.87</v>
      </c>
      <c r="BR185" s="118"/>
      <c r="BS185" s="106">
        <f>+PMGR!BS185+BP!BS185</f>
        <v>10800</v>
      </c>
      <c r="BT185" s="106">
        <f>+PMGR!BT185+BP!BT185</f>
        <v>10800</v>
      </c>
      <c r="BU185" s="106">
        <f>+PMGR!BU185+BP!BU185</f>
        <v>10800</v>
      </c>
      <c r="BV185" s="106">
        <f>+PMGR!BV185+BP!BV185</f>
        <v>10800</v>
      </c>
      <c r="BW185" s="106">
        <f>+PMGR!BW185+BP!BW185</f>
        <v>10800</v>
      </c>
      <c r="BX185" s="106">
        <f>+PMGR!BX185+BP!BX185</f>
        <v>10800</v>
      </c>
      <c r="BY185" s="106">
        <f>+PMGR!BY185+BP!BY185</f>
        <v>10800</v>
      </c>
      <c r="BZ185" s="106">
        <f>+PMGR!BZ185+BP!BZ185</f>
        <v>10800</v>
      </c>
      <c r="CA185" s="106">
        <f>+PMGR!CA185+BP!CA185</f>
        <v>10800</v>
      </c>
      <c r="CB185" s="106">
        <f>+PMGR!CB185+BP!CB185</f>
        <v>10800</v>
      </c>
      <c r="CC185" s="106">
        <f>+PMGR!CC185+BP!CC185</f>
        <v>10800</v>
      </c>
      <c r="CD185" s="106">
        <f>+PMGR!CD185+BP!CD185</f>
        <v>10800</v>
      </c>
      <c r="CE185" s="106">
        <f t="shared" si="900"/>
        <v>129600</v>
      </c>
      <c r="CF185" s="106"/>
      <c r="CG185" s="106">
        <f>+PMGR!CG185+BP!CG185</f>
        <v>2487.1124999999997</v>
      </c>
      <c r="CH185" s="106">
        <f>+PMGR!CH185+BP!CH185</f>
        <v>0</v>
      </c>
      <c r="CI185" s="106">
        <f>+PMGR!CI185+BP!CI185</f>
        <v>0</v>
      </c>
      <c r="CJ185" s="106">
        <f>+PMGR!CJ185+BP!CJ185</f>
        <v>0</v>
      </c>
      <c r="CK185" s="106">
        <f>+PMGR!CK185+BP!CK185</f>
        <v>0</v>
      </c>
      <c r="CL185" s="106">
        <f>+PMGR!CL185+BP!CL185</f>
        <v>0</v>
      </c>
      <c r="CM185" s="106">
        <f>+PMGR!CM185+BP!CM185</f>
        <v>0</v>
      </c>
      <c r="CN185" s="106">
        <f>+PMGR!CN185+BP!CN185</f>
        <v>0</v>
      </c>
      <c r="CO185" s="106">
        <f>+PMGR!CO185+BP!CO185</f>
        <v>0</v>
      </c>
      <c r="CP185" s="106">
        <f>+PMGR!CP185+BP!CP185</f>
        <v>0</v>
      </c>
      <c r="CQ185" s="106">
        <f>+PMGR!CQ185+BP!CQ185</f>
        <v>0</v>
      </c>
      <c r="CR185" s="106">
        <f>+PMGR!CR185+BP!CR185</f>
        <v>0</v>
      </c>
      <c r="CS185" s="106">
        <f t="shared" si="901"/>
        <v>2487.1124999999997</v>
      </c>
      <c r="CT185" s="16" t="str">
        <f t="shared" si="675"/>
        <v>Mobile Expenses</v>
      </c>
      <c r="CU185" s="106">
        <f>+PMGR!CU185+BP!CU185</f>
        <v>0</v>
      </c>
      <c r="CV185" s="106">
        <f>+PMGR!CV185+BP!CV185</f>
        <v>0</v>
      </c>
      <c r="CW185" s="106">
        <f>+PMGR!CW185+BP!CW185</f>
        <v>0</v>
      </c>
      <c r="CX185" s="106">
        <f>+PMGR!CX185+BP!CX185</f>
        <v>190.55099999999999</v>
      </c>
      <c r="CY185" s="106">
        <f>+PMGR!CY185+BP!CY185</f>
        <v>2153.0969999999998</v>
      </c>
      <c r="CZ185" s="106">
        <f>+PMGR!CZ185+BP!CZ185</f>
        <v>9809.1689999999999</v>
      </c>
      <c r="DA185" s="106">
        <f>+PMGR!DA185+BP!DA185</f>
        <v>9648.4680000000008</v>
      </c>
      <c r="DB185" s="106">
        <f>+PMGR!DB185+BP!DB185</f>
        <v>2203.35</v>
      </c>
      <c r="DC185" s="106">
        <f>+PMGR!DC185+BP!DC185</f>
        <v>10790.4</v>
      </c>
      <c r="DD185" s="106">
        <f>+PMGR!DD185+BP!DD185</f>
        <v>8646.9</v>
      </c>
      <c r="DE185" s="106">
        <f>+PMGR!DE185+BP!DE185</f>
        <v>0</v>
      </c>
      <c r="DF185" s="106">
        <f>+PMGR!DF185+BP!DF185</f>
        <v>0</v>
      </c>
      <c r="DG185" s="106">
        <f t="shared" si="902"/>
        <v>43441.934999999998</v>
      </c>
      <c r="DH185" s="118"/>
      <c r="DI185" s="106">
        <f>+PMGR!DI185+BP!DI185</f>
        <v>5400</v>
      </c>
      <c r="DJ185" s="106">
        <f>+PMGR!DJ185+BP!DJ185</f>
        <v>5400</v>
      </c>
      <c r="DK185" s="106">
        <f>+PMGR!DK185+BP!DK185</f>
        <v>5400</v>
      </c>
      <c r="DL185" s="106">
        <f>+PMGR!DL185+BP!DL185</f>
        <v>5400</v>
      </c>
      <c r="DM185" s="106">
        <f>+PMGR!DM185+BP!DM185</f>
        <v>5400</v>
      </c>
      <c r="DN185" s="106">
        <f>+PMGR!DN185+BP!DN185</f>
        <v>5400</v>
      </c>
      <c r="DO185" s="106">
        <f>+PMGR!DO185+BP!DO185</f>
        <v>5400</v>
      </c>
      <c r="DP185" s="106">
        <f>+PMGR!DP185+BP!DP185</f>
        <v>5400</v>
      </c>
      <c r="DQ185" s="106">
        <f>+PMGR!DQ185+BP!DQ185</f>
        <v>5400</v>
      </c>
      <c r="DR185" s="106">
        <f>+PMGR!DR185+BP!DR185</f>
        <v>5400</v>
      </c>
      <c r="DS185" s="106">
        <f>+PMGR!DS185+BP!DS185</f>
        <v>5400</v>
      </c>
      <c r="DT185" s="106">
        <f>+PMGR!DT185+BP!DT185</f>
        <v>5400</v>
      </c>
      <c r="DU185" s="106">
        <f t="shared" si="903"/>
        <v>64800</v>
      </c>
      <c r="DV185" s="106"/>
      <c r="DW185" s="106">
        <f>+PMGR!DW185+BP!DW185</f>
        <v>0</v>
      </c>
      <c r="DX185" s="106">
        <f>+PMGR!DX185+BP!DX185</f>
        <v>0</v>
      </c>
      <c r="DY185" s="106">
        <f>+PMGR!DY185+BP!DY185</f>
        <v>0</v>
      </c>
      <c r="DZ185" s="106">
        <f>+PMGR!DZ185+BP!DZ185</f>
        <v>0</v>
      </c>
      <c r="EA185" s="106">
        <f>+PMGR!EA185+BP!EA185</f>
        <v>0</v>
      </c>
      <c r="EB185" s="106">
        <f>+PMGR!EB185+BP!EB185</f>
        <v>0</v>
      </c>
      <c r="EC185" s="106">
        <f>+PMGR!EC185+BP!EC185</f>
        <v>0</v>
      </c>
      <c r="ED185" s="106">
        <f>+PMGR!ED185+BP!ED185</f>
        <v>0</v>
      </c>
      <c r="EE185" s="106">
        <f>+PMGR!EE185+BP!EE185</f>
        <v>0</v>
      </c>
      <c r="EF185" s="106">
        <f>+PMGR!EF185+BP!EF185</f>
        <v>0</v>
      </c>
      <c r="EG185" s="106">
        <f>+PMGR!EG185+BP!EG185</f>
        <v>0</v>
      </c>
      <c r="EH185" s="106">
        <f>+PMGR!EH185+BP!EH185</f>
        <v>0</v>
      </c>
      <c r="EI185" s="106">
        <f t="shared" si="904"/>
        <v>0</v>
      </c>
      <c r="EJ185" s="16" t="str">
        <f t="shared" si="681"/>
        <v>Mobile Expenses</v>
      </c>
      <c r="EK185" s="106">
        <f>+PMGR!EK185+BP!EK185</f>
        <v>0</v>
      </c>
      <c r="EL185" s="106">
        <f>+PMGR!EL185+BP!EL185</f>
        <v>0</v>
      </c>
      <c r="EM185" s="106">
        <f>+PMGR!EM185+BP!EM185</f>
        <v>0</v>
      </c>
      <c r="EN185" s="106">
        <f>+PMGR!EN185+BP!EN185</f>
        <v>0</v>
      </c>
      <c r="EO185" s="106">
        <f>+PMGR!EO185+BP!EO185</f>
        <v>0</v>
      </c>
      <c r="EP185" s="106">
        <f>+PMGR!EP185+BP!EP185</f>
        <v>0</v>
      </c>
      <c r="EQ185" s="106">
        <f>+PMGR!EQ185+BP!EQ185</f>
        <v>0</v>
      </c>
      <c r="ER185" s="106">
        <f>+PMGR!ER185+BP!ER185</f>
        <v>0</v>
      </c>
      <c r="ES185" s="106">
        <f>+PMGR!ES185+BP!ES185</f>
        <v>0</v>
      </c>
      <c r="ET185" s="106">
        <f>+PMGR!ET185+BP!ET185</f>
        <v>0</v>
      </c>
      <c r="EU185" s="106">
        <f>+PMGR!EU185+BP!EU185</f>
        <v>0</v>
      </c>
      <c r="EV185" s="106">
        <f>+PMGR!EV185+BP!EV185</f>
        <v>0</v>
      </c>
      <c r="EW185" s="106">
        <f t="shared" si="905"/>
        <v>0</v>
      </c>
      <c r="EX185" s="118"/>
      <c r="EY185" s="106">
        <f>+PMGR!EY185+BP!EY185</f>
        <v>1620</v>
      </c>
      <c r="EZ185" s="106">
        <f>+PMGR!EZ185+BP!EZ185</f>
        <v>1620</v>
      </c>
      <c r="FA185" s="106">
        <f>+PMGR!FA185+BP!FA185</f>
        <v>1620</v>
      </c>
      <c r="FB185" s="106">
        <f>+PMGR!FB185+BP!FB185</f>
        <v>1620</v>
      </c>
      <c r="FC185" s="106">
        <f>+PMGR!FC185+BP!FC185</f>
        <v>1620</v>
      </c>
      <c r="FD185" s="106">
        <f>+PMGR!FD185+BP!FD185</f>
        <v>1620</v>
      </c>
      <c r="FE185" s="106">
        <f>+PMGR!FE185+BP!FE185</f>
        <v>1620</v>
      </c>
      <c r="FF185" s="106">
        <f>+PMGR!FF185+BP!FF185</f>
        <v>1620</v>
      </c>
      <c r="FG185" s="106">
        <f>+PMGR!FG185+BP!FG185</f>
        <v>1620</v>
      </c>
      <c r="FH185" s="106">
        <f>+PMGR!FH185+BP!FH185</f>
        <v>1620</v>
      </c>
      <c r="FI185" s="106">
        <f>+PMGR!FI185+BP!FI185</f>
        <v>1620</v>
      </c>
      <c r="FJ185" s="106">
        <f>+PMGR!FJ185+BP!FJ185</f>
        <v>1620</v>
      </c>
      <c r="FK185" s="106">
        <f t="shared" si="906"/>
        <v>19440</v>
      </c>
    </row>
    <row r="186" spans="1:167" ht="14.45" hidden="1" customHeight="1" outlineLevel="2">
      <c r="A186" s="106">
        <f t="shared" si="892"/>
        <v>0</v>
      </c>
      <c r="B186" s="106">
        <f t="shared" si="892"/>
        <v>0</v>
      </c>
      <c r="C186" s="106">
        <f t="shared" si="892"/>
        <v>0</v>
      </c>
      <c r="D186" s="106">
        <f t="shared" si="892"/>
        <v>0</v>
      </c>
      <c r="E186" s="106">
        <f t="shared" si="892"/>
        <v>0</v>
      </c>
      <c r="F186" s="106">
        <f t="shared" si="892"/>
        <v>0</v>
      </c>
      <c r="G186" s="106">
        <f t="shared" si="892"/>
        <v>0</v>
      </c>
      <c r="H186" s="106">
        <f t="shared" si="892"/>
        <v>0</v>
      </c>
      <c r="I186" s="106">
        <f t="shared" si="892"/>
        <v>0</v>
      </c>
      <c r="J186" s="106">
        <f t="shared" si="892"/>
        <v>0</v>
      </c>
      <c r="K186" s="106">
        <f t="shared" si="892"/>
        <v>0</v>
      </c>
      <c r="L186" s="106">
        <f t="shared" si="892"/>
        <v>0</v>
      </c>
      <c r="M186" s="106">
        <f t="shared" si="893"/>
        <v>0</v>
      </c>
      <c r="N186" s="16" t="s">
        <v>155</v>
      </c>
      <c r="O186" s="106">
        <f t="shared" si="894"/>
        <v>0</v>
      </c>
      <c r="P186" s="106">
        <f t="shared" si="894"/>
        <v>0</v>
      </c>
      <c r="Q186" s="106">
        <f t="shared" si="894"/>
        <v>0</v>
      </c>
      <c r="R186" s="106">
        <f t="shared" si="894"/>
        <v>0</v>
      </c>
      <c r="S186" s="106">
        <f t="shared" si="894"/>
        <v>0</v>
      </c>
      <c r="T186" s="106">
        <f t="shared" si="894"/>
        <v>0</v>
      </c>
      <c r="U186" s="106">
        <f t="shared" si="894"/>
        <v>0</v>
      </c>
      <c r="V186" s="106">
        <f t="shared" si="894"/>
        <v>0</v>
      </c>
      <c r="W186" s="106">
        <f t="shared" si="894"/>
        <v>0</v>
      </c>
      <c r="X186" s="106">
        <f t="shared" si="894"/>
        <v>0</v>
      </c>
      <c r="Y186" s="106">
        <f t="shared" si="894"/>
        <v>0</v>
      </c>
      <c r="Z186" s="106">
        <f t="shared" si="894"/>
        <v>0</v>
      </c>
      <c r="AA186" s="106">
        <f t="shared" si="895"/>
        <v>0</v>
      </c>
      <c r="AB186" s="118"/>
      <c r="AC186" s="106">
        <f t="shared" si="896"/>
        <v>0</v>
      </c>
      <c r="AD186" s="106">
        <f t="shared" si="896"/>
        <v>0</v>
      </c>
      <c r="AE186" s="106">
        <f t="shared" si="896"/>
        <v>0</v>
      </c>
      <c r="AF186" s="106">
        <f t="shared" si="896"/>
        <v>0</v>
      </c>
      <c r="AG186" s="106">
        <f t="shared" si="896"/>
        <v>0</v>
      </c>
      <c r="AH186" s="106">
        <f t="shared" si="896"/>
        <v>0</v>
      </c>
      <c r="AI186" s="106">
        <f t="shared" si="896"/>
        <v>0</v>
      </c>
      <c r="AJ186" s="106">
        <f t="shared" si="896"/>
        <v>0</v>
      </c>
      <c r="AK186" s="106">
        <f t="shared" si="896"/>
        <v>0</v>
      </c>
      <c r="AL186" s="106">
        <f t="shared" si="896"/>
        <v>0</v>
      </c>
      <c r="AM186" s="106">
        <f t="shared" si="896"/>
        <v>0</v>
      </c>
      <c r="AN186" s="106">
        <f t="shared" si="896"/>
        <v>0</v>
      </c>
      <c r="AO186" s="106">
        <f t="shared" si="897"/>
        <v>0</v>
      </c>
      <c r="AP186" s="106"/>
      <c r="AQ186" s="106">
        <f>+PMGR!AQ186+BP!AQ186</f>
        <v>0</v>
      </c>
      <c r="AR186" s="106">
        <f>+PMGR!AR186+BP!AR186</f>
        <v>0</v>
      </c>
      <c r="AS186" s="106">
        <f>+PMGR!AS186+BP!AS186</f>
        <v>0</v>
      </c>
      <c r="AT186" s="106">
        <f>+PMGR!AT186+BP!AT186</f>
        <v>0</v>
      </c>
      <c r="AU186" s="106">
        <f>+PMGR!AU186+BP!AU186</f>
        <v>0</v>
      </c>
      <c r="AV186" s="106">
        <f>+PMGR!AV186+BP!AV186</f>
        <v>0</v>
      </c>
      <c r="AW186" s="106">
        <f>+PMGR!AW186+BP!AW186</f>
        <v>0</v>
      </c>
      <c r="AX186" s="106">
        <f>+PMGR!AX186+BP!AX186</f>
        <v>0</v>
      </c>
      <c r="AY186" s="106">
        <f>+PMGR!AY186+BP!AY186</f>
        <v>0</v>
      </c>
      <c r="AZ186" s="106">
        <f>+PMGR!AZ186+BP!AZ186</f>
        <v>0</v>
      </c>
      <c r="BA186" s="106">
        <f>+PMGR!BA186+BP!BA186</f>
        <v>0</v>
      </c>
      <c r="BB186" s="106">
        <f>+PMGR!BB186+BP!BB186</f>
        <v>0</v>
      </c>
      <c r="BC186" s="106">
        <f t="shared" si="898"/>
        <v>0</v>
      </c>
      <c r="BD186" s="16" t="str">
        <f t="shared" si="671"/>
        <v>Telephone</v>
      </c>
      <c r="BE186" s="106">
        <f>+PMGR!BE186+BP!BE186</f>
        <v>0</v>
      </c>
      <c r="BF186" s="106">
        <f>+PMGR!BF186+BP!BF186</f>
        <v>0</v>
      </c>
      <c r="BG186" s="106">
        <f>+PMGR!BG186+BP!BG186</f>
        <v>0</v>
      </c>
      <c r="BH186" s="106">
        <f>+PMGR!BH186+BP!BH186</f>
        <v>0</v>
      </c>
      <c r="BI186" s="106">
        <f>+PMGR!BI186+BP!BI186</f>
        <v>0</v>
      </c>
      <c r="BJ186" s="106">
        <f>+PMGR!BJ186+BP!BJ186</f>
        <v>0</v>
      </c>
      <c r="BK186" s="106">
        <f>+PMGR!BK186+BP!BK186</f>
        <v>0</v>
      </c>
      <c r="BL186" s="106">
        <f>+PMGR!BL186+BP!BL186</f>
        <v>0</v>
      </c>
      <c r="BM186" s="106">
        <f>+PMGR!BM186+BP!BM186</f>
        <v>0</v>
      </c>
      <c r="BN186" s="106">
        <f>+PMGR!BN186+BP!BN186</f>
        <v>0</v>
      </c>
      <c r="BO186" s="106">
        <f>+PMGR!BO186+BP!BO186</f>
        <v>0</v>
      </c>
      <c r="BP186" s="106">
        <f>+PMGR!BP186+BP!BP186</f>
        <v>0</v>
      </c>
      <c r="BQ186" s="106">
        <f t="shared" si="899"/>
        <v>0</v>
      </c>
      <c r="BR186" s="118"/>
      <c r="BS186" s="106">
        <f>+PMGR!BS186+BP!BS186</f>
        <v>0</v>
      </c>
      <c r="BT186" s="106">
        <f>+PMGR!BT186+BP!BT186</f>
        <v>0</v>
      </c>
      <c r="BU186" s="106">
        <f>+PMGR!BU186+BP!BU186</f>
        <v>0</v>
      </c>
      <c r="BV186" s="106">
        <f>+PMGR!BV186+BP!BV186</f>
        <v>0</v>
      </c>
      <c r="BW186" s="106">
        <f>+PMGR!BW186+BP!BW186</f>
        <v>0</v>
      </c>
      <c r="BX186" s="106">
        <f>+PMGR!BX186+BP!BX186</f>
        <v>0</v>
      </c>
      <c r="BY186" s="106">
        <f>+PMGR!BY186+BP!BY186</f>
        <v>0</v>
      </c>
      <c r="BZ186" s="106">
        <f>+PMGR!BZ186+BP!BZ186</f>
        <v>0</v>
      </c>
      <c r="CA186" s="106">
        <f>+PMGR!CA186+BP!CA186</f>
        <v>0</v>
      </c>
      <c r="CB186" s="106">
        <f>+PMGR!CB186+BP!CB186</f>
        <v>0</v>
      </c>
      <c r="CC186" s="106">
        <f>+PMGR!CC186+BP!CC186</f>
        <v>0</v>
      </c>
      <c r="CD186" s="106">
        <f>+PMGR!CD186+BP!CD186</f>
        <v>0</v>
      </c>
      <c r="CE186" s="106">
        <f t="shared" si="900"/>
        <v>0</v>
      </c>
      <c r="CF186" s="106"/>
      <c r="CG186" s="106">
        <f>+PMGR!CG186+BP!CG186</f>
        <v>0</v>
      </c>
      <c r="CH186" s="106">
        <f>+PMGR!CH186+BP!CH186</f>
        <v>0</v>
      </c>
      <c r="CI186" s="106">
        <f>+PMGR!CI186+BP!CI186</f>
        <v>0</v>
      </c>
      <c r="CJ186" s="106">
        <f>+PMGR!CJ186+BP!CJ186</f>
        <v>0</v>
      </c>
      <c r="CK186" s="106">
        <f>+PMGR!CK186+BP!CK186</f>
        <v>0</v>
      </c>
      <c r="CL186" s="106">
        <f>+PMGR!CL186+BP!CL186</f>
        <v>0</v>
      </c>
      <c r="CM186" s="106">
        <f>+PMGR!CM186+BP!CM186</f>
        <v>0</v>
      </c>
      <c r="CN186" s="106">
        <f>+PMGR!CN186+BP!CN186</f>
        <v>0</v>
      </c>
      <c r="CO186" s="106">
        <f>+PMGR!CO186+BP!CO186</f>
        <v>0</v>
      </c>
      <c r="CP186" s="106">
        <f>+PMGR!CP186+BP!CP186</f>
        <v>0</v>
      </c>
      <c r="CQ186" s="106">
        <f>+PMGR!CQ186+BP!CQ186</f>
        <v>0</v>
      </c>
      <c r="CR186" s="106">
        <f>+PMGR!CR186+BP!CR186</f>
        <v>0</v>
      </c>
      <c r="CS186" s="106">
        <f t="shared" si="901"/>
        <v>0</v>
      </c>
      <c r="CT186" s="16" t="str">
        <f t="shared" si="675"/>
        <v>Telephone</v>
      </c>
      <c r="CU186" s="106">
        <f>+PMGR!CU186+BP!CU186</f>
        <v>0</v>
      </c>
      <c r="CV186" s="106">
        <f>+PMGR!CV186+BP!CV186</f>
        <v>0</v>
      </c>
      <c r="CW186" s="106">
        <f>+PMGR!CW186+BP!CW186</f>
        <v>0</v>
      </c>
      <c r="CX186" s="106">
        <f>+PMGR!CX186+BP!CX186</f>
        <v>0</v>
      </c>
      <c r="CY186" s="106">
        <f>+PMGR!CY186+BP!CY186</f>
        <v>0</v>
      </c>
      <c r="CZ186" s="106">
        <f>+PMGR!CZ186+BP!CZ186</f>
        <v>0</v>
      </c>
      <c r="DA186" s="106">
        <f>+PMGR!DA186+BP!DA186</f>
        <v>0</v>
      </c>
      <c r="DB186" s="106">
        <f>+PMGR!DB186+BP!DB186</f>
        <v>0</v>
      </c>
      <c r="DC186" s="106">
        <f>+PMGR!DC186+BP!DC186</f>
        <v>0</v>
      </c>
      <c r="DD186" s="106">
        <f>+PMGR!DD186+BP!DD186</f>
        <v>0</v>
      </c>
      <c r="DE186" s="106">
        <f>+PMGR!DE186+BP!DE186</f>
        <v>0</v>
      </c>
      <c r="DF186" s="106">
        <f>+PMGR!DF186+BP!DF186</f>
        <v>0</v>
      </c>
      <c r="DG186" s="106">
        <f t="shared" si="902"/>
        <v>0</v>
      </c>
      <c r="DH186" s="118"/>
      <c r="DI186" s="106">
        <f>+PMGR!DI186+BP!DI186</f>
        <v>0</v>
      </c>
      <c r="DJ186" s="106">
        <f>+PMGR!DJ186+BP!DJ186</f>
        <v>0</v>
      </c>
      <c r="DK186" s="106">
        <f>+PMGR!DK186+BP!DK186</f>
        <v>0</v>
      </c>
      <c r="DL186" s="106">
        <f>+PMGR!DL186+BP!DL186</f>
        <v>0</v>
      </c>
      <c r="DM186" s="106">
        <f>+PMGR!DM186+BP!DM186</f>
        <v>0</v>
      </c>
      <c r="DN186" s="106">
        <f>+PMGR!DN186+BP!DN186</f>
        <v>0</v>
      </c>
      <c r="DO186" s="106">
        <f>+PMGR!DO186+BP!DO186</f>
        <v>0</v>
      </c>
      <c r="DP186" s="106">
        <f>+PMGR!DP186+BP!DP186</f>
        <v>0</v>
      </c>
      <c r="DQ186" s="106">
        <f>+PMGR!DQ186+BP!DQ186</f>
        <v>0</v>
      </c>
      <c r="DR186" s="106">
        <f>+PMGR!DR186+BP!DR186</f>
        <v>0</v>
      </c>
      <c r="DS186" s="106">
        <f>+PMGR!DS186+BP!DS186</f>
        <v>0</v>
      </c>
      <c r="DT186" s="106">
        <f>+PMGR!DT186+BP!DT186</f>
        <v>0</v>
      </c>
      <c r="DU186" s="106">
        <f t="shared" si="903"/>
        <v>0</v>
      </c>
      <c r="DV186" s="106"/>
      <c r="DW186" s="106">
        <f>+PMGR!DW186+BP!DW186</f>
        <v>0</v>
      </c>
      <c r="DX186" s="106">
        <f>+PMGR!DX186+BP!DX186</f>
        <v>0</v>
      </c>
      <c r="DY186" s="106">
        <f>+PMGR!DY186+BP!DY186</f>
        <v>0</v>
      </c>
      <c r="DZ186" s="106">
        <f>+PMGR!DZ186+BP!DZ186</f>
        <v>0</v>
      </c>
      <c r="EA186" s="106">
        <f>+PMGR!EA186+BP!EA186</f>
        <v>0</v>
      </c>
      <c r="EB186" s="106">
        <f>+PMGR!EB186+BP!EB186</f>
        <v>0</v>
      </c>
      <c r="EC186" s="106">
        <f>+PMGR!EC186+BP!EC186</f>
        <v>0</v>
      </c>
      <c r="ED186" s="106">
        <f>+PMGR!ED186+BP!ED186</f>
        <v>0</v>
      </c>
      <c r="EE186" s="106">
        <f>+PMGR!EE186+BP!EE186</f>
        <v>0</v>
      </c>
      <c r="EF186" s="106">
        <f>+PMGR!EF186+BP!EF186</f>
        <v>0</v>
      </c>
      <c r="EG186" s="106">
        <f>+PMGR!EG186+BP!EG186</f>
        <v>0</v>
      </c>
      <c r="EH186" s="106">
        <f>+PMGR!EH186+BP!EH186</f>
        <v>0</v>
      </c>
      <c r="EI186" s="106">
        <f t="shared" si="904"/>
        <v>0</v>
      </c>
      <c r="EJ186" s="16" t="str">
        <f t="shared" si="681"/>
        <v>Telephone</v>
      </c>
      <c r="EK186" s="106">
        <f>+PMGR!EK186+BP!EK186</f>
        <v>0</v>
      </c>
      <c r="EL186" s="106">
        <f>+PMGR!EL186+BP!EL186</f>
        <v>0</v>
      </c>
      <c r="EM186" s="106">
        <f>+PMGR!EM186+BP!EM186</f>
        <v>0</v>
      </c>
      <c r="EN186" s="106">
        <f>+PMGR!EN186+BP!EN186</f>
        <v>0</v>
      </c>
      <c r="EO186" s="106">
        <f>+PMGR!EO186+BP!EO186</f>
        <v>0</v>
      </c>
      <c r="EP186" s="106">
        <f>+PMGR!EP186+BP!EP186</f>
        <v>0</v>
      </c>
      <c r="EQ186" s="106">
        <f>+PMGR!EQ186+BP!EQ186</f>
        <v>0</v>
      </c>
      <c r="ER186" s="106">
        <f>+PMGR!ER186+BP!ER186</f>
        <v>0</v>
      </c>
      <c r="ES186" s="106">
        <f>+PMGR!ES186+BP!ES186</f>
        <v>0</v>
      </c>
      <c r="ET186" s="106">
        <f>+PMGR!ET186+BP!ET186</f>
        <v>0</v>
      </c>
      <c r="EU186" s="106">
        <f>+PMGR!EU186+BP!EU186</f>
        <v>0</v>
      </c>
      <c r="EV186" s="106">
        <f>+PMGR!EV186+BP!EV186</f>
        <v>0</v>
      </c>
      <c r="EW186" s="106">
        <f t="shared" si="905"/>
        <v>0</v>
      </c>
      <c r="EX186" s="118"/>
      <c r="EY186" s="106">
        <f>+PMGR!EY186+BP!EY186</f>
        <v>0</v>
      </c>
      <c r="EZ186" s="106">
        <f>+PMGR!EZ186+BP!EZ186</f>
        <v>0</v>
      </c>
      <c r="FA186" s="106">
        <f>+PMGR!FA186+BP!FA186</f>
        <v>0</v>
      </c>
      <c r="FB186" s="106">
        <f>+PMGR!FB186+BP!FB186</f>
        <v>0</v>
      </c>
      <c r="FC186" s="106">
        <f>+PMGR!FC186+BP!FC186</f>
        <v>0</v>
      </c>
      <c r="FD186" s="106">
        <f>+PMGR!FD186+BP!FD186</f>
        <v>0</v>
      </c>
      <c r="FE186" s="106">
        <f>+PMGR!FE186+BP!FE186</f>
        <v>0</v>
      </c>
      <c r="FF186" s="106">
        <f>+PMGR!FF186+BP!FF186</f>
        <v>0</v>
      </c>
      <c r="FG186" s="106">
        <f>+PMGR!FG186+BP!FG186</f>
        <v>0</v>
      </c>
      <c r="FH186" s="106">
        <f>+PMGR!FH186+BP!FH186</f>
        <v>0</v>
      </c>
      <c r="FI186" s="106">
        <f>+PMGR!FI186+BP!FI186</f>
        <v>0</v>
      </c>
      <c r="FJ186" s="106">
        <f>+PMGR!FJ186+BP!FJ186</f>
        <v>0</v>
      </c>
      <c r="FK186" s="106">
        <f t="shared" si="906"/>
        <v>0</v>
      </c>
    </row>
    <row r="187" spans="1:167" ht="14.45" customHeight="1" outlineLevel="1" collapsed="1">
      <c r="A187" s="107">
        <f t="shared" ref="A187:L187" si="907">+SUM(A188:A192)</f>
        <v>25049.999999999985</v>
      </c>
      <c r="B187" s="107">
        <f t="shared" si="907"/>
        <v>25049.998499999987</v>
      </c>
      <c r="C187" s="107">
        <f t="shared" si="907"/>
        <v>25049.998499999987</v>
      </c>
      <c r="D187" s="107">
        <f t="shared" si="907"/>
        <v>25049.998499999987</v>
      </c>
      <c r="E187" s="107">
        <f t="shared" si="907"/>
        <v>25049.998499999987</v>
      </c>
      <c r="F187" s="107">
        <f t="shared" si="907"/>
        <v>25049.998499999987</v>
      </c>
      <c r="G187" s="107">
        <f t="shared" si="907"/>
        <v>32549.998499999987</v>
      </c>
      <c r="H187" s="107">
        <f t="shared" si="907"/>
        <v>19874.8485</v>
      </c>
      <c r="I187" s="107">
        <f t="shared" si="907"/>
        <v>10499.849999999999</v>
      </c>
      <c r="J187" s="107">
        <f t="shared" si="907"/>
        <v>19874.849999999984</v>
      </c>
      <c r="K187" s="107">
        <f t="shared" si="907"/>
        <v>29874.8485</v>
      </c>
      <c r="L187" s="107">
        <f t="shared" si="907"/>
        <v>10499.85</v>
      </c>
      <c r="M187" s="107"/>
      <c r="N187" s="20" t="s">
        <v>156</v>
      </c>
      <c r="O187" s="107">
        <f t="shared" ref="O187:AA187" si="908">+SUM(O188:O192)</f>
        <v>169969.25</v>
      </c>
      <c r="P187" s="107">
        <f t="shared" si="908"/>
        <v>59999.25</v>
      </c>
      <c r="Q187" s="107">
        <f t="shared" si="908"/>
        <v>160999.4</v>
      </c>
      <c r="R187" s="107">
        <f t="shared" si="908"/>
        <v>12499.4</v>
      </c>
      <c r="S187" s="107">
        <f t="shared" si="908"/>
        <v>22999.25</v>
      </c>
      <c r="T187" s="107">
        <f t="shared" si="908"/>
        <v>16249.25</v>
      </c>
      <c r="U187" s="107">
        <f t="shared" si="908"/>
        <v>22999.25</v>
      </c>
      <c r="V187" s="107">
        <f t="shared" si="908"/>
        <v>24499.4</v>
      </c>
      <c r="W187" s="107">
        <f t="shared" si="908"/>
        <v>12499.4</v>
      </c>
      <c r="X187" s="107">
        <f t="shared" si="908"/>
        <v>16249.25</v>
      </c>
      <c r="Y187" s="107">
        <f t="shared" si="908"/>
        <v>0</v>
      </c>
      <c r="Z187" s="107">
        <f t="shared" si="908"/>
        <v>0</v>
      </c>
      <c r="AA187" s="107">
        <f t="shared" si="908"/>
        <v>518963.09999999986</v>
      </c>
      <c r="AB187" s="118"/>
      <c r="AC187" s="107">
        <f t="shared" ref="AC187:AN187" si="909">+SUM(AC188:AC192)</f>
        <v>39524.600000000006</v>
      </c>
      <c r="AD187" s="107">
        <f t="shared" si="909"/>
        <v>39524.600000000006</v>
      </c>
      <c r="AE187" s="107">
        <f t="shared" si="909"/>
        <v>39524.600000000006</v>
      </c>
      <c r="AF187" s="107">
        <f t="shared" si="909"/>
        <v>39524.600000000006</v>
      </c>
      <c r="AG187" s="107">
        <f t="shared" si="909"/>
        <v>39524.600000000006</v>
      </c>
      <c r="AH187" s="107">
        <f t="shared" si="909"/>
        <v>39524.600000000006</v>
      </c>
      <c r="AI187" s="107">
        <f t="shared" si="909"/>
        <v>39524.600000000006</v>
      </c>
      <c r="AJ187" s="107">
        <f t="shared" si="909"/>
        <v>39524.600000000006</v>
      </c>
      <c r="AK187" s="107">
        <f t="shared" si="909"/>
        <v>39524.600000000006</v>
      </c>
      <c r="AL187" s="107">
        <f t="shared" si="909"/>
        <v>39524.600000000006</v>
      </c>
      <c r="AM187" s="107">
        <f t="shared" si="909"/>
        <v>39524.600000000006</v>
      </c>
      <c r="AN187" s="107">
        <f t="shared" si="909"/>
        <v>39524.600000000006</v>
      </c>
      <c r="AO187" s="107"/>
      <c r="AP187" s="106"/>
      <c r="AQ187" s="107">
        <f t="shared" ref="AQ187:BC187" si="910">+SUM(AQ188:AQ192)</f>
        <v>16699.999999999989</v>
      </c>
      <c r="AR187" s="107">
        <f t="shared" si="910"/>
        <v>16699.998999999989</v>
      </c>
      <c r="AS187" s="107">
        <f t="shared" si="910"/>
        <v>16699.998999999989</v>
      </c>
      <c r="AT187" s="107">
        <f t="shared" si="910"/>
        <v>16699.998999999989</v>
      </c>
      <c r="AU187" s="107">
        <f t="shared" si="910"/>
        <v>16699.998999999989</v>
      </c>
      <c r="AV187" s="107">
        <f t="shared" si="910"/>
        <v>16699.998999999989</v>
      </c>
      <c r="AW187" s="107">
        <f t="shared" si="910"/>
        <v>24199.998999999989</v>
      </c>
      <c r="AX187" s="107">
        <f t="shared" si="910"/>
        <v>13249.898999999999</v>
      </c>
      <c r="AY187" s="107">
        <f t="shared" si="910"/>
        <v>6999.9</v>
      </c>
      <c r="AZ187" s="107">
        <f t="shared" si="910"/>
        <v>13249.899999999989</v>
      </c>
      <c r="BA187" s="107">
        <f t="shared" si="910"/>
        <v>23249.899000000001</v>
      </c>
      <c r="BB187" s="107">
        <f t="shared" si="910"/>
        <v>6999.9</v>
      </c>
      <c r="BC187" s="107">
        <f t="shared" si="910"/>
        <v>188149.49199999994</v>
      </c>
      <c r="BD187" s="20" t="str">
        <f t="shared" si="671"/>
        <v>Professional Fees</v>
      </c>
      <c r="BE187" s="107">
        <f t="shared" ref="BE187:BQ187" si="911">+SUM(BE188:BE192)</f>
        <v>13249.499999999998</v>
      </c>
      <c r="BF187" s="107">
        <f t="shared" si="911"/>
        <v>8749.5</v>
      </c>
      <c r="BG187" s="107">
        <f t="shared" si="911"/>
        <v>6249.5999999999995</v>
      </c>
      <c r="BH187" s="107">
        <f t="shared" si="911"/>
        <v>6249.5999999999995</v>
      </c>
      <c r="BI187" s="107">
        <f t="shared" si="911"/>
        <v>13249.499999999998</v>
      </c>
      <c r="BJ187" s="107">
        <f t="shared" si="911"/>
        <v>8749.5</v>
      </c>
      <c r="BK187" s="107">
        <f t="shared" si="911"/>
        <v>13249.499999999998</v>
      </c>
      <c r="BL187" s="107">
        <f t="shared" si="911"/>
        <v>18249.599999999999</v>
      </c>
      <c r="BM187" s="107">
        <f t="shared" si="911"/>
        <v>6249.5999999999995</v>
      </c>
      <c r="BN187" s="107">
        <f t="shared" si="911"/>
        <v>8749.5</v>
      </c>
      <c r="BO187" s="107">
        <f t="shared" si="911"/>
        <v>0</v>
      </c>
      <c r="BP187" s="107">
        <f t="shared" si="911"/>
        <v>0</v>
      </c>
      <c r="BQ187" s="107">
        <f t="shared" si="911"/>
        <v>102995.4</v>
      </c>
      <c r="BR187" s="118"/>
      <c r="BS187" s="107">
        <f t="shared" ref="BS187:CE187" si="912">+SUM(BS188:BS192)</f>
        <v>24266.399999999998</v>
      </c>
      <c r="BT187" s="107">
        <f t="shared" si="912"/>
        <v>24266.399999999998</v>
      </c>
      <c r="BU187" s="107">
        <f t="shared" si="912"/>
        <v>24266.399999999998</v>
      </c>
      <c r="BV187" s="107">
        <f t="shared" si="912"/>
        <v>24266.399999999998</v>
      </c>
      <c r="BW187" s="107">
        <f t="shared" si="912"/>
        <v>24266.399999999998</v>
      </c>
      <c r="BX187" s="107">
        <f t="shared" si="912"/>
        <v>24266.399999999998</v>
      </c>
      <c r="BY187" s="107">
        <f t="shared" si="912"/>
        <v>24266.399999999998</v>
      </c>
      <c r="BZ187" s="107">
        <f t="shared" si="912"/>
        <v>24266.399999999998</v>
      </c>
      <c r="CA187" s="107">
        <f t="shared" si="912"/>
        <v>24266.399999999998</v>
      </c>
      <c r="CB187" s="107">
        <f t="shared" si="912"/>
        <v>24266.399999999998</v>
      </c>
      <c r="CC187" s="107">
        <f t="shared" si="912"/>
        <v>24266.399999999998</v>
      </c>
      <c r="CD187" s="107">
        <f t="shared" si="912"/>
        <v>24266.399999999998</v>
      </c>
      <c r="CE187" s="107">
        <f t="shared" si="912"/>
        <v>291196.79999999999</v>
      </c>
      <c r="CF187" s="106"/>
      <c r="CG187" s="107">
        <f t="shared" ref="CG187:CS187" si="913">+SUM(CG188:CG192)</f>
        <v>8349.9999999999945</v>
      </c>
      <c r="CH187" s="107">
        <f t="shared" si="913"/>
        <v>8349.9994999999944</v>
      </c>
      <c r="CI187" s="107">
        <f t="shared" si="913"/>
        <v>8349.9994999999944</v>
      </c>
      <c r="CJ187" s="107">
        <f t="shared" si="913"/>
        <v>8349.9994999999944</v>
      </c>
      <c r="CK187" s="107">
        <f t="shared" si="913"/>
        <v>8349.9994999999944</v>
      </c>
      <c r="CL187" s="107">
        <f t="shared" si="913"/>
        <v>8349.9994999999944</v>
      </c>
      <c r="CM187" s="107">
        <f t="shared" si="913"/>
        <v>8349.9994999999944</v>
      </c>
      <c r="CN187" s="107">
        <f t="shared" si="913"/>
        <v>6624.9494999999997</v>
      </c>
      <c r="CO187" s="107">
        <f t="shared" si="913"/>
        <v>3499.95</v>
      </c>
      <c r="CP187" s="107">
        <f t="shared" si="913"/>
        <v>6624.9499999999944</v>
      </c>
      <c r="CQ187" s="107">
        <f t="shared" si="913"/>
        <v>6624.9494999999997</v>
      </c>
      <c r="CR187" s="107">
        <f t="shared" si="913"/>
        <v>3499.95</v>
      </c>
      <c r="CS187" s="107">
        <f t="shared" si="913"/>
        <v>85324.74599999997</v>
      </c>
      <c r="CT187" s="20" t="str">
        <f t="shared" si="675"/>
        <v>Professional Fees</v>
      </c>
      <c r="CU187" s="107">
        <f t="shared" ref="CU187:DG187" si="914">+SUM(CU188:CU192)</f>
        <v>6624.7499999999991</v>
      </c>
      <c r="CV187" s="107">
        <f t="shared" si="914"/>
        <v>4374.75</v>
      </c>
      <c r="CW187" s="107">
        <f t="shared" si="914"/>
        <v>3124.7999999999997</v>
      </c>
      <c r="CX187" s="107">
        <f t="shared" si="914"/>
        <v>3124.7999999999997</v>
      </c>
      <c r="CY187" s="107">
        <f t="shared" si="914"/>
        <v>6624.7499999999991</v>
      </c>
      <c r="CZ187" s="107">
        <f t="shared" si="914"/>
        <v>4374.75</v>
      </c>
      <c r="DA187" s="107">
        <f t="shared" si="914"/>
        <v>6624.7499999999991</v>
      </c>
      <c r="DB187" s="107">
        <f t="shared" si="914"/>
        <v>3124.7999999999997</v>
      </c>
      <c r="DC187" s="107">
        <f t="shared" si="914"/>
        <v>3124.7999999999997</v>
      </c>
      <c r="DD187" s="107">
        <f t="shared" si="914"/>
        <v>4374.75</v>
      </c>
      <c r="DE187" s="107">
        <f t="shared" si="914"/>
        <v>0</v>
      </c>
      <c r="DF187" s="107">
        <f t="shared" si="914"/>
        <v>0</v>
      </c>
      <c r="DG187" s="107">
        <f t="shared" si="914"/>
        <v>45497.7</v>
      </c>
      <c r="DH187" s="118"/>
      <c r="DI187" s="107">
        <f t="shared" ref="DI187:DU187" si="915">+SUM(DI188:DI192)</f>
        <v>12133.199999999999</v>
      </c>
      <c r="DJ187" s="107">
        <f t="shared" si="915"/>
        <v>12133.199999999999</v>
      </c>
      <c r="DK187" s="107">
        <f t="shared" si="915"/>
        <v>12133.199999999999</v>
      </c>
      <c r="DL187" s="107">
        <f t="shared" si="915"/>
        <v>12133.199999999999</v>
      </c>
      <c r="DM187" s="107">
        <f t="shared" si="915"/>
        <v>12133.199999999999</v>
      </c>
      <c r="DN187" s="107">
        <f t="shared" si="915"/>
        <v>12133.199999999999</v>
      </c>
      <c r="DO187" s="107">
        <f t="shared" si="915"/>
        <v>12133.199999999999</v>
      </c>
      <c r="DP187" s="107">
        <f t="shared" si="915"/>
        <v>12133.199999999999</v>
      </c>
      <c r="DQ187" s="107">
        <f t="shared" si="915"/>
        <v>12133.199999999999</v>
      </c>
      <c r="DR187" s="107">
        <f t="shared" si="915"/>
        <v>12133.199999999999</v>
      </c>
      <c r="DS187" s="107">
        <f t="shared" si="915"/>
        <v>12133.199999999999</v>
      </c>
      <c r="DT187" s="107">
        <f t="shared" si="915"/>
        <v>12133.199999999999</v>
      </c>
      <c r="DU187" s="107">
        <f t="shared" si="915"/>
        <v>145598.39999999999</v>
      </c>
      <c r="DV187" s="106"/>
      <c r="DW187" s="107">
        <f t="shared" ref="DW187:EI187" si="916">+SUM(DW188:DW192)</f>
        <v>0</v>
      </c>
      <c r="DX187" s="107">
        <f t="shared" si="916"/>
        <v>0</v>
      </c>
      <c r="DY187" s="107">
        <f t="shared" si="916"/>
        <v>0</v>
      </c>
      <c r="DZ187" s="107">
        <f t="shared" si="916"/>
        <v>0</v>
      </c>
      <c r="EA187" s="107">
        <f t="shared" si="916"/>
        <v>0</v>
      </c>
      <c r="EB187" s="107">
        <f t="shared" si="916"/>
        <v>0</v>
      </c>
      <c r="EC187" s="107">
        <f t="shared" si="916"/>
        <v>0</v>
      </c>
      <c r="ED187" s="107">
        <f t="shared" si="916"/>
        <v>0</v>
      </c>
      <c r="EE187" s="107">
        <f t="shared" si="916"/>
        <v>0</v>
      </c>
      <c r="EF187" s="107">
        <f t="shared" si="916"/>
        <v>0</v>
      </c>
      <c r="EG187" s="107">
        <f t="shared" si="916"/>
        <v>0</v>
      </c>
      <c r="EH187" s="107">
        <f t="shared" si="916"/>
        <v>0</v>
      </c>
      <c r="EI187" s="107">
        <f t="shared" si="916"/>
        <v>0</v>
      </c>
      <c r="EJ187" s="20" t="str">
        <f t="shared" si="681"/>
        <v>Professional Fees</v>
      </c>
      <c r="EK187" s="107">
        <f t="shared" ref="EK187:EW187" si="917">+SUM(EK188:EK192)</f>
        <v>150095</v>
      </c>
      <c r="EL187" s="107">
        <f t="shared" si="917"/>
        <v>46875</v>
      </c>
      <c r="EM187" s="107">
        <f t="shared" si="917"/>
        <v>151625</v>
      </c>
      <c r="EN187" s="107">
        <f t="shared" si="917"/>
        <v>3124.9999999999995</v>
      </c>
      <c r="EO187" s="107">
        <f t="shared" si="917"/>
        <v>3124.9999999999995</v>
      </c>
      <c r="EP187" s="107">
        <f t="shared" si="917"/>
        <v>3124.9999999999995</v>
      </c>
      <c r="EQ187" s="107">
        <f t="shared" si="917"/>
        <v>3124.9999999999995</v>
      </c>
      <c r="ER187" s="107">
        <f t="shared" si="917"/>
        <v>3124.9999999999995</v>
      </c>
      <c r="ES187" s="107">
        <f t="shared" si="917"/>
        <v>3124.9999999999995</v>
      </c>
      <c r="ET187" s="107">
        <f t="shared" si="917"/>
        <v>3124.9999999999995</v>
      </c>
      <c r="EU187" s="107">
        <f t="shared" si="917"/>
        <v>0</v>
      </c>
      <c r="EV187" s="107">
        <f t="shared" si="917"/>
        <v>0</v>
      </c>
      <c r="EW187" s="107">
        <f t="shared" si="917"/>
        <v>370470</v>
      </c>
      <c r="EX187" s="118"/>
      <c r="EY187" s="107">
        <f t="shared" ref="EY187:FK187" si="918">+SUM(EY188:EY192)</f>
        <v>3124.9999999999995</v>
      </c>
      <c r="EZ187" s="107">
        <f t="shared" si="918"/>
        <v>3124.9999999999995</v>
      </c>
      <c r="FA187" s="107">
        <f t="shared" si="918"/>
        <v>3124.9999999999995</v>
      </c>
      <c r="FB187" s="107">
        <f t="shared" si="918"/>
        <v>3124.9999999999995</v>
      </c>
      <c r="FC187" s="107">
        <f t="shared" si="918"/>
        <v>3124.9999999999995</v>
      </c>
      <c r="FD187" s="107">
        <f t="shared" si="918"/>
        <v>3124.9999999999995</v>
      </c>
      <c r="FE187" s="107">
        <f t="shared" si="918"/>
        <v>3124.9999999999995</v>
      </c>
      <c r="FF187" s="107">
        <f t="shared" si="918"/>
        <v>3124.9999999999995</v>
      </c>
      <c r="FG187" s="107">
        <f t="shared" si="918"/>
        <v>3124.9999999999995</v>
      </c>
      <c r="FH187" s="107">
        <f t="shared" si="918"/>
        <v>3124.9999999999995</v>
      </c>
      <c r="FI187" s="107">
        <f t="shared" si="918"/>
        <v>3124.9999999999995</v>
      </c>
      <c r="FJ187" s="107">
        <f t="shared" si="918"/>
        <v>3124.9999999999995</v>
      </c>
      <c r="FK187" s="107">
        <f t="shared" si="918"/>
        <v>37499.999999999993</v>
      </c>
    </row>
    <row r="188" spans="1:167" ht="14.45" hidden="1" customHeight="1" outlineLevel="2">
      <c r="A188" s="106">
        <f t="shared" ref="A188:L192" si="919">+AQ188+CG188+DW188</f>
        <v>9374.9999999999854</v>
      </c>
      <c r="B188" s="106">
        <f t="shared" si="919"/>
        <v>9374.9999999999854</v>
      </c>
      <c r="C188" s="106">
        <f t="shared" si="919"/>
        <v>9374.9999999999854</v>
      </c>
      <c r="D188" s="106">
        <f t="shared" si="919"/>
        <v>9374.9999999999854</v>
      </c>
      <c r="E188" s="106">
        <f t="shared" si="919"/>
        <v>9374.9999999999854</v>
      </c>
      <c r="F188" s="106">
        <f t="shared" si="919"/>
        <v>9374.9999999999854</v>
      </c>
      <c r="G188" s="106">
        <f t="shared" si="919"/>
        <v>9374.9999999999854</v>
      </c>
      <c r="H188" s="106">
        <f t="shared" si="919"/>
        <v>9374.9985000000015</v>
      </c>
      <c r="I188" s="106">
        <f t="shared" si="919"/>
        <v>0</v>
      </c>
      <c r="J188" s="106">
        <f t="shared" si="919"/>
        <v>9374.9999999999854</v>
      </c>
      <c r="K188" s="106">
        <f t="shared" si="919"/>
        <v>9374.9985000000015</v>
      </c>
      <c r="L188" s="106">
        <f t="shared" si="919"/>
        <v>0</v>
      </c>
      <c r="M188" s="106">
        <f t="shared" ref="M188:M192" si="920">+SUM(A188:L188)</f>
        <v>93749.996999999887</v>
      </c>
      <c r="N188" s="16" t="s">
        <v>157</v>
      </c>
      <c r="O188" s="106">
        <f t="shared" ref="O188:Z192" si="921">+BE188+CU188+EK188</f>
        <v>12499.4</v>
      </c>
      <c r="P188" s="106">
        <f t="shared" si="921"/>
        <v>12499.4</v>
      </c>
      <c r="Q188" s="106">
        <f t="shared" si="921"/>
        <v>12499.4</v>
      </c>
      <c r="R188" s="106">
        <f t="shared" si="921"/>
        <v>12499.4</v>
      </c>
      <c r="S188" s="106">
        <f t="shared" si="921"/>
        <v>12499.4</v>
      </c>
      <c r="T188" s="106">
        <f t="shared" si="921"/>
        <v>12499.4</v>
      </c>
      <c r="U188" s="106">
        <f t="shared" si="921"/>
        <v>12499.4</v>
      </c>
      <c r="V188" s="106">
        <f t="shared" si="921"/>
        <v>12499.4</v>
      </c>
      <c r="W188" s="106">
        <f t="shared" si="921"/>
        <v>12499.4</v>
      </c>
      <c r="X188" s="106">
        <f t="shared" si="921"/>
        <v>12499.4</v>
      </c>
      <c r="Y188" s="106">
        <f t="shared" si="921"/>
        <v>0</v>
      </c>
      <c r="Z188" s="106">
        <f t="shared" si="921"/>
        <v>0</v>
      </c>
      <c r="AA188" s="106">
        <f t="shared" ref="AA188:AA192" si="922">+SUM(O188:Z188)</f>
        <v>124993.99999999997</v>
      </c>
      <c r="AB188" s="118"/>
      <c r="AC188" s="106">
        <f t="shared" ref="AC188:AN192" si="923">+BS188+DI188+EY188</f>
        <v>12499.4</v>
      </c>
      <c r="AD188" s="106">
        <f t="shared" si="923"/>
        <v>12499.4</v>
      </c>
      <c r="AE188" s="106">
        <f t="shared" si="923"/>
        <v>12499.4</v>
      </c>
      <c r="AF188" s="106">
        <f t="shared" si="923"/>
        <v>12499.4</v>
      </c>
      <c r="AG188" s="106">
        <f t="shared" si="923"/>
        <v>12499.4</v>
      </c>
      <c r="AH188" s="106">
        <f t="shared" si="923"/>
        <v>12499.4</v>
      </c>
      <c r="AI188" s="106">
        <f t="shared" si="923"/>
        <v>12499.4</v>
      </c>
      <c r="AJ188" s="106">
        <f t="shared" si="923"/>
        <v>12499.4</v>
      </c>
      <c r="AK188" s="106">
        <f t="shared" si="923"/>
        <v>12499.4</v>
      </c>
      <c r="AL188" s="106">
        <f t="shared" si="923"/>
        <v>12499.4</v>
      </c>
      <c r="AM188" s="106">
        <f t="shared" si="923"/>
        <v>12499.4</v>
      </c>
      <c r="AN188" s="106">
        <f t="shared" si="923"/>
        <v>12499.4</v>
      </c>
      <c r="AO188" s="106">
        <f t="shared" ref="AO188:AO192" si="924">+SUM(AC188:AN188)</f>
        <v>149992.79999999996</v>
      </c>
      <c r="AP188" s="106"/>
      <c r="AQ188" s="106">
        <f>+PMGR!AQ188+BP!AQ188</f>
        <v>6249.99999999999</v>
      </c>
      <c r="AR188" s="106">
        <f>+PMGR!AR188+BP!AR188</f>
        <v>6249.99999999999</v>
      </c>
      <c r="AS188" s="106">
        <f>+PMGR!AS188+BP!AS188</f>
        <v>6249.99999999999</v>
      </c>
      <c r="AT188" s="106">
        <f>+PMGR!AT188+BP!AT188</f>
        <v>6249.99999999999</v>
      </c>
      <c r="AU188" s="106">
        <f>+PMGR!AU188+BP!AU188</f>
        <v>6249.99999999999</v>
      </c>
      <c r="AV188" s="106">
        <f>+PMGR!AV188+BP!AV188</f>
        <v>6249.99999999999</v>
      </c>
      <c r="AW188" s="106">
        <f>+PMGR!AW188+BP!AW188</f>
        <v>6249.99999999999</v>
      </c>
      <c r="AX188" s="106">
        <f>+PMGR!AX188+BP!AX188</f>
        <v>6249.9990000000007</v>
      </c>
      <c r="AY188" s="106">
        <f>+PMGR!AY188+BP!AY188</f>
        <v>0</v>
      </c>
      <c r="AZ188" s="106">
        <f>+PMGR!AZ188+BP!AZ188</f>
        <v>6249.99999999999</v>
      </c>
      <c r="BA188" s="106">
        <f>+PMGR!BA188+BP!BA188</f>
        <v>6249.9990000000007</v>
      </c>
      <c r="BB188" s="106">
        <f>+PMGR!BB188+BP!BB188</f>
        <v>0</v>
      </c>
      <c r="BC188" s="106">
        <f t="shared" ref="BC188:BC192" si="925">+SUM(AQ188:BB188)</f>
        <v>62499.997999999934</v>
      </c>
      <c r="BD188" s="16" t="str">
        <f t="shared" si="671"/>
        <v>Audit Fees</v>
      </c>
      <c r="BE188" s="106">
        <f>+PMGR!BE188+BP!BE188</f>
        <v>6249.5999999999995</v>
      </c>
      <c r="BF188" s="106">
        <f>+PMGR!BF188+BP!BF188</f>
        <v>6249.5999999999995</v>
      </c>
      <c r="BG188" s="106">
        <f>+PMGR!BG188+BP!BG188</f>
        <v>6249.5999999999995</v>
      </c>
      <c r="BH188" s="106">
        <f>+PMGR!BH188+BP!BH188</f>
        <v>6249.5999999999995</v>
      </c>
      <c r="BI188" s="106">
        <f>+PMGR!BI188+BP!BI188</f>
        <v>6249.5999999999995</v>
      </c>
      <c r="BJ188" s="106">
        <f>+PMGR!BJ188+BP!BJ188</f>
        <v>6249.5999999999995</v>
      </c>
      <c r="BK188" s="106">
        <f>+PMGR!BK188+BP!BK188</f>
        <v>6249.5999999999995</v>
      </c>
      <c r="BL188" s="106">
        <f>+PMGR!BL188+BP!BL188</f>
        <v>6249.5999999999995</v>
      </c>
      <c r="BM188" s="106">
        <f>+PMGR!BM188+BP!BM188</f>
        <v>6249.5999999999995</v>
      </c>
      <c r="BN188" s="106">
        <f>+PMGR!BN188+BP!BN188</f>
        <v>6249.5999999999995</v>
      </c>
      <c r="BO188" s="106">
        <f>+PMGR!BO188+BP!BO188</f>
        <v>0</v>
      </c>
      <c r="BP188" s="106">
        <f>+PMGR!BP188+BP!BP188</f>
        <v>0</v>
      </c>
      <c r="BQ188" s="106">
        <f t="shared" ref="BQ188:BQ192" si="926">+SUM(BE188:BP188)</f>
        <v>62495.999999999993</v>
      </c>
      <c r="BR188" s="118"/>
      <c r="BS188" s="106">
        <f>+PMGR!BS188+BP!BS188</f>
        <v>6249.5999999999995</v>
      </c>
      <c r="BT188" s="106">
        <f>+PMGR!BT188+BP!BT188</f>
        <v>6249.5999999999995</v>
      </c>
      <c r="BU188" s="106">
        <f>+PMGR!BU188+BP!BU188</f>
        <v>6249.5999999999995</v>
      </c>
      <c r="BV188" s="106">
        <f>+PMGR!BV188+BP!BV188</f>
        <v>6249.5999999999995</v>
      </c>
      <c r="BW188" s="106">
        <f>+PMGR!BW188+BP!BW188</f>
        <v>6249.5999999999995</v>
      </c>
      <c r="BX188" s="106">
        <f>+PMGR!BX188+BP!BX188</f>
        <v>6249.5999999999995</v>
      </c>
      <c r="BY188" s="106">
        <f>+PMGR!BY188+BP!BY188</f>
        <v>6249.5999999999995</v>
      </c>
      <c r="BZ188" s="106">
        <f>+PMGR!BZ188+BP!BZ188</f>
        <v>6249.5999999999995</v>
      </c>
      <c r="CA188" s="106">
        <f>+PMGR!CA188+BP!CA188</f>
        <v>6249.5999999999995</v>
      </c>
      <c r="CB188" s="106">
        <f>+PMGR!CB188+BP!CB188</f>
        <v>6249.5999999999995</v>
      </c>
      <c r="CC188" s="106">
        <f>+PMGR!CC188+BP!CC188</f>
        <v>6249.5999999999995</v>
      </c>
      <c r="CD188" s="106">
        <f>+PMGR!CD188+BP!CD188</f>
        <v>6249.5999999999995</v>
      </c>
      <c r="CE188" s="106">
        <f t="shared" ref="CE188:CE192" si="927">+SUM(BS188:CD188)</f>
        <v>74995.199999999997</v>
      </c>
      <c r="CF188" s="106"/>
      <c r="CG188" s="106">
        <f>+PMGR!CG188+BP!CG188</f>
        <v>3124.999999999995</v>
      </c>
      <c r="CH188" s="106">
        <f>+PMGR!CH188+BP!CH188</f>
        <v>3124.999999999995</v>
      </c>
      <c r="CI188" s="106">
        <f>+PMGR!CI188+BP!CI188</f>
        <v>3124.999999999995</v>
      </c>
      <c r="CJ188" s="106">
        <f>+PMGR!CJ188+BP!CJ188</f>
        <v>3124.999999999995</v>
      </c>
      <c r="CK188" s="106">
        <f>+PMGR!CK188+BP!CK188</f>
        <v>3124.999999999995</v>
      </c>
      <c r="CL188" s="106">
        <f>+PMGR!CL188+BP!CL188</f>
        <v>3124.999999999995</v>
      </c>
      <c r="CM188" s="106">
        <f>+PMGR!CM188+BP!CM188</f>
        <v>3124.999999999995</v>
      </c>
      <c r="CN188" s="106">
        <f>+PMGR!CN188+BP!CN188</f>
        <v>3124.9995000000004</v>
      </c>
      <c r="CO188" s="106">
        <f>+PMGR!CO188+BP!CO188</f>
        <v>0</v>
      </c>
      <c r="CP188" s="106">
        <f>+PMGR!CP188+BP!CP188</f>
        <v>3124.999999999995</v>
      </c>
      <c r="CQ188" s="106">
        <f>+PMGR!CQ188+BP!CQ188</f>
        <v>3124.9995000000004</v>
      </c>
      <c r="CR188" s="106">
        <f>+PMGR!CR188+BP!CR188</f>
        <v>0</v>
      </c>
      <c r="CS188" s="106">
        <f t="shared" ref="CS188:CS192" si="928">+SUM(CG188:CR188)</f>
        <v>31249.998999999967</v>
      </c>
      <c r="CT188" s="16" t="str">
        <f t="shared" si="675"/>
        <v>Audit Fees</v>
      </c>
      <c r="CU188" s="106">
        <f>+PMGR!CU188+BP!CU188</f>
        <v>3124.7999999999997</v>
      </c>
      <c r="CV188" s="106">
        <f>+PMGR!CV188+BP!CV188</f>
        <v>3124.7999999999997</v>
      </c>
      <c r="CW188" s="106">
        <f>+PMGR!CW188+BP!CW188</f>
        <v>3124.7999999999997</v>
      </c>
      <c r="CX188" s="106">
        <f>+PMGR!CX188+BP!CX188</f>
        <v>3124.7999999999997</v>
      </c>
      <c r="CY188" s="106">
        <f>+PMGR!CY188+BP!CY188</f>
        <v>3124.7999999999997</v>
      </c>
      <c r="CZ188" s="106">
        <f>+PMGR!CZ188+BP!CZ188</f>
        <v>3124.7999999999997</v>
      </c>
      <c r="DA188" s="106">
        <f>+PMGR!DA188+BP!DA188</f>
        <v>3124.7999999999997</v>
      </c>
      <c r="DB188" s="106">
        <f>+PMGR!DB188+BP!DB188</f>
        <v>3124.7999999999997</v>
      </c>
      <c r="DC188" s="106">
        <f>+PMGR!DC188+BP!DC188</f>
        <v>3124.7999999999997</v>
      </c>
      <c r="DD188" s="106">
        <f>+PMGR!DD188+BP!DD188</f>
        <v>3124.7999999999997</v>
      </c>
      <c r="DE188" s="106">
        <f>+PMGR!DE188+BP!DE188</f>
        <v>0</v>
      </c>
      <c r="DF188" s="106">
        <f>+PMGR!DF188+BP!DF188</f>
        <v>0</v>
      </c>
      <c r="DG188" s="106">
        <f t="shared" ref="DG188:DG192" si="929">+SUM(CU188:DF188)</f>
        <v>31247.999999999996</v>
      </c>
      <c r="DH188" s="118"/>
      <c r="DI188" s="106">
        <f>+PMGR!DI188+BP!DI188</f>
        <v>3124.7999999999997</v>
      </c>
      <c r="DJ188" s="106">
        <f>+PMGR!DJ188+BP!DJ188</f>
        <v>3124.7999999999997</v>
      </c>
      <c r="DK188" s="106">
        <f>+PMGR!DK188+BP!DK188</f>
        <v>3124.7999999999997</v>
      </c>
      <c r="DL188" s="106">
        <f>+PMGR!DL188+BP!DL188</f>
        <v>3124.7999999999997</v>
      </c>
      <c r="DM188" s="106">
        <f>+PMGR!DM188+BP!DM188</f>
        <v>3124.7999999999997</v>
      </c>
      <c r="DN188" s="106">
        <f>+PMGR!DN188+BP!DN188</f>
        <v>3124.7999999999997</v>
      </c>
      <c r="DO188" s="106">
        <f>+PMGR!DO188+BP!DO188</f>
        <v>3124.7999999999997</v>
      </c>
      <c r="DP188" s="106">
        <f>+PMGR!DP188+BP!DP188</f>
        <v>3124.7999999999997</v>
      </c>
      <c r="DQ188" s="106">
        <f>+PMGR!DQ188+BP!DQ188</f>
        <v>3124.7999999999997</v>
      </c>
      <c r="DR188" s="106">
        <f>+PMGR!DR188+BP!DR188</f>
        <v>3124.7999999999997</v>
      </c>
      <c r="DS188" s="106">
        <f>+PMGR!DS188+BP!DS188</f>
        <v>3124.7999999999997</v>
      </c>
      <c r="DT188" s="106">
        <f>+PMGR!DT188+BP!DT188</f>
        <v>3124.7999999999997</v>
      </c>
      <c r="DU188" s="106">
        <f t="shared" ref="DU188:DU192" si="930">+SUM(DI188:DT188)</f>
        <v>37497.599999999999</v>
      </c>
      <c r="DV188" s="106"/>
      <c r="DW188" s="106">
        <f>+PMGR!DW188+BP!DW188</f>
        <v>0</v>
      </c>
      <c r="DX188" s="106">
        <f>+PMGR!DX188+BP!DX188</f>
        <v>0</v>
      </c>
      <c r="DY188" s="106">
        <f>+PMGR!DY188+BP!DY188</f>
        <v>0</v>
      </c>
      <c r="DZ188" s="106">
        <f>+PMGR!DZ188+BP!DZ188</f>
        <v>0</v>
      </c>
      <c r="EA188" s="106">
        <f>+PMGR!EA188+BP!EA188</f>
        <v>0</v>
      </c>
      <c r="EB188" s="106">
        <f>+PMGR!EB188+BP!EB188</f>
        <v>0</v>
      </c>
      <c r="EC188" s="106">
        <f>+PMGR!EC188+BP!EC188</f>
        <v>0</v>
      </c>
      <c r="ED188" s="106">
        <f>+PMGR!ED188+BP!ED188</f>
        <v>0</v>
      </c>
      <c r="EE188" s="106">
        <f>+PMGR!EE188+BP!EE188</f>
        <v>0</v>
      </c>
      <c r="EF188" s="106">
        <f>+PMGR!EF188+BP!EF188</f>
        <v>0</v>
      </c>
      <c r="EG188" s="106">
        <f>+PMGR!EG188+BP!EG188</f>
        <v>0</v>
      </c>
      <c r="EH188" s="106">
        <f>+PMGR!EH188+BP!EH188</f>
        <v>0</v>
      </c>
      <c r="EI188" s="106">
        <f t="shared" ref="EI188:EI192" si="931">+SUM(DW188:EH188)</f>
        <v>0</v>
      </c>
      <c r="EJ188" s="16" t="str">
        <f t="shared" si="681"/>
        <v>Audit Fees</v>
      </c>
      <c r="EK188" s="106">
        <f>+PMGR!EK188+BP!EK188</f>
        <v>3124.9999999999995</v>
      </c>
      <c r="EL188" s="106">
        <f>+PMGR!EL188+BP!EL188</f>
        <v>3124.9999999999995</v>
      </c>
      <c r="EM188" s="106">
        <f>+PMGR!EM188+BP!EM188</f>
        <v>3124.9999999999995</v>
      </c>
      <c r="EN188" s="106">
        <f>+PMGR!EN188+BP!EN188</f>
        <v>3124.9999999999995</v>
      </c>
      <c r="EO188" s="106">
        <f>+PMGR!EO188+BP!EO188</f>
        <v>3124.9999999999995</v>
      </c>
      <c r="EP188" s="106">
        <f>+PMGR!EP188+BP!EP188</f>
        <v>3124.9999999999995</v>
      </c>
      <c r="EQ188" s="106">
        <f>+PMGR!EQ188+BP!EQ188</f>
        <v>3124.9999999999995</v>
      </c>
      <c r="ER188" s="106">
        <f>+PMGR!ER188+BP!ER188</f>
        <v>3124.9999999999995</v>
      </c>
      <c r="ES188" s="106">
        <f>+PMGR!ES188+BP!ES188</f>
        <v>3124.9999999999995</v>
      </c>
      <c r="ET188" s="106">
        <f>+PMGR!ET188+BP!ET188</f>
        <v>3124.9999999999995</v>
      </c>
      <c r="EU188" s="106">
        <f>+PMGR!EU188+BP!EU188</f>
        <v>0</v>
      </c>
      <c r="EV188" s="106">
        <f>+PMGR!EV188+BP!EV188</f>
        <v>0</v>
      </c>
      <c r="EW188" s="106">
        <f t="shared" ref="EW188:EW192" si="932">+SUM(EK188:EV188)</f>
        <v>31249.999999999996</v>
      </c>
      <c r="EX188" s="118"/>
      <c r="EY188" s="106">
        <f>+PMGR!EY188+BP!EY188</f>
        <v>3124.9999999999995</v>
      </c>
      <c r="EZ188" s="106">
        <f>+PMGR!EZ188+BP!EZ188</f>
        <v>3124.9999999999995</v>
      </c>
      <c r="FA188" s="106">
        <f>+PMGR!FA188+BP!FA188</f>
        <v>3124.9999999999995</v>
      </c>
      <c r="FB188" s="106">
        <f>+PMGR!FB188+BP!FB188</f>
        <v>3124.9999999999995</v>
      </c>
      <c r="FC188" s="106">
        <f>+PMGR!FC188+BP!FC188</f>
        <v>3124.9999999999995</v>
      </c>
      <c r="FD188" s="106">
        <f>+PMGR!FD188+BP!FD188</f>
        <v>3124.9999999999995</v>
      </c>
      <c r="FE188" s="106">
        <f>+PMGR!FE188+BP!FE188</f>
        <v>3124.9999999999995</v>
      </c>
      <c r="FF188" s="106">
        <f>+PMGR!FF188+BP!FF188</f>
        <v>3124.9999999999995</v>
      </c>
      <c r="FG188" s="106">
        <f>+PMGR!FG188+BP!FG188</f>
        <v>3124.9999999999995</v>
      </c>
      <c r="FH188" s="106">
        <f>+PMGR!FH188+BP!FH188</f>
        <v>3124.9999999999995</v>
      </c>
      <c r="FI188" s="106">
        <f>+PMGR!FI188+BP!FI188</f>
        <v>3124.9999999999995</v>
      </c>
      <c r="FJ188" s="106">
        <f>+PMGR!FJ188+BP!FJ188</f>
        <v>3124.9999999999995</v>
      </c>
      <c r="FK188" s="106">
        <f t="shared" ref="FK188:FK192" si="933">+SUM(EY188:FJ188)</f>
        <v>37499.999999999993</v>
      </c>
    </row>
    <row r="189" spans="1:167" ht="14.45" hidden="1" customHeight="1" outlineLevel="2">
      <c r="A189" s="106">
        <f t="shared" si="919"/>
        <v>11925</v>
      </c>
      <c r="B189" s="106">
        <f t="shared" si="919"/>
        <v>11925</v>
      </c>
      <c r="C189" s="106">
        <f t="shared" si="919"/>
        <v>11925</v>
      </c>
      <c r="D189" s="106">
        <f t="shared" si="919"/>
        <v>11925</v>
      </c>
      <c r="E189" s="106">
        <f t="shared" si="919"/>
        <v>11925</v>
      </c>
      <c r="F189" s="106">
        <f t="shared" si="919"/>
        <v>11925</v>
      </c>
      <c r="G189" s="106">
        <f t="shared" si="919"/>
        <v>11925</v>
      </c>
      <c r="H189" s="106">
        <f t="shared" si="919"/>
        <v>6750</v>
      </c>
      <c r="I189" s="106">
        <f t="shared" si="919"/>
        <v>6750</v>
      </c>
      <c r="J189" s="106">
        <f t="shared" si="919"/>
        <v>6750</v>
      </c>
      <c r="K189" s="106">
        <f t="shared" si="919"/>
        <v>6750</v>
      </c>
      <c r="L189" s="106">
        <f t="shared" si="919"/>
        <v>6750</v>
      </c>
      <c r="M189" s="106">
        <f t="shared" si="920"/>
        <v>117225</v>
      </c>
      <c r="N189" s="16" t="s">
        <v>158</v>
      </c>
      <c r="O189" s="106">
        <f t="shared" si="921"/>
        <v>6750</v>
      </c>
      <c r="P189" s="106">
        <f t="shared" si="921"/>
        <v>0</v>
      </c>
      <c r="Q189" s="106">
        <f t="shared" si="921"/>
        <v>0</v>
      </c>
      <c r="R189" s="106">
        <f t="shared" si="921"/>
        <v>0</v>
      </c>
      <c r="S189" s="106">
        <f t="shared" si="921"/>
        <v>6750</v>
      </c>
      <c r="T189" s="106">
        <f t="shared" si="921"/>
        <v>0</v>
      </c>
      <c r="U189" s="106">
        <f t="shared" si="921"/>
        <v>6750</v>
      </c>
      <c r="V189" s="106">
        <f t="shared" si="921"/>
        <v>0</v>
      </c>
      <c r="W189" s="106">
        <f t="shared" si="921"/>
        <v>0</v>
      </c>
      <c r="X189" s="106">
        <f t="shared" si="921"/>
        <v>0</v>
      </c>
      <c r="Y189" s="106">
        <f t="shared" si="921"/>
        <v>0</v>
      </c>
      <c r="Z189" s="106">
        <f t="shared" si="921"/>
        <v>0</v>
      </c>
      <c r="AA189" s="106">
        <f t="shared" si="922"/>
        <v>20250</v>
      </c>
      <c r="AB189" s="118"/>
      <c r="AC189" s="106">
        <f t="shared" si="923"/>
        <v>11925</v>
      </c>
      <c r="AD189" s="106">
        <f t="shared" si="923"/>
        <v>11925</v>
      </c>
      <c r="AE189" s="106">
        <f t="shared" si="923"/>
        <v>11925</v>
      </c>
      <c r="AF189" s="106">
        <f t="shared" si="923"/>
        <v>11925</v>
      </c>
      <c r="AG189" s="106">
        <f t="shared" si="923"/>
        <v>11925</v>
      </c>
      <c r="AH189" s="106">
        <f t="shared" si="923"/>
        <v>11925</v>
      </c>
      <c r="AI189" s="106">
        <f t="shared" si="923"/>
        <v>11925</v>
      </c>
      <c r="AJ189" s="106">
        <f t="shared" si="923"/>
        <v>11925</v>
      </c>
      <c r="AK189" s="106">
        <f t="shared" si="923"/>
        <v>11925</v>
      </c>
      <c r="AL189" s="106">
        <f t="shared" si="923"/>
        <v>11925</v>
      </c>
      <c r="AM189" s="106">
        <f t="shared" si="923"/>
        <v>11925</v>
      </c>
      <c r="AN189" s="106">
        <f t="shared" si="923"/>
        <v>11925</v>
      </c>
      <c r="AO189" s="106">
        <f t="shared" si="924"/>
        <v>143100</v>
      </c>
      <c r="AP189" s="106"/>
      <c r="AQ189" s="106">
        <f>+PMGR!AQ189+BP!AQ189</f>
        <v>7950</v>
      </c>
      <c r="AR189" s="106">
        <f>+PMGR!AR189+BP!AR189</f>
        <v>7950</v>
      </c>
      <c r="AS189" s="106">
        <f>+PMGR!AS189+BP!AS189</f>
        <v>7950</v>
      </c>
      <c r="AT189" s="106">
        <f>+PMGR!AT189+BP!AT189</f>
        <v>7950</v>
      </c>
      <c r="AU189" s="106">
        <f>+PMGR!AU189+BP!AU189</f>
        <v>7950</v>
      </c>
      <c r="AV189" s="106">
        <f>+PMGR!AV189+BP!AV189</f>
        <v>7950</v>
      </c>
      <c r="AW189" s="106">
        <f>+PMGR!AW189+BP!AW189</f>
        <v>7950</v>
      </c>
      <c r="AX189" s="106">
        <f>+PMGR!AX189+BP!AX189</f>
        <v>4500</v>
      </c>
      <c r="AY189" s="106">
        <f>+PMGR!AY189+BP!AY189</f>
        <v>4500</v>
      </c>
      <c r="AZ189" s="106">
        <f>+PMGR!AZ189+BP!AZ189</f>
        <v>4500</v>
      </c>
      <c r="BA189" s="106">
        <f>+PMGR!BA189+BP!BA189</f>
        <v>4500</v>
      </c>
      <c r="BB189" s="106">
        <f>+PMGR!BB189+BP!BB189</f>
        <v>4500</v>
      </c>
      <c r="BC189" s="106">
        <f t="shared" si="925"/>
        <v>78150</v>
      </c>
      <c r="BD189" s="16" t="str">
        <f t="shared" si="671"/>
        <v>Consultancy Fees</v>
      </c>
      <c r="BE189" s="106">
        <f>+PMGR!BE189+BP!BE189</f>
        <v>4500</v>
      </c>
      <c r="BF189" s="106">
        <f>+PMGR!BF189+BP!BF189</f>
        <v>0</v>
      </c>
      <c r="BG189" s="106">
        <f>+PMGR!BG189+BP!BG189</f>
        <v>0</v>
      </c>
      <c r="BH189" s="106">
        <f>+PMGR!BH189+BP!BH189</f>
        <v>0</v>
      </c>
      <c r="BI189" s="106">
        <f>+PMGR!BI189+BP!BI189</f>
        <v>4500</v>
      </c>
      <c r="BJ189" s="106">
        <f>+PMGR!BJ189+BP!BJ189</f>
        <v>0</v>
      </c>
      <c r="BK189" s="106">
        <f>+PMGR!BK189+BP!BK189</f>
        <v>4500</v>
      </c>
      <c r="BL189" s="106">
        <f>+PMGR!BL189+BP!BL189</f>
        <v>0</v>
      </c>
      <c r="BM189" s="106">
        <f>+PMGR!BM189+BP!BM189</f>
        <v>0</v>
      </c>
      <c r="BN189" s="106">
        <f>+PMGR!BN189+BP!BN189</f>
        <v>0</v>
      </c>
      <c r="BO189" s="106">
        <f>+PMGR!BO189+BP!BO189</f>
        <v>0</v>
      </c>
      <c r="BP189" s="106">
        <f>+PMGR!BP189+BP!BP189</f>
        <v>0</v>
      </c>
      <c r="BQ189" s="106">
        <f t="shared" si="926"/>
        <v>13500</v>
      </c>
      <c r="BR189" s="118"/>
      <c r="BS189" s="106">
        <f>+PMGR!BS189+BP!BS189</f>
        <v>7950</v>
      </c>
      <c r="BT189" s="106">
        <f>+PMGR!BT189+BP!BT189</f>
        <v>7950</v>
      </c>
      <c r="BU189" s="106">
        <f>+PMGR!BU189+BP!BU189</f>
        <v>7950</v>
      </c>
      <c r="BV189" s="106">
        <f>+PMGR!BV189+BP!BV189</f>
        <v>7950</v>
      </c>
      <c r="BW189" s="106">
        <f>+PMGR!BW189+BP!BW189</f>
        <v>7950</v>
      </c>
      <c r="BX189" s="106">
        <f>+PMGR!BX189+BP!BX189</f>
        <v>7950</v>
      </c>
      <c r="BY189" s="106">
        <f>+PMGR!BY189+BP!BY189</f>
        <v>7950</v>
      </c>
      <c r="BZ189" s="106">
        <f>+PMGR!BZ189+BP!BZ189</f>
        <v>7950</v>
      </c>
      <c r="CA189" s="106">
        <f>+PMGR!CA189+BP!CA189</f>
        <v>7950</v>
      </c>
      <c r="CB189" s="106">
        <f>+PMGR!CB189+BP!CB189</f>
        <v>7950</v>
      </c>
      <c r="CC189" s="106">
        <f>+PMGR!CC189+BP!CC189</f>
        <v>7950</v>
      </c>
      <c r="CD189" s="106">
        <f>+PMGR!CD189+BP!CD189</f>
        <v>7950</v>
      </c>
      <c r="CE189" s="106">
        <f t="shared" si="927"/>
        <v>95400</v>
      </c>
      <c r="CF189" s="106"/>
      <c r="CG189" s="106">
        <f>+PMGR!CG189+BP!CG189</f>
        <v>3975</v>
      </c>
      <c r="CH189" s="106">
        <f>+PMGR!CH189+BP!CH189</f>
        <v>3975</v>
      </c>
      <c r="CI189" s="106">
        <f>+PMGR!CI189+BP!CI189</f>
        <v>3975</v>
      </c>
      <c r="CJ189" s="106">
        <f>+PMGR!CJ189+BP!CJ189</f>
        <v>3975</v>
      </c>
      <c r="CK189" s="106">
        <f>+PMGR!CK189+BP!CK189</f>
        <v>3975</v>
      </c>
      <c r="CL189" s="106">
        <f>+PMGR!CL189+BP!CL189</f>
        <v>3975</v>
      </c>
      <c r="CM189" s="106">
        <f>+PMGR!CM189+BP!CM189</f>
        <v>3975</v>
      </c>
      <c r="CN189" s="106">
        <f>+PMGR!CN189+BP!CN189</f>
        <v>2250</v>
      </c>
      <c r="CO189" s="106">
        <f>+PMGR!CO189+BP!CO189</f>
        <v>2250</v>
      </c>
      <c r="CP189" s="106">
        <f>+PMGR!CP189+BP!CP189</f>
        <v>2250</v>
      </c>
      <c r="CQ189" s="106">
        <f>+PMGR!CQ189+BP!CQ189</f>
        <v>2250</v>
      </c>
      <c r="CR189" s="106">
        <f>+PMGR!CR189+BP!CR189</f>
        <v>2250</v>
      </c>
      <c r="CS189" s="106">
        <f t="shared" si="928"/>
        <v>39075</v>
      </c>
      <c r="CT189" s="16" t="str">
        <f t="shared" si="675"/>
        <v>Consultancy Fees</v>
      </c>
      <c r="CU189" s="106">
        <f>+PMGR!CU189+BP!CU189</f>
        <v>2250</v>
      </c>
      <c r="CV189" s="106">
        <f>+PMGR!CV189+BP!CV189</f>
        <v>0</v>
      </c>
      <c r="CW189" s="106">
        <f>+PMGR!CW189+BP!CW189</f>
        <v>0</v>
      </c>
      <c r="CX189" s="106">
        <f>+PMGR!CX189+BP!CX189</f>
        <v>0</v>
      </c>
      <c r="CY189" s="106">
        <f>+PMGR!CY189+BP!CY189</f>
        <v>2250</v>
      </c>
      <c r="CZ189" s="106">
        <f>+PMGR!CZ189+BP!CZ189</f>
        <v>0</v>
      </c>
      <c r="DA189" s="106">
        <f>+PMGR!DA189+BP!DA189</f>
        <v>2250</v>
      </c>
      <c r="DB189" s="106">
        <f>+PMGR!DB189+BP!DB189</f>
        <v>0</v>
      </c>
      <c r="DC189" s="106">
        <f>+PMGR!DC189+BP!DC189</f>
        <v>0</v>
      </c>
      <c r="DD189" s="106">
        <f>+PMGR!DD189+BP!DD189</f>
        <v>0</v>
      </c>
      <c r="DE189" s="106">
        <f>+PMGR!DE189+BP!DE189</f>
        <v>0</v>
      </c>
      <c r="DF189" s="106">
        <f>+PMGR!DF189+BP!DF189</f>
        <v>0</v>
      </c>
      <c r="DG189" s="106">
        <f t="shared" si="929"/>
        <v>6750</v>
      </c>
      <c r="DH189" s="118"/>
      <c r="DI189" s="106">
        <f>+PMGR!DI189+BP!DI189</f>
        <v>3975</v>
      </c>
      <c r="DJ189" s="106">
        <f>+PMGR!DJ189+BP!DJ189</f>
        <v>3975</v>
      </c>
      <c r="DK189" s="106">
        <f>+PMGR!DK189+BP!DK189</f>
        <v>3975</v>
      </c>
      <c r="DL189" s="106">
        <f>+PMGR!DL189+BP!DL189</f>
        <v>3975</v>
      </c>
      <c r="DM189" s="106">
        <f>+PMGR!DM189+BP!DM189</f>
        <v>3975</v>
      </c>
      <c r="DN189" s="106">
        <f>+PMGR!DN189+BP!DN189</f>
        <v>3975</v>
      </c>
      <c r="DO189" s="106">
        <f>+PMGR!DO189+BP!DO189</f>
        <v>3975</v>
      </c>
      <c r="DP189" s="106">
        <f>+PMGR!DP189+BP!DP189</f>
        <v>3975</v>
      </c>
      <c r="DQ189" s="106">
        <f>+PMGR!DQ189+BP!DQ189</f>
        <v>3975</v>
      </c>
      <c r="DR189" s="106">
        <f>+PMGR!DR189+BP!DR189</f>
        <v>3975</v>
      </c>
      <c r="DS189" s="106">
        <f>+PMGR!DS189+BP!DS189</f>
        <v>3975</v>
      </c>
      <c r="DT189" s="106">
        <f>+PMGR!DT189+BP!DT189</f>
        <v>3975</v>
      </c>
      <c r="DU189" s="106">
        <f t="shared" si="930"/>
        <v>47700</v>
      </c>
      <c r="DV189" s="106"/>
      <c r="DW189" s="106">
        <f>+PMGR!DW189+BP!DW189</f>
        <v>0</v>
      </c>
      <c r="DX189" s="106">
        <f>+PMGR!DX189+BP!DX189</f>
        <v>0</v>
      </c>
      <c r="DY189" s="106">
        <f>+PMGR!DY189+BP!DY189</f>
        <v>0</v>
      </c>
      <c r="DZ189" s="106">
        <f>+PMGR!DZ189+BP!DZ189</f>
        <v>0</v>
      </c>
      <c r="EA189" s="106">
        <f>+PMGR!EA189+BP!EA189</f>
        <v>0</v>
      </c>
      <c r="EB189" s="106">
        <f>+PMGR!EB189+BP!EB189</f>
        <v>0</v>
      </c>
      <c r="EC189" s="106">
        <f>+PMGR!EC189+BP!EC189</f>
        <v>0</v>
      </c>
      <c r="ED189" s="106">
        <f>+PMGR!ED189+BP!ED189</f>
        <v>0</v>
      </c>
      <c r="EE189" s="106">
        <f>+PMGR!EE189+BP!EE189</f>
        <v>0</v>
      </c>
      <c r="EF189" s="106">
        <f>+PMGR!EF189+BP!EF189</f>
        <v>0</v>
      </c>
      <c r="EG189" s="106">
        <f>+PMGR!EG189+BP!EG189</f>
        <v>0</v>
      </c>
      <c r="EH189" s="106">
        <f>+PMGR!EH189+BP!EH189</f>
        <v>0</v>
      </c>
      <c r="EI189" s="106">
        <f t="shared" si="931"/>
        <v>0</v>
      </c>
      <c r="EJ189" s="16" t="str">
        <f t="shared" si="681"/>
        <v>Consultancy Fees</v>
      </c>
      <c r="EK189" s="106">
        <f>+PMGR!EK189+BP!EK189</f>
        <v>0</v>
      </c>
      <c r="EL189" s="106">
        <f>+PMGR!EL189+BP!EL189</f>
        <v>0</v>
      </c>
      <c r="EM189" s="106">
        <f>+PMGR!EM189+BP!EM189</f>
        <v>0</v>
      </c>
      <c r="EN189" s="106">
        <f>+PMGR!EN189+BP!EN189</f>
        <v>0</v>
      </c>
      <c r="EO189" s="106">
        <f>+PMGR!EO189+BP!EO189</f>
        <v>0</v>
      </c>
      <c r="EP189" s="106">
        <f>+PMGR!EP189+BP!EP189</f>
        <v>0</v>
      </c>
      <c r="EQ189" s="106">
        <f>+PMGR!EQ189+BP!EQ189</f>
        <v>0</v>
      </c>
      <c r="ER189" s="106">
        <f>+PMGR!ER189+BP!ER189</f>
        <v>0</v>
      </c>
      <c r="ES189" s="106">
        <f>+PMGR!ES189+BP!ES189</f>
        <v>0</v>
      </c>
      <c r="ET189" s="106">
        <f>+PMGR!ET189+BP!ET189</f>
        <v>0</v>
      </c>
      <c r="EU189" s="106">
        <f>+PMGR!EU189+BP!EU189</f>
        <v>0</v>
      </c>
      <c r="EV189" s="106">
        <f>+PMGR!EV189+BP!EV189</f>
        <v>0</v>
      </c>
      <c r="EW189" s="106">
        <f t="shared" si="932"/>
        <v>0</v>
      </c>
      <c r="EX189" s="118"/>
      <c r="EY189" s="106">
        <f>+PMGR!EY189+BP!EY189</f>
        <v>0</v>
      </c>
      <c r="EZ189" s="106">
        <f>+PMGR!EZ189+BP!EZ189</f>
        <v>0</v>
      </c>
      <c r="FA189" s="106">
        <f>+PMGR!FA189+BP!FA189</f>
        <v>0</v>
      </c>
      <c r="FB189" s="106">
        <f>+PMGR!FB189+BP!FB189</f>
        <v>0</v>
      </c>
      <c r="FC189" s="106">
        <f>+PMGR!FC189+BP!FC189</f>
        <v>0</v>
      </c>
      <c r="FD189" s="106">
        <f>+PMGR!FD189+BP!FD189</f>
        <v>0</v>
      </c>
      <c r="FE189" s="106">
        <f>+PMGR!FE189+BP!FE189</f>
        <v>0</v>
      </c>
      <c r="FF189" s="106">
        <f>+PMGR!FF189+BP!FF189</f>
        <v>0</v>
      </c>
      <c r="FG189" s="106">
        <f>+PMGR!FG189+BP!FG189</f>
        <v>0</v>
      </c>
      <c r="FH189" s="106">
        <f>+PMGR!FH189+BP!FH189</f>
        <v>0</v>
      </c>
      <c r="FI189" s="106">
        <f>+PMGR!FI189+BP!FI189</f>
        <v>0</v>
      </c>
      <c r="FJ189" s="106">
        <f>+PMGR!FJ189+BP!FJ189</f>
        <v>0</v>
      </c>
      <c r="FK189" s="106">
        <f t="shared" si="933"/>
        <v>0</v>
      </c>
    </row>
    <row r="190" spans="1:167" ht="14.45" hidden="1" customHeight="1" outlineLevel="2">
      <c r="A190" s="106">
        <f t="shared" si="919"/>
        <v>0</v>
      </c>
      <c r="B190" s="106">
        <f t="shared" si="919"/>
        <v>0</v>
      </c>
      <c r="C190" s="106">
        <f t="shared" si="919"/>
        <v>0</v>
      </c>
      <c r="D190" s="106">
        <f t="shared" si="919"/>
        <v>0</v>
      </c>
      <c r="E190" s="106">
        <f t="shared" si="919"/>
        <v>0</v>
      </c>
      <c r="F190" s="106">
        <f t="shared" si="919"/>
        <v>0</v>
      </c>
      <c r="G190" s="106">
        <f t="shared" si="919"/>
        <v>7500</v>
      </c>
      <c r="H190" s="106">
        <f t="shared" si="919"/>
        <v>0</v>
      </c>
      <c r="I190" s="106">
        <f t="shared" si="919"/>
        <v>0</v>
      </c>
      <c r="J190" s="106">
        <f t="shared" si="919"/>
        <v>0</v>
      </c>
      <c r="K190" s="106">
        <f t="shared" si="919"/>
        <v>10000</v>
      </c>
      <c r="L190" s="106">
        <f t="shared" si="919"/>
        <v>0</v>
      </c>
      <c r="M190" s="106">
        <f t="shared" si="920"/>
        <v>17500</v>
      </c>
      <c r="N190" s="16" t="s">
        <v>159</v>
      </c>
      <c r="O190" s="106">
        <f t="shared" si="921"/>
        <v>0</v>
      </c>
      <c r="P190" s="106">
        <f t="shared" si="921"/>
        <v>0</v>
      </c>
      <c r="Q190" s="106">
        <f t="shared" si="921"/>
        <v>0</v>
      </c>
      <c r="R190" s="106">
        <f t="shared" si="921"/>
        <v>0</v>
      </c>
      <c r="S190" s="106">
        <f t="shared" si="921"/>
        <v>0</v>
      </c>
      <c r="T190" s="106">
        <f t="shared" si="921"/>
        <v>0</v>
      </c>
      <c r="U190" s="106">
        <f t="shared" si="921"/>
        <v>0</v>
      </c>
      <c r="V190" s="106">
        <f t="shared" si="921"/>
        <v>0</v>
      </c>
      <c r="W190" s="106">
        <f t="shared" si="921"/>
        <v>0</v>
      </c>
      <c r="X190" s="106">
        <f t="shared" si="921"/>
        <v>0</v>
      </c>
      <c r="Y190" s="106">
        <f t="shared" si="921"/>
        <v>0</v>
      </c>
      <c r="Z190" s="106">
        <f t="shared" si="921"/>
        <v>0</v>
      </c>
      <c r="AA190" s="106">
        <f t="shared" si="922"/>
        <v>0</v>
      </c>
      <c r="AB190" s="118"/>
      <c r="AC190" s="106">
        <f t="shared" si="923"/>
        <v>7500.15</v>
      </c>
      <c r="AD190" s="106">
        <f t="shared" si="923"/>
        <v>7500.15</v>
      </c>
      <c r="AE190" s="106">
        <f t="shared" si="923"/>
        <v>7500.15</v>
      </c>
      <c r="AF190" s="106">
        <f t="shared" si="923"/>
        <v>7500.15</v>
      </c>
      <c r="AG190" s="106">
        <f t="shared" si="923"/>
        <v>7500.15</v>
      </c>
      <c r="AH190" s="106">
        <f t="shared" si="923"/>
        <v>7500.15</v>
      </c>
      <c r="AI190" s="106">
        <f t="shared" si="923"/>
        <v>7500.15</v>
      </c>
      <c r="AJ190" s="106">
        <f t="shared" si="923"/>
        <v>7500.15</v>
      </c>
      <c r="AK190" s="106">
        <f t="shared" si="923"/>
        <v>7500.15</v>
      </c>
      <c r="AL190" s="106">
        <f t="shared" si="923"/>
        <v>7500.15</v>
      </c>
      <c r="AM190" s="106">
        <f t="shared" si="923"/>
        <v>7500.15</v>
      </c>
      <c r="AN190" s="106">
        <f t="shared" si="923"/>
        <v>7500.15</v>
      </c>
      <c r="AO190" s="106">
        <f t="shared" si="924"/>
        <v>90001.799999999988</v>
      </c>
      <c r="AP190" s="106"/>
      <c r="AQ190" s="106">
        <f>+PMGR!AQ190+BP!AQ190</f>
        <v>0</v>
      </c>
      <c r="AR190" s="106">
        <f>+PMGR!AR190+BP!AR190</f>
        <v>0</v>
      </c>
      <c r="AS190" s="106">
        <f>+PMGR!AS190+BP!AS190</f>
        <v>0</v>
      </c>
      <c r="AT190" s="106">
        <f>+PMGR!AT190+BP!AT190</f>
        <v>0</v>
      </c>
      <c r="AU190" s="106">
        <f>+PMGR!AU190+BP!AU190</f>
        <v>0</v>
      </c>
      <c r="AV190" s="106">
        <f>+PMGR!AV190+BP!AV190</f>
        <v>0</v>
      </c>
      <c r="AW190" s="106">
        <f>+PMGR!AW190+BP!AW190</f>
        <v>7500</v>
      </c>
      <c r="AX190" s="106">
        <f>+PMGR!AX190+BP!AX190</f>
        <v>0</v>
      </c>
      <c r="AY190" s="106">
        <f>+PMGR!AY190+BP!AY190</f>
        <v>0</v>
      </c>
      <c r="AZ190" s="106">
        <f>+PMGR!AZ190+BP!AZ190</f>
        <v>0</v>
      </c>
      <c r="BA190" s="106">
        <f>+PMGR!BA190+BP!BA190</f>
        <v>10000</v>
      </c>
      <c r="BB190" s="106">
        <f>+PMGR!BB190+BP!BB190</f>
        <v>0</v>
      </c>
      <c r="BC190" s="106">
        <f t="shared" si="925"/>
        <v>17500</v>
      </c>
      <c r="BD190" s="16" t="str">
        <f t="shared" si="671"/>
        <v>Legal Fees</v>
      </c>
      <c r="BE190" s="106">
        <f>+PMGR!BE190+BP!BE190</f>
        <v>0</v>
      </c>
      <c r="BF190" s="106">
        <f>+PMGR!BF190+BP!BF190</f>
        <v>0</v>
      </c>
      <c r="BG190" s="106">
        <f>+PMGR!BG190+BP!BG190</f>
        <v>0</v>
      </c>
      <c r="BH190" s="106">
        <f>+PMGR!BH190+BP!BH190</f>
        <v>0</v>
      </c>
      <c r="BI190" s="106">
        <f>+PMGR!BI190+BP!BI190</f>
        <v>0</v>
      </c>
      <c r="BJ190" s="106">
        <f>+PMGR!BJ190+BP!BJ190</f>
        <v>0</v>
      </c>
      <c r="BK190" s="106">
        <f>+PMGR!BK190+BP!BK190</f>
        <v>0</v>
      </c>
      <c r="BL190" s="106">
        <f>+PMGR!BL190+BP!BL190</f>
        <v>0</v>
      </c>
      <c r="BM190" s="106">
        <f>+PMGR!BM190+BP!BM190</f>
        <v>0</v>
      </c>
      <c r="BN190" s="106">
        <f>+PMGR!BN190+BP!BN190</f>
        <v>0</v>
      </c>
      <c r="BO190" s="106">
        <f>+PMGR!BO190+BP!BO190</f>
        <v>0</v>
      </c>
      <c r="BP190" s="106">
        <f>+PMGR!BP190+BP!BP190</f>
        <v>0</v>
      </c>
      <c r="BQ190" s="106">
        <f t="shared" si="926"/>
        <v>0</v>
      </c>
      <c r="BR190" s="118"/>
      <c r="BS190" s="106">
        <f>+PMGR!BS190+BP!BS190</f>
        <v>5000.0999999999995</v>
      </c>
      <c r="BT190" s="106">
        <f>+PMGR!BT190+BP!BT190</f>
        <v>5000.0999999999995</v>
      </c>
      <c r="BU190" s="106">
        <f>+PMGR!BU190+BP!BU190</f>
        <v>5000.0999999999995</v>
      </c>
      <c r="BV190" s="106">
        <f>+PMGR!BV190+BP!BV190</f>
        <v>5000.0999999999995</v>
      </c>
      <c r="BW190" s="106">
        <f>+PMGR!BW190+BP!BW190</f>
        <v>5000.0999999999995</v>
      </c>
      <c r="BX190" s="106">
        <f>+PMGR!BX190+BP!BX190</f>
        <v>5000.0999999999995</v>
      </c>
      <c r="BY190" s="106">
        <f>+PMGR!BY190+BP!BY190</f>
        <v>5000.0999999999995</v>
      </c>
      <c r="BZ190" s="106">
        <f>+PMGR!BZ190+BP!BZ190</f>
        <v>5000.0999999999995</v>
      </c>
      <c r="CA190" s="106">
        <f>+PMGR!CA190+BP!CA190</f>
        <v>5000.0999999999995</v>
      </c>
      <c r="CB190" s="106">
        <f>+PMGR!CB190+BP!CB190</f>
        <v>5000.0999999999995</v>
      </c>
      <c r="CC190" s="106">
        <f>+PMGR!CC190+BP!CC190</f>
        <v>5000.0999999999995</v>
      </c>
      <c r="CD190" s="106">
        <f>+PMGR!CD190+BP!CD190</f>
        <v>5000.0999999999995</v>
      </c>
      <c r="CE190" s="106">
        <f t="shared" si="927"/>
        <v>60001.19999999999</v>
      </c>
      <c r="CF190" s="106"/>
      <c r="CG190" s="106">
        <f>+PMGR!CG190+BP!CG190</f>
        <v>0</v>
      </c>
      <c r="CH190" s="106">
        <f>+PMGR!CH190+BP!CH190</f>
        <v>0</v>
      </c>
      <c r="CI190" s="106">
        <f>+PMGR!CI190+BP!CI190</f>
        <v>0</v>
      </c>
      <c r="CJ190" s="106">
        <f>+PMGR!CJ190+BP!CJ190</f>
        <v>0</v>
      </c>
      <c r="CK190" s="106">
        <f>+PMGR!CK190+BP!CK190</f>
        <v>0</v>
      </c>
      <c r="CL190" s="106">
        <f>+PMGR!CL190+BP!CL190</f>
        <v>0</v>
      </c>
      <c r="CM190" s="106">
        <f>+PMGR!CM190+BP!CM190</f>
        <v>0</v>
      </c>
      <c r="CN190" s="106">
        <f>+PMGR!CN190+BP!CN190</f>
        <v>0</v>
      </c>
      <c r="CO190" s="106">
        <f>+PMGR!CO190+BP!CO190</f>
        <v>0</v>
      </c>
      <c r="CP190" s="106">
        <f>+PMGR!CP190+BP!CP190</f>
        <v>0</v>
      </c>
      <c r="CQ190" s="106">
        <f>+PMGR!CQ190+BP!CQ190</f>
        <v>0</v>
      </c>
      <c r="CR190" s="106">
        <f>+PMGR!CR190+BP!CR190</f>
        <v>0</v>
      </c>
      <c r="CS190" s="106">
        <f t="shared" si="928"/>
        <v>0</v>
      </c>
      <c r="CT190" s="16" t="str">
        <f t="shared" si="675"/>
        <v>Legal Fees</v>
      </c>
      <c r="CU190" s="106">
        <f>+PMGR!CU190+BP!CU190</f>
        <v>0</v>
      </c>
      <c r="CV190" s="106">
        <f>+PMGR!CV190+BP!CV190</f>
        <v>0</v>
      </c>
      <c r="CW190" s="106">
        <f>+PMGR!CW190+BP!CW190</f>
        <v>0</v>
      </c>
      <c r="CX190" s="106">
        <f>+PMGR!CX190+BP!CX190</f>
        <v>0</v>
      </c>
      <c r="CY190" s="106">
        <f>+PMGR!CY190+BP!CY190</f>
        <v>0</v>
      </c>
      <c r="CZ190" s="106">
        <f>+PMGR!CZ190+BP!CZ190</f>
        <v>0</v>
      </c>
      <c r="DA190" s="106">
        <f>+PMGR!DA190+BP!DA190</f>
        <v>0</v>
      </c>
      <c r="DB190" s="106">
        <f>+PMGR!DB190+BP!DB190</f>
        <v>0</v>
      </c>
      <c r="DC190" s="106">
        <f>+PMGR!DC190+BP!DC190</f>
        <v>0</v>
      </c>
      <c r="DD190" s="106">
        <f>+PMGR!DD190+BP!DD190</f>
        <v>0</v>
      </c>
      <c r="DE190" s="106">
        <f>+PMGR!DE190+BP!DE190</f>
        <v>0</v>
      </c>
      <c r="DF190" s="106">
        <f>+PMGR!DF190+BP!DF190</f>
        <v>0</v>
      </c>
      <c r="DG190" s="106">
        <f t="shared" si="929"/>
        <v>0</v>
      </c>
      <c r="DH190" s="118"/>
      <c r="DI190" s="106">
        <f>+PMGR!DI190+BP!DI190</f>
        <v>2500.0499999999997</v>
      </c>
      <c r="DJ190" s="106">
        <f>+PMGR!DJ190+BP!DJ190</f>
        <v>2500.0499999999997</v>
      </c>
      <c r="DK190" s="106">
        <f>+PMGR!DK190+BP!DK190</f>
        <v>2500.0499999999997</v>
      </c>
      <c r="DL190" s="106">
        <f>+PMGR!DL190+BP!DL190</f>
        <v>2500.0499999999997</v>
      </c>
      <c r="DM190" s="106">
        <f>+PMGR!DM190+BP!DM190</f>
        <v>2500.0499999999997</v>
      </c>
      <c r="DN190" s="106">
        <f>+PMGR!DN190+BP!DN190</f>
        <v>2500.0499999999997</v>
      </c>
      <c r="DO190" s="106">
        <f>+PMGR!DO190+BP!DO190</f>
        <v>2500.0499999999997</v>
      </c>
      <c r="DP190" s="106">
        <f>+PMGR!DP190+BP!DP190</f>
        <v>2500.0499999999997</v>
      </c>
      <c r="DQ190" s="106">
        <f>+PMGR!DQ190+BP!DQ190</f>
        <v>2500.0499999999997</v>
      </c>
      <c r="DR190" s="106">
        <f>+PMGR!DR190+BP!DR190</f>
        <v>2500.0499999999997</v>
      </c>
      <c r="DS190" s="106">
        <f>+PMGR!DS190+BP!DS190</f>
        <v>2500.0499999999997</v>
      </c>
      <c r="DT190" s="106">
        <f>+PMGR!DT190+BP!DT190</f>
        <v>2500.0499999999997</v>
      </c>
      <c r="DU190" s="106">
        <f t="shared" si="930"/>
        <v>30000.599999999995</v>
      </c>
      <c r="DV190" s="106"/>
      <c r="DW190" s="106">
        <f>+PMGR!DW190+BP!DW190</f>
        <v>0</v>
      </c>
      <c r="DX190" s="106">
        <f>+PMGR!DX190+BP!DX190</f>
        <v>0</v>
      </c>
      <c r="DY190" s="106">
        <f>+PMGR!DY190+BP!DY190</f>
        <v>0</v>
      </c>
      <c r="DZ190" s="106">
        <f>+PMGR!DZ190+BP!DZ190</f>
        <v>0</v>
      </c>
      <c r="EA190" s="106">
        <f>+PMGR!EA190+BP!EA190</f>
        <v>0</v>
      </c>
      <c r="EB190" s="106">
        <f>+PMGR!EB190+BP!EB190</f>
        <v>0</v>
      </c>
      <c r="EC190" s="106">
        <f>+PMGR!EC190+BP!EC190</f>
        <v>0</v>
      </c>
      <c r="ED190" s="106">
        <f>+PMGR!ED190+BP!ED190</f>
        <v>0</v>
      </c>
      <c r="EE190" s="106">
        <f>+PMGR!EE190+BP!EE190</f>
        <v>0</v>
      </c>
      <c r="EF190" s="106">
        <f>+PMGR!EF190+BP!EF190</f>
        <v>0</v>
      </c>
      <c r="EG190" s="106">
        <f>+PMGR!EG190+BP!EG190</f>
        <v>0</v>
      </c>
      <c r="EH190" s="106">
        <f>+PMGR!EH190+BP!EH190</f>
        <v>0</v>
      </c>
      <c r="EI190" s="106">
        <f t="shared" si="931"/>
        <v>0</v>
      </c>
      <c r="EJ190" s="16" t="str">
        <f t="shared" si="681"/>
        <v>Legal Fees</v>
      </c>
      <c r="EK190" s="106">
        <f>+PMGR!EK190+BP!EK190</f>
        <v>0</v>
      </c>
      <c r="EL190" s="106">
        <f>+PMGR!EL190+BP!EL190</f>
        <v>0</v>
      </c>
      <c r="EM190" s="106">
        <f>+PMGR!EM190+BP!EM190</f>
        <v>0</v>
      </c>
      <c r="EN190" s="106">
        <f>+PMGR!EN190+BP!EN190</f>
        <v>0</v>
      </c>
      <c r="EO190" s="106">
        <f>+PMGR!EO190+BP!EO190</f>
        <v>0</v>
      </c>
      <c r="EP190" s="106">
        <f>+PMGR!EP190+BP!EP190</f>
        <v>0</v>
      </c>
      <c r="EQ190" s="106">
        <f>+PMGR!EQ190+BP!EQ190</f>
        <v>0</v>
      </c>
      <c r="ER190" s="106">
        <f>+PMGR!ER190+BP!ER190</f>
        <v>0</v>
      </c>
      <c r="ES190" s="106">
        <f>+PMGR!ES190+BP!ES190</f>
        <v>0</v>
      </c>
      <c r="ET190" s="106">
        <f>+PMGR!ET190+BP!ET190</f>
        <v>0</v>
      </c>
      <c r="EU190" s="106">
        <f>+PMGR!EU190+BP!EU190</f>
        <v>0</v>
      </c>
      <c r="EV190" s="106">
        <f>+PMGR!EV190+BP!EV190</f>
        <v>0</v>
      </c>
      <c r="EW190" s="106">
        <f t="shared" si="932"/>
        <v>0</v>
      </c>
      <c r="EX190" s="118"/>
      <c r="EY190" s="106">
        <f>+PMGR!EY190+BP!EY190</f>
        <v>0</v>
      </c>
      <c r="EZ190" s="106">
        <f>+PMGR!EZ190+BP!EZ190</f>
        <v>0</v>
      </c>
      <c r="FA190" s="106">
        <f>+PMGR!FA190+BP!FA190</f>
        <v>0</v>
      </c>
      <c r="FB190" s="106">
        <f>+PMGR!FB190+BP!FB190</f>
        <v>0</v>
      </c>
      <c r="FC190" s="106">
        <f>+PMGR!FC190+BP!FC190</f>
        <v>0</v>
      </c>
      <c r="FD190" s="106">
        <f>+PMGR!FD190+BP!FD190</f>
        <v>0</v>
      </c>
      <c r="FE190" s="106">
        <f>+PMGR!FE190+BP!FE190</f>
        <v>0</v>
      </c>
      <c r="FF190" s="106">
        <f>+PMGR!FF190+BP!FF190</f>
        <v>0</v>
      </c>
      <c r="FG190" s="106">
        <f>+PMGR!FG190+BP!FG190</f>
        <v>0</v>
      </c>
      <c r="FH190" s="106">
        <f>+PMGR!FH190+BP!FH190</f>
        <v>0</v>
      </c>
      <c r="FI190" s="106">
        <f>+PMGR!FI190+BP!FI190</f>
        <v>0</v>
      </c>
      <c r="FJ190" s="106">
        <f>+PMGR!FJ190+BP!FJ190</f>
        <v>0</v>
      </c>
      <c r="FK190" s="106">
        <f t="shared" si="933"/>
        <v>0</v>
      </c>
    </row>
    <row r="191" spans="1:167" ht="14.45" hidden="1" customHeight="1" outlineLevel="2">
      <c r="A191" s="106">
        <f t="shared" si="919"/>
        <v>3749.9999999999986</v>
      </c>
      <c r="B191" s="106">
        <f t="shared" si="919"/>
        <v>3749.9984999999997</v>
      </c>
      <c r="C191" s="106">
        <f t="shared" si="919"/>
        <v>3749.9984999999997</v>
      </c>
      <c r="D191" s="106">
        <f t="shared" si="919"/>
        <v>3749.9984999999997</v>
      </c>
      <c r="E191" s="106">
        <f t="shared" si="919"/>
        <v>3749.9984999999997</v>
      </c>
      <c r="F191" s="106">
        <f t="shared" si="919"/>
        <v>3749.9984999999997</v>
      </c>
      <c r="G191" s="106">
        <f t="shared" si="919"/>
        <v>3749.9984999999997</v>
      </c>
      <c r="H191" s="106">
        <f t="shared" si="919"/>
        <v>3749.8500000000004</v>
      </c>
      <c r="I191" s="106">
        <f t="shared" si="919"/>
        <v>3749.8499999999995</v>
      </c>
      <c r="J191" s="106">
        <f t="shared" si="919"/>
        <v>3749.8500000000004</v>
      </c>
      <c r="K191" s="106">
        <f t="shared" si="919"/>
        <v>3749.8500000000004</v>
      </c>
      <c r="L191" s="106">
        <f t="shared" si="919"/>
        <v>3749.8500000000004</v>
      </c>
      <c r="M191" s="106">
        <f t="shared" si="920"/>
        <v>44999.240999999995</v>
      </c>
      <c r="N191" s="16" t="s">
        <v>160</v>
      </c>
      <c r="O191" s="106">
        <f t="shared" si="921"/>
        <v>150719.85</v>
      </c>
      <c r="P191" s="106">
        <f t="shared" si="921"/>
        <v>47499.85</v>
      </c>
      <c r="Q191" s="106">
        <f t="shared" si="921"/>
        <v>148500</v>
      </c>
      <c r="R191" s="106">
        <f t="shared" si="921"/>
        <v>0</v>
      </c>
      <c r="S191" s="106">
        <f t="shared" si="921"/>
        <v>3749.8500000000004</v>
      </c>
      <c r="T191" s="106">
        <f t="shared" si="921"/>
        <v>3749.8500000000004</v>
      </c>
      <c r="U191" s="106">
        <f t="shared" si="921"/>
        <v>3749.8500000000004</v>
      </c>
      <c r="V191" s="106">
        <f t="shared" si="921"/>
        <v>12000</v>
      </c>
      <c r="W191" s="106">
        <f t="shared" si="921"/>
        <v>0</v>
      </c>
      <c r="X191" s="106">
        <f t="shared" si="921"/>
        <v>3749.8500000000004</v>
      </c>
      <c r="Y191" s="106">
        <f t="shared" si="921"/>
        <v>0</v>
      </c>
      <c r="Z191" s="106">
        <f t="shared" si="921"/>
        <v>0</v>
      </c>
      <c r="AA191" s="106">
        <f t="shared" si="922"/>
        <v>373719.09999999992</v>
      </c>
      <c r="AB191" s="118"/>
      <c r="AC191" s="106">
        <f t="shared" si="923"/>
        <v>7600.0499999999993</v>
      </c>
      <c r="AD191" s="106">
        <f t="shared" si="923"/>
        <v>7600.0499999999993</v>
      </c>
      <c r="AE191" s="106">
        <f t="shared" si="923"/>
        <v>7600.0499999999993</v>
      </c>
      <c r="AF191" s="106">
        <f t="shared" si="923"/>
        <v>7600.0499999999993</v>
      </c>
      <c r="AG191" s="106">
        <f t="shared" si="923"/>
        <v>7600.0499999999993</v>
      </c>
      <c r="AH191" s="106">
        <f t="shared" si="923"/>
        <v>7600.0499999999993</v>
      </c>
      <c r="AI191" s="106">
        <f t="shared" si="923"/>
        <v>7600.0499999999993</v>
      </c>
      <c r="AJ191" s="106">
        <f t="shared" si="923"/>
        <v>7600.0499999999993</v>
      </c>
      <c r="AK191" s="106">
        <f t="shared" si="923"/>
        <v>7600.0499999999993</v>
      </c>
      <c r="AL191" s="106">
        <f t="shared" si="923"/>
        <v>7600.0499999999993</v>
      </c>
      <c r="AM191" s="106">
        <f t="shared" si="923"/>
        <v>7600.0499999999993</v>
      </c>
      <c r="AN191" s="106">
        <f t="shared" si="923"/>
        <v>7600.0499999999993</v>
      </c>
      <c r="AO191" s="106">
        <f t="shared" si="924"/>
        <v>91200.60000000002</v>
      </c>
      <c r="AP191" s="106"/>
      <c r="AQ191" s="106">
        <f>+PMGR!AQ191+BP!AQ191</f>
        <v>2499.9999999999991</v>
      </c>
      <c r="AR191" s="106">
        <f>+PMGR!AR191+BP!AR191</f>
        <v>2499.9989999999998</v>
      </c>
      <c r="AS191" s="106">
        <f>+PMGR!AS191+BP!AS191</f>
        <v>2499.9989999999998</v>
      </c>
      <c r="AT191" s="106">
        <f>+PMGR!AT191+BP!AT191</f>
        <v>2499.9989999999998</v>
      </c>
      <c r="AU191" s="106">
        <f>+PMGR!AU191+BP!AU191</f>
        <v>2499.9989999999998</v>
      </c>
      <c r="AV191" s="106">
        <f>+PMGR!AV191+BP!AV191</f>
        <v>2499.9989999999998</v>
      </c>
      <c r="AW191" s="106">
        <f>+PMGR!AW191+BP!AW191</f>
        <v>2499.9989999999998</v>
      </c>
      <c r="AX191" s="106">
        <f>+PMGR!AX191+BP!AX191</f>
        <v>2499.9</v>
      </c>
      <c r="AY191" s="106">
        <f>+PMGR!AY191+BP!AY191</f>
        <v>2499.8999999999996</v>
      </c>
      <c r="AZ191" s="106">
        <f>+PMGR!AZ191+BP!AZ191</f>
        <v>2499.9</v>
      </c>
      <c r="BA191" s="106">
        <f>+PMGR!BA191+BP!BA191</f>
        <v>2499.9</v>
      </c>
      <c r="BB191" s="106">
        <f>+PMGR!BB191+BP!BB191</f>
        <v>2499.9</v>
      </c>
      <c r="BC191" s="106">
        <f t="shared" si="925"/>
        <v>29999.494000000006</v>
      </c>
      <c r="BD191" s="16" t="str">
        <f t="shared" si="671"/>
        <v>Other Professional Fees</v>
      </c>
      <c r="BE191" s="106">
        <f>+PMGR!BE191+BP!BE191</f>
        <v>2499.9</v>
      </c>
      <c r="BF191" s="106">
        <f>+PMGR!BF191+BP!BF191</f>
        <v>2499.9</v>
      </c>
      <c r="BG191" s="106">
        <f>+PMGR!BG191+BP!BG191</f>
        <v>0</v>
      </c>
      <c r="BH191" s="106">
        <f>+PMGR!BH191+BP!BH191</f>
        <v>0</v>
      </c>
      <c r="BI191" s="106">
        <f>+PMGR!BI191+BP!BI191</f>
        <v>2499.9</v>
      </c>
      <c r="BJ191" s="106">
        <f>+PMGR!BJ191+BP!BJ191</f>
        <v>2499.9</v>
      </c>
      <c r="BK191" s="106">
        <f>+PMGR!BK191+BP!BK191</f>
        <v>2499.9</v>
      </c>
      <c r="BL191" s="106">
        <f>+PMGR!BL191+BP!BL191</f>
        <v>12000</v>
      </c>
      <c r="BM191" s="106">
        <f>+PMGR!BM191+BP!BM191</f>
        <v>0</v>
      </c>
      <c r="BN191" s="106">
        <f>+PMGR!BN191+BP!BN191</f>
        <v>2499.9</v>
      </c>
      <c r="BO191" s="106">
        <f>+PMGR!BO191+BP!BO191</f>
        <v>0</v>
      </c>
      <c r="BP191" s="106">
        <f>+PMGR!BP191+BP!BP191</f>
        <v>0</v>
      </c>
      <c r="BQ191" s="106">
        <f t="shared" si="926"/>
        <v>26999.4</v>
      </c>
      <c r="BR191" s="118"/>
      <c r="BS191" s="106">
        <f>+PMGR!BS191+BP!BS191</f>
        <v>5066.7</v>
      </c>
      <c r="BT191" s="106">
        <f>+PMGR!BT191+BP!BT191</f>
        <v>5066.7</v>
      </c>
      <c r="BU191" s="106">
        <f>+PMGR!BU191+BP!BU191</f>
        <v>5066.7</v>
      </c>
      <c r="BV191" s="106">
        <f>+PMGR!BV191+BP!BV191</f>
        <v>5066.7</v>
      </c>
      <c r="BW191" s="106">
        <f>+PMGR!BW191+BP!BW191</f>
        <v>5066.7</v>
      </c>
      <c r="BX191" s="106">
        <f>+PMGR!BX191+BP!BX191</f>
        <v>5066.7</v>
      </c>
      <c r="BY191" s="106">
        <f>+PMGR!BY191+BP!BY191</f>
        <v>5066.7</v>
      </c>
      <c r="BZ191" s="106">
        <f>+PMGR!BZ191+BP!BZ191</f>
        <v>5066.7</v>
      </c>
      <c r="CA191" s="106">
        <f>+PMGR!CA191+BP!CA191</f>
        <v>5066.7</v>
      </c>
      <c r="CB191" s="106">
        <f>+PMGR!CB191+BP!CB191</f>
        <v>5066.7</v>
      </c>
      <c r="CC191" s="106">
        <f>+PMGR!CC191+BP!CC191</f>
        <v>5066.7</v>
      </c>
      <c r="CD191" s="106">
        <f>+PMGR!CD191+BP!CD191</f>
        <v>5066.7</v>
      </c>
      <c r="CE191" s="106">
        <f t="shared" si="927"/>
        <v>60800.399999999987</v>
      </c>
      <c r="CF191" s="106"/>
      <c r="CG191" s="106">
        <f>+PMGR!CG191+BP!CG191</f>
        <v>1249.9999999999995</v>
      </c>
      <c r="CH191" s="106">
        <f>+PMGR!CH191+BP!CH191</f>
        <v>1249.9994999999999</v>
      </c>
      <c r="CI191" s="106">
        <f>+PMGR!CI191+BP!CI191</f>
        <v>1249.9994999999999</v>
      </c>
      <c r="CJ191" s="106">
        <f>+PMGR!CJ191+BP!CJ191</f>
        <v>1249.9994999999999</v>
      </c>
      <c r="CK191" s="106">
        <f>+PMGR!CK191+BP!CK191</f>
        <v>1249.9994999999999</v>
      </c>
      <c r="CL191" s="106">
        <f>+PMGR!CL191+BP!CL191</f>
        <v>1249.9994999999999</v>
      </c>
      <c r="CM191" s="106">
        <f>+PMGR!CM191+BP!CM191</f>
        <v>1249.9994999999999</v>
      </c>
      <c r="CN191" s="106">
        <f>+PMGR!CN191+BP!CN191</f>
        <v>1249.95</v>
      </c>
      <c r="CO191" s="106">
        <f>+PMGR!CO191+BP!CO191</f>
        <v>1249.9499999999998</v>
      </c>
      <c r="CP191" s="106">
        <f>+PMGR!CP191+BP!CP191</f>
        <v>1249.95</v>
      </c>
      <c r="CQ191" s="106">
        <f>+PMGR!CQ191+BP!CQ191</f>
        <v>1249.95</v>
      </c>
      <c r="CR191" s="106">
        <f>+PMGR!CR191+BP!CR191</f>
        <v>1249.95</v>
      </c>
      <c r="CS191" s="106">
        <f t="shared" si="928"/>
        <v>14999.747000000003</v>
      </c>
      <c r="CT191" s="16" t="str">
        <f t="shared" si="675"/>
        <v>Other Professional Fees</v>
      </c>
      <c r="CU191" s="106">
        <f>+PMGR!CU191+BP!CU191</f>
        <v>1249.95</v>
      </c>
      <c r="CV191" s="106">
        <f>+PMGR!CV191+BP!CV191</f>
        <v>1249.95</v>
      </c>
      <c r="CW191" s="106">
        <f>+PMGR!CW191+BP!CW191</f>
        <v>0</v>
      </c>
      <c r="CX191" s="106">
        <f>+PMGR!CX191+BP!CX191</f>
        <v>0</v>
      </c>
      <c r="CY191" s="106">
        <f>+PMGR!CY191+BP!CY191</f>
        <v>1249.95</v>
      </c>
      <c r="CZ191" s="106">
        <f>+PMGR!CZ191+BP!CZ191</f>
        <v>1249.95</v>
      </c>
      <c r="DA191" s="106">
        <f>+PMGR!DA191+BP!DA191</f>
        <v>1249.95</v>
      </c>
      <c r="DB191" s="106">
        <f>+PMGR!DB191+BP!DB191</f>
        <v>0</v>
      </c>
      <c r="DC191" s="106">
        <f>+PMGR!DC191+BP!DC191</f>
        <v>0</v>
      </c>
      <c r="DD191" s="106">
        <f>+PMGR!DD191+BP!DD191</f>
        <v>1249.95</v>
      </c>
      <c r="DE191" s="106">
        <f>+PMGR!DE191+BP!DE191</f>
        <v>0</v>
      </c>
      <c r="DF191" s="106">
        <f>+PMGR!DF191+BP!DF191</f>
        <v>0</v>
      </c>
      <c r="DG191" s="106">
        <f t="shared" si="929"/>
        <v>7499.7</v>
      </c>
      <c r="DH191" s="118"/>
      <c r="DI191" s="106">
        <f>+PMGR!DI191+BP!DI191</f>
        <v>2533.35</v>
      </c>
      <c r="DJ191" s="106">
        <f>+PMGR!DJ191+BP!DJ191</f>
        <v>2533.35</v>
      </c>
      <c r="DK191" s="106">
        <f>+PMGR!DK191+BP!DK191</f>
        <v>2533.35</v>
      </c>
      <c r="DL191" s="106">
        <f>+PMGR!DL191+BP!DL191</f>
        <v>2533.35</v>
      </c>
      <c r="DM191" s="106">
        <f>+PMGR!DM191+BP!DM191</f>
        <v>2533.35</v>
      </c>
      <c r="DN191" s="106">
        <f>+PMGR!DN191+BP!DN191</f>
        <v>2533.35</v>
      </c>
      <c r="DO191" s="106">
        <f>+PMGR!DO191+BP!DO191</f>
        <v>2533.35</v>
      </c>
      <c r="DP191" s="106">
        <f>+PMGR!DP191+BP!DP191</f>
        <v>2533.35</v>
      </c>
      <c r="DQ191" s="106">
        <f>+PMGR!DQ191+BP!DQ191</f>
        <v>2533.35</v>
      </c>
      <c r="DR191" s="106">
        <f>+PMGR!DR191+BP!DR191</f>
        <v>2533.35</v>
      </c>
      <c r="DS191" s="106">
        <f>+PMGR!DS191+BP!DS191</f>
        <v>2533.35</v>
      </c>
      <c r="DT191" s="106">
        <f>+PMGR!DT191+BP!DT191</f>
        <v>2533.35</v>
      </c>
      <c r="DU191" s="106">
        <f t="shared" si="930"/>
        <v>30400.199999999993</v>
      </c>
      <c r="DV191" s="106"/>
      <c r="DW191" s="106">
        <f>+PMGR!DW191+BP!DW191</f>
        <v>0</v>
      </c>
      <c r="DX191" s="106">
        <f>+PMGR!DX191+BP!DX191</f>
        <v>0</v>
      </c>
      <c r="DY191" s="106">
        <f>+PMGR!DY191+BP!DY191</f>
        <v>0</v>
      </c>
      <c r="DZ191" s="106">
        <f>+PMGR!DZ191+BP!DZ191</f>
        <v>0</v>
      </c>
      <c r="EA191" s="106">
        <f>+PMGR!EA191+BP!EA191</f>
        <v>0</v>
      </c>
      <c r="EB191" s="106">
        <f>+PMGR!EB191+BP!EB191</f>
        <v>0</v>
      </c>
      <c r="EC191" s="106">
        <f>+PMGR!EC191+BP!EC191</f>
        <v>0</v>
      </c>
      <c r="ED191" s="106">
        <f>+PMGR!ED191+BP!ED191</f>
        <v>0</v>
      </c>
      <c r="EE191" s="106">
        <f>+PMGR!EE191+BP!EE191</f>
        <v>0</v>
      </c>
      <c r="EF191" s="106">
        <f>+PMGR!EF191+BP!EF191</f>
        <v>0</v>
      </c>
      <c r="EG191" s="106">
        <f>+PMGR!EG191+BP!EG191</f>
        <v>0</v>
      </c>
      <c r="EH191" s="106">
        <f>+PMGR!EH191+BP!EH191</f>
        <v>0</v>
      </c>
      <c r="EI191" s="106">
        <f t="shared" si="931"/>
        <v>0</v>
      </c>
      <c r="EJ191" s="16" t="str">
        <f t="shared" si="681"/>
        <v>Other Professional Fees</v>
      </c>
      <c r="EK191" s="106">
        <f>+PMGR!EK191+BP!EK191</f>
        <v>146970</v>
      </c>
      <c r="EL191" s="106">
        <f>+PMGR!EL191+BP!EL191</f>
        <v>43750</v>
      </c>
      <c r="EM191" s="106">
        <f>+PMGR!EM191+BP!EM191</f>
        <v>148500</v>
      </c>
      <c r="EN191" s="106">
        <f>+PMGR!EN191+BP!EN191</f>
        <v>0</v>
      </c>
      <c r="EO191" s="106">
        <f>+PMGR!EO191+BP!EO191</f>
        <v>0</v>
      </c>
      <c r="EP191" s="106">
        <f>+PMGR!EP191+BP!EP191</f>
        <v>0</v>
      </c>
      <c r="EQ191" s="106">
        <f>+PMGR!EQ191+BP!EQ191</f>
        <v>0</v>
      </c>
      <c r="ER191" s="106">
        <f>+PMGR!ER191+BP!ER191</f>
        <v>0</v>
      </c>
      <c r="ES191" s="106">
        <f>+PMGR!ES191+BP!ES191</f>
        <v>0</v>
      </c>
      <c r="ET191" s="106">
        <f>+PMGR!ET191+BP!ET191</f>
        <v>0</v>
      </c>
      <c r="EU191" s="106">
        <f>+PMGR!EU191+BP!EU191</f>
        <v>0</v>
      </c>
      <c r="EV191" s="106">
        <f>+PMGR!EV191+BP!EV191</f>
        <v>0</v>
      </c>
      <c r="EW191" s="106">
        <f t="shared" si="932"/>
        <v>339220</v>
      </c>
      <c r="EX191" s="118"/>
      <c r="EY191" s="106">
        <f>+PMGR!EY191+BP!EY191</f>
        <v>0</v>
      </c>
      <c r="EZ191" s="106">
        <f>+PMGR!EZ191+BP!EZ191</f>
        <v>0</v>
      </c>
      <c r="FA191" s="106">
        <f>+PMGR!FA191+BP!FA191</f>
        <v>0</v>
      </c>
      <c r="FB191" s="106">
        <f>+PMGR!FB191+BP!FB191</f>
        <v>0</v>
      </c>
      <c r="FC191" s="106">
        <f>+PMGR!FC191+BP!FC191</f>
        <v>0</v>
      </c>
      <c r="FD191" s="106">
        <f>+PMGR!FD191+BP!FD191</f>
        <v>0</v>
      </c>
      <c r="FE191" s="106">
        <f>+PMGR!FE191+BP!FE191</f>
        <v>0</v>
      </c>
      <c r="FF191" s="106">
        <f>+PMGR!FF191+BP!FF191</f>
        <v>0</v>
      </c>
      <c r="FG191" s="106">
        <f>+PMGR!FG191+BP!FG191</f>
        <v>0</v>
      </c>
      <c r="FH191" s="106">
        <f>+PMGR!FH191+BP!FH191</f>
        <v>0</v>
      </c>
      <c r="FI191" s="106">
        <f>+PMGR!FI191+BP!FI191</f>
        <v>0</v>
      </c>
      <c r="FJ191" s="106">
        <f>+PMGR!FJ191+BP!FJ191</f>
        <v>0</v>
      </c>
      <c r="FK191" s="106">
        <f t="shared" si="933"/>
        <v>0</v>
      </c>
    </row>
    <row r="192" spans="1:167" ht="14.45" hidden="1" customHeight="1" outlineLevel="2">
      <c r="A192" s="106">
        <f t="shared" si="919"/>
        <v>0</v>
      </c>
      <c r="B192" s="106">
        <f t="shared" si="919"/>
        <v>0</v>
      </c>
      <c r="C192" s="106">
        <f t="shared" si="919"/>
        <v>0</v>
      </c>
      <c r="D192" s="106">
        <f t="shared" si="919"/>
        <v>0</v>
      </c>
      <c r="E192" s="106">
        <f t="shared" si="919"/>
        <v>0</v>
      </c>
      <c r="F192" s="106">
        <f t="shared" si="919"/>
        <v>0</v>
      </c>
      <c r="G192" s="106">
        <f t="shared" si="919"/>
        <v>0</v>
      </c>
      <c r="H192" s="106">
        <f t="shared" si="919"/>
        <v>0</v>
      </c>
      <c r="I192" s="106">
        <f t="shared" si="919"/>
        <v>0</v>
      </c>
      <c r="J192" s="106">
        <f t="shared" si="919"/>
        <v>0</v>
      </c>
      <c r="K192" s="106">
        <f t="shared" si="919"/>
        <v>0</v>
      </c>
      <c r="L192" s="106">
        <f t="shared" si="919"/>
        <v>0</v>
      </c>
      <c r="M192" s="106">
        <f t="shared" si="920"/>
        <v>0</v>
      </c>
      <c r="N192" s="16" t="s">
        <v>161</v>
      </c>
      <c r="O192" s="106">
        <f t="shared" si="921"/>
        <v>0</v>
      </c>
      <c r="P192" s="106">
        <f t="shared" si="921"/>
        <v>0</v>
      </c>
      <c r="Q192" s="106">
        <f t="shared" si="921"/>
        <v>0</v>
      </c>
      <c r="R192" s="106">
        <f t="shared" si="921"/>
        <v>0</v>
      </c>
      <c r="S192" s="106">
        <f t="shared" si="921"/>
        <v>0</v>
      </c>
      <c r="T192" s="106">
        <f t="shared" si="921"/>
        <v>0</v>
      </c>
      <c r="U192" s="106">
        <f t="shared" si="921"/>
        <v>0</v>
      </c>
      <c r="V192" s="106">
        <f t="shared" si="921"/>
        <v>0</v>
      </c>
      <c r="W192" s="106">
        <f t="shared" si="921"/>
        <v>0</v>
      </c>
      <c r="X192" s="106">
        <f t="shared" si="921"/>
        <v>0</v>
      </c>
      <c r="Y192" s="106">
        <f t="shared" si="921"/>
        <v>0</v>
      </c>
      <c r="Z192" s="106">
        <f t="shared" si="921"/>
        <v>0</v>
      </c>
      <c r="AA192" s="106">
        <f t="shared" si="922"/>
        <v>0</v>
      </c>
      <c r="AB192" s="118"/>
      <c r="AC192" s="106">
        <f t="shared" si="923"/>
        <v>0</v>
      </c>
      <c r="AD192" s="106">
        <f t="shared" si="923"/>
        <v>0</v>
      </c>
      <c r="AE192" s="106">
        <f t="shared" si="923"/>
        <v>0</v>
      </c>
      <c r="AF192" s="106">
        <f t="shared" si="923"/>
        <v>0</v>
      </c>
      <c r="AG192" s="106">
        <f t="shared" si="923"/>
        <v>0</v>
      </c>
      <c r="AH192" s="106">
        <f t="shared" si="923"/>
        <v>0</v>
      </c>
      <c r="AI192" s="106">
        <f t="shared" si="923"/>
        <v>0</v>
      </c>
      <c r="AJ192" s="106">
        <f t="shared" si="923"/>
        <v>0</v>
      </c>
      <c r="AK192" s="106">
        <f t="shared" si="923"/>
        <v>0</v>
      </c>
      <c r="AL192" s="106">
        <f t="shared" si="923"/>
        <v>0</v>
      </c>
      <c r="AM192" s="106">
        <f t="shared" si="923"/>
        <v>0</v>
      </c>
      <c r="AN192" s="106">
        <f t="shared" si="923"/>
        <v>0</v>
      </c>
      <c r="AO192" s="106">
        <f t="shared" si="924"/>
        <v>0</v>
      </c>
      <c r="AP192" s="106"/>
      <c r="AQ192" s="106">
        <f>+PMGR!AQ192+BP!AQ192</f>
        <v>0</v>
      </c>
      <c r="AR192" s="106">
        <f>+PMGR!AR192+BP!AR192</f>
        <v>0</v>
      </c>
      <c r="AS192" s="106">
        <f>+PMGR!AS192+BP!AS192</f>
        <v>0</v>
      </c>
      <c r="AT192" s="106">
        <f>+PMGR!AT192+BP!AT192</f>
        <v>0</v>
      </c>
      <c r="AU192" s="106">
        <f>+PMGR!AU192+BP!AU192</f>
        <v>0</v>
      </c>
      <c r="AV192" s="106">
        <f>+PMGR!AV192+BP!AV192</f>
        <v>0</v>
      </c>
      <c r="AW192" s="106">
        <f>+PMGR!AW192+BP!AW192</f>
        <v>0</v>
      </c>
      <c r="AX192" s="106">
        <f>+PMGR!AX192+BP!AX192</f>
        <v>0</v>
      </c>
      <c r="AY192" s="106">
        <f>+PMGR!AY192+BP!AY192</f>
        <v>0</v>
      </c>
      <c r="AZ192" s="106">
        <f>+PMGR!AZ192+BP!AZ192</f>
        <v>0</v>
      </c>
      <c r="BA192" s="106">
        <f>+PMGR!BA192+BP!BA192</f>
        <v>0</v>
      </c>
      <c r="BB192" s="106">
        <f>+PMGR!BB192+BP!BB192</f>
        <v>0</v>
      </c>
      <c r="BC192" s="106">
        <f t="shared" si="925"/>
        <v>0</v>
      </c>
      <c r="BD192" s="16" t="str">
        <f t="shared" si="671"/>
        <v>Professional Fee - Trainer</v>
      </c>
      <c r="BE192" s="106">
        <f>+PMGR!BE192+BP!BE192</f>
        <v>0</v>
      </c>
      <c r="BF192" s="106">
        <f>+PMGR!BF192+BP!BF192</f>
        <v>0</v>
      </c>
      <c r="BG192" s="106">
        <f>+PMGR!BG192+BP!BG192</f>
        <v>0</v>
      </c>
      <c r="BH192" s="106">
        <f>+PMGR!BH192+BP!BH192</f>
        <v>0</v>
      </c>
      <c r="BI192" s="106">
        <f>+PMGR!BI192+BP!BI192</f>
        <v>0</v>
      </c>
      <c r="BJ192" s="106">
        <f>+PMGR!BJ192+BP!BJ192</f>
        <v>0</v>
      </c>
      <c r="BK192" s="106">
        <f>+PMGR!BK192+BP!BK192</f>
        <v>0</v>
      </c>
      <c r="BL192" s="106">
        <f>+PMGR!BL192+BP!BL192</f>
        <v>0</v>
      </c>
      <c r="BM192" s="106">
        <f>+PMGR!BM192+BP!BM192</f>
        <v>0</v>
      </c>
      <c r="BN192" s="106">
        <f>+PMGR!BN192+BP!BN192</f>
        <v>0</v>
      </c>
      <c r="BO192" s="106">
        <f>+PMGR!BO192+BP!BO192</f>
        <v>0</v>
      </c>
      <c r="BP192" s="106">
        <f>+PMGR!BP192+BP!BP192</f>
        <v>0</v>
      </c>
      <c r="BQ192" s="106">
        <f t="shared" si="926"/>
        <v>0</v>
      </c>
      <c r="BR192" s="118"/>
      <c r="BS192" s="106">
        <f>+PMGR!BS192+BP!BS192</f>
        <v>0</v>
      </c>
      <c r="BT192" s="106">
        <f>+PMGR!BT192+BP!BT192</f>
        <v>0</v>
      </c>
      <c r="BU192" s="106">
        <f>+PMGR!BU192+BP!BU192</f>
        <v>0</v>
      </c>
      <c r="BV192" s="106">
        <f>+PMGR!BV192+BP!BV192</f>
        <v>0</v>
      </c>
      <c r="BW192" s="106">
        <f>+PMGR!BW192+BP!BW192</f>
        <v>0</v>
      </c>
      <c r="BX192" s="106">
        <f>+PMGR!BX192+BP!BX192</f>
        <v>0</v>
      </c>
      <c r="BY192" s="106">
        <f>+PMGR!BY192+BP!BY192</f>
        <v>0</v>
      </c>
      <c r="BZ192" s="106">
        <f>+PMGR!BZ192+BP!BZ192</f>
        <v>0</v>
      </c>
      <c r="CA192" s="106">
        <f>+PMGR!CA192+BP!CA192</f>
        <v>0</v>
      </c>
      <c r="CB192" s="106">
        <f>+PMGR!CB192+BP!CB192</f>
        <v>0</v>
      </c>
      <c r="CC192" s="106">
        <f>+PMGR!CC192+BP!CC192</f>
        <v>0</v>
      </c>
      <c r="CD192" s="106">
        <f>+PMGR!CD192+BP!CD192</f>
        <v>0</v>
      </c>
      <c r="CE192" s="106">
        <f t="shared" si="927"/>
        <v>0</v>
      </c>
      <c r="CF192" s="106"/>
      <c r="CG192" s="106">
        <f>+PMGR!CG192+BP!CG192</f>
        <v>0</v>
      </c>
      <c r="CH192" s="106">
        <f>+PMGR!CH192+BP!CH192</f>
        <v>0</v>
      </c>
      <c r="CI192" s="106">
        <f>+PMGR!CI192+BP!CI192</f>
        <v>0</v>
      </c>
      <c r="CJ192" s="106">
        <f>+PMGR!CJ192+BP!CJ192</f>
        <v>0</v>
      </c>
      <c r="CK192" s="106">
        <f>+PMGR!CK192+BP!CK192</f>
        <v>0</v>
      </c>
      <c r="CL192" s="106">
        <f>+PMGR!CL192+BP!CL192</f>
        <v>0</v>
      </c>
      <c r="CM192" s="106">
        <f>+PMGR!CM192+BP!CM192</f>
        <v>0</v>
      </c>
      <c r="CN192" s="106">
        <f>+PMGR!CN192+BP!CN192</f>
        <v>0</v>
      </c>
      <c r="CO192" s="106">
        <f>+PMGR!CO192+BP!CO192</f>
        <v>0</v>
      </c>
      <c r="CP192" s="106">
        <f>+PMGR!CP192+BP!CP192</f>
        <v>0</v>
      </c>
      <c r="CQ192" s="106">
        <f>+PMGR!CQ192+BP!CQ192</f>
        <v>0</v>
      </c>
      <c r="CR192" s="106">
        <f>+PMGR!CR192+BP!CR192</f>
        <v>0</v>
      </c>
      <c r="CS192" s="106">
        <f t="shared" si="928"/>
        <v>0</v>
      </c>
      <c r="CT192" s="16" t="str">
        <f t="shared" si="675"/>
        <v>Professional Fee - Trainer</v>
      </c>
      <c r="CU192" s="106">
        <f>+PMGR!CU192+BP!CU192</f>
        <v>0</v>
      </c>
      <c r="CV192" s="106">
        <f>+PMGR!CV192+BP!CV192</f>
        <v>0</v>
      </c>
      <c r="CW192" s="106">
        <f>+PMGR!CW192+BP!CW192</f>
        <v>0</v>
      </c>
      <c r="CX192" s="106">
        <f>+PMGR!CX192+BP!CX192</f>
        <v>0</v>
      </c>
      <c r="CY192" s="106">
        <f>+PMGR!CY192+BP!CY192</f>
        <v>0</v>
      </c>
      <c r="CZ192" s="106">
        <f>+PMGR!CZ192+BP!CZ192</f>
        <v>0</v>
      </c>
      <c r="DA192" s="106">
        <f>+PMGR!DA192+BP!DA192</f>
        <v>0</v>
      </c>
      <c r="DB192" s="106">
        <f>+PMGR!DB192+BP!DB192</f>
        <v>0</v>
      </c>
      <c r="DC192" s="106">
        <f>+PMGR!DC192+BP!DC192</f>
        <v>0</v>
      </c>
      <c r="DD192" s="106">
        <f>+PMGR!DD192+BP!DD192</f>
        <v>0</v>
      </c>
      <c r="DE192" s="106">
        <f>+PMGR!DE192+BP!DE192</f>
        <v>0</v>
      </c>
      <c r="DF192" s="106">
        <f>+PMGR!DF192+BP!DF192</f>
        <v>0</v>
      </c>
      <c r="DG192" s="106">
        <f t="shared" si="929"/>
        <v>0</v>
      </c>
      <c r="DH192" s="118"/>
      <c r="DI192" s="106">
        <f>+PMGR!DI192+BP!DI192</f>
        <v>0</v>
      </c>
      <c r="DJ192" s="106">
        <f>+PMGR!DJ192+BP!DJ192</f>
        <v>0</v>
      </c>
      <c r="DK192" s="106">
        <f>+PMGR!DK192+BP!DK192</f>
        <v>0</v>
      </c>
      <c r="DL192" s="106">
        <f>+PMGR!DL192+BP!DL192</f>
        <v>0</v>
      </c>
      <c r="DM192" s="106">
        <f>+PMGR!DM192+BP!DM192</f>
        <v>0</v>
      </c>
      <c r="DN192" s="106">
        <f>+PMGR!DN192+BP!DN192</f>
        <v>0</v>
      </c>
      <c r="DO192" s="106">
        <f>+PMGR!DO192+BP!DO192</f>
        <v>0</v>
      </c>
      <c r="DP192" s="106">
        <f>+PMGR!DP192+BP!DP192</f>
        <v>0</v>
      </c>
      <c r="DQ192" s="106">
        <f>+PMGR!DQ192+BP!DQ192</f>
        <v>0</v>
      </c>
      <c r="DR192" s="106">
        <f>+PMGR!DR192+BP!DR192</f>
        <v>0</v>
      </c>
      <c r="DS192" s="106">
        <f>+PMGR!DS192+BP!DS192</f>
        <v>0</v>
      </c>
      <c r="DT192" s="106">
        <f>+PMGR!DT192+BP!DT192</f>
        <v>0</v>
      </c>
      <c r="DU192" s="106">
        <f t="shared" si="930"/>
        <v>0</v>
      </c>
      <c r="DV192" s="106"/>
      <c r="DW192" s="106">
        <f>+PMGR!DW192+BP!DW192</f>
        <v>0</v>
      </c>
      <c r="DX192" s="106">
        <f>+PMGR!DX192+BP!DX192</f>
        <v>0</v>
      </c>
      <c r="DY192" s="106">
        <f>+PMGR!DY192+BP!DY192</f>
        <v>0</v>
      </c>
      <c r="DZ192" s="106">
        <f>+PMGR!DZ192+BP!DZ192</f>
        <v>0</v>
      </c>
      <c r="EA192" s="106">
        <f>+PMGR!EA192+BP!EA192</f>
        <v>0</v>
      </c>
      <c r="EB192" s="106">
        <f>+PMGR!EB192+BP!EB192</f>
        <v>0</v>
      </c>
      <c r="EC192" s="106">
        <f>+PMGR!EC192+BP!EC192</f>
        <v>0</v>
      </c>
      <c r="ED192" s="106">
        <f>+PMGR!ED192+BP!ED192</f>
        <v>0</v>
      </c>
      <c r="EE192" s="106">
        <f>+PMGR!EE192+BP!EE192</f>
        <v>0</v>
      </c>
      <c r="EF192" s="106">
        <f>+PMGR!EF192+BP!EF192</f>
        <v>0</v>
      </c>
      <c r="EG192" s="106">
        <f>+PMGR!EG192+BP!EG192</f>
        <v>0</v>
      </c>
      <c r="EH192" s="106">
        <f>+PMGR!EH192+BP!EH192</f>
        <v>0</v>
      </c>
      <c r="EI192" s="106">
        <f t="shared" si="931"/>
        <v>0</v>
      </c>
      <c r="EJ192" s="16" t="str">
        <f t="shared" si="681"/>
        <v>Professional Fee - Trainer</v>
      </c>
      <c r="EK192" s="106">
        <f>+PMGR!EK192+BP!EK192</f>
        <v>0</v>
      </c>
      <c r="EL192" s="106">
        <f>+PMGR!EL192+BP!EL192</f>
        <v>0</v>
      </c>
      <c r="EM192" s="106">
        <f>+PMGR!EM192+BP!EM192</f>
        <v>0</v>
      </c>
      <c r="EN192" s="106">
        <f>+PMGR!EN192+BP!EN192</f>
        <v>0</v>
      </c>
      <c r="EO192" s="106">
        <f>+PMGR!EO192+BP!EO192</f>
        <v>0</v>
      </c>
      <c r="EP192" s="106">
        <f>+PMGR!EP192+BP!EP192</f>
        <v>0</v>
      </c>
      <c r="EQ192" s="106">
        <f>+PMGR!EQ192+BP!EQ192</f>
        <v>0</v>
      </c>
      <c r="ER192" s="106">
        <f>+PMGR!ER192+BP!ER192</f>
        <v>0</v>
      </c>
      <c r="ES192" s="106">
        <f>+PMGR!ES192+BP!ES192</f>
        <v>0</v>
      </c>
      <c r="ET192" s="106">
        <f>+PMGR!ET192+BP!ET192</f>
        <v>0</v>
      </c>
      <c r="EU192" s="106">
        <f>+PMGR!EU192+BP!EU192</f>
        <v>0</v>
      </c>
      <c r="EV192" s="106">
        <f>+PMGR!EV192+BP!EV192</f>
        <v>0</v>
      </c>
      <c r="EW192" s="106">
        <f t="shared" si="932"/>
        <v>0</v>
      </c>
      <c r="EX192" s="118"/>
      <c r="EY192" s="106">
        <f>+PMGR!EY192+BP!EY192</f>
        <v>0</v>
      </c>
      <c r="EZ192" s="106">
        <f>+PMGR!EZ192+BP!EZ192</f>
        <v>0</v>
      </c>
      <c r="FA192" s="106">
        <f>+PMGR!FA192+BP!FA192</f>
        <v>0</v>
      </c>
      <c r="FB192" s="106">
        <f>+PMGR!FB192+BP!FB192</f>
        <v>0</v>
      </c>
      <c r="FC192" s="106">
        <f>+PMGR!FC192+BP!FC192</f>
        <v>0</v>
      </c>
      <c r="FD192" s="106">
        <f>+PMGR!FD192+BP!FD192</f>
        <v>0</v>
      </c>
      <c r="FE192" s="106">
        <f>+PMGR!FE192+BP!FE192</f>
        <v>0</v>
      </c>
      <c r="FF192" s="106">
        <f>+PMGR!FF192+BP!FF192</f>
        <v>0</v>
      </c>
      <c r="FG192" s="106">
        <f>+PMGR!FG192+BP!FG192</f>
        <v>0</v>
      </c>
      <c r="FH192" s="106">
        <f>+PMGR!FH192+BP!FH192</f>
        <v>0</v>
      </c>
      <c r="FI192" s="106">
        <f>+PMGR!FI192+BP!FI192</f>
        <v>0</v>
      </c>
      <c r="FJ192" s="106">
        <f>+PMGR!FJ192+BP!FJ192</f>
        <v>0</v>
      </c>
      <c r="FK192" s="106">
        <f t="shared" si="933"/>
        <v>0</v>
      </c>
    </row>
    <row r="193" spans="1:167" ht="14.45" customHeight="1" outlineLevel="1" collapsed="1">
      <c r="A193" s="58">
        <f t="shared" ref="A193:L193" si="934">+SUM(A194:A204)</f>
        <v>97853.878499999992</v>
      </c>
      <c r="B193" s="58">
        <f t="shared" si="934"/>
        <v>174108.33850000001</v>
      </c>
      <c r="C193" s="58">
        <f t="shared" si="934"/>
        <v>126795.249</v>
      </c>
      <c r="D193" s="58">
        <f t="shared" si="934"/>
        <v>65090.525000000001</v>
      </c>
      <c r="E193" s="58">
        <f t="shared" si="934"/>
        <v>84028.837</v>
      </c>
      <c r="F193" s="58">
        <f t="shared" si="934"/>
        <v>89483.068500000008</v>
      </c>
      <c r="G193" s="58">
        <f t="shared" si="934"/>
        <v>113860.42899999999</v>
      </c>
      <c r="H193" s="58">
        <f t="shared" si="934"/>
        <v>89909.728000000003</v>
      </c>
      <c r="I193" s="58">
        <f t="shared" si="934"/>
        <v>99730.996999999988</v>
      </c>
      <c r="J193" s="58">
        <f t="shared" si="934"/>
        <v>91287.328500000003</v>
      </c>
      <c r="K193" s="58">
        <f t="shared" si="934"/>
        <v>130435.601</v>
      </c>
      <c r="L193" s="58">
        <f t="shared" si="934"/>
        <v>647864.35999999987</v>
      </c>
      <c r="M193" s="58"/>
      <c r="N193" s="20" t="s">
        <v>162</v>
      </c>
      <c r="O193" s="58">
        <f t="shared" ref="O193:AA193" si="935">+SUM(O194:O204)</f>
        <v>282600.09983333334</v>
      </c>
      <c r="P193" s="58">
        <f t="shared" si="935"/>
        <v>213414.96950000001</v>
      </c>
      <c r="Q193" s="58">
        <f t="shared" si="935"/>
        <v>187333.56583333336</v>
      </c>
      <c r="R193" s="58">
        <f t="shared" si="935"/>
        <v>298220.78049999994</v>
      </c>
      <c r="S193" s="58">
        <f t="shared" si="935"/>
        <v>177419.62949999998</v>
      </c>
      <c r="T193" s="58">
        <f t="shared" si="935"/>
        <v>156528.50500000003</v>
      </c>
      <c r="U193" s="58">
        <f t="shared" si="935"/>
        <v>489912.68426543206</v>
      </c>
      <c r="V193" s="58">
        <f t="shared" si="935"/>
        <v>196117.13949999996</v>
      </c>
      <c r="W193" s="58">
        <f t="shared" si="935"/>
        <v>155362.96099999998</v>
      </c>
      <c r="X193" s="58">
        <f t="shared" si="935"/>
        <v>179663.33299999998</v>
      </c>
      <c r="Y193" s="58">
        <f t="shared" si="935"/>
        <v>0</v>
      </c>
      <c r="Z193" s="58">
        <f t="shared" si="935"/>
        <v>0</v>
      </c>
      <c r="AA193" s="58">
        <f t="shared" si="935"/>
        <v>2336573.6679320983</v>
      </c>
      <c r="AB193" s="118"/>
      <c r="AC193" s="58">
        <f t="shared" ref="AC193:AN193" si="936">+SUM(AC194:AC204)</f>
        <v>143879.80900000001</v>
      </c>
      <c r="AD193" s="58">
        <f t="shared" si="936"/>
        <v>143879.80899999998</v>
      </c>
      <c r="AE193" s="58">
        <f t="shared" si="936"/>
        <v>143879.80899999998</v>
      </c>
      <c r="AF193" s="58">
        <f t="shared" si="936"/>
        <v>143879.80899999998</v>
      </c>
      <c r="AG193" s="58">
        <f t="shared" si="936"/>
        <v>143879.80899999998</v>
      </c>
      <c r="AH193" s="58">
        <f t="shared" si="936"/>
        <v>143879.80899999998</v>
      </c>
      <c r="AI193" s="58">
        <f t="shared" si="936"/>
        <v>143879.80899999998</v>
      </c>
      <c r="AJ193" s="58">
        <f t="shared" si="936"/>
        <v>143879.80899999998</v>
      </c>
      <c r="AK193" s="58">
        <f t="shared" si="936"/>
        <v>143879.80899999998</v>
      </c>
      <c r="AL193" s="58">
        <f t="shared" si="936"/>
        <v>143879.80899999998</v>
      </c>
      <c r="AM193" s="58">
        <f t="shared" si="936"/>
        <v>143879.80899999998</v>
      </c>
      <c r="AN193" s="58">
        <f t="shared" si="936"/>
        <v>143879.80899999998</v>
      </c>
      <c r="AO193" s="58"/>
      <c r="AP193" s="106"/>
      <c r="AQ193" s="58">
        <f t="shared" ref="AQ193:BC193" si="937">+SUM(AQ194:AQ204)</f>
        <v>75121.678999999989</v>
      </c>
      <c r="AR193" s="58">
        <f t="shared" si="937"/>
        <v>156005.139</v>
      </c>
      <c r="AS193" s="58">
        <f t="shared" si="937"/>
        <v>106359.75599999998</v>
      </c>
      <c r="AT193" s="58">
        <f t="shared" si="937"/>
        <v>50594.44</v>
      </c>
      <c r="AU193" s="58">
        <f t="shared" si="937"/>
        <v>58176.568000000007</v>
      </c>
      <c r="AV193" s="58">
        <f t="shared" si="937"/>
        <v>70215.119000000006</v>
      </c>
      <c r="AW193" s="58">
        <f t="shared" si="937"/>
        <v>79443.696000000011</v>
      </c>
      <c r="AX193" s="58">
        <f t="shared" si="937"/>
        <v>73771.261999999988</v>
      </c>
      <c r="AY193" s="58">
        <f t="shared" si="937"/>
        <v>78368.757999999987</v>
      </c>
      <c r="AZ193" s="58">
        <f t="shared" si="937"/>
        <v>70976.399000000005</v>
      </c>
      <c r="BA193" s="58">
        <f t="shared" si="937"/>
        <v>106823.424</v>
      </c>
      <c r="BB193" s="58">
        <f t="shared" si="937"/>
        <v>629797.86</v>
      </c>
      <c r="BC193" s="58">
        <f t="shared" si="937"/>
        <v>1555654.0999999999</v>
      </c>
      <c r="BD193" s="20" t="str">
        <f t="shared" si="671"/>
        <v>General Expenses</v>
      </c>
      <c r="BE193" s="58">
        <f t="shared" ref="BE193:BQ193" si="938">+SUM(BE194:BE204)</f>
        <v>111623.17766666668</v>
      </c>
      <c r="BF193" s="58">
        <f t="shared" si="938"/>
        <v>40580.853000000003</v>
      </c>
      <c r="BG193" s="58">
        <f t="shared" si="938"/>
        <v>74934.891666666692</v>
      </c>
      <c r="BH193" s="58">
        <f t="shared" si="938"/>
        <v>205600.59700000001</v>
      </c>
      <c r="BI193" s="58">
        <f t="shared" si="938"/>
        <v>67780.432000000001</v>
      </c>
      <c r="BJ193" s="58">
        <f t="shared" si="938"/>
        <v>99816.480000000025</v>
      </c>
      <c r="BK193" s="58">
        <f t="shared" si="938"/>
        <v>89806.759065843609</v>
      </c>
      <c r="BL193" s="58">
        <f t="shared" si="938"/>
        <v>71626.053000000014</v>
      </c>
      <c r="BM193" s="58">
        <f t="shared" si="938"/>
        <v>75855.303999999989</v>
      </c>
      <c r="BN193" s="58">
        <f t="shared" si="938"/>
        <v>84657.052000000011</v>
      </c>
      <c r="BO193" s="58">
        <f t="shared" si="938"/>
        <v>0</v>
      </c>
      <c r="BP193" s="58">
        <f t="shared" si="938"/>
        <v>0</v>
      </c>
      <c r="BQ193" s="58">
        <f t="shared" si="938"/>
        <v>922281.59939917724</v>
      </c>
      <c r="BR193" s="118"/>
      <c r="BS193" s="58">
        <f t="shared" ref="BS193:CE193" si="939">+SUM(BS194:BS204)</f>
        <v>55477.166666666672</v>
      </c>
      <c r="BT193" s="58">
        <f t="shared" si="939"/>
        <v>55477.166666666672</v>
      </c>
      <c r="BU193" s="58">
        <f t="shared" si="939"/>
        <v>55477.166666666672</v>
      </c>
      <c r="BV193" s="58">
        <f t="shared" si="939"/>
        <v>55477.166666666672</v>
      </c>
      <c r="BW193" s="58">
        <f t="shared" si="939"/>
        <v>55477.166666666672</v>
      </c>
      <c r="BX193" s="58">
        <f t="shared" si="939"/>
        <v>55477.166666666672</v>
      </c>
      <c r="BY193" s="58">
        <f t="shared" si="939"/>
        <v>55477.166666666672</v>
      </c>
      <c r="BZ193" s="58">
        <f t="shared" si="939"/>
        <v>55477.166666666672</v>
      </c>
      <c r="CA193" s="58">
        <f t="shared" si="939"/>
        <v>55477.166666666672</v>
      </c>
      <c r="CB193" s="58">
        <f t="shared" si="939"/>
        <v>55477.166666666672</v>
      </c>
      <c r="CC193" s="58">
        <f t="shared" si="939"/>
        <v>55477.166666666672</v>
      </c>
      <c r="CD193" s="58">
        <f t="shared" si="939"/>
        <v>55477.166666666672</v>
      </c>
      <c r="CE193" s="58">
        <f t="shared" si="939"/>
        <v>665726</v>
      </c>
      <c r="CF193" s="106"/>
      <c r="CG193" s="58">
        <f t="shared" ref="CG193:CS193" si="940">+SUM(CG194:CG204)</f>
        <v>22732.199499999999</v>
      </c>
      <c r="CH193" s="58">
        <f t="shared" si="940"/>
        <v>18103.199499999999</v>
      </c>
      <c r="CI193" s="58">
        <f t="shared" si="940"/>
        <v>20435.493000000002</v>
      </c>
      <c r="CJ193" s="58">
        <f t="shared" si="940"/>
        <v>14496.084999999999</v>
      </c>
      <c r="CK193" s="58">
        <f t="shared" si="940"/>
        <v>25852.268999999997</v>
      </c>
      <c r="CL193" s="58">
        <f t="shared" si="940"/>
        <v>19267.949500000002</v>
      </c>
      <c r="CM193" s="58">
        <f t="shared" si="940"/>
        <v>34416.733</v>
      </c>
      <c r="CN193" s="58">
        <f t="shared" si="940"/>
        <v>16138.466</v>
      </c>
      <c r="CO193" s="58">
        <f t="shared" si="940"/>
        <v>21362.238999999998</v>
      </c>
      <c r="CP193" s="58">
        <f t="shared" si="940"/>
        <v>20310.929500000002</v>
      </c>
      <c r="CQ193" s="58">
        <f t="shared" si="940"/>
        <v>23612.177000000003</v>
      </c>
      <c r="CR193" s="58">
        <f t="shared" si="940"/>
        <v>18066.5</v>
      </c>
      <c r="CS193" s="58">
        <f t="shared" si="940"/>
        <v>254794.23999999996</v>
      </c>
      <c r="CT193" s="20" t="str">
        <f t="shared" si="675"/>
        <v>General Expenses</v>
      </c>
      <c r="CU193" s="58">
        <f t="shared" ref="CU193:DG193" si="941">+SUM(CU194:CU204)</f>
        <v>39647.002166666665</v>
      </c>
      <c r="CV193" s="58">
        <f t="shared" si="941"/>
        <v>8849.3165000000008</v>
      </c>
      <c r="CW193" s="58">
        <f t="shared" si="941"/>
        <v>15258.86416666667</v>
      </c>
      <c r="CX193" s="58">
        <f t="shared" si="941"/>
        <v>17079.403499999997</v>
      </c>
      <c r="CY193" s="58">
        <f t="shared" si="941"/>
        <v>35458.437499999993</v>
      </c>
      <c r="CZ193" s="58">
        <f t="shared" si="941"/>
        <v>21781.441000000003</v>
      </c>
      <c r="DA193" s="58">
        <f t="shared" si="941"/>
        <v>41995.068532921803</v>
      </c>
      <c r="DB193" s="58">
        <f t="shared" si="941"/>
        <v>63996.396500000003</v>
      </c>
      <c r="DC193" s="58">
        <f t="shared" si="941"/>
        <v>21275.266999999996</v>
      </c>
      <c r="DD193" s="58">
        <f t="shared" si="941"/>
        <v>33883.811000000009</v>
      </c>
      <c r="DE193" s="58">
        <f t="shared" si="941"/>
        <v>0</v>
      </c>
      <c r="DF193" s="58">
        <f t="shared" si="941"/>
        <v>0</v>
      </c>
      <c r="DG193" s="58">
        <f t="shared" si="941"/>
        <v>299225.00786625512</v>
      </c>
      <c r="DH193" s="118"/>
      <c r="DI193" s="58">
        <f t="shared" ref="DI193:DU193" si="942">+SUM(DI194:DI204)</f>
        <v>31119.309000000001</v>
      </c>
      <c r="DJ193" s="58">
        <f t="shared" si="942"/>
        <v>31119.309000000001</v>
      </c>
      <c r="DK193" s="58">
        <f t="shared" si="942"/>
        <v>31119.309000000001</v>
      </c>
      <c r="DL193" s="58">
        <f t="shared" si="942"/>
        <v>31119.309000000001</v>
      </c>
      <c r="DM193" s="58">
        <f t="shared" si="942"/>
        <v>31119.309000000001</v>
      </c>
      <c r="DN193" s="58">
        <f t="shared" si="942"/>
        <v>31119.309000000001</v>
      </c>
      <c r="DO193" s="58">
        <f t="shared" si="942"/>
        <v>31119.309000000001</v>
      </c>
      <c r="DP193" s="58">
        <f t="shared" si="942"/>
        <v>31119.309000000001</v>
      </c>
      <c r="DQ193" s="58">
        <f t="shared" si="942"/>
        <v>31119.309000000001</v>
      </c>
      <c r="DR193" s="58">
        <f t="shared" si="942"/>
        <v>31119.309000000001</v>
      </c>
      <c r="DS193" s="58">
        <f t="shared" si="942"/>
        <v>31119.309000000001</v>
      </c>
      <c r="DT193" s="58">
        <f t="shared" si="942"/>
        <v>31119.309000000001</v>
      </c>
      <c r="DU193" s="58">
        <f t="shared" si="942"/>
        <v>373431.70799999998</v>
      </c>
      <c r="DV193" s="106"/>
      <c r="DW193" s="58">
        <f t="shared" ref="DW193:EI193" si="943">+SUM(DW194:DW204)</f>
        <v>0</v>
      </c>
      <c r="DX193" s="58">
        <f t="shared" si="943"/>
        <v>0</v>
      </c>
      <c r="DY193" s="58">
        <f t="shared" si="943"/>
        <v>0</v>
      </c>
      <c r="DZ193" s="58">
        <f t="shared" si="943"/>
        <v>0</v>
      </c>
      <c r="EA193" s="58">
        <f t="shared" si="943"/>
        <v>0</v>
      </c>
      <c r="EB193" s="58">
        <f t="shared" si="943"/>
        <v>0</v>
      </c>
      <c r="EC193" s="58">
        <f t="shared" si="943"/>
        <v>0</v>
      </c>
      <c r="ED193" s="58">
        <f t="shared" si="943"/>
        <v>0</v>
      </c>
      <c r="EE193" s="58">
        <f t="shared" si="943"/>
        <v>0</v>
      </c>
      <c r="EF193" s="58">
        <f t="shared" si="943"/>
        <v>0</v>
      </c>
      <c r="EG193" s="58">
        <f t="shared" si="943"/>
        <v>0</v>
      </c>
      <c r="EH193" s="58">
        <f t="shared" si="943"/>
        <v>0</v>
      </c>
      <c r="EI193" s="58">
        <f t="shared" si="943"/>
        <v>0</v>
      </c>
      <c r="EJ193" s="20" t="str">
        <f t="shared" si="681"/>
        <v>General Expenses</v>
      </c>
      <c r="EK193" s="58">
        <f t="shared" ref="EK193:EW193" si="944">+SUM(EK194:EK204)</f>
        <v>131329.92000000001</v>
      </c>
      <c r="EL193" s="58">
        <f t="shared" si="944"/>
        <v>163984.79999999999</v>
      </c>
      <c r="EM193" s="58">
        <f t="shared" si="944"/>
        <v>97139.810000000012</v>
      </c>
      <c r="EN193" s="58">
        <f t="shared" si="944"/>
        <v>75540.78</v>
      </c>
      <c r="EO193" s="58">
        <f t="shared" si="944"/>
        <v>74180.759999999995</v>
      </c>
      <c r="EP193" s="58">
        <f t="shared" si="944"/>
        <v>34930.584000000003</v>
      </c>
      <c r="EQ193" s="58">
        <f t="shared" si="944"/>
        <v>358110.85666666663</v>
      </c>
      <c r="ER193" s="58">
        <f t="shared" si="944"/>
        <v>60494.689999999995</v>
      </c>
      <c r="ES193" s="58">
        <f t="shared" si="944"/>
        <v>58232.390000000007</v>
      </c>
      <c r="ET193" s="58">
        <f t="shared" si="944"/>
        <v>61122.47</v>
      </c>
      <c r="EU193" s="58">
        <f t="shared" si="944"/>
        <v>0</v>
      </c>
      <c r="EV193" s="58">
        <f t="shared" si="944"/>
        <v>0</v>
      </c>
      <c r="EW193" s="58">
        <f t="shared" si="944"/>
        <v>1115067.0606666666</v>
      </c>
      <c r="EX193" s="118"/>
      <c r="EY193" s="58">
        <f t="shared" ref="EY193:FK193" si="945">+SUM(EY194:EY204)</f>
        <v>57283.333333333336</v>
      </c>
      <c r="EZ193" s="58">
        <f t="shared" si="945"/>
        <v>57283.333333333328</v>
      </c>
      <c r="FA193" s="58">
        <f t="shared" si="945"/>
        <v>57283.333333333328</v>
      </c>
      <c r="FB193" s="58">
        <f t="shared" si="945"/>
        <v>57283.333333333328</v>
      </c>
      <c r="FC193" s="58">
        <f t="shared" si="945"/>
        <v>57283.333333333328</v>
      </c>
      <c r="FD193" s="58">
        <f t="shared" si="945"/>
        <v>57283.333333333328</v>
      </c>
      <c r="FE193" s="58">
        <f t="shared" si="945"/>
        <v>57283.333333333328</v>
      </c>
      <c r="FF193" s="58">
        <f t="shared" si="945"/>
        <v>57283.333333333328</v>
      </c>
      <c r="FG193" s="58">
        <f t="shared" si="945"/>
        <v>57283.333333333328</v>
      </c>
      <c r="FH193" s="58">
        <f t="shared" si="945"/>
        <v>57283.333333333328</v>
      </c>
      <c r="FI193" s="58">
        <f t="shared" si="945"/>
        <v>57283.333333333328</v>
      </c>
      <c r="FJ193" s="58">
        <f t="shared" si="945"/>
        <v>57283.333333333328</v>
      </c>
      <c r="FK193" s="58">
        <f t="shared" si="945"/>
        <v>687399.99999999988</v>
      </c>
    </row>
    <row r="194" spans="1:167" ht="14.45" hidden="1" customHeight="1" outlineLevel="2">
      <c r="A194" s="106">
        <f t="shared" ref="A194:L204" si="946">+AQ194+CG194+DW194</f>
        <v>32366</v>
      </c>
      <c r="B194" s="106">
        <f t="shared" si="946"/>
        <v>32366</v>
      </c>
      <c r="C194" s="106">
        <f t="shared" si="946"/>
        <v>32366</v>
      </c>
      <c r="D194" s="106">
        <f t="shared" si="946"/>
        <v>32366</v>
      </c>
      <c r="E194" s="106">
        <f t="shared" si="946"/>
        <v>32366</v>
      </c>
      <c r="F194" s="106">
        <f t="shared" si="946"/>
        <v>32366</v>
      </c>
      <c r="G194" s="106">
        <f t="shared" si="946"/>
        <v>32366</v>
      </c>
      <c r="H194" s="106">
        <f t="shared" si="946"/>
        <v>32366</v>
      </c>
      <c r="I194" s="106">
        <f t="shared" si="946"/>
        <v>32366</v>
      </c>
      <c r="J194" s="106">
        <f t="shared" si="946"/>
        <v>32660</v>
      </c>
      <c r="K194" s="106">
        <f t="shared" si="946"/>
        <v>32660</v>
      </c>
      <c r="L194" s="106">
        <f t="shared" si="946"/>
        <v>32660</v>
      </c>
      <c r="M194" s="106">
        <f t="shared" ref="M194:M204" si="947">+SUM(A194:L194)</f>
        <v>389274</v>
      </c>
      <c r="N194" s="16" t="s">
        <v>163</v>
      </c>
      <c r="O194" s="106">
        <f t="shared" ref="O194:Z204" si="948">+BE194+CU194+EK194</f>
        <v>33984.333333333336</v>
      </c>
      <c r="P194" s="106">
        <f t="shared" si="948"/>
        <v>0</v>
      </c>
      <c r="Q194" s="106">
        <f t="shared" si="948"/>
        <v>33984.333333333372</v>
      </c>
      <c r="R194" s="106">
        <f t="shared" si="948"/>
        <v>33622.624999999993</v>
      </c>
      <c r="S194" s="106">
        <f t="shared" si="948"/>
        <v>33996.205000000002</v>
      </c>
      <c r="T194" s="106">
        <f t="shared" si="948"/>
        <v>33996.205000000002</v>
      </c>
      <c r="U194" s="106">
        <f t="shared" si="948"/>
        <v>80949.205000000002</v>
      </c>
      <c r="V194" s="106">
        <f t="shared" si="948"/>
        <v>45734</v>
      </c>
      <c r="W194" s="106">
        <f t="shared" si="948"/>
        <v>45734</v>
      </c>
      <c r="X194" s="106">
        <f t="shared" si="948"/>
        <v>45734</v>
      </c>
      <c r="Y194" s="106">
        <f t="shared" si="948"/>
        <v>0</v>
      </c>
      <c r="Z194" s="106">
        <f t="shared" si="948"/>
        <v>0</v>
      </c>
      <c r="AA194" s="106">
        <f t="shared" ref="AA194:AA204" si="949">+SUM(O194:Z194)</f>
        <v>387734.90666666673</v>
      </c>
      <c r="AB194" s="118"/>
      <c r="AC194" s="106">
        <f t="shared" ref="AC194:AN204" si="950">+BS194+DI194+EY194</f>
        <v>33984.333333333336</v>
      </c>
      <c r="AD194" s="106">
        <f t="shared" si="950"/>
        <v>33984.333333333336</v>
      </c>
      <c r="AE194" s="106">
        <f t="shared" si="950"/>
        <v>33984.333333333336</v>
      </c>
      <c r="AF194" s="106">
        <f t="shared" si="950"/>
        <v>33984.333333333336</v>
      </c>
      <c r="AG194" s="106">
        <f t="shared" si="950"/>
        <v>33984.333333333336</v>
      </c>
      <c r="AH194" s="106">
        <f t="shared" si="950"/>
        <v>33984.333333333336</v>
      </c>
      <c r="AI194" s="106">
        <f t="shared" si="950"/>
        <v>33984.333333333336</v>
      </c>
      <c r="AJ194" s="106">
        <f t="shared" si="950"/>
        <v>33984.333333333336</v>
      </c>
      <c r="AK194" s="106">
        <f t="shared" si="950"/>
        <v>33984.333333333336</v>
      </c>
      <c r="AL194" s="106">
        <f t="shared" si="950"/>
        <v>33984.333333333336</v>
      </c>
      <c r="AM194" s="106">
        <f t="shared" si="950"/>
        <v>33984.333333333336</v>
      </c>
      <c r="AN194" s="106">
        <f t="shared" si="950"/>
        <v>33984.333333333336</v>
      </c>
      <c r="AO194" s="106">
        <f t="shared" ref="AO194:AO204" si="951">+SUM(AC194:AN194)</f>
        <v>407811.99999999994</v>
      </c>
      <c r="AP194" s="106"/>
      <c r="AQ194" s="106">
        <f>+PMGR!AQ194+BP!AQ194</f>
        <v>26483</v>
      </c>
      <c r="AR194" s="106">
        <f>+PMGR!AR194+BP!AR194</f>
        <v>26483</v>
      </c>
      <c r="AS194" s="106">
        <f>+PMGR!AS194+BP!AS194</f>
        <v>26483</v>
      </c>
      <c r="AT194" s="106">
        <f>+PMGR!AT194+BP!AT194</f>
        <v>26483</v>
      </c>
      <c r="AU194" s="106">
        <f>+PMGR!AU194+BP!AU194</f>
        <v>26483</v>
      </c>
      <c r="AV194" s="106">
        <f>+PMGR!AV194+BP!AV194</f>
        <v>26483</v>
      </c>
      <c r="AW194" s="106">
        <f>+PMGR!AW194+BP!AW194</f>
        <v>26483</v>
      </c>
      <c r="AX194" s="106">
        <f>+PMGR!AX194+BP!AX194</f>
        <v>26483</v>
      </c>
      <c r="AY194" s="106">
        <f>+PMGR!AY194+BP!AY194</f>
        <v>26483</v>
      </c>
      <c r="AZ194" s="106">
        <f>+PMGR!AZ194+BP!AZ194</f>
        <v>26483</v>
      </c>
      <c r="BA194" s="106">
        <f>+PMGR!BA194+BP!BA194</f>
        <v>26483</v>
      </c>
      <c r="BB194" s="106">
        <f>+PMGR!BB194+BP!BB194</f>
        <v>26483</v>
      </c>
      <c r="BC194" s="106">
        <f t="shared" ref="BC194:BC204" si="952">+SUM(AQ194:BB194)</f>
        <v>317796</v>
      </c>
      <c r="BD194" s="16" t="str">
        <f t="shared" si="671"/>
        <v>Corporation or PunchayathTaxes</v>
      </c>
      <c r="BE194" s="106">
        <f>+PMGR!BE194+BP!BE194</f>
        <v>27807.166666666668</v>
      </c>
      <c r="BF194" s="106">
        <f>+PMGR!BF194+BP!BF194</f>
        <v>0</v>
      </c>
      <c r="BG194" s="106">
        <f>+PMGR!BG194+BP!BG194</f>
        <v>27807.166666666701</v>
      </c>
      <c r="BH194" s="106">
        <f>+PMGR!BH194+BP!BH194</f>
        <v>27501.759999999995</v>
      </c>
      <c r="BI194" s="106">
        <f>+PMGR!BI194+BP!BI194</f>
        <v>16684.398000000001</v>
      </c>
      <c r="BJ194" s="106">
        <f>+PMGR!BJ194+BP!BJ194</f>
        <v>27807.33</v>
      </c>
      <c r="BK194" s="106">
        <f>+PMGR!BK194+BP!BK194</f>
        <v>27807.33</v>
      </c>
      <c r="BL194" s="106">
        <f>+PMGR!BL194+BP!BL194</f>
        <v>27807.000000000004</v>
      </c>
      <c r="BM194" s="106">
        <f>+PMGR!BM194+BP!BM194</f>
        <v>27807</v>
      </c>
      <c r="BN194" s="106">
        <f>+PMGR!BN194+BP!BN194</f>
        <v>27807</v>
      </c>
      <c r="BO194" s="106">
        <f>+PMGR!BO194+BP!BO194</f>
        <v>0</v>
      </c>
      <c r="BP194" s="106">
        <f>+PMGR!BP194+BP!BP194</f>
        <v>0</v>
      </c>
      <c r="BQ194" s="106">
        <f t="shared" ref="BQ194:BQ204" si="953">+SUM(BE194:BP194)</f>
        <v>238836.15133333337</v>
      </c>
      <c r="BR194" s="118"/>
      <c r="BS194" s="106">
        <f>+PMGR!BS194+BP!BS194</f>
        <v>27807.166666666668</v>
      </c>
      <c r="BT194" s="106">
        <f>+PMGR!BT194+BP!BT194</f>
        <v>27807.166666666668</v>
      </c>
      <c r="BU194" s="106">
        <f>+PMGR!BU194+BP!BU194</f>
        <v>27807.166666666668</v>
      </c>
      <c r="BV194" s="106">
        <f>+PMGR!BV194+BP!BV194</f>
        <v>27807.166666666668</v>
      </c>
      <c r="BW194" s="106">
        <f>+PMGR!BW194+BP!BW194</f>
        <v>27807.166666666668</v>
      </c>
      <c r="BX194" s="106">
        <f>+PMGR!BX194+BP!BX194</f>
        <v>27807.166666666668</v>
      </c>
      <c r="BY194" s="106">
        <f>+PMGR!BY194+BP!BY194</f>
        <v>27807.166666666668</v>
      </c>
      <c r="BZ194" s="106">
        <f>+PMGR!BZ194+BP!BZ194</f>
        <v>27807.166666666668</v>
      </c>
      <c r="CA194" s="106">
        <f>+PMGR!CA194+BP!CA194</f>
        <v>27807.166666666668</v>
      </c>
      <c r="CB194" s="106">
        <f>+PMGR!CB194+BP!CB194</f>
        <v>27807.166666666668</v>
      </c>
      <c r="CC194" s="106">
        <f>+PMGR!CC194+BP!CC194</f>
        <v>27807.166666666668</v>
      </c>
      <c r="CD194" s="106">
        <f>+PMGR!CD194+BP!CD194</f>
        <v>27807.166666666668</v>
      </c>
      <c r="CE194" s="106">
        <f t="shared" ref="CE194:CE204" si="954">+SUM(BS194:CD194)</f>
        <v>333686</v>
      </c>
      <c r="CF194" s="106"/>
      <c r="CG194" s="106">
        <f>+PMGR!CG194+BP!CG194</f>
        <v>5883</v>
      </c>
      <c r="CH194" s="106">
        <f>+PMGR!CH194+BP!CH194</f>
        <v>5883</v>
      </c>
      <c r="CI194" s="106">
        <f>+PMGR!CI194+BP!CI194</f>
        <v>5883</v>
      </c>
      <c r="CJ194" s="106">
        <f>+PMGR!CJ194+BP!CJ194</f>
        <v>5883</v>
      </c>
      <c r="CK194" s="106">
        <f>+PMGR!CK194+BP!CK194</f>
        <v>5883</v>
      </c>
      <c r="CL194" s="106">
        <f>+PMGR!CL194+BP!CL194</f>
        <v>5883</v>
      </c>
      <c r="CM194" s="106">
        <f>+PMGR!CM194+BP!CM194</f>
        <v>5883</v>
      </c>
      <c r="CN194" s="106">
        <f>+PMGR!CN194+BP!CN194</f>
        <v>5883</v>
      </c>
      <c r="CO194" s="106">
        <f>+PMGR!CO194+BP!CO194</f>
        <v>5883</v>
      </c>
      <c r="CP194" s="106">
        <f>+PMGR!CP194+BP!CP194</f>
        <v>6177</v>
      </c>
      <c r="CQ194" s="106">
        <f>+PMGR!CQ194+BP!CQ194</f>
        <v>6177</v>
      </c>
      <c r="CR194" s="106">
        <f>+PMGR!CR194+BP!CR194</f>
        <v>6177</v>
      </c>
      <c r="CS194" s="106">
        <f t="shared" ref="CS194:CS204" si="955">+SUM(CG194:CR194)</f>
        <v>71478</v>
      </c>
      <c r="CT194" s="16" t="str">
        <f t="shared" si="675"/>
        <v>Corporation or PunchayathTaxes</v>
      </c>
      <c r="CU194" s="106">
        <f>+PMGR!CU194+BP!CU194</f>
        <v>6177.166666666667</v>
      </c>
      <c r="CV194" s="106">
        <f>+PMGR!CV194+BP!CV194</f>
        <v>0</v>
      </c>
      <c r="CW194" s="106">
        <f>+PMGR!CW194+BP!CW194</f>
        <v>6177.1666666666697</v>
      </c>
      <c r="CX194" s="106">
        <f>+PMGR!CX194+BP!CX194</f>
        <v>6120.8649999999998</v>
      </c>
      <c r="CY194" s="106">
        <f>+PMGR!CY194+BP!CY194</f>
        <v>17311.807000000001</v>
      </c>
      <c r="CZ194" s="106">
        <f>+PMGR!CZ194+BP!CZ194</f>
        <v>6188.875</v>
      </c>
      <c r="DA194" s="106">
        <f>+PMGR!DA194+BP!DA194</f>
        <v>6188.875</v>
      </c>
      <c r="DB194" s="106">
        <f>+PMGR!DB194+BP!DB194</f>
        <v>6189</v>
      </c>
      <c r="DC194" s="106">
        <f>+PMGR!DC194+BP!DC194</f>
        <v>6189</v>
      </c>
      <c r="DD194" s="106">
        <f>+PMGR!DD194+BP!DD194</f>
        <v>6189</v>
      </c>
      <c r="DE194" s="106">
        <f>+PMGR!DE194+BP!DE194</f>
        <v>0</v>
      </c>
      <c r="DF194" s="106">
        <f>+PMGR!DF194+BP!DF194</f>
        <v>0</v>
      </c>
      <c r="DG194" s="106">
        <f t="shared" ref="DG194:DG204" si="956">+SUM(CU194:DF194)</f>
        <v>66731.755333333334</v>
      </c>
      <c r="DH194" s="118"/>
      <c r="DI194" s="106">
        <f>+PMGR!DI194+BP!DI194</f>
        <v>6177.166666666667</v>
      </c>
      <c r="DJ194" s="106">
        <f>+PMGR!DJ194+BP!DJ194</f>
        <v>6177.166666666667</v>
      </c>
      <c r="DK194" s="106">
        <f>+PMGR!DK194+BP!DK194</f>
        <v>6177.166666666667</v>
      </c>
      <c r="DL194" s="106">
        <f>+PMGR!DL194+BP!DL194</f>
        <v>6177.166666666667</v>
      </c>
      <c r="DM194" s="106">
        <f>+PMGR!DM194+BP!DM194</f>
        <v>6177.166666666667</v>
      </c>
      <c r="DN194" s="106">
        <f>+PMGR!DN194+BP!DN194</f>
        <v>6177.166666666667</v>
      </c>
      <c r="DO194" s="106">
        <f>+PMGR!DO194+BP!DO194</f>
        <v>6177.166666666667</v>
      </c>
      <c r="DP194" s="106">
        <f>+PMGR!DP194+BP!DP194</f>
        <v>6177.166666666667</v>
      </c>
      <c r="DQ194" s="106">
        <f>+PMGR!DQ194+BP!DQ194</f>
        <v>6177.166666666667</v>
      </c>
      <c r="DR194" s="106">
        <f>+PMGR!DR194+BP!DR194</f>
        <v>6177.166666666667</v>
      </c>
      <c r="DS194" s="106">
        <f>+PMGR!DS194+BP!DS194</f>
        <v>6177.166666666667</v>
      </c>
      <c r="DT194" s="106">
        <f>+PMGR!DT194+BP!DT194</f>
        <v>6177.166666666667</v>
      </c>
      <c r="DU194" s="106">
        <f t="shared" ref="DU194:DU204" si="957">+SUM(DI194:DT194)</f>
        <v>74126</v>
      </c>
      <c r="DV194" s="106"/>
      <c r="DW194" s="106">
        <f>+PMGR!DW194+BP!DW194</f>
        <v>0</v>
      </c>
      <c r="DX194" s="106">
        <f>+PMGR!DX194+BP!DX194</f>
        <v>0</v>
      </c>
      <c r="DY194" s="106">
        <f>+PMGR!DY194+BP!DY194</f>
        <v>0</v>
      </c>
      <c r="DZ194" s="106">
        <f>+PMGR!DZ194+BP!DZ194</f>
        <v>0</v>
      </c>
      <c r="EA194" s="106">
        <f>+PMGR!EA194+BP!EA194</f>
        <v>0</v>
      </c>
      <c r="EB194" s="106">
        <f>+PMGR!EB194+BP!EB194</f>
        <v>0</v>
      </c>
      <c r="EC194" s="106">
        <f>+PMGR!EC194+BP!EC194</f>
        <v>0</v>
      </c>
      <c r="ED194" s="106">
        <f>+PMGR!ED194+BP!ED194</f>
        <v>0</v>
      </c>
      <c r="EE194" s="106">
        <f>+PMGR!EE194+BP!EE194</f>
        <v>0</v>
      </c>
      <c r="EF194" s="106">
        <f>+PMGR!EF194+BP!EF194</f>
        <v>0</v>
      </c>
      <c r="EG194" s="106">
        <f>+PMGR!EG194+BP!EG194</f>
        <v>0</v>
      </c>
      <c r="EH194" s="106">
        <f>+PMGR!EH194+BP!EH194</f>
        <v>0</v>
      </c>
      <c r="EI194" s="106">
        <f t="shared" ref="EI194:EI204" si="958">+SUM(DW194:EH194)</f>
        <v>0</v>
      </c>
      <c r="EJ194" s="16" t="str">
        <f t="shared" si="681"/>
        <v>Corporation or PunchayathTaxes</v>
      </c>
      <c r="EK194" s="106">
        <f>+PMGR!EK194+BP!EK194</f>
        <v>0</v>
      </c>
      <c r="EL194" s="106">
        <f>+PMGR!EL194+BP!EL194</f>
        <v>0</v>
      </c>
      <c r="EM194" s="106">
        <f>+PMGR!EM194+BP!EM194</f>
        <v>0</v>
      </c>
      <c r="EN194" s="106">
        <f>+PMGR!EN194+BP!EN194</f>
        <v>0</v>
      </c>
      <c r="EO194" s="106">
        <f>+PMGR!EO194+BP!EO194</f>
        <v>0</v>
      </c>
      <c r="EP194" s="106">
        <f>+PMGR!EP194+BP!EP194</f>
        <v>0</v>
      </c>
      <c r="EQ194" s="106">
        <f>+PMGR!EQ194+BP!EQ194</f>
        <v>46953</v>
      </c>
      <c r="ER194" s="106">
        <f>+PMGR!ER194+BP!ER194</f>
        <v>11738</v>
      </c>
      <c r="ES194" s="106">
        <f>+PMGR!ES194+BP!ES194</f>
        <v>11738</v>
      </c>
      <c r="ET194" s="106">
        <f>+PMGR!ET194+BP!ET194</f>
        <v>11738.000000000004</v>
      </c>
      <c r="EU194" s="106">
        <f>+PMGR!EU194+BP!EU194</f>
        <v>0</v>
      </c>
      <c r="EV194" s="106">
        <f>+PMGR!EV194+BP!EV194</f>
        <v>0</v>
      </c>
      <c r="EW194" s="106">
        <f t="shared" ref="EW194:EW204" si="959">+SUM(EK194:EV194)</f>
        <v>82167</v>
      </c>
      <c r="EX194" s="118"/>
      <c r="EY194" s="106">
        <f>+PMGR!EY194+BP!EY194</f>
        <v>0</v>
      </c>
      <c r="EZ194" s="106">
        <f>+PMGR!EZ194+BP!EZ194</f>
        <v>0</v>
      </c>
      <c r="FA194" s="106">
        <f>+PMGR!FA194+BP!FA194</f>
        <v>0</v>
      </c>
      <c r="FB194" s="106">
        <f>+PMGR!FB194+BP!FB194</f>
        <v>0</v>
      </c>
      <c r="FC194" s="106">
        <f>+PMGR!FC194+BP!FC194</f>
        <v>0</v>
      </c>
      <c r="FD194" s="106">
        <f>+PMGR!FD194+BP!FD194</f>
        <v>0</v>
      </c>
      <c r="FE194" s="106">
        <f>+PMGR!FE194+BP!FE194</f>
        <v>0</v>
      </c>
      <c r="FF194" s="106">
        <f>+PMGR!FF194+BP!FF194</f>
        <v>0</v>
      </c>
      <c r="FG194" s="106">
        <f>+PMGR!FG194+BP!FG194</f>
        <v>0</v>
      </c>
      <c r="FH194" s="106">
        <f>+PMGR!FH194+BP!FH194</f>
        <v>0</v>
      </c>
      <c r="FI194" s="106">
        <f>+PMGR!FI194+BP!FI194</f>
        <v>0</v>
      </c>
      <c r="FJ194" s="106">
        <f>+PMGR!FJ194+BP!FJ194</f>
        <v>0</v>
      </c>
      <c r="FK194" s="106">
        <f t="shared" ref="FK194:FK204" si="960">+SUM(EY194:FJ194)</f>
        <v>0</v>
      </c>
    </row>
    <row r="195" spans="1:167" ht="14.45" hidden="1" customHeight="1" outlineLevel="2">
      <c r="A195" s="106">
        <f t="shared" si="946"/>
        <v>119.25</v>
      </c>
      <c r="B195" s="106">
        <f t="shared" si="946"/>
        <v>119.25</v>
      </c>
      <c r="C195" s="106">
        <f t="shared" si="946"/>
        <v>119.25</v>
      </c>
      <c r="D195" s="106">
        <f t="shared" si="946"/>
        <v>119.25</v>
      </c>
      <c r="E195" s="106">
        <f t="shared" si="946"/>
        <v>274.25</v>
      </c>
      <c r="F195" s="106">
        <f t="shared" si="946"/>
        <v>119.25</v>
      </c>
      <c r="G195" s="106">
        <f t="shared" si="946"/>
        <v>119.25</v>
      </c>
      <c r="H195" s="106">
        <f t="shared" si="946"/>
        <v>119.25</v>
      </c>
      <c r="I195" s="106">
        <f t="shared" si="946"/>
        <v>119.25</v>
      </c>
      <c r="J195" s="106">
        <f t="shared" si="946"/>
        <v>119.25</v>
      </c>
      <c r="K195" s="106">
        <f t="shared" si="946"/>
        <v>119.25</v>
      </c>
      <c r="L195" s="106">
        <f t="shared" si="946"/>
        <v>119.25</v>
      </c>
      <c r="M195" s="106">
        <f t="shared" si="947"/>
        <v>1586</v>
      </c>
      <c r="N195" s="16" t="s">
        <v>164</v>
      </c>
      <c r="O195" s="106">
        <f t="shared" si="948"/>
        <v>338.25</v>
      </c>
      <c r="P195" s="106">
        <f t="shared" si="948"/>
        <v>349.25</v>
      </c>
      <c r="Q195" s="106">
        <f t="shared" si="948"/>
        <v>349.25</v>
      </c>
      <c r="R195" s="106">
        <f t="shared" si="948"/>
        <v>349.25</v>
      </c>
      <c r="S195" s="106">
        <f t="shared" si="948"/>
        <v>349.25</v>
      </c>
      <c r="T195" s="106">
        <f t="shared" si="948"/>
        <v>349.25</v>
      </c>
      <c r="U195" s="106">
        <f t="shared" si="948"/>
        <v>4114.6820987654301</v>
      </c>
      <c r="V195" s="106">
        <f t="shared" si="948"/>
        <v>1286.5999999999999</v>
      </c>
      <c r="W195" s="106">
        <f t="shared" si="948"/>
        <v>1409.9</v>
      </c>
      <c r="X195" s="106">
        <f t="shared" si="948"/>
        <v>3161.75</v>
      </c>
      <c r="Y195" s="106">
        <f t="shared" si="948"/>
        <v>0</v>
      </c>
      <c r="Z195" s="106">
        <f t="shared" si="948"/>
        <v>0</v>
      </c>
      <c r="AA195" s="106">
        <f t="shared" si="949"/>
        <v>12057.43209876543</v>
      </c>
      <c r="AB195" s="118"/>
      <c r="AC195" s="106">
        <f t="shared" si="950"/>
        <v>871.33333333333337</v>
      </c>
      <c r="AD195" s="106">
        <f t="shared" si="950"/>
        <v>871.33333333333337</v>
      </c>
      <c r="AE195" s="106">
        <f t="shared" si="950"/>
        <v>871.33333333333337</v>
      </c>
      <c r="AF195" s="106">
        <f t="shared" si="950"/>
        <v>871.33333333333337</v>
      </c>
      <c r="AG195" s="106">
        <f t="shared" si="950"/>
        <v>871.33333333333337</v>
      </c>
      <c r="AH195" s="106">
        <f t="shared" si="950"/>
        <v>871.33333333333337</v>
      </c>
      <c r="AI195" s="106">
        <f t="shared" si="950"/>
        <v>871.33333333333337</v>
      </c>
      <c r="AJ195" s="106">
        <f t="shared" si="950"/>
        <v>871.33333333333337</v>
      </c>
      <c r="AK195" s="106">
        <f t="shared" si="950"/>
        <v>871.33333333333337</v>
      </c>
      <c r="AL195" s="106">
        <f t="shared" si="950"/>
        <v>871.33333333333337</v>
      </c>
      <c r="AM195" s="106">
        <f t="shared" si="950"/>
        <v>871.33333333333337</v>
      </c>
      <c r="AN195" s="106">
        <f t="shared" si="950"/>
        <v>871.33333333333337</v>
      </c>
      <c r="AO195" s="106">
        <f t="shared" si="951"/>
        <v>10456</v>
      </c>
      <c r="AP195" s="106"/>
      <c r="AQ195" s="106">
        <f>+PMGR!AQ195+BP!AQ195</f>
        <v>79.5</v>
      </c>
      <c r="AR195" s="106">
        <f>+PMGR!AR195+BP!AR195</f>
        <v>79.5</v>
      </c>
      <c r="AS195" s="106">
        <f>+PMGR!AS195+BP!AS195</f>
        <v>79.5</v>
      </c>
      <c r="AT195" s="106">
        <f>+PMGR!AT195+BP!AT195</f>
        <v>79.5</v>
      </c>
      <c r="AU195" s="106">
        <f>+PMGR!AU195+BP!AU195</f>
        <v>79.5</v>
      </c>
      <c r="AV195" s="106">
        <f>+PMGR!AV195+BP!AV195</f>
        <v>79.5</v>
      </c>
      <c r="AW195" s="106">
        <f>+PMGR!AW195+BP!AW195</f>
        <v>79.5</v>
      </c>
      <c r="AX195" s="106">
        <f>+PMGR!AX195+BP!AX195</f>
        <v>79.5</v>
      </c>
      <c r="AY195" s="106">
        <f>+PMGR!AY195+BP!AY195</f>
        <v>79.5</v>
      </c>
      <c r="AZ195" s="106">
        <f>+PMGR!AZ195+BP!AZ195</f>
        <v>79.5</v>
      </c>
      <c r="BA195" s="106">
        <f>+PMGR!BA195+BP!BA195</f>
        <v>79.5</v>
      </c>
      <c r="BB195" s="106">
        <f>+PMGR!BB195+BP!BB195</f>
        <v>79.5</v>
      </c>
      <c r="BC195" s="106">
        <f t="shared" si="952"/>
        <v>954</v>
      </c>
      <c r="BD195" s="16" t="str">
        <f t="shared" si="671"/>
        <v>License Fees</v>
      </c>
      <c r="BE195" s="106">
        <f>+PMGR!BE195+BP!BE195</f>
        <v>79.5</v>
      </c>
      <c r="BF195" s="106">
        <f>+PMGR!BF195+BP!BF195</f>
        <v>79.5</v>
      </c>
      <c r="BG195" s="106">
        <f>+PMGR!BG195+BP!BG195</f>
        <v>79.5</v>
      </c>
      <c r="BH195" s="106">
        <f>+PMGR!BH195+BP!BH195</f>
        <v>79.5</v>
      </c>
      <c r="BI195" s="106">
        <f>+PMGR!BI195+BP!BI195</f>
        <v>79.5</v>
      </c>
      <c r="BJ195" s="106">
        <f>+PMGR!BJ195+BP!BJ195</f>
        <v>79.5</v>
      </c>
      <c r="BK195" s="106">
        <f>+PMGR!BK195+BP!BK195</f>
        <v>2589.7880658436197</v>
      </c>
      <c r="BL195" s="106">
        <f>+PMGR!BL195+BP!BL195</f>
        <v>704.4</v>
      </c>
      <c r="BM195" s="106">
        <f>+PMGR!BM195+BP!BM195</f>
        <v>786.6</v>
      </c>
      <c r="BN195" s="106">
        <f>+PMGR!BN195+BP!BN195</f>
        <v>1954.5</v>
      </c>
      <c r="BO195" s="106">
        <f>+PMGR!BO195+BP!BO195</f>
        <v>0</v>
      </c>
      <c r="BP195" s="106">
        <f>+PMGR!BP195+BP!BP195</f>
        <v>0</v>
      </c>
      <c r="BQ195" s="106">
        <f t="shared" si="953"/>
        <v>6512.2880658436197</v>
      </c>
      <c r="BR195" s="118"/>
      <c r="BS195" s="106">
        <f>+PMGR!BS195+BP!BS195</f>
        <v>79.5</v>
      </c>
      <c r="BT195" s="106">
        <f>+PMGR!BT195+BP!BT195</f>
        <v>79.5</v>
      </c>
      <c r="BU195" s="106">
        <f>+PMGR!BU195+BP!BU195</f>
        <v>79.5</v>
      </c>
      <c r="BV195" s="106">
        <f>+PMGR!BV195+BP!BV195</f>
        <v>79.5</v>
      </c>
      <c r="BW195" s="106">
        <f>+PMGR!BW195+BP!BW195</f>
        <v>79.5</v>
      </c>
      <c r="BX195" s="106">
        <f>+PMGR!BX195+BP!BX195</f>
        <v>79.5</v>
      </c>
      <c r="BY195" s="106">
        <f>+PMGR!BY195+BP!BY195</f>
        <v>79.5</v>
      </c>
      <c r="BZ195" s="106">
        <f>+PMGR!BZ195+BP!BZ195</f>
        <v>79.5</v>
      </c>
      <c r="CA195" s="106">
        <f>+PMGR!CA195+BP!CA195</f>
        <v>79.5</v>
      </c>
      <c r="CB195" s="106">
        <f>+PMGR!CB195+BP!CB195</f>
        <v>79.5</v>
      </c>
      <c r="CC195" s="106">
        <f>+PMGR!CC195+BP!CC195</f>
        <v>79.5</v>
      </c>
      <c r="CD195" s="106">
        <f>+PMGR!CD195+BP!CD195</f>
        <v>79.5</v>
      </c>
      <c r="CE195" s="106">
        <f t="shared" si="954"/>
        <v>954</v>
      </c>
      <c r="CF195" s="106"/>
      <c r="CG195" s="106">
        <f>+PMGR!CG195+BP!CG195</f>
        <v>39.75</v>
      </c>
      <c r="CH195" s="106">
        <f>+PMGR!CH195+BP!CH195</f>
        <v>39.75</v>
      </c>
      <c r="CI195" s="106">
        <f>+PMGR!CI195+BP!CI195</f>
        <v>39.75</v>
      </c>
      <c r="CJ195" s="106">
        <f>+PMGR!CJ195+BP!CJ195</f>
        <v>39.75</v>
      </c>
      <c r="CK195" s="106">
        <f>+PMGR!CK195+BP!CK195</f>
        <v>194.75</v>
      </c>
      <c r="CL195" s="106">
        <f>+PMGR!CL195+BP!CL195</f>
        <v>39.75</v>
      </c>
      <c r="CM195" s="106">
        <f>+PMGR!CM195+BP!CM195</f>
        <v>39.75</v>
      </c>
      <c r="CN195" s="106">
        <f>+PMGR!CN195+BP!CN195</f>
        <v>39.75</v>
      </c>
      <c r="CO195" s="106">
        <f>+PMGR!CO195+BP!CO195</f>
        <v>39.75</v>
      </c>
      <c r="CP195" s="106">
        <f>+PMGR!CP195+BP!CP195</f>
        <v>39.75</v>
      </c>
      <c r="CQ195" s="106">
        <f>+PMGR!CQ195+BP!CQ195</f>
        <v>39.75</v>
      </c>
      <c r="CR195" s="106">
        <f>+PMGR!CR195+BP!CR195</f>
        <v>39.75</v>
      </c>
      <c r="CS195" s="106">
        <f t="shared" si="955"/>
        <v>632</v>
      </c>
      <c r="CT195" s="16" t="str">
        <f t="shared" si="675"/>
        <v>License Fees</v>
      </c>
      <c r="CU195" s="106">
        <f>+PMGR!CU195+BP!CU195</f>
        <v>39.75</v>
      </c>
      <c r="CV195" s="106">
        <f>+PMGR!CV195+BP!CV195</f>
        <v>39.75</v>
      </c>
      <c r="CW195" s="106">
        <f>+PMGR!CW195+BP!CW195</f>
        <v>39.75</v>
      </c>
      <c r="CX195" s="106">
        <f>+PMGR!CX195+BP!CX195</f>
        <v>39.75</v>
      </c>
      <c r="CY195" s="106">
        <f>+PMGR!CY195+BP!CY195</f>
        <v>39.75</v>
      </c>
      <c r="CZ195" s="106">
        <f>+PMGR!CZ195+BP!CZ195</f>
        <v>39.75</v>
      </c>
      <c r="DA195" s="106">
        <f>+PMGR!DA195+BP!DA195</f>
        <v>1294.8940329218099</v>
      </c>
      <c r="DB195" s="106">
        <f>+PMGR!DB195+BP!DB195</f>
        <v>352.2</v>
      </c>
      <c r="DC195" s="106">
        <f>+PMGR!DC195+BP!DC195</f>
        <v>393.3</v>
      </c>
      <c r="DD195" s="106">
        <f>+PMGR!DD195+BP!DD195</f>
        <v>977.25</v>
      </c>
      <c r="DE195" s="106">
        <f>+PMGR!DE195+BP!DE195</f>
        <v>0</v>
      </c>
      <c r="DF195" s="106">
        <f>+PMGR!DF195+BP!DF195</f>
        <v>0</v>
      </c>
      <c r="DG195" s="106">
        <f t="shared" si="956"/>
        <v>3256.1440329218099</v>
      </c>
      <c r="DH195" s="118"/>
      <c r="DI195" s="106">
        <f>+PMGR!DI195+BP!DI195</f>
        <v>591.83333333333337</v>
      </c>
      <c r="DJ195" s="106">
        <f>+PMGR!DJ195+BP!DJ195</f>
        <v>591.83333333333337</v>
      </c>
      <c r="DK195" s="106">
        <f>+PMGR!DK195+BP!DK195</f>
        <v>591.83333333333337</v>
      </c>
      <c r="DL195" s="106">
        <f>+PMGR!DL195+BP!DL195</f>
        <v>591.83333333333337</v>
      </c>
      <c r="DM195" s="106">
        <f>+PMGR!DM195+BP!DM195</f>
        <v>591.83333333333337</v>
      </c>
      <c r="DN195" s="106">
        <f>+PMGR!DN195+BP!DN195</f>
        <v>591.83333333333337</v>
      </c>
      <c r="DO195" s="106">
        <f>+PMGR!DO195+BP!DO195</f>
        <v>591.83333333333337</v>
      </c>
      <c r="DP195" s="106">
        <f>+PMGR!DP195+BP!DP195</f>
        <v>591.83333333333337</v>
      </c>
      <c r="DQ195" s="106">
        <f>+PMGR!DQ195+BP!DQ195</f>
        <v>591.83333333333337</v>
      </c>
      <c r="DR195" s="106">
        <f>+PMGR!DR195+BP!DR195</f>
        <v>591.83333333333337</v>
      </c>
      <c r="DS195" s="106">
        <f>+PMGR!DS195+BP!DS195</f>
        <v>591.83333333333337</v>
      </c>
      <c r="DT195" s="106">
        <f>+PMGR!DT195+BP!DT195</f>
        <v>591.83333333333337</v>
      </c>
      <c r="DU195" s="106">
        <f t="shared" si="957"/>
        <v>7101.9999999999991</v>
      </c>
      <c r="DV195" s="106"/>
      <c r="DW195" s="106">
        <f>+PMGR!DW195+BP!DW195</f>
        <v>0</v>
      </c>
      <c r="DX195" s="106">
        <f>+PMGR!DX195+BP!DX195</f>
        <v>0</v>
      </c>
      <c r="DY195" s="106">
        <f>+PMGR!DY195+BP!DY195</f>
        <v>0</v>
      </c>
      <c r="DZ195" s="106">
        <f>+PMGR!DZ195+BP!DZ195</f>
        <v>0</v>
      </c>
      <c r="EA195" s="106">
        <f>+PMGR!EA195+BP!EA195</f>
        <v>0</v>
      </c>
      <c r="EB195" s="106">
        <f>+PMGR!EB195+BP!EB195</f>
        <v>0</v>
      </c>
      <c r="EC195" s="106">
        <f>+PMGR!EC195+BP!EC195</f>
        <v>0</v>
      </c>
      <c r="ED195" s="106">
        <f>+PMGR!ED195+BP!ED195</f>
        <v>0</v>
      </c>
      <c r="EE195" s="106">
        <f>+PMGR!EE195+BP!EE195</f>
        <v>0</v>
      </c>
      <c r="EF195" s="106">
        <f>+PMGR!EF195+BP!EF195</f>
        <v>0</v>
      </c>
      <c r="EG195" s="106">
        <f>+PMGR!EG195+BP!EG195</f>
        <v>0</v>
      </c>
      <c r="EH195" s="106">
        <f>+PMGR!EH195+BP!EH195</f>
        <v>0</v>
      </c>
      <c r="EI195" s="106">
        <f t="shared" si="958"/>
        <v>0</v>
      </c>
      <c r="EJ195" s="16" t="str">
        <f t="shared" si="681"/>
        <v>License Fees</v>
      </c>
      <c r="EK195" s="106">
        <f>+PMGR!EK195+BP!EK195</f>
        <v>219</v>
      </c>
      <c r="EL195" s="106">
        <f>+PMGR!EL195+BP!EL195</f>
        <v>230</v>
      </c>
      <c r="EM195" s="106">
        <f>+PMGR!EM195+BP!EM195</f>
        <v>230</v>
      </c>
      <c r="EN195" s="106">
        <f>+PMGR!EN195+BP!EN195</f>
        <v>230</v>
      </c>
      <c r="EO195" s="106">
        <f>+PMGR!EO195+BP!EO195</f>
        <v>230</v>
      </c>
      <c r="EP195" s="106">
        <f>+PMGR!EP195+BP!EP195</f>
        <v>230</v>
      </c>
      <c r="EQ195" s="106">
        <f>+PMGR!EQ195+BP!EQ195</f>
        <v>230</v>
      </c>
      <c r="ER195" s="106">
        <f>+PMGR!ER195+BP!ER195</f>
        <v>230</v>
      </c>
      <c r="ES195" s="106">
        <f>+PMGR!ES195+BP!ES195</f>
        <v>230</v>
      </c>
      <c r="ET195" s="106">
        <f>+PMGR!ET195+BP!ET195</f>
        <v>230</v>
      </c>
      <c r="EU195" s="106">
        <f>+PMGR!EU195+BP!EU195</f>
        <v>0</v>
      </c>
      <c r="EV195" s="106">
        <f>+PMGR!EV195+BP!EV195</f>
        <v>0</v>
      </c>
      <c r="EW195" s="106">
        <f t="shared" si="959"/>
        <v>2289</v>
      </c>
      <c r="EX195" s="118"/>
      <c r="EY195" s="106">
        <f>+PMGR!EY195+BP!EY195</f>
        <v>200</v>
      </c>
      <c r="EZ195" s="106">
        <f>+PMGR!EZ195+BP!EZ195</f>
        <v>200</v>
      </c>
      <c r="FA195" s="106">
        <f>+PMGR!FA195+BP!FA195</f>
        <v>200</v>
      </c>
      <c r="FB195" s="106">
        <f>+PMGR!FB195+BP!FB195</f>
        <v>200</v>
      </c>
      <c r="FC195" s="106">
        <f>+PMGR!FC195+BP!FC195</f>
        <v>200</v>
      </c>
      <c r="FD195" s="106">
        <f>+PMGR!FD195+BP!FD195</f>
        <v>200</v>
      </c>
      <c r="FE195" s="106">
        <f>+PMGR!FE195+BP!FE195</f>
        <v>200</v>
      </c>
      <c r="FF195" s="106">
        <f>+PMGR!FF195+BP!FF195</f>
        <v>200</v>
      </c>
      <c r="FG195" s="106">
        <f>+PMGR!FG195+BP!FG195</f>
        <v>200</v>
      </c>
      <c r="FH195" s="106">
        <f>+PMGR!FH195+BP!FH195</f>
        <v>200</v>
      </c>
      <c r="FI195" s="106">
        <f>+PMGR!FI195+BP!FI195</f>
        <v>200</v>
      </c>
      <c r="FJ195" s="106">
        <f>+PMGR!FJ195+BP!FJ195</f>
        <v>200</v>
      </c>
      <c r="FK195" s="106">
        <f t="shared" si="960"/>
        <v>2400</v>
      </c>
    </row>
    <row r="196" spans="1:167" ht="14.45" hidden="1" customHeight="1" outlineLevel="2">
      <c r="A196" s="106">
        <f t="shared" si="946"/>
        <v>1375.06</v>
      </c>
      <c r="B196" s="106">
        <f t="shared" si="946"/>
        <v>84600</v>
      </c>
      <c r="C196" s="106">
        <f t="shared" si="946"/>
        <v>8675</v>
      </c>
      <c r="D196" s="106">
        <f t="shared" si="946"/>
        <v>1375</v>
      </c>
      <c r="E196" s="106">
        <f t="shared" si="946"/>
        <v>1375</v>
      </c>
      <c r="F196" s="106">
        <f t="shared" si="946"/>
        <v>1375</v>
      </c>
      <c r="G196" s="106">
        <f t="shared" si="946"/>
        <v>8275</v>
      </c>
      <c r="H196" s="106">
        <f t="shared" si="946"/>
        <v>1375</v>
      </c>
      <c r="I196" s="106">
        <f t="shared" si="946"/>
        <v>4375.0599999999995</v>
      </c>
      <c r="J196" s="106">
        <f t="shared" si="946"/>
        <v>2750</v>
      </c>
      <c r="K196" s="106">
        <f t="shared" si="946"/>
        <v>39292.559999999998</v>
      </c>
      <c r="L196" s="106">
        <f t="shared" si="946"/>
        <v>541660</v>
      </c>
      <c r="M196" s="106">
        <f t="shared" si="947"/>
        <v>696502.67999999993</v>
      </c>
      <c r="N196" s="16" t="s">
        <v>233</v>
      </c>
      <c r="O196" s="106">
        <f t="shared" si="948"/>
        <v>42542</v>
      </c>
      <c r="P196" s="106">
        <f t="shared" si="948"/>
        <v>93123.78</v>
      </c>
      <c r="Q196" s="106">
        <f t="shared" si="948"/>
        <v>28371.73</v>
      </c>
      <c r="R196" s="106">
        <f t="shared" si="948"/>
        <v>176608.72999999998</v>
      </c>
      <c r="S196" s="106">
        <f t="shared" si="948"/>
        <v>16371.73</v>
      </c>
      <c r="T196" s="106">
        <f t="shared" si="948"/>
        <v>3541.73</v>
      </c>
      <c r="U196" s="106">
        <f t="shared" si="948"/>
        <v>285441.72566666664</v>
      </c>
      <c r="V196" s="106">
        <f t="shared" si="948"/>
        <v>8542</v>
      </c>
      <c r="W196" s="106">
        <f t="shared" si="948"/>
        <v>3701.3</v>
      </c>
      <c r="X196" s="106">
        <f t="shared" si="948"/>
        <v>3542</v>
      </c>
      <c r="Y196" s="106">
        <f t="shared" si="948"/>
        <v>0</v>
      </c>
      <c r="Z196" s="106">
        <f t="shared" si="948"/>
        <v>0</v>
      </c>
      <c r="AA196" s="106">
        <f t="shared" si="949"/>
        <v>661786.72566666664</v>
      </c>
      <c r="AB196" s="118"/>
      <c r="AC196" s="106">
        <f t="shared" si="950"/>
        <v>26375.059000000005</v>
      </c>
      <c r="AD196" s="106">
        <f t="shared" si="950"/>
        <v>26375.059000000001</v>
      </c>
      <c r="AE196" s="106">
        <f t="shared" si="950"/>
        <v>26375.059000000001</v>
      </c>
      <c r="AF196" s="106">
        <f t="shared" si="950"/>
        <v>26375.059000000001</v>
      </c>
      <c r="AG196" s="106">
        <f t="shared" si="950"/>
        <v>26375.059000000001</v>
      </c>
      <c r="AH196" s="106">
        <f t="shared" si="950"/>
        <v>26375.059000000001</v>
      </c>
      <c r="AI196" s="106">
        <f t="shared" si="950"/>
        <v>26375.059000000001</v>
      </c>
      <c r="AJ196" s="106">
        <f t="shared" si="950"/>
        <v>26375.059000000001</v>
      </c>
      <c r="AK196" s="106">
        <f t="shared" si="950"/>
        <v>26375.059000000001</v>
      </c>
      <c r="AL196" s="106">
        <f t="shared" si="950"/>
        <v>26375.059000000001</v>
      </c>
      <c r="AM196" s="106">
        <f t="shared" si="950"/>
        <v>26375.059000000001</v>
      </c>
      <c r="AN196" s="106">
        <f t="shared" si="950"/>
        <v>26375.059000000001</v>
      </c>
      <c r="AO196" s="106">
        <f t="shared" si="951"/>
        <v>316500.70800000004</v>
      </c>
      <c r="AP196" s="106"/>
      <c r="AQ196" s="106">
        <f>+PMGR!AQ196+BP!AQ196</f>
        <v>0</v>
      </c>
      <c r="AR196" s="106">
        <f>+PMGR!AR196+BP!AR196</f>
        <v>83225</v>
      </c>
      <c r="AS196" s="106">
        <f>+PMGR!AS196+BP!AS196</f>
        <v>7300</v>
      </c>
      <c r="AT196" s="106">
        <f>+PMGR!AT196+BP!AT196</f>
        <v>0</v>
      </c>
      <c r="AU196" s="106">
        <f>+PMGR!AU196+BP!AU196</f>
        <v>0</v>
      </c>
      <c r="AV196" s="106">
        <f>+PMGR!AV196+BP!AV196</f>
        <v>0</v>
      </c>
      <c r="AW196" s="106">
        <f>+PMGR!AW196+BP!AW196</f>
        <v>0</v>
      </c>
      <c r="AX196" s="106">
        <f>+PMGR!AX196+BP!AX196</f>
        <v>0</v>
      </c>
      <c r="AY196" s="106">
        <f>+PMGR!AY196+BP!AY196</f>
        <v>3000</v>
      </c>
      <c r="AZ196" s="106">
        <f>+PMGR!AZ196+BP!AZ196</f>
        <v>0</v>
      </c>
      <c r="BA196" s="106">
        <f>+PMGR!BA196+BP!BA196</f>
        <v>30890</v>
      </c>
      <c r="BB196" s="106">
        <f>+PMGR!BB196+BP!BB196</f>
        <v>540285</v>
      </c>
      <c r="BC196" s="106">
        <f t="shared" si="952"/>
        <v>664700</v>
      </c>
      <c r="BD196" s="16" t="str">
        <f t="shared" si="671"/>
        <v>Fees and Taxes</v>
      </c>
      <c r="BE196" s="106">
        <f>+PMGR!BE196+BP!BE196</f>
        <v>0</v>
      </c>
      <c r="BF196" s="106">
        <f>+PMGR!BF196+BP!BF196</f>
        <v>0</v>
      </c>
      <c r="BG196" s="106">
        <f>+PMGR!BG196+BP!BG196</f>
        <v>0</v>
      </c>
      <c r="BH196" s="106">
        <f>+PMGR!BH196+BP!BH196</f>
        <v>153597</v>
      </c>
      <c r="BI196" s="106">
        <f>+PMGR!BI196+BP!BI196</f>
        <v>0</v>
      </c>
      <c r="BJ196" s="106">
        <f>+PMGR!BJ196+BP!BJ196</f>
        <v>0</v>
      </c>
      <c r="BK196" s="106">
        <f>+PMGR!BK196+BP!BK196</f>
        <v>0</v>
      </c>
      <c r="BL196" s="106">
        <f>+PMGR!BL196+BP!BL196</f>
        <v>0</v>
      </c>
      <c r="BM196" s="106">
        <f>+PMGR!BM196+BP!BM196</f>
        <v>106.2</v>
      </c>
      <c r="BN196" s="106">
        <f>+PMGR!BN196+BP!BN196</f>
        <v>0</v>
      </c>
      <c r="BO196" s="106">
        <f>+PMGR!BO196+BP!BO196</f>
        <v>0</v>
      </c>
      <c r="BP196" s="106">
        <f>+PMGR!BP196+BP!BP196</f>
        <v>0</v>
      </c>
      <c r="BQ196" s="106">
        <f t="shared" si="953"/>
        <v>153703.20000000001</v>
      </c>
      <c r="BR196" s="118"/>
      <c r="BS196" s="106">
        <f>+PMGR!BS196+BP!BS196</f>
        <v>0</v>
      </c>
      <c r="BT196" s="106">
        <f>+PMGR!BT196+BP!BT196</f>
        <v>0</v>
      </c>
      <c r="BU196" s="106">
        <f>+PMGR!BU196+BP!BU196</f>
        <v>0</v>
      </c>
      <c r="BV196" s="106">
        <f>+PMGR!BV196+BP!BV196</f>
        <v>0</v>
      </c>
      <c r="BW196" s="106">
        <f>+PMGR!BW196+BP!BW196</f>
        <v>0</v>
      </c>
      <c r="BX196" s="106">
        <f>+PMGR!BX196+BP!BX196</f>
        <v>0</v>
      </c>
      <c r="BY196" s="106">
        <f>+PMGR!BY196+BP!BY196</f>
        <v>0</v>
      </c>
      <c r="BZ196" s="106">
        <f>+PMGR!BZ196+BP!BZ196</f>
        <v>0</v>
      </c>
      <c r="CA196" s="106">
        <f>+PMGR!CA196+BP!CA196</f>
        <v>0</v>
      </c>
      <c r="CB196" s="106">
        <f>+PMGR!CB196+BP!CB196</f>
        <v>0</v>
      </c>
      <c r="CC196" s="106">
        <f>+PMGR!CC196+BP!CC196</f>
        <v>0</v>
      </c>
      <c r="CD196" s="106">
        <f>+PMGR!CD196+BP!CD196</f>
        <v>0</v>
      </c>
      <c r="CE196" s="106">
        <f t="shared" si="954"/>
        <v>0</v>
      </c>
      <c r="CF196" s="106"/>
      <c r="CG196" s="106">
        <f>+PMGR!CG196+BP!CG196</f>
        <v>1375.06</v>
      </c>
      <c r="CH196" s="106">
        <f>+PMGR!CH196+BP!CH196</f>
        <v>1375</v>
      </c>
      <c r="CI196" s="106">
        <f>+PMGR!CI196+BP!CI196</f>
        <v>1375</v>
      </c>
      <c r="CJ196" s="106">
        <f>+PMGR!CJ196+BP!CJ196</f>
        <v>1375</v>
      </c>
      <c r="CK196" s="106">
        <f>+PMGR!CK196+BP!CK196</f>
        <v>1375</v>
      </c>
      <c r="CL196" s="106">
        <f>+PMGR!CL196+BP!CL196</f>
        <v>1375</v>
      </c>
      <c r="CM196" s="106">
        <f>+PMGR!CM196+BP!CM196</f>
        <v>8275</v>
      </c>
      <c r="CN196" s="106">
        <f>+PMGR!CN196+BP!CN196</f>
        <v>1375</v>
      </c>
      <c r="CO196" s="106">
        <f>+PMGR!CO196+BP!CO196</f>
        <v>1375.06</v>
      </c>
      <c r="CP196" s="106">
        <f>+PMGR!CP196+BP!CP196</f>
        <v>2750</v>
      </c>
      <c r="CQ196" s="106">
        <f>+PMGR!CQ196+BP!CQ196</f>
        <v>8402.5600000000013</v>
      </c>
      <c r="CR196" s="106">
        <f>+PMGR!CR196+BP!CR196</f>
        <v>1375</v>
      </c>
      <c r="CS196" s="106">
        <f t="shared" si="955"/>
        <v>31802.68</v>
      </c>
      <c r="CT196" s="16" t="str">
        <f t="shared" si="675"/>
        <v>Fees and Taxes</v>
      </c>
      <c r="CU196" s="106">
        <f>+PMGR!CU196+BP!CU196</f>
        <v>1375</v>
      </c>
      <c r="CV196" s="106">
        <f>+PMGR!CV196+BP!CV196</f>
        <v>1375</v>
      </c>
      <c r="CW196" s="106">
        <f>+PMGR!CW196+BP!CW196</f>
        <v>1375.06</v>
      </c>
      <c r="CX196" s="106">
        <f>+PMGR!CX196+BP!CX196</f>
        <v>1375.06</v>
      </c>
      <c r="CY196" s="106">
        <f>+PMGR!CY196+BP!CY196</f>
        <v>1375.06</v>
      </c>
      <c r="CZ196" s="106">
        <f>+PMGR!CZ196+BP!CZ196</f>
        <v>1375.06</v>
      </c>
      <c r="DA196" s="106">
        <f>+PMGR!DA196+BP!DA196</f>
        <v>8275.0589999999993</v>
      </c>
      <c r="DB196" s="106">
        <f>+PMGR!DB196+BP!DB196</f>
        <v>6375</v>
      </c>
      <c r="DC196" s="106">
        <f>+PMGR!DC196+BP!DC196</f>
        <v>1428.1</v>
      </c>
      <c r="DD196" s="106">
        <f>+PMGR!DD196+BP!DD196</f>
        <v>1375</v>
      </c>
      <c r="DE196" s="106">
        <f>+PMGR!DE196+BP!DE196</f>
        <v>0</v>
      </c>
      <c r="DF196" s="106">
        <f>+PMGR!DF196+BP!DF196</f>
        <v>0</v>
      </c>
      <c r="DG196" s="106">
        <f t="shared" si="956"/>
        <v>25703.398999999998</v>
      </c>
      <c r="DH196" s="118"/>
      <c r="DI196" s="106">
        <f>+PMGR!DI196+BP!DI196</f>
        <v>1375.059</v>
      </c>
      <c r="DJ196" s="106">
        <f>+PMGR!DJ196+BP!DJ196</f>
        <v>1375.059</v>
      </c>
      <c r="DK196" s="106">
        <f>+PMGR!DK196+BP!DK196</f>
        <v>1375.059</v>
      </c>
      <c r="DL196" s="106">
        <f>+PMGR!DL196+BP!DL196</f>
        <v>1375.059</v>
      </c>
      <c r="DM196" s="106">
        <f>+PMGR!DM196+BP!DM196</f>
        <v>1375.059</v>
      </c>
      <c r="DN196" s="106">
        <f>+PMGR!DN196+BP!DN196</f>
        <v>1375.059</v>
      </c>
      <c r="DO196" s="106">
        <f>+PMGR!DO196+BP!DO196</f>
        <v>1375.059</v>
      </c>
      <c r="DP196" s="106">
        <f>+PMGR!DP196+BP!DP196</f>
        <v>1375.059</v>
      </c>
      <c r="DQ196" s="106">
        <f>+PMGR!DQ196+BP!DQ196</f>
        <v>1375.059</v>
      </c>
      <c r="DR196" s="106">
        <f>+PMGR!DR196+BP!DR196</f>
        <v>1375.059</v>
      </c>
      <c r="DS196" s="106">
        <f>+PMGR!DS196+BP!DS196</f>
        <v>1375.059</v>
      </c>
      <c r="DT196" s="106">
        <f>+PMGR!DT196+BP!DT196</f>
        <v>1375.059</v>
      </c>
      <c r="DU196" s="106">
        <f t="shared" si="957"/>
        <v>16500.707999999995</v>
      </c>
      <c r="DV196" s="106"/>
      <c r="DW196" s="106">
        <f>+PMGR!DW196+BP!DW196</f>
        <v>0</v>
      </c>
      <c r="DX196" s="106">
        <f>+PMGR!DX196+BP!DX196</f>
        <v>0</v>
      </c>
      <c r="DY196" s="106">
        <f>+PMGR!DY196+BP!DY196</f>
        <v>0</v>
      </c>
      <c r="DZ196" s="106">
        <f>+PMGR!DZ196+BP!DZ196</f>
        <v>0</v>
      </c>
      <c r="EA196" s="106">
        <f>+PMGR!EA196+BP!EA196</f>
        <v>0</v>
      </c>
      <c r="EB196" s="106">
        <f>+PMGR!EB196+BP!EB196</f>
        <v>0</v>
      </c>
      <c r="EC196" s="106">
        <f>+PMGR!EC196+BP!EC196</f>
        <v>0</v>
      </c>
      <c r="ED196" s="106">
        <f>+PMGR!ED196+BP!ED196</f>
        <v>0</v>
      </c>
      <c r="EE196" s="106">
        <f>+PMGR!EE196+BP!EE196</f>
        <v>0</v>
      </c>
      <c r="EF196" s="106">
        <f>+PMGR!EF196+BP!EF196</f>
        <v>0</v>
      </c>
      <c r="EG196" s="106">
        <f>+PMGR!EG196+BP!EG196</f>
        <v>0</v>
      </c>
      <c r="EH196" s="106">
        <f>+PMGR!EH196+BP!EH196</f>
        <v>0</v>
      </c>
      <c r="EI196" s="106">
        <f t="shared" si="958"/>
        <v>0</v>
      </c>
      <c r="EJ196" s="16" t="str">
        <f t="shared" si="681"/>
        <v>Fees and Taxes</v>
      </c>
      <c r="EK196" s="106">
        <f>+PMGR!EK196+BP!EK196</f>
        <v>41167</v>
      </c>
      <c r="EL196" s="106">
        <f>+PMGR!EL196+BP!EL196</f>
        <v>91748.78</v>
      </c>
      <c r="EM196" s="106">
        <f>+PMGR!EM196+BP!EM196</f>
        <v>26996.67</v>
      </c>
      <c r="EN196" s="106">
        <f>+PMGR!EN196+BP!EN196</f>
        <v>21636.67</v>
      </c>
      <c r="EO196" s="106">
        <f>+PMGR!EO196+BP!EO196</f>
        <v>14996.67</v>
      </c>
      <c r="EP196" s="106">
        <f>+PMGR!EP196+BP!EP196</f>
        <v>2166.67</v>
      </c>
      <c r="EQ196" s="106">
        <f>+PMGR!EQ196+BP!EQ196</f>
        <v>277166.66666666663</v>
      </c>
      <c r="ER196" s="106">
        <f>+PMGR!ER196+BP!ER196</f>
        <v>2167</v>
      </c>
      <c r="ES196" s="106">
        <f>+PMGR!ES196+BP!ES196</f>
        <v>2167</v>
      </c>
      <c r="ET196" s="106">
        <f>+PMGR!ET196+BP!ET196</f>
        <v>2167</v>
      </c>
      <c r="EU196" s="106">
        <f>+PMGR!EU196+BP!EU196</f>
        <v>0</v>
      </c>
      <c r="EV196" s="106">
        <f>+PMGR!EV196+BP!EV196</f>
        <v>0</v>
      </c>
      <c r="EW196" s="106">
        <f t="shared" si="959"/>
        <v>482380.12666666665</v>
      </c>
      <c r="EX196" s="118"/>
      <c r="EY196" s="106">
        <f>+PMGR!EY196+BP!EY196</f>
        <v>25000.000000000004</v>
      </c>
      <c r="EZ196" s="106">
        <f>+PMGR!EZ196+BP!EZ196</f>
        <v>25000</v>
      </c>
      <c r="FA196" s="106">
        <f>+PMGR!FA196+BP!FA196</f>
        <v>25000</v>
      </c>
      <c r="FB196" s="106">
        <f>+PMGR!FB196+BP!FB196</f>
        <v>25000</v>
      </c>
      <c r="FC196" s="106">
        <f>+PMGR!FC196+BP!FC196</f>
        <v>25000</v>
      </c>
      <c r="FD196" s="106">
        <f>+PMGR!FD196+BP!FD196</f>
        <v>25000</v>
      </c>
      <c r="FE196" s="106">
        <f>+PMGR!FE196+BP!FE196</f>
        <v>25000</v>
      </c>
      <c r="FF196" s="106">
        <f>+PMGR!FF196+BP!FF196</f>
        <v>25000</v>
      </c>
      <c r="FG196" s="106">
        <f>+PMGR!FG196+BP!FG196</f>
        <v>25000</v>
      </c>
      <c r="FH196" s="106">
        <f>+PMGR!FH196+BP!FH196</f>
        <v>25000</v>
      </c>
      <c r="FI196" s="106">
        <f>+PMGR!FI196+BP!FI196</f>
        <v>25000</v>
      </c>
      <c r="FJ196" s="106">
        <f>+PMGR!FJ196+BP!FJ196</f>
        <v>25000</v>
      </c>
      <c r="FK196" s="106">
        <f t="shared" si="960"/>
        <v>300000</v>
      </c>
    </row>
    <row r="197" spans="1:167" ht="14.45" hidden="1" customHeight="1" outlineLevel="2">
      <c r="A197" s="106">
        <f t="shared" si="946"/>
        <v>0</v>
      </c>
      <c r="B197" s="106">
        <f t="shared" si="946"/>
        <v>0</v>
      </c>
      <c r="C197" s="106">
        <f t="shared" si="946"/>
        <v>0</v>
      </c>
      <c r="D197" s="106">
        <f t="shared" si="946"/>
        <v>0</v>
      </c>
      <c r="E197" s="106">
        <f t="shared" si="946"/>
        <v>0</v>
      </c>
      <c r="F197" s="106">
        <f t="shared" si="946"/>
        <v>0</v>
      </c>
      <c r="G197" s="106">
        <f t="shared" si="946"/>
        <v>0</v>
      </c>
      <c r="H197" s="106">
        <f t="shared" si="946"/>
        <v>0</v>
      </c>
      <c r="I197" s="106">
        <f t="shared" si="946"/>
        <v>0</v>
      </c>
      <c r="J197" s="106">
        <f t="shared" si="946"/>
        <v>0</v>
      </c>
      <c r="K197" s="106">
        <f t="shared" si="946"/>
        <v>0</v>
      </c>
      <c r="L197" s="106">
        <f t="shared" si="946"/>
        <v>0</v>
      </c>
      <c r="M197" s="106">
        <f t="shared" si="947"/>
        <v>0</v>
      </c>
      <c r="N197" s="16" t="s">
        <v>165</v>
      </c>
      <c r="O197" s="106">
        <f t="shared" si="948"/>
        <v>0</v>
      </c>
      <c r="P197" s="106">
        <f t="shared" si="948"/>
        <v>0</v>
      </c>
      <c r="Q197" s="106">
        <f t="shared" si="948"/>
        <v>0</v>
      </c>
      <c r="R197" s="106">
        <f t="shared" si="948"/>
        <v>0</v>
      </c>
      <c r="S197" s="106">
        <f t="shared" si="948"/>
        <v>0</v>
      </c>
      <c r="T197" s="106">
        <f t="shared" si="948"/>
        <v>0</v>
      </c>
      <c r="U197" s="106">
        <f t="shared" si="948"/>
        <v>0</v>
      </c>
      <c r="V197" s="106">
        <f t="shared" si="948"/>
        <v>0</v>
      </c>
      <c r="W197" s="106">
        <f t="shared" si="948"/>
        <v>0</v>
      </c>
      <c r="X197" s="106">
        <f t="shared" si="948"/>
        <v>0</v>
      </c>
      <c r="Y197" s="106">
        <f t="shared" si="948"/>
        <v>0</v>
      </c>
      <c r="Z197" s="106">
        <f t="shared" si="948"/>
        <v>0</v>
      </c>
      <c r="AA197" s="106">
        <f t="shared" si="949"/>
        <v>0</v>
      </c>
      <c r="AB197" s="118"/>
      <c r="AC197" s="106">
        <f t="shared" si="950"/>
        <v>0</v>
      </c>
      <c r="AD197" s="106">
        <f t="shared" si="950"/>
        <v>0</v>
      </c>
      <c r="AE197" s="106">
        <f t="shared" si="950"/>
        <v>0</v>
      </c>
      <c r="AF197" s="106">
        <f t="shared" si="950"/>
        <v>0</v>
      </c>
      <c r="AG197" s="106">
        <f t="shared" si="950"/>
        <v>0</v>
      </c>
      <c r="AH197" s="106">
        <f t="shared" si="950"/>
        <v>0</v>
      </c>
      <c r="AI197" s="106">
        <f t="shared" si="950"/>
        <v>0</v>
      </c>
      <c r="AJ197" s="106">
        <f t="shared" si="950"/>
        <v>0</v>
      </c>
      <c r="AK197" s="106">
        <f t="shared" si="950"/>
        <v>0</v>
      </c>
      <c r="AL197" s="106">
        <f t="shared" si="950"/>
        <v>0</v>
      </c>
      <c r="AM197" s="106">
        <f t="shared" si="950"/>
        <v>0</v>
      </c>
      <c r="AN197" s="106">
        <f t="shared" si="950"/>
        <v>0</v>
      </c>
      <c r="AO197" s="106">
        <f t="shared" si="951"/>
        <v>0</v>
      </c>
      <c r="AP197" s="106"/>
      <c r="AQ197" s="106">
        <f>+PMGR!AQ197+BP!AQ197</f>
        <v>0</v>
      </c>
      <c r="AR197" s="106">
        <f>+PMGR!AR197+BP!AR197</f>
        <v>0</v>
      </c>
      <c r="AS197" s="106">
        <f>+PMGR!AS197+BP!AS197</f>
        <v>0</v>
      </c>
      <c r="AT197" s="106">
        <f>+PMGR!AT197+BP!AT197</f>
        <v>0</v>
      </c>
      <c r="AU197" s="106">
        <f>+PMGR!AU197+BP!AU197</f>
        <v>0</v>
      </c>
      <c r="AV197" s="106">
        <f>+PMGR!AV197+BP!AV197</f>
        <v>0</v>
      </c>
      <c r="AW197" s="106">
        <f>+PMGR!AW197+BP!AW197</f>
        <v>0</v>
      </c>
      <c r="AX197" s="106">
        <f>+PMGR!AX197+BP!AX197</f>
        <v>0</v>
      </c>
      <c r="AY197" s="106">
        <f>+PMGR!AY197+BP!AY197</f>
        <v>0</v>
      </c>
      <c r="AZ197" s="106">
        <f>+PMGR!AZ197+BP!AZ197</f>
        <v>0</v>
      </c>
      <c r="BA197" s="106">
        <f>+PMGR!BA197+BP!BA197</f>
        <v>0</v>
      </c>
      <c r="BB197" s="106">
        <f>+PMGR!BB197+BP!BB197</f>
        <v>0</v>
      </c>
      <c r="BC197" s="106">
        <f t="shared" si="952"/>
        <v>0</v>
      </c>
      <c r="BD197" s="16" t="str">
        <f t="shared" si="671"/>
        <v>Lux Elements Expenses</v>
      </c>
      <c r="BE197" s="106">
        <f>+PMGR!BE197+BP!BE197</f>
        <v>0</v>
      </c>
      <c r="BF197" s="106">
        <f>+PMGR!BF197+BP!BF197</f>
        <v>0</v>
      </c>
      <c r="BG197" s="106">
        <f>+PMGR!BG197+BP!BG197</f>
        <v>0</v>
      </c>
      <c r="BH197" s="106">
        <f>+PMGR!BH197+BP!BH197</f>
        <v>0</v>
      </c>
      <c r="BI197" s="106">
        <f>+PMGR!BI197+BP!BI197</f>
        <v>0</v>
      </c>
      <c r="BJ197" s="106">
        <f>+PMGR!BJ197+BP!BJ197</f>
        <v>0</v>
      </c>
      <c r="BK197" s="106">
        <f>+PMGR!BK197+BP!BK197</f>
        <v>0</v>
      </c>
      <c r="BL197" s="106">
        <f>+PMGR!BL197+BP!BL197</f>
        <v>0</v>
      </c>
      <c r="BM197" s="106">
        <f>+PMGR!BM197+BP!BM197</f>
        <v>0</v>
      </c>
      <c r="BN197" s="106">
        <f>+PMGR!BN197+BP!BN197</f>
        <v>0</v>
      </c>
      <c r="BO197" s="106">
        <f>+PMGR!BO197+BP!BO197</f>
        <v>0</v>
      </c>
      <c r="BP197" s="106">
        <f>+PMGR!BP197+BP!BP197</f>
        <v>0</v>
      </c>
      <c r="BQ197" s="106">
        <f t="shared" si="953"/>
        <v>0</v>
      </c>
      <c r="BR197" s="118"/>
      <c r="BS197" s="106">
        <f>+PMGR!BS197+BP!BS197</f>
        <v>0</v>
      </c>
      <c r="BT197" s="106">
        <f>+PMGR!BT197+BP!BT197</f>
        <v>0</v>
      </c>
      <c r="BU197" s="106">
        <f>+PMGR!BU197+BP!BU197</f>
        <v>0</v>
      </c>
      <c r="BV197" s="106">
        <f>+PMGR!BV197+BP!BV197</f>
        <v>0</v>
      </c>
      <c r="BW197" s="106">
        <f>+PMGR!BW197+BP!BW197</f>
        <v>0</v>
      </c>
      <c r="BX197" s="106">
        <f>+PMGR!BX197+BP!BX197</f>
        <v>0</v>
      </c>
      <c r="BY197" s="106">
        <f>+PMGR!BY197+BP!BY197</f>
        <v>0</v>
      </c>
      <c r="BZ197" s="106">
        <f>+PMGR!BZ197+BP!BZ197</f>
        <v>0</v>
      </c>
      <c r="CA197" s="106">
        <f>+PMGR!CA197+BP!CA197</f>
        <v>0</v>
      </c>
      <c r="CB197" s="106">
        <f>+PMGR!CB197+BP!CB197</f>
        <v>0</v>
      </c>
      <c r="CC197" s="106">
        <f>+PMGR!CC197+BP!CC197</f>
        <v>0</v>
      </c>
      <c r="CD197" s="106">
        <f>+PMGR!CD197+BP!CD197</f>
        <v>0</v>
      </c>
      <c r="CE197" s="106">
        <f t="shared" si="954"/>
        <v>0</v>
      </c>
      <c r="CF197" s="106"/>
      <c r="CG197" s="106">
        <f>+PMGR!CG197+BP!CG197</f>
        <v>0</v>
      </c>
      <c r="CH197" s="106">
        <f>+PMGR!CH197+BP!CH197</f>
        <v>0</v>
      </c>
      <c r="CI197" s="106">
        <f>+PMGR!CI197+BP!CI197</f>
        <v>0</v>
      </c>
      <c r="CJ197" s="106">
        <f>+PMGR!CJ197+BP!CJ197</f>
        <v>0</v>
      </c>
      <c r="CK197" s="106">
        <f>+PMGR!CK197+BP!CK197</f>
        <v>0</v>
      </c>
      <c r="CL197" s="106">
        <f>+PMGR!CL197+BP!CL197</f>
        <v>0</v>
      </c>
      <c r="CM197" s="106">
        <f>+PMGR!CM197+BP!CM197</f>
        <v>0</v>
      </c>
      <c r="CN197" s="106">
        <f>+PMGR!CN197+BP!CN197</f>
        <v>0</v>
      </c>
      <c r="CO197" s="106">
        <f>+PMGR!CO197+BP!CO197</f>
        <v>0</v>
      </c>
      <c r="CP197" s="106">
        <f>+PMGR!CP197+BP!CP197</f>
        <v>0</v>
      </c>
      <c r="CQ197" s="106">
        <f>+PMGR!CQ197+BP!CQ197</f>
        <v>0</v>
      </c>
      <c r="CR197" s="106">
        <f>+PMGR!CR197+BP!CR197</f>
        <v>0</v>
      </c>
      <c r="CS197" s="106">
        <f t="shared" si="955"/>
        <v>0</v>
      </c>
      <c r="CT197" s="16" t="str">
        <f t="shared" si="675"/>
        <v>Lux Elements Expenses</v>
      </c>
      <c r="CU197" s="106">
        <f>+PMGR!CU197+BP!CU197</f>
        <v>0</v>
      </c>
      <c r="CV197" s="106">
        <f>+PMGR!CV197+BP!CV197</f>
        <v>0</v>
      </c>
      <c r="CW197" s="106">
        <f>+PMGR!CW197+BP!CW197</f>
        <v>0</v>
      </c>
      <c r="CX197" s="106">
        <f>+PMGR!CX197+BP!CX197</f>
        <v>0</v>
      </c>
      <c r="CY197" s="106">
        <f>+PMGR!CY197+BP!CY197</f>
        <v>0</v>
      </c>
      <c r="CZ197" s="106">
        <f>+PMGR!CZ197+BP!CZ197</f>
        <v>0</v>
      </c>
      <c r="DA197" s="106">
        <f>+PMGR!DA197+BP!DA197</f>
        <v>0</v>
      </c>
      <c r="DB197" s="106">
        <f>+PMGR!DB197+BP!DB197</f>
        <v>0</v>
      </c>
      <c r="DC197" s="106">
        <f>+PMGR!DC197+BP!DC197</f>
        <v>0</v>
      </c>
      <c r="DD197" s="106">
        <f>+PMGR!DD197+BP!DD197</f>
        <v>0</v>
      </c>
      <c r="DE197" s="106">
        <f>+PMGR!DE197+BP!DE197</f>
        <v>0</v>
      </c>
      <c r="DF197" s="106">
        <f>+PMGR!DF197+BP!DF197</f>
        <v>0</v>
      </c>
      <c r="DG197" s="106">
        <f t="shared" si="956"/>
        <v>0</v>
      </c>
      <c r="DH197" s="118"/>
      <c r="DI197" s="106">
        <f>+PMGR!DI197+BP!DI197</f>
        <v>0</v>
      </c>
      <c r="DJ197" s="106">
        <f>+PMGR!DJ197+BP!DJ197</f>
        <v>0</v>
      </c>
      <c r="DK197" s="106">
        <f>+PMGR!DK197+BP!DK197</f>
        <v>0</v>
      </c>
      <c r="DL197" s="106">
        <f>+PMGR!DL197+BP!DL197</f>
        <v>0</v>
      </c>
      <c r="DM197" s="106">
        <f>+PMGR!DM197+BP!DM197</f>
        <v>0</v>
      </c>
      <c r="DN197" s="106">
        <f>+PMGR!DN197+BP!DN197</f>
        <v>0</v>
      </c>
      <c r="DO197" s="106">
        <f>+PMGR!DO197+BP!DO197</f>
        <v>0</v>
      </c>
      <c r="DP197" s="106">
        <f>+PMGR!DP197+BP!DP197</f>
        <v>0</v>
      </c>
      <c r="DQ197" s="106">
        <f>+PMGR!DQ197+BP!DQ197</f>
        <v>0</v>
      </c>
      <c r="DR197" s="106">
        <f>+PMGR!DR197+BP!DR197</f>
        <v>0</v>
      </c>
      <c r="DS197" s="106">
        <f>+PMGR!DS197+BP!DS197</f>
        <v>0</v>
      </c>
      <c r="DT197" s="106">
        <f>+PMGR!DT197+BP!DT197</f>
        <v>0</v>
      </c>
      <c r="DU197" s="106">
        <f t="shared" si="957"/>
        <v>0</v>
      </c>
      <c r="DV197" s="106"/>
      <c r="DW197" s="106">
        <f>+PMGR!DW197+BP!DW197</f>
        <v>0</v>
      </c>
      <c r="DX197" s="106">
        <f>+PMGR!DX197+BP!DX197</f>
        <v>0</v>
      </c>
      <c r="DY197" s="106">
        <f>+PMGR!DY197+BP!DY197</f>
        <v>0</v>
      </c>
      <c r="DZ197" s="106">
        <f>+PMGR!DZ197+BP!DZ197</f>
        <v>0</v>
      </c>
      <c r="EA197" s="106">
        <f>+PMGR!EA197+BP!EA197</f>
        <v>0</v>
      </c>
      <c r="EB197" s="106">
        <f>+PMGR!EB197+BP!EB197</f>
        <v>0</v>
      </c>
      <c r="EC197" s="106">
        <f>+PMGR!EC197+BP!EC197</f>
        <v>0</v>
      </c>
      <c r="ED197" s="106">
        <f>+PMGR!ED197+BP!ED197</f>
        <v>0</v>
      </c>
      <c r="EE197" s="106">
        <f>+PMGR!EE197+BP!EE197</f>
        <v>0</v>
      </c>
      <c r="EF197" s="106">
        <f>+PMGR!EF197+BP!EF197</f>
        <v>0</v>
      </c>
      <c r="EG197" s="106">
        <f>+PMGR!EG197+BP!EG197</f>
        <v>0</v>
      </c>
      <c r="EH197" s="106">
        <f>+PMGR!EH197+BP!EH197</f>
        <v>0</v>
      </c>
      <c r="EI197" s="106">
        <f t="shared" si="958"/>
        <v>0</v>
      </c>
      <c r="EJ197" s="16" t="str">
        <f t="shared" si="681"/>
        <v>Lux Elements Expenses</v>
      </c>
      <c r="EK197" s="106">
        <f>+PMGR!EK197+BP!EK197</f>
        <v>0</v>
      </c>
      <c r="EL197" s="106">
        <f>+PMGR!EL197+BP!EL197</f>
        <v>0</v>
      </c>
      <c r="EM197" s="106">
        <f>+PMGR!EM197+BP!EM197</f>
        <v>0</v>
      </c>
      <c r="EN197" s="106">
        <f>+PMGR!EN197+BP!EN197</f>
        <v>0</v>
      </c>
      <c r="EO197" s="106">
        <f>+PMGR!EO197+BP!EO197</f>
        <v>0</v>
      </c>
      <c r="EP197" s="106">
        <f>+PMGR!EP197+BP!EP197</f>
        <v>0</v>
      </c>
      <c r="EQ197" s="106">
        <f>+PMGR!EQ197+BP!EQ197</f>
        <v>0</v>
      </c>
      <c r="ER197" s="106">
        <f>+PMGR!ER197+BP!ER197</f>
        <v>0</v>
      </c>
      <c r="ES197" s="106">
        <f>+PMGR!ES197+BP!ES197</f>
        <v>0</v>
      </c>
      <c r="ET197" s="106">
        <f>+PMGR!ET197+BP!ET197</f>
        <v>0</v>
      </c>
      <c r="EU197" s="106">
        <f>+PMGR!EU197+BP!EU197</f>
        <v>0</v>
      </c>
      <c r="EV197" s="106">
        <f>+PMGR!EV197+BP!EV197</f>
        <v>0</v>
      </c>
      <c r="EW197" s="106">
        <f t="shared" si="959"/>
        <v>0</v>
      </c>
      <c r="EX197" s="118"/>
      <c r="EY197" s="106">
        <f>+PMGR!EY197+BP!EY197</f>
        <v>0</v>
      </c>
      <c r="EZ197" s="106">
        <f>+PMGR!EZ197+BP!EZ197</f>
        <v>0</v>
      </c>
      <c r="FA197" s="106">
        <f>+PMGR!FA197+BP!FA197</f>
        <v>0</v>
      </c>
      <c r="FB197" s="106">
        <f>+PMGR!FB197+BP!FB197</f>
        <v>0</v>
      </c>
      <c r="FC197" s="106">
        <f>+PMGR!FC197+BP!FC197</f>
        <v>0</v>
      </c>
      <c r="FD197" s="106">
        <f>+PMGR!FD197+BP!FD197</f>
        <v>0</v>
      </c>
      <c r="FE197" s="106">
        <f>+PMGR!FE197+BP!FE197</f>
        <v>0</v>
      </c>
      <c r="FF197" s="106">
        <f>+PMGR!FF197+BP!FF197</f>
        <v>0</v>
      </c>
      <c r="FG197" s="106">
        <f>+PMGR!FG197+BP!FG197</f>
        <v>0</v>
      </c>
      <c r="FH197" s="106">
        <f>+PMGR!FH197+BP!FH197</f>
        <v>0</v>
      </c>
      <c r="FI197" s="106">
        <f>+PMGR!FI197+BP!FI197</f>
        <v>0</v>
      </c>
      <c r="FJ197" s="106">
        <f>+PMGR!FJ197+BP!FJ197</f>
        <v>0</v>
      </c>
      <c r="FK197" s="106">
        <f t="shared" si="960"/>
        <v>0</v>
      </c>
    </row>
    <row r="198" spans="1:167" ht="14.45" hidden="1" customHeight="1" outlineLevel="2">
      <c r="A198" s="106">
        <f t="shared" si="946"/>
        <v>19415.195</v>
      </c>
      <c r="B198" s="106">
        <f t="shared" si="946"/>
        <v>19434.542000000001</v>
      </c>
      <c r="C198" s="106">
        <f t="shared" si="946"/>
        <v>51103.85</v>
      </c>
      <c r="D198" s="106">
        <f t="shared" si="946"/>
        <v>15697.924999999999</v>
      </c>
      <c r="E198" s="106">
        <f t="shared" si="946"/>
        <v>18934.364999999998</v>
      </c>
      <c r="F198" s="106">
        <f t="shared" si="946"/>
        <v>12662.455000000002</v>
      </c>
      <c r="G198" s="106">
        <f t="shared" si="946"/>
        <v>13266.49</v>
      </c>
      <c r="H198" s="106">
        <f t="shared" si="946"/>
        <v>14774.342999999999</v>
      </c>
      <c r="I198" s="106">
        <f t="shared" si="946"/>
        <v>38019.770000000004</v>
      </c>
      <c r="J198" s="106">
        <f t="shared" si="946"/>
        <v>13727.735000000001</v>
      </c>
      <c r="K198" s="106">
        <f t="shared" si="946"/>
        <v>8829.2900000000009</v>
      </c>
      <c r="L198" s="106">
        <f t="shared" si="946"/>
        <v>35445.195</v>
      </c>
      <c r="M198" s="106">
        <f t="shared" si="947"/>
        <v>261311.155</v>
      </c>
      <c r="N198" s="16" t="s">
        <v>166</v>
      </c>
      <c r="O198" s="106">
        <f t="shared" si="948"/>
        <v>109854.005</v>
      </c>
      <c r="P198" s="106">
        <f t="shared" si="948"/>
        <v>84510.48</v>
      </c>
      <c r="Q198" s="106">
        <f t="shared" si="948"/>
        <v>56311.73</v>
      </c>
      <c r="R198" s="106">
        <f t="shared" si="948"/>
        <v>50911.81</v>
      </c>
      <c r="S198" s="106">
        <f t="shared" si="948"/>
        <v>50583.255000000005</v>
      </c>
      <c r="T198" s="106">
        <f t="shared" si="948"/>
        <v>36124.01</v>
      </c>
      <c r="U198" s="106">
        <f t="shared" si="948"/>
        <v>36585.33</v>
      </c>
      <c r="V198" s="106">
        <f t="shared" si="948"/>
        <v>72274.604999999996</v>
      </c>
      <c r="W198" s="106">
        <f t="shared" si="948"/>
        <v>44765.645000000004</v>
      </c>
      <c r="X198" s="106">
        <f t="shared" si="948"/>
        <v>57105.195</v>
      </c>
      <c r="Y198" s="106">
        <f t="shared" si="948"/>
        <v>0</v>
      </c>
      <c r="Z198" s="106">
        <f t="shared" si="948"/>
        <v>0</v>
      </c>
      <c r="AA198" s="106">
        <f t="shared" si="949"/>
        <v>599026.06499999994</v>
      </c>
      <c r="AB198" s="118"/>
      <c r="AC198" s="106">
        <f t="shared" si="950"/>
        <v>47674.666666666664</v>
      </c>
      <c r="AD198" s="106">
        <f t="shared" si="950"/>
        <v>47674.666666666664</v>
      </c>
      <c r="AE198" s="106">
        <f t="shared" si="950"/>
        <v>47674.666666666664</v>
      </c>
      <c r="AF198" s="106">
        <f t="shared" si="950"/>
        <v>47674.666666666664</v>
      </c>
      <c r="AG198" s="106">
        <f t="shared" si="950"/>
        <v>47674.666666666664</v>
      </c>
      <c r="AH198" s="106">
        <f t="shared" si="950"/>
        <v>47674.666666666664</v>
      </c>
      <c r="AI198" s="106">
        <f t="shared" si="950"/>
        <v>47674.666666666664</v>
      </c>
      <c r="AJ198" s="106">
        <f t="shared" si="950"/>
        <v>47674.666666666664</v>
      </c>
      <c r="AK198" s="106">
        <f t="shared" si="950"/>
        <v>47674.666666666664</v>
      </c>
      <c r="AL198" s="106">
        <f t="shared" si="950"/>
        <v>47674.666666666664</v>
      </c>
      <c r="AM198" s="106">
        <f t="shared" si="950"/>
        <v>47674.666666666664</v>
      </c>
      <c r="AN198" s="106">
        <f t="shared" si="950"/>
        <v>47674.666666666664</v>
      </c>
      <c r="AO198" s="106">
        <f t="shared" si="951"/>
        <v>572096</v>
      </c>
      <c r="AP198" s="106"/>
      <c r="AQ198" s="106">
        <f>+PMGR!AQ198+BP!AQ198</f>
        <v>9012.4600000000009</v>
      </c>
      <c r="AR198" s="106">
        <f>+PMGR!AR198+BP!AR198</f>
        <v>13170.557999999999</v>
      </c>
      <c r="AS198" s="106">
        <f>+PMGR!AS198+BP!AS198</f>
        <v>46797.77</v>
      </c>
      <c r="AT198" s="106">
        <f>+PMGR!AT198+BP!AT198</f>
        <v>11792.58</v>
      </c>
      <c r="AU198" s="106">
        <f>+PMGR!AU198+BP!AU198</f>
        <v>13689.57</v>
      </c>
      <c r="AV198" s="106">
        <f>+PMGR!AV198+BP!AV198</f>
        <v>5597.52</v>
      </c>
      <c r="AW198" s="106">
        <f>+PMGR!AW198+BP!AW198</f>
        <v>8490.14</v>
      </c>
      <c r="AX198" s="106">
        <f>+PMGR!AX198+BP!AX198</f>
        <v>10178.611999999999</v>
      </c>
      <c r="AY198" s="106">
        <f>+PMGR!AY198+BP!AY198</f>
        <v>27608.720000000001</v>
      </c>
      <c r="AZ198" s="106">
        <f>+PMGR!AZ198+BP!AZ198</f>
        <v>11147.26</v>
      </c>
      <c r="BA198" s="106">
        <f>+PMGR!BA198+BP!BA198</f>
        <v>6473.64</v>
      </c>
      <c r="BB198" s="106">
        <f>+PMGR!BB198+BP!BB198</f>
        <v>31812.87</v>
      </c>
      <c r="BC198" s="106">
        <f t="shared" si="952"/>
        <v>195771.7</v>
      </c>
      <c r="BD198" s="16" t="str">
        <f t="shared" ref="BD198:BD250" si="961">N198</f>
        <v>Office Expenses</v>
      </c>
      <c r="BE198" s="106">
        <f>+PMGR!BE198+BP!BE198</f>
        <v>23960.47</v>
      </c>
      <c r="BF198" s="106">
        <f>+PMGR!BF198+BP!BF198</f>
        <v>15329.13</v>
      </c>
      <c r="BG198" s="106">
        <f>+PMGR!BG198+BP!BG198</f>
        <v>7517.23</v>
      </c>
      <c r="BH198" s="106">
        <f>+PMGR!BH198+BP!BH198</f>
        <v>5202.16</v>
      </c>
      <c r="BI198" s="106">
        <f>+PMGR!BI198+BP!BI198</f>
        <v>8237.1200000000008</v>
      </c>
      <c r="BJ198" s="106">
        <f>+PMGR!BJ198+BP!BJ198</f>
        <v>6730.66</v>
      </c>
      <c r="BK198" s="106">
        <f>+PMGR!BK198+BP!BK198</f>
        <v>4742.16</v>
      </c>
      <c r="BL198" s="106">
        <f>+PMGR!BL198+BP!BL198</f>
        <v>7191.32</v>
      </c>
      <c r="BM198" s="106">
        <f>+PMGR!BM198+BP!BM198</f>
        <v>7468.35</v>
      </c>
      <c r="BN198" s="106">
        <f>+PMGR!BN198+BP!BN198</f>
        <v>10688.72</v>
      </c>
      <c r="BO198" s="106">
        <f>+PMGR!BO198+BP!BO198</f>
        <v>0</v>
      </c>
      <c r="BP198" s="106">
        <f>+PMGR!BP198+BP!BP198</f>
        <v>0</v>
      </c>
      <c r="BQ198" s="106">
        <f t="shared" si="953"/>
        <v>97067.32</v>
      </c>
      <c r="BR198" s="118"/>
      <c r="BS198" s="106">
        <f>+PMGR!BS198+BP!BS198</f>
        <v>14592</v>
      </c>
      <c r="BT198" s="106">
        <f>+PMGR!BT198+BP!BT198</f>
        <v>14592</v>
      </c>
      <c r="BU198" s="106">
        <f>+PMGR!BU198+BP!BU198</f>
        <v>14592</v>
      </c>
      <c r="BV198" s="106">
        <f>+PMGR!BV198+BP!BV198</f>
        <v>14592</v>
      </c>
      <c r="BW198" s="106">
        <f>+PMGR!BW198+BP!BW198</f>
        <v>14592</v>
      </c>
      <c r="BX198" s="106">
        <f>+PMGR!BX198+BP!BX198</f>
        <v>14592</v>
      </c>
      <c r="BY198" s="106">
        <f>+PMGR!BY198+BP!BY198</f>
        <v>14592</v>
      </c>
      <c r="BZ198" s="106">
        <f>+PMGR!BZ198+BP!BZ198</f>
        <v>14592</v>
      </c>
      <c r="CA198" s="106">
        <f>+PMGR!CA198+BP!CA198</f>
        <v>14592</v>
      </c>
      <c r="CB198" s="106">
        <f>+PMGR!CB198+BP!CB198</f>
        <v>14592</v>
      </c>
      <c r="CC198" s="106">
        <f>+PMGR!CC198+BP!CC198</f>
        <v>14592</v>
      </c>
      <c r="CD198" s="106">
        <f>+PMGR!CD198+BP!CD198</f>
        <v>14592</v>
      </c>
      <c r="CE198" s="106">
        <f t="shared" si="954"/>
        <v>175104</v>
      </c>
      <c r="CF198" s="106"/>
      <c r="CG198" s="106">
        <f>+PMGR!CG198+BP!CG198</f>
        <v>10402.735000000001</v>
      </c>
      <c r="CH198" s="106">
        <f>+PMGR!CH198+BP!CH198</f>
        <v>6263.9840000000004</v>
      </c>
      <c r="CI198" s="106">
        <f>+PMGR!CI198+BP!CI198</f>
        <v>4306.08</v>
      </c>
      <c r="CJ198" s="106">
        <f>+PMGR!CJ198+BP!CJ198</f>
        <v>3905.3449999999998</v>
      </c>
      <c r="CK198" s="106">
        <f>+PMGR!CK198+BP!CK198</f>
        <v>5244.7949999999992</v>
      </c>
      <c r="CL198" s="106">
        <f>+PMGR!CL198+BP!CL198</f>
        <v>7064.9350000000004</v>
      </c>
      <c r="CM198" s="106">
        <f>+PMGR!CM198+BP!CM198</f>
        <v>4776.3500000000004</v>
      </c>
      <c r="CN198" s="106">
        <f>+PMGR!CN198+BP!CN198</f>
        <v>4595.7309999999998</v>
      </c>
      <c r="CO198" s="106">
        <f>+PMGR!CO198+BP!CO198</f>
        <v>10411.049999999999</v>
      </c>
      <c r="CP198" s="106">
        <f>+PMGR!CP198+BP!CP198</f>
        <v>2580.4749999999999</v>
      </c>
      <c r="CQ198" s="106">
        <f>+PMGR!CQ198+BP!CQ198</f>
        <v>2355.65</v>
      </c>
      <c r="CR198" s="106">
        <f>+PMGR!CR198+BP!CR198</f>
        <v>3632.3249999999998</v>
      </c>
      <c r="CS198" s="106">
        <f t="shared" si="955"/>
        <v>65539.454999999987</v>
      </c>
      <c r="CT198" s="16" t="str">
        <f t="shared" ref="CT198:CT250" si="962">BD198</f>
        <v>Office Expenses</v>
      </c>
      <c r="CU198" s="106">
        <f>+PMGR!CU198+BP!CU198</f>
        <v>6905.4250000000002</v>
      </c>
      <c r="CV198" s="106">
        <f>+PMGR!CV198+BP!CV198</f>
        <v>5396.35</v>
      </c>
      <c r="CW198" s="106">
        <f>+PMGR!CW198+BP!CW198</f>
        <v>2559.6</v>
      </c>
      <c r="CX198" s="106">
        <f>+PMGR!CX198+BP!CX198</f>
        <v>4651.6499999999996</v>
      </c>
      <c r="CY198" s="106">
        <f>+PMGR!CY198+BP!CY198</f>
        <v>4963.1350000000002</v>
      </c>
      <c r="CZ198" s="106">
        <f>+PMGR!CZ198+BP!CZ198</f>
        <v>3495.3500000000004</v>
      </c>
      <c r="DA198" s="106">
        <f>+PMGR!DA198+BP!DA198</f>
        <v>6747.170000000001</v>
      </c>
      <c r="DB198" s="106">
        <f>+PMGR!DB198+BP!DB198</f>
        <v>26718.285</v>
      </c>
      <c r="DC198" s="106">
        <f>+PMGR!DC198+BP!DC198</f>
        <v>8888.7749999999996</v>
      </c>
      <c r="DD198" s="106">
        <f>+PMGR!DD198+BP!DD198</f>
        <v>10620.275000000001</v>
      </c>
      <c r="DE198" s="106">
        <f>+PMGR!DE198+BP!DE198</f>
        <v>0</v>
      </c>
      <c r="DF198" s="106">
        <f>+PMGR!DF198+BP!DF198</f>
        <v>0</v>
      </c>
      <c r="DG198" s="106">
        <f t="shared" si="956"/>
        <v>80946.014999999985</v>
      </c>
      <c r="DH198" s="118"/>
      <c r="DI198" s="106">
        <f>+PMGR!DI198+BP!DI198</f>
        <v>16416</v>
      </c>
      <c r="DJ198" s="106">
        <f>+PMGR!DJ198+BP!DJ198</f>
        <v>16416</v>
      </c>
      <c r="DK198" s="106">
        <f>+PMGR!DK198+BP!DK198</f>
        <v>16416</v>
      </c>
      <c r="DL198" s="106">
        <f>+PMGR!DL198+BP!DL198</f>
        <v>16416</v>
      </c>
      <c r="DM198" s="106">
        <f>+PMGR!DM198+BP!DM198</f>
        <v>16416</v>
      </c>
      <c r="DN198" s="106">
        <f>+PMGR!DN198+BP!DN198</f>
        <v>16416</v>
      </c>
      <c r="DO198" s="106">
        <f>+PMGR!DO198+BP!DO198</f>
        <v>16416</v>
      </c>
      <c r="DP198" s="106">
        <f>+PMGR!DP198+BP!DP198</f>
        <v>16416</v>
      </c>
      <c r="DQ198" s="106">
        <f>+PMGR!DQ198+BP!DQ198</f>
        <v>16416</v>
      </c>
      <c r="DR198" s="106">
        <f>+PMGR!DR198+BP!DR198</f>
        <v>16416</v>
      </c>
      <c r="DS198" s="106">
        <f>+PMGR!DS198+BP!DS198</f>
        <v>16416</v>
      </c>
      <c r="DT198" s="106">
        <f>+PMGR!DT198+BP!DT198</f>
        <v>16416</v>
      </c>
      <c r="DU198" s="106">
        <f t="shared" si="957"/>
        <v>196992</v>
      </c>
      <c r="DV198" s="106"/>
      <c r="DW198" s="106">
        <f>+PMGR!DW198+BP!DW198</f>
        <v>0</v>
      </c>
      <c r="DX198" s="106">
        <f>+PMGR!DX198+BP!DX198</f>
        <v>0</v>
      </c>
      <c r="DY198" s="106">
        <f>+PMGR!DY198+BP!DY198</f>
        <v>0</v>
      </c>
      <c r="DZ198" s="106">
        <f>+PMGR!DZ198+BP!DZ198</f>
        <v>0</v>
      </c>
      <c r="EA198" s="106">
        <f>+PMGR!EA198+BP!EA198</f>
        <v>0</v>
      </c>
      <c r="EB198" s="106">
        <f>+PMGR!EB198+BP!EB198</f>
        <v>0</v>
      </c>
      <c r="EC198" s="106">
        <f>+PMGR!EC198+BP!EC198</f>
        <v>0</v>
      </c>
      <c r="ED198" s="106">
        <f>+PMGR!ED198+BP!ED198</f>
        <v>0</v>
      </c>
      <c r="EE198" s="106">
        <f>+PMGR!EE198+BP!EE198</f>
        <v>0</v>
      </c>
      <c r="EF198" s="106">
        <f>+PMGR!EF198+BP!EF198</f>
        <v>0</v>
      </c>
      <c r="EG198" s="106">
        <f>+PMGR!EG198+BP!EG198</f>
        <v>0</v>
      </c>
      <c r="EH198" s="106">
        <f>+PMGR!EH198+BP!EH198</f>
        <v>0</v>
      </c>
      <c r="EI198" s="106">
        <f t="shared" si="958"/>
        <v>0</v>
      </c>
      <c r="EJ198" s="16" t="str">
        <f t="shared" si="681"/>
        <v>Office Expenses</v>
      </c>
      <c r="EK198" s="106">
        <f>+PMGR!EK198+BP!EK198</f>
        <v>78988.11</v>
      </c>
      <c r="EL198" s="106">
        <f>+PMGR!EL198+BP!EL198</f>
        <v>63785</v>
      </c>
      <c r="EM198" s="106">
        <f>+PMGR!EM198+BP!EM198</f>
        <v>46234.9</v>
      </c>
      <c r="EN198" s="106">
        <f>+PMGR!EN198+BP!EN198</f>
        <v>41058</v>
      </c>
      <c r="EO198" s="106">
        <f>+PMGR!EO198+BP!EO198</f>
        <v>37383</v>
      </c>
      <c r="EP198" s="106">
        <f>+PMGR!EP198+BP!EP198</f>
        <v>25898</v>
      </c>
      <c r="EQ198" s="106">
        <f>+PMGR!EQ198+BP!EQ198</f>
        <v>25096</v>
      </c>
      <c r="ER198" s="106">
        <f>+PMGR!ER198+BP!ER198</f>
        <v>38365</v>
      </c>
      <c r="ES198" s="106">
        <f>+PMGR!ES198+BP!ES198</f>
        <v>28408.52</v>
      </c>
      <c r="ET198" s="106">
        <f>+PMGR!ET198+BP!ET198</f>
        <v>35796.199999999997</v>
      </c>
      <c r="EU198" s="106">
        <f>+PMGR!EU198+BP!EU198</f>
        <v>0</v>
      </c>
      <c r="EV198" s="106">
        <f>+PMGR!EV198+BP!EV198</f>
        <v>0</v>
      </c>
      <c r="EW198" s="106">
        <f t="shared" si="959"/>
        <v>421012.73000000004</v>
      </c>
      <c r="EX198" s="118"/>
      <c r="EY198" s="106">
        <f>+PMGR!EY198+BP!EY198</f>
        <v>16666.666666666664</v>
      </c>
      <c r="EZ198" s="106">
        <f>+PMGR!EZ198+BP!EZ198</f>
        <v>16666.666666666664</v>
      </c>
      <c r="FA198" s="106">
        <f>+PMGR!FA198+BP!FA198</f>
        <v>16666.666666666664</v>
      </c>
      <c r="FB198" s="106">
        <f>+PMGR!FB198+BP!FB198</f>
        <v>16666.666666666664</v>
      </c>
      <c r="FC198" s="106">
        <f>+PMGR!FC198+BP!FC198</f>
        <v>16666.666666666664</v>
      </c>
      <c r="FD198" s="106">
        <f>+PMGR!FD198+BP!FD198</f>
        <v>16666.666666666664</v>
      </c>
      <c r="FE198" s="106">
        <f>+PMGR!FE198+BP!FE198</f>
        <v>16666.666666666664</v>
      </c>
      <c r="FF198" s="106">
        <f>+PMGR!FF198+BP!FF198</f>
        <v>16666.666666666664</v>
      </c>
      <c r="FG198" s="106">
        <f>+PMGR!FG198+BP!FG198</f>
        <v>16666.666666666664</v>
      </c>
      <c r="FH198" s="106">
        <f>+PMGR!FH198+BP!FH198</f>
        <v>16666.666666666664</v>
      </c>
      <c r="FI198" s="106">
        <f>+PMGR!FI198+BP!FI198</f>
        <v>16666.666666666664</v>
      </c>
      <c r="FJ198" s="106">
        <f>+PMGR!FJ198+BP!FJ198</f>
        <v>16666.666666666664</v>
      </c>
      <c r="FK198" s="106">
        <f t="shared" si="960"/>
        <v>199999.99999999991</v>
      </c>
    </row>
    <row r="199" spans="1:167" ht="14.45" hidden="1" customHeight="1" outlineLevel="2">
      <c r="A199" s="106">
        <f t="shared" si="946"/>
        <v>22710.584999999999</v>
      </c>
      <c r="B199" s="106">
        <f t="shared" si="946"/>
        <v>19418.93</v>
      </c>
      <c r="C199" s="106">
        <f t="shared" si="946"/>
        <v>10965.93</v>
      </c>
      <c r="D199" s="106">
        <f t="shared" si="946"/>
        <v>3050.85</v>
      </c>
      <c r="E199" s="106">
        <f t="shared" si="946"/>
        <v>24565.405000000002</v>
      </c>
      <c r="F199" s="106">
        <f t="shared" si="946"/>
        <v>13175.29</v>
      </c>
      <c r="G199" s="106">
        <f t="shared" si="946"/>
        <v>18676.990000000002</v>
      </c>
      <c r="H199" s="106">
        <f t="shared" si="946"/>
        <v>13393.61</v>
      </c>
      <c r="I199" s="106">
        <f t="shared" si="946"/>
        <v>12919.29</v>
      </c>
      <c r="J199" s="106">
        <f t="shared" si="946"/>
        <v>22127.105</v>
      </c>
      <c r="K199" s="106">
        <f t="shared" si="946"/>
        <v>39610.554999999993</v>
      </c>
      <c r="L199" s="106">
        <f t="shared" si="946"/>
        <v>20145.830000000002</v>
      </c>
      <c r="M199" s="106">
        <f t="shared" si="947"/>
        <v>220760.37</v>
      </c>
      <c r="N199" s="16" t="s">
        <v>167</v>
      </c>
      <c r="O199" s="106">
        <f t="shared" si="948"/>
        <v>83832.150000000009</v>
      </c>
      <c r="P199" s="106">
        <f t="shared" si="948"/>
        <v>17975.04</v>
      </c>
      <c r="Q199" s="106">
        <f t="shared" si="948"/>
        <v>32551.309999999998</v>
      </c>
      <c r="R199" s="106">
        <f t="shared" si="948"/>
        <v>28104.675000000003</v>
      </c>
      <c r="S199" s="106">
        <f t="shared" si="948"/>
        <v>44030.74</v>
      </c>
      <c r="T199" s="106">
        <f t="shared" si="948"/>
        <v>33654.910000000003</v>
      </c>
      <c r="U199" s="106">
        <f t="shared" si="948"/>
        <v>31111.224999999999</v>
      </c>
      <c r="V199" s="106">
        <f t="shared" si="948"/>
        <v>46237.394999999997</v>
      </c>
      <c r="W199" s="106">
        <f t="shared" si="948"/>
        <v>43442.810000000005</v>
      </c>
      <c r="X199" s="106">
        <f t="shared" si="948"/>
        <v>51112.119999999995</v>
      </c>
      <c r="Y199" s="106">
        <f t="shared" si="948"/>
        <v>0</v>
      </c>
      <c r="Z199" s="106">
        <f t="shared" si="948"/>
        <v>0</v>
      </c>
      <c r="AA199" s="106">
        <f t="shared" si="949"/>
        <v>412052.375</v>
      </c>
      <c r="AB199" s="118"/>
      <c r="AC199" s="106">
        <f t="shared" si="950"/>
        <v>25165</v>
      </c>
      <c r="AD199" s="106">
        <f t="shared" si="950"/>
        <v>25165</v>
      </c>
      <c r="AE199" s="106">
        <f t="shared" si="950"/>
        <v>25165</v>
      </c>
      <c r="AF199" s="106">
        <f t="shared" si="950"/>
        <v>25165</v>
      </c>
      <c r="AG199" s="106">
        <f t="shared" si="950"/>
        <v>25165</v>
      </c>
      <c r="AH199" s="106">
        <f t="shared" si="950"/>
        <v>25165</v>
      </c>
      <c r="AI199" s="106">
        <f t="shared" si="950"/>
        <v>25165</v>
      </c>
      <c r="AJ199" s="106">
        <f t="shared" si="950"/>
        <v>25165</v>
      </c>
      <c r="AK199" s="106">
        <f t="shared" si="950"/>
        <v>25165</v>
      </c>
      <c r="AL199" s="106">
        <f t="shared" si="950"/>
        <v>25165</v>
      </c>
      <c r="AM199" s="106">
        <f t="shared" si="950"/>
        <v>25165</v>
      </c>
      <c r="AN199" s="106">
        <f t="shared" si="950"/>
        <v>25165</v>
      </c>
      <c r="AO199" s="106">
        <f t="shared" si="951"/>
        <v>301980</v>
      </c>
      <c r="AP199" s="106"/>
      <c r="AQ199" s="106">
        <f>+PMGR!AQ199+BP!AQ199</f>
        <v>20262.41</v>
      </c>
      <c r="AR199" s="106">
        <f>+PMGR!AR199+BP!AR199</f>
        <v>17639.27</v>
      </c>
      <c r="AS199" s="106">
        <f>+PMGR!AS199+BP!AS199</f>
        <v>5084.7299999999996</v>
      </c>
      <c r="AT199" s="106">
        <f>+PMGR!AT199+BP!AT199</f>
        <v>3050.85</v>
      </c>
      <c r="AU199" s="106">
        <f>+PMGR!AU199+BP!AU199</f>
        <v>13148.45</v>
      </c>
      <c r="AV199" s="106">
        <f>+PMGR!AV199+BP!AV199</f>
        <v>11107.29</v>
      </c>
      <c r="AW199" s="106">
        <f>+PMGR!AW199+BP!AW199</f>
        <v>16818.990000000002</v>
      </c>
      <c r="AX199" s="106">
        <f>+PMGR!AX199+BP!AX199</f>
        <v>12272.92</v>
      </c>
      <c r="AY199" s="106">
        <f>+PMGR!AY199+BP!AY199</f>
        <v>9991.6200000000008</v>
      </c>
      <c r="AZ199" s="106">
        <f>+PMGR!AZ199+BP!AZ199</f>
        <v>16698.96</v>
      </c>
      <c r="BA199" s="106">
        <f>+PMGR!BA199+BP!BA199</f>
        <v>36357.519999999997</v>
      </c>
      <c r="BB199" s="106">
        <f>+PMGR!BB199+BP!BB199</f>
        <v>15111.83</v>
      </c>
      <c r="BC199" s="106">
        <f t="shared" si="952"/>
        <v>177544.83999999997</v>
      </c>
      <c r="BD199" s="16" t="str">
        <f t="shared" si="961"/>
        <v>Office Stationery</v>
      </c>
      <c r="BE199" s="106">
        <f>+PMGR!BE199+BP!BE199</f>
        <v>50112.76</v>
      </c>
      <c r="BF199" s="106">
        <f>+PMGR!BF199+BP!BF199</f>
        <v>9754.7000000000007</v>
      </c>
      <c r="BG199" s="106">
        <f>+PMGR!BG199+BP!BG199</f>
        <v>22218.26</v>
      </c>
      <c r="BH199" s="106">
        <f>+PMGR!BH199+BP!BH199</f>
        <v>16745.7</v>
      </c>
      <c r="BI199" s="106">
        <f>+PMGR!BI199+BP!BI199</f>
        <v>20233.419999999998</v>
      </c>
      <c r="BJ199" s="106">
        <f>+PMGR!BJ199+BP!BJ199</f>
        <v>19654.11</v>
      </c>
      <c r="BK199" s="106">
        <f>+PMGR!BK199+BP!BK199</f>
        <v>20735.45</v>
      </c>
      <c r="BL199" s="106">
        <f>+PMGR!BL199+BP!BL199</f>
        <v>22794.92</v>
      </c>
      <c r="BM199" s="106">
        <f>+PMGR!BM199+BP!BM199</f>
        <v>32501.16</v>
      </c>
      <c r="BN199" s="106">
        <f>+PMGR!BN199+BP!BN199</f>
        <v>31147.38</v>
      </c>
      <c r="BO199" s="106">
        <f>+PMGR!BO199+BP!BO199</f>
        <v>0</v>
      </c>
      <c r="BP199" s="106">
        <f>+PMGR!BP199+BP!BP199</f>
        <v>0</v>
      </c>
      <c r="BQ199" s="106">
        <f t="shared" si="953"/>
        <v>245897.86000000002</v>
      </c>
      <c r="BR199" s="118"/>
      <c r="BS199" s="106">
        <f>+PMGR!BS199+BP!BS199</f>
        <v>10110</v>
      </c>
      <c r="BT199" s="106">
        <f>+PMGR!BT199+BP!BT199</f>
        <v>10110</v>
      </c>
      <c r="BU199" s="106">
        <f>+PMGR!BU199+BP!BU199</f>
        <v>10110</v>
      </c>
      <c r="BV199" s="106">
        <f>+PMGR!BV199+BP!BV199</f>
        <v>10110</v>
      </c>
      <c r="BW199" s="106">
        <f>+PMGR!BW199+BP!BW199</f>
        <v>10110</v>
      </c>
      <c r="BX199" s="106">
        <f>+PMGR!BX199+BP!BX199</f>
        <v>10110</v>
      </c>
      <c r="BY199" s="106">
        <f>+PMGR!BY199+BP!BY199</f>
        <v>10110</v>
      </c>
      <c r="BZ199" s="106">
        <f>+PMGR!BZ199+BP!BZ199</f>
        <v>10110</v>
      </c>
      <c r="CA199" s="106">
        <f>+PMGR!CA199+BP!CA199</f>
        <v>10110</v>
      </c>
      <c r="CB199" s="106">
        <f>+PMGR!CB199+BP!CB199</f>
        <v>10110</v>
      </c>
      <c r="CC199" s="106">
        <f>+PMGR!CC199+BP!CC199</f>
        <v>10110</v>
      </c>
      <c r="CD199" s="106">
        <f>+PMGR!CD199+BP!CD199</f>
        <v>10110</v>
      </c>
      <c r="CE199" s="106">
        <f t="shared" si="954"/>
        <v>121320</v>
      </c>
      <c r="CF199" s="106"/>
      <c r="CG199" s="106">
        <f>+PMGR!CG199+BP!CG199</f>
        <v>2448.1750000000002</v>
      </c>
      <c r="CH199" s="106">
        <f>+PMGR!CH199+BP!CH199</f>
        <v>1779.66</v>
      </c>
      <c r="CI199" s="106">
        <f>+PMGR!CI199+BP!CI199</f>
        <v>5881.2</v>
      </c>
      <c r="CJ199" s="106">
        <f>+PMGR!CJ199+BP!CJ199</f>
        <v>0</v>
      </c>
      <c r="CK199" s="106">
        <f>+PMGR!CK199+BP!CK199</f>
        <v>11416.955000000002</v>
      </c>
      <c r="CL199" s="106">
        <f>+PMGR!CL199+BP!CL199</f>
        <v>2068</v>
      </c>
      <c r="CM199" s="106">
        <f>+PMGR!CM199+BP!CM199</f>
        <v>1858</v>
      </c>
      <c r="CN199" s="106">
        <f>+PMGR!CN199+BP!CN199</f>
        <v>1120.69</v>
      </c>
      <c r="CO199" s="106">
        <f>+PMGR!CO199+BP!CO199</f>
        <v>2927.67</v>
      </c>
      <c r="CP199" s="106">
        <f>+PMGR!CP199+BP!CP199</f>
        <v>5428.1450000000004</v>
      </c>
      <c r="CQ199" s="106">
        <f>+PMGR!CQ199+BP!CQ199</f>
        <v>3253.0349999999999</v>
      </c>
      <c r="CR199" s="106">
        <f>+PMGR!CR199+BP!CR199</f>
        <v>5034</v>
      </c>
      <c r="CS199" s="106">
        <f t="shared" si="955"/>
        <v>43215.53</v>
      </c>
      <c r="CT199" s="16" t="str">
        <f t="shared" si="962"/>
        <v>Office Stationery</v>
      </c>
      <c r="CU199" s="106">
        <f>+PMGR!CU199+BP!CU199</f>
        <v>22844.53</v>
      </c>
      <c r="CV199" s="106">
        <f>+PMGR!CV199+BP!CV199</f>
        <v>0</v>
      </c>
      <c r="CW199" s="106">
        <f>+PMGR!CW199+BP!CW199</f>
        <v>510</v>
      </c>
      <c r="CX199" s="106">
        <f>+PMGR!CX199+BP!CX199</f>
        <v>4593.165</v>
      </c>
      <c r="CY199" s="106">
        <f>+PMGR!CY199+BP!CY199</f>
        <v>7216.03</v>
      </c>
      <c r="CZ199" s="106">
        <f>+PMGR!CZ199+BP!CZ199</f>
        <v>9357.6860000000015</v>
      </c>
      <c r="DA199" s="106">
        <f>+PMGR!DA199+BP!DA199</f>
        <v>4617.6950000000006</v>
      </c>
      <c r="DB199" s="106">
        <f>+PMGR!DB199+BP!DB199</f>
        <v>20744.165000000001</v>
      </c>
      <c r="DC199" s="106">
        <f>+PMGR!DC199+BP!DC199</f>
        <v>1384.07</v>
      </c>
      <c r="DD199" s="106">
        <f>+PMGR!DD199+BP!DD199</f>
        <v>9973.4699999999993</v>
      </c>
      <c r="DE199" s="106">
        <f>+PMGR!DE199+BP!DE199</f>
        <v>0</v>
      </c>
      <c r="DF199" s="106">
        <f>+PMGR!DF199+BP!DF199</f>
        <v>0</v>
      </c>
      <c r="DG199" s="106">
        <f t="shared" si="956"/>
        <v>81240.811000000016</v>
      </c>
      <c r="DH199" s="118"/>
      <c r="DI199" s="106">
        <f>+PMGR!DI199+BP!DI199</f>
        <v>5055</v>
      </c>
      <c r="DJ199" s="106">
        <f>+PMGR!DJ199+BP!DJ199</f>
        <v>5055</v>
      </c>
      <c r="DK199" s="106">
        <f>+PMGR!DK199+BP!DK199</f>
        <v>5055</v>
      </c>
      <c r="DL199" s="106">
        <f>+PMGR!DL199+BP!DL199</f>
        <v>5055</v>
      </c>
      <c r="DM199" s="106">
        <f>+PMGR!DM199+BP!DM199</f>
        <v>5055</v>
      </c>
      <c r="DN199" s="106">
        <f>+PMGR!DN199+BP!DN199</f>
        <v>5055</v>
      </c>
      <c r="DO199" s="106">
        <f>+PMGR!DO199+BP!DO199</f>
        <v>5055</v>
      </c>
      <c r="DP199" s="106">
        <f>+PMGR!DP199+BP!DP199</f>
        <v>5055</v>
      </c>
      <c r="DQ199" s="106">
        <f>+PMGR!DQ199+BP!DQ199</f>
        <v>5055</v>
      </c>
      <c r="DR199" s="106">
        <f>+PMGR!DR199+BP!DR199</f>
        <v>5055</v>
      </c>
      <c r="DS199" s="106">
        <f>+PMGR!DS199+BP!DS199</f>
        <v>5055</v>
      </c>
      <c r="DT199" s="106">
        <f>+PMGR!DT199+BP!DT199</f>
        <v>5055</v>
      </c>
      <c r="DU199" s="106">
        <f t="shared" si="957"/>
        <v>60660</v>
      </c>
      <c r="DV199" s="106"/>
      <c r="DW199" s="106">
        <f>+PMGR!DW199+BP!DW199</f>
        <v>0</v>
      </c>
      <c r="DX199" s="106">
        <f>+PMGR!DX199+BP!DX199</f>
        <v>0</v>
      </c>
      <c r="DY199" s="106">
        <f>+PMGR!DY199+BP!DY199</f>
        <v>0</v>
      </c>
      <c r="DZ199" s="106">
        <f>+PMGR!DZ199+BP!DZ199</f>
        <v>0</v>
      </c>
      <c r="EA199" s="106">
        <f>+PMGR!EA199+BP!EA199</f>
        <v>0</v>
      </c>
      <c r="EB199" s="106">
        <f>+PMGR!EB199+BP!EB199</f>
        <v>0</v>
      </c>
      <c r="EC199" s="106">
        <f>+PMGR!EC199+BP!EC199</f>
        <v>0</v>
      </c>
      <c r="ED199" s="106">
        <f>+PMGR!ED199+BP!ED199</f>
        <v>0</v>
      </c>
      <c r="EE199" s="106">
        <f>+PMGR!EE199+BP!EE199</f>
        <v>0</v>
      </c>
      <c r="EF199" s="106">
        <f>+PMGR!EF199+BP!EF199</f>
        <v>0</v>
      </c>
      <c r="EG199" s="106">
        <f>+PMGR!EG199+BP!EG199</f>
        <v>0</v>
      </c>
      <c r="EH199" s="106">
        <f>+PMGR!EH199+BP!EH199</f>
        <v>0</v>
      </c>
      <c r="EI199" s="106">
        <f t="shared" si="958"/>
        <v>0</v>
      </c>
      <c r="EJ199" s="16" t="str">
        <f t="shared" si="681"/>
        <v>Office Stationery</v>
      </c>
      <c r="EK199" s="106">
        <f>+PMGR!EK199+BP!EK199</f>
        <v>10874.86</v>
      </c>
      <c r="EL199" s="106">
        <f>+PMGR!EL199+BP!EL199</f>
        <v>8220.34</v>
      </c>
      <c r="EM199" s="106">
        <f>+PMGR!EM199+BP!EM199</f>
        <v>9823.0499999999993</v>
      </c>
      <c r="EN199" s="106">
        <f>+PMGR!EN199+BP!EN199</f>
        <v>6765.81</v>
      </c>
      <c r="EO199" s="106">
        <f>+PMGR!EO199+BP!EO199</f>
        <v>16581.29</v>
      </c>
      <c r="EP199" s="106">
        <f>+PMGR!EP199+BP!EP199</f>
        <v>4643.1139999999996</v>
      </c>
      <c r="EQ199" s="106">
        <f>+PMGR!EQ199+BP!EQ199</f>
        <v>5758.08</v>
      </c>
      <c r="ER199" s="106">
        <f>+PMGR!ER199+BP!ER199</f>
        <v>2698.31</v>
      </c>
      <c r="ES199" s="106">
        <f>+PMGR!ES199+BP!ES199</f>
        <v>9557.58</v>
      </c>
      <c r="ET199" s="106">
        <f>+PMGR!ET199+BP!ET199</f>
        <v>9991.27</v>
      </c>
      <c r="EU199" s="106">
        <f>+PMGR!EU199+BP!EU199</f>
        <v>0</v>
      </c>
      <c r="EV199" s="106">
        <f>+PMGR!EV199+BP!EV199</f>
        <v>0</v>
      </c>
      <c r="EW199" s="106">
        <f t="shared" si="959"/>
        <v>84913.703999999998</v>
      </c>
      <c r="EX199" s="118"/>
      <c r="EY199" s="106">
        <f>+PMGR!EY199+BP!EY199</f>
        <v>10000</v>
      </c>
      <c r="EZ199" s="106">
        <f>+PMGR!EZ199+BP!EZ199</f>
        <v>10000</v>
      </c>
      <c r="FA199" s="106">
        <f>+PMGR!FA199+BP!FA199</f>
        <v>10000</v>
      </c>
      <c r="FB199" s="106">
        <f>+PMGR!FB199+BP!FB199</f>
        <v>10000</v>
      </c>
      <c r="FC199" s="106">
        <f>+PMGR!FC199+BP!FC199</f>
        <v>10000</v>
      </c>
      <c r="FD199" s="106">
        <f>+PMGR!FD199+BP!FD199</f>
        <v>10000</v>
      </c>
      <c r="FE199" s="106">
        <f>+PMGR!FE199+BP!FE199</f>
        <v>10000</v>
      </c>
      <c r="FF199" s="106">
        <f>+PMGR!FF199+BP!FF199</f>
        <v>10000</v>
      </c>
      <c r="FG199" s="106">
        <f>+PMGR!FG199+BP!FG199</f>
        <v>10000</v>
      </c>
      <c r="FH199" s="106">
        <f>+PMGR!FH199+BP!FH199</f>
        <v>10000</v>
      </c>
      <c r="FI199" s="106">
        <f>+PMGR!FI199+BP!FI199</f>
        <v>10000</v>
      </c>
      <c r="FJ199" s="106">
        <f>+PMGR!FJ199+BP!FJ199</f>
        <v>10000</v>
      </c>
      <c r="FK199" s="106">
        <f t="shared" si="960"/>
        <v>120000</v>
      </c>
    </row>
    <row r="200" spans="1:167" ht="14.45" hidden="1" customHeight="1" outlineLevel="2">
      <c r="A200" s="106">
        <f t="shared" si="946"/>
        <v>3365.87</v>
      </c>
      <c r="B200" s="106">
        <f t="shared" si="946"/>
        <v>1741.02</v>
      </c>
      <c r="C200" s="106">
        <f t="shared" si="946"/>
        <v>20363.495000000003</v>
      </c>
      <c r="D200" s="106">
        <f t="shared" si="946"/>
        <v>2252</v>
      </c>
      <c r="E200" s="106">
        <f t="shared" si="946"/>
        <v>2867.2799999999997</v>
      </c>
      <c r="F200" s="106">
        <f t="shared" si="946"/>
        <v>7591.68</v>
      </c>
      <c r="G200" s="106">
        <f t="shared" si="946"/>
        <v>30720.05</v>
      </c>
      <c r="H200" s="106">
        <f t="shared" si="946"/>
        <v>16117.084999999999</v>
      </c>
      <c r="I200" s="106">
        <f t="shared" si="946"/>
        <v>630.51</v>
      </c>
      <c r="J200" s="106">
        <f t="shared" si="946"/>
        <v>5661.05</v>
      </c>
      <c r="K200" s="106">
        <f t="shared" si="946"/>
        <v>2337.0155</v>
      </c>
      <c r="L200" s="106">
        <f t="shared" si="946"/>
        <v>10976.36</v>
      </c>
      <c r="M200" s="106">
        <f t="shared" si="947"/>
        <v>104623.4155</v>
      </c>
      <c r="N200" s="16" t="s">
        <v>168</v>
      </c>
      <c r="O200" s="106">
        <f t="shared" si="948"/>
        <v>7032.4349999999995</v>
      </c>
      <c r="P200" s="106">
        <f t="shared" si="948"/>
        <v>13021.68</v>
      </c>
      <c r="Q200" s="106">
        <f t="shared" si="948"/>
        <v>8216.75</v>
      </c>
      <c r="R200" s="106">
        <f t="shared" si="948"/>
        <v>9174.630000000001</v>
      </c>
      <c r="S200" s="106">
        <f t="shared" si="948"/>
        <v>8583.5300000000007</v>
      </c>
      <c r="T200" s="106">
        <f t="shared" si="948"/>
        <v>8730.0650000000005</v>
      </c>
      <c r="U200" s="106">
        <f t="shared" si="948"/>
        <v>3200.91</v>
      </c>
      <c r="V200" s="106">
        <f t="shared" si="948"/>
        <v>7332.68</v>
      </c>
      <c r="W200" s="106">
        <f t="shared" si="948"/>
        <v>4783.6000000000004</v>
      </c>
      <c r="X200" s="106">
        <f t="shared" si="948"/>
        <v>8734.9249999999993</v>
      </c>
      <c r="Y200" s="106">
        <f t="shared" si="948"/>
        <v>0</v>
      </c>
      <c r="Z200" s="106">
        <f t="shared" si="948"/>
        <v>0</v>
      </c>
      <c r="AA200" s="106">
        <f t="shared" si="949"/>
        <v>78811.205000000002</v>
      </c>
      <c r="AB200" s="118"/>
      <c r="AC200" s="106">
        <f t="shared" si="950"/>
        <v>6573.333333333333</v>
      </c>
      <c r="AD200" s="106">
        <f t="shared" si="950"/>
        <v>6573.333333333333</v>
      </c>
      <c r="AE200" s="106">
        <f t="shared" si="950"/>
        <v>6573.333333333333</v>
      </c>
      <c r="AF200" s="106">
        <f t="shared" si="950"/>
        <v>6573.333333333333</v>
      </c>
      <c r="AG200" s="106">
        <f t="shared" si="950"/>
        <v>6573.333333333333</v>
      </c>
      <c r="AH200" s="106">
        <f t="shared" si="950"/>
        <v>6573.333333333333</v>
      </c>
      <c r="AI200" s="106">
        <f t="shared" si="950"/>
        <v>6573.333333333333</v>
      </c>
      <c r="AJ200" s="106">
        <f t="shared" si="950"/>
        <v>6573.333333333333</v>
      </c>
      <c r="AK200" s="106">
        <f t="shared" si="950"/>
        <v>6573.333333333333</v>
      </c>
      <c r="AL200" s="106">
        <f t="shared" si="950"/>
        <v>6573.333333333333</v>
      </c>
      <c r="AM200" s="106">
        <f t="shared" si="950"/>
        <v>6573.333333333333</v>
      </c>
      <c r="AN200" s="106">
        <f t="shared" si="950"/>
        <v>6573.333333333333</v>
      </c>
      <c r="AO200" s="106">
        <f t="shared" si="951"/>
        <v>78880</v>
      </c>
      <c r="AP200" s="106"/>
      <c r="AQ200" s="106">
        <f>+PMGR!AQ200+BP!AQ200</f>
        <v>2284.0299999999997</v>
      </c>
      <c r="AR200" s="106">
        <f>+PMGR!AR200+BP!AR200</f>
        <v>1161.02</v>
      </c>
      <c r="AS200" s="106">
        <f>+PMGR!AS200+BP!AS200</f>
        <v>17706.61</v>
      </c>
      <c r="AT200" s="106">
        <f>+PMGR!AT200+BP!AT200</f>
        <v>830.51</v>
      </c>
      <c r="AU200" s="106">
        <f>+PMGR!AU200+BP!AU200</f>
        <v>1355.93</v>
      </c>
      <c r="AV200" s="106">
        <f>+PMGR!AV200+BP!AV200</f>
        <v>5809.52</v>
      </c>
      <c r="AW200" s="106">
        <f>+PMGR!AW200+BP!AW200</f>
        <v>17420.05</v>
      </c>
      <c r="AX200" s="106">
        <f>+PMGR!AX200+BP!AX200</f>
        <v>14004.33</v>
      </c>
      <c r="AY200" s="106">
        <f>+PMGR!AY200+BP!AY200</f>
        <v>330.51</v>
      </c>
      <c r="AZ200" s="106">
        <f>+PMGR!AZ200+BP!AZ200</f>
        <v>4058.11</v>
      </c>
      <c r="BA200" s="106">
        <f>+PMGR!BA200+BP!BA200</f>
        <v>859.31700000000001</v>
      </c>
      <c r="BB200" s="106">
        <f>+PMGR!BB200+BP!BB200</f>
        <v>10044.36</v>
      </c>
      <c r="BC200" s="106">
        <f t="shared" si="952"/>
        <v>75864.297000000006</v>
      </c>
      <c r="BD200" s="16" t="str">
        <f t="shared" si="961"/>
        <v>Printing</v>
      </c>
      <c r="BE200" s="106">
        <f>+PMGR!BE200+BP!BE200</f>
        <v>6017.32</v>
      </c>
      <c r="BF200" s="106">
        <f>+PMGR!BF200+BP!BF200</f>
        <v>11484.81</v>
      </c>
      <c r="BG200" s="106">
        <f>+PMGR!BG200+BP!BG200</f>
        <v>7426.27</v>
      </c>
      <c r="BH200" s="106">
        <f>+PMGR!BH200+BP!BH200</f>
        <v>3174.63</v>
      </c>
      <c r="BI200" s="106">
        <f>+PMGR!BI200+BP!BI200</f>
        <v>7551.75</v>
      </c>
      <c r="BJ200" s="106">
        <f>+PMGR!BJ200+BP!BJ200</f>
        <v>7429.01</v>
      </c>
      <c r="BK200" s="106">
        <f>+PMGR!BK200+BP!BK200</f>
        <v>0</v>
      </c>
      <c r="BL200" s="106">
        <f>+PMGR!BL200+BP!BL200</f>
        <v>7182.68</v>
      </c>
      <c r="BM200" s="106">
        <f>+PMGR!BM200+BP!BM200</f>
        <v>1940.67</v>
      </c>
      <c r="BN200" s="106">
        <f>+PMGR!BN200+BP!BN200</f>
        <v>7084.79</v>
      </c>
      <c r="BO200" s="106">
        <f>+PMGR!BO200+BP!BO200</f>
        <v>0</v>
      </c>
      <c r="BP200" s="106">
        <f>+PMGR!BP200+BP!BP200</f>
        <v>0</v>
      </c>
      <c r="BQ200" s="106">
        <f t="shared" si="953"/>
        <v>59291.93</v>
      </c>
      <c r="BR200" s="118"/>
      <c r="BS200" s="106">
        <f>+PMGR!BS200+BP!BS200</f>
        <v>2160</v>
      </c>
      <c r="BT200" s="106">
        <f>+PMGR!BT200+BP!BT200</f>
        <v>2160</v>
      </c>
      <c r="BU200" s="106">
        <f>+PMGR!BU200+BP!BU200</f>
        <v>2160</v>
      </c>
      <c r="BV200" s="106">
        <f>+PMGR!BV200+BP!BV200</f>
        <v>2160</v>
      </c>
      <c r="BW200" s="106">
        <f>+PMGR!BW200+BP!BW200</f>
        <v>2160</v>
      </c>
      <c r="BX200" s="106">
        <f>+PMGR!BX200+BP!BX200</f>
        <v>2160</v>
      </c>
      <c r="BY200" s="106">
        <f>+PMGR!BY200+BP!BY200</f>
        <v>2160</v>
      </c>
      <c r="BZ200" s="106">
        <f>+PMGR!BZ200+BP!BZ200</f>
        <v>2160</v>
      </c>
      <c r="CA200" s="106">
        <f>+PMGR!CA200+BP!CA200</f>
        <v>2160</v>
      </c>
      <c r="CB200" s="106">
        <f>+PMGR!CB200+BP!CB200</f>
        <v>2160</v>
      </c>
      <c r="CC200" s="106">
        <f>+PMGR!CC200+BP!CC200</f>
        <v>2160</v>
      </c>
      <c r="CD200" s="106">
        <f>+PMGR!CD200+BP!CD200</f>
        <v>2160</v>
      </c>
      <c r="CE200" s="106">
        <f t="shared" si="954"/>
        <v>25920</v>
      </c>
      <c r="CF200" s="106"/>
      <c r="CG200" s="106">
        <f>+PMGR!CG200+BP!CG200</f>
        <v>1081.8400000000001</v>
      </c>
      <c r="CH200" s="106">
        <f>+PMGR!CH200+BP!CH200</f>
        <v>580</v>
      </c>
      <c r="CI200" s="106">
        <f>+PMGR!CI200+BP!CI200</f>
        <v>2656.8850000000002</v>
      </c>
      <c r="CJ200" s="106">
        <f>+PMGR!CJ200+BP!CJ200</f>
        <v>1421.49</v>
      </c>
      <c r="CK200" s="106">
        <f>+PMGR!CK200+BP!CK200</f>
        <v>1511.35</v>
      </c>
      <c r="CL200" s="106">
        <f>+PMGR!CL200+BP!CL200</f>
        <v>1782.16</v>
      </c>
      <c r="CM200" s="106">
        <f>+PMGR!CM200+BP!CM200</f>
        <v>13300</v>
      </c>
      <c r="CN200" s="106">
        <f>+PMGR!CN200+BP!CN200</f>
        <v>2112.7550000000001</v>
      </c>
      <c r="CO200" s="106">
        <f>+PMGR!CO200+BP!CO200</f>
        <v>300</v>
      </c>
      <c r="CP200" s="106">
        <f>+PMGR!CP200+BP!CP200</f>
        <v>1602.94</v>
      </c>
      <c r="CQ200" s="106">
        <f>+PMGR!CQ200+BP!CQ200</f>
        <v>1477.6985</v>
      </c>
      <c r="CR200" s="106">
        <f>+PMGR!CR200+BP!CR200</f>
        <v>932</v>
      </c>
      <c r="CS200" s="106">
        <f t="shared" si="955"/>
        <v>28759.118499999997</v>
      </c>
      <c r="CT200" s="16" t="str">
        <f t="shared" si="962"/>
        <v>Printing</v>
      </c>
      <c r="CU200" s="106">
        <f>+PMGR!CU200+BP!CU200</f>
        <v>1015.115</v>
      </c>
      <c r="CV200" s="106">
        <f>+PMGR!CV200+BP!CV200</f>
        <v>1536.87</v>
      </c>
      <c r="CW200" s="106">
        <f>+PMGR!CW200+BP!CW200</f>
        <v>790.48</v>
      </c>
      <c r="CX200" s="106">
        <f>+PMGR!CX200+BP!CX200</f>
        <v>150</v>
      </c>
      <c r="CY200" s="106">
        <f>+PMGR!CY200+BP!CY200</f>
        <v>1031.78</v>
      </c>
      <c r="CZ200" s="106">
        <f>+PMGR!CZ200+BP!CZ200</f>
        <v>1301.0550000000001</v>
      </c>
      <c r="DA200" s="106">
        <f>+PMGR!DA200+BP!DA200</f>
        <v>3200.91</v>
      </c>
      <c r="DB200" s="106">
        <f>+PMGR!DB200+BP!DB200</f>
        <v>150</v>
      </c>
      <c r="DC200" s="106">
        <f>+PMGR!DC200+BP!DC200</f>
        <v>892.93</v>
      </c>
      <c r="DD200" s="106">
        <f>+PMGR!DD200+BP!DD200</f>
        <v>1650.135</v>
      </c>
      <c r="DE200" s="106">
        <f>+PMGR!DE200+BP!DE200</f>
        <v>0</v>
      </c>
      <c r="DF200" s="106">
        <f>+PMGR!DF200+BP!DF200</f>
        <v>0</v>
      </c>
      <c r="DG200" s="106">
        <f t="shared" si="956"/>
        <v>11719.275</v>
      </c>
      <c r="DH200" s="118"/>
      <c r="DI200" s="106">
        <f>+PMGR!DI200+BP!DI200</f>
        <v>1080</v>
      </c>
      <c r="DJ200" s="106">
        <f>+PMGR!DJ200+BP!DJ200</f>
        <v>1080</v>
      </c>
      <c r="DK200" s="106">
        <f>+PMGR!DK200+BP!DK200</f>
        <v>1080</v>
      </c>
      <c r="DL200" s="106">
        <f>+PMGR!DL200+BP!DL200</f>
        <v>1080</v>
      </c>
      <c r="DM200" s="106">
        <f>+PMGR!DM200+BP!DM200</f>
        <v>1080</v>
      </c>
      <c r="DN200" s="106">
        <f>+PMGR!DN200+BP!DN200</f>
        <v>1080</v>
      </c>
      <c r="DO200" s="106">
        <f>+PMGR!DO200+BP!DO200</f>
        <v>1080</v>
      </c>
      <c r="DP200" s="106">
        <f>+PMGR!DP200+BP!DP200</f>
        <v>1080</v>
      </c>
      <c r="DQ200" s="106">
        <f>+PMGR!DQ200+BP!DQ200</f>
        <v>1080</v>
      </c>
      <c r="DR200" s="106">
        <f>+PMGR!DR200+BP!DR200</f>
        <v>1080</v>
      </c>
      <c r="DS200" s="106">
        <f>+PMGR!DS200+BP!DS200</f>
        <v>1080</v>
      </c>
      <c r="DT200" s="106">
        <f>+PMGR!DT200+BP!DT200</f>
        <v>1080</v>
      </c>
      <c r="DU200" s="106">
        <f t="shared" si="957"/>
        <v>12960</v>
      </c>
      <c r="DV200" s="106"/>
      <c r="DW200" s="106">
        <f>+PMGR!DW200+BP!DW200</f>
        <v>0</v>
      </c>
      <c r="DX200" s="106">
        <f>+PMGR!DX200+BP!DX200</f>
        <v>0</v>
      </c>
      <c r="DY200" s="106">
        <f>+PMGR!DY200+BP!DY200</f>
        <v>0</v>
      </c>
      <c r="DZ200" s="106">
        <f>+PMGR!DZ200+BP!DZ200</f>
        <v>0</v>
      </c>
      <c r="EA200" s="106">
        <f>+PMGR!EA200+BP!EA200</f>
        <v>0</v>
      </c>
      <c r="EB200" s="106">
        <f>+PMGR!EB200+BP!EB200</f>
        <v>0</v>
      </c>
      <c r="EC200" s="106">
        <f>+PMGR!EC200+BP!EC200</f>
        <v>0</v>
      </c>
      <c r="ED200" s="106">
        <f>+PMGR!ED200+BP!ED200</f>
        <v>0</v>
      </c>
      <c r="EE200" s="106">
        <f>+PMGR!EE200+BP!EE200</f>
        <v>0</v>
      </c>
      <c r="EF200" s="106">
        <f>+PMGR!EF200+BP!EF200</f>
        <v>0</v>
      </c>
      <c r="EG200" s="106">
        <f>+PMGR!EG200+BP!EG200</f>
        <v>0</v>
      </c>
      <c r="EH200" s="106">
        <f>+PMGR!EH200+BP!EH200</f>
        <v>0</v>
      </c>
      <c r="EI200" s="106">
        <f t="shared" si="958"/>
        <v>0</v>
      </c>
      <c r="EJ200" s="16" t="str">
        <f t="shared" si="681"/>
        <v>Printing</v>
      </c>
      <c r="EK200" s="106">
        <f>+PMGR!EK200+BP!EK200</f>
        <v>0</v>
      </c>
      <c r="EL200" s="106">
        <f>+PMGR!EL200+BP!EL200</f>
        <v>0</v>
      </c>
      <c r="EM200" s="106">
        <f>+PMGR!EM200+BP!EM200</f>
        <v>0</v>
      </c>
      <c r="EN200" s="106">
        <f>+PMGR!EN200+BP!EN200</f>
        <v>5850</v>
      </c>
      <c r="EO200" s="106">
        <f>+PMGR!EO200+BP!EO200</f>
        <v>0</v>
      </c>
      <c r="EP200" s="106">
        <f>+PMGR!EP200+BP!EP200</f>
        <v>0</v>
      </c>
      <c r="EQ200" s="106">
        <f>+PMGR!EQ200+BP!EQ200</f>
        <v>0</v>
      </c>
      <c r="ER200" s="106">
        <f>+PMGR!ER200+BP!ER200</f>
        <v>0</v>
      </c>
      <c r="ES200" s="106">
        <f>+PMGR!ES200+BP!ES200</f>
        <v>1950</v>
      </c>
      <c r="ET200" s="106">
        <f>+PMGR!ET200+BP!ET200</f>
        <v>0</v>
      </c>
      <c r="EU200" s="106">
        <f>+PMGR!EU200+BP!EU200</f>
        <v>0</v>
      </c>
      <c r="EV200" s="106">
        <f>+PMGR!EV200+BP!EV200</f>
        <v>0</v>
      </c>
      <c r="EW200" s="106">
        <f t="shared" si="959"/>
        <v>7800</v>
      </c>
      <c r="EX200" s="118"/>
      <c r="EY200" s="106">
        <f>+PMGR!EY200+BP!EY200</f>
        <v>3333.333333333333</v>
      </c>
      <c r="EZ200" s="106">
        <f>+PMGR!EZ200+BP!EZ200</f>
        <v>3333.333333333333</v>
      </c>
      <c r="FA200" s="106">
        <f>+PMGR!FA200+BP!FA200</f>
        <v>3333.333333333333</v>
      </c>
      <c r="FB200" s="106">
        <f>+PMGR!FB200+BP!FB200</f>
        <v>3333.333333333333</v>
      </c>
      <c r="FC200" s="106">
        <f>+PMGR!FC200+BP!FC200</f>
        <v>3333.333333333333</v>
      </c>
      <c r="FD200" s="106">
        <f>+PMGR!FD200+BP!FD200</f>
        <v>3333.333333333333</v>
      </c>
      <c r="FE200" s="106">
        <f>+PMGR!FE200+BP!FE200</f>
        <v>3333.333333333333</v>
      </c>
      <c r="FF200" s="106">
        <f>+PMGR!FF200+BP!FF200</f>
        <v>3333.333333333333</v>
      </c>
      <c r="FG200" s="106">
        <f>+PMGR!FG200+BP!FG200</f>
        <v>3333.333333333333</v>
      </c>
      <c r="FH200" s="106">
        <f>+PMGR!FH200+BP!FH200</f>
        <v>3333.333333333333</v>
      </c>
      <c r="FI200" s="106">
        <f>+PMGR!FI200+BP!FI200</f>
        <v>3333.333333333333</v>
      </c>
      <c r="FJ200" s="106">
        <f>+PMGR!FJ200+BP!FJ200</f>
        <v>3333.333333333333</v>
      </c>
      <c r="FK200" s="106">
        <f t="shared" si="960"/>
        <v>40000</v>
      </c>
    </row>
    <row r="201" spans="1:167" ht="14.45" hidden="1" customHeight="1" outlineLevel="2">
      <c r="A201" s="106">
        <f t="shared" si="946"/>
        <v>18430</v>
      </c>
      <c r="B201" s="106">
        <f t="shared" si="946"/>
        <v>15884</v>
      </c>
      <c r="C201" s="106">
        <f t="shared" si="946"/>
        <v>2790</v>
      </c>
      <c r="D201" s="106">
        <f t="shared" si="946"/>
        <v>10207</v>
      </c>
      <c r="E201" s="106">
        <f t="shared" si="946"/>
        <v>3605</v>
      </c>
      <c r="F201" s="106">
        <f t="shared" si="946"/>
        <v>22115</v>
      </c>
      <c r="G201" s="106">
        <f t="shared" si="946"/>
        <v>10436.5</v>
      </c>
      <c r="H201" s="106">
        <f t="shared" si="946"/>
        <v>11740</v>
      </c>
      <c r="I201" s="106">
        <f t="shared" si="946"/>
        <v>11395</v>
      </c>
      <c r="J201" s="106">
        <f t="shared" si="946"/>
        <v>14157</v>
      </c>
      <c r="K201" s="106">
        <f t="shared" si="946"/>
        <v>7532.5</v>
      </c>
      <c r="L201" s="106">
        <f t="shared" si="946"/>
        <v>6866.5</v>
      </c>
      <c r="M201" s="106">
        <f t="shared" si="947"/>
        <v>135158.5</v>
      </c>
      <c r="N201" s="16" t="s">
        <v>169</v>
      </c>
      <c r="O201" s="106">
        <f t="shared" si="948"/>
        <v>5027</v>
      </c>
      <c r="P201" s="106">
        <f t="shared" si="948"/>
        <v>4460</v>
      </c>
      <c r="Q201" s="106">
        <f t="shared" si="948"/>
        <v>27735</v>
      </c>
      <c r="R201" s="106">
        <f t="shared" si="948"/>
        <v>-536</v>
      </c>
      <c r="S201" s="106">
        <f t="shared" si="948"/>
        <v>23394</v>
      </c>
      <c r="T201" s="106">
        <f t="shared" si="948"/>
        <v>37519.19</v>
      </c>
      <c r="U201" s="106">
        <f t="shared" si="948"/>
        <v>44306.5</v>
      </c>
      <c r="V201" s="106">
        <f t="shared" si="948"/>
        <v>13696</v>
      </c>
      <c r="W201" s="106">
        <f t="shared" si="948"/>
        <v>10530</v>
      </c>
      <c r="X201" s="106">
        <f t="shared" si="948"/>
        <v>9287</v>
      </c>
      <c r="Y201" s="106">
        <f t="shared" si="948"/>
        <v>0</v>
      </c>
      <c r="Z201" s="106">
        <f t="shared" si="948"/>
        <v>0</v>
      </c>
      <c r="AA201" s="106">
        <f t="shared" si="949"/>
        <v>175418.69</v>
      </c>
      <c r="AB201" s="118"/>
      <c r="AC201" s="106">
        <f t="shared" si="950"/>
        <v>2596.6666666666665</v>
      </c>
      <c r="AD201" s="106">
        <f t="shared" si="950"/>
        <v>2596.6666666666665</v>
      </c>
      <c r="AE201" s="106">
        <f t="shared" si="950"/>
        <v>2596.6666666666665</v>
      </c>
      <c r="AF201" s="106">
        <f t="shared" si="950"/>
        <v>2596.6666666666665</v>
      </c>
      <c r="AG201" s="106">
        <f t="shared" si="950"/>
        <v>2596.6666666666665</v>
      </c>
      <c r="AH201" s="106">
        <f t="shared" si="950"/>
        <v>2596.6666666666665</v>
      </c>
      <c r="AI201" s="106">
        <f t="shared" si="950"/>
        <v>2596.6666666666665</v>
      </c>
      <c r="AJ201" s="106">
        <f t="shared" si="950"/>
        <v>2596.6666666666665</v>
      </c>
      <c r="AK201" s="106">
        <f t="shared" si="950"/>
        <v>2596.6666666666665</v>
      </c>
      <c r="AL201" s="106">
        <f t="shared" si="950"/>
        <v>2596.6666666666665</v>
      </c>
      <c r="AM201" s="106">
        <f t="shared" si="950"/>
        <v>2596.6666666666665</v>
      </c>
      <c r="AN201" s="106">
        <f t="shared" si="950"/>
        <v>2596.6666666666665</v>
      </c>
      <c r="AO201" s="106">
        <f t="shared" si="951"/>
        <v>31160.000000000004</v>
      </c>
      <c r="AP201" s="106"/>
      <c r="AQ201" s="106">
        <f>+PMGR!AQ201+BP!AQ201</f>
        <v>16950</v>
      </c>
      <c r="AR201" s="106">
        <f>+PMGR!AR201+BP!AR201</f>
        <v>13870</v>
      </c>
      <c r="AS201" s="106">
        <f>+PMGR!AS201+BP!AS201</f>
        <v>2640</v>
      </c>
      <c r="AT201" s="106">
        <f>+PMGR!AT201+BP!AT201</f>
        <v>8343</v>
      </c>
      <c r="AU201" s="106">
        <f>+PMGR!AU201+BP!AU201</f>
        <v>3390</v>
      </c>
      <c r="AV201" s="106">
        <f>+PMGR!AV201+BP!AV201</f>
        <v>21085</v>
      </c>
      <c r="AW201" s="106">
        <f>+PMGR!AW201+BP!AW201</f>
        <v>10150</v>
      </c>
      <c r="AX201" s="106">
        <f>+PMGR!AX201+BP!AX201</f>
        <v>10740</v>
      </c>
      <c r="AY201" s="106">
        <f>+PMGR!AY201+BP!AY201</f>
        <v>10970</v>
      </c>
      <c r="AZ201" s="106">
        <f>+PMGR!AZ201+BP!AZ201</f>
        <v>12460</v>
      </c>
      <c r="BA201" s="106">
        <f>+PMGR!BA201+BP!BA201</f>
        <v>5650</v>
      </c>
      <c r="BB201" s="106">
        <f>+PMGR!BB201+BP!BB201</f>
        <v>5990</v>
      </c>
      <c r="BC201" s="106">
        <f t="shared" si="952"/>
        <v>122238</v>
      </c>
      <c r="BD201" s="16" t="str">
        <f t="shared" si="961"/>
        <v>Postage</v>
      </c>
      <c r="BE201" s="106">
        <f>+PMGR!BE201+BP!BE201</f>
        <v>3653</v>
      </c>
      <c r="BF201" s="106">
        <f>+PMGR!BF201+BP!BF201</f>
        <v>3950</v>
      </c>
      <c r="BG201" s="106">
        <f>+PMGR!BG201+BP!BG201</f>
        <v>10009</v>
      </c>
      <c r="BH201" s="106">
        <f>+PMGR!BH201+BP!BH201</f>
        <v>-690</v>
      </c>
      <c r="BI201" s="106">
        <f>+PMGR!BI201+BP!BI201</f>
        <v>14920</v>
      </c>
      <c r="BJ201" s="106">
        <f>+PMGR!BJ201+BP!BJ201</f>
        <v>35485.19</v>
      </c>
      <c r="BK201" s="106">
        <f>+PMGR!BK201+BP!BK201</f>
        <v>30922</v>
      </c>
      <c r="BL201" s="106">
        <f>+PMGR!BL201+BP!BL201</f>
        <v>4930</v>
      </c>
      <c r="BM201" s="106">
        <f>+PMGR!BM201+BP!BM201</f>
        <v>4240</v>
      </c>
      <c r="BN201" s="106">
        <f>+PMGR!BN201+BP!BN201</f>
        <v>4977</v>
      </c>
      <c r="BO201" s="106">
        <f>+PMGR!BO201+BP!BO201</f>
        <v>0</v>
      </c>
      <c r="BP201" s="106">
        <f>+PMGR!BP201+BP!BP201</f>
        <v>0</v>
      </c>
      <c r="BQ201" s="106">
        <f t="shared" si="953"/>
        <v>112396.19</v>
      </c>
      <c r="BR201" s="118"/>
      <c r="BS201" s="106">
        <f>+PMGR!BS201+BP!BS201</f>
        <v>580</v>
      </c>
      <c r="BT201" s="106">
        <f>+PMGR!BT201+BP!BT201</f>
        <v>580</v>
      </c>
      <c r="BU201" s="106">
        <f>+PMGR!BU201+BP!BU201</f>
        <v>580</v>
      </c>
      <c r="BV201" s="106">
        <f>+PMGR!BV201+BP!BV201</f>
        <v>580</v>
      </c>
      <c r="BW201" s="106">
        <f>+PMGR!BW201+BP!BW201</f>
        <v>580</v>
      </c>
      <c r="BX201" s="106">
        <f>+PMGR!BX201+BP!BX201</f>
        <v>580</v>
      </c>
      <c r="BY201" s="106">
        <f>+PMGR!BY201+BP!BY201</f>
        <v>580</v>
      </c>
      <c r="BZ201" s="106">
        <f>+PMGR!BZ201+BP!BZ201</f>
        <v>580</v>
      </c>
      <c r="CA201" s="106">
        <f>+PMGR!CA201+BP!CA201</f>
        <v>580</v>
      </c>
      <c r="CB201" s="106">
        <f>+PMGR!CB201+BP!CB201</f>
        <v>580</v>
      </c>
      <c r="CC201" s="106">
        <f>+PMGR!CC201+BP!CC201</f>
        <v>580</v>
      </c>
      <c r="CD201" s="106">
        <f>+PMGR!CD201+BP!CD201</f>
        <v>580</v>
      </c>
      <c r="CE201" s="106">
        <f t="shared" si="954"/>
        <v>6960</v>
      </c>
      <c r="CF201" s="106"/>
      <c r="CG201" s="106">
        <f>+PMGR!CG201+BP!CG201</f>
        <v>1480</v>
      </c>
      <c r="CH201" s="106">
        <f>+PMGR!CH201+BP!CH201</f>
        <v>2014</v>
      </c>
      <c r="CI201" s="106">
        <f>+PMGR!CI201+BP!CI201</f>
        <v>150</v>
      </c>
      <c r="CJ201" s="106">
        <f>+PMGR!CJ201+BP!CJ201</f>
        <v>1864</v>
      </c>
      <c r="CK201" s="106">
        <f>+PMGR!CK201+BP!CK201</f>
        <v>215</v>
      </c>
      <c r="CL201" s="106">
        <f>+PMGR!CL201+BP!CL201</f>
        <v>1030</v>
      </c>
      <c r="CM201" s="106">
        <f>+PMGR!CM201+BP!CM201</f>
        <v>286.5</v>
      </c>
      <c r="CN201" s="106">
        <f>+PMGR!CN201+BP!CN201</f>
        <v>1000</v>
      </c>
      <c r="CO201" s="106">
        <f>+PMGR!CO201+BP!CO201</f>
        <v>425</v>
      </c>
      <c r="CP201" s="106">
        <f>+PMGR!CP201+BP!CP201</f>
        <v>1697</v>
      </c>
      <c r="CQ201" s="106">
        <f>+PMGR!CQ201+BP!CQ201</f>
        <v>1882.5</v>
      </c>
      <c r="CR201" s="106">
        <f>+PMGR!CR201+BP!CR201</f>
        <v>876.5</v>
      </c>
      <c r="CS201" s="106">
        <f t="shared" si="955"/>
        <v>12920.5</v>
      </c>
      <c r="CT201" s="16" t="str">
        <f t="shared" si="962"/>
        <v>Postage</v>
      </c>
      <c r="CU201" s="106">
        <f>+PMGR!CU201+BP!CU201</f>
        <v>1294</v>
      </c>
      <c r="CV201" s="106">
        <f>+PMGR!CV201+BP!CV201</f>
        <v>510</v>
      </c>
      <c r="CW201" s="106">
        <f>+PMGR!CW201+BP!CW201</f>
        <v>3870</v>
      </c>
      <c r="CX201" s="106">
        <f>+PMGR!CX201+BP!CX201</f>
        <v>154</v>
      </c>
      <c r="CY201" s="106">
        <f>+PMGR!CY201+BP!CY201</f>
        <v>3484</v>
      </c>
      <c r="CZ201" s="106">
        <f>+PMGR!CZ201+BP!CZ201</f>
        <v>40</v>
      </c>
      <c r="DA201" s="106">
        <f>+PMGR!DA201+BP!DA201</f>
        <v>10476.5</v>
      </c>
      <c r="DB201" s="106">
        <f>+PMGR!DB201+BP!DB201</f>
        <v>3470</v>
      </c>
      <c r="DC201" s="106">
        <f>+PMGR!DC201+BP!DC201</f>
        <v>2110</v>
      </c>
      <c r="DD201" s="106">
        <f>+PMGR!DD201+BP!DD201</f>
        <v>3110</v>
      </c>
      <c r="DE201" s="106">
        <f>+PMGR!DE201+BP!DE201</f>
        <v>0</v>
      </c>
      <c r="DF201" s="106">
        <f>+PMGR!DF201+BP!DF201</f>
        <v>0</v>
      </c>
      <c r="DG201" s="106">
        <f t="shared" si="956"/>
        <v>28518.5</v>
      </c>
      <c r="DH201" s="118"/>
      <c r="DI201" s="106">
        <f>+PMGR!DI201+BP!DI201</f>
        <v>350</v>
      </c>
      <c r="DJ201" s="106">
        <f>+PMGR!DJ201+BP!DJ201</f>
        <v>350</v>
      </c>
      <c r="DK201" s="106">
        <f>+PMGR!DK201+BP!DK201</f>
        <v>350</v>
      </c>
      <c r="DL201" s="106">
        <f>+PMGR!DL201+BP!DL201</f>
        <v>350</v>
      </c>
      <c r="DM201" s="106">
        <f>+PMGR!DM201+BP!DM201</f>
        <v>350</v>
      </c>
      <c r="DN201" s="106">
        <f>+PMGR!DN201+BP!DN201</f>
        <v>350</v>
      </c>
      <c r="DO201" s="106">
        <f>+PMGR!DO201+BP!DO201</f>
        <v>350</v>
      </c>
      <c r="DP201" s="106">
        <f>+PMGR!DP201+BP!DP201</f>
        <v>350</v>
      </c>
      <c r="DQ201" s="106">
        <f>+PMGR!DQ201+BP!DQ201</f>
        <v>350</v>
      </c>
      <c r="DR201" s="106">
        <f>+PMGR!DR201+BP!DR201</f>
        <v>350</v>
      </c>
      <c r="DS201" s="106">
        <f>+PMGR!DS201+BP!DS201</f>
        <v>350</v>
      </c>
      <c r="DT201" s="106">
        <f>+PMGR!DT201+BP!DT201</f>
        <v>350</v>
      </c>
      <c r="DU201" s="106">
        <f t="shared" si="957"/>
        <v>4200</v>
      </c>
      <c r="DV201" s="106"/>
      <c r="DW201" s="106">
        <f>+PMGR!DW201+BP!DW201</f>
        <v>0</v>
      </c>
      <c r="DX201" s="106">
        <f>+PMGR!DX201+BP!DX201</f>
        <v>0</v>
      </c>
      <c r="DY201" s="106">
        <f>+PMGR!DY201+BP!DY201</f>
        <v>0</v>
      </c>
      <c r="DZ201" s="106">
        <f>+PMGR!DZ201+BP!DZ201</f>
        <v>0</v>
      </c>
      <c r="EA201" s="106">
        <f>+PMGR!EA201+BP!EA201</f>
        <v>0</v>
      </c>
      <c r="EB201" s="106">
        <f>+PMGR!EB201+BP!EB201</f>
        <v>0</v>
      </c>
      <c r="EC201" s="106">
        <f>+PMGR!EC201+BP!EC201</f>
        <v>0</v>
      </c>
      <c r="ED201" s="106">
        <f>+PMGR!ED201+BP!ED201</f>
        <v>0</v>
      </c>
      <c r="EE201" s="106">
        <f>+PMGR!EE201+BP!EE201</f>
        <v>0</v>
      </c>
      <c r="EF201" s="106">
        <f>+PMGR!EF201+BP!EF201</f>
        <v>0</v>
      </c>
      <c r="EG201" s="106">
        <f>+PMGR!EG201+BP!EG201</f>
        <v>0</v>
      </c>
      <c r="EH201" s="106">
        <f>+PMGR!EH201+BP!EH201</f>
        <v>0</v>
      </c>
      <c r="EI201" s="106">
        <f t="shared" si="958"/>
        <v>0</v>
      </c>
      <c r="EJ201" s="16" t="str">
        <f t="shared" ref="EJ201:EJ236" si="963">CT201</f>
        <v>Postage</v>
      </c>
      <c r="EK201" s="106">
        <f>+PMGR!EK201+BP!EK201</f>
        <v>80</v>
      </c>
      <c r="EL201" s="106">
        <f>+PMGR!EL201+BP!EL201</f>
        <v>0</v>
      </c>
      <c r="EM201" s="106">
        <f>+PMGR!EM201+BP!EM201</f>
        <v>13856</v>
      </c>
      <c r="EN201" s="106">
        <f>+PMGR!EN201+BP!EN201</f>
        <v>0</v>
      </c>
      <c r="EO201" s="106">
        <f>+PMGR!EO201+BP!EO201</f>
        <v>4990</v>
      </c>
      <c r="EP201" s="106">
        <f>+PMGR!EP201+BP!EP201</f>
        <v>1994</v>
      </c>
      <c r="EQ201" s="106">
        <f>+PMGR!EQ201+BP!EQ201</f>
        <v>2908</v>
      </c>
      <c r="ER201" s="106">
        <f>+PMGR!ER201+BP!ER201</f>
        <v>5296</v>
      </c>
      <c r="ES201" s="106">
        <f>+PMGR!ES201+BP!ES201</f>
        <v>4180</v>
      </c>
      <c r="ET201" s="106">
        <f>+PMGR!ET201+BP!ET201</f>
        <v>1200</v>
      </c>
      <c r="EU201" s="106">
        <f>+PMGR!EU201+BP!EU201</f>
        <v>0</v>
      </c>
      <c r="EV201" s="106">
        <f>+PMGR!EV201+BP!EV201</f>
        <v>0</v>
      </c>
      <c r="EW201" s="106">
        <f t="shared" si="959"/>
        <v>34504</v>
      </c>
      <c r="EX201" s="118"/>
      <c r="EY201" s="106">
        <f>+PMGR!EY201+BP!EY201</f>
        <v>1666.6666666666665</v>
      </c>
      <c r="EZ201" s="106">
        <f>+PMGR!EZ201+BP!EZ201</f>
        <v>1666.6666666666665</v>
      </c>
      <c r="FA201" s="106">
        <f>+PMGR!FA201+BP!FA201</f>
        <v>1666.6666666666665</v>
      </c>
      <c r="FB201" s="106">
        <f>+PMGR!FB201+BP!FB201</f>
        <v>1666.6666666666665</v>
      </c>
      <c r="FC201" s="106">
        <f>+PMGR!FC201+BP!FC201</f>
        <v>1666.6666666666665</v>
      </c>
      <c r="FD201" s="106">
        <f>+PMGR!FD201+BP!FD201</f>
        <v>1666.6666666666665</v>
      </c>
      <c r="FE201" s="106">
        <f>+PMGR!FE201+BP!FE201</f>
        <v>1666.6666666666665</v>
      </c>
      <c r="FF201" s="106">
        <f>+PMGR!FF201+BP!FF201</f>
        <v>1666.6666666666665</v>
      </c>
      <c r="FG201" s="106">
        <f>+PMGR!FG201+BP!FG201</f>
        <v>1666.6666666666665</v>
      </c>
      <c r="FH201" s="106">
        <f>+PMGR!FH201+BP!FH201</f>
        <v>1666.6666666666665</v>
      </c>
      <c r="FI201" s="106">
        <f>+PMGR!FI201+BP!FI201</f>
        <v>1666.6666666666665</v>
      </c>
      <c r="FJ201" s="106">
        <f>+PMGR!FJ201+BP!FJ201</f>
        <v>1666.6666666666665</v>
      </c>
      <c r="FK201" s="106">
        <f t="shared" si="960"/>
        <v>20000</v>
      </c>
    </row>
    <row r="202" spans="1:167" ht="14.45" hidden="1" customHeight="1" outlineLevel="2">
      <c r="A202" s="106">
        <f t="shared" si="946"/>
        <v>0</v>
      </c>
      <c r="B202" s="106">
        <f t="shared" si="946"/>
        <v>0</v>
      </c>
      <c r="C202" s="106">
        <f t="shared" si="946"/>
        <v>0</v>
      </c>
      <c r="D202" s="106">
        <f t="shared" si="946"/>
        <v>0</v>
      </c>
      <c r="E202" s="106">
        <f t="shared" si="946"/>
        <v>0</v>
      </c>
      <c r="F202" s="106">
        <f t="shared" si="946"/>
        <v>0</v>
      </c>
      <c r="G202" s="106">
        <f t="shared" si="946"/>
        <v>0</v>
      </c>
      <c r="H202" s="106">
        <f t="shared" si="946"/>
        <v>0</v>
      </c>
      <c r="I202" s="106">
        <f t="shared" si="946"/>
        <v>0</v>
      </c>
      <c r="J202" s="106">
        <f t="shared" si="946"/>
        <v>0</v>
      </c>
      <c r="K202" s="106">
        <f t="shared" si="946"/>
        <v>0</v>
      </c>
      <c r="L202" s="106">
        <f t="shared" si="946"/>
        <v>0</v>
      </c>
      <c r="M202" s="106">
        <f t="shared" si="947"/>
        <v>0</v>
      </c>
      <c r="N202" s="16" t="s">
        <v>170</v>
      </c>
      <c r="O202" s="106">
        <f t="shared" si="948"/>
        <v>0</v>
      </c>
      <c r="P202" s="106">
        <f t="shared" si="948"/>
        <v>0</v>
      </c>
      <c r="Q202" s="106">
        <f t="shared" si="948"/>
        <v>0</v>
      </c>
      <c r="R202" s="106">
        <f t="shared" si="948"/>
        <v>0</v>
      </c>
      <c r="S202" s="106">
        <f t="shared" si="948"/>
        <v>0</v>
      </c>
      <c r="T202" s="106">
        <f t="shared" si="948"/>
        <v>2660.6</v>
      </c>
      <c r="U202" s="106">
        <f t="shared" si="948"/>
        <v>4067</v>
      </c>
      <c r="V202" s="106">
        <f t="shared" si="948"/>
        <v>1020.3</v>
      </c>
      <c r="W202" s="106">
        <f t="shared" si="948"/>
        <v>1020.3</v>
      </c>
      <c r="X202" s="106">
        <f t="shared" si="948"/>
        <v>1020.3</v>
      </c>
      <c r="Y202" s="106">
        <f t="shared" si="948"/>
        <v>0</v>
      </c>
      <c r="Z202" s="106">
        <f t="shared" si="948"/>
        <v>0</v>
      </c>
      <c r="AA202" s="106">
        <f t="shared" si="949"/>
        <v>9788.5</v>
      </c>
      <c r="AB202" s="118"/>
      <c r="AC202" s="106">
        <f t="shared" si="950"/>
        <v>639.41666666666663</v>
      </c>
      <c r="AD202" s="106">
        <f t="shared" si="950"/>
        <v>639.41666666666663</v>
      </c>
      <c r="AE202" s="106">
        <f t="shared" si="950"/>
        <v>639.41666666666663</v>
      </c>
      <c r="AF202" s="106">
        <f t="shared" si="950"/>
        <v>639.41666666666663</v>
      </c>
      <c r="AG202" s="106">
        <f t="shared" si="950"/>
        <v>639.41666666666663</v>
      </c>
      <c r="AH202" s="106">
        <f t="shared" si="950"/>
        <v>639.41666666666663</v>
      </c>
      <c r="AI202" s="106">
        <f t="shared" si="950"/>
        <v>639.41666666666663</v>
      </c>
      <c r="AJ202" s="106">
        <f t="shared" si="950"/>
        <v>639.41666666666663</v>
      </c>
      <c r="AK202" s="106">
        <f t="shared" si="950"/>
        <v>639.41666666666663</v>
      </c>
      <c r="AL202" s="106">
        <f t="shared" si="950"/>
        <v>639.41666666666663</v>
      </c>
      <c r="AM202" s="106">
        <f t="shared" si="950"/>
        <v>639.41666666666663</v>
      </c>
      <c r="AN202" s="106">
        <f t="shared" si="950"/>
        <v>639.41666666666663</v>
      </c>
      <c r="AO202" s="106">
        <f t="shared" si="951"/>
        <v>7673.0000000000009</v>
      </c>
      <c r="AP202" s="106"/>
      <c r="AQ202" s="106">
        <f>+PMGR!AQ202+BP!AQ202</f>
        <v>0</v>
      </c>
      <c r="AR202" s="106">
        <f>+PMGR!AR202+BP!AR202</f>
        <v>0</v>
      </c>
      <c r="AS202" s="106">
        <f>+PMGR!AS202+BP!AS202</f>
        <v>0</v>
      </c>
      <c r="AT202" s="106">
        <f>+PMGR!AT202+BP!AT202</f>
        <v>0</v>
      </c>
      <c r="AU202" s="106">
        <f>+PMGR!AU202+BP!AU202</f>
        <v>0</v>
      </c>
      <c r="AV202" s="106">
        <f>+PMGR!AV202+BP!AV202</f>
        <v>0</v>
      </c>
      <c r="AW202" s="106">
        <f>+PMGR!AW202+BP!AW202</f>
        <v>0</v>
      </c>
      <c r="AX202" s="106">
        <f>+PMGR!AX202+BP!AX202</f>
        <v>0</v>
      </c>
      <c r="AY202" s="106">
        <f>+PMGR!AY202+BP!AY202</f>
        <v>0</v>
      </c>
      <c r="AZ202" s="106">
        <f>+PMGR!AZ202+BP!AZ202</f>
        <v>0</v>
      </c>
      <c r="BA202" s="106">
        <f>+PMGR!BA202+BP!BA202</f>
        <v>0</v>
      </c>
      <c r="BB202" s="106">
        <f>+PMGR!BB202+BP!BB202</f>
        <v>0</v>
      </c>
      <c r="BC202" s="106">
        <f t="shared" si="952"/>
        <v>0</v>
      </c>
      <c r="BD202" s="16" t="str">
        <f t="shared" si="961"/>
        <v>Subscription and Periodicals</v>
      </c>
      <c r="BE202" s="106">
        <f>+PMGR!BE202+BP!BE202</f>
        <v>0</v>
      </c>
      <c r="BF202" s="106">
        <f>+PMGR!BF202+BP!BF202</f>
        <v>0</v>
      </c>
      <c r="BG202" s="106">
        <f>+PMGR!BG202+BP!BG202</f>
        <v>0</v>
      </c>
      <c r="BH202" s="106">
        <f>+PMGR!BH202+BP!BH202</f>
        <v>0</v>
      </c>
      <c r="BI202" s="106">
        <f>+PMGR!BI202+BP!BI202</f>
        <v>0</v>
      </c>
      <c r="BJ202" s="106">
        <f>+PMGR!BJ202+BP!BJ202</f>
        <v>2660.6</v>
      </c>
      <c r="BK202" s="106">
        <f>+PMGR!BK202+BP!BK202</f>
        <v>2918</v>
      </c>
      <c r="BL202" s="106">
        <f>+PMGR!BL202+BP!BL202</f>
        <v>1020.3</v>
      </c>
      <c r="BM202" s="106">
        <f>+PMGR!BM202+BP!BM202</f>
        <v>1020.3</v>
      </c>
      <c r="BN202" s="106">
        <f>+PMGR!BN202+BP!BN202</f>
        <v>1020.3</v>
      </c>
      <c r="BO202" s="106">
        <f>+PMGR!BO202+BP!BO202</f>
        <v>0</v>
      </c>
      <c r="BP202" s="106">
        <f>+PMGR!BP202+BP!BP202</f>
        <v>0</v>
      </c>
      <c r="BQ202" s="106">
        <f t="shared" si="953"/>
        <v>8639.5</v>
      </c>
      <c r="BR202" s="118"/>
      <c r="BS202" s="106">
        <f>+PMGR!BS202+BP!BS202</f>
        <v>148.5</v>
      </c>
      <c r="BT202" s="106">
        <f>+PMGR!BT202+BP!BT202</f>
        <v>148.5</v>
      </c>
      <c r="BU202" s="106">
        <f>+PMGR!BU202+BP!BU202</f>
        <v>148.5</v>
      </c>
      <c r="BV202" s="106">
        <f>+PMGR!BV202+BP!BV202</f>
        <v>148.5</v>
      </c>
      <c r="BW202" s="106">
        <f>+PMGR!BW202+BP!BW202</f>
        <v>148.5</v>
      </c>
      <c r="BX202" s="106">
        <f>+PMGR!BX202+BP!BX202</f>
        <v>148.5</v>
      </c>
      <c r="BY202" s="106">
        <f>+PMGR!BY202+BP!BY202</f>
        <v>148.5</v>
      </c>
      <c r="BZ202" s="106">
        <f>+PMGR!BZ202+BP!BZ202</f>
        <v>148.5</v>
      </c>
      <c r="CA202" s="106">
        <f>+PMGR!CA202+BP!CA202</f>
        <v>148.5</v>
      </c>
      <c r="CB202" s="106">
        <f>+PMGR!CB202+BP!CB202</f>
        <v>148.5</v>
      </c>
      <c r="CC202" s="106">
        <f>+PMGR!CC202+BP!CC202</f>
        <v>148.5</v>
      </c>
      <c r="CD202" s="106">
        <f>+PMGR!CD202+BP!CD202</f>
        <v>148.5</v>
      </c>
      <c r="CE202" s="106">
        <f t="shared" si="954"/>
        <v>1782</v>
      </c>
      <c r="CF202" s="106"/>
      <c r="CG202" s="106">
        <f>+PMGR!CG202+BP!CG202</f>
        <v>0</v>
      </c>
      <c r="CH202" s="106">
        <f>+PMGR!CH202+BP!CH202</f>
        <v>0</v>
      </c>
      <c r="CI202" s="106">
        <f>+PMGR!CI202+BP!CI202</f>
        <v>0</v>
      </c>
      <c r="CJ202" s="106">
        <f>+PMGR!CJ202+BP!CJ202</f>
        <v>0</v>
      </c>
      <c r="CK202" s="106">
        <f>+PMGR!CK202+BP!CK202</f>
        <v>0</v>
      </c>
      <c r="CL202" s="106">
        <f>+PMGR!CL202+BP!CL202</f>
        <v>0</v>
      </c>
      <c r="CM202" s="106">
        <f>+PMGR!CM202+BP!CM202</f>
        <v>0</v>
      </c>
      <c r="CN202" s="106">
        <f>+PMGR!CN202+BP!CN202</f>
        <v>0</v>
      </c>
      <c r="CO202" s="106">
        <f>+PMGR!CO202+BP!CO202</f>
        <v>0</v>
      </c>
      <c r="CP202" s="106">
        <f>+PMGR!CP202+BP!CP202</f>
        <v>0</v>
      </c>
      <c r="CQ202" s="106">
        <f>+PMGR!CQ202+BP!CQ202</f>
        <v>0</v>
      </c>
      <c r="CR202" s="106">
        <f>+PMGR!CR202+BP!CR202</f>
        <v>0</v>
      </c>
      <c r="CS202" s="106">
        <f t="shared" si="955"/>
        <v>0</v>
      </c>
      <c r="CT202" s="16" t="str">
        <f t="shared" si="962"/>
        <v>Subscription and Periodicals</v>
      </c>
      <c r="CU202" s="106">
        <f>+PMGR!CU202+BP!CU202</f>
        <v>0</v>
      </c>
      <c r="CV202" s="106">
        <f>+PMGR!CV202+BP!CV202</f>
        <v>0</v>
      </c>
      <c r="CW202" s="106">
        <f>+PMGR!CW202+BP!CW202</f>
        <v>0</v>
      </c>
      <c r="CX202" s="106">
        <f>+PMGR!CX202+BP!CX202</f>
        <v>0</v>
      </c>
      <c r="CY202" s="106">
        <f>+PMGR!CY202+BP!CY202</f>
        <v>0</v>
      </c>
      <c r="CZ202" s="106">
        <f>+PMGR!CZ202+BP!CZ202</f>
        <v>0</v>
      </c>
      <c r="DA202" s="106">
        <f>+PMGR!DA202+BP!DA202</f>
        <v>1149</v>
      </c>
      <c r="DB202" s="106">
        <f>+PMGR!DB202+BP!DB202</f>
        <v>0</v>
      </c>
      <c r="DC202" s="106">
        <f>+PMGR!DC202+BP!DC202</f>
        <v>0</v>
      </c>
      <c r="DD202" s="106">
        <f>+PMGR!DD202+BP!DD202</f>
        <v>0</v>
      </c>
      <c r="DE202" s="106">
        <f>+PMGR!DE202+BP!DE202</f>
        <v>0</v>
      </c>
      <c r="DF202" s="106">
        <f>+PMGR!DF202+BP!DF202</f>
        <v>0</v>
      </c>
      <c r="DG202" s="106">
        <f t="shared" si="956"/>
        <v>1149</v>
      </c>
      <c r="DH202" s="118"/>
      <c r="DI202" s="106">
        <f>+PMGR!DI202+BP!DI202</f>
        <v>74.25</v>
      </c>
      <c r="DJ202" s="106">
        <f>+PMGR!DJ202+BP!DJ202</f>
        <v>74.25</v>
      </c>
      <c r="DK202" s="106">
        <f>+PMGR!DK202+BP!DK202</f>
        <v>74.25</v>
      </c>
      <c r="DL202" s="106">
        <f>+PMGR!DL202+BP!DL202</f>
        <v>74.25</v>
      </c>
      <c r="DM202" s="106">
        <f>+PMGR!DM202+BP!DM202</f>
        <v>74.25</v>
      </c>
      <c r="DN202" s="106">
        <f>+PMGR!DN202+BP!DN202</f>
        <v>74.25</v>
      </c>
      <c r="DO202" s="106">
        <f>+PMGR!DO202+BP!DO202</f>
        <v>74.25</v>
      </c>
      <c r="DP202" s="106">
        <f>+PMGR!DP202+BP!DP202</f>
        <v>74.25</v>
      </c>
      <c r="DQ202" s="106">
        <f>+PMGR!DQ202+BP!DQ202</f>
        <v>74.25</v>
      </c>
      <c r="DR202" s="106">
        <f>+PMGR!DR202+BP!DR202</f>
        <v>74.25</v>
      </c>
      <c r="DS202" s="106">
        <f>+PMGR!DS202+BP!DS202</f>
        <v>74.25</v>
      </c>
      <c r="DT202" s="106">
        <f>+PMGR!DT202+BP!DT202</f>
        <v>74.25</v>
      </c>
      <c r="DU202" s="106">
        <f t="shared" si="957"/>
        <v>891</v>
      </c>
      <c r="DV202" s="106"/>
      <c r="DW202" s="106">
        <f>+PMGR!DW202+BP!DW202</f>
        <v>0</v>
      </c>
      <c r="DX202" s="106">
        <f>+PMGR!DX202+BP!DX202</f>
        <v>0</v>
      </c>
      <c r="DY202" s="106">
        <f>+PMGR!DY202+BP!DY202</f>
        <v>0</v>
      </c>
      <c r="DZ202" s="106">
        <f>+PMGR!DZ202+BP!DZ202</f>
        <v>0</v>
      </c>
      <c r="EA202" s="106">
        <f>+PMGR!EA202+BP!EA202</f>
        <v>0</v>
      </c>
      <c r="EB202" s="106">
        <f>+PMGR!EB202+BP!EB202</f>
        <v>0</v>
      </c>
      <c r="EC202" s="106">
        <f>+PMGR!EC202+BP!EC202</f>
        <v>0</v>
      </c>
      <c r="ED202" s="106">
        <f>+PMGR!ED202+BP!ED202</f>
        <v>0</v>
      </c>
      <c r="EE202" s="106">
        <f>+PMGR!EE202+BP!EE202</f>
        <v>0</v>
      </c>
      <c r="EF202" s="106">
        <f>+PMGR!EF202+BP!EF202</f>
        <v>0</v>
      </c>
      <c r="EG202" s="106">
        <f>+PMGR!EG202+BP!EG202</f>
        <v>0</v>
      </c>
      <c r="EH202" s="106">
        <f>+PMGR!EH202+BP!EH202</f>
        <v>0</v>
      </c>
      <c r="EI202" s="106">
        <f t="shared" si="958"/>
        <v>0</v>
      </c>
      <c r="EJ202" s="16" t="str">
        <f t="shared" si="963"/>
        <v>Subscription and Periodicals</v>
      </c>
      <c r="EK202" s="106">
        <f>+PMGR!EK202+BP!EK202</f>
        <v>0</v>
      </c>
      <c r="EL202" s="106">
        <f>+PMGR!EL202+BP!EL202</f>
        <v>0</v>
      </c>
      <c r="EM202" s="106">
        <f>+PMGR!EM202+BP!EM202</f>
        <v>0</v>
      </c>
      <c r="EN202" s="106">
        <f>+PMGR!EN202+BP!EN202</f>
        <v>0</v>
      </c>
      <c r="EO202" s="106">
        <f>+PMGR!EO202+BP!EO202</f>
        <v>0</v>
      </c>
      <c r="EP202" s="106">
        <f>+PMGR!EP202+BP!EP202</f>
        <v>0</v>
      </c>
      <c r="EQ202" s="106">
        <f>+PMGR!EQ202+BP!EQ202</f>
        <v>0</v>
      </c>
      <c r="ER202" s="106">
        <f>+PMGR!ER202+BP!ER202</f>
        <v>0</v>
      </c>
      <c r="ES202" s="106">
        <f>+PMGR!ES202+BP!ES202</f>
        <v>0</v>
      </c>
      <c r="ET202" s="106">
        <f>+PMGR!ET202+BP!ET202</f>
        <v>0</v>
      </c>
      <c r="EU202" s="106">
        <f>+PMGR!EU202+BP!EU202</f>
        <v>0</v>
      </c>
      <c r="EV202" s="106">
        <f>+PMGR!EV202+BP!EV202</f>
        <v>0</v>
      </c>
      <c r="EW202" s="106">
        <f t="shared" si="959"/>
        <v>0</v>
      </c>
      <c r="EX202" s="118"/>
      <c r="EY202" s="106">
        <f>+PMGR!EY202+BP!EY202</f>
        <v>416.66666666666663</v>
      </c>
      <c r="EZ202" s="106">
        <f>+PMGR!EZ202+BP!EZ202</f>
        <v>416.66666666666663</v>
      </c>
      <c r="FA202" s="106">
        <f>+PMGR!FA202+BP!FA202</f>
        <v>416.66666666666663</v>
      </c>
      <c r="FB202" s="106">
        <f>+PMGR!FB202+BP!FB202</f>
        <v>416.66666666666663</v>
      </c>
      <c r="FC202" s="106">
        <f>+PMGR!FC202+BP!FC202</f>
        <v>416.66666666666663</v>
      </c>
      <c r="FD202" s="106">
        <f>+PMGR!FD202+BP!FD202</f>
        <v>416.66666666666663</v>
      </c>
      <c r="FE202" s="106">
        <f>+PMGR!FE202+BP!FE202</f>
        <v>416.66666666666663</v>
      </c>
      <c r="FF202" s="106">
        <f>+PMGR!FF202+BP!FF202</f>
        <v>416.66666666666663</v>
      </c>
      <c r="FG202" s="106">
        <f>+PMGR!FG202+BP!FG202</f>
        <v>416.66666666666663</v>
      </c>
      <c r="FH202" s="106">
        <f>+PMGR!FH202+BP!FH202</f>
        <v>416.66666666666663</v>
      </c>
      <c r="FI202" s="106">
        <f>+PMGR!FI202+BP!FI202</f>
        <v>416.66666666666663</v>
      </c>
      <c r="FJ202" s="106">
        <f>+PMGR!FJ202+BP!FJ202</f>
        <v>416.66666666666663</v>
      </c>
      <c r="FK202" s="106">
        <f t="shared" si="960"/>
        <v>5000</v>
      </c>
    </row>
    <row r="203" spans="1:167" ht="14.45" hidden="1" customHeight="1" outlineLevel="2">
      <c r="A203" s="106">
        <f t="shared" si="946"/>
        <v>3.8199999999999994</v>
      </c>
      <c r="B203" s="106">
        <f t="shared" si="946"/>
        <v>-10.068499999999998</v>
      </c>
      <c r="C203" s="106">
        <f t="shared" si="946"/>
        <v>2.8840000000000003</v>
      </c>
      <c r="D203" s="106">
        <f t="shared" si="946"/>
        <v>2.6999999999999997</v>
      </c>
      <c r="E203" s="106">
        <f t="shared" si="946"/>
        <v>9.4529999999999994</v>
      </c>
      <c r="F203" s="106">
        <f t="shared" si="946"/>
        <v>-3.5030000000000001</v>
      </c>
      <c r="G203" s="106">
        <f t="shared" si="946"/>
        <v>-5.1000000000000378E-2</v>
      </c>
      <c r="H203" s="106">
        <f t="shared" si="946"/>
        <v>24.439999999999998</v>
      </c>
      <c r="I203" s="106">
        <f t="shared" si="946"/>
        <v>14.287000000000001</v>
      </c>
      <c r="J203" s="106">
        <f t="shared" si="946"/>
        <v>14.379000000000001</v>
      </c>
      <c r="K203" s="106">
        <f t="shared" si="946"/>
        <v>8.9579999999999984</v>
      </c>
      <c r="L203" s="106">
        <f t="shared" si="946"/>
        <v>-8.7750000000000004</v>
      </c>
      <c r="M203" s="106">
        <f t="shared" si="947"/>
        <v>58.523500000000006</v>
      </c>
      <c r="N203" s="16" t="s">
        <v>234</v>
      </c>
      <c r="O203" s="106">
        <f t="shared" si="948"/>
        <v>-2.1040000000000001</v>
      </c>
      <c r="P203" s="106">
        <f t="shared" si="948"/>
        <v>0.32650000000000001</v>
      </c>
      <c r="Q203" s="106">
        <f t="shared" si="948"/>
        <v>-5.7914999999999992</v>
      </c>
      <c r="R203" s="106">
        <f t="shared" si="948"/>
        <v>4.0865</v>
      </c>
      <c r="S203" s="106">
        <f t="shared" si="948"/>
        <v>0.18050000000000005</v>
      </c>
      <c r="T203" s="106">
        <f t="shared" si="948"/>
        <v>4.0834999999999999</v>
      </c>
      <c r="U203" s="106">
        <f t="shared" si="948"/>
        <v>6.3760000000000003</v>
      </c>
      <c r="V203" s="106">
        <f t="shared" si="948"/>
        <v>6.4340000000000002</v>
      </c>
      <c r="W203" s="106">
        <f t="shared" si="948"/>
        <v>5.1059999999999999</v>
      </c>
      <c r="X203" s="106">
        <f t="shared" si="948"/>
        <v>1.8989999999999996</v>
      </c>
      <c r="Y203" s="106">
        <f t="shared" si="948"/>
        <v>0</v>
      </c>
      <c r="Z203" s="106">
        <f t="shared" si="948"/>
        <v>0</v>
      </c>
      <c r="AA203" s="106">
        <f t="shared" si="949"/>
        <v>20.596499999999999</v>
      </c>
      <c r="AB203" s="118"/>
      <c r="AC203" s="106">
        <f t="shared" si="950"/>
        <v>0</v>
      </c>
      <c r="AD203" s="106">
        <f t="shared" si="950"/>
        <v>0</v>
      </c>
      <c r="AE203" s="106">
        <f t="shared" si="950"/>
        <v>0</v>
      </c>
      <c r="AF203" s="106">
        <f t="shared" si="950"/>
        <v>0</v>
      </c>
      <c r="AG203" s="106">
        <f t="shared" si="950"/>
        <v>0</v>
      </c>
      <c r="AH203" s="106">
        <f t="shared" si="950"/>
        <v>0</v>
      </c>
      <c r="AI203" s="106">
        <f t="shared" si="950"/>
        <v>0</v>
      </c>
      <c r="AJ203" s="106">
        <f t="shared" si="950"/>
        <v>0</v>
      </c>
      <c r="AK203" s="106">
        <f t="shared" si="950"/>
        <v>0</v>
      </c>
      <c r="AL203" s="106">
        <f t="shared" si="950"/>
        <v>0</v>
      </c>
      <c r="AM203" s="106">
        <f t="shared" si="950"/>
        <v>0</v>
      </c>
      <c r="AN203" s="106">
        <f t="shared" si="950"/>
        <v>0</v>
      </c>
      <c r="AO203" s="106">
        <f t="shared" si="951"/>
        <v>0</v>
      </c>
      <c r="AP203" s="106"/>
      <c r="AQ203" s="106">
        <f>+PMGR!AQ203+BP!AQ203</f>
        <v>1.3699999999999999</v>
      </c>
      <c r="AR203" s="106">
        <f>+PMGR!AR203+BP!AR203</f>
        <v>-8.5689999999999991</v>
      </c>
      <c r="AS203" s="106">
        <f>+PMGR!AS203+BP!AS203</f>
        <v>-4.944</v>
      </c>
      <c r="AT203" s="106">
        <f>+PMGR!AT203+BP!AT203</f>
        <v>1.7999999999999998</v>
      </c>
      <c r="AU203" s="106">
        <f>+PMGR!AU203+BP!AU203</f>
        <v>1.532</v>
      </c>
      <c r="AV203" s="106">
        <f>+PMGR!AV203+BP!AV203</f>
        <v>-1.0419999999999998</v>
      </c>
      <c r="AW203" s="106">
        <f>+PMGR!AW203+BP!AW203</f>
        <v>1.8159999999999998</v>
      </c>
      <c r="AX203" s="106">
        <f>+PMGR!AX203+BP!AX203</f>
        <v>12.9</v>
      </c>
      <c r="AY203" s="106">
        <f>+PMGR!AY203+BP!AY203</f>
        <v>13.578000000000001</v>
      </c>
      <c r="AZ203" s="106">
        <f>+PMGR!AZ203+BP!AZ203</f>
        <v>4.6960000000000006</v>
      </c>
      <c r="BA203" s="106">
        <f>+PMGR!BA203+BP!BA203</f>
        <v>0.13199999999999878</v>
      </c>
      <c r="BB203" s="106">
        <f>+PMGR!BB203+BP!BB203</f>
        <v>-8.7000000000000011</v>
      </c>
      <c r="BC203" s="106">
        <f t="shared" si="952"/>
        <v>14.569000000000001</v>
      </c>
      <c r="BD203" s="16" t="str">
        <f t="shared" si="961"/>
        <v>Miscellanioues Expense</v>
      </c>
      <c r="BE203" s="106">
        <f>+PMGR!BE203+BP!BE203</f>
        <v>-1.726</v>
      </c>
      <c r="BF203" s="106">
        <f>+PMGR!BF203+BP!BF203</f>
        <v>-0.22899999999999998</v>
      </c>
      <c r="BG203" s="106">
        <f>+PMGR!BG203+BP!BG203</f>
        <v>-2.5809999999999995</v>
      </c>
      <c r="BH203" s="106">
        <f>+PMGR!BH203+BP!BH203</f>
        <v>2.5310000000000001</v>
      </c>
      <c r="BI203" s="106">
        <f>+PMGR!BI203+BP!BI203</f>
        <v>0.41700000000000004</v>
      </c>
      <c r="BJ203" s="106">
        <f>+PMGR!BJ203+BP!BJ203</f>
        <v>4.4390000000000001</v>
      </c>
      <c r="BK203" s="106">
        <f>+PMGR!BK203+BP!BK203</f>
        <v>5.5440000000000005</v>
      </c>
      <c r="BL203" s="106">
        <f>+PMGR!BL203+BP!BL203</f>
        <v>4.016</v>
      </c>
      <c r="BM203" s="106">
        <f>+PMGR!BM203+BP!BM203</f>
        <v>4.8239999999999998</v>
      </c>
      <c r="BN203" s="106">
        <f>+PMGR!BN203+BP!BN203</f>
        <v>1.2659999999999998</v>
      </c>
      <c r="BO203" s="106">
        <f>+PMGR!BO203+BP!BO203</f>
        <v>0</v>
      </c>
      <c r="BP203" s="106">
        <f>+PMGR!BP203+BP!BP203</f>
        <v>0</v>
      </c>
      <c r="BQ203" s="106">
        <f t="shared" si="953"/>
        <v>18.500999999999998</v>
      </c>
      <c r="BR203" s="118"/>
      <c r="BS203" s="106">
        <f>+PMGR!BS203+BP!BS203</f>
        <v>0</v>
      </c>
      <c r="BT203" s="106">
        <f>+PMGR!BT203+BP!BT203</f>
        <v>0</v>
      </c>
      <c r="BU203" s="106">
        <f>+PMGR!BU203+BP!BU203</f>
        <v>0</v>
      </c>
      <c r="BV203" s="106">
        <f>+PMGR!BV203+BP!BV203</f>
        <v>0</v>
      </c>
      <c r="BW203" s="106">
        <f>+PMGR!BW203+BP!BW203</f>
        <v>0</v>
      </c>
      <c r="BX203" s="106">
        <f>+PMGR!BX203+BP!BX203</f>
        <v>0</v>
      </c>
      <c r="BY203" s="106">
        <f>+PMGR!BY203+BP!BY203</f>
        <v>0</v>
      </c>
      <c r="BZ203" s="106">
        <f>+PMGR!BZ203+BP!BZ203</f>
        <v>0</v>
      </c>
      <c r="CA203" s="106">
        <f>+PMGR!CA203+BP!CA203</f>
        <v>0</v>
      </c>
      <c r="CB203" s="106">
        <f>+PMGR!CB203+BP!CB203</f>
        <v>0</v>
      </c>
      <c r="CC203" s="106">
        <f>+PMGR!CC203+BP!CC203</f>
        <v>0</v>
      </c>
      <c r="CD203" s="106">
        <f>+PMGR!CD203+BP!CD203</f>
        <v>0</v>
      </c>
      <c r="CE203" s="106">
        <f t="shared" si="954"/>
        <v>0</v>
      </c>
      <c r="CF203" s="106"/>
      <c r="CG203" s="106">
        <f>+PMGR!CG203+BP!CG203</f>
        <v>2.4499999999999997</v>
      </c>
      <c r="CH203" s="106">
        <f>+PMGR!CH203+BP!CH203</f>
        <v>-1.4994999999999998</v>
      </c>
      <c r="CI203" s="106">
        <f>+PMGR!CI203+BP!CI203</f>
        <v>7.8280000000000003</v>
      </c>
      <c r="CJ203" s="106">
        <f>+PMGR!CJ203+BP!CJ203</f>
        <v>0.89999999999999991</v>
      </c>
      <c r="CK203" s="106">
        <f>+PMGR!CK203+BP!CK203</f>
        <v>7.9210000000000003</v>
      </c>
      <c r="CL203" s="106">
        <f>+PMGR!CL203+BP!CL203</f>
        <v>-2.4610000000000003</v>
      </c>
      <c r="CM203" s="106">
        <f>+PMGR!CM203+BP!CM203</f>
        <v>-1.8670000000000002</v>
      </c>
      <c r="CN203" s="106">
        <f>+PMGR!CN203+BP!CN203</f>
        <v>11.54</v>
      </c>
      <c r="CO203" s="106">
        <f>+PMGR!CO203+BP!CO203</f>
        <v>0.70899999999999974</v>
      </c>
      <c r="CP203" s="106">
        <f>+PMGR!CP203+BP!CP203</f>
        <v>9.6829999999999998</v>
      </c>
      <c r="CQ203" s="106">
        <f>+PMGR!CQ203+BP!CQ203</f>
        <v>8.8260000000000005</v>
      </c>
      <c r="CR203" s="106">
        <f>+PMGR!CR203+BP!CR203</f>
        <v>-7.4999999999999734E-2</v>
      </c>
      <c r="CS203" s="106">
        <f t="shared" si="955"/>
        <v>43.954500000000003</v>
      </c>
      <c r="CT203" s="16" t="str">
        <f t="shared" si="962"/>
        <v>Miscellanioues Expense</v>
      </c>
      <c r="CU203" s="106">
        <f>+PMGR!CU203+BP!CU203</f>
        <v>-1.3280000000000001</v>
      </c>
      <c r="CV203" s="106">
        <f>+PMGR!CV203+BP!CV203</f>
        <v>-0.12450000000000003</v>
      </c>
      <c r="CW203" s="106">
        <f>+PMGR!CW203+BP!CW203</f>
        <v>-2.4004999999999996</v>
      </c>
      <c r="CX203" s="106">
        <f>+PMGR!CX203+BP!CX203</f>
        <v>1.2555000000000001</v>
      </c>
      <c r="CY203" s="106">
        <f>+PMGR!CY203+BP!CY203</f>
        <v>-3.6499999999999977E-2</v>
      </c>
      <c r="CZ203" s="106">
        <f>+PMGR!CZ203+BP!CZ203</f>
        <v>0.84449999999999981</v>
      </c>
      <c r="DA203" s="106">
        <f>+PMGR!DA203+BP!DA203</f>
        <v>1.722</v>
      </c>
      <c r="DB203" s="106">
        <f>+PMGR!DB203+BP!DB203</f>
        <v>2.0379999999999998</v>
      </c>
      <c r="DC203" s="106">
        <f>+PMGR!DC203+BP!DC203</f>
        <v>-1.008</v>
      </c>
      <c r="DD203" s="106">
        <f>+PMGR!DD203+BP!DD203</f>
        <v>0.6329999999999999</v>
      </c>
      <c r="DE203" s="106">
        <f>+PMGR!DE203+BP!DE203</f>
        <v>0</v>
      </c>
      <c r="DF203" s="106">
        <f>+PMGR!DF203+BP!DF203</f>
        <v>0</v>
      </c>
      <c r="DG203" s="106">
        <f t="shared" si="956"/>
        <v>1.5954999999999999</v>
      </c>
      <c r="DH203" s="118"/>
      <c r="DI203" s="106">
        <f>+PMGR!DI203+BP!DI203</f>
        <v>0</v>
      </c>
      <c r="DJ203" s="106">
        <f>+PMGR!DJ203+BP!DJ203</f>
        <v>0</v>
      </c>
      <c r="DK203" s="106">
        <f>+PMGR!DK203+BP!DK203</f>
        <v>0</v>
      </c>
      <c r="DL203" s="106">
        <f>+PMGR!DL203+BP!DL203</f>
        <v>0</v>
      </c>
      <c r="DM203" s="106">
        <f>+PMGR!DM203+BP!DM203</f>
        <v>0</v>
      </c>
      <c r="DN203" s="106">
        <f>+PMGR!DN203+BP!DN203</f>
        <v>0</v>
      </c>
      <c r="DO203" s="106">
        <f>+PMGR!DO203+BP!DO203</f>
        <v>0</v>
      </c>
      <c r="DP203" s="106">
        <f>+PMGR!DP203+BP!DP203</f>
        <v>0</v>
      </c>
      <c r="DQ203" s="106">
        <f>+PMGR!DQ203+BP!DQ203</f>
        <v>0</v>
      </c>
      <c r="DR203" s="106">
        <f>+PMGR!DR203+BP!DR203</f>
        <v>0</v>
      </c>
      <c r="DS203" s="106">
        <f>+PMGR!DS203+BP!DS203</f>
        <v>0</v>
      </c>
      <c r="DT203" s="106">
        <f>+PMGR!DT203+BP!DT203</f>
        <v>0</v>
      </c>
      <c r="DU203" s="106">
        <f t="shared" si="957"/>
        <v>0</v>
      </c>
      <c r="DV203" s="106"/>
      <c r="DW203" s="106">
        <f>+PMGR!DW203+BP!DW203</f>
        <v>0</v>
      </c>
      <c r="DX203" s="106">
        <f>+PMGR!DX203+BP!DX203</f>
        <v>0</v>
      </c>
      <c r="DY203" s="106">
        <f>+PMGR!DY203+BP!DY203</f>
        <v>0</v>
      </c>
      <c r="DZ203" s="106">
        <f>+PMGR!DZ203+BP!DZ203</f>
        <v>0</v>
      </c>
      <c r="EA203" s="106">
        <f>+PMGR!EA203+BP!EA203</f>
        <v>0</v>
      </c>
      <c r="EB203" s="106">
        <f>+PMGR!EB203+BP!EB203</f>
        <v>0</v>
      </c>
      <c r="EC203" s="106">
        <f>+PMGR!EC203+BP!EC203</f>
        <v>0</v>
      </c>
      <c r="ED203" s="106">
        <f>+PMGR!ED203+BP!ED203</f>
        <v>0</v>
      </c>
      <c r="EE203" s="106">
        <f>+PMGR!EE203+BP!EE203</f>
        <v>0</v>
      </c>
      <c r="EF203" s="106">
        <f>+PMGR!EF203+BP!EF203</f>
        <v>0</v>
      </c>
      <c r="EG203" s="106">
        <f>+PMGR!EG203+BP!EG203</f>
        <v>0</v>
      </c>
      <c r="EH203" s="106">
        <f>+PMGR!EH203+BP!EH203</f>
        <v>0</v>
      </c>
      <c r="EI203" s="106">
        <f t="shared" si="958"/>
        <v>0</v>
      </c>
      <c r="EJ203" s="16" t="str">
        <f t="shared" si="963"/>
        <v>Miscellanioues Expense</v>
      </c>
      <c r="EK203" s="106">
        <f>+PMGR!EK203+BP!EK203</f>
        <v>0.95</v>
      </c>
      <c r="EL203" s="106">
        <f>+PMGR!EL203+BP!EL203</f>
        <v>0.68</v>
      </c>
      <c r="EM203" s="106">
        <f>+PMGR!EM203+BP!EM203</f>
        <v>-0.81</v>
      </c>
      <c r="EN203" s="106">
        <f>+PMGR!EN203+BP!EN203</f>
        <v>0.3</v>
      </c>
      <c r="EO203" s="106">
        <f>+PMGR!EO203+BP!EO203</f>
        <v>-0.2</v>
      </c>
      <c r="EP203" s="106">
        <f>+PMGR!EP203+BP!EP203</f>
        <v>-1.2</v>
      </c>
      <c r="EQ203" s="106">
        <f>+PMGR!EQ203+BP!EQ203</f>
        <v>-0.89</v>
      </c>
      <c r="ER203" s="106">
        <f>+PMGR!ER203+BP!ER203</f>
        <v>0.38</v>
      </c>
      <c r="ES203" s="106">
        <f>+PMGR!ES203+BP!ES203</f>
        <v>1.29</v>
      </c>
      <c r="ET203" s="106">
        <f>+PMGR!ET203+BP!ET203</f>
        <v>0</v>
      </c>
      <c r="EU203" s="106">
        <f>+PMGR!EU203+BP!EU203</f>
        <v>0</v>
      </c>
      <c r="EV203" s="106">
        <f>+PMGR!EV203+BP!EV203</f>
        <v>0</v>
      </c>
      <c r="EW203" s="106">
        <f t="shared" si="959"/>
        <v>0.50000000000000011</v>
      </c>
      <c r="EX203" s="118"/>
      <c r="EY203" s="106">
        <f>+PMGR!EY203+BP!EY203</f>
        <v>0</v>
      </c>
      <c r="EZ203" s="106">
        <f>+PMGR!EZ203+BP!EZ203</f>
        <v>0</v>
      </c>
      <c r="FA203" s="106">
        <f>+PMGR!FA203+BP!FA203</f>
        <v>0</v>
      </c>
      <c r="FB203" s="106">
        <f>+PMGR!FB203+BP!FB203</f>
        <v>0</v>
      </c>
      <c r="FC203" s="106">
        <f>+PMGR!FC203+BP!FC203</f>
        <v>0</v>
      </c>
      <c r="FD203" s="106">
        <f>+PMGR!FD203+BP!FD203</f>
        <v>0</v>
      </c>
      <c r="FE203" s="106">
        <f>+PMGR!FE203+BP!FE203</f>
        <v>0</v>
      </c>
      <c r="FF203" s="106">
        <f>+PMGR!FF203+BP!FF203</f>
        <v>0</v>
      </c>
      <c r="FG203" s="106">
        <f>+PMGR!FG203+BP!FG203</f>
        <v>0</v>
      </c>
      <c r="FH203" s="106">
        <f>+PMGR!FH203+BP!FH203</f>
        <v>0</v>
      </c>
      <c r="FI203" s="106">
        <f>+PMGR!FI203+BP!FI203</f>
        <v>0</v>
      </c>
      <c r="FJ203" s="106">
        <f>+PMGR!FJ203+BP!FJ203</f>
        <v>0</v>
      </c>
      <c r="FK203" s="106">
        <f t="shared" si="960"/>
        <v>0</v>
      </c>
    </row>
    <row r="204" spans="1:167" ht="14.45" hidden="1" customHeight="1" outlineLevel="2">
      <c r="A204" s="106">
        <f t="shared" si="946"/>
        <v>68.098500000000001</v>
      </c>
      <c r="B204" s="106">
        <f t="shared" si="946"/>
        <v>554.66499999999996</v>
      </c>
      <c r="C204" s="106">
        <f t="shared" si="946"/>
        <v>408.84000000000003</v>
      </c>
      <c r="D204" s="106">
        <f t="shared" si="946"/>
        <v>19.799999999999997</v>
      </c>
      <c r="E204" s="106">
        <f t="shared" si="946"/>
        <v>32.083999999999996</v>
      </c>
      <c r="F204" s="106">
        <f t="shared" si="946"/>
        <v>81.896500000000003</v>
      </c>
      <c r="G204" s="106">
        <f t="shared" si="946"/>
        <v>0.2</v>
      </c>
      <c r="H204" s="106">
        <f t="shared" si="946"/>
        <v>0</v>
      </c>
      <c r="I204" s="106">
        <f t="shared" si="946"/>
        <v>-108.17</v>
      </c>
      <c r="J204" s="106">
        <f t="shared" si="946"/>
        <v>70.8095</v>
      </c>
      <c r="K204" s="106">
        <f t="shared" si="946"/>
        <v>45.472499999999997</v>
      </c>
      <c r="L204" s="106">
        <f t="shared" si="946"/>
        <v>0</v>
      </c>
      <c r="M204" s="106">
        <f t="shared" si="947"/>
        <v>1173.6960000000004</v>
      </c>
      <c r="N204" s="16" t="s">
        <v>171</v>
      </c>
      <c r="O204" s="106">
        <f t="shared" si="948"/>
        <v>-7.9695</v>
      </c>
      <c r="P204" s="106">
        <f t="shared" si="948"/>
        <v>-25.587</v>
      </c>
      <c r="Q204" s="106">
        <f t="shared" si="948"/>
        <v>-180.74599999999998</v>
      </c>
      <c r="R204" s="106">
        <f t="shared" si="948"/>
        <v>-19.026</v>
      </c>
      <c r="S204" s="106">
        <f t="shared" si="948"/>
        <v>110.739</v>
      </c>
      <c r="T204" s="106">
        <f t="shared" si="948"/>
        <v>-51.538499999999999</v>
      </c>
      <c r="U204" s="106">
        <f t="shared" si="948"/>
        <v>129.73050000000001</v>
      </c>
      <c r="V204" s="106">
        <f t="shared" si="948"/>
        <v>-12.874500000000001</v>
      </c>
      <c r="W204" s="106">
        <f t="shared" si="948"/>
        <v>-29.700000000000003</v>
      </c>
      <c r="X204" s="106">
        <f t="shared" si="948"/>
        <v>-35.856000000000002</v>
      </c>
      <c r="Y204" s="106">
        <f t="shared" si="948"/>
        <v>0</v>
      </c>
      <c r="Z204" s="106">
        <f t="shared" si="948"/>
        <v>0</v>
      </c>
      <c r="AA204" s="106">
        <f t="shared" si="949"/>
        <v>-122.82799999999997</v>
      </c>
      <c r="AB204" s="118"/>
      <c r="AC204" s="106">
        <f t="shared" si="950"/>
        <v>0</v>
      </c>
      <c r="AD204" s="106">
        <f t="shared" si="950"/>
        <v>0</v>
      </c>
      <c r="AE204" s="106">
        <f t="shared" si="950"/>
        <v>0</v>
      </c>
      <c r="AF204" s="106">
        <f t="shared" si="950"/>
        <v>0</v>
      </c>
      <c r="AG204" s="106">
        <f t="shared" si="950"/>
        <v>0</v>
      </c>
      <c r="AH204" s="106">
        <f t="shared" si="950"/>
        <v>0</v>
      </c>
      <c r="AI204" s="106">
        <f t="shared" si="950"/>
        <v>0</v>
      </c>
      <c r="AJ204" s="106">
        <f t="shared" si="950"/>
        <v>0</v>
      </c>
      <c r="AK204" s="106">
        <f t="shared" si="950"/>
        <v>0</v>
      </c>
      <c r="AL204" s="106">
        <f t="shared" si="950"/>
        <v>0</v>
      </c>
      <c r="AM204" s="106">
        <f t="shared" si="950"/>
        <v>0</v>
      </c>
      <c r="AN204" s="106">
        <f t="shared" si="950"/>
        <v>0</v>
      </c>
      <c r="AO204" s="106">
        <f t="shared" si="951"/>
        <v>0</v>
      </c>
      <c r="AP204" s="106"/>
      <c r="AQ204" s="106">
        <f>+PMGR!AQ204+BP!AQ204</f>
        <v>48.908999999999999</v>
      </c>
      <c r="AR204" s="106">
        <f>+PMGR!AR204+BP!AR204</f>
        <v>385.36</v>
      </c>
      <c r="AS204" s="106">
        <f>+PMGR!AS204+BP!AS204</f>
        <v>273.09000000000003</v>
      </c>
      <c r="AT204" s="106">
        <f>+PMGR!AT204+BP!AT204</f>
        <v>13.2</v>
      </c>
      <c r="AU204" s="106">
        <f>+PMGR!AU204+BP!AU204</f>
        <v>28.585999999999999</v>
      </c>
      <c r="AV204" s="106">
        <f>+PMGR!AV204+BP!AV204</f>
        <v>54.331000000000003</v>
      </c>
      <c r="AW204" s="106">
        <f>+PMGR!AW204+BP!AW204</f>
        <v>0.2</v>
      </c>
      <c r="AX204" s="106">
        <f>+PMGR!AX204+BP!AX204</f>
        <v>0</v>
      </c>
      <c r="AY204" s="106">
        <f>+PMGR!AY204+BP!AY204</f>
        <v>-108.17</v>
      </c>
      <c r="AZ204" s="106">
        <f>+PMGR!AZ204+BP!AZ204</f>
        <v>44.872999999999998</v>
      </c>
      <c r="BA204" s="106">
        <f>+PMGR!BA204+BP!BA204</f>
        <v>30.314999999999998</v>
      </c>
      <c r="BB204" s="106">
        <f>+PMGR!BB204+BP!BB204</f>
        <v>0</v>
      </c>
      <c r="BC204" s="106">
        <f t="shared" si="952"/>
        <v>770.69400000000019</v>
      </c>
      <c r="BD204" s="16" t="str">
        <f t="shared" si="961"/>
        <v>Round Off</v>
      </c>
      <c r="BE204" s="106">
        <f>+PMGR!BE204+BP!BE204</f>
        <v>-5.3129999999999997</v>
      </c>
      <c r="BF204" s="106">
        <f>+PMGR!BF204+BP!BF204</f>
        <v>-17.058</v>
      </c>
      <c r="BG204" s="106">
        <f>+PMGR!BG204+BP!BG204</f>
        <v>-119.95399999999999</v>
      </c>
      <c r="BH204" s="106">
        <f>+PMGR!BH204+BP!BH204</f>
        <v>-12.683999999999999</v>
      </c>
      <c r="BI204" s="106">
        <f>+PMGR!BI204+BP!BI204</f>
        <v>73.826999999999998</v>
      </c>
      <c r="BJ204" s="106">
        <f>+PMGR!BJ204+BP!BJ204</f>
        <v>-34.359000000000002</v>
      </c>
      <c r="BK204" s="106">
        <f>+PMGR!BK204+BP!BK204</f>
        <v>86.487000000000009</v>
      </c>
      <c r="BL204" s="106">
        <f>+PMGR!BL204+BP!BL204</f>
        <v>-8.5830000000000002</v>
      </c>
      <c r="BM204" s="106">
        <f>+PMGR!BM204+BP!BM204</f>
        <v>-19.8</v>
      </c>
      <c r="BN204" s="106">
        <f>+PMGR!BN204+BP!BN204</f>
        <v>-23.904</v>
      </c>
      <c r="BO204" s="106">
        <f>+PMGR!BO204+BP!BO204</f>
        <v>0</v>
      </c>
      <c r="BP204" s="106">
        <f>+PMGR!BP204+BP!BP204</f>
        <v>0</v>
      </c>
      <c r="BQ204" s="106">
        <f t="shared" si="953"/>
        <v>-81.34099999999998</v>
      </c>
      <c r="BR204" s="118"/>
      <c r="BS204" s="106">
        <f>+PMGR!BS204+BP!BS204</f>
        <v>0</v>
      </c>
      <c r="BT204" s="106">
        <f>+PMGR!BT204+BP!BT204</f>
        <v>0</v>
      </c>
      <c r="BU204" s="106">
        <f>+PMGR!BU204+BP!BU204</f>
        <v>0</v>
      </c>
      <c r="BV204" s="106">
        <f>+PMGR!BV204+BP!BV204</f>
        <v>0</v>
      </c>
      <c r="BW204" s="106">
        <f>+PMGR!BW204+BP!BW204</f>
        <v>0</v>
      </c>
      <c r="BX204" s="106">
        <f>+PMGR!BX204+BP!BX204</f>
        <v>0</v>
      </c>
      <c r="BY204" s="106">
        <f>+PMGR!BY204+BP!BY204</f>
        <v>0</v>
      </c>
      <c r="BZ204" s="106">
        <f>+PMGR!BZ204+BP!BZ204</f>
        <v>0</v>
      </c>
      <c r="CA204" s="106">
        <f>+PMGR!CA204+BP!CA204</f>
        <v>0</v>
      </c>
      <c r="CB204" s="106">
        <f>+PMGR!CB204+BP!CB204</f>
        <v>0</v>
      </c>
      <c r="CC204" s="106">
        <f>+PMGR!CC204+BP!CC204</f>
        <v>0</v>
      </c>
      <c r="CD204" s="106">
        <f>+PMGR!CD204+BP!CD204</f>
        <v>0</v>
      </c>
      <c r="CE204" s="106">
        <f t="shared" si="954"/>
        <v>0</v>
      </c>
      <c r="CF204" s="106"/>
      <c r="CG204" s="106">
        <f>+PMGR!CG204+BP!CG204</f>
        <v>19.189499999999999</v>
      </c>
      <c r="CH204" s="106">
        <f>+PMGR!CH204+BP!CH204</f>
        <v>169.30500000000001</v>
      </c>
      <c r="CI204" s="106">
        <f>+PMGR!CI204+BP!CI204</f>
        <v>135.75</v>
      </c>
      <c r="CJ204" s="106">
        <f>+PMGR!CJ204+BP!CJ204</f>
        <v>6.6</v>
      </c>
      <c r="CK204" s="106">
        <f>+PMGR!CK204+BP!CK204</f>
        <v>3.4979999999999998</v>
      </c>
      <c r="CL204" s="106">
        <f>+PMGR!CL204+BP!CL204</f>
        <v>27.5655</v>
      </c>
      <c r="CM204" s="106">
        <f>+PMGR!CM204+BP!CM204</f>
        <v>0</v>
      </c>
      <c r="CN204" s="106">
        <f>+PMGR!CN204+BP!CN204</f>
        <v>0</v>
      </c>
      <c r="CO204" s="106">
        <f>+PMGR!CO204+BP!CO204</f>
        <v>0</v>
      </c>
      <c r="CP204" s="106">
        <f>+PMGR!CP204+BP!CP204</f>
        <v>25.936499999999999</v>
      </c>
      <c r="CQ204" s="106">
        <f>+PMGR!CQ204+BP!CQ204</f>
        <v>15.157499999999999</v>
      </c>
      <c r="CR204" s="106">
        <f>+PMGR!CR204+BP!CR204</f>
        <v>0</v>
      </c>
      <c r="CS204" s="106">
        <f t="shared" si="955"/>
        <v>403.00200000000007</v>
      </c>
      <c r="CT204" s="16" t="str">
        <f t="shared" si="962"/>
        <v>Round Off</v>
      </c>
      <c r="CU204" s="106">
        <f>+PMGR!CU204+BP!CU204</f>
        <v>-2.6564999999999999</v>
      </c>
      <c r="CV204" s="106">
        <f>+PMGR!CV204+BP!CV204</f>
        <v>-8.5289999999999999</v>
      </c>
      <c r="CW204" s="106">
        <f>+PMGR!CW204+BP!CW204</f>
        <v>-60.791999999999994</v>
      </c>
      <c r="CX204" s="106">
        <f>+PMGR!CX204+BP!CX204</f>
        <v>-6.3419999999999996</v>
      </c>
      <c r="CY204" s="106">
        <f>+PMGR!CY204+BP!CY204</f>
        <v>36.911999999999999</v>
      </c>
      <c r="CZ204" s="106">
        <f>+PMGR!CZ204+BP!CZ204</f>
        <v>-17.179500000000001</v>
      </c>
      <c r="DA204" s="106">
        <f>+PMGR!DA204+BP!DA204</f>
        <v>43.243500000000004</v>
      </c>
      <c r="DB204" s="106">
        <f>+PMGR!DB204+BP!DB204</f>
        <v>-4.2915000000000001</v>
      </c>
      <c r="DC204" s="106">
        <f>+PMGR!DC204+BP!DC204</f>
        <v>-9.9</v>
      </c>
      <c r="DD204" s="106">
        <f>+PMGR!DD204+BP!DD204</f>
        <v>-11.952</v>
      </c>
      <c r="DE204" s="106">
        <f>+PMGR!DE204+BP!DE204</f>
        <v>0</v>
      </c>
      <c r="DF204" s="106">
        <f>+PMGR!DF204+BP!DF204</f>
        <v>0</v>
      </c>
      <c r="DG204" s="106">
        <f t="shared" si="956"/>
        <v>-41.486999999999981</v>
      </c>
      <c r="DH204" s="118"/>
      <c r="DI204" s="106">
        <f>+PMGR!DI204+BP!DI204</f>
        <v>0</v>
      </c>
      <c r="DJ204" s="106">
        <f>+PMGR!DJ204+BP!DJ204</f>
        <v>0</v>
      </c>
      <c r="DK204" s="106">
        <f>+PMGR!DK204+BP!DK204</f>
        <v>0</v>
      </c>
      <c r="DL204" s="106">
        <f>+PMGR!DL204+BP!DL204</f>
        <v>0</v>
      </c>
      <c r="DM204" s="106">
        <f>+PMGR!DM204+BP!DM204</f>
        <v>0</v>
      </c>
      <c r="DN204" s="106">
        <f>+PMGR!DN204+BP!DN204</f>
        <v>0</v>
      </c>
      <c r="DO204" s="106">
        <f>+PMGR!DO204+BP!DO204</f>
        <v>0</v>
      </c>
      <c r="DP204" s="106">
        <f>+PMGR!DP204+BP!DP204</f>
        <v>0</v>
      </c>
      <c r="DQ204" s="106">
        <f>+PMGR!DQ204+BP!DQ204</f>
        <v>0</v>
      </c>
      <c r="DR204" s="106">
        <f>+PMGR!DR204+BP!DR204</f>
        <v>0</v>
      </c>
      <c r="DS204" s="106">
        <f>+PMGR!DS204+BP!DS204</f>
        <v>0</v>
      </c>
      <c r="DT204" s="106">
        <f>+PMGR!DT204+BP!DT204</f>
        <v>0</v>
      </c>
      <c r="DU204" s="106">
        <f t="shared" si="957"/>
        <v>0</v>
      </c>
      <c r="DV204" s="106"/>
      <c r="DW204" s="106">
        <f>+PMGR!DW204+BP!DW204</f>
        <v>0</v>
      </c>
      <c r="DX204" s="106">
        <f>+PMGR!DX204+BP!DX204</f>
        <v>0</v>
      </c>
      <c r="DY204" s="106">
        <f>+PMGR!DY204+BP!DY204</f>
        <v>0</v>
      </c>
      <c r="DZ204" s="106">
        <f>+PMGR!DZ204+BP!DZ204</f>
        <v>0</v>
      </c>
      <c r="EA204" s="106">
        <f>+PMGR!EA204+BP!EA204</f>
        <v>0</v>
      </c>
      <c r="EB204" s="106">
        <f>+PMGR!EB204+BP!EB204</f>
        <v>0</v>
      </c>
      <c r="EC204" s="106">
        <f>+PMGR!EC204+BP!EC204</f>
        <v>0</v>
      </c>
      <c r="ED204" s="106">
        <f>+PMGR!ED204+BP!ED204</f>
        <v>0</v>
      </c>
      <c r="EE204" s="106">
        <f>+PMGR!EE204+BP!EE204</f>
        <v>0</v>
      </c>
      <c r="EF204" s="106">
        <f>+PMGR!EF204+BP!EF204</f>
        <v>0</v>
      </c>
      <c r="EG204" s="106">
        <f>+PMGR!EG204+BP!EG204</f>
        <v>0</v>
      </c>
      <c r="EH204" s="106">
        <f>+PMGR!EH204+BP!EH204</f>
        <v>0</v>
      </c>
      <c r="EI204" s="106">
        <f t="shared" si="958"/>
        <v>0</v>
      </c>
      <c r="EJ204" s="16" t="str">
        <f t="shared" si="963"/>
        <v>Round Off</v>
      </c>
      <c r="EK204" s="106">
        <f>+PMGR!EK204+BP!EK204</f>
        <v>0</v>
      </c>
      <c r="EL204" s="106">
        <f>+PMGR!EL204+BP!EL204</f>
        <v>0</v>
      </c>
      <c r="EM204" s="106">
        <f>+PMGR!EM204+BP!EM204</f>
        <v>0</v>
      </c>
      <c r="EN204" s="106">
        <f>+PMGR!EN204+BP!EN204</f>
        <v>0</v>
      </c>
      <c r="EO204" s="106">
        <f>+PMGR!EO204+BP!EO204</f>
        <v>0</v>
      </c>
      <c r="EP204" s="106">
        <f>+PMGR!EP204+BP!EP204</f>
        <v>0</v>
      </c>
      <c r="EQ204" s="106">
        <f>+PMGR!EQ204+BP!EQ204</f>
        <v>0</v>
      </c>
      <c r="ER204" s="106">
        <f>+PMGR!ER204+BP!ER204</f>
        <v>0</v>
      </c>
      <c r="ES204" s="106">
        <f>+PMGR!ES204+BP!ES204</f>
        <v>0</v>
      </c>
      <c r="ET204" s="106">
        <f>+PMGR!ET204+BP!ET204</f>
        <v>0</v>
      </c>
      <c r="EU204" s="106">
        <f>+PMGR!EU204+BP!EU204</f>
        <v>0</v>
      </c>
      <c r="EV204" s="106">
        <f>+PMGR!EV204+BP!EV204</f>
        <v>0</v>
      </c>
      <c r="EW204" s="106">
        <f t="shared" si="959"/>
        <v>0</v>
      </c>
      <c r="EX204" s="118"/>
      <c r="EY204" s="106">
        <f>+PMGR!EY204+BP!EY204</f>
        <v>0</v>
      </c>
      <c r="EZ204" s="106">
        <f>+PMGR!EZ204+BP!EZ204</f>
        <v>0</v>
      </c>
      <c r="FA204" s="106">
        <f>+PMGR!FA204+BP!FA204</f>
        <v>0</v>
      </c>
      <c r="FB204" s="106">
        <f>+PMGR!FB204+BP!FB204</f>
        <v>0</v>
      </c>
      <c r="FC204" s="106">
        <f>+PMGR!FC204+BP!FC204</f>
        <v>0</v>
      </c>
      <c r="FD204" s="106">
        <f>+PMGR!FD204+BP!FD204</f>
        <v>0</v>
      </c>
      <c r="FE204" s="106">
        <f>+PMGR!FE204+BP!FE204</f>
        <v>0</v>
      </c>
      <c r="FF204" s="106">
        <f>+PMGR!FF204+BP!FF204</f>
        <v>0</v>
      </c>
      <c r="FG204" s="106">
        <f>+PMGR!FG204+BP!FG204</f>
        <v>0</v>
      </c>
      <c r="FH204" s="106">
        <f>+PMGR!FH204+BP!FH204</f>
        <v>0</v>
      </c>
      <c r="FI204" s="106">
        <f>+PMGR!FI204+BP!FI204</f>
        <v>0</v>
      </c>
      <c r="FJ204" s="106">
        <f>+PMGR!FJ204+BP!FJ204</f>
        <v>0</v>
      </c>
      <c r="FK204" s="106">
        <f t="shared" si="960"/>
        <v>0</v>
      </c>
    </row>
    <row r="205" spans="1:167" ht="14.45" customHeight="1" outlineLevel="1" collapsed="1">
      <c r="A205" s="58">
        <f t="shared" ref="A205:L205" si="964">+SUM(A206:A208)</f>
        <v>107645.209</v>
      </c>
      <c r="B205" s="58">
        <f t="shared" si="964"/>
        <v>109592</v>
      </c>
      <c r="C205" s="58">
        <f t="shared" si="964"/>
        <v>104356.61249999999</v>
      </c>
      <c r="D205" s="58">
        <f t="shared" si="964"/>
        <v>93018.612500000003</v>
      </c>
      <c r="E205" s="58">
        <f t="shared" si="964"/>
        <v>93018.612499999988</v>
      </c>
      <c r="F205" s="58">
        <f t="shared" si="964"/>
        <v>93018.657499999987</v>
      </c>
      <c r="G205" s="58">
        <f t="shared" si="964"/>
        <v>89537.424998499991</v>
      </c>
      <c r="H205" s="58">
        <f t="shared" si="964"/>
        <v>88317.399884615355</v>
      </c>
      <c r="I205" s="58">
        <f t="shared" si="964"/>
        <v>89514.142999999982</v>
      </c>
      <c r="J205" s="58">
        <f t="shared" si="964"/>
        <v>76411.14850000001</v>
      </c>
      <c r="K205" s="58">
        <f t="shared" si="964"/>
        <v>76013.58600000001</v>
      </c>
      <c r="L205" s="58">
        <f t="shared" si="964"/>
        <v>71359.498500000002</v>
      </c>
      <c r="M205" s="58"/>
      <c r="N205" s="20" t="s">
        <v>172</v>
      </c>
      <c r="O205" s="58">
        <f t="shared" ref="O205:AA205" si="965">+SUM(O206:O208)</f>
        <v>0</v>
      </c>
      <c r="P205" s="58">
        <f t="shared" si="965"/>
        <v>51180.998500000002</v>
      </c>
      <c r="Q205" s="58">
        <f t="shared" si="965"/>
        <v>54341.375999999997</v>
      </c>
      <c r="R205" s="58">
        <f t="shared" si="965"/>
        <v>106395.50599999999</v>
      </c>
      <c r="S205" s="58">
        <f t="shared" si="965"/>
        <v>124927.126</v>
      </c>
      <c r="T205" s="58">
        <f t="shared" si="965"/>
        <v>143455.296</v>
      </c>
      <c r="U205" s="58">
        <f t="shared" si="965"/>
        <v>161860.50755494527</v>
      </c>
      <c r="V205" s="58">
        <f t="shared" si="965"/>
        <v>153020.94200000001</v>
      </c>
      <c r="W205" s="58">
        <f t="shared" si="965"/>
        <v>163596.41983333332</v>
      </c>
      <c r="X205" s="58">
        <f t="shared" si="965"/>
        <v>170727.55000000002</v>
      </c>
      <c r="Y205" s="58">
        <f t="shared" si="965"/>
        <v>0</v>
      </c>
      <c r="Z205" s="58">
        <f t="shared" si="965"/>
        <v>0</v>
      </c>
      <c r="AA205" s="58">
        <f t="shared" si="965"/>
        <v>1129505.7218882786</v>
      </c>
      <c r="AB205" s="118"/>
      <c r="AC205" s="58">
        <f t="shared" ref="AC205:AN205" si="966">+SUM(AC206:AC208)</f>
        <v>104991.39555393939</v>
      </c>
      <c r="AD205" s="58">
        <f t="shared" si="966"/>
        <v>104991.39555393939</v>
      </c>
      <c r="AE205" s="58">
        <f t="shared" si="966"/>
        <v>104991.39555393939</v>
      </c>
      <c r="AF205" s="58">
        <f t="shared" si="966"/>
        <v>104991.39555393939</v>
      </c>
      <c r="AG205" s="58">
        <f t="shared" si="966"/>
        <v>104991.39555393939</v>
      </c>
      <c r="AH205" s="58">
        <f t="shared" si="966"/>
        <v>104991.39555393939</v>
      </c>
      <c r="AI205" s="58">
        <f t="shared" si="966"/>
        <v>104593.67055393939</v>
      </c>
      <c r="AJ205" s="58">
        <f t="shared" si="966"/>
        <v>104593.67055393939</v>
      </c>
      <c r="AK205" s="58">
        <f t="shared" si="966"/>
        <v>104593.67055393939</v>
      </c>
      <c r="AL205" s="58">
        <f t="shared" si="966"/>
        <v>104488.93226227272</v>
      </c>
      <c r="AM205" s="58">
        <f t="shared" si="966"/>
        <v>104488.93226227272</v>
      </c>
      <c r="AN205" s="58">
        <f t="shared" si="966"/>
        <v>104488.93226227272</v>
      </c>
      <c r="AO205" s="58"/>
      <c r="AP205" s="106"/>
      <c r="AQ205" s="58">
        <f t="shared" ref="AQ205:BC205" si="967">+SUM(AQ206:AQ208)</f>
        <v>103012.586</v>
      </c>
      <c r="AR205" s="58">
        <f t="shared" si="967"/>
        <v>103547</v>
      </c>
      <c r="AS205" s="58">
        <f t="shared" si="967"/>
        <v>92443.074999999983</v>
      </c>
      <c r="AT205" s="58">
        <f t="shared" si="967"/>
        <v>81105.075000000012</v>
      </c>
      <c r="AU205" s="58">
        <f t="shared" si="967"/>
        <v>84354.074999999983</v>
      </c>
      <c r="AV205" s="58">
        <f t="shared" si="967"/>
        <v>81105.104999999996</v>
      </c>
      <c r="AW205" s="58">
        <f t="shared" si="967"/>
        <v>77623.949999000004</v>
      </c>
      <c r="AX205" s="58">
        <f t="shared" si="967"/>
        <v>76810.51658974358</v>
      </c>
      <c r="AY205" s="58">
        <f t="shared" si="967"/>
        <v>77606.961999999985</v>
      </c>
      <c r="AZ205" s="58">
        <f t="shared" si="967"/>
        <v>70031.099000000002</v>
      </c>
      <c r="BA205" s="58">
        <f t="shared" si="967"/>
        <v>64352.794000000002</v>
      </c>
      <c r="BB205" s="58">
        <f t="shared" si="967"/>
        <v>59784.999000000003</v>
      </c>
      <c r="BC205" s="58">
        <f t="shared" si="967"/>
        <v>971777.23658874352</v>
      </c>
      <c r="BD205" s="20" t="str">
        <f t="shared" si="961"/>
        <v>Insurance</v>
      </c>
      <c r="BE205" s="58">
        <f t="shared" ref="BE205:BQ205" si="968">+SUM(BE206:BE208)</f>
        <v>0</v>
      </c>
      <c r="BF205" s="58">
        <f t="shared" si="968"/>
        <v>41732.998999999996</v>
      </c>
      <c r="BG205" s="58">
        <f t="shared" si="968"/>
        <v>44905.373999999996</v>
      </c>
      <c r="BH205" s="58">
        <f t="shared" si="968"/>
        <v>89793.373999999996</v>
      </c>
      <c r="BI205" s="58">
        <f t="shared" si="968"/>
        <v>107440.304</v>
      </c>
      <c r="BJ205" s="58">
        <f t="shared" si="968"/>
        <v>115358.984</v>
      </c>
      <c r="BK205" s="58">
        <f t="shared" si="968"/>
        <v>140955.57005494527</v>
      </c>
      <c r="BL205" s="58">
        <f t="shared" si="968"/>
        <v>132115.628</v>
      </c>
      <c r="BM205" s="58">
        <f t="shared" si="968"/>
        <v>142679.75433333332</v>
      </c>
      <c r="BN205" s="58">
        <f t="shared" si="968"/>
        <v>138078.29999999999</v>
      </c>
      <c r="BO205" s="58">
        <f t="shared" si="968"/>
        <v>0</v>
      </c>
      <c r="BP205" s="58">
        <f t="shared" si="968"/>
        <v>0</v>
      </c>
      <c r="BQ205" s="58">
        <f t="shared" si="968"/>
        <v>953060.28738827864</v>
      </c>
      <c r="BR205" s="118"/>
      <c r="BS205" s="58">
        <f t="shared" ref="BS205:CE205" si="969">+SUM(BS206:BS208)</f>
        <v>52613.7425</v>
      </c>
      <c r="BT205" s="58">
        <f t="shared" si="969"/>
        <v>52613.7425</v>
      </c>
      <c r="BU205" s="58">
        <f t="shared" si="969"/>
        <v>52613.7425</v>
      </c>
      <c r="BV205" s="58">
        <f t="shared" si="969"/>
        <v>52613.7425</v>
      </c>
      <c r="BW205" s="58">
        <f t="shared" si="969"/>
        <v>52613.7425</v>
      </c>
      <c r="BX205" s="58">
        <f t="shared" si="969"/>
        <v>52613.7425</v>
      </c>
      <c r="BY205" s="58">
        <f t="shared" si="969"/>
        <v>52216.017500000002</v>
      </c>
      <c r="BZ205" s="58">
        <f t="shared" si="969"/>
        <v>52216.017500000002</v>
      </c>
      <c r="CA205" s="58">
        <f t="shared" si="969"/>
        <v>52216.017500000002</v>
      </c>
      <c r="CB205" s="58">
        <f t="shared" si="969"/>
        <v>52130.609333333341</v>
      </c>
      <c r="CC205" s="58">
        <f t="shared" si="969"/>
        <v>52130.609333333341</v>
      </c>
      <c r="CD205" s="58">
        <f t="shared" si="969"/>
        <v>52130.609333333341</v>
      </c>
      <c r="CE205" s="58">
        <f t="shared" si="969"/>
        <v>628722.33550000004</v>
      </c>
      <c r="CF205" s="106"/>
      <c r="CG205" s="58">
        <f t="shared" ref="CG205:CS205" si="970">+SUM(CG206:CG208)</f>
        <v>4632.6230000000005</v>
      </c>
      <c r="CH205" s="58">
        <f t="shared" si="970"/>
        <v>6045</v>
      </c>
      <c r="CI205" s="58">
        <f t="shared" si="970"/>
        <v>11913.5375</v>
      </c>
      <c r="CJ205" s="58">
        <f t="shared" si="970"/>
        <v>11913.5375</v>
      </c>
      <c r="CK205" s="58">
        <f t="shared" si="970"/>
        <v>8664.5375000000004</v>
      </c>
      <c r="CL205" s="58">
        <f t="shared" si="970"/>
        <v>11913.5525</v>
      </c>
      <c r="CM205" s="58">
        <f t="shared" si="970"/>
        <v>11913.4749995</v>
      </c>
      <c r="CN205" s="58">
        <f t="shared" si="970"/>
        <v>11506.883294871786</v>
      </c>
      <c r="CO205" s="58">
        <f t="shared" si="970"/>
        <v>11907.180999999997</v>
      </c>
      <c r="CP205" s="58">
        <f t="shared" si="970"/>
        <v>6380.049500000001</v>
      </c>
      <c r="CQ205" s="58">
        <f t="shared" si="970"/>
        <v>11660.792000000001</v>
      </c>
      <c r="CR205" s="58">
        <f t="shared" si="970"/>
        <v>11574.499500000002</v>
      </c>
      <c r="CS205" s="58">
        <f t="shared" si="970"/>
        <v>120025.66829437178</v>
      </c>
      <c r="CT205" s="20" t="str">
        <f t="shared" si="962"/>
        <v>Insurance</v>
      </c>
      <c r="CU205" s="58">
        <f t="shared" ref="CU205:DG205" si="971">+SUM(CU206:CU208)</f>
        <v>0</v>
      </c>
      <c r="CV205" s="58">
        <f t="shared" si="971"/>
        <v>2032.9995000000008</v>
      </c>
      <c r="CW205" s="58">
        <f t="shared" si="971"/>
        <v>2020.7520000000004</v>
      </c>
      <c r="CX205" s="58">
        <f t="shared" si="971"/>
        <v>9186.8820000000014</v>
      </c>
      <c r="CY205" s="58">
        <f t="shared" si="971"/>
        <v>10071.582000000002</v>
      </c>
      <c r="CZ205" s="58">
        <f t="shared" si="971"/>
        <v>10086.732000000002</v>
      </c>
      <c r="DA205" s="58">
        <f t="shared" si="971"/>
        <v>10106.937499999991</v>
      </c>
      <c r="DB205" s="58">
        <f t="shared" si="971"/>
        <v>10107.314000000002</v>
      </c>
      <c r="DC205" s="58">
        <f t="shared" si="971"/>
        <v>10118.665500000001</v>
      </c>
      <c r="DD205" s="58">
        <f t="shared" si="971"/>
        <v>14342.250000000002</v>
      </c>
      <c r="DE205" s="58">
        <f t="shared" si="971"/>
        <v>0</v>
      </c>
      <c r="DF205" s="58">
        <f t="shared" si="971"/>
        <v>0</v>
      </c>
      <c r="DG205" s="58">
        <f t="shared" si="971"/>
        <v>78074.114500000011</v>
      </c>
      <c r="DH205" s="118"/>
      <c r="DI205" s="58">
        <f t="shared" ref="DI205:DU205" si="972">+SUM(DI206:DI208)</f>
        <v>27377.65305393939</v>
      </c>
      <c r="DJ205" s="58">
        <f t="shared" si="972"/>
        <v>27377.65305393939</v>
      </c>
      <c r="DK205" s="58">
        <f t="shared" si="972"/>
        <v>27377.65305393939</v>
      </c>
      <c r="DL205" s="58">
        <f t="shared" si="972"/>
        <v>27377.65305393939</v>
      </c>
      <c r="DM205" s="58">
        <f t="shared" si="972"/>
        <v>27377.65305393939</v>
      </c>
      <c r="DN205" s="58">
        <f t="shared" si="972"/>
        <v>27377.65305393939</v>
      </c>
      <c r="DO205" s="58">
        <f t="shared" si="972"/>
        <v>27377.65305393939</v>
      </c>
      <c r="DP205" s="58">
        <f t="shared" si="972"/>
        <v>27377.65305393939</v>
      </c>
      <c r="DQ205" s="58">
        <f t="shared" si="972"/>
        <v>27377.65305393939</v>
      </c>
      <c r="DR205" s="58">
        <f t="shared" si="972"/>
        <v>27358.322928939389</v>
      </c>
      <c r="DS205" s="58">
        <f t="shared" si="972"/>
        <v>27358.322928939389</v>
      </c>
      <c r="DT205" s="58">
        <f t="shared" si="972"/>
        <v>27358.322928939389</v>
      </c>
      <c r="DU205" s="58">
        <f t="shared" si="972"/>
        <v>328473.84627227264</v>
      </c>
      <c r="DV205" s="106"/>
      <c r="DW205" s="58">
        <f t="shared" ref="DW205:EI205" si="973">+SUM(DW206:DW208)</f>
        <v>0</v>
      </c>
      <c r="DX205" s="58">
        <f t="shared" si="973"/>
        <v>0</v>
      </c>
      <c r="DY205" s="58">
        <f t="shared" si="973"/>
        <v>0</v>
      </c>
      <c r="DZ205" s="58">
        <f t="shared" si="973"/>
        <v>0</v>
      </c>
      <c r="EA205" s="58">
        <f t="shared" si="973"/>
        <v>0</v>
      </c>
      <c r="EB205" s="58">
        <f t="shared" si="973"/>
        <v>0</v>
      </c>
      <c r="EC205" s="58">
        <f t="shared" si="973"/>
        <v>0</v>
      </c>
      <c r="ED205" s="58">
        <f t="shared" si="973"/>
        <v>0</v>
      </c>
      <c r="EE205" s="58">
        <f t="shared" si="973"/>
        <v>0</v>
      </c>
      <c r="EF205" s="58">
        <f t="shared" si="973"/>
        <v>0</v>
      </c>
      <c r="EG205" s="58">
        <f t="shared" si="973"/>
        <v>0</v>
      </c>
      <c r="EH205" s="58">
        <f t="shared" si="973"/>
        <v>0</v>
      </c>
      <c r="EI205" s="58">
        <f t="shared" si="973"/>
        <v>0</v>
      </c>
      <c r="EJ205" s="20" t="str">
        <f t="shared" si="963"/>
        <v>Insurance</v>
      </c>
      <c r="EK205" s="58">
        <f t="shared" ref="EK205:EW205" si="974">+SUM(EK206:EK208)</f>
        <v>0</v>
      </c>
      <c r="EL205" s="58">
        <f t="shared" si="974"/>
        <v>7415</v>
      </c>
      <c r="EM205" s="58">
        <f t="shared" si="974"/>
        <v>7415.25</v>
      </c>
      <c r="EN205" s="58">
        <f t="shared" si="974"/>
        <v>7415.25</v>
      </c>
      <c r="EO205" s="58">
        <f t="shared" si="974"/>
        <v>7415.24</v>
      </c>
      <c r="EP205" s="58">
        <f t="shared" si="974"/>
        <v>18009.580000000002</v>
      </c>
      <c r="EQ205" s="58">
        <f t="shared" si="974"/>
        <v>10798</v>
      </c>
      <c r="ER205" s="58">
        <f t="shared" si="974"/>
        <v>10798</v>
      </c>
      <c r="ES205" s="58">
        <f t="shared" si="974"/>
        <v>10798</v>
      </c>
      <c r="ET205" s="58">
        <f t="shared" si="974"/>
        <v>18307</v>
      </c>
      <c r="EU205" s="58">
        <f t="shared" si="974"/>
        <v>0</v>
      </c>
      <c r="EV205" s="58">
        <f t="shared" si="974"/>
        <v>0</v>
      </c>
      <c r="EW205" s="58">
        <f t="shared" si="974"/>
        <v>98371.319999999992</v>
      </c>
      <c r="EX205" s="118"/>
      <c r="EY205" s="58">
        <f t="shared" ref="EY205:FK205" si="975">+SUM(EY206:EY208)</f>
        <v>25000.000000000004</v>
      </c>
      <c r="EZ205" s="58">
        <f t="shared" si="975"/>
        <v>25000</v>
      </c>
      <c r="FA205" s="58">
        <f t="shared" si="975"/>
        <v>25000</v>
      </c>
      <c r="FB205" s="58">
        <f t="shared" si="975"/>
        <v>25000</v>
      </c>
      <c r="FC205" s="58">
        <f t="shared" si="975"/>
        <v>25000</v>
      </c>
      <c r="FD205" s="58">
        <f t="shared" si="975"/>
        <v>25000</v>
      </c>
      <c r="FE205" s="58">
        <f t="shared" si="975"/>
        <v>25000</v>
      </c>
      <c r="FF205" s="58">
        <f t="shared" si="975"/>
        <v>25000</v>
      </c>
      <c r="FG205" s="58">
        <f t="shared" si="975"/>
        <v>25000</v>
      </c>
      <c r="FH205" s="58">
        <f t="shared" si="975"/>
        <v>25000</v>
      </c>
      <c r="FI205" s="58">
        <f t="shared" si="975"/>
        <v>25000</v>
      </c>
      <c r="FJ205" s="58">
        <f t="shared" si="975"/>
        <v>25000</v>
      </c>
      <c r="FK205" s="58">
        <f t="shared" si="975"/>
        <v>300000</v>
      </c>
    </row>
    <row r="206" spans="1:167" ht="14.45" hidden="1" customHeight="1" outlineLevel="2">
      <c r="A206" s="106">
        <f t="shared" ref="A206:L208" si="976">+AQ206+CG206+DW206</f>
        <v>0</v>
      </c>
      <c r="B206" s="106">
        <f t="shared" si="976"/>
        <v>0</v>
      </c>
      <c r="C206" s="106">
        <f t="shared" si="976"/>
        <v>0</v>
      </c>
      <c r="D206" s="106">
        <f t="shared" si="976"/>
        <v>0</v>
      </c>
      <c r="E206" s="106">
        <f t="shared" si="976"/>
        <v>0</v>
      </c>
      <c r="F206" s="106">
        <f t="shared" si="976"/>
        <v>0</v>
      </c>
      <c r="G206" s="106">
        <f t="shared" si="976"/>
        <v>0</v>
      </c>
      <c r="H206" s="106">
        <f t="shared" si="976"/>
        <v>0</v>
      </c>
      <c r="I206" s="106">
        <f t="shared" si="976"/>
        <v>0</v>
      </c>
      <c r="J206" s="106">
        <f t="shared" si="976"/>
        <v>0</v>
      </c>
      <c r="K206" s="106">
        <f t="shared" si="976"/>
        <v>0</v>
      </c>
      <c r="L206" s="106">
        <f t="shared" si="976"/>
        <v>0</v>
      </c>
      <c r="M206" s="106">
        <f t="shared" ref="M206:M208" si="977">+SUM(A206:L206)</f>
        <v>0</v>
      </c>
      <c r="N206" s="16" t="s">
        <v>173</v>
      </c>
      <c r="O206" s="106">
        <f t="shared" ref="O206:Z208" si="978">+BE206+CU206+EK206</f>
        <v>0</v>
      </c>
      <c r="P206" s="106">
        <f t="shared" si="978"/>
        <v>0</v>
      </c>
      <c r="Q206" s="106">
        <f t="shared" si="978"/>
        <v>0</v>
      </c>
      <c r="R206" s="106">
        <f t="shared" si="978"/>
        <v>0</v>
      </c>
      <c r="S206" s="106">
        <f t="shared" si="978"/>
        <v>0</v>
      </c>
      <c r="T206" s="106">
        <f t="shared" si="978"/>
        <v>0</v>
      </c>
      <c r="U206" s="106">
        <f t="shared" si="978"/>
        <v>0</v>
      </c>
      <c r="V206" s="106">
        <f t="shared" si="978"/>
        <v>0</v>
      </c>
      <c r="W206" s="106">
        <f t="shared" si="978"/>
        <v>0</v>
      </c>
      <c r="X206" s="106">
        <f t="shared" si="978"/>
        <v>0</v>
      </c>
      <c r="Y206" s="106">
        <f t="shared" si="978"/>
        <v>0</v>
      </c>
      <c r="Z206" s="106">
        <f t="shared" si="978"/>
        <v>0</v>
      </c>
      <c r="AA206" s="106">
        <f t="shared" ref="AA206:AA208" si="979">+SUM(O206:Z206)</f>
        <v>0</v>
      </c>
      <c r="AB206" s="118"/>
      <c r="AC206" s="106">
        <f t="shared" ref="AC206:AN208" si="980">+BS206+DI206+EY206</f>
        <v>0</v>
      </c>
      <c r="AD206" s="106">
        <f t="shared" si="980"/>
        <v>0</v>
      </c>
      <c r="AE206" s="106">
        <f t="shared" si="980"/>
        <v>0</v>
      </c>
      <c r="AF206" s="106">
        <f t="shared" si="980"/>
        <v>0</v>
      </c>
      <c r="AG206" s="106">
        <f t="shared" si="980"/>
        <v>0</v>
      </c>
      <c r="AH206" s="106">
        <f t="shared" si="980"/>
        <v>0</v>
      </c>
      <c r="AI206" s="106">
        <f t="shared" si="980"/>
        <v>0</v>
      </c>
      <c r="AJ206" s="106">
        <f t="shared" si="980"/>
        <v>0</v>
      </c>
      <c r="AK206" s="106">
        <f t="shared" si="980"/>
        <v>0</v>
      </c>
      <c r="AL206" s="106">
        <f t="shared" si="980"/>
        <v>0</v>
      </c>
      <c r="AM206" s="106">
        <f t="shared" si="980"/>
        <v>0</v>
      </c>
      <c r="AN206" s="106">
        <f t="shared" si="980"/>
        <v>0</v>
      </c>
      <c r="AO206" s="106">
        <f t="shared" ref="AO206:AO208" si="981">+SUM(AC206:AN206)</f>
        <v>0</v>
      </c>
      <c r="AP206" s="106"/>
      <c r="AQ206" s="106">
        <f>+PMGR!AQ206+BP!AQ206</f>
        <v>0</v>
      </c>
      <c r="AR206" s="106">
        <f>+PMGR!AR206+BP!AR206</f>
        <v>0</v>
      </c>
      <c r="AS206" s="106">
        <f>+PMGR!AS206+BP!AS206</f>
        <v>0</v>
      </c>
      <c r="AT206" s="106">
        <f>+PMGR!AT206+BP!AT206</f>
        <v>0</v>
      </c>
      <c r="AU206" s="106">
        <f>+PMGR!AU206+BP!AU206</f>
        <v>0</v>
      </c>
      <c r="AV206" s="106">
        <f>+PMGR!AV206+BP!AV206</f>
        <v>0</v>
      </c>
      <c r="AW206" s="106">
        <f>+PMGR!AW206+BP!AW206</f>
        <v>0</v>
      </c>
      <c r="AX206" s="106">
        <f>+PMGR!AX206+BP!AX206</f>
        <v>0</v>
      </c>
      <c r="AY206" s="106">
        <f>+PMGR!AY206+BP!AY206</f>
        <v>0</v>
      </c>
      <c r="AZ206" s="106">
        <f>+PMGR!AZ206+BP!AZ206</f>
        <v>0</v>
      </c>
      <c r="BA206" s="106">
        <f>+PMGR!BA206+BP!BA206</f>
        <v>0</v>
      </c>
      <c r="BB206" s="106">
        <f>+PMGR!BB206+BP!BB206</f>
        <v>0</v>
      </c>
      <c r="BC206" s="106">
        <f t="shared" ref="BC206:BC208" si="982">+SUM(AQ206:BB206)</f>
        <v>0</v>
      </c>
      <c r="BD206" s="16" t="str">
        <f t="shared" si="961"/>
        <v>Demo Car Insurance</v>
      </c>
      <c r="BE206" s="106">
        <f>+PMGR!BE206+BP!BE206</f>
        <v>0</v>
      </c>
      <c r="BF206" s="106">
        <f>+PMGR!BF206+BP!BF206</f>
        <v>0</v>
      </c>
      <c r="BG206" s="106">
        <f>+PMGR!BG206+BP!BG206</f>
        <v>0</v>
      </c>
      <c r="BH206" s="106">
        <f>+PMGR!BH206+BP!BH206</f>
        <v>0</v>
      </c>
      <c r="BI206" s="106">
        <f>+PMGR!BI206+BP!BI206</f>
        <v>0</v>
      </c>
      <c r="BJ206" s="106">
        <f>+PMGR!BJ206+BP!BJ206</f>
        <v>0</v>
      </c>
      <c r="BK206" s="106">
        <f>+PMGR!BK206+BP!BK206</f>
        <v>0</v>
      </c>
      <c r="BL206" s="106">
        <f>+PMGR!BL206+BP!BL206</f>
        <v>0</v>
      </c>
      <c r="BM206" s="106">
        <f>+PMGR!BM206+BP!BM206</f>
        <v>0</v>
      </c>
      <c r="BN206" s="106">
        <f>+PMGR!BN206+BP!BN206</f>
        <v>0</v>
      </c>
      <c r="BO206" s="106">
        <f>+PMGR!BO206+BP!BO206</f>
        <v>0</v>
      </c>
      <c r="BP206" s="106">
        <f>+PMGR!BP206+BP!BP206</f>
        <v>0</v>
      </c>
      <c r="BQ206" s="106">
        <f t="shared" ref="BQ206:BQ208" si="983">+SUM(BE206:BP206)</f>
        <v>0</v>
      </c>
      <c r="BR206" s="118"/>
      <c r="BS206" s="106">
        <f>+PMGR!BS206+BP!BS206</f>
        <v>0</v>
      </c>
      <c r="BT206" s="106">
        <f>+PMGR!BT206+BP!BT206</f>
        <v>0</v>
      </c>
      <c r="BU206" s="106">
        <f>+PMGR!BU206+BP!BU206</f>
        <v>0</v>
      </c>
      <c r="BV206" s="106">
        <f>+PMGR!BV206+BP!BV206</f>
        <v>0</v>
      </c>
      <c r="BW206" s="106">
        <f>+PMGR!BW206+BP!BW206</f>
        <v>0</v>
      </c>
      <c r="BX206" s="106">
        <f>+PMGR!BX206+BP!BX206</f>
        <v>0</v>
      </c>
      <c r="BY206" s="106">
        <f>+PMGR!BY206+BP!BY206</f>
        <v>0</v>
      </c>
      <c r="BZ206" s="106">
        <f>+PMGR!BZ206+BP!BZ206</f>
        <v>0</v>
      </c>
      <c r="CA206" s="106">
        <f>+PMGR!CA206+BP!CA206</f>
        <v>0</v>
      </c>
      <c r="CB206" s="106">
        <f>+PMGR!CB206+BP!CB206</f>
        <v>0</v>
      </c>
      <c r="CC206" s="106">
        <f>+PMGR!CC206+BP!CC206</f>
        <v>0</v>
      </c>
      <c r="CD206" s="106">
        <f>+PMGR!CD206+BP!CD206</f>
        <v>0</v>
      </c>
      <c r="CE206" s="106">
        <f t="shared" ref="CE206:CE208" si="984">+SUM(BS206:CD206)</f>
        <v>0</v>
      </c>
      <c r="CF206" s="106"/>
      <c r="CG206" s="106">
        <f>+PMGR!CG206+BP!CG206</f>
        <v>0</v>
      </c>
      <c r="CH206" s="106">
        <f>+PMGR!CH206+BP!CH206</f>
        <v>0</v>
      </c>
      <c r="CI206" s="106">
        <f>+PMGR!CI206+BP!CI206</f>
        <v>0</v>
      </c>
      <c r="CJ206" s="106">
        <f>+PMGR!CJ206+BP!CJ206</f>
        <v>0</v>
      </c>
      <c r="CK206" s="106">
        <f>+PMGR!CK206+BP!CK206</f>
        <v>0</v>
      </c>
      <c r="CL206" s="106">
        <f>+PMGR!CL206+BP!CL206</f>
        <v>0</v>
      </c>
      <c r="CM206" s="106">
        <f>+PMGR!CM206+BP!CM206</f>
        <v>0</v>
      </c>
      <c r="CN206" s="106">
        <f>+PMGR!CN206+BP!CN206</f>
        <v>0</v>
      </c>
      <c r="CO206" s="106">
        <f>+PMGR!CO206+BP!CO206</f>
        <v>0</v>
      </c>
      <c r="CP206" s="106">
        <f>+PMGR!CP206+BP!CP206</f>
        <v>0</v>
      </c>
      <c r="CQ206" s="106">
        <f>+PMGR!CQ206+BP!CQ206</f>
        <v>0</v>
      </c>
      <c r="CR206" s="106">
        <f>+PMGR!CR206+BP!CR206</f>
        <v>0</v>
      </c>
      <c r="CS206" s="106">
        <f t="shared" ref="CS206:CS208" si="985">+SUM(CG206:CR206)</f>
        <v>0</v>
      </c>
      <c r="CT206" s="16" t="str">
        <f t="shared" si="962"/>
        <v>Demo Car Insurance</v>
      </c>
      <c r="CU206" s="106">
        <f>+PMGR!CU206+BP!CU206</f>
        <v>0</v>
      </c>
      <c r="CV206" s="106">
        <f>+PMGR!CV206+BP!CV206</f>
        <v>0</v>
      </c>
      <c r="CW206" s="106">
        <f>+PMGR!CW206+BP!CW206</f>
        <v>0</v>
      </c>
      <c r="CX206" s="106">
        <f>+PMGR!CX206+BP!CX206</f>
        <v>0</v>
      </c>
      <c r="CY206" s="106">
        <f>+PMGR!CY206+BP!CY206</f>
        <v>0</v>
      </c>
      <c r="CZ206" s="106">
        <f>+PMGR!CZ206+BP!CZ206</f>
        <v>0</v>
      </c>
      <c r="DA206" s="106">
        <f>+PMGR!DA206+BP!DA206</f>
        <v>0</v>
      </c>
      <c r="DB206" s="106">
        <f>+PMGR!DB206+BP!DB206</f>
        <v>0</v>
      </c>
      <c r="DC206" s="106">
        <f>+PMGR!DC206+BP!DC206</f>
        <v>0</v>
      </c>
      <c r="DD206" s="106">
        <f>+PMGR!DD206+BP!DD206</f>
        <v>0</v>
      </c>
      <c r="DE206" s="106">
        <f>+PMGR!DE206+BP!DE206</f>
        <v>0</v>
      </c>
      <c r="DF206" s="106">
        <f>+PMGR!DF206+BP!DF206</f>
        <v>0</v>
      </c>
      <c r="DG206" s="106">
        <f t="shared" ref="DG206:DG208" si="986">+SUM(CU206:DF206)</f>
        <v>0</v>
      </c>
      <c r="DH206" s="118"/>
      <c r="DI206" s="106">
        <f>+PMGR!DI206+BP!DI206</f>
        <v>0</v>
      </c>
      <c r="DJ206" s="106">
        <f>+PMGR!DJ206+BP!DJ206</f>
        <v>0</v>
      </c>
      <c r="DK206" s="106">
        <f>+PMGR!DK206+BP!DK206</f>
        <v>0</v>
      </c>
      <c r="DL206" s="106">
        <f>+PMGR!DL206+BP!DL206</f>
        <v>0</v>
      </c>
      <c r="DM206" s="106">
        <f>+PMGR!DM206+BP!DM206</f>
        <v>0</v>
      </c>
      <c r="DN206" s="106">
        <f>+PMGR!DN206+BP!DN206</f>
        <v>0</v>
      </c>
      <c r="DO206" s="106">
        <f>+PMGR!DO206+BP!DO206</f>
        <v>0</v>
      </c>
      <c r="DP206" s="106">
        <f>+PMGR!DP206+BP!DP206</f>
        <v>0</v>
      </c>
      <c r="DQ206" s="106">
        <f>+PMGR!DQ206+BP!DQ206</f>
        <v>0</v>
      </c>
      <c r="DR206" s="106">
        <f>+PMGR!DR206+BP!DR206</f>
        <v>0</v>
      </c>
      <c r="DS206" s="106">
        <f>+PMGR!DS206+BP!DS206</f>
        <v>0</v>
      </c>
      <c r="DT206" s="106">
        <f>+PMGR!DT206+BP!DT206</f>
        <v>0</v>
      </c>
      <c r="DU206" s="106">
        <f t="shared" ref="DU206:DU208" si="987">+SUM(DI206:DT206)</f>
        <v>0</v>
      </c>
      <c r="DV206" s="106"/>
      <c r="DW206" s="106">
        <f>+PMGR!DW206+BP!DW206</f>
        <v>0</v>
      </c>
      <c r="DX206" s="106">
        <f>+PMGR!DX206+BP!DX206</f>
        <v>0</v>
      </c>
      <c r="DY206" s="106">
        <f>+PMGR!DY206+BP!DY206</f>
        <v>0</v>
      </c>
      <c r="DZ206" s="106">
        <f>+PMGR!DZ206+BP!DZ206</f>
        <v>0</v>
      </c>
      <c r="EA206" s="106">
        <f>+PMGR!EA206+BP!EA206</f>
        <v>0</v>
      </c>
      <c r="EB206" s="106">
        <f>+PMGR!EB206+BP!EB206</f>
        <v>0</v>
      </c>
      <c r="EC206" s="106">
        <f>+PMGR!EC206+BP!EC206</f>
        <v>0</v>
      </c>
      <c r="ED206" s="106">
        <f>+PMGR!ED206+BP!ED206</f>
        <v>0</v>
      </c>
      <c r="EE206" s="106">
        <f>+PMGR!EE206+BP!EE206</f>
        <v>0</v>
      </c>
      <c r="EF206" s="106">
        <f>+PMGR!EF206+BP!EF206</f>
        <v>0</v>
      </c>
      <c r="EG206" s="106">
        <f>+PMGR!EG206+BP!EG206</f>
        <v>0</v>
      </c>
      <c r="EH206" s="106">
        <f>+PMGR!EH206+BP!EH206</f>
        <v>0</v>
      </c>
      <c r="EI206" s="106">
        <f t="shared" ref="EI206:EI208" si="988">+SUM(DW206:EH206)</f>
        <v>0</v>
      </c>
      <c r="EJ206" s="16" t="str">
        <f t="shared" si="963"/>
        <v>Demo Car Insurance</v>
      </c>
      <c r="EK206" s="106">
        <f>+PMGR!EK206+BP!EK206</f>
        <v>0</v>
      </c>
      <c r="EL206" s="106">
        <f>+PMGR!EL206+BP!EL206</f>
        <v>0</v>
      </c>
      <c r="EM206" s="106">
        <f>+PMGR!EM206+BP!EM206</f>
        <v>0</v>
      </c>
      <c r="EN206" s="106">
        <f>+PMGR!EN206+BP!EN206</f>
        <v>0</v>
      </c>
      <c r="EO206" s="106">
        <f>+PMGR!EO206+BP!EO206</f>
        <v>0</v>
      </c>
      <c r="EP206" s="106">
        <f>+PMGR!EP206+BP!EP206</f>
        <v>0</v>
      </c>
      <c r="EQ206" s="106">
        <f>+PMGR!EQ206+BP!EQ206</f>
        <v>0</v>
      </c>
      <c r="ER206" s="106">
        <f>+PMGR!ER206+BP!ER206</f>
        <v>0</v>
      </c>
      <c r="ES206" s="106">
        <f>+PMGR!ES206+BP!ES206</f>
        <v>0</v>
      </c>
      <c r="ET206" s="106">
        <f>+PMGR!ET206+BP!ET206</f>
        <v>0</v>
      </c>
      <c r="EU206" s="106">
        <f>+PMGR!EU206+BP!EU206</f>
        <v>0</v>
      </c>
      <c r="EV206" s="106">
        <f>+PMGR!EV206+BP!EV206</f>
        <v>0</v>
      </c>
      <c r="EW206" s="106">
        <f t="shared" ref="EW206:EW208" si="989">+SUM(EK206:EV206)</f>
        <v>0</v>
      </c>
      <c r="EX206" s="118"/>
      <c r="EY206" s="106">
        <f>+PMGR!EY206+BP!EY206</f>
        <v>0</v>
      </c>
      <c r="EZ206" s="106">
        <f>+PMGR!EZ206+BP!EZ206</f>
        <v>0</v>
      </c>
      <c r="FA206" s="106">
        <f>+PMGR!FA206+BP!FA206</f>
        <v>0</v>
      </c>
      <c r="FB206" s="106">
        <f>+PMGR!FB206+BP!FB206</f>
        <v>0</v>
      </c>
      <c r="FC206" s="106">
        <f>+PMGR!FC206+BP!FC206</f>
        <v>0</v>
      </c>
      <c r="FD206" s="106">
        <f>+PMGR!FD206+BP!FD206</f>
        <v>0</v>
      </c>
      <c r="FE206" s="106">
        <f>+PMGR!FE206+BP!FE206</f>
        <v>0</v>
      </c>
      <c r="FF206" s="106">
        <f>+PMGR!FF206+BP!FF206</f>
        <v>0</v>
      </c>
      <c r="FG206" s="106">
        <f>+PMGR!FG206+BP!FG206</f>
        <v>0</v>
      </c>
      <c r="FH206" s="106">
        <f>+PMGR!FH206+BP!FH206</f>
        <v>0</v>
      </c>
      <c r="FI206" s="106">
        <f>+PMGR!FI206+BP!FI206</f>
        <v>0</v>
      </c>
      <c r="FJ206" s="106">
        <f>+PMGR!FJ206+BP!FJ206</f>
        <v>0</v>
      </c>
      <c r="FK206" s="106">
        <f t="shared" ref="FK206:FK208" si="990">+SUM(EY206:FJ206)</f>
        <v>0</v>
      </c>
    </row>
    <row r="207" spans="1:167" ht="14.45" hidden="1" customHeight="1" outlineLevel="2">
      <c r="A207" s="106">
        <f t="shared" si="976"/>
        <v>17402.791499999999</v>
      </c>
      <c r="B207" s="106">
        <f t="shared" si="976"/>
        <v>16824.150000000001</v>
      </c>
      <c r="C207" s="106">
        <f t="shared" si="976"/>
        <v>22680.649999999998</v>
      </c>
      <c r="D207" s="106">
        <f t="shared" si="976"/>
        <v>22680.649999999998</v>
      </c>
      <c r="E207" s="106">
        <f t="shared" si="976"/>
        <v>22680.649999999998</v>
      </c>
      <c r="F207" s="106">
        <f t="shared" si="976"/>
        <v>22680.649999999998</v>
      </c>
      <c r="G207" s="106">
        <f t="shared" si="976"/>
        <v>22680.649999999998</v>
      </c>
      <c r="H207" s="106">
        <f t="shared" si="976"/>
        <v>22680.649999999998</v>
      </c>
      <c r="I207" s="106">
        <f t="shared" si="976"/>
        <v>22680.726499999997</v>
      </c>
      <c r="J207" s="106">
        <f t="shared" si="976"/>
        <v>15490.150000000001</v>
      </c>
      <c r="K207" s="106">
        <f t="shared" si="976"/>
        <v>19654.54</v>
      </c>
      <c r="L207" s="106">
        <f t="shared" si="976"/>
        <v>15590.5</v>
      </c>
      <c r="M207" s="106">
        <f t="shared" si="977"/>
        <v>243726.75799999997</v>
      </c>
      <c r="N207" s="16" t="s">
        <v>174</v>
      </c>
      <c r="O207" s="106">
        <f t="shared" si="978"/>
        <v>0</v>
      </c>
      <c r="P207" s="106">
        <f t="shared" si="978"/>
        <v>17149</v>
      </c>
      <c r="Q207" s="106">
        <f t="shared" si="978"/>
        <v>17148.75</v>
      </c>
      <c r="R207" s="106">
        <f t="shared" si="978"/>
        <v>17148.75</v>
      </c>
      <c r="S207" s="106">
        <f t="shared" si="978"/>
        <v>17148.73</v>
      </c>
      <c r="T207" s="106">
        <f t="shared" si="978"/>
        <v>17148.75</v>
      </c>
      <c r="U207" s="106">
        <f t="shared" si="978"/>
        <v>17148.75</v>
      </c>
      <c r="V207" s="106">
        <f t="shared" si="978"/>
        <v>17149</v>
      </c>
      <c r="W207" s="106">
        <f t="shared" si="978"/>
        <v>17149</v>
      </c>
      <c r="X207" s="106">
        <f t="shared" si="978"/>
        <v>34369</v>
      </c>
      <c r="Y207" s="106">
        <f t="shared" si="978"/>
        <v>0</v>
      </c>
      <c r="Z207" s="106">
        <f t="shared" si="978"/>
        <v>0</v>
      </c>
      <c r="AA207" s="106">
        <f t="shared" si="979"/>
        <v>171559.72999999998</v>
      </c>
      <c r="AB207" s="118"/>
      <c r="AC207" s="106">
        <f t="shared" si="980"/>
        <v>41327.288887272734</v>
      </c>
      <c r="AD207" s="106">
        <f t="shared" si="980"/>
        <v>41327.288887272727</v>
      </c>
      <c r="AE207" s="106">
        <f t="shared" si="980"/>
        <v>41327.288887272727</v>
      </c>
      <c r="AF207" s="106">
        <f t="shared" si="980"/>
        <v>41327.288887272727</v>
      </c>
      <c r="AG207" s="106">
        <f t="shared" si="980"/>
        <v>41327.288887272727</v>
      </c>
      <c r="AH207" s="106">
        <f t="shared" si="980"/>
        <v>41327.288887272727</v>
      </c>
      <c r="AI207" s="106">
        <f t="shared" si="980"/>
        <v>41327.288887272727</v>
      </c>
      <c r="AJ207" s="106">
        <f t="shared" si="980"/>
        <v>41327.288887272727</v>
      </c>
      <c r="AK207" s="106">
        <f t="shared" si="980"/>
        <v>41327.288887272727</v>
      </c>
      <c r="AL207" s="106">
        <f t="shared" si="980"/>
        <v>41327.288887272727</v>
      </c>
      <c r="AM207" s="106">
        <f t="shared" si="980"/>
        <v>41327.288887272727</v>
      </c>
      <c r="AN207" s="106">
        <f t="shared" si="980"/>
        <v>41327.288887272727</v>
      </c>
      <c r="AO207" s="106">
        <f t="shared" si="981"/>
        <v>495927.46664727264</v>
      </c>
      <c r="AP207" s="106"/>
      <c r="AQ207" s="106">
        <f>+PMGR!AQ207+BP!AQ207</f>
        <v>16589.150999999998</v>
      </c>
      <c r="AR207" s="106">
        <f>+PMGR!AR207+BP!AR207</f>
        <v>16589.100000000002</v>
      </c>
      <c r="AS207" s="106">
        <f>+PMGR!AS207+BP!AS207</f>
        <v>16589.099999999999</v>
      </c>
      <c r="AT207" s="106">
        <f>+PMGR!AT207+BP!AT207</f>
        <v>16589.099999999999</v>
      </c>
      <c r="AU207" s="106">
        <f>+PMGR!AU207+BP!AU207</f>
        <v>16589.099999999999</v>
      </c>
      <c r="AV207" s="106">
        <f>+PMGR!AV207+BP!AV207</f>
        <v>16589.099999999999</v>
      </c>
      <c r="AW207" s="106">
        <f>+PMGR!AW207+BP!AW207</f>
        <v>16589.099999999999</v>
      </c>
      <c r="AX207" s="106">
        <f>+PMGR!AX207+BP!AX207</f>
        <v>16589.099999999999</v>
      </c>
      <c r="AY207" s="106">
        <f>+PMGR!AY207+BP!AY207</f>
        <v>16589.150999999998</v>
      </c>
      <c r="AZ207" s="106">
        <f>+PMGR!AZ207+BP!AZ207</f>
        <v>9499.1</v>
      </c>
      <c r="BA207" s="106">
        <f>+PMGR!BA207+BP!BA207</f>
        <v>13798.04</v>
      </c>
      <c r="BB207" s="106">
        <f>+PMGR!BB207+BP!BB207</f>
        <v>9734</v>
      </c>
      <c r="BC207" s="106">
        <f t="shared" si="982"/>
        <v>182333.14200000005</v>
      </c>
      <c r="BD207" s="16" t="str">
        <f t="shared" si="961"/>
        <v>Premises Insurance</v>
      </c>
      <c r="BE207" s="106">
        <f>+PMGR!BE207+BP!BE207</f>
        <v>0</v>
      </c>
      <c r="BF207" s="106">
        <f>+PMGR!BF207+BP!BF207</f>
        <v>9734</v>
      </c>
      <c r="BG207" s="106">
        <f>+PMGR!BG207+BP!BG207</f>
        <v>9733.5</v>
      </c>
      <c r="BH207" s="106">
        <f>+PMGR!BH207+BP!BH207</f>
        <v>9733.5</v>
      </c>
      <c r="BI207" s="106">
        <f>+PMGR!BI207+BP!BI207</f>
        <v>9733.49</v>
      </c>
      <c r="BJ207" s="106">
        <f>+PMGR!BJ207+BP!BJ207</f>
        <v>9733.5</v>
      </c>
      <c r="BK207" s="106">
        <f>+PMGR!BK207+BP!BK207</f>
        <v>9733.5</v>
      </c>
      <c r="BL207" s="106">
        <f>+PMGR!BL207+BP!BL207</f>
        <v>9734</v>
      </c>
      <c r="BM207" s="106">
        <f>+PMGR!BM207+BP!BM207</f>
        <v>9734</v>
      </c>
      <c r="BN207" s="106">
        <f>+PMGR!BN207+BP!BN207</f>
        <v>15637</v>
      </c>
      <c r="BO207" s="106">
        <f>+PMGR!BO207+BP!BO207</f>
        <v>0</v>
      </c>
      <c r="BP207" s="106">
        <f>+PMGR!BP207+BP!BP207</f>
        <v>0</v>
      </c>
      <c r="BQ207" s="106">
        <f t="shared" si="983"/>
        <v>93506.489999999991</v>
      </c>
      <c r="BR207" s="118"/>
      <c r="BS207" s="106">
        <f>+PMGR!BS207+BP!BS207</f>
        <v>11640</v>
      </c>
      <c r="BT207" s="106">
        <f>+PMGR!BT207+BP!BT207</f>
        <v>11640</v>
      </c>
      <c r="BU207" s="106">
        <f>+PMGR!BU207+BP!BU207</f>
        <v>11640</v>
      </c>
      <c r="BV207" s="106">
        <f>+PMGR!BV207+BP!BV207</f>
        <v>11640</v>
      </c>
      <c r="BW207" s="106">
        <f>+PMGR!BW207+BP!BW207</f>
        <v>11640</v>
      </c>
      <c r="BX207" s="106">
        <f>+PMGR!BX207+BP!BX207</f>
        <v>11640</v>
      </c>
      <c r="BY207" s="106">
        <f>+PMGR!BY207+BP!BY207</f>
        <v>11640</v>
      </c>
      <c r="BZ207" s="106">
        <f>+PMGR!BZ207+BP!BZ207</f>
        <v>11640</v>
      </c>
      <c r="CA207" s="106">
        <f>+PMGR!CA207+BP!CA207</f>
        <v>11640</v>
      </c>
      <c r="CB207" s="106">
        <f>+PMGR!CB207+BP!CB207</f>
        <v>11640</v>
      </c>
      <c r="CC207" s="106">
        <f>+PMGR!CC207+BP!CC207</f>
        <v>11640</v>
      </c>
      <c r="CD207" s="106">
        <f>+PMGR!CD207+BP!CD207</f>
        <v>11640</v>
      </c>
      <c r="CE207" s="106">
        <f t="shared" si="984"/>
        <v>139680</v>
      </c>
      <c r="CF207" s="106"/>
      <c r="CG207" s="106">
        <f>+PMGR!CG207+BP!CG207</f>
        <v>813.64050000000009</v>
      </c>
      <c r="CH207" s="106">
        <f>+PMGR!CH207+BP!CH207</f>
        <v>235.04999999999995</v>
      </c>
      <c r="CI207" s="106">
        <f>+PMGR!CI207+BP!CI207</f>
        <v>6091.55</v>
      </c>
      <c r="CJ207" s="106">
        <f>+PMGR!CJ207+BP!CJ207</f>
        <v>6091.55</v>
      </c>
      <c r="CK207" s="106">
        <f>+PMGR!CK207+BP!CK207</f>
        <v>6091.55</v>
      </c>
      <c r="CL207" s="106">
        <f>+PMGR!CL207+BP!CL207</f>
        <v>6091.55</v>
      </c>
      <c r="CM207" s="106">
        <f>+PMGR!CM207+BP!CM207</f>
        <v>6091.55</v>
      </c>
      <c r="CN207" s="106">
        <f>+PMGR!CN207+BP!CN207</f>
        <v>6091.55</v>
      </c>
      <c r="CO207" s="106">
        <f>+PMGR!CO207+BP!CO207</f>
        <v>6091.5755000000008</v>
      </c>
      <c r="CP207" s="106">
        <f>+PMGR!CP207+BP!CP207</f>
        <v>5991.05</v>
      </c>
      <c r="CQ207" s="106">
        <f>+PMGR!CQ207+BP!CQ207</f>
        <v>5856.5</v>
      </c>
      <c r="CR207" s="106">
        <f>+PMGR!CR207+BP!CR207</f>
        <v>5856.5</v>
      </c>
      <c r="CS207" s="106">
        <f t="shared" si="985"/>
        <v>61393.616000000002</v>
      </c>
      <c r="CT207" s="16" t="str">
        <f t="shared" si="962"/>
        <v>Premises Insurance</v>
      </c>
      <c r="CU207" s="106">
        <f>+PMGR!CU207+BP!CU207</f>
        <v>0</v>
      </c>
      <c r="CV207" s="106">
        <f>+PMGR!CV207+BP!CV207</f>
        <v>0</v>
      </c>
      <c r="CW207" s="106">
        <f>+PMGR!CW207+BP!CW207</f>
        <v>0</v>
      </c>
      <c r="CX207" s="106">
        <f>+PMGR!CX207+BP!CX207</f>
        <v>0</v>
      </c>
      <c r="CY207" s="106">
        <f>+PMGR!CY207+BP!CY207</f>
        <v>0</v>
      </c>
      <c r="CZ207" s="106">
        <f>+PMGR!CZ207+BP!CZ207</f>
        <v>0</v>
      </c>
      <c r="DA207" s="106">
        <f>+PMGR!DA207+BP!DA207</f>
        <v>0</v>
      </c>
      <c r="DB207" s="106">
        <f>+PMGR!DB207+BP!DB207</f>
        <v>0</v>
      </c>
      <c r="DC207" s="106">
        <f>+PMGR!DC207+BP!DC207</f>
        <v>0</v>
      </c>
      <c r="DD207" s="106">
        <f>+PMGR!DD207+BP!DD207</f>
        <v>3808</v>
      </c>
      <c r="DE207" s="106">
        <f>+PMGR!DE207+BP!DE207</f>
        <v>0</v>
      </c>
      <c r="DF207" s="106">
        <f>+PMGR!DF207+BP!DF207</f>
        <v>0</v>
      </c>
      <c r="DG207" s="106">
        <f t="shared" si="986"/>
        <v>3808</v>
      </c>
      <c r="DH207" s="118"/>
      <c r="DI207" s="106">
        <f>+PMGR!DI207+BP!DI207</f>
        <v>4687.2888872727272</v>
      </c>
      <c r="DJ207" s="106">
        <f>+PMGR!DJ207+BP!DJ207</f>
        <v>4687.2888872727272</v>
      </c>
      <c r="DK207" s="106">
        <f>+PMGR!DK207+BP!DK207</f>
        <v>4687.2888872727272</v>
      </c>
      <c r="DL207" s="106">
        <f>+PMGR!DL207+BP!DL207</f>
        <v>4687.2888872727272</v>
      </c>
      <c r="DM207" s="106">
        <f>+PMGR!DM207+BP!DM207</f>
        <v>4687.2888872727272</v>
      </c>
      <c r="DN207" s="106">
        <f>+PMGR!DN207+BP!DN207</f>
        <v>4687.2888872727272</v>
      </c>
      <c r="DO207" s="106">
        <f>+PMGR!DO207+BP!DO207</f>
        <v>4687.2888872727272</v>
      </c>
      <c r="DP207" s="106">
        <f>+PMGR!DP207+BP!DP207</f>
        <v>4687.2888872727272</v>
      </c>
      <c r="DQ207" s="106">
        <f>+PMGR!DQ207+BP!DQ207</f>
        <v>4687.2888872727272</v>
      </c>
      <c r="DR207" s="106">
        <f>+PMGR!DR207+BP!DR207</f>
        <v>4687.2888872727272</v>
      </c>
      <c r="DS207" s="106">
        <f>+PMGR!DS207+BP!DS207</f>
        <v>4687.2888872727272</v>
      </c>
      <c r="DT207" s="106">
        <f>+PMGR!DT207+BP!DT207</f>
        <v>4687.2888872727272</v>
      </c>
      <c r="DU207" s="106">
        <f t="shared" si="987"/>
        <v>56247.466647272726</v>
      </c>
      <c r="DV207" s="106"/>
      <c r="DW207" s="106">
        <f>+PMGR!DW207+BP!DW207</f>
        <v>0</v>
      </c>
      <c r="DX207" s="106">
        <f>+PMGR!DX207+BP!DX207</f>
        <v>0</v>
      </c>
      <c r="DY207" s="106">
        <f>+PMGR!DY207+BP!DY207</f>
        <v>0</v>
      </c>
      <c r="DZ207" s="106">
        <f>+PMGR!DZ207+BP!DZ207</f>
        <v>0</v>
      </c>
      <c r="EA207" s="106">
        <f>+PMGR!EA207+BP!EA207</f>
        <v>0</v>
      </c>
      <c r="EB207" s="106">
        <f>+PMGR!EB207+BP!EB207</f>
        <v>0</v>
      </c>
      <c r="EC207" s="106">
        <f>+PMGR!EC207+BP!EC207</f>
        <v>0</v>
      </c>
      <c r="ED207" s="106">
        <f>+PMGR!ED207+BP!ED207</f>
        <v>0</v>
      </c>
      <c r="EE207" s="106">
        <f>+PMGR!EE207+BP!EE207</f>
        <v>0</v>
      </c>
      <c r="EF207" s="106">
        <f>+PMGR!EF207+BP!EF207</f>
        <v>0</v>
      </c>
      <c r="EG207" s="106">
        <f>+PMGR!EG207+BP!EG207</f>
        <v>0</v>
      </c>
      <c r="EH207" s="106">
        <f>+PMGR!EH207+BP!EH207</f>
        <v>0</v>
      </c>
      <c r="EI207" s="106">
        <f t="shared" si="988"/>
        <v>0</v>
      </c>
      <c r="EJ207" s="16" t="str">
        <f t="shared" si="963"/>
        <v>Premises Insurance</v>
      </c>
      <c r="EK207" s="106">
        <f>+PMGR!EK207+BP!EK207</f>
        <v>0</v>
      </c>
      <c r="EL207" s="106">
        <f>+PMGR!EL207+BP!EL207</f>
        <v>7415</v>
      </c>
      <c r="EM207" s="106">
        <f>+PMGR!EM207+BP!EM207</f>
        <v>7415.25</v>
      </c>
      <c r="EN207" s="106">
        <f>+PMGR!EN207+BP!EN207</f>
        <v>7415.25</v>
      </c>
      <c r="EO207" s="106">
        <f>+PMGR!EO207+BP!EO207</f>
        <v>7415.24</v>
      </c>
      <c r="EP207" s="106">
        <f>+PMGR!EP207+BP!EP207</f>
        <v>7415.25</v>
      </c>
      <c r="EQ207" s="106">
        <f>+PMGR!EQ207+BP!EQ207</f>
        <v>7415.25</v>
      </c>
      <c r="ER207" s="106">
        <f>+PMGR!ER207+BP!ER207</f>
        <v>7415</v>
      </c>
      <c r="ES207" s="106">
        <f>+PMGR!ES207+BP!ES207</f>
        <v>7415</v>
      </c>
      <c r="ET207" s="106">
        <f>+PMGR!ET207+BP!ET207</f>
        <v>14924</v>
      </c>
      <c r="EU207" s="106">
        <f>+PMGR!EU207+BP!EU207</f>
        <v>0</v>
      </c>
      <c r="EV207" s="106">
        <f>+PMGR!EV207+BP!EV207</f>
        <v>0</v>
      </c>
      <c r="EW207" s="106">
        <f t="shared" si="989"/>
        <v>74245.239999999991</v>
      </c>
      <c r="EX207" s="118"/>
      <c r="EY207" s="106">
        <f>+PMGR!EY207+BP!EY207</f>
        <v>25000.000000000004</v>
      </c>
      <c r="EZ207" s="106">
        <f>+PMGR!EZ207+BP!EZ207</f>
        <v>25000</v>
      </c>
      <c r="FA207" s="106">
        <f>+PMGR!FA207+BP!FA207</f>
        <v>25000</v>
      </c>
      <c r="FB207" s="106">
        <f>+PMGR!FB207+BP!FB207</f>
        <v>25000</v>
      </c>
      <c r="FC207" s="106">
        <f>+PMGR!FC207+BP!FC207</f>
        <v>25000</v>
      </c>
      <c r="FD207" s="106">
        <f>+PMGR!FD207+BP!FD207</f>
        <v>25000</v>
      </c>
      <c r="FE207" s="106">
        <f>+PMGR!FE207+BP!FE207</f>
        <v>25000</v>
      </c>
      <c r="FF207" s="106">
        <f>+PMGR!FF207+BP!FF207</f>
        <v>25000</v>
      </c>
      <c r="FG207" s="106">
        <f>+PMGR!FG207+BP!FG207</f>
        <v>25000</v>
      </c>
      <c r="FH207" s="106">
        <f>+PMGR!FH207+BP!FH207</f>
        <v>25000</v>
      </c>
      <c r="FI207" s="106">
        <f>+PMGR!FI207+BP!FI207</f>
        <v>25000</v>
      </c>
      <c r="FJ207" s="106">
        <f>+PMGR!FJ207+BP!FJ207</f>
        <v>25000</v>
      </c>
      <c r="FK207" s="106">
        <f t="shared" si="990"/>
        <v>300000</v>
      </c>
    </row>
    <row r="208" spans="1:167" ht="14.45" hidden="1" customHeight="1" outlineLevel="2">
      <c r="A208" s="106">
        <f t="shared" si="976"/>
        <v>90242.417499999996</v>
      </c>
      <c r="B208" s="106">
        <f t="shared" si="976"/>
        <v>92767.849999999991</v>
      </c>
      <c r="C208" s="106">
        <f t="shared" si="976"/>
        <v>81675.962499999994</v>
      </c>
      <c r="D208" s="106">
        <f t="shared" si="976"/>
        <v>70337.962500000009</v>
      </c>
      <c r="E208" s="106">
        <f t="shared" si="976"/>
        <v>70337.962499999994</v>
      </c>
      <c r="F208" s="106">
        <f t="shared" si="976"/>
        <v>70338.007499999992</v>
      </c>
      <c r="G208" s="106">
        <f t="shared" si="976"/>
        <v>66856.774998499997</v>
      </c>
      <c r="H208" s="106">
        <f t="shared" si="976"/>
        <v>65636.749884615361</v>
      </c>
      <c r="I208" s="106">
        <f t="shared" si="976"/>
        <v>66833.416499999978</v>
      </c>
      <c r="J208" s="106">
        <f t="shared" si="976"/>
        <v>60920.998500000002</v>
      </c>
      <c r="K208" s="106">
        <f t="shared" si="976"/>
        <v>56359.046000000002</v>
      </c>
      <c r="L208" s="106">
        <f t="shared" si="976"/>
        <v>55768.998500000002</v>
      </c>
      <c r="M208" s="106">
        <f t="shared" si="977"/>
        <v>848076.14688311517</v>
      </c>
      <c r="N208" s="16" t="s">
        <v>235</v>
      </c>
      <c r="O208" s="106">
        <f t="shared" si="978"/>
        <v>0</v>
      </c>
      <c r="P208" s="106">
        <f t="shared" si="978"/>
        <v>34031.998500000002</v>
      </c>
      <c r="Q208" s="106">
        <f t="shared" si="978"/>
        <v>37192.625999999997</v>
      </c>
      <c r="R208" s="106">
        <f t="shared" si="978"/>
        <v>89246.755999999994</v>
      </c>
      <c r="S208" s="106">
        <f t="shared" si="978"/>
        <v>107778.39600000001</v>
      </c>
      <c r="T208" s="106">
        <f t="shared" si="978"/>
        <v>126306.546</v>
      </c>
      <c r="U208" s="106">
        <f t="shared" si="978"/>
        <v>144711.75755494527</v>
      </c>
      <c r="V208" s="106">
        <f t="shared" si="978"/>
        <v>135871.94200000001</v>
      </c>
      <c r="W208" s="106">
        <f t="shared" si="978"/>
        <v>146447.41983333332</v>
      </c>
      <c r="X208" s="106">
        <f t="shared" si="978"/>
        <v>136358.55000000002</v>
      </c>
      <c r="Y208" s="106">
        <f t="shared" si="978"/>
        <v>0</v>
      </c>
      <c r="Z208" s="106">
        <f t="shared" si="978"/>
        <v>0</v>
      </c>
      <c r="AA208" s="106">
        <f t="shared" si="979"/>
        <v>957945.99188827875</v>
      </c>
      <c r="AB208" s="118"/>
      <c r="AC208" s="106">
        <f t="shared" si="980"/>
        <v>63664.106666666659</v>
      </c>
      <c r="AD208" s="106">
        <f t="shared" si="980"/>
        <v>63664.106666666659</v>
      </c>
      <c r="AE208" s="106">
        <f t="shared" si="980"/>
        <v>63664.106666666659</v>
      </c>
      <c r="AF208" s="106">
        <f t="shared" si="980"/>
        <v>63664.106666666659</v>
      </c>
      <c r="AG208" s="106">
        <f t="shared" si="980"/>
        <v>63664.106666666659</v>
      </c>
      <c r="AH208" s="106">
        <f t="shared" si="980"/>
        <v>63664.106666666659</v>
      </c>
      <c r="AI208" s="106">
        <f t="shared" si="980"/>
        <v>63266.381666666668</v>
      </c>
      <c r="AJ208" s="106">
        <f t="shared" si="980"/>
        <v>63266.381666666668</v>
      </c>
      <c r="AK208" s="106">
        <f t="shared" si="980"/>
        <v>63266.381666666668</v>
      </c>
      <c r="AL208" s="106">
        <f t="shared" si="980"/>
        <v>63161.643375</v>
      </c>
      <c r="AM208" s="106">
        <f t="shared" si="980"/>
        <v>63161.643375</v>
      </c>
      <c r="AN208" s="106">
        <f t="shared" si="980"/>
        <v>63161.643375</v>
      </c>
      <c r="AO208" s="106">
        <f t="shared" si="981"/>
        <v>761268.71512499999</v>
      </c>
      <c r="AP208" s="106"/>
      <c r="AQ208" s="106">
        <f>+PMGR!AQ208+BP!AQ208</f>
        <v>86423.434999999998</v>
      </c>
      <c r="AR208" s="106">
        <f>+PMGR!AR208+BP!AR208</f>
        <v>86957.9</v>
      </c>
      <c r="AS208" s="106">
        <f>+PMGR!AS208+BP!AS208</f>
        <v>75853.974999999991</v>
      </c>
      <c r="AT208" s="106">
        <f>+PMGR!AT208+BP!AT208</f>
        <v>64515.975000000006</v>
      </c>
      <c r="AU208" s="106">
        <f>+PMGR!AU208+BP!AU208</f>
        <v>67764.974999999991</v>
      </c>
      <c r="AV208" s="106">
        <f>+PMGR!AV208+BP!AV208</f>
        <v>64516.004999999997</v>
      </c>
      <c r="AW208" s="106">
        <f>+PMGR!AW208+BP!AW208</f>
        <v>61034.849998999998</v>
      </c>
      <c r="AX208" s="106">
        <f>+PMGR!AX208+BP!AX208</f>
        <v>60221.416589743581</v>
      </c>
      <c r="AY208" s="106">
        <f>+PMGR!AY208+BP!AY208</f>
        <v>61017.810999999987</v>
      </c>
      <c r="AZ208" s="106">
        <f>+PMGR!AZ208+BP!AZ208</f>
        <v>60531.999000000003</v>
      </c>
      <c r="BA208" s="106">
        <f>+PMGR!BA208+BP!BA208</f>
        <v>50554.754000000001</v>
      </c>
      <c r="BB208" s="106">
        <f>+PMGR!BB208+BP!BB208</f>
        <v>50050.999000000003</v>
      </c>
      <c r="BC208" s="106">
        <f t="shared" si="982"/>
        <v>789444.09458874341</v>
      </c>
      <c r="BD208" s="16" t="str">
        <f t="shared" si="961"/>
        <v>Company Vehicle Insurance</v>
      </c>
      <c r="BE208" s="106">
        <f>+PMGR!BE208+BP!BE208</f>
        <v>0</v>
      </c>
      <c r="BF208" s="106">
        <f>+PMGR!BF208+BP!BF208</f>
        <v>31998.999</v>
      </c>
      <c r="BG208" s="106">
        <f>+PMGR!BG208+BP!BG208</f>
        <v>35171.873999999996</v>
      </c>
      <c r="BH208" s="106">
        <f>+PMGR!BH208+BP!BH208</f>
        <v>80059.873999999996</v>
      </c>
      <c r="BI208" s="106">
        <f>+PMGR!BI208+BP!BI208</f>
        <v>97706.813999999998</v>
      </c>
      <c r="BJ208" s="106">
        <f>+PMGR!BJ208+BP!BJ208</f>
        <v>105625.484</v>
      </c>
      <c r="BK208" s="106">
        <f>+PMGR!BK208+BP!BK208</f>
        <v>131222.07005494527</v>
      </c>
      <c r="BL208" s="106">
        <f>+PMGR!BL208+BP!BL208</f>
        <v>122381.628</v>
      </c>
      <c r="BM208" s="106">
        <f>+PMGR!BM208+BP!BM208</f>
        <v>132945.75433333332</v>
      </c>
      <c r="BN208" s="106">
        <f>+PMGR!BN208+BP!BN208</f>
        <v>122441.3</v>
      </c>
      <c r="BO208" s="106">
        <f>+PMGR!BO208+BP!BO208</f>
        <v>0</v>
      </c>
      <c r="BP208" s="106">
        <f>+PMGR!BP208+BP!BP208</f>
        <v>0</v>
      </c>
      <c r="BQ208" s="106">
        <f t="shared" si="983"/>
        <v>859553.79738827865</v>
      </c>
      <c r="BR208" s="118"/>
      <c r="BS208" s="106">
        <f>+PMGR!BS208+BP!BS208</f>
        <v>40973.7425</v>
      </c>
      <c r="BT208" s="106">
        <f>+PMGR!BT208+BP!BT208</f>
        <v>40973.7425</v>
      </c>
      <c r="BU208" s="106">
        <f>+PMGR!BU208+BP!BU208</f>
        <v>40973.7425</v>
      </c>
      <c r="BV208" s="106">
        <f>+PMGR!BV208+BP!BV208</f>
        <v>40973.7425</v>
      </c>
      <c r="BW208" s="106">
        <f>+PMGR!BW208+BP!BW208</f>
        <v>40973.7425</v>
      </c>
      <c r="BX208" s="106">
        <f>+PMGR!BX208+BP!BX208</f>
        <v>40973.7425</v>
      </c>
      <c r="BY208" s="106">
        <f>+PMGR!BY208+BP!BY208</f>
        <v>40576.017500000002</v>
      </c>
      <c r="BZ208" s="106">
        <f>+PMGR!BZ208+BP!BZ208</f>
        <v>40576.017500000002</v>
      </c>
      <c r="CA208" s="106">
        <f>+PMGR!CA208+BP!CA208</f>
        <v>40576.017500000002</v>
      </c>
      <c r="CB208" s="106">
        <f>+PMGR!CB208+BP!CB208</f>
        <v>40490.609333333341</v>
      </c>
      <c r="CC208" s="106">
        <f>+PMGR!CC208+BP!CC208</f>
        <v>40490.609333333341</v>
      </c>
      <c r="CD208" s="106">
        <f>+PMGR!CD208+BP!CD208</f>
        <v>40490.609333333341</v>
      </c>
      <c r="CE208" s="106">
        <f t="shared" si="984"/>
        <v>489042.33549999999</v>
      </c>
      <c r="CF208" s="106"/>
      <c r="CG208" s="106">
        <f>+PMGR!CG208+BP!CG208</f>
        <v>3818.9825000000001</v>
      </c>
      <c r="CH208" s="106">
        <f>+PMGR!CH208+BP!CH208</f>
        <v>5809.95</v>
      </c>
      <c r="CI208" s="106">
        <f>+PMGR!CI208+BP!CI208</f>
        <v>5821.9875000000002</v>
      </c>
      <c r="CJ208" s="106">
        <f>+PMGR!CJ208+BP!CJ208</f>
        <v>5821.9875000000002</v>
      </c>
      <c r="CK208" s="106">
        <f>+PMGR!CK208+BP!CK208</f>
        <v>2572.9875000000002</v>
      </c>
      <c r="CL208" s="106">
        <f>+PMGR!CL208+BP!CL208</f>
        <v>5822.0024999999996</v>
      </c>
      <c r="CM208" s="106">
        <f>+PMGR!CM208+BP!CM208</f>
        <v>5821.9249995</v>
      </c>
      <c r="CN208" s="106">
        <f>+PMGR!CN208+BP!CN208</f>
        <v>5415.3332948717862</v>
      </c>
      <c r="CO208" s="106">
        <f>+PMGR!CO208+BP!CO208</f>
        <v>5815.6054999999951</v>
      </c>
      <c r="CP208" s="106">
        <f>+PMGR!CP208+BP!CP208</f>
        <v>388.99950000000081</v>
      </c>
      <c r="CQ208" s="106">
        <f>+PMGR!CQ208+BP!CQ208</f>
        <v>5804.2920000000004</v>
      </c>
      <c r="CR208" s="106">
        <f>+PMGR!CR208+BP!CR208</f>
        <v>5717.9995000000008</v>
      </c>
      <c r="CS208" s="106">
        <f t="shared" si="985"/>
        <v>58632.052294371781</v>
      </c>
      <c r="CT208" s="16" t="str">
        <f t="shared" si="962"/>
        <v>Company Vehicle Insurance</v>
      </c>
      <c r="CU208" s="106">
        <f>+PMGR!CU208+BP!CU208</f>
        <v>0</v>
      </c>
      <c r="CV208" s="106">
        <f>+PMGR!CV208+BP!CV208</f>
        <v>2032.9995000000008</v>
      </c>
      <c r="CW208" s="106">
        <f>+PMGR!CW208+BP!CW208</f>
        <v>2020.7520000000004</v>
      </c>
      <c r="CX208" s="106">
        <f>+PMGR!CX208+BP!CX208</f>
        <v>9186.8820000000014</v>
      </c>
      <c r="CY208" s="106">
        <f>+PMGR!CY208+BP!CY208</f>
        <v>10071.582000000002</v>
      </c>
      <c r="CZ208" s="106">
        <f>+PMGR!CZ208+BP!CZ208</f>
        <v>10086.732000000002</v>
      </c>
      <c r="DA208" s="106">
        <f>+PMGR!DA208+BP!DA208</f>
        <v>10106.937499999991</v>
      </c>
      <c r="DB208" s="106">
        <f>+PMGR!DB208+BP!DB208</f>
        <v>10107.314000000002</v>
      </c>
      <c r="DC208" s="106">
        <f>+PMGR!DC208+BP!DC208</f>
        <v>10118.665500000001</v>
      </c>
      <c r="DD208" s="106">
        <f>+PMGR!DD208+BP!DD208</f>
        <v>10534.250000000002</v>
      </c>
      <c r="DE208" s="106">
        <f>+PMGR!DE208+BP!DE208</f>
        <v>0</v>
      </c>
      <c r="DF208" s="106">
        <f>+PMGR!DF208+BP!DF208</f>
        <v>0</v>
      </c>
      <c r="DG208" s="106">
        <f t="shared" si="986"/>
        <v>74266.114500000011</v>
      </c>
      <c r="DH208" s="118"/>
      <c r="DI208" s="106">
        <f>+PMGR!DI208+BP!DI208</f>
        <v>22690.364166666663</v>
      </c>
      <c r="DJ208" s="106">
        <f>+PMGR!DJ208+BP!DJ208</f>
        <v>22690.364166666663</v>
      </c>
      <c r="DK208" s="106">
        <f>+PMGR!DK208+BP!DK208</f>
        <v>22690.364166666663</v>
      </c>
      <c r="DL208" s="106">
        <f>+PMGR!DL208+BP!DL208</f>
        <v>22690.364166666663</v>
      </c>
      <c r="DM208" s="106">
        <f>+PMGR!DM208+BP!DM208</f>
        <v>22690.364166666663</v>
      </c>
      <c r="DN208" s="106">
        <f>+PMGR!DN208+BP!DN208</f>
        <v>22690.364166666663</v>
      </c>
      <c r="DO208" s="106">
        <f>+PMGR!DO208+BP!DO208</f>
        <v>22690.364166666663</v>
      </c>
      <c r="DP208" s="106">
        <f>+PMGR!DP208+BP!DP208</f>
        <v>22690.364166666663</v>
      </c>
      <c r="DQ208" s="106">
        <f>+PMGR!DQ208+BP!DQ208</f>
        <v>22690.364166666663</v>
      </c>
      <c r="DR208" s="106">
        <f>+PMGR!DR208+BP!DR208</f>
        <v>22671.034041666662</v>
      </c>
      <c r="DS208" s="106">
        <f>+PMGR!DS208+BP!DS208</f>
        <v>22671.034041666662</v>
      </c>
      <c r="DT208" s="106">
        <f>+PMGR!DT208+BP!DT208</f>
        <v>22671.034041666662</v>
      </c>
      <c r="DU208" s="106">
        <f t="shared" si="987"/>
        <v>272226.37962499994</v>
      </c>
      <c r="DV208" s="106"/>
      <c r="DW208" s="106">
        <f>+PMGR!DW208+BP!DW208</f>
        <v>0</v>
      </c>
      <c r="DX208" s="106">
        <f>+PMGR!DX208+BP!DX208</f>
        <v>0</v>
      </c>
      <c r="DY208" s="106">
        <f>+PMGR!DY208+BP!DY208</f>
        <v>0</v>
      </c>
      <c r="DZ208" s="106">
        <f>+PMGR!DZ208+BP!DZ208</f>
        <v>0</v>
      </c>
      <c r="EA208" s="106">
        <f>+PMGR!EA208+BP!EA208</f>
        <v>0</v>
      </c>
      <c r="EB208" s="106">
        <f>+PMGR!EB208+BP!EB208</f>
        <v>0</v>
      </c>
      <c r="EC208" s="106">
        <f>+PMGR!EC208+BP!EC208</f>
        <v>0</v>
      </c>
      <c r="ED208" s="106">
        <f>+PMGR!ED208+BP!ED208</f>
        <v>0</v>
      </c>
      <c r="EE208" s="106">
        <f>+PMGR!EE208+BP!EE208</f>
        <v>0</v>
      </c>
      <c r="EF208" s="106">
        <f>+PMGR!EF208+BP!EF208</f>
        <v>0</v>
      </c>
      <c r="EG208" s="106">
        <f>+PMGR!EG208+BP!EG208</f>
        <v>0</v>
      </c>
      <c r="EH208" s="106">
        <f>+PMGR!EH208+BP!EH208</f>
        <v>0</v>
      </c>
      <c r="EI208" s="106">
        <f t="shared" si="988"/>
        <v>0</v>
      </c>
      <c r="EJ208" s="16" t="str">
        <f t="shared" si="963"/>
        <v>Company Vehicle Insurance</v>
      </c>
      <c r="EK208" s="106">
        <f>+PMGR!EK208+BP!EK208</f>
        <v>0</v>
      </c>
      <c r="EL208" s="106">
        <f>+PMGR!EL208+BP!EL208</f>
        <v>0</v>
      </c>
      <c r="EM208" s="106">
        <f>+PMGR!EM208+BP!EM208</f>
        <v>0</v>
      </c>
      <c r="EN208" s="106">
        <f>+PMGR!EN208+BP!EN208</f>
        <v>0</v>
      </c>
      <c r="EO208" s="106">
        <f>+PMGR!EO208+BP!EO208</f>
        <v>0</v>
      </c>
      <c r="EP208" s="106">
        <f>+PMGR!EP208+BP!EP208</f>
        <v>10594.33</v>
      </c>
      <c r="EQ208" s="106">
        <f>+PMGR!EQ208+BP!EQ208</f>
        <v>3382.75</v>
      </c>
      <c r="ER208" s="106">
        <f>+PMGR!ER208+BP!ER208</f>
        <v>3383</v>
      </c>
      <c r="ES208" s="106">
        <f>+PMGR!ES208+BP!ES208</f>
        <v>3383</v>
      </c>
      <c r="ET208" s="106">
        <f>+PMGR!ET208+BP!ET208</f>
        <v>3383</v>
      </c>
      <c r="EU208" s="106">
        <f>+PMGR!EU208+BP!EU208</f>
        <v>0</v>
      </c>
      <c r="EV208" s="106">
        <f>+PMGR!EV208+BP!EV208</f>
        <v>0</v>
      </c>
      <c r="EW208" s="106">
        <f t="shared" si="989"/>
        <v>24126.080000000002</v>
      </c>
      <c r="EX208" s="118"/>
      <c r="EY208" s="106">
        <f>+PMGR!EY208+BP!EY208</f>
        <v>0</v>
      </c>
      <c r="EZ208" s="106">
        <f>+PMGR!EZ208+BP!EZ208</f>
        <v>0</v>
      </c>
      <c r="FA208" s="106">
        <f>+PMGR!FA208+BP!FA208</f>
        <v>0</v>
      </c>
      <c r="FB208" s="106">
        <f>+PMGR!FB208+BP!FB208</f>
        <v>0</v>
      </c>
      <c r="FC208" s="106">
        <f>+PMGR!FC208+BP!FC208</f>
        <v>0</v>
      </c>
      <c r="FD208" s="106">
        <f>+PMGR!FD208+BP!FD208</f>
        <v>0</v>
      </c>
      <c r="FE208" s="106">
        <f>+PMGR!FE208+BP!FE208</f>
        <v>0</v>
      </c>
      <c r="FF208" s="106">
        <f>+PMGR!FF208+BP!FF208</f>
        <v>0</v>
      </c>
      <c r="FG208" s="106">
        <f>+PMGR!FG208+BP!FG208</f>
        <v>0</v>
      </c>
      <c r="FH208" s="106">
        <f>+PMGR!FH208+BP!FH208</f>
        <v>0</v>
      </c>
      <c r="FI208" s="106">
        <f>+PMGR!FI208+BP!FI208</f>
        <v>0</v>
      </c>
      <c r="FJ208" s="106">
        <f>+PMGR!FJ208+BP!FJ208</f>
        <v>0</v>
      </c>
      <c r="FK208" s="106">
        <f t="shared" si="990"/>
        <v>0</v>
      </c>
    </row>
    <row r="209" spans="1:169" ht="14.45" customHeight="1" outlineLevel="1" collapsed="1">
      <c r="A209" s="58">
        <f t="shared" ref="A209:L209" si="991">+SUM(A210:A213)</f>
        <v>554912.5</v>
      </c>
      <c r="B209" s="58">
        <f t="shared" si="991"/>
        <v>554912.5</v>
      </c>
      <c r="C209" s="58">
        <f t="shared" si="991"/>
        <v>554912.5</v>
      </c>
      <c r="D209" s="58">
        <f t="shared" si="991"/>
        <v>554912.5</v>
      </c>
      <c r="E209" s="58">
        <f t="shared" si="991"/>
        <v>554912.5</v>
      </c>
      <c r="F209" s="58">
        <f t="shared" si="991"/>
        <v>569687.05000000005</v>
      </c>
      <c r="G209" s="58">
        <f t="shared" si="991"/>
        <v>545686.5</v>
      </c>
      <c r="H209" s="58">
        <f t="shared" si="991"/>
        <v>545686.5</v>
      </c>
      <c r="I209" s="58">
        <f t="shared" si="991"/>
        <v>556828.5</v>
      </c>
      <c r="J209" s="58">
        <f t="shared" si="991"/>
        <v>551257.5</v>
      </c>
      <c r="K209" s="58">
        <f t="shared" si="991"/>
        <v>551257.5</v>
      </c>
      <c r="L209" s="58">
        <f t="shared" si="991"/>
        <v>551257.5</v>
      </c>
      <c r="M209" s="58"/>
      <c r="N209" s="20" t="s">
        <v>175</v>
      </c>
      <c r="O209" s="58">
        <f t="shared" ref="O209:AA209" si="992">+SUM(O210:O213)</f>
        <v>996257.5</v>
      </c>
      <c r="P209" s="58">
        <f t="shared" si="992"/>
        <v>996257.5</v>
      </c>
      <c r="Q209" s="58">
        <f t="shared" si="992"/>
        <v>996257.5</v>
      </c>
      <c r="R209" s="58">
        <f t="shared" si="992"/>
        <v>996257.5</v>
      </c>
      <c r="S209" s="58">
        <f t="shared" si="992"/>
        <v>996257.5</v>
      </c>
      <c r="T209" s="58">
        <f t="shared" si="992"/>
        <v>996257.5</v>
      </c>
      <c r="U209" s="58">
        <f t="shared" si="992"/>
        <v>996257.5</v>
      </c>
      <c r="V209" s="58">
        <f t="shared" si="992"/>
        <v>996257.5</v>
      </c>
      <c r="W209" s="58">
        <f t="shared" si="992"/>
        <v>1026927</v>
      </c>
      <c r="X209" s="58">
        <f t="shared" si="992"/>
        <v>1008312</v>
      </c>
      <c r="Y209" s="58">
        <f t="shared" si="992"/>
        <v>0</v>
      </c>
      <c r="Z209" s="58">
        <f t="shared" si="992"/>
        <v>0</v>
      </c>
      <c r="AA209" s="58">
        <f t="shared" si="992"/>
        <v>10005299</v>
      </c>
      <c r="AB209" s="118"/>
      <c r="AC209" s="58">
        <f t="shared" ref="AC209:AN209" si="993">+SUM(AC210:AC213)</f>
        <v>1025257.7399125001</v>
      </c>
      <c r="AD209" s="58">
        <f t="shared" si="993"/>
        <v>1025257.7399125</v>
      </c>
      <c r="AE209" s="58">
        <f t="shared" si="993"/>
        <v>1025257.7399125</v>
      </c>
      <c r="AF209" s="58">
        <f t="shared" si="993"/>
        <v>1025257.7399125</v>
      </c>
      <c r="AG209" s="58">
        <f t="shared" si="993"/>
        <v>1025257.7399125</v>
      </c>
      <c r="AH209" s="58">
        <f t="shared" si="993"/>
        <v>1040771.0030800001</v>
      </c>
      <c r="AI209" s="58">
        <f t="shared" si="993"/>
        <v>1040771.0030800001</v>
      </c>
      <c r="AJ209" s="58">
        <f t="shared" si="993"/>
        <v>1040771.0030800001</v>
      </c>
      <c r="AK209" s="58">
        <f t="shared" si="993"/>
        <v>1046620.6269081251</v>
      </c>
      <c r="AL209" s="58">
        <f t="shared" si="993"/>
        <v>1046620.6269081251</v>
      </c>
      <c r="AM209" s="58">
        <f t="shared" si="993"/>
        <v>1046620.6269081251</v>
      </c>
      <c r="AN209" s="58">
        <f t="shared" si="993"/>
        <v>1046620.6269081251</v>
      </c>
      <c r="AO209" s="58"/>
      <c r="AP209" s="106"/>
      <c r="AQ209" s="58">
        <f t="shared" ref="AQ209:BC209" si="994">+SUM(AQ210:AQ213)</f>
        <v>395491</v>
      </c>
      <c r="AR209" s="58">
        <f t="shared" si="994"/>
        <v>395491</v>
      </c>
      <c r="AS209" s="58">
        <f t="shared" si="994"/>
        <v>395491</v>
      </c>
      <c r="AT209" s="58">
        <f t="shared" si="994"/>
        <v>395491</v>
      </c>
      <c r="AU209" s="58">
        <f t="shared" si="994"/>
        <v>395491</v>
      </c>
      <c r="AV209" s="58">
        <f t="shared" si="994"/>
        <v>410265.55</v>
      </c>
      <c r="AW209" s="58">
        <f t="shared" si="994"/>
        <v>410265</v>
      </c>
      <c r="AX209" s="58">
        <f t="shared" si="994"/>
        <v>410265</v>
      </c>
      <c r="AY209" s="58">
        <f t="shared" si="994"/>
        <v>410265</v>
      </c>
      <c r="AZ209" s="58">
        <f t="shared" si="994"/>
        <v>410265</v>
      </c>
      <c r="BA209" s="58">
        <f t="shared" si="994"/>
        <v>410265</v>
      </c>
      <c r="BB209" s="58">
        <f t="shared" si="994"/>
        <v>410265</v>
      </c>
      <c r="BC209" s="58">
        <f t="shared" si="994"/>
        <v>4849310.55</v>
      </c>
      <c r="BD209" s="20" t="str">
        <f t="shared" si="961"/>
        <v>Rent Expenses</v>
      </c>
      <c r="BE209" s="58">
        <f t="shared" ref="BE209:BQ209" si="995">+SUM(BE210:BE213)</f>
        <v>410265</v>
      </c>
      <c r="BF209" s="58">
        <f t="shared" si="995"/>
        <v>410265</v>
      </c>
      <c r="BG209" s="58">
        <f t="shared" si="995"/>
        <v>410265</v>
      </c>
      <c r="BH209" s="58">
        <f t="shared" si="995"/>
        <v>410265</v>
      </c>
      <c r="BI209" s="58">
        <f t="shared" si="995"/>
        <v>410265</v>
      </c>
      <c r="BJ209" s="58">
        <f t="shared" si="995"/>
        <v>410265</v>
      </c>
      <c r="BK209" s="58">
        <f t="shared" si="995"/>
        <v>410265</v>
      </c>
      <c r="BL209" s="58">
        <f t="shared" si="995"/>
        <v>410265</v>
      </c>
      <c r="BM209" s="58">
        <f t="shared" si="995"/>
        <v>435085</v>
      </c>
      <c r="BN209" s="58">
        <f t="shared" si="995"/>
        <v>416470</v>
      </c>
      <c r="BO209" s="58">
        <f t="shared" si="995"/>
        <v>0</v>
      </c>
      <c r="BP209" s="58">
        <f t="shared" si="995"/>
        <v>0</v>
      </c>
      <c r="BQ209" s="58">
        <f t="shared" si="995"/>
        <v>4133675</v>
      </c>
      <c r="BR209" s="118"/>
      <c r="BS209" s="58">
        <f t="shared" ref="BS209:CE209" si="996">+SUM(BS210:BS213)</f>
        <v>410265.26335000002</v>
      </c>
      <c r="BT209" s="58">
        <f t="shared" si="996"/>
        <v>410265.26335000002</v>
      </c>
      <c r="BU209" s="58">
        <f t="shared" si="996"/>
        <v>410265.26335000002</v>
      </c>
      <c r="BV209" s="58">
        <f t="shared" si="996"/>
        <v>410265.26335000002</v>
      </c>
      <c r="BW209" s="58">
        <f t="shared" si="996"/>
        <v>410265.26335000002</v>
      </c>
      <c r="BX209" s="58">
        <f t="shared" si="996"/>
        <v>425778.52651750005</v>
      </c>
      <c r="BY209" s="58">
        <f t="shared" si="996"/>
        <v>425778.52651750005</v>
      </c>
      <c r="BZ209" s="58">
        <f t="shared" si="996"/>
        <v>425778.52651750005</v>
      </c>
      <c r="CA209" s="58">
        <f t="shared" si="996"/>
        <v>425778.52651750005</v>
      </c>
      <c r="CB209" s="58">
        <f t="shared" si="996"/>
        <v>425778.52651750005</v>
      </c>
      <c r="CC209" s="58">
        <f t="shared" si="996"/>
        <v>425778.52651750005</v>
      </c>
      <c r="CD209" s="58">
        <f t="shared" si="996"/>
        <v>425778.52651750005</v>
      </c>
      <c r="CE209" s="58">
        <f t="shared" si="996"/>
        <v>5031776.0023725014</v>
      </c>
      <c r="CF209" s="106"/>
      <c r="CG209" s="58">
        <f t="shared" ref="CG209:CS209" si="997">+SUM(CG210:CG213)</f>
        <v>159421.5</v>
      </c>
      <c r="CH209" s="58">
        <f t="shared" si="997"/>
        <v>159421.5</v>
      </c>
      <c r="CI209" s="58">
        <f t="shared" si="997"/>
        <v>159421.5</v>
      </c>
      <c r="CJ209" s="58">
        <f t="shared" si="997"/>
        <v>159421.5</v>
      </c>
      <c r="CK209" s="58">
        <f t="shared" si="997"/>
        <v>159421.5</v>
      </c>
      <c r="CL209" s="58">
        <f t="shared" si="997"/>
        <v>159421.5</v>
      </c>
      <c r="CM209" s="58">
        <f t="shared" si="997"/>
        <v>135421.5</v>
      </c>
      <c r="CN209" s="58">
        <f t="shared" si="997"/>
        <v>135421.5</v>
      </c>
      <c r="CO209" s="58">
        <f t="shared" si="997"/>
        <v>146563.5</v>
      </c>
      <c r="CP209" s="58">
        <f t="shared" si="997"/>
        <v>140992.5</v>
      </c>
      <c r="CQ209" s="58">
        <f t="shared" si="997"/>
        <v>140992.5</v>
      </c>
      <c r="CR209" s="58">
        <f t="shared" si="997"/>
        <v>140992.5</v>
      </c>
      <c r="CS209" s="58">
        <f t="shared" si="997"/>
        <v>1796913</v>
      </c>
      <c r="CT209" s="20" t="str">
        <f t="shared" si="962"/>
        <v>Rent Expenses</v>
      </c>
      <c r="CU209" s="58">
        <f t="shared" ref="CU209:DG209" si="998">+SUM(CU210:CU213)</f>
        <v>140992.5</v>
      </c>
      <c r="CV209" s="58">
        <f t="shared" si="998"/>
        <v>140992.5</v>
      </c>
      <c r="CW209" s="58">
        <f t="shared" si="998"/>
        <v>140992.5</v>
      </c>
      <c r="CX209" s="58">
        <f t="shared" si="998"/>
        <v>140992.5</v>
      </c>
      <c r="CY209" s="58">
        <f t="shared" si="998"/>
        <v>140992.5</v>
      </c>
      <c r="CZ209" s="58">
        <f t="shared" si="998"/>
        <v>140992.5</v>
      </c>
      <c r="DA209" s="58">
        <f t="shared" si="998"/>
        <v>140992.5</v>
      </c>
      <c r="DB209" s="58">
        <f t="shared" si="998"/>
        <v>140992.5</v>
      </c>
      <c r="DC209" s="58">
        <f t="shared" si="998"/>
        <v>146842</v>
      </c>
      <c r="DD209" s="58">
        <f t="shared" si="998"/>
        <v>146842</v>
      </c>
      <c r="DE209" s="58">
        <f t="shared" si="998"/>
        <v>0</v>
      </c>
      <c r="DF209" s="58">
        <f t="shared" si="998"/>
        <v>0</v>
      </c>
      <c r="DG209" s="58">
        <f t="shared" si="998"/>
        <v>1421624</v>
      </c>
      <c r="DH209" s="118"/>
      <c r="DI209" s="58">
        <f t="shared" ref="DI209:DU209" si="999">+SUM(DI210:DI213)</f>
        <v>164992.4765625</v>
      </c>
      <c r="DJ209" s="58">
        <f t="shared" si="999"/>
        <v>164992.4765625</v>
      </c>
      <c r="DK209" s="58">
        <f t="shared" si="999"/>
        <v>164992.4765625</v>
      </c>
      <c r="DL209" s="58">
        <f t="shared" si="999"/>
        <v>164992.4765625</v>
      </c>
      <c r="DM209" s="58">
        <f t="shared" si="999"/>
        <v>164992.4765625</v>
      </c>
      <c r="DN209" s="58">
        <f t="shared" si="999"/>
        <v>164992.4765625</v>
      </c>
      <c r="DO209" s="58">
        <f t="shared" si="999"/>
        <v>164992.4765625</v>
      </c>
      <c r="DP209" s="58">
        <f t="shared" si="999"/>
        <v>164992.4765625</v>
      </c>
      <c r="DQ209" s="58">
        <f t="shared" si="999"/>
        <v>170842.10039062504</v>
      </c>
      <c r="DR209" s="58">
        <f t="shared" si="999"/>
        <v>170842.10039062504</v>
      </c>
      <c r="DS209" s="58">
        <f t="shared" si="999"/>
        <v>170842.10039062504</v>
      </c>
      <c r="DT209" s="58">
        <f t="shared" si="999"/>
        <v>170842.10039062504</v>
      </c>
      <c r="DU209" s="58">
        <f t="shared" si="999"/>
        <v>2003308.2140625</v>
      </c>
      <c r="DV209" s="106"/>
      <c r="DW209" s="58">
        <f t="shared" ref="DW209:EI209" si="1000">+SUM(DW210:DW213)</f>
        <v>0</v>
      </c>
      <c r="DX209" s="58">
        <f t="shared" si="1000"/>
        <v>0</v>
      </c>
      <c r="DY209" s="58">
        <f t="shared" si="1000"/>
        <v>0</v>
      </c>
      <c r="DZ209" s="58">
        <f t="shared" si="1000"/>
        <v>0</v>
      </c>
      <c r="EA209" s="58">
        <f t="shared" si="1000"/>
        <v>0</v>
      </c>
      <c r="EB209" s="58">
        <f t="shared" si="1000"/>
        <v>0</v>
      </c>
      <c r="EC209" s="58">
        <f t="shared" si="1000"/>
        <v>0</v>
      </c>
      <c r="ED209" s="58">
        <f t="shared" si="1000"/>
        <v>0</v>
      </c>
      <c r="EE209" s="58">
        <f t="shared" si="1000"/>
        <v>0</v>
      </c>
      <c r="EF209" s="58">
        <f t="shared" si="1000"/>
        <v>0</v>
      </c>
      <c r="EG209" s="58">
        <f t="shared" si="1000"/>
        <v>0</v>
      </c>
      <c r="EH209" s="58">
        <f t="shared" si="1000"/>
        <v>0</v>
      </c>
      <c r="EI209" s="58">
        <f t="shared" si="1000"/>
        <v>0</v>
      </c>
      <c r="EJ209" s="20" t="str">
        <f t="shared" si="963"/>
        <v>Rent Expenses</v>
      </c>
      <c r="EK209" s="58">
        <f t="shared" ref="EK209:EW209" si="1001">+SUM(EK210:EK213)</f>
        <v>445000</v>
      </c>
      <c r="EL209" s="58">
        <f t="shared" si="1001"/>
        <v>445000</v>
      </c>
      <c r="EM209" s="58">
        <f t="shared" si="1001"/>
        <v>445000</v>
      </c>
      <c r="EN209" s="58">
        <f t="shared" si="1001"/>
        <v>445000</v>
      </c>
      <c r="EO209" s="58">
        <f t="shared" si="1001"/>
        <v>445000</v>
      </c>
      <c r="EP209" s="58">
        <f t="shared" si="1001"/>
        <v>445000</v>
      </c>
      <c r="EQ209" s="58">
        <f t="shared" si="1001"/>
        <v>445000</v>
      </c>
      <c r="ER209" s="58">
        <f t="shared" si="1001"/>
        <v>445000</v>
      </c>
      <c r="ES209" s="58">
        <f t="shared" si="1001"/>
        <v>445000</v>
      </c>
      <c r="ET209" s="58">
        <f t="shared" si="1001"/>
        <v>445000</v>
      </c>
      <c r="EU209" s="58">
        <f t="shared" si="1001"/>
        <v>0</v>
      </c>
      <c r="EV209" s="58">
        <f t="shared" si="1001"/>
        <v>0</v>
      </c>
      <c r="EW209" s="58">
        <f t="shared" si="1001"/>
        <v>4450000</v>
      </c>
      <c r="EX209" s="118"/>
      <c r="EY209" s="58">
        <f t="shared" ref="EY209:FK209" si="1002">+SUM(EY210:EY213)</f>
        <v>450000.00000000012</v>
      </c>
      <c r="EZ209" s="58">
        <f t="shared" si="1002"/>
        <v>450000</v>
      </c>
      <c r="FA209" s="58">
        <f t="shared" si="1002"/>
        <v>450000</v>
      </c>
      <c r="FB209" s="58">
        <f t="shared" si="1002"/>
        <v>450000</v>
      </c>
      <c r="FC209" s="58">
        <f t="shared" si="1002"/>
        <v>450000</v>
      </c>
      <c r="FD209" s="58">
        <f t="shared" si="1002"/>
        <v>450000</v>
      </c>
      <c r="FE209" s="58">
        <f t="shared" si="1002"/>
        <v>450000</v>
      </c>
      <c r="FF209" s="58">
        <f t="shared" si="1002"/>
        <v>450000</v>
      </c>
      <c r="FG209" s="58">
        <f t="shared" si="1002"/>
        <v>450000</v>
      </c>
      <c r="FH209" s="58">
        <f t="shared" si="1002"/>
        <v>450000</v>
      </c>
      <c r="FI209" s="58">
        <f t="shared" si="1002"/>
        <v>450000</v>
      </c>
      <c r="FJ209" s="58">
        <f t="shared" si="1002"/>
        <v>450000</v>
      </c>
      <c r="FK209" s="58">
        <f t="shared" si="1002"/>
        <v>5400000</v>
      </c>
    </row>
    <row r="210" spans="1:169" ht="14.45" customHeight="1" outlineLevel="2">
      <c r="A210" s="106">
        <f t="shared" ref="A210:L213" si="1003">+AQ210+CG210+DW210</f>
        <v>100000</v>
      </c>
      <c r="B210" s="106">
        <f t="shared" si="1003"/>
        <v>100000</v>
      </c>
      <c r="C210" s="106">
        <f t="shared" si="1003"/>
        <v>100000</v>
      </c>
      <c r="D210" s="106">
        <f t="shared" si="1003"/>
        <v>100000</v>
      </c>
      <c r="E210" s="106">
        <f t="shared" si="1003"/>
        <v>100000</v>
      </c>
      <c r="F210" s="106">
        <f t="shared" si="1003"/>
        <v>100000</v>
      </c>
      <c r="G210" s="106">
        <f t="shared" si="1003"/>
        <v>100000</v>
      </c>
      <c r="H210" s="106">
        <f t="shared" si="1003"/>
        <v>100000</v>
      </c>
      <c r="I210" s="106">
        <f t="shared" si="1003"/>
        <v>100000</v>
      </c>
      <c r="J210" s="106">
        <f t="shared" si="1003"/>
        <v>100000</v>
      </c>
      <c r="K210" s="106">
        <f t="shared" si="1003"/>
        <v>100000</v>
      </c>
      <c r="L210" s="106">
        <f t="shared" si="1003"/>
        <v>100000</v>
      </c>
      <c r="M210" s="106">
        <f t="shared" ref="M210:M213" si="1004">+SUM(A210:L210)</f>
        <v>1200000</v>
      </c>
      <c r="N210" s="16" t="s">
        <v>176</v>
      </c>
      <c r="O210" s="106">
        <f t="shared" ref="O210:Z213" si="1005">+BE210+CU210+EK210</f>
        <v>100000</v>
      </c>
      <c r="P210" s="106">
        <f t="shared" si="1005"/>
        <v>100000</v>
      </c>
      <c r="Q210" s="106">
        <f t="shared" si="1005"/>
        <v>100000</v>
      </c>
      <c r="R210" s="106">
        <f t="shared" si="1005"/>
        <v>100000</v>
      </c>
      <c r="S210" s="106">
        <f t="shared" si="1005"/>
        <v>100000</v>
      </c>
      <c r="T210" s="106">
        <f t="shared" si="1005"/>
        <v>100000</v>
      </c>
      <c r="U210" s="106">
        <f t="shared" si="1005"/>
        <v>100000</v>
      </c>
      <c r="V210" s="106">
        <f t="shared" si="1005"/>
        <v>100000</v>
      </c>
      <c r="W210" s="106">
        <f t="shared" si="1005"/>
        <v>100000</v>
      </c>
      <c r="X210" s="106">
        <f t="shared" si="1005"/>
        <v>100000</v>
      </c>
      <c r="Y210" s="106">
        <f t="shared" si="1005"/>
        <v>0</v>
      </c>
      <c r="Z210" s="106">
        <f t="shared" si="1005"/>
        <v>0</v>
      </c>
      <c r="AA210" s="106">
        <f t="shared" ref="AA210:AA213" si="1006">+SUM(O210:Z210)</f>
        <v>1000000</v>
      </c>
      <c r="AB210" s="118"/>
      <c r="AC210" s="106">
        <f t="shared" ref="AC210:AN213" si="1007">+BS210+DI210+EY210</f>
        <v>100000</v>
      </c>
      <c r="AD210" s="106">
        <f t="shared" si="1007"/>
        <v>100000</v>
      </c>
      <c r="AE210" s="106">
        <f t="shared" si="1007"/>
        <v>100000</v>
      </c>
      <c r="AF210" s="106">
        <f t="shared" si="1007"/>
        <v>100000</v>
      </c>
      <c r="AG210" s="106">
        <f t="shared" si="1007"/>
        <v>100000</v>
      </c>
      <c r="AH210" s="106">
        <f t="shared" si="1007"/>
        <v>100000</v>
      </c>
      <c r="AI210" s="106">
        <f t="shared" si="1007"/>
        <v>100000</v>
      </c>
      <c r="AJ210" s="106">
        <f t="shared" si="1007"/>
        <v>100000</v>
      </c>
      <c r="AK210" s="106">
        <f t="shared" si="1007"/>
        <v>100000</v>
      </c>
      <c r="AL210" s="106">
        <f t="shared" si="1007"/>
        <v>100000</v>
      </c>
      <c r="AM210" s="106">
        <f t="shared" si="1007"/>
        <v>100000</v>
      </c>
      <c r="AN210" s="106">
        <f t="shared" si="1007"/>
        <v>100000</v>
      </c>
      <c r="AO210" s="106">
        <f t="shared" ref="AO210:AO213" si="1008">+SUM(AC210:AN210)</f>
        <v>1200000</v>
      </c>
      <c r="AP210" s="106"/>
      <c r="AQ210" s="106">
        <f>+PMGR!AQ210+BP!AQ210</f>
        <v>100000</v>
      </c>
      <c r="AR210" s="106">
        <f>+PMGR!AR210+BP!AR210</f>
        <v>100000</v>
      </c>
      <c r="AS210" s="106">
        <f>+PMGR!AS210+BP!AS210</f>
        <v>100000</v>
      </c>
      <c r="AT210" s="106">
        <f>+PMGR!AT210+BP!AT210</f>
        <v>100000</v>
      </c>
      <c r="AU210" s="106">
        <f>+PMGR!AU210+BP!AU210</f>
        <v>100000</v>
      </c>
      <c r="AV210" s="106">
        <f>+PMGR!AV210+BP!AV210</f>
        <v>100000</v>
      </c>
      <c r="AW210" s="106">
        <f>+PMGR!AW210+BP!AW210</f>
        <v>100000</v>
      </c>
      <c r="AX210" s="106">
        <f>+PMGR!AX210+BP!AX210</f>
        <v>100000</v>
      </c>
      <c r="AY210" s="106">
        <f>+PMGR!AY210+BP!AY210</f>
        <v>100000</v>
      </c>
      <c r="AZ210" s="106">
        <f>+PMGR!AZ210+BP!AZ210</f>
        <v>100000</v>
      </c>
      <c r="BA210" s="106">
        <f>+PMGR!BA210+BP!BA210</f>
        <v>100000</v>
      </c>
      <c r="BB210" s="106">
        <f>+PMGR!BB210+BP!BB210</f>
        <v>100000</v>
      </c>
      <c r="BC210" s="106">
        <f t="shared" ref="BC210:BC213" si="1009">+SUM(AQ210:BB210)</f>
        <v>1200000</v>
      </c>
      <c r="BD210" s="16" t="str">
        <f t="shared" si="961"/>
        <v>Rent Machinery</v>
      </c>
      <c r="BE210" s="106">
        <f>+PMGR!BE210+BP!BE210</f>
        <v>100000</v>
      </c>
      <c r="BF210" s="106">
        <f>+PMGR!BF210+BP!BF210</f>
        <v>100000</v>
      </c>
      <c r="BG210" s="106">
        <f>+PMGR!BG210+BP!BG210</f>
        <v>100000</v>
      </c>
      <c r="BH210" s="106">
        <f>+PMGR!BH210+BP!BH210</f>
        <v>100000</v>
      </c>
      <c r="BI210" s="106">
        <f>+PMGR!BI210+BP!BI210</f>
        <v>100000</v>
      </c>
      <c r="BJ210" s="106">
        <f>+PMGR!BJ210+BP!BJ210</f>
        <v>100000</v>
      </c>
      <c r="BK210" s="106">
        <f>+PMGR!BK210+BP!BK210</f>
        <v>100000</v>
      </c>
      <c r="BL210" s="106">
        <f>+PMGR!BL210+BP!BL210</f>
        <v>100000</v>
      </c>
      <c r="BM210" s="106">
        <f>+PMGR!BM210+BP!BM210</f>
        <v>100000</v>
      </c>
      <c r="BN210" s="106">
        <f>+PMGR!BN210+BP!BN210</f>
        <v>100000</v>
      </c>
      <c r="BO210" s="106">
        <f>+PMGR!BO210+BP!BO210</f>
        <v>0</v>
      </c>
      <c r="BP210" s="106">
        <f>+PMGR!BP210+BP!BP210</f>
        <v>0</v>
      </c>
      <c r="BQ210" s="106">
        <f t="shared" ref="BQ210:BQ213" si="1010">+SUM(BE210:BP210)</f>
        <v>1000000</v>
      </c>
      <c r="BR210" s="118"/>
      <c r="BS210" s="106">
        <f>+PMGR!BS210+BP!BS210</f>
        <v>100000</v>
      </c>
      <c r="BT210" s="106">
        <f>+PMGR!BT210+BP!BT210</f>
        <v>100000</v>
      </c>
      <c r="BU210" s="106">
        <f>+PMGR!BU210+BP!BU210</f>
        <v>100000</v>
      </c>
      <c r="BV210" s="106">
        <f>+PMGR!BV210+BP!BV210</f>
        <v>100000</v>
      </c>
      <c r="BW210" s="106">
        <f>+PMGR!BW210+BP!BW210</f>
        <v>100000</v>
      </c>
      <c r="BX210" s="106">
        <f>+PMGR!BX210+BP!BX210</f>
        <v>100000</v>
      </c>
      <c r="BY210" s="106">
        <f>+PMGR!BY210+BP!BY210</f>
        <v>100000</v>
      </c>
      <c r="BZ210" s="106">
        <f>+PMGR!BZ210+BP!BZ210</f>
        <v>100000</v>
      </c>
      <c r="CA210" s="106">
        <f>+PMGR!CA210+BP!CA210</f>
        <v>100000</v>
      </c>
      <c r="CB210" s="106">
        <f>+PMGR!CB210+BP!CB210</f>
        <v>100000</v>
      </c>
      <c r="CC210" s="106">
        <f>+PMGR!CC210+BP!CC210</f>
        <v>100000</v>
      </c>
      <c r="CD210" s="106">
        <f>+PMGR!CD210+BP!CD210</f>
        <v>100000</v>
      </c>
      <c r="CE210" s="106">
        <f t="shared" ref="CE210:CE213" si="1011">+SUM(BS210:CD210)</f>
        <v>1200000</v>
      </c>
      <c r="CF210" s="106"/>
      <c r="CG210" s="106">
        <f>+PMGR!CG210+BP!CG210</f>
        <v>0</v>
      </c>
      <c r="CH210" s="106">
        <f>+PMGR!CH210+BP!CH210</f>
        <v>0</v>
      </c>
      <c r="CI210" s="106">
        <f>+PMGR!CI210+BP!CI210</f>
        <v>0</v>
      </c>
      <c r="CJ210" s="106">
        <f>+PMGR!CJ210+BP!CJ210</f>
        <v>0</v>
      </c>
      <c r="CK210" s="106">
        <f>+PMGR!CK210+BP!CK210</f>
        <v>0</v>
      </c>
      <c r="CL210" s="106">
        <f>+PMGR!CL210+BP!CL210</f>
        <v>0</v>
      </c>
      <c r="CM210" s="106">
        <f>+PMGR!CM210+BP!CM210</f>
        <v>0</v>
      </c>
      <c r="CN210" s="106">
        <f>+PMGR!CN210+BP!CN210</f>
        <v>0</v>
      </c>
      <c r="CO210" s="106">
        <f>+PMGR!CO210+BP!CO210</f>
        <v>0</v>
      </c>
      <c r="CP210" s="106">
        <f>+PMGR!CP210+BP!CP210</f>
        <v>0</v>
      </c>
      <c r="CQ210" s="106">
        <f>+PMGR!CQ210+BP!CQ210</f>
        <v>0</v>
      </c>
      <c r="CR210" s="106">
        <f>+PMGR!CR210+BP!CR210</f>
        <v>0</v>
      </c>
      <c r="CS210" s="106">
        <f t="shared" ref="CS210:CS213" si="1012">+SUM(CG210:CR210)</f>
        <v>0</v>
      </c>
      <c r="CT210" s="16" t="str">
        <f t="shared" si="962"/>
        <v>Rent Machinery</v>
      </c>
      <c r="CU210" s="106">
        <f>+PMGR!CU210+BP!CU210</f>
        <v>0</v>
      </c>
      <c r="CV210" s="106">
        <f>+PMGR!CV210+BP!CV210</f>
        <v>0</v>
      </c>
      <c r="CW210" s="106">
        <f>+PMGR!CW210+BP!CW210</f>
        <v>0</v>
      </c>
      <c r="CX210" s="106">
        <f>+PMGR!CX210+BP!CX210</f>
        <v>0</v>
      </c>
      <c r="CY210" s="106">
        <f>+PMGR!CY210+BP!CY210</f>
        <v>0</v>
      </c>
      <c r="CZ210" s="106">
        <f>+PMGR!CZ210+BP!CZ210</f>
        <v>0</v>
      </c>
      <c r="DA210" s="106">
        <f>+PMGR!DA210+BP!DA210</f>
        <v>0</v>
      </c>
      <c r="DB210" s="106">
        <f>+PMGR!DB210+BP!DB210</f>
        <v>0</v>
      </c>
      <c r="DC210" s="106">
        <f>+PMGR!DC210+BP!DC210</f>
        <v>0</v>
      </c>
      <c r="DD210" s="106">
        <f>+PMGR!DD210+BP!DD210</f>
        <v>0</v>
      </c>
      <c r="DE210" s="106">
        <f>+PMGR!DE210+BP!DE210</f>
        <v>0</v>
      </c>
      <c r="DF210" s="106">
        <f>+PMGR!DF210+BP!DF210</f>
        <v>0</v>
      </c>
      <c r="DG210" s="106">
        <f t="shared" ref="DG210:DG213" si="1013">+SUM(CU210:DF210)</f>
        <v>0</v>
      </c>
      <c r="DH210" s="118"/>
      <c r="DI210" s="106">
        <f>+PMGR!DI210+BP!DI210</f>
        <v>0</v>
      </c>
      <c r="DJ210" s="106">
        <f>+PMGR!DJ210+BP!DJ210</f>
        <v>0</v>
      </c>
      <c r="DK210" s="106">
        <f>+PMGR!DK210+BP!DK210</f>
        <v>0</v>
      </c>
      <c r="DL210" s="106">
        <f>+PMGR!DL210+BP!DL210</f>
        <v>0</v>
      </c>
      <c r="DM210" s="106">
        <f>+PMGR!DM210+BP!DM210</f>
        <v>0</v>
      </c>
      <c r="DN210" s="106">
        <f>+PMGR!DN210+BP!DN210</f>
        <v>0</v>
      </c>
      <c r="DO210" s="106">
        <f>+PMGR!DO210+BP!DO210</f>
        <v>0</v>
      </c>
      <c r="DP210" s="106">
        <f>+PMGR!DP210+BP!DP210</f>
        <v>0</v>
      </c>
      <c r="DQ210" s="106">
        <f>+PMGR!DQ210+BP!DQ210</f>
        <v>0</v>
      </c>
      <c r="DR210" s="106">
        <f>+PMGR!DR210+BP!DR210</f>
        <v>0</v>
      </c>
      <c r="DS210" s="106">
        <f>+PMGR!DS210+BP!DS210</f>
        <v>0</v>
      </c>
      <c r="DT210" s="106">
        <f>+PMGR!DT210+BP!DT210</f>
        <v>0</v>
      </c>
      <c r="DU210" s="106">
        <f t="shared" ref="DU210:DU213" si="1014">+SUM(DI210:DT210)</f>
        <v>0</v>
      </c>
      <c r="DV210" s="106"/>
      <c r="DW210" s="106">
        <f>+PMGR!DW210+BP!DW210</f>
        <v>0</v>
      </c>
      <c r="DX210" s="106">
        <f>+PMGR!DX210+BP!DX210</f>
        <v>0</v>
      </c>
      <c r="DY210" s="106">
        <f>+PMGR!DY210+BP!DY210</f>
        <v>0</v>
      </c>
      <c r="DZ210" s="106">
        <f>+PMGR!DZ210+BP!DZ210</f>
        <v>0</v>
      </c>
      <c r="EA210" s="106">
        <f>+PMGR!EA210+BP!EA210</f>
        <v>0</v>
      </c>
      <c r="EB210" s="106">
        <f>+PMGR!EB210+BP!EB210</f>
        <v>0</v>
      </c>
      <c r="EC210" s="106">
        <f>+PMGR!EC210+BP!EC210</f>
        <v>0</v>
      </c>
      <c r="ED210" s="106">
        <f>+PMGR!ED210+BP!ED210</f>
        <v>0</v>
      </c>
      <c r="EE210" s="106">
        <f>+PMGR!EE210+BP!EE210</f>
        <v>0</v>
      </c>
      <c r="EF210" s="106">
        <f>+PMGR!EF210+BP!EF210</f>
        <v>0</v>
      </c>
      <c r="EG210" s="106">
        <f>+PMGR!EG210+BP!EG210</f>
        <v>0</v>
      </c>
      <c r="EH210" s="106">
        <f>+PMGR!EH210+BP!EH210</f>
        <v>0</v>
      </c>
      <c r="EI210" s="106">
        <f t="shared" ref="EI210:EI213" si="1015">+SUM(DW210:EH210)</f>
        <v>0</v>
      </c>
      <c r="EJ210" s="16" t="str">
        <f t="shared" si="963"/>
        <v>Rent Machinery</v>
      </c>
      <c r="EK210" s="106">
        <f>+PMGR!EK210+BP!EK210</f>
        <v>0</v>
      </c>
      <c r="EL210" s="106">
        <f>+PMGR!EL210+BP!EL210</f>
        <v>0</v>
      </c>
      <c r="EM210" s="106">
        <f>+PMGR!EM210+BP!EM210</f>
        <v>0</v>
      </c>
      <c r="EN210" s="106">
        <f>+PMGR!EN210+BP!EN210</f>
        <v>0</v>
      </c>
      <c r="EO210" s="106">
        <f>+PMGR!EO210+BP!EO210</f>
        <v>0</v>
      </c>
      <c r="EP210" s="106">
        <f>+PMGR!EP210+BP!EP210</f>
        <v>0</v>
      </c>
      <c r="EQ210" s="106">
        <f>+PMGR!EQ210+BP!EQ210</f>
        <v>0</v>
      </c>
      <c r="ER210" s="106">
        <f>+PMGR!ER210+BP!ER210</f>
        <v>0</v>
      </c>
      <c r="ES210" s="106">
        <f>+PMGR!ES210+BP!ES210</f>
        <v>0</v>
      </c>
      <c r="ET210" s="106">
        <f>+PMGR!ET210+BP!ET210</f>
        <v>0</v>
      </c>
      <c r="EU210" s="106">
        <f>+PMGR!EU210+BP!EU210</f>
        <v>0</v>
      </c>
      <c r="EV210" s="106">
        <f>+PMGR!EV210+BP!EV210</f>
        <v>0</v>
      </c>
      <c r="EW210" s="106">
        <f t="shared" ref="EW210:EW213" si="1016">+SUM(EK210:EV210)</f>
        <v>0</v>
      </c>
      <c r="EX210" s="118"/>
      <c r="EY210" s="106">
        <f>+PMGR!EY210+BP!EY210</f>
        <v>0</v>
      </c>
      <c r="EZ210" s="106">
        <f>+PMGR!EZ210+BP!EZ210</f>
        <v>0</v>
      </c>
      <c r="FA210" s="106">
        <f>+PMGR!FA210+BP!FA210</f>
        <v>0</v>
      </c>
      <c r="FB210" s="106">
        <f>+PMGR!FB210+BP!FB210</f>
        <v>0</v>
      </c>
      <c r="FC210" s="106">
        <f>+PMGR!FC210+BP!FC210</f>
        <v>0</v>
      </c>
      <c r="FD210" s="106">
        <f>+PMGR!FD210+BP!FD210</f>
        <v>0</v>
      </c>
      <c r="FE210" s="106">
        <f>+PMGR!FE210+BP!FE210</f>
        <v>0</v>
      </c>
      <c r="FF210" s="106">
        <f>+PMGR!FF210+BP!FF210</f>
        <v>0</v>
      </c>
      <c r="FG210" s="106">
        <f>+PMGR!FG210+BP!FG210</f>
        <v>0</v>
      </c>
      <c r="FH210" s="106">
        <f>+PMGR!FH210+BP!FH210</f>
        <v>0</v>
      </c>
      <c r="FI210" s="106">
        <f>+PMGR!FI210+BP!FI210</f>
        <v>0</v>
      </c>
      <c r="FJ210" s="106">
        <f>+PMGR!FJ210+BP!FJ210</f>
        <v>0</v>
      </c>
      <c r="FK210" s="106">
        <f t="shared" ref="FK210:FK213" si="1017">+SUM(EY210:FJ210)</f>
        <v>0</v>
      </c>
    </row>
    <row r="211" spans="1:169" ht="14.45" customHeight="1" outlineLevel="2">
      <c r="A211" s="106">
        <f t="shared" si="1003"/>
        <v>406912.5</v>
      </c>
      <c r="B211" s="106">
        <f t="shared" si="1003"/>
        <v>406912.5</v>
      </c>
      <c r="C211" s="106">
        <f t="shared" si="1003"/>
        <v>406912.5</v>
      </c>
      <c r="D211" s="106">
        <f t="shared" si="1003"/>
        <v>406912.5</v>
      </c>
      <c r="E211" s="106">
        <f t="shared" si="1003"/>
        <v>406912.5</v>
      </c>
      <c r="F211" s="106">
        <f t="shared" si="1003"/>
        <v>421687.05</v>
      </c>
      <c r="G211" s="106">
        <f t="shared" si="1003"/>
        <v>421686.5</v>
      </c>
      <c r="H211" s="106">
        <f t="shared" si="1003"/>
        <v>421686.5</v>
      </c>
      <c r="I211" s="106">
        <f t="shared" si="1003"/>
        <v>432828.5</v>
      </c>
      <c r="J211" s="106">
        <f t="shared" si="1003"/>
        <v>427257.5</v>
      </c>
      <c r="K211" s="106">
        <f t="shared" si="1003"/>
        <v>427257.5</v>
      </c>
      <c r="L211" s="106">
        <f t="shared" si="1003"/>
        <v>427257.5</v>
      </c>
      <c r="M211" s="106">
        <f t="shared" si="1004"/>
        <v>5014223.55</v>
      </c>
      <c r="N211" s="16" t="s">
        <v>177</v>
      </c>
      <c r="O211" s="106">
        <f t="shared" si="1005"/>
        <v>872257.5</v>
      </c>
      <c r="P211" s="106">
        <f t="shared" si="1005"/>
        <v>872257.5</v>
      </c>
      <c r="Q211" s="106">
        <f t="shared" si="1005"/>
        <v>872257.5</v>
      </c>
      <c r="R211" s="106">
        <f t="shared" si="1005"/>
        <v>872257.5</v>
      </c>
      <c r="S211" s="106">
        <f t="shared" si="1005"/>
        <v>872257.5</v>
      </c>
      <c r="T211" s="106">
        <f t="shared" si="1005"/>
        <v>872257.5</v>
      </c>
      <c r="U211" s="106">
        <f t="shared" si="1005"/>
        <v>872257.5</v>
      </c>
      <c r="V211" s="106">
        <f t="shared" si="1005"/>
        <v>872257.5</v>
      </c>
      <c r="W211" s="106">
        <f t="shared" si="1005"/>
        <v>902927</v>
      </c>
      <c r="X211" s="106">
        <f t="shared" si="1005"/>
        <v>884312</v>
      </c>
      <c r="Y211" s="106">
        <f t="shared" si="1005"/>
        <v>0</v>
      </c>
      <c r="Z211" s="106">
        <f t="shared" si="1005"/>
        <v>0</v>
      </c>
      <c r="AA211" s="106">
        <f t="shared" si="1006"/>
        <v>8765299</v>
      </c>
      <c r="AB211" s="118"/>
      <c r="AC211" s="106">
        <f t="shared" si="1007"/>
        <v>877257.73991250014</v>
      </c>
      <c r="AD211" s="106">
        <f t="shared" si="1007"/>
        <v>877257.73991250002</v>
      </c>
      <c r="AE211" s="106">
        <f t="shared" si="1007"/>
        <v>877257.73991250002</v>
      </c>
      <c r="AF211" s="106">
        <f t="shared" si="1007"/>
        <v>877257.73991250002</v>
      </c>
      <c r="AG211" s="106">
        <f t="shared" si="1007"/>
        <v>877257.73991250002</v>
      </c>
      <c r="AH211" s="106">
        <f t="shared" si="1007"/>
        <v>892771.00308000005</v>
      </c>
      <c r="AI211" s="106">
        <f t="shared" si="1007"/>
        <v>892771.00308000005</v>
      </c>
      <c r="AJ211" s="106">
        <f t="shared" si="1007"/>
        <v>892771.00308000005</v>
      </c>
      <c r="AK211" s="106">
        <f t="shared" si="1007"/>
        <v>898620.62690812512</v>
      </c>
      <c r="AL211" s="106">
        <f t="shared" si="1007"/>
        <v>898620.62690812512</v>
      </c>
      <c r="AM211" s="106">
        <f t="shared" si="1007"/>
        <v>898620.62690812512</v>
      </c>
      <c r="AN211" s="106">
        <f t="shared" si="1007"/>
        <v>898620.62690812512</v>
      </c>
      <c r="AO211" s="106">
        <f t="shared" si="1008"/>
        <v>10659084.216435002</v>
      </c>
      <c r="AP211" s="106"/>
      <c r="AQ211" s="106">
        <f>+PMGR!AQ211+BP!AQ211</f>
        <v>295491</v>
      </c>
      <c r="AR211" s="106">
        <f>+PMGR!AR211+BP!AR211</f>
        <v>295491</v>
      </c>
      <c r="AS211" s="106">
        <f>+PMGR!AS211+BP!AS211</f>
        <v>295491</v>
      </c>
      <c r="AT211" s="106">
        <f>+PMGR!AT211+BP!AT211</f>
        <v>295491</v>
      </c>
      <c r="AU211" s="106">
        <f>+PMGR!AU211+BP!AU211</f>
        <v>295491</v>
      </c>
      <c r="AV211" s="106">
        <f>+PMGR!AV211+BP!AV211</f>
        <v>310265.55</v>
      </c>
      <c r="AW211" s="106">
        <f>+PMGR!AW211+BP!AW211</f>
        <v>310265</v>
      </c>
      <c r="AX211" s="106">
        <f>+PMGR!AX211+BP!AX211</f>
        <v>310265</v>
      </c>
      <c r="AY211" s="106">
        <f>+PMGR!AY211+BP!AY211</f>
        <v>310265</v>
      </c>
      <c r="AZ211" s="106">
        <f>+PMGR!AZ211+BP!AZ211</f>
        <v>310265</v>
      </c>
      <c r="BA211" s="106">
        <f>+PMGR!BA211+BP!BA211</f>
        <v>310265</v>
      </c>
      <c r="BB211" s="106">
        <f>+PMGR!BB211+BP!BB211</f>
        <v>310265</v>
      </c>
      <c r="BC211" s="106">
        <f t="shared" si="1009"/>
        <v>3649310.55</v>
      </c>
      <c r="BD211" s="16" t="str">
        <f t="shared" si="961"/>
        <v>Rent Service</v>
      </c>
      <c r="BE211" s="106">
        <f>+PMGR!BE211+BP!BE211</f>
        <v>310265</v>
      </c>
      <c r="BF211" s="106">
        <f>+PMGR!BF211+BP!BF211</f>
        <v>310265</v>
      </c>
      <c r="BG211" s="106">
        <f>+PMGR!BG211+BP!BG211</f>
        <v>310265</v>
      </c>
      <c r="BH211" s="106">
        <f>+PMGR!BH211+BP!BH211</f>
        <v>310265</v>
      </c>
      <c r="BI211" s="106">
        <f>+PMGR!BI211+BP!BI211</f>
        <v>310265</v>
      </c>
      <c r="BJ211" s="106">
        <f>+PMGR!BJ211+BP!BJ211</f>
        <v>310265</v>
      </c>
      <c r="BK211" s="106">
        <f>+PMGR!BK211+BP!BK211</f>
        <v>310265</v>
      </c>
      <c r="BL211" s="106">
        <f>+PMGR!BL211+BP!BL211</f>
        <v>310265</v>
      </c>
      <c r="BM211" s="106">
        <f>+PMGR!BM211+BP!BM211</f>
        <v>335085</v>
      </c>
      <c r="BN211" s="106">
        <f>+PMGR!BN211+BP!BN211</f>
        <v>316470</v>
      </c>
      <c r="BO211" s="106">
        <f>+PMGR!BO211+BP!BO211</f>
        <v>0</v>
      </c>
      <c r="BP211" s="106">
        <f>+PMGR!BP211+BP!BP211</f>
        <v>0</v>
      </c>
      <c r="BQ211" s="106">
        <f t="shared" si="1010"/>
        <v>3133675</v>
      </c>
      <c r="BR211" s="118"/>
      <c r="BS211" s="106">
        <f>+PMGR!BS211+BP!BS211</f>
        <v>310265.26335000002</v>
      </c>
      <c r="BT211" s="106">
        <f>+PMGR!BT211+BP!BT211</f>
        <v>310265.26335000002</v>
      </c>
      <c r="BU211" s="106">
        <f>+PMGR!BU211+BP!BU211</f>
        <v>310265.26335000002</v>
      </c>
      <c r="BV211" s="106">
        <f>+PMGR!BV211+BP!BV211</f>
        <v>310265.26335000002</v>
      </c>
      <c r="BW211" s="106">
        <f>+PMGR!BW211+BP!BW211</f>
        <v>310265.26335000002</v>
      </c>
      <c r="BX211" s="106">
        <f>+PMGR!BX211+BP!BX211</f>
        <v>325778.52651750005</v>
      </c>
      <c r="BY211" s="106">
        <f>+PMGR!BY211+BP!BY211</f>
        <v>325778.52651750005</v>
      </c>
      <c r="BZ211" s="106">
        <f>+PMGR!BZ211+BP!BZ211</f>
        <v>325778.52651750005</v>
      </c>
      <c r="CA211" s="106">
        <f>+PMGR!CA211+BP!CA211</f>
        <v>325778.52651750005</v>
      </c>
      <c r="CB211" s="106">
        <f>+PMGR!CB211+BP!CB211</f>
        <v>325778.52651750005</v>
      </c>
      <c r="CC211" s="106">
        <f>+PMGR!CC211+BP!CC211</f>
        <v>325778.52651750005</v>
      </c>
      <c r="CD211" s="106">
        <f>+PMGR!CD211+BP!CD211</f>
        <v>325778.52651750005</v>
      </c>
      <c r="CE211" s="106">
        <f t="shared" si="1011"/>
        <v>3831776.0023725014</v>
      </c>
      <c r="CF211" s="106"/>
      <c r="CG211" s="106">
        <f>+PMGR!CG211+BP!CG211</f>
        <v>111421.5</v>
      </c>
      <c r="CH211" s="106">
        <f>+PMGR!CH211+BP!CH211</f>
        <v>111421.5</v>
      </c>
      <c r="CI211" s="106">
        <f>+PMGR!CI211+BP!CI211</f>
        <v>111421.5</v>
      </c>
      <c r="CJ211" s="106">
        <f>+PMGR!CJ211+BP!CJ211</f>
        <v>111421.5</v>
      </c>
      <c r="CK211" s="106">
        <f>+PMGR!CK211+BP!CK211</f>
        <v>111421.5</v>
      </c>
      <c r="CL211" s="106">
        <f>+PMGR!CL211+BP!CL211</f>
        <v>111421.5</v>
      </c>
      <c r="CM211" s="106">
        <f>+PMGR!CM211+BP!CM211</f>
        <v>111421.5</v>
      </c>
      <c r="CN211" s="106">
        <f>+PMGR!CN211+BP!CN211</f>
        <v>111421.5</v>
      </c>
      <c r="CO211" s="106">
        <f>+PMGR!CO211+BP!CO211</f>
        <v>122563.5</v>
      </c>
      <c r="CP211" s="106">
        <f>+PMGR!CP211+BP!CP211</f>
        <v>116992.5</v>
      </c>
      <c r="CQ211" s="106">
        <f>+PMGR!CQ211+BP!CQ211</f>
        <v>116992.5</v>
      </c>
      <c r="CR211" s="106">
        <f>+PMGR!CR211+BP!CR211</f>
        <v>116992.5</v>
      </c>
      <c r="CS211" s="106">
        <f t="shared" si="1012"/>
        <v>1364913</v>
      </c>
      <c r="CT211" s="16" t="str">
        <f t="shared" si="962"/>
        <v>Rent Service</v>
      </c>
      <c r="CU211" s="106">
        <f>+PMGR!CU211+BP!CU211</f>
        <v>116992.5</v>
      </c>
      <c r="CV211" s="106">
        <f>+PMGR!CV211+BP!CV211</f>
        <v>116992.5</v>
      </c>
      <c r="CW211" s="106">
        <f>+PMGR!CW211+BP!CW211</f>
        <v>116992.5</v>
      </c>
      <c r="CX211" s="106">
        <f>+PMGR!CX211+BP!CX211</f>
        <v>116992.5</v>
      </c>
      <c r="CY211" s="106">
        <f>+PMGR!CY211+BP!CY211</f>
        <v>116992.5</v>
      </c>
      <c r="CZ211" s="106">
        <f>+PMGR!CZ211+BP!CZ211</f>
        <v>116992.5</v>
      </c>
      <c r="DA211" s="106">
        <f>+PMGR!DA211+BP!DA211</f>
        <v>116992.5</v>
      </c>
      <c r="DB211" s="106">
        <f>+PMGR!DB211+BP!DB211</f>
        <v>116992.5</v>
      </c>
      <c r="DC211" s="106">
        <f>+PMGR!DC211+BP!DC211</f>
        <v>122842</v>
      </c>
      <c r="DD211" s="106">
        <f>+PMGR!DD211+BP!DD211</f>
        <v>122842</v>
      </c>
      <c r="DE211" s="106">
        <f>+PMGR!DE211+BP!DE211</f>
        <v>0</v>
      </c>
      <c r="DF211" s="106">
        <f>+PMGR!DF211+BP!DF211</f>
        <v>0</v>
      </c>
      <c r="DG211" s="106">
        <f t="shared" si="1013"/>
        <v>1181624</v>
      </c>
      <c r="DH211" s="118"/>
      <c r="DI211" s="106">
        <f>+PMGR!DI211+BP!DI211</f>
        <v>116992.47656250001</v>
      </c>
      <c r="DJ211" s="106">
        <f>+PMGR!DJ211+BP!DJ211</f>
        <v>116992.47656250001</v>
      </c>
      <c r="DK211" s="106">
        <f>+PMGR!DK211+BP!DK211</f>
        <v>116992.47656250001</v>
      </c>
      <c r="DL211" s="106">
        <f>+PMGR!DL211+BP!DL211</f>
        <v>116992.47656250001</v>
      </c>
      <c r="DM211" s="106">
        <f>+PMGR!DM211+BP!DM211</f>
        <v>116992.47656250001</v>
      </c>
      <c r="DN211" s="106">
        <f>+PMGR!DN211+BP!DN211</f>
        <v>116992.47656250001</v>
      </c>
      <c r="DO211" s="106">
        <f>+PMGR!DO211+BP!DO211</f>
        <v>116992.47656250001</v>
      </c>
      <c r="DP211" s="106">
        <f>+PMGR!DP211+BP!DP211</f>
        <v>116992.47656250001</v>
      </c>
      <c r="DQ211" s="106">
        <f>+PMGR!DQ211+BP!DQ211</f>
        <v>122842.10039062504</v>
      </c>
      <c r="DR211" s="106">
        <f>+PMGR!DR211+BP!DR211</f>
        <v>122842.10039062504</v>
      </c>
      <c r="DS211" s="106">
        <f>+PMGR!DS211+BP!DS211</f>
        <v>122842.10039062504</v>
      </c>
      <c r="DT211" s="106">
        <f>+PMGR!DT211+BP!DT211</f>
        <v>122842.10039062504</v>
      </c>
      <c r="DU211" s="106">
        <f t="shared" si="1014"/>
        <v>1427308.2140625</v>
      </c>
      <c r="DV211" s="106"/>
      <c r="DW211" s="106">
        <f>+PMGR!DW211+BP!DW211</f>
        <v>0</v>
      </c>
      <c r="DX211" s="106">
        <f>+PMGR!DX211+BP!DX211</f>
        <v>0</v>
      </c>
      <c r="DY211" s="106">
        <f>+PMGR!DY211+BP!DY211</f>
        <v>0</v>
      </c>
      <c r="DZ211" s="106">
        <f>+PMGR!DZ211+BP!DZ211</f>
        <v>0</v>
      </c>
      <c r="EA211" s="106">
        <f>+PMGR!EA211+BP!EA211</f>
        <v>0</v>
      </c>
      <c r="EB211" s="106">
        <f>+PMGR!EB211+BP!EB211</f>
        <v>0</v>
      </c>
      <c r="EC211" s="106">
        <f>+PMGR!EC211+BP!EC211</f>
        <v>0</v>
      </c>
      <c r="ED211" s="106">
        <f>+PMGR!ED211+BP!ED211</f>
        <v>0</v>
      </c>
      <c r="EE211" s="106">
        <f>+PMGR!EE211+BP!EE211</f>
        <v>0</v>
      </c>
      <c r="EF211" s="106">
        <f>+PMGR!EF211+BP!EF211</f>
        <v>0</v>
      </c>
      <c r="EG211" s="106">
        <f>+PMGR!EG211+BP!EG211</f>
        <v>0</v>
      </c>
      <c r="EH211" s="106">
        <f>+PMGR!EH211+BP!EH211</f>
        <v>0</v>
      </c>
      <c r="EI211" s="106">
        <f t="shared" si="1015"/>
        <v>0</v>
      </c>
      <c r="EJ211" s="16" t="str">
        <f t="shared" si="963"/>
        <v>Rent Service</v>
      </c>
      <c r="EK211" s="106">
        <f>+PMGR!EK211+BP!EK211</f>
        <v>445000</v>
      </c>
      <c r="EL211" s="106">
        <f>+PMGR!EL211+BP!EL211</f>
        <v>445000</v>
      </c>
      <c r="EM211" s="106">
        <f>+PMGR!EM211+BP!EM211</f>
        <v>445000</v>
      </c>
      <c r="EN211" s="106">
        <f>+PMGR!EN211+BP!EN211</f>
        <v>445000</v>
      </c>
      <c r="EO211" s="106">
        <f>+PMGR!EO211+BP!EO211</f>
        <v>445000</v>
      </c>
      <c r="EP211" s="106">
        <f>+PMGR!EP211+BP!EP211</f>
        <v>445000</v>
      </c>
      <c r="EQ211" s="106">
        <f>+PMGR!EQ211+BP!EQ211</f>
        <v>445000</v>
      </c>
      <c r="ER211" s="106">
        <f>+PMGR!ER211+BP!ER211</f>
        <v>445000</v>
      </c>
      <c r="ES211" s="106">
        <f>+PMGR!ES211+BP!ES211</f>
        <v>445000</v>
      </c>
      <c r="ET211" s="106">
        <f>+PMGR!ET211+BP!ET211</f>
        <v>445000</v>
      </c>
      <c r="EU211" s="106">
        <f>+PMGR!EU211+BP!EU211</f>
        <v>0</v>
      </c>
      <c r="EV211" s="106">
        <f>+PMGR!EV211+BP!EV211</f>
        <v>0</v>
      </c>
      <c r="EW211" s="106">
        <f t="shared" si="1016"/>
        <v>4450000</v>
      </c>
      <c r="EX211" s="118"/>
      <c r="EY211" s="106">
        <f>+PMGR!EY211+BP!EY211</f>
        <v>450000.00000000012</v>
      </c>
      <c r="EZ211" s="106">
        <f>+PMGR!EZ211+BP!EZ211</f>
        <v>450000</v>
      </c>
      <c r="FA211" s="106">
        <f>+PMGR!FA211+BP!FA211</f>
        <v>450000</v>
      </c>
      <c r="FB211" s="106">
        <f>+PMGR!FB211+BP!FB211</f>
        <v>450000</v>
      </c>
      <c r="FC211" s="106">
        <f>+PMGR!FC211+BP!FC211</f>
        <v>450000</v>
      </c>
      <c r="FD211" s="106">
        <f>+PMGR!FD211+BP!FD211</f>
        <v>450000</v>
      </c>
      <c r="FE211" s="106">
        <f>+PMGR!FE211+BP!FE211</f>
        <v>450000</v>
      </c>
      <c r="FF211" s="106">
        <f>+PMGR!FF211+BP!FF211</f>
        <v>450000</v>
      </c>
      <c r="FG211" s="106">
        <f>+PMGR!FG211+BP!FG211</f>
        <v>450000</v>
      </c>
      <c r="FH211" s="106">
        <f>+PMGR!FH211+BP!FH211</f>
        <v>450000</v>
      </c>
      <c r="FI211" s="106">
        <f>+PMGR!FI211+BP!FI211</f>
        <v>450000</v>
      </c>
      <c r="FJ211" s="106">
        <f>+PMGR!FJ211+BP!FJ211</f>
        <v>450000</v>
      </c>
      <c r="FK211" s="106">
        <f t="shared" si="1017"/>
        <v>5400000</v>
      </c>
    </row>
    <row r="212" spans="1:169" ht="14.45" customHeight="1" outlineLevel="2">
      <c r="A212" s="106">
        <f t="shared" si="1003"/>
        <v>0</v>
      </c>
      <c r="B212" s="106">
        <f t="shared" si="1003"/>
        <v>0</v>
      </c>
      <c r="C212" s="106">
        <f t="shared" si="1003"/>
        <v>0</v>
      </c>
      <c r="D212" s="106">
        <f t="shared" si="1003"/>
        <v>0</v>
      </c>
      <c r="E212" s="106">
        <f t="shared" si="1003"/>
        <v>0</v>
      </c>
      <c r="F212" s="106">
        <f t="shared" si="1003"/>
        <v>0</v>
      </c>
      <c r="G212" s="106">
        <f t="shared" si="1003"/>
        <v>0</v>
      </c>
      <c r="H212" s="106">
        <f t="shared" si="1003"/>
        <v>0</v>
      </c>
      <c r="I212" s="106">
        <f t="shared" si="1003"/>
        <v>0</v>
      </c>
      <c r="J212" s="106">
        <f t="shared" si="1003"/>
        <v>0</v>
      </c>
      <c r="K212" s="106">
        <f t="shared" si="1003"/>
        <v>0</v>
      </c>
      <c r="L212" s="106">
        <f t="shared" si="1003"/>
        <v>0</v>
      </c>
      <c r="M212" s="106">
        <f t="shared" si="1004"/>
        <v>0</v>
      </c>
      <c r="N212" s="16" t="s">
        <v>178</v>
      </c>
      <c r="O212" s="106">
        <f t="shared" si="1005"/>
        <v>0</v>
      </c>
      <c r="P212" s="106">
        <f t="shared" si="1005"/>
        <v>0</v>
      </c>
      <c r="Q212" s="106">
        <f t="shared" si="1005"/>
        <v>0</v>
      </c>
      <c r="R212" s="106">
        <f t="shared" si="1005"/>
        <v>0</v>
      </c>
      <c r="S212" s="106">
        <f t="shared" si="1005"/>
        <v>0</v>
      </c>
      <c r="T212" s="106">
        <f t="shared" si="1005"/>
        <v>0</v>
      </c>
      <c r="U212" s="106">
        <f t="shared" si="1005"/>
        <v>0</v>
      </c>
      <c r="V212" s="106">
        <f t="shared" si="1005"/>
        <v>0</v>
      </c>
      <c r="W212" s="106">
        <f t="shared" si="1005"/>
        <v>0</v>
      </c>
      <c r="X212" s="106">
        <f t="shared" si="1005"/>
        <v>0</v>
      </c>
      <c r="Y212" s="106">
        <f t="shared" si="1005"/>
        <v>0</v>
      </c>
      <c r="Z212" s="106">
        <f t="shared" si="1005"/>
        <v>0</v>
      </c>
      <c r="AA212" s="106">
        <f t="shared" si="1006"/>
        <v>0</v>
      </c>
      <c r="AB212" s="118"/>
      <c r="AC212" s="106">
        <f t="shared" si="1007"/>
        <v>0</v>
      </c>
      <c r="AD212" s="106">
        <f t="shared" si="1007"/>
        <v>0</v>
      </c>
      <c r="AE212" s="106">
        <f t="shared" si="1007"/>
        <v>0</v>
      </c>
      <c r="AF212" s="106">
        <f t="shared" si="1007"/>
        <v>0</v>
      </c>
      <c r="AG212" s="106">
        <f t="shared" si="1007"/>
        <v>0</v>
      </c>
      <c r="AH212" s="106">
        <f t="shared" si="1007"/>
        <v>0</v>
      </c>
      <c r="AI212" s="106">
        <f t="shared" si="1007"/>
        <v>0</v>
      </c>
      <c r="AJ212" s="106">
        <f t="shared" si="1007"/>
        <v>0</v>
      </c>
      <c r="AK212" s="106">
        <f t="shared" si="1007"/>
        <v>0</v>
      </c>
      <c r="AL212" s="106">
        <f t="shared" si="1007"/>
        <v>0</v>
      </c>
      <c r="AM212" s="106">
        <f t="shared" si="1007"/>
        <v>0</v>
      </c>
      <c r="AN212" s="106">
        <f t="shared" si="1007"/>
        <v>0</v>
      </c>
      <c r="AO212" s="106">
        <f t="shared" si="1008"/>
        <v>0</v>
      </c>
      <c r="AP212" s="106"/>
      <c r="AQ212" s="106">
        <f>+PMGR!AQ212+BP!AQ212</f>
        <v>0</v>
      </c>
      <c r="AR212" s="106">
        <f>+PMGR!AR212+BP!AR212</f>
        <v>0</v>
      </c>
      <c r="AS212" s="106">
        <f>+PMGR!AS212+BP!AS212</f>
        <v>0</v>
      </c>
      <c r="AT212" s="106">
        <f>+PMGR!AT212+BP!AT212</f>
        <v>0</v>
      </c>
      <c r="AU212" s="106">
        <f>+PMGR!AU212+BP!AU212</f>
        <v>0</v>
      </c>
      <c r="AV212" s="106">
        <f>+PMGR!AV212+BP!AV212</f>
        <v>0</v>
      </c>
      <c r="AW212" s="106">
        <f>+PMGR!AW212+BP!AW212</f>
        <v>0</v>
      </c>
      <c r="AX212" s="106">
        <f>+PMGR!AX212+BP!AX212</f>
        <v>0</v>
      </c>
      <c r="AY212" s="106">
        <f>+PMGR!AY212+BP!AY212</f>
        <v>0</v>
      </c>
      <c r="AZ212" s="106">
        <f>+PMGR!AZ212+BP!AZ212</f>
        <v>0</v>
      </c>
      <c r="BA212" s="106">
        <f>+PMGR!BA212+BP!BA212</f>
        <v>0</v>
      </c>
      <c r="BB212" s="106">
        <f>+PMGR!BB212+BP!BB212</f>
        <v>0</v>
      </c>
      <c r="BC212" s="106">
        <f t="shared" si="1009"/>
        <v>0</v>
      </c>
      <c r="BD212" s="16" t="str">
        <f t="shared" si="961"/>
        <v>Rent Showroom</v>
      </c>
      <c r="BE212" s="106">
        <f>+PMGR!BE212+BP!BE212</f>
        <v>0</v>
      </c>
      <c r="BF212" s="106">
        <f>+PMGR!BF212+BP!BF212</f>
        <v>0</v>
      </c>
      <c r="BG212" s="106">
        <f>+PMGR!BG212+BP!BG212</f>
        <v>0</v>
      </c>
      <c r="BH212" s="106">
        <f>+PMGR!BH212+BP!BH212</f>
        <v>0</v>
      </c>
      <c r="BI212" s="106">
        <f>+PMGR!BI212+BP!BI212</f>
        <v>0</v>
      </c>
      <c r="BJ212" s="106">
        <f>+PMGR!BJ212+BP!BJ212</f>
        <v>0</v>
      </c>
      <c r="BK212" s="106">
        <f>+PMGR!BK212+BP!BK212</f>
        <v>0</v>
      </c>
      <c r="BL212" s="106">
        <f>+PMGR!BL212+BP!BL212</f>
        <v>0</v>
      </c>
      <c r="BM212" s="106">
        <f>+PMGR!BM212+BP!BM212</f>
        <v>0</v>
      </c>
      <c r="BN212" s="106">
        <f>+PMGR!BN212+BP!BN212</f>
        <v>0</v>
      </c>
      <c r="BO212" s="106">
        <f>+PMGR!BO212+BP!BO212</f>
        <v>0</v>
      </c>
      <c r="BP212" s="106">
        <f>+PMGR!BP212+BP!BP212</f>
        <v>0</v>
      </c>
      <c r="BQ212" s="106">
        <f t="shared" si="1010"/>
        <v>0</v>
      </c>
      <c r="BR212" s="118"/>
      <c r="BS212" s="106">
        <f>+PMGR!BS212+BP!BS212</f>
        <v>0</v>
      </c>
      <c r="BT212" s="106">
        <f>+PMGR!BT212+BP!BT212</f>
        <v>0</v>
      </c>
      <c r="BU212" s="106">
        <f>+PMGR!BU212+BP!BU212</f>
        <v>0</v>
      </c>
      <c r="BV212" s="106">
        <f>+PMGR!BV212+BP!BV212</f>
        <v>0</v>
      </c>
      <c r="BW212" s="106">
        <f>+PMGR!BW212+BP!BW212</f>
        <v>0</v>
      </c>
      <c r="BX212" s="106">
        <f>+PMGR!BX212+BP!BX212</f>
        <v>0</v>
      </c>
      <c r="BY212" s="106">
        <f>+PMGR!BY212+BP!BY212</f>
        <v>0</v>
      </c>
      <c r="BZ212" s="106">
        <f>+PMGR!BZ212+BP!BZ212</f>
        <v>0</v>
      </c>
      <c r="CA212" s="106">
        <f>+PMGR!CA212+BP!CA212</f>
        <v>0</v>
      </c>
      <c r="CB212" s="106">
        <f>+PMGR!CB212+BP!CB212</f>
        <v>0</v>
      </c>
      <c r="CC212" s="106">
        <f>+PMGR!CC212+BP!CC212</f>
        <v>0</v>
      </c>
      <c r="CD212" s="106">
        <f>+PMGR!CD212+BP!CD212</f>
        <v>0</v>
      </c>
      <c r="CE212" s="106">
        <f t="shared" si="1011"/>
        <v>0</v>
      </c>
      <c r="CF212" s="106"/>
      <c r="CG212" s="106">
        <f>+PMGR!CG212+BP!CG212</f>
        <v>0</v>
      </c>
      <c r="CH212" s="106">
        <f>+PMGR!CH212+BP!CH212</f>
        <v>0</v>
      </c>
      <c r="CI212" s="106">
        <f>+PMGR!CI212+BP!CI212</f>
        <v>0</v>
      </c>
      <c r="CJ212" s="106">
        <f>+PMGR!CJ212+BP!CJ212</f>
        <v>0</v>
      </c>
      <c r="CK212" s="106">
        <f>+PMGR!CK212+BP!CK212</f>
        <v>0</v>
      </c>
      <c r="CL212" s="106">
        <f>+PMGR!CL212+BP!CL212</f>
        <v>0</v>
      </c>
      <c r="CM212" s="106">
        <f>+PMGR!CM212+BP!CM212</f>
        <v>0</v>
      </c>
      <c r="CN212" s="106">
        <f>+PMGR!CN212+BP!CN212</f>
        <v>0</v>
      </c>
      <c r="CO212" s="106">
        <f>+PMGR!CO212+BP!CO212</f>
        <v>0</v>
      </c>
      <c r="CP212" s="106">
        <f>+PMGR!CP212+BP!CP212</f>
        <v>0</v>
      </c>
      <c r="CQ212" s="106">
        <f>+PMGR!CQ212+BP!CQ212</f>
        <v>0</v>
      </c>
      <c r="CR212" s="106">
        <f>+PMGR!CR212+BP!CR212</f>
        <v>0</v>
      </c>
      <c r="CS212" s="106">
        <f t="shared" si="1012"/>
        <v>0</v>
      </c>
      <c r="CT212" s="16" t="str">
        <f t="shared" si="962"/>
        <v>Rent Showroom</v>
      </c>
      <c r="CU212" s="106">
        <f>+PMGR!CU212+BP!CU212</f>
        <v>0</v>
      </c>
      <c r="CV212" s="106">
        <f>+PMGR!CV212+BP!CV212</f>
        <v>0</v>
      </c>
      <c r="CW212" s="106">
        <f>+PMGR!CW212+BP!CW212</f>
        <v>0</v>
      </c>
      <c r="CX212" s="106">
        <f>+PMGR!CX212+BP!CX212</f>
        <v>0</v>
      </c>
      <c r="CY212" s="106">
        <f>+PMGR!CY212+BP!CY212</f>
        <v>0</v>
      </c>
      <c r="CZ212" s="106">
        <f>+PMGR!CZ212+BP!CZ212</f>
        <v>0</v>
      </c>
      <c r="DA212" s="106">
        <f>+PMGR!DA212+BP!DA212</f>
        <v>0</v>
      </c>
      <c r="DB212" s="106">
        <f>+PMGR!DB212+BP!DB212</f>
        <v>0</v>
      </c>
      <c r="DC212" s="106">
        <f>+PMGR!DC212+BP!DC212</f>
        <v>0</v>
      </c>
      <c r="DD212" s="106">
        <f>+PMGR!DD212+BP!DD212</f>
        <v>0</v>
      </c>
      <c r="DE212" s="106">
        <f>+PMGR!DE212+BP!DE212</f>
        <v>0</v>
      </c>
      <c r="DF212" s="106">
        <f>+PMGR!DF212+BP!DF212</f>
        <v>0</v>
      </c>
      <c r="DG212" s="106">
        <f t="shared" si="1013"/>
        <v>0</v>
      </c>
      <c r="DH212" s="118"/>
      <c r="DI212" s="106">
        <f>+PMGR!DI212+BP!DI212</f>
        <v>0</v>
      </c>
      <c r="DJ212" s="106">
        <f>+PMGR!DJ212+BP!DJ212</f>
        <v>0</v>
      </c>
      <c r="DK212" s="106">
        <f>+PMGR!DK212+BP!DK212</f>
        <v>0</v>
      </c>
      <c r="DL212" s="106">
        <f>+PMGR!DL212+BP!DL212</f>
        <v>0</v>
      </c>
      <c r="DM212" s="106">
        <f>+PMGR!DM212+BP!DM212</f>
        <v>0</v>
      </c>
      <c r="DN212" s="106">
        <f>+PMGR!DN212+BP!DN212</f>
        <v>0</v>
      </c>
      <c r="DO212" s="106">
        <f>+PMGR!DO212+BP!DO212</f>
        <v>0</v>
      </c>
      <c r="DP212" s="106">
        <f>+PMGR!DP212+BP!DP212</f>
        <v>0</v>
      </c>
      <c r="DQ212" s="106">
        <f>+PMGR!DQ212+BP!DQ212</f>
        <v>0</v>
      </c>
      <c r="DR212" s="106">
        <f>+PMGR!DR212+BP!DR212</f>
        <v>0</v>
      </c>
      <c r="DS212" s="106">
        <f>+PMGR!DS212+BP!DS212</f>
        <v>0</v>
      </c>
      <c r="DT212" s="106">
        <f>+PMGR!DT212+BP!DT212</f>
        <v>0</v>
      </c>
      <c r="DU212" s="106">
        <f t="shared" si="1014"/>
        <v>0</v>
      </c>
      <c r="DV212" s="106"/>
      <c r="DW212" s="106">
        <f>+PMGR!DW212+BP!DW212</f>
        <v>0</v>
      </c>
      <c r="DX212" s="106">
        <f>+PMGR!DX212+BP!DX212</f>
        <v>0</v>
      </c>
      <c r="DY212" s="106">
        <f>+PMGR!DY212+BP!DY212</f>
        <v>0</v>
      </c>
      <c r="DZ212" s="106">
        <f>+PMGR!DZ212+BP!DZ212</f>
        <v>0</v>
      </c>
      <c r="EA212" s="106">
        <f>+PMGR!EA212+BP!EA212</f>
        <v>0</v>
      </c>
      <c r="EB212" s="106">
        <f>+PMGR!EB212+BP!EB212</f>
        <v>0</v>
      </c>
      <c r="EC212" s="106">
        <f>+PMGR!EC212+BP!EC212</f>
        <v>0</v>
      </c>
      <c r="ED212" s="106">
        <f>+PMGR!ED212+BP!ED212</f>
        <v>0</v>
      </c>
      <c r="EE212" s="106">
        <f>+PMGR!EE212+BP!EE212</f>
        <v>0</v>
      </c>
      <c r="EF212" s="106">
        <f>+PMGR!EF212+BP!EF212</f>
        <v>0</v>
      </c>
      <c r="EG212" s="106">
        <f>+PMGR!EG212+BP!EG212</f>
        <v>0</v>
      </c>
      <c r="EH212" s="106">
        <f>+PMGR!EH212+BP!EH212</f>
        <v>0</v>
      </c>
      <c r="EI212" s="106">
        <f t="shared" si="1015"/>
        <v>0</v>
      </c>
      <c r="EJ212" s="16" t="str">
        <f t="shared" si="963"/>
        <v>Rent Showroom</v>
      </c>
      <c r="EK212" s="106">
        <f>+PMGR!EK212+BP!EK212</f>
        <v>0</v>
      </c>
      <c r="EL212" s="106">
        <f>+PMGR!EL212+BP!EL212</f>
        <v>0</v>
      </c>
      <c r="EM212" s="106">
        <f>+PMGR!EM212+BP!EM212</f>
        <v>0</v>
      </c>
      <c r="EN212" s="106">
        <f>+PMGR!EN212+BP!EN212</f>
        <v>0</v>
      </c>
      <c r="EO212" s="106">
        <f>+PMGR!EO212+BP!EO212</f>
        <v>0</v>
      </c>
      <c r="EP212" s="106">
        <f>+PMGR!EP212+BP!EP212</f>
        <v>0</v>
      </c>
      <c r="EQ212" s="106">
        <f>+PMGR!EQ212+BP!EQ212</f>
        <v>0</v>
      </c>
      <c r="ER212" s="106">
        <f>+PMGR!ER212+BP!ER212</f>
        <v>0</v>
      </c>
      <c r="ES212" s="106">
        <f>+PMGR!ES212+BP!ES212</f>
        <v>0</v>
      </c>
      <c r="ET212" s="106">
        <f>+PMGR!ET212+BP!ET212</f>
        <v>0</v>
      </c>
      <c r="EU212" s="106">
        <f>+PMGR!EU212+BP!EU212</f>
        <v>0</v>
      </c>
      <c r="EV212" s="106">
        <f>+PMGR!EV212+BP!EV212</f>
        <v>0</v>
      </c>
      <c r="EW212" s="106">
        <f t="shared" si="1016"/>
        <v>0</v>
      </c>
      <c r="EX212" s="118"/>
      <c r="EY212" s="106">
        <f>+PMGR!EY212+BP!EY212</f>
        <v>0</v>
      </c>
      <c r="EZ212" s="106">
        <f>+PMGR!EZ212+BP!EZ212</f>
        <v>0</v>
      </c>
      <c r="FA212" s="106">
        <f>+PMGR!FA212+BP!FA212</f>
        <v>0</v>
      </c>
      <c r="FB212" s="106">
        <f>+PMGR!FB212+BP!FB212</f>
        <v>0</v>
      </c>
      <c r="FC212" s="106">
        <f>+PMGR!FC212+BP!FC212</f>
        <v>0</v>
      </c>
      <c r="FD212" s="106">
        <f>+PMGR!FD212+BP!FD212</f>
        <v>0</v>
      </c>
      <c r="FE212" s="106">
        <f>+PMGR!FE212+BP!FE212</f>
        <v>0</v>
      </c>
      <c r="FF212" s="106">
        <f>+PMGR!FF212+BP!FF212</f>
        <v>0</v>
      </c>
      <c r="FG212" s="106">
        <f>+PMGR!FG212+BP!FG212</f>
        <v>0</v>
      </c>
      <c r="FH212" s="106">
        <f>+PMGR!FH212+BP!FH212</f>
        <v>0</v>
      </c>
      <c r="FI212" s="106">
        <f>+PMGR!FI212+BP!FI212</f>
        <v>0</v>
      </c>
      <c r="FJ212" s="106">
        <f>+PMGR!FJ212+BP!FJ212</f>
        <v>0</v>
      </c>
      <c r="FK212" s="106">
        <f t="shared" si="1017"/>
        <v>0</v>
      </c>
    </row>
    <row r="213" spans="1:169" ht="14.45" customHeight="1" outlineLevel="2">
      <c r="A213" s="106">
        <f t="shared" si="1003"/>
        <v>48000</v>
      </c>
      <c r="B213" s="106">
        <f t="shared" si="1003"/>
        <v>48000</v>
      </c>
      <c r="C213" s="106">
        <f t="shared" si="1003"/>
        <v>48000</v>
      </c>
      <c r="D213" s="106">
        <f t="shared" si="1003"/>
        <v>48000</v>
      </c>
      <c r="E213" s="106">
        <f t="shared" si="1003"/>
        <v>48000</v>
      </c>
      <c r="F213" s="106">
        <f t="shared" si="1003"/>
        <v>48000</v>
      </c>
      <c r="G213" s="106">
        <f t="shared" si="1003"/>
        <v>24000</v>
      </c>
      <c r="H213" s="106">
        <f t="shared" si="1003"/>
        <v>24000</v>
      </c>
      <c r="I213" s="106">
        <f t="shared" si="1003"/>
        <v>24000</v>
      </c>
      <c r="J213" s="106">
        <f t="shared" si="1003"/>
        <v>24000</v>
      </c>
      <c r="K213" s="106">
        <f t="shared" si="1003"/>
        <v>24000</v>
      </c>
      <c r="L213" s="106">
        <f t="shared" si="1003"/>
        <v>24000</v>
      </c>
      <c r="M213" s="106">
        <f t="shared" si="1004"/>
        <v>432000</v>
      </c>
      <c r="N213" s="16" t="s">
        <v>179</v>
      </c>
      <c r="O213" s="106">
        <f t="shared" si="1005"/>
        <v>24000</v>
      </c>
      <c r="P213" s="106">
        <f t="shared" si="1005"/>
        <v>24000</v>
      </c>
      <c r="Q213" s="106">
        <f t="shared" si="1005"/>
        <v>24000</v>
      </c>
      <c r="R213" s="106">
        <f t="shared" si="1005"/>
        <v>24000</v>
      </c>
      <c r="S213" s="106">
        <f t="shared" si="1005"/>
        <v>24000</v>
      </c>
      <c r="T213" s="106">
        <f t="shared" si="1005"/>
        <v>24000</v>
      </c>
      <c r="U213" s="106">
        <f t="shared" si="1005"/>
        <v>24000</v>
      </c>
      <c r="V213" s="106">
        <f t="shared" si="1005"/>
        <v>24000</v>
      </c>
      <c r="W213" s="106">
        <f t="shared" si="1005"/>
        <v>24000</v>
      </c>
      <c r="X213" s="106">
        <f t="shared" si="1005"/>
        <v>24000</v>
      </c>
      <c r="Y213" s="106">
        <f t="shared" si="1005"/>
        <v>0</v>
      </c>
      <c r="Z213" s="106">
        <f t="shared" si="1005"/>
        <v>0</v>
      </c>
      <c r="AA213" s="106">
        <f t="shared" si="1006"/>
        <v>240000</v>
      </c>
      <c r="AB213" s="118"/>
      <c r="AC213" s="106">
        <f t="shared" si="1007"/>
        <v>48000</v>
      </c>
      <c r="AD213" s="106">
        <f t="shared" si="1007"/>
        <v>48000</v>
      </c>
      <c r="AE213" s="106">
        <f t="shared" si="1007"/>
        <v>48000</v>
      </c>
      <c r="AF213" s="106">
        <f t="shared" si="1007"/>
        <v>48000</v>
      </c>
      <c r="AG213" s="106">
        <f t="shared" si="1007"/>
        <v>48000</v>
      </c>
      <c r="AH213" s="106">
        <f t="shared" si="1007"/>
        <v>48000</v>
      </c>
      <c r="AI213" s="106">
        <f t="shared" si="1007"/>
        <v>48000</v>
      </c>
      <c r="AJ213" s="106">
        <f t="shared" si="1007"/>
        <v>48000</v>
      </c>
      <c r="AK213" s="106">
        <f t="shared" si="1007"/>
        <v>48000</v>
      </c>
      <c r="AL213" s="106">
        <f t="shared" si="1007"/>
        <v>48000</v>
      </c>
      <c r="AM213" s="106">
        <f t="shared" si="1007"/>
        <v>48000</v>
      </c>
      <c r="AN213" s="106">
        <f t="shared" si="1007"/>
        <v>48000</v>
      </c>
      <c r="AO213" s="106">
        <f t="shared" si="1008"/>
        <v>576000</v>
      </c>
      <c r="AP213" s="106"/>
      <c r="AQ213" s="106">
        <f>+PMGR!AQ213+BP!AQ213</f>
        <v>0</v>
      </c>
      <c r="AR213" s="106">
        <f>+PMGR!AR213+BP!AR213</f>
        <v>0</v>
      </c>
      <c r="AS213" s="106">
        <f>+PMGR!AS213+BP!AS213</f>
        <v>0</v>
      </c>
      <c r="AT213" s="106">
        <f>+PMGR!AT213+BP!AT213</f>
        <v>0</v>
      </c>
      <c r="AU213" s="106">
        <f>+PMGR!AU213+BP!AU213</f>
        <v>0</v>
      </c>
      <c r="AV213" s="106">
        <f>+PMGR!AV213+BP!AV213</f>
        <v>0</v>
      </c>
      <c r="AW213" s="106">
        <f>+PMGR!AW213+BP!AW213</f>
        <v>0</v>
      </c>
      <c r="AX213" s="106">
        <f>+PMGR!AX213+BP!AX213</f>
        <v>0</v>
      </c>
      <c r="AY213" s="106">
        <f>+PMGR!AY213+BP!AY213</f>
        <v>0</v>
      </c>
      <c r="AZ213" s="106">
        <f>+PMGR!AZ213+BP!AZ213</f>
        <v>0</v>
      </c>
      <c r="BA213" s="106">
        <f>+PMGR!BA213+BP!BA213</f>
        <v>0</v>
      </c>
      <c r="BB213" s="106">
        <f>+PMGR!BB213+BP!BB213</f>
        <v>0</v>
      </c>
      <c r="BC213" s="106">
        <f t="shared" si="1009"/>
        <v>0</v>
      </c>
      <c r="BD213" s="16" t="str">
        <f t="shared" si="961"/>
        <v>Rent Yard</v>
      </c>
      <c r="BE213" s="106">
        <f>+PMGR!BE213+BP!BE213</f>
        <v>0</v>
      </c>
      <c r="BF213" s="106">
        <f>+PMGR!BF213+BP!BF213</f>
        <v>0</v>
      </c>
      <c r="BG213" s="106">
        <f>+PMGR!BG213+BP!BG213</f>
        <v>0</v>
      </c>
      <c r="BH213" s="106">
        <f>+PMGR!BH213+BP!BH213</f>
        <v>0</v>
      </c>
      <c r="BI213" s="106">
        <f>+PMGR!BI213+BP!BI213</f>
        <v>0</v>
      </c>
      <c r="BJ213" s="106">
        <f>+PMGR!BJ213+BP!BJ213</f>
        <v>0</v>
      </c>
      <c r="BK213" s="106">
        <f>+PMGR!BK213+BP!BK213</f>
        <v>0</v>
      </c>
      <c r="BL213" s="106">
        <f>+PMGR!BL213+BP!BL213</f>
        <v>0</v>
      </c>
      <c r="BM213" s="106">
        <f>+PMGR!BM213+BP!BM213</f>
        <v>0</v>
      </c>
      <c r="BN213" s="106">
        <f>+PMGR!BN213+BP!BN213</f>
        <v>0</v>
      </c>
      <c r="BO213" s="106">
        <f>+PMGR!BO213+BP!BO213</f>
        <v>0</v>
      </c>
      <c r="BP213" s="106">
        <f>+PMGR!BP213+BP!BP213</f>
        <v>0</v>
      </c>
      <c r="BQ213" s="106">
        <f t="shared" si="1010"/>
        <v>0</v>
      </c>
      <c r="BR213" s="118"/>
      <c r="BS213" s="106">
        <f>+PMGR!BS213+BP!BS213</f>
        <v>0</v>
      </c>
      <c r="BT213" s="106">
        <f>+PMGR!BT213+BP!BT213</f>
        <v>0</v>
      </c>
      <c r="BU213" s="106">
        <f>+PMGR!BU213+BP!BU213</f>
        <v>0</v>
      </c>
      <c r="BV213" s="106">
        <f>+PMGR!BV213+BP!BV213</f>
        <v>0</v>
      </c>
      <c r="BW213" s="106">
        <f>+PMGR!BW213+BP!BW213</f>
        <v>0</v>
      </c>
      <c r="BX213" s="106">
        <f>+PMGR!BX213+BP!BX213</f>
        <v>0</v>
      </c>
      <c r="BY213" s="106">
        <f>+PMGR!BY213+BP!BY213</f>
        <v>0</v>
      </c>
      <c r="BZ213" s="106">
        <f>+PMGR!BZ213+BP!BZ213</f>
        <v>0</v>
      </c>
      <c r="CA213" s="106">
        <f>+PMGR!CA213+BP!CA213</f>
        <v>0</v>
      </c>
      <c r="CB213" s="106">
        <f>+PMGR!CB213+BP!CB213</f>
        <v>0</v>
      </c>
      <c r="CC213" s="106">
        <f>+PMGR!CC213+BP!CC213</f>
        <v>0</v>
      </c>
      <c r="CD213" s="106">
        <f>+PMGR!CD213+BP!CD213</f>
        <v>0</v>
      </c>
      <c r="CE213" s="106">
        <f t="shared" si="1011"/>
        <v>0</v>
      </c>
      <c r="CF213" s="106"/>
      <c r="CG213" s="106">
        <f>+PMGR!CG213+BP!CG213</f>
        <v>48000</v>
      </c>
      <c r="CH213" s="106">
        <f>+PMGR!CH213+BP!CH213</f>
        <v>48000</v>
      </c>
      <c r="CI213" s="106">
        <f>+PMGR!CI213+BP!CI213</f>
        <v>48000</v>
      </c>
      <c r="CJ213" s="106">
        <f>+PMGR!CJ213+BP!CJ213</f>
        <v>48000</v>
      </c>
      <c r="CK213" s="106">
        <f>+PMGR!CK213+BP!CK213</f>
        <v>48000</v>
      </c>
      <c r="CL213" s="106">
        <f>+PMGR!CL213+BP!CL213</f>
        <v>48000</v>
      </c>
      <c r="CM213" s="106">
        <f>+PMGR!CM213+BP!CM213</f>
        <v>24000</v>
      </c>
      <c r="CN213" s="106">
        <f>+PMGR!CN213+BP!CN213</f>
        <v>24000</v>
      </c>
      <c r="CO213" s="106">
        <f>+PMGR!CO213+BP!CO213</f>
        <v>24000</v>
      </c>
      <c r="CP213" s="106">
        <f>+PMGR!CP213+BP!CP213</f>
        <v>24000</v>
      </c>
      <c r="CQ213" s="106">
        <f>+PMGR!CQ213+BP!CQ213</f>
        <v>24000</v>
      </c>
      <c r="CR213" s="106">
        <f>+PMGR!CR213+BP!CR213</f>
        <v>24000</v>
      </c>
      <c r="CS213" s="106">
        <f t="shared" si="1012"/>
        <v>432000</v>
      </c>
      <c r="CT213" s="16" t="str">
        <f t="shared" si="962"/>
        <v>Rent Yard</v>
      </c>
      <c r="CU213" s="106">
        <f>+PMGR!CU213+BP!CU213</f>
        <v>24000</v>
      </c>
      <c r="CV213" s="106">
        <f>+PMGR!CV213+BP!CV213</f>
        <v>24000</v>
      </c>
      <c r="CW213" s="106">
        <f>+PMGR!CW213+BP!CW213</f>
        <v>24000</v>
      </c>
      <c r="CX213" s="106">
        <f>+PMGR!CX213+BP!CX213</f>
        <v>24000</v>
      </c>
      <c r="CY213" s="106">
        <f>+PMGR!CY213+BP!CY213</f>
        <v>24000</v>
      </c>
      <c r="CZ213" s="106">
        <f>+PMGR!CZ213+BP!CZ213</f>
        <v>24000</v>
      </c>
      <c r="DA213" s="106">
        <f>+PMGR!DA213+BP!DA213</f>
        <v>24000</v>
      </c>
      <c r="DB213" s="106">
        <f>+PMGR!DB213+BP!DB213</f>
        <v>24000</v>
      </c>
      <c r="DC213" s="106">
        <f>+PMGR!DC213+BP!DC213</f>
        <v>24000</v>
      </c>
      <c r="DD213" s="106">
        <f>+PMGR!DD213+BP!DD213</f>
        <v>24000</v>
      </c>
      <c r="DE213" s="106">
        <f>+PMGR!DE213+BP!DE213</f>
        <v>0</v>
      </c>
      <c r="DF213" s="106">
        <f>+PMGR!DF213+BP!DF213</f>
        <v>0</v>
      </c>
      <c r="DG213" s="106">
        <f t="shared" si="1013"/>
        <v>240000</v>
      </c>
      <c r="DH213" s="118"/>
      <c r="DI213" s="106">
        <f>+PMGR!DI213+BP!DI213</f>
        <v>48000</v>
      </c>
      <c r="DJ213" s="106">
        <f>+PMGR!DJ213+BP!DJ213</f>
        <v>48000</v>
      </c>
      <c r="DK213" s="106">
        <f>+PMGR!DK213+BP!DK213</f>
        <v>48000</v>
      </c>
      <c r="DL213" s="106">
        <f>+PMGR!DL213+BP!DL213</f>
        <v>48000</v>
      </c>
      <c r="DM213" s="106">
        <f>+PMGR!DM213+BP!DM213</f>
        <v>48000</v>
      </c>
      <c r="DN213" s="106">
        <f>+PMGR!DN213+BP!DN213</f>
        <v>48000</v>
      </c>
      <c r="DO213" s="106">
        <f>+PMGR!DO213+BP!DO213</f>
        <v>48000</v>
      </c>
      <c r="DP213" s="106">
        <f>+PMGR!DP213+BP!DP213</f>
        <v>48000</v>
      </c>
      <c r="DQ213" s="106">
        <f>+PMGR!DQ213+BP!DQ213</f>
        <v>48000</v>
      </c>
      <c r="DR213" s="106">
        <f>+PMGR!DR213+BP!DR213</f>
        <v>48000</v>
      </c>
      <c r="DS213" s="106">
        <f>+PMGR!DS213+BP!DS213</f>
        <v>48000</v>
      </c>
      <c r="DT213" s="106">
        <f>+PMGR!DT213+BP!DT213</f>
        <v>48000</v>
      </c>
      <c r="DU213" s="106">
        <f t="shared" si="1014"/>
        <v>576000</v>
      </c>
      <c r="DV213" s="106"/>
      <c r="DW213" s="106">
        <f>+PMGR!DW213+BP!DW213</f>
        <v>0</v>
      </c>
      <c r="DX213" s="106">
        <f>+PMGR!DX213+BP!DX213</f>
        <v>0</v>
      </c>
      <c r="DY213" s="106">
        <f>+PMGR!DY213+BP!DY213</f>
        <v>0</v>
      </c>
      <c r="DZ213" s="106">
        <f>+PMGR!DZ213+BP!DZ213</f>
        <v>0</v>
      </c>
      <c r="EA213" s="106">
        <f>+PMGR!EA213+BP!EA213</f>
        <v>0</v>
      </c>
      <c r="EB213" s="106">
        <f>+PMGR!EB213+BP!EB213</f>
        <v>0</v>
      </c>
      <c r="EC213" s="106">
        <f>+PMGR!EC213+BP!EC213</f>
        <v>0</v>
      </c>
      <c r="ED213" s="106">
        <f>+PMGR!ED213+BP!ED213</f>
        <v>0</v>
      </c>
      <c r="EE213" s="106">
        <f>+PMGR!EE213+BP!EE213</f>
        <v>0</v>
      </c>
      <c r="EF213" s="106">
        <f>+PMGR!EF213+BP!EF213</f>
        <v>0</v>
      </c>
      <c r="EG213" s="106">
        <f>+PMGR!EG213+BP!EG213</f>
        <v>0</v>
      </c>
      <c r="EH213" s="106">
        <f>+PMGR!EH213+BP!EH213</f>
        <v>0</v>
      </c>
      <c r="EI213" s="106">
        <f t="shared" si="1015"/>
        <v>0</v>
      </c>
      <c r="EJ213" s="16" t="str">
        <f t="shared" si="963"/>
        <v>Rent Yard</v>
      </c>
      <c r="EK213" s="106">
        <f>+PMGR!EK213+BP!EK213</f>
        <v>0</v>
      </c>
      <c r="EL213" s="106">
        <f>+PMGR!EL213+BP!EL213</f>
        <v>0</v>
      </c>
      <c r="EM213" s="106">
        <f>+PMGR!EM213+BP!EM213</f>
        <v>0</v>
      </c>
      <c r="EN213" s="106">
        <f>+PMGR!EN213+BP!EN213</f>
        <v>0</v>
      </c>
      <c r="EO213" s="106">
        <f>+PMGR!EO213+BP!EO213</f>
        <v>0</v>
      </c>
      <c r="EP213" s="106">
        <f>+PMGR!EP213+BP!EP213</f>
        <v>0</v>
      </c>
      <c r="EQ213" s="106">
        <f>+PMGR!EQ213+BP!EQ213</f>
        <v>0</v>
      </c>
      <c r="ER213" s="106">
        <f>+PMGR!ER213+BP!ER213</f>
        <v>0</v>
      </c>
      <c r="ES213" s="106">
        <f>+PMGR!ES213+BP!ES213</f>
        <v>0</v>
      </c>
      <c r="ET213" s="106">
        <f>+PMGR!ET213+BP!ET213</f>
        <v>0</v>
      </c>
      <c r="EU213" s="106">
        <f>+PMGR!EU213+BP!EU213</f>
        <v>0</v>
      </c>
      <c r="EV213" s="106">
        <f>+PMGR!EV213+BP!EV213</f>
        <v>0</v>
      </c>
      <c r="EW213" s="106">
        <f t="shared" si="1016"/>
        <v>0</v>
      </c>
      <c r="EX213" s="118"/>
      <c r="EY213" s="106">
        <f>+PMGR!EY213+BP!EY213</f>
        <v>0</v>
      </c>
      <c r="EZ213" s="106">
        <f>+PMGR!EZ213+BP!EZ213</f>
        <v>0</v>
      </c>
      <c r="FA213" s="106">
        <f>+PMGR!FA213+BP!FA213</f>
        <v>0</v>
      </c>
      <c r="FB213" s="106">
        <f>+PMGR!FB213+BP!FB213</f>
        <v>0</v>
      </c>
      <c r="FC213" s="106">
        <f>+PMGR!FC213+BP!FC213</f>
        <v>0</v>
      </c>
      <c r="FD213" s="106">
        <f>+PMGR!FD213+BP!FD213</f>
        <v>0</v>
      </c>
      <c r="FE213" s="106">
        <f>+PMGR!FE213+BP!FE213</f>
        <v>0</v>
      </c>
      <c r="FF213" s="106">
        <f>+PMGR!FF213+BP!FF213</f>
        <v>0</v>
      </c>
      <c r="FG213" s="106">
        <f>+PMGR!FG213+BP!FG213</f>
        <v>0</v>
      </c>
      <c r="FH213" s="106">
        <f>+PMGR!FH213+BP!FH213</f>
        <v>0</v>
      </c>
      <c r="FI213" s="106">
        <f>+PMGR!FI213+BP!FI213</f>
        <v>0</v>
      </c>
      <c r="FJ213" s="106">
        <f>+PMGR!FJ213+BP!FJ213</f>
        <v>0</v>
      </c>
      <c r="FK213" s="106">
        <f t="shared" si="1017"/>
        <v>0</v>
      </c>
    </row>
    <row r="214" spans="1:169" ht="14.45" customHeight="1" outlineLevel="1">
      <c r="A214" s="58">
        <f t="shared" ref="A214:L214" si="1018">+A215+A216</f>
        <v>3700</v>
      </c>
      <c r="B214" s="58">
        <f t="shared" si="1018"/>
        <v>1900</v>
      </c>
      <c r="C214" s="58">
        <f t="shared" si="1018"/>
        <v>3050</v>
      </c>
      <c r="D214" s="58">
        <f t="shared" si="1018"/>
        <v>1900</v>
      </c>
      <c r="E214" s="58">
        <f t="shared" si="1018"/>
        <v>1200</v>
      </c>
      <c r="F214" s="58">
        <f t="shared" si="1018"/>
        <v>1950</v>
      </c>
      <c r="G214" s="58">
        <f t="shared" si="1018"/>
        <v>1300</v>
      </c>
      <c r="H214" s="58">
        <f t="shared" si="1018"/>
        <v>2700</v>
      </c>
      <c r="I214" s="58">
        <f t="shared" si="1018"/>
        <v>2100</v>
      </c>
      <c r="J214" s="58">
        <f t="shared" si="1018"/>
        <v>2200</v>
      </c>
      <c r="K214" s="58">
        <f t="shared" si="1018"/>
        <v>3650</v>
      </c>
      <c r="L214" s="58">
        <f t="shared" si="1018"/>
        <v>1650</v>
      </c>
      <c r="M214" s="58"/>
      <c r="N214" s="20" t="s">
        <v>180</v>
      </c>
      <c r="O214" s="58">
        <f t="shared" ref="O214:AA214" si="1019">+O215+O216</f>
        <v>2450</v>
      </c>
      <c r="P214" s="58">
        <f t="shared" si="1019"/>
        <v>11450</v>
      </c>
      <c r="Q214" s="58">
        <f t="shared" si="1019"/>
        <v>2575</v>
      </c>
      <c r="R214" s="58">
        <f t="shared" si="1019"/>
        <v>1550</v>
      </c>
      <c r="S214" s="58">
        <f t="shared" si="1019"/>
        <v>900</v>
      </c>
      <c r="T214" s="58">
        <f t="shared" si="1019"/>
        <v>2000</v>
      </c>
      <c r="U214" s="58">
        <f t="shared" si="1019"/>
        <v>3650</v>
      </c>
      <c r="V214" s="58">
        <f t="shared" si="1019"/>
        <v>2870</v>
      </c>
      <c r="W214" s="58">
        <f t="shared" si="1019"/>
        <v>2925</v>
      </c>
      <c r="X214" s="58">
        <f t="shared" si="1019"/>
        <v>2350</v>
      </c>
      <c r="Y214" s="58">
        <f t="shared" si="1019"/>
        <v>0</v>
      </c>
      <c r="Z214" s="58">
        <f t="shared" si="1019"/>
        <v>0</v>
      </c>
      <c r="AA214" s="58">
        <f t="shared" si="1019"/>
        <v>32720</v>
      </c>
      <c r="AB214" s="118"/>
      <c r="AC214" s="58">
        <f t="shared" ref="AC214:AN214" si="1020">+AC215+AC216</f>
        <v>2700</v>
      </c>
      <c r="AD214" s="58">
        <f t="shared" si="1020"/>
        <v>2700</v>
      </c>
      <c r="AE214" s="58">
        <f t="shared" si="1020"/>
        <v>2700</v>
      </c>
      <c r="AF214" s="58">
        <f t="shared" si="1020"/>
        <v>2700</v>
      </c>
      <c r="AG214" s="58">
        <f t="shared" si="1020"/>
        <v>2700</v>
      </c>
      <c r="AH214" s="58">
        <f t="shared" si="1020"/>
        <v>2700</v>
      </c>
      <c r="AI214" s="58">
        <f t="shared" si="1020"/>
        <v>2700</v>
      </c>
      <c r="AJ214" s="58">
        <f t="shared" si="1020"/>
        <v>2700</v>
      </c>
      <c r="AK214" s="58">
        <f t="shared" si="1020"/>
        <v>2700</v>
      </c>
      <c r="AL214" s="58">
        <f t="shared" si="1020"/>
        <v>2700</v>
      </c>
      <c r="AM214" s="58">
        <f t="shared" si="1020"/>
        <v>2700</v>
      </c>
      <c r="AN214" s="58">
        <f t="shared" si="1020"/>
        <v>2700</v>
      </c>
      <c r="AO214" s="58"/>
      <c r="AP214" s="106"/>
      <c r="AQ214" s="58">
        <f t="shared" ref="AQ214:BC214" si="1021">+AQ215+AQ216</f>
        <v>850</v>
      </c>
      <c r="AR214" s="58">
        <f t="shared" si="1021"/>
        <v>400</v>
      </c>
      <c r="AS214" s="58">
        <f t="shared" si="1021"/>
        <v>1000</v>
      </c>
      <c r="AT214" s="58">
        <f t="shared" si="1021"/>
        <v>900</v>
      </c>
      <c r="AU214" s="58">
        <f t="shared" si="1021"/>
        <v>500</v>
      </c>
      <c r="AV214" s="58">
        <f t="shared" si="1021"/>
        <v>750</v>
      </c>
      <c r="AW214" s="58">
        <f t="shared" si="1021"/>
        <v>850</v>
      </c>
      <c r="AX214" s="58">
        <f t="shared" si="1021"/>
        <v>900</v>
      </c>
      <c r="AY214" s="58">
        <f t="shared" si="1021"/>
        <v>400</v>
      </c>
      <c r="AZ214" s="58">
        <f t="shared" si="1021"/>
        <v>1800</v>
      </c>
      <c r="BA214" s="58">
        <f t="shared" si="1021"/>
        <v>2100</v>
      </c>
      <c r="BB214" s="58">
        <f t="shared" si="1021"/>
        <v>1000</v>
      </c>
      <c r="BC214" s="58">
        <f t="shared" si="1021"/>
        <v>11450</v>
      </c>
      <c r="BD214" s="20" t="str">
        <f t="shared" si="961"/>
        <v>Donation</v>
      </c>
      <c r="BE214" s="58">
        <f t="shared" ref="BE214:BQ214" si="1022">+BE215+BE216</f>
        <v>400</v>
      </c>
      <c r="BF214" s="58">
        <f t="shared" si="1022"/>
        <v>7700</v>
      </c>
      <c r="BG214" s="58">
        <f t="shared" si="1022"/>
        <v>1400</v>
      </c>
      <c r="BH214" s="58">
        <f t="shared" si="1022"/>
        <v>400</v>
      </c>
      <c r="BI214" s="58">
        <f t="shared" si="1022"/>
        <v>600</v>
      </c>
      <c r="BJ214" s="58">
        <f t="shared" si="1022"/>
        <v>1050</v>
      </c>
      <c r="BK214" s="58">
        <f t="shared" si="1022"/>
        <v>2300</v>
      </c>
      <c r="BL214" s="58">
        <f t="shared" si="1022"/>
        <v>1700</v>
      </c>
      <c r="BM214" s="58">
        <f t="shared" si="1022"/>
        <v>1500</v>
      </c>
      <c r="BN214" s="58">
        <f t="shared" si="1022"/>
        <v>2150</v>
      </c>
      <c r="BO214" s="58">
        <f t="shared" si="1022"/>
        <v>0</v>
      </c>
      <c r="BP214" s="58">
        <f t="shared" si="1022"/>
        <v>0</v>
      </c>
      <c r="BQ214" s="58">
        <f t="shared" si="1022"/>
        <v>19200</v>
      </c>
      <c r="BR214" s="118"/>
      <c r="BS214" s="58">
        <f t="shared" ref="BS214:CE214" si="1023">+BS215+BS216</f>
        <v>1800</v>
      </c>
      <c r="BT214" s="58">
        <f t="shared" si="1023"/>
        <v>1800</v>
      </c>
      <c r="BU214" s="58">
        <f t="shared" si="1023"/>
        <v>1800</v>
      </c>
      <c r="BV214" s="58">
        <f t="shared" si="1023"/>
        <v>1800</v>
      </c>
      <c r="BW214" s="58">
        <f t="shared" si="1023"/>
        <v>1800</v>
      </c>
      <c r="BX214" s="58">
        <f t="shared" si="1023"/>
        <v>1800</v>
      </c>
      <c r="BY214" s="58">
        <f t="shared" si="1023"/>
        <v>1800</v>
      </c>
      <c r="BZ214" s="58">
        <f t="shared" si="1023"/>
        <v>1800</v>
      </c>
      <c r="CA214" s="58">
        <f t="shared" si="1023"/>
        <v>1800</v>
      </c>
      <c r="CB214" s="58">
        <f t="shared" si="1023"/>
        <v>1800</v>
      </c>
      <c r="CC214" s="58">
        <f t="shared" si="1023"/>
        <v>1800</v>
      </c>
      <c r="CD214" s="58">
        <f t="shared" si="1023"/>
        <v>1800</v>
      </c>
      <c r="CE214" s="58">
        <f t="shared" si="1023"/>
        <v>21600</v>
      </c>
      <c r="CF214" s="106"/>
      <c r="CG214" s="58">
        <f t="shared" ref="CG214:CS214" si="1024">+CG215+CG216</f>
        <v>2850</v>
      </c>
      <c r="CH214" s="58">
        <f t="shared" si="1024"/>
        <v>1500</v>
      </c>
      <c r="CI214" s="58">
        <f t="shared" si="1024"/>
        <v>2050</v>
      </c>
      <c r="CJ214" s="58">
        <f t="shared" si="1024"/>
        <v>1000</v>
      </c>
      <c r="CK214" s="58">
        <f t="shared" si="1024"/>
        <v>700</v>
      </c>
      <c r="CL214" s="58">
        <f t="shared" si="1024"/>
        <v>1200</v>
      </c>
      <c r="CM214" s="58">
        <f t="shared" si="1024"/>
        <v>450</v>
      </c>
      <c r="CN214" s="58">
        <f t="shared" si="1024"/>
        <v>1800</v>
      </c>
      <c r="CO214" s="58">
        <f t="shared" si="1024"/>
        <v>1700</v>
      </c>
      <c r="CP214" s="58">
        <f t="shared" si="1024"/>
        <v>400</v>
      </c>
      <c r="CQ214" s="58">
        <f t="shared" si="1024"/>
        <v>1550</v>
      </c>
      <c r="CR214" s="58">
        <f t="shared" si="1024"/>
        <v>650</v>
      </c>
      <c r="CS214" s="58">
        <f t="shared" si="1024"/>
        <v>15850</v>
      </c>
      <c r="CT214" s="20" t="str">
        <f t="shared" si="962"/>
        <v>Donation</v>
      </c>
      <c r="CU214" s="58">
        <f t="shared" ref="CU214:DG214" si="1025">+CU215+CU216</f>
        <v>1150</v>
      </c>
      <c r="CV214" s="58">
        <f t="shared" si="1025"/>
        <v>3750</v>
      </c>
      <c r="CW214" s="58">
        <f t="shared" si="1025"/>
        <v>1175</v>
      </c>
      <c r="CX214" s="58">
        <f t="shared" si="1025"/>
        <v>950</v>
      </c>
      <c r="CY214" s="58">
        <f t="shared" si="1025"/>
        <v>300</v>
      </c>
      <c r="CZ214" s="58">
        <f t="shared" si="1025"/>
        <v>950</v>
      </c>
      <c r="DA214" s="58">
        <f t="shared" si="1025"/>
        <v>1350</v>
      </c>
      <c r="DB214" s="58">
        <f t="shared" si="1025"/>
        <v>1070</v>
      </c>
      <c r="DC214" s="58">
        <f t="shared" si="1025"/>
        <v>925</v>
      </c>
      <c r="DD214" s="58">
        <f t="shared" si="1025"/>
        <v>100</v>
      </c>
      <c r="DE214" s="58">
        <f t="shared" si="1025"/>
        <v>0</v>
      </c>
      <c r="DF214" s="58">
        <f t="shared" si="1025"/>
        <v>0</v>
      </c>
      <c r="DG214" s="58">
        <f t="shared" si="1025"/>
        <v>11720</v>
      </c>
      <c r="DH214" s="118"/>
      <c r="DI214" s="58">
        <f t="shared" ref="DI214:DU214" si="1026">+DI215+DI216</f>
        <v>900</v>
      </c>
      <c r="DJ214" s="58">
        <f t="shared" si="1026"/>
        <v>900</v>
      </c>
      <c r="DK214" s="58">
        <f t="shared" si="1026"/>
        <v>900</v>
      </c>
      <c r="DL214" s="58">
        <f t="shared" si="1026"/>
        <v>900</v>
      </c>
      <c r="DM214" s="58">
        <f t="shared" si="1026"/>
        <v>900</v>
      </c>
      <c r="DN214" s="58">
        <f t="shared" si="1026"/>
        <v>900</v>
      </c>
      <c r="DO214" s="58">
        <f t="shared" si="1026"/>
        <v>900</v>
      </c>
      <c r="DP214" s="58">
        <f t="shared" si="1026"/>
        <v>900</v>
      </c>
      <c r="DQ214" s="58">
        <f t="shared" si="1026"/>
        <v>900</v>
      </c>
      <c r="DR214" s="58">
        <f t="shared" si="1026"/>
        <v>900</v>
      </c>
      <c r="DS214" s="58">
        <f t="shared" si="1026"/>
        <v>900</v>
      </c>
      <c r="DT214" s="58">
        <f t="shared" si="1026"/>
        <v>900</v>
      </c>
      <c r="DU214" s="58">
        <f t="shared" si="1026"/>
        <v>10800</v>
      </c>
      <c r="DV214" s="106"/>
      <c r="DW214" s="58">
        <f t="shared" ref="DW214:EI214" si="1027">+DW215+DW216</f>
        <v>0</v>
      </c>
      <c r="DX214" s="58">
        <f t="shared" si="1027"/>
        <v>0</v>
      </c>
      <c r="DY214" s="58">
        <f t="shared" si="1027"/>
        <v>0</v>
      </c>
      <c r="DZ214" s="58">
        <f t="shared" si="1027"/>
        <v>0</v>
      </c>
      <c r="EA214" s="58">
        <f t="shared" si="1027"/>
        <v>0</v>
      </c>
      <c r="EB214" s="58">
        <f t="shared" si="1027"/>
        <v>0</v>
      </c>
      <c r="EC214" s="58">
        <f t="shared" si="1027"/>
        <v>0</v>
      </c>
      <c r="ED214" s="58">
        <f t="shared" si="1027"/>
        <v>0</v>
      </c>
      <c r="EE214" s="58">
        <f t="shared" si="1027"/>
        <v>0</v>
      </c>
      <c r="EF214" s="58">
        <f t="shared" si="1027"/>
        <v>0</v>
      </c>
      <c r="EG214" s="58">
        <f t="shared" si="1027"/>
        <v>0</v>
      </c>
      <c r="EH214" s="58">
        <f t="shared" si="1027"/>
        <v>0</v>
      </c>
      <c r="EI214" s="58">
        <f t="shared" si="1027"/>
        <v>0</v>
      </c>
      <c r="EJ214" s="20" t="str">
        <f t="shared" si="963"/>
        <v>Donation</v>
      </c>
      <c r="EK214" s="58">
        <f t="shared" ref="EK214:EW214" si="1028">+EK215+EK216</f>
        <v>900</v>
      </c>
      <c r="EL214" s="58">
        <f t="shared" si="1028"/>
        <v>0</v>
      </c>
      <c r="EM214" s="58">
        <f t="shared" si="1028"/>
        <v>0</v>
      </c>
      <c r="EN214" s="58">
        <f t="shared" si="1028"/>
        <v>200</v>
      </c>
      <c r="EO214" s="58">
        <f t="shared" si="1028"/>
        <v>0</v>
      </c>
      <c r="EP214" s="58">
        <f t="shared" si="1028"/>
        <v>0</v>
      </c>
      <c r="EQ214" s="58">
        <f t="shared" si="1028"/>
        <v>0</v>
      </c>
      <c r="ER214" s="58">
        <f t="shared" si="1028"/>
        <v>100</v>
      </c>
      <c r="ES214" s="58">
        <f t="shared" si="1028"/>
        <v>500</v>
      </c>
      <c r="ET214" s="58">
        <f t="shared" si="1028"/>
        <v>100</v>
      </c>
      <c r="EU214" s="58">
        <f t="shared" si="1028"/>
        <v>0</v>
      </c>
      <c r="EV214" s="58">
        <f t="shared" si="1028"/>
        <v>0</v>
      </c>
      <c r="EW214" s="58">
        <f t="shared" si="1028"/>
        <v>1800</v>
      </c>
      <c r="EX214" s="118"/>
      <c r="EY214" s="58">
        <f t="shared" ref="EY214:FK214" si="1029">+EY215+EY216</f>
        <v>0</v>
      </c>
      <c r="EZ214" s="58">
        <f t="shared" si="1029"/>
        <v>0</v>
      </c>
      <c r="FA214" s="58">
        <f t="shared" si="1029"/>
        <v>0</v>
      </c>
      <c r="FB214" s="58">
        <f t="shared" si="1029"/>
        <v>0</v>
      </c>
      <c r="FC214" s="58">
        <f t="shared" si="1029"/>
        <v>0</v>
      </c>
      <c r="FD214" s="58">
        <f t="shared" si="1029"/>
        <v>0</v>
      </c>
      <c r="FE214" s="58">
        <f t="shared" si="1029"/>
        <v>0</v>
      </c>
      <c r="FF214" s="58">
        <f t="shared" si="1029"/>
        <v>0</v>
      </c>
      <c r="FG214" s="58">
        <f t="shared" si="1029"/>
        <v>0</v>
      </c>
      <c r="FH214" s="58">
        <f t="shared" si="1029"/>
        <v>0</v>
      </c>
      <c r="FI214" s="58">
        <f t="shared" si="1029"/>
        <v>0</v>
      </c>
      <c r="FJ214" s="58">
        <f t="shared" si="1029"/>
        <v>0</v>
      </c>
      <c r="FK214" s="58">
        <f t="shared" si="1029"/>
        <v>0</v>
      </c>
    </row>
    <row r="215" spans="1:169" ht="14.45" customHeight="1" outlineLevel="2">
      <c r="A215" s="106">
        <f t="shared" ref="A215:L217" si="1030">+AQ215+CG215+DW215</f>
        <v>0</v>
      </c>
      <c r="B215" s="106">
        <f t="shared" si="1030"/>
        <v>0</v>
      </c>
      <c r="C215" s="106">
        <f t="shared" si="1030"/>
        <v>0</v>
      </c>
      <c r="D215" s="106">
        <f t="shared" si="1030"/>
        <v>0</v>
      </c>
      <c r="E215" s="106">
        <f t="shared" si="1030"/>
        <v>0</v>
      </c>
      <c r="F215" s="106">
        <f t="shared" si="1030"/>
        <v>0</v>
      </c>
      <c r="G215" s="106">
        <f t="shared" si="1030"/>
        <v>0</v>
      </c>
      <c r="H215" s="106">
        <f t="shared" si="1030"/>
        <v>0</v>
      </c>
      <c r="I215" s="106">
        <f t="shared" si="1030"/>
        <v>0</v>
      </c>
      <c r="J215" s="106">
        <f t="shared" si="1030"/>
        <v>0</v>
      </c>
      <c r="K215" s="106">
        <f t="shared" si="1030"/>
        <v>0</v>
      </c>
      <c r="L215" s="106">
        <f t="shared" si="1030"/>
        <v>0</v>
      </c>
      <c r="M215" s="106">
        <f t="shared" ref="M215:M217" si="1031">+SUM(A215:L215)</f>
        <v>0</v>
      </c>
      <c r="N215" s="16" t="s">
        <v>181</v>
      </c>
      <c r="O215" s="106">
        <f t="shared" ref="O215:Z217" si="1032">+BE215+CU215+EK215</f>
        <v>0</v>
      </c>
      <c r="P215" s="106">
        <f t="shared" si="1032"/>
        <v>0</v>
      </c>
      <c r="Q215" s="106">
        <f t="shared" si="1032"/>
        <v>0</v>
      </c>
      <c r="R215" s="106">
        <f t="shared" si="1032"/>
        <v>0</v>
      </c>
      <c r="S215" s="106">
        <f t="shared" si="1032"/>
        <v>0</v>
      </c>
      <c r="T215" s="106">
        <f t="shared" si="1032"/>
        <v>0</v>
      </c>
      <c r="U215" s="106">
        <f t="shared" si="1032"/>
        <v>0</v>
      </c>
      <c r="V215" s="106">
        <f t="shared" si="1032"/>
        <v>0</v>
      </c>
      <c r="W215" s="106">
        <f t="shared" si="1032"/>
        <v>0</v>
      </c>
      <c r="X215" s="106">
        <f t="shared" si="1032"/>
        <v>0</v>
      </c>
      <c r="Y215" s="106">
        <f t="shared" si="1032"/>
        <v>0</v>
      </c>
      <c r="Z215" s="106">
        <f t="shared" si="1032"/>
        <v>0</v>
      </c>
      <c r="AA215" s="106">
        <f t="shared" ref="AA215:AA217" si="1033">+SUM(O215:Z215)</f>
        <v>0</v>
      </c>
      <c r="AB215" s="118"/>
      <c r="AC215" s="106">
        <f t="shared" ref="AC215:AN217" si="1034">+BS215+DI215+EY215</f>
        <v>0</v>
      </c>
      <c r="AD215" s="106">
        <f t="shared" si="1034"/>
        <v>0</v>
      </c>
      <c r="AE215" s="106">
        <f t="shared" si="1034"/>
        <v>0</v>
      </c>
      <c r="AF215" s="106">
        <f t="shared" si="1034"/>
        <v>0</v>
      </c>
      <c r="AG215" s="106">
        <f t="shared" si="1034"/>
        <v>0</v>
      </c>
      <c r="AH215" s="106">
        <f t="shared" si="1034"/>
        <v>0</v>
      </c>
      <c r="AI215" s="106">
        <f t="shared" si="1034"/>
        <v>0</v>
      </c>
      <c r="AJ215" s="106">
        <f t="shared" si="1034"/>
        <v>0</v>
      </c>
      <c r="AK215" s="106">
        <f t="shared" si="1034"/>
        <v>0</v>
      </c>
      <c r="AL215" s="106">
        <f t="shared" si="1034"/>
        <v>0</v>
      </c>
      <c r="AM215" s="106">
        <f t="shared" si="1034"/>
        <v>0</v>
      </c>
      <c r="AN215" s="106">
        <f t="shared" si="1034"/>
        <v>0</v>
      </c>
      <c r="AO215" s="106">
        <f t="shared" ref="AO215:AO217" si="1035">+SUM(AC215:AN215)</f>
        <v>0</v>
      </c>
      <c r="AP215" s="106"/>
      <c r="AQ215" s="106">
        <f>+PMGR!AQ215+BP!AQ215</f>
        <v>0</v>
      </c>
      <c r="AR215" s="106">
        <f>+PMGR!AR215+BP!AR215</f>
        <v>0</v>
      </c>
      <c r="AS215" s="106">
        <f>+PMGR!AS215+BP!AS215</f>
        <v>0</v>
      </c>
      <c r="AT215" s="106">
        <f>+PMGR!AT215+BP!AT215</f>
        <v>0</v>
      </c>
      <c r="AU215" s="106">
        <f>+PMGR!AU215+BP!AU215</f>
        <v>0</v>
      </c>
      <c r="AV215" s="106">
        <f>+PMGR!AV215+BP!AV215</f>
        <v>0</v>
      </c>
      <c r="AW215" s="106">
        <f>+PMGR!AW215+BP!AW215</f>
        <v>0</v>
      </c>
      <c r="AX215" s="106">
        <f>+PMGR!AX215+BP!AX215</f>
        <v>0</v>
      </c>
      <c r="AY215" s="106">
        <f>+PMGR!AY215+BP!AY215</f>
        <v>0</v>
      </c>
      <c r="AZ215" s="106">
        <f>+PMGR!AZ215+BP!AZ215</f>
        <v>0</v>
      </c>
      <c r="BA215" s="106">
        <f>+PMGR!BA215+BP!BA215</f>
        <v>0</v>
      </c>
      <c r="BB215" s="106">
        <f>+PMGR!BB215+BP!BB215</f>
        <v>0</v>
      </c>
      <c r="BC215" s="106">
        <f t="shared" ref="BC215:BC216" si="1036">+SUM(AQ215:BB215)</f>
        <v>0</v>
      </c>
      <c r="BD215" s="16" t="str">
        <f t="shared" si="961"/>
        <v>CSR Expenses</v>
      </c>
      <c r="BE215" s="106">
        <f>+PMGR!BE215+BP!BE215</f>
        <v>0</v>
      </c>
      <c r="BF215" s="106">
        <f>+PMGR!BF215+BP!BF215</f>
        <v>0</v>
      </c>
      <c r="BG215" s="106">
        <f>+PMGR!BG215+BP!BG215</f>
        <v>0</v>
      </c>
      <c r="BH215" s="106">
        <f>+PMGR!BH215+BP!BH215</f>
        <v>0</v>
      </c>
      <c r="BI215" s="106">
        <f>+PMGR!BI215+BP!BI215</f>
        <v>0</v>
      </c>
      <c r="BJ215" s="106">
        <f>+PMGR!BJ215+BP!BJ215</f>
        <v>0</v>
      </c>
      <c r="BK215" s="106">
        <f>+PMGR!BK215+BP!BK215</f>
        <v>0</v>
      </c>
      <c r="BL215" s="106">
        <f>+PMGR!BL215+BP!BL215</f>
        <v>0</v>
      </c>
      <c r="BM215" s="106">
        <f>+PMGR!BM215+BP!BM215</f>
        <v>0</v>
      </c>
      <c r="BN215" s="106">
        <f>+PMGR!BN215+BP!BN215</f>
        <v>0</v>
      </c>
      <c r="BO215" s="106">
        <f>+PMGR!BO215+BP!BO215</f>
        <v>0</v>
      </c>
      <c r="BP215" s="106">
        <f>+PMGR!BP215+BP!BP215</f>
        <v>0</v>
      </c>
      <c r="BQ215" s="106">
        <f t="shared" ref="BQ215:BQ216" si="1037">+SUM(BE215:BP215)</f>
        <v>0</v>
      </c>
      <c r="BR215" s="118"/>
      <c r="BS215" s="106">
        <f>+PMGR!BS215+BP!BS215</f>
        <v>0</v>
      </c>
      <c r="BT215" s="106">
        <f>+PMGR!BT215+BP!BT215</f>
        <v>0</v>
      </c>
      <c r="BU215" s="106">
        <f>+PMGR!BU215+BP!BU215</f>
        <v>0</v>
      </c>
      <c r="BV215" s="106">
        <f>+PMGR!BV215+BP!BV215</f>
        <v>0</v>
      </c>
      <c r="BW215" s="106">
        <f>+PMGR!BW215+BP!BW215</f>
        <v>0</v>
      </c>
      <c r="BX215" s="106">
        <f>+PMGR!BX215+BP!BX215</f>
        <v>0</v>
      </c>
      <c r="BY215" s="106">
        <f>+PMGR!BY215+BP!BY215</f>
        <v>0</v>
      </c>
      <c r="BZ215" s="106">
        <f>+PMGR!BZ215+BP!BZ215</f>
        <v>0</v>
      </c>
      <c r="CA215" s="106">
        <f>+PMGR!CA215+BP!CA215</f>
        <v>0</v>
      </c>
      <c r="CB215" s="106">
        <f>+PMGR!CB215+BP!CB215</f>
        <v>0</v>
      </c>
      <c r="CC215" s="106">
        <f>+PMGR!CC215+BP!CC215</f>
        <v>0</v>
      </c>
      <c r="CD215" s="106">
        <f>+PMGR!CD215+BP!CD215</f>
        <v>0</v>
      </c>
      <c r="CE215" s="106">
        <f t="shared" ref="CE215:CE216" si="1038">+SUM(BS215:CD215)</f>
        <v>0</v>
      </c>
      <c r="CF215" s="106"/>
      <c r="CG215" s="106">
        <f>+PMGR!CG215+BP!CG215</f>
        <v>0</v>
      </c>
      <c r="CH215" s="106">
        <f>+PMGR!CH215+BP!CH215</f>
        <v>0</v>
      </c>
      <c r="CI215" s="106">
        <f>+PMGR!CI215+BP!CI215</f>
        <v>0</v>
      </c>
      <c r="CJ215" s="106">
        <f>+PMGR!CJ215+BP!CJ215</f>
        <v>0</v>
      </c>
      <c r="CK215" s="106">
        <f>+PMGR!CK215+BP!CK215</f>
        <v>0</v>
      </c>
      <c r="CL215" s="106">
        <f>+PMGR!CL215+BP!CL215</f>
        <v>0</v>
      </c>
      <c r="CM215" s="106">
        <f>+PMGR!CM215+BP!CM215</f>
        <v>0</v>
      </c>
      <c r="CN215" s="106">
        <f>+PMGR!CN215+BP!CN215</f>
        <v>0</v>
      </c>
      <c r="CO215" s="106">
        <f>+PMGR!CO215+BP!CO215</f>
        <v>0</v>
      </c>
      <c r="CP215" s="106">
        <f>+PMGR!CP215+BP!CP215</f>
        <v>0</v>
      </c>
      <c r="CQ215" s="106">
        <f>+PMGR!CQ215+BP!CQ215</f>
        <v>0</v>
      </c>
      <c r="CR215" s="106">
        <f>+PMGR!CR215+BP!CR215</f>
        <v>0</v>
      </c>
      <c r="CS215" s="106">
        <f t="shared" ref="CS215:CS216" si="1039">+SUM(CG215:CR215)</f>
        <v>0</v>
      </c>
      <c r="CT215" s="16" t="str">
        <f t="shared" si="962"/>
        <v>CSR Expenses</v>
      </c>
      <c r="CU215" s="106">
        <f>+PMGR!CU215+BP!CU215</f>
        <v>0</v>
      </c>
      <c r="CV215" s="106">
        <f>+PMGR!CV215+BP!CV215</f>
        <v>0</v>
      </c>
      <c r="CW215" s="106">
        <f>+PMGR!CW215+BP!CW215</f>
        <v>0</v>
      </c>
      <c r="CX215" s="106">
        <f>+PMGR!CX215+BP!CX215</f>
        <v>0</v>
      </c>
      <c r="CY215" s="106">
        <f>+PMGR!CY215+BP!CY215</f>
        <v>0</v>
      </c>
      <c r="CZ215" s="106">
        <f>+PMGR!CZ215+BP!CZ215</f>
        <v>0</v>
      </c>
      <c r="DA215" s="106">
        <f>+PMGR!DA215+BP!DA215</f>
        <v>0</v>
      </c>
      <c r="DB215" s="106">
        <f>+PMGR!DB215+BP!DB215</f>
        <v>0</v>
      </c>
      <c r="DC215" s="106">
        <f>+PMGR!DC215+BP!DC215</f>
        <v>0</v>
      </c>
      <c r="DD215" s="106">
        <f>+PMGR!DD215+BP!DD215</f>
        <v>0</v>
      </c>
      <c r="DE215" s="106">
        <f>+PMGR!DE215+BP!DE215</f>
        <v>0</v>
      </c>
      <c r="DF215" s="106">
        <f>+PMGR!DF215+BP!DF215</f>
        <v>0</v>
      </c>
      <c r="DG215" s="106">
        <f t="shared" ref="DG215:DG216" si="1040">+SUM(CU215:DF215)</f>
        <v>0</v>
      </c>
      <c r="DH215" s="118"/>
      <c r="DI215" s="106">
        <f>+PMGR!DI215+BP!DI215</f>
        <v>0</v>
      </c>
      <c r="DJ215" s="106">
        <f>+PMGR!DJ215+BP!DJ215</f>
        <v>0</v>
      </c>
      <c r="DK215" s="106">
        <f>+PMGR!DK215+BP!DK215</f>
        <v>0</v>
      </c>
      <c r="DL215" s="106">
        <f>+PMGR!DL215+BP!DL215</f>
        <v>0</v>
      </c>
      <c r="DM215" s="106">
        <f>+PMGR!DM215+BP!DM215</f>
        <v>0</v>
      </c>
      <c r="DN215" s="106">
        <f>+PMGR!DN215+BP!DN215</f>
        <v>0</v>
      </c>
      <c r="DO215" s="106">
        <f>+PMGR!DO215+BP!DO215</f>
        <v>0</v>
      </c>
      <c r="DP215" s="106">
        <f>+PMGR!DP215+BP!DP215</f>
        <v>0</v>
      </c>
      <c r="DQ215" s="106">
        <f>+PMGR!DQ215+BP!DQ215</f>
        <v>0</v>
      </c>
      <c r="DR215" s="106">
        <f>+PMGR!DR215+BP!DR215</f>
        <v>0</v>
      </c>
      <c r="DS215" s="106">
        <f>+PMGR!DS215+BP!DS215</f>
        <v>0</v>
      </c>
      <c r="DT215" s="106">
        <f>+PMGR!DT215+BP!DT215</f>
        <v>0</v>
      </c>
      <c r="DU215" s="106">
        <f t="shared" ref="DU215:DU216" si="1041">+SUM(DI215:DT215)</f>
        <v>0</v>
      </c>
      <c r="DV215" s="106"/>
      <c r="DW215" s="106">
        <f>+PMGR!DW215+BP!DW215</f>
        <v>0</v>
      </c>
      <c r="DX215" s="106">
        <f>+PMGR!DX215+BP!DX215</f>
        <v>0</v>
      </c>
      <c r="DY215" s="106">
        <f>+PMGR!DY215+BP!DY215</f>
        <v>0</v>
      </c>
      <c r="DZ215" s="106">
        <f>+PMGR!DZ215+BP!DZ215</f>
        <v>0</v>
      </c>
      <c r="EA215" s="106">
        <f>+PMGR!EA215+BP!EA215</f>
        <v>0</v>
      </c>
      <c r="EB215" s="106">
        <f>+PMGR!EB215+BP!EB215</f>
        <v>0</v>
      </c>
      <c r="EC215" s="106">
        <f>+PMGR!EC215+BP!EC215</f>
        <v>0</v>
      </c>
      <c r="ED215" s="106">
        <f>+PMGR!ED215+BP!ED215</f>
        <v>0</v>
      </c>
      <c r="EE215" s="106">
        <f>+PMGR!EE215+BP!EE215</f>
        <v>0</v>
      </c>
      <c r="EF215" s="106">
        <f>+PMGR!EF215+BP!EF215</f>
        <v>0</v>
      </c>
      <c r="EG215" s="106">
        <f>+PMGR!EG215+BP!EG215</f>
        <v>0</v>
      </c>
      <c r="EH215" s="106">
        <f>+PMGR!EH215+BP!EH215</f>
        <v>0</v>
      </c>
      <c r="EI215" s="106">
        <f t="shared" ref="EI215:EI216" si="1042">+SUM(DW215:EH215)</f>
        <v>0</v>
      </c>
      <c r="EJ215" s="16" t="str">
        <f t="shared" si="963"/>
        <v>CSR Expenses</v>
      </c>
      <c r="EK215" s="106">
        <f>+PMGR!EK215+BP!EK215</f>
        <v>0</v>
      </c>
      <c r="EL215" s="106">
        <f>+PMGR!EL215+BP!EL215</f>
        <v>0</v>
      </c>
      <c r="EM215" s="106">
        <f>+PMGR!EM215+BP!EM215</f>
        <v>0</v>
      </c>
      <c r="EN215" s="106">
        <f>+PMGR!EN215+BP!EN215</f>
        <v>0</v>
      </c>
      <c r="EO215" s="106">
        <f>+PMGR!EO215+BP!EO215</f>
        <v>0</v>
      </c>
      <c r="EP215" s="106">
        <f>+PMGR!EP215+BP!EP215</f>
        <v>0</v>
      </c>
      <c r="EQ215" s="106">
        <f>+PMGR!EQ215+BP!EQ215</f>
        <v>0</v>
      </c>
      <c r="ER215" s="106">
        <f>+PMGR!ER215+BP!ER215</f>
        <v>0</v>
      </c>
      <c r="ES215" s="106">
        <f>+PMGR!ES215+BP!ES215</f>
        <v>0</v>
      </c>
      <c r="ET215" s="106">
        <f>+PMGR!ET215+BP!ET215</f>
        <v>0</v>
      </c>
      <c r="EU215" s="106">
        <f>+PMGR!EU215+BP!EU215</f>
        <v>0</v>
      </c>
      <c r="EV215" s="106">
        <f>+PMGR!EV215+BP!EV215</f>
        <v>0</v>
      </c>
      <c r="EW215" s="106">
        <f t="shared" ref="EW215:EW216" si="1043">+SUM(EK215:EV215)</f>
        <v>0</v>
      </c>
      <c r="EX215" s="118"/>
      <c r="EY215" s="106">
        <f>+PMGR!EY215+BP!EY215</f>
        <v>0</v>
      </c>
      <c r="EZ215" s="106">
        <f>+PMGR!EZ215+BP!EZ215</f>
        <v>0</v>
      </c>
      <c r="FA215" s="106">
        <f>+PMGR!FA215+BP!FA215</f>
        <v>0</v>
      </c>
      <c r="FB215" s="106">
        <f>+PMGR!FB215+BP!FB215</f>
        <v>0</v>
      </c>
      <c r="FC215" s="106">
        <f>+PMGR!FC215+BP!FC215</f>
        <v>0</v>
      </c>
      <c r="FD215" s="106">
        <f>+PMGR!FD215+BP!FD215</f>
        <v>0</v>
      </c>
      <c r="FE215" s="106">
        <f>+PMGR!FE215+BP!FE215</f>
        <v>0</v>
      </c>
      <c r="FF215" s="106">
        <f>+PMGR!FF215+BP!FF215</f>
        <v>0</v>
      </c>
      <c r="FG215" s="106">
        <f>+PMGR!FG215+BP!FG215</f>
        <v>0</v>
      </c>
      <c r="FH215" s="106">
        <f>+PMGR!FH215+BP!FH215</f>
        <v>0</v>
      </c>
      <c r="FI215" s="106">
        <f>+PMGR!FI215+BP!FI215</f>
        <v>0</v>
      </c>
      <c r="FJ215" s="106">
        <f>+PMGR!FJ215+BP!FJ215</f>
        <v>0</v>
      </c>
      <c r="FK215" s="106">
        <f t="shared" ref="FK215:FK216" si="1044">+SUM(EY215:FJ215)</f>
        <v>0</v>
      </c>
    </row>
    <row r="216" spans="1:169" ht="14.45" customHeight="1" outlineLevel="2">
      <c r="A216" s="106">
        <f t="shared" si="1030"/>
        <v>3700</v>
      </c>
      <c r="B216" s="106">
        <f t="shared" si="1030"/>
        <v>1900</v>
      </c>
      <c r="C216" s="106">
        <f t="shared" si="1030"/>
        <v>3050</v>
      </c>
      <c r="D216" s="106">
        <f t="shared" si="1030"/>
        <v>1900</v>
      </c>
      <c r="E216" s="106">
        <f t="shared" si="1030"/>
        <v>1200</v>
      </c>
      <c r="F216" s="106">
        <f t="shared" si="1030"/>
        <v>1950</v>
      </c>
      <c r="G216" s="106">
        <f t="shared" si="1030"/>
        <v>1300</v>
      </c>
      <c r="H216" s="106">
        <f t="shared" si="1030"/>
        <v>2700</v>
      </c>
      <c r="I216" s="106">
        <f t="shared" si="1030"/>
        <v>2100</v>
      </c>
      <c r="J216" s="106">
        <f t="shared" si="1030"/>
        <v>2200</v>
      </c>
      <c r="K216" s="106">
        <f t="shared" si="1030"/>
        <v>3650</v>
      </c>
      <c r="L216" s="106">
        <f t="shared" si="1030"/>
        <v>1650</v>
      </c>
      <c r="M216" s="106">
        <f t="shared" si="1031"/>
        <v>27300</v>
      </c>
      <c r="N216" s="16" t="s">
        <v>182</v>
      </c>
      <c r="O216" s="106">
        <f t="shared" si="1032"/>
        <v>2450</v>
      </c>
      <c r="P216" s="106">
        <f t="shared" si="1032"/>
        <v>11450</v>
      </c>
      <c r="Q216" s="106">
        <f t="shared" si="1032"/>
        <v>2575</v>
      </c>
      <c r="R216" s="106">
        <f t="shared" si="1032"/>
        <v>1550</v>
      </c>
      <c r="S216" s="106">
        <f t="shared" si="1032"/>
        <v>900</v>
      </c>
      <c r="T216" s="106">
        <f t="shared" si="1032"/>
        <v>2000</v>
      </c>
      <c r="U216" s="106">
        <f t="shared" si="1032"/>
        <v>3650</v>
      </c>
      <c r="V216" s="106">
        <f t="shared" si="1032"/>
        <v>2870</v>
      </c>
      <c r="W216" s="106">
        <f t="shared" si="1032"/>
        <v>2925</v>
      </c>
      <c r="X216" s="106">
        <f t="shared" si="1032"/>
        <v>2350</v>
      </c>
      <c r="Y216" s="106">
        <f t="shared" si="1032"/>
        <v>0</v>
      </c>
      <c r="Z216" s="106">
        <f t="shared" si="1032"/>
        <v>0</v>
      </c>
      <c r="AA216" s="106">
        <f t="shared" si="1033"/>
        <v>32720</v>
      </c>
      <c r="AB216" s="118"/>
      <c r="AC216" s="106">
        <f t="shared" si="1034"/>
        <v>2700</v>
      </c>
      <c r="AD216" s="106">
        <f t="shared" si="1034"/>
        <v>2700</v>
      </c>
      <c r="AE216" s="106">
        <f t="shared" si="1034"/>
        <v>2700</v>
      </c>
      <c r="AF216" s="106">
        <f t="shared" si="1034"/>
        <v>2700</v>
      </c>
      <c r="AG216" s="106">
        <f t="shared" si="1034"/>
        <v>2700</v>
      </c>
      <c r="AH216" s="106">
        <f t="shared" si="1034"/>
        <v>2700</v>
      </c>
      <c r="AI216" s="106">
        <f t="shared" si="1034"/>
        <v>2700</v>
      </c>
      <c r="AJ216" s="106">
        <f t="shared" si="1034"/>
        <v>2700</v>
      </c>
      <c r="AK216" s="106">
        <f t="shared" si="1034"/>
        <v>2700</v>
      </c>
      <c r="AL216" s="106">
        <f t="shared" si="1034"/>
        <v>2700</v>
      </c>
      <c r="AM216" s="106">
        <f t="shared" si="1034"/>
        <v>2700</v>
      </c>
      <c r="AN216" s="106">
        <f t="shared" si="1034"/>
        <v>2700</v>
      </c>
      <c r="AO216" s="106">
        <f t="shared" si="1035"/>
        <v>32400</v>
      </c>
      <c r="AP216" s="106"/>
      <c r="AQ216" s="106">
        <f>+PMGR!AQ216+BP!AQ216</f>
        <v>850</v>
      </c>
      <c r="AR216" s="106">
        <f>+PMGR!AR216+BP!AR216</f>
        <v>400</v>
      </c>
      <c r="AS216" s="106">
        <f>+PMGR!AS216+BP!AS216</f>
        <v>1000</v>
      </c>
      <c r="AT216" s="106">
        <f>+PMGR!AT216+BP!AT216</f>
        <v>900</v>
      </c>
      <c r="AU216" s="106">
        <f>+PMGR!AU216+BP!AU216</f>
        <v>500</v>
      </c>
      <c r="AV216" s="106">
        <f>+PMGR!AV216+BP!AV216</f>
        <v>750</v>
      </c>
      <c r="AW216" s="106">
        <f>+PMGR!AW216+BP!AW216</f>
        <v>850</v>
      </c>
      <c r="AX216" s="106">
        <f>+PMGR!AX216+BP!AX216</f>
        <v>900</v>
      </c>
      <c r="AY216" s="106">
        <f>+PMGR!AY216+BP!AY216</f>
        <v>400</v>
      </c>
      <c r="AZ216" s="106">
        <f>+PMGR!AZ216+BP!AZ216</f>
        <v>1800</v>
      </c>
      <c r="BA216" s="106">
        <f>+PMGR!BA216+BP!BA216</f>
        <v>2100</v>
      </c>
      <c r="BB216" s="106">
        <f>+PMGR!BB216+BP!BB216</f>
        <v>1000</v>
      </c>
      <c r="BC216" s="106">
        <f t="shared" si="1036"/>
        <v>11450</v>
      </c>
      <c r="BD216" s="16" t="str">
        <f t="shared" si="961"/>
        <v>Other Donation</v>
      </c>
      <c r="BE216" s="106">
        <f>+PMGR!BE216+BP!BE216</f>
        <v>400</v>
      </c>
      <c r="BF216" s="106">
        <f>+PMGR!BF216+BP!BF216</f>
        <v>7700</v>
      </c>
      <c r="BG216" s="106">
        <f>+PMGR!BG216+BP!BG216</f>
        <v>1400</v>
      </c>
      <c r="BH216" s="106">
        <f>+PMGR!BH216+BP!BH216</f>
        <v>400</v>
      </c>
      <c r="BI216" s="106">
        <f>+PMGR!BI216+BP!BI216</f>
        <v>600</v>
      </c>
      <c r="BJ216" s="106">
        <f>+PMGR!BJ216+BP!BJ216</f>
        <v>1050</v>
      </c>
      <c r="BK216" s="106">
        <f>+PMGR!BK216+BP!BK216</f>
        <v>2300</v>
      </c>
      <c r="BL216" s="106">
        <f>+PMGR!BL216+BP!BL216</f>
        <v>1700</v>
      </c>
      <c r="BM216" s="106">
        <f>+PMGR!BM216+BP!BM216</f>
        <v>1500</v>
      </c>
      <c r="BN216" s="106">
        <f>+PMGR!BN216+BP!BN216</f>
        <v>2150</v>
      </c>
      <c r="BO216" s="106">
        <f>+PMGR!BO216+BP!BO216</f>
        <v>0</v>
      </c>
      <c r="BP216" s="106">
        <f>+PMGR!BP216+BP!BP216</f>
        <v>0</v>
      </c>
      <c r="BQ216" s="106">
        <f t="shared" si="1037"/>
        <v>19200</v>
      </c>
      <c r="BR216" s="118"/>
      <c r="BS216" s="106">
        <f>+PMGR!BS216+BP!BS216</f>
        <v>1800</v>
      </c>
      <c r="BT216" s="106">
        <f>+PMGR!BT216+BP!BT216</f>
        <v>1800</v>
      </c>
      <c r="BU216" s="106">
        <f>+PMGR!BU216+BP!BU216</f>
        <v>1800</v>
      </c>
      <c r="BV216" s="106">
        <f>+PMGR!BV216+BP!BV216</f>
        <v>1800</v>
      </c>
      <c r="BW216" s="106">
        <f>+PMGR!BW216+BP!BW216</f>
        <v>1800</v>
      </c>
      <c r="BX216" s="106">
        <f>+PMGR!BX216+BP!BX216</f>
        <v>1800</v>
      </c>
      <c r="BY216" s="106">
        <f>+PMGR!BY216+BP!BY216</f>
        <v>1800</v>
      </c>
      <c r="BZ216" s="106">
        <f>+PMGR!BZ216+BP!BZ216</f>
        <v>1800</v>
      </c>
      <c r="CA216" s="106">
        <f>+PMGR!CA216+BP!CA216</f>
        <v>1800</v>
      </c>
      <c r="CB216" s="106">
        <f>+PMGR!CB216+BP!CB216</f>
        <v>1800</v>
      </c>
      <c r="CC216" s="106">
        <f>+PMGR!CC216+BP!CC216</f>
        <v>1800</v>
      </c>
      <c r="CD216" s="106">
        <f>+PMGR!CD216+BP!CD216</f>
        <v>1800</v>
      </c>
      <c r="CE216" s="106">
        <f t="shared" si="1038"/>
        <v>21600</v>
      </c>
      <c r="CF216" s="106"/>
      <c r="CG216" s="106">
        <f>+PMGR!CG216+BP!CG216</f>
        <v>2850</v>
      </c>
      <c r="CH216" s="106">
        <f>+PMGR!CH216+BP!CH216</f>
        <v>1500</v>
      </c>
      <c r="CI216" s="106">
        <f>+PMGR!CI216+BP!CI216</f>
        <v>2050</v>
      </c>
      <c r="CJ216" s="106">
        <f>+PMGR!CJ216+BP!CJ216</f>
        <v>1000</v>
      </c>
      <c r="CK216" s="106">
        <f>+PMGR!CK216+BP!CK216</f>
        <v>700</v>
      </c>
      <c r="CL216" s="106">
        <f>+PMGR!CL216+BP!CL216</f>
        <v>1200</v>
      </c>
      <c r="CM216" s="106">
        <f>+PMGR!CM216+BP!CM216</f>
        <v>450</v>
      </c>
      <c r="CN216" s="106">
        <f>+PMGR!CN216+BP!CN216</f>
        <v>1800</v>
      </c>
      <c r="CO216" s="106">
        <f>+PMGR!CO216+BP!CO216</f>
        <v>1700</v>
      </c>
      <c r="CP216" s="106">
        <f>+PMGR!CP216+BP!CP216</f>
        <v>400</v>
      </c>
      <c r="CQ216" s="106">
        <f>+PMGR!CQ216+BP!CQ216</f>
        <v>1550</v>
      </c>
      <c r="CR216" s="106">
        <f>+PMGR!CR216+BP!CR216</f>
        <v>650</v>
      </c>
      <c r="CS216" s="106">
        <f t="shared" si="1039"/>
        <v>15850</v>
      </c>
      <c r="CT216" s="16" t="str">
        <f t="shared" si="962"/>
        <v>Other Donation</v>
      </c>
      <c r="CU216" s="106">
        <f>+PMGR!CU216+BP!CU216</f>
        <v>1150</v>
      </c>
      <c r="CV216" s="106">
        <f>+PMGR!CV216+BP!CV216</f>
        <v>3750</v>
      </c>
      <c r="CW216" s="106">
        <f>+PMGR!CW216+BP!CW216</f>
        <v>1175</v>
      </c>
      <c r="CX216" s="106">
        <f>+PMGR!CX216+BP!CX216</f>
        <v>950</v>
      </c>
      <c r="CY216" s="106">
        <f>+PMGR!CY216+BP!CY216</f>
        <v>300</v>
      </c>
      <c r="CZ216" s="106">
        <f>+PMGR!CZ216+BP!CZ216</f>
        <v>950</v>
      </c>
      <c r="DA216" s="106">
        <f>+PMGR!DA216+BP!DA216</f>
        <v>1350</v>
      </c>
      <c r="DB216" s="106">
        <f>+PMGR!DB216+BP!DB216</f>
        <v>1070</v>
      </c>
      <c r="DC216" s="106">
        <f>+PMGR!DC216+BP!DC216</f>
        <v>925</v>
      </c>
      <c r="DD216" s="106">
        <f>+PMGR!DD216+BP!DD216</f>
        <v>100</v>
      </c>
      <c r="DE216" s="106">
        <f>+PMGR!DE216+BP!DE216</f>
        <v>0</v>
      </c>
      <c r="DF216" s="106">
        <f>+PMGR!DF216+BP!DF216</f>
        <v>0</v>
      </c>
      <c r="DG216" s="106">
        <f t="shared" si="1040"/>
        <v>11720</v>
      </c>
      <c r="DH216" s="118"/>
      <c r="DI216" s="106">
        <f>+PMGR!DI216+BP!DI216</f>
        <v>900</v>
      </c>
      <c r="DJ216" s="106">
        <f>+PMGR!DJ216+BP!DJ216</f>
        <v>900</v>
      </c>
      <c r="DK216" s="106">
        <f>+PMGR!DK216+BP!DK216</f>
        <v>900</v>
      </c>
      <c r="DL216" s="106">
        <f>+PMGR!DL216+BP!DL216</f>
        <v>900</v>
      </c>
      <c r="DM216" s="106">
        <f>+PMGR!DM216+BP!DM216</f>
        <v>900</v>
      </c>
      <c r="DN216" s="106">
        <f>+PMGR!DN216+BP!DN216</f>
        <v>900</v>
      </c>
      <c r="DO216" s="106">
        <f>+PMGR!DO216+BP!DO216</f>
        <v>900</v>
      </c>
      <c r="DP216" s="106">
        <f>+PMGR!DP216+BP!DP216</f>
        <v>900</v>
      </c>
      <c r="DQ216" s="106">
        <f>+PMGR!DQ216+BP!DQ216</f>
        <v>900</v>
      </c>
      <c r="DR216" s="106">
        <f>+PMGR!DR216+BP!DR216</f>
        <v>900</v>
      </c>
      <c r="DS216" s="106">
        <f>+PMGR!DS216+BP!DS216</f>
        <v>900</v>
      </c>
      <c r="DT216" s="106">
        <f>+PMGR!DT216+BP!DT216</f>
        <v>900</v>
      </c>
      <c r="DU216" s="106">
        <f t="shared" si="1041"/>
        <v>10800</v>
      </c>
      <c r="DV216" s="106"/>
      <c r="DW216" s="106">
        <f>+PMGR!DW216+BP!DW216</f>
        <v>0</v>
      </c>
      <c r="DX216" s="106">
        <f>+PMGR!DX216+BP!DX216</f>
        <v>0</v>
      </c>
      <c r="DY216" s="106">
        <f>+PMGR!DY216+BP!DY216</f>
        <v>0</v>
      </c>
      <c r="DZ216" s="106">
        <f>+PMGR!DZ216+BP!DZ216</f>
        <v>0</v>
      </c>
      <c r="EA216" s="106">
        <f>+PMGR!EA216+BP!EA216</f>
        <v>0</v>
      </c>
      <c r="EB216" s="106">
        <f>+PMGR!EB216+BP!EB216</f>
        <v>0</v>
      </c>
      <c r="EC216" s="106">
        <f>+PMGR!EC216+BP!EC216</f>
        <v>0</v>
      </c>
      <c r="ED216" s="106">
        <f>+PMGR!ED216+BP!ED216</f>
        <v>0</v>
      </c>
      <c r="EE216" s="106">
        <f>+PMGR!EE216+BP!EE216</f>
        <v>0</v>
      </c>
      <c r="EF216" s="106">
        <f>+PMGR!EF216+BP!EF216</f>
        <v>0</v>
      </c>
      <c r="EG216" s="106">
        <f>+PMGR!EG216+BP!EG216</f>
        <v>0</v>
      </c>
      <c r="EH216" s="106">
        <f>+PMGR!EH216+BP!EH216</f>
        <v>0</v>
      </c>
      <c r="EI216" s="106">
        <f t="shared" si="1042"/>
        <v>0</v>
      </c>
      <c r="EJ216" s="16" t="str">
        <f t="shared" si="963"/>
        <v>Other Donation</v>
      </c>
      <c r="EK216" s="106">
        <f>+PMGR!EK216+BP!EK216</f>
        <v>900</v>
      </c>
      <c r="EL216" s="106">
        <f>+PMGR!EL216+BP!EL216</f>
        <v>0</v>
      </c>
      <c r="EM216" s="106">
        <f>+PMGR!EM216+BP!EM216</f>
        <v>0</v>
      </c>
      <c r="EN216" s="106">
        <f>+PMGR!EN216+BP!EN216</f>
        <v>200</v>
      </c>
      <c r="EO216" s="106">
        <f>+PMGR!EO216+BP!EO216</f>
        <v>0</v>
      </c>
      <c r="EP216" s="106">
        <f>+PMGR!EP216+BP!EP216</f>
        <v>0</v>
      </c>
      <c r="EQ216" s="106">
        <f>+PMGR!EQ216+BP!EQ216</f>
        <v>0</v>
      </c>
      <c r="ER216" s="106">
        <f>+PMGR!ER216+BP!ER216</f>
        <v>100</v>
      </c>
      <c r="ES216" s="106">
        <f>+PMGR!ES216+BP!ES216</f>
        <v>500</v>
      </c>
      <c r="ET216" s="106">
        <f>+PMGR!ET216+BP!ET216</f>
        <v>100</v>
      </c>
      <c r="EU216" s="106">
        <f>+PMGR!EU216+BP!EU216</f>
        <v>0</v>
      </c>
      <c r="EV216" s="106">
        <f>+PMGR!EV216+BP!EV216</f>
        <v>0</v>
      </c>
      <c r="EW216" s="106">
        <f t="shared" si="1043"/>
        <v>1800</v>
      </c>
      <c r="EX216" s="118"/>
      <c r="EY216" s="106">
        <f>+PMGR!EY216+BP!EY216</f>
        <v>0</v>
      </c>
      <c r="EZ216" s="106">
        <f>+PMGR!EZ216+BP!EZ216</f>
        <v>0</v>
      </c>
      <c r="FA216" s="106">
        <f>+PMGR!FA216+BP!FA216</f>
        <v>0</v>
      </c>
      <c r="FB216" s="106">
        <f>+PMGR!FB216+BP!FB216</f>
        <v>0</v>
      </c>
      <c r="FC216" s="106">
        <f>+PMGR!FC216+BP!FC216</f>
        <v>0</v>
      </c>
      <c r="FD216" s="106">
        <f>+PMGR!FD216+BP!FD216</f>
        <v>0</v>
      </c>
      <c r="FE216" s="106">
        <f>+PMGR!FE216+BP!FE216</f>
        <v>0</v>
      </c>
      <c r="FF216" s="106">
        <f>+PMGR!FF216+BP!FF216</f>
        <v>0</v>
      </c>
      <c r="FG216" s="106">
        <f>+PMGR!FG216+BP!FG216</f>
        <v>0</v>
      </c>
      <c r="FH216" s="106">
        <f>+PMGR!FH216+BP!FH216</f>
        <v>0</v>
      </c>
      <c r="FI216" s="106">
        <f>+PMGR!FI216+BP!FI216</f>
        <v>0</v>
      </c>
      <c r="FJ216" s="106">
        <f>+PMGR!FJ216+BP!FJ216</f>
        <v>0</v>
      </c>
      <c r="FK216" s="106">
        <f t="shared" si="1044"/>
        <v>0</v>
      </c>
    </row>
    <row r="217" spans="1:169" ht="14.45" customHeight="1" outlineLevel="2">
      <c r="A217" s="106">
        <f t="shared" si="1030"/>
        <v>0</v>
      </c>
      <c r="B217" s="106">
        <f t="shared" si="1030"/>
        <v>0</v>
      </c>
      <c r="C217" s="106">
        <f t="shared" si="1030"/>
        <v>0</v>
      </c>
      <c r="D217" s="106">
        <f t="shared" si="1030"/>
        <v>0</v>
      </c>
      <c r="E217" s="106">
        <f t="shared" si="1030"/>
        <v>0</v>
      </c>
      <c r="F217" s="106">
        <f t="shared" si="1030"/>
        <v>0</v>
      </c>
      <c r="G217" s="106">
        <f t="shared" si="1030"/>
        <v>0</v>
      </c>
      <c r="H217" s="106">
        <f t="shared" si="1030"/>
        <v>0</v>
      </c>
      <c r="I217" s="106">
        <f t="shared" si="1030"/>
        <v>0</v>
      </c>
      <c r="J217" s="106">
        <f t="shared" si="1030"/>
        <v>0</v>
      </c>
      <c r="K217" s="106">
        <f t="shared" si="1030"/>
        <v>0</v>
      </c>
      <c r="L217" s="106">
        <f t="shared" si="1030"/>
        <v>0</v>
      </c>
      <c r="M217" s="106">
        <f t="shared" si="1031"/>
        <v>0</v>
      </c>
      <c r="N217" s="16"/>
      <c r="O217" s="106">
        <f t="shared" si="1032"/>
        <v>0</v>
      </c>
      <c r="P217" s="106">
        <f t="shared" si="1032"/>
        <v>0</v>
      </c>
      <c r="Q217" s="106">
        <f t="shared" si="1032"/>
        <v>0</v>
      </c>
      <c r="R217" s="106">
        <f t="shared" si="1032"/>
        <v>0</v>
      </c>
      <c r="S217" s="106">
        <f t="shared" si="1032"/>
        <v>0</v>
      </c>
      <c r="T217" s="106">
        <f t="shared" si="1032"/>
        <v>0</v>
      </c>
      <c r="U217" s="106">
        <f t="shared" si="1032"/>
        <v>0</v>
      </c>
      <c r="V217" s="106">
        <f t="shared" si="1032"/>
        <v>0</v>
      </c>
      <c r="W217" s="106">
        <f t="shared" si="1032"/>
        <v>0</v>
      </c>
      <c r="X217" s="106">
        <f t="shared" si="1032"/>
        <v>0</v>
      </c>
      <c r="Y217" s="106">
        <f t="shared" si="1032"/>
        <v>0</v>
      </c>
      <c r="Z217" s="106">
        <f t="shared" si="1032"/>
        <v>0</v>
      </c>
      <c r="AA217" s="106">
        <f t="shared" si="1033"/>
        <v>0</v>
      </c>
      <c r="AB217" s="118"/>
      <c r="AC217" s="106">
        <f t="shared" si="1034"/>
        <v>0</v>
      </c>
      <c r="AD217" s="106">
        <f t="shared" si="1034"/>
        <v>0</v>
      </c>
      <c r="AE217" s="106">
        <f t="shared" si="1034"/>
        <v>0</v>
      </c>
      <c r="AF217" s="106">
        <f t="shared" si="1034"/>
        <v>0</v>
      </c>
      <c r="AG217" s="106">
        <f t="shared" si="1034"/>
        <v>0</v>
      </c>
      <c r="AH217" s="106">
        <f t="shared" si="1034"/>
        <v>0</v>
      </c>
      <c r="AI217" s="106">
        <f t="shared" si="1034"/>
        <v>0</v>
      </c>
      <c r="AJ217" s="106">
        <f t="shared" si="1034"/>
        <v>0</v>
      </c>
      <c r="AK217" s="106">
        <f t="shared" si="1034"/>
        <v>0</v>
      </c>
      <c r="AL217" s="106">
        <f t="shared" si="1034"/>
        <v>0</v>
      </c>
      <c r="AM217" s="106">
        <f t="shared" si="1034"/>
        <v>0</v>
      </c>
      <c r="AN217" s="106">
        <f t="shared" si="1034"/>
        <v>0</v>
      </c>
      <c r="AO217" s="106">
        <f t="shared" si="1035"/>
        <v>0</v>
      </c>
      <c r="AP217" s="106"/>
      <c r="AQ217" s="106"/>
      <c r="AR217" s="106"/>
      <c r="AS217" s="106"/>
      <c r="AT217" s="106"/>
      <c r="AU217" s="106"/>
      <c r="AV217" s="106"/>
      <c r="AW217" s="106"/>
      <c r="AX217" s="106"/>
      <c r="AY217" s="106"/>
      <c r="AZ217" s="106"/>
      <c r="BA217" s="106"/>
      <c r="BB217" s="106"/>
      <c r="BC217" s="106"/>
      <c r="BD217" s="16">
        <f t="shared" si="961"/>
        <v>0</v>
      </c>
      <c r="BE217" s="106"/>
      <c r="BF217" s="106"/>
      <c r="BG217" s="106"/>
      <c r="BH217" s="106"/>
      <c r="BI217" s="106"/>
      <c r="BJ217" s="106"/>
      <c r="BK217" s="106"/>
      <c r="BL217" s="106"/>
      <c r="BM217" s="106"/>
      <c r="BN217" s="106"/>
      <c r="BO217" s="106"/>
      <c r="BP217" s="106"/>
      <c r="BQ217" s="106"/>
      <c r="BR217" s="118"/>
      <c r="BS217" s="106"/>
      <c r="BT217" s="106"/>
      <c r="BU217" s="106"/>
      <c r="BV217" s="106"/>
      <c r="BW217" s="106"/>
      <c r="BX217" s="106"/>
      <c r="BY217" s="106"/>
      <c r="BZ217" s="106"/>
      <c r="CA217" s="106"/>
      <c r="CB217" s="106"/>
      <c r="CC217" s="106"/>
      <c r="CD217" s="106"/>
      <c r="CE217" s="106"/>
      <c r="CF217" s="106"/>
      <c r="CG217" s="106"/>
      <c r="CH217" s="106"/>
      <c r="CI217" s="106"/>
      <c r="CJ217" s="106"/>
      <c r="CK217" s="106"/>
      <c r="CL217" s="106"/>
      <c r="CM217" s="106"/>
      <c r="CN217" s="106"/>
      <c r="CO217" s="106"/>
      <c r="CP217" s="106"/>
      <c r="CQ217" s="106"/>
      <c r="CR217" s="106"/>
      <c r="CS217" s="106"/>
      <c r="CT217" s="16">
        <f t="shared" si="962"/>
        <v>0</v>
      </c>
      <c r="CU217" s="106"/>
      <c r="CV217" s="106"/>
      <c r="CW217" s="106"/>
      <c r="CX217" s="106"/>
      <c r="CY217" s="106"/>
      <c r="CZ217" s="106"/>
      <c r="DA217" s="106"/>
      <c r="DB217" s="106"/>
      <c r="DC217" s="106"/>
      <c r="DD217" s="106"/>
      <c r="DE217" s="106"/>
      <c r="DF217" s="106"/>
      <c r="DG217" s="106"/>
      <c r="DH217" s="118"/>
      <c r="DI217" s="106"/>
      <c r="DJ217" s="106"/>
      <c r="DK217" s="106"/>
      <c r="DL217" s="106"/>
      <c r="DM217" s="106"/>
      <c r="DN217" s="106"/>
      <c r="DO217" s="106"/>
      <c r="DP217" s="106"/>
      <c r="DQ217" s="106"/>
      <c r="DR217" s="106"/>
      <c r="DS217" s="106"/>
      <c r="DT217" s="106"/>
      <c r="DU217" s="106"/>
      <c r="DV217" s="106"/>
      <c r="DW217" s="106"/>
      <c r="DX217" s="106"/>
      <c r="DY217" s="106"/>
      <c r="DZ217" s="106"/>
      <c r="EA217" s="106"/>
      <c r="EB217" s="106"/>
      <c r="EC217" s="106"/>
      <c r="ED217" s="106"/>
      <c r="EE217" s="106"/>
      <c r="EF217" s="106"/>
      <c r="EG217" s="106"/>
      <c r="EH217" s="106"/>
      <c r="EI217" s="106"/>
      <c r="EJ217" s="16">
        <f t="shared" si="963"/>
        <v>0</v>
      </c>
      <c r="EK217" s="106"/>
      <c r="EL217" s="106"/>
      <c r="EM217" s="106"/>
      <c r="EN217" s="106"/>
      <c r="EO217" s="106"/>
      <c r="EP217" s="106"/>
      <c r="EQ217" s="106"/>
      <c r="ER217" s="106"/>
      <c r="ES217" s="106"/>
      <c r="ET217" s="106"/>
      <c r="EU217" s="106"/>
      <c r="EV217" s="106"/>
      <c r="EW217" s="106"/>
      <c r="EX217" s="118"/>
      <c r="EY217" s="106"/>
      <c r="EZ217" s="106"/>
      <c r="FA217" s="106"/>
      <c r="FB217" s="106"/>
      <c r="FC217" s="106"/>
      <c r="FD217" s="106"/>
      <c r="FE217" s="106"/>
      <c r="FF217" s="106"/>
      <c r="FG217" s="106"/>
      <c r="FH217" s="106"/>
      <c r="FI217" s="106"/>
      <c r="FJ217" s="106"/>
      <c r="FK217" s="106"/>
    </row>
    <row r="218" spans="1:169" ht="14.45" customHeight="1">
      <c r="A218" s="58">
        <f t="shared" ref="A218:L218" si="1045">+A219+A223+A227</f>
        <v>45198.715499999998</v>
      </c>
      <c r="B218" s="58">
        <f t="shared" si="1045"/>
        <v>99173.002500000002</v>
      </c>
      <c r="C218" s="58">
        <f t="shared" si="1045"/>
        <v>137892.71249999999</v>
      </c>
      <c r="D218" s="58">
        <f t="shared" si="1045"/>
        <v>48298.315499999997</v>
      </c>
      <c r="E218" s="58">
        <f t="shared" si="1045"/>
        <v>35363.673000000003</v>
      </c>
      <c r="F218" s="58">
        <f t="shared" si="1045"/>
        <v>56262.298499999997</v>
      </c>
      <c r="G218" s="58">
        <f t="shared" si="1045"/>
        <v>88842.131999999998</v>
      </c>
      <c r="H218" s="58">
        <f t="shared" si="1045"/>
        <v>68791.379000000015</v>
      </c>
      <c r="I218" s="58">
        <f t="shared" si="1045"/>
        <v>67459.481999999989</v>
      </c>
      <c r="J218" s="58">
        <f t="shared" si="1045"/>
        <v>72507.536999999997</v>
      </c>
      <c r="K218" s="58">
        <f t="shared" si="1045"/>
        <v>282736.90350000001</v>
      </c>
      <c r="L218" s="58">
        <f t="shared" si="1045"/>
        <v>80017.47</v>
      </c>
      <c r="M218" s="58"/>
      <c r="N218" s="17" t="s">
        <v>183</v>
      </c>
      <c r="O218" s="58">
        <f t="shared" ref="O218:Z218" si="1046">+O219+O223+O227</f>
        <v>100691.41049999998</v>
      </c>
      <c r="P218" s="58">
        <f t="shared" si="1046"/>
        <v>62249.017499999994</v>
      </c>
      <c r="Q218" s="58">
        <f t="shared" si="1046"/>
        <v>101676.56849999999</v>
      </c>
      <c r="R218" s="58">
        <f t="shared" si="1046"/>
        <v>54209.77199999999</v>
      </c>
      <c r="S218" s="58">
        <f t="shared" si="1046"/>
        <v>107418.2895</v>
      </c>
      <c r="T218" s="58">
        <f t="shared" si="1046"/>
        <v>66853.534500000009</v>
      </c>
      <c r="U218" s="58">
        <f t="shared" si="1046"/>
        <v>58027.099499999989</v>
      </c>
      <c r="V218" s="58">
        <f t="shared" si="1046"/>
        <v>69180.4755</v>
      </c>
      <c r="W218" s="58">
        <f t="shared" si="1046"/>
        <v>47789.622000000003</v>
      </c>
      <c r="X218" s="58">
        <f t="shared" si="1046"/>
        <v>81213.858000000007</v>
      </c>
      <c r="Y218" s="58">
        <f t="shared" si="1046"/>
        <v>0</v>
      </c>
      <c r="Z218" s="58">
        <f t="shared" si="1046"/>
        <v>0</v>
      </c>
      <c r="AA218" s="58">
        <f t="shared" ref="AA218" si="1047">+AA219+AA223+AA227</f>
        <v>749309.64750000008</v>
      </c>
      <c r="AB218" s="118"/>
      <c r="AC218" s="58">
        <f t="shared" ref="AC218:AN218" si="1048">+AC219+AC223+AC227</f>
        <v>90416.666666666657</v>
      </c>
      <c r="AD218" s="58">
        <f t="shared" si="1048"/>
        <v>90416.666666666657</v>
      </c>
      <c r="AE218" s="58">
        <f t="shared" si="1048"/>
        <v>90416.666666666657</v>
      </c>
      <c r="AF218" s="58">
        <f t="shared" si="1048"/>
        <v>90416.666666666657</v>
      </c>
      <c r="AG218" s="58">
        <f t="shared" si="1048"/>
        <v>90416.666666666657</v>
      </c>
      <c r="AH218" s="58">
        <f t="shared" si="1048"/>
        <v>90416.666666666657</v>
      </c>
      <c r="AI218" s="58">
        <f t="shared" si="1048"/>
        <v>90416.666666666657</v>
      </c>
      <c r="AJ218" s="58">
        <f t="shared" si="1048"/>
        <v>90416.666666666657</v>
      </c>
      <c r="AK218" s="58">
        <f t="shared" si="1048"/>
        <v>90416.666666666657</v>
      </c>
      <c r="AL218" s="58">
        <f t="shared" si="1048"/>
        <v>90416.666666666657</v>
      </c>
      <c r="AM218" s="58">
        <f t="shared" si="1048"/>
        <v>90416.666666666657</v>
      </c>
      <c r="AN218" s="58">
        <f t="shared" si="1048"/>
        <v>90416.666666666657</v>
      </c>
      <c r="AO218" s="58"/>
      <c r="AP218" s="106"/>
      <c r="AQ218" s="58">
        <f t="shared" ref="AQ218:BC218" si="1049">+AQ219+AQ223+AQ227</f>
        <v>30132.476999999999</v>
      </c>
      <c r="AR218" s="58">
        <f t="shared" si="1049"/>
        <v>66115.334999999992</v>
      </c>
      <c r="AS218" s="58">
        <f t="shared" si="1049"/>
        <v>91928.475000000006</v>
      </c>
      <c r="AT218" s="58">
        <f t="shared" si="1049"/>
        <v>32198.877</v>
      </c>
      <c r="AU218" s="58">
        <f t="shared" si="1049"/>
        <v>23575.781999999999</v>
      </c>
      <c r="AV218" s="58">
        <f t="shared" si="1049"/>
        <v>37508.199000000001</v>
      </c>
      <c r="AW218" s="58">
        <f t="shared" si="1049"/>
        <v>59228.087999999989</v>
      </c>
      <c r="AX218" s="58">
        <f t="shared" si="1049"/>
        <v>51146.336000000003</v>
      </c>
      <c r="AY218" s="58">
        <f t="shared" si="1049"/>
        <v>44972.987999999998</v>
      </c>
      <c r="AZ218" s="58">
        <f t="shared" si="1049"/>
        <v>48338.358</v>
      </c>
      <c r="BA218" s="58">
        <f t="shared" si="1049"/>
        <v>188491.269</v>
      </c>
      <c r="BB218" s="58">
        <f t="shared" si="1049"/>
        <v>53344.979999999996</v>
      </c>
      <c r="BC218" s="58">
        <f t="shared" si="1049"/>
        <v>1209820.8280000002</v>
      </c>
      <c r="BD218" s="17" t="str">
        <f t="shared" si="961"/>
        <v>Inventory Cost</v>
      </c>
      <c r="BE218" s="58">
        <f t="shared" ref="BE218:BQ218" si="1050">+BE219+BE223+BE227</f>
        <v>67127.606999999989</v>
      </c>
      <c r="BF218" s="58">
        <f t="shared" si="1050"/>
        <v>41499.345000000001</v>
      </c>
      <c r="BG218" s="58">
        <f t="shared" si="1050"/>
        <v>67784.378999999986</v>
      </c>
      <c r="BH218" s="58">
        <f t="shared" si="1050"/>
        <v>36139.847999999991</v>
      </c>
      <c r="BI218" s="58">
        <f t="shared" si="1050"/>
        <v>71612.192999999999</v>
      </c>
      <c r="BJ218" s="58">
        <f t="shared" si="1050"/>
        <v>44569.023000000001</v>
      </c>
      <c r="BK218" s="58">
        <f t="shared" si="1050"/>
        <v>38684.732999999993</v>
      </c>
      <c r="BL218" s="58">
        <f t="shared" si="1050"/>
        <v>46120.317000000003</v>
      </c>
      <c r="BM218" s="58">
        <f t="shared" si="1050"/>
        <v>31859.748000000003</v>
      </c>
      <c r="BN218" s="58">
        <f t="shared" si="1050"/>
        <v>44298.467999999993</v>
      </c>
      <c r="BO218" s="58">
        <f t="shared" si="1050"/>
        <v>0</v>
      </c>
      <c r="BP218" s="58">
        <f t="shared" si="1050"/>
        <v>0</v>
      </c>
      <c r="BQ218" s="58">
        <f t="shared" si="1050"/>
        <v>489695.66099999996</v>
      </c>
      <c r="BR218" s="118"/>
      <c r="BS218" s="58">
        <f t="shared" ref="BS218:CE218" si="1051">+BS219+BS223+BS227</f>
        <v>45000</v>
      </c>
      <c r="BT218" s="58">
        <f t="shared" si="1051"/>
        <v>45000</v>
      </c>
      <c r="BU218" s="58">
        <f t="shared" si="1051"/>
        <v>45000</v>
      </c>
      <c r="BV218" s="58">
        <f t="shared" si="1051"/>
        <v>45000</v>
      </c>
      <c r="BW218" s="58">
        <f t="shared" si="1051"/>
        <v>45000</v>
      </c>
      <c r="BX218" s="58">
        <f t="shared" si="1051"/>
        <v>45000</v>
      </c>
      <c r="BY218" s="58">
        <f t="shared" si="1051"/>
        <v>45000</v>
      </c>
      <c r="BZ218" s="58">
        <f t="shared" si="1051"/>
        <v>45000</v>
      </c>
      <c r="CA218" s="58">
        <f t="shared" si="1051"/>
        <v>45000</v>
      </c>
      <c r="CB218" s="58">
        <f t="shared" si="1051"/>
        <v>45000</v>
      </c>
      <c r="CC218" s="58">
        <f t="shared" si="1051"/>
        <v>45000</v>
      </c>
      <c r="CD218" s="58">
        <f t="shared" si="1051"/>
        <v>45000</v>
      </c>
      <c r="CE218" s="58">
        <f t="shared" si="1051"/>
        <v>990000</v>
      </c>
      <c r="CF218" s="106"/>
      <c r="CG218" s="58">
        <f t="shared" ref="CG218:CS218" si="1052">+CG219+CG223+CG227</f>
        <v>15066.238499999999</v>
      </c>
      <c r="CH218" s="58">
        <f t="shared" si="1052"/>
        <v>33057.667499999996</v>
      </c>
      <c r="CI218" s="58">
        <f t="shared" si="1052"/>
        <v>45964.237500000003</v>
      </c>
      <c r="CJ218" s="58">
        <f t="shared" si="1052"/>
        <v>16099.4385</v>
      </c>
      <c r="CK218" s="58">
        <f t="shared" si="1052"/>
        <v>11787.891</v>
      </c>
      <c r="CL218" s="58">
        <f t="shared" si="1052"/>
        <v>18754.0995</v>
      </c>
      <c r="CM218" s="58">
        <f t="shared" si="1052"/>
        <v>29614.043999999994</v>
      </c>
      <c r="CN218" s="58">
        <f t="shared" si="1052"/>
        <v>17645.043000000001</v>
      </c>
      <c r="CO218" s="58">
        <f t="shared" si="1052"/>
        <v>22486.493999999999</v>
      </c>
      <c r="CP218" s="58">
        <f t="shared" si="1052"/>
        <v>24169.179</v>
      </c>
      <c r="CQ218" s="58">
        <f t="shared" si="1052"/>
        <v>94245.6345</v>
      </c>
      <c r="CR218" s="58">
        <f t="shared" si="1052"/>
        <v>26672.489999999998</v>
      </c>
      <c r="CS218" s="58">
        <f t="shared" si="1052"/>
        <v>589054.16399999987</v>
      </c>
      <c r="CT218" s="17" t="str">
        <f t="shared" si="962"/>
        <v>Inventory Cost</v>
      </c>
      <c r="CU218" s="58">
        <f t="shared" ref="CU218:DG218" si="1053">+CU219+CU223+CU227</f>
        <v>33563.803499999995</v>
      </c>
      <c r="CV218" s="58">
        <f t="shared" si="1053"/>
        <v>20749.672500000001</v>
      </c>
      <c r="CW218" s="58">
        <f t="shared" si="1053"/>
        <v>33892.189499999993</v>
      </c>
      <c r="CX218" s="58">
        <f t="shared" si="1053"/>
        <v>18069.923999999995</v>
      </c>
      <c r="CY218" s="58">
        <f t="shared" si="1053"/>
        <v>35806.0965</v>
      </c>
      <c r="CZ218" s="58">
        <f t="shared" si="1053"/>
        <v>22284.511500000001</v>
      </c>
      <c r="DA218" s="58">
        <f t="shared" si="1053"/>
        <v>19342.366499999996</v>
      </c>
      <c r="DB218" s="58">
        <f t="shared" si="1053"/>
        <v>23060.158500000001</v>
      </c>
      <c r="DC218" s="58">
        <f t="shared" si="1053"/>
        <v>15929.874000000002</v>
      </c>
      <c r="DD218" s="58">
        <f t="shared" si="1053"/>
        <v>22149.233999999997</v>
      </c>
      <c r="DE218" s="58">
        <f t="shared" si="1053"/>
        <v>0</v>
      </c>
      <c r="DF218" s="58">
        <f t="shared" si="1053"/>
        <v>0</v>
      </c>
      <c r="DG218" s="58">
        <f t="shared" si="1053"/>
        <v>244847.83049999998</v>
      </c>
      <c r="DH218" s="118"/>
      <c r="DI218" s="58">
        <f t="shared" ref="DI218:DU218" si="1054">+DI219+DI223+DI227</f>
        <v>23750</v>
      </c>
      <c r="DJ218" s="58">
        <f t="shared" si="1054"/>
        <v>23750</v>
      </c>
      <c r="DK218" s="58">
        <f t="shared" si="1054"/>
        <v>23750</v>
      </c>
      <c r="DL218" s="58">
        <f t="shared" si="1054"/>
        <v>23750</v>
      </c>
      <c r="DM218" s="58">
        <f t="shared" si="1054"/>
        <v>23750</v>
      </c>
      <c r="DN218" s="58">
        <f t="shared" si="1054"/>
        <v>23750</v>
      </c>
      <c r="DO218" s="58">
        <f t="shared" si="1054"/>
        <v>23750</v>
      </c>
      <c r="DP218" s="58">
        <f t="shared" si="1054"/>
        <v>23750</v>
      </c>
      <c r="DQ218" s="58">
        <f t="shared" si="1054"/>
        <v>23750</v>
      </c>
      <c r="DR218" s="58">
        <f t="shared" si="1054"/>
        <v>23750</v>
      </c>
      <c r="DS218" s="58">
        <f t="shared" si="1054"/>
        <v>23750</v>
      </c>
      <c r="DT218" s="58">
        <f t="shared" si="1054"/>
        <v>23750</v>
      </c>
      <c r="DU218" s="58">
        <f t="shared" si="1054"/>
        <v>285000</v>
      </c>
      <c r="DV218" s="106"/>
      <c r="DW218" s="58">
        <f t="shared" ref="DW218:EI218" si="1055">+DW219+DW223+DW227</f>
        <v>0</v>
      </c>
      <c r="DX218" s="58">
        <f t="shared" si="1055"/>
        <v>0</v>
      </c>
      <c r="DY218" s="58">
        <f t="shared" si="1055"/>
        <v>0</v>
      </c>
      <c r="DZ218" s="58">
        <f t="shared" si="1055"/>
        <v>0</v>
      </c>
      <c r="EA218" s="58">
        <f t="shared" si="1055"/>
        <v>0</v>
      </c>
      <c r="EB218" s="58">
        <f t="shared" si="1055"/>
        <v>0</v>
      </c>
      <c r="EC218" s="58">
        <f t="shared" si="1055"/>
        <v>0</v>
      </c>
      <c r="ED218" s="58">
        <f t="shared" si="1055"/>
        <v>0</v>
      </c>
      <c r="EE218" s="58">
        <f t="shared" si="1055"/>
        <v>0</v>
      </c>
      <c r="EF218" s="58">
        <f t="shared" si="1055"/>
        <v>0</v>
      </c>
      <c r="EG218" s="58">
        <f t="shared" si="1055"/>
        <v>0</v>
      </c>
      <c r="EH218" s="58">
        <f t="shared" si="1055"/>
        <v>0</v>
      </c>
      <c r="EI218" s="58">
        <f t="shared" si="1055"/>
        <v>0</v>
      </c>
      <c r="EJ218" s="17" t="str">
        <f t="shared" si="963"/>
        <v>Inventory Cost</v>
      </c>
      <c r="EK218" s="58">
        <f t="shared" ref="EK218:EW218" si="1056">+EK219+EK223+EK227</f>
        <v>0</v>
      </c>
      <c r="EL218" s="58">
        <f t="shared" si="1056"/>
        <v>0</v>
      </c>
      <c r="EM218" s="58">
        <f t="shared" si="1056"/>
        <v>0</v>
      </c>
      <c r="EN218" s="58">
        <f t="shared" si="1056"/>
        <v>0</v>
      </c>
      <c r="EO218" s="58">
        <f t="shared" si="1056"/>
        <v>0</v>
      </c>
      <c r="EP218" s="58">
        <f t="shared" si="1056"/>
        <v>0</v>
      </c>
      <c r="EQ218" s="58">
        <f t="shared" si="1056"/>
        <v>0</v>
      </c>
      <c r="ER218" s="58">
        <f t="shared" si="1056"/>
        <v>0</v>
      </c>
      <c r="ES218" s="58">
        <f t="shared" si="1056"/>
        <v>0</v>
      </c>
      <c r="ET218" s="58">
        <f t="shared" si="1056"/>
        <v>14766.156000000001</v>
      </c>
      <c r="EU218" s="58">
        <f t="shared" si="1056"/>
        <v>0</v>
      </c>
      <c r="EV218" s="58">
        <f t="shared" si="1056"/>
        <v>0</v>
      </c>
      <c r="EW218" s="58">
        <f t="shared" si="1056"/>
        <v>28356.612000000001</v>
      </c>
      <c r="EX218" s="118"/>
      <c r="EY218" s="58">
        <f t="shared" ref="EY218:FK218" si="1057">+EY219+EY223+EY227</f>
        <v>21666.666666666664</v>
      </c>
      <c r="EZ218" s="58">
        <f t="shared" si="1057"/>
        <v>21666.666666666664</v>
      </c>
      <c r="FA218" s="58">
        <f t="shared" si="1057"/>
        <v>21666.666666666664</v>
      </c>
      <c r="FB218" s="58">
        <f t="shared" si="1057"/>
        <v>21666.666666666664</v>
      </c>
      <c r="FC218" s="58">
        <f t="shared" si="1057"/>
        <v>21666.666666666664</v>
      </c>
      <c r="FD218" s="58">
        <f t="shared" si="1057"/>
        <v>21666.666666666664</v>
      </c>
      <c r="FE218" s="58">
        <f t="shared" si="1057"/>
        <v>21666.666666666664</v>
      </c>
      <c r="FF218" s="58">
        <f t="shared" si="1057"/>
        <v>21666.666666666664</v>
      </c>
      <c r="FG218" s="58">
        <f t="shared" si="1057"/>
        <v>21666.666666666664</v>
      </c>
      <c r="FH218" s="58">
        <f t="shared" si="1057"/>
        <v>21666.666666666664</v>
      </c>
      <c r="FI218" s="58">
        <f t="shared" si="1057"/>
        <v>21666.666666666664</v>
      </c>
      <c r="FJ218" s="58">
        <f t="shared" si="1057"/>
        <v>21666.666666666664</v>
      </c>
      <c r="FK218" s="58">
        <f t="shared" si="1057"/>
        <v>359999.99999999983</v>
      </c>
      <c r="FM218" t="s">
        <v>279</v>
      </c>
    </row>
    <row r="219" spans="1:169" ht="14.45" customHeight="1" outlineLevel="1">
      <c r="A219" s="58">
        <f t="shared" ref="A219:L219" si="1058">+SUM(A220:A222)</f>
        <v>0</v>
      </c>
      <c r="B219" s="58">
        <f t="shared" si="1058"/>
        <v>0</v>
      </c>
      <c r="C219" s="58">
        <f t="shared" si="1058"/>
        <v>0</v>
      </c>
      <c r="D219" s="58">
        <f t="shared" si="1058"/>
        <v>0</v>
      </c>
      <c r="E219" s="58">
        <f t="shared" si="1058"/>
        <v>0</v>
      </c>
      <c r="F219" s="58">
        <f t="shared" si="1058"/>
        <v>0</v>
      </c>
      <c r="G219" s="58">
        <f t="shared" si="1058"/>
        <v>0</v>
      </c>
      <c r="H219" s="58">
        <f t="shared" si="1058"/>
        <v>0</v>
      </c>
      <c r="I219" s="58">
        <f t="shared" si="1058"/>
        <v>0</v>
      </c>
      <c r="J219" s="58">
        <f t="shared" si="1058"/>
        <v>0</v>
      </c>
      <c r="K219" s="58">
        <f t="shared" si="1058"/>
        <v>0</v>
      </c>
      <c r="L219" s="58">
        <f t="shared" si="1058"/>
        <v>0</v>
      </c>
      <c r="M219" s="58"/>
      <c r="N219" s="20" t="s">
        <v>184</v>
      </c>
      <c r="O219" s="58">
        <f t="shared" ref="O219:Z219" si="1059">+SUM(O220:O222)</f>
        <v>0</v>
      </c>
      <c r="P219" s="58">
        <f t="shared" si="1059"/>
        <v>0</v>
      </c>
      <c r="Q219" s="58">
        <f t="shared" si="1059"/>
        <v>0</v>
      </c>
      <c r="R219" s="58">
        <f t="shared" si="1059"/>
        <v>0</v>
      </c>
      <c r="S219" s="58">
        <f t="shared" si="1059"/>
        <v>0</v>
      </c>
      <c r="T219" s="58">
        <f t="shared" si="1059"/>
        <v>0</v>
      </c>
      <c r="U219" s="58">
        <f t="shared" si="1059"/>
        <v>0</v>
      </c>
      <c r="V219" s="58">
        <f t="shared" si="1059"/>
        <v>0</v>
      </c>
      <c r="W219" s="58">
        <f t="shared" si="1059"/>
        <v>0</v>
      </c>
      <c r="X219" s="58">
        <f t="shared" si="1059"/>
        <v>0</v>
      </c>
      <c r="Y219" s="58">
        <f t="shared" si="1059"/>
        <v>0</v>
      </c>
      <c r="Z219" s="58">
        <f t="shared" si="1059"/>
        <v>0</v>
      </c>
      <c r="AA219" s="58">
        <f t="shared" ref="AA219" si="1060">+SUM(AA220:AA222)</f>
        <v>0</v>
      </c>
      <c r="AB219" s="118"/>
      <c r="AC219" s="58">
        <f t="shared" ref="AC219:AN219" si="1061">+SUM(AC220:AC222)</f>
        <v>0</v>
      </c>
      <c r="AD219" s="58">
        <f t="shared" si="1061"/>
        <v>0</v>
      </c>
      <c r="AE219" s="58">
        <f t="shared" si="1061"/>
        <v>0</v>
      </c>
      <c r="AF219" s="58">
        <f t="shared" si="1061"/>
        <v>0</v>
      </c>
      <c r="AG219" s="58">
        <f t="shared" si="1061"/>
        <v>0</v>
      </c>
      <c r="AH219" s="58">
        <f t="shared" si="1061"/>
        <v>0</v>
      </c>
      <c r="AI219" s="58">
        <f t="shared" si="1061"/>
        <v>0</v>
      </c>
      <c r="AJ219" s="58">
        <f t="shared" si="1061"/>
        <v>0</v>
      </c>
      <c r="AK219" s="58">
        <f t="shared" si="1061"/>
        <v>0</v>
      </c>
      <c r="AL219" s="58">
        <f t="shared" si="1061"/>
        <v>0</v>
      </c>
      <c r="AM219" s="58">
        <f t="shared" si="1061"/>
        <v>0</v>
      </c>
      <c r="AN219" s="58">
        <f t="shared" si="1061"/>
        <v>0</v>
      </c>
      <c r="AO219" s="58"/>
      <c r="AP219" s="106"/>
      <c r="AQ219" s="58">
        <f t="shared" ref="AQ219:BB219" si="1062">+SUM(AQ220:AQ222)</f>
        <v>0</v>
      </c>
      <c r="AR219" s="58">
        <f t="shared" si="1062"/>
        <v>0</v>
      </c>
      <c r="AS219" s="58">
        <f t="shared" si="1062"/>
        <v>0</v>
      </c>
      <c r="AT219" s="58">
        <f t="shared" si="1062"/>
        <v>0</v>
      </c>
      <c r="AU219" s="58">
        <f t="shared" si="1062"/>
        <v>0</v>
      </c>
      <c r="AV219" s="58">
        <f t="shared" si="1062"/>
        <v>0</v>
      </c>
      <c r="AW219" s="58">
        <f t="shared" si="1062"/>
        <v>0</v>
      </c>
      <c r="AX219" s="58">
        <f t="shared" si="1062"/>
        <v>0</v>
      </c>
      <c r="AY219" s="58">
        <f t="shared" si="1062"/>
        <v>0</v>
      </c>
      <c r="AZ219" s="58">
        <f t="shared" si="1062"/>
        <v>0</v>
      </c>
      <c r="BA219" s="58">
        <f t="shared" si="1062"/>
        <v>0</v>
      </c>
      <c r="BB219" s="58">
        <f t="shared" si="1062"/>
        <v>0</v>
      </c>
      <c r="BC219" s="58">
        <f t="shared" ref="BC219" si="1063">+BC220+BC224+BC228</f>
        <v>482839.66400000005</v>
      </c>
      <c r="BD219" s="20" t="str">
        <f t="shared" si="961"/>
        <v>Finance Charge - Floor Funding</v>
      </c>
      <c r="BE219" s="58">
        <f t="shared" ref="BE219:BQ219" si="1064">+SUM(BE220:BE222)</f>
        <v>0</v>
      </c>
      <c r="BF219" s="58">
        <f t="shared" si="1064"/>
        <v>0</v>
      </c>
      <c r="BG219" s="58">
        <f t="shared" si="1064"/>
        <v>0</v>
      </c>
      <c r="BH219" s="58">
        <f t="shared" si="1064"/>
        <v>0</v>
      </c>
      <c r="BI219" s="58">
        <f t="shared" si="1064"/>
        <v>0</v>
      </c>
      <c r="BJ219" s="58">
        <f t="shared" si="1064"/>
        <v>0</v>
      </c>
      <c r="BK219" s="58">
        <f t="shared" si="1064"/>
        <v>0</v>
      </c>
      <c r="BL219" s="58">
        <f t="shared" si="1064"/>
        <v>0</v>
      </c>
      <c r="BM219" s="58">
        <f t="shared" si="1064"/>
        <v>0</v>
      </c>
      <c r="BN219" s="58">
        <f t="shared" si="1064"/>
        <v>0</v>
      </c>
      <c r="BO219" s="58">
        <f t="shared" si="1064"/>
        <v>0</v>
      </c>
      <c r="BP219" s="58">
        <f t="shared" si="1064"/>
        <v>0</v>
      </c>
      <c r="BQ219" s="58">
        <f t="shared" si="1064"/>
        <v>0</v>
      </c>
      <c r="BR219" s="118"/>
      <c r="BS219" s="58">
        <f t="shared" ref="BS219:CD219" si="1065">+SUM(BS220:BS222)</f>
        <v>0</v>
      </c>
      <c r="BT219" s="58">
        <f t="shared" si="1065"/>
        <v>0</v>
      </c>
      <c r="BU219" s="58">
        <f t="shared" si="1065"/>
        <v>0</v>
      </c>
      <c r="BV219" s="58">
        <f t="shared" si="1065"/>
        <v>0</v>
      </c>
      <c r="BW219" s="58">
        <f t="shared" si="1065"/>
        <v>0</v>
      </c>
      <c r="BX219" s="58">
        <f t="shared" si="1065"/>
        <v>0</v>
      </c>
      <c r="BY219" s="58">
        <f t="shared" si="1065"/>
        <v>0</v>
      </c>
      <c r="BZ219" s="58">
        <f t="shared" si="1065"/>
        <v>0</v>
      </c>
      <c r="CA219" s="58">
        <f t="shared" si="1065"/>
        <v>0</v>
      </c>
      <c r="CB219" s="58">
        <f t="shared" si="1065"/>
        <v>0</v>
      </c>
      <c r="CC219" s="58">
        <f t="shared" si="1065"/>
        <v>0</v>
      </c>
      <c r="CD219" s="58">
        <f t="shared" si="1065"/>
        <v>0</v>
      </c>
      <c r="CE219" s="58">
        <f t="shared" ref="CE219" si="1066">+CE220+CE224+CE228</f>
        <v>450000</v>
      </c>
      <c r="CF219" s="106"/>
      <c r="CG219" s="58">
        <f t="shared" ref="CG219:CR219" si="1067">+SUM(CG220:CG222)</f>
        <v>0</v>
      </c>
      <c r="CH219" s="58">
        <f t="shared" si="1067"/>
        <v>0</v>
      </c>
      <c r="CI219" s="58">
        <f t="shared" si="1067"/>
        <v>0</v>
      </c>
      <c r="CJ219" s="58">
        <f t="shared" si="1067"/>
        <v>0</v>
      </c>
      <c r="CK219" s="58">
        <f t="shared" si="1067"/>
        <v>0</v>
      </c>
      <c r="CL219" s="58">
        <f t="shared" si="1067"/>
        <v>0</v>
      </c>
      <c r="CM219" s="58">
        <f t="shared" si="1067"/>
        <v>0</v>
      </c>
      <c r="CN219" s="58">
        <f t="shared" si="1067"/>
        <v>0</v>
      </c>
      <c r="CO219" s="58">
        <f t="shared" si="1067"/>
        <v>0</v>
      </c>
      <c r="CP219" s="58">
        <f t="shared" si="1067"/>
        <v>0</v>
      </c>
      <c r="CQ219" s="58">
        <f t="shared" si="1067"/>
        <v>0</v>
      </c>
      <c r="CR219" s="58">
        <f t="shared" si="1067"/>
        <v>0</v>
      </c>
      <c r="CS219" s="58">
        <f t="shared" ref="CS219" si="1068">+CS220+CS224+CS228</f>
        <v>233491.70699999997</v>
      </c>
      <c r="CT219" s="20" t="str">
        <f t="shared" si="962"/>
        <v>Finance Charge - Floor Funding</v>
      </c>
      <c r="CU219" s="58">
        <f t="shared" ref="CU219:DG219" si="1069">+SUM(CU220:CU222)</f>
        <v>0</v>
      </c>
      <c r="CV219" s="58">
        <f t="shared" si="1069"/>
        <v>0</v>
      </c>
      <c r="CW219" s="58">
        <f t="shared" si="1069"/>
        <v>0</v>
      </c>
      <c r="CX219" s="58">
        <f t="shared" si="1069"/>
        <v>0</v>
      </c>
      <c r="CY219" s="58">
        <f t="shared" si="1069"/>
        <v>0</v>
      </c>
      <c r="CZ219" s="58">
        <f t="shared" si="1069"/>
        <v>0</v>
      </c>
      <c r="DA219" s="58">
        <f t="shared" si="1069"/>
        <v>0</v>
      </c>
      <c r="DB219" s="58">
        <f t="shared" si="1069"/>
        <v>0</v>
      </c>
      <c r="DC219" s="58">
        <f t="shared" si="1069"/>
        <v>0</v>
      </c>
      <c r="DD219" s="58">
        <f t="shared" si="1069"/>
        <v>0</v>
      </c>
      <c r="DE219" s="58">
        <f t="shared" si="1069"/>
        <v>0</v>
      </c>
      <c r="DF219" s="58">
        <f t="shared" si="1069"/>
        <v>0</v>
      </c>
      <c r="DG219" s="58">
        <f t="shared" si="1069"/>
        <v>0</v>
      </c>
      <c r="DH219" s="118"/>
      <c r="DI219" s="58">
        <f t="shared" ref="DI219:DU219" si="1070">+SUM(DI220:DI222)</f>
        <v>0</v>
      </c>
      <c r="DJ219" s="58">
        <f t="shared" si="1070"/>
        <v>0</v>
      </c>
      <c r="DK219" s="58">
        <f t="shared" si="1070"/>
        <v>0</v>
      </c>
      <c r="DL219" s="58">
        <f t="shared" si="1070"/>
        <v>0</v>
      </c>
      <c r="DM219" s="58">
        <f t="shared" si="1070"/>
        <v>0</v>
      </c>
      <c r="DN219" s="58">
        <f t="shared" si="1070"/>
        <v>0</v>
      </c>
      <c r="DO219" s="58">
        <f t="shared" si="1070"/>
        <v>0</v>
      </c>
      <c r="DP219" s="58">
        <f t="shared" si="1070"/>
        <v>0</v>
      </c>
      <c r="DQ219" s="58">
        <f t="shared" si="1070"/>
        <v>0</v>
      </c>
      <c r="DR219" s="58">
        <f t="shared" si="1070"/>
        <v>0</v>
      </c>
      <c r="DS219" s="58">
        <f t="shared" si="1070"/>
        <v>0</v>
      </c>
      <c r="DT219" s="58">
        <f t="shared" si="1070"/>
        <v>0</v>
      </c>
      <c r="DU219" s="58">
        <f t="shared" si="1070"/>
        <v>0</v>
      </c>
      <c r="DV219" s="106"/>
      <c r="DW219" s="58">
        <f t="shared" ref="DW219:EH219" si="1071">+SUM(DW220:DW222)</f>
        <v>0</v>
      </c>
      <c r="DX219" s="58">
        <f t="shared" si="1071"/>
        <v>0</v>
      </c>
      <c r="DY219" s="58">
        <f t="shared" si="1071"/>
        <v>0</v>
      </c>
      <c r="DZ219" s="58">
        <f t="shared" si="1071"/>
        <v>0</v>
      </c>
      <c r="EA219" s="58">
        <f t="shared" si="1071"/>
        <v>0</v>
      </c>
      <c r="EB219" s="58">
        <f t="shared" si="1071"/>
        <v>0</v>
      </c>
      <c r="EC219" s="58">
        <f t="shared" si="1071"/>
        <v>0</v>
      </c>
      <c r="ED219" s="58">
        <f t="shared" si="1071"/>
        <v>0</v>
      </c>
      <c r="EE219" s="58">
        <f t="shared" si="1071"/>
        <v>0</v>
      </c>
      <c r="EF219" s="58">
        <f t="shared" si="1071"/>
        <v>0</v>
      </c>
      <c r="EG219" s="58">
        <f t="shared" si="1071"/>
        <v>0</v>
      </c>
      <c r="EH219" s="58">
        <f t="shared" si="1071"/>
        <v>0</v>
      </c>
      <c r="EI219" s="58">
        <f t="shared" ref="EI219" si="1072">+EI220+EI224+EI228</f>
        <v>0</v>
      </c>
      <c r="EJ219" s="20" t="str">
        <f t="shared" si="963"/>
        <v>Finance Charge - Floor Funding</v>
      </c>
      <c r="EK219" s="58">
        <f t="shared" ref="EK219:EV219" si="1073">+SUM(EK220:EK222)</f>
        <v>0</v>
      </c>
      <c r="EL219" s="58">
        <f t="shared" si="1073"/>
        <v>0</v>
      </c>
      <c r="EM219" s="58">
        <f t="shared" si="1073"/>
        <v>0</v>
      </c>
      <c r="EN219" s="58">
        <f t="shared" si="1073"/>
        <v>0</v>
      </c>
      <c r="EO219" s="58">
        <f t="shared" si="1073"/>
        <v>0</v>
      </c>
      <c r="EP219" s="58">
        <f t="shared" si="1073"/>
        <v>0</v>
      </c>
      <c r="EQ219" s="58">
        <f t="shared" si="1073"/>
        <v>0</v>
      </c>
      <c r="ER219" s="58">
        <f t="shared" si="1073"/>
        <v>0</v>
      </c>
      <c r="ES219" s="58">
        <f t="shared" si="1073"/>
        <v>0</v>
      </c>
      <c r="ET219" s="58">
        <f t="shared" si="1073"/>
        <v>0</v>
      </c>
      <c r="EU219" s="58">
        <f t="shared" si="1073"/>
        <v>0</v>
      </c>
      <c r="EV219" s="58">
        <f t="shared" si="1073"/>
        <v>0</v>
      </c>
      <c r="EW219" s="58">
        <f t="shared" ref="EW219" si="1074">+EW220+EW224+EW228</f>
        <v>13590.456</v>
      </c>
      <c r="EX219" s="118"/>
      <c r="EY219" s="58">
        <f t="shared" ref="EY219:FJ219" si="1075">+SUM(EY220:EY222)</f>
        <v>0</v>
      </c>
      <c r="EZ219" s="58">
        <f t="shared" si="1075"/>
        <v>0</v>
      </c>
      <c r="FA219" s="58">
        <f t="shared" si="1075"/>
        <v>0</v>
      </c>
      <c r="FB219" s="58">
        <f t="shared" si="1075"/>
        <v>0</v>
      </c>
      <c r="FC219" s="58">
        <f t="shared" si="1075"/>
        <v>0</v>
      </c>
      <c r="FD219" s="58">
        <f t="shared" si="1075"/>
        <v>0</v>
      </c>
      <c r="FE219" s="58">
        <f t="shared" si="1075"/>
        <v>0</v>
      </c>
      <c r="FF219" s="58">
        <f t="shared" si="1075"/>
        <v>0</v>
      </c>
      <c r="FG219" s="58">
        <f t="shared" si="1075"/>
        <v>0</v>
      </c>
      <c r="FH219" s="58">
        <f t="shared" si="1075"/>
        <v>0</v>
      </c>
      <c r="FI219" s="58">
        <f t="shared" si="1075"/>
        <v>0</v>
      </c>
      <c r="FJ219" s="58">
        <f t="shared" si="1075"/>
        <v>0</v>
      </c>
      <c r="FK219" s="58">
        <f t="shared" ref="FK219" si="1076">+FK220+FK224+FK228</f>
        <v>99999.999999999956</v>
      </c>
    </row>
    <row r="220" spans="1:169" ht="14.45" hidden="1" customHeight="1" outlineLevel="2">
      <c r="A220" s="106">
        <f t="shared" ref="A220:L222" si="1077">+AQ220+CG220+DW220</f>
        <v>0</v>
      </c>
      <c r="B220" s="106">
        <f t="shared" si="1077"/>
        <v>0</v>
      </c>
      <c r="C220" s="106">
        <f t="shared" si="1077"/>
        <v>0</v>
      </c>
      <c r="D220" s="106">
        <f t="shared" si="1077"/>
        <v>0</v>
      </c>
      <c r="E220" s="106">
        <f t="shared" si="1077"/>
        <v>0</v>
      </c>
      <c r="F220" s="106">
        <f t="shared" si="1077"/>
        <v>0</v>
      </c>
      <c r="G220" s="106">
        <f t="shared" si="1077"/>
        <v>0</v>
      </c>
      <c r="H220" s="106">
        <f t="shared" si="1077"/>
        <v>0</v>
      </c>
      <c r="I220" s="106">
        <f t="shared" si="1077"/>
        <v>0</v>
      </c>
      <c r="J220" s="106">
        <f t="shared" si="1077"/>
        <v>0</v>
      </c>
      <c r="K220" s="106">
        <f t="shared" si="1077"/>
        <v>0</v>
      </c>
      <c r="L220" s="106">
        <f t="shared" si="1077"/>
        <v>0</v>
      </c>
      <c r="M220" s="106">
        <f t="shared" ref="M220:M222" si="1078">+SUM(A220:L220)</f>
        <v>0</v>
      </c>
      <c r="N220" s="16" t="s">
        <v>185</v>
      </c>
      <c r="O220" s="106">
        <f t="shared" ref="O220:Z222" si="1079">+BE220+CU220+EK220</f>
        <v>0</v>
      </c>
      <c r="P220" s="106">
        <f t="shared" si="1079"/>
        <v>0</v>
      </c>
      <c r="Q220" s="106">
        <f t="shared" si="1079"/>
        <v>0</v>
      </c>
      <c r="R220" s="106">
        <f t="shared" si="1079"/>
        <v>0</v>
      </c>
      <c r="S220" s="106">
        <f t="shared" si="1079"/>
        <v>0</v>
      </c>
      <c r="T220" s="106">
        <f t="shared" si="1079"/>
        <v>0</v>
      </c>
      <c r="U220" s="106">
        <f t="shared" si="1079"/>
        <v>0</v>
      </c>
      <c r="V220" s="106">
        <f t="shared" si="1079"/>
        <v>0</v>
      </c>
      <c r="W220" s="106">
        <f t="shared" si="1079"/>
        <v>0</v>
      </c>
      <c r="X220" s="106">
        <f t="shared" si="1079"/>
        <v>0</v>
      </c>
      <c r="Y220" s="106">
        <f t="shared" si="1079"/>
        <v>0</v>
      </c>
      <c r="Z220" s="106">
        <f t="shared" si="1079"/>
        <v>0</v>
      </c>
      <c r="AA220" s="106">
        <f t="shared" ref="AA220:AA222" si="1080">+SUM(O220:Z220)</f>
        <v>0</v>
      </c>
      <c r="AB220" s="118"/>
      <c r="AC220" s="106">
        <f t="shared" ref="AC220:AN222" si="1081">+BS220+DI220+EY220</f>
        <v>0</v>
      </c>
      <c r="AD220" s="106">
        <f t="shared" si="1081"/>
        <v>0</v>
      </c>
      <c r="AE220" s="106">
        <f t="shared" si="1081"/>
        <v>0</v>
      </c>
      <c r="AF220" s="106">
        <f t="shared" si="1081"/>
        <v>0</v>
      </c>
      <c r="AG220" s="106">
        <f t="shared" si="1081"/>
        <v>0</v>
      </c>
      <c r="AH220" s="106">
        <f t="shared" si="1081"/>
        <v>0</v>
      </c>
      <c r="AI220" s="106">
        <f t="shared" si="1081"/>
        <v>0</v>
      </c>
      <c r="AJ220" s="106">
        <f t="shared" si="1081"/>
        <v>0</v>
      </c>
      <c r="AK220" s="106">
        <f t="shared" si="1081"/>
        <v>0</v>
      </c>
      <c r="AL220" s="106">
        <f t="shared" si="1081"/>
        <v>0</v>
      </c>
      <c r="AM220" s="106">
        <f t="shared" si="1081"/>
        <v>0</v>
      </c>
      <c r="AN220" s="106">
        <f t="shared" si="1081"/>
        <v>0</v>
      </c>
      <c r="AO220" s="106">
        <f t="shared" ref="AO220:AO222" si="1082">+SUM(AC220:AN220)</f>
        <v>0</v>
      </c>
      <c r="AP220" s="106"/>
      <c r="AQ220" s="106">
        <f>+PMGR!AQ220+BP!AQ220</f>
        <v>0</v>
      </c>
      <c r="AR220" s="106">
        <f>+PMGR!AR220+BP!AR220</f>
        <v>0</v>
      </c>
      <c r="AS220" s="106">
        <f>+PMGR!AS220+BP!AS220</f>
        <v>0</v>
      </c>
      <c r="AT220" s="106">
        <f>+PMGR!AT220+BP!AT220</f>
        <v>0</v>
      </c>
      <c r="AU220" s="106">
        <f>+PMGR!AU220+BP!AU220</f>
        <v>0</v>
      </c>
      <c r="AV220" s="106">
        <f>+PMGR!AV220+BP!AV220</f>
        <v>0</v>
      </c>
      <c r="AW220" s="106">
        <f>+PMGR!AW220+BP!AW220</f>
        <v>0</v>
      </c>
      <c r="AX220" s="106">
        <f>+PMGR!AX220+BP!AX220</f>
        <v>0</v>
      </c>
      <c r="AY220" s="106">
        <f>+PMGR!AY220+BP!AY220</f>
        <v>0</v>
      </c>
      <c r="AZ220" s="106">
        <f>+PMGR!AZ220+BP!AZ220</f>
        <v>0</v>
      </c>
      <c r="BA220" s="106">
        <f>+PMGR!BA220+BP!BA220</f>
        <v>0</v>
      </c>
      <c r="BB220" s="106">
        <f>+PMGR!BB220+BP!BB220</f>
        <v>0</v>
      </c>
      <c r="BC220" s="106">
        <f t="shared" ref="BC220:BC222" si="1083">+SUM(AQ220:BB220)</f>
        <v>0</v>
      </c>
      <c r="BD220" s="16" t="str">
        <f t="shared" si="961"/>
        <v>Interest - Floor Fund - POC</v>
      </c>
      <c r="BE220" s="106">
        <f>+PMGR!BE220+BP!BE220</f>
        <v>0</v>
      </c>
      <c r="BF220" s="106">
        <f>+PMGR!BF220+BP!BF220</f>
        <v>0</v>
      </c>
      <c r="BG220" s="106">
        <f>+PMGR!BG220+BP!BG220</f>
        <v>0</v>
      </c>
      <c r="BH220" s="106">
        <f>+PMGR!BH220+BP!BH220</f>
        <v>0</v>
      </c>
      <c r="BI220" s="106">
        <f>+PMGR!BI220+BP!BI220</f>
        <v>0</v>
      </c>
      <c r="BJ220" s="106">
        <f>+PMGR!BJ220+BP!BJ220</f>
        <v>0</v>
      </c>
      <c r="BK220" s="106">
        <f>+PMGR!BK220+BP!BK220</f>
        <v>0</v>
      </c>
      <c r="BL220" s="106">
        <f>+PMGR!BL220+BP!BL220</f>
        <v>0</v>
      </c>
      <c r="BM220" s="106">
        <f>+PMGR!BM220+BP!BM220</f>
        <v>0</v>
      </c>
      <c r="BN220" s="106">
        <f>+PMGR!BN220+BP!BN220</f>
        <v>0</v>
      </c>
      <c r="BO220" s="106">
        <f>+PMGR!BO220+BP!BO220</f>
        <v>0</v>
      </c>
      <c r="BP220" s="106">
        <f>+PMGR!BP220+BP!BP220</f>
        <v>0</v>
      </c>
      <c r="BQ220" s="106">
        <f t="shared" ref="BQ220:BQ222" si="1084">+SUM(BE220:BP220)</f>
        <v>0</v>
      </c>
      <c r="BR220" s="118"/>
      <c r="BS220" s="106">
        <f>+PMGR!BS220+BP!BS220</f>
        <v>0</v>
      </c>
      <c r="BT220" s="106">
        <f>+PMGR!BT220+BP!BT220</f>
        <v>0</v>
      </c>
      <c r="BU220" s="106">
        <f>+PMGR!BU220+BP!BU220</f>
        <v>0</v>
      </c>
      <c r="BV220" s="106">
        <f>+PMGR!BV220+BP!BV220</f>
        <v>0</v>
      </c>
      <c r="BW220" s="106">
        <f>+PMGR!BW220+BP!BW220</f>
        <v>0</v>
      </c>
      <c r="BX220" s="106">
        <f>+PMGR!BX220+BP!BX220</f>
        <v>0</v>
      </c>
      <c r="BY220" s="106">
        <f>+PMGR!BY220+BP!BY220</f>
        <v>0</v>
      </c>
      <c r="BZ220" s="106">
        <f>+PMGR!BZ220+BP!BZ220</f>
        <v>0</v>
      </c>
      <c r="CA220" s="106">
        <f>+PMGR!CA220+BP!CA220</f>
        <v>0</v>
      </c>
      <c r="CB220" s="106">
        <f>+PMGR!CB220+BP!CB220</f>
        <v>0</v>
      </c>
      <c r="CC220" s="106">
        <f>+PMGR!CC220+BP!CC220</f>
        <v>0</v>
      </c>
      <c r="CD220" s="106">
        <f>+PMGR!CD220+BP!CD220</f>
        <v>0</v>
      </c>
      <c r="CE220" s="106">
        <f t="shared" ref="CE220:CE222" si="1085">+SUM(BS220:CD220)</f>
        <v>0</v>
      </c>
      <c r="CF220" s="106"/>
      <c r="CG220" s="106">
        <f>+PMGR!CG220+BP!CG220</f>
        <v>0</v>
      </c>
      <c r="CH220" s="106">
        <f>+PMGR!CH220+BP!CH220</f>
        <v>0</v>
      </c>
      <c r="CI220" s="106">
        <f>+PMGR!CI220+BP!CI220</f>
        <v>0</v>
      </c>
      <c r="CJ220" s="106">
        <f>+PMGR!CJ220+BP!CJ220</f>
        <v>0</v>
      </c>
      <c r="CK220" s="106">
        <f>+PMGR!CK220+BP!CK220</f>
        <v>0</v>
      </c>
      <c r="CL220" s="106">
        <f>+PMGR!CL220+BP!CL220</f>
        <v>0</v>
      </c>
      <c r="CM220" s="106">
        <f>+PMGR!CM220+BP!CM220</f>
        <v>0</v>
      </c>
      <c r="CN220" s="106">
        <f>+PMGR!CN220+BP!CN220</f>
        <v>0</v>
      </c>
      <c r="CO220" s="106">
        <f>+PMGR!CO220+BP!CO220</f>
        <v>0</v>
      </c>
      <c r="CP220" s="106">
        <f>+PMGR!CP220+BP!CP220</f>
        <v>0</v>
      </c>
      <c r="CQ220" s="106">
        <f>+PMGR!CQ220+BP!CQ220</f>
        <v>0</v>
      </c>
      <c r="CR220" s="106">
        <f>+PMGR!CR220+BP!CR220</f>
        <v>0</v>
      </c>
      <c r="CS220" s="106">
        <f t="shared" ref="CS220:CS222" si="1086">+SUM(CG220:CR220)</f>
        <v>0</v>
      </c>
      <c r="CT220" s="16" t="str">
        <f t="shared" si="962"/>
        <v>Interest - Floor Fund - POC</v>
      </c>
      <c r="CU220" s="106">
        <f>+PMGR!CU220+BP!CU220</f>
        <v>0</v>
      </c>
      <c r="CV220" s="106">
        <f>+PMGR!CV220+BP!CV220</f>
        <v>0</v>
      </c>
      <c r="CW220" s="106">
        <f>+PMGR!CW220+BP!CW220</f>
        <v>0</v>
      </c>
      <c r="CX220" s="106">
        <f>+PMGR!CX220+BP!CX220</f>
        <v>0</v>
      </c>
      <c r="CY220" s="106">
        <f>+PMGR!CY220+BP!CY220</f>
        <v>0</v>
      </c>
      <c r="CZ220" s="106">
        <f>+PMGR!CZ220+BP!CZ220</f>
        <v>0</v>
      </c>
      <c r="DA220" s="106">
        <f>+PMGR!DA220+BP!DA220</f>
        <v>0</v>
      </c>
      <c r="DB220" s="106">
        <f>+PMGR!DB220+BP!DB220</f>
        <v>0</v>
      </c>
      <c r="DC220" s="106">
        <f>+PMGR!DC220+BP!DC220</f>
        <v>0</v>
      </c>
      <c r="DD220" s="106">
        <f>+PMGR!DD220+BP!DD220</f>
        <v>0</v>
      </c>
      <c r="DE220" s="106">
        <f>+PMGR!DE220+BP!DE220</f>
        <v>0</v>
      </c>
      <c r="DF220" s="106">
        <f>+PMGR!DF220+BP!DF220</f>
        <v>0</v>
      </c>
      <c r="DG220" s="106">
        <f t="shared" ref="DG220:DG222" si="1087">+SUM(CU220:DF220)</f>
        <v>0</v>
      </c>
      <c r="DH220" s="118"/>
      <c r="DI220" s="106">
        <f>+PMGR!DI220+BP!DI220</f>
        <v>0</v>
      </c>
      <c r="DJ220" s="106">
        <f>+PMGR!DJ220+BP!DJ220</f>
        <v>0</v>
      </c>
      <c r="DK220" s="106">
        <f>+PMGR!DK220+BP!DK220</f>
        <v>0</v>
      </c>
      <c r="DL220" s="106">
        <f>+PMGR!DL220+BP!DL220</f>
        <v>0</v>
      </c>
      <c r="DM220" s="106">
        <f>+PMGR!DM220+BP!DM220</f>
        <v>0</v>
      </c>
      <c r="DN220" s="106">
        <f>+PMGR!DN220+BP!DN220</f>
        <v>0</v>
      </c>
      <c r="DO220" s="106">
        <f>+PMGR!DO220+BP!DO220</f>
        <v>0</v>
      </c>
      <c r="DP220" s="106">
        <f>+PMGR!DP220+BP!DP220</f>
        <v>0</v>
      </c>
      <c r="DQ220" s="106">
        <f>+PMGR!DQ220+BP!DQ220</f>
        <v>0</v>
      </c>
      <c r="DR220" s="106">
        <f>+PMGR!DR220+BP!DR220</f>
        <v>0</v>
      </c>
      <c r="DS220" s="106">
        <f>+PMGR!DS220+BP!DS220</f>
        <v>0</v>
      </c>
      <c r="DT220" s="106">
        <f>+PMGR!DT220+BP!DT220</f>
        <v>0</v>
      </c>
      <c r="DU220" s="106">
        <f t="shared" ref="DU220:DU222" si="1088">+SUM(DI220:DT220)</f>
        <v>0</v>
      </c>
      <c r="DV220" s="106"/>
      <c r="DW220" s="106">
        <f>+PMGR!DW220+BP!DW220</f>
        <v>0</v>
      </c>
      <c r="DX220" s="106">
        <f>+PMGR!DX220+BP!DX220</f>
        <v>0</v>
      </c>
      <c r="DY220" s="106">
        <f>+PMGR!DY220+BP!DY220</f>
        <v>0</v>
      </c>
      <c r="DZ220" s="106">
        <f>+PMGR!DZ220+BP!DZ220</f>
        <v>0</v>
      </c>
      <c r="EA220" s="106">
        <f>+PMGR!EA220+BP!EA220</f>
        <v>0</v>
      </c>
      <c r="EB220" s="106">
        <f>+PMGR!EB220+BP!EB220</f>
        <v>0</v>
      </c>
      <c r="EC220" s="106">
        <f>+PMGR!EC220+BP!EC220</f>
        <v>0</v>
      </c>
      <c r="ED220" s="106">
        <f>+PMGR!ED220+BP!ED220</f>
        <v>0</v>
      </c>
      <c r="EE220" s="106">
        <f>+PMGR!EE220+BP!EE220</f>
        <v>0</v>
      </c>
      <c r="EF220" s="106">
        <f>+PMGR!EF220+BP!EF220</f>
        <v>0</v>
      </c>
      <c r="EG220" s="106">
        <f>+PMGR!EG220+BP!EG220</f>
        <v>0</v>
      </c>
      <c r="EH220" s="106">
        <f>+PMGR!EH220+BP!EH220</f>
        <v>0</v>
      </c>
      <c r="EI220" s="106">
        <f t="shared" ref="EI220:EI222" si="1089">+SUM(DW220:EH220)</f>
        <v>0</v>
      </c>
      <c r="EJ220" s="16" t="str">
        <f t="shared" si="963"/>
        <v>Interest - Floor Fund - POC</v>
      </c>
      <c r="EK220" s="106">
        <f>+PMGR!EK220+BP!EK220</f>
        <v>0</v>
      </c>
      <c r="EL220" s="106">
        <f>+PMGR!EL220+BP!EL220</f>
        <v>0</v>
      </c>
      <c r="EM220" s="106">
        <f>+PMGR!EM220+BP!EM220</f>
        <v>0</v>
      </c>
      <c r="EN220" s="106">
        <f>+PMGR!EN220+BP!EN220</f>
        <v>0</v>
      </c>
      <c r="EO220" s="106">
        <f>+PMGR!EO220+BP!EO220</f>
        <v>0</v>
      </c>
      <c r="EP220" s="106">
        <f>+PMGR!EP220+BP!EP220</f>
        <v>0</v>
      </c>
      <c r="EQ220" s="106">
        <f>+PMGR!EQ220+BP!EQ220</f>
        <v>0</v>
      </c>
      <c r="ER220" s="106">
        <f>+PMGR!ER220+BP!ER220</f>
        <v>0</v>
      </c>
      <c r="ES220" s="106">
        <f>+PMGR!ES220+BP!ES220</f>
        <v>0</v>
      </c>
      <c r="ET220" s="106">
        <f>+PMGR!ET220+BP!ET220</f>
        <v>0</v>
      </c>
      <c r="EU220" s="106">
        <f>+PMGR!EU220+BP!EU220</f>
        <v>0</v>
      </c>
      <c r="EV220" s="106">
        <f>+PMGR!EV220+BP!EV220</f>
        <v>0</v>
      </c>
      <c r="EW220" s="106">
        <f t="shared" ref="EW220:EW222" si="1090">+SUM(EK220:EV220)</f>
        <v>0</v>
      </c>
      <c r="EX220" s="118"/>
      <c r="EY220" s="106">
        <f>+PMGR!EY220+BP!EY220</f>
        <v>0</v>
      </c>
      <c r="EZ220" s="106">
        <f>+PMGR!EZ220+BP!EZ220</f>
        <v>0</v>
      </c>
      <c r="FA220" s="106">
        <f>+PMGR!FA220+BP!FA220</f>
        <v>0</v>
      </c>
      <c r="FB220" s="106">
        <f>+PMGR!FB220+BP!FB220</f>
        <v>0</v>
      </c>
      <c r="FC220" s="106">
        <f>+PMGR!FC220+BP!FC220</f>
        <v>0</v>
      </c>
      <c r="FD220" s="106">
        <f>+PMGR!FD220+BP!FD220</f>
        <v>0</v>
      </c>
      <c r="FE220" s="106">
        <f>+PMGR!FE220+BP!FE220</f>
        <v>0</v>
      </c>
      <c r="FF220" s="106">
        <f>+PMGR!FF220+BP!FF220</f>
        <v>0</v>
      </c>
      <c r="FG220" s="106">
        <f>+PMGR!FG220+BP!FG220</f>
        <v>0</v>
      </c>
      <c r="FH220" s="106">
        <f>+PMGR!FH220+BP!FH220</f>
        <v>0</v>
      </c>
      <c r="FI220" s="106">
        <f>+PMGR!FI220+BP!FI220</f>
        <v>0</v>
      </c>
      <c r="FJ220" s="106">
        <f>+PMGR!FJ220+BP!FJ220</f>
        <v>0</v>
      </c>
      <c r="FK220" s="106">
        <f t="shared" ref="FK220:FK222" si="1091">+SUM(EY220:FJ220)</f>
        <v>0</v>
      </c>
    </row>
    <row r="221" spans="1:169" ht="14.45" hidden="1" customHeight="1" outlineLevel="2">
      <c r="A221" s="106">
        <f t="shared" si="1077"/>
        <v>0</v>
      </c>
      <c r="B221" s="106">
        <f t="shared" si="1077"/>
        <v>0</v>
      </c>
      <c r="C221" s="106">
        <f t="shared" si="1077"/>
        <v>0</v>
      </c>
      <c r="D221" s="106">
        <f t="shared" si="1077"/>
        <v>0</v>
      </c>
      <c r="E221" s="106">
        <f t="shared" si="1077"/>
        <v>0</v>
      </c>
      <c r="F221" s="106">
        <f t="shared" si="1077"/>
        <v>0</v>
      </c>
      <c r="G221" s="106">
        <f t="shared" si="1077"/>
        <v>0</v>
      </c>
      <c r="H221" s="106">
        <f t="shared" si="1077"/>
        <v>0</v>
      </c>
      <c r="I221" s="106">
        <f t="shared" si="1077"/>
        <v>0</v>
      </c>
      <c r="J221" s="106">
        <f t="shared" si="1077"/>
        <v>0</v>
      </c>
      <c r="K221" s="106">
        <f t="shared" si="1077"/>
        <v>0</v>
      </c>
      <c r="L221" s="106">
        <f t="shared" si="1077"/>
        <v>0</v>
      </c>
      <c r="M221" s="106">
        <f t="shared" si="1078"/>
        <v>0</v>
      </c>
      <c r="N221" s="16" t="s">
        <v>236</v>
      </c>
      <c r="O221" s="106">
        <f t="shared" si="1079"/>
        <v>0</v>
      </c>
      <c r="P221" s="106">
        <f t="shared" si="1079"/>
        <v>0</v>
      </c>
      <c r="Q221" s="106">
        <f t="shared" si="1079"/>
        <v>0</v>
      </c>
      <c r="R221" s="106">
        <f t="shared" si="1079"/>
        <v>0</v>
      </c>
      <c r="S221" s="106">
        <f t="shared" si="1079"/>
        <v>0</v>
      </c>
      <c r="T221" s="106">
        <f t="shared" si="1079"/>
        <v>0</v>
      </c>
      <c r="U221" s="106">
        <f t="shared" si="1079"/>
        <v>0</v>
      </c>
      <c r="V221" s="106">
        <f t="shared" si="1079"/>
        <v>0</v>
      </c>
      <c r="W221" s="106">
        <f t="shared" si="1079"/>
        <v>0</v>
      </c>
      <c r="X221" s="106">
        <f t="shared" si="1079"/>
        <v>0</v>
      </c>
      <c r="Y221" s="106">
        <f t="shared" si="1079"/>
        <v>0</v>
      </c>
      <c r="Z221" s="106">
        <f t="shared" si="1079"/>
        <v>0</v>
      </c>
      <c r="AA221" s="106">
        <f t="shared" si="1080"/>
        <v>0</v>
      </c>
      <c r="AB221" s="118"/>
      <c r="AC221" s="106">
        <f t="shared" si="1081"/>
        <v>0</v>
      </c>
      <c r="AD221" s="106">
        <f t="shared" si="1081"/>
        <v>0</v>
      </c>
      <c r="AE221" s="106">
        <f t="shared" si="1081"/>
        <v>0</v>
      </c>
      <c r="AF221" s="106">
        <f t="shared" si="1081"/>
        <v>0</v>
      </c>
      <c r="AG221" s="106">
        <f t="shared" si="1081"/>
        <v>0</v>
      </c>
      <c r="AH221" s="106">
        <f t="shared" si="1081"/>
        <v>0</v>
      </c>
      <c r="AI221" s="106">
        <f t="shared" si="1081"/>
        <v>0</v>
      </c>
      <c r="AJ221" s="106">
        <f t="shared" si="1081"/>
        <v>0</v>
      </c>
      <c r="AK221" s="106">
        <f t="shared" si="1081"/>
        <v>0</v>
      </c>
      <c r="AL221" s="106">
        <f t="shared" si="1081"/>
        <v>0</v>
      </c>
      <c r="AM221" s="106">
        <f t="shared" si="1081"/>
        <v>0</v>
      </c>
      <c r="AN221" s="106">
        <f t="shared" si="1081"/>
        <v>0</v>
      </c>
      <c r="AO221" s="106">
        <f t="shared" si="1082"/>
        <v>0</v>
      </c>
      <c r="AP221" s="106"/>
      <c r="AQ221" s="106">
        <f>+PMGR!AQ221+BP!AQ221</f>
        <v>0</v>
      </c>
      <c r="AR221" s="106">
        <f>+PMGR!AR221+BP!AR221</f>
        <v>0</v>
      </c>
      <c r="AS221" s="106">
        <f>+PMGR!AS221+BP!AS221</f>
        <v>0</v>
      </c>
      <c r="AT221" s="106">
        <f>+PMGR!AT221+BP!AT221</f>
        <v>0</v>
      </c>
      <c r="AU221" s="106">
        <f>+PMGR!AU221+BP!AU221</f>
        <v>0</v>
      </c>
      <c r="AV221" s="106">
        <f>+PMGR!AV221+BP!AV221</f>
        <v>0</v>
      </c>
      <c r="AW221" s="106">
        <f>+PMGR!AW221+BP!AW221</f>
        <v>0</v>
      </c>
      <c r="AX221" s="106">
        <f>+PMGR!AX221+BP!AX221</f>
        <v>0</v>
      </c>
      <c r="AY221" s="106">
        <f>+PMGR!AY221+BP!AY221</f>
        <v>0</v>
      </c>
      <c r="AZ221" s="106">
        <f>+PMGR!AZ221+BP!AZ221</f>
        <v>0</v>
      </c>
      <c r="BA221" s="106">
        <f>+PMGR!BA221+BP!BA221</f>
        <v>0</v>
      </c>
      <c r="BB221" s="106">
        <f>+PMGR!BB221+BP!BB221</f>
        <v>0</v>
      </c>
      <c r="BC221" s="106">
        <f t="shared" si="1083"/>
        <v>0</v>
      </c>
      <c r="BD221" s="16" t="str">
        <f t="shared" si="961"/>
        <v>Interest on Unsecured Loan - Skyline</v>
      </c>
      <c r="BE221" s="106">
        <f>+PMGR!BE221+BP!BE221</f>
        <v>0</v>
      </c>
      <c r="BF221" s="106">
        <f>+PMGR!BF221+BP!BF221</f>
        <v>0</v>
      </c>
      <c r="BG221" s="106">
        <f>+PMGR!BG221+BP!BG221</f>
        <v>0</v>
      </c>
      <c r="BH221" s="106">
        <f>+PMGR!BH221+BP!BH221</f>
        <v>0</v>
      </c>
      <c r="BI221" s="106">
        <f>+PMGR!BI221+BP!BI221</f>
        <v>0</v>
      </c>
      <c r="BJ221" s="106">
        <f>+PMGR!BJ221+BP!BJ221</f>
        <v>0</v>
      </c>
      <c r="BK221" s="106">
        <f>+PMGR!BK221+BP!BK221</f>
        <v>0</v>
      </c>
      <c r="BL221" s="106">
        <f>+PMGR!BL221+BP!BL221</f>
        <v>0</v>
      </c>
      <c r="BM221" s="106">
        <f>+PMGR!BM221+BP!BM221</f>
        <v>0</v>
      </c>
      <c r="BN221" s="106">
        <f>+PMGR!BN221+BP!BN221</f>
        <v>0</v>
      </c>
      <c r="BO221" s="106">
        <f>+PMGR!BO221+BP!BO221</f>
        <v>0</v>
      </c>
      <c r="BP221" s="106">
        <f>+PMGR!BP221+BP!BP221</f>
        <v>0</v>
      </c>
      <c r="BQ221" s="106">
        <f t="shared" si="1084"/>
        <v>0</v>
      </c>
      <c r="BR221" s="118"/>
      <c r="BS221" s="106">
        <f>+PMGR!BS221+BP!BS221</f>
        <v>0</v>
      </c>
      <c r="BT221" s="106">
        <f>+PMGR!BT221+BP!BT221</f>
        <v>0</v>
      </c>
      <c r="BU221" s="106">
        <f>+PMGR!BU221+BP!BU221</f>
        <v>0</v>
      </c>
      <c r="BV221" s="106">
        <f>+PMGR!BV221+BP!BV221</f>
        <v>0</v>
      </c>
      <c r="BW221" s="106">
        <f>+PMGR!BW221+BP!BW221</f>
        <v>0</v>
      </c>
      <c r="BX221" s="106">
        <f>+PMGR!BX221+BP!BX221</f>
        <v>0</v>
      </c>
      <c r="BY221" s="106">
        <f>+PMGR!BY221+BP!BY221</f>
        <v>0</v>
      </c>
      <c r="BZ221" s="106">
        <f>+PMGR!BZ221+BP!BZ221</f>
        <v>0</v>
      </c>
      <c r="CA221" s="106">
        <f>+PMGR!CA221+BP!CA221</f>
        <v>0</v>
      </c>
      <c r="CB221" s="106">
        <f>+PMGR!CB221+BP!CB221</f>
        <v>0</v>
      </c>
      <c r="CC221" s="106">
        <f>+PMGR!CC221+BP!CC221</f>
        <v>0</v>
      </c>
      <c r="CD221" s="106">
        <f>+PMGR!CD221+BP!CD221</f>
        <v>0</v>
      </c>
      <c r="CE221" s="106">
        <f t="shared" si="1085"/>
        <v>0</v>
      </c>
      <c r="CF221" s="106"/>
      <c r="CG221" s="106">
        <f>+PMGR!CG221+BP!CG221</f>
        <v>0</v>
      </c>
      <c r="CH221" s="106">
        <f>+PMGR!CH221+BP!CH221</f>
        <v>0</v>
      </c>
      <c r="CI221" s="106">
        <f>+PMGR!CI221+BP!CI221</f>
        <v>0</v>
      </c>
      <c r="CJ221" s="106">
        <f>+PMGR!CJ221+BP!CJ221</f>
        <v>0</v>
      </c>
      <c r="CK221" s="106">
        <f>+PMGR!CK221+BP!CK221</f>
        <v>0</v>
      </c>
      <c r="CL221" s="106">
        <f>+PMGR!CL221+BP!CL221</f>
        <v>0</v>
      </c>
      <c r="CM221" s="106">
        <f>+PMGR!CM221+BP!CM221</f>
        <v>0</v>
      </c>
      <c r="CN221" s="106">
        <f>+PMGR!CN221+BP!CN221</f>
        <v>0</v>
      </c>
      <c r="CO221" s="106">
        <f>+PMGR!CO221+BP!CO221</f>
        <v>0</v>
      </c>
      <c r="CP221" s="106">
        <f>+PMGR!CP221+BP!CP221</f>
        <v>0</v>
      </c>
      <c r="CQ221" s="106">
        <f>+PMGR!CQ221+BP!CQ221</f>
        <v>0</v>
      </c>
      <c r="CR221" s="106">
        <f>+PMGR!CR221+BP!CR221</f>
        <v>0</v>
      </c>
      <c r="CS221" s="106">
        <f t="shared" si="1086"/>
        <v>0</v>
      </c>
      <c r="CT221" s="16" t="str">
        <f t="shared" si="962"/>
        <v>Interest on Unsecured Loan - Skyline</v>
      </c>
      <c r="CU221" s="106">
        <f>+PMGR!CU221+BP!CU221</f>
        <v>0</v>
      </c>
      <c r="CV221" s="106">
        <f>+PMGR!CV221+BP!CV221</f>
        <v>0</v>
      </c>
      <c r="CW221" s="106">
        <f>+PMGR!CW221+BP!CW221</f>
        <v>0</v>
      </c>
      <c r="CX221" s="106">
        <f>+PMGR!CX221+BP!CX221</f>
        <v>0</v>
      </c>
      <c r="CY221" s="106">
        <f>+PMGR!CY221+BP!CY221</f>
        <v>0</v>
      </c>
      <c r="CZ221" s="106">
        <f>+PMGR!CZ221+BP!CZ221</f>
        <v>0</v>
      </c>
      <c r="DA221" s="106">
        <f>+PMGR!DA221+BP!DA221</f>
        <v>0</v>
      </c>
      <c r="DB221" s="106">
        <f>+PMGR!DB221+BP!DB221</f>
        <v>0</v>
      </c>
      <c r="DC221" s="106">
        <f>+PMGR!DC221+BP!DC221</f>
        <v>0</v>
      </c>
      <c r="DD221" s="106">
        <f>+PMGR!DD221+BP!DD221</f>
        <v>0</v>
      </c>
      <c r="DE221" s="106">
        <f>+PMGR!DE221+BP!DE221</f>
        <v>0</v>
      </c>
      <c r="DF221" s="106">
        <f>+PMGR!DF221+BP!DF221</f>
        <v>0</v>
      </c>
      <c r="DG221" s="106">
        <f t="shared" si="1087"/>
        <v>0</v>
      </c>
      <c r="DH221" s="118"/>
      <c r="DI221" s="106">
        <f>+PMGR!DI221+BP!DI221</f>
        <v>0</v>
      </c>
      <c r="DJ221" s="106">
        <f>+PMGR!DJ221+BP!DJ221</f>
        <v>0</v>
      </c>
      <c r="DK221" s="106">
        <f>+PMGR!DK221+BP!DK221</f>
        <v>0</v>
      </c>
      <c r="DL221" s="106">
        <f>+PMGR!DL221+BP!DL221</f>
        <v>0</v>
      </c>
      <c r="DM221" s="106">
        <f>+PMGR!DM221+BP!DM221</f>
        <v>0</v>
      </c>
      <c r="DN221" s="106">
        <f>+PMGR!DN221+BP!DN221</f>
        <v>0</v>
      </c>
      <c r="DO221" s="106">
        <f>+PMGR!DO221+BP!DO221</f>
        <v>0</v>
      </c>
      <c r="DP221" s="106">
        <f>+PMGR!DP221+BP!DP221</f>
        <v>0</v>
      </c>
      <c r="DQ221" s="106">
        <f>+PMGR!DQ221+BP!DQ221</f>
        <v>0</v>
      </c>
      <c r="DR221" s="106">
        <f>+PMGR!DR221+BP!DR221</f>
        <v>0</v>
      </c>
      <c r="DS221" s="106">
        <f>+PMGR!DS221+BP!DS221</f>
        <v>0</v>
      </c>
      <c r="DT221" s="106">
        <f>+PMGR!DT221+BP!DT221</f>
        <v>0</v>
      </c>
      <c r="DU221" s="106">
        <f t="shared" si="1088"/>
        <v>0</v>
      </c>
      <c r="DV221" s="106"/>
      <c r="DW221" s="106">
        <f>+PMGR!DW221+BP!DW221</f>
        <v>0</v>
      </c>
      <c r="DX221" s="106">
        <f>+PMGR!DX221+BP!DX221</f>
        <v>0</v>
      </c>
      <c r="DY221" s="106">
        <f>+PMGR!DY221+BP!DY221</f>
        <v>0</v>
      </c>
      <c r="DZ221" s="106">
        <f>+PMGR!DZ221+BP!DZ221</f>
        <v>0</v>
      </c>
      <c r="EA221" s="106">
        <f>+PMGR!EA221+BP!EA221</f>
        <v>0</v>
      </c>
      <c r="EB221" s="106">
        <f>+PMGR!EB221+BP!EB221</f>
        <v>0</v>
      </c>
      <c r="EC221" s="106">
        <f>+PMGR!EC221+BP!EC221</f>
        <v>0</v>
      </c>
      <c r="ED221" s="106">
        <f>+PMGR!ED221+BP!ED221</f>
        <v>0</v>
      </c>
      <c r="EE221" s="106">
        <f>+PMGR!EE221+BP!EE221</f>
        <v>0</v>
      </c>
      <c r="EF221" s="106">
        <f>+PMGR!EF221+BP!EF221</f>
        <v>0</v>
      </c>
      <c r="EG221" s="106">
        <f>+PMGR!EG221+BP!EG221</f>
        <v>0</v>
      </c>
      <c r="EH221" s="106">
        <f>+PMGR!EH221+BP!EH221</f>
        <v>0</v>
      </c>
      <c r="EI221" s="106">
        <f t="shared" si="1089"/>
        <v>0</v>
      </c>
      <c r="EJ221" s="16" t="str">
        <f t="shared" si="963"/>
        <v>Interest on Unsecured Loan - Skyline</v>
      </c>
      <c r="EK221" s="106">
        <f>+PMGR!EK221+BP!EK221</f>
        <v>0</v>
      </c>
      <c r="EL221" s="106">
        <f>+PMGR!EL221+BP!EL221</f>
        <v>0</v>
      </c>
      <c r="EM221" s="106">
        <f>+PMGR!EM221+BP!EM221</f>
        <v>0</v>
      </c>
      <c r="EN221" s="106">
        <f>+PMGR!EN221+BP!EN221</f>
        <v>0</v>
      </c>
      <c r="EO221" s="106">
        <f>+PMGR!EO221+BP!EO221</f>
        <v>0</v>
      </c>
      <c r="EP221" s="106">
        <f>+PMGR!EP221+BP!EP221</f>
        <v>0</v>
      </c>
      <c r="EQ221" s="106">
        <f>+PMGR!EQ221+BP!EQ221</f>
        <v>0</v>
      </c>
      <c r="ER221" s="106">
        <f>+PMGR!ER221+BP!ER221</f>
        <v>0</v>
      </c>
      <c r="ES221" s="106">
        <f>+PMGR!ES221+BP!ES221</f>
        <v>0</v>
      </c>
      <c r="ET221" s="106">
        <f>+PMGR!ET221+BP!ET221</f>
        <v>0</v>
      </c>
      <c r="EU221" s="106">
        <f>+PMGR!EU221+BP!EU221</f>
        <v>0</v>
      </c>
      <c r="EV221" s="106">
        <f>+PMGR!EV221+BP!EV221</f>
        <v>0</v>
      </c>
      <c r="EW221" s="106">
        <f t="shared" si="1090"/>
        <v>0</v>
      </c>
      <c r="EX221" s="118"/>
      <c r="EY221" s="106">
        <f>+PMGR!EY221+BP!EY221</f>
        <v>0</v>
      </c>
      <c r="EZ221" s="106">
        <f>+PMGR!EZ221+BP!EZ221</f>
        <v>0</v>
      </c>
      <c r="FA221" s="106">
        <f>+PMGR!FA221+BP!FA221</f>
        <v>0</v>
      </c>
      <c r="FB221" s="106">
        <f>+PMGR!FB221+BP!FB221</f>
        <v>0</v>
      </c>
      <c r="FC221" s="106">
        <f>+PMGR!FC221+BP!FC221</f>
        <v>0</v>
      </c>
      <c r="FD221" s="106">
        <f>+PMGR!FD221+BP!FD221</f>
        <v>0</v>
      </c>
      <c r="FE221" s="106">
        <f>+PMGR!FE221+BP!FE221</f>
        <v>0</v>
      </c>
      <c r="FF221" s="106">
        <f>+PMGR!FF221+BP!FF221</f>
        <v>0</v>
      </c>
      <c r="FG221" s="106">
        <f>+PMGR!FG221+BP!FG221</f>
        <v>0</v>
      </c>
      <c r="FH221" s="106">
        <f>+PMGR!FH221+BP!FH221</f>
        <v>0</v>
      </c>
      <c r="FI221" s="106">
        <f>+PMGR!FI221+BP!FI221</f>
        <v>0</v>
      </c>
      <c r="FJ221" s="106">
        <f>+PMGR!FJ221+BP!FJ221</f>
        <v>0</v>
      </c>
      <c r="FK221" s="106">
        <f t="shared" si="1091"/>
        <v>0</v>
      </c>
    </row>
    <row r="222" spans="1:169" ht="14.45" hidden="1" customHeight="1" outlineLevel="2">
      <c r="A222" s="106">
        <f t="shared" si="1077"/>
        <v>0</v>
      </c>
      <c r="B222" s="106">
        <f t="shared" si="1077"/>
        <v>0</v>
      </c>
      <c r="C222" s="106">
        <f t="shared" si="1077"/>
        <v>0</v>
      </c>
      <c r="D222" s="106">
        <f t="shared" si="1077"/>
        <v>0</v>
      </c>
      <c r="E222" s="106">
        <f t="shared" si="1077"/>
        <v>0</v>
      </c>
      <c r="F222" s="106">
        <f t="shared" si="1077"/>
        <v>0</v>
      </c>
      <c r="G222" s="106">
        <f t="shared" si="1077"/>
        <v>0</v>
      </c>
      <c r="H222" s="106">
        <f t="shared" si="1077"/>
        <v>0</v>
      </c>
      <c r="I222" s="106">
        <f t="shared" si="1077"/>
        <v>0</v>
      </c>
      <c r="J222" s="106">
        <f t="shared" si="1077"/>
        <v>0</v>
      </c>
      <c r="K222" s="106">
        <f t="shared" si="1077"/>
        <v>0</v>
      </c>
      <c r="L222" s="106">
        <f t="shared" si="1077"/>
        <v>0</v>
      </c>
      <c r="M222" s="106">
        <f t="shared" si="1078"/>
        <v>0</v>
      </c>
      <c r="N222" s="16" t="s">
        <v>237</v>
      </c>
      <c r="O222" s="106">
        <f t="shared" si="1079"/>
        <v>0</v>
      </c>
      <c r="P222" s="106">
        <f t="shared" si="1079"/>
        <v>0</v>
      </c>
      <c r="Q222" s="106">
        <f t="shared" si="1079"/>
        <v>0</v>
      </c>
      <c r="R222" s="106">
        <f t="shared" si="1079"/>
        <v>0</v>
      </c>
      <c r="S222" s="106">
        <f t="shared" si="1079"/>
        <v>0</v>
      </c>
      <c r="T222" s="106">
        <f t="shared" si="1079"/>
        <v>0</v>
      </c>
      <c r="U222" s="106">
        <f t="shared" si="1079"/>
        <v>0</v>
      </c>
      <c r="V222" s="106">
        <f t="shared" si="1079"/>
        <v>0</v>
      </c>
      <c r="W222" s="106">
        <f t="shared" si="1079"/>
        <v>0</v>
      </c>
      <c r="X222" s="106">
        <f t="shared" si="1079"/>
        <v>0</v>
      </c>
      <c r="Y222" s="106">
        <f t="shared" si="1079"/>
        <v>0</v>
      </c>
      <c r="Z222" s="106">
        <f t="shared" si="1079"/>
        <v>0</v>
      </c>
      <c r="AA222" s="106">
        <f t="shared" si="1080"/>
        <v>0</v>
      </c>
      <c r="AB222" s="118"/>
      <c r="AC222" s="106">
        <f t="shared" si="1081"/>
        <v>0</v>
      </c>
      <c r="AD222" s="106">
        <f t="shared" si="1081"/>
        <v>0</v>
      </c>
      <c r="AE222" s="106">
        <f t="shared" si="1081"/>
        <v>0</v>
      </c>
      <c r="AF222" s="106">
        <f t="shared" si="1081"/>
        <v>0</v>
      </c>
      <c r="AG222" s="106">
        <f t="shared" si="1081"/>
        <v>0</v>
      </c>
      <c r="AH222" s="106">
        <f t="shared" si="1081"/>
        <v>0</v>
      </c>
      <c r="AI222" s="106">
        <f t="shared" si="1081"/>
        <v>0</v>
      </c>
      <c r="AJ222" s="106">
        <f t="shared" si="1081"/>
        <v>0</v>
      </c>
      <c r="AK222" s="106">
        <f t="shared" si="1081"/>
        <v>0</v>
      </c>
      <c r="AL222" s="106">
        <f t="shared" si="1081"/>
        <v>0</v>
      </c>
      <c r="AM222" s="106">
        <f t="shared" si="1081"/>
        <v>0</v>
      </c>
      <c r="AN222" s="106">
        <f t="shared" si="1081"/>
        <v>0</v>
      </c>
      <c r="AO222" s="106">
        <f t="shared" si="1082"/>
        <v>0</v>
      </c>
      <c r="AP222" s="106"/>
      <c r="AQ222" s="106">
        <f>+PMGR!AQ222+BP!AQ222</f>
        <v>0</v>
      </c>
      <c r="AR222" s="106">
        <f>+PMGR!AR222+BP!AR222</f>
        <v>0</v>
      </c>
      <c r="AS222" s="106">
        <f>+PMGR!AS222+BP!AS222</f>
        <v>0</v>
      </c>
      <c r="AT222" s="106">
        <f>+PMGR!AT222+BP!AT222</f>
        <v>0</v>
      </c>
      <c r="AU222" s="106">
        <f>+PMGR!AU222+BP!AU222</f>
        <v>0</v>
      </c>
      <c r="AV222" s="106">
        <f>+PMGR!AV222+BP!AV222</f>
        <v>0</v>
      </c>
      <c r="AW222" s="106">
        <f>+PMGR!AW222+BP!AW222</f>
        <v>0</v>
      </c>
      <c r="AX222" s="106">
        <f>+PMGR!AX222+BP!AX222</f>
        <v>0</v>
      </c>
      <c r="AY222" s="106">
        <f>+PMGR!AY222+BP!AY222</f>
        <v>0</v>
      </c>
      <c r="AZ222" s="106">
        <f>+PMGR!AZ222+BP!AZ222</f>
        <v>0</v>
      </c>
      <c r="BA222" s="106">
        <f>+PMGR!BA222+BP!BA222</f>
        <v>0</v>
      </c>
      <c r="BB222" s="106">
        <f>+PMGR!BB222+BP!BB222</f>
        <v>0</v>
      </c>
      <c r="BC222" s="106">
        <f t="shared" si="1083"/>
        <v>0</v>
      </c>
      <c r="BD222" s="16" t="str">
        <f t="shared" si="961"/>
        <v>Interest on Demo Vehicle</v>
      </c>
      <c r="BE222" s="106">
        <f>+PMGR!BE222+BP!BE222</f>
        <v>0</v>
      </c>
      <c r="BF222" s="106">
        <f>+PMGR!BF222+BP!BF222</f>
        <v>0</v>
      </c>
      <c r="BG222" s="106">
        <f>+PMGR!BG222+BP!BG222</f>
        <v>0</v>
      </c>
      <c r="BH222" s="106">
        <f>+PMGR!BH222+BP!BH222</f>
        <v>0</v>
      </c>
      <c r="BI222" s="106">
        <f>+PMGR!BI222+BP!BI222</f>
        <v>0</v>
      </c>
      <c r="BJ222" s="106">
        <f>+PMGR!BJ222+BP!BJ222</f>
        <v>0</v>
      </c>
      <c r="BK222" s="106">
        <f>+PMGR!BK222+BP!BK222</f>
        <v>0</v>
      </c>
      <c r="BL222" s="106">
        <f>+PMGR!BL222+BP!BL222</f>
        <v>0</v>
      </c>
      <c r="BM222" s="106">
        <f>+PMGR!BM222+BP!BM222</f>
        <v>0</v>
      </c>
      <c r="BN222" s="106">
        <f>+PMGR!BN222+BP!BN222</f>
        <v>0</v>
      </c>
      <c r="BO222" s="106">
        <f>+PMGR!BO222+BP!BO222</f>
        <v>0</v>
      </c>
      <c r="BP222" s="106">
        <f>+PMGR!BP222+BP!BP222</f>
        <v>0</v>
      </c>
      <c r="BQ222" s="106">
        <f t="shared" si="1084"/>
        <v>0</v>
      </c>
      <c r="BR222" s="118"/>
      <c r="BS222" s="106">
        <f>+PMGR!BS222+BP!BS222</f>
        <v>0</v>
      </c>
      <c r="BT222" s="106">
        <f>+PMGR!BT222+BP!BT222</f>
        <v>0</v>
      </c>
      <c r="BU222" s="106">
        <f>+PMGR!BU222+BP!BU222</f>
        <v>0</v>
      </c>
      <c r="BV222" s="106">
        <f>+PMGR!BV222+BP!BV222</f>
        <v>0</v>
      </c>
      <c r="BW222" s="106">
        <f>+PMGR!BW222+BP!BW222</f>
        <v>0</v>
      </c>
      <c r="BX222" s="106">
        <f>+PMGR!BX222+BP!BX222</f>
        <v>0</v>
      </c>
      <c r="BY222" s="106">
        <f>+PMGR!BY222+BP!BY222</f>
        <v>0</v>
      </c>
      <c r="BZ222" s="106">
        <f>+PMGR!BZ222+BP!BZ222</f>
        <v>0</v>
      </c>
      <c r="CA222" s="106">
        <f>+PMGR!CA222+BP!CA222</f>
        <v>0</v>
      </c>
      <c r="CB222" s="106">
        <f>+PMGR!CB222+BP!CB222</f>
        <v>0</v>
      </c>
      <c r="CC222" s="106">
        <f>+PMGR!CC222+BP!CC222</f>
        <v>0</v>
      </c>
      <c r="CD222" s="106">
        <f>+PMGR!CD222+BP!CD222</f>
        <v>0</v>
      </c>
      <c r="CE222" s="106">
        <f t="shared" si="1085"/>
        <v>0</v>
      </c>
      <c r="CF222" s="106"/>
      <c r="CG222" s="106">
        <f>+PMGR!CG222+BP!CG222</f>
        <v>0</v>
      </c>
      <c r="CH222" s="106">
        <f>+PMGR!CH222+BP!CH222</f>
        <v>0</v>
      </c>
      <c r="CI222" s="106">
        <f>+PMGR!CI222+BP!CI222</f>
        <v>0</v>
      </c>
      <c r="CJ222" s="106">
        <f>+PMGR!CJ222+BP!CJ222</f>
        <v>0</v>
      </c>
      <c r="CK222" s="106">
        <f>+PMGR!CK222+BP!CK222</f>
        <v>0</v>
      </c>
      <c r="CL222" s="106">
        <f>+PMGR!CL222+BP!CL222</f>
        <v>0</v>
      </c>
      <c r="CM222" s="106">
        <f>+PMGR!CM222+BP!CM222</f>
        <v>0</v>
      </c>
      <c r="CN222" s="106">
        <f>+PMGR!CN222+BP!CN222</f>
        <v>0</v>
      </c>
      <c r="CO222" s="106">
        <f>+PMGR!CO222+BP!CO222</f>
        <v>0</v>
      </c>
      <c r="CP222" s="106">
        <f>+PMGR!CP222+BP!CP222</f>
        <v>0</v>
      </c>
      <c r="CQ222" s="106">
        <f>+PMGR!CQ222+BP!CQ222</f>
        <v>0</v>
      </c>
      <c r="CR222" s="106">
        <f>+PMGR!CR222+BP!CR222</f>
        <v>0</v>
      </c>
      <c r="CS222" s="106">
        <f t="shared" si="1086"/>
        <v>0</v>
      </c>
      <c r="CT222" s="16" t="str">
        <f t="shared" si="962"/>
        <v>Interest on Demo Vehicle</v>
      </c>
      <c r="CU222" s="106">
        <f>+PMGR!CU222+BP!CU222</f>
        <v>0</v>
      </c>
      <c r="CV222" s="106">
        <f>+PMGR!CV222+BP!CV222</f>
        <v>0</v>
      </c>
      <c r="CW222" s="106">
        <f>+PMGR!CW222+BP!CW222</f>
        <v>0</v>
      </c>
      <c r="CX222" s="106">
        <f>+PMGR!CX222+BP!CX222</f>
        <v>0</v>
      </c>
      <c r="CY222" s="106">
        <f>+PMGR!CY222+BP!CY222</f>
        <v>0</v>
      </c>
      <c r="CZ222" s="106">
        <f>+PMGR!CZ222+BP!CZ222</f>
        <v>0</v>
      </c>
      <c r="DA222" s="106">
        <f>+PMGR!DA222+BP!DA222</f>
        <v>0</v>
      </c>
      <c r="DB222" s="106">
        <f>+PMGR!DB222+BP!DB222</f>
        <v>0</v>
      </c>
      <c r="DC222" s="106">
        <f>+PMGR!DC222+BP!DC222</f>
        <v>0</v>
      </c>
      <c r="DD222" s="106">
        <f>+PMGR!DD222+BP!DD222</f>
        <v>0</v>
      </c>
      <c r="DE222" s="106">
        <f>+PMGR!DE222+BP!DE222</f>
        <v>0</v>
      </c>
      <c r="DF222" s="106">
        <f>+PMGR!DF222+BP!DF222</f>
        <v>0</v>
      </c>
      <c r="DG222" s="106">
        <f t="shared" si="1087"/>
        <v>0</v>
      </c>
      <c r="DH222" s="118"/>
      <c r="DI222" s="106">
        <f>+PMGR!DI222+BP!DI222</f>
        <v>0</v>
      </c>
      <c r="DJ222" s="106">
        <f>+PMGR!DJ222+BP!DJ222</f>
        <v>0</v>
      </c>
      <c r="DK222" s="106">
        <f>+PMGR!DK222+BP!DK222</f>
        <v>0</v>
      </c>
      <c r="DL222" s="106">
        <f>+PMGR!DL222+BP!DL222</f>
        <v>0</v>
      </c>
      <c r="DM222" s="106">
        <f>+PMGR!DM222+BP!DM222</f>
        <v>0</v>
      </c>
      <c r="DN222" s="106">
        <f>+PMGR!DN222+BP!DN222</f>
        <v>0</v>
      </c>
      <c r="DO222" s="106">
        <f>+PMGR!DO222+BP!DO222</f>
        <v>0</v>
      </c>
      <c r="DP222" s="106">
        <f>+PMGR!DP222+BP!DP222</f>
        <v>0</v>
      </c>
      <c r="DQ222" s="106">
        <f>+PMGR!DQ222+BP!DQ222</f>
        <v>0</v>
      </c>
      <c r="DR222" s="106">
        <f>+PMGR!DR222+BP!DR222</f>
        <v>0</v>
      </c>
      <c r="DS222" s="106">
        <f>+PMGR!DS222+BP!DS222</f>
        <v>0</v>
      </c>
      <c r="DT222" s="106">
        <f>+PMGR!DT222+BP!DT222</f>
        <v>0</v>
      </c>
      <c r="DU222" s="106">
        <f t="shared" si="1088"/>
        <v>0</v>
      </c>
      <c r="DV222" s="106"/>
      <c r="DW222" s="106">
        <f>+PMGR!DW222+BP!DW222</f>
        <v>0</v>
      </c>
      <c r="DX222" s="106">
        <f>+PMGR!DX222+BP!DX222</f>
        <v>0</v>
      </c>
      <c r="DY222" s="106">
        <f>+PMGR!DY222+BP!DY222</f>
        <v>0</v>
      </c>
      <c r="DZ222" s="106">
        <f>+PMGR!DZ222+BP!DZ222</f>
        <v>0</v>
      </c>
      <c r="EA222" s="106">
        <f>+PMGR!EA222+BP!EA222</f>
        <v>0</v>
      </c>
      <c r="EB222" s="106">
        <f>+PMGR!EB222+BP!EB222</f>
        <v>0</v>
      </c>
      <c r="EC222" s="106">
        <f>+PMGR!EC222+BP!EC222</f>
        <v>0</v>
      </c>
      <c r="ED222" s="106">
        <f>+PMGR!ED222+BP!ED222</f>
        <v>0</v>
      </c>
      <c r="EE222" s="106">
        <f>+PMGR!EE222+BP!EE222</f>
        <v>0</v>
      </c>
      <c r="EF222" s="106">
        <f>+PMGR!EF222+BP!EF222</f>
        <v>0</v>
      </c>
      <c r="EG222" s="106">
        <f>+PMGR!EG222+BP!EG222</f>
        <v>0</v>
      </c>
      <c r="EH222" s="106">
        <f>+PMGR!EH222+BP!EH222</f>
        <v>0</v>
      </c>
      <c r="EI222" s="106">
        <f t="shared" si="1089"/>
        <v>0</v>
      </c>
      <c r="EJ222" s="16" t="str">
        <f t="shared" si="963"/>
        <v>Interest on Demo Vehicle</v>
      </c>
      <c r="EK222" s="106">
        <f>+PMGR!EK222+BP!EK222</f>
        <v>0</v>
      </c>
      <c r="EL222" s="106">
        <f>+PMGR!EL222+BP!EL222</f>
        <v>0</v>
      </c>
      <c r="EM222" s="106">
        <f>+PMGR!EM222+BP!EM222</f>
        <v>0</v>
      </c>
      <c r="EN222" s="106">
        <f>+PMGR!EN222+BP!EN222</f>
        <v>0</v>
      </c>
      <c r="EO222" s="106">
        <f>+PMGR!EO222+BP!EO222</f>
        <v>0</v>
      </c>
      <c r="EP222" s="106">
        <f>+PMGR!EP222+BP!EP222</f>
        <v>0</v>
      </c>
      <c r="EQ222" s="106">
        <f>+PMGR!EQ222+BP!EQ222</f>
        <v>0</v>
      </c>
      <c r="ER222" s="106">
        <f>+PMGR!ER222+BP!ER222</f>
        <v>0</v>
      </c>
      <c r="ES222" s="106">
        <f>+PMGR!ES222+BP!ES222</f>
        <v>0</v>
      </c>
      <c r="ET222" s="106">
        <f>+PMGR!ET222+BP!ET222</f>
        <v>0</v>
      </c>
      <c r="EU222" s="106">
        <f>+PMGR!EU222+BP!EU222</f>
        <v>0</v>
      </c>
      <c r="EV222" s="106">
        <f>+PMGR!EV222+BP!EV222</f>
        <v>0</v>
      </c>
      <c r="EW222" s="106">
        <f t="shared" si="1090"/>
        <v>0</v>
      </c>
      <c r="EX222" s="118"/>
      <c r="EY222" s="106">
        <f>+PMGR!EY222+BP!EY222</f>
        <v>0</v>
      </c>
      <c r="EZ222" s="106">
        <f>+PMGR!EZ222+BP!EZ222</f>
        <v>0</v>
      </c>
      <c r="FA222" s="106">
        <f>+PMGR!FA222+BP!FA222</f>
        <v>0</v>
      </c>
      <c r="FB222" s="106">
        <f>+PMGR!FB222+BP!FB222</f>
        <v>0</v>
      </c>
      <c r="FC222" s="106">
        <f>+PMGR!FC222+BP!FC222</f>
        <v>0</v>
      </c>
      <c r="FD222" s="106">
        <f>+PMGR!FD222+BP!FD222</f>
        <v>0</v>
      </c>
      <c r="FE222" s="106">
        <f>+PMGR!FE222+BP!FE222</f>
        <v>0</v>
      </c>
      <c r="FF222" s="106">
        <f>+PMGR!FF222+BP!FF222</f>
        <v>0</v>
      </c>
      <c r="FG222" s="106">
        <f>+PMGR!FG222+BP!FG222</f>
        <v>0</v>
      </c>
      <c r="FH222" s="106">
        <f>+PMGR!FH222+BP!FH222</f>
        <v>0</v>
      </c>
      <c r="FI222" s="106">
        <f>+PMGR!FI222+BP!FI222</f>
        <v>0</v>
      </c>
      <c r="FJ222" s="106">
        <f>+PMGR!FJ222+BP!FJ222</f>
        <v>0</v>
      </c>
      <c r="FK222" s="106">
        <f t="shared" si="1091"/>
        <v>0</v>
      </c>
    </row>
    <row r="223" spans="1:169" ht="14.45" customHeight="1" outlineLevel="1" collapsed="1">
      <c r="A223" s="58">
        <f t="shared" ref="A223:L223" si="1092">+SUM(A224:A226)</f>
        <v>40528.6155</v>
      </c>
      <c r="B223" s="58">
        <f t="shared" si="1092"/>
        <v>38037.802499999998</v>
      </c>
      <c r="C223" s="58">
        <f t="shared" si="1092"/>
        <v>35234.212499999994</v>
      </c>
      <c r="D223" s="58">
        <f t="shared" si="1092"/>
        <v>36007.915499999996</v>
      </c>
      <c r="E223" s="58">
        <f t="shared" si="1092"/>
        <v>31665.123</v>
      </c>
      <c r="F223" s="58">
        <f t="shared" si="1092"/>
        <v>43377.448499999999</v>
      </c>
      <c r="G223" s="58">
        <f t="shared" si="1092"/>
        <v>77633.081999999995</v>
      </c>
      <c r="H223" s="58">
        <f t="shared" si="1092"/>
        <v>49498.979000000007</v>
      </c>
      <c r="I223" s="58">
        <f t="shared" si="1092"/>
        <v>34952.381999999998</v>
      </c>
      <c r="J223" s="58">
        <f t="shared" si="1092"/>
        <v>31233.537</v>
      </c>
      <c r="K223" s="58">
        <f t="shared" si="1092"/>
        <v>256468.15350000001</v>
      </c>
      <c r="L223" s="58">
        <f t="shared" si="1092"/>
        <v>41694.120000000003</v>
      </c>
      <c r="M223" s="58"/>
      <c r="N223" s="20" t="s">
        <v>186</v>
      </c>
      <c r="O223" s="58">
        <f t="shared" ref="O223:AA223" si="1093">+SUM(O224:O226)</f>
        <v>59612.260499999989</v>
      </c>
      <c r="P223" s="58">
        <f t="shared" si="1093"/>
        <v>31927.567499999997</v>
      </c>
      <c r="Q223" s="58">
        <f t="shared" si="1093"/>
        <v>94202.968499999988</v>
      </c>
      <c r="R223" s="58">
        <f t="shared" si="1093"/>
        <v>52233.371999999988</v>
      </c>
      <c r="S223" s="58">
        <f t="shared" si="1093"/>
        <v>85201.339500000002</v>
      </c>
      <c r="T223" s="58">
        <f t="shared" si="1093"/>
        <v>53317.984500000006</v>
      </c>
      <c r="U223" s="58">
        <f t="shared" si="1093"/>
        <v>58027.099499999989</v>
      </c>
      <c r="V223" s="58">
        <f t="shared" si="1093"/>
        <v>60789.325500000006</v>
      </c>
      <c r="W223" s="58">
        <f t="shared" si="1093"/>
        <v>47047.572</v>
      </c>
      <c r="X223" s="58">
        <f t="shared" si="1093"/>
        <v>74747.508000000002</v>
      </c>
      <c r="Y223" s="58">
        <f t="shared" si="1093"/>
        <v>0</v>
      </c>
      <c r="Z223" s="58">
        <f t="shared" si="1093"/>
        <v>0</v>
      </c>
      <c r="AA223" s="58">
        <f t="shared" si="1093"/>
        <v>617106.99750000006</v>
      </c>
      <c r="AB223" s="118"/>
      <c r="AC223" s="58">
        <f t="shared" ref="AC223:AN223" si="1094">+SUM(AC224:AC226)</f>
        <v>90416.666666666657</v>
      </c>
      <c r="AD223" s="58">
        <f t="shared" si="1094"/>
        <v>90416.666666666657</v>
      </c>
      <c r="AE223" s="58">
        <f t="shared" si="1094"/>
        <v>90416.666666666657</v>
      </c>
      <c r="AF223" s="58">
        <f t="shared" si="1094"/>
        <v>90416.666666666657</v>
      </c>
      <c r="AG223" s="58">
        <f t="shared" si="1094"/>
        <v>90416.666666666657</v>
      </c>
      <c r="AH223" s="58">
        <f t="shared" si="1094"/>
        <v>90416.666666666657</v>
      </c>
      <c r="AI223" s="58">
        <f t="shared" si="1094"/>
        <v>90416.666666666657</v>
      </c>
      <c r="AJ223" s="58">
        <f t="shared" si="1094"/>
        <v>90416.666666666657</v>
      </c>
      <c r="AK223" s="58">
        <f t="shared" si="1094"/>
        <v>90416.666666666657</v>
      </c>
      <c r="AL223" s="58">
        <f t="shared" si="1094"/>
        <v>90416.666666666657</v>
      </c>
      <c r="AM223" s="58">
        <f t="shared" si="1094"/>
        <v>90416.666666666657</v>
      </c>
      <c r="AN223" s="58">
        <f t="shared" si="1094"/>
        <v>90416.666666666657</v>
      </c>
      <c r="AO223" s="58"/>
      <c r="AP223" s="106"/>
      <c r="AQ223" s="58">
        <f t="shared" ref="AQ223:BC223" si="1095">+SUM(AQ224:AQ226)</f>
        <v>27019.076999999997</v>
      </c>
      <c r="AR223" s="58">
        <f t="shared" si="1095"/>
        <v>25358.535</v>
      </c>
      <c r="AS223" s="58">
        <f t="shared" si="1095"/>
        <v>23489.474999999999</v>
      </c>
      <c r="AT223" s="58">
        <f t="shared" si="1095"/>
        <v>24005.276999999998</v>
      </c>
      <c r="AU223" s="58">
        <f t="shared" si="1095"/>
        <v>21110.081999999999</v>
      </c>
      <c r="AV223" s="58">
        <f t="shared" si="1095"/>
        <v>28918.298999999999</v>
      </c>
      <c r="AW223" s="58">
        <f t="shared" si="1095"/>
        <v>51755.387999999992</v>
      </c>
      <c r="AX223" s="58">
        <f t="shared" si="1095"/>
        <v>38284.736000000004</v>
      </c>
      <c r="AY223" s="58">
        <f t="shared" si="1095"/>
        <v>23301.588</v>
      </c>
      <c r="AZ223" s="58">
        <f t="shared" si="1095"/>
        <v>20822.358</v>
      </c>
      <c r="BA223" s="58">
        <f t="shared" si="1095"/>
        <v>170978.769</v>
      </c>
      <c r="BB223" s="58">
        <f t="shared" si="1095"/>
        <v>27796.080000000002</v>
      </c>
      <c r="BC223" s="58">
        <f t="shared" si="1095"/>
        <v>482839.66400000005</v>
      </c>
      <c r="BD223" s="20" t="str">
        <f t="shared" si="961"/>
        <v>Finance Charge - Others</v>
      </c>
      <c r="BE223" s="58">
        <f t="shared" ref="BE223:BQ223" si="1096">+SUM(BE224:BE226)</f>
        <v>39741.506999999991</v>
      </c>
      <c r="BF223" s="58">
        <f t="shared" si="1096"/>
        <v>21285.044999999998</v>
      </c>
      <c r="BG223" s="58">
        <f t="shared" si="1096"/>
        <v>62801.978999999992</v>
      </c>
      <c r="BH223" s="58">
        <f t="shared" si="1096"/>
        <v>34822.247999999992</v>
      </c>
      <c r="BI223" s="58">
        <f t="shared" si="1096"/>
        <v>56800.892999999996</v>
      </c>
      <c r="BJ223" s="58">
        <f t="shared" si="1096"/>
        <v>35545.323000000004</v>
      </c>
      <c r="BK223" s="58">
        <f t="shared" si="1096"/>
        <v>38684.732999999993</v>
      </c>
      <c r="BL223" s="58">
        <f t="shared" si="1096"/>
        <v>40526.217000000004</v>
      </c>
      <c r="BM223" s="58">
        <f t="shared" si="1096"/>
        <v>31365.048000000003</v>
      </c>
      <c r="BN223" s="58">
        <f t="shared" si="1096"/>
        <v>40771.367999999995</v>
      </c>
      <c r="BO223" s="58">
        <f t="shared" si="1096"/>
        <v>0</v>
      </c>
      <c r="BP223" s="58">
        <f t="shared" si="1096"/>
        <v>0</v>
      </c>
      <c r="BQ223" s="58">
        <f t="shared" si="1096"/>
        <v>402344.36099999998</v>
      </c>
      <c r="BR223" s="118"/>
      <c r="BS223" s="58">
        <f t="shared" ref="BS223:CE223" si="1097">+SUM(BS224:BS226)</f>
        <v>45000</v>
      </c>
      <c r="BT223" s="58">
        <f t="shared" si="1097"/>
        <v>45000</v>
      </c>
      <c r="BU223" s="58">
        <f t="shared" si="1097"/>
        <v>45000</v>
      </c>
      <c r="BV223" s="58">
        <f t="shared" si="1097"/>
        <v>45000</v>
      </c>
      <c r="BW223" s="58">
        <f t="shared" si="1097"/>
        <v>45000</v>
      </c>
      <c r="BX223" s="58">
        <f t="shared" si="1097"/>
        <v>45000</v>
      </c>
      <c r="BY223" s="58">
        <f t="shared" si="1097"/>
        <v>45000</v>
      </c>
      <c r="BZ223" s="58">
        <f t="shared" si="1097"/>
        <v>45000</v>
      </c>
      <c r="CA223" s="58">
        <f t="shared" si="1097"/>
        <v>45000</v>
      </c>
      <c r="CB223" s="58">
        <f t="shared" si="1097"/>
        <v>45000</v>
      </c>
      <c r="CC223" s="58">
        <f t="shared" si="1097"/>
        <v>45000</v>
      </c>
      <c r="CD223" s="58">
        <f t="shared" si="1097"/>
        <v>45000</v>
      </c>
      <c r="CE223" s="58">
        <f t="shared" si="1097"/>
        <v>540000</v>
      </c>
      <c r="CF223" s="106"/>
      <c r="CG223" s="58">
        <f t="shared" ref="CG223:CS223" si="1098">+SUM(CG224:CG226)</f>
        <v>13509.538499999999</v>
      </c>
      <c r="CH223" s="58">
        <f t="shared" si="1098"/>
        <v>12679.2675</v>
      </c>
      <c r="CI223" s="58">
        <f t="shared" si="1098"/>
        <v>11744.737499999999</v>
      </c>
      <c r="CJ223" s="58">
        <f t="shared" si="1098"/>
        <v>12002.638499999999</v>
      </c>
      <c r="CK223" s="58">
        <f t="shared" si="1098"/>
        <v>10555.040999999999</v>
      </c>
      <c r="CL223" s="58">
        <f t="shared" si="1098"/>
        <v>14459.1495</v>
      </c>
      <c r="CM223" s="58">
        <f t="shared" si="1098"/>
        <v>25877.693999999996</v>
      </c>
      <c r="CN223" s="58">
        <f t="shared" si="1098"/>
        <v>11214.243000000002</v>
      </c>
      <c r="CO223" s="58">
        <f t="shared" si="1098"/>
        <v>11650.794</v>
      </c>
      <c r="CP223" s="58">
        <f t="shared" si="1098"/>
        <v>10411.179</v>
      </c>
      <c r="CQ223" s="58">
        <f t="shared" si="1098"/>
        <v>85489.3845</v>
      </c>
      <c r="CR223" s="58">
        <f t="shared" si="1098"/>
        <v>13898.04</v>
      </c>
      <c r="CS223" s="58">
        <f t="shared" si="1098"/>
        <v>233491.70699999997</v>
      </c>
      <c r="CT223" s="20" t="str">
        <f t="shared" si="962"/>
        <v>Finance Charge - Others</v>
      </c>
      <c r="CU223" s="58">
        <f t="shared" ref="CU223:DG223" si="1099">+SUM(CU224:CU226)</f>
        <v>19870.753499999995</v>
      </c>
      <c r="CV223" s="58">
        <f t="shared" si="1099"/>
        <v>10642.522499999999</v>
      </c>
      <c r="CW223" s="58">
        <f t="shared" si="1099"/>
        <v>31400.989499999996</v>
      </c>
      <c r="CX223" s="58">
        <f t="shared" si="1099"/>
        <v>17411.123999999996</v>
      </c>
      <c r="CY223" s="58">
        <f t="shared" si="1099"/>
        <v>28400.446499999998</v>
      </c>
      <c r="CZ223" s="58">
        <f t="shared" si="1099"/>
        <v>17772.661500000002</v>
      </c>
      <c r="DA223" s="58">
        <f t="shared" si="1099"/>
        <v>19342.366499999996</v>
      </c>
      <c r="DB223" s="58">
        <f t="shared" si="1099"/>
        <v>20263.108500000002</v>
      </c>
      <c r="DC223" s="58">
        <f t="shared" si="1099"/>
        <v>15682.524000000001</v>
      </c>
      <c r="DD223" s="58">
        <f t="shared" si="1099"/>
        <v>20385.683999999997</v>
      </c>
      <c r="DE223" s="58">
        <f t="shared" si="1099"/>
        <v>0</v>
      </c>
      <c r="DF223" s="58">
        <f t="shared" si="1099"/>
        <v>0</v>
      </c>
      <c r="DG223" s="58">
        <f t="shared" si="1099"/>
        <v>201172.18049999999</v>
      </c>
      <c r="DH223" s="118"/>
      <c r="DI223" s="58">
        <f t="shared" ref="DI223:DU223" si="1100">+SUM(DI224:DI226)</f>
        <v>23750</v>
      </c>
      <c r="DJ223" s="58">
        <f t="shared" si="1100"/>
        <v>23750</v>
      </c>
      <c r="DK223" s="58">
        <f t="shared" si="1100"/>
        <v>23750</v>
      </c>
      <c r="DL223" s="58">
        <f t="shared" si="1100"/>
        <v>23750</v>
      </c>
      <c r="DM223" s="58">
        <f t="shared" si="1100"/>
        <v>23750</v>
      </c>
      <c r="DN223" s="58">
        <f t="shared" si="1100"/>
        <v>23750</v>
      </c>
      <c r="DO223" s="58">
        <f t="shared" si="1100"/>
        <v>23750</v>
      </c>
      <c r="DP223" s="58">
        <f t="shared" si="1100"/>
        <v>23750</v>
      </c>
      <c r="DQ223" s="58">
        <f t="shared" si="1100"/>
        <v>23750</v>
      </c>
      <c r="DR223" s="58">
        <f t="shared" si="1100"/>
        <v>23750</v>
      </c>
      <c r="DS223" s="58">
        <f t="shared" si="1100"/>
        <v>23750</v>
      </c>
      <c r="DT223" s="58">
        <f t="shared" si="1100"/>
        <v>23750</v>
      </c>
      <c r="DU223" s="58">
        <f t="shared" si="1100"/>
        <v>285000</v>
      </c>
      <c r="DV223" s="106"/>
      <c r="DW223" s="58">
        <f t="shared" ref="DW223:EI223" si="1101">+SUM(DW224:DW226)</f>
        <v>0</v>
      </c>
      <c r="DX223" s="58">
        <f t="shared" si="1101"/>
        <v>0</v>
      </c>
      <c r="DY223" s="58">
        <f t="shared" si="1101"/>
        <v>0</v>
      </c>
      <c r="DZ223" s="58">
        <f t="shared" si="1101"/>
        <v>0</v>
      </c>
      <c r="EA223" s="58">
        <f t="shared" si="1101"/>
        <v>0</v>
      </c>
      <c r="EB223" s="58">
        <f t="shared" si="1101"/>
        <v>0</v>
      </c>
      <c r="EC223" s="58">
        <f t="shared" si="1101"/>
        <v>0</v>
      </c>
      <c r="ED223" s="58">
        <f t="shared" si="1101"/>
        <v>0</v>
      </c>
      <c r="EE223" s="58">
        <f t="shared" si="1101"/>
        <v>0</v>
      </c>
      <c r="EF223" s="58">
        <f t="shared" si="1101"/>
        <v>0</v>
      </c>
      <c r="EG223" s="58">
        <f t="shared" si="1101"/>
        <v>0</v>
      </c>
      <c r="EH223" s="58">
        <f t="shared" si="1101"/>
        <v>0</v>
      </c>
      <c r="EI223" s="58">
        <f t="shared" si="1101"/>
        <v>0</v>
      </c>
      <c r="EJ223" s="20" t="str">
        <f t="shared" si="963"/>
        <v>Finance Charge - Others</v>
      </c>
      <c r="EK223" s="58">
        <f t="shared" ref="EK223:EW223" si="1102">+SUM(EK224:EK226)</f>
        <v>0</v>
      </c>
      <c r="EL223" s="58">
        <f t="shared" si="1102"/>
        <v>0</v>
      </c>
      <c r="EM223" s="58">
        <f t="shared" si="1102"/>
        <v>0</v>
      </c>
      <c r="EN223" s="58">
        <f t="shared" si="1102"/>
        <v>0</v>
      </c>
      <c r="EO223" s="58">
        <f t="shared" si="1102"/>
        <v>0</v>
      </c>
      <c r="EP223" s="58">
        <f t="shared" si="1102"/>
        <v>0</v>
      </c>
      <c r="EQ223" s="58">
        <f t="shared" si="1102"/>
        <v>0</v>
      </c>
      <c r="ER223" s="58">
        <f t="shared" si="1102"/>
        <v>0</v>
      </c>
      <c r="ES223" s="58">
        <f t="shared" si="1102"/>
        <v>0</v>
      </c>
      <c r="ET223" s="58">
        <f t="shared" si="1102"/>
        <v>13590.456</v>
      </c>
      <c r="EU223" s="58">
        <f t="shared" si="1102"/>
        <v>0</v>
      </c>
      <c r="EV223" s="58">
        <f t="shared" si="1102"/>
        <v>0</v>
      </c>
      <c r="EW223" s="58">
        <f t="shared" si="1102"/>
        <v>13590.456</v>
      </c>
      <c r="EX223" s="118"/>
      <c r="EY223" s="58">
        <f t="shared" ref="EY223:FK223" si="1103">+SUM(EY224:EY226)</f>
        <v>21666.666666666664</v>
      </c>
      <c r="EZ223" s="58">
        <f t="shared" si="1103"/>
        <v>21666.666666666664</v>
      </c>
      <c r="FA223" s="58">
        <f t="shared" si="1103"/>
        <v>21666.666666666664</v>
      </c>
      <c r="FB223" s="58">
        <f t="shared" si="1103"/>
        <v>21666.666666666664</v>
      </c>
      <c r="FC223" s="58">
        <f t="shared" si="1103"/>
        <v>21666.666666666664</v>
      </c>
      <c r="FD223" s="58">
        <f t="shared" si="1103"/>
        <v>21666.666666666664</v>
      </c>
      <c r="FE223" s="58">
        <f t="shared" si="1103"/>
        <v>21666.666666666664</v>
      </c>
      <c r="FF223" s="58">
        <f t="shared" si="1103"/>
        <v>21666.666666666664</v>
      </c>
      <c r="FG223" s="58">
        <f t="shared" si="1103"/>
        <v>21666.666666666664</v>
      </c>
      <c r="FH223" s="58">
        <f t="shared" si="1103"/>
        <v>21666.666666666664</v>
      </c>
      <c r="FI223" s="58">
        <f t="shared" si="1103"/>
        <v>21666.666666666664</v>
      </c>
      <c r="FJ223" s="58">
        <f t="shared" si="1103"/>
        <v>21666.666666666664</v>
      </c>
      <c r="FK223" s="58">
        <f t="shared" si="1103"/>
        <v>259999.99999999988</v>
      </c>
    </row>
    <row r="224" spans="1:169" ht="14.45" hidden="1" customHeight="1" outlineLevel="2">
      <c r="A224" s="106">
        <f t="shared" ref="A224:L226" si="1104">+AQ224+CG224+DW224</f>
        <v>40528.6155</v>
      </c>
      <c r="B224" s="106">
        <f t="shared" si="1104"/>
        <v>38037.802499999998</v>
      </c>
      <c r="C224" s="106">
        <f t="shared" si="1104"/>
        <v>35234.212499999994</v>
      </c>
      <c r="D224" s="106">
        <f t="shared" si="1104"/>
        <v>36007.915499999996</v>
      </c>
      <c r="E224" s="106">
        <f t="shared" si="1104"/>
        <v>31665.123</v>
      </c>
      <c r="F224" s="106">
        <f t="shared" si="1104"/>
        <v>43377.448499999999</v>
      </c>
      <c r="G224" s="106">
        <f t="shared" si="1104"/>
        <v>77633.081999999995</v>
      </c>
      <c r="H224" s="106">
        <f t="shared" si="1104"/>
        <v>49498.979000000007</v>
      </c>
      <c r="I224" s="106">
        <f t="shared" si="1104"/>
        <v>34952.381999999998</v>
      </c>
      <c r="J224" s="106">
        <f t="shared" si="1104"/>
        <v>31233.537</v>
      </c>
      <c r="K224" s="106">
        <f t="shared" si="1104"/>
        <v>256468.15350000001</v>
      </c>
      <c r="L224" s="106">
        <f t="shared" si="1104"/>
        <v>41694.120000000003</v>
      </c>
      <c r="M224" s="106">
        <f t="shared" ref="M224:M226" si="1105">+SUM(A224:L224)</f>
        <v>716331.37099999993</v>
      </c>
      <c r="N224" s="16" t="s">
        <v>187</v>
      </c>
      <c r="O224" s="106">
        <f t="shared" ref="O224:Z226" si="1106">+BE224+CU224+EK224</f>
        <v>59612.260499999989</v>
      </c>
      <c r="P224" s="106">
        <f t="shared" si="1106"/>
        <v>31927.567499999997</v>
      </c>
      <c r="Q224" s="106">
        <f t="shared" si="1106"/>
        <v>94202.968499999988</v>
      </c>
      <c r="R224" s="106">
        <f t="shared" si="1106"/>
        <v>52233.371999999988</v>
      </c>
      <c r="S224" s="106">
        <f t="shared" si="1106"/>
        <v>85201.339500000002</v>
      </c>
      <c r="T224" s="106">
        <f t="shared" si="1106"/>
        <v>53317.984500000006</v>
      </c>
      <c r="U224" s="106">
        <f t="shared" si="1106"/>
        <v>58027.099499999989</v>
      </c>
      <c r="V224" s="106">
        <f t="shared" si="1106"/>
        <v>60789.325500000006</v>
      </c>
      <c r="W224" s="106">
        <f t="shared" si="1106"/>
        <v>47047.572</v>
      </c>
      <c r="X224" s="106">
        <f t="shared" si="1106"/>
        <v>74747.508000000002</v>
      </c>
      <c r="Y224" s="106">
        <f t="shared" si="1106"/>
        <v>0</v>
      </c>
      <c r="Z224" s="106">
        <f t="shared" si="1106"/>
        <v>0</v>
      </c>
      <c r="AA224" s="106">
        <f t="shared" ref="AA224:AA226" si="1107">+SUM(O224:Z224)</f>
        <v>617106.99750000006</v>
      </c>
      <c r="AB224" s="118"/>
      <c r="AC224" s="106">
        <f t="shared" ref="AC224:AN226" si="1108">+BS224+DI224+EY224</f>
        <v>64583.333333333328</v>
      </c>
      <c r="AD224" s="106">
        <f t="shared" si="1108"/>
        <v>64583.333333333328</v>
      </c>
      <c r="AE224" s="106">
        <f t="shared" si="1108"/>
        <v>64583.333333333328</v>
      </c>
      <c r="AF224" s="106">
        <f t="shared" si="1108"/>
        <v>64583.333333333328</v>
      </c>
      <c r="AG224" s="106">
        <f t="shared" si="1108"/>
        <v>64583.333333333328</v>
      </c>
      <c r="AH224" s="106">
        <f t="shared" si="1108"/>
        <v>64583.333333333328</v>
      </c>
      <c r="AI224" s="106">
        <f t="shared" si="1108"/>
        <v>64583.333333333328</v>
      </c>
      <c r="AJ224" s="106">
        <f t="shared" si="1108"/>
        <v>64583.333333333328</v>
      </c>
      <c r="AK224" s="106">
        <f t="shared" si="1108"/>
        <v>64583.333333333328</v>
      </c>
      <c r="AL224" s="106">
        <f t="shared" si="1108"/>
        <v>64583.333333333328</v>
      </c>
      <c r="AM224" s="106">
        <f t="shared" si="1108"/>
        <v>64583.333333333328</v>
      </c>
      <c r="AN224" s="106">
        <f t="shared" si="1108"/>
        <v>64583.333333333328</v>
      </c>
      <c r="AO224" s="106">
        <f t="shared" ref="AO224:AO226" si="1109">+SUM(AC224:AN224)</f>
        <v>775000</v>
      </c>
      <c r="AP224" s="106"/>
      <c r="AQ224" s="106">
        <f>+PMGR!AQ224+BP!AQ224</f>
        <v>27019.076999999997</v>
      </c>
      <c r="AR224" s="106">
        <f>+PMGR!AR224+BP!AR224</f>
        <v>25358.535</v>
      </c>
      <c r="AS224" s="106">
        <f>+PMGR!AS224+BP!AS224</f>
        <v>23489.474999999999</v>
      </c>
      <c r="AT224" s="106">
        <f>+PMGR!AT224+BP!AT224</f>
        <v>24005.276999999998</v>
      </c>
      <c r="AU224" s="106">
        <f>+PMGR!AU224+BP!AU224</f>
        <v>21110.081999999999</v>
      </c>
      <c r="AV224" s="106">
        <f>+PMGR!AV224+BP!AV224</f>
        <v>28918.298999999999</v>
      </c>
      <c r="AW224" s="106">
        <f>+PMGR!AW224+BP!AW224</f>
        <v>51755.387999999992</v>
      </c>
      <c r="AX224" s="106">
        <f>+PMGR!AX224+BP!AX224</f>
        <v>38284.736000000004</v>
      </c>
      <c r="AY224" s="106">
        <f>+PMGR!AY224+BP!AY224</f>
        <v>23301.588</v>
      </c>
      <c r="AZ224" s="106">
        <f>+PMGR!AZ224+BP!AZ224</f>
        <v>20822.358</v>
      </c>
      <c r="BA224" s="106">
        <f>+PMGR!BA224+BP!BA224</f>
        <v>170978.769</v>
      </c>
      <c r="BB224" s="106">
        <f>+PMGR!BB224+BP!BB224</f>
        <v>27796.080000000002</v>
      </c>
      <c r="BC224" s="106">
        <f t="shared" ref="BC224:BC226" si="1110">+SUM(AQ224:BB224)</f>
        <v>482839.66400000005</v>
      </c>
      <c r="BD224" s="16" t="str">
        <f t="shared" si="961"/>
        <v>Bank Charge</v>
      </c>
      <c r="BE224" s="106">
        <f>+PMGR!BE224+BP!BE224</f>
        <v>39741.506999999991</v>
      </c>
      <c r="BF224" s="106">
        <f>+PMGR!BF224+BP!BF224</f>
        <v>21285.044999999998</v>
      </c>
      <c r="BG224" s="106">
        <f>+PMGR!BG224+BP!BG224</f>
        <v>62801.978999999992</v>
      </c>
      <c r="BH224" s="106">
        <f>+PMGR!BH224+BP!BH224</f>
        <v>34822.247999999992</v>
      </c>
      <c r="BI224" s="106">
        <f>+PMGR!BI224+BP!BI224</f>
        <v>56800.892999999996</v>
      </c>
      <c r="BJ224" s="106">
        <f>+PMGR!BJ224+BP!BJ224</f>
        <v>35545.323000000004</v>
      </c>
      <c r="BK224" s="106">
        <f>+PMGR!BK224+BP!BK224</f>
        <v>38684.732999999993</v>
      </c>
      <c r="BL224" s="106">
        <f>+PMGR!BL224+BP!BL224</f>
        <v>40526.217000000004</v>
      </c>
      <c r="BM224" s="106">
        <f>+PMGR!BM224+BP!BM224</f>
        <v>31365.048000000003</v>
      </c>
      <c r="BN224" s="106">
        <f>+PMGR!BN224+BP!BN224</f>
        <v>40771.367999999995</v>
      </c>
      <c r="BO224" s="106">
        <f>+PMGR!BO224+BP!BO224</f>
        <v>0</v>
      </c>
      <c r="BP224" s="106">
        <f>+PMGR!BP224+BP!BP224</f>
        <v>0</v>
      </c>
      <c r="BQ224" s="106">
        <f t="shared" ref="BQ224:BQ226" si="1111">+SUM(BE224:BP224)</f>
        <v>402344.36099999998</v>
      </c>
      <c r="BR224" s="118"/>
      <c r="BS224" s="106">
        <f>+PMGR!BS224+BP!BS224</f>
        <v>37500</v>
      </c>
      <c r="BT224" s="106">
        <f>+PMGR!BT224+BP!BT224</f>
        <v>37500</v>
      </c>
      <c r="BU224" s="106">
        <f>+PMGR!BU224+BP!BU224</f>
        <v>37500</v>
      </c>
      <c r="BV224" s="106">
        <f>+PMGR!BV224+BP!BV224</f>
        <v>37500</v>
      </c>
      <c r="BW224" s="106">
        <f>+PMGR!BW224+BP!BW224</f>
        <v>37500</v>
      </c>
      <c r="BX224" s="106">
        <f>+PMGR!BX224+BP!BX224</f>
        <v>37500</v>
      </c>
      <c r="BY224" s="106">
        <f>+PMGR!BY224+BP!BY224</f>
        <v>37500</v>
      </c>
      <c r="BZ224" s="106">
        <f>+PMGR!BZ224+BP!BZ224</f>
        <v>37500</v>
      </c>
      <c r="CA224" s="106">
        <f>+PMGR!CA224+BP!CA224</f>
        <v>37500</v>
      </c>
      <c r="CB224" s="106">
        <f>+PMGR!CB224+BP!CB224</f>
        <v>37500</v>
      </c>
      <c r="CC224" s="106">
        <f>+PMGR!CC224+BP!CC224</f>
        <v>37500</v>
      </c>
      <c r="CD224" s="106">
        <f>+PMGR!CD224+BP!CD224</f>
        <v>37500</v>
      </c>
      <c r="CE224" s="106">
        <f t="shared" ref="CE224:CE226" si="1112">+SUM(BS224:CD224)</f>
        <v>450000</v>
      </c>
      <c r="CF224" s="106"/>
      <c r="CG224" s="106">
        <f>+PMGR!CG224+BP!CG224</f>
        <v>13509.538499999999</v>
      </c>
      <c r="CH224" s="106">
        <f>+PMGR!CH224+BP!CH224</f>
        <v>12679.2675</v>
      </c>
      <c r="CI224" s="106">
        <f>+PMGR!CI224+BP!CI224</f>
        <v>11744.737499999999</v>
      </c>
      <c r="CJ224" s="106">
        <f>+PMGR!CJ224+BP!CJ224</f>
        <v>12002.638499999999</v>
      </c>
      <c r="CK224" s="106">
        <f>+PMGR!CK224+BP!CK224</f>
        <v>10555.040999999999</v>
      </c>
      <c r="CL224" s="106">
        <f>+PMGR!CL224+BP!CL224</f>
        <v>14459.1495</v>
      </c>
      <c r="CM224" s="106">
        <f>+PMGR!CM224+BP!CM224</f>
        <v>25877.693999999996</v>
      </c>
      <c r="CN224" s="106">
        <f>+PMGR!CN224+BP!CN224</f>
        <v>11214.243000000002</v>
      </c>
      <c r="CO224" s="106">
        <f>+PMGR!CO224+BP!CO224</f>
        <v>11650.794</v>
      </c>
      <c r="CP224" s="106">
        <f>+PMGR!CP224+BP!CP224</f>
        <v>10411.179</v>
      </c>
      <c r="CQ224" s="106">
        <f>+PMGR!CQ224+BP!CQ224</f>
        <v>85489.3845</v>
      </c>
      <c r="CR224" s="106">
        <f>+PMGR!CR224+BP!CR224</f>
        <v>13898.04</v>
      </c>
      <c r="CS224" s="106">
        <f t="shared" ref="CS224:CS226" si="1113">+SUM(CG224:CR224)</f>
        <v>233491.70699999997</v>
      </c>
      <c r="CT224" s="16" t="str">
        <f t="shared" si="962"/>
        <v>Bank Charge</v>
      </c>
      <c r="CU224" s="106">
        <f>+PMGR!CU224+BP!CU224</f>
        <v>19870.753499999995</v>
      </c>
      <c r="CV224" s="106">
        <f>+PMGR!CV224+BP!CV224</f>
        <v>10642.522499999999</v>
      </c>
      <c r="CW224" s="106">
        <f>+PMGR!CW224+BP!CW224</f>
        <v>31400.989499999996</v>
      </c>
      <c r="CX224" s="106">
        <f>+PMGR!CX224+BP!CX224</f>
        <v>17411.123999999996</v>
      </c>
      <c r="CY224" s="106">
        <f>+PMGR!CY224+BP!CY224</f>
        <v>28400.446499999998</v>
      </c>
      <c r="CZ224" s="106">
        <f>+PMGR!CZ224+BP!CZ224</f>
        <v>17772.661500000002</v>
      </c>
      <c r="DA224" s="106">
        <f>+PMGR!DA224+BP!DA224</f>
        <v>19342.366499999996</v>
      </c>
      <c r="DB224" s="106">
        <f>+PMGR!DB224+BP!DB224</f>
        <v>20263.108500000002</v>
      </c>
      <c r="DC224" s="106">
        <f>+PMGR!DC224+BP!DC224</f>
        <v>15682.524000000001</v>
      </c>
      <c r="DD224" s="106">
        <f>+PMGR!DD224+BP!DD224</f>
        <v>20385.683999999997</v>
      </c>
      <c r="DE224" s="106">
        <f>+PMGR!DE224+BP!DE224</f>
        <v>0</v>
      </c>
      <c r="DF224" s="106">
        <f>+PMGR!DF224+BP!DF224</f>
        <v>0</v>
      </c>
      <c r="DG224" s="106">
        <f t="shared" ref="DG224:DG226" si="1114">+SUM(CU224:DF224)</f>
        <v>201172.18049999999</v>
      </c>
      <c r="DH224" s="118"/>
      <c r="DI224" s="106">
        <f>+PMGR!DI224+BP!DI224</f>
        <v>18750</v>
      </c>
      <c r="DJ224" s="106">
        <f>+PMGR!DJ224+BP!DJ224</f>
        <v>18750</v>
      </c>
      <c r="DK224" s="106">
        <f>+PMGR!DK224+BP!DK224</f>
        <v>18750</v>
      </c>
      <c r="DL224" s="106">
        <f>+PMGR!DL224+BP!DL224</f>
        <v>18750</v>
      </c>
      <c r="DM224" s="106">
        <f>+PMGR!DM224+BP!DM224</f>
        <v>18750</v>
      </c>
      <c r="DN224" s="106">
        <f>+PMGR!DN224+BP!DN224</f>
        <v>18750</v>
      </c>
      <c r="DO224" s="106">
        <f>+PMGR!DO224+BP!DO224</f>
        <v>18750</v>
      </c>
      <c r="DP224" s="106">
        <f>+PMGR!DP224+BP!DP224</f>
        <v>18750</v>
      </c>
      <c r="DQ224" s="106">
        <f>+PMGR!DQ224+BP!DQ224</f>
        <v>18750</v>
      </c>
      <c r="DR224" s="106">
        <f>+PMGR!DR224+BP!DR224</f>
        <v>18750</v>
      </c>
      <c r="DS224" s="106">
        <f>+PMGR!DS224+BP!DS224</f>
        <v>18750</v>
      </c>
      <c r="DT224" s="106">
        <f>+PMGR!DT224+BP!DT224</f>
        <v>18750</v>
      </c>
      <c r="DU224" s="106">
        <f t="shared" ref="DU224:DU226" si="1115">+SUM(DI224:DT224)</f>
        <v>225000</v>
      </c>
      <c r="DV224" s="106"/>
      <c r="DW224" s="106">
        <f>+PMGR!DW224+BP!DW224</f>
        <v>0</v>
      </c>
      <c r="DX224" s="106">
        <f>+PMGR!DX224+BP!DX224</f>
        <v>0</v>
      </c>
      <c r="DY224" s="106">
        <f>+PMGR!DY224+BP!DY224</f>
        <v>0</v>
      </c>
      <c r="DZ224" s="106">
        <f>+PMGR!DZ224+BP!DZ224</f>
        <v>0</v>
      </c>
      <c r="EA224" s="106">
        <f>+PMGR!EA224+BP!EA224</f>
        <v>0</v>
      </c>
      <c r="EB224" s="106">
        <f>+PMGR!EB224+BP!EB224</f>
        <v>0</v>
      </c>
      <c r="EC224" s="106">
        <f>+PMGR!EC224+BP!EC224</f>
        <v>0</v>
      </c>
      <c r="ED224" s="106">
        <f>+PMGR!ED224+BP!ED224</f>
        <v>0</v>
      </c>
      <c r="EE224" s="106">
        <f>+PMGR!EE224+BP!EE224</f>
        <v>0</v>
      </c>
      <c r="EF224" s="106">
        <f>+PMGR!EF224+BP!EF224</f>
        <v>0</v>
      </c>
      <c r="EG224" s="106">
        <f>+PMGR!EG224+BP!EG224</f>
        <v>0</v>
      </c>
      <c r="EH224" s="106">
        <f>+PMGR!EH224+BP!EH224</f>
        <v>0</v>
      </c>
      <c r="EI224" s="106">
        <f t="shared" ref="EI224:EI226" si="1116">+SUM(DW224:EH224)</f>
        <v>0</v>
      </c>
      <c r="EJ224" s="16" t="str">
        <f t="shared" si="963"/>
        <v>Bank Charge</v>
      </c>
      <c r="EK224" s="106">
        <f>+PMGR!EK224+BP!EK224</f>
        <v>0</v>
      </c>
      <c r="EL224" s="106">
        <f>+PMGR!EL224+BP!EL224</f>
        <v>0</v>
      </c>
      <c r="EM224" s="106">
        <f>+PMGR!EM224+BP!EM224</f>
        <v>0</v>
      </c>
      <c r="EN224" s="106">
        <f>+PMGR!EN224+BP!EN224</f>
        <v>0</v>
      </c>
      <c r="EO224" s="106">
        <f>+PMGR!EO224+BP!EO224</f>
        <v>0</v>
      </c>
      <c r="EP224" s="106">
        <f>+PMGR!EP224+BP!EP224</f>
        <v>0</v>
      </c>
      <c r="EQ224" s="106">
        <f>+PMGR!EQ224+BP!EQ224</f>
        <v>0</v>
      </c>
      <c r="ER224" s="106">
        <f>+PMGR!ER224+BP!ER224</f>
        <v>0</v>
      </c>
      <c r="ES224" s="106">
        <f>+PMGR!ES224+BP!ES224</f>
        <v>0</v>
      </c>
      <c r="ET224" s="106">
        <f>+PMGR!ET224+BP!ET224</f>
        <v>13590.456</v>
      </c>
      <c r="EU224" s="106">
        <f>+PMGR!EU224+BP!EU224</f>
        <v>0</v>
      </c>
      <c r="EV224" s="106">
        <f>+PMGR!EV224+BP!EV224</f>
        <v>0</v>
      </c>
      <c r="EW224" s="106">
        <f t="shared" ref="EW224:EW226" si="1117">+SUM(EK224:EV224)</f>
        <v>13590.456</v>
      </c>
      <c r="EX224" s="118"/>
      <c r="EY224" s="106">
        <f>+PMGR!EY224+BP!EY224</f>
        <v>8333.3333333333321</v>
      </c>
      <c r="EZ224" s="106">
        <f>+PMGR!EZ224+BP!EZ224</f>
        <v>8333.3333333333321</v>
      </c>
      <c r="FA224" s="106">
        <f>+PMGR!FA224+BP!FA224</f>
        <v>8333.3333333333321</v>
      </c>
      <c r="FB224" s="106">
        <f>+PMGR!FB224+BP!FB224</f>
        <v>8333.3333333333321</v>
      </c>
      <c r="FC224" s="106">
        <f>+PMGR!FC224+BP!FC224</f>
        <v>8333.3333333333321</v>
      </c>
      <c r="FD224" s="106">
        <f>+PMGR!FD224+BP!FD224</f>
        <v>8333.3333333333321</v>
      </c>
      <c r="FE224" s="106">
        <f>+PMGR!FE224+BP!FE224</f>
        <v>8333.3333333333321</v>
      </c>
      <c r="FF224" s="106">
        <f>+PMGR!FF224+BP!FF224</f>
        <v>8333.3333333333321</v>
      </c>
      <c r="FG224" s="106">
        <f>+PMGR!FG224+BP!FG224</f>
        <v>8333.3333333333321</v>
      </c>
      <c r="FH224" s="106">
        <f>+PMGR!FH224+BP!FH224</f>
        <v>8333.3333333333321</v>
      </c>
      <c r="FI224" s="106">
        <f>+PMGR!FI224+BP!FI224</f>
        <v>8333.3333333333321</v>
      </c>
      <c r="FJ224" s="106">
        <f>+PMGR!FJ224+BP!FJ224</f>
        <v>8333.3333333333321</v>
      </c>
      <c r="FK224" s="106">
        <f t="shared" ref="FK224:FK226" si="1118">+SUM(EY224:FJ224)</f>
        <v>99999.999999999956</v>
      </c>
    </row>
    <row r="225" spans="1:167" ht="14.45" hidden="1" customHeight="1" outlineLevel="2">
      <c r="A225" s="106">
        <f t="shared" si="1104"/>
        <v>0</v>
      </c>
      <c r="B225" s="106">
        <f t="shared" si="1104"/>
        <v>0</v>
      </c>
      <c r="C225" s="106">
        <f t="shared" si="1104"/>
        <v>0</v>
      </c>
      <c r="D225" s="106">
        <f t="shared" si="1104"/>
        <v>0</v>
      </c>
      <c r="E225" s="106">
        <f t="shared" si="1104"/>
        <v>0</v>
      </c>
      <c r="F225" s="106">
        <f t="shared" si="1104"/>
        <v>0</v>
      </c>
      <c r="G225" s="106">
        <f t="shared" si="1104"/>
        <v>0</v>
      </c>
      <c r="H225" s="106">
        <f t="shared" si="1104"/>
        <v>0</v>
      </c>
      <c r="I225" s="106">
        <f t="shared" si="1104"/>
        <v>0</v>
      </c>
      <c r="J225" s="106">
        <f t="shared" si="1104"/>
        <v>0</v>
      </c>
      <c r="K225" s="106">
        <f t="shared" si="1104"/>
        <v>0</v>
      </c>
      <c r="L225" s="106">
        <f t="shared" si="1104"/>
        <v>0</v>
      </c>
      <c r="M225" s="106">
        <f t="shared" si="1105"/>
        <v>0</v>
      </c>
      <c r="N225" s="16" t="s">
        <v>188</v>
      </c>
      <c r="O225" s="106">
        <f t="shared" si="1106"/>
        <v>0</v>
      </c>
      <c r="P225" s="106">
        <f t="shared" si="1106"/>
        <v>0</v>
      </c>
      <c r="Q225" s="106">
        <f t="shared" si="1106"/>
        <v>0</v>
      </c>
      <c r="R225" s="106">
        <f t="shared" si="1106"/>
        <v>0</v>
      </c>
      <c r="S225" s="106">
        <f t="shared" si="1106"/>
        <v>0</v>
      </c>
      <c r="T225" s="106">
        <f t="shared" si="1106"/>
        <v>0</v>
      </c>
      <c r="U225" s="106">
        <f t="shared" si="1106"/>
        <v>0</v>
      </c>
      <c r="V225" s="106">
        <f t="shared" si="1106"/>
        <v>0</v>
      </c>
      <c r="W225" s="106">
        <f t="shared" si="1106"/>
        <v>0</v>
      </c>
      <c r="X225" s="106">
        <f t="shared" si="1106"/>
        <v>0</v>
      </c>
      <c r="Y225" s="106">
        <f t="shared" si="1106"/>
        <v>0</v>
      </c>
      <c r="Z225" s="106">
        <f t="shared" si="1106"/>
        <v>0</v>
      </c>
      <c r="AA225" s="106">
        <f t="shared" si="1107"/>
        <v>0</v>
      </c>
      <c r="AB225" s="118"/>
      <c r="AC225" s="106">
        <f t="shared" si="1108"/>
        <v>17500</v>
      </c>
      <c r="AD225" s="106">
        <f t="shared" si="1108"/>
        <v>17500</v>
      </c>
      <c r="AE225" s="106">
        <f t="shared" si="1108"/>
        <v>17500</v>
      </c>
      <c r="AF225" s="106">
        <f t="shared" si="1108"/>
        <v>17500</v>
      </c>
      <c r="AG225" s="106">
        <f t="shared" si="1108"/>
        <v>17500</v>
      </c>
      <c r="AH225" s="106">
        <f t="shared" si="1108"/>
        <v>17500</v>
      </c>
      <c r="AI225" s="106">
        <f t="shared" si="1108"/>
        <v>17500</v>
      </c>
      <c r="AJ225" s="106">
        <f t="shared" si="1108"/>
        <v>17500</v>
      </c>
      <c r="AK225" s="106">
        <f t="shared" si="1108"/>
        <v>17500</v>
      </c>
      <c r="AL225" s="106">
        <f t="shared" si="1108"/>
        <v>17500</v>
      </c>
      <c r="AM225" s="106">
        <f t="shared" si="1108"/>
        <v>17500</v>
      </c>
      <c r="AN225" s="106">
        <f t="shared" si="1108"/>
        <v>17500</v>
      </c>
      <c r="AO225" s="106">
        <f t="shared" si="1109"/>
        <v>210000</v>
      </c>
      <c r="AP225" s="106"/>
      <c r="AQ225" s="106">
        <f>+PMGR!AQ225+BP!AQ225</f>
        <v>0</v>
      </c>
      <c r="AR225" s="106">
        <f>+PMGR!AR225+BP!AR225</f>
        <v>0</v>
      </c>
      <c r="AS225" s="106">
        <f>+PMGR!AS225+BP!AS225</f>
        <v>0</v>
      </c>
      <c r="AT225" s="106">
        <f>+PMGR!AT225+BP!AT225</f>
        <v>0</v>
      </c>
      <c r="AU225" s="106">
        <f>+PMGR!AU225+BP!AU225</f>
        <v>0</v>
      </c>
      <c r="AV225" s="106">
        <f>+PMGR!AV225+BP!AV225</f>
        <v>0</v>
      </c>
      <c r="AW225" s="106">
        <f>+PMGR!AW225+BP!AW225</f>
        <v>0</v>
      </c>
      <c r="AX225" s="106">
        <f>+PMGR!AX225+BP!AX225</f>
        <v>0</v>
      </c>
      <c r="AY225" s="106">
        <f>+PMGR!AY225+BP!AY225</f>
        <v>0</v>
      </c>
      <c r="AZ225" s="106">
        <f>+PMGR!AZ225+BP!AZ225</f>
        <v>0</v>
      </c>
      <c r="BA225" s="106">
        <f>+PMGR!BA225+BP!BA225</f>
        <v>0</v>
      </c>
      <c r="BB225" s="106">
        <f>+PMGR!BB225+BP!BB225</f>
        <v>0</v>
      </c>
      <c r="BC225" s="106">
        <f t="shared" si="1110"/>
        <v>0</v>
      </c>
      <c r="BD225" s="16" t="str">
        <f t="shared" si="961"/>
        <v>Commission on Bank Guarantee</v>
      </c>
      <c r="BE225" s="106">
        <f>+PMGR!BE225+BP!BE225</f>
        <v>0</v>
      </c>
      <c r="BF225" s="106">
        <f>+PMGR!BF225+BP!BF225</f>
        <v>0</v>
      </c>
      <c r="BG225" s="106">
        <f>+PMGR!BG225+BP!BG225</f>
        <v>0</v>
      </c>
      <c r="BH225" s="106">
        <f>+PMGR!BH225+BP!BH225</f>
        <v>0</v>
      </c>
      <c r="BI225" s="106">
        <f>+PMGR!BI225+BP!BI225</f>
        <v>0</v>
      </c>
      <c r="BJ225" s="106">
        <f>+PMGR!BJ225+BP!BJ225</f>
        <v>0</v>
      </c>
      <c r="BK225" s="106">
        <f>+PMGR!BK225+BP!BK225</f>
        <v>0</v>
      </c>
      <c r="BL225" s="106">
        <f>+PMGR!BL225+BP!BL225</f>
        <v>0</v>
      </c>
      <c r="BM225" s="106">
        <f>+PMGR!BM225+BP!BM225</f>
        <v>0</v>
      </c>
      <c r="BN225" s="106">
        <f>+PMGR!BN225+BP!BN225</f>
        <v>0</v>
      </c>
      <c r="BO225" s="106">
        <f>+PMGR!BO225+BP!BO225</f>
        <v>0</v>
      </c>
      <c r="BP225" s="106">
        <f>+PMGR!BP225+BP!BP225</f>
        <v>0</v>
      </c>
      <c r="BQ225" s="106">
        <f t="shared" si="1111"/>
        <v>0</v>
      </c>
      <c r="BR225" s="118"/>
      <c r="BS225" s="106">
        <f>+PMGR!BS225+BP!BS225</f>
        <v>7500</v>
      </c>
      <c r="BT225" s="106">
        <f>+PMGR!BT225+BP!BT225</f>
        <v>7500</v>
      </c>
      <c r="BU225" s="106">
        <f>+PMGR!BU225+BP!BU225</f>
        <v>7500</v>
      </c>
      <c r="BV225" s="106">
        <f>+PMGR!BV225+BP!BV225</f>
        <v>7500</v>
      </c>
      <c r="BW225" s="106">
        <f>+PMGR!BW225+BP!BW225</f>
        <v>7500</v>
      </c>
      <c r="BX225" s="106">
        <f>+PMGR!BX225+BP!BX225</f>
        <v>7500</v>
      </c>
      <c r="BY225" s="106">
        <f>+PMGR!BY225+BP!BY225</f>
        <v>7500</v>
      </c>
      <c r="BZ225" s="106">
        <f>+PMGR!BZ225+BP!BZ225</f>
        <v>7500</v>
      </c>
      <c r="CA225" s="106">
        <f>+PMGR!CA225+BP!CA225</f>
        <v>7500</v>
      </c>
      <c r="CB225" s="106">
        <f>+PMGR!CB225+BP!CB225</f>
        <v>7500</v>
      </c>
      <c r="CC225" s="106">
        <f>+PMGR!CC225+BP!CC225</f>
        <v>7500</v>
      </c>
      <c r="CD225" s="106">
        <f>+PMGR!CD225+BP!CD225</f>
        <v>7500</v>
      </c>
      <c r="CE225" s="106">
        <f t="shared" si="1112"/>
        <v>90000</v>
      </c>
      <c r="CF225" s="106"/>
      <c r="CG225" s="106">
        <f>+PMGR!CG225+BP!CG225</f>
        <v>0</v>
      </c>
      <c r="CH225" s="106">
        <f>+PMGR!CH225+BP!CH225</f>
        <v>0</v>
      </c>
      <c r="CI225" s="106">
        <f>+PMGR!CI225+BP!CI225</f>
        <v>0</v>
      </c>
      <c r="CJ225" s="106">
        <f>+PMGR!CJ225+BP!CJ225</f>
        <v>0</v>
      </c>
      <c r="CK225" s="106">
        <f>+PMGR!CK225+BP!CK225</f>
        <v>0</v>
      </c>
      <c r="CL225" s="106">
        <f>+PMGR!CL225+BP!CL225</f>
        <v>0</v>
      </c>
      <c r="CM225" s="106">
        <f>+PMGR!CM225+BP!CM225</f>
        <v>0</v>
      </c>
      <c r="CN225" s="106">
        <f>+PMGR!CN225+BP!CN225</f>
        <v>0</v>
      </c>
      <c r="CO225" s="106">
        <f>+PMGR!CO225+BP!CO225</f>
        <v>0</v>
      </c>
      <c r="CP225" s="106">
        <f>+PMGR!CP225+BP!CP225</f>
        <v>0</v>
      </c>
      <c r="CQ225" s="106">
        <f>+PMGR!CQ225+BP!CQ225</f>
        <v>0</v>
      </c>
      <c r="CR225" s="106">
        <f>+PMGR!CR225+BP!CR225</f>
        <v>0</v>
      </c>
      <c r="CS225" s="106">
        <f t="shared" si="1113"/>
        <v>0</v>
      </c>
      <c r="CT225" s="16" t="str">
        <f t="shared" si="962"/>
        <v>Commission on Bank Guarantee</v>
      </c>
      <c r="CU225" s="106">
        <f>+PMGR!CU225+BP!CU225</f>
        <v>0</v>
      </c>
      <c r="CV225" s="106">
        <f>+PMGR!CV225+BP!CV225</f>
        <v>0</v>
      </c>
      <c r="CW225" s="106">
        <f>+PMGR!CW225+BP!CW225</f>
        <v>0</v>
      </c>
      <c r="CX225" s="106">
        <f>+PMGR!CX225+BP!CX225</f>
        <v>0</v>
      </c>
      <c r="CY225" s="106">
        <f>+PMGR!CY225+BP!CY225</f>
        <v>0</v>
      </c>
      <c r="CZ225" s="106">
        <f>+PMGR!CZ225+BP!CZ225</f>
        <v>0</v>
      </c>
      <c r="DA225" s="106">
        <f>+PMGR!DA225+BP!DA225</f>
        <v>0</v>
      </c>
      <c r="DB225" s="106">
        <f>+PMGR!DB225+BP!DB225</f>
        <v>0</v>
      </c>
      <c r="DC225" s="106">
        <f>+PMGR!DC225+BP!DC225</f>
        <v>0</v>
      </c>
      <c r="DD225" s="106">
        <f>+PMGR!DD225+BP!DD225</f>
        <v>0</v>
      </c>
      <c r="DE225" s="106">
        <f>+PMGR!DE225+BP!DE225</f>
        <v>0</v>
      </c>
      <c r="DF225" s="106">
        <f>+PMGR!DF225+BP!DF225</f>
        <v>0</v>
      </c>
      <c r="DG225" s="106">
        <f t="shared" si="1114"/>
        <v>0</v>
      </c>
      <c r="DH225" s="118"/>
      <c r="DI225" s="106">
        <f>+PMGR!DI225+BP!DI225</f>
        <v>5000</v>
      </c>
      <c r="DJ225" s="106">
        <f>+PMGR!DJ225+BP!DJ225</f>
        <v>5000</v>
      </c>
      <c r="DK225" s="106">
        <f>+PMGR!DK225+BP!DK225</f>
        <v>5000</v>
      </c>
      <c r="DL225" s="106">
        <f>+PMGR!DL225+BP!DL225</f>
        <v>5000</v>
      </c>
      <c r="DM225" s="106">
        <f>+PMGR!DM225+BP!DM225</f>
        <v>5000</v>
      </c>
      <c r="DN225" s="106">
        <f>+PMGR!DN225+BP!DN225</f>
        <v>5000</v>
      </c>
      <c r="DO225" s="106">
        <f>+PMGR!DO225+BP!DO225</f>
        <v>5000</v>
      </c>
      <c r="DP225" s="106">
        <f>+PMGR!DP225+BP!DP225</f>
        <v>5000</v>
      </c>
      <c r="DQ225" s="106">
        <f>+PMGR!DQ225+BP!DQ225</f>
        <v>5000</v>
      </c>
      <c r="DR225" s="106">
        <f>+PMGR!DR225+BP!DR225</f>
        <v>5000</v>
      </c>
      <c r="DS225" s="106">
        <f>+PMGR!DS225+BP!DS225</f>
        <v>5000</v>
      </c>
      <c r="DT225" s="106">
        <f>+PMGR!DT225+BP!DT225</f>
        <v>5000</v>
      </c>
      <c r="DU225" s="106">
        <f t="shared" si="1115"/>
        <v>60000</v>
      </c>
      <c r="DV225" s="106"/>
      <c r="DW225" s="106">
        <f>+PMGR!DW225+BP!DW225</f>
        <v>0</v>
      </c>
      <c r="DX225" s="106">
        <f>+PMGR!DX225+BP!DX225</f>
        <v>0</v>
      </c>
      <c r="DY225" s="106">
        <f>+PMGR!DY225+BP!DY225</f>
        <v>0</v>
      </c>
      <c r="DZ225" s="106">
        <f>+PMGR!DZ225+BP!DZ225</f>
        <v>0</v>
      </c>
      <c r="EA225" s="106">
        <f>+PMGR!EA225+BP!EA225</f>
        <v>0</v>
      </c>
      <c r="EB225" s="106">
        <f>+PMGR!EB225+BP!EB225</f>
        <v>0</v>
      </c>
      <c r="EC225" s="106">
        <f>+PMGR!EC225+BP!EC225</f>
        <v>0</v>
      </c>
      <c r="ED225" s="106">
        <f>+PMGR!ED225+BP!ED225</f>
        <v>0</v>
      </c>
      <c r="EE225" s="106">
        <f>+PMGR!EE225+BP!EE225</f>
        <v>0</v>
      </c>
      <c r="EF225" s="106">
        <f>+PMGR!EF225+BP!EF225</f>
        <v>0</v>
      </c>
      <c r="EG225" s="106">
        <f>+PMGR!EG225+BP!EG225</f>
        <v>0</v>
      </c>
      <c r="EH225" s="106">
        <f>+PMGR!EH225+BP!EH225</f>
        <v>0</v>
      </c>
      <c r="EI225" s="106">
        <f t="shared" si="1116"/>
        <v>0</v>
      </c>
      <c r="EJ225" s="16" t="str">
        <f t="shared" si="963"/>
        <v>Commission on Bank Guarantee</v>
      </c>
      <c r="EK225" s="106">
        <f>+PMGR!EK225+BP!EK225</f>
        <v>0</v>
      </c>
      <c r="EL225" s="106">
        <f>+PMGR!EL225+BP!EL225</f>
        <v>0</v>
      </c>
      <c r="EM225" s="106">
        <f>+PMGR!EM225+BP!EM225</f>
        <v>0</v>
      </c>
      <c r="EN225" s="106">
        <f>+PMGR!EN225+BP!EN225</f>
        <v>0</v>
      </c>
      <c r="EO225" s="106">
        <f>+PMGR!EO225+BP!EO225</f>
        <v>0</v>
      </c>
      <c r="EP225" s="106">
        <f>+PMGR!EP225+BP!EP225</f>
        <v>0</v>
      </c>
      <c r="EQ225" s="106">
        <f>+PMGR!EQ225+BP!EQ225</f>
        <v>0</v>
      </c>
      <c r="ER225" s="106">
        <f>+PMGR!ER225+BP!ER225</f>
        <v>0</v>
      </c>
      <c r="ES225" s="106">
        <f>+PMGR!ES225+BP!ES225</f>
        <v>0</v>
      </c>
      <c r="ET225" s="106">
        <f>+PMGR!ET225+BP!ET225</f>
        <v>0</v>
      </c>
      <c r="EU225" s="106">
        <f>+PMGR!EU225+BP!EU225</f>
        <v>0</v>
      </c>
      <c r="EV225" s="106">
        <f>+PMGR!EV225+BP!EV225</f>
        <v>0</v>
      </c>
      <c r="EW225" s="106">
        <f t="shared" si="1117"/>
        <v>0</v>
      </c>
      <c r="EX225" s="118"/>
      <c r="EY225" s="106">
        <f>+PMGR!EY225+BP!EY225</f>
        <v>5000</v>
      </c>
      <c r="EZ225" s="106">
        <f>+PMGR!EZ225+BP!EZ225</f>
        <v>5000</v>
      </c>
      <c r="FA225" s="106">
        <f>+PMGR!FA225+BP!FA225</f>
        <v>5000</v>
      </c>
      <c r="FB225" s="106">
        <f>+PMGR!FB225+BP!FB225</f>
        <v>5000</v>
      </c>
      <c r="FC225" s="106">
        <f>+PMGR!FC225+BP!FC225</f>
        <v>5000</v>
      </c>
      <c r="FD225" s="106">
        <f>+PMGR!FD225+BP!FD225</f>
        <v>5000</v>
      </c>
      <c r="FE225" s="106">
        <f>+PMGR!FE225+BP!FE225</f>
        <v>5000</v>
      </c>
      <c r="FF225" s="106">
        <f>+PMGR!FF225+BP!FF225</f>
        <v>5000</v>
      </c>
      <c r="FG225" s="106">
        <f>+PMGR!FG225+BP!FG225</f>
        <v>5000</v>
      </c>
      <c r="FH225" s="106">
        <f>+PMGR!FH225+BP!FH225</f>
        <v>5000</v>
      </c>
      <c r="FI225" s="106">
        <f>+PMGR!FI225+BP!FI225</f>
        <v>5000</v>
      </c>
      <c r="FJ225" s="106">
        <f>+PMGR!FJ225+BP!FJ225</f>
        <v>5000</v>
      </c>
      <c r="FK225" s="106">
        <f t="shared" si="1118"/>
        <v>60000</v>
      </c>
    </row>
    <row r="226" spans="1:167" ht="14.45" hidden="1" customHeight="1" outlineLevel="2">
      <c r="A226" s="106">
        <f t="shared" si="1104"/>
        <v>0</v>
      </c>
      <c r="B226" s="106">
        <f t="shared" si="1104"/>
        <v>0</v>
      </c>
      <c r="C226" s="106">
        <f t="shared" si="1104"/>
        <v>0</v>
      </c>
      <c r="D226" s="106">
        <f t="shared" si="1104"/>
        <v>0</v>
      </c>
      <c r="E226" s="106">
        <f t="shared" si="1104"/>
        <v>0</v>
      </c>
      <c r="F226" s="106">
        <f t="shared" si="1104"/>
        <v>0</v>
      </c>
      <c r="G226" s="106">
        <f t="shared" si="1104"/>
        <v>0</v>
      </c>
      <c r="H226" s="106">
        <f t="shared" si="1104"/>
        <v>0</v>
      </c>
      <c r="I226" s="106">
        <f t="shared" si="1104"/>
        <v>0</v>
      </c>
      <c r="J226" s="106">
        <f t="shared" si="1104"/>
        <v>0</v>
      </c>
      <c r="K226" s="106">
        <f t="shared" si="1104"/>
        <v>0</v>
      </c>
      <c r="L226" s="106">
        <f t="shared" si="1104"/>
        <v>0</v>
      </c>
      <c r="M226" s="106">
        <f t="shared" si="1105"/>
        <v>0</v>
      </c>
      <c r="N226" s="16" t="s">
        <v>189</v>
      </c>
      <c r="O226" s="106">
        <f t="shared" si="1106"/>
        <v>0</v>
      </c>
      <c r="P226" s="106">
        <f t="shared" si="1106"/>
        <v>0</v>
      </c>
      <c r="Q226" s="106">
        <f t="shared" si="1106"/>
        <v>0</v>
      </c>
      <c r="R226" s="106">
        <f t="shared" si="1106"/>
        <v>0</v>
      </c>
      <c r="S226" s="106">
        <f t="shared" si="1106"/>
        <v>0</v>
      </c>
      <c r="T226" s="106">
        <f t="shared" si="1106"/>
        <v>0</v>
      </c>
      <c r="U226" s="106">
        <f t="shared" si="1106"/>
        <v>0</v>
      </c>
      <c r="V226" s="106">
        <f t="shared" si="1106"/>
        <v>0</v>
      </c>
      <c r="W226" s="106">
        <f t="shared" si="1106"/>
        <v>0</v>
      </c>
      <c r="X226" s="106">
        <f t="shared" si="1106"/>
        <v>0</v>
      </c>
      <c r="Y226" s="106">
        <f t="shared" si="1106"/>
        <v>0</v>
      </c>
      <c r="Z226" s="106">
        <f t="shared" si="1106"/>
        <v>0</v>
      </c>
      <c r="AA226" s="106">
        <f t="shared" si="1107"/>
        <v>0</v>
      </c>
      <c r="AB226" s="118"/>
      <c r="AC226" s="106">
        <f t="shared" si="1108"/>
        <v>8333.3333333333321</v>
      </c>
      <c r="AD226" s="106">
        <f t="shared" si="1108"/>
        <v>8333.3333333333321</v>
      </c>
      <c r="AE226" s="106">
        <f t="shared" si="1108"/>
        <v>8333.3333333333321</v>
      </c>
      <c r="AF226" s="106">
        <f t="shared" si="1108"/>
        <v>8333.3333333333321</v>
      </c>
      <c r="AG226" s="106">
        <f t="shared" si="1108"/>
        <v>8333.3333333333321</v>
      </c>
      <c r="AH226" s="106">
        <f t="shared" si="1108"/>
        <v>8333.3333333333321</v>
      </c>
      <c r="AI226" s="106">
        <f t="shared" si="1108"/>
        <v>8333.3333333333321</v>
      </c>
      <c r="AJ226" s="106">
        <f t="shared" si="1108"/>
        <v>8333.3333333333321</v>
      </c>
      <c r="AK226" s="106">
        <f t="shared" si="1108"/>
        <v>8333.3333333333321</v>
      </c>
      <c r="AL226" s="106">
        <f t="shared" si="1108"/>
        <v>8333.3333333333321</v>
      </c>
      <c r="AM226" s="106">
        <f t="shared" si="1108"/>
        <v>8333.3333333333321</v>
      </c>
      <c r="AN226" s="106">
        <f t="shared" si="1108"/>
        <v>8333.3333333333321</v>
      </c>
      <c r="AO226" s="106">
        <f t="shared" si="1109"/>
        <v>99999.999999999956</v>
      </c>
      <c r="AP226" s="106"/>
      <c r="AQ226" s="106">
        <f>+PMGR!AQ226+BP!AQ226</f>
        <v>0</v>
      </c>
      <c r="AR226" s="106">
        <f>+PMGR!AR226+BP!AR226</f>
        <v>0</v>
      </c>
      <c r="AS226" s="106">
        <f>+PMGR!AS226+BP!AS226</f>
        <v>0</v>
      </c>
      <c r="AT226" s="106">
        <f>+PMGR!AT226+BP!AT226</f>
        <v>0</v>
      </c>
      <c r="AU226" s="106">
        <f>+PMGR!AU226+BP!AU226</f>
        <v>0</v>
      </c>
      <c r="AV226" s="106">
        <f>+PMGR!AV226+BP!AV226</f>
        <v>0</v>
      </c>
      <c r="AW226" s="106">
        <f>+PMGR!AW226+BP!AW226</f>
        <v>0</v>
      </c>
      <c r="AX226" s="106">
        <f>+PMGR!AX226+BP!AX226</f>
        <v>0</v>
      </c>
      <c r="AY226" s="106">
        <f>+PMGR!AY226+BP!AY226</f>
        <v>0</v>
      </c>
      <c r="AZ226" s="106">
        <f>+PMGR!AZ226+BP!AZ226</f>
        <v>0</v>
      </c>
      <c r="BA226" s="106">
        <f>+PMGR!BA226+BP!BA226</f>
        <v>0</v>
      </c>
      <c r="BB226" s="106">
        <f>+PMGR!BB226+BP!BB226</f>
        <v>0</v>
      </c>
      <c r="BC226" s="106">
        <f t="shared" si="1110"/>
        <v>0</v>
      </c>
      <c r="BD226" s="16" t="str">
        <f t="shared" si="961"/>
        <v>Commission on Credit Card</v>
      </c>
      <c r="BE226" s="106">
        <f>+PMGR!BE226+BP!BE226</f>
        <v>0</v>
      </c>
      <c r="BF226" s="106">
        <f>+PMGR!BF226+BP!BF226</f>
        <v>0</v>
      </c>
      <c r="BG226" s="106">
        <f>+PMGR!BG226+BP!BG226</f>
        <v>0</v>
      </c>
      <c r="BH226" s="106">
        <f>+PMGR!BH226+BP!BH226</f>
        <v>0</v>
      </c>
      <c r="BI226" s="106">
        <f>+PMGR!BI226+BP!BI226</f>
        <v>0</v>
      </c>
      <c r="BJ226" s="106">
        <f>+PMGR!BJ226+BP!BJ226</f>
        <v>0</v>
      </c>
      <c r="BK226" s="106">
        <f>+PMGR!BK226+BP!BK226</f>
        <v>0</v>
      </c>
      <c r="BL226" s="106">
        <f>+PMGR!BL226+BP!BL226</f>
        <v>0</v>
      </c>
      <c r="BM226" s="106">
        <f>+PMGR!BM226+BP!BM226</f>
        <v>0</v>
      </c>
      <c r="BN226" s="106">
        <f>+PMGR!BN226+BP!BN226</f>
        <v>0</v>
      </c>
      <c r="BO226" s="106">
        <f>+PMGR!BO226+BP!BO226</f>
        <v>0</v>
      </c>
      <c r="BP226" s="106">
        <f>+PMGR!BP226+BP!BP226</f>
        <v>0</v>
      </c>
      <c r="BQ226" s="106">
        <f t="shared" si="1111"/>
        <v>0</v>
      </c>
      <c r="BR226" s="118"/>
      <c r="BS226" s="106">
        <f>+PMGR!BS226+BP!BS226</f>
        <v>0</v>
      </c>
      <c r="BT226" s="106">
        <f>+PMGR!BT226+BP!BT226</f>
        <v>0</v>
      </c>
      <c r="BU226" s="106">
        <f>+PMGR!BU226+BP!BU226</f>
        <v>0</v>
      </c>
      <c r="BV226" s="106">
        <f>+PMGR!BV226+BP!BV226</f>
        <v>0</v>
      </c>
      <c r="BW226" s="106">
        <f>+PMGR!BW226+BP!BW226</f>
        <v>0</v>
      </c>
      <c r="BX226" s="106">
        <f>+PMGR!BX226+BP!BX226</f>
        <v>0</v>
      </c>
      <c r="BY226" s="106">
        <f>+PMGR!BY226+BP!BY226</f>
        <v>0</v>
      </c>
      <c r="BZ226" s="106">
        <f>+PMGR!BZ226+BP!BZ226</f>
        <v>0</v>
      </c>
      <c r="CA226" s="106">
        <f>+PMGR!CA226+BP!CA226</f>
        <v>0</v>
      </c>
      <c r="CB226" s="106">
        <f>+PMGR!CB226+BP!CB226</f>
        <v>0</v>
      </c>
      <c r="CC226" s="106">
        <f>+PMGR!CC226+BP!CC226</f>
        <v>0</v>
      </c>
      <c r="CD226" s="106">
        <f>+PMGR!CD226+BP!CD226</f>
        <v>0</v>
      </c>
      <c r="CE226" s="106">
        <f t="shared" si="1112"/>
        <v>0</v>
      </c>
      <c r="CF226" s="106"/>
      <c r="CG226" s="106">
        <f>+PMGR!CG226+BP!CG226</f>
        <v>0</v>
      </c>
      <c r="CH226" s="106">
        <f>+PMGR!CH226+BP!CH226</f>
        <v>0</v>
      </c>
      <c r="CI226" s="106">
        <f>+PMGR!CI226+BP!CI226</f>
        <v>0</v>
      </c>
      <c r="CJ226" s="106">
        <f>+PMGR!CJ226+BP!CJ226</f>
        <v>0</v>
      </c>
      <c r="CK226" s="106">
        <f>+PMGR!CK226+BP!CK226</f>
        <v>0</v>
      </c>
      <c r="CL226" s="106">
        <f>+PMGR!CL226+BP!CL226</f>
        <v>0</v>
      </c>
      <c r="CM226" s="106">
        <f>+PMGR!CM226+BP!CM226</f>
        <v>0</v>
      </c>
      <c r="CN226" s="106">
        <f>+PMGR!CN226+BP!CN226</f>
        <v>0</v>
      </c>
      <c r="CO226" s="106">
        <f>+PMGR!CO226+BP!CO226</f>
        <v>0</v>
      </c>
      <c r="CP226" s="106">
        <f>+PMGR!CP226+BP!CP226</f>
        <v>0</v>
      </c>
      <c r="CQ226" s="106">
        <f>+PMGR!CQ226+BP!CQ226</f>
        <v>0</v>
      </c>
      <c r="CR226" s="106">
        <f>+PMGR!CR226+BP!CR226</f>
        <v>0</v>
      </c>
      <c r="CS226" s="106">
        <f t="shared" si="1113"/>
        <v>0</v>
      </c>
      <c r="CT226" s="16" t="str">
        <f t="shared" si="962"/>
        <v>Commission on Credit Card</v>
      </c>
      <c r="CU226" s="106">
        <f>+PMGR!CU226+BP!CU226</f>
        <v>0</v>
      </c>
      <c r="CV226" s="106">
        <f>+PMGR!CV226+BP!CV226</f>
        <v>0</v>
      </c>
      <c r="CW226" s="106">
        <f>+PMGR!CW226+BP!CW226</f>
        <v>0</v>
      </c>
      <c r="CX226" s="106">
        <f>+PMGR!CX226+BP!CX226</f>
        <v>0</v>
      </c>
      <c r="CY226" s="106">
        <f>+PMGR!CY226+BP!CY226</f>
        <v>0</v>
      </c>
      <c r="CZ226" s="106">
        <f>+PMGR!CZ226+BP!CZ226</f>
        <v>0</v>
      </c>
      <c r="DA226" s="106">
        <f>+PMGR!DA226+BP!DA226</f>
        <v>0</v>
      </c>
      <c r="DB226" s="106">
        <f>+PMGR!DB226+BP!DB226</f>
        <v>0</v>
      </c>
      <c r="DC226" s="106">
        <f>+PMGR!DC226+BP!DC226</f>
        <v>0</v>
      </c>
      <c r="DD226" s="106">
        <f>+PMGR!DD226+BP!DD226</f>
        <v>0</v>
      </c>
      <c r="DE226" s="106">
        <f>+PMGR!DE226+BP!DE226</f>
        <v>0</v>
      </c>
      <c r="DF226" s="106">
        <f>+PMGR!DF226+BP!DF226</f>
        <v>0</v>
      </c>
      <c r="DG226" s="106">
        <f t="shared" si="1114"/>
        <v>0</v>
      </c>
      <c r="DH226" s="118"/>
      <c r="DI226" s="106">
        <f>+PMGR!DI226+BP!DI226</f>
        <v>0</v>
      </c>
      <c r="DJ226" s="106">
        <f>+PMGR!DJ226+BP!DJ226</f>
        <v>0</v>
      </c>
      <c r="DK226" s="106">
        <f>+PMGR!DK226+BP!DK226</f>
        <v>0</v>
      </c>
      <c r="DL226" s="106">
        <f>+PMGR!DL226+BP!DL226</f>
        <v>0</v>
      </c>
      <c r="DM226" s="106">
        <f>+PMGR!DM226+BP!DM226</f>
        <v>0</v>
      </c>
      <c r="DN226" s="106">
        <f>+PMGR!DN226+BP!DN226</f>
        <v>0</v>
      </c>
      <c r="DO226" s="106">
        <f>+PMGR!DO226+BP!DO226</f>
        <v>0</v>
      </c>
      <c r="DP226" s="106">
        <f>+PMGR!DP226+BP!DP226</f>
        <v>0</v>
      </c>
      <c r="DQ226" s="106">
        <f>+PMGR!DQ226+BP!DQ226</f>
        <v>0</v>
      </c>
      <c r="DR226" s="106">
        <f>+PMGR!DR226+BP!DR226</f>
        <v>0</v>
      </c>
      <c r="DS226" s="106">
        <f>+PMGR!DS226+BP!DS226</f>
        <v>0</v>
      </c>
      <c r="DT226" s="106">
        <f>+PMGR!DT226+BP!DT226</f>
        <v>0</v>
      </c>
      <c r="DU226" s="106">
        <f t="shared" si="1115"/>
        <v>0</v>
      </c>
      <c r="DV226" s="106"/>
      <c r="DW226" s="106">
        <f>+PMGR!DW226+BP!DW226</f>
        <v>0</v>
      </c>
      <c r="DX226" s="106">
        <f>+PMGR!DX226+BP!DX226</f>
        <v>0</v>
      </c>
      <c r="DY226" s="106">
        <f>+PMGR!DY226+BP!DY226</f>
        <v>0</v>
      </c>
      <c r="DZ226" s="106">
        <f>+PMGR!DZ226+BP!DZ226</f>
        <v>0</v>
      </c>
      <c r="EA226" s="106">
        <f>+PMGR!EA226+BP!EA226</f>
        <v>0</v>
      </c>
      <c r="EB226" s="106">
        <f>+PMGR!EB226+BP!EB226</f>
        <v>0</v>
      </c>
      <c r="EC226" s="106">
        <f>+PMGR!EC226+BP!EC226</f>
        <v>0</v>
      </c>
      <c r="ED226" s="106">
        <f>+PMGR!ED226+BP!ED226</f>
        <v>0</v>
      </c>
      <c r="EE226" s="106">
        <f>+PMGR!EE226+BP!EE226</f>
        <v>0</v>
      </c>
      <c r="EF226" s="106">
        <f>+PMGR!EF226+BP!EF226</f>
        <v>0</v>
      </c>
      <c r="EG226" s="106">
        <f>+PMGR!EG226+BP!EG226</f>
        <v>0</v>
      </c>
      <c r="EH226" s="106">
        <f>+PMGR!EH226+BP!EH226</f>
        <v>0</v>
      </c>
      <c r="EI226" s="106">
        <f t="shared" si="1116"/>
        <v>0</v>
      </c>
      <c r="EJ226" s="16" t="str">
        <f t="shared" si="963"/>
        <v>Commission on Credit Card</v>
      </c>
      <c r="EK226" s="106">
        <f>+PMGR!EK226+BP!EK226</f>
        <v>0</v>
      </c>
      <c r="EL226" s="106">
        <f>+PMGR!EL226+BP!EL226</f>
        <v>0</v>
      </c>
      <c r="EM226" s="106">
        <f>+PMGR!EM226+BP!EM226</f>
        <v>0</v>
      </c>
      <c r="EN226" s="106">
        <f>+PMGR!EN226+BP!EN226</f>
        <v>0</v>
      </c>
      <c r="EO226" s="106">
        <f>+PMGR!EO226+BP!EO226</f>
        <v>0</v>
      </c>
      <c r="EP226" s="106">
        <f>+PMGR!EP226+BP!EP226</f>
        <v>0</v>
      </c>
      <c r="EQ226" s="106">
        <f>+PMGR!EQ226+BP!EQ226</f>
        <v>0</v>
      </c>
      <c r="ER226" s="106">
        <f>+PMGR!ER226+BP!ER226</f>
        <v>0</v>
      </c>
      <c r="ES226" s="106">
        <f>+PMGR!ES226+BP!ES226</f>
        <v>0</v>
      </c>
      <c r="ET226" s="106">
        <f>+PMGR!ET226+BP!ET226</f>
        <v>0</v>
      </c>
      <c r="EU226" s="106">
        <f>+PMGR!EU226+BP!EU226</f>
        <v>0</v>
      </c>
      <c r="EV226" s="106">
        <f>+PMGR!EV226+BP!EV226</f>
        <v>0</v>
      </c>
      <c r="EW226" s="106">
        <f t="shared" si="1117"/>
        <v>0</v>
      </c>
      <c r="EX226" s="118"/>
      <c r="EY226" s="106">
        <f>+PMGR!EY226+BP!EY226</f>
        <v>8333.3333333333321</v>
      </c>
      <c r="EZ226" s="106">
        <f>+PMGR!EZ226+BP!EZ226</f>
        <v>8333.3333333333321</v>
      </c>
      <c r="FA226" s="106">
        <f>+PMGR!FA226+BP!FA226</f>
        <v>8333.3333333333321</v>
      </c>
      <c r="FB226" s="106">
        <f>+PMGR!FB226+BP!FB226</f>
        <v>8333.3333333333321</v>
      </c>
      <c r="FC226" s="106">
        <f>+PMGR!FC226+BP!FC226</f>
        <v>8333.3333333333321</v>
      </c>
      <c r="FD226" s="106">
        <f>+PMGR!FD226+BP!FD226</f>
        <v>8333.3333333333321</v>
      </c>
      <c r="FE226" s="106">
        <f>+PMGR!FE226+BP!FE226</f>
        <v>8333.3333333333321</v>
      </c>
      <c r="FF226" s="106">
        <f>+PMGR!FF226+BP!FF226</f>
        <v>8333.3333333333321</v>
      </c>
      <c r="FG226" s="106">
        <f>+PMGR!FG226+BP!FG226</f>
        <v>8333.3333333333321</v>
      </c>
      <c r="FH226" s="106">
        <f>+PMGR!FH226+BP!FH226</f>
        <v>8333.3333333333321</v>
      </c>
      <c r="FI226" s="106">
        <f>+PMGR!FI226+BP!FI226</f>
        <v>8333.3333333333321</v>
      </c>
      <c r="FJ226" s="106">
        <f>+PMGR!FJ226+BP!FJ226</f>
        <v>8333.3333333333321</v>
      </c>
      <c r="FK226" s="106">
        <f t="shared" si="1118"/>
        <v>99999.999999999956</v>
      </c>
    </row>
    <row r="227" spans="1:167" ht="14.45" customHeight="1" outlineLevel="1" collapsed="1">
      <c r="A227" s="58">
        <f t="shared" ref="A227:L227" si="1119">+A228+A229</f>
        <v>4670.1000000000004</v>
      </c>
      <c r="B227" s="58">
        <f t="shared" si="1119"/>
        <v>61135.199999999997</v>
      </c>
      <c r="C227" s="58">
        <f t="shared" si="1119"/>
        <v>102658.5</v>
      </c>
      <c r="D227" s="58">
        <f t="shared" si="1119"/>
        <v>12290.400000000001</v>
      </c>
      <c r="E227" s="58">
        <f t="shared" si="1119"/>
        <v>3698.5499999999997</v>
      </c>
      <c r="F227" s="58">
        <f t="shared" si="1119"/>
        <v>12884.849999999999</v>
      </c>
      <c r="G227" s="58">
        <f t="shared" si="1119"/>
        <v>11209.05</v>
      </c>
      <c r="H227" s="58">
        <f t="shared" si="1119"/>
        <v>19292.400000000001</v>
      </c>
      <c r="I227" s="58">
        <f t="shared" si="1119"/>
        <v>32507.1</v>
      </c>
      <c r="J227" s="58">
        <f t="shared" si="1119"/>
        <v>41274</v>
      </c>
      <c r="K227" s="58">
        <f t="shared" si="1119"/>
        <v>26268.75</v>
      </c>
      <c r="L227" s="58">
        <f t="shared" si="1119"/>
        <v>38323.35</v>
      </c>
      <c r="M227" s="58"/>
      <c r="N227" s="20" t="s">
        <v>190</v>
      </c>
      <c r="O227" s="58">
        <f t="shared" ref="O227:AA227" si="1120">+O228+O229</f>
        <v>41079.149999999994</v>
      </c>
      <c r="P227" s="58">
        <f t="shared" si="1120"/>
        <v>30321.449999999997</v>
      </c>
      <c r="Q227" s="58">
        <f t="shared" si="1120"/>
        <v>7473.5999999999995</v>
      </c>
      <c r="R227" s="58">
        <f t="shared" si="1120"/>
        <v>1976.3999999999999</v>
      </c>
      <c r="S227" s="58">
        <f t="shared" si="1120"/>
        <v>22216.949999999997</v>
      </c>
      <c r="T227" s="58">
        <f t="shared" si="1120"/>
        <v>13535.55</v>
      </c>
      <c r="U227" s="58">
        <f t="shared" si="1120"/>
        <v>0</v>
      </c>
      <c r="V227" s="58">
        <f t="shared" si="1120"/>
        <v>8391.15</v>
      </c>
      <c r="W227" s="58">
        <f t="shared" si="1120"/>
        <v>742.05</v>
      </c>
      <c r="X227" s="58">
        <f t="shared" si="1120"/>
        <v>6466.3499999999995</v>
      </c>
      <c r="Y227" s="58">
        <f t="shared" si="1120"/>
        <v>0</v>
      </c>
      <c r="Z227" s="58">
        <f t="shared" si="1120"/>
        <v>0</v>
      </c>
      <c r="AA227" s="58">
        <f t="shared" si="1120"/>
        <v>132202.65</v>
      </c>
      <c r="AB227" s="118"/>
      <c r="AC227" s="58">
        <f t="shared" ref="AC227:AN227" si="1121">+AC228+AC229</f>
        <v>0</v>
      </c>
      <c r="AD227" s="58">
        <f t="shared" si="1121"/>
        <v>0</v>
      </c>
      <c r="AE227" s="58">
        <f t="shared" si="1121"/>
        <v>0</v>
      </c>
      <c r="AF227" s="58">
        <f t="shared" si="1121"/>
        <v>0</v>
      </c>
      <c r="AG227" s="58">
        <f t="shared" si="1121"/>
        <v>0</v>
      </c>
      <c r="AH227" s="58">
        <f t="shared" si="1121"/>
        <v>0</v>
      </c>
      <c r="AI227" s="58">
        <f t="shared" si="1121"/>
        <v>0</v>
      </c>
      <c r="AJ227" s="58">
        <f t="shared" si="1121"/>
        <v>0</v>
      </c>
      <c r="AK227" s="58">
        <f t="shared" si="1121"/>
        <v>0</v>
      </c>
      <c r="AL227" s="58">
        <f t="shared" si="1121"/>
        <v>0</v>
      </c>
      <c r="AM227" s="58">
        <f t="shared" si="1121"/>
        <v>0</v>
      </c>
      <c r="AN227" s="58">
        <f t="shared" si="1121"/>
        <v>0</v>
      </c>
      <c r="AO227" s="58"/>
      <c r="AP227" s="106"/>
      <c r="AQ227" s="58">
        <f t="shared" ref="AQ227:BC227" si="1122">+AQ228+AQ229</f>
        <v>3113.4</v>
      </c>
      <c r="AR227" s="58">
        <f t="shared" si="1122"/>
        <v>40756.799999999996</v>
      </c>
      <c r="AS227" s="58">
        <f t="shared" si="1122"/>
        <v>68439</v>
      </c>
      <c r="AT227" s="58">
        <f t="shared" si="1122"/>
        <v>8193.6</v>
      </c>
      <c r="AU227" s="58">
        <f t="shared" si="1122"/>
        <v>2465.6999999999998</v>
      </c>
      <c r="AV227" s="58">
        <f t="shared" si="1122"/>
        <v>8589.9</v>
      </c>
      <c r="AW227" s="58">
        <f t="shared" si="1122"/>
        <v>7472.7</v>
      </c>
      <c r="AX227" s="58">
        <f t="shared" si="1122"/>
        <v>12861.6</v>
      </c>
      <c r="AY227" s="58">
        <f t="shared" si="1122"/>
        <v>21671.399999999998</v>
      </c>
      <c r="AZ227" s="58">
        <f t="shared" si="1122"/>
        <v>27516</v>
      </c>
      <c r="BA227" s="58">
        <f t="shared" si="1122"/>
        <v>17512.5</v>
      </c>
      <c r="BB227" s="58">
        <f t="shared" si="1122"/>
        <v>25548.899999999998</v>
      </c>
      <c r="BC227" s="58">
        <f t="shared" si="1122"/>
        <v>244141.5</v>
      </c>
      <c r="BD227" s="20" t="str">
        <f t="shared" si="961"/>
        <v>Financial Expenses</v>
      </c>
      <c r="BE227" s="58">
        <f t="shared" ref="BE227:BQ227" si="1123">+BE228+BE229</f>
        <v>27386.1</v>
      </c>
      <c r="BF227" s="58">
        <f t="shared" si="1123"/>
        <v>20214.3</v>
      </c>
      <c r="BG227" s="58">
        <f t="shared" si="1123"/>
        <v>4982.3999999999996</v>
      </c>
      <c r="BH227" s="58">
        <f t="shared" si="1123"/>
        <v>1317.6</v>
      </c>
      <c r="BI227" s="58">
        <f t="shared" si="1123"/>
        <v>14811.3</v>
      </c>
      <c r="BJ227" s="58">
        <f t="shared" si="1123"/>
        <v>9023.6999999999989</v>
      </c>
      <c r="BK227" s="58">
        <f t="shared" si="1123"/>
        <v>0</v>
      </c>
      <c r="BL227" s="58">
        <f t="shared" si="1123"/>
        <v>5594.0999999999995</v>
      </c>
      <c r="BM227" s="58">
        <f t="shared" si="1123"/>
        <v>494.7</v>
      </c>
      <c r="BN227" s="58">
        <f t="shared" si="1123"/>
        <v>3527.1</v>
      </c>
      <c r="BO227" s="58">
        <f t="shared" si="1123"/>
        <v>0</v>
      </c>
      <c r="BP227" s="58">
        <f t="shared" si="1123"/>
        <v>0</v>
      </c>
      <c r="BQ227" s="58">
        <f t="shared" si="1123"/>
        <v>87351.3</v>
      </c>
      <c r="BR227" s="118"/>
      <c r="BS227" s="58">
        <f t="shared" ref="BS227:CE227" si="1124">+BS228+BS229</f>
        <v>0</v>
      </c>
      <c r="BT227" s="58">
        <f t="shared" si="1124"/>
        <v>0</v>
      </c>
      <c r="BU227" s="58">
        <f t="shared" si="1124"/>
        <v>0</v>
      </c>
      <c r="BV227" s="58">
        <f t="shared" si="1124"/>
        <v>0</v>
      </c>
      <c r="BW227" s="58">
        <f t="shared" si="1124"/>
        <v>0</v>
      </c>
      <c r="BX227" s="58">
        <f t="shared" si="1124"/>
        <v>0</v>
      </c>
      <c r="BY227" s="58">
        <f t="shared" si="1124"/>
        <v>0</v>
      </c>
      <c r="BZ227" s="58">
        <f t="shared" si="1124"/>
        <v>0</v>
      </c>
      <c r="CA227" s="58">
        <f t="shared" si="1124"/>
        <v>0</v>
      </c>
      <c r="CB227" s="58">
        <f t="shared" si="1124"/>
        <v>0</v>
      </c>
      <c r="CC227" s="58">
        <f t="shared" si="1124"/>
        <v>0</v>
      </c>
      <c r="CD227" s="58">
        <f t="shared" si="1124"/>
        <v>0</v>
      </c>
      <c r="CE227" s="58">
        <f t="shared" si="1124"/>
        <v>0</v>
      </c>
      <c r="CF227" s="106"/>
      <c r="CG227" s="58">
        <f t="shared" ref="CG227:CS227" si="1125">+CG228+CG229</f>
        <v>1556.7</v>
      </c>
      <c r="CH227" s="58">
        <f t="shared" si="1125"/>
        <v>20378.399999999998</v>
      </c>
      <c r="CI227" s="58">
        <f t="shared" si="1125"/>
        <v>34219.5</v>
      </c>
      <c r="CJ227" s="58">
        <f t="shared" si="1125"/>
        <v>4096.8</v>
      </c>
      <c r="CK227" s="58">
        <f t="shared" si="1125"/>
        <v>1232.8499999999999</v>
      </c>
      <c r="CL227" s="58">
        <f t="shared" si="1125"/>
        <v>4294.95</v>
      </c>
      <c r="CM227" s="58">
        <f t="shared" si="1125"/>
        <v>3736.35</v>
      </c>
      <c r="CN227" s="58">
        <f t="shared" si="1125"/>
        <v>6430.8</v>
      </c>
      <c r="CO227" s="58">
        <f t="shared" si="1125"/>
        <v>10835.699999999999</v>
      </c>
      <c r="CP227" s="58">
        <f t="shared" si="1125"/>
        <v>13758</v>
      </c>
      <c r="CQ227" s="58">
        <f t="shared" si="1125"/>
        <v>8756.25</v>
      </c>
      <c r="CR227" s="58">
        <f t="shared" si="1125"/>
        <v>12774.449999999999</v>
      </c>
      <c r="CS227" s="58">
        <f t="shared" si="1125"/>
        <v>122070.75</v>
      </c>
      <c r="CT227" s="20" t="str">
        <f t="shared" si="962"/>
        <v>Financial Expenses</v>
      </c>
      <c r="CU227" s="58">
        <f t="shared" ref="CU227:DG227" si="1126">+CU228+CU229</f>
        <v>13693.05</v>
      </c>
      <c r="CV227" s="58">
        <f t="shared" si="1126"/>
        <v>10107.15</v>
      </c>
      <c r="CW227" s="58">
        <f t="shared" si="1126"/>
        <v>2491.1999999999998</v>
      </c>
      <c r="CX227" s="58">
        <f t="shared" si="1126"/>
        <v>658.8</v>
      </c>
      <c r="CY227" s="58">
        <f t="shared" si="1126"/>
        <v>7405.65</v>
      </c>
      <c r="CZ227" s="58">
        <f t="shared" si="1126"/>
        <v>4511.8499999999995</v>
      </c>
      <c r="DA227" s="58">
        <f t="shared" si="1126"/>
        <v>0</v>
      </c>
      <c r="DB227" s="58">
        <f t="shared" si="1126"/>
        <v>2797.0499999999997</v>
      </c>
      <c r="DC227" s="58">
        <f t="shared" si="1126"/>
        <v>247.35</v>
      </c>
      <c r="DD227" s="58">
        <f t="shared" si="1126"/>
        <v>1763.55</v>
      </c>
      <c r="DE227" s="58">
        <f t="shared" si="1126"/>
        <v>0</v>
      </c>
      <c r="DF227" s="58">
        <f t="shared" si="1126"/>
        <v>0</v>
      </c>
      <c r="DG227" s="58">
        <f t="shared" si="1126"/>
        <v>43675.65</v>
      </c>
      <c r="DH227" s="118"/>
      <c r="DI227" s="58">
        <f t="shared" ref="DI227:DU227" si="1127">+DI228+DI229</f>
        <v>0</v>
      </c>
      <c r="DJ227" s="58">
        <f t="shared" si="1127"/>
        <v>0</v>
      </c>
      <c r="DK227" s="58">
        <f t="shared" si="1127"/>
        <v>0</v>
      </c>
      <c r="DL227" s="58">
        <f t="shared" si="1127"/>
        <v>0</v>
      </c>
      <c r="DM227" s="58">
        <f t="shared" si="1127"/>
        <v>0</v>
      </c>
      <c r="DN227" s="58">
        <f t="shared" si="1127"/>
        <v>0</v>
      </c>
      <c r="DO227" s="58">
        <f t="shared" si="1127"/>
        <v>0</v>
      </c>
      <c r="DP227" s="58">
        <f t="shared" si="1127"/>
        <v>0</v>
      </c>
      <c r="DQ227" s="58">
        <f t="shared" si="1127"/>
        <v>0</v>
      </c>
      <c r="DR227" s="58">
        <f t="shared" si="1127"/>
        <v>0</v>
      </c>
      <c r="DS227" s="58">
        <f t="shared" si="1127"/>
        <v>0</v>
      </c>
      <c r="DT227" s="58">
        <f t="shared" si="1127"/>
        <v>0</v>
      </c>
      <c r="DU227" s="58">
        <f t="shared" si="1127"/>
        <v>0</v>
      </c>
      <c r="DV227" s="106"/>
      <c r="DW227" s="58">
        <f t="shared" ref="DW227:EI227" si="1128">+DW228+DW229</f>
        <v>0</v>
      </c>
      <c r="DX227" s="58">
        <f t="shared" si="1128"/>
        <v>0</v>
      </c>
      <c r="DY227" s="58">
        <f t="shared" si="1128"/>
        <v>0</v>
      </c>
      <c r="DZ227" s="58">
        <f t="shared" si="1128"/>
        <v>0</v>
      </c>
      <c r="EA227" s="58">
        <f t="shared" si="1128"/>
        <v>0</v>
      </c>
      <c r="EB227" s="58">
        <f t="shared" si="1128"/>
        <v>0</v>
      </c>
      <c r="EC227" s="58">
        <f t="shared" si="1128"/>
        <v>0</v>
      </c>
      <c r="ED227" s="58">
        <f t="shared" si="1128"/>
        <v>0</v>
      </c>
      <c r="EE227" s="58">
        <f t="shared" si="1128"/>
        <v>0</v>
      </c>
      <c r="EF227" s="58">
        <f t="shared" si="1128"/>
        <v>0</v>
      </c>
      <c r="EG227" s="58">
        <f t="shared" si="1128"/>
        <v>0</v>
      </c>
      <c r="EH227" s="58">
        <f t="shared" si="1128"/>
        <v>0</v>
      </c>
      <c r="EI227" s="58">
        <f t="shared" si="1128"/>
        <v>0</v>
      </c>
      <c r="EJ227" s="20" t="str">
        <f t="shared" si="963"/>
        <v>Financial Expenses</v>
      </c>
      <c r="EK227" s="58">
        <f t="shared" ref="EK227:EW227" si="1129">+EK228+EK229</f>
        <v>0</v>
      </c>
      <c r="EL227" s="58">
        <f t="shared" si="1129"/>
        <v>0</v>
      </c>
      <c r="EM227" s="58">
        <f t="shared" si="1129"/>
        <v>0</v>
      </c>
      <c r="EN227" s="58">
        <f t="shared" si="1129"/>
        <v>0</v>
      </c>
      <c r="EO227" s="58">
        <f t="shared" si="1129"/>
        <v>0</v>
      </c>
      <c r="EP227" s="58">
        <f t="shared" si="1129"/>
        <v>0</v>
      </c>
      <c r="EQ227" s="58">
        <f t="shared" si="1129"/>
        <v>0</v>
      </c>
      <c r="ER227" s="58">
        <f t="shared" si="1129"/>
        <v>0</v>
      </c>
      <c r="ES227" s="58">
        <f t="shared" si="1129"/>
        <v>0</v>
      </c>
      <c r="ET227" s="58">
        <f t="shared" si="1129"/>
        <v>1175.7</v>
      </c>
      <c r="EU227" s="58">
        <f t="shared" si="1129"/>
        <v>0</v>
      </c>
      <c r="EV227" s="58">
        <f t="shared" si="1129"/>
        <v>0</v>
      </c>
      <c r="EW227" s="58">
        <f t="shared" si="1129"/>
        <v>1175.7</v>
      </c>
      <c r="EX227" s="118"/>
      <c r="EY227" s="58">
        <f t="shared" ref="EY227:FK227" si="1130">+EY228+EY229</f>
        <v>0</v>
      </c>
      <c r="EZ227" s="58">
        <f t="shared" si="1130"/>
        <v>0</v>
      </c>
      <c r="FA227" s="58">
        <f t="shared" si="1130"/>
        <v>0</v>
      </c>
      <c r="FB227" s="58">
        <f t="shared" si="1130"/>
        <v>0</v>
      </c>
      <c r="FC227" s="58">
        <f t="shared" si="1130"/>
        <v>0</v>
      </c>
      <c r="FD227" s="58">
        <f t="shared" si="1130"/>
        <v>0</v>
      </c>
      <c r="FE227" s="58">
        <f t="shared" si="1130"/>
        <v>0</v>
      </c>
      <c r="FF227" s="58">
        <f t="shared" si="1130"/>
        <v>0</v>
      </c>
      <c r="FG227" s="58">
        <f t="shared" si="1130"/>
        <v>0</v>
      </c>
      <c r="FH227" s="58">
        <f t="shared" si="1130"/>
        <v>0</v>
      </c>
      <c r="FI227" s="58">
        <f t="shared" si="1130"/>
        <v>0</v>
      </c>
      <c r="FJ227" s="58">
        <f t="shared" si="1130"/>
        <v>0</v>
      </c>
      <c r="FK227" s="58">
        <f t="shared" si="1130"/>
        <v>0</v>
      </c>
    </row>
    <row r="228" spans="1:167" ht="14.45" customHeight="1" outlineLevel="2">
      <c r="A228" s="106">
        <f t="shared" ref="A228:L229" si="1131">+AQ228+CG228+DW228</f>
        <v>0</v>
      </c>
      <c r="B228" s="106">
        <f t="shared" si="1131"/>
        <v>0</v>
      </c>
      <c r="C228" s="106">
        <f t="shared" si="1131"/>
        <v>0</v>
      </c>
      <c r="D228" s="106">
        <f t="shared" si="1131"/>
        <v>0</v>
      </c>
      <c r="E228" s="106">
        <f t="shared" si="1131"/>
        <v>0</v>
      </c>
      <c r="F228" s="106">
        <f t="shared" si="1131"/>
        <v>0</v>
      </c>
      <c r="G228" s="106">
        <f t="shared" si="1131"/>
        <v>0</v>
      </c>
      <c r="H228" s="106">
        <f t="shared" si="1131"/>
        <v>0</v>
      </c>
      <c r="I228" s="106">
        <f t="shared" si="1131"/>
        <v>0</v>
      </c>
      <c r="J228" s="106">
        <f t="shared" si="1131"/>
        <v>0</v>
      </c>
      <c r="K228" s="106">
        <f t="shared" si="1131"/>
        <v>0</v>
      </c>
      <c r="L228" s="106">
        <f t="shared" si="1131"/>
        <v>0</v>
      </c>
      <c r="M228" s="106">
        <f t="shared" ref="M228:M229" si="1132">+SUM(A228:L228)</f>
        <v>0</v>
      </c>
      <c r="N228" s="16" t="s">
        <v>191</v>
      </c>
      <c r="O228" s="106">
        <f t="shared" ref="O228:Z229" si="1133">+BE228+CU228+EK228</f>
        <v>0</v>
      </c>
      <c r="P228" s="106">
        <f t="shared" si="1133"/>
        <v>0</v>
      </c>
      <c r="Q228" s="106">
        <f t="shared" si="1133"/>
        <v>0</v>
      </c>
      <c r="R228" s="106">
        <f t="shared" si="1133"/>
        <v>0</v>
      </c>
      <c r="S228" s="106">
        <f t="shared" si="1133"/>
        <v>0</v>
      </c>
      <c r="T228" s="106">
        <f t="shared" si="1133"/>
        <v>0</v>
      </c>
      <c r="U228" s="106">
        <f t="shared" si="1133"/>
        <v>0</v>
      </c>
      <c r="V228" s="106">
        <f t="shared" si="1133"/>
        <v>0</v>
      </c>
      <c r="W228" s="106">
        <f t="shared" si="1133"/>
        <v>0</v>
      </c>
      <c r="X228" s="106">
        <f t="shared" si="1133"/>
        <v>0</v>
      </c>
      <c r="Y228" s="106">
        <f t="shared" si="1133"/>
        <v>0</v>
      </c>
      <c r="Z228" s="106">
        <f t="shared" si="1133"/>
        <v>0</v>
      </c>
      <c r="AA228" s="106">
        <f t="shared" ref="AA228:AA229" si="1134">+SUM(O228:Z228)</f>
        <v>0</v>
      </c>
      <c r="AB228" s="118"/>
      <c r="AC228" s="106">
        <f t="shared" ref="AC228:AN229" si="1135">+BS228+DI228+EY228</f>
        <v>0</v>
      </c>
      <c r="AD228" s="106">
        <f t="shared" si="1135"/>
        <v>0</v>
      </c>
      <c r="AE228" s="106">
        <f t="shared" si="1135"/>
        <v>0</v>
      </c>
      <c r="AF228" s="106">
        <f t="shared" si="1135"/>
        <v>0</v>
      </c>
      <c r="AG228" s="106">
        <f t="shared" si="1135"/>
        <v>0</v>
      </c>
      <c r="AH228" s="106">
        <f t="shared" si="1135"/>
        <v>0</v>
      </c>
      <c r="AI228" s="106">
        <f t="shared" si="1135"/>
        <v>0</v>
      </c>
      <c r="AJ228" s="106">
        <f t="shared" si="1135"/>
        <v>0</v>
      </c>
      <c r="AK228" s="106">
        <f t="shared" si="1135"/>
        <v>0</v>
      </c>
      <c r="AL228" s="106">
        <f t="shared" si="1135"/>
        <v>0</v>
      </c>
      <c r="AM228" s="106">
        <f t="shared" si="1135"/>
        <v>0</v>
      </c>
      <c r="AN228" s="106">
        <f t="shared" si="1135"/>
        <v>0</v>
      </c>
      <c r="AO228" s="106">
        <f t="shared" ref="AO228:AO229" si="1136">+SUM(AC228:AN228)</f>
        <v>0</v>
      </c>
      <c r="AP228" s="106"/>
      <c r="AQ228" s="106">
        <f>+PMGR!AQ228+BP!AQ228</f>
        <v>0</v>
      </c>
      <c r="AR228" s="106">
        <f>+PMGR!AR228+BP!AR228</f>
        <v>0</v>
      </c>
      <c r="AS228" s="106">
        <f>+PMGR!AS228+BP!AS228</f>
        <v>0</v>
      </c>
      <c r="AT228" s="106">
        <f>+PMGR!AT228+BP!AT228</f>
        <v>0</v>
      </c>
      <c r="AU228" s="106">
        <f>+PMGR!AU228+BP!AU228</f>
        <v>0</v>
      </c>
      <c r="AV228" s="106">
        <f>+PMGR!AV228+BP!AV228</f>
        <v>0</v>
      </c>
      <c r="AW228" s="106">
        <f>+PMGR!AW228+BP!AW228</f>
        <v>0</v>
      </c>
      <c r="AX228" s="106">
        <f>+PMGR!AX228+BP!AX228</f>
        <v>0</v>
      </c>
      <c r="AY228" s="106">
        <f>+PMGR!AY228+BP!AY228</f>
        <v>0</v>
      </c>
      <c r="AZ228" s="106">
        <f>+PMGR!AZ228+BP!AZ228</f>
        <v>0</v>
      </c>
      <c r="BA228" s="106">
        <f>+PMGR!BA228+BP!BA228</f>
        <v>0</v>
      </c>
      <c r="BB228" s="106">
        <f>+PMGR!BB228+BP!BB228</f>
        <v>0</v>
      </c>
      <c r="BC228" s="106">
        <f t="shared" ref="BC228:BC229" si="1137">+SUM(AQ228:BB228)</f>
        <v>0</v>
      </c>
      <c r="BD228" s="16" t="str">
        <f t="shared" si="961"/>
        <v>Interest on Other Short Term Borrowing</v>
      </c>
      <c r="BE228" s="106">
        <f>+PMGR!BE228+BP!BE228</f>
        <v>0</v>
      </c>
      <c r="BF228" s="106">
        <f>+PMGR!BF228+BP!BF228</f>
        <v>0</v>
      </c>
      <c r="BG228" s="106">
        <f>+PMGR!BG228+BP!BG228</f>
        <v>0</v>
      </c>
      <c r="BH228" s="106">
        <f>+PMGR!BH228+BP!BH228</f>
        <v>0</v>
      </c>
      <c r="BI228" s="106">
        <f>+PMGR!BI228+BP!BI228</f>
        <v>0</v>
      </c>
      <c r="BJ228" s="106">
        <f>+PMGR!BJ228+BP!BJ228</f>
        <v>0</v>
      </c>
      <c r="BK228" s="106">
        <f>+PMGR!BK228+BP!BK228</f>
        <v>0</v>
      </c>
      <c r="BL228" s="106">
        <f>+PMGR!BL228+BP!BL228</f>
        <v>0</v>
      </c>
      <c r="BM228" s="106">
        <f>+PMGR!BM228+BP!BM228</f>
        <v>0</v>
      </c>
      <c r="BN228" s="106">
        <f>+PMGR!BN228+BP!BN228</f>
        <v>0</v>
      </c>
      <c r="BO228" s="106">
        <f>+PMGR!BO228+BP!BO228</f>
        <v>0</v>
      </c>
      <c r="BP228" s="106">
        <f>+PMGR!BP228+BP!BP228</f>
        <v>0</v>
      </c>
      <c r="BQ228" s="106">
        <f t="shared" ref="BQ228:BQ229" si="1138">+SUM(BE228:BP228)</f>
        <v>0</v>
      </c>
      <c r="BR228" s="118"/>
      <c r="BS228" s="106">
        <f>+PMGR!BS228+BP!BS228</f>
        <v>0</v>
      </c>
      <c r="BT228" s="106">
        <f>+PMGR!BT228+BP!BT228</f>
        <v>0</v>
      </c>
      <c r="BU228" s="106">
        <f>+PMGR!BU228+BP!BU228</f>
        <v>0</v>
      </c>
      <c r="BV228" s="106">
        <f>+PMGR!BV228+BP!BV228</f>
        <v>0</v>
      </c>
      <c r="BW228" s="106">
        <f>+PMGR!BW228+BP!BW228</f>
        <v>0</v>
      </c>
      <c r="BX228" s="106">
        <f>+PMGR!BX228+BP!BX228</f>
        <v>0</v>
      </c>
      <c r="BY228" s="106">
        <f>+PMGR!BY228+BP!BY228</f>
        <v>0</v>
      </c>
      <c r="BZ228" s="106">
        <f>+PMGR!BZ228+BP!BZ228</f>
        <v>0</v>
      </c>
      <c r="CA228" s="106">
        <f>+PMGR!CA228+BP!CA228</f>
        <v>0</v>
      </c>
      <c r="CB228" s="106">
        <f>+PMGR!CB228+BP!CB228</f>
        <v>0</v>
      </c>
      <c r="CC228" s="106">
        <f>+PMGR!CC228+BP!CC228</f>
        <v>0</v>
      </c>
      <c r="CD228" s="106">
        <f>+PMGR!CD228+BP!CD228</f>
        <v>0</v>
      </c>
      <c r="CE228" s="106">
        <f t="shared" ref="CE228:CE229" si="1139">+SUM(BS228:CD228)</f>
        <v>0</v>
      </c>
      <c r="CF228" s="106"/>
      <c r="CG228" s="106">
        <f>+PMGR!CG228+BP!CG228</f>
        <v>0</v>
      </c>
      <c r="CH228" s="106">
        <f>+PMGR!CH228+BP!CH228</f>
        <v>0</v>
      </c>
      <c r="CI228" s="106">
        <f>+PMGR!CI228+BP!CI228</f>
        <v>0</v>
      </c>
      <c r="CJ228" s="106">
        <f>+PMGR!CJ228+BP!CJ228</f>
        <v>0</v>
      </c>
      <c r="CK228" s="106">
        <f>+PMGR!CK228+BP!CK228</f>
        <v>0</v>
      </c>
      <c r="CL228" s="106">
        <f>+PMGR!CL228+BP!CL228</f>
        <v>0</v>
      </c>
      <c r="CM228" s="106">
        <f>+PMGR!CM228+BP!CM228</f>
        <v>0</v>
      </c>
      <c r="CN228" s="106">
        <f>+PMGR!CN228+BP!CN228</f>
        <v>0</v>
      </c>
      <c r="CO228" s="106">
        <f>+PMGR!CO228+BP!CO228</f>
        <v>0</v>
      </c>
      <c r="CP228" s="106">
        <f>+PMGR!CP228+BP!CP228</f>
        <v>0</v>
      </c>
      <c r="CQ228" s="106">
        <f>+PMGR!CQ228+BP!CQ228</f>
        <v>0</v>
      </c>
      <c r="CR228" s="106">
        <f>+PMGR!CR228+BP!CR228</f>
        <v>0</v>
      </c>
      <c r="CS228" s="106">
        <f t="shared" ref="CS228:CS229" si="1140">+SUM(CG228:CR228)</f>
        <v>0</v>
      </c>
      <c r="CT228" s="16" t="str">
        <f t="shared" si="962"/>
        <v>Interest on Other Short Term Borrowing</v>
      </c>
      <c r="CU228" s="106">
        <f>+PMGR!CU228+BP!CU228</f>
        <v>0</v>
      </c>
      <c r="CV228" s="106">
        <f>+PMGR!CV228+BP!CV228</f>
        <v>0</v>
      </c>
      <c r="CW228" s="106">
        <f>+PMGR!CW228+BP!CW228</f>
        <v>0</v>
      </c>
      <c r="CX228" s="106">
        <f>+PMGR!CX228+BP!CX228</f>
        <v>0</v>
      </c>
      <c r="CY228" s="106">
        <f>+PMGR!CY228+BP!CY228</f>
        <v>0</v>
      </c>
      <c r="CZ228" s="106">
        <f>+PMGR!CZ228+BP!CZ228</f>
        <v>0</v>
      </c>
      <c r="DA228" s="106">
        <f>+PMGR!DA228+BP!DA228</f>
        <v>0</v>
      </c>
      <c r="DB228" s="106">
        <f>+PMGR!DB228+BP!DB228</f>
        <v>0</v>
      </c>
      <c r="DC228" s="106">
        <f>+PMGR!DC228+BP!DC228</f>
        <v>0</v>
      </c>
      <c r="DD228" s="106">
        <f>+PMGR!DD228+BP!DD228</f>
        <v>0</v>
      </c>
      <c r="DE228" s="106">
        <f>+PMGR!DE228+BP!DE228</f>
        <v>0</v>
      </c>
      <c r="DF228" s="106">
        <f>+PMGR!DF228+BP!DF228</f>
        <v>0</v>
      </c>
      <c r="DG228" s="106">
        <f t="shared" ref="DG228:DG229" si="1141">+SUM(CU228:DF228)</f>
        <v>0</v>
      </c>
      <c r="DH228" s="118"/>
      <c r="DI228" s="106">
        <f>+PMGR!DI228+BP!DI228</f>
        <v>0</v>
      </c>
      <c r="DJ228" s="106">
        <f>+PMGR!DJ228+BP!DJ228</f>
        <v>0</v>
      </c>
      <c r="DK228" s="106">
        <f>+PMGR!DK228+BP!DK228</f>
        <v>0</v>
      </c>
      <c r="DL228" s="106">
        <f>+PMGR!DL228+BP!DL228</f>
        <v>0</v>
      </c>
      <c r="DM228" s="106">
        <f>+PMGR!DM228+BP!DM228</f>
        <v>0</v>
      </c>
      <c r="DN228" s="106">
        <f>+PMGR!DN228+BP!DN228</f>
        <v>0</v>
      </c>
      <c r="DO228" s="106">
        <f>+PMGR!DO228+BP!DO228</f>
        <v>0</v>
      </c>
      <c r="DP228" s="106">
        <f>+PMGR!DP228+BP!DP228</f>
        <v>0</v>
      </c>
      <c r="DQ228" s="106">
        <f>+PMGR!DQ228+BP!DQ228</f>
        <v>0</v>
      </c>
      <c r="DR228" s="106">
        <f>+PMGR!DR228+BP!DR228</f>
        <v>0</v>
      </c>
      <c r="DS228" s="106">
        <f>+PMGR!DS228+BP!DS228</f>
        <v>0</v>
      </c>
      <c r="DT228" s="106">
        <f>+PMGR!DT228+BP!DT228</f>
        <v>0</v>
      </c>
      <c r="DU228" s="106">
        <f t="shared" ref="DU228:DU229" si="1142">+SUM(DI228:DT228)</f>
        <v>0</v>
      </c>
      <c r="DV228" s="106"/>
      <c r="DW228" s="106">
        <f>+PMGR!DW228+BP!DW228</f>
        <v>0</v>
      </c>
      <c r="DX228" s="106">
        <f>+PMGR!DX228+BP!DX228</f>
        <v>0</v>
      </c>
      <c r="DY228" s="106">
        <f>+PMGR!DY228+BP!DY228</f>
        <v>0</v>
      </c>
      <c r="DZ228" s="106">
        <f>+PMGR!DZ228+BP!DZ228</f>
        <v>0</v>
      </c>
      <c r="EA228" s="106">
        <f>+PMGR!EA228+BP!EA228</f>
        <v>0</v>
      </c>
      <c r="EB228" s="106">
        <f>+PMGR!EB228+BP!EB228</f>
        <v>0</v>
      </c>
      <c r="EC228" s="106">
        <f>+PMGR!EC228+BP!EC228</f>
        <v>0</v>
      </c>
      <c r="ED228" s="106">
        <f>+PMGR!ED228+BP!ED228</f>
        <v>0</v>
      </c>
      <c r="EE228" s="106">
        <f>+PMGR!EE228+BP!EE228</f>
        <v>0</v>
      </c>
      <c r="EF228" s="106">
        <f>+PMGR!EF228+BP!EF228</f>
        <v>0</v>
      </c>
      <c r="EG228" s="106">
        <f>+PMGR!EG228+BP!EG228</f>
        <v>0</v>
      </c>
      <c r="EH228" s="106">
        <f>+PMGR!EH228+BP!EH228</f>
        <v>0</v>
      </c>
      <c r="EI228" s="106">
        <f t="shared" ref="EI228:EI229" si="1143">+SUM(DW228:EH228)</f>
        <v>0</v>
      </c>
      <c r="EJ228" s="16" t="str">
        <f t="shared" si="963"/>
        <v>Interest on Other Short Term Borrowing</v>
      </c>
      <c r="EK228" s="106">
        <f>+PMGR!EK228+BP!EK228</f>
        <v>0</v>
      </c>
      <c r="EL228" s="106">
        <f>+PMGR!EL228+BP!EL228</f>
        <v>0</v>
      </c>
      <c r="EM228" s="106">
        <f>+PMGR!EM228+BP!EM228</f>
        <v>0</v>
      </c>
      <c r="EN228" s="106">
        <f>+PMGR!EN228+BP!EN228</f>
        <v>0</v>
      </c>
      <c r="EO228" s="106">
        <f>+PMGR!EO228+BP!EO228</f>
        <v>0</v>
      </c>
      <c r="EP228" s="106">
        <f>+PMGR!EP228+BP!EP228</f>
        <v>0</v>
      </c>
      <c r="EQ228" s="106">
        <f>+PMGR!EQ228+BP!EQ228</f>
        <v>0</v>
      </c>
      <c r="ER228" s="106">
        <f>+PMGR!ER228+BP!ER228</f>
        <v>0</v>
      </c>
      <c r="ES228" s="106">
        <f>+PMGR!ES228+BP!ES228</f>
        <v>0</v>
      </c>
      <c r="ET228" s="106">
        <f>+PMGR!ET228+BP!ET228</f>
        <v>0</v>
      </c>
      <c r="EU228" s="106">
        <f>+PMGR!EU228+BP!EU228</f>
        <v>0</v>
      </c>
      <c r="EV228" s="106">
        <f>+PMGR!EV228+BP!EV228</f>
        <v>0</v>
      </c>
      <c r="EW228" s="106">
        <f t="shared" ref="EW228:EW229" si="1144">+SUM(EK228:EV228)</f>
        <v>0</v>
      </c>
      <c r="EX228" s="118"/>
      <c r="EY228" s="106">
        <f>+PMGR!EY228+BP!EY228</f>
        <v>0</v>
      </c>
      <c r="EZ228" s="106">
        <f>+PMGR!EZ228+BP!EZ228</f>
        <v>0</v>
      </c>
      <c r="FA228" s="106">
        <f>+PMGR!FA228+BP!FA228</f>
        <v>0</v>
      </c>
      <c r="FB228" s="106">
        <f>+PMGR!FB228+BP!FB228</f>
        <v>0</v>
      </c>
      <c r="FC228" s="106">
        <f>+PMGR!FC228+BP!FC228</f>
        <v>0</v>
      </c>
      <c r="FD228" s="106">
        <f>+PMGR!FD228+BP!FD228</f>
        <v>0</v>
      </c>
      <c r="FE228" s="106">
        <f>+PMGR!FE228+BP!FE228</f>
        <v>0</v>
      </c>
      <c r="FF228" s="106">
        <f>+PMGR!FF228+BP!FF228</f>
        <v>0</v>
      </c>
      <c r="FG228" s="106">
        <f>+PMGR!FG228+BP!FG228</f>
        <v>0</v>
      </c>
      <c r="FH228" s="106">
        <f>+PMGR!FH228+BP!FH228</f>
        <v>0</v>
      </c>
      <c r="FI228" s="106">
        <f>+PMGR!FI228+BP!FI228</f>
        <v>0</v>
      </c>
      <c r="FJ228" s="106">
        <f>+PMGR!FJ228+BP!FJ228</f>
        <v>0</v>
      </c>
      <c r="FK228" s="106">
        <f t="shared" ref="FK228:FK229" si="1145">+SUM(EY228:FJ228)</f>
        <v>0</v>
      </c>
    </row>
    <row r="229" spans="1:167" ht="14.45" customHeight="1" outlineLevel="2">
      <c r="A229" s="106">
        <f t="shared" si="1131"/>
        <v>4670.1000000000004</v>
      </c>
      <c r="B229" s="106">
        <f t="shared" si="1131"/>
        <v>61135.199999999997</v>
      </c>
      <c r="C229" s="106">
        <f t="shared" si="1131"/>
        <v>102658.5</v>
      </c>
      <c r="D229" s="106">
        <f t="shared" si="1131"/>
        <v>12290.400000000001</v>
      </c>
      <c r="E229" s="106">
        <f t="shared" si="1131"/>
        <v>3698.5499999999997</v>
      </c>
      <c r="F229" s="106">
        <f t="shared" si="1131"/>
        <v>12884.849999999999</v>
      </c>
      <c r="G229" s="106">
        <f t="shared" si="1131"/>
        <v>11209.05</v>
      </c>
      <c r="H229" s="106">
        <f t="shared" si="1131"/>
        <v>19292.400000000001</v>
      </c>
      <c r="I229" s="106">
        <f t="shared" si="1131"/>
        <v>32507.1</v>
      </c>
      <c r="J229" s="106">
        <f t="shared" si="1131"/>
        <v>41274</v>
      </c>
      <c r="K229" s="106">
        <f t="shared" si="1131"/>
        <v>26268.75</v>
      </c>
      <c r="L229" s="106">
        <f t="shared" si="1131"/>
        <v>38323.35</v>
      </c>
      <c r="M229" s="106">
        <f t="shared" si="1132"/>
        <v>366212.24999999994</v>
      </c>
      <c r="N229" s="16" t="s">
        <v>192</v>
      </c>
      <c r="O229" s="106">
        <f t="shared" si="1133"/>
        <v>41079.149999999994</v>
      </c>
      <c r="P229" s="106">
        <f t="shared" si="1133"/>
        <v>30321.449999999997</v>
      </c>
      <c r="Q229" s="106">
        <f t="shared" si="1133"/>
        <v>7473.5999999999995</v>
      </c>
      <c r="R229" s="106">
        <f t="shared" si="1133"/>
        <v>1976.3999999999999</v>
      </c>
      <c r="S229" s="106">
        <f t="shared" si="1133"/>
        <v>22216.949999999997</v>
      </c>
      <c r="T229" s="106">
        <f t="shared" si="1133"/>
        <v>13535.55</v>
      </c>
      <c r="U229" s="106">
        <f t="shared" si="1133"/>
        <v>0</v>
      </c>
      <c r="V229" s="106">
        <f t="shared" si="1133"/>
        <v>8391.15</v>
      </c>
      <c r="W229" s="106">
        <f t="shared" si="1133"/>
        <v>742.05</v>
      </c>
      <c r="X229" s="106">
        <f t="shared" si="1133"/>
        <v>6466.3499999999995</v>
      </c>
      <c r="Y229" s="106">
        <f t="shared" si="1133"/>
        <v>0</v>
      </c>
      <c r="Z229" s="106">
        <f t="shared" si="1133"/>
        <v>0</v>
      </c>
      <c r="AA229" s="106">
        <f t="shared" si="1134"/>
        <v>132202.65</v>
      </c>
      <c r="AB229" s="118"/>
      <c r="AC229" s="106">
        <f t="shared" si="1135"/>
        <v>0</v>
      </c>
      <c r="AD229" s="106">
        <f t="shared" si="1135"/>
        <v>0</v>
      </c>
      <c r="AE229" s="106">
        <f t="shared" si="1135"/>
        <v>0</v>
      </c>
      <c r="AF229" s="106">
        <f t="shared" si="1135"/>
        <v>0</v>
      </c>
      <c r="AG229" s="106">
        <f t="shared" si="1135"/>
        <v>0</v>
      </c>
      <c r="AH229" s="106">
        <f t="shared" si="1135"/>
        <v>0</v>
      </c>
      <c r="AI229" s="106">
        <f t="shared" si="1135"/>
        <v>0</v>
      </c>
      <c r="AJ229" s="106">
        <f t="shared" si="1135"/>
        <v>0</v>
      </c>
      <c r="AK229" s="106">
        <f t="shared" si="1135"/>
        <v>0</v>
      </c>
      <c r="AL229" s="106">
        <f t="shared" si="1135"/>
        <v>0</v>
      </c>
      <c r="AM229" s="106">
        <f t="shared" si="1135"/>
        <v>0</v>
      </c>
      <c r="AN229" s="106">
        <f t="shared" si="1135"/>
        <v>0</v>
      </c>
      <c r="AO229" s="106">
        <f t="shared" si="1136"/>
        <v>0</v>
      </c>
      <c r="AP229" s="106"/>
      <c r="AQ229" s="106">
        <f>+PMGR!AQ229+BP!AQ229</f>
        <v>3113.4</v>
      </c>
      <c r="AR229" s="106">
        <f>+PMGR!AR229+BP!AR229</f>
        <v>40756.799999999996</v>
      </c>
      <c r="AS229" s="106">
        <f>+PMGR!AS229+BP!AS229</f>
        <v>68439</v>
      </c>
      <c r="AT229" s="106">
        <f>+PMGR!AT229+BP!AT229</f>
        <v>8193.6</v>
      </c>
      <c r="AU229" s="106">
        <f>+PMGR!AU229+BP!AU229</f>
        <v>2465.6999999999998</v>
      </c>
      <c r="AV229" s="106">
        <f>+PMGR!AV229+BP!AV229</f>
        <v>8589.9</v>
      </c>
      <c r="AW229" s="106">
        <f>+PMGR!AW229+BP!AW229</f>
        <v>7472.7</v>
      </c>
      <c r="AX229" s="106">
        <f>+PMGR!AX229+BP!AX229</f>
        <v>12861.6</v>
      </c>
      <c r="AY229" s="106">
        <f>+PMGR!AY229+BP!AY229</f>
        <v>21671.399999999998</v>
      </c>
      <c r="AZ229" s="106">
        <f>+PMGR!AZ229+BP!AZ229</f>
        <v>27516</v>
      </c>
      <c r="BA229" s="106">
        <f>+PMGR!BA229+BP!BA229</f>
        <v>17512.5</v>
      </c>
      <c r="BB229" s="106">
        <f>+PMGR!BB229+BP!BB229</f>
        <v>25548.899999999998</v>
      </c>
      <c r="BC229" s="106">
        <f t="shared" si="1137"/>
        <v>244141.5</v>
      </c>
      <c r="BD229" s="16" t="str">
        <f t="shared" si="961"/>
        <v>Interest on Over Draft Facility</v>
      </c>
      <c r="BE229" s="106">
        <f>+PMGR!BE229+BP!BE229</f>
        <v>27386.1</v>
      </c>
      <c r="BF229" s="106">
        <f>+PMGR!BF229+BP!BF229</f>
        <v>20214.3</v>
      </c>
      <c r="BG229" s="106">
        <f>+PMGR!BG229+BP!BG229</f>
        <v>4982.3999999999996</v>
      </c>
      <c r="BH229" s="106">
        <f>+PMGR!BH229+BP!BH229</f>
        <v>1317.6</v>
      </c>
      <c r="BI229" s="106">
        <f>+PMGR!BI229+BP!BI229</f>
        <v>14811.3</v>
      </c>
      <c r="BJ229" s="106">
        <f>+PMGR!BJ229+BP!BJ229</f>
        <v>9023.6999999999989</v>
      </c>
      <c r="BK229" s="106">
        <f>+PMGR!BK229+BP!BK229</f>
        <v>0</v>
      </c>
      <c r="BL229" s="106">
        <f>+PMGR!BL229+BP!BL229</f>
        <v>5594.0999999999995</v>
      </c>
      <c r="BM229" s="106">
        <f>+PMGR!BM229+BP!BM229</f>
        <v>494.7</v>
      </c>
      <c r="BN229" s="106">
        <f>+PMGR!BN229+BP!BN229</f>
        <v>3527.1</v>
      </c>
      <c r="BO229" s="106">
        <f>+PMGR!BO229+BP!BO229</f>
        <v>0</v>
      </c>
      <c r="BP229" s="106">
        <f>+PMGR!BP229+BP!BP229</f>
        <v>0</v>
      </c>
      <c r="BQ229" s="106">
        <f t="shared" si="1138"/>
        <v>87351.3</v>
      </c>
      <c r="BR229" s="118"/>
      <c r="BS229" s="106">
        <f>+PMGR!BS229+BP!BS229</f>
        <v>0</v>
      </c>
      <c r="BT229" s="106">
        <f>+PMGR!BT229+BP!BT229</f>
        <v>0</v>
      </c>
      <c r="BU229" s="106">
        <f>+PMGR!BU229+BP!BU229</f>
        <v>0</v>
      </c>
      <c r="BV229" s="106">
        <f>+PMGR!BV229+BP!BV229</f>
        <v>0</v>
      </c>
      <c r="BW229" s="106">
        <f>+PMGR!BW229+BP!BW229</f>
        <v>0</v>
      </c>
      <c r="BX229" s="106">
        <f>+PMGR!BX229+BP!BX229</f>
        <v>0</v>
      </c>
      <c r="BY229" s="106">
        <f>+PMGR!BY229+BP!BY229</f>
        <v>0</v>
      </c>
      <c r="BZ229" s="106">
        <f>+PMGR!BZ229+BP!BZ229</f>
        <v>0</v>
      </c>
      <c r="CA229" s="106">
        <f>+PMGR!CA229+BP!CA229</f>
        <v>0</v>
      </c>
      <c r="CB229" s="106">
        <f>+PMGR!CB229+BP!CB229</f>
        <v>0</v>
      </c>
      <c r="CC229" s="106">
        <f>+PMGR!CC229+BP!CC229</f>
        <v>0</v>
      </c>
      <c r="CD229" s="106">
        <f>+PMGR!CD229+BP!CD229</f>
        <v>0</v>
      </c>
      <c r="CE229" s="106">
        <f t="shared" si="1139"/>
        <v>0</v>
      </c>
      <c r="CF229" s="106"/>
      <c r="CG229" s="106">
        <f>+PMGR!CG229+BP!CG229</f>
        <v>1556.7</v>
      </c>
      <c r="CH229" s="106">
        <f>+PMGR!CH229+BP!CH229</f>
        <v>20378.399999999998</v>
      </c>
      <c r="CI229" s="106">
        <f>+PMGR!CI229+BP!CI229</f>
        <v>34219.5</v>
      </c>
      <c r="CJ229" s="106">
        <f>+PMGR!CJ229+BP!CJ229</f>
        <v>4096.8</v>
      </c>
      <c r="CK229" s="106">
        <f>+PMGR!CK229+BP!CK229</f>
        <v>1232.8499999999999</v>
      </c>
      <c r="CL229" s="106">
        <f>+PMGR!CL229+BP!CL229</f>
        <v>4294.95</v>
      </c>
      <c r="CM229" s="106">
        <f>+PMGR!CM229+BP!CM229</f>
        <v>3736.35</v>
      </c>
      <c r="CN229" s="106">
        <f>+PMGR!CN229+BP!CN229</f>
        <v>6430.8</v>
      </c>
      <c r="CO229" s="106">
        <f>+PMGR!CO229+BP!CO229</f>
        <v>10835.699999999999</v>
      </c>
      <c r="CP229" s="106">
        <f>+PMGR!CP229+BP!CP229</f>
        <v>13758</v>
      </c>
      <c r="CQ229" s="106">
        <f>+PMGR!CQ229+BP!CQ229</f>
        <v>8756.25</v>
      </c>
      <c r="CR229" s="106">
        <f>+PMGR!CR229+BP!CR229</f>
        <v>12774.449999999999</v>
      </c>
      <c r="CS229" s="106">
        <f t="shared" si="1140"/>
        <v>122070.75</v>
      </c>
      <c r="CT229" s="16" t="str">
        <f t="shared" si="962"/>
        <v>Interest on Over Draft Facility</v>
      </c>
      <c r="CU229" s="106">
        <f>+PMGR!CU229+BP!CU229</f>
        <v>13693.05</v>
      </c>
      <c r="CV229" s="106">
        <f>+PMGR!CV229+BP!CV229</f>
        <v>10107.15</v>
      </c>
      <c r="CW229" s="106">
        <f>+PMGR!CW229+BP!CW229</f>
        <v>2491.1999999999998</v>
      </c>
      <c r="CX229" s="106">
        <f>+PMGR!CX229+BP!CX229</f>
        <v>658.8</v>
      </c>
      <c r="CY229" s="106">
        <f>+PMGR!CY229+BP!CY229</f>
        <v>7405.65</v>
      </c>
      <c r="CZ229" s="106">
        <f>+PMGR!CZ229+BP!CZ229</f>
        <v>4511.8499999999995</v>
      </c>
      <c r="DA229" s="106">
        <f>+PMGR!DA229+BP!DA229</f>
        <v>0</v>
      </c>
      <c r="DB229" s="106">
        <f>+PMGR!DB229+BP!DB229</f>
        <v>2797.0499999999997</v>
      </c>
      <c r="DC229" s="106">
        <f>+PMGR!DC229+BP!DC229</f>
        <v>247.35</v>
      </c>
      <c r="DD229" s="106">
        <f>+PMGR!DD229+BP!DD229</f>
        <v>1763.55</v>
      </c>
      <c r="DE229" s="106">
        <f>+PMGR!DE229+BP!DE229</f>
        <v>0</v>
      </c>
      <c r="DF229" s="106">
        <f>+PMGR!DF229+BP!DF229</f>
        <v>0</v>
      </c>
      <c r="DG229" s="106">
        <f t="shared" si="1141"/>
        <v>43675.65</v>
      </c>
      <c r="DH229" s="118"/>
      <c r="DI229" s="106">
        <f>+PMGR!DI229+BP!DI229</f>
        <v>0</v>
      </c>
      <c r="DJ229" s="106">
        <f>+PMGR!DJ229+BP!DJ229</f>
        <v>0</v>
      </c>
      <c r="DK229" s="106">
        <f>+PMGR!DK229+BP!DK229</f>
        <v>0</v>
      </c>
      <c r="DL229" s="106">
        <f>+PMGR!DL229+BP!DL229</f>
        <v>0</v>
      </c>
      <c r="DM229" s="106">
        <f>+PMGR!DM229+BP!DM229</f>
        <v>0</v>
      </c>
      <c r="DN229" s="106">
        <f>+PMGR!DN229+BP!DN229</f>
        <v>0</v>
      </c>
      <c r="DO229" s="106">
        <f>+PMGR!DO229+BP!DO229</f>
        <v>0</v>
      </c>
      <c r="DP229" s="106">
        <f>+PMGR!DP229+BP!DP229</f>
        <v>0</v>
      </c>
      <c r="DQ229" s="106">
        <f>+PMGR!DQ229+BP!DQ229</f>
        <v>0</v>
      </c>
      <c r="DR229" s="106">
        <f>+PMGR!DR229+BP!DR229</f>
        <v>0</v>
      </c>
      <c r="DS229" s="106">
        <f>+PMGR!DS229+BP!DS229</f>
        <v>0</v>
      </c>
      <c r="DT229" s="106">
        <f>+PMGR!DT229+BP!DT229</f>
        <v>0</v>
      </c>
      <c r="DU229" s="106">
        <f t="shared" si="1142"/>
        <v>0</v>
      </c>
      <c r="DV229" s="106"/>
      <c r="DW229" s="106">
        <f>+PMGR!DW229+BP!DW229</f>
        <v>0</v>
      </c>
      <c r="DX229" s="106">
        <f>+PMGR!DX229+BP!DX229</f>
        <v>0</v>
      </c>
      <c r="DY229" s="106">
        <f>+PMGR!DY229+BP!DY229</f>
        <v>0</v>
      </c>
      <c r="DZ229" s="106">
        <f>+PMGR!DZ229+BP!DZ229</f>
        <v>0</v>
      </c>
      <c r="EA229" s="106">
        <f>+PMGR!EA229+BP!EA229</f>
        <v>0</v>
      </c>
      <c r="EB229" s="106">
        <f>+PMGR!EB229+BP!EB229</f>
        <v>0</v>
      </c>
      <c r="EC229" s="106">
        <f>+PMGR!EC229+BP!EC229</f>
        <v>0</v>
      </c>
      <c r="ED229" s="106">
        <f>+PMGR!ED229+BP!ED229</f>
        <v>0</v>
      </c>
      <c r="EE229" s="106">
        <f>+PMGR!EE229+BP!EE229</f>
        <v>0</v>
      </c>
      <c r="EF229" s="106">
        <f>+PMGR!EF229+BP!EF229</f>
        <v>0</v>
      </c>
      <c r="EG229" s="106">
        <f>+PMGR!EG229+BP!EG229</f>
        <v>0</v>
      </c>
      <c r="EH229" s="106">
        <f>+PMGR!EH229+BP!EH229</f>
        <v>0</v>
      </c>
      <c r="EI229" s="106">
        <f t="shared" si="1143"/>
        <v>0</v>
      </c>
      <c r="EJ229" s="16" t="str">
        <f t="shared" si="963"/>
        <v>Interest on Over Draft Facility</v>
      </c>
      <c r="EK229" s="106">
        <f>+PMGR!EK229+BP!EK229</f>
        <v>0</v>
      </c>
      <c r="EL229" s="106">
        <f>+PMGR!EL229+BP!EL229</f>
        <v>0</v>
      </c>
      <c r="EM229" s="106">
        <f>+PMGR!EM229+BP!EM229</f>
        <v>0</v>
      </c>
      <c r="EN229" s="106">
        <f>+PMGR!EN229+BP!EN229</f>
        <v>0</v>
      </c>
      <c r="EO229" s="106">
        <f>+PMGR!EO229+BP!EO229</f>
        <v>0</v>
      </c>
      <c r="EP229" s="106">
        <f>+PMGR!EP229+BP!EP229</f>
        <v>0</v>
      </c>
      <c r="EQ229" s="106">
        <f>+PMGR!EQ229+BP!EQ229</f>
        <v>0</v>
      </c>
      <c r="ER229" s="106">
        <f>+PMGR!ER229+BP!ER229</f>
        <v>0</v>
      </c>
      <c r="ES229" s="106">
        <f>+PMGR!ES229+BP!ES229</f>
        <v>0</v>
      </c>
      <c r="ET229" s="106">
        <f>+PMGR!ET229+BP!ET229</f>
        <v>1175.7</v>
      </c>
      <c r="EU229" s="106">
        <f>+PMGR!EU229+BP!EU229</f>
        <v>0</v>
      </c>
      <c r="EV229" s="106">
        <f>+PMGR!EV229+BP!EV229</f>
        <v>0</v>
      </c>
      <c r="EW229" s="106">
        <f t="shared" si="1144"/>
        <v>1175.7</v>
      </c>
      <c r="EX229" s="118"/>
      <c r="EY229" s="106">
        <f>+PMGR!EY229+BP!EY229</f>
        <v>0</v>
      </c>
      <c r="EZ229" s="106">
        <f>+PMGR!EZ229+BP!EZ229</f>
        <v>0</v>
      </c>
      <c r="FA229" s="106">
        <f>+PMGR!FA229+BP!FA229</f>
        <v>0</v>
      </c>
      <c r="FB229" s="106">
        <f>+PMGR!FB229+BP!FB229</f>
        <v>0</v>
      </c>
      <c r="FC229" s="106">
        <f>+PMGR!FC229+BP!FC229</f>
        <v>0</v>
      </c>
      <c r="FD229" s="106">
        <f>+PMGR!FD229+BP!FD229</f>
        <v>0</v>
      </c>
      <c r="FE229" s="106">
        <f>+PMGR!FE229+BP!FE229</f>
        <v>0</v>
      </c>
      <c r="FF229" s="106">
        <f>+PMGR!FF229+BP!FF229</f>
        <v>0</v>
      </c>
      <c r="FG229" s="106">
        <f>+PMGR!FG229+BP!FG229</f>
        <v>0</v>
      </c>
      <c r="FH229" s="106">
        <f>+PMGR!FH229+BP!FH229</f>
        <v>0</v>
      </c>
      <c r="FI229" s="106">
        <f>+PMGR!FI229+BP!FI229</f>
        <v>0</v>
      </c>
      <c r="FJ229" s="106">
        <f>+PMGR!FJ229+BP!FJ229</f>
        <v>0</v>
      </c>
      <c r="FK229" s="106">
        <f t="shared" si="1145"/>
        <v>0</v>
      </c>
    </row>
    <row r="230" spans="1:167" ht="14.45" customHeight="1">
      <c r="A230" s="58">
        <f t="shared" ref="A230:M230" si="1146">+A218+A156+A115+A104+A75</f>
        <v>5544720.4331153827</v>
      </c>
      <c r="B230" s="58">
        <f t="shared" si="1146"/>
        <v>5797725.6946794866</v>
      </c>
      <c r="C230" s="58">
        <f t="shared" si="1146"/>
        <v>5477773.6426794874</v>
      </c>
      <c r="D230" s="58">
        <f t="shared" si="1146"/>
        <v>5283747.3571794881</v>
      </c>
      <c r="E230" s="58">
        <f t="shared" si="1146"/>
        <v>5805494.8856794871</v>
      </c>
      <c r="F230" s="58">
        <f t="shared" si="1146"/>
        <v>5595329.2476794878</v>
      </c>
      <c r="G230" s="58">
        <f t="shared" si="1146"/>
        <v>6096466.920677986</v>
      </c>
      <c r="H230" s="58">
        <f t="shared" si="1146"/>
        <v>5944980.6606770046</v>
      </c>
      <c r="I230" s="58">
        <f t="shared" si="1146"/>
        <v>6687186.1301794872</v>
      </c>
      <c r="J230" s="58">
        <f t="shared" si="1146"/>
        <v>6601610.3006794881</v>
      </c>
      <c r="K230" s="58">
        <f t="shared" si="1146"/>
        <v>7297266.2236794867</v>
      </c>
      <c r="L230" s="58">
        <f t="shared" si="1146"/>
        <v>6631521.6151794866</v>
      </c>
      <c r="M230" s="58">
        <f t="shared" si="1146"/>
        <v>54022147.067202643</v>
      </c>
      <c r="N230" s="14" t="s">
        <v>193</v>
      </c>
      <c r="O230" s="58">
        <f t="shared" ref="O230:AA230" si="1147">+O218+O156+O115+O104+O75</f>
        <v>7902077.3338464936</v>
      </c>
      <c r="P230" s="58">
        <f t="shared" si="1147"/>
        <v>6758857.043630138</v>
      </c>
      <c r="Q230" s="58">
        <f t="shared" si="1147"/>
        <v>7694954.0725512821</v>
      </c>
      <c r="R230" s="58">
        <f t="shared" si="1147"/>
        <v>7122617.8192159347</v>
      </c>
      <c r="S230" s="58">
        <f t="shared" si="1147"/>
        <v>8194235.1059826016</v>
      </c>
      <c r="T230" s="58">
        <f t="shared" si="1147"/>
        <v>8270694.3454826027</v>
      </c>
      <c r="U230" s="58">
        <f t="shared" si="1147"/>
        <v>8494076.7134291269</v>
      </c>
      <c r="V230" s="58">
        <f t="shared" si="1147"/>
        <v>8110634.5079826023</v>
      </c>
      <c r="W230" s="58">
        <f t="shared" si="1147"/>
        <v>9466607.3529826012</v>
      </c>
      <c r="X230" s="58">
        <f t="shared" si="1147"/>
        <v>8254515.9704826009</v>
      </c>
      <c r="Y230" s="58">
        <f t="shared" si="1147"/>
        <v>0</v>
      </c>
      <c r="Z230" s="58">
        <f t="shared" si="1147"/>
        <v>0</v>
      </c>
      <c r="AA230" s="58">
        <f t="shared" si="1147"/>
        <v>80269270.265585989</v>
      </c>
      <c r="AB230" s="118"/>
      <c r="AC230" s="58">
        <f t="shared" ref="AC230:AO230" si="1148">+AC218+AC156+AC115+AC104+AC75</f>
        <v>8256910.249420736</v>
      </c>
      <c r="AD230" s="58">
        <f t="shared" si="1148"/>
        <v>8082496.8218089854</v>
      </c>
      <c r="AE230" s="58">
        <f t="shared" si="1148"/>
        <v>8140558.7678735759</v>
      </c>
      <c r="AF230" s="58">
        <f t="shared" si="1148"/>
        <v>8015810.175324589</v>
      </c>
      <c r="AG230" s="58">
        <f t="shared" si="1148"/>
        <v>8285563.7289710855</v>
      </c>
      <c r="AH230" s="58">
        <f t="shared" si="1148"/>
        <v>8249315.5437244251</v>
      </c>
      <c r="AI230" s="58">
        <f t="shared" si="1148"/>
        <v>8285217.060251385</v>
      </c>
      <c r="AJ230" s="58">
        <f t="shared" si="1148"/>
        <v>8325541.5746719148</v>
      </c>
      <c r="AK230" s="58">
        <f t="shared" si="1148"/>
        <v>8448955.6231667213</v>
      </c>
      <c r="AL230" s="58">
        <f t="shared" si="1148"/>
        <v>8677960.9017668776</v>
      </c>
      <c r="AM230" s="58">
        <f t="shared" si="1148"/>
        <v>8070354.8110734653</v>
      </c>
      <c r="AN230" s="58">
        <f t="shared" si="1148"/>
        <v>8343351.9447272941</v>
      </c>
      <c r="AO230" s="58">
        <f t="shared" si="1148"/>
        <v>66550880.253664687</v>
      </c>
      <c r="AP230" s="106"/>
      <c r="AQ230" s="58">
        <f t="shared" ref="AQ230:BC230" si="1149">+AQ218+AQ156+AQ115+AQ104+AQ75</f>
        <v>3899494.7774615372</v>
      </c>
      <c r="AR230" s="58">
        <f t="shared" si="1149"/>
        <v>4159607.3800512822</v>
      </c>
      <c r="AS230" s="58">
        <f t="shared" si="1149"/>
        <v>4046649.1420512814</v>
      </c>
      <c r="AT230" s="58">
        <f t="shared" si="1149"/>
        <v>3825288.478051282</v>
      </c>
      <c r="AU230" s="58">
        <f t="shared" si="1149"/>
        <v>4219569.8940512817</v>
      </c>
      <c r="AV230" s="58">
        <f t="shared" si="1149"/>
        <v>3825598.3940512822</v>
      </c>
      <c r="AW230" s="58">
        <f t="shared" si="1149"/>
        <v>4355451.7180502815</v>
      </c>
      <c r="AX230" s="58">
        <f t="shared" si="1149"/>
        <v>4392135.3716410259</v>
      </c>
      <c r="AY230" s="58">
        <f t="shared" si="1149"/>
        <v>4971654.759051282</v>
      </c>
      <c r="AZ230" s="58">
        <f t="shared" si="1149"/>
        <v>4936047.8100512819</v>
      </c>
      <c r="BA230" s="58">
        <f t="shared" si="1149"/>
        <v>4995707.617051282</v>
      </c>
      <c r="BB230" s="58">
        <f t="shared" si="1149"/>
        <v>4542422.3990512826</v>
      </c>
      <c r="BC230" s="58">
        <f t="shared" si="1149"/>
        <v>52652467.404614381</v>
      </c>
      <c r="BD230" s="14" t="str">
        <f t="shared" si="961"/>
        <v>Total of Operating Cost</v>
      </c>
      <c r="BE230" s="58">
        <f t="shared" ref="BE230:BQ230" si="1150">+BE218+BE156+BE115+BE104+BE75</f>
        <v>4101496.6456775544</v>
      </c>
      <c r="BF230" s="58">
        <f t="shared" si="1150"/>
        <v>3493196.730835265</v>
      </c>
      <c r="BG230" s="58">
        <f t="shared" si="1150"/>
        <v>4054223.232589744</v>
      </c>
      <c r="BH230" s="58">
        <f t="shared" si="1150"/>
        <v>4034066.6243995349</v>
      </c>
      <c r="BI230" s="58">
        <f t="shared" si="1150"/>
        <v>4382394.4731328692</v>
      </c>
      <c r="BJ230" s="58">
        <f t="shared" si="1150"/>
        <v>4477091.5541328685</v>
      </c>
      <c r="BK230" s="58">
        <f t="shared" si="1150"/>
        <v>4384239.2664488666</v>
      </c>
      <c r="BL230" s="58">
        <f t="shared" si="1150"/>
        <v>4321397.693132869</v>
      </c>
      <c r="BM230" s="58">
        <f t="shared" si="1150"/>
        <v>5216555.6874662023</v>
      </c>
      <c r="BN230" s="58">
        <f t="shared" si="1150"/>
        <v>4378448.7391328681</v>
      </c>
      <c r="BO230" s="58">
        <f t="shared" si="1150"/>
        <v>0</v>
      </c>
      <c r="BP230" s="58">
        <f t="shared" si="1150"/>
        <v>0</v>
      </c>
      <c r="BQ230" s="58">
        <f t="shared" si="1150"/>
        <v>42843110.646948636</v>
      </c>
      <c r="BR230" s="118"/>
      <c r="BS230" s="58">
        <f t="shared" ref="BS230:CE230" si="1151">+BS218+BS156+BS115+BS104+BS75</f>
        <v>4367375.6508984314</v>
      </c>
      <c r="BT230" s="58">
        <f t="shared" si="1151"/>
        <v>4204068.8048801217</v>
      </c>
      <c r="BU230" s="58">
        <f t="shared" si="1151"/>
        <v>4184545.6604963914</v>
      </c>
      <c r="BV230" s="58">
        <f t="shared" si="1151"/>
        <v>4172980.7900463389</v>
      </c>
      <c r="BW230" s="58">
        <f t="shared" si="1151"/>
        <v>4239862.2790772617</v>
      </c>
      <c r="BX230" s="58">
        <f t="shared" si="1151"/>
        <v>4219980.2332561482</v>
      </c>
      <c r="BY230" s="58">
        <f t="shared" si="1151"/>
        <v>4229493.1060462017</v>
      </c>
      <c r="BZ230" s="58">
        <f t="shared" si="1151"/>
        <v>4259849.5703696115</v>
      </c>
      <c r="CA230" s="58">
        <f t="shared" si="1151"/>
        <v>4360196.6752852313</v>
      </c>
      <c r="CB230" s="58">
        <f t="shared" si="1151"/>
        <v>4474290.4549841145</v>
      </c>
      <c r="CC230" s="58">
        <f t="shared" si="1151"/>
        <v>4095172.4718444613</v>
      </c>
      <c r="CD230" s="58">
        <f t="shared" si="1151"/>
        <v>4307776.5454049679</v>
      </c>
      <c r="CE230" s="58">
        <f t="shared" si="1151"/>
        <v>51565592.242589287</v>
      </c>
      <c r="CF230" s="106"/>
      <c r="CG230" s="58">
        <f t="shared" ref="CG230:CS230" si="1152">+CG218+CG156+CG115+CG104+CG75</f>
        <v>1645225.6556538455</v>
      </c>
      <c r="CH230" s="58">
        <f t="shared" si="1152"/>
        <v>1638118.3146282053</v>
      </c>
      <c r="CI230" s="58">
        <f t="shared" si="1152"/>
        <v>1431124.500628205</v>
      </c>
      <c r="CJ230" s="58">
        <f t="shared" si="1152"/>
        <v>1458458.8791282051</v>
      </c>
      <c r="CK230" s="58">
        <f t="shared" si="1152"/>
        <v>1585924.9916282052</v>
      </c>
      <c r="CL230" s="58">
        <f t="shared" si="1152"/>
        <v>1769730.8536282051</v>
      </c>
      <c r="CM230" s="58">
        <f t="shared" si="1152"/>
        <v>1741015.2026277049</v>
      </c>
      <c r="CN230" s="58">
        <f t="shared" si="1152"/>
        <v>1552845.2890359799</v>
      </c>
      <c r="CO230" s="58">
        <f t="shared" si="1152"/>
        <v>1715531.3711282054</v>
      </c>
      <c r="CP230" s="58">
        <f t="shared" si="1152"/>
        <v>1665562.4906282052</v>
      </c>
      <c r="CQ230" s="58">
        <f t="shared" si="1152"/>
        <v>2301558.6066282052</v>
      </c>
      <c r="CR230" s="58">
        <f t="shared" si="1152"/>
        <v>2089099.2161282052</v>
      </c>
      <c r="CS230" s="58">
        <f t="shared" si="1152"/>
        <v>20827687.078471377</v>
      </c>
      <c r="CT230" s="14" t="str">
        <f t="shared" si="962"/>
        <v>Total of Operating Cost</v>
      </c>
      <c r="CU230" s="58">
        <f t="shared" ref="CU230:DG230" si="1153">+CU218+CU156+CU115+CU104+CU75</f>
        <v>1588315.827656118</v>
      </c>
      <c r="CV230" s="58">
        <f t="shared" si="1153"/>
        <v>1611009.1622820513</v>
      </c>
      <c r="CW230" s="58">
        <f t="shared" si="1153"/>
        <v>1874660.759448718</v>
      </c>
      <c r="CX230" s="58">
        <f t="shared" si="1153"/>
        <v>1514214.6626369124</v>
      </c>
      <c r="CY230" s="58">
        <f t="shared" si="1153"/>
        <v>1836090.5206702459</v>
      </c>
      <c r="CZ230" s="58">
        <f t="shared" si="1153"/>
        <v>1900093.416170246</v>
      </c>
      <c r="DA230" s="58">
        <f t="shared" si="1153"/>
        <v>1920951.1821341058</v>
      </c>
      <c r="DB230" s="58">
        <f t="shared" si="1153"/>
        <v>1992922.8826702461</v>
      </c>
      <c r="DC230" s="58">
        <f t="shared" si="1153"/>
        <v>2059673.8631146899</v>
      </c>
      <c r="DD230" s="58">
        <f t="shared" si="1153"/>
        <v>2077639.6331702457</v>
      </c>
      <c r="DE230" s="58">
        <f t="shared" si="1153"/>
        <v>0</v>
      </c>
      <c r="DF230" s="58">
        <f t="shared" si="1153"/>
        <v>0</v>
      </c>
      <c r="DG230" s="58">
        <f t="shared" si="1153"/>
        <v>18375571.909953579</v>
      </c>
      <c r="DH230" s="118"/>
      <c r="DI230" s="58">
        <f t="shared" ref="DI230:DU230" si="1154">+DI218+DI156+DI115+DI104+DI75</f>
        <v>2048847.8043428164</v>
      </c>
      <c r="DJ230" s="58">
        <f t="shared" si="1154"/>
        <v>2047253.3515493763</v>
      </c>
      <c r="DK230" s="58">
        <f t="shared" si="1154"/>
        <v>2103631.2326976964</v>
      </c>
      <c r="DL230" s="58">
        <f t="shared" si="1154"/>
        <v>1998238.0532320961</v>
      </c>
      <c r="DM230" s="58">
        <f t="shared" si="1154"/>
        <v>2189161.1077143364</v>
      </c>
      <c r="DN230" s="58">
        <f t="shared" si="1154"/>
        <v>2171836.634955456</v>
      </c>
      <c r="DO230" s="58">
        <f t="shared" si="1154"/>
        <v>2179366.6770256963</v>
      </c>
      <c r="DP230" s="58">
        <f t="shared" si="1154"/>
        <v>2195940.3721228163</v>
      </c>
      <c r="DQ230" s="58">
        <f t="shared" si="1154"/>
        <v>2220919.8639020016</v>
      </c>
      <c r="DR230" s="58">
        <f t="shared" si="1154"/>
        <v>2275827.5357143879</v>
      </c>
      <c r="DS230" s="58">
        <f t="shared" si="1154"/>
        <v>2114798.1814939613</v>
      </c>
      <c r="DT230" s="58">
        <f t="shared" si="1154"/>
        <v>2154297.4715670813</v>
      </c>
      <c r="DU230" s="58">
        <f t="shared" si="1154"/>
        <v>25700118.286317721</v>
      </c>
      <c r="DV230" s="106"/>
      <c r="DW230" s="58">
        <f t="shared" ref="DW230:EI230" si="1155">+DW218+DW156+DW115+DW104+DW75</f>
        <v>0</v>
      </c>
      <c r="DX230" s="58">
        <f t="shared" si="1155"/>
        <v>0</v>
      </c>
      <c r="DY230" s="58">
        <f t="shared" si="1155"/>
        <v>0</v>
      </c>
      <c r="DZ230" s="58">
        <f t="shared" si="1155"/>
        <v>0</v>
      </c>
      <c r="EA230" s="58">
        <f t="shared" si="1155"/>
        <v>0</v>
      </c>
      <c r="EB230" s="58">
        <f t="shared" si="1155"/>
        <v>0</v>
      </c>
      <c r="EC230" s="58">
        <f t="shared" si="1155"/>
        <v>0</v>
      </c>
      <c r="ED230" s="58">
        <f t="shared" si="1155"/>
        <v>0</v>
      </c>
      <c r="EE230" s="58">
        <f t="shared" si="1155"/>
        <v>0</v>
      </c>
      <c r="EF230" s="58">
        <f t="shared" si="1155"/>
        <v>0</v>
      </c>
      <c r="EG230" s="58">
        <f t="shared" si="1155"/>
        <v>0</v>
      </c>
      <c r="EH230" s="58">
        <f t="shared" si="1155"/>
        <v>0</v>
      </c>
      <c r="EI230" s="58">
        <f t="shared" si="1155"/>
        <v>0</v>
      </c>
      <c r="EJ230" s="14" t="str">
        <f t="shared" si="963"/>
        <v>Total of Operating Cost</v>
      </c>
      <c r="EK230" s="58">
        <f t="shared" ref="EK230:EW230" si="1156">+EK218+EK156+EK115+EK104+EK75</f>
        <v>2212264.8605128205</v>
      </c>
      <c r="EL230" s="58">
        <f t="shared" si="1156"/>
        <v>1654651.1505128206</v>
      </c>
      <c r="EM230" s="58">
        <f t="shared" si="1156"/>
        <v>1766070.0805128207</v>
      </c>
      <c r="EN230" s="58">
        <f t="shared" si="1156"/>
        <v>1574336.5321794872</v>
      </c>
      <c r="EO230" s="58">
        <f t="shared" si="1156"/>
        <v>1975750.112179487</v>
      </c>
      <c r="EP230" s="58">
        <f t="shared" si="1156"/>
        <v>1893509.3751794873</v>
      </c>
      <c r="EQ230" s="58">
        <f t="shared" si="1156"/>
        <v>2188886.264846154</v>
      </c>
      <c r="ER230" s="58">
        <f t="shared" si="1156"/>
        <v>1796313.9321794871</v>
      </c>
      <c r="ES230" s="58">
        <f t="shared" si="1156"/>
        <v>2190377.8024017094</v>
      </c>
      <c r="ET230" s="58">
        <f t="shared" si="1156"/>
        <v>1798427.5981794875</v>
      </c>
      <c r="EU230" s="58">
        <f t="shared" si="1156"/>
        <v>0</v>
      </c>
      <c r="EV230" s="58">
        <f t="shared" si="1156"/>
        <v>0</v>
      </c>
      <c r="EW230" s="58">
        <f t="shared" si="1156"/>
        <v>19064178.164683763</v>
      </c>
      <c r="EX230" s="118"/>
      <c r="EY230" s="58">
        <f t="shared" ref="EY230:FK230" si="1157">+EY218+EY156+EY115+EY104+EY75</f>
        <v>1840686.7941794875</v>
      </c>
      <c r="EZ230" s="58">
        <f t="shared" si="1157"/>
        <v>1831174.6653794874</v>
      </c>
      <c r="FA230" s="58">
        <f t="shared" si="1157"/>
        <v>1852381.8746794872</v>
      </c>
      <c r="FB230" s="58">
        <f t="shared" si="1157"/>
        <v>1844591.3320461542</v>
      </c>
      <c r="FC230" s="58">
        <f t="shared" si="1157"/>
        <v>1856540.3421794872</v>
      </c>
      <c r="FD230" s="58">
        <f t="shared" si="1157"/>
        <v>1857498.6755128205</v>
      </c>
      <c r="FE230" s="58">
        <f t="shared" si="1157"/>
        <v>1876357.2771794873</v>
      </c>
      <c r="FF230" s="58">
        <f t="shared" si="1157"/>
        <v>1869751.6321794873</v>
      </c>
      <c r="FG230" s="58">
        <f t="shared" si="1157"/>
        <v>1867839.0839794874</v>
      </c>
      <c r="FH230" s="58">
        <f t="shared" si="1157"/>
        <v>1927842.9110683762</v>
      </c>
      <c r="FI230" s="58">
        <f t="shared" si="1157"/>
        <v>1860384.1577350427</v>
      </c>
      <c r="FJ230" s="58">
        <f t="shared" si="1157"/>
        <v>1881277.9277552448</v>
      </c>
      <c r="FK230" s="58">
        <f t="shared" si="1157"/>
        <v>22466326.67387405</v>
      </c>
    </row>
    <row r="231" spans="1:167" ht="14.45" customHeight="1">
      <c r="A231" s="108">
        <f t="shared" ref="A231:M231" si="1158">IFERROR(A230/A70,0)</f>
        <v>0.16244481876280079</v>
      </c>
      <c r="B231" s="108">
        <f t="shared" si="1158"/>
        <v>0.13463204636201845</v>
      </c>
      <c r="C231" s="108">
        <f t="shared" si="1158"/>
        <v>0.17392754105931071</v>
      </c>
      <c r="D231" s="108">
        <f t="shared" si="1158"/>
        <v>0.18777494587021734</v>
      </c>
      <c r="E231" s="108">
        <f t="shared" si="1158"/>
        <v>0.18030641163948022</v>
      </c>
      <c r="F231" s="108">
        <f t="shared" si="1158"/>
        <v>0.15341445843324517</v>
      </c>
      <c r="G231" s="108">
        <f t="shared" si="1158"/>
        <v>0.16854692371918151</v>
      </c>
      <c r="H231" s="108">
        <f t="shared" si="1158"/>
        <v>0.14132089868523079</v>
      </c>
      <c r="I231" s="108">
        <f t="shared" si="1158"/>
        <v>0.17114689975676503</v>
      </c>
      <c r="J231" s="108">
        <f t="shared" si="1158"/>
        <v>0.18198122782610493</v>
      </c>
      <c r="K231" s="108">
        <f t="shared" si="1158"/>
        <v>0.16869402130256791</v>
      </c>
      <c r="L231" s="108">
        <f t="shared" si="1158"/>
        <v>0.15293207426269587</v>
      </c>
      <c r="M231" s="108">
        <f t="shared" si="1158"/>
        <v>0.12120560140886324</v>
      </c>
      <c r="N231" s="15" t="s">
        <v>58</v>
      </c>
      <c r="O231" s="108">
        <f t="shared" ref="O231:AA231" si="1159">IFERROR(O230/O70,0)</f>
        <v>0.22306018540447592</v>
      </c>
      <c r="P231" s="108">
        <f t="shared" si="1159"/>
        <v>0.21454621039029884</v>
      </c>
      <c r="Q231" s="108">
        <f t="shared" si="1159"/>
        <v>0.161447248539417</v>
      </c>
      <c r="R231" s="108">
        <f t="shared" si="1159"/>
        <v>0.18491050341219875</v>
      </c>
      <c r="S231" s="108">
        <f t="shared" si="1159"/>
        <v>0.15475865756705073</v>
      </c>
      <c r="T231" s="108">
        <f t="shared" si="1159"/>
        <v>0.2128397968163509</v>
      </c>
      <c r="U231" s="108">
        <f t="shared" si="1159"/>
        <v>0.17826082525715134</v>
      </c>
      <c r="V231" s="108">
        <f t="shared" si="1159"/>
        <v>0.17325436785506529</v>
      </c>
      <c r="W231" s="108">
        <f t="shared" si="1159"/>
        <v>0.21756497619886053</v>
      </c>
      <c r="X231" s="108">
        <f t="shared" si="1159"/>
        <v>0.18646762180862694</v>
      </c>
      <c r="Y231" s="108">
        <f t="shared" si="1159"/>
        <v>0</v>
      </c>
      <c r="Z231" s="108">
        <f t="shared" si="1159"/>
        <v>0</v>
      </c>
      <c r="AA231" s="108">
        <f t="shared" si="1159"/>
        <v>0.1879137018552286</v>
      </c>
      <c r="AB231" s="118"/>
      <c r="AC231" s="108">
        <f t="shared" ref="AC231:AO231" si="1160">IFERROR(AC230/AC70,0)</f>
        <v>0.18072112054984005</v>
      </c>
      <c r="AD231" s="108">
        <f t="shared" si="1160"/>
        <v>0.18162967463887963</v>
      </c>
      <c r="AE231" s="108">
        <f t="shared" si="1160"/>
        <v>0.17900728452098225</v>
      </c>
      <c r="AF231" s="108">
        <f t="shared" si="1160"/>
        <v>0.20832503492912893</v>
      </c>
      <c r="AG231" s="108">
        <f t="shared" si="1160"/>
        <v>0.18998756035122008</v>
      </c>
      <c r="AH231" s="108">
        <f t="shared" si="1160"/>
        <v>0.17892476624450279</v>
      </c>
      <c r="AI231" s="108">
        <f t="shared" si="1160"/>
        <v>0.17228264336453561</v>
      </c>
      <c r="AJ231" s="108">
        <f t="shared" si="1160"/>
        <v>0.17025075664197198</v>
      </c>
      <c r="AK231" s="108">
        <f t="shared" si="1160"/>
        <v>0.16882751950498051</v>
      </c>
      <c r="AL231" s="108">
        <f t="shared" si="1160"/>
        <v>0.20777386481792581</v>
      </c>
      <c r="AM231" s="108">
        <f t="shared" si="1160"/>
        <v>0.21301285299052491</v>
      </c>
      <c r="AN231" s="108">
        <f t="shared" si="1160"/>
        <v>0.18233120353943796</v>
      </c>
      <c r="AO231" s="108">
        <f t="shared" si="1160"/>
        <v>0.12409080553094615</v>
      </c>
      <c r="AP231" s="32"/>
      <c r="AQ231" s="108">
        <f t="shared" ref="AQ231" si="1161">IFERROR(AQ230/AQ70,0)</f>
        <v>0.19889076176832124</v>
      </c>
      <c r="AR231" s="108">
        <f t="shared" ref="AR231" si="1162">IFERROR(AR230/AR70,0)</f>
        <v>0.15016838129061486</v>
      </c>
      <c r="AS231" s="108">
        <f t="shared" ref="AS231" si="1163">IFERROR(AS230/AS70,0)</f>
        <v>0.19795246663578506</v>
      </c>
      <c r="AT231" s="108">
        <f t="shared" ref="AT231" si="1164">IFERROR(AT230/AT70,0)</f>
        <v>0.18813177311709073</v>
      </c>
      <c r="AU231" s="108">
        <f t="shared" ref="AU231" si="1165">IFERROR(AU230/AU70,0)</f>
        <v>0.26206421777937178</v>
      </c>
      <c r="AV231" s="108">
        <f t="shared" ref="AV231" si="1166">IFERROR(AV230/AV70,0)</f>
        <v>0.18276780256989708</v>
      </c>
      <c r="AW231" s="108">
        <f t="shared" ref="AW231" si="1167">IFERROR(AW230/AW70,0)</f>
        <v>0.18581260122552296</v>
      </c>
      <c r="AX231" s="108">
        <f t="shared" ref="AX231" si="1168">IFERROR(AX230/AX70,0)</f>
        <v>0.15663842265249053</v>
      </c>
      <c r="AY231" s="108">
        <f t="shared" ref="AY231" si="1169">IFERROR(AY230/AY70,0)</f>
        <v>0.18386679834952188</v>
      </c>
      <c r="AZ231" s="108">
        <f t="shared" ref="AZ231" si="1170">IFERROR(AZ230/AZ70,0)</f>
        <v>0.21025432908420222</v>
      </c>
      <c r="BA231" s="108">
        <f t="shared" ref="BA231" si="1171">IFERROR(BA230/BA70,0)</f>
        <v>0.18972454044731074</v>
      </c>
      <c r="BB231" s="108">
        <f t="shared" ref="BB231" si="1172">IFERROR(BB230/BB70,0)</f>
        <v>0.15184184139063292</v>
      </c>
      <c r="BC231" s="108">
        <f t="shared" ref="BC231" si="1173">IFERROR(BC230/BC70,0)</f>
        <v>0.18581672959822659</v>
      </c>
      <c r="BD231" s="15" t="str">
        <f t="shared" si="961"/>
        <v>% to Sales</v>
      </c>
      <c r="BE231" s="108">
        <f t="shared" ref="BE231:BQ231" si="1174">IFERROR(BE230/BE70,0)</f>
        <v>0.20031907290487455</v>
      </c>
      <c r="BF231" s="108">
        <f t="shared" si="1174"/>
        <v>0.18810400558158488</v>
      </c>
      <c r="BG231" s="108">
        <f t="shared" si="1174"/>
        <v>0.12695069761160196</v>
      </c>
      <c r="BH231" s="108">
        <f t="shared" si="1174"/>
        <v>0.1521997543125245</v>
      </c>
      <c r="BI231" s="108">
        <f t="shared" si="1174"/>
        <v>0.12666702845026689</v>
      </c>
      <c r="BJ231" s="108">
        <f t="shared" si="1174"/>
        <v>0.19566954936498665</v>
      </c>
      <c r="BK231" s="108">
        <f t="shared" si="1174"/>
        <v>0.14904423084548213</v>
      </c>
      <c r="BL231" s="108">
        <f t="shared" si="1174"/>
        <v>0.1548360632300918</v>
      </c>
      <c r="BM231" s="108">
        <f t="shared" si="1174"/>
        <v>0.17999346300736563</v>
      </c>
      <c r="BN231" s="108">
        <f t="shared" si="1174"/>
        <v>0.17619888332315467</v>
      </c>
      <c r="BO231" s="108">
        <f t="shared" si="1174"/>
        <v>0</v>
      </c>
      <c r="BP231" s="108">
        <f t="shared" si="1174"/>
        <v>0</v>
      </c>
      <c r="BQ231" s="108">
        <f t="shared" si="1174"/>
        <v>0.16099103905322021</v>
      </c>
      <c r="BR231" s="118"/>
      <c r="BS231" s="108">
        <f t="shared" ref="BS231" si="1175">IFERROR(BS230/BS70,0)</f>
        <v>0.17528919312825489</v>
      </c>
      <c r="BT231" s="108">
        <f t="shared" ref="BT231" si="1176">IFERROR(BT230/BT70,0)</f>
        <v>0.17373681295496837</v>
      </c>
      <c r="BU231" s="108">
        <f t="shared" ref="BU231" si="1177">IFERROR(BU230/BU70,0)</f>
        <v>0.18388048698939602</v>
      </c>
      <c r="BV231" s="108">
        <f t="shared" ref="BV231" si="1178">IFERROR(BV230/BV70,0)</f>
        <v>0.19854828572464417</v>
      </c>
      <c r="BW231" s="108">
        <f t="shared" ref="BW231" si="1179">IFERROR(BW230/BW70,0)</f>
        <v>0.18522457844034287</v>
      </c>
      <c r="BX231" s="108">
        <f t="shared" ref="BX231" si="1180">IFERROR(BX230/BX70,0)</f>
        <v>0.17456561956277433</v>
      </c>
      <c r="BY231" s="108">
        <f t="shared" ref="BY231" si="1181">IFERROR(BY230/BY70,0)</f>
        <v>0.16913559740043613</v>
      </c>
      <c r="BZ231" s="108">
        <f t="shared" ref="BZ231" si="1182">IFERROR(BZ230/BZ70,0)</f>
        <v>0.16550103278725833</v>
      </c>
      <c r="CA231" s="108">
        <f t="shared" ref="CA231" si="1183">IFERROR(CA230/CA70,0)</f>
        <v>0.16021598846995708</v>
      </c>
      <c r="CB231" s="108">
        <f t="shared" ref="CB231" si="1184">IFERROR(CB230/CB70,0)</f>
        <v>0.18701919833857944</v>
      </c>
      <c r="CC231" s="108">
        <f t="shared" ref="CC231" si="1185">IFERROR(CC230/CC70,0)</f>
        <v>0.21175154243416031</v>
      </c>
      <c r="CD231" s="108">
        <f t="shared" ref="CD231" si="1186">IFERROR(CD230/CD70,0)</f>
        <v>0.16950803627890756</v>
      </c>
      <c r="CE231" s="108">
        <f t="shared" ref="CE231" si="1187">IFERROR(CE230/CE70,0)</f>
        <v>0.17992849741545208</v>
      </c>
      <c r="CF231" s="106"/>
      <c r="CG231" s="108">
        <f t="shared" ref="CG231" si="1188">IFERROR(CG230/CG70,0)</f>
        <v>0.11325503061743027</v>
      </c>
      <c r="CH231" s="108">
        <f t="shared" ref="CH231" si="1189">IFERROR(CH230/CH70,0)</f>
        <v>0.10662148172035824</v>
      </c>
      <c r="CI231" s="108">
        <f t="shared" ref="CI231" si="1190">IFERROR(CI230/CI70,0)</f>
        <v>0.12948958260254356</v>
      </c>
      <c r="CJ231" s="108">
        <f t="shared" ref="CJ231" si="1191">IFERROR(CJ230/CJ70,0)</f>
        <v>0.18684544802795822</v>
      </c>
      <c r="CK231" s="108">
        <f t="shared" ref="CK231" si="1192">IFERROR(CK230/CK70,0)</f>
        <v>9.8525114657796772E-2</v>
      </c>
      <c r="CL231" s="108">
        <f t="shared" ref="CL231" si="1193">IFERROR(CL230/CL70,0)</f>
        <v>0.1138785326745762</v>
      </c>
      <c r="CM231" s="108">
        <f t="shared" ref="CM231" si="1194">IFERROR(CM230/CM70,0)</f>
        <v>0.13675704861894308</v>
      </c>
      <c r="CN231" s="108">
        <f t="shared" ref="CN231" si="1195">IFERROR(CN230/CN70,0)</f>
        <v>0.1107017958152086</v>
      </c>
      <c r="CO231" s="108">
        <f t="shared" ref="CO231" si="1196">IFERROR(CO230/CO70,0)</f>
        <v>0.14256475547049532</v>
      </c>
      <c r="CP231" s="108">
        <f t="shared" ref="CP231" si="1197">IFERROR(CP230/CP70,0)</f>
        <v>0.13012442380618597</v>
      </c>
      <c r="CQ231" s="108">
        <f t="shared" ref="CQ231" si="1198">IFERROR(CQ230/CQ70,0)</f>
        <v>0.1359774155361706</v>
      </c>
      <c r="CR231" s="108">
        <f t="shared" ref="CR231" si="1199">IFERROR(CR230/CR70,0)</f>
        <v>0.15535750285658373</v>
      </c>
      <c r="CS231" s="108">
        <f t="shared" ref="CS231" si="1200">IFERROR(CS230/CS70,0)</f>
        <v>0.12828903417654081</v>
      </c>
      <c r="CT231" s="15" t="str">
        <f t="shared" si="962"/>
        <v>% to Sales</v>
      </c>
      <c r="CU231" s="108">
        <f t="shared" ref="CU231" si="1201">IFERROR(CU230/CU70,0)</f>
        <v>0.12908851857209347</v>
      </c>
      <c r="CV231" s="108">
        <f t="shared" ref="CV231" si="1202">IFERROR(CV230/CV70,0)</f>
        <v>0.18359614833976423</v>
      </c>
      <c r="CW231" s="108">
        <f t="shared" ref="CW231" si="1203">IFERROR(CW230/CW70,0)</f>
        <v>0.14811209978320439</v>
      </c>
      <c r="CX231" s="108">
        <f t="shared" ref="CX231" si="1204">IFERROR(CX230/CX70,0)</f>
        <v>0.15669597534056934</v>
      </c>
      <c r="CY231" s="108">
        <f t="shared" ref="CY231" si="1205">IFERROR(CY230/CY70,0)</f>
        <v>0.12589609769082605</v>
      </c>
      <c r="CZ231" s="108">
        <f t="shared" ref="CZ231" si="1206">IFERROR(CZ230/CZ70,0)</f>
        <v>0.18341175416117073</v>
      </c>
      <c r="DA231" s="108">
        <f t="shared" ref="DA231" si="1207">IFERROR(DA230/DA70,0)</f>
        <v>0.13899680088679056</v>
      </c>
      <c r="DB231" s="108">
        <f t="shared" ref="DB231" si="1208">IFERROR(DB230/DB70,0)</f>
        <v>0.14688038056690447</v>
      </c>
      <c r="DC231" s="108">
        <f t="shared" ref="DC231" si="1209">IFERROR(DC230/DC70,0)</f>
        <v>0.19202727044285281</v>
      </c>
      <c r="DD231" s="108">
        <f t="shared" ref="DD231" si="1210">IFERROR(DD230/DD70,0)</f>
        <v>0.14613868902745494</v>
      </c>
      <c r="DE231" s="108">
        <f t="shared" ref="DE231" si="1211">IFERROR(DE230/DE70,0)</f>
        <v>0</v>
      </c>
      <c r="DF231" s="108">
        <f t="shared" ref="DF231" si="1212">IFERROR(DF230/DF70,0)</f>
        <v>0</v>
      </c>
      <c r="DG231" s="108">
        <f t="shared" ref="DG231" si="1213">IFERROR(DG230/DG70,0)</f>
        <v>0.15227392923076941</v>
      </c>
      <c r="DH231" s="118"/>
      <c r="DI231" s="108">
        <f t="shared" ref="DI231" si="1214">IFERROR(DI230/DI70,0)</f>
        <v>0.13372048287639765</v>
      </c>
      <c r="DJ231" s="108">
        <f t="shared" ref="DJ231" si="1215">IFERROR(DJ230/DJ70,0)</f>
        <v>0.13452221000525161</v>
      </c>
      <c r="DK231" s="108">
        <f t="shared" ref="DK231" si="1216">IFERROR(DK230/DK70,0)</f>
        <v>0.12344142852153525</v>
      </c>
      <c r="DL231" s="108">
        <f t="shared" ref="DL231" si="1217">IFERROR(DL230/DL70,0)</f>
        <v>0.16160033677464838</v>
      </c>
      <c r="DM231" s="108">
        <f t="shared" ref="DM231" si="1218">IFERROR(DM230/DM70,0)</f>
        <v>0.14899188696706384</v>
      </c>
      <c r="DN231" s="108">
        <f t="shared" ref="DN231" si="1219">IFERROR(DN230/DN70,0)</f>
        <v>0.13668135040550697</v>
      </c>
      <c r="DO231" s="108">
        <f t="shared" ref="DO231" si="1220">IFERROR(DO230/DO70,0)</f>
        <v>0.13370501119858225</v>
      </c>
      <c r="DP231" s="108">
        <f t="shared" ref="DP231" si="1221">IFERROR(DP230/DP70,0)</f>
        <v>0.13199041549110327</v>
      </c>
      <c r="DQ231" s="108">
        <f t="shared" ref="DQ231" si="1222">IFERROR(DQ230/DQ70,0)</f>
        <v>0.13385603124011725</v>
      </c>
      <c r="DR231" s="108">
        <f t="shared" ref="DR231" si="1223">IFERROR(DR230/DR70,0)</f>
        <v>0.16952919855934198</v>
      </c>
      <c r="DS231" s="108">
        <f t="shared" ref="DS231" si="1224">IFERROR(DS230/DS70,0)</f>
        <v>0.15158807415364237</v>
      </c>
      <c r="DT231" s="108">
        <f t="shared" ref="DT231" si="1225">IFERROR(DT230/DT70,0)</f>
        <v>0.1384937762644147</v>
      </c>
      <c r="DU231" s="108">
        <f t="shared" ref="DU231" si="1226">IFERROR(DU230/DU70,0)</f>
        <v>0.14044572237493225</v>
      </c>
      <c r="DV231" s="32"/>
      <c r="DW231" s="108">
        <f t="shared" ref="DW231" si="1227">IFERROR(DW230/DW70,0)</f>
        <v>0</v>
      </c>
      <c r="DX231" s="108">
        <f t="shared" ref="DX231" si="1228">IFERROR(DX230/DX70,0)</f>
        <v>0</v>
      </c>
      <c r="DY231" s="108">
        <f t="shared" ref="DY231" si="1229">IFERROR(DY230/DY70,0)</f>
        <v>0</v>
      </c>
      <c r="DZ231" s="108">
        <f t="shared" ref="DZ231" si="1230">IFERROR(DZ230/DZ70,0)</f>
        <v>0</v>
      </c>
      <c r="EA231" s="108">
        <f t="shared" ref="EA231" si="1231">IFERROR(EA230/EA70,0)</f>
        <v>0</v>
      </c>
      <c r="EB231" s="108">
        <f t="shared" ref="EB231" si="1232">IFERROR(EB230/EB70,0)</f>
        <v>0</v>
      </c>
      <c r="EC231" s="108">
        <f t="shared" ref="EC231" si="1233">IFERROR(EC230/EC70,0)</f>
        <v>0</v>
      </c>
      <c r="ED231" s="108">
        <f t="shared" ref="ED231" si="1234">IFERROR(ED230/ED70,0)</f>
        <v>0</v>
      </c>
      <c r="EE231" s="108">
        <f t="shared" ref="EE231" si="1235">IFERROR(EE230/EE70,0)</f>
        <v>0</v>
      </c>
      <c r="EF231" s="108">
        <f t="shared" ref="EF231" si="1236">IFERROR(EF230/EF70,0)</f>
        <v>0</v>
      </c>
      <c r="EG231" s="108">
        <f t="shared" ref="EG231" si="1237">IFERROR(EG230/EG70,0)</f>
        <v>0</v>
      </c>
      <c r="EH231" s="108">
        <f t="shared" ref="EH231" si="1238">IFERROR(EH230/EH70,0)</f>
        <v>0</v>
      </c>
      <c r="EI231" s="108">
        <f t="shared" ref="EI231" si="1239">IFERROR(EI230/EI70,0)</f>
        <v>0</v>
      </c>
      <c r="EJ231" s="15" t="str">
        <f t="shared" si="963"/>
        <v>% to Sales</v>
      </c>
      <c r="EK231" s="108">
        <f t="shared" ref="EK231" si="1240">IFERROR(EK230/EK70,0)</f>
        <v>0.83580663788679743</v>
      </c>
      <c r="EL231" s="108">
        <f t="shared" ref="EL231" si="1241">IFERROR(EL230/EL70,0)</f>
        <v>0.39796961062336739</v>
      </c>
      <c r="EM231" s="108">
        <f t="shared" ref="EM231" si="1242">IFERROR(EM230/EM70,0)</f>
        <v>0.57528820298925443</v>
      </c>
      <c r="EN231" s="108">
        <f t="shared" ref="EN231" si="1243">IFERROR(EN230/EN70,0)</f>
        <v>0.66970267477052359</v>
      </c>
      <c r="EO231" s="108">
        <f t="shared" ref="EO231" si="1244">IFERROR(EO230/EO70,0)</f>
        <v>0.52455159719918543</v>
      </c>
      <c r="EP231" s="108">
        <f t="shared" ref="EP231" si="1245">IFERROR(EP230/EP70,0)</f>
        <v>0.33703235695481337</v>
      </c>
      <c r="EQ231" s="108">
        <f t="shared" ref="EQ231" si="1246">IFERROR(EQ230/EQ70,0)</f>
        <v>0.49590672406685099</v>
      </c>
      <c r="ER231" s="108">
        <f t="shared" ref="ER231" si="1247">IFERROR(ER230/ER70,0)</f>
        <v>0.3366654266098944</v>
      </c>
      <c r="ES231" s="108">
        <f t="shared" ref="ES231" si="1248">IFERROR(ES230/ES70,0)</f>
        <v>0.57584380072078001</v>
      </c>
      <c r="ET231" s="108">
        <f t="shared" ref="ET231" si="1249">IFERROR(ET230/ET70,0)</f>
        <v>0.34575492706177557</v>
      </c>
      <c r="EU231" s="108">
        <f t="shared" ref="EU231" si="1250">IFERROR(EU230/EU70,0)</f>
        <v>0</v>
      </c>
      <c r="EV231" s="108">
        <f t="shared" ref="EV231" si="1251">IFERROR(EV230/EV70,0)</f>
        <v>0</v>
      </c>
      <c r="EW231" s="108">
        <f t="shared" ref="EW231" si="1252">IFERROR(EW230/EW70,0)</f>
        <v>0.47229769071974487</v>
      </c>
      <c r="EX231" s="118"/>
      <c r="EY231" s="108">
        <f t="shared" ref="EY231" si="1253">IFERROR(EY230/EY70,0)</f>
        <v>0.33764430957112967</v>
      </c>
      <c r="EZ231" s="108">
        <f t="shared" ref="EZ231" si="1254">IFERROR(EZ230/EZ70,0)</f>
        <v>0.36023683983413379</v>
      </c>
      <c r="FA231" s="108">
        <f t="shared" ref="FA231" si="1255">IFERROR(FA230/FA70,0)</f>
        <v>0.32625449489767511</v>
      </c>
      <c r="FB231" s="108">
        <f t="shared" ref="FB231" si="1256">IFERROR(FB230/FB70,0)</f>
        <v>0.36206423973237328</v>
      </c>
      <c r="FC231" s="108">
        <f t="shared" ref="FC231" si="1257">IFERROR(FC230/FC70,0)</f>
        <v>0.30800952397834591</v>
      </c>
      <c r="FD231" s="108">
        <f t="shared" ref="FD231" si="1258">IFERROR(FD230/FD70,0)</f>
        <v>0.30748290187138788</v>
      </c>
      <c r="FE231" s="108">
        <f t="shared" ref="FE231" si="1259">IFERROR(FE230/FE70,0)</f>
        <v>0.27656510627094588</v>
      </c>
      <c r="FF231" s="108">
        <f t="shared" ref="FF231" si="1260">IFERROR(FF230/FF70,0)</f>
        <v>0.28653394789178205</v>
      </c>
      <c r="FG231" s="108">
        <f t="shared" ref="FG231" si="1261">IFERROR(FG230/FG70,0)</f>
        <v>0.29940279912540746</v>
      </c>
      <c r="FH231" s="108">
        <f t="shared" ref="FH231" si="1262">IFERROR(FH230/FH70,0)</f>
        <v>0.43638624535938114</v>
      </c>
      <c r="FI231" s="108">
        <f t="shared" ref="FI231" si="1263">IFERROR(FI230/FI70,0)</f>
        <v>0.4047627709092777</v>
      </c>
      <c r="FJ231" s="108">
        <f t="shared" ref="FJ231" si="1264">IFERROR(FJ230/FJ70,0)</f>
        <v>0.39269202988305457</v>
      </c>
      <c r="FK231" s="108">
        <f t="shared" ref="FK231" si="1265">IFERROR(FK230/FK70,0)</f>
        <v>0.33668077142604041</v>
      </c>
    </row>
    <row r="232" spans="1:167" ht="14.4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18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  <c r="BA232" s="106"/>
      <c r="BB232" s="106"/>
      <c r="BC232" s="106"/>
      <c r="BD232" s="16">
        <f t="shared" si="961"/>
        <v>0</v>
      </c>
      <c r="BE232" s="106"/>
      <c r="BF232" s="106"/>
      <c r="BG232" s="106"/>
      <c r="BH232" s="106"/>
      <c r="BI232" s="106"/>
      <c r="BJ232" s="106"/>
      <c r="BK232" s="106"/>
      <c r="BL232" s="106"/>
      <c r="BM232" s="106"/>
      <c r="BN232" s="106"/>
      <c r="BO232" s="106"/>
      <c r="BP232" s="106"/>
      <c r="BQ232" s="106"/>
      <c r="BR232" s="118"/>
      <c r="BS232" s="106"/>
      <c r="BT232" s="106"/>
      <c r="BU232" s="106"/>
      <c r="BV232" s="106"/>
      <c r="BW232" s="106"/>
      <c r="BX232" s="106"/>
      <c r="BY232" s="106"/>
      <c r="BZ232" s="106"/>
      <c r="CA232" s="106"/>
      <c r="CB232" s="106"/>
      <c r="CC232" s="106"/>
      <c r="CD232" s="106"/>
      <c r="CE232" s="106"/>
      <c r="CF232" s="106"/>
      <c r="CG232" s="106"/>
      <c r="CH232" s="106"/>
      <c r="CI232" s="106"/>
      <c r="CJ232" s="106"/>
      <c r="CK232" s="106"/>
      <c r="CL232" s="106"/>
      <c r="CM232" s="106"/>
      <c r="CN232" s="106"/>
      <c r="CO232" s="106"/>
      <c r="CP232" s="106"/>
      <c r="CQ232" s="106"/>
      <c r="CR232" s="106"/>
      <c r="CS232" s="106"/>
      <c r="CT232" s="16">
        <f t="shared" si="962"/>
        <v>0</v>
      </c>
      <c r="CU232" s="106"/>
      <c r="CV232" s="106"/>
      <c r="CW232" s="106"/>
      <c r="CX232" s="106"/>
      <c r="CY232" s="106"/>
      <c r="CZ232" s="106"/>
      <c r="DA232" s="106"/>
      <c r="DB232" s="106"/>
      <c r="DC232" s="106"/>
      <c r="DD232" s="106"/>
      <c r="DE232" s="106"/>
      <c r="DF232" s="106"/>
      <c r="DG232" s="106"/>
      <c r="DH232" s="118"/>
      <c r="DI232" s="106"/>
      <c r="DJ232" s="106"/>
      <c r="DK232" s="106"/>
      <c r="DL232" s="106"/>
      <c r="DM232" s="106"/>
      <c r="DN232" s="106"/>
      <c r="DO232" s="106"/>
      <c r="DP232" s="106"/>
      <c r="DQ232" s="106"/>
      <c r="DR232" s="106"/>
      <c r="DS232" s="106"/>
      <c r="DT232" s="106"/>
      <c r="DU232" s="106"/>
      <c r="DV232" s="106"/>
      <c r="DW232" s="106"/>
      <c r="DX232" s="106"/>
      <c r="DY232" s="106"/>
      <c r="DZ232" s="106"/>
      <c r="EA232" s="106"/>
      <c r="EB232" s="106"/>
      <c r="EC232" s="106"/>
      <c r="ED232" s="106"/>
      <c r="EE232" s="106"/>
      <c r="EF232" s="106"/>
      <c r="EG232" s="106"/>
      <c r="EH232" s="106"/>
      <c r="EI232" s="106"/>
      <c r="EJ232" s="16">
        <f t="shared" si="963"/>
        <v>0</v>
      </c>
      <c r="EK232" s="106"/>
      <c r="EL232" s="106"/>
      <c r="EM232" s="106"/>
      <c r="EN232" s="106"/>
      <c r="EO232" s="106"/>
      <c r="EP232" s="106"/>
      <c r="EQ232" s="106"/>
      <c r="ER232" s="106"/>
      <c r="ES232" s="106"/>
      <c r="ET232" s="106"/>
      <c r="EU232" s="106"/>
      <c r="EV232" s="106"/>
      <c r="EW232" s="106"/>
      <c r="EX232" s="118"/>
      <c r="EY232" s="106"/>
      <c r="EZ232" s="106"/>
      <c r="FA232" s="106"/>
      <c r="FB232" s="106"/>
      <c r="FC232" s="106"/>
      <c r="FD232" s="106"/>
      <c r="FE232" s="106"/>
      <c r="FF232" s="106"/>
      <c r="FG232" s="106"/>
      <c r="FH232" s="106"/>
      <c r="FI232" s="106"/>
      <c r="FJ232" s="106"/>
      <c r="FK232" s="106"/>
    </row>
    <row r="233" spans="1:167" ht="14.45" customHeight="1">
      <c r="A233" s="58">
        <f t="shared" ref="A233:M233" si="1266">+A71-A230</f>
        <v>7308398.0086276317</v>
      </c>
      <c r="B233" s="58">
        <f t="shared" si="1266"/>
        <v>9525682.0430635437</v>
      </c>
      <c r="C233" s="58">
        <f t="shared" si="1266"/>
        <v>9239831.7993446104</v>
      </c>
      <c r="D233" s="58">
        <f t="shared" si="1266"/>
        <v>5053951.4906558963</v>
      </c>
      <c r="E233" s="58">
        <f t="shared" si="1266"/>
        <v>4901927.3274828214</v>
      </c>
      <c r="F233" s="58">
        <f t="shared" si="1266"/>
        <v>8607000.6035307087</v>
      </c>
      <c r="G233" s="58">
        <f t="shared" si="1266"/>
        <v>7352715.1318524182</v>
      </c>
      <c r="H233" s="58">
        <f t="shared" si="1266"/>
        <v>7877220.5579569116</v>
      </c>
      <c r="I233" s="58">
        <f t="shared" si="1266"/>
        <v>7881037.3637803886</v>
      </c>
      <c r="J233" s="58">
        <f t="shared" si="1266"/>
        <v>6130151.9614783861</v>
      </c>
      <c r="K233" s="58">
        <f t="shared" si="1266"/>
        <v>8015641.6995093692</v>
      </c>
      <c r="L233" s="58">
        <f t="shared" si="1266"/>
        <v>14798530.397356115</v>
      </c>
      <c r="M233" s="58">
        <f t="shared" si="1266"/>
        <v>115433764.42952193</v>
      </c>
      <c r="N233" s="14" t="s">
        <v>194</v>
      </c>
      <c r="O233" s="58">
        <f t="shared" ref="O233:AA233" si="1267">+O71-O230</f>
        <v>4693499.7743253475</v>
      </c>
      <c r="P233" s="58">
        <f t="shared" si="1267"/>
        <v>2587953.109206425</v>
      </c>
      <c r="Q233" s="58">
        <f t="shared" si="1267"/>
        <v>11010639.112734152</v>
      </c>
      <c r="R233" s="58">
        <f t="shared" si="1267"/>
        <v>5979147.6912976429</v>
      </c>
      <c r="S233" s="58">
        <f t="shared" si="1267"/>
        <v>10808059.376926512</v>
      </c>
      <c r="T233" s="58">
        <f t="shared" si="1267"/>
        <v>7777968.0271480531</v>
      </c>
      <c r="U233" s="58">
        <f t="shared" si="1267"/>
        <v>7902633.7441960108</v>
      </c>
      <c r="V233" s="58">
        <f t="shared" si="1267"/>
        <v>7765500.1795348953</v>
      </c>
      <c r="W233" s="58">
        <f t="shared" si="1267"/>
        <v>11593555.616679611</v>
      </c>
      <c r="X233" s="58">
        <f t="shared" si="1267"/>
        <v>5041042.4009825047</v>
      </c>
      <c r="Y233" s="58">
        <f t="shared" si="1267"/>
        <v>0</v>
      </c>
      <c r="Z233" s="58">
        <f t="shared" si="1267"/>
        <v>0</v>
      </c>
      <c r="AA233" s="58">
        <f t="shared" si="1267"/>
        <v>75159999.033031166</v>
      </c>
      <c r="AB233" s="118"/>
      <c r="AC233" s="58">
        <f t="shared" ref="AC233:AO233" si="1268">+AC71-AC230</f>
        <v>7812008.033829933</v>
      </c>
      <c r="AD233" s="58">
        <f t="shared" si="1268"/>
        <v>7411747.6161091952</v>
      </c>
      <c r="AE233" s="58">
        <f t="shared" si="1268"/>
        <v>14846199.067734344</v>
      </c>
      <c r="AF233" s="58">
        <f t="shared" si="1268"/>
        <v>5103173.0155738313</v>
      </c>
      <c r="AG233" s="58">
        <f t="shared" si="1268"/>
        <v>6722042.1773178251</v>
      </c>
      <c r="AH233" s="58">
        <f t="shared" si="1268"/>
        <v>14588019.681666993</v>
      </c>
      <c r="AI233" s="58">
        <f t="shared" si="1268"/>
        <v>8905164.1207922846</v>
      </c>
      <c r="AJ233" s="58">
        <f t="shared" si="1268"/>
        <v>8972454.5253312532</v>
      </c>
      <c r="AK233" s="58">
        <f t="shared" si="1268"/>
        <v>16388348.3821132</v>
      </c>
      <c r="AL233" s="58">
        <f t="shared" si="1268"/>
        <v>5996085.9801091235</v>
      </c>
      <c r="AM233" s="58">
        <f t="shared" si="1268"/>
        <v>5187945.6010705531</v>
      </c>
      <c r="AN233" s="58">
        <f t="shared" si="1268"/>
        <v>14740482.151302189</v>
      </c>
      <c r="AO233" s="58">
        <f t="shared" si="1268"/>
        <v>149304827.30206716</v>
      </c>
      <c r="AP233" s="106"/>
      <c r="AQ233" s="58">
        <f t="shared" ref="AQ233:BC233" si="1269">+AQ71-AQ230</f>
        <v>3618139.5180797251</v>
      </c>
      <c r="AR233" s="58">
        <f t="shared" si="1269"/>
        <v>5733537.2549274163</v>
      </c>
      <c r="AS233" s="58">
        <f t="shared" si="1269"/>
        <v>5123164.5520498678</v>
      </c>
      <c r="AT233" s="58">
        <f t="shared" si="1269"/>
        <v>3373525.190738182</v>
      </c>
      <c r="AU233" s="58">
        <f t="shared" si="1269"/>
        <v>1053802.308135299</v>
      </c>
      <c r="AV233" s="58">
        <f t="shared" si="1269"/>
        <v>4842003.9535643775</v>
      </c>
      <c r="AW233" s="58">
        <f t="shared" si="1269"/>
        <v>4240734.7941423161</v>
      </c>
      <c r="AX233" s="58">
        <f t="shared" si="1269"/>
        <v>4416781.8366929283</v>
      </c>
      <c r="AY233" s="58">
        <f t="shared" si="1269"/>
        <v>4375404.228421852</v>
      </c>
      <c r="AZ233" s="58">
        <f t="shared" si="1269"/>
        <v>1483818.312610507</v>
      </c>
      <c r="BA233" s="58">
        <f t="shared" si="1269"/>
        <v>3290026.681882388</v>
      </c>
      <c r="BB233" s="58">
        <f t="shared" si="1269"/>
        <v>10397551.151600698</v>
      </c>
      <c r="BC233" s="58">
        <f t="shared" si="1269"/>
        <v>51465650.11884556</v>
      </c>
      <c r="BD233" s="14" t="str">
        <f t="shared" si="961"/>
        <v>EBITDA</v>
      </c>
      <c r="BE233" s="58">
        <f t="shared" ref="BE233:BQ233" si="1270">+BE71-BE230</f>
        <v>3341124.7537449459</v>
      </c>
      <c r="BF233" s="58">
        <f t="shared" si="1270"/>
        <v>2340124.4108382729</v>
      </c>
      <c r="BG233" s="58">
        <f t="shared" si="1270"/>
        <v>7580804.6565185282</v>
      </c>
      <c r="BH233" s="58">
        <f t="shared" si="1270"/>
        <v>4615603.2361290548</v>
      </c>
      <c r="BI233" s="58">
        <f t="shared" si="1270"/>
        <v>8864286.4810113031</v>
      </c>
      <c r="BJ233" s="58">
        <f t="shared" si="1270"/>
        <v>4540717.8069682503</v>
      </c>
      <c r="BK233" s="58">
        <f t="shared" si="1270"/>
        <v>5930090.2722847853</v>
      </c>
      <c r="BL233" s="58">
        <f t="shared" si="1270"/>
        <v>4612405.086483608</v>
      </c>
      <c r="BM233" s="58">
        <f t="shared" si="1270"/>
        <v>7866973.5398106687</v>
      </c>
      <c r="BN233" s="58">
        <f t="shared" si="1270"/>
        <v>2993948.765542699</v>
      </c>
      <c r="BO233" s="58">
        <f t="shared" si="1270"/>
        <v>0</v>
      </c>
      <c r="BP233" s="58">
        <f t="shared" si="1270"/>
        <v>0</v>
      </c>
      <c r="BQ233" s="58">
        <f t="shared" si="1270"/>
        <v>52686079.00933212</v>
      </c>
      <c r="BR233" s="118"/>
      <c r="BS233" s="58">
        <f t="shared" ref="BS233:CE233" si="1271">+BS71-BS230</f>
        <v>4582219.8764073504</v>
      </c>
      <c r="BT233" s="58">
        <f t="shared" si="1271"/>
        <v>4340850.4358779863</v>
      </c>
      <c r="BU233" s="58">
        <f t="shared" si="1271"/>
        <v>7835579.9046930801</v>
      </c>
      <c r="BV233" s="58">
        <f t="shared" si="1271"/>
        <v>3076808.2538806573</v>
      </c>
      <c r="BW233" s="58">
        <f t="shared" si="1271"/>
        <v>3640570.8359460067</v>
      </c>
      <c r="BX233" s="58">
        <f t="shared" si="1271"/>
        <v>8065750.5153384488</v>
      </c>
      <c r="BY233" s="58">
        <f t="shared" si="1271"/>
        <v>4922565.9720795359</v>
      </c>
      <c r="BZ233" s="58">
        <f t="shared" si="1271"/>
        <v>4976348.0475077974</v>
      </c>
      <c r="CA233" s="58">
        <f t="shared" si="1271"/>
        <v>9319026.2889374904</v>
      </c>
      <c r="CB233" s="58">
        <f t="shared" si="1271"/>
        <v>4045280.0957483212</v>
      </c>
      <c r="CC233" s="58">
        <f t="shared" si="1271"/>
        <v>2771589.0079633226</v>
      </c>
      <c r="CD233" s="58">
        <f t="shared" si="1271"/>
        <v>8613405.6957581714</v>
      </c>
      <c r="CE233" s="58">
        <f t="shared" si="1271"/>
        <v>65739994.930138163</v>
      </c>
      <c r="CF233" s="106"/>
      <c r="CG233" s="58">
        <f t="shared" ref="CG233:CS233" si="1272">+CG71-CG230</f>
        <v>3690258.4905479047</v>
      </c>
      <c r="CH233" s="58">
        <f t="shared" si="1272"/>
        <v>3792144.7881361162</v>
      </c>
      <c r="CI233" s="58">
        <f t="shared" si="1272"/>
        <v>4116667.2472947491</v>
      </c>
      <c r="CJ233" s="58">
        <f t="shared" si="1272"/>
        <v>1680426.2999177147</v>
      </c>
      <c r="CK233" s="58">
        <f t="shared" si="1272"/>
        <v>3848125.0193475187</v>
      </c>
      <c r="CL233" s="58">
        <f t="shared" si="1272"/>
        <v>3764996.6499663228</v>
      </c>
      <c r="CM233" s="58">
        <f t="shared" si="1272"/>
        <v>3111980.3377101091</v>
      </c>
      <c r="CN233" s="58">
        <f t="shared" si="1272"/>
        <v>3460438.7212639814</v>
      </c>
      <c r="CO233" s="58">
        <f t="shared" si="1272"/>
        <v>3505633.1353585366</v>
      </c>
      <c r="CP233" s="58">
        <f t="shared" si="1272"/>
        <v>4646333.6488678884</v>
      </c>
      <c r="CQ233" s="58">
        <f t="shared" si="1272"/>
        <v>4725615.017626984</v>
      </c>
      <c r="CR233" s="58">
        <f t="shared" si="1272"/>
        <v>4400979.2457554098</v>
      </c>
      <c r="CS233" s="58">
        <f t="shared" si="1272"/>
        <v>44510106.894793257</v>
      </c>
      <c r="CT233" s="14" t="str">
        <f t="shared" si="962"/>
        <v>EBITDA</v>
      </c>
      <c r="CU233" s="58">
        <f t="shared" ref="CU233:DG233" si="1273">+CU71-CU230</f>
        <v>2675423.2135935389</v>
      </c>
      <c r="CV233" s="58">
        <f t="shared" si="1273"/>
        <v>710496.25459715328</v>
      </c>
      <c r="CW233" s="58">
        <f t="shared" si="1273"/>
        <v>3440366.3629042264</v>
      </c>
      <c r="CX233" s="58">
        <f t="shared" si="1273"/>
        <v>1906101.0054196855</v>
      </c>
      <c r="CY233" s="58">
        <f t="shared" si="1273"/>
        <v>2947870.6466709194</v>
      </c>
      <c r="CZ233" s="58">
        <f t="shared" si="1273"/>
        <v>2746341.9424684374</v>
      </c>
      <c r="DA233" s="58">
        <f t="shared" si="1273"/>
        <v>2915410.6624454875</v>
      </c>
      <c r="DB233" s="58">
        <f t="shared" si="1273"/>
        <v>3286083.6562311156</v>
      </c>
      <c r="DC233" s="58">
        <f t="shared" si="1273"/>
        <v>3354016.7815999477</v>
      </c>
      <c r="DD233" s="58">
        <f t="shared" si="1273"/>
        <v>2234127.1633806876</v>
      </c>
      <c r="DE233" s="58">
        <f t="shared" si="1273"/>
        <v>0</v>
      </c>
      <c r="DF233" s="58">
        <f t="shared" si="1273"/>
        <v>0</v>
      </c>
      <c r="DG233" s="58">
        <f t="shared" si="1273"/>
        <v>26216237.689311206</v>
      </c>
      <c r="DH233" s="118"/>
      <c r="DI233" s="58">
        <f t="shared" ref="DI233:DU233" si="1274">+DI71-DI230</f>
        <v>3119029.7678901628</v>
      </c>
      <c r="DJ233" s="58">
        <f t="shared" si="1274"/>
        <v>3092748.0127536268</v>
      </c>
      <c r="DK233" s="58">
        <f t="shared" si="1274"/>
        <v>6127064.6484147189</v>
      </c>
      <c r="DL233" s="58">
        <f t="shared" si="1274"/>
        <v>2068708.4603257463</v>
      </c>
      <c r="DM233" s="58">
        <f t="shared" si="1274"/>
        <v>2762399.9461216778</v>
      </c>
      <c r="DN233" s="58">
        <f t="shared" si="1274"/>
        <v>5534517.7405405845</v>
      </c>
      <c r="DO233" s="58">
        <f t="shared" si="1274"/>
        <v>3379485.8773094323</v>
      </c>
      <c r="DP233" s="58">
        <f t="shared" si="1274"/>
        <v>3490078.3805652861</v>
      </c>
      <c r="DQ233" s="58">
        <f t="shared" si="1274"/>
        <v>5957338.7339056628</v>
      </c>
      <c r="DR233" s="58">
        <f t="shared" si="1274"/>
        <v>2230578.9400936412</v>
      </c>
      <c r="DS233" s="58">
        <f t="shared" si="1274"/>
        <v>2554518.9937970173</v>
      </c>
      <c r="DT233" s="58">
        <f t="shared" si="1274"/>
        <v>5513798.4940323085</v>
      </c>
      <c r="DU233" s="58">
        <f t="shared" si="1274"/>
        <v>45830267.995749861</v>
      </c>
      <c r="DV233" s="106"/>
      <c r="DW233" s="58">
        <f t="shared" ref="DW233:EI233" si="1275">+DW71-DW230</f>
        <v>0</v>
      </c>
      <c r="DX233" s="58">
        <f t="shared" si="1275"/>
        <v>0</v>
      </c>
      <c r="DY233" s="58">
        <f t="shared" si="1275"/>
        <v>0</v>
      </c>
      <c r="DZ233" s="58">
        <f t="shared" si="1275"/>
        <v>0</v>
      </c>
      <c r="EA233" s="58">
        <f t="shared" si="1275"/>
        <v>0</v>
      </c>
      <c r="EB233" s="58">
        <f t="shared" si="1275"/>
        <v>0</v>
      </c>
      <c r="EC233" s="58">
        <f t="shared" si="1275"/>
        <v>0</v>
      </c>
      <c r="ED233" s="58">
        <f t="shared" si="1275"/>
        <v>0</v>
      </c>
      <c r="EE233" s="58">
        <f t="shared" si="1275"/>
        <v>0</v>
      </c>
      <c r="EF233" s="58">
        <f t="shared" si="1275"/>
        <v>0</v>
      </c>
      <c r="EG233" s="58">
        <f t="shared" si="1275"/>
        <v>0</v>
      </c>
      <c r="EH233" s="58">
        <f t="shared" si="1275"/>
        <v>0</v>
      </c>
      <c r="EI233" s="58">
        <f t="shared" si="1275"/>
        <v>0</v>
      </c>
      <c r="EJ233" s="14" t="str">
        <f t="shared" si="963"/>
        <v>EBITDA</v>
      </c>
      <c r="EK233" s="58">
        <f t="shared" ref="EK233:EW233" si="1276">+EK71-EK230</f>
        <v>-1323048.1930131228</v>
      </c>
      <c r="EL233" s="58">
        <f t="shared" si="1276"/>
        <v>-462667.55622899579</v>
      </c>
      <c r="EM233" s="58">
        <f t="shared" si="1276"/>
        <v>-10531.906688602176</v>
      </c>
      <c r="EN233" s="58">
        <f t="shared" si="1276"/>
        <v>-542556.55025109136</v>
      </c>
      <c r="EO233" s="58">
        <f t="shared" si="1276"/>
        <v>-1004097.7507557125</v>
      </c>
      <c r="EP233" s="58">
        <f t="shared" si="1276"/>
        <v>490908.27771136723</v>
      </c>
      <c r="EQ233" s="58">
        <f t="shared" si="1276"/>
        <v>-942867.19053426362</v>
      </c>
      <c r="ER233" s="58">
        <f t="shared" si="1276"/>
        <v>-132988.56317982706</v>
      </c>
      <c r="ES233" s="58">
        <f t="shared" si="1276"/>
        <v>372565.29526900779</v>
      </c>
      <c r="ET233" s="58">
        <f t="shared" si="1276"/>
        <v>-187033.52794088423</v>
      </c>
      <c r="EU233" s="58">
        <f t="shared" si="1276"/>
        <v>0</v>
      </c>
      <c r="EV233" s="58">
        <f t="shared" si="1276"/>
        <v>0</v>
      </c>
      <c r="EW233" s="58">
        <f t="shared" si="1276"/>
        <v>-3755908.1216121335</v>
      </c>
      <c r="EX233" s="118"/>
      <c r="EY233" s="58">
        <f t="shared" ref="EY233:FK233" si="1277">+EY71-EY230</f>
        <v>110758.38953242078</v>
      </c>
      <c r="EZ233" s="58">
        <f t="shared" si="1277"/>
        <v>-21850.83252242906</v>
      </c>
      <c r="FA233" s="58">
        <f t="shared" si="1277"/>
        <v>883554.5146265463</v>
      </c>
      <c r="FB233" s="58">
        <f t="shared" si="1277"/>
        <v>-42343.698632570682</v>
      </c>
      <c r="FC233" s="58">
        <f t="shared" si="1277"/>
        <v>319071.39525014651</v>
      </c>
      <c r="FD233" s="58">
        <f t="shared" si="1277"/>
        <v>987751.42578796297</v>
      </c>
      <c r="FE233" s="58">
        <f t="shared" si="1277"/>
        <v>603112.27140332176</v>
      </c>
      <c r="FF233" s="58">
        <f t="shared" si="1277"/>
        <v>506028.0972581713</v>
      </c>
      <c r="FG233" s="58">
        <f t="shared" si="1277"/>
        <v>1111983.3592700465</v>
      </c>
      <c r="FH233" s="58">
        <f t="shared" si="1277"/>
        <v>-279773.05573283462</v>
      </c>
      <c r="FI233" s="58">
        <f t="shared" si="1277"/>
        <v>-138162.40068980074</v>
      </c>
      <c r="FJ233" s="58">
        <f t="shared" si="1277"/>
        <v>613277.96151169878</v>
      </c>
      <c r="FK233" s="58">
        <f t="shared" si="1277"/>
        <v>4553407.4270626716</v>
      </c>
    </row>
    <row r="234" spans="1:167" ht="14.45" customHeight="1">
      <c r="A234" s="108">
        <f t="shared" ref="A234:M234" si="1278">IFERROR(A233/A70,0)</f>
        <v>0.21411564465313856</v>
      </c>
      <c r="B234" s="108">
        <f t="shared" si="1278"/>
        <v>0.2212008870354939</v>
      </c>
      <c r="C234" s="108">
        <f t="shared" si="1278"/>
        <v>0.29337853834272903</v>
      </c>
      <c r="D234" s="108">
        <f t="shared" si="1278"/>
        <v>0.17960841112115603</v>
      </c>
      <c r="E234" s="108">
        <f t="shared" si="1278"/>
        <v>0.15224351135269104</v>
      </c>
      <c r="F234" s="108">
        <f t="shared" si="1278"/>
        <v>0.23598939005651798</v>
      </c>
      <c r="G234" s="108">
        <f t="shared" si="1278"/>
        <v>0.20327798585338366</v>
      </c>
      <c r="H234" s="108">
        <f t="shared" si="1278"/>
        <v>0.18725307144489092</v>
      </c>
      <c r="I234" s="108">
        <f t="shared" si="1278"/>
        <v>0.20170144593269143</v>
      </c>
      <c r="J234" s="108">
        <f t="shared" si="1278"/>
        <v>0.16898491881528041</v>
      </c>
      <c r="K234" s="108">
        <f t="shared" si="1278"/>
        <v>0.18530101412813366</v>
      </c>
      <c r="L234" s="108">
        <f t="shared" si="1278"/>
        <v>0.34127460951448219</v>
      </c>
      <c r="M234" s="108">
        <f t="shared" si="1278"/>
        <v>0.25899042522623938</v>
      </c>
      <c r="N234" s="15" t="s">
        <v>58</v>
      </c>
      <c r="O234" s="108">
        <f t="shared" ref="O234:AA234" si="1279">IFERROR(O233/O70,0)</f>
        <v>0.13248831739125266</v>
      </c>
      <c r="P234" s="108">
        <f t="shared" si="1279"/>
        <v>8.2149323275199249E-2</v>
      </c>
      <c r="Q234" s="108">
        <f t="shared" si="1279"/>
        <v>0.23101338521985956</v>
      </c>
      <c r="R234" s="108">
        <f t="shared" si="1279"/>
        <v>0.15522483974795653</v>
      </c>
      <c r="S234" s="108">
        <f t="shared" si="1279"/>
        <v>0.20412408704955617</v>
      </c>
      <c r="T234" s="108">
        <f t="shared" si="1279"/>
        <v>0.20015987357173548</v>
      </c>
      <c r="U234" s="108">
        <f t="shared" si="1279"/>
        <v>0.16584851543878712</v>
      </c>
      <c r="V234" s="108">
        <f t="shared" si="1279"/>
        <v>0.16588182137409171</v>
      </c>
      <c r="W234" s="108">
        <f t="shared" si="1279"/>
        <v>0.26644726645479383</v>
      </c>
      <c r="X234" s="108">
        <f t="shared" si="1279"/>
        <v>0.11387599119184959</v>
      </c>
      <c r="Y234" s="108">
        <f t="shared" si="1279"/>
        <v>0</v>
      </c>
      <c r="Z234" s="108">
        <f t="shared" si="1279"/>
        <v>0</v>
      </c>
      <c r="AA234" s="108">
        <f t="shared" si="1279"/>
        <v>0.17595268529291122</v>
      </c>
      <c r="AB234" s="118"/>
      <c r="AC234" s="108">
        <f t="shared" ref="AC234:AO234" si="1280">IFERROR(AC233/AC70,0)</f>
        <v>0.17098343120747167</v>
      </c>
      <c r="AD234" s="108">
        <f t="shared" si="1280"/>
        <v>0.16655661458312909</v>
      </c>
      <c r="AE234" s="108">
        <f t="shared" si="1280"/>
        <v>0.32646134698530754</v>
      </c>
      <c r="AF234" s="108">
        <f t="shared" si="1280"/>
        <v>0.1326277286345241</v>
      </c>
      <c r="AG234" s="108">
        <f t="shared" si="1280"/>
        <v>0.15413608966413803</v>
      </c>
      <c r="AH234" s="108">
        <f t="shared" si="1280"/>
        <v>0.31640903995945718</v>
      </c>
      <c r="AI234" s="108">
        <f t="shared" si="1280"/>
        <v>0.18517381055537074</v>
      </c>
      <c r="AJ234" s="108">
        <f t="shared" si="1280"/>
        <v>0.18347961609134458</v>
      </c>
      <c r="AK234" s="108">
        <f t="shared" si="1280"/>
        <v>0.32747292441081804</v>
      </c>
      <c r="AL234" s="108">
        <f t="shared" si="1280"/>
        <v>0.14356252257534324</v>
      </c>
      <c r="AM234" s="108">
        <f t="shared" si="1280"/>
        <v>0.13693314848157082</v>
      </c>
      <c r="AN234" s="108">
        <f t="shared" si="1280"/>
        <v>0.32213070588458537</v>
      </c>
      <c r="AO234" s="108">
        <f t="shared" si="1280"/>
        <v>0.27839385773642095</v>
      </c>
      <c r="AP234" s="32"/>
      <c r="AQ234" s="108">
        <f t="shared" ref="AQ234" si="1281">IFERROR(AQ233/AQ70,0)</f>
        <v>0.18454045100770522</v>
      </c>
      <c r="AR234" s="108">
        <f t="shared" ref="AR234" si="1282">IFERROR(AR233/AR70,0)</f>
        <v>0.20698973003343182</v>
      </c>
      <c r="AS234" s="108">
        <f t="shared" ref="AS234" si="1283">IFERROR(AS233/AS70,0)</f>
        <v>0.25061304414081481</v>
      </c>
      <c r="AT234" s="108">
        <f t="shared" ref="AT234" si="1284">IFERROR(AT233/AT70,0)</f>
        <v>0.16591357212151084</v>
      </c>
      <c r="AU234" s="108">
        <f t="shared" ref="AU234" si="1285">IFERROR(AU233/AU70,0)</f>
        <v>6.5448347701244969E-2</v>
      </c>
      <c r="AV234" s="108">
        <f t="shared" ref="AV234" si="1286">IFERROR(AV233/AV70,0)</f>
        <v>0.23132653547842646</v>
      </c>
      <c r="AW234" s="108">
        <f t="shared" ref="AW234" si="1287">IFERROR(AW233/AW70,0)</f>
        <v>0.18091853938858646</v>
      </c>
      <c r="AX234" s="108">
        <f t="shared" ref="AX234" si="1288">IFERROR(AX233/AX70,0)</f>
        <v>0.1575173990689773</v>
      </c>
      <c r="AY234" s="108">
        <f t="shared" ref="AY234" si="1289">IFERROR(AY233/AY70,0)</f>
        <v>0.16181565413411841</v>
      </c>
      <c r="AZ234" s="108">
        <f t="shared" ref="AZ234" si="1290">IFERROR(AZ233/AZ70,0)</f>
        <v>6.3204254862663886E-2</v>
      </c>
      <c r="BA234" s="108">
        <f t="shared" ref="BA234" si="1291">IFERROR(BA233/BA70,0)</f>
        <v>0.12494702415109718</v>
      </c>
      <c r="BB234" s="108">
        <f t="shared" ref="BB234" si="1292">IFERROR(BB233/BB70,0)</f>
        <v>0.34756417922342187</v>
      </c>
      <c r="BC234" s="108">
        <f t="shared" ref="BC234" si="1293">IFERROR(BC233/BC70,0)</f>
        <v>0.18162831227340281</v>
      </c>
      <c r="BD234" s="15" t="str">
        <f t="shared" si="961"/>
        <v>% to Sales</v>
      </c>
      <c r="BE234" s="108">
        <f t="shared" ref="BE234:BQ234" si="1294">IFERROR(BE233/BE70,0)</f>
        <v>0.16318214323911756</v>
      </c>
      <c r="BF234" s="108">
        <f t="shared" si="1294"/>
        <v>0.12601259223458383</v>
      </c>
      <c r="BG234" s="108">
        <f t="shared" si="1294"/>
        <v>0.23737924243198527</v>
      </c>
      <c r="BH234" s="108">
        <f t="shared" si="1294"/>
        <v>0.17414032636297877</v>
      </c>
      <c r="BI234" s="108">
        <f t="shared" si="1294"/>
        <v>0.25620989501634311</v>
      </c>
      <c r="BJ234" s="108">
        <f t="shared" si="1294"/>
        <v>0.19845031005963659</v>
      </c>
      <c r="BK234" s="108">
        <f t="shared" si="1294"/>
        <v>0.20159614696231126</v>
      </c>
      <c r="BL234" s="108">
        <f t="shared" si="1294"/>
        <v>0.16526288398507152</v>
      </c>
      <c r="BM234" s="108">
        <f t="shared" si="1294"/>
        <v>0.27144420488408905</v>
      </c>
      <c r="BN234" s="108">
        <f t="shared" si="1294"/>
        <v>0.12048340876998276</v>
      </c>
      <c r="BO234" s="108">
        <f t="shared" si="1294"/>
        <v>0</v>
      </c>
      <c r="BP234" s="108">
        <f t="shared" si="1294"/>
        <v>0</v>
      </c>
      <c r="BQ234" s="108">
        <f t="shared" si="1294"/>
        <v>0.1979778423011527</v>
      </c>
      <c r="BR234" s="118"/>
      <c r="BS234" s="108">
        <f t="shared" ref="BS234" si="1295">IFERROR(BS233/BS70,0)</f>
        <v>0.1839121909988356</v>
      </c>
      <c r="BT234" s="108">
        <f t="shared" ref="BT234" si="1296">IFERROR(BT233/BT70,0)</f>
        <v>0.17938943324813914</v>
      </c>
      <c r="BU234" s="108">
        <f t="shared" ref="BU234" si="1297">IFERROR(BU233/BU70,0)</f>
        <v>0.34431700968663176</v>
      </c>
      <c r="BV234" s="108">
        <f t="shared" ref="BV234" si="1298">IFERROR(BV233/BV70,0)</f>
        <v>0.14639295866604182</v>
      </c>
      <c r="BW234" s="108">
        <f t="shared" ref="BW234" si="1299">IFERROR(BW233/BW70,0)</f>
        <v>0.15904365613428872</v>
      </c>
      <c r="BX234" s="108">
        <f t="shared" ref="BX234" si="1300">IFERROR(BX233/BX70,0)</f>
        <v>0.33365150027311952</v>
      </c>
      <c r="BY234" s="108">
        <f t="shared" ref="BY234" si="1301">IFERROR(BY233/BY70,0)</f>
        <v>0.19685128112409694</v>
      </c>
      <c r="BZ234" s="108">
        <f t="shared" ref="BZ234" si="1302">IFERROR(BZ233/BZ70,0)</f>
        <v>0.19333798712050224</v>
      </c>
      <c r="CA234" s="108">
        <f t="shared" ref="CA234" si="1303">IFERROR(CA233/CA70,0)</f>
        <v>0.34242882137007369</v>
      </c>
      <c r="CB234" s="108">
        <f t="shared" ref="CB234" si="1304">IFERROR(CB233/CB70,0)</f>
        <v>0.1690871543037876</v>
      </c>
      <c r="CC234" s="108">
        <f t="shared" ref="CC234" si="1305">IFERROR(CC233/CC70,0)</f>
        <v>0.14331221736442859</v>
      </c>
      <c r="CD234" s="108">
        <f t="shared" ref="CD234" si="1306">IFERROR(CD233/CD70,0)</f>
        <v>0.33893157404344165</v>
      </c>
      <c r="CE234" s="108">
        <f t="shared" ref="CE234" si="1307">IFERROR(CE233/CE70,0)</f>
        <v>0.22938742664357012</v>
      </c>
      <c r="CF234" s="32"/>
      <c r="CG234" s="108">
        <f t="shared" ref="CG234" si="1308">IFERROR(CG233/CG70,0)</f>
        <v>0.25403222767465117</v>
      </c>
      <c r="CH234" s="108">
        <f t="shared" ref="CH234" si="1309">IFERROR(CH233/CH70,0)</f>
        <v>0.2468222793180686</v>
      </c>
      <c r="CI234" s="108">
        <f t="shared" ref="CI234" si="1310">IFERROR(CI233/CI70,0)</f>
        <v>0.37248018836360158</v>
      </c>
      <c r="CJ234" s="108">
        <f t="shared" ref="CJ234" si="1311">IFERROR(CJ233/CJ70,0)</f>
        <v>0.21528204146130692</v>
      </c>
      <c r="CK234" s="108">
        <f t="shared" ref="CK234" si="1312">IFERROR(CK233/CK70,0)</f>
        <v>0.23906361319112959</v>
      </c>
      <c r="CL234" s="108">
        <f t="shared" ref="CL234" si="1313">IFERROR(CL233/CL70,0)</f>
        <v>0.24226977404154729</v>
      </c>
      <c r="CM234" s="108">
        <f t="shared" ref="CM234" si="1314">IFERROR(CM233/CM70,0)</f>
        <v>0.24444659972129065</v>
      </c>
      <c r="CN234" s="108">
        <f t="shared" ref="CN234" si="1315">IFERROR(CN233/CN70,0)</f>
        <v>0.24669346228961692</v>
      </c>
      <c r="CO234" s="108">
        <f t="shared" ref="CO234" si="1316">IFERROR(CO233/CO70,0)</f>
        <v>0.29132648876189277</v>
      </c>
      <c r="CP234" s="108">
        <f t="shared" ref="CP234" si="1317">IFERROR(CP233/CP70,0)</f>
        <v>0.36300138378007551</v>
      </c>
      <c r="CQ234" s="108">
        <f t="shared" ref="CQ234" si="1318">IFERROR(CQ233/CQ70,0)</f>
        <v>0.27919207230495469</v>
      </c>
      <c r="CR234" s="108">
        <f t="shared" ref="CR234" si="1319">IFERROR(CR233/CR70,0)</f>
        <v>0.32728227576064178</v>
      </c>
      <c r="CS234" s="108">
        <f t="shared" ref="CS234" si="1320">IFERROR(CS233/CS70,0)</f>
        <v>0.27416191740896406</v>
      </c>
      <c r="CT234" s="15" t="str">
        <f t="shared" si="962"/>
        <v>% to Sales</v>
      </c>
      <c r="CU234" s="108">
        <f t="shared" ref="CU234" si="1321">IFERROR(CU233/CU70,0)</f>
        <v>0.21744190493010304</v>
      </c>
      <c r="CV234" s="108">
        <f t="shared" ref="CV234" si="1322">IFERROR(CV233/CV70,0)</f>
        <v>8.0970598310618411E-2</v>
      </c>
      <c r="CW234" s="108">
        <f t="shared" ref="CW234" si="1323">IFERROR(CW233/CW70,0)</f>
        <v>0.27181445147606176</v>
      </c>
      <c r="CX234" s="108">
        <f t="shared" ref="CX234" si="1324">IFERROR(CX233/CX70,0)</f>
        <v>0.19724967899977094</v>
      </c>
      <c r="CY234" s="108">
        <f t="shared" ref="CY234" si="1325">IFERROR(CY233/CY70,0)</f>
        <v>0.20212805781368834</v>
      </c>
      <c r="CZ234" s="108">
        <f t="shared" ref="CZ234" si="1326">IFERROR(CZ233/CZ70,0)</f>
        <v>0.26509822564923896</v>
      </c>
      <c r="DA234" s="108">
        <f t="shared" ref="DA234" si="1327">IFERROR(DA233/DA70,0)</f>
        <v>0.210954218472623</v>
      </c>
      <c r="DB234" s="108">
        <f t="shared" ref="DB234" si="1328">IFERROR(DB233/DB70,0)</f>
        <v>0.24218760404577758</v>
      </c>
      <c r="DC234" s="108">
        <f t="shared" ref="DC234" si="1329">IFERROR(DC233/DC70,0)</f>
        <v>0.31270129661022761</v>
      </c>
      <c r="DD234" s="108">
        <f t="shared" ref="DD234" si="1330">IFERROR(DD233/DD70,0)</f>
        <v>0.15714583490058351</v>
      </c>
      <c r="DE234" s="108">
        <f t="shared" ref="DE234" si="1331">IFERROR(DE233/DE70,0)</f>
        <v>0</v>
      </c>
      <c r="DF234" s="108">
        <f t="shared" ref="DF234" si="1332">IFERROR(DF233/DF70,0)</f>
        <v>0</v>
      </c>
      <c r="DG234" s="108">
        <f t="shared" ref="DG234" si="1333">IFERROR(DG233/DG70,0)</f>
        <v>0.21724763409604753</v>
      </c>
      <c r="DH234" s="118"/>
      <c r="DI234" s="108">
        <f t="shared" ref="DI234" si="1334">IFERROR(DI233/DI70,0)</f>
        <v>0.20356717848152323</v>
      </c>
      <c r="DJ234" s="108">
        <f t="shared" ref="DJ234" si="1335">IFERROR(DJ233/DJ70,0)</f>
        <v>0.2032202303393976</v>
      </c>
      <c r="DK234" s="108">
        <f t="shared" ref="DK234" si="1336">IFERROR(DK233/DK70,0)</f>
        <v>0.35953716653759171</v>
      </c>
      <c r="DL234" s="108">
        <f t="shared" ref="DL234" si="1337">IFERROR(DL233/DL70,0)</f>
        <v>0.16729937823798186</v>
      </c>
      <c r="DM234" s="108">
        <f t="shared" ref="DM234" si="1338">IFERROR(DM233/DM70,0)</f>
        <v>0.18800588914175551</v>
      </c>
      <c r="DN234" s="108">
        <f t="shared" ref="DN234" si="1339">IFERROR(DN233/DN70,0)</f>
        <v>0.34830674943276169</v>
      </c>
      <c r="DO234" s="108">
        <f t="shared" ref="DO234" si="1340">IFERROR(DO233/DO70,0)</f>
        <v>0.20733280077851743</v>
      </c>
      <c r="DP234" s="108">
        <f t="shared" ref="DP234" si="1341">IFERROR(DP233/DP70,0)</f>
        <v>0.20977659566503248</v>
      </c>
      <c r="DQ234" s="108">
        <f t="shared" ref="DQ234" si="1342">IFERROR(DQ233/DQ70,0)</f>
        <v>0.35905200031513762</v>
      </c>
      <c r="DR234" s="108">
        <f t="shared" ref="DR234" si="1343">IFERROR(DR233/DR70,0)</f>
        <v>0.16615857489338259</v>
      </c>
      <c r="DS234" s="108">
        <f t="shared" ref="DS234" si="1344">IFERROR(DS233/DS70,0)</f>
        <v>0.18310712485341518</v>
      </c>
      <c r="DT234" s="108">
        <f t="shared" ref="DT234" si="1345">IFERROR(DT233/DT70,0)</f>
        <v>0.3544667275889708</v>
      </c>
      <c r="DU234" s="108">
        <f t="shared" ref="DU234" si="1346">IFERROR(DU233/DU70,0)</f>
        <v>0.25045274202985252</v>
      </c>
      <c r="DV234" s="32"/>
      <c r="DW234" s="108">
        <f t="shared" ref="DW234" si="1347">IFERROR(DW233/DW70,0)</f>
        <v>0</v>
      </c>
      <c r="DX234" s="108">
        <f t="shared" ref="DX234" si="1348">IFERROR(DX233/DX70,0)</f>
        <v>0</v>
      </c>
      <c r="DY234" s="108">
        <f t="shared" ref="DY234" si="1349">IFERROR(DY233/DY70,0)</f>
        <v>0</v>
      </c>
      <c r="DZ234" s="108">
        <f t="shared" ref="DZ234" si="1350">IFERROR(DZ233/DZ70,0)</f>
        <v>0</v>
      </c>
      <c r="EA234" s="108">
        <f t="shared" ref="EA234" si="1351">IFERROR(EA233/EA70,0)</f>
        <v>0</v>
      </c>
      <c r="EB234" s="108">
        <f t="shared" ref="EB234" si="1352">IFERROR(EB233/EB70,0)</f>
        <v>0</v>
      </c>
      <c r="EC234" s="108">
        <f t="shared" ref="EC234" si="1353">IFERROR(EC233/EC70,0)</f>
        <v>0</v>
      </c>
      <c r="ED234" s="108">
        <f t="shared" ref="ED234" si="1354">IFERROR(ED233/ED70,0)</f>
        <v>0</v>
      </c>
      <c r="EE234" s="108">
        <f t="shared" ref="EE234" si="1355">IFERROR(EE233/EE70,0)</f>
        <v>0</v>
      </c>
      <c r="EF234" s="108">
        <f t="shared" ref="EF234" si="1356">IFERROR(EF233/EF70,0)</f>
        <v>0</v>
      </c>
      <c r="EG234" s="108">
        <f t="shared" ref="EG234" si="1357">IFERROR(EG233/EG70,0)</f>
        <v>0</v>
      </c>
      <c r="EH234" s="108">
        <f t="shared" ref="EH234" si="1358">IFERROR(EH233/EH70,0)</f>
        <v>0</v>
      </c>
      <c r="EI234" s="108">
        <f t="shared" ref="EI234" si="1359">IFERROR(EI233/EI70,0)</f>
        <v>0</v>
      </c>
      <c r="EJ234" s="15" t="str">
        <f t="shared" si="963"/>
        <v>% to Sales</v>
      </c>
      <c r="EK234" s="108">
        <f t="shared" ref="EK234" si="1360">IFERROR(EK233/EK70,0)</f>
        <v>-0.49985536619162535</v>
      </c>
      <c r="EL234" s="108">
        <f t="shared" ref="EL234" si="1361">IFERROR(EL233/EL70,0)</f>
        <v>-0.11127881979440338</v>
      </c>
      <c r="EM234" s="108">
        <f t="shared" ref="EM234" si="1362">IFERROR(EM233/EM70,0)</f>
        <v>-3.4307141827447261E-3</v>
      </c>
      <c r="EN234" s="108">
        <f t="shared" ref="EN234" si="1363">IFERROR(EN233/EN70,0)</f>
        <v>-0.23079663432214556</v>
      </c>
      <c r="EO234" s="108">
        <f t="shared" ref="EO234" si="1364">IFERROR(EO233/EO70,0)</f>
        <v>-0.26658284145154609</v>
      </c>
      <c r="EP234" s="108">
        <f t="shared" ref="EP234" si="1365">IFERROR(EP233/EP70,0)</f>
        <v>8.7378481487585369E-2</v>
      </c>
      <c r="EQ234" s="108">
        <f t="shared" ref="EQ234" si="1366">IFERROR(EQ233/EQ70,0)</f>
        <v>-0.21361282547991389</v>
      </c>
      <c r="ER234" s="108">
        <f t="shared" ref="ER234" si="1367">IFERROR(ER233/ER70,0)</f>
        <v>-2.4924736458983111E-2</v>
      </c>
      <c r="ES234" s="108">
        <f t="shared" ref="ES234" si="1368">IFERROR(ES233/ES70,0)</f>
        <v>9.794630652717834E-2</v>
      </c>
      <c r="ET234" s="108">
        <f t="shared" ref="ET234" si="1369">IFERROR(ET233/ET70,0)</f>
        <v>-3.5957946751244745E-2</v>
      </c>
      <c r="EU234" s="108">
        <f t="shared" ref="EU234" si="1370">IFERROR(EU233/EU70,0)</f>
        <v>0</v>
      </c>
      <c r="EV234" s="108">
        <f t="shared" ref="EV234" si="1371">IFERROR(EV233/EV70,0)</f>
        <v>0</v>
      </c>
      <c r="EW234" s="108">
        <f t="shared" ref="EW234" si="1372">IFERROR(EW233/EW70,0)</f>
        <v>-9.3049210779990163E-2</v>
      </c>
      <c r="EX234" s="118"/>
      <c r="EY234" s="108">
        <f t="shared" ref="EY234" si="1373">IFERROR(EY233/EY70,0)</f>
        <v>2.0316840475597956E-2</v>
      </c>
      <c r="EZ234" s="108">
        <f t="shared" ref="EZ234" si="1374">IFERROR(EZ233/EZ70,0)</f>
        <v>-4.2985931404820399E-3</v>
      </c>
      <c r="FA234" s="108">
        <f t="shared" ref="FA234" si="1375">IFERROR(FA233/FA70,0)</f>
        <v>0.15561782147858785</v>
      </c>
      <c r="FB234" s="108">
        <f t="shared" ref="FB234" si="1376">IFERROR(FB233/FB70,0)</f>
        <v>-8.3114014397172899E-3</v>
      </c>
      <c r="FC234" s="108">
        <f t="shared" ref="FC234" si="1377">IFERROR(FC233/FC70,0)</f>
        <v>5.2935573945423607E-2</v>
      </c>
      <c r="FD234" s="108">
        <f t="shared" ref="FD234" si="1378">IFERROR(FD233/FD70,0)</f>
        <v>0.16350842061571497</v>
      </c>
      <c r="FE234" s="108">
        <f t="shared" ref="FE234" si="1379">IFERROR(FE233/FE70,0)</f>
        <v>8.8895548551767428E-2</v>
      </c>
      <c r="FF234" s="108">
        <f t="shared" ref="FF234" si="1380">IFERROR(FF233/FF70,0)</f>
        <v>7.7547320166014275E-2</v>
      </c>
      <c r="FG234" s="108">
        <f t="shared" ref="FG234" si="1381">IFERROR(FG233/FG70,0)</f>
        <v>0.17824390398610043</v>
      </c>
      <c r="FH234" s="108">
        <f t="shared" ref="FH234" si="1382">IFERROR(FH233/FH70,0)</f>
        <v>-6.3329388843364309E-2</v>
      </c>
      <c r="FI234" s="108">
        <f t="shared" ref="FI234" si="1383">IFERROR(FI233/FI70,0)</f>
        <v>-3.0059918488429874E-2</v>
      </c>
      <c r="FJ234" s="108">
        <f t="shared" ref="FJ234" si="1384">IFERROR(FJ233/FJ70,0)</f>
        <v>0.12801371027402117</v>
      </c>
      <c r="FK234" s="108">
        <f t="shared" ref="FK234" si="1385">IFERROR(FK233/FK70,0)</f>
        <v>6.8237444750738452E-2</v>
      </c>
    </row>
    <row r="235" spans="1:167" ht="14.4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18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  <c r="BB235" s="106"/>
      <c r="BC235" s="106"/>
      <c r="BD235" s="16">
        <f t="shared" si="961"/>
        <v>0</v>
      </c>
      <c r="BE235" s="106"/>
      <c r="BF235" s="106"/>
      <c r="BG235" s="106"/>
      <c r="BH235" s="106"/>
      <c r="BI235" s="106"/>
      <c r="BJ235" s="106"/>
      <c r="BK235" s="106"/>
      <c r="BL235" s="106"/>
      <c r="BM235" s="106"/>
      <c r="BN235" s="106"/>
      <c r="BO235" s="106"/>
      <c r="BP235" s="106"/>
      <c r="BQ235" s="106"/>
      <c r="BR235" s="118"/>
      <c r="BS235" s="106"/>
      <c r="BT235" s="106"/>
      <c r="BU235" s="106"/>
      <c r="BV235" s="106"/>
      <c r="BW235" s="106"/>
      <c r="BX235" s="106"/>
      <c r="BY235" s="106"/>
      <c r="BZ235" s="106"/>
      <c r="CA235" s="106"/>
      <c r="CB235" s="106"/>
      <c r="CC235" s="106"/>
      <c r="CD235" s="106"/>
      <c r="CE235" s="106"/>
      <c r="CF235" s="106"/>
      <c r="CG235" s="106"/>
      <c r="CH235" s="106"/>
      <c r="CI235" s="106"/>
      <c r="CJ235" s="106"/>
      <c r="CK235" s="106"/>
      <c r="CL235" s="106"/>
      <c r="CM235" s="106"/>
      <c r="CN235" s="106"/>
      <c r="CO235" s="106"/>
      <c r="CP235" s="106"/>
      <c r="CQ235" s="106"/>
      <c r="CR235" s="106"/>
      <c r="CS235" s="106"/>
      <c r="CT235" s="16">
        <f t="shared" si="962"/>
        <v>0</v>
      </c>
      <c r="CU235" s="106"/>
      <c r="CV235" s="106"/>
      <c r="CW235" s="106"/>
      <c r="CX235" s="106"/>
      <c r="CY235" s="106"/>
      <c r="CZ235" s="106"/>
      <c r="DA235" s="106"/>
      <c r="DB235" s="106"/>
      <c r="DC235" s="106"/>
      <c r="DD235" s="106"/>
      <c r="DE235" s="106"/>
      <c r="DF235" s="106"/>
      <c r="DG235" s="106"/>
      <c r="DH235" s="118"/>
      <c r="DI235" s="106"/>
      <c r="DJ235" s="106"/>
      <c r="DK235" s="106"/>
      <c r="DL235" s="106"/>
      <c r="DM235" s="106"/>
      <c r="DN235" s="106"/>
      <c r="DO235" s="106"/>
      <c r="DP235" s="106"/>
      <c r="DQ235" s="106"/>
      <c r="DR235" s="106"/>
      <c r="DS235" s="106"/>
      <c r="DT235" s="106"/>
      <c r="DU235" s="106"/>
      <c r="DV235" s="106"/>
      <c r="DW235" s="106"/>
      <c r="DX235" s="106"/>
      <c r="DY235" s="106"/>
      <c r="DZ235" s="106"/>
      <c r="EA235" s="106"/>
      <c r="EB235" s="106"/>
      <c r="EC235" s="106"/>
      <c r="ED235" s="106"/>
      <c r="EE235" s="106"/>
      <c r="EF235" s="106"/>
      <c r="EG235" s="106"/>
      <c r="EH235" s="106"/>
      <c r="EI235" s="106"/>
      <c r="EJ235" s="16">
        <f t="shared" si="963"/>
        <v>0</v>
      </c>
      <c r="EK235" s="106"/>
      <c r="EL235" s="106"/>
      <c r="EM235" s="106"/>
      <c r="EN235" s="106"/>
      <c r="EO235" s="106"/>
      <c r="EP235" s="106"/>
      <c r="EQ235" s="106"/>
      <c r="ER235" s="106"/>
      <c r="ES235" s="106"/>
      <c r="ET235" s="106"/>
      <c r="EU235" s="106"/>
      <c r="EV235" s="106"/>
      <c r="EW235" s="106"/>
      <c r="EX235" s="118"/>
      <c r="EY235" s="106"/>
      <c r="EZ235" s="106"/>
      <c r="FA235" s="106"/>
      <c r="FB235" s="106"/>
      <c r="FC235" s="106"/>
      <c r="FD235" s="106"/>
      <c r="FE235" s="106"/>
      <c r="FF235" s="106"/>
      <c r="FG235" s="106"/>
      <c r="FH235" s="106"/>
      <c r="FI235" s="106"/>
      <c r="FJ235" s="106"/>
      <c r="FK235" s="106"/>
    </row>
    <row r="236" spans="1:167" ht="14.45" customHeight="1">
      <c r="A236" s="58">
        <f t="shared" ref="A236:M236" si="1386">+SUM(A237:A239)</f>
        <v>405868.39600000001</v>
      </c>
      <c r="B236" s="58">
        <f t="shared" si="1386"/>
        <v>383001.16674999997</v>
      </c>
      <c r="C236" s="58">
        <f t="shared" si="1386"/>
        <v>374898.49474999995</v>
      </c>
      <c r="D236" s="58">
        <f t="shared" si="1386"/>
        <v>695238.25050000008</v>
      </c>
      <c r="E236" s="58">
        <f t="shared" si="1386"/>
        <v>684619.71325000003</v>
      </c>
      <c r="F236" s="58">
        <f t="shared" si="1386"/>
        <v>657753.97825000004</v>
      </c>
      <c r="G236" s="58">
        <f t="shared" si="1386"/>
        <v>671537.19374999998</v>
      </c>
      <c r="H236" s="58">
        <f t="shared" si="1386"/>
        <v>652603.27150000003</v>
      </c>
      <c r="I236" s="58">
        <f t="shared" si="1386"/>
        <v>806153.08299999998</v>
      </c>
      <c r="J236" s="58">
        <f t="shared" si="1386"/>
        <v>797064.93924999994</v>
      </c>
      <c r="K236" s="58">
        <f t="shared" si="1386"/>
        <v>772055.91225000005</v>
      </c>
      <c r="L236" s="58">
        <f t="shared" si="1386"/>
        <v>762287.87324999995</v>
      </c>
      <c r="M236" s="58">
        <f t="shared" si="1386"/>
        <v>7663082.2725</v>
      </c>
      <c r="N236" s="17" t="s">
        <v>195</v>
      </c>
      <c r="O236" s="58">
        <f t="shared" ref="O236:AA236" si="1387">+SUM(O237:O239)</f>
        <v>745019.07400000002</v>
      </c>
      <c r="P236" s="58">
        <f t="shared" si="1387"/>
        <v>705277.85375000001</v>
      </c>
      <c r="Q236" s="58">
        <f t="shared" si="1387"/>
        <v>656663.26474999997</v>
      </c>
      <c r="R236" s="58">
        <f t="shared" si="1387"/>
        <v>688479.79799999995</v>
      </c>
      <c r="S236" s="58">
        <f t="shared" si="1387"/>
        <v>663450.02974999999</v>
      </c>
      <c r="T236" s="58">
        <f t="shared" si="1387"/>
        <v>611289.99025000003</v>
      </c>
      <c r="U236" s="58">
        <f t="shared" si="1387"/>
        <v>745943.08499999996</v>
      </c>
      <c r="V236" s="58">
        <f t="shared" si="1387"/>
        <v>717615.02899999998</v>
      </c>
      <c r="W236" s="58">
        <f t="shared" si="1387"/>
        <v>701540.01425000001</v>
      </c>
      <c r="X236" s="58">
        <f t="shared" si="1387"/>
        <v>679001.20525</v>
      </c>
      <c r="Y236" s="58">
        <f t="shared" si="1387"/>
        <v>0</v>
      </c>
      <c r="Z236" s="58">
        <f t="shared" si="1387"/>
        <v>0</v>
      </c>
      <c r="AA236" s="58">
        <f t="shared" si="1387"/>
        <v>6914279.3440000005</v>
      </c>
      <c r="AB236" s="118"/>
      <c r="AC236" s="58">
        <f t="shared" ref="AC236:AO236" si="1388">+SUM(AC237:AC239)</f>
        <v>756730.51562945824</v>
      </c>
      <c r="AD236" s="58">
        <f t="shared" si="1388"/>
        <v>716784.59524712269</v>
      </c>
      <c r="AE236" s="58">
        <f t="shared" si="1388"/>
        <v>721648.58598917071</v>
      </c>
      <c r="AF236" s="58">
        <f t="shared" si="1388"/>
        <v>696646.74435712257</v>
      </c>
      <c r="AG236" s="58">
        <f t="shared" si="1388"/>
        <v>686133.03634888283</v>
      </c>
      <c r="AH236" s="58">
        <f t="shared" si="1388"/>
        <v>661097.29309232812</v>
      </c>
      <c r="AI236" s="58">
        <f t="shared" si="1388"/>
        <v>650175.21670859517</v>
      </c>
      <c r="AJ236" s="58">
        <f t="shared" si="1388"/>
        <v>632028.15188845131</v>
      </c>
      <c r="AK236" s="58">
        <f t="shared" si="1388"/>
        <v>606938.23619513633</v>
      </c>
      <c r="AL236" s="58">
        <f t="shared" si="1388"/>
        <v>595395.70224816375</v>
      </c>
      <c r="AM236" s="58">
        <f t="shared" si="1388"/>
        <v>570264.02493034187</v>
      </c>
      <c r="AN236" s="58">
        <f t="shared" si="1388"/>
        <v>558305.24260787596</v>
      </c>
      <c r="AO236" s="58">
        <f t="shared" si="1388"/>
        <v>7852147.3452426502</v>
      </c>
      <c r="AP236" s="106"/>
      <c r="AQ236" s="58">
        <f t="shared" ref="AQ236" si="1389">+SUM(AQ237:AQ239)</f>
        <v>149017.06719999999</v>
      </c>
      <c r="AR236" s="58">
        <f t="shared" ref="AR236" si="1390">+SUM(AR237:AR239)</f>
        <v>145066.39610000001</v>
      </c>
      <c r="AS236" s="58">
        <f t="shared" ref="AS236" si="1391">+SUM(AS237:AS239)</f>
        <v>138257.24569999997</v>
      </c>
      <c r="AT236" s="58">
        <f t="shared" ref="AT236" si="1392">+SUM(AT237:AT239)</f>
        <v>328545.47659999999</v>
      </c>
      <c r="AU236" s="58">
        <f t="shared" ref="AU236" si="1393">+SUM(AU237:AU239)</f>
        <v>323196.01990000001</v>
      </c>
      <c r="AV236" s="58">
        <f t="shared" ref="AV236" si="1394">+SUM(AV237:AV239)</f>
        <v>313621.61790000001</v>
      </c>
      <c r="AW236" s="58">
        <f t="shared" ref="AW236" si="1395">+SUM(AW237:AW239)</f>
        <v>437795.9325</v>
      </c>
      <c r="AX236" s="58">
        <f t="shared" ref="AX236" si="1396">+SUM(AX237:AX239)</f>
        <v>428789.69379999995</v>
      </c>
      <c r="AY236" s="58">
        <f t="shared" ref="AY236" si="1397">+SUM(AY237:AY239)</f>
        <v>592071.51560000004</v>
      </c>
      <c r="AZ236" s="58">
        <f t="shared" ref="AZ236" si="1398">+SUM(AZ237:AZ239)</f>
        <v>580867.04310000001</v>
      </c>
      <c r="BA236" s="58">
        <f t="shared" ref="BA236" si="1399">+SUM(BA237:BA239)</f>
        <v>384246.1067</v>
      </c>
      <c r="BB236" s="58">
        <f t="shared" ref="BB236" si="1400">+SUM(BB237:BB239)</f>
        <v>376788.93189999997</v>
      </c>
      <c r="BC236" s="58">
        <f t="shared" ref="BC236" si="1401">+SUM(BC237:BC239)</f>
        <v>4198263.0470000003</v>
      </c>
      <c r="BD236" s="17" t="str">
        <f t="shared" si="961"/>
        <v xml:space="preserve">Finance Charge </v>
      </c>
      <c r="BE236" s="58">
        <f t="shared" ref="BE236:BQ236" si="1402">+SUM(BE237:BE239)</f>
        <v>367353.5368</v>
      </c>
      <c r="BF236" s="58">
        <f t="shared" si="1402"/>
        <v>521038.04450000002</v>
      </c>
      <c r="BG236" s="58">
        <f t="shared" si="1402"/>
        <v>323401.36969999998</v>
      </c>
      <c r="BH236" s="58">
        <f t="shared" si="1402"/>
        <v>336077.2536</v>
      </c>
      <c r="BI236" s="58">
        <f t="shared" si="1402"/>
        <v>324473.8077</v>
      </c>
      <c r="BJ236" s="58">
        <f t="shared" si="1402"/>
        <v>450629.17629999999</v>
      </c>
      <c r="BK236" s="58">
        <f t="shared" si="1402"/>
        <v>382037.42200000002</v>
      </c>
      <c r="BL236" s="58">
        <f t="shared" si="1402"/>
        <v>368020.44280000002</v>
      </c>
      <c r="BM236" s="58">
        <f t="shared" si="1402"/>
        <v>357126.73310000001</v>
      </c>
      <c r="BN236" s="58">
        <f t="shared" si="1402"/>
        <v>344511.59430000006</v>
      </c>
      <c r="BO236" s="58">
        <f t="shared" si="1402"/>
        <v>0</v>
      </c>
      <c r="BP236" s="58">
        <f t="shared" si="1402"/>
        <v>0</v>
      </c>
      <c r="BQ236" s="58">
        <f t="shared" si="1402"/>
        <v>3774669.3807999999</v>
      </c>
      <c r="BR236" s="118"/>
      <c r="BS236" s="58">
        <f t="shared" ref="BS236" si="1403">+SUM(BS237:BS239)</f>
        <v>373869.56792762445</v>
      </c>
      <c r="BT236" s="58">
        <f t="shared" ref="BT236" si="1404">+SUM(BT237:BT239)</f>
        <v>358554.23747572582</v>
      </c>
      <c r="BU236" s="58">
        <f t="shared" ref="BU236" si="1405">+SUM(BU237:BU239)</f>
        <v>354799.88519719709</v>
      </c>
      <c r="BV236" s="58">
        <f t="shared" ref="BV236" si="1406">+SUM(BV237:BV239)</f>
        <v>343278.82512772578</v>
      </c>
      <c r="BW236" s="58">
        <f t="shared" ref="BW236" si="1407">+SUM(BW237:BW239)</f>
        <v>335470.03046676965</v>
      </c>
      <c r="BX236" s="58">
        <f t="shared" ref="BX236" si="1408">+SUM(BX237:BX239)</f>
        <v>323864.77538860257</v>
      </c>
      <c r="BY236" s="58">
        <f t="shared" ref="BY236" si="1409">+SUM(BY237:BY239)</f>
        <v>315874.8137363423</v>
      </c>
      <c r="BZ236" s="58">
        <f t="shared" ref="BZ236" si="1410">+SUM(BZ237:BZ239)</f>
        <v>305976.31237112859</v>
      </c>
      <c r="CA236" s="58">
        <f t="shared" ref="CA236" si="1411">+SUM(CA237:CA239)</f>
        <v>294242.77277991764</v>
      </c>
      <c r="CB236" s="58">
        <f t="shared" ref="CB236" si="1412">+SUM(CB237:CB239)</f>
        <v>285976.31764070119</v>
      </c>
      <c r="CC236" s="58">
        <f t="shared" ref="CC236" si="1413">+SUM(CC237:CC239)</f>
        <v>274153.86704079434</v>
      </c>
      <c r="CD236" s="58">
        <f t="shared" ref="CD236" si="1414">+SUM(CD237:CD239)</f>
        <v>265701.51691027376</v>
      </c>
      <c r="CE236" s="58">
        <f t="shared" ref="CE236" si="1415">+SUM(CE237:CE239)</f>
        <v>3831762.922062804</v>
      </c>
      <c r="CF236" s="106"/>
      <c r="CG236" s="58">
        <f t="shared" ref="CG236" si="1416">+SUM(CG237:CG239)</f>
        <v>256851.32880000002</v>
      </c>
      <c r="CH236" s="58">
        <f t="shared" ref="CH236" si="1417">+SUM(CH237:CH239)</f>
        <v>237934.77065000002</v>
      </c>
      <c r="CI236" s="58">
        <f t="shared" ref="CI236" si="1418">+SUM(CI237:CI239)</f>
        <v>236641.24904999998</v>
      </c>
      <c r="CJ236" s="58">
        <f t="shared" ref="CJ236" si="1419">+SUM(CJ237:CJ239)</f>
        <v>366692.77390000003</v>
      </c>
      <c r="CK236" s="58">
        <f t="shared" ref="CK236" si="1420">+SUM(CK237:CK239)</f>
        <v>361423.69335000002</v>
      </c>
      <c r="CL236" s="58">
        <f t="shared" ref="CL236" si="1421">+SUM(CL237:CL239)</f>
        <v>344132.36035000003</v>
      </c>
      <c r="CM236" s="58">
        <f t="shared" ref="CM236" si="1422">+SUM(CM237:CM239)</f>
        <v>233741.26124999998</v>
      </c>
      <c r="CN236" s="58">
        <f t="shared" ref="CN236" si="1423">+SUM(CN237:CN239)</f>
        <v>223813.57769999999</v>
      </c>
      <c r="CO236" s="58">
        <f t="shared" ref="CO236" si="1424">+SUM(CO237:CO239)</f>
        <v>214081.5674</v>
      </c>
      <c r="CP236" s="58">
        <f t="shared" ref="CP236" si="1425">+SUM(CP237:CP239)</f>
        <v>216197.89614999999</v>
      </c>
      <c r="CQ236" s="58">
        <f t="shared" ref="CQ236" si="1426">+SUM(CQ237:CQ239)</f>
        <v>387809.80555000005</v>
      </c>
      <c r="CR236" s="58">
        <f t="shared" ref="CR236" si="1427">+SUM(CR237:CR239)</f>
        <v>385498.94135000004</v>
      </c>
      <c r="CS236" s="58">
        <f t="shared" ref="CS236" si="1428">+SUM(CS237:CS239)</f>
        <v>3464819.2255000002</v>
      </c>
      <c r="CT236" s="17" t="str">
        <f t="shared" si="962"/>
        <v xml:space="preserve">Finance Charge </v>
      </c>
      <c r="CU236" s="58">
        <f t="shared" ref="CU236" si="1429">+SUM(CU237:CU239)</f>
        <v>377665.53720000002</v>
      </c>
      <c r="CV236" s="58">
        <f t="shared" ref="CV236" si="1430">+SUM(CV237:CV239)</f>
        <v>184239.80924999999</v>
      </c>
      <c r="CW236" s="58">
        <f t="shared" ref="CW236" si="1431">+SUM(CW237:CW239)</f>
        <v>333261.89505000005</v>
      </c>
      <c r="CX236" s="58">
        <f t="shared" ref="CX236" si="1432">+SUM(CX237:CX239)</f>
        <v>352402.54440000007</v>
      </c>
      <c r="CY236" s="58">
        <f t="shared" ref="CY236" si="1433">+SUM(CY237:CY239)</f>
        <v>338976.22204999998</v>
      </c>
      <c r="CZ236" s="58">
        <f t="shared" ref="CZ236" si="1434">+SUM(CZ237:CZ239)</f>
        <v>160660.81394999998</v>
      </c>
      <c r="DA236" s="58">
        <f t="shared" ref="DA236" si="1435">+SUM(DA237:DA239)</f>
        <v>363905.663</v>
      </c>
      <c r="DB236" s="58">
        <f t="shared" ref="DB236" si="1436">+SUM(DB237:DB239)</f>
        <v>349594.58620000002</v>
      </c>
      <c r="DC236" s="58">
        <f t="shared" ref="DC236" si="1437">+SUM(DC237:DC239)</f>
        <v>344413.28115</v>
      </c>
      <c r="DD236" s="58">
        <f t="shared" ref="DD236" si="1438">+SUM(DD237:DD239)</f>
        <v>334489.61095</v>
      </c>
      <c r="DE236" s="58">
        <f t="shared" ref="DE236" si="1439">+SUM(DE237:DE239)</f>
        <v>0</v>
      </c>
      <c r="DF236" s="58">
        <f t="shared" ref="DF236" si="1440">+SUM(DF237:DF239)</f>
        <v>0</v>
      </c>
      <c r="DG236" s="58">
        <f t="shared" ref="DG236" si="1441">+SUM(DG237:DG239)</f>
        <v>3139609.9632000006</v>
      </c>
      <c r="DH236" s="118"/>
      <c r="DI236" s="58">
        <f t="shared" ref="DI236" si="1442">+SUM(DI237:DI239)</f>
        <v>382860.94770183379</v>
      </c>
      <c r="DJ236" s="58">
        <f t="shared" ref="DJ236" si="1443">+SUM(DJ237:DJ239)</f>
        <v>358230.35777139687</v>
      </c>
      <c r="DK236" s="58">
        <f t="shared" ref="DK236" si="1444">+SUM(DK237:DK239)</f>
        <v>366848.70079197356</v>
      </c>
      <c r="DL236" s="58">
        <f t="shared" ref="DL236" si="1445">+SUM(DL237:DL239)</f>
        <v>353367.91922939679</v>
      </c>
      <c r="DM236" s="58">
        <f t="shared" ref="DM236" si="1446">+SUM(DM237:DM239)</f>
        <v>350663.00588211318</v>
      </c>
      <c r="DN236" s="58">
        <f t="shared" ref="DN236" si="1447">+SUM(DN237:DN239)</f>
        <v>337232.51770372555</v>
      </c>
      <c r="DO236" s="58">
        <f t="shared" ref="DO236" si="1448">+SUM(DO237:DO239)</f>
        <v>334300.40297225292</v>
      </c>
      <c r="DP236" s="58">
        <f t="shared" ref="DP236" si="1449">+SUM(DP237:DP239)</f>
        <v>326051.83951732278</v>
      </c>
      <c r="DQ236" s="58">
        <f t="shared" ref="DQ236" si="1450">+SUM(DQ237:DQ239)</f>
        <v>312695.46341521869</v>
      </c>
      <c r="DR236" s="58">
        <f t="shared" ref="DR236" si="1451">+SUM(DR237:DR239)</f>
        <v>309419.38460746256</v>
      </c>
      <c r="DS236" s="58">
        <f t="shared" ref="DS236" si="1452">+SUM(DS237:DS239)</f>
        <v>296110.15788954747</v>
      </c>
      <c r="DT236" s="58">
        <f t="shared" ref="DT236" si="1453">+SUM(DT237:DT239)</f>
        <v>292603.72569760226</v>
      </c>
      <c r="DU236" s="58">
        <f t="shared" ref="DU236" si="1454">+SUM(DU237:DU239)</f>
        <v>4020384.4231798463</v>
      </c>
      <c r="DV236" s="106"/>
      <c r="DW236" s="58">
        <f t="shared" ref="DW236" si="1455">+SUM(DW237:DW239)</f>
        <v>0</v>
      </c>
      <c r="DX236" s="58">
        <f t="shared" ref="DX236" si="1456">+SUM(DX237:DX239)</f>
        <v>0</v>
      </c>
      <c r="DY236" s="58">
        <f t="shared" ref="DY236" si="1457">+SUM(DY237:DY239)</f>
        <v>0</v>
      </c>
      <c r="DZ236" s="58">
        <f t="shared" ref="DZ236" si="1458">+SUM(DZ237:DZ239)</f>
        <v>0</v>
      </c>
      <c r="EA236" s="58">
        <f t="shared" ref="EA236" si="1459">+SUM(EA237:EA239)</f>
        <v>0</v>
      </c>
      <c r="EB236" s="58">
        <f t="shared" ref="EB236" si="1460">+SUM(EB237:EB239)</f>
        <v>0</v>
      </c>
      <c r="EC236" s="58">
        <f t="shared" ref="EC236" si="1461">+SUM(EC237:EC239)</f>
        <v>0</v>
      </c>
      <c r="ED236" s="58">
        <f t="shared" ref="ED236" si="1462">+SUM(ED237:ED239)</f>
        <v>0</v>
      </c>
      <c r="EE236" s="58">
        <f t="shared" ref="EE236" si="1463">+SUM(EE237:EE239)</f>
        <v>0</v>
      </c>
      <c r="EF236" s="58">
        <f t="shared" ref="EF236" si="1464">+SUM(EF237:EF239)</f>
        <v>0</v>
      </c>
      <c r="EG236" s="58">
        <f t="shared" ref="EG236" si="1465">+SUM(EG237:EG239)</f>
        <v>0</v>
      </c>
      <c r="EH236" s="58">
        <f t="shared" ref="EH236" si="1466">+SUM(EH237:EH239)</f>
        <v>0</v>
      </c>
      <c r="EI236" s="58">
        <f t="shared" ref="EI236" si="1467">+SUM(EI237:EI239)</f>
        <v>0</v>
      </c>
      <c r="EJ236" s="17" t="str">
        <f t="shared" si="963"/>
        <v xml:space="preserve">Finance Charge </v>
      </c>
      <c r="EK236" s="58">
        <f t="shared" ref="EK236" si="1468">+SUM(EK237:EK239)</f>
        <v>0</v>
      </c>
      <c r="EL236" s="58">
        <f t="shared" ref="EL236" si="1469">+SUM(EL237:EL239)</f>
        <v>0</v>
      </c>
      <c r="EM236" s="58">
        <f t="shared" ref="EM236" si="1470">+SUM(EM237:EM239)</f>
        <v>0</v>
      </c>
      <c r="EN236" s="58">
        <f t="shared" ref="EN236" si="1471">+SUM(EN237:EN239)</f>
        <v>0</v>
      </c>
      <c r="EO236" s="58">
        <f t="shared" ref="EO236" si="1472">+SUM(EO237:EO239)</f>
        <v>0</v>
      </c>
      <c r="EP236" s="58">
        <f t="shared" ref="EP236" si="1473">+SUM(EP237:EP239)</f>
        <v>0</v>
      </c>
      <c r="EQ236" s="58">
        <f t="shared" ref="EQ236" si="1474">+SUM(EQ237:EQ239)</f>
        <v>0</v>
      </c>
      <c r="ER236" s="58">
        <f t="shared" ref="ER236" si="1475">+SUM(ER237:ER239)</f>
        <v>0</v>
      </c>
      <c r="ES236" s="58">
        <f t="shared" ref="ES236" si="1476">+SUM(ES237:ES239)</f>
        <v>0</v>
      </c>
      <c r="ET236" s="58">
        <f t="shared" ref="ET236" si="1477">+SUM(ET237:ET239)</f>
        <v>0</v>
      </c>
      <c r="EU236" s="58">
        <f t="shared" ref="EU236" si="1478">+SUM(EU237:EU239)</f>
        <v>0</v>
      </c>
      <c r="EV236" s="58">
        <f t="shared" ref="EV236" si="1479">+SUM(EV237:EV239)</f>
        <v>0</v>
      </c>
      <c r="EW236" s="58">
        <f t="shared" ref="EW236" si="1480">+SUM(EW237:EW239)</f>
        <v>0</v>
      </c>
      <c r="EX236" s="118"/>
      <c r="EY236" s="58">
        <f t="shared" ref="EY236" si="1481">+SUM(EY237:EY239)</f>
        <v>0</v>
      </c>
      <c r="EZ236" s="58">
        <f t="shared" ref="EZ236" si="1482">+SUM(EZ237:EZ239)</f>
        <v>0</v>
      </c>
      <c r="FA236" s="58">
        <f t="shared" ref="FA236" si="1483">+SUM(FA237:FA239)</f>
        <v>0</v>
      </c>
      <c r="FB236" s="58">
        <f t="shared" ref="FB236" si="1484">+SUM(FB237:FB239)</f>
        <v>0</v>
      </c>
      <c r="FC236" s="58">
        <f t="shared" ref="FC236" si="1485">+SUM(FC237:FC239)</f>
        <v>0</v>
      </c>
      <c r="FD236" s="58">
        <f t="shared" ref="FD236" si="1486">+SUM(FD237:FD239)</f>
        <v>0</v>
      </c>
      <c r="FE236" s="58">
        <f t="shared" ref="FE236" si="1487">+SUM(FE237:FE239)</f>
        <v>0</v>
      </c>
      <c r="FF236" s="58">
        <f t="shared" ref="FF236" si="1488">+SUM(FF237:FF239)</f>
        <v>0</v>
      </c>
      <c r="FG236" s="58">
        <f t="shared" ref="FG236" si="1489">+SUM(FG237:FG239)</f>
        <v>0</v>
      </c>
      <c r="FH236" s="58">
        <f t="shared" ref="FH236" si="1490">+SUM(FH237:FH239)</f>
        <v>0</v>
      </c>
      <c r="FI236" s="58">
        <f t="shared" ref="FI236" si="1491">+SUM(FI237:FI239)</f>
        <v>0</v>
      </c>
      <c r="FJ236" s="58">
        <f t="shared" ref="FJ236" si="1492">+SUM(FJ237:FJ239)</f>
        <v>0</v>
      </c>
      <c r="FK236" s="58">
        <f t="shared" ref="FK236" si="1493">+SUM(FK237:FK239)</f>
        <v>0</v>
      </c>
    </row>
    <row r="237" spans="1:167" ht="14.45" hidden="1" customHeight="1" outlineLevel="1">
      <c r="A237" s="106">
        <f t="shared" ref="A237:L239" si="1494">+AQ237+CG237+DW237</f>
        <v>0</v>
      </c>
      <c r="B237" s="106">
        <f t="shared" si="1494"/>
        <v>9774</v>
      </c>
      <c r="C237" s="106">
        <f t="shared" si="1494"/>
        <v>0</v>
      </c>
      <c r="D237" s="106">
        <f t="shared" si="1494"/>
        <v>318790</v>
      </c>
      <c r="E237" s="106">
        <f t="shared" si="1494"/>
        <v>315261</v>
      </c>
      <c r="F237" s="106">
        <f t="shared" si="1494"/>
        <v>311704</v>
      </c>
      <c r="G237" s="106">
        <f t="shared" si="1494"/>
        <v>308119</v>
      </c>
      <c r="H237" s="106">
        <f t="shared" si="1494"/>
        <v>304506</v>
      </c>
      <c r="I237" s="106">
        <f t="shared" si="1494"/>
        <v>473127</v>
      </c>
      <c r="J237" s="106">
        <f t="shared" si="1494"/>
        <v>463138</v>
      </c>
      <c r="K237" s="106">
        <f t="shared" si="1494"/>
        <v>453075</v>
      </c>
      <c r="L237" s="106">
        <f t="shared" si="1494"/>
        <v>442936</v>
      </c>
      <c r="M237" s="106">
        <f t="shared" ref="M237:M239" si="1495">+SUM(A237:L237)</f>
        <v>3400430</v>
      </c>
      <c r="N237" s="21" t="s">
        <v>196</v>
      </c>
      <c r="O237" s="106">
        <f t="shared" ref="O237:Z239" si="1496">+BE237+CU237+EK237</f>
        <v>432722</v>
      </c>
      <c r="P237" s="106">
        <f t="shared" si="1496"/>
        <v>422432</v>
      </c>
      <c r="Q237" s="106">
        <f t="shared" si="1496"/>
        <v>412065</v>
      </c>
      <c r="R237" s="106">
        <f t="shared" si="1496"/>
        <v>401621</v>
      </c>
      <c r="S237" s="106">
        <f t="shared" si="1496"/>
        <v>391100</v>
      </c>
      <c r="T237" s="106">
        <f t="shared" si="1496"/>
        <v>380501</v>
      </c>
      <c r="U237" s="106">
        <f t="shared" si="1496"/>
        <v>501773</v>
      </c>
      <c r="V237" s="106">
        <f t="shared" si="1496"/>
        <v>486746</v>
      </c>
      <c r="W237" s="106">
        <f t="shared" si="1496"/>
        <v>471610</v>
      </c>
      <c r="X237" s="106">
        <f t="shared" si="1496"/>
        <v>456367</v>
      </c>
      <c r="Y237" s="106">
        <f t="shared" si="1496"/>
        <v>0</v>
      </c>
      <c r="Z237" s="106">
        <f t="shared" si="1496"/>
        <v>0</v>
      </c>
      <c r="AA237" s="106">
        <f t="shared" ref="AA237:AA239" si="1497">+SUM(O237:Z237)</f>
        <v>4356937</v>
      </c>
      <c r="AB237" s="118"/>
      <c r="AC237" s="106">
        <f t="shared" ref="AC237:AN239" si="1498">+BS237+DI237+EY237</f>
        <v>442936.16999999993</v>
      </c>
      <c r="AD237" s="106">
        <f t="shared" si="1498"/>
        <v>432722.20999999996</v>
      </c>
      <c r="AE237" s="106">
        <f t="shared" si="1498"/>
        <v>422432.15</v>
      </c>
      <c r="AF237" s="106">
        <f t="shared" si="1498"/>
        <v>412065.43999999994</v>
      </c>
      <c r="AG237" s="106">
        <f t="shared" si="1498"/>
        <v>401621.51</v>
      </c>
      <c r="AH237" s="106">
        <f t="shared" si="1498"/>
        <v>391099.74</v>
      </c>
      <c r="AI237" s="106">
        <f t="shared" si="1498"/>
        <v>380499.6</v>
      </c>
      <c r="AJ237" s="106">
        <f t="shared" si="1498"/>
        <v>369820.49</v>
      </c>
      <c r="AK237" s="106">
        <f t="shared" si="1498"/>
        <v>359061.81</v>
      </c>
      <c r="AL237" s="106">
        <f t="shared" si="1498"/>
        <v>348222.95</v>
      </c>
      <c r="AM237" s="106">
        <f t="shared" si="1498"/>
        <v>337303.35000000003</v>
      </c>
      <c r="AN237" s="106">
        <f t="shared" si="1498"/>
        <v>326302.39999999997</v>
      </c>
      <c r="AO237" s="106">
        <f t="shared" ref="AO237:AO239" si="1499">+SUM(AC237:AN237)</f>
        <v>4624087.82</v>
      </c>
      <c r="AP237" s="106"/>
      <c r="AQ237" s="106">
        <f>+PMGR!AQ237+BP!AQ237</f>
        <v>0</v>
      </c>
      <c r="AR237" s="106">
        <f>+PMGR!AR237+BP!AR237</f>
        <v>5864.4</v>
      </c>
      <c r="AS237" s="106">
        <f>+PMGR!AS237+BP!AS237</f>
        <v>0</v>
      </c>
      <c r="AT237" s="106">
        <f>+PMGR!AT237+BP!AT237</f>
        <v>191274</v>
      </c>
      <c r="AU237" s="106">
        <f>+PMGR!AU237+BP!AU237</f>
        <v>189156.6</v>
      </c>
      <c r="AV237" s="106">
        <f>+PMGR!AV237+BP!AV237</f>
        <v>187022.4</v>
      </c>
      <c r="AW237" s="106">
        <f>+PMGR!AW237+BP!AW237</f>
        <v>308119</v>
      </c>
      <c r="AX237" s="106">
        <f>+PMGR!AX237+BP!AX237</f>
        <v>304506</v>
      </c>
      <c r="AY237" s="106">
        <f>+PMGR!AY237+BP!AY237</f>
        <v>473127</v>
      </c>
      <c r="AZ237" s="106">
        <f>+PMGR!AZ237+BP!AZ237</f>
        <v>463138</v>
      </c>
      <c r="BA237" s="106">
        <f>+PMGR!BA237+BP!BA237</f>
        <v>271845</v>
      </c>
      <c r="BB237" s="106">
        <f>+PMGR!BB237+BP!BB237</f>
        <v>265761.59999999998</v>
      </c>
      <c r="BC237" s="106">
        <f t="shared" ref="BC237:BC239" si="1500">+SUM(AQ237:BB237)</f>
        <v>2659814</v>
      </c>
      <c r="BD237" s="21" t="s">
        <v>196</v>
      </c>
      <c r="BE237" s="106">
        <f>+PMGR!BE237+BP!BE237</f>
        <v>259633.19999999998</v>
      </c>
      <c r="BF237" s="106">
        <f>+PMGR!BF237+BP!BF237</f>
        <v>422432</v>
      </c>
      <c r="BG237" s="106">
        <f>+PMGR!BG237+BP!BG237</f>
        <v>247239</v>
      </c>
      <c r="BH237" s="106">
        <f>+PMGR!BH237+BP!BH237</f>
        <v>240972.59999999998</v>
      </c>
      <c r="BI237" s="106">
        <f>+PMGR!BI237+BP!BI237</f>
        <v>234660</v>
      </c>
      <c r="BJ237" s="106">
        <f>+PMGR!BJ237+BP!BJ237</f>
        <v>380501</v>
      </c>
      <c r="BK237" s="106">
        <f>+PMGR!BK237+BP!BK237</f>
        <v>301063.8</v>
      </c>
      <c r="BL237" s="106">
        <f>+PMGR!BL237+BP!BL237</f>
        <v>292047.59999999998</v>
      </c>
      <c r="BM237" s="106">
        <f>+PMGR!BM237+BP!BM237</f>
        <v>282966</v>
      </c>
      <c r="BN237" s="106">
        <f>+PMGR!BN237+BP!BN237</f>
        <v>273820.2</v>
      </c>
      <c r="BO237" s="106">
        <f>+PMGR!BO237+BP!BO237</f>
        <v>0</v>
      </c>
      <c r="BP237" s="106">
        <f>+PMGR!BP237+BP!BP237</f>
        <v>0</v>
      </c>
      <c r="BQ237" s="106">
        <f t="shared" ref="BQ237:BQ239" si="1501">+SUM(BE237:BP237)</f>
        <v>2935335.4</v>
      </c>
      <c r="BR237" s="118"/>
      <c r="BS237" s="106">
        <f>+PMGR!BS237+BP!BS237</f>
        <v>265761.70199999993</v>
      </c>
      <c r="BT237" s="106">
        <f>+PMGR!BT237+BP!BT237</f>
        <v>259633.32599999997</v>
      </c>
      <c r="BU237" s="106">
        <f>+PMGR!BU237+BP!BU237</f>
        <v>253459.29</v>
      </c>
      <c r="BV237" s="106">
        <f>+PMGR!BV237+BP!BV237</f>
        <v>247239.26399999997</v>
      </c>
      <c r="BW237" s="106">
        <f>+PMGR!BW237+BP!BW237</f>
        <v>240972.90599999999</v>
      </c>
      <c r="BX237" s="106">
        <f>+PMGR!BX237+BP!BX237</f>
        <v>234659.84399999998</v>
      </c>
      <c r="BY237" s="106">
        <f>+PMGR!BY237+BP!BY237</f>
        <v>228299.75999999998</v>
      </c>
      <c r="BZ237" s="106">
        <f>+PMGR!BZ237+BP!BZ237</f>
        <v>221892.29399999999</v>
      </c>
      <c r="CA237" s="106">
        <f>+PMGR!CA237+BP!CA237</f>
        <v>215437.08599999998</v>
      </c>
      <c r="CB237" s="106">
        <f>+PMGR!CB237+BP!CB237</f>
        <v>208933.77</v>
      </c>
      <c r="CC237" s="106">
        <f>+PMGR!CC237+BP!CC237</f>
        <v>202382.01</v>
      </c>
      <c r="CD237" s="106">
        <f>+PMGR!CD237+BP!CD237</f>
        <v>195781.43999999997</v>
      </c>
      <c r="CE237" s="106">
        <f t="shared" ref="CE237:CE239" si="1502">+SUM(BS237:CD237)</f>
        <v>2774452.6920000003</v>
      </c>
      <c r="CF237" s="106"/>
      <c r="CG237" s="106">
        <f>+PMGR!CG237+BP!CG237</f>
        <v>0</v>
      </c>
      <c r="CH237" s="106">
        <f>+PMGR!CH237+BP!CH237</f>
        <v>3909.6</v>
      </c>
      <c r="CI237" s="106">
        <f>+PMGR!CI237+BP!CI237</f>
        <v>0</v>
      </c>
      <c r="CJ237" s="106">
        <f>+PMGR!CJ237+BP!CJ237</f>
        <v>127516</v>
      </c>
      <c r="CK237" s="106">
        <f>+PMGR!CK237+BP!CK237</f>
        <v>126104.40000000001</v>
      </c>
      <c r="CL237" s="106">
        <f>+PMGR!CL237+BP!CL237</f>
        <v>124681.60000000001</v>
      </c>
      <c r="CM237" s="106">
        <f>+PMGR!CM237+BP!CM237</f>
        <v>0</v>
      </c>
      <c r="CN237" s="106">
        <f>+PMGR!CN237+BP!CN237</f>
        <v>0</v>
      </c>
      <c r="CO237" s="106">
        <f>+PMGR!CO237+BP!CO237</f>
        <v>0</v>
      </c>
      <c r="CP237" s="106">
        <f>+PMGR!CP237+BP!CP237</f>
        <v>0</v>
      </c>
      <c r="CQ237" s="106">
        <f>+PMGR!CQ237+BP!CQ237</f>
        <v>181230</v>
      </c>
      <c r="CR237" s="106">
        <f>+PMGR!CR237+BP!CR237</f>
        <v>177174.40000000002</v>
      </c>
      <c r="CS237" s="106">
        <f t="shared" ref="CS237:CS239" si="1503">+SUM(CG237:CR237)</f>
        <v>740616</v>
      </c>
      <c r="CT237" s="21" t="s">
        <v>196</v>
      </c>
      <c r="CU237" s="106">
        <f>+PMGR!CU237+BP!CU237</f>
        <v>173088.80000000002</v>
      </c>
      <c r="CV237" s="106">
        <f>+PMGR!CV237+BP!CV237</f>
        <v>0</v>
      </c>
      <c r="CW237" s="106">
        <f>+PMGR!CW237+BP!CW237</f>
        <v>164826</v>
      </c>
      <c r="CX237" s="106">
        <f>+PMGR!CX237+BP!CX237</f>
        <v>160648.40000000002</v>
      </c>
      <c r="CY237" s="106">
        <f>+PMGR!CY237+BP!CY237</f>
        <v>156440</v>
      </c>
      <c r="CZ237" s="106">
        <f>+PMGR!CZ237+BP!CZ237</f>
        <v>0</v>
      </c>
      <c r="DA237" s="106">
        <f>+PMGR!DA237+BP!DA237</f>
        <v>200709.2</v>
      </c>
      <c r="DB237" s="106">
        <f>+PMGR!DB237+BP!DB237</f>
        <v>194698.40000000002</v>
      </c>
      <c r="DC237" s="106">
        <f>+PMGR!DC237+BP!DC237</f>
        <v>188644</v>
      </c>
      <c r="DD237" s="106">
        <f>+PMGR!DD237+BP!DD237</f>
        <v>182546.80000000002</v>
      </c>
      <c r="DE237" s="106">
        <f>+PMGR!DE237+BP!DE237</f>
        <v>0</v>
      </c>
      <c r="DF237" s="106">
        <f>+PMGR!DF237+BP!DF237</f>
        <v>0</v>
      </c>
      <c r="DG237" s="106">
        <f t="shared" ref="DG237:DG239" si="1504">+SUM(CU237:DF237)</f>
        <v>1421601.6000000003</v>
      </c>
      <c r="DH237" s="118"/>
      <c r="DI237" s="106">
        <f>+PMGR!DI237+BP!DI237</f>
        <v>177174.46799999999</v>
      </c>
      <c r="DJ237" s="106">
        <f>+PMGR!DJ237+BP!DJ237</f>
        <v>173088.88399999999</v>
      </c>
      <c r="DK237" s="106">
        <f>+PMGR!DK237+BP!DK237</f>
        <v>168972.86000000002</v>
      </c>
      <c r="DL237" s="106">
        <f>+PMGR!DL237+BP!DL237</f>
        <v>164826.17599999998</v>
      </c>
      <c r="DM237" s="106">
        <f>+PMGR!DM237+BP!DM237</f>
        <v>160648.60400000002</v>
      </c>
      <c r="DN237" s="106">
        <f>+PMGR!DN237+BP!DN237</f>
        <v>156439.89600000001</v>
      </c>
      <c r="DO237" s="106">
        <f>+PMGR!DO237+BP!DO237</f>
        <v>152199.84</v>
      </c>
      <c r="DP237" s="106">
        <f>+PMGR!DP237+BP!DP237</f>
        <v>147928.196</v>
      </c>
      <c r="DQ237" s="106">
        <f>+PMGR!DQ237+BP!DQ237</f>
        <v>143624.72400000002</v>
      </c>
      <c r="DR237" s="106">
        <f>+PMGR!DR237+BP!DR237</f>
        <v>139289.18000000002</v>
      </c>
      <c r="DS237" s="106">
        <f>+PMGR!DS237+BP!DS237</f>
        <v>134921.34000000003</v>
      </c>
      <c r="DT237" s="106">
        <f>+PMGR!DT237+BP!DT237</f>
        <v>130520.95999999999</v>
      </c>
      <c r="DU237" s="106">
        <f t="shared" ref="DU237:DU239" si="1505">+SUM(DI237:DT237)</f>
        <v>1849635.128</v>
      </c>
      <c r="DV237" s="106"/>
      <c r="DW237" s="106">
        <f>+PMGR!DW237+BP!DW237</f>
        <v>0</v>
      </c>
      <c r="DX237" s="106">
        <f>+PMGR!DX237+BP!DX237</f>
        <v>0</v>
      </c>
      <c r="DY237" s="106">
        <f>+PMGR!DY237+BP!DY237</f>
        <v>0</v>
      </c>
      <c r="DZ237" s="106">
        <f>+PMGR!DZ237+BP!DZ237</f>
        <v>0</v>
      </c>
      <c r="EA237" s="106">
        <f>+PMGR!EA237+BP!EA237</f>
        <v>0</v>
      </c>
      <c r="EB237" s="106">
        <f>+PMGR!EB237+BP!EB237</f>
        <v>0</v>
      </c>
      <c r="EC237" s="106">
        <f>+PMGR!EC237+BP!EC237</f>
        <v>0</v>
      </c>
      <c r="ED237" s="106">
        <f>+PMGR!ED237+BP!ED237</f>
        <v>0</v>
      </c>
      <c r="EE237" s="106">
        <f>+PMGR!EE237+BP!EE237</f>
        <v>0</v>
      </c>
      <c r="EF237" s="106">
        <f>+PMGR!EF237+BP!EF237</f>
        <v>0</v>
      </c>
      <c r="EG237" s="106">
        <f>+PMGR!EG237+BP!EG237</f>
        <v>0</v>
      </c>
      <c r="EH237" s="106">
        <f>+PMGR!EH237+BP!EH237</f>
        <v>0</v>
      </c>
      <c r="EI237" s="106">
        <f t="shared" ref="EI237:EI239" si="1506">+SUM(DW237:EH237)</f>
        <v>0</v>
      </c>
      <c r="EJ237" s="21" t="s">
        <v>196</v>
      </c>
      <c r="EK237" s="106">
        <f>+PMGR!EK237+BP!EK237</f>
        <v>0</v>
      </c>
      <c r="EL237" s="106">
        <f>+PMGR!EL237+BP!EL237</f>
        <v>0</v>
      </c>
      <c r="EM237" s="106">
        <f>+PMGR!EM237+BP!EM237</f>
        <v>0</v>
      </c>
      <c r="EN237" s="106">
        <f>+PMGR!EN237+BP!EN237</f>
        <v>0</v>
      </c>
      <c r="EO237" s="106">
        <f>+PMGR!EO237+BP!EO237</f>
        <v>0</v>
      </c>
      <c r="EP237" s="106">
        <f>+PMGR!EP237+BP!EP237</f>
        <v>0</v>
      </c>
      <c r="EQ237" s="106">
        <f>+PMGR!EQ237+BP!EQ237</f>
        <v>0</v>
      </c>
      <c r="ER237" s="106">
        <f>+PMGR!ER237+BP!ER237</f>
        <v>0</v>
      </c>
      <c r="ES237" s="106">
        <f>+PMGR!ES237+BP!ES237</f>
        <v>0</v>
      </c>
      <c r="ET237" s="106">
        <f>+PMGR!ET237+BP!ET237</f>
        <v>0</v>
      </c>
      <c r="EU237" s="106">
        <f>+PMGR!EU237+BP!EU237</f>
        <v>0</v>
      </c>
      <c r="EV237" s="106">
        <f>+PMGR!EV237+BP!EV237</f>
        <v>0</v>
      </c>
      <c r="EW237" s="106">
        <f t="shared" ref="EW237:EW239" si="1507">+SUM(EK237:EV237)</f>
        <v>0</v>
      </c>
      <c r="EX237" s="118"/>
      <c r="EY237" s="106">
        <f>+PMGR!EY237+BP!EY237</f>
        <v>0</v>
      </c>
      <c r="EZ237" s="106">
        <f>+PMGR!EZ237+BP!EZ237</f>
        <v>0</v>
      </c>
      <c r="FA237" s="106">
        <f>+PMGR!FA237+BP!FA237</f>
        <v>0</v>
      </c>
      <c r="FB237" s="106">
        <f>+PMGR!FB237+BP!FB237</f>
        <v>0</v>
      </c>
      <c r="FC237" s="106">
        <f>+PMGR!FC237+BP!FC237</f>
        <v>0</v>
      </c>
      <c r="FD237" s="106">
        <f>+PMGR!FD237+BP!FD237</f>
        <v>0</v>
      </c>
      <c r="FE237" s="106">
        <f>+PMGR!FE237+BP!FE237</f>
        <v>0</v>
      </c>
      <c r="FF237" s="106">
        <f>+PMGR!FF237+BP!FF237</f>
        <v>0</v>
      </c>
      <c r="FG237" s="106">
        <f>+PMGR!FG237+BP!FG237</f>
        <v>0</v>
      </c>
      <c r="FH237" s="106">
        <f>+PMGR!FH237+BP!FH237</f>
        <v>0</v>
      </c>
      <c r="FI237" s="106">
        <f>+PMGR!FI237+BP!FI237</f>
        <v>0</v>
      </c>
      <c r="FJ237" s="106">
        <f>+PMGR!FJ237+BP!FJ237</f>
        <v>0</v>
      </c>
      <c r="FK237" s="106">
        <f t="shared" ref="FK237:FK239" si="1508">+SUM(EY237:FJ237)</f>
        <v>0</v>
      </c>
    </row>
    <row r="238" spans="1:167" ht="14.45" hidden="1" customHeight="1" outlineLevel="1">
      <c r="A238" s="106">
        <f t="shared" si="1494"/>
        <v>276994.39600000001</v>
      </c>
      <c r="B238" s="106">
        <f t="shared" si="1494"/>
        <v>248359.16675</v>
      </c>
      <c r="C238" s="106">
        <f t="shared" si="1494"/>
        <v>254067.49474999998</v>
      </c>
      <c r="D238" s="106">
        <f t="shared" si="1494"/>
        <v>259682.25050000002</v>
      </c>
      <c r="E238" s="106">
        <f t="shared" si="1494"/>
        <v>256687.71325</v>
      </c>
      <c r="F238" s="106">
        <f t="shared" si="1494"/>
        <v>237503.97825000001</v>
      </c>
      <c r="G238" s="106">
        <f t="shared" si="1494"/>
        <v>259027.19374999998</v>
      </c>
      <c r="H238" s="106">
        <f t="shared" si="1494"/>
        <v>247891.2715</v>
      </c>
      <c r="I238" s="106">
        <f t="shared" si="1494"/>
        <v>237036.08299999998</v>
      </c>
      <c r="J238" s="106">
        <f t="shared" si="1494"/>
        <v>242182.93924999997</v>
      </c>
      <c r="K238" s="106">
        <f t="shared" si="1494"/>
        <v>231514.91224999999</v>
      </c>
      <c r="L238" s="106">
        <f t="shared" si="1494"/>
        <v>236193.87325</v>
      </c>
      <c r="M238" s="106">
        <f t="shared" si="1495"/>
        <v>2987141.2725</v>
      </c>
      <c r="N238" s="21" t="s">
        <v>197</v>
      </c>
      <c r="O238" s="106">
        <f t="shared" si="1496"/>
        <v>233480.07400000002</v>
      </c>
      <c r="P238" s="106">
        <f t="shared" si="1496"/>
        <v>208400.85375000001</v>
      </c>
      <c r="Q238" s="106">
        <f t="shared" si="1496"/>
        <v>213079.81474999999</v>
      </c>
      <c r="R238" s="106">
        <f t="shared" si="1496"/>
        <v>225720.79800000001</v>
      </c>
      <c r="S238" s="106">
        <f t="shared" si="1496"/>
        <v>215713.02974999999</v>
      </c>
      <c r="T238" s="106">
        <f t="shared" si="1496"/>
        <v>205302.34025000001</v>
      </c>
      <c r="U238" s="106">
        <f t="shared" si="1496"/>
        <v>192066.08500000002</v>
      </c>
      <c r="V238" s="106">
        <f t="shared" si="1496"/>
        <v>183332.02900000001</v>
      </c>
      <c r="W238" s="106">
        <f t="shared" si="1496"/>
        <v>186992.01425000001</v>
      </c>
      <c r="X238" s="106">
        <f t="shared" si="1496"/>
        <v>184330.20525</v>
      </c>
      <c r="Y238" s="106">
        <f t="shared" si="1496"/>
        <v>0</v>
      </c>
      <c r="Z238" s="106">
        <f t="shared" si="1496"/>
        <v>0</v>
      </c>
      <c r="AA238" s="106">
        <f t="shared" si="1497"/>
        <v>2048417.2440000004</v>
      </c>
      <c r="AB238" s="118"/>
      <c r="AC238" s="106">
        <f t="shared" si="1498"/>
        <v>234977.34562945832</v>
      </c>
      <c r="AD238" s="106">
        <f t="shared" si="1498"/>
        <v>209617.38524712273</v>
      </c>
      <c r="AE238" s="106">
        <f t="shared" si="1498"/>
        <v>229175.43598917063</v>
      </c>
      <c r="AF238" s="106">
        <f t="shared" si="1498"/>
        <v>218975.30435712266</v>
      </c>
      <c r="AG238" s="106">
        <f t="shared" si="1498"/>
        <v>223373.52634888288</v>
      </c>
      <c r="AH238" s="106">
        <f t="shared" si="1498"/>
        <v>213360.55309232807</v>
      </c>
      <c r="AI238" s="106">
        <f t="shared" si="1498"/>
        <v>217571.61670859519</v>
      </c>
      <c r="AJ238" s="106">
        <f t="shared" si="1498"/>
        <v>214670.66188845137</v>
      </c>
      <c r="AK238" s="106">
        <f t="shared" si="1498"/>
        <v>204938.42619513633</v>
      </c>
      <c r="AL238" s="106">
        <f t="shared" si="1498"/>
        <v>208868.75224816374</v>
      </c>
      <c r="AM238" s="106">
        <f t="shared" si="1498"/>
        <v>199323.67493034183</v>
      </c>
      <c r="AN238" s="106">
        <f t="shared" si="1498"/>
        <v>203066.84260787605</v>
      </c>
      <c r="AO238" s="106">
        <f t="shared" si="1499"/>
        <v>2577919.52524265</v>
      </c>
      <c r="AP238" s="106"/>
      <c r="AQ238" s="106">
        <f>+PMGR!AQ238+BP!AQ238</f>
        <v>71692.667199999996</v>
      </c>
      <c r="AR238" s="106">
        <f>+PMGR!AR238+BP!AR238</f>
        <v>64281.196100000001</v>
      </c>
      <c r="AS238" s="106">
        <f>+PMGR!AS238+BP!AS238</f>
        <v>65758.645699999994</v>
      </c>
      <c r="AT238" s="106">
        <f>+PMGR!AT238+BP!AT238</f>
        <v>67211.876600000003</v>
      </c>
      <c r="AU238" s="106">
        <f>+PMGR!AU238+BP!AU238</f>
        <v>66436.819900000002</v>
      </c>
      <c r="AV238" s="106">
        <f>+PMGR!AV238+BP!AV238</f>
        <v>61471.617900000012</v>
      </c>
      <c r="AW238" s="106">
        <f>+PMGR!AW238+BP!AW238</f>
        <v>67042.332500000004</v>
      </c>
      <c r="AX238" s="106">
        <f>+PMGR!AX238+BP!AX238</f>
        <v>64160.093799999995</v>
      </c>
      <c r="AY238" s="106">
        <f>+PMGR!AY238+BP!AY238</f>
        <v>61350.515599999999</v>
      </c>
      <c r="AZ238" s="106">
        <f>+PMGR!AZ238+BP!AZ238</f>
        <v>62682.643099999987</v>
      </c>
      <c r="BA238" s="106">
        <f>+PMGR!BA238+BP!BA238</f>
        <v>59921.506699999998</v>
      </c>
      <c r="BB238" s="106">
        <f>+PMGR!BB238+BP!BB238</f>
        <v>61132.531900000002</v>
      </c>
      <c r="BC238" s="106">
        <f t="shared" si="1500"/>
        <v>773142.44700000016</v>
      </c>
      <c r="BD238" s="21" t="s">
        <v>197</v>
      </c>
      <c r="BE238" s="106">
        <f>+PMGR!BE238+BP!BE238</f>
        <v>60430.1368</v>
      </c>
      <c r="BF238" s="106">
        <f>+PMGR!BF238+BP!BF238</f>
        <v>53939.044500000004</v>
      </c>
      <c r="BG238" s="106">
        <f>+PMGR!BG238+BP!BG238</f>
        <v>55150.0697</v>
      </c>
      <c r="BH238" s="106">
        <f>+PMGR!BH238+BP!BH238</f>
        <v>58421.853600000002</v>
      </c>
      <c r="BI238" s="106">
        <f>+PMGR!BI238+BP!BI238</f>
        <v>55831.6077</v>
      </c>
      <c r="BJ238" s="106">
        <f>+PMGR!BJ238+BP!BJ238</f>
        <v>53137.076300000001</v>
      </c>
      <c r="BK238" s="106">
        <f>+PMGR!BK238+BP!BK238</f>
        <v>49711.222000000002</v>
      </c>
      <c r="BL238" s="106">
        <f>+PMGR!BL238+BP!BL238</f>
        <v>47450.642800000001</v>
      </c>
      <c r="BM238" s="106">
        <f>+PMGR!BM238+BP!BM238</f>
        <v>48397.933100000002</v>
      </c>
      <c r="BN238" s="106">
        <f>+PMGR!BN238+BP!BN238</f>
        <v>47708.994299999998</v>
      </c>
      <c r="BO238" s="106">
        <f>+PMGR!BO238+BP!BO238</f>
        <v>0</v>
      </c>
      <c r="BP238" s="106">
        <f>+PMGR!BP238+BP!BP238</f>
        <v>0</v>
      </c>
      <c r="BQ238" s="106">
        <f t="shared" si="1501"/>
        <v>530178.58080000011</v>
      </c>
      <c r="BR238" s="118"/>
      <c r="BS238" s="106">
        <f>+PMGR!BS238+BP!BS238</f>
        <v>60817.665927624505</v>
      </c>
      <c r="BT238" s="106">
        <f>+PMGR!BT238+BP!BT238</f>
        <v>54253.911475725879</v>
      </c>
      <c r="BU238" s="106">
        <f>+PMGR!BU238+BP!BU238</f>
        <v>59315.995197197102</v>
      </c>
      <c r="BV238" s="106">
        <f>+PMGR!BV238+BP!BV238</f>
        <v>56675.961127725859</v>
      </c>
      <c r="BW238" s="106">
        <f>+PMGR!BW238+BP!BW238</f>
        <v>57814.324466769685</v>
      </c>
      <c r="BX238" s="106">
        <f>+PMGR!BX238+BP!BX238</f>
        <v>55222.731388602566</v>
      </c>
      <c r="BY238" s="106">
        <f>+PMGR!BY238+BP!BY238</f>
        <v>56312.653736342283</v>
      </c>
      <c r="BZ238" s="106">
        <f>+PMGR!BZ238+BP!BZ238</f>
        <v>55561.818371128589</v>
      </c>
      <c r="CA238" s="106">
        <f>+PMGR!CA238+BP!CA238</f>
        <v>53042.886779917637</v>
      </c>
      <c r="CB238" s="106">
        <f>+PMGR!CB238+BP!CB238</f>
        <v>54060.147640701201</v>
      </c>
      <c r="CC238" s="106">
        <f>+PMGR!CC238+BP!CC238</f>
        <v>51589.657040794358</v>
      </c>
      <c r="CD238" s="106">
        <f>+PMGR!CD238+BP!CD238</f>
        <v>52558.476910273799</v>
      </c>
      <c r="CE238" s="106">
        <f t="shared" si="1502"/>
        <v>667226.23006280349</v>
      </c>
      <c r="CF238" s="106"/>
      <c r="CG238" s="106">
        <f>+PMGR!CG238+BP!CG238</f>
        <v>205301.72880000001</v>
      </c>
      <c r="CH238" s="106">
        <f>+PMGR!CH238+BP!CH238</f>
        <v>184077.97065</v>
      </c>
      <c r="CI238" s="106">
        <f>+PMGR!CI238+BP!CI238</f>
        <v>188308.84904999999</v>
      </c>
      <c r="CJ238" s="106">
        <f>+PMGR!CJ238+BP!CJ238</f>
        <v>192470.37390000001</v>
      </c>
      <c r="CK238" s="106">
        <f>+PMGR!CK238+BP!CK238</f>
        <v>190250.89335</v>
      </c>
      <c r="CL238" s="106">
        <f>+PMGR!CL238+BP!CL238</f>
        <v>176032.36035</v>
      </c>
      <c r="CM238" s="106">
        <f>+PMGR!CM238+BP!CM238</f>
        <v>191984.86124999999</v>
      </c>
      <c r="CN238" s="106">
        <f>+PMGR!CN238+BP!CN238</f>
        <v>183731.1777</v>
      </c>
      <c r="CO238" s="106">
        <f>+PMGR!CO238+BP!CO238</f>
        <v>175685.5674</v>
      </c>
      <c r="CP238" s="106">
        <f>+PMGR!CP238+BP!CP238</f>
        <v>179500.29614999998</v>
      </c>
      <c r="CQ238" s="106">
        <f>+PMGR!CQ238+BP!CQ238</f>
        <v>171593.40555</v>
      </c>
      <c r="CR238" s="106">
        <f>+PMGR!CR238+BP!CR238</f>
        <v>175061.34135</v>
      </c>
      <c r="CS238" s="106">
        <f t="shared" si="1503"/>
        <v>2213998.8255000003</v>
      </c>
      <c r="CT238" s="21" t="s">
        <v>197</v>
      </c>
      <c r="CU238" s="106">
        <f>+PMGR!CU238+BP!CU238</f>
        <v>173049.93720000001</v>
      </c>
      <c r="CV238" s="106">
        <f>+PMGR!CV238+BP!CV238</f>
        <v>154461.80924999999</v>
      </c>
      <c r="CW238" s="106">
        <f>+PMGR!CW238+BP!CW238</f>
        <v>157929.74505</v>
      </c>
      <c r="CX238" s="106">
        <f>+PMGR!CX238+BP!CX238</f>
        <v>167298.94440000001</v>
      </c>
      <c r="CY238" s="106">
        <f>+PMGR!CY238+BP!CY238</f>
        <v>159881.42204999999</v>
      </c>
      <c r="CZ238" s="106">
        <f>+PMGR!CZ238+BP!CZ238</f>
        <v>152165.26394999999</v>
      </c>
      <c r="DA238" s="106">
        <f>+PMGR!DA238+BP!DA238</f>
        <v>142354.86300000001</v>
      </c>
      <c r="DB238" s="106">
        <f>+PMGR!DB238+BP!DB238</f>
        <v>135881.38620000001</v>
      </c>
      <c r="DC238" s="106">
        <f>+PMGR!DC238+BP!DC238</f>
        <v>138594.08115000001</v>
      </c>
      <c r="DD238" s="106">
        <f>+PMGR!DD238+BP!DD238</f>
        <v>136621.21095000001</v>
      </c>
      <c r="DE238" s="106">
        <f>+PMGR!DE238+BP!DE238</f>
        <v>0</v>
      </c>
      <c r="DF238" s="106">
        <f>+PMGR!DF238+BP!DF238</f>
        <v>0</v>
      </c>
      <c r="DG238" s="106">
        <f t="shared" si="1504"/>
        <v>1518238.6632000001</v>
      </c>
      <c r="DH238" s="118"/>
      <c r="DI238" s="106">
        <f>+PMGR!DI238+BP!DI238</f>
        <v>174159.67970183381</v>
      </c>
      <c r="DJ238" s="106">
        <f>+PMGR!DJ238+BP!DJ238</f>
        <v>155363.47377139685</v>
      </c>
      <c r="DK238" s="106">
        <f>+PMGR!DK238+BP!DK238</f>
        <v>169859.44079197352</v>
      </c>
      <c r="DL238" s="106">
        <f>+PMGR!DL238+BP!DL238</f>
        <v>162299.34322939679</v>
      </c>
      <c r="DM238" s="106">
        <f>+PMGR!DM238+BP!DM238</f>
        <v>165559.20188211318</v>
      </c>
      <c r="DN238" s="106">
        <f>+PMGR!DN238+BP!DN238</f>
        <v>158137.82170372552</v>
      </c>
      <c r="DO238" s="106">
        <f>+PMGR!DO238+BP!DO238</f>
        <v>161258.96297225292</v>
      </c>
      <c r="DP238" s="106">
        <f>+PMGR!DP238+BP!DP238</f>
        <v>159108.84351732279</v>
      </c>
      <c r="DQ238" s="106">
        <f>+PMGR!DQ238+BP!DQ238</f>
        <v>151895.53941521869</v>
      </c>
      <c r="DR238" s="106">
        <f>+PMGR!DR238+BP!DR238</f>
        <v>154808.60460746253</v>
      </c>
      <c r="DS238" s="106">
        <f>+PMGR!DS238+BP!DS238</f>
        <v>147734.01788954748</v>
      </c>
      <c r="DT238" s="106">
        <f>+PMGR!DT238+BP!DT238</f>
        <v>150508.36569760225</v>
      </c>
      <c r="DU238" s="106">
        <f t="shared" si="1505"/>
        <v>1910693.295179846</v>
      </c>
      <c r="DV238" s="106"/>
      <c r="DW238" s="106">
        <f>+PMGR!DW238+BP!DW238</f>
        <v>0</v>
      </c>
      <c r="DX238" s="106">
        <f>+PMGR!DX238+BP!DX238</f>
        <v>0</v>
      </c>
      <c r="DY238" s="106">
        <f>+PMGR!DY238+BP!DY238</f>
        <v>0</v>
      </c>
      <c r="DZ238" s="106">
        <f>+PMGR!DZ238+BP!DZ238</f>
        <v>0</v>
      </c>
      <c r="EA238" s="106">
        <f>+PMGR!EA238+BP!EA238</f>
        <v>0</v>
      </c>
      <c r="EB238" s="106">
        <f>+PMGR!EB238+BP!EB238</f>
        <v>0</v>
      </c>
      <c r="EC238" s="106">
        <f>+PMGR!EC238+BP!EC238</f>
        <v>0</v>
      </c>
      <c r="ED238" s="106">
        <f>+PMGR!ED238+BP!ED238</f>
        <v>0</v>
      </c>
      <c r="EE238" s="106">
        <f>+PMGR!EE238+BP!EE238</f>
        <v>0</v>
      </c>
      <c r="EF238" s="106">
        <f>+PMGR!EF238+BP!EF238</f>
        <v>0</v>
      </c>
      <c r="EG238" s="106">
        <f>+PMGR!EG238+BP!EG238</f>
        <v>0</v>
      </c>
      <c r="EH238" s="106">
        <f>+PMGR!EH238+BP!EH238</f>
        <v>0</v>
      </c>
      <c r="EI238" s="106">
        <f t="shared" si="1506"/>
        <v>0</v>
      </c>
      <c r="EJ238" s="21" t="s">
        <v>197</v>
      </c>
      <c r="EK238" s="106">
        <f>+PMGR!EK238+BP!EK238</f>
        <v>0</v>
      </c>
      <c r="EL238" s="106">
        <f>+PMGR!EL238+BP!EL238</f>
        <v>0</v>
      </c>
      <c r="EM238" s="106">
        <f>+PMGR!EM238+BP!EM238</f>
        <v>0</v>
      </c>
      <c r="EN238" s="106">
        <f>+PMGR!EN238+BP!EN238</f>
        <v>0</v>
      </c>
      <c r="EO238" s="106">
        <f>+PMGR!EO238+BP!EO238</f>
        <v>0</v>
      </c>
      <c r="EP238" s="106">
        <f>+PMGR!EP238+BP!EP238</f>
        <v>0</v>
      </c>
      <c r="EQ238" s="106">
        <f>+PMGR!EQ238+BP!EQ238</f>
        <v>0</v>
      </c>
      <c r="ER238" s="106">
        <f>+PMGR!ER238+BP!ER238</f>
        <v>0</v>
      </c>
      <c r="ES238" s="106">
        <f>+PMGR!ES238+BP!ES238</f>
        <v>0</v>
      </c>
      <c r="ET238" s="106">
        <f>+PMGR!ET238+BP!ET238</f>
        <v>0</v>
      </c>
      <c r="EU238" s="106">
        <f>+PMGR!EU238+BP!EU238</f>
        <v>0</v>
      </c>
      <c r="EV238" s="106">
        <f>+PMGR!EV238+BP!EV238</f>
        <v>0</v>
      </c>
      <c r="EW238" s="106">
        <f t="shared" si="1507"/>
        <v>0</v>
      </c>
      <c r="EX238" s="118"/>
      <c r="EY238" s="106">
        <f>+PMGR!EY238+BP!EY238</f>
        <v>0</v>
      </c>
      <c r="EZ238" s="106">
        <f>+PMGR!EZ238+BP!EZ238</f>
        <v>0</v>
      </c>
      <c r="FA238" s="106">
        <f>+PMGR!FA238+BP!FA238</f>
        <v>0</v>
      </c>
      <c r="FB238" s="106">
        <f>+PMGR!FB238+BP!FB238</f>
        <v>0</v>
      </c>
      <c r="FC238" s="106">
        <f>+PMGR!FC238+BP!FC238</f>
        <v>0</v>
      </c>
      <c r="FD238" s="106">
        <f>+PMGR!FD238+BP!FD238</f>
        <v>0</v>
      </c>
      <c r="FE238" s="106">
        <f>+PMGR!FE238+BP!FE238</f>
        <v>0</v>
      </c>
      <c r="FF238" s="106">
        <f>+PMGR!FF238+BP!FF238</f>
        <v>0</v>
      </c>
      <c r="FG238" s="106">
        <f>+PMGR!FG238+BP!FG238</f>
        <v>0</v>
      </c>
      <c r="FH238" s="106">
        <f>+PMGR!FH238+BP!FH238</f>
        <v>0</v>
      </c>
      <c r="FI238" s="106">
        <f>+PMGR!FI238+BP!FI238</f>
        <v>0</v>
      </c>
      <c r="FJ238" s="106">
        <f>+PMGR!FJ238+BP!FJ238</f>
        <v>0</v>
      </c>
      <c r="FK238" s="106">
        <f t="shared" si="1508"/>
        <v>0</v>
      </c>
    </row>
    <row r="239" spans="1:167" ht="14.45" hidden="1" customHeight="1" outlineLevel="1">
      <c r="A239" s="106">
        <f t="shared" si="1494"/>
        <v>128874</v>
      </c>
      <c r="B239" s="106">
        <f t="shared" si="1494"/>
        <v>124868</v>
      </c>
      <c r="C239" s="106">
        <f t="shared" si="1494"/>
        <v>120831</v>
      </c>
      <c r="D239" s="106">
        <f t="shared" si="1494"/>
        <v>116766</v>
      </c>
      <c r="E239" s="106">
        <f t="shared" si="1494"/>
        <v>112671</v>
      </c>
      <c r="F239" s="106">
        <f t="shared" si="1494"/>
        <v>108546</v>
      </c>
      <c r="G239" s="106">
        <f t="shared" si="1494"/>
        <v>104391</v>
      </c>
      <c r="H239" s="106">
        <f t="shared" si="1494"/>
        <v>100206</v>
      </c>
      <c r="I239" s="106">
        <f t="shared" si="1494"/>
        <v>95990</v>
      </c>
      <c r="J239" s="106">
        <f t="shared" si="1494"/>
        <v>91744</v>
      </c>
      <c r="K239" s="106">
        <f t="shared" si="1494"/>
        <v>87466</v>
      </c>
      <c r="L239" s="106">
        <f t="shared" si="1494"/>
        <v>83158</v>
      </c>
      <c r="M239" s="106">
        <f t="shared" si="1495"/>
        <v>1275511</v>
      </c>
      <c r="N239" s="21" t="s">
        <v>198</v>
      </c>
      <c r="O239" s="106">
        <f t="shared" si="1496"/>
        <v>78817</v>
      </c>
      <c r="P239" s="106">
        <f t="shared" si="1496"/>
        <v>74445</v>
      </c>
      <c r="Q239" s="106">
        <f t="shared" si="1496"/>
        <v>31518.449999999997</v>
      </c>
      <c r="R239" s="106">
        <f t="shared" si="1496"/>
        <v>61138</v>
      </c>
      <c r="S239" s="106">
        <f t="shared" si="1496"/>
        <v>56637</v>
      </c>
      <c r="T239" s="106">
        <f t="shared" si="1496"/>
        <v>25486.649999999998</v>
      </c>
      <c r="U239" s="106">
        <f t="shared" si="1496"/>
        <v>52104</v>
      </c>
      <c r="V239" s="106">
        <f t="shared" si="1496"/>
        <v>47537</v>
      </c>
      <c r="W239" s="106">
        <f t="shared" si="1496"/>
        <v>42938</v>
      </c>
      <c r="X239" s="106">
        <f t="shared" si="1496"/>
        <v>38304</v>
      </c>
      <c r="Y239" s="106">
        <f t="shared" si="1496"/>
        <v>0</v>
      </c>
      <c r="Z239" s="106">
        <f t="shared" si="1496"/>
        <v>0</v>
      </c>
      <c r="AA239" s="106">
        <f t="shared" si="1497"/>
        <v>508925.10000000003</v>
      </c>
      <c r="AB239" s="118"/>
      <c r="AC239" s="106">
        <f t="shared" si="1498"/>
        <v>78817</v>
      </c>
      <c r="AD239" s="106">
        <f t="shared" si="1498"/>
        <v>74445</v>
      </c>
      <c r="AE239" s="106">
        <f t="shared" si="1498"/>
        <v>70041</v>
      </c>
      <c r="AF239" s="106">
        <f t="shared" si="1498"/>
        <v>65606</v>
      </c>
      <c r="AG239" s="106">
        <f t="shared" si="1498"/>
        <v>61137.999999999993</v>
      </c>
      <c r="AH239" s="106">
        <f t="shared" si="1498"/>
        <v>56637</v>
      </c>
      <c r="AI239" s="106">
        <f t="shared" si="1498"/>
        <v>52104</v>
      </c>
      <c r="AJ239" s="106">
        <f t="shared" si="1498"/>
        <v>47537</v>
      </c>
      <c r="AK239" s="106">
        <f t="shared" si="1498"/>
        <v>42938</v>
      </c>
      <c r="AL239" s="106">
        <f t="shared" si="1498"/>
        <v>38304</v>
      </c>
      <c r="AM239" s="106">
        <f t="shared" si="1498"/>
        <v>33637</v>
      </c>
      <c r="AN239" s="106">
        <f t="shared" si="1498"/>
        <v>28936</v>
      </c>
      <c r="AO239" s="106">
        <f t="shared" si="1499"/>
        <v>650140</v>
      </c>
      <c r="AP239" s="106"/>
      <c r="AQ239" s="106">
        <f>+PMGR!AQ239+BP!AQ239</f>
        <v>77324.399999999994</v>
      </c>
      <c r="AR239" s="106">
        <f>+PMGR!AR239+BP!AR239</f>
        <v>74920.800000000003</v>
      </c>
      <c r="AS239" s="106">
        <f>+PMGR!AS239+BP!AS239</f>
        <v>72498.599999999991</v>
      </c>
      <c r="AT239" s="106">
        <f>+PMGR!AT239+BP!AT239</f>
        <v>70059.599999999991</v>
      </c>
      <c r="AU239" s="106">
        <f>+PMGR!AU239+BP!AU239</f>
        <v>67602.599999999991</v>
      </c>
      <c r="AV239" s="106">
        <f>+PMGR!AV239+BP!AV239</f>
        <v>65127.6</v>
      </c>
      <c r="AW239" s="106">
        <f>+PMGR!AW239+BP!AW239</f>
        <v>62634.6</v>
      </c>
      <c r="AX239" s="106">
        <f>+PMGR!AX239+BP!AX239</f>
        <v>60123.6</v>
      </c>
      <c r="AY239" s="106">
        <f>+PMGR!AY239+BP!AY239</f>
        <v>57594</v>
      </c>
      <c r="AZ239" s="106">
        <f>+PMGR!AZ239+BP!AZ239</f>
        <v>55046.400000000001</v>
      </c>
      <c r="BA239" s="106">
        <f>+PMGR!BA239+BP!BA239</f>
        <v>52479.6</v>
      </c>
      <c r="BB239" s="106">
        <f>+PMGR!BB239+BP!BB239</f>
        <v>49894.799999999996</v>
      </c>
      <c r="BC239" s="106">
        <f t="shared" si="1500"/>
        <v>765306.6</v>
      </c>
      <c r="BD239" s="21" t="s">
        <v>198</v>
      </c>
      <c r="BE239" s="106">
        <f>+PMGR!BE239+BP!BE239</f>
        <v>47290.2</v>
      </c>
      <c r="BF239" s="106">
        <f>+PMGR!BF239+BP!BF239</f>
        <v>44667</v>
      </c>
      <c r="BG239" s="106">
        <f>+PMGR!BG239+BP!BG239</f>
        <v>21012.3</v>
      </c>
      <c r="BH239" s="106">
        <f>+PMGR!BH239+BP!BH239</f>
        <v>36682.799999999996</v>
      </c>
      <c r="BI239" s="106">
        <f>+PMGR!BI239+BP!BI239</f>
        <v>33982.199999999997</v>
      </c>
      <c r="BJ239" s="106">
        <f>+PMGR!BJ239+BP!BJ239</f>
        <v>16991.099999999999</v>
      </c>
      <c r="BK239" s="106">
        <f>+PMGR!BK239+BP!BK239</f>
        <v>31262.399999999998</v>
      </c>
      <c r="BL239" s="106">
        <f>+PMGR!BL239+BP!BL239</f>
        <v>28522.2</v>
      </c>
      <c r="BM239" s="106">
        <f>+PMGR!BM239+BP!BM239</f>
        <v>25762.799999999999</v>
      </c>
      <c r="BN239" s="106">
        <f>+PMGR!BN239+BP!BN239</f>
        <v>22982.399999999998</v>
      </c>
      <c r="BO239" s="106">
        <f>+PMGR!BO239+BP!BO239</f>
        <v>0</v>
      </c>
      <c r="BP239" s="106">
        <f>+PMGR!BP239+BP!BP239</f>
        <v>0</v>
      </c>
      <c r="BQ239" s="106">
        <f t="shared" si="1501"/>
        <v>309155.40000000002</v>
      </c>
      <c r="BR239" s="118"/>
      <c r="BS239" s="106">
        <f>+PMGR!BS239+BP!BS239</f>
        <v>47290.2</v>
      </c>
      <c r="BT239" s="106">
        <f>+PMGR!BT239+BP!BT239</f>
        <v>44667</v>
      </c>
      <c r="BU239" s="106">
        <f>+PMGR!BU239+BP!BU239</f>
        <v>42024.6</v>
      </c>
      <c r="BV239" s="106">
        <f>+PMGR!BV239+BP!BV239</f>
        <v>39363.599999999999</v>
      </c>
      <c r="BW239" s="106">
        <f>+PMGR!BW239+BP!BW239</f>
        <v>36682.799999999996</v>
      </c>
      <c r="BX239" s="106">
        <f>+PMGR!BX239+BP!BX239</f>
        <v>33982.199999999997</v>
      </c>
      <c r="BY239" s="106">
        <f>+PMGR!BY239+BP!BY239</f>
        <v>31262.399999999998</v>
      </c>
      <c r="BZ239" s="106">
        <f>+PMGR!BZ239+BP!BZ239</f>
        <v>28522.2</v>
      </c>
      <c r="CA239" s="106">
        <f>+PMGR!CA239+BP!CA239</f>
        <v>25762.799999999999</v>
      </c>
      <c r="CB239" s="106">
        <f>+PMGR!CB239+BP!CB239</f>
        <v>22982.399999999998</v>
      </c>
      <c r="CC239" s="106">
        <f>+PMGR!CC239+BP!CC239</f>
        <v>20182.2</v>
      </c>
      <c r="CD239" s="106">
        <f>+PMGR!CD239+BP!CD239</f>
        <v>17361.599999999999</v>
      </c>
      <c r="CE239" s="106">
        <f t="shared" si="1502"/>
        <v>390084</v>
      </c>
      <c r="CF239" s="106"/>
      <c r="CG239" s="106">
        <f>+PMGR!CG239+BP!CG239</f>
        <v>51549.600000000006</v>
      </c>
      <c r="CH239" s="106">
        <f>+PMGR!CH239+BP!CH239</f>
        <v>49947.200000000004</v>
      </c>
      <c r="CI239" s="106">
        <f>+PMGR!CI239+BP!CI239</f>
        <v>48332.4</v>
      </c>
      <c r="CJ239" s="106">
        <f>+PMGR!CJ239+BP!CJ239</f>
        <v>46706.400000000001</v>
      </c>
      <c r="CK239" s="106">
        <f>+PMGR!CK239+BP!CK239</f>
        <v>45068.4</v>
      </c>
      <c r="CL239" s="106">
        <f>+PMGR!CL239+BP!CL239</f>
        <v>43418.400000000001</v>
      </c>
      <c r="CM239" s="106">
        <f>+PMGR!CM239+BP!CM239</f>
        <v>41756.400000000001</v>
      </c>
      <c r="CN239" s="106">
        <f>+PMGR!CN239+BP!CN239</f>
        <v>40082.400000000001</v>
      </c>
      <c r="CO239" s="106">
        <f>+PMGR!CO239+BP!CO239</f>
        <v>38396</v>
      </c>
      <c r="CP239" s="106">
        <f>+PMGR!CP239+BP!CP239</f>
        <v>36697.599999999999</v>
      </c>
      <c r="CQ239" s="106">
        <f>+PMGR!CQ239+BP!CQ239</f>
        <v>34986.400000000001</v>
      </c>
      <c r="CR239" s="106">
        <f>+PMGR!CR239+BP!CR239</f>
        <v>33263.200000000004</v>
      </c>
      <c r="CS239" s="106">
        <f t="shared" si="1503"/>
        <v>510204.40000000008</v>
      </c>
      <c r="CT239" s="21" t="s">
        <v>198</v>
      </c>
      <c r="CU239" s="106">
        <f>+PMGR!CU239+BP!CU239</f>
        <v>31526.800000000003</v>
      </c>
      <c r="CV239" s="106">
        <f>+PMGR!CV239+BP!CV239</f>
        <v>29778</v>
      </c>
      <c r="CW239" s="106">
        <f>+PMGR!CW239+BP!CW239</f>
        <v>10506.15</v>
      </c>
      <c r="CX239" s="106">
        <f>+PMGR!CX239+BP!CX239</f>
        <v>24455.200000000001</v>
      </c>
      <c r="CY239" s="106">
        <f>+PMGR!CY239+BP!CY239</f>
        <v>22654.800000000003</v>
      </c>
      <c r="CZ239" s="106">
        <f>+PMGR!CZ239+BP!CZ239</f>
        <v>8495.5499999999993</v>
      </c>
      <c r="DA239" s="106">
        <f>+PMGR!DA239+BP!DA239</f>
        <v>20841.600000000002</v>
      </c>
      <c r="DB239" s="106">
        <f>+PMGR!DB239+BP!DB239</f>
        <v>19014.8</v>
      </c>
      <c r="DC239" s="106">
        <f>+PMGR!DC239+BP!DC239</f>
        <v>17175.2</v>
      </c>
      <c r="DD239" s="106">
        <f>+PMGR!DD239+BP!DD239</f>
        <v>15321.6</v>
      </c>
      <c r="DE239" s="106">
        <f>+PMGR!DE239+BP!DE239</f>
        <v>0</v>
      </c>
      <c r="DF239" s="106">
        <f>+PMGR!DF239+BP!DF239</f>
        <v>0</v>
      </c>
      <c r="DG239" s="106">
        <f t="shared" si="1504"/>
        <v>199769.7</v>
      </c>
      <c r="DH239" s="118"/>
      <c r="DI239" s="106">
        <f>+PMGR!DI239+BP!DI239</f>
        <v>31526.800000000003</v>
      </c>
      <c r="DJ239" s="106">
        <f>+PMGR!DJ239+BP!DJ239</f>
        <v>29778</v>
      </c>
      <c r="DK239" s="106">
        <f>+PMGR!DK239+BP!DK239</f>
        <v>28016.400000000001</v>
      </c>
      <c r="DL239" s="106">
        <f>+PMGR!DL239+BP!DL239</f>
        <v>26242.400000000001</v>
      </c>
      <c r="DM239" s="106">
        <f>+PMGR!DM239+BP!DM239</f>
        <v>24455.199999999997</v>
      </c>
      <c r="DN239" s="106">
        <f>+PMGR!DN239+BP!DN239</f>
        <v>22654.800000000003</v>
      </c>
      <c r="DO239" s="106">
        <f>+PMGR!DO239+BP!DO239</f>
        <v>20841.600000000002</v>
      </c>
      <c r="DP239" s="106">
        <f>+PMGR!DP239+BP!DP239</f>
        <v>19014.8</v>
      </c>
      <c r="DQ239" s="106">
        <f>+PMGR!DQ239+BP!DQ239</f>
        <v>17175.2</v>
      </c>
      <c r="DR239" s="106">
        <f>+PMGR!DR239+BP!DR239</f>
        <v>15321.6</v>
      </c>
      <c r="DS239" s="106">
        <f>+PMGR!DS239+BP!DS239</f>
        <v>13454.800000000001</v>
      </c>
      <c r="DT239" s="106">
        <f>+PMGR!DT239+BP!DT239</f>
        <v>11574.400000000001</v>
      </c>
      <c r="DU239" s="106">
        <f t="shared" si="1505"/>
        <v>260055.99999999997</v>
      </c>
      <c r="DV239" s="106"/>
      <c r="DW239" s="106">
        <f>+PMGR!DW239+BP!DW239</f>
        <v>0</v>
      </c>
      <c r="DX239" s="106">
        <f>+PMGR!DX239+BP!DX239</f>
        <v>0</v>
      </c>
      <c r="DY239" s="106">
        <f>+PMGR!DY239+BP!DY239</f>
        <v>0</v>
      </c>
      <c r="DZ239" s="106">
        <f>+PMGR!DZ239+BP!DZ239</f>
        <v>0</v>
      </c>
      <c r="EA239" s="106">
        <f>+PMGR!EA239+BP!EA239</f>
        <v>0</v>
      </c>
      <c r="EB239" s="106">
        <f>+PMGR!EB239+BP!EB239</f>
        <v>0</v>
      </c>
      <c r="EC239" s="106">
        <f>+PMGR!EC239+BP!EC239</f>
        <v>0</v>
      </c>
      <c r="ED239" s="106">
        <f>+PMGR!ED239+BP!ED239</f>
        <v>0</v>
      </c>
      <c r="EE239" s="106">
        <f>+PMGR!EE239+BP!EE239</f>
        <v>0</v>
      </c>
      <c r="EF239" s="106">
        <f>+PMGR!EF239+BP!EF239</f>
        <v>0</v>
      </c>
      <c r="EG239" s="106">
        <f>+PMGR!EG239+BP!EG239</f>
        <v>0</v>
      </c>
      <c r="EH239" s="106">
        <f>+PMGR!EH239+BP!EH239</f>
        <v>0</v>
      </c>
      <c r="EI239" s="106">
        <f t="shared" si="1506"/>
        <v>0</v>
      </c>
      <c r="EJ239" s="21" t="s">
        <v>198</v>
      </c>
      <c r="EK239" s="106">
        <f>+PMGR!EK239+BP!EK239</f>
        <v>0</v>
      </c>
      <c r="EL239" s="106">
        <f>+PMGR!EL239+BP!EL239</f>
        <v>0</v>
      </c>
      <c r="EM239" s="106">
        <f>+PMGR!EM239+BP!EM239</f>
        <v>0</v>
      </c>
      <c r="EN239" s="106">
        <f>+PMGR!EN239+BP!EN239</f>
        <v>0</v>
      </c>
      <c r="EO239" s="106">
        <f>+PMGR!EO239+BP!EO239</f>
        <v>0</v>
      </c>
      <c r="EP239" s="106">
        <f>+PMGR!EP239+BP!EP239</f>
        <v>0</v>
      </c>
      <c r="EQ239" s="106">
        <f>+PMGR!EQ239+BP!EQ239</f>
        <v>0</v>
      </c>
      <c r="ER239" s="106">
        <f>+PMGR!ER239+BP!ER239</f>
        <v>0</v>
      </c>
      <c r="ES239" s="106">
        <f>+PMGR!ES239+BP!ES239</f>
        <v>0</v>
      </c>
      <c r="ET239" s="106">
        <f>+PMGR!ET239+BP!ET239</f>
        <v>0</v>
      </c>
      <c r="EU239" s="106">
        <f>+PMGR!EU239+BP!EU239</f>
        <v>0</v>
      </c>
      <c r="EV239" s="106">
        <f>+PMGR!EV239+BP!EV239</f>
        <v>0</v>
      </c>
      <c r="EW239" s="106">
        <f t="shared" si="1507"/>
        <v>0</v>
      </c>
      <c r="EX239" s="118"/>
      <c r="EY239" s="106">
        <f>+PMGR!EY239+BP!EY239</f>
        <v>0</v>
      </c>
      <c r="EZ239" s="106">
        <f>+PMGR!EZ239+BP!EZ239</f>
        <v>0</v>
      </c>
      <c r="FA239" s="106">
        <f>+PMGR!FA239+BP!FA239</f>
        <v>0</v>
      </c>
      <c r="FB239" s="106">
        <f>+PMGR!FB239+BP!FB239</f>
        <v>0</v>
      </c>
      <c r="FC239" s="106">
        <f>+PMGR!FC239+BP!FC239</f>
        <v>0</v>
      </c>
      <c r="FD239" s="106">
        <f>+PMGR!FD239+BP!FD239</f>
        <v>0</v>
      </c>
      <c r="FE239" s="106">
        <f>+PMGR!FE239+BP!FE239</f>
        <v>0</v>
      </c>
      <c r="FF239" s="106">
        <f>+PMGR!FF239+BP!FF239</f>
        <v>0</v>
      </c>
      <c r="FG239" s="106">
        <f>+PMGR!FG239+BP!FG239</f>
        <v>0</v>
      </c>
      <c r="FH239" s="106">
        <f>+PMGR!FH239+BP!FH239</f>
        <v>0</v>
      </c>
      <c r="FI239" s="106">
        <f>+PMGR!FI239+BP!FI239</f>
        <v>0</v>
      </c>
      <c r="FJ239" s="106">
        <f>+PMGR!FJ239+BP!FJ239</f>
        <v>0</v>
      </c>
      <c r="FK239" s="106">
        <f t="shared" si="1508"/>
        <v>0</v>
      </c>
    </row>
    <row r="240" spans="1:167" ht="14.45" hidden="1" customHeight="1" outlineLevel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18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  <c r="BA240" s="106"/>
      <c r="BB240" s="106"/>
      <c r="BC240" s="106"/>
      <c r="BD240" s="16"/>
      <c r="BE240" s="106"/>
      <c r="BF240" s="106"/>
      <c r="BG240" s="106"/>
      <c r="BH240" s="106"/>
      <c r="BI240" s="106"/>
      <c r="BJ240" s="106"/>
      <c r="BK240" s="106"/>
      <c r="BL240" s="106"/>
      <c r="BM240" s="106"/>
      <c r="BN240" s="106"/>
      <c r="BO240" s="106"/>
      <c r="BP240" s="106"/>
      <c r="BQ240" s="106"/>
      <c r="BR240" s="118"/>
      <c r="BS240" s="106"/>
      <c r="BT240" s="106"/>
      <c r="BU240" s="106"/>
      <c r="BV240" s="106"/>
      <c r="BW240" s="106"/>
      <c r="BX240" s="106"/>
      <c r="BY240" s="106"/>
      <c r="BZ240" s="106"/>
      <c r="CA240" s="106"/>
      <c r="CB240" s="106"/>
      <c r="CC240" s="106"/>
      <c r="CD240" s="106"/>
      <c r="CE240" s="106"/>
      <c r="CF240" s="106"/>
      <c r="CG240" s="106"/>
      <c r="CH240" s="106"/>
      <c r="CI240" s="106"/>
      <c r="CJ240" s="106"/>
      <c r="CK240" s="106"/>
      <c r="CL240" s="106"/>
      <c r="CM240" s="106"/>
      <c r="CN240" s="106"/>
      <c r="CO240" s="106"/>
      <c r="CP240" s="106"/>
      <c r="CQ240" s="106"/>
      <c r="CR240" s="106"/>
      <c r="CS240" s="106"/>
      <c r="CT240" s="16">
        <f t="shared" si="962"/>
        <v>0</v>
      </c>
      <c r="CU240" s="106"/>
      <c r="CV240" s="106"/>
      <c r="CW240" s="106"/>
      <c r="CX240" s="106"/>
      <c r="CY240" s="106"/>
      <c r="CZ240" s="106"/>
      <c r="DA240" s="106"/>
      <c r="DB240" s="106"/>
      <c r="DC240" s="106"/>
      <c r="DD240" s="106"/>
      <c r="DE240" s="106"/>
      <c r="DF240" s="106"/>
      <c r="DG240" s="106"/>
      <c r="DH240" s="118"/>
      <c r="DI240" s="106"/>
      <c r="DJ240" s="106"/>
      <c r="DK240" s="106"/>
      <c r="DL240" s="106"/>
      <c r="DM240" s="106"/>
      <c r="DN240" s="106"/>
      <c r="DO240" s="106"/>
      <c r="DP240" s="106"/>
      <c r="DQ240" s="106"/>
      <c r="DR240" s="106"/>
      <c r="DS240" s="106"/>
      <c r="DT240" s="106"/>
      <c r="DU240" s="106"/>
      <c r="DV240" s="106"/>
      <c r="DW240" s="106"/>
      <c r="DX240" s="106"/>
      <c r="DY240" s="106"/>
      <c r="DZ240" s="106"/>
      <c r="EA240" s="106"/>
      <c r="EB240" s="106"/>
      <c r="EC240" s="106"/>
      <c r="ED240" s="106"/>
      <c r="EE240" s="106"/>
      <c r="EF240" s="106"/>
      <c r="EG240" s="106"/>
      <c r="EH240" s="106"/>
      <c r="EI240" s="106"/>
      <c r="EJ240" s="16">
        <f t="shared" ref="EJ240:EJ250" si="1509">CT240</f>
        <v>0</v>
      </c>
      <c r="EK240" s="106"/>
      <c r="EL240" s="106"/>
      <c r="EM240" s="106"/>
      <c r="EN240" s="106"/>
      <c r="EO240" s="106"/>
      <c r="EP240" s="106"/>
      <c r="EQ240" s="106"/>
      <c r="ER240" s="106"/>
      <c r="ES240" s="106"/>
      <c r="ET240" s="106"/>
      <c r="EU240" s="106"/>
      <c r="EV240" s="106"/>
      <c r="EW240" s="106"/>
      <c r="EX240" s="118"/>
      <c r="EY240" s="106"/>
      <c r="EZ240" s="106"/>
      <c r="FA240" s="106"/>
      <c r="FB240" s="106"/>
      <c r="FC240" s="106"/>
      <c r="FD240" s="106"/>
      <c r="FE240" s="106"/>
      <c r="FF240" s="106"/>
      <c r="FG240" s="106"/>
      <c r="FH240" s="106"/>
      <c r="FI240" s="106"/>
      <c r="FJ240" s="106"/>
      <c r="FK240" s="106"/>
    </row>
    <row r="241" spans="1:167" ht="14.45" customHeight="1" collapsed="1">
      <c r="A241" s="58">
        <f t="shared" ref="A241:M241" si="1510">+SUM(A242:A247)</f>
        <v>1623221.4828869049</v>
      </c>
      <c r="B241" s="58">
        <f t="shared" si="1510"/>
        <v>1623221.4828869049</v>
      </c>
      <c r="C241" s="58">
        <f t="shared" si="1510"/>
        <v>1623221.4828869049</v>
      </c>
      <c r="D241" s="58">
        <f t="shared" si="1510"/>
        <v>1623221.4828869049</v>
      </c>
      <c r="E241" s="58">
        <f t="shared" si="1510"/>
        <v>1623221.4828869049</v>
      </c>
      <c r="F241" s="58">
        <f t="shared" si="1510"/>
        <v>1623221.4828869049</v>
      </c>
      <c r="G241" s="58">
        <f t="shared" si="1510"/>
        <v>1623221.4828869049</v>
      </c>
      <c r="H241" s="58">
        <f t="shared" si="1510"/>
        <v>1623221.4828869049</v>
      </c>
      <c r="I241" s="58">
        <f t="shared" si="1510"/>
        <v>1623221.4828869049</v>
      </c>
      <c r="J241" s="58">
        <f t="shared" si="1510"/>
        <v>1623221.4828869049</v>
      </c>
      <c r="K241" s="58">
        <f t="shared" si="1510"/>
        <v>1623221.4828869049</v>
      </c>
      <c r="L241" s="58">
        <f t="shared" si="1510"/>
        <v>1623221.4828869049</v>
      </c>
      <c r="M241" s="58">
        <f t="shared" si="1510"/>
        <v>19478657.794642858</v>
      </c>
      <c r="N241" s="17" t="s">
        <v>199</v>
      </c>
      <c r="O241" s="58">
        <f t="shared" ref="O241:AA241" si="1511">+SUM(O242:O247)</f>
        <v>2630989.1547886906</v>
      </c>
      <c r="P241" s="58">
        <f t="shared" si="1511"/>
        <v>2630989.1547886906</v>
      </c>
      <c r="Q241" s="58">
        <f t="shared" si="1511"/>
        <v>2630989.1547886906</v>
      </c>
      <c r="R241" s="58">
        <f t="shared" si="1511"/>
        <v>2630989.1547886906</v>
      </c>
      <c r="S241" s="58">
        <f t="shared" si="1511"/>
        <v>2630989.1547886906</v>
      </c>
      <c r="T241" s="58">
        <f t="shared" si="1511"/>
        <v>2630989.1547886906</v>
      </c>
      <c r="U241" s="58">
        <f t="shared" si="1511"/>
        <v>2630989.1547886906</v>
      </c>
      <c r="V241" s="58">
        <f t="shared" si="1511"/>
        <v>2630989.1547886906</v>
      </c>
      <c r="W241" s="58">
        <f t="shared" si="1511"/>
        <v>2630989.1547886906</v>
      </c>
      <c r="X241" s="58">
        <f t="shared" si="1511"/>
        <v>2630989.1547886906</v>
      </c>
      <c r="Y241" s="58">
        <f t="shared" si="1511"/>
        <v>0</v>
      </c>
      <c r="Z241" s="58">
        <f t="shared" si="1511"/>
        <v>0</v>
      </c>
      <c r="AA241" s="58">
        <f t="shared" si="1511"/>
        <v>26309891.547886912</v>
      </c>
      <c r="AB241" s="118"/>
      <c r="AC241" s="58">
        <f t="shared" ref="AC241:AO241" si="1512">+SUM(AC242:AC247)</f>
        <v>2630989.1547886906</v>
      </c>
      <c r="AD241" s="58">
        <f t="shared" si="1512"/>
        <v>2630989.1547886906</v>
      </c>
      <c r="AE241" s="58">
        <f t="shared" si="1512"/>
        <v>2630989.1547886906</v>
      </c>
      <c r="AF241" s="58">
        <f t="shared" si="1512"/>
        <v>2630989.1547886906</v>
      </c>
      <c r="AG241" s="58">
        <f t="shared" si="1512"/>
        <v>2630989.1547886906</v>
      </c>
      <c r="AH241" s="58">
        <f t="shared" si="1512"/>
        <v>2630989.1547886906</v>
      </c>
      <c r="AI241" s="58">
        <f t="shared" si="1512"/>
        <v>2630989.1547886906</v>
      </c>
      <c r="AJ241" s="58">
        <f t="shared" si="1512"/>
        <v>2630989.1547886906</v>
      </c>
      <c r="AK241" s="58">
        <f t="shared" si="1512"/>
        <v>2630989.1547886906</v>
      </c>
      <c r="AL241" s="58">
        <f t="shared" si="1512"/>
        <v>2630989.1547886906</v>
      </c>
      <c r="AM241" s="58">
        <f t="shared" si="1512"/>
        <v>2630989.1547886906</v>
      </c>
      <c r="AN241" s="58">
        <f t="shared" si="1512"/>
        <v>2630989.1547886906</v>
      </c>
      <c r="AO241" s="58">
        <f t="shared" si="1512"/>
        <v>31571869.857464295</v>
      </c>
      <c r="AP241" s="106"/>
      <c r="AQ241" s="58">
        <f t="shared" ref="AQ241:BC241" si="1513">+SUM(AQ242:AQ247)</f>
        <v>1136255.0380208334</v>
      </c>
      <c r="AR241" s="58">
        <f t="shared" si="1513"/>
        <v>1136255.0380208334</v>
      </c>
      <c r="AS241" s="58">
        <f t="shared" si="1513"/>
        <v>1136255.0380208334</v>
      </c>
      <c r="AT241" s="58">
        <f t="shared" si="1513"/>
        <v>1136255.0380208334</v>
      </c>
      <c r="AU241" s="58">
        <f t="shared" si="1513"/>
        <v>1136255.0380208334</v>
      </c>
      <c r="AV241" s="58">
        <f t="shared" si="1513"/>
        <v>1136255.0380208334</v>
      </c>
      <c r="AW241" s="58">
        <f t="shared" si="1513"/>
        <v>1136255.0380208334</v>
      </c>
      <c r="AX241" s="58">
        <f t="shared" si="1513"/>
        <v>1136255.0380208334</v>
      </c>
      <c r="AY241" s="58">
        <f t="shared" si="1513"/>
        <v>1136255.0380208334</v>
      </c>
      <c r="AZ241" s="58">
        <f t="shared" si="1513"/>
        <v>1136255.0380208334</v>
      </c>
      <c r="BA241" s="58">
        <f t="shared" si="1513"/>
        <v>1136255.0380208334</v>
      </c>
      <c r="BB241" s="58">
        <f t="shared" si="1513"/>
        <v>1136255.0380208334</v>
      </c>
      <c r="BC241" s="58">
        <f t="shared" si="1513"/>
        <v>13635060.456250004</v>
      </c>
      <c r="BD241" s="17" t="str">
        <f t="shared" si="961"/>
        <v>Depreciation</v>
      </c>
      <c r="BE241" s="58">
        <f t="shared" ref="BE241:BQ241" si="1514">+SUM(BE242:BE247)</f>
        <v>1061802.3288958329</v>
      </c>
      <c r="BF241" s="58">
        <f t="shared" si="1514"/>
        <v>1061802.3288958329</v>
      </c>
      <c r="BG241" s="58">
        <f t="shared" si="1514"/>
        <v>1061802.3288958329</v>
      </c>
      <c r="BH241" s="58">
        <f t="shared" si="1514"/>
        <v>1061802.3288958329</v>
      </c>
      <c r="BI241" s="58">
        <f t="shared" si="1514"/>
        <v>1061802.3288958329</v>
      </c>
      <c r="BJ241" s="58">
        <f t="shared" si="1514"/>
        <v>1061802.3288958329</v>
      </c>
      <c r="BK241" s="58">
        <f t="shared" si="1514"/>
        <v>1061802.3288958329</v>
      </c>
      <c r="BL241" s="58">
        <f t="shared" si="1514"/>
        <v>1061802.3288958329</v>
      </c>
      <c r="BM241" s="58">
        <f t="shared" si="1514"/>
        <v>1061802.3288958329</v>
      </c>
      <c r="BN241" s="58">
        <f t="shared" si="1514"/>
        <v>1061802.3288958329</v>
      </c>
      <c r="BO241" s="58">
        <f t="shared" si="1514"/>
        <v>0</v>
      </c>
      <c r="BP241" s="58">
        <f t="shared" si="1514"/>
        <v>0</v>
      </c>
      <c r="BQ241" s="58">
        <f t="shared" si="1514"/>
        <v>10618023.288958332</v>
      </c>
      <c r="BR241" s="118"/>
      <c r="BS241" s="58">
        <f t="shared" ref="BS241:CE241" si="1515">+SUM(BS242:BS247)</f>
        <v>1061802.3288958329</v>
      </c>
      <c r="BT241" s="58">
        <f t="shared" si="1515"/>
        <v>1061802.3288958329</v>
      </c>
      <c r="BU241" s="58">
        <f t="shared" si="1515"/>
        <v>1061802.3288958329</v>
      </c>
      <c r="BV241" s="58">
        <f t="shared" si="1515"/>
        <v>1061802.3288958329</v>
      </c>
      <c r="BW241" s="58">
        <f t="shared" si="1515"/>
        <v>1061802.3288958329</v>
      </c>
      <c r="BX241" s="58">
        <f t="shared" si="1515"/>
        <v>1061802.3288958329</v>
      </c>
      <c r="BY241" s="58">
        <f t="shared" si="1515"/>
        <v>1061802.3288958329</v>
      </c>
      <c r="BZ241" s="58">
        <f t="shared" si="1515"/>
        <v>1061802.3288958329</v>
      </c>
      <c r="CA241" s="58">
        <f t="shared" si="1515"/>
        <v>1061802.3288958329</v>
      </c>
      <c r="CB241" s="58">
        <f t="shared" si="1515"/>
        <v>1061802.3288958329</v>
      </c>
      <c r="CC241" s="58">
        <f t="shared" si="1515"/>
        <v>1061802.3288958329</v>
      </c>
      <c r="CD241" s="58">
        <f t="shared" si="1515"/>
        <v>1061802.3288958329</v>
      </c>
      <c r="CE241" s="58">
        <f t="shared" si="1515"/>
        <v>12741627.946749998</v>
      </c>
      <c r="CF241" s="106"/>
      <c r="CG241" s="58">
        <f t="shared" ref="CG241:CS241" si="1516">+SUM(CG242:CG247)</f>
        <v>486966.44486607146</v>
      </c>
      <c r="CH241" s="58">
        <f t="shared" si="1516"/>
        <v>486966.44486607146</v>
      </c>
      <c r="CI241" s="58">
        <f t="shared" si="1516"/>
        <v>486966.44486607146</v>
      </c>
      <c r="CJ241" s="58">
        <f t="shared" si="1516"/>
        <v>486966.44486607146</v>
      </c>
      <c r="CK241" s="58">
        <f t="shared" si="1516"/>
        <v>486966.44486607146</v>
      </c>
      <c r="CL241" s="58">
        <f t="shared" si="1516"/>
        <v>486966.44486607146</v>
      </c>
      <c r="CM241" s="58">
        <f t="shared" si="1516"/>
        <v>486966.44486607146</v>
      </c>
      <c r="CN241" s="58">
        <f t="shared" si="1516"/>
        <v>486966.44486607146</v>
      </c>
      <c r="CO241" s="58">
        <f t="shared" si="1516"/>
        <v>486966.44486607146</v>
      </c>
      <c r="CP241" s="58">
        <f t="shared" si="1516"/>
        <v>486966.44486607146</v>
      </c>
      <c r="CQ241" s="58">
        <f t="shared" si="1516"/>
        <v>486966.44486607146</v>
      </c>
      <c r="CR241" s="58">
        <f t="shared" si="1516"/>
        <v>486966.44486607146</v>
      </c>
      <c r="CS241" s="58">
        <f t="shared" si="1516"/>
        <v>5843597.3383928575</v>
      </c>
      <c r="CT241" s="17" t="str">
        <f t="shared" si="962"/>
        <v>Depreciation</v>
      </c>
      <c r="CU241" s="58">
        <f t="shared" ref="CU241:DG241" si="1517">+SUM(CU242:CU247)</f>
        <v>397641.40589285758</v>
      </c>
      <c r="CV241" s="58">
        <f t="shared" si="1517"/>
        <v>397641.40589285758</v>
      </c>
      <c r="CW241" s="58">
        <f t="shared" si="1517"/>
        <v>397641.40589285758</v>
      </c>
      <c r="CX241" s="58">
        <f t="shared" si="1517"/>
        <v>397641.40589285758</v>
      </c>
      <c r="CY241" s="58">
        <f t="shared" si="1517"/>
        <v>397641.40589285758</v>
      </c>
      <c r="CZ241" s="58">
        <f t="shared" si="1517"/>
        <v>397641.40589285758</v>
      </c>
      <c r="DA241" s="58">
        <f t="shared" si="1517"/>
        <v>397641.40589285758</v>
      </c>
      <c r="DB241" s="58">
        <f t="shared" si="1517"/>
        <v>397641.40589285758</v>
      </c>
      <c r="DC241" s="58">
        <f t="shared" si="1517"/>
        <v>397641.40589285758</v>
      </c>
      <c r="DD241" s="58">
        <f t="shared" si="1517"/>
        <v>397641.40589285758</v>
      </c>
      <c r="DE241" s="58">
        <f t="shared" si="1517"/>
        <v>0</v>
      </c>
      <c r="DF241" s="58">
        <f t="shared" si="1517"/>
        <v>0</v>
      </c>
      <c r="DG241" s="58">
        <f t="shared" si="1517"/>
        <v>3976414.0589285754</v>
      </c>
      <c r="DH241" s="118"/>
      <c r="DI241" s="58">
        <f t="shared" ref="DI241:DU241" si="1518">+SUM(DI242:DI247)</f>
        <v>397641.40589285758</v>
      </c>
      <c r="DJ241" s="58">
        <f t="shared" si="1518"/>
        <v>397641.40589285758</v>
      </c>
      <c r="DK241" s="58">
        <f t="shared" si="1518"/>
        <v>397641.40589285758</v>
      </c>
      <c r="DL241" s="58">
        <f t="shared" si="1518"/>
        <v>397641.40589285758</v>
      </c>
      <c r="DM241" s="58">
        <f t="shared" si="1518"/>
        <v>397641.40589285758</v>
      </c>
      <c r="DN241" s="58">
        <f t="shared" si="1518"/>
        <v>397641.40589285758</v>
      </c>
      <c r="DO241" s="58">
        <f t="shared" si="1518"/>
        <v>397641.40589285758</v>
      </c>
      <c r="DP241" s="58">
        <f t="shared" si="1518"/>
        <v>397641.40589285758</v>
      </c>
      <c r="DQ241" s="58">
        <f t="shared" si="1518"/>
        <v>397641.40589285758</v>
      </c>
      <c r="DR241" s="58">
        <f t="shared" si="1518"/>
        <v>397641.40589285758</v>
      </c>
      <c r="DS241" s="58">
        <f t="shared" si="1518"/>
        <v>397641.40589285758</v>
      </c>
      <c r="DT241" s="58">
        <f t="shared" si="1518"/>
        <v>397641.40589285758</v>
      </c>
      <c r="DU241" s="58">
        <f t="shared" si="1518"/>
        <v>4771696.8707142901</v>
      </c>
      <c r="DV241" s="106"/>
      <c r="DW241" s="58">
        <f t="shared" ref="DW241:EI241" si="1519">+SUM(DW242:DW247)</f>
        <v>0</v>
      </c>
      <c r="DX241" s="58">
        <f t="shared" si="1519"/>
        <v>0</v>
      </c>
      <c r="DY241" s="58">
        <f t="shared" si="1519"/>
        <v>0</v>
      </c>
      <c r="DZ241" s="58">
        <f t="shared" si="1519"/>
        <v>0</v>
      </c>
      <c r="EA241" s="58">
        <f t="shared" si="1519"/>
        <v>0</v>
      </c>
      <c r="EB241" s="58">
        <f t="shared" si="1519"/>
        <v>0</v>
      </c>
      <c r="EC241" s="58">
        <f t="shared" si="1519"/>
        <v>0</v>
      </c>
      <c r="ED241" s="58">
        <f t="shared" si="1519"/>
        <v>0</v>
      </c>
      <c r="EE241" s="58">
        <f t="shared" si="1519"/>
        <v>0</v>
      </c>
      <c r="EF241" s="58">
        <f t="shared" si="1519"/>
        <v>0</v>
      </c>
      <c r="EG241" s="58">
        <f t="shared" si="1519"/>
        <v>0</v>
      </c>
      <c r="EH241" s="58">
        <f t="shared" si="1519"/>
        <v>0</v>
      </c>
      <c r="EI241" s="58">
        <f t="shared" si="1519"/>
        <v>0</v>
      </c>
      <c r="EJ241" s="17" t="str">
        <f t="shared" si="1509"/>
        <v>Depreciation</v>
      </c>
      <c r="EK241" s="58">
        <f t="shared" ref="EK241:EW241" si="1520">+SUM(EK242:EK247)</f>
        <v>1171545.42</v>
      </c>
      <c r="EL241" s="58">
        <f t="shared" si="1520"/>
        <v>1171545.42</v>
      </c>
      <c r="EM241" s="58">
        <f t="shared" si="1520"/>
        <v>1171545.42</v>
      </c>
      <c r="EN241" s="58">
        <f t="shared" si="1520"/>
        <v>1171545.42</v>
      </c>
      <c r="EO241" s="58">
        <f t="shared" si="1520"/>
        <v>1171545.42</v>
      </c>
      <c r="EP241" s="58">
        <f t="shared" si="1520"/>
        <v>1171545.42</v>
      </c>
      <c r="EQ241" s="58">
        <f t="shared" si="1520"/>
        <v>1171545.42</v>
      </c>
      <c r="ER241" s="58">
        <f t="shared" si="1520"/>
        <v>1171545.42</v>
      </c>
      <c r="ES241" s="58">
        <f t="shared" si="1520"/>
        <v>1171545.42</v>
      </c>
      <c r="ET241" s="58">
        <f t="shared" si="1520"/>
        <v>1171545.42</v>
      </c>
      <c r="EU241" s="58">
        <f t="shared" si="1520"/>
        <v>0</v>
      </c>
      <c r="EV241" s="58">
        <f t="shared" si="1520"/>
        <v>0</v>
      </c>
      <c r="EW241" s="58">
        <f t="shared" si="1520"/>
        <v>11715454.199999999</v>
      </c>
      <c r="EX241" s="118"/>
      <c r="EY241" s="58">
        <f t="shared" ref="EY241:FK241" si="1521">+SUM(EY242:EY247)</f>
        <v>1171545.42</v>
      </c>
      <c r="EZ241" s="58">
        <f t="shared" si="1521"/>
        <v>1171545.42</v>
      </c>
      <c r="FA241" s="58">
        <f t="shared" si="1521"/>
        <v>1171545.42</v>
      </c>
      <c r="FB241" s="58">
        <f t="shared" si="1521"/>
        <v>1171545.42</v>
      </c>
      <c r="FC241" s="58">
        <f t="shared" si="1521"/>
        <v>1171545.42</v>
      </c>
      <c r="FD241" s="58">
        <f t="shared" si="1521"/>
        <v>1171545.42</v>
      </c>
      <c r="FE241" s="58">
        <f t="shared" si="1521"/>
        <v>1171545.42</v>
      </c>
      <c r="FF241" s="58">
        <f t="shared" si="1521"/>
        <v>1171545.42</v>
      </c>
      <c r="FG241" s="58">
        <f t="shared" si="1521"/>
        <v>1171545.42</v>
      </c>
      <c r="FH241" s="58">
        <f t="shared" si="1521"/>
        <v>1171545.42</v>
      </c>
      <c r="FI241" s="58">
        <f t="shared" si="1521"/>
        <v>1171545.42</v>
      </c>
      <c r="FJ241" s="58">
        <f t="shared" si="1521"/>
        <v>1171545.42</v>
      </c>
      <c r="FK241" s="58">
        <f t="shared" si="1521"/>
        <v>14058545.039999999</v>
      </c>
    </row>
    <row r="242" spans="1:167" ht="14.45" hidden="1" customHeight="1" outlineLevel="1">
      <c r="A242" s="106">
        <f t="shared" ref="A242:L247" si="1522">+AQ242+CG242+DW242</f>
        <v>0</v>
      </c>
      <c r="B242" s="106">
        <f t="shared" si="1522"/>
        <v>0</v>
      </c>
      <c r="C242" s="106">
        <f t="shared" si="1522"/>
        <v>0</v>
      </c>
      <c r="D242" s="106">
        <f t="shared" si="1522"/>
        <v>0</v>
      </c>
      <c r="E242" s="106">
        <f t="shared" si="1522"/>
        <v>0</v>
      </c>
      <c r="F242" s="106">
        <f t="shared" si="1522"/>
        <v>0</v>
      </c>
      <c r="G242" s="106">
        <f t="shared" si="1522"/>
        <v>0</v>
      </c>
      <c r="H242" s="106">
        <f t="shared" si="1522"/>
        <v>0</v>
      </c>
      <c r="I242" s="106">
        <f t="shared" si="1522"/>
        <v>0</v>
      </c>
      <c r="J242" s="106">
        <f t="shared" si="1522"/>
        <v>0</v>
      </c>
      <c r="K242" s="106">
        <f t="shared" si="1522"/>
        <v>0</v>
      </c>
      <c r="L242" s="106">
        <f t="shared" si="1522"/>
        <v>0</v>
      </c>
      <c r="M242" s="106">
        <f t="shared" ref="M242:M247" si="1523">+SUM(A242:L242)</f>
        <v>0</v>
      </c>
      <c r="N242" s="16" t="s">
        <v>200</v>
      </c>
      <c r="O242" s="106">
        <f t="shared" ref="O242:Z247" si="1524">+BE242+CU242+EK242</f>
        <v>0</v>
      </c>
      <c r="P242" s="106">
        <f t="shared" si="1524"/>
        <v>0</v>
      </c>
      <c r="Q242" s="106">
        <f t="shared" si="1524"/>
        <v>0</v>
      </c>
      <c r="R242" s="106">
        <f t="shared" si="1524"/>
        <v>0</v>
      </c>
      <c r="S242" s="106">
        <f t="shared" si="1524"/>
        <v>0</v>
      </c>
      <c r="T242" s="106">
        <f t="shared" si="1524"/>
        <v>0</v>
      </c>
      <c r="U242" s="106">
        <f t="shared" si="1524"/>
        <v>0</v>
      </c>
      <c r="V242" s="106">
        <f t="shared" si="1524"/>
        <v>0</v>
      </c>
      <c r="W242" s="106">
        <f t="shared" si="1524"/>
        <v>0</v>
      </c>
      <c r="X242" s="106">
        <f t="shared" si="1524"/>
        <v>0</v>
      </c>
      <c r="Y242" s="106">
        <f t="shared" si="1524"/>
        <v>0</v>
      </c>
      <c r="Z242" s="106">
        <f t="shared" si="1524"/>
        <v>0</v>
      </c>
      <c r="AA242" s="106">
        <f t="shared" ref="AA242:AA247" si="1525">+SUM(O242:Z242)</f>
        <v>0</v>
      </c>
      <c r="AB242" s="118"/>
      <c r="AC242" s="106">
        <f t="shared" ref="AC242:AN247" si="1526">+BS242+DI242+EY242</f>
        <v>0</v>
      </c>
      <c r="AD242" s="106">
        <f t="shared" si="1526"/>
        <v>0</v>
      </c>
      <c r="AE242" s="106">
        <f t="shared" si="1526"/>
        <v>0</v>
      </c>
      <c r="AF242" s="106">
        <f t="shared" si="1526"/>
        <v>0</v>
      </c>
      <c r="AG242" s="106">
        <f t="shared" si="1526"/>
        <v>0</v>
      </c>
      <c r="AH242" s="106">
        <f t="shared" si="1526"/>
        <v>0</v>
      </c>
      <c r="AI242" s="106">
        <f t="shared" si="1526"/>
        <v>0</v>
      </c>
      <c r="AJ242" s="106">
        <f t="shared" si="1526"/>
        <v>0</v>
      </c>
      <c r="AK242" s="106">
        <f t="shared" si="1526"/>
        <v>0</v>
      </c>
      <c r="AL242" s="106">
        <f t="shared" si="1526"/>
        <v>0</v>
      </c>
      <c r="AM242" s="106">
        <f t="shared" si="1526"/>
        <v>0</v>
      </c>
      <c r="AN242" s="106">
        <f t="shared" si="1526"/>
        <v>0</v>
      </c>
      <c r="AO242" s="106">
        <f t="shared" ref="AO242:AO247" si="1527">+SUM(AC242:AN242)</f>
        <v>0</v>
      </c>
      <c r="AP242" s="106"/>
      <c r="AQ242" s="106">
        <f>+PMGR!AQ242+BP!AQ242</f>
        <v>0</v>
      </c>
      <c r="AR242" s="106">
        <f>+PMGR!AR242+BP!AR242</f>
        <v>0</v>
      </c>
      <c r="AS242" s="106">
        <f>+PMGR!AS242+BP!AS242</f>
        <v>0</v>
      </c>
      <c r="AT242" s="106">
        <f>+PMGR!AT242+BP!AT242</f>
        <v>0</v>
      </c>
      <c r="AU242" s="106">
        <f>+PMGR!AU242+BP!AU242</f>
        <v>0</v>
      </c>
      <c r="AV242" s="106">
        <f>+PMGR!AV242+BP!AV242</f>
        <v>0</v>
      </c>
      <c r="AW242" s="106">
        <f>+PMGR!AW242+BP!AW242</f>
        <v>0</v>
      </c>
      <c r="AX242" s="106">
        <f>+PMGR!AX242+BP!AX242</f>
        <v>0</v>
      </c>
      <c r="AY242" s="106">
        <f>+PMGR!AY242+BP!AY242</f>
        <v>0</v>
      </c>
      <c r="AZ242" s="106">
        <f>+PMGR!AZ242+BP!AZ242</f>
        <v>0</v>
      </c>
      <c r="BA242" s="106">
        <f>+PMGR!BA242+BP!BA242</f>
        <v>0</v>
      </c>
      <c r="BB242" s="106">
        <f>+PMGR!BB242+BP!BB242</f>
        <v>0</v>
      </c>
      <c r="BC242" s="106">
        <f t="shared" ref="BC242:BC246" si="1528">+SUM(AQ242:BB242)</f>
        <v>0</v>
      </c>
      <c r="BD242" s="16" t="str">
        <f t="shared" si="961"/>
        <v>Amortization - Intangible Assets</v>
      </c>
      <c r="BE242" s="106">
        <f>+PMGR!BE242+BP!BE242</f>
        <v>0</v>
      </c>
      <c r="BF242" s="106">
        <f>+PMGR!BF242+BP!BF242</f>
        <v>0</v>
      </c>
      <c r="BG242" s="106">
        <f>+PMGR!BG242+BP!BG242</f>
        <v>0</v>
      </c>
      <c r="BH242" s="106">
        <f>+PMGR!BH242+BP!BH242</f>
        <v>0</v>
      </c>
      <c r="BI242" s="106">
        <f>+PMGR!BI242+BP!BI242</f>
        <v>0</v>
      </c>
      <c r="BJ242" s="106">
        <f>+PMGR!BJ242+BP!BJ242</f>
        <v>0</v>
      </c>
      <c r="BK242" s="106">
        <f>+PMGR!BK242+BP!BK242</f>
        <v>0</v>
      </c>
      <c r="BL242" s="106">
        <f>+PMGR!BL242+BP!BL242</f>
        <v>0</v>
      </c>
      <c r="BM242" s="106">
        <f>+PMGR!BM242+BP!BM242</f>
        <v>0</v>
      </c>
      <c r="BN242" s="106">
        <f>+PMGR!BN242+BP!BN242</f>
        <v>0</v>
      </c>
      <c r="BO242" s="106">
        <f>+PMGR!BO242+BP!BO242</f>
        <v>0</v>
      </c>
      <c r="BP242" s="106">
        <f>+PMGR!BP242+BP!BP242</f>
        <v>0</v>
      </c>
      <c r="BQ242" s="106">
        <f t="shared" ref="BQ242:BQ246" si="1529">+SUM(BE242:BP242)</f>
        <v>0</v>
      </c>
      <c r="BR242" s="118"/>
      <c r="BS242" s="106">
        <f>+PMGR!BS242+BP!BS242</f>
        <v>0</v>
      </c>
      <c r="BT242" s="106">
        <f>+PMGR!BT242+BP!BT242</f>
        <v>0</v>
      </c>
      <c r="BU242" s="106">
        <f>+PMGR!BU242+BP!BU242</f>
        <v>0</v>
      </c>
      <c r="BV242" s="106">
        <f>+PMGR!BV242+BP!BV242</f>
        <v>0</v>
      </c>
      <c r="BW242" s="106">
        <f>+PMGR!BW242+BP!BW242</f>
        <v>0</v>
      </c>
      <c r="BX242" s="106">
        <f>+PMGR!BX242+BP!BX242</f>
        <v>0</v>
      </c>
      <c r="BY242" s="106">
        <f>+PMGR!BY242+BP!BY242</f>
        <v>0</v>
      </c>
      <c r="BZ242" s="106">
        <f>+PMGR!BZ242+BP!BZ242</f>
        <v>0</v>
      </c>
      <c r="CA242" s="106">
        <f>+PMGR!CA242+BP!CA242</f>
        <v>0</v>
      </c>
      <c r="CB242" s="106">
        <f>+PMGR!CB242+BP!CB242</f>
        <v>0</v>
      </c>
      <c r="CC242" s="106">
        <f>+PMGR!CC242+BP!CC242</f>
        <v>0</v>
      </c>
      <c r="CD242" s="106">
        <f>+PMGR!CD242+BP!CD242</f>
        <v>0</v>
      </c>
      <c r="CE242" s="106">
        <f t="shared" ref="CE242:CE246" si="1530">+SUM(BS242:CD242)</f>
        <v>0</v>
      </c>
      <c r="CF242" s="106"/>
      <c r="CG242" s="106">
        <f>+PMGR!CG242+BP!CG242</f>
        <v>0</v>
      </c>
      <c r="CH242" s="106">
        <f>+PMGR!CH242+BP!CH242</f>
        <v>0</v>
      </c>
      <c r="CI242" s="106">
        <f>+PMGR!CI242+BP!CI242</f>
        <v>0</v>
      </c>
      <c r="CJ242" s="106">
        <f>+PMGR!CJ242+BP!CJ242</f>
        <v>0</v>
      </c>
      <c r="CK242" s="106">
        <f>+PMGR!CK242+BP!CK242</f>
        <v>0</v>
      </c>
      <c r="CL242" s="106">
        <f>+PMGR!CL242+BP!CL242</f>
        <v>0</v>
      </c>
      <c r="CM242" s="106">
        <f>+PMGR!CM242+BP!CM242</f>
        <v>0</v>
      </c>
      <c r="CN242" s="106">
        <f>+PMGR!CN242+BP!CN242</f>
        <v>0</v>
      </c>
      <c r="CO242" s="106">
        <f>+PMGR!CO242+BP!CO242</f>
        <v>0</v>
      </c>
      <c r="CP242" s="106">
        <f>+PMGR!CP242+BP!CP242</f>
        <v>0</v>
      </c>
      <c r="CQ242" s="106">
        <f>+PMGR!CQ242+BP!CQ242</f>
        <v>0</v>
      </c>
      <c r="CR242" s="106">
        <f>+PMGR!CR242+BP!CR242</f>
        <v>0</v>
      </c>
      <c r="CS242" s="106">
        <f t="shared" ref="CS242:CS246" si="1531">+SUM(CG242:CR242)</f>
        <v>0</v>
      </c>
      <c r="CT242" s="16" t="str">
        <f t="shared" si="962"/>
        <v>Amortization - Intangible Assets</v>
      </c>
      <c r="CU242" s="106">
        <f>+PMGR!CU242+BP!CU242</f>
        <v>0</v>
      </c>
      <c r="CV242" s="106">
        <f>+PMGR!CV242+BP!CV242</f>
        <v>0</v>
      </c>
      <c r="CW242" s="106">
        <f>+PMGR!CW242+BP!CW242</f>
        <v>0</v>
      </c>
      <c r="CX242" s="106">
        <f>+PMGR!CX242+BP!CX242</f>
        <v>0</v>
      </c>
      <c r="CY242" s="106">
        <f>+PMGR!CY242+BP!CY242</f>
        <v>0</v>
      </c>
      <c r="CZ242" s="106">
        <f>+PMGR!CZ242+BP!CZ242</f>
        <v>0</v>
      </c>
      <c r="DA242" s="106">
        <f>+PMGR!DA242+BP!DA242</f>
        <v>0</v>
      </c>
      <c r="DB242" s="106">
        <f>+PMGR!DB242+BP!DB242</f>
        <v>0</v>
      </c>
      <c r="DC242" s="106">
        <f>+PMGR!DC242+BP!DC242</f>
        <v>0</v>
      </c>
      <c r="DD242" s="106">
        <f>+PMGR!DD242+BP!DD242</f>
        <v>0</v>
      </c>
      <c r="DE242" s="106">
        <f>+PMGR!DE242+BP!DE242</f>
        <v>0</v>
      </c>
      <c r="DF242" s="106">
        <f>+PMGR!DF242+BP!DF242</f>
        <v>0</v>
      </c>
      <c r="DG242" s="106">
        <f t="shared" ref="DG242:DG246" si="1532">+SUM(CU242:DF242)</f>
        <v>0</v>
      </c>
      <c r="DH242" s="118"/>
      <c r="DI242" s="106">
        <f>+PMGR!DI242+BP!DI242</f>
        <v>0</v>
      </c>
      <c r="DJ242" s="106">
        <f>+PMGR!DJ242+BP!DJ242</f>
        <v>0</v>
      </c>
      <c r="DK242" s="106">
        <f>+PMGR!DK242+BP!DK242</f>
        <v>0</v>
      </c>
      <c r="DL242" s="106">
        <f>+PMGR!DL242+BP!DL242</f>
        <v>0</v>
      </c>
      <c r="DM242" s="106">
        <f>+PMGR!DM242+BP!DM242</f>
        <v>0</v>
      </c>
      <c r="DN242" s="106">
        <f>+PMGR!DN242+BP!DN242</f>
        <v>0</v>
      </c>
      <c r="DO242" s="106">
        <f>+PMGR!DO242+BP!DO242</f>
        <v>0</v>
      </c>
      <c r="DP242" s="106">
        <f>+PMGR!DP242+BP!DP242</f>
        <v>0</v>
      </c>
      <c r="DQ242" s="106">
        <f>+PMGR!DQ242+BP!DQ242</f>
        <v>0</v>
      </c>
      <c r="DR242" s="106">
        <f>+PMGR!DR242+BP!DR242</f>
        <v>0</v>
      </c>
      <c r="DS242" s="106">
        <f>+PMGR!DS242+BP!DS242</f>
        <v>0</v>
      </c>
      <c r="DT242" s="106">
        <f>+PMGR!DT242+BP!DT242</f>
        <v>0</v>
      </c>
      <c r="DU242" s="106">
        <f t="shared" ref="DU242:DU246" si="1533">+SUM(DI242:DT242)</f>
        <v>0</v>
      </c>
      <c r="DV242" s="106"/>
      <c r="DW242" s="106">
        <f>+PMGR!DW242+BP!DW242</f>
        <v>0</v>
      </c>
      <c r="DX242" s="106">
        <f>+PMGR!DX242+BP!DX242</f>
        <v>0</v>
      </c>
      <c r="DY242" s="106">
        <f>+PMGR!DY242+BP!DY242</f>
        <v>0</v>
      </c>
      <c r="DZ242" s="106">
        <f>+PMGR!DZ242+BP!DZ242</f>
        <v>0</v>
      </c>
      <c r="EA242" s="106">
        <f>+PMGR!EA242+BP!EA242</f>
        <v>0</v>
      </c>
      <c r="EB242" s="106">
        <f>+PMGR!EB242+BP!EB242</f>
        <v>0</v>
      </c>
      <c r="EC242" s="106">
        <f>+PMGR!EC242+BP!EC242</f>
        <v>0</v>
      </c>
      <c r="ED242" s="106">
        <f>+PMGR!ED242+BP!ED242</f>
        <v>0</v>
      </c>
      <c r="EE242" s="106">
        <f>+PMGR!EE242+BP!EE242</f>
        <v>0</v>
      </c>
      <c r="EF242" s="106">
        <f>+PMGR!EF242+BP!EF242</f>
        <v>0</v>
      </c>
      <c r="EG242" s="106">
        <f>+PMGR!EG242+BP!EG242</f>
        <v>0</v>
      </c>
      <c r="EH242" s="106">
        <f>+PMGR!EH242+BP!EH242</f>
        <v>0</v>
      </c>
      <c r="EI242" s="106">
        <f t="shared" ref="EI242:EI246" si="1534">+SUM(DW242:EH242)</f>
        <v>0</v>
      </c>
      <c r="EJ242" s="16" t="str">
        <f t="shared" si="1509"/>
        <v>Amortization - Intangible Assets</v>
      </c>
      <c r="EK242" s="106">
        <f>+PMGR!EK242+BP!EK242</f>
        <v>0</v>
      </c>
      <c r="EL242" s="106">
        <f>+PMGR!EL242+BP!EL242</f>
        <v>0</v>
      </c>
      <c r="EM242" s="106">
        <f>+PMGR!EM242+BP!EM242</f>
        <v>0</v>
      </c>
      <c r="EN242" s="106">
        <f>+PMGR!EN242+BP!EN242</f>
        <v>0</v>
      </c>
      <c r="EO242" s="106">
        <f>+PMGR!EO242+BP!EO242</f>
        <v>0</v>
      </c>
      <c r="EP242" s="106">
        <f>+PMGR!EP242+BP!EP242</f>
        <v>0</v>
      </c>
      <c r="EQ242" s="106">
        <f>+PMGR!EQ242+BP!EQ242</f>
        <v>0</v>
      </c>
      <c r="ER242" s="106">
        <f>+PMGR!ER242+BP!ER242</f>
        <v>0</v>
      </c>
      <c r="ES242" s="106">
        <f>+PMGR!ES242+BP!ES242</f>
        <v>0</v>
      </c>
      <c r="ET242" s="106">
        <f>+PMGR!ET242+BP!ET242</f>
        <v>0</v>
      </c>
      <c r="EU242" s="106">
        <f>+PMGR!EU242+BP!EU242</f>
        <v>0</v>
      </c>
      <c r="EV242" s="106">
        <f>+PMGR!EV242+BP!EV242</f>
        <v>0</v>
      </c>
      <c r="EW242" s="106">
        <f t="shared" ref="EW242:EW246" si="1535">+SUM(EK242:EV242)</f>
        <v>0</v>
      </c>
      <c r="EX242" s="118"/>
      <c r="EY242" s="106">
        <f>+PMGR!EY242+BP!EY242</f>
        <v>0</v>
      </c>
      <c r="EZ242" s="106">
        <f>+PMGR!EZ242+BP!EZ242</f>
        <v>0</v>
      </c>
      <c r="FA242" s="106">
        <f>+PMGR!FA242+BP!FA242</f>
        <v>0</v>
      </c>
      <c r="FB242" s="106">
        <f>+PMGR!FB242+BP!FB242</f>
        <v>0</v>
      </c>
      <c r="FC242" s="106">
        <f>+PMGR!FC242+BP!FC242</f>
        <v>0</v>
      </c>
      <c r="FD242" s="106">
        <f>+PMGR!FD242+BP!FD242</f>
        <v>0</v>
      </c>
      <c r="FE242" s="106">
        <f>+PMGR!FE242+BP!FE242</f>
        <v>0</v>
      </c>
      <c r="FF242" s="106">
        <f>+PMGR!FF242+BP!FF242</f>
        <v>0</v>
      </c>
      <c r="FG242" s="106">
        <f>+PMGR!FG242+BP!FG242</f>
        <v>0</v>
      </c>
      <c r="FH242" s="106">
        <f>+PMGR!FH242+BP!FH242</f>
        <v>0</v>
      </c>
      <c r="FI242" s="106">
        <f>+PMGR!FI242+BP!FI242</f>
        <v>0</v>
      </c>
      <c r="FJ242" s="106">
        <f>+PMGR!FJ242+BP!FJ242</f>
        <v>0</v>
      </c>
      <c r="FK242" s="106">
        <f t="shared" ref="FK242:FK246" si="1536">+SUM(EY242:FJ242)</f>
        <v>0</v>
      </c>
    </row>
    <row r="243" spans="1:167" ht="14.45" hidden="1" customHeight="1" outlineLevel="1">
      <c r="A243" s="106">
        <f t="shared" si="1522"/>
        <v>1623221.4828869049</v>
      </c>
      <c r="B243" s="106">
        <f t="shared" si="1522"/>
        <v>1623221.4828869049</v>
      </c>
      <c r="C243" s="106">
        <f t="shared" si="1522"/>
        <v>1623221.4828869049</v>
      </c>
      <c r="D243" s="106">
        <f t="shared" si="1522"/>
        <v>1623221.4828869049</v>
      </c>
      <c r="E243" s="106">
        <f t="shared" si="1522"/>
        <v>1623221.4828869049</v>
      </c>
      <c r="F243" s="106">
        <f t="shared" si="1522"/>
        <v>1623221.4828869049</v>
      </c>
      <c r="G243" s="106">
        <f t="shared" si="1522"/>
        <v>1623221.4828869049</v>
      </c>
      <c r="H243" s="106">
        <f t="shared" si="1522"/>
        <v>1623221.4828869049</v>
      </c>
      <c r="I243" s="106">
        <f t="shared" si="1522"/>
        <v>1623221.4828869049</v>
      </c>
      <c r="J243" s="106">
        <f t="shared" si="1522"/>
        <v>1623221.4828869049</v>
      </c>
      <c r="K243" s="106">
        <f t="shared" si="1522"/>
        <v>1623221.4828869049</v>
      </c>
      <c r="L243" s="106">
        <f t="shared" si="1522"/>
        <v>1623221.4828869049</v>
      </c>
      <c r="M243" s="106">
        <f t="shared" si="1523"/>
        <v>19478657.794642858</v>
      </c>
      <c r="N243" s="16" t="s">
        <v>238</v>
      </c>
      <c r="O243" s="106">
        <f t="shared" si="1524"/>
        <v>2630989.1547886906</v>
      </c>
      <c r="P243" s="106">
        <f t="shared" si="1524"/>
        <v>2630989.1547886906</v>
      </c>
      <c r="Q243" s="106">
        <f t="shared" si="1524"/>
        <v>2630989.1547886906</v>
      </c>
      <c r="R243" s="106">
        <f t="shared" si="1524"/>
        <v>2630989.1547886906</v>
      </c>
      <c r="S243" s="106">
        <f t="shared" si="1524"/>
        <v>2630989.1547886906</v>
      </c>
      <c r="T243" s="106">
        <f t="shared" si="1524"/>
        <v>2630989.1547886906</v>
      </c>
      <c r="U243" s="106">
        <f t="shared" si="1524"/>
        <v>2630989.1547886906</v>
      </c>
      <c r="V243" s="106">
        <f t="shared" si="1524"/>
        <v>2630989.1547886906</v>
      </c>
      <c r="W243" s="106">
        <f t="shared" si="1524"/>
        <v>2630989.1547886906</v>
      </c>
      <c r="X243" s="106">
        <f t="shared" si="1524"/>
        <v>2630989.1547886906</v>
      </c>
      <c r="Y243" s="106">
        <f t="shared" si="1524"/>
        <v>0</v>
      </c>
      <c r="Z243" s="106">
        <f t="shared" si="1524"/>
        <v>0</v>
      </c>
      <c r="AA243" s="106">
        <f t="shared" si="1525"/>
        <v>26309891.547886912</v>
      </c>
      <c r="AB243" s="118"/>
      <c r="AC243" s="106">
        <f t="shared" si="1526"/>
        <v>2630989.1547886906</v>
      </c>
      <c r="AD243" s="106">
        <f t="shared" si="1526"/>
        <v>2630989.1547886906</v>
      </c>
      <c r="AE243" s="106">
        <f t="shared" si="1526"/>
        <v>2630989.1547886906</v>
      </c>
      <c r="AF243" s="106">
        <f t="shared" si="1526"/>
        <v>2630989.1547886906</v>
      </c>
      <c r="AG243" s="106">
        <f t="shared" si="1526"/>
        <v>2630989.1547886906</v>
      </c>
      <c r="AH243" s="106">
        <f t="shared" si="1526"/>
        <v>2630989.1547886906</v>
      </c>
      <c r="AI243" s="106">
        <f t="shared" si="1526"/>
        <v>2630989.1547886906</v>
      </c>
      <c r="AJ243" s="106">
        <f t="shared" si="1526"/>
        <v>2630989.1547886906</v>
      </c>
      <c r="AK243" s="106">
        <f t="shared" si="1526"/>
        <v>2630989.1547886906</v>
      </c>
      <c r="AL243" s="106">
        <f t="shared" si="1526"/>
        <v>2630989.1547886906</v>
      </c>
      <c r="AM243" s="106">
        <f t="shared" si="1526"/>
        <v>2630989.1547886906</v>
      </c>
      <c r="AN243" s="106">
        <f t="shared" si="1526"/>
        <v>2630989.1547886906</v>
      </c>
      <c r="AO243" s="106">
        <f t="shared" si="1527"/>
        <v>31571869.857464295</v>
      </c>
      <c r="AP243" s="106"/>
      <c r="AQ243" s="106">
        <f>+PMGR!AQ243+BP!AQ243</f>
        <v>1136255.0380208334</v>
      </c>
      <c r="AR243" s="106">
        <f>+PMGR!AR243+BP!AR243</f>
        <v>1136255.0380208334</v>
      </c>
      <c r="AS243" s="106">
        <f>+PMGR!AS243+BP!AS243</f>
        <v>1136255.0380208334</v>
      </c>
      <c r="AT243" s="106">
        <f>+PMGR!AT243+BP!AT243</f>
        <v>1136255.0380208334</v>
      </c>
      <c r="AU243" s="106">
        <f>+PMGR!AU243+BP!AU243</f>
        <v>1136255.0380208334</v>
      </c>
      <c r="AV243" s="106">
        <f>+PMGR!AV243+BP!AV243</f>
        <v>1136255.0380208334</v>
      </c>
      <c r="AW243" s="106">
        <f>+PMGR!AW243+BP!AW243</f>
        <v>1136255.0380208334</v>
      </c>
      <c r="AX243" s="106">
        <f>+PMGR!AX243+BP!AX243</f>
        <v>1136255.0380208334</v>
      </c>
      <c r="AY243" s="106">
        <f>+PMGR!AY243+BP!AY243</f>
        <v>1136255.0380208334</v>
      </c>
      <c r="AZ243" s="106">
        <f>+PMGR!AZ243+BP!AZ243</f>
        <v>1136255.0380208334</v>
      </c>
      <c r="BA243" s="106">
        <f>+PMGR!BA243+BP!BA243</f>
        <v>1136255.0380208334</v>
      </c>
      <c r="BB243" s="106">
        <f>+PMGR!BB243+BP!BB243</f>
        <v>1136255.0380208334</v>
      </c>
      <c r="BC243" s="106">
        <f t="shared" si="1528"/>
        <v>13635060.456250004</v>
      </c>
      <c r="BD243" s="16" t="str">
        <f t="shared" si="961"/>
        <v>Depreciation  - Building</v>
      </c>
      <c r="BE243" s="106">
        <f>+PMGR!BE243+BP!BE243</f>
        <v>1061802.3288958329</v>
      </c>
      <c r="BF243" s="106">
        <f>+PMGR!BF243+BP!BF243</f>
        <v>1061802.3288958329</v>
      </c>
      <c r="BG243" s="106">
        <f>+PMGR!BG243+BP!BG243</f>
        <v>1061802.3288958329</v>
      </c>
      <c r="BH243" s="106">
        <f>+PMGR!BH243+BP!BH243</f>
        <v>1061802.3288958329</v>
      </c>
      <c r="BI243" s="106">
        <f>+PMGR!BI243+BP!BI243</f>
        <v>1061802.3288958329</v>
      </c>
      <c r="BJ243" s="106">
        <f>+PMGR!BJ243+BP!BJ243</f>
        <v>1061802.3288958329</v>
      </c>
      <c r="BK243" s="106">
        <f>+PMGR!BK243+BP!BK243</f>
        <v>1061802.3288958329</v>
      </c>
      <c r="BL243" s="106">
        <f>+PMGR!BL243+BP!BL243</f>
        <v>1061802.3288958329</v>
      </c>
      <c r="BM243" s="106">
        <f>+PMGR!BM243+BP!BM243</f>
        <v>1061802.3288958329</v>
      </c>
      <c r="BN243" s="106">
        <f>+PMGR!BN243+BP!BN243</f>
        <v>1061802.3288958329</v>
      </c>
      <c r="BO243" s="106">
        <f>+PMGR!BO243+BP!BO243</f>
        <v>0</v>
      </c>
      <c r="BP243" s="106">
        <f>+PMGR!BP243+BP!BP243</f>
        <v>0</v>
      </c>
      <c r="BQ243" s="106">
        <f t="shared" si="1529"/>
        <v>10618023.288958332</v>
      </c>
      <c r="BR243" s="118"/>
      <c r="BS243" s="106">
        <f>+PMGR!BS243+BP!BS243</f>
        <v>1061802.3288958329</v>
      </c>
      <c r="BT243" s="106">
        <f>+PMGR!BT243+BP!BT243</f>
        <v>1061802.3288958329</v>
      </c>
      <c r="BU243" s="106">
        <f>+PMGR!BU243+BP!BU243</f>
        <v>1061802.3288958329</v>
      </c>
      <c r="BV243" s="106">
        <f>+PMGR!BV243+BP!BV243</f>
        <v>1061802.3288958329</v>
      </c>
      <c r="BW243" s="106">
        <f>+PMGR!BW243+BP!BW243</f>
        <v>1061802.3288958329</v>
      </c>
      <c r="BX243" s="106">
        <f>+PMGR!BX243+BP!BX243</f>
        <v>1061802.3288958329</v>
      </c>
      <c r="BY243" s="106">
        <f>+PMGR!BY243+BP!BY243</f>
        <v>1061802.3288958329</v>
      </c>
      <c r="BZ243" s="106">
        <f>+PMGR!BZ243+BP!BZ243</f>
        <v>1061802.3288958329</v>
      </c>
      <c r="CA243" s="106">
        <f>+PMGR!CA243+BP!CA243</f>
        <v>1061802.3288958329</v>
      </c>
      <c r="CB243" s="106">
        <f>+PMGR!CB243+BP!CB243</f>
        <v>1061802.3288958329</v>
      </c>
      <c r="CC243" s="106">
        <f>+PMGR!CC243+BP!CC243</f>
        <v>1061802.3288958329</v>
      </c>
      <c r="CD243" s="106">
        <f>+PMGR!CD243+BP!CD243</f>
        <v>1061802.3288958329</v>
      </c>
      <c r="CE243" s="106">
        <f t="shared" si="1530"/>
        <v>12741627.946749998</v>
      </c>
      <c r="CF243" s="106"/>
      <c r="CG243" s="106">
        <f>+PMGR!CG243+BP!CG243</f>
        <v>486966.44486607146</v>
      </c>
      <c r="CH243" s="106">
        <f>+PMGR!CH243+BP!CH243</f>
        <v>486966.44486607146</v>
      </c>
      <c r="CI243" s="106">
        <f>+PMGR!CI243+BP!CI243</f>
        <v>486966.44486607146</v>
      </c>
      <c r="CJ243" s="106">
        <f>+PMGR!CJ243+BP!CJ243</f>
        <v>486966.44486607146</v>
      </c>
      <c r="CK243" s="106">
        <f>+PMGR!CK243+BP!CK243</f>
        <v>486966.44486607146</v>
      </c>
      <c r="CL243" s="106">
        <f>+PMGR!CL243+BP!CL243</f>
        <v>486966.44486607146</v>
      </c>
      <c r="CM243" s="106">
        <f>+PMGR!CM243+BP!CM243</f>
        <v>486966.44486607146</v>
      </c>
      <c r="CN243" s="106">
        <f>+PMGR!CN243+BP!CN243</f>
        <v>486966.44486607146</v>
      </c>
      <c r="CO243" s="106">
        <f>+PMGR!CO243+BP!CO243</f>
        <v>486966.44486607146</v>
      </c>
      <c r="CP243" s="106">
        <f>+PMGR!CP243+BP!CP243</f>
        <v>486966.44486607146</v>
      </c>
      <c r="CQ243" s="106">
        <f>+PMGR!CQ243+BP!CQ243</f>
        <v>486966.44486607146</v>
      </c>
      <c r="CR243" s="106">
        <f>+PMGR!CR243+BP!CR243</f>
        <v>486966.44486607146</v>
      </c>
      <c r="CS243" s="106">
        <f t="shared" si="1531"/>
        <v>5843597.3383928575</v>
      </c>
      <c r="CT243" s="16" t="str">
        <f t="shared" si="962"/>
        <v>Depreciation  - Building</v>
      </c>
      <c r="CU243" s="106">
        <f>+PMGR!CU243+BP!CU243</f>
        <v>397641.40589285758</v>
      </c>
      <c r="CV243" s="106">
        <f>+PMGR!CV243+BP!CV243</f>
        <v>397641.40589285758</v>
      </c>
      <c r="CW243" s="106">
        <f>+PMGR!CW243+BP!CW243</f>
        <v>397641.40589285758</v>
      </c>
      <c r="CX243" s="106">
        <f>+PMGR!CX243+BP!CX243</f>
        <v>397641.40589285758</v>
      </c>
      <c r="CY243" s="106">
        <f>+PMGR!CY243+BP!CY243</f>
        <v>397641.40589285758</v>
      </c>
      <c r="CZ243" s="106">
        <f>+PMGR!CZ243+BP!CZ243</f>
        <v>397641.40589285758</v>
      </c>
      <c r="DA243" s="106">
        <f>+PMGR!DA243+BP!DA243</f>
        <v>397641.40589285758</v>
      </c>
      <c r="DB243" s="106">
        <f>+PMGR!DB243+BP!DB243</f>
        <v>397641.40589285758</v>
      </c>
      <c r="DC243" s="106">
        <f>+PMGR!DC243+BP!DC243</f>
        <v>397641.40589285758</v>
      </c>
      <c r="DD243" s="106">
        <f>+PMGR!DD243+BP!DD243</f>
        <v>397641.40589285758</v>
      </c>
      <c r="DE243" s="106">
        <f>+PMGR!DE243+BP!DE243</f>
        <v>0</v>
      </c>
      <c r="DF243" s="106">
        <f>+PMGR!DF243+BP!DF243</f>
        <v>0</v>
      </c>
      <c r="DG243" s="106">
        <f t="shared" si="1532"/>
        <v>3976414.0589285754</v>
      </c>
      <c r="DH243" s="118"/>
      <c r="DI243" s="106">
        <f>+PMGR!DI243+BP!DI243</f>
        <v>397641.40589285758</v>
      </c>
      <c r="DJ243" s="106">
        <f>+PMGR!DJ243+BP!DJ243</f>
        <v>397641.40589285758</v>
      </c>
      <c r="DK243" s="106">
        <f>+PMGR!DK243+BP!DK243</f>
        <v>397641.40589285758</v>
      </c>
      <c r="DL243" s="106">
        <f>+PMGR!DL243+BP!DL243</f>
        <v>397641.40589285758</v>
      </c>
      <c r="DM243" s="106">
        <f>+PMGR!DM243+BP!DM243</f>
        <v>397641.40589285758</v>
      </c>
      <c r="DN243" s="106">
        <f>+PMGR!DN243+BP!DN243</f>
        <v>397641.40589285758</v>
      </c>
      <c r="DO243" s="106">
        <f>+PMGR!DO243+BP!DO243</f>
        <v>397641.40589285758</v>
      </c>
      <c r="DP243" s="106">
        <f>+PMGR!DP243+BP!DP243</f>
        <v>397641.40589285758</v>
      </c>
      <c r="DQ243" s="106">
        <f>+PMGR!DQ243+BP!DQ243</f>
        <v>397641.40589285758</v>
      </c>
      <c r="DR243" s="106">
        <f>+PMGR!DR243+BP!DR243</f>
        <v>397641.40589285758</v>
      </c>
      <c r="DS243" s="106">
        <f>+PMGR!DS243+BP!DS243</f>
        <v>397641.40589285758</v>
      </c>
      <c r="DT243" s="106">
        <f>+PMGR!DT243+BP!DT243</f>
        <v>397641.40589285758</v>
      </c>
      <c r="DU243" s="106">
        <f t="shared" si="1533"/>
        <v>4771696.8707142901</v>
      </c>
      <c r="DV243" s="106"/>
      <c r="DW243" s="106">
        <f>+PMGR!DW243+BP!DW243</f>
        <v>0</v>
      </c>
      <c r="DX243" s="106">
        <f>+PMGR!DX243+BP!DX243</f>
        <v>0</v>
      </c>
      <c r="DY243" s="106">
        <f>+PMGR!DY243+BP!DY243</f>
        <v>0</v>
      </c>
      <c r="DZ243" s="106">
        <f>+PMGR!DZ243+BP!DZ243</f>
        <v>0</v>
      </c>
      <c r="EA243" s="106">
        <f>+PMGR!EA243+BP!EA243</f>
        <v>0</v>
      </c>
      <c r="EB243" s="106">
        <f>+PMGR!EB243+BP!EB243</f>
        <v>0</v>
      </c>
      <c r="EC243" s="106">
        <f>+PMGR!EC243+BP!EC243</f>
        <v>0</v>
      </c>
      <c r="ED243" s="106">
        <f>+PMGR!ED243+BP!ED243</f>
        <v>0</v>
      </c>
      <c r="EE243" s="106">
        <f>+PMGR!EE243+BP!EE243</f>
        <v>0</v>
      </c>
      <c r="EF243" s="106">
        <f>+PMGR!EF243+BP!EF243</f>
        <v>0</v>
      </c>
      <c r="EG243" s="106">
        <f>+PMGR!EG243+BP!EG243</f>
        <v>0</v>
      </c>
      <c r="EH243" s="106">
        <f>+PMGR!EH243+BP!EH243</f>
        <v>0</v>
      </c>
      <c r="EI243" s="106">
        <f t="shared" si="1534"/>
        <v>0</v>
      </c>
      <c r="EJ243" s="16" t="str">
        <f t="shared" si="1509"/>
        <v>Depreciation  - Building</v>
      </c>
      <c r="EK243" s="106">
        <f>+PMGR!EK243+BP!EK243</f>
        <v>1171545.42</v>
      </c>
      <c r="EL243" s="106">
        <f>+PMGR!EL243+BP!EL243</f>
        <v>1171545.42</v>
      </c>
      <c r="EM243" s="106">
        <f>+PMGR!EM243+BP!EM243</f>
        <v>1171545.42</v>
      </c>
      <c r="EN243" s="106">
        <f>+PMGR!EN243+BP!EN243</f>
        <v>1171545.42</v>
      </c>
      <c r="EO243" s="106">
        <f>+PMGR!EO243+BP!EO243</f>
        <v>1171545.42</v>
      </c>
      <c r="EP243" s="106">
        <f>+PMGR!EP243+BP!EP243</f>
        <v>1171545.42</v>
      </c>
      <c r="EQ243" s="106">
        <f>+PMGR!EQ243+BP!EQ243</f>
        <v>1171545.42</v>
      </c>
      <c r="ER243" s="106">
        <f>+PMGR!ER243+BP!ER243</f>
        <v>1171545.42</v>
      </c>
      <c r="ES243" s="106">
        <f>+PMGR!ES243+BP!ES243</f>
        <v>1171545.42</v>
      </c>
      <c r="ET243" s="106">
        <f>+PMGR!ET243+BP!ET243</f>
        <v>1171545.42</v>
      </c>
      <c r="EU243" s="106">
        <f>+PMGR!EU243+BP!EU243</f>
        <v>0</v>
      </c>
      <c r="EV243" s="106">
        <f>+PMGR!EV243+BP!EV243</f>
        <v>0</v>
      </c>
      <c r="EW243" s="106">
        <f t="shared" si="1535"/>
        <v>11715454.199999999</v>
      </c>
      <c r="EX243" s="118"/>
      <c r="EY243" s="106">
        <f>+PMGR!EY243+BP!EY243</f>
        <v>1171545.42</v>
      </c>
      <c r="EZ243" s="106">
        <f>+PMGR!EZ243+BP!EZ243</f>
        <v>1171545.42</v>
      </c>
      <c r="FA243" s="106">
        <f>+PMGR!FA243+BP!FA243</f>
        <v>1171545.42</v>
      </c>
      <c r="FB243" s="106">
        <f>+PMGR!FB243+BP!FB243</f>
        <v>1171545.42</v>
      </c>
      <c r="FC243" s="106">
        <f>+PMGR!FC243+BP!FC243</f>
        <v>1171545.42</v>
      </c>
      <c r="FD243" s="106">
        <f>+PMGR!FD243+BP!FD243</f>
        <v>1171545.42</v>
      </c>
      <c r="FE243" s="106">
        <f>+PMGR!FE243+BP!FE243</f>
        <v>1171545.42</v>
      </c>
      <c r="FF243" s="106">
        <f>+PMGR!FF243+BP!FF243</f>
        <v>1171545.42</v>
      </c>
      <c r="FG243" s="106">
        <f>+PMGR!FG243+BP!FG243</f>
        <v>1171545.42</v>
      </c>
      <c r="FH243" s="106">
        <f>+PMGR!FH243+BP!FH243</f>
        <v>1171545.42</v>
      </c>
      <c r="FI243" s="106">
        <f>+PMGR!FI243+BP!FI243</f>
        <v>1171545.42</v>
      </c>
      <c r="FJ243" s="106">
        <f>+PMGR!FJ243+BP!FJ243</f>
        <v>1171545.42</v>
      </c>
      <c r="FK243" s="106">
        <f t="shared" si="1536"/>
        <v>14058545.039999999</v>
      </c>
    </row>
    <row r="244" spans="1:167" ht="14.45" hidden="1" customHeight="1" outlineLevel="1">
      <c r="A244" s="106">
        <f t="shared" si="1522"/>
        <v>0</v>
      </c>
      <c r="B244" s="106">
        <f t="shared" si="1522"/>
        <v>0</v>
      </c>
      <c r="C244" s="106">
        <f t="shared" si="1522"/>
        <v>0</v>
      </c>
      <c r="D244" s="106">
        <f t="shared" si="1522"/>
        <v>0</v>
      </c>
      <c r="E244" s="106">
        <f t="shared" si="1522"/>
        <v>0</v>
      </c>
      <c r="F244" s="106">
        <f t="shared" si="1522"/>
        <v>0</v>
      </c>
      <c r="G244" s="106">
        <f t="shared" si="1522"/>
        <v>0</v>
      </c>
      <c r="H244" s="106">
        <f t="shared" si="1522"/>
        <v>0</v>
      </c>
      <c r="I244" s="106">
        <f t="shared" si="1522"/>
        <v>0</v>
      </c>
      <c r="J244" s="106">
        <f t="shared" si="1522"/>
        <v>0</v>
      </c>
      <c r="K244" s="106">
        <f t="shared" si="1522"/>
        <v>0</v>
      </c>
      <c r="L244" s="106">
        <f t="shared" si="1522"/>
        <v>0</v>
      </c>
      <c r="M244" s="106">
        <f t="shared" si="1523"/>
        <v>0</v>
      </c>
      <c r="N244" s="16" t="s">
        <v>239</v>
      </c>
      <c r="O244" s="106">
        <f t="shared" si="1524"/>
        <v>0</v>
      </c>
      <c r="P244" s="106">
        <f t="shared" si="1524"/>
        <v>0</v>
      </c>
      <c r="Q244" s="106">
        <f t="shared" si="1524"/>
        <v>0</v>
      </c>
      <c r="R244" s="106">
        <f t="shared" si="1524"/>
        <v>0</v>
      </c>
      <c r="S244" s="106">
        <f t="shared" si="1524"/>
        <v>0</v>
      </c>
      <c r="T244" s="106">
        <f t="shared" si="1524"/>
        <v>0</v>
      </c>
      <c r="U244" s="106">
        <f t="shared" si="1524"/>
        <v>0</v>
      </c>
      <c r="V244" s="106">
        <f t="shared" si="1524"/>
        <v>0</v>
      </c>
      <c r="W244" s="106">
        <f t="shared" si="1524"/>
        <v>0</v>
      </c>
      <c r="X244" s="106">
        <f t="shared" si="1524"/>
        <v>0</v>
      </c>
      <c r="Y244" s="106">
        <f t="shared" si="1524"/>
        <v>0</v>
      </c>
      <c r="Z244" s="106">
        <f t="shared" si="1524"/>
        <v>0</v>
      </c>
      <c r="AA244" s="106">
        <f t="shared" si="1525"/>
        <v>0</v>
      </c>
      <c r="AB244" s="118"/>
      <c r="AC244" s="106">
        <f t="shared" si="1526"/>
        <v>0</v>
      </c>
      <c r="AD244" s="106">
        <f t="shared" si="1526"/>
        <v>0</v>
      </c>
      <c r="AE244" s="106">
        <f t="shared" si="1526"/>
        <v>0</v>
      </c>
      <c r="AF244" s="106">
        <f t="shared" si="1526"/>
        <v>0</v>
      </c>
      <c r="AG244" s="106">
        <f t="shared" si="1526"/>
        <v>0</v>
      </c>
      <c r="AH244" s="106">
        <f t="shared" si="1526"/>
        <v>0</v>
      </c>
      <c r="AI244" s="106">
        <f t="shared" si="1526"/>
        <v>0</v>
      </c>
      <c r="AJ244" s="106">
        <f t="shared" si="1526"/>
        <v>0</v>
      </c>
      <c r="AK244" s="106">
        <f t="shared" si="1526"/>
        <v>0</v>
      </c>
      <c r="AL244" s="106">
        <f t="shared" si="1526"/>
        <v>0</v>
      </c>
      <c r="AM244" s="106">
        <f t="shared" si="1526"/>
        <v>0</v>
      </c>
      <c r="AN244" s="106">
        <f t="shared" si="1526"/>
        <v>0</v>
      </c>
      <c r="AO244" s="106">
        <f t="shared" si="1527"/>
        <v>0</v>
      </c>
      <c r="AP244" s="106"/>
      <c r="AQ244" s="106">
        <f>+PMGR!AQ244+BP!AQ244</f>
        <v>0</v>
      </c>
      <c r="AR244" s="106">
        <f>+PMGR!AR244+BP!AR244</f>
        <v>0</v>
      </c>
      <c r="AS244" s="106">
        <f>+PMGR!AS244+BP!AS244</f>
        <v>0</v>
      </c>
      <c r="AT244" s="106">
        <f>+PMGR!AT244+BP!AT244</f>
        <v>0</v>
      </c>
      <c r="AU244" s="106">
        <f>+PMGR!AU244+BP!AU244</f>
        <v>0</v>
      </c>
      <c r="AV244" s="106">
        <f>+PMGR!AV244+BP!AV244</f>
        <v>0</v>
      </c>
      <c r="AW244" s="106">
        <f>+PMGR!AW244+BP!AW244</f>
        <v>0</v>
      </c>
      <c r="AX244" s="106">
        <f>+PMGR!AX244+BP!AX244</f>
        <v>0</v>
      </c>
      <c r="AY244" s="106">
        <f>+PMGR!AY244+BP!AY244</f>
        <v>0</v>
      </c>
      <c r="AZ244" s="106">
        <f>+PMGR!AZ244+BP!AZ244</f>
        <v>0</v>
      </c>
      <c r="BA244" s="106">
        <f>+PMGR!BA244+BP!BA244</f>
        <v>0</v>
      </c>
      <c r="BB244" s="106">
        <f>+PMGR!BB244+BP!BB244</f>
        <v>0</v>
      </c>
      <c r="BC244" s="106">
        <f t="shared" si="1528"/>
        <v>0</v>
      </c>
      <c r="BD244" s="16" t="str">
        <f t="shared" si="961"/>
        <v>Depreciation  -Computer</v>
      </c>
      <c r="BE244" s="106">
        <f>+PMGR!BE244+BP!BE244</f>
        <v>0</v>
      </c>
      <c r="BF244" s="106">
        <f>+PMGR!BF244+BP!BF244</f>
        <v>0</v>
      </c>
      <c r="BG244" s="106">
        <f>+PMGR!BG244+BP!BG244</f>
        <v>0</v>
      </c>
      <c r="BH244" s="106">
        <f>+PMGR!BH244+BP!BH244</f>
        <v>0</v>
      </c>
      <c r="BI244" s="106">
        <f>+PMGR!BI244+BP!BI244</f>
        <v>0</v>
      </c>
      <c r="BJ244" s="106">
        <f>+PMGR!BJ244+BP!BJ244</f>
        <v>0</v>
      </c>
      <c r="BK244" s="106">
        <f>+PMGR!BK244+BP!BK244</f>
        <v>0</v>
      </c>
      <c r="BL244" s="106">
        <f>+PMGR!BL244+BP!BL244</f>
        <v>0</v>
      </c>
      <c r="BM244" s="106">
        <f>+PMGR!BM244+BP!BM244</f>
        <v>0</v>
      </c>
      <c r="BN244" s="106">
        <f>+PMGR!BN244+BP!BN244</f>
        <v>0</v>
      </c>
      <c r="BO244" s="106">
        <f>+PMGR!BO244+BP!BO244</f>
        <v>0</v>
      </c>
      <c r="BP244" s="106">
        <f>+PMGR!BP244+BP!BP244</f>
        <v>0</v>
      </c>
      <c r="BQ244" s="106">
        <f t="shared" si="1529"/>
        <v>0</v>
      </c>
      <c r="BR244" s="118"/>
      <c r="BS244" s="106">
        <f>+PMGR!BS244+BP!BS244</f>
        <v>0</v>
      </c>
      <c r="BT244" s="106">
        <f>+PMGR!BT244+BP!BT244</f>
        <v>0</v>
      </c>
      <c r="BU244" s="106">
        <f>+PMGR!BU244+BP!BU244</f>
        <v>0</v>
      </c>
      <c r="BV244" s="106">
        <f>+PMGR!BV244+BP!BV244</f>
        <v>0</v>
      </c>
      <c r="BW244" s="106">
        <f>+PMGR!BW244+BP!BW244</f>
        <v>0</v>
      </c>
      <c r="BX244" s="106">
        <f>+PMGR!BX244+BP!BX244</f>
        <v>0</v>
      </c>
      <c r="BY244" s="106">
        <f>+PMGR!BY244+BP!BY244</f>
        <v>0</v>
      </c>
      <c r="BZ244" s="106">
        <f>+PMGR!BZ244+BP!BZ244</f>
        <v>0</v>
      </c>
      <c r="CA244" s="106">
        <f>+PMGR!CA244+BP!CA244</f>
        <v>0</v>
      </c>
      <c r="CB244" s="106">
        <f>+PMGR!CB244+BP!CB244</f>
        <v>0</v>
      </c>
      <c r="CC244" s="106">
        <f>+PMGR!CC244+BP!CC244</f>
        <v>0</v>
      </c>
      <c r="CD244" s="106">
        <f>+PMGR!CD244+BP!CD244</f>
        <v>0</v>
      </c>
      <c r="CE244" s="106">
        <f t="shared" si="1530"/>
        <v>0</v>
      </c>
      <c r="CF244" s="106"/>
      <c r="CG244" s="106">
        <f>+PMGR!CG244+BP!CG244</f>
        <v>0</v>
      </c>
      <c r="CH244" s="106">
        <f>+PMGR!CH244+BP!CH244</f>
        <v>0</v>
      </c>
      <c r="CI244" s="106">
        <f>+PMGR!CI244+BP!CI244</f>
        <v>0</v>
      </c>
      <c r="CJ244" s="106">
        <f>+PMGR!CJ244+BP!CJ244</f>
        <v>0</v>
      </c>
      <c r="CK244" s="106">
        <f>+PMGR!CK244+BP!CK244</f>
        <v>0</v>
      </c>
      <c r="CL244" s="106">
        <f>+PMGR!CL244+BP!CL244</f>
        <v>0</v>
      </c>
      <c r="CM244" s="106">
        <f>+PMGR!CM244+BP!CM244</f>
        <v>0</v>
      </c>
      <c r="CN244" s="106">
        <f>+PMGR!CN244+BP!CN244</f>
        <v>0</v>
      </c>
      <c r="CO244" s="106">
        <f>+PMGR!CO244+BP!CO244</f>
        <v>0</v>
      </c>
      <c r="CP244" s="106">
        <f>+PMGR!CP244+BP!CP244</f>
        <v>0</v>
      </c>
      <c r="CQ244" s="106">
        <f>+PMGR!CQ244+BP!CQ244</f>
        <v>0</v>
      </c>
      <c r="CR244" s="106">
        <f>+PMGR!CR244+BP!CR244</f>
        <v>0</v>
      </c>
      <c r="CS244" s="106">
        <f t="shared" si="1531"/>
        <v>0</v>
      </c>
      <c r="CT244" s="16" t="str">
        <f t="shared" si="962"/>
        <v>Depreciation  -Computer</v>
      </c>
      <c r="CU244" s="106">
        <f>+PMGR!CU244+BP!CU244</f>
        <v>0</v>
      </c>
      <c r="CV244" s="106">
        <f>+PMGR!CV244+BP!CV244</f>
        <v>0</v>
      </c>
      <c r="CW244" s="106">
        <f>+PMGR!CW244+BP!CW244</f>
        <v>0</v>
      </c>
      <c r="CX244" s="106">
        <f>+PMGR!CX244+BP!CX244</f>
        <v>0</v>
      </c>
      <c r="CY244" s="106">
        <f>+PMGR!CY244+BP!CY244</f>
        <v>0</v>
      </c>
      <c r="CZ244" s="106">
        <f>+PMGR!CZ244+BP!CZ244</f>
        <v>0</v>
      </c>
      <c r="DA244" s="106">
        <f>+PMGR!DA244+BP!DA244</f>
        <v>0</v>
      </c>
      <c r="DB244" s="106">
        <f>+PMGR!DB244+BP!DB244</f>
        <v>0</v>
      </c>
      <c r="DC244" s="106">
        <f>+PMGR!DC244+BP!DC244</f>
        <v>0</v>
      </c>
      <c r="DD244" s="106">
        <f>+PMGR!DD244+BP!DD244</f>
        <v>0</v>
      </c>
      <c r="DE244" s="106">
        <f>+PMGR!DE244+BP!DE244</f>
        <v>0</v>
      </c>
      <c r="DF244" s="106">
        <f>+PMGR!DF244+BP!DF244</f>
        <v>0</v>
      </c>
      <c r="DG244" s="106">
        <f t="shared" si="1532"/>
        <v>0</v>
      </c>
      <c r="DH244" s="118"/>
      <c r="DI244" s="106">
        <f>+PMGR!DI244+BP!DI244</f>
        <v>0</v>
      </c>
      <c r="DJ244" s="106">
        <f>+PMGR!DJ244+BP!DJ244</f>
        <v>0</v>
      </c>
      <c r="DK244" s="106">
        <f>+PMGR!DK244+BP!DK244</f>
        <v>0</v>
      </c>
      <c r="DL244" s="106">
        <f>+PMGR!DL244+BP!DL244</f>
        <v>0</v>
      </c>
      <c r="DM244" s="106">
        <f>+PMGR!DM244+BP!DM244</f>
        <v>0</v>
      </c>
      <c r="DN244" s="106">
        <f>+PMGR!DN244+BP!DN244</f>
        <v>0</v>
      </c>
      <c r="DO244" s="106">
        <f>+PMGR!DO244+BP!DO244</f>
        <v>0</v>
      </c>
      <c r="DP244" s="106">
        <f>+PMGR!DP244+BP!DP244</f>
        <v>0</v>
      </c>
      <c r="DQ244" s="106">
        <f>+PMGR!DQ244+BP!DQ244</f>
        <v>0</v>
      </c>
      <c r="DR244" s="106">
        <f>+PMGR!DR244+BP!DR244</f>
        <v>0</v>
      </c>
      <c r="DS244" s="106">
        <f>+PMGR!DS244+BP!DS244</f>
        <v>0</v>
      </c>
      <c r="DT244" s="106">
        <f>+PMGR!DT244+BP!DT244</f>
        <v>0</v>
      </c>
      <c r="DU244" s="106">
        <f t="shared" si="1533"/>
        <v>0</v>
      </c>
      <c r="DV244" s="106"/>
      <c r="DW244" s="106">
        <f>+PMGR!DW244+BP!DW244</f>
        <v>0</v>
      </c>
      <c r="DX244" s="106">
        <f>+PMGR!DX244+BP!DX244</f>
        <v>0</v>
      </c>
      <c r="DY244" s="106">
        <f>+PMGR!DY244+BP!DY244</f>
        <v>0</v>
      </c>
      <c r="DZ244" s="106">
        <f>+PMGR!DZ244+BP!DZ244</f>
        <v>0</v>
      </c>
      <c r="EA244" s="106">
        <f>+PMGR!EA244+BP!EA244</f>
        <v>0</v>
      </c>
      <c r="EB244" s="106">
        <f>+PMGR!EB244+BP!EB244</f>
        <v>0</v>
      </c>
      <c r="EC244" s="106">
        <f>+PMGR!EC244+BP!EC244</f>
        <v>0</v>
      </c>
      <c r="ED244" s="106">
        <f>+PMGR!ED244+BP!ED244</f>
        <v>0</v>
      </c>
      <c r="EE244" s="106">
        <f>+PMGR!EE244+BP!EE244</f>
        <v>0</v>
      </c>
      <c r="EF244" s="106">
        <f>+PMGR!EF244+BP!EF244</f>
        <v>0</v>
      </c>
      <c r="EG244" s="106">
        <f>+PMGR!EG244+BP!EG244</f>
        <v>0</v>
      </c>
      <c r="EH244" s="106">
        <f>+PMGR!EH244+BP!EH244</f>
        <v>0</v>
      </c>
      <c r="EI244" s="106">
        <f t="shared" si="1534"/>
        <v>0</v>
      </c>
      <c r="EJ244" s="16" t="str">
        <f t="shared" si="1509"/>
        <v>Depreciation  -Computer</v>
      </c>
      <c r="EK244" s="106">
        <f>+PMGR!EK244+BP!EK244</f>
        <v>0</v>
      </c>
      <c r="EL244" s="106">
        <f>+PMGR!EL244+BP!EL244</f>
        <v>0</v>
      </c>
      <c r="EM244" s="106">
        <f>+PMGR!EM244+BP!EM244</f>
        <v>0</v>
      </c>
      <c r="EN244" s="106">
        <f>+PMGR!EN244+BP!EN244</f>
        <v>0</v>
      </c>
      <c r="EO244" s="106">
        <f>+PMGR!EO244+BP!EO244</f>
        <v>0</v>
      </c>
      <c r="EP244" s="106">
        <f>+PMGR!EP244+BP!EP244</f>
        <v>0</v>
      </c>
      <c r="EQ244" s="106">
        <f>+PMGR!EQ244+BP!EQ244</f>
        <v>0</v>
      </c>
      <c r="ER244" s="106">
        <f>+PMGR!ER244+BP!ER244</f>
        <v>0</v>
      </c>
      <c r="ES244" s="106">
        <f>+PMGR!ES244+BP!ES244</f>
        <v>0</v>
      </c>
      <c r="ET244" s="106">
        <f>+PMGR!ET244+BP!ET244</f>
        <v>0</v>
      </c>
      <c r="EU244" s="106">
        <f>+PMGR!EU244+BP!EU244</f>
        <v>0</v>
      </c>
      <c r="EV244" s="106">
        <f>+PMGR!EV244+BP!EV244</f>
        <v>0</v>
      </c>
      <c r="EW244" s="106">
        <f t="shared" si="1535"/>
        <v>0</v>
      </c>
      <c r="EX244" s="118"/>
      <c r="EY244" s="106">
        <f>+PMGR!EY244+BP!EY244</f>
        <v>0</v>
      </c>
      <c r="EZ244" s="106">
        <f>+PMGR!EZ244+BP!EZ244</f>
        <v>0</v>
      </c>
      <c r="FA244" s="106">
        <f>+PMGR!FA244+BP!FA244</f>
        <v>0</v>
      </c>
      <c r="FB244" s="106">
        <f>+PMGR!FB244+BP!FB244</f>
        <v>0</v>
      </c>
      <c r="FC244" s="106">
        <f>+PMGR!FC244+BP!FC244</f>
        <v>0</v>
      </c>
      <c r="FD244" s="106">
        <f>+PMGR!FD244+BP!FD244</f>
        <v>0</v>
      </c>
      <c r="FE244" s="106">
        <f>+PMGR!FE244+BP!FE244</f>
        <v>0</v>
      </c>
      <c r="FF244" s="106">
        <f>+PMGR!FF244+BP!FF244</f>
        <v>0</v>
      </c>
      <c r="FG244" s="106">
        <f>+PMGR!FG244+BP!FG244</f>
        <v>0</v>
      </c>
      <c r="FH244" s="106">
        <f>+PMGR!FH244+BP!FH244</f>
        <v>0</v>
      </c>
      <c r="FI244" s="106">
        <f>+PMGR!FI244+BP!FI244</f>
        <v>0</v>
      </c>
      <c r="FJ244" s="106">
        <f>+PMGR!FJ244+BP!FJ244</f>
        <v>0</v>
      </c>
      <c r="FK244" s="106">
        <f t="shared" si="1536"/>
        <v>0</v>
      </c>
    </row>
    <row r="245" spans="1:167" ht="14.45" hidden="1" customHeight="1" outlineLevel="1">
      <c r="A245" s="106">
        <f t="shared" si="1522"/>
        <v>0</v>
      </c>
      <c r="B245" s="106">
        <f t="shared" si="1522"/>
        <v>0</v>
      </c>
      <c r="C245" s="106">
        <f t="shared" si="1522"/>
        <v>0</v>
      </c>
      <c r="D245" s="106">
        <f t="shared" si="1522"/>
        <v>0</v>
      </c>
      <c r="E245" s="106">
        <f t="shared" si="1522"/>
        <v>0</v>
      </c>
      <c r="F245" s="106">
        <f t="shared" si="1522"/>
        <v>0</v>
      </c>
      <c r="G245" s="106">
        <f t="shared" si="1522"/>
        <v>0</v>
      </c>
      <c r="H245" s="106">
        <f t="shared" si="1522"/>
        <v>0</v>
      </c>
      <c r="I245" s="106">
        <f t="shared" si="1522"/>
        <v>0</v>
      </c>
      <c r="J245" s="106">
        <f t="shared" si="1522"/>
        <v>0</v>
      </c>
      <c r="K245" s="106">
        <f t="shared" si="1522"/>
        <v>0</v>
      </c>
      <c r="L245" s="106">
        <f t="shared" si="1522"/>
        <v>0</v>
      </c>
      <c r="M245" s="106">
        <f t="shared" si="1523"/>
        <v>0</v>
      </c>
      <c r="N245" s="16" t="s">
        <v>240</v>
      </c>
      <c r="O245" s="106">
        <f t="shared" si="1524"/>
        <v>0</v>
      </c>
      <c r="P245" s="106">
        <f t="shared" si="1524"/>
        <v>0</v>
      </c>
      <c r="Q245" s="106">
        <f t="shared" si="1524"/>
        <v>0</v>
      </c>
      <c r="R245" s="106">
        <f t="shared" si="1524"/>
        <v>0</v>
      </c>
      <c r="S245" s="106">
        <f t="shared" si="1524"/>
        <v>0</v>
      </c>
      <c r="T245" s="106">
        <f t="shared" si="1524"/>
        <v>0</v>
      </c>
      <c r="U245" s="106">
        <f t="shared" si="1524"/>
        <v>0</v>
      </c>
      <c r="V245" s="106">
        <f t="shared" si="1524"/>
        <v>0</v>
      </c>
      <c r="W245" s="106">
        <f t="shared" si="1524"/>
        <v>0</v>
      </c>
      <c r="X245" s="106">
        <f t="shared" si="1524"/>
        <v>0</v>
      </c>
      <c r="Y245" s="106">
        <f t="shared" si="1524"/>
        <v>0</v>
      </c>
      <c r="Z245" s="106">
        <f t="shared" si="1524"/>
        <v>0</v>
      </c>
      <c r="AA245" s="106">
        <f t="shared" si="1525"/>
        <v>0</v>
      </c>
      <c r="AB245" s="118"/>
      <c r="AC245" s="106">
        <f t="shared" si="1526"/>
        <v>0</v>
      </c>
      <c r="AD245" s="106">
        <f t="shared" si="1526"/>
        <v>0</v>
      </c>
      <c r="AE245" s="106">
        <f t="shared" si="1526"/>
        <v>0</v>
      </c>
      <c r="AF245" s="106">
        <f t="shared" si="1526"/>
        <v>0</v>
      </c>
      <c r="AG245" s="106">
        <f t="shared" si="1526"/>
        <v>0</v>
      </c>
      <c r="AH245" s="106">
        <f t="shared" si="1526"/>
        <v>0</v>
      </c>
      <c r="AI245" s="106">
        <f t="shared" si="1526"/>
        <v>0</v>
      </c>
      <c r="AJ245" s="106">
        <f t="shared" si="1526"/>
        <v>0</v>
      </c>
      <c r="AK245" s="106">
        <f t="shared" si="1526"/>
        <v>0</v>
      </c>
      <c r="AL245" s="106">
        <f t="shared" si="1526"/>
        <v>0</v>
      </c>
      <c r="AM245" s="106">
        <f t="shared" si="1526"/>
        <v>0</v>
      </c>
      <c r="AN245" s="106">
        <f t="shared" si="1526"/>
        <v>0</v>
      </c>
      <c r="AO245" s="106">
        <f t="shared" si="1527"/>
        <v>0</v>
      </c>
      <c r="AP245" s="106"/>
      <c r="AQ245" s="106">
        <f>+PMGR!AQ245+BP!AQ245</f>
        <v>0</v>
      </c>
      <c r="AR245" s="106">
        <f>+PMGR!AR245+BP!AR245</f>
        <v>0</v>
      </c>
      <c r="AS245" s="106">
        <f>+PMGR!AS245+BP!AS245</f>
        <v>0</v>
      </c>
      <c r="AT245" s="106">
        <f>+PMGR!AT245+BP!AT245</f>
        <v>0</v>
      </c>
      <c r="AU245" s="106">
        <f>+PMGR!AU245+BP!AU245</f>
        <v>0</v>
      </c>
      <c r="AV245" s="106">
        <f>+PMGR!AV245+BP!AV245</f>
        <v>0</v>
      </c>
      <c r="AW245" s="106">
        <f>+PMGR!AW245+BP!AW245</f>
        <v>0</v>
      </c>
      <c r="AX245" s="106">
        <f>+PMGR!AX245+BP!AX245</f>
        <v>0</v>
      </c>
      <c r="AY245" s="106">
        <f>+PMGR!AY245+BP!AY245</f>
        <v>0</v>
      </c>
      <c r="AZ245" s="106">
        <f>+PMGR!AZ245+BP!AZ245</f>
        <v>0</v>
      </c>
      <c r="BA245" s="106">
        <f>+PMGR!BA245+BP!BA245</f>
        <v>0</v>
      </c>
      <c r="BB245" s="106">
        <f>+PMGR!BB245+BP!BB245</f>
        <v>0</v>
      </c>
      <c r="BC245" s="106">
        <f t="shared" si="1528"/>
        <v>0</v>
      </c>
      <c r="BD245" s="16" t="str">
        <f t="shared" si="961"/>
        <v>Depreciation  - Furniture &amp; Fixures</v>
      </c>
      <c r="BE245" s="106">
        <f>+PMGR!BE245+BP!BE245</f>
        <v>0</v>
      </c>
      <c r="BF245" s="106">
        <f>+PMGR!BF245+BP!BF245</f>
        <v>0</v>
      </c>
      <c r="BG245" s="106">
        <f>+PMGR!BG245+BP!BG245</f>
        <v>0</v>
      </c>
      <c r="BH245" s="106">
        <f>+PMGR!BH245+BP!BH245</f>
        <v>0</v>
      </c>
      <c r="BI245" s="106">
        <f>+PMGR!BI245+BP!BI245</f>
        <v>0</v>
      </c>
      <c r="BJ245" s="106">
        <f>+PMGR!BJ245+BP!BJ245</f>
        <v>0</v>
      </c>
      <c r="BK245" s="106">
        <f>+PMGR!BK245+BP!BK245</f>
        <v>0</v>
      </c>
      <c r="BL245" s="106">
        <f>+PMGR!BL245+BP!BL245</f>
        <v>0</v>
      </c>
      <c r="BM245" s="106">
        <f>+PMGR!BM245+BP!BM245</f>
        <v>0</v>
      </c>
      <c r="BN245" s="106">
        <f>+PMGR!BN245+BP!BN245</f>
        <v>0</v>
      </c>
      <c r="BO245" s="106">
        <f>+PMGR!BO245+BP!BO245</f>
        <v>0</v>
      </c>
      <c r="BP245" s="106">
        <f>+PMGR!BP245+BP!BP245</f>
        <v>0</v>
      </c>
      <c r="BQ245" s="106">
        <f t="shared" si="1529"/>
        <v>0</v>
      </c>
      <c r="BR245" s="118"/>
      <c r="BS245" s="106">
        <f>+PMGR!BS245+BP!BS245</f>
        <v>0</v>
      </c>
      <c r="BT245" s="106">
        <f>+PMGR!BT245+BP!BT245</f>
        <v>0</v>
      </c>
      <c r="BU245" s="106">
        <f>+PMGR!BU245+BP!BU245</f>
        <v>0</v>
      </c>
      <c r="BV245" s="106">
        <f>+PMGR!BV245+BP!BV245</f>
        <v>0</v>
      </c>
      <c r="BW245" s="106">
        <f>+PMGR!BW245+BP!BW245</f>
        <v>0</v>
      </c>
      <c r="BX245" s="106">
        <f>+PMGR!BX245+BP!BX245</f>
        <v>0</v>
      </c>
      <c r="BY245" s="106">
        <f>+PMGR!BY245+BP!BY245</f>
        <v>0</v>
      </c>
      <c r="BZ245" s="106">
        <f>+PMGR!BZ245+BP!BZ245</f>
        <v>0</v>
      </c>
      <c r="CA245" s="106">
        <f>+PMGR!CA245+BP!CA245</f>
        <v>0</v>
      </c>
      <c r="CB245" s="106">
        <f>+PMGR!CB245+BP!CB245</f>
        <v>0</v>
      </c>
      <c r="CC245" s="106">
        <f>+PMGR!CC245+BP!CC245</f>
        <v>0</v>
      </c>
      <c r="CD245" s="106">
        <f>+PMGR!CD245+BP!CD245</f>
        <v>0</v>
      </c>
      <c r="CE245" s="106">
        <f t="shared" si="1530"/>
        <v>0</v>
      </c>
      <c r="CF245" s="106"/>
      <c r="CG245" s="106">
        <f>+PMGR!CG245+BP!CG245</f>
        <v>0</v>
      </c>
      <c r="CH245" s="106">
        <f>+PMGR!CH245+BP!CH245</f>
        <v>0</v>
      </c>
      <c r="CI245" s="106">
        <f>+PMGR!CI245+BP!CI245</f>
        <v>0</v>
      </c>
      <c r="CJ245" s="106">
        <f>+PMGR!CJ245+BP!CJ245</f>
        <v>0</v>
      </c>
      <c r="CK245" s="106">
        <f>+PMGR!CK245+BP!CK245</f>
        <v>0</v>
      </c>
      <c r="CL245" s="106">
        <f>+PMGR!CL245+BP!CL245</f>
        <v>0</v>
      </c>
      <c r="CM245" s="106">
        <f>+PMGR!CM245+BP!CM245</f>
        <v>0</v>
      </c>
      <c r="CN245" s="106">
        <f>+PMGR!CN245+BP!CN245</f>
        <v>0</v>
      </c>
      <c r="CO245" s="106">
        <f>+PMGR!CO245+BP!CO245</f>
        <v>0</v>
      </c>
      <c r="CP245" s="106">
        <f>+PMGR!CP245+BP!CP245</f>
        <v>0</v>
      </c>
      <c r="CQ245" s="106">
        <f>+PMGR!CQ245+BP!CQ245</f>
        <v>0</v>
      </c>
      <c r="CR245" s="106">
        <f>+PMGR!CR245+BP!CR245</f>
        <v>0</v>
      </c>
      <c r="CS245" s="106">
        <f t="shared" si="1531"/>
        <v>0</v>
      </c>
      <c r="CT245" s="16" t="str">
        <f t="shared" si="962"/>
        <v>Depreciation  - Furniture &amp; Fixures</v>
      </c>
      <c r="CU245" s="106">
        <f>+PMGR!CU245+BP!CU245</f>
        <v>0</v>
      </c>
      <c r="CV245" s="106">
        <f>+PMGR!CV245+BP!CV245</f>
        <v>0</v>
      </c>
      <c r="CW245" s="106">
        <f>+PMGR!CW245+BP!CW245</f>
        <v>0</v>
      </c>
      <c r="CX245" s="106">
        <f>+PMGR!CX245+BP!CX245</f>
        <v>0</v>
      </c>
      <c r="CY245" s="106">
        <f>+PMGR!CY245+BP!CY245</f>
        <v>0</v>
      </c>
      <c r="CZ245" s="106">
        <f>+PMGR!CZ245+BP!CZ245</f>
        <v>0</v>
      </c>
      <c r="DA245" s="106">
        <f>+PMGR!DA245+BP!DA245</f>
        <v>0</v>
      </c>
      <c r="DB245" s="106">
        <f>+PMGR!DB245+BP!DB245</f>
        <v>0</v>
      </c>
      <c r="DC245" s="106">
        <f>+PMGR!DC245+BP!DC245</f>
        <v>0</v>
      </c>
      <c r="DD245" s="106">
        <f>+PMGR!DD245+BP!DD245</f>
        <v>0</v>
      </c>
      <c r="DE245" s="106">
        <f>+PMGR!DE245+BP!DE245</f>
        <v>0</v>
      </c>
      <c r="DF245" s="106">
        <f>+PMGR!DF245+BP!DF245</f>
        <v>0</v>
      </c>
      <c r="DG245" s="106">
        <f t="shared" si="1532"/>
        <v>0</v>
      </c>
      <c r="DH245" s="118"/>
      <c r="DI245" s="106">
        <f>+PMGR!DI245+BP!DI245</f>
        <v>0</v>
      </c>
      <c r="DJ245" s="106">
        <f>+PMGR!DJ245+BP!DJ245</f>
        <v>0</v>
      </c>
      <c r="DK245" s="106">
        <f>+PMGR!DK245+BP!DK245</f>
        <v>0</v>
      </c>
      <c r="DL245" s="106">
        <f>+PMGR!DL245+BP!DL245</f>
        <v>0</v>
      </c>
      <c r="DM245" s="106">
        <f>+PMGR!DM245+BP!DM245</f>
        <v>0</v>
      </c>
      <c r="DN245" s="106">
        <f>+PMGR!DN245+BP!DN245</f>
        <v>0</v>
      </c>
      <c r="DO245" s="106">
        <f>+PMGR!DO245+BP!DO245</f>
        <v>0</v>
      </c>
      <c r="DP245" s="106">
        <f>+PMGR!DP245+BP!DP245</f>
        <v>0</v>
      </c>
      <c r="DQ245" s="106">
        <f>+PMGR!DQ245+BP!DQ245</f>
        <v>0</v>
      </c>
      <c r="DR245" s="106">
        <f>+PMGR!DR245+BP!DR245</f>
        <v>0</v>
      </c>
      <c r="DS245" s="106">
        <f>+PMGR!DS245+BP!DS245</f>
        <v>0</v>
      </c>
      <c r="DT245" s="106">
        <f>+PMGR!DT245+BP!DT245</f>
        <v>0</v>
      </c>
      <c r="DU245" s="106">
        <f t="shared" si="1533"/>
        <v>0</v>
      </c>
      <c r="DV245" s="106"/>
      <c r="DW245" s="106">
        <f>+PMGR!DW245+BP!DW245</f>
        <v>0</v>
      </c>
      <c r="DX245" s="106">
        <f>+PMGR!DX245+BP!DX245</f>
        <v>0</v>
      </c>
      <c r="DY245" s="106">
        <f>+PMGR!DY245+BP!DY245</f>
        <v>0</v>
      </c>
      <c r="DZ245" s="106">
        <f>+PMGR!DZ245+BP!DZ245</f>
        <v>0</v>
      </c>
      <c r="EA245" s="106">
        <f>+PMGR!EA245+BP!EA245</f>
        <v>0</v>
      </c>
      <c r="EB245" s="106">
        <f>+PMGR!EB245+BP!EB245</f>
        <v>0</v>
      </c>
      <c r="EC245" s="106">
        <f>+PMGR!EC245+BP!EC245</f>
        <v>0</v>
      </c>
      <c r="ED245" s="106">
        <f>+PMGR!ED245+BP!ED245</f>
        <v>0</v>
      </c>
      <c r="EE245" s="106">
        <f>+PMGR!EE245+BP!EE245</f>
        <v>0</v>
      </c>
      <c r="EF245" s="106">
        <f>+PMGR!EF245+BP!EF245</f>
        <v>0</v>
      </c>
      <c r="EG245" s="106">
        <f>+PMGR!EG245+BP!EG245</f>
        <v>0</v>
      </c>
      <c r="EH245" s="106">
        <f>+PMGR!EH245+BP!EH245</f>
        <v>0</v>
      </c>
      <c r="EI245" s="106">
        <f t="shared" si="1534"/>
        <v>0</v>
      </c>
      <c r="EJ245" s="16" t="str">
        <f t="shared" si="1509"/>
        <v>Depreciation  - Furniture &amp; Fixures</v>
      </c>
      <c r="EK245" s="106">
        <f>+PMGR!EK245+BP!EK245</f>
        <v>0</v>
      </c>
      <c r="EL245" s="106">
        <f>+PMGR!EL245+BP!EL245</f>
        <v>0</v>
      </c>
      <c r="EM245" s="106">
        <f>+PMGR!EM245+BP!EM245</f>
        <v>0</v>
      </c>
      <c r="EN245" s="106">
        <f>+PMGR!EN245+BP!EN245</f>
        <v>0</v>
      </c>
      <c r="EO245" s="106">
        <f>+PMGR!EO245+BP!EO245</f>
        <v>0</v>
      </c>
      <c r="EP245" s="106">
        <f>+PMGR!EP245+BP!EP245</f>
        <v>0</v>
      </c>
      <c r="EQ245" s="106">
        <f>+PMGR!EQ245+BP!EQ245</f>
        <v>0</v>
      </c>
      <c r="ER245" s="106">
        <f>+PMGR!ER245+BP!ER245</f>
        <v>0</v>
      </c>
      <c r="ES245" s="106">
        <f>+PMGR!ES245+BP!ES245</f>
        <v>0</v>
      </c>
      <c r="ET245" s="106">
        <f>+PMGR!ET245+BP!ET245</f>
        <v>0</v>
      </c>
      <c r="EU245" s="106">
        <f>+PMGR!EU245+BP!EU245</f>
        <v>0</v>
      </c>
      <c r="EV245" s="106">
        <f>+PMGR!EV245+BP!EV245</f>
        <v>0</v>
      </c>
      <c r="EW245" s="106">
        <f t="shared" si="1535"/>
        <v>0</v>
      </c>
      <c r="EX245" s="118"/>
      <c r="EY245" s="106">
        <f>+PMGR!EY245+BP!EY245</f>
        <v>0</v>
      </c>
      <c r="EZ245" s="106">
        <f>+PMGR!EZ245+BP!EZ245</f>
        <v>0</v>
      </c>
      <c r="FA245" s="106">
        <f>+PMGR!FA245+BP!FA245</f>
        <v>0</v>
      </c>
      <c r="FB245" s="106">
        <f>+PMGR!FB245+BP!FB245</f>
        <v>0</v>
      </c>
      <c r="FC245" s="106">
        <f>+PMGR!FC245+BP!FC245</f>
        <v>0</v>
      </c>
      <c r="FD245" s="106">
        <f>+PMGR!FD245+BP!FD245</f>
        <v>0</v>
      </c>
      <c r="FE245" s="106">
        <f>+PMGR!FE245+BP!FE245</f>
        <v>0</v>
      </c>
      <c r="FF245" s="106">
        <f>+PMGR!FF245+BP!FF245</f>
        <v>0</v>
      </c>
      <c r="FG245" s="106">
        <f>+PMGR!FG245+BP!FG245</f>
        <v>0</v>
      </c>
      <c r="FH245" s="106">
        <f>+PMGR!FH245+BP!FH245</f>
        <v>0</v>
      </c>
      <c r="FI245" s="106">
        <f>+PMGR!FI245+BP!FI245</f>
        <v>0</v>
      </c>
      <c r="FJ245" s="106">
        <f>+PMGR!FJ245+BP!FJ245</f>
        <v>0</v>
      </c>
      <c r="FK245" s="106">
        <f t="shared" si="1536"/>
        <v>0</v>
      </c>
    </row>
    <row r="246" spans="1:167" ht="14.45" hidden="1" customHeight="1" outlineLevel="1">
      <c r="A246" s="106">
        <f t="shared" si="1522"/>
        <v>0</v>
      </c>
      <c r="B246" s="106">
        <f t="shared" si="1522"/>
        <v>0</v>
      </c>
      <c r="C246" s="106">
        <f t="shared" si="1522"/>
        <v>0</v>
      </c>
      <c r="D246" s="106">
        <f t="shared" si="1522"/>
        <v>0</v>
      </c>
      <c r="E246" s="106">
        <f t="shared" si="1522"/>
        <v>0</v>
      </c>
      <c r="F246" s="106">
        <f t="shared" si="1522"/>
        <v>0</v>
      </c>
      <c r="G246" s="106">
        <f t="shared" si="1522"/>
        <v>0</v>
      </c>
      <c r="H246" s="106">
        <f t="shared" si="1522"/>
        <v>0</v>
      </c>
      <c r="I246" s="106">
        <f t="shared" si="1522"/>
        <v>0</v>
      </c>
      <c r="J246" s="106">
        <f t="shared" si="1522"/>
        <v>0</v>
      </c>
      <c r="K246" s="106">
        <f t="shared" si="1522"/>
        <v>0</v>
      </c>
      <c r="L246" s="106">
        <f t="shared" si="1522"/>
        <v>0</v>
      </c>
      <c r="M246" s="106">
        <f t="shared" si="1523"/>
        <v>0</v>
      </c>
      <c r="N246" s="16" t="s">
        <v>241</v>
      </c>
      <c r="O246" s="106">
        <f t="shared" si="1524"/>
        <v>0</v>
      </c>
      <c r="P246" s="106">
        <f t="shared" si="1524"/>
        <v>0</v>
      </c>
      <c r="Q246" s="106">
        <f t="shared" si="1524"/>
        <v>0</v>
      </c>
      <c r="R246" s="106">
        <f t="shared" si="1524"/>
        <v>0</v>
      </c>
      <c r="S246" s="106">
        <f t="shared" si="1524"/>
        <v>0</v>
      </c>
      <c r="T246" s="106">
        <f t="shared" si="1524"/>
        <v>0</v>
      </c>
      <c r="U246" s="106">
        <f t="shared" si="1524"/>
        <v>0</v>
      </c>
      <c r="V246" s="106">
        <f t="shared" si="1524"/>
        <v>0</v>
      </c>
      <c r="W246" s="106">
        <f t="shared" si="1524"/>
        <v>0</v>
      </c>
      <c r="X246" s="106">
        <f t="shared" si="1524"/>
        <v>0</v>
      </c>
      <c r="Y246" s="106">
        <f t="shared" si="1524"/>
        <v>0</v>
      </c>
      <c r="Z246" s="106">
        <f t="shared" si="1524"/>
        <v>0</v>
      </c>
      <c r="AA246" s="106">
        <f t="shared" si="1525"/>
        <v>0</v>
      </c>
      <c r="AB246" s="118"/>
      <c r="AC246" s="106">
        <f t="shared" si="1526"/>
        <v>0</v>
      </c>
      <c r="AD246" s="106">
        <f t="shared" si="1526"/>
        <v>0</v>
      </c>
      <c r="AE246" s="106">
        <f t="shared" si="1526"/>
        <v>0</v>
      </c>
      <c r="AF246" s="106">
        <f t="shared" si="1526"/>
        <v>0</v>
      </c>
      <c r="AG246" s="106">
        <f t="shared" si="1526"/>
        <v>0</v>
      </c>
      <c r="AH246" s="106">
        <f t="shared" si="1526"/>
        <v>0</v>
      </c>
      <c r="AI246" s="106">
        <f t="shared" si="1526"/>
        <v>0</v>
      </c>
      <c r="AJ246" s="106">
        <f t="shared" si="1526"/>
        <v>0</v>
      </c>
      <c r="AK246" s="106">
        <f t="shared" si="1526"/>
        <v>0</v>
      </c>
      <c r="AL246" s="106">
        <f t="shared" si="1526"/>
        <v>0</v>
      </c>
      <c r="AM246" s="106">
        <f t="shared" si="1526"/>
        <v>0</v>
      </c>
      <c r="AN246" s="106">
        <f t="shared" si="1526"/>
        <v>0</v>
      </c>
      <c r="AO246" s="106">
        <f t="shared" si="1527"/>
        <v>0</v>
      </c>
      <c r="AP246" s="106"/>
      <c r="AQ246" s="106">
        <f>+PMGR!AQ246+BP!AQ246</f>
        <v>0</v>
      </c>
      <c r="AR246" s="106">
        <f>+PMGR!AR246+BP!AR246</f>
        <v>0</v>
      </c>
      <c r="AS246" s="106">
        <f>+PMGR!AS246+BP!AS246</f>
        <v>0</v>
      </c>
      <c r="AT246" s="106">
        <f>+PMGR!AT246+BP!AT246</f>
        <v>0</v>
      </c>
      <c r="AU246" s="106">
        <f>+PMGR!AU246+BP!AU246</f>
        <v>0</v>
      </c>
      <c r="AV246" s="106">
        <f>+PMGR!AV246+BP!AV246</f>
        <v>0</v>
      </c>
      <c r="AW246" s="106">
        <f>+PMGR!AW246+BP!AW246</f>
        <v>0</v>
      </c>
      <c r="AX246" s="106">
        <f>+PMGR!AX246+BP!AX246</f>
        <v>0</v>
      </c>
      <c r="AY246" s="106">
        <f>+PMGR!AY246+BP!AY246</f>
        <v>0</v>
      </c>
      <c r="AZ246" s="106">
        <f>+PMGR!AZ246+BP!AZ246</f>
        <v>0</v>
      </c>
      <c r="BA246" s="106">
        <f>+PMGR!BA246+BP!BA246</f>
        <v>0</v>
      </c>
      <c r="BB246" s="106">
        <f>+PMGR!BB246+BP!BB246</f>
        <v>0</v>
      </c>
      <c r="BC246" s="106">
        <f t="shared" si="1528"/>
        <v>0</v>
      </c>
      <c r="BD246" s="16" t="str">
        <f t="shared" si="961"/>
        <v>Depreciation  -Plant &amp; Machinery</v>
      </c>
      <c r="BE246" s="106">
        <f>+PMGR!BE246+BP!BE246</f>
        <v>0</v>
      </c>
      <c r="BF246" s="106">
        <f>+PMGR!BF246+BP!BF246</f>
        <v>0</v>
      </c>
      <c r="BG246" s="106">
        <f>+PMGR!BG246+BP!BG246</f>
        <v>0</v>
      </c>
      <c r="BH246" s="106">
        <f>+PMGR!BH246+BP!BH246</f>
        <v>0</v>
      </c>
      <c r="BI246" s="106">
        <f>+PMGR!BI246+BP!BI246</f>
        <v>0</v>
      </c>
      <c r="BJ246" s="106">
        <f>+PMGR!BJ246+BP!BJ246</f>
        <v>0</v>
      </c>
      <c r="BK246" s="106">
        <f>+PMGR!BK246+BP!BK246</f>
        <v>0</v>
      </c>
      <c r="BL246" s="106">
        <f>+PMGR!BL246+BP!BL246</f>
        <v>0</v>
      </c>
      <c r="BM246" s="106">
        <f>+PMGR!BM246+BP!BM246</f>
        <v>0</v>
      </c>
      <c r="BN246" s="106">
        <f>+PMGR!BN246+BP!BN246</f>
        <v>0</v>
      </c>
      <c r="BO246" s="106">
        <f>+PMGR!BO246+BP!BO246</f>
        <v>0</v>
      </c>
      <c r="BP246" s="106">
        <f>+PMGR!BP246+BP!BP246</f>
        <v>0</v>
      </c>
      <c r="BQ246" s="106">
        <f t="shared" si="1529"/>
        <v>0</v>
      </c>
      <c r="BR246" s="118"/>
      <c r="BS246" s="106">
        <f>+PMGR!BS246+BP!BS246</f>
        <v>0</v>
      </c>
      <c r="BT246" s="106">
        <f>+PMGR!BT246+BP!BT246</f>
        <v>0</v>
      </c>
      <c r="BU246" s="106">
        <f>+PMGR!BU246+BP!BU246</f>
        <v>0</v>
      </c>
      <c r="BV246" s="106">
        <f>+PMGR!BV246+BP!BV246</f>
        <v>0</v>
      </c>
      <c r="BW246" s="106">
        <f>+PMGR!BW246+BP!BW246</f>
        <v>0</v>
      </c>
      <c r="BX246" s="106">
        <f>+PMGR!BX246+BP!BX246</f>
        <v>0</v>
      </c>
      <c r="BY246" s="106">
        <f>+PMGR!BY246+BP!BY246</f>
        <v>0</v>
      </c>
      <c r="BZ246" s="106">
        <f>+PMGR!BZ246+BP!BZ246</f>
        <v>0</v>
      </c>
      <c r="CA246" s="106">
        <f>+PMGR!CA246+BP!CA246</f>
        <v>0</v>
      </c>
      <c r="CB246" s="106">
        <f>+PMGR!CB246+BP!CB246</f>
        <v>0</v>
      </c>
      <c r="CC246" s="106">
        <f>+PMGR!CC246+BP!CC246</f>
        <v>0</v>
      </c>
      <c r="CD246" s="106">
        <f>+PMGR!CD246+BP!CD246</f>
        <v>0</v>
      </c>
      <c r="CE246" s="106">
        <f t="shared" si="1530"/>
        <v>0</v>
      </c>
      <c r="CF246" s="106"/>
      <c r="CG246" s="106">
        <f>+PMGR!CG246+BP!CG246</f>
        <v>0</v>
      </c>
      <c r="CH246" s="106">
        <f>+PMGR!CH246+BP!CH246</f>
        <v>0</v>
      </c>
      <c r="CI246" s="106">
        <f>+PMGR!CI246+BP!CI246</f>
        <v>0</v>
      </c>
      <c r="CJ246" s="106">
        <f>+PMGR!CJ246+BP!CJ246</f>
        <v>0</v>
      </c>
      <c r="CK246" s="106">
        <f>+PMGR!CK246+BP!CK246</f>
        <v>0</v>
      </c>
      <c r="CL246" s="106">
        <f>+PMGR!CL246+BP!CL246</f>
        <v>0</v>
      </c>
      <c r="CM246" s="106">
        <f>+PMGR!CM246+BP!CM246</f>
        <v>0</v>
      </c>
      <c r="CN246" s="106">
        <f>+PMGR!CN246+BP!CN246</f>
        <v>0</v>
      </c>
      <c r="CO246" s="106">
        <f>+PMGR!CO246+BP!CO246</f>
        <v>0</v>
      </c>
      <c r="CP246" s="106">
        <f>+PMGR!CP246+BP!CP246</f>
        <v>0</v>
      </c>
      <c r="CQ246" s="106">
        <f>+PMGR!CQ246+BP!CQ246</f>
        <v>0</v>
      </c>
      <c r="CR246" s="106">
        <f>+PMGR!CR246+BP!CR246</f>
        <v>0</v>
      </c>
      <c r="CS246" s="106">
        <f t="shared" si="1531"/>
        <v>0</v>
      </c>
      <c r="CT246" s="16" t="str">
        <f t="shared" si="962"/>
        <v>Depreciation  -Plant &amp; Machinery</v>
      </c>
      <c r="CU246" s="106">
        <f>+PMGR!CU246+BP!CU246</f>
        <v>0</v>
      </c>
      <c r="CV246" s="106">
        <f>+PMGR!CV246+BP!CV246</f>
        <v>0</v>
      </c>
      <c r="CW246" s="106">
        <f>+PMGR!CW246+BP!CW246</f>
        <v>0</v>
      </c>
      <c r="CX246" s="106">
        <f>+PMGR!CX246+BP!CX246</f>
        <v>0</v>
      </c>
      <c r="CY246" s="106">
        <f>+PMGR!CY246+BP!CY246</f>
        <v>0</v>
      </c>
      <c r="CZ246" s="106">
        <f>+PMGR!CZ246+BP!CZ246</f>
        <v>0</v>
      </c>
      <c r="DA246" s="106">
        <f>+PMGR!DA246+BP!DA246</f>
        <v>0</v>
      </c>
      <c r="DB246" s="106">
        <f>+PMGR!DB246+BP!DB246</f>
        <v>0</v>
      </c>
      <c r="DC246" s="106">
        <f>+PMGR!DC246+BP!DC246</f>
        <v>0</v>
      </c>
      <c r="DD246" s="106">
        <f>+PMGR!DD246+BP!DD246</f>
        <v>0</v>
      </c>
      <c r="DE246" s="106">
        <f>+PMGR!DE246+BP!DE246</f>
        <v>0</v>
      </c>
      <c r="DF246" s="106">
        <f>+PMGR!DF246+BP!DF246</f>
        <v>0</v>
      </c>
      <c r="DG246" s="106">
        <f t="shared" si="1532"/>
        <v>0</v>
      </c>
      <c r="DH246" s="118"/>
      <c r="DI246" s="106">
        <f>+PMGR!DI246+BP!DI246</f>
        <v>0</v>
      </c>
      <c r="DJ246" s="106">
        <f>+PMGR!DJ246+BP!DJ246</f>
        <v>0</v>
      </c>
      <c r="DK246" s="106">
        <f>+PMGR!DK246+BP!DK246</f>
        <v>0</v>
      </c>
      <c r="DL246" s="106">
        <f>+PMGR!DL246+BP!DL246</f>
        <v>0</v>
      </c>
      <c r="DM246" s="106">
        <f>+PMGR!DM246+BP!DM246</f>
        <v>0</v>
      </c>
      <c r="DN246" s="106">
        <f>+PMGR!DN246+BP!DN246</f>
        <v>0</v>
      </c>
      <c r="DO246" s="106">
        <f>+PMGR!DO246+BP!DO246</f>
        <v>0</v>
      </c>
      <c r="DP246" s="106">
        <f>+PMGR!DP246+BP!DP246</f>
        <v>0</v>
      </c>
      <c r="DQ246" s="106">
        <f>+PMGR!DQ246+BP!DQ246</f>
        <v>0</v>
      </c>
      <c r="DR246" s="106">
        <f>+PMGR!DR246+BP!DR246</f>
        <v>0</v>
      </c>
      <c r="DS246" s="106">
        <f>+PMGR!DS246+BP!DS246</f>
        <v>0</v>
      </c>
      <c r="DT246" s="106">
        <f>+PMGR!DT246+BP!DT246</f>
        <v>0</v>
      </c>
      <c r="DU246" s="106">
        <f t="shared" si="1533"/>
        <v>0</v>
      </c>
      <c r="DV246" s="106"/>
      <c r="DW246" s="106">
        <f>+PMGR!DW246+BP!DW246</f>
        <v>0</v>
      </c>
      <c r="DX246" s="106">
        <f>+PMGR!DX246+BP!DX246</f>
        <v>0</v>
      </c>
      <c r="DY246" s="106">
        <f>+PMGR!DY246+BP!DY246</f>
        <v>0</v>
      </c>
      <c r="DZ246" s="106">
        <f>+PMGR!DZ246+BP!DZ246</f>
        <v>0</v>
      </c>
      <c r="EA246" s="106">
        <f>+PMGR!EA246+BP!EA246</f>
        <v>0</v>
      </c>
      <c r="EB246" s="106">
        <f>+PMGR!EB246+BP!EB246</f>
        <v>0</v>
      </c>
      <c r="EC246" s="106">
        <f>+PMGR!EC246+BP!EC246</f>
        <v>0</v>
      </c>
      <c r="ED246" s="106">
        <f>+PMGR!ED246+BP!ED246</f>
        <v>0</v>
      </c>
      <c r="EE246" s="106">
        <f>+PMGR!EE246+BP!EE246</f>
        <v>0</v>
      </c>
      <c r="EF246" s="106">
        <f>+PMGR!EF246+BP!EF246</f>
        <v>0</v>
      </c>
      <c r="EG246" s="106">
        <f>+PMGR!EG246+BP!EG246</f>
        <v>0</v>
      </c>
      <c r="EH246" s="106">
        <f>+PMGR!EH246+BP!EH246</f>
        <v>0</v>
      </c>
      <c r="EI246" s="106">
        <f t="shared" si="1534"/>
        <v>0</v>
      </c>
      <c r="EJ246" s="16" t="str">
        <f t="shared" si="1509"/>
        <v>Depreciation  -Plant &amp; Machinery</v>
      </c>
      <c r="EK246" s="106">
        <f>+PMGR!EK246+BP!EK246</f>
        <v>0</v>
      </c>
      <c r="EL246" s="106">
        <f>+PMGR!EL246+BP!EL246</f>
        <v>0</v>
      </c>
      <c r="EM246" s="106">
        <f>+PMGR!EM246+BP!EM246</f>
        <v>0</v>
      </c>
      <c r="EN246" s="106">
        <f>+PMGR!EN246+BP!EN246</f>
        <v>0</v>
      </c>
      <c r="EO246" s="106">
        <f>+PMGR!EO246+BP!EO246</f>
        <v>0</v>
      </c>
      <c r="EP246" s="106">
        <f>+PMGR!EP246+BP!EP246</f>
        <v>0</v>
      </c>
      <c r="EQ246" s="106">
        <f>+PMGR!EQ246+BP!EQ246</f>
        <v>0</v>
      </c>
      <c r="ER246" s="106">
        <f>+PMGR!ER246+BP!ER246</f>
        <v>0</v>
      </c>
      <c r="ES246" s="106">
        <f>+PMGR!ES246+BP!ES246</f>
        <v>0</v>
      </c>
      <c r="ET246" s="106">
        <f>+PMGR!ET246+BP!ET246</f>
        <v>0</v>
      </c>
      <c r="EU246" s="106">
        <f>+PMGR!EU246+BP!EU246</f>
        <v>0</v>
      </c>
      <c r="EV246" s="106">
        <f>+PMGR!EV246+BP!EV246</f>
        <v>0</v>
      </c>
      <c r="EW246" s="106">
        <f t="shared" si="1535"/>
        <v>0</v>
      </c>
      <c r="EX246" s="118"/>
      <c r="EY246" s="106">
        <f>+PMGR!EY246+BP!EY246</f>
        <v>0</v>
      </c>
      <c r="EZ246" s="106">
        <f>+PMGR!EZ246+BP!EZ246</f>
        <v>0</v>
      </c>
      <c r="FA246" s="106">
        <f>+PMGR!FA246+BP!FA246</f>
        <v>0</v>
      </c>
      <c r="FB246" s="106">
        <f>+PMGR!FB246+BP!FB246</f>
        <v>0</v>
      </c>
      <c r="FC246" s="106">
        <f>+PMGR!FC246+BP!FC246</f>
        <v>0</v>
      </c>
      <c r="FD246" s="106">
        <f>+PMGR!FD246+BP!FD246</f>
        <v>0</v>
      </c>
      <c r="FE246" s="106">
        <f>+PMGR!FE246+BP!FE246</f>
        <v>0</v>
      </c>
      <c r="FF246" s="106">
        <f>+PMGR!FF246+BP!FF246</f>
        <v>0</v>
      </c>
      <c r="FG246" s="106">
        <f>+PMGR!FG246+BP!FG246</f>
        <v>0</v>
      </c>
      <c r="FH246" s="106">
        <f>+PMGR!FH246+BP!FH246</f>
        <v>0</v>
      </c>
      <c r="FI246" s="106">
        <f>+PMGR!FI246+BP!FI246</f>
        <v>0</v>
      </c>
      <c r="FJ246" s="106">
        <f>+PMGR!FJ246+BP!FJ246</f>
        <v>0</v>
      </c>
      <c r="FK246" s="106">
        <f t="shared" si="1536"/>
        <v>0</v>
      </c>
    </row>
    <row r="247" spans="1:167" ht="14.45" hidden="1" customHeight="1" outlineLevel="1">
      <c r="A247" s="106">
        <f t="shared" si="1522"/>
        <v>0</v>
      </c>
      <c r="B247" s="106">
        <f t="shared" si="1522"/>
        <v>0</v>
      </c>
      <c r="C247" s="106">
        <f t="shared" si="1522"/>
        <v>0</v>
      </c>
      <c r="D247" s="106">
        <f t="shared" si="1522"/>
        <v>0</v>
      </c>
      <c r="E247" s="106">
        <f t="shared" si="1522"/>
        <v>0</v>
      </c>
      <c r="F247" s="106">
        <f t="shared" si="1522"/>
        <v>0</v>
      </c>
      <c r="G247" s="106">
        <f t="shared" si="1522"/>
        <v>0</v>
      </c>
      <c r="H247" s="106">
        <f t="shared" si="1522"/>
        <v>0</v>
      </c>
      <c r="I247" s="106">
        <f t="shared" si="1522"/>
        <v>0</v>
      </c>
      <c r="J247" s="106">
        <f t="shared" si="1522"/>
        <v>0</v>
      </c>
      <c r="K247" s="106">
        <f t="shared" si="1522"/>
        <v>0</v>
      </c>
      <c r="L247" s="106">
        <f t="shared" si="1522"/>
        <v>0</v>
      </c>
      <c r="M247" s="106">
        <f t="shared" si="1523"/>
        <v>0</v>
      </c>
      <c r="N247" s="16" t="s">
        <v>242</v>
      </c>
      <c r="O247" s="106">
        <f t="shared" si="1524"/>
        <v>0</v>
      </c>
      <c r="P247" s="106">
        <f t="shared" si="1524"/>
        <v>0</v>
      </c>
      <c r="Q247" s="106">
        <f t="shared" si="1524"/>
        <v>0</v>
      </c>
      <c r="R247" s="106">
        <f t="shared" si="1524"/>
        <v>0</v>
      </c>
      <c r="S247" s="106">
        <f t="shared" si="1524"/>
        <v>0</v>
      </c>
      <c r="T247" s="106">
        <f t="shared" si="1524"/>
        <v>0</v>
      </c>
      <c r="U247" s="106">
        <f t="shared" si="1524"/>
        <v>0</v>
      </c>
      <c r="V247" s="106">
        <f t="shared" si="1524"/>
        <v>0</v>
      </c>
      <c r="W247" s="106">
        <f t="shared" si="1524"/>
        <v>0</v>
      </c>
      <c r="X247" s="106">
        <f t="shared" si="1524"/>
        <v>0</v>
      </c>
      <c r="Y247" s="106">
        <f t="shared" si="1524"/>
        <v>0</v>
      </c>
      <c r="Z247" s="106">
        <f t="shared" si="1524"/>
        <v>0</v>
      </c>
      <c r="AA247" s="106">
        <f t="shared" si="1525"/>
        <v>0</v>
      </c>
      <c r="AB247" s="118"/>
      <c r="AC247" s="106">
        <f t="shared" si="1526"/>
        <v>0</v>
      </c>
      <c r="AD247" s="106">
        <f t="shared" si="1526"/>
        <v>0</v>
      </c>
      <c r="AE247" s="106">
        <f t="shared" si="1526"/>
        <v>0</v>
      </c>
      <c r="AF247" s="106">
        <f t="shared" si="1526"/>
        <v>0</v>
      </c>
      <c r="AG247" s="106">
        <f t="shared" si="1526"/>
        <v>0</v>
      </c>
      <c r="AH247" s="106">
        <f t="shared" si="1526"/>
        <v>0</v>
      </c>
      <c r="AI247" s="106">
        <f t="shared" si="1526"/>
        <v>0</v>
      </c>
      <c r="AJ247" s="106">
        <f t="shared" si="1526"/>
        <v>0</v>
      </c>
      <c r="AK247" s="106">
        <f t="shared" si="1526"/>
        <v>0</v>
      </c>
      <c r="AL247" s="106">
        <f t="shared" si="1526"/>
        <v>0</v>
      </c>
      <c r="AM247" s="106">
        <f t="shared" si="1526"/>
        <v>0</v>
      </c>
      <c r="AN247" s="106">
        <f t="shared" si="1526"/>
        <v>0</v>
      </c>
      <c r="AO247" s="106">
        <f t="shared" si="1527"/>
        <v>0</v>
      </c>
      <c r="AP247" s="106"/>
      <c r="AQ247" s="106">
        <f>+PMGR!AQ247+BP!AQ247</f>
        <v>0</v>
      </c>
      <c r="AR247" s="106">
        <f>+PMGR!AR247+BP!AR247</f>
        <v>0</v>
      </c>
      <c r="AS247" s="106">
        <f>+PMGR!AS247+BP!AS247</f>
        <v>0</v>
      </c>
      <c r="AT247" s="106">
        <f>+PMGR!AT247+BP!AT247</f>
        <v>0</v>
      </c>
      <c r="AU247" s="106">
        <f>+PMGR!AU247+BP!AU247</f>
        <v>0</v>
      </c>
      <c r="AV247" s="106">
        <f>+PMGR!AV247+BP!AV247</f>
        <v>0</v>
      </c>
      <c r="AW247" s="106">
        <f>+PMGR!AW247+BP!AW247</f>
        <v>0</v>
      </c>
      <c r="AX247" s="106">
        <f>+PMGR!AX247+BP!AX247</f>
        <v>0</v>
      </c>
      <c r="AY247" s="106">
        <f>+PMGR!AY247+BP!AY247</f>
        <v>0</v>
      </c>
      <c r="AZ247" s="106">
        <f>+PMGR!AZ247+BP!AZ247</f>
        <v>0</v>
      </c>
      <c r="BA247" s="106">
        <f>+PMGR!BA247+BP!BA247</f>
        <v>0</v>
      </c>
      <c r="BB247" s="106">
        <f>+PMGR!BB247+BP!BB247</f>
        <v>0</v>
      </c>
      <c r="BC247" s="106">
        <f>+SUM(AQ247:BB247)</f>
        <v>0</v>
      </c>
      <c r="BD247" s="16" t="str">
        <f t="shared" si="961"/>
        <v>Depreciation  -Vehicle</v>
      </c>
      <c r="BE247" s="106">
        <f>+PMGR!BE247+BP!BE247</f>
        <v>0</v>
      </c>
      <c r="BF247" s="106">
        <f>+PMGR!BF247+BP!BF247</f>
        <v>0</v>
      </c>
      <c r="BG247" s="106">
        <f>+PMGR!BG247+BP!BG247</f>
        <v>0</v>
      </c>
      <c r="BH247" s="106">
        <f>+PMGR!BH247+BP!BH247</f>
        <v>0</v>
      </c>
      <c r="BI247" s="106">
        <f>+PMGR!BI247+BP!BI247</f>
        <v>0</v>
      </c>
      <c r="BJ247" s="106">
        <f>+PMGR!BJ247+BP!BJ247</f>
        <v>0</v>
      </c>
      <c r="BK247" s="106">
        <f>+PMGR!BK247+BP!BK247</f>
        <v>0</v>
      </c>
      <c r="BL247" s="106">
        <f>+PMGR!BL247+BP!BL247</f>
        <v>0</v>
      </c>
      <c r="BM247" s="106">
        <f>+PMGR!BM247+BP!BM247</f>
        <v>0</v>
      </c>
      <c r="BN247" s="106">
        <f>+PMGR!BN247+BP!BN247</f>
        <v>0</v>
      </c>
      <c r="BO247" s="106">
        <f>+PMGR!BO247+BP!BO247</f>
        <v>0</v>
      </c>
      <c r="BP247" s="106">
        <f>+PMGR!BP247+BP!BP247</f>
        <v>0</v>
      </c>
      <c r="BQ247" s="106">
        <f>+SUM(BE247:BP247)</f>
        <v>0</v>
      </c>
      <c r="BR247" s="118"/>
      <c r="BS247" s="106">
        <f>+PMGR!BS247+BP!BS247</f>
        <v>0</v>
      </c>
      <c r="BT247" s="106">
        <f>+PMGR!BT247+BP!BT247</f>
        <v>0</v>
      </c>
      <c r="BU247" s="106">
        <f>+PMGR!BU247+BP!BU247</f>
        <v>0</v>
      </c>
      <c r="BV247" s="106">
        <f>+PMGR!BV247+BP!BV247</f>
        <v>0</v>
      </c>
      <c r="BW247" s="106">
        <f>+PMGR!BW247+BP!BW247</f>
        <v>0</v>
      </c>
      <c r="BX247" s="106">
        <f>+PMGR!BX247+BP!BX247</f>
        <v>0</v>
      </c>
      <c r="BY247" s="106">
        <f>+PMGR!BY247+BP!BY247</f>
        <v>0</v>
      </c>
      <c r="BZ247" s="106">
        <f>+PMGR!BZ247+BP!BZ247</f>
        <v>0</v>
      </c>
      <c r="CA247" s="106">
        <f>+PMGR!CA247+BP!CA247</f>
        <v>0</v>
      </c>
      <c r="CB247" s="106">
        <f>+PMGR!CB247+BP!CB247</f>
        <v>0</v>
      </c>
      <c r="CC247" s="106">
        <f>+PMGR!CC247+BP!CC247</f>
        <v>0</v>
      </c>
      <c r="CD247" s="106">
        <f>+PMGR!CD247+BP!CD247</f>
        <v>0</v>
      </c>
      <c r="CE247" s="106">
        <f>+SUM(BS247:CD247)</f>
        <v>0</v>
      </c>
      <c r="CF247" s="106"/>
      <c r="CG247" s="106">
        <f>+PMGR!CG247+BP!CG247</f>
        <v>0</v>
      </c>
      <c r="CH247" s="106">
        <f>+PMGR!CH247+BP!CH247</f>
        <v>0</v>
      </c>
      <c r="CI247" s="106">
        <f>+PMGR!CI247+BP!CI247</f>
        <v>0</v>
      </c>
      <c r="CJ247" s="106">
        <f>+PMGR!CJ247+BP!CJ247</f>
        <v>0</v>
      </c>
      <c r="CK247" s="106">
        <f>+PMGR!CK247+BP!CK247</f>
        <v>0</v>
      </c>
      <c r="CL247" s="106">
        <f>+PMGR!CL247+BP!CL247</f>
        <v>0</v>
      </c>
      <c r="CM247" s="106">
        <f>+PMGR!CM247+BP!CM247</f>
        <v>0</v>
      </c>
      <c r="CN247" s="106">
        <f>+PMGR!CN247+BP!CN247</f>
        <v>0</v>
      </c>
      <c r="CO247" s="106">
        <f>+PMGR!CO247+BP!CO247</f>
        <v>0</v>
      </c>
      <c r="CP247" s="106">
        <f>+PMGR!CP247+BP!CP247</f>
        <v>0</v>
      </c>
      <c r="CQ247" s="106">
        <f>+PMGR!CQ247+BP!CQ247</f>
        <v>0</v>
      </c>
      <c r="CR247" s="106">
        <f>+PMGR!CR247+BP!CR247</f>
        <v>0</v>
      </c>
      <c r="CS247" s="106">
        <f>+SUM(CG247:CR247)</f>
        <v>0</v>
      </c>
      <c r="CT247" s="16" t="str">
        <f t="shared" si="962"/>
        <v>Depreciation  -Vehicle</v>
      </c>
      <c r="CU247" s="106">
        <f>+PMGR!CU247+BP!CU247</f>
        <v>0</v>
      </c>
      <c r="CV247" s="106">
        <f>+PMGR!CV247+BP!CV247</f>
        <v>0</v>
      </c>
      <c r="CW247" s="106">
        <f>+PMGR!CW247+BP!CW247</f>
        <v>0</v>
      </c>
      <c r="CX247" s="106">
        <f>+PMGR!CX247+BP!CX247</f>
        <v>0</v>
      </c>
      <c r="CY247" s="106">
        <f>+PMGR!CY247+BP!CY247</f>
        <v>0</v>
      </c>
      <c r="CZ247" s="106">
        <f>+PMGR!CZ247+BP!CZ247</f>
        <v>0</v>
      </c>
      <c r="DA247" s="106">
        <f>+PMGR!DA247+BP!DA247</f>
        <v>0</v>
      </c>
      <c r="DB247" s="106">
        <f>+PMGR!DB247+BP!DB247</f>
        <v>0</v>
      </c>
      <c r="DC247" s="106">
        <f>+PMGR!DC247+BP!DC247</f>
        <v>0</v>
      </c>
      <c r="DD247" s="106">
        <f>+PMGR!DD247+BP!DD247</f>
        <v>0</v>
      </c>
      <c r="DE247" s="106">
        <f>+PMGR!DE247+BP!DE247</f>
        <v>0</v>
      </c>
      <c r="DF247" s="106">
        <f>+PMGR!DF247+BP!DF247</f>
        <v>0</v>
      </c>
      <c r="DG247" s="106">
        <f>+SUM(CU247:DF247)</f>
        <v>0</v>
      </c>
      <c r="DH247" s="118"/>
      <c r="DI247" s="106">
        <f>+PMGR!DI247+BP!DI247</f>
        <v>0</v>
      </c>
      <c r="DJ247" s="106">
        <f>+PMGR!DJ247+BP!DJ247</f>
        <v>0</v>
      </c>
      <c r="DK247" s="106">
        <f>+PMGR!DK247+BP!DK247</f>
        <v>0</v>
      </c>
      <c r="DL247" s="106">
        <f>+PMGR!DL247+BP!DL247</f>
        <v>0</v>
      </c>
      <c r="DM247" s="106">
        <f>+PMGR!DM247+BP!DM247</f>
        <v>0</v>
      </c>
      <c r="DN247" s="106">
        <f>+PMGR!DN247+BP!DN247</f>
        <v>0</v>
      </c>
      <c r="DO247" s="106">
        <f>+PMGR!DO247+BP!DO247</f>
        <v>0</v>
      </c>
      <c r="DP247" s="106">
        <f>+PMGR!DP247+BP!DP247</f>
        <v>0</v>
      </c>
      <c r="DQ247" s="106">
        <f>+PMGR!DQ247+BP!DQ247</f>
        <v>0</v>
      </c>
      <c r="DR247" s="106">
        <f>+PMGR!DR247+BP!DR247</f>
        <v>0</v>
      </c>
      <c r="DS247" s="106">
        <f>+PMGR!DS247+BP!DS247</f>
        <v>0</v>
      </c>
      <c r="DT247" s="106">
        <f>+PMGR!DT247+BP!DT247</f>
        <v>0</v>
      </c>
      <c r="DU247" s="106">
        <f>+SUM(DI247:DT247)</f>
        <v>0</v>
      </c>
      <c r="DV247" s="106"/>
      <c r="DW247" s="106">
        <f>+PMGR!DW247+BP!DW247</f>
        <v>0</v>
      </c>
      <c r="DX247" s="106">
        <f>+PMGR!DX247+BP!DX247</f>
        <v>0</v>
      </c>
      <c r="DY247" s="106">
        <f>+PMGR!DY247+BP!DY247</f>
        <v>0</v>
      </c>
      <c r="DZ247" s="106">
        <f>+PMGR!DZ247+BP!DZ247</f>
        <v>0</v>
      </c>
      <c r="EA247" s="106">
        <f>+PMGR!EA247+BP!EA247</f>
        <v>0</v>
      </c>
      <c r="EB247" s="106">
        <f>+PMGR!EB247+BP!EB247</f>
        <v>0</v>
      </c>
      <c r="EC247" s="106">
        <f>+PMGR!EC247+BP!EC247</f>
        <v>0</v>
      </c>
      <c r="ED247" s="106">
        <f>+PMGR!ED247+BP!ED247</f>
        <v>0</v>
      </c>
      <c r="EE247" s="106">
        <f>+PMGR!EE247+BP!EE247</f>
        <v>0</v>
      </c>
      <c r="EF247" s="106">
        <f>+PMGR!EF247+BP!EF247</f>
        <v>0</v>
      </c>
      <c r="EG247" s="106">
        <f>+PMGR!EG247+BP!EG247</f>
        <v>0</v>
      </c>
      <c r="EH247" s="106">
        <f>+PMGR!EH247+BP!EH247</f>
        <v>0</v>
      </c>
      <c r="EI247" s="106">
        <f>+SUM(DW247:EH247)</f>
        <v>0</v>
      </c>
      <c r="EJ247" s="16" t="str">
        <f t="shared" si="1509"/>
        <v>Depreciation  -Vehicle</v>
      </c>
      <c r="EK247" s="106">
        <f>+PMGR!EK247+BP!EK247</f>
        <v>0</v>
      </c>
      <c r="EL247" s="106">
        <f>+PMGR!EL247+BP!EL247</f>
        <v>0</v>
      </c>
      <c r="EM247" s="106">
        <f>+PMGR!EM247+BP!EM247</f>
        <v>0</v>
      </c>
      <c r="EN247" s="106">
        <f>+PMGR!EN247+BP!EN247</f>
        <v>0</v>
      </c>
      <c r="EO247" s="106">
        <f>+PMGR!EO247+BP!EO247</f>
        <v>0</v>
      </c>
      <c r="EP247" s="106">
        <f>+PMGR!EP247+BP!EP247</f>
        <v>0</v>
      </c>
      <c r="EQ247" s="106">
        <f>+PMGR!EQ247+BP!EQ247</f>
        <v>0</v>
      </c>
      <c r="ER247" s="106">
        <f>+PMGR!ER247+BP!ER247</f>
        <v>0</v>
      </c>
      <c r="ES247" s="106">
        <f>+PMGR!ES247+BP!ES247</f>
        <v>0</v>
      </c>
      <c r="ET247" s="106">
        <f>+PMGR!ET247+BP!ET247</f>
        <v>0</v>
      </c>
      <c r="EU247" s="106">
        <f>+PMGR!EU247+BP!EU247</f>
        <v>0</v>
      </c>
      <c r="EV247" s="106">
        <f>+PMGR!EV247+BP!EV247</f>
        <v>0</v>
      </c>
      <c r="EW247" s="106">
        <f>+SUM(EK247:EV247)</f>
        <v>0</v>
      </c>
      <c r="EX247" s="118"/>
      <c r="EY247" s="106">
        <f>+PMGR!EY247+BP!EY247</f>
        <v>0</v>
      </c>
      <c r="EZ247" s="106">
        <f>+PMGR!EZ247+BP!EZ247</f>
        <v>0</v>
      </c>
      <c r="FA247" s="106">
        <f>+PMGR!FA247+BP!FA247</f>
        <v>0</v>
      </c>
      <c r="FB247" s="106">
        <f>+PMGR!FB247+BP!FB247</f>
        <v>0</v>
      </c>
      <c r="FC247" s="106">
        <f>+PMGR!FC247+BP!FC247</f>
        <v>0</v>
      </c>
      <c r="FD247" s="106">
        <f>+PMGR!FD247+BP!FD247</f>
        <v>0</v>
      </c>
      <c r="FE247" s="106">
        <f>+PMGR!FE247+BP!FE247</f>
        <v>0</v>
      </c>
      <c r="FF247" s="106">
        <f>+PMGR!FF247+BP!FF247</f>
        <v>0</v>
      </c>
      <c r="FG247" s="106">
        <f>+PMGR!FG247+BP!FG247</f>
        <v>0</v>
      </c>
      <c r="FH247" s="106">
        <f>+PMGR!FH247+BP!FH247</f>
        <v>0</v>
      </c>
      <c r="FI247" s="106">
        <f>+PMGR!FI247+BP!FI247</f>
        <v>0</v>
      </c>
      <c r="FJ247" s="106">
        <f>+PMGR!FJ247+BP!FJ247</f>
        <v>0</v>
      </c>
      <c r="FK247" s="106">
        <f>+SUM(EY247:FJ247)</f>
        <v>0</v>
      </c>
    </row>
    <row r="248" spans="1:167" ht="14.45" hidden="1" customHeight="1" outlineLevel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18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  <c r="BA248" s="106"/>
      <c r="BB248" s="106"/>
      <c r="BC248" s="106"/>
      <c r="BD248" s="16">
        <f t="shared" si="961"/>
        <v>0</v>
      </c>
      <c r="BE248" s="106"/>
      <c r="BF248" s="106"/>
      <c r="BG248" s="106"/>
      <c r="BH248" s="106"/>
      <c r="BI248" s="106"/>
      <c r="BJ248" s="106"/>
      <c r="BK248" s="106"/>
      <c r="BL248" s="106"/>
      <c r="BM248" s="106"/>
      <c r="BN248" s="106"/>
      <c r="BO248" s="106"/>
      <c r="BP248" s="106"/>
      <c r="BQ248" s="106"/>
      <c r="BR248" s="118"/>
      <c r="BS248" s="106"/>
      <c r="BT248" s="106"/>
      <c r="BU248" s="106"/>
      <c r="BV248" s="106"/>
      <c r="BW248" s="106"/>
      <c r="BX248" s="106"/>
      <c r="BY248" s="106"/>
      <c r="BZ248" s="106"/>
      <c r="CA248" s="106"/>
      <c r="CB248" s="106"/>
      <c r="CC248" s="106"/>
      <c r="CD248" s="106"/>
      <c r="CE248" s="106"/>
      <c r="CF248" s="106"/>
      <c r="CG248" s="106"/>
      <c r="CH248" s="106"/>
      <c r="CI248" s="106"/>
      <c r="CJ248" s="106"/>
      <c r="CK248" s="106"/>
      <c r="CL248" s="106"/>
      <c r="CM248" s="106"/>
      <c r="CN248" s="106"/>
      <c r="CO248" s="106"/>
      <c r="CP248" s="106"/>
      <c r="CQ248" s="106"/>
      <c r="CR248" s="106"/>
      <c r="CS248" s="106"/>
      <c r="CT248" s="16">
        <f t="shared" si="962"/>
        <v>0</v>
      </c>
      <c r="CU248" s="106"/>
      <c r="CV248" s="106"/>
      <c r="CW248" s="106"/>
      <c r="CX248" s="106"/>
      <c r="CY248" s="106"/>
      <c r="CZ248" s="106"/>
      <c r="DA248" s="106"/>
      <c r="DB248" s="106"/>
      <c r="DC248" s="106"/>
      <c r="DD248" s="106"/>
      <c r="DE248" s="106"/>
      <c r="DF248" s="106"/>
      <c r="DG248" s="106"/>
      <c r="DH248" s="118"/>
      <c r="DI248" s="106"/>
      <c r="DJ248" s="106"/>
      <c r="DK248" s="106"/>
      <c r="DL248" s="106"/>
      <c r="DM248" s="106"/>
      <c r="DN248" s="106"/>
      <c r="DO248" s="106"/>
      <c r="DP248" s="106"/>
      <c r="DQ248" s="106"/>
      <c r="DR248" s="106"/>
      <c r="DS248" s="106"/>
      <c r="DT248" s="106"/>
      <c r="DU248" s="106"/>
      <c r="DV248" s="106"/>
      <c r="DW248" s="106"/>
      <c r="DX248" s="106"/>
      <c r="DY248" s="106"/>
      <c r="DZ248" s="106"/>
      <c r="EA248" s="106"/>
      <c r="EB248" s="106"/>
      <c r="EC248" s="106"/>
      <c r="ED248" s="106"/>
      <c r="EE248" s="106"/>
      <c r="EF248" s="106"/>
      <c r="EG248" s="106"/>
      <c r="EH248" s="106"/>
      <c r="EI248" s="106"/>
      <c r="EJ248" s="16">
        <f t="shared" si="1509"/>
        <v>0</v>
      </c>
      <c r="EK248" s="106"/>
      <c r="EL248" s="106"/>
      <c r="EM248" s="106"/>
      <c r="EN248" s="106"/>
      <c r="EO248" s="106"/>
      <c r="EP248" s="106"/>
      <c r="EQ248" s="106"/>
      <c r="ER248" s="106"/>
      <c r="ES248" s="106"/>
      <c r="ET248" s="106"/>
      <c r="EU248" s="106"/>
      <c r="EV248" s="106"/>
      <c r="EW248" s="106"/>
      <c r="EX248" s="118"/>
      <c r="EY248" s="106"/>
      <c r="EZ248" s="106"/>
      <c r="FA248" s="106"/>
      <c r="FB248" s="106"/>
      <c r="FC248" s="106"/>
      <c r="FD248" s="106"/>
      <c r="FE248" s="106"/>
      <c r="FF248" s="106"/>
      <c r="FG248" s="106"/>
      <c r="FH248" s="106"/>
      <c r="FI248" s="106"/>
      <c r="FJ248" s="106"/>
      <c r="FK248" s="106"/>
    </row>
    <row r="249" spans="1:167" ht="14.45" customHeight="1" collapsed="1">
      <c r="A249" s="58">
        <f t="shared" ref="A249:M249" si="1537">+A233-A236-A241</f>
        <v>5279308.1297407271</v>
      </c>
      <c r="B249" s="58">
        <f t="shared" si="1537"/>
        <v>7519459.3934266381</v>
      </c>
      <c r="C249" s="58">
        <f t="shared" si="1537"/>
        <v>7241711.821707705</v>
      </c>
      <c r="D249" s="58">
        <f t="shared" si="1537"/>
        <v>2735491.7572689913</v>
      </c>
      <c r="E249" s="58">
        <f t="shared" si="1537"/>
        <v>2594086.1313459165</v>
      </c>
      <c r="F249" s="58">
        <f t="shared" si="1537"/>
        <v>6326025.1423938042</v>
      </c>
      <c r="G249" s="58">
        <f t="shared" si="1537"/>
        <v>5057956.4552155137</v>
      </c>
      <c r="H249" s="58">
        <f t="shared" si="1537"/>
        <v>5601395.803570007</v>
      </c>
      <c r="I249" s="58">
        <f t="shared" si="1537"/>
        <v>5451662.7978934841</v>
      </c>
      <c r="J249" s="58">
        <f t="shared" si="1537"/>
        <v>3709865.5393414814</v>
      </c>
      <c r="K249" s="58">
        <f t="shared" si="1537"/>
        <v>5620364.3043724643</v>
      </c>
      <c r="L249" s="58">
        <f t="shared" si="1537"/>
        <v>12413021.04121921</v>
      </c>
      <c r="M249" s="58">
        <f t="shared" si="1537"/>
        <v>88292024.362379074</v>
      </c>
      <c r="N249" s="14" t="s">
        <v>201</v>
      </c>
      <c r="O249" s="58">
        <f t="shared" ref="O249:AA249" si="1538">+O233-O236-O241</f>
        <v>1317491.5455366569</v>
      </c>
      <c r="P249" s="58">
        <f t="shared" si="1538"/>
        <v>-748313.8993322656</v>
      </c>
      <c r="Q249" s="58">
        <f t="shared" si="1538"/>
        <v>7722986.6931954613</v>
      </c>
      <c r="R249" s="58">
        <f t="shared" si="1538"/>
        <v>2659678.7385089519</v>
      </c>
      <c r="S249" s="58">
        <f t="shared" si="1538"/>
        <v>7513620.1923878202</v>
      </c>
      <c r="T249" s="58">
        <f t="shared" si="1538"/>
        <v>4535688.8821093626</v>
      </c>
      <c r="U249" s="58">
        <f t="shared" si="1538"/>
        <v>4525701.5044073202</v>
      </c>
      <c r="V249" s="58">
        <f t="shared" si="1538"/>
        <v>4416895.9957462046</v>
      </c>
      <c r="W249" s="58">
        <f t="shared" si="1538"/>
        <v>8261026.4476409191</v>
      </c>
      <c r="X249" s="58">
        <f t="shared" si="1538"/>
        <v>1731052.0409438144</v>
      </c>
      <c r="Y249" s="58">
        <f t="shared" si="1538"/>
        <v>0</v>
      </c>
      <c r="Z249" s="58">
        <f t="shared" si="1538"/>
        <v>0</v>
      </c>
      <c r="AA249" s="58">
        <f t="shared" si="1538"/>
        <v>41935828.141144261</v>
      </c>
      <c r="AB249" s="118"/>
      <c r="AC249" s="58">
        <f t="shared" ref="AC249:AO249" si="1539">+AC233-AC236-AC241</f>
        <v>4424288.3634117842</v>
      </c>
      <c r="AD249" s="58">
        <f t="shared" si="1539"/>
        <v>4063973.8660733821</v>
      </c>
      <c r="AE249" s="58">
        <f t="shared" si="1539"/>
        <v>11493561.326956481</v>
      </c>
      <c r="AF249" s="58">
        <f t="shared" si="1539"/>
        <v>1775537.1164280185</v>
      </c>
      <c r="AG249" s="58">
        <f t="shared" si="1539"/>
        <v>3404919.9861802515</v>
      </c>
      <c r="AH249" s="58">
        <f t="shared" si="1539"/>
        <v>11295933.233785972</v>
      </c>
      <c r="AI249" s="58">
        <f t="shared" si="1539"/>
        <v>5623999.7492949991</v>
      </c>
      <c r="AJ249" s="58">
        <f t="shared" si="1539"/>
        <v>5709437.218654111</v>
      </c>
      <c r="AK249" s="58">
        <f t="shared" si="1539"/>
        <v>13150420.991129372</v>
      </c>
      <c r="AL249" s="58">
        <f t="shared" si="1539"/>
        <v>2769701.1230722694</v>
      </c>
      <c r="AM249" s="58">
        <f t="shared" si="1539"/>
        <v>1986692.4213515203</v>
      </c>
      <c r="AN249" s="58">
        <f t="shared" si="1539"/>
        <v>11551187.75390562</v>
      </c>
      <c r="AO249" s="58">
        <f t="shared" si="1539"/>
        <v>109880810.09936021</v>
      </c>
      <c r="AP249" s="106"/>
      <c r="AQ249" s="58">
        <f t="shared" ref="AQ249:BC249" si="1540">+AQ233-AQ236-AQ241</f>
        <v>2332867.4128588918</v>
      </c>
      <c r="AR249" s="58">
        <f t="shared" si="1540"/>
        <v>4452215.8208065825</v>
      </c>
      <c r="AS249" s="58">
        <f t="shared" si="1540"/>
        <v>3848652.2683290346</v>
      </c>
      <c r="AT249" s="58">
        <f t="shared" si="1540"/>
        <v>1908724.6761173485</v>
      </c>
      <c r="AU249" s="58">
        <f t="shared" si="1540"/>
        <v>-405648.74978553434</v>
      </c>
      <c r="AV249" s="58">
        <f t="shared" si="1540"/>
        <v>3392127.2976435442</v>
      </c>
      <c r="AW249" s="58">
        <f t="shared" si="1540"/>
        <v>2666683.8236214826</v>
      </c>
      <c r="AX249" s="58">
        <f t="shared" si="1540"/>
        <v>2851737.1048720949</v>
      </c>
      <c r="AY249" s="58">
        <f t="shared" si="1540"/>
        <v>2647077.6748010186</v>
      </c>
      <c r="AZ249" s="58">
        <f t="shared" si="1540"/>
        <v>-233303.76851032639</v>
      </c>
      <c r="BA249" s="58">
        <f t="shared" si="1540"/>
        <v>1769525.5371615547</v>
      </c>
      <c r="BB249" s="58">
        <f t="shared" si="1540"/>
        <v>8884507.1816798635</v>
      </c>
      <c r="BC249" s="58">
        <f t="shared" si="1540"/>
        <v>33632326.615595557</v>
      </c>
      <c r="BD249" s="14" t="str">
        <f t="shared" si="961"/>
        <v>PBT</v>
      </c>
      <c r="BE249" s="58">
        <f t="shared" ref="BE249:BP249" si="1541">+BE233-BE236-BE241</f>
        <v>1911968.8880491131</v>
      </c>
      <c r="BF249" s="58">
        <f t="shared" si="1541"/>
        <v>757284.03744243993</v>
      </c>
      <c r="BG249" s="58">
        <f t="shared" si="1541"/>
        <v>6195600.9579226952</v>
      </c>
      <c r="BH249" s="58">
        <f t="shared" si="1541"/>
        <v>3217723.6536332215</v>
      </c>
      <c r="BI249" s="58">
        <f t="shared" si="1541"/>
        <v>7478010.3444154691</v>
      </c>
      <c r="BJ249" s="58">
        <f t="shared" si="1541"/>
        <v>3028286.3017724175</v>
      </c>
      <c r="BK249" s="58">
        <f t="shared" si="1541"/>
        <v>4486250.5213889517</v>
      </c>
      <c r="BL249" s="58">
        <f t="shared" si="1541"/>
        <v>3182582.3147877748</v>
      </c>
      <c r="BM249" s="58">
        <f t="shared" si="1541"/>
        <v>6448044.4778148364</v>
      </c>
      <c r="BN249" s="58">
        <f t="shared" si="1541"/>
        <v>1587634.8423468661</v>
      </c>
      <c r="BO249" s="58">
        <f t="shared" si="1541"/>
        <v>0</v>
      </c>
      <c r="BP249" s="58">
        <f t="shared" si="1541"/>
        <v>0</v>
      </c>
      <c r="BQ249" s="58">
        <f>+BQ233-BQ236-BQ241</f>
        <v>38293386.339573786</v>
      </c>
      <c r="BR249" s="118"/>
      <c r="BS249" s="58">
        <f t="shared" ref="BS249:ED249" si="1542">+BS233-BS236-BS241</f>
        <v>3146547.9795838934</v>
      </c>
      <c r="BT249" s="58">
        <f t="shared" si="1542"/>
        <v>2920493.8695064276</v>
      </c>
      <c r="BU249" s="58">
        <f t="shared" si="1542"/>
        <v>6418977.6906000506</v>
      </c>
      <c r="BV249" s="58">
        <f t="shared" si="1542"/>
        <v>1671727.0998570984</v>
      </c>
      <c r="BW249" s="58">
        <f t="shared" si="1542"/>
        <v>2243298.476583404</v>
      </c>
      <c r="BX249" s="58">
        <f t="shared" si="1542"/>
        <v>6680083.4110540133</v>
      </c>
      <c r="BY249" s="58">
        <f t="shared" si="1542"/>
        <v>3544888.8294473612</v>
      </c>
      <c r="BZ249" s="58">
        <f t="shared" si="1542"/>
        <v>3608569.4062408363</v>
      </c>
      <c r="CA249" s="58">
        <f t="shared" si="1542"/>
        <v>7962981.1872617397</v>
      </c>
      <c r="CB249" s="58">
        <f t="shared" si="1542"/>
        <v>2697501.449211787</v>
      </c>
      <c r="CC249" s="58">
        <f t="shared" si="1542"/>
        <v>1435632.8120266953</v>
      </c>
      <c r="CD249" s="58">
        <f t="shared" si="1542"/>
        <v>7285901.8499520645</v>
      </c>
      <c r="CE249" s="58">
        <f t="shared" si="1542"/>
        <v>49166604.061325356</v>
      </c>
      <c r="CF249" s="106"/>
      <c r="CG249" s="58">
        <f t="shared" si="1542"/>
        <v>2946440.716881833</v>
      </c>
      <c r="CH249" s="58">
        <f t="shared" si="1542"/>
        <v>3067243.5726200449</v>
      </c>
      <c r="CI249" s="58">
        <f t="shared" si="1542"/>
        <v>3393059.5533786779</v>
      </c>
      <c r="CJ249" s="58">
        <f t="shared" si="1542"/>
        <v>826767.0811516433</v>
      </c>
      <c r="CK249" s="58">
        <f t="shared" si="1542"/>
        <v>2999734.8811314474</v>
      </c>
      <c r="CL249" s="58">
        <f t="shared" si="1542"/>
        <v>2933897.8447502512</v>
      </c>
      <c r="CM249" s="58">
        <f t="shared" si="1542"/>
        <v>2391272.6315940376</v>
      </c>
      <c r="CN249" s="58">
        <f t="shared" si="1542"/>
        <v>2749658.6986979102</v>
      </c>
      <c r="CO249" s="58">
        <f t="shared" si="1542"/>
        <v>2804585.1230924651</v>
      </c>
      <c r="CP249" s="58">
        <f t="shared" si="1542"/>
        <v>3943169.3078518165</v>
      </c>
      <c r="CQ249" s="58">
        <f t="shared" si="1542"/>
        <v>3850838.7672109129</v>
      </c>
      <c r="CR249" s="58">
        <f t="shared" si="1542"/>
        <v>3528513.8595393384</v>
      </c>
      <c r="CS249" s="58">
        <f t="shared" si="1542"/>
        <v>35201690.330900401</v>
      </c>
      <c r="CT249" s="14" t="str">
        <f t="shared" si="962"/>
        <v>PBT</v>
      </c>
      <c r="CU249" s="58">
        <f t="shared" si="1542"/>
        <v>1900116.2705006811</v>
      </c>
      <c r="CV249" s="58">
        <f t="shared" si="1542"/>
        <v>128615.03945429577</v>
      </c>
      <c r="CW249" s="58">
        <f t="shared" si="1542"/>
        <v>2709463.0619613687</v>
      </c>
      <c r="CX249" s="58">
        <f t="shared" si="1542"/>
        <v>1156057.0551268279</v>
      </c>
      <c r="CY249" s="58">
        <f t="shared" si="1542"/>
        <v>2211253.0187280616</v>
      </c>
      <c r="CZ249" s="58">
        <f t="shared" si="1542"/>
        <v>2188039.7226255797</v>
      </c>
      <c r="DA249" s="58">
        <f t="shared" si="1542"/>
        <v>2153863.5935526295</v>
      </c>
      <c r="DB249" s="58">
        <f t="shared" si="1542"/>
        <v>2538847.6641382584</v>
      </c>
      <c r="DC249" s="58">
        <f t="shared" si="1542"/>
        <v>2611962.0945570897</v>
      </c>
      <c r="DD249" s="58">
        <f t="shared" si="1542"/>
        <v>1501996.1465378299</v>
      </c>
      <c r="DE249" s="58">
        <f t="shared" si="1542"/>
        <v>0</v>
      </c>
      <c r="DF249" s="58">
        <f t="shared" si="1542"/>
        <v>0</v>
      </c>
      <c r="DG249" s="58">
        <f t="shared" si="1542"/>
        <v>19100213.667182632</v>
      </c>
      <c r="DH249" s="118"/>
      <c r="DI249" s="58">
        <f t="shared" si="1542"/>
        <v>2338527.4142954713</v>
      </c>
      <c r="DJ249" s="58">
        <f t="shared" si="1542"/>
        <v>2336876.2490893723</v>
      </c>
      <c r="DK249" s="58">
        <f t="shared" si="1542"/>
        <v>5362574.5417298879</v>
      </c>
      <c r="DL249" s="58">
        <f t="shared" si="1542"/>
        <v>1317699.1352034919</v>
      </c>
      <c r="DM249" s="58">
        <f t="shared" si="1542"/>
        <v>2014095.5343467069</v>
      </c>
      <c r="DN249" s="58">
        <f t="shared" si="1542"/>
        <v>4799643.8169440012</v>
      </c>
      <c r="DO249" s="58">
        <f t="shared" si="1542"/>
        <v>2647544.0684443219</v>
      </c>
      <c r="DP249" s="58">
        <f t="shared" si="1542"/>
        <v>2766385.135155106</v>
      </c>
      <c r="DQ249" s="58">
        <f t="shared" si="1542"/>
        <v>5247001.8645975869</v>
      </c>
      <c r="DR249" s="58">
        <f t="shared" si="1542"/>
        <v>1523518.1495933209</v>
      </c>
      <c r="DS249" s="58">
        <f t="shared" si="1542"/>
        <v>1860767.4300146124</v>
      </c>
      <c r="DT249" s="58">
        <f t="shared" si="1542"/>
        <v>4823553.362441849</v>
      </c>
      <c r="DU249" s="58">
        <f t="shared" si="1542"/>
        <v>37038186.701855719</v>
      </c>
      <c r="DV249" s="106"/>
      <c r="DW249" s="58">
        <f t="shared" si="1542"/>
        <v>0</v>
      </c>
      <c r="DX249" s="58">
        <f t="shared" si="1542"/>
        <v>0</v>
      </c>
      <c r="DY249" s="58">
        <f t="shared" si="1542"/>
        <v>0</v>
      </c>
      <c r="DZ249" s="58">
        <f t="shared" si="1542"/>
        <v>0</v>
      </c>
      <c r="EA249" s="58">
        <f t="shared" si="1542"/>
        <v>0</v>
      </c>
      <c r="EB249" s="58">
        <f t="shared" si="1542"/>
        <v>0</v>
      </c>
      <c r="EC249" s="58">
        <f t="shared" si="1542"/>
        <v>0</v>
      </c>
      <c r="ED249" s="58">
        <f t="shared" si="1542"/>
        <v>0</v>
      </c>
      <c r="EE249" s="58">
        <f t="shared" ref="EE249:EI249" si="1543">+EE233-EE236-EE241</f>
        <v>0</v>
      </c>
      <c r="EF249" s="58">
        <f t="shared" si="1543"/>
        <v>0</v>
      </c>
      <c r="EG249" s="58">
        <f t="shared" si="1543"/>
        <v>0</v>
      </c>
      <c r="EH249" s="58">
        <f t="shared" si="1543"/>
        <v>0</v>
      </c>
      <c r="EI249" s="58">
        <f t="shared" si="1543"/>
        <v>0</v>
      </c>
      <c r="EJ249" s="14" t="str">
        <f t="shared" si="1509"/>
        <v>PBT</v>
      </c>
      <c r="EK249" s="58">
        <f t="shared" ref="EK249:EW249" si="1544">+EK233-EK236-EK241</f>
        <v>-2494593.6130131227</v>
      </c>
      <c r="EL249" s="58">
        <f t="shared" si="1544"/>
        <v>-1634212.9762289957</v>
      </c>
      <c r="EM249" s="58">
        <f t="shared" si="1544"/>
        <v>-1182077.3266886021</v>
      </c>
      <c r="EN249" s="58">
        <f t="shared" si="1544"/>
        <v>-1714101.9702510913</v>
      </c>
      <c r="EO249" s="58">
        <f t="shared" si="1544"/>
        <v>-2175643.1707557123</v>
      </c>
      <c r="EP249" s="58">
        <f t="shared" si="1544"/>
        <v>-680637.14228863269</v>
      </c>
      <c r="EQ249" s="58">
        <f t="shared" si="1544"/>
        <v>-2114412.6105342638</v>
      </c>
      <c r="ER249" s="58">
        <f t="shared" si="1544"/>
        <v>-1304533.983179827</v>
      </c>
      <c r="ES249" s="58">
        <f t="shared" si="1544"/>
        <v>-798980.12473099213</v>
      </c>
      <c r="ET249" s="58">
        <f t="shared" si="1544"/>
        <v>-1358578.9479408842</v>
      </c>
      <c r="EU249" s="58">
        <f t="shared" si="1544"/>
        <v>0</v>
      </c>
      <c r="EV249" s="58">
        <f t="shared" si="1544"/>
        <v>0</v>
      </c>
      <c r="EW249" s="58">
        <f t="shared" si="1544"/>
        <v>-15471362.321612133</v>
      </c>
      <c r="EX249" s="118"/>
      <c r="EY249" s="58">
        <f t="shared" ref="EY249:FK249" si="1545">+EY233-EY236-EY241</f>
        <v>-1060787.0304675791</v>
      </c>
      <c r="EZ249" s="58">
        <f t="shared" si="1545"/>
        <v>-1193396.252522429</v>
      </c>
      <c r="FA249" s="58">
        <f t="shared" si="1545"/>
        <v>-287990.90537345363</v>
      </c>
      <c r="FB249" s="58">
        <f t="shared" si="1545"/>
        <v>-1213889.1186325706</v>
      </c>
      <c r="FC249" s="58">
        <f t="shared" si="1545"/>
        <v>-852474.02474985342</v>
      </c>
      <c r="FD249" s="58">
        <f t="shared" si="1545"/>
        <v>-183793.99421203695</v>
      </c>
      <c r="FE249" s="58">
        <f t="shared" si="1545"/>
        <v>-568433.14859667816</v>
      </c>
      <c r="FF249" s="58">
        <f t="shared" si="1545"/>
        <v>-665517.32274182863</v>
      </c>
      <c r="FG249" s="58">
        <f t="shared" si="1545"/>
        <v>-59562.06072995346</v>
      </c>
      <c r="FH249" s="58">
        <f t="shared" si="1545"/>
        <v>-1451318.4757328345</v>
      </c>
      <c r="FI249" s="58">
        <f t="shared" si="1545"/>
        <v>-1309707.8206898007</v>
      </c>
      <c r="FJ249" s="58">
        <f t="shared" si="1545"/>
        <v>-558267.45848830114</v>
      </c>
      <c r="FK249" s="58">
        <f t="shared" si="1545"/>
        <v>-9505137.6129373275</v>
      </c>
    </row>
    <row r="250" spans="1:167" ht="14.45" customHeight="1">
      <c r="A250" s="108">
        <f t="shared" ref="A250:M250" si="1546">IFERROR(A249/A70,0)</f>
        <v>0.15466897973913901</v>
      </c>
      <c r="B250" s="108">
        <f t="shared" si="1546"/>
        <v>0.17461333270771379</v>
      </c>
      <c r="C250" s="108">
        <f t="shared" si="1546"/>
        <v>0.22993522777141517</v>
      </c>
      <c r="D250" s="108">
        <f t="shared" si="1546"/>
        <v>9.7214492277277464E-2</v>
      </c>
      <c r="E250" s="108">
        <f t="shared" si="1546"/>
        <v>8.0566837287288293E-2</v>
      </c>
      <c r="F250" s="108">
        <f t="shared" si="1546"/>
        <v>0.1734489032361998</v>
      </c>
      <c r="G250" s="108">
        <f t="shared" si="1546"/>
        <v>0.13983558213702968</v>
      </c>
      <c r="H250" s="108">
        <f t="shared" si="1546"/>
        <v>0.13315338333868498</v>
      </c>
      <c r="I250" s="108">
        <f t="shared" si="1546"/>
        <v>0.13952582868419697</v>
      </c>
      <c r="J250" s="108">
        <f t="shared" si="1546"/>
        <v>0.10226684932456989</v>
      </c>
      <c r="K250" s="108">
        <f t="shared" si="1546"/>
        <v>0.12992836311951506</v>
      </c>
      <c r="L250" s="108">
        <f t="shared" si="1546"/>
        <v>0.28626145941450915</v>
      </c>
      <c r="M250" s="108">
        <f t="shared" si="1546"/>
        <v>0.19809445742938891</v>
      </c>
      <c r="N250" s="15" t="s">
        <v>58</v>
      </c>
      <c r="O250" s="108">
        <f t="shared" ref="O250:AA250" si="1547">IFERROR(O249/O70,0)</f>
        <v>3.7190209105835759E-2</v>
      </c>
      <c r="P250" s="108">
        <f t="shared" si="1547"/>
        <v>-2.3753707209332529E-2</v>
      </c>
      <c r="Q250" s="108">
        <f t="shared" si="1547"/>
        <v>0.1620353988298126</v>
      </c>
      <c r="R250" s="108">
        <f t="shared" si="1547"/>
        <v>6.9048002705633049E-2</v>
      </c>
      <c r="S250" s="108">
        <f t="shared" si="1547"/>
        <v>0.14190437049989782</v>
      </c>
      <c r="T250" s="108">
        <f t="shared" si="1547"/>
        <v>0.11672237659436899</v>
      </c>
      <c r="U250" s="108">
        <f t="shared" si="1547"/>
        <v>9.4978572982240786E-2</v>
      </c>
      <c r="V250" s="108">
        <f t="shared" si="1547"/>
        <v>9.4351005814823891E-2</v>
      </c>
      <c r="W250" s="108">
        <f t="shared" si="1547"/>
        <v>0.18985788207354809</v>
      </c>
      <c r="X250" s="108">
        <f t="shared" si="1547"/>
        <v>3.9104068422184099E-2</v>
      </c>
      <c r="Y250" s="108">
        <f t="shared" si="1547"/>
        <v>0</v>
      </c>
      <c r="Z250" s="108">
        <f t="shared" si="1547"/>
        <v>0</v>
      </c>
      <c r="AA250" s="108">
        <f t="shared" si="1547"/>
        <v>9.8173518711377056E-2</v>
      </c>
      <c r="AB250" s="118"/>
      <c r="AC250" s="108">
        <f t="shared" ref="AC250:AO250" si="1548">IFERROR(AC249/AC70,0)</f>
        <v>9.6835538539066582E-2</v>
      </c>
      <c r="AD250" s="108">
        <f t="shared" si="1548"/>
        <v>9.1325523202694159E-2</v>
      </c>
      <c r="AE250" s="108">
        <f t="shared" si="1548"/>
        <v>0.25273832684967962</v>
      </c>
      <c r="AF250" s="108">
        <f t="shared" si="1548"/>
        <v>4.6144909086853932E-2</v>
      </c>
      <c r="AG250" s="108">
        <f t="shared" si="1548"/>
        <v>7.807464434840912E-2</v>
      </c>
      <c r="AH250" s="108">
        <f t="shared" si="1548"/>
        <v>0.24500483738995918</v>
      </c>
      <c r="AI250" s="108">
        <f t="shared" si="1548"/>
        <v>0.11694534205246637</v>
      </c>
      <c r="AJ250" s="108">
        <f t="shared" si="1548"/>
        <v>0.11675348657591726</v>
      </c>
      <c r="AK250" s="108">
        <f t="shared" si="1548"/>
        <v>0.26277247217289468</v>
      </c>
      <c r="AL250" s="108">
        <f t="shared" si="1548"/>
        <v>6.6314139144612427E-2</v>
      </c>
      <c r="AM250" s="108">
        <f t="shared" si="1548"/>
        <v>5.2437721834246255E-2</v>
      </c>
      <c r="AN250" s="108">
        <f t="shared" si="1548"/>
        <v>0.25243355181853938</v>
      </c>
      <c r="AO250" s="108">
        <f t="shared" si="1548"/>
        <v>0.20488381499464384</v>
      </c>
      <c r="AP250" s="32"/>
      <c r="AQ250" s="108">
        <f t="shared" ref="AQ250" si="1549">IFERROR(AQ249/AQ70,0)</f>
        <v>0.11898612597964282</v>
      </c>
      <c r="AR250" s="108">
        <f t="shared" ref="AR250" si="1550">IFERROR(AR249/AR70,0)</f>
        <v>0.16073200710561966</v>
      </c>
      <c r="AS250" s="108">
        <f t="shared" ref="AS250" si="1551">IFERROR(AS249/AS70,0)</f>
        <v>0.18826692974744857</v>
      </c>
      <c r="AT250" s="108">
        <f t="shared" ref="AT250" si="1552">IFERROR(AT249/AT70,0)</f>
        <v>9.3873118268255076E-2</v>
      </c>
      <c r="AU250" s="108">
        <f t="shared" ref="AU250" si="1553">IFERROR(AU249/AU70,0)</f>
        <v>-2.5193568296047332E-2</v>
      </c>
      <c r="AV250" s="108">
        <f t="shared" ref="AV250" si="1554">IFERROR(AV249/AV70,0)</f>
        <v>0.16205873914828997</v>
      </c>
      <c r="AW250" s="108">
        <f t="shared" ref="AW250" si="1555">IFERROR(AW249/AW70,0)</f>
        <v>0.1137662612260442</v>
      </c>
      <c r="AX250" s="108">
        <f t="shared" ref="AX250" si="1556">IFERROR(AX249/AX70,0)</f>
        <v>0.10170260343315611</v>
      </c>
      <c r="AY250" s="108">
        <f t="shared" ref="AY250" si="1557">IFERROR(AY249/AY70,0)</f>
        <v>9.7896921776812335E-2</v>
      </c>
      <c r="AZ250" s="108">
        <f t="shared" ref="AZ250" si="1558">IFERROR(AZ249/AZ70,0)</f>
        <v>-9.9377334273520884E-3</v>
      </c>
      <c r="BA250" s="108">
        <f t="shared" ref="BA250" si="1559">IFERROR(BA249/BA70,0)</f>
        <v>6.7202175363881067E-2</v>
      </c>
      <c r="BB250" s="108">
        <f t="shared" ref="BB250" si="1560">IFERROR(BB249/BB70,0)</f>
        <v>0.29698689637413062</v>
      </c>
      <c r="BC250" s="108">
        <f t="shared" ref="BC250" si="1561">IFERROR(BC249/BC70,0)</f>
        <v>0.11869242313878089</v>
      </c>
      <c r="BD250" s="15" t="str">
        <f t="shared" si="961"/>
        <v>% to Sales</v>
      </c>
      <c r="BE250" s="108">
        <f t="shared" ref="BE250:BQ250" si="1562">IFERROR(BE249/BE70,0)</f>
        <v>9.3381481972098793E-2</v>
      </c>
      <c r="BF250" s="108">
        <f t="shared" si="1562"/>
        <v>4.0778739871274526E-2</v>
      </c>
      <c r="BG250" s="108">
        <f t="shared" si="1562"/>
        <v>0.19400408379313014</v>
      </c>
      <c r="BH250" s="108">
        <f t="shared" si="1562"/>
        <v>0.12140026309096261</v>
      </c>
      <c r="BI250" s="108">
        <f t="shared" si="1562"/>
        <v>0.21614150776580393</v>
      </c>
      <c r="BJ250" s="108">
        <f t="shared" si="1562"/>
        <v>0.13235007791363693</v>
      </c>
      <c r="BK250" s="108">
        <f t="shared" si="1562"/>
        <v>0.15251215038775712</v>
      </c>
      <c r="BL250" s="108">
        <f t="shared" si="1562"/>
        <v>0.11403220705896287</v>
      </c>
      <c r="BM250" s="108">
        <f t="shared" si="1562"/>
        <v>0.22248508876767023</v>
      </c>
      <c r="BN250" s="108">
        <f t="shared" si="1562"/>
        <v>6.3890090535090205E-2</v>
      </c>
      <c r="BO250" s="108">
        <f t="shared" si="1562"/>
        <v>0</v>
      </c>
      <c r="BP250" s="108">
        <f t="shared" si="1562"/>
        <v>0</v>
      </c>
      <c r="BQ250" s="108">
        <f t="shared" si="1562"/>
        <v>0.14389459501380644</v>
      </c>
      <c r="BR250" s="118"/>
      <c r="BS250" s="108">
        <f t="shared" ref="BS250" si="1563">IFERROR(BS249/BS70,0)</f>
        <v>0.12628999668648572</v>
      </c>
      <c r="BT250" s="108">
        <f t="shared" ref="BT250" si="1564">IFERROR(BT249/BT70,0)</f>
        <v>0.12069195836033382</v>
      </c>
      <c r="BU250" s="108">
        <f t="shared" ref="BU250" si="1565">IFERROR(BU249/BU70,0)</f>
        <v>0.28206759813001775</v>
      </c>
      <c r="BV250" s="108">
        <f t="shared" ref="BV250" si="1566">IFERROR(BV249/BV70,0)</f>
        <v>7.9539918004839921E-2</v>
      </c>
      <c r="BW250" s="108">
        <f t="shared" ref="BW250" si="1567">IFERROR(BW249/BW70,0)</f>
        <v>9.8001771588546588E-2</v>
      </c>
      <c r="BX250" s="108">
        <f t="shared" ref="BX250" si="1568">IFERROR(BX249/BX70,0)</f>
        <v>0.27633136529691249</v>
      </c>
      <c r="BY250" s="108">
        <f t="shared" ref="BY250" si="1569">IFERROR(BY249/BY70,0)</f>
        <v>0.14175856890028057</v>
      </c>
      <c r="BZ250" s="108">
        <f t="shared" ref="BZ250" si="1570">IFERROR(BZ249/BZ70,0)</f>
        <v>0.14019789989099152</v>
      </c>
      <c r="CA250" s="108">
        <f t="shared" ref="CA250" si="1571">IFERROR(CA249/CA70,0)</f>
        <v>0.29260076943693208</v>
      </c>
      <c r="CB250" s="108">
        <f t="shared" ref="CB250" si="1572">IFERROR(CB249/CB70,0)</f>
        <v>0.11275185722169122</v>
      </c>
      <c r="CC250" s="108">
        <f t="shared" ref="CC250" si="1573">IFERROR(CC249/CC70,0)</f>
        <v>7.4233128007627852E-2</v>
      </c>
      <c r="CD250" s="108">
        <f t="shared" ref="CD250" si="1574">IFERROR(CD249/CD70,0)</f>
        <v>0.28669521320078867</v>
      </c>
      <c r="CE250" s="108">
        <f t="shared" ref="CE250" si="1575">IFERROR(CE249/CE70,0)</f>
        <v>0.17155767648622519</v>
      </c>
      <c r="CF250" s="32"/>
      <c r="CG250" s="108">
        <f t="shared" ref="CG250" si="1576">IFERROR(CG249/CG70,0)</f>
        <v>0.20282885357162536</v>
      </c>
      <c r="CH250" s="108">
        <f t="shared" ref="CH250" si="1577">IFERROR(CH249/CH70,0)</f>
        <v>0.19964006970047185</v>
      </c>
      <c r="CI250" s="108">
        <f t="shared" ref="CI250" si="1578">IFERROR(CI249/CI70,0)</f>
        <v>0.30700743724233237</v>
      </c>
      <c r="CJ250" s="108">
        <f t="shared" ref="CJ250" si="1579">IFERROR(CJ249/CJ70,0)</f>
        <v>0.10591842382617275</v>
      </c>
      <c r="CK250" s="108">
        <f t="shared" ref="CK250" si="1580">IFERROR(CK249/CK70,0)</f>
        <v>0.18635763019475451</v>
      </c>
      <c r="CL250" s="108">
        <f t="shared" ref="CL250" si="1581">IFERROR(CL249/CL70,0)</f>
        <v>0.18879027898072204</v>
      </c>
      <c r="CM250" s="108">
        <f t="shared" ref="CM250" si="1582">IFERROR(CM249/CM70,0)</f>
        <v>0.18783488337521645</v>
      </c>
      <c r="CN250" s="108">
        <f t="shared" ref="CN250" si="1583">IFERROR(CN249/CN70,0)</f>
        <v>0.19602220386921967</v>
      </c>
      <c r="CO250" s="108">
        <f t="shared" ref="CO250" si="1584">IFERROR(CO249/CO70,0)</f>
        <v>0.23306772408767906</v>
      </c>
      <c r="CP250" s="108">
        <f t="shared" ref="CP250" si="1585">IFERROR(CP249/CP70,0)</f>
        <v>0.30806567573512433</v>
      </c>
      <c r="CQ250" s="108">
        <f t="shared" ref="CQ250" si="1586">IFERROR(CQ249/CQ70,0)</f>
        <v>0.22750978476231357</v>
      </c>
      <c r="CR250" s="108">
        <f t="shared" ref="CR250" si="1587">IFERROR(CR249/CR70,0)</f>
        <v>0.26240070255200215</v>
      </c>
      <c r="CS250" s="108">
        <f t="shared" ref="CS250" si="1588">IFERROR(CS249/CS70,0)</f>
        <v>0.21682632531006577</v>
      </c>
      <c r="CT250" s="46" t="str">
        <f t="shared" si="962"/>
        <v>% to Sales</v>
      </c>
      <c r="CU250" s="108">
        <f t="shared" ref="CU250" si="1589">IFERROR(CU249/CU70,0)</f>
        <v>0.15442973632997742</v>
      </c>
      <c r="CV250" s="108">
        <f t="shared" ref="CV250" si="1590">IFERROR(CV249/CV70,0)</f>
        <v>1.4657412518328913E-2</v>
      </c>
      <c r="CW250" s="108">
        <f t="shared" ref="CW250" si="1591">IFERROR(CW249/CW70,0)</f>
        <v>0.21406767137438792</v>
      </c>
      <c r="CX250" s="108">
        <f t="shared" ref="CX250" si="1592">IFERROR(CX249/CX70,0)</f>
        <v>0.11963263351774962</v>
      </c>
      <c r="CY250" s="108">
        <f t="shared" ref="CY250" si="1593">IFERROR(CY249/CY70,0)</f>
        <v>0.1516200442902452</v>
      </c>
      <c r="CZ250" s="108">
        <f t="shared" ref="CZ250" si="1594">IFERROR(CZ249/CZ70,0)</f>
        <v>0.21120656504875862</v>
      </c>
      <c r="DA250" s="108">
        <f t="shared" ref="DA250" si="1595">IFERROR(DA249/DA70,0)</f>
        <v>0.15584995175033117</v>
      </c>
      <c r="DB250" s="108">
        <f t="shared" ref="DB250" si="1596">IFERROR(DB249/DB70,0)</f>
        <v>0.18711557499424125</v>
      </c>
      <c r="DC250" s="108">
        <f t="shared" ref="DC250" si="1597">IFERROR(DC249/DC70,0)</f>
        <v>0.24351814163408911</v>
      </c>
      <c r="DD250" s="108">
        <f t="shared" ref="DD250" si="1598">IFERROR(DD249/DD70,0)</f>
        <v>0.10564861406903156</v>
      </c>
      <c r="DE250" s="108">
        <f t="shared" ref="DE250" si="1599">IFERROR(DE249/DE70,0)</f>
        <v>0</v>
      </c>
      <c r="DF250" s="108">
        <f t="shared" ref="DF250" si="1600">IFERROR(DF249/DF70,0)</f>
        <v>0</v>
      </c>
      <c r="DG250" s="108">
        <f t="shared" ref="DG250" si="1601">IFERROR(DG249/DG70,0)</f>
        <v>0.15827886057106616</v>
      </c>
      <c r="DH250" s="118"/>
      <c r="DI250" s="108">
        <f t="shared" ref="DI250" si="1602">IFERROR(DI249/DI70,0)</f>
        <v>0.1526267663202967</v>
      </c>
      <c r="DJ250" s="108">
        <f t="shared" ref="DJ250" si="1603">IFERROR(DJ249/DJ70,0)</f>
        <v>0.15355293339653051</v>
      </c>
      <c r="DK250" s="108">
        <f t="shared" ref="DK250" si="1604">IFERROR(DK249/DK70,0)</f>
        <v>0.31467676068654499</v>
      </c>
      <c r="DL250" s="108">
        <f t="shared" ref="DL250" si="1605">IFERROR(DL249/DL70,0)</f>
        <v>0.10656419222530646</v>
      </c>
      <c r="DM250" s="108">
        <f t="shared" ref="DM250" si="1606">IFERROR(DM249/DM70,0)</f>
        <v>0.13707711741122824</v>
      </c>
      <c r="DN250" s="108">
        <f t="shared" ref="DN250" si="1607">IFERROR(DN249/DN70,0)</f>
        <v>0.30205853783233694</v>
      </c>
      <c r="DO250" s="108">
        <f t="shared" ref="DO250" si="1608">IFERROR(DO249/DO70,0)</f>
        <v>0.16242788010469075</v>
      </c>
      <c r="DP250" s="108">
        <f t="shared" ref="DP250" si="1609">IFERROR(DP249/DP70,0)</f>
        <v>0.16627788624540699</v>
      </c>
      <c r="DQ250" s="108">
        <f t="shared" ref="DQ250" si="1610">IFERROR(DQ249/DQ70,0)</f>
        <v>0.31623961625997643</v>
      </c>
      <c r="DR250" s="108">
        <f t="shared" ref="DR250" si="1611">IFERROR(DR249/DR70,0)</f>
        <v>0.11348874501164359</v>
      </c>
      <c r="DS250" s="108">
        <f t="shared" ref="DS250" si="1612">IFERROR(DS249/DS70,0)</f>
        <v>0.13337922910661584</v>
      </c>
      <c r="DT250" s="108">
        <f t="shared" ref="DT250" si="1613">IFERROR(DT249/DT70,0)</f>
        <v>0.3100927931236655</v>
      </c>
      <c r="DU250" s="108">
        <f t="shared" ref="DU250" si="1614">IFERROR(DU249/DU70,0)</f>
        <v>0.20240587334452501</v>
      </c>
      <c r="DV250" s="32"/>
      <c r="DW250" s="108">
        <f t="shared" ref="DW250" si="1615">IFERROR(DW249/DW70,0)</f>
        <v>0</v>
      </c>
      <c r="DX250" s="108">
        <f t="shared" ref="DX250" si="1616">IFERROR(DX249/DX70,0)</f>
        <v>0</v>
      </c>
      <c r="DY250" s="108">
        <f t="shared" ref="DY250" si="1617">IFERROR(DY249/DY70,0)</f>
        <v>0</v>
      </c>
      <c r="DZ250" s="108">
        <f t="shared" ref="DZ250" si="1618">IFERROR(DZ249/DZ70,0)</f>
        <v>0</v>
      </c>
      <c r="EA250" s="108">
        <f t="shared" ref="EA250" si="1619">IFERROR(EA249/EA70,0)</f>
        <v>0</v>
      </c>
      <c r="EB250" s="108">
        <f t="shared" ref="EB250" si="1620">IFERROR(EB249/EB70,0)</f>
        <v>0</v>
      </c>
      <c r="EC250" s="108">
        <f t="shared" ref="EC250" si="1621">IFERROR(EC249/EC70,0)</f>
        <v>0</v>
      </c>
      <c r="ED250" s="108">
        <f t="shared" ref="ED250" si="1622">IFERROR(ED249/ED70,0)</f>
        <v>0</v>
      </c>
      <c r="EE250" s="108">
        <f t="shared" ref="EE250" si="1623">IFERROR(EE249/EE70,0)</f>
        <v>0</v>
      </c>
      <c r="EF250" s="108">
        <f t="shared" ref="EF250" si="1624">IFERROR(EF249/EF70,0)</f>
        <v>0</v>
      </c>
      <c r="EG250" s="108">
        <f t="shared" ref="EG250" si="1625">IFERROR(EG249/EG70,0)</f>
        <v>0</v>
      </c>
      <c r="EH250" s="108">
        <f t="shared" ref="EH250" si="1626">IFERROR(EH249/EH70,0)</f>
        <v>0</v>
      </c>
      <c r="EI250" s="108">
        <f t="shared" ref="EI250" si="1627">IFERROR(EI249/EI70,0)</f>
        <v>0</v>
      </c>
      <c r="EJ250" s="46" t="str">
        <f t="shared" si="1509"/>
        <v>% to Sales</v>
      </c>
      <c r="EK250" s="108">
        <f t="shared" ref="EK250" si="1628">IFERROR(EK249/EK70,0)</f>
        <v>-0.94247209626746853</v>
      </c>
      <c r="EL250" s="108">
        <f t="shared" ref="EL250" si="1629">IFERROR(EL249/EL70,0)</f>
        <v>-0.3930539084470715</v>
      </c>
      <c r="EM250" s="108">
        <f t="shared" ref="EM250" si="1630">IFERROR(EM249/EM70,0)</f>
        <v>-0.38505558107159782</v>
      </c>
      <c r="EN250" s="108">
        <f t="shared" ref="EN250" si="1631">IFERROR(EN249/EN70,0)</f>
        <v>-0.7291571089425154</v>
      </c>
      <c r="EO250" s="108">
        <f t="shared" ref="EO250" si="1632">IFERROR(EO249/EO70,0)</f>
        <v>-0.57762218669267296</v>
      </c>
      <c r="EP250" s="108">
        <f t="shared" ref="EP250" si="1633">IFERROR(EP249/EP70,0)</f>
        <v>-0.1211489857422976</v>
      </c>
      <c r="EQ250" s="108">
        <f t="shared" ref="EQ250" si="1634">IFERROR(EQ249/EQ70,0)</f>
        <v>-0.47903422295419384</v>
      </c>
      <c r="ER250" s="108">
        <f t="shared" ref="ER250" si="1635">IFERROR(ER249/ER70,0)</f>
        <v>-0.24449595480310365</v>
      </c>
      <c r="ES250" s="108">
        <f t="shared" ref="ES250" si="1636">IFERROR(ES249/ES70,0)</f>
        <v>-0.21004949521538227</v>
      </c>
      <c r="ET250" s="108">
        <f t="shared" ref="ET250" si="1637">IFERROR(ET249/ET70,0)</f>
        <v>-0.26119225790822381</v>
      </c>
      <c r="EU250" s="108">
        <f t="shared" ref="EU250" si="1638">IFERROR(EU249/EU70,0)</f>
        <v>0</v>
      </c>
      <c r="EV250" s="108">
        <f t="shared" ref="EV250" si="1639">IFERROR(EV249/EV70,0)</f>
        <v>0</v>
      </c>
      <c r="EW250" s="108">
        <f t="shared" ref="EW250" si="1640">IFERROR(EW249/EW70,0)</f>
        <v>-0.38328894294128052</v>
      </c>
      <c r="EX250" s="118"/>
      <c r="EY250" s="108">
        <f t="shared" ref="EY250" si="1641">IFERROR(EY249/EY70,0)</f>
        <v>-0.19458427454188018</v>
      </c>
      <c r="EZ250" s="108">
        <f t="shared" ref="EZ250" si="1642">IFERROR(EZ249/EZ70,0)</f>
        <v>-0.23477022853496357</v>
      </c>
      <c r="FA250" s="108">
        <f t="shared" ref="FA250" si="1643">IFERROR(FA249/FA70,0)</f>
        <v>-5.0722979236663947E-2</v>
      </c>
      <c r="FB250" s="108">
        <f t="shared" ref="FB250" si="1644">IFERROR(FB249/FB70,0)</f>
        <v>-0.23826732416094065</v>
      </c>
      <c r="FC250" s="108">
        <f t="shared" ref="FC250" si="1645">IFERROR(FC249/FC70,0)</f>
        <v>-0.14142979422621252</v>
      </c>
      <c r="FD250" s="108">
        <f t="shared" ref="FD250" si="1646">IFERROR(FD249/FD70,0)</f>
        <v>-3.0424522736872409E-2</v>
      </c>
      <c r="FE250" s="108">
        <f t="shared" ref="FE250" si="1647">IFERROR(FE249/FE70,0)</f>
        <v>-8.3784029865507592E-2</v>
      </c>
      <c r="FF250" s="108">
        <f t="shared" ref="FF250" si="1648">IFERROR(FF249/FF70,0)</f>
        <v>-0.10198857569831486</v>
      </c>
      <c r="FG250" s="108">
        <f t="shared" ref="FG250" si="1649">IFERROR(FG249/FG70,0)</f>
        <v>-9.5474218615405199E-3</v>
      </c>
      <c r="FH250" s="108">
        <f t="shared" ref="FH250" si="1650">IFERROR(FH249/FH70,0)</f>
        <v>-0.32852024239608224</v>
      </c>
      <c r="FI250" s="108">
        <f t="shared" ref="FI250" si="1651">IFERROR(FI249/FI70,0)</f>
        <v>-0.28495241930535475</v>
      </c>
      <c r="FJ250" s="108">
        <f t="shared" ref="FJ250" si="1652">IFERROR(FJ249/FJ70,0)</f>
        <v>-0.11653099111889779</v>
      </c>
      <c r="FK250" s="108">
        <f t="shared" ref="FK250" si="1653">IFERROR(FK249/FK70,0)</f>
        <v>-0.1424441614550144</v>
      </c>
    </row>
    <row r="251" spans="1:167" ht="14.45" customHeight="1">
      <c r="AB251" s="118"/>
    </row>
    <row r="252" spans="1:167" ht="14.45" customHeight="1">
      <c r="AB252" s="118"/>
      <c r="CU252" s="118"/>
      <c r="CV252" s="118"/>
      <c r="CW252" s="118"/>
      <c r="CX252" s="118"/>
      <c r="CY252" s="118"/>
      <c r="CZ252" s="118"/>
      <c r="DA252" s="118"/>
      <c r="DB252" s="118"/>
      <c r="DC252" s="118"/>
    </row>
    <row r="253" spans="1:167" ht="14.45" customHeight="1">
      <c r="AB253" s="118"/>
      <c r="CU253" s="118"/>
      <c r="CV253" s="118"/>
      <c r="CW253" s="118"/>
      <c r="CX253" s="118"/>
      <c r="CY253" s="118"/>
      <c r="CZ253" s="118"/>
      <c r="DA253" s="118"/>
      <c r="DB253" s="118"/>
      <c r="DC253" s="118"/>
    </row>
    <row r="254" spans="1:167" ht="14.45" customHeight="1">
      <c r="AB254" s="118"/>
    </row>
    <row r="255" spans="1:167" ht="14.45" customHeight="1">
      <c r="AB255" s="118"/>
    </row>
    <row r="256" spans="1:167" ht="14.45" customHeight="1">
      <c r="AB256" s="118"/>
    </row>
    <row r="257" spans="28:28" ht="14.45" customHeight="1">
      <c r="AB257" s="118"/>
    </row>
    <row r="258" spans="28:28" ht="14.45" customHeight="1">
      <c r="AB258" s="118"/>
    </row>
    <row r="259" spans="28:28" ht="14.45" customHeight="1">
      <c r="AB259" s="118"/>
    </row>
    <row r="260" spans="28:28" ht="14.45" customHeight="1">
      <c r="AB260" s="118"/>
    </row>
    <row r="261" spans="28:28" ht="14.45" customHeight="1">
      <c r="AB261" s="118"/>
    </row>
    <row r="262" spans="28:28">
      <c r="AB262" s="118"/>
    </row>
    <row r="263" spans="28:28">
      <c r="AB263" s="118"/>
    </row>
    <row r="264" spans="28:28">
      <c r="AB264" s="118"/>
    </row>
    <row r="265" spans="28:28">
      <c r="AB265" s="118"/>
    </row>
    <row r="266" spans="28:28">
      <c r="AB266" s="118"/>
    </row>
    <row r="267" spans="28:28" ht="14.45" customHeight="1">
      <c r="AB267" s="118"/>
    </row>
    <row r="268" spans="28:28" ht="14.45" customHeight="1">
      <c r="AB268" s="118"/>
    </row>
    <row r="269" spans="28:28" ht="14.45" customHeight="1">
      <c r="AB269" s="118"/>
    </row>
    <row r="270" spans="28:28" ht="14.45" customHeight="1">
      <c r="AB270" s="118"/>
    </row>
    <row r="271" spans="28:28" ht="14.45" customHeight="1">
      <c r="AB271" s="118"/>
    </row>
    <row r="272" spans="28:28">
      <c r="AB272" s="118"/>
    </row>
  </sheetData>
  <conditionalFormatting sqref="AB29:AB272">
    <cfRule type="cellIs" dxfId="16" priority="4" operator="greaterThan">
      <formula>0</formula>
    </cfRule>
  </conditionalFormatting>
  <conditionalFormatting sqref="BR29:BR250">
    <cfRule type="cellIs" dxfId="15" priority="3" operator="greaterThan">
      <formula>0</formula>
    </cfRule>
  </conditionalFormatting>
  <conditionalFormatting sqref="DH29:DH250">
    <cfRule type="cellIs" dxfId="14" priority="2" operator="greaterThan">
      <formula>0</formula>
    </cfRule>
  </conditionalFormatting>
  <conditionalFormatting sqref="EX29:EX250">
    <cfRule type="cellIs" dxfId="13" priority="1" operator="greaterThan">
      <formula>0</formula>
    </cfRule>
  </conditionalFormatting>
  <pageMargins left="0.7" right="0.7" top="0.75" bottom="0.75" header="0.3" footer="0.3"/>
  <ignoredErrors>
    <ignoredError sqref="A8:AA28 A90:AA90 A88:M89 O88:AA89 A92:AA112 A91:M91 O91:AA91 A114:AA127 A113:M113 O113:AA113 A129:AA140 A128:M128 O128:AA128 A143:AA151 A141:M142 O141:AA142 A153:AA163 A152:M152 O152:AA152 A179:AA181 A175:M176 O175:AA176 A177:M177 O177:AA177 A197:AA202 A196:M196 O196:AA196 A204:AA204 A203:M203 O203:AA203 A210:AA213 A208:M208 O208:AA208 A224:AA226 A221:M222 O221:AA222 A248:AA248 A242:M247 O242:AA247 A240:AA241 A71:AA87 N70 A250:AA250 N249 A228:AA239 A227:Z227 AC227:AO227 A223:Z223 AC223:AO223 A220:AA220 A218:Z219 AC218:AO219 A215:AA217 A214:Z214 AC214:AO214 A206:AA207 A205:Z205 AC205:AO205 A209:Z209 AC209:AO209 A194:AA195 A193:Z193 AC193:AO193 A188:AA192 A187:Z187 AC187:AO187 A183:AA186 A182:Z182 AC182:AO182 A178:Z178 AC178:AO178 A173:AA174 A172:Z172 AC172:AO172 A165:AA171 A164:Z164 AC164:AO164 A29:AA69 AC29:AO69 AC90:AO90 AC88:AO89 AC92:AO112 AC91:AO91 AC114:AO127 AC113:AO113 AC129:AO140 AC128:AO128 AC143:AO151 AC141:AO142 AC153:AO163 AC152:AO152 AC179:AO181 AC175:AO176 AC177:AO177 AC197:AO202 AC196:AO196 AC204:AO204 AC203:AO203 AC210:AO213 AC208:AO208 AC224:AO226 AC221:AO222 AC248:AO248 AC242:AO247 AC240:AO241 AC71:AO87 AC250:AO250 AC228:AO239 AC220:AO220 AC215:AO217 AC206:AO207 AC194:AO195 AC188:AO192 AC183:AO186 AC173:AO174 AC165:AO171 AC8:AO2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551B-ED9C-4004-92F7-20C9B755C2E3}">
  <sheetPr filterMode="1"/>
  <dimension ref="A1:EC330"/>
  <sheetViews>
    <sheetView workbookViewId="0">
      <pane ySplit="1" topLeftCell="A309" activePane="bottomLeft" state="frozen"/>
      <selection pane="bottomLeft"/>
    </sheetView>
  </sheetViews>
  <sheetFormatPr defaultRowHeight="15"/>
  <cols>
    <col min="1" max="1" width="7.85546875" bestFit="1" customWidth="1"/>
    <col min="2" max="2" width="8.5703125" bestFit="1" customWidth="1"/>
    <col min="3" max="3" width="8.85546875" bestFit="1" customWidth="1"/>
    <col min="4" max="4" width="15.28515625" style="106" bestFit="1" customWidth="1"/>
    <col min="5" max="6" width="14.28515625" style="106" bestFit="1" customWidth="1"/>
    <col min="7" max="7" width="19.5703125" style="106" bestFit="1" customWidth="1"/>
    <col min="8" max="8" width="24.42578125" style="106" bestFit="1" customWidth="1"/>
    <col min="9" max="9" width="25.7109375" style="106" bestFit="1" customWidth="1"/>
    <col min="10" max="10" width="33.7109375" style="106" bestFit="1" customWidth="1"/>
    <col min="11" max="11" width="23.28515625" style="106" bestFit="1" customWidth="1"/>
    <col min="12" max="12" width="16.85546875" style="106" bestFit="1" customWidth="1"/>
    <col min="13" max="13" width="15.7109375" style="106" bestFit="1" customWidth="1"/>
    <col min="14" max="14" width="21.7109375" style="106" bestFit="1" customWidth="1"/>
    <col min="15" max="15" width="24.42578125" style="106" bestFit="1" customWidth="1"/>
    <col min="16" max="16" width="26.42578125" style="106" bestFit="1" customWidth="1"/>
    <col min="17" max="17" width="18.85546875" style="106" bestFit="1" customWidth="1"/>
    <col min="18" max="18" width="20.85546875" style="106" bestFit="1" customWidth="1"/>
    <col min="19" max="19" width="29.7109375" style="106" bestFit="1" customWidth="1"/>
    <col min="20" max="21" width="21.7109375" style="106" bestFit="1" customWidth="1"/>
    <col min="22" max="22" width="15.140625" style="106" bestFit="1" customWidth="1"/>
    <col min="23" max="23" width="33" style="106" bestFit="1" customWidth="1"/>
    <col min="24" max="24" width="34.140625" style="106" bestFit="1" customWidth="1"/>
    <col min="25" max="25" width="19" style="106" bestFit="1" customWidth="1"/>
    <col min="26" max="26" width="24.5703125" style="106" bestFit="1" customWidth="1"/>
    <col min="27" max="27" width="19.5703125" style="106" bestFit="1" customWidth="1"/>
    <col min="28" max="28" width="19.42578125" style="106" bestFit="1" customWidth="1"/>
    <col min="29" max="29" width="27.28515625" style="106" bestFit="1" customWidth="1"/>
    <col min="30" max="30" width="12.7109375" style="106" bestFit="1" customWidth="1"/>
    <col min="31" max="31" width="14.7109375" style="106" bestFit="1" customWidth="1"/>
    <col min="32" max="32" width="7.28515625" style="106" bestFit="1" customWidth="1"/>
    <col min="33" max="33" width="17" style="106" bestFit="1" customWidth="1"/>
    <col min="34" max="34" width="22.7109375" style="106" bestFit="1" customWidth="1"/>
    <col min="35" max="35" width="21.7109375" style="106" bestFit="1" customWidth="1"/>
    <col min="36" max="36" width="16.140625" style="106" bestFit="1" customWidth="1"/>
    <col min="37" max="37" width="32.140625" style="106" bestFit="1" customWidth="1"/>
    <col min="38" max="38" width="11.140625" style="106" bestFit="1" customWidth="1"/>
    <col min="39" max="39" width="25" style="106" bestFit="1" customWidth="1"/>
    <col min="40" max="40" width="16.5703125" style="106" bestFit="1" customWidth="1"/>
    <col min="41" max="41" width="18.42578125" style="106" bestFit="1" customWidth="1"/>
    <col min="42" max="42" width="11.5703125" style="106" bestFit="1" customWidth="1"/>
    <col min="43" max="43" width="19.85546875" style="106" bestFit="1" customWidth="1"/>
    <col min="44" max="44" width="21.42578125" style="106" bestFit="1" customWidth="1"/>
    <col min="45" max="45" width="20.85546875" style="106" bestFit="1" customWidth="1"/>
    <col min="46" max="46" width="37.140625" style="106" bestFit="1" customWidth="1"/>
    <col min="47" max="47" width="33.85546875" style="106" bestFit="1" customWidth="1"/>
    <col min="48" max="48" width="24" style="106" bestFit="1" customWidth="1"/>
    <col min="49" max="49" width="15.85546875" style="106" bestFit="1" customWidth="1"/>
    <col min="50" max="50" width="10" style="106" bestFit="1" customWidth="1"/>
    <col min="51" max="51" width="22.7109375" style="106" bestFit="1" customWidth="1"/>
    <col min="52" max="52" width="37.7109375" style="106" bestFit="1" customWidth="1"/>
    <col min="53" max="53" width="19.85546875" style="106" bestFit="1" customWidth="1"/>
    <col min="54" max="54" width="17.140625" style="106" bestFit="1" customWidth="1"/>
    <col min="55" max="55" width="17" style="106" bestFit="1" customWidth="1"/>
    <col min="56" max="56" width="26" style="106" bestFit="1" customWidth="1"/>
    <col min="57" max="57" width="15.140625" style="106" bestFit="1" customWidth="1"/>
    <col min="58" max="58" width="15.5703125" style="106" bestFit="1" customWidth="1"/>
    <col min="59" max="59" width="19.7109375" style="106" bestFit="1" customWidth="1"/>
    <col min="60" max="60" width="23.42578125" style="106" bestFit="1" customWidth="1"/>
    <col min="61" max="61" width="30.42578125" style="106" bestFit="1" customWidth="1"/>
    <col min="62" max="62" width="23.42578125" style="106" bestFit="1" customWidth="1"/>
    <col min="63" max="63" width="11.7109375" style="106" bestFit="1" customWidth="1"/>
    <col min="64" max="64" width="19.7109375" style="106" bestFit="1" customWidth="1"/>
    <col min="65" max="65" width="25.28515625" style="106" bestFit="1" customWidth="1"/>
    <col min="66" max="66" width="22.140625" style="106" bestFit="1" customWidth="1"/>
    <col min="67" max="67" width="21.85546875" style="106" bestFit="1" customWidth="1"/>
    <col min="68" max="68" width="14.5703125" style="106" bestFit="1" customWidth="1"/>
    <col min="69" max="69" width="10.42578125" style="106" bestFit="1" customWidth="1"/>
    <col min="70" max="70" width="14" style="106" bestFit="1" customWidth="1"/>
    <col min="71" max="71" width="13.7109375" style="106" bestFit="1" customWidth="1"/>
    <col min="72" max="72" width="28.7109375" style="106" bestFit="1" customWidth="1"/>
    <col min="73" max="73" width="30.42578125" style="106" bestFit="1" customWidth="1"/>
    <col min="74" max="74" width="30.5703125" style="106" bestFit="1" customWidth="1"/>
    <col min="75" max="75" width="30.7109375" style="106" bestFit="1" customWidth="1"/>
    <col min="76" max="76" width="27.85546875" style="106" bestFit="1" customWidth="1"/>
    <col min="77" max="77" width="27.140625" style="106" bestFit="1" customWidth="1"/>
    <col min="78" max="78" width="26.85546875" style="106" bestFit="1" customWidth="1"/>
    <col min="79" max="79" width="22.42578125" style="106" bestFit="1" customWidth="1"/>
    <col min="80" max="80" width="32.85546875" style="106" bestFit="1" customWidth="1"/>
    <col min="81" max="81" width="28.42578125" style="106" bestFit="1" customWidth="1"/>
    <col min="82" max="82" width="29.140625" style="106" bestFit="1" customWidth="1"/>
    <col min="83" max="83" width="34.28515625" style="106" bestFit="1" customWidth="1"/>
    <col min="84" max="84" width="12.140625" style="106" bestFit="1" customWidth="1"/>
    <col min="85" max="85" width="14.42578125" style="106" bestFit="1" customWidth="1"/>
    <col min="86" max="86" width="19.42578125" style="106" bestFit="1" customWidth="1"/>
    <col min="87" max="87" width="26.140625" style="106" bestFit="1" customWidth="1"/>
    <col min="88" max="88" width="20.42578125" style="106" bestFit="1" customWidth="1"/>
    <col min="89" max="89" width="11.5703125" style="106" bestFit="1" customWidth="1"/>
    <col min="90" max="90" width="14.28515625" style="106" bestFit="1" customWidth="1"/>
    <col min="91" max="91" width="10" style="106" bestFit="1" customWidth="1"/>
    <col min="92" max="92" width="11.85546875" style="106" bestFit="1" customWidth="1"/>
    <col min="93" max="93" width="14.7109375" style="106" bestFit="1" customWidth="1"/>
    <col min="94" max="94" width="14.5703125" style="106" bestFit="1" customWidth="1"/>
    <col min="95" max="95" width="9.42578125" style="106" bestFit="1" customWidth="1"/>
    <col min="96" max="96" width="10" style="106" bestFit="1" customWidth="1"/>
    <col min="97" max="97" width="15.5703125" style="106" bestFit="1" customWidth="1"/>
    <col min="98" max="98" width="10" style="106" bestFit="1" customWidth="1"/>
    <col min="99" max="99" width="20.5703125" style="106" bestFit="1" customWidth="1"/>
    <col min="100" max="100" width="21.7109375" style="106" bestFit="1" customWidth="1"/>
    <col min="101" max="101" width="27.7109375" style="106" bestFit="1" customWidth="1"/>
    <col min="102" max="102" width="11.7109375" style="106" bestFit="1" customWidth="1"/>
    <col min="103" max="103" width="13.42578125" style="106" bestFit="1" customWidth="1"/>
    <col min="104" max="104" width="19.85546875" style="106" bestFit="1" customWidth="1"/>
    <col min="105" max="105" width="14.140625" style="106" bestFit="1" customWidth="1"/>
    <col min="106" max="106" width="14.7109375" style="106" bestFit="1" customWidth="1"/>
    <col min="107" max="108" width="10" style="106" bestFit="1" customWidth="1"/>
    <col min="109" max="109" width="24.140625" style="106" bestFit="1" customWidth="1"/>
    <col min="110" max="110" width="20.42578125" style="106" bestFit="1" customWidth="1"/>
    <col min="111" max="111" width="9" style="106" bestFit="1" customWidth="1"/>
    <col min="112" max="112" width="17.7109375" style="106" bestFit="1" customWidth="1"/>
    <col min="113" max="113" width="17.140625" style="106" bestFit="1" customWidth="1"/>
    <col min="114" max="114" width="23.7109375" style="106" bestFit="1" customWidth="1"/>
    <col min="115" max="115" width="13.7109375" style="106" bestFit="1" customWidth="1"/>
    <col min="116" max="116" width="11.5703125" style="106" bestFit="1" customWidth="1"/>
    <col min="117" max="117" width="13.7109375" style="106" bestFit="1" customWidth="1"/>
    <col min="118" max="118" width="11.5703125" style="106" bestFit="1" customWidth="1"/>
    <col min="119" max="119" width="12.42578125" style="106" bestFit="1" customWidth="1"/>
    <col min="120" max="120" width="13.5703125" style="106" bestFit="1" customWidth="1"/>
    <col min="121" max="121" width="22.5703125" style="106" bestFit="1" customWidth="1"/>
    <col min="122" max="122" width="30.7109375" style="106" bestFit="1" customWidth="1"/>
    <col min="123" max="123" width="21.5703125" style="106" bestFit="1" customWidth="1"/>
    <col min="124" max="124" width="11.5703125" style="106" bestFit="1" customWidth="1"/>
    <col min="125" max="125" width="27.140625" style="106" bestFit="1" customWidth="1"/>
    <col min="126" max="126" width="23.42578125" style="106" bestFit="1" customWidth="1"/>
    <col min="127" max="127" width="32.7109375" style="106" bestFit="1" customWidth="1"/>
    <col min="128" max="128" width="24.85546875" style="106" bestFit="1" customWidth="1"/>
    <col min="129" max="129" width="19.5703125" style="106" bestFit="1" customWidth="1"/>
    <col min="130" max="130" width="24" style="106" bestFit="1" customWidth="1"/>
    <col min="131" max="131" width="26.7109375" style="106" bestFit="1" customWidth="1"/>
    <col min="132" max="132" width="11.5703125" style="106" bestFit="1" customWidth="1"/>
  </cols>
  <sheetData>
    <row r="1" spans="1:133">
      <c r="A1" t="s">
        <v>255</v>
      </c>
      <c r="B1" t="s">
        <v>265</v>
      </c>
      <c r="C1" t="s">
        <v>266</v>
      </c>
      <c r="D1" t="s">
        <v>267</v>
      </c>
      <c r="E1" t="s">
        <v>274</v>
      </c>
      <c r="F1" t="s">
        <v>268</v>
      </c>
      <c r="G1" t="s">
        <v>61</v>
      </c>
      <c r="H1" t="s">
        <v>62</v>
      </c>
      <c r="I1" t="s">
        <v>63</v>
      </c>
      <c r="J1" t="s">
        <v>221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222</v>
      </c>
      <c r="R1" t="s">
        <v>224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85</v>
      </c>
      <c r="AE1" t="s">
        <v>86</v>
      </c>
      <c r="AF1" t="s">
        <v>87</v>
      </c>
      <c r="AG1" t="s">
        <v>88</v>
      </c>
      <c r="AH1" t="s">
        <v>89</v>
      </c>
      <c r="AI1" t="s">
        <v>90</v>
      </c>
      <c r="AJ1" t="s">
        <v>91</v>
      </c>
      <c r="AK1" t="s">
        <v>92</v>
      </c>
      <c r="AL1" t="s">
        <v>225</v>
      </c>
      <c r="AM1" t="s">
        <v>95</v>
      </c>
      <c r="AN1" t="s">
        <v>96</v>
      </c>
      <c r="AO1" t="s">
        <v>97</v>
      </c>
      <c r="AP1" t="s">
        <v>98</v>
      </c>
      <c r="AQ1" t="s">
        <v>99</v>
      </c>
      <c r="AR1" t="s">
        <v>100</v>
      </c>
      <c r="AS1" t="s">
        <v>101</v>
      </c>
      <c r="AT1" t="s">
        <v>102</v>
      </c>
      <c r="AU1" t="s">
        <v>103</v>
      </c>
      <c r="AV1" t="s">
        <v>104</v>
      </c>
      <c r="AW1" t="s">
        <v>105</v>
      </c>
      <c r="AX1" t="s">
        <v>226</v>
      </c>
      <c r="AY1" t="s">
        <v>107</v>
      </c>
      <c r="AZ1" t="s">
        <v>108</v>
      </c>
      <c r="BA1" t="s">
        <v>109</v>
      </c>
      <c r="BB1" t="s">
        <v>111</v>
      </c>
      <c r="BC1" t="s">
        <v>112</v>
      </c>
      <c r="BD1" t="s">
        <v>113</v>
      </c>
      <c r="BE1" t="s">
        <v>114</v>
      </c>
      <c r="BF1" t="s">
        <v>116</v>
      </c>
      <c r="BG1" t="s">
        <v>117</v>
      </c>
      <c r="BH1" t="s">
        <v>227</v>
      </c>
      <c r="BI1" t="s">
        <v>228</v>
      </c>
      <c r="BJ1" t="s">
        <v>118</v>
      </c>
      <c r="BK1" t="s">
        <v>119</v>
      </c>
      <c r="BL1" t="s">
        <v>120</v>
      </c>
      <c r="BM1" t="s">
        <v>122</v>
      </c>
      <c r="BN1" t="s">
        <v>123</v>
      </c>
      <c r="BO1" t="s">
        <v>124</v>
      </c>
      <c r="BP1" t="s">
        <v>126</v>
      </c>
      <c r="BQ1" t="s">
        <v>229</v>
      </c>
      <c r="BR1" t="s">
        <v>127</v>
      </c>
      <c r="BS1" t="s">
        <v>128</v>
      </c>
      <c r="BT1" t="s">
        <v>131</v>
      </c>
      <c r="BU1" t="s">
        <v>132</v>
      </c>
      <c r="BV1" t="s">
        <v>133</v>
      </c>
      <c r="BW1" t="s">
        <v>134</v>
      </c>
      <c r="BX1" t="s">
        <v>135</v>
      </c>
      <c r="BY1" t="s">
        <v>137</v>
      </c>
      <c r="BZ1" t="s">
        <v>138</v>
      </c>
      <c r="CA1" t="s">
        <v>139</v>
      </c>
      <c r="CB1" t="s">
        <v>140</v>
      </c>
      <c r="CC1" t="s">
        <v>141</v>
      </c>
      <c r="CD1" t="s">
        <v>142</v>
      </c>
      <c r="CE1" t="s">
        <v>143</v>
      </c>
      <c r="CF1" t="s">
        <v>145</v>
      </c>
      <c r="CG1" t="s">
        <v>146</v>
      </c>
      <c r="CH1" t="s">
        <v>230</v>
      </c>
      <c r="CI1" t="s">
        <v>231</v>
      </c>
      <c r="CJ1" t="s">
        <v>232</v>
      </c>
      <c r="CK1" t="s">
        <v>148</v>
      </c>
      <c r="CL1" t="s">
        <v>149</v>
      </c>
      <c r="CM1" t="s">
        <v>150</v>
      </c>
      <c r="CN1" t="s">
        <v>152</v>
      </c>
      <c r="CO1" t="s">
        <v>153</v>
      </c>
      <c r="CP1" t="s">
        <v>154</v>
      </c>
      <c r="CQ1" t="s">
        <v>155</v>
      </c>
      <c r="CR1" t="s">
        <v>157</v>
      </c>
      <c r="CS1" t="s">
        <v>158</v>
      </c>
      <c r="CT1" t="s">
        <v>159</v>
      </c>
      <c r="CU1" t="s">
        <v>160</v>
      </c>
      <c r="CV1" t="s">
        <v>161</v>
      </c>
      <c r="CW1" t="s">
        <v>163</v>
      </c>
      <c r="CX1" t="s">
        <v>164</v>
      </c>
      <c r="CY1" t="s">
        <v>233</v>
      </c>
      <c r="CZ1" t="s">
        <v>165</v>
      </c>
      <c r="DA1" t="s">
        <v>166</v>
      </c>
      <c r="DB1" t="s">
        <v>167</v>
      </c>
      <c r="DC1" t="s">
        <v>168</v>
      </c>
      <c r="DD1" t="s">
        <v>169</v>
      </c>
      <c r="DE1" t="s">
        <v>170</v>
      </c>
      <c r="DF1" t="s">
        <v>234</v>
      </c>
      <c r="DG1" t="s">
        <v>171</v>
      </c>
      <c r="DH1" t="s">
        <v>173</v>
      </c>
      <c r="DI1" t="s">
        <v>174</v>
      </c>
      <c r="DJ1" t="s">
        <v>235</v>
      </c>
      <c r="DK1" t="s">
        <v>176</v>
      </c>
      <c r="DL1" t="s">
        <v>177</v>
      </c>
      <c r="DM1" t="s">
        <v>178</v>
      </c>
      <c r="DN1" t="s">
        <v>179</v>
      </c>
      <c r="DO1" t="s">
        <v>181</v>
      </c>
      <c r="DP1" t="s">
        <v>182</v>
      </c>
      <c r="DQ1" t="s">
        <v>185</v>
      </c>
      <c r="DR1" t="s">
        <v>236</v>
      </c>
      <c r="DS1" t="s">
        <v>237</v>
      </c>
      <c r="DT1" t="s">
        <v>187</v>
      </c>
      <c r="DU1" t="s">
        <v>188</v>
      </c>
      <c r="DV1" t="s">
        <v>189</v>
      </c>
      <c r="DW1" t="s">
        <v>191</v>
      </c>
      <c r="DX1" t="s">
        <v>192</v>
      </c>
      <c r="DY1" t="s">
        <v>196</v>
      </c>
      <c r="DZ1" t="s">
        <v>197</v>
      </c>
      <c r="EA1" t="s">
        <v>198</v>
      </c>
      <c r="EB1" t="s">
        <v>199</v>
      </c>
      <c r="EC1" t="s">
        <v>275</v>
      </c>
    </row>
    <row r="2" spans="1:133">
      <c r="A2" t="s">
        <v>269</v>
      </c>
      <c r="B2" t="s">
        <v>270</v>
      </c>
      <c r="C2" s="117">
        <v>45992</v>
      </c>
      <c r="D2" s="106">
        <f>+HLOOKUP(C2,'NEW CAR'!$BE$2:$BQ$250,6,0)/3.5%</f>
        <v>0</v>
      </c>
      <c r="E2" s="106">
        <f>+HLOOKUP(C2,'NEW CAR'!$BE$2:$BQ$250,5,0)+HLOOKUP(C2,'NEW CAR'!$BE$2:$BQ$250,26,0)+HLOOKUP(C2,'NEW CAR'!$BE$2:$BQ$250,59,0)</f>
        <v>0</v>
      </c>
      <c r="G2" s="106">
        <f>+HLOOKUP($C2,'NEW CAR'!$BE$2:$BQ$250,76,0)</f>
        <v>0</v>
      </c>
      <c r="H2" s="106">
        <f>+HLOOKUP($C2,'NEW CAR'!$BE$2:$BQ$250,77,0)</f>
        <v>0</v>
      </c>
      <c r="I2" s="106">
        <f>+HLOOKUP($C2,'NEW CAR'!$BE$2:$BQ$250,78,0)</f>
        <v>0</v>
      </c>
      <c r="J2" s="106">
        <f>+HLOOKUP($C2,'NEW CAR'!$BE$2:$BQ$250,79,0)</f>
        <v>0</v>
      </c>
      <c r="K2" s="106">
        <f>+HLOOKUP($C2,'NEW CAR'!$BE$2:$BQ$250,80,0)</f>
        <v>0</v>
      </c>
      <c r="L2" s="106">
        <f>+HLOOKUP($C2,'NEW CAR'!$BE$2:$BQ$250,81,0)</f>
        <v>0</v>
      </c>
      <c r="M2" s="106">
        <f>+HLOOKUP($C2,'NEW CAR'!$BE$2:$BQ$250,82,0)</f>
        <v>0</v>
      </c>
      <c r="N2" s="106">
        <f>+HLOOKUP($C2,'NEW CAR'!$BE$2:$BQ$250,83,0)</f>
        <v>0</v>
      </c>
      <c r="O2" s="106">
        <f>+HLOOKUP($C2,'NEW CAR'!$BE$2:$BQ$250,84,0)</f>
        <v>0</v>
      </c>
      <c r="P2" s="106">
        <f>+HLOOKUP($C2,'NEW CAR'!$BE$2:$BQ$250,85,0)</f>
        <v>0</v>
      </c>
      <c r="Q2" s="106">
        <f>+HLOOKUP($C2,'NEW CAR'!$BE$2:$BQ$250,87,0)</f>
        <v>0</v>
      </c>
      <c r="R2" s="106">
        <f>+HLOOKUP($C2,'NEW CAR'!$BE$2:$BQ$250,90,0)</f>
        <v>0</v>
      </c>
      <c r="S2" s="106">
        <f>+HLOOKUP($C2,'NEW CAR'!$BE$2:$BQ$250,91,0)</f>
        <v>0</v>
      </c>
      <c r="T2" s="106">
        <f>+HLOOKUP($C2,'NEW CAR'!$BE$2:$BQ$250,92,0)</f>
        <v>0</v>
      </c>
      <c r="U2" s="106">
        <f>+HLOOKUP($C2,'NEW CAR'!$BE$2:$BQ$250,93,0)</f>
        <v>0</v>
      </c>
      <c r="V2" s="106">
        <f>+HLOOKUP($C2,'NEW CAR'!$BE$2:$BQ$250,94,0)</f>
        <v>0</v>
      </c>
      <c r="W2" s="106">
        <f>+HLOOKUP($C2,'NEW CAR'!$BE$2:$BQ$250,95,0)</f>
        <v>0</v>
      </c>
      <c r="X2" s="106">
        <f>+HLOOKUP($C2,'NEW CAR'!$BE$2:$BQ$250,96,0)</f>
        <v>0</v>
      </c>
      <c r="Y2" s="106">
        <f>+HLOOKUP($C2,'NEW CAR'!$BE$2:$BQ$250,97,0)</f>
        <v>0</v>
      </c>
      <c r="Z2" s="106">
        <f>+HLOOKUP($C2,'NEW CAR'!$BE$2:$BQ$250,98,0)</f>
        <v>0</v>
      </c>
      <c r="AA2" s="106">
        <f>+HLOOKUP($C2,'NEW CAR'!$BE$2:$BQ$250,99,0)</f>
        <v>0</v>
      </c>
      <c r="AB2" s="106">
        <f>+HLOOKUP($C2,'NEW CAR'!$BE$2:$BQ$250,100,0)</f>
        <v>0</v>
      </c>
      <c r="AC2" s="106">
        <f>+HLOOKUP($C2,'NEW CAR'!$BE$2:$BQ$250,101,0)</f>
        <v>0</v>
      </c>
      <c r="AD2" s="106">
        <f>+HLOOKUP($C2,'NEW CAR'!$BE$2:$BQ$250,104,0)</f>
        <v>0</v>
      </c>
      <c r="AE2" s="106">
        <f>+HLOOKUP($C2,'NEW CAR'!$BE$2:$BQ$250,105,0)</f>
        <v>0</v>
      </c>
      <c r="AF2" s="106">
        <f>+HLOOKUP($C2,'NEW CAR'!$BE$2:$BQ$250,106,0)</f>
        <v>0</v>
      </c>
      <c r="AG2" s="106">
        <f>+HLOOKUP($C2,'NEW CAR'!$BE$2:$BQ$250,107,0)</f>
        <v>0</v>
      </c>
      <c r="AH2" s="106">
        <f>+HLOOKUP($C2,'NEW CAR'!$BE$2:$BQ$250,108,0)</f>
        <v>0</v>
      </c>
      <c r="AI2" s="106">
        <f>+HLOOKUP($C2,'NEW CAR'!$BE$2:$BQ$250,109,0)</f>
        <v>0</v>
      </c>
      <c r="AJ2" s="106">
        <f>+HLOOKUP($C2,'NEW CAR'!$BE$2:$BQ$250,110,0)</f>
        <v>0</v>
      </c>
      <c r="AK2" s="106">
        <f>+HLOOKUP($C2,'NEW CAR'!$BE$2:$BQ$250,111,0)</f>
        <v>0</v>
      </c>
      <c r="AL2" s="106">
        <f>+HLOOKUP($C2,'NEW CAR'!$BE$2:$BQ$250,112,0)</f>
        <v>0</v>
      </c>
      <c r="AM2" s="106">
        <f>+HLOOKUP($C2,'NEW CAR'!$BE$2:$BQ$250,116,0)</f>
        <v>0</v>
      </c>
      <c r="AN2" s="106">
        <f>+HLOOKUP($C2,'NEW CAR'!$BE$2:$BQ$250,117,0)</f>
        <v>0</v>
      </c>
      <c r="AO2" s="106">
        <f>+HLOOKUP($C2,'NEW CAR'!$BE$2:$BQ$250,118,0)</f>
        <v>0</v>
      </c>
      <c r="AP2" s="106">
        <f>+HLOOKUP($C2,'NEW CAR'!$BE$2:$BQ$250,119,0)</f>
        <v>0</v>
      </c>
      <c r="AQ2" s="106">
        <f>+HLOOKUP($C2,'NEW CAR'!$BE$2:$BQ$250,120,0)</f>
        <v>0</v>
      </c>
      <c r="AR2" s="106">
        <f>+HLOOKUP($C2,'NEW CAR'!$BE$2:$BQ$250,121,0)</f>
        <v>0</v>
      </c>
      <c r="AS2" s="106">
        <f>+HLOOKUP($C2,'NEW CAR'!$BE$2:$BQ$250,122,0)</f>
        <v>0</v>
      </c>
      <c r="AT2" s="106">
        <f>+HLOOKUP($C2,'NEW CAR'!$BE$2:$BQ$250,123,0)</f>
        <v>0</v>
      </c>
      <c r="AU2" s="106">
        <f>+HLOOKUP($C2,'NEW CAR'!$BE$2:$BQ$250,124,0)</f>
        <v>0</v>
      </c>
      <c r="AV2" s="106">
        <f>+HLOOKUP($C2,'NEW CAR'!$BE$2:$BQ$250,125,0)</f>
        <v>0</v>
      </c>
      <c r="AW2" s="106">
        <f>+HLOOKUP($C2,'NEW CAR'!$BE$2:$BQ$250,126,0)</f>
        <v>0</v>
      </c>
      <c r="AX2" s="106">
        <f>+HLOOKUP($C2,'NEW CAR'!$BE$2:$BQ$250,127,0)</f>
        <v>0</v>
      </c>
      <c r="AY2" s="106">
        <f>+HLOOKUP($C2,'NEW CAR'!$BE$2:$BQ$250,129,0)</f>
        <v>0</v>
      </c>
      <c r="AZ2" s="106">
        <f>+HLOOKUP($C2,'NEW CAR'!$BE$2:$BQ$250,130,0)</f>
        <v>0</v>
      </c>
      <c r="BA2" s="106">
        <f>+HLOOKUP($C2,'NEW CAR'!$BE$2:$BQ$250,131,0)</f>
        <v>0</v>
      </c>
      <c r="BB2" s="106">
        <f>+HLOOKUP($C2,'NEW CAR'!$BE$2:$BQ$250,133,0)</f>
        <v>0</v>
      </c>
      <c r="BC2" s="106">
        <f>+HLOOKUP($C2,'NEW CAR'!$BE$2:$BQ$250,134,0)</f>
        <v>0</v>
      </c>
      <c r="BD2" s="106">
        <f>+HLOOKUP($C2,'NEW CAR'!$BE$2:$BQ$250,135,0)</f>
        <v>0</v>
      </c>
      <c r="BE2" s="106">
        <f>+HLOOKUP($C2,'NEW CAR'!$BE$2:$BQ$250,136,0)</f>
        <v>0</v>
      </c>
      <c r="BF2" s="106">
        <f>+HLOOKUP($C2,'NEW CAR'!$BE$2:$BQ$250,138,0)</f>
        <v>0</v>
      </c>
      <c r="BG2" s="106">
        <f>+HLOOKUP($C2,'NEW CAR'!$BE$2:$BQ$250,139,0)</f>
        <v>0</v>
      </c>
      <c r="BH2" s="106">
        <f>+HLOOKUP($C2,'NEW CAR'!$BE$2:$BQ$250,140,0)</f>
        <v>0</v>
      </c>
      <c r="BI2" s="106">
        <f>+HLOOKUP($C2,'NEW CAR'!$BE$2:$BQ$250,141,0)</f>
        <v>0</v>
      </c>
      <c r="BJ2" s="106">
        <f>+HLOOKUP($C2,'NEW CAR'!$BE$2:$BQ$250,142,0)</f>
        <v>0</v>
      </c>
      <c r="BK2" s="106">
        <f>+HLOOKUP($C2,'NEW CAR'!$BE$2:$BQ$250,143,0)</f>
        <v>0</v>
      </c>
      <c r="BL2" s="106">
        <f>+HLOOKUP($C2,'NEW CAR'!$BE$2:$BQ$250,144,0)</f>
        <v>0</v>
      </c>
      <c r="BM2" s="106">
        <f>+HLOOKUP($C2,'NEW CAR'!$BE$2:$BQ$250,146,0)</f>
        <v>0</v>
      </c>
      <c r="BN2" s="106">
        <f>+HLOOKUP($C2,'NEW CAR'!$BE$2:$BQ$250,147,0)</f>
        <v>0</v>
      </c>
      <c r="BO2" s="106">
        <f>+HLOOKUP($C2,'NEW CAR'!$BE$2:$BQ$250,148,0)</f>
        <v>0</v>
      </c>
      <c r="BP2" s="106">
        <f>+HLOOKUP($C2,'NEW CAR'!$BE$2:$BQ$250,150,0)</f>
        <v>0</v>
      </c>
      <c r="BQ2" s="106">
        <f>+HLOOKUP($C2,'NEW CAR'!$BE$2:$BQ$250,151,0)</f>
        <v>0</v>
      </c>
      <c r="BR2" s="106">
        <f>+HLOOKUP($C2,'NEW CAR'!$BE$2:$BQ$250,152,0)</f>
        <v>0</v>
      </c>
      <c r="BS2" s="106">
        <f>+HLOOKUP($C2,'NEW CAR'!$BE$2:$BQ$250,153,0)</f>
        <v>0</v>
      </c>
      <c r="BT2" s="106">
        <f>+HLOOKUP($C2,'NEW CAR'!$BE$2:$BQ$250,157,0)</f>
        <v>0</v>
      </c>
      <c r="BU2" s="106">
        <f>+HLOOKUP($C2,'NEW CAR'!$BE$2:$BQ$250,158,0)</f>
        <v>0</v>
      </c>
      <c r="BV2" s="106">
        <f>+HLOOKUP($C2,'NEW CAR'!$BE$2:$BQ$250,159,0)</f>
        <v>0</v>
      </c>
      <c r="BW2" s="106">
        <f>+HLOOKUP($C2,'NEW CAR'!$BE$2:$BQ$250,160,0)</f>
        <v>0</v>
      </c>
      <c r="BX2" s="106">
        <f>+HLOOKUP($C2,'NEW CAR'!$BE$2:$BQ$250,161,0)</f>
        <v>0</v>
      </c>
      <c r="BY2" s="106">
        <f>+HLOOKUP($C2,'NEW CAR'!$BE$2:$BQ$250,164,0)</f>
        <v>0</v>
      </c>
      <c r="BZ2" s="106">
        <f>+HLOOKUP($C2,'NEW CAR'!$BE$2:$BQ$250,165,0)</f>
        <v>0</v>
      </c>
      <c r="CA2" s="106">
        <f>+HLOOKUP($C2,'NEW CAR'!$BE$2:$BQ$250,166,0)</f>
        <v>0</v>
      </c>
      <c r="CB2" s="106">
        <f>+HLOOKUP($C2,'NEW CAR'!$BE$2:$BQ$250,167,0)</f>
        <v>0</v>
      </c>
      <c r="CC2" s="106">
        <f>+HLOOKUP($C2,'NEW CAR'!$BE$2:$BQ$250,168,0)</f>
        <v>0</v>
      </c>
      <c r="CD2" s="106">
        <f>+HLOOKUP($C2,'NEW CAR'!$BE$2:$BQ$250,169,0)</f>
        <v>0</v>
      </c>
      <c r="CE2" s="106">
        <f>+HLOOKUP($C2,'NEW CAR'!$BE$2:$BQ$250,170,0)</f>
        <v>0</v>
      </c>
      <c r="CF2" s="106">
        <f>+HLOOKUP($C2,'NEW CAR'!$BE$2:$BQ$250,172,0)</f>
        <v>0</v>
      </c>
      <c r="CG2" s="106">
        <f>+HLOOKUP($C2,'NEW CAR'!$BE$2:$BQ$250,173,0)</f>
        <v>0</v>
      </c>
      <c r="CH2" s="106">
        <f>+HLOOKUP($C2,'NEW CAR'!$BE$2:$BQ$250,174,0)</f>
        <v>0</v>
      </c>
      <c r="CI2" s="106">
        <f>+HLOOKUP($C2,'NEW CAR'!$BE$2:$BQ$250,175,0)</f>
        <v>0</v>
      </c>
      <c r="CJ2" s="106">
        <f>+HLOOKUP($C2,'NEW CAR'!$BE$2:$BQ$250,176,0)</f>
        <v>0</v>
      </c>
      <c r="CK2" s="106">
        <f>+HLOOKUP($C2,'NEW CAR'!$BE$2:$BQ$250,178,0)</f>
        <v>0</v>
      </c>
      <c r="CL2" s="106">
        <f>+HLOOKUP($C2,'NEW CAR'!$BE$2:$BQ$250,179,0)</f>
        <v>0</v>
      </c>
      <c r="CM2" s="106">
        <f>+HLOOKUP($C2,'NEW CAR'!$BE$2:$BQ$250,180,0)</f>
        <v>0</v>
      </c>
      <c r="CN2" s="106">
        <f>+HLOOKUP($C2,'NEW CAR'!$BE$2:$BQ$250,182,0)</f>
        <v>0</v>
      </c>
      <c r="CO2" s="106">
        <f>+HLOOKUP($C2,'NEW CAR'!$BE$2:$BQ$250,183,0)</f>
        <v>0</v>
      </c>
      <c r="CP2" s="106">
        <f>+HLOOKUP($C2,'NEW CAR'!$BE$2:$BQ$250,184,0)</f>
        <v>0</v>
      </c>
      <c r="CQ2" s="106">
        <f>+HLOOKUP($C2,'NEW CAR'!$BE$2:$BQ$250,185,0)</f>
        <v>0</v>
      </c>
      <c r="CR2" s="106">
        <f>+HLOOKUP($C2,'NEW CAR'!$BE$2:$BQ$250,187,0)</f>
        <v>0</v>
      </c>
      <c r="CS2" s="106">
        <f>+HLOOKUP($C2,'NEW CAR'!$BE$2:$BQ$250,188,0)</f>
        <v>0</v>
      </c>
      <c r="CT2" s="106">
        <f>+HLOOKUP($C2,'NEW CAR'!$BE$2:$BQ$250,189,0)</f>
        <v>0</v>
      </c>
      <c r="CU2" s="106">
        <f>+HLOOKUP($C2,'NEW CAR'!$BE$2:$BQ$250,190,0)</f>
        <v>0</v>
      </c>
      <c r="CV2" s="106">
        <f>+HLOOKUP($C2,'NEW CAR'!$BE$2:$BQ$250,191,0)</f>
        <v>0</v>
      </c>
      <c r="CW2" s="106">
        <f>+HLOOKUP($C2,'NEW CAR'!$BE$2:$BQ$250,193,0)</f>
        <v>0</v>
      </c>
      <c r="CX2" s="106">
        <f>+HLOOKUP($C2,'NEW CAR'!$BE$2:$BQ$250,194,0)</f>
        <v>0</v>
      </c>
      <c r="CY2" s="106">
        <f>+HLOOKUP($C2,'NEW CAR'!$BE$2:$BQ$250,195,0)</f>
        <v>0</v>
      </c>
      <c r="CZ2" s="106">
        <f>+HLOOKUP($C2,'NEW CAR'!$BE$2:$BQ$250,196,0)</f>
        <v>0</v>
      </c>
      <c r="DA2" s="106">
        <f>+HLOOKUP($C2,'NEW CAR'!$BE$2:$BQ$250,197,0)</f>
        <v>0</v>
      </c>
      <c r="DB2" s="106">
        <f>+HLOOKUP($C2,'NEW CAR'!$BE$2:$BQ$250,198,0)</f>
        <v>0</v>
      </c>
      <c r="DC2" s="106">
        <f>+HLOOKUP($C2,'NEW CAR'!$BE$2:$BQ$250,199,0)</f>
        <v>0</v>
      </c>
      <c r="DD2" s="106">
        <f>+HLOOKUP($C2,'NEW CAR'!$BE$2:$BQ$250,200,0)</f>
        <v>0</v>
      </c>
      <c r="DE2" s="106">
        <f>+HLOOKUP($C2,'NEW CAR'!$BE$2:$BQ$250,201,0)</f>
        <v>0</v>
      </c>
      <c r="DF2" s="106">
        <f>+HLOOKUP($C2,'NEW CAR'!$BE$2:$BQ$250,202,0)</f>
        <v>0</v>
      </c>
      <c r="DG2" s="106">
        <f>+HLOOKUP($C2,'NEW CAR'!$BE$2:$BQ$250,203,0)</f>
        <v>0</v>
      </c>
      <c r="DH2" s="106">
        <f>+HLOOKUP($C2,'NEW CAR'!$BE$2:$BQ$250,205,0)</f>
        <v>0</v>
      </c>
      <c r="DI2" s="106">
        <f>+HLOOKUP($C2,'NEW CAR'!$BE$2:$BQ$250,206,0)</f>
        <v>0</v>
      </c>
      <c r="DJ2" s="106">
        <f>+HLOOKUP($C2,'NEW CAR'!$BE$2:$BQ$250,207,0)</f>
        <v>0</v>
      </c>
      <c r="DK2" s="106">
        <f>+HLOOKUP($C2,'NEW CAR'!$BE$2:$BQ$250,209,0)</f>
        <v>0</v>
      </c>
      <c r="DL2" s="106">
        <f>+HLOOKUP($C2,'NEW CAR'!$BE$2:$BQ$250,210,0)</f>
        <v>0</v>
      </c>
      <c r="DM2" s="106">
        <f>+HLOOKUP($C2,'NEW CAR'!$BE$2:$BQ$250,211,0)</f>
        <v>0</v>
      </c>
      <c r="DN2" s="106">
        <f>+HLOOKUP($C2,'NEW CAR'!$BE$2:$BQ$250,212,0)</f>
        <v>0</v>
      </c>
      <c r="DO2" s="106">
        <f>+HLOOKUP($C2,'NEW CAR'!$BE$2:$BQ$250,214,0)</f>
        <v>0</v>
      </c>
      <c r="DP2" s="106">
        <f>+HLOOKUP($C2,'NEW CAR'!$BE$2:$BQ$250,215,0)</f>
        <v>0</v>
      </c>
      <c r="DQ2" s="106">
        <f>+HLOOKUP($C2,'NEW CAR'!$BE$2:$BQ$250,219,0)</f>
        <v>0</v>
      </c>
      <c r="DR2" s="106">
        <f>+HLOOKUP($C2,'NEW CAR'!$BE$2:$BQ$250,220,0)</f>
        <v>0</v>
      </c>
      <c r="DS2" s="106">
        <f>+HLOOKUP($C2,'NEW CAR'!$BE$2:$BQ$250,221,0)</f>
        <v>0</v>
      </c>
      <c r="DT2" s="106">
        <f>+HLOOKUP($C2,'NEW CAR'!$BE$2:$BQ$250,223,0)</f>
        <v>0</v>
      </c>
      <c r="DU2" s="106">
        <f>+HLOOKUP($C2,'NEW CAR'!$BE$2:$BQ$250,224,0)</f>
        <v>0</v>
      </c>
      <c r="DV2" s="106">
        <f>+HLOOKUP($C2,'NEW CAR'!$BE$2:$BQ$250,225,0)</f>
        <v>0</v>
      </c>
      <c r="DW2" s="106">
        <f>+HLOOKUP($C2,'NEW CAR'!$BE$2:$BQ$250,227,0)</f>
        <v>0</v>
      </c>
      <c r="DX2" s="106">
        <f>+HLOOKUP($C2,'NEW CAR'!$BE$2:$BQ$250,228,0)</f>
        <v>0</v>
      </c>
      <c r="DY2" s="106">
        <f>+HLOOKUP($C2,'NEW CAR'!$BE$2:$BQ$250,236,0)</f>
        <v>0</v>
      </c>
      <c r="DZ2" s="106">
        <f>+HLOOKUP($C2,'NEW CAR'!$BE$2:$BQ$250,237,0)</f>
        <v>0</v>
      </c>
      <c r="EA2" s="106">
        <f>+HLOOKUP($C2,'NEW CAR'!$BE$2:$BQ$250,238,0)</f>
        <v>0</v>
      </c>
      <c r="EB2" s="106">
        <f>+HLOOKUP($C2,'NEW CAR'!$BE$2:$BQ$250,240,0)</f>
        <v>0</v>
      </c>
    </row>
    <row r="3" spans="1:133">
      <c r="A3" t="s">
        <v>269</v>
      </c>
      <c r="B3" t="s">
        <v>270</v>
      </c>
      <c r="C3" s="117">
        <v>45962</v>
      </c>
      <c r="D3" s="106">
        <f>+HLOOKUP(C3,'NEW CAR'!$BE$2:$BQ$250,6,0)/3.5%</f>
        <v>0</v>
      </c>
      <c r="E3" s="106">
        <f>+HLOOKUP(C3,'NEW CAR'!$BE$2:$BQ$250,5,0)+HLOOKUP(C3,'NEW CAR'!$BE$2:$BQ$250,26,0)+HLOOKUP(C3,'NEW CAR'!$BE$2:$BQ$250,59,0)</f>
        <v>0</v>
      </c>
      <c r="G3" s="106">
        <f>+HLOOKUP($C3,'NEW CAR'!$BE$2:$BQ$250,76,0)</f>
        <v>0</v>
      </c>
      <c r="H3" s="106">
        <f>+HLOOKUP($C3,'NEW CAR'!$BE$2:$BQ$250,77,0)</f>
        <v>0</v>
      </c>
      <c r="I3" s="106">
        <f>+HLOOKUP($C3,'NEW CAR'!$BE$2:$BQ$250,78,0)</f>
        <v>0</v>
      </c>
      <c r="J3" s="106">
        <f>+HLOOKUP($C3,'NEW CAR'!$BE$2:$BQ$250,79,0)</f>
        <v>0</v>
      </c>
      <c r="K3" s="106">
        <f>+HLOOKUP($C3,'NEW CAR'!$BE$2:$BQ$250,80,0)</f>
        <v>0</v>
      </c>
      <c r="L3" s="106">
        <f>+HLOOKUP($C3,'NEW CAR'!$BE$2:$BQ$250,81,0)</f>
        <v>0</v>
      </c>
      <c r="M3" s="106">
        <f>+HLOOKUP($C3,'NEW CAR'!$BE$2:$BQ$250,82,0)</f>
        <v>0</v>
      </c>
      <c r="N3" s="106">
        <f>+HLOOKUP($C3,'NEW CAR'!$BE$2:$BQ$250,83,0)</f>
        <v>0</v>
      </c>
      <c r="O3" s="106">
        <f>+HLOOKUP($C3,'NEW CAR'!$BE$2:$BQ$250,84,0)</f>
        <v>0</v>
      </c>
      <c r="P3" s="106">
        <f>+HLOOKUP($C3,'NEW CAR'!$BE$2:$BQ$250,85,0)</f>
        <v>0</v>
      </c>
      <c r="Q3" s="106">
        <f>+HLOOKUP($C3,'NEW CAR'!$BE$2:$BQ$250,87,0)</f>
        <v>0</v>
      </c>
      <c r="R3" s="106">
        <f>+HLOOKUP($C3,'NEW CAR'!$BE$2:$BQ$250,90,0)</f>
        <v>0</v>
      </c>
      <c r="S3" s="106">
        <f>+HLOOKUP($C3,'NEW CAR'!$BE$2:$BQ$250,91,0)</f>
        <v>0</v>
      </c>
      <c r="T3" s="106">
        <f>+HLOOKUP($C3,'NEW CAR'!$BE$2:$BQ$250,92,0)</f>
        <v>0</v>
      </c>
      <c r="U3" s="106">
        <f>+HLOOKUP($C3,'NEW CAR'!$BE$2:$BQ$250,93,0)</f>
        <v>0</v>
      </c>
      <c r="V3" s="106">
        <f>+HLOOKUP($C3,'NEW CAR'!$BE$2:$BQ$250,94,0)</f>
        <v>0</v>
      </c>
      <c r="W3" s="106">
        <f>+HLOOKUP($C3,'NEW CAR'!$BE$2:$BQ$250,95,0)</f>
        <v>0</v>
      </c>
      <c r="X3" s="106">
        <f>+HLOOKUP($C3,'NEW CAR'!$BE$2:$BQ$250,96,0)</f>
        <v>0</v>
      </c>
      <c r="Y3" s="106">
        <f>+HLOOKUP($C3,'NEW CAR'!$BE$2:$BQ$250,97,0)</f>
        <v>0</v>
      </c>
      <c r="Z3" s="106">
        <f>+HLOOKUP($C3,'NEW CAR'!$BE$2:$BQ$250,98,0)</f>
        <v>0</v>
      </c>
      <c r="AA3" s="106">
        <f>+HLOOKUP($C3,'NEW CAR'!$BE$2:$BQ$250,99,0)</f>
        <v>0</v>
      </c>
      <c r="AB3" s="106">
        <f>+HLOOKUP($C3,'NEW CAR'!$BE$2:$BQ$250,100,0)</f>
        <v>0</v>
      </c>
      <c r="AC3" s="106">
        <f>+HLOOKUP($C3,'NEW CAR'!$BE$2:$BQ$250,101,0)</f>
        <v>0</v>
      </c>
      <c r="AD3" s="106">
        <f>+HLOOKUP($C3,'NEW CAR'!$BE$2:$BQ$250,104,0)</f>
        <v>0</v>
      </c>
      <c r="AE3" s="106">
        <f>+HLOOKUP($C3,'NEW CAR'!$BE$2:$BQ$250,105,0)</f>
        <v>0</v>
      </c>
      <c r="AF3" s="106">
        <f>+HLOOKUP($C3,'NEW CAR'!$BE$2:$BQ$250,106,0)</f>
        <v>0</v>
      </c>
      <c r="AG3" s="106">
        <f>+HLOOKUP($C3,'NEW CAR'!$BE$2:$BQ$250,107,0)</f>
        <v>0</v>
      </c>
      <c r="AH3" s="106">
        <f>+HLOOKUP($C3,'NEW CAR'!$BE$2:$BQ$250,108,0)</f>
        <v>0</v>
      </c>
      <c r="AI3" s="106">
        <f>+HLOOKUP($C3,'NEW CAR'!$BE$2:$BQ$250,109,0)</f>
        <v>0</v>
      </c>
      <c r="AJ3" s="106">
        <f>+HLOOKUP($C3,'NEW CAR'!$BE$2:$BQ$250,110,0)</f>
        <v>0</v>
      </c>
      <c r="AK3" s="106">
        <f>+HLOOKUP($C3,'NEW CAR'!$BE$2:$BQ$250,111,0)</f>
        <v>0</v>
      </c>
      <c r="AL3" s="106">
        <f>+HLOOKUP($C3,'NEW CAR'!$BE$2:$BQ$250,112,0)</f>
        <v>0</v>
      </c>
      <c r="AM3" s="106">
        <f>+HLOOKUP($C3,'NEW CAR'!$BE$2:$BQ$250,116,0)</f>
        <v>0</v>
      </c>
      <c r="AN3" s="106">
        <f>+HLOOKUP($C3,'NEW CAR'!$BE$2:$BQ$250,117,0)</f>
        <v>0</v>
      </c>
      <c r="AO3" s="106">
        <f>+HLOOKUP($C3,'NEW CAR'!$BE$2:$BQ$250,118,0)</f>
        <v>0</v>
      </c>
      <c r="AP3" s="106">
        <f>+HLOOKUP($C3,'NEW CAR'!$BE$2:$BQ$250,119,0)</f>
        <v>0</v>
      </c>
      <c r="AQ3" s="106">
        <f>+HLOOKUP($C3,'NEW CAR'!$BE$2:$BQ$250,120,0)</f>
        <v>0</v>
      </c>
      <c r="AR3" s="106">
        <f>+HLOOKUP($C3,'NEW CAR'!$BE$2:$BQ$250,121,0)</f>
        <v>0</v>
      </c>
      <c r="AS3" s="106">
        <f>+HLOOKUP($C3,'NEW CAR'!$BE$2:$BQ$250,122,0)</f>
        <v>0</v>
      </c>
      <c r="AT3" s="106">
        <f>+HLOOKUP($C3,'NEW CAR'!$BE$2:$BQ$250,123,0)</f>
        <v>0</v>
      </c>
      <c r="AU3" s="106">
        <f>+HLOOKUP($C3,'NEW CAR'!$BE$2:$BQ$250,124,0)</f>
        <v>0</v>
      </c>
      <c r="AV3" s="106">
        <f>+HLOOKUP($C3,'NEW CAR'!$BE$2:$BQ$250,125,0)</f>
        <v>0</v>
      </c>
      <c r="AW3" s="106">
        <f>+HLOOKUP($C3,'NEW CAR'!$BE$2:$BQ$250,126,0)</f>
        <v>0</v>
      </c>
      <c r="AX3" s="106">
        <f>+HLOOKUP($C3,'NEW CAR'!$BE$2:$BQ$250,127,0)</f>
        <v>0</v>
      </c>
      <c r="AY3" s="106">
        <f>+HLOOKUP($C3,'NEW CAR'!$BE$2:$BQ$250,129,0)</f>
        <v>0</v>
      </c>
      <c r="AZ3" s="106">
        <f>+HLOOKUP($C3,'NEW CAR'!$BE$2:$BQ$250,130,0)</f>
        <v>0</v>
      </c>
      <c r="BA3" s="106">
        <f>+HLOOKUP($C3,'NEW CAR'!$BE$2:$BQ$250,131,0)</f>
        <v>0</v>
      </c>
      <c r="BB3" s="106">
        <f>+HLOOKUP($C3,'NEW CAR'!$BE$2:$BQ$250,133,0)</f>
        <v>0</v>
      </c>
      <c r="BC3" s="106">
        <f>+HLOOKUP($C3,'NEW CAR'!$BE$2:$BQ$250,134,0)</f>
        <v>0</v>
      </c>
      <c r="BD3" s="106">
        <f>+HLOOKUP($C3,'NEW CAR'!$BE$2:$BQ$250,135,0)</f>
        <v>0</v>
      </c>
      <c r="BE3" s="106">
        <f>+HLOOKUP($C3,'NEW CAR'!$BE$2:$BQ$250,136,0)</f>
        <v>0</v>
      </c>
      <c r="BF3" s="106">
        <f>+HLOOKUP($C3,'NEW CAR'!$BE$2:$BQ$250,138,0)</f>
        <v>0</v>
      </c>
      <c r="BG3" s="106">
        <f>+HLOOKUP($C3,'NEW CAR'!$BE$2:$BQ$250,139,0)</f>
        <v>0</v>
      </c>
      <c r="BH3" s="106">
        <f>+HLOOKUP($C3,'NEW CAR'!$BE$2:$BQ$250,140,0)</f>
        <v>0</v>
      </c>
      <c r="BI3" s="106">
        <f>+HLOOKUP($C3,'NEW CAR'!$BE$2:$BQ$250,141,0)</f>
        <v>0</v>
      </c>
      <c r="BJ3" s="106">
        <f>+HLOOKUP($C3,'NEW CAR'!$BE$2:$BQ$250,142,0)</f>
        <v>0</v>
      </c>
      <c r="BK3" s="106">
        <f>+HLOOKUP($C3,'NEW CAR'!$BE$2:$BQ$250,143,0)</f>
        <v>0</v>
      </c>
      <c r="BL3" s="106">
        <f>+HLOOKUP($C3,'NEW CAR'!$BE$2:$BQ$250,144,0)</f>
        <v>0</v>
      </c>
      <c r="BM3" s="106">
        <f>+HLOOKUP($C3,'NEW CAR'!$BE$2:$BQ$250,146,0)</f>
        <v>0</v>
      </c>
      <c r="BN3" s="106">
        <f>+HLOOKUP($C3,'NEW CAR'!$BE$2:$BQ$250,147,0)</f>
        <v>0</v>
      </c>
      <c r="BO3" s="106">
        <f>+HLOOKUP($C3,'NEW CAR'!$BE$2:$BQ$250,148,0)</f>
        <v>0</v>
      </c>
      <c r="BP3" s="106">
        <f>+HLOOKUP($C3,'NEW CAR'!$BE$2:$BQ$250,150,0)</f>
        <v>0</v>
      </c>
      <c r="BQ3" s="106">
        <f>+HLOOKUP($C3,'NEW CAR'!$BE$2:$BQ$250,151,0)</f>
        <v>0</v>
      </c>
      <c r="BR3" s="106">
        <f>+HLOOKUP($C3,'NEW CAR'!$BE$2:$BQ$250,152,0)</f>
        <v>0</v>
      </c>
      <c r="BS3" s="106">
        <f>+HLOOKUP($C3,'NEW CAR'!$BE$2:$BQ$250,153,0)</f>
        <v>0</v>
      </c>
      <c r="BT3" s="106">
        <f>+HLOOKUP($C3,'NEW CAR'!$BE$2:$BQ$250,157,0)</f>
        <v>0</v>
      </c>
      <c r="BU3" s="106">
        <f>+HLOOKUP($C3,'NEW CAR'!$BE$2:$BQ$250,158,0)</f>
        <v>0</v>
      </c>
      <c r="BV3" s="106">
        <f>+HLOOKUP($C3,'NEW CAR'!$BE$2:$BQ$250,159,0)</f>
        <v>0</v>
      </c>
      <c r="BW3" s="106">
        <f>+HLOOKUP($C3,'NEW CAR'!$BE$2:$BQ$250,160,0)</f>
        <v>0</v>
      </c>
      <c r="BX3" s="106">
        <f>+HLOOKUP($C3,'NEW CAR'!$BE$2:$BQ$250,161,0)</f>
        <v>0</v>
      </c>
      <c r="BY3" s="106">
        <f>+HLOOKUP($C3,'NEW CAR'!$BE$2:$BQ$250,164,0)</f>
        <v>0</v>
      </c>
      <c r="BZ3" s="106">
        <f>+HLOOKUP($C3,'NEW CAR'!$BE$2:$BQ$250,165,0)</f>
        <v>0</v>
      </c>
      <c r="CA3" s="106">
        <f>+HLOOKUP($C3,'NEW CAR'!$BE$2:$BQ$250,166,0)</f>
        <v>0</v>
      </c>
      <c r="CB3" s="106">
        <f>+HLOOKUP($C3,'NEW CAR'!$BE$2:$BQ$250,167,0)</f>
        <v>0</v>
      </c>
      <c r="CC3" s="106">
        <f>+HLOOKUP($C3,'NEW CAR'!$BE$2:$BQ$250,168,0)</f>
        <v>0</v>
      </c>
      <c r="CD3" s="106">
        <f>+HLOOKUP($C3,'NEW CAR'!$BE$2:$BQ$250,169,0)</f>
        <v>0</v>
      </c>
      <c r="CE3" s="106">
        <f>+HLOOKUP($C3,'NEW CAR'!$BE$2:$BQ$250,170,0)</f>
        <v>0</v>
      </c>
      <c r="CF3" s="106">
        <f>+HLOOKUP($C3,'NEW CAR'!$BE$2:$BQ$250,172,0)</f>
        <v>0</v>
      </c>
      <c r="CG3" s="106">
        <f>+HLOOKUP($C3,'NEW CAR'!$BE$2:$BQ$250,173,0)</f>
        <v>0</v>
      </c>
      <c r="CH3" s="106">
        <f>+HLOOKUP($C3,'NEW CAR'!$BE$2:$BQ$250,174,0)</f>
        <v>0</v>
      </c>
      <c r="CI3" s="106">
        <f>+HLOOKUP($C3,'NEW CAR'!$BE$2:$BQ$250,175,0)</f>
        <v>0</v>
      </c>
      <c r="CJ3" s="106">
        <f>+HLOOKUP($C3,'NEW CAR'!$BE$2:$BQ$250,176,0)</f>
        <v>0</v>
      </c>
      <c r="CK3" s="106">
        <f>+HLOOKUP($C3,'NEW CAR'!$BE$2:$BQ$250,178,0)</f>
        <v>0</v>
      </c>
      <c r="CL3" s="106">
        <f>+HLOOKUP($C3,'NEW CAR'!$BE$2:$BQ$250,179,0)</f>
        <v>0</v>
      </c>
      <c r="CM3" s="106">
        <f>+HLOOKUP($C3,'NEW CAR'!$BE$2:$BQ$250,180,0)</f>
        <v>0</v>
      </c>
      <c r="CN3" s="106">
        <f>+HLOOKUP($C3,'NEW CAR'!$BE$2:$BQ$250,182,0)</f>
        <v>0</v>
      </c>
      <c r="CO3" s="106">
        <f>+HLOOKUP($C3,'NEW CAR'!$BE$2:$BQ$250,183,0)</f>
        <v>0</v>
      </c>
      <c r="CP3" s="106">
        <f>+HLOOKUP($C3,'NEW CAR'!$BE$2:$BQ$250,184,0)</f>
        <v>0</v>
      </c>
      <c r="CQ3" s="106">
        <f>+HLOOKUP($C3,'NEW CAR'!$BE$2:$BQ$250,185,0)</f>
        <v>0</v>
      </c>
      <c r="CR3" s="106">
        <f>+HLOOKUP($C3,'NEW CAR'!$BE$2:$BQ$250,187,0)</f>
        <v>0</v>
      </c>
      <c r="CS3" s="106">
        <f>+HLOOKUP($C3,'NEW CAR'!$BE$2:$BQ$250,188,0)</f>
        <v>0</v>
      </c>
      <c r="CT3" s="106">
        <f>+HLOOKUP($C3,'NEW CAR'!$BE$2:$BQ$250,189,0)</f>
        <v>0</v>
      </c>
      <c r="CU3" s="106">
        <f>+HLOOKUP($C3,'NEW CAR'!$BE$2:$BQ$250,190,0)</f>
        <v>0</v>
      </c>
      <c r="CV3" s="106">
        <f>+HLOOKUP($C3,'NEW CAR'!$BE$2:$BQ$250,191,0)</f>
        <v>0</v>
      </c>
      <c r="CW3" s="106">
        <f>+HLOOKUP($C3,'NEW CAR'!$BE$2:$BQ$250,193,0)</f>
        <v>0</v>
      </c>
      <c r="CX3" s="106">
        <f>+HLOOKUP($C3,'NEW CAR'!$BE$2:$BQ$250,194,0)</f>
        <v>0</v>
      </c>
      <c r="CY3" s="106">
        <f>+HLOOKUP($C3,'NEW CAR'!$BE$2:$BQ$250,195,0)</f>
        <v>0</v>
      </c>
      <c r="CZ3" s="106">
        <f>+HLOOKUP($C3,'NEW CAR'!$BE$2:$BQ$250,196,0)</f>
        <v>0</v>
      </c>
      <c r="DA3" s="106">
        <f>+HLOOKUP($C3,'NEW CAR'!$BE$2:$BQ$250,197,0)</f>
        <v>0</v>
      </c>
      <c r="DB3" s="106">
        <f>+HLOOKUP($C3,'NEW CAR'!$BE$2:$BQ$250,198,0)</f>
        <v>0</v>
      </c>
      <c r="DC3" s="106">
        <f>+HLOOKUP($C3,'NEW CAR'!$BE$2:$BQ$250,199,0)</f>
        <v>0</v>
      </c>
      <c r="DD3" s="106">
        <f>+HLOOKUP($C3,'NEW CAR'!$BE$2:$BQ$250,200,0)</f>
        <v>0</v>
      </c>
      <c r="DE3" s="106">
        <f>+HLOOKUP($C3,'NEW CAR'!$BE$2:$BQ$250,201,0)</f>
        <v>0</v>
      </c>
      <c r="DF3" s="106">
        <f>+HLOOKUP($C3,'NEW CAR'!$BE$2:$BQ$250,202,0)</f>
        <v>0</v>
      </c>
      <c r="DG3" s="106">
        <f>+HLOOKUP($C3,'NEW CAR'!$BE$2:$BQ$250,203,0)</f>
        <v>0</v>
      </c>
      <c r="DH3" s="106">
        <f>+HLOOKUP($C3,'NEW CAR'!$BE$2:$BQ$250,205,0)</f>
        <v>0</v>
      </c>
      <c r="DI3" s="106">
        <f>+HLOOKUP($C3,'NEW CAR'!$BE$2:$BQ$250,206,0)</f>
        <v>0</v>
      </c>
      <c r="DJ3" s="106">
        <f>+HLOOKUP($C3,'NEW CAR'!$BE$2:$BQ$250,207,0)</f>
        <v>0</v>
      </c>
      <c r="DK3" s="106">
        <f>+HLOOKUP($C3,'NEW CAR'!$BE$2:$BQ$250,209,0)</f>
        <v>0</v>
      </c>
      <c r="DL3" s="106">
        <f>+HLOOKUP($C3,'NEW CAR'!$BE$2:$BQ$250,210,0)</f>
        <v>0</v>
      </c>
      <c r="DM3" s="106">
        <f>+HLOOKUP($C3,'NEW CAR'!$BE$2:$BQ$250,211,0)</f>
        <v>0</v>
      </c>
      <c r="DN3" s="106">
        <f>+HLOOKUP($C3,'NEW CAR'!$BE$2:$BQ$250,212,0)</f>
        <v>0</v>
      </c>
      <c r="DO3" s="106">
        <f>+HLOOKUP($C3,'NEW CAR'!$BE$2:$BQ$250,214,0)</f>
        <v>0</v>
      </c>
      <c r="DP3" s="106">
        <f>+HLOOKUP($C3,'NEW CAR'!$BE$2:$BQ$250,215,0)</f>
        <v>0</v>
      </c>
      <c r="DQ3" s="106">
        <f>+HLOOKUP($C3,'NEW CAR'!$BE$2:$BQ$250,219,0)</f>
        <v>0</v>
      </c>
      <c r="DR3" s="106">
        <f>+HLOOKUP($C3,'NEW CAR'!$BE$2:$BQ$250,220,0)</f>
        <v>0</v>
      </c>
      <c r="DS3" s="106">
        <f>+HLOOKUP($C3,'NEW CAR'!$BE$2:$BQ$250,221,0)</f>
        <v>0</v>
      </c>
      <c r="DT3" s="106">
        <f>+HLOOKUP($C3,'NEW CAR'!$BE$2:$BQ$250,223,0)</f>
        <v>0</v>
      </c>
      <c r="DU3" s="106">
        <f>+HLOOKUP($C3,'NEW CAR'!$BE$2:$BQ$250,224,0)</f>
        <v>0</v>
      </c>
      <c r="DV3" s="106">
        <f>+HLOOKUP($C3,'NEW CAR'!$BE$2:$BQ$250,225,0)</f>
        <v>0</v>
      </c>
      <c r="DW3" s="106">
        <f>+HLOOKUP($C3,'NEW CAR'!$BE$2:$BQ$250,227,0)</f>
        <v>0</v>
      </c>
      <c r="DX3" s="106">
        <f>+HLOOKUP($C3,'NEW CAR'!$BE$2:$BQ$250,228,0)</f>
        <v>0</v>
      </c>
      <c r="DY3" s="106">
        <f>+HLOOKUP($C3,'NEW CAR'!$BE$2:$BQ$250,236,0)</f>
        <v>0</v>
      </c>
      <c r="DZ3" s="106">
        <f>+HLOOKUP($C3,'NEW CAR'!$BE$2:$BQ$250,237,0)</f>
        <v>0</v>
      </c>
      <c r="EA3" s="106">
        <f>+HLOOKUP($C3,'NEW CAR'!$BE$2:$BQ$250,238,0)</f>
        <v>0</v>
      </c>
      <c r="EB3" s="106">
        <f>+HLOOKUP($C3,'NEW CAR'!$BE$2:$BQ$250,240,0)</f>
        <v>0</v>
      </c>
    </row>
    <row r="4" spans="1:133">
      <c r="A4" t="s">
        <v>269</v>
      </c>
      <c r="B4" t="s">
        <v>270</v>
      </c>
      <c r="C4" s="117">
        <v>45931</v>
      </c>
      <c r="D4" s="106">
        <f>+HLOOKUP(C4,'NEW CAR'!$BE$2:$BQ$250,6,0)/3.5%</f>
        <v>157094341.92999998</v>
      </c>
      <c r="E4" s="106">
        <f>+HLOOKUP(C4,'NEW CAR'!$BE$2:$BQ$250,5,0)+HLOOKUP(C4,'NEW CAR'!$BE$2:$BQ$250,26,0)+HLOOKUP(C4,'NEW CAR'!$BE$2:$BQ$250,59,0)</f>
        <v>10219811.737299997</v>
      </c>
      <c r="G4" s="106">
        <f>+HLOOKUP($C4,'NEW CAR'!$BE$2:$BQ$250,76,0)</f>
        <v>428112</v>
      </c>
      <c r="H4" s="106">
        <f>+HLOOKUP($C4,'NEW CAR'!$BE$2:$BQ$250,77,0)</f>
        <v>307030.25</v>
      </c>
      <c r="I4" s="106">
        <f>+HLOOKUP($C4,'NEW CAR'!$BE$2:$BQ$250,78,0)</f>
        <v>0</v>
      </c>
      <c r="J4" s="106">
        <f>+HLOOKUP($C4,'NEW CAR'!$BE$2:$BQ$250,79,0)</f>
        <v>86308.08</v>
      </c>
      <c r="K4" s="106">
        <f>+HLOOKUP($C4,'NEW CAR'!$BE$2:$BQ$250,80,0)</f>
        <v>0</v>
      </c>
      <c r="L4" s="106">
        <f>+HLOOKUP($C4,'NEW CAR'!$BE$2:$BQ$250,81,0)</f>
        <v>0</v>
      </c>
      <c r="M4" s="106">
        <f>+HLOOKUP($C4,'NEW CAR'!$BE$2:$BQ$250,82,0)</f>
        <v>0</v>
      </c>
      <c r="N4" s="106">
        <f>+HLOOKUP($C4,'NEW CAR'!$BE$2:$BQ$250,83,0)</f>
        <v>7406</v>
      </c>
      <c r="O4" s="106">
        <f>+HLOOKUP($C4,'NEW CAR'!$BE$2:$BQ$250,84,0)</f>
        <v>0</v>
      </c>
      <c r="P4" s="106">
        <f>+HLOOKUP($C4,'NEW CAR'!$BE$2:$BQ$250,85,0)</f>
        <v>0</v>
      </c>
      <c r="Q4" s="106">
        <f>+HLOOKUP($C4,'NEW CAR'!$BE$2:$BQ$250,87,0)</f>
        <v>796795.2</v>
      </c>
      <c r="R4" s="106">
        <f>+HLOOKUP($C4,'NEW CAR'!$BE$2:$BQ$250,90,0)</f>
        <v>0</v>
      </c>
      <c r="S4" s="106">
        <f>+HLOOKUP($C4,'NEW CAR'!$BE$2:$BQ$250,91,0)</f>
        <v>0</v>
      </c>
      <c r="T4" s="106">
        <f>+HLOOKUP($C4,'NEW CAR'!$BE$2:$BQ$250,92,0)</f>
        <v>247248.674</v>
      </c>
      <c r="U4" s="106">
        <f>+HLOOKUP($C4,'NEW CAR'!$BE$2:$BQ$250,93,0)</f>
        <v>10000</v>
      </c>
      <c r="V4" s="106">
        <f>+HLOOKUP($C4,'NEW CAR'!$BE$2:$BQ$250,94,0)</f>
        <v>0</v>
      </c>
      <c r="W4" s="106">
        <f>+HLOOKUP($C4,'NEW CAR'!$BE$2:$BQ$250,95,0)</f>
        <v>86788.67</v>
      </c>
      <c r="X4" s="106">
        <f>+HLOOKUP($C4,'NEW CAR'!$BE$2:$BQ$250,96,0)</f>
        <v>2371</v>
      </c>
      <c r="Y4" s="106">
        <f>+HLOOKUP($C4,'NEW CAR'!$BE$2:$BQ$250,97,0)</f>
        <v>144210.35999999999</v>
      </c>
      <c r="Z4" s="106">
        <f>+HLOOKUP($C4,'NEW CAR'!$BE$2:$BQ$250,98,0)</f>
        <v>0</v>
      </c>
      <c r="AA4" s="106">
        <f>+HLOOKUP($C4,'NEW CAR'!$BE$2:$BQ$250,99,0)</f>
        <v>0</v>
      </c>
      <c r="AB4" s="106">
        <f>+HLOOKUP($C4,'NEW CAR'!$BE$2:$BQ$250,100,0)</f>
        <v>83781.897419354835</v>
      </c>
      <c r="AC4" s="106">
        <f>+HLOOKUP($C4,'NEW CAR'!$BE$2:$BQ$250,101,0)</f>
        <v>40081.71</v>
      </c>
      <c r="AD4" s="106">
        <f>+HLOOKUP($C4,'NEW CAR'!$BE$2:$BQ$250,104,0)</f>
        <v>0</v>
      </c>
      <c r="AE4" s="106">
        <f>+HLOOKUP($C4,'NEW CAR'!$BE$2:$BQ$250,105,0)</f>
        <v>328612.63199999998</v>
      </c>
      <c r="AF4" s="106">
        <f>+HLOOKUP($C4,'NEW CAR'!$BE$2:$BQ$250,106,0)</f>
        <v>0</v>
      </c>
      <c r="AG4" s="106">
        <f>+HLOOKUP($C4,'NEW CAR'!$BE$2:$BQ$250,107,0)</f>
        <v>161400</v>
      </c>
      <c r="AH4" s="106">
        <f>+HLOOKUP($C4,'NEW CAR'!$BE$2:$BQ$250,108,0)</f>
        <v>0</v>
      </c>
      <c r="AI4" s="106">
        <f>+HLOOKUP($C4,'NEW CAR'!$BE$2:$BQ$250,109,0)</f>
        <v>429360.8</v>
      </c>
      <c r="AJ4" s="106">
        <f>+HLOOKUP($C4,'NEW CAR'!$BE$2:$BQ$250,110,0)</f>
        <v>0</v>
      </c>
      <c r="AK4" s="106">
        <f>+HLOOKUP($C4,'NEW CAR'!$BE$2:$BQ$250,111,0)</f>
        <v>0</v>
      </c>
      <c r="AL4" s="106">
        <f>+HLOOKUP($C4,'NEW CAR'!$BE$2:$BQ$250,112,0)</f>
        <v>0</v>
      </c>
      <c r="AM4" s="106">
        <f>+HLOOKUP($C4,'NEW CAR'!$BE$2:$BQ$250,116,0)</f>
        <v>771631</v>
      </c>
      <c r="AN4" s="106">
        <f>+HLOOKUP($C4,'NEW CAR'!$BE$2:$BQ$250,117,0)</f>
        <v>113067.6</v>
      </c>
      <c r="AO4" s="106">
        <f>+HLOOKUP($C4,'NEW CAR'!$BE$2:$BQ$250,118,0)</f>
        <v>31500</v>
      </c>
      <c r="AP4" s="106">
        <f>+HLOOKUP($C4,'NEW CAR'!$BE$2:$BQ$250,119,0)</f>
        <v>257991.8</v>
      </c>
      <c r="AQ4" s="106">
        <f>+HLOOKUP($C4,'NEW CAR'!$BE$2:$BQ$250,120,0)</f>
        <v>69595.8</v>
      </c>
      <c r="AR4" s="106">
        <f>+HLOOKUP($C4,'NEW CAR'!$BE$2:$BQ$250,121,0)</f>
        <v>32420</v>
      </c>
      <c r="AS4" s="106">
        <f>+HLOOKUP($C4,'NEW CAR'!$BE$2:$BQ$250,122,0)</f>
        <v>401754.8</v>
      </c>
      <c r="AT4" s="106">
        <f>+HLOOKUP($C4,'NEW CAR'!$BE$2:$BQ$250,123,0)</f>
        <v>107556.71915625001</v>
      </c>
      <c r="AU4" s="106">
        <f>+HLOOKUP($C4,'NEW CAR'!$BE$2:$BQ$250,124,0)</f>
        <v>4821.25</v>
      </c>
      <c r="AV4" s="106">
        <f>+HLOOKUP($C4,'NEW CAR'!$BE$2:$BQ$250,125,0)</f>
        <v>222462</v>
      </c>
      <c r="AW4" s="106">
        <f>+HLOOKUP($C4,'NEW CAR'!$BE$2:$BQ$250,126,0)</f>
        <v>54057.692307692305</v>
      </c>
      <c r="AX4" s="106">
        <f>+HLOOKUP($C4,'NEW CAR'!$BE$2:$BQ$250,127,0)</f>
        <v>60583.333333333343</v>
      </c>
      <c r="AY4" s="106">
        <f>+HLOOKUP($C4,'NEW CAR'!$BE$2:$BQ$250,129,0)</f>
        <v>142000</v>
      </c>
      <c r="AZ4" s="106">
        <f>+HLOOKUP($C4,'NEW CAR'!$BE$2:$BQ$250,130,0)</f>
        <v>0</v>
      </c>
      <c r="BA4" s="106">
        <f>+HLOOKUP($C4,'NEW CAR'!$BE$2:$BQ$250,131,0)</f>
        <v>0</v>
      </c>
      <c r="BB4" s="106">
        <f>+HLOOKUP($C4,'NEW CAR'!$BE$2:$BQ$250,133,0)</f>
        <v>0</v>
      </c>
      <c r="BC4" s="106">
        <f>+HLOOKUP($C4,'NEW CAR'!$BE$2:$BQ$250,134,0)</f>
        <v>139638.96599999999</v>
      </c>
      <c r="BD4" s="106">
        <f>+HLOOKUP($C4,'NEW CAR'!$BE$2:$BQ$250,135,0)</f>
        <v>0</v>
      </c>
      <c r="BE4" s="106">
        <f>+HLOOKUP($C4,'NEW CAR'!$BE$2:$BQ$250,136,0)</f>
        <v>252608.32799999998</v>
      </c>
      <c r="BF4" s="106">
        <f>+HLOOKUP($C4,'NEW CAR'!$BE$2:$BQ$250,138,0)</f>
        <v>24906</v>
      </c>
      <c r="BG4" s="106">
        <f>+HLOOKUP($C4,'NEW CAR'!$BE$2:$BQ$250,139,0)</f>
        <v>14298</v>
      </c>
      <c r="BH4" s="106">
        <f>+HLOOKUP($C4,'NEW CAR'!$BE$2:$BQ$250,140,0)</f>
        <v>0</v>
      </c>
      <c r="BI4" s="106">
        <f>+HLOOKUP($C4,'NEW CAR'!$BE$2:$BQ$250,141,0)</f>
        <v>0</v>
      </c>
      <c r="BJ4" s="106">
        <f>+HLOOKUP($C4,'NEW CAR'!$BE$2:$BQ$250,142,0)</f>
        <v>0</v>
      </c>
      <c r="BK4" s="106">
        <f>+HLOOKUP($C4,'NEW CAR'!$BE$2:$BQ$250,143,0)</f>
        <v>0</v>
      </c>
      <c r="BL4" s="106">
        <f>+HLOOKUP($C4,'NEW CAR'!$BE$2:$BQ$250,144,0)</f>
        <v>62410.97</v>
      </c>
      <c r="BM4" s="106">
        <f>+HLOOKUP($C4,'NEW CAR'!$BE$2:$BQ$250,146,0)</f>
        <v>0</v>
      </c>
      <c r="BN4" s="106">
        <f>+HLOOKUP($C4,'NEW CAR'!$BE$2:$BQ$250,147,0)</f>
        <v>78343</v>
      </c>
      <c r="BO4" s="106">
        <f>+HLOOKUP($C4,'NEW CAR'!$BE$2:$BQ$250,148,0)</f>
        <v>0</v>
      </c>
      <c r="BP4" s="106">
        <f>+HLOOKUP($C4,'NEW CAR'!$BE$2:$BQ$250,150,0)</f>
        <v>65794</v>
      </c>
      <c r="BQ4" s="106">
        <f>+HLOOKUP($C4,'NEW CAR'!$BE$2:$BQ$250,151,0)</f>
        <v>9922</v>
      </c>
      <c r="BR4" s="106">
        <f>+HLOOKUP($C4,'NEW CAR'!$BE$2:$BQ$250,152,0)</f>
        <v>71000</v>
      </c>
      <c r="BS4" s="106">
        <f>+HLOOKUP($C4,'NEW CAR'!$BE$2:$BQ$250,153,0)</f>
        <v>700</v>
      </c>
      <c r="BT4" s="106">
        <f>+HLOOKUP($C4,'NEW CAR'!$BE$2:$BQ$250,157,0)</f>
        <v>0</v>
      </c>
      <c r="BU4" s="106">
        <f>+HLOOKUP($C4,'NEW CAR'!$BE$2:$BQ$250,158,0)</f>
        <v>2200</v>
      </c>
      <c r="BV4" s="106">
        <f>+HLOOKUP($C4,'NEW CAR'!$BE$2:$BQ$250,159,0)</f>
        <v>847</v>
      </c>
      <c r="BW4" s="106">
        <f>+HLOOKUP($C4,'NEW CAR'!$BE$2:$BQ$250,160,0)</f>
        <v>17163.2</v>
      </c>
      <c r="BX4" s="106">
        <f>+HLOOKUP($C4,'NEW CAR'!$BE$2:$BQ$250,161,0)</f>
        <v>30945.5</v>
      </c>
      <c r="BY4" s="106">
        <f>+HLOOKUP($C4,'NEW CAR'!$BE$2:$BQ$250,164,0)</f>
        <v>12000</v>
      </c>
      <c r="BZ4" s="106">
        <f>+HLOOKUP($C4,'NEW CAR'!$BE$2:$BQ$250,165,0)</f>
        <v>0</v>
      </c>
      <c r="CA4" s="106">
        <f>+HLOOKUP($C4,'NEW CAR'!$BE$2:$BQ$250,166,0)</f>
        <v>0</v>
      </c>
      <c r="CB4" s="106">
        <f>+HLOOKUP($C4,'NEW CAR'!$BE$2:$BQ$250,167,0)</f>
        <v>0</v>
      </c>
      <c r="CC4" s="106">
        <f>+HLOOKUP($C4,'NEW CAR'!$BE$2:$BQ$250,168,0)</f>
        <v>13156.01</v>
      </c>
      <c r="CD4" s="106">
        <f>+HLOOKUP($C4,'NEW CAR'!$BE$2:$BQ$250,169,0)</f>
        <v>4000</v>
      </c>
      <c r="CE4" s="106">
        <f>+HLOOKUP($C4,'NEW CAR'!$BE$2:$BQ$250,170,0)</f>
        <v>0</v>
      </c>
      <c r="CF4" s="106">
        <f>+HLOOKUP($C4,'NEW CAR'!$BE$2:$BQ$250,172,0)</f>
        <v>20150</v>
      </c>
      <c r="CG4" s="106">
        <f>+HLOOKUP($C4,'NEW CAR'!$BE$2:$BQ$250,173,0)</f>
        <v>0</v>
      </c>
      <c r="CH4" s="106">
        <f>+HLOOKUP($C4,'NEW CAR'!$BE$2:$BQ$250,174,0)</f>
        <v>0</v>
      </c>
      <c r="CI4" s="106">
        <f>+HLOOKUP($C4,'NEW CAR'!$BE$2:$BQ$250,175,0)</f>
        <v>0</v>
      </c>
      <c r="CJ4" s="106">
        <f>+HLOOKUP($C4,'NEW CAR'!$BE$2:$BQ$250,176,0)</f>
        <v>37368.220000000016</v>
      </c>
      <c r="CK4" s="106">
        <f>+HLOOKUP($C4,'NEW CAR'!$BE$2:$BQ$250,178,0)</f>
        <v>175779</v>
      </c>
      <c r="CL4" s="106">
        <f>+HLOOKUP($C4,'NEW CAR'!$BE$2:$BQ$250,179,0)</f>
        <v>17464</v>
      </c>
      <c r="CM4" s="106">
        <f>+HLOOKUP($C4,'NEW CAR'!$BE$2:$BQ$250,180,0)</f>
        <v>0</v>
      </c>
      <c r="CN4" s="106">
        <f>+HLOOKUP($C4,'NEW CAR'!$BE$2:$BQ$250,182,0)</f>
        <v>2030.4</v>
      </c>
      <c r="CO4" s="106">
        <f>+HLOOKUP($C4,'NEW CAR'!$BE$2:$BQ$250,183,0)</f>
        <v>26709.200000000001</v>
      </c>
      <c r="CP4" s="106">
        <f>+HLOOKUP($C4,'NEW CAR'!$BE$2:$BQ$250,184,0)</f>
        <v>23058.400000000001</v>
      </c>
      <c r="CQ4" s="106">
        <f>+HLOOKUP($C4,'NEW CAR'!$BE$2:$BQ$250,185,0)</f>
        <v>0</v>
      </c>
      <c r="CR4" s="106">
        <f>+HLOOKUP($C4,'NEW CAR'!$BE$2:$BQ$250,187,0)</f>
        <v>8332.8000000000011</v>
      </c>
      <c r="CS4" s="106">
        <f>+HLOOKUP($C4,'NEW CAR'!$BE$2:$BQ$250,188,0)</f>
        <v>15000</v>
      </c>
      <c r="CT4" s="106">
        <f>+HLOOKUP($C4,'NEW CAR'!$BE$2:$BQ$250,189,0)</f>
        <v>0</v>
      </c>
      <c r="CU4" s="106">
        <f>+HLOOKUP($C4,'NEW CAR'!$BE$2:$BQ$250,190,0)</f>
        <v>3333.2000000000003</v>
      </c>
      <c r="CV4" s="106">
        <f>+HLOOKUP($C4,'NEW CAR'!$BE$2:$BQ$250,191,0)</f>
        <v>0</v>
      </c>
      <c r="CW4" s="106">
        <f>+HLOOKUP($C4,'NEW CAR'!$BE$2:$BQ$250,193,0)</f>
        <v>11883</v>
      </c>
      <c r="CX4" s="106">
        <f>+HLOOKUP($C4,'NEW CAR'!$BE$2:$BQ$250,194,0)</f>
        <v>2606</v>
      </c>
      <c r="CY4" s="106">
        <f>+HLOOKUP($C4,'NEW CAR'!$BE$2:$BQ$250,195,0)</f>
        <v>0</v>
      </c>
      <c r="CZ4" s="106">
        <f>+HLOOKUP($C4,'NEW CAR'!$BE$2:$BQ$250,196,0)</f>
        <v>0</v>
      </c>
      <c r="DA4" s="106">
        <f>+HLOOKUP($C4,'NEW CAR'!$BE$2:$BQ$250,197,0)</f>
        <v>33526.33</v>
      </c>
      <c r="DB4" s="106">
        <f>+HLOOKUP($C4,'NEW CAR'!$BE$2:$BQ$250,198,0)</f>
        <v>6251.11</v>
      </c>
      <c r="DC4" s="106">
        <f>+HLOOKUP($C4,'NEW CAR'!$BE$2:$BQ$250,199,0)</f>
        <v>1587.41</v>
      </c>
      <c r="DD4" s="106">
        <f>+HLOOKUP($C4,'NEW CAR'!$BE$2:$BQ$250,200,0)</f>
        <v>1450</v>
      </c>
      <c r="DE4" s="106">
        <f>+HLOOKUP($C4,'NEW CAR'!$BE$2:$BQ$250,201,0)</f>
        <v>0</v>
      </c>
      <c r="DF4" s="106">
        <f>+HLOOKUP($C4,'NEW CAR'!$BE$2:$BQ$250,202,0)</f>
        <v>1.6879999999999999</v>
      </c>
      <c r="DG4" s="106">
        <f>+HLOOKUP($C4,'NEW CAR'!$BE$2:$BQ$250,203,0)</f>
        <v>-31.872000000000003</v>
      </c>
      <c r="DH4" s="106">
        <f>+HLOOKUP($C4,'NEW CAR'!$BE$2:$BQ$250,205,0)</f>
        <v>115022</v>
      </c>
      <c r="DI4" s="106">
        <f>+HLOOKUP($C4,'NEW CAR'!$BE$2:$BQ$250,206,0)</f>
        <v>37241</v>
      </c>
      <c r="DJ4" s="106">
        <f>+HLOOKUP($C4,'NEW CAR'!$BE$2:$BQ$250,207,0)</f>
        <v>1803.4</v>
      </c>
      <c r="DK4" s="106">
        <f>+HLOOKUP($C4,'NEW CAR'!$BE$2:$BQ$250,209,0)</f>
        <v>0</v>
      </c>
      <c r="DL4" s="106">
        <f>+HLOOKUP($C4,'NEW CAR'!$BE$2:$BQ$250,210,0)</f>
        <v>0</v>
      </c>
      <c r="DM4" s="106">
        <f>+HLOOKUP($C4,'NEW CAR'!$BE$2:$BQ$250,211,0)</f>
        <v>100567.85937499994</v>
      </c>
      <c r="DN4" s="106">
        <f>+HLOOKUP($C4,'NEW CAR'!$BE$2:$BQ$250,212,0)</f>
        <v>73287</v>
      </c>
      <c r="DO4" s="106">
        <f>+HLOOKUP($C4,'NEW CAR'!$BE$2:$BQ$250,214,0)</f>
        <v>0</v>
      </c>
      <c r="DP4" s="106">
        <f>+HLOOKUP($C4,'NEW CAR'!$BE$2:$BQ$250,215,0)</f>
        <v>0</v>
      </c>
      <c r="DQ4" s="106">
        <f>+HLOOKUP($C4,'NEW CAR'!$BE$2:$BQ$250,219,0)</f>
        <v>123753.42465753425</v>
      </c>
      <c r="DR4" s="106">
        <f>+HLOOKUP($C4,'NEW CAR'!$BE$2:$BQ$250,220,0)</f>
        <v>174336.6</v>
      </c>
      <c r="DS4" s="106">
        <f>+HLOOKUP($C4,'NEW CAR'!$BE$2:$BQ$250,221,0)</f>
        <v>327512.00999999995</v>
      </c>
      <c r="DT4" s="106">
        <f>+HLOOKUP($C4,'NEW CAR'!$BE$2:$BQ$250,223,0)</f>
        <v>40771.367999999995</v>
      </c>
      <c r="DU4" s="106">
        <f>+HLOOKUP($C4,'NEW CAR'!$BE$2:$BQ$250,224,0)</f>
        <v>0</v>
      </c>
      <c r="DV4" s="106">
        <f>+HLOOKUP($C4,'NEW CAR'!$BE$2:$BQ$250,225,0)</f>
        <v>0</v>
      </c>
      <c r="DW4" s="106">
        <f>+HLOOKUP($C4,'NEW CAR'!$BE$2:$BQ$250,227,0)</f>
        <v>0</v>
      </c>
      <c r="DX4" s="106">
        <f>+HLOOKUP($C4,'NEW CAR'!$BE$2:$BQ$250,228,0)</f>
        <v>3527.1</v>
      </c>
      <c r="DY4" s="106">
        <f>+HLOOKUP($C4,'NEW CAR'!$BE$2:$BQ$250,236,0)</f>
        <v>0</v>
      </c>
      <c r="DZ4" s="106">
        <f>+HLOOKUP($C4,'NEW CAR'!$BE$2:$BQ$250,237,0)</f>
        <v>112766.71380000001</v>
      </c>
      <c r="EA4" s="106">
        <f>+HLOOKUP($C4,'NEW CAR'!$BE$2:$BQ$250,238,0)</f>
        <v>0</v>
      </c>
      <c r="EB4" s="106">
        <f>+HLOOKUP($C4,'NEW CAR'!$BE$2:$BQ$250,240,0)</f>
        <v>952163.96462113166</v>
      </c>
    </row>
    <row r="5" spans="1:133">
      <c r="A5" t="s">
        <v>269</v>
      </c>
      <c r="B5" t="s">
        <v>270</v>
      </c>
      <c r="C5" s="117">
        <v>45901</v>
      </c>
      <c r="D5" s="106">
        <f>+HLOOKUP(C5,'NEW CAR'!$BE$2:$BQ$250,6,0)/3.5%</f>
        <v>170687340.5</v>
      </c>
      <c r="E5" s="106">
        <f>+HLOOKUP(C5,'NEW CAR'!$BE$2:$BQ$250,5,0)+HLOOKUP(C5,'NEW CAR'!$BE$2:$BQ$250,26,0)+HLOOKUP(C5,'NEW CAR'!$BE$2:$BQ$250,59,0)</f>
        <v>10489127.103348</v>
      </c>
      <c r="G5" s="106">
        <f>+HLOOKUP($C5,'NEW CAR'!$BE$2:$BQ$250,76,0)</f>
        <v>273261.46999999997</v>
      </c>
      <c r="H5" s="106">
        <f>+HLOOKUP($C5,'NEW CAR'!$BE$2:$BQ$250,77,0)</f>
        <v>195285.83</v>
      </c>
      <c r="I5" s="106">
        <f>+HLOOKUP($C5,'NEW CAR'!$BE$2:$BQ$250,78,0)</f>
        <v>0</v>
      </c>
      <c r="J5" s="106">
        <f>+HLOOKUP($C5,'NEW CAR'!$BE$2:$BQ$250,79,0)</f>
        <v>153464.94000000003</v>
      </c>
      <c r="K5" s="106">
        <f>+HLOOKUP($C5,'NEW CAR'!$BE$2:$BQ$250,80,0)</f>
        <v>0</v>
      </c>
      <c r="L5" s="106">
        <f>+HLOOKUP($C5,'NEW CAR'!$BE$2:$BQ$250,81,0)</f>
        <v>0</v>
      </c>
      <c r="M5" s="106">
        <f>+HLOOKUP($C5,'NEW CAR'!$BE$2:$BQ$250,82,0)</f>
        <v>0</v>
      </c>
      <c r="N5" s="106">
        <f>+HLOOKUP($C5,'NEW CAR'!$BE$2:$BQ$250,83,0)</f>
        <v>2844</v>
      </c>
      <c r="O5" s="106">
        <f>+HLOOKUP($C5,'NEW CAR'!$BE$2:$BQ$250,84,0)</f>
        <v>100000</v>
      </c>
      <c r="P5" s="106">
        <f>+HLOOKUP($C5,'NEW CAR'!$BE$2:$BQ$250,85,0)</f>
        <v>0</v>
      </c>
      <c r="Q5" s="106">
        <f>+HLOOKUP($C5,'NEW CAR'!$BE$2:$BQ$250,87,0)</f>
        <v>983394</v>
      </c>
      <c r="R5" s="106">
        <f>+HLOOKUP($C5,'NEW CAR'!$BE$2:$BQ$250,90,0)</f>
        <v>0</v>
      </c>
      <c r="S5" s="106">
        <f>+HLOOKUP($C5,'NEW CAR'!$BE$2:$BQ$250,91,0)</f>
        <v>0</v>
      </c>
      <c r="T5" s="106">
        <f>+HLOOKUP($C5,'NEW CAR'!$BE$2:$BQ$250,92,0)</f>
        <v>206325.58999999997</v>
      </c>
      <c r="U5" s="106">
        <f>+HLOOKUP($C5,'NEW CAR'!$BE$2:$BQ$250,93,0)</f>
        <v>6000</v>
      </c>
      <c r="V5" s="106">
        <f>+HLOOKUP($C5,'NEW CAR'!$BE$2:$BQ$250,94,0)</f>
        <v>0</v>
      </c>
      <c r="W5" s="106">
        <f>+HLOOKUP($C5,'NEW CAR'!$BE$2:$BQ$250,95,0)</f>
        <v>5423.5</v>
      </c>
      <c r="X5" s="106">
        <f>+HLOOKUP($C5,'NEW CAR'!$BE$2:$BQ$250,96,0)</f>
        <v>18771</v>
      </c>
      <c r="Y5" s="106">
        <f>+HLOOKUP($C5,'NEW CAR'!$BE$2:$BQ$250,97,0)</f>
        <v>37786.18</v>
      </c>
      <c r="Z5" s="106">
        <f>+HLOOKUP($C5,'NEW CAR'!$BE$2:$BQ$250,98,0)</f>
        <v>0</v>
      </c>
      <c r="AA5" s="106">
        <f>+HLOOKUP($C5,'NEW CAR'!$BE$2:$BQ$250,99,0)</f>
        <v>817.58</v>
      </c>
      <c r="AB5" s="106">
        <f>+HLOOKUP($C5,'NEW CAR'!$BE$2:$BQ$250,100,0)</f>
        <v>126302.54</v>
      </c>
      <c r="AC5" s="106">
        <f>+HLOOKUP($C5,'NEW CAR'!$BE$2:$BQ$250,101,0)</f>
        <v>18430.669999999998</v>
      </c>
      <c r="AD5" s="106">
        <f>+HLOOKUP($C5,'NEW CAR'!$BE$2:$BQ$250,104,0)</f>
        <v>0</v>
      </c>
      <c r="AE5" s="106">
        <f>+HLOOKUP($C5,'NEW CAR'!$BE$2:$BQ$250,105,0)</f>
        <v>178333.69</v>
      </c>
      <c r="AF5" s="106">
        <f>+HLOOKUP($C5,'NEW CAR'!$BE$2:$BQ$250,106,0)</f>
        <v>0</v>
      </c>
      <c r="AG5" s="106">
        <f>+HLOOKUP($C5,'NEW CAR'!$BE$2:$BQ$250,107,0)</f>
        <v>536577</v>
      </c>
      <c r="AH5" s="106">
        <f>+HLOOKUP($C5,'NEW CAR'!$BE$2:$BQ$250,108,0)</f>
        <v>69923</v>
      </c>
      <c r="AI5" s="106">
        <f>+HLOOKUP($C5,'NEW CAR'!$BE$2:$BQ$250,109,0)</f>
        <v>207993.28599999999</v>
      </c>
      <c r="AJ5" s="106">
        <f>+HLOOKUP($C5,'NEW CAR'!$BE$2:$BQ$250,110,0)</f>
        <v>0</v>
      </c>
      <c r="AK5" s="106">
        <f>+HLOOKUP($C5,'NEW CAR'!$BE$2:$BQ$250,111,0)</f>
        <v>0</v>
      </c>
      <c r="AL5" s="106">
        <f>+HLOOKUP($C5,'NEW CAR'!$BE$2:$BQ$250,112,0)</f>
        <v>0</v>
      </c>
      <c r="AM5" s="106">
        <f>+HLOOKUP($C5,'NEW CAR'!$BE$2:$BQ$250,116,0)</f>
        <v>887471</v>
      </c>
      <c r="AN5" s="106">
        <f>+HLOOKUP($C5,'NEW CAR'!$BE$2:$BQ$250,117,0)</f>
        <v>131057</v>
      </c>
      <c r="AO5" s="106">
        <f>+HLOOKUP($C5,'NEW CAR'!$BE$2:$BQ$250,118,0)</f>
        <v>31419</v>
      </c>
      <c r="AP5" s="106">
        <f>+HLOOKUP($C5,'NEW CAR'!$BE$2:$BQ$250,119,0)</f>
        <v>294338</v>
      </c>
      <c r="AQ5" s="106">
        <f>+HLOOKUP($C5,'NEW CAR'!$BE$2:$BQ$250,120,0)</f>
        <v>82697</v>
      </c>
      <c r="AR5" s="106">
        <f>+HLOOKUP($C5,'NEW CAR'!$BE$2:$BQ$250,121,0)</f>
        <v>36752</v>
      </c>
      <c r="AS5" s="106">
        <f>+HLOOKUP($C5,'NEW CAR'!$BE$2:$BQ$250,122,0)</f>
        <v>619673</v>
      </c>
      <c r="AT5" s="106">
        <f>+HLOOKUP($C5,'NEW CAR'!$BE$2:$BQ$250,123,0)</f>
        <v>107556.71915625001</v>
      </c>
      <c r="AU5" s="106">
        <f>+HLOOKUP($C5,'NEW CAR'!$BE$2:$BQ$250,124,0)</f>
        <v>4821.25</v>
      </c>
      <c r="AV5" s="106">
        <f>+HLOOKUP($C5,'NEW CAR'!$BE$2:$BQ$250,125,0)</f>
        <v>245512</v>
      </c>
      <c r="AW5" s="106">
        <f>+HLOOKUP($C5,'NEW CAR'!$BE$2:$BQ$250,126,0)</f>
        <v>54057.692307692305</v>
      </c>
      <c r="AX5" s="106">
        <f>+HLOOKUP($C5,'NEW CAR'!$BE$2:$BQ$250,127,0)</f>
        <v>60583.333333333343</v>
      </c>
      <c r="AY5" s="106">
        <f>+HLOOKUP($C5,'NEW CAR'!$BE$2:$BQ$250,129,0)</f>
        <v>22860</v>
      </c>
      <c r="AZ5" s="106">
        <f>+HLOOKUP($C5,'NEW CAR'!$BE$2:$BQ$250,130,0)</f>
        <v>0</v>
      </c>
      <c r="BA5" s="106">
        <f>+HLOOKUP($C5,'NEW CAR'!$BE$2:$BQ$250,131,0)</f>
        <v>60000</v>
      </c>
      <c r="BB5" s="106">
        <f>+HLOOKUP($C5,'NEW CAR'!$BE$2:$BQ$250,133,0)</f>
        <v>0</v>
      </c>
      <c r="BC5" s="106">
        <f>+HLOOKUP($C5,'NEW CAR'!$BE$2:$BQ$250,134,0)</f>
        <v>60046.71</v>
      </c>
      <c r="BD5" s="106">
        <f>+HLOOKUP($C5,'NEW CAR'!$BE$2:$BQ$250,135,0)</f>
        <v>0</v>
      </c>
      <c r="BE5" s="106">
        <f>+HLOOKUP($C5,'NEW CAR'!$BE$2:$BQ$250,136,0)</f>
        <v>0</v>
      </c>
      <c r="BF5" s="106">
        <f>+HLOOKUP($C5,'NEW CAR'!$BE$2:$BQ$250,138,0)</f>
        <v>24906</v>
      </c>
      <c r="BG5" s="106">
        <f>+HLOOKUP($C5,'NEW CAR'!$BE$2:$BQ$250,139,0)</f>
        <v>19503</v>
      </c>
      <c r="BH5" s="106">
        <f>+HLOOKUP($C5,'NEW CAR'!$BE$2:$BQ$250,140,0)</f>
        <v>0</v>
      </c>
      <c r="BI5" s="106">
        <f>+HLOOKUP($C5,'NEW CAR'!$BE$2:$BQ$250,141,0)</f>
        <v>0</v>
      </c>
      <c r="BJ5" s="106">
        <f>+HLOOKUP($C5,'NEW CAR'!$BE$2:$BQ$250,142,0)</f>
        <v>0</v>
      </c>
      <c r="BK5" s="106">
        <f>+HLOOKUP($C5,'NEW CAR'!$BE$2:$BQ$250,143,0)</f>
        <v>0</v>
      </c>
      <c r="BL5" s="106">
        <f>+HLOOKUP($C5,'NEW CAR'!$BE$2:$BQ$250,144,0)</f>
        <v>49198</v>
      </c>
      <c r="BM5" s="106">
        <f>+HLOOKUP($C5,'NEW CAR'!$BE$2:$BQ$250,146,0)</f>
        <v>0</v>
      </c>
      <c r="BN5" s="106">
        <f>+HLOOKUP($C5,'NEW CAR'!$BE$2:$BQ$250,147,0)</f>
        <v>100619</v>
      </c>
      <c r="BO5" s="106">
        <f>+HLOOKUP($C5,'NEW CAR'!$BE$2:$BQ$250,148,0)</f>
        <v>0</v>
      </c>
      <c r="BP5" s="106">
        <f>+HLOOKUP($C5,'NEW CAR'!$BE$2:$BQ$250,150,0)</f>
        <v>65794</v>
      </c>
      <c r="BQ5" s="106">
        <f>+HLOOKUP($C5,'NEW CAR'!$BE$2:$BQ$250,151,0)</f>
        <v>9922</v>
      </c>
      <c r="BR5" s="106">
        <f>+HLOOKUP($C5,'NEW CAR'!$BE$2:$BQ$250,152,0)</f>
        <v>71000</v>
      </c>
      <c r="BS5" s="106">
        <f>+HLOOKUP($C5,'NEW CAR'!$BE$2:$BQ$250,153,0)</f>
        <v>54600</v>
      </c>
      <c r="BT5" s="106">
        <f>+HLOOKUP($C5,'NEW CAR'!$BE$2:$BQ$250,157,0)</f>
        <v>0</v>
      </c>
      <c r="BU5" s="106">
        <f>+HLOOKUP($C5,'NEW CAR'!$BE$2:$BQ$250,158,0)</f>
        <v>3072.88</v>
      </c>
      <c r="BV5" s="106">
        <f>+HLOOKUP($C5,'NEW CAR'!$BE$2:$BQ$250,159,0)</f>
        <v>847</v>
      </c>
      <c r="BW5" s="106">
        <f>+HLOOKUP($C5,'NEW CAR'!$BE$2:$BQ$250,160,0)</f>
        <v>22622</v>
      </c>
      <c r="BX5" s="106">
        <f>+HLOOKUP($C5,'NEW CAR'!$BE$2:$BQ$250,161,0)</f>
        <v>44834.49</v>
      </c>
      <c r="BY5" s="106">
        <f>+HLOOKUP($C5,'NEW CAR'!$BE$2:$BQ$250,164,0)</f>
        <v>20405.43</v>
      </c>
      <c r="BZ5" s="106">
        <f>+HLOOKUP($C5,'NEW CAR'!$BE$2:$BQ$250,165,0)</f>
        <v>0</v>
      </c>
      <c r="CA5" s="106">
        <f>+HLOOKUP($C5,'NEW CAR'!$BE$2:$BQ$250,166,0)</f>
        <v>0</v>
      </c>
      <c r="CB5" s="106">
        <f>+HLOOKUP($C5,'NEW CAR'!$BE$2:$BQ$250,167,0)</f>
        <v>0</v>
      </c>
      <c r="CC5" s="106">
        <f>+HLOOKUP($C5,'NEW CAR'!$BE$2:$BQ$250,168,0)</f>
        <v>0</v>
      </c>
      <c r="CD5" s="106">
        <f>+HLOOKUP($C5,'NEW CAR'!$BE$2:$BQ$250,169,0)</f>
        <v>10912.52</v>
      </c>
      <c r="CE5" s="106">
        <f>+HLOOKUP($C5,'NEW CAR'!$BE$2:$BQ$250,170,0)</f>
        <v>0</v>
      </c>
      <c r="CF5" s="106">
        <f>+HLOOKUP($C5,'NEW CAR'!$BE$2:$BQ$250,172,0)</f>
        <v>20150</v>
      </c>
      <c r="CG5" s="106">
        <f>+HLOOKUP($C5,'NEW CAR'!$BE$2:$BQ$250,173,0)</f>
        <v>0</v>
      </c>
      <c r="CH5" s="106">
        <f>+HLOOKUP($C5,'NEW CAR'!$BE$2:$BQ$250,174,0)</f>
        <v>0</v>
      </c>
      <c r="CI5" s="106">
        <f>+HLOOKUP($C5,'NEW CAR'!$BE$2:$BQ$250,175,0)</f>
        <v>0</v>
      </c>
      <c r="CJ5" s="106">
        <f>+HLOOKUP($C5,'NEW CAR'!$BE$2:$BQ$250,176,0)</f>
        <v>107313.36000000002</v>
      </c>
      <c r="CK5" s="106">
        <f>+HLOOKUP($C5,'NEW CAR'!$BE$2:$BQ$250,178,0)</f>
        <v>193714</v>
      </c>
      <c r="CL5" s="106">
        <f>+HLOOKUP($C5,'NEW CAR'!$BE$2:$BQ$250,179,0)</f>
        <v>0</v>
      </c>
      <c r="CM5" s="106">
        <f>+HLOOKUP($C5,'NEW CAR'!$BE$2:$BQ$250,180,0)</f>
        <v>626</v>
      </c>
      <c r="CN5" s="106">
        <f>+HLOOKUP($C5,'NEW CAR'!$BE$2:$BQ$250,182,0)</f>
        <v>2030.4</v>
      </c>
      <c r="CO5" s="106">
        <f>+HLOOKUP($C5,'NEW CAR'!$BE$2:$BQ$250,183,0)</f>
        <v>23696.400000000001</v>
      </c>
      <c r="CP5" s="106">
        <f>+HLOOKUP($C5,'NEW CAR'!$BE$2:$BQ$250,184,0)</f>
        <v>28774.400000000001</v>
      </c>
      <c r="CQ5" s="106">
        <f>+HLOOKUP($C5,'NEW CAR'!$BE$2:$BQ$250,185,0)</f>
        <v>0</v>
      </c>
      <c r="CR5" s="106">
        <f>+HLOOKUP($C5,'NEW CAR'!$BE$2:$BQ$250,187,0)</f>
        <v>8332.8000000000011</v>
      </c>
      <c r="CS5" s="106">
        <f>+HLOOKUP($C5,'NEW CAR'!$BE$2:$BQ$250,188,0)</f>
        <v>15000</v>
      </c>
      <c r="CT5" s="106">
        <f>+HLOOKUP($C5,'NEW CAR'!$BE$2:$BQ$250,189,0)</f>
        <v>0</v>
      </c>
      <c r="CU5" s="106">
        <f>+HLOOKUP($C5,'NEW CAR'!$BE$2:$BQ$250,190,0)</f>
        <v>0</v>
      </c>
      <c r="CV5" s="106">
        <f>+HLOOKUP($C5,'NEW CAR'!$BE$2:$BQ$250,191,0)</f>
        <v>0</v>
      </c>
      <c r="CW5" s="106">
        <f>+HLOOKUP($C5,'NEW CAR'!$BE$2:$BQ$250,193,0)</f>
        <v>11883</v>
      </c>
      <c r="CX5" s="106">
        <f>+HLOOKUP($C5,'NEW CAR'!$BE$2:$BQ$250,194,0)</f>
        <v>1048.8000000000002</v>
      </c>
      <c r="CY5" s="106">
        <f>+HLOOKUP($C5,'NEW CAR'!$BE$2:$BQ$250,195,0)</f>
        <v>141.6</v>
      </c>
      <c r="CZ5" s="106">
        <f>+HLOOKUP($C5,'NEW CAR'!$BE$2:$BQ$250,196,0)</f>
        <v>0</v>
      </c>
      <c r="DA5" s="106">
        <f>+HLOOKUP($C5,'NEW CAR'!$BE$2:$BQ$250,197,0)</f>
        <v>23187</v>
      </c>
      <c r="DB5" s="106">
        <f>+HLOOKUP($C5,'NEW CAR'!$BE$2:$BQ$250,198,0)</f>
        <v>8302.5400000000009</v>
      </c>
      <c r="DC5" s="106">
        <f>+HLOOKUP($C5,'NEW CAR'!$BE$2:$BQ$250,199,0)</f>
        <v>3243</v>
      </c>
      <c r="DD5" s="106">
        <f>+HLOOKUP($C5,'NEW CAR'!$BE$2:$BQ$250,200,0)</f>
        <v>0</v>
      </c>
      <c r="DE5" s="106">
        <f>+HLOOKUP($C5,'NEW CAR'!$BE$2:$BQ$250,201,0)</f>
        <v>0</v>
      </c>
      <c r="DF5" s="106">
        <f>+HLOOKUP($C5,'NEW CAR'!$BE$2:$BQ$250,202,0)</f>
        <v>-1.1320000000000001</v>
      </c>
      <c r="DG5" s="106">
        <f>+HLOOKUP($C5,'NEW CAR'!$BE$2:$BQ$250,203,0)</f>
        <v>-26.400000000000002</v>
      </c>
      <c r="DH5" s="106">
        <f>+HLOOKUP($C5,'NEW CAR'!$BE$2:$BQ$250,205,0)</f>
        <v>131237</v>
      </c>
      <c r="DI5" s="106">
        <f>+HLOOKUP($C5,'NEW CAR'!$BE$2:$BQ$250,206,0)</f>
        <v>41629</v>
      </c>
      <c r="DJ5" s="106">
        <f>+HLOOKUP($C5,'NEW CAR'!$BE$2:$BQ$250,207,0)</f>
        <v>2576.3879999999999</v>
      </c>
      <c r="DK5" s="106">
        <f>+HLOOKUP($C5,'NEW CAR'!$BE$2:$BQ$250,209,0)</f>
        <v>0</v>
      </c>
      <c r="DL5" s="106">
        <f>+HLOOKUP($C5,'NEW CAR'!$BE$2:$BQ$250,210,0)</f>
        <v>0</v>
      </c>
      <c r="DM5" s="106">
        <f>+HLOOKUP($C5,'NEW CAR'!$BE$2:$BQ$250,211,0)</f>
        <v>87450.31</v>
      </c>
      <c r="DN5" s="106">
        <f>+HLOOKUP($C5,'NEW CAR'!$BE$2:$BQ$250,212,0)</f>
        <v>73287</v>
      </c>
      <c r="DO5" s="106">
        <f>+HLOOKUP($C5,'NEW CAR'!$BE$2:$BQ$250,214,0)</f>
        <v>0</v>
      </c>
      <c r="DP5" s="106">
        <f>+HLOOKUP($C5,'NEW CAR'!$BE$2:$BQ$250,215,0)</f>
        <v>2500</v>
      </c>
      <c r="DQ5" s="106">
        <f>+HLOOKUP($C5,'NEW CAR'!$BE$2:$BQ$250,219,0)</f>
        <v>114109.58904109587</v>
      </c>
      <c r="DR5" s="106">
        <f>+HLOOKUP($C5,'NEW CAR'!$BE$2:$BQ$250,220,0)</f>
        <v>180147.6</v>
      </c>
      <c r="DS5" s="106">
        <f>+HLOOKUP($C5,'NEW CAR'!$BE$2:$BQ$250,221,0)</f>
        <v>324450.55800000002</v>
      </c>
      <c r="DT5" s="106">
        <f>+HLOOKUP($C5,'NEW CAR'!$BE$2:$BQ$250,223,0)</f>
        <v>41820.064000000006</v>
      </c>
      <c r="DU5" s="106">
        <f>+HLOOKUP($C5,'NEW CAR'!$BE$2:$BQ$250,224,0)</f>
        <v>0</v>
      </c>
      <c r="DV5" s="106">
        <f>+HLOOKUP($C5,'NEW CAR'!$BE$2:$BQ$250,225,0)</f>
        <v>0</v>
      </c>
      <c r="DW5" s="106">
        <f>+HLOOKUP($C5,'NEW CAR'!$BE$2:$BQ$250,227,0)</f>
        <v>0</v>
      </c>
      <c r="DX5" s="106">
        <f>+HLOOKUP($C5,'NEW CAR'!$BE$2:$BQ$250,228,0)</f>
        <v>659.6</v>
      </c>
      <c r="DY5" s="106">
        <f>+HLOOKUP($C5,'NEW CAR'!$BE$2:$BQ$250,236,0)</f>
        <v>0</v>
      </c>
      <c r="DZ5" s="106">
        <f>+HLOOKUP($C5,'NEW CAR'!$BE$2:$BQ$250,237,0)</f>
        <v>114395.11460000002</v>
      </c>
      <c r="EA5" s="106">
        <f>+HLOOKUP($C5,'NEW CAR'!$BE$2:$BQ$250,238,0)</f>
        <v>0</v>
      </c>
      <c r="EB5" s="106">
        <f>+HLOOKUP($C5,'NEW CAR'!$BE$2:$BQ$250,240,0)</f>
        <v>952163.96462113166</v>
      </c>
    </row>
    <row r="6" spans="1:133">
      <c r="A6" t="s">
        <v>269</v>
      </c>
      <c r="B6" t="s">
        <v>270</v>
      </c>
      <c r="C6" s="117">
        <v>45870</v>
      </c>
      <c r="D6" s="106">
        <f>+HLOOKUP(C6,'NEW CAR'!$BE$2:$BQ$250,6,0)/3.5%</f>
        <v>59558857.142857134</v>
      </c>
      <c r="E6" s="106">
        <f>+HLOOKUP(C6,'NEW CAR'!$BE$2:$BQ$250,5,0)+HLOOKUP(C6,'NEW CAR'!$BE$2:$BQ$250,26,0)+HLOOKUP(C6,'NEW CAR'!$BE$2:$BQ$250,59,0)</f>
        <v>3194632.4679999999</v>
      </c>
      <c r="G6" s="106">
        <f>+HLOOKUP($C6,'NEW CAR'!$BE$2:$BQ$250,76,0)</f>
        <v>188124</v>
      </c>
      <c r="H6" s="106">
        <f>+HLOOKUP($C6,'NEW CAR'!$BE$2:$BQ$250,77,0)</f>
        <v>190871.83</v>
      </c>
      <c r="I6" s="106">
        <f>+HLOOKUP($C6,'NEW CAR'!$BE$2:$BQ$250,78,0)</f>
        <v>0</v>
      </c>
      <c r="J6" s="106">
        <f>+HLOOKUP($C6,'NEW CAR'!$BE$2:$BQ$250,79,0)</f>
        <v>91194.4</v>
      </c>
      <c r="K6" s="106">
        <f>+HLOOKUP($C6,'NEW CAR'!$BE$2:$BQ$250,80,0)</f>
        <v>0</v>
      </c>
      <c r="L6" s="106">
        <f>+HLOOKUP($C6,'NEW CAR'!$BE$2:$BQ$250,81,0)</f>
        <v>0</v>
      </c>
      <c r="M6" s="106">
        <f>+HLOOKUP($C6,'NEW CAR'!$BE$2:$BQ$250,82,0)</f>
        <v>0</v>
      </c>
      <c r="N6" s="106">
        <f>+HLOOKUP($C6,'NEW CAR'!$BE$2:$BQ$250,83,0)</f>
        <v>6348</v>
      </c>
      <c r="O6" s="106">
        <f>+HLOOKUP($C6,'NEW CAR'!$BE$2:$BQ$250,84,0)</f>
        <v>0</v>
      </c>
      <c r="P6" s="106">
        <f>+HLOOKUP($C6,'NEW CAR'!$BE$2:$BQ$250,85,0)</f>
        <v>0</v>
      </c>
      <c r="Q6" s="106">
        <f>+HLOOKUP($C6,'NEW CAR'!$BE$2:$BQ$250,87,0)</f>
        <v>660951</v>
      </c>
      <c r="R6" s="106">
        <f>+HLOOKUP($C6,'NEW CAR'!$BE$2:$BQ$250,90,0)</f>
        <v>6500</v>
      </c>
      <c r="S6" s="106">
        <f>+HLOOKUP($C6,'NEW CAR'!$BE$2:$BQ$250,91,0)</f>
        <v>0</v>
      </c>
      <c r="T6" s="106">
        <f>+HLOOKUP($C6,'NEW CAR'!$BE$2:$BQ$250,92,0)</f>
        <v>195036.57200000001</v>
      </c>
      <c r="U6" s="106">
        <f>+HLOOKUP($C6,'NEW CAR'!$BE$2:$BQ$250,93,0)</f>
        <v>13000</v>
      </c>
      <c r="V6" s="106">
        <f>+HLOOKUP($C6,'NEW CAR'!$BE$2:$BQ$250,94,0)</f>
        <v>0</v>
      </c>
      <c r="W6" s="106">
        <f>+HLOOKUP($C6,'NEW CAR'!$BE$2:$BQ$250,95,0)</f>
        <v>66226.100000000006</v>
      </c>
      <c r="X6" s="106">
        <f>+HLOOKUP($C6,'NEW CAR'!$BE$2:$BQ$250,96,0)</f>
        <v>111167.26</v>
      </c>
      <c r="Y6" s="106">
        <f>+HLOOKUP($C6,'NEW CAR'!$BE$2:$BQ$250,97,0)</f>
        <v>147115.34999999998</v>
      </c>
      <c r="Z6" s="106">
        <f>+HLOOKUP($C6,'NEW CAR'!$BE$2:$BQ$250,98,0)</f>
        <v>0</v>
      </c>
      <c r="AA6" s="106">
        <f>+HLOOKUP($C6,'NEW CAR'!$BE$2:$BQ$250,99,0)</f>
        <v>0</v>
      </c>
      <c r="AB6" s="106">
        <f>+HLOOKUP($C6,'NEW CAR'!$BE$2:$BQ$250,100,0)</f>
        <v>173064.24</v>
      </c>
      <c r="AC6" s="106">
        <f>+HLOOKUP($C6,'NEW CAR'!$BE$2:$BQ$250,101,0)</f>
        <v>14736</v>
      </c>
      <c r="AD6" s="106">
        <f>+HLOOKUP($C6,'NEW CAR'!$BE$2:$BQ$250,104,0)</f>
        <v>0</v>
      </c>
      <c r="AE6" s="106">
        <f>+HLOOKUP($C6,'NEW CAR'!$BE$2:$BQ$250,105,0)</f>
        <v>348955.02600000001</v>
      </c>
      <c r="AF6" s="106">
        <f>+HLOOKUP($C6,'NEW CAR'!$BE$2:$BQ$250,106,0)</f>
        <v>0</v>
      </c>
      <c r="AG6" s="106">
        <f>+HLOOKUP($C6,'NEW CAR'!$BE$2:$BQ$250,107,0)</f>
        <v>0</v>
      </c>
      <c r="AH6" s="106">
        <f>+HLOOKUP($C6,'NEW CAR'!$BE$2:$BQ$250,108,0)</f>
        <v>30314</v>
      </c>
      <c r="AI6" s="106">
        <f>+HLOOKUP($C6,'NEW CAR'!$BE$2:$BQ$250,109,0)</f>
        <v>238753.6</v>
      </c>
      <c r="AJ6" s="106">
        <f>+HLOOKUP($C6,'NEW CAR'!$BE$2:$BQ$250,110,0)</f>
        <v>0</v>
      </c>
      <c r="AK6" s="106">
        <f>+HLOOKUP($C6,'NEW CAR'!$BE$2:$BQ$250,111,0)</f>
        <v>0</v>
      </c>
      <c r="AL6" s="106">
        <f>+HLOOKUP($C6,'NEW CAR'!$BE$2:$BQ$250,112,0)</f>
        <v>0</v>
      </c>
      <c r="AM6" s="106">
        <f>+HLOOKUP($C6,'NEW CAR'!$BE$2:$BQ$250,116,0)</f>
        <v>921303</v>
      </c>
      <c r="AN6" s="106">
        <f>+HLOOKUP($C6,'NEW CAR'!$BE$2:$BQ$250,117,0)</f>
        <v>128846</v>
      </c>
      <c r="AO6" s="106">
        <f>+HLOOKUP($C6,'NEW CAR'!$BE$2:$BQ$250,118,0)</f>
        <v>31500</v>
      </c>
      <c r="AP6" s="106">
        <f>+HLOOKUP($C6,'NEW CAR'!$BE$2:$BQ$250,119,0)</f>
        <v>305272</v>
      </c>
      <c r="AQ6" s="106">
        <f>+HLOOKUP($C6,'NEW CAR'!$BE$2:$BQ$250,120,0)</f>
        <v>80431</v>
      </c>
      <c r="AR6" s="106">
        <f>+HLOOKUP($C6,'NEW CAR'!$BE$2:$BQ$250,121,0)</f>
        <v>38897</v>
      </c>
      <c r="AS6" s="106">
        <f>+HLOOKUP($C6,'NEW CAR'!$BE$2:$BQ$250,122,0)</f>
        <v>518198</v>
      </c>
      <c r="AT6" s="106">
        <f>+HLOOKUP($C6,'NEW CAR'!$BE$2:$BQ$250,123,0)</f>
        <v>107556.71915625001</v>
      </c>
      <c r="AU6" s="106">
        <f>+HLOOKUP($C6,'NEW CAR'!$BE$2:$BQ$250,124,0)</f>
        <v>4821.25</v>
      </c>
      <c r="AV6" s="106">
        <f>+HLOOKUP($C6,'NEW CAR'!$BE$2:$BQ$250,125,0)</f>
        <v>190713.12</v>
      </c>
      <c r="AW6" s="106">
        <f>+HLOOKUP($C6,'NEW CAR'!$BE$2:$BQ$250,126,0)</f>
        <v>54057.692307692305</v>
      </c>
      <c r="AX6" s="106">
        <f>+HLOOKUP($C6,'NEW CAR'!$BE$2:$BQ$250,127,0)</f>
        <v>60583.333333333343</v>
      </c>
      <c r="AY6" s="106">
        <f>+HLOOKUP($C6,'NEW CAR'!$BE$2:$BQ$250,129,0)</f>
        <v>37711.800000000003</v>
      </c>
      <c r="AZ6" s="106">
        <f>+HLOOKUP($C6,'NEW CAR'!$BE$2:$BQ$250,130,0)</f>
        <v>0</v>
      </c>
      <c r="BA6" s="106">
        <f>+HLOOKUP($C6,'NEW CAR'!$BE$2:$BQ$250,131,0)</f>
        <v>0</v>
      </c>
      <c r="BB6" s="106">
        <f>+HLOOKUP($C6,'NEW CAR'!$BE$2:$BQ$250,133,0)</f>
        <v>0</v>
      </c>
      <c r="BC6" s="106">
        <f>+HLOOKUP($C6,'NEW CAR'!$BE$2:$BQ$250,134,0)</f>
        <v>189304.81999999998</v>
      </c>
      <c r="BD6" s="106">
        <f>+HLOOKUP($C6,'NEW CAR'!$BE$2:$BQ$250,135,0)</f>
        <v>0</v>
      </c>
      <c r="BE6" s="106">
        <f>+HLOOKUP($C6,'NEW CAR'!$BE$2:$BQ$250,136,0)</f>
        <v>0</v>
      </c>
      <c r="BF6" s="106">
        <f>+HLOOKUP($C6,'NEW CAR'!$BE$2:$BQ$250,138,0)</f>
        <v>24906</v>
      </c>
      <c r="BG6" s="106">
        <f>+HLOOKUP($C6,'NEW CAR'!$BE$2:$BQ$250,139,0)</f>
        <v>8598</v>
      </c>
      <c r="BH6" s="106">
        <f>+HLOOKUP($C6,'NEW CAR'!$BE$2:$BQ$250,140,0)</f>
        <v>0</v>
      </c>
      <c r="BI6" s="106">
        <f>+HLOOKUP($C6,'NEW CAR'!$BE$2:$BQ$250,141,0)</f>
        <v>0</v>
      </c>
      <c r="BJ6" s="106">
        <f>+HLOOKUP($C6,'NEW CAR'!$BE$2:$BQ$250,142,0)</f>
        <v>0</v>
      </c>
      <c r="BK6" s="106">
        <f>+HLOOKUP($C6,'NEW CAR'!$BE$2:$BQ$250,143,0)</f>
        <v>0</v>
      </c>
      <c r="BL6" s="106">
        <f>+HLOOKUP($C6,'NEW CAR'!$BE$2:$BQ$250,144,0)</f>
        <v>0</v>
      </c>
      <c r="BM6" s="106">
        <f>+HLOOKUP($C6,'NEW CAR'!$BE$2:$BQ$250,146,0)</f>
        <v>0</v>
      </c>
      <c r="BN6" s="106">
        <f>+HLOOKUP($C6,'NEW CAR'!$BE$2:$BQ$250,147,0)</f>
        <v>74914</v>
      </c>
      <c r="BO6" s="106">
        <f>+HLOOKUP($C6,'NEW CAR'!$BE$2:$BQ$250,148,0)</f>
        <v>0</v>
      </c>
      <c r="BP6" s="106">
        <f>+HLOOKUP($C6,'NEW CAR'!$BE$2:$BQ$250,150,0)</f>
        <v>70928</v>
      </c>
      <c r="BQ6" s="106">
        <f>+HLOOKUP($C6,'NEW CAR'!$BE$2:$BQ$250,151,0)</f>
        <v>9922</v>
      </c>
      <c r="BR6" s="106">
        <f>+HLOOKUP($C6,'NEW CAR'!$BE$2:$BQ$250,152,0)</f>
        <v>71000</v>
      </c>
      <c r="BS6" s="106">
        <f>+HLOOKUP($C6,'NEW CAR'!$BE$2:$BQ$250,153,0)</f>
        <v>600</v>
      </c>
      <c r="BT6" s="106">
        <f>+HLOOKUP($C6,'NEW CAR'!$BE$2:$BQ$250,157,0)</f>
        <v>0</v>
      </c>
      <c r="BU6" s="106">
        <f>+HLOOKUP($C6,'NEW CAR'!$BE$2:$BQ$250,158,0)</f>
        <v>5550</v>
      </c>
      <c r="BV6" s="106">
        <f>+HLOOKUP($C6,'NEW CAR'!$BE$2:$BQ$250,159,0)</f>
        <v>3090.73</v>
      </c>
      <c r="BW6" s="106">
        <f>+HLOOKUP($C6,'NEW CAR'!$BE$2:$BQ$250,160,0)</f>
        <v>9055.3119999999999</v>
      </c>
      <c r="BX6" s="106">
        <f>+HLOOKUP($C6,'NEW CAR'!$BE$2:$BQ$250,161,0)</f>
        <v>56140</v>
      </c>
      <c r="BY6" s="106">
        <f>+HLOOKUP($C6,'NEW CAR'!$BE$2:$BQ$250,164,0)</f>
        <v>35920.6</v>
      </c>
      <c r="BZ6" s="106">
        <f>+HLOOKUP($C6,'NEW CAR'!$BE$2:$BQ$250,165,0)</f>
        <v>0</v>
      </c>
      <c r="CA6" s="106">
        <f>+HLOOKUP($C6,'NEW CAR'!$BE$2:$BQ$250,166,0)</f>
        <v>0</v>
      </c>
      <c r="CB6" s="106">
        <f>+HLOOKUP($C6,'NEW CAR'!$BE$2:$BQ$250,167,0)</f>
        <v>0</v>
      </c>
      <c r="CC6" s="106">
        <f>+HLOOKUP($C6,'NEW CAR'!$BE$2:$BQ$250,168,0)</f>
        <v>0</v>
      </c>
      <c r="CD6" s="106">
        <f>+HLOOKUP($C6,'NEW CAR'!$BE$2:$BQ$250,169,0)</f>
        <v>1015.63</v>
      </c>
      <c r="CE6" s="106">
        <f>+HLOOKUP($C6,'NEW CAR'!$BE$2:$BQ$250,170,0)</f>
        <v>0</v>
      </c>
      <c r="CF6" s="106">
        <f>+HLOOKUP($C6,'NEW CAR'!$BE$2:$BQ$250,172,0)</f>
        <v>20150</v>
      </c>
      <c r="CG6" s="106">
        <f>+HLOOKUP($C6,'NEW CAR'!$BE$2:$BQ$250,173,0)</f>
        <v>0</v>
      </c>
      <c r="CH6" s="106">
        <f>+HLOOKUP($C6,'NEW CAR'!$BE$2:$BQ$250,174,0)</f>
        <v>0</v>
      </c>
      <c r="CI6" s="106">
        <f>+HLOOKUP($C6,'NEW CAR'!$BE$2:$BQ$250,175,0)</f>
        <v>0</v>
      </c>
      <c r="CJ6" s="106">
        <f>+HLOOKUP($C6,'NEW CAR'!$BE$2:$BQ$250,176,0)</f>
        <v>33762.437999999995</v>
      </c>
      <c r="CK6" s="106">
        <f>+HLOOKUP($C6,'NEW CAR'!$BE$2:$BQ$250,178,0)</f>
        <v>190878</v>
      </c>
      <c r="CL6" s="106">
        <f>+HLOOKUP($C6,'NEW CAR'!$BE$2:$BQ$250,179,0)</f>
        <v>0</v>
      </c>
      <c r="CM6" s="106">
        <f>+HLOOKUP($C6,'NEW CAR'!$BE$2:$BQ$250,180,0)</f>
        <v>0</v>
      </c>
      <c r="CN6" s="106">
        <f>+HLOOKUP($C6,'NEW CAR'!$BE$2:$BQ$250,182,0)</f>
        <v>2030.5320000000002</v>
      </c>
      <c r="CO6" s="106">
        <f>+HLOOKUP($C6,'NEW CAR'!$BE$2:$BQ$250,183,0)</f>
        <v>24209.200000000001</v>
      </c>
      <c r="CP6" s="106">
        <f>+HLOOKUP($C6,'NEW CAR'!$BE$2:$BQ$250,184,0)</f>
        <v>5875.6</v>
      </c>
      <c r="CQ6" s="106">
        <f>+HLOOKUP($C6,'NEW CAR'!$BE$2:$BQ$250,185,0)</f>
        <v>0</v>
      </c>
      <c r="CR6" s="106">
        <f>+HLOOKUP($C6,'NEW CAR'!$BE$2:$BQ$250,187,0)</f>
        <v>8332.8000000000011</v>
      </c>
      <c r="CS6" s="106">
        <f>+HLOOKUP($C6,'NEW CAR'!$BE$2:$BQ$250,188,0)</f>
        <v>18000</v>
      </c>
      <c r="CT6" s="106">
        <f>+HLOOKUP($C6,'NEW CAR'!$BE$2:$BQ$250,189,0)</f>
        <v>0</v>
      </c>
      <c r="CU6" s="106">
        <f>+HLOOKUP($C6,'NEW CAR'!$BE$2:$BQ$250,190,0)</f>
        <v>20000</v>
      </c>
      <c r="CV6" s="106">
        <f>+HLOOKUP($C6,'NEW CAR'!$BE$2:$BQ$250,191,0)</f>
        <v>0</v>
      </c>
      <c r="CW6" s="106">
        <f>+HLOOKUP($C6,'NEW CAR'!$BE$2:$BQ$250,193,0)</f>
        <v>11883</v>
      </c>
      <c r="CX6" s="106">
        <f>+HLOOKUP($C6,'NEW CAR'!$BE$2:$BQ$250,194,0)</f>
        <v>939.2</v>
      </c>
      <c r="CY6" s="106">
        <f>+HLOOKUP($C6,'NEW CAR'!$BE$2:$BQ$250,195,0)</f>
        <v>0</v>
      </c>
      <c r="CZ6" s="106">
        <f>+HLOOKUP($C6,'NEW CAR'!$BE$2:$BQ$250,196,0)</f>
        <v>0</v>
      </c>
      <c r="DA6" s="106">
        <f>+HLOOKUP($C6,'NEW CAR'!$BE$2:$BQ$250,197,0)</f>
        <v>39395</v>
      </c>
      <c r="DB6" s="106">
        <f>+HLOOKUP($C6,'NEW CAR'!$BE$2:$BQ$250,198,0)</f>
        <v>18470.379999999997</v>
      </c>
      <c r="DC6" s="106">
        <f>+HLOOKUP($C6,'NEW CAR'!$BE$2:$BQ$250,199,0)</f>
        <v>338.98</v>
      </c>
      <c r="DD6" s="106">
        <f>+HLOOKUP($C6,'NEW CAR'!$BE$2:$BQ$250,200,0)</f>
        <v>800</v>
      </c>
      <c r="DE6" s="106">
        <f>+HLOOKUP($C6,'NEW CAR'!$BE$2:$BQ$250,201,0)</f>
        <v>0</v>
      </c>
      <c r="DF6" s="106">
        <f>+HLOOKUP($C6,'NEW CAR'!$BE$2:$BQ$250,202,0)</f>
        <v>4.7679999999999998</v>
      </c>
      <c r="DG6" s="106">
        <f>+HLOOKUP($C6,'NEW CAR'!$BE$2:$BQ$250,203,0)</f>
        <v>-11.444000000000001</v>
      </c>
      <c r="DH6" s="106">
        <f>+HLOOKUP($C6,'NEW CAR'!$BE$2:$BQ$250,205,0)</f>
        <v>113954</v>
      </c>
      <c r="DI6" s="106">
        <f>+HLOOKUP($C6,'NEW CAR'!$BE$2:$BQ$250,206,0)</f>
        <v>41629</v>
      </c>
      <c r="DJ6" s="106">
        <f>+HLOOKUP($C6,'NEW CAR'!$BE$2:$BQ$250,207,0)</f>
        <v>2610.503999999999</v>
      </c>
      <c r="DK6" s="106">
        <f>+HLOOKUP($C6,'NEW CAR'!$BE$2:$BQ$250,209,0)</f>
        <v>0</v>
      </c>
      <c r="DL6" s="106">
        <f>+HLOOKUP($C6,'NEW CAR'!$BE$2:$BQ$250,210,0)</f>
        <v>0</v>
      </c>
      <c r="DM6" s="106">
        <f>+HLOOKUP($C6,'NEW CAR'!$BE$2:$BQ$250,211,0)</f>
        <v>87450.31</v>
      </c>
      <c r="DN6" s="106">
        <f>+HLOOKUP($C6,'NEW CAR'!$BE$2:$BQ$250,212,0)</f>
        <v>73287</v>
      </c>
      <c r="DO6" s="106">
        <f>+HLOOKUP($C6,'NEW CAR'!$BE$2:$BQ$250,214,0)</f>
        <v>0</v>
      </c>
      <c r="DP6" s="106">
        <f>+HLOOKUP($C6,'NEW CAR'!$BE$2:$BQ$250,215,0)</f>
        <v>5200</v>
      </c>
      <c r="DQ6" s="106">
        <f>+HLOOKUP($C6,'NEW CAR'!$BE$2:$BQ$250,219,0)</f>
        <v>193152.32876712299</v>
      </c>
      <c r="DR6" s="106">
        <f>+HLOOKUP($C6,'NEW CAR'!$BE$2:$BQ$250,220,0)</f>
        <v>200164.19999999998</v>
      </c>
      <c r="DS6" s="106">
        <f>+HLOOKUP($C6,'NEW CAR'!$BE$2:$BQ$250,221,0)</f>
        <v>233215.54800000001</v>
      </c>
      <c r="DT6" s="106">
        <f>+HLOOKUP($C6,'NEW CAR'!$BE$2:$BQ$250,223,0)</f>
        <v>54034.956000000006</v>
      </c>
      <c r="DU6" s="106">
        <f>+HLOOKUP($C6,'NEW CAR'!$BE$2:$BQ$250,224,0)</f>
        <v>0</v>
      </c>
      <c r="DV6" s="106">
        <f>+HLOOKUP($C6,'NEW CAR'!$BE$2:$BQ$250,225,0)</f>
        <v>0</v>
      </c>
      <c r="DW6" s="106">
        <f>+HLOOKUP($C6,'NEW CAR'!$BE$2:$BQ$250,227,0)</f>
        <v>0</v>
      </c>
      <c r="DX6" s="106">
        <f>+HLOOKUP($C6,'NEW CAR'!$BE$2:$BQ$250,228,0)</f>
        <v>7458.8</v>
      </c>
      <c r="DY6" s="106">
        <f>+HLOOKUP($C6,'NEW CAR'!$BE$2:$BQ$250,236,0)</f>
        <v>0</v>
      </c>
      <c r="DZ6" s="106">
        <f>+HLOOKUP($C6,'NEW CAR'!$BE$2:$BQ$250,237,0)</f>
        <v>112156.06479999999</v>
      </c>
      <c r="EA6" s="106">
        <f>+HLOOKUP($C6,'NEW CAR'!$BE$2:$BQ$250,238,0)</f>
        <v>0</v>
      </c>
      <c r="EB6" s="106">
        <f>+HLOOKUP($C6,'NEW CAR'!$BE$2:$BQ$250,240,0)</f>
        <v>952163.96462113166</v>
      </c>
    </row>
    <row r="7" spans="1:133">
      <c r="A7" t="s">
        <v>269</v>
      </c>
      <c r="B7" t="s">
        <v>270</v>
      </c>
      <c r="C7" s="117">
        <v>45839</v>
      </c>
      <c r="D7" s="106">
        <f>+HLOOKUP(C7,'NEW CAR'!$BE$2:$BQ$250,6,0)/3.5%</f>
        <v>106715267.42857142</v>
      </c>
      <c r="E7" s="106">
        <f>+HLOOKUP(C7,'NEW CAR'!$BE$2:$BQ$250,5,0)+HLOOKUP(C7,'NEW CAR'!$BE$2:$BQ$250,26,0)+HLOOKUP(C7,'NEW CAR'!$BE$2:$BQ$250,59,0)</f>
        <v>7262634.2510000002</v>
      </c>
      <c r="G7" s="106">
        <f>+HLOOKUP($C7,'NEW CAR'!$BE$2:$BQ$250,76,0)</f>
        <v>237396.44836996339</v>
      </c>
      <c r="H7" s="106">
        <f>+HLOOKUP($C7,'NEW CAR'!$BE$2:$BQ$250,77,0)</f>
        <v>210571.03</v>
      </c>
      <c r="I7" s="106">
        <f>+HLOOKUP($C7,'NEW CAR'!$BE$2:$BQ$250,78,0)</f>
        <v>0</v>
      </c>
      <c r="J7" s="106">
        <f>+HLOOKUP($C7,'NEW CAR'!$BE$2:$BQ$250,79,0)</f>
        <v>151749.70000000001</v>
      </c>
      <c r="K7" s="106">
        <f>+HLOOKUP($C7,'NEW CAR'!$BE$2:$BQ$250,80,0)</f>
        <v>0</v>
      </c>
      <c r="L7" s="106">
        <f>+HLOOKUP($C7,'NEW CAR'!$BE$2:$BQ$250,81,0)</f>
        <v>0</v>
      </c>
      <c r="M7" s="106">
        <f>+HLOOKUP($C7,'NEW CAR'!$BE$2:$BQ$250,82,0)</f>
        <v>0</v>
      </c>
      <c r="N7" s="106">
        <f>+HLOOKUP($C7,'NEW CAR'!$BE$2:$BQ$250,83,0)</f>
        <v>8894.2000000000007</v>
      </c>
      <c r="O7" s="106">
        <f>+HLOOKUP($C7,'NEW CAR'!$BE$2:$BQ$250,84,0)</f>
        <v>0</v>
      </c>
      <c r="P7" s="106">
        <f>+HLOOKUP($C7,'NEW CAR'!$BE$2:$BQ$250,85,0)</f>
        <v>0</v>
      </c>
      <c r="Q7" s="106">
        <f>+HLOOKUP($C7,'NEW CAR'!$BE$2:$BQ$250,87,0)</f>
        <v>153447</v>
      </c>
      <c r="R7" s="106">
        <f>+HLOOKUP($C7,'NEW CAR'!$BE$2:$BQ$250,90,0)</f>
        <v>2400</v>
      </c>
      <c r="S7" s="106">
        <f>+HLOOKUP($C7,'NEW CAR'!$BE$2:$BQ$250,91,0)</f>
        <v>10127.6</v>
      </c>
      <c r="T7" s="106">
        <f>+HLOOKUP($C7,'NEW CAR'!$BE$2:$BQ$250,92,0)</f>
        <v>204986.5</v>
      </c>
      <c r="U7" s="106">
        <f>+HLOOKUP($C7,'NEW CAR'!$BE$2:$BQ$250,93,0)</f>
        <v>6500</v>
      </c>
      <c r="V7" s="106">
        <f>+HLOOKUP($C7,'NEW CAR'!$BE$2:$BQ$250,94,0)</f>
        <v>0</v>
      </c>
      <c r="W7" s="106">
        <f>+HLOOKUP($C7,'NEW CAR'!$BE$2:$BQ$250,95,0)</f>
        <v>98422.881666666668</v>
      </c>
      <c r="X7" s="106">
        <f>+HLOOKUP($C7,'NEW CAR'!$BE$2:$BQ$250,96,0)</f>
        <v>19272.25</v>
      </c>
      <c r="Y7" s="106">
        <f>+HLOOKUP($C7,'NEW CAR'!$BE$2:$BQ$250,97,0)</f>
        <v>86816.55</v>
      </c>
      <c r="Z7" s="106">
        <f>+HLOOKUP($C7,'NEW CAR'!$BE$2:$BQ$250,98,0)</f>
        <v>0</v>
      </c>
      <c r="AA7" s="106">
        <f>+HLOOKUP($C7,'NEW CAR'!$BE$2:$BQ$250,99,0)</f>
        <v>0</v>
      </c>
      <c r="AB7" s="106">
        <f>+HLOOKUP($C7,'NEW CAR'!$BE$2:$BQ$250,100,0)</f>
        <v>157349.5</v>
      </c>
      <c r="AC7" s="106">
        <f>+HLOOKUP($C7,'NEW CAR'!$BE$2:$BQ$250,101,0)</f>
        <v>24721.23</v>
      </c>
      <c r="AD7" s="106">
        <f>+HLOOKUP($C7,'NEW CAR'!$BE$2:$BQ$250,104,0)</f>
        <v>0</v>
      </c>
      <c r="AE7" s="106">
        <f>+HLOOKUP($C7,'NEW CAR'!$BE$2:$BQ$250,105,0)</f>
        <v>172696.584</v>
      </c>
      <c r="AF7" s="106">
        <f>+HLOOKUP($C7,'NEW CAR'!$BE$2:$BQ$250,106,0)</f>
        <v>0</v>
      </c>
      <c r="AG7" s="106">
        <f>+HLOOKUP($C7,'NEW CAR'!$BE$2:$BQ$250,107,0)</f>
        <v>220809</v>
      </c>
      <c r="AH7" s="106">
        <f>+HLOOKUP($C7,'NEW CAR'!$BE$2:$BQ$250,108,0)</f>
        <v>82518</v>
      </c>
      <c r="AI7" s="106">
        <f>+HLOOKUP($C7,'NEW CAR'!$BE$2:$BQ$250,109,0)</f>
        <v>53000</v>
      </c>
      <c r="AJ7" s="106">
        <f>+HLOOKUP($C7,'NEW CAR'!$BE$2:$BQ$250,110,0)</f>
        <v>0</v>
      </c>
      <c r="AK7" s="106">
        <f>+HLOOKUP($C7,'NEW CAR'!$BE$2:$BQ$250,111,0)</f>
        <v>0</v>
      </c>
      <c r="AL7" s="106">
        <f>+HLOOKUP($C7,'NEW CAR'!$BE$2:$BQ$250,112,0)</f>
        <v>0</v>
      </c>
      <c r="AM7" s="106">
        <f>+HLOOKUP($C7,'NEW CAR'!$BE$2:$BQ$250,116,0)</f>
        <v>955400</v>
      </c>
      <c r="AN7" s="106">
        <f>+HLOOKUP($C7,'NEW CAR'!$BE$2:$BQ$250,117,0)</f>
        <v>131875</v>
      </c>
      <c r="AO7" s="106">
        <f>+HLOOKUP($C7,'NEW CAR'!$BE$2:$BQ$250,118,0)</f>
        <v>31500</v>
      </c>
      <c r="AP7" s="106">
        <f>+HLOOKUP($C7,'NEW CAR'!$BE$2:$BQ$250,119,0)</f>
        <v>323400</v>
      </c>
      <c r="AQ7" s="106">
        <f>+HLOOKUP($C7,'NEW CAR'!$BE$2:$BQ$250,120,0)</f>
        <v>83850</v>
      </c>
      <c r="AR7" s="106">
        <f>+HLOOKUP($C7,'NEW CAR'!$BE$2:$BQ$250,121,0)</f>
        <v>40300</v>
      </c>
      <c r="AS7" s="106">
        <f>+HLOOKUP($C7,'NEW CAR'!$BE$2:$BQ$250,122,0)</f>
        <v>529475</v>
      </c>
      <c r="AT7" s="106">
        <f>+HLOOKUP($C7,'NEW CAR'!$BE$2:$BQ$250,123,0)</f>
        <v>107556.71915625001</v>
      </c>
      <c r="AU7" s="106">
        <f>+HLOOKUP($C7,'NEW CAR'!$BE$2:$BQ$250,124,0)</f>
        <v>4821.25</v>
      </c>
      <c r="AV7" s="106">
        <f>+HLOOKUP($C7,'NEW CAR'!$BE$2:$BQ$250,125,0)</f>
        <v>244713.12</v>
      </c>
      <c r="AW7" s="106">
        <f>+HLOOKUP($C7,'NEW CAR'!$BE$2:$BQ$250,126,0)</f>
        <v>54057.692307692305</v>
      </c>
      <c r="AX7" s="106">
        <f>+HLOOKUP($C7,'NEW CAR'!$BE$2:$BQ$250,127,0)</f>
        <v>60583.333333333343</v>
      </c>
      <c r="AY7" s="106">
        <f>+HLOOKUP($C7,'NEW CAR'!$BE$2:$BQ$250,129,0)</f>
        <v>265000</v>
      </c>
      <c r="AZ7" s="106">
        <f>+HLOOKUP($C7,'NEW CAR'!$BE$2:$BQ$250,130,0)</f>
        <v>0</v>
      </c>
      <c r="BA7" s="106">
        <f>+HLOOKUP($C7,'NEW CAR'!$BE$2:$BQ$250,131,0)</f>
        <v>63889.2</v>
      </c>
      <c r="BB7" s="106">
        <f>+HLOOKUP($C7,'NEW CAR'!$BE$2:$BQ$250,133,0)</f>
        <v>0</v>
      </c>
      <c r="BC7" s="106">
        <f>+HLOOKUP($C7,'NEW CAR'!$BE$2:$BQ$250,134,0)</f>
        <v>-1485.0199999999932</v>
      </c>
      <c r="BD7" s="106">
        <f>+HLOOKUP($C7,'NEW CAR'!$BE$2:$BQ$250,135,0)</f>
        <v>0</v>
      </c>
      <c r="BE7" s="106">
        <f>+HLOOKUP($C7,'NEW CAR'!$BE$2:$BQ$250,136,0)</f>
        <v>182932.70800000001</v>
      </c>
      <c r="BF7" s="106">
        <f>+HLOOKUP($C7,'NEW CAR'!$BE$2:$BQ$250,138,0)</f>
        <v>26166.136073059359</v>
      </c>
      <c r="BG7" s="106">
        <f>+HLOOKUP($C7,'NEW CAR'!$BE$2:$BQ$250,139,0)</f>
        <v>7292</v>
      </c>
      <c r="BH7" s="106">
        <f>+HLOOKUP($C7,'NEW CAR'!$BE$2:$BQ$250,140,0)</f>
        <v>0</v>
      </c>
      <c r="BI7" s="106">
        <f>+HLOOKUP($C7,'NEW CAR'!$BE$2:$BQ$250,141,0)</f>
        <v>6761.88</v>
      </c>
      <c r="BJ7" s="106">
        <f>+HLOOKUP($C7,'NEW CAR'!$BE$2:$BQ$250,142,0)</f>
        <v>0</v>
      </c>
      <c r="BK7" s="106">
        <f>+HLOOKUP($C7,'NEW CAR'!$BE$2:$BQ$250,143,0)</f>
        <v>0</v>
      </c>
      <c r="BL7" s="106">
        <f>+HLOOKUP($C7,'NEW CAR'!$BE$2:$BQ$250,144,0)</f>
        <v>0</v>
      </c>
      <c r="BM7" s="106">
        <f>+HLOOKUP($C7,'NEW CAR'!$BE$2:$BQ$250,146,0)</f>
        <v>0</v>
      </c>
      <c r="BN7" s="106">
        <f>+HLOOKUP($C7,'NEW CAR'!$BE$2:$BQ$250,147,0)</f>
        <v>85276</v>
      </c>
      <c r="BO7" s="106">
        <f>+HLOOKUP($C7,'NEW CAR'!$BE$2:$BQ$250,148,0)</f>
        <v>0</v>
      </c>
      <c r="BP7" s="106">
        <f>+HLOOKUP($C7,'NEW CAR'!$BE$2:$BQ$250,150,0)</f>
        <v>58761</v>
      </c>
      <c r="BQ7" s="106">
        <f>+HLOOKUP($C7,'NEW CAR'!$BE$2:$BQ$250,151,0)</f>
        <v>9922</v>
      </c>
      <c r="BR7" s="106">
        <f>+HLOOKUP($C7,'NEW CAR'!$BE$2:$BQ$250,152,0)</f>
        <v>71000</v>
      </c>
      <c r="BS7" s="106">
        <f>+HLOOKUP($C7,'NEW CAR'!$BE$2:$BQ$250,153,0)</f>
        <v>600</v>
      </c>
      <c r="BT7" s="106">
        <f>+HLOOKUP($C7,'NEW CAR'!$BE$2:$BQ$250,157,0)</f>
        <v>0</v>
      </c>
      <c r="BU7" s="106">
        <f>+HLOOKUP($C7,'NEW CAR'!$BE$2:$BQ$250,158,0)</f>
        <v>0</v>
      </c>
      <c r="BV7" s="106">
        <f>+HLOOKUP($C7,'NEW CAR'!$BE$2:$BQ$250,159,0)</f>
        <v>4161.6322222222216</v>
      </c>
      <c r="BW7" s="106">
        <f>+HLOOKUP($C7,'NEW CAR'!$BE$2:$BQ$250,160,0)</f>
        <v>300</v>
      </c>
      <c r="BX7" s="106">
        <f>+HLOOKUP($C7,'NEW CAR'!$BE$2:$BQ$250,161,0)</f>
        <v>15764.74666666667</v>
      </c>
      <c r="BY7" s="106">
        <f>+HLOOKUP($C7,'NEW CAR'!$BE$2:$BQ$250,164,0)</f>
        <v>36806.300000000003</v>
      </c>
      <c r="BZ7" s="106">
        <f>+HLOOKUP($C7,'NEW CAR'!$BE$2:$BQ$250,165,0)</f>
        <v>0</v>
      </c>
      <c r="CA7" s="106">
        <f>+HLOOKUP($C7,'NEW CAR'!$BE$2:$BQ$250,166,0)</f>
        <v>0</v>
      </c>
      <c r="CB7" s="106">
        <f>+HLOOKUP($C7,'NEW CAR'!$BE$2:$BQ$250,167,0)</f>
        <v>0</v>
      </c>
      <c r="CC7" s="106">
        <f>+HLOOKUP($C7,'NEW CAR'!$BE$2:$BQ$250,168,0)</f>
        <v>0</v>
      </c>
      <c r="CD7" s="106">
        <f>+HLOOKUP($C7,'NEW CAR'!$BE$2:$BQ$250,169,0)</f>
        <v>3753.4120000000003</v>
      </c>
      <c r="CE7" s="106">
        <f>+HLOOKUP($C7,'NEW CAR'!$BE$2:$BQ$250,170,0)</f>
        <v>0</v>
      </c>
      <c r="CF7" s="106">
        <f>+HLOOKUP($C7,'NEW CAR'!$BE$2:$BQ$250,172,0)</f>
        <v>20150</v>
      </c>
      <c r="CG7" s="106">
        <f>+HLOOKUP($C7,'NEW CAR'!$BE$2:$BQ$250,173,0)</f>
        <v>0</v>
      </c>
      <c r="CH7" s="106">
        <f>+HLOOKUP($C7,'NEW CAR'!$BE$2:$BQ$250,174,0)</f>
        <v>0</v>
      </c>
      <c r="CI7" s="106">
        <f>+HLOOKUP($C7,'NEW CAR'!$BE$2:$BQ$250,175,0)</f>
        <v>0</v>
      </c>
      <c r="CJ7" s="106">
        <f>+HLOOKUP($C7,'NEW CAR'!$BE$2:$BQ$250,176,0)</f>
        <v>22277.743999999999</v>
      </c>
      <c r="CK7" s="106">
        <f>+HLOOKUP($C7,'NEW CAR'!$BE$2:$BQ$250,178,0)</f>
        <v>174547.78</v>
      </c>
      <c r="CL7" s="106">
        <f>+HLOOKUP($C7,'NEW CAR'!$BE$2:$BQ$250,179,0)</f>
        <v>0</v>
      </c>
      <c r="CM7" s="106">
        <f>+HLOOKUP($C7,'NEW CAR'!$BE$2:$BQ$250,180,0)</f>
        <v>1550</v>
      </c>
      <c r="CN7" s="106">
        <f>+HLOOKUP($C7,'NEW CAR'!$BE$2:$BQ$250,182,0)</f>
        <v>2030.5320000000002</v>
      </c>
      <c r="CO7" s="106">
        <f>+HLOOKUP($C7,'NEW CAR'!$BE$2:$BQ$250,183,0)</f>
        <v>25970.457483516482</v>
      </c>
      <c r="CP7" s="106">
        <f>+HLOOKUP($C7,'NEW CAR'!$BE$2:$BQ$250,184,0)</f>
        <v>25729.248</v>
      </c>
      <c r="CQ7" s="106">
        <f>+HLOOKUP($C7,'NEW CAR'!$BE$2:$BQ$250,185,0)</f>
        <v>0</v>
      </c>
      <c r="CR7" s="106">
        <f>+HLOOKUP($C7,'NEW CAR'!$BE$2:$BQ$250,187,0)</f>
        <v>8332.8000000000011</v>
      </c>
      <c r="CS7" s="106">
        <f>+HLOOKUP($C7,'NEW CAR'!$BE$2:$BQ$250,188,0)</f>
        <v>6000</v>
      </c>
      <c r="CT7" s="106">
        <f>+HLOOKUP($C7,'NEW CAR'!$BE$2:$BQ$250,189,0)</f>
        <v>0</v>
      </c>
      <c r="CU7" s="106">
        <f>+HLOOKUP($C7,'NEW CAR'!$BE$2:$BQ$250,190,0)</f>
        <v>3333.2000000000003</v>
      </c>
      <c r="CV7" s="106">
        <f>+HLOOKUP($C7,'NEW CAR'!$BE$2:$BQ$250,191,0)</f>
        <v>0</v>
      </c>
      <c r="CW7" s="106">
        <f>+HLOOKUP($C7,'NEW CAR'!$BE$2:$BQ$250,193,0)</f>
        <v>11882.67</v>
      </c>
      <c r="CX7" s="106">
        <f>+HLOOKUP($C7,'NEW CAR'!$BE$2:$BQ$250,194,0)</f>
        <v>3453.0507544581596</v>
      </c>
      <c r="CY7" s="106">
        <f>+HLOOKUP($C7,'NEW CAR'!$BE$2:$BQ$250,195,0)</f>
        <v>0</v>
      </c>
      <c r="CZ7" s="106">
        <f>+HLOOKUP($C7,'NEW CAR'!$BE$2:$BQ$250,196,0)</f>
        <v>0</v>
      </c>
      <c r="DA7" s="106">
        <f>+HLOOKUP($C7,'NEW CAR'!$BE$2:$BQ$250,197,0)</f>
        <v>38350</v>
      </c>
      <c r="DB7" s="106">
        <f>+HLOOKUP($C7,'NEW CAR'!$BE$2:$BQ$250,198,0)</f>
        <v>325</v>
      </c>
      <c r="DC7" s="106">
        <f>+HLOOKUP($C7,'NEW CAR'!$BE$2:$BQ$250,199,0)</f>
        <v>1170.77</v>
      </c>
      <c r="DD7" s="106">
        <f>+HLOOKUP($C7,'NEW CAR'!$BE$2:$BQ$250,200,0)</f>
        <v>2200</v>
      </c>
      <c r="DE7" s="106">
        <f>+HLOOKUP($C7,'NEW CAR'!$BE$2:$BQ$250,201,0)</f>
        <v>3064</v>
      </c>
      <c r="DF7" s="106">
        <f>+HLOOKUP($C7,'NEW CAR'!$BE$2:$BQ$250,202,0)</f>
        <v>7.9220000000000006</v>
      </c>
      <c r="DG7" s="106">
        <f>+HLOOKUP($C7,'NEW CAR'!$BE$2:$BQ$250,203,0)</f>
        <v>115.31600000000002</v>
      </c>
      <c r="DH7" s="106">
        <f>+HLOOKUP($C7,'NEW CAR'!$BE$2:$BQ$250,205,0)</f>
        <v>98042.166666666701</v>
      </c>
      <c r="DI7" s="106">
        <f>+HLOOKUP($C7,'NEW CAR'!$BE$2:$BQ$250,206,0)</f>
        <v>50606.166666666701</v>
      </c>
      <c r="DJ7" s="106">
        <f>+HLOOKUP($C7,'NEW CAR'!$BE$2:$BQ$250,207,0)</f>
        <v>2610.5833333333157</v>
      </c>
      <c r="DK7" s="106">
        <f>+HLOOKUP($C7,'NEW CAR'!$BE$2:$BQ$250,209,0)</f>
        <v>0</v>
      </c>
      <c r="DL7" s="106">
        <f>+HLOOKUP($C7,'NEW CAR'!$BE$2:$BQ$250,210,0)</f>
        <v>0</v>
      </c>
      <c r="DM7" s="106">
        <f>+HLOOKUP($C7,'NEW CAR'!$BE$2:$BQ$250,211,0)</f>
        <v>87450.31</v>
      </c>
      <c r="DN7" s="106">
        <f>+HLOOKUP($C7,'NEW CAR'!$BE$2:$BQ$250,212,0)</f>
        <v>73287</v>
      </c>
      <c r="DO7" s="106">
        <f>+HLOOKUP($C7,'NEW CAR'!$BE$2:$BQ$250,214,0)</f>
        <v>0</v>
      </c>
      <c r="DP7" s="106">
        <f>+HLOOKUP($C7,'NEW CAR'!$BE$2:$BQ$250,215,0)</f>
        <v>2000</v>
      </c>
      <c r="DQ7" s="106">
        <f>+HLOOKUP($C7,'NEW CAR'!$BE$2:$BQ$250,219,0)</f>
        <v>71875.746027397268</v>
      </c>
      <c r="DR7" s="106">
        <f>+HLOOKUP($C7,'NEW CAR'!$BE$2:$BQ$250,220,0)</f>
        <v>194353.2</v>
      </c>
      <c r="DS7" s="106">
        <f>+HLOOKUP($C7,'NEW CAR'!$BE$2:$BQ$250,221,0)</f>
        <v>175016.364</v>
      </c>
      <c r="DT7" s="106">
        <f>+HLOOKUP($C7,'NEW CAR'!$BE$2:$BQ$250,223,0)</f>
        <v>51579.644</v>
      </c>
      <c r="DU7" s="106">
        <f>+HLOOKUP($C7,'NEW CAR'!$BE$2:$BQ$250,224,0)</f>
        <v>0</v>
      </c>
      <c r="DV7" s="106">
        <f>+HLOOKUP($C7,'NEW CAR'!$BE$2:$BQ$250,225,0)</f>
        <v>0</v>
      </c>
      <c r="DW7" s="106">
        <f>+HLOOKUP($C7,'NEW CAR'!$BE$2:$BQ$250,227,0)</f>
        <v>0</v>
      </c>
      <c r="DX7" s="106">
        <f>+HLOOKUP($C7,'NEW CAR'!$BE$2:$BQ$250,228,0)</f>
        <v>0</v>
      </c>
      <c r="DY7" s="106">
        <f>+HLOOKUP($C7,'NEW CAR'!$BE$2:$BQ$250,236,0)</f>
        <v>0</v>
      </c>
      <c r="DZ7" s="106">
        <f>+HLOOKUP($C7,'NEW CAR'!$BE$2:$BQ$250,237,0)</f>
        <v>117499.25200000001</v>
      </c>
      <c r="EA7" s="106">
        <f>+HLOOKUP($C7,'NEW CAR'!$BE$2:$BQ$250,238,0)</f>
        <v>0</v>
      </c>
      <c r="EB7" s="106">
        <f>+HLOOKUP($C7,'NEW CAR'!$BE$2:$BQ$250,240,0)</f>
        <v>952163.96462113166</v>
      </c>
    </row>
    <row r="8" spans="1:133">
      <c r="A8" t="s">
        <v>269</v>
      </c>
      <c r="B8" t="s">
        <v>270</v>
      </c>
      <c r="C8" s="117">
        <v>45809</v>
      </c>
      <c r="D8" s="106">
        <f>+HLOOKUP(C8,'NEW CAR'!$BE$2:$BQ$250,6,0)/3.5%</f>
        <v>116214314.28571427</v>
      </c>
      <c r="E8" s="106">
        <f>+HLOOKUP(C8,'NEW CAR'!$BE$2:$BQ$250,5,0)+HLOOKUP(C8,'NEW CAR'!$BE$2:$BQ$250,26,0)+HLOOKUP(C8,'NEW CAR'!$BE$2:$BQ$250,59,0)</f>
        <v>7519891.9920000006</v>
      </c>
      <c r="G8" s="106">
        <f>+HLOOKUP($C8,'NEW CAR'!$BE$2:$BQ$250,76,0)</f>
        <v>182786.31</v>
      </c>
      <c r="H8" s="106">
        <f>+HLOOKUP($C8,'NEW CAR'!$BE$2:$BQ$250,77,0)</f>
        <v>200865.81</v>
      </c>
      <c r="I8" s="106">
        <f>+HLOOKUP($C8,'NEW CAR'!$BE$2:$BQ$250,78,0)</f>
        <v>0</v>
      </c>
      <c r="J8" s="106">
        <f>+HLOOKUP($C8,'NEW CAR'!$BE$2:$BQ$250,79,0)</f>
        <v>190049.45</v>
      </c>
      <c r="K8" s="106">
        <f>+HLOOKUP($C8,'NEW CAR'!$BE$2:$BQ$250,80,0)</f>
        <v>0</v>
      </c>
      <c r="L8" s="106">
        <f>+HLOOKUP($C8,'NEW CAR'!$BE$2:$BQ$250,81,0)</f>
        <v>0</v>
      </c>
      <c r="M8" s="106">
        <f>+HLOOKUP($C8,'NEW CAR'!$BE$2:$BQ$250,82,0)</f>
        <v>0</v>
      </c>
      <c r="N8" s="106">
        <f>+HLOOKUP($C8,'NEW CAR'!$BE$2:$BQ$250,83,0)</f>
        <v>9920</v>
      </c>
      <c r="O8" s="106">
        <f>+HLOOKUP($C8,'NEW CAR'!$BE$2:$BQ$250,84,0)</f>
        <v>0</v>
      </c>
      <c r="P8" s="106">
        <f>+HLOOKUP($C8,'NEW CAR'!$BE$2:$BQ$250,85,0)</f>
        <v>0</v>
      </c>
      <c r="Q8" s="106">
        <f>+HLOOKUP($C8,'NEW CAR'!$BE$2:$BQ$250,87,0)</f>
        <v>1210738</v>
      </c>
      <c r="R8" s="106">
        <f>+HLOOKUP($C8,'NEW CAR'!$BE$2:$BQ$250,90,0)</f>
        <v>21000</v>
      </c>
      <c r="S8" s="106">
        <f>+HLOOKUP($C8,'NEW CAR'!$BE$2:$BQ$250,91,0)</f>
        <v>1800</v>
      </c>
      <c r="T8" s="106">
        <f>+HLOOKUP($C8,'NEW CAR'!$BE$2:$BQ$250,92,0)</f>
        <v>288820</v>
      </c>
      <c r="U8" s="106">
        <f>+HLOOKUP($C8,'NEW CAR'!$BE$2:$BQ$250,93,0)</f>
        <v>81301</v>
      </c>
      <c r="V8" s="106">
        <f>+HLOOKUP($C8,'NEW CAR'!$BE$2:$BQ$250,94,0)</f>
        <v>0</v>
      </c>
      <c r="W8" s="106">
        <f>+HLOOKUP($C8,'NEW CAR'!$BE$2:$BQ$250,95,0)</f>
        <v>73049.88</v>
      </c>
      <c r="X8" s="106">
        <f>+HLOOKUP($C8,'NEW CAR'!$BE$2:$BQ$250,96,0)</f>
        <v>8851.25</v>
      </c>
      <c r="Y8" s="106">
        <f>+HLOOKUP($C8,'NEW CAR'!$BE$2:$BQ$250,97,0)</f>
        <v>75154.179999999993</v>
      </c>
      <c r="Z8" s="106">
        <f>+HLOOKUP($C8,'NEW CAR'!$BE$2:$BQ$250,98,0)</f>
        <v>0</v>
      </c>
      <c r="AA8" s="106">
        <f>+HLOOKUP($C8,'NEW CAR'!$BE$2:$BQ$250,99,0)</f>
        <v>0</v>
      </c>
      <c r="AB8" s="106">
        <f>+HLOOKUP($C8,'NEW CAR'!$BE$2:$BQ$250,100,0)</f>
        <v>483470.01399999997</v>
      </c>
      <c r="AC8" s="106">
        <f>+HLOOKUP($C8,'NEW CAR'!$BE$2:$BQ$250,101,0)</f>
        <v>14736</v>
      </c>
      <c r="AD8" s="106">
        <f>+HLOOKUP($C8,'NEW CAR'!$BE$2:$BQ$250,104,0)</f>
        <v>61191.376619999995</v>
      </c>
      <c r="AE8" s="106">
        <f>+HLOOKUP($C8,'NEW CAR'!$BE$2:$BQ$250,105,0)</f>
        <v>255355.33000000002</v>
      </c>
      <c r="AF8" s="106">
        <f>+HLOOKUP($C8,'NEW CAR'!$BE$2:$BQ$250,106,0)</f>
        <v>0</v>
      </c>
      <c r="AG8" s="106">
        <f>+HLOOKUP($C8,'NEW CAR'!$BE$2:$BQ$250,107,0)</f>
        <v>0</v>
      </c>
      <c r="AH8" s="106">
        <f>+HLOOKUP($C8,'NEW CAR'!$BE$2:$BQ$250,108,0)</f>
        <v>17280</v>
      </c>
      <c r="AI8" s="106">
        <f>+HLOOKUP($C8,'NEW CAR'!$BE$2:$BQ$250,109,0)</f>
        <v>121846.19999999998</v>
      </c>
      <c r="AJ8" s="106">
        <f>+HLOOKUP($C8,'NEW CAR'!$BE$2:$BQ$250,110,0)</f>
        <v>0</v>
      </c>
      <c r="AK8" s="106">
        <f>+HLOOKUP($C8,'NEW CAR'!$BE$2:$BQ$250,111,0)</f>
        <v>0</v>
      </c>
      <c r="AL8" s="106">
        <f>+HLOOKUP($C8,'NEW CAR'!$BE$2:$BQ$250,112,0)</f>
        <v>0</v>
      </c>
      <c r="AM8" s="106">
        <f>+HLOOKUP($C8,'NEW CAR'!$BE$2:$BQ$250,116,0)</f>
        <v>947333</v>
      </c>
      <c r="AN8" s="106">
        <f>+HLOOKUP($C8,'NEW CAR'!$BE$2:$BQ$250,117,0)</f>
        <v>130788</v>
      </c>
      <c r="AO8" s="106">
        <f>+HLOOKUP($C8,'NEW CAR'!$BE$2:$BQ$250,118,0)</f>
        <v>31500</v>
      </c>
      <c r="AP8" s="106">
        <f>+HLOOKUP($C8,'NEW CAR'!$BE$2:$BQ$250,119,0)</f>
        <v>320173</v>
      </c>
      <c r="AQ8" s="106">
        <f>+HLOOKUP($C8,'NEW CAR'!$BE$2:$BQ$250,120,0)</f>
        <v>82083</v>
      </c>
      <c r="AR8" s="106">
        <f>+HLOOKUP($C8,'NEW CAR'!$BE$2:$BQ$250,121,0)</f>
        <v>40300</v>
      </c>
      <c r="AS8" s="106">
        <f>+HLOOKUP($C8,'NEW CAR'!$BE$2:$BQ$250,122,0)</f>
        <v>527205</v>
      </c>
      <c r="AT8" s="106">
        <f>+HLOOKUP($C8,'NEW CAR'!$BE$2:$BQ$250,123,0)</f>
        <v>107556.71915625001</v>
      </c>
      <c r="AU8" s="106">
        <f>+HLOOKUP($C8,'NEW CAR'!$BE$2:$BQ$250,124,0)</f>
        <v>4821.25</v>
      </c>
      <c r="AV8" s="106">
        <f>+HLOOKUP($C8,'NEW CAR'!$BE$2:$BQ$250,125,0)</f>
        <v>136713.12</v>
      </c>
      <c r="AW8" s="106">
        <f>+HLOOKUP($C8,'NEW CAR'!$BE$2:$BQ$250,126,0)</f>
        <v>54057.692307692305</v>
      </c>
      <c r="AX8" s="106">
        <f>+HLOOKUP($C8,'NEW CAR'!$BE$2:$BQ$250,127,0)</f>
        <v>60583.333333333343</v>
      </c>
      <c r="AY8" s="106">
        <f>+HLOOKUP($C8,'NEW CAR'!$BE$2:$BQ$250,129,0)</f>
        <v>0</v>
      </c>
      <c r="AZ8" s="106">
        <f>+HLOOKUP($C8,'NEW CAR'!$BE$2:$BQ$250,130,0)</f>
        <v>0</v>
      </c>
      <c r="BA8" s="106">
        <f>+HLOOKUP($C8,'NEW CAR'!$BE$2:$BQ$250,131,0)</f>
        <v>204000</v>
      </c>
      <c r="BB8" s="106">
        <f>+HLOOKUP($C8,'NEW CAR'!$BE$2:$BQ$250,133,0)</f>
        <v>0</v>
      </c>
      <c r="BC8" s="106">
        <f>+HLOOKUP($C8,'NEW CAR'!$BE$2:$BQ$250,134,0)</f>
        <v>212382.28999999998</v>
      </c>
      <c r="BD8" s="106">
        <f>+HLOOKUP($C8,'NEW CAR'!$BE$2:$BQ$250,135,0)</f>
        <v>0</v>
      </c>
      <c r="BE8" s="106">
        <f>+HLOOKUP($C8,'NEW CAR'!$BE$2:$BQ$250,136,0)</f>
        <v>0</v>
      </c>
      <c r="BF8" s="106">
        <f>+HLOOKUP($C8,'NEW CAR'!$BE$2:$BQ$250,138,0)</f>
        <v>25416.135999999999</v>
      </c>
      <c r="BG8" s="106">
        <f>+HLOOKUP($C8,'NEW CAR'!$BE$2:$BQ$250,139,0)</f>
        <v>35986.800000000003</v>
      </c>
      <c r="BH8" s="106">
        <f>+HLOOKUP($C8,'NEW CAR'!$BE$2:$BQ$250,140,0)</f>
        <v>0</v>
      </c>
      <c r="BI8" s="106">
        <f>+HLOOKUP($C8,'NEW CAR'!$BE$2:$BQ$250,141,0)</f>
        <v>0</v>
      </c>
      <c r="BJ8" s="106">
        <f>+HLOOKUP($C8,'NEW CAR'!$BE$2:$BQ$250,142,0)</f>
        <v>0</v>
      </c>
      <c r="BK8" s="106">
        <f>+HLOOKUP($C8,'NEW CAR'!$BE$2:$BQ$250,143,0)</f>
        <v>145029.90400000001</v>
      </c>
      <c r="BL8" s="106">
        <f>+HLOOKUP($C8,'NEW CAR'!$BE$2:$BQ$250,144,0)</f>
        <v>3500</v>
      </c>
      <c r="BM8" s="106">
        <f>+HLOOKUP($C8,'NEW CAR'!$BE$2:$BQ$250,146,0)</f>
        <v>0</v>
      </c>
      <c r="BN8" s="106">
        <f>+HLOOKUP($C8,'NEW CAR'!$BE$2:$BQ$250,147,0)</f>
        <v>84269</v>
      </c>
      <c r="BO8" s="106">
        <f>+HLOOKUP($C8,'NEW CAR'!$BE$2:$BQ$250,148,0)</f>
        <v>0</v>
      </c>
      <c r="BP8" s="106">
        <f>+HLOOKUP($C8,'NEW CAR'!$BE$2:$BQ$250,150,0)</f>
        <v>74391</v>
      </c>
      <c r="BQ8" s="106">
        <f>+HLOOKUP($C8,'NEW CAR'!$BE$2:$BQ$250,151,0)</f>
        <v>9922</v>
      </c>
      <c r="BR8" s="106">
        <f>+HLOOKUP($C8,'NEW CAR'!$BE$2:$BQ$250,152,0)</f>
        <v>71000</v>
      </c>
      <c r="BS8" s="106">
        <f>+HLOOKUP($C8,'NEW CAR'!$BE$2:$BQ$250,153,0)</f>
        <v>600</v>
      </c>
      <c r="BT8" s="106">
        <f>+HLOOKUP($C8,'NEW CAR'!$BE$2:$BQ$250,157,0)</f>
        <v>0</v>
      </c>
      <c r="BU8" s="106">
        <f>+HLOOKUP($C8,'NEW CAR'!$BE$2:$BQ$250,158,0)</f>
        <v>5931.8640000000005</v>
      </c>
      <c r="BV8" s="106">
        <f>+HLOOKUP($C8,'NEW CAR'!$BE$2:$BQ$250,159,0)</f>
        <v>7955.6900000000005</v>
      </c>
      <c r="BW8" s="106">
        <f>+HLOOKUP($C8,'NEW CAR'!$BE$2:$BQ$250,160,0)</f>
        <v>300</v>
      </c>
      <c r="BX8" s="106">
        <f>+HLOOKUP($C8,'NEW CAR'!$BE$2:$BQ$250,161,0)</f>
        <v>28990.17</v>
      </c>
      <c r="BY8" s="106">
        <f>+HLOOKUP($C8,'NEW CAR'!$BE$2:$BQ$250,164,0)</f>
        <v>31812.468000000001</v>
      </c>
      <c r="BZ8" s="106">
        <f>+HLOOKUP($C8,'NEW CAR'!$BE$2:$BQ$250,165,0)</f>
        <v>0</v>
      </c>
      <c r="CA8" s="106">
        <f>+HLOOKUP($C8,'NEW CAR'!$BE$2:$BQ$250,166,0)</f>
        <v>0</v>
      </c>
      <c r="CB8" s="106">
        <f>+HLOOKUP($C8,'NEW CAR'!$BE$2:$BQ$250,167,0)</f>
        <v>0</v>
      </c>
      <c r="CC8" s="106">
        <f>+HLOOKUP($C8,'NEW CAR'!$BE$2:$BQ$250,168,0)</f>
        <v>0</v>
      </c>
      <c r="CD8" s="106">
        <f>+HLOOKUP($C8,'NEW CAR'!$BE$2:$BQ$250,169,0)</f>
        <v>22403.46</v>
      </c>
      <c r="CE8" s="106">
        <f>+HLOOKUP($C8,'NEW CAR'!$BE$2:$BQ$250,170,0)</f>
        <v>0</v>
      </c>
      <c r="CF8" s="106">
        <f>+HLOOKUP($C8,'NEW CAR'!$BE$2:$BQ$250,172,0)</f>
        <v>20150</v>
      </c>
      <c r="CG8" s="106">
        <f>+HLOOKUP($C8,'NEW CAR'!$BE$2:$BQ$250,173,0)</f>
        <v>0</v>
      </c>
      <c r="CH8" s="106">
        <f>+HLOOKUP($C8,'NEW CAR'!$BE$2:$BQ$250,174,0)</f>
        <v>0</v>
      </c>
      <c r="CI8" s="106">
        <f>+HLOOKUP($C8,'NEW CAR'!$BE$2:$BQ$250,175,0)</f>
        <v>0</v>
      </c>
      <c r="CJ8" s="106">
        <f>+HLOOKUP($C8,'NEW CAR'!$BE$2:$BQ$250,176,0)</f>
        <v>78470.611999999994</v>
      </c>
      <c r="CK8" s="106">
        <f>+HLOOKUP($C8,'NEW CAR'!$BE$2:$BQ$250,178,0)</f>
        <v>223931</v>
      </c>
      <c r="CL8" s="106">
        <f>+HLOOKUP($C8,'NEW CAR'!$BE$2:$BQ$250,179,0)</f>
        <v>18970</v>
      </c>
      <c r="CM8" s="106">
        <f>+HLOOKUP($C8,'NEW CAR'!$BE$2:$BQ$250,180,0)</f>
        <v>0</v>
      </c>
      <c r="CN8" s="106">
        <f>+HLOOKUP($C8,'NEW CAR'!$BE$2:$BQ$250,182,0)</f>
        <v>2030.5320000000002</v>
      </c>
      <c r="CO8" s="106">
        <f>+HLOOKUP($C8,'NEW CAR'!$BE$2:$BQ$250,183,0)</f>
        <v>23508.63</v>
      </c>
      <c r="CP8" s="106">
        <f>+HLOOKUP($C8,'NEW CAR'!$BE$2:$BQ$250,184,0)</f>
        <v>26157.784</v>
      </c>
      <c r="CQ8" s="106">
        <f>+HLOOKUP($C8,'NEW CAR'!$BE$2:$BQ$250,185,0)</f>
        <v>0</v>
      </c>
      <c r="CR8" s="106">
        <f>+HLOOKUP($C8,'NEW CAR'!$BE$2:$BQ$250,187,0)</f>
        <v>8332.8000000000011</v>
      </c>
      <c r="CS8" s="106">
        <f>+HLOOKUP($C8,'NEW CAR'!$BE$2:$BQ$250,188,0)</f>
        <v>43000</v>
      </c>
      <c r="CT8" s="106">
        <f>+HLOOKUP($C8,'NEW CAR'!$BE$2:$BQ$250,189,0)</f>
        <v>0</v>
      </c>
      <c r="CU8" s="106">
        <f>+HLOOKUP($C8,'NEW CAR'!$BE$2:$BQ$250,190,0)</f>
        <v>58333.2</v>
      </c>
      <c r="CV8" s="106">
        <f>+HLOOKUP($C8,'NEW CAR'!$BE$2:$BQ$250,191,0)</f>
        <v>0</v>
      </c>
      <c r="CW8" s="106">
        <f>+HLOOKUP($C8,'NEW CAR'!$BE$2:$BQ$250,193,0)</f>
        <v>11882.67</v>
      </c>
      <c r="CX8" s="106">
        <f>+HLOOKUP($C8,'NEW CAR'!$BE$2:$BQ$250,194,0)</f>
        <v>106</v>
      </c>
      <c r="CY8" s="106">
        <f>+HLOOKUP($C8,'NEW CAR'!$BE$2:$BQ$250,195,0)</f>
        <v>0</v>
      </c>
      <c r="CZ8" s="106">
        <f>+HLOOKUP($C8,'NEW CAR'!$BE$2:$BQ$250,196,0)</f>
        <v>0</v>
      </c>
      <c r="DA8" s="106">
        <f>+HLOOKUP($C8,'NEW CAR'!$BE$2:$BQ$250,197,0)</f>
        <v>65569.81</v>
      </c>
      <c r="DB8" s="106">
        <f>+HLOOKUP($C8,'NEW CAR'!$BE$2:$BQ$250,198,0)</f>
        <v>13865.222000000002</v>
      </c>
      <c r="DC8" s="106">
        <f>+HLOOKUP($C8,'NEW CAR'!$BE$2:$BQ$250,199,0)</f>
        <v>1101.7</v>
      </c>
      <c r="DD8" s="106">
        <f>+HLOOKUP($C8,'NEW CAR'!$BE$2:$BQ$250,200,0)</f>
        <v>0</v>
      </c>
      <c r="DE8" s="106">
        <f>+HLOOKUP($C8,'NEW CAR'!$BE$2:$BQ$250,201,0)</f>
        <v>5315.56</v>
      </c>
      <c r="DF8" s="106">
        <f>+HLOOKUP($C8,'NEW CAR'!$BE$2:$BQ$250,202,0)</f>
        <v>1.6220000000000003</v>
      </c>
      <c r="DG8" s="106">
        <f>+HLOOKUP($C8,'NEW CAR'!$BE$2:$BQ$250,203,0)</f>
        <v>-45.812000000000005</v>
      </c>
      <c r="DH8" s="106">
        <f>+HLOOKUP($C8,'NEW CAR'!$BE$2:$BQ$250,205,0)</f>
        <v>148648.34</v>
      </c>
      <c r="DI8" s="106">
        <f>+HLOOKUP($C8,'NEW CAR'!$BE$2:$BQ$250,206,0)</f>
        <v>0</v>
      </c>
      <c r="DJ8" s="106">
        <f>+HLOOKUP($C8,'NEW CAR'!$BE$2:$BQ$250,207,0)</f>
        <v>2682.3820000000005</v>
      </c>
      <c r="DK8" s="106">
        <f>+HLOOKUP($C8,'NEW CAR'!$BE$2:$BQ$250,209,0)</f>
        <v>0</v>
      </c>
      <c r="DL8" s="106">
        <f>+HLOOKUP($C8,'NEW CAR'!$BE$2:$BQ$250,210,0)</f>
        <v>0</v>
      </c>
      <c r="DM8" s="106">
        <f>+HLOOKUP($C8,'NEW CAR'!$BE$2:$BQ$250,211,0)</f>
        <v>87450.31</v>
      </c>
      <c r="DN8" s="106">
        <f>+HLOOKUP($C8,'NEW CAR'!$BE$2:$BQ$250,212,0)</f>
        <v>73287</v>
      </c>
      <c r="DO8" s="106">
        <f>+HLOOKUP($C8,'NEW CAR'!$BE$2:$BQ$250,214,0)</f>
        <v>0</v>
      </c>
      <c r="DP8" s="106">
        <f>+HLOOKUP($C8,'NEW CAR'!$BE$2:$BQ$250,215,0)</f>
        <v>1200</v>
      </c>
      <c r="DQ8" s="106">
        <f>+HLOOKUP($C8,'NEW CAR'!$BE$2:$BQ$250,219,0)</f>
        <v>78410.95890410959</v>
      </c>
      <c r="DR8" s="106">
        <f>+HLOOKUP($C8,'NEW CAR'!$BE$2:$BQ$250,220,0)</f>
        <v>199518.6</v>
      </c>
      <c r="DS8" s="106">
        <f>+HLOOKUP($C8,'NEW CAR'!$BE$2:$BQ$250,221,0)</f>
        <v>193290.32399999999</v>
      </c>
      <c r="DT8" s="106">
        <f>+HLOOKUP($C8,'NEW CAR'!$BE$2:$BQ$250,223,0)</f>
        <v>49753.76400000001</v>
      </c>
      <c r="DU8" s="106">
        <f>+HLOOKUP($C8,'NEW CAR'!$BE$2:$BQ$250,224,0)</f>
        <v>0</v>
      </c>
      <c r="DV8" s="106">
        <f>+HLOOKUP($C8,'NEW CAR'!$BE$2:$BQ$250,225,0)</f>
        <v>0</v>
      </c>
      <c r="DW8" s="106">
        <f>+HLOOKUP($C8,'NEW CAR'!$BE$2:$BQ$250,227,0)</f>
        <v>0</v>
      </c>
      <c r="DX8" s="106">
        <f>+HLOOKUP($C8,'NEW CAR'!$BE$2:$BQ$250,228,0)</f>
        <v>12031.6</v>
      </c>
      <c r="DY8" s="106">
        <f>+HLOOKUP($C8,'NEW CAR'!$BE$2:$BQ$250,236,0)</f>
        <v>0</v>
      </c>
      <c r="DZ8" s="106">
        <f>+HLOOKUP($C8,'NEW CAR'!$BE$2:$BQ$250,237,0)</f>
        <v>125596.72580000001</v>
      </c>
      <c r="EA8" s="106">
        <f>+HLOOKUP($C8,'NEW CAR'!$BE$2:$BQ$250,238,0)</f>
        <v>22654.800000000003</v>
      </c>
      <c r="EB8" s="106">
        <f>+HLOOKUP($C8,'NEW CAR'!$BE$2:$BQ$250,240,0)</f>
        <v>952163.96462113166</v>
      </c>
    </row>
    <row r="9" spans="1:133">
      <c r="A9" t="s">
        <v>269</v>
      </c>
      <c r="B9" t="s">
        <v>270</v>
      </c>
      <c r="C9" s="117">
        <v>45778</v>
      </c>
      <c r="D9" s="106">
        <f>+HLOOKUP(C9,'NEW CAR'!$BE$2:$BQ$250,6,0)/3.5%</f>
        <v>38726657.142857142</v>
      </c>
      <c r="E9" s="106">
        <f>+HLOOKUP(C9,'NEW CAR'!$BE$2:$BQ$250,5,0)+HLOOKUP(C9,'NEW CAR'!$BE$2:$BQ$250,26,0)+HLOOKUP(C9,'NEW CAR'!$BE$2:$BQ$250,59,0)</f>
        <v>3158011.8899999992</v>
      </c>
      <c r="G9" s="106">
        <f>+HLOOKUP($C9,'NEW CAR'!$BE$2:$BQ$250,76,0)</f>
        <v>419487.05</v>
      </c>
      <c r="H9" s="106">
        <f>+HLOOKUP($C9,'NEW CAR'!$BE$2:$BQ$250,77,0)</f>
        <v>175654.05</v>
      </c>
      <c r="I9" s="106">
        <f>+HLOOKUP($C9,'NEW CAR'!$BE$2:$BQ$250,78,0)</f>
        <v>0</v>
      </c>
      <c r="J9" s="106">
        <f>+HLOOKUP($C9,'NEW CAR'!$BE$2:$BQ$250,79,0)</f>
        <v>112515.91</v>
      </c>
      <c r="K9" s="106">
        <f>+HLOOKUP($C9,'NEW CAR'!$BE$2:$BQ$250,80,0)</f>
        <v>0</v>
      </c>
      <c r="L9" s="106">
        <f>+HLOOKUP($C9,'NEW CAR'!$BE$2:$BQ$250,81,0)</f>
        <v>0</v>
      </c>
      <c r="M9" s="106">
        <f>+HLOOKUP($C9,'NEW CAR'!$BE$2:$BQ$250,82,0)</f>
        <v>50000</v>
      </c>
      <c r="N9" s="106">
        <f>+HLOOKUP($C9,'NEW CAR'!$BE$2:$BQ$250,83,0)</f>
        <v>10360</v>
      </c>
      <c r="O9" s="106">
        <f>+HLOOKUP($C9,'NEW CAR'!$BE$2:$BQ$250,84,0)</f>
        <v>0</v>
      </c>
      <c r="P9" s="106">
        <f>+HLOOKUP($C9,'NEW CAR'!$BE$2:$BQ$250,85,0)</f>
        <v>0</v>
      </c>
      <c r="Q9" s="106">
        <f>+HLOOKUP($C9,'NEW CAR'!$BE$2:$BQ$250,87,0)</f>
        <v>187208</v>
      </c>
      <c r="R9" s="106">
        <f>+HLOOKUP($C9,'NEW CAR'!$BE$2:$BQ$250,90,0)</f>
        <v>0</v>
      </c>
      <c r="S9" s="106">
        <f>+HLOOKUP($C9,'NEW CAR'!$BE$2:$BQ$250,91,0)</f>
        <v>0</v>
      </c>
      <c r="T9" s="106">
        <f>+HLOOKUP($C9,'NEW CAR'!$BE$2:$BQ$250,92,0)</f>
        <v>173561.25</v>
      </c>
      <c r="U9" s="106">
        <f>+HLOOKUP($C9,'NEW CAR'!$BE$2:$BQ$250,93,0)</f>
        <v>14000</v>
      </c>
      <c r="V9" s="106">
        <f>+HLOOKUP($C9,'NEW CAR'!$BE$2:$BQ$250,94,0)</f>
        <v>0</v>
      </c>
      <c r="W9" s="106">
        <f>+HLOOKUP($C9,'NEW CAR'!$BE$2:$BQ$250,95,0)</f>
        <v>225957.58</v>
      </c>
      <c r="X9" s="106">
        <f>+HLOOKUP($C9,'NEW CAR'!$BE$2:$BQ$250,96,0)</f>
        <v>49123.15</v>
      </c>
      <c r="Y9" s="106">
        <f>+HLOOKUP($C9,'NEW CAR'!$BE$2:$BQ$250,97,0)</f>
        <v>67973.350000000006</v>
      </c>
      <c r="Z9" s="106">
        <f>+HLOOKUP($C9,'NEW CAR'!$BE$2:$BQ$250,98,0)</f>
        <v>0</v>
      </c>
      <c r="AA9" s="106">
        <f>+HLOOKUP($C9,'NEW CAR'!$BE$2:$BQ$250,99,0)</f>
        <v>0</v>
      </c>
      <c r="AB9" s="106">
        <f>+HLOOKUP($C9,'NEW CAR'!$BE$2:$BQ$250,100,0)</f>
        <v>132339.37</v>
      </c>
      <c r="AC9" s="106">
        <f>+HLOOKUP($C9,'NEW CAR'!$BE$2:$BQ$250,101,0)</f>
        <v>27231.16</v>
      </c>
      <c r="AD9" s="106">
        <f>+HLOOKUP($C9,'NEW CAR'!$BE$2:$BQ$250,104,0)</f>
        <v>4430.0200000000004</v>
      </c>
      <c r="AE9" s="106">
        <f>+HLOOKUP($C9,'NEW CAR'!$BE$2:$BQ$250,105,0)</f>
        <v>195203.49000000002</v>
      </c>
      <c r="AF9" s="106">
        <f>+HLOOKUP($C9,'NEW CAR'!$BE$2:$BQ$250,106,0)</f>
        <v>0</v>
      </c>
      <c r="AG9" s="106">
        <f>+HLOOKUP($C9,'NEW CAR'!$BE$2:$BQ$250,107,0)</f>
        <v>137250</v>
      </c>
      <c r="AH9" s="106">
        <f>+HLOOKUP($C9,'NEW CAR'!$BE$2:$BQ$250,108,0)</f>
        <v>11200</v>
      </c>
      <c r="AI9" s="106">
        <f>+HLOOKUP($C9,'NEW CAR'!$BE$2:$BQ$250,109,0)</f>
        <v>238471.19999999998</v>
      </c>
      <c r="AJ9" s="106">
        <f>+HLOOKUP($C9,'NEW CAR'!$BE$2:$BQ$250,110,0)</f>
        <v>0</v>
      </c>
      <c r="AK9" s="106">
        <f>+HLOOKUP($C9,'NEW CAR'!$BE$2:$BQ$250,111,0)</f>
        <v>0</v>
      </c>
      <c r="AL9" s="106">
        <f>+HLOOKUP($C9,'NEW CAR'!$BE$2:$BQ$250,112,0)</f>
        <v>0</v>
      </c>
      <c r="AM9" s="106">
        <f>+HLOOKUP($C9,'NEW CAR'!$BE$2:$BQ$250,116,0)</f>
        <v>1108400</v>
      </c>
      <c r="AN9" s="106">
        <f>+HLOOKUP($C9,'NEW CAR'!$BE$2:$BQ$250,117,0)</f>
        <v>138958</v>
      </c>
      <c r="AO9" s="106">
        <f>+HLOOKUP($C9,'NEW CAR'!$BE$2:$BQ$250,118,0)</f>
        <v>31500</v>
      </c>
      <c r="AP9" s="106">
        <f>+HLOOKUP($C9,'NEW CAR'!$BE$2:$BQ$250,119,0)</f>
        <v>382909</v>
      </c>
      <c r="AQ9" s="106">
        <f>+HLOOKUP($C9,'NEW CAR'!$BE$2:$BQ$250,120,0)</f>
        <v>84050</v>
      </c>
      <c r="AR9" s="106">
        <f>+HLOOKUP($C9,'NEW CAR'!$BE$2:$BQ$250,121,0)</f>
        <v>46050</v>
      </c>
      <c r="AS9" s="106">
        <f>+HLOOKUP($C9,'NEW CAR'!$BE$2:$BQ$250,122,0)</f>
        <v>628433</v>
      </c>
      <c r="AT9" s="106">
        <f>+HLOOKUP($C9,'NEW CAR'!$BE$2:$BQ$250,123,0)</f>
        <v>107556.71915625001</v>
      </c>
      <c r="AU9" s="106">
        <f>+HLOOKUP($C9,'NEW CAR'!$BE$2:$BQ$250,124,0)</f>
        <v>4821.25</v>
      </c>
      <c r="AV9" s="106">
        <f>+HLOOKUP($C9,'NEW CAR'!$BE$2:$BQ$250,125,0)</f>
        <v>104600</v>
      </c>
      <c r="AW9" s="106">
        <f>+HLOOKUP($C9,'NEW CAR'!$BE$2:$BQ$250,126,0)</f>
        <v>54057.692307692305</v>
      </c>
      <c r="AX9" s="106">
        <f>+HLOOKUP($C9,'NEW CAR'!$BE$2:$BQ$250,127,0)</f>
        <v>60583.333333333343</v>
      </c>
      <c r="AY9" s="106">
        <f>+HLOOKUP($C9,'NEW CAR'!$BE$2:$BQ$250,129,0)</f>
        <v>0</v>
      </c>
      <c r="AZ9" s="106">
        <f>+HLOOKUP($C9,'NEW CAR'!$BE$2:$BQ$250,130,0)</f>
        <v>0</v>
      </c>
      <c r="BA9" s="106">
        <f>+HLOOKUP($C9,'NEW CAR'!$BE$2:$BQ$250,131,0)</f>
        <v>0</v>
      </c>
      <c r="BB9" s="106">
        <f>+HLOOKUP($C9,'NEW CAR'!$BE$2:$BQ$250,133,0)</f>
        <v>0</v>
      </c>
      <c r="BC9" s="106">
        <f>+HLOOKUP($C9,'NEW CAR'!$BE$2:$BQ$250,134,0)</f>
        <v>45124.76</v>
      </c>
      <c r="BD9" s="106">
        <f>+HLOOKUP($C9,'NEW CAR'!$BE$2:$BQ$250,135,0)</f>
        <v>0</v>
      </c>
      <c r="BE9" s="106">
        <f>+HLOOKUP($C9,'NEW CAR'!$BE$2:$BQ$250,136,0)</f>
        <v>-41081.200000000004</v>
      </c>
      <c r="BF9" s="106">
        <f>+HLOOKUP($C9,'NEW CAR'!$BE$2:$BQ$250,138,0)</f>
        <v>24906.135999999999</v>
      </c>
      <c r="BG9" s="106">
        <f>+HLOOKUP($C9,'NEW CAR'!$BE$2:$BQ$250,139,0)</f>
        <v>4943</v>
      </c>
      <c r="BH9" s="106">
        <f>+HLOOKUP($C9,'NEW CAR'!$BE$2:$BQ$250,140,0)</f>
        <v>0</v>
      </c>
      <c r="BI9" s="106">
        <f>+HLOOKUP($C9,'NEW CAR'!$BE$2:$BQ$250,141,0)</f>
        <v>0</v>
      </c>
      <c r="BJ9" s="106">
        <f>+HLOOKUP($C9,'NEW CAR'!$BE$2:$BQ$250,142,0)</f>
        <v>0</v>
      </c>
      <c r="BK9" s="106">
        <f>+HLOOKUP($C9,'NEW CAR'!$BE$2:$BQ$250,143,0)</f>
        <v>145029.90400000001</v>
      </c>
      <c r="BL9" s="106">
        <f>+HLOOKUP($C9,'NEW CAR'!$BE$2:$BQ$250,144,0)</f>
        <v>0</v>
      </c>
      <c r="BM9" s="106">
        <f>+HLOOKUP($C9,'NEW CAR'!$BE$2:$BQ$250,146,0)</f>
        <v>0</v>
      </c>
      <c r="BN9" s="106">
        <f>+HLOOKUP($C9,'NEW CAR'!$BE$2:$BQ$250,147,0)</f>
        <v>109635</v>
      </c>
      <c r="BO9" s="106">
        <f>+HLOOKUP($C9,'NEW CAR'!$BE$2:$BQ$250,148,0)</f>
        <v>0</v>
      </c>
      <c r="BP9" s="106">
        <f>+HLOOKUP($C9,'NEW CAR'!$BE$2:$BQ$250,150,0)</f>
        <v>61215</v>
      </c>
      <c r="BQ9" s="106">
        <f>+HLOOKUP($C9,'NEW CAR'!$BE$2:$BQ$250,151,0)</f>
        <v>9922</v>
      </c>
      <c r="BR9" s="106">
        <f>+HLOOKUP($C9,'NEW CAR'!$BE$2:$BQ$250,152,0)</f>
        <v>67000</v>
      </c>
      <c r="BS9" s="106">
        <f>+HLOOKUP($C9,'NEW CAR'!$BE$2:$BQ$250,153,0)</f>
        <v>600</v>
      </c>
      <c r="BT9" s="106">
        <f>+HLOOKUP($C9,'NEW CAR'!$BE$2:$BQ$250,157,0)</f>
        <v>2758.06</v>
      </c>
      <c r="BU9" s="106">
        <f>+HLOOKUP($C9,'NEW CAR'!$BE$2:$BQ$250,158,0)</f>
        <v>0</v>
      </c>
      <c r="BV9" s="106">
        <f>+HLOOKUP($C9,'NEW CAR'!$BE$2:$BQ$250,159,0)</f>
        <v>847.22</v>
      </c>
      <c r="BW9" s="106">
        <f>+HLOOKUP($C9,'NEW CAR'!$BE$2:$BQ$250,160,0)</f>
        <v>6545.76</v>
      </c>
      <c r="BX9" s="106">
        <f>+HLOOKUP($C9,'NEW CAR'!$BE$2:$BQ$250,161,0)</f>
        <v>19940.169999999998</v>
      </c>
      <c r="BY9" s="106">
        <f>+HLOOKUP($C9,'NEW CAR'!$BE$2:$BQ$250,164,0)</f>
        <v>19315.455999999998</v>
      </c>
      <c r="BZ9" s="106">
        <f>+HLOOKUP($C9,'NEW CAR'!$BE$2:$BQ$250,165,0)</f>
        <v>0</v>
      </c>
      <c r="CA9" s="106">
        <f>+HLOOKUP($C9,'NEW CAR'!$BE$2:$BQ$250,166,0)</f>
        <v>0</v>
      </c>
      <c r="CB9" s="106">
        <f>+HLOOKUP($C9,'NEW CAR'!$BE$2:$BQ$250,167,0)</f>
        <v>0</v>
      </c>
      <c r="CC9" s="106">
        <f>+HLOOKUP($C9,'NEW CAR'!$BE$2:$BQ$250,168,0)</f>
        <v>0</v>
      </c>
      <c r="CD9" s="106">
        <f>+HLOOKUP($C9,'NEW CAR'!$BE$2:$BQ$250,169,0)</f>
        <v>70000</v>
      </c>
      <c r="CE9" s="106">
        <f>+HLOOKUP($C9,'NEW CAR'!$BE$2:$BQ$250,170,0)</f>
        <v>0</v>
      </c>
      <c r="CF9" s="106">
        <f>+HLOOKUP($C9,'NEW CAR'!$BE$2:$BQ$250,172,0)</f>
        <v>20150</v>
      </c>
      <c r="CG9" s="106">
        <f>+HLOOKUP($C9,'NEW CAR'!$BE$2:$BQ$250,173,0)</f>
        <v>0</v>
      </c>
      <c r="CH9" s="106">
        <f>+HLOOKUP($C9,'NEW CAR'!$BE$2:$BQ$250,174,0)</f>
        <v>0</v>
      </c>
      <c r="CI9" s="106">
        <f>+HLOOKUP($C9,'NEW CAR'!$BE$2:$BQ$250,175,0)</f>
        <v>0</v>
      </c>
      <c r="CJ9" s="106">
        <f>+HLOOKUP($C9,'NEW CAR'!$BE$2:$BQ$250,176,0)</f>
        <v>102912.41200000001</v>
      </c>
      <c r="CK9" s="106">
        <f>+HLOOKUP($C9,'NEW CAR'!$BE$2:$BQ$250,178,0)</f>
        <v>240554</v>
      </c>
      <c r="CL9" s="106">
        <f>+HLOOKUP($C9,'NEW CAR'!$BE$2:$BQ$250,179,0)</f>
        <v>0</v>
      </c>
      <c r="CM9" s="106">
        <f>+HLOOKUP($C9,'NEW CAR'!$BE$2:$BQ$250,180,0)</f>
        <v>0</v>
      </c>
      <c r="CN9" s="106">
        <f>+HLOOKUP($C9,'NEW CAR'!$BE$2:$BQ$250,182,0)</f>
        <v>7050.16</v>
      </c>
      <c r="CO9" s="106">
        <f>+HLOOKUP($C9,'NEW CAR'!$BE$2:$BQ$250,183,0)</f>
        <v>19857.310000000001</v>
      </c>
      <c r="CP9" s="106">
        <f>+HLOOKUP($C9,'NEW CAR'!$BE$2:$BQ$250,184,0)</f>
        <v>43065.601999999999</v>
      </c>
      <c r="CQ9" s="106">
        <f>+HLOOKUP($C9,'NEW CAR'!$BE$2:$BQ$250,185,0)</f>
        <v>0</v>
      </c>
      <c r="CR9" s="106">
        <f>+HLOOKUP($C9,'NEW CAR'!$BE$2:$BQ$250,187,0)</f>
        <v>8332.8000000000011</v>
      </c>
      <c r="CS9" s="106">
        <f>+HLOOKUP($C9,'NEW CAR'!$BE$2:$BQ$250,188,0)</f>
        <v>6000</v>
      </c>
      <c r="CT9" s="106">
        <f>+HLOOKUP($C9,'NEW CAR'!$BE$2:$BQ$250,189,0)</f>
        <v>0</v>
      </c>
      <c r="CU9" s="106">
        <f>+HLOOKUP($C9,'NEW CAR'!$BE$2:$BQ$250,190,0)</f>
        <v>3333.2000000000003</v>
      </c>
      <c r="CV9" s="106">
        <f>+HLOOKUP($C9,'NEW CAR'!$BE$2:$BQ$250,191,0)</f>
        <v>0</v>
      </c>
      <c r="CW9" s="106">
        <f>+HLOOKUP($C9,'NEW CAR'!$BE$2:$BQ$250,193,0)</f>
        <v>11882.67</v>
      </c>
      <c r="CX9" s="106">
        <f>+HLOOKUP($C9,'NEW CAR'!$BE$2:$BQ$250,194,0)</f>
        <v>106</v>
      </c>
      <c r="CY9" s="106">
        <f>+HLOOKUP($C9,'NEW CAR'!$BE$2:$BQ$250,195,0)</f>
        <v>1740</v>
      </c>
      <c r="CZ9" s="106">
        <f>+HLOOKUP($C9,'NEW CAR'!$BE$2:$BQ$250,196,0)</f>
        <v>0</v>
      </c>
      <c r="DA9" s="106">
        <f>+HLOOKUP($C9,'NEW CAR'!$BE$2:$BQ$250,197,0)</f>
        <v>37297.58</v>
      </c>
      <c r="DB9" s="106">
        <f>+HLOOKUP($C9,'NEW CAR'!$BE$2:$BQ$250,198,0)</f>
        <v>7103.53</v>
      </c>
      <c r="DC9" s="106">
        <f>+HLOOKUP($C9,'NEW CAR'!$BE$2:$BQ$250,199,0)</f>
        <v>6180</v>
      </c>
      <c r="DD9" s="106">
        <f>+HLOOKUP($C9,'NEW CAR'!$BE$2:$BQ$250,200,0)</f>
        <v>2700</v>
      </c>
      <c r="DE9" s="106">
        <f>+HLOOKUP($C9,'NEW CAR'!$BE$2:$BQ$250,201,0)</f>
        <v>0</v>
      </c>
      <c r="DF9" s="106">
        <f>+HLOOKUP($C9,'NEW CAR'!$BE$2:$BQ$250,202,0)</f>
        <v>-0.95399999999999996</v>
      </c>
      <c r="DG9" s="106">
        <f>+HLOOKUP($C9,'NEW CAR'!$BE$2:$BQ$250,203,0)</f>
        <v>98.432000000000016</v>
      </c>
      <c r="DH9" s="106">
        <f>+HLOOKUP($C9,'NEW CAR'!$BE$2:$BQ$250,205,0)</f>
        <v>148648.34</v>
      </c>
      <c r="DI9" s="106">
        <f>+HLOOKUP($C9,'NEW CAR'!$BE$2:$BQ$250,206,0)</f>
        <v>0</v>
      </c>
      <c r="DJ9" s="106">
        <f>+HLOOKUP($C9,'NEW CAR'!$BE$2:$BQ$250,207,0)</f>
        <v>2736.232</v>
      </c>
      <c r="DK9" s="106">
        <f>+HLOOKUP($C9,'NEW CAR'!$BE$2:$BQ$250,209,0)</f>
        <v>0</v>
      </c>
      <c r="DL9" s="106">
        <f>+HLOOKUP($C9,'NEW CAR'!$BE$2:$BQ$250,210,0)</f>
        <v>0</v>
      </c>
      <c r="DM9" s="106">
        <f>+HLOOKUP($C9,'NEW CAR'!$BE$2:$BQ$250,211,0)</f>
        <v>87450.31</v>
      </c>
      <c r="DN9" s="106">
        <f>+HLOOKUP($C9,'NEW CAR'!$BE$2:$BQ$250,212,0)</f>
        <v>73287</v>
      </c>
      <c r="DO9" s="106">
        <f>+HLOOKUP($C9,'NEW CAR'!$BE$2:$BQ$250,214,0)</f>
        <v>0</v>
      </c>
      <c r="DP9" s="106">
        <f>+HLOOKUP($C9,'NEW CAR'!$BE$2:$BQ$250,215,0)</f>
        <v>250</v>
      </c>
      <c r="DQ9" s="106">
        <f>+HLOOKUP($C9,'NEW CAR'!$BE$2:$BQ$250,219,0)</f>
        <v>115931.50684931508</v>
      </c>
      <c r="DR9" s="106">
        <f>+HLOOKUP($C9,'NEW CAR'!$BE$2:$BQ$250,220,0)</f>
        <v>194353.19999999998</v>
      </c>
      <c r="DS9" s="106">
        <f>+HLOOKUP($C9,'NEW CAR'!$BE$2:$BQ$250,221,0)</f>
        <v>24406.62</v>
      </c>
      <c r="DT9" s="106">
        <f>+HLOOKUP($C9,'NEW CAR'!$BE$2:$BQ$250,223,0)</f>
        <v>75734.524000000005</v>
      </c>
      <c r="DU9" s="106">
        <f>+HLOOKUP($C9,'NEW CAR'!$BE$2:$BQ$250,224,0)</f>
        <v>0</v>
      </c>
      <c r="DV9" s="106">
        <f>+HLOOKUP($C9,'NEW CAR'!$BE$2:$BQ$250,225,0)</f>
        <v>0</v>
      </c>
      <c r="DW9" s="106">
        <f>+HLOOKUP($C9,'NEW CAR'!$BE$2:$BQ$250,227,0)</f>
        <v>0</v>
      </c>
      <c r="DX9" s="106">
        <f>+HLOOKUP($C9,'NEW CAR'!$BE$2:$BQ$250,228,0)</f>
        <v>19748.400000000001</v>
      </c>
      <c r="DY9" s="106">
        <f>+HLOOKUP($C9,'NEW CAR'!$BE$2:$BQ$250,236,0)</f>
        <v>0</v>
      </c>
      <c r="DZ9" s="106">
        <f>+HLOOKUP($C9,'NEW CAR'!$BE$2:$BQ$250,237,0)</f>
        <v>131965.6182</v>
      </c>
      <c r="EA9" s="106">
        <f>+HLOOKUP($C9,'NEW CAR'!$BE$2:$BQ$250,238,0)</f>
        <v>0</v>
      </c>
      <c r="EB9" s="106">
        <f>+HLOOKUP($C9,'NEW CAR'!$BE$2:$BQ$250,240,0)</f>
        <v>952163.96462113166</v>
      </c>
    </row>
    <row r="10" spans="1:133">
      <c r="A10" t="s">
        <v>269</v>
      </c>
      <c r="B10" t="s">
        <v>270</v>
      </c>
      <c r="C10" s="117">
        <v>45748</v>
      </c>
      <c r="D10" s="106">
        <f>+HLOOKUP(C10,'NEW CAR'!$BE$2:$BQ$250,6,0)/3.5%</f>
        <v>69314914.285714284</v>
      </c>
      <c r="E10" s="106">
        <f>+HLOOKUP(C10,'NEW CAR'!$BE$2:$BQ$250,5,0)+HLOOKUP(C10,'NEW CAR'!$BE$2:$BQ$250,26,0)+HLOOKUP(C10,'NEW CAR'!$BE$2:$BQ$250,59,0)</f>
        <v>5884792.5729999989</v>
      </c>
      <c r="G10" s="106">
        <f>+HLOOKUP($C10,'NEW CAR'!$BE$2:$BQ$250,76,0)</f>
        <v>82742.55</v>
      </c>
      <c r="H10" s="106">
        <f>+HLOOKUP($C10,'NEW CAR'!$BE$2:$BQ$250,77,0)</f>
        <v>111697.75</v>
      </c>
      <c r="I10" s="106">
        <f>+HLOOKUP($C10,'NEW CAR'!$BE$2:$BQ$250,78,0)</f>
        <v>0</v>
      </c>
      <c r="J10" s="106">
        <f>+HLOOKUP($C10,'NEW CAR'!$BE$2:$BQ$250,79,0)</f>
        <v>52257.43</v>
      </c>
      <c r="K10" s="106">
        <f>+HLOOKUP($C10,'NEW CAR'!$BE$2:$BQ$250,80,0)</f>
        <v>0</v>
      </c>
      <c r="L10" s="106">
        <f>+HLOOKUP($C10,'NEW CAR'!$BE$2:$BQ$250,81,0)</f>
        <v>0</v>
      </c>
      <c r="M10" s="106">
        <f>+HLOOKUP($C10,'NEW CAR'!$BE$2:$BQ$250,82,0)</f>
        <v>0</v>
      </c>
      <c r="N10" s="106">
        <f>+HLOOKUP($C10,'NEW CAR'!$BE$2:$BQ$250,83,0)</f>
        <v>4115.62</v>
      </c>
      <c r="O10" s="106">
        <f>+HLOOKUP($C10,'NEW CAR'!$BE$2:$BQ$250,84,0)</f>
        <v>0</v>
      </c>
      <c r="P10" s="106">
        <f>+HLOOKUP($C10,'NEW CAR'!$BE$2:$BQ$250,85,0)</f>
        <v>0</v>
      </c>
      <c r="Q10" s="106">
        <f>+HLOOKUP($C10,'NEW CAR'!$BE$2:$BQ$250,87,0)</f>
        <v>378632</v>
      </c>
      <c r="R10" s="106">
        <f>+HLOOKUP($C10,'NEW CAR'!$BE$2:$BQ$250,90,0)</f>
        <v>0</v>
      </c>
      <c r="S10" s="106">
        <f>+HLOOKUP($C10,'NEW CAR'!$BE$2:$BQ$250,91,0)</f>
        <v>0</v>
      </c>
      <c r="T10" s="106">
        <f>+HLOOKUP($C10,'NEW CAR'!$BE$2:$BQ$250,92,0)</f>
        <v>375575.28</v>
      </c>
      <c r="U10" s="106">
        <f>+HLOOKUP($C10,'NEW CAR'!$BE$2:$BQ$250,93,0)</f>
        <v>8000</v>
      </c>
      <c r="V10" s="106">
        <f>+HLOOKUP($C10,'NEW CAR'!$BE$2:$BQ$250,94,0)</f>
        <v>0</v>
      </c>
      <c r="W10" s="106">
        <f>+HLOOKUP($C10,'NEW CAR'!$BE$2:$BQ$250,95,0)</f>
        <v>154334.81</v>
      </c>
      <c r="X10" s="106">
        <f>+HLOOKUP($C10,'NEW CAR'!$BE$2:$BQ$250,96,0)</f>
        <v>99313.919999999998</v>
      </c>
      <c r="Y10" s="106">
        <f>+HLOOKUP($C10,'NEW CAR'!$BE$2:$BQ$250,97,0)</f>
        <v>193984.42</v>
      </c>
      <c r="Z10" s="106">
        <f>+HLOOKUP($C10,'NEW CAR'!$BE$2:$BQ$250,98,0)</f>
        <v>0</v>
      </c>
      <c r="AA10" s="106">
        <f>+HLOOKUP($C10,'NEW CAR'!$BE$2:$BQ$250,99,0)</f>
        <v>0</v>
      </c>
      <c r="AB10" s="106">
        <f>+HLOOKUP($C10,'NEW CAR'!$BE$2:$BQ$250,100,0)</f>
        <v>0</v>
      </c>
      <c r="AC10" s="106">
        <f>+HLOOKUP($C10,'NEW CAR'!$BE$2:$BQ$250,101,0)</f>
        <v>15746</v>
      </c>
      <c r="AD10" s="106">
        <f>+HLOOKUP($C10,'NEW CAR'!$BE$2:$BQ$250,104,0)</f>
        <v>11569.163999999999</v>
      </c>
      <c r="AE10" s="106">
        <f>+HLOOKUP($C10,'NEW CAR'!$BE$2:$BQ$250,105,0)</f>
        <v>235478.48199999999</v>
      </c>
      <c r="AF10" s="106">
        <f>+HLOOKUP($C10,'NEW CAR'!$BE$2:$BQ$250,106,0)</f>
        <v>0</v>
      </c>
      <c r="AG10" s="106">
        <f>+HLOOKUP($C10,'NEW CAR'!$BE$2:$BQ$250,107,0)</f>
        <v>137250</v>
      </c>
      <c r="AH10" s="106">
        <f>+HLOOKUP($C10,'NEW CAR'!$BE$2:$BQ$250,108,0)</f>
        <v>3480</v>
      </c>
      <c r="AI10" s="106">
        <f>+HLOOKUP($C10,'NEW CAR'!$BE$2:$BQ$250,109,0)</f>
        <v>145857.60000000001</v>
      </c>
      <c r="AJ10" s="106">
        <f>+HLOOKUP($C10,'NEW CAR'!$BE$2:$BQ$250,110,0)</f>
        <v>0</v>
      </c>
      <c r="AK10" s="106">
        <f>+HLOOKUP($C10,'NEW CAR'!$BE$2:$BQ$250,111,0)</f>
        <v>0</v>
      </c>
      <c r="AL10" s="106">
        <f>+HLOOKUP($C10,'NEW CAR'!$BE$2:$BQ$250,112,0)</f>
        <v>0</v>
      </c>
      <c r="AM10" s="106">
        <f>+HLOOKUP($C10,'NEW CAR'!$BE$2:$BQ$250,116,0)</f>
        <v>1110500</v>
      </c>
      <c r="AN10" s="106">
        <f>+HLOOKUP($C10,'NEW CAR'!$BE$2:$BQ$250,117,0)</f>
        <v>139265</v>
      </c>
      <c r="AO10" s="106">
        <f>+HLOOKUP($C10,'NEW CAR'!$BE$2:$BQ$250,118,0)</f>
        <v>31500</v>
      </c>
      <c r="AP10" s="106">
        <f>+HLOOKUP($C10,'NEW CAR'!$BE$2:$BQ$250,119,0)</f>
        <v>383573</v>
      </c>
      <c r="AQ10" s="106">
        <f>+HLOOKUP($C10,'NEW CAR'!$BE$2:$BQ$250,120,0)</f>
        <v>82183</v>
      </c>
      <c r="AR10" s="106">
        <f>+HLOOKUP($C10,'NEW CAR'!$BE$2:$BQ$250,121,0)</f>
        <v>46050</v>
      </c>
      <c r="AS10" s="106">
        <f>+HLOOKUP($C10,'NEW CAR'!$BE$2:$BQ$250,122,0)</f>
        <v>602662</v>
      </c>
      <c r="AT10" s="106">
        <f>+HLOOKUP($C10,'NEW CAR'!$BE$2:$BQ$250,123,0)</f>
        <v>107556.71915625001</v>
      </c>
      <c r="AU10" s="106">
        <f>+HLOOKUP($C10,'NEW CAR'!$BE$2:$BQ$250,124,0)</f>
        <v>4821.25</v>
      </c>
      <c r="AV10" s="106">
        <f>+HLOOKUP($C10,'NEW CAR'!$BE$2:$BQ$250,125,0)</f>
        <v>104600</v>
      </c>
      <c r="AW10" s="106">
        <f>+HLOOKUP($C10,'NEW CAR'!$BE$2:$BQ$250,126,0)</f>
        <v>54057.692307692305</v>
      </c>
      <c r="AX10" s="106">
        <f>+HLOOKUP($C10,'NEW CAR'!$BE$2:$BQ$250,127,0)</f>
        <v>60583.333333333343</v>
      </c>
      <c r="AY10" s="106">
        <f>+HLOOKUP($C10,'NEW CAR'!$BE$2:$BQ$250,129,0)</f>
        <v>0</v>
      </c>
      <c r="AZ10" s="106">
        <f>+HLOOKUP($C10,'NEW CAR'!$BE$2:$BQ$250,130,0)</f>
        <v>0</v>
      </c>
      <c r="BA10" s="106">
        <f>+HLOOKUP($C10,'NEW CAR'!$BE$2:$BQ$250,131,0)</f>
        <v>0</v>
      </c>
      <c r="BB10" s="106">
        <f>+HLOOKUP($C10,'NEW CAR'!$BE$2:$BQ$250,133,0)</f>
        <v>0</v>
      </c>
      <c r="BC10" s="106">
        <f>+HLOOKUP($C10,'NEW CAR'!$BE$2:$BQ$250,134,0)</f>
        <v>112241.54000000001</v>
      </c>
      <c r="BD10" s="106">
        <f>+HLOOKUP($C10,'NEW CAR'!$BE$2:$BQ$250,135,0)</f>
        <v>0</v>
      </c>
      <c r="BE10" s="106">
        <f>+HLOOKUP($C10,'NEW CAR'!$BE$2:$BQ$250,136,0)</f>
        <v>0</v>
      </c>
      <c r="BF10" s="106">
        <f>+HLOOKUP($C10,'NEW CAR'!$BE$2:$BQ$250,138,0)</f>
        <v>29079.596799999999</v>
      </c>
      <c r="BG10" s="106">
        <f>+HLOOKUP($C10,'NEW CAR'!$BE$2:$BQ$250,139,0)</f>
        <v>27360.400000000001</v>
      </c>
      <c r="BH10" s="106">
        <f>+HLOOKUP($C10,'NEW CAR'!$BE$2:$BQ$250,140,0)</f>
        <v>0</v>
      </c>
      <c r="BI10" s="106">
        <f>+HLOOKUP($C10,'NEW CAR'!$BE$2:$BQ$250,141,0)</f>
        <v>0</v>
      </c>
      <c r="BJ10" s="106">
        <f>+HLOOKUP($C10,'NEW CAR'!$BE$2:$BQ$250,142,0)</f>
        <v>0</v>
      </c>
      <c r="BK10" s="106">
        <f>+HLOOKUP($C10,'NEW CAR'!$BE$2:$BQ$250,143,0)</f>
        <v>36529.25</v>
      </c>
      <c r="BL10" s="106">
        <f>+HLOOKUP($C10,'NEW CAR'!$BE$2:$BQ$250,144,0)</f>
        <v>0</v>
      </c>
      <c r="BM10" s="106">
        <f>+HLOOKUP($C10,'NEW CAR'!$BE$2:$BQ$250,146,0)</f>
        <v>0</v>
      </c>
      <c r="BN10" s="106">
        <f>+HLOOKUP($C10,'NEW CAR'!$BE$2:$BQ$250,147,0)</f>
        <v>133366</v>
      </c>
      <c r="BO10" s="106">
        <f>+HLOOKUP($C10,'NEW CAR'!$BE$2:$BQ$250,148,0)</f>
        <v>0</v>
      </c>
      <c r="BP10" s="106">
        <f>+HLOOKUP($C10,'NEW CAR'!$BE$2:$BQ$250,150,0)</f>
        <v>61481</v>
      </c>
      <c r="BQ10" s="106">
        <f>+HLOOKUP($C10,'NEW CAR'!$BE$2:$BQ$250,151,0)</f>
        <v>9922</v>
      </c>
      <c r="BR10" s="106">
        <f>+HLOOKUP($C10,'NEW CAR'!$BE$2:$BQ$250,152,0)</f>
        <v>67000</v>
      </c>
      <c r="BS10" s="106">
        <f>+HLOOKUP($C10,'NEW CAR'!$BE$2:$BQ$250,153,0)</f>
        <v>600</v>
      </c>
      <c r="BT10" s="106">
        <f>+HLOOKUP($C10,'NEW CAR'!$BE$2:$BQ$250,157,0)</f>
        <v>0</v>
      </c>
      <c r="BU10" s="106">
        <f>+HLOOKUP($C10,'NEW CAR'!$BE$2:$BQ$250,158,0)</f>
        <v>3350</v>
      </c>
      <c r="BV10" s="106">
        <f>+HLOOKUP($C10,'NEW CAR'!$BE$2:$BQ$250,159,0)</f>
        <v>847.22</v>
      </c>
      <c r="BW10" s="106">
        <f>+HLOOKUP($C10,'NEW CAR'!$BE$2:$BQ$250,160,0)</f>
        <v>1249.99</v>
      </c>
      <c r="BX10" s="106">
        <f>+HLOOKUP($C10,'NEW CAR'!$BE$2:$BQ$250,161,0)</f>
        <v>9640.17</v>
      </c>
      <c r="BY10" s="106">
        <f>+HLOOKUP($C10,'NEW CAR'!$BE$2:$BQ$250,164,0)</f>
        <v>18829.2</v>
      </c>
      <c r="BZ10" s="106">
        <f>+HLOOKUP($C10,'NEW CAR'!$BE$2:$BQ$250,165,0)</f>
        <v>0</v>
      </c>
      <c r="CA10" s="106">
        <f>+HLOOKUP($C10,'NEW CAR'!$BE$2:$BQ$250,166,0)</f>
        <v>0</v>
      </c>
      <c r="CB10" s="106">
        <f>+HLOOKUP($C10,'NEW CAR'!$BE$2:$BQ$250,167,0)</f>
        <v>44777.99</v>
      </c>
      <c r="CC10" s="106">
        <f>+HLOOKUP($C10,'NEW CAR'!$BE$2:$BQ$250,168,0)</f>
        <v>0</v>
      </c>
      <c r="CD10" s="106">
        <f>+HLOOKUP($C10,'NEW CAR'!$BE$2:$BQ$250,169,0)</f>
        <v>0</v>
      </c>
      <c r="CE10" s="106">
        <f>+HLOOKUP($C10,'NEW CAR'!$BE$2:$BQ$250,170,0)</f>
        <v>0</v>
      </c>
      <c r="CF10" s="106">
        <f>+HLOOKUP($C10,'NEW CAR'!$BE$2:$BQ$250,172,0)</f>
        <v>20150</v>
      </c>
      <c r="CG10" s="106">
        <f>+HLOOKUP($C10,'NEW CAR'!$BE$2:$BQ$250,173,0)</f>
        <v>0</v>
      </c>
      <c r="CH10" s="106">
        <f>+HLOOKUP($C10,'NEW CAR'!$BE$2:$BQ$250,174,0)</f>
        <v>0</v>
      </c>
      <c r="CI10" s="106">
        <f>+HLOOKUP($C10,'NEW CAR'!$BE$2:$BQ$250,175,0)</f>
        <v>0</v>
      </c>
      <c r="CJ10" s="106">
        <f>+HLOOKUP($C10,'NEW CAR'!$BE$2:$BQ$250,176,0)</f>
        <v>7567.6019999999999</v>
      </c>
      <c r="CK10" s="106">
        <f>+HLOOKUP($C10,'NEW CAR'!$BE$2:$BQ$250,178,0)</f>
        <v>207452</v>
      </c>
      <c r="CL10" s="106">
        <f>+HLOOKUP($C10,'NEW CAR'!$BE$2:$BQ$250,179,0)</f>
        <v>0</v>
      </c>
      <c r="CM10" s="106">
        <f>+HLOOKUP($C10,'NEW CAR'!$BE$2:$BQ$250,180,0)</f>
        <v>655</v>
      </c>
      <c r="CN10" s="106">
        <f>+HLOOKUP($C10,'NEW CAR'!$BE$2:$BQ$250,182,0)</f>
        <v>4975</v>
      </c>
      <c r="CO10" s="106">
        <f>+HLOOKUP($C10,'NEW CAR'!$BE$2:$BQ$250,183,0)</f>
        <v>19857.310000000001</v>
      </c>
      <c r="CP10" s="106">
        <f>+HLOOKUP($C10,'NEW CAR'!$BE$2:$BQ$250,184,0)</f>
        <v>43684.735999999997</v>
      </c>
      <c r="CQ10" s="106">
        <f>+HLOOKUP($C10,'NEW CAR'!$BE$2:$BQ$250,185,0)</f>
        <v>0</v>
      </c>
      <c r="CR10" s="106">
        <f>+HLOOKUP($C10,'NEW CAR'!$BE$2:$BQ$250,187,0)</f>
        <v>8332.8000000000011</v>
      </c>
      <c r="CS10" s="106">
        <f>+HLOOKUP($C10,'NEW CAR'!$BE$2:$BQ$250,188,0)</f>
        <v>40000</v>
      </c>
      <c r="CT10" s="106">
        <f>+HLOOKUP($C10,'NEW CAR'!$BE$2:$BQ$250,189,0)</f>
        <v>0</v>
      </c>
      <c r="CU10" s="106">
        <f>+HLOOKUP($C10,'NEW CAR'!$BE$2:$BQ$250,190,0)</f>
        <v>10000</v>
      </c>
      <c r="CV10" s="106">
        <f>+HLOOKUP($C10,'NEW CAR'!$BE$2:$BQ$250,191,0)</f>
        <v>0</v>
      </c>
      <c r="CW10" s="106">
        <f>+HLOOKUP($C10,'NEW CAR'!$BE$2:$BQ$250,193,0)</f>
        <v>11752.09</v>
      </c>
      <c r="CX10" s="106">
        <f>+HLOOKUP($C10,'NEW CAR'!$BE$2:$BQ$250,194,0)</f>
        <v>106</v>
      </c>
      <c r="CY10" s="106">
        <f>+HLOOKUP($C10,'NEW CAR'!$BE$2:$BQ$250,195,0)</f>
        <v>24615</v>
      </c>
      <c r="CZ10" s="106">
        <f>+HLOOKUP($C10,'NEW CAR'!$BE$2:$BQ$250,196,0)</f>
        <v>0</v>
      </c>
      <c r="DA10" s="106">
        <f>+HLOOKUP($C10,'NEW CAR'!$BE$2:$BQ$250,197,0)</f>
        <v>36142.71</v>
      </c>
      <c r="DB10" s="106">
        <f>+HLOOKUP($C10,'NEW CAR'!$BE$2:$BQ$250,198,0)</f>
        <v>6255.93</v>
      </c>
      <c r="DC10" s="106">
        <f>+HLOOKUP($C10,'NEW CAR'!$BE$2:$BQ$250,199,0)</f>
        <v>2585.59</v>
      </c>
      <c r="DD10" s="106">
        <f>+HLOOKUP($C10,'NEW CAR'!$BE$2:$BQ$250,200,0)</f>
        <v>0</v>
      </c>
      <c r="DE10" s="106">
        <f>+HLOOKUP($C10,'NEW CAR'!$BE$2:$BQ$250,201,0)</f>
        <v>0</v>
      </c>
      <c r="DF10" s="106">
        <f>+HLOOKUP($C10,'NEW CAR'!$BE$2:$BQ$250,202,0)</f>
        <v>1.5680000000000003</v>
      </c>
      <c r="DG10" s="106">
        <f>+HLOOKUP($C10,'NEW CAR'!$BE$2:$BQ$250,203,0)</f>
        <v>-16.912000000000003</v>
      </c>
      <c r="DH10" s="106">
        <f>+HLOOKUP($C10,'NEW CAR'!$BE$2:$BQ$250,205,0)</f>
        <v>148648.34</v>
      </c>
      <c r="DI10" s="106">
        <f>+HLOOKUP($C10,'NEW CAR'!$BE$2:$BQ$250,206,0)</f>
        <v>0</v>
      </c>
      <c r="DJ10" s="106">
        <f>+HLOOKUP($C10,'NEW CAR'!$BE$2:$BQ$250,207,0)</f>
        <v>2736.232</v>
      </c>
      <c r="DK10" s="106">
        <f>+HLOOKUP($C10,'NEW CAR'!$BE$2:$BQ$250,209,0)</f>
        <v>0</v>
      </c>
      <c r="DL10" s="106">
        <f>+HLOOKUP($C10,'NEW CAR'!$BE$2:$BQ$250,210,0)</f>
        <v>0</v>
      </c>
      <c r="DM10" s="106">
        <f>+HLOOKUP($C10,'NEW CAR'!$BE$2:$BQ$250,211,0)</f>
        <v>87450.31</v>
      </c>
      <c r="DN10" s="106">
        <f>+HLOOKUP($C10,'NEW CAR'!$BE$2:$BQ$250,212,0)</f>
        <v>73287</v>
      </c>
      <c r="DO10" s="106">
        <f>+HLOOKUP($C10,'NEW CAR'!$BE$2:$BQ$250,214,0)</f>
        <v>0</v>
      </c>
      <c r="DP10" s="106">
        <f>+HLOOKUP($C10,'NEW CAR'!$BE$2:$BQ$250,215,0)</f>
        <v>0</v>
      </c>
      <c r="DQ10" s="106">
        <f>+HLOOKUP($C10,'NEW CAR'!$BE$2:$BQ$250,219,0)</f>
        <v>182283.73808219179</v>
      </c>
      <c r="DR10" s="106">
        <f>+HLOOKUP($C10,'NEW CAR'!$BE$2:$BQ$250,220,0)</f>
        <v>19371</v>
      </c>
      <c r="DS10" s="106">
        <f>+HLOOKUP($C10,'NEW CAR'!$BE$2:$BQ$250,221,0)</f>
        <v>38014.008000000002</v>
      </c>
      <c r="DT10" s="106">
        <f>+HLOOKUP($C10,'NEW CAR'!$BE$2:$BQ$250,223,0)</f>
        <v>46429.664000000004</v>
      </c>
      <c r="DU10" s="106">
        <f>+HLOOKUP($C10,'NEW CAR'!$BE$2:$BQ$250,224,0)</f>
        <v>0</v>
      </c>
      <c r="DV10" s="106">
        <f>+HLOOKUP($C10,'NEW CAR'!$BE$2:$BQ$250,225,0)</f>
        <v>0</v>
      </c>
      <c r="DW10" s="106">
        <f>+HLOOKUP($C10,'NEW CAR'!$BE$2:$BQ$250,227,0)</f>
        <v>0</v>
      </c>
      <c r="DX10" s="106">
        <f>+HLOOKUP($C10,'NEW CAR'!$BE$2:$BQ$250,228,0)</f>
        <v>1756.8000000000002</v>
      </c>
      <c r="DY10" s="106">
        <f>+HLOOKUP($C10,'NEW CAR'!$BE$2:$BQ$250,236,0)</f>
        <v>0</v>
      </c>
      <c r="DZ10" s="106">
        <f>+HLOOKUP($C10,'NEW CAR'!$BE$2:$BQ$250,237,0)</f>
        <v>138088.01760000002</v>
      </c>
      <c r="EA10" s="106">
        <f>+HLOOKUP($C10,'NEW CAR'!$BE$2:$BQ$250,238,0)</f>
        <v>0</v>
      </c>
      <c r="EB10" s="106">
        <f>+HLOOKUP($C10,'NEW CAR'!$BE$2:$BQ$250,240,0)</f>
        <v>952163.96462113166</v>
      </c>
    </row>
    <row r="11" spans="1:133">
      <c r="A11" t="s">
        <v>269</v>
      </c>
      <c r="B11" t="s">
        <v>270</v>
      </c>
      <c r="C11" s="117">
        <v>45717</v>
      </c>
      <c r="D11" s="106">
        <f>+HLOOKUP(C11,'NEW CAR'!$BE$2:$BQ$250,6,0)/3.5%</f>
        <v>101537579.84999999</v>
      </c>
      <c r="E11" s="106">
        <f>+HLOOKUP(C11,'NEW CAR'!$BE$2:$BQ$250,5,0)+HLOOKUP(C11,'NEW CAR'!$BE$2:$BQ$250,26,0)+HLOOKUP(C11,'NEW CAR'!$BE$2:$BQ$250,59,0)</f>
        <v>7651938.8290700028</v>
      </c>
      <c r="G11" s="106">
        <f>+HLOOKUP($C11,'NEW CAR'!$BE$2:$BQ$250,76,0)</f>
        <v>252723.93</v>
      </c>
      <c r="H11" s="106">
        <f>+HLOOKUP($C11,'NEW CAR'!$BE$2:$BQ$250,77,0)</f>
        <v>218115.31</v>
      </c>
      <c r="I11" s="106">
        <f>+HLOOKUP($C11,'NEW CAR'!$BE$2:$BQ$250,78,0)</f>
        <v>0</v>
      </c>
      <c r="J11" s="106">
        <f>+HLOOKUP($C11,'NEW CAR'!$BE$2:$BQ$250,79,0)</f>
        <v>622051.06000000006</v>
      </c>
      <c r="K11" s="106">
        <f>+HLOOKUP($C11,'NEW CAR'!$BE$2:$BQ$250,80,0)</f>
        <v>0</v>
      </c>
      <c r="L11" s="106">
        <f>+HLOOKUP($C11,'NEW CAR'!$BE$2:$BQ$250,81,0)</f>
        <v>0</v>
      </c>
      <c r="M11" s="106">
        <f>+HLOOKUP($C11,'NEW CAR'!$BE$2:$BQ$250,82,0)</f>
        <v>0</v>
      </c>
      <c r="N11" s="106">
        <f>+HLOOKUP($C11,'NEW CAR'!$BE$2:$BQ$250,83,0)</f>
        <v>3174</v>
      </c>
      <c r="O11" s="106">
        <f>+HLOOKUP($C11,'NEW CAR'!$BE$2:$BQ$250,84,0)</f>
        <v>0</v>
      </c>
      <c r="P11" s="106">
        <f>+HLOOKUP($C11,'NEW CAR'!$BE$2:$BQ$250,85,0)</f>
        <v>0</v>
      </c>
      <c r="Q11" s="106">
        <f>+HLOOKUP($C11,'NEW CAR'!$BE$2:$BQ$250,87,0)</f>
        <v>864760</v>
      </c>
      <c r="R11" s="106">
        <f>+HLOOKUP($C11,'NEW CAR'!$BE$2:$BQ$250,90,0)</f>
        <v>0</v>
      </c>
      <c r="S11" s="106">
        <f>+HLOOKUP($C11,'NEW CAR'!$BE$2:$BQ$250,91,0)</f>
        <v>0</v>
      </c>
      <c r="T11" s="106">
        <f>+HLOOKUP($C11,'NEW CAR'!$BE$2:$BQ$250,92,0)</f>
        <v>267154.95</v>
      </c>
      <c r="U11" s="106">
        <f>+HLOOKUP($C11,'NEW CAR'!$BE$2:$BQ$250,93,0)</f>
        <v>8000</v>
      </c>
      <c r="V11" s="106">
        <f>+HLOOKUP($C11,'NEW CAR'!$BE$2:$BQ$250,94,0)</f>
        <v>0</v>
      </c>
      <c r="W11" s="106">
        <f>+HLOOKUP($C11,'NEW CAR'!$BE$2:$BQ$250,95,0)</f>
        <v>77950.962</v>
      </c>
      <c r="X11" s="106">
        <f>+HLOOKUP($C11,'NEW CAR'!$BE$2:$BQ$250,96,0)</f>
        <v>72763.403999999995</v>
      </c>
      <c r="Y11" s="106">
        <f>+HLOOKUP($C11,'NEW CAR'!$BE$2:$BQ$250,97,0)</f>
        <v>105865.476</v>
      </c>
      <c r="Z11" s="106">
        <f>+HLOOKUP($C11,'NEW CAR'!$BE$2:$BQ$250,98,0)</f>
        <v>0</v>
      </c>
      <c r="AA11" s="106">
        <f>+HLOOKUP($C11,'NEW CAR'!$BE$2:$BQ$250,99,0)</f>
        <v>0</v>
      </c>
      <c r="AB11" s="106">
        <f>+HLOOKUP($C11,'NEW CAR'!$BE$2:$BQ$250,100,0)</f>
        <v>64094.31</v>
      </c>
      <c r="AC11" s="106">
        <f>+HLOOKUP($C11,'NEW CAR'!$BE$2:$BQ$250,101,0)</f>
        <v>34969.33</v>
      </c>
      <c r="AD11" s="106">
        <f>+HLOOKUP($C11,'NEW CAR'!$BE$2:$BQ$250,104,0)</f>
        <v>0</v>
      </c>
      <c r="AE11" s="106">
        <f>+HLOOKUP($C11,'NEW CAR'!$BE$2:$BQ$250,105,0)</f>
        <v>447894.31399999995</v>
      </c>
      <c r="AF11" s="106">
        <f>+HLOOKUP($C11,'NEW CAR'!$BE$2:$BQ$250,106,0)</f>
        <v>0</v>
      </c>
      <c r="AG11" s="106">
        <f>+HLOOKUP($C11,'NEW CAR'!$BE$2:$BQ$250,107,0)</f>
        <v>34836.116399999999</v>
      </c>
      <c r="AH11" s="106">
        <f>+HLOOKUP($C11,'NEW CAR'!$BE$2:$BQ$250,108,0)</f>
        <v>5478</v>
      </c>
      <c r="AI11" s="106">
        <f>+HLOOKUP($C11,'NEW CAR'!$BE$2:$BQ$250,109,0)</f>
        <v>249430.60200000001</v>
      </c>
      <c r="AJ11" s="106">
        <f>+HLOOKUP($C11,'NEW CAR'!$BE$2:$BQ$250,110,0)</f>
        <v>0</v>
      </c>
      <c r="AK11" s="106">
        <f>+HLOOKUP($C11,'NEW CAR'!$BE$2:$BQ$250,111,0)</f>
        <v>17600</v>
      </c>
      <c r="AL11" s="106">
        <f>+HLOOKUP($C11,'NEW CAR'!$BE$2:$BQ$250,112,0)</f>
        <v>0</v>
      </c>
      <c r="AM11" s="106">
        <f>+HLOOKUP($C11,'NEW CAR'!$BE$2:$BQ$250,116,0)</f>
        <v>1082303</v>
      </c>
      <c r="AN11" s="106">
        <f>+HLOOKUP($C11,'NEW CAR'!$BE$2:$BQ$250,117,0)</f>
        <v>136196</v>
      </c>
      <c r="AO11" s="106">
        <f>+HLOOKUP($C11,'NEW CAR'!$BE$2:$BQ$250,118,0)</f>
        <v>31500</v>
      </c>
      <c r="AP11" s="106">
        <f>+HLOOKUP($C11,'NEW CAR'!$BE$2:$BQ$250,119,0)</f>
        <v>371161</v>
      </c>
      <c r="AQ11" s="106">
        <f>+HLOOKUP($C11,'NEW CAR'!$BE$2:$BQ$250,120,0)</f>
        <v>80469</v>
      </c>
      <c r="AR11" s="106">
        <f>+HLOOKUP($C11,'NEW CAR'!$BE$2:$BQ$250,121,0)</f>
        <v>46050</v>
      </c>
      <c r="AS11" s="106">
        <f>+HLOOKUP($C11,'NEW CAR'!$BE$2:$BQ$250,122,0)</f>
        <v>588927</v>
      </c>
      <c r="AT11" s="106">
        <f>+HLOOKUP($C11,'NEW CAR'!$BE$2:$BQ$250,123,0)</f>
        <v>95797</v>
      </c>
      <c r="AU11" s="106">
        <f>+HLOOKUP($C11,'NEW CAR'!$BE$2:$BQ$250,124,0)</f>
        <v>9639</v>
      </c>
      <c r="AV11" s="106">
        <f>+HLOOKUP($C11,'NEW CAR'!$BE$2:$BQ$250,125,0)</f>
        <v>104600</v>
      </c>
      <c r="AW11" s="106">
        <f>+HLOOKUP($C11,'NEW CAR'!$BE$2:$BQ$250,126,0)</f>
        <v>54057.692307692305</v>
      </c>
      <c r="AX11" s="106">
        <f>+HLOOKUP($C11,'NEW CAR'!$BE$2:$BQ$250,127,0)</f>
        <v>60583.333333333343</v>
      </c>
      <c r="AY11" s="106">
        <f>+HLOOKUP($C11,'NEW CAR'!$BE$2:$BQ$250,129,0)</f>
        <v>0</v>
      </c>
      <c r="AZ11" s="106">
        <f>+HLOOKUP($C11,'NEW CAR'!$BE$2:$BQ$250,130,0)</f>
        <v>0</v>
      </c>
      <c r="BA11" s="106">
        <f>+HLOOKUP($C11,'NEW CAR'!$BE$2:$BQ$250,131,0)</f>
        <v>0</v>
      </c>
      <c r="BB11" s="106">
        <f>+HLOOKUP($C11,'NEW CAR'!$BE$2:$BQ$250,133,0)</f>
        <v>0</v>
      </c>
      <c r="BC11" s="106">
        <f>+HLOOKUP($C11,'NEW CAR'!$BE$2:$BQ$250,134,0)</f>
        <v>410345.1</v>
      </c>
      <c r="BD11" s="106">
        <f>+HLOOKUP($C11,'NEW CAR'!$BE$2:$BQ$250,135,0)</f>
        <v>0</v>
      </c>
      <c r="BE11" s="106">
        <f>+HLOOKUP($C11,'NEW CAR'!$BE$2:$BQ$250,136,0)</f>
        <v>0</v>
      </c>
      <c r="BF11" s="106">
        <f>+HLOOKUP($C11,'NEW CAR'!$BE$2:$BQ$250,138,0)</f>
        <v>618</v>
      </c>
      <c r="BG11" s="106">
        <f>+HLOOKUP($C11,'NEW CAR'!$BE$2:$BQ$250,139,0)</f>
        <v>19589.599999999999</v>
      </c>
      <c r="BH11" s="106">
        <f>+HLOOKUP($C11,'NEW CAR'!$BE$2:$BQ$250,140,0)</f>
        <v>0</v>
      </c>
      <c r="BI11" s="106">
        <f>+HLOOKUP($C11,'NEW CAR'!$BE$2:$BQ$250,141,0)</f>
        <v>0</v>
      </c>
      <c r="BJ11" s="106">
        <f>+HLOOKUP($C11,'NEW CAR'!$BE$2:$BQ$250,142,0)</f>
        <v>0</v>
      </c>
      <c r="BK11" s="106">
        <f>+HLOOKUP($C11,'NEW CAR'!$BE$2:$BQ$250,143,0)</f>
        <v>36529.25</v>
      </c>
      <c r="BL11" s="106">
        <f>+HLOOKUP($C11,'NEW CAR'!$BE$2:$BQ$250,144,0)</f>
        <v>46522</v>
      </c>
      <c r="BM11" s="106">
        <f>+HLOOKUP($C11,'NEW CAR'!$BE$2:$BQ$250,146,0)</f>
        <v>0</v>
      </c>
      <c r="BN11" s="106">
        <f>+HLOOKUP($C11,'NEW CAR'!$BE$2:$BQ$250,147,0)</f>
        <v>3150</v>
      </c>
      <c r="BO11" s="106">
        <f>+HLOOKUP($C11,'NEW CAR'!$BE$2:$BQ$250,148,0)</f>
        <v>0</v>
      </c>
      <c r="BP11" s="106">
        <f>+HLOOKUP($C11,'NEW CAR'!$BE$2:$BQ$250,150,0)</f>
        <v>63566</v>
      </c>
      <c r="BQ11" s="106">
        <f>+HLOOKUP($C11,'NEW CAR'!$BE$2:$BQ$250,151,0)</f>
        <v>9922</v>
      </c>
      <c r="BR11" s="106">
        <f>+HLOOKUP($C11,'NEW CAR'!$BE$2:$BQ$250,152,0)</f>
        <v>63000</v>
      </c>
      <c r="BS11" s="106">
        <f>+HLOOKUP($C11,'NEW CAR'!$BE$2:$BQ$250,153,0)</f>
        <v>600</v>
      </c>
      <c r="BT11" s="106">
        <f>+HLOOKUP($C11,'NEW CAR'!$BE$2:$BQ$250,157,0)</f>
        <v>0</v>
      </c>
      <c r="BU11" s="106">
        <f>+HLOOKUP($C11,'NEW CAR'!$BE$2:$BQ$250,158,0)</f>
        <v>1550</v>
      </c>
      <c r="BV11" s="106">
        <f>+HLOOKUP($C11,'NEW CAR'!$BE$2:$BQ$250,159,0)</f>
        <v>5765.6080000000002</v>
      </c>
      <c r="BW11" s="106">
        <f>+HLOOKUP($C11,'NEW CAR'!$BE$2:$BQ$250,160,0)</f>
        <v>20011.86</v>
      </c>
      <c r="BX11" s="106">
        <f>+HLOOKUP($C11,'NEW CAR'!$BE$2:$BQ$250,161,0)</f>
        <v>17045.169999999998</v>
      </c>
      <c r="BY11" s="106">
        <f>+HLOOKUP($C11,'NEW CAR'!$BE$2:$BQ$250,164,0)</f>
        <v>0</v>
      </c>
      <c r="BZ11" s="106">
        <f>+HLOOKUP($C11,'NEW CAR'!$BE$2:$BQ$250,165,0)</f>
        <v>0</v>
      </c>
      <c r="CA11" s="106">
        <f>+HLOOKUP($C11,'NEW CAR'!$BE$2:$BQ$250,166,0)</f>
        <v>0</v>
      </c>
      <c r="CB11" s="106">
        <f>+HLOOKUP($C11,'NEW CAR'!$BE$2:$BQ$250,167,0)</f>
        <v>7434.96</v>
      </c>
      <c r="CC11" s="106">
        <f>+HLOOKUP($C11,'NEW CAR'!$BE$2:$BQ$250,168,0)</f>
        <v>0</v>
      </c>
      <c r="CD11" s="106">
        <f>+HLOOKUP($C11,'NEW CAR'!$BE$2:$BQ$250,169,0)</f>
        <v>3911.8680000000004</v>
      </c>
      <c r="CE11" s="106">
        <f>+HLOOKUP($C11,'NEW CAR'!$BE$2:$BQ$250,170,0)</f>
        <v>0</v>
      </c>
      <c r="CF11" s="106">
        <f>+HLOOKUP($C11,'NEW CAR'!$BE$2:$BQ$250,172,0)</f>
        <v>20150</v>
      </c>
      <c r="CG11" s="106">
        <f>+HLOOKUP($C11,'NEW CAR'!$BE$2:$BQ$250,173,0)</f>
        <v>0</v>
      </c>
      <c r="CH11" s="106">
        <f>+HLOOKUP($C11,'NEW CAR'!$BE$2:$BQ$250,174,0)</f>
        <v>0</v>
      </c>
      <c r="CI11" s="106">
        <f>+HLOOKUP($C11,'NEW CAR'!$BE$2:$BQ$250,175,0)</f>
        <v>0</v>
      </c>
      <c r="CJ11" s="106">
        <f>+HLOOKUP($C11,'NEW CAR'!$BE$2:$BQ$250,176,0)</f>
        <v>87035.19200000001</v>
      </c>
      <c r="CK11" s="106">
        <f>+HLOOKUP($C11,'NEW CAR'!$BE$2:$BQ$250,178,0)</f>
        <v>187026</v>
      </c>
      <c r="CL11" s="106">
        <f>+HLOOKUP($C11,'NEW CAR'!$BE$2:$BQ$250,179,0)</f>
        <v>0</v>
      </c>
      <c r="CM11" s="106">
        <f>+HLOOKUP($C11,'NEW CAR'!$BE$2:$BQ$250,180,0)</f>
        <v>0</v>
      </c>
      <c r="CN11" s="106">
        <f>+HLOOKUP($C11,'NEW CAR'!$BE$2:$BQ$250,182,0)</f>
        <v>4975</v>
      </c>
      <c r="CO11" s="106">
        <f>+HLOOKUP($C11,'NEW CAR'!$BE$2:$BQ$250,183,0)</f>
        <v>11683.15</v>
      </c>
      <c r="CP11" s="106">
        <f>+HLOOKUP($C11,'NEW CAR'!$BE$2:$BQ$250,184,0)</f>
        <v>62595.8</v>
      </c>
      <c r="CQ11" s="106">
        <f>+HLOOKUP($C11,'NEW CAR'!$BE$2:$BQ$250,185,0)</f>
        <v>0</v>
      </c>
      <c r="CR11" s="106">
        <f>+HLOOKUP($C11,'NEW CAR'!$BE$2:$BQ$250,187,0)</f>
        <v>8332.8000000000011</v>
      </c>
      <c r="CS11" s="106">
        <f>+HLOOKUP($C11,'NEW CAR'!$BE$2:$BQ$250,188,0)</f>
        <v>0</v>
      </c>
      <c r="CT11" s="106">
        <f>+HLOOKUP($C11,'NEW CAR'!$BE$2:$BQ$250,189,0)</f>
        <v>0</v>
      </c>
      <c r="CU11" s="106">
        <f>+HLOOKUP($C11,'NEW CAR'!$BE$2:$BQ$250,190,0)</f>
        <v>102000</v>
      </c>
      <c r="CV11" s="106">
        <f>+HLOOKUP($C11,'NEW CAR'!$BE$2:$BQ$250,191,0)</f>
        <v>0</v>
      </c>
      <c r="CW11" s="106">
        <f>+HLOOKUP($C11,'NEW CAR'!$BE$2:$BQ$250,193,0)</f>
        <v>11569.54</v>
      </c>
      <c r="CX11" s="106">
        <f>+HLOOKUP($C11,'NEW CAR'!$BE$2:$BQ$250,194,0)</f>
        <v>106</v>
      </c>
      <c r="CY11" s="106">
        <f>+HLOOKUP($C11,'NEW CAR'!$BE$2:$BQ$250,195,0)</f>
        <v>243533</v>
      </c>
      <c r="CZ11" s="106">
        <f>+HLOOKUP($C11,'NEW CAR'!$BE$2:$BQ$250,196,0)</f>
        <v>0</v>
      </c>
      <c r="DA11" s="106">
        <f>+HLOOKUP($C11,'NEW CAR'!$BE$2:$BQ$250,197,0)</f>
        <v>22854.46</v>
      </c>
      <c r="DB11" s="106">
        <f>+HLOOKUP($C11,'NEW CAR'!$BE$2:$BQ$250,198,0)</f>
        <v>12828.6</v>
      </c>
      <c r="DC11" s="106">
        <f>+HLOOKUP($C11,'NEW CAR'!$BE$2:$BQ$250,199,0)</f>
        <v>6249.32</v>
      </c>
      <c r="DD11" s="106">
        <f>+HLOOKUP($C11,'NEW CAR'!$BE$2:$BQ$250,200,0)</f>
        <v>270</v>
      </c>
      <c r="DE11" s="106">
        <f>+HLOOKUP($C11,'NEW CAR'!$BE$2:$BQ$250,201,0)</f>
        <v>2500</v>
      </c>
      <c r="DF11" s="106">
        <f>+HLOOKUP($C11,'NEW CAR'!$BE$2:$BQ$250,202,0)</f>
        <v>-4.347999999999999</v>
      </c>
      <c r="DG11" s="106">
        <f>+HLOOKUP($C11,'NEW CAR'!$BE$2:$BQ$250,203,0)</f>
        <v>-162.11199999999999</v>
      </c>
      <c r="DH11" s="106">
        <f>+HLOOKUP($C11,'NEW CAR'!$BE$2:$BQ$250,205,0)</f>
        <v>98042.17</v>
      </c>
      <c r="DI11" s="106">
        <f>+HLOOKUP($C11,'NEW CAR'!$BE$2:$BQ$250,206,0)</f>
        <v>50606.17</v>
      </c>
      <c r="DJ11" s="106">
        <f>+HLOOKUP($C11,'NEW CAR'!$BE$2:$BQ$250,207,0)</f>
        <v>2736.232</v>
      </c>
      <c r="DK11" s="106">
        <f>+HLOOKUP($C11,'NEW CAR'!$BE$2:$BQ$250,209,0)</f>
        <v>0</v>
      </c>
      <c r="DL11" s="106">
        <f>+HLOOKUP($C11,'NEW CAR'!$BE$2:$BQ$250,210,0)</f>
        <v>0</v>
      </c>
      <c r="DM11" s="106">
        <f>+HLOOKUP($C11,'NEW CAR'!$BE$2:$BQ$250,211,0)</f>
        <v>87450.31</v>
      </c>
      <c r="DN11" s="106">
        <f>+HLOOKUP($C11,'NEW CAR'!$BE$2:$BQ$250,212,0)</f>
        <v>73287</v>
      </c>
      <c r="DO11" s="106">
        <f>+HLOOKUP($C11,'NEW CAR'!$BE$2:$BQ$250,214,0)</f>
        <v>0</v>
      </c>
      <c r="DP11" s="106">
        <f>+HLOOKUP($C11,'NEW CAR'!$BE$2:$BQ$250,215,0)</f>
        <v>4750</v>
      </c>
      <c r="DQ11" s="106">
        <f>+HLOOKUP($C11,'NEW CAR'!$BE$2:$BQ$250,219,0)</f>
        <v>131767.12328767125</v>
      </c>
      <c r="DR11" s="106">
        <f>+HLOOKUP($C11,'NEW CAR'!$BE$2:$BQ$250,220,0)</f>
        <v>271864.2</v>
      </c>
      <c r="DS11" s="106">
        <f>+HLOOKUP($C11,'NEW CAR'!$BE$2:$BQ$250,221,0)</f>
        <v>86691.15</v>
      </c>
      <c r="DT11" s="106">
        <f>+HLOOKUP($C11,'NEW CAR'!$BE$2:$BQ$250,223,0)</f>
        <v>83735.972000000009</v>
      </c>
      <c r="DU11" s="106">
        <f>+HLOOKUP($C11,'NEW CAR'!$BE$2:$BQ$250,224,0)</f>
        <v>0</v>
      </c>
      <c r="DV11" s="106">
        <f>+HLOOKUP($C11,'NEW CAR'!$BE$2:$BQ$250,225,0)</f>
        <v>0</v>
      </c>
      <c r="DW11" s="106">
        <f>+HLOOKUP($C11,'NEW CAR'!$BE$2:$BQ$250,227,0)</f>
        <v>0</v>
      </c>
      <c r="DX11" s="106">
        <f>+HLOOKUP($C11,'NEW CAR'!$BE$2:$BQ$250,228,0)</f>
        <v>6643.2000000000007</v>
      </c>
      <c r="DY11" s="106">
        <f>+HLOOKUP($C11,'NEW CAR'!$BE$2:$BQ$250,236,0)</f>
        <v>0</v>
      </c>
      <c r="DZ11" s="106">
        <f>+HLOOKUP($C11,'NEW CAR'!$BE$2:$BQ$250,237,0)</f>
        <v>130354.71020000002</v>
      </c>
      <c r="EA11" s="106">
        <f>+HLOOKUP($C11,'NEW CAR'!$BE$2:$BQ$250,238,0)</f>
        <v>28016.400000000001</v>
      </c>
      <c r="EB11" s="106">
        <f>+HLOOKUP($C11,'NEW CAR'!$BE$2:$BQ$250,240,0)</f>
        <v>952163.96462113166</v>
      </c>
    </row>
    <row r="12" spans="1:133">
      <c r="A12" t="s">
        <v>269</v>
      </c>
      <c r="B12" t="s">
        <v>270</v>
      </c>
      <c r="C12" s="117">
        <v>45689</v>
      </c>
      <c r="D12" s="106">
        <f>+HLOOKUP(C12,'NEW CAR'!$BE$2:$BQ$250,6,0)/3.5%</f>
        <v>82123485.714285702</v>
      </c>
      <c r="E12" s="106">
        <f>+HLOOKUP(C12,'NEW CAR'!$BE$2:$BQ$250,5,0)+HLOOKUP(C12,'NEW CAR'!$BE$2:$BQ$250,26,0)+HLOOKUP(C12,'NEW CAR'!$BE$2:$BQ$250,59,0)</f>
        <v>4036384.716</v>
      </c>
      <c r="G12" s="106">
        <f>+HLOOKUP($C12,'NEW CAR'!$BE$2:$BQ$250,76,0)</f>
        <v>241778</v>
      </c>
      <c r="H12" s="106">
        <f>+HLOOKUP($C12,'NEW CAR'!$BE$2:$BQ$250,77,0)</f>
        <v>197805.57</v>
      </c>
      <c r="I12" s="106">
        <f>+HLOOKUP($C12,'NEW CAR'!$BE$2:$BQ$250,78,0)</f>
        <v>0</v>
      </c>
      <c r="J12" s="106">
        <f>+HLOOKUP($C12,'NEW CAR'!$BE$2:$BQ$250,79,0)</f>
        <v>80630.94</v>
      </c>
      <c r="K12" s="106">
        <f>+HLOOKUP($C12,'NEW CAR'!$BE$2:$BQ$250,80,0)</f>
        <v>0</v>
      </c>
      <c r="L12" s="106">
        <f>+HLOOKUP($C12,'NEW CAR'!$BE$2:$BQ$250,81,0)</f>
        <v>0</v>
      </c>
      <c r="M12" s="106">
        <f>+HLOOKUP($C12,'NEW CAR'!$BE$2:$BQ$250,82,0)</f>
        <v>0</v>
      </c>
      <c r="N12" s="106">
        <f>+HLOOKUP($C12,'NEW CAR'!$BE$2:$BQ$250,83,0)</f>
        <v>4232</v>
      </c>
      <c r="O12" s="106">
        <f>+HLOOKUP($C12,'NEW CAR'!$BE$2:$BQ$250,84,0)</f>
        <v>0</v>
      </c>
      <c r="P12" s="106">
        <f>+HLOOKUP($C12,'NEW CAR'!$BE$2:$BQ$250,85,0)</f>
        <v>0</v>
      </c>
      <c r="Q12" s="106">
        <f>+HLOOKUP($C12,'NEW CAR'!$BE$2:$BQ$250,87,0)</f>
        <v>1167184</v>
      </c>
      <c r="R12" s="106">
        <f>+HLOOKUP($C12,'NEW CAR'!$BE$2:$BQ$250,90,0)</f>
        <v>0</v>
      </c>
      <c r="S12" s="106">
        <f>+HLOOKUP($C12,'NEW CAR'!$BE$2:$BQ$250,91,0)</f>
        <v>0</v>
      </c>
      <c r="T12" s="106">
        <f>+HLOOKUP($C12,'NEW CAR'!$BE$2:$BQ$250,92,0)</f>
        <v>189299.334</v>
      </c>
      <c r="U12" s="106">
        <f>+HLOOKUP($C12,'NEW CAR'!$BE$2:$BQ$250,93,0)</f>
        <v>6500</v>
      </c>
      <c r="V12" s="106">
        <f>+HLOOKUP($C12,'NEW CAR'!$BE$2:$BQ$250,94,0)</f>
        <v>0</v>
      </c>
      <c r="W12" s="106">
        <f>+HLOOKUP($C12,'NEW CAR'!$BE$2:$BQ$250,95,0)</f>
        <v>74385.792000000001</v>
      </c>
      <c r="X12" s="106">
        <f>+HLOOKUP($C12,'NEW CAR'!$BE$2:$BQ$250,96,0)</f>
        <v>34061.813999999998</v>
      </c>
      <c r="Y12" s="106">
        <f>+HLOOKUP($C12,'NEW CAR'!$BE$2:$BQ$250,97,0)</f>
        <v>102931.344</v>
      </c>
      <c r="Z12" s="106">
        <f>+HLOOKUP($C12,'NEW CAR'!$BE$2:$BQ$250,98,0)</f>
        <v>0</v>
      </c>
      <c r="AA12" s="106">
        <f>+HLOOKUP($C12,'NEW CAR'!$BE$2:$BQ$250,99,0)</f>
        <v>0</v>
      </c>
      <c r="AB12" s="106">
        <f>+HLOOKUP($C12,'NEW CAR'!$BE$2:$BQ$250,100,0)</f>
        <v>83602.31</v>
      </c>
      <c r="AC12" s="106">
        <f>+HLOOKUP($C12,'NEW CAR'!$BE$2:$BQ$250,101,0)</f>
        <v>7243.2120000000004</v>
      </c>
      <c r="AD12" s="106">
        <f>+HLOOKUP($C12,'NEW CAR'!$BE$2:$BQ$250,104,0)</f>
        <v>0</v>
      </c>
      <c r="AE12" s="106">
        <f>+HLOOKUP($C12,'NEW CAR'!$BE$2:$BQ$250,105,0)</f>
        <v>252611.36749999999</v>
      </c>
      <c r="AF12" s="106">
        <f>+HLOOKUP($C12,'NEW CAR'!$BE$2:$BQ$250,106,0)</f>
        <v>0</v>
      </c>
      <c r="AG12" s="106">
        <f>+HLOOKUP($C12,'NEW CAR'!$BE$2:$BQ$250,107,0)</f>
        <v>66657.599999999991</v>
      </c>
      <c r="AH12" s="106">
        <f>+HLOOKUP($C12,'NEW CAR'!$BE$2:$BQ$250,108,0)</f>
        <v>12747.6</v>
      </c>
      <c r="AI12" s="106">
        <f>+HLOOKUP($C12,'NEW CAR'!$BE$2:$BQ$250,109,0)</f>
        <v>252134.04599999997</v>
      </c>
      <c r="AJ12" s="106">
        <f>+HLOOKUP($C12,'NEW CAR'!$BE$2:$BQ$250,110,0)</f>
        <v>0</v>
      </c>
      <c r="AK12" s="106">
        <f>+HLOOKUP($C12,'NEW CAR'!$BE$2:$BQ$250,111,0)</f>
        <v>0</v>
      </c>
      <c r="AL12" s="106">
        <f>+HLOOKUP($C12,'NEW CAR'!$BE$2:$BQ$250,112,0)</f>
        <v>0</v>
      </c>
      <c r="AM12" s="106">
        <f>+HLOOKUP($C12,'NEW CAR'!$BE$2:$BQ$250,116,0)</f>
        <v>1207464</v>
      </c>
      <c r="AN12" s="106">
        <f>+HLOOKUP($C12,'NEW CAR'!$BE$2:$BQ$250,117,0)</f>
        <v>124545</v>
      </c>
      <c r="AO12" s="106">
        <f>+HLOOKUP($C12,'NEW CAR'!$BE$2:$BQ$250,118,0)</f>
        <v>32000</v>
      </c>
      <c r="AP12" s="106">
        <f>+HLOOKUP($C12,'NEW CAR'!$BE$2:$BQ$250,119,0)</f>
        <v>322936</v>
      </c>
      <c r="AQ12" s="106">
        <f>+HLOOKUP($C12,'NEW CAR'!$BE$2:$BQ$250,120,0)</f>
        <v>80750</v>
      </c>
      <c r="AR12" s="106">
        <f>+HLOOKUP($C12,'NEW CAR'!$BE$2:$BQ$250,121,0)</f>
        <v>37600</v>
      </c>
      <c r="AS12" s="106">
        <f>+HLOOKUP($C12,'NEW CAR'!$BE$2:$BQ$250,122,0)</f>
        <v>542634</v>
      </c>
      <c r="AT12" s="106">
        <f>+HLOOKUP($C12,'NEW CAR'!$BE$2:$BQ$250,123,0)</f>
        <v>93170</v>
      </c>
      <c r="AU12" s="106">
        <f>+HLOOKUP($C12,'NEW CAR'!$BE$2:$BQ$250,124,0)</f>
        <v>9145</v>
      </c>
      <c r="AV12" s="106">
        <f>+HLOOKUP($C12,'NEW CAR'!$BE$2:$BQ$250,125,0)</f>
        <v>104600</v>
      </c>
      <c r="AW12" s="106">
        <f>+HLOOKUP($C12,'NEW CAR'!$BE$2:$BQ$250,126,0)</f>
        <v>54057.692307692305</v>
      </c>
      <c r="AX12" s="106">
        <f>+HLOOKUP($C12,'NEW CAR'!$BE$2:$BQ$250,127,0)</f>
        <v>60583.333333333343</v>
      </c>
      <c r="AY12" s="106">
        <f>+HLOOKUP($C12,'NEW CAR'!$BE$2:$BQ$250,129,0)</f>
        <v>3000</v>
      </c>
      <c r="AZ12" s="106">
        <f>+HLOOKUP($C12,'NEW CAR'!$BE$2:$BQ$250,130,0)</f>
        <v>0</v>
      </c>
      <c r="BA12" s="106">
        <f>+HLOOKUP($C12,'NEW CAR'!$BE$2:$BQ$250,131,0)</f>
        <v>0</v>
      </c>
      <c r="BB12" s="106">
        <f>+HLOOKUP($C12,'NEW CAR'!$BE$2:$BQ$250,133,0)</f>
        <v>0</v>
      </c>
      <c r="BC12" s="106">
        <f>+HLOOKUP($C12,'NEW CAR'!$BE$2:$BQ$250,134,0)</f>
        <v>158255.67799999999</v>
      </c>
      <c r="BD12" s="106">
        <f>+HLOOKUP($C12,'NEW CAR'!$BE$2:$BQ$250,135,0)</f>
        <v>0</v>
      </c>
      <c r="BE12" s="106">
        <f>+HLOOKUP($C12,'NEW CAR'!$BE$2:$BQ$250,136,0)</f>
        <v>0</v>
      </c>
      <c r="BF12" s="106">
        <f>+HLOOKUP($C12,'NEW CAR'!$BE$2:$BQ$250,138,0)</f>
        <v>0</v>
      </c>
      <c r="BG12" s="106">
        <f>+HLOOKUP($C12,'NEW CAR'!$BE$2:$BQ$250,139,0)</f>
        <v>30814.2</v>
      </c>
      <c r="BH12" s="106">
        <f>+HLOOKUP($C12,'NEW CAR'!$BE$2:$BQ$250,140,0)</f>
        <v>0</v>
      </c>
      <c r="BI12" s="106">
        <f>+HLOOKUP($C12,'NEW CAR'!$BE$2:$BQ$250,141,0)</f>
        <v>0</v>
      </c>
      <c r="BJ12" s="106">
        <f>+HLOOKUP($C12,'NEW CAR'!$BE$2:$BQ$250,142,0)</f>
        <v>10000</v>
      </c>
      <c r="BK12" s="106">
        <f>+HLOOKUP($C12,'NEW CAR'!$BE$2:$BQ$250,143,0)</f>
        <v>36529.25</v>
      </c>
      <c r="BL12" s="106">
        <f>+HLOOKUP($C12,'NEW CAR'!$BE$2:$BQ$250,144,0)</f>
        <v>6470</v>
      </c>
      <c r="BM12" s="106">
        <f>+HLOOKUP($C12,'NEW CAR'!$BE$2:$BQ$250,146,0)</f>
        <v>0</v>
      </c>
      <c r="BN12" s="106">
        <f>+HLOOKUP($C12,'NEW CAR'!$BE$2:$BQ$250,147,0)</f>
        <v>80342</v>
      </c>
      <c r="BO12" s="106">
        <f>+HLOOKUP($C12,'NEW CAR'!$BE$2:$BQ$250,148,0)</f>
        <v>0</v>
      </c>
      <c r="BP12" s="106">
        <f>+HLOOKUP($C12,'NEW CAR'!$BE$2:$BQ$250,150,0)</f>
        <v>82844</v>
      </c>
      <c r="BQ12" s="106">
        <f>+HLOOKUP($C12,'NEW CAR'!$BE$2:$BQ$250,151,0)</f>
        <v>4961</v>
      </c>
      <c r="BR12" s="106">
        <f>+HLOOKUP($C12,'NEW CAR'!$BE$2:$BQ$250,152,0)</f>
        <v>63000</v>
      </c>
      <c r="BS12" s="106">
        <f>+HLOOKUP($C12,'NEW CAR'!$BE$2:$BQ$250,153,0)</f>
        <v>600</v>
      </c>
      <c r="BT12" s="106">
        <f>+HLOOKUP($C12,'NEW CAR'!$BE$2:$BQ$250,157,0)</f>
        <v>0</v>
      </c>
      <c r="BU12" s="106">
        <f>+HLOOKUP($C12,'NEW CAR'!$BE$2:$BQ$250,158,0)</f>
        <v>0</v>
      </c>
      <c r="BV12" s="106">
        <f>+HLOOKUP($C12,'NEW CAR'!$BE$2:$BQ$250,159,0)</f>
        <v>60165.14</v>
      </c>
      <c r="BW12" s="106">
        <f>+HLOOKUP($C12,'NEW CAR'!$BE$2:$BQ$250,160,0)</f>
        <v>9520</v>
      </c>
      <c r="BX12" s="106">
        <f>+HLOOKUP($C12,'NEW CAR'!$BE$2:$BQ$250,161,0)</f>
        <v>86398.725999999995</v>
      </c>
      <c r="BY12" s="106">
        <f>+HLOOKUP($C12,'NEW CAR'!$BE$2:$BQ$250,164,0)</f>
        <v>14801.6</v>
      </c>
      <c r="BZ12" s="106">
        <f>+HLOOKUP($C12,'NEW CAR'!$BE$2:$BQ$250,165,0)</f>
        <v>0</v>
      </c>
      <c r="CA12" s="106">
        <f>+HLOOKUP($C12,'NEW CAR'!$BE$2:$BQ$250,166,0)</f>
        <v>0</v>
      </c>
      <c r="CB12" s="106">
        <f>+HLOOKUP($C12,'NEW CAR'!$BE$2:$BQ$250,167,0)</f>
        <v>30887.439999999999</v>
      </c>
      <c r="CC12" s="106">
        <f>+HLOOKUP($C12,'NEW CAR'!$BE$2:$BQ$250,168,0)</f>
        <v>0</v>
      </c>
      <c r="CD12" s="106">
        <f>+HLOOKUP($C12,'NEW CAR'!$BE$2:$BQ$250,169,0)</f>
        <v>30851.626</v>
      </c>
      <c r="CE12" s="106">
        <f>+HLOOKUP($C12,'NEW CAR'!$BE$2:$BQ$250,170,0)</f>
        <v>0</v>
      </c>
      <c r="CF12" s="106">
        <f>+HLOOKUP($C12,'NEW CAR'!$BE$2:$BQ$250,172,0)</f>
        <v>20150</v>
      </c>
      <c r="CG12" s="106">
        <f>+HLOOKUP($C12,'NEW CAR'!$BE$2:$BQ$250,173,0)</f>
        <v>0</v>
      </c>
      <c r="CH12" s="106">
        <f>+HLOOKUP($C12,'NEW CAR'!$BE$2:$BQ$250,174,0)</f>
        <v>0</v>
      </c>
      <c r="CI12" s="106">
        <f>+HLOOKUP($C12,'NEW CAR'!$BE$2:$BQ$250,175,0)</f>
        <v>0</v>
      </c>
      <c r="CJ12" s="106">
        <f>+HLOOKUP($C12,'NEW CAR'!$BE$2:$BQ$250,176,0)</f>
        <v>28967.64</v>
      </c>
      <c r="CK12" s="106">
        <f>+HLOOKUP($C12,'NEW CAR'!$BE$2:$BQ$250,178,0)</f>
        <v>191651</v>
      </c>
      <c r="CL12" s="106">
        <f>+HLOOKUP($C12,'NEW CAR'!$BE$2:$BQ$250,179,0)</f>
        <v>0</v>
      </c>
      <c r="CM12" s="106">
        <f>+HLOOKUP($C12,'NEW CAR'!$BE$2:$BQ$250,180,0)</f>
        <v>0</v>
      </c>
      <c r="CN12" s="106">
        <f>+HLOOKUP($C12,'NEW CAR'!$BE$2:$BQ$250,182,0)</f>
        <v>4975</v>
      </c>
      <c r="CO12" s="106">
        <f>+HLOOKUP($C12,'NEW CAR'!$BE$2:$BQ$250,183,0)</f>
        <v>27357</v>
      </c>
      <c r="CP12" s="106">
        <f>+HLOOKUP($C12,'NEW CAR'!$BE$2:$BQ$250,184,0)</f>
        <v>25970</v>
      </c>
      <c r="CQ12" s="106">
        <f>+HLOOKUP($C12,'NEW CAR'!$BE$2:$BQ$250,185,0)</f>
        <v>0</v>
      </c>
      <c r="CR12" s="106">
        <f>+HLOOKUP($C12,'NEW CAR'!$BE$2:$BQ$250,187,0)</f>
        <v>8332.8000000000011</v>
      </c>
      <c r="CS12" s="106">
        <f>+HLOOKUP($C12,'NEW CAR'!$BE$2:$BQ$250,188,0)</f>
        <v>0</v>
      </c>
      <c r="CT12" s="106">
        <f>+HLOOKUP($C12,'NEW CAR'!$BE$2:$BQ$250,189,0)</f>
        <v>0</v>
      </c>
      <c r="CU12" s="106">
        <f>+HLOOKUP($C12,'NEW CAR'!$BE$2:$BQ$250,190,0)</f>
        <v>9382.2000000000007</v>
      </c>
      <c r="CV12" s="106">
        <f>+HLOOKUP($C12,'NEW CAR'!$BE$2:$BQ$250,191,0)</f>
        <v>0</v>
      </c>
      <c r="CW12" s="106">
        <f>+HLOOKUP($C12,'NEW CAR'!$BE$2:$BQ$250,193,0)</f>
        <v>11831</v>
      </c>
      <c r="CX12" s="106">
        <f>+HLOOKUP($C12,'NEW CAR'!$BE$2:$BQ$250,194,0)</f>
        <v>106</v>
      </c>
      <c r="CY12" s="106">
        <f>+HLOOKUP($C12,'NEW CAR'!$BE$2:$BQ$250,195,0)</f>
        <v>0</v>
      </c>
      <c r="CZ12" s="106">
        <f>+HLOOKUP($C12,'NEW CAR'!$BE$2:$BQ$250,196,0)</f>
        <v>0</v>
      </c>
      <c r="DA12" s="106">
        <f>+HLOOKUP($C12,'NEW CAR'!$BE$2:$BQ$250,197,0)</f>
        <v>28752.3</v>
      </c>
      <c r="DB12" s="106">
        <f>+HLOOKUP($C12,'NEW CAR'!$BE$2:$BQ$250,198,0)</f>
        <v>11783.99</v>
      </c>
      <c r="DC12" s="106">
        <f>+HLOOKUP($C12,'NEW CAR'!$BE$2:$BQ$250,199,0)</f>
        <v>1737.29</v>
      </c>
      <c r="DD12" s="106">
        <f>+HLOOKUP($C12,'NEW CAR'!$BE$2:$BQ$250,200,0)</f>
        <v>2010</v>
      </c>
      <c r="DE12" s="106">
        <f>+HLOOKUP($C12,'NEW CAR'!$BE$2:$BQ$250,201,0)</f>
        <v>0</v>
      </c>
      <c r="DF12" s="106">
        <f>+HLOOKUP($C12,'NEW CAR'!$BE$2:$BQ$250,202,0)</f>
        <v>0.21799999999999953</v>
      </c>
      <c r="DG12" s="106">
        <f>+HLOOKUP($C12,'NEW CAR'!$BE$2:$BQ$250,203,0)</f>
        <v>-22.744</v>
      </c>
      <c r="DH12" s="106">
        <f>+HLOOKUP($C12,'NEW CAR'!$BE$2:$BQ$250,205,0)</f>
        <v>148648</v>
      </c>
      <c r="DI12" s="106">
        <f>+HLOOKUP($C12,'NEW CAR'!$BE$2:$BQ$250,206,0)</f>
        <v>0</v>
      </c>
      <c r="DJ12" s="106">
        <f>+HLOOKUP($C12,'NEW CAR'!$BE$2:$BQ$250,207,0)</f>
        <v>2736.3320000000003</v>
      </c>
      <c r="DK12" s="106">
        <f>+HLOOKUP($C12,'NEW CAR'!$BE$2:$BQ$250,209,0)</f>
        <v>0</v>
      </c>
      <c r="DL12" s="106">
        <f>+HLOOKUP($C12,'NEW CAR'!$BE$2:$BQ$250,210,0)</f>
        <v>0</v>
      </c>
      <c r="DM12" s="106">
        <f>+HLOOKUP($C12,'NEW CAR'!$BE$2:$BQ$250,211,0)</f>
        <v>87450.312499999956</v>
      </c>
      <c r="DN12" s="106">
        <f>+HLOOKUP($C12,'NEW CAR'!$BE$2:$BQ$250,212,0)</f>
        <v>146574</v>
      </c>
      <c r="DO12" s="106">
        <f>+HLOOKUP($C12,'NEW CAR'!$BE$2:$BQ$250,214,0)</f>
        <v>0</v>
      </c>
      <c r="DP12" s="106">
        <f>+HLOOKUP($C12,'NEW CAR'!$BE$2:$BQ$250,215,0)</f>
        <v>8700</v>
      </c>
      <c r="DQ12" s="106">
        <f>+HLOOKUP($C12,'NEW CAR'!$BE$2:$BQ$250,219,0)</f>
        <v>120838.35616438357</v>
      </c>
      <c r="DR12" s="106">
        <f>+HLOOKUP($C12,'NEW CAR'!$BE$2:$BQ$250,220,0)</f>
        <v>0</v>
      </c>
      <c r="DS12" s="106">
        <f>+HLOOKUP($C12,'NEW CAR'!$BE$2:$BQ$250,221,0)</f>
        <v>427202.34600000002</v>
      </c>
      <c r="DT12" s="106">
        <f>+HLOOKUP($C12,'NEW CAR'!$BE$2:$BQ$250,223,0)</f>
        <v>28380.059999999998</v>
      </c>
      <c r="DU12" s="106">
        <f>+HLOOKUP($C12,'NEW CAR'!$BE$2:$BQ$250,224,0)</f>
        <v>0</v>
      </c>
      <c r="DV12" s="106">
        <f>+HLOOKUP($C12,'NEW CAR'!$BE$2:$BQ$250,225,0)</f>
        <v>0</v>
      </c>
      <c r="DW12" s="106">
        <f>+HLOOKUP($C12,'NEW CAR'!$BE$2:$BQ$250,227,0)</f>
        <v>0</v>
      </c>
      <c r="DX12" s="106">
        <f>+HLOOKUP($C12,'NEW CAR'!$BE$2:$BQ$250,228,0)</f>
        <v>26952.400000000001</v>
      </c>
      <c r="DY12" s="106">
        <f>+HLOOKUP($C12,'NEW CAR'!$BE$2:$BQ$250,236,0)</f>
        <v>0</v>
      </c>
      <c r="DZ12" s="106">
        <f>+HLOOKUP($C12,'NEW CAR'!$BE$2:$BQ$250,237,0)</f>
        <v>127492.28700000001</v>
      </c>
      <c r="EA12" s="106">
        <f>+HLOOKUP($C12,'NEW CAR'!$BE$2:$BQ$250,238,0)</f>
        <v>0</v>
      </c>
      <c r="EB12" s="106">
        <f>+HLOOKUP($C12,'NEW CAR'!$BE$2:$BQ$250,240,0)</f>
        <v>952163.96462113166</v>
      </c>
    </row>
    <row r="13" spans="1:133">
      <c r="A13" t="s">
        <v>269</v>
      </c>
      <c r="B13" t="s">
        <v>270</v>
      </c>
      <c r="C13" s="117">
        <v>45658</v>
      </c>
      <c r="D13" s="106">
        <f>+HLOOKUP(C13,'NEW CAR'!$BE$2:$BQ$250,6,0)/3.5%</f>
        <v>103870083.08000001</v>
      </c>
      <c r="E13" s="106">
        <f>+HLOOKUP(C13,'NEW CAR'!$BE$2:$BQ$250,5,0)+HLOOKUP(C13,'NEW CAR'!$BE$2:$BQ$250,26,0)+HLOOKUP(C13,'NEW CAR'!$BE$2:$BQ$250,59,0)</f>
        <v>6929483.0015837848</v>
      </c>
      <c r="G13" s="106">
        <f>+HLOOKUP($C13,'NEW CAR'!$BE$2:$BQ$250,76,0)</f>
        <v>25700</v>
      </c>
      <c r="H13" s="106">
        <f>+HLOOKUP($C13,'NEW CAR'!$BE$2:$BQ$250,77,0)</f>
        <v>284678.89</v>
      </c>
      <c r="I13" s="106">
        <f>+HLOOKUP($C13,'NEW CAR'!$BE$2:$BQ$250,78,0)</f>
        <v>0</v>
      </c>
      <c r="J13" s="106">
        <f>+HLOOKUP($C13,'NEW CAR'!$BE$2:$BQ$250,79,0)</f>
        <v>50334.85</v>
      </c>
      <c r="K13" s="106">
        <f>+HLOOKUP($C13,'NEW CAR'!$BE$2:$BQ$250,80,0)</f>
        <v>0</v>
      </c>
      <c r="L13" s="106">
        <f>+HLOOKUP($C13,'NEW CAR'!$BE$2:$BQ$250,81,0)</f>
        <v>3400</v>
      </c>
      <c r="M13" s="106">
        <f>+HLOOKUP($C13,'NEW CAR'!$BE$2:$BQ$250,82,0)</f>
        <v>0</v>
      </c>
      <c r="N13" s="106">
        <f>+HLOOKUP($C13,'NEW CAR'!$BE$2:$BQ$250,83,0)</f>
        <v>0</v>
      </c>
      <c r="O13" s="106">
        <f>+HLOOKUP($C13,'NEW CAR'!$BE$2:$BQ$250,84,0)</f>
        <v>0</v>
      </c>
      <c r="P13" s="106">
        <f>+HLOOKUP($C13,'NEW CAR'!$BE$2:$BQ$250,85,0)</f>
        <v>0</v>
      </c>
      <c r="Q13" s="106">
        <f>+HLOOKUP($C13,'NEW CAR'!$BE$2:$BQ$250,87,0)</f>
        <v>1002593</v>
      </c>
      <c r="R13" s="106">
        <f>+HLOOKUP($C13,'NEW CAR'!$BE$2:$BQ$250,90,0)</f>
        <v>0</v>
      </c>
      <c r="S13" s="106">
        <f>+HLOOKUP($C13,'NEW CAR'!$BE$2:$BQ$250,91,0)</f>
        <v>0</v>
      </c>
      <c r="T13" s="106">
        <f>+HLOOKUP($C13,'NEW CAR'!$BE$2:$BQ$250,92,0)</f>
        <v>397541.34</v>
      </c>
      <c r="U13" s="106">
        <f>+HLOOKUP($C13,'NEW CAR'!$BE$2:$BQ$250,93,0)</f>
        <v>7500</v>
      </c>
      <c r="V13" s="106">
        <f>+HLOOKUP($C13,'NEW CAR'!$BE$2:$BQ$250,94,0)</f>
        <v>0</v>
      </c>
      <c r="W13" s="106">
        <f>+HLOOKUP($C13,'NEW CAR'!$BE$2:$BQ$250,95,0)</f>
        <v>46796</v>
      </c>
      <c r="X13" s="106">
        <f>+HLOOKUP($C13,'NEW CAR'!$BE$2:$BQ$250,96,0)</f>
        <v>67721.070000000007</v>
      </c>
      <c r="Y13" s="106">
        <f>+HLOOKUP($C13,'NEW CAR'!$BE$2:$BQ$250,97,0)</f>
        <v>103192.524</v>
      </c>
      <c r="Z13" s="106">
        <f>+HLOOKUP($C13,'NEW CAR'!$BE$2:$BQ$250,98,0)</f>
        <v>0</v>
      </c>
      <c r="AA13" s="106">
        <f>+HLOOKUP($C13,'NEW CAR'!$BE$2:$BQ$250,99,0)</f>
        <v>0</v>
      </c>
      <c r="AB13" s="106">
        <f>+HLOOKUP($C13,'NEW CAR'!$BE$2:$BQ$250,100,0)</f>
        <v>0</v>
      </c>
      <c r="AC13" s="106">
        <f>+HLOOKUP($C13,'NEW CAR'!$BE$2:$BQ$250,101,0)</f>
        <v>26751.575999999997</v>
      </c>
      <c r="AD13" s="106">
        <f>+HLOOKUP($C13,'NEW CAR'!$BE$2:$BQ$250,104,0)</f>
        <v>0</v>
      </c>
      <c r="AE13" s="106">
        <f>+HLOOKUP($C13,'NEW CAR'!$BE$2:$BQ$250,105,0)</f>
        <v>513003.35399999999</v>
      </c>
      <c r="AF13" s="106">
        <f>+HLOOKUP($C13,'NEW CAR'!$BE$2:$BQ$250,106,0)</f>
        <v>0</v>
      </c>
      <c r="AG13" s="106">
        <f>+HLOOKUP($C13,'NEW CAR'!$BE$2:$BQ$250,107,0)</f>
        <v>217420.80600000001</v>
      </c>
      <c r="AH13" s="106">
        <f>+HLOOKUP($C13,'NEW CAR'!$BE$2:$BQ$250,108,0)</f>
        <v>13680</v>
      </c>
      <c r="AI13" s="106">
        <f>+HLOOKUP($C13,'NEW CAR'!$BE$2:$BQ$250,109,0)</f>
        <v>128027.724</v>
      </c>
      <c r="AJ13" s="106">
        <f>+HLOOKUP($C13,'NEW CAR'!$BE$2:$BQ$250,110,0)</f>
        <v>0</v>
      </c>
      <c r="AK13" s="106">
        <f>+HLOOKUP($C13,'NEW CAR'!$BE$2:$BQ$250,111,0)</f>
        <v>0</v>
      </c>
      <c r="AL13" s="106">
        <f>+HLOOKUP($C13,'NEW CAR'!$BE$2:$BQ$250,112,0)</f>
        <v>0</v>
      </c>
      <c r="AM13" s="106">
        <f>+HLOOKUP($C13,'NEW CAR'!$BE$2:$BQ$250,116,0)</f>
        <v>1219048</v>
      </c>
      <c r="AN13" s="106">
        <f>+HLOOKUP($C13,'NEW CAR'!$BE$2:$BQ$250,117,0)</f>
        <v>125995</v>
      </c>
      <c r="AO13" s="106">
        <f>+HLOOKUP($C13,'NEW CAR'!$BE$2:$BQ$250,118,0)</f>
        <v>32000</v>
      </c>
      <c r="AP13" s="106">
        <f>+HLOOKUP($C13,'NEW CAR'!$BE$2:$BQ$250,119,0)</f>
        <v>328679</v>
      </c>
      <c r="AQ13" s="106">
        <f>+HLOOKUP($C13,'NEW CAR'!$BE$2:$BQ$250,120,0)</f>
        <v>83798</v>
      </c>
      <c r="AR13" s="106">
        <f>+HLOOKUP($C13,'NEW CAR'!$BE$2:$BQ$250,121,0)</f>
        <v>37600</v>
      </c>
      <c r="AS13" s="106">
        <f>+HLOOKUP($C13,'NEW CAR'!$BE$2:$BQ$250,122,0)</f>
        <v>549860</v>
      </c>
      <c r="AT13" s="106">
        <f>+HLOOKUP($C13,'NEW CAR'!$BE$2:$BQ$250,123,0)</f>
        <v>94256</v>
      </c>
      <c r="AU13" s="106">
        <f>+HLOOKUP($C13,'NEW CAR'!$BE$2:$BQ$250,124,0)</f>
        <v>8981</v>
      </c>
      <c r="AV13" s="106">
        <f>+HLOOKUP($C13,'NEW CAR'!$BE$2:$BQ$250,125,0)</f>
        <v>104600</v>
      </c>
      <c r="AW13" s="106">
        <f>+HLOOKUP($C13,'NEW CAR'!$BE$2:$BQ$250,126,0)</f>
        <v>54057.692307692305</v>
      </c>
      <c r="AX13" s="106">
        <f>+HLOOKUP($C13,'NEW CAR'!$BE$2:$BQ$250,127,0)</f>
        <v>60583.333333333343</v>
      </c>
      <c r="AY13" s="106">
        <f>+HLOOKUP($C13,'NEW CAR'!$BE$2:$BQ$250,129,0)</f>
        <v>0</v>
      </c>
      <c r="AZ13" s="106">
        <f>+HLOOKUP($C13,'NEW CAR'!$BE$2:$BQ$250,130,0)</f>
        <v>0</v>
      </c>
      <c r="BA13" s="106">
        <f>+HLOOKUP($C13,'NEW CAR'!$BE$2:$BQ$250,131,0)</f>
        <v>0</v>
      </c>
      <c r="BB13" s="106">
        <f>+HLOOKUP($C13,'NEW CAR'!$BE$2:$BQ$250,133,0)</f>
        <v>0</v>
      </c>
      <c r="BC13" s="106">
        <f>+HLOOKUP($C13,'NEW CAR'!$BE$2:$BQ$250,134,0)</f>
        <v>67236.800000000003</v>
      </c>
      <c r="BD13" s="106">
        <f>+HLOOKUP($C13,'NEW CAR'!$BE$2:$BQ$250,135,0)</f>
        <v>0</v>
      </c>
      <c r="BE13" s="106">
        <f>+HLOOKUP($C13,'NEW CAR'!$BE$2:$BQ$250,136,0)</f>
        <v>0</v>
      </c>
      <c r="BF13" s="106">
        <f>+HLOOKUP($C13,'NEW CAR'!$BE$2:$BQ$250,138,0)</f>
        <v>0</v>
      </c>
      <c r="BG13" s="106">
        <f>+HLOOKUP($C13,'NEW CAR'!$BE$2:$BQ$250,139,0)</f>
        <v>20892</v>
      </c>
      <c r="BH13" s="106">
        <f>+HLOOKUP($C13,'NEW CAR'!$BE$2:$BQ$250,140,0)</f>
        <v>0</v>
      </c>
      <c r="BI13" s="106">
        <f>+HLOOKUP($C13,'NEW CAR'!$BE$2:$BQ$250,141,0)</f>
        <v>0</v>
      </c>
      <c r="BJ13" s="106">
        <f>+HLOOKUP($C13,'NEW CAR'!$BE$2:$BQ$250,142,0)</f>
        <v>0</v>
      </c>
      <c r="BK13" s="106">
        <f>+HLOOKUP($C13,'NEW CAR'!$BE$2:$BQ$250,143,0)</f>
        <v>36529.25</v>
      </c>
      <c r="BL13" s="106">
        <f>+HLOOKUP($C13,'NEW CAR'!$BE$2:$BQ$250,144,0)</f>
        <v>43861</v>
      </c>
      <c r="BM13" s="106">
        <f>+HLOOKUP($C13,'NEW CAR'!$BE$2:$BQ$250,146,0)</f>
        <v>0</v>
      </c>
      <c r="BN13" s="106">
        <f>+HLOOKUP($C13,'NEW CAR'!$BE$2:$BQ$250,147,0)</f>
        <v>80696</v>
      </c>
      <c r="BO13" s="106">
        <f>+HLOOKUP($C13,'NEW CAR'!$BE$2:$BQ$250,148,0)</f>
        <v>0</v>
      </c>
      <c r="BP13" s="106">
        <f>+HLOOKUP($C13,'NEW CAR'!$BE$2:$BQ$250,150,0)</f>
        <v>66276</v>
      </c>
      <c r="BQ13" s="106">
        <f>+HLOOKUP($C13,'NEW CAR'!$BE$2:$BQ$250,151,0)</f>
        <v>4961</v>
      </c>
      <c r="BR13" s="106">
        <f>+HLOOKUP($C13,'NEW CAR'!$BE$2:$BQ$250,152,0)</f>
        <v>47000</v>
      </c>
      <c r="BS13" s="106">
        <f>+HLOOKUP($C13,'NEW CAR'!$BE$2:$BQ$250,153,0)</f>
        <v>600</v>
      </c>
      <c r="BT13" s="106">
        <f>+HLOOKUP($C13,'NEW CAR'!$BE$2:$BQ$250,157,0)</f>
        <v>1960</v>
      </c>
      <c r="BU13" s="106">
        <f>+HLOOKUP($C13,'NEW CAR'!$BE$2:$BQ$250,158,0)</f>
        <v>0</v>
      </c>
      <c r="BV13" s="106">
        <f>+HLOOKUP($C13,'NEW CAR'!$BE$2:$BQ$250,159,0)</f>
        <v>6340.04</v>
      </c>
      <c r="BW13" s="106">
        <f>+HLOOKUP($C13,'NEW CAR'!$BE$2:$BQ$250,160,0)</f>
        <v>2300</v>
      </c>
      <c r="BX13" s="106">
        <f>+HLOOKUP($C13,'NEW CAR'!$BE$2:$BQ$250,161,0)</f>
        <v>8498.4079999999994</v>
      </c>
      <c r="BY13" s="106">
        <f>+HLOOKUP($C13,'NEW CAR'!$BE$2:$BQ$250,164,0)</f>
        <v>18982.8</v>
      </c>
      <c r="BZ13" s="106">
        <f>+HLOOKUP($C13,'NEW CAR'!$BE$2:$BQ$250,165,0)</f>
        <v>0</v>
      </c>
      <c r="CA13" s="106">
        <f>+HLOOKUP($C13,'NEW CAR'!$BE$2:$BQ$250,166,0)</f>
        <v>0</v>
      </c>
      <c r="CB13" s="106">
        <f>+HLOOKUP($C13,'NEW CAR'!$BE$2:$BQ$250,167,0)</f>
        <v>19564.75</v>
      </c>
      <c r="CC13" s="106">
        <f>+HLOOKUP($C13,'NEW CAR'!$BE$2:$BQ$250,168,0)</f>
        <v>0</v>
      </c>
      <c r="CD13" s="106">
        <f>+HLOOKUP($C13,'NEW CAR'!$BE$2:$BQ$250,169,0)</f>
        <v>8687.5</v>
      </c>
      <c r="CE13" s="106">
        <f>+HLOOKUP($C13,'NEW CAR'!$BE$2:$BQ$250,170,0)</f>
        <v>0</v>
      </c>
      <c r="CF13" s="106">
        <f>+HLOOKUP($C13,'NEW CAR'!$BE$2:$BQ$250,172,0)</f>
        <v>20150</v>
      </c>
      <c r="CG13" s="106">
        <f>+HLOOKUP($C13,'NEW CAR'!$BE$2:$BQ$250,173,0)</f>
        <v>0</v>
      </c>
      <c r="CH13" s="106">
        <f>+HLOOKUP($C13,'NEW CAR'!$BE$2:$BQ$250,174,0)</f>
        <v>0</v>
      </c>
      <c r="CI13" s="106">
        <f>+HLOOKUP($C13,'NEW CAR'!$BE$2:$BQ$250,175,0)</f>
        <v>0</v>
      </c>
      <c r="CJ13" s="106">
        <f>+HLOOKUP($C13,'NEW CAR'!$BE$2:$BQ$250,176,0)</f>
        <v>7717.8</v>
      </c>
      <c r="CK13" s="106">
        <f>+HLOOKUP($C13,'NEW CAR'!$BE$2:$BQ$250,178,0)</f>
        <v>388921</v>
      </c>
      <c r="CL13" s="106">
        <f>+HLOOKUP($C13,'NEW CAR'!$BE$2:$BQ$250,179,0)</f>
        <v>4740</v>
      </c>
      <c r="CM13" s="106">
        <f>+HLOOKUP($C13,'NEW CAR'!$BE$2:$BQ$250,180,0)</f>
        <v>0</v>
      </c>
      <c r="CN13" s="106">
        <f>+HLOOKUP($C13,'NEW CAR'!$BE$2:$BQ$250,182,0)</f>
        <v>18556.800000000003</v>
      </c>
      <c r="CO13" s="106">
        <f>+HLOOKUP($C13,'NEW CAR'!$BE$2:$BQ$250,183,0)</f>
        <v>0</v>
      </c>
      <c r="CP13" s="106">
        <f>+HLOOKUP($C13,'NEW CAR'!$BE$2:$BQ$250,184,0)</f>
        <v>5793.24</v>
      </c>
      <c r="CQ13" s="106">
        <f>+HLOOKUP($C13,'NEW CAR'!$BE$2:$BQ$250,185,0)</f>
        <v>0</v>
      </c>
      <c r="CR13" s="106">
        <f>+HLOOKUP($C13,'NEW CAR'!$BE$2:$BQ$250,187,0)</f>
        <v>8332.8000000000011</v>
      </c>
      <c r="CS13" s="106">
        <f>+HLOOKUP($C13,'NEW CAR'!$BE$2:$BQ$250,188,0)</f>
        <v>6000</v>
      </c>
      <c r="CT13" s="106">
        <f>+HLOOKUP($C13,'NEW CAR'!$BE$2:$BQ$250,189,0)</f>
        <v>0</v>
      </c>
      <c r="CU13" s="106">
        <f>+HLOOKUP($C13,'NEW CAR'!$BE$2:$BQ$250,190,0)</f>
        <v>9382.2000000000007</v>
      </c>
      <c r="CV13" s="106">
        <f>+HLOOKUP($C13,'NEW CAR'!$BE$2:$BQ$250,191,0)</f>
        <v>0</v>
      </c>
      <c r="CW13" s="106">
        <f>+HLOOKUP($C13,'NEW CAR'!$BE$2:$BQ$250,193,0)</f>
        <v>11831</v>
      </c>
      <c r="CX13" s="106">
        <f>+HLOOKUP($C13,'NEW CAR'!$BE$2:$BQ$250,194,0)</f>
        <v>106</v>
      </c>
      <c r="CY13" s="106">
        <f>+HLOOKUP($C13,'NEW CAR'!$BE$2:$BQ$250,195,0)</f>
        <v>0</v>
      </c>
      <c r="CZ13" s="106">
        <f>+HLOOKUP($C13,'NEW CAR'!$BE$2:$BQ$250,196,0)</f>
        <v>0</v>
      </c>
      <c r="DA13" s="106">
        <f>+HLOOKUP($C13,'NEW CAR'!$BE$2:$BQ$250,197,0)</f>
        <v>55084.34</v>
      </c>
      <c r="DB13" s="106">
        <f>+HLOOKUP($C13,'NEW CAR'!$BE$2:$BQ$250,198,0)</f>
        <v>18398.900000000001</v>
      </c>
      <c r="DC13" s="106">
        <f>+HLOOKUP($C13,'NEW CAR'!$BE$2:$BQ$250,199,0)</f>
        <v>2652.55</v>
      </c>
      <c r="DD13" s="106">
        <f>+HLOOKUP($C13,'NEW CAR'!$BE$2:$BQ$250,200,0)</f>
        <v>1640</v>
      </c>
      <c r="DE13" s="106">
        <f>+HLOOKUP($C13,'NEW CAR'!$BE$2:$BQ$250,201,0)</f>
        <v>0</v>
      </c>
      <c r="DF13" s="106">
        <f>+HLOOKUP($C13,'NEW CAR'!$BE$2:$BQ$250,202,0)</f>
        <v>1.2000000000000011E-2</v>
      </c>
      <c r="DG13" s="106">
        <f>+HLOOKUP($C13,'NEW CAR'!$BE$2:$BQ$250,203,0)</f>
        <v>-7.0840000000000005</v>
      </c>
      <c r="DH13" s="106">
        <f>+HLOOKUP($C13,'NEW CAR'!$BE$2:$BQ$250,205,0)</f>
        <v>148648</v>
      </c>
      <c r="DI13" s="106">
        <f>+HLOOKUP($C13,'NEW CAR'!$BE$2:$BQ$250,206,0)</f>
        <v>0</v>
      </c>
      <c r="DJ13" s="106">
        <f>+HLOOKUP($C13,'NEW CAR'!$BE$2:$BQ$250,207,0)</f>
        <v>0</v>
      </c>
      <c r="DK13" s="106">
        <f>+HLOOKUP($C13,'NEW CAR'!$BE$2:$BQ$250,209,0)</f>
        <v>0</v>
      </c>
      <c r="DL13" s="106">
        <f>+HLOOKUP($C13,'NEW CAR'!$BE$2:$BQ$250,210,0)</f>
        <v>0</v>
      </c>
      <c r="DM13" s="106">
        <f>+HLOOKUP($C13,'NEW CAR'!$BE$2:$BQ$250,211,0)</f>
        <v>87450.312499999956</v>
      </c>
      <c r="DN13" s="106">
        <f>+HLOOKUP($C13,'NEW CAR'!$BE$2:$BQ$250,212,0)</f>
        <v>0</v>
      </c>
      <c r="DO13" s="106">
        <f>+HLOOKUP($C13,'NEW CAR'!$BE$2:$BQ$250,214,0)</f>
        <v>0</v>
      </c>
      <c r="DP13" s="106">
        <f>+HLOOKUP($C13,'NEW CAR'!$BE$2:$BQ$250,215,0)</f>
        <v>26500</v>
      </c>
      <c r="DQ13" s="106">
        <f>+HLOOKUP($C13,'NEW CAR'!$BE$2:$BQ$250,219,0)</f>
        <v>207944.10958904109</v>
      </c>
      <c r="DR13" s="106">
        <f>+HLOOKUP($C13,'NEW CAR'!$BE$2:$BQ$250,220,0)</f>
        <v>0</v>
      </c>
      <c r="DS13" s="106">
        <f>+HLOOKUP($C13,'NEW CAR'!$BE$2:$BQ$250,221,0)</f>
        <v>498757.65599999996</v>
      </c>
      <c r="DT13" s="106">
        <f>+HLOOKUP($C13,'NEW CAR'!$BE$2:$BQ$250,223,0)</f>
        <v>52988.675999999992</v>
      </c>
      <c r="DU13" s="106">
        <f>+HLOOKUP($C13,'NEW CAR'!$BE$2:$BQ$250,224,0)</f>
        <v>0</v>
      </c>
      <c r="DV13" s="106">
        <f>+HLOOKUP($C13,'NEW CAR'!$BE$2:$BQ$250,225,0)</f>
        <v>0</v>
      </c>
      <c r="DW13" s="106">
        <f>+HLOOKUP($C13,'NEW CAR'!$BE$2:$BQ$250,227,0)</f>
        <v>0</v>
      </c>
      <c r="DX13" s="106">
        <f>+HLOOKUP($C13,'NEW CAR'!$BE$2:$BQ$250,228,0)</f>
        <v>36514.800000000003</v>
      </c>
      <c r="DY13" s="106">
        <f>+HLOOKUP($C13,'NEW CAR'!$BE$2:$BQ$250,236,0)</f>
        <v>0</v>
      </c>
      <c r="DZ13" s="106">
        <f>+HLOOKUP($C13,'NEW CAR'!$BE$2:$BQ$250,237,0)</f>
        <v>142834.8688</v>
      </c>
      <c r="EA13" s="106">
        <f>+HLOOKUP($C13,'NEW CAR'!$BE$2:$BQ$250,238,0)</f>
        <v>0</v>
      </c>
      <c r="EB13" s="106">
        <f>+HLOOKUP($C13,'NEW CAR'!$BE$2:$BQ$250,240,0)</f>
        <v>952163.96462113166</v>
      </c>
    </row>
    <row r="14" spans="1:133">
      <c r="A14" t="s">
        <v>269</v>
      </c>
      <c r="B14" t="s">
        <v>270</v>
      </c>
      <c r="C14" s="117">
        <v>45627</v>
      </c>
      <c r="D14" s="106">
        <f>+HLOOKUP(C14,'NEW CAR'!$AQ$2:$BC$250,6,0)/3.5%</f>
        <v>142669598.99999997</v>
      </c>
      <c r="E14" s="106">
        <f>+HLOOKUP(C14,'NEW CAR'!$AQ$2:$BC$250,5,0)+HLOOKUP(C14,'NEW CAR'!$AQ$2:$BC$250,26,0)+HLOOKUP(C14,'NEW CAR'!$AQ$2:$BC$250,59,0)</f>
        <v>9672047.8649999984</v>
      </c>
      <c r="G14" s="106">
        <f>+HLOOKUP($C14,'NEW CAR'!$AQ$2:$BC$250,76,0)</f>
        <v>109630</v>
      </c>
      <c r="H14" s="106">
        <f>+HLOOKUP($C14,'NEW CAR'!$AQ$2:$BC$250,77,0)</f>
        <v>363479.89</v>
      </c>
      <c r="I14" s="106">
        <f>+HLOOKUP($C14,'NEW CAR'!$AQ$2:$BC$250,78,0)</f>
        <v>0</v>
      </c>
      <c r="J14" s="106">
        <f>+HLOOKUP($C14,'NEW CAR'!$AQ$2:$BC$250,79,0)</f>
        <v>112606.65</v>
      </c>
      <c r="K14" s="106">
        <f>+HLOOKUP($C14,'NEW CAR'!$AQ$2:$BC$250,80,0)</f>
        <v>0</v>
      </c>
      <c r="L14" s="106">
        <f>+HLOOKUP($C14,'NEW CAR'!$AQ$2:$BC$250,81,0)</f>
        <v>0</v>
      </c>
      <c r="M14" s="106">
        <f>+HLOOKUP($C14,'NEW CAR'!$AQ$2:$BC$250,82,0)</f>
        <v>0</v>
      </c>
      <c r="N14" s="106">
        <f>+HLOOKUP($C14,'NEW CAR'!$AQ$2:$BC$250,83,0)</f>
        <v>5290</v>
      </c>
      <c r="O14" s="106">
        <f>+HLOOKUP($C14,'NEW CAR'!$AQ$2:$BC$250,84,0)</f>
        <v>0</v>
      </c>
      <c r="P14" s="106">
        <f>+HLOOKUP($C14,'NEW CAR'!$AQ$2:$BC$250,85,0)</f>
        <v>0</v>
      </c>
      <c r="Q14" s="106">
        <f>+HLOOKUP($C14,'NEW CAR'!$AQ$2:$BC$250,87,0)</f>
        <v>622314</v>
      </c>
      <c r="R14" s="106">
        <f>+HLOOKUP($C14,'NEW CAR'!$AQ$2:$BC$250,90,0)</f>
        <v>0</v>
      </c>
      <c r="S14" s="106">
        <f>+HLOOKUP($C14,'NEW CAR'!$AQ$2:$BC$250,91,0)</f>
        <v>0</v>
      </c>
      <c r="T14" s="106">
        <f>+HLOOKUP($C14,'NEW CAR'!$AQ$2:$BC$250,92,0)</f>
        <v>453425</v>
      </c>
      <c r="U14" s="106">
        <f>+HLOOKUP($C14,'NEW CAR'!$AQ$2:$BC$250,93,0)</f>
        <v>0</v>
      </c>
      <c r="V14" s="106">
        <f>+HLOOKUP($C14,'NEW CAR'!$AQ$2:$BC$250,94,0)</f>
        <v>0</v>
      </c>
      <c r="W14" s="106">
        <f>+HLOOKUP($C14,'NEW CAR'!$AQ$2:$BC$250,95,0)</f>
        <v>0</v>
      </c>
      <c r="X14" s="106">
        <f>+HLOOKUP($C14,'NEW CAR'!$AQ$2:$BC$250,96,0)</f>
        <v>6771</v>
      </c>
      <c r="Y14" s="106">
        <f>+HLOOKUP($C14,'NEW CAR'!$AQ$2:$BC$250,97,0)</f>
        <v>159690.56</v>
      </c>
      <c r="Z14" s="106">
        <f>+HLOOKUP($C14,'NEW CAR'!$AQ$2:$BC$250,98,0)</f>
        <v>0</v>
      </c>
      <c r="AA14" s="106">
        <f>+HLOOKUP($C14,'NEW CAR'!$AQ$2:$BC$250,99,0)</f>
        <v>0</v>
      </c>
      <c r="AB14" s="106">
        <f>+HLOOKUP($C14,'NEW CAR'!$AQ$2:$BC$250,100,0)</f>
        <v>126889.60575757574</v>
      </c>
      <c r="AC14" s="106">
        <f>+HLOOKUP($C14,'NEW CAR'!$AQ$2:$BC$250,101,0)</f>
        <v>14736</v>
      </c>
      <c r="AD14" s="106">
        <f>+HLOOKUP($C14,'NEW CAR'!$AQ$2:$BC$250,104,0)</f>
        <v>29140.18</v>
      </c>
      <c r="AE14" s="106">
        <f>+HLOOKUP($C14,'NEW CAR'!$AQ$2:$BC$250,105,0)</f>
        <v>-1373.5079999999944</v>
      </c>
      <c r="AF14" s="106">
        <f>+HLOOKUP($C14,'NEW CAR'!$AQ$2:$BC$250,106,0)</f>
        <v>0</v>
      </c>
      <c r="AG14" s="106">
        <f>+HLOOKUP($C14,'NEW CAR'!$AQ$2:$BC$250,107,0)</f>
        <v>542601.6</v>
      </c>
      <c r="AH14" s="106">
        <f>+HLOOKUP($C14,'NEW CAR'!$AQ$2:$BC$250,108,0)</f>
        <v>14166</v>
      </c>
      <c r="AI14" s="106">
        <f>+HLOOKUP($C14,'NEW CAR'!$AQ$2:$BC$250,109,0)</f>
        <v>232587.3</v>
      </c>
      <c r="AJ14" s="106">
        <f>+HLOOKUP($C14,'NEW CAR'!$AQ$2:$BC$250,110,0)</f>
        <v>0</v>
      </c>
      <c r="AK14" s="106">
        <f>+HLOOKUP($C14,'NEW CAR'!$AQ$2:$BC$250,111,0)</f>
        <v>0</v>
      </c>
      <c r="AL14" s="106">
        <f>+HLOOKUP($C14,'NEW CAR'!$AQ$2:$BC$250,112,0)</f>
        <v>0</v>
      </c>
      <c r="AM14" s="106">
        <f>+HLOOKUP($C14,'NEW CAR'!$AQ$2:$BC$250,116,0)</f>
        <v>1025919</v>
      </c>
      <c r="AN14" s="106">
        <f>+HLOOKUP($C14,'NEW CAR'!$AQ$2:$BC$250,117,0)</f>
        <v>123469</v>
      </c>
      <c r="AO14" s="106">
        <f>+HLOOKUP($C14,'NEW CAR'!$AQ$2:$BC$250,118,0)</f>
        <v>32000</v>
      </c>
      <c r="AP14" s="106">
        <f>+HLOOKUP($C14,'NEW CAR'!$AQ$2:$BC$250,119,0)</f>
        <v>322815</v>
      </c>
      <c r="AQ14" s="106">
        <f>+HLOOKUP($C14,'NEW CAR'!$AQ$2:$BC$250,120,0)</f>
        <v>78750</v>
      </c>
      <c r="AR14" s="106">
        <f>+HLOOKUP($C14,'NEW CAR'!$AQ$2:$BC$250,121,0)</f>
        <v>37600</v>
      </c>
      <c r="AS14" s="106">
        <f>+HLOOKUP($C14,'NEW CAR'!$AQ$2:$BC$250,122,0)</f>
        <v>538815</v>
      </c>
      <c r="AT14" s="106">
        <f>+HLOOKUP($C14,'NEW CAR'!$AQ$2:$BC$250,123,0)</f>
        <v>88217.200000000012</v>
      </c>
      <c r="AU14" s="106">
        <f>+HLOOKUP($C14,'NEW CAR'!$AQ$2:$BC$250,124,0)</f>
        <v>10106.6</v>
      </c>
      <c r="AV14" s="106">
        <f>+HLOOKUP($C14,'NEW CAR'!$AQ$2:$BC$250,125,0)</f>
        <v>99400</v>
      </c>
      <c r="AW14" s="106">
        <f>+HLOOKUP($C14,'NEW CAR'!$AQ$2:$BC$250,126,0)</f>
        <v>37917.937499999993</v>
      </c>
      <c r="AX14" s="106">
        <f>+HLOOKUP($C14,'NEW CAR'!$AQ$2:$BC$250,127,0)</f>
        <v>44493.224999999991</v>
      </c>
      <c r="AY14" s="106">
        <f>+HLOOKUP($C14,'NEW CAR'!$AQ$2:$BC$250,129,0)</f>
        <v>0</v>
      </c>
      <c r="AZ14" s="106">
        <f>+HLOOKUP($C14,'NEW CAR'!$AQ$2:$BC$250,130,0)</f>
        <v>0</v>
      </c>
      <c r="BA14" s="106">
        <f>+HLOOKUP($C14,'NEW CAR'!$AQ$2:$BC$250,131,0)</f>
        <v>98175</v>
      </c>
      <c r="BB14" s="106">
        <f>+HLOOKUP($C14,'NEW CAR'!$AQ$2:$BC$250,133,0)</f>
        <v>0</v>
      </c>
      <c r="BC14" s="106">
        <f>+HLOOKUP($C14,'NEW CAR'!$AQ$2:$BC$250,134,0)</f>
        <v>451337.66399999999</v>
      </c>
      <c r="BD14" s="106">
        <f>+HLOOKUP($C14,'NEW CAR'!$AQ$2:$BC$250,135,0)</f>
        <v>0</v>
      </c>
      <c r="BE14" s="106">
        <f>+HLOOKUP($C14,'NEW CAR'!$AQ$2:$BC$250,136,0)</f>
        <v>0</v>
      </c>
      <c r="BF14" s="106">
        <f>+HLOOKUP($C14,'NEW CAR'!$AQ$2:$BC$250,138,0)</f>
        <v>0</v>
      </c>
      <c r="BG14" s="106">
        <f>+HLOOKUP($C14,'NEW CAR'!$AQ$2:$BC$250,139,0)</f>
        <v>73477.3</v>
      </c>
      <c r="BH14" s="106">
        <f>+HLOOKUP($C14,'NEW CAR'!$AQ$2:$BC$250,140,0)</f>
        <v>0</v>
      </c>
      <c r="BI14" s="106">
        <f>+HLOOKUP($C14,'NEW CAR'!$AQ$2:$BC$250,141,0)</f>
        <v>0</v>
      </c>
      <c r="BJ14" s="106">
        <f>+HLOOKUP($C14,'NEW CAR'!$AQ$2:$BC$250,142,0)</f>
        <v>0</v>
      </c>
      <c r="BK14" s="106">
        <f>+HLOOKUP($C14,'NEW CAR'!$AQ$2:$BC$250,143,0)</f>
        <v>56688.333333333343</v>
      </c>
      <c r="BL14" s="106">
        <f>+HLOOKUP($C14,'NEW CAR'!$AQ$2:$BC$250,144,0)</f>
        <v>0</v>
      </c>
      <c r="BM14" s="106">
        <f>+HLOOKUP($C14,'NEW CAR'!$AQ$2:$BC$250,146,0)</f>
        <v>0</v>
      </c>
      <c r="BN14" s="106">
        <f>+HLOOKUP($C14,'NEW CAR'!$AQ$2:$BC$250,147,0)</f>
        <v>105636</v>
      </c>
      <c r="BO14" s="106">
        <f>+HLOOKUP($C14,'NEW CAR'!$AQ$2:$BC$250,148,0)</f>
        <v>0</v>
      </c>
      <c r="BP14" s="106">
        <f>+HLOOKUP($C14,'NEW CAR'!$AQ$2:$BC$250,150,0)</f>
        <v>64083</v>
      </c>
      <c r="BQ14" s="106">
        <f>+HLOOKUP($C14,'NEW CAR'!$AQ$2:$BC$250,151,0)</f>
        <v>9450</v>
      </c>
      <c r="BR14" s="106">
        <f>+HLOOKUP($C14,'NEW CAR'!$AQ$2:$BC$250,152,0)</f>
        <v>63000</v>
      </c>
      <c r="BS14" s="106">
        <f>+HLOOKUP($C14,'NEW CAR'!$AQ$2:$BC$250,153,0)</f>
        <v>600</v>
      </c>
      <c r="BT14" s="106">
        <f>+HLOOKUP($C14,'NEW CAR'!$AQ$2:$BC$250,157,0)</f>
        <v>79952</v>
      </c>
      <c r="BU14" s="106">
        <f>+HLOOKUP($C14,'NEW CAR'!$AQ$2:$BC$250,158,0)</f>
        <v>0</v>
      </c>
      <c r="BV14" s="106">
        <f>+HLOOKUP($C14,'NEW CAR'!$AQ$2:$BC$250,159,0)</f>
        <v>847</v>
      </c>
      <c r="BW14" s="106">
        <f>+HLOOKUP($C14,'NEW CAR'!$AQ$2:$BC$250,160,0)</f>
        <v>300</v>
      </c>
      <c r="BX14" s="106">
        <f>+HLOOKUP($C14,'NEW CAR'!$AQ$2:$BC$250,161,0)</f>
        <v>32083.440000000002</v>
      </c>
      <c r="BY14" s="106">
        <f>+HLOOKUP($C14,'NEW CAR'!$AQ$2:$BC$250,164,0)</f>
        <v>18784.079999999998</v>
      </c>
      <c r="BZ14" s="106">
        <f>+HLOOKUP($C14,'NEW CAR'!$AQ$2:$BC$250,165,0)</f>
        <v>0</v>
      </c>
      <c r="CA14" s="106">
        <f>+HLOOKUP($C14,'NEW CAR'!$AQ$2:$BC$250,166,0)</f>
        <v>0</v>
      </c>
      <c r="CB14" s="106">
        <f>+HLOOKUP($C14,'NEW CAR'!$AQ$2:$BC$250,167,0)</f>
        <v>24722.75</v>
      </c>
      <c r="CC14" s="106">
        <f>+HLOOKUP($C14,'NEW CAR'!$AQ$2:$BC$250,168,0)</f>
        <v>0</v>
      </c>
      <c r="CD14" s="106">
        <f>+HLOOKUP($C14,'NEW CAR'!$AQ$2:$BC$250,169,0)</f>
        <v>200</v>
      </c>
      <c r="CE14" s="106">
        <f>+HLOOKUP($C14,'NEW CAR'!$AQ$2:$BC$250,170,0)</f>
        <v>0</v>
      </c>
      <c r="CF14" s="106">
        <f>+HLOOKUP($C14,'NEW CAR'!$AQ$2:$BC$250,172,0)</f>
        <v>20150</v>
      </c>
      <c r="CG14" s="106">
        <f>+HLOOKUP($C14,'NEW CAR'!$AQ$2:$BC$250,173,0)</f>
        <v>0</v>
      </c>
      <c r="CH14" s="106">
        <f>+HLOOKUP($C14,'NEW CAR'!$AQ$2:$BC$250,174,0)</f>
        <v>0</v>
      </c>
      <c r="CI14" s="106">
        <f>+HLOOKUP($C14,'NEW CAR'!$AQ$2:$BC$250,175,0)</f>
        <v>0</v>
      </c>
      <c r="CJ14" s="106">
        <f>+HLOOKUP($C14,'NEW CAR'!$AQ$2:$BC$250,176,0)</f>
        <v>24171.690000000002</v>
      </c>
      <c r="CK14" s="106">
        <f>+HLOOKUP($C14,'NEW CAR'!$AQ$2:$BC$250,178,0)</f>
        <v>204548</v>
      </c>
      <c r="CL14" s="106">
        <f>+HLOOKUP($C14,'NEW CAR'!$AQ$2:$BC$250,179,0)</f>
        <v>0</v>
      </c>
      <c r="CM14" s="106">
        <f>+HLOOKUP($C14,'NEW CAR'!$AQ$2:$BC$250,180,0)</f>
        <v>0</v>
      </c>
      <c r="CN14" s="106">
        <f>+HLOOKUP($C14,'NEW CAR'!$AQ$2:$BC$250,182,0)</f>
        <v>4975</v>
      </c>
      <c r="CO14" s="106">
        <f>+HLOOKUP($C14,'NEW CAR'!$AQ$2:$BC$250,183,0)</f>
        <v>4905</v>
      </c>
      <c r="CP14" s="106">
        <f>+HLOOKUP($C14,'NEW CAR'!$AQ$2:$BC$250,184,0)</f>
        <v>19456</v>
      </c>
      <c r="CQ14" s="106">
        <f>+HLOOKUP($C14,'NEW CAR'!$AQ$2:$BC$250,185,0)</f>
        <v>0</v>
      </c>
      <c r="CR14" s="106">
        <f>+HLOOKUP($C14,'NEW CAR'!$AQ$2:$BC$250,187,0)</f>
        <v>0</v>
      </c>
      <c r="CS14" s="106">
        <f>+HLOOKUP($C14,'NEW CAR'!$AQ$2:$BC$250,188,0)</f>
        <v>6000</v>
      </c>
      <c r="CT14" s="106">
        <f>+HLOOKUP($C14,'NEW CAR'!$AQ$2:$BC$250,189,0)</f>
        <v>0</v>
      </c>
      <c r="CU14" s="106">
        <f>+HLOOKUP($C14,'NEW CAR'!$AQ$2:$BC$250,190,0)</f>
        <v>9382.2000000000007</v>
      </c>
      <c r="CV14" s="106">
        <f>+HLOOKUP($C14,'NEW CAR'!$AQ$2:$BC$250,191,0)</f>
        <v>0</v>
      </c>
      <c r="CW14" s="106">
        <f>+HLOOKUP($C14,'NEW CAR'!$AQ$2:$BC$250,193,0)</f>
        <v>11831</v>
      </c>
      <c r="CX14" s="106">
        <f>+HLOOKUP($C14,'NEW CAR'!$AQ$2:$BC$250,194,0)</f>
        <v>106</v>
      </c>
      <c r="CY14" s="106">
        <f>+HLOOKUP($C14,'NEW CAR'!$AQ$2:$BC$250,195,0)</f>
        <v>0</v>
      </c>
      <c r="CZ14" s="106">
        <f>+HLOOKUP($C14,'NEW CAR'!$AQ$2:$BC$250,196,0)</f>
        <v>0</v>
      </c>
      <c r="DA14" s="106">
        <f>+HLOOKUP($C14,'NEW CAR'!$AQ$2:$BC$250,197,0)</f>
        <v>43843.270000000004</v>
      </c>
      <c r="DB14" s="106">
        <f>+HLOOKUP($C14,'NEW CAR'!$AQ$2:$BC$250,198,0)</f>
        <v>19412.37</v>
      </c>
      <c r="DC14" s="106">
        <f>+HLOOKUP($C14,'NEW CAR'!$AQ$2:$BC$250,199,0)</f>
        <v>0</v>
      </c>
      <c r="DD14" s="106">
        <f>+HLOOKUP($C14,'NEW CAR'!$AQ$2:$BC$250,200,0)</f>
        <v>2662</v>
      </c>
      <c r="DE14" s="106">
        <f>+HLOOKUP($C14,'NEW CAR'!$AQ$2:$BC$250,201,0)</f>
        <v>0</v>
      </c>
      <c r="DF14" s="106">
        <f>+HLOOKUP($C14,'NEW CAR'!$AQ$2:$BC$250,202,0)</f>
        <v>4.58</v>
      </c>
      <c r="DG14" s="106">
        <f>+HLOOKUP($C14,'NEW CAR'!$AQ$2:$BC$250,203,0)</f>
        <v>324.77</v>
      </c>
      <c r="DH14" s="106">
        <f>+HLOOKUP($C14,'NEW CAR'!$AQ$2:$BC$250,205,0)</f>
        <v>148648</v>
      </c>
      <c r="DI14" s="106">
        <f>+HLOOKUP($C14,'NEW CAR'!$AQ$2:$BC$250,206,0)</f>
        <v>0</v>
      </c>
      <c r="DJ14" s="106">
        <f>+HLOOKUP($C14,'NEW CAR'!$AQ$2:$BC$250,207,0)</f>
        <v>2736.3320000000012</v>
      </c>
      <c r="DK14" s="106">
        <f>+HLOOKUP($C14,'NEW CAR'!$AQ$2:$BC$250,209,0)</f>
        <v>0</v>
      </c>
      <c r="DL14" s="106">
        <f>+HLOOKUP($C14,'NEW CAR'!$AQ$2:$BC$250,210,0)</f>
        <v>0</v>
      </c>
      <c r="DM14" s="106">
        <f>+HLOOKUP($C14,'NEW CAR'!$AQ$2:$BC$250,211,0)</f>
        <v>76041</v>
      </c>
      <c r="DN14" s="106">
        <f>+HLOOKUP($C14,'NEW CAR'!$AQ$2:$BC$250,212,0)</f>
        <v>69797</v>
      </c>
      <c r="DO14" s="106">
        <f>+HLOOKUP($C14,'NEW CAR'!$AQ$2:$BC$250,214,0)</f>
        <v>0</v>
      </c>
      <c r="DP14" s="106">
        <f>+HLOOKUP($C14,'NEW CAR'!$AQ$2:$BC$250,215,0)</f>
        <v>1000</v>
      </c>
      <c r="DQ14" s="106">
        <f>+HLOOKUP($C14,'NEW CAR'!$AQ$2:$BC$250,219,0)</f>
        <v>125623.287671233</v>
      </c>
      <c r="DR14" s="106">
        <f>+HLOOKUP($C14,'NEW CAR'!$AQ$2:$BC$250,220,0)</f>
        <v>0</v>
      </c>
      <c r="DS14" s="106">
        <f>+HLOOKUP($C14,'NEW CAR'!$AQ$2:$BC$250,221,0)</f>
        <v>562970.56200000003</v>
      </c>
      <c r="DT14" s="106">
        <f>+HLOOKUP($C14,'NEW CAR'!$AQ$2:$BC$250,223,0)</f>
        <v>37061.440000000002</v>
      </c>
      <c r="DU14" s="106">
        <f>+HLOOKUP($C14,'NEW CAR'!$AQ$2:$BC$250,224,0)</f>
        <v>0</v>
      </c>
      <c r="DV14" s="106">
        <f>+HLOOKUP($C14,'NEW CAR'!$AQ$2:$BC$250,225,0)</f>
        <v>0</v>
      </c>
      <c r="DW14" s="106">
        <f>+HLOOKUP($C14,'NEW CAR'!$AQ$2:$BC$250,227,0)</f>
        <v>0</v>
      </c>
      <c r="DX14" s="106">
        <f>+HLOOKUP($C14,'NEW CAR'!$AQ$2:$BC$250,228,0)</f>
        <v>34065.200000000004</v>
      </c>
      <c r="DY14" s="106">
        <f>+HLOOKUP($C14,'NEW CAR'!$AQ$2:$BC$250,236,0)</f>
        <v>0</v>
      </c>
      <c r="DZ14" s="106">
        <f>+HLOOKUP($C14,'NEW CAR'!$AQ$2:$BC$250,237,0)</f>
        <v>144495.0754</v>
      </c>
      <c r="EA14" s="106">
        <f>+HLOOKUP($C14,'NEW CAR'!$AQ$2:$BC$250,238,0)</f>
        <v>0</v>
      </c>
      <c r="EB14" s="106">
        <f>+HLOOKUP($C14,'NEW CAR'!$AQ$2:$BC$250,240,0)</f>
        <v>484785</v>
      </c>
    </row>
    <row r="15" spans="1:133">
      <c r="A15" t="s">
        <v>269</v>
      </c>
      <c r="B15" t="s">
        <v>270</v>
      </c>
      <c r="C15" s="117">
        <v>45597</v>
      </c>
      <c r="D15" s="106">
        <f>+HLOOKUP(C15,'NEW CAR'!$AQ$2:$BC$250,6,0)/3.5%</f>
        <v>80945373.820000008</v>
      </c>
      <c r="E15" s="106">
        <f>+HLOOKUP(C15,'NEW CAR'!$AQ$2:$BC$250,5,0)+HLOOKUP(C15,'NEW CAR'!$AQ$2:$BC$250,26,0)+HLOOKUP(C15,'NEW CAR'!$AQ$2:$BC$250,59,0)</f>
        <v>4760341.4104399998</v>
      </c>
      <c r="G15" s="106">
        <f>+HLOOKUP($C15,'NEW CAR'!$AQ$2:$BC$250,76,0)</f>
        <v>29500</v>
      </c>
      <c r="H15" s="106">
        <f>+HLOOKUP($C15,'NEW CAR'!$AQ$2:$BC$250,77,0)</f>
        <v>341121.76</v>
      </c>
      <c r="I15" s="106">
        <f>+HLOOKUP($C15,'NEW CAR'!$AQ$2:$BC$250,78,0)</f>
        <v>0</v>
      </c>
      <c r="J15" s="106">
        <f>+HLOOKUP($C15,'NEW CAR'!$AQ$2:$BC$250,79,0)</f>
        <v>2065.64</v>
      </c>
      <c r="K15" s="106">
        <f>+HLOOKUP($C15,'NEW CAR'!$AQ$2:$BC$250,80,0)</f>
        <v>0</v>
      </c>
      <c r="L15" s="106">
        <f>+HLOOKUP($C15,'NEW CAR'!$AQ$2:$BC$250,81,0)</f>
        <v>0</v>
      </c>
      <c r="M15" s="106">
        <f>+HLOOKUP($C15,'NEW CAR'!$AQ$2:$BC$250,82,0)</f>
        <v>0</v>
      </c>
      <c r="N15" s="106">
        <f>+HLOOKUP($C15,'NEW CAR'!$AQ$2:$BC$250,83,0)</f>
        <v>1894.8</v>
      </c>
      <c r="O15" s="106">
        <f>+HLOOKUP($C15,'NEW CAR'!$AQ$2:$BC$250,84,0)</f>
        <v>0</v>
      </c>
      <c r="P15" s="106">
        <f>+HLOOKUP($C15,'NEW CAR'!$AQ$2:$BC$250,85,0)</f>
        <v>0</v>
      </c>
      <c r="Q15" s="106">
        <f>+HLOOKUP($C15,'NEW CAR'!$AQ$2:$BC$250,87,0)</f>
        <v>552639.19999999995</v>
      </c>
      <c r="R15" s="106">
        <f>+HLOOKUP($C15,'NEW CAR'!$AQ$2:$BC$250,90,0)</f>
        <v>32900</v>
      </c>
      <c r="S15" s="106">
        <f>+HLOOKUP($C15,'NEW CAR'!$AQ$2:$BC$250,91,0)</f>
        <v>0</v>
      </c>
      <c r="T15" s="106">
        <f>+HLOOKUP($C15,'NEW CAR'!$AQ$2:$BC$250,92,0)</f>
        <v>224321.37</v>
      </c>
      <c r="U15" s="106">
        <f>+HLOOKUP($C15,'NEW CAR'!$AQ$2:$BC$250,93,0)</f>
        <v>9000</v>
      </c>
      <c r="V15" s="106">
        <f>+HLOOKUP($C15,'NEW CAR'!$AQ$2:$BC$250,94,0)</f>
        <v>0</v>
      </c>
      <c r="W15" s="106">
        <f>+HLOOKUP($C15,'NEW CAR'!$AQ$2:$BC$250,95,0)</f>
        <v>0</v>
      </c>
      <c r="X15" s="106">
        <f>+HLOOKUP($C15,'NEW CAR'!$AQ$2:$BC$250,96,0)</f>
        <v>3429.38</v>
      </c>
      <c r="Y15" s="106">
        <f>+HLOOKUP($C15,'NEW CAR'!$AQ$2:$BC$250,97,0)</f>
        <v>132646.32999999999</v>
      </c>
      <c r="Z15" s="106">
        <f>+HLOOKUP($C15,'NEW CAR'!$AQ$2:$BC$250,98,0)</f>
        <v>0</v>
      </c>
      <c r="AA15" s="106">
        <f>+HLOOKUP($C15,'NEW CAR'!$AQ$2:$BC$250,99,0)</f>
        <v>0</v>
      </c>
      <c r="AB15" s="106">
        <f>+HLOOKUP($C15,'NEW CAR'!$AQ$2:$BC$250,100,0)</f>
        <v>91822.553333333301</v>
      </c>
      <c r="AC15" s="106">
        <f>+HLOOKUP($C15,'NEW CAR'!$AQ$2:$BC$250,101,0)</f>
        <v>34503.22</v>
      </c>
      <c r="AD15" s="106">
        <f>+HLOOKUP($C15,'NEW CAR'!$AQ$2:$BC$250,104,0)</f>
        <v>18000</v>
      </c>
      <c r="AE15" s="106">
        <f>+HLOOKUP($C15,'NEW CAR'!$AQ$2:$BC$250,105,0)</f>
        <v>322146.29200000002</v>
      </c>
      <c r="AF15" s="106">
        <f>+HLOOKUP($C15,'NEW CAR'!$AQ$2:$BC$250,106,0)</f>
        <v>0</v>
      </c>
      <c r="AG15" s="106">
        <f>+HLOOKUP($C15,'NEW CAR'!$AQ$2:$BC$250,107,0)</f>
        <v>66000</v>
      </c>
      <c r="AH15" s="106">
        <f>+HLOOKUP($C15,'NEW CAR'!$AQ$2:$BC$250,108,0)</f>
        <v>39314.759999999995</v>
      </c>
      <c r="AI15" s="106">
        <f>+HLOOKUP($C15,'NEW CAR'!$AQ$2:$BC$250,109,0)</f>
        <v>182368.15199999997</v>
      </c>
      <c r="AJ15" s="106">
        <f>+HLOOKUP($C15,'NEW CAR'!$AQ$2:$BC$250,110,0)</f>
        <v>0</v>
      </c>
      <c r="AK15" s="106">
        <f>+HLOOKUP($C15,'NEW CAR'!$AQ$2:$BC$250,111,0)</f>
        <v>0</v>
      </c>
      <c r="AL15" s="106">
        <f>+HLOOKUP($C15,'NEW CAR'!$AQ$2:$BC$250,112,0)</f>
        <v>0</v>
      </c>
      <c r="AM15" s="106">
        <f>+HLOOKUP($C15,'NEW CAR'!$AQ$2:$BC$250,116,0)</f>
        <v>844800</v>
      </c>
      <c r="AN15" s="106">
        <f>+HLOOKUP($C15,'NEW CAR'!$AQ$2:$BC$250,117,0)</f>
        <v>105065</v>
      </c>
      <c r="AO15" s="106">
        <f>+HLOOKUP($C15,'NEW CAR'!$AQ$2:$BC$250,118,0)</f>
        <v>26500</v>
      </c>
      <c r="AP15" s="106">
        <f>+HLOOKUP($C15,'NEW CAR'!$AQ$2:$BC$250,119,0)</f>
        <v>253500</v>
      </c>
      <c r="AQ15" s="106">
        <f>+HLOOKUP($C15,'NEW CAR'!$AQ$2:$BC$250,120,0)</f>
        <v>59410</v>
      </c>
      <c r="AR15" s="106">
        <f>+HLOOKUP($C15,'NEW CAR'!$AQ$2:$BC$250,121,0)</f>
        <v>14040</v>
      </c>
      <c r="AS15" s="106">
        <f>+HLOOKUP($C15,'NEW CAR'!$AQ$2:$BC$250,122,0)</f>
        <v>419850</v>
      </c>
      <c r="AT15" s="106">
        <f>+HLOOKUP($C15,'NEW CAR'!$AQ$2:$BC$250,123,0)</f>
        <v>88217.200000000012</v>
      </c>
      <c r="AU15" s="106">
        <f>+HLOOKUP($C15,'NEW CAR'!$AQ$2:$BC$250,124,0)</f>
        <v>10106.6</v>
      </c>
      <c r="AV15" s="106">
        <f>+HLOOKUP($C15,'NEW CAR'!$AQ$2:$BC$250,125,0)</f>
        <v>99400</v>
      </c>
      <c r="AW15" s="106">
        <f>+HLOOKUP($C15,'NEW CAR'!$AQ$2:$BC$250,126,0)</f>
        <v>37917.937499999993</v>
      </c>
      <c r="AX15" s="106">
        <f>+HLOOKUP($C15,'NEW CAR'!$AQ$2:$BC$250,127,0)</f>
        <v>44493.224999999991</v>
      </c>
      <c r="AY15" s="106">
        <f>+HLOOKUP($C15,'NEW CAR'!$AQ$2:$BC$250,129,0)</f>
        <v>0</v>
      </c>
      <c r="AZ15" s="106">
        <f>+HLOOKUP($C15,'NEW CAR'!$AQ$2:$BC$250,130,0)</f>
        <v>0</v>
      </c>
      <c r="BA15" s="106">
        <f>+HLOOKUP($C15,'NEW CAR'!$AQ$2:$BC$250,131,0)</f>
        <v>98175</v>
      </c>
      <c r="BB15" s="106">
        <f>+HLOOKUP($C15,'NEW CAR'!$AQ$2:$BC$250,133,0)</f>
        <v>0</v>
      </c>
      <c r="BC15" s="106">
        <f>+HLOOKUP($C15,'NEW CAR'!$AQ$2:$BC$250,134,0)</f>
        <v>239640.22399999999</v>
      </c>
      <c r="BD15" s="106">
        <f>+HLOOKUP($C15,'NEW CAR'!$AQ$2:$BC$250,135,0)</f>
        <v>0</v>
      </c>
      <c r="BE15" s="106">
        <f>+HLOOKUP($C15,'NEW CAR'!$AQ$2:$BC$250,136,0)</f>
        <v>0</v>
      </c>
      <c r="BF15" s="106">
        <f>+HLOOKUP($C15,'NEW CAR'!$AQ$2:$BC$250,138,0)</f>
        <v>7618.2240000000011</v>
      </c>
      <c r="BG15" s="106">
        <f>+HLOOKUP($C15,'NEW CAR'!$AQ$2:$BC$250,139,0)</f>
        <v>36854</v>
      </c>
      <c r="BH15" s="106">
        <f>+HLOOKUP($C15,'NEW CAR'!$AQ$2:$BC$250,140,0)</f>
        <v>0</v>
      </c>
      <c r="BI15" s="106">
        <f>+HLOOKUP($C15,'NEW CAR'!$AQ$2:$BC$250,141,0)</f>
        <v>0</v>
      </c>
      <c r="BJ15" s="106">
        <f>+HLOOKUP($C15,'NEW CAR'!$AQ$2:$BC$250,142,0)</f>
        <v>0</v>
      </c>
      <c r="BK15" s="106">
        <f>+HLOOKUP($C15,'NEW CAR'!$AQ$2:$BC$250,143,0)</f>
        <v>56688.333333333343</v>
      </c>
      <c r="BL15" s="106">
        <f>+HLOOKUP($C15,'NEW CAR'!$AQ$2:$BC$250,144,0)</f>
        <v>15000</v>
      </c>
      <c r="BM15" s="106">
        <f>+HLOOKUP($C15,'NEW CAR'!$AQ$2:$BC$250,146,0)</f>
        <v>0</v>
      </c>
      <c r="BN15" s="106">
        <f>+HLOOKUP($C15,'NEW CAR'!$AQ$2:$BC$250,147,0)</f>
        <v>115004</v>
      </c>
      <c r="BO15" s="106">
        <f>+HLOOKUP($C15,'NEW CAR'!$AQ$2:$BC$250,148,0)</f>
        <v>0</v>
      </c>
      <c r="BP15" s="106">
        <f>+HLOOKUP($C15,'NEW CAR'!$AQ$2:$BC$250,150,0)</f>
        <v>54232</v>
      </c>
      <c r="BQ15" s="106">
        <f>+HLOOKUP($C15,'NEW CAR'!$AQ$2:$BC$250,151,0)</f>
        <v>9450</v>
      </c>
      <c r="BR15" s="106">
        <f>+HLOOKUP($C15,'NEW CAR'!$AQ$2:$BC$250,152,0)</f>
        <v>47000</v>
      </c>
      <c r="BS15" s="106">
        <f>+HLOOKUP($C15,'NEW CAR'!$AQ$2:$BC$250,153,0)</f>
        <v>600</v>
      </c>
      <c r="BT15" s="106">
        <f>+HLOOKUP($C15,'NEW CAR'!$AQ$2:$BC$250,157,0)</f>
        <v>0</v>
      </c>
      <c r="BU15" s="106">
        <f>+HLOOKUP($C15,'NEW CAR'!$AQ$2:$BC$250,158,0)</f>
        <v>0</v>
      </c>
      <c r="BV15" s="106">
        <f>+HLOOKUP($C15,'NEW CAR'!$AQ$2:$BC$250,159,0)</f>
        <v>11753.84</v>
      </c>
      <c r="BW15" s="106">
        <f>+HLOOKUP($C15,'NEW CAR'!$AQ$2:$BC$250,160,0)</f>
        <v>300</v>
      </c>
      <c r="BX15" s="106">
        <f>+HLOOKUP($C15,'NEW CAR'!$AQ$2:$BC$250,161,0)</f>
        <v>0</v>
      </c>
      <c r="BY15" s="106">
        <f>+HLOOKUP($C15,'NEW CAR'!$AQ$2:$BC$250,164,0)</f>
        <v>16860.023999999998</v>
      </c>
      <c r="BZ15" s="106">
        <f>+HLOOKUP($C15,'NEW CAR'!$AQ$2:$BC$250,165,0)</f>
        <v>0</v>
      </c>
      <c r="CA15" s="106">
        <f>+HLOOKUP($C15,'NEW CAR'!$AQ$2:$BC$250,166,0)</f>
        <v>0</v>
      </c>
      <c r="CB15" s="106">
        <f>+HLOOKUP($C15,'NEW CAR'!$AQ$2:$BC$250,167,0)</f>
        <v>63476.68</v>
      </c>
      <c r="CC15" s="106">
        <f>+HLOOKUP($C15,'NEW CAR'!$AQ$2:$BC$250,168,0)</f>
        <v>0</v>
      </c>
      <c r="CD15" s="106">
        <f>+HLOOKUP($C15,'NEW CAR'!$AQ$2:$BC$250,169,0)</f>
        <v>2000</v>
      </c>
      <c r="CE15" s="106">
        <f>+HLOOKUP($C15,'NEW CAR'!$AQ$2:$BC$250,170,0)</f>
        <v>0</v>
      </c>
      <c r="CF15" s="106">
        <f>+HLOOKUP($C15,'NEW CAR'!$AQ$2:$BC$250,172,0)</f>
        <v>20150</v>
      </c>
      <c r="CG15" s="106">
        <f>+HLOOKUP($C15,'NEW CAR'!$AQ$2:$BC$250,173,0)</f>
        <v>0</v>
      </c>
      <c r="CH15" s="106">
        <f>+HLOOKUP($C15,'NEW CAR'!$AQ$2:$BC$250,174,0)</f>
        <v>0</v>
      </c>
      <c r="CI15" s="106">
        <f>+HLOOKUP($C15,'NEW CAR'!$AQ$2:$BC$250,175,0)</f>
        <v>0</v>
      </c>
      <c r="CJ15" s="106">
        <f>+HLOOKUP($C15,'NEW CAR'!$AQ$2:$BC$250,176,0)</f>
        <v>25822.488000000001</v>
      </c>
      <c r="CK15" s="106">
        <f>+HLOOKUP($C15,'NEW CAR'!$AQ$2:$BC$250,178,0)</f>
        <v>209804.43</v>
      </c>
      <c r="CL15" s="106">
        <f>+HLOOKUP($C15,'NEW CAR'!$AQ$2:$BC$250,179,0)</f>
        <v>6631.8</v>
      </c>
      <c r="CM15" s="106">
        <f>+HLOOKUP($C15,'NEW CAR'!$AQ$2:$BC$250,180,0)</f>
        <v>0</v>
      </c>
      <c r="CN15" s="106">
        <f>+HLOOKUP($C15,'NEW CAR'!$AQ$2:$BC$250,182,0)</f>
        <v>4975</v>
      </c>
      <c r="CO15" s="106">
        <f>+HLOOKUP($C15,'NEW CAR'!$AQ$2:$BC$250,183,0)</f>
        <v>4980</v>
      </c>
      <c r="CP15" s="106">
        <f>+HLOOKUP($C15,'NEW CAR'!$AQ$2:$BC$250,184,0)</f>
        <v>19456.07</v>
      </c>
      <c r="CQ15" s="106">
        <f>+HLOOKUP($C15,'NEW CAR'!$AQ$2:$BC$250,185,0)</f>
        <v>0</v>
      </c>
      <c r="CR15" s="106">
        <f>+HLOOKUP($C15,'NEW CAR'!$AQ$2:$BC$250,187,0)</f>
        <v>8333.3320000000003</v>
      </c>
      <c r="CS15" s="106">
        <f>+HLOOKUP($C15,'NEW CAR'!$AQ$2:$BC$250,188,0)</f>
        <v>6000</v>
      </c>
      <c r="CT15" s="106">
        <f>+HLOOKUP($C15,'NEW CAR'!$AQ$2:$BC$250,189,0)</f>
        <v>0</v>
      </c>
      <c r="CU15" s="106">
        <f>+HLOOKUP($C15,'NEW CAR'!$AQ$2:$BC$250,190,0)</f>
        <v>11382.2</v>
      </c>
      <c r="CV15" s="106">
        <f>+HLOOKUP($C15,'NEW CAR'!$AQ$2:$BC$250,191,0)</f>
        <v>0</v>
      </c>
      <c r="CW15" s="106">
        <f>+HLOOKUP($C15,'NEW CAR'!$AQ$2:$BC$250,193,0)</f>
        <v>19325</v>
      </c>
      <c r="CX15" s="106">
        <f>+HLOOKUP($C15,'NEW CAR'!$AQ$2:$BC$250,194,0)</f>
        <v>106</v>
      </c>
      <c r="CY15" s="106">
        <f>+HLOOKUP($C15,'NEW CAR'!$AQ$2:$BC$250,195,0)</f>
        <v>7460</v>
      </c>
      <c r="CZ15" s="106">
        <f>+HLOOKUP($C15,'NEW CAR'!$AQ$2:$BC$250,196,0)</f>
        <v>0</v>
      </c>
      <c r="DA15" s="106">
        <f>+HLOOKUP($C15,'NEW CAR'!$AQ$2:$BC$250,197,0)</f>
        <v>67984.33</v>
      </c>
      <c r="DB15" s="106">
        <f>+HLOOKUP($C15,'NEW CAR'!$AQ$2:$BC$250,198,0)</f>
        <v>6186.45</v>
      </c>
      <c r="DC15" s="106">
        <f>+HLOOKUP($C15,'NEW CAR'!$AQ$2:$BC$250,199,0)</f>
        <v>4076.2759999999998</v>
      </c>
      <c r="DD15" s="106">
        <f>+HLOOKUP($C15,'NEW CAR'!$AQ$2:$BC$250,200,0)</f>
        <v>7200</v>
      </c>
      <c r="DE15" s="106">
        <f>+HLOOKUP($C15,'NEW CAR'!$AQ$2:$BC$250,201,0)</f>
        <v>0</v>
      </c>
      <c r="DF15" s="106">
        <f>+HLOOKUP($C15,'NEW CAR'!$AQ$2:$BC$250,202,0)</f>
        <v>3.6559999999999997</v>
      </c>
      <c r="DG15" s="106">
        <f>+HLOOKUP($C15,'NEW CAR'!$AQ$2:$BC$250,203,0)</f>
        <v>40.42</v>
      </c>
      <c r="DH15" s="106">
        <f>+HLOOKUP($C15,'NEW CAR'!$AQ$2:$BC$250,205,0)</f>
        <v>148648.32999999999</v>
      </c>
      <c r="DI15" s="106">
        <f>+HLOOKUP($C15,'NEW CAR'!$AQ$2:$BC$250,206,0)</f>
        <v>0</v>
      </c>
      <c r="DJ15" s="106">
        <f>+HLOOKUP($C15,'NEW CAR'!$AQ$2:$BC$250,207,0)</f>
        <v>2736.232</v>
      </c>
      <c r="DK15" s="106">
        <f>+HLOOKUP($C15,'NEW CAR'!$AQ$2:$BC$250,209,0)</f>
        <v>0</v>
      </c>
      <c r="DL15" s="106">
        <f>+HLOOKUP($C15,'NEW CAR'!$AQ$2:$BC$250,210,0)</f>
        <v>0</v>
      </c>
      <c r="DM15" s="106">
        <f>+HLOOKUP($C15,'NEW CAR'!$AQ$2:$BC$250,211,0)</f>
        <v>76041</v>
      </c>
      <c r="DN15" s="106">
        <f>+HLOOKUP($C15,'NEW CAR'!$AQ$2:$BC$250,212,0)</f>
        <v>69797</v>
      </c>
      <c r="DO15" s="106">
        <f>+HLOOKUP($C15,'NEW CAR'!$AQ$2:$BC$250,214,0)</f>
        <v>0</v>
      </c>
      <c r="DP15" s="106">
        <f>+HLOOKUP($C15,'NEW CAR'!$AQ$2:$BC$250,215,0)</f>
        <v>550</v>
      </c>
      <c r="DQ15" s="106">
        <f>+HLOOKUP($C15,'NEW CAR'!$AQ$2:$BC$250,219,0)</f>
        <v>177123.28767123289</v>
      </c>
      <c r="DR15" s="106">
        <f>+HLOOKUP($C15,'NEW CAR'!$AQ$2:$BC$250,220,0)</f>
        <v>0</v>
      </c>
      <c r="DS15" s="106">
        <f>+HLOOKUP($C15,'NEW CAR'!$AQ$2:$BC$250,221,0)</f>
        <v>435757.06800000003</v>
      </c>
      <c r="DT15" s="106">
        <f>+HLOOKUP($C15,'NEW CAR'!$AQ$2:$BC$250,223,0)</f>
        <v>227971.69200000001</v>
      </c>
      <c r="DU15" s="106">
        <f>+HLOOKUP($C15,'NEW CAR'!$AQ$2:$BC$250,224,0)</f>
        <v>0</v>
      </c>
      <c r="DV15" s="106">
        <f>+HLOOKUP($C15,'NEW CAR'!$AQ$2:$BC$250,225,0)</f>
        <v>0</v>
      </c>
      <c r="DW15" s="106">
        <f>+HLOOKUP($C15,'NEW CAR'!$AQ$2:$BC$250,227,0)</f>
        <v>0</v>
      </c>
      <c r="DX15" s="106">
        <f>+HLOOKUP($C15,'NEW CAR'!$AQ$2:$BC$250,228,0)</f>
        <v>23350</v>
      </c>
      <c r="DY15" s="106">
        <f>+HLOOKUP($C15,'NEW CAR'!$AQ$2:$BC$250,236,0)</f>
        <v>0</v>
      </c>
      <c r="DZ15" s="106">
        <f>+HLOOKUP($C15,'NEW CAR'!$AQ$2:$BC$250,237,0)</f>
        <v>141632.65220000001</v>
      </c>
      <c r="EA15" s="106">
        <f>+HLOOKUP($C15,'NEW CAR'!$AQ$2:$BC$250,238,0)</f>
        <v>0</v>
      </c>
      <c r="EB15" s="106">
        <f>+HLOOKUP($C15,'NEW CAR'!$AQ$2:$BC$250,240,0)</f>
        <v>484785</v>
      </c>
    </row>
    <row r="16" spans="1:133">
      <c r="A16" t="s">
        <v>269</v>
      </c>
      <c r="B16" t="s">
        <v>270</v>
      </c>
      <c r="C16" s="117">
        <v>45566</v>
      </c>
      <c r="D16" s="106">
        <f>+HLOOKUP(C16,'NEW CAR'!$AQ$2:$BC$250,6,0)/3.5%</f>
        <v>137968070.06999999</v>
      </c>
      <c r="E16" s="106">
        <f>+HLOOKUP(C16,'NEW CAR'!$AQ$2:$BC$250,5,0)+HLOOKUP(C16,'NEW CAR'!$AQ$2:$BC$250,26,0)+HLOOKUP(C16,'NEW CAR'!$AQ$2:$BC$250,59,0)</f>
        <v>6566423.94245</v>
      </c>
      <c r="G16" s="106">
        <f>+HLOOKUP($C16,'NEW CAR'!$AQ$2:$BC$250,76,0)</f>
        <v>434400</v>
      </c>
      <c r="H16" s="106">
        <f>+HLOOKUP($C16,'NEW CAR'!$AQ$2:$BC$250,77,0)</f>
        <v>298804.64</v>
      </c>
      <c r="I16" s="106">
        <f>+HLOOKUP($C16,'NEW CAR'!$AQ$2:$BC$250,78,0)</f>
        <v>0</v>
      </c>
      <c r="J16" s="106">
        <f>+HLOOKUP($C16,'NEW CAR'!$AQ$2:$BC$250,79,0)</f>
        <v>0</v>
      </c>
      <c r="K16" s="106">
        <f>+HLOOKUP($C16,'NEW CAR'!$AQ$2:$BC$250,80,0)</f>
        <v>0</v>
      </c>
      <c r="L16" s="106">
        <f>+HLOOKUP($C16,'NEW CAR'!$AQ$2:$BC$250,81,0)</f>
        <v>0</v>
      </c>
      <c r="M16" s="106">
        <f>+HLOOKUP($C16,'NEW CAR'!$AQ$2:$BC$250,82,0)</f>
        <v>0</v>
      </c>
      <c r="N16" s="106">
        <f>+HLOOKUP($C16,'NEW CAR'!$AQ$2:$BC$250,83,0)</f>
        <v>4529.2</v>
      </c>
      <c r="O16" s="106">
        <f>+HLOOKUP($C16,'NEW CAR'!$AQ$2:$BC$250,84,0)</f>
        <v>5000</v>
      </c>
      <c r="P16" s="106">
        <f>+HLOOKUP($C16,'NEW CAR'!$AQ$2:$BC$250,85,0)</f>
        <v>0</v>
      </c>
      <c r="Q16" s="106">
        <f>+HLOOKUP($C16,'NEW CAR'!$AQ$2:$BC$250,87,0)</f>
        <v>676851.19999999995</v>
      </c>
      <c r="R16" s="106">
        <f>+HLOOKUP($C16,'NEW CAR'!$AQ$2:$BC$250,90,0)</f>
        <v>0</v>
      </c>
      <c r="S16" s="106">
        <f>+HLOOKUP($C16,'NEW CAR'!$AQ$2:$BC$250,91,0)</f>
        <v>0</v>
      </c>
      <c r="T16" s="106">
        <f>+HLOOKUP($C16,'NEW CAR'!$AQ$2:$BC$250,92,0)</f>
        <v>239779.38</v>
      </c>
      <c r="U16" s="106">
        <f>+HLOOKUP($C16,'NEW CAR'!$AQ$2:$BC$250,93,0)</f>
        <v>5000</v>
      </c>
      <c r="V16" s="106">
        <f>+HLOOKUP($C16,'NEW CAR'!$AQ$2:$BC$250,94,0)</f>
        <v>0</v>
      </c>
      <c r="W16" s="106">
        <f>+HLOOKUP($C16,'NEW CAR'!$AQ$2:$BC$250,95,0)</f>
        <v>42016</v>
      </c>
      <c r="X16" s="106">
        <f>+HLOOKUP($C16,'NEW CAR'!$AQ$2:$BC$250,96,0)</f>
        <v>11391.58</v>
      </c>
      <c r="Y16" s="106">
        <f>+HLOOKUP($C16,'NEW CAR'!$AQ$2:$BC$250,97,0)</f>
        <v>74941.98</v>
      </c>
      <c r="Z16" s="106">
        <f>+HLOOKUP($C16,'NEW CAR'!$AQ$2:$BC$250,98,0)</f>
        <v>0</v>
      </c>
      <c r="AA16" s="106">
        <f>+HLOOKUP($C16,'NEW CAR'!$AQ$2:$BC$250,99,0)</f>
        <v>0</v>
      </c>
      <c r="AB16" s="106">
        <f>+HLOOKUP($C16,'NEW CAR'!$AQ$2:$BC$250,100,0)</f>
        <v>28100.913333333334</v>
      </c>
      <c r="AC16" s="106">
        <f>+HLOOKUP($C16,'NEW CAR'!$AQ$2:$BC$250,101,0)</f>
        <v>0</v>
      </c>
      <c r="AD16" s="106">
        <f>+HLOOKUP($C16,'NEW CAR'!$AQ$2:$BC$250,104,0)</f>
        <v>360000</v>
      </c>
      <c r="AE16" s="106">
        <f>+HLOOKUP($C16,'NEW CAR'!$AQ$2:$BC$250,105,0)</f>
        <v>311035.06199999998</v>
      </c>
      <c r="AF16" s="106">
        <f>+HLOOKUP($C16,'NEW CAR'!$AQ$2:$BC$250,106,0)</f>
        <v>0</v>
      </c>
      <c r="AG16" s="106">
        <f>+HLOOKUP($C16,'NEW CAR'!$AQ$2:$BC$250,107,0)</f>
        <v>476833.19999999995</v>
      </c>
      <c r="AH16" s="106">
        <f>+HLOOKUP($C16,'NEW CAR'!$AQ$2:$BC$250,108,0)</f>
        <v>19566</v>
      </c>
      <c r="AI16" s="106">
        <f>+HLOOKUP($C16,'NEW CAR'!$AQ$2:$BC$250,109,0)</f>
        <v>213651</v>
      </c>
      <c r="AJ16" s="106">
        <f>+HLOOKUP($C16,'NEW CAR'!$AQ$2:$BC$250,110,0)</f>
        <v>0</v>
      </c>
      <c r="AK16" s="106">
        <f>+HLOOKUP($C16,'NEW CAR'!$AQ$2:$BC$250,111,0)</f>
        <v>0</v>
      </c>
      <c r="AL16" s="106">
        <f>+HLOOKUP($C16,'NEW CAR'!$AQ$2:$BC$250,112,0)</f>
        <v>0</v>
      </c>
      <c r="AM16" s="106">
        <f>+HLOOKUP($C16,'NEW CAR'!$AQ$2:$BC$250,116,0)</f>
        <v>887687.2</v>
      </c>
      <c r="AN16" s="106">
        <f>+HLOOKUP($C16,'NEW CAR'!$AQ$2:$BC$250,117,0)</f>
        <v>107993.4</v>
      </c>
      <c r="AO16" s="106">
        <f>+HLOOKUP($C16,'NEW CAR'!$AQ$2:$BC$250,118,0)</f>
        <v>31000</v>
      </c>
      <c r="AP16" s="106">
        <f>+HLOOKUP($C16,'NEW CAR'!$AQ$2:$BC$250,119,0)</f>
        <v>260946.6</v>
      </c>
      <c r="AQ16" s="106">
        <f>+HLOOKUP($C16,'NEW CAR'!$AQ$2:$BC$250,120,0)</f>
        <v>68542</v>
      </c>
      <c r="AR16" s="106">
        <f>+HLOOKUP($C16,'NEW CAR'!$AQ$2:$BC$250,121,0)</f>
        <v>28427.8</v>
      </c>
      <c r="AS16" s="106">
        <f>+HLOOKUP($C16,'NEW CAR'!$AQ$2:$BC$250,122,0)</f>
        <v>450051.2</v>
      </c>
      <c r="AT16" s="106">
        <f>+HLOOKUP($C16,'NEW CAR'!$AQ$2:$BC$250,123,0)</f>
        <v>88217.2</v>
      </c>
      <c r="AU16" s="106">
        <f>+HLOOKUP($C16,'NEW CAR'!$AQ$2:$BC$250,124,0)</f>
        <v>10106.6</v>
      </c>
      <c r="AV16" s="106">
        <f>+HLOOKUP($C16,'NEW CAR'!$AQ$2:$BC$250,125,0)</f>
        <v>99400</v>
      </c>
      <c r="AW16" s="106">
        <f>+HLOOKUP($C16,'NEW CAR'!$AQ$2:$BC$250,126,0)</f>
        <v>37917.9375</v>
      </c>
      <c r="AX16" s="106">
        <f>+HLOOKUP($C16,'NEW CAR'!$AQ$2:$BC$250,127,0)</f>
        <v>44493.224999999999</v>
      </c>
      <c r="AY16" s="106">
        <f>+HLOOKUP($C16,'NEW CAR'!$AQ$2:$BC$250,129,0)</f>
        <v>0</v>
      </c>
      <c r="AZ16" s="106">
        <f>+HLOOKUP($C16,'NEW CAR'!$AQ$2:$BC$250,130,0)</f>
        <v>0</v>
      </c>
      <c r="BA16" s="106">
        <f>+HLOOKUP($C16,'NEW CAR'!$AQ$2:$BC$250,131,0)</f>
        <v>98175</v>
      </c>
      <c r="BB16" s="106">
        <f>+HLOOKUP($C16,'NEW CAR'!$AQ$2:$BC$250,133,0)</f>
        <v>0</v>
      </c>
      <c r="BC16" s="106">
        <f>+HLOOKUP($C16,'NEW CAR'!$AQ$2:$BC$250,134,0)</f>
        <v>219833.24</v>
      </c>
      <c r="BD16" s="106">
        <f>+HLOOKUP($C16,'NEW CAR'!$AQ$2:$BC$250,135,0)</f>
        <v>0</v>
      </c>
      <c r="BE16" s="106">
        <f>+HLOOKUP($C16,'NEW CAR'!$AQ$2:$BC$250,136,0)</f>
        <v>0</v>
      </c>
      <c r="BF16" s="106">
        <f>+HLOOKUP($C16,'NEW CAR'!$AQ$2:$BC$250,138,0)</f>
        <v>11349.6</v>
      </c>
      <c r="BG16" s="106">
        <f>+HLOOKUP($C16,'NEW CAR'!$AQ$2:$BC$250,139,0)</f>
        <v>17936.8</v>
      </c>
      <c r="BH16" s="106">
        <f>+HLOOKUP($C16,'NEW CAR'!$AQ$2:$BC$250,140,0)</f>
        <v>0</v>
      </c>
      <c r="BI16" s="106">
        <f>+HLOOKUP($C16,'NEW CAR'!$AQ$2:$BC$250,141,0)</f>
        <v>0</v>
      </c>
      <c r="BJ16" s="106">
        <f>+HLOOKUP($C16,'NEW CAR'!$AQ$2:$BC$250,142,0)</f>
        <v>0</v>
      </c>
      <c r="BK16" s="106">
        <f>+HLOOKUP($C16,'NEW CAR'!$AQ$2:$BC$250,143,0)</f>
        <v>1248.81</v>
      </c>
      <c r="BL16" s="106">
        <f>+HLOOKUP($C16,'NEW CAR'!$AQ$2:$BC$250,144,0)</f>
        <v>140000</v>
      </c>
      <c r="BM16" s="106">
        <f>+HLOOKUP($C16,'NEW CAR'!$AQ$2:$BC$250,146,0)</f>
        <v>0</v>
      </c>
      <c r="BN16" s="106">
        <f>+HLOOKUP($C16,'NEW CAR'!$AQ$2:$BC$250,147,0)</f>
        <v>94781</v>
      </c>
      <c r="BO16" s="106">
        <f>+HLOOKUP($C16,'NEW CAR'!$AQ$2:$BC$250,148,0)</f>
        <v>0</v>
      </c>
      <c r="BP16" s="106">
        <f>+HLOOKUP($C16,'NEW CAR'!$AQ$2:$BC$250,150,0)</f>
        <v>117451</v>
      </c>
      <c r="BQ16" s="106">
        <f>+HLOOKUP($C16,'NEW CAR'!$AQ$2:$BC$250,151,0)</f>
        <v>9450</v>
      </c>
      <c r="BR16" s="106">
        <f>+HLOOKUP($C16,'NEW CAR'!$AQ$2:$BC$250,152,0)</f>
        <v>47000</v>
      </c>
      <c r="BS16" s="106">
        <f>+HLOOKUP($C16,'NEW CAR'!$AQ$2:$BC$250,153,0)</f>
        <v>600</v>
      </c>
      <c r="BT16" s="106">
        <f>+HLOOKUP($C16,'NEW CAR'!$AQ$2:$BC$250,157,0)</f>
        <v>0</v>
      </c>
      <c r="BU16" s="106">
        <f>+HLOOKUP($C16,'NEW CAR'!$AQ$2:$BC$250,158,0)</f>
        <v>1243.23</v>
      </c>
      <c r="BV16" s="106">
        <f>+HLOOKUP($C16,'NEW CAR'!$AQ$2:$BC$250,159,0)</f>
        <v>957</v>
      </c>
      <c r="BW16" s="106">
        <f>+HLOOKUP($C16,'NEW CAR'!$AQ$2:$BC$250,160,0)</f>
        <v>300</v>
      </c>
      <c r="BX16" s="106">
        <f>+HLOOKUP($C16,'NEW CAR'!$AQ$2:$BC$250,161,0)</f>
        <v>5649.2</v>
      </c>
      <c r="BY16" s="106">
        <f>+HLOOKUP($C16,'NEW CAR'!$AQ$2:$BC$250,164,0)</f>
        <v>17982.448</v>
      </c>
      <c r="BZ16" s="106">
        <f>+HLOOKUP($C16,'NEW CAR'!$AQ$2:$BC$250,165,0)</f>
        <v>0</v>
      </c>
      <c r="CA16" s="106">
        <f>+HLOOKUP($C16,'NEW CAR'!$AQ$2:$BC$250,166,0)</f>
        <v>0</v>
      </c>
      <c r="CB16" s="106">
        <f>+HLOOKUP($C16,'NEW CAR'!$AQ$2:$BC$250,167,0)</f>
        <v>100349.73</v>
      </c>
      <c r="CC16" s="106">
        <f>+HLOOKUP($C16,'NEW CAR'!$AQ$2:$BC$250,168,0)</f>
        <v>0</v>
      </c>
      <c r="CD16" s="106">
        <f>+HLOOKUP($C16,'NEW CAR'!$AQ$2:$BC$250,169,0)</f>
        <v>1442</v>
      </c>
      <c r="CE16" s="106">
        <f>+HLOOKUP($C16,'NEW CAR'!$AQ$2:$BC$250,170,0)</f>
        <v>0</v>
      </c>
      <c r="CF16" s="106">
        <f>+HLOOKUP($C16,'NEW CAR'!$AQ$2:$BC$250,172,0)</f>
        <v>20150</v>
      </c>
      <c r="CG16" s="106">
        <f>+HLOOKUP($C16,'NEW CAR'!$AQ$2:$BC$250,173,0)</f>
        <v>0</v>
      </c>
      <c r="CH16" s="106">
        <f>+HLOOKUP($C16,'NEW CAR'!$AQ$2:$BC$250,174,0)</f>
        <v>0</v>
      </c>
      <c r="CI16" s="106">
        <f>+HLOOKUP($C16,'NEW CAR'!$AQ$2:$BC$250,175,0)</f>
        <v>0</v>
      </c>
      <c r="CJ16" s="106">
        <f>+HLOOKUP($C16,'NEW CAR'!$AQ$2:$BC$250,176,0)</f>
        <v>38426</v>
      </c>
      <c r="CK16" s="106">
        <f>+HLOOKUP($C16,'NEW CAR'!$AQ$2:$BC$250,178,0)</f>
        <v>185890</v>
      </c>
      <c r="CL16" s="106">
        <f>+HLOOKUP($C16,'NEW CAR'!$AQ$2:$BC$250,179,0)</f>
        <v>4737</v>
      </c>
      <c r="CM16" s="106">
        <f>+HLOOKUP($C16,'NEW CAR'!$AQ$2:$BC$250,180,0)</f>
        <v>0</v>
      </c>
      <c r="CN16" s="106">
        <f>+HLOOKUP($C16,'NEW CAR'!$AQ$2:$BC$250,182,0)</f>
        <v>4975</v>
      </c>
      <c r="CO16" s="106">
        <f>+HLOOKUP($C16,'NEW CAR'!$AQ$2:$BC$250,183,0)</f>
        <v>0</v>
      </c>
      <c r="CP16" s="106">
        <f>+HLOOKUP($C16,'NEW CAR'!$AQ$2:$BC$250,184,0)</f>
        <v>28007.08</v>
      </c>
      <c r="CQ16" s="106">
        <f>+HLOOKUP($C16,'NEW CAR'!$AQ$2:$BC$250,185,0)</f>
        <v>0</v>
      </c>
      <c r="CR16" s="106">
        <f>+HLOOKUP($C16,'NEW CAR'!$AQ$2:$BC$250,187,0)</f>
        <v>8333.3333333333194</v>
      </c>
      <c r="CS16" s="106">
        <f>+HLOOKUP($C16,'NEW CAR'!$AQ$2:$BC$250,188,0)</f>
        <v>6000</v>
      </c>
      <c r="CT16" s="106">
        <f>+HLOOKUP($C16,'NEW CAR'!$AQ$2:$BC$250,189,0)</f>
        <v>0</v>
      </c>
      <c r="CU16" s="106">
        <f>+HLOOKUP($C16,'NEW CAR'!$AQ$2:$BC$250,190,0)</f>
        <v>19382.2</v>
      </c>
      <c r="CV16" s="106">
        <f>+HLOOKUP($C16,'NEW CAR'!$AQ$2:$BC$250,191,0)</f>
        <v>0</v>
      </c>
      <c r="CW16" s="106">
        <f>+HLOOKUP($C16,'NEW CAR'!$AQ$2:$BC$250,193,0)</f>
        <v>19325</v>
      </c>
      <c r="CX16" s="106">
        <f>+HLOOKUP($C16,'NEW CAR'!$AQ$2:$BC$250,194,0)</f>
        <v>106</v>
      </c>
      <c r="CY16" s="106">
        <f>+HLOOKUP($C16,'NEW CAR'!$AQ$2:$BC$250,195,0)</f>
        <v>0</v>
      </c>
      <c r="CZ16" s="106">
        <f>+HLOOKUP($C16,'NEW CAR'!$AQ$2:$BC$250,196,0)</f>
        <v>0</v>
      </c>
      <c r="DA16" s="106">
        <f>+HLOOKUP($C16,'NEW CAR'!$AQ$2:$BC$250,197,0)</f>
        <v>19876</v>
      </c>
      <c r="DB16" s="106">
        <f>+HLOOKUP($C16,'NEW CAR'!$AQ$2:$BC$250,198,0)</f>
        <v>11618.79</v>
      </c>
      <c r="DC16" s="106">
        <f>+HLOOKUP($C16,'NEW CAR'!$AQ$2:$BC$250,199,0)</f>
        <v>0</v>
      </c>
      <c r="DD16" s="106">
        <f>+HLOOKUP($C16,'NEW CAR'!$AQ$2:$BC$250,200,0)</f>
        <v>0</v>
      </c>
      <c r="DE16" s="106">
        <f>+HLOOKUP($C16,'NEW CAR'!$AQ$2:$BC$250,201,0)</f>
        <v>0</v>
      </c>
      <c r="DF16" s="106">
        <f>+HLOOKUP($C16,'NEW CAR'!$AQ$2:$BC$250,202,0)</f>
        <v>5.2279999999999998</v>
      </c>
      <c r="DG16" s="106">
        <f>+HLOOKUP($C16,'NEW CAR'!$AQ$2:$BC$250,203,0)</f>
        <v>71.164000000000001</v>
      </c>
      <c r="DH16" s="106">
        <f>+HLOOKUP($C16,'NEW CAR'!$AQ$2:$BC$250,205,0)</f>
        <v>94035</v>
      </c>
      <c r="DI16" s="106">
        <f>+HLOOKUP($C16,'NEW CAR'!$AQ$2:$BC$250,206,0)</f>
        <v>10130.799999999999</v>
      </c>
      <c r="DJ16" s="106">
        <f>+HLOOKUP($C16,'NEW CAR'!$AQ$2:$BC$250,207,0)</f>
        <v>2736.3320000000003</v>
      </c>
      <c r="DK16" s="106">
        <f>+HLOOKUP($C16,'NEW CAR'!$AQ$2:$BC$250,209,0)</f>
        <v>0</v>
      </c>
      <c r="DL16" s="106">
        <f>+HLOOKUP($C16,'NEW CAR'!$AQ$2:$BC$250,210,0)</f>
        <v>0</v>
      </c>
      <c r="DM16" s="106">
        <f>+HLOOKUP($C16,'NEW CAR'!$AQ$2:$BC$250,211,0)</f>
        <v>76041</v>
      </c>
      <c r="DN16" s="106">
        <f>+HLOOKUP($C16,'NEW CAR'!$AQ$2:$BC$250,212,0)</f>
        <v>69797</v>
      </c>
      <c r="DO16" s="106">
        <f>+HLOOKUP($C16,'NEW CAR'!$AQ$2:$BC$250,214,0)</f>
        <v>0</v>
      </c>
      <c r="DP16" s="106">
        <f>+HLOOKUP($C16,'NEW CAR'!$AQ$2:$BC$250,215,0)</f>
        <v>2500</v>
      </c>
      <c r="DQ16" s="106">
        <f>+HLOOKUP($C16,'NEW CAR'!$AQ$2:$BC$250,219,0)</f>
        <v>134636.98630136988</v>
      </c>
      <c r="DR16" s="106">
        <f>+HLOOKUP($C16,'NEW CAR'!$AQ$2:$BC$250,220,0)</f>
        <v>0</v>
      </c>
      <c r="DS16" s="106">
        <f>+HLOOKUP($C16,'NEW CAR'!$AQ$2:$BC$250,221,0)</f>
        <v>465534.49799999996</v>
      </c>
      <c r="DT16" s="106">
        <f>+HLOOKUP($C16,'NEW CAR'!$AQ$2:$BC$250,223,0)</f>
        <v>27763.144</v>
      </c>
      <c r="DU16" s="106">
        <f>+HLOOKUP($C16,'NEW CAR'!$AQ$2:$BC$250,224,0)</f>
        <v>0</v>
      </c>
      <c r="DV16" s="106">
        <f>+HLOOKUP($C16,'NEW CAR'!$AQ$2:$BC$250,225,0)</f>
        <v>0</v>
      </c>
      <c r="DW16" s="106">
        <f>+HLOOKUP($C16,'NEW CAR'!$AQ$2:$BC$250,227,0)</f>
        <v>0</v>
      </c>
      <c r="DX16" s="106">
        <f>+HLOOKUP($C16,'NEW CAR'!$AQ$2:$BC$250,228,0)</f>
        <v>36688</v>
      </c>
      <c r="DY16" s="106">
        <f>+HLOOKUP($C16,'NEW CAR'!$AQ$2:$BC$250,236,0)</f>
        <v>0</v>
      </c>
      <c r="DZ16" s="106">
        <f>+HLOOKUP($C16,'NEW CAR'!$AQ$2:$BC$250,237,0)</f>
        <v>148158.97459999999</v>
      </c>
      <c r="EA16" s="106">
        <f>+HLOOKUP($C16,'NEW CAR'!$AQ$2:$BC$250,238,0)</f>
        <v>0</v>
      </c>
      <c r="EB16" s="106">
        <f>+HLOOKUP($C16,'NEW CAR'!$AQ$2:$BC$250,240,0)</f>
        <v>484785</v>
      </c>
    </row>
    <row r="17" spans="1:132">
      <c r="A17" t="s">
        <v>269</v>
      </c>
      <c r="B17" t="s">
        <v>270</v>
      </c>
      <c r="C17" s="117">
        <v>45536</v>
      </c>
      <c r="D17" s="106">
        <f>+HLOOKUP(C17,'NEW CAR'!$AQ$2:$BC$250,6,0)/3.5%</f>
        <v>107625314.28571427</v>
      </c>
      <c r="E17" s="106">
        <f>+HLOOKUP(C17,'NEW CAR'!$AQ$2:$BC$250,5,0)+HLOOKUP(C17,'NEW CAR'!$AQ$2:$BC$250,26,0)+HLOOKUP(C17,'NEW CAR'!$AQ$2:$BC$250,59,0)</f>
        <v>7336892.5449765846</v>
      </c>
      <c r="G17" s="106">
        <f>+HLOOKUP($C17,'NEW CAR'!$AQ$2:$BC$250,76,0)</f>
        <v>195650</v>
      </c>
      <c r="H17" s="106">
        <f>+HLOOKUP($C17,'NEW CAR'!$AQ$2:$BC$250,77,0)</f>
        <v>256823.67999999999</v>
      </c>
      <c r="I17" s="106">
        <f>+HLOOKUP($C17,'NEW CAR'!$AQ$2:$BC$250,78,0)</f>
        <v>0</v>
      </c>
      <c r="J17" s="106">
        <f>+HLOOKUP($C17,'NEW CAR'!$AQ$2:$BC$250,79,0)</f>
        <v>18877.72</v>
      </c>
      <c r="K17" s="106">
        <f>+HLOOKUP($C17,'NEW CAR'!$AQ$2:$BC$250,80,0)</f>
        <v>0</v>
      </c>
      <c r="L17" s="106">
        <f>+HLOOKUP($C17,'NEW CAR'!$AQ$2:$BC$250,81,0)</f>
        <v>0</v>
      </c>
      <c r="M17" s="106">
        <f>+HLOOKUP($C17,'NEW CAR'!$AQ$2:$BC$250,82,0)</f>
        <v>0</v>
      </c>
      <c r="N17" s="106">
        <f>+HLOOKUP($C17,'NEW CAR'!$AQ$2:$BC$250,83,0)</f>
        <v>2114.6</v>
      </c>
      <c r="O17" s="106">
        <f>+HLOOKUP($C17,'NEW CAR'!$AQ$2:$BC$250,84,0)</f>
        <v>0</v>
      </c>
      <c r="P17" s="106">
        <f>+HLOOKUP($C17,'NEW CAR'!$AQ$2:$BC$250,85,0)</f>
        <v>0</v>
      </c>
      <c r="Q17" s="106">
        <f>+HLOOKUP($C17,'NEW CAR'!$AQ$2:$BC$250,87,0)</f>
        <v>408156.4</v>
      </c>
      <c r="R17" s="106">
        <f>+HLOOKUP($C17,'NEW CAR'!$AQ$2:$BC$250,90,0)</f>
        <v>0</v>
      </c>
      <c r="S17" s="106">
        <f>+HLOOKUP($C17,'NEW CAR'!$AQ$2:$BC$250,91,0)</f>
        <v>0</v>
      </c>
      <c r="T17" s="106">
        <f>+HLOOKUP($C17,'NEW CAR'!$AQ$2:$BC$250,92,0)</f>
        <v>399199.39</v>
      </c>
      <c r="U17" s="106">
        <f>+HLOOKUP($C17,'NEW CAR'!$AQ$2:$BC$250,93,0)</f>
        <v>8000</v>
      </c>
      <c r="V17" s="106">
        <f>+HLOOKUP($C17,'NEW CAR'!$AQ$2:$BC$250,94,0)</f>
        <v>0</v>
      </c>
      <c r="W17" s="106">
        <f>+HLOOKUP($C17,'NEW CAR'!$AQ$2:$BC$250,95,0)</f>
        <v>0</v>
      </c>
      <c r="X17" s="106">
        <f>+HLOOKUP($C17,'NEW CAR'!$AQ$2:$BC$250,96,0)</f>
        <v>81953.87</v>
      </c>
      <c r="Y17" s="106">
        <f>+HLOOKUP($C17,'NEW CAR'!$AQ$2:$BC$250,97,0)</f>
        <v>139076.89000000001</v>
      </c>
      <c r="Z17" s="106">
        <f>+HLOOKUP($C17,'NEW CAR'!$AQ$2:$BC$250,98,0)</f>
        <v>0</v>
      </c>
      <c r="AA17" s="106">
        <f>+HLOOKUP($C17,'NEW CAR'!$AQ$2:$BC$250,99,0)</f>
        <v>0</v>
      </c>
      <c r="AB17" s="106">
        <f>+HLOOKUP($C17,'NEW CAR'!$AQ$2:$BC$250,100,0)</f>
        <v>4856.6839285714286</v>
      </c>
      <c r="AC17" s="106">
        <f>+HLOOKUP($C17,'NEW CAR'!$AQ$2:$BC$250,101,0)</f>
        <v>6624</v>
      </c>
      <c r="AD17" s="106">
        <f>+HLOOKUP($C17,'NEW CAR'!$AQ$2:$BC$250,104,0)</f>
        <v>6550.41</v>
      </c>
      <c r="AE17" s="106">
        <f>+HLOOKUP($C17,'NEW CAR'!$AQ$2:$BC$250,105,0)</f>
        <v>277576.038</v>
      </c>
      <c r="AF17" s="106">
        <f>+HLOOKUP($C17,'NEW CAR'!$AQ$2:$BC$250,106,0)</f>
        <v>0</v>
      </c>
      <c r="AG17" s="106">
        <f>+HLOOKUP($C17,'NEW CAR'!$AQ$2:$BC$250,107,0)</f>
        <v>747553</v>
      </c>
      <c r="AH17" s="106">
        <f>+HLOOKUP($C17,'NEW CAR'!$AQ$2:$BC$250,108,0)</f>
        <v>7900</v>
      </c>
      <c r="AI17" s="106">
        <f>+HLOOKUP($C17,'NEW CAR'!$AQ$2:$BC$250,109,0)</f>
        <v>254836</v>
      </c>
      <c r="AJ17" s="106">
        <f>+HLOOKUP($C17,'NEW CAR'!$AQ$2:$BC$250,110,0)</f>
        <v>0</v>
      </c>
      <c r="AK17" s="106">
        <f>+HLOOKUP($C17,'NEW CAR'!$AQ$2:$BC$250,111,0)</f>
        <v>0</v>
      </c>
      <c r="AL17" s="106">
        <f>+HLOOKUP($C17,'NEW CAR'!$AQ$2:$BC$250,112,0)</f>
        <v>0</v>
      </c>
      <c r="AM17" s="106">
        <f>+HLOOKUP($C17,'NEW CAR'!$AQ$2:$BC$250,116,0)</f>
        <v>891470</v>
      </c>
      <c r="AN17" s="106">
        <f>+HLOOKUP($C17,'NEW CAR'!$AQ$2:$BC$250,117,0)</f>
        <v>110738.33</v>
      </c>
      <c r="AO17" s="106">
        <f>+HLOOKUP($C17,'NEW CAR'!$AQ$2:$BC$250,118,0)</f>
        <v>32500</v>
      </c>
      <c r="AP17" s="106">
        <f>+HLOOKUP($C17,'NEW CAR'!$AQ$2:$BC$250,119,0)</f>
        <v>260676.67</v>
      </c>
      <c r="AQ17" s="106">
        <f>+HLOOKUP($C17,'NEW CAR'!$AQ$2:$BC$250,120,0)</f>
        <v>70090</v>
      </c>
      <c r="AR17" s="106">
        <f>+HLOOKUP($C17,'NEW CAR'!$AQ$2:$BC$250,121,0)</f>
        <v>29810</v>
      </c>
      <c r="AS17" s="106">
        <f>+HLOOKUP($C17,'NEW CAR'!$AQ$2:$BC$250,122,0)</f>
        <v>466854.33</v>
      </c>
      <c r="AT17" s="106">
        <f>+HLOOKUP($C17,'NEW CAR'!$AQ$2:$BC$250,123,0)</f>
        <v>88217.200000000012</v>
      </c>
      <c r="AU17" s="106">
        <f>+HLOOKUP($C17,'NEW CAR'!$AQ$2:$BC$250,124,0)</f>
        <v>10106.6</v>
      </c>
      <c r="AV17" s="106">
        <f>+HLOOKUP($C17,'NEW CAR'!$AQ$2:$BC$250,125,0)</f>
        <v>99400</v>
      </c>
      <c r="AW17" s="106">
        <f>+HLOOKUP($C17,'NEW CAR'!$AQ$2:$BC$250,126,0)</f>
        <v>37917.937499999993</v>
      </c>
      <c r="AX17" s="106">
        <f>+HLOOKUP($C17,'NEW CAR'!$AQ$2:$BC$250,127,0)</f>
        <v>44493.224999999991</v>
      </c>
      <c r="AY17" s="106">
        <f>+HLOOKUP($C17,'NEW CAR'!$AQ$2:$BC$250,129,0)</f>
        <v>0</v>
      </c>
      <c r="AZ17" s="106">
        <f>+HLOOKUP($C17,'NEW CAR'!$AQ$2:$BC$250,130,0)</f>
        <v>0</v>
      </c>
      <c r="BA17" s="106">
        <f>+HLOOKUP($C17,'NEW CAR'!$AQ$2:$BC$250,131,0)</f>
        <v>98175</v>
      </c>
      <c r="BB17" s="106">
        <f>+HLOOKUP($C17,'NEW CAR'!$AQ$2:$BC$250,133,0)</f>
        <v>0</v>
      </c>
      <c r="BC17" s="106">
        <f>+HLOOKUP($C17,'NEW CAR'!$AQ$2:$BC$250,134,0)</f>
        <v>270598.3</v>
      </c>
      <c r="BD17" s="106">
        <f>+HLOOKUP($C17,'NEW CAR'!$AQ$2:$BC$250,135,0)</f>
        <v>0</v>
      </c>
      <c r="BE17" s="106">
        <f>+HLOOKUP($C17,'NEW CAR'!$AQ$2:$BC$250,136,0)</f>
        <v>0</v>
      </c>
      <c r="BF17" s="106">
        <f>+HLOOKUP($C17,'NEW CAR'!$AQ$2:$BC$250,138,0)</f>
        <v>11349.6</v>
      </c>
      <c r="BG17" s="106">
        <f>+HLOOKUP($C17,'NEW CAR'!$AQ$2:$BC$250,139,0)</f>
        <v>5862.8</v>
      </c>
      <c r="BH17" s="106">
        <f>+HLOOKUP($C17,'NEW CAR'!$AQ$2:$BC$250,140,0)</f>
        <v>0</v>
      </c>
      <c r="BI17" s="106">
        <f>+HLOOKUP($C17,'NEW CAR'!$AQ$2:$BC$250,141,0)</f>
        <v>0</v>
      </c>
      <c r="BJ17" s="106">
        <f>+HLOOKUP($C17,'NEW CAR'!$AQ$2:$BC$250,142,0)</f>
        <v>30000</v>
      </c>
      <c r="BK17" s="106">
        <f>+HLOOKUP($C17,'NEW CAR'!$AQ$2:$BC$250,143,0)</f>
        <v>56688.333333333343</v>
      </c>
      <c r="BL17" s="106">
        <f>+HLOOKUP($C17,'NEW CAR'!$AQ$2:$BC$250,144,0)</f>
        <v>47116.959999999999</v>
      </c>
      <c r="BM17" s="106">
        <f>+HLOOKUP($C17,'NEW CAR'!$AQ$2:$BC$250,146,0)</f>
        <v>0</v>
      </c>
      <c r="BN17" s="106">
        <f>+HLOOKUP($C17,'NEW CAR'!$AQ$2:$BC$250,147,0)</f>
        <v>51190</v>
      </c>
      <c r="BO17" s="106">
        <f>+HLOOKUP($C17,'NEW CAR'!$AQ$2:$BC$250,148,0)</f>
        <v>0</v>
      </c>
      <c r="BP17" s="106">
        <f>+HLOOKUP($C17,'NEW CAR'!$AQ$2:$BC$250,150,0)</f>
        <v>62707</v>
      </c>
      <c r="BQ17" s="106">
        <f>+HLOOKUP($C17,'NEW CAR'!$AQ$2:$BC$250,151,0)</f>
        <v>9450</v>
      </c>
      <c r="BR17" s="106">
        <f>+HLOOKUP($C17,'NEW CAR'!$AQ$2:$BC$250,152,0)</f>
        <v>47000</v>
      </c>
      <c r="BS17" s="106">
        <f>+HLOOKUP($C17,'NEW CAR'!$AQ$2:$BC$250,153,0)</f>
        <v>600</v>
      </c>
      <c r="BT17" s="106">
        <f>+HLOOKUP($C17,'NEW CAR'!$AQ$2:$BC$250,157,0)</f>
        <v>78500</v>
      </c>
      <c r="BU17" s="106">
        <f>+HLOOKUP($C17,'NEW CAR'!$AQ$2:$BC$250,158,0)</f>
        <v>298.30400000000003</v>
      </c>
      <c r="BV17" s="106">
        <f>+HLOOKUP($C17,'NEW CAR'!$AQ$2:$BC$250,159,0)</f>
        <v>847.22</v>
      </c>
      <c r="BW17" s="106">
        <f>+HLOOKUP($C17,'NEW CAR'!$AQ$2:$BC$250,160,0)</f>
        <v>300</v>
      </c>
      <c r="BX17" s="106">
        <f>+HLOOKUP($C17,'NEW CAR'!$AQ$2:$BC$250,161,0)</f>
        <v>27075.39</v>
      </c>
      <c r="BY17" s="106">
        <f>+HLOOKUP($C17,'NEW CAR'!$AQ$2:$BC$250,164,0)</f>
        <v>15362.844000000001</v>
      </c>
      <c r="BZ17" s="106">
        <f>+HLOOKUP($C17,'NEW CAR'!$AQ$2:$BC$250,165,0)</f>
        <v>0</v>
      </c>
      <c r="CA17" s="106">
        <f>+HLOOKUP($C17,'NEW CAR'!$AQ$2:$BC$250,166,0)</f>
        <v>0</v>
      </c>
      <c r="CB17" s="106">
        <f>+HLOOKUP($C17,'NEW CAR'!$AQ$2:$BC$250,167,0)</f>
        <v>147047.07999999999</v>
      </c>
      <c r="CC17" s="106">
        <f>+HLOOKUP($C17,'NEW CAR'!$AQ$2:$BC$250,168,0)</f>
        <v>0</v>
      </c>
      <c r="CD17" s="106">
        <f>+HLOOKUP($C17,'NEW CAR'!$AQ$2:$BC$250,169,0)</f>
        <v>10770.904</v>
      </c>
      <c r="CE17" s="106">
        <f>+HLOOKUP($C17,'NEW CAR'!$AQ$2:$BC$250,170,0)</f>
        <v>0</v>
      </c>
      <c r="CF17" s="106">
        <f>+HLOOKUP($C17,'NEW CAR'!$AQ$2:$BC$250,172,0)</f>
        <v>20150</v>
      </c>
      <c r="CG17" s="106">
        <f>+HLOOKUP($C17,'NEW CAR'!$AQ$2:$BC$250,173,0)</f>
        <v>0</v>
      </c>
      <c r="CH17" s="106">
        <f>+HLOOKUP($C17,'NEW CAR'!$AQ$2:$BC$250,174,0)</f>
        <v>0</v>
      </c>
      <c r="CI17" s="106">
        <f>+HLOOKUP($C17,'NEW CAR'!$AQ$2:$BC$250,175,0)</f>
        <v>0</v>
      </c>
      <c r="CJ17" s="106">
        <f>+HLOOKUP($C17,'NEW CAR'!$AQ$2:$BC$250,176,0)</f>
        <v>50336.131999999998</v>
      </c>
      <c r="CK17" s="106">
        <f>+HLOOKUP($C17,'NEW CAR'!$AQ$2:$BC$250,178,0)</f>
        <v>192768</v>
      </c>
      <c r="CL17" s="106">
        <f>+HLOOKUP($C17,'NEW CAR'!$AQ$2:$BC$250,179,0)</f>
        <v>0</v>
      </c>
      <c r="CM17" s="106">
        <f>+HLOOKUP($C17,'NEW CAR'!$AQ$2:$BC$250,180,0)</f>
        <v>0</v>
      </c>
      <c r="CN17" s="106">
        <f>+HLOOKUP($C17,'NEW CAR'!$AQ$2:$BC$250,182,0)</f>
        <v>4975</v>
      </c>
      <c r="CO17" s="106">
        <f>+HLOOKUP($C17,'NEW CAR'!$AQ$2:$BC$250,183,0)</f>
        <v>19980</v>
      </c>
      <c r="CP17" s="106">
        <f>+HLOOKUP($C17,'NEW CAR'!$AQ$2:$BC$250,184,0)</f>
        <v>37028.1</v>
      </c>
      <c r="CQ17" s="106">
        <f>+HLOOKUP($C17,'NEW CAR'!$AQ$2:$BC$250,185,0)</f>
        <v>0</v>
      </c>
      <c r="CR17" s="106">
        <f>+HLOOKUP($C17,'NEW CAR'!$AQ$2:$BC$250,187,0)</f>
        <v>27500</v>
      </c>
      <c r="CS17" s="106">
        <f>+HLOOKUP($C17,'NEW CAR'!$AQ$2:$BC$250,188,0)</f>
        <v>6000</v>
      </c>
      <c r="CT17" s="106">
        <f>+HLOOKUP($C17,'NEW CAR'!$AQ$2:$BC$250,189,0)</f>
        <v>70000</v>
      </c>
      <c r="CU17" s="106">
        <f>+HLOOKUP($C17,'NEW CAR'!$AQ$2:$BC$250,190,0)</f>
        <v>24382.2</v>
      </c>
      <c r="CV17" s="106">
        <f>+HLOOKUP($C17,'NEW CAR'!$AQ$2:$BC$250,191,0)</f>
        <v>0</v>
      </c>
      <c r="CW17" s="106">
        <f>+HLOOKUP($C17,'NEW CAR'!$AQ$2:$BC$250,193,0)</f>
        <v>14542.5</v>
      </c>
      <c r="CX17" s="106">
        <f>+HLOOKUP($C17,'NEW CAR'!$AQ$2:$BC$250,194,0)</f>
        <v>106</v>
      </c>
      <c r="CY17" s="106">
        <f>+HLOOKUP($C17,'NEW CAR'!$AQ$2:$BC$250,195,0)</f>
        <v>0</v>
      </c>
      <c r="CZ17" s="106">
        <f>+HLOOKUP($C17,'NEW CAR'!$AQ$2:$BC$250,196,0)</f>
        <v>0</v>
      </c>
      <c r="DA17" s="106">
        <f>+HLOOKUP($C17,'NEW CAR'!$AQ$2:$BC$250,197,0)</f>
        <v>41145</v>
      </c>
      <c r="DB17" s="106">
        <f>+HLOOKUP($C17,'NEW CAR'!$AQ$2:$BC$250,198,0)</f>
        <v>800</v>
      </c>
      <c r="DC17" s="106">
        <f>+HLOOKUP($C17,'NEW CAR'!$AQ$2:$BC$250,199,0)</f>
        <v>9042.7800000000007</v>
      </c>
      <c r="DD17" s="106">
        <f>+HLOOKUP($C17,'NEW CAR'!$AQ$2:$BC$250,200,0)</f>
        <v>870</v>
      </c>
      <c r="DE17" s="106">
        <f>+HLOOKUP($C17,'NEW CAR'!$AQ$2:$BC$250,201,0)</f>
        <v>0</v>
      </c>
      <c r="DF17" s="106">
        <f>+HLOOKUP($C17,'NEW CAR'!$AQ$2:$BC$250,202,0)</f>
        <v>3.6539999999999995</v>
      </c>
      <c r="DG17" s="106">
        <f>+HLOOKUP($C17,'NEW CAR'!$AQ$2:$BC$250,203,0)</f>
        <v>0</v>
      </c>
      <c r="DH17" s="106">
        <f>+HLOOKUP($C17,'NEW CAR'!$AQ$2:$BC$250,205,0)</f>
        <v>45539.83</v>
      </c>
      <c r="DI17" s="106">
        <f>+HLOOKUP($C17,'NEW CAR'!$AQ$2:$BC$250,206,0)</f>
        <v>17692.777999999998</v>
      </c>
      <c r="DJ17" s="106">
        <f>+HLOOKUP($C17,'NEW CAR'!$AQ$2:$BC$250,207,0)</f>
        <v>1907.1673333333185</v>
      </c>
      <c r="DK17" s="106">
        <f>+HLOOKUP($C17,'NEW CAR'!$AQ$2:$BC$250,209,0)</f>
        <v>0</v>
      </c>
      <c r="DL17" s="106">
        <f>+HLOOKUP($C17,'NEW CAR'!$AQ$2:$BC$250,210,0)</f>
        <v>0</v>
      </c>
      <c r="DM17" s="106">
        <f>+HLOOKUP($C17,'NEW CAR'!$AQ$2:$BC$250,211,0)</f>
        <v>76041</v>
      </c>
      <c r="DN17" s="106">
        <f>+HLOOKUP($C17,'NEW CAR'!$AQ$2:$BC$250,212,0)</f>
        <v>69797</v>
      </c>
      <c r="DO17" s="106">
        <f>+HLOOKUP($C17,'NEW CAR'!$AQ$2:$BC$250,214,0)</f>
        <v>0</v>
      </c>
      <c r="DP17" s="106">
        <f>+HLOOKUP($C17,'NEW CAR'!$AQ$2:$BC$250,215,0)</f>
        <v>2000</v>
      </c>
      <c r="DQ17" s="106">
        <f>+HLOOKUP($C17,'NEW CAR'!$AQ$2:$BC$250,219,0)</f>
        <v>122647.67835616437</v>
      </c>
      <c r="DR17" s="106">
        <f>+HLOOKUP($C17,'NEW CAR'!$AQ$2:$BC$250,220,0)</f>
        <v>0</v>
      </c>
      <c r="DS17" s="106">
        <f>+HLOOKUP($C17,'NEW CAR'!$AQ$2:$BC$250,221,0)</f>
        <v>315578.652</v>
      </c>
      <c r="DT17" s="106">
        <f>+HLOOKUP($C17,'NEW CAR'!$AQ$2:$BC$250,223,0)</f>
        <v>31068.784000000003</v>
      </c>
      <c r="DU17" s="106">
        <f>+HLOOKUP($C17,'NEW CAR'!$AQ$2:$BC$250,224,0)</f>
        <v>0</v>
      </c>
      <c r="DV17" s="106">
        <f>+HLOOKUP($C17,'NEW CAR'!$AQ$2:$BC$250,225,0)</f>
        <v>0</v>
      </c>
      <c r="DW17" s="106">
        <f>+HLOOKUP($C17,'NEW CAR'!$AQ$2:$BC$250,227,0)</f>
        <v>0</v>
      </c>
      <c r="DX17" s="106">
        <f>+HLOOKUP($C17,'NEW CAR'!$AQ$2:$BC$250,228,0)</f>
        <v>28895.200000000001</v>
      </c>
      <c r="DY17" s="106">
        <f>+HLOOKUP($C17,'NEW CAR'!$AQ$2:$BC$250,236,0)</f>
        <v>0</v>
      </c>
      <c r="DZ17" s="106">
        <f>+HLOOKUP($C17,'NEW CAR'!$AQ$2:$BC$250,237,0)</f>
        <v>145010.30960000001</v>
      </c>
      <c r="EA17" s="106">
        <f>+HLOOKUP($C17,'NEW CAR'!$AQ$2:$BC$250,238,0)</f>
        <v>0</v>
      </c>
      <c r="EB17" s="106">
        <f>+HLOOKUP($C17,'NEW CAR'!$AQ$2:$BC$250,240,0)</f>
        <v>484785</v>
      </c>
    </row>
    <row r="18" spans="1:132">
      <c r="A18" t="s">
        <v>269</v>
      </c>
      <c r="B18" t="s">
        <v>270</v>
      </c>
      <c r="C18" s="117">
        <v>45505</v>
      </c>
      <c r="D18" s="106">
        <f>+HLOOKUP(C18,'NEW CAR'!$AQ$2:$BC$250,6,0)/3.5%</f>
        <v>89889748.834285691</v>
      </c>
      <c r="E18" s="106">
        <f>+HLOOKUP(C18,'NEW CAR'!$AQ$2:$BC$250,5,0)+HLOOKUP(C18,'NEW CAR'!$AQ$2:$BC$250,26,0)+HLOOKUP(C18,'NEW CAR'!$AQ$2:$BC$250,59,0)</f>
        <v>5182012.4291999992</v>
      </c>
      <c r="G18" s="106">
        <f>+HLOOKUP($C18,'NEW CAR'!$AQ$2:$BC$250,76,0)</f>
        <v>280550</v>
      </c>
      <c r="H18" s="106">
        <f>+HLOOKUP($C18,'NEW CAR'!$AQ$2:$BC$250,77,0)</f>
        <v>271495.84999999998</v>
      </c>
      <c r="I18" s="106">
        <f>+HLOOKUP($C18,'NEW CAR'!$AQ$2:$BC$250,78,0)</f>
        <v>0</v>
      </c>
      <c r="J18" s="106">
        <f>+HLOOKUP($C18,'NEW CAR'!$AQ$2:$BC$250,79,0)</f>
        <v>345307.29</v>
      </c>
      <c r="K18" s="106">
        <f>+HLOOKUP($C18,'NEW CAR'!$AQ$2:$BC$250,80,0)</f>
        <v>0</v>
      </c>
      <c r="L18" s="106">
        <f>+HLOOKUP($C18,'NEW CAR'!$AQ$2:$BC$250,81,0)</f>
        <v>0</v>
      </c>
      <c r="M18" s="106">
        <f>+HLOOKUP($C18,'NEW CAR'!$AQ$2:$BC$250,82,0)</f>
        <v>0</v>
      </c>
      <c r="N18" s="106">
        <f>+HLOOKUP($C18,'NEW CAR'!$AQ$2:$BC$250,83,0)</f>
        <v>2114.6</v>
      </c>
      <c r="O18" s="106">
        <f>+HLOOKUP($C18,'NEW CAR'!$AQ$2:$BC$250,84,0)</f>
        <v>0</v>
      </c>
      <c r="P18" s="106">
        <f>+HLOOKUP($C18,'NEW CAR'!$AQ$2:$BC$250,85,0)</f>
        <v>0</v>
      </c>
      <c r="Q18" s="106">
        <f>+HLOOKUP($C18,'NEW CAR'!$AQ$2:$BC$250,87,0)</f>
        <v>521000</v>
      </c>
      <c r="R18" s="106">
        <f>+HLOOKUP($C18,'NEW CAR'!$AQ$2:$BC$250,90,0)</f>
        <v>15000</v>
      </c>
      <c r="S18" s="106">
        <f>+HLOOKUP($C18,'NEW CAR'!$AQ$2:$BC$250,91,0)</f>
        <v>0</v>
      </c>
      <c r="T18" s="106">
        <f>+HLOOKUP($C18,'NEW CAR'!$AQ$2:$BC$250,92,0)</f>
        <v>396411.55</v>
      </c>
      <c r="U18" s="106">
        <f>+HLOOKUP($C18,'NEW CAR'!$AQ$2:$BC$250,93,0)</f>
        <v>8500</v>
      </c>
      <c r="V18" s="106">
        <f>+HLOOKUP($C18,'NEW CAR'!$AQ$2:$BC$250,94,0)</f>
        <v>3133</v>
      </c>
      <c r="W18" s="106">
        <f>+HLOOKUP($C18,'NEW CAR'!$AQ$2:$BC$250,95,0)</f>
        <v>0</v>
      </c>
      <c r="X18" s="106">
        <f>+HLOOKUP($C18,'NEW CAR'!$AQ$2:$BC$250,96,0)</f>
        <v>71130</v>
      </c>
      <c r="Y18" s="106">
        <f>+HLOOKUP($C18,'NEW CAR'!$AQ$2:$BC$250,97,0)</f>
        <v>161076.28</v>
      </c>
      <c r="Z18" s="106">
        <f>+HLOOKUP($C18,'NEW CAR'!$AQ$2:$BC$250,98,0)</f>
        <v>0</v>
      </c>
      <c r="AA18" s="106">
        <f>+HLOOKUP($C18,'NEW CAR'!$AQ$2:$BC$250,99,0)</f>
        <v>0</v>
      </c>
      <c r="AB18" s="106">
        <f>+HLOOKUP($C18,'NEW CAR'!$AQ$2:$BC$250,100,0)</f>
        <v>21639.708695652171</v>
      </c>
      <c r="AC18" s="106">
        <f>+HLOOKUP($C18,'NEW CAR'!$AQ$2:$BC$250,101,0)</f>
        <v>0</v>
      </c>
      <c r="AD18" s="106">
        <f>+HLOOKUP($C18,'NEW CAR'!$AQ$2:$BC$250,104,0)</f>
        <v>1692.72</v>
      </c>
      <c r="AE18" s="106">
        <f>+HLOOKUP($C18,'NEW CAR'!$AQ$2:$BC$250,105,0)</f>
        <v>260237.454</v>
      </c>
      <c r="AF18" s="106">
        <f>+HLOOKUP($C18,'NEW CAR'!$AQ$2:$BC$250,106,0)</f>
        <v>0</v>
      </c>
      <c r="AG18" s="106">
        <f>+HLOOKUP($C18,'NEW CAR'!$AQ$2:$BC$250,107,0)</f>
        <v>66000</v>
      </c>
      <c r="AH18" s="106">
        <f>+HLOOKUP($C18,'NEW CAR'!$AQ$2:$BC$250,108,0)</f>
        <v>13680</v>
      </c>
      <c r="AI18" s="106">
        <f>+HLOOKUP($C18,'NEW CAR'!$AQ$2:$BC$250,109,0)</f>
        <v>209006.52000000002</v>
      </c>
      <c r="AJ18" s="106">
        <f>+HLOOKUP($C18,'NEW CAR'!$AQ$2:$BC$250,110,0)</f>
        <v>0</v>
      </c>
      <c r="AK18" s="106">
        <f>+HLOOKUP($C18,'NEW CAR'!$AQ$2:$BC$250,111,0)</f>
        <v>21225.370000000003</v>
      </c>
      <c r="AL18" s="106">
        <f>+HLOOKUP($C18,'NEW CAR'!$AQ$2:$BC$250,112,0)</f>
        <v>0</v>
      </c>
      <c r="AM18" s="106">
        <f>+HLOOKUP($C18,'NEW CAR'!$AQ$2:$BC$250,116,0)</f>
        <v>907204.39999999991</v>
      </c>
      <c r="AN18" s="106">
        <f>+HLOOKUP($C18,'NEW CAR'!$AQ$2:$BC$250,117,0)</f>
        <v>116264</v>
      </c>
      <c r="AO18" s="106">
        <f>+HLOOKUP($C18,'NEW CAR'!$AQ$2:$BC$250,118,0)</f>
        <v>32500</v>
      </c>
      <c r="AP18" s="106">
        <f>+HLOOKUP($C18,'NEW CAR'!$AQ$2:$BC$250,119,0)</f>
        <v>264752.8</v>
      </c>
      <c r="AQ18" s="106">
        <f>+HLOOKUP($C18,'NEW CAR'!$AQ$2:$BC$250,120,0)</f>
        <v>71490</v>
      </c>
      <c r="AR18" s="106">
        <f>+HLOOKUP($C18,'NEW CAR'!$AQ$2:$BC$250,121,0)</f>
        <v>30779.200000000001</v>
      </c>
      <c r="AS18" s="106">
        <f>+HLOOKUP($C18,'NEW CAR'!$AQ$2:$BC$250,122,0)</f>
        <v>478751.8</v>
      </c>
      <c r="AT18" s="106">
        <f>+HLOOKUP($C18,'NEW CAR'!$AQ$2:$BC$250,123,0)</f>
        <v>88217.200000000012</v>
      </c>
      <c r="AU18" s="106">
        <f>+HLOOKUP($C18,'NEW CAR'!$AQ$2:$BC$250,124,0)</f>
        <v>10106.6</v>
      </c>
      <c r="AV18" s="106">
        <f>+HLOOKUP($C18,'NEW CAR'!$AQ$2:$BC$250,125,0)</f>
        <v>99400</v>
      </c>
      <c r="AW18" s="106">
        <f>+HLOOKUP($C18,'NEW CAR'!$AQ$2:$BC$250,126,0)</f>
        <v>37917.937499999993</v>
      </c>
      <c r="AX18" s="106">
        <f>+HLOOKUP($C18,'NEW CAR'!$AQ$2:$BC$250,127,0)</f>
        <v>44493.224999999991</v>
      </c>
      <c r="AY18" s="106">
        <f>+HLOOKUP($C18,'NEW CAR'!$AQ$2:$BC$250,129,0)</f>
        <v>0</v>
      </c>
      <c r="AZ18" s="106">
        <f>+HLOOKUP($C18,'NEW CAR'!$AQ$2:$BC$250,130,0)</f>
        <v>0</v>
      </c>
      <c r="BA18" s="106">
        <f>+HLOOKUP($C18,'NEW CAR'!$AQ$2:$BC$250,131,0)</f>
        <v>98175</v>
      </c>
      <c r="BB18" s="106">
        <f>+HLOOKUP($C18,'NEW CAR'!$AQ$2:$BC$250,133,0)</f>
        <v>0</v>
      </c>
      <c r="BC18" s="106">
        <f>+HLOOKUP($C18,'NEW CAR'!$AQ$2:$BC$250,134,0)</f>
        <v>233674.20600000001</v>
      </c>
      <c r="BD18" s="106">
        <f>+HLOOKUP($C18,'NEW CAR'!$AQ$2:$BC$250,135,0)</f>
        <v>0</v>
      </c>
      <c r="BE18" s="106">
        <f>+HLOOKUP($C18,'NEW CAR'!$AQ$2:$BC$250,136,0)</f>
        <v>0</v>
      </c>
      <c r="BF18" s="106">
        <f>+HLOOKUP($C18,'NEW CAR'!$AQ$2:$BC$250,138,0)</f>
        <v>30162.6</v>
      </c>
      <c r="BG18" s="106">
        <f>+HLOOKUP($C18,'NEW CAR'!$AQ$2:$BC$250,139,0)</f>
        <v>14858.6</v>
      </c>
      <c r="BH18" s="106">
        <f>+HLOOKUP($C18,'NEW CAR'!$AQ$2:$BC$250,140,0)</f>
        <v>0</v>
      </c>
      <c r="BI18" s="106">
        <f>+HLOOKUP($C18,'NEW CAR'!$AQ$2:$BC$250,141,0)</f>
        <v>0</v>
      </c>
      <c r="BJ18" s="106">
        <f>+HLOOKUP($C18,'NEW CAR'!$AQ$2:$BC$250,142,0)</f>
        <v>0</v>
      </c>
      <c r="BK18" s="106">
        <f>+HLOOKUP($C18,'NEW CAR'!$AQ$2:$BC$250,143,0)</f>
        <v>56688.333333333343</v>
      </c>
      <c r="BL18" s="106">
        <f>+HLOOKUP($C18,'NEW CAR'!$AQ$2:$BC$250,144,0)</f>
        <v>6050</v>
      </c>
      <c r="BM18" s="106">
        <f>+HLOOKUP($C18,'NEW CAR'!$AQ$2:$BC$250,146,0)</f>
        <v>0</v>
      </c>
      <c r="BN18" s="106">
        <f>+HLOOKUP($C18,'NEW CAR'!$AQ$2:$BC$250,147,0)</f>
        <v>95011</v>
      </c>
      <c r="BO18" s="106">
        <f>+HLOOKUP($C18,'NEW CAR'!$AQ$2:$BC$250,148,0)</f>
        <v>0</v>
      </c>
      <c r="BP18" s="106">
        <f>+HLOOKUP($C18,'NEW CAR'!$AQ$2:$BC$250,150,0)</f>
        <v>58514</v>
      </c>
      <c r="BQ18" s="106">
        <f>+HLOOKUP($C18,'NEW CAR'!$AQ$2:$BC$250,151,0)</f>
        <v>9450</v>
      </c>
      <c r="BR18" s="106">
        <f>+HLOOKUP($C18,'NEW CAR'!$AQ$2:$BC$250,152,0)</f>
        <v>47000</v>
      </c>
      <c r="BS18" s="106">
        <f>+HLOOKUP($C18,'NEW CAR'!$AQ$2:$BC$250,153,0)</f>
        <v>600</v>
      </c>
      <c r="BT18" s="106">
        <f>+HLOOKUP($C18,'NEW CAR'!$AQ$2:$BC$250,157,0)</f>
        <v>4000</v>
      </c>
      <c r="BU18" s="106">
        <f>+HLOOKUP($C18,'NEW CAR'!$AQ$2:$BC$250,158,0)</f>
        <v>4500</v>
      </c>
      <c r="BV18" s="106">
        <f>+HLOOKUP($C18,'NEW CAR'!$AQ$2:$BC$250,159,0)</f>
        <v>847</v>
      </c>
      <c r="BW18" s="106">
        <f>+HLOOKUP($C18,'NEW CAR'!$AQ$2:$BC$250,160,0)</f>
        <v>300</v>
      </c>
      <c r="BX18" s="106">
        <f>+HLOOKUP($C18,'NEW CAR'!$AQ$2:$BC$250,161,0)</f>
        <v>38640.199999999997</v>
      </c>
      <c r="BY18" s="106">
        <f>+HLOOKUP($C18,'NEW CAR'!$AQ$2:$BC$250,164,0)</f>
        <v>22837.302</v>
      </c>
      <c r="BZ18" s="106">
        <f>+HLOOKUP($C18,'NEW CAR'!$AQ$2:$BC$250,165,0)</f>
        <v>0</v>
      </c>
      <c r="CA18" s="106">
        <f>+HLOOKUP($C18,'NEW CAR'!$AQ$2:$BC$250,166,0)</f>
        <v>0</v>
      </c>
      <c r="CB18" s="106">
        <f>+HLOOKUP($C18,'NEW CAR'!$AQ$2:$BC$250,167,0)</f>
        <v>24833.760000000002</v>
      </c>
      <c r="CC18" s="106">
        <f>+HLOOKUP($C18,'NEW CAR'!$AQ$2:$BC$250,168,0)</f>
        <v>0</v>
      </c>
      <c r="CD18" s="106">
        <f>+HLOOKUP($C18,'NEW CAR'!$AQ$2:$BC$250,169,0)</f>
        <v>200</v>
      </c>
      <c r="CE18" s="106">
        <f>+HLOOKUP($C18,'NEW CAR'!$AQ$2:$BC$250,170,0)</f>
        <v>0</v>
      </c>
      <c r="CF18" s="106">
        <f>+HLOOKUP($C18,'NEW CAR'!$AQ$2:$BC$250,172,0)</f>
        <v>20150</v>
      </c>
      <c r="CG18" s="106">
        <f>+HLOOKUP($C18,'NEW CAR'!$AQ$2:$BC$250,173,0)</f>
        <v>0</v>
      </c>
      <c r="CH18" s="106">
        <f>+HLOOKUP($C18,'NEW CAR'!$AQ$2:$BC$250,174,0)</f>
        <v>0</v>
      </c>
      <c r="CI18" s="106">
        <f>+HLOOKUP($C18,'NEW CAR'!$AQ$2:$BC$250,175,0)</f>
        <v>0</v>
      </c>
      <c r="CJ18" s="106">
        <f>+HLOOKUP($C18,'NEW CAR'!$AQ$2:$BC$250,176,0)</f>
        <v>44672</v>
      </c>
      <c r="CK18" s="106">
        <f>+HLOOKUP($C18,'NEW CAR'!$AQ$2:$BC$250,178,0)</f>
        <v>178767.8</v>
      </c>
      <c r="CL18" s="106">
        <f>+HLOOKUP($C18,'NEW CAR'!$AQ$2:$BC$250,179,0)</f>
        <v>6631.8</v>
      </c>
      <c r="CM18" s="106">
        <f>+HLOOKUP($C18,'NEW CAR'!$AQ$2:$BC$250,180,0)</f>
        <v>0</v>
      </c>
      <c r="CN18" s="106">
        <f>+HLOOKUP($C18,'NEW CAR'!$AQ$2:$BC$250,182,0)</f>
        <v>4975</v>
      </c>
      <c r="CO18" s="106">
        <f>+HLOOKUP($C18,'NEW CAR'!$AQ$2:$BC$250,183,0)</f>
        <v>1998</v>
      </c>
      <c r="CP18" s="106">
        <f>+HLOOKUP($C18,'NEW CAR'!$AQ$2:$BC$250,184,0)</f>
        <v>12061.32</v>
      </c>
      <c r="CQ18" s="106">
        <f>+HLOOKUP($C18,'NEW CAR'!$AQ$2:$BC$250,185,0)</f>
        <v>0</v>
      </c>
      <c r="CR18" s="106">
        <f>+HLOOKUP($C18,'NEW CAR'!$AQ$2:$BC$250,187,0)</f>
        <v>8333.3320000000003</v>
      </c>
      <c r="CS18" s="106">
        <f>+HLOOKUP($C18,'NEW CAR'!$AQ$2:$BC$250,188,0)</f>
        <v>6000</v>
      </c>
      <c r="CT18" s="106">
        <f>+HLOOKUP($C18,'NEW CAR'!$AQ$2:$BC$250,189,0)</f>
        <v>60000</v>
      </c>
      <c r="CU18" s="106">
        <f>+HLOOKUP($C18,'NEW CAR'!$AQ$2:$BC$250,190,0)</f>
        <v>9382.2000000000007</v>
      </c>
      <c r="CV18" s="106">
        <f>+HLOOKUP($C18,'NEW CAR'!$AQ$2:$BC$250,191,0)</f>
        <v>0</v>
      </c>
      <c r="CW18" s="106">
        <f>+HLOOKUP($C18,'NEW CAR'!$AQ$2:$BC$250,193,0)</f>
        <v>19325</v>
      </c>
      <c r="CX18" s="106">
        <f>+HLOOKUP($C18,'NEW CAR'!$AQ$2:$BC$250,194,0)</f>
        <v>106</v>
      </c>
      <c r="CY18" s="106">
        <f>+HLOOKUP($C18,'NEW CAR'!$AQ$2:$BC$250,195,0)</f>
        <v>19240</v>
      </c>
      <c r="CZ18" s="106">
        <f>+HLOOKUP($C18,'NEW CAR'!$AQ$2:$BC$250,196,0)</f>
        <v>0</v>
      </c>
      <c r="DA18" s="106">
        <f>+HLOOKUP($C18,'NEW CAR'!$AQ$2:$BC$250,197,0)</f>
        <v>24389.935999999998</v>
      </c>
      <c r="DB18" s="106">
        <f>+HLOOKUP($C18,'NEW CAR'!$AQ$2:$BC$250,198,0)</f>
        <v>12364.51</v>
      </c>
      <c r="DC18" s="106">
        <f>+HLOOKUP($C18,'NEW CAR'!$AQ$2:$BC$250,199,0)</f>
        <v>8177.21</v>
      </c>
      <c r="DD18" s="106">
        <f>+HLOOKUP($C18,'NEW CAR'!$AQ$2:$BC$250,200,0)</f>
        <v>0</v>
      </c>
      <c r="DE18" s="106">
        <f>+HLOOKUP($C18,'NEW CAR'!$AQ$2:$BC$250,201,0)</f>
        <v>0</v>
      </c>
      <c r="DF18" s="106">
        <f>+HLOOKUP($C18,'NEW CAR'!$AQ$2:$BC$250,202,0)</f>
        <v>3.5900000000000003</v>
      </c>
      <c r="DG18" s="106">
        <f>+HLOOKUP($C18,'NEW CAR'!$AQ$2:$BC$250,203,0)</f>
        <v>-3.11</v>
      </c>
      <c r="DH18" s="106">
        <f>+HLOOKUP($C18,'NEW CAR'!$AQ$2:$BC$250,205,0)</f>
        <v>56833</v>
      </c>
      <c r="DI18" s="106">
        <f>+HLOOKUP($C18,'NEW CAR'!$AQ$2:$BC$250,206,0)</f>
        <v>17692.8</v>
      </c>
      <c r="DJ18" s="106">
        <f>+HLOOKUP($C18,'NEW CAR'!$AQ$2:$BC$250,207,0)</f>
        <v>810.41656410254893</v>
      </c>
      <c r="DK18" s="106">
        <f>+HLOOKUP($C18,'NEW CAR'!$AQ$2:$BC$250,209,0)</f>
        <v>0</v>
      </c>
      <c r="DL18" s="106">
        <f>+HLOOKUP($C18,'NEW CAR'!$AQ$2:$BC$250,210,0)</f>
        <v>0</v>
      </c>
      <c r="DM18" s="106">
        <f>+HLOOKUP($C18,'NEW CAR'!$AQ$2:$BC$250,211,0)</f>
        <v>76041</v>
      </c>
      <c r="DN18" s="106">
        <f>+HLOOKUP($C18,'NEW CAR'!$AQ$2:$BC$250,212,0)</f>
        <v>69797</v>
      </c>
      <c r="DO18" s="106">
        <f>+HLOOKUP($C18,'NEW CAR'!$AQ$2:$BC$250,214,0)</f>
        <v>0</v>
      </c>
      <c r="DP18" s="106">
        <f>+HLOOKUP($C18,'NEW CAR'!$AQ$2:$BC$250,215,0)</f>
        <v>200</v>
      </c>
      <c r="DQ18" s="106">
        <f>+HLOOKUP($C18,'NEW CAR'!$AQ$2:$BC$250,219,0)</f>
        <v>85216.438356164377</v>
      </c>
      <c r="DR18" s="106">
        <f>+HLOOKUP($C18,'NEW CAR'!$AQ$2:$BC$250,220,0)</f>
        <v>0</v>
      </c>
      <c r="DS18" s="106">
        <f>+HLOOKUP($C18,'NEW CAR'!$AQ$2:$BC$250,221,0)</f>
        <v>391805.79</v>
      </c>
      <c r="DT18" s="106">
        <f>+HLOOKUP($C18,'NEW CAR'!$AQ$2:$BC$250,223,0)</f>
        <v>29904.648000000001</v>
      </c>
      <c r="DU18" s="106">
        <f>+HLOOKUP($C18,'NEW CAR'!$AQ$2:$BC$250,224,0)</f>
        <v>0</v>
      </c>
      <c r="DV18" s="106">
        <f>+HLOOKUP($C18,'NEW CAR'!$AQ$2:$BC$250,225,0)</f>
        <v>0</v>
      </c>
      <c r="DW18" s="106">
        <f>+HLOOKUP($C18,'NEW CAR'!$AQ$2:$BC$250,227,0)</f>
        <v>0</v>
      </c>
      <c r="DX18" s="106">
        <f>+HLOOKUP($C18,'NEW CAR'!$AQ$2:$BC$250,228,0)</f>
        <v>17148.8</v>
      </c>
      <c r="DY18" s="106">
        <f>+HLOOKUP($C18,'NEW CAR'!$AQ$2:$BC$250,236,0)</f>
        <v>0</v>
      </c>
      <c r="DZ18" s="106">
        <f>+HLOOKUP($C18,'NEW CAR'!$AQ$2:$BC$250,237,0)</f>
        <v>151651.13079999998</v>
      </c>
      <c r="EA18" s="106">
        <f>+HLOOKUP($C18,'NEW CAR'!$AQ$2:$BC$250,238,0)</f>
        <v>0</v>
      </c>
      <c r="EB18" s="106">
        <f>+HLOOKUP($C18,'NEW CAR'!$AQ$2:$BC$250,240,0)</f>
        <v>484785</v>
      </c>
    </row>
    <row r="19" spans="1:132">
      <c r="A19" t="s">
        <v>269</v>
      </c>
      <c r="B19" t="s">
        <v>270</v>
      </c>
      <c r="C19" s="117">
        <v>45474</v>
      </c>
      <c r="D19" s="106">
        <f>+HLOOKUP(C19,'NEW CAR'!$AQ$2:$BC$250,6,0)/3.5%</f>
        <v>67900309.588571429</v>
      </c>
      <c r="E19" s="106">
        <f>+HLOOKUP(C19,'NEW CAR'!$AQ$2:$BC$250,5,0)+HLOOKUP(C19,'NEW CAR'!$AQ$2:$BC$250,26,0)+HLOOKUP(C19,'NEW CAR'!$AQ$2:$BC$250,59,0)</f>
        <v>4235069.7956000008</v>
      </c>
      <c r="G19" s="106">
        <f>+HLOOKUP($C19,'NEW CAR'!$AQ$2:$BC$250,76,0)</f>
        <v>95260.06</v>
      </c>
      <c r="H19" s="106">
        <f>+HLOOKUP($C19,'NEW CAR'!$AQ$2:$BC$250,77,0)</f>
        <v>398448.49</v>
      </c>
      <c r="I19" s="106">
        <f>+HLOOKUP($C19,'NEW CAR'!$AQ$2:$BC$250,78,0)</f>
        <v>0</v>
      </c>
      <c r="J19" s="106">
        <f>+HLOOKUP($C19,'NEW CAR'!$AQ$2:$BC$250,79,0)</f>
        <v>159365.15</v>
      </c>
      <c r="K19" s="106">
        <f>+HLOOKUP($C19,'NEW CAR'!$AQ$2:$BC$250,80,0)</f>
        <v>0</v>
      </c>
      <c r="L19" s="106">
        <f>+HLOOKUP($C19,'NEW CAR'!$AQ$2:$BC$250,81,0)</f>
        <v>0</v>
      </c>
      <c r="M19" s="106">
        <f>+HLOOKUP($C19,'NEW CAR'!$AQ$2:$BC$250,82,0)</f>
        <v>0</v>
      </c>
      <c r="N19" s="106">
        <f>+HLOOKUP($C19,'NEW CAR'!$AQ$2:$BC$250,83,0)</f>
        <v>8238.6</v>
      </c>
      <c r="O19" s="106">
        <f>+HLOOKUP($C19,'NEW CAR'!$AQ$2:$BC$250,84,0)</f>
        <v>0</v>
      </c>
      <c r="P19" s="106">
        <f>+HLOOKUP($C19,'NEW CAR'!$AQ$2:$BC$250,85,0)</f>
        <v>0</v>
      </c>
      <c r="Q19" s="106">
        <f>+HLOOKUP($C19,'NEW CAR'!$AQ$2:$BC$250,87,0)</f>
        <v>407994.6</v>
      </c>
      <c r="R19" s="106">
        <f>+HLOOKUP($C19,'NEW CAR'!$AQ$2:$BC$250,90,0)</f>
        <v>4800</v>
      </c>
      <c r="S19" s="106">
        <f>+HLOOKUP($C19,'NEW CAR'!$AQ$2:$BC$250,91,0)</f>
        <v>0</v>
      </c>
      <c r="T19" s="106">
        <f>+HLOOKUP($C19,'NEW CAR'!$AQ$2:$BC$250,92,0)</f>
        <v>382518.75</v>
      </c>
      <c r="U19" s="106">
        <f>+HLOOKUP($C19,'NEW CAR'!$AQ$2:$BC$250,93,0)</f>
        <v>9500</v>
      </c>
      <c r="V19" s="106">
        <f>+HLOOKUP($C19,'NEW CAR'!$AQ$2:$BC$250,94,0)</f>
        <v>3133</v>
      </c>
      <c r="W19" s="106">
        <f>+HLOOKUP($C19,'NEW CAR'!$AQ$2:$BC$250,95,0)</f>
        <v>0</v>
      </c>
      <c r="X19" s="106">
        <f>+HLOOKUP($C19,'NEW CAR'!$AQ$2:$BC$250,96,0)</f>
        <v>14300</v>
      </c>
      <c r="Y19" s="106">
        <f>+HLOOKUP($C19,'NEW CAR'!$AQ$2:$BC$250,97,0)</f>
        <v>178413.45</v>
      </c>
      <c r="Z19" s="106">
        <f>+HLOOKUP($C19,'NEW CAR'!$AQ$2:$BC$250,98,0)</f>
        <v>0</v>
      </c>
      <c r="AA19" s="106">
        <f>+HLOOKUP($C19,'NEW CAR'!$AQ$2:$BC$250,99,0)</f>
        <v>0</v>
      </c>
      <c r="AB19" s="106">
        <f>+HLOOKUP($C19,'NEW CAR'!$AQ$2:$BC$250,100,0)</f>
        <v>43937.060869565219</v>
      </c>
      <c r="AC19" s="106">
        <f>+HLOOKUP($C19,'NEW CAR'!$AQ$2:$BC$250,101,0)</f>
        <v>11440.01</v>
      </c>
      <c r="AD19" s="106">
        <f>+HLOOKUP($C19,'NEW CAR'!$AQ$2:$BC$250,104,0)</f>
        <v>29253.21</v>
      </c>
      <c r="AE19" s="106">
        <f>+HLOOKUP($C19,'NEW CAR'!$AQ$2:$BC$250,105,0)</f>
        <v>178037.628</v>
      </c>
      <c r="AF19" s="106">
        <f>+HLOOKUP($C19,'NEW CAR'!$AQ$2:$BC$250,106,0)</f>
        <v>0</v>
      </c>
      <c r="AG19" s="106">
        <f>+HLOOKUP($C19,'NEW CAR'!$AQ$2:$BC$250,107,0)</f>
        <v>382118.39999999997</v>
      </c>
      <c r="AH19" s="106">
        <f>+HLOOKUP($C19,'NEW CAR'!$AQ$2:$BC$250,108,0)</f>
        <v>23820</v>
      </c>
      <c r="AI19" s="106">
        <f>+HLOOKUP($C19,'NEW CAR'!$AQ$2:$BC$250,109,0)</f>
        <v>321136.09999999998</v>
      </c>
      <c r="AJ19" s="106">
        <f>+HLOOKUP($C19,'NEW CAR'!$AQ$2:$BC$250,110,0)</f>
        <v>0</v>
      </c>
      <c r="AK19" s="106">
        <f>+HLOOKUP($C19,'NEW CAR'!$AQ$2:$BC$250,111,0)</f>
        <v>0</v>
      </c>
      <c r="AL19" s="106">
        <f>+HLOOKUP($C19,'NEW CAR'!$AQ$2:$BC$250,112,0)</f>
        <v>0</v>
      </c>
      <c r="AM19" s="106">
        <f>+HLOOKUP($C19,'NEW CAR'!$AQ$2:$BC$250,116,0)</f>
        <v>870219.6</v>
      </c>
      <c r="AN19" s="106">
        <f>+HLOOKUP($C19,'NEW CAR'!$AQ$2:$BC$250,117,0)</f>
        <v>109465</v>
      </c>
      <c r="AO19" s="106">
        <f>+HLOOKUP($C19,'NEW CAR'!$AQ$2:$BC$250,118,0)</f>
        <v>32500</v>
      </c>
      <c r="AP19" s="106">
        <f>+HLOOKUP($C19,'NEW CAR'!$AQ$2:$BC$250,119,0)</f>
        <v>250630</v>
      </c>
      <c r="AQ19" s="106">
        <f>+HLOOKUP($C19,'NEW CAR'!$AQ$2:$BC$250,120,0)</f>
        <v>71490</v>
      </c>
      <c r="AR19" s="106">
        <f>+HLOOKUP($C19,'NEW CAR'!$AQ$2:$BC$250,121,0)</f>
        <v>30960</v>
      </c>
      <c r="AS19" s="106">
        <f>+HLOOKUP($C19,'NEW CAR'!$AQ$2:$BC$250,122,0)</f>
        <v>454141</v>
      </c>
      <c r="AT19" s="106">
        <f>+HLOOKUP($C19,'NEW CAR'!$AQ$2:$BC$250,123,0)</f>
        <v>88217.200000000012</v>
      </c>
      <c r="AU19" s="106">
        <f>+HLOOKUP($C19,'NEW CAR'!$AQ$2:$BC$250,124,0)</f>
        <v>10106.6</v>
      </c>
      <c r="AV19" s="106">
        <f>+HLOOKUP($C19,'NEW CAR'!$AQ$2:$BC$250,125,0)</f>
        <v>99400</v>
      </c>
      <c r="AW19" s="106">
        <f>+HLOOKUP($C19,'NEW CAR'!$AQ$2:$BC$250,126,0)</f>
        <v>37917.937499999993</v>
      </c>
      <c r="AX19" s="106">
        <f>+HLOOKUP($C19,'NEW CAR'!$AQ$2:$BC$250,127,0)</f>
        <v>44493.224999999991</v>
      </c>
      <c r="AY19" s="106">
        <f>+HLOOKUP($C19,'NEW CAR'!$AQ$2:$BC$250,129,0)</f>
        <v>0</v>
      </c>
      <c r="AZ19" s="106">
        <f>+HLOOKUP($C19,'NEW CAR'!$AQ$2:$BC$250,130,0)</f>
        <v>0</v>
      </c>
      <c r="BA19" s="106">
        <f>+HLOOKUP($C19,'NEW CAR'!$AQ$2:$BC$250,131,0)</f>
        <v>98175</v>
      </c>
      <c r="BB19" s="106">
        <f>+HLOOKUP($C19,'NEW CAR'!$AQ$2:$BC$250,133,0)</f>
        <v>0</v>
      </c>
      <c r="BC19" s="106">
        <f>+HLOOKUP($C19,'NEW CAR'!$AQ$2:$BC$250,134,0)</f>
        <v>69875.709999999992</v>
      </c>
      <c r="BD19" s="106">
        <f>+HLOOKUP($C19,'NEW CAR'!$AQ$2:$BC$250,135,0)</f>
        <v>0</v>
      </c>
      <c r="BE19" s="106">
        <f>+HLOOKUP($C19,'NEW CAR'!$AQ$2:$BC$250,136,0)</f>
        <v>0</v>
      </c>
      <c r="BF19" s="106">
        <f>+HLOOKUP($C19,'NEW CAR'!$AQ$2:$BC$250,138,0)</f>
        <v>11349.6</v>
      </c>
      <c r="BG19" s="106">
        <f>+HLOOKUP($C19,'NEW CAR'!$AQ$2:$BC$250,139,0)</f>
        <v>5965</v>
      </c>
      <c r="BH19" s="106">
        <f>+HLOOKUP($C19,'NEW CAR'!$AQ$2:$BC$250,140,0)</f>
        <v>0</v>
      </c>
      <c r="BI19" s="106">
        <f>+HLOOKUP($C19,'NEW CAR'!$AQ$2:$BC$250,141,0)</f>
        <v>0</v>
      </c>
      <c r="BJ19" s="106">
        <f>+HLOOKUP($C19,'NEW CAR'!$AQ$2:$BC$250,142,0)</f>
        <v>0</v>
      </c>
      <c r="BK19" s="106">
        <f>+HLOOKUP($C19,'NEW CAR'!$AQ$2:$BC$250,143,0)</f>
        <v>56688.333333333343</v>
      </c>
      <c r="BL19" s="106">
        <f>+HLOOKUP($C19,'NEW CAR'!$AQ$2:$BC$250,144,0)</f>
        <v>120000</v>
      </c>
      <c r="BM19" s="106">
        <f>+HLOOKUP($C19,'NEW CAR'!$AQ$2:$BC$250,146,0)</f>
        <v>0</v>
      </c>
      <c r="BN19" s="106">
        <f>+HLOOKUP($C19,'NEW CAR'!$AQ$2:$BC$250,147,0)</f>
        <v>52616</v>
      </c>
      <c r="BO19" s="106">
        <f>+HLOOKUP($C19,'NEW CAR'!$AQ$2:$BC$250,148,0)</f>
        <v>0</v>
      </c>
      <c r="BP19" s="106">
        <f>+HLOOKUP($C19,'NEW CAR'!$AQ$2:$BC$250,150,0)</f>
        <v>58514</v>
      </c>
      <c r="BQ19" s="106">
        <f>+HLOOKUP($C19,'NEW CAR'!$AQ$2:$BC$250,151,0)</f>
        <v>9450</v>
      </c>
      <c r="BR19" s="106">
        <f>+HLOOKUP($C19,'NEW CAR'!$AQ$2:$BC$250,152,0)</f>
        <v>47000</v>
      </c>
      <c r="BS19" s="106">
        <f>+HLOOKUP($C19,'NEW CAR'!$AQ$2:$BC$250,153,0)</f>
        <v>12600</v>
      </c>
      <c r="BT19" s="106">
        <f>+HLOOKUP($C19,'NEW CAR'!$AQ$2:$BC$250,157,0)</f>
        <v>9600</v>
      </c>
      <c r="BU19" s="106">
        <f>+HLOOKUP($C19,'NEW CAR'!$AQ$2:$BC$250,158,0)</f>
        <v>1154.0999999999999</v>
      </c>
      <c r="BV19" s="106">
        <f>+HLOOKUP($C19,'NEW CAR'!$AQ$2:$BC$250,159,0)</f>
        <v>847</v>
      </c>
      <c r="BW19" s="106">
        <f>+HLOOKUP($C19,'NEW CAR'!$AQ$2:$BC$250,160,0)</f>
        <v>300</v>
      </c>
      <c r="BX19" s="106">
        <f>+HLOOKUP($C19,'NEW CAR'!$AQ$2:$BC$250,161,0)</f>
        <v>26384</v>
      </c>
      <c r="BY19" s="106">
        <f>+HLOOKUP($C19,'NEW CAR'!$AQ$2:$BC$250,164,0)</f>
        <v>31626.400000000001</v>
      </c>
      <c r="BZ19" s="106">
        <f>+HLOOKUP($C19,'NEW CAR'!$AQ$2:$BC$250,165,0)</f>
        <v>0</v>
      </c>
      <c r="CA19" s="106">
        <f>+HLOOKUP($C19,'NEW CAR'!$AQ$2:$BC$250,166,0)</f>
        <v>0</v>
      </c>
      <c r="CB19" s="106">
        <f>+HLOOKUP($C19,'NEW CAR'!$AQ$2:$BC$250,167,0)</f>
        <v>0</v>
      </c>
      <c r="CC19" s="106">
        <f>+HLOOKUP($C19,'NEW CAR'!$AQ$2:$BC$250,168,0)</f>
        <v>0</v>
      </c>
      <c r="CD19" s="106">
        <f>+HLOOKUP($C19,'NEW CAR'!$AQ$2:$BC$250,169,0)</f>
        <v>30714.603999999999</v>
      </c>
      <c r="CE19" s="106">
        <f>+HLOOKUP($C19,'NEW CAR'!$AQ$2:$BC$250,170,0)</f>
        <v>0</v>
      </c>
      <c r="CF19" s="106">
        <f>+HLOOKUP($C19,'NEW CAR'!$AQ$2:$BC$250,172,0)</f>
        <v>20150</v>
      </c>
      <c r="CG19" s="106">
        <f>+HLOOKUP($C19,'NEW CAR'!$AQ$2:$BC$250,173,0)</f>
        <v>0</v>
      </c>
      <c r="CH19" s="106">
        <f>+HLOOKUP($C19,'NEW CAR'!$AQ$2:$BC$250,174,0)</f>
        <v>0</v>
      </c>
      <c r="CI19" s="106">
        <f>+HLOOKUP($C19,'NEW CAR'!$AQ$2:$BC$250,175,0)</f>
        <v>0</v>
      </c>
      <c r="CJ19" s="106">
        <f>+HLOOKUP($C19,'NEW CAR'!$AQ$2:$BC$250,176,0)</f>
        <v>27256</v>
      </c>
      <c r="CK19" s="106">
        <f>+HLOOKUP($C19,'NEW CAR'!$AQ$2:$BC$250,178,0)</f>
        <v>202294.68</v>
      </c>
      <c r="CL19" s="106">
        <f>+HLOOKUP($C19,'NEW CAR'!$AQ$2:$BC$250,179,0)</f>
        <v>11368.8</v>
      </c>
      <c r="CM19" s="106">
        <f>+HLOOKUP($C19,'NEW CAR'!$AQ$2:$BC$250,180,0)</f>
        <v>0</v>
      </c>
      <c r="CN19" s="106">
        <f>+HLOOKUP($C19,'NEW CAR'!$AQ$2:$BC$250,182,0)</f>
        <v>4975</v>
      </c>
      <c r="CO19" s="106">
        <f>+HLOOKUP($C19,'NEW CAR'!$AQ$2:$BC$250,183,0)</f>
        <v>21040</v>
      </c>
      <c r="CP19" s="106">
        <f>+HLOOKUP($C19,'NEW CAR'!$AQ$2:$BC$250,184,0)</f>
        <v>40135.209999999992</v>
      </c>
      <c r="CQ19" s="106">
        <f>+HLOOKUP($C19,'NEW CAR'!$AQ$2:$BC$250,185,0)</f>
        <v>0</v>
      </c>
      <c r="CR19" s="106">
        <f>+HLOOKUP($C19,'NEW CAR'!$AQ$2:$BC$250,187,0)</f>
        <v>8333.3333333333194</v>
      </c>
      <c r="CS19" s="106">
        <f>+HLOOKUP($C19,'NEW CAR'!$AQ$2:$BC$250,188,0)</f>
        <v>10600</v>
      </c>
      <c r="CT19" s="106">
        <f>+HLOOKUP($C19,'NEW CAR'!$AQ$2:$BC$250,189,0)</f>
        <v>0</v>
      </c>
      <c r="CU19" s="106">
        <f>+HLOOKUP($C19,'NEW CAR'!$AQ$2:$BC$250,190,0)</f>
        <v>9382.3320000000003</v>
      </c>
      <c r="CV19" s="106">
        <f>+HLOOKUP($C19,'NEW CAR'!$AQ$2:$BC$250,191,0)</f>
        <v>0</v>
      </c>
      <c r="CW19" s="106">
        <f>+HLOOKUP($C19,'NEW CAR'!$AQ$2:$BC$250,193,0)</f>
        <v>19325</v>
      </c>
      <c r="CX19" s="106">
        <f>+HLOOKUP($C19,'NEW CAR'!$AQ$2:$BC$250,194,0)</f>
        <v>106</v>
      </c>
      <c r="CY19" s="106">
        <f>+HLOOKUP($C19,'NEW CAR'!$AQ$2:$BC$250,195,0)</f>
        <v>0</v>
      </c>
      <c r="CZ19" s="106">
        <f>+HLOOKUP($C19,'NEW CAR'!$AQ$2:$BC$250,196,0)</f>
        <v>0</v>
      </c>
      <c r="DA19" s="106">
        <f>+HLOOKUP($C19,'NEW CAR'!$AQ$2:$BC$250,197,0)</f>
        <v>41980.75</v>
      </c>
      <c r="DB19" s="106">
        <f>+HLOOKUP($C19,'NEW CAR'!$AQ$2:$BC$250,198,0)</f>
        <v>17879.21</v>
      </c>
      <c r="DC19" s="106">
        <f>+HLOOKUP($C19,'NEW CAR'!$AQ$2:$BC$250,199,0)</f>
        <v>13782.04</v>
      </c>
      <c r="DD19" s="106">
        <f>+HLOOKUP($C19,'NEW CAR'!$AQ$2:$BC$250,200,0)</f>
        <v>360</v>
      </c>
      <c r="DE19" s="106">
        <f>+HLOOKUP($C19,'NEW CAR'!$AQ$2:$BC$250,201,0)</f>
        <v>1185.5899999999999</v>
      </c>
      <c r="DF19" s="106">
        <f>+HLOOKUP($C19,'NEW CAR'!$AQ$2:$BC$250,202,0)</f>
        <v>3.7280000000000002</v>
      </c>
      <c r="DG19" s="106">
        <f>+HLOOKUP($C19,'NEW CAR'!$AQ$2:$BC$250,203,0)</f>
        <v>173.76</v>
      </c>
      <c r="DH19" s="106">
        <f>+HLOOKUP($C19,'NEW CAR'!$AQ$2:$BC$250,205,0)</f>
        <v>55251</v>
      </c>
      <c r="DI19" s="106">
        <f>+HLOOKUP($C19,'NEW CAR'!$AQ$2:$BC$250,206,0)</f>
        <v>17692.8</v>
      </c>
      <c r="DJ19" s="106">
        <f>+HLOOKUP($C19,'NEW CAR'!$AQ$2:$BC$250,207,0)</f>
        <v>1895.5333319999995</v>
      </c>
      <c r="DK19" s="106">
        <f>+HLOOKUP($C19,'NEW CAR'!$AQ$2:$BC$250,209,0)</f>
        <v>0</v>
      </c>
      <c r="DL19" s="106">
        <f>+HLOOKUP($C19,'NEW CAR'!$AQ$2:$BC$250,210,0)</f>
        <v>0</v>
      </c>
      <c r="DM19" s="106">
        <f>+HLOOKUP($C19,'NEW CAR'!$AQ$2:$BC$250,211,0)</f>
        <v>76041</v>
      </c>
      <c r="DN19" s="106">
        <f>+HLOOKUP($C19,'NEW CAR'!$AQ$2:$BC$250,212,0)</f>
        <v>69797</v>
      </c>
      <c r="DO19" s="106">
        <f>+HLOOKUP($C19,'NEW CAR'!$AQ$2:$BC$250,214,0)</f>
        <v>0</v>
      </c>
      <c r="DP19" s="106">
        <f>+HLOOKUP($C19,'NEW CAR'!$AQ$2:$BC$250,215,0)</f>
        <v>5500</v>
      </c>
      <c r="DQ19" s="106">
        <f>+HLOOKUP($C19,'NEW CAR'!$AQ$2:$BC$250,219,0)</f>
        <v>192098.63013698632</v>
      </c>
      <c r="DR19" s="106">
        <f>+HLOOKUP($C19,'NEW CAR'!$AQ$2:$BC$250,220,0)</f>
        <v>0</v>
      </c>
      <c r="DS19" s="106">
        <f>+HLOOKUP($C19,'NEW CAR'!$AQ$2:$BC$250,221,0)</f>
        <v>356450.98799999995</v>
      </c>
      <c r="DT19" s="106">
        <f>+HLOOKUP($C19,'NEW CAR'!$AQ$2:$BC$250,223,0)</f>
        <v>69007.184000000008</v>
      </c>
      <c r="DU19" s="106">
        <f>+HLOOKUP($C19,'NEW CAR'!$AQ$2:$BC$250,224,0)</f>
        <v>0</v>
      </c>
      <c r="DV19" s="106">
        <f>+HLOOKUP($C19,'NEW CAR'!$AQ$2:$BC$250,225,0)</f>
        <v>0</v>
      </c>
      <c r="DW19" s="106">
        <f>+HLOOKUP($C19,'NEW CAR'!$AQ$2:$BC$250,227,0)</f>
        <v>0</v>
      </c>
      <c r="DX19" s="106">
        <f>+HLOOKUP($C19,'NEW CAR'!$AQ$2:$BC$250,228,0)</f>
        <v>9963.6</v>
      </c>
      <c r="DY19" s="106">
        <f>+HLOOKUP($C19,'NEW CAR'!$AQ$2:$BC$250,236,0)</f>
        <v>0</v>
      </c>
      <c r="DZ19" s="106">
        <f>+HLOOKUP($C19,'NEW CAR'!$AQ$2:$BC$250,237,0)</f>
        <v>158463.69500000001</v>
      </c>
      <c r="EA19" s="106">
        <f>+HLOOKUP($C19,'NEW CAR'!$AQ$2:$BC$250,238,0)</f>
        <v>0</v>
      </c>
      <c r="EB19" s="106">
        <f>+HLOOKUP($C19,'NEW CAR'!$AQ$2:$BC$250,240,0)</f>
        <v>484785</v>
      </c>
    </row>
    <row r="20" spans="1:132">
      <c r="A20" t="s">
        <v>269</v>
      </c>
      <c r="B20" t="s">
        <v>270</v>
      </c>
      <c r="C20" s="117">
        <v>45444</v>
      </c>
      <c r="D20" s="106">
        <f>+HLOOKUP(C20,'NEW CAR'!$AQ$2:$BC$250,6,0)/3.5%</f>
        <v>124858356.40000001</v>
      </c>
      <c r="E20" s="106">
        <f>+HLOOKUP(C20,'NEW CAR'!$AQ$2:$BC$250,5,0)+HLOOKUP(C20,'NEW CAR'!$AQ$2:$BC$250,26,0)+HLOOKUP(C20,'NEW CAR'!$AQ$2:$BC$250,59,0)</f>
        <v>6436634.4939999999</v>
      </c>
      <c r="G20" s="106">
        <f>+HLOOKUP($C20,'NEW CAR'!$AQ$2:$BC$250,76,0)</f>
        <v>435964.02</v>
      </c>
      <c r="H20" s="106">
        <f>+HLOOKUP($C20,'NEW CAR'!$AQ$2:$BC$250,77,0)</f>
        <v>342341.25</v>
      </c>
      <c r="I20" s="106">
        <f>+HLOOKUP($C20,'NEW CAR'!$AQ$2:$BC$250,78,0)</f>
        <v>0</v>
      </c>
      <c r="J20" s="106">
        <f>+HLOOKUP($C20,'NEW CAR'!$AQ$2:$BC$250,79,0)</f>
        <v>196813.99</v>
      </c>
      <c r="K20" s="106">
        <f>+HLOOKUP($C20,'NEW CAR'!$AQ$2:$BC$250,80,0)</f>
        <v>0</v>
      </c>
      <c r="L20" s="106">
        <f>+HLOOKUP($C20,'NEW CAR'!$AQ$2:$BC$250,81,0)</f>
        <v>0</v>
      </c>
      <c r="M20" s="106">
        <f>+HLOOKUP($C20,'NEW CAR'!$AQ$2:$BC$250,82,0)</f>
        <v>0</v>
      </c>
      <c r="N20" s="106">
        <f>+HLOOKUP($C20,'NEW CAR'!$AQ$2:$BC$250,83,0)</f>
        <v>6343.8</v>
      </c>
      <c r="O20" s="106">
        <f>+HLOOKUP($C20,'NEW CAR'!$AQ$2:$BC$250,84,0)</f>
        <v>20000</v>
      </c>
      <c r="P20" s="106">
        <f>+HLOOKUP($C20,'NEW CAR'!$AQ$2:$BC$250,85,0)</f>
        <v>0</v>
      </c>
      <c r="Q20" s="106">
        <f>+HLOOKUP($C20,'NEW CAR'!$AQ$2:$BC$250,87,0)</f>
        <v>684225.4</v>
      </c>
      <c r="R20" s="106">
        <f>+HLOOKUP($C20,'NEW CAR'!$AQ$2:$BC$250,90,0)</f>
        <v>0</v>
      </c>
      <c r="S20" s="106">
        <f>+HLOOKUP($C20,'NEW CAR'!$AQ$2:$BC$250,91,0)</f>
        <v>0</v>
      </c>
      <c r="T20" s="106">
        <f>+HLOOKUP($C20,'NEW CAR'!$AQ$2:$BC$250,92,0)</f>
        <v>403586</v>
      </c>
      <c r="U20" s="106">
        <f>+HLOOKUP($C20,'NEW CAR'!$AQ$2:$BC$250,93,0)</f>
        <v>27000</v>
      </c>
      <c r="V20" s="106">
        <f>+HLOOKUP($C20,'NEW CAR'!$AQ$2:$BC$250,94,0)</f>
        <v>5370</v>
      </c>
      <c r="W20" s="106">
        <f>+HLOOKUP($C20,'NEW CAR'!$AQ$2:$BC$250,95,0)</f>
        <v>0</v>
      </c>
      <c r="X20" s="106">
        <f>+HLOOKUP($C20,'NEW CAR'!$AQ$2:$BC$250,96,0)</f>
        <v>50481.54</v>
      </c>
      <c r="Y20" s="106">
        <f>+HLOOKUP($C20,'NEW CAR'!$AQ$2:$BC$250,97,0)</f>
        <v>88006.26</v>
      </c>
      <c r="Z20" s="106">
        <f>+HLOOKUP($C20,'NEW CAR'!$AQ$2:$BC$250,98,0)</f>
        <v>0</v>
      </c>
      <c r="AA20" s="106">
        <f>+HLOOKUP($C20,'NEW CAR'!$AQ$2:$BC$250,99,0)</f>
        <v>0</v>
      </c>
      <c r="AB20" s="106">
        <f>+HLOOKUP($C20,'NEW CAR'!$AQ$2:$BC$250,100,0)</f>
        <v>32486.649999999998</v>
      </c>
      <c r="AC20" s="106">
        <f>+HLOOKUP($C20,'NEW CAR'!$AQ$2:$BC$250,101,0)</f>
        <v>14736</v>
      </c>
      <c r="AD20" s="106">
        <f>+HLOOKUP($C20,'NEW CAR'!$AQ$2:$BC$250,104,0)</f>
        <v>27762.25</v>
      </c>
      <c r="AE20" s="106">
        <f>+HLOOKUP($C20,'NEW CAR'!$AQ$2:$BC$250,105,0)</f>
        <v>265841.36599999998</v>
      </c>
      <c r="AF20" s="106">
        <f>+HLOOKUP($C20,'NEW CAR'!$AQ$2:$BC$250,106,0)</f>
        <v>0</v>
      </c>
      <c r="AG20" s="106">
        <f>+HLOOKUP($C20,'NEW CAR'!$AQ$2:$BC$250,107,0)</f>
        <v>458799</v>
      </c>
      <c r="AH20" s="106">
        <f>+HLOOKUP($C20,'NEW CAR'!$AQ$2:$BC$250,108,0)</f>
        <v>38568.78</v>
      </c>
      <c r="AI20" s="106">
        <f>+HLOOKUP($C20,'NEW CAR'!$AQ$2:$BC$250,109,0)</f>
        <v>293898.86</v>
      </c>
      <c r="AJ20" s="106">
        <f>+HLOOKUP($C20,'NEW CAR'!$AQ$2:$BC$250,110,0)</f>
        <v>0</v>
      </c>
      <c r="AK20" s="106">
        <f>+HLOOKUP($C20,'NEW CAR'!$AQ$2:$BC$250,111,0)</f>
        <v>0</v>
      </c>
      <c r="AL20" s="106">
        <f>+HLOOKUP($C20,'NEW CAR'!$AQ$2:$BC$250,112,0)</f>
        <v>0</v>
      </c>
      <c r="AM20" s="106">
        <f>+HLOOKUP($C20,'NEW CAR'!$AQ$2:$BC$250,116,0)</f>
        <v>890386.6</v>
      </c>
      <c r="AN20" s="106">
        <f>+HLOOKUP($C20,'NEW CAR'!$AQ$2:$BC$250,117,0)</f>
        <v>115830</v>
      </c>
      <c r="AO20" s="106">
        <f>+HLOOKUP($C20,'NEW CAR'!$AQ$2:$BC$250,118,0)</f>
        <v>32500</v>
      </c>
      <c r="AP20" s="106">
        <f>+HLOOKUP($C20,'NEW CAR'!$AQ$2:$BC$250,119,0)</f>
        <v>253297</v>
      </c>
      <c r="AQ20" s="106">
        <f>+HLOOKUP($C20,'NEW CAR'!$AQ$2:$BC$250,120,0)</f>
        <v>76357</v>
      </c>
      <c r="AR20" s="106">
        <f>+HLOOKUP($C20,'NEW CAR'!$AQ$2:$BC$250,121,0)</f>
        <v>30960</v>
      </c>
      <c r="AS20" s="106">
        <f>+HLOOKUP($C20,'NEW CAR'!$AQ$2:$BC$250,122,0)</f>
        <v>460876</v>
      </c>
      <c r="AT20" s="106">
        <f>+HLOOKUP($C20,'NEW CAR'!$AQ$2:$BC$250,123,0)</f>
        <v>88217.200000000012</v>
      </c>
      <c r="AU20" s="106">
        <f>+HLOOKUP($C20,'NEW CAR'!$AQ$2:$BC$250,124,0)</f>
        <v>10106.6</v>
      </c>
      <c r="AV20" s="106">
        <f>+HLOOKUP($C20,'NEW CAR'!$AQ$2:$BC$250,125,0)</f>
        <v>99400</v>
      </c>
      <c r="AW20" s="106">
        <f>+HLOOKUP($C20,'NEW CAR'!$AQ$2:$BC$250,126,0)</f>
        <v>37917.937499999993</v>
      </c>
      <c r="AX20" s="106">
        <f>+HLOOKUP($C20,'NEW CAR'!$AQ$2:$BC$250,127,0)</f>
        <v>44493.224999999991</v>
      </c>
      <c r="AY20" s="106">
        <f>+HLOOKUP($C20,'NEW CAR'!$AQ$2:$BC$250,129,0)</f>
        <v>0</v>
      </c>
      <c r="AZ20" s="106">
        <f>+HLOOKUP($C20,'NEW CAR'!$AQ$2:$BC$250,130,0)</f>
        <v>0</v>
      </c>
      <c r="BA20" s="106">
        <f>+HLOOKUP($C20,'NEW CAR'!$AQ$2:$BC$250,131,0)</f>
        <v>98175</v>
      </c>
      <c r="BB20" s="106">
        <f>+HLOOKUP($C20,'NEW CAR'!$AQ$2:$BC$250,133,0)</f>
        <v>0</v>
      </c>
      <c r="BC20" s="106">
        <f>+HLOOKUP($C20,'NEW CAR'!$AQ$2:$BC$250,134,0)</f>
        <v>111668.57</v>
      </c>
      <c r="BD20" s="106">
        <f>+HLOOKUP($C20,'NEW CAR'!$AQ$2:$BC$250,135,0)</f>
        <v>0</v>
      </c>
      <c r="BE20" s="106">
        <f>+HLOOKUP($C20,'NEW CAR'!$AQ$2:$BC$250,136,0)</f>
        <v>0</v>
      </c>
      <c r="BF20" s="106">
        <f>+HLOOKUP($C20,'NEW CAR'!$AQ$2:$BC$250,138,0)</f>
        <v>11349.6</v>
      </c>
      <c r="BG20" s="106">
        <f>+HLOOKUP($C20,'NEW CAR'!$AQ$2:$BC$250,139,0)</f>
        <v>11522.2</v>
      </c>
      <c r="BH20" s="106">
        <f>+HLOOKUP($C20,'NEW CAR'!$AQ$2:$BC$250,140,0)</f>
        <v>0</v>
      </c>
      <c r="BI20" s="106">
        <f>+HLOOKUP($C20,'NEW CAR'!$AQ$2:$BC$250,141,0)</f>
        <v>0</v>
      </c>
      <c r="BJ20" s="106">
        <f>+HLOOKUP($C20,'NEW CAR'!$AQ$2:$BC$250,142,0)</f>
        <v>0</v>
      </c>
      <c r="BK20" s="106">
        <f>+HLOOKUP($C20,'NEW CAR'!$AQ$2:$BC$250,143,0)</f>
        <v>56688.333333333343</v>
      </c>
      <c r="BL20" s="106">
        <f>+HLOOKUP($C20,'NEW CAR'!$AQ$2:$BC$250,144,0)</f>
        <v>1000</v>
      </c>
      <c r="BM20" s="106">
        <f>+HLOOKUP($C20,'NEW CAR'!$AQ$2:$BC$250,146,0)</f>
        <v>0</v>
      </c>
      <c r="BN20" s="106">
        <f>+HLOOKUP($C20,'NEW CAR'!$AQ$2:$BC$250,147,0)</f>
        <v>55528</v>
      </c>
      <c r="BO20" s="106">
        <f>+HLOOKUP($C20,'NEW CAR'!$AQ$2:$BC$250,148,0)</f>
        <v>0</v>
      </c>
      <c r="BP20" s="106">
        <f>+HLOOKUP($C20,'NEW CAR'!$AQ$2:$BC$250,150,0)</f>
        <v>46000</v>
      </c>
      <c r="BQ20" s="106">
        <f>+HLOOKUP($C20,'NEW CAR'!$AQ$2:$BC$250,151,0)</f>
        <v>9450</v>
      </c>
      <c r="BR20" s="106">
        <f>+HLOOKUP($C20,'NEW CAR'!$AQ$2:$BC$250,152,0)</f>
        <v>47000</v>
      </c>
      <c r="BS20" s="106">
        <f>+HLOOKUP($C20,'NEW CAR'!$AQ$2:$BC$250,153,0)</f>
        <v>600</v>
      </c>
      <c r="BT20" s="106">
        <f>+HLOOKUP($C20,'NEW CAR'!$AQ$2:$BC$250,157,0)</f>
        <v>505837.76</v>
      </c>
      <c r="BU20" s="106">
        <f>+HLOOKUP($C20,'NEW CAR'!$AQ$2:$BC$250,158,0)</f>
        <v>2396.61</v>
      </c>
      <c r="BV20" s="106">
        <f>+HLOOKUP($C20,'NEW CAR'!$AQ$2:$BC$250,159,0)</f>
        <v>847</v>
      </c>
      <c r="BW20" s="106">
        <f>+HLOOKUP($C20,'NEW CAR'!$AQ$2:$BC$250,160,0)</f>
        <v>300</v>
      </c>
      <c r="BX20" s="106">
        <f>+HLOOKUP($C20,'NEW CAR'!$AQ$2:$BC$250,161,0)</f>
        <v>78412.61</v>
      </c>
      <c r="BY20" s="106">
        <f>+HLOOKUP($C20,'NEW CAR'!$AQ$2:$BC$250,164,0)</f>
        <v>22813.65</v>
      </c>
      <c r="BZ20" s="106">
        <f>+HLOOKUP($C20,'NEW CAR'!$AQ$2:$BC$250,165,0)</f>
        <v>0</v>
      </c>
      <c r="CA20" s="106">
        <f>+HLOOKUP($C20,'NEW CAR'!$AQ$2:$BC$250,166,0)</f>
        <v>0</v>
      </c>
      <c r="CB20" s="106">
        <f>+HLOOKUP($C20,'NEW CAR'!$AQ$2:$BC$250,167,0)</f>
        <v>0</v>
      </c>
      <c r="CC20" s="106">
        <f>+HLOOKUP($C20,'NEW CAR'!$AQ$2:$BC$250,168,0)</f>
        <v>0</v>
      </c>
      <c r="CD20" s="106">
        <f>+HLOOKUP($C20,'NEW CAR'!$AQ$2:$BC$250,169,0)</f>
        <v>11922.55</v>
      </c>
      <c r="CE20" s="106">
        <f>+HLOOKUP($C20,'NEW CAR'!$AQ$2:$BC$250,170,0)</f>
        <v>0</v>
      </c>
      <c r="CF20" s="106">
        <f>+HLOOKUP($C20,'NEW CAR'!$AQ$2:$BC$250,172,0)</f>
        <v>20150</v>
      </c>
      <c r="CG20" s="106">
        <f>+HLOOKUP($C20,'NEW CAR'!$AQ$2:$BC$250,173,0)</f>
        <v>0</v>
      </c>
      <c r="CH20" s="106">
        <f>+HLOOKUP($C20,'NEW CAR'!$AQ$2:$BC$250,174,0)</f>
        <v>0</v>
      </c>
      <c r="CI20" s="106">
        <f>+HLOOKUP($C20,'NEW CAR'!$AQ$2:$BC$250,175,0)</f>
        <v>0</v>
      </c>
      <c r="CJ20" s="106">
        <f>+HLOOKUP($C20,'NEW CAR'!$AQ$2:$BC$250,176,0)</f>
        <v>26198</v>
      </c>
      <c r="CK20" s="106">
        <f>+HLOOKUP($C20,'NEW CAR'!$AQ$2:$BC$250,178,0)</f>
        <v>134857.78</v>
      </c>
      <c r="CL20" s="106">
        <f>+HLOOKUP($C20,'NEW CAR'!$AQ$2:$BC$250,179,0)</f>
        <v>0</v>
      </c>
      <c r="CM20" s="106">
        <f>+HLOOKUP($C20,'NEW CAR'!$AQ$2:$BC$250,180,0)</f>
        <v>0</v>
      </c>
      <c r="CN20" s="106">
        <f>+HLOOKUP($C20,'NEW CAR'!$AQ$2:$BC$250,182,0)</f>
        <v>4975</v>
      </c>
      <c r="CO20" s="106">
        <f>+HLOOKUP($C20,'NEW CAR'!$AQ$2:$BC$250,183,0)</f>
        <v>10545.53</v>
      </c>
      <c r="CP20" s="106">
        <f>+HLOOKUP($C20,'NEW CAR'!$AQ$2:$BC$250,184,0)</f>
        <v>31355</v>
      </c>
      <c r="CQ20" s="106">
        <f>+HLOOKUP($C20,'NEW CAR'!$AQ$2:$BC$250,185,0)</f>
        <v>0</v>
      </c>
      <c r="CR20" s="106">
        <f>+HLOOKUP($C20,'NEW CAR'!$AQ$2:$BC$250,187,0)</f>
        <v>8333.3333333333194</v>
      </c>
      <c r="CS20" s="106">
        <f>+HLOOKUP($C20,'NEW CAR'!$AQ$2:$BC$250,188,0)</f>
        <v>10600</v>
      </c>
      <c r="CT20" s="106">
        <f>+HLOOKUP($C20,'NEW CAR'!$AQ$2:$BC$250,189,0)</f>
        <v>2500</v>
      </c>
      <c r="CU20" s="106">
        <f>+HLOOKUP($C20,'NEW CAR'!$AQ$2:$BC$250,190,0)</f>
        <v>9382.3320000000003</v>
      </c>
      <c r="CV20" s="106">
        <f>+HLOOKUP($C20,'NEW CAR'!$AQ$2:$BC$250,191,0)</f>
        <v>0</v>
      </c>
      <c r="CW20" s="106">
        <f>+HLOOKUP($C20,'NEW CAR'!$AQ$2:$BC$250,193,0)</f>
        <v>19325</v>
      </c>
      <c r="CX20" s="106">
        <f>+HLOOKUP($C20,'NEW CAR'!$AQ$2:$BC$250,194,0)</f>
        <v>106</v>
      </c>
      <c r="CY20" s="106">
        <f>+HLOOKUP($C20,'NEW CAR'!$AQ$2:$BC$250,195,0)</f>
        <v>0</v>
      </c>
      <c r="CZ20" s="106">
        <f>+HLOOKUP($C20,'NEW CAR'!$AQ$2:$BC$250,196,0)</f>
        <v>0</v>
      </c>
      <c r="DA20" s="106">
        <f>+HLOOKUP($C20,'NEW CAR'!$AQ$2:$BC$250,197,0)</f>
        <v>88305.01</v>
      </c>
      <c r="DB20" s="106">
        <f>+HLOOKUP($C20,'NEW CAR'!$AQ$2:$BC$250,198,0)</f>
        <v>1904.09</v>
      </c>
      <c r="DC20" s="106">
        <f>+HLOOKUP($C20,'NEW CAR'!$AQ$2:$BC$250,199,0)</f>
        <v>2432.21</v>
      </c>
      <c r="DD20" s="106">
        <f>+HLOOKUP($C20,'NEW CAR'!$AQ$2:$BC$250,200,0)</f>
        <v>4048</v>
      </c>
      <c r="DE20" s="106">
        <f>+HLOOKUP($C20,'NEW CAR'!$AQ$2:$BC$250,201,0)</f>
        <v>0</v>
      </c>
      <c r="DF20" s="106">
        <f>+HLOOKUP($C20,'NEW CAR'!$AQ$2:$BC$250,202,0)</f>
        <v>6.0640000000000001</v>
      </c>
      <c r="DG20" s="106">
        <f>+HLOOKUP($C20,'NEW CAR'!$AQ$2:$BC$250,203,0)</f>
        <v>73.50800000000001</v>
      </c>
      <c r="DH20" s="106">
        <f>+HLOOKUP($C20,'NEW CAR'!$AQ$2:$BC$250,205,0)</f>
        <v>55251</v>
      </c>
      <c r="DI20" s="106">
        <f>+HLOOKUP($C20,'NEW CAR'!$AQ$2:$BC$250,206,0)</f>
        <v>17692.8</v>
      </c>
      <c r="DJ20" s="106">
        <f>+HLOOKUP($C20,'NEW CAR'!$AQ$2:$BC$250,207,0)</f>
        <v>2249.34</v>
      </c>
      <c r="DK20" s="106">
        <f>+HLOOKUP($C20,'NEW CAR'!$AQ$2:$BC$250,209,0)</f>
        <v>0</v>
      </c>
      <c r="DL20" s="106">
        <f>+HLOOKUP($C20,'NEW CAR'!$AQ$2:$BC$250,210,0)</f>
        <v>0</v>
      </c>
      <c r="DM20" s="106">
        <f>+HLOOKUP($C20,'NEW CAR'!$AQ$2:$BC$250,211,0)</f>
        <v>76041</v>
      </c>
      <c r="DN20" s="106">
        <f>+HLOOKUP($C20,'NEW CAR'!$AQ$2:$BC$250,212,0)</f>
        <v>69797</v>
      </c>
      <c r="DO20" s="106">
        <f>+HLOOKUP($C20,'NEW CAR'!$AQ$2:$BC$250,214,0)</f>
        <v>0</v>
      </c>
      <c r="DP20" s="106">
        <f>+HLOOKUP($C20,'NEW CAR'!$AQ$2:$BC$250,215,0)</f>
        <v>4700</v>
      </c>
      <c r="DQ20" s="106">
        <f>+HLOOKUP($C20,'NEW CAR'!$AQ$2:$BC$250,219,0)</f>
        <v>263627.39726027398</v>
      </c>
      <c r="DR20" s="106">
        <f>+HLOOKUP($C20,'NEW CAR'!$AQ$2:$BC$250,220,0)</f>
        <v>0</v>
      </c>
      <c r="DS20" s="106">
        <f>+HLOOKUP($C20,'NEW CAR'!$AQ$2:$BC$250,221,0)</f>
        <v>467299.76399999997</v>
      </c>
      <c r="DT20" s="106">
        <f>+HLOOKUP($C20,'NEW CAR'!$AQ$2:$BC$250,223,0)</f>
        <v>38557.732000000004</v>
      </c>
      <c r="DU20" s="106">
        <f>+HLOOKUP($C20,'NEW CAR'!$AQ$2:$BC$250,224,0)</f>
        <v>0</v>
      </c>
      <c r="DV20" s="106">
        <f>+HLOOKUP($C20,'NEW CAR'!$AQ$2:$BC$250,225,0)</f>
        <v>0</v>
      </c>
      <c r="DW20" s="106">
        <f>+HLOOKUP($C20,'NEW CAR'!$AQ$2:$BC$250,227,0)</f>
        <v>0</v>
      </c>
      <c r="DX20" s="106">
        <f>+HLOOKUP($C20,'NEW CAR'!$AQ$2:$BC$250,228,0)</f>
        <v>11453.2</v>
      </c>
      <c r="DY20" s="106">
        <f>+HLOOKUP($C20,'NEW CAR'!$AQ$2:$BC$250,236,0)</f>
        <v>0</v>
      </c>
      <c r="DZ20" s="106">
        <f>+HLOOKUP($C20,'NEW CAR'!$AQ$2:$BC$250,237,0)</f>
        <v>145296.5514</v>
      </c>
      <c r="EA20" s="106">
        <f>+HLOOKUP($C20,'NEW CAR'!$AQ$2:$BC$250,238,0)</f>
        <v>0</v>
      </c>
      <c r="EB20" s="106">
        <f>+HLOOKUP($C20,'NEW CAR'!$AQ$2:$BC$250,240,0)</f>
        <v>484785</v>
      </c>
    </row>
    <row r="21" spans="1:132">
      <c r="A21" t="s">
        <v>269</v>
      </c>
      <c r="B21" t="s">
        <v>270</v>
      </c>
      <c r="C21" s="117">
        <v>45413</v>
      </c>
      <c r="D21" s="106">
        <f>+HLOOKUP(C21,'NEW CAR'!$AQ$2:$BC$250,6,0)/3.5%</f>
        <v>98799466.091428563</v>
      </c>
      <c r="E21" s="106">
        <f>+HLOOKUP(C21,'NEW CAR'!$AQ$2:$BC$250,5,0)+HLOOKUP(C21,'NEW CAR'!$AQ$2:$BC$250,26,0)+HLOOKUP(C21,'NEW CAR'!$AQ$2:$BC$250,59,0)</f>
        <v>4983956.5105600003</v>
      </c>
      <c r="G21" s="106">
        <f>+HLOOKUP($C21,'NEW CAR'!$AQ$2:$BC$250,76,0)</f>
        <v>38767.423333333332</v>
      </c>
      <c r="H21" s="106">
        <f>+HLOOKUP($C21,'NEW CAR'!$AQ$2:$BC$250,77,0)</f>
        <v>361560.72</v>
      </c>
      <c r="I21" s="106">
        <f>+HLOOKUP($C21,'NEW CAR'!$AQ$2:$BC$250,78,0)</f>
        <v>0</v>
      </c>
      <c r="J21" s="106">
        <f>+HLOOKUP($C21,'NEW CAR'!$AQ$2:$BC$250,79,0)</f>
        <v>111591</v>
      </c>
      <c r="K21" s="106">
        <f>+HLOOKUP($C21,'NEW CAR'!$AQ$2:$BC$250,80,0)</f>
        <v>0</v>
      </c>
      <c r="L21" s="106">
        <f>+HLOOKUP($C21,'NEW CAR'!$AQ$2:$BC$250,81,0)</f>
        <v>0</v>
      </c>
      <c r="M21" s="106">
        <f>+HLOOKUP($C21,'NEW CAR'!$AQ$2:$BC$250,82,0)</f>
        <v>0</v>
      </c>
      <c r="N21" s="106">
        <f>+HLOOKUP($C21,'NEW CAR'!$AQ$2:$BC$250,83,0)</f>
        <v>2114.6</v>
      </c>
      <c r="O21" s="106">
        <f>+HLOOKUP($C21,'NEW CAR'!$AQ$2:$BC$250,84,0)</f>
        <v>0</v>
      </c>
      <c r="P21" s="106">
        <f>+HLOOKUP($C21,'NEW CAR'!$AQ$2:$BC$250,85,0)</f>
        <v>0</v>
      </c>
      <c r="Q21" s="106">
        <f>+HLOOKUP($C21,'NEW CAR'!$AQ$2:$BC$250,87,0)</f>
        <v>401673.6</v>
      </c>
      <c r="R21" s="106">
        <f>+HLOOKUP($C21,'NEW CAR'!$AQ$2:$BC$250,90,0)</f>
        <v>15120</v>
      </c>
      <c r="S21" s="106">
        <f>+HLOOKUP($C21,'NEW CAR'!$AQ$2:$BC$250,91,0)</f>
        <v>0</v>
      </c>
      <c r="T21" s="106">
        <f>+HLOOKUP($C21,'NEW CAR'!$AQ$2:$BC$250,92,0)</f>
        <v>204878.5</v>
      </c>
      <c r="U21" s="106">
        <f>+HLOOKUP($C21,'NEW CAR'!$AQ$2:$BC$250,93,0)</f>
        <v>5500</v>
      </c>
      <c r="V21" s="106">
        <f>+HLOOKUP($C21,'NEW CAR'!$AQ$2:$BC$250,94,0)</f>
        <v>0</v>
      </c>
      <c r="W21" s="106">
        <f>+HLOOKUP($C21,'NEW CAR'!$AQ$2:$BC$250,95,0)</f>
        <v>0</v>
      </c>
      <c r="X21" s="106">
        <f>+HLOOKUP($C21,'NEW CAR'!$AQ$2:$BC$250,96,0)</f>
        <v>88952.94</v>
      </c>
      <c r="Y21" s="106">
        <f>+HLOOKUP($C21,'NEW CAR'!$AQ$2:$BC$250,97,0)</f>
        <v>75872.83</v>
      </c>
      <c r="Z21" s="106">
        <f>+HLOOKUP($C21,'NEW CAR'!$AQ$2:$BC$250,98,0)</f>
        <v>0</v>
      </c>
      <c r="AA21" s="106">
        <f>+HLOOKUP($C21,'NEW CAR'!$AQ$2:$BC$250,99,0)</f>
        <v>0</v>
      </c>
      <c r="AB21" s="106">
        <f>+HLOOKUP($C21,'NEW CAR'!$AQ$2:$BC$250,100,0)</f>
        <v>28937.399999999998</v>
      </c>
      <c r="AC21" s="106">
        <f>+HLOOKUP($C21,'NEW CAR'!$AQ$2:$BC$250,101,0)</f>
        <v>7512</v>
      </c>
      <c r="AD21" s="106">
        <f>+HLOOKUP($C21,'NEW CAR'!$AQ$2:$BC$250,104,0)</f>
        <v>27488.78</v>
      </c>
      <c r="AE21" s="106">
        <f>+HLOOKUP($C21,'NEW CAR'!$AQ$2:$BC$250,105,0)</f>
        <v>268863.10579999996</v>
      </c>
      <c r="AF21" s="106">
        <f>+HLOOKUP($C21,'NEW CAR'!$AQ$2:$BC$250,106,0)</f>
        <v>0</v>
      </c>
      <c r="AG21" s="106">
        <f>+HLOOKUP($C21,'NEW CAR'!$AQ$2:$BC$250,107,0)</f>
        <v>184004</v>
      </c>
      <c r="AH21" s="106">
        <f>+HLOOKUP($C21,'NEW CAR'!$AQ$2:$BC$250,108,0)</f>
        <v>41758.35</v>
      </c>
      <c r="AI21" s="106">
        <f>+HLOOKUP($C21,'NEW CAR'!$AQ$2:$BC$250,109,0)</f>
        <v>159376</v>
      </c>
      <c r="AJ21" s="106">
        <f>+HLOOKUP($C21,'NEW CAR'!$AQ$2:$BC$250,110,0)</f>
        <v>0</v>
      </c>
      <c r="AK21" s="106">
        <f>+HLOOKUP($C21,'NEW CAR'!$AQ$2:$BC$250,111,0)</f>
        <v>0</v>
      </c>
      <c r="AL21" s="106">
        <f>+HLOOKUP($C21,'NEW CAR'!$AQ$2:$BC$250,112,0)</f>
        <v>0</v>
      </c>
      <c r="AM21" s="106">
        <f>+HLOOKUP($C21,'NEW CAR'!$AQ$2:$BC$250,116,0)</f>
        <v>889719.6</v>
      </c>
      <c r="AN21" s="106">
        <f>+HLOOKUP($C21,'NEW CAR'!$AQ$2:$BC$250,117,0)</f>
        <v>116640</v>
      </c>
      <c r="AO21" s="106">
        <f>+HLOOKUP($C21,'NEW CAR'!$AQ$2:$BC$250,118,0)</f>
        <v>32500</v>
      </c>
      <c r="AP21" s="106">
        <f>+HLOOKUP($C21,'NEW CAR'!$AQ$2:$BC$250,119,0)</f>
        <v>253030</v>
      </c>
      <c r="AQ21" s="106">
        <f>+HLOOKUP($C21,'NEW CAR'!$AQ$2:$BC$250,120,0)</f>
        <v>76490</v>
      </c>
      <c r="AR21" s="106">
        <f>+HLOOKUP($C21,'NEW CAR'!$AQ$2:$BC$250,121,0)</f>
        <v>30960</v>
      </c>
      <c r="AS21" s="106">
        <f>+HLOOKUP($C21,'NEW CAR'!$AQ$2:$BC$250,122,0)</f>
        <v>469266</v>
      </c>
      <c r="AT21" s="106">
        <f>+HLOOKUP($C21,'NEW CAR'!$AQ$2:$BC$250,123,0)</f>
        <v>88217.200000000012</v>
      </c>
      <c r="AU21" s="106">
        <f>+HLOOKUP($C21,'NEW CAR'!$AQ$2:$BC$250,124,0)</f>
        <v>10106.6</v>
      </c>
      <c r="AV21" s="106">
        <f>+HLOOKUP($C21,'NEW CAR'!$AQ$2:$BC$250,125,0)</f>
        <v>99400</v>
      </c>
      <c r="AW21" s="106">
        <f>+HLOOKUP($C21,'NEW CAR'!$AQ$2:$BC$250,126,0)</f>
        <v>37917.937499999993</v>
      </c>
      <c r="AX21" s="106">
        <f>+HLOOKUP($C21,'NEW CAR'!$AQ$2:$BC$250,127,0)</f>
        <v>44493.224999999991</v>
      </c>
      <c r="AY21" s="106">
        <f>+HLOOKUP($C21,'NEW CAR'!$AQ$2:$BC$250,129,0)</f>
        <v>18947.2</v>
      </c>
      <c r="AZ21" s="106">
        <f>+HLOOKUP($C21,'NEW CAR'!$AQ$2:$BC$250,130,0)</f>
        <v>0</v>
      </c>
      <c r="BA21" s="106">
        <f>+HLOOKUP($C21,'NEW CAR'!$AQ$2:$BC$250,131,0)</f>
        <v>98175</v>
      </c>
      <c r="BB21" s="106">
        <f>+HLOOKUP($C21,'NEW CAR'!$AQ$2:$BC$250,133,0)</f>
        <v>0</v>
      </c>
      <c r="BC21" s="106">
        <f>+HLOOKUP($C21,'NEW CAR'!$AQ$2:$BC$250,134,0)</f>
        <v>152248.97400000002</v>
      </c>
      <c r="BD21" s="106">
        <f>+HLOOKUP($C21,'NEW CAR'!$AQ$2:$BC$250,135,0)</f>
        <v>0</v>
      </c>
      <c r="BE21" s="106">
        <f>+HLOOKUP($C21,'NEW CAR'!$AQ$2:$BC$250,136,0)</f>
        <v>0</v>
      </c>
      <c r="BF21" s="106">
        <f>+HLOOKUP($C21,'NEW CAR'!$AQ$2:$BC$250,138,0)</f>
        <v>11349.6</v>
      </c>
      <c r="BG21" s="106">
        <f>+HLOOKUP($C21,'NEW CAR'!$AQ$2:$BC$250,139,0)</f>
        <v>8283.7999999999993</v>
      </c>
      <c r="BH21" s="106">
        <f>+HLOOKUP($C21,'NEW CAR'!$AQ$2:$BC$250,140,0)</f>
        <v>0</v>
      </c>
      <c r="BI21" s="106">
        <f>+HLOOKUP($C21,'NEW CAR'!$AQ$2:$BC$250,141,0)</f>
        <v>0</v>
      </c>
      <c r="BJ21" s="106">
        <f>+HLOOKUP($C21,'NEW CAR'!$AQ$2:$BC$250,142,0)</f>
        <v>250000</v>
      </c>
      <c r="BK21" s="106">
        <f>+HLOOKUP($C21,'NEW CAR'!$AQ$2:$BC$250,143,0)</f>
        <v>56688.333333333343</v>
      </c>
      <c r="BL21" s="106">
        <f>+HLOOKUP($C21,'NEW CAR'!$AQ$2:$BC$250,144,0)</f>
        <v>22179.200000000001</v>
      </c>
      <c r="BM21" s="106">
        <f>+HLOOKUP($C21,'NEW CAR'!$AQ$2:$BC$250,146,0)</f>
        <v>0</v>
      </c>
      <c r="BN21" s="106">
        <f>+HLOOKUP($C21,'NEW CAR'!$AQ$2:$BC$250,147,0)</f>
        <v>61956</v>
      </c>
      <c r="BO21" s="106">
        <f>+HLOOKUP($C21,'NEW CAR'!$AQ$2:$BC$250,148,0)</f>
        <v>0</v>
      </c>
      <c r="BP21" s="106">
        <f>+HLOOKUP($C21,'NEW CAR'!$AQ$2:$BC$250,150,0)</f>
        <v>46970</v>
      </c>
      <c r="BQ21" s="106">
        <f>+HLOOKUP($C21,'NEW CAR'!$AQ$2:$BC$250,151,0)</f>
        <v>9450</v>
      </c>
      <c r="BR21" s="106">
        <f>+HLOOKUP($C21,'NEW CAR'!$AQ$2:$BC$250,152,0)</f>
        <v>47000</v>
      </c>
      <c r="BS21" s="106">
        <f>+HLOOKUP($C21,'NEW CAR'!$AQ$2:$BC$250,153,0)</f>
        <v>35600</v>
      </c>
      <c r="BT21" s="106">
        <f>+HLOOKUP($C21,'NEW CAR'!$AQ$2:$BC$250,157,0)</f>
        <v>21306.91</v>
      </c>
      <c r="BU21" s="106">
        <f>+HLOOKUP($C21,'NEW CAR'!$AQ$2:$BC$250,158,0)</f>
        <v>2669.4919999999997</v>
      </c>
      <c r="BV21" s="106">
        <f>+HLOOKUP($C21,'NEW CAR'!$AQ$2:$BC$250,159,0)</f>
        <v>847</v>
      </c>
      <c r="BW21" s="106">
        <f>+HLOOKUP($C21,'NEW CAR'!$AQ$2:$BC$250,160,0)</f>
        <v>300</v>
      </c>
      <c r="BX21" s="106">
        <f>+HLOOKUP($C21,'NEW CAR'!$AQ$2:$BC$250,161,0)</f>
        <v>28157.279999999999</v>
      </c>
      <c r="BY21" s="106">
        <f>+HLOOKUP($C21,'NEW CAR'!$AQ$2:$BC$250,164,0)</f>
        <v>28050.63</v>
      </c>
      <c r="BZ21" s="106">
        <f>+HLOOKUP($C21,'NEW CAR'!$AQ$2:$BC$250,165,0)</f>
        <v>0</v>
      </c>
      <c r="CA21" s="106">
        <f>+HLOOKUP($C21,'NEW CAR'!$AQ$2:$BC$250,166,0)</f>
        <v>0</v>
      </c>
      <c r="CB21" s="106">
        <f>+HLOOKUP($C21,'NEW CAR'!$AQ$2:$BC$250,167,0)</f>
        <v>0</v>
      </c>
      <c r="CC21" s="106">
        <f>+HLOOKUP($C21,'NEW CAR'!$AQ$2:$BC$250,168,0)</f>
        <v>0</v>
      </c>
      <c r="CD21" s="106">
        <f>+HLOOKUP($C21,'NEW CAR'!$AQ$2:$BC$250,169,0)</f>
        <v>6721.4579999999996</v>
      </c>
      <c r="CE21" s="106">
        <f>+HLOOKUP($C21,'NEW CAR'!$AQ$2:$BC$250,170,0)</f>
        <v>0</v>
      </c>
      <c r="CF21" s="106">
        <f>+HLOOKUP($C21,'NEW CAR'!$AQ$2:$BC$250,172,0)</f>
        <v>20150</v>
      </c>
      <c r="CG21" s="106">
        <f>+HLOOKUP($C21,'NEW CAR'!$AQ$2:$BC$250,173,0)</f>
        <v>0</v>
      </c>
      <c r="CH21" s="106">
        <f>+HLOOKUP($C21,'NEW CAR'!$AQ$2:$BC$250,174,0)</f>
        <v>0</v>
      </c>
      <c r="CI21" s="106">
        <f>+HLOOKUP($C21,'NEW CAR'!$AQ$2:$BC$250,175,0)</f>
        <v>0</v>
      </c>
      <c r="CJ21" s="106">
        <f>+HLOOKUP($C21,'NEW CAR'!$AQ$2:$BC$250,176,0)</f>
        <v>26545</v>
      </c>
      <c r="CK21" s="106">
        <f>+HLOOKUP($C21,'NEW CAR'!$AQ$2:$BC$250,178,0)</f>
        <v>139654</v>
      </c>
      <c r="CL21" s="106">
        <f>+HLOOKUP($C21,'NEW CAR'!$AQ$2:$BC$250,179,0)</f>
        <v>4737</v>
      </c>
      <c r="CM21" s="106">
        <f>+HLOOKUP($C21,'NEW CAR'!$AQ$2:$BC$250,180,0)</f>
        <v>0</v>
      </c>
      <c r="CN21" s="106">
        <f>+HLOOKUP($C21,'NEW CAR'!$AQ$2:$BC$250,182,0)</f>
        <v>1638</v>
      </c>
      <c r="CO21" s="106">
        <f>+HLOOKUP($C21,'NEW CAR'!$AQ$2:$BC$250,183,0)</f>
        <v>4980</v>
      </c>
      <c r="CP21" s="106">
        <f>+HLOOKUP($C21,'NEW CAR'!$AQ$2:$BC$250,184,0)</f>
        <v>5725.2</v>
      </c>
      <c r="CQ21" s="106">
        <f>+HLOOKUP($C21,'NEW CAR'!$AQ$2:$BC$250,185,0)</f>
        <v>0</v>
      </c>
      <c r="CR21" s="106">
        <f>+HLOOKUP($C21,'NEW CAR'!$AQ$2:$BC$250,187,0)</f>
        <v>8333.3333333333194</v>
      </c>
      <c r="CS21" s="106">
        <f>+HLOOKUP($C21,'NEW CAR'!$AQ$2:$BC$250,188,0)</f>
        <v>10600</v>
      </c>
      <c r="CT21" s="106">
        <f>+HLOOKUP($C21,'NEW CAR'!$AQ$2:$BC$250,189,0)</f>
        <v>5000</v>
      </c>
      <c r="CU21" s="106">
        <f>+HLOOKUP($C21,'NEW CAR'!$AQ$2:$BC$250,190,0)</f>
        <v>9382.3320000000003</v>
      </c>
      <c r="CV21" s="106">
        <f>+HLOOKUP($C21,'NEW CAR'!$AQ$2:$BC$250,191,0)</f>
        <v>0</v>
      </c>
      <c r="CW21" s="106">
        <f>+HLOOKUP($C21,'NEW CAR'!$AQ$2:$BC$250,193,0)</f>
        <v>19325</v>
      </c>
      <c r="CX21" s="106">
        <f>+HLOOKUP($C21,'NEW CAR'!$AQ$2:$BC$250,194,0)</f>
        <v>106</v>
      </c>
      <c r="CY21" s="106">
        <f>+HLOOKUP($C21,'NEW CAR'!$AQ$2:$BC$250,195,0)</f>
        <v>0</v>
      </c>
      <c r="CZ21" s="106">
        <f>+HLOOKUP($C21,'NEW CAR'!$AQ$2:$BC$250,196,0)</f>
        <v>0</v>
      </c>
      <c r="DA21" s="106">
        <f>+HLOOKUP($C21,'NEW CAR'!$AQ$2:$BC$250,197,0)</f>
        <v>78714.05</v>
      </c>
      <c r="DB21" s="106">
        <f>+HLOOKUP($C21,'NEW CAR'!$AQ$2:$BC$250,198,0)</f>
        <v>17357.740000000002</v>
      </c>
      <c r="DC21" s="106">
        <f>+HLOOKUP($C21,'NEW CAR'!$AQ$2:$BC$250,199,0)</f>
        <v>7388.22</v>
      </c>
      <c r="DD21" s="106">
        <f>+HLOOKUP($C21,'NEW CAR'!$AQ$2:$BC$250,200,0)</f>
        <v>1500</v>
      </c>
      <c r="DE21" s="106">
        <f>+HLOOKUP($C21,'NEW CAR'!$AQ$2:$BC$250,201,0)</f>
        <v>0</v>
      </c>
      <c r="DF21" s="106">
        <f>+HLOOKUP($C21,'NEW CAR'!$AQ$2:$BC$250,202,0)</f>
        <v>2.6659999999999999</v>
      </c>
      <c r="DG21" s="106">
        <f>+HLOOKUP($C21,'NEW CAR'!$AQ$2:$BC$250,203,0)</f>
        <v>10.328000000000001</v>
      </c>
      <c r="DH21" s="106">
        <f>+HLOOKUP($C21,'NEW CAR'!$AQ$2:$BC$250,205,0)</f>
        <v>55251</v>
      </c>
      <c r="DI21" s="106">
        <f>+HLOOKUP($C21,'NEW CAR'!$AQ$2:$BC$250,206,0)</f>
        <v>17692.8</v>
      </c>
      <c r="DJ21" s="106">
        <f>+HLOOKUP($C21,'NEW CAR'!$AQ$2:$BC$250,207,0)</f>
        <v>2280.2999999999993</v>
      </c>
      <c r="DK21" s="106">
        <f>+HLOOKUP($C21,'NEW CAR'!$AQ$2:$BC$250,209,0)</f>
        <v>0</v>
      </c>
      <c r="DL21" s="106">
        <f>+HLOOKUP($C21,'NEW CAR'!$AQ$2:$BC$250,210,0)</f>
        <v>0</v>
      </c>
      <c r="DM21" s="106">
        <f>+HLOOKUP($C21,'NEW CAR'!$AQ$2:$BC$250,211,0)</f>
        <v>76041</v>
      </c>
      <c r="DN21" s="106">
        <f>+HLOOKUP($C21,'NEW CAR'!$AQ$2:$BC$250,212,0)</f>
        <v>69797</v>
      </c>
      <c r="DO21" s="106">
        <f>+HLOOKUP($C21,'NEW CAR'!$AQ$2:$BC$250,214,0)</f>
        <v>0</v>
      </c>
      <c r="DP21" s="106">
        <f>+HLOOKUP($C21,'NEW CAR'!$AQ$2:$BC$250,215,0)</f>
        <v>0</v>
      </c>
      <c r="DQ21" s="106">
        <f>+HLOOKUP($C21,'NEW CAR'!$AQ$2:$BC$250,219,0)</f>
        <v>221925.55068493154</v>
      </c>
      <c r="DR21" s="106">
        <f>+HLOOKUP($C21,'NEW CAR'!$AQ$2:$BC$250,220,0)</f>
        <v>0</v>
      </c>
      <c r="DS21" s="106">
        <f>+HLOOKUP($C21,'NEW CAR'!$AQ$2:$BC$250,221,0)</f>
        <v>340243.95600000001</v>
      </c>
      <c r="DT21" s="106">
        <f>+HLOOKUP($C21,'NEW CAR'!$AQ$2:$BC$250,223,0)</f>
        <v>28146.776000000002</v>
      </c>
      <c r="DU21" s="106">
        <f>+HLOOKUP($C21,'NEW CAR'!$AQ$2:$BC$250,224,0)</f>
        <v>0</v>
      </c>
      <c r="DV21" s="106">
        <f>+HLOOKUP($C21,'NEW CAR'!$AQ$2:$BC$250,225,0)</f>
        <v>0</v>
      </c>
      <c r="DW21" s="106">
        <f>+HLOOKUP($C21,'NEW CAR'!$AQ$2:$BC$250,227,0)</f>
        <v>0</v>
      </c>
      <c r="DX21" s="106">
        <f>+HLOOKUP($C21,'NEW CAR'!$AQ$2:$BC$250,228,0)</f>
        <v>3287.6000000000004</v>
      </c>
      <c r="DY21" s="106">
        <f>+HLOOKUP($C21,'NEW CAR'!$AQ$2:$BC$250,236,0)</f>
        <v>0</v>
      </c>
      <c r="DZ21" s="106">
        <f>+HLOOKUP($C21,'NEW CAR'!$AQ$2:$BC$250,237,0)</f>
        <v>157032.4834</v>
      </c>
      <c r="EA21" s="106">
        <f>+HLOOKUP($C21,'NEW CAR'!$AQ$2:$BC$250,238,0)</f>
        <v>0</v>
      </c>
      <c r="EB21" s="106">
        <f>+HLOOKUP($C21,'NEW CAR'!$AQ$2:$BC$250,240,0)</f>
        <v>484785</v>
      </c>
    </row>
    <row r="22" spans="1:132">
      <c r="A22" t="s">
        <v>269</v>
      </c>
      <c r="B22" t="s">
        <v>270</v>
      </c>
      <c r="C22" s="117">
        <v>45383</v>
      </c>
      <c r="D22" s="106">
        <f>+HLOOKUP(C22,'NEW CAR'!$AQ$2:$BC$250,6,0)/3.5%</f>
        <v>70038266.948571429</v>
      </c>
      <c r="E22" s="106">
        <f>+HLOOKUP(C22,'NEW CAR'!$AQ$2:$BC$250,5,0)+HLOOKUP(C22,'NEW CAR'!$AQ$2:$BC$250,26,0)+HLOOKUP(C22,'NEW CAR'!$AQ$2:$BC$250,59,0)</f>
        <v>3866671.3013619976</v>
      </c>
      <c r="G22" s="106">
        <f>+HLOOKUP($C22,'NEW CAR'!$AQ$2:$BC$250,76,0)</f>
        <v>57226.01999999999</v>
      </c>
      <c r="H22" s="106">
        <f>+HLOOKUP($C22,'NEW CAR'!$AQ$2:$BC$250,77,0)</f>
        <v>324532.28999999998</v>
      </c>
      <c r="I22" s="106">
        <f>+HLOOKUP($C22,'NEW CAR'!$AQ$2:$BC$250,78,0)</f>
        <v>0</v>
      </c>
      <c r="J22" s="106">
        <f>+HLOOKUP($C22,'NEW CAR'!$AQ$2:$BC$250,79,0)</f>
        <v>264639.64</v>
      </c>
      <c r="K22" s="106">
        <f>+HLOOKUP($C22,'NEW CAR'!$AQ$2:$BC$250,80,0)</f>
        <v>0</v>
      </c>
      <c r="L22" s="106">
        <f>+HLOOKUP($C22,'NEW CAR'!$AQ$2:$BC$250,81,0)</f>
        <v>0</v>
      </c>
      <c r="M22" s="106">
        <f>+HLOOKUP($C22,'NEW CAR'!$AQ$2:$BC$250,82,0)</f>
        <v>0</v>
      </c>
      <c r="N22" s="106">
        <f>+HLOOKUP($C22,'NEW CAR'!$AQ$2:$BC$250,83,0)</f>
        <v>0</v>
      </c>
      <c r="O22" s="106">
        <f>+HLOOKUP($C22,'NEW CAR'!$AQ$2:$BC$250,84,0)</f>
        <v>0</v>
      </c>
      <c r="P22" s="106">
        <f>+HLOOKUP($C22,'NEW CAR'!$AQ$2:$BC$250,85,0)</f>
        <v>0</v>
      </c>
      <c r="Q22" s="106">
        <f>+HLOOKUP($C22,'NEW CAR'!$AQ$2:$BC$250,87,0)</f>
        <v>323135.71614000009</v>
      </c>
      <c r="R22" s="106">
        <f>+HLOOKUP($C22,'NEW CAR'!$AQ$2:$BC$250,90,0)</f>
        <v>0</v>
      </c>
      <c r="S22" s="106">
        <f>+HLOOKUP($C22,'NEW CAR'!$AQ$2:$BC$250,91,0)</f>
        <v>0</v>
      </c>
      <c r="T22" s="106">
        <f>+HLOOKUP($C22,'NEW CAR'!$AQ$2:$BC$250,92,0)</f>
        <v>212330</v>
      </c>
      <c r="U22" s="106">
        <f>+HLOOKUP($C22,'NEW CAR'!$AQ$2:$BC$250,93,0)</f>
        <v>8500</v>
      </c>
      <c r="V22" s="106">
        <f>+HLOOKUP($C22,'NEW CAR'!$AQ$2:$BC$250,94,0)</f>
        <v>0</v>
      </c>
      <c r="W22" s="106">
        <f>+HLOOKUP($C22,'NEW CAR'!$AQ$2:$BC$250,95,0)</f>
        <v>0</v>
      </c>
      <c r="X22" s="106">
        <f>+HLOOKUP($C22,'NEW CAR'!$AQ$2:$BC$250,96,0)</f>
        <v>70326.509999999995</v>
      </c>
      <c r="Y22" s="106">
        <f>+HLOOKUP($C22,'NEW CAR'!$AQ$2:$BC$250,97,0)</f>
        <v>78462.75</v>
      </c>
      <c r="Z22" s="106">
        <f>+HLOOKUP($C22,'NEW CAR'!$AQ$2:$BC$250,98,0)</f>
        <v>0</v>
      </c>
      <c r="AA22" s="106">
        <f>+HLOOKUP($C22,'NEW CAR'!$AQ$2:$BC$250,99,0)</f>
        <v>0</v>
      </c>
      <c r="AB22" s="106">
        <f>+HLOOKUP($C22,'NEW CAR'!$AQ$2:$BC$250,100,0)</f>
        <v>20661.281999999999</v>
      </c>
      <c r="AC22" s="106">
        <f>+HLOOKUP($C22,'NEW CAR'!$AQ$2:$BC$250,101,0)</f>
        <v>0</v>
      </c>
      <c r="AD22" s="106">
        <f>+HLOOKUP($C22,'NEW CAR'!$AQ$2:$BC$250,104,0)</f>
        <v>46186.47</v>
      </c>
      <c r="AE22" s="106">
        <f>+HLOOKUP($C22,'NEW CAR'!$AQ$2:$BC$250,105,0)</f>
        <v>59780.817799999997</v>
      </c>
      <c r="AF22" s="106">
        <f>+HLOOKUP($C22,'NEW CAR'!$AQ$2:$BC$250,106,0)</f>
        <v>0</v>
      </c>
      <c r="AG22" s="106">
        <f>+HLOOKUP($C22,'NEW CAR'!$AQ$2:$BC$250,107,0)</f>
        <v>332500</v>
      </c>
      <c r="AH22" s="106">
        <f>+HLOOKUP($C22,'NEW CAR'!$AQ$2:$BC$250,108,0)</f>
        <v>21400</v>
      </c>
      <c r="AI22" s="106">
        <f>+HLOOKUP($C22,'NEW CAR'!$AQ$2:$BC$250,109,0)</f>
        <v>235000</v>
      </c>
      <c r="AJ22" s="106">
        <f>+HLOOKUP($C22,'NEW CAR'!$AQ$2:$BC$250,110,0)</f>
        <v>0</v>
      </c>
      <c r="AK22" s="106">
        <f>+HLOOKUP($C22,'NEW CAR'!$AQ$2:$BC$250,111,0)</f>
        <v>0</v>
      </c>
      <c r="AL22" s="106">
        <f>+HLOOKUP($C22,'NEW CAR'!$AQ$2:$BC$250,112,0)</f>
        <v>0</v>
      </c>
      <c r="AM22" s="106">
        <f>+HLOOKUP($C22,'NEW CAR'!$AQ$2:$BC$250,116,0)</f>
        <v>851245.6</v>
      </c>
      <c r="AN22" s="106">
        <f>+HLOOKUP($C22,'NEW CAR'!$AQ$2:$BC$250,117,0)</f>
        <v>116800</v>
      </c>
      <c r="AO22" s="106">
        <f>+HLOOKUP($C22,'NEW CAR'!$AQ$2:$BC$250,118,0)</f>
        <v>33500</v>
      </c>
      <c r="AP22" s="106">
        <f>+HLOOKUP($C22,'NEW CAR'!$AQ$2:$BC$250,119,0)</f>
        <v>253430</v>
      </c>
      <c r="AQ22" s="106">
        <f>+HLOOKUP($C22,'NEW CAR'!$AQ$2:$BC$250,120,0)</f>
        <v>77990</v>
      </c>
      <c r="AR22" s="106">
        <f>+HLOOKUP($C22,'NEW CAR'!$AQ$2:$BC$250,121,0)</f>
        <v>30960</v>
      </c>
      <c r="AS22" s="106">
        <f>+HLOOKUP($C22,'NEW CAR'!$AQ$2:$BC$250,122,0)</f>
        <v>456333</v>
      </c>
      <c r="AT22" s="106">
        <f>+HLOOKUP($C22,'NEW CAR'!$AQ$2:$BC$250,123,0)</f>
        <v>88217.200000000012</v>
      </c>
      <c r="AU22" s="106">
        <f>+HLOOKUP($C22,'NEW CAR'!$AQ$2:$BC$250,124,0)</f>
        <v>11778.2</v>
      </c>
      <c r="AV22" s="106">
        <f>+HLOOKUP($C22,'NEW CAR'!$AQ$2:$BC$250,125,0)</f>
        <v>99400</v>
      </c>
      <c r="AW22" s="106">
        <f>+HLOOKUP($C22,'NEW CAR'!$AQ$2:$BC$250,126,0)</f>
        <v>37917.937499999993</v>
      </c>
      <c r="AX22" s="106">
        <f>+HLOOKUP($C22,'NEW CAR'!$AQ$2:$BC$250,127,0)</f>
        <v>44493.224999999991</v>
      </c>
      <c r="AY22" s="106">
        <f>+HLOOKUP($C22,'NEW CAR'!$AQ$2:$BC$250,129,0)</f>
        <v>0</v>
      </c>
      <c r="AZ22" s="106">
        <f>+HLOOKUP($C22,'NEW CAR'!$AQ$2:$BC$250,130,0)</f>
        <v>0</v>
      </c>
      <c r="BA22" s="106">
        <f>+HLOOKUP($C22,'NEW CAR'!$AQ$2:$BC$250,131,0)</f>
        <v>98175</v>
      </c>
      <c r="BB22" s="106">
        <f>+HLOOKUP($C22,'NEW CAR'!$AQ$2:$BC$250,133,0)</f>
        <v>0</v>
      </c>
      <c r="BC22" s="106">
        <f>+HLOOKUP($C22,'NEW CAR'!$AQ$2:$BC$250,134,0)</f>
        <v>52934.272000000004</v>
      </c>
      <c r="BD22" s="106">
        <f>+HLOOKUP($C22,'NEW CAR'!$AQ$2:$BC$250,135,0)</f>
        <v>0</v>
      </c>
      <c r="BE22" s="106">
        <f>+HLOOKUP($C22,'NEW CAR'!$AQ$2:$BC$250,136,0)</f>
        <v>0</v>
      </c>
      <c r="BF22" s="106">
        <f>+HLOOKUP($C22,'NEW CAR'!$AQ$2:$BC$250,138,0)</f>
        <v>11349.6</v>
      </c>
      <c r="BG22" s="106">
        <f>+HLOOKUP($C22,'NEW CAR'!$AQ$2:$BC$250,139,0)</f>
        <v>6817</v>
      </c>
      <c r="BH22" s="106">
        <f>+HLOOKUP($C22,'NEW CAR'!$AQ$2:$BC$250,140,0)</f>
        <v>0</v>
      </c>
      <c r="BI22" s="106">
        <f>+HLOOKUP($C22,'NEW CAR'!$AQ$2:$BC$250,141,0)</f>
        <v>0</v>
      </c>
      <c r="BJ22" s="106">
        <f>+HLOOKUP($C22,'NEW CAR'!$AQ$2:$BC$250,142,0)</f>
        <v>120000</v>
      </c>
      <c r="BK22" s="106">
        <f>+HLOOKUP($C22,'NEW CAR'!$AQ$2:$BC$250,143,0)</f>
        <v>56688.333333333343</v>
      </c>
      <c r="BL22" s="106">
        <f>+HLOOKUP($C22,'NEW CAR'!$AQ$2:$BC$250,144,0)</f>
        <v>35058.99</v>
      </c>
      <c r="BM22" s="106">
        <f>+HLOOKUP($C22,'NEW CAR'!$AQ$2:$BC$250,146,0)</f>
        <v>0</v>
      </c>
      <c r="BN22" s="106">
        <f>+HLOOKUP($C22,'NEW CAR'!$AQ$2:$BC$250,147,0)</f>
        <v>58400</v>
      </c>
      <c r="BO22" s="106">
        <f>+HLOOKUP($C22,'NEW CAR'!$AQ$2:$BC$250,148,0)</f>
        <v>0</v>
      </c>
      <c r="BP22" s="106">
        <f>+HLOOKUP($C22,'NEW CAR'!$AQ$2:$BC$250,150,0)</f>
        <v>56340</v>
      </c>
      <c r="BQ22" s="106">
        <f>+HLOOKUP($C22,'NEW CAR'!$AQ$2:$BC$250,151,0)</f>
        <v>9450</v>
      </c>
      <c r="BR22" s="106">
        <f>+HLOOKUP($C22,'NEW CAR'!$AQ$2:$BC$250,152,0)</f>
        <v>47000</v>
      </c>
      <c r="BS22" s="106">
        <f>+HLOOKUP($C22,'NEW CAR'!$AQ$2:$BC$250,153,0)</f>
        <v>1000</v>
      </c>
      <c r="BT22" s="106">
        <f>+HLOOKUP($C22,'NEW CAR'!$AQ$2:$BC$250,157,0)</f>
        <v>24477</v>
      </c>
      <c r="BU22" s="106">
        <f>+HLOOKUP($C22,'NEW CAR'!$AQ$2:$BC$250,158,0)</f>
        <v>0</v>
      </c>
      <c r="BV22" s="106">
        <f>+HLOOKUP($C22,'NEW CAR'!$AQ$2:$BC$250,159,0)</f>
        <v>847</v>
      </c>
      <c r="BW22" s="106">
        <f>+HLOOKUP($C22,'NEW CAR'!$AQ$2:$BC$250,160,0)</f>
        <v>300</v>
      </c>
      <c r="BX22" s="106">
        <f>+HLOOKUP($C22,'NEW CAR'!$AQ$2:$BC$250,161,0)</f>
        <v>59358</v>
      </c>
      <c r="BY22" s="106">
        <f>+HLOOKUP($C22,'NEW CAR'!$AQ$2:$BC$250,164,0)</f>
        <v>23760.29</v>
      </c>
      <c r="BZ22" s="106">
        <f>+HLOOKUP($C22,'NEW CAR'!$AQ$2:$BC$250,165,0)</f>
        <v>0</v>
      </c>
      <c r="CA22" s="106">
        <f>+HLOOKUP($C22,'NEW CAR'!$AQ$2:$BC$250,166,0)</f>
        <v>0</v>
      </c>
      <c r="CB22" s="106">
        <f>+HLOOKUP($C22,'NEW CAR'!$AQ$2:$BC$250,167,0)</f>
        <v>0</v>
      </c>
      <c r="CC22" s="106">
        <f>+HLOOKUP($C22,'NEW CAR'!$AQ$2:$BC$250,168,0)</f>
        <v>0</v>
      </c>
      <c r="CD22" s="106">
        <f>+HLOOKUP($C22,'NEW CAR'!$AQ$2:$BC$250,169,0)</f>
        <v>2350</v>
      </c>
      <c r="CE22" s="106">
        <f>+HLOOKUP($C22,'NEW CAR'!$AQ$2:$BC$250,170,0)</f>
        <v>0</v>
      </c>
      <c r="CF22" s="106">
        <f>+HLOOKUP($C22,'NEW CAR'!$AQ$2:$BC$250,172,0)</f>
        <v>20150</v>
      </c>
      <c r="CG22" s="106">
        <f>+HLOOKUP($C22,'NEW CAR'!$AQ$2:$BC$250,173,0)</f>
        <v>0</v>
      </c>
      <c r="CH22" s="106">
        <f>+HLOOKUP($C22,'NEW CAR'!$AQ$2:$BC$250,174,0)</f>
        <v>0</v>
      </c>
      <c r="CI22" s="106">
        <f>+HLOOKUP($C22,'NEW CAR'!$AQ$2:$BC$250,175,0)</f>
        <v>0</v>
      </c>
      <c r="CJ22" s="106">
        <f>+HLOOKUP($C22,'NEW CAR'!$AQ$2:$BC$250,176,0)</f>
        <v>26885</v>
      </c>
      <c r="CK22" s="106">
        <f>+HLOOKUP($C22,'NEW CAR'!$AQ$2:$BC$250,178,0)</f>
        <v>184953.78</v>
      </c>
      <c r="CL22" s="106">
        <f>+HLOOKUP($C22,'NEW CAR'!$AQ$2:$BC$250,179,0)</f>
        <v>0</v>
      </c>
      <c r="CM22" s="106">
        <f>+HLOOKUP($C22,'NEW CAR'!$AQ$2:$BC$250,180,0)</f>
        <v>655</v>
      </c>
      <c r="CN22" s="106">
        <f>+HLOOKUP($C22,'NEW CAR'!$AQ$2:$BC$250,182,0)</f>
        <v>1638</v>
      </c>
      <c r="CO22" s="106">
        <f>+HLOOKUP($C22,'NEW CAR'!$AQ$2:$BC$250,183,0)</f>
        <v>4980</v>
      </c>
      <c r="CP22" s="106">
        <f>+HLOOKUP($C22,'NEW CAR'!$AQ$2:$BC$250,184,0)</f>
        <v>39576.67</v>
      </c>
      <c r="CQ22" s="106">
        <f>+HLOOKUP($C22,'NEW CAR'!$AQ$2:$BC$250,185,0)</f>
        <v>0</v>
      </c>
      <c r="CR22" s="106">
        <f>+HLOOKUP($C22,'NEW CAR'!$AQ$2:$BC$250,187,0)</f>
        <v>8333.3333333333194</v>
      </c>
      <c r="CS22" s="106">
        <f>+HLOOKUP($C22,'NEW CAR'!$AQ$2:$BC$250,188,0)</f>
        <v>10600</v>
      </c>
      <c r="CT22" s="106">
        <f>+HLOOKUP($C22,'NEW CAR'!$AQ$2:$BC$250,189,0)</f>
        <v>0</v>
      </c>
      <c r="CU22" s="106">
        <f>+HLOOKUP($C22,'NEW CAR'!$AQ$2:$BC$250,190,0)</f>
        <v>9382.3320000000003</v>
      </c>
      <c r="CV22" s="106">
        <f>+HLOOKUP($C22,'NEW CAR'!$AQ$2:$BC$250,191,0)</f>
        <v>0</v>
      </c>
      <c r="CW22" s="106">
        <f>+HLOOKUP($C22,'NEW CAR'!$AQ$2:$BC$250,193,0)</f>
        <v>19325</v>
      </c>
      <c r="CX22" s="106">
        <f>+HLOOKUP($C22,'NEW CAR'!$AQ$2:$BC$250,194,0)</f>
        <v>106</v>
      </c>
      <c r="CY22" s="106">
        <f>+HLOOKUP($C22,'NEW CAR'!$AQ$2:$BC$250,195,0)</f>
        <v>0</v>
      </c>
      <c r="CZ22" s="106">
        <f>+HLOOKUP($C22,'NEW CAR'!$AQ$2:$BC$250,196,0)</f>
        <v>0</v>
      </c>
      <c r="DA22" s="106">
        <f>+HLOOKUP($C22,'NEW CAR'!$AQ$2:$BC$250,197,0)</f>
        <v>38000.050000000003</v>
      </c>
      <c r="DB22" s="106">
        <f>+HLOOKUP($C22,'NEW CAR'!$AQ$2:$BC$250,198,0)</f>
        <v>9054.1</v>
      </c>
      <c r="DC22" s="106">
        <f>+HLOOKUP($C22,'NEW CAR'!$AQ$2:$BC$250,199,0)</f>
        <v>9740.51</v>
      </c>
      <c r="DD22" s="106">
        <f>+HLOOKUP($C22,'NEW CAR'!$AQ$2:$BC$250,200,0)</f>
        <v>403</v>
      </c>
      <c r="DE22" s="106">
        <f>+HLOOKUP($C22,'NEW CAR'!$AQ$2:$BC$250,201,0)</f>
        <v>3999</v>
      </c>
      <c r="DF22" s="106">
        <f>+HLOOKUP($C22,'NEW CAR'!$AQ$2:$BC$250,202,0)</f>
        <v>2.4000000000000004</v>
      </c>
      <c r="DG22" s="106">
        <f>+HLOOKUP($C22,'NEW CAR'!$AQ$2:$BC$250,203,0)</f>
        <v>17.600000000000001</v>
      </c>
      <c r="DH22" s="106">
        <f>+HLOOKUP($C22,'NEW CAR'!$AQ$2:$BC$250,205,0)</f>
        <v>55251</v>
      </c>
      <c r="DI22" s="106">
        <f>+HLOOKUP($C22,'NEW CAR'!$AQ$2:$BC$250,206,0)</f>
        <v>17692.8</v>
      </c>
      <c r="DJ22" s="106">
        <f>+HLOOKUP($C22,'NEW CAR'!$AQ$2:$BC$250,207,0)</f>
        <v>2280.2999999999993</v>
      </c>
      <c r="DK22" s="106">
        <f>+HLOOKUP($C22,'NEW CAR'!$AQ$2:$BC$250,209,0)</f>
        <v>0</v>
      </c>
      <c r="DL22" s="106">
        <f>+HLOOKUP($C22,'NEW CAR'!$AQ$2:$BC$250,210,0)</f>
        <v>0</v>
      </c>
      <c r="DM22" s="106">
        <f>+HLOOKUP($C22,'NEW CAR'!$AQ$2:$BC$250,211,0)</f>
        <v>76041</v>
      </c>
      <c r="DN22" s="106">
        <f>+HLOOKUP($C22,'NEW CAR'!$AQ$2:$BC$250,212,0)</f>
        <v>69797</v>
      </c>
      <c r="DO22" s="106">
        <f>+HLOOKUP($C22,'NEW CAR'!$AQ$2:$BC$250,214,0)</f>
        <v>0</v>
      </c>
      <c r="DP22" s="106">
        <f>+HLOOKUP($C22,'NEW CAR'!$AQ$2:$BC$250,215,0)</f>
        <v>10000</v>
      </c>
      <c r="DQ22" s="106">
        <f>+HLOOKUP($C22,'NEW CAR'!$AQ$2:$BC$250,219,0)</f>
        <v>296534.24657534249</v>
      </c>
      <c r="DR22" s="106">
        <f>+HLOOKUP($C22,'NEW CAR'!$AQ$2:$BC$250,220,0)</f>
        <v>0</v>
      </c>
      <c r="DS22" s="106">
        <f>+HLOOKUP($C22,'NEW CAR'!$AQ$2:$BC$250,221,0)</f>
        <v>204490.08</v>
      </c>
      <c r="DT22" s="106">
        <f>+HLOOKUP($C22,'NEW CAR'!$AQ$2:$BC$250,223,0)</f>
        <v>32007.036</v>
      </c>
      <c r="DU22" s="106">
        <f>+HLOOKUP($C22,'NEW CAR'!$AQ$2:$BC$250,224,0)</f>
        <v>0</v>
      </c>
      <c r="DV22" s="106">
        <f>+HLOOKUP($C22,'NEW CAR'!$AQ$2:$BC$250,225,0)</f>
        <v>0</v>
      </c>
      <c r="DW22" s="106">
        <f>+HLOOKUP($C22,'NEW CAR'!$AQ$2:$BC$250,227,0)</f>
        <v>0</v>
      </c>
      <c r="DX22" s="106">
        <f>+HLOOKUP($C22,'NEW CAR'!$AQ$2:$BC$250,228,0)</f>
        <v>10924.800000000001</v>
      </c>
      <c r="DY22" s="106">
        <f>+HLOOKUP($C22,'NEW CAR'!$AQ$2:$BC$250,236,0)</f>
        <v>0</v>
      </c>
      <c r="DZ22" s="106">
        <f>+HLOOKUP($C22,'NEW CAR'!$AQ$2:$BC$250,237,0)</f>
        <v>158864.43560000003</v>
      </c>
      <c r="EA22" s="106">
        <f>+HLOOKUP($C22,'NEW CAR'!$AQ$2:$BC$250,238,0)</f>
        <v>0</v>
      </c>
      <c r="EB22" s="106">
        <f>+HLOOKUP($C22,'NEW CAR'!$AQ$2:$BC$250,240,0)</f>
        <v>484785</v>
      </c>
    </row>
    <row r="23" spans="1:132">
      <c r="A23" t="s">
        <v>269</v>
      </c>
      <c r="B23" t="s">
        <v>270</v>
      </c>
      <c r="C23" s="117">
        <v>45352</v>
      </c>
      <c r="D23" s="106">
        <f>+HLOOKUP(C23,'NEW CAR'!$AQ$2:$BC$250,6,0)/3.5%</f>
        <v>144569345.1542857</v>
      </c>
      <c r="E23" s="106">
        <f>+HLOOKUP(C23,'NEW CAR'!$AQ$2:$BC$250,5,0)+HLOOKUP(C23,'NEW CAR'!$AQ$2:$BC$250,26,0)+HLOOKUP(C23,'NEW CAR'!$AQ$2:$BC$250,59,0)</f>
        <v>11392745.350893335</v>
      </c>
      <c r="G23" s="106">
        <f>+HLOOKUP($C23,'NEW CAR'!$AQ$2:$BC$250,76,0)</f>
        <v>239175.29999999996</v>
      </c>
      <c r="H23" s="106">
        <f>+HLOOKUP($C23,'NEW CAR'!$AQ$2:$BC$250,77,0)</f>
        <v>349344.29</v>
      </c>
      <c r="I23" s="106">
        <f>+HLOOKUP($C23,'NEW CAR'!$AQ$2:$BC$250,78,0)</f>
        <v>0</v>
      </c>
      <c r="J23" s="106">
        <f>+HLOOKUP($C23,'NEW CAR'!$AQ$2:$BC$250,79,0)</f>
        <v>0</v>
      </c>
      <c r="K23" s="106">
        <f>+HLOOKUP($C23,'NEW CAR'!$AQ$2:$BC$250,80,0)</f>
        <v>0</v>
      </c>
      <c r="L23" s="106">
        <f>+HLOOKUP($C23,'NEW CAR'!$AQ$2:$BC$250,81,0)</f>
        <v>0</v>
      </c>
      <c r="M23" s="106">
        <f>+HLOOKUP($C23,'NEW CAR'!$AQ$2:$BC$250,82,0)</f>
        <v>0</v>
      </c>
      <c r="N23" s="106">
        <f>+HLOOKUP($C23,'NEW CAR'!$AQ$2:$BC$250,83,0)</f>
        <v>4031.2</v>
      </c>
      <c r="O23" s="106">
        <f>+HLOOKUP($C23,'NEW CAR'!$AQ$2:$BC$250,84,0)</f>
        <v>50000</v>
      </c>
      <c r="P23" s="106">
        <f>+HLOOKUP($C23,'NEW CAR'!$AQ$2:$BC$250,85,0)</f>
        <v>0</v>
      </c>
      <c r="Q23" s="106">
        <f>+HLOOKUP($C23,'NEW CAR'!$AQ$2:$BC$250,87,0)</f>
        <v>999653.2</v>
      </c>
      <c r="R23" s="106">
        <f>+HLOOKUP($C23,'NEW CAR'!$AQ$2:$BC$250,90,0)</f>
        <v>0</v>
      </c>
      <c r="S23" s="106">
        <f>+HLOOKUP($C23,'NEW CAR'!$AQ$2:$BC$250,91,0)</f>
        <v>0</v>
      </c>
      <c r="T23" s="106">
        <f>+HLOOKUP($C23,'NEW CAR'!$AQ$2:$BC$250,92,0)</f>
        <v>224842.5</v>
      </c>
      <c r="U23" s="106">
        <f>+HLOOKUP($C23,'NEW CAR'!$AQ$2:$BC$250,93,0)</f>
        <v>13250</v>
      </c>
      <c r="V23" s="106">
        <f>+HLOOKUP($C23,'NEW CAR'!$AQ$2:$BC$250,94,0)</f>
        <v>0</v>
      </c>
      <c r="W23" s="106">
        <f>+HLOOKUP($C23,'NEW CAR'!$AQ$2:$BC$250,95,0)</f>
        <v>0</v>
      </c>
      <c r="X23" s="106">
        <f>+HLOOKUP($C23,'NEW CAR'!$AQ$2:$BC$250,96,0)</f>
        <v>28457.97</v>
      </c>
      <c r="Y23" s="106">
        <f>+HLOOKUP($C23,'NEW CAR'!$AQ$2:$BC$250,97,0)</f>
        <v>100743.37</v>
      </c>
      <c r="Z23" s="106">
        <f>+HLOOKUP($C23,'NEW CAR'!$AQ$2:$BC$250,98,0)</f>
        <v>0</v>
      </c>
      <c r="AA23" s="106">
        <f>+HLOOKUP($C23,'NEW CAR'!$AQ$2:$BC$250,99,0)</f>
        <v>0</v>
      </c>
      <c r="AB23" s="106">
        <f>+HLOOKUP($C23,'NEW CAR'!$AQ$2:$BC$250,100,0)</f>
        <v>20160.36064516129</v>
      </c>
      <c r="AC23" s="106">
        <f>+HLOOKUP($C23,'NEW CAR'!$AQ$2:$BC$250,101,0)</f>
        <v>11237.529999999999</v>
      </c>
      <c r="AD23" s="106">
        <f>+HLOOKUP($C23,'NEW CAR'!$AQ$2:$BC$250,104,0)</f>
        <v>308293.15000000002</v>
      </c>
      <c r="AE23" s="106">
        <f>+HLOOKUP($C23,'NEW CAR'!$AQ$2:$BC$250,105,0)</f>
        <v>584074.99089174299</v>
      </c>
      <c r="AF23" s="106">
        <f>+HLOOKUP($C23,'NEW CAR'!$AQ$2:$BC$250,106,0)</f>
        <v>0</v>
      </c>
      <c r="AG23" s="106">
        <f>+HLOOKUP($C23,'NEW CAR'!$AQ$2:$BC$250,107,0)</f>
        <v>668163</v>
      </c>
      <c r="AH23" s="106">
        <f>+HLOOKUP($C23,'NEW CAR'!$AQ$2:$BC$250,108,0)</f>
        <v>94950</v>
      </c>
      <c r="AI23" s="106">
        <f>+HLOOKUP($C23,'NEW CAR'!$AQ$2:$BC$250,109,0)</f>
        <v>629609.67000000004</v>
      </c>
      <c r="AJ23" s="106">
        <f>+HLOOKUP($C23,'NEW CAR'!$AQ$2:$BC$250,110,0)</f>
        <v>0</v>
      </c>
      <c r="AK23" s="106">
        <f>+HLOOKUP($C23,'NEW CAR'!$AQ$2:$BC$250,111,0)</f>
        <v>0</v>
      </c>
      <c r="AL23" s="106">
        <f>+HLOOKUP($C23,'NEW CAR'!$AQ$2:$BC$250,112,0)</f>
        <v>0</v>
      </c>
      <c r="AM23" s="106">
        <f>+HLOOKUP($C23,'NEW CAR'!$AQ$2:$BC$250,116,0)</f>
        <v>849177.59999999998</v>
      </c>
      <c r="AN23" s="106">
        <f>+HLOOKUP($C23,'NEW CAR'!$AQ$2:$BC$250,117,0)</f>
        <v>116741</v>
      </c>
      <c r="AO23" s="106">
        <f>+HLOOKUP($C23,'NEW CAR'!$AQ$2:$BC$250,118,0)</f>
        <v>33500</v>
      </c>
      <c r="AP23" s="106">
        <f>+HLOOKUP($C23,'NEW CAR'!$AQ$2:$BC$250,119,0)</f>
        <v>254893</v>
      </c>
      <c r="AQ23" s="106">
        <f>+HLOOKUP($C23,'NEW CAR'!$AQ$2:$BC$250,120,0)</f>
        <v>77661</v>
      </c>
      <c r="AR23" s="106">
        <f>+HLOOKUP($C23,'NEW CAR'!$AQ$2:$BC$250,121,0)</f>
        <v>30960</v>
      </c>
      <c r="AS23" s="106">
        <f>+HLOOKUP($C23,'NEW CAR'!$AQ$2:$BC$250,122,0)</f>
        <v>459389</v>
      </c>
      <c r="AT23" s="106">
        <f>+HLOOKUP($C23,'NEW CAR'!$AQ$2:$BC$250,123,0)</f>
        <v>82657.8</v>
      </c>
      <c r="AU23" s="106">
        <f>+HLOOKUP($C23,'NEW CAR'!$AQ$2:$BC$250,124,0)</f>
        <v>11778.2</v>
      </c>
      <c r="AV23" s="106">
        <f>+HLOOKUP($C23,'NEW CAR'!$AQ$2:$BC$250,125,0)</f>
        <v>99200</v>
      </c>
      <c r="AW23" s="106">
        <f>+HLOOKUP($C23,'NEW CAR'!$AQ$2:$BC$250,126,0)</f>
        <v>37917.937499999993</v>
      </c>
      <c r="AX23" s="106">
        <f>+HLOOKUP($C23,'NEW CAR'!$AQ$2:$BC$250,127,0)</f>
        <v>44493.224999999991</v>
      </c>
      <c r="AY23" s="106">
        <f>+HLOOKUP($C23,'NEW CAR'!$AQ$2:$BC$250,129,0)</f>
        <v>0</v>
      </c>
      <c r="AZ23" s="106">
        <f>+HLOOKUP($C23,'NEW CAR'!$AQ$2:$BC$250,130,0)</f>
        <v>0</v>
      </c>
      <c r="BA23" s="106">
        <f>+HLOOKUP($C23,'NEW CAR'!$AQ$2:$BC$250,131,0)</f>
        <v>98175</v>
      </c>
      <c r="BB23" s="106">
        <f>+HLOOKUP($C23,'NEW CAR'!$AQ$2:$BC$250,133,0)</f>
        <v>0</v>
      </c>
      <c r="BC23" s="106">
        <f>+HLOOKUP($C23,'NEW CAR'!$AQ$2:$BC$250,134,0)</f>
        <v>0</v>
      </c>
      <c r="BD23" s="106">
        <f>+HLOOKUP($C23,'NEW CAR'!$AQ$2:$BC$250,135,0)</f>
        <v>0</v>
      </c>
      <c r="BE23" s="106">
        <f>+HLOOKUP($C23,'NEW CAR'!$AQ$2:$BC$250,136,0)</f>
        <v>0</v>
      </c>
      <c r="BF23" s="106">
        <f>+HLOOKUP($C23,'NEW CAR'!$AQ$2:$BC$250,138,0)</f>
        <v>11349.6</v>
      </c>
      <c r="BG23" s="106">
        <f>+HLOOKUP($C23,'NEW CAR'!$AQ$2:$BC$250,139,0)</f>
        <v>12763.2</v>
      </c>
      <c r="BH23" s="106">
        <f>+HLOOKUP($C23,'NEW CAR'!$AQ$2:$BC$250,140,0)</f>
        <v>0</v>
      </c>
      <c r="BI23" s="106">
        <f>+HLOOKUP($C23,'NEW CAR'!$AQ$2:$BC$250,141,0)</f>
        <v>0</v>
      </c>
      <c r="BJ23" s="106">
        <f>+HLOOKUP($C23,'NEW CAR'!$AQ$2:$BC$250,142,0)</f>
        <v>88964.6</v>
      </c>
      <c r="BK23" s="106">
        <f>+HLOOKUP($C23,'NEW CAR'!$AQ$2:$BC$250,143,0)</f>
        <v>56688.333333333343</v>
      </c>
      <c r="BL23" s="106">
        <f>+HLOOKUP($C23,'NEW CAR'!$AQ$2:$BC$250,144,0)</f>
        <v>3152</v>
      </c>
      <c r="BM23" s="106">
        <f>+HLOOKUP($C23,'NEW CAR'!$AQ$2:$BC$250,146,0)</f>
        <v>0</v>
      </c>
      <c r="BN23" s="106">
        <f>+HLOOKUP($C23,'NEW CAR'!$AQ$2:$BC$250,147,0)</f>
        <v>79021</v>
      </c>
      <c r="BO23" s="106">
        <f>+HLOOKUP($C23,'NEW CAR'!$AQ$2:$BC$250,148,0)</f>
        <v>0</v>
      </c>
      <c r="BP23" s="106">
        <f>+HLOOKUP($C23,'NEW CAR'!$AQ$2:$BC$250,150,0)</f>
        <v>59537</v>
      </c>
      <c r="BQ23" s="106">
        <f>+HLOOKUP($C23,'NEW CAR'!$AQ$2:$BC$250,151,0)</f>
        <v>9450</v>
      </c>
      <c r="BR23" s="106">
        <f>+HLOOKUP($C23,'NEW CAR'!$AQ$2:$BC$250,152,0)</f>
        <v>47000</v>
      </c>
      <c r="BS23" s="106">
        <f>+HLOOKUP($C23,'NEW CAR'!$AQ$2:$BC$250,153,0)</f>
        <v>24000</v>
      </c>
      <c r="BT23" s="106">
        <f>+HLOOKUP($C23,'NEW CAR'!$AQ$2:$BC$250,157,0)</f>
        <v>0</v>
      </c>
      <c r="BU23" s="106">
        <f>+HLOOKUP($C23,'NEW CAR'!$AQ$2:$BC$250,158,0)</f>
        <v>6074.57</v>
      </c>
      <c r="BV23" s="106">
        <f>+HLOOKUP($C23,'NEW CAR'!$AQ$2:$BC$250,159,0)</f>
        <v>847</v>
      </c>
      <c r="BW23" s="106">
        <f>+HLOOKUP($C23,'NEW CAR'!$AQ$2:$BC$250,160,0)</f>
        <v>179418.34</v>
      </c>
      <c r="BX23" s="106">
        <f>+HLOOKUP($C23,'NEW CAR'!$AQ$2:$BC$250,161,0)</f>
        <v>31764.92</v>
      </c>
      <c r="BY23" s="106">
        <f>+HLOOKUP($C23,'NEW CAR'!$AQ$2:$BC$250,164,0)</f>
        <v>17735.129999999997</v>
      </c>
      <c r="BZ23" s="106">
        <f>+HLOOKUP($C23,'NEW CAR'!$AQ$2:$BC$250,165,0)</f>
        <v>0</v>
      </c>
      <c r="CA23" s="106">
        <f>+HLOOKUP($C23,'NEW CAR'!$AQ$2:$BC$250,166,0)</f>
        <v>0</v>
      </c>
      <c r="CB23" s="106">
        <f>+HLOOKUP($C23,'NEW CAR'!$AQ$2:$BC$250,167,0)</f>
        <v>0</v>
      </c>
      <c r="CC23" s="106">
        <f>+HLOOKUP($C23,'NEW CAR'!$AQ$2:$BC$250,168,0)</f>
        <v>0</v>
      </c>
      <c r="CD23" s="106">
        <f>+HLOOKUP($C23,'NEW CAR'!$AQ$2:$BC$250,169,0)</f>
        <v>0</v>
      </c>
      <c r="CE23" s="106">
        <f>+HLOOKUP($C23,'NEW CAR'!$AQ$2:$BC$250,170,0)</f>
        <v>0</v>
      </c>
      <c r="CF23" s="106">
        <f>+HLOOKUP($C23,'NEW CAR'!$AQ$2:$BC$250,172,0)</f>
        <v>20150</v>
      </c>
      <c r="CG23" s="106">
        <f>+HLOOKUP($C23,'NEW CAR'!$AQ$2:$BC$250,173,0)</f>
        <v>0</v>
      </c>
      <c r="CH23" s="106">
        <f>+HLOOKUP($C23,'NEW CAR'!$AQ$2:$BC$250,174,0)</f>
        <v>0</v>
      </c>
      <c r="CI23" s="106">
        <f>+HLOOKUP($C23,'NEW CAR'!$AQ$2:$BC$250,175,0)</f>
        <v>0</v>
      </c>
      <c r="CJ23" s="106">
        <f>+HLOOKUP($C23,'NEW CAR'!$AQ$2:$BC$250,176,0)</f>
        <v>21312.844000000001</v>
      </c>
      <c r="CK23" s="106">
        <f>+HLOOKUP($C23,'NEW CAR'!$AQ$2:$BC$250,178,0)</f>
        <v>252366.712</v>
      </c>
      <c r="CL23" s="106">
        <f>+HLOOKUP($C23,'NEW CAR'!$AQ$2:$BC$250,179,0)</f>
        <v>29052</v>
      </c>
      <c r="CM23" s="106">
        <f>+HLOOKUP($C23,'NEW CAR'!$AQ$2:$BC$250,180,0)</f>
        <v>0</v>
      </c>
      <c r="CN23" s="106">
        <f>+HLOOKUP($C23,'NEW CAR'!$AQ$2:$BC$250,182,0)</f>
        <v>1638</v>
      </c>
      <c r="CO23" s="106">
        <f>+HLOOKUP($C23,'NEW CAR'!$AQ$2:$BC$250,183,0)</f>
        <v>20030</v>
      </c>
      <c r="CP23" s="106">
        <f>+HLOOKUP($C23,'NEW CAR'!$AQ$2:$BC$250,184,0)</f>
        <v>37574.76</v>
      </c>
      <c r="CQ23" s="106">
        <f>+HLOOKUP($C23,'NEW CAR'!$AQ$2:$BC$250,185,0)</f>
        <v>0</v>
      </c>
      <c r="CR23" s="106">
        <f>+HLOOKUP($C23,'NEW CAR'!$AQ$2:$BC$250,187,0)</f>
        <v>8333.3333333333194</v>
      </c>
      <c r="CS23" s="106">
        <f>+HLOOKUP($C23,'NEW CAR'!$AQ$2:$BC$250,188,0)</f>
        <v>10600</v>
      </c>
      <c r="CT23" s="106">
        <f>+HLOOKUP($C23,'NEW CAR'!$AQ$2:$BC$250,189,0)</f>
        <v>0</v>
      </c>
      <c r="CU23" s="106">
        <f>+HLOOKUP($C23,'NEW CAR'!$AQ$2:$BC$250,190,0)</f>
        <v>259382.33199999999</v>
      </c>
      <c r="CV23" s="106">
        <f>+HLOOKUP($C23,'NEW CAR'!$AQ$2:$BC$250,191,0)</f>
        <v>0</v>
      </c>
      <c r="CW23" s="106">
        <f>+HLOOKUP($C23,'NEW CAR'!$AQ$2:$BC$250,193,0)</f>
        <v>19325</v>
      </c>
      <c r="CX23" s="106">
        <f>+HLOOKUP($C23,'NEW CAR'!$AQ$2:$BC$250,194,0)</f>
        <v>106</v>
      </c>
      <c r="CY23" s="106">
        <f>+HLOOKUP($C23,'NEW CAR'!$AQ$2:$BC$250,195,0)</f>
        <v>40356.26</v>
      </c>
      <c r="CZ23" s="106">
        <f>+HLOOKUP($C23,'NEW CAR'!$AQ$2:$BC$250,196,0)</f>
        <v>0</v>
      </c>
      <c r="DA23" s="106">
        <f>+HLOOKUP($C23,'NEW CAR'!$AQ$2:$BC$250,197,0)</f>
        <v>58791.199999999997</v>
      </c>
      <c r="DB23" s="106">
        <f>+HLOOKUP($C23,'NEW CAR'!$AQ$2:$BC$250,198,0)</f>
        <v>10785.55</v>
      </c>
      <c r="DC23" s="106">
        <f>+HLOOKUP($C23,'NEW CAR'!$AQ$2:$BC$250,199,0)</f>
        <v>4852.88</v>
      </c>
      <c r="DD23" s="106">
        <f>+HLOOKUP($C23,'NEW CAR'!$AQ$2:$BC$250,200,0)</f>
        <v>-90</v>
      </c>
      <c r="DE23" s="106">
        <f>+HLOOKUP($C23,'NEW CAR'!$AQ$2:$BC$250,201,0)</f>
        <v>0</v>
      </c>
      <c r="DF23" s="106">
        <f>+HLOOKUP($C23,'NEW CAR'!$AQ$2:$BC$250,202,0)</f>
        <v>3.6480000000000001</v>
      </c>
      <c r="DG23" s="106">
        <f>+HLOOKUP($C23,'NEW CAR'!$AQ$2:$BC$250,203,0)</f>
        <v>395</v>
      </c>
      <c r="DH23" s="106">
        <f>+HLOOKUP($C23,'NEW CAR'!$AQ$2:$BC$250,205,0)</f>
        <v>55251</v>
      </c>
      <c r="DI23" s="106">
        <f>+HLOOKUP($C23,'NEW CAR'!$AQ$2:$BC$250,206,0)</f>
        <v>17692.8</v>
      </c>
      <c r="DJ23" s="106">
        <f>+HLOOKUP($C23,'NEW CAR'!$AQ$2:$BC$250,207,0)</f>
        <v>2280.2999999999993</v>
      </c>
      <c r="DK23" s="106">
        <f>+HLOOKUP($C23,'NEW CAR'!$AQ$2:$BC$250,209,0)</f>
        <v>0</v>
      </c>
      <c r="DL23" s="106">
        <f>+HLOOKUP($C23,'NEW CAR'!$AQ$2:$BC$250,210,0)</f>
        <v>0</v>
      </c>
      <c r="DM23" s="106">
        <f>+HLOOKUP($C23,'NEW CAR'!$AQ$2:$BC$250,211,0)</f>
        <v>76041</v>
      </c>
      <c r="DN23" s="106">
        <f>+HLOOKUP($C23,'NEW CAR'!$AQ$2:$BC$250,212,0)</f>
        <v>69797</v>
      </c>
      <c r="DO23" s="106">
        <f>+HLOOKUP($C23,'NEW CAR'!$AQ$2:$BC$250,214,0)</f>
        <v>0</v>
      </c>
      <c r="DP23" s="106">
        <f>+HLOOKUP($C23,'NEW CAR'!$AQ$2:$BC$250,215,0)</f>
        <v>3000</v>
      </c>
      <c r="DQ23" s="106">
        <f>+HLOOKUP($C23,'NEW CAR'!$AQ$2:$BC$250,219,0)</f>
        <v>128789.04109589042</v>
      </c>
      <c r="DR23" s="106">
        <f>+HLOOKUP($C23,'NEW CAR'!$AQ$2:$BC$250,220,0)</f>
        <v>0</v>
      </c>
      <c r="DS23" s="106">
        <f>+HLOOKUP($C23,'NEW CAR'!$AQ$2:$BC$250,221,0)</f>
        <v>135594.978</v>
      </c>
      <c r="DT23" s="106">
        <f>+HLOOKUP($C23,'NEW CAR'!$AQ$2:$BC$250,223,0)</f>
        <v>31319.300000000003</v>
      </c>
      <c r="DU23" s="106">
        <f>+HLOOKUP($C23,'NEW CAR'!$AQ$2:$BC$250,224,0)</f>
        <v>0</v>
      </c>
      <c r="DV23" s="106">
        <f>+HLOOKUP($C23,'NEW CAR'!$AQ$2:$BC$250,225,0)</f>
        <v>0</v>
      </c>
      <c r="DW23" s="106">
        <f>+HLOOKUP($C23,'NEW CAR'!$AQ$2:$BC$250,227,0)</f>
        <v>0</v>
      </c>
      <c r="DX23" s="106">
        <f>+HLOOKUP($C23,'NEW CAR'!$AQ$2:$BC$250,228,0)</f>
        <v>91252</v>
      </c>
      <c r="DY23" s="106">
        <f>+HLOOKUP($C23,'NEW CAR'!$AQ$2:$BC$250,236,0)</f>
        <v>0</v>
      </c>
      <c r="DZ23" s="106">
        <f>+HLOOKUP($C23,'NEW CAR'!$AQ$2:$BC$250,237,0)</f>
        <v>155429.52619999999</v>
      </c>
      <c r="EA23" s="106">
        <f>+HLOOKUP($C23,'NEW CAR'!$AQ$2:$BC$250,238,0)</f>
        <v>0</v>
      </c>
      <c r="EB23" s="106">
        <f>+HLOOKUP($C23,'NEW CAR'!$AQ$2:$BC$250,240,0)</f>
        <v>484785</v>
      </c>
    </row>
    <row r="24" spans="1:132">
      <c r="A24" t="s">
        <v>269</v>
      </c>
      <c r="B24" t="s">
        <v>270</v>
      </c>
      <c r="C24" s="117">
        <v>45323</v>
      </c>
      <c r="D24" s="106">
        <f>+HLOOKUP(C24,'NEW CAR'!$AQ$2:$BC$250,6,0)/3.5%</f>
        <v>141792762.77714282</v>
      </c>
      <c r="E24" s="106">
        <f>+HLOOKUP(C24,'NEW CAR'!$AQ$2:$BC$250,5,0)+HLOOKUP(C24,'NEW CAR'!$AQ$2:$BC$250,26,0)+HLOOKUP(C24,'NEW CAR'!$AQ$2:$BC$250,59,0)</f>
        <v>8459427.3555199988</v>
      </c>
      <c r="G24" s="106">
        <f>+HLOOKUP($C24,'NEW CAR'!$AQ$2:$BC$250,76,0)</f>
        <v>168411.09999999998</v>
      </c>
      <c r="H24" s="106">
        <f>+HLOOKUP($C24,'NEW CAR'!$AQ$2:$BC$250,77,0)</f>
        <v>252090.55</v>
      </c>
      <c r="I24" s="106">
        <f>+HLOOKUP($C24,'NEW CAR'!$AQ$2:$BC$250,78,0)</f>
        <v>0</v>
      </c>
      <c r="J24" s="106">
        <f>+HLOOKUP($C24,'NEW CAR'!$AQ$2:$BC$250,79,0)</f>
        <v>246456.32000000001</v>
      </c>
      <c r="K24" s="106">
        <f>+HLOOKUP($C24,'NEW CAR'!$AQ$2:$BC$250,80,0)</f>
        <v>0</v>
      </c>
      <c r="L24" s="106">
        <f>+HLOOKUP($C24,'NEW CAR'!$AQ$2:$BC$250,81,0)</f>
        <v>0</v>
      </c>
      <c r="M24" s="106">
        <f>+HLOOKUP($C24,'NEW CAR'!$AQ$2:$BC$250,82,0)</f>
        <v>0</v>
      </c>
      <c r="N24" s="106">
        <f>+HLOOKUP($C24,'NEW CAR'!$AQ$2:$BC$250,83,0)</f>
        <v>5395.5</v>
      </c>
      <c r="O24" s="106">
        <f>+HLOOKUP($C24,'NEW CAR'!$AQ$2:$BC$250,84,0)</f>
        <v>0</v>
      </c>
      <c r="P24" s="106">
        <f>+HLOOKUP($C24,'NEW CAR'!$AQ$2:$BC$250,85,0)</f>
        <v>0</v>
      </c>
      <c r="Q24" s="106">
        <f>+HLOOKUP($C24,'NEW CAR'!$AQ$2:$BC$250,87,0)</f>
        <v>980181.6</v>
      </c>
      <c r="R24" s="106">
        <f>+HLOOKUP($C24,'NEW CAR'!$AQ$2:$BC$250,90,0)</f>
        <v>0</v>
      </c>
      <c r="S24" s="106">
        <f>+HLOOKUP($C24,'NEW CAR'!$AQ$2:$BC$250,91,0)</f>
        <v>0</v>
      </c>
      <c r="T24" s="106">
        <f>+HLOOKUP($C24,'NEW CAR'!$AQ$2:$BC$250,92,0)</f>
        <v>182932</v>
      </c>
      <c r="U24" s="106">
        <f>+HLOOKUP($C24,'NEW CAR'!$AQ$2:$BC$250,93,0)</f>
        <v>6500</v>
      </c>
      <c r="V24" s="106">
        <f>+HLOOKUP($C24,'NEW CAR'!$AQ$2:$BC$250,94,0)</f>
        <v>0</v>
      </c>
      <c r="W24" s="106">
        <f>+HLOOKUP($C24,'NEW CAR'!$AQ$2:$BC$250,95,0)</f>
        <v>0</v>
      </c>
      <c r="X24" s="106">
        <f>+HLOOKUP($C24,'NEW CAR'!$AQ$2:$BC$250,96,0)</f>
        <v>12507.71</v>
      </c>
      <c r="Y24" s="106">
        <f>+HLOOKUP($C24,'NEW CAR'!$AQ$2:$BC$250,97,0)</f>
        <v>48413.240000000005</v>
      </c>
      <c r="Z24" s="106">
        <f>+HLOOKUP($C24,'NEW CAR'!$AQ$2:$BC$250,98,0)</f>
        <v>0</v>
      </c>
      <c r="AA24" s="106">
        <f>+HLOOKUP($C24,'NEW CAR'!$AQ$2:$BC$250,99,0)</f>
        <v>0</v>
      </c>
      <c r="AB24" s="106">
        <f>+HLOOKUP($C24,'NEW CAR'!$AQ$2:$BC$250,100,0)</f>
        <v>10357.01</v>
      </c>
      <c r="AC24" s="106">
        <f>+HLOOKUP($C24,'NEW CAR'!$AQ$2:$BC$250,101,0)</f>
        <v>0</v>
      </c>
      <c r="AD24" s="106">
        <f>+HLOOKUP($C24,'NEW CAR'!$AQ$2:$BC$250,104,0)</f>
        <v>0</v>
      </c>
      <c r="AE24" s="106">
        <f>+HLOOKUP($C24,'NEW CAR'!$AQ$2:$BC$250,105,0)</f>
        <v>271605.28999999998</v>
      </c>
      <c r="AF24" s="106">
        <f>+HLOOKUP($C24,'NEW CAR'!$AQ$2:$BC$250,106,0)</f>
        <v>0</v>
      </c>
      <c r="AG24" s="106">
        <f>+HLOOKUP($C24,'NEW CAR'!$AQ$2:$BC$250,107,0)</f>
        <v>336260</v>
      </c>
      <c r="AH24" s="106">
        <f>+HLOOKUP($C24,'NEW CAR'!$AQ$2:$BC$250,108,0)</f>
        <v>15230</v>
      </c>
      <c r="AI24" s="106">
        <f>+HLOOKUP($C24,'NEW CAR'!$AQ$2:$BC$250,109,0)</f>
        <v>199571.83</v>
      </c>
      <c r="AJ24" s="106">
        <f>+HLOOKUP($C24,'NEW CAR'!$AQ$2:$BC$250,110,0)</f>
        <v>0</v>
      </c>
      <c r="AK24" s="106">
        <f>+HLOOKUP($C24,'NEW CAR'!$AQ$2:$BC$250,111,0)</f>
        <v>0</v>
      </c>
      <c r="AL24" s="106">
        <f>+HLOOKUP($C24,'NEW CAR'!$AQ$2:$BC$250,112,0)</f>
        <v>0</v>
      </c>
      <c r="AM24" s="106">
        <f>+HLOOKUP($C24,'NEW CAR'!$AQ$2:$BC$250,116,0)</f>
        <v>731850.63399999996</v>
      </c>
      <c r="AN24" s="106">
        <f>+HLOOKUP($C24,'NEW CAR'!$AQ$2:$BC$250,117,0)</f>
        <v>106563.85000000002</v>
      </c>
      <c r="AO24" s="106">
        <f>+HLOOKUP($C24,'NEW CAR'!$AQ$2:$BC$250,118,0)</f>
        <v>36515</v>
      </c>
      <c r="AP24" s="106">
        <f>+HLOOKUP($C24,'NEW CAR'!$AQ$2:$BC$250,119,0)</f>
        <v>225514.46000000002</v>
      </c>
      <c r="AQ24" s="106">
        <f>+HLOOKUP($C24,'NEW CAR'!$AQ$2:$BC$250,120,0)</f>
        <v>77905.569999999992</v>
      </c>
      <c r="AR24" s="106">
        <f>+HLOOKUP($C24,'NEW CAR'!$AQ$2:$BC$250,121,0)</f>
        <v>32664.030000000002</v>
      </c>
      <c r="AS24" s="106">
        <f>+HLOOKUP($C24,'NEW CAR'!$AQ$2:$BC$250,122,0)</f>
        <v>534894.61</v>
      </c>
      <c r="AT24" s="106">
        <f>+HLOOKUP($C24,'NEW CAR'!$AQ$2:$BC$250,123,0)</f>
        <v>75088.400000000009</v>
      </c>
      <c r="AU24" s="106">
        <f>+HLOOKUP($C24,'NEW CAR'!$AQ$2:$BC$250,124,0)</f>
        <v>11864</v>
      </c>
      <c r="AV24" s="106">
        <f>+HLOOKUP($C24,'NEW CAR'!$AQ$2:$BC$250,125,0)</f>
        <v>100280.00000000001</v>
      </c>
      <c r="AW24" s="106">
        <f>+HLOOKUP($C24,'NEW CAR'!$AQ$2:$BC$250,126,0)</f>
        <v>37917.937499999993</v>
      </c>
      <c r="AX24" s="106">
        <f>+HLOOKUP($C24,'NEW CAR'!$AQ$2:$BC$250,127,0)</f>
        <v>44493.224999999991</v>
      </c>
      <c r="AY24" s="106">
        <f>+HLOOKUP($C24,'NEW CAR'!$AQ$2:$BC$250,129,0)</f>
        <v>0</v>
      </c>
      <c r="AZ24" s="106">
        <f>+HLOOKUP($C24,'NEW CAR'!$AQ$2:$BC$250,130,0)</f>
        <v>0</v>
      </c>
      <c r="BA24" s="106">
        <f>+HLOOKUP($C24,'NEW CAR'!$AQ$2:$BC$250,131,0)</f>
        <v>98175</v>
      </c>
      <c r="BB24" s="106">
        <f>+HLOOKUP($C24,'NEW CAR'!$AQ$2:$BC$250,133,0)</f>
        <v>0</v>
      </c>
      <c r="BC24" s="106">
        <f>+HLOOKUP($C24,'NEW CAR'!$AQ$2:$BC$250,134,0)</f>
        <v>145027.00599999999</v>
      </c>
      <c r="BD24" s="106">
        <f>+HLOOKUP($C24,'NEW CAR'!$AQ$2:$BC$250,135,0)</f>
        <v>0</v>
      </c>
      <c r="BE24" s="106">
        <f>+HLOOKUP($C24,'NEW CAR'!$AQ$2:$BC$250,136,0)</f>
        <v>0</v>
      </c>
      <c r="BF24" s="106">
        <f>+HLOOKUP($C24,'NEW CAR'!$AQ$2:$BC$250,138,0)</f>
        <v>11349.6</v>
      </c>
      <c r="BG24" s="106">
        <f>+HLOOKUP($C24,'NEW CAR'!$AQ$2:$BC$250,139,0)</f>
        <v>41635</v>
      </c>
      <c r="BH24" s="106">
        <f>+HLOOKUP($C24,'NEW CAR'!$AQ$2:$BC$250,140,0)</f>
        <v>0</v>
      </c>
      <c r="BI24" s="106">
        <f>+HLOOKUP($C24,'NEW CAR'!$AQ$2:$BC$250,141,0)</f>
        <v>0</v>
      </c>
      <c r="BJ24" s="106">
        <f>+HLOOKUP($C24,'NEW CAR'!$AQ$2:$BC$250,142,0)</f>
        <v>0</v>
      </c>
      <c r="BK24" s="106">
        <f>+HLOOKUP($C24,'NEW CAR'!$AQ$2:$BC$250,143,0)</f>
        <v>56688.333333333343</v>
      </c>
      <c r="BL24" s="106">
        <f>+HLOOKUP($C24,'NEW CAR'!$AQ$2:$BC$250,144,0)</f>
        <v>15000</v>
      </c>
      <c r="BM24" s="106">
        <f>+HLOOKUP($C24,'NEW CAR'!$AQ$2:$BC$250,146,0)</f>
        <v>0</v>
      </c>
      <c r="BN24" s="106">
        <f>+HLOOKUP($C24,'NEW CAR'!$AQ$2:$BC$250,147,0)</f>
        <v>58021</v>
      </c>
      <c r="BO24" s="106">
        <f>+HLOOKUP($C24,'NEW CAR'!$AQ$2:$BC$250,148,0)</f>
        <v>0</v>
      </c>
      <c r="BP24" s="106">
        <f>+HLOOKUP($C24,'NEW CAR'!$AQ$2:$BC$250,150,0)</f>
        <v>60025</v>
      </c>
      <c r="BQ24" s="106">
        <f>+HLOOKUP($C24,'NEW CAR'!$AQ$2:$BC$250,151,0)</f>
        <v>9450</v>
      </c>
      <c r="BR24" s="106">
        <f>+HLOOKUP($C24,'NEW CAR'!$AQ$2:$BC$250,152,0)</f>
        <v>47000</v>
      </c>
      <c r="BS24" s="106">
        <f>+HLOOKUP($C24,'NEW CAR'!$AQ$2:$BC$250,153,0)</f>
        <v>0</v>
      </c>
      <c r="BT24" s="106">
        <f>+HLOOKUP($C24,'NEW CAR'!$AQ$2:$BC$250,157,0)</f>
        <v>29564</v>
      </c>
      <c r="BU24" s="106">
        <f>+HLOOKUP($C24,'NEW CAR'!$AQ$2:$BC$250,158,0)</f>
        <v>1833.2</v>
      </c>
      <c r="BV24" s="106">
        <f>+HLOOKUP($C24,'NEW CAR'!$AQ$2:$BC$250,159,0)</f>
        <v>847</v>
      </c>
      <c r="BW24" s="106">
        <f>+HLOOKUP($C24,'NEW CAR'!$AQ$2:$BC$250,160,0)</f>
        <v>300</v>
      </c>
      <c r="BX24" s="106">
        <f>+HLOOKUP($C24,'NEW CAR'!$AQ$2:$BC$250,161,0)</f>
        <v>24834</v>
      </c>
      <c r="BY24" s="106">
        <f>+HLOOKUP($C24,'NEW CAR'!$AQ$2:$BC$250,164,0)</f>
        <v>27839.522000000001</v>
      </c>
      <c r="BZ24" s="106">
        <f>+HLOOKUP($C24,'NEW CAR'!$AQ$2:$BC$250,165,0)</f>
        <v>6214.83</v>
      </c>
      <c r="CA24" s="106">
        <f>+HLOOKUP($C24,'NEW CAR'!$AQ$2:$BC$250,166,0)</f>
        <v>0</v>
      </c>
      <c r="CB24" s="106">
        <f>+HLOOKUP($C24,'NEW CAR'!$AQ$2:$BC$250,167,0)</f>
        <v>0</v>
      </c>
      <c r="CC24" s="106">
        <f>+HLOOKUP($C24,'NEW CAR'!$AQ$2:$BC$250,168,0)</f>
        <v>0</v>
      </c>
      <c r="CD24" s="106">
        <f>+HLOOKUP($C24,'NEW CAR'!$AQ$2:$BC$250,169,0)</f>
        <v>6550.72</v>
      </c>
      <c r="CE24" s="106">
        <f>+HLOOKUP($C24,'NEW CAR'!$AQ$2:$BC$250,170,0)</f>
        <v>0</v>
      </c>
      <c r="CF24" s="106">
        <f>+HLOOKUP($C24,'NEW CAR'!$AQ$2:$BC$250,172,0)</f>
        <v>20150</v>
      </c>
      <c r="CG24" s="106">
        <f>+HLOOKUP($C24,'NEW CAR'!$AQ$2:$BC$250,173,0)</f>
        <v>0</v>
      </c>
      <c r="CH24" s="106">
        <f>+HLOOKUP($C24,'NEW CAR'!$AQ$2:$BC$250,174,0)</f>
        <v>0</v>
      </c>
      <c r="CI24" s="106">
        <f>+HLOOKUP($C24,'NEW CAR'!$AQ$2:$BC$250,175,0)</f>
        <v>0</v>
      </c>
      <c r="CJ24" s="106">
        <f>+HLOOKUP($C24,'NEW CAR'!$AQ$2:$BC$250,176,0)</f>
        <v>25897</v>
      </c>
      <c r="CK24" s="106">
        <f>+HLOOKUP($C24,'NEW CAR'!$AQ$2:$BC$250,178,0)</f>
        <v>211141</v>
      </c>
      <c r="CL24" s="106">
        <f>+HLOOKUP($C24,'NEW CAR'!$AQ$2:$BC$250,179,0)</f>
        <v>14526</v>
      </c>
      <c r="CM24" s="106">
        <f>+HLOOKUP($C24,'NEW CAR'!$AQ$2:$BC$250,180,0)</f>
        <v>0</v>
      </c>
      <c r="CN24" s="106">
        <f>+HLOOKUP($C24,'NEW CAR'!$AQ$2:$BC$250,182,0)</f>
        <v>8064</v>
      </c>
      <c r="CO24" s="106">
        <f>+HLOOKUP($C24,'NEW CAR'!$AQ$2:$BC$250,183,0)</f>
        <v>19980</v>
      </c>
      <c r="CP24" s="106">
        <f>+HLOOKUP($C24,'NEW CAR'!$AQ$2:$BC$250,184,0)</f>
        <v>38964.480000000003</v>
      </c>
      <c r="CQ24" s="106">
        <f>+HLOOKUP($C24,'NEW CAR'!$AQ$2:$BC$250,185,0)</f>
        <v>0</v>
      </c>
      <c r="CR24" s="106">
        <f>+HLOOKUP($C24,'NEW CAR'!$AQ$2:$BC$250,187,0)</f>
        <v>8333.3333333333194</v>
      </c>
      <c r="CS24" s="106">
        <f>+HLOOKUP($C24,'NEW CAR'!$AQ$2:$BC$250,188,0)</f>
        <v>10600</v>
      </c>
      <c r="CT24" s="106">
        <f>+HLOOKUP($C24,'NEW CAR'!$AQ$2:$BC$250,189,0)</f>
        <v>0</v>
      </c>
      <c r="CU24" s="106">
        <f>+HLOOKUP($C24,'NEW CAR'!$AQ$2:$BC$250,190,0)</f>
        <v>9382.3320000000003</v>
      </c>
      <c r="CV24" s="106">
        <f>+HLOOKUP($C24,'NEW CAR'!$AQ$2:$BC$250,191,0)</f>
        <v>0</v>
      </c>
      <c r="CW24" s="106">
        <f>+HLOOKUP($C24,'NEW CAR'!$AQ$2:$BC$250,193,0)</f>
        <v>19325</v>
      </c>
      <c r="CX24" s="106">
        <f>+HLOOKUP($C24,'NEW CAR'!$AQ$2:$BC$250,194,0)</f>
        <v>106</v>
      </c>
      <c r="CY24" s="106">
        <f>+HLOOKUP($C24,'NEW CAR'!$AQ$2:$BC$250,195,0)</f>
        <v>0</v>
      </c>
      <c r="CZ24" s="106">
        <f>+HLOOKUP($C24,'NEW CAR'!$AQ$2:$BC$250,196,0)</f>
        <v>0</v>
      </c>
      <c r="DA24" s="106">
        <f>+HLOOKUP($C24,'NEW CAR'!$AQ$2:$BC$250,197,0)</f>
        <v>52552.184000000001</v>
      </c>
      <c r="DB24" s="106">
        <f>+HLOOKUP($C24,'NEW CAR'!$AQ$2:$BC$250,198,0)</f>
        <v>7294.21</v>
      </c>
      <c r="DC24" s="106">
        <f>+HLOOKUP($C24,'NEW CAR'!$AQ$2:$BC$250,199,0)</f>
        <v>2925.64</v>
      </c>
      <c r="DD24" s="106">
        <f>+HLOOKUP($C24,'NEW CAR'!$AQ$2:$BC$250,200,0)</f>
        <v>1250</v>
      </c>
      <c r="DE24" s="106">
        <f>+HLOOKUP($C24,'NEW CAR'!$AQ$2:$BC$250,201,0)</f>
        <v>0</v>
      </c>
      <c r="DF24" s="106">
        <f>+HLOOKUP($C24,'NEW CAR'!$AQ$2:$BC$250,202,0)</f>
        <v>4.5579999999999998</v>
      </c>
      <c r="DG24" s="106">
        <f>+HLOOKUP($C24,'NEW CAR'!$AQ$2:$BC$250,203,0)</f>
        <v>451.48</v>
      </c>
      <c r="DH24" s="106">
        <f>+HLOOKUP($C24,'NEW CAR'!$AQ$2:$BC$250,205,0)</f>
        <v>55251</v>
      </c>
      <c r="DI24" s="106">
        <f>+HLOOKUP($C24,'NEW CAR'!$AQ$2:$BC$250,206,0)</f>
        <v>17692.8</v>
      </c>
      <c r="DJ24" s="106">
        <f>+HLOOKUP($C24,'NEW CAR'!$AQ$2:$BC$250,207,0)</f>
        <v>4660.1999999999989</v>
      </c>
      <c r="DK24" s="106">
        <f>+HLOOKUP($C24,'NEW CAR'!$AQ$2:$BC$250,209,0)</f>
        <v>0</v>
      </c>
      <c r="DL24" s="106">
        <f>+HLOOKUP($C24,'NEW CAR'!$AQ$2:$BC$250,210,0)</f>
        <v>0</v>
      </c>
      <c r="DM24" s="106">
        <f>+HLOOKUP($C24,'NEW CAR'!$AQ$2:$BC$250,211,0)</f>
        <v>76041</v>
      </c>
      <c r="DN24" s="106">
        <f>+HLOOKUP($C24,'NEW CAR'!$AQ$2:$BC$250,212,0)</f>
        <v>69797</v>
      </c>
      <c r="DO24" s="106">
        <f>+HLOOKUP($C24,'NEW CAR'!$AQ$2:$BC$250,214,0)</f>
        <v>0</v>
      </c>
      <c r="DP24" s="106">
        <f>+HLOOKUP($C24,'NEW CAR'!$AQ$2:$BC$250,215,0)</f>
        <v>0</v>
      </c>
      <c r="DQ24" s="106">
        <f>+HLOOKUP($C24,'NEW CAR'!$AQ$2:$BC$250,219,0)</f>
        <v>80252.774246575354</v>
      </c>
      <c r="DR24" s="106">
        <f>+HLOOKUP($C24,'NEW CAR'!$AQ$2:$BC$250,220,0)</f>
        <v>0</v>
      </c>
      <c r="DS24" s="106">
        <f>+HLOOKUP($C24,'NEW CAR'!$AQ$2:$BC$250,221,0)</f>
        <v>32216.633999999998</v>
      </c>
      <c r="DT24" s="106">
        <f>+HLOOKUP($C24,'NEW CAR'!$AQ$2:$BC$250,223,0)</f>
        <v>33811.379999999997</v>
      </c>
      <c r="DU24" s="106">
        <f>+HLOOKUP($C24,'NEW CAR'!$AQ$2:$BC$250,224,0)</f>
        <v>0</v>
      </c>
      <c r="DV24" s="106">
        <f>+HLOOKUP($C24,'NEW CAR'!$AQ$2:$BC$250,225,0)</f>
        <v>0</v>
      </c>
      <c r="DW24" s="106">
        <f>+HLOOKUP($C24,'NEW CAR'!$AQ$2:$BC$250,227,0)</f>
        <v>0</v>
      </c>
      <c r="DX24" s="106">
        <f>+HLOOKUP($C24,'NEW CAR'!$AQ$2:$BC$250,228,0)</f>
        <v>54342.400000000001</v>
      </c>
      <c r="DY24" s="106">
        <f>+HLOOKUP($C24,'NEW CAR'!$AQ$2:$BC$250,236,0)</f>
        <v>0</v>
      </c>
      <c r="DZ24" s="106">
        <f>+HLOOKUP($C24,'NEW CAR'!$AQ$2:$BC$250,237,0)</f>
        <v>151937.3726</v>
      </c>
      <c r="EA24" s="106">
        <f>+HLOOKUP($C24,'NEW CAR'!$AQ$2:$BC$250,238,0)</f>
        <v>0</v>
      </c>
      <c r="EB24" s="106">
        <f>+HLOOKUP($C24,'NEW CAR'!$AQ$2:$BC$250,240,0)</f>
        <v>484785</v>
      </c>
    </row>
    <row r="25" spans="1:132">
      <c r="A25" t="s">
        <v>269</v>
      </c>
      <c r="B25" t="s">
        <v>270</v>
      </c>
      <c r="C25" s="117">
        <v>45292</v>
      </c>
      <c r="D25" s="106">
        <f>+HLOOKUP(C25,'NEW CAR'!$AQ$2:$BC$250,6,0)/3.5%</f>
        <v>54919590.1142857</v>
      </c>
      <c r="E25" s="106">
        <f>+HLOOKUP(C25,'NEW CAR'!$AQ$2:$BC$250,5,0)+HLOOKUP(C25,'NEW CAR'!$AQ$2:$BC$250,26,0)+HLOOKUP(C25,'NEW CAR'!$AQ$2:$BC$250,59,0)</f>
        <v>3467492.4039999996</v>
      </c>
      <c r="G25" s="106">
        <f>+HLOOKUP($C25,'NEW CAR'!$AQ$2:$BC$250,76,0)</f>
        <v>157374.34000000003</v>
      </c>
      <c r="H25" s="106">
        <f>+HLOOKUP($C25,'NEW CAR'!$AQ$2:$BC$250,77,0)</f>
        <v>265409.25</v>
      </c>
      <c r="I25" s="106">
        <f>+HLOOKUP($C25,'NEW CAR'!$AQ$2:$BC$250,78,0)</f>
        <v>0</v>
      </c>
      <c r="J25" s="106">
        <f>+HLOOKUP($C25,'NEW CAR'!$AQ$2:$BC$250,79,0)</f>
        <v>39843.949999999997</v>
      </c>
      <c r="K25" s="106">
        <f>+HLOOKUP($C25,'NEW CAR'!$AQ$2:$BC$250,80,0)</f>
        <v>0</v>
      </c>
      <c r="L25" s="106">
        <f>+HLOOKUP($C25,'NEW CAR'!$AQ$2:$BC$250,81,0)</f>
        <v>0</v>
      </c>
      <c r="M25" s="106">
        <f>+HLOOKUP($C25,'NEW CAR'!$AQ$2:$BC$250,82,0)</f>
        <v>0</v>
      </c>
      <c r="N25" s="106">
        <f>+HLOOKUP($C25,'NEW CAR'!$AQ$2:$BC$250,83,0)</f>
        <v>2158.1999999999998</v>
      </c>
      <c r="O25" s="106">
        <f>+HLOOKUP($C25,'NEW CAR'!$AQ$2:$BC$250,84,0)</f>
        <v>0</v>
      </c>
      <c r="P25" s="106">
        <f>+HLOOKUP($C25,'NEW CAR'!$AQ$2:$BC$250,85,0)</f>
        <v>0</v>
      </c>
      <c r="Q25" s="106">
        <f>+HLOOKUP($C25,'NEW CAR'!$AQ$2:$BC$250,87,0)</f>
        <v>466063.26150000002</v>
      </c>
      <c r="R25" s="106">
        <f>+HLOOKUP($C25,'NEW CAR'!$AQ$2:$BC$250,90,0)</f>
        <v>12600</v>
      </c>
      <c r="S25" s="106">
        <f>+HLOOKUP($C25,'NEW CAR'!$AQ$2:$BC$250,91,0)</f>
        <v>0</v>
      </c>
      <c r="T25" s="106">
        <f>+HLOOKUP($C25,'NEW CAR'!$AQ$2:$BC$250,92,0)</f>
        <v>331387</v>
      </c>
      <c r="U25" s="106">
        <f>+HLOOKUP($C25,'NEW CAR'!$AQ$2:$BC$250,93,0)</f>
        <v>8500</v>
      </c>
      <c r="V25" s="106">
        <f>+HLOOKUP($C25,'NEW CAR'!$AQ$2:$BC$250,94,0)</f>
        <v>0</v>
      </c>
      <c r="W25" s="106">
        <f>+HLOOKUP($C25,'NEW CAR'!$AQ$2:$BC$250,95,0)</f>
        <v>0</v>
      </c>
      <c r="X25" s="106">
        <f>+HLOOKUP($C25,'NEW CAR'!$AQ$2:$BC$250,96,0)</f>
        <v>1420</v>
      </c>
      <c r="Y25" s="106">
        <f>+HLOOKUP($C25,'NEW CAR'!$AQ$2:$BC$250,97,0)</f>
        <v>98989.55</v>
      </c>
      <c r="Z25" s="106">
        <f>+HLOOKUP($C25,'NEW CAR'!$AQ$2:$BC$250,98,0)</f>
        <v>0</v>
      </c>
      <c r="AA25" s="106">
        <f>+HLOOKUP($C25,'NEW CAR'!$AQ$2:$BC$250,99,0)</f>
        <v>0</v>
      </c>
      <c r="AB25" s="106">
        <f>+HLOOKUP($C25,'NEW CAR'!$AQ$2:$BC$250,100,0)</f>
        <v>10415.429999999998</v>
      </c>
      <c r="AC25" s="106">
        <f>+HLOOKUP($C25,'NEW CAR'!$AQ$2:$BC$250,101,0)</f>
        <v>14736</v>
      </c>
      <c r="AD25" s="106">
        <f>+HLOOKUP($C25,'NEW CAR'!$AQ$2:$BC$250,104,0)</f>
        <v>253046</v>
      </c>
      <c r="AE25" s="106">
        <f>+HLOOKUP($C25,'NEW CAR'!$AQ$2:$BC$250,105,0)</f>
        <v>378626.45533333329</v>
      </c>
      <c r="AF25" s="106">
        <f>+HLOOKUP($C25,'NEW CAR'!$AQ$2:$BC$250,106,0)</f>
        <v>0</v>
      </c>
      <c r="AG25" s="106">
        <f>+HLOOKUP($C25,'NEW CAR'!$AQ$2:$BC$250,107,0)</f>
        <v>82500</v>
      </c>
      <c r="AH25" s="106">
        <f>+HLOOKUP($C25,'NEW CAR'!$AQ$2:$BC$250,108,0)</f>
        <v>34400</v>
      </c>
      <c r="AI25" s="106">
        <f>+HLOOKUP($C25,'NEW CAR'!$AQ$2:$BC$250,109,0)</f>
        <v>221902.91399999999</v>
      </c>
      <c r="AJ25" s="106">
        <f>+HLOOKUP($C25,'NEW CAR'!$AQ$2:$BC$250,110,0)</f>
        <v>0</v>
      </c>
      <c r="AK25" s="106">
        <f>+HLOOKUP($C25,'NEW CAR'!$AQ$2:$BC$250,111,0)</f>
        <v>0</v>
      </c>
      <c r="AL25" s="106">
        <f>+HLOOKUP($C25,'NEW CAR'!$AQ$2:$BC$250,112,0)</f>
        <v>0</v>
      </c>
      <c r="AM25" s="106">
        <f>+HLOOKUP($C25,'NEW CAR'!$AQ$2:$BC$250,116,0)</f>
        <v>678694.53133333183</v>
      </c>
      <c r="AN25" s="106">
        <f>+HLOOKUP($C25,'NEW CAR'!$AQ$2:$BC$250,117,0)</f>
        <v>94246.632000000012</v>
      </c>
      <c r="AO25" s="106">
        <f>+HLOOKUP($C25,'NEW CAR'!$AQ$2:$BC$250,118,0)</f>
        <v>36515</v>
      </c>
      <c r="AP25" s="106">
        <f>+HLOOKUP($C25,'NEW CAR'!$AQ$2:$BC$250,119,0)</f>
        <v>213022.62400000001</v>
      </c>
      <c r="AQ25" s="106">
        <f>+HLOOKUP($C25,'NEW CAR'!$AQ$2:$BC$250,120,0)</f>
        <v>70800.296000000002</v>
      </c>
      <c r="AR25" s="106">
        <f>+HLOOKUP($C25,'NEW CAR'!$AQ$2:$BC$250,121,0)</f>
        <v>32151.948000000004</v>
      </c>
      <c r="AS25" s="106">
        <f>+HLOOKUP($C25,'NEW CAR'!$AQ$2:$BC$250,122,0)</f>
        <v>526559.16200000001</v>
      </c>
      <c r="AT25" s="106">
        <f>+HLOOKUP($C25,'NEW CAR'!$AQ$2:$BC$250,123,0)</f>
        <v>69387.8</v>
      </c>
      <c r="AU25" s="106">
        <f>+HLOOKUP($C25,'NEW CAR'!$AQ$2:$BC$250,124,0)</f>
        <v>10597</v>
      </c>
      <c r="AV25" s="106">
        <f>+HLOOKUP($C25,'NEW CAR'!$AQ$2:$BC$250,125,0)</f>
        <v>100280.00000000001</v>
      </c>
      <c r="AW25" s="106">
        <f>+HLOOKUP($C25,'NEW CAR'!$AQ$2:$BC$250,126,0)</f>
        <v>38535.245192307681</v>
      </c>
      <c r="AX25" s="106">
        <f>+HLOOKUP($C25,'NEW CAR'!$AQ$2:$BC$250,127,0)</f>
        <v>45563.224999999991</v>
      </c>
      <c r="AY25" s="106">
        <f>+HLOOKUP($C25,'NEW CAR'!$AQ$2:$BC$250,129,0)</f>
        <v>0</v>
      </c>
      <c r="AZ25" s="106">
        <f>+HLOOKUP($C25,'NEW CAR'!$AQ$2:$BC$250,130,0)</f>
        <v>0</v>
      </c>
      <c r="BA25" s="106">
        <f>+HLOOKUP($C25,'NEW CAR'!$AQ$2:$BC$250,131,0)</f>
        <v>98175</v>
      </c>
      <c r="BB25" s="106">
        <f>+HLOOKUP($C25,'NEW CAR'!$AQ$2:$BC$250,133,0)</f>
        <v>0</v>
      </c>
      <c r="BC25" s="106">
        <f>+HLOOKUP($C25,'NEW CAR'!$AQ$2:$BC$250,134,0)</f>
        <v>0</v>
      </c>
      <c r="BD25" s="106">
        <f>+HLOOKUP($C25,'NEW CAR'!$AQ$2:$BC$250,135,0)</f>
        <v>0</v>
      </c>
      <c r="BE25" s="106">
        <f>+HLOOKUP($C25,'NEW CAR'!$AQ$2:$BC$250,136,0)</f>
        <v>0</v>
      </c>
      <c r="BF25" s="106">
        <f>+HLOOKUP($C25,'NEW CAR'!$AQ$2:$BC$250,138,0)</f>
        <v>11349.6</v>
      </c>
      <c r="BG25" s="106">
        <f>+HLOOKUP($C25,'NEW CAR'!$AQ$2:$BC$250,139,0)</f>
        <v>11019.6</v>
      </c>
      <c r="BH25" s="106">
        <f>+HLOOKUP($C25,'NEW CAR'!$AQ$2:$BC$250,140,0)</f>
        <v>0</v>
      </c>
      <c r="BI25" s="106">
        <f>+HLOOKUP($C25,'NEW CAR'!$AQ$2:$BC$250,141,0)</f>
        <v>0</v>
      </c>
      <c r="BJ25" s="106">
        <f>+HLOOKUP($C25,'NEW CAR'!$AQ$2:$BC$250,142,0)</f>
        <v>0</v>
      </c>
      <c r="BK25" s="106">
        <f>+HLOOKUP($C25,'NEW CAR'!$AQ$2:$BC$250,143,0)</f>
        <v>56688.333333333343</v>
      </c>
      <c r="BL25" s="106">
        <f>+HLOOKUP($C25,'NEW CAR'!$AQ$2:$BC$250,144,0)</f>
        <v>13210</v>
      </c>
      <c r="BM25" s="106">
        <f>+HLOOKUP($C25,'NEW CAR'!$AQ$2:$BC$250,146,0)</f>
        <v>0</v>
      </c>
      <c r="BN25" s="106">
        <f>+HLOOKUP($C25,'NEW CAR'!$AQ$2:$BC$250,147,0)</f>
        <v>83372</v>
      </c>
      <c r="BO25" s="106">
        <f>+HLOOKUP($C25,'NEW CAR'!$AQ$2:$BC$250,148,0)</f>
        <v>0</v>
      </c>
      <c r="BP25" s="106">
        <f>+HLOOKUP($C25,'NEW CAR'!$AQ$2:$BC$250,150,0)</f>
        <v>46102</v>
      </c>
      <c r="BQ25" s="106">
        <f>+HLOOKUP($C25,'NEW CAR'!$AQ$2:$BC$250,151,0)</f>
        <v>9225</v>
      </c>
      <c r="BR25" s="106">
        <f>+HLOOKUP($C25,'NEW CAR'!$AQ$2:$BC$250,152,0)</f>
        <v>47000</v>
      </c>
      <c r="BS25" s="106">
        <f>+HLOOKUP($C25,'NEW CAR'!$AQ$2:$BC$250,153,0)</f>
        <v>24000</v>
      </c>
      <c r="BT25" s="106">
        <f>+HLOOKUP($C25,'NEW CAR'!$AQ$2:$BC$250,157,0)</f>
        <v>0</v>
      </c>
      <c r="BU25" s="106">
        <f>+HLOOKUP($C25,'NEW CAR'!$AQ$2:$BC$250,158,0)</f>
        <v>333.33200000000005</v>
      </c>
      <c r="BV25" s="106">
        <f>+HLOOKUP($C25,'NEW CAR'!$AQ$2:$BC$250,159,0)</f>
        <v>847.22</v>
      </c>
      <c r="BW25" s="106">
        <f>+HLOOKUP($C25,'NEW CAR'!$AQ$2:$BC$250,160,0)</f>
        <v>300</v>
      </c>
      <c r="BX25" s="106">
        <f>+HLOOKUP($C25,'NEW CAR'!$AQ$2:$BC$250,161,0)</f>
        <v>39012.160000000003</v>
      </c>
      <c r="BY25" s="106">
        <f>+HLOOKUP($C25,'NEW CAR'!$AQ$2:$BC$250,164,0)</f>
        <v>23427.668000000001</v>
      </c>
      <c r="BZ25" s="106">
        <f>+HLOOKUP($C25,'NEW CAR'!$AQ$2:$BC$250,165,0)</f>
        <v>0</v>
      </c>
      <c r="CA25" s="106">
        <f>+HLOOKUP($C25,'NEW CAR'!$AQ$2:$BC$250,166,0)</f>
        <v>0</v>
      </c>
      <c r="CB25" s="106">
        <f>+HLOOKUP($C25,'NEW CAR'!$AQ$2:$BC$250,167,0)</f>
        <v>0</v>
      </c>
      <c r="CC25" s="106">
        <f>+HLOOKUP($C25,'NEW CAR'!$AQ$2:$BC$250,168,0)</f>
        <v>0</v>
      </c>
      <c r="CD25" s="106">
        <f>+HLOOKUP($C25,'NEW CAR'!$AQ$2:$BC$250,169,0)</f>
        <v>15091.25</v>
      </c>
      <c r="CE25" s="106">
        <f>+HLOOKUP($C25,'NEW CAR'!$AQ$2:$BC$250,170,0)</f>
        <v>0</v>
      </c>
      <c r="CF25" s="106">
        <f>+HLOOKUP($C25,'NEW CAR'!$AQ$2:$BC$250,172,0)</f>
        <v>20150</v>
      </c>
      <c r="CG25" s="106">
        <f>+HLOOKUP($C25,'NEW CAR'!$AQ$2:$BC$250,173,0)</f>
        <v>0</v>
      </c>
      <c r="CH25" s="106">
        <f>+HLOOKUP($C25,'NEW CAR'!$AQ$2:$BC$250,174,0)</f>
        <v>0</v>
      </c>
      <c r="CI25" s="106">
        <f>+HLOOKUP($C25,'NEW CAR'!$AQ$2:$BC$250,175,0)</f>
        <v>0</v>
      </c>
      <c r="CJ25" s="106">
        <f>+HLOOKUP($C25,'NEW CAR'!$AQ$2:$BC$250,176,0)</f>
        <v>25003.732000000004</v>
      </c>
      <c r="CK25" s="106">
        <f>+HLOOKUP($C25,'NEW CAR'!$AQ$2:$BC$250,178,0)</f>
        <v>228220.11199999999</v>
      </c>
      <c r="CL25" s="106">
        <f>+HLOOKUP($C25,'NEW CAR'!$AQ$2:$BC$250,179,0)</f>
        <v>11620.800000000001</v>
      </c>
      <c r="CM25" s="106">
        <f>+HLOOKUP($C25,'NEW CAR'!$AQ$2:$BC$250,180,0)</f>
        <v>0</v>
      </c>
      <c r="CN25" s="106">
        <f>+HLOOKUP($C25,'NEW CAR'!$AQ$2:$BC$250,182,0)</f>
        <v>1638</v>
      </c>
      <c r="CO25" s="106">
        <f>+HLOOKUP($C25,'NEW CAR'!$AQ$2:$BC$250,183,0)</f>
        <v>19980</v>
      </c>
      <c r="CP25" s="106">
        <f>+HLOOKUP($C25,'NEW CAR'!$AQ$2:$BC$250,184,0)</f>
        <v>37368.770000000004</v>
      </c>
      <c r="CQ25" s="106">
        <f>+HLOOKUP($C25,'NEW CAR'!$AQ$2:$BC$250,185,0)</f>
        <v>0</v>
      </c>
      <c r="CR25" s="106">
        <f>+HLOOKUP($C25,'NEW CAR'!$AQ$2:$BC$250,187,0)</f>
        <v>8333.3333333333194</v>
      </c>
      <c r="CS25" s="106">
        <f>+HLOOKUP($C25,'NEW CAR'!$AQ$2:$BC$250,188,0)</f>
        <v>10600</v>
      </c>
      <c r="CT25" s="106">
        <f>+HLOOKUP($C25,'NEW CAR'!$AQ$2:$BC$250,189,0)</f>
        <v>0</v>
      </c>
      <c r="CU25" s="106">
        <f>+HLOOKUP($C25,'NEW CAR'!$AQ$2:$BC$250,190,0)</f>
        <v>3333.3333333333321</v>
      </c>
      <c r="CV25" s="106">
        <f>+HLOOKUP($C25,'NEW CAR'!$AQ$2:$BC$250,191,0)</f>
        <v>0</v>
      </c>
      <c r="CW25" s="106">
        <f>+HLOOKUP($C25,'NEW CAR'!$AQ$2:$BC$250,193,0)</f>
        <v>19325</v>
      </c>
      <c r="CX25" s="106">
        <f>+HLOOKUP($C25,'NEW CAR'!$AQ$2:$BC$250,194,0)</f>
        <v>106</v>
      </c>
      <c r="CY25" s="106">
        <f>+HLOOKUP($C25,'NEW CAR'!$AQ$2:$BC$250,195,0)</f>
        <v>0</v>
      </c>
      <c r="CZ25" s="106">
        <f>+HLOOKUP($C25,'NEW CAR'!$AQ$2:$BC$250,196,0)</f>
        <v>0</v>
      </c>
      <c r="DA25" s="106">
        <f>+HLOOKUP($C25,'NEW CAR'!$AQ$2:$BC$250,197,0)</f>
        <v>60997.59</v>
      </c>
      <c r="DB25" s="106">
        <f>+HLOOKUP($C25,'NEW CAR'!$AQ$2:$BC$250,198,0)</f>
        <v>4342.3500000000004</v>
      </c>
      <c r="DC25" s="106">
        <f>+HLOOKUP($C25,'NEW CAR'!$AQ$2:$BC$250,199,0)</f>
        <v>6009.19</v>
      </c>
      <c r="DD25" s="106">
        <f>+HLOOKUP($C25,'NEW CAR'!$AQ$2:$BC$250,200,0)</f>
        <v>2260</v>
      </c>
      <c r="DE25" s="106">
        <f>+HLOOKUP($C25,'NEW CAR'!$AQ$2:$BC$250,201,0)</f>
        <v>0</v>
      </c>
      <c r="DF25" s="106">
        <f>+HLOOKUP($C25,'NEW CAR'!$AQ$2:$BC$250,202,0)</f>
        <v>-0.42</v>
      </c>
      <c r="DG25" s="106">
        <f>+HLOOKUP($C25,'NEW CAR'!$AQ$2:$BC$250,203,0)</f>
        <v>43.042000000000002</v>
      </c>
      <c r="DH25" s="106">
        <f>+HLOOKUP($C25,'NEW CAR'!$AQ$2:$BC$250,205,0)</f>
        <v>55251.33</v>
      </c>
      <c r="DI25" s="106">
        <f>+HLOOKUP($C25,'NEW CAR'!$AQ$2:$BC$250,206,0)</f>
        <v>17692.777999999998</v>
      </c>
      <c r="DJ25" s="106">
        <f>+HLOOKUP($C25,'NEW CAR'!$AQ$2:$BC$250,207,0)</f>
        <v>4266.6019999999899</v>
      </c>
      <c r="DK25" s="106">
        <f>+HLOOKUP($C25,'NEW CAR'!$AQ$2:$BC$250,209,0)</f>
        <v>0</v>
      </c>
      <c r="DL25" s="106">
        <f>+HLOOKUP($C25,'NEW CAR'!$AQ$2:$BC$250,210,0)</f>
        <v>0</v>
      </c>
      <c r="DM25" s="106">
        <f>+HLOOKUP($C25,'NEW CAR'!$AQ$2:$BC$250,211,0)</f>
        <v>76041</v>
      </c>
      <c r="DN25" s="106">
        <f>+HLOOKUP($C25,'NEW CAR'!$AQ$2:$BC$250,212,0)</f>
        <v>69797</v>
      </c>
      <c r="DO25" s="106">
        <f>+HLOOKUP($C25,'NEW CAR'!$AQ$2:$BC$250,214,0)</f>
        <v>0</v>
      </c>
      <c r="DP25" s="106">
        <f>+HLOOKUP($C25,'NEW CAR'!$AQ$2:$BC$250,215,0)</f>
        <v>10200</v>
      </c>
      <c r="DQ25" s="106">
        <f>+HLOOKUP($C25,'NEW CAR'!$AQ$2:$BC$250,219,0)</f>
        <v>68190.410958904118</v>
      </c>
      <c r="DR25" s="106">
        <f>+HLOOKUP($C25,'NEW CAR'!$AQ$2:$BC$250,220,0)</f>
        <v>0</v>
      </c>
      <c r="DS25" s="106">
        <f>+HLOOKUP($C25,'NEW CAR'!$AQ$2:$BC$250,221,0)</f>
        <v>15553.044</v>
      </c>
      <c r="DT25" s="106">
        <f>+HLOOKUP($C25,'NEW CAR'!$AQ$2:$BC$250,223,0)</f>
        <v>36025.436000000002</v>
      </c>
      <c r="DU25" s="106">
        <f>+HLOOKUP($C25,'NEW CAR'!$AQ$2:$BC$250,224,0)</f>
        <v>0</v>
      </c>
      <c r="DV25" s="106">
        <f>+HLOOKUP($C25,'NEW CAR'!$AQ$2:$BC$250,225,0)</f>
        <v>0</v>
      </c>
      <c r="DW25" s="106">
        <f>+HLOOKUP($C25,'NEW CAR'!$AQ$2:$BC$250,227,0)</f>
        <v>0</v>
      </c>
      <c r="DX25" s="106">
        <f>+HLOOKUP($C25,'NEW CAR'!$AQ$2:$BC$250,228,0)</f>
        <v>4151.2</v>
      </c>
      <c r="DY25" s="106">
        <f>+HLOOKUP($C25,'NEW CAR'!$AQ$2:$BC$250,236,0)</f>
        <v>0</v>
      </c>
      <c r="DZ25" s="106">
        <f>+HLOOKUP($C25,'NEW CAR'!$AQ$2:$BC$250,237,0)</f>
        <v>169455.3952</v>
      </c>
      <c r="EA25" s="106">
        <f>+HLOOKUP($C25,'NEW CAR'!$AQ$2:$BC$250,238,0)</f>
        <v>0</v>
      </c>
      <c r="EB25" s="106">
        <f>+HLOOKUP($C25,'NEW CAR'!$AQ$2:$BC$250,240,0)</f>
        <v>484785</v>
      </c>
    </row>
    <row r="26" spans="1:132">
      <c r="A26" t="s">
        <v>269</v>
      </c>
      <c r="B26" t="s">
        <v>270</v>
      </c>
      <c r="C26" s="117">
        <v>45261</v>
      </c>
    </row>
    <row r="27" spans="1:132">
      <c r="A27" t="s">
        <v>269</v>
      </c>
      <c r="B27" t="s">
        <v>270</v>
      </c>
      <c r="C27" s="117">
        <v>45231</v>
      </c>
    </row>
    <row r="28" spans="1:132">
      <c r="A28" t="s">
        <v>269</v>
      </c>
      <c r="B28" t="s">
        <v>270</v>
      </c>
      <c r="C28" s="117">
        <v>45200</v>
      </c>
    </row>
    <row r="29" spans="1:132">
      <c r="A29" t="s">
        <v>269</v>
      </c>
      <c r="B29" t="s">
        <v>270</v>
      </c>
      <c r="C29" s="117">
        <v>45170</v>
      </c>
    </row>
    <row r="30" spans="1:132">
      <c r="A30" t="s">
        <v>269</v>
      </c>
      <c r="B30" t="s">
        <v>270</v>
      </c>
      <c r="C30" s="117">
        <v>45139</v>
      </c>
    </row>
    <row r="31" spans="1:132">
      <c r="A31" t="s">
        <v>269</v>
      </c>
      <c r="B31" t="s">
        <v>270</v>
      </c>
      <c r="C31" s="117">
        <v>45108</v>
      </c>
    </row>
    <row r="32" spans="1:132">
      <c r="A32" t="s">
        <v>269</v>
      </c>
      <c r="B32" t="s">
        <v>270</v>
      </c>
      <c r="C32" s="117">
        <v>45078</v>
      </c>
    </row>
    <row r="33" spans="1:132">
      <c r="A33" t="s">
        <v>269</v>
      </c>
      <c r="B33" t="s">
        <v>270</v>
      </c>
      <c r="C33" s="117">
        <v>45047</v>
      </c>
    </row>
    <row r="34" spans="1:132">
      <c r="A34" t="s">
        <v>269</v>
      </c>
      <c r="B34" t="s">
        <v>270</v>
      </c>
      <c r="C34" s="117">
        <v>45017</v>
      </c>
    </row>
    <row r="35" spans="1:132">
      <c r="A35" t="s">
        <v>269</v>
      </c>
      <c r="B35" t="s">
        <v>270</v>
      </c>
      <c r="C35" s="117">
        <v>44986</v>
      </c>
    </row>
    <row r="36" spans="1:132">
      <c r="A36" t="s">
        <v>269</v>
      </c>
      <c r="B36" t="s">
        <v>270</v>
      </c>
      <c r="C36" s="117">
        <v>44958</v>
      </c>
    </row>
    <row r="37" spans="1:132">
      <c r="A37" t="s">
        <v>269</v>
      </c>
      <c r="B37" t="s">
        <v>270</v>
      </c>
      <c r="C37" s="117">
        <v>44927</v>
      </c>
    </row>
    <row r="38" spans="1:132" hidden="1">
      <c r="A38" t="s">
        <v>271</v>
      </c>
      <c r="B38" t="s">
        <v>270</v>
      </c>
      <c r="C38" s="117">
        <v>45992</v>
      </c>
      <c r="D38" s="106">
        <f>+HLOOKUP(C38,'NEW CAR'!$CU$2:$DF$250,6,0)/3.5%</f>
        <v>0</v>
      </c>
      <c r="E38" s="106">
        <f>+HLOOKUP(C38,'NEW CAR'!$CU$2:$DF$250,5,0)+HLOOKUP(C38,'NEW CAR'!$CU$2:$DF$250,26,0)+HLOOKUP(C38,'NEW CAR'!$CU$2:$DF$250,59,0)</f>
        <v>0</v>
      </c>
      <c r="G38" s="106">
        <f>+HLOOKUP($C38,'NEW CAR'!$CU$2:$DF$250,76,0)</f>
        <v>0</v>
      </c>
      <c r="H38" s="106">
        <f>+HLOOKUP($C38,'NEW CAR'!$CU$2:$DF$250,77,0)</f>
        <v>0</v>
      </c>
      <c r="I38" s="106">
        <f>+HLOOKUP($C38,'NEW CAR'!$CU$2:$DF$250,78,0)</f>
        <v>0</v>
      </c>
      <c r="J38" s="106">
        <f>+HLOOKUP($C38,'NEW CAR'!$CU$2:$DF$250,79,0)</f>
        <v>0</v>
      </c>
      <c r="K38" s="106">
        <f>+HLOOKUP($C38,'NEW CAR'!$CU$2:$DF$250,80,0)</f>
        <v>0</v>
      </c>
      <c r="L38" s="106">
        <f>+HLOOKUP($C38,'NEW CAR'!$CU$2:$DF$250,81,0)</f>
        <v>0</v>
      </c>
      <c r="M38" s="106">
        <f>+HLOOKUP($C38,'NEW CAR'!$CU$2:$DF$250,82,0)</f>
        <v>0</v>
      </c>
      <c r="N38" s="106">
        <f>+HLOOKUP($C38,'NEW CAR'!$CU$2:$DF$250,83,0)</f>
        <v>0</v>
      </c>
      <c r="O38" s="106">
        <f>+HLOOKUP($C38,'NEW CAR'!$CU$2:$DF$250,84,0)</f>
        <v>0</v>
      </c>
      <c r="P38" s="106">
        <f>+HLOOKUP($C38,'NEW CAR'!$CU$2:$DF$250,85,0)</f>
        <v>0</v>
      </c>
      <c r="Q38" s="106">
        <f>+HLOOKUP($C38,'NEW CAR'!$CU$2:$DF$250,87,0)</f>
        <v>0</v>
      </c>
      <c r="R38" s="106">
        <f>+HLOOKUP($C38,'NEW CAR'!$CU$2:$DF$250,90,0)</f>
        <v>0</v>
      </c>
      <c r="S38" s="106">
        <f>+HLOOKUP($C38,'NEW CAR'!$CU$2:$DF$250,91,0)</f>
        <v>0</v>
      </c>
      <c r="T38" s="106">
        <f>+HLOOKUP($C38,'NEW CAR'!$CU$2:$DF$250,92,0)</f>
        <v>0</v>
      </c>
      <c r="U38" s="106">
        <f>+HLOOKUP($C38,'NEW CAR'!$CU$2:$DF$250,93,0)</f>
        <v>0</v>
      </c>
      <c r="V38" s="106">
        <f>+HLOOKUP($C38,'NEW CAR'!$CU$2:$DF$250,94,0)</f>
        <v>0</v>
      </c>
      <c r="W38" s="106">
        <f>+HLOOKUP($C38,'NEW CAR'!$CU$2:$DF$250,95,0)</f>
        <v>0</v>
      </c>
      <c r="X38" s="106">
        <f>+HLOOKUP($C38,'NEW CAR'!$CU$2:$DF$250,96,0)</f>
        <v>0</v>
      </c>
      <c r="Y38" s="106">
        <f>+HLOOKUP($C38,'NEW CAR'!$CU$2:$DF$250,97,0)</f>
        <v>0</v>
      </c>
      <c r="Z38" s="106">
        <f>+HLOOKUP($C38,'NEW CAR'!$CU$2:$DF$250,98,0)</f>
        <v>0</v>
      </c>
      <c r="AA38" s="106">
        <f>+HLOOKUP($C38,'NEW CAR'!$CU$2:$DF$250,99,0)</f>
        <v>0</v>
      </c>
      <c r="AB38" s="106">
        <f>+HLOOKUP($C38,'NEW CAR'!$CU$2:$DF$250,100,0)</f>
        <v>0</v>
      </c>
      <c r="AC38" s="106">
        <f>+HLOOKUP($C38,'NEW CAR'!$CU$2:$DF$250,101,0)</f>
        <v>0</v>
      </c>
      <c r="AD38" s="106">
        <f>+HLOOKUP($C38,'NEW CAR'!$CU$2:$DF$250,104,0)</f>
        <v>0</v>
      </c>
      <c r="AE38" s="106">
        <f>+HLOOKUP($C38,'NEW CAR'!$CU$2:$DF$250,105,0)</f>
        <v>0</v>
      </c>
      <c r="AF38" s="106">
        <f>+HLOOKUP($C38,'NEW CAR'!$CU$2:$DF$250,106,0)</f>
        <v>0</v>
      </c>
      <c r="AG38" s="106">
        <f>+HLOOKUP($C38,'NEW CAR'!$CU$2:$DF$250,107,0)</f>
        <v>0</v>
      </c>
      <c r="AH38" s="106">
        <f>+HLOOKUP($C38,'NEW CAR'!$CU$2:$DF$250,108,0)</f>
        <v>0</v>
      </c>
      <c r="AI38" s="106">
        <f>+HLOOKUP($C38,'NEW CAR'!$CU$2:$DF$250,109,0)</f>
        <v>0</v>
      </c>
      <c r="AJ38" s="106">
        <f>+HLOOKUP($C38,'NEW CAR'!$CU$2:$DF$250,110,0)</f>
        <v>0</v>
      </c>
      <c r="AK38" s="106">
        <f>+HLOOKUP($C38,'NEW CAR'!$CU$2:$DF$250,111,0)</f>
        <v>0</v>
      </c>
      <c r="AL38" s="106">
        <f>+HLOOKUP($C38,'NEW CAR'!$CU$2:$DF$250,112,0)</f>
        <v>0</v>
      </c>
      <c r="AM38" s="106">
        <f>+HLOOKUP($C38,'NEW CAR'!$CU$2:$DF$250,116,0)</f>
        <v>0</v>
      </c>
      <c r="AN38" s="106">
        <f>+HLOOKUP($C38,'NEW CAR'!$CU$2:$DF$250,117,0)</f>
        <v>0</v>
      </c>
      <c r="AO38" s="106">
        <f>+HLOOKUP($C38,'NEW CAR'!$CU$2:$DF$250,118,0)</f>
        <v>0</v>
      </c>
      <c r="AP38" s="106">
        <f>+HLOOKUP($C38,'NEW CAR'!$CU$2:$DF$250,119,0)</f>
        <v>0</v>
      </c>
      <c r="AQ38" s="106">
        <f>+HLOOKUP($C38,'NEW CAR'!$CU$2:$DF$250,120,0)</f>
        <v>0</v>
      </c>
      <c r="AR38" s="106">
        <f>+HLOOKUP($C38,'NEW CAR'!$CU$2:$DF$250,121,0)</f>
        <v>0</v>
      </c>
      <c r="AS38" s="106">
        <f>+HLOOKUP($C38,'NEW CAR'!$CU$2:$DF$250,122,0)</f>
        <v>0</v>
      </c>
      <c r="AT38" s="106">
        <f>+HLOOKUP($C38,'NEW CAR'!$CU$2:$DF$250,123,0)</f>
        <v>0</v>
      </c>
      <c r="AU38" s="106">
        <f>+HLOOKUP($C38,'NEW CAR'!$CU$2:$DF$250,124,0)</f>
        <v>0</v>
      </c>
      <c r="AV38" s="106">
        <f>+HLOOKUP($C38,'NEW CAR'!$CU$2:$DF$250,125,0)</f>
        <v>0</v>
      </c>
      <c r="AW38" s="106">
        <f>+HLOOKUP($C38,'NEW CAR'!$CU$2:$DF$250,126,0)</f>
        <v>0</v>
      </c>
      <c r="AX38" s="106">
        <f>+HLOOKUP($C38,'NEW CAR'!$CU$2:$DF$250,127,0)</f>
        <v>0</v>
      </c>
      <c r="AY38" s="106">
        <f>+HLOOKUP($C38,'NEW CAR'!$CU$2:$DF$250,129,0)</f>
        <v>0</v>
      </c>
      <c r="AZ38" s="106">
        <f>+HLOOKUP($C38,'NEW CAR'!$CU$2:$DF$250,130,0)</f>
        <v>0</v>
      </c>
      <c r="BA38" s="106">
        <f>+HLOOKUP($C38,'NEW CAR'!$CU$2:$DF$250,131,0)</f>
        <v>0</v>
      </c>
      <c r="BB38" s="106">
        <f>+HLOOKUP($C38,'NEW CAR'!$CU$2:$DF$250,133,0)</f>
        <v>0</v>
      </c>
      <c r="BC38" s="106">
        <f>+HLOOKUP($C38,'NEW CAR'!$CU$2:$DF$250,134,0)</f>
        <v>0</v>
      </c>
      <c r="BD38" s="106">
        <f>+HLOOKUP($C38,'NEW CAR'!$CU$2:$DF$250,135,0)</f>
        <v>0</v>
      </c>
      <c r="BE38" s="106">
        <f>+HLOOKUP($C38,'NEW CAR'!$CU$2:$DF$250,136,0)</f>
        <v>0</v>
      </c>
      <c r="BF38" s="106">
        <f>+HLOOKUP($C38,'NEW CAR'!$CU$2:$DF$250,138,0)</f>
        <v>0</v>
      </c>
      <c r="BG38" s="106">
        <f>+HLOOKUP($C38,'NEW CAR'!$CU$2:$DF$250,139,0)</f>
        <v>0</v>
      </c>
      <c r="BH38" s="106">
        <f>+HLOOKUP($C38,'NEW CAR'!$CU$2:$DF$250,140,0)</f>
        <v>0</v>
      </c>
      <c r="BI38" s="106">
        <f>+HLOOKUP($C38,'NEW CAR'!$CU$2:$DF$250,141,0)</f>
        <v>0</v>
      </c>
      <c r="BJ38" s="106">
        <f>+HLOOKUP($C38,'NEW CAR'!$CU$2:$DF$250,142,0)</f>
        <v>0</v>
      </c>
      <c r="BK38" s="106">
        <f>+HLOOKUP($C38,'NEW CAR'!$CU$2:$DF$250,143,0)</f>
        <v>0</v>
      </c>
      <c r="BL38" s="106">
        <f>+HLOOKUP($C38,'NEW CAR'!$CU$2:$DF$250,144,0)</f>
        <v>0</v>
      </c>
      <c r="BM38" s="106">
        <f>+HLOOKUP($C38,'NEW CAR'!$CU$2:$DF$250,146,0)</f>
        <v>0</v>
      </c>
      <c r="BN38" s="106">
        <f>+HLOOKUP($C38,'NEW CAR'!$CU$2:$DF$250,147,0)</f>
        <v>0</v>
      </c>
      <c r="BO38" s="106">
        <f>+HLOOKUP($C38,'NEW CAR'!$CU$2:$DF$250,148,0)</f>
        <v>0</v>
      </c>
      <c r="BP38" s="106">
        <f>+HLOOKUP($C38,'NEW CAR'!$CU$2:$DF$250,150,0)</f>
        <v>0</v>
      </c>
      <c r="BQ38" s="106">
        <f>+HLOOKUP($C38,'NEW CAR'!$CU$2:$DF$250,151,0)</f>
        <v>0</v>
      </c>
      <c r="BR38" s="106">
        <f>+HLOOKUP($C38,'NEW CAR'!$CU$2:$DF$250,152,0)</f>
        <v>0</v>
      </c>
      <c r="BS38" s="106">
        <f>+HLOOKUP($C38,'NEW CAR'!$CU$2:$DF$250,153,0)</f>
        <v>0</v>
      </c>
      <c r="BT38" s="106">
        <f>+HLOOKUP($C38,'NEW CAR'!$CU$2:$DF$250,157,0)</f>
        <v>0</v>
      </c>
      <c r="BU38" s="106">
        <f>+HLOOKUP($C38,'NEW CAR'!$CU$2:$DF$250,158,0)</f>
        <v>0</v>
      </c>
      <c r="BV38" s="106">
        <f>+HLOOKUP($C38,'NEW CAR'!$CU$2:$DF$250,159,0)</f>
        <v>0</v>
      </c>
      <c r="BW38" s="106">
        <f>+HLOOKUP($C38,'NEW CAR'!$CU$2:$DF$250,160,0)</f>
        <v>0</v>
      </c>
      <c r="BX38" s="106">
        <f>+HLOOKUP($C38,'NEW CAR'!$CU$2:$DF$250,161,0)</f>
        <v>0</v>
      </c>
      <c r="BY38" s="106">
        <f>+HLOOKUP($C38,'NEW CAR'!$CU$2:$DF$250,164,0)</f>
        <v>0</v>
      </c>
      <c r="BZ38" s="106">
        <f>+HLOOKUP($C38,'NEW CAR'!$CU$2:$DF$250,165,0)</f>
        <v>0</v>
      </c>
      <c r="CA38" s="106">
        <f>+HLOOKUP($C38,'NEW CAR'!$CU$2:$DF$250,166,0)</f>
        <v>0</v>
      </c>
      <c r="CB38" s="106">
        <f>+HLOOKUP($C38,'NEW CAR'!$CU$2:$DF$250,167,0)</f>
        <v>0</v>
      </c>
      <c r="CC38" s="106">
        <f>+HLOOKUP($C38,'NEW CAR'!$CU$2:$DF$250,168,0)</f>
        <v>0</v>
      </c>
      <c r="CD38" s="106">
        <f>+HLOOKUP($C38,'NEW CAR'!$CU$2:$DF$250,169,0)</f>
        <v>0</v>
      </c>
      <c r="CE38" s="106">
        <f>+HLOOKUP($C38,'NEW CAR'!$CU$2:$DF$250,170,0)</f>
        <v>0</v>
      </c>
      <c r="CF38" s="106">
        <f>+HLOOKUP($C38,'NEW CAR'!$CU$2:$DF$250,172,0)</f>
        <v>0</v>
      </c>
      <c r="CG38" s="106">
        <f>+HLOOKUP($C38,'NEW CAR'!$CU$2:$DF$250,173,0)</f>
        <v>0</v>
      </c>
      <c r="CH38" s="106">
        <f>+HLOOKUP($C38,'NEW CAR'!$CU$2:$DF$250,174,0)</f>
        <v>0</v>
      </c>
      <c r="CI38" s="106">
        <f>+HLOOKUP($C38,'NEW CAR'!$CU$2:$DF$250,175,0)</f>
        <v>0</v>
      </c>
      <c r="CJ38" s="106">
        <f>+HLOOKUP($C38,'NEW CAR'!$CU$2:$DF$250,176,0)</f>
        <v>0</v>
      </c>
      <c r="CK38" s="106">
        <f>+HLOOKUP($C38,'NEW CAR'!$CU$2:$DF$250,178,0)</f>
        <v>0</v>
      </c>
      <c r="CL38" s="106">
        <f>+HLOOKUP($C38,'NEW CAR'!$CU$2:$DF$250,179,0)</f>
        <v>0</v>
      </c>
      <c r="CM38" s="106">
        <f>+HLOOKUP($C38,'NEW CAR'!$CU$2:$DF$250,180,0)</f>
        <v>0</v>
      </c>
      <c r="CN38" s="106">
        <f>+HLOOKUP($C38,'NEW CAR'!$CU$2:$DF$250,182,0)</f>
        <v>0</v>
      </c>
      <c r="CO38" s="106">
        <f>+HLOOKUP($C38,'NEW CAR'!$CU$2:$DF$250,183,0)</f>
        <v>0</v>
      </c>
      <c r="CP38" s="106">
        <f>+HLOOKUP($C38,'NEW CAR'!$CU$2:$DF$250,184,0)</f>
        <v>0</v>
      </c>
      <c r="CQ38" s="106">
        <f>+HLOOKUP($C38,'NEW CAR'!$CU$2:$DF$250,185,0)</f>
        <v>0</v>
      </c>
      <c r="CR38" s="106">
        <f>+HLOOKUP($C38,'NEW CAR'!$CU$2:$DF$250,187,0)</f>
        <v>0</v>
      </c>
      <c r="CS38" s="106">
        <f>+HLOOKUP($C38,'NEW CAR'!$CU$2:$DF$250,188,0)</f>
        <v>0</v>
      </c>
      <c r="CT38" s="106">
        <f>+HLOOKUP($C38,'NEW CAR'!$CU$2:$DF$250,189,0)</f>
        <v>0</v>
      </c>
      <c r="CU38" s="106">
        <f>+HLOOKUP($C38,'NEW CAR'!$CU$2:$DF$250,190,0)</f>
        <v>0</v>
      </c>
      <c r="CV38" s="106">
        <f>+HLOOKUP($C38,'NEW CAR'!$CU$2:$DF$250,191,0)</f>
        <v>0</v>
      </c>
      <c r="CW38" s="106">
        <f>+HLOOKUP($C38,'NEW CAR'!$CU$2:$DF$250,193,0)</f>
        <v>0</v>
      </c>
      <c r="CX38" s="106">
        <f>+HLOOKUP($C38,'NEW CAR'!$CU$2:$DF$250,194,0)</f>
        <v>0</v>
      </c>
      <c r="CY38" s="106">
        <f>+HLOOKUP($C38,'NEW CAR'!$CU$2:$DF$250,195,0)</f>
        <v>0</v>
      </c>
      <c r="CZ38" s="106">
        <f>+HLOOKUP($C38,'NEW CAR'!$CU$2:$DF$250,196,0)</f>
        <v>0</v>
      </c>
      <c r="DA38" s="106">
        <f>+HLOOKUP($C38,'NEW CAR'!$CU$2:$DF$250,197,0)</f>
        <v>0</v>
      </c>
      <c r="DB38" s="106">
        <f>+HLOOKUP($C38,'NEW CAR'!$CU$2:$DF$250,198,0)</f>
        <v>0</v>
      </c>
      <c r="DC38" s="106">
        <f>+HLOOKUP($C38,'NEW CAR'!$CU$2:$DF$250,199,0)</f>
        <v>0</v>
      </c>
      <c r="DD38" s="106">
        <f>+HLOOKUP($C38,'NEW CAR'!$CU$2:$DF$250,200,0)</f>
        <v>0</v>
      </c>
      <c r="DE38" s="106">
        <f>+HLOOKUP($C38,'NEW CAR'!$CU$2:$DF$250,201,0)</f>
        <v>0</v>
      </c>
      <c r="DF38" s="106">
        <f>+HLOOKUP($C38,'NEW CAR'!$CU$2:$DF$250,202,0)</f>
        <v>0</v>
      </c>
      <c r="DG38" s="106">
        <f>+HLOOKUP($C38,'NEW CAR'!$CU$2:$DF$250,203,0)</f>
        <v>0</v>
      </c>
      <c r="DH38" s="106">
        <f>+HLOOKUP($C38,'NEW CAR'!$CU$2:$DF$250,205,0)</f>
        <v>0</v>
      </c>
      <c r="DI38" s="106">
        <f>+HLOOKUP($C38,'NEW CAR'!$CU$2:$DF$250,206,0)</f>
        <v>0</v>
      </c>
      <c r="DJ38" s="106">
        <f>+HLOOKUP($C38,'NEW CAR'!$CU$2:$DF$250,207,0)</f>
        <v>0</v>
      </c>
      <c r="DK38" s="106">
        <f>+HLOOKUP($C38,'NEW CAR'!$CU$2:$DF$250,209,0)</f>
        <v>0</v>
      </c>
      <c r="DL38" s="106">
        <f>+HLOOKUP($C38,'NEW CAR'!$CU$2:$DF$250,210,0)</f>
        <v>0</v>
      </c>
      <c r="DM38" s="106">
        <f>+HLOOKUP($C38,'NEW CAR'!$CU$2:$DF$250,211,0)</f>
        <v>0</v>
      </c>
      <c r="DN38" s="106">
        <f>+HLOOKUP($C38,'NEW CAR'!$CU$2:$DF$250,212,0)</f>
        <v>0</v>
      </c>
      <c r="DO38" s="106">
        <f>+HLOOKUP($C38,'NEW CAR'!$CU$2:$DF$250,214,0)</f>
        <v>0</v>
      </c>
      <c r="DP38" s="106">
        <f>+HLOOKUP($C38,'NEW CAR'!$CU$2:$DF$250,215,0)</f>
        <v>0</v>
      </c>
      <c r="DQ38" s="106">
        <f>+HLOOKUP($C38,'NEW CAR'!$CU$2:$DF$250,219,0)</f>
        <v>0</v>
      </c>
      <c r="DR38" s="106">
        <f>+HLOOKUP($C38,'NEW CAR'!$CU$2:$DF$250,220,0)</f>
        <v>0</v>
      </c>
      <c r="DS38" s="106">
        <f>+HLOOKUP($C38,'NEW CAR'!$CU$2:$DF$250,221,0)</f>
        <v>0</v>
      </c>
      <c r="DT38" s="106">
        <f>+HLOOKUP($C38,'NEW CAR'!$CU$2:$DF$250,223,0)</f>
        <v>0</v>
      </c>
      <c r="DU38" s="106">
        <f>+HLOOKUP($C38,'NEW CAR'!$CU$2:$DF$250,224,0)</f>
        <v>0</v>
      </c>
      <c r="DV38" s="106">
        <f>+HLOOKUP($C38,'NEW CAR'!$CU$2:$DF$250,225,0)</f>
        <v>0</v>
      </c>
      <c r="DW38" s="106">
        <f>+HLOOKUP($C38,'NEW CAR'!$CU$2:$DF$250,227,0)</f>
        <v>0</v>
      </c>
      <c r="DX38" s="106">
        <f>+HLOOKUP($C38,'NEW CAR'!$CU$2:$DF$250,228,0)</f>
        <v>0</v>
      </c>
      <c r="DY38" s="106">
        <f>+HLOOKUP($C38,'NEW CAR'!$CU$2:$DF$250,236,0)</f>
        <v>0</v>
      </c>
      <c r="DZ38" s="106">
        <f>+HLOOKUP($C38,'NEW CAR'!$CU$2:$DF$250,237,0)</f>
        <v>0</v>
      </c>
      <c r="EA38" s="106">
        <f>+HLOOKUP($C38,'NEW CAR'!$CU$2:$DF$250,238,0)</f>
        <v>0</v>
      </c>
      <c r="EB38" s="106">
        <f>+HLOOKUP($C38,'NEW CAR'!$CU$2:$DF$250,240,0)</f>
        <v>0</v>
      </c>
    </row>
    <row r="39" spans="1:132" hidden="1">
      <c r="A39" t="s">
        <v>271</v>
      </c>
      <c r="B39" t="s">
        <v>270</v>
      </c>
      <c r="C39" s="117">
        <v>45962</v>
      </c>
      <c r="D39" s="106">
        <f>+HLOOKUP(C39,'NEW CAR'!$CU$2:$DF$250,6,0)/3.5%</f>
        <v>0</v>
      </c>
      <c r="E39" s="106">
        <f>+HLOOKUP(C39,'NEW CAR'!$CU$2:$DF$250,5,0)+HLOOKUP(C39,'NEW CAR'!$CU$2:$DF$250,26,0)+HLOOKUP(C39,'NEW CAR'!$CU$2:$DF$250,59,0)</f>
        <v>0</v>
      </c>
      <c r="G39" s="106">
        <f>+HLOOKUP($C39,'NEW CAR'!$CU$2:$DF$250,76,0)</f>
        <v>0</v>
      </c>
      <c r="H39" s="106">
        <f>+HLOOKUP($C39,'NEW CAR'!$CU$2:$DF$250,77,0)</f>
        <v>0</v>
      </c>
      <c r="I39" s="106">
        <f>+HLOOKUP($C39,'NEW CAR'!$CU$2:$DF$250,78,0)</f>
        <v>0</v>
      </c>
      <c r="J39" s="106">
        <f>+HLOOKUP($C39,'NEW CAR'!$CU$2:$DF$250,79,0)</f>
        <v>0</v>
      </c>
      <c r="K39" s="106">
        <f>+HLOOKUP($C39,'NEW CAR'!$CU$2:$DF$250,80,0)</f>
        <v>0</v>
      </c>
      <c r="L39" s="106">
        <f>+HLOOKUP($C39,'NEW CAR'!$CU$2:$DF$250,81,0)</f>
        <v>0</v>
      </c>
      <c r="M39" s="106">
        <f>+HLOOKUP($C39,'NEW CAR'!$CU$2:$DF$250,82,0)</f>
        <v>0</v>
      </c>
      <c r="N39" s="106">
        <f>+HLOOKUP($C39,'NEW CAR'!$CU$2:$DF$250,83,0)</f>
        <v>0</v>
      </c>
      <c r="O39" s="106">
        <f>+HLOOKUP($C39,'NEW CAR'!$CU$2:$DF$250,84,0)</f>
        <v>0</v>
      </c>
      <c r="P39" s="106">
        <f>+HLOOKUP($C39,'NEW CAR'!$CU$2:$DF$250,85,0)</f>
        <v>0</v>
      </c>
      <c r="Q39" s="106">
        <f>+HLOOKUP($C39,'NEW CAR'!$CU$2:$DF$250,87,0)</f>
        <v>0</v>
      </c>
      <c r="R39" s="106">
        <f>+HLOOKUP($C39,'NEW CAR'!$CU$2:$DF$250,90,0)</f>
        <v>0</v>
      </c>
      <c r="S39" s="106">
        <f>+HLOOKUP($C39,'NEW CAR'!$CU$2:$DF$250,91,0)</f>
        <v>0</v>
      </c>
      <c r="T39" s="106">
        <f>+HLOOKUP($C39,'NEW CAR'!$CU$2:$DF$250,92,0)</f>
        <v>0</v>
      </c>
      <c r="U39" s="106">
        <f>+HLOOKUP($C39,'NEW CAR'!$CU$2:$DF$250,93,0)</f>
        <v>0</v>
      </c>
      <c r="V39" s="106">
        <f>+HLOOKUP($C39,'NEW CAR'!$CU$2:$DF$250,94,0)</f>
        <v>0</v>
      </c>
      <c r="W39" s="106">
        <f>+HLOOKUP($C39,'NEW CAR'!$CU$2:$DF$250,95,0)</f>
        <v>0</v>
      </c>
      <c r="X39" s="106">
        <f>+HLOOKUP($C39,'NEW CAR'!$CU$2:$DF$250,96,0)</f>
        <v>0</v>
      </c>
      <c r="Y39" s="106">
        <f>+HLOOKUP($C39,'NEW CAR'!$CU$2:$DF$250,97,0)</f>
        <v>0</v>
      </c>
      <c r="Z39" s="106">
        <f>+HLOOKUP($C39,'NEW CAR'!$CU$2:$DF$250,98,0)</f>
        <v>0</v>
      </c>
      <c r="AA39" s="106">
        <f>+HLOOKUP($C39,'NEW CAR'!$CU$2:$DF$250,99,0)</f>
        <v>0</v>
      </c>
      <c r="AB39" s="106">
        <f>+HLOOKUP($C39,'NEW CAR'!$CU$2:$DF$250,100,0)</f>
        <v>0</v>
      </c>
      <c r="AC39" s="106">
        <f>+HLOOKUP($C39,'NEW CAR'!$CU$2:$DF$250,101,0)</f>
        <v>0</v>
      </c>
      <c r="AD39" s="106">
        <f>+HLOOKUP($C39,'NEW CAR'!$CU$2:$DF$250,104,0)</f>
        <v>0</v>
      </c>
      <c r="AE39" s="106">
        <f>+HLOOKUP($C39,'NEW CAR'!$CU$2:$DF$250,105,0)</f>
        <v>0</v>
      </c>
      <c r="AF39" s="106">
        <f>+HLOOKUP($C39,'NEW CAR'!$CU$2:$DF$250,106,0)</f>
        <v>0</v>
      </c>
      <c r="AG39" s="106">
        <f>+HLOOKUP($C39,'NEW CAR'!$CU$2:$DF$250,107,0)</f>
        <v>0</v>
      </c>
      <c r="AH39" s="106">
        <f>+HLOOKUP($C39,'NEW CAR'!$CU$2:$DF$250,108,0)</f>
        <v>0</v>
      </c>
      <c r="AI39" s="106">
        <f>+HLOOKUP($C39,'NEW CAR'!$CU$2:$DF$250,109,0)</f>
        <v>0</v>
      </c>
      <c r="AJ39" s="106">
        <f>+HLOOKUP($C39,'NEW CAR'!$CU$2:$DF$250,110,0)</f>
        <v>0</v>
      </c>
      <c r="AK39" s="106">
        <f>+HLOOKUP($C39,'NEW CAR'!$CU$2:$DF$250,111,0)</f>
        <v>0</v>
      </c>
      <c r="AL39" s="106">
        <f>+HLOOKUP($C39,'NEW CAR'!$CU$2:$DF$250,112,0)</f>
        <v>0</v>
      </c>
      <c r="AM39" s="106">
        <f>+HLOOKUP($C39,'NEW CAR'!$CU$2:$DF$250,116,0)</f>
        <v>0</v>
      </c>
      <c r="AN39" s="106">
        <f>+HLOOKUP($C39,'NEW CAR'!$CU$2:$DF$250,117,0)</f>
        <v>0</v>
      </c>
      <c r="AO39" s="106">
        <f>+HLOOKUP($C39,'NEW CAR'!$CU$2:$DF$250,118,0)</f>
        <v>0</v>
      </c>
      <c r="AP39" s="106">
        <f>+HLOOKUP($C39,'NEW CAR'!$CU$2:$DF$250,119,0)</f>
        <v>0</v>
      </c>
      <c r="AQ39" s="106">
        <f>+HLOOKUP($C39,'NEW CAR'!$CU$2:$DF$250,120,0)</f>
        <v>0</v>
      </c>
      <c r="AR39" s="106">
        <f>+HLOOKUP($C39,'NEW CAR'!$CU$2:$DF$250,121,0)</f>
        <v>0</v>
      </c>
      <c r="AS39" s="106">
        <f>+HLOOKUP($C39,'NEW CAR'!$CU$2:$DF$250,122,0)</f>
        <v>0</v>
      </c>
      <c r="AT39" s="106">
        <f>+HLOOKUP($C39,'NEW CAR'!$CU$2:$DF$250,123,0)</f>
        <v>0</v>
      </c>
      <c r="AU39" s="106">
        <f>+HLOOKUP($C39,'NEW CAR'!$CU$2:$DF$250,124,0)</f>
        <v>0</v>
      </c>
      <c r="AV39" s="106">
        <f>+HLOOKUP($C39,'NEW CAR'!$CU$2:$DF$250,125,0)</f>
        <v>0</v>
      </c>
      <c r="AW39" s="106">
        <f>+HLOOKUP($C39,'NEW CAR'!$CU$2:$DF$250,126,0)</f>
        <v>0</v>
      </c>
      <c r="AX39" s="106">
        <f>+HLOOKUP($C39,'NEW CAR'!$CU$2:$DF$250,127,0)</f>
        <v>0</v>
      </c>
      <c r="AY39" s="106">
        <f>+HLOOKUP($C39,'NEW CAR'!$CU$2:$DF$250,129,0)</f>
        <v>0</v>
      </c>
      <c r="AZ39" s="106">
        <f>+HLOOKUP($C39,'NEW CAR'!$CU$2:$DF$250,130,0)</f>
        <v>0</v>
      </c>
      <c r="BA39" s="106">
        <f>+HLOOKUP($C39,'NEW CAR'!$CU$2:$DF$250,131,0)</f>
        <v>0</v>
      </c>
      <c r="BB39" s="106">
        <f>+HLOOKUP($C39,'NEW CAR'!$CU$2:$DF$250,133,0)</f>
        <v>0</v>
      </c>
      <c r="BC39" s="106">
        <f>+HLOOKUP($C39,'NEW CAR'!$CU$2:$DF$250,134,0)</f>
        <v>0</v>
      </c>
      <c r="BD39" s="106">
        <f>+HLOOKUP($C39,'NEW CAR'!$CU$2:$DF$250,135,0)</f>
        <v>0</v>
      </c>
      <c r="BE39" s="106">
        <f>+HLOOKUP($C39,'NEW CAR'!$CU$2:$DF$250,136,0)</f>
        <v>0</v>
      </c>
      <c r="BF39" s="106">
        <f>+HLOOKUP($C39,'NEW CAR'!$CU$2:$DF$250,138,0)</f>
        <v>0</v>
      </c>
      <c r="BG39" s="106">
        <f>+HLOOKUP($C39,'NEW CAR'!$CU$2:$DF$250,139,0)</f>
        <v>0</v>
      </c>
      <c r="BH39" s="106">
        <f>+HLOOKUP($C39,'NEW CAR'!$CU$2:$DF$250,140,0)</f>
        <v>0</v>
      </c>
      <c r="BI39" s="106">
        <f>+HLOOKUP($C39,'NEW CAR'!$CU$2:$DF$250,141,0)</f>
        <v>0</v>
      </c>
      <c r="BJ39" s="106">
        <f>+HLOOKUP($C39,'NEW CAR'!$CU$2:$DF$250,142,0)</f>
        <v>0</v>
      </c>
      <c r="BK39" s="106">
        <f>+HLOOKUP($C39,'NEW CAR'!$CU$2:$DF$250,143,0)</f>
        <v>0</v>
      </c>
      <c r="BL39" s="106">
        <f>+HLOOKUP($C39,'NEW CAR'!$CU$2:$DF$250,144,0)</f>
        <v>0</v>
      </c>
      <c r="BM39" s="106">
        <f>+HLOOKUP($C39,'NEW CAR'!$CU$2:$DF$250,146,0)</f>
        <v>0</v>
      </c>
      <c r="BN39" s="106">
        <f>+HLOOKUP($C39,'NEW CAR'!$CU$2:$DF$250,147,0)</f>
        <v>0</v>
      </c>
      <c r="BO39" s="106">
        <f>+HLOOKUP($C39,'NEW CAR'!$CU$2:$DF$250,148,0)</f>
        <v>0</v>
      </c>
      <c r="BP39" s="106">
        <f>+HLOOKUP($C39,'NEW CAR'!$CU$2:$DF$250,150,0)</f>
        <v>0</v>
      </c>
      <c r="BQ39" s="106">
        <f>+HLOOKUP($C39,'NEW CAR'!$CU$2:$DF$250,151,0)</f>
        <v>0</v>
      </c>
      <c r="BR39" s="106">
        <f>+HLOOKUP($C39,'NEW CAR'!$CU$2:$DF$250,152,0)</f>
        <v>0</v>
      </c>
      <c r="BS39" s="106">
        <f>+HLOOKUP($C39,'NEW CAR'!$CU$2:$DF$250,153,0)</f>
        <v>0</v>
      </c>
      <c r="BT39" s="106">
        <f>+HLOOKUP($C39,'NEW CAR'!$CU$2:$DF$250,157,0)</f>
        <v>0</v>
      </c>
      <c r="BU39" s="106">
        <f>+HLOOKUP($C39,'NEW CAR'!$CU$2:$DF$250,158,0)</f>
        <v>0</v>
      </c>
      <c r="BV39" s="106">
        <f>+HLOOKUP($C39,'NEW CAR'!$CU$2:$DF$250,159,0)</f>
        <v>0</v>
      </c>
      <c r="BW39" s="106">
        <f>+HLOOKUP($C39,'NEW CAR'!$CU$2:$DF$250,160,0)</f>
        <v>0</v>
      </c>
      <c r="BX39" s="106">
        <f>+HLOOKUP($C39,'NEW CAR'!$CU$2:$DF$250,161,0)</f>
        <v>0</v>
      </c>
      <c r="BY39" s="106">
        <f>+HLOOKUP($C39,'NEW CAR'!$CU$2:$DF$250,164,0)</f>
        <v>0</v>
      </c>
      <c r="BZ39" s="106">
        <f>+HLOOKUP($C39,'NEW CAR'!$CU$2:$DF$250,165,0)</f>
        <v>0</v>
      </c>
      <c r="CA39" s="106">
        <f>+HLOOKUP($C39,'NEW CAR'!$CU$2:$DF$250,166,0)</f>
        <v>0</v>
      </c>
      <c r="CB39" s="106">
        <f>+HLOOKUP($C39,'NEW CAR'!$CU$2:$DF$250,167,0)</f>
        <v>0</v>
      </c>
      <c r="CC39" s="106">
        <f>+HLOOKUP($C39,'NEW CAR'!$CU$2:$DF$250,168,0)</f>
        <v>0</v>
      </c>
      <c r="CD39" s="106">
        <f>+HLOOKUP($C39,'NEW CAR'!$CU$2:$DF$250,169,0)</f>
        <v>0</v>
      </c>
      <c r="CE39" s="106">
        <f>+HLOOKUP($C39,'NEW CAR'!$CU$2:$DF$250,170,0)</f>
        <v>0</v>
      </c>
      <c r="CF39" s="106">
        <f>+HLOOKUP($C39,'NEW CAR'!$CU$2:$DF$250,172,0)</f>
        <v>0</v>
      </c>
      <c r="CG39" s="106">
        <f>+HLOOKUP($C39,'NEW CAR'!$CU$2:$DF$250,173,0)</f>
        <v>0</v>
      </c>
      <c r="CH39" s="106">
        <f>+HLOOKUP($C39,'NEW CAR'!$CU$2:$DF$250,174,0)</f>
        <v>0</v>
      </c>
      <c r="CI39" s="106">
        <f>+HLOOKUP($C39,'NEW CAR'!$CU$2:$DF$250,175,0)</f>
        <v>0</v>
      </c>
      <c r="CJ39" s="106">
        <f>+HLOOKUP($C39,'NEW CAR'!$CU$2:$DF$250,176,0)</f>
        <v>0</v>
      </c>
      <c r="CK39" s="106">
        <f>+HLOOKUP($C39,'NEW CAR'!$CU$2:$DF$250,178,0)</f>
        <v>0</v>
      </c>
      <c r="CL39" s="106">
        <f>+HLOOKUP($C39,'NEW CAR'!$CU$2:$DF$250,179,0)</f>
        <v>0</v>
      </c>
      <c r="CM39" s="106">
        <f>+HLOOKUP($C39,'NEW CAR'!$CU$2:$DF$250,180,0)</f>
        <v>0</v>
      </c>
      <c r="CN39" s="106">
        <f>+HLOOKUP($C39,'NEW CAR'!$CU$2:$DF$250,182,0)</f>
        <v>0</v>
      </c>
      <c r="CO39" s="106">
        <f>+HLOOKUP($C39,'NEW CAR'!$CU$2:$DF$250,183,0)</f>
        <v>0</v>
      </c>
      <c r="CP39" s="106">
        <f>+HLOOKUP($C39,'NEW CAR'!$CU$2:$DF$250,184,0)</f>
        <v>0</v>
      </c>
      <c r="CQ39" s="106">
        <f>+HLOOKUP($C39,'NEW CAR'!$CU$2:$DF$250,185,0)</f>
        <v>0</v>
      </c>
      <c r="CR39" s="106">
        <f>+HLOOKUP($C39,'NEW CAR'!$CU$2:$DF$250,187,0)</f>
        <v>0</v>
      </c>
      <c r="CS39" s="106">
        <f>+HLOOKUP($C39,'NEW CAR'!$CU$2:$DF$250,188,0)</f>
        <v>0</v>
      </c>
      <c r="CT39" s="106">
        <f>+HLOOKUP($C39,'NEW CAR'!$CU$2:$DF$250,189,0)</f>
        <v>0</v>
      </c>
      <c r="CU39" s="106">
        <f>+HLOOKUP($C39,'NEW CAR'!$CU$2:$DF$250,190,0)</f>
        <v>0</v>
      </c>
      <c r="CV39" s="106">
        <f>+HLOOKUP($C39,'NEW CAR'!$CU$2:$DF$250,191,0)</f>
        <v>0</v>
      </c>
      <c r="CW39" s="106">
        <f>+HLOOKUP($C39,'NEW CAR'!$CU$2:$DF$250,193,0)</f>
        <v>0</v>
      </c>
      <c r="CX39" s="106">
        <f>+HLOOKUP($C39,'NEW CAR'!$CU$2:$DF$250,194,0)</f>
        <v>0</v>
      </c>
      <c r="CY39" s="106">
        <f>+HLOOKUP($C39,'NEW CAR'!$CU$2:$DF$250,195,0)</f>
        <v>0</v>
      </c>
      <c r="CZ39" s="106">
        <f>+HLOOKUP($C39,'NEW CAR'!$CU$2:$DF$250,196,0)</f>
        <v>0</v>
      </c>
      <c r="DA39" s="106">
        <f>+HLOOKUP($C39,'NEW CAR'!$CU$2:$DF$250,197,0)</f>
        <v>0</v>
      </c>
      <c r="DB39" s="106">
        <f>+HLOOKUP($C39,'NEW CAR'!$CU$2:$DF$250,198,0)</f>
        <v>0</v>
      </c>
      <c r="DC39" s="106">
        <f>+HLOOKUP($C39,'NEW CAR'!$CU$2:$DF$250,199,0)</f>
        <v>0</v>
      </c>
      <c r="DD39" s="106">
        <f>+HLOOKUP($C39,'NEW CAR'!$CU$2:$DF$250,200,0)</f>
        <v>0</v>
      </c>
      <c r="DE39" s="106">
        <f>+HLOOKUP($C39,'NEW CAR'!$CU$2:$DF$250,201,0)</f>
        <v>0</v>
      </c>
      <c r="DF39" s="106">
        <f>+HLOOKUP($C39,'NEW CAR'!$CU$2:$DF$250,202,0)</f>
        <v>0</v>
      </c>
      <c r="DG39" s="106">
        <f>+HLOOKUP($C39,'NEW CAR'!$CU$2:$DF$250,203,0)</f>
        <v>0</v>
      </c>
      <c r="DH39" s="106">
        <f>+HLOOKUP($C39,'NEW CAR'!$CU$2:$DF$250,205,0)</f>
        <v>0</v>
      </c>
      <c r="DI39" s="106">
        <f>+HLOOKUP($C39,'NEW CAR'!$CU$2:$DF$250,206,0)</f>
        <v>0</v>
      </c>
      <c r="DJ39" s="106">
        <f>+HLOOKUP($C39,'NEW CAR'!$CU$2:$DF$250,207,0)</f>
        <v>0</v>
      </c>
      <c r="DK39" s="106">
        <f>+HLOOKUP($C39,'NEW CAR'!$CU$2:$DF$250,209,0)</f>
        <v>0</v>
      </c>
      <c r="DL39" s="106">
        <f>+HLOOKUP($C39,'NEW CAR'!$CU$2:$DF$250,210,0)</f>
        <v>0</v>
      </c>
      <c r="DM39" s="106">
        <f>+HLOOKUP($C39,'NEW CAR'!$CU$2:$DF$250,211,0)</f>
        <v>0</v>
      </c>
      <c r="DN39" s="106">
        <f>+HLOOKUP($C39,'NEW CAR'!$CU$2:$DF$250,212,0)</f>
        <v>0</v>
      </c>
      <c r="DO39" s="106">
        <f>+HLOOKUP($C39,'NEW CAR'!$CU$2:$DF$250,214,0)</f>
        <v>0</v>
      </c>
      <c r="DP39" s="106">
        <f>+HLOOKUP($C39,'NEW CAR'!$CU$2:$DF$250,215,0)</f>
        <v>0</v>
      </c>
      <c r="DQ39" s="106">
        <f>+HLOOKUP($C39,'NEW CAR'!$CU$2:$DF$250,219,0)</f>
        <v>0</v>
      </c>
      <c r="DR39" s="106">
        <f>+HLOOKUP($C39,'NEW CAR'!$CU$2:$DF$250,220,0)</f>
        <v>0</v>
      </c>
      <c r="DS39" s="106">
        <f>+HLOOKUP($C39,'NEW CAR'!$CU$2:$DF$250,221,0)</f>
        <v>0</v>
      </c>
      <c r="DT39" s="106">
        <f>+HLOOKUP($C39,'NEW CAR'!$CU$2:$DF$250,223,0)</f>
        <v>0</v>
      </c>
      <c r="DU39" s="106">
        <f>+HLOOKUP($C39,'NEW CAR'!$CU$2:$DF$250,224,0)</f>
        <v>0</v>
      </c>
      <c r="DV39" s="106">
        <f>+HLOOKUP($C39,'NEW CAR'!$CU$2:$DF$250,225,0)</f>
        <v>0</v>
      </c>
      <c r="DW39" s="106">
        <f>+HLOOKUP($C39,'NEW CAR'!$CU$2:$DF$250,227,0)</f>
        <v>0</v>
      </c>
      <c r="DX39" s="106">
        <f>+HLOOKUP($C39,'NEW CAR'!$CU$2:$DF$250,228,0)</f>
        <v>0</v>
      </c>
      <c r="DY39" s="106">
        <f>+HLOOKUP($C39,'NEW CAR'!$CU$2:$DF$250,236,0)</f>
        <v>0</v>
      </c>
      <c r="DZ39" s="106">
        <f>+HLOOKUP($C39,'NEW CAR'!$CU$2:$DF$250,237,0)</f>
        <v>0</v>
      </c>
      <c r="EA39" s="106">
        <f>+HLOOKUP($C39,'NEW CAR'!$CU$2:$DF$250,238,0)</f>
        <v>0</v>
      </c>
      <c r="EB39" s="106">
        <f>+HLOOKUP($C39,'NEW CAR'!$CU$2:$DF$250,240,0)</f>
        <v>0</v>
      </c>
    </row>
    <row r="40" spans="1:132" hidden="1">
      <c r="A40" t="s">
        <v>271</v>
      </c>
      <c r="B40" t="s">
        <v>270</v>
      </c>
      <c r="C40" s="117">
        <v>45931</v>
      </c>
      <c r="D40" s="106">
        <f>+HLOOKUP(C40,'NEW CAR'!$CU$2:$DF$250,6,0)/3.5%</f>
        <v>65021209.970000006</v>
      </c>
      <c r="E40" s="106">
        <f>+HLOOKUP(C40,'NEW CAR'!$CU$2:$DF$250,5,0)+HLOOKUP(C40,'NEW CAR'!$CU$2:$DF$250,26,0)+HLOOKUP(C40,'NEW CAR'!$CU$2:$DF$250,59,0)</f>
        <v>4055171.5128000006</v>
      </c>
      <c r="G40" s="106">
        <f>+HLOOKUP($C40,'NEW CAR'!$CU$2:$DF$250,76,0)</f>
        <v>58044</v>
      </c>
      <c r="H40" s="106">
        <f>+HLOOKUP($C40,'NEW CAR'!$CU$2:$DF$250,77,0)</f>
        <v>176664.45</v>
      </c>
      <c r="I40" s="106">
        <f>+HLOOKUP($C40,'NEW CAR'!$CU$2:$DF$250,78,0)</f>
        <v>0</v>
      </c>
      <c r="J40" s="106">
        <f>+HLOOKUP($C40,'NEW CAR'!$CU$2:$DF$250,79,0)</f>
        <v>203918.81</v>
      </c>
      <c r="K40" s="106">
        <f>+HLOOKUP($C40,'NEW CAR'!$CU$2:$DF$250,80,0)</f>
        <v>0</v>
      </c>
      <c r="L40" s="106">
        <f>+HLOOKUP($C40,'NEW CAR'!$CU$2:$DF$250,81,0)</f>
        <v>0</v>
      </c>
      <c r="M40" s="106">
        <f>+HLOOKUP($C40,'NEW CAR'!$CU$2:$DF$250,82,0)</f>
        <v>0</v>
      </c>
      <c r="N40" s="106">
        <f>+HLOOKUP($C40,'NEW CAR'!$CU$2:$DF$250,83,0)</f>
        <v>0</v>
      </c>
      <c r="O40" s="106">
        <f>+HLOOKUP($C40,'NEW CAR'!$CU$2:$DF$250,84,0)</f>
        <v>0</v>
      </c>
      <c r="P40" s="106">
        <f>+HLOOKUP($C40,'NEW CAR'!$CU$2:$DF$250,85,0)</f>
        <v>0</v>
      </c>
      <c r="Q40" s="106">
        <f>+HLOOKUP($C40,'NEW CAR'!$CU$2:$DF$250,87,0)</f>
        <v>670185.69999999995</v>
      </c>
      <c r="R40" s="106">
        <f>+HLOOKUP($C40,'NEW CAR'!$CU$2:$DF$250,90,0)</f>
        <v>0</v>
      </c>
      <c r="S40" s="106">
        <f>+HLOOKUP($C40,'NEW CAR'!$CU$2:$DF$250,91,0)</f>
        <v>0</v>
      </c>
      <c r="T40" s="106">
        <f>+HLOOKUP($C40,'NEW CAR'!$CU$2:$DF$250,92,0)</f>
        <v>165497.891</v>
      </c>
      <c r="U40" s="106">
        <f>+HLOOKUP($C40,'NEW CAR'!$CU$2:$DF$250,93,0)</f>
        <v>73594</v>
      </c>
      <c r="V40" s="106">
        <f>+HLOOKUP($C40,'NEW CAR'!$CU$2:$DF$250,94,0)</f>
        <v>0</v>
      </c>
      <c r="W40" s="106">
        <f>+HLOOKUP($C40,'NEW CAR'!$CU$2:$DF$250,95,0)</f>
        <v>104384.14</v>
      </c>
      <c r="X40" s="106">
        <f>+HLOOKUP($C40,'NEW CAR'!$CU$2:$DF$250,96,0)</f>
        <v>0</v>
      </c>
      <c r="Y40" s="106">
        <f>+HLOOKUP($C40,'NEW CAR'!$CU$2:$DF$250,97,0)</f>
        <v>113068.78</v>
      </c>
      <c r="Z40" s="106">
        <f>+HLOOKUP($C40,'NEW CAR'!$CU$2:$DF$250,98,0)</f>
        <v>0</v>
      </c>
      <c r="AA40" s="106">
        <f>+HLOOKUP($C40,'NEW CAR'!$CU$2:$DF$250,99,0)</f>
        <v>0</v>
      </c>
      <c r="AB40" s="106">
        <f>+HLOOKUP($C40,'NEW CAR'!$CU$2:$DF$250,100,0)</f>
        <v>52914.882580645157</v>
      </c>
      <c r="AC40" s="106">
        <f>+HLOOKUP($C40,'NEW CAR'!$CU$2:$DF$250,101,0)</f>
        <v>0</v>
      </c>
      <c r="AD40" s="106">
        <f>+HLOOKUP($C40,'NEW CAR'!$CU$2:$DF$250,104,0)</f>
        <v>0</v>
      </c>
      <c r="AE40" s="106">
        <f>+HLOOKUP($C40,'NEW CAR'!$CU$2:$DF$250,105,0)</f>
        <v>150174.788</v>
      </c>
      <c r="AF40" s="106">
        <f>+HLOOKUP($C40,'NEW CAR'!$CU$2:$DF$250,106,0)</f>
        <v>0</v>
      </c>
      <c r="AG40" s="106">
        <f>+HLOOKUP($C40,'NEW CAR'!$CU$2:$DF$250,107,0)</f>
        <v>283000</v>
      </c>
      <c r="AH40" s="106">
        <f>+HLOOKUP($C40,'NEW CAR'!$CU$2:$DF$250,108,0)</f>
        <v>17250</v>
      </c>
      <c r="AI40" s="106">
        <f>+HLOOKUP($C40,'NEW CAR'!$CU$2:$DF$250,109,0)</f>
        <v>205020.44</v>
      </c>
      <c r="AJ40" s="106">
        <f>+HLOOKUP($C40,'NEW CAR'!$CU$2:$DF$250,110,0)</f>
        <v>0</v>
      </c>
      <c r="AK40" s="106">
        <f>+HLOOKUP($C40,'NEW CAR'!$CU$2:$DF$250,111,0)</f>
        <v>0</v>
      </c>
      <c r="AL40" s="106">
        <f>+HLOOKUP($C40,'NEW CAR'!$CU$2:$DF$250,112,0)</f>
        <v>0</v>
      </c>
      <c r="AM40" s="106">
        <f>+HLOOKUP($C40,'NEW CAR'!$CU$2:$DF$250,116,0)</f>
        <v>383364</v>
      </c>
      <c r="AN40" s="106">
        <f>+HLOOKUP($C40,'NEW CAR'!$CU$2:$DF$250,117,0)</f>
        <v>55139.4</v>
      </c>
      <c r="AO40" s="106">
        <f>+HLOOKUP($C40,'NEW CAR'!$CU$2:$DF$250,118,0)</f>
        <v>9000</v>
      </c>
      <c r="AP40" s="106">
        <f>+HLOOKUP($C40,'NEW CAR'!$CU$2:$DF$250,119,0)</f>
        <v>131820.20000000001</v>
      </c>
      <c r="AQ40" s="106">
        <f>+HLOOKUP($C40,'NEW CAR'!$CU$2:$DF$250,120,0)</f>
        <v>35511.199999999997</v>
      </c>
      <c r="AR40" s="106">
        <f>+HLOOKUP($C40,'NEW CAR'!$CU$2:$DF$250,121,0)</f>
        <v>9445</v>
      </c>
      <c r="AS40" s="106">
        <f>+HLOOKUP($C40,'NEW CAR'!$CU$2:$DF$250,122,0)</f>
        <v>186422.2</v>
      </c>
      <c r="AT40" s="106">
        <f>+HLOOKUP($C40,'NEW CAR'!$CU$2:$DF$250,123,0)</f>
        <v>43454.504708333327</v>
      </c>
      <c r="AU40" s="106">
        <f>+HLOOKUP($C40,'NEW CAR'!$CU$2:$DF$250,124,0)</f>
        <v>2066.25</v>
      </c>
      <c r="AV40" s="106">
        <f>+HLOOKUP($C40,'NEW CAR'!$CU$2:$DF$250,125,0)</f>
        <v>83423.25</v>
      </c>
      <c r="AW40" s="106">
        <f>+HLOOKUP($C40,'NEW CAR'!$CU$2:$DF$250,126,0)</f>
        <v>18769.230769230773</v>
      </c>
      <c r="AX40" s="106">
        <f>+HLOOKUP($C40,'NEW CAR'!$CU$2:$DF$250,127,0)</f>
        <v>24574.999999999996</v>
      </c>
      <c r="AY40" s="106">
        <f>+HLOOKUP($C40,'NEW CAR'!$CU$2:$DF$250,129,0)</f>
        <v>0</v>
      </c>
      <c r="AZ40" s="106">
        <f>+HLOOKUP($C40,'NEW CAR'!$CU$2:$DF$250,130,0)</f>
        <v>0</v>
      </c>
      <c r="BA40" s="106">
        <f>+HLOOKUP($C40,'NEW CAR'!$CU$2:$DF$250,131,0)</f>
        <v>0</v>
      </c>
      <c r="BB40" s="106">
        <f>+HLOOKUP($C40,'NEW CAR'!$CU$2:$DF$250,133,0)</f>
        <v>0</v>
      </c>
      <c r="BC40" s="106">
        <f>+HLOOKUP($C40,'NEW CAR'!$CU$2:$DF$250,134,0)</f>
        <v>45518.994000000006</v>
      </c>
      <c r="BD40" s="106">
        <f>+HLOOKUP($C40,'NEW CAR'!$CU$2:$DF$250,135,0)</f>
        <v>0</v>
      </c>
      <c r="BE40" s="106">
        <f>+HLOOKUP($C40,'NEW CAR'!$CU$2:$DF$250,136,0)</f>
        <v>168405.55200000003</v>
      </c>
      <c r="BF40" s="106">
        <f>+HLOOKUP($C40,'NEW CAR'!$CU$2:$DF$250,138,0)</f>
        <v>9370.25</v>
      </c>
      <c r="BG40" s="106">
        <f>+HLOOKUP($C40,'NEW CAR'!$CU$2:$DF$250,139,0)</f>
        <v>13727.5</v>
      </c>
      <c r="BH40" s="106">
        <f>+HLOOKUP($C40,'NEW CAR'!$CU$2:$DF$250,140,0)</f>
        <v>23250</v>
      </c>
      <c r="BI40" s="106">
        <f>+HLOOKUP($C40,'NEW CAR'!$CU$2:$DF$250,141,0)</f>
        <v>0</v>
      </c>
      <c r="BJ40" s="106">
        <f>+HLOOKUP($C40,'NEW CAR'!$CU$2:$DF$250,142,0)</f>
        <v>0</v>
      </c>
      <c r="BK40" s="106">
        <f>+HLOOKUP($C40,'NEW CAR'!$CU$2:$DF$250,143,0)</f>
        <v>0</v>
      </c>
      <c r="BL40" s="106">
        <f>+HLOOKUP($C40,'NEW CAR'!$CU$2:$DF$250,144,0)</f>
        <v>12500</v>
      </c>
      <c r="BM40" s="106">
        <f>+HLOOKUP($C40,'NEW CAR'!$CU$2:$DF$250,146,0)</f>
        <v>0</v>
      </c>
      <c r="BN40" s="106">
        <f>+HLOOKUP($C40,'NEW CAR'!$CU$2:$DF$250,147,0)</f>
        <v>33554</v>
      </c>
      <c r="BO40" s="106">
        <f>+HLOOKUP($C40,'NEW CAR'!$CU$2:$DF$250,148,0)</f>
        <v>0</v>
      </c>
      <c r="BP40" s="106">
        <f>+HLOOKUP($C40,'NEW CAR'!$CU$2:$DF$250,150,0)</f>
        <v>41324.5</v>
      </c>
      <c r="BQ40" s="106">
        <f>+HLOOKUP($C40,'NEW CAR'!$CU$2:$DF$250,151,0)</f>
        <v>2480.5</v>
      </c>
      <c r="BR40" s="106">
        <f>+HLOOKUP($C40,'NEW CAR'!$CU$2:$DF$250,152,0)</f>
        <v>17500</v>
      </c>
      <c r="BS40" s="106">
        <f>+HLOOKUP($C40,'NEW CAR'!$CU$2:$DF$250,153,0)</f>
        <v>800</v>
      </c>
      <c r="BT40" s="106">
        <f>+HLOOKUP($C40,'NEW CAR'!$CU$2:$DF$250,157,0)</f>
        <v>295000</v>
      </c>
      <c r="BU40" s="106">
        <f>+HLOOKUP($C40,'NEW CAR'!$CU$2:$DF$250,158,0)</f>
        <v>0</v>
      </c>
      <c r="BV40" s="106">
        <f>+HLOOKUP($C40,'NEW CAR'!$CU$2:$DF$250,159,0)</f>
        <v>340.5</v>
      </c>
      <c r="BW40" s="106">
        <f>+HLOOKUP($C40,'NEW CAR'!$CU$2:$DF$250,160,0)</f>
        <v>19637.2</v>
      </c>
      <c r="BX40" s="106">
        <f>+HLOOKUP($C40,'NEW CAR'!$CU$2:$DF$250,161,0)</f>
        <v>28891</v>
      </c>
      <c r="BY40" s="106">
        <f>+HLOOKUP($C40,'NEW CAR'!$CU$2:$DF$250,164,0)</f>
        <v>0</v>
      </c>
      <c r="BZ40" s="106">
        <f>+HLOOKUP($C40,'NEW CAR'!$CU$2:$DF$250,165,0)</f>
        <v>0</v>
      </c>
      <c r="CA40" s="106">
        <f>+HLOOKUP($C40,'NEW CAR'!$CU$2:$DF$250,166,0)</f>
        <v>0</v>
      </c>
      <c r="CB40" s="106">
        <f>+HLOOKUP($C40,'NEW CAR'!$CU$2:$DF$250,167,0)</f>
        <v>0</v>
      </c>
      <c r="CC40" s="106">
        <f>+HLOOKUP($C40,'NEW CAR'!$CU$2:$DF$250,168,0)</f>
        <v>0</v>
      </c>
      <c r="CD40" s="106">
        <f>+HLOOKUP($C40,'NEW CAR'!$CU$2:$DF$250,169,0)</f>
        <v>0</v>
      </c>
      <c r="CE40" s="106">
        <f>+HLOOKUP($C40,'NEW CAR'!$CU$2:$DF$250,170,0)</f>
        <v>0</v>
      </c>
      <c r="CF40" s="106">
        <f>+HLOOKUP($C40,'NEW CAR'!$CU$2:$DF$250,172,0)</f>
        <v>18000</v>
      </c>
      <c r="CG40" s="106">
        <f>+HLOOKUP($C40,'NEW CAR'!$CU$2:$DF$250,173,0)</f>
        <v>0</v>
      </c>
      <c r="CH40" s="106">
        <f>+HLOOKUP($C40,'NEW CAR'!$CU$2:$DF$250,174,0)</f>
        <v>0</v>
      </c>
      <c r="CI40" s="106">
        <f>+HLOOKUP($C40,'NEW CAR'!$CU$2:$DF$250,175,0)</f>
        <v>0</v>
      </c>
      <c r="CJ40" s="106">
        <f>+HLOOKUP($C40,'NEW CAR'!$CU$2:$DF$250,176,0)</f>
        <v>2440.9</v>
      </c>
      <c r="CK40" s="106">
        <f>+HLOOKUP($C40,'NEW CAR'!$CU$2:$DF$250,178,0)</f>
        <v>65347.5</v>
      </c>
      <c r="CL40" s="106">
        <f>+HLOOKUP($C40,'NEW CAR'!$CU$2:$DF$250,179,0)</f>
        <v>0</v>
      </c>
      <c r="CM40" s="106">
        <f>+HLOOKUP($C40,'NEW CAR'!$CU$2:$DF$250,180,0)</f>
        <v>11900</v>
      </c>
      <c r="CN40" s="106">
        <f>+HLOOKUP($C40,'NEW CAR'!$CU$2:$DF$250,182,0)</f>
        <v>761.4</v>
      </c>
      <c r="CO40" s="106">
        <f>+HLOOKUP($C40,'NEW CAR'!$CU$2:$DF$250,183,0)</f>
        <v>10086.949999999999</v>
      </c>
      <c r="CP40" s="106">
        <f>+HLOOKUP($C40,'NEW CAR'!$CU$2:$DF$250,184,0)</f>
        <v>8646.9</v>
      </c>
      <c r="CQ40" s="106">
        <f>+HLOOKUP($C40,'NEW CAR'!$CU$2:$DF$250,185,0)</f>
        <v>0</v>
      </c>
      <c r="CR40" s="106">
        <f>+HLOOKUP($C40,'NEW CAR'!$CU$2:$DF$250,187,0)</f>
        <v>3124.7999999999997</v>
      </c>
      <c r="CS40" s="106">
        <f>+HLOOKUP($C40,'NEW CAR'!$CU$2:$DF$250,188,0)</f>
        <v>0</v>
      </c>
      <c r="CT40" s="106">
        <f>+HLOOKUP($C40,'NEW CAR'!$CU$2:$DF$250,189,0)</f>
        <v>0</v>
      </c>
      <c r="CU40" s="106">
        <f>+HLOOKUP($C40,'NEW CAR'!$CU$2:$DF$250,190,0)</f>
        <v>1249.95</v>
      </c>
      <c r="CV40" s="106">
        <f>+HLOOKUP($C40,'NEW CAR'!$CU$2:$DF$250,191,0)</f>
        <v>0</v>
      </c>
      <c r="CW40" s="106">
        <f>+HLOOKUP($C40,'NEW CAR'!$CU$2:$DF$250,193,0)</f>
        <v>6189</v>
      </c>
      <c r="CX40" s="106">
        <f>+HLOOKUP($C40,'NEW CAR'!$CU$2:$DF$250,194,0)</f>
        <v>977.25</v>
      </c>
      <c r="CY40" s="106">
        <f>+HLOOKUP($C40,'NEW CAR'!$CU$2:$DF$250,195,0)</f>
        <v>1375</v>
      </c>
      <c r="CZ40" s="106">
        <f>+HLOOKUP($C40,'NEW CAR'!$CU$2:$DF$250,196,0)</f>
        <v>0</v>
      </c>
      <c r="DA40" s="106">
        <f>+HLOOKUP($C40,'NEW CAR'!$CU$2:$DF$250,197,0)</f>
        <v>12827.234999999999</v>
      </c>
      <c r="DB40" s="106">
        <f>+HLOOKUP($C40,'NEW CAR'!$CU$2:$DF$250,198,0)</f>
        <v>10675.16</v>
      </c>
      <c r="DC40" s="106">
        <f>+HLOOKUP($C40,'NEW CAR'!$CU$2:$DF$250,199,0)</f>
        <v>1650.135</v>
      </c>
      <c r="DD40" s="106">
        <f>+HLOOKUP($C40,'NEW CAR'!$CU$2:$DF$250,200,0)</f>
        <v>80</v>
      </c>
      <c r="DE40" s="106">
        <f>+HLOOKUP($C40,'NEW CAR'!$CU$2:$DF$250,201,0)</f>
        <v>0</v>
      </c>
      <c r="DF40" s="106">
        <f>+HLOOKUP($C40,'NEW CAR'!$CU$2:$DF$250,202,0)</f>
        <v>0.6329999999999999</v>
      </c>
      <c r="DG40" s="106">
        <f>+HLOOKUP($C40,'NEW CAR'!$CU$2:$DF$250,203,0)</f>
        <v>-11.952</v>
      </c>
      <c r="DH40" s="106">
        <f>+HLOOKUP($C40,'NEW CAR'!$CU$2:$DF$250,205,0)</f>
        <v>65378</v>
      </c>
      <c r="DI40" s="106">
        <f>+HLOOKUP($C40,'NEW CAR'!$CU$2:$DF$250,206,0)</f>
        <v>3808</v>
      </c>
      <c r="DJ40" s="106">
        <f>+HLOOKUP($C40,'NEW CAR'!$CU$2:$DF$250,207,0)</f>
        <v>3691.05</v>
      </c>
      <c r="DK40" s="106">
        <f>+HLOOKUP($C40,'NEW CAR'!$CU$2:$DF$250,209,0)</f>
        <v>0</v>
      </c>
      <c r="DL40" s="106">
        <f>+HLOOKUP($C40,'NEW CAR'!$CU$2:$DF$250,210,0)</f>
        <v>0</v>
      </c>
      <c r="DM40" s="106">
        <f>+HLOOKUP($C40,'NEW CAR'!$CU$2:$DF$250,211,0)</f>
        <v>122842</v>
      </c>
      <c r="DN40" s="106">
        <f>+HLOOKUP($C40,'NEW CAR'!$CU$2:$DF$250,212,0)</f>
        <v>24000</v>
      </c>
      <c r="DO40" s="106">
        <f>+HLOOKUP($C40,'NEW CAR'!$CU$2:$DF$250,214,0)</f>
        <v>0</v>
      </c>
      <c r="DP40" s="106">
        <f>+HLOOKUP($C40,'NEW CAR'!$CU$2:$DF$250,215,0)</f>
        <v>100</v>
      </c>
      <c r="DQ40" s="106">
        <f>+HLOOKUP($C40,'NEW CAR'!$CU$2:$DF$250,219,0)</f>
        <v>0</v>
      </c>
      <c r="DR40" s="106">
        <f>+HLOOKUP($C40,'NEW CAR'!$CU$2:$DF$250,220,0)</f>
        <v>116224.40000000001</v>
      </c>
      <c r="DS40" s="106">
        <f>+HLOOKUP($C40,'NEW CAR'!$CU$2:$DF$250,221,0)</f>
        <v>218341.33999999997</v>
      </c>
      <c r="DT40" s="106">
        <f>+HLOOKUP($C40,'NEW CAR'!$CU$2:$DF$250,223,0)</f>
        <v>20385.683999999997</v>
      </c>
      <c r="DU40" s="106">
        <f>+HLOOKUP($C40,'NEW CAR'!$CU$2:$DF$250,224,0)</f>
        <v>0</v>
      </c>
      <c r="DV40" s="106">
        <f>+HLOOKUP($C40,'NEW CAR'!$CU$2:$DF$250,225,0)</f>
        <v>0</v>
      </c>
      <c r="DW40" s="106">
        <f>+HLOOKUP($C40,'NEW CAR'!$CU$2:$DF$250,227,0)</f>
        <v>0</v>
      </c>
      <c r="DX40" s="106">
        <f>+HLOOKUP($C40,'NEW CAR'!$CU$2:$DF$250,228,0)</f>
        <v>1763.55</v>
      </c>
      <c r="DY40" s="106">
        <f>+HLOOKUP($C40,'NEW CAR'!$CU$2:$DF$250,236,0)</f>
        <v>0</v>
      </c>
      <c r="DZ40" s="106">
        <f>+HLOOKUP($C40,'NEW CAR'!$CU$2:$DF$250,237,0)</f>
        <v>136621.21095000001</v>
      </c>
      <c r="EA40" s="106">
        <f>+HLOOKUP($C40,'NEW CAR'!$CU$2:$DF$250,238,0)</f>
        <v>0</v>
      </c>
      <c r="EB40" s="106">
        <f>+HLOOKUP($C40,'NEW CAR'!$CU$2:$DF$250,240,0)</f>
        <v>433516.25836428563</v>
      </c>
    </row>
    <row r="41" spans="1:132" hidden="1">
      <c r="A41" t="s">
        <v>271</v>
      </c>
      <c r="B41" t="s">
        <v>270</v>
      </c>
      <c r="C41" s="117">
        <v>45901</v>
      </c>
      <c r="D41" s="106">
        <f>+HLOOKUP(C41,'NEW CAR'!$CU$2:$DF$250,6,0)/3.5%</f>
        <v>79059790.789999992</v>
      </c>
      <c r="E41" s="106">
        <f>+HLOOKUP(C41,'NEW CAR'!$CU$2:$DF$250,5,0)+HLOOKUP(C41,'NEW CAR'!$CU$2:$DF$250,26,0)+HLOOKUP(C41,'NEW CAR'!$CU$2:$DF$250,59,0)</f>
        <v>5348478.9620600007</v>
      </c>
      <c r="G41" s="106">
        <f>+HLOOKUP($C41,'NEW CAR'!$CU$2:$DF$250,76,0)</f>
        <v>127576.47</v>
      </c>
      <c r="H41" s="106">
        <f>+HLOOKUP($C41,'NEW CAR'!$CU$2:$DF$250,77,0)</f>
        <v>154402.23999999999</v>
      </c>
      <c r="I41" s="106">
        <f>+HLOOKUP($C41,'NEW CAR'!$CU$2:$DF$250,78,0)</f>
        <v>0</v>
      </c>
      <c r="J41" s="106">
        <f>+HLOOKUP($C41,'NEW CAR'!$CU$2:$DF$250,79,0)</f>
        <v>28776.95</v>
      </c>
      <c r="K41" s="106">
        <f>+HLOOKUP($C41,'NEW CAR'!$CU$2:$DF$250,80,0)</f>
        <v>0</v>
      </c>
      <c r="L41" s="106">
        <f>+HLOOKUP($C41,'NEW CAR'!$CU$2:$DF$250,81,0)</f>
        <v>0</v>
      </c>
      <c r="M41" s="106">
        <f>+HLOOKUP($C41,'NEW CAR'!$CU$2:$DF$250,82,0)</f>
        <v>0</v>
      </c>
      <c r="N41" s="106">
        <f>+HLOOKUP($C41,'NEW CAR'!$CU$2:$DF$250,83,0)</f>
        <v>0</v>
      </c>
      <c r="O41" s="106">
        <f>+HLOOKUP($C41,'NEW CAR'!$CU$2:$DF$250,84,0)</f>
        <v>0</v>
      </c>
      <c r="P41" s="106">
        <f>+HLOOKUP($C41,'NEW CAR'!$CU$2:$DF$250,85,0)</f>
        <v>0</v>
      </c>
      <c r="Q41" s="106">
        <f>+HLOOKUP($C41,'NEW CAR'!$CU$2:$DF$250,87,0)</f>
        <v>56523</v>
      </c>
      <c r="R41" s="106">
        <f>+HLOOKUP($C41,'NEW CAR'!$CU$2:$DF$250,90,0)</f>
        <v>0</v>
      </c>
      <c r="S41" s="106">
        <f>+HLOOKUP($C41,'NEW CAR'!$CU$2:$DF$250,91,0)</f>
        <v>28887.25333333333</v>
      </c>
      <c r="T41" s="106">
        <f>+HLOOKUP($C41,'NEW CAR'!$CU$2:$DF$250,92,0)</f>
        <v>161118.70000000001</v>
      </c>
      <c r="U41" s="106">
        <f>+HLOOKUP($C41,'NEW CAR'!$CU$2:$DF$250,93,0)</f>
        <v>8500</v>
      </c>
      <c r="V41" s="106">
        <f>+HLOOKUP($C41,'NEW CAR'!$CU$2:$DF$250,94,0)</f>
        <v>0</v>
      </c>
      <c r="W41" s="106">
        <f>+HLOOKUP($C41,'NEW CAR'!$CU$2:$DF$250,95,0)</f>
        <v>17282.8</v>
      </c>
      <c r="X41" s="106">
        <f>+HLOOKUP($C41,'NEW CAR'!$CU$2:$DF$250,96,0)</f>
        <v>26747.7</v>
      </c>
      <c r="Y41" s="106">
        <f>+HLOOKUP($C41,'NEW CAR'!$CU$2:$DF$250,97,0)</f>
        <v>27225.02</v>
      </c>
      <c r="Z41" s="106">
        <f>+HLOOKUP($C41,'NEW CAR'!$CU$2:$DF$250,98,0)</f>
        <v>0</v>
      </c>
      <c r="AA41" s="106">
        <f>+HLOOKUP($C41,'NEW CAR'!$CU$2:$DF$250,99,0)</f>
        <v>0</v>
      </c>
      <c r="AB41" s="106">
        <f>+HLOOKUP($C41,'NEW CAR'!$CU$2:$DF$250,100,0)</f>
        <v>60973.64</v>
      </c>
      <c r="AC41" s="106">
        <f>+HLOOKUP($C41,'NEW CAR'!$CU$2:$DF$250,101,0)</f>
        <v>0</v>
      </c>
      <c r="AD41" s="106">
        <f>+HLOOKUP($C41,'NEW CAR'!$CU$2:$DF$250,104,0)</f>
        <v>0</v>
      </c>
      <c r="AE41" s="106">
        <f>+HLOOKUP($C41,'NEW CAR'!$CU$2:$DF$250,105,0)</f>
        <v>93556.46</v>
      </c>
      <c r="AF41" s="106">
        <f>+HLOOKUP($C41,'NEW CAR'!$CU$2:$DF$250,106,0)</f>
        <v>0</v>
      </c>
      <c r="AG41" s="106">
        <f>+HLOOKUP($C41,'NEW CAR'!$CU$2:$DF$250,107,0)</f>
        <v>275774</v>
      </c>
      <c r="AH41" s="106">
        <f>+HLOOKUP($C41,'NEW CAR'!$CU$2:$DF$250,108,0)</f>
        <v>51582</v>
      </c>
      <c r="AI41" s="106">
        <f>+HLOOKUP($C41,'NEW CAR'!$CU$2:$DF$250,109,0)</f>
        <v>31291.524000000001</v>
      </c>
      <c r="AJ41" s="106">
        <f>+HLOOKUP($C41,'NEW CAR'!$CU$2:$DF$250,110,0)</f>
        <v>0</v>
      </c>
      <c r="AK41" s="106">
        <f>+HLOOKUP($C41,'NEW CAR'!$CU$2:$DF$250,111,0)</f>
        <v>0</v>
      </c>
      <c r="AL41" s="106">
        <f>+HLOOKUP($C41,'NEW CAR'!$CU$2:$DF$250,112,0)</f>
        <v>0</v>
      </c>
      <c r="AM41" s="106">
        <f>+HLOOKUP($C41,'NEW CAR'!$CU$2:$DF$250,116,0)</f>
        <v>341809</v>
      </c>
      <c r="AN41" s="106">
        <f>+HLOOKUP($C41,'NEW CAR'!$CU$2:$DF$250,117,0)</f>
        <v>50680</v>
      </c>
      <c r="AO41" s="106">
        <f>+HLOOKUP($C41,'NEW CAR'!$CU$2:$DF$250,118,0)</f>
        <v>8935</v>
      </c>
      <c r="AP41" s="106">
        <f>+HLOOKUP($C41,'NEW CAR'!$CU$2:$DF$250,119,0)</f>
        <v>117866</v>
      </c>
      <c r="AQ41" s="106">
        <f>+HLOOKUP($C41,'NEW CAR'!$CU$2:$DF$250,120,0)</f>
        <v>27987</v>
      </c>
      <c r="AR41" s="106">
        <f>+HLOOKUP($C41,'NEW CAR'!$CU$2:$DF$250,121,0)</f>
        <v>8350</v>
      </c>
      <c r="AS41" s="106">
        <f>+HLOOKUP($C41,'NEW CAR'!$CU$2:$DF$250,122,0)</f>
        <v>223344</v>
      </c>
      <c r="AT41" s="106">
        <f>+HLOOKUP($C41,'NEW CAR'!$CU$2:$DF$250,123,0)</f>
        <v>43454.504708333327</v>
      </c>
      <c r="AU41" s="106">
        <f>+HLOOKUP($C41,'NEW CAR'!$CU$2:$DF$250,124,0)</f>
        <v>2066.25</v>
      </c>
      <c r="AV41" s="106">
        <f>+HLOOKUP($C41,'NEW CAR'!$CU$2:$DF$250,125,0)</f>
        <v>92067</v>
      </c>
      <c r="AW41" s="106">
        <f>+HLOOKUP($C41,'NEW CAR'!$CU$2:$DF$250,126,0)</f>
        <v>18769.230769230773</v>
      </c>
      <c r="AX41" s="106">
        <f>+HLOOKUP($C41,'NEW CAR'!$CU$2:$DF$250,127,0)</f>
        <v>24574.999999999996</v>
      </c>
      <c r="AY41" s="106">
        <f>+HLOOKUP($C41,'NEW CAR'!$CU$2:$DF$250,129,0)</f>
        <v>8572.5</v>
      </c>
      <c r="AZ41" s="106">
        <f>+HLOOKUP($C41,'NEW CAR'!$CU$2:$DF$250,130,0)</f>
        <v>0</v>
      </c>
      <c r="BA41" s="106">
        <f>+HLOOKUP($C41,'NEW CAR'!$CU$2:$DF$250,131,0)</f>
        <v>0</v>
      </c>
      <c r="BB41" s="106">
        <f>+HLOOKUP($C41,'NEW CAR'!$CU$2:$DF$250,133,0)</f>
        <v>0</v>
      </c>
      <c r="BC41" s="106">
        <f>+HLOOKUP($C41,'NEW CAR'!$CU$2:$DF$250,134,0)</f>
        <v>50964.71</v>
      </c>
      <c r="BD41" s="106">
        <f>+HLOOKUP($C41,'NEW CAR'!$CU$2:$DF$250,135,0)</f>
        <v>0</v>
      </c>
      <c r="BE41" s="106">
        <f>+HLOOKUP($C41,'NEW CAR'!$CU$2:$DF$250,136,0)</f>
        <v>0</v>
      </c>
      <c r="BF41" s="106">
        <f>+HLOOKUP($C41,'NEW CAR'!$CU$2:$DF$250,138,0)</f>
        <v>11142.75</v>
      </c>
      <c r="BG41" s="106">
        <f>+HLOOKUP($C41,'NEW CAR'!$CU$2:$DF$250,139,0)</f>
        <v>2458</v>
      </c>
      <c r="BH41" s="106">
        <f>+HLOOKUP($C41,'NEW CAR'!$CU$2:$DF$250,140,0)</f>
        <v>23250</v>
      </c>
      <c r="BI41" s="106">
        <f>+HLOOKUP($C41,'NEW CAR'!$CU$2:$DF$250,141,0)</f>
        <v>0</v>
      </c>
      <c r="BJ41" s="106">
        <f>+HLOOKUP($C41,'NEW CAR'!$CU$2:$DF$250,142,0)</f>
        <v>0</v>
      </c>
      <c r="BK41" s="106">
        <f>+HLOOKUP($C41,'NEW CAR'!$CU$2:$DF$250,143,0)</f>
        <v>723.5</v>
      </c>
      <c r="BL41" s="106">
        <f>+HLOOKUP($C41,'NEW CAR'!$CU$2:$DF$250,144,0)</f>
        <v>22207.5</v>
      </c>
      <c r="BM41" s="106">
        <f>+HLOOKUP($C41,'NEW CAR'!$CU$2:$DF$250,146,0)</f>
        <v>0</v>
      </c>
      <c r="BN41" s="106">
        <f>+HLOOKUP($C41,'NEW CAR'!$CU$2:$DF$250,147,0)</f>
        <v>15897</v>
      </c>
      <c r="BO41" s="106">
        <f>+HLOOKUP($C41,'NEW CAR'!$CU$2:$DF$250,148,0)</f>
        <v>0</v>
      </c>
      <c r="BP41" s="106">
        <f>+HLOOKUP($C41,'NEW CAR'!$CU$2:$DF$250,150,0)</f>
        <v>41246.5</v>
      </c>
      <c r="BQ41" s="106">
        <f>+HLOOKUP($C41,'NEW CAR'!$CU$2:$DF$250,151,0)</f>
        <v>2480.5</v>
      </c>
      <c r="BR41" s="106">
        <f>+HLOOKUP($C41,'NEW CAR'!$CU$2:$DF$250,152,0)</f>
        <v>17500</v>
      </c>
      <c r="BS41" s="106">
        <f>+HLOOKUP($C41,'NEW CAR'!$CU$2:$DF$250,153,0)</f>
        <v>800</v>
      </c>
      <c r="BT41" s="106">
        <f>+HLOOKUP($C41,'NEW CAR'!$CU$2:$DF$250,157,0)</f>
        <v>102480</v>
      </c>
      <c r="BU41" s="106">
        <f>+HLOOKUP($C41,'NEW CAR'!$CU$2:$DF$250,158,0)</f>
        <v>0</v>
      </c>
      <c r="BV41" s="106">
        <f>+HLOOKUP($C41,'NEW CAR'!$CU$2:$DF$250,159,0)</f>
        <v>340.5</v>
      </c>
      <c r="BW41" s="106">
        <f>+HLOOKUP($C41,'NEW CAR'!$CU$2:$DF$250,160,0)</f>
        <v>22542.5</v>
      </c>
      <c r="BX41" s="106">
        <f>+HLOOKUP($C41,'NEW CAR'!$CU$2:$DF$250,161,0)</f>
        <v>151020</v>
      </c>
      <c r="BY41" s="106">
        <f>+HLOOKUP($C41,'NEW CAR'!$CU$2:$DF$250,164,0)</f>
        <v>0</v>
      </c>
      <c r="BZ41" s="106">
        <f>+HLOOKUP($C41,'NEW CAR'!$CU$2:$DF$250,165,0)</f>
        <v>0</v>
      </c>
      <c r="CA41" s="106">
        <f>+HLOOKUP($C41,'NEW CAR'!$CU$2:$DF$250,166,0)</f>
        <v>0</v>
      </c>
      <c r="CB41" s="106">
        <f>+HLOOKUP($C41,'NEW CAR'!$CU$2:$DF$250,167,0)</f>
        <v>0</v>
      </c>
      <c r="CC41" s="106">
        <f>+HLOOKUP($C41,'NEW CAR'!$CU$2:$DF$250,168,0)</f>
        <v>0</v>
      </c>
      <c r="CD41" s="106">
        <f>+HLOOKUP($C41,'NEW CAR'!$CU$2:$DF$250,169,0)</f>
        <v>0</v>
      </c>
      <c r="CE41" s="106">
        <f>+HLOOKUP($C41,'NEW CAR'!$CU$2:$DF$250,170,0)</f>
        <v>0</v>
      </c>
      <c r="CF41" s="106">
        <f>+HLOOKUP($C41,'NEW CAR'!$CU$2:$DF$250,172,0)</f>
        <v>18000</v>
      </c>
      <c r="CG41" s="106">
        <f>+HLOOKUP($C41,'NEW CAR'!$CU$2:$DF$250,173,0)</f>
        <v>0</v>
      </c>
      <c r="CH41" s="106">
        <f>+HLOOKUP($C41,'NEW CAR'!$CU$2:$DF$250,174,0)</f>
        <v>0</v>
      </c>
      <c r="CI41" s="106">
        <f>+HLOOKUP($C41,'NEW CAR'!$CU$2:$DF$250,175,0)</f>
        <v>0</v>
      </c>
      <c r="CJ41" s="106">
        <f>+HLOOKUP($C41,'NEW CAR'!$CU$2:$DF$250,176,0)</f>
        <v>2440.9</v>
      </c>
      <c r="CK41" s="106">
        <f>+HLOOKUP($C41,'NEW CAR'!$CU$2:$DF$250,178,0)</f>
        <v>51557.5</v>
      </c>
      <c r="CL41" s="106">
        <f>+HLOOKUP($C41,'NEW CAR'!$CU$2:$DF$250,179,0)</f>
        <v>0</v>
      </c>
      <c r="CM41" s="106">
        <f>+HLOOKUP($C41,'NEW CAR'!$CU$2:$DF$250,180,0)</f>
        <v>15400</v>
      </c>
      <c r="CN41" s="106">
        <f>+HLOOKUP($C41,'NEW CAR'!$CU$2:$DF$250,182,0)</f>
        <v>761.4</v>
      </c>
      <c r="CO41" s="106">
        <f>+HLOOKUP($C41,'NEW CAR'!$CU$2:$DF$250,183,0)</f>
        <v>8957.15</v>
      </c>
      <c r="CP41" s="106">
        <f>+HLOOKUP($C41,'NEW CAR'!$CU$2:$DF$250,184,0)</f>
        <v>10790.4</v>
      </c>
      <c r="CQ41" s="106">
        <f>+HLOOKUP($C41,'NEW CAR'!$CU$2:$DF$250,185,0)</f>
        <v>0</v>
      </c>
      <c r="CR41" s="106">
        <f>+HLOOKUP($C41,'NEW CAR'!$CU$2:$DF$250,187,0)</f>
        <v>3124.7999999999997</v>
      </c>
      <c r="CS41" s="106">
        <f>+HLOOKUP($C41,'NEW CAR'!$CU$2:$DF$250,188,0)</f>
        <v>0</v>
      </c>
      <c r="CT41" s="106">
        <f>+HLOOKUP($C41,'NEW CAR'!$CU$2:$DF$250,189,0)</f>
        <v>0</v>
      </c>
      <c r="CU41" s="106">
        <f>+HLOOKUP($C41,'NEW CAR'!$CU$2:$DF$250,190,0)</f>
        <v>0</v>
      </c>
      <c r="CV41" s="106">
        <f>+HLOOKUP($C41,'NEW CAR'!$CU$2:$DF$250,191,0)</f>
        <v>0</v>
      </c>
      <c r="CW41" s="106">
        <f>+HLOOKUP($C41,'NEW CAR'!$CU$2:$DF$250,193,0)</f>
        <v>6189</v>
      </c>
      <c r="CX41" s="106">
        <f>+HLOOKUP($C41,'NEW CAR'!$CU$2:$DF$250,194,0)</f>
        <v>393.3</v>
      </c>
      <c r="CY41" s="106">
        <f>+HLOOKUP($C41,'NEW CAR'!$CU$2:$DF$250,195,0)</f>
        <v>1428.1</v>
      </c>
      <c r="CZ41" s="106">
        <f>+HLOOKUP($C41,'NEW CAR'!$CU$2:$DF$250,196,0)</f>
        <v>0</v>
      </c>
      <c r="DA41" s="106">
        <f>+HLOOKUP($C41,'NEW CAR'!$CU$2:$DF$250,197,0)</f>
        <v>10744.695</v>
      </c>
      <c r="DB41" s="106">
        <f>+HLOOKUP($C41,'NEW CAR'!$CU$2:$DF$250,198,0)</f>
        <v>200</v>
      </c>
      <c r="DC41" s="106">
        <f>+HLOOKUP($C41,'NEW CAR'!$CU$2:$DF$250,199,0)</f>
        <v>892.93</v>
      </c>
      <c r="DD41" s="106">
        <f>+HLOOKUP($C41,'NEW CAR'!$CU$2:$DF$250,200,0)</f>
        <v>0</v>
      </c>
      <c r="DE41" s="106">
        <f>+HLOOKUP($C41,'NEW CAR'!$CU$2:$DF$250,201,0)</f>
        <v>0</v>
      </c>
      <c r="DF41" s="106">
        <f>+HLOOKUP($C41,'NEW CAR'!$CU$2:$DF$250,202,0)</f>
        <v>-0.61399999999999999</v>
      </c>
      <c r="DG41" s="106">
        <f>+HLOOKUP($C41,'NEW CAR'!$CU$2:$DF$250,203,0)</f>
        <v>-9.9</v>
      </c>
      <c r="DH41" s="106">
        <f>+HLOOKUP($C41,'NEW CAR'!$CU$2:$DF$250,205,0)</f>
        <v>49980</v>
      </c>
      <c r="DI41" s="106">
        <f>+HLOOKUP($C41,'NEW CAR'!$CU$2:$DF$250,206,0)</f>
        <v>0</v>
      </c>
      <c r="DJ41" s="106">
        <f>+HLOOKUP($C41,'NEW CAR'!$CU$2:$DF$250,207,0)</f>
        <v>3249.5455000000002</v>
      </c>
      <c r="DK41" s="106">
        <f>+HLOOKUP($C41,'NEW CAR'!$CU$2:$DF$250,209,0)</f>
        <v>0</v>
      </c>
      <c r="DL41" s="106">
        <f>+HLOOKUP($C41,'NEW CAR'!$CU$2:$DF$250,210,0)</f>
        <v>0</v>
      </c>
      <c r="DM41" s="106">
        <f>+HLOOKUP($C41,'NEW CAR'!$CU$2:$DF$250,211,0)</f>
        <v>122842</v>
      </c>
      <c r="DN41" s="106">
        <f>+HLOOKUP($C41,'NEW CAR'!$CU$2:$DF$250,212,0)</f>
        <v>24000</v>
      </c>
      <c r="DO41" s="106">
        <f>+HLOOKUP($C41,'NEW CAR'!$CU$2:$DF$250,214,0)</f>
        <v>0</v>
      </c>
      <c r="DP41" s="106">
        <f>+HLOOKUP($C41,'NEW CAR'!$CU$2:$DF$250,215,0)</f>
        <v>925</v>
      </c>
      <c r="DQ41" s="106">
        <f>+HLOOKUP($C41,'NEW CAR'!$CU$2:$DF$250,219,0)</f>
        <v>0</v>
      </c>
      <c r="DR41" s="106">
        <f>+HLOOKUP($C41,'NEW CAR'!$CU$2:$DF$250,220,0)</f>
        <v>120098.40000000001</v>
      </c>
      <c r="DS41" s="106">
        <f>+HLOOKUP($C41,'NEW CAR'!$CU$2:$DF$250,221,0)</f>
        <v>216300.37200000003</v>
      </c>
      <c r="DT41" s="106">
        <f>+HLOOKUP($C41,'NEW CAR'!$CU$2:$DF$250,223,0)</f>
        <v>15682.523999999999</v>
      </c>
      <c r="DU41" s="106">
        <f>+HLOOKUP($C41,'NEW CAR'!$CU$2:$DF$250,224,0)</f>
        <v>0</v>
      </c>
      <c r="DV41" s="106">
        <f>+HLOOKUP($C41,'NEW CAR'!$CU$2:$DF$250,225,0)</f>
        <v>0</v>
      </c>
      <c r="DW41" s="106">
        <f>+HLOOKUP($C41,'NEW CAR'!$CU$2:$DF$250,227,0)</f>
        <v>0</v>
      </c>
      <c r="DX41" s="106">
        <f>+HLOOKUP($C41,'NEW CAR'!$CU$2:$DF$250,228,0)</f>
        <v>247.35</v>
      </c>
      <c r="DY41" s="106">
        <f>+HLOOKUP($C41,'NEW CAR'!$CU$2:$DF$250,236,0)</f>
        <v>0</v>
      </c>
      <c r="DZ41" s="106">
        <f>+HLOOKUP($C41,'NEW CAR'!$CU$2:$DF$250,237,0)</f>
        <v>138594.08115000001</v>
      </c>
      <c r="EA41" s="106">
        <f>+HLOOKUP($C41,'NEW CAR'!$CU$2:$DF$250,238,0)</f>
        <v>0</v>
      </c>
      <c r="EB41" s="106">
        <f>+HLOOKUP($C41,'NEW CAR'!$CU$2:$DF$250,240,0)</f>
        <v>433516.25836428563</v>
      </c>
    </row>
    <row r="42" spans="1:132" hidden="1">
      <c r="A42" t="s">
        <v>271</v>
      </c>
      <c r="B42" t="s">
        <v>270</v>
      </c>
      <c r="C42" s="117">
        <v>45870</v>
      </c>
      <c r="D42" s="106">
        <f>+HLOOKUP(C42,'NEW CAR'!$CU$2:$DF$250,6,0)/3.5%</f>
        <v>95297885.714285702</v>
      </c>
      <c r="E42" s="106">
        <f>+HLOOKUP(C42,'NEW CAR'!$CU$2:$DF$250,5,0)+HLOOKUP(C42,'NEW CAR'!$CU$2:$DF$250,26,0)+HLOOKUP(C42,'NEW CAR'!$CU$2:$DF$250,59,0)</f>
        <v>4652505.0154999997</v>
      </c>
      <c r="G42" s="106">
        <f>+HLOOKUP($C42,'NEW CAR'!$CU$2:$DF$250,76,0)</f>
        <v>50014</v>
      </c>
      <c r="H42" s="106">
        <f>+HLOOKUP($C42,'NEW CAR'!$CU$2:$DF$250,77,0)</f>
        <v>195084.25</v>
      </c>
      <c r="I42" s="106">
        <f>+HLOOKUP($C42,'NEW CAR'!$CU$2:$DF$250,78,0)</f>
        <v>0</v>
      </c>
      <c r="J42" s="106">
        <f>+HLOOKUP($C42,'NEW CAR'!$CU$2:$DF$250,79,0)</f>
        <v>11489.96</v>
      </c>
      <c r="K42" s="106">
        <f>+HLOOKUP($C42,'NEW CAR'!$CU$2:$DF$250,80,0)</f>
        <v>0</v>
      </c>
      <c r="L42" s="106">
        <f>+HLOOKUP($C42,'NEW CAR'!$CU$2:$DF$250,81,0)</f>
        <v>0</v>
      </c>
      <c r="M42" s="106">
        <f>+HLOOKUP($C42,'NEW CAR'!$CU$2:$DF$250,82,0)</f>
        <v>0</v>
      </c>
      <c r="N42" s="106">
        <f>+HLOOKUP($C42,'NEW CAR'!$CU$2:$DF$250,83,0)</f>
        <v>0</v>
      </c>
      <c r="O42" s="106">
        <f>+HLOOKUP($C42,'NEW CAR'!$CU$2:$DF$250,84,0)</f>
        <v>0</v>
      </c>
      <c r="P42" s="106">
        <f>+HLOOKUP($C42,'NEW CAR'!$CU$2:$DF$250,85,0)</f>
        <v>0</v>
      </c>
      <c r="Q42" s="106">
        <f>+HLOOKUP($C42,'NEW CAR'!$CU$2:$DF$250,87,0)</f>
        <v>835082</v>
      </c>
      <c r="R42" s="106">
        <f>+HLOOKUP($C42,'NEW CAR'!$CU$2:$DF$250,90,0)</f>
        <v>0</v>
      </c>
      <c r="S42" s="106">
        <f>+HLOOKUP($C42,'NEW CAR'!$CU$2:$DF$250,91,0)</f>
        <v>0</v>
      </c>
      <c r="T42" s="106">
        <f>+HLOOKUP($C42,'NEW CAR'!$CU$2:$DF$250,92,0)</f>
        <v>202422.10800000001</v>
      </c>
      <c r="U42" s="106">
        <f>+HLOOKUP($C42,'NEW CAR'!$CU$2:$DF$250,93,0)</f>
        <v>0</v>
      </c>
      <c r="V42" s="106">
        <f>+HLOOKUP($C42,'NEW CAR'!$CU$2:$DF$250,94,0)</f>
        <v>0</v>
      </c>
      <c r="W42" s="106">
        <f>+HLOOKUP($C42,'NEW CAR'!$CU$2:$DF$250,95,0)</f>
        <v>86308.87</v>
      </c>
      <c r="X42" s="106">
        <f>+HLOOKUP($C42,'NEW CAR'!$CU$2:$DF$250,96,0)</f>
        <v>42348.55</v>
      </c>
      <c r="Y42" s="106">
        <f>+HLOOKUP($C42,'NEW CAR'!$CU$2:$DF$250,97,0)</f>
        <v>87509.5</v>
      </c>
      <c r="Z42" s="106">
        <f>+HLOOKUP($C42,'NEW CAR'!$CU$2:$DF$250,98,0)</f>
        <v>0</v>
      </c>
      <c r="AA42" s="106">
        <f>+HLOOKUP($C42,'NEW CAR'!$CU$2:$DF$250,99,0)</f>
        <v>0</v>
      </c>
      <c r="AB42" s="106">
        <f>+HLOOKUP($C42,'NEW CAR'!$CU$2:$DF$250,100,0)</f>
        <v>93359.77</v>
      </c>
      <c r="AC42" s="106">
        <f>+HLOOKUP($C42,'NEW CAR'!$CU$2:$DF$250,101,0)</f>
        <v>7368</v>
      </c>
      <c r="AD42" s="106">
        <f>+HLOOKUP($C42,'NEW CAR'!$CU$2:$DF$250,104,0)</f>
        <v>0</v>
      </c>
      <c r="AE42" s="106">
        <f>+HLOOKUP($C42,'NEW CAR'!$CU$2:$DF$250,105,0)</f>
        <v>169013.68400000001</v>
      </c>
      <c r="AF42" s="106">
        <f>+HLOOKUP($C42,'NEW CAR'!$CU$2:$DF$250,106,0)</f>
        <v>0</v>
      </c>
      <c r="AG42" s="106">
        <f>+HLOOKUP($C42,'NEW CAR'!$CU$2:$DF$250,107,0)</f>
        <v>387895</v>
      </c>
      <c r="AH42" s="106">
        <f>+HLOOKUP($C42,'NEW CAR'!$CU$2:$DF$250,108,0)</f>
        <v>11367.75</v>
      </c>
      <c r="AI42" s="106">
        <f>+HLOOKUP($C42,'NEW CAR'!$CU$2:$DF$250,109,0)</f>
        <v>73407.600000000006</v>
      </c>
      <c r="AJ42" s="106">
        <f>+HLOOKUP($C42,'NEW CAR'!$CU$2:$DF$250,110,0)</f>
        <v>0</v>
      </c>
      <c r="AK42" s="106">
        <f>+HLOOKUP($C42,'NEW CAR'!$CU$2:$DF$250,111,0)</f>
        <v>0</v>
      </c>
      <c r="AL42" s="106">
        <f>+HLOOKUP($C42,'NEW CAR'!$CU$2:$DF$250,112,0)</f>
        <v>0</v>
      </c>
      <c r="AM42" s="106">
        <f>+HLOOKUP($C42,'NEW CAR'!$CU$2:$DF$250,116,0)</f>
        <v>339403</v>
      </c>
      <c r="AN42" s="106">
        <f>+HLOOKUP($C42,'NEW CAR'!$CU$2:$DF$250,117,0)</f>
        <v>50348</v>
      </c>
      <c r="AO42" s="106">
        <f>+HLOOKUP($C42,'NEW CAR'!$CU$2:$DF$250,118,0)</f>
        <v>8758</v>
      </c>
      <c r="AP42" s="106">
        <f>+HLOOKUP($C42,'NEW CAR'!$CU$2:$DF$250,119,0)</f>
        <v>117029</v>
      </c>
      <c r="AQ42" s="106">
        <f>+HLOOKUP($C42,'NEW CAR'!$CU$2:$DF$250,120,0)</f>
        <v>27416</v>
      </c>
      <c r="AR42" s="106">
        <f>+HLOOKUP($C42,'NEW CAR'!$CU$2:$DF$250,121,0)</f>
        <v>8221</v>
      </c>
      <c r="AS42" s="106">
        <f>+HLOOKUP($C42,'NEW CAR'!$CU$2:$DF$250,122,0)</f>
        <v>166805</v>
      </c>
      <c r="AT42" s="106">
        <f>+HLOOKUP($C42,'NEW CAR'!$CU$2:$DF$250,123,0)</f>
        <v>43454.504708333327</v>
      </c>
      <c r="AU42" s="106">
        <f>+HLOOKUP($C42,'NEW CAR'!$CU$2:$DF$250,124,0)</f>
        <v>2066.25</v>
      </c>
      <c r="AV42" s="106">
        <f>+HLOOKUP($C42,'NEW CAR'!$CU$2:$DF$250,125,0)</f>
        <v>71517.42</v>
      </c>
      <c r="AW42" s="106">
        <f>+HLOOKUP($C42,'NEW CAR'!$CU$2:$DF$250,126,0)</f>
        <v>18769.230769230773</v>
      </c>
      <c r="AX42" s="106">
        <f>+HLOOKUP($C42,'NEW CAR'!$CU$2:$DF$250,127,0)</f>
        <v>24574.999999999996</v>
      </c>
      <c r="AY42" s="106">
        <f>+HLOOKUP($C42,'NEW CAR'!$CU$2:$DF$250,129,0)</f>
        <v>0</v>
      </c>
      <c r="AZ42" s="106">
        <f>+HLOOKUP($C42,'NEW CAR'!$CU$2:$DF$250,130,0)</f>
        <v>0</v>
      </c>
      <c r="BA42" s="106">
        <f>+HLOOKUP($C42,'NEW CAR'!$CU$2:$DF$250,131,0)</f>
        <v>0</v>
      </c>
      <c r="BB42" s="106">
        <f>+HLOOKUP($C42,'NEW CAR'!$CU$2:$DF$250,133,0)</f>
        <v>0</v>
      </c>
      <c r="BC42" s="106">
        <f>+HLOOKUP($C42,'NEW CAR'!$CU$2:$DF$250,134,0)</f>
        <v>26510.720000000001</v>
      </c>
      <c r="BD42" s="106">
        <f>+HLOOKUP($C42,'NEW CAR'!$CU$2:$DF$250,135,0)</f>
        <v>0</v>
      </c>
      <c r="BE42" s="106">
        <f>+HLOOKUP($C42,'NEW CAR'!$CU$2:$DF$250,136,0)</f>
        <v>0</v>
      </c>
      <c r="BF42" s="106">
        <f>+HLOOKUP($C42,'NEW CAR'!$CU$2:$DF$250,138,0)</f>
        <v>9339.75</v>
      </c>
      <c r="BG42" s="106">
        <f>+HLOOKUP($C42,'NEW CAR'!$CU$2:$DF$250,139,0)</f>
        <v>11702.5</v>
      </c>
      <c r="BH42" s="106">
        <f>+HLOOKUP($C42,'NEW CAR'!$CU$2:$DF$250,140,0)</f>
        <v>24750</v>
      </c>
      <c r="BI42" s="106">
        <f>+HLOOKUP($C42,'NEW CAR'!$CU$2:$DF$250,141,0)</f>
        <v>8474.5750000000007</v>
      </c>
      <c r="BJ42" s="106">
        <f>+HLOOKUP($C42,'NEW CAR'!$CU$2:$DF$250,142,0)</f>
        <v>0</v>
      </c>
      <c r="BK42" s="106">
        <f>+HLOOKUP($C42,'NEW CAR'!$CU$2:$DF$250,143,0)</f>
        <v>0</v>
      </c>
      <c r="BL42" s="106">
        <f>+HLOOKUP($C42,'NEW CAR'!$CU$2:$DF$250,144,0)</f>
        <v>0</v>
      </c>
      <c r="BM42" s="106">
        <f>+HLOOKUP($C42,'NEW CAR'!$CU$2:$DF$250,146,0)</f>
        <v>0</v>
      </c>
      <c r="BN42" s="106">
        <f>+HLOOKUP($C42,'NEW CAR'!$CU$2:$DF$250,147,0)</f>
        <v>6793</v>
      </c>
      <c r="BO42" s="106">
        <f>+HLOOKUP($C42,'NEW CAR'!$CU$2:$DF$250,148,0)</f>
        <v>0</v>
      </c>
      <c r="BP42" s="106">
        <f>+HLOOKUP($C42,'NEW CAR'!$CU$2:$DF$250,150,0)</f>
        <v>42677.5</v>
      </c>
      <c r="BQ42" s="106">
        <f>+HLOOKUP($C42,'NEW CAR'!$CU$2:$DF$250,151,0)</f>
        <v>2480.5</v>
      </c>
      <c r="BR42" s="106">
        <f>+HLOOKUP($C42,'NEW CAR'!$CU$2:$DF$250,152,0)</f>
        <v>17500</v>
      </c>
      <c r="BS42" s="106">
        <f>+HLOOKUP($C42,'NEW CAR'!$CU$2:$DF$250,153,0)</f>
        <v>800</v>
      </c>
      <c r="BT42" s="106">
        <f>+HLOOKUP($C42,'NEW CAR'!$CU$2:$DF$250,157,0)</f>
        <v>64957.42</v>
      </c>
      <c r="BU42" s="106">
        <f>+HLOOKUP($C42,'NEW CAR'!$CU$2:$DF$250,158,0)</f>
        <v>0</v>
      </c>
      <c r="BV42" s="106">
        <f>+HLOOKUP($C42,'NEW CAR'!$CU$2:$DF$250,159,0)</f>
        <v>340.5</v>
      </c>
      <c r="BW42" s="106">
        <f>+HLOOKUP($C42,'NEW CAR'!$CU$2:$DF$250,160,0)</f>
        <v>3303.8669999999997</v>
      </c>
      <c r="BX42" s="106">
        <f>+HLOOKUP($C42,'NEW CAR'!$CU$2:$DF$250,161,0)</f>
        <v>17650</v>
      </c>
      <c r="BY42" s="106">
        <f>+HLOOKUP($C42,'NEW CAR'!$CU$2:$DF$250,164,0)</f>
        <v>7952.3774999999996</v>
      </c>
      <c r="BZ42" s="106">
        <f>+HLOOKUP($C42,'NEW CAR'!$CU$2:$DF$250,165,0)</f>
        <v>0</v>
      </c>
      <c r="CA42" s="106">
        <f>+HLOOKUP($C42,'NEW CAR'!$CU$2:$DF$250,166,0)</f>
        <v>0</v>
      </c>
      <c r="CB42" s="106">
        <f>+HLOOKUP($C42,'NEW CAR'!$CU$2:$DF$250,167,0)</f>
        <v>0</v>
      </c>
      <c r="CC42" s="106">
        <f>+HLOOKUP($C42,'NEW CAR'!$CU$2:$DF$250,168,0)</f>
        <v>0</v>
      </c>
      <c r="CD42" s="106">
        <f>+HLOOKUP($C42,'NEW CAR'!$CU$2:$DF$250,169,0)</f>
        <v>0</v>
      </c>
      <c r="CE42" s="106">
        <f>+HLOOKUP($C42,'NEW CAR'!$CU$2:$DF$250,170,0)</f>
        <v>0</v>
      </c>
      <c r="CF42" s="106">
        <f>+HLOOKUP($C42,'NEW CAR'!$CU$2:$DF$250,172,0)</f>
        <v>18000</v>
      </c>
      <c r="CG42" s="106">
        <f>+HLOOKUP($C42,'NEW CAR'!$CU$2:$DF$250,173,0)</f>
        <v>0</v>
      </c>
      <c r="CH42" s="106">
        <f>+HLOOKUP($C42,'NEW CAR'!$CU$2:$DF$250,174,0)</f>
        <v>0</v>
      </c>
      <c r="CI42" s="106">
        <f>+HLOOKUP($C42,'NEW CAR'!$CU$2:$DF$250,175,0)</f>
        <v>0</v>
      </c>
      <c r="CJ42" s="106">
        <f>+HLOOKUP($C42,'NEW CAR'!$CU$2:$DF$250,176,0)</f>
        <v>2440.8505000000005</v>
      </c>
      <c r="CK42" s="106">
        <f>+HLOOKUP($C42,'NEW CAR'!$CU$2:$DF$250,178,0)</f>
        <v>48857.5</v>
      </c>
      <c r="CL42" s="106">
        <f>+HLOOKUP($C42,'NEW CAR'!$CU$2:$DF$250,179,0)</f>
        <v>0</v>
      </c>
      <c r="CM42" s="106">
        <f>+HLOOKUP($C42,'NEW CAR'!$CU$2:$DF$250,180,0)</f>
        <v>14000</v>
      </c>
      <c r="CN42" s="106">
        <f>+HLOOKUP($C42,'NEW CAR'!$CU$2:$DF$250,182,0)</f>
        <v>761.44949999999994</v>
      </c>
      <c r="CO42" s="106">
        <f>+HLOOKUP($C42,'NEW CAR'!$CU$2:$DF$250,183,0)</f>
        <v>9149.4499999999989</v>
      </c>
      <c r="CP42" s="106">
        <f>+HLOOKUP($C42,'NEW CAR'!$CU$2:$DF$250,184,0)</f>
        <v>2203.35</v>
      </c>
      <c r="CQ42" s="106">
        <f>+HLOOKUP($C42,'NEW CAR'!$CU$2:$DF$250,185,0)</f>
        <v>0</v>
      </c>
      <c r="CR42" s="106">
        <f>+HLOOKUP($C42,'NEW CAR'!$CU$2:$DF$250,187,0)</f>
        <v>3124.7999999999997</v>
      </c>
      <c r="CS42" s="106">
        <f>+HLOOKUP($C42,'NEW CAR'!$CU$2:$DF$250,188,0)</f>
        <v>0</v>
      </c>
      <c r="CT42" s="106">
        <f>+HLOOKUP($C42,'NEW CAR'!$CU$2:$DF$250,189,0)</f>
        <v>0</v>
      </c>
      <c r="CU42" s="106">
        <f>+HLOOKUP($C42,'NEW CAR'!$CU$2:$DF$250,190,0)</f>
        <v>0</v>
      </c>
      <c r="CV42" s="106">
        <f>+HLOOKUP($C42,'NEW CAR'!$CU$2:$DF$250,191,0)</f>
        <v>0</v>
      </c>
      <c r="CW42" s="106">
        <f>+HLOOKUP($C42,'NEW CAR'!$CU$2:$DF$250,193,0)</f>
        <v>6189</v>
      </c>
      <c r="CX42" s="106">
        <f>+HLOOKUP($C42,'NEW CAR'!$CU$2:$DF$250,194,0)</f>
        <v>352.2</v>
      </c>
      <c r="CY42" s="106">
        <f>+HLOOKUP($C42,'NEW CAR'!$CU$2:$DF$250,195,0)</f>
        <v>6375</v>
      </c>
      <c r="CZ42" s="106">
        <f>+HLOOKUP($C42,'NEW CAR'!$CU$2:$DF$250,196,0)</f>
        <v>0</v>
      </c>
      <c r="DA42" s="106">
        <f>+HLOOKUP($C42,'NEW CAR'!$CU$2:$DF$250,197,0)</f>
        <v>19773.244999999999</v>
      </c>
      <c r="DB42" s="106">
        <f>+HLOOKUP($C42,'NEW CAR'!$CU$2:$DF$250,198,0)</f>
        <v>2439.165</v>
      </c>
      <c r="DC42" s="106">
        <f>+HLOOKUP($C42,'NEW CAR'!$CU$2:$DF$250,199,0)</f>
        <v>150</v>
      </c>
      <c r="DD42" s="106">
        <f>+HLOOKUP($C42,'NEW CAR'!$CU$2:$DF$250,200,0)</f>
        <v>0</v>
      </c>
      <c r="DE42" s="106">
        <f>+HLOOKUP($C42,'NEW CAR'!$CU$2:$DF$250,201,0)</f>
        <v>0</v>
      </c>
      <c r="DF42" s="106">
        <f>+HLOOKUP($C42,'NEW CAR'!$CU$2:$DF$250,202,0)</f>
        <v>2.4779999999999998</v>
      </c>
      <c r="DG42" s="106">
        <f>+HLOOKUP($C42,'NEW CAR'!$CU$2:$DF$250,203,0)</f>
        <v>-4.2915000000000001</v>
      </c>
      <c r="DH42" s="106">
        <f>+HLOOKUP($C42,'NEW CAR'!$CU$2:$DF$250,205,0)</f>
        <v>49980</v>
      </c>
      <c r="DI42" s="106">
        <f>+HLOOKUP($C42,'NEW CAR'!$CU$2:$DF$250,206,0)</f>
        <v>0</v>
      </c>
      <c r="DJ42" s="106">
        <f>+HLOOKUP($C42,'NEW CAR'!$CU$2:$DF$250,207,0)</f>
        <v>3237.3139999999999</v>
      </c>
      <c r="DK42" s="106">
        <f>+HLOOKUP($C42,'NEW CAR'!$CU$2:$DF$250,209,0)</f>
        <v>0</v>
      </c>
      <c r="DL42" s="106">
        <f>+HLOOKUP($C42,'NEW CAR'!$CU$2:$DF$250,210,0)</f>
        <v>0</v>
      </c>
      <c r="DM42" s="106">
        <f>+HLOOKUP($C42,'NEW CAR'!$CU$2:$DF$250,211,0)</f>
        <v>116992.5</v>
      </c>
      <c r="DN42" s="106">
        <f>+HLOOKUP($C42,'NEW CAR'!$CU$2:$DF$250,212,0)</f>
        <v>24000</v>
      </c>
      <c r="DO42" s="106">
        <f>+HLOOKUP($C42,'NEW CAR'!$CU$2:$DF$250,214,0)</f>
        <v>0</v>
      </c>
      <c r="DP42" s="106">
        <f>+HLOOKUP($C42,'NEW CAR'!$CU$2:$DF$250,215,0)</f>
        <v>1070</v>
      </c>
      <c r="DQ42" s="106">
        <f>+HLOOKUP($C42,'NEW CAR'!$CU$2:$DF$250,219,0)</f>
        <v>0</v>
      </c>
      <c r="DR42" s="106">
        <f>+HLOOKUP($C42,'NEW CAR'!$CU$2:$DF$250,220,0)</f>
        <v>133442.80000000002</v>
      </c>
      <c r="DS42" s="106">
        <f>+HLOOKUP($C42,'NEW CAR'!$CU$2:$DF$250,221,0)</f>
        <v>155477.03200000001</v>
      </c>
      <c r="DT42" s="106">
        <f>+HLOOKUP($C42,'NEW CAR'!$CU$2:$DF$250,223,0)</f>
        <v>20263.108500000002</v>
      </c>
      <c r="DU42" s="106">
        <f>+HLOOKUP($C42,'NEW CAR'!$CU$2:$DF$250,224,0)</f>
        <v>0</v>
      </c>
      <c r="DV42" s="106">
        <f>+HLOOKUP($C42,'NEW CAR'!$CU$2:$DF$250,225,0)</f>
        <v>0</v>
      </c>
      <c r="DW42" s="106">
        <f>+HLOOKUP($C42,'NEW CAR'!$CU$2:$DF$250,227,0)</f>
        <v>0</v>
      </c>
      <c r="DX42" s="106">
        <f>+HLOOKUP($C42,'NEW CAR'!$CU$2:$DF$250,228,0)</f>
        <v>2797.0499999999997</v>
      </c>
      <c r="DY42" s="106">
        <f>+HLOOKUP($C42,'NEW CAR'!$CU$2:$DF$250,236,0)</f>
        <v>0</v>
      </c>
      <c r="DZ42" s="106">
        <f>+HLOOKUP($C42,'NEW CAR'!$CU$2:$DF$250,237,0)</f>
        <v>135881.38620000001</v>
      </c>
      <c r="EA42" s="106">
        <f>+HLOOKUP($C42,'NEW CAR'!$CU$2:$DF$250,238,0)</f>
        <v>0</v>
      </c>
      <c r="EB42" s="106">
        <f>+HLOOKUP($C42,'NEW CAR'!$CU$2:$DF$250,240,0)</f>
        <v>433516.25836428563</v>
      </c>
    </row>
    <row r="43" spans="1:132" hidden="1">
      <c r="A43" t="s">
        <v>271</v>
      </c>
      <c r="B43" t="s">
        <v>270</v>
      </c>
      <c r="C43" s="117">
        <v>45839</v>
      </c>
      <c r="D43" s="106">
        <f>+HLOOKUP(C43,'NEW CAR'!$CU$2:$DF$250,6,0)/3.5%</f>
        <v>98973605.428571418</v>
      </c>
      <c r="E43" s="106">
        <f>+HLOOKUP(C43,'NEW CAR'!$CU$2:$DF$250,5,0)+HLOOKUP(C43,'NEW CAR'!$CU$2:$DF$250,26,0)+HLOOKUP(C43,'NEW CAR'!$CU$2:$DF$250,59,0)</f>
        <v>6751409.9399999995</v>
      </c>
      <c r="G43" s="106">
        <f>+HLOOKUP($C43,'NEW CAR'!$CU$2:$DF$250,76,0)</f>
        <v>71677.378479853476</v>
      </c>
      <c r="H43" s="106">
        <f>+HLOOKUP($C43,'NEW CAR'!$CU$2:$DF$250,77,0)</f>
        <v>197649.01</v>
      </c>
      <c r="I43" s="106">
        <f>+HLOOKUP($C43,'NEW CAR'!$CU$2:$DF$250,78,0)</f>
        <v>0</v>
      </c>
      <c r="J43" s="106">
        <f>+HLOOKUP($C43,'NEW CAR'!$CU$2:$DF$250,79,0)</f>
        <v>71621.23</v>
      </c>
      <c r="K43" s="106">
        <f>+HLOOKUP($C43,'NEW CAR'!$CU$2:$DF$250,80,0)</f>
        <v>0</v>
      </c>
      <c r="L43" s="106">
        <f>+HLOOKUP($C43,'NEW CAR'!$CU$2:$DF$250,81,0)</f>
        <v>0</v>
      </c>
      <c r="M43" s="106">
        <f>+HLOOKUP($C43,'NEW CAR'!$CU$2:$DF$250,82,0)</f>
        <v>0</v>
      </c>
      <c r="N43" s="106">
        <f>+HLOOKUP($C43,'NEW CAR'!$CU$2:$DF$250,83,0)</f>
        <v>0</v>
      </c>
      <c r="O43" s="106">
        <f>+HLOOKUP($C43,'NEW CAR'!$CU$2:$DF$250,84,0)</f>
        <v>0</v>
      </c>
      <c r="P43" s="106">
        <f>+HLOOKUP($C43,'NEW CAR'!$CU$2:$DF$250,85,0)</f>
        <v>0</v>
      </c>
      <c r="Q43" s="106">
        <f>+HLOOKUP($C43,'NEW CAR'!$CU$2:$DF$250,87,0)</f>
        <v>411797</v>
      </c>
      <c r="R43" s="106">
        <f>+HLOOKUP($C43,'NEW CAR'!$CU$2:$DF$250,90,0)</f>
        <v>0</v>
      </c>
      <c r="S43" s="106">
        <f>+HLOOKUP($C43,'NEW CAR'!$CU$2:$DF$250,91,0)</f>
        <v>0</v>
      </c>
      <c r="T43" s="106">
        <f>+HLOOKUP($C43,'NEW CAR'!$CU$2:$DF$250,92,0)</f>
        <v>155250.91500000001</v>
      </c>
      <c r="U43" s="106">
        <f>+HLOOKUP($C43,'NEW CAR'!$CU$2:$DF$250,93,0)</f>
        <v>6500</v>
      </c>
      <c r="V43" s="106">
        <f>+HLOOKUP($C43,'NEW CAR'!$CU$2:$DF$250,94,0)</f>
        <v>0</v>
      </c>
      <c r="W43" s="106">
        <f>+HLOOKUP($C43,'NEW CAR'!$CU$2:$DF$250,95,0)</f>
        <v>59155.65</v>
      </c>
      <c r="X43" s="106">
        <f>+HLOOKUP($C43,'NEW CAR'!$CU$2:$DF$250,96,0)</f>
        <v>0</v>
      </c>
      <c r="Y43" s="106">
        <f>+HLOOKUP($C43,'NEW CAR'!$CU$2:$DF$250,97,0)</f>
        <v>65277.06</v>
      </c>
      <c r="Z43" s="106">
        <f>+HLOOKUP($C43,'NEW CAR'!$CU$2:$DF$250,98,0)</f>
        <v>0</v>
      </c>
      <c r="AA43" s="106">
        <f>+HLOOKUP($C43,'NEW CAR'!$CU$2:$DF$250,99,0)</f>
        <v>0</v>
      </c>
      <c r="AB43" s="106">
        <f>+HLOOKUP($C43,'NEW CAR'!$CU$2:$DF$250,100,0)</f>
        <v>70792.399999999994</v>
      </c>
      <c r="AC43" s="106">
        <f>+HLOOKUP($C43,'NEW CAR'!$CU$2:$DF$250,101,0)</f>
        <v>3535.72</v>
      </c>
      <c r="AD43" s="106">
        <f>+HLOOKUP($C43,'NEW CAR'!$CU$2:$DF$250,104,0)</f>
        <v>0</v>
      </c>
      <c r="AE43" s="106">
        <f>+HLOOKUP($C43,'NEW CAR'!$CU$2:$DF$250,105,0)</f>
        <v>111631.05600000001</v>
      </c>
      <c r="AF43" s="106">
        <f>+HLOOKUP($C43,'NEW CAR'!$CU$2:$DF$250,106,0)</f>
        <v>0</v>
      </c>
      <c r="AG43" s="106">
        <f>+HLOOKUP($C43,'NEW CAR'!$CU$2:$DF$250,107,0)</f>
        <v>223250</v>
      </c>
      <c r="AH43" s="106">
        <f>+HLOOKUP($C43,'NEW CAR'!$CU$2:$DF$250,108,0)</f>
        <v>55012</v>
      </c>
      <c r="AI43" s="106">
        <f>+HLOOKUP($C43,'NEW CAR'!$CU$2:$DF$250,109,0)</f>
        <v>36160</v>
      </c>
      <c r="AJ43" s="106">
        <f>+HLOOKUP($C43,'NEW CAR'!$CU$2:$DF$250,110,0)</f>
        <v>0</v>
      </c>
      <c r="AK43" s="106">
        <f>+HLOOKUP($C43,'NEW CAR'!$CU$2:$DF$250,111,0)</f>
        <v>0</v>
      </c>
      <c r="AL43" s="106">
        <f>+HLOOKUP($C43,'NEW CAR'!$CU$2:$DF$250,112,0)</f>
        <v>0</v>
      </c>
      <c r="AM43" s="106">
        <f>+HLOOKUP($C43,'NEW CAR'!$CU$2:$DF$250,116,0)</f>
        <v>326539</v>
      </c>
      <c r="AN43" s="106">
        <f>+HLOOKUP($C43,'NEW CAR'!$CU$2:$DF$250,117,0)</f>
        <v>48241</v>
      </c>
      <c r="AO43" s="106">
        <f>+HLOOKUP($C43,'NEW CAR'!$CU$2:$DF$250,118,0)</f>
        <v>8917</v>
      </c>
      <c r="AP43" s="106">
        <f>+HLOOKUP($C43,'NEW CAR'!$CU$2:$DF$250,119,0)</f>
        <v>111755</v>
      </c>
      <c r="AQ43" s="106">
        <f>+HLOOKUP($C43,'NEW CAR'!$CU$2:$DF$250,120,0)</f>
        <v>24520</v>
      </c>
      <c r="AR43" s="106">
        <f>+HLOOKUP($C43,'NEW CAR'!$CU$2:$DF$250,121,0)</f>
        <v>8300</v>
      </c>
      <c r="AS43" s="106">
        <f>+HLOOKUP($C43,'NEW CAR'!$CU$2:$DF$250,122,0)</f>
        <v>164105</v>
      </c>
      <c r="AT43" s="106">
        <f>+HLOOKUP($C43,'NEW CAR'!$CU$2:$DF$250,123,0)</f>
        <v>43454.504708333327</v>
      </c>
      <c r="AU43" s="106">
        <f>+HLOOKUP($C43,'NEW CAR'!$CU$2:$DF$250,124,0)</f>
        <v>2066.25</v>
      </c>
      <c r="AV43" s="106">
        <f>+HLOOKUP($C43,'NEW CAR'!$CU$2:$DF$250,125,0)</f>
        <v>91767.42</v>
      </c>
      <c r="AW43" s="106">
        <f>+HLOOKUP($C43,'NEW CAR'!$CU$2:$DF$250,126,0)</f>
        <v>18769.230769230773</v>
      </c>
      <c r="AX43" s="106">
        <f>+HLOOKUP($C43,'NEW CAR'!$CU$2:$DF$250,127,0)</f>
        <v>24574.999999999996</v>
      </c>
      <c r="AY43" s="106">
        <f>+HLOOKUP($C43,'NEW CAR'!$CU$2:$DF$250,129,0)</f>
        <v>1000</v>
      </c>
      <c r="AZ43" s="106">
        <f>+HLOOKUP($C43,'NEW CAR'!$CU$2:$DF$250,130,0)</f>
        <v>0</v>
      </c>
      <c r="BA43" s="106">
        <f>+HLOOKUP($C43,'NEW CAR'!$CU$2:$DF$250,131,0)</f>
        <v>42592.800000000003</v>
      </c>
      <c r="BB43" s="106">
        <f>+HLOOKUP($C43,'NEW CAR'!$CU$2:$DF$250,133,0)</f>
        <v>0</v>
      </c>
      <c r="BC43" s="106">
        <f>+HLOOKUP($C43,'NEW CAR'!$CU$2:$DF$250,134,0)</f>
        <v>3531.2299999999896</v>
      </c>
      <c r="BD43" s="106">
        <f>+HLOOKUP($C43,'NEW CAR'!$CU$2:$DF$250,135,0)</f>
        <v>0</v>
      </c>
      <c r="BE43" s="106">
        <f>+HLOOKUP($C43,'NEW CAR'!$CU$2:$DF$250,136,0)</f>
        <v>68599.765499999994</v>
      </c>
      <c r="BF43" s="106">
        <f>+HLOOKUP($C43,'NEW CAR'!$CU$2:$DF$250,138,0)</f>
        <v>9857.8010273972595</v>
      </c>
      <c r="BG43" s="106">
        <f>+HLOOKUP($C43,'NEW CAR'!$CU$2:$DF$250,139,0)</f>
        <v>23580.035</v>
      </c>
      <c r="BH43" s="106">
        <f>+HLOOKUP($C43,'NEW CAR'!$CU$2:$DF$250,140,0)</f>
        <v>22500</v>
      </c>
      <c r="BI43" s="106">
        <f>+HLOOKUP($C43,'NEW CAR'!$CU$2:$DF$250,141,0)</f>
        <v>0</v>
      </c>
      <c r="BJ43" s="106">
        <f>+HLOOKUP($C43,'NEW CAR'!$CU$2:$DF$250,142,0)</f>
        <v>0</v>
      </c>
      <c r="BK43" s="106">
        <f>+HLOOKUP($C43,'NEW CAR'!$CU$2:$DF$250,143,0)</f>
        <v>0</v>
      </c>
      <c r="BL43" s="106">
        <f>+HLOOKUP($C43,'NEW CAR'!$CU$2:$DF$250,144,0)</f>
        <v>0</v>
      </c>
      <c r="BM43" s="106">
        <f>+HLOOKUP($C43,'NEW CAR'!$CU$2:$DF$250,146,0)</f>
        <v>0</v>
      </c>
      <c r="BN43" s="106">
        <f>+HLOOKUP($C43,'NEW CAR'!$CU$2:$DF$250,147,0)</f>
        <v>29041</v>
      </c>
      <c r="BO43" s="106">
        <f>+HLOOKUP($C43,'NEW CAR'!$CU$2:$DF$250,148,0)</f>
        <v>0</v>
      </c>
      <c r="BP43" s="106">
        <f>+HLOOKUP($C43,'NEW CAR'!$CU$2:$DF$250,150,0)</f>
        <v>50778</v>
      </c>
      <c r="BQ43" s="106">
        <f>+HLOOKUP($C43,'NEW CAR'!$CU$2:$DF$250,151,0)</f>
        <v>2480.5</v>
      </c>
      <c r="BR43" s="106">
        <f>+HLOOKUP($C43,'NEW CAR'!$CU$2:$DF$250,152,0)</f>
        <v>17500</v>
      </c>
      <c r="BS43" s="106">
        <f>+HLOOKUP($C43,'NEW CAR'!$CU$2:$DF$250,153,0)</f>
        <v>800</v>
      </c>
      <c r="BT43" s="106">
        <f>+HLOOKUP($C43,'NEW CAR'!$CU$2:$DF$250,157,0)</f>
        <v>0</v>
      </c>
      <c r="BU43" s="106">
        <f>+HLOOKUP($C43,'NEW CAR'!$CU$2:$DF$250,158,0)</f>
        <v>0</v>
      </c>
      <c r="BV43" s="106">
        <f>+HLOOKUP($C43,'NEW CAR'!$CU$2:$DF$250,159,0)</f>
        <v>340.277777777778</v>
      </c>
      <c r="BW43" s="106">
        <f>+HLOOKUP($C43,'NEW CAR'!$CU$2:$DF$250,160,0)</f>
        <v>0</v>
      </c>
      <c r="BX43" s="106">
        <f>+HLOOKUP($C43,'NEW CAR'!$CU$2:$DF$250,161,0)</f>
        <v>87012.31</v>
      </c>
      <c r="BY43" s="106">
        <f>+HLOOKUP($C43,'NEW CAR'!$CU$2:$DF$250,164,0)</f>
        <v>3811.2</v>
      </c>
      <c r="BZ43" s="106">
        <f>+HLOOKUP($C43,'NEW CAR'!$CU$2:$DF$250,165,0)</f>
        <v>0</v>
      </c>
      <c r="CA43" s="106">
        <f>+HLOOKUP($C43,'NEW CAR'!$CU$2:$DF$250,166,0)</f>
        <v>0</v>
      </c>
      <c r="CB43" s="106">
        <f>+HLOOKUP($C43,'NEW CAR'!$CU$2:$DF$250,167,0)</f>
        <v>0</v>
      </c>
      <c r="CC43" s="106">
        <f>+HLOOKUP($C43,'NEW CAR'!$CU$2:$DF$250,168,0)</f>
        <v>0</v>
      </c>
      <c r="CD43" s="106">
        <f>+HLOOKUP($C43,'NEW CAR'!$CU$2:$DF$250,169,0)</f>
        <v>1407.5295000000001</v>
      </c>
      <c r="CE43" s="106">
        <f>+HLOOKUP($C43,'NEW CAR'!$CU$2:$DF$250,170,0)</f>
        <v>0</v>
      </c>
      <c r="CF43" s="106">
        <f>+HLOOKUP($C43,'NEW CAR'!$CU$2:$DF$250,172,0)</f>
        <v>18000</v>
      </c>
      <c r="CG43" s="106">
        <f>+HLOOKUP($C43,'NEW CAR'!$CU$2:$DF$250,173,0)</f>
        <v>0</v>
      </c>
      <c r="CH43" s="106">
        <f>+HLOOKUP($C43,'NEW CAR'!$CU$2:$DF$250,174,0)</f>
        <v>0</v>
      </c>
      <c r="CI43" s="106">
        <f>+HLOOKUP($C43,'NEW CAR'!$CU$2:$DF$250,175,0)</f>
        <v>0</v>
      </c>
      <c r="CJ43" s="106">
        <f>+HLOOKUP($C43,'NEW CAR'!$CU$2:$DF$250,176,0)</f>
        <v>76540.734777777776</v>
      </c>
      <c r="CK43" s="106">
        <f>+HLOOKUP($C43,'NEW CAR'!$CU$2:$DF$250,178,0)</f>
        <v>74481.994999999995</v>
      </c>
      <c r="CL43" s="106">
        <f>+HLOOKUP($C43,'NEW CAR'!$CU$2:$DF$250,179,0)</f>
        <v>0</v>
      </c>
      <c r="CM43" s="106">
        <f>+HLOOKUP($C43,'NEW CAR'!$CU$2:$DF$250,180,0)</f>
        <v>10500</v>
      </c>
      <c r="CN43" s="106">
        <f>+HLOOKUP($C43,'NEW CAR'!$CU$2:$DF$250,182,0)</f>
        <v>761.44949999999994</v>
      </c>
      <c r="CO43" s="106">
        <f>+HLOOKUP($C43,'NEW CAR'!$CU$2:$DF$250,183,0)</f>
        <v>10688.88718131868</v>
      </c>
      <c r="CP43" s="106">
        <f>+HLOOKUP($C43,'NEW CAR'!$CU$2:$DF$250,184,0)</f>
        <v>9648.4680000000008</v>
      </c>
      <c r="CQ43" s="106">
        <f>+HLOOKUP($C43,'NEW CAR'!$CU$2:$DF$250,185,0)</f>
        <v>0</v>
      </c>
      <c r="CR43" s="106">
        <f>+HLOOKUP($C43,'NEW CAR'!$CU$2:$DF$250,187,0)</f>
        <v>3124.7999999999997</v>
      </c>
      <c r="CS43" s="106">
        <f>+HLOOKUP($C43,'NEW CAR'!$CU$2:$DF$250,188,0)</f>
        <v>2250</v>
      </c>
      <c r="CT43" s="106">
        <f>+HLOOKUP($C43,'NEW CAR'!$CU$2:$DF$250,189,0)</f>
        <v>0</v>
      </c>
      <c r="CU43" s="106">
        <f>+HLOOKUP($C43,'NEW CAR'!$CU$2:$DF$250,190,0)</f>
        <v>1249.95</v>
      </c>
      <c r="CV43" s="106">
        <f>+HLOOKUP($C43,'NEW CAR'!$CU$2:$DF$250,191,0)</f>
        <v>0</v>
      </c>
      <c r="CW43" s="106">
        <f>+HLOOKUP($C43,'NEW CAR'!$CU$2:$DF$250,193,0)</f>
        <v>6188.875</v>
      </c>
      <c r="CX43" s="106">
        <f>+HLOOKUP($C43,'NEW CAR'!$CU$2:$DF$250,194,0)</f>
        <v>1294.8940329218099</v>
      </c>
      <c r="CY43" s="106">
        <f>+HLOOKUP($C43,'NEW CAR'!$CU$2:$DF$250,195,0)</f>
        <v>1375.059</v>
      </c>
      <c r="CZ43" s="106">
        <f>+HLOOKUP($C43,'NEW CAR'!$CU$2:$DF$250,196,0)</f>
        <v>0</v>
      </c>
      <c r="DA43" s="106">
        <f>+HLOOKUP($C43,'NEW CAR'!$CU$2:$DF$250,197,0)</f>
        <v>13179.05</v>
      </c>
      <c r="DB43" s="106">
        <f>+HLOOKUP($C43,'NEW CAR'!$CU$2:$DF$250,198,0)</f>
        <v>976.255</v>
      </c>
      <c r="DC43" s="106">
        <f>+HLOOKUP($C43,'NEW CAR'!$CU$2:$DF$250,199,0)</f>
        <v>3165.91</v>
      </c>
      <c r="DD43" s="106">
        <f>+HLOOKUP($C43,'NEW CAR'!$CU$2:$DF$250,200,0)</f>
        <v>465.5</v>
      </c>
      <c r="DE43" s="106">
        <f>+HLOOKUP($C43,'NEW CAR'!$CU$2:$DF$250,201,0)</f>
        <v>1149</v>
      </c>
      <c r="DF43" s="106">
        <f>+HLOOKUP($C43,'NEW CAR'!$CU$2:$DF$250,202,0)</f>
        <v>3.1619999999999999</v>
      </c>
      <c r="DG43" s="106">
        <f>+HLOOKUP($C43,'NEW CAR'!$CU$2:$DF$250,203,0)</f>
        <v>43.243500000000004</v>
      </c>
      <c r="DH43" s="106">
        <f>+HLOOKUP($C43,'NEW CAR'!$CU$2:$DF$250,205,0)</f>
        <v>49979.916666666701</v>
      </c>
      <c r="DI43" s="106">
        <f>+HLOOKUP($C43,'NEW CAR'!$CU$2:$DF$250,206,0)</f>
        <v>0</v>
      </c>
      <c r="DJ43" s="106">
        <f>+HLOOKUP($C43,'NEW CAR'!$CU$2:$DF$250,207,0)</f>
        <v>3237.1041666666606</v>
      </c>
      <c r="DK43" s="106">
        <f>+HLOOKUP($C43,'NEW CAR'!$CU$2:$DF$250,209,0)</f>
        <v>0</v>
      </c>
      <c r="DL43" s="106">
        <f>+HLOOKUP($C43,'NEW CAR'!$CU$2:$DF$250,210,0)</f>
        <v>0</v>
      </c>
      <c r="DM43" s="106">
        <f>+HLOOKUP($C43,'NEW CAR'!$CU$2:$DF$250,211,0)</f>
        <v>116992.5</v>
      </c>
      <c r="DN43" s="106">
        <f>+HLOOKUP($C43,'NEW CAR'!$CU$2:$DF$250,212,0)</f>
        <v>24000</v>
      </c>
      <c r="DO43" s="106">
        <f>+HLOOKUP($C43,'NEW CAR'!$CU$2:$DF$250,214,0)</f>
        <v>0</v>
      </c>
      <c r="DP43" s="106">
        <f>+HLOOKUP($C43,'NEW CAR'!$CU$2:$DF$250,215,0)</f>
        <v>1350</v>
      </c>
      <c r="DQ43" s="106">
        <f>+HLOOKUP($C43,'NEW CAR'!$CU$2:$DF$250,219,0)</f>
        <v>0</v>
      </c>
      <c r="DR43" s="106">
        <f>+HLOOKUP($C43,'NEW CAR'!$CU$2:$DF$250,220,0)</f>
        <v>129568.80000000002</v>
      </c>
      <c r="DS43" s="106">
        <f>+HLOOKUP($C43,'NEW CAR'!$CU$2:$DF$250,221,0)</f>
        <v>116677.576</v>
      </c>
      <c r="DT43" s="106">
        <f>+HLOOKUP($C43,'NEW CAR'!$CU$2:$DF$250,223,0)</f>
        <v>19342.366499999996</v>
      </c>
      <c r="DU43" s="106">
        <f>+HLOOKUP($C43,'NEW CAR'!$CU$2:$DF$250,224,0)</f>
        <v>0</v>
      </c>
      <c r="DV43" s="106">
        <f>+HLOOKUP($C43,'NEW CAR'!$CU$2:$DF$250,225,0)</f>
        <v>0</v>
      </c>
      <c r="DW43" s="106">
        <f>+HLOOKUP($C43,'NEW CAR'!$CU$2:$DF$250,227,0)</f>
        <v>0</v>
      </c>
      <c r="DX43" s="106">
        <f>+HLOOKUP($C43,'NEW CAR'!$CU$2:$DF$250,228,0)</f>
        <v>0</v>
      </c>
      <c r="DY43" s="106">
        <f>+HLOOKUP($C43,'NEW CAR'!$CU$2:$DF$250,236,0)</f>
        <v>0</v>
      </c>
      <c r="DZ43" s="106">
        <f>+HLOOKUP($C43,'NEW CAR'!$CU$2:$DF$250,237,0)</f>
        <v>142354.86300000001</v>
      </c>
      <c r="EA43" s="106">
        <f>+HLOOKUP($C43,'NEW CAR'!$CU$2:$DF$250,238,0)</f>
        <v>0</v>
      </c>
      <c r="EB43" s="106">
        <f>+HLOOKUP($C43,'NEW CAR'!$CU$2:$DF$250,240,0)</f>
        <v>433516.25836428563</v>
      </c>
    </row>
    <row r="44" spans="1:132" hidden="1">
      <c r="A44" t="s">
        <v>271</v>
      </c>
      <c r="B44" t="s">
        <v>270</v>
      </c>
      <c r="C44" s="117">
        <v>45809</v>
      </c>
      <c r="D44" s="106">
        <f>+HLOOKUP(C44,'NEW CAR'!$CU$2:$DF$250,6,0)/3.5%</f>
        <v>43450457.142857142</v>
      </c>
      <c r="E44" s="106">
        <f>+HLOOKUP(C44,'NEW CAR'!$CU$2:$DF$250,5,0)+HLOOKUP(C44,'NEW CAR'!$CU$2:$DF$250,26,0)+HLOOKUP(C44,'NEW CAR'!$CU$2:$DF$250,59,0)</f>
        <v>2762828.7519999999</v>
      </c>
      <c r="G44" s="106">
        <f>+HLOOKUP($C44,'NEW CAR'!$CU$2:$DF$250,76,0)</f>
        <v>73461.710000000006</v>
      </c>
      <c r="H44" s="106">
        <f>+HLOOKUP($C44,'NEW CAR'!$CU$2:$DF$250,77,0)</f>
        <v>207779.42</v>
      </c>
      <c r="I44" s="106">
        <f>+HLOOKUP($C44,'NEW CAR'!$CU$2:$DF$250,78,0)</f>
        <v>0</v>
      </c>
      <c r="J44" s="106">
        <f>+HLOOKUP($C44,'NEW CAR'!$CU$2:$DF$250,79,0)</f>
        <v>163124.31</v>
      </c>
      <c r="K44" s="106">
        <f>+HLOOKUP($C44,'NEW CAR'!$CU$2:$DF$250,80,0)</f>
        <v>0</v>
      </c>
      <c r="L44" s="106">
        <f>+HLOOKUP($C44,'NEW CAR'!$CU$2:$DF$250,81,0)</f>
        <v>0</v>
      </c>
      <c r="M44" s="106">
        <f>+HLOOKUP($C44,'NEW CAR'!$CU$2:$DF$250,82,0)</f>
        <v>0</v>
      </c>
      <c r="N44" s="106">
        <f>+HLOOKUP($C44,'NEW CAR'!$CU$2:$DF$250,83,0)</f>
        <v>0</v>
      </c>
      <c r="O44" s="106">
        <f>+HLOOKUP($C44,'NEW CAR'!$CU$2:$DF$250,84,0)</f>
        <v>0</v>
      </c>
      <c r="P44" s="106">
        <f>+HLOOKUP($C44,'NEW CAR'!$CU$2:$DF$250,85,0)</f>
        <v>0</v>
      </c>
      <c r="Q44" s="106">
        <f>+HLOOKUP($C44,'NEW CAR'!$CU$2:$DF$250,87,0)</f>
        <v>134866</v>
      </c>
      <c r="R44" s="106">
        <f>+HLOOKUP($C44,'NEW CAR'!$CU$2:$DF$250,90,0)</f>
        <v>0</v>
      </c>
      <c r="S44" s="106">
        <f>+HLOOKUP($C44,'NEW CAR'!$CU$2:$DF$250,91,0)</f>
        <v>750</v>
      </c>
      <c r="T44" s="106">
        <f>+HLOOKUP($C44,'NEW CAR'!$CU$2:$DF$250,92,0)</f>
        <v>146703.75000000003</v>
      </c>
      <c r="U44" s="106">
        <f>+HLOOKUP($C44,'NEW CAR'!$CU$2:$DF$250,93,0)</f>
        <v>4000</v>
      </c>
      <c r="V44" s="106">
        <f>+HLOOKUP($C44,'NEW CAR'!$CU$2:$DF$250,94,0)</f>
        <v>0</v>
      </c>
      <c r="W44" s="106">
        <f>+HLOOKUP($C44,'NEW CAR'!$CU$2:$DF$250,95,0)</f>
        <v>87114.18</v>
      </c>
      <c r="X44" s="106">
        <f>+HLOOKUP($C44,'NEW CAR'!$CU$2:$DF$250,96,0)</f>
        <v>4320</v>
      </c>
      <c r="Y44" s="106">
        <f>+HLOOKUP($C44,'NEW CAR'!$CU$2:$DF$250,97,0)</f>
        <v>91605.260000000009</v>
      </c>
      <c r="Z44" s="106">
        <f>+HLOOKUP($C44,'NEW CAR'!$CU$2:$DF$250,98,0)</f>
        <v>0</v>
      </c>
      <c r="AA44" s="106">
        <f>+HLOOKUP($C44,'NEW CAR'!$CU$2:$DF$250,99,0)</f>
        <v>0</v>
      </c>
      <c r="AB44" s="106">
        <f>+HLOOKUP($C44,'NEW CAR'!$CU$2:$DF$250,100,0)</f>
        <v>87850.676000000007</v>
      </c>
      <c r="AC44" s="106">
        <f>+HLOOKUP($C44,'NEW CAR'!$CU$2:$DF$250,101,0)</f>
        <v>7368</v>
      </c>
      <c r="AD44" s="106">
        <f>+HLOOKUP($C44,'NEW CAR'!$CU$2:$DF$250,104,0)</f>
        <v>96611.801080000005</v>
      </c>
      <c r="AE44" s="106">
        <f>+HLOOKUP($C44,'NEW CAR'!$CU$2:$DF$250,105,0)</f>
        <v>154298.9</v>
      </c>
      <c r="AF44" s="106">
        <f>+HLOOKUP($C44,'NEW CAR'!$CU$2:$DF$250,106,0)</f>
        <v>0</v>
      </c>
      <c r="AG44" s="106">
        <f>+HLOOKUP($C44,'NEW CAR'!$CU$2:$DF$250,107,0)</f>
        <v>228750</v>
      </c>
      <c r="AH44" s="106">
        <f>+HLOOKUP($C44,'NEW CAR'!$CU$2:$DF$250,108,0)</f>
        <v>11520</v>
      </c>
      <c r="AI44" s="106">
        <f>+HLOOKUP($C44,'NEW CAR'!$CU$2:$DF$250,109,0)</f>
        <v>160564.79999999999</v>
      </c>
      <c r="AJ44" s="106">
        <f>+HLOOKUP($C44,'NEW CAR'!$CU$2:$DF$250,110,0)</f>
        <v>0</v>
      </c>
      <c r="AK44" s="106">
        <f>+HLOOKUP($C44,'NEW CAR'!$CU$2:$DF$250,111,0)</f>
        <v>0</v>
      </c>
      <c r="AL44" s="106">
        <f>+HLOOKUP($C44,'NEW CAR'!$CU$2:$DF$250,112,0)</f>
        <v>0</v>
      </c>
      <c r="AM44" s="106">
        <f>+HLOOKUP($C44,'NEW CAR'!$CU$2:$DF$250,116,0)</f>
        <v>319498</v>
      </c>
      <c r="AN44" s="106">
        <f>+HLOOKUP($C44,'NEW CAR'!$CU$2:$DF$250,117,0)</f>
        <v>50727</v>
      </c>
      <c r="AO44" s="106">
        <f>+HLOOKUP($C44,'NEW CAR'!$CU$2:$DF$250,118,0)</f>
        <v>8935</v>
      </c>
      <c r="AP44" s="106">
        <f>+HLOOKUP($C44,'NEW CAR'!$CU$2:$DF$250,119,0)</f>
        <v>11700</v>
      </c>
      <c r="AQ44" s="106">
        <f>+HLOOKUP($C44,'NEW CAR'!$CU$2:$DF$250,120,0)</f>
        <v>27987</v>
      </c>
      <c r="AR44" s="106">
        <f>+HLOOKUP($C44,'NEW CAR'!$CU$2:$DF$250,121,0)</f>
        <v>8350</v>
      </c>
      <c r="AS44" s="106">
        <f>+HLOOKUP($C44,'NEW CAR'!$CU$2:$DF$250,122,0)</f>
        <v>168028</v>
      </c>
      <c r="AT44" s="106">
        <f>+HLOOKUP($C44,'NEW CAR'!$CU$2:$DF$250,123,0)</f>
        <v>43454.504708333327</v>
      </c>
      <c r="AU44" s="106">
        <f>+HLOOKUP($C44,'NEW CAR'!$CU$2:$DF$250,124,0)</f>
        <v>2066.25</v>
      </c>
      <c r="AV44" s="106">
        <f>+HLOOKUP($C44,'NEW CAR'!$CU$2:$DF$250,125,0)</f>
        <v>51267.42</v>
      </c>
      <c r="AW44" s="106">
        <f>+HLOOKUP($C44,'NEW CAR'!$CU$2:$DF$250,126,0)</f>
        <v>18769.230769230773</v>
      </c>
      <c r="AX44" s="106">
        <f>+HLOOKUP($C44,'NEW CAR'!$CU$2:$DF$250,127,0)</f>
        <v>24574.999999999996</v>
      </c>
      <c r="AY44" s="106">
        <f>+HLOOKUP($C44,'NEW CAR'!$CU$2:$DF$250,129,0)</f>
        <v>0</v>
      </c>
      <c r="AZ44" s="106">
        <f>+HLOOKUP($C44,'NEW CAR'!$CU$2:$DF$250,130,0)</f>
        <v>0</v>
      </c>
      <c r="BA44" s="106">
        <f>+HLOOKUP($C44,'NEW CAR'!$CU$2:$DF$250,131,0)</f>
        <v>136000</v>
      </c>
      <c r="BB44" s="106">
        <f>+HLOOKUP($C44,'NEW CAR'!$CU$2:$DF$250,133,0)</f>
        <v>0</v>
      </c>
      <c r="BC44" s="106">
        <f>+HLOOKUP($C44,'NEW CAR'!$CU$2:$DF$250,134,0)</f>
        <v>167253.66999999998</v>
      </c>
      <c r="BD44" s="106">
        <f>+HLOOKUP($C44,'NEW CAR'!$CU$2:$DF$250,135,0)</f>
        <v>0</v>
      </c>
      <c r="BE44" s="106">
        <f>+HLOOKUP($C44,'NEW CAR'!$CU$2:$DF$250,136,0)</f>
        <v>0</v>
      </c>
      <c r="BF44" s="106">
        <f>+HLOOKUP($C44,'NEW CAR'!$CU$2:$DF$250,138,0)</f>
        <v>9339.8009999999995</v>
      </c>
      <c r="BG44" s="106">
        <f>+HLOOKUP($C44,'NEW CAR'!$CU$2:$DF$250,139,0)</f>
        <v>33237.300000000003</v>
      </c>
      <c r="BH44" s="106">
        <f>+HLOOKUP($C44,'NEW CAR'!$CU$2:$DF$250,140,0)</f>
        <v>22500</v>
      </c>
      <c r="BI44" s="106">
        <f>+HLOOKUP($C44,'NEW CAR'!$CU$2:$DF$250,141,0)</f>
        <v>0</v>
      </c>
      <c r="BJ44" s="106">
        <f>+HLOOKUP($C44,'NEW CAR'!$CU$2:$DF$250,142,0)</f>
        <v>0</v>
      </c>
      <c r="BK44" s="106">
        <f>+HLOOKUP($C44,'NEW CAR'!$CU$2:$DF$250,143,0)</f>
        <v>54386.214</v>
      </c>
      <c r="BL44" s="106">
        <f>+HLOOKUP($C44,'NEW CAR'!$CU$2:$DF$250,144,0)</f>
        <v>0</v>
      </c>
      <c r="BM44" s="106">
        <f>+HLOOKUP($C44,'NEW CAR'!$CU$2:$DF$250,146,0)</f>
        <v>0</v>
      </c>
      <c r="BN44" s="106">
        <f>+HLOOKUP($C44,'NEW CAR'!$CU$2:$DF$250,147,0)</f>
        <v>76569</v>
      </c>
      <c r="BO44" s="106">
        <f>+HLOOKUP($C44,'NEW CAR'!$CU$2:$DF$250,148,0)</f>
        <v>0</v>
      </c>
      <c r="BP44" s="106">
        <f>+HLOOKUP($C44,'NEW CAR'!$CU$2:$DF$250,150,0)</f>
        <v>42336</v>
      </c>
      <c r="BQ44" s="106">
        <f>+HLOOKUP($C44,'NEW CAR'!$CU$2:$DF$250,151,0)</f>
        <v>2480.5</v>
      </c>
      <c r="BR44" s="106">
        <f>+HLOOKUP($C44,'NEW CAR'!$CU$2:$DF$250,152,0)</f>
        <v>17500</v>
      </c>
      <c r="BS44" s="106">
        <f>+HLOOKUP($C44,'NEW CAR'!$CU$2:$DF$250,153,0)</f>
        <v>800</v>
      </c>
      <c r="BT44" s="106">
        <f>+HLOOKUP($C44,'NEW CAR'!$CU$2:$DF$250,157,0)</f>
        <v>0</v>
      </c>
      <c r="BU44" s="106">
        <f>+HLOOKUP($C44,'NEW CAR'!$CU$2:$DF$250,158,0)</f>
        <v>2224.4490000000001</v>
      </c>
      <c r="BV44" s="106">
        <f>+HLOOKUP($C44,'NEW CAR'!$CU$2:$DF$250,159,0)</f>
        <v>7003.75</v>
      </c>
      <c r="BW44" s="106">
        <f>+HLOOKUP($C44,'NEW CAR'!$CU$2:$DF$250,160,0)</f>
        <v>0</v>
      </c>
      <c r="BX44" s="106">
        <f>+HLOOKUP($C44,'NEW CAR'!$CU$2:$DF$250,161,0)</f>
        <v>3125</v>
      </c>
      <c r="BY44" s="106">
        <f>+HLOOKUP($C44,'NEW CAR'!$CU$2:$DF$250,164,0)</f>
        <v>6679.6754999999994</v>
      </c>
      <c r="BZ44" s="106">
        <f>+HLOOKUP($C44,'NEW CAR'!$CU$2:$DF$250,165,0)</f>
        <v>0</v>
      </c>
      <c r="CA44" s="106">
        <f>+HLOOKUP($C44,'NEW CAR'!$CU$2:$DF$250,166,0)</f>
        <v>0</v>
      </c>
      <c r="CB44" s="106">
        <f>+HLOOKUP($C44,'NEW CAR'!$CU$2:$DF$250,167,0)</f>
        <v>0</v>
      </c>
      <c r="CC44" s="106">
        <f>+HLOOKUP($C44,'NEW CAR'!$CU$2:$DF$250,168,0)</f>
        <v>0</v>
      </c>
      <c r="CD44" s="106">
        <f>+HLOOKUP($C44,'NEW CAR'!$CU$2:$DF$250,169,0)</f>
        <v>0</v>
      </c>
      <c r="CE44" s="106">
        <f>+HLOOKUP($C44,'NEW CAR'!$CU$2:$DF$250,170,0)</f>
        <v>0</v>
      </c>
      <c r="CF44" s="106">
        <f>+HLOOKUP($C44,'NEW CAR'!$CU$2:$DF$250,172,0)</f>
        <v>18000</v>
      </c>
      <c r="CG44" s="106">
        <f>+HLOOKUP($C44,'NEW CAR'!$CU$2:$DF$250,173,0)</f>
        <v>0</v>
      </c>
      <c r="CH44" s="106">
        <f>+HLOOKUP($C44,'NEW CAR'!$CU$2:$DF$250,174,0)</f>
        <v>0</v>
      </c>
      <c r="CI44" s="106">
        <f>+HLOOKUP($C44,'NEW CAR'!$CU$2:$DF$250,175,0)</f>
        <v>0</v>
      </c>
      <c r="CJ44" s="106">
        <f>+HLOOKUP($C44,'NEW CAR'!$CU$2:$DF$250,176,0)</f>
        <v>7968.2295000000004</v>
      </c>
      <c r="CK44" s="106">
        <f>+HLOOKUP($C44,'NEW CAR'!$CU$2:$DF$250,178,0)</f>
        <v>97267.5</v>
      </c>
      <c r="CL44" s="106">
        <f>+HLOOKUP($C44,'NEW CAR'!$CU$2:$DF$250,179,0)</f>
        <v>0</v>
      </c>
      <c r="CM44" s="106">
        <f>+HLOOKUP($C44,'NEW CAR'!$CU$2:$DF$250,180,0)</f>
        <v>5600</v>
      </c>
      <c r="CN44" s="106">
        <f>+HLOOKUP($C44,'NEW CAR'!$CU$2:$DF$250,182,0)</f>
        <v>761.44949999999994</v>
      </c>
      <c r="CO44" s="106">
        <f>+HLOOKUP($C44,'NEW CAR'!$CU$2:$DF$250,183,0)</f>
        <v>15185.655000000001</v>
      </c>
      <c r="CP44" s="106">
        <f>+HLOOKUP($C44,'NEW CAR'!$CU$2:$DF$250,184,0)</f>
        <v>9809.1689999999999</v>
      </c>
      <c r="CQ44" s="106">
        <f>+HLOOKUP($C44,'NEW CAR'!$CU$2:$DF$250,185,0)</f>
        <v>0</v>
      </c>
      <c r="CR44" s="106">
        <f>+HLOOKUP($C44,'NEW CAR'!$CU$2:$DF$250,187,0)</f>
        <v>3124.7999999999997</v>
      </c>
      <c r="CS44" s="106">
        <f>+HLOOKUP($C44,'NEW CAR'!$CU$2:$DF$250,188,0)</f>
        <v>0</v>
      </c>
      <c r="CT44" s="106">
        <f>+HLOOKUP($C44,'NEW CAR'!$CU$2:$DF$250,189,0)</f>
        <v>0</v>
      </c>
      <c r="CU44" s="106">
        <f>+HLOOKUP($C44,'NEW CAR'!$CU$2:$DF$250,190,0)</f>
        <v>1249.95</v>
      </c>
      <c r="CV44" s="106">
        <f>+HLOOKUP($C44,'NEW CAR'!$CU$2:$DF$250,191,0)</f>
        <v>0</v>
      </c>
      <c r="CW44" s="106">
        <f>+HLOOKUP($C44,'NEW CAR'!$CU$2:$DF$250,193,0)</f>
        <v>6188.875</v>
      </c>
      <c r="CX44" s="106">
        <f>+HLOOKUP($C44,'NEW CAR'!$CU$2:$DF$250,194,0)</f>
        <v>39.75</v>
      </c>
      <c r="CY44" s="106">
        <f>+HLOOKUP($C44,'NEW CAR'!$CU$2:$DF$250,195,0)</f>
        <v>1375.06</v>
      </c>
      <c r="CZ44" s="106">
        <f>+HLOOKUP($C44,'NEW CAR'!$CU$2:$DF$250,196,0)</f>
        <v>0</v>
      </c>
      <c r="DA44" s="106">
        <f>+HLOOKUP($C44,'NEW CAR'!$CU$2:$DF$250,197,0)</f>
        <v>58920.639999999999</v>
      </c>
      <c r="DB44" s="106">
        <f>+HLOOKUP($C44,'NEW CAR'!$CU$2:$DF$250,198,0)</f>
        <v>9412.0879999999997</v>
      </c>
      <c r="DC44" s="106">
        <f>+HLOOKUP($C44,'NEW CAR'!$CU$2:$DF$250,199,0)</f>
        <v>2618.5450000000001</v>
      </c>
      <c r="DD44" s="106">
        <f>+HLOOKUP($C44,'NEW CAR'!$CU$2:$DF$250,200,0)</f>
        <v>40</v>
      </c>
      <c r="DE44" s="106">
        <f>+HLOOKUP($C44,'NEW CAR'!$CU$2:$DF$250,201,0)</f>
        <v>0</v>
      </c>
      <c r="DF44" s="106">
        <f>+HLOOKUP($C44,'NEW CAR'!$CU$2:$DF$250,202,0)</f>
        <v>-0.61549999999999983</v>
      </c>
      <c r="DG44" s="106">
        <f>+HLOOKUP($C44,'NEW CAR'!$CU$2:$DF$250,203,0)</f>
        <v>-17.179500000000001</v>
      </c>
      <c r="DH44" s="106">
        <f>+HLOOKUP($C44,'NEW CAR'!$CU$2:$DF$250,205,0)</f>
        <v>49979.92</v>
      </c>
      <c r="DI44" s="106">
        <f>+HLOOKUP($C44,'NEW CAR'!$CU$2:$DF$250,206,0)</f>
        <v>0</v>
      </c>
      <c r="DJ44" s="106">
        <f>+HLOOKUP($C44,'NEW CAR'!$CU$2:$DF$250,207,0)</f>
        <v>3216.902</v>
      </c>
      <c r="DK44" s="106">
        <f>+HLOOKUP($C44,'NEW CAR'!$CU$2:$DF$250,209,0)</f>
        <v>0</v>
      </c>
      <c r="DL44" s="106">
        <f>+HLOOKUP($C44,'NEW CAR'!$CU$2:$DF$250,210,0)</f>
        <v>0</v>
      </c>
      <c r="DM44" s="106">
        <f>+HLOOKUP($C44,'NEW CAR'!$CU$2:$DF$250,211,0)</f>
        <v>116992.5</v>
      </c>
      <c r="DN44" s="106">
        <f>+HLOOKUP($C44,'NEW CAR'!$CU$2:$DF$250,212,0)</f>
        <v>24000</v>
      </c>
      <c r="DO44" s="106">
        <f>+HLOOKUP($C44,'NEW CAR'!$CU$2:$DF$250,214,0)</f>
        <v>0</v>
      </c>
      <c r="DP44" s="106">
        <f>+HLOOKUP($C44,'NEW CAR'!$CU$2:$DF$250,215,0)</f>
        <v>950</v>
      </c>
      <c r="DQ44" s="106">
        <f>+HLOOKUP($C44,'NEW CAR'!$CU$2:$DF$250,219,0)</f>
        <v>0</v>
      </c>
      <c r="DR44" s="106">
        <f>+HLOOKUP($C44,'NEW CAR'!$CU$2:$DF$250,220,0)</f>
        <v>133012.4</v>
      </c>
      <c r="DS44" s="106">
        <f>+HLOOKUP($C44,'NEW CAR'!$CU$2:$DF$250,221,0)</f>
        <v>128860.216</v>
      </c>
      <c r="DT44" s="106">
        <f>+HLOOKUP($C44,'NEW CAR'!$CU$2:$DF$250,223,0)</f>
        <v>17772.661500000002</v>
      </c>
      <c r="DU44" s="106">
        <f>+HLOOKUP($C44,'NEW CAR'!$CU$2:$DF$250,224,0)</f>
        <v>0</v>
      </c>
      <c r="DV44" s="106">
        <f>+HLOOKUP($C44,'NEW CAR'!$CU$2:$DF$250,225,0)</f>
        <v>0</v>
      </c>
      <c r="DW44" s="106">
        <f>+HLOOKUP($C44,'NEW CAR'!$CU$2:$DF$250,227,0)</f>
        <v>0</v>
      </c>
      <c r="DX44" s="106">
        <f>+HLOOKUP($C44,'NEW CAR'!$CU$2:$DF$250,228,0)</f>
        <v>4511.8499999999995</v>
      </c>
      <c r="DY44" s="106">
        <f>+HLOOKUP($C44,'NEW CAR'!$CU$2:$DF$250,236,0)</f>
        <v>0</v>
      </c>
      <c r="DZ44" s="106">
        <f>+HLOOKUP($C44,'NEW CAR'!$CU$2:$DF$250,237,0)</f>
        <v>152165.26394999999</v>
      </c>
      <c r="EA44" s="106">
        <f>+HLOOKUP($C44,'NEW CAR'!$CU$2:$DF$250,238,0)</f>
        <v>8495.5499999999993</v>
      </c>
      <c r="EB44" s="106">
        <f>+HLOOKUP($C44,'NEW CAR'!$CU$2:$DF$250,240,0)</f>
        <v>433516.25836428563</v>
      </c>
    </row>
    <row r="45" spans="1:132" hidden="1">
      <c r="A45" t="s">
        <v>271</v>
      </c>
      <c r="B45" t="s">
        <v>270</v>
      </c>
      <c r="C45" s="117">
        <v>45778</v>
      </c>
      <c r="D45" s="106">
        <f>+HLOOKUP(C45,'NEW CAR'!$CU$2:$DF$250,6,0)/3.5%</f>
        <v>85425828.571428567</v>
      </c>
      <c r="E45" s="106">
        <f>+HLOOKUP(C45,'NEW CAR'!$CU$2:$DF$250,5,0)+HLOOKUP(C45,'NEW CAR'!$CU$2:$DF$250,26,0)+HLOOKUP(C45,'NEW CAR'!$CU$2:$DF$250,59,0)</f>
        <v>5463764.8899999997</v>
      </c>
      <c r="G45" s="106">
        <f>+HLOOKUP($C45,'NEW CAR'!$CU$2:$DF$250,76,0)</f>
        <v>90641.7</v>
      </c>
      <c r="H45" s="106">
        <f>+HLOOKUP($C45,'NEW CAR'!$CU$2:$DF$250,77,0)</f>
        <v>175263.03</v>
      </c>
      <c r="I45" s="106">
        <f>+HLOOKUP($C45,'NEW CAR'!$CU$2:$DF$250,78,0)</f>
        <v>0</v>
      </c>
      <c r="J45" s="106">
        <f>+HLOOKUP($C45,'NEW CAR'!$CU$2:$DF$250,79,0)</f>
        <v>123010.91</v>
      </c>
      <c r="K45" s="106">
        <f>+HLOOKUP($C45,'NEW CAR'!$CU$2:$DF$250,80,0)</f>
        <v>0</v>
      </c>
      <c r="L45" s="106">
        <f>+HLOOKUP($C45,'NEW CAR'!$CU$2:$DF$250,81,0)</f>
        <v>0</v>
      </c>
      <c r="M45" s="106">
        <f>+HLOOKUP($C45,'NEW CAR'!$CU$2:$DF$250,82,0)</f>
        <v>0</v>
      </c>
      <c r="N45" s="106">
        <f>+HLOOKUP($C45,'NEW CAR'!$CU$2:$DF$250,83,0)</f>
        <v>23058</v>
      </c>
      <c r="O45" s="106">
        <f>+HLOOKUP($C45,'NEW CAR'!$CU$2:$DF$250,84,0)</f>
        <v>0</v>
      </c>
      <c r="P45" s="106">
        <f>+HLOOKUP($C45,'NEW CAR'!$CU$2:$DF$250,85,0)</f>
        <v>0</v>
      </c>
      <c r="Q45" s="106">
        <f>+HLOOKUP($C45,'NEW CAR'!$CU$2:$DF$250,87,0)</f>
        <v>471000</v>
      </c>
      <c r="R45" s="106">
        <f>+HLOOKUP($C45,'NEW CAR'!$CU$2:$DF$250,90,0)</f>
        <v>8000</v>
      </c>
      <c r="S45" s="106">
        <f>+HLOOKUP($C45,'NEW CAR'!$CU$2:$DF$250,91,0)</f>
        <v>4000</v>
      </c>
      <c r="T45" s="106">
        <f>+HLOOKUP($C45,'NEW CAR'!$CU$2:$DF$250,92,0)</f>
        <v>51044.800000000003</v>
      </c>
      <c r="U45" s="106">
        <f>+HLOOKUP($C45,'NEW CAR'!$CU$2:$DF$250,93,0)</f>
        <v>3000</v>
      </c>
      <c r="V45" s="106">
        <f>+HLOOKUP($C45,'NEW CAR'!$CU$2:$DF$250,94,0)</f>
        <v>0</v>
      </c>
      <c r="W45" s="106">
        <f>+HLOOKUP($C45,'NEW CAR'!$CU$2:$DF$250,95,0)</f>
        <v>89752.82</v>
      </c>
      <c r="X45" s="106">
        <f>+HLOOKUP($C45,'NEW CAR'!$CU$2:$DF$250,96,0)</f>
        <v>10409.780000000001</v>
      </c>
      <c r="Y45" s="106">
        <f>+HLOOKUP($C45,'NEW CAR'!$CU$2:$DF$250,97,0)</f>
        <v>83452.760000000009</v>
      </c>
      <c r="Z45" s="106">
        <f>+HLOOKUP($C45,'NEW CAR'!$CU$2:$DF$250,98,0)</f>
        <v>0</v>
      </c>
      <c r="AA45" s="106">
        <f>+HLOOKUP($C45,'NEW CAR'!$CU$2:$DF$250,99,0)</f>
        <v>0</v>
      </c>
      <c r="AB45" s="106">
        <f>+HLOOKUP($C45,'NEW CAR'!$CU$2:$DF$250,100,0)</f>
        <v>76890.17</v>
      </c>
      <c r="AC45" s="106">
        <f>+HLOOKUP($C45,'NEW CAR'!$CU$2:$DF$250,101,0)</f>
        <v>7368</v>
      </c>
      <c r="AD45" s="106">
        <f>+HLOOKUP($C45,'NEW CAR'!$CU$2:$DF$250,104,0)</f>
        <v>0</v>
      </c>
      <c r="AE45" s="106">
        <f>+HLOOKUP($C45,'NEW CAR'!$CU$2:$DF$250,105,0)</f>
        <v>130135.66000000002</v>
      </c>
      <c r="AF45" s="106">
        <f>+HLOOKUP($C45,'NEW CAR'!$CU$2:$DF$250,106,0)</f>
        <v>0</v>
      </c>
      <c r="AG45" s="106">
        <f>+HLOOKUP($C45,'NEW CAR'!$CU$2:$DF$250,107,0)</f>
        <v>91500</v>
      </c>
      <c r="AH45" s="106">
        <f>+HLOOKUP($C45,'NEW CAR'!$CU$2:$DF$250,108,0)</f>
        <v>6100</v>
      </c>
      <c r="AI45" s="106">
        <f>+HLOOKUP($C45,'NEW CAR'!$CU$2:$DF$250,109,0)</f>
        <v>157230.80000000002</v>
      </c>
      <c r="AJ45" s="106">
        <f>+HLOOKUP($C45,'NEW CAR'!$CU$2:$DF$250,110,0)</f>
        <v>0</v>
      </c>
      <c r="AK45" s="106">
        <f>+HLOOKUP($C45,'NEW CAR'!$CU$2:$DF$250,111,0)</f>
        <v>0</v>
      </c>
      <c r="AL45" s="106">
        <f>+HLOOKUP($C45,'NEW CAR'!$CU$2:$DF$250,112,0)</f>
        <v>1500</v>
      </c>
      <c r="AM45" s="106">
        <f>+HLOOKUP($C45,'NEW CAR'!$CU$2:$DF$250,116,0)</f>
        <v>335505</v>
      </c>
      <c r="AN45" s="106">
        <f>+HLOOKUP($C45,'NEW CAR'!$CU$2:$DF$250,117,0)</f>
        <v>50144</v>
      </c>
      <c r="AO45" s="106">
        <f>+HLOOKUP($C45,'NEW CAR'!$CU$2:$DF$250,118,0)</f>
        <v>8528</v>
      </c>
      <c r="AP45" s="106">
        <f>+HLOOKUP($C45,'NEW CAR'!$CU$2:$DF$250,119,0)</f>
        <v>113340</v>
      </c>
      <c r="AQ45" s="106">
        <f>+HLOOKUP($C45,'NEW CAR'!$CU$2:$DF$250,120,0)</f>
        <v>27594</v>
      </c>
      <c r="AR45" s="106">
        <f>+HLOOKUP($C45,'NEW CAR'!$CU$2:$DF$250,121,0)</f>
        <v>8139</v>
      </c>
      <c r="AS45" s="106">
        <f>+HLOOKUP($C45,'NEW CAR'!$CU$2:$DF$250,122,0)</f>
        <v>166476</v>
      </c>
      <c r="AT45" s="106">
        <f>+HLOOKUP($C45,'NEW CAR'!$CU$2:$DF$250,123,0)</f>
        <v>43454.504708333327</v>
      </c>
      <c r="AU45" s="106">
        <f>+HLOOKUP($C45,'NEW CAR'!$CU$2:$DF$250,124,0)</f>
        <v>2066.25</v>
      </c>
      <c r="AV45" s="106">
        <f>+HLOOKUP($C45,'NEW CAR'!$CU$2:$DF$250,125,0)</f>
        <v>64425</v>
      </c>
      <c r="AW45" s="106">
        <f>+HLOOKUP($C45,'NEW CAR'!$CU$2:$DF$250,126,0)</f>
        <v>18769.230769230773</v>
      </c>
      <c r="AX45" s="106">
        <f>+HLOOKUP($C45,'NEW CAR'!$CU$2:$DF$250,127,0)</f>
        <v>24574.999999999996</v>
      </c>
      <c r="AY45" s="106">
        <f>+HLOOKUP($C45,'NEW CAR'!$CU$2:$DF$250,129,0)</f>
        <v>0</v>
      </c>
      <c r="AZ45" s="106">
        <f>+HLOOKUP($C45,'NEW CAR'!$CU$2:$DF$250,130,0)</f>
        <v>0</v>
      </c>
      <c r="BA45" s="106">
        <f>+HLOOKUP($C45,'NEW CAR'!$CU$2:$DF$250,131,0)</f>
        <v>0</v>
      </c>
      <c r="BB45" s="106">
        <f>+HLOOKUP($C45,'NEW CAR'!$CU$2:$DF$250,133,0)</f>
        <v>0</v>
      </c>
      <c r="BC45" s="106">
        <f>+HLOOKUP($C45,'NEW CAR'!$CU$2:$DF$250,134,0)</f>
        <v>17898.5</v>
      </c>
      <c r="BD45" s="106">
        <f>+HLOOKUP($C45,'NEW CAR'!$CU$2:$DF$250,135,0)</f>
        <v>0</v>
      </c>
      <c r="BE45" s="106">
        <f>+HLOOKUP($C45,'NEW CAR'!$CU$2:$DF$250,136,0)</f>
        <v>-15405.449999999999</v>
      </c>
      <c r="BF45" s="106">
        <f>+HLOOKUP($C45,'NEW CAR'!$CU$2:$DF$250,138,0)</f>
        <v>10387.300999999999</v>
      </c>
      <c r="BG45" s="106">
        <f>+HLOOKUP($C45,'NEW CAR'!$CU$2:$DF$250,139,0)</f>
        <v>14094.5</v>
      </c>
      <c r="BH45" s="106">
        <f>+HLOOKUP($C45,'NEW CAR'!$CU$2:$DF$250,140,0)</f>
        <v>22500</v>
      </c>
      <c r="BI45" s="106">
        <f>+HLOOKUP($C45,'NEW CAR'!$CU$2:$DF$250,141,0)</f>
        <v>0</v>
      </c>
      <c r="BJ45" s="106">
        <f>+HLOOKUP($C45,'NEW CAR'!$CU$2:$DF$250,142,0)</f>
        <v>0</v>
      </c>
      <c r="BK45" s="106">
        <f>+HLOOKUP($C45,'NEW CAR'!$CU$2:$DF$250,143,0)</f>
        <v>54386.214</v>
      </c>
      <c r="BL45" s="106">
        <f>+HLOOKUP($C45,'NEW CAR'!$CU$2:$DF$250,144,0)</f>
        <v>0</v>
      </c>
      <c r="BM45" s="106">
        <f>+HLOOKUP($C45,'NEW CAR'!$CU$2:$DF$250,146,0)</f>
        <v>0</v>
      </c>
      <c r="BN45" s="106">
        <f>+HLOOKUP($C45,'NEW CAR'!$CU$2:$DF$250,147,0)</f>
        <v>25685</v>
      </c>
      <c r="BO45" s="106">
        <f>+HLOOKUP($C45,'NEW CAR'!$CU$2:$DF$250,148,0)</f>
        <v>0</v>
      </c>
      <c r="BP45" s="106">
        <f>+HLOOKUP($C45,'NEW CAR'!$CU$2:$DF$250,150,0)</f>
        <v>40042</v>
      </c>
      <c r="BQ45" s="106">
        <f>+HLOOKUP($C45,'NEW CAR'!$CU$2:$DF$250,151,0)</f>
        <v>2480.5</v>
      </c>
      <c r="BR45" s="106">
        <f>+HLOOKUP($C45,'NEW CAR'!$CU$2:$DF$250,152,0)</f>
        <v>17500</v>
      </c>
      <c r="BS45" s="106">
        <f>+HLOOKUP($C45,'NEW CAR'!$CU$2:$DF$250,153,0)</f>
        <v>800</v>
      </c>
      <c r="BT45" s="106">
        <f>+HLOOKUP($C45,'NEW CAR'!$CU$2:$DF$250,157,0)</f>
        <v>300</v>
      </c>
      <c r="BU45" s="106">
        <f>+HLOOKUP($C45,'NEW CAR'!$CU$2:$DF$250,158,0)</f>
        <v>0</v>
      </c>
      <c r="BV45" s="106">
        <f>+HLOOKUP($C45,'NEW CAR'!$CU$2:$DF$250,159,0)</f>
        <v>340.28</v>
      </c>
      <c r="BW45" s="106">
        <f>+HLOOKUP($C45,'NEW CAR'!$CU$2:$DF$250,160,0)</f>
        <v>0</v>
      </c>
      <c r="BX45" s="106">
        <f>+HLOOKUP($C45,'NEW CAR'!$CU$2:$DF$250,161,0)</f>
        <v>800</v>
      </c>
      <c r="BY45" s="106">
        <f>+HLOOKUP($C45,'NEW CAR'!$CU$2:$DF$250,164,0)</f>
        <v>3493.2959999999998</v>
      </c>
      <c r="BZ45" s="106">
        <f>+HLOOKUP($C45,'NEW CAR'!$CU$2:$DF$250,165,0)</f>
        <v>0</v>
      </c>
      <c r="CA45" s="106">
        <f>+HLOOKUP($C45,'NEW CAR'!$CU$2:$DF$250,166,0)</f>
        <v>0</v>
      </c>
      <c r="CB45" s="106">
        <f>+HLOOKUP($C45,'NEW CAR'!$CU$2:$DF$250,167,0)</f>
        <v>0</v>
      </c>
      <c r="CC45" s="106">
        <f>+HLOOKUP($C45,'NEW CAR'!$CU$2:$DF$250,168,0)</f>
        <v>0</v>
      </c>
      <c r="CD45" s="106">
        <f>+HLOOKUP($C45,'NEW CAR'!$CU$2:$DF$250,169,0)</f>
        <v>26250</v>
      </c>
      <c r="CE45" s="106">
        <f>+HLOOKUP($C45,'NEW CAR'!$CU$2:$DF$250,170,0)</f>
        <v>0</v>
      </c>
      <c r="CF45" s="106">
        <f>+HLOOKUP($C45,'NEW CAR'!$CU$2:$DF$250,172,0)</f>
        <v>18000</v>
      </c>
      <c r="CG45" s="106">
        <f>+HLOOKUP($C45,'NEW CAR'!$CU$2:$DF$250,173,0)</f>
        <v>0</v>
      </c>
      <c r="CH45" s="106">
        <f>+HLOOKUP($C45,'NEW CAR'!$CU$2:$DF$250,174,0)</f>
        <v>78877.600000000006</v>
      </c>
      <c r="CI45" s="106">
        <f>+HLOOKUP($C45,'NEW CAR'!$CU$2:$DF$250,175,0)</f>
        <v>20756.400000000001</v>
      </c>
      <c r="CJ45" s="106">
        <f>+HLOOKUP($C45,'NEW CAR'!$CU$2:$DF$250,176,0)</f>
        <v>2371.8795</v>
      </c>
      <c r="CK45" s="106">
        <f>+HLOOKUP($C45,'NEW CAR'!$CU$2:$DF$250,178,0)</f>
        <v>79611.5</v>
      </c>
      <c r="CL45" s="106">
        <f>+HLOOKUP($C45,'NEW CAR'!$CU$2:$DF$250,179,0)</f>
        <v>0</v>
      </c>
      <c r="CM45" s="106">
        <f>+HLOOKUP($C45,'NEW CAR'!$CU$2:$DF$250,180,0)</f>
        <v>19600</v>
      </c>
      <c r="CN45" s="106">
        <f>+HLOOKUP($C45,'NEW CAR'!$CU$2:$DF$250,182,0)</f>
        <v>778.18499999999995</v>
      </c>
      <c r="CO45" s="106">
        <f>+HLOOKUP($C45,'NEW CAR'!$CU$2:$DF$250,183,0)</f>
        <v>11624.995000000001</v>
      </c>
      <c r="CP45" s="106">
        <f>+HLOOKUP($C45,'NEW CAR'!$CU$2:$DF$250,184,0)</f>
        <v>2153.0969999999998</v>
      </c>
      <c r="CQ45" s="106">
        <f>+HLOOKUP($C45,'NEW CAR'!$CU$2:$DF$250,185,0)</f>
        <v>0</v>
      </c>
      <c r="CR45" s="106">
        <f>+HLOOKUP($C45,'NEW CAR'!$CU$2:$DF$250,187,0)</f>
        <v>3124.7999999999997</v>
      </c>
      <c r="CS45" s="106">
        <f>+HLOOKUP($C45,'NEW CAR'!$CU$2:$DF$250,188,0)</f>
        <v>2250</v>
      </c>
      <c r="CT45" s="106">
        <f>+HLOOKUP($C45,'NEW CAR'!$CU$2:$DF$250,189,0)</f>
        <v>0</v>
      </c>
      <c r="CU45" s="106">
        <f>+HLOOKUP($C45,'NEW CAR'!$CU$2:$DF$250,190,0)</f>
        <v>1249.95</v>
      </c>
      <c r="CV45" s="106">
        <f>+HLOOKUP($C45,'NEW CAR'!$CU$2:$DF$250,191,0)</f>
        <v>0</v>
      </c>
      <c r="CW45" s="106">
        <f>+HLOOKUP($C45,'NEW CAR'!$CU$2:$DF$250,193,0)</f>
        <v>6188.875</v>
      </c>
      <c r="CX45" s="106">
        <f>+HLOOKUP($C45,'NEW CAR'!$CU$2:$DF$250,194,0)</f>
        <v>39.75</v>
      </c>
      <c r="CY45" s="106">
        <f>+HLOOKUP($C45,'NEW CAR'!$CU$2:$DF$250,195,0)</f>
        <v>1375.06</v>
      </c>
      <c r="CZ45" s="106">
        <f>+HLOOKUP($C45,'NEW CAR'!$CU$2:$DF$250,196,0)</f>
        <v>0</v>
      </c>
      <c r="DA45" s="106">
        <f>+HLOOKUP($C45,'NEW CAR'!$CU$2:$DF$250,197,0)</f>
        <v>13120.945</v>
      </c>
      <c r="DB45" s="106">
        <f>+HLOOKUP($C45,'NEW CAR'!$CU$2:$DF$250,198,0)</f>
        <v>7136.03</v>
      </c>
      <c r="DC45" s="106">
        <f>+HLOOKUP($C45,'NEW CAR'!$CU$2:$DF$250,199,0)</f>
        <v>3111.7799999999997</v>
      </c>
      <c r="DD45" s="106">
        <f>+HLOOKUP($C45,'NEW CAR'!$CU$2:$DF$250,200,0)</f>
        <v>0</v>
      </c>
      <c r="DE45" s="106">
        <f>+HLOOKUP($C45,'NEW CAR'!$CU$2:$DF$250,201,0)</f>
        <v>0</v>
      </c>
      <c r="DF45" s="106">
        <f>+HLOOKUP($C45,'NEW CAR'!$CU$2:$DF$250,202,0)</f>
        <v>-0.62649999999999995</v>
      </c>
      <c r="DG45" s="106">
        <f>+HLOOKUP($C45,'NEW CAR'!$CU$2:$DF$250,203,0)</f>
        <v>36.911999999999999</v>
      </c>
      <c r="DH45" s="106">
        <f>+HLOOKUP($C45,'NEW CAR'!$CU$2:$DF$250,205,0)</f>
        <v>49979.92</v>
      </c>
      <c r="DI45" s="106">
        <f>+HLOOKUP($C45,'NEW CAR'!$CU$2:$DF$250,206,0)</f>
        <v>0</v>
      </c>
      <c r="DJ45" s="106">
        <f>+HLOOKUP($C45,'NEW CAR'!$CU$2:$DF$250,207,0)</f>
        <v>3201.7520000000004</v>
      </c>
      <c r="DK45" s="106">
        <f>+HLOOKUP($C45,'NEW CAR'!$CU$2:$DF$250,209,0)</f>
        <v>0</v>
      </c>
      <c r="DL45" s="106">
        <f>+HLOOKUP($C45,'NEW CAR'!$CU$2:$DF$250,210,0)</f>
        <v>0</v>
      </c>
      <c r="DM45" s="106">
        <f>+HLOOKUP($C45,'NEW CAR'!$CU$2:$DF$250,211,0)</f>
        <v>116992.5</v>
      </c>
      <c r="DN45" s="106">
        <f>+HLOOKUP($C45,'NEW CAR'!$CU$2:$DF$250,212,0)</f>
        <v>24000</v>
      </c>
      <c r="DO45" s="106">
        <f>+HLOOKUP($C45,'NEW CAR'!$CU$2:$DF$250,214,0)</f>
        <v>0</v>
      </c>
      <c r="DP45" s="106">
        <f>+HLOOKUP($C45,'NEW CAR'!$CU$2:$DF$250,215,0)</f>
        <v>300</v>
      </c>
      <c r="DQ45" s="106">
        <f>+HLOOKUP($C45,'NEW CAR'!$CU$2:$DF$250,219,0)</f>
        <v>0</v>
      </c>
      <c r="DR45" s="106">
        <f>+HLOOKUP($C45,'NEW CAR'!$CU$2:$DF$250,220,0)</f>
        <v>129568.8</v>
      </c>
      <c r="DS45" s="106">
        <f>+HLOOKUP($C45,'NEW CAR'!$CU$2:$DF$250,221,0)</f>
        <v>16271.08</v>
      </c>
      <c r="DT45" s="106">
        <f>+HLOOKUP($C45,'NEW CAR'!$CU$2:$DF$250,223,0)</f>
        <v>28400.446499999998</v>
      </c>
      <c r="DU45" s="106">
        <f>+HLOOKUP($C45,'NEW CAR'!$CU$2:$DF$250,224,0)</f>
        <v>0</v>
      </c>
      <c r="DV45" s="106">
        <f>+HLOOKUP($C45,'NEW CAR'!$CU$2:$DF$250,225,0)</f>
        <v>0</v>
      </c>
      <c r="DW45" s="106">
        <f>+HLOOKUP($C45,'NEW CAR'!$CU$2:$DF$250,227,0)</f>
        <v>0</v>
      </c>
      <c r="DX45" s="106">
        <f>+HLOOKUP($C45,'NEW CAR'!$CU$2:$DF$250,228,0)</f>
        <v>7405.65</v>
      </c>
      <c r="DY45" s="106">
        <f>+HLOOKUP($C45,'NEW CAR'!$CU$2:$DF$250,236,0)</f>
        <v>0</v>
      </c>
      <c r="DZ45" s="106">
        <f>+HLOOKUP($C45,'NEW CAR'!$CU$2:$DF$250,237,0)</f>
        <v>159881.42204999999</v>
      </c>
      <c r="EA45" s="106">
        <f>+HLOOKUP($C45,'NEW CAR'!$CU$2:$DF$250,238,0)</f>
        <v>0</v>
      </c>
      <c r="EB45" s="106">
        <f>+HLOOKUP($C45,'NEW CAR'!$CU$2:$DF$250,240,0)</f>
        <v>433516.25836428563</v>
      </c>
    </row>
    <row r="46" spans="1:132" hidden="1">
      <c r="A46" t="s">
        <v>271</v>
      </c>
      <c r="B46" t="s">
        <v>270</v>
      </c>
      <c r="C46" s="117">
        <v>45748</v>
      </c>
      <c r="D46" s="106">
        <f>+HLOOKUP(C46,'NEW CAR'!$CU$2:$DF$250,6,0)/3.5%</f>
        <v>62409228.571428567</v>
      </c>
      <c r="E46" s="106">
        <f>+HLOOKUP(C46,'NEW CAR'!$CU$2:$DF$250,5,0)+HLOOKUP(C46,'NEW CAR'!$CU$2:$DF$250,26,0)+HLOOKUP(C46,'NEW CAR'!$CU$2:$DF$250,59,0)</f>
        <v>4069578.9056355935</v>
      </c>
      <c r="G46" s="106">
        <f>+HLOOKUP($C46,'NEW CAR'!$CU$2:$DF$250,76,0)</f>
        <v>68748.929999999993</v>
      </c>
      <c r="H46" s="106">
        <f>+HLOOKUP($C46,'NEW CAR'!$CU$2:$DF$250,77,0)</f>
        <v>155568.83000000002</v>
      </c>
      <c r="I46" s="106">
        <f>+HLOOKUP($C46,'NEW CAR'!$CU$2:$DF$250,78,0)</f>
        <v>0</v>
      </c>
      <c r="J46" s="106">
        <f>+HLOOKUP($C46,'NEW CAR'!$CU$2:$DF$250,79,0)</f>
        <v>67606.17</v>
      </c>
      <c r="K46" s="106">
        <f>+HLOOKUP($C46,'NEW CAR'!$CU$2:$DF$250,80,0)</f>
        <v>0</v>
      </c>
      <c r="L46" s="106">
        <f>+HLOOKUP($C46,'NEW CAR'!$CU$2:$DF$250,81,0)</f>
        <v>0</v>
      </c>
      <c r="M46" s="106">
        <f>+HLOOKUP($C46,'NEW CAR'!$CU$2:$DF$250,82,0)</f>
        <v>0</v>
      </c>
      <c r="N46" s="106">
        <f>+HLOOKUP($C46,'NEW CAR'!$CU$2:$DF$250,83,0)</f>
        <v>0</v>
      </c>
      <c r="O46" s="106">
        <f>+HLOOKUP($C46,'NEW CAR'!$CU$2:$DF$250,84,0)</f>
        <v>0</v>
      </c>
      <c r="P46" s="106">
        <f>+HLOOKUP($C46,'NEW CAR'!$CU$2:$DF$250,85,0)</f>
        <v>0</v>
      </c>
      <c r="Q46" s="106">
        <f>+HLOOKUP($C46,'NEW CAR'!$CU$2:$DF$250,87,0)</f>
        <v>134205</v>
      </c>
      <c r="R46" s="106">
        <f>+HLOOKUP($C46,'NEW CAR'!$CU$2:$DF$250,90,0)</f>
        <v>0</v>
      </c>
      <c r="S46" s="106">
        <f>+HLOOKUP($C46,'NEW CAR'!$CU$2:$DF$250,91,0)</f>
        <v>0</v>
      </c>
      <c r="T46" s="106">
        <f>+HLOOKUP($C46,'NEW CAR'!$CU$2:$DF$250,92,0)</f>
        <v>21000</v>
      </c>
      <c r="U46" s="106">
        <f>+HLOOKUP($C46,'NEW CAR'!$CU$2:$DF$250,93,0)</f>
        <v>0</v>
      </c>
      <c r="V46" s="106">
        <f>+HLOOKUP($C46,'NEW CAR'!$CU$2:$DF$250,94,0)</f>
        <v>0</v>
      </c>
      <c r="W46" s="106">
        <f>+HLOOKUP($C46,'NEW CAR'!$CU$2:$DF$250,95,0)</f>
        <v>14612</v>
      </c>
      <c r="X46" s="106">
        <f>+HLOOKUP($C46,'NEW CAR'!$CU$2:$DF$250,96,0)</f>
        <v>53312.12</v>
      </c>
      <c r="Y46" s="106">
        <f>+HLOOKUP($C46,'NEW CAR'!$CU$2:$DF$250,97,0)</f>
        <v>19428.759999999998</v>
      </c>
      <c r="Z46" s="106">
        <f>+HLOOKUP($C46,'NEW CAR'!$CU$2:$DF$250,98,0)</f>
        <v>0</v>
      </c>
      <c r="AA46" s="106">
        <f>+HLOOKUP($C46,'NEW CAR'!$CU$2:$DF$250,99,0)</f>
        <v>0</v>
      </c>
      <c r="AB46" s="106">
        <f>+HLOOKUP($C46,'NEW CAR'!$CU$2:$DF$250,100,0)</f>
        <v>0</v>
      </c>
      <c r="AC46" s="106">
        <f>+HLOOKUP($C46,'NEW CAR'!$CU$2:$DF$250,101,0)</f>
        <v>13578.07</v>
      </c>
      <c r="AD46" s="106">
        <f>+HLOOKUP($C46,'NEW CAR'!$CU$2:$DF$250,104,0)</f>
        <v>7712.7759999999998</v>
      </c>
      <c r="AE46" s="106">
        <f>+HLOOKUP($C46,'NEW CAR'!$CU$2:$DF$250,105,0)</f>
        <v>144968.98800000001</v>
      </c>
      <c r="AF46" s="106">
        <f>+HLOOKUP($C46,'NEW CAR'!$CU$2:$DF$250,106,0)</f>
        <v>0</v>
      </c>
      <c r="AG46" s="106">
        <f>+HLOOKUP($C46,'NEW CAR'!$CU$2:$DF$250,107,0)</f>
        <v>91500</v>
      </c>
      <c r="AH46" s="106">
        <f>+HLOOKUP($C46,'NEW CAR'!$CU$2:$DF$250,108,0)</f>
        <v>2320</v>
      </c>
      <c r="AI46" s="106">
        <f>+HLOOKUP($C46,'NEW CAR'!$CU$2:$DF$250,109,0)</f>
        <v>97238.400000000009</v>
      </c>
      <c r="AJ46" s="106">
        <f>+HLOOKUP($C46,'NEW CAR'!$CU$2:$DF$250,110,0)</f>
        <v>0</v>
      </c>
      <c r="AK46" s="106">
        <f>+HLOOKUP($C46,'NEW CAR'!$CU$2:$DF$250,111,0)</f>
        <v>0</v>
      </c>
      <c r="AL46" s="106">
        <f>+HLOOKUP($C46,'NEW CAR'!$CU$2:$DF$250,112,0)</f>
        <v>0</v>
      </c>
      <c r="AM46" s="106">
        <f>+HLOOKUP($C46,'NEW CAR'!$CU$2:$DF$250,116,0)</f>
        <v>375400</v>
      </c>
      <c r="AN46" s="106">
        <f>+HLOOKUP($C46,'NEW CAR'!$CU$2:$DF$250,117,0)</f>
        <v>57450</v>
      </c>
      <c r="AO46" s="106">
        <f>+HLOOKUP($C46,'NEW CAR'!$CU$2:$DF$250,118,0)</f>
        <v>9000</v>
      </c>
      <c r="AP46" s="106">
        <f>+HLOOKUP($C46,'NEW CAR'!$CU$2:$DF$250,119,0)</f>
        <v>125200</v>
      </c>
      <c r="AQ46" s="106">
        <f>+HLOOKUP($C46,'NEW CAR'!$CU$2:$DF$250,120,0)</f>
        <v>34500</v>
      </c>
      <c r="AR46" s="106">
        <f>+HLOOKUP($C46,'NEW CAR'!$CU$2:$DF$250,121,0)</f>
        <v>8350</v>
      </c>
      <c r="AS46" s="106">
        <f>+HLOOKUP($C46,'NEW CAR'!$CU$2:$DF$250,122,0)</f>
        <v>179400</v>
      </c>
      <c r="AT46" s="106">
        <f>+HLOOKUP($C46,'NEW CAR'!$CU$2:$DF$250,123,0)</f>
        <v>43454.504708333327</v>
      </c>
      <c r="AU46" s="106">
        <f>+HLOOKUP($C46,'NEW CAR'!$CU$2:$DF$250,124,0)</f>
        <v>2066.25</v>
      </c>
      <c r="AV46" s="106">
        <f>+HLOOKUP($C46,'NEW CAR'!$CU$2:$DF$250,125,0)</f>
        <v>39225</v>
      </c>
      <c r="AW46" s="106">
        <f>+HLOOKUP($C46,'NEW CAR'!$CU$2:$DF$250,126,0)</f>
        <v>18769.230769230773</v>
      </c>
      <c r="AX46" s="106">
        <f>+HLOOKUP($C46,'NEW CAR'!$CU$2:$DF$250,127,0)</f>
        <v>24574.999999999996</v>
      </c>
      <c r="AY46" s="106">
        <f>+HLOOKUP($C46,'NEW CAR'!$CU$2:$DF$250,129,0)</f>
        <v>0</v>
      </c>
      <c r="AZ46" s="106">
        <f>+HLOOKUP($C46,'NEW CAR'!$CU$2:$DF$250,130,0)</f>
        <v>0</v>
      </c>
      <c r="BA46" s="106">
        <f>+HLOOKUP($C46,'NEW CAR'!$CU$2:$DF$250,131,0)</f>
        <v>0</v>
      </c>
      <c r="BB46" s="106">
        <f>+HLOOKUP($C46,'NEW CAR'!$CU$2:$DF$250,133,0)</f>
        <v>0</v>
      </c>
      <c r="BC46" s="106">
        <f>+HLOOKUP($C46,'NEW CAR'!$CU$2:$DF$250,134,0)</f>
        <v>73385.69</v>
      </c>
      <c r="BD46" s="106">
        <f>+HLOOKUP($C46,'NEW CAR'!$CU$2:$DF$250,135,0)</f>
        <v>0</v>
      </c>
      <c r="BE46" s="106">
        <f>+HLOOKUP($C46,'NEW CAR'!$CU$2:$DF$250,136,0)</f>
        <v>0</v>
      </c>
      <c r="BF46" s="106">
        <f>+HLOOKUP($C46,'NEW CAR'!$CU$2:$DF$250,138,0)</f>
        <v>10904.8488</v>
      </c>
      <c r="BG46" s="106">
        <f>+HLOOKUP($C46,'NEW CAR'!$CU$2:$DF$250,139,0)</f>
        <v>22428.9</v>
      </c>
      <c r="BH46" s="106">
        <f>+HLOOKUP($C46,'NEW CAR'!$CU$2:$DF$250,140,0)</f>
        <v>22500</v>
      </c>
      <c r="BI46" s="106">
        <f>+HLOOKUP($C46,'NEW CAR'!$CU$2:$DF$250,141,0)</f>
        <v>0</v>
      </c>
      <c r="BJ46" s="106">
        <f>+HLOOKUP($C46,'NEW CAR'!$CU$2:$DF$250,142,0)</f>
        <v>0</v>
      </c>
      <c r="BK46" s="106">
        <f>+HLOOKUP($C46,'NEW CAR'!$CU$2:$DF$250,143,0)</f>
        <v>26971.833333333332</v>
      </c>
      <c r="BL46" s="106">
        <f>+HLOOKUP($C46,'NEW CAR'!$CU$2:$DF$250,144,0)</f>
        <v>0</v>
      </c>
      <c r="BM46" s="106">
        <f>+HLOOKUP($C46,'NEW CAR'!$CU$2:$DF$250,146,0)</f>
        <v>0</v>
      </c>
      <c r="BN46" s="106">
        <f>+HLOOKUP($C46,'NEW CAR'!$CU$2:$DF$250,147,0)</f>
        <v>10068</v>
      </c>
      <c r="BO46" s="106">
        <f>+HLOOKUP($C46,'NEW CAR'!$CU$2:$DF$250,148,0)</f>
        <v>0</v>
      </c>
      <c r="BP46" s="106">
        <f>+HLOOKUP($C46,'NEW CAR'!$CU$2:$DF$250,150,0)</f>
        <v>39288</v>
      </c>
      <c r="BQ46" s="106">
        <f>+HLOOKUP($C46,'NEW CAR'!$CU$2:$DF$250,151,0)</f>
        <v>2480.5</v>
      </c>
      <c r="BR46" s="106">
        <f>+HLOOKUP($C46,'NEW CAR'!$CU$2:$DF$250,152,0)</f>
        <v>17500</v>
      </c>
      <c r="BS46" s="106">
        <f>+HLOOKUP($C46,'NEW CAR'!$CU$2:$DF$250,153,0)</f>
        <v>875</v>
      </c>
      <c r="BT46" s="106">
        <f>+HLOOKUP($C46,'NEW CAR'!$CU$2:$DF$250,157,0)</f>
        <v>0</v>
      </c>
      <c r="BU46" s="106">
        <f>+HLOOKUP($C46,'NEW CAR'!$CU$2:$DF$250,158,0)</f>
        <v>0</v>
      </c>
      <c r="BV46" s="106">
        <f>+HLOOKUP($C46,'NEW CAR'!$CU$2:$DF$250,159,0)</f>
        <v>340.28</v>
      </c>
      <c r="BW46" s="106">
        <f>+HLOOKUP($C46,'NEW CAR'!$CU$2:$DF$250,160,0)</f>
        <v>0</v>
      </c>
      <c r="BX46" s="106">
        <f>+HLOOKUP($C46,'NEW CAR'!$CU$2:$DF$250,161,0)</f>
        <v>2250</v>
      </c>
      <c r="BY46" s="106">
        <f>+HLOOKUP($C46,'NEW CAR'!$CU$2:$DF$250,164,0)</f>
        <v>0</v>
      </c>
      <c r="BZ46" s="106">
        <f>+HLOOKUP($C46,'NEW CAR'!$CU$2:$DF$250,165,0)</f>
        <v>0</v>
      </c>
      <c r="CA46" s="106">
        <f>+HLOOKUP($C46,'NEW CAR'!$CU$2:$DF$250,166,0)</f>
        <v>0</v>
      </c>
      <c r="CB46" s="106">
        <f>+HLOOKUP($C46,'NEW CAR'!$CU$2:$DF$250,167,0)</f>
        <v>129687.52</v>
      </c>
      <c r="CC46" s="106">
        <f>+HLOOKUP($C46,'NEW CAR'!$CU$2:$DF$250,168,0)</f>
        <v>0</v>
      </c>
      <c r="CD46" s="106">
        <f>+HLOOKUP($C46,'NEW CAR'!$CU$2:$DF$250,169,0)</f>
        <v>0</v>
      </c>
      <c r="CE46" s="106">
        <f>+HLOOKUP($C46,'NEW CAR'!$CU$2:$DF$250,170,0)</f>
        <v>0</v>
      </c>
      <c r="CF46" s="106">
        <f>+HLOOKUP($C46,'NEW CAR'!$CU$2:$DF$250,172,0)</f>
        <v>18000</v>
      </c>
      <c r="CG46" s="106">
        <f>+HLOOKUP($C46,'NEW CAR'!$CU$2:$DF$250,173,0)</f>
        <v>0</v>
      </c>
      <c r="CH46" s="106">
        <f>+HLOOKUP($C46,'NEW CAR'!$CU$2:$DF$250,174,0)</f>
        <v>0</v>
      </c>
      <c r="CI46" s="106">
        <f>+HLOOKUP($C46,'NEW CAR'!$CU$2:$DF$250,175,0)</f>
        <v>0</v>
      </c>
      <c r="CJ46" s="106">
        <f>+HLOOKUP($C46,'NEW CAR'!$CU$2:$DF$250,176,0)</f>
        <v>2371.8795</v>
      </c>
      <c r="CK46" s="106">
        <f>+HLOOKUP($C46,'NEW CAR'!$CU$2:$DF$250,178,0)</f>
        <v>84965</v>
      </c>
      <c r="CL46" s="106">
        <f>+HLOOKUP($C46,'NEW CAR'!$CU$2:$DF$250,179,0)</f>
        <v>0</v>
      </c>
      <c r="CM46" s="106">
        <f>+HLOOKUP($C46,'NEW CAR'!$CU$2:$DF$250,180,0)</f>
        <v>0</v>
      </c>
      <c r="CN46" s="106">
        <f>+HLOOKUP($C46,'NEW CAR'!$CU$2:$DF$250,182,0)</f>
        <v>0</v>
      </c>
      <c r="CO46" s="106">
        <f>+HLOOKUP($C46,'NEW CAR'!$CU$2:$DF$250,183,0)</f>
        <v>11624.995000000001</v>
      </c>
      <c r="CP46" s="106">
        <f>+HLOOKUP($C46,'NEW CAR'!$CU$2:$DF$250,184,0)</f>
        <v>190.55099999999999</v>
      </c>
      <c r="CQ46" s="106">
        <f>+HLOOKUP($C46,'NEW CAR'!$CU$2:$DF$250,185,0)</f>
        <v>0</v>
      </c>
      <c r="CR46" s="106">
        <f>+HLOOKUP($C46,'NEW CAR'!$CU$2:$DF$250,187,0)</f>
        <v>3124.7999999999997</v>
      </c>
      <c r="CS46" s="106">
        <f>+HLOOKUP($C46,'NEW CAR'!$CU$2:$DF$250,188,0)</f>
        <v>0</v>
      </c>
      <c r="CT46" s="106">
        <f>+HLOOKUP($C46,'NEW CAR'!$CU$2:$DF$250,189,0)</f>
        <v>0</v>
      </c>
      <c r="CU46" s="106">
        <f>+HLOOKUP($C46,'NEW CAR'!$CU$2:$DF$250,190,0)</f>
        <v>0</v>
      </c>
      <c r="CV46" s="106">
        <f>+HLOOKUP($C46,'NEW CAR'!$CU$2:$DF$250,191,0)</f>
        <v>0</v>
      </c>
      <c r="CW46" s="106">
        <f>+HLOOKUP($C46,'NEW CAR'!$CU$2:$DF$250,193,0)</f>
        <v>6120.8649999999998</v>
      </c>
      <c r="CX46" s="106">
        <f>+HLOOKUP($C46,'NEW CAR'!$CU$2:$DF$250,194,0)</f>
        <v>39.75</v>
      </c>
      <c r="CY46" s="106">
        <f>+HLOOKUP($C46,'NEW CAR'!$CU$2:$DF$250,195,0)</f>
        <v>1375.06</v>
      </c>
      <c r="CZ46" s="106">
        <f>+HLOOKUP($C46,'NEW CAR'!$CU$2:$DF$250,196,0)</f>
        <v>0</v>
      </c>
      <c r="DA46" s="106">
        <f>+HLOOKUP($C46,'NEW CAR'!$CU$2:$DF$250,197,0)</f>
        <v>16601.650000000001</v>
      </c>
      <c r="DB46" s="106">
        <f>+HLOOKUP($C46,'NEW CAR'!$CU$2:$DF$250,198,0)</f>
        <v>4593.165</v>
      </c>
      <c r="DC46" s="106">
        <f>+HLOOKUP($C46,'NEW CAR'!$CU$2:$DF$250,199,0)</f>
        <v>150</v>
      </c>
      <c r="DD46" s="106">
        <f>+HLOOKUP($C46,'NEW CAR'!$CU$2:$DF$250,200,0)</f>
        <v>154</v>
      </c>
      <c r="DE46" s="106">
        <f>+HLOOKUP($C46,'NEW CAR'!$CU$2:$DF$250,201,0)</f>
        <v>0</v>
      </c>
      <c r="DF46" s="106">
        <f>+HLOOKUP($C46,'NEW CAR'!$CU$2:$DF$250,202,0)</f>
        <v>0.42549999999999999</v>
      </c>
      <c r="DG46" s="106">
        <f>+HLOOKUP($C46,'NEW CAR'!$CU$2:$DF$250,203,0)</f>
        <v>-6.3419999999999996</v>
      </c>
      <c r="DH46" s="106">
        <f>+HLOOKUP($C46,'NEW CAR'!$CU$2:$DF$250,205,0)</f>
        <v>49979.92</v>
      </c>
      <c r="DI46" s="106">
        <f>+HLOOKUP($C46,'NEW CAR'!$CU$2:$DF$250,206,0)</f>
        <v>0</v>
      </c>
      <c r="DJ46" s="106">
        <f>+HLOOKUP($C46,'NEW CAR'!$CU$2:$DF$250,207,0)</f>
        <v>3201.7520000000004</v>
      </c>
      <c r="DK46" s="106">
        <f>+HLOOKUP($C46,'NEW CAR'!$CU$2:$DF$250,209,0)</f>
        <v>0</v>
      </c>
      <c r="DL46" s="106">
        <f>+HLOOKUP($C46,'NEW CAR'!$CU$2:$DF$250,210,0)</f>
        <v>0</v>
      </c>
      <c r="DM46" s="106">
        <f>+HLOOKUP($C46,'NEW CAR'!$CU$2:$DF$250,211,0)</f>
        <v>116992.5</v>
      </c>
      <c r="DN46" s="106">
        <f>+HLOOKUP($C46,'NEW CAR'!$CU$2:$DF$250,212,0)</f>
        <v>24000</v>
      </c>
      <c r="DO46" s="106">
        <f>+HLOOKUP($C46,'NEW CAR'!$CU$2:$DF$250,214,0)</f>
        <v>0</v>
      </c>
      <c r="DP46" s="106">
        <f>+HLOOKUP($C46,'NEW CAR'!$CU$2:$DF$250,215,0)</f>
        <v>950</v>
      </c>
      <c r="DQ46" s="106">
        <f>+HLOOKUP($C46,'NEW CAR'!$CU$2:$DF$250,219,0)</f>
        <v>0</v>
      </c>
      <c r="DR46" s="106">
        <f>+HLOOKUP($C46,'NEW CAR'!$CU$2:$DF$250,220,0)</f>
        <v>12914</v>
      </c>
      <c r="DS46" s="106">
        <f>+HLOOKUP($C46,'NEW CAR'!$CU$2:$DF$250,221,0)</f>
        <v>25342.672000000006</v>
      </c>
      <c r="DT46" s="106">
        <f>+HLOOKUP($C46,'NEW CAR'!$CU$2:$DF$250,223,0)</f>
        <v>17411.123999999996</v>
      </c>
      <c r="DU46" s="106">
        <f>+HLOOKUP($C46,'NEW CAR'!$CU$2:$DF$250,224,0)</f>
        <v>0</v>
      </c>
      <c r="DV46" s="106">
        <f>+HLOOKUP($C46,'NEW CAR'!$CU$2:$DF$250,225,0)</f>
        <v>0</v>
      </c>
      <c r="DW46" s="106">
        <f>+HLOOKUP($C46,'NEW CAR'!$CU$2:$DF$250,227,0)</f>
        <v>0</v>
      </c>
      <c r="DX46" s="106">
        <f>+HLOOKUP($C46,'NEW CAR'!$CU$2:$DF$250,228,0)</f>
        <v>658.8</v>
      </c>
      <c r="DY46" s="106">
        <f>+HLOOKUP($C46,'NEW CAR'!$CU$2:$DF$250,236,0)</f>
        <v>0</v>
      </c>
      <c r="DZ46" s="106">
        <f>+HLOOKUP($C46,'NEW CAR'!$CU$2:$DF$250,237,0)</f>
        <v>167298.94440000001</v>
      </c>
      <c r="EA46" s="106">
        <f>+HLOOKUP($C46,'NEW CAR'!$CU$2:$DF$250,238,0)</f>
        <v>0</v>
      </c>
      <c r="EB46" s="106">
        <f>+HLOOKUP($C46,'NEW CAR'!$CU$2:$DF$250,240,0)</f>
        <v>433516.25836428563</v>
      </c>
    </row>
    <row r="47" spans="1:132" hidden="1">
      <c r="A47" t="s">
        <v>271</v>
      </c>
      <c r="B47" t="s">
        <v>270</v>
      </c>
      <c r="C47" s="117">
        <v>45717</v>
      </c>
      <c r="D47" s="106">
        <f>+HLOOKUP(C47,'NEW CAR'!$CU$2:$DF$250,6,0)/3.5%</f>
        <v>133005663.74000001</v>
      </c>
      <c r="E47" s="106">
        <f>+HLOOKUP(C47,'NEW CAR'!$CU$2:$DF$250,5,0)+HLOOKUP(C47,'NEW CAR'!$CU$2:$DF$250,26,0)+HLOOKUP(C47,'NEW CAR'!$CU$2:$DF$250,59,0)</f>
        <v>8210931.8407200007</v>
      </c>
      <c r="G47" s="106">
        <f>+HLOOKUP($C47,'NEW CAR'!$CU$2:$DF$250,76,0)</f>
        <v>101393.71</v>
      </c>
      <c r="H47" s="106">
        <f>+HLOOKUP($C47,'NEW CAR'!$CU$2:$DF$250,77,0)</f>
        <v>230115.72</v>
      </c>
      <c r="I47" s="106">
        <f>+HLOOKUP($C47,'NEW CAR'!$CU$2:$DF$250,78,0)</f>
        <v>0</v>
      </c>
      <c r="J47" s="106">
        <f>+HLOOKUP($C47,'NEW CAR'!$CU$2:$DF$250,79,0)</f>
        <v>29216.62</v>
      </c>
      <c r="K47" s="106">
        <f>+HLOOKUP($C47,'NEW CAR'!$CU$2:$DF$250,80,0)</f>
        <v>0</v>
      </c>
      <c r="L47" s="106">
        <f>+HLOOKUP($C47,'NEW CAR'!$CU$2:$DF$250,81,0)</f>
        <v>0</v>
      </c>
      <c r="M47" s="106">
        <f>+HLOOKUP($C47,'NEW CAR'!$CU$2:$DF$250,82,0)</f>
        <v>0</v>
      </c>
      <c r="N47" s="106">
        <f>+HLOOKUP($C47,'NEW CAR'!$CU$2:$DF$250,83,0)</f>
        <v>0</v>
      </c>
      <c r="O47" s="106">
        <f>+HLOOKUP($C47,'NEW CAR'!$CU$2:$DF$250,84,0)</f>
        <v>0</v>
      </c>
      <c r="P47" s="106">
        <f>+HLOOKUP($C47,'NEW CAR'!$CU$2:$DF$250,85,0)</f>
        <v>0</v>
      </c>
      <c r="Q47" s="106">
        <f>+HLOOKUP($C47,'NEW CAR'!$CU$2:$DF$250,87,0)</f>
        <v>610400</v>
      </c>
      <c r="R47" s="106">
        <f>+HLOOKUP($C47,'NEW CAR'!$CU$2:$DF$250,90,0)</f>
        <v>0</v>
      </c>
      <c r="S47" s="106">
        <f>+HLOOKUP($C47,'NEW CAR'!$CU$2:$DF$250,91,0)</f>
        <v>0</v>
      </c>
      <c r="T47" s="106">
        <f>+HLOOKUP($C47,'NEW CAR'!$CU$2:$DF$250,92,0)</f>
        <v>30317.040000000001</v>
      </c>
      <c r="U47" s="106">
        <f>+HLOOKUP($C47,'NEW CAR'!$CU$2:$DF$250,93,0)</f>
        <v>3500</v>
      </c>
      <c r="V47" s="106">
        <f>+HLOOKUP($C47,'NEW CAR'!$CU$2:$DF$250,94,0)</f>
        <v>0</v>
      </c>
      <c r="W47" s="106">
        <f>+HLOOKUP($C47,'NEW CAR'!$CU$2:$DF$250,95,0)</f>
        <v>51967.308000000005</v>
      </c>
      <c r="X47" s="106">
        <f>+HLOOKUP($C47,'NEW CAR'!$CU$2:$DF$250,96,0)</f>
        <v>48508.936000000002</v>
      </c>
      <c r="Y47" s="106">
        <f>+HLOOKUP($C47,'NEW CAR'!$CU$2:$DF$250,97,0)</f>
        <v>70576.983999999997</v>
      </c>
      <c r="Z47" s="106">
        <f>+HLOOKUP($C47,'NEW CAR'!$CU$2:$DF$250,98,0)</f>
        <v>0</v>
      </c>
      <c r="AA47" s="106">
        <f>+HLOOKUP($C47,'NEW CAR'!$CU$2:$DF$250,99,0)</f>
        <v>0</v>
      </c>
      <c r="AB47" s="106">
        <f>+HLOOKUP($C47,'NEW CAR'!$CU$2:$DF$250,100,0)</f>
        <v>0</v>
      </c>
      <c r="AC47" s="106">
        <f>+HLOOKUP($C47,'NEW CAR'!$CU$2:$DF$250,101,0)</f>
        <v>13966.66</v>
      </c>
      <c r="AD47" s="106">
        <f>+HLOOKUP($C47,'NEW CAR'!$CU$2:$DF$250,104,0)</f>
        <v>0</v>
      </c>
      <c r="AE47" s="106">
        <f>+HLOOKUP($C47,'NEW CAR'!$CU$2:$DF$250,105,0)</f>
        <v>222937.87599999999</v>
      </c>
      <c r="AF47" s="106">
        <f>+HLOOKUP($C47,'NEW CAR'!$CU$2:$DF$250,106,0)</f>
        <v>0</v>
      </c>
      <c r="AG47" s="106">
        <f>+HLOOKUP($C47,'NEW CAR'!$CU$2:$DF$250,107,0)</f>
        <v>23224.077600000004</v>
      </c>
      <c r="AH47" s="106">
        <f>+HLOOKUP($C47,'NEW CAR'!$CU$2:$DF$250,108,0)</f>
        <v>3652</v>
      </c>
      <c r="AI47" s="106">
        <f>+HLOOKUP($C47,'NEW CAR'!$CU$2:$DF$250,109,0)</f>
        <v>166257.31800000003</v>
      </c>
      <c r="AJ47" s="106">
        <f>+HLOOKUP($C47,'NEW CAR'!$CU$2:$DF$250,110,0)</f>
        <v>0</v>
      </c>
      <c r="AK47" s="106">
        <f>+HLOOKUP($C47,'NEW CAR'!$CU$2:$DF$250,111,0)</f>
        <v>6600</v>
      </c>
      <c r="AL47" s="106">
        <f>+HLOOKUP($C47,'NEW CAR'!$CU$2:$DF$250,112,0)</f>
        <v>0</v>
      </c>
      <c r="AM47" s="106">
        <f>+HLOOKUP($C47,'NEW CAR'!$CU$2:$DF$250,116,0)</f>
        <v>375400</v>
      </c>
      <c r="AN47" s="106">
        <f>+HLOOKUP($C47,'NEW CAR'!$CU$2:$DF$250,117,0)</f>
        <v>57450</v>
      </c>
      <c r="AO47" s="106">
        <f>+HLOOKUP($C47,'NEW CAR'!$CU$2:$DF$250,118,0)</f>
        <v>9000</v>
      </c>
      <c r="AP47" s="106">
        <f>+HLOOKUP($C47,'NEW CAR'!$CU$2:$DF$250,119,0)</f>
        <v>125200</v>
      </c>
      <c r="AQ47" s="106">
        <f>+HLOOKUP($C47,'NEW CAR'!$CU$2:$DF$250,120,0)</f>
        <v>34500</v>
      </c>
      <c r="AR47" s="106">
        <f>+HLOOKUP($C47,'NEW CAR'!$CU$2:$DF$250,121,0)</f>
        <v>8350</v>
      </c>
      <c r="AS47" s="106">
        <f>+HLOOKUP($C47,'NEW CAR'!$CU$2:$DF$250,122,0)</f>
        <v>179400</v>
      </c>
      <c r="AT47" s="106">
        <f>+HLOOKUP($C47,'NEW CAR'!$CU$2:$DF$250,123,0)</f>
        <v>36127</v>
      </c>
      <c r="AU47" s="106">
        <f>+HLOOKUP($C47,'NEW CAR'!$CU$2:$DF$250,124,0)</f>
        <v>4191</v>
      </c>
      <c r="AV47" s="106">
        <f>+HLOOKUP($C47,'NEW CAR'!$CU$2:$DF$250,125,0)</f>
        <v>39225</v>
      </c>
      <c r="AW47" s="106">
        <f>+HLOOKUP($C47,'NEW CAR'!$CU$2:$DF$250,126,0)</f>
        <v>18769.230769230773</v>
      </c>
      <c r="AX47" s="106">
        <f>+HLOOKUP($C47,'NEW CAR'!$CU$2:$DF$250,127,0)</f>
        <v>24574.999999999996</v>
      </c>
      <c r="AY47" s="106">
        <f>+HLOOKUP($C47,'NEW CAR'!$CU$2:$DF$250,129,0)</f>
        <v>0</v>
      </c>
      <c r="AZ47" s="106">
        <f>+HLOOKUP($C47,'NEW CAR'!$CU$2:$DF$250,130,0)</f>
        <v>0</v>
      </c>
      <c r="BA47" s="106">
        <f>+HLOOKUP($C47,'NEW CAR'!$CU$2:$DF$250,131,0)</f>
        <v>0</v>
      </c>
      <c r="BB47" s="106">
        <f>+HLOOKUP($C47,'NEW CAR'!$CU$2:$DF$250,133,0)</f>
        <v>0</v>
      </c>
      <c r="BC47" s="106">
        <f>+HLOOKUP($C47,'NEW CAR'!$CU$2:$DF$250,134,0)</f>
        <v>55000.480000000003</v>
      </c>
      <c r="BD47" s="106">
        <f>+HLOOKUP($C47,'NEW CAR'!$CU$2:$DF$250,135,0)</f>
        <v>0</v>
      </c>
      <c r="BE47" s="106">
        <f>+HLOOKUP($C47,'NEW CAR'!$CU$2:$DF$250,136,0)</f>
        <v>0</v>
      </c>
      <c r="BF47" s="106">
        <f>+HLOOKUP($C47,'NEW CAR'!$CU$2:$DF$250,138,0)</f>
        <v>0</v>
      </c>
      <c r="BG47" s="106">
        <f>+HLOOKUP($C47,'NEW CAR'!$CU$2:$DF$250,139,0)</f>
        <v>19563.099999999999</v>
      </c>
      <c r="BH47" s="106">
        <f>+HLOOKUP($C47,'NEW CAR'!$CU$2:$DF$250,140,0)</f>
        <v>22500</v>
      </c>
      <c r="BI47" s="106">
        <f>+HLOOKUP($C47,'NEW CAR'!$CU$2:$DF$250,141,0)</f>
        <v>683.3</v>
      </c>
      <c r="BJ47" s="106">
        <f>+HLOOKUP($C47,'NEW CAR'!$CU$2:$DF$250,142,0)</f>
        <v>0</v>
      </c>
      <c r="BK47" s="106">
        <f>+HLOOKUP($C47,'NEW CAR'!$CU$2:$DF$250,143,0)</f>
        <v>26971.833333333332</v>
      </c>
      <c r="BL47" s="106">
        <f>+HLOOKUP($C47,'NEW CAR'!$CU$2:$DF$250,144,0)</f>
        <v>22886</v>
      </c>
      <c r="BM47" s="106">
        <f>+HLOOKUP($C47,'NEW CAR'!$CU$2:$DF$250,146,0)</f>
        <v>0</v>
      </c>
      <c r="BN47" s="106">
        <f>+HLOOKUP($C47,'NEW CAR'!$CU$2:$DF$250,147,0)</f>
        <v>19484</v>
      </c>
      <c r="BO47" s="106">
        <f>+HLOOKUP($C47,'NEW CAR'!$CU$2:$DF$250,148,0)</f>
        <v>0</v>
      </c>
      <c r="BP47" s="106">
        <f>+HLOOKUP($C47,'NEW CAR'!$CU$2:$DF$250,150,0)</f>
        <v>39679</v>
      </c>
      <c r="BQ47" s="106">
        <f>+HLOOKUP($C47,'NEW CAR'!$CU$2:$DF$250,151,0)</f>
        <v>2480.5</v>
      </c>
      <c r="BR47" s="106">
        <f>+HLOOKUP($C47,'NEW CAR'!$CU$2:$DF$250,152,0)</f>
        <v>16000</v>
      </c>
      <c r="BS47" s="106">
        <f>+HLOOKUP($C47,'NEW CAR'!$CU$2:$DF$250,153,0)</f>
        <v>800</v>
      </c>
      <c r="BT47" s="106">
        <f>+HLOOKUP($C47,'NEW CAR'!$CU$2:$DF$250,157,0)</f>
        <v>0</v>
      </c>
      <c r="BU47" s="106">
        <f>+HLOOKUP($C47,'NEW CAR'!$CU$2:$DF$250,158,0)</f>
        <v>0</v>
      </c>
      <c r="BV47" s="106">
        <f>+HLOOKUP($C47,'NEW CAR'!$CU$2:$DF$250,159,0)</f>
        <v>2184.6754999999998</v>
      </c>
      <c r="BW47" s="106">
        <f>+HLOOKUP($C47,'NEW CAR'!$CU$2:$DF$250,160,0)</f>
        <v>11546.6</v>
      </c>
      <c r="BX47" s="106">
        <f>+HLOOKUP($C47,'NEW CAR'!$CU$2:$DF$250,161,0)</f>
        <v>1250</v>
      </c>
      <c r="BY47" s="106">
        <f>+HLOOKUP($C47,'NEW CAR'!$CU$2:$DF$250,164,0)</f>
        <v>0</v>
      </c>
      <c r="BZ47" s="106">
        <f>+HLOOKUP($C47,'NEW CAR'!$CU$2:$DF$250,165,0)</f>
        <v>0</v>
      </c>
      <c r="CA47" s="106">
        <f>+HLOOKUP($C47,'NEW CAR'!$CU$2:$DF$250,166,0)</f>
        <v>0</v>
      </c>
      <c r="CB47" s="106">
        <f>+HLOOKUP($C47,'NEW CAR'!$CU$2:$DF$250,167,0)</f>
        <v>0</v>
      </c>
      <c r="CC47" s="106">
        <f>+HLOOKUP($C47,'NEW CAR'!$CU$2:$DF$250,168,0)</f>
        <v>0</v>
      </c>
      <c r="CD47" s="106">
        <f>+HLOOKUP($C47,'NEW CAR'!$CU$2:$DF$250,169,0)</f>
        <v>1466.9504999999995</v>
      </c>
      <c r="CE47" s="106">
        <f>+HLOOKUP($C47,'NEW CAR'!$CU$2:$DF$250,170,0)</f>
        <v>0</v>
      </c>
      <c r="CF47" s="106">
        <f>+HLOOKUP($C47,'NEW CAR'!$CU$2:$DF$250,172,0)</f>
        <v>18000</v>
      </c>
      <c r="CG47" s="106">
        <f>+HLOOKUP($C47,'NEW CAR'!$CU$2:$DF$250,173,0)</f>
        <v>0</v>
      </c>
      <c r="CH47" s="106">
        <f>+HLOOKUP($C47,'NEW CAR'!$CU$2:$DF$250,174,0)</f>
        <v>0</v>
      </c>
      <c r="CI47" s="106">
        <f>+HLOOKUP($C47,'NEW CAR'!$CU$2:$DF$250,175,0)</f>
        <v>0</v>
      </c>
      <c r="CJ47" s="106">
        <f>+HLOOKUP($C47,'NEW CAR'!$CU$2:$DF$250,176,0)</f>
        <v>2371.8795</v>
      </c>
      <c r="CK47" s="106">
        <f>+HLOOKUP($C47,'NEW CAR'!$CU$2:$DF$250,178,0)</f>
        <v>51457</v>
      </c>
      <c r="CL47" s="106">
        <f>+HLOOKUP($C47,'NEW CAR'!$CU$2:$DF$250,179,0)</f>
        <v>0</v>
      </c>
      <c r="CM47" s="106">
        <f>+HLOOKUP($C47,'NEW CAR'!$CU$2:$DF$250,180,0)</f>
        <v>0</v>
      </c>
      <c r="CN47" s="106">
        <f>+HLOOKUP($C47,'NEW CAR'!$CU$2:$DF$250,182,0)</f>
        <v>0</v>
      </c>
      <c r="CO47" s="106">
        <f>+HLOOKUP($C47,'NEW CAR'!$CU$2:$DF$250,183,0)</f>
        <v>7138.415</v>
      </c>
      <c r="CP47" s="106">
        <f>+HLOOKUP($C47,'NEW CAR'!$CU$2:$DF$250,184,0)</f>
        <v>0</v>
      </c>
      <c r="CQ47" s="106">
        <f>+HLOOKUP($C47,'NEW CAR'!$CU$2:$DF$250,185,0)</f>
        <v>0</v>
      </c>
      <c r="CR47" s="106">
        <f>+HLOOKUP($C47,'NEW CAR'!$CU$2:$DF$250,187,0)</f>
        <v>3124.7999999999997</v>
      </c>
      <c r="CS47" s="106">
        <f>+HLOOKUP($C47,'NEW CAR'!$CU$2:$DF$250,188,0)</f>
        <v>0</v>
      </c>
      <c r="CT47" s="106">
        <f>+HLOOKUP($C47,'NEW CAR'!$CU$2:$DF$250,189,0)</f>
        <v>0</v>
      </c>
      <c r="CU47" s="106">
        <f>+HLOOKUP($C47,'NEW CAR'!$CU$2:$DF$250,190,0)</f>
        <v>0</v>
      </c>
      <c r="CV47" s="106">
        <f>+HLOOKUP($C47,'NEW CAR'!$CU$2:$DF$250,191,0)</f>
        <v>0</v>
      </c>
      <c r="CW47" s="106">
        <f>+HLOOKUP($C47,'NEW CAR'!$CU$2:$DF$250,193,0)</f>
        <v>6177.1666666666715</v>
      </c>
      <c r="CX47" s="106">
        <f>+HLOOKUP($C47,'NEW CAR'!$CU$2:$DF$250,194,0)</f>
        <v>39.75</v>
      </c>
      <c r="CY47" s="106">
        <f>+HLOOKUP($C47,'NEW CAR'!$CU$2:$DF$250,195,0)</f>
        <v>1375.06</v>
      </c>
      <c r="CZ47" s="106">
        <f>+HLOOKUP($C47,'NEW CAR'!$CU$2:$DF$250,196,0)</f>
        <v>0</v>
      </c>
      <c r="DA47" s="106">
        <f>+HLOOKUP($C47,'NEW CAR'!$CU$2:$DF$250,197,0)</f>
        <v>4634.7999999999993</v>
      </c>
      <c r="DB47" s="106">
        <f>+HLOOKUP($C47,'NEW CAR'!$CU$2:$DF$250,198,0)</f>
        <v>1136.0900000000001</v>
      </c>
      <c r="DC47" s="106">
        <f>+HLOOKUP($C47,'NEW CAR'!$CU$2:$DF$250,199,0)</f>
        <v>790.48</v>
      </c>
      <c r="DD47" s="106">
        <f>+HLOOKUP($C47,'NEW CAR'!$CU$2:$DF$250,200,0)</f>
        <v>500</v>
      </c>
      <c r="DE47" s="106">
        <f>+HLOOKUP($C47,'NEW CAR'!$CU$2:$DF$250,201,0)</f>
        <v>0</v>
      </c>
      <c r="DF47" s="106">
        <f>+HLOOKUP($C47,'NEW CAR'!$CU$2:$DF$250,202,0)</f>
        <v>-3.7004999999999995</v>
      </c>
      <c r="DG47" s="106">
        <f>+HLOOKUP($C47,'NEW CAR'!$CU$2:$DF$250,203,0)</f>
        <v>-60.791999999999994</v>
      </c>
      <c r="DH47" s="106">
        <f>+HLOOKUP($C47,'NEW CAR'!$CU$2:$DF$250,205,0)</f>
        <v>49979.92</v>
      </c>
      <c r="DI47" s="106">
        <f>+HLOOKUP($C47,'NEW CAR'!$CU$2:$DF$250,206,0)</f>
        <v>0</v>
      </c>
      <c r="DJ47" s="106">
        <f>+HLOOKUP($C47,'NEW CAR'!$CU$2:$DF$250,207,0)</f>
        <v>3201.7520000000004</v>
      </c>
      <c r="DK47" s="106">
        <f>+HLOOKUP($C47,'NEW CAR'!$CU$2:$DF$250,209,0)</f>
        <v>0</v>
      </c>
      <c r="DL47" s="106">
        <f>+HLOOKUP($C47,'NEW CAR'!$CU$2:$DF$250,210,0)</f>
        <v>0</v>
      </c>
      <c r="DM47" s="106">
        <f>+HLOOKUP($C47,'NEW CAR'!$CU$2:$DF$250,211,0)</f>
        <v>116992.5</v>
      </c>
      <c r="DN47" s="106">
        <f>+HLOOKUP($C47,'NEW CAR'!$CU$2:$DF$250,212,0)</f>
        <v>24000</v>
      </c>
      <c r="DO47" s="106">
        <f>+HLOOKUP($C47,'NEW CAR'!$CU$2:$DF$250,214,0)</f>
        <v>0</v>
      </c>
      <c r="DP47" s="106">
        <f>+HLOOKUP($C47,'NEW CAR'!$CU$2:$DF$250,215,0)</f>
        <v>1175</v>
      </c>
      <c r="DQ47" s="106">
        <f>+HLOOKUP($C47,'NEW CAR'!$CU$2:$DF$250,219,0)</f>
        <v>0</v>
      </c>
      <c r="DR47" s="106">
        <f>+HLOOKUP($C47,'NEW CAR'!$CU$2:$DF$250,220,0)</f>
        <v>181242.80000000002</v>
      </c>
      <c r="DS47" s="106">
        <f>+HLOOKUP($C47,'NEW CAR'!$CU$2:$DF$250,221,0)</f>
        <v>57794.100000000006</v>
      </c>
      <c r="DT47" s="106">
        <f>+HLOOKUP($C47,'NEW CAR'!$CU$2:$DF$250,223,0)</f>
        <v>31400.989499999996</v>
      </c>
      <c r="DU47" s="106">
        <f>+HLOOKUP($C47,'NEW CAR'!$CU$2:$DF$250,224,0)</f>
        <v>0</v>
      </c>
      <c r="DV47" s="106">
        <f>+HLOOKUP($C47,'NEW CAR'!$CU$2:$DF$250,225,0)</f>
        <v>0</v>
      </c>
      <c r="DW47" s="106">
        <f>+HLOOKUP($C47,'NEW CAR'!$CU$2:$DF$250,227,0)</f>
        <v>0</v>
      </c>
      <c r="DX47" s="106">
        <f>+HLOOKUP($C47,'NEW CAR'!$CU$2:$DF$250,228,0)</f>
        <v>2491.1999999999998</v>
      </c>
      <c r="DY47" s="106">
        <f>+HLOOKUP($C47,'NEW CAR'!$CU$2:$DF$250,236,0)</f>
        <v>0</v>
      </c>
      <c r="DZ47" s="106">
        <f>+HLOOKUP($C47,'NEW CAR'!$CU$2:$DF$250,237,0)</f>
        <v>157929.74505</v>
      </c>
      <c r="EA47" s="106">
        <f>+HLOOKUP($C47,'NEW CAR'!$CU$2:$DF$250,238,0)</f>
        <v>10506.15</v>
      </c>
      <c r="EB47" s="106">
        <f>+HLOOKUP($C47,'NEW CAR'!$CU$2:$DF$250,240,0)</f>
        <v>433516.25836428563</v>
      </c>
    </row>
    <row r="48" spans="1:132" hidden="1">
      <c r="A48" t="s">
        <v>271</v>
      </c>
      <c r="B48" t="s">
        <v>270</v>
      </c>
      <c r="C48" s="117">
        <v>45689</v>
      </c>
      <c r="D48" s="106">
        <f>+HLOOKUP(C48,'NEW CAR'!$CU$2:$DF$250,6,0)/3.5%</f>
        <v>25493114.285714284</v>
      </c>
      <c r="E48" s="106">
        <f>+HLOOKUP(C48,'NEW CAR'!$CU$2:$DF$250,5,0)+HLOOKUP(C48,'NEW CAR'!$CU$2:$DF$250,26,0)+HLOOKUP(C48,'NEW CAR'!$CU$2:$DF$250,59,0)</f>
        <v>1335590.9435000001</v>
      </c>
      <c r="G48" s="106">
        <f>+HLOOKUP($C48,'NEW CAR'!$CU$2:$DF$250,76,0)</f>
        <v>248940.75</v>
      </c>
      <c r="H48" s="106">
        <f>+HLOOKUP($C48,'NEW CAR'!$CU$2:$DF$250,77,0)</f>
        <v>49330</v>
      </c>
      <c r="I48" s="106">
        <f>+HLOOKUP($C48,'NEW CAR'!$CU$2:$DF$250,78,0)</f>
        <v>0</v>
      </c>
      <c r="J48" s="106">
        <f>+HLOOKUP($C48,'NEW CAR'!$CU$2:$DF$250,79,0)</f>
        <v>85808.73</v>
      </c>
      <c r="K48" s="106">
        <f>+HLOOKUP($C48,'NEW CAR'!$CU$2:$DF$250,80,0)</f>
        <v>0</v>
      </c>
      <c r="L48" s="106">
        <f>+HLOOKUP($C48,'NEW CAR'!$CU$2:$DF$250,81,0)</f>
        <v>0</v>
      </c>
      <c r="M48" s="106">
        <f>+HLOOKUP($C48,'NEW CAR'!$CU$2:$DF$250,82,0)</f>
        <v>0</v>
      </c>
      <c r="N48" s="106">
        <f>+HLOOKUP($C48,'NEW CAR'!$CU$2:$DF$250,83,0)</f>
        <v>0</v>
      </c>
      <c r="O48" s="106">
        <f>+HLOOKUP($C48,'NEW CAR'!$CU$2:$DF$250,84,0)</f>
        <v>0</v>
      </c>
      <c r="P48" s="106">
        <f>+HLOOKUP($C48,'NEW CAR'!$CU$2:$DF$250,85,0)</f>
        <v>0</v>
      </c>
      <c r="Q48" s="106">
        <f>+HLOOKUP($C48,'NEW CAR'!$CU$2:$DF$250,87,0)</f>
        <v>56097</v>
      </c>
      <c r="R48" s="106">
        <f>+HLOOKUP($C48,'NEW CAR'!$CU$2:$DF$250,90,0)</f>
        <v>0</v>
      </c>
      <c r="S48" s="106">
        <f>+HLOOKUP($C48,'NEW CAR'!$CU$2:$DF$250,91,0)</f>
        <v>0</v>
      </c>
      <c r="T48" s="106">
        <f>+HLOOKUP($C48,'NEW CAR'!$CU$2:$DF$250,92,0)</f>
        <v>126672.67600000001</v>
      </c>
      <c r="U48" s="106">
        <f>+HLOOKUP($C48,'NEW CAR'!$CU$2:$DF$250,93,0)</f>
        <v>2000</v>
      </c>
      <c r="V48" s="106">
        <f>+HLOOKUP($C48,'NEW CAR'!$CU$2:$DF$250,94,0)</f>
        <v>0</v>
      </c>
      <c r="W48" s="106">
        <f>+HLOOKUP($C48,'NEW CAR'!$CU$2:$DF$250,95,0)</f>
        <v>49590.528000000006</v>
      </c>
      <c r="X48" s="106">
        <f>+HLOOKUP($C48,'NEW CAR'!$CU$2:$DF$250,96,0)</f>
        <v>22707.876000000004</v>
      </c>
      <c r="Y48" s="106">
        <f>+HLOOKUP($C48,'NEW CAR'!$CU$2:$DF$250,97,0)</f>
        <v>68620.895999999993</v>
      </c>
      <c r="Z48" s="106">
        <f>+HLOOKUP($C48,'NEW CAR'!$CU$2:$DF$250,98,0)</f>
        <v>0</v>
      </c>
      <c r="AA48" s="106">
        <f>+HLOOKUP($C48,'NEW CAR'!$CU$2:$DF$250,99,0)</f>
        <v>0</v>
      </c>
      <c r="AB48" s="106">
        <f>+HLOOKUP($C48,'NEW CAR'!$CU$2:$DF$250,100,0)</f>
        <v>0</v>
      </c>
      <c r="AC48" s="106">
        <f>+HLOOKUP($C48,'NEW CAR'!$CU$2:$DF$250,101,0)</f>
        <v>12196.808000000001</v>
      </c>
      <c r="AD48" s="106">
        <f>+HLOOKUP($C48,'NEW CAR'!$CU$2:$DF$250,104,0)</f>
        <v>0</v>
      </c>
      <c r="AE48" s="106">
        <f>+HLOOKUP($C48,'NEW CAR'!$CU$2:$DF$250,105,0)</f>
        <v>165724.245</v>
      </c>
      <c r="AF48" s="106">
        <f>+HLOOKUP($C48,'NEW CAR'!$CU$2:$DF$250,106,0)</f>
        <v>0</v>
      </c>
      <c r="AG48" s="106">
        <f>+HLOOKUP($C48,'NEW CAR'!$CU$2:$DF$250,107,0)</f>
        <v>44438.399999999994</v>
      </c>
      <c r="AH48" s="106">
        <f>+HLOOKUP($C48,'NEW CAR'!$CU$2:$DF$250,108,0)</f>
        <v>8498.4</v>
      </c>
      <c r="AI48" s="106">
        <f>+HLOOKUP($C48,'NEW CAR'!$CU$2:$DF$250,109,0)</f>
        <v>280148.94</v>
      </c>
      <c r="AJ48" s="106">
        <f>+HLOOKUP($C48,'NEW CAR'!$CU$2:$DF$250,110,0)</f>
        <v>0</v>
      </c>
      <c r="AK48" s="106">
        <f>+HLOOKUP($C48,'NEW CAR'!$CU$2:$DF$250,111,0)</f>
        <v>0</v>
      </c>
      <c r="AL48" s="106">
        <f>+HLOOKUP($C48,'NEW CAR'!$CU$2:$DF$250,112,0)</f>
        <v>0</v>
      </c>
      <c r="AM48" s="106">
        <f>+HLOOKUP($C48,'NEW CAR'!$CU$2:$DF$250,116,0)</f>
        <v>372700</v>
      </c>
      <c r="AN48" s="106">
        <f>+HLOOKUP($C48,'NEW CAR'!$CU$2:$DF$250,117,0)</f>
        <v>54084</v>
      </c>
      <c r="AO48" s="106">
        <f>+HLOOKUP($C48,'NEW CAR'!$CU$2:$DF$250,118,0)</f>
        <v>8652</v>
      </c>
      <c r="AP48" s="106">
        <f>+HLOOKUP($C48,'NEW CAR'!$CU$2:$DF$250,119,0)</f>
        <v>111034</v>
      </c>
      <c r="AQ48" s="106">
        <f>+HLOOKUP($C48,'NEW CAR'!$CU$2:$DF$250,120,0)</f>
        <v>32065.71</v>
      </c>
      <c r="AR48" s="106">
        <f>+HLOOKUP($C48,'NEW CAR'!$CU$2:$DF$250,121,0)</f>
        <v>7076</v>
      </c>
      <c r="AS48" s="106">
        <f>+HLOOKUP($C48,'NEW CAR'!$CU$2:$DF$250,122,0)</f>
        <v>165949</v>
      </c>
      <c r="AT48" s="106">
        <f>+HLOOKUP($C48,'NEW CAR'!$CU$2:$DF$250,123,0)</f>
        <v>39485</v>
      </c>
      <c r="AU48" s="106">
        <f>+HLOOKUP($C48,'NEW CAR'!$CU$2:$DF$250,124,0)</f>
        <v>3998</v>
      </c>
      <c r="AV48" s="106">
        <f>+HLOOKUP($C48,'NEW CAR'!$CU$2:$DF$250,125,0)</f>
        <v>39225</v>
      </c>
      <c r="AW48" s="106">
        <f>+HLOOKUP($C48,'NEW CAR'!$CU$2:$DF$250,126,0)</f>
        <v>18769.230769230773</v>
      </c>
      <c r="AX48" s="106">
        <f>+HLOOKUP($C48,'NEW CAR'!$CU$2:$DF$250,127,0)</f>
        <v>24574.999999999996</v>
      </c>
      <c r="AY48" s="106">
        <f>+HLOOKUP($C48,'NEW CAR'!$CU$2:$DF$250,129,0)</f>
        <v>0</v>
      </c>
      <c r="AZ48" s="106">
        <f>+HLOOKUP($C48,'NEW CAR'!$CU$2:$DF$250,130,0)</f>
        <v>0</v>
      </c>
      <c r="BA48" s="106">
        <f>+HLOOKUP($C48,'NEW CAR'!$CU$2:$DF$250,131,0)</f>
        <v>0</v>
      </c>
      <c r="BB48" s="106">
        <f>+HLOOKUP($C48,'NEW CAR'!$CU$2:$DF$250,133,0)</f>
        <v>0</v>
      </c>
      <c r="BC48" s="106">
        <f>+HLOOKUP($C48,'NEW CAR'!$CU$2:$DF$250,134,0)</f>
        <v>18923.125500000002</v>
      </c>
      <c r="BD48" s="106">
        <f>+HLOOKUP($C48,'NEW CAR'!$CU$2:$DF$250,135,0)</f>
        <v>0</v>
      </c>
      <c r="BE48" s="106">
        <f>+HLOOKUP($C48,'NEW CAR'!$CU$2:$DF$250,136,0)</f>
        <v>0</v>
      </c>
      <c r="BF48" s="106">
        <f>+HLOOKUP($C48,'NEW CAR'!$CU$2:$DF$250,138,0)</f>
        <v>0</v>
      </c>
      <c r="BG48" s="106">
        <f>+HLOOKUP($C48,'NEW CAR'!$CU$2:$DF$250,139,0)</f>
        <v>8948.2000000000007</v>
      </c>
      <c r="BH48" s="106">
        <f>+HLOOKUP($C48,'NEW CAR'!$CU$2:$DF$250,140,0)</f>
        <v>22500</v>
      </c>
      <c r="BI48" s="106">
        <f>+HLOOKUP($C48,'NEW CAR'!$CU$2:$DF$250,141,0)</f>
        <v>9731.86</v>
      </c>
      <c r="BJ48" s="106">
        <f>+HLOOKUP($C48,'NEW CAR'!$CU$2:$DF$250,142,0)</f>
        <v>0</v>
      </c>
      <c r="BK48" s="106">
        <f>+HLOOKUP($C48,'NEW CAR'!$CU$2:$DF$250,143,0)</f>
        <v>26971.833333333332</v>
      </c>
      <c r="BL48" s="106">
        <f>+HLOOKUP($C48,'NEW CAR'!$CU$2:$DF$250,144,0)</f>
        <v>0</v>
      </c>
      <c r="BM48" s="106">
        <f>+HLOOKUP($C48,'NEW CAR'!$CU$2:$DF$250,146,0)</f>
        <v>0</v>
      </c>
      <c r="BN48" s="106">
        <f>+HLOOKUP($C48,'NEW CAR'!$CU$2:$DF$250,147,0)</f>
        <v>33829</v>
      </c>
      <c r="BO48" s="106">
        <f>+HLOOKUP($C48,'NEW CAR'!$CU$2:$DF$250,148,0)</f>
        <v>0</v>
      </c>
      <c r="BP48" s="106">
        <f>+HLOOKUP($C48,'NEW CAR'!$CU$2:$DF$250,150,0)</f>
        <v>39599</v>
      </c>
      <c r="BQ48" s="106">
        <f>+HLOOKUP($C48,'NEW CAR'!$CU$2:$DF$250,151,0)</f>
        <v>2480.5</v>
      </c>
      <c r="BR48" s="106">
        <f>+HLOOKUP($C48,'NEW CAR'!$CU$2:$DF$250,152,0)</f>
        <v>16000</v>
      </c>
      <c r="BS48" s="106">
        <f>+HLOOKUP($C48,'NEW CAR'!$CU$2:$DF$250,153,0)</f>
        <v>800</v>
      </c>
      <c r="BT48" s="106">
        <f>+HLOOKUP($C48,'NEW CAR'!$CU$2:$DF$250,157,0)</f>
        <v>0</v>
      </c>
      <c r="BU48" s="106">
        <f>+HLOOKUP($C48,'NEW CAR'!$CU$2:$DF$250,158,0)</f>
        <v>0</v>
      </c>
      <c r="BV48" s="106">
        <f>+HLOOKUP($C48,'NEW CAR'!$CU$2:$DF$250,159,0)</f>
        <v>340.5</v>
      </c>
      <c r="BW48" s="106">
        <f>+HLOOKUP($C48,'NEW CAR'!$CU$2:$DF$250,160,0)</f>
        <v>45000</v>
      </c>
      <c r="BX48" s="106">
        <f>+HLOOKUP($C48,'NEW CAR'!$CU$2:$DF$250,161,0)</f>
        <v>18565.0085</v>
      </c>
      <c r="BY48" s="106">
        <f>+HLOOKUP($C48,'NEW CAR'!$CU$2:$DF$250,164,0)</f>
        <v>5550.5999999999995</v>
      </c>
      <c r="BZ48" s="106">
        <f>+HLOOKUP($C48,'NEW CAR'!$CU$2:$DF$250,165,0)</f>
        <v>0</v>
      </c>
      <c r="CA48" s="106">
        <f>+HLOOKUP($C48,'NEW CAR'!$CU$2:$DF$250,166,0)</f>
        <v>0</v>
      </c>
      <c r="CB48" s="106">
        <f>+HLOOKUP($C48,'NEW CAR'!$CU$2:$DF$250,167,0)</f>
        <v>0</v>
      </c>
      <c r="CC48" s="106">
        <f>+HLOOKUP($C48,'NEW CAR'!$CU$2:$DF$250,168,0)</f>
        <v>0</v>
      </c>
      <c r="CD48" s="106">
        <f>+HLOOKUP($C48,'NEW CAR'!$CU$2:$DF$250,169,0)</f>
        <v>1187.0084999999999</v>
      </c>
      <c r="CE48" s="106">
        <f>+HLOOKUP($C48,'NEW CAR'!$CU$2:$DF$250,170,0)</f>
        <v>0</v>
      </c>
      <c r="CF48" s="106">
        <f>+HLOOKUP($C48,'NEW CAR'!$CU$2:$DF$250,172,0)</f>
        <v>18000</v>
      </c>
      <c r="CG48" s="106">
        <f>+HLOOKUP($C48,'NEW CAR'!$CU$2:$DF$250,173,0)</f>
        <v>0</v>
      </c>
      <c r="CH48" s="106">
        <f>+HLOOKUP($C48,'NEW CAR'!$CU$2:$DF$250,174,0)</f>
        <v>0</v>
      </c>
      <c r="CI48" s="106">
        <f>+HLOOKUP($C48,'NEW CAR'!$CU$2:$DF$250,175,0)</f>
        <v>0</v>
      </c>
      <c r="CJ48" s="106">
        <f>+HLOOKUP($C48,'NEW CAR'!$CU$2:$DF$250,176,0)</f>
        <v>2372.0500000000002</v>
      </c>
      <c r="CK48" s="106">
        <f>+HLOOKUP($C48,'NEW CAR'!$CU$2:$DF$250,178,0)</f>
        <v>106818</v>
      </c>
      <c r="CL48" s="106">
        <f>+HLOOKUP($C48,'NEW CAR'!$CU$2:$DF$250,179,0)</f>
        <v>0</v>
      </c>
      <c r="CM48" s="106">
        <f>+HLOOKUP($C48,'NEW CAR'!$CU$2:$DF$250,180,0)</f>
        <v>0</v>
      </c>
      <c r="CN48" s="106">
        <f>+HLOOKUP($C48,'NEW CAR'!$CU$2:$DF$250,182,0)</f>
        <v>0</v>
      </c>
      <c r="CO48" s="106">
        <f>+HLOOKUP($C48,'NEW CAR'!$CU$2:$DF$250,183,0)</f>
        <v>15774.5</v>
      </c>
      <c r="CP48" s="106">
        <f>+HLOOKUP($C48,'NEW CAR'!$CU$2:$DF$250,184,0)</f>
        <v>0</v>
      </c>
      <c r="CQ48" s="106">
        <f>+HLOOKUP($C48,'NEW CAR'!$CU$2:$DF$250,185,0)</f>
        <v>0</v>
      </c>
      <c r="CR48" s="106">
        <f>+HLOOKUP($C48,'NEW CAR'!$CU$2:$DF$250,187,0)</f>
        <v>3124.7999999999997</v>
      </c>
      <c r="CS48" s="106">
        <f>+HLOOKUP($C48,'NEW CAR'!$CU$2:$DF$250,188,0)</f>
        <v>0</v>
      </c>
      <c r="CT48" s="106">
        <f>+HLOOKUP($C48,'NEW CAR'!$CU$2:$DF$250,189,0)</f>
        <v>0</v>
      </c>
      <c r="CU48" s="106">
        <f>+HLOOKUP($C48,'NEW CAR'!$CU$2:$DF$250,190,0)</f>
        <v>3756.95</v>
      </c>
      <c r="CV48" s="106">
        <f>+HLOOKUP($C48,'NEW CAR'!$CU$2:$DF$250,191,0)</f>
        <v>0</v>
      </c>
      <c r="CW48" s="106">
        <f>+HLOOKUP($C48,'NEW CAR'!$CU$2:$DF$250,193,0)</f>
        <v>12354</v>
      </c>
      <c r="CX48" s="106">
        <f>+HLOOKUP($C48,'NEW CAR'!$CU$2:$DF$250,194,0)</f>
        <v>39.75</v>
      </c>
      <c r="CY48" s="106">
        <f>+HLOOKUP($C48,'NEW CAR'!$CU$2:$DF$250,195,0)</f>
        <v>1375</v>
      </c>
      <c r="CZ48" s="106">
        <f>+HLOOKUP($C48,'NEW CAR'!$CU$2:$DF$250,196,0)</f>
        <v>0</v>
      </c>
      <c r="DA48" s="106">
        <f>+HLOOKUP($C48,'NEW CAR'!$CU$2:$DF$250,197,0)</f>
        <v>13668.15</v>
      </c>
      <c r="DB48" s="106">
        <f>+HLOOKUP($C48,'NEW CAR'!$CU$2:$DF$250,198,0)</f>
        <v>7513.93</v>
      </c>
      <c r="DC48" s="106">
        <f>+HLOOKUP($C48,'NEW CAR'!$CU$2:$DF$250,199,0)</f>
        <v>10636.869999999999</v>
      </c>
      <c r="DD48" s="106">
        <f>+HLOOKUP($C48,'NEW CAR'!$CU$2:$DF$250,200,0)</f>
        <v>0</v>
      </c>
      <c r="DE48" s="106">
        <f>+HLOOKUP($C48,'NEW CAR'!$CU$2:$DF$250,201,0)</f>
        <v>0</v>
      </c>
      <c r="DF48" s="106">
        <f>+HLOOKUP($C48,'NEW CAR'!$CU$2:$DF$250,202,0)</f>
        <v>0.9255000000000001</v>
      </c>
      <c r="DG48" s="106">
        <f>+HLOOKUP($C48,'NEW CAR'!$CU$2:$DF$250,203,0)</f>
        <v>-8.5289999999999999</v>
      </c>
      <c r="DH48" s="106">
        <f>+HLOOKUP($C48,'NEW CAR'!$CU$2:$DF$250,205,0)</f>
        <v>45253</v>
      </c>
      <c r="DI48" s="106">
        <f>+HLOOKUP($C48,'NEW CAR'!$CU$2:$DF$250,206,0)</f>
        <v>0</v>
      </c>
      <c r="DJ48" s="106">
        <f>+HLOOKUP($C48,'NEW CAR'!$CU$2:$DF$250,207,0)</f>
        <v>3201.9995000000008</v>
      </c>
      <c r="DK48" s="106">
        <f>+HLOOKUP($C48,'NEW CAR'!$CU$2:$DF$250,209,0)</f>
        <v>0</v>
      </c>
      <c r="DL48" s="106">
        <f>+HLOOKUP($C48,'NEW CAR'!$CU$2:$DF$250,210,0)</f>
        <v>0</v>
      </c>
      <c r="DM48" s="106">
        <f>+HLOOKUP($C48,'NEW CAR'!$CU$2:$DF$250,211,0)</f>
        <v>116992.5</v>
      </c>
      <c r="DN48" s="106">
        <f>+HLOOKUP($C48,'NEW CAR'!$CU$2:$DF$250,212,0)</f>
        <v>24000</v>
      </c>
      <c r="DO48" s="106">
        <f>+HLOOKUP($C48,'NEW CAR'!$CU$2:$DF$250,214,0)</f>
        <v>0</v>
      </c>
      <c r="DP48" s="106">
        <f>+HLOOKUP($C48,'NEW CAR'!$CU$2:$DF$250,215,0)</f>
        <v>3750</v>
      </c>
      <c r="DQ48" s="106">
        <f>+HLOOKUP($C48,'NEW CAR'!$CU$2:$DF$250,219,0)</f>
        <v>0</v>
      </c>
      <c r="DR48" s="106">
        <f>+HLOOKUP($C48,'NEW CAR'!$CU$2:$DF$250,220,0)</f>
        <v>0</v>
      </c>
      <c r="DS48" s="106">
        <f>+HLOOKUP($C48,'NEW CAR'!$CU$2:$DF$250,221,0)</f>
        <v>284801.56400000001</v>
      </c>
      <c r="DT48" s="106">
        <f>+HLOOKUP($C48,'NEW CAR'!$CU$2:$DF$250,223,0)</f>
        <v>10642.522499999999</v>
      </c>
      <c r="DU48" s="106">
        <f>+HLOOKUP($C48,'NEW CAR'!$CU$2:$DF$250,224,0)</f>
        <v>0</v>
      </c>
      <c r="DV48" s="106">
        <f>+HLOOKUP($C48,'NEW CAR'!$CU$2:$DF$250,225,0)</f>
        <v>0</v>
      </c>
      <c r="DW48" s="106">
        <f>+HLOOKUP($C48,'NEW CAR'!$CU$2:$DF$250,227,0)</f>
        <v>0</v>
      </c>
      <c r="DX48" s="106">
        <f>+HLOOKUP($C48,'NEW CAR'!$CU$2:$DF$250,228,0)</f>
        <v>10107.15</v>
      </c>
      <c r="DY48" s="106">
        <f>+HLOOKUP($C48,'NEW CAR'!$CU$2:$DF$250,236,0)</f>
        <v>0</v>
      </c>
      <c r="DZ48" s="106">
        <f>+HLOOKUP($C48,'NEW CAR'!$CU$2:$DF$250,237,0)</f>
        <v>154461.80924999999</v>
      </c>
      <c r="EA48" s="106">
        <f>+HLOOKUP($C48,'NEW CAR'!$CU$2:$DF$250,238,0)</f>
        <v>0</v>
      </c>
      <c r="EB48" s="106">
        <f>+HLOOKUP($C48,'NEW CAR'!$CU$2:$DF$250,240,0)</f>
        <v>433516.25836428563</v>
      </c>
    </row>
    <row r="49" spans="1:132" hidden="1">
      <c r="A49" t="s">
        <v>271</v>
      </c>
      <c r="B49" t="s">
        <v>270</v>
      </c>
      <c r="C49" s="117">
        <v>45658</v>
      </c>
      <c r="D49" s="106">
        <f>+HLOOKUP(C49,'NEW CAR'!$CU$2:$DF$250,6,0)/3.5%</f>
        <v>72176842.040000007</v>
      </c>
      <c r="E49" s="106">
        <f>+HLOOKUP(C49,'NEW CAR'!$CU$2:$DF$250,5,0)+HLOOKUP(C49,'NEW CAR'!$CU$2:$DF$250,26,0)+HLOOKUP(C49,'NEW CAR'!$CU$2:$DF$250,59,0)</f>
        <v>4415048.2782376222</v>
      </c>
      <c r="G49" s="106">
        <f>+HLOOKUP($C49,'NEW CAR'!$CU$2:$DF$250,76,0)</f>
        <v>62110</v>
      </c>
      <c r="H49" s="106">
        <f>+HLOOKUP($C49,'NEW CAR'!$CU$2:$DF$250,77,0)</f>
        <v>210839.16</v>
      </c>
      <c r="I49" s="106">
        <f>+HLOOKUP($C49,'NEW CAR'!$CU$2:$DF$250,78,0)</f>
        <v>0</v>
      </c>
      <c r="J49" s="106">
        <f>+HLOOKUP($C49,'NEW CAR'!$CU$2:$DF$250,79,0)</f>
        <v>78773.97</v>
      </c>
      <c r="K49" s="106">
        <f>+HLOOKUP($C49,'NEW CAR'!$CU$2:$DF$250,80,0)</f>
        <v>0</v>
      </c>
      <c r="L49" s="106">
        <f>+HLOOKUP($C49,'NEW CAR'!$CU$2:$DF$250,81,0)</f>
        <v>1275</v>
      </c>
      <c r="M49" s="106">
        <f>+HLOOKUP($C49,'NEW CAR'!$CU$2:$DF$250,82,0)</f>
        <v>0</v>
      </c>
      <c r="N49" s="106">
        <f>+HLOOKUP($C49,'NEW CAR'!$CU$2:$DF$250,83,0)</f>
        <v>0</v>
      </c>
      <c r="O49" s="106">
        <f>+HLOOKUP($C49,'NEW CAR'!$CU$2:$DF$250,84,0)</f>
        <v>60000</v>
      </c>
      <c r="P49" s="106">
        <f>+HLOOKUP($C49,'NEW CAR'!$CU$2:$DF$250,85,0)</f>
        <v>0</v>
      </c>
      <c r="Q49" s="106">
        <f>+HLOOKUP($C49,'NEW CAR'!$CU$2:$DF$250,87,0)</f>
        <v>224333</v>
      </c>
      <c r="R49" s="106">
        <f>+HLOOKUP($C49,'NEW CAR'!$CU$2:$DF$250,90,0)</f>
        <v>0</v>
      </c>
      <c r="S49" s="106">
        <f>+HLOOKUP($C49,'NEW CAR'!$CU$2:$DF$250,91,0)</f>
        <v>1500</v>
      </c>
      <c r="T49" s="106">
        <f>+HLOOKUP($C49,'NEW CAR'!$CU$2:$DF$250,92,0)</f>
        <v>265838.185</v>
      </c>
      <c r="U49" s="106">
        <f>+HLOOKUP($C49,'NEW CAR'!$CU$2:$DF$250,93,0)</f>
        <v>3000</v>
      </c>
      <c r="V49" s="106">
        <f>+HLOOKUP($C49,'NEW CAR'!$CU$2:$DF$250,94,0)</f>
        <v>0</v>
      </c>
      <c r="W49" s="106">
        <f>+HLOOKUP($C49,'NEW CAR'!$CU$2:$DF$250,95,0)</f>
        <v>149780.12</v>
      </c>
      <c r="X49" s="106">
        <f>+HLOOKUP($C49,'NEW CAR'!$CU$2:$DF$250,96,0)</f>
        <v>36250.67</v>
      </c>
      <c r="Y49" s="106">
        <f>+HLOOKUP($C49,'NEW CAR'!$CU$2:$DF$250,97,0)</f>
        <v>68795.016000000003</v>
      </c>
      <c r="Z49" s="106">
        <f>+HLOOKUP($C49,'NEW CAR'!$CU$2:$DF$250,98,0)</f>
        <v>0</v>
      </c>
      <c r="AA49" s="106">
        <f>+HLOOKUP($C49,'NEW CAR'!$CU$2:$DF$250,99,0)</f>
        <v>0</v>
      </c>
      <c r="AB49" s="106">
        <f>+HLOOKUP($C49,'NEW CAR'!$CU$2:$DF$250,100,0)</f>
        <v>0</v>
      </c>
      <c r="AC49" s="106">
        <f>+HLOOKUP($C49,'NEW CAR'!$CU$2:$DF$250,101,0)</f>
        <v>31814.384000000002</v>
      </c>
      <c r="AD49" s="106">
        <f>+HLOOKUP($C49,'NEW CAR'!$CU$2:$DF$250,104,0)</f>
        <v>0</v>
      </c>
      <c r="AE49" s="106">
        <f>+HLOOKUP($C49,'NEW CAR'!$CU$2:$DF$250,105,0)</f>
        <v>272002.23599999998</v>
      </c>
      <c r="AF49" s="106">
        <f>+HLOOKUP($C49,'NEW CAR'!$CU$2:$DF$250,106,0)</f>
        <v>0</v>
      </c>
      <c r="AG49" s="106">
        <f>+HLOOKUP($C49,'NEW CAR'!$CU$2:$DF$250,107,0)</f>
        <v>144947.204</v>
      </c>
      <c r="AH49" s="106">
        <f>+HLOOKUP($C49,'NEW CAR'!$CU$2:$DF$250,108,0)</f>
        <v>9120</v>
      </c>
      <c r="AI49" s="106">
        <f>+HLOOKUP($C49,'NEW CAR'!$CU$2:$DF$250,109,0)</f>
        <v>85351.816000000006</v>
      </c>
      <c r="AJ49" s="106">
        <f>+HLOOKUP($C49,'NEW CAR'!$CU$2:$DF$250,110,0)</f>
        <v>0</v>
      </c>
      <c r="AK49" s="106">
        <f>+HLOOKUP($C49,'NEW CAR'!$CU$2:$DF$250,111,0)</f>
        <v>0</v>
      </c>
      <c r="AL49" s="106">
        <f>+HLOOKUP($C49,'NEW CAR'!$CU$2:$DF$250,112,0)</f>
        <v>0</v>
      </c>
      <c r="AM49" s="106">
        <f>+HLOOKUP($C49,'NEW CAR'!$CU$2:$DF$250,116,0)</f>
        <v>374023</v>
      </c>
      <c r="AN49" s="106">
        <f>+HLOOKUP($C49,'NEW CAR'!$CU$2:$DF$250,117,0)</f>
        <v>54363</v>
      </c>
      <c r="AO49" s="106">
        <f>+HLOOKUP($C49,'NEW CAR'!$CU$2:$DF$250,118,0)</f>
        <v>8839</v>
      </c>
      <c r="AP49" s="106">
        <f>+HLOOKUP($C49,'NEW CAR'!$CU$2:$DF$250,119,0)</f>
        <v>112559</v>
      </c>
      <c r="AQ49" s="106">
        <f>+HLOOKUP($C49,'NEW CAR'!$CU$2:$DF$250,120,0)</f>
        <v>32245</v>
      </c>
      <c r="AR49" s="106">
        <f>+HLOOKUP($C49,'NEW CAR'!$CU$2:$DF$250,121,0)</f>
        <v>7185</v>
      </c>
      <c r="AS49" s="106">
        <f>+HLOOKUP($C49,'NEW CAR'!$CU$2:$DF$250,122,0)</f>
        <v>167189</v>
      </c>
      <c r="AT49" s="106">
        <f>+HLOOKUP($C49,'NEW CAR'!$CU$2:$DF$250,123,0)</f>
        <v>35316</v>
      </c>
      <c r="AU49" s="106">
        <f>+HLOOKUP($C49,'NEW CAR'!$CU$2:$DF$250,124,0)</f>
        <v>4016</v>
      </c>
      <c r="AV49" s="106">
        <f>+HLOOKUP($C49,'NEW CAR'!$CU$2:$DF$250,125,0)</f>
        <v>39225</v>
      </c>
      <c r="AW49" s="106">
        <f>+HLOOKUP($C49,'NEW CAR'!$CU$2:$DF$250,126,0)</f>
        <v>18769.230769230773</v>
      </c>
      <c r="AX49" s="106">
        <f>+HLOOKUP($C49,'NEW CAR'!$CU$2:$DF$250,127,0)</f>
        <v>24574.999999999996</v>
      </c>
      <c r="AY49" s="106">
        <f>+HLOOKUP($C49,'NEW CAR'!$CU$2:$DF$250,129,0)</f>
        <v>0</v>
      </c>
      <c r="AZ49" s="106">
        <f>+HLOOKUP($C49,'NEW CAR'!$CU$2:$DF$250,130,0)</f>
        <v>0</v>
      </c>
      <c r="BA49" s="106">
        <f>+HLOOKUP($C49,'NEW CAR'!$CU$2:$DF$250,131,0)</f>
        <v>0</v>
      </c>
      <c r="BB49" s="106">
        <f>+HLOOKUP($C49,'NEW CAR'!$CU$2:$DF$250,133,0)</f>
        <v>0</v>
      </c>
      <c r="BC49" s="106">
        <f>+HLOOKUP($C49,'NEW CAR'!$CU$2:$DF$250,134,0)</f>
        <v>30742.55</v>
      </c>
      <c r="BD49" s="106">
        <f>+HLOOKUP($C49,'NEW CAR'!$CU$2:$DF$250,135,0)</f>
        <v>0</v>
      </c>
      <c r="BE49" s="106">
        <f>+HLOOKUP($C49,'NEW CAR'!$CU$2:$DF$250,136,0)</f>
        <v>0</v>
      </c>
      <c r="BF49" s="106">
        <f>+HLOOKUP($C49,'NEW CAR'!$CU$2:$DF$250,138,0)</f>
        <v>0</v>
      </c>
      <c r="BG49" s="106">
        <f>+HLOOKUP($C49,'NEW CAR'!$CU$2:$DF$250,139,0)</f>
        <v>24371</v>
      </c>
      <c r="BH49" s="106">
        <f>+HLOOKUP($C49,'NEW CAR'!$CU$2:$DF$250,140,0)</f>
        <v>22500</v>
      </c>
      <c r="BI49" s="106">
        <f>+HLOOKUP($C49,'NEW CAR'!$CU$2:$DF$250,141,0)</f>
        <v>0</v>
      </c>
      <c r="BJ49" s="106">
        <f>+HLOOKUP($C49,'NEW CAR'!$CU$2:$DF$250,142,0)</f>
        <v>0</v>
      </c>
      <c r="BK49" s="106">
        <f>+HLOOKUP($C49,'NEW CAR'!$CU$2:$DF$250,143,0)</f>
        <v>26971.833333333332</v>
      </c>
      <c r="BL49" s="106">
        <f>+HLOOKUP($C49,'NEW CAR'!$CU$2:$DF$250,144,0)</f>
        <v>5398</v>
      </c>
      <c r="BM49" s="106">
        <f>+HLOOKUP($C49,'NEW CAR'!$CU$2:$DF$250,146,0)</f>
        <v>0</v>
      </c>
      <c r="BN49" s="106">
        <f>+HLOOKUP($C49,'NEW CAR'!$CU$2:$DF$250,147,0)</f>
        <v>72495</v>
      </c>
      <c r="BO49" s="106">
        <f>+HLOOKUP($C49,'NEW CAR'!$CU$2:$DF$250,148,0)</f>
        <v>0</v>
      </c>
      <c r="BP49" s="106">
        <f>+HLOOKUP($C49,'NEW CAR'!$CU$2:$DF$250,150,0)</f>
        <v>39371.5</v>
      </c>
      <c r="BQ49" s="106">
        <f>+HLOOKUP($C49,'NEW CAR'!$CU$2:$DF$250,151,0)</f>
        <v>2480.5</v>
      </c>
      <c r="BR49" s="106">
        <f>+HLOOKUP($C49,'NEW CAR'!$CU$2:$DF$250,152,0)</f>
        <v>16000</v>
      </c>
      <c r="BS49" s="106">
        <f>+HLOOKUP($C49,'NEW CAR'!$CU$2:$DF$250,153,0)</f>
        <v>800</v>
      </c>
      <c r="BT49" s="106">
        <f>+HLOOKUP($C49,'NEW CAR'!$CU$2:$DF$250,157,0)</f>
        <v>0</v>
      </c>
      <c r="BU49" s="106">
        <f>+HLOOKUP($C49,'NEW CAR'!$CU$2:$DF$250,158,0)</f>
        <v>0</v>
      </c>
      <c r="BV49" s="106">
        <f>+HLOOKUP($C49,'NEW CAR'!$CU$2:$DF$250,159,0)</f>
        <v>2355.39</v>
      </c>
      <c r="BW49" s="106">
        <f>+HLOOKUP($C49,'NEW CAR'!$CU$2:$DF$250,160,0)</f>
        <v>0</v>
      </c>
      <c r="BX49" s="106">
        <f>+HLOOKUP($C49,'NEW CAR'!$CU$2:$DF$250,161,0)</f>
        <v>6669.0680000000002</v>
      </c>
      <c r="BY49" s="106">
        <f>+HLOOKUP($C49,'NEW CAR'!$CU$2:$DF$250,164,0)</f>
        <v>450</v>
      </c>
      <c r="BZ49" s="106">
        <f>+HLOOKUP($C49,'NEW CAR'!$CU$2:$DF$250,165,0)</f>
        <v>0</v>
      </c>
      <c r="CA49" s="106">
        <f>+HLOOKUP($C49,'NEW CAR'!$CU$2:$DF$250,166,0)</f>
        <v>0</v>
      </c>
      <c r="CB49" s="106">
        <f>+HLOOKUP($C49,'NEW CAR'!$CU$2:$DF$250,167,0)</f>
        <v>99677.58</v>
      </c>
      <c r="CC49" s="106">
        <f>+HLOOKUP($C49,'NEW CAR'!$CU$2:$DF$250,168,0)</f>
        <v>0</v>
      </c>
      <c r="CD49" s="106">
        <f>+HLOOKUP($C49,'NEW CAR'!$CU$2:$DF$250,169,0)</f>
        <v>2654.62</v>
      </c>
      <c r="CE49" s="106">
        <f>+HLOOKUP($C49,'NEW CAR'!$CU$2:$DF$250,170,0)</f>
        <v>0</v>
      </c>
      <c r="CF49" s="106">
        <f>+HLOOKUP($C49,'NEW CAR'!$CU$2:$DF$250,172,0)</f>
        <v>18000</v>
      </c>
      <c r="CG49" s="106">
        <f>+HLOOKUP($C49,'NEW CAR'!$CU$2:$DF$250,173,0)</f>
        <v>0</v>
      </c>
      <c r="CH49" s="106">
        <f>+HLOOKUP($C49,'NEW CAR'!$CU$2:$DF$250,174,0)</f>
        <v>0</v>
      </c>
      <c r="CI49" s="106">
        <f>+HLOOKUP($C49,'NEW CAR'!$CU$2:$DF$250,175,0)</f>
        <v>0</v>
      </c>
      <c r="CJ49" s="106">
        <f>+HLOOKUP($C49,'NEW CAR'!$CU$2:$DF$250,176,0)</f>
        <v>2372.0500000000002</v>
      </c>
      <c r="CK49" s="106">
        <f>+HLOOKUP($C49,'NEW CAR'!$CU$2:$DF$250,178,0)</f>
        <v>79579</v>
      </c>
      <c r="CL49" s="106">
        <f>+HLOOKUP($C49,'NEW CAR'!$CU$2:$DF$250,179,0)</f>
        <v>0</v>
      </c>
      <c r="CM49" s="106">
        <f>+HLOOKUP($C49,'NEW CAR'!$CU$2:$DF$250,180,0)</f>
        <v>13300</v>
      </c>
      <c r="CN49" s="106">
        <f>+HLOOKUP($C49,'NEW CAR'!$CU$2:$DF$250,182,0)</f>
        <v>9738.5499999999993</v>
      </c>
      <c r="CO49" s="106">
        <f>+HLOOKUP($C49,'NEW CAR'!$CU$2:$DF$250,183,0)</f>
        <v>0</v>
      </c>
      <c r="CP49" s="106">
        <f>+HLOOKUP($C49,'NEW CAR'!$CU$2:$DF$250,184,0)</f>
        <v>0</v>
      </c>
      <c r="CQ49" s="106">
        <f>+HLOOKUP($C49,'NEW CAR'!$CU$2:$DF$250,185,0)</f>
        <v>0</v>
      </c>
      <c r="CR49" s="106">
        <f>+HLOOKUP($C49,'NEW CAR'!$CU$2:$DF$250,187,0)</f>
        <v>3124.7999999999997</v>
      </c>
      <c r="CS49" s="106">
        <f>+HLOOKUP($C49,'NEW CAR'!$CU$2:$DF$250,188,0)</f>
        <v>2250</v>
      </c>
      <c r="CT49" s="106">
        <f>+HLOOKUP($C49,'NEW CAR'!$CU$2:$DF$250,189,0)</f>
        <v>0</v>
      </c>
      <c r="CU49" s="106">
        <f>+HLOOKUP($C49,'NEW CAR'!$CU$2:$DF$250,190,0)</f>
        <v>3756.95</v>
      </c>
      <c r="CV49" s="106">
        <f>+HLOOKUP($C49,'NEW CAR'!$CU$2:$DF$250,191,0)</f>
        <v>0</v>
      </c>
      <c r="CW49" s="106">
        <f>+HLOOKUP($C49,'NEW CAR'!$CU$2:$DF$250,193,0)</f>
        <v>6177.166666666667</v>
      </c>
      <c r="CX49" s="106">
        <f>+HLOOKUP($C49,'NEW CAR'!$CU$2:$DF$250,194,0)</f>
        <v>39.75</v>
      </c>
      <c r="CY49" s="106">
        <f>+HLOOKUP($C49,'NEW CAR'!$CU$2:$DF$250,195,0)</f>
        <v>1375</v>
      </c>
      <c r="CZ49" s="106">
        <f>+HLOOKUP($C49,'NEW CAR'!$CU$2:$DF$250,196,0)</f>
        <v>0</v>
      </c>
      <c r="DA49" s="106">
        <f>+HLOOKUP($C49,'NEW CAR'!$CU$2:$DF$250,197,0)</f>
        <v>15586.424999999999</v>
      </c>
      <c r="DB49" s="106">
        <f>+HLOOKUP($C49,'NEW CAR'!$CU$2:$DF$250,198,0)</f>
        <v>10201.94</v>
      </c>
      <c r="DC49" s="106">
        <f>+HLOOKUP($C49,'NEW CAR'!$CU$2:$DF$250,199,0)</f>
        <v>1015.115</v>
      </c>
      <c r="DD49" s="106">
        <f>+HLOOKUP($C49,'NEW CAR'!$CU$2:$DF$250,200,0)</f>
        <v>0</v>
      </c>
      <c r="DE49" s="106">
        <f>+HLOOKUP($C49,'NEW CAR'!$CU$2:$DF$250,201,0)</f>
        <v>0</v>
      </c>
      <c r="DF49" s="106">
        <f>+HLOOKUP($C49,'NEW CAR'!$CU$2:$DF$250,202,0)</f>
        <v>-4.8000000000000001E-2</v>
      </c>
      <c r="DG49" s="106">
        <f>+HLOOKUP($C49,'NEW CAR'!$CU$2:$DF$250,203,0)</f>
        <v>-2.6564999999999999</v>
      </c>
      <c r="DH49" s="106">
        <f>+HLOOKUP($C49,'NEW CAR'!$CU$2:$DF$250,205,0)</f>
        <v>45540</v>
      </c>
      <c r="DI49" s="106">
        <f>+HLOOKUP($C49,'NEW CAR'!$CU$2:$DF$250,206,0)</f>
        <v>0</v>
      </c>
      <c r="DJ49" s="106">
        <f>+HLOOKUP($C49,'NEW CAR'!$CU$2:$DF$250,207,0)</f>
        <v>0</v>
      </c>
      <c r="DK49" s="106">
        <f>+HLOOKUP($C49,'NEW CAR'!$CU$2:$DF$250,209,0)</f>
        <v>0</v>
      </c>
      <c r="DL49" s="106">
        <f>+HLOOKUP($C49,'NEW CAR'!$CU$2:$DF$250,210,0)</f>
        <v>0</v>
      </c>
      <c r="DM49" s="106">
        <f>+HLOOKUP($C49,'NEW CAR'!$CU$2:$DF$250,211,0)</f>
        <v>116992.5</v>
      </c>
      <c r="DN49" s="106">
        <f>+HLOOKUP($C49,'NEW CAR'!$CU$2:$DF$250,212,0)</f>
        <v>24000</v>
      </c>
      <c r="DO49" s="106">
        <f>+HLOOKUP($C49,'NEW CAR'!$CU$2:$DF$250,214,0)</f>
        <v>0</v>
      </c>
      <c r="DP49" s="106">
        <f>+HLOOKUP($C49,'NEW CAR'!$CU$2:$DF$250,215,0)</f>
        <v>1150</v>
      </c>
      <c r="DQ49" s="106">
        <f>+HLOOKUP($C49,'NEW CAR'!$CU$2:$DF$250,219,0)</f>
        <v>0</v>
      </c>
      <c r="DR49" s="106">
        <f>+HLOOKUP($C49,'NEW CAR'!$CU$2:$DF$250,220,0)</f>
        <v>0</v>
      </c>
      <c r="DS49" s="106">
        <f>+HLOOKUP($C49,'NEW CAR'!$CU$2:$DF$250,221,0)</f>
        <v>332505.10400000005</v>
      </c>
      <c r="DT49" s="106">
        <f>+HLOOKUP($C49,'NEW CAR'!$CU$2:$DF$250,223,0)</f>
        <v>19870.753499999995</v>
      </c>
      <c r="DU49" s="106">
        <f>+HLOOKUP($C49,'NEW CAR'!$CU$2:$DF$250,224,0)</f>
        <v>0</v>
      </c>
      <c r="DV49" s="106">
        <f>+HLOOKUP($C49,'NEW CAR'!$CU$2:$DF$250,225,0)</f>
        <v>0</v>
      </c>
      <c r="DW49" s="106">
        <f>+HLOOKUP($C49,'NEW CAR'!$CU$2:$DF$250,227,0)</f>
        <v>0</v>
      </c>
      <c r="DX49" s="106">
        <f>+HLOOKUP($C49,'NEW CAR'!$CU$2:$DF$250,228,0)</f>
        <v>13693.05</v>
      </c>
      <c r="DY49" s="106">
        <f>+HLOOKUP($C49,'NEW CAR'!$CU$2:$DF$250,236,0)</f>
        <v>0</v>
      </c>
      <c r="DZ49" s="106">
        <f>+HLOOKUP($C49,'NEW CAR'!$CU$2:$DF$250,237,0)</f>
        <v>173049.93720000001</v>
      </c>
      <c r="EA49" s="106">
        <f>+HLOOKUP($C49,'NEW CAR'!$CU$2:$DF$250,238,0)</f>
        <v>0</v>
      </c>
      <c r="EB49" s="106">
        <f>+HLOOKUP($C49,'NEW CAR'!$CU$2:$DF$250,240,0)</f>
        <v>433516.25836428563</v>
      </c>
    </row>
    <row r="50" spans="1:132" hidden="1">
      <c r="A50" t="s">
        <v>271</v>
      </c>
      <c r="B50" t="s">
        <v>270</v>
      </c>
      <c r="C50" s="117">
        <v>45627</v>
      </c>
      <c r="D50" s="106">
        <f>+HLOOKUP(C50,'NEW CAR'!$CG$2:$CS$250,6,0)/3.5%</f>
        <v>66724374.159999996</v>
      </c>
      <c r="E50" s="106">
        <f>+HLOOKUP(C50,'NEW CAR'!$CG$2:$CS$250,5,0)+HLOOKUP(C50,'NEW CAR'!$CG$2:$CS$250,26,0)+HLOOKUP(C50,'NEW CAR'!$CG$2:$CS$250,59,0)</f>
        <v>4779169.4056000002</v>
      </c>
      <c r="G50" s="106">
        <f>+HLOOKUP($C50,'NEW CAR'!$CG$2:$CS$250,76,0)</f>
        <v>22820</v>
      </c>
      <c r="H50" s="106">
        <f>+HLOOKUP($C50,'NEW CAR'!$CG$2:$CS$250,77,0)</f>
        <v>271985.71999999997</v>
      </c>
      <c r="I50" s="106">
        <f>+HLOOKUP($C50,'NEW CAR'!$CG$2:$CS$250,78,0)</f>
        <v>0</v>
      </c>
      <c r="J50" s="106">
        <f>+HLOOKUP($C50,'NEW CAR'!$CG$2:$CS$250,79,0)</f>
        <v>12666.9</v>
      </c>
      <c r="K50" s="106">
        <f>+HLOOKUP($C50,'NEW CAR'!$CG$2:$CS$250,80,0)</f>
        <v>0</v>
      </c>
      <c r="L50" s="106">
        <f>+HLOOKUP($C50,'NEW CAR'!$CG$2:$CS$250,81,0)</f>
        <v>0</v>
      </c>
      <c r="M50" s="106">
        <f>+HLOOKUP($C50,'NEW CAR'!$CG$2:$CS$250,82,0)</f>
        <v>0</v>
      </c>
      <c r="N50" s="106">
        <f>+HLOOKUP($C50,'NEW CAR'!$CG$2:$CS$250,83,0)</f>
        <v>0</v>
      </c>
      <c r="O50" s="106">
        <f>+HLOOKUP($C50,'NEW CAR'!$CG$2:$CS$250,84,0)</f>
        <v>0</v>
      </c>
      <c r="P50" s="106">
        <f>+HLOOKUP($C50,'NEW CAR'!$CG$2:$CS$250,85,0)</f>
        <v>0</v>
      </c>
      <c r="Q50" s="106">
        <f>+HLOOKUP($C50,'NEW CAR'!$CG$2:$CS$250,87,0)</f>
        <v>331840.5</v>
      </c>
      <c r="R50" s="106">
        <f>+HLOOKUP($C50,'NEW CAR'!$CG$2:$CS$250,90,0)</f>
        <v>11000</v>
      </c>
      <c r="S50" s="106">
        <f>+HLOOKUP($C50,'NEW CAR'!$CG$2:$CS$250,91,0)</f>
        <v>0</v>
      </c>
      <c r="T50" s="106">
        <f>+HLOOKUP($C50,'NEW CAR'!$CG$2:$CS$250,92,0)</f>
        <v>557936.03500000003</v>
      </c>
      <c r="U50" s="106">
        <f>+HLOOKUP($C50,'NEW CAR'!$CG$2:$CS$250,93,0)</f>
        <v>13500</v>
      </c>
      <c r="V50" s="106">
        <f>+HLOOKUP($C50,'NEW CAR'!$CG$2:$CS$250,94,0)</f>
        <v>0</v>
      </c>
      <c r="W50" s="106">
        <f>+HLOOKUP($C50,'NEW CAR'!$CG$2:$CS$250,95,0)</f>
        <v>0</v>
      </c>
      <c r="X50" s="106">
        <f>+HLOOKUP($C50,'NEW CAR'!$CG$2:$CS$250,96,0)</f>
        <v>80225.77</v>
      </c>
      <c r="Y50" s="106">
        <f>+HLOOKUP($C50,'NEW CAR'!$CG$2:$CS$250,97,0)</f>
        <v>18977.47</v>
      </c>
      <c r="Z50" s="106">
        <f>+HLOOKUP($C50,'NEW CAR'!$CG$2:$CS$250,98,0)</f>
        <v>0</v>
      </c>
      <c r="AA50" s="106">
        <f>+HLOOKUP($C50,'NEW CAR'!$CG$2:$CS$250,99,0)</f>
        <v>0</v>
      </c>
      <c r="AB50" s="106">
        <f>+HLOOKUP($C50,'NEW CAR'!$CG$2:$CS$250,100,0)</f>
        <v>93497.604242424248</v>
      </c>
      <c r="AC50" s="106">
        <f>+HLOOKUP($C50,'NEW CAR'!$CG$2:$CS$250,101,0)</f>
        <v>44208</v>
      </c>
      <c r="AD50" s="106">
        <f>+HLOOKUP($C50,'NEW CAR'!$CG$2:$CS$250,104,0)</f>
        <v>1838.18</v>
      </c>
      <c r="AE50" s="106">
        <f>+HLOOKUP($C50,'NEW CAR'!$CG$2:$CS$250,105,0)</f>
        <v>39084.328000000001</v>
      </c>
      <c r="AF50" s="106">
        <f>+HLOOKUP($C50,'NEW CAR'!$CG$2:$CS$250,106,0)</f>
        <v>0</v>
      </c>
      <c r="AG50" s="106">
        <f>+HLOOKUP($C50,'NEW CAR'!$CG$2:$CS$250,107,0)</f>
        <v>361734.40000000002</v>
      </c>
      <c r="AH50" s="106">
        <f>+HLOOKUP($C50,'NEW CAR'!$CG$2:$CS$250,108,0)</f>
        <v>9444</v>
      </c>
      <c r="AI50" s="106">
        <f>+HLOOKUP($C50,'NEW CAR'!$CG$2:$CS$250,109,0)</f>
        <v>155058.20000000001</v>
      </c>
      <c r="AJ50" s="106">
        <f>+HLOOKUP($C50,'NEW CAR'!$CG$2:$CS$250,110,0)</f>
        <v>0</v>
      </c>
      <c r="AK50" s="106">
        <f>+HLOOKUP($C50,'NEW CAR'!$CG$2:$CS$250,111,0)</f>
        <v>0</v>
      </c>
      <c r="AL50" s="106">
        <f>+HLOOKUP($C50,'NEW CAR'!$CG$2:$CS$250,112,0)</f>
        <v>0</v>
      </c>
      <c r="AM50" s="106">
        <f>+HLOOKUP($C50,'NEW CAR'!$CG$2:$CS$250,116,0)</f>
        <v>378217</v>
      </c>
      <c r="AN50" s="106">
        <f>+HLOOKUP($C50,'NEW CAR'!$CG$2:$CS$250,117,0)</f>
        <v>58357</v>
      </c>
      <c r="AO50" s="106">
        <f>+HLOOKUP($C50,'NEW CAR'!$CG$2:$CS$250,118,0)</f>
        <v>8677</v>
      </c>
      <c r="AP50" s="106">
        <f>+HLOOKUP($C50,'NEW CAR'!$CG$2:$CS$250,119,0)</f>
        <v>132864</v>
      </c>
      <c r="AQ50" s="106">
        <f>+HLOOKUP($C50,'NEW CAR'!$CG$2:$CS$250,120,0)</f>
        <v>36265</v>
      </c>
      <c r="AR50" s="106">
        <f>+HLOOKUP($C50,'NEW CAR'!$CG$2:$CS$250,121,0)</f>
        <v>9297</v>
      </c>
      <c r="AS50" s="106">
        <f>+HLOOKUP($C50,'NEW CAR'!$CG$2:$CS$250,122,0)</f>
        <v>226829</v>
      </c>
      <c r="AT50" s="106">
        <f>+HLOOKUP($C50,'NEW CAR'!$CG$2:$CS$250,123,0)</f>
        <v>71497.5</v>
      </c>
      <c r="AU50" s="106">
        <f>+HLOOKUP($C50,'NEW CAR'!$CG$2:$CS$250,124,0)</f>
        <v>3107.6</v>
      </c>
      <c r="AV50" s="106">
        <f>+HLOOKUP($C50,'NEW CAR'!$CG$2:$CS$250,125,0)</f>
        <v>37275</v>
      </c>
      <c r="AW50" s="106">
        <f>+HLOOKUP($C50,'NEW CAR'!$CG$2:$CS$250,126,0)</f>
        <v>31532.461538461539</v>
      </c>
      <c r="AX50" s="106">
        <f>+HLOOKUP($C50,'NEW CAR'!$CG$2:$CS$250,127,0)</f>
        <v>30161.933333333327</v>
      </c>
      <c r="AY50" s="106">
        <f>+HLOOKUP($C50,'NEW CAR'!$CG$2:$CS$250,129,0)</f>
        <v>0</v>
      </c>
      <c r="AZ50" s="106">
        <f>+HLOOKUP($C50,'NEW CAR'!$CG$2:$CS$250,130,0)</f>
        <v>0</v>
      </c>
      <c r="BA50" s="106">
        <f>+HLOOKUP($C50,'NEW CAR'!$CG$2:$CS$250,131,0)</f>
        <v>63783.333333333336</v>
      </c>
      <c r="BB50" s="106">
        <f>+HLOOKUP($C50,'NEW CAR'!$CG$2:$CS$250,133,0)</f>
        <v>0</v>
      </c>
      <c r="BC50" s="106">
        <f>+HLOOKUP($C50,'NEW CAR'!$CG$2:$CS$250,134,0)</f>
        <v>104454.859</v>
      </c>
      <c r="BD50" s="106">
        <f>+HLOOKUP($C50,'NEW CAR'!$CG$2:$CS$250,135,0)</f>
        <v>0</v>
      </c>
      <c r="BE50" s="106">
        <f>+HLOOKUP($C50,'NEW CAR'!$CG$2:$CS$250,136,0)</f>
        <v>0</v>
      </c>
      <c r="BF50" s="106">
        <f>+HLOOKUP($C50,'NEW CAR'!$CG$2:$CS$250,138,0)</f>
        <v>932.5</v>
      </c>
      <c r="BG50" s="106">
        <f>+HLOOKUP($C50,'NEW CAR'!$CG$2:$CS$250,139,0)</f>
        <v>13216.55</v>
      </c>
      <c r="BH50" s="106">
        <f>+HLOOKUP($C50,'NEW CAR'!$CG$2:$CS$250,140,0)</f>
        <v>12500</v>
      </c>
      <c r="BI50" s="106">
        <f>+HLOOKUP($C50,'NEW CAR'!$CG$2:$CS$250,141,0)</f>
        <v>0</v>
      </c>
      <c r="BJ50" s="106">
        <f>+HLOOKUP($C50,'NEW CAR'!$CG$2:$CS$250,142,0)</f>
        <v>0</v>
      </c>
      <c r="BK50" s="106">
        <f>+HLOOKUP($C50,'NEW CAR'!$CG$2:$CS$250,143,0)</f>
        <v>21258.125</v>
      </c>
      <c r="BL50" s="106">
        <f>+HLOOKUP($C50,'NEW CAR'!$CG$2:$CS$250,144,0)</f>
        <v>0</v>
      </c>
      <c r="BM50" s="106">
        <f>+HLOOKUP($C50,'NEW CAR'!$CG$2:$CS$250,146,0)</f>
        <v>0</v>
      </c>
      <c r="BN50" s="106">
        <f>+HLOOKUP($C50,'NEW CAR'!$CG$2:$CS$250,147,0)</f>
        <v>33052.5</v>
      </c>
      <c r="BO50" s="106">
        <f>+HLOOKUP($C50,'NEW CAR'!$CG$2:$CS$250,148,0)</f>
        <v>0</v>
      </c>
      <c r="BP50" s="106">
        <f>+HLOOKUP($C50,'NEW CAR'!$CG$2:$CS$250,150,0)</f>
        <v>38393.5</v>
      </c>
      <c r="BQ50" s="106">
        <f>+HLOOKUP($C50,'NEW CAR'!$CG$2:$CS$250,151,0)</f>
        <v>2362.5</v>
      </c>
      <c r="BR50" s="106">
        <f>+HLOOKUP($C50,'NEW CAR'!$CG$2:$CS$250,152,0)</f>
        <v>16000</v>
      </c>
      <c r="BS50" s="106">
        <f>+HLOOKUP($C50,'NEW CAR'!$CG$2:$CS$250,153,0)</f>
        <v>15150</v>
      </c>
      <c r="BT50" s="106">
        <f>+HLOOKUP($C50,'NEW CAR'!$CG$2:$CS$250,157,0)</f>
        <v>119332</v>
      </c>
      <c r="BU50" s="106">
        <f>+HLOOKUP($C50,'NEW CAR'!$CG$2:$CS$250,158,0)</f>
        <v>0</v>
      </c>
      <c r="BV50" s="106">
        <f>+HLOOKUP($C50,'NEW CAR'!$CG$2:$CS$250,159,0)</f>
        <v>340.5</v>
      </c>
      <c r="BW50" s="106">
        <f>+HLOOKUP($C50,'NEW CAR'!$CG$2:$CS$250,160,0)</f>
        <v>0</v>
      </c>
      <c r="BX50" s="106">
        <f>+HLOOKUP($C50,'NEW CAR'!$CG$2:$CS$250,161,0)</f>
        <v>5030.95</v>
      </c>
      <c r="BY50" s="106">
        <f>+HLOOKUP($C50,'NEW CAR'!$CG$2:$CS$250,164,0)</f>
        <v>2544.0300000000002</v>
      </c>
      <c r="BZ50" s="106">
        <f>+HLOOKUP($C50,'NEW CAR'!$CG$2:$CS$250,165,0)</f>
        <v>0</v>
      </c>
      <c r="CA50" s="106">
        <f>+HLOOKUP($C50,'NEW CAR'!$CG$2:$CS$250,166,0)</f>
        <v>0</v>
      </c>
      <c r="CB50" s="106">
        <f>+HLOOKUP($C50,'NEW CAR'!$CG$2:$CS$250,167,0)</f>
        <v>0</v>
      </c>
      <c r="CC50" s="106">
        <f>+HLOOKUP($C50,'NEW CAR'!$CG$2:$CS$250,168,0)</f>
        <v>0</v>
      </c>
      <c r="CD50" s="106">
        <f>+HLOOKUP($C50,'NEW CAR'!$CG$2:$CS$250,169,0)</f>
        <v>75</v>
      </c>
      <c r="CE50" s="106">
        <f>+HLOOKUP($C50,'NEW CAR'!$CG$2:$CS$250,170,0)</f>
        <v>0</v>
      </c>
      <c r="CF50" s="106">
        <f>+HLOOKUP($C50,'NEW CAR'!$CG$2:$CS$250,172,0)</f>
        <v>18000</v>
      </c>
      <c r="CG50" s="106">
        <f>+HLOOKUP($C50,'NEW CAR'!$CG$2:$CS$250,173,0)</f>
        <v>0</v>
      </c>
      <c r="CH50" s="106">
        <f>+HLOOKUP($C50,'NEW CAR'!$CG$2:$CS$250,174,0)</f>
        <v>0</v>
      </c>
      <c r="CI50" s="106">
        <f>+HLOOKUP($C50,'NEW CAR'!$CG$2:$CS$250,175,0)</f>
        <v>0</v>
      </c>
      <c r="CJ50" s="106">
        <f>+HLOOKUP($C50,'NEW CAR'!$CG$2:$CS$250,176,0)</f>
        <v>1997.6999999999998</v>
      </c>
      <c r="CK50" s="106">
        <f>+HLOOKUP($C50,'NEW CAR'!$CG$2:$CS$250,178,0)</f>
        <v>64514</v>
      </c>
      <c r="CL50" s="106">
        <f>+HLOOKUP($C50,'NEW CAR'!$CG$2:$CS$250,179,0)</f>
        <v>0</v>
      </c>
      <c r="CM50" s="106">
        <f>+HLOOKUP($C50,'NEW CAR'!$CG$2:$CS$250,180,0)</f>
        <v>30800</v>
      </c>
      <c r="CN50" s="106">
        <f>+HLOOKUP($C50,'NEW CAR'!$CG$2:$CS$250,182,0)</f>
        <v>0</v>
      </c>
      <c r="CO50" s="106">
        <f>+HLOOKUP($C50,'NEW CAR'!$CG$2:$CS$250,183,0)</f>
        <v>4524.5</v>
      </c>
      <c r="CP50" s="106">
        <f>+HLOOKUP($C50,'NEW CAR'!$CG$2:$CS$250,184,0)</f>
        <v>0</v>
      </c>
      <c r="CQ50" s="106">
        <f>+HLOOKUP($C50,'NEW CAR'!$CG$2:$CS$250,185,0)</f>
        <v>0</v>
      </c>
      <c r="CR50" s="106">
        <f>+HLOOKUP($C50,'NEW CAR'!$CG$2:$CS$250,187,0)</f>
        <v>0</v>
      </c>
      <c r="CS50" s="106">
        <f>+HLOOKUP($C50,'NEW CAR'!$CG$2:$CS$250,188,0)</f>
        <v>2250</v>
      </c>
      <c r="CT50" s="106">
        <f>+HLOOKUP($C50,'NEW CAR'!$CG$2:$CS$250,189,0)</f>
        <v>0</v>
      </c>
      <c r="CU50" s="106">
        <f>+HLOOKUP($C50,'NEW CAR'!$CG$2:$CS$250,190,0)</f>
        <v>3756.95</v>
      </c>
      <c r="CV50" s="106">
        <f>+HLOOKUP($C50,'NEW CAR'!$CG$2:$CS$250,191,0)</f>
        <v>0</v>
      </c>
      <c r="CW50" s="106">
        <f>+HLOOKUP($C50,'NEW CAR'!$CG$2:$CS$250,193,0)</f>
        <v>6177</v>
      </c>
      <c r="CX50" s="106">
        <f>+HLOOKUP($C50,'NEW CAR'!$CG$2:$CS$250,194,0)</f>
        <v>39.75</v>
      </c>
      <c r="CY50" s="106">
        <f>+HLOOKUP($C50,'NEW CAR'!$CG$2:$CS$250,195,0)</f>
        <v>1375</v>
      </c>
      <c r="CZ50" s="106">
        <f>+HLOOKUP($C50,'NEW CAR'!$CG$2:$CS$250,196,0)</f>
        <v>0</v>
      </c>
      <c r="DA50" s="106">
        <f>+HLOOKUP($C50,'NEW CAR'!$CG$2:$CS$250,197,0)</f>
        <v>15063.465</v>
      </c>
      <c r="DB50" s="106">
        <f>+HLOOKUP($C50,'NEW CAR'!$CG$2:$CS$250,198,0)</f>
        <v>9352.0400000000009</v>
      </c>
      <c r="DC50" s="106">
        <f>+HLOOKUP($C50,'NEW CAR'!$CG$2:$CS$250,199,0)</f>
        <v>11077</v>
      </c>
      <c r="DD50" s="106">
        <f>+HLOOKUP($C50,'NEW CAR'!$CG$2:$CS$250,200,0)</f>
        <v>116.5</v>
      </c>
      <c r="DE50" s="106">
        <f>+HLOOKUP($C50,'NEW CAR'!$CG$2:$CS$250,201,0)</f>
        <v>0</v>
      </c>
      <c r="DF50" s="106">
        <f>+HLOOKUP($C50,'NEW CAR'!$CG$2:$CS$250,202,0)</f>
        <v>0.53499999999999981</v>
      </c>
      <c r="DG50" s="106">
        <f>+HLOOKUP($C50,'NEW CAR'!$CG$2:$CS$250,203,0)</f>
        <v>0</v>
      </c>
      <c r="DH50" s="106">
        <f>+HLOOKUP($C50,'NEW CAR'!$CG$2:$CS$250,205,0)</f>
        <v>45540</v>
      </c>
      <c r="DI50" s="106">
        <f>+HLOOKUP($C50,'NEW CAR'!$CG$2:$CS$250,206,0)</f>
        <v>5856.5</v>
      </c>
      <c r="DJ50" s="106">
        <f>+HLOOKUP($C50,'NEW CAR'!$CG$2:$CS$250,207,0)</f>
        <v>466.99950000000081</v>
      </c>
      <c r="DK50" s="106">
        <f>+HLOOKUP($C50,'NEW CAR'!$CG$2:$CS$250,209,0)</f>
        <v>0</v>
      </c>
      <c r="DL50" s="106">
        <f>+HLOOKUP($C50,'NEW CAR'!$CG$2:$CS$250,210,0)</f>
        <v>0</v>
      </c>
      <c r="DM50" s="106">
        <f>+HLOOKUP($C50,'NEW CAR'!$CG$2:$CS$250,211,0)</f>
        <v>116992.5</v>
      </c>
      <c r="DN50" s="106">
        <f>+HLOOKUP($C50,'NEW CAR'!$CG$2:$CS$250,212,0)</f>
        <v>24000</v>
      </c>
      <c r="DO50" s="106">
        <f>+HLOOKUP($C50,'NEW CAR'!$CG$2:$CS$250,214,0)</f>
        <v>0</v>
      </c>
      <c r="DP50" s="106">
        <f>+HLOOKUP($C50,'NEW CAR'!$CG$2:$CS$250,215,0)</f>
        <v>650</v>
      </c>
      <c r="DQ50" s="106">
        <f>+HLOOKUP($C50,'NEW CAR'!$CG$2:$CS$250,219,0)</f>
        <v>0</v>
      </c>
      <c r="DR50" s="106">
        <f>+HLOOKUP($C50,'NEW CAR'!$CG$2:$CS$250,220,0)</f>
        <v>0</v>
      </c>
      <c r="DS50" s="106">
        <f>+HLOOKUP($C50,'NEW CAR'!$CG$2:$CS$250,221,0)</f>
        <v>375313.7080000001</v>
      </c>
      <c r="DT50" s="106">
        <f>+HLOOKUP($C50,'NEW CAR'!$CG$2:$CS$250,223,0)</f>
        <v>13898.04</v>
      </c>
      <c r="DU50" s="106">
        <f>+HLOOKUP($C50,'NEW CAR'!$CG$2:$CS$250,224,0)</f>
        <v>0</v>
      </c>
      <c r="DV50" s="106">
        <f>+HLOOKUP($C50,'NEW CAR'!$CG$2:$CS$250,225,0)</f>
        <v>0</v>
      </c>
      <c r="DW50" s="106">
        <f>+HLOOKUP($C50,'NEW CAR'!$CG$2:$CS$250,227,0)</f>
        <v>0</v>
      </c>
      <c r="DX50" s="106">
        <f>+HLOOKUP($C50,'NEW CAR'!$CG$2:$CS$250,228,0)</f>
        <v>12774.449999999999</v>
      </c>
      <c r="DY50" s="106">
        <f>+HLOOKUP($C50,'NEW CAR'!$CG$2:$CS$250,236,0)</f>
        <v>0</v>
      </c>
      <c r="DZ50" s="106">
        <f>+HLOOKUP($C50,'NEW CAR'!$CG$2:$CS$250,237,0)</f>
        <v>175061.34135</v>
      </c>
      <c r="EA50" s="106">
        <f>+HLOOKUP($C50,'NEW CAR'!$CG$2:$CS$250,238,0)</f>
        <v>0</v>
      </c>
      <c r="EB50" s="106">
        <f>+HLOOKUP($C50,'NEW CAR'!$CG$2:$CS$250,240,0)</f>
        <v>444690</v>
      </c>
    </row>
    <row r="51" spans="1:132" hidden="1">
      <c r="A51" t="s">
        <v>271</v>
      </c>
      <c r="B51" t="s">
        <v>270</v>
      </c>
      <c r="C51" s="117">
        <v>45597</v>
      </c>
      <c r="D51" s="106">
        <f>+HLOOKUP(C51,'NEW CAR'!$CG$2:$CS$250,6,0)/3.5%</f>
        <v>92397435.010000005</v>
      </c>
      <c r="E51" s="106">
        <f>+HLOOKUP(C51,'NEW CAR'!$CG$2:$CS$250,5,0)+HLOOKUP(C51,'NEW CAR'!$CG$2:$CS$250,26,0)+HLOOKUP(C51,'NEW CAR'!$CG$2:$CS$250,59,0)</f>
        <v>5373861.602020001</v>
      </c>
      <c r="G51" s="106">
        <f>+HLOOKUP($C51,'NEW CAR'!$CG$2:$CS$250,76,0)</f>
        <v>9530</v>
      </c>
      <c r="H51" s="106">
        <f>+HLOOKUP($C51,'NEW CAR'!$CG$2:$CS$250,77,0)</f>
        <v>392018.33</v>
      </c>
      <c r="I51" s="106">
        <f>+HLOOKUP($C51,'NEW CAR'!$CG$2:$CS$250,78,0)</f>
        <v>0</v>
      </c>
      <c r="J51" s="106">
        <f>+HLOOKUP($C51,'NEW CAR'!$CG$2:$CS$250,79,0)</f>
        <v>164757.74</v>
      </c>
      <c r="K51" s="106">
        <f>+HLOOKUP($C51,'NEW CAR'!$CG$2:$CS$250,80,0)</f>
        <v>0</v>
      </c>
      <c r="L51" s="106">
        <f>+HLOOKUP($C51,'NEW CAR'!$CG$2:$CS$250,81,0)</f>
        <v>0</v>
      </c>
      <c r="M51" s="106">
        <f>+HLOOKUP($C51,'NEW CAR'!$CG$2:$CS$250,82,0)</f>
        <v>0</v>
      </c>
      <c r="N51" s="106">
        <f>+HLOOKUP($C51,'NEW CAR'!$CG$2:$CS$250,83,0)</f>
        <v>0</v>
      </c>
      <c r="O51" s="106">
        <f>+HLOOKUP($C51,'NEW CAR'!$CG$2:$CS$250,84,0)</f>
        <v>0</v>
      </c>
      <c r="P51" s="106">
        <f>+HLOOKUP($C51,'NEW CAR'!$CG$2:$CS$250,85,0)</f>
        <v>0</v>
      </c>
      <c r="Q51" s="106">
        <f>+HLOOKUP($C51,'NEW CAR'!$CG$2:$CS$250,87,0)</f>
        <v>750989.7</v>
      </c>
      <c r="R51" s="106">
        <f>+HLOOKUP($C51,'NEW CAR'!$CG$2:$CS$250,90,0)</f>
        <v>0</v>
      </c>
      <c r="S51" s="106">
        <f>+HLOOKUP($C51,'NEW CAR'!$CG$2:$CS$250,91,0)</f>
        <v>300</v>
      </c>
      <c r="T51" s="106">
        <f>+HLOOKUP($C51,'NEW CAR'!$CG$2:$CS$250,92,0)</f>
        <v>22501.25</v>
      </c>
      <c r="U51" s="106">
        <f>+HLOOKUP($C51,'NEW CAR'!$CG$2:$CS$250,93,0)</f>
        <v>0</v>
      </c>
      <c r="V51" s="106">
        <f>+HLOOKUP($C51,'NEW CAR'!$CG$2:$CS$250,94,0)</f>
        <v>0</v>
      </c>
      <c r="W51" s="106">
        <f>+HLOOKUP($C51,'NEW CAR'!$CG$2:$CS$250,95,0)</f>
        <v>0</v>
      </c>
      <c r="X51" s="106">
        <f>+HLOOKUP($C51,'NEW CAR'!$CG$2:$CS$250,96,0)</f>
        <v>89389.62</v>
      </c>
      <c r="Y51" s="106">
        <f>+HLOOKUP($C51,'NEW CAR'!$CG$2:$CS$250,97,0)</f>
        <v>0</v>
      </c>
      <c r="Z51" s="106">
        <f>+HLOOKUP($C51,'NEW CAR'!$CG$2:$CS$250,98,0)</f>
        <v>0</v>
      </c>
      <c r="AA51" s="106">
        <f>+HLOOKUP($C51,'NEW CAR'!$CG$2:$CS$250,99,0)</f>
        <v>0</v>
      </c>
      <c r="AB51" s="106">
        <f>+HLOOKUP($C51,'NEW CAR'!$CG$2:$CS$250,100,0)</f>
        <v>54013.266666666699</v>
      </c>
      <c r="AC51" s="106">
        <f>+HLOOKUP($C51,'NEW CAR'!$CG$2:$CS$250,101,0)</f>
        <v>14736</v>
      </c>
      <c r="AD51" s="106">
        <f>+HLOOKUP($C51,'NEW CAR'!$CG$2:$CS$250,104,0)</f>
        <v>12000</v>
      </c>
      <c r="AE51" s="106">
        <f>+HLOOKUP($C51,'NEW CAR'!$CG$2:$CS$250,105,0)</f>
        <v>64097.528000000006</v>
      </c>
      <c r="AF51" s="106">
        <f>+HLOOKUP($C51,'NEW CAR'!$CG$2:$CS$250,106,0)</f>
        <v>0</v>
      </c>
      <c r="AG51" s="106">
        <f>+HLOOKUP($C51,'NEW CAR'!$CG$2:$CS$250,107,0)</f>
        <v>44000</v>
      </c>
      <c r="AH51" s="106">
        <f>+HLOOKUP($C51,'NEW CAR'!$CG$2:$CS$250,108,0)</f>
        <v>26209.839999999997</v>
      </c>
      <c r="AI51" s="106">
        <f>+HLOOKUP($C51,'NEW CAR'!$CG$2:$CS$250,109,0)</f>
        <v>121578.76799999998</v>
      </c>
      <c r="AJ51" s="106">
        <f>+HLOOKUP($C51,'NEW CAR'!$CG$2:$CS$250,110,0)</f>
        <v>0</v>
      </c>
      <c r="AK51" s="106">
        <f>+HLOOKUP($C51,'NEW CAR'!$CG$2:$CS$250,111,0)</f>
        <v>0</v>
      </c>
      <c r="AL51" s="106">
        <f>+HLOOKUP($C51,'NEW CAR'!$CG$2:$CS$250,112,0)</f>
        <v>0</v>
      </c>
      <c r="AM51" s="106">
        <f>+HLOOKUP($C51,'NEW CAR'!$CG$2:$CS$250,116,0)</f>
        <v>248857</v>
      </c>
      <c r="AN51" s="106">
        <f>+HLOOKUP($C51,'NEW CAR'!$CG$2:$CS$250,117,0)</f>
        <v>35213.5</v>
      </c>
      <c r="AO51" s="106">
        <f>+HLOOKUP($C51,'NEW CAR'!$CG$2:$CS$250,118,0)</f>
        <v>4834.5</v>
      </c>
      <c r="AP51" s="106">
        <f>+HLOOKUP($C51,'NEW CAR'!$CG$2:$CS$250,119,0)</f>
        <v>89053</v>
      </c>
      <c r="AQ51" s="106">
        <f>+HLOOKUP($C51,'NEW CAR'!$CG$2:$CS$250,120,0)</f>
        <v>22282.5</v>
      </c>
      <c r="AR51" s="106">
        <f>+HLOOKUP($C51,'NEW CAR'!$CG$2:$CS$250,121,0)</f>
        <v>7390</v>
      </c>
      <c r="AS51" s="106">
        <f>+HLOOKUP($C51,'NEW CAR'!$CG$2:$CS$250,122,0)</f>
        <v>146698.5</v>
      </c>
      <c r="AT51" s="106">
        <f>+HLOOKUP($C51,'NEW CAR'!$CG$2:$CS$250,123,0)</f>
        <v>71497.5</v>
      </c>
      <c r="AU51" s="106">
        <f>+HLOOKUP($C51,'NEW CAR'!$CG$2:$CS$250,124,0)</f>
        <v>3107.6</v>
      </c>
      <c r="AV51" s="106">
        <f>+HLOOKUP($C51,'NEW CAR'!$CG$2:$CS$250,125,0)</f>
        <v>37275</v>
      </c>
      <c r="AW51" s="106">
        <f>+HLOOKUP($C51,'NEW CAR'!$CG$2:$CS$250,126,0)</f>
        <v>31532.461538461539</v>
      </c>
      <c r="AX51" s="106">
        <f>+HLOOKUP($C51,'NEW CAR'!$CG$2:$CS$250,127,0)</f>
        <v>30161.933333333327</v>
      </c>
      <c r="AY51" s="106">
        <f>+HLOOKUP($C51,'NEW CAR'!$CG$2:$CS$250,129,0)</f>
        <v>0</v>
      </c>
      <c r="AZ51" s="106">
        <f>+HLOOKUP($C51,'NEW CAR'!$CG$2:$CS$250,130,0)</f>
        <v>0</v>
      </c>
      <c r="BA51" s="106">
        <f>+HLOOKUP($C51,'NEW CAR'!$CG$2:$CS$250,131,0)</f>
        <v>63783.333333333336</v>
      </c>
      <c r="BB51" s="106">
        <f>+HLOOKUP($C51,'NEW CAR'!$CG$2:$CS$250,133,0)</f>
        <v>0</v>
      </c>
      <c r="BC51" s="106">
        <f>+HLOOKUP($C51,'NEW CAR'!$CG$2:$CS$250,134,0)</f>
        <v>262469.83399999997</v>
      </c>
      <c r="BD51" s="106">
        <f>+HLOOKUP($C51,'NEW CAR'!$CG$2:$CS$250,135,0)</f>
        <v>0</v>
      </c>
      <c r="BE51" s="106">
        <f>+HLOOKUP($C51,'NEW CAR'!$CG$2:$CS$250,136,0)</f>
        <v>0</v>
      </c>
      <c r="BF51" s="106">
        <f>+HLOOKUP($C51,'NEW CAR'!$CG$2:$CS$250,138,0)</f>
        <v>2856.8340000000003</v>
      </c>
      <c r="BG51" s="106">
        <f>+HLOOKUP($C51,'NEW CAR'!$CG$2:$CS$250,139,0)</f>
        <v>13197.5</v>
      </c>
      <c r="BH51" s="106">
        <f>+HLOOKUP($C51,'NEW CAR'!$CG$2:$CS$250,140,0)</f>
        <v>12500</v>
      </c>
      <c r="BI51" s="106">
        <f>+HLOOKUP($C51,'NEW CAR'!$CG$2:$CS$250,141,0)</f>
        <v>0</v>
      </c>
      <c r="BJ51" s="106">
        <f>+HLOOKUP($C51,'NEW CAR'!$CG$2:$CS$250,142,0)</f>
        <v>0</v>
      </c>
      <c r="BK51" s="106">
        <f>+HLOOKUP($C51,'NEW CAR'!$CG$2:$CS$250,143,0)</f>
        <v>21258.125</v>
      </c>
      <c r="BL51" s="106">
        <f>+HLOOKUP($C51,'NEW CAR'!$CG$2:$CS$250,144,0)</f>
        <v>0</v>
      </c>
      <c r="BM51" s="106">
        <f>+HLOOKUP($C51,'NEW CAR'!$CG$2:$CS$250,146,0)</f>
        <v>0</v>
      </c>
      <c r="BN51" s="106">
        <f>+HLOOKUP($C51,'NEW CAR'!$CG$2:$CS$250,147,0)</f>
        <v>116634</v>
      </c>
      <c r="BO51" s="106">
        <f>+HLOOKUP($C51,'NEW CAR'!$CG$2:$CS$250,148,0)</f>
        <v>0</v>
      </c>
      <c r="BP51" s="106">
        <f>+HLOOKUP($C51,'NEW CAR'!$CG$2:$CS$250,150,0)</f>
        <v>38859</v>
      </c>
      <c r="BQ51" s="106">
        <f>+HLOOKUP($C51,'NEW CAR'!$CG$2:$CS$250,151,0)</f>
        <v>2362.5</v>
      </c>
      <c r="BR51" s="106">
        <f>+HLOOKUP($C51,'NEW CAR'!$CG$2:$CS$250,152,0)</f>
        <v>16000</v>
      </c>
      <c r="BS51" s="106">
        <f>+HLOOKUP($C51,'NEW CAR'!$CG$2:$CS$250,153,0)</f>
        <v>800</v>
      </c>
      <c r="BT51" s="106">
        <f>+HLOOKUP($C51,'NEW CAR'!$CG$2:$CS$250,157,0)</f>
        <v>30675</v>
      </c>
      <c r="BU51" s="106">
        <f>+HLOOKUP($C51,'NEW CAR'!$CG$2:$CS$250,158,0)</f>
        <v>0</v>
      </c>
      <c r="BV51" s="106">
        <f>+HLOOKUP($C51,'NEW CAR'!$CG$2:$CS$250,159,0)</f>
        <v>340.28</v>
      </c>
      <c r="BW51" s="106">
        <f>+HLOOKUP($C51,'NEW CAR'!$CG$2:$CS$250,160,0)</f>
        <v>0</v>
      </c>
      <c r="BX51" s="106">
        <f>+HLOOKUP($C51,'NEW CAR'!$CG$2:$CS$250,161,0)</f>
        <v>4975</v>
      </c>
      <c r="BY51" s="106">
        <f>+HLOOKUP($C51,'NEW CAR'!$CG$2:$CS$250,164,0)</f>
        <v>22598.878999999997</v>
      </c>
      <c r="BZ51" s="106">
        <f>+HLOOKUP($C51,'NEW CAR'!$CG$2:$CS$250,165,0)</f>
        <v>0</v>
      </c>
      <c r="CA51" s="106">
        <f>+HLOOKUP($C51,'NEW CAR'!$CG$2:$CS$250,166,0)</f>
        <v>0</v>
      </c>
      <c r="CB51" s="106">
        <f>+HLOOKUP($C51,'NEW CAR'!$CG$2:$CS$250,167,0)</f>
        <v>0</v>
      </c>
      <c r="CC51" s="106">
        <f>+HLOOKUP($C51,'NEW CAR'!$CG$2:$CS$250,168,0)</f>
        <v>0</v>
      </c>
      <c r="CD51" s="106">
        <f>+HLOOKUP($C51,'NEW CAR'!$CG$2:$CS$250,169,0)</f>
        <v>750</v>
      </c>
      <c r="CE51" s="106">
        <f>+HLOOKUP($C51,'NEW CAR'!$CG$2:$CS$250,170,0)</f>
        <v>0</v>
      </c>
      <c r="CF51" s="106">
        <f>+HLOOKUP($C51,'NEW CAR'!$CG$2:$CS$250,172,0)</f>
        <v>18000</v>
      </c>
      <c r="CG51" s="106">
        <f>+HLOOKUP($C51,'NEW CAR'!$CG$2:$CS$250,173,0)</f>
        <v>0</v>
      </c>
      <c r="CH51" s="106">
        <f>+HLOOKUP($C51,'NEW CAR'!$CG$2:$CS$250,174,0)</f>
        <v>0</v>
      </c>
      <c r="CI51" s="106">
        <f>+HLOOKUP($C51,'NEW CAR'!$CG$2:$CS$250,175,0)</f>
        <v>0</v>
      </c>
      <c r="CJ51" s="106">
        <f>+HLOOKUP($C51,'NEW CAR'!$CG$2:$CS$250,176,0)</f>
        <v>2207.058</v>
      </c>
      <c r="CK51" s="106">
        <f>+HLOOKUP($C51,'NEW CAR'!$CG$2:$CS$250,178,0)</f>
        <v>72995</v>
      </c>
      <c r="CL51" s="106">
        <f>+HLOOKUP($C51,'NEW CAR'!$CG$2:$CS$250,179,0)</f>
        <v>0</v>
      </c>
      <c r="CM51" s="106">
        <f>+HLOOKUP($C51,'NEW CAR'!$CG$2:$CS$250,180,0)</f>
        <v>0</v>
      </c>
      <c r="CN51" s="106">
        <f>+HLOOKUP($C51,'NEW CAR'!$CG$2:$CS$250,182,0)</f>
        <v>0</v>
      </c>
      <c r="CO51" s="106">
        <f>+HLOOKUP($C51,'NEW CAR'!$CG$2:$CS$250,183,0)</f>
        <v>4124.9949999999999</v>
      </c>
      <c r="CP51" s="106">
        <f>+HLOOKUP($C51,'NEW CAR'!$CG$2:$CS$250,184,0)</f>
        <v>0</v>
      </c>
      <c r="CQ51" s="106">
        <f>+HLOOKUP($C51,'NEW CAR'!$CG$2:$CS$250,185,0)</f>
        <v>0</v>
      </c>
      <c r="CR51" s="106">
        <f>+HLOOKUP($C51,'NEW CAR'!$CG$2:$CS$250,187,0)</f>
        <v>3124.9995000000004</v>
      </c>
      <c r="CS51" s="106">
        <f>+HLOOKUP($C51,'NEW CAR'!$CG$2:$CS$250,188,0)</f>
        <v>2250</v>
      </c>
      <c r="CT51" s="106">
        <f>+HLOOKUP($C51,'NEW CAR'!$CG$2:$CS$250,189,0)</f>
        <v>0</v>
      </c>
      <c r="CU51" s="106">
        <f>+HLOOKUP($C51,'NEW CAR'!$CG$2:$CS$250,190,0)</f>
        <v>3756.95</v>
      </c>
      <c r="CV51" s="106">
        <f>+HLOOKUP($C51,'NEW CAR'!$CG$2:$CS$250,191,0)</f>
        <v>0</v>
      </c>
      <c r="CW51" s="106">
        <f>+HLOOKUP($C51,'NEW CAR'!$CG$2:$CS$250,193,0)</f>
        <v>6177</v>
      </c>
      <c r="CX51" s="106">
        <f>+HLOOKUP($C51,'NEW CAR'!$CG$2:$CS$250,194,0)</f>
        <v>39.75</v>
      </c>
      <c r="CY51" s="106">
        <f>+HLOOKUP($C51,'NEW CAR'!$CG$2:$CS$250,195,0)</f>
        <v>8402.5600000000013</v>
      </c>
      <c r="CZ51" s="106">
        <f>+HLOOKUP($C51,'NEW CAR'!$CG$2:$CS$250,196,0)</f>
        <v>0</v>
      </c>
      <c r="DA51" s="106">
        <f>+HLOOKUP($C51,'NEW CAR'!$CG$2:$CS$250,197,0)</f>
        <v>34402.32</v>
      </c>
      <c r="DB51" s="106">
        <f>+HLOOKUP($C51,'NEW CAR'!$CG$2:$CS$250,198,0)</f>
        <v>4843.0349999999999</v>
      </c>
      <c r="DC51" s="106">
        <f>+HLOOKUP($C51,'NEW CAR'!$CG$2:$CS$250,199,0)</f>
        <v>1077.6985</v>
      </c>
      <c r="DD51" s="106">
        <f>+HLOOKUP($C51,'NEW CAR'!$CG$2:$CS$250,200,0)</f>
        <v>371.5</v>
      </c>
      <c r="DE51" s="106">
        <f>+HLOOKUP($C51,'NEW CAR'!$CG$2:$CS$250,201,0)</f>
        <v>0</v>
      </c>
      <c r="DF51" s="106">
        <f>+HLOOKUP($C51,'NEW CAR'!$CG$2:$CS$250,202,0)</f>
        <v>1.1459999999999997</v>
      </c>
      <c r="DG51" s="106">
        <f>+HLOOKUP($C51,'NEW CAR'!$CG$2:$CS$250,203,0)</f>
        <v>15.157499999999999</v>
      </c>
      <c r="DH51" s="106">
        <f>+HLOOKUP($C51,'NEW CAR'!$CG$2:$CS$250,205,0)</f>
        <v>45539.83</v>
      </c>
      <c r="DI51" s="106">
        <f>+HLOOKUP($C51,'NEW CAR'!$CG$2:$CS$250,206,0)</f>
        <v>5856.5</v>
      </c>
      <c r="DJ51" s="106">
        <f>+HLOOKUP($C51,'NEW CAR'!$CG$2:$CS$250,207,0)</f>
        <v>388.96200000000044</v>
      </c>
      <c r="DK51" s="106">
        <f>+HLOOKUP($C51,'NEW CAR'!$CG$2:$CS$250,209,0)</f>
        <v>0</v>
      </c>
      <c r="DL51" s="106">
        <f>+HLOOKUP($C51,'NEW CAR'!$CG$2:$CS$250,210,0)</f>
        <v>0</v>
      </c>
      <c r="DM51" s="106">
        <f>+HLOOKUP($C51,'NEW CAR'!$CG$2:$CS$250,211,0)</f>
        <v>116992.5</v>
      </c>
      <c r="DN51" s="106">
        <f>+HLOOKUP($C51,'NEW CAR'!$CG$2:$CS$250,212,0)</f>
        <v>24000</v>
      </c>
      <c r="DO51" s="106">
        <f>+HLOOKUP($C51,'NEW CAR'!$CG$2:$CS$250,214,0)</f>
        <v>0</v>
      </c>
      <c r="DP51" s="106">
        <f>+HLOOKUP($C51,'NEW CAR'!$CG$2:$CS$250,215,0)</f>
        <v>1550</v>
      </c>
      <c r="DQ51" s="106">
        <f>+HLOOKUP($C51,'NEW CAR'!$CG$2:$CS$250,219,0)</f>
        <v>0</v>
      </c>
      <c r="DR51" s="106">
        <f>+HLOOKUP($C51,'NEW CAR'!$CG$2:$CS$250,220,0)</f>
        <v>0</v>
      </c>
      <c r="DS51" s="106">
        <f>+HLOOKUP($C51,'NEW CAR'!$CG$2:$CS$250,221,0)</f>
        <v>290504.71200000006</v>
      </c>
      <c r="DT51" s="106">
        <f>+HLOOKUP($C51,'NEW CAR'!$CG$2:$CS$250,223,0)</f>
        <v>85489.3845</v>
      </c>
      <c r="DU51" s="106">
        <f>+HLOOKUP($C51,'NEW CAR'!$CG$2:$CS$250,224,0)</f>
        <v>0</v>
      </c>
      <c r="DV51" s="106">
        <f>+HLOOKUP($C51,'NEW CAR'!$CG$2:$CS$250,225,0)</f>
        <v>0</v>
      </c>
      <c r="DW51" s="106">
        <f>+HLOOKUP($C51,'NEW CAR'!$CG$2:$CS$250,227,0)</f>
        <v>0</v>
      </c>
      <c r="DX51" s="106">
        <f>+HLOOKUP($C51,'NEW CAR'!$CG$2:$CS$250,228,0)</f>
        <v>8756.25</v>
      </c>
      <c r="DY51" s="106">
        <f>+HLOOKUP($C51,'NEW CAR'!$CG$2:$CS$250,236,0)</f>
        <v>0</v>
      </c>
      <c r="DZ51" s="106">
        <f>+HLOOKUP($C51,'NEW CAR'!$CG$2:$CS$250,237,0)</f>
        <v>171593.40555</v>
      </c>
      <c r="EA51" s="106">
        <f>+HLOOKUP($C51,'NEW CAR'!$CG$2:$CS$250,238,0)</f>
        <v>0</v>
      </c>
      <c r="EB51" s="106">
        <f>+HLOOKUP($C51,'NEW CAR'!$CG$2:$CS$250,240,0)</f>
        <v>444690</v>
      </c>
    </row>
    <row r="52" spans="1:132" hidden="1">
      <c r="A52" t="s">
        <v>271</v>
      </c>
      <c r="B52" t="s">
        <v>270</v>
      </c>
      <c r="C52" s="117">
        <v>45566</v>
      </c>
      <c r="D52" s="106">
        <f>+HLOOKUP(C52,'NEW CAR'!$CG$2:$CS$250,6,0)/3.5%</f>
        <v>43237627.449999996</v>
      </c>
      <c r="E52" s="106">
        <f>+HLOOKUP(C52,'NEW CAR'!$CG$2:$CS$250,5,0)+HLOOKUP(C52,'NEW CAR'!$CG$2:$CS$250,26,0)+HLOOKUP(C52,'NEW CAR'!$CG$2:$CS$250,59,0)</f>
        <v>1908887.979417</v>
      </c>
      <c r="G52" s="106">
        <f>+HLOOKUP($C52,'NEW CAR'!$CG$2:$CS$250,76,0)</f>
        <v>68980</v>
      </c>
      <c r="H52" s="106">
        <f>+HLOOKUP($C52,'NEW CAR'!$CG$2:$CS$250,77,0)</f>
        <v>349617.63</v>
      </c>
      <c r="I52" s="106">
        <f>+HLOOKUP($C52,'NEW CAR'!$CG$2:$CS$250,78,0)</f>
        <v>0</v>
      </c>
      <c r="J52" s="106">
        <f>+HLOOKUP($C52,'NEW CAR'!$CG$2:$CS$250,79,0)</f>
        <v>0</v>
      </c>
      <c r="K52" s="106">
        <f>+HLOOKUP($C52,'NEW CAR'!$CG$2:$CS$250,80,0)</f>
        <v>0</v>
      </c>
      <c r="L52" s="106">
        <f>+HLOOKUP($C52,'NEW CAR'!$CG$2:$CS$250,81,0)</f>
        <v>0</v>
      </c>
      <c r="M52" s="106">
        <f>+HLOOKUP($C52,'NEW CAR'!$CG$2:$CS$250,82,0)</f>
        <v>0</v>
      </c>
      <c r="N52" s="106">
        <f>+HLOOKUP($C52,'NEW CAR'!$CG$2:$CS$250,83,0)</f>
        <v>0</v>
      </c>
      <c r="O52" s="106">
        <f>+HLOOKUP($C52,'NEW CAR'!$CG$2:$CS$250,84,0)</f>
        <v>48000</v>
      </c>
      <c r="P52" s="106">
        <f>+HLOOKUP($C52,'NEW CAR'!$CG$2:$CS$250,85,0)</f>
        <v>0</v>
      </c>
      <c r="Q52" s="106">
        <f>+HLOOKUP($C52,'NEW CAR'!$CG$2:$CS$250,87,0)</f>
        <v>184024.95</v>
      </c>
      <c r="R52" s="106">
        <f>+HLOOKUP($C52,'NEW CAR'!$CG$2:$CS$250,90,0)</f>
        <v>0</v>
      </c>
      <c r="S52" s="106">
        <f>+HLOOKUP($C52,'NEW CAR'!$CG$2:$CS$250,91,0)</f>
        <v>0</v>
      </c>
      <c r="T52" s="106">
        <f>+HLOOKUP($C52,'NEW CAR'!$CG$2:$CS$250,92,0)</f>
        <v>104861.66</v>
      </c>
      <c r="U52" s="106">
        <f>+HLOOKUP($C52,'NEW CAR'!$CG$2:$CS$250,93,0)</f>
        <v>3000</v>
      </c>
      <c r="V52" s="106">
        <f>+HLOOKUP($C52,'NEW CAR'!$CG$2:$CS$250,94,0)</f>
        <v>0</v>
      </c>
      <c r="W52" s="106">
        <f>+HLOOKUP($C52,'NEW CAR'!$CG$2:$CS$250,95,0)</f>
        <v>0</v>
      </c>
      <c r="X52" s="106">
        <f>+HLOOKUP($C52,'NEW CAR'!$CG$2:$CS$250,96,0)</f>
        <v>51027.3</v>
      </c>
      <c r="Y52" s="106">
        <f>+HLOOKUP($C52,'NEW CAR'!$CG$2:$CS$250,97,0)</f>
        <v>6709.16</v>
      </c>
      <c r="Z52" s="106">
        <f>+HLOOKUP($C52,'NEW CAR'!$CG$2:$CS$250,98,0)</f>
        <v>0</v>
      </c>
      <c r="AA52" s="106">
        <f>+HLOOKUP($C52,'NEW CAR'!$CG$2:$CS$250,99,0)</f>
        <v>0</v>
      </c>
      <c r="AB52" s="106">
        <f>+HLOOKUP($C52,'NEW CAR'!$CG$2:$CS$250,100,0)</f>
        <v>14050.456666666667</v>
      </c>
      <c r="AC52" s="106">
        <f>+HLOOKUP($C52,'NEW CAR'!$CG$2:$CS$250,101,0)</f>
        <v>410.625</v>
      </c>
      <c r="AD52" s="106">
        <f>+HLOOKUP($C52,'NEW CAR'!$CG$2:$CS$250,104,0)</f>
        <v>240000</v>
      </c>
      <c r="AE52" s="106">
        <f>+HLOOKUP($C52,'NEW CAR'!$CG$2:$CS$250,105,0)</f>
        <v>137356.70799999998</v>
      </c>
      <c r="AF52" s="106">
        <f>+HLOOKUP($C52,'NEW CAR'!$CG$2:$CS$250,106,0)</f>
        <v>0</v>
      </c>
      <c r="AG52" s="106">
        <f>+HLOOKUP($C52,'NEW CAR'!$CG$2:$CS$250,107,0)</f>
        <v>317888.80000000005</v>
      </c>
      <c r="AH52" s="106">
        <f>+HLOOKUP($C52,'NEW CAR'!$CG$2:$CS$250,108,0)</f>
        <v>13044</v>
      </c>
      <c r="AI52" s="106">
        <f>+HLOOKUP($C52,'NEW CAR'!$CG$2:$CS$250,109,0)</f>
        <v>142434</v>
      </c>
      <c r="AJ52" s="106">
        <f>+HLOOKUP($C52,'NEW CAR'!$CG$2:$CS$250,110,0)</f>
        <v>0</v>
      </c>
      <c r="AK52" s="106">
        <f>+HLOOKUP($C52,'NEW CAR'!$CG$2:$CS$250,111,0)</f>
        <v>0</v>
      </c>
      <c r="AL52" s="106">
        <f>+HLOOKUP($C52,'NEW CAR'!$CG$2:$CS$250,112,0)</f>
        <v>0</v>
      </c>
      <c r="AM52" s="106">
        <f>+HLOOKUP($C52,'NEW CAR'!$CG$2:$CS$250,116,0)</f>
        <v>485322.8</v>
      </c>
      <c r="AN52" s="106">
        <f>+HLOOKUP($C52,'NEW CAR'!$CG$2:$CS$250,117,0)</f>
        <v>67839.100000000006</v>
      </c>
      <c r="AO52" s="106">
        <f>+HLOOKUP($C52,'NEW CAR'!$CG$2:$CS$250,118,0)</f>
        <v>10000</v>
      </c>
      <c r="AP52" s="106">
        <f>+HLOOKUP($C52,'NEW CAR'!$CG$2:$CS$250,119,0)</f>
        <v>167588.4</v>
      </c>
      <c r="AQ52" s="106">
        <f>+HLOOKUP($C52,'NEW CAR'!$CG$2:$CS$250,120,0)</f>
        <v>44749</v>
      </c>
      <c r="AR52" s="106">
        <f>+HLOOKUP($C52,'NEW CAR'!$CG$2:$CS$250,121,0)</f>
        <v>17908.2</v>
      </c>
      <c r="AS52" s="106">
        <f>+HLOOKUP($C52,'NEW CAR'!$CG$2:$CS$250,122,0)</f>
        <v>355249.8</v>
      </c>
      <c r="AT52" s="106">
        <f>+HLOOKUP($C52,'NEW CAR'!$CG$2:$CS$250,123,0)</f>
        <v>71497.5</v>
      </c>
      <c r="AU52" s="106">
        <f>+HLOOKUP($C52,'NEW CAR'!$CG$2:$CS$250,124,0)</f>
        <v>3107.6</v>
      </c>
      <c r="AV52" s="106">
        <f>+HLOOKUP($C52,'NEW CAR'!$CG$2:$CS$250,125,0)</f>
        <v>37275</v>
      </c>
      <c r="AW52" s="106">
        <f>+HLOOKUP($C52,'NEW CAR'!$CG$2:$CS$250,126,0)</f>
        <v>31532.461538461539</v>
      </c>
      <c r="AX52" s="106">
        <f>+HLOOKUP($C52,'NEW CAR'!$CG$2:$CS$250,127,0)</f>
        <v>30161.933333333327</v>
      </c>
      <c r="AY52" s="106">
        <f>+HLOOKUP($C52,'NEW CAR'!$CG$2:$CS$250,129,0)</f>
        <v>0</v>
      </c>
      <c r="AZ52" s="106">
        <f>+HLOOKUP($C52,'NEW CAR'!$CG$2:$CS$250,130,0)</f>
        <v>0</v>
      </c>
      <c r="BA52" s="106">
        <f>+HLOOKUP($C52,'NEW CAR'!$CG$2:$CS$250,131,0)</f>
        <v>63783.333333333336</v>
      </c>
      <c r="BB52" s="106">
        <f>+HLOOKUP($C52,'NEW CAR'!$CG$2:$CS$250,133,0)</f>
        <v>0</v>
      </c>
      <c r="BC52" s="106">
        <f>+HLOOKUP($C52,'NEW CAR'!$CG$2:$CS$250,134,0)</f>
        <v>6905</v>
      </c>
      <c r="BD52" s="106">
        <f>+HLOOKUP($C52,'NEW CAR'!$CG$2:$CS$250,135,0)</f>
        <v>0</v>
      </c>
      <c r="BE52" s="106">
        <f>+HLOOKUP($C52,'NEW CAR'!$CG$2:$CS$250,136,0)</f>
        <v>0</v>
      </c>
      <c r="BF52" s="106">
        <f>+HLOOKUP($C52,'NEW CAR'!$CG$2:$CS$250,138,0)</f>
        <v>4256.0999999999995</v>
      </c>
      <c r="BG52" s="106">
        <f>+HLOOKUP($C52,'NEW CAR'!$CG$2:$CS$250,139,0)</f>
        <v>18641.12</v>
      </c>
      <c r="BH52" s="106">
        <f>+HLOOKUP($C52,'NEW CAR'!$CG$2:$CS$250,140,0)</f>
        <v>12500</v>
      </c>
      <c r="BI52" s="106">
        <f>+HLOOKUP($C52,'NEW CAR'!$CG$2:$CS$250,141,0)</f>
        <v>0</v>
      </c>
      <c r="BJ52" s="106">
        <f>+HLOOKUP($C52,'NEW CAR'!$CG$2:$CS$250,142,0)</f>
        <v>0</v>
      </c>
      <c r="BK52" s="106">
        <f>+HLOOKUP($C52,'NEW CAR'!$CG$2:$CS$250,143,0)</f>
        <v>0</v>
      </c>
      <c r="BL52" s="106">
        <f>+HLOOKUP($C52,'NEW CAR'!$CG$2:$CS$250,144,0)</f>
        <v>11254.5</v>
      </c>
      <c r="BM52" s="106">
        <f>+HLOOKUP($C52,'NEW CAR'!$CG$2:$CS$250,146,0)</f>
        <v>0</v>
      </c>
      <c r="BN52" s="106">
        <f>+HLOOKUP($C52,'NEW CAR'!$CG$2:$CS$250,147,0)</f>
        <v>14329</v>
      </c>
      <c r="BO52" s="106">
        <f>+HLOOKUP($C52,'NEW CAR'!$CG$2:$CS$250,148,0)</f>
        <v>0</v>
      </c>
      <c r="BP52" s="106">
        <f>+HLOOKUP($C52,'NEW CAR'!$CG$2:$CS$250,150,0)</f>
        <v>73707.5</v>
      </c>
      <c r="BQ52" s="106">
        <f>+HLOOKUP($C52,'NEW CAR'!$CG$2:$CS$250,151,0)</f>
        <v>2362.5</v>
      </c>
      <c r="BR52" s="106">
        <f>+HLOOKUP($C52,'NEW CAR'!$CG$2:$CS$250,152,0)</f>
        <v>16000</v>
      </c>
      <c r="BS52" s="106">
        <f>+HLOOKUP($C52,'NEW CAR'!$CG$2:$CS$250,153,0)</f>
        <v>850</v>
      </c>
      <c r="BT52" s="106">
        <f>+HLOOKUP($C52,'NEW CAR'!$CG$2:$CS$250,157,0)</f>
        <v>0</v>
      </c>
      <c r="BU52" s="106">
        <f>+HLOOKUP($C52,'NEW CAR'!$CG$2:$CS$250,158,0)</f>
        <v>0</v>
      </c>
      <c r="BV52" s="106">
        <f>+HLOOKUP($C52,'NEW CAR'!$CG$2:$CS$250,159,0)</f>
        <v>0</v>
      </c>
      <c r="BW52" s="106">
        <f>+HLOOKUP($C52,'NEW CAR'!$CG$2:$CS$250,160,0)</f>
        <v>0</v>
      </c>
      <c r="BX52" s="106">
        <f>+HLOOKUP($C52,'NEW CAR'!$CG$2:$CS$250,161,0)</f>
        <v>11535.95</v>
      </c>
      <c r="BY52" s="106">
        <f>+HLOOKUP($C52,'NEW CAR'!$CG$2:$CS$250,164,0)</f>
        <v>21874.597999999998</v>
      </c>
      <c r="BZ52" s="106">
        <f>+HLOOKUP($C52,'NEW CAR'!$CG$2:$CS$250,165,0)</f>
        <v>0</v>
      </c>
      <c r="CA52" s="106">
        <f>+HLOOKUP($C52,'NEW CAR'!$CG$2:$CS$250,166,0)</f>
        <v>0</v>
      </c>
      <c r="CB52" s="106">
        <f>+HLOOKUP($C52,'NEW CAR'!$CG$2:$CS$250,167,0)</f>
        <v>0</v>
      </c>
      <c r="CC52" s="106">
        <f>+HLOOKUP($C52,'NEW CAR'!$CG$2:$CS$250,168,0)</f>
        <v>0</v>
      </c>
      <c r="CD52" s="106">
        <f>+HLOOKUP($C52,'NEW CAR'!$CG$2:$CS$250,169,0)</f>
        <v>27</v>
      </c>
      <c r="CE52" s="106">
        <f>+HLOOKUP($C52,'NEW CAR'!$CG$2:$CS$250,170,0)</f>
        <v>0</v>
      </c>
      <c r="CF52" s="106">
        <f>+HLOOKUP($C52,'NEW CAR'!$CG$2:$CS$250,172,0)</f>
        <v>18000</v>
      </c>
      <c r="CG52" s="106">
        <f>+HLOOKUP($C52,'NEW CAR'!$CG$2:$CS$250,173,0)</f>
        <v>0</v>
      </c>
      <c r="CH52" s="106">
        <f>+HLOOKUP($C52,'NEW CAR'!$CG$2:$CS$250,174,0)</f>
        <v>0</v>
      </c>
      <c r="CI52" s="106">
        <f>+HLOOKUP($C52,'NEW CAR'!$CG$2:$CS$250,175,0)</f>
        <v>0</v>
      </c>
      <c r="CJ52" s="106">
        <f>+HLOOKUP($C52,'NEW CAR'!$CG$2:$CS$250,176,0)</f>
        <v>2502</v>
      </c>
      <c r="CK52" s="106">
        <f>+HLOOKUP($C52,'NEW CAR'!$CG$2:$CS$250,178,0)</f>
        <v>44085.83</v>
      </c>
      <c r="CL52" s="106">
        <f>+HLOOKUP($C52,'NEW CAR'!$CG$2:$CS$250,179,0)</f>
        <v>0</v>
      </c>
      <c r="CM52" s="106">
        <f>+HLOOKUP($C52,'NEW CAR'!$CG$2:$CS$250,180,0)</f>
        <v>0</v>
      </c>
      <c r="CN52" s="106">
        <f>+HLOOKUP($C52,'NEW CAR'!$CG$2:$CS$250,182,0)</f>
        <v>0</v>
      </c>
      <c r="CO52" s="106">
        <f>+HLOOKUP($C52,'NEW CAR'!$CG$2:$CS$250,183,0)</f>
        <v>799</v>
      </c>
      <c r="CP52" s="106">
        <f>+HLOOKUP($C52,'NEW CAR'!$CG$2:$CS$250,184,0)</f>
        <v>0</v>
      </c>
      <c r="CQ52" s="106">
        <f>+HLOOKUP($C52,'NEW CAR'!$CG$2:$CS$250,185,0)</f>
        <v>0</v>
      </c>
      <c r="CR52" s="106">
        <f>+HLOOKUP($C52,'NEW CAR'!$CG$2:$CS$250,187,0)</f>
        <v>3124.999999999995</v>
      </c>
      <c r="CS52" s="106">
        <f>+HLOOKUP($C52,'NEW CAR'!$CG$2:$CS$250,188,0)</f>
        <v>2250</v>
      </c>
      <c r="CT52" s="106">
        <f>+HLOOKUP($C52,'NEW CAR'!$CG$2:$CS$250,189,0)</f>
        <v>0</v>
      </c>
      <c r="CU52" s="106">
        <f>+HLOOKUP($C52,'NEW CAR'!$CG$2:$CS$250,190,0)</f>
        <v>3756.95</v>
      </c>
      <c r="CV52" s="106">
        <f>+HLOOKUP($C52,'NEW CAR'!$CG$2:$CS$250,191,0)</f>
        <v>0</v>
      </c>
      <c r="CW52" s="106">
        <f>+HLOOKUP($C52,'NEW CAR'!$CG$2:$CS$250,193,0)</f>
        <v>6177</v>
      </c>
      <c r="CX52" s="106">
        <f>+HLOOKUP($C52,'NEW CAR'!$CG$2:$CS$250,194,0)</f>
        <v>39.75</v>
      </c>
      <c r="CY52" s="106">
        <f>+HLOOKUP($C52,'NEW CAR'!$CG$2:$CS$250,195,0)</f>
        <v>0</v>
      </c>
      <c r="CZ52" s="106">
        <f>+HLOOKUP($C52,'NEW CAR'!$CG$2:$CS$250,196,0)</f>
        <v>0</v>
      </c>
      <c r="DA52" s="106">
        <f>+HLOOKUP($C52,'NEW CAR'!$CG$2:$CS$250,197,0)</f>
        <v>3775.1149999999998</v>
      </c>
      <c r="DB52" s="106">
        <f>+HLOOKUP($C52,'NEW CAR'!$CG$2:$CS$250,198,0)</f>
        <v>6592.1450000000004</v>
      </c>
      <c r="DC52" s="106">
        <f>+HLOOKUP($C52,'NEW CAR'!$CG$2:$CS$250,199,0)</f>
        <v>1602.94</v>
      </c>
      <c r="DD52" s="106">
        <f>+HLOOKUP($C52,'NEW CAR'!$CG$2:$CS$250,200,0)</f>
        <v>0</v>
      </c>
      <c r="DE52" s="106">
        <f>+HLOOKUP($C52,'NEW CAR'!$CG$2:$CS$250,201,0)</f>
        <v>0</v>
      </c>
      <c r="DF52" s="106">
        <f>+HLOOKUP($C52,'NEW CAR'!$CG$2:$CS$250,202,0)</f>
        <v>1.9430000000000001</v>
      </c>
      <c r="DG52" s="106">
        <f>+HLOOKUP($C52,'NEW CAR'!$CG$2:$CS$250,203,0)</f>
        <v>25.936499999999999</v>
      </c>
      <c r="DH52" s="106">
        <f>+HLOOKUP($C52,'NEW CAR'!$CG$2:$CS$250,205,0)</f>
        <v>45540</v>
      </c>
      <c r="DI52" s="106">
        <f>+HLOOKUP($C52,'NEW CAR'!$CG$2:$CS$250,206,0)</f>
        <v>5991.05</v>
      </c>
      <c r="DJ52" s="106">
        <f>+HLOOKUP($C52,'NEW CAR'!$CG$2:$CS$250,207,0)</f>
        <v>5803.9995000000008</v>
      </c>
      <c r="DK52" s="106">
        <f>+HLOOKUP($C52,'NEW CAR'!$CG$2:$CS$250,209,0)</f>
        <v>0</v>
      </c>
      <c r="DL52" s="106">
        <f>+HLOOKUP($C52,'NEW CAR'!$CG$2:$CS$250,210,0)</f>
        <v>0</v>
      </c>
      <c r="DM52" s="106">
        <f>+HLOOKUP($C52,'NEW CAR'!$CG$2:$CS$250,211,0)</f>
        <v>116992.5</v>
      </c>
      <c r="DN52" s="106">
        <f>+HLOOKUP($C52,'NEW CAR'!$CG$2:$CS$250,212,0)</f>
        <v>24000</v>
      </c>
      <c r="DO52" s="106">
        <f>+HLOOKUP($C52,'NEW CAR'!$CG$2:$CS$250,214,0)</f>
        <v>0</v>
      </c>
      <c r="DP52" s="106">
        <f>+HLOOKUP($C52,'NEW CAR'!$CG$2:$CS$250,215,0)</f>
        <v>400</v>
      </c>
      <c r="DQ52" s="106">
        <f>+HLOOKUP($C52,'NEW CAR'!$CG$2:$CS$250,219,0)</f>
        <v>0</v>
      </c>
      <c r="DR52" s="106">
        <f>+HLOOKUP($C52,'NEW CAR'!$CG$2:$CS$250,220,0)</f>
        <v>0</v>
      </c>
      <c r="DS52" s="106">
        <f>+HLOOKUP($C52,'NEW CAR'!$CG$2:$CS$250,221,0)</f>
        <v>310356.33199999999</v>
      </c>
      <c r="DT52" s="106">
        <f>+HLOOKUP($C52,'NEW CAR'!$CG$2:$CS$250,223,0)</f>
        <v>10411.179</v>
      </c>
      <c r="DU52" s="106">
        <f>+HLOOKUP($C52,'NEW CAR'!$CG$2:$CS$250,224,0)</f>
        <v>0</v>
      </c>
      <c r="DV52" s="106">
        <f>+HLOOKUP($C52,'NEW CAR'!$CG$2:$CS$250,225,0)</f>
        <v>0</v>
      </c>
      <c r="DW52" s="106">
        <f>+HLOOKUP($C52,'NEW CAR'!$CG$2:$CS$250,227,0)</f>
        <v>0</v>
      </c>
      <c r="DX52" s="106">
        <f>+HLOOKUP($C52,'NEW CAR'!$CG$2:$CS$250,228,0)</f>
        <v>13758</v>
      </c>
      <c r="DY52" s="106">
        <f>+HLOOKUP($C52,'NEW CAR'!$CG$2:$CS$250,236,0)</f>
        <v>0</v>
      </c>
      <c r="DZ52" s="106">
        <f>+HLOOKUP($C52,'NEW CAR'!$CG$2:$CS$250,237,0)</f>
        <v>179500.29614999998</v>
      </c>
      <c r="EA52" s="106">
        <f>+HLOOKUP($C52,'NEW CAR'!$CG$2:$CS$250,238,0)</f>
        <v>0</v>
      </c>
      <c r="EB52" s="106">
        <f>+HLOOKUP($C52,'NEW CAR'!$CG$2:$CS$250,240,0)</f>
        <v>444690</v>
      </c>
    </row>
    <row r="53" spans="1:132" hidden="1">
      <c r="A53" t="s">
        <v>271</v>
      </c>
      <c r="B53" t="s">
        <v>270</v>
      </c>
      <c r="C53" s="117">
        <v>45536</v>
      </c>
      <c r="D53" s="106">
        <f>+HLOOKUP(C53,'NEW CAR'!$CG$2:$CS$250,6,0)/3.5%</f>
        <v>31481685.714285713</v>
      </c>
      <c r="E53" s="106">
        <f>+HLOOKUP(C53,'NEW CAR'!$CG$2:$CS$250,5,0)+HLOOKUP(C53,'NEW CAR'!$CG$2:$CS$250,26,0)+HLOOKUP(C53,'NEW CAR'!$CG$2:$CS$250,59,0)</f>
        <v>3284138.2589809997</v>
      </c>
      <c r="G53" s="106">
        <f>+HLOOKUP($C53,'NEW CAR'!$CG$2:$CS$250,76,0)</f>
        <v>46860</v>
      </c>
      <c r="H53" s="106">
        <f>+HLOOKUP($C53,'NEW CAR'!$CG$2:$CS$250,77,0)</f>
        <v>231342.03</v>
      </c>
      <c r="I53" s="106">
        <f>+HLOOKUP($C53,'NEW CAR'!$CG$2:$CS$250,78,0)</f>
        <v>4600</v>
      </c>
      <c r="J53" s="106">
        <f>+HLOOKUP($C53,'NEW CAR'!$CG$2:$CS$250,79,0)</f>
        <v>218162.29</v>
      </c>
      <c r="K53" s="106">
        <f>+HLOOKUP($C53,'NEW CAR'!$CG$2:$CS$250,80,0)</f>
        <v>0</v>
      </c>
      <c r="L53" s="106">
        <f>+HLOOKUP($C53,'NEW CAR'!$CG$2:$CS$250,81,0)</f>
        <v>0</v>
      </c>
      <c r="M53" s="106">
        <f>+HLOOKUP($C53,'NEW CAR'!$CG$2:$CS$250,82,0)</f>
        <v>0</v>
      </c>
      <c r="N53" s="106">
        <f>+HLOOKUP($C53,'NEW CAR'!$CG$2:$CS$250,83,0)</f>
        <v>0</v>
      </c>
      <c r="O53" s="106">
        <f>+HLOOKUP($C53,'NEW CAR'!$CG$2:$CS$250,84,0)</f>
        <v>0</v>
      </c>
      <c r="P53" s="106">
        <f>+HLOOKUP($C53,'NEW CAR'!$CG$2:$CS$250,85,0)</f>
        <v>0</v>
      </c>
      <c r="Q53" s="106">
        <f>+HLOOKUP($C53,'NEW CAR'!$CG$2:$CS$250,87,0)</f>
        <v>123742.65</v>
      </c>
      <c r="R53" s="106">
        <f>+HLOOKUP($C53,'NEW CAR'!$CG$2:$CS$250,90,0)</f>
        <v>0</v>
      </c>
      <c r="S53" s="106">
        <f>+HLOOKUP($C53,'NEW CAR'!$CG$2:$CS$250,91,0)</f>
        <v>0</v>
      </c>
      <c r="T53" s="106">
        <f>+HLOOKUP($C53,'NEW CAR'!$CG$2:$CS$250,92,0)</f>
        <v>142106.47</v>
      </c>
      <c r="U53" s="106">
        <f>+HLOOKUP($C53,'NEW CAR'!$CG$2:$CS$250,93,0)</f>
        <v>12500</v>
      </c>
      <c r="V53" s="106">
        <f>+HLOOKUP($C53,'NEW CAR'!$CG$2:$CS$250,94,0)</f>
        <v>0</v>
      </c>
      <c r="W53" s="106">
        <f>+HLOOKUP($C53,'NEW CAR'!$CG$2:$CS$250,95,0)</f>
        <v>0</v>
      </c>
      <c r="X53" s="106">
        <f>+HLOOKUP($C53,'NEW CAR'!$CG$2:$CS$250,96,0)</f>
        <v>94033.4</v>
      </c>
      <c r="Y53" s="106">
        <f>+HLOOKUP($C53,'NEW CAR'!$CG$2:$CS$250,97,0)</f>
        <v>0</v>
      </c>
      <c r="Z53" s="106">
        <f>+HLOOKUP($C53,'NEW CAR'!$CG$2:$CS$250,98,0)</f>
        <v>0</v>
      </c>
      <c r="AA53" s="106">
        <f>+HLOOKUP($C53,'NEW CAR'!$CG$2:$CS$250,99,0)</f>
        <v>0</v>
      </c>
      <c r="AB53" s="106">
        <f>+HLOOKUP($C53,'NEW CAR'!$CG$2:$CS$250,100,0)</f>
        <v>4209.1260714285718</v>
      </c>
      <c r="AC53" s="106">
        <f>+HLOOKUP($C53,'NEW CAR'!$CG$2:$CS$250,101,0)</f>
        <v>25088</v>
      </c>
      <c r="AD53" s="106">
        <f>+HLOOKUP($C53,'NEW CAR'!$CG$2:$CS$250,104,0)</f>
        <v>0</v>
      </c>
      <c r="AE53" s="106">
        <f>+HLOOKUP($C53,'NEW CAR'!$CG$2:$CS$250,105,0)</f>
        <v>102258.69200000001</v>
      </c>
      <c r="AF53" s="106">
        <f>+HLOOKUP($C53,'NEW CAR'!$CG$2:$CS$250,106,0)</f>
        <v>0</v>
      </c>
      <c r="AG53" s="106">
        <f>+HLOOKUP($C53,'NEW CAR'!$CG$2:$CS$250,107,0)</f>
        <v>192500</v>
      </c>
      <c r="AH53" s="106">
        <f>+HLOOKUP($C53,'NEW CAR'!$CG$2:$CS$250,108,0)</f>
        <v>0</v>
      </c>
      <c r="AI53" s="106">
        <f>+HLOOKUP($C53,'NEW CAR'!$CG$2:$CS$250,109,0)</f>
        <v>99716</v>
      </c>
      <c r="AJ53" s="106">
        <f>+HLOOKUP($C53,'NEW CAR'!$CG$2:$CS$250,110,0)</f>
        <v>0</v>
      </c>
      <c r="AK53" s="106">
        <f>+HLOOKUP($C53,'NEW CAR'!$CG$2:$CS$250,111,0)</f>
        <v>0</v>
      </c>
      <c r="AL53" s="106">
        <f>+HLOOKUP($C53,'NEW CAR'!$CG$2:$CS$250,112,0)</f>
        <v>0</v>
      </c>
      <c r="AM53" s="106">
        <f>+HLOOKUP($C53,'NEW CAR'!$CG$2:$CS$250,116,0)</f>
        <v>541816.66999999993</v>
      </c>
      <c r="AN53" s="106">
        <f>+HLOOKUP($C53,'NEW CAR'!$CG$2:$CS$250,117,0)</f>
        <v>76124.17</v>
      </c>
      <c r="AO53" s="106">
        <f>+HLOOKUP($C53,'NEW CAR'!$CG$2:$CS$250,118,0)</f>
        <v>9833.33</v>
      </c>
      <c r="AP53" s="106">
        <f>+HLOOKUP($C53,'NEW CAR'!$CG$2:$CS$250,119,0)</f>
        <v>184116.67</v>
      </c>
      <c r="AQ53" s="106">
        <f>+HLOOKUP($C53,'NEW CAR'!$CG$2:$CS$250,120,0)</f>
        <v>55658.33</v>
      </c>
      <c r="AR53" s="106">
        <f>+HLOOKUP($C53,'NEW CAR'!$CG$2:$CS$250,121,0)</f>
        <v>18823.330000000002</v>
      </c>
      <c r="AS53" s="106">
        <f>+HLOOKUP($C53,'NEW CAR'!$CG$2:$CS$250,122,0)</f>
        <v>336167.67000000004</v>
      </c>
      <c r="AT53" s="106">
        <f>+HLOOKUP($C53,'NEW CAR'!$CG$2:$CS$250,123,0)</f>
        <v>71497.5</v>
      </c>
      <c r="AU53" s="106">
        <f>+HLOOKUP($C53,'NEW CAR'!$CG$2:$CS$250,124,0)</f>
        <v>3107.6</v>
      </c>
      <c r="AV53" s="106">
        <f>+HLOOKUP($C53,'NEW CAR'!$CG$2:$CS$250,125,0)</f>
        <v>37275</v>
      </c>
      <c r="AW53" s="106">
        <f>+HLOOKUP($C53,'NEW CAR'!$CG$2:$CS$250,126,0)</f>
        <v>31532.461538461539</v>
      </c>
      <c r="AX53" s="106">
        <f>+HLOOKUP($C53,'NEW CAR'!$CG$2:$CS$250,127,0)</f>
        <v>30161.933333333327</v>
      </c>
      <c r="AY53" s="106">
        <f>+HLOOKUP($C53,'NEW CAR'!$CG$2:$CS$250,129,0)</f>
        <v>0</v>
      </c>
      <c r="AZ53" s="106">
        <f>+HLOOKUP($C53,'NEW CAR'!$CG$2:$CS$250,130,0)</f>
        <v>0</v>
      </c>
      <c r="BA53" s="106">
        <f>+HLOOKUP($C53,'NEW CAR'!$CG$2:$CS$250,131,0)</f>
        <v>63783.333333333336</v>
      </c>
      <c r="BB53" s="106">
        <f>+HLOOKUP($C53,'NEW CAR'!$CG$2:$CS$250,133,0)</f>
        <v>0</v>
      </c>
      <c r="BC53" s="106">
        <f>+HLOOKUP($C53,'NEW CAR'!$CG$2:$CS$250,134,0)</f>
        <v>21431</v>
      </c>
      <c r="BD53" s="106">
        <f>+HLOOKUP($C53,'NEW CAR'!$CG$2:$CS$250,135,0)</f>
        <v>0</v>
      </c>
      <c r="BE53" s="106">
        <f>+HLOOKUP($C53,'NEW CAR'!$CG$2:$CS$250,136,0)</f>
        <v>0</v>
      </c>
      <c r="BF53" s="106">
        <f>+HLOOKUP($C53,'NEW CAR'!$CG$2:$CS$250,138,0)</f>
        <v>4256.0999999999995</v>
      </c>
      <c r="BG53" s="106">
        <f>+HLOOKUP($C53,'NEW CAR'!$CG$2:$CS$250,139,0)</f>
        <v>12781.07</v>
      </c>
      <c r="BH53" s="106">
        <f>+HLOOKUP($C53,'NEW CAR'!$CG$2:$CS$250,140,0)</f>
        <v>12500</v>
      </c>
      <c r="BI53" s="106">
        <f>+HLOOKUP($C53,'NEW CAR'!$CG$2:$CS$250,141,0)</f>
        <v>0</v>
      </c>
      <c r="BJ53" s="106">
        <f>+HLOOKUP($C53,'NEW CAR'!$CG$2:$CS$250,142,0)</f>
        <v>0</v>
      </c>
      <c r="BK53" s="106">
        <f>+HLOOKUP($C53,'NEW CAR'!$CG$2:$CS$250,143,0)</f>
        <v>21258.125</v>
      </c>
      <c r="BL53" s="106">
        <f>+HLOOKUP($C53,'NEW CAR'!$CG$2:$CS$250,144,0)</f>
        <v>10054</v>
      </c>
      <c r="BM53" s="106">
        <f>+HLOOKUP($C53,'NEW CAR'!$CG$2:$CS$250,146,0)</f>
        <v>0</v>
      </c>
      <c r="BN53" s="106">
        <f>+HLOOKUP($C53,'NEW CAR'!$CG$2:$CS$250,147,0)</f>
        <v>40051</v>
      </c>
      <c r="BO53" s="106">
        <f>+HLOOKUP($C53,'NEW CAR'!$CG$2:$CS$250,148,0)</f>
        <v>0</v>
      </c>
      <c r="BP53" s="106">
        <f>+HLOOKUP($C53,'NEW CAR'!$CG$2:$CS$250,150,0)</f>
        <v>36969.5</v>
      </c>
      <c r="BQ53" s="106">
        <f>+HLOOKUP($C53,'NEW CAR'!$CG$2:$CS$250,151,0)</f>
        <v>2362.5</v>
      </c>
      <c r="BR53" s="106">
        <f>+HLOOKUP($C53,'NEW CAR'!$CG$2:$CS$250,152,0)</f>
        <v>16000</v>
      </c>
      <c r="BS53" s="106">
        <f>+HLOOKUP($C53,'NEW CAR'!$CG$2:$CS$250,153,0)</f>
        <v>800</v>
      </c>
      <c r="BT53" s="106">
        <f>+HLOOKUP($C53,'NEW CAR'!$CG$2:$CS$250,157,0)</f>
        <v>0</v>
      </c>
      <c r="BU53" s="106">
        <f>+HLOOKUP($C53,'NEW CAR'!$CG$2:$CS$250,158,0)</f>
        <v>111.86399999999999</v>
      </c>
      <c r="BV53" s="106">
        <f>+HLOOKUP($C53,'NEW CAR'!$CG$2:$CS$250,159,0)</f>
        <v>340.28</v>
      </c>
      <c r="BW53" s="106">
        <f>+HLOOKUP($C53,'NEW CAR'!$CG$2:$CS$250,160,0)</f>
        <v>0</v>
      </c>
      <c r="BX53" s="106">
        <f>+HLOOKUP($C53,'NEW CAR'!$CG$2:$CS$250,161,0)</f>
        <v>3625</v>
      </c>
      <c r="BY53" s="106">
        <f>+HLOOKUP($C53,'NEW CAR'!$CG$2:$CS$250,164,0)</f>
        <v>9106.156500000001</v>
      </c>
      <c r="BZ53" s="106">
        <f>+HLOOKUP($C53,'NEW CAR'!$CG$2:$CS$250,165,0)</f>
        <v>750</v>
      </c>
      <c r="CA53" s="106">
        <f>+HLOOKUP($C53,'NEW CAR'!$CG$2:$CS$250,166,0)</f>
        <v>0</v>
      </c>
      <c r="CB53" s="106">
        <f>+HLOOKUP($C53,'NEW CAR'!$CG$2:$CS$250,167,0)</f>
        <v>0</v>
      </c>
      <c r="CC53" s="106">
        <f>+HLOOKUP($C53,'NEW CAR'!$CG$2:$CS$250,168,0)</f>
        <v>0</v>
      </c>
      <c r="CD53" s="106">
        <f>+HLOOKUP($C53,'NEW CAR'!$CG$2:$CS$250,169,0)</f>
        <v>3085.5915</v>
      </c>
      <c r="CE53" s="106">
        <f>+HLOOKUP($C53,'NEW CAR'!$CG$2:$CS$250,170,0)</f>
        <v>0</v>
      </c>
      <c r="CF53" s="106">
        <f>+HLOOKUP($C53,'NEW CAR'!$CG$2:$CS$250,172,0)</f>
        <v>18000</v>
      </c>
      <c r="CG53" s="106">
        <f>+HLOOKUP($C53,'NEW CAR'!$CG$2:$CS$250,173,0)</f>
        <v>0</v>
      </c>
      <c r="CH53" s="106">
        <f>+HLOOKUP($C53,'NEW CAR'!$CG$2:$CS$250,174,0)</f>
        <v>0</v>
      </c>
      <c r="CI53" s="106">
        <f>+HLOOKUP($C53,'NEW CAR'!$CG$2:$CS$250,175,0)</f>
        <v>0</v>
      </c>
      <c r="CJ53" s="106">
        <f>+HLOOKUP($C53,'NEW CAR'!$CG$2:$CS$250,176,0)</f>
        <v>2502.0495000000001</v>
      </c>
      <c r="CK53" s="106">
        <f>+HLOOKUP($C53,'NEW CAR'!$CG$2:$CS$250,178,0)</f>
        <v>2124</v>
      </c>
      <c r="CL53" s="106">
        <f>+HLOOKUP($C53,'NEW CAR'!$CG$2:$CS$250,179,0)</f>
        <v>0</v>
      </c>
      <c r="CM53" s="106">
        <f>+HLOOKUP($C53,'NEW CAR'!$CG$2:$CS$250,180,0)</f>
        <v>0</v>
      </c>
      <c r="CN53" s="106">
        <f>+HLOOKUP($C53,'NEW CAR'!$CG$2:$CS$250,182,0)</f>
        <v>0</v>
      </c>
      <c r="CO53" s="106">
        <f>+HLOOKUP($C53,'NEW CAR'!$CG$2:$CS$250,183,0)</f>
        <v>11225.495000000001</v>
      </c>
      <c r="CP53" s="106">
        <f>+HLOOKUP($C53,'NEW CAR'!$CG$2:$CS$250,184,0)</f>
        <v>0</v>
      </c>
      <c r="CQ53" s="106">
        <f>+HLOOKUP($C53,'NEW CAR'!$CG$2:$CS$250,185,0)</f>
        <v>0</v>
      </c>
      <c r="CR53" s="106">
        <f>+HLOOKUP($C53,'NEW CAR'!$CG$2:$CS$250,187,0)</f>
        <v>0</v>
      </c>
      <c r="CS53" s="106">
        <f>+HLOOKUP($C53,'NEW CAR'!$CG$2:$CS$250,188,0)</f>
        <v>2250</v>
      </c>
      <c r="CT53" s="106">
        <f>+HLOOKUP($C53,'NEW CAR'!$CG$2:$CS$250,189,0)</f>
        <v>0</v>
      </c>
      <c r="CU53" s="106">
        <f>+HLOOKUP($C53,'NEW CAR'!$CG$2:$CS$250,190,0)</f>
        <v>3756.95</v>
      </c>
      <c r="CV53" s="106">
        <f>+HLOOKUP($C53,'NEW CAR'!$CG$2:$CS$250,191,0)</f>
        <v>0</v>
      </c>
      <c r="CW53" s="106">
        <f>+HLOOKUP($C53,'NEW CAR'!$CG$2:$CS$250,193,0)</f>
        <v>5883</v>
      </c>
      <c r="CX53" s="106">
        <f>+HLOOKUP($C53,'NEW CAR'!$CG$2:$CS$250,194,0)</f>
        <v>39.75</v>
      </c>
      <c r="CY53" s="106">
        <f>+HLOOKUP($C53,'NEW CAR'!$CG$2:$CS$250,195,0)</f>
        <v>1375.06</v>
      </c>
      <c r="CZ53" s="106">
        <f>+HLOOKUP($C53,'NEW CAR'!$CG$2:$CS$250,196,0)</f>
        <v>0</v>
      </c>
      <c r="DA53" s="106">
        <f>+HLOOKUP($C53,'NEW CAR'!$CG$2:$CS$250,197,0)</f>
        <v>19211.05</v>
      </c>
      <c r="DB53" s="106">
        <f>+HLOOKUP($C53,'NEW CAR'!$CG$2:$CS$250,198,0)</f>
        <v>2927.67</v>
      </c>
      <c r="DC53" s="106">
        <f>+HLOOKUP($C53,'NEW CAR'!$CG$2:$CS$250,199,0)</f>
        <v>300</v>
      </c>
      <c r="DD53" s="106">
        <f>+HLOOKUP($C53,'NEW CAR'!$CG$2:$CS$250,200,0)</f>
        <v>255</v>
      </c>
      <c r="DE53" s="106">
        <f>+HLOOKUP($C53,'NEW CAR'!$CG$2:$CS$250,201,0)</f>
        <v>0</v>
      </c>
      <c r="DF53" s="106">
        <f>+HLOOKUP($C53,'NEW CAR'!$CG$2:$CS$250,202,0)</f>
        <v>1.389</v>
      </c>
      <c r="DG53" s="106">
        <f>+HLOOKUP($C53,'NEW CAR'!$CG$2:$CS$250,203,0)</f>
        <v>0</v>
      </c>
      <c r="DH53" s="106">
        <f>+HLOOKUP($C53,'NEW CAR'!$CG$2:$CS$250,205,0)</f>
        <v>60527.83</v>
      </c>
      <c r="DI53" s="106">
        <f>+HLOOKUP($C53,'NEW CAR'!$CG$2:$CS$250,206,0)</f>
        <v>6091.5754999999999</v>
      </c>
      <c r="DJ53" s="106">
        <f>+HLOOKUP($C53,'NEW CAR'!$CG$2:$CS$250,207,0)</f>
        <v>780.99949999999512</v>
      </c>
      <c r="DK53" s="106">
        <f>+HLOOKUP($C53,'NEW CAR'!$CG$2:$CS$250,209,0)</f>
        <v>0</v>
      </c>
      <c r="DL53" s="106">
        <f>+HLOOKUP($C53,'NEW CAR'!$CG$2:$CS$250,210,0)</f>
        <v>0</v>
      </c>
      <c r="DM53" s="106">
        <f>+HLOOKUP($C53,'NEW CAR'!$CG$2:$CS$250,211,0)</f>
        <v>122563.5</v>
      </c>
      <c r="DN53" s="106">
        <f>+HLOOKUP($C53,'NEW CAR'!$CG$2:$CS$250,212,0)</f>
        <v>24000</v>
      </c>
      <c r="DO53" s="106">
        <f>+HLOOKUP($C53,'NEW CAR'!$CG$2:$CS$250,214,0)</f>
        <v>0</v>
      </c>
      <c r="DP53" s="106">
        <f>+HLOOKUP($C53,'NEW CAR'!$CG$2:$CS$250,215,0)</f>
        <v>1700</v>
      </c>
      <c r="DQ53" s="106">
        <f>+HLOOKUP($C53,'NEW CAR'!$CG$2:$CS$250,219,0)</f>
        <v>0</v>
      </c>
      <c r="DR53" s="106">
        <f>+HLOOKUP($C53,'NEW CAR'!$CG$2:$CS$250,220,0)</f>
        <v>0</v>
      </c>
      <c r="DS53" s="106">
        <f>+HLOOKUP($C53,'NEW CAR'!$CG$2:$CS$250,221,0)</f>
        <v>210385.76800000004</v>
      </c>
      <c r="DT53" s="106">
        <f>+HLOOKUP($C53,'NEW CAR'!$CG$2:$CS$250,223,0)</f>
        <v>11650.794</v>
      </c>
      <c r="DU53" s="106">
        <f>+HLOOKUP($C53,'NEW CAR'!$CG$2:$CS$250,224,0)</f>
        <v>0</v>
      </c>
      <c r="DV53" s="106">
        <f>+HLOOKUP($C53,'NEW CAR'!$CG$2:$CS$250,225,0)</f>
        <v>0</v>
      </c>
      <c r="DW53" s="106">
        <f>+HLOOKUP($C53,'NEW CAR'!$CG$2:$CS$250,227,0)</f>
        <v>0</v>
      </c>
      <c r="DX53" s="106">
        <f>+HLOOKUP($C53,'NEW CAR'!$CG$2:$CS$250,228,0)</f>
        <v>10835.699999999999</v>
      </c>
      <c r="DY53" s="106">
        <f>+HLOOKUP($C53,'NEW CAR'!$CG$2:$CS$250,236,0)</f>
        <v>0</v>
      </c>
      <c r="DZ53" s="106">
        <f>+HLOOKUP($C53,'NEW CAR'!$CG$2:$CS$250,237,0)</f>
        <v>175685.5674</v>
      </c>
      <c r="EA53" s="106">
        <f>+HLOOKUP($C53,'NEW CAR'!$CG$2:$CS$250,238,0)</f>
        <v>0</v>
      </c>
      <c r="EB53" s="106">
        <f>+HLOOKUP($C53,'NEW CAR'!$CG$2:$CS$250,240,0)</f>
        <v>444690</v>
      </c>
    </row>
    <row r="54" spans="1:132" hidden="1">
      <c r="A54" t="s">
        <v>271</v>
      </c>
      <c r="B54" t="s">
        <v>270</v>
      </c>
      <c r="C54" s="117">
        <v>45505</v>
      </c>
      <c r="D54" s="106">
        <f>+HLOOKUP(C54,'NEW CAR'!$CG$2:$CS$250,6,0)/3.5%</f>
        <v>76684301.051428556</v>
      </c>
      <c r="E54" s="106">
        <f>+HLOOKUP(C54,'NEW CAR'!$CG$2:$CS$250,5,0)+HLOOKUP(C54,'NEW CAR'!$CG$2:$CS$250,26,0)+HLOOKUP(C54,'NEW CAR'!$CG$2:$CS$250,59,0)</f>
        <v>4391028.9468</v>
      </c>
      <c r="G54" s="106">
        <f>+HLOOKUP($C54,'NEW CAR'!$CG$2:$CS$250,76,0)</f>
        <v>41350</v>
      </c>
      <c r="H54" s="106">
        <f>+HLOOKUP($C54,'NEW CAR'!$CG$2:$CS$250,77,0)</f>
        <v>231782.04</v>
      </c>
      <c r="I54" s="106">
        <f>+HLOOKUP($C54,'NEW CAR'!$CG$2:$CS$250,78,0)</f>
        <v>0</v>
      </c>
      <c r="J54" s="106">
        <f>+HLOOKUP($C54,'NEW CAR'!$CG$2:$CS$250,79,0)</f>
        <v>97472.49</v>
      </c>
      <c r="K54" s="106">
        <f>+HLOOKUP($C54,'NEW CAR'!$CG$2:$CS$250,80,0)</f>
        <v>0</v>
      </c>
      <c r="L54" s="106">
        <f>+HLOOKUP($C54,'NEW CAR'!$CG$2:$CS$250,81,0)</f>
        <v>0</v>
      </c>
      <c r="M54" s="106">
        <f>+HLOOKUP($C54,'NEW CAR'!$CG$2:$CS$250,82,0)</f>
        <v>0</v>
      </c>
      <c r="N54" s="106">
        <f>+HLOOKUP($C54,'NEW CAR'!$CG$2:$CS$250,83,0)</f>
        <v>0</v>
      </c>
      <c r="O54" s="106">
        <f>+HLOOKUP($C54,'NEW CAR'!$CG$2:$CS$250,84,0)</f>
        <v>0</v>
      </c>
      <c r="P54" s="106">
        <f>+HLOOKUP($C54,'NEW CAR'!$CG$2:$CS$250,85,0)</f>
        <v>0</v>
      </c>
      <c r="Q54" s="106">
        <f>+HLOOKUP($C54,'NEW CAR'!$CG$2:$CS$250,87,0)</f>
        <v>450375</v>
      </c>
      <c r="R54" s="106">
        <f>+HLOOKUP($C54,'NEW CAR'!$CG$2:$CS$250,90,0)</f>
        <v>0</v>
      </c>
      <c r="S54" s="106">
        <f>+HLOOKUP($C54,'NEW CAR'!$CG$2:$CS$250,91,0)</f>
        <v>0</v>
      </c>
      <c r="T54" s="106">
        <f>+HLOOKUP($C54,'NEW CAR'!$CG$2:$CS$250,92,0)</f>
        <v>116098.21</v>
      </c>
      <c r="U54" s="106">
        <f>+HLOOKUP($C54,'NEW CAR'!$CG$2:$CS$250,93,0)</f>
        <v>0</v>
      </c>
      <c r="V54" s="106">
        <f>+HLOOKUP($C54,'NEW CAR'!$CG$2:$CS$250,94,0)</f>
        <v>0</v>
      </c>
      <c r="W54" s="106">
        <f>+HLOOKUP($C54,'NEW CAR'!$CG$2:$CS$250,95,0)</f>
        <v>0</v>
      </c>
      <c r="X54" s="106">
        <f>+HLOOKUP($C54,'NEW CAR'!$CG$2:$CS$250,96,0)</f>
        <v>110997.35</v>
      </c>
      <c r="Y54" s="106">
        <f>+HLOOKUP($C54,'NEW CAR'!$CG$2:$CS$250,97,0)</f>
        <v>0</v>
      </c>
      <c r="Z54" s="106">
        <f>+HLOOKUP($C54,'NEW CAR'!$CG$2:$CS$250,98,0)</f>
        <v>0</v>
      </c>
      <c r="AA54" s="106">
        <f>+HLOOKUP($C54,'NEW CAR'!$CG$2:$CS$250,99,0)</f>
        <v>0</v>
      </c>
      <c r="AB54" s="106">
        <f>+HLOOKUP($C54,'NEW CAR'!$CG$2:$CS$250,100,0)</f>
        <v>13911.241304347826</v>
      </c>
      <c r="AC54" s="106">
        <f>+HLOOKUP($C54,'NEW CAR'!$CG$2:$CS$250,101,0)</f>
        <v>0</v>
      </c>
      <c r="AD54" s="106">
        <f>+HLOOKUP($C54,'NEW CAR'!$CG$2:$CS$250,104,0)</f>
        <v>0</v>
      </c>
      <c r="AE54" s="106">
        <f>+HLOOKUP($C54,'NEW CAR'!$CG$2:$CS$250,105,0)</f>
        <v>73491.635999999999</v>
      </c>
      <c r="AF54" s="106">
        <f>+HLOOKUP($C54,'NEW CAR'!$CG$2:$CS$250,106,0)</f>
        <v>0</v>
      </c>
      <c r="AG54" s="106">
        <f>+HLOOKUP($C54,'NEW CAR'!$CG$2:$CS$250,107,0)</f>
        <v>44000</v>
      </c>
      <c r="AH54" s="106">
        <f>+HLOOKUP($C54,'NEW CAR'!$CG$2:$CS$250,108,0)</f>
        <v>9120</v>
      </c>
      <c r="AI54" s="106">
        <f>+HLOOKUP($C54,'NEW CAR'!$CG$2:$CS$250,109,0)</f>
        <v>138394.08000000002</v>
      </c>
      <c r="AJ54" s="106">
        <f>+HLOOKUP($C54,'NEW CAR'!$CG$2:$CS$250,110,0)</f>
        <v>0</v>
      </c>
      <c r="AK54" s="106">
        <f>+HLOOKUP($C54,'NEW CAR'!$CG$2:$CS$250,111,0)</f>
        <v>0</v>
      </c>
      <c r="AL54" s="106">
        <f>+HLOOKUP($C54,'NEW CAR'!$CG$2:$CS$250,112,0)</f>
        <v>0</v>
      </c>
      <c r="AM54" s="106">
        <f>+HLOOKUP($C54,'NEW CAR'!$CG$2:$CS$250,116,0)</f>
        <v>541500.15</v>
      </c>
      <c r="AN54" s="106">
        <f>+HLOOKUP($C54,'NEW CAR'!$CG$2:$CS$250,117,0)</f>
        <v>75136.75</v>
      </c>
      <c r="AO54" s="106">
        <f>+HLOOKUP($C54,'NEW CAR'!$CG$2:$CS$250,118,0)</f>
        <v>9839</v>
      </c>
      <c r="AP54" s="106">
        <f>+HLOOKUP($C54,'NEW CAR'!$CG$2:$CS$250,119,0)</f>
        <v>183924.55</v>
      </c>
      <c r="AQ54" s="106">
        <f>+HLOOKUP($C54,'NEW CAR'!$CG$2:$CS$250,120,0)</f>
        <v>55625</v>
      </c>
      <c r="AR54" s="106">
        <f>+HLOOKUP($C54,'NEW CAR'!$CG$2:$CS$250,121,0)</f>
        <v>18980.2</v>
      </c>
      <c r="AS54" s="106">
        <f>+HLOOKUP($C54,'NEW CAR'!$CG$2:$CS$250,122,0)</f>
        <v>325251.55</v>
      </c>
      <c r="AT54" s="106">
        <f>+HLOOKUP($C54,'NEW CAR'!$CG$2:$CS$250,123,0)</f>
        <v>71497.5</v>
      </c>
      <c r="AU54" s="106">
        <f>+HLOOKUP($C54,'NEW CAR'!$CG$2:$CS$250,124,0)</f>
        <v>3107.6</v>
      </c>
      <c r="AV54" s="106">
        <f>+HLOOKUP($C54,'NEW CAR'!$CG$2:$CS$250,125,0)</f>
        <v>37275</v>
      </c>
      <c r="AW54" s="106">
        <f>+HLOOKUP($C54,'NEW CAR'!$CG$2:$CS$250,126,0)</f>
        <v>31532.461538461539</v>
      </c>
      <c r="AX54" s="106">
        <f>+HLOOKUP($C54,'NEW CAR'!$CG$2:$CS$250,127,0)</f>
        <v>30161.933333333327</v>
      </c>
      <c r="AY54" s="106">
        <f>+HLOOKUP($C54,'NEW CAR'!$CG$2:$CS$250,129,0)</f>
        <v>0</v>
      </c>
      <c r="AZ54" s="106">
        <f>+HLOOKUP($C54,'NEW CAR'!$CG$2:$CS$250,130,0)</f>
        <v>0</v>
      </c>
      <c r="BA54" s="106">
        <f>+HLOOKUP($C54,'NEW CAR'!$CG$2:$CS$250,131,0)</f>
        <v>63783.333333333336</v>
      </c>
      <c r="BB54" s="106">
        <f>+HLOOKUP($C54,'NEW CAR'!$CG$2:$CS$250,133,0)</f>
        <v>0</v>
      </c>
      <c r="BC54" s="106">
        <f>+HLOOKUP($C54,'NEW CAR'!$CG$2:$CS$250,134,0)</f>
        <v>137001.71599999999</v>
      </c>
      <c r="BD54" s="106">
        <f>+HLOOKUP($C54,'NEW CAR'!$CG$2:$CS$250,135,0)</f>
        <v>0</v>
      </c>
      <c r="BE54" s="106">
        <f>+HLOOKUP($C54,'NEW CAR'!$CG$2:$CS$250,136,0)</f>
        <v>0</v>
      </c>
      <c r="BF54" s="106">
        <f>+HLOOKUP($C54,'NEW CAR'!$CG$2:$CS$250,138,0)</f>
        <v>17794.599999999999</v>
      </c>
      <c r="BG54" s="106">
        <f>+HLOOKUP($C54,'NEW CAR'!$CG$2:$CS$250,139,0)</f>
        <v>15740.7</v>
      </c>
      <c r="BH54" s="106">
        <f>+HLOOKUP($C54,'NEW CAR'!$CG$2:$CS$250,140,0)</f>
        <v>12500</v>
      </c>
      <c r="BI54" s="106">
        <f>+HLOOKUP($C54,'NEW CAR'!$CG$2:$CS$250,141,0)</f>
        <v>0</v>
      </c>
      <c r="BJ54" s="106">
        <f>+HLOOKUP($C54,'NEW CAR'!$CG$2:$CS$250,142,0)</f>
        <v>0</v>
      </c>
      <c r="BK54" s="106">
        <f>+HLOOKUP($C54,'NEW CAR'!$CG$2:$CS$250,143,0)</f>
        <v>21258.125</v>
      </c>
      <c r="BL54" s="106">
        <f>+HLOOKUP($C54,'NEW CAR'!$CG$2:$CS$250,144,0)</f>
        <v>0</v>
      </c>
      <c r="BM54" s="106">
        <f>+HLOOKUP($C54,'NEW CAR'!$CG$2:$CS$250,146,0)</f>
        <v>0</v>
      </c>
      <c r="BN54" s="106">
        <f>+HLOOKUP($C54,'NEW CAR'!$CG$2:$CS$250,147,0)</f>
        <v>26959</v>
      </c>
      <c r="BO54" s="106">
        <f>+HLOOKUP($C54,'NEW CAR'!$CG$2:$CS$250,148,0)</f>
        <v>0</v>
      </c>
      <c r="BP54" s="106">
        <f>+HLOOKUP($C54,'NEW CAR'!$CG$2:$CS$250,150,0)</f>
        <v>33357.5</v>
      </c>
      <c r="BQ54" s="106">
        <f>+HLOOKUP($C54,'NEW CAR'!$CG$2:$CS$250,151,0)</f>
        <v>2362.5</v>
      </c>
      <c r="BR54" s="106">
        <f>+HLOOKUP($C54,'NEW CAR'!$CG$2:$CS$250,152,0)</f>
        <v>16000</v>
      </c>
      <c r="BS54" s="106">
        <f>+HLOOKUP($C54,'NEW CAR'!$CG$2:$CS$250,153,0)</f>
        <v>800</v>
      </c>
      <c r="BT54" s="106">
        <f>+HLOOKUP($C54,'NEW CAR'!$CG$2:$CS$250,157,0)</f>
        <v>99070</v>
      </c>
      <c r="BU54" s="106">
        <f>+HLOOKUP($C54,'NEW CAR'!$CG$2:$CS$250,158,0)</f>
        <v>4500</v>
      </c>
      <c r="BV54" s="106">
        <f>+HLOOKUP($C54,'NEW CAR'!$CG$2:$CS$250,159,0)</f>
        <v>340.5</v>
      </c>
      <c r="BW54" s="106">
        <f>+HLOOKUP($C54,'NEW CAR'!$CG$2:$CS$250,160,0)</f>
        <v>0</v>
      </c>
      <c r="BX54" s="106">
        <f>+HLOOKUP($C54,'NEW CAR'!$CG$2:$CS$250,161,0)</f>
        <v>34102.949999999997</v>
      </c>
      <c r="BY54" s="106">
        <f>+HLOOKUP($C54,'NEW CAR'!$CG$2:$CS$250,164,0)</f>
        <v>2420.002</v>
      </c>
      <c r="BZ54" s="106">
        <f>+HLOOKUP($C54,'NEW CAR'!$CG$2:$CS$250,165,0)</f>
        <v>0</v>
      </c>
      <c r="CA54" s="106">
        <f>+HLOOKUP($C54,'NEW CAR'!$CG$2:$CS$250,166,0)</f>
        <v>0</v>
      </c>
      <c r="CB54" s="106">
        <f>+HLOOKUP($C54,'NEW CAR'!$CG$2:$CS$250,167,0)</f>
        <v>753.78</v>
      </c>
      <c r="CC54" s="106">
        <f>+HLOOKUP($C54,'NEW CAR'!$CG$2:$CS$250,168,0)</f>
        <v>0</v>
      </c>
      <c r="CD54" s="106">
        <f>+HLOOKUP($C54,'NEW CAR'!$CG$2:$CS$250,169,0)</f>
        <v>525</v>
      </c>
      <c r="CE54" s="106">
        <f>+HLOOKUP($C54,'NEW CAR'!$CG$2:$CS$250,170,0)</f>
        <v>0</v>
      </c>
      <c r="CF54" s="106">
        <f>+HLOOKUP($C54,'NEW CAR'!$CG$2:$CS$250,172,0)</f>
        <v>18000</v>
      </c>
      <c r="CG54" s="106">
        <f>+HLOOKUP($C54,'NEW CAR'!$CG$2:$CS$250,173,0)</f>
        <v>0</v>
      </c>
      <c r="CH54" s="106">
        <f>+HLOOKUP($C54,'NEW CAR'!$CG$2:$CS$250,174,0)</f>
        <v>0</v>
      </c>
      <c r="CI54" s="106">
        <f>+HLOOKUP($C54,'NEW CAR'!$CG$2:$CS$250,175,0)</f>
        <v>0</v>
      </c>
      <c r="CJ54" s="106">
        <f>+HLOOKUP($C54,'NEW CAR'!$CG$2:$CS$250,176,0)</f>
        <v>2502</v>
      </c>
      <c r="CK54" s="106">
        <f>+HLOOKUP($C54,'NEW CAR'!$CG$2:$CS$250,178,0)</f>
        <v>67309.3</v>
      </c>
      <c r="CL54" s="106">
        <f>+HLOOKUP($C54,'NEW CAR'!$CG$2:$CS$250,179,0)</f>
        <v>0</v>
      </c>
      <c r="CM54" s="106">
        <f>+HLOOKUP($C54,'NEW CAR'!$CG$2:$CS$250,180,0)</f>
        <v>0</v>
      </c>
      <c r="CN54" s="106">
        <f>+HLOOKUP($C54,'NEW CAR'!$CG$2:$CS$250,182,0)</f>
        <v>0</v>
      </c>
      <c r="CO54" s="106">
        <f>+HLOOKUP($C54,'NEW CAR'!$CG$2:$CS$250,183,0)</f>
        <v>0</v>
      </c>
      <c r="CP54" s="106">
        <f>+HLOOKUP($C54,'NEW CAR'!$CG$2:$CS$250,184,0)</f>
        <v>0</v>
      </c>
      <c r="CQ54" s="106">
        <f>+HLOOKUP($C54,'NEW CAR'!$CG$2:$CS$250,185,0)</f>
        <v>0</v>
      </c>
      <c r="CR54" s="106">
        <f>+HLOOKUP($C54,'NEW CAR'!$CG$2:$CS$250,187,0)</f>
        <v>3124.9995000000004</v>
      </c>
      <c r="CS54" s="106">
        <f>+HLOOKUP($C54,'NEW CAR'!$CG$2:$CS$250,188,0)</f>
        <v>2250</v>
      </c>
      <c r="CT54" s="106">
        <f>+HLOOKUP($C54,'NEW CAR'!$CG$2:$CS$250,189,0)</f>
        <v>0</v>
      </c>
      <c r="CU54" s="106">
        <f>+HLOOKUP($C54,'NEW CAR'!$CG$2:$CS$250,190,0)</f>
        <v>3756.95</v>
      </c>
      <c r="CV54" s="106">
        <f>+HLOOKUP($C54,'NEW CAR'!$CG$2:$CS$250,191,0)</f>
        <v>0</v>
      </c>
      <c r="CW54" s="106">
        <f>+HLOOKUP($C54,'NEW CAR'!$CG$2:$CS$250,193,0)</f>
        <v>5883</v>
      </c>
      <c r="CX54" s="106">
        <f>+HLOOKUP($C54,'NEW CAR'!$CG$2:$CS$250,194,0)</f>
        <v>39.75</v>
      </c>
      <c r="CY54" s="106">
        <f>+HLOOKUP($C54,'NEW CAR'!$CG$2:$CS$250,195,0)</f>
        <v>1375</v>
      </c>
      <c r="CZ54" s="106">
        <f>+HLOOKUP($C54,'NEW CAR'!$CG$2:$CS$250,196,0)</f>
        <v>0</v>
      </c>
      <c r="DA54" s="106">
        <f>+HLOOKUP($C54,'NEW CAR'!$CG$2:$CS$250,197,0)</f>
        <v>6924.3109999999997</v>
      </c>
      <c r="DB54" s="106">
        <f>+HLOOKUP($C54,'NEW CAR'!$CG$2:$CS$250,198,0)</f>
        <v>7110.61</v>
      </c>
      <c r="DC54" s="106">
        <f>+HLOOKUP($C54,'NEW CAR'!$CG$2:$CS$250,199,0)</f>
        <v>2112.7550000000001</v>
      </c>
      <c r="DD54" s="106">
        <f>+HLOOKUP($C54,'NEW CAR'!$CG$2:$CS$250,200,0)</f>
        <v>500</v>
      </c>
      <c r="DE54" s="106">
        <f>+HLOOKUP($C54,'NEW CAR'!$CG$2:$CS$250,201,0)</f>
        <v>0</v>
      </c>
      <c r="DF54" s="106">
        <f>+HLOOKUP($C54,'NEW CAR'!$CG$2:$CS$250,202,0)</f>
        <v>3.58</v>
      </c>
      <c r="DG54" s="106">
        <f>+HLOOKUP($C54,'NEW CAR'!$CG$2:$CS$250,203,0)</f>
        <v>0</v>
      </c>
      <c r="DH54" s="106">
        <f>+HLOOKUP($C54,'NEW CAR'!$CG$2:$CS$250,205,0)</f>
        <v>45540</v>
      </c>
      <c r="DI54" s="106">
        <f>+HLOOKUP($C54,'NEW CAR'!$CG$2:$CS$250,206,0)</f>
        <v>6091.55</v>
      </c>
      <c r="DJ54" s="106">
        <f>+HLOOKUP($C54,'NEW CAR'!$CG$2:$CS$250,207,0)</f>
        <v>393.66662820512221</v>
      </c>
      <c r="DK54" s="106">
        <f>+HLOOKUP($C54,'NEW CAR'!$CG$2:$CS$250,209,0)</f>
        <v>0</v>
      </c>
      <c r="DL54" s="106">
        <f>+HLOOKUP($C54,'NEW CAR'!$CG$2:$CS$250,210,0)</f>
        <v>0</v>
      </c>
      <c r="DM54" s="106">
        <f>+HLOOKUP($C54,'NEW CAR'!$CG$2:$CS$250,211,0)</f>
        <v>111421.5</v>
      </c>
      <c r="DN54" s="106">
        <f>+HLOOKUP($C54,'NEW CAR'!$CG$2:$CS$250,212,0)</f>
        <v>24000</v>
      </c>
      <c r="DO54" s="106">
        <f>+HLOOKUP($C54,'NEW CAR'!$CG$2:$CS$250,214,0)</f>
        <v>0</v>
      </c>
      <c r="DP54" s="106">
        <f>+HLOOKUP($C54,'NEW CAR'!$CG$2:$CS$250,215,0)</f>
        <v>1800</v>
      </c>
      <c r="DQ54" s="106">
        <f>+HLOOKUP($C54,'NEW CAR'!$CG$2:$CS$250,219,0)</f>
        <v>0</v>
      </c>
      <c r="DR54" s="106">
        <f>+HLOOKUP($C54,'NEW CAR'!$CG$2:$CS$250,220,0)</f>
        <v>0</v>
      </c>
      <c r="DS54" s="106">
        <f>+HLOOKUP($C54,'NEW CAR'!$CG$2:$CS$250,221,0)</f>
        <v>261203.86000000002</v>
      </c>
      <c r="DT54" s="106">
        <f>+HLOOKUP($C54,'NEW CAR'!$CG$2:$CS$250,223,0)</f>
        <v>11214.243000000002</v>
      </c>
      <c r="DU54" s="106">
        <f>+HLOOKUP($C54,'NEW CAR'!$CG$2:$CS$250,224,0)</f>
        <v>0</v>
      </c>
      <c r="DV54" s="106">
        <f>+HLOOKUP($C54,'NEW CAR'!$CG$2:$CS$250,225,0)</f>
        <v>0</v>
      </c>
      <c r="DW54" s="106">
        <f>+HLOOKUP($C54,'NEW CAR'!$CG$2:$CS$250,227,0)</f>
        <v>0</v>
      </c>
      <c r="DX54" s="106">
        <f>+HLOOKUP($C54,'NEW CAR'!$CG$2:$CS$250,228,0)</f>
        <v>6430.8</v>
      </c>
      <c r="DY54" s="106">
        <f>+HLOOKUP($C54,'NEW CAR'!$CG$2:$CS$250,236,0)</f>
        <v>0</v>
      </c>
      <c r="DZ54" s="106">
        <f>+HLOOKUP($C54,'NEW CAR'!$CG$2:$CS$250,237,0)</f>
        <v>183731.1777</v>
      </c>
      <c r="EA54" s="106">
        <f>+HLOOKUP($C54,'NEW CAR'!$CG$2:$CS$250,238,0)</f>
        <v>0</v>
      </c>
      <c r="EB54" s="106">
        <f>+HLOOKUP($C54,'NEW CAR'!$CG$2:$CS$250,240,0)</f>
        <v>444690</v>
      </c>
    </row>
    <row r="55" spans="1:132" hidden="1">
      <c r="A55" t="s">
        <v>271</v>
      </c>
      <c r="B55" t="s">
        <v>270</v>
      </c>
      <c r="C55" s="117">
        <v>45474</v>
      </c>
      <c r="D55" s="106">
        <f>+HLOOKUP(C55,'NEW CAR'!$CG$2:$CS$250,6,0)/3.5%</f>
        <v>82003707.817142859</v>
      </c>
      <c r="E55" s="106">
        <f>+HLOOKUP(C55,'NEW CAR'!$CG$2:$CS$250,5,0)+HLOOKUP(C55,'NEW CAR'!$CG$2:$CS$250,26,0)+HLOOKUP(C55,'NEW CAR'!$CG$2:$CS$250,59,0)</f>
        <v>3953346.4736000006</v>
      </c>
      <c r="G55" s="106">
        <f>+HLOOKUP($C55,'NEW CAR'!$CG$2:$CS$250,76,0)</f>
        <v>16500</v>
      </c>
      <c r="H55" s="106">
        <f>+HLOOKUP($C55,'NEW CAR'!$CG$2:$CS$250,77,0)</f>
        <v>268111.21000000002</v>
      </c>
      <c r="I55" s="106">
        <f>+HLOOKUP($C55,'NEW CAR'!$CG$2:$CS$250,78,0)</f>
        <v>2800</v>
      </c>
      <c r="J55" s="106">
        <f>+HLOOKUP($C55,'NEW CAR'!$CG$2:$CS$250,79,0)</f>
        <v>183313.64</v>
      </c>
      <c r="K55" s="106">
        <f>+HLOOKUP($C55,'NEW CAR'!$CG$2:$CS$250,80,0)</f>
        <v>0</v>
      </c>
      <c r="L55" s="106">
        <f>+HLOOKUP($C55,'NEW CAR'!$CG$2:$CS$250,81,0)</f>
        <v>0</v>
      </c>
      <c r="M55" s="106">
        <f>+HLOOKUP($C55,'NEW CAR'!$CG$2:$CS$250,82,0)</f>
        <v>0</v>
      </c>
      <c r="N55" s="106">
        <f>+HLOOKUP($C55,'NEW CAR'!$CG$2:$CS$250,83,0)</f>
        <v>0</v>
      </c>
      <c r="O55" s="106">
        <f>+HLOOKUP($C55,'NEW CAR'!$CG$2:$CS$250,84,0)</f>
        <v>0</v>
      </c>
      <c r="P55" s="106">
        <f>+HLOOKUP($C55,'NEW CAR'!$CG$2:$CS$250,85,0)</f>
        <v>0</v>
      </c>
      <c r="Q55" s="106">
        <f>+HLOOKUP($C55,'NEW CAR'!$CG$2:$CS$250,87,0)</f>
        <v>424754.1</v>
      </c>
      <c r="R55" s="106">
        <f>+HLOOKUP($C55,'NEW CAR'!$CG$2:$CS$250,90,0)</f>
        <v>0</v>
      </c>
      <c r="S55" s="106">
        <f>+HLOOKUP($C55,'NEW CAR'!$CG$2:$CS$250,91,0)</f>
        <v>0</v>
      </c>
      <c r="T55" s="106">
        <f>+HLOOKUP($C55,'NEW CAR'!$CG$2:$CS$250,92,0)</f>
        <v>75308.210000000006</v>
      </c>
      <c r="U55" s="106">
        <f>+HLOOKUP($C55,'NEW CAR'!$CG$2:$CS$250,93,0)</f>
        <v>4000</v>
      </c>
      <c r="V55" s="106">
        <f>+HLOOKUP($C55,'NEW CAR'!$CG$2:$CS$250,94,0)</f>
        <v>0</v>
      </c>
      <c r="W55" s="106">
        <f>+HLOOKUP($C55,'NEW CAR'!$CG$2:$CS$250,95,0)</f>
        <v>0</v>
      </c>
      <c r="X55" s="106">
        <f>+HLOOKUP($C55,'NEW CAR'!$CG$2:$CS$250,96,0)</f>
        <v>136743.62</v>
      </c>
      <c r="Y55" s="106">
        <f>+HLOOKUP($C55,'NEW CAR'!$CG$2:$CS$250,97,0)</f>
        <v>1586.85</v>
      </c>
      <c r="Z55" s="106">
        <f>+HLOOKUP($C55,'NEW CAR'!$CG$2:$CS$250,98,0)</f>
        <v>0</v>
      </c>
      <c r="AA55" s="106">
        <f>+HLOOKUP($C55,'NEW CAR'!$CG$2:$CS$250,99,0)</f>
        <v>0</v>
      </c>
      <c r="AB55" s="106">
        <f>+HLOOKUP($C55,'NEW CAR'!$CG$2:$CS$250,100,0)</f>
        <v>23433.099130434784</v>
      </c>
      <c r="AC55" s="106">
        <f>+HLOOKUP($C55,'NEW CAR'!$CG$2:$CS$250,101,0)</f>
        <v>0</v>
      </c>
      <c r="AD55" s="106">
        <f>+HLOOKUP($C55,'NEW CAR'!$CG$2:$CS$250,104,0)</f>
        <v>0</v>
      </c>
      <c r="AE55" s="106">
        <f>+HLOOKUP($C55,'NEW CAR'!$CG$2:$CS$250,105,0)</f>
        <v>118691.75200000001</v>
      </c>
      <c r="AF55" s="106">
        <f>+HLOOKUP($C55,'NEW CAR'!$CG$2:$CS$250,106,0)</f>
        <v>0</v>
      </c>
      <c r="AG55" s="106">
        <f>+HLOOKUP($C55,'NEW CAR'!$CG$2:$CS$250,107,0)</f>
        <v>254745.60000000001</v>
      </c>
      <c r="AH55" s="106">
        <f>+HLOOKUP($C55,'NEW CAR'!$CG$2:$CS$250,108,0)</f>
        <v>0</v>
      </c>
      <c r="AI55" s="106">
        <f>+HLOOKUP($C55,'NEW CAR'!$CG$2:$CS$250,109,0)</f>
        <v>58250</v>
      </c>
      <c r="AJ55" s="106">
        <f>+HLOOKUP($C55,'NEW CAR'!$CG$2:$CS$250,110,0)</f>
        <v>0</v>
      </c>
      <c r="AK55" s="106">
        <f>+HLOOKUP($C55,'NEW CAR'!$CG$2:$CS$250,111,0)</f>
        <v>0</v>
      </c>
      <c r="AL55" s="106">
        <f>+HLOOKUP($C55,'NEW CAR'!$CG$2:$CS$250,112,0)</f>
        <v>0</v>
      </c>
      <c r="AM55" s="106">
        <f>+HLOOKUP($C55,'NEW CAR'!$CG$2:$CS$250,116,0)</f>
        <v>551402.85</v>
      </c>
      <c r="AN55" s="106">
        <f>+HLOOKUP($C55,'NEW CAR'!$CG$2:$CS$250,117,0)</f>
        <v>77082.5</v>
      </c>
      <c r="AO55" s="106">
        <f>+HLOOKUP($C55,'NEW CAR'!$CG$2:$CS$250,118,0)</f>
        <v>10000</v>
      </c>
      <c r="AP55" s="106">
        <f>+HLOOKUP($C55,'NEW CAR'!$CG$2:$CS$250,119,0)</f>
        <v>184389</v>
      </c>
      <c r="AQ55" s="106">
        <f>+HLOOKUP($C55,'NEW CAR'!$CG$2:$CS$250,120,0)</f>
        <v>55860</v>
      </c>
      <c r="AR55" s="106">
        <f>+HLOOKUP($C55,'NEW CAR'!$CG$2:$CS$250,121,0)</f>
        <v>19919</v>
      </c>
      <c r="AS55" s="106">
        <f>+HLOOKUP($C55,'NEW CAR'!$CG$2:$CS$250,122,0)</f>
        <v>345501</v>
      </c>
      <c r="AT55" s="106">
        <f>+HLOOKUP($C55,'NEW CAR'!$CG$2:$CS$250,123,0)</f>
        <v>71497.5</v>
      </c>
      <c r="AU55" s="106">
        <f>+HLOOKUP($C55,'NEW CAR'!$CG$2:$CS$250,124,0)</f>
        <v>3107.6</v>
      </c>
      <c r="AV55" s="106">
        <f>+HLOOKUP($C55,'NEW CAR'!$CG$2:$CS$250,125,0)</f>
        <v>37275</v>
      </c>
      <c r="AW55" s="106">
        <f>+HLOOKUP($C55,'NEW CAR'!$CG$2:$CS$250,126,0)</f>
        <v>31532.461538461539</v>
      </c>
      <c r="AX55" s="106">
        <f>+HLOOKUP($C55,'NEW CAR'!$CG$2:$CS$250,127,0)</f>
        <v>30161.933333333327</v>
      </c>
      <c r="AY55" s="106">
        <f>+HLOOKUP($C55,'NEW CAR'!$CG$2:$CS$250,129,0)</f>
        <v>0</v>
      </c>
      <c r="AZ55" s="106">
        <f>+HLOOKUP($C55,'NEW CAR'!$CG$2:$CS$250,130,0)</f>
        <v>0</v>
      </c>
      <c r="BA55" s="106">
        <f>+HLOOKUP($C55,'NEW CAR'!$CG$2:$CS$250,131,0)</f>
        <v>63783.333333333336</v>
      </c>
      <c r="BB55" s="106">
        <f>+HLOOKUP($C55,'NEW CAR'!$CG$2:$CS$250,133,0)</f>
        <v>0</v>
      </c>
      <c r="BC55" s="106">
        <f>+HLOOKUP($C55,'NEW CAR'!$CG$2:$CS$250,134,0)</f>
        <v>21336.5</v>
      </c>
      <c r="BD55" s="106">
        <f>+HLOOKUP($C55,'NEW CAR'!$CG$2:$CS$250,135,0)</f>
        <v>0</v>
      </c>
      <c r="BE55" s="106">
        <f>+HLOOKUP($C55,'NEW CAR'!$CG$2:$CS$250,136,0)</f>
        <v>0</v>
      </c>
      <c r="BF55" s="106">
        <f>+HLOOKUP($C55,'NEW CAR'!$CG$2:$CS$250,138,0)</f>
        <v>4296.0999999999995</v>
      </c>
      <c r="BG55" s="106">
        <f>+HLOOKUP($C55,'NEW CAR'!$CG$2:$CS$250,139,0)</f>
        <v>11406</v>
      </c>
      <c r="BH55" s="106">
        <f>+HLOOKUP($C55,'NEW CAR'!$CG$2:$CS$250,140,0)</f>
        <v>12500</v>
      </c>
      <c r="BI55" s="106">
        <f>+HLOOKUP($C55,'NEW CAR'!$CG$2:$CS$250,141,0)</f>
        <v>0</v>
      </c>
      <c r="BJ55" s="106">
        <f>+HLOOKUP($C55,'NEW CAR'!$CG$2:$CS$250,142,0)</f>
        <v>0</v>
      </c>
      <c r="BK55" s="106">
        <f>+HLOOKUP($C55,'NEW CAR'!$CG$2:$CS$250,143,0)</f>
        <v>21258.125</v>
      </c>
      <c r="BL55" s="106">
        <f>+HLOOKUP($C55,'NEW CAR'!$CG$2:$CS$250,144,0)</f>
        <v>0</v>
      </c>
      <c r="BM55" s="106">
        <f>+HLOOKUP($C55,'NEW CAR'!$CG$2:$CS$250,146,0)</f>
        <v>0</v>
      </c>
      <c r="BN55" s="106">
        <f>+HLOOKUP($C55,'NEW CAR'!$CG$2:$CS$250,147,0)</f>
        <v>31330</v>
      </c>
      <c r="BO55" s="106">
        <f>+HLOOKUP($C55,'NEW CAR'!$CG$2:$CS$250,148,0)</f>
        <v>0</v>
      </c>
      <c r="BP55" s="106">
        <f>+HLOOKUP($C55,'NEW CAR'!$CG$2:$CS$250,150,0)</f>
        <v>35144</v>
      </c>
      <c r="BQ55" s="106">
        <f>+HLOOKUP($C55,'NEW CAR'!$CG$2:$CS$250,151,0)</f>
        <v>2362.5</v>
      </c>
      <c r="BR55" s="106">
        <f>+HLOOKUP($C55,'NEW CAR'!$CG$2:$CS$250,152,0)</f>
        <v>16000</v>
      </c>
      <c r="BS55" s="106">
        <f>+HLOOKUP($C55,'NEW CAR'!$CG$2:$CS$250,153,0)</f>
        <v>850</v>
      </c>
      <c r="BT55" s="106">
        <f>+HLOOKUP($C55,'NEW CAR'!$CG$2:$CS$250,157,0)</f>
        <v>37990.61</v>
      </c>
      <c r="BU55" s="106">
        <f>+HLOOKUP($C55,'NEW CAR'!$CG$2:$CS$250,158,0)</f>
        <v>0</v>
      </c>
      <c r="BV55" s="106">
        <f>+HLOOKUP($C55,'NEW CAR'!$CG$2:$CS$250,159,0)</f>
        <v>340.5</v>
      </c>
      <c r="BW55" s="106">
        <f>+HLOOKUP($C55,'NEW CAR'!$CG$2:$CS$250,160,0)</f>
        <v>0</v>
      </c>
      <c r="BX55" s="106">
        <f>+HLOOKUP($C55,'NEW CAR'!$CG$2:$CS$250,161,0)</f>
        <v>11712.5</v>
      </c>
      <c r="BY55" s="106">
        <f>+HLOOKUP($C55,'NEW CAR'!$CG$2:$CS$250,164,0)</f>
        <v>1099.6849999999999</v>
      </c>
      <c r="BZ55" s="106">
        <f>+HLOOKUP($C55,'NEW CAR'!$CG$2:$CS$250,165,0)</f>
        <v>0</v>
      </c>
      <c r="CA55" s="106">
        <f>+HLOOKUP($C55,'NEW CAR'!$CG$2:$CS$250,166,0)</f>
        <v>0</v>
      </c>
      <c r="CB55" s="106">
        <f>+HLOOKUP($C55,'NEW CAR'!$CG$2:$CS$250,167,0)</f>
        <v>0</v>
      </c>
      <c r="CC55" s="106">
        <f>+HLOOKUP($C55,'NEW CAR'!$CG$2:$CS$250,168,0)</f>
        <v>0</v>
      </c>
      <c r="CD55" s="106">
        <f>+HLOOKUP($C55,'NEW CAR'!$CG$2:$CS$250,169,0)</f>
        <v>7943.3714999999993</v>
      </c>
      <c r="CE55" s="106">
        <f>+HLOOKUP($C55,'NEW CAR'!$CG$2:$CS$250,170,0)</f>
        <v>0</v>
      </c>
      <c r="CF55" s="106">
        <f>+HLOOKUP($C55,'NEW CAR'!$CG$2:$CS$250,172,0)</f>
        <v>18000</v>
      </c>
      <c r="CG55" s="106">
        <f>+HLOOKUP($C55,'NEW CAR'!$CG$2:$CS$250,173,0)</f>
        <v>0</v>
      </c>
      <c r="CH55" s="106">
        <f>+HLOOKUP($C55,'NEW CAR'!$CG$2:$CS$250,174,0)</f>
        <v>0</v>
      </c>
      <c r="CI55" s="106">
        <f>+HLOOKUP($C55,'NEW CAR'!$CG$2:$CS$250,175,0)</f>
        <v>0</v>
      </c>
      <c r="CJ55" s="106">
        <f>+HLOOKUP($C55,'NEW CAR'!$CG$2:$CS$250,176,0)</f>
        <v>2502</v>
      </c>
      <c r="CK55" s="106">
        <f>+HLOOKUP($C55,'NEW CAR'!$CG$2:$CS$250,178,0)</f>
        <v>51889.3</v>
      </c>
      <c r="CL55" s="106">
        <f>+HLOOKUP($C55,'NEW CAR'!$CG$2:$CS$250,179,0)</f>
        <v>0</v>
      </c>
      <c r="CM55" s="106">
        <f>+HLOOKUP($C55,'NEW CAR'!$CG$2:$CS$250,180,0)</f>
        <v>16500</v>
      </c>
      <c r="CN55" s="106">
        <f>+HLOOKUP($C55,'NEW CAR'!$CG$2:$CS$250,182,0)</f>
        <v>0</v>
      </c>
      <c r="CO55" s="106">
        <f>+HLOOKUP($C55,'NEW CAR'!$CG$2:$CS$250,183,0)</f>
        <v>12422</v>
      </c>
      <c r="CP55" s="106">
        <f>+HLOOKUP($C55,'NEW CAR'!$CG$2:$CS$250,184,0)</f>
        <v>0</v>
      </c>
      <c r="CQ55" s="106">
        <f>+HLOOKUP($C55,'NEW CAR'!$CG$2:$CS$250,185,0)</f>
        <v>0</v>
      </c>
      <c r="CR55" s="106">
        <f>+HLOOKUP($C55,'NEW CAR'!$CG$2:$CS$250,187,0)</f>
        <v>3124.999999999995</v>
      </c>
      <c r="CS55" s="106">
        <f>+HLOOKUP($C55,'NEW CAR'!$CG$2:$CS$250,188,0)</f>
        <v>3975</v>
      </c>
      <c r="CT55" s="106">
        <f>+HLOOKUP($C55,'NEW CAR'!$CG$2:$CS$250,189,0)</f>
        <v>0</v>
      </c>
      <c r="CU55" s="106">
        <f>+HLOOKUP($C55,'NEW CAR'!$CG$2:$CS$250,190,0)</f>
        <v>3756.9994999999999</v>
      </c>
      <c r="CV55" s="106">
        <f>+HLOOKUP($C55,'NEW CAR'!$CG$2:$CS$250,191,0)</f>
        <v>0</v>
      </c>
      <c r="CW55" s="106">
        <f>+HLOOKUP($C55,'NEW CAR'!$CG$2:$CS$250,193,0)</f>
        <v>5883</v>
      </c>
      <c r="CX55" s="106">
        <f>+HLOOKUP($C55,'NEW CAR'!$CG$2:$CS$250,194,0)</f>
        <v>39.75</v>
      </c>
      <c r="CY55" s="106">
        <f>+HLOOKUP($C55,'NEW CAR'!$CG$2:$CS$250,195,0)</f>
        <v>1375</v>
      </c>
      <c r="CZ55" s="106">
        <f>+HLOOKUP($C55,'NEW CAR'!$CG$2:$CS$250,196,0)</f>
        <v>0</v>
      </c>
      <c r="DA55" s="106">
        <f>+HLOOKUP($C55,'NEW CAR'!$CG$2:$CS$250,197,0)</f>
        <v>8087.43</v>
      </c>
      <c r="DB55" s="106">
        <f>+HLOOKUP($C55,'NEW CAR'!$CG$2:$CS$250,198,0)</f>
        <v>10914.66</v>
      </c>
      <c r="DC55" s="106">
        <f>+HLOOKUP($C55,'NEW CAR'!$CG$2:$CS$250,199,0)</f>
        <v>500</v>
      </c>
      <c r="DD55" s="106">
        <f>+HLOOKUP($C55,'NEW CAR'!$CG$2:$CS$250,200,0)</f>
        <v>66.5</v>
      </c>
      <c r="DE55" s="106">
        <f>+HLOOKUP($C55,'NEW CAR'!$CG$2:$CS$250,201,0)</f>
        <v>0</v>
      </c>
      <c r="DF55" s="106">
        <f>+HLOOKUP($C55,'NEW CAR'!$CG$2:$CS$250,202,0)</f>
        <v>-0.50700000000000012</v>
      </c>
      <c r="DG55" s="106">
        <f>+HLOOKUP($C55,'NEW CAR'!$CG$2:$CS$250,203,0)</f>
        <v>0</v>
      </c>
      <c r="DH55" s="106">
        <f>+HLOOKUP($C55,'NEW CAR'!$CG$2:$CS$250,205,0)</f>
        <v>45540</v>
      </c>
      <c r="DI55" s="106">
        <f>+HLOOKUP($C55,'NEW CAR'!$CG$2:$CS$250,206,0)</f>
        <v>6091.55</v>
      </c>
      <c r="DJ55" s="106">
        <f>+HLOOKUP($C55,'NEW CAR'!$CG$2:$CS$250,207,0)</f>
        <v>800.52499950000004</v>
      </c>
      <c r="DK55" s="106">
        <f>+HLOOKUP($C55,'NEW CAR'!$CG$2:$CS$250,209,0)</f>
        <v>0</v>
      </c>
      <c r="DL55" s="106">
        <f>+HLOOKUP($C55,'NEW CAR'!$CG$2:$CS$250,210,0)</f>
        <v>0</v>
      </c>
      <c r="DM55" s="106">
        <f>+HLOOKUP($C55,'NEW CAR'!$CG$2:$CS$250,211,0)</f>
        <v>111421.5</v>
      </c>
      <c r="DN55" s="106">
        <f>+HLOOKUP($C55,'NEW CAR'!$CG$2:$CS$250,212,0)</f>
        <v>24000</v>
      </c>
      <c r="DO55" s="106">
        <f>+HLOOKUP($C55,'NEW CAR'!$CG$2:$CS$250,214,0)</f>
        <v>0</v>
      </c>
      <c r="DP55" s="106">
        <f>+HLOOKUP($C55,'NEW CAR'!$CG$2:$CS$250,215,0)</f>
        <v>450</v>
      </c>
      <c r="DQ55" s="106">
        <f>+HLOOKUP($C55,'NEW CAR'!$CG$2:$CS$250,219,0)</f>
        <v>0</v>
      </c>
      <c r="DR55" s="106">
        <f>+HLOOKUP($C55,'NEW CAR'!$CG$2:$CS$250,220,0)</f>
        <v>0</v>
      </c>
      <c r="DS55" s="106">
        <f>+HLOOKUP($C55,'NEW CAR'!$CG$2:$CS$250,221,0)</f>
        <v>237633.992</v>
      </c>
      <c r="DT55" s="106">
        <f>+HLOOKUP($C55,'NEW CAR'!$CG$2:$CS$250,223,0)</f>
        <v>25877.693999999996</v>
      </c>
      <c r="DU55" s="106">
        <f>+HLOOKUP($C55,'NEW CAR'!$CG$2:$CS$250,224,0)</f>
        <v>0</v>
      </c>
      <c r="DV55" s="106">
        <f>+HLOOKUP($C55,'NEW CAR'!$CG$2:$CS$250,225,0)</f>
        <v>0</v>
      </c>
      <c r="DW55" s="106">
        <f>+HLOOKUP($C55,'NEW CAR'!$CG$2:$CS$250,227,0)</f>
        <v>0</v>
      </c>
      <c r="DX55" s="106">
        <f>+HLOOKUP($C55,'NEW CAR'!$CG$2:$CS$250,228,0)</f>
        <v>3736.35</v>
      </c>
      <c r="DY55" s="106">
        <f>+HLOOKUP($C55,'NEW CAR'!$CG$2:$CS$250,236,0)</f>
        <v>0</v>
      </c>
      <c r="DZ55" s="106">
        <f>+HLOOKUP($C55,'NEW CAR'!$CG$2:$CS$250,237,0)</f>
        <v>191984.86124999999</v>
      </c>
      <c r="EA55" s="106">
        <f>+HLOOKUP($C55,'NEW CAR'!$CG$2:$CS$250,238,0)</f>
        <v>0</v>
      </c>
      <c r="EB55" s="106">
        <f>+HLOOKUP($C55,'NEW CAR'!$CG$2:$CS$250,240,0)</f>
        <v>444690</v>
      </c>
    </row>
    <row r="56" spans="1:132" hidden="1">
      <c r="A56" t="s">
        <v>271</v>
      </c>
      <c r="B56" t="s">
        <v>270</v>
      </c>
      <c r="C56" s="117">
        <v>45444</v>
      </c>
      <c r="D56" s="106">
        <f>+HLOOKUP(C56,'NEW CAR'!$CG$2:$CS$250,6,0)/3.5%</f>
        <v>24114914.285714284</v>
      </c>
      <c r="E56" s="106">
        <f>+HLOOKUP(C56,'NEW CAR'!$CG$2:$CS$250,5,0)+HLOOKUP(C56,'NEW CAR'!$CG$2:$CS$250,26,0)+HLOOKUP(C56,'NEW CAR'!$CG$2:$CS$250,59,0)</f>
        <v>1320231.6299999999</v>
      </c>
      <c r="G56" s="106">
        <f>+HLOOKUP($C56,'NEW CAR'!$CG$2:$CS$250,76,0)</f>
        <v>14780</v>
      </c>
      <c r="H56" s="106">
        <f>+HLOOKUP($C56,'NEW CAR'!$CG$2:$CS$250,77,0)</f>
        <v>262580.84999999998</v>
      </c>
      <c r="I56" s="106">
        <f>+HLOOKUP($C56,'NEW CAR'!$CG$2:$CS$250,78,0)</f>
        <v>0</v>
      </c>
      <c r="J56" s="106">
        <f>+HLOOKUP($C56,'NEW CAR'!$CG$2:$CS$250,79,0)</f>
        <v>316468.27</v>
      </c>
      <c r="K56" s="106">
        <f>+HLOOKUP($C56,'NEW CAR'!$CG$2:$CS$250,80,0)</f>
        <v>0</v>
      </c>
      <c r="L56" s="106">
        <f>+HLOOKUP($C56,'NEW CAR'!$CG$2:$CS$250,81,0)</f>
        <v>0</v>
      </c>
      <c r="M56" s="106">
        <f>+HLOOKUP($C56,'NEW CAR'!$CG$2:$CS$250,82,0)</f>
        <v>0</v>
      </c>
      <c r="N56" s="106">
        <f>+HLOOKUP($C56,'NEW CAR'!$CG$2:$CS$250,83,0)</f>
        <v>0</v>
      </c>
      <c r="O56" s="106">
        <f>+HLOOKUP($C56,'NEW CAR'!$CG$2:$CS$250,84,0)</f>
        <v>48750</v>
      </c>
      <c r="P56" s="106">
        <f>+HLOOKUP($C56,'NEW CAR'!$CG$2:$CS$250,85,0)</f>
        <v>0</v>
      </c>
      <c r="Q56" s="106">
        <f>+HLOOKUP($C56,'NEW CAR'!$CG$2:$CS$250,87,0)</f>
        <v>409864.15</v>
      </c>
      <c r="R56" s="106">
        <f>+HLOOKUP($C56,'NEW CAR'!$CG$2:$CS$250,90,0)</f>
        <v>0</v>
      </c>
      <c r="S56" s="106">
        <f>+HLOOKUP($C56,'NEW CAR'!$CG$2:$CS$250,91,0)</f>
        <v>0</v>
      </c>
      <c r="T56" s="106">
        <f>+HLOOKUP($C56,'NEW CAR'!$CG$2:$CS$250,92,0)</f>
        <v>184151.52</v>
      </c>
      <c r="U56" s="106">
        <f>+HLOOKUP($C56,'NEW CAR'!$CG$2:$CS$250,93,0)</f>
        <v>0</v>
      </c>
      <c r="V56" s="106">
        <f>+HLOOKUP($C56,'NEW CAR'!$CG$2:$CS$250,94,0)</f>
        <v>0</v>
      </c>
      <c r="W56" s="106">
        <f>+HLOOKUP($C56,'NEW CAR'!$CG$2:$CS$250,95,0)</f>
        <v>0</v>
      </c>
      <c r="X56" s="106">
        <f>+HLOOKUP($C56,'NEW CAR'!$CG$2:$CS$250,96,0)</f>
        <v>0</v>
      </c>
      <c r="Y56" s="106">
        <f>+HLOOKUP($C56,'NEW CAR'!$CG$2:$CS$250,97,0)</f>
        <v>48382.43</v>
      </c>
      <c r="Z56" s="106">
        <f>+HLOOKUP($C56,'NEW CAR'!$CG$2:$CS$250,98,0)</f>
        <v>0</v>
      </c>
      <c r="AA56" s="106">
        <f>+HLOOKUP($C56,'NEW CAR'!$CG$2:$CS$250,99,0)</f>
        <v>0</v>
      </c>
      <c r="AB56" s="106">
        <f>+HLOOKUP($C56,'NEW CAR'!$CG$2:$CS$250,100,0)</f>
        <v>19491.990000000002</v>
      </c>
      <c r="AC56" s="106">
        <f>+HLOOKUP($C56,'NEW CAR'!$CG$2:$CS$250,101,0)</f>
        <v>0</v>
      </c>
      <c r="AD56" s="106">
        <f>+HLOOKUP($C56,'NEW CAR'!$CG$2:$CS$250,104,0)</f>
        <v>6523.26</v>
      </c>
      <c r="AE56" s="106">
        <f>+HLOOKUP($C56,'NEW CAR'!$CG$2:$CS$250,105,0)</f>
        <v>177227.57733333332</v>
      </c>
      <c r="AF56" s="106">
        <f>+HLOOKUP($C56,'NEW CAR'!$CG$2:$CS$250,106,0)</f>
        <v>0</v>
      </c>
      <c r="AG56" s="106">
        <f>+HLOOKUP($C56,'NEW CAR'!$CG$2:$CS$250,107,0)</f>
        <v>305866</v>
      </c>
      <c r="AH56" s="106">
        <f>+HLOOKUP($C56,'NEW CAR'!$CG$2:$CS$250,108,0)</f>
        <v>0</v>
      </c>
      <c r="AI56" s="106">
        <f>+HLOOKUP($C56,'NEW CAR'!$CG$2:$CS$250,109,0)</f>
        <v>171237</v>
      </c>
      <c r="AJ56" s="106">
        <f>+HLOOKUP($C56,'NEW CAR'!$CG$2:$CS$250,110,0)</f>
        <v>0</v>
      </c>
      <c r="AK56" s="106">
        <f>+HLOOKUP($C56,'NEW CAR'!$CG$2:$CS$250,111,0)</f>
        <v>0</v>
      </c>
      <c r="AL56" s="106">
        <f>+HLOOKUP($C56,'NEW CAR'!$CG$2:$CS$250,112,0)</f>
        <v>0</v>
      </c>
      <c r="AM56" s="106">
        <f>+HLOOKUP($C56,'NEW CAR'!$CG$2:$CS$250,116,0)</f>
        <v>557766.85</v>
      </c>
      <c r="AN56" s="106">
        <f>+HLOOKUP($C56,'NEW CAR'!$CG$2:$CS$250,117,0)</f>
        <v>78719.5</v>
      </c>
      <c r="AO56" s="106">
        <f>+HLOOKUP($C56,'NEW CAR'!$CG$2:$CS$250,118,0)</f>
        <v>10000</v>
      </c>
      <c r="AP56" s="106">
        <f>+HLOOKUP($C56,'NEW CAR'!$CG$2:$CS$250,119,0)</f>
        <v>185883</v>
      </c>
      <c r="AQ56" s="106">
        <f>+HLOOKUP($C56,'NEW CAR'!$CG$2:$CS$250,120,0)</f>
        <v>55247</v>
      </c>
      <c r="AR56" s="106">
        <f>+HLOOKUP($C56,'NEW CAR'!$CG$2:$CS$250,121,0)</f>
        <v>20790</v>
      </c>
      <c r="AS56" s="106">
        <f>+HLOOKUP($C56,'NEW CAR'!$CG$2:$CS$250,122,0)</f>
        <v>346176</v>
      </c>
      <c r="AT56" s="106">
        <f>+HLOOKUP($C56,'NEW CAR'!$CG$2:$CS$250,123,0)</f>
        <v>71497.5</v>
      </c>
      <c r="AU56" s="106">
        <f>+HLOOKUP($C56,'NEW CAR'!$CG$2:$CS$250,124,0)</f>
        <v>3107.6</v>
      </c>
      <c r="AV56" s="106">
        <f>+HLOOKUP($C56,'NEW CAR'!$CG$2:$CS$250,125,0)</f>
        <v>37275</v>
      </c>
      <c r="AW56" s="106">
        <f>+HLOOKUP($C56,'NEW CAR'!$CG$2:$CS$250,126,0)</f>
        <v>31532.461538461539</v>
      </c>
      <c r="AX56" s="106">
        <f>+HLOOKUP($C56,'NEW CAR'!$CG$2:$CS$250,127,0)</f>
        <v>30161.933333333327</v>
      </c>
      <c r="AY56" s="106">
        <f>+HLOOKUP($C56,'NEW CAR'!$CG$2:$CS$250,129,0)</f>
        <v>0</v>
      </c>
      <c r="AZ56" s="106">
        <f>+HLOOKUP($C56,'NEW CAR'!$CG$2:$CS$250,130,0)</f>
        <v>0</v>
      </c>
      <c r="BA56" s="106">
        <f>+HLOOKUP($C56,'NEW CAR'!$CG$2:$CS$250,131,0)</f>
        <v>63783.333333333336</v>
      </c>
      <c r="BB56" s="106">
        <f>+HLOOKUP($C56,'NEW CAR'!$CG$2:$CS$250,133,0)</f>
        <v>0</v>
      </c>
      <c r="BC56" s="106">
        <f>+HLOOKUP($C56,'NEW CAR'!$CG$2:$CS$250,134,0)</f>
        <v>23594.1</v>
      </c>
      <c r="BD56" s="106">
        <f>+HLOOKUP($C56,'NEW CAR'!$CG$2:$CS$250,135,0)</f>
        <v>0</v>
      </c>
      <c r="BE56" s="106">
        <f>+HLOOKUP($C56,'NEW CAR'!$CG$2:$CS$250,136,0)</f>
        <v>0</v>
      </c>
      <c r="BF56" s="106">
        <f>+HLOOKUP($C56,'NEW CAR'!$CG$2:$CS$250,138,0)</f>
        <v>4256.0999999999995</v>
      </c>
      <c r="BG56" s="106">
        <f>+HLOOKUP($C56,'NEW CAR'!$CG$2:$CS$250,139,0)</f>
        <v>16827.555</v>
      </c>
      <c r="BH56" s="106">
        <f>+HLOOKUP($C56,'NEW CAR'!$CG$2:$CS$250,140,0)</f>
        <v>11500</v>
      </c>
      <c r="BI56" s="106">
        <f>+HLOOKUP($C56,'NEW CAR'!$CG$2:$CS$250,141,0)</f>
        <v>1400</v>
      </c>
      <c r="BJ56" s="106">
        <f>+HLOOKUP($C56,'NEW CAR'!$CG$2:$CS$250,142,0)</f>
        <v>0</v>
      </c>
      <c r="BK56" s="106">
        <f>+HLOOKUP($C56,'NEW CAR'!$CG$2:$CS$250,143,0)</f>
        <v>21258.125</v>
      </c>
      <c r="BL56" s="106">
        <f>+HLOOKUP($C56,'NEW CAR'!$CG$2:$CS$250,144,0)</f>
        <v>0</v>
      </c>
      <c r="BM56" s="106">
        <f>+HLOOKUP($C56,'NEW CAR'!$CG$2:$CS$250,146,0)</f>
        <v>0</v>
      </c>
      <c r="BN56" s="106">
        <f>+HLOOKUP($C56,'NEW CAR'!$CG$2:$CS$250,147,0)</f>
        <v>30750</v>
      </c>
      <c r="BO56" s="106">
        <f>+HLOOKUP($C56,'NEW CAR'!$CG$2:$CS$250,148,0)</f>
        <v>0</v>
      </c>
      <c r="BP56" s="106">
        <f>+HLOOKUP($C56,'NEW CAR'!$CG$2:$CS$250,150,0)</f>
        <v>30329.5</v>
      </c>
      <c r="BQ56" s="106">
        <f>+HLOOKUP($C56,'NEW CAR'!$CG$2:$CS$250,151,0)</f>
        <v>2362.5</v>
      </c>
      <c r="BR56" s="106">
        <f>+HLOOKUP($C56,'NEW CAR'!$CG$2:$CS$250,152,0)</f>
        <v>16000</v>
      </c>
      <c r="BS56" s="106">
        <f>+HLOOKUP($C56,'NEW CAR'!$CG$2:$CS$250,153,0)</f>
        <v>800</v>
      </c>
      <c r="BT56" s="106">
        <f>+HLOOKUP($C56,'NEW CAR'!$CG$2:$CS$250,157,0)</f>
        <v>0</v>
      </c>
      <c r="BU56" s="106">
        <f>+HLOOKUP($C56,'NEW CAR'!$CG$2:$CS$250,158,0)</f>
        <v>0</v>
      </c>
      <c r="BV56" s="106">
        <f>+HLOOKUP($C56,'NEW CAR'!$CG$2:$CS$250,159,0)</f>
        <v>340.5</v>
      </c>
      <c r="BW56" s="106">
        <f>+HLOOKUP($C56,'NEW CAR'!$CG$2:$CS$250,160,0)</f>
        <v>0</v>
      </c>
      <c r="BX56" s="106">
        <f>+HLOOKUP($C56,'NEW CAR'!$CG$2:$CS$250,161,0)</f>
        <v>7687.5</v>
      </c>
      <c r="BY56" s="106">
        <f>+HLOOKUP($C56,'NEW CAR'!$CG$2:$CS$250,164,0)</f>
        <v>3828.8399999999997</v>
      </c>
      <c r="BZ56" s="106">
        <f>+HLOOKUP($C56,'NEW CAR'!$CG$2:$CS$250,165,0)</f>
        <v>0</v>
      </c>
      <c r="CA56" s="106">
        <f>+HLOOKUP($C56,'NEW CAR'!$CG$2:$CS$250,166,0)</f>
        <v>0</v>
      </c>
      <c r="CB56" s="106">
        <f>+HLOOKUP($C56,'NEW CAR'!$CG$2:$CS$250,167,0)</f>
        <v>0</v>
      </c>
      <c r="CC56" s="106">
        <f>+HLOOKUP($C56,'NEW CAR'!$CG$2:$CS$250,168,0)</f>
        <v>0</v>
      </c>
      <c r="CD56" s="106">
        <f>+HLOOKUP($C56,'NEW CAR'!$CG$2:$CS$250,169,0)</f>
        <v>0</v>
      </c>
      <c r="CE56" s="106">
        <f>+HLOOKUP($C56,'NEW CAR'!$CG$2:$CS$250,170,0)</f>
        <v>0</v>
      </c>
      <c r="CF56" s="106">
        <f>+HLOOKUP($C56,'NEW CAR'!$CG$2:$CS$250,172,0)</f>
        <v>18000</v>
      </c>
      <c r="CG56" s="106">
        <f>+HLOOKUP($C56,'NEW CAR'!$CG$2:$CS$250,173,0)</f>
        <v>0</v>
      </c>
      <c r="CH56" s="106">
        <f>+HLOOKUP($C56,'NEW CAR'!$CG$2:$CS$250,174,0)</f>
        <v>0</v>
      </c>
      <c r="CI56" s="106">
        <f>+HLOOKUP($C56,'NEW CAR'!$CG$2:$CS$250,175,0)</f>
        <v>0</v>
      </c>
      <c r="CJ56" s="106">
        <f>+HLOOKUP($C56,'NEW CAR'!$CG$2:$CS$250,176,0)</f>
        <v>2502</v>
      </c>
      <c r="CK56" s="106">
        <f>+HLOOKUP($C56,'NEW CAR'!$CG$2:$CS$250,178,0)</f>
        <v>56882</v>
      </c>
      <c r="CL56" s="106">
        <f>+HLOOKUP($C56,'NEW CAR'!$CG$2:$CS$250,179,0)</f>
        <v>0</v>
      </c>
      <c r="CM56" s="106">
        <f>+HLOOKUP($C56,'NEW CAR'!$CG$2:$CS$250,180,0)</f>
        <v>0</v>
      </c>
      <c r="CN56" s="106">
        <f>+HLOOKUP($C56,'NEW CAR'!$CG$2:$CS$250,182,0)</f>
        <v>0</v>
      </c>
      <c r="CO56" s="106">
        <f>+HLOOKUP($C56,'NEW CAR'!$CG$2:$CS$250,183,0)</f>
        <v>3725.5</v>
      </c>
      <c r="CP56" s="106">
        <f>+HLOOKUP($C56,'NEW CAR'!$CG$2:$CS$250,184,0)</f>
        <v>0</v>
      </c>
      <c r="CQ56" s="106">
        <f>+HLOOKUP($C56,'NEW CAR'!$CG$2:$CS$250,185,0)</f>
        <v>0</v>
      </c>
      <c r="CR56" s="106">
        <f>+HLOOKUP($C56,'NEW CAR'!$CG$2:$CS$250,187,0)</f>
        <v>3124.999999999995</v>
      </c>
      <c r="CS56" s="106">
        <f>+HLOOKUP($C56,'NEW CAR'!$CG$2:$CS$250,188,0)</f>
        <v>3975</v>
      </c>
      <c r="CT56" s="106">
        <f>+HLOOKUP($C56,'NEW CAR'!$CG$2:$CS$250,189,0)</f>
        <v>0</v>
      </c>
      <c r="CU56" s="106">
        <f>+HLOOKUP($C56,'NEW CAR'!$CG$2:$CS$250,190,0)</f>
        <v>3756.9994999999999</v>
      </c>
      <c r="CV56" s="106">
        <f>+HLOOKUP($C56,'NEW CAR'!$CG$2:$CS$250,191,0)</f>
        <v>0</v>
      </c>
      <c r="CW56" s="106">
        <f>+HLOOKUP($C56,'NEW CAR'!$CG$2:$CS$250,193,0)</f>
        <v>5883</v>
      </c>
      <c r="CX56" s="106">
        <f>+HLOOKUP($C56,'NEW CAR'!$CG$2:$CS$250,194,0)</f>
        <v>39.75</v>
      </c>
      <c r="CY56" s="106">
        <f>+HLOOKUP($C56,'NEW CAR'!$CG$2:$CS$250,195,0)</f>
        <v>1375</v>
      </c>
      <c r="CZ56" s="106">
        <f>+HLOOKUP($C56,'NEW CAR'!$CG$2:$CS$250,196,0)</f>
        <v>0</v>
      </c>
      <c r="DA56" s="106">
        <f>+HLOOKUP($C56,'NEW CAR'!$CG$2:$CS$250,197,0)</f>
        <v>5191.7849999999999</v>
      </c>
      <c r="DB56" s="106">
        <f>+HLOOKUP($C56,'NEW CAR'!$CG$2:$CS$250,198,0)</f>
        <v>8865.880000000001</v>
      </c>
      <c r="DC56" s="106">
        <f>+HLOOKUP($C56,'NEW CAR'!$CG$2:$CS$250,199,0)</f>
        <v>1782.16</v>
      </c>
      <c r="DD56" s="106">
        <f>+HLOOKUP($C56,'NEW CAR'!$CG$2:$CS$250,200,0)</f>
        <v>0</v>
      </c>
      <c r="DE56" s="106">
        <f>+HLOOKUP($C56,'NEW CAR'!$CG$2:$CS$250,201,0)</f>
        <v>0</v>
      </c>
      <c r="DF56" s="106">
        <f>+HLOOKUP($C56,'NEW CAR'!$CG$2:$CS$250,202,0)</f>
        <v>2.2590000000000003</v>
      </c>
      <c r="DG56" s="106">
        <f>+HLOOKUP($C56,'NEW CAR'!$CG$2:$CS$250,203,0)</f>
        <v>27.5655</v>
      </c>
      <c r="DH56" s="106">
        <f>+HLOOKUP($C56,'NEW CAR'!$CG$2:$CS$250,205,0)</f>
        <v>45540</v>
      </c>
      <c r="DI56" s="106">
        <f>+HLOOKUP($C56,'NEW CAR'!$CG$2:$CS$250,206,0)</f>
        <v>6091.55</v>
      </c>
      <c r="DJ56" s="106">
        <f>+HLOOKUP($C56,'NEW CAR'!$CG$2:$CS$250,207,0)</f>
        <v>407.0024999999996</v>
      </c>
      <c r="DK56" s="106">
        <f>+HLOOKUP($C56,'NEW CAR'!$CG$2:$CS$250,209,0)</f>
        <v>0</v>
      </c>
      <c r="DL56" s="106">
        <f>+HLOOKUP($C56,'NEW CAR'!$CG$2:$CS$250,210,0)</f>
        <v>0</v>
      </c>
      <c r="DM56" s="106">
        <f>+HLOOKUP($C56,'NEW CAR'!$CG$2:$CS$250,211,0)</f>
        <v>111421.5</v>
      </c>
      <c r="DN56" s="106">
        <f>+HLOOKUP($C56,'NEW CAR'!$CG$2:$CS$250,212,0)</f>
        <v>0</v>
      </c>
      <c r="DO56" s="106">
        <f>+HLOOKUP($C56,'NEW CAR'!$CG$2:$CS$250,214,0)</f>
        <v>0</v>
      </c>
      <c r="DP56" s="106">
        <f>+HLOOKUP($C56,'NEW CAR'!$CG$2:$CS$250,215,0)</f>
        <v>1200</v>
      </c>
      <c r="DQ56" s="106">
        <f>+HLOOKUP($C56,'NEW CAR'!$CG$2:$CS$250,219,0)</f>
        <v>0</v>
      </c>
      <c r="DR56" s="106">
        <f>+HLOOKUP($C56,'NEW CAR'!$CG$2:$CS$250,220,0)</f>
        <v>0</v>
      </c>
      <c r="DS56" s="106">
        <f>+HLOOKUP($C56,'NEW CAR'!$CG$2:$CS$250,221,0)</f>
        <v>311533.17599999998</v>
      </c>
      <c r="DT56" s="106">
        <f>+HLOOKUP($C56,'NEW CAR'!$CG$2:$CS$250,223,0)</f>
        <v>14459.1495</v>
      </c>
      <c r="DU56" s="106">
        <f>+HLOOKUP($C56,'NEW CAR'!$CG$2:$CS$250,224,0)</f>
        <v>0</v>
      </c>
      <c r="DV56" s="106">
        <f>+HLOOKUP($C56,'NEW CAR'!$CG$2:$CS$250,225,0)</f>
        <v>0</v>
      </c>
      <c r="DW56" s="106">
        <f>+HLOOKUP($C56,'NEW CAR'!$CG$2:$CS$250,227,0)</f>
        <v>0</v>
      </c>
      <c r="DX56" s="106">
        <f>+HLOOKUP($C56,'NEW CAR'!$CG$2:$CS$250,228,0)</f>
        <v>4294.95</v>
      </c>
      <c r="DY56" s="106">
        <f>+HLOOKUP($C56,'NEW CAR'!$CG$2:$CS$250,236,0)</f>
        <v>0</v>
      </c>
      <c r="DZ56" s="106">
        <f>+HLOOKUP($C56,'NEW CAR'!$CG$2:$CS$250,237,0)</f>
        <v>176032.36035</v>
      </c>
      <c r="EA56" s="106">
        <f>+HLOOKUP($C56,'NEW CAR'!$CG$2:$CS$250,238,0)</f>
        <v>0</v>
      </c>
      <c r="EB56" s="106">
        <f>+HLOOKUP($C56,'NEW CAR'!$CG$2:$CS$250,240,0)</f>
        <v>444690</v>
      </c>
    </row>
    <row r="57" spans="1:132" hidden="1">
      <c r="A57" t="s">
        <v>271</v>
      </c>
      <c r="B57" t="s">
        <v>270</v>
      </c>
      <c r="C57" s="117">
        <v>45413</v>
      </c>
      <c r="D57" s="106">
        <f>+HLOOKUP(C57,'NEW CAR'!$CG$2:$CS$250,6,0)/3.5%</f>
        <v>110631942.85714285</v>
      </c>
      <c r="E57" s="106">
        <f>+HLOOKUP(C57,'NEW CAR'!$CG$2:$CS$250,5,0)+HLOOKUP(C57,'NEW CAR'!$CG$2:$CS$250,26,0)+HLOOKUP(C57,'NEW CAR'!$CG$2:$CS$250,59,0)</f>
        <v>4982162.88</v>
      </c>
      <c r="G57" s="106">
        <f>+HLOOKUP($C57,'NEW CAR'!$CG$2:$CS$250,76,0)</f>
        <v>32602.083333333332</v>
      </c>
      <c r="H57" s="106">
        <f>+HLOOKUP($C57,'NEW CAR'!$CG$2:$CS$250,77,0)</f>
        <v>371011.12</v>
      </c>
      <c r="I57" s="106">
        <f>+HLOOKUP($C57,'NEW CAR'!$CG$2:$CS$250,78,0)</f>
        <v>2400</v>
      </c>
      <c r="J57" s="106">
        <f>+HLOOKUP($C57,'NEW CAR'!$CG$2:$CS$250,79,0)</f>
        <v>208667.56</v>
      </c>
      <c r="K57" s="106">
        <f>+HLOOKUP($C57,'NEW CAR'!$CG$2:$CS$250,80,0)</f>
        <v>0</v>
      </c>
      <c r="L57" s="106">
        <f>+HLOOKUP($C57,'NEW CAR'!$CG$2:$CS$250,81,0)</f>
        <v>0</v>
      </c>
      <c r="M57" s="106">
        <f>+HLOOKUP($C57,'NEW CAR'!$CG$2:$CS$250,82,0)</f>
        <v>0</v>
      </c>
      <c r="N57" s="106">
        <f>+HLOOKUP($C57,'NEW CAR'!$CG$2:$CS$250,83,0)</f>
        <v>300</v>
      </c>
      <c r="O57" s="106">
        <f>+HLOOKUP($C57,'NEW CAR'!$CG$2:$CS$250,84,0)</f>
        <v>0</v>
      </c>
      <c r="P57" s="106">
        <f>+HLOOKUP($C57,'NEW CAR'!$CG$2:$CS$250,85,0)</f>
        <v>0</v>
      </c>
      <c r="Q57" s="106">
        <f>+HLOOKUP($C57,'NEW CAR'!$CG$2:$CS$250,87,0)</f>
        <v>276106.59999999998</v>
      </c>
      <c r="R57" s="106">
        <f>+HLOOKUP($C57,'NEW CAR'!$CG$2:$CS$250,90,0)</f>
        <v>10080</v>
      </c>
      <c r="S57" s="106">
        <f>+HLOOKUP($C57,'NEW CAR'!$CG$2:$CS$250,91,0)</f>
        <v>0</v>
      </c>
      <c r="T57" s="106">
        <f>+HLOOKUP($C57,'NEW CAR'!$CG$2:$CS$250,92,0)</f>
        <v>273197.03000000003</v>
      </c>
      <c r="U57" s="106">
        <f>+HLOOKUP($C57,'NEW CAR'!$CG$2:$CS$250,93,0)</f>
        <v>11000</v>
      </c>
      <c r="V57" s="106">
        <f>+HLOOKUP($C57,'NEW CAR'!$CG$2:$CS$250,94,0)</f>
        <v>0</v>
      </c>
      <c r="W57" s="106">
        <f>+HLOOKUP($C57,'NEW CAR'!$CG$2:$CS$250,95,0)</f>
        <v>0</v>
      </c>
      <c r="X57" s="106">
        <f>+HLOOKUP($C57,'NEW CAR'!$CG$2:$CS$250,96,0)</f>
        <v>82799.13</v>
      </c>
      <c r="Y57" s="106">
        <f>+HLOOKUP($C57,'NEW CAR'!$CG$2:$CS$250,97,0)</f>
        <v>55164.12</v>
      </c>
      <c r="Z57" s="106">
        <f>+HLOOKUP($C57,'NEW CAR'!$CG$2:$CS$250,98,0)</f>
        <v>0</v>
      </c>
      <c r="AA57" s="106">
        <f>+HLOOKUP($C57,'NEW CAR'!$CG$2:$CS$250,99,0)</f>
        <v>0</v>
      </c>
      <c r="AB57" s="106">
        <f>+HLOOKUP($C57,'NEW CAR'!$CG$2:$CS$250,100,0)</f>
        <v>19291.599999999999</v>
      </c>
      <c r="AC57" s="106">
        <f>+HLOOKUP($C57,'NEW CAR'!$CG$2:$CS$250,101,0)</f>
        <v>0</v>
      </c>
      <c r="AD57" s="106">
        <f>+HLOOKUP($C57,'NEW CAR'!$CG$2:$CS$250,104,0)</f>
        <v>0</v>
      </c>
      <c r="AE57" s="106">
        <f>+HLOOKUP($C57,'NEW CAR'!$CG$2:$CS$250,105,0)</f>
        <v>153908.73719999997</v>
      </c>
      <c r="AF57" s="106">
        <f>+HLOOKUP($C57,'NEW CAR'!$CG$2:$CS$250,106,0)</f>
        <v>0</v>
      </c>
      <c r="AG57" s="106">
        <f>+HLOOKUP($C57,'NEW CAR'!$CG$2:$CS$250,107,0)</f>
        <v>107064</v>
      </c>
      <c r="AH57" s="106">
        <f>+HLOOKUP($C57,'NEW CAR'!$CG$2:$CS$250,108,0)</f>
        <v>5688.9000000000005</v>
      </c>
      <c r="AI57" s="106">
        <f>+HLOOKUP($C57,'NEW CAR'!$CG$2:$CS$250,109,0)</f>
        <v>376073.56</v>
      </c>
      <c r="AJ57" s="106">
        <f>+HLOOKUP($C57,'NEW CAR'!$CG$2:$CS$250,110,0)</f>
        <v>0</v>
      </c>
      <c r="AK57" s="106">
        <f>+HLOOKUP($C57,'NEW CAR'!$CG$2:$CS$250,111,0)</f>
        <v>0</v>
      </c>
      <c r="AL57" s="106">
        <f>+HLOOKUP($C57,'NEW CAR'!$CG$2:$CS$250,112,0)</f>
        <v>0</v>
      </c>
      <c r="AM57" s="106">
        <f>+HLOOKUP($C57,'NEW CAR'!$CG$2:$CS$250,116,0)</f>
        <v>555031.85</v>
      </c>
      <c r="AN57" s="106">
        <f>+HLOOKUP($C57,'NEW CAR'!$CG$2:$CS$250,117,0)</f>
        <v>79158.5</v>
      </c>
      <c r="AO57" s="106">
        <f>+HLOOKUP($C57,'NEW CAR'!$CG$2:$CS$250,118,0)</f>
        <v>10000</v>
      </c>
      <c r="AP57" s="106">
        <f>+HLOOKUP($C57,'NEW CAR'!$CG$2:$CS$250,119,0)</f>
        <v>183227</v>
      </c>
      <c r="AQ57" s="106">
        <f>+HLOOKUP($C57,'NEW CAR'!$CG$2:$CS$250,120,0)</f>
        <v>59421</v>
      </c>
      <c r="AR57" s="106">
        <f>+HLOOKUP($C57,'NEW CAR'!$CG$2:$CS$250,121,0)</f>
        <v>21274</v>
      </c>
      <c r="AS57" s="106">
        <f>+HLOOKUP($C57,'NEW CAR'!$CG$2:$CS$250,122,0)</f>
        <v>346588</v>
      </c>
      <c r="AT57" s="106">
        <f>+HLOOKUP($C57,'NEW CAR'!$CG$2:$CS$250,123,0)</f>
        <v>71497.5</v>
      </c>
      <c r="AU57" s="106">
        <f>+HLOOKUP($C57,'NEW CAR'!$CG$2:$CS$250,124,0)</f>
        <v>3107.6</v>
      </c>
      <c r="AV57" s="106">
        <f>+HLOOKUP($C57,'NEW CAR'!$CG$2:$CS$250,125,0)</f>
        <v>37275</v>
      </c>
      <c r="AW57" s="106">
        <f>+HLOOKUP($C57,'NEW CAR'!$CG$2:$CS$250,126,0)</f>
        <v>31532.461538461539</v>
      </c>
      <c r="AX57" s="106">
        <f>+HLOOKUP($C57,'NEW CAR'!$CG$2:$CS$250,127,0)</f>
        <v>30161.933333333327</v>
      </c>
      <c r="AY57" s="106">
        <f>+HLOOKUP($C57,'NEW CAR'!$CG$2:$CS$250,129,0)</f>
        <v>7105.2</v>
      </c>
      <c r="AZ57" s="106">
        <f>+HLOOKUP($C57,'NEW CAR'!$CG$2:$CS$250,130,0)</f>
        <v>0</v>
      </c>
      <c r="BA57" s="106">
        <f>+HLOOKUP($C57,'NEW CAR'!$CG$2:$CS$250,131,0)</f>
        <v>63783.333333333336</v>
      </c>
      <c r="BB57" s="106">
        <f>+HLOOKUP($C57,'NEW CAR'!$CG$2:$CS$250,133,0)</f>
        <v>0</v>
      </c>
      <c r="BC57" s="106">
        <f>+HLOOKUP($C57,'NEW CAR'!$CG$2:$CS$250,134,0)</f>
        <v>75104.394</v>
      </c>
      <c r="BD57" s="106">
        <f>+HLOOKUP($C57,'NEW CAR'!$CG$2:$CS$250,135,0)</f>
        <v>0</v>
      </c>
      <c r="BE57" s="106">
        <f>+HLOOKUP($C57,'NEW CAR'!$CG$2:$CS$250,136,0)</f>
        <v>0</v>
      </c>
      <c r="BF57" s="106">
        <f>+HLOOKUP($C57,'NEW CAR'!$CG$2:$CS$250,138,0)</f>
        <v>4256.0999999999995</v>
      </c>
      <c r="BG57" s="106">
        <f>+HLOOKUP($C57,'NEW CAR'!$CG$2:$CS$250,139,0)</f>
        <v>22146.05</v>
      </c>
      <c r="BH57" s="106">
        <f>+HLOOKUP($C57,'NEW CAR'!$CG$2:$CS$250,140,0)</f>
        <v>11500</v>
      </c>
      <c r="BI57" s="106">
        <f>+HLOOKUP($C57,'NEW CAR'!$CG$2:$CS$250,141,0)</f>
        <v>3913.5</v>
      </c>
      <c r="BJ57" s="106">
        <f>+HLOOKUP($C57,'NEW CAR'!$CG$2:$CS$250,142,0)</f>
        <v>0</v>
      </c>
      <c r="BK57" s="106">
        <f>+HLOOKUP($C57,'NEW CAR'!$CG$2:$CS$250,143,0)</f>
        <v>21258.125</v>
      </c>
      <c r="BL57" s="106">
        <f>+HLOOKUP($C57,'NEW CAR'!$CG$2:$CS$250,144,0)</f>
        <v>5644.95</v>
      </c>
      <c r="BM57" s="106">
        <f>+HLOOKUP($C57,'NEW CAR'!$CG$2:$CS$250,146,0)</f>
        <v>0</v>
      </c>
      <c r="BN57" s="106">
        <f>+HLOOKUP($C57,'NEW CAR'!$CG$2:$CS$250,147,0)</f>
        <v>37251</v>
      </c>
      <c r="BO57" s="106">
        <f>+HLOOKUP($C57,'NEW CAR'!$CG$2:$CS$250,148,0)</f>
        <v>0</v>
      </c>
      <c r="BP57" s="106">
        <f>+HLOOKUP($C57,'NEW CAR'!$CG$2:$CS$250,150,0)</f>
        <v>30329.5</v>
      </c>
      <c r="BQ57" s="106">
        <f>+HLOOKUP($C57,'NEW CAR'!$CG$2:$CS$250,151,0)</f>
        <v>2362.5</v>
      </c>
      <c r="BR57" s="106">
        <f>+HLOOKUP($C57,'NEW CAR'!$CG$2:$CS$250,152,0)</f>
        <v>16000</v>
      </c>
      <c r="BS57" s="106">
        <f>+HLOOKUP($C57,'NEW CAR'!$CG$2:$CS$250,153,0)</f>
        <v>800</v>
      </c>
      <c r="BT57" s="106">
        <f>+HLOOKUP($C57,'NEW CAR'!$CG$2:$CS$250,157,0)</f>
        <v>0</v>
      </c>
      <c r="BU57" s="106">
        <f>+HLOOKUP($C57,'NEW CAR'!$CG$2:$CS$250,158,0)</f>
        <v>216.102</v>
      </c>
      <c r="BV57" s="106">
        <f>+HLOOKUP($C57,'NEW CAR'!$CG$2:$CS$250,159,0)</f>
        <v>340.5</v>
      </c>
      <c r="BW57" s="106">
        <f>+HLOOKUP($C57,'NEW CAR'!$CG$2:$CS$250,160,0)</f>
        <v>0</v>
      </c>
      <c r="BX57" s="106">
        <f>+HLOOKUP($C57,'NEW CAR'!$CG$2:$CS$250,161,0)</f>
        <v>7962.5</v>
      </c>
      <c r="BY57" s="106">
        <f>+HLOOKUP($C57,'NEW CAR'!$CG$2:$CS$250,164,0)</f>
        <v>1575</v>
      </c>
      <c r="BZ57" s="106">
        <f>+HLOOKUP($C57,'NEW CAR'!$CG$2:$CS$250,165,0)</f>
        <v>0</v>
      </c>
      <c r="CA57" s="106">
        <f>+HLOOKUP($C57,'NEW CAR'!$CG$2:$CS$250,166,0)</f>
        <v>0</v>
      </c>
      <c r="CB57" s="106">
        <f>+HLOOKUP($C57,'NEW CAR'!$CG$2:$CS$250,167,0)</f>
        <v>0</v>
      </c>
      <c r="CC57" s="106">
        <f>+HLOOKUP($C57,'NEW CAR'!$CG$2:$CS$250,168,0)</f>
        <v>0</v>
      </c>
      <c r="CD57" s="106">
        <f>+HLOOKUP($C57,'NEW CAR'!$CG$2:$CS$250,169,0)</f>
        <v>4065.123</v>
      </c>
      <c r="CE57" s="106">
        <f>+HLOOKUP($C57,'NEW CAR'!$CG$2:$CS$250,170,0)</f>
        <v>0</v>
      </c>
      <c r="CF57" s="106">
        <f>+HLOOKUP($C57,'NEW CAR'!$CG$2:$CS$250,172,0)</f>
        <v>18000</v>
      </c>
      <c r="CG57" s="106">
        <f>+HLOOKUP($C57,'NEW CAR'!$CG$2:$CS$250,173,0)</f>
        <v>0</v>
      </c>
      <c r="CH57" s="106">
        <f>+HLOOKUP($C57,'NEW CAR'!$CG$2:$CS$250,174,0)</f>
        <v>0</v>
      </c>
      <c r="CI57" s="106">
        <f>+HLOOKUP($C57,'NEW CAR'!$CG$2:$CS$250,175,0)</f>
        <v>0</v>
      </c>
      <c r="CJ57" s="106">
        <f>+HLOOKUP($C57,'NEW CAR'!$CG$2:$CS$250,176,0)</f>
        <v>2502</v>
      </c>
      <c r="CK57" s="106">
        <f>+HLOOKUP($C57,'NEW CAR'!$CG$2:$CS$250,178,0)</f>
        <v>39121</v>
      </c>
      <c r="CL57" s="106">
        <f>+HLOOKUP($C57,'NEW CAR'!$CG$2:$CS$250,179,0)</f>
        <v>0</v>
      </c>
      <c r="CM57" s="106">
        <f>+HLOOKUP($C57,'NEW CAR'!$CG$2:$CS$250,180,0)</f>
        <v>8400</v>
      </c>
      <c r="CN57" s="106">
        <f>+HLOOKUP($C57,'NEW CAR'!$CG$2:$CS$250,182,0)</f>
        <v>614.25</v>
      </c>
      <c r="CO57" s="106">
        <f>+HLOOKUP($C57,'NEW CAR'!$CG$2:$CS$250,183,0)</f>
        <v>4524.5</v>
      </c>
      <c r="CP57" s="106">
        <f>+HLOOKUP($C57,'NEW CAR'!$CG$2:$CS$250,184,0)</f>
        <v>31355</v>
      </c>
      <c r="CQ57" s="106">
        <f>+HLOOKUP($C57,'NEW CAR'!$CG$2:$CS$250,185,0)</f>
        <v>0</v>
      </c>
      <c r="CR57" s="106">
        <f>+HLOOKUP($C57,'NEW CAR'!$CG$2:$CS$250,187,0)</f>
        <v>3124.999999999995</v>
      </c>
      <c r="CS57" s="106">
        <f>+HLOOKUP($C57,'NEW CAR'!$CG$2:$CS$250,188,0)</f>
        <v>3975</v>
      </c>
      <c r="CT57" s="106">
        <f>+HLOOKUP($C57,'NEW CAR'!$CG$2:$CS$250,189,0)</f>
        <v>0</v>
      </c>
      <c r="CU57" s="106">
        <f>+HLOOKUP($C57,'NEW CAR'!$CG$2:$CS$250,190,0)</f>
        <v>3756.9994999999999</v>
      </c>
      <c r="CV57" s="106">
        <f>+HLOOKUP($C57,'NEW CAR'!$CG$2:$CS$250,191,0)</f>
        <v>0</v>
      </c>
      <c r="CW57" s="106">
        <f>+HLOOKUP($C57,'NEW CAR'!$CG$2:$CS$250,193,0)</f>
        <v>5883</v>
      </c>
      <c r="CX57" s="106">
        <f>+HLOOKUP($C57,'NEW CAR'!$CG$2:$CS$250,194,0)</f>
        <v>194.75</v>
      </c>
      <c r="CY57" s="106">
        <f>+HLOOKUP($C57,'NEW CAR'!$CG$2:$CS$250,195,0)</f>
        <v>1375</v>
      </c>
      <c r="CZ57" s="106">
        <f>+HLOOKUP($C57,'NEW CAR'!$CG$2:$CS$250,196,0)</f>
        <v>0</v>
      </c>
      <c r="DA57" s="106">
        <f>+HLOOKUP($C57,'NEW CAR'!$CG$2:$CS$250,197,0)</f>
        <v>13244.575000000001</v>
      </c>
      <c r="DB57" s="106">
        <f>+HLOOKUP($C57,'NEW CAR'!$CG$2:$CS$250,198,0)</f>
        <v>3238.9850000000001</v>
      </c>
      <c r="DC57" s="106">
        <f>+HLOOKUP($C57,'NEW CAR'!$CG$2:$CS$250,199,0)</f>
        <v>1511.35</v>
      </c>
      <c r="DD57" s="106">
        <f>+HLOOKUP($C57,'NEW CAR'!$CG$2:$CS$250,200,0)</f>
        <v>175</v>
      </c>
      <c r="DE57" s="106">
        <f>+HLOOKUP($C57,'NEW CAR'!$CG$2:$CS$250,201,0)</f>
        <v>0</v>
      </c>
      <c r="DF57" s="106">
        <f>+HLOOKUP($C57,'NEW CAR'!$CG$2:$CS$250,202,0)</f>
        <v>0.63100000000000001</v>
      </c>
      <c r="DG57" s="106">
        <f>+HLOOKUP($C57,'NEW CAR'!$CG$2:$CS$250,203,0)</f>
        <v>3.4979999999999998</v>
      </c>
      <c r="DH57" s="106">
        <f>+HLOOKUP($C57,'NEW CAR'!$CG$2:$CS$250,205,0)</f>
        <v>45540</v>
      </c>
      <c r="DI57" s="106">
        <f>+HLOOKUP($C57,'NEW CAR'!$CG$2:$CS$250,206,0)</f>
        <v>6091.55</v>
      </c>
      <c r="DJ57" s="106">
        <f>+HLOOKUP($C57,'NEW CAR'!$CG$2:$CS$250,207,0)</f>
        <v>406.98750000000018</v>
      </c>
      <c r="DK57" s="106">
        <f>+HLOOKUP($C57,'NEW CAR'!$CG$2:$CS$250,209,0)</f>
        <v>0</v>
      </c>
      <c r="DL57" s="106">
        <f>+HLOOKUP($C57,'NEW CAR'!$CG$2:$CS$250,210,0)</f>
        <v>0</v>
      </c>
      <c r="DM57" s="106">
        <f>+HLOOKUP($C57,'NEW CAR'!$CG$2:$CS$250,211,0)</f>
        <v>111421.5</v>
      </c>
      <c r="DN57" s="106">
        <f>+HLOOKUP($C57,'NEW CAR'!$CG$2:$CS$250,212,0)</f>
        <v>0</v>
      </c>
      <c r="DO57" s="106">
        <f>+HLOOKUP($C57,'NEW CAR'!$CG$2:$CS$250,214,0)</f>
        <v>0</v>
      </c>
      <c r="DP57" s="106">
        <f>+HLOOKUP($C57,'NEW CAR'!$CG$2:$CS$250,215,0)</f>
        <v>700</v>
      </c>
      <c r="DQ57" s="106">
        <f>+HLOOKUP($C57,'NEW CAR'!$CG$2:$CS$250,219,0)</f>
        <v>0</v>
      </c>
      <c r="DR57" s="106">
        <f>+HLOOKUP($C57,'NEW CAR'!$CG$2:$CS$250,220,0)</f>
        <v>0</v>
      </c>
      <c r="DS57" s="106">
        <f>+HLOOKUP($C57,'NEW CAR'!$CG$2:$CS$250,221,0)</f>
        <v>226829.304</v>
      </c>
      <c r="DT57" s="106">
        <f>+HLOOKUP($C57,'NEW CAR'!$CG$2:$CS$250,223,0)</f>
        <v>10555.040999999999</v>
      </c>
      <c r="DU57" s="106">
        <f>+HLOOKUP($C57,'NEW CAR'!$CG$2:$CS$250,224,0)</f>
        <v>0</v>
      </c>
      <c r="DV57" s="106">
        <f>+HLOOKUP($C57,'NEW CAR'!$CG$2:$CS$250,225,0)</f>
        <v>0</v>
      </c>
      <c r="DW57" s="106">
        <f>+HLOOKUP($C57,'NEW CAR'!$CG$2:$CS$250,227,0)</f>
        <v>0</v>
      </c>
      <c r="DX57" s="106">
        <f>+HLOOKUP($C57,'NEW CAR'!$CG$2:$CS$250,228,0)</f>
        <v>1232.8499999999999</v>
      </c>
      <c r="DY57" s="106">
        <f>+HLOOKUP($C57,'NEW CAR'!$CG$2:$CS$250,236,0)</f>
        <v>0</v>
      </c>
      <c r="DZ57" s="106">
        <f>+HLOOKUP($C57,'NEW CAR'!$CG$2:$CS$250,237,0)</f>
        <v>190250.89335</v>
      </c>
      <c r="EA57" s="106">
        <f>+HLOOKUP($C57,'NEW CAR'!$CG$2:$CS$250,238,0)</f>
        <v>0</v>
      </c>
      <c r="EB57" s="106">
        <f>+HLOOKUP($C57,'NEW CAR'!$CG$2:$CS$250,240,0)</f>
        <v>444690</v>
      </c>
    </row>
    <row r="58" spans="1:132" hidden="1">
      <c r="A58" t="s">
        <v>271</v>
      </c>
      <c r="B58" t="s">
        <v>270</v>
      </c>
      <c r="C58" s="117">
        <v>45383</v>
      </c>
      <c r="D58" s="106">
        <f>+HLOOKUP(C58,'NEW CAR'!$CG$2:$CS$250,6,0)/3.5%</f>
        <v>35224276.388571426</v>
      </c>
      <c r="E58" s="106">
        <f>+HLOOKUP(C58,'NEW CAR'!$CG$2:$CS$250,5,0)+HLOOKUP(C58,'NEW CAR'!$CG$2:$CS$250,26,0)+HLOOKUP(C58,'NEW CAR'!$CG$2:$CS$250,59,0)</f>
        <v>1688308.4361</v>
      </c>
      <c r="G58" s="106">
        <f>+HLOOKUP($C58,'NEW CAR'!$CG$2:$CS$250,76,0)</f>
        <v>13959</v>
      </c>
      <c r="H58" s="106">
        <f>+HLOOKUP($C58,'NEW CAR'!$CG$2:$CS$250,77,0)</f>
        <v>392745.8</v>
      </c>
      <c r="I58" s="106">
        <f>+HLOOKUP($C58,'NEW CAR'!$CG$2:$CS$250,78,0)</f>
        <v>0</v>
      </c>
      <c r="J58" s="106">
        <f>+HLOOKUP($C58,'NEW CAR'!$CG$2:$CS$250,79,0)</f>
        <v>0</v>
      </c>
      <c r="K58" s="106">
        <f>+HLOOKUP($C58,'NEW CAR'!$CG$2:$CS$250,80,0)</f>
        <v>0</v>
      </c>
      <c r="L58" s="106">
        <f>+HLOOKUP($C58,'NEW CAR'!$CG$2:$CS$250,81,0)</f>
        <v>0</v>
      </c>
      <c r="M58" s="106">
        <f>+HLOOKUP($C58,'NEW CAR'!$CG$2:$CS$250,82,0)</f>
        <v>0</v>
      </c>
      <c r="N58" s="106">
        <f>+HLOOKUP($C58,'NEW CAR'!$CG$2:$CS$250,83,0)</f>
        <v>236</v>
      </c>
      <c r="O58" s="106">
        <f>+HLOOKUP($C58,'NEW CAR'!$CG$2:$CS$250,84,0)</f>
        <v>0</v>
      </c>
      <c r="P58" s="106">
        <f>+HLOOKUP($C58,'NEW CAR'!$CG$2:$CS$250,85,0)</f>
        <v>0</v>
      </c>
      <c r="Q58" s="106">
        <f>+HLOOKUP($C58,'NEW CAR'!$CG$2:$CS$250,87,0)</f>
        <v>90000</v>
      </c>
      <c r="R58" s="106">
        <f>+HLOOKUP($C58,'NEW CAR'!$CG$2:$CS$250,90,0)</f>
        <v>0</v>
      </c>
      <c r="S58" s="106">
        <f>+HLOOKUP($C58,'NEW CAR'!$CG$2:$CS$250,91,0)</f>
        <v>0</v>
      </c>
      <c r="T58" s="106">
        <f>+HLOOKUP($C58,'NEW CAR'!$CG$2:$CS$250,92,0)</f>
        <v>482093.32</v>
      </c>
      <c r="U58" s="106">
        <f>+HLOOKUP($C58,'NEW CAR'!$CG$2:$CS$250,93,0)</f>
        <v>0</v>
      </c>
      <c r="V58" s="106">
        <f>+HLOOKUP($C58,'NEW CAR'!$CG$2:$CS$250,94,0)</f>
        <v>0</v>
      </c>
      <c r="W58" s="106">
        <f>+HLOOKUP($C58,'NEW CAR'!$CG$2:$CS$250,95,0)</f>
        <v>0</v>
      </c>
      <c r="X58" s="106">
        <f>+HLOOKUP($C58,'NEW CAR'!$CG$2:$CS$250,96,0)</f>
        <v>63330.98</v>
      </c>
      <c r="Y58" s="106">
        <f>+HLOOKUP($C58,'NEW CAR'!$CG$2:$CS$250,97,0)</f>
        <v>51612.32</v>
      </c>
      <c r="Z58" s="106">
        <f>+HLOOKUP($C58,'NEW CAR'!$CG$2:$CS$250,98,0)</f>
        <v>0</v>
      </c>
      <c r="AA58" s="106">
        <f>+HLOOKUP($C58,'NEW CAR'!$CG$2:$CS$250,99,0)</f>
        <v>0</v>
      </c>
      <c r="AB58" s="106">
        <f>+HLOOKUP($C58,'NEW CAR'!$CG$2:$CS$250,100,0)</f>
        <v>13774.188000000002</v>
      </c>
      <c r="AC58" s="106">
        <f>+HLOOKUP($C58,'NEW CAR'!$CG$2:$CS$250,101,0)</f>
        <v>0</v>
      </c>
      <c r="AD58" s="106">
        <f>+HLOOKUP($C58,'NEW CAR'!$CG$2:$CS$250,104,0)</f>
        <v>600</v>
      </c>
      <c r="AE58" s="106">
        <f>+HLOOKUP($C58,'NEW CAR'!$CG$2:$CS$250,105,0)</f>
        <v>8620.5452000000005</v>
      </c>
      <c r="AF58" s="106">
        <f>+HLOOKUP($C58,'NEW CAR'!$CG$2:$CS$250,106,0)</f>
        <v>0</v>
      </c>
      <c r="AG58" s="106">
        <f>+HLOOKUP($C58,'NEW CAR'!$CG$2:$CS$250,107,0)</f>
        <v>110000</v>
      </c>
      <c r="AH58" s="106">
        <f>+HLOOKUP($C58,'NEW CAR'!$CG$2:$CS$250,108,0)</f>
        <v>0</v>
      </c>
      <c r="AI58" s="106">
        <f>+HLOOKUP($C58,'NEW CAR'!$CG$2:$CS$250,109,0)</f>
        <v>165900</v>
      </c>
      <c r="AJ58" s="106">
        <f>+HLOOKUP($C58,'NEW CAR'!$CG$2:$CS$250,110,0)</f>
        <v>0</v>
      </c>
      <c r="AK58" s="106">
        <f>+HLOOKUP($C58,'NEW CAR'!$CG$2:$CS$250,111,0)</f>
        <v>0</v>
      </c>
      <c r="AL58" s="106">
        <f>+HLOOKUP($C58,'NEW CAR'!$CG$2:$CS$250,112,0)</f>
        <v>0</v>
      </c>
      <c r="AM58" s="106">
        <f>+HLOOKUP($C58,'NEW CAR'!$CG$2:$CS$250,116,0)</f>
        <v>568569.85</v>
      </c>
      <c r="AN58" s="106">
        <f>+HLOOKUP($C58,'NEW CAR'!$CG$2:$CS$250,117,0)</f>
        <v>78842.5</v>
      </c>
      <c r="AO58" s="106">
        <f>+HLOOKUP($C58,'NEW CAR'!$CG$2:$CS$250,118,0)</f>
        <v>10000</v>
      </c>
      <c r="AP58" s="106">
        <f>+HLOOKUP($C58,'NEW CAR'!$CG$2:$CS$250,119,0)</f>
        <v>182750</v>
      </c>
      <c r="AQ58" s="106">
        <f>+HLOOKUP($C58,'NEW CAR'!$CG$2:$CS$250,120,0)</f>
        <v>60660</v>
      </c>
      <c r="AR58" s="106">
        <f>+HLOOKUP($C58,'NEW CAR'!$CG$2:$CS$250,121,0)</f>
        <v>21790</v>
      </c>
      <c r="AS58" s="106">
        <f>+HLOOKUP($C58,'NEW CAR'!$CG$2:$CS$250,122,0)</f>
        <v>345557.5</v>
      </c>
      <c r="AT58" s="106">
        <f>+HLOOKUP($C58,'NEW CAR'!$CG$2:$CS$250,123,0)</f>
        <v>71497.5</v>
      </c>
      <c r="AU58" s="106">
        <f>+HLOOKUP($C58,'NEW CAR'!$CG$2:$CS$250,124,0)</f>
        <v>4086.7</v>
      </c>
      <c r="AV58" s="106">
        <f>+HLOOKUP($C58,'NEW CAR'!$CG$2:$CS$250,125,0)</f>
        <v>37275</v>
      </c>
      <c r="AW58" s="106">
        <f>+HLOOKUP($C58,'NEW CAR'!$CG$2:$CS$250,126,0)</f>
        <v>31532.461538461539</v>
      </c>
      <c r="AX58" s="106">
        <f>+HLOOKUP($C58,'NEW CAR'!$CG$2:$CS$250,127,0)</f>
        <v>30161.933333333327</v>
      </c>
      <c r="AY58" s="106">
        <f>+HLOOKUP($C58,'NEW CAR'!$CG$2:$CS$250,129,0)</f>
        <v>0</v>
      </c>
      <c r="AZ58" s="106">
        <f>+HLOOKUP($C58,'NEW CAR'!$CG$2:$CS$250,130,0)</f>
        <v>0</v>
      </c>
      <c r="BA58" s="106">
        <f>+HLOOKUP($C58,'NEW CAR'!$CG$2:$CS$250,131,0)</f>
        <v>63783.333333333336</v>
      </c>
      <c r="BB58" s="106">
        <f>+HLOOKUP($C58,'NEW CAR'!$CG$2:$CS$250,133,0)</f>
        <v>0</v>
      </c>
      <c r="BC58" s="106">
        <f>+HLOOKUP($C58,'NEW CAR'!$CG$2:$CS$250,134,0)</f>
        <v>77601.251999999993</v>
      </c>
      <c r="BD58" s="106">
        <f>+HLOOKUP($C58,'NEW CAR'!$CG$2:$CS$250,135,0)</f>
        <v>0</v>
      </c>
      <c r="BE58" s="106">
        <f>+HLOOKUP($C58,'NEW CAR'!$CG$2:$CS$250,136,0)</f>
        <v>0</v>
      </c>
      <c r="BF58" s="106">
        <f>+HLOOKUP($C58,'NEW CAR'!$CG$2:$CS$250,138,0)</f>
        <v>4256.0999999999995</v>
      </c>
      <c r="BG58" s="106">
        <f>+HLOOKUP($C58,'NEW CAR'!$CG$2:$CS$250,139,0)</f>
        <v>9290</v>
      </c>
      <c r="BH58" s="106">
        <f>+HLOOKUP($C58,'NEW CAR'!$CG$2:$CS$250,140,0)</f>
        <v>11500</v>
      </c>
      <c r="BI58" s="106">
        <f>+HLOOKUP($C58,'NEW CAR'!$CG$2:$CS$250,141,0)</f>
        <v>0</v>
      </c>
      <c r="BJ58" s="106">
        <f>+HLOOKUP($C58,'NEW CAR'!$CG$2:$CS$250,142,0)</f>
        <v>0</v>
      </c>
      <c r="BK58" s="106">
        <f>+HLOOKUP($C58,'NEW CAR'!$CG$2:$CS$250,143,0)</f>
        <v>21258.125</v>
      </c>
      <c r="BL58" s="106">
        <f>+HLOOKUP($C58,'NEW CAR'!$CG$2:$CS$250,144,0)</f>
        <v>10000</v>
      </c>
      <c r="BM58" s="106">
        <f>+HLOOKUP($C58,'NEW CAR'!$CG$2:$CS$250,146,0)</f>
        <v>0</v>
      </c>
      <c r="BN58" s="106">
        <f>+HLOOKUP($C58,'NEW CAR'!$CG$2:$CS$250,147,0)</f>
        <v>72136</v>
      </c>
      <c r="BO58" s="106">
        <f>+HLOOKUP($C58,'NEW CAR'!$CG$2:$CS$250,148,0)</f>
        <v>0</v>
      </c>
      <c r="BP58" s="106">
        <f>+HLOOKUP($C58,'NEW CAR'!$CG$2:$CS$250,150,0)</f>
        <v>29699</v>
      </c>
      <c r="BQ58" s="106">
        <f>+HLOOKUP($C58,'NEW CAR'!$CG$2:$CS$250,151,0)</f>
        <v>2362.5</v>
      </c>
      <c r="BR58" s="106">
        <f>+HLOOKUP($C58,'NEW CAR'!$CG$2:$CS$250,152,0)</f>
        <v>16000</v>
      </c>
      <c r="BS58" s="106">
        <f>+HLOOKUP($C58,'NEW CAR'!$CG$2:$CS$250,153,0)</f>
        <v>800</v>
      </c>
      <c r="BT58" s="106">
        <f>+HLOOKUP($C58,'NEW CAR'!$CG$2:$CS$250,157,0)</f>
        <v>0</v>
      </c>
      <c r="BU58" s="106">
        <f>+HLOOKUP($C58,'NEW CAR'!$CG$2:$CS$250,158,0)</f>
        <v>0</v>
      </c>
      <c r="BV58" s="106">
        <f>+HLOOKUP($C58,'NEW CAR'!$CG$2:$CS$250,159,0)</f>
        <v>340.5</v>
      </c>
      <c r="BW58" s="106">
        <f>+HLOOKUP($C58,'NEW CAR'!$CG$2:$CS$250,160,0)</f>
        <v>0</v>
      </c>
      <c r="BX58" s="106">
        <f>+HLOOKUP($C58,'NEW CAR'!$CG$2:$CS$250,161,0)</f>
        <v>7662.5</v>
      </c>
      <c r="BY58" s="106">
        <f>+HLOOKUP($C58,'NEW CAR'!$CG$2:$CS$250,164,0)</f>
        <v>600</v>
      </c>
      <c r="BZ58" s="106">
        <f>+HLOOKUP($C58,'NEW CAR'!$CG$2:$CS$250,165,0)</f>
        <v>0</v>
      </c>
      <c r="CA58" s="106">
        <f>+HLOOKUP($C58,'NEW CAR'!$CG$2:$CS$250,166,0)</f>
        <v>0</v>
      </c>
      <c r="CB58" s="106">
        <f>+HLOOKUP($C58,'NEW CAR'!$CG$2:$CS$250,167,0)</f>
        <v>0</v>
      </c>
      <c r="CC58" s="106">
        <f>+HLOOKUP($C58,'NEW CAR'!$CG$2:$CS$250,168,0)</f>
        <v>0</v>
      </c>
      <c r="CD58" s="106">
        <f>+HLOOKUP($C58,'NEW CAR'!$CG$2:$CS$250,169,0)</f>
        <v>3710</v>
      </c>
      <c r="CE58" s="106">
        <f>+HLOOKUP($C58,'NEW CAR'!$CG$2:$CS$250,170,0)</f>
        <v>0</v>
      </c>
      <c r="CF58" s="106">
        <f>+HLOOKUP($C58,'NEW CAR'!$CG$2:$CS$250,172,0)</f>
        <v>18000</v>
      </c>
      <c r="CG58" s="106">
        <f>+HLOOKUP($C58,'NEW CAR'!$CG$2:$CS$250,173,0)</f>
        <v>0</v>
      </c>
      <c r="CH58" s="106">
        <f>+HLOOKUP($C58,'NEW CAR'!$CG$2:$CS$250,174,0)</f>
        <v>0</v>
      </c>
      <c r="CI58" s="106">
        <f>+HLOOKUP($C58,'NEW CAR'!$CG$2:$CS$250,175,0)</f>
        <v>0</v>
      </c>
      <c r="CJ58" s="106">
        <f>+HLOOKUP($C58,'NEW CAR'!$CG$2:$CS$250,176,0)</f>
        <v>2502</v>
      </c>
      <c r="CK58" s="106">
        <f>+HLOOKUP($C58,'NEW CAR'!$CG$2:$CS$250,178,0)</f>
        <v>47449.25</v>
      </c>
      <c r="CL58" s="106">
        <f>+HLOOKUP($C58,'NEW CAR'!$CG$2:$CS$250,179,0)</f>
        <v>0</v>
      </c>
      <c r="CM58" s="106">
        <f>+HLOOKUP($C58,'NEW CAR'!$CG$2:$CS$250,180,0)</f>
        <v>0</v>
      </c>
      <c r="CN58" s="106">
        <f>+HLOOKUP($C58,'NEW CAR'!$CG$2:$CS$250,182,0)</f>
        <v>614.25</v>
      </c>
      <c r="CO58" s="106">
        <f>+HLOOKUP($C58,'NEW CAR'!$CG$2:$CS$250,183,0)</f>
        <v>3725.5</v>
      </c>
      <c r="CP58" s="106">
        <f>+HLOOKUP($C58,'NEW CAR'!$CG$2:$CS$250,184,0)</f>
        <v>0</v>
      </c>
      <c r="CQ58" s="106">
        <f>+HLOOKUP($C58,'NEW CAR'!$CG$2:$CS$250,185,0)</f>
        <v>0</v>
      </c>
      <c r="CR58" s="106">
        <f>+HLOOKUP($C58,'NEW CAR'!$CG$2:$CS$250,187,0)</f>
        <v>3124.999999999995</v>
      </c>
      <c r="CS58" s="106">
        <f>+HLOOKUP($C58,'NEW CAR'!$CG$2:$CS$250,188,0)</f>
        <v>3975</v>
      </c>
      <c r="CT58" s="106">
        <f>+HLOOKUP($C58,'NEW CAR'!$CG$2:$CS$250,189,0)</f>
        <v>0</v>
      </c>
      <c r="CU58" s="106">
        <f>+HLOOKUP($C58,'NEW CAR'!$CG$2:$CS$250,190,0)</f>
        <v>3756.9994999999999</v>
      </c>
      <c r="CV58" s="106">
        <f>+HLOOKUP($C58,'NEW CAR'!$CG$2:$CS$250,191,0)</f>
        <v>0</v>
      </c>
      <c r="CW58" s="106">
        <f>+HLOOKUP($C58,'NEW CAR'!$CG$2:$CS$250,193,0)</f>
        <v>5883</v>
      </c>
      <c r="CX58" s="106">
        <f>+HLOOKUP($C58,'NEW CAR'!$CG$2:$CS$250,194,0)</f>
        <v>39.75</v>
      </c>
      <c r="CY58" s="106">
        <f>+HLOOKUP($C58,'NEW CAR'!$CG$2:$CS$250,195,0)</f>
        <v>1375</v>
      </c>
      <c r="CZ58" s="106">
        <f>+HLOOKUP($C58,'NEW CAR'!$CG$2:$CS$250,196,0)</f>
        <v>0</v>
      </c>
      <c r="DA58" s="106">
        <f>+HLOOKUP($C58,'NEW CAR'!$CG$2:$CS$250,197,0)</f>
        <v>3905.3449999999998</v>
      </c>
      <c r="DB58" s="106">
        <f>+HLOOKUP($C58,'NEW CAR'!$CG$2:$CS$250,198,0)</f>
        <v>0</v>
      </c>
      <c r="DC58" s="106">
        <f>+HLOOKUP($C58,'NEW CAR'!$CG$2:$CS$250,199,0)</f>
        <v>150</v>
      </c>
      <c r="DD58" s="106">
        <f>+HLOOKUP($C58,'NEW CAR'!$CG$2:$CS$250,200,0)</f>
        <v>0</v>
      </c>
      <c r="DE58" s="106">
        <f>+HLOOKUP($C58,'NEW CAR'!$CG$2:$CS$250,201,0)</f>
        <v>0</v>
      </c>
      <c r="DF58" s="106">
        <f>+HLOOKUP($C58,'NEW CAR'!$CG$2:$CS$250,202,0)</f>
        <v>0.89999999999999991</v>
      </c>
      <c r="DG58" s="106">
        <f>+HLOOKUP($C58,'NEW CAR'!$CG$2:$CS$250,203,0)</f>
        <v>6.6</v>
      </c>
      <c r="DH58" s="106">
        <f>+HLOOKUP($C58,'NEW CAR'!$CG$2:$CS$250,205,0)</f>
        <v>45540</v>
      </c>
      <c r="DI58" s="106">
        <f>+HLOOKUP($C58,'NEW CAR'!$CG$2:$CS$250,206,0)</f>
        <v>6091.55</v>
      </c>
      <c r="DJ58" s="106">
        <f>+HLOOKUP($C58,'NEW CAR'!$CG$2:$CS$250,207,0)</f>
        <v>406.98750000000018</v>
      </c>
      <c r="DK58" s="106">
        <f>+HLOOKUP($C58,'NEW CAR'!$CG$2:$CS$250,209,0)</f>
        <v>0</v>
      </c>
      <c r="DL58" s="106">
        <f>+HLOOKUP($C58,'NEW CAR'!$CG$2:$CS$250,210,0)</f>
        <v>0</v>
      </c>
      <c r="DM58" s="106">
        <f>+HLOOKUP($C58,'NEW CAR'!$CG$2:$CS$250,211,0)</f>
        <v>111421.5</v>
      </c>
      <c r="DN58" s="106">
        <f>+HLOOKUP($C58,'NEW CAR'!$CG$2:$CS$250,212,0)</f>
        <v>0</v>
      </c>
      <c r="DO58" s="106">
        <f>+HLOOKUP($C58,'NEW CAR'!$CG$2:$CS$250,214,0)</f>
        <v>0</v>
      </c>
      <c r="DP58" s="106">
        <f>+HLOOKUP($C58,'NEW CAR'!$CG$2:$CS$250,215,0)</f>
        <v>1000</v>
      </c>
      <c r="DQ58" s="106">
        <f>+HLOOKUP($C58,'NEW CAR'!$CG$2:$CS$250,219,0)</f>
        <v>0</v>
      </c>
      <c r="DR58" s="106">
        <f>+HLOOKUP($C58,'NEW CAR'!$CG$2:$CS$250,220,0)</f>
        <v>0</v>
      </c>
      <c r="DS58" s="106">
        <f>+HLOOKUP($C58,'NEW CAR'!$CG$2:$CS$250,221,0)</f>
        <v>136326.71999999997</v>
      </c>
      <c r="DT58" s="106">
        <f>+HLOOKUP($C58,'NEW CAR'!$CG$2:$CS$250,223,0)</f>
        <v>12002.638499999999</v>
      </c>
      <c r="DU58" s="106">
        <f>+HLOOKUP($C58,'NEW CAR'!$CG$2:$CS$250,224,0)</f>
        <v>0</v>
      </c>
      <c r="DV58" s="106">
        <f>+HLOOKUP($C58,'NEW CAR'!$CG$2:$CS$250,225,0)</f>
        <v>0</v>
      </c>
      <c r="DW58" s="106">
        <f>+HLOOKUP($C58,'NEW CAR'!$CG$2:$CS$250,227,0)</f>
        <v>0</v>
      </c>
      <c r="DX58" s="106">
        <f>+HLOOKUP($C58,'NEW CAR'!$CG$2:$CS$250,228,0)</f>
        <v>4096.8</v>
      </c>
      <c r="DY58" s="106">
        <f>+HLOOKUP($C58,'NEW CAR'!$CG$2:$CS$250,236,0)</f>
        <v>0</v>
      </c>
      <c r="DZ58" s="106">
        <f>+HLOOKUP($C58,'NEW CAR'!$CG$2:$CS$250,237,0)</f>
        <v>192470.37390000001</v>
      </c>
      <c r="EA58" s="106">
        <f>+HLOOKUP($C58,'NEW CAR'!$CG$2:$CS$250,238,0)</f>
        <v>0</v>
      </c>
      <c r="EB58" s="106">
        <f>+HLOOKUP($C58,'NEW CAR'!$CG$2:$CS$250,240,0)</f>
        <v>444690</v>
      </c>
    </row>
    <row r="59" spans="1:132" hidden="1">
      <c r="A59" t="s">
        <v>271</v>
      </c>
      <c r="B59" t="s">
        <v>270</v>
      </c>
      <c r="C59" s="117">
        <v>45352</v>
      </c>
      <c r="D59" s="106">
        <f>+HLOOKUP(C59,'NEW CAR'!$CG$2:$CS$250,6,0)/3.5%</f>
        <v>137691971.4285714</v>
      </c>
      <c r="E59" s="106">
        <f>+HLOOKUP(C59,'NEW CAR'!$CG$2:$CS$250,5,0)+HLOOKUP(C59,'NEW CAR'!$CG$2:$CS$250,26,0)+HLOOKUP(C59,'NEW CAR'!$CG$2:$CS$250,59,0)</f>
        <v>9445270.450480001</v>
      </c>
      <c r="G59" s="106">
        <f>+HLOOKUP($C59,'NEW CAR'!$CG$2:$CS$250,76,0)</f>
        <v>6072.08</v>
      </c>
      <c r="H59" s="106">
        <f>+HLOOKUP($C59,'NEW CAR'!$CG$2:$CS$250,77,0)</f>
        <v>299071.68</v>
      </c>
      <c r="I59" s="106">
        <f>+HLOOKUP($C59,'NEW CAR'!$CG$2:$CS$250,78,0)</f>
        <v>0</v>
      </c>
      <c r="J59" s="106">
        <f>+HLOOKUP($C59,'NEW CAR'!$CG$2:$CS$250,79,0)</f>
        <v>176849.9</v>
      </c>
      <c r="K59" s="106">
        <f>+HLOOKUP($C59,'NEW CAR'!$CG$2:$CS$250,80,0)</f>
        <v>0</v>
      </c>
      <c r="L59" s="106">
        <f>+HLOOKUP($C59,'NEW CAR'!$CG$2:$CS$250,81,0)</f>
        <v>0</v>
      </c>
      <c r="M59" s="106">
        <f>+HLOOKUP($C59,'NEW CAR'!$CG$2:$CS$250,82,0)</f>
        <v>0</v>
      </c>
      <c r="N59" s="106">
        <f>+HLOOKUP($C59,'NEW CAR'!$CG$2:$CS$250,83,0)</f>
        <v>27000</v>
      </c>
      <c r="O59" s="106">
        <f>+HLOOKUP($C59,'NEW CAR'!$CG$2:$CS$250,84,0)</f>
        <v>0</v>
      </c>
      <c r="P59" s="106">
        <f>+HLOOKUP($C59,'NEW CAR'!$CG$2:$CS$250,85,0)</f>
        <v>0</v>
      </c>
      <c r="Q59" s="106">
        <f>+HLOOKUP($C59,'NEW CAR'!$CG$2:$CS$250,87,0)</f>
        <v>640824.69999999995</v>
      </c>
      <c r="R59" s="106">
        <f>+HLOOKUP($C59,'NEW CAR'!$CG$2:$CS$250,90,0)</f>
        <v>0</v>
      </c>
      <c r="S59" s="106">
        <f>+HLOOKUP($C59,'NEW CAR'!$CG$2:$CS$250,91,0)</f>
        <v>0</v>
      </c>
      <c r="T59" s="106">
        <f>+HLOOKUP($C59,'NEW CAR'!$CG$2:$CS$250,92,0)</f>
        <v>172320</v>
      </c>
      <c r="U59" s="106">
        <f>+HLOOKUP($C59,'NEW CAR'!$CG$2:$CS$250,93,0)</f>
        <v>0</v>
      </c>
      <c r="V59" s="106">
        <f>+HLOOKUP($C59,'NEW CAR'!$CG$2:$CS$250,94,0)</f>
        <v>0</v>
      </c>
      <c r="W59" s="106">
        <f>+HLOOKUP($C59,'NEW CAR'!$CG$2:$CS$250,95,0)</f>
        <v>0</v>
      </c>
      <c r="X59" s="106">
        <f>+HLOOKUP($C59,'NEW CAR'!$CG$2:$CS$250,96,0)</f>
        <v>97879.83</v>
      </c>
      <c r="Y59" s="106">
        <f>+HLOOKUP($C59,'NEW CAR'!$CG$2:$CS$250,97,0)</f>
        <v>113983.02</v>
      </c>
      <c r="Z59" s="106">
        <f>+HLOOKUP($C59,'NEW CAR'!$CG$2:$CS$250,98,0)</f>
        <v>0</v>
      </c>
      <c r="AA59" s="106">
        <f>+HLOOKUP($C59,'NEW CAR'!$CG$2:$CS$250,99,0)</f>
        <v>0</v>
      </c>
      <c r="AB59" s="106">
        <f>+HLOOKUP($C59,'NEW CAR'!$CG$2:$CS$250,100,0)</f>
        <v>12732.859354838711</v>
      </c>
      <c r="AC59" s="106">
        <f>+HLOOKUP($C59,'NEW CAR'!$CG$2:$CS$250,101,0)</f>
        <v>0</v>
      </c>
      <c r="AD59" s="106">
        <f>+HLOOKUP($C59,'NEW CAR'!$CG$2:$CS$250,104,0)</f>
        <v>0</v>
      </c>
      <c r="AE59" s="106">
        <f>+HLOOKUP($C59,'NEW CAR'!$CG$2:$CS$250,105,0)</f>
        <v>322716.66059449501</v>
      </c>
      <c r="AF59" s="106">
        <f>+HLOOKUP($C59,'NEW CAR'!$CG$2:$CS$250,106,0)</f>
        <v>0</v>
      </c>
      <c r="AG59" s="106">
        <f>+HLOOKUP($C59,'NEW CAR'!$CG$2:$CS$250,107,0)</f>
        <v>411500</v>
      </c>
      <c r="AH59" s="106">
        <f>+HLOOKUP($C59,'NEW CAR'!$CG$2:$CS$250,108,0)</f>
        <v>0</v>
      </c>
      <c r="AI59" s="106">
        <f>+HLOOKUP($C59,'NEW CAR'!$CG$2:$CS$250,109,0)</f>
        <v>153000</v>
      </c>
      <c r="AJ59" s="106">
        <f>+HLOOKUP($C59,'NEW CAR'!$CG$2:$CS$250,110,0)</f>
        <v>0</v>
      </c>
      <c r="AK59" s="106">
        <f>+HLOOKUP($C59,'NEW CAR'!$CG$2:$CS$250,111,0)</f>
        <v>0</v>
      </c>
      <c r="AL59" s="106">
        <f>+HLOOKUP($C59,'NEW CAR'!$CG$2:$CS$250,112,0)</f>
        <v>0</v>
      </c>
      <c r="AM59" s="106">
        <f>+HLOOKUP($C59,'NEW CAR'!$CG$2:$CS$250,116,0)</f>
        <v>557363.85</v>
      </c>
      <c r="AN59" s="106">
        <f>+HLOOKUP($C59,'NEW CAR'!$CG$2:$CS$250,117,0)</f>
        <v>78409.5</v>
      </c>
      <c r="AO59" s="106">
        <f>+HLOOKUP($C59,'NEW CAR'!$CG$2:$CS$250,118,0)</f>
        <v>12113</v>
      </c>
      <c r="AP59" s="106">
        <f>+HLOOKUP($C59,'NEW CAR'!$CG$2:$CS$250,119,0)</f>
        <v>183604</v>
      </c>
      <c r="AQ59" s="106">
        <f>+HLOOKUP($C59,'NEW CAR'!$CG$2:$CS$250,120,0)</f>
        <v>59886</v>
      </c>
      <c r="AR59" s="106">
        <f>+HLOOKUP($C59,'NEW CAR'!$CG$2:$CS$250,121,0)</f>
        <v>23532</v>
      </c>
      <c r="AS59" s="106">
        <f>+HLOOKUP($C59,'NEW CAR'!$CG$2:$CS$250,122,0)</f>
        <v>334204.5</v>
      </c>
      <c r="AT59" s="106">
        <f>+HLOOKUP($C59,'NEW CAR'!$CG$2:$CS$250,123,0)</f>
        <v>55938.3</v>
      </c>
      <c r="AU59" s="106">
        <f>+HLOOKUP($C59,'NEW CAR'!$CG$2:$CS$250,124,0)</f>
        <v>4086.7</v>
      </c>
      <c r="AV59" s="106">
        <f>+HLOOKUP($C59,'NEW CAR'!$CG$2:$CS$250,125,0)</f>
        <v>37200</v>
      </c>
      <c r="AW59" s="106">
        <f>+HLOOKUP($C59,'NEW CAR'!$CG$2:$CS$250,126,0)</f>
        <v>31532.461538461539</v>
      </c>
      <c r="AX59" s="106">
        <f>+HLOOKUP($C59,'NEW CAR'!$CG$2:$CS$250,127,0)</f>
        <v>30161.933333333327</v>
      </c>
      <c r="AY59" s="106">
        <f>+HLOOKUP($C59,'NEW CAR'!$CG$2:$CS$250,129,0)</f>
        <v>0</v>
      </c>
      <c r="AZ59" s="106">
        <f>+HLOOKUP($C59,'NEW CAR'!$CG$2:$CS$250,130,0)</f>
        <v>0</v>
      </c>
      <c r="BA59" s="106">
        <f>+HLOOKUP($C59,'NEW CAR'!$CG$2:$CS$250,131,0)</f>
        <v>63783.333333333336</v>
      </c>
      <c r="BB59" s="106">
        <f>+HLOOKUP($C59,'NEW CAR'!$CG$2:$CS$250,133,0)</f>
        <v>0</v>
      </c>
      <c r="BC59" s="106">
        <f>+HLOOKUP($C59,'NEW CAR'!$CG$2:$CS$250,134,0)</f>
        <v>0</v>
      </c>
      <c r="BD59" s="106">
        <f>+HLOOKUP($C59,'NEW CAR'!$CG$2:$CS$250,135,0)</f>
        <v>0</v>
      </c>
      <c r="BE59" s="106">
        <f>+HLOOKUP($C59,'NEW CAR'!$CG$2:$CS$250,136,0)</f>
        <v>0</v>
      </c>
      <c r="BF59" s="106">
        <f>+HLOOKUP($C59,'NEW CAR'!$CG$2:$CS$250,138,0)</f>
        <v>4256.0999999999995</v>
      </c>
      <c r="BG59" s="106">
        <f>+HLOOKUP($C59,'NEW CAR'!$CG$2:$CS$250,139,0)</f>
        <v>8259.625</v>
      </c>
      <c r="BH59" s="106">
        <f>+HLOOKUP($C59,'NEW CAR'!$CG$2:$CS$250,140,0)</f>
        <v>11500</v>
      </c>
      <c r="BI59" s="106">
        <f>+HLOOKUP($C59,'NEW CAR'!$CG$2:$CS$250,141,0)</f>
        <v>0</v>
      </c>
      <c r="BJ59" s="106">
        <f>+HLOOKUP($C59,'NEW CAR'!$CG$2:$CS$250,142,0)</f>
        <v>0</v>
      </c>
      <c r="BK59" s="106">
        <f>+HLOOKUP($C59,'NEW CAR'!$CG$2:$CS$250,143,0)</f>
        <v>21258.125</v>
      </c>
      <c r="BL59" s="106">
        <f>+HLOOKUP($C59,'NEW CAR'!$CG$2:$CS$250,144,0)</f>
        <v>2085.5</v>
      </c>
      <c r="BM59" s="106">
        <f>+HLOOKUP($C59,'NEW CAR'!$CG$2:$CS$250,146,0)</f>
        <v>0</v>
      </c>
      <c r="BN59" s="106">
        <f>+HLOOKUP($C59,'NEW CAR'!$CG$2:$CS$250,147,0)</f>
        <v>21598</v>
      </c>
      <c r="BO59" s="106">
        <f>+HLOOKUP($C59,'NEW CAR'!$CG$2:$CS$250,148,0)</f>
        <v>0</v>
      </c>
      <c r="BP59" s="106">
        <f>+HLOOKUP($C59,'NEW CAR'!$CG$2:$CS$250,150,0)</f>
        <v>31736.5</v>
      </c>
      <c r="BQ59" s="106">
        <f>+HLOOKUP($C59,'NEW CAR'!$CG$2:$CS$250,151,0)</f>
        <v>2362.5</v>
      </c>
      <c r="BR59" s="106">
        <f>+HLOOKUP($C59,'NEW CAR'!$CG$2:$CS$250,152,0)</f>
        <v>16000</v>
      </c>
      <c r="BS59" s="106">
        <f>+HLOOKUP($C59,'NEW CAR'!$CG$2:$CS$250,153,0)</f>
        <v>950</v>
      </c>
      <c r="BT59" s="106">
        <f>+HLOOKUP($C59,'NEW CAR'!$CG$2:$CS$250,157,0)</f>
        <v>0</v>
      </c>
      <c r="BU59" s="106">
        <f>+HLOOKUP($C59,'NEW CAR'!$CG$2:$CS$250,158,0)</f>
        <v>850</v>
      </c>
      <c r="BV59" s="106">
        <f>+HLOOKUP($C59,'NEW CAR'!$CG$2:$CS$250,159,0)</f>
        <v>391.5</v>
      </c>
      <c r="BW59" s="106">
        <f>+HLOOKUP($C59,'NEW CAR'!$CG$2:$CS$250,160,0)</f>
        <v>333.5</v>
      </c>
      <c r="BX59" s="106">
        <f>+HLOOKUP($C59,'NEW CAR'!$CG$2:$CS$250,161,0)</f>
        <v>9641.25</v>
      </c>
      <c r="BY59" s="106">
        <f>+HLOOKUP($C59,'NEW CAR'!$CG$2:$CS$250,164,0)</f>
        <v>825</v>
      </c>
      <c r="BZ59" s="106">
        <f>+HLOOKUP($C59,'NEW CAR'!$CG$2:$CS$250,165,0)</f>
        <v>0</v>
      </c>
      <c r="CA59" s="106">
        <f>+HLOOKUP($C59,'NEW CAR'!$CG$2:$CS$250,166,0)</f>
        <v>0</v>
      </c>
      <c r="CB59" s="106">
        <f>+HLOOKUP($C59,'NEW CAR'!$CG$2:$CS$250,167,0)</f>
        <v>0</v>
      </c>
      <c r="CC59" s="106">
        <f>+HLOOKUP($C59,'NEW CAR'!$CG$2:$CS$250,168,0)</f>
        <v>0</v>
      </c>
      <c r="CD59" s="106">
        <f>+HLOOKUP($C59,'NEW CAR'!$CG$2:$CS$250,169,0)</f>
        <v>0</v>
      </c>
      <c r="CE59" s="106">
        <f>+HLOOKUP($C59,'NEW CAR'!$CG$2:$CS$250,170,0)</f>
        <v>0</v>
      </c>
      <c r="CF59" s="106">
        <f>+HLOOKUP($C59,'NEW CAR'!$CG$2:$CS$250,172,0)</f>
        <v>18000</v>
      </c>
      <c r="CG59" s="106">
        <f>+HLOOKUP($C59,'NEW CAR'!$CG$2:$CS$250,173,0)</f>
        <v>0</v>
      </c>
      <c r="CH59" s="106">
        <f>+HLOOKUP($C59,'NEW CAR'!$CG$2:$CS$250,174,0)</f>
        <v>0</v>
      </c>
      <c r="CI59" s="106">
        <f>+HLOOKUP($C59,'NEW CAR'!$CG$2:$CS$250,175,0)</f>
        <v>0</v>
      </c>
      <c r="CJ59" s="106">
        <f>+HLOOKUP($C59,'NEW CAR'!$CG$2:$CS$250,176,0)</f>
        <v>886.44150000000036</v>
      </c>
      <c r="CK59" s="106">
        <f>+HLOOKUP($C59,'NEW CAR'!$CG$2:$CS$250,178,0)</f>
        <v>44456.517</v>
      </c>
      <c r="CL59" s="106">
        <f>+HLOOKUP($C59,'NEW CAR'!$CG$2:$CS$250,179,0)</f>
        <v>0</v>
      </c>
      <c r="CM59" s="106">
        <f>+HLOOKUP($C59,'NEW CAR'!$CG$2:$CS$250,180,0)</f>
        <v>14700</v>
      </c>
      <c r="CN59" s="106">
        <f>+HLOOKUP($C59,'NEW CAR'!$CG$2:$CS$250,182,0)</f>
        <v>614.25</v>
      </c>
      <c r="CO59" s="106">
        <f>+HLOOKUP($C59,'NEW CAR'!$CG$2:$CS$250,183,0)</f>
        <v>11225.5</v>
      </c>
      <c r="CP59" s="106">
        <f>+HLOOKUP($C59,'NEW CAR'!$CG$2:$CS$250,184,0)</f>
        <v>0</v>
      </c>
      <c r="CQ59" s="106">
        <f>+HLOOKUP($C59,'NEW CAR'!$CG$2:$CS$250,185,0)</f>
        <v>0</v>
      </c>
      <c r="CR59" s="106">
        <f>+HLOOKUP($C59,'NEW CAR'!$CG$2:$CS$250,187,0)</f>
        <v>3124.999999999995</v>
      </c>
      <c r="CS59" s="106">
        <f>+HLOOKUP($C59,'NEW CAR'!$CG$2:$CS$250,188,0)</f>
        <v>3975</v>
      </c>
      <c r="CT59" s="106">
        <f>+HLOOKUP($C59,'NEW CAR'!$CG$2:$CS$250,189,0)</f>
        <v>0</v>
      </c>
      <c r="CU59" s="106">
        <f>+HLOOKUP($C59,'NEW CAR'!$CG$2:$CS$250,190,0)</f>
        <v>3756.9994999999999</v>
      </c>
      <c r="CV59" s="106">
        <f>+HLOOKUP($C59,'NEW CAR'!$CG$2:$CS$250,191,0)</f>
        <v>0</v>
      </c>
      <c r="CW59" s="106">
        <f>+HLOOKUP($C59,'NEW CAR'!$CG$2:$CS$250,193,0)</f>
        <v>5883</v>
      </c>
      <c r="CX59" s="106">
        <f>+HLOOKUP($C59,'NEW CAR'!$CG$2:$CS$250,194,0)</f>
        <v>39.75</v>
      </c>
      <c r="CY59" s="106">
        <f>+HLOOKUP($C59,'NEW CAR'!$CG$2:$CS$250,195,0)</f>
        <v>1375</v>
      </c>
      <c r="CZ59" s="106">
        <f>+HLOOKUP($C59,'NEW CAR'!$CG$2:$CS$250,196,0)</f>
        <v>0</v>
      </c>
      <c r="DA59" s="106">
        <f>+HLOOKUP($C59,'NEW CAR'!$CG$2:$CS$250,197,0)</f>
        <v>24841.640000000003</v>
      </c>
      <c r="DB59" s="106">
        <f>+HLOOKUP($C59,'NEW CAR'!$CG$2:$CS$250,198,0)</f>
        <v>0</v>
      </c>
      <c r="DC59" s="106">
        <f>+HLOOKUP($C59,'NEW CAR'!$CG$2:$CS$250,199,0)</f>
        <v>9838.8850000000002</v>
      </c>
      <c r="DD59" s="106">
        <f>+HLOOKUP($C59,'NEW CAR'!$CG$2:$CS$250,200,0)</f>
        <v>100</v>
      </c>
      <c r="DE59" s="106">
        <f>+HLOOKUP($C59,'NEW CAR'!$CG$2:$CS$250,201,0)</f>
        <v>0</v>
      </c>
      <c r="DF59" s="106">
        <f>+HLOOKUP($C59,'NEW CAR'!$CG$2:$CS$250,202,0)</f>
        <v>1.2880000000000003</v>
      </c>
      <c r="DG59" s="106">
        <f>+HLOOKUP($C59,'NEW CAR'!$CG$2:$CS$250,203,0)</f>
        <v>137.75</v>
      </c>
      <c r="DH59" s="106">
        <f>+HLOOKUP($C59,'NEW CAR'!$CG$2:$CS$250,205,0)</f>
        <v>45540</v>
      </c>
      <c r="DI59" s="106">
        <f>+HLOOKUP($C59,'NEW CAR'!$CG$2:$CS$250,206,0)</f>
        <v>6091.55</v>
      </c>
      <c r="DJ59" s="106">
        <f>+HLOOKUP($C59,'NEW CAR'!$CG$2:$CS$250,207,0)</f>
        <v>406.98749999999973</v>
      </c>
      <c r="DK59" s="106">
        <f>+HLOOKUP($C59,'NEW CAR'!$CG$2:$CS$250,209,0)</f>
        <v>0</v>
      </c>
      <c r="DL59" s="106">
        <f>+HLOOKUP($C59,'NEW CAR'!$CG$2:$CS$250,210,0)</f>
        <v>0</v>
      </c>
      <c r="DM59" s="106">
        <f>+HLOOKUP($C59,'NEW CAR'!$CG$2:$CS$250,211,0)</f>
        <v>111421.5</v>
      </c>
      <c r="DN59" s="106">
        <f>+HLOOKUP($C59,'NEW CAR'!$CG$2:$CS$250,212,0)</f>
        <v>0</v>
      </c>
      <c r="DO59" s="106">
        <f>+HLOOKUP($C59,'NEW CAR'!$CG$2:$CS$250,214,0)</f>
        <v>0</v>
      </c>
      <c r="DP59" s="106">
        <f>+HLOOKUP($C59,'NEW CAR'!$CG$2:$CS$250,215,0)</f>
        <v>2050</v>
      </c>
      <c r="DQ59" s="106">
        <f>+HLOOKUP($C59,'NEW CAR'!$CG$2:$CS$250,219,0)</f>
        <v>0</v>
      </c>
      <c r="DR59" s="106">
        <f>+HLOOKUP($C59,'NEW CAR'!$CG$2:$CS$250,220,0)</f>
        <v>0</v>
      </c>
      <c r="DS59" s="106">
        <f>+HLOOKUP($C59,'NEW CAR'!$CG$2:$CS$250,221,0)</f>
        <v>90396.652000000002</v>
      </c>
      <c r="DT59" s="106">
        <f>+HLOOKUP($C59,'NEW CAR'!$CG$2:$CS$250,223,0)</f>
        <v>11744.737499999999</v>
      </c>
      <c r="DU59" s="106">
        <f>+HLOOKUP($C59,'NEW CAR'!$CG$2:$CS$250,224,0)</f>
        <v>0</v>
      </c>
      <c r="DV59" s="106">
        <f>+HLOOKUP($C59,'NEW CAR'!$CG$2:$CS$250,225,0)</f>
        <v>0</v>
      </c>
      <c r="DW59" s="106">
        <f>+HLOOKUP($C59,'NEW CAR'!$CG$2:$CS$250,227,0)</f>
        <v>0</v>
      </c>
      <c r="DX59" s="106">
        <f>+HLOOKUP($C59,'NEW CAR'!$CG$2:$CS$250,228,0)</f>
        <v>34219.5</v>
      </c>
      <c r="DY59" s="106">
        <f>+HLOOKUP($C59,'NEW CAR'!$CG$2:$CS$250,236,0)</f>
        <v>0</v>
      </c>
      <c r="DZ59" s="106">
        <f>+HLOOKUP($C59,'NEW CAR'!$CG$2:$CS$250,237,0)</f>
        <v>188308.84904999999</v>
      </c>
      <c r="EA59" s="106">
        <f>+HLOOKUP($C59,'NEW CAR'!$CG$2:$CS$250,238,0)</f>
        <v>0</v>
      </c>
      <c r="EB59" s="106">
        <f>+HLOOKUP($C59,'NEW CAR'!$CG$2:$CS$250,240,0)</f>
        <v>444690</v>
      </c>
    </row>
    <row r="60" spans="1:132" hidden="1">
      <c r="A60" t="s">
        <v>271</v>
      </c>
      <c r="B60" t="s">
        <v>270</v>
      </c>
      <c r="C60" s="117">
        <v>45323</v>
      </c>
      <c r="D60" s="106">
        <f>+HLOOKUP(C60,'NEW CAR'!$CG$2:$CS$250,6,0)/3.5%</f>
        <v>55670485.714285709</v>
      </c>
      <c r="E60" s="106">
        <f>+HLOOKUP(C60,'NEW CAR'!$CG$2:$CS$250,5,0)+HLOOKUP(C60,'NEW CAR'!$CG$2:$CS$250,26,0)+HLOOKUP(C60,'NEW CAR'!$CG$2:$CS$250,59,0)</f>
        <v>3416771.5030649998</v>
      </c>
      <c r="G60" s="106">
        <f>+HLOOKUP($C60,'NEW CAR'!$CG$2:$CS$250,76,0)</f>
        <v>11809.08</v>
      </c>
      <c r="H60" s="106">
        <f>+HLOOKUP($C60,'NEW CAR'!$CG$2:$CS$250,77,0)</f>
        <v>266059.63</v>
      </c>
      <c r="I60" s="106">
        <f>+HLOOKUP($C60,'NEW CAR'!$CG$2:$CS$250,78,0)</f>
        <v>0</v>
      </c>
      <c r="J60" s="106">
        <f>+HLOOKUP($C60,'NEW CAR'!$CG$2:$CS$250,79,0)</f>
        <v>187685</v>
      </c>
      <c r="K60" s="106">
        <f>+HLOOKUP($C60,'NEW CAR'!$CG$2:$CS$250,80,0)</f>
        <v>0</v>
      </c>
      <c r="L60" s="106">
        <f>+HLOOKUP($C60,'NEW CAR'!$CG$2:$CS$250,81,0)</f>
        <v>0</v>
      </c>
      <c r="M60" s="106">
        <f>+HLOOKUP($C60,'NEW CAR'!$CG$2:$CS$250,82,0)</f>
        <v>0</v>
      </c>
      <c r="N60" s="106">
        <f>+HLOOKUP($C60,'NEW CAR'!$CG$2:$CS$250,83,0)</f>
        <v>0</v>
      </c>
      <c r="O60" s="106">
        <f>+HLOOKUP($C60,'NEW CAR'!$CG$2:$CS$250,84,0)</f>
        <v>0</v>
      </c>
      <c r="P60" s="106">
        <f>+HLOOKUP($C60,'NEW CAR'!$CG$2:$CS$250,85,0)</f>
        <v>0</v>
      </c>
      <c r="Q60" s="106">
        <f>+HLOOKUP($C60,'NEW CAR'!$CG$2:$CS$250,87,0)</f>
        <v>368137.1</v>
      </c>
      <c r="R60" s="106">
        <f>+HLOOKUP($C60,'NEW CAR'!$CG$2:$CS$250,90,0)</f>
        <v>0</v>
      </c>
      <c r="S60" s="106">
        <f>+HLOOKUP($C60,'NEW CAR'!$CG$2:$CS$250,91,0)</f>
        <v>0</v>
      </c>
      <c r="T60" s="106">
        <f>+HLOOKUP($C60,'NEW CAR'!$CG$2:$CS$250,92,0)</f>
        <v>70432</v>
      </c>
      <c r="U60" s="106">
        <f>+HLOOKUP($C60,'NEW CAR'!$CG$2:$CS$250,93,0)</f>
        <v>3282.5</v>
      </c>
      <c r="V60" s="106">
        <f>+HLOOKUP($C60,'NEW CAR'!$CG$2:$CS$250,94,0)</f>
        <v>0</v>
      </c>
      <c r="W60" s="106">
        <f>+HLOOKUP($C60,'NEW CAR'!$CG$2:$CS$250,95,0)</f>
        <v>0</v>
      </c>
      <c r="X60" s="106">
        <f>+HLOOKUP($C60,'NEW CAR'!$CG$2:$CS$250,96,0)</f>
        <v>77474.69</v>
      </c>
      <c r="Y60" s="106">
        <f>+HLOOKUP($C60,'NEW CAR'!$CG$2:$CS$250,97,0)</f>
        <v>58788.3</v>
      </c>
      <c r="Z60" s="106">
        <f>+HLOOKUP($C60,'NEW CAR'!$CG$2:$CS$250,98,0)</f>
        <v>0</v>
      </c>
      <c r="AA60" s="106">
        <f>+HLOOKUP($C60,'NEW CAR'!$CG$2:$CS$250,99,0)</f>
        <v>0</v>
      </c>
      <c r="AB60" s="106">
        <f>+HLOOKUP($C60,'NEW CAR'!$CG$2:$CS$250,100,0)</f>
        <v>14277.21</v>
      </c>
      <c r="AC60" s="106">
        <f>+HLOOKUP($C60,'NEW CAR'!$CG$2:$CS$250,101,0)</f>
        <v>0</v>
      </c>
      <c r="AD60" s="106">
        <f>+HLOOKUP($C60,'NEW CAR'!$CG$2:$CS$250,104,0)</f>
        <v>0</v>
      </c>
      <c r="AE60" s="106">
        <f>+HLOOKUP($C60,'NEW CAR'!$CG$2:$CS$250,105,0)</f>
        <v>181070.19333333333</v>
      </c>
      <c r="AF60" s="106">
        <f>+HLOOKUP($C60,'NEW CAR'!$CG$2:$CS$250,106,0)</f>
        <v>0</v>
      </c>
      <c r="AG60" s="106">
        <f>+HLOOKUP($C60,'NEW CAR'!$CG$2:$CS$250,107,0)</f>
        <v>110000</v>
      </c>
      <c r="AH60" s="106">
        <f>+HLOOKUP($C60,'NEW CAR'!$CG$2:$CS$250,108,0)</f>
        <v>0</v>
      </c>
      <c r="AI60" s="106">
        <f>+HLOOKUP($C60,'NEW CAR'!$CG$2:$CS$250,109,0)</f>
        <v>94954</v>
      </c>
      <c r="AJ60" s="106">
        <f>+HLOOKUP($C60,'NEW CAR'!$CG$2:$CS$250,110,0)</f>
        <v>0</v>
      </c>
      <c r="AK60" s="106">
        <f>+HLOOKUP($C60,'NEW CAR'!$CG$2:$CS$250,111,0)</f>
        <v>0</v>
      </c>
      <c r="AL60" s="106">
        <f>+HLOOKUP($C60,'NEW CAR'!$CG$2:$CS$250,112,0)</f>
        <v>0</v>
      </c>
      <c r="AM60" s="106">
        <f>+HLOOKUP($C60,'NEW CAR'!$CG$2:$CS$250,116,0)</f>
        <v>480949.25650000008</v>
      </c>
      <c r="AN60" s="106">
        <f>+HLOOKUP($C60,'NEW CAR'!$CG$2:$CS$250,117,0)</f>
        <v>68944.680000000008</v>
      </c>
      <c r="AO60" s="106">
        <f>+HLOOKUP($C60,'NEW CAR'!$CG$2:$CS$250,118,0)</f>
        <v>13192.27</v>
      </c>
      <c r="AP60" s="106">
        <f>+HLOOKUP($C60,'NEW CAR'!$CG$2:$CS$250,119,0)</f>
        <v>161783.25</v>
      </c>
      <c r="AQ60" s="106">
        <f>+HLOOKUP($C60,'NEW CAR'!$CG$2:$CS$250,120,0)</f>
        <v>55009.030000000006</v>
      </c>
      <c r="AR60" s="106">
        <f>+HLOOKUP($C60,'NEW CAR'!$CG$2:$CS$250,121,0)</f>
        <v>26017.210000000003</v>
      </c>
      <c r="AS60" s="106">
        <f>+HLOOKUP($C60,'NEW CAR'!$CG$2:$CS$250,122,0)</f>
        <v>359016.57000000007</v>
      </c>
      <c r="AT60" s="106">
        <f>+HLOOKUP($C60,'NEW CAR'!$CG$2:$CS$250,123,0)</f>
        <v>48881.200000000004</v>
      </c>
      <c r="AU60" s="106">
        <f>+HLOOKUP($C60,'NEW CAR'!$CG$2:$CS$250,124,0)</f>
        <v>3830.5</v>
      </c>
      <c r="AV60" s="106">
        <f>+HLOOKUP($C60,'NEW CAR'!$CG$2:$CS$250,125,0)</f>
        <v>37605</v>
      </c>
      <c r="AW60" s="106">
        <f>+HLOOKUP($C60,'NEW CAR'!$CG$2:$CS$250,126,0)</f>
        <v>31532.461538461539</v>
      </c>
      <c r="AX60" s="106">
        <f>+HLOOKUP($C60,'NEW CAR'!$CG$2:$CS$250,127,0)</f>
        <v>30161.933333333327</v>
      </c>
      <c r="AY60" s="106">
        <f>+HLOOKUP($C60,'NEW CAR'!$CG$2:$CS$250,129,0)</f>
        <v>0</v>
      </c>
      <c r="AZ60" s="106">
        <f>+HLOOKUP($C60,'NEW CAR'!$CG$2:$CS$250,130,0)</f>
        <v>0</v>
      </c>
      <c r="BA60" s="106">
        <f>+HLOOKUP($C60,'NEW CAR'!$CG$2:$CS$250,131,0)</f>
        <v>63783.333333333336</v>
      </c>
      <c r="BB60" s="106">
        <f>+HLOOKUP($C60,'NEW CAR'!$CG$2:$CS$250,133,0)</f>
        <v>0</v>
      </c>
      <c r="BC60" s="106">
        <f>+HLOOKUP($C60,'NEW CAR'!$CG$2:$CS$250,134,0)</f>
        <v>32202.360999999994</v>
      </c>
      <c r="BD60" s="106">
        <f>+HLOOKUP($C60,'NEW CAR'!$CG$2:$CS$250,135,0)</f>
        <v>0</v>
      </c>
      <c r="BE60" s="106">
        <f>+HLOOKUP($C60,'NEW CAR'!$CG$2:$CS$250,136,0)</f>
        <v>0</v>
      </c>
      <c r="BF60" s="106">
        <f>+HLOOKUP($C60,'NEW CAR'!$CG$2:$CS$250,138,0)</f>
        <v>4381.0999999999995</v>
      </c>
      <c r="BG60" s="106">
        <f>+HLOOKUP($C60,'NEW CAR'!$CG$2:$CS$250,139,0)</f>
        <v>15135.215</v>
      </c>
      <c r="BH60" s="106">
        <f>+HLOOKUP($C60,'NEW CAR'!$CG$2:$CS$250,140,0)</f>
        <v>11500</v>
      </c>
      <c r="BI60" s="106">
        <f>+HLOOKUP($C60,'NEW CAR'!$CG$2:$CS$250,141,0)</f>
        <v>0</v>
      </c>
      <c r="BJ60" s="106">
        <f>+HLOOKUP($C60,'NEW CAR'!$CG$2:$CS$250,142,0)</f>
        <v>0</v>
      </c>
      <c r="BK60" s="106">
        <f>+HLOOKUP($C60,'NEW CAR'!$CG$2:$CS$250,143,0)</f>
        <v>21258.125</v>
      </c>
      <c r="BL60" s="106">
        <f>+HLOOKUP($C60,'NEW CAR'!$CG$2:$CS$250,144,0)</f>
        <v>0</v>
      </c>
      <c r="BM60" s="106">
        <f>+HLOOKUP($C60,'NEW CAR'!$CG$2:$CS$250,146,0)</f>
        <v>0</v>
      </c>
      <c r="BN60" s="106">
        <f>+HLOOKUP($C60,'NEW CAR'!$CG$2:$CS$250,147,0)</f>
        <v>24005</v>
      </c>
      <c r="BO60" s="106">
        <f>+HLOOKUP($C60,'NEW CAR'!$CG$2:$CS$250,148,0)</f>
        <v>0</v>
      </c>
      <c r="BP60" s="106">
        <f>+HLOOKUP($C60,'NEW CAR'!$CG$2:$CS$250,150,0)</f>
        <v>29756</v>
      </c>
      <c r="BQ60" s="106">
        <f>+HLOOKUP($C60,'NEW CAR'!$CG$2:$CS$250,151,0)</f>
        <v>2362.5</v>
      </c>
      <c r="BR60" s="106">
        <f>+HLOOKUP($C60,'NEW CAR'!$CG$2:$CS$250,152,0)</f>
        <v>16000</v>
      </c>
      <c r="BS60" s="106">
        <f>+HLOOKUP($C60,'NEW CAR'!$CG$2:$CS$250,153,0)</f>
        <v>750</v>
      </c>
      <c r="BT60" s="106">
        <f>+HLOOKUP($C60,'NEW CAR'!$CG$2:$CS$250,157,0)</f>
        <v>0</v>
      </c>
      <c r="BU60" s="106">
        <f>+HLOOKUP($C60,'NEW CAR'!$CG$2:$CS$250,158,0)</f>
        <v>124.94999999999999</v>
      </c>
      <c r="BV60" s="106">
        <f>+HLOOKUP($C60,'NEW CAR'!$CG$2:$CS$250,159,0)</f>
        <v>6826.165</v>
      </c>
      <c r="BW60" s="106">
        <f>+HLOOKUP($C60,'NEW CAR'!$CG$2:$CS$250,160,0)</f>
        <v>333.5</v>
      </c>
      <c r="BX60" s="106">
        <f>+HLOOKUP($C60,'NEW CAR'!$CG$2:$CS$250,161,0)</f>
        <v>11337.5</v>
      </c>
      <c r="BY60" s="106">
        <f>+HLOOKUP($C60,'NEW CAR'!$CG$2:$CS$250,164,0)</f>
        <v>8820.1579999999994</v>
      </c>
      <c r="BZ60" s="106">
        <f>+HLOOKUP($C60,'NEW CAR'!$CG$2:$CS$250,165,0)</f>
        <v>0</v>
      </c>
      <c r="CA60" s="106">
        <f>+HLOOKUP($C60,'NEW CAR'!$CG$2:$CS$250,166,0)</f>
        <v>0</v>
      </c>
      <c r="CB60" s="106">
        <f>+HLOOKUP($C60,'NEW CAR'!$CG$2:$CS$250,167,0)</f>
        <v>0</v>
      </c>
      <c r="CC60" s="106">
        <f>+HLOOKUP($C60,'NEW CAR'!$CG$2:$CS$250,168,0)</f>
        <v>0</v>
      </c>
      <c r="CD60" s="106">
        <f>+HLOOKUP($C60,'NEW CAR'!$CG$2:$CS$250,169,0)</f>
        <v>0</v>
      </c>
      <c r="CE60" s="106">
        <f>+HLOOKUP($C60,'NEW CAR'!$CG$2:$CS$250,170,0)</f>
        <v>0</v>
      </c>
      <c r="CF60" s="106">
        <f>+HLOOKUP($C60,'NEW CAR'!$CG$2:$CS$250,172,0)</f>
        <v>18000</v>
      </c>
      <c r="CG60" s="106">
        <f>+HLOOKUP($C60,'NEW CAR'!$CG$2:$CS$250,173,0)</f>
        <v>0</v>
      </c>
      <c r="CH60" s="106">
        <f>+HLOOKUP($C60,'NEW CAR'!$CG$2:$CS$250,174,0)</f>
        <v>0</v>
      </c>
      <c r="CI60" s="106">
        <f>+HLOOKUP($C60,'NEW CAR'!$CG$2:$CS$250,175,0)</f>
        <v>0</v>
      </c>
      <c r="CJ60" s="106">
        <f>+HLOOKUP($C60,'NEW CAR'!$CG$2:$CS$250,176,0)</f>
        <v>2502</v>
      </c>
      <c r="CK60" s="106">
        <f>+HLOOKUP($C60,'NEW CAR'!$CG$2:$CS$250,178,0)</f>
        <v>47203.5</v>
      </c>
      <c r="CL60" s="106">
        <f>+HLOOKUP($C60,'NEW CAR'!$CG$2:$CS$250,179,0)</f>
        <v>38818.22</v>
      </c>
      <c r="CM60" s="106">
        <f>+HLOOKUP($C60,'NEW CAR'!$CG$2:$CS$250,180,0)</f>
        <v>8400</v>
      </c>
      <c r="CN60" s="106">
        <f>+HLOOKUP($C60,'NEW CAR'!$CG$2:$CS$250,182,0)</f>
        <v>614.25</v>
      </c>
      <c r="CO60" s="106">
        <f>+HLOOKUP($C60,'NEW CAR'!$CG$2:$CS$250,183,0)</f>
        <v>11225.5</v>
      </c>
      <c r="CP60" s="106">
        <f>+HLOOKUP($C60,'NEW CAR'!$CG$2:$CS$250,184,0)</f>
        <v>0</v>
      </c>
      <c r="CQ60" s="106">
        <f>+HLOOKUP($C60,'NEW CAR'!$CG$2:$CS$250,185,0)</f>
        <v>0</v>
      </c>
      <c r="CR60" s="106">
        <f>+HLOOKUP($C60,'NEW CAR'!$CG$2:$CS$250,187,0)</f>
        <v>3124.999999999995</v>
      </c>
      <c r="CS60" s="106">
        <f>+HLOOKUP($C60,'NEW CAR'!$CG$2:$CS$250,188,0)</f>
        <v>3975</v>
      </c>
      <c r="CT60" s="106">
        <f>+HLOOKUP($C60,'NEW CAR'!$CG$2:$CS$250,189,0)</f>
        <v>0</v>
      </c>
      <c r="CU60" s="106">
        <f>+HLOOKUP($C60,'NEW CAR'!$CG$2:$CS$250,190,0)</f>
        <v>3756.9994999999999</v>
      </c>
      <c r="CV60" s="106">
        <f>+HLOOKUP($C60,'NEW CAR'!$CG$2:$CS$250,191,0)</f>
        <v>0</v>
      </c>
      <c r="CW60" s="106">
        <f>+HLOOKUP($C60,'NEW CAR'!$CG$2:$CS$250,193,0)</f>
        <v>5883</v>
      </c>
      <c r="CX60" s="106">
        <f>+HLOOKUP($C60,'NEW CAR'!$CG$2:$CS$250,194,0)</f>
        <v>39.75</v>
      </c>
      <c r="CY60" s="106">
        <f>+HLOOKUP($C60,'NEW CAR'!$CG$2:$CS$250,195,0)</f>
        <v>1375</v>
      </c>
      <c r="CZ60" s="106">
        <f>+HLOOKUP($C60,'NEW CAR'!$CG$2:$CS$250,196,0)</f>
        <v>0</v>
      </c>
      <c r="DA60" s="106">
        <f>+HLOOKUP($C60,'NEW CAR'!$CG$2:$CS$250,197,0)</f>
        <v>12575.194000000001</v>
      </c>
      <c r="DB60" s="106">
        <f>+HLOOKUP($C60,'NEW CAR'!$CG$2:$CS$250,198,0)</f>
        <v>5909.66</v>
      </c>
      <c r="DC60" s="106">
        <f>+HLOOKUP($C60,'NEW CAR'!$CG$2:$CS$250,199,0)</f>
        <v>475</v>
      </c>
      <c r="DD60" s="106">
        <f>+HLOOKUP($C60,'NEW CAR'!$CG$2:$CS$250,200,0)</f>
        <v>1214</v>
      </c>
      <c r="DE60" s="106">
        <f>+HLOOKUP($C60,'NEW CAR'!$CG$2:$CS$250,201,0)</f>
        <v>0</v>
      </c>
      <c r="DF60" s="106">
        <f>+HLOOKUP($C60,'NEW CAR'!$CG$2:$CS$250,202,0)</f>
        <v>-0.8095</v>
      </c>
      <c r="DG60" s="106">
        <f>+HLOOKUP($C60,'NEW CAR'!$CG$2:$CS$250,203,0)</f>
        <v>168.39500000000001</v>
      </c>
      <c r="DH60" s="106">
        <f>+HLOOKUP($C60,'NEW CAR'!$CG$2:$CS$250,205,0)</f>
        <v>13097.62</v>
      </c>
      <c r="DI60" s="106">
        <f>+HLOOKUP($C60,'NEW CAR'!$CG$2:$CS$250,206,0)</f>
        <v>17179.05</v>
      </c>
      <c r="DJ60" s="106">
        <f>+HLOOKUP($C60,'NEW CAR'!$CG$2:$CS$250,207,0)</f>
        <v>406.94999999999959</v>
      </c>
      <c r="DK60" s="106">
        <f>+HLOOKUP($C60,'NEW CAR'!$CG$2:$CS$250,209,0)</f>
        <v>0</v>
      </c>
      <c r="DL60" s="106">
        <f>+HLOOKUP($C60,'NEW CAR'!$CG$2:$CS$250,210,0)</f>
        <v>0</v>
      </c>
      <c r="DM60" s="106">
        <f>+HLOOKUP($C60,'NEW CAR'!$CG$2:$CS$250,211,0)</f>
        <v>111421.5</v>
      </c>
      <c r="DN60" s="106">
        <f>+HLOOKUP($C60,'NEW CAR'!$CG$2:$CS$250,212,0)</f>
        <v>0</v>
      </c>
      <c r="DO60" s="106">
        <f>+HLOOKUP($C60,'NEW CAR'!$CG$2:$CS$250,214,0)</f>
        <v>0</v>
      </c>
      <c r="DP60" s="106">
        <f>+HLOOKUP($C60,'NEW CAR'!$CG$2:$CS$250,215,0)</f>
        <v>1500</v>
      </c>
      <c r="DQ60" s="106">
        <f>+HLOOKUP($C60,'NEW CAR'!$CG$2:$CS$250,219,0)</f>
        <v>0</v>
      </c>
      <c r="DR60" s="106">
        <f>+HLOOKUP($C60,'NEW CAR'!$CG$2:$CS$250,220,0)</f>
        <v>0</v>
      </c>
      <c r="DS60" s="106">
        <f>+HLOOKUP($C60,'NEW CAR'!$CG$2:$CS$250,221,0)</f>
        <v>21477.756000000001</v>
      </c>
      <c r="DT60" s="106">
        <f>+HLOOKUP($C60,'NEW CAR'!$CG$2:$CS$250,223,0)</f>
        <v>12679.2675</v>
      </c>
      <c r="DU60" s="106">
        <f>+HLOOKUP($C60,'NEW CAR'!$CG$2:$CS$250,224,0)</f>
        <v>0</v>
      </c>
      <c r="DV60" s="106">
        <f>+HLOOKUP($C60,'NEW CAR'!$CG$2:$CS$250,225,0)</f>
        <v>0</v>
      </c>
      <c r="DW60" s="106">
        <f>+HLOOKUP($C60,'NEW CAR'!$CG$2:$CS$250,227,0)</f>
        <v>0</v>
      </c>
      <c r="DX60" s="106">
        <f>+HLOOKUP($C60,'NEW CAR'!$CG$2:$CS$250,228,0)</f>
        <v>20378.399999999998</v>
      </c>
      <c r="DY60" s="106">
        <f>+HLOOKUP($C60,'NEW CAR'!$CG$2:$CS$250,236,0)</f>
        <v>0</v>
      </c>
      <c r="DZ60" s="106">
        <f>+HLOOKUP($C60,'NEW CAR'!$CG$2:$CS$250,237,0)</f>
        <v>184077.97065</v>
      </c>
      <c r="EA60" s="106">
        <f>+HLOOKUP($C60,'NEW CAR'!$CG$2:$CS$250,238,0)</f>
        <v>0</v>
      </c>
      <c r="EB60" s="106">
        <f>+HLOOKUP($C60,'NEW CAR'!$CG$2:$CS$250,240,0)</f>
        <v>444690</v>
      </c>
    </row>
    <row r="61" spans="1:132" hidden="1">
      <c r="A61" t="s">
        <v>271</v>
      </c>
      <c r="B61" t="s">
        <v>270</v>
      </c>
      <c r="C61" s="117">
        <v>45292</v>
      </c>
      <c r="D61" s="106">
        <f>+HLOOKUP(C61,'NEW CAR'!$CG$2:$CS$250,6,0)/3.5%</f>
        <v>24904812.514285713</v>
      </c>
      <c r="E61" s="106">
        <f>+HLOOKUP(C61,'NEW CAR'!$CG$2:$CS$250,5,0)+HLOOKUP(C61,'NEW CAR'!$CG$2:$CS$250,26,0)+HLOOKUP(C61,'NEW CAR'!$CG$2:$CS$250,59,0)</f>
        <v>1319370.7580000001</v>
      </c>
      <c r="G61" s="106">
        <f>+HLOOKUP($C61,'NEW CAR'!$CG$2:$CS$250,76,0)</f>
        <v>4040</v>
      </c>
      <c r="H61" s="106">
        <f>+HLOOKUP($C61,'NEW CAR'!$CG$2:$CS$250,77,0)</f>
        <v>251687.38</v>
      </c>
      <c r="I61" s="106">
        <f>+HLOOKUP($C61,'NEW CAR'!$CG$2:$CS$250,78,0)</f>
        <v>0</v>
      </c>
      <c r="J61" s="106">
        <f>+HLOOKUP($C61,'NEW CAR'!$CG$2:$CS$250,79,0)</f>
        <v>7343.76</v>
      </c>
      <c r="K61" s="106">
        <f>+HLOOKUP($C61,'NEW CAR'!$CG$2:$CS$250,80,0)</f>
        <v>0</v>
      </c>
      <c r="L61" s="106">
        <f>+HLOOKUP($C61,'NEW CAR'!$CG$2:$CS$250,81,0)</f>
        <v>0</v>
      </c>
      <c r="M61" s="106">
        <f>+HLOOKUP($C61,'NEW CAR'!$CG$2:$CS$250,82,0)</f>
        <v>0</v>
      </c>
      <c r="N61" s="106">
        <f>+HLOOKUP($C61,'NEW CAR'!$CG$2:$CS$250,83,0)</f>
        <v>0</v>
      </c>
      <c r="O61" s="106">
        <f>+HLOOKUP($C61,'NEW CAR'!$CG$2:$CS$250,84,0)</f>
        <v>0</v>
      </c>
      <c r="P61" s="106">
        <f>+HLOOKUP($C61,'NEW CAR'!$CG$2:$CS$250,85,0)</f>
        <v>0</v>
      </c>
      <c r="Q61" s="106">
        <f>+HLOOKUP($C61,'NEW CAR'!$CG$2:$CS$250,87,0)</f>
        <v>179414.35</v>
      </c>
      <c r="R61" s="106">
        <f>+HLOOKUP($C61,'NEW CAR'!$CG$2:$CS$250,90,0)</f>
        <v>4200</v>
      </c>
      <c r="S61" s="106">
        <f>+HLOOKUP($C61,'NEW CAR'!$CG$2:$CS$250,91,0)</f>
        <v>0</v>
      </c>
      <c r="T61" s="106">
        <f>+HLOOKUP($C61,'NEW CAR'!$CG$2:$CS$250,92,0)</f>
        <v>129946</v>
      </c>
      <c r="U61" s="106">
        <f>+HLOOKUP($C61,'NEW CAR'!$CG$2:$CS$250,93,0)</f>
        <v>2639</v>
      </c>
      <c r="V61" s="106">
        <f>+HLOOKUP($C61,'NEW CAR'!$CG$2:$CS$250,94,0)</f>
        <v>0</v>
      </c>
      <c r="W61" s="106">
        <f>+HLOOKUP($C61,'NEW CAR'!$CG$2:$CS$250,95,0)</f>
        <v>0</v>
      </c>
      <c r="X61" s="106">
        <f>+HLOOKUP($C61,'NEW CAR'!$CG$2:$CS$250,96,0)</f>
        <v>83638.25</v>
      </c>
      <c r="Y61" s="106">
        <f>+HLOOKUP($C61,'NEW CAR'!$CG$2:$CS$250,97,0)</f>
        <v>37195.65</v>
      </c>
      <c r="Z61" s="106">
        <f>+HLOOKUP($C61,'NEW CAR'!$CG$2:$CS$250,98,0)</f>
        <v>0</v>
      </c>
      <c r="AA61" s="106">
        <f>+HLOOKUP($C61,'NEW CAR'!$CG$2:$CS$250,99,0)</f>
        <v>0</v>
      </c>
      <c r="AB61" s="106">
        <f>+HLOOKUP($C61,'NEW CAR'!$CG$2:$CS$250,100,0)</f>
        <v>3471.8099999999995</v>
      </c>
      <c r="AC61" s="106">
        <f>+HLOOKUP($C61,'NEW CAR'!$CG$2:$CS$250,101,0)</f>
        <v>0</v>
      </c>
      <c r="AD61" s="106">
        <f>+HLOOKUP($C61,'NEW CAR'!$CG$2:$CS$250,104,0)</f>
        <v>6755.53</v>
      </c>
      <c r="AE61" s="106">
        <f>+HLOOKUP($C61,'NEW CAR'!$CG$2:$CS$250,105,0)</f>
        <v>236968.48800000001</v>
      </c>
      <c r="AF61" s="106">
        <f>+HLOOKUP($C61,'NEW CAR'!$CG$2:$CS$250,106,0)</f>
        <v>0</v>
      </c>
      <c r="AG61" s="106">
        <f>+HLOOKUP($C61,'NEW CAR'!$CG$2:$CS$250,107,0)</f>
        <v>179000</v>
      </c>
      <c r="AH61" s="106">
        <f>+HLOOKUP($C61,'NEW CAR'!$CG$2:$CS$250,108,0)</f>
        <v>0</v>
      </c>
      <c r="AI61" s="106">
        <f>+HLOOKUP($C61,'NEW CAR'!$CG$2:$CS$250,109,0)</f>
        <v>147935.27600000001</v>
      </c>
      <c r="AJ61" s="106">
        <f>+HLOOKUP($C61,'NEW CAR'!$CG$2:$CS$250,110,0)</f>
        <v>0</v>
      </c>
      <c r="AK61" s="106">
        <f>+HLOOKUP($C61,'NEW CAR'!$CG$2:$CS$250,111,0)</f>
        <v>0</v>
      </c>
      <c r="AL61" s="106">
        <f>+HLOOKUP($C61,'NEW CAR'!$CG$2:$CS$250,112,0)</f>
        <v>0</v>
      </c>
      <c r="AM61" s="106">
        <f>+HLOOKUP($C61,'NEW CAR'!$CG$2:$CS$250,116,0)</f>
        <v>444872.8179999995</v>
      </c>
      <c r="AN61" s="106">
        <f>+HLOOKUP($C61,'NEW CAR'!$CG$2:$CS$250,117,0)</f>
        <v>61395.667000000009</v>
      </c>
      <c r="AO61" s="106">
        <f>+HLOOKUP($C61,'NEW CAR'!$CG$2:$CS$250,118,0)</f>
        <v>14539.51</v>
      </c>
      <c r="AP61" s="106">
        <f>+HLOOKUP($C61,'NEW CAR'!$CG$2:$CS$250,119,0)</f>
        <v>159968.23650000003</v>
      </c>
      <c r="AQ61" s="106">
        <f>+HLOOKUP($C61,'NEW CAR'!$CG$2:$CS$250,120,0)</f>
        <v>43729.873500000002</v>
      </c>
      <c r="AR61" s="106">
        <f>+HLOOKUP($C61,'NEW CAR'!$CG$2:$CS$250,121,0)</f>
        <v>27446.418000000001</v>
      </c>
      <c r="AS61" s="106">
        <f>+HLOOKUP($C61,'NEW CAR'!$CG$2:$CS$250,122,0)</f>
        <v>373764.59700000001</v>
      </c>
      <c r="AT61" s="106">
        <f>+HLOOKUP($C61,'NEW CAR'!$CG$2:$CS$250,123,0)</f>
        <v>44264.1</v>
      </c>
      <c r="AU61" s="106">
        <f>+HLOOKUP($C61,'NEW CAR'!$CG$2:$CS$250,124,0)</f>
        <v>3830.5</v>
      </c>
      <c r="AV61" s="106">
        <f>+HLOOKUP($C61,'NEW CAR'!$CG$2:$CS$250,125,0)</f>
        <v>37605</v>
      </c>
      <c r="AW61" s="106">
        <f>+HLOOKUP($C61,'NEW CAR'!$CG$2:$CS$250,126,0)</f>
        <v>30915.153846153851</v>
      </c>
      <c r="AX61" s="106">
        <f>+HLOOKUP($C61,'NEW CAR'!$CG$2:$CS$250,127,0)</f>
        <v>29091.933333333327</v>
      </c>
      <c r="AY61" s="106">
        <f>+HLOOKUP($C61,'NEW CAR'!$CG$2:$CS$250,129,0)</f>
        <v>0</v>
      </c>
      <c r="AZ61" s="106">
        <f>+HLOOKUP($C61,'NEW CAR'!$CG$2:$CS$250,130,0)</f>
        <v>0</v>
      </c>
      <c r="BA61" s="106">
        <f>+HLOOKUP($C61,'NEW CAR'!$CG$2:$CS$250,131,0)</f>
        <v>63783.333333333336</v>
      </c>
      <c r="BB61" s="106">
        <f>+HLOOKUP($C61,'NEW CAR'!$CG$2:$CS$250,133,0)</f>
        <v>0</v>
      </c>
      <c r="BC61" s="106">
        <f>+HLOOKUP($C61,'NEW CAR'!$CG$2:$CS$250,134,0)</f>
        <v>0</v>
      </c>
      <c r="BD61" s="106">
        <f>+HLOOKUP($C61,'NEW CAR'!$CG$2:$CS$250,135,0)</f>
        <v>0</v>
      </c>
      <c r="BE61" s="106">
        <f>+HLOOKUP($C61,'NEW CAR'!$CG$2:$CS$250,136,0)</f>
        <v>0</v>
      </c>
      <c r="BF61" s="106">
        <f>+HLOOKUP($C61,'NEW CAR'!$CG$2:$CS$250,138,0)</f>
        <v>4831.0999999999995</v>
      </c>
      <c r="BG61" s="106">
        <f>+HLOOKUP($C61,'NEW CAR'!$CG$2:$CS$250,139,0)</f>
        <v>13038.33</v>
      </c>
      <c r="BH61" s="106">
        <f>+HLOOKUP($C61,'NEW CAR'!$CG$2:$CS$250,140,0)</f>
        <v>11500</v>
      </c>
      <c r="BI61" s="106">
        <f>+HLOOKUP($C61,'NEW CAR'!$CG$2:$CS$250,141,0)</f>
        <v>0</v>
      </c>
      <c r="BJ61" s="106">
        <f>+HLOOKUP($C61,'NEW CAR'!$CG$2:$CS$250,142,0)</f>
        <v>0</v>
      </c>
      <c r="BK61" s="106">
        <f>+HLOOKUP($C61,'NEW CAR'!$CG$2:$CS$250,143,0)</f>
        <v>21258.125</v>
      </c>
      <c r="BL61" s="106">
        <f>+HLOOKUP($C61,'NEW CAR'!$CG$2:$CS$250,144,0)</f>
        <v>2439</v>
      </c>
      <c r="BM61" s="106">
        <f>+HLOOKUP($C61,'NEW CAR'!$CG$2:$CS$250,146,0)</f>
        <v>0</v>
      </c>
      <c r="BN61" s="106">
        <f>+HLOOKUP($C61,'NEW CAR'!$CG$2:$CS$250,147,0)</f>
        <v>28063</v>
      </c>
      <c r="BO61" s="106">
        <f>+HLOOKUP($C61,'NEW CAR'!$CG$2:$CS$250,148,0)</f>
        <v>0</v>
      </c>
      <c r="BP61" s="106">
        <f>+HLOOKUP($C61,'NEW CAR'!$CG$2:$CS$250,150,0)</f>
        <v>29849</v>
      </c>
      <c r="BQ61" s="106">
        <f>+HLOOKUP($C61,'NEW CAR'!$CG$2:$CS$250,151,0)</f>
        <v>2362.5</v>
      </c>
      <c r="BR61" s="106">
        <f>+HLOOKUP($C61,'NEW CAR'!$CG$2:$CS$250,152,0)</f>
        <v>16000</v>
      </c>
      <c r="BS61" s="106">
        <f>+HLOOKUP($C61,'NEW CAR'!$CG$2:$CS$250,153,0)</f>
        <v>750</v>
      </c>
      <c r="BT61" s="106">
        <f>+HLOOKUP($C61,'NEW CAR'!$CG$2:$CS$250,157,0)</f>
        <v>0</v>
      </c>
      <c r="BU61" s="106">
        <f>+HLOOKUP($C61,'NEW CAR'!$CG$2:$CS$250,158,0)</f>
        <v>124.9995</v>
      </c>
      <c r="BV61" s="106">
        <f>+HLOOKUP($C61,'NEW CAR'!$CG$2:$CS$250,159,0)</f>
        <v>250</v>
      </c>
      <c r="BW61" s="106">
        <f>+HLOOKUP($C61,'NEW CAR'!$CG$2:$CS$250,160,0)</f>
        <v>673.61</v>
      </c>
      <c r="BX61" s="106">
        <f>+HLOOKUP($C61,'NEW CAR'!$CG$2:$CS$250,161,0)</f>
        <v>9272.2999999999993</v>
      </c>
      <c r="BY61" s="106">
        <f>+HLOOKUP($C61,'NEW CAR'!$CG$2:$CS$250,164,0)</f>
        <v>4400.3705</v>
      </c>
      <c r="BZ61" s="106">
        <f>+HLOOKUP($C61,'NEW CAR'!$CG$2:$CS$250,165,0)</f>
        <v>0</v>
      </c>
      <c r="CA61" s="106">
        <f>+HLOOKUP($C61,'NEW CAR'!$CG$2:$CS$250,166,0)</f>
        <v>0</v>
      </c>
      <c r="CB61" s="106">
        <f>+HLOOKUP($C61,'NEW CAR'!$CG$2:$CS$250,167,0)</f>
        <v>0</v>
      </c>
      <c r="CC61" s="106">
        <f>+HLOOKUP($C61,'NEW CAR'!$CG$2:$CS$250,168,0)</f>
        <v>0</v>
      </c>
      <c r="CD61" s="106">
        <f>+HLOOKUP($C61,'NEW CAR'!$CG$2:$CS$250,169,0)</f>
        <v>0</v>
      </c>
      <c r="CE61" s="106">
        <f>+HLOOKUP($C61,'NEW CAR'!$CG$2:$CS$250,170,0)</f>
        <v>0</v>
      </c>
      <c r="CF61" s="106">
        <f>+HLOOKUP($C61,'NEW CAR'!$CG$2:$CS$250,172,0)</f>
        <v>18000</v>
      </c>
      <c r="CG61" s="106">
        <f>+HLOOKUP($C61,'NEW CAR'!$CG$2:$CS$250,173,0)</f>
        <v>0</v>
      </c>
      <c r="CH61" s="106">
        <f>+HLOOKUP($C61,'NEW CAR'!$CG$2:$CS$250,174,0)</f>
        <v>0</v>
      </c>
      <c r="CI61" s="106">
        <f>+HLOOKUP($C61,'NEW CAR'!$CG$2:$CS$250,175,0)</f>
        <v>0</v>
      </c>
      <c r="CJ61" s="106">
        <f>+HLOOKUP($C61,'NEW CAR'!$CG$2:$CS$250,176,0)</f>
        <v>2530.3995</v>
      </c>
      <c r="CK61" s="106">
        <f>+HLOOKUP($C61,'NEW CAR'!$CG$2:$CS$250,178,0)</f>
        <v>52397.167000000001</v>
      </c>
      <c r="CL61" s="106">
        <f>+HLOOKUP($C61,'NEW CAR'!$CG$2:$CS$250,179,0)</f>
        <v>4357.8</v>
      </c>
      <c r="CM61" s="106">
        <f>+HLOOKUP($C61,'NEW CAR'!$CG$2:$CS$250,180,0)</f>
        <v>14700</v>
      </c>
      <c r="CN61" s="106">
        <f>+HLOOKUP($C61,'NEW CAR'!$CG$2:$CS$250,182,0)</f>
        <v>614.25</v>
      </c>
      <c r="CO61" s="106">
        <f>+HLOOKUP($C61,'NEW CAR'!$CG$2:$CS$250,183,0)</f>
        <v>11624.995000000001</v>
      </c>
      <c r="CP61" s="106">
        <f>+HLOOKUP($C61,'NEW CAR'!$CG$2:$CS$250,184,0)</f>
        <v>2487.1124999999997</v>
      </c>
      <c r="CQ61" s="106">
        <f>+HLOOKUP($C61,'NEW CAR'!$CG$2:$CS$250,185,0)</f>
        <v>0</v>
      </c>
      <c r="CR61" s="106">
        <f>+HLOOKUP($C61,'NEW CAR'!$CG$2:$CS$250,187,0)</f>
        <v>3124.999999999995</v>
      </c>
      <c r="CS61" s="106">
        <f>+HLOOKUP($C61,'NEW CAR'!$CG$2:$CS$250,188,0)</f>
        <v>3975</v>
      </c>
      <c r="CT61" s="106">
        <f>+HLOOKUP($C61,'NEW CAR'!$CG$2:$CS$250,189,0)</f>
        <v>0</v>
      </c>
      <c r="CU61" s="106">
        <f>+HLOOKUP($C61,'NEW CAR'!$CG$2:$CS$250,190,0)</f>
        <v>1249.9999999999995</v>
      </c>
      <c r="CV61" s="106">
        <f>+HLOOKUP($C61,'NEW CAR'!$CG$2:$CS$250,191,0)</f>
        <v>0</v>
      </c>
      <c r="CW61" s="106">
        <f>+HLOOKUP($C61,'NEW CAR'!$CG$2:$CS$250,193,0)</f>
        <v>5883</v>
      </c>
      <c r="CX61" s="106">
        <f>+HLOOKUP($C61,'NEW CAR'!$CG$2:$CS$250,194,0)</f>
        <v>39.75</v>
      </c>
      <c r="CY61" s="106">
        <f>+HLOOKUP($C61,'NEW CAR'!$CG$2:$CS$250,195,0)</f>
        <v>1375.06</v>
      </c>
      <c r="CZ61" s="106">
        <f>+HLOOKUP($C61,'NEW CAR'!$CG$2:$CS$250,196,0)</f>
        <v>0</v>
      </c>
      <c r="DA61" s="106">
        <f>+HLOOKUP($C61,'NEW CAR'!$CG$2:$CS$250,197,0)</f>
        <v>25479.735000000001</v>
      </c>
      <c r="DB61" s="106">
        <f>+HLOOKUP($C61,'NEW CAR'!$CG$2:$CS$250,198,0)</f>
        <v>2448.1750000000002</v>
      </c>
      <c r="DC61" s="106">
        <f>+HLOOKUP($C61,'NEW CAR'!$CG$2:$CS$250,199,0)</f>
        <v>446.25</v>
      </c>
      <c r="DD61" s="106">
        <f>+HLOOKUP($C61,'NEW CAR'!$CG$2:$CS$250,200,0)</f>
        <v>1360</v>
      </c>
      <c r="DE61" s="106">
        <f>+HLOOKUP($C61,'NEW CAR'!$CG$2:$CS$250,201,0)</f>
        <v>0</v>
      </c>
      <c r="DF61" s="106">
        <f>+HLOOKUP($C61,'NEW CAR'!$CG$2:$CS$250,202,0)</f>
        <v>1.19</v>
      </c>
      <c r="DG61" s="106">
        <f>+HLOOKUP($C61,'NEW CAR'!$CG$2:$CS$250,203,0)</f>
        <v>16.189499999999999</v>
      </c>
      <c r="DH61" s="106">
        <f>+HLOOKUP($C61,'NEW CAR'!$CG$2:$CS$250,205,0)</f>
        <v>19706.419999999998</v>
      </c>
      <c r="DI61" s="106">
        <f>+HLOOKUP($C61,'NEW CAR'!$CG$2:$CS$250,206,0)</f>
        <v>813.64050000000009</v>
      </c>
      <c r="DJ61" s="106">
        <f>+HLOOKUP($C61,'NEW CAR'!$CG$2:$CS$250,207,0)</f>
        <v>800.58049999999355</v>
      </c>
      <c r="DK61" s="106">
        <f>+HLOOKUP($C61,'NEW CAR'!$CG$2:$CS$250,209,0)</f>
        <v>0</v>
      </c>
      <c r="DL61" s="106">
        <f>+HLOOKUP($C61,'NEW CAR'!$CG$2:$CS$250,210,0)</f>
        <v>0</v>
      </c>
      <c r="DM61" s="106">
        <f>+HLOOKUP($C61,'NEW CAR'!$CG$2:$CS$250,211,0)</f>
        <v>111421.5</v>
      </c>
      <c r="DN61" s="106">
        <f>+HLOOKUP($C61,'NEW CAR'!$CG$2:$CS$250,212,0)</f>
        <v>0</v>
      </c>
      <c r="DO61" s="106">
        <f>+HLOOKUP($C61,'NEW CAR'!$CG$2:$CS$250,214,0)</f>
        <v>0</v>
      </c>
      <c r="DP61" s="106">
        <f>+HLOOKUP($C61,'NEW CAR'!$CG$2:$CS$250,215,0)</f>
        <v>2850</v>
      </c>
      <c r="DQ61" s="106">
        <f>+HLOOKUP($C61,'NEW CAR'!$CG$2:$CS$250,219,0)</f>
        <v>0</v>
      </c>
      <c r="DR61" s="106">
        <f>+HLOOKUP($C61,'NEW CAR'!$CG$2:$CS$250,220,0)</f>
        <v>0</v>
      </c>
      <c r="DS61" s="106">
        <f>+HLOOKUP($C61,'NEW CAR'!$CG$2:$CS$250,221,0)</f>
        <v>10368.696</v>
      </c>
      <c r="DT61" s="106">
        <f>+HLOOKUP($C61,'NEW CAR'!$CG$2:$CS$250,223,0)</f>
        <v>13509.538499999999</v>
      </c>
      <c r="DU61" s="106">
        <f>+HLOOKUP($C61,'NEW CAR'!$CG$2:$CS$250,224,0)</f>
        <v>0</v>
      </c>
      <c r="DV61" s="106">
        <f>+HLOOKUP($C61,'NEW CAR'!$CG$2:$CS$250,225,0)</f>
        <v>0</v>
      </c>
      <c r="DW61" s="106">
        <f>+HLOOKUP($C61,'NEW CAR'!$CG$2:$CS$250,227,0)</f>
        <v>0</v>
      </c>
      <c r="DX61" s="106">
        <f>+HLOOKUP($C61,'NEW CAR'!$CG$2:$CS$250,228,0)</f>
        <v>1556.7</v>
      </c>
      <c r="DY61" s="106">
        <f>+HLOOKUP($C61,'NEW CAR'!$CG$2:$CS$250,236,0)</f>
        <v>0</v>
      </c>
      <c r="DZ61" s="106">
        <f>+HLOOKUP($C61,'NEW CAR'!$CG$2:$CS$250,237,0)</f>
        <v>205301.72880000001</v>
      </c>
      <c r="EA61" s="106">
        <f>+HLOOKUP($C61,'NEW CAR'!$CG$2:$CS$250,238,0)</f>
        <v>0</v>
      </c>
      <c r="EB61" s="106">
        <f>+HLOOKUP($C61,'NEW CAR'!$CG$2:$CS$250,240,0)</f>
        <v>444690</v>
      </c>
    </row>
    <row r="62" spans="1:132" hidden="1">
      <c r="A62" t="s">
        <v>271</v>
      </c>
      <c r="B62" t="s">
        <v>270</v>
      </c>
      <c r="C62" s="117">
        <v>45261</v>
      </c>
    </row>
    <row r="63" spans="1:132" hidden="1">
      <c r="A63" t="s">
        <v>271</v>
      </c>
      <c r="B63" t="s">
        <v>270</v>
      </c>
      <c r="C63" s="117">
        <v>45231</v>
      </c>
    </row>
    <row r="64" spans="1:132" hidden="1">
      <c r="A64" t="s">
        <v>271</v>
      </c>
      <c r="B64" t="s">
        <v>270</v>
      </c>
      <c r="C64" s="117">
        <v>45200</v>
      </c>
    </row>
    <row r="65" spans="1:132" hidden="1">
      <c r="A65" t="s">
        <v>271</v>
      </c>
      <c r="B65" t="s">
        <v>270</v>
      </c>
      <c r="C65" s="117">
        <v>45170</v>
      </c>
    </row>
    <row r="66" spans="1:132" hidden="1">
      <c r="A66" t="s">
        <v>271</v>
      </c>
      <c r="B66" t="s">
        <v>270</v>
      </c>
      <c r="C66" s="117">
        <v>45139</v>
      </c>
    </row>
    <row r="67" spans="1:132" hidden="1">
      <c r="A67" t="s">
        <v>271</v>
      </c>
      <c r="B67" t="s">
        <v>270</v>
      </c>
      <c r="C67" s="117">
        <v>45108</v>
      </c>
    </row>
    <row r="68" spans="1:132" hidden="1">
      <c r="A68" t="s">
        <v>271</v>
      </c>
      <c r="B68" t="s">
        <v>270</v>
      </c>
      <c r="C68" s="117">
        <v>45078</v>
      </c>
    </row>
    <row r="69" spans="1:132" hidden="1">
      <c r="A69" t="s">
        <v>271</v>
      </c>
      <c r="B69" t="s">
        <v>270</v>
      </c>
      <c r="C69" s="117">
        <v>45047</v>
      </c>
    </row>
    <row r="70" spans="1:132" hidden="1">
      <c r="A70" t="s">
        <v>271</v>
      </c>
      <c r="B70" t="s">
        <v>270</v>
      </c>
      <c r="C70" s="117">
        <v>45017</v>
      </c>
    </row>
    <row r="71" spans="1:132" hidden="1">
      <c r="A71" t="s">
        <v>271</v>
      </c>
      <c r="B71" t="s">
        <v>270</v>
      </c>
      <c r="C71" s="117">
        <v>44986</v>
      </c>
    </row>
    <row r="72" spans="1:132" hidden="1">
      <c r="A72" t="s">
        <v>271</v>
      </c>
      <c r="B72" t="s">
        <v>270</v>
      </c>
      <c r="C72" s="117">
        <v>44958</v>
      </c>
    </row>
    <row r="73" spans="1:132" hidden="1">
      <c r="A73" t="s">
        <v>271</v>
      </c>
      <c r="B73" t="s">
        <v>270</v>
      </c>
      <c r="C73" s="117">
        <v>44927</v>
      </c>
    </row>
    <row r="74" spans="1:132">
      <c r="A74" t="s">
        <v>269</v>
      </c>
      <c r="B74" t="s">
        <v>217</v>
      </c>
      <c r="C74" s="117">
        <v>45992</v>
      </c>
      <c r="D74" s="106">
        <f>+E74</f>
        <v>0</v>
      </c>
      <c r="E74" s="106">
        <f>+HLOOKUP(C74,PMGR!$BE$2:$BQ$250,28,0)+HLOOKUP(C74,PMGR!$BE$2:$BQ$250,43,0)+HLOOKUP(C74,PMGR!$BE$2:$BQ$250,44,0)+HLOOKUP(C74,PMGR!$BE$2:$BQ$250,45,0)+HLOOKUP(C74,PMGR!$BE$2:$BQ$250,54,0)+HLOOKUP(C74,PMGR!$BE$2:$BQ$250,59,0)</f>
        <v>0</v>
      </c>
      <c r="F74" s="106">
        <f>+HLOOKUP(C74,PMGR!$BE$2:$BQ$250,37,0)+HLOOKUP(C74,PMGR!$BE$2:$BQ$250,55,0)</f>
        <v>0</v>
      </c>
      <c r="G74" s="106">
        <f>+HLOOKUP($C74,PMGR!$BE$2:$BQ$250,76,0)</f>
        <v>0</v>
      </c>
      <c r="H74" s="106">
        <f>+HLOOKUP($C74,PMGR!$BE$2:$BQ$250,77,0)</f>
        <v>0</v>
      </c>
      <c r="I74" s="106">
        <f>+HLOOKUP($C74,PMGR!$BE$2:$BQ$250,78,0)</f>
        <v>0</v>
      </c>
      <c r="J74" s="106">
        <f>+HLOOKUP($C74,PMGR!$BE$2:$BQ$250,79,0)</f>
        <v>0</v>
      </c>
      <c r="K74" s="106">
        <f>+HLOOKUP($C74,PMGR!$BE$2:$BQ$250,80,0)</f>
        <v>0</v>
      </c>
      <c r="L74" s="106">
        <f>+HLOOKUP($C74,PMGR!$BE$2:$BQ$250,81,0)</f>
        <v>0</v>
      </c>
      <c r="M74" s="106">
        <f>+HLOOKUP($C74,PMGR!$BE$2:$BQ$250,82,0)</f>
        <v>0</v>
      </c>
      <c r="N74" s="106">
        <f>+HLOOKUP($C74,PMGR!$BE$2:$BQ$250,83,0)</f>
        <v>0</v>
      </c>
      <c r="O74" s="106">
        <f>+HLOOKUP($C74,PMGR!$BE$2:$BQ$250,84,0)</f>
        <v>0</v>
      </c>
      <c r="P74" s="106">
        <f>+HLOOKUP($C74,PMGR!$BE$2:$BQ$250,85,0)</f>
        <v>0</v>
      </c>
      <c r="Q74" s="106">
        <f>+HLOOKUP($C74,PMGR!$BE$2:$BQ$250,87,0)</f>
        <v>0</v>
      </c>
      <c r="R74" s="106">
        <f>+HLOOKUP($C74,PMGR!$BE$2:$BQ$250,90,0)</f>
        <v>0</v>
      </c>
      <c r="S74" s="106">
        <f>+HLOOKUP($C74,PMGR!$BE$2:$BQ$250,91,0)</f>
        <v>0</v>
      </c>
      <c r="T74" s="106">
        <f>+HLOOKUP($C74,PMGR!$BE$2:$BQ$250,92,0)</f>
        <v>0</v>
      </c>
      <c r="U74" s="106">
        <f>+HLOOKUP($C74,PMGR!$BE$2:$BQ$250,93,0)</f>
        <v>0</v>
      </c>
      <c r="V74" s="106">
        <f>+HLOOKUP($C74,PMGR!$BE$2:$BQ$250,94,0)</f>
        <v>0</v>
      </c>
      <c r="W74" s="106">
        <f>+HLOOKUP($C74,PMGR!$BE$2:$BQ$250,95,0)</f>
        <v>0</v>
      </c>
      <c r="X74" s="106">
        <f>+HLOOKUP($C74,PMGR!$BE$2:$BQ$250,96,0)</f>
        <v>0</v>
      </c>
      <c r="Y74" s="106">
        <f>+HLOOKUP($C74,PMGR!$BE$2:$BQ$250,97,0)</f>
        <v>0</v>
      </c>
      <c r="Z74" s="106">
        <f>+HLOOKUP($C74,PMGR!$BE$2:$BQ$250,98,0)</f>
        <v>0</v>
      </c>
      <c r="AA74" s="106">
        <f>+HLOOKUP($C74,PMGR!$BE$2:$BQ$250,99,0)</f>
        <v>0</v>
      </c>
      <c r="AB74" s="106">
        <f>+HLOOKUP($C74,PMGR!$BE$2:$BQ$250,100,0)</f>
        <v>0</v>
      </c>
      <c r="AC74" s="106">
        <f>+HLOOKUP($C74,PMGR!$BE$2:$BQ$250,101,0)</f>
        <v>0</v>
      </c>
      <c r="AD74" s="106">
        <f>+HLOOKUP($C74,PMGR!$BE$2:$BQ$250,104,0)</f>
        <v>0</v>
      </c>
      <c r="AE74" s="106">
        <f>+HLOOKUP($C74,PMGR!$BE$2:$BQ$250,105,0)</f>
        <v>0</v>
      </c>
      <c r="AF74" s="106">
        <f>+HLOOKUP($C74,PMGR!$BE$2:$BQ$250,106,0)</f>
        <v>0</v>
      </c>
      <c r="AG74" s="106">
        <f>+HLOOKUP($C74,PMGR!$BE$2:$BQ$250,107,0)</f>
        <v>0</v>
      </c>
      <c r="AH74" s="106">
        <f>+HLOOKUP($C74,PMGR!$BE$2:$BQ$250,108,0)</f>
        <v>0</v>
      </c>
      <c r="AI74" s="106">
        <f>+HLOOKUP($C74,PMGR!$BE$2:$BQ$250,109,0)</f>
        <v>0</v>
      </c>
      <c r="AJ74" s="106">
        <f>+HLOOKUP($C74,PMGR!$BE$2:$BQ$250,110,0)</f>
        <v>0</v>
      </c>
      <c r="AK74" s="106">
        <f>+HLOOKUP($C74,PMGR!$BE$2:$BQ$250,111,0)</f>
        <v>0</v>
      </c>
      <c r="AL74" s="106">
        <f>+HLOOKUP($C74,PMGR!$BE$2:$BQ$250,112,0)</f>
        <v>0</v>
      </c>
      <c r="AM74" s="106">
        <f>+HLOOKUP($C74,PMGR!$BE$2:$BQ$250,116,0)</f>
        <v>0</v>
      </c>
      <c r="AN74" s="106">
        <f>+HLOOKUP($C74,PMGR!$BE$2:$BQ$250,117,0)</f>
        <v>0</v>
      </c>
      <c r="AO74" s="106">
        <f>+HLOOKUP($C74,PMGR!$BE$2:$BQ$250,118,0)</f>
        <v>0</v>
      </c>
      <c r="AP74" s="106">
        <f>+HLOOKUP($C74,PMGR!$BE$2:$BQ$250,119,0)</f>
        <v>0</v>
      </c>
      <c r="AQ74" s="106">
        <f>+HLOOKUP($C74,PMGR!$BE$2:$BQ$250,120,0)</f>
        <v>0</v>
      </c>
      <c r="AR74" s="106">
        <f>+HLOOKUP($C74,PMGR!$BE$2:$BQ$250,121,0)</f>
        <v>0</v>
      </c>
      <c r="AS74" s="106">
        <f>+HLOOKUP($C74,PMGR!$BE$2:$BQ$250,122,0)</f>
        <v>0</v>
      </c>
      <c r="AT74" s="106">
        <f>+HLOOKUP($C74,PMGR!$BE$2:$BQ$250,123,0)</f>
        <v>0</v>
      </c>
      <c r="AU74" s="106">
        <f>+HLOOKUP($C74,PMGR!$BE$2:$BQ$250,124,0)</f>
        <v>0</v>
      </c>
      <c r="AV74" s="106">
        <f>+HLOOKUP($C74,PMGR!$BE$2:$BQ$250,125,0)</f>
        <v>0</v>
      </c>
      <c r="AW74" s="106">
        <f>+HLOOKUP($C74,PMGR!$BE$2:$BQ$250,126,0)</f>
        <v>0</v>
      </c>
      <c r="AX74" s="106">
        <f>+HLOOKUP($C74,PMGR!$BE$2:$BQ$250,127,0)</f>
        <v>0</v>
      </c>
      <c r="AY74" s="106">
        <f>+HLOOKUP($C74,PMGR!$BE$2:$BQ$250,129,0)</f>
        <v>0</v>
      </c>
      <c r="AZ74" s="106">
        <f>+HLOOKUP($C74,PMGR!$BE$2:$BQ$250,130,0)</f>
        <v>0</v>
      </c>
      <c r="BA74" s="106">
        <f>+HLOOKUP($C74,PMGR!$BE$2:$BQ$250,131,0)</f>
        <v>0</v>
      </c>
      <c r="BB74" s="106">
        <f>+HLOOKUP($C74,PMGR!$BE$2:$BQ$250,133,0)</f>
        <v>0</v>
      </c>
      <c r="BC74" s="106">
        <f>+HLOOKUP($C74,PMGR!$BE$2:$BQ$250,134,0)</f>
        <v>0</v>
      </c>
      <c r="BD74" s="106">
        <f>+HLOOKUP($C74,PMGR!$BE$2:$BQ$250,135,0)</f>
        <v>0</v>
      </c>
      <c r="BE74" s="106">
        <f>+HLOOKUP($C74,PMGR!$BE$2:$BQ$250,136,0)</f>
        <v>0</v>
      </c>
      <c r="BF74" s="106">
        <f>+HLOOKUP($C74,PMGR!$BE$2:$BQ$250,138,0)</f>
        <v>0</v>
      </c>
      <c r="BG74" s="106">
        <f>+HLOOKUP($C74,PMGR!$BE$2:$BQ$250,139,0)</f>
        <v>0</v>
      </c>
      <c r="BH74" s="106">
        <f>+HLOOKUP($C74,PMGR!$BE$2:$BQ$250,140,0)</f>
        <v>0</v>
      </c>
      <c r="BI74" s="106">
        <f>+HLOOKUP($C74,PMGR!$BE$2:$BQ$250,141,0)</f>
        <v>0</v>
      </c>
      <c r="BJ74" s="106">
        <f>+HLOOKUP($C74,PMGR!$BE$2:$BQ$250,142,0)</f>
        <v>0</v>
      </c>
      <c r="BK74" s="106">
        <f>+HLOOKUP($C74,PMGR!$BE$2:$BQ$250,143,0)</f>
        <v>0</v>
      </c>
      <c r="BL74" s="106">
        <f>+HLOOKUP($C74,PMGR!$BE$2:$BQ$250,144,0)</f>
        <v>0</v>
      </c>
      <c r="BM74" s="106">
        <f>+HLOOKUP($C74,PMGR!$BE$2:$BQ$250,146,0)</f>
        <v>0</v>
      </c>
      <c r="BN74" s="106">
        <f>+HLOOKUP($C74,PMGR!$BE$2:$BQ$250,147,0)</f>
        <v>0</v>
      </c>
      <c r="BO74" s="106">
        <f>+HLOOKUP($C74,PMGR!$BE$2:$BQ$250,148,0)</f>
        <v>0</v>
      </c>
      <c r="BP74" s="106">
        <f>+HLOOKUP($C74,PMGR!$BE$2:$BQ$250,150,0)</f>
        <v>0</v>
      </c>
      <c r="BQ74" s="106">
        <f>+HLOOKUP($C74,PMGR!$BE$2:$BQ$250,151,0)</f>
        <v>0</v>
      </c>
      <c r="BR74" s="106">
        <f>+HLOOKUP($C74,PMGR!$BE$2:$BQ$250,152,0)</f>
        <v>0</v>
      </c>
      <c r="BS74" s="106">
        <f>+HLOOKUP($C74,PMGR!$BE$2:$BQ$250,153,0)</f>
        <v>0</v>
      </c>
      <c r="BT74" s="106">
        <f>+HLOOKUP($C74,PMGR!$BE$2:$BQ$250,157,0)</f>
        <v>0</v>
      </c>
      <c r="BU74" s="106">
        <f>+HLOOKUP($C74,PMGR!$BE$2:$BQ$250,158,0)</f>
        <v>0</v>
      </c>
      <c r="BV74" s="106">
        <f>+HLOOKUP($C74,PMGR!$BE$2:$BQ$250,159,0)</f>
        <v>0</v>
      </c>
      <c r="BW74" s="106">
        <f>+HLOOKUP($C74,PMGR!$BE$2:$BQ$250,160,0)</f>
        <v>0</v>
      </c>
      <c r="BX74" s="106">
        <f>+HLOOKUP($C74,PMGR!$BE$2:$BQ$250,161,0)</f>
        <v>0</v>
      </c>
      <c r="BY74" s="106">
        <f>+HLOOKUP($C74,PMGR!$BE$2:$BQ$250,164,0)</f>
        <v>0</v>
      </c>
      <c r="BZ74" s="106">
        <f>+HLOOKUP($C74,PMGR!$BE$2:$BQ$250,165,0)</f>
        <v>0</v>
      </c>
      <c r="CA74" s="106">
        <f>+HLOOKUP($C74,PMGR!$BE$2:$BQ$250,166,0)</f>
        <v>0</v>
      </c>
      <c r="CB74" s="106">
        <f>+HLOOKUP($C74,PMGR!$BE$2:$BQ$250,167,0)</f>
        <v>0</v>
      </c>
      <c r="CC74" s="106">
        <f>+HLOOKUP($C74,PMGR!$BE$2:$BQ$250,168,0)</f>
        <v>0</v>
      </c>
      <c r="CD74" s="106">
        <f>+HLOOKUP($C74,PMGR!$BE$2:$BQ$250,169,0)</f>
        <v>0</v>
      </c>
      <c r="CE74" s="106">
        <f>+HLOOKUP($C74,PMGR!$BE$2:$BQ$250,170,0)</f>
        <v>0</v>
      </c>
      <c r="CF74" s="106">
        <f>+HLOOKUP($C74,PMGR!$BE$2:$BQ$250,172,0)</f>
        <v>0</v>
      </c>
      <c r="CG74" s="106">
        <f>+HLOOKUP($C74,PMGR!$BE$2:$BQ$250,173,0)</f>
        <v>0</v>
      </c>
      <c r="CH74" s="106">
        <f>+HLOOKUP($C74,PMGR!$BE$2:$BQ$250,174,0)</f>
        <v>0</v>
      </c>
      <c r="CI74" s="106">
        <f>+HLOOKUP($C74,PMGR!$BE$2:$BQ$250,175,0)</f>
        <v>0</v>
      </c>
      <c r="CJ74" s="106">
        <f>+HLOOKUP($C74,PMGR!$BE$2:$BQ$250,176,0)</f>
        <v>0</v>
      </c>
      <c r="CK74" s="106">
        <f>+HLOOKUP($C74,PMGR!$BE$2:$BQ$250,178,0)</f>
        <v>0</v>
      </c>
      <c r="CL74" s="106">
        <f>+HLOOKUP($C74,PMGR!$BE$2:$BQ$250,179,0)</f>
        <v>0</v>
      </c>
      <c r="CM74" s="106">
        <f>+HLOOKUP($C74,PMGR!$BE$2:$BQ$250,180,0)</f>
        <v>0</v>
      </c>
      <c r="CN74" s="106">
        <f>+HLOOKUP($C74,PMGR!$BE$2:$BQ$250,182,0)</f>
        <v>0</v>
      </c>
      <c r="CO74" s="106">
        <f>+HLOOKUP($C74,PMGR!$BE$2:$BQ$250,183,0)</f>
        <v>0</v>
      </c>
      <c r="CP74" s="106">
        <f>+HLOOKUP($C74,PMGR!$BE$2:$BQ$250,184,0)</f>
        <v>0</v>
      </c>
      <c r="CQ74" s="106">
        <f>+HLOOKUP($C74,PMGR!$BE$2:$BQ$250,185,0)</f>
        <v>0</v>
      </c>
      <c r="CR74" s="106">
        <f>+HLOOKUP($C74,PMGR!$BE$2:$BQ$250,187,0)</f>
        <v>0</v>
      </c>
      <c r="CS74" s="106">
        <f>+HLOOKUP($C74,PMGR!$BE$2:$BQ$250,188,0)</f>
        <v>0</v>
      </c>
      <c r="CT74" s="106">
        <f>+HLOOKUP($C74,PMGR!$BE$2:$BQ$250,189,0)</f>
        <v>0</v>
      </c>
      <c r="CU74" s="106">
        <f>+HLOOKUP($C74,PMGR!$BE$2:$BQ$250,190,0)</f>
        <v>0</v>
      </c>
      <c r="CV74" s="106">
        <f>+HLOOKUP($C74,PMGR!$BE$2:$BQ$250,191,0)</f>
        <v>0</v>
      </c>
      <c r="CW74" s="106">
        <f>+HLOOKUP($C74,PMGR!$BE$2:$BQ$250,193,0)</f>
        <v>0</v>
      </c>
      <c r="CX74" s="106">
        <f>+HLOOKUP($C74,PMGR!$BE$2:$BQ$250,194,0)</f>
        <v>0</v>
      </c>
      <c r="CY74" s="106">
        <f>+HLOOKUP($C74,PMGR!$BE$2:$BQ$250,195,0)</f>
        <v>0</v>
      </c>
      <c r="CZ74" s="106">
        <f>+HLOOKUP($C74,PMGR!$BE$2:$BQ$250,196,0)</f>
        <v>0</v>
      </c>
      <c r="DA74" s="106">
        <f>+HLOOKUP($C74,PMGR!$BE$2:$BQ$250,197,0)</f>
        <v>0</v>
      </c>
      <c r="DB74" s="106">
        <f>+HLOOKUP($C74,PMGR!$BE$2:$BQ$250,198,0)</f>
        <v>0</v>
      </c>
      <c r="DC74" s="106">
        <f>+HLOOKUP($C74,PMGR!$BE$2:$BQ$250,199,0)</f>
        <v>0</v>
      </c>
      <c r="DD74" s="106">
        <f>+HLOOKUP($C74,PMGR!$BE$2:$BQ$250,200,0)</f>
        <v>0</v>
      </c>
      <c r="DE74" s="106">
        <f>+HLOOKUP($C74,PMGR!$BE$2:$BQ$250,201,0)</f>
        <v>0</v>
      </c>
      <c r="DF74" s="106">
        <f>+HLOOKUP($C74,PMGR!$BE$2:$BQ$250,202,0)</f>
        <v>0</v>
      </c>
      <c r="DG74" s="106">
        <f>+HLOOKUP($C74,PMGR!$BE$2:$BQ$250,203,0)</f>
        <v>0</v>
      </c>
      <c r="DH74" s="106">
        <f>+HLOOKUP($C74,PMGR!$BE$2:$BQ$250,205,0)</f>
        <v>0</v>
      </c>
      <c r="DI74" s="106">
        <f>+HLOOKUP($C74,PMGR!$BE$2:$BQ$250,206,0)</f>
        <v>0</v>
      </c>
      <c r="DJ74" s="106">
        <f>+HLOOKUP($C74,PMGR!$BE$2:$BQ$250,207,0)</f>
        <v>0</v>
      </c>
      <c r="DK74" s="106">
        <f>+HLOOKUP($C74,PMGR!$BE$2:$BQ$250,209,0)</f>
        <v>0</v>
      </c>
      <c r="DL74" s="106">
        <f>+HLOOKUP($C74,PMGR!$BE$2:$BQ$250,210,0)</f>
        <v>0</v>
      </c>
      <c r="DM74" s="106">
        <f>+HLOOKUP($C74,PMGR!$BE$2:$BQ$250,211,0)</f>
        <v>0</v>
      </c>
      <c r="DN74" s="106">
        <f>+HLOOKUP($C74,PMGR!$BE$2:$BQ$250,212,0)</f>
        <v>0</v>
      </c>
      <c r="DO74" s="106">
        <f>+HLOOKUP($C74,PMGR!$BE$2:$BQ$250,214,0)</f>
        <v>0</v>
      </c>
      <c r="DP74" s="106">
        <f>+HLOOKUP($C74,PMGR!$BE$2:$BQ$250,215,0)</f>
        <v>0</v>
      </c>
      <c r="DQ74" s="106">
        <f>+HLOOKUP($C74,PMGR!$BE$2:$BQ$250,219,0)</f>
        <v>0</v>
      </c>
      <c r="DR74" s="106">
        <f>+HLOOKUP($C74,PMGR!$BE$2:$BQ$250,220,0)</f>
        <v>0</v>
      </c>
      <c r="DS74" s="106">
        <f>+HLOOKUP($C74,PMGR!$BE$2:$BQ$250,221,0)</f>
        <v>0</v>
      </c>
      <c r="DT74" s="106">
        <f>+HLOOKUP($C74,PMGR!$BE$2:$BQ$250,223,0)</f>
        <v>0</v>
      </c>
      <c r="DU74" s="106">
        <f>+HLOOKUP($C74,PMGR!$BE$2:$BQ$250,224,0)</f>
        <v>0</v>
      </c>
      <c r="DV74" s="106">
        <f>+HLOOKUP($C74,PMGR!$BE$2:$BQ$250,225,0)</f>
        <v>0</v>
      </c>
      <c r="DW74" s="106">
        <f>+HLOOKUP($C74,PMGR!$BE$2:$BQ$250,227,0)</f>
        <v>0</v>
      </c>
      <c r="DX74" s="106">
        <f>+HLOOKUP($C74,PMGR!$BE$2:$BQ$250,228,0)</f>
        <v>0</v>
      </c>
      <c r="DY74" s="106">
        <f>+HLOOKUP($C74,PMGR!$BE$2:$BQ$250,236,0)</f>
        <v>0</v>
      </c>
      <c r="DZ74" s="106">
        <f>+HLOOKUP($C74,PMGR!$BE$2:$BQ$250,237,0)</f>
        <v>0</v>
      </c>
      <c r="EA74" s="106">
        <f>+HLOOKUP($C74,PMGR!$BE$2:$BQ$250,238,0)</f>
        <v>0</v>
      </c>
      <c r="EB74" s="106">
        <f>+HLOOKUP($C74,PMGR!$BE$2:$BQ$250,240,0)</f>
        <v>0</v>
      </c>
    </row>
    <row r="75" spans="1:132">
      <c r="A75" t="s">
        <v>269</v>
      </c>
      <c r="B75" t="s">
        <v>217</v>
      </c>
      <c r="C75" s="117">
        <v>45962</v>
      </c>
      <c r="D75" s="106">
        <f t="shared" ref="D75:D157" si="0">+E75</f>
        <v>0</v>
      </c>
      <c r="E75" s="106">
        <f>+HLOOKUP(C75,PMGR!$BE$2:$BQ$250,28,0)+HLOOKUP(C75,PMGR!$BE$2:$BQ$250,43,0)+HLOOKUP(C75,PMGR!$BE$2:$BQ$250,44,0)+HLOOKUP(C75,PMGR!$BE$2:$BQ$250,45,0)+HLOOKUP(C75,PMGR!$BE$2:$BQ$250,54,0)+HLOOKUP(C75,PMGR!$BE$2:$BQ$250,59,0)</f>
        <v>0</v>
      </c>
      <c r="F75" s="106">
        <f>+HLOOKUP(C75,PMGR!$BE$2:$BQ$250,37,0)+HLOOKUP(C75,PMGR!$BE$2:$BQ$250,55,0)</f>
        <v>0</v>
      </c>
      <c r="G75" s="106">
        <f>+HLOOKUP($C75,PMGR!$BE$2:$BQ$250,76,0)</f>
        <v>0</v>
      </c>
      <c r="H75" s="106">
        <f>+HLOOKUP($C75,PMGR!$BE$2:$BQ$250,77,0)</f>
        <v>0</v>
      </c>
      <c r="I75" s="106">
        <f>+HLOOKUP($C75,PMGR!$BE$2:$BQ$250,78,0)</f>
        <v>0</v>
      </c>
      <c r="J75" s="106">
        <f>+HLOOKUP($C75,PMGR!$BE$2:$BQ$250,79,0)</f>
        <v>0</v>
      </c>
      <c r="K75" s="106">
        <f>+HLOOKUP($C75,PMGR!$BE$2:$BQ$250,80,0)</f>
        <v>0</v>
      </c>
      <c r="L75" s="106">
        <f>+HLOOKUP($C75,PMGR!$BE$2:$BQ$250,81,0)</f>
        <v>0</v>
      </c>
      <c r="M75" s="106">
        <f>+HLOOKUP($C75,PMGR!$BE$2:$BQ$250,82,0)</f>
        <v>0</v>
      </c>
      <c r="N75" s="106">
        <f>+HLOOKUP($C75,PMGR!$BE$2:$BQ$250,83,0)</f>
        <v>0</v>
      </c>
      <c r="O75" s="106">
        <f>+HLOOKUP($C75,PMGR!$BE$2:$BQ$250,84,0)</f>
        <v>0</v>
      </c>
      <c r="P75" s="106">
        <f>+HLOOKUP($C75,PMGR!$BE$2:$BQ$250,85,0)</f>
        <v>0</v>
      </c>
      <c r="Q75" s="106">
        <f>+HLOOKUP($C75,PMGR!$BE$2:$BQ$250,87,0)</f>
        <v>0</v>
      </c>
      <c r="R75" s="106">
        <f>+HLOOKUP($C75,PMGR!$BE$2:$BQ$250,90,0)</f>
        <v>0</v>
      </c>
      <c r="S75" s="106">
        <f>+HLOOKUP($C75,PMGR!$BE$2:$BQ$250,91,0)</f>
        <v>0</v>
      </c>
      <c r="T75" s="106">
        <f>+HLOOKUP($C75,PMGR!$BE$2:$BQ$250,92,0)</f>
        <v>0</v>
      </c>
      <c r="U75" s="106">
        <f>+HLOOKUP($C75,PMGR!$BE$2:$BQ$250,93,0)</f>
        <v>0</v>
      </c>
      <c r="V75" s="106">
        <f>+HLOOKUP($C75,PMGR!$BE$2:$BQ$250,94,0)</f>
        <v>0</v>
      </c>
      <c r="W75" s="106">
        <f>+HLOOKUP($C75,PMGR!$BE$2:$BQ$250,95,0)</f>
        <v>0</v>
      </c>
      <c r="X75" s="106">
        <f>+HLOOKUP($C75,PMGR!$BE$2:$BQ$250,96,0)</f>
        <v>0</v>
      </c>
      <c r="Y75" s="106">
        <f>+HLOOKUP($C75,PMGR!$BE$2:$BQ$250,97,0)</f>
        <v>0</v>
      </c>
      <c r="Z75" s="106">
        <f>+HLOOKUP($C75,PMGR!$BE$2:$BQ$250,98,0)</f>
        <v>0</v>
      </c>
      <c r="AA75" s="106">
        <f>+HLOOKUP($C75,PMGR!$BE$2:$BQ$250,99,0)</f>
        <v>0</v>
      </c>
      <c r="AB75" s="106">
        <f>+HLOOKUP($C75,PMGR!$BE$2:$BQ$250,100,0)</f>
        <v>0</v>
      </c>
      <c r="AC75" s="106">
        <f>+HLOOKUP($C75,PMGR!$BE$2:$BQ$250,101,0)</f>
        <v>0</v>
      </c>
      <c r="AD75" s="106">
        <f>+HLOOKUP($C75,PMGR!$BE$2:$BQ$250,104,0)</f>
        <v>0</v>
      </c>
      <c r="AE75" s="106">
        <f>+HLOOKUP($C75,PMGR!$BE$2:$BQ$250,105,0)</f>
        <v>0</v>
      </c>
      <c r="AF75" s="106">
        <f>+HLOOKUP($C75,PMGR!$BE$2:$BQ$250,106,0)</f>
        <v>0</v>
      </c>
      <c r="AG75" s="106">
        <f>+HLOOKUP($C75,PMGR!$BE$2:$BQ$250,107,0)</f>
        <v>0</v>
      </c>
      <c r="AH75" s="106">
        <f>+HLOOKUP($C75,PMGR!$BE$2:$BQ$250,108,0)</f>
        <v>0</v>
      </c>
      <c r="AI75" s="106">
        <f>+HLOOKUP($C75,PMGR!$BE$2:$BQ$250,109,0)</f>
        <v>0</v>
      </c>
      <c r="AJ75" s="106">
        <f>+HLOOKUP($C75,PMGR!$BE$2:$BQ$250,110,0)</f>
        <v>0</v>
      </c>
      <c r="AK75" s="106">
        <f>+HLOOKUP($C75,PMGR!$BE$2:$BQ$250,111,0)</f>
        <v>0</v>
      </c>
      <c r="AL75" s="106">
        <f>+HLOOKUP($C75,PMGR!$BE$2:$BQ$250,112,0)</f>
        <v>0</v>
      </c>
      <c r="AM75" s="106">
        <f>+HLOOKUP($C75,PMGR!$BE$2:$BQ$250,116,0)</f>
        <v>0</v>
      </c>
      <c r="AN75" s="106">
        <f>+HLOOKUP($C75,PMGR!$BE$2:$BQ$250,117,0)</f>
        <v>0</v>
      </c>
      <c r="AO75" s="106">
        <f>+HLOOKUP($C75,PMGR!$BE$2:$BQ$250,118,0)</f>
        <v>0</v>
      </c>
      <c r="AP75" s="106">
        <f>+HLOOKUP($C75,PMGR!$BE$2:$BQ$250,119,0)</f>
        <v>0</v>
      </c>
      <c r="AQ75" s="106">
        <f>+HLOOKUP($C75,PMGR!$BE$2:$BQ$250,120,0)</f>
        <v>0</v>
      </c>
      <c r="AR75" s="106">
        <f>+HLOOKUP($C75,PMGR!$BE$2:$BQ$250,121,0)</f>
        <v>0</v>
      </c>
      <c r="AS75" s="106">
        <f>+HLOOKUP($C75,PMGR!$BE$2:$BQ$250,122,0)</f>
        <v>0</v>
      </c>
      <c r="AT75" s="106">
        <f>+HLOOKUP($C75,PMGR!$BE$2:$BQ$250,123,0)</f>
        <v>0</v>
      </c>
      <c r="AU75" s="106">
        <f>+HLOOKUP($C75,PMGR!$BE$2:$BQ$250,124,0)</f>
        <v>0</v>
      </c>
      <c r="AV75" s="106">
        <f>+HLOOKUP($C75,PMGR!$BE$2:$BQ$250,125,0)</f>
        <v>0</v>
      </c>
      <c r="AW75" s="106">
        <f>+HLOOKUP($C75,PMGR!$BE$2:$BQ$250,126,0)</f>
        <v>0</v>
      </c>
      <c r="AX75" s="106">
        <f>+HLOOKUP($C75,PMGR!$BE$2:$BQ$250,127,0)</f>
        <v>0</v>
      </c>
      <c r="AY75" s="106">
        <f>+HLOOKUP($C75,PMGR!$BE$2:$BQ$250,129,0)</f>
        <v>0</v>
      </c>
      <c r="AZ75" s="106">
        <f>+HLOOKUP($C75,PMGR!$BE$2:$BQ$250,130,0)</f>
        <v>0</v>
      </c>
      <c r="BA75" s="106">
        <f>+HLOOKUP($C75,PMGR!$BE$2:$BQ$250,131,0)</f>
        <v>0</v>
      </c>
      <c r="BB75" s="106">
        <f>+HLOOKUP($C75,PMGR!$BE$2:$BQ$250,133,0)</f>
        <v>0</v>
      </c>
      <c r="BC75" s="106">
        <f>+HLOOKUP($C75,PMGR!$BE$2:$BQ$250,134,0)</f>
        <v>0</v>
      </c>
      <c r="BD75" s="106">
        <f>+HLOOKUP($C75,PMGR!$BE$2:$BQ$250,135,0)</f>
        <v>0</v>
      </c>
      <c r="BE75" s="106">
        <f>+HLOOKUP($C75,PMGR!$BE$2:$BQ$250,136,0)</f>
        <v>0</v>
      </c>
      <c r="BF75" s="106">
        <f>+HLOOKUP($C75,PMGR!$BE$2:$BQ$250,138,0)</f>
        <v>0</v>
      </c>
      <c r="BG75" s="106">
        <f>+HLOOKUP($C75,PMGR!$BE$2:$BQ$250,139,0)</f>
        <v>0</v>
      </c>
      <c r="BH75" s="106">
        <f>+HLOOKUP($C75,PMGR!$BE$2:$BQ$250,140,0)</f>
        <v>0</v>
      </c>
      <c r="BI75" s="106">
        <f>+HLOOKUP($C75,PMGR!$BE$2:$BQ$250,141,0)</f>
        <v>0</v>
      </c>
      <c r="BJ75" s="106">
        <f>+HLOOKUP($C75,PMGR!$BE$2:$BQ$250,142,0)</f>
        <v>0</v>
      </c>
      <c r="BK75" s="106">
        <f>+HLOOKUP($C75,PMGR!$BE$2:$BQ$250,143,0)</f>
        <v>0</v>
      </c>
      <c r="BL75" s="106">
        <f>+HLOOKUP($C75,PMGR!$BE$2:$BQ$250,144,0)</f>
        <v>0</v>
      </c>
      <c r="BM75" s="106">
        <f>+HLOOKUP($C75,PMGR!$BE$2:$BQ$250,146,0)</f>
        <v>0</v>
      </c>
      <c r="BN75" s="106">
        <f>+HLOOKUP($C75,PMGR!$BE$2:$BQ$250,147,0)</f>
        <v>0</v>
      </c>
      <c r="BO75" s="106">
        <f>+HLOOKUP($C75,PMGR!$BE$2:$BQ$250,148,0)</f>
        <v>0</v>
      </c>
      <c r="BP75" s="106">
        <f>+HLOOKUP($C75,PMGR!$BE$2:$BQ$250,150,0)</f>
        <v>0</v>
      </c>
      <c r="BQ75" s="106">
        <f>+HLOOKUP($C75,PMGR!$BE$2:$BQ$250,151,0)</f>
        <v>0</v>
      </c>
      <c r="BR75" s="106">
        <f>+HLOOKUP($C75,PMGR!$BE$2:$BQ$250,152,0)</f>
        <v>0</v>
      </c>
      <c r="BS75" s="106">
        <f>+HLOOKUP($C75,PMGR!$BE$2:$BQ$250,153,0)</f>
        <v>0</v>
      </c>
      <c r="BT75" s="106">
        <f>+HLOOKUP($C75,PMGR!$BE$2:$BQ$250,157,0)</f>
        <v>0</v>
      </c>
      <c r="BU75" s="106">
        <f>+HLOOKUP($C75,PMGR!$BE$2:$BQ$250,158,0)</f>
        <v>0</v>
      </c>
      <c r="BV75" s="106">
        <f>+HLOOKUP($C75,PMGR!$BE$2:$BQ$250,159,0)</f>
        <v>0</v>
      </c>
      <c r="BW75" s="106">
        <f>+HLOOKUP($C75,PMGR!$BE$2:$BQ$250,160,0)</f>
        <v>0</v>
      </c>
      <c r="BX75" s="106">
        <f>+HLOOKUP($C75,PMGR!$BE$2:$BQ$250,161,0)</f>
        <v>0</v>
      </c>
      <c r="BY75" s="106">
        <f>+HLOOKUP($C75,PMGR!$BE$2:$BQ$250,164,0)</f>
        <v>0</v>
      </c>
      <c r="BZ75" s="106">
        <f>+HLOOKUP($C75,PMGR!$BE$2:$BQ$250,165,0)</f>
        <v>0</v>
      </c>
      <c r="CA75" s="106">
        <f>+HLOOKUP($C75,PMGR!$BE$2:$BQ$250,166,0)</f>
        <v>0</v>
      </c>
      <c r="CB75" s="106">
        <f>+HLOOKUP($C75,PMGR!$BE$2:$BQ$250,167,0)</f>
        <v>0</v>
      </c>
      <c r="CC75" s="106">
        <f>+HLOOKUP($C75,PMGR!$BE$2:$BQ$250,168,0)</f>
        <v>0</v>
      </c>
      <c r="CD75" s="106">
        <f>+HLOOKUP($C75,PMGR!$BE$2:$BQ$250,169,0)</f>
        <v>0</v>
      </c>
      <c r="CE75" s="106">
        <f>+HLOOKUP($C75,PMGR!$BE$2:$BQ$250,170,0)</f>
        <v>0</v>
      </c>
      <c r="CF75" s="106">
        <f>+HLOOKUP($C75,PMGR!$BE$2:$BQ$250,172,0)</f>
        <v>0</v>
      </c>
      <c r="CG75" s="106">
        <f>+HLOOKUP($C75,PMGR!$BE$2:$BQ$250,173,0)</f>
        <v>0</v>
      </c>
      <c r="CH75" s="106">
        <f>+HLOOKUP($C75,PMGR!$BE$2:$BQ$250,174,0)</f>
        <v>0</v>
      </c>
      <c r="CI75" s="106">
        <f>+HLOOKUP($C75,PMGR!$BE$2:$BQ$250,175,0)</f>
        <v>0</v>
      </c>
      <c r="CJ75" s="106">
        <f>+HLOOKUP($C75,PMGR!$BE$2:$BQ$250,176,0)</f>
        <v>0</v>
      </c>
      <c r="CK75" s="106">
        <f>+HLOOKUP($C75,PMGR!$BE$2:$BQ$250,178,0)</f>
        <v>0</v>
      </c>
      <c r="CL75" s="106">
        <f>+HLOOKUP($C75,PMGR!$BE$2:$BQ$250,179,0)</f>
        <v>0</v>
      </c>
      <c r="CM75" s="106">
        <f>+HLOOKUP($C75,PMGR!$BE$2:$BQ$250,180,0)</f>
        <v>0</v>
      </c>
      <c r="CN75" s="106">
        <f>+HLOOKUP($C75,PMGR!$BE$2:$BQ$250,182,0)</f>
        <v>0</v>
      </c>
      <c r="CO75" s="106">
        <f>+HLOOKUP($C75,PMGR!$BE$2:$BQ$250,183,0)</f>
        <v>0</v>
      </c>
      <c r="CP75" s="106">
        <f>+HLOOKUP($C75,PMGR!$BE$2:$BQ$250,184,0)</f>
        <v>0</v>
      </c>
      <c r="CQ75" s="106">
        <f>+HLOOKUP($C75,PMGR!$BE$2:$BQ$250,185,0)</f>
        <v>0</v>
      </c>
      <c r="CR75" s="106">
        <f>+HLOOKUP($C75,PMGR!$BE$2:$BQ$250,187,0)</f>
        <v>0</v>
      </c>
      <c r="CS75" s="106">
        <f>+HLOOKUP($C75,PMGR!$BE$2:$BQ$250,188,0)</f>
        <v>0</v>
      </c>
      <c r="CT75" s="106">
        <f>+HLOOKUP($C75,PMGR!$BE$2:$BQ$250,189,0)</f>
        <v>0</v>
      </c>
      <c r="CU75" s="106">
        <f>+HLOOKUP($C75,PMGR!$BE$2:$BQ$250,190,0)</f>
        <v>0</v>
      </c>
      <c r="CV75" s="106">
        <f>+HLOOKUP($C75,PMGR!$BE$2:$BQ$250,191,0)</f>
        <v>0</v>
      </c>
      <c r="CW75" s="106">
        <f>+HLOOKUP($C75,PMGR!$BE$2:$BQ$250,193,0)</f>
        <v>0</v>
      </c>
      <c r="CX75" s="106">
        <f>+HLOOKUP($C75,PMGR!$BE$2:$BQ$250,194,0)</f>
        <v>0</v>
      </c>
      <c r="CY75" s="106">
        <f>+HLOOKUP($C75,PMGR!$BE$2:$BQ$250,195,0)</f>
        <v>0</v>
      </c>
      <c r="CZ75" s="106">
        <f>+HLOOKUP($C75,PMGR!$BE$2:$BQ$250,196,0)</f>
        <v>0</v>
      </c>
      <c r="DA75" s="106">
        <f>+HLOOKUP($C75,PMGR!$BE$2:$BQ$250,197,0)</f>
        <v>0</v>
      </c>
      <c r="DB75" s="106">
        <f>+HLOOKUP($C75,PMGR!$BE$2:$BQ$250,198,0)</f>
        <v>0</v>
      </c>
      <c r="DC75" s="106">
        <f>+HLOOKUP($C75,PMGR!$BE$2:$BQ$250,199,0)</f>
        <v>0</v>
      </c>
      <c r="DD75" s="106">
        <f>+HLOOKUP($C75,PMGR!$BE$2:$BQ$250,200,0)</f>
        <v>0</v>
      </c>
      <c r="DE75" s="106">
        <f>+HLOOKUP($C75,PMGR!$BE$2:$BQ$250,201,0)</f>
        <v>0</v>
      </c>
      <c r="DF75" s="106">
        <f>+HLOOKUP($C75,PMGR!$BE$2:$BQ$250,202,0)</f>
        <v>0</v>
      </c>
      <c r="DG75" s="106">
        <f>+HLOOKUP($C75,PMGR!$BE$2:$BQ$250,203,0)</f>
        <v>0</v>
      </c>
      <c r="DH75" s="106">
        <f>+HLOOKUP($C75,PMGR!$BE$2:$BQ$250,205,0)</f>
        <v>0</v>
      </c>
      <c r="DI75" s="106">
        <f>+HLOOKUP($C75,PMGR!$BE$2:$BQ$250,206,0)</f>
        <v>0</v>
      </c>
      <c r="DJ75" s="106">
        <f>+HLOOKUP($C75,PMGR!$BE$2:$BQ$250,207,0)</f>
        <v>0</v>
      </c>
      <c r="DK75" s="106">
        <f>+HLOOKUP($C75,PMGR!$BE$2:$BQ$250,209,0)</f>
        <v>0</v>
      </c>
      <c r="DL75" s="106">
        <f>+HLOOKUP($C75,PMGR!$BE$2:$BQ$250,210,0)</f>
        <v>0</v>
      </c>
      <c r="DM75" s="106">
        <f>+HLOOKUP($C75,PMGR!$BE$2:$BQ$250,211,0)</f>
        <v>0</v>
      </c>
      <c r="DN75" s="106">
        <f>+HLOOKUP($C75,PMGR!$BE$2:$BQ$250,212,0)</f>
        <v>0</v>
      </c>
      <c r="DO75" s="106">
        <f>+HLOOKUP($C75,PMGR!$BE$2:$BQ$250,214,0)</f>
        <v>0</v>
      </c>
      <c r="DP75" s="106">
        <f>+HLOOKUP($C75,PMGR!$BE$2:$BQ$250,215,0)</f>
        <v>0</v>
      </c>
      <c r="DQ75" s="106">
        <f>+HLOOKUP($C75,PMGR!$BE$2:$BQ$250,219,0)</f>
        <v>0</v>
      </c>
      <c r="DR75" s="106">
        <f>+HLOOKUP($C75,PMGR!$BE$2:$BQ$250,220,0)</f>
        <v>0</v>
      </c>
      <c r="DS75" s="106">
        <f>+HLOOKUP($C75,PMGR!$BE$2:$BQ$250,221,0)</f>
        <v>0</v>
      </c>
      <c r="DT75" s="106">
        <f>+HLOOKUP($C75,PMGR!$BE$2:$BQ$250,223,0)</f>
        <v>0</v>
      </c>
      <c r="DU75" s="106">
        <f>+HLOOKUP($C75,PMGR!$BE$2:$BQ$250,224,0)</f>
        <v>0</v>
      </c>
      <c r="DV75" s="106">
        <f>+HLOOKUP($C75,PMGR!$BE$2:$BQ$250,225,0)</f>
        <v>0</v>
      </c>
      <c r="DW75" s="106">
        <f>+HLOOKUP($C75,PMGR!$BE$2:$BQ$250,227,0)</f>
        <v>0</v>
      </c>
      <c r="DX75" s="106">
        <f>+HLOOKUP($C75,PMGR!$BE$2:$BQ$250,228,0)</f>
        <v>0</v>
      </c>
      <c r="DY75" s="106">
        <f>+HLOOKUP($C75,PMGR!$BE$2:$BQ$250,236,0)</f>
        <v>0</v>
      </c>
      <c r="DZ75" s="106">
        <f>+HLOOKUP($C75,PMGR!$BE$2:$BQ$250,237,0)</f>
        <v>0</v>
      </c>
      <c r="EA75" s="106">
        <f>+HLOOKUP($C75,PMGR!$BE$2:$BQ$250,238,0)</f>
        <v>0</v>
      </c>
      <c r="EB75" s="106">
        <f>+HLOOKUP($C75,PMGR!$BE$2:$BQ$250,240,0)</f>
        <v>0</v>
      </c>
    </row>
    <row r="76" spans="1:132">
      <c r="A76" t="s">
        <v>269</v>
      </c>
      <c r="B76" t="s">
        <v>217</v>
      </c>
      <c r="C76" s="117">
        <v>45931</v>
      </c>
      <c r="D76" s="106">
        <f t="shared" si="0"/>
        <v>19987057.171475582</v>
      </c>
      <c r="E76" s="106">
        <f>+HLOOKUP(C76,PMGR!$BE$2:$BQ$250,28,0)+HLOOKUP(C76,PMGR!$BE$2:$BQ$250,43,0)+HLOOKUP(C76,PMGR!$BE$2:$BQ$250,44,0)+HLOOKUP(C76,PMGR!$BE$2:$BQ$250,45,0)+HLOOKUP(C76,PMGR!$BE$2:$BQ$250,54,0)+HLOOKUP(C76,PMGR!$BE$2:$BQ$250,59,0)</f>
        <v>19987057.171475582</v>
      </c>
      <c r="F76" s="106">
        <f>+HLOOKUP(C76,PMGR!$BE$2:$BQ$250,37,0)+HLOOKUP(C76,PMGR!$BE$2:$BQ$250,55,0)</f>
        <v>14608613.618000012</v>
      </c>
      <c r="G76" s="106">
        <f>+HLOOKUP($C76,PMGR!$BE$2:$BQ$250,76,0)</f>
        <v>0</v>
      </c>
      <c r="H76" s="106">
        <f>+HLOOKUP($C76,PMGR!$BE$2:$BQ$250,77,0)</f>
        <v>0</v>
      </c>
      <c r="I76" s="106">
        <f>+HLOOKUP($C76,PMGR!$BE$2:$BQ$250,78,0)</f>
        <v>0</v>
      </c>
      <c r="J76" s="106">
        <f>+HLOOKUP($C76,PMGR!$BE$2:$BQ$250,79,0)</f>
        <v>0</v>
      </c>
      <c r="K76" s="106">
        <f>+HLOOKUP($C76,PMGR!$BE$2:$BQ$250,80,0)</f>
        <v>0</v>
      </c>
      <c r="L76" s="106">
        <f>+HLOOKUP($C76,PMGR!$BE$2:$BQ$250,81,0)</f>
        <v>0</v>
      </c>
      <c r="M76" s="106">
        <f>+HLOOKUP($C76,PMGR!$BE$2:$BQ$250,82,0)</f>
        <v>0</v>
      </c>
      <c r="N76" s="106">
        <f>+HLOOKUP($C76,PMGR!$BE$2:$BQ$250,83,0)</f>
        <v>0</v>
      </c>
      <c r="O76" s="106">
        <f>+HLOOKUP($C76,PMGR!$BE$2:$BQ$250,84,0)</f>
        <v>0</v>
      </c>
      <c r="P76" s="106">
        <f>+HLOOKUP($C76,PMGR!$BE$2:$BQ$250,85,0)</f>
        <v>0</v>
      </c>
      <c r="Q76" s="106">
        <f>+HLOOKUP($C76,PMGR!$BE$2:$BQ$250,87,0)</f>
        <v>261269.64</v>
      </c>
      <c r="R76" s="106">
        <f>+HLOOKUP($C76,PMGR!$BE$2:$BQ$250,90,0)</f>
        <v>0</v>
      </c>
      <c r="S76" s="106">
        <f>+HLOOKUP($C76,PMGR!$BE$2:$BQ$250,91,0)</f>
        <v>27550.27</v>
      </c>
      <c r="T76" s="106">
        <f>+HLOOKUP($C76,PMGR!$BE$2:$BQ$250,92,0)</f>
        <v>0</v>
      </c>
      <c r="U76" s="106">
        <f>+HLOOKUP($C76,PMGR!$BE$2:$BQ$250,93,0)</f>
        <v>0</v>
      </c>
      <c r="V76" s="106">
        <f>+HLOOKUP($C76,PMGR!$BE$2:$BQ$250,94,0)</f>
        <v>0</v>
      </c>
      <c r="W76" s="106">
        <f>+HLOOKUP($C76,PMGR!$BE$2:$BQ$250,95,0)</f>
        <v>10577</v>
      </c>
      <c r="X76" s="106">
        <f>+HLOOKUP($C76,PMGR!$BE$2:$BQ$250,96,0)</f>
        <v>0</v>
      </c>
      <c r="Y76" s="106">
        <f>+HLOOKUP($C76,PMGR!$BE$2:$BQ$250,97,0)</f>
        <v>0</v>
      </c>
      <c r="Z76" s="106">
        <f>+HLOOKUP($C76,PMGR!$BE$2:$BQ$250,98,0)</f>
        <v>0</v>
      </c>
      <c r="AA76" s="106">
        <f>+HLOOKUP($C76,PMGR!$BE$2:$BQ$250,99,0)</f>
        <v>0</v>
      </c>
      <c r="AB76" s="106">
        <f>+HLOOKUP($C76,PMGR!$BE$2:$BQ$250,100,0)</f>
        <v>0</v>
      </c>
      <c r="AC76" s="106">
        <f>+HLOOKUP($C76,PMGR!$BE$2:$BQ$250,101,0)</f>
        <v>13211</v>
      </c>
      <c r="AD76" s="106">
        <f>+HLOOKUP($C76,PMGR!$BE$2:$BQ$250,104,0)</f>
        <v>11890.11</v>
      </c>
      <c r="AE76" s="106">
        <f>+HLOOKUP($C76,PMGR!$BE$2:$BQ$250,105,0)</f>
        <v>34200</v>
      </c>
      <c r="AF76" s="106">
        <f>+HLOOKUP($C76,PMGR!$BE$2:$BQ$250,106,0)</f>
        <v>0</v>
      </c>
      <c r="AG76" s="106">
        <f>+HLOOKUP($C76,PMGR!$BE$2:$BQ$250,107,0)</f>
        <v>0</v>
      </c>
      <c r="AH76" s="106">
        <f>+HLOOKUP($C76,PMGR!$BE$2:$BQ$250,108,0)</f>
        <v>0</v>
      </c>
      <c r="AI76" s="106">
        <f>+HLOOKUP($C76,PMGR!$BE$2:$BQ$250,109,0)</f>
        <v>0</v>
      </c>
      <c r="AJ76" s="106">
        <f>+HLOOKUP($C76,PMGR!$BE$2:$BQ$250,110,0)</f>
        <v>0</v>
      </c>
      <c r="AK76" s="106">
        <f>+HLOOKUP($C76,PMGR!$BE$2:$BQ$250,111,0)</f>
        <v>4320.3999999999996</v>
      </c>
      <c r="AL76" s="106">
        <f>+HLOOKUP($C76,PMGR!$BE$2:$BQ$250,112,0)</f>
        <v>0</v>
      </c>
      <c r="AM76" s="106">
        <f>+HLOOKUP($C76,PMGR!$BE$2:$BQ$250,116,0)</f>
        <v>582877</v>
      </c>
      <c r="AN76" s="106">
        <f>+HLOOKUP($C76,PMGR!$BE$2:$BQ$250,117,0)</f>
        <v>86590</v>
      </c>
      <c r="AO76" s="106">
        <f>+HLOOKUP($C76,PMGR!$BE$2:$BQ$250,118,0)</f>
        <v>1500</v>
      </c>
      <c r="AP76" s="106">
        <f>+HLOOKUP($C76,PMGR!$BE$2:$BQ$250,119,0)</f>
        <v>202604</v>
      </c>
      <c r="AQ76" s="106">
        <f>+HLOOKUP($C76,PMGR!$BE$2:$BQ$250,120,0)</f>
        <v>47336</v>
      </c>
      <c r="AR76" s="106">
        <f>+HLOOKUP($C76,PMGR!$BE$2:$BQ$250,121,0)</f>
        <v>19767</v>
      </c>
      <c r="AS76" s="106">
        <f>+HLOOKUP($C76,PMGR!$BE$2:$BQ$250,122,0)</f>
        <v>287804</v>
      </c>
      <c r="AT76" s="106">
        <f>+HLOOKUP($C76,PMGR!$BE$2:$BQ$250,123,0)</f>
        <v>74658.494586180561</v>
      </c>
      <c r="AU76" s="106">
        <f>+HLOOKUP($C76,PMGR!$BE$2:$BQ$250,124,0)</f>
        <v>6992</v>
      </c>
      <c r="AV76" s="106">
        <f>+HLOOKUP($C76,PMGR!$BE$2:$BQ$250,125,0)</f>
        <v>175707.9</v>
      </c>
      <c r="AW76" s="106">
        <f>+HLOOKUP($C76,PMGR!$BE$2:$BQ$250,126,0)</f>
        <v>28437.499999999996</v>
      </c>
      <c r="AX76" s="106">
        <f>+HLOOKUP($C76,PMGR!$BE$2:$BQ$250,127,0)</f>
        <v>42233.333333333328</v>
      </c>
      <c r="AY76" s="106">
        <f>+HLOOKUP($C76,PMGR!$BE$2:$BQ$250,129,0)</f>
        <v>53369.120000000003</v>
      </c>
      <c r="AZ76" s="106">
        <f>+HLOOKUP($C76,PMGR!$BE$2:$BQ$250,130,0)</f>
        <v>0</v>
      </c>
      <c r="BA76" s="106">
        <f>+HLOOKUP($C76,PMGR!$BE$2:$BQ$250,131,0)</f>
        <v>0</v>
      </c>
      <c r="BB76" s="106">
        <f>+HLOOKUP($C76,PMGR!$BE$2:$BQ$250,133,0)</f>
        <v>0</v>
      </c>
      <c r="BC76" s="106">
        <f>+HLOOKUP($C76,PMGR!$BE$2:$BQ$250,134,0)</f>
        <v>91969.37</v>
      </c>
      <c r="BD76" s="106">
        <f>+HLOOKUP($C76,PMGR!$BE$2:$BQ$250,135,0)</f>
        <v>0</v>
      </c>
      <c r="BE76" s="106">
        <f>+HLOOKUP($C76,PMGR!$BE$2:$BQ$250,136,0)</f>
        <v>0</v>
      </c>
      <c r="BF76" s="106">
        <f>+HLOOKUP($C76,PMGR!$BE$2:$BQ$250,138,0)</f>
        <v>13365.699999999999</v>
      </c>
      <c r="BG76" s="106">
        <f>+HLOOKUP($C76,PMGR!$BE$2:$BQ$250,139,0)</f>
        <v>29783</v>
      </c>
      <c r="BH76" s="106">
        <f>+HLOOKUP($C76,PMGR!$BE$2:$BQ$250,140,0)</f>
        <v>50652</v>
      </c>
      <c r="BI76" s="106">
        <f>+HLOOKUP($C76,PMGR!$BE$2:$BQ$250,141,0)</f>
        <v>0</v>
      </c>
      <c r="BJ76" s="106">
        <f>+HLOOKUP($C76,PMGR!$BE$2:$BQ$250,142,0)</f>
        <v>0</v>
      </c>
      <c r="BK76" s="106">
        <f>+HLOOKUP($C76,PMGR!$BE$2:$BQ$250,143,0)</f>
        <v>0</v>
      </c>
      <c r="BL76" s="106">
        <f>+HLOOKUP($C76,PMGR!$BE$2:$BQ$250,144,0)</f>
        <v>0</v>
      </c>
      <c r="BM76" s="106">
        <f>+HLOOKUP($C76,PMGR!$BE$2:$BQ$250,146,0)</f>
        <v>0</v>
      </c>
      <c r="BN76" s="106">
        <f>+HLOOKUP($C76,PMGR!$BE$2:$BQ$250,147,0)</f>
        <v>72049</v>
      </c>
      <c r="BO76" s="106">
        <f>+HLOOKUP($C76,PMGR!$BE$2:$BQ$250,148,0)</f>
        <v>0</v>
      </c>
      <c r="BP76" s="106">
        <f>+HLOOKUP($C76,PMGR!$BE$2:$BQ$250,150,0)</f>
        <v>70782.599999999991</v>
      </c>
      <c r="BQ76" s="106">
        <f>+HLOOKUP($C76,PMGR!$BE$2:$BQ$250,151,0)</f>
        <v>5953.2</v>
      </c>
      <c r="BR76" s="106">
        <f>+HLOOKUP($C76,PMGR!$BE$2:$BQ$250,152,0)</f>
        <v>21000</v>
      </c>
      <c r="BS76" s="106">
        <f>+HLOOKUP($C76,PMGR!$BE$2:$BQ$250,153,0)</f>
        <v>200</v>
      </c>
      <c r="BT76" s="106">
        <f>+HLOOKUP($C76,PMGR!$BE$2:$BQ$250,157,0)</f>
        <v>0</v>
      </c>
      <c r="BU76" s="106">
        <f>+HLOOKUP($C76,PMGR!$BE$2:$BQ$250,158,0)</f>
        <v>4600</v>
      </c>
      <c r="BV76" s="106">
        <f>+HLOOKUP($C76,PMGR!$BE$2:$BQ$250,159,0)</f>
        <v>681</v>
      </c>
      <c r="BW76" s="106">
        <f>+HLOOKUP($C76,PMGR!$BE$2:$BQ$250,160,0)</f>
        <v>53341.78</v>
      </c>
      <c r="BX76" s="106">
        <f>+HLOOKUP($C76,PMGR!$BE$2:$BQ$250,161,0)</f>
        <v>145848.03</v>
      </c>
      <c r="BY76" s="106">
        <f>+HLOOKUP($C76,PMGR!$BE$2:$BQ$250,164,0)</f>
        <v>10363.114</v>
      </c>
      <c r="BZ76" s="106">
        <f>+HLOOKUP($C76,PMGR!$BE$2:$BQ$250,165,0)</f>
        <v>100296.59999999999</v>
      </c>
      <c r="CA76" s="106">
        <f>+HLOOKUP($C76,PMGR!$BE$2:$BQ$250,166,0)</f>
        <v>0</v>
      </c>
      <c r="CB76" s="106">
        <f>+HLOOKUP($C76,PMGR!$BE$2:$BQ$250,167,0)</f>
        <v>6263.62</v>
      </c>
      <c r="CC76" s="106">
        <f>+HLOOKUP($C76,PMGR!$BE$2:$BQ$250,168,0)</f>
        <v>0</v>
      </c>
      <c r="CD76" s="106">
        <f>+HLOOKUP($C76,PMGR!$BE$2:$BQ$250,169,0)</f>
        <v>0</v>
      </c>
      <c r="CE76" s="106">
        <f>+HLOOKUP($C76,PMGR!$BE$2:$BQ$250,170,0)</f>
        <v>0</v>
      </c>
      <c r="CF76" s="106">
        <f>+HLOOKUP($C76,PMGR!$BE$2:$BQ$250,172,0)</f>
        <v>32700</v>
      </c>
      <c r="CG76" s="106">
        <f>+HLOOKUP($C76,PMGR!$BE$2:$BQ$250,173,0)</f>
        <v>0</v>
      </c>
      <c r="CH76" s="106">
        <f>+HLOOKUP($C76,PMGR!$BE$2:$BQ$250,174,0)</f>
        <v>86400</v>
      </c>
      <c r="CI76" s="106">
        <f>+HLOOKUP($C76,PMGR!$BE$2:$BQ$250,175,0)</f>
        <v>6690</v>
      </c>
      <c r="CJ76" s="106">
        <f>+HLOOKUP($C76,PMGR!$BE$2:$BQ$250,176,0)</f>
        <v>3401.4799999999959</v>
      </c>
      <c r="CK76" s="106">
        <f>+HLOOKUP($C76,PMGR!$BE$2:$BQ$250,178,0)</f>
        <v>100218</v>
      </c>
      <c r="CL76" s="106">
        <f>+HLOOKUP($C76,PMGR!$BE$2:$BQ$250,179,0)</f>
        <v>8365.77</v>
      </c>
      <c r="CM76" s="106">
        <f>+HLOOKUP($C76,PMGR!$BE$2:$BQ$250,180,0)</f>
        <v>0</v>
      </c>
      <c r="CN76" s="106">
        <f>+HLOOKUP($C76,PMGR!$BE$2:$BQ$250,182,0)</f>
        <v>913.68</v>
      </c>
      <c r="CO76" s="106">
        <f>+HLOOKUP($C76,PMGR!$BE$2:$BQ$250,183,0)</f>
        <v>32493.94</v>
      </c>
      <c r="CP76" s="106">
        <f>+HLOOKUP($C76,PMGR!$BE$2:$BQ$250,184,0)</f>
        <v>10376.279999999999</v>
      </c>
      <c r="CQ76" s="106">
        <f>+HLOOKUP($C76,PMGR!$BE$2:$BQ$250,185,0)</f>
        <v>0</v>
      </c>
      <c r="CR76" s="106">
        <f>+HLOOKUP($C76,PMGR!$BE$2:$BQ$250,187,0)</f>
        <v>3749.7599999999993</v>
      </c>
      <c r="CS76" s="106">
        <f>+HLOOKUP($C76,PMGR!$BE$2:$BQ$250,188,0)</f>
        <v>0</v>
      </c>
      <c r="CT76" s="106">
        <f>+HLOOKUP($C76,PMGR!$BE$2:$BQ$250,189,0)</f>
        <v>0</v>
      </c>
      <c r="CU76" s="106">
        <f>+HLOOKUP($C76,PMGR!$BE$2:$BQ$250,190,0)</f>
        <v>1499.94</v>
      </c>
      <c r="CV76" s="106">
        <f>+HLOOKUP($C76,PMGR!$BE$2:$BQ$250,191,0)</f>
        <v>0</v>
      </c>
      <c r="CW76" s="106">
        <f>+HLOOKUP($C76,PMGR!$BE$2:$BQ$250,193,0)</f>
        <v>27807</v>
      </c>
      <c r="CX76" s="106">
        <f>+HLOOKUP($C76,PMGR!$BE$2:$BQ$250,194,0)</f>
        <v>1172.7</v>
      </c>
      <c r="CY76" s="106">
        <f>+HLOOKUP($C76,PMGR!$BE$2:$BQ$250,195,0)</f>
        <v>0</v>
      </c>
      <c r="CZ76" s="106">
        <f>+HLOOKUP($C76,PMGR!$BE$2:$BQ$250,196,0)</f>
        <v>0</v>
      </c>
      <c r="DA76" s="106">
        <f>+HLOOKUP($C76,PMGR!$BE$2:$BQ$250,197,0)</f>
        <v>9104.232</v>
      </c>
      <c r="DB76" s="106">
        <f>+HLOOKUP($C76,PMGR!$BE$2:$BQ$250,198,0)</f>
        <v>26647.38</v>
      </c>
      <c r="DC76" s="106">
        <f>+HLOOKUP($C76,PMGR!$BE$2:$BQ$250,199,0)</f>
        <v>7084.79</v>
      </c>
      <c r="DD76" s="106">
        <f>+HLOOKUP($C76,PMGR!$BE$2:$BQ$250,200,0)</f>
        <v>4977</v>
      </c>
      <c r="DE76" s="106">
        <f>+HLOOKUP($C76,PMGR!$BE$2:$BQ$250,201,0)</f>
        <v>1020.3</v>
      </c>
      <c r="DF76" s="106">
        <f>+HLOOKUP($C76,PMGR!$BE$2:$BQ$250,202,0)</f>
        <v>0.75959999999999983</v>
      </c>
      <c r="DG76" s="106">
        <f>+HLOOKUP($C76,PMGR!$BE$2:$BQ$250,203,0)</f>
        <v>-14.3424</v>
      </c>
      <c r="DH76" s="106">
        <f>+HLOOKUP($C76,PMGR!$BE$2:$BQ$250,205,0)</f>
        <v>0</v>
      </c>
      <c r="DI76" s="106">
        <f>+HLOOKUP($C76,PMGR!$BE$2:$BQ$250,206,0)</f>
        <v>15637</v>
      </c>
      <c r="DJ76" s="106">
        <f>+HLOOKUP($C76,PMGR!$BE$2:$BQ$250,207,0)</f>
        <v>122107.82</v>
      </c>
      <c r="DK76" s="106">
        <f>+HLOOKUP($C76,PMGR!$BE$2:$BQ$250,209,0)</f>
        <v>0</v>
      </c>
      <c r="DL76" s="106">
        <f>+HLOOKUP($C76,PMGR!$BE$2:$BQ$250,210,0)</f>
        <v>189882</v>
      </c>
      <c r="DM76" s="106">
        <f>+HLOOKUP($C76,PMGR!$BE$2:$BQ$250,211,0)</f>
        <v>0</v>
      </c>
      <c r="DN76" s="106">
        <f>+HLOOKUP($C76,PMGR!$BE$2:$BQ$250,212,0)</f>
        <v>0</v>
      </c>
      <c r="DO76" s="106">
        <f>+HLOOKUP($C76,PMGR!$BE$2:$BQ$250,214,0)</f>
        <v>0</v>
      </c>
      <c r="DP76" s="106">
        <f>+HLOOKUP($C76,PMGR!$BE$2:$BQ$250,215,0)</f>
        <v>2150</v>
      </c>
      <c r="DQ76" s="106">
        <f>+HLOOKUP($C76,PMGR!$BE$2:$BQ$250,219,0)</f>
        <v>0</v>
      </c>
      <c r="DR76" s="106">
        <f>+HLOOKUP($C76,PMGR!$BE$2:$BQ$250,220,0)</f>
        <v>0</v>
      </c>
      <c r="DS76" s="106">
        <f>+HLOOKUP($C76,PMGR!$BE$2:$BQ$250,221,0)</f>
        <v>0</v>
      </c>
      <c r="DT76" s="106">
        <f>+HLOOKUP($C76,PMGR!$BE$2:$BQ$250,223,0)</f>
        <v>24462.820799999998</v>
      </c>
      <c r="DU76" s="106">
        <f>+HLOOKUP($C76,PMGR!$BE$2:$BQ$250,224,0)</f>
        <v>0</v>
      </c>
      <c r="DV76" s="106">
        <f>+HLOOKUP($C76,PMGR!$BE$2:$BQ$250,225,0)</f>
        <v>0</v>
      </c>
      <c r="DW76" s="106">
        <f>+HLOOKUP($C76,PMGR!$BE$2:$BQ$250,227,0)</f>
        <v>0</v>
      </c>
      <c r="DX76" s="106">
        <f>+HLOOKUP($C76,PMGR!$BE$2:$BQ$250,228,0)</f>
        <v>2116.2599999999998</v>
      </c>
      <c r="DY76" s="106">
        <f>+HLOOKUP($C76,PMGR!$BE$2:$BQ$250,236,0)</f>
        <v>273820.2</v>
      </c>
      <c r="DZ76" s="106">
        <f>+HLOOKUP($C76,PMGR!$BE$2:$BQ$250,237,0)</f>
        <v>28625.396579999997</v>
      </c>
      <c r="EA76" s="106">
        <f>+HLOOKUP($C76,PMGR!$BE$2:$BQ$250,238,0)</f>
        <v>22982.399999999998</v>
      </c>
      <c r="EB76" s="106">
        <f>+HLOOKUP($C76,PMGR!$BE$2:$BQ$250,240,0)</f>
        <v>675475.61596874997</v>
      </c>
    </row>
    <row r="77" spans="1:132">
      <c r="A77" t="s">
        <v>269</v>
      </c>
      <c r="B77" t="s">
        <v>217</v>
      </c>
      <c r="C77" s="117">
        <v>45901</v>
      </c>
      <c r="D77" s="106">
        <f t="shared" si="0"/>
        <v>24567205.142476864</v>
      </c>
      <c r="E77" s="106">
        <f>+HLOOKUP(C77,PMGR!$BE$2:$BQ$250,28,0)+HLOOKUP(C77,PMGR!$BE$2:$BQ$250,43,0)+HLOOKUP(C77,PMGR!$BE$2:$BQ$250,44,0)+HLOOKUP(C77,PMGR!$BE$2:$BQ$250,45,0)+HLOOKUP(C77,PMGR!$BE$2:$BQ$250,54,0)+HLOOKUP(C77,PMGR!$BE$2:$BQ$250,59,0)</f>
        <v>24567205.142476864</v>
      </c>
      <c r="F77" s="106">
        <f>+HLOOKUP(C77,PMGR!$BE$2:$BQ$250,37,0)+HLOOKUP(C77,PMGR!$BE$2:$BQ$250,55,0)</f>
        <v>14717780.174000001</v>
      </c>
      <c r="G77" s="106">
        <f>+HLOOKUP($C77,PMGR!$BE$2:$BQ$250,76,0)</f>
        <v>0</v>
      </c>
      <c r="H77" s="106">
        <f>+HLOOKUP($C77,PMGR!$BE$2:$BQ$250,77,0)</f>
        <v>0</v>
      </c>
      <c r="I77" s="106">
        <f>+HLOOKUP($C77,PMGR!$BE$2:$BQ$250,78,0)</f>
        <v>0</v>
      </c>
      <c r="J77" s="106">
        <f>+HLOOKUP($C77,PMGR!$BE$2:$BQ$250,79,0)</f>
        <v>0</v>
      </c>
      <c r="K77" s="106">
        <f>+HLOOKUP($C77,PMGR!$BE$2:$BQ$250,80,0)</f>
        <v>0</v>
      </c>
      <c r="L77" s="106">
        <f>+HLOOKUP($C77,PMGR!$BE$2:$BQ$250,81,0)</f>
        <v>0</v>
      </c>
      <c r="M77" s="106">
        <f>+HLOOKUP($C77,PMGR!$BE$2:$BQ$250,82,0)</f>
        <v>0</v>
      </c>
      <c r="N77" s="106">
        <f>+HLOOKUP($C77,PMGR!$BE$2:$BQ$250,83,0)</f>
        <v>0</v>
      </c>
      <c r="O77" s="106">
        <f>+HLOOKUP($C77,PMGR!$BE$2:$BQ$250,84,0)</f>
        <v>0</v>
      </c>
      <c r="P77" s="106">
        <f>+HLOOKUP($C77,PMGR!$BE$2:$BQ$250,85,0)</f>
        <v>0</v>
      </c>
      <c r="Q77" s="106">
        <f>+HLOOKUP($C77,PMGR!$BE$2:$BQ$250,87,0)</f>
        <v>560164.66199999989</v>
      </c>
      <c r="R77" s="106">
        <f>+HLOOKUP($C77,PMGR!$BE$2:$BQ$250,90,0)</f>
        <v>0</v>
      </c>
      <c r="S77" s="106">
        <f>+HLOOKUP($C77,PMGR!$BE$2:$BQ$250,91,0)</f>
        <v>52207.692222222227</v>
      </c>
      <c r="T77" s="106">
        <f>+HLOOKUP($C77,PMGR!$BE$2:$BQ$250,92,0)</f>
        <v>0</v>
      </c>
      <c r="U77" s="106">
        <f>+HLOOKUP($C77,PMGR!$BE$2:$BQ$250,93,0)</f>
        <v>0</v>
      </c>
      <c r="V77" s="106">
        <f>+HLOOKUP($C77,PMGR!$BE$2:$BQ$250,94,0)</f>
        <v>0</v>
      </c>
      <c r="W77" s="106">
        <f>+HLOOKUP($C77,PMGR!$BE$2:$BQ$250,95,0)</f>
        <v>0</v>
      </c>
      <c r="X77" s="106">
        <f>+HLOOKUP($C77,PMGR!$BE$2:$BQ$250,96,0)</f>
        <v>0</v>
      </c>
      <c r="Y77" s="106">
        <f>+HLOOKUP($C77,PMGR!$BE$2:$BQ$250,97,0)</f>
        <v>0</v>
      </c>
      <c r="Z77" s="106">
        <f>+HLOOKUP($C77,PMGR!$BE$2:$BQ$250,98,0)</f>
        <v>0</v>
      </c>
      <c r="AA77" s="106">
        <f>+HLOOKUP($C77,PMGR!$BE$2:$BQ$250,99,0)</f>
        <v>0</v>
      </c>
      <c r="AB77" s="106">
        <f>+HLOOKUP($C77,PMGR!$BE$2:$BQ$250,100,0)</f>
        <v>0</v>
      </c>
      <c r="AC77" s="106">
        <f>+HLOOKUP($C77,PMGR!$BE$2:$BQ$250,101,0)</f>
        <v>4204</v>
      </c>
      <c r="AD77" s="106">
        <f>+HLOOKUP($C77,PMGR!$BE$2:$BQ$250,104,0)</f>
        <v>415202.70999999996</v>
      </c>
      <c r="AE77" s="106">
        <f>+HLOOKUP($C77,PMGR!$BE$2:$BQ$250,105,0)</f>
        <v>0</v>
      </c>
      <c r="AF77" s="106">
        <f>+HLOOKUP($C77,PMGR!$BE$2:$BQ$250,106,0)</f>
        <v>0</v>
      </c>
      <c r="AG77" s="106">
        <f>+HLOOKUP($C77,PMGR!$BE$2:$BQ$250,107,0)</f>
        <v>0</v>
      </c>
      <c r="AH77" s="106">
        <f>+HLOOKUP($C77,PMGR!$BE$2:$BQ$250,108,0)</f>
        <v>3056.4</v>
      </c>
      <c r="AI77" s="106">
        <f>+HLOOKUP($C77,PMGR!$BE$2:$BQ$250,109,0)</f>
        <v>0</v>
      </c>
      <c r="AJ77" s="106">
        <f>+HLOOKUP($C77,PMGR!$BE$2:$BQ$250,110,0)</f>
        <v>0</v>
      </c>
      <c r="AK77" s="106">
        <f>+HLOOKUP($C77,PMGR!$BE$2:$BQ$250,111,0)</f>
        <v>17990</v>
      </c>
      <c r="AL77" s="106">
        <f>+HLOOKUP($C77,PMGR!$BE$2:$BQ$250,112,0)</f>
        <v>0</v>
      </c>
      <c r="AM77" s="106">
        <f>+HLOOKUP($C77,PMGR!$BE$2:$BQ$250,116,0)</f>
        <v>579810</v>
      </c>
      <c r="AN77" s="106">
        <f>+HLOOKUP($C77,PMGR!$BE$2:$BQ$250,117,0)</f>
        <v>86983</v>
      </c>
      <c r="AO77" s="106">
        <f>+HLOOKUP($C77,PMGR!$BE$2:$BQ$250,118,0)</f>
        <v>1500</v>
      </c>
      <c r="AP77" s="106">
        <f>+HLOOKUP($C77,PMGR!$BE$2:$BQ$250,119,0)</f>
        <v>202931</v>
      </c>
      <c r="AQ77" s="106">
        <f>+HLOOKUP($C77,PMGR!$BE$2:$BQ$250,120,0)</f>
        <v>44334</v>
      </c>
      <c r="AR77" s="106">
        <f>+HLOOKUP($C77,PMGR!$BE$2:$BQ$250,121,0)</f>
        <v>18790</v>
      </c>
      <c r="AS77" s="106">
        <f>+HLOOKUP($C77,PMGR!$BE$2:$BQ$250,122,0)</f>
        <v>369793.4</v>
      </c>
      <c r="AT77" s="106">
        <f>+HLOOKUP($C77,PMGR!$BE$2:$BQ$250,123,0)</f>
        <v>74658.494586180561</v>
      </c>
      <c r="AU77" s="106">
        <f>+HLOOKUP($C77,PMGR!$BE$2:$BQ$250,124,0)</f>
        <v>6992</v>
      </c>
      <c r="AV77" s="106">
        <f>+HLOOKUP($C77,PMGR!$BE$2:$BQ$250,125,0)</f>
        <v>148280.4</v>
      </c>
      <c r="AW77" s="106">
        <f>+HLOOKUP($C77,PMGR!$BE$2:$BQ$250,126,0)</f>
        <v>28437.499999999996</v>
      </c>
      <c r="AX77" s="106">
        <f>+HLOOKUP($C77,PMGR!$BE$2:$BQ$250,127,0)</f>
        <v>42233.333333333328</v>
      </c>
      <c r="AY77" s="106">
        <f>+HLOOKUP($C77,PMGR!$BE$2:$BQ$250,129,0)</f>
        <v>104703</v>
      </c>
      <c r="AZ77" s="106">
        <f>+HLOOKUP($C77,PMGR!$BE$2:$BQ$250,130,0)</f>
        <v>0</v>
      </c>
      <c r="BA77" s="106">
        <f>+HLOOKUP($C77,PMGR!$BE$2:$BQ$250,131,0)</f>
        <v>0</v>
      </c>
      <c r="BB77" s="106">
        <f>+HLOOKUP($C77,PMGR!$BE$2:$BQ$250,133,0)</f>
        <v>0</v>
      </c>
      <c r="BC77" s="106">
        <f>+HLOOKUP($C77,PMGR!$BE$2:$BQ$250,134,0)</f>
        <v>95984</v>
      </c>
      <c r="BD77" s="106">
        <f>+HLOOKUP($C77,PMGR!$BE$2:$BQ$250,135,0)</f>
        <v>0</v>
      </c>
      <c r="BE77" s="106">
        <f>+HLOOKUP($C77,PMGR!$BE$2:$BQ$250,136,0)</f>
        <v>0</v>
      </c>
      <c r="BF77" s="106">
        <f>+HLOOKUP($C77,PMGR!$BE$2:$BQ$250,138,0)</f>
        <v>11589.699999999999</v>
      </c>
      <c r="BG77" s="106">
        <f>+HLOOKUP($C77,PMGR!$BE$2:$BQ$250,139,0)</f>
        <v>51219</v>
      </c>
      <c r="BH77" s="106">
        <f>+HLOOKUP($C77,PMGR!$BE$2:$BQ$250,140,0)</f>
        <v>49652</v>
      </c>
      <c r="BI77" s="106">
        <f>+HLOOKUP($C77,PMGR!$BE$2:$BQ$250,141,0)</f>
        <v>1700</v>
      </c>
      <c r="BJ77" s="106">
        <f>+HLOOKUP($C77,PMGR!$BE$2:$BQ$250,142,0)</f>
        <v>0</v>
      </c>
      <c r="BK77" s="106">
        <f>+HLOOKUP($C77,PMGR!$BE$2:$BQ$250,143,0)</f>
        <v>0</v>
      </c>
      <c r="BL77" s="106">
        <f>+HLOOKUP($C77,PMGR!$BE$2:$BQ$250,144,0)</f>
        <v>45802.77</v>
      </c>
      <c r="BM77" s="106">
        <f>+HLOOKUP($C77,PMGR!$BE$2:$BQ$250,146,0)</f>
        <v>0</v>
      </c>
      <c r="BN77" s="106">
        <f>+HLOOKUP($C77,PMGR!$BE$2:$BQ$250,147,0)</f>
        <v>16016</v>
      </c>
      <c r="BO77" s="106">
        <f>+HLOOKUP($C77,PMGR!$BE$2:$BQ$250,148,0)</f>
        <v>0</v>
      </c>
      <c r="BP77" s="106">
        <f>+HLOOKUP($C77,PMGR!$BE$2:$BQ$250,150,0)</f>
        <v>54285</v>
      </c>
      <c r="BQ77" s="106">
        <f>+HLOOKUP($C77,PMGR!$BE$2:$BQ$250,151,0)</f>
        <v>5953.2</v>
      </c>
      <c r="BR77" s="106">
        <f>+HLOOKUP($C77,PMGR!$BE$2:$BQ$250,152,0)</f>
        <v>21000</v>
      </c>
      <c r="BS77" s="106">
        <f>+HLOOKUP($C77,PMGR!$BE$2:$BQ$250,153,0)</f>
        <v>54200</v>
      </c>
      <c r="BT77" s="106">
        <f>+HLOOKUP($C77,PMGR!$BE$2:$BQ$250,157,0)</f>
        <v>0</v>
      </c>
      <c r="BU77" s="106">
        <f>+HLOOKUP($C77,PMGR!$BE$2:$BQ$250,158,0)</f>
        <v>8839</v>
      </c>
      <c r="BV77" s="106">
        <f>+HLOOKUP($C77,PMGR!$BE$2:$BQ$250,159,0)</f>
        <v>681</v>
      </c>
      <c r="BW77" s="106">
        <f>+HLOOKUP($C77,PMGR!$BE$2:$BQ$250,160,0)</f>
        <v>73609</v>
      </c>
      <c r="BX77" s="106">
        <f>+HLOOKUP($C77,PMGR!$BE$2:$BQ$250,161,0)</f>
        <v>35374.65</v>
      </c>
      <c r="BY77" s="106">
        <f>+HLOOKUP($C77,PMGR!$BE$2:$BQ$250,164,0)</f>
        <v>4785.4740000000002</v>
      </c>
      <c r="BZ77" s="106">
        <f>+HLOOKUP($C77,PMGR!$BE$2:$BQ$250,165,0)</f>
        <v>20855.150000000001</v>
      </c>
      <c r="CA77" s="106">
        <f>+HLOOKUP($C77,PMGR!$BE$2:$BQ$250,166,0)</f>
        <v>0</v>
      </c>
      <c r="CB77" s="106">
        <f>+HLOOKUP($C77,PMGR!$BE$2:$BQ$250,167,0)</f>
        <v>78136.38</v>
      </c>
      <c r="CC77" s="106">
        <f>+HLOOKUP($C77,PMGR!$BE$2:$BQ$250,168,0)</f>
        <v>0</v>
      </c>
      <c r="CD77" s="106">
        <f>+HLOOKUP($C77,PMGR!$BE$2:$BQ$250,169,0)</f>
        <v>0</v>
      </c>
      <c r="CE77" s="106">
        <f>+HLOOKUP($C77,PMGR!$BE$2:$BQ$250,170,0)</f>
        <v>0</v>
      </c>
      <c r="CF77" s="106">
        <f>+HLOOKUP($C77,PMGR!$BE$2:$BQ$250,172,0)</f>
        <v>32700</v>
      </c>
      <c r="CG77" s="106">
        <f>+HLOOKUP($C77,PMGR!$BE$2:$BQ$250,173,0)</f>
        <v>0</v>
      </c>
      <c r="CH77" s="106">
        <f>+HLOOKUP($C77,PMGR!$BE$2:$BQ$250,174,0)</f>
        <v>86400</v>
      </c>
      <c r="CI77" s="106">
        <f>+HLOOKUP($C77,PMGR!$BE$2:$BQ$250,175,0)</f>
        <v>6690</v>
      </c>
      <c r="CJ77" s="106">
        <f>+HLOOKUP($C77,PMGR!$BE$2:$BQ$250,176,0)</f>
        <v>33401.479999999996</v>
      </c>
      <c r="CK77" s="106">
        <f>+HLOOKUP($C77,PMGR!$BE$2:$BQ$250,178,0)</f>
        <v>89743.2</v>
      </c>
      <c r="CL77" s="106">
        <f>+HLOOKUP($C77,PMGR!$BE$2:$BQ$250,179,0)</f>
        <v>5178.8100000000004</v>
      </c>
      <c r="CM77" s="106">
        <f>+HLOOKUP($C77,PMGR!$BE$2:$BQ$250,180,0)</f>
        <v>0</v>
      </c>
      <c r="CN77" s="106">
        <f>+HLOOKUP($C77,PMGR!$BE$2:$BQ$250,182,0)</f>
        <v>913.68</v>
      </c>
      <c r="CO77" s="106">
        <f>+HLOOKUP($C77,PMGR!$BE$2:$BQ$250,183,0)</f>
        <v>31138.18</v>
      </c>
      <c r="CP77" s="106">
        <f>+HLOOKUP($C77,PMGR!$BE$2:$BQ$250,184,0)</f>
        <v>12948.48</v>
      </c>
      <c r="CQ77" s="106">
        <f>+HLOOKUP($C77,PMGR!$BE$2:$BQ$250,185,0)</f>
        <v>0</v>
      </c>
      <c r="CR77" s="106">
        <f>+HLOOKUP($C77,PMGR!$BE$2:$BQ$250,187,0)</f>
        <v>3749.7599999999993</v>
      </c>
      <c r="CS77" s="106">
        <f>+HLOOKUP($C77,PMGR!$BE$2:$BQ$250,188,0)</f>
        <v>0</v>
      </c>
      <c r="CT77" s="106">
        <f>+HLOOKUP($C77,PMGR!$BE$2:$BQ$250,189,0)</f>
        <v>0</v>
      </c>
      <c r="CU77" s="106">
        <f>+HLOOKUP($C77,PMGR!$BE$2:$BQ$250,190,0)</f>
        <v>0</v>
      </c>
      <c r="CV77" s="106">
        <f>+HLOOKUP($C77,PMGR!$BE$2:$BQ$250,191,0)</f>
        <v>0</v>
      </c>
      <c r="CW77" s="106">
        <f>+HLOOKUP($C77,PMGR!$BE$2:$BQ$250,193,0)</f>
        <v>16684.2</v>
      </c>
      <c r="CX77" s="106">
        <f>+HLOOKUP($C77,PMGR!$BE$2:$BQ$250,194,0)</f>
        <v>471.96</v>
      </c>
      <c r="CY77" s="106">
        <f>+HLOOKUP($C77,PMGR!$BE$2:$BQ$250,195,0)</f>
        <v>63.72</v>
      </c>
      <c r="CZ77" s="106">
        <f>+HLOOKUP($C77,PMGR!$BE$2:$BQ$250,196,0)</f>
        <v>0</v>
      </c>
      <c r="DA77" s="106">
        <f>+HLOOKUP($C77,PMGR!$BE$2:$BQ$250,197,0)</f>
        <v>7318.35</v>
      </c>
      <c r="DB77" s="106">
        <f>+HLOOKUP($C77,PMGR!$BE$2:$BQ$250,198,0)</f>
        <v>32501.16</v>
      </c>
      <c r="DC77" s="106">
        <f>+HLOOKUP($C77,PMGR!$BE$2:$BQ$250,199,0)</f>
        <v>1940.67</v>
      </c>
      <c r="DD77" s="106">
        <f>+HLOOKUP($C77,PMGR!$BE$2:$BQ$250,200,0)</f>
        <v>4240</v>
      </c>
      <c r="DE77" s="106">
        <f>+HLOOKUP($C77,PMGR!$BE$2:$BQ$250,201,0)</f>
        <v>1020.3</v>
      </c>
      <c r="DF77" s="106">
        <f>+HLOOKUP($C77,PMGR!$BE$2:$BQ$250,202,0)</f>
        <v>4.3243999999999998</v>
      </c>
      <c r="DG77" s="106">
        <f>+HLOOKUP($C77,PMGR!$BE$2:$BQ$250,203,0)</f>
        <v>-11.88</v>
      </c>
      <c r="DH77" s="106">
        <f>+HLOOKUP($C77,PMGR!$BE$2:$BQ$250,205,0)</f>
        <v>0</v>
      </c>
      <c r="DI77" s="106">
        <f>+HLOOKUP($C77,PMGR!$BE$2:$BQ$250,206,0)</f>
        <v>9734</v>
      </c>
      <c r="DJ77" s="106">
        <f>+HLOOKUP($C77,PMGR!$BE$2:$BQ$250,207,0)</f>
        <v>132608.67793333333</v>
      </c>
      <c r="DK77" s="106">
        <f>+HLOOKUP($C77,PMGR!$BE$2:$BQ$250,209,0)</f>
        <v>0</v>
      </c>
      <c r="DL77" s="106">
        <f>+HLOOKUP($C77,PMGR!$BE$2:$BQ$250,210,0)</f>
        <v>201051</v>
      </c>
      <c r="DM77" s="106">
        <f>+HLOOKUP($C77,PMGR!$BE$2:$BQ$250,211,0)</f>
        <v>0</v>
      </c>
      <c r="DN77" s="106">
        <f>+HLOOKUP($C77,PMGR!$BE$2:$BQ$250,212,0)</f>
        <v>0</v>
      </c>
      <c r="DO77" s="106">
        <f>+HLOOKUP($C77,PMGR!$BE$2:$BQ$250,214,0)</f>
        <v>0</v>
      </c>
      <c r="DP77" s="106">
        <f>+HLOOKUP($C77,PMGR!$BE$2:$BQ$250,215,0)</f>
        <v>1500</v>
      </c>
      <c r="DQ77" s="106">
        <f>+HLOOKUP($C77,PMGR!$BE$2:$BQ$250,219,0)</f>
        <v>0</v>
      </c>
      <c r="DR77" s="106">
        <f>+HLOOKUP($C77,PMGR!$BE$2:$BQ$250,220,0)</f>
        <v>0</v>
      </c>
      <c r="DS77" s="106">
        <f>+HLOOKUP($C77,PMGR!$BE$2:$BQ$250,221,0)</f>
        <v>0</v>
      </c>
      <c r="DT77" s="106">
        <f>+HLOOKUP($C77,PMGR!$BE$2:$BQ$250,223,0)</f>
        <v>18819.0288</v>
      </c>
      <c r="DU77" s="106">
        <f>+HLOOKUP($C77,PMGR!$BE$2:$BQ$250,224,0)</f>
        <v>0</v>
      </c>
      <c r="DV77" s="106">
        <f>+HLOOKUP($C77,PMGR!$BE$2:$BQ$250,225,0)</f>
        <v>0</v>
      </c>
      <c r="DW77" s="106">
        <f>+HLOOKUP($C77,PMGR!$BE$2:$BQ$250,227,0)</f>
        <v>0</v>
      </c>
      <c r="DX77" s="106">
        <f>+HLOOKUP($C77,PMGR!$BE$2:$BQ$250,228,0)</f>
        <v>296.82</v>
      </c>
      <c r="DY77" s="106">
        <f>+HLOOKUP($C77,PMGR!$BE$2:$BQ$250,236,0)</f>
        <v>282966</v>
      </c>
      <c r="DZ77" s="106">
        <f>+HLOOKUP($C77,PMGR!$BE$2:$BQ$250,237,0)</f>
        <v>29038.759860000002</v>
      </c>
      <c r="EA77" s="106">
        <f>+HLOOKUP($C77,PMGR!$BE$2:$BQ$250,238,0)</f>
        <v>25762.799999999999</v>
      </c>
      <c r="EB77" s="106">
        <f>+HLOOKUP($C77,PMGR!$BE$2:$BQ$250,240,0)</f>
        <v>675475.61596874997</v>
      </c>
    </row>
    <row r="78" spans="1:132">
      <c r="A78" t="s">
        <v>269</v>
      </c>
      <c r="B78" t="s">
        <v>217</v>
      </c>
      <c r="C78" s="117">
        <v>45870</v>
      </c>
      <c r="D78" s="106">
        <f t="shared" si="0"/>
        <v>21985990.737216476</v>
      </c>
      <c r="E78" s="106">
        <f>+HLOOKUP(C78,PMGR!$BE$2:$BQ$250,28,0)+HLOOKUP(C78,PMGR!$BE$2:$BQ$250,43,0)+HLOOKUP(C78,PMGR!$BE$2:$BQ$250,44,0)+HLOOKUP(C78,PMGR!$BE$2:$BQ$250,45,0)+HLOOKUP(C78,PMGR!$BE$2:$BQ$250,54,0)+HLOOKUP(C78,PMGR!$BE$2:$BQ$250,59,0)</f>
        <v>21985990.737216476</v>
      </c>
      <c r="F78" s="106">
        <f>+HLOOKUP(C78,PMGR!$BE$2:$BQ$250,37,0)+HLOOKUP(C78,PMGR!$BE$2:$BQ$250,55,0)</f>
        <v>15539036.436000003</v>
      </c>
      <c r="G78" s="106">
        <f>+HLOOKUP($C78,PMGR!$BE$2:$BQ$250,76,0)</f>
        <v>0</v>
      </c>
      <c r="H78" s="106">
        <f>+HLOOKUP($C78,PMGR!$BE$2:$BQ$250,77,0)</f>
        <v>0</v>
      </c>
      <c r="I78" s="106">
        <f>+HLOOKUP($C78,PMGR!$BE$2:$BQ$250,78,0)</f>
        <v>0</v>
      </c>
      <c r="J78" s="106">
        <f>+HLOOKUP($C78,PMGR!$BE$2:$BQ$250,79,0)</f>
        <v>0</v>
      </c>
      <c r="K78" s="106">
        <f>+HLOOKUP($C78,PMGR!$BE$2:$BQ$250,80,0)</f>
        <v>0</v>
      </c>
      <c r="L78" s="106">
        <f>+HLOOKUP($C78,PMGR!$BE$2:$BQ$250,81,0)</f>
        <v>0</v>
      </c>
      <c r="M78" s="106">
        <f>+HLOOKUP($C78,PMGR!$BE$2:$BQ$250,82,0)</f>
        <v>0</v>
      </c>
      <c r="N78" s="106">
        <f>+HLOOKUP($C78,PMGR!$BE$2:$BQ$250,83,0)</f>
        <v>0</v>
      </c>
      <c r="O78" s="106">
        <f>+HLOOKUP($C78,PMGR!$BE$2:$BQ$250,84,0)</f>
        <v>0</v>
      </c>
      <c r="P78" s="106">
        <f>+HLOOKUP($C78,PMGR!$BE$2:$BQ$250,85,0)</f>
        <v>0</v>
      </c>
      <c r="Q78" s="106">
        <f>+HLOOKUP($C78,PMGR!$BE$2:$BQ$250,87,0)</f>
        <v>372384.29900000012</v>
      </c>
      <c r="R78" s="106">
        <f>+HLOOKUP($C78,PMGR!$BE$2:$BQ$250,90,0)</f>
        <v>0</v>
      </c>
      <c r="S78" s="106">
        <f>+HLOOKUP($C78,PMGR!$BE$2:$BQ$250,91,0)</f>
        <v>0</v>
      </c>
      <c r="T78" s="106">
        <f>+HLOOKUP($C78,PMGR!$BE$2:$BQ$250,92,0)</f>
        <v>0</v>
      </c>
      <c r="U78" s="106">
        <f>+HLOOKUP($C78,PMGR!$BE$2:$BQ$250,93,0)</f>
        <v>0</v>
      </c>
      <c r="V78" s="106">
        <f>+HLOOKUP($C78,PMGR!$BE$2:$BQ$250,94,0)</f>
        <v>0</v>
      </c>
      <c r="W78" s="106">
        <f>+HLOOKUP($C78,PMGR!$BE$2:$BQ$250,95,0)</f>
        <v>0</v>
      </c>
      <c r="X78" s="106">
        <f>+HLOOKUP($C78,PMGR!$BE$2:$BQ$250,96,0)</f>
        <v>0</v>
      </c>
      <c r="Y78" s="106">
        <f>+HLOOKUP($C78,PMGR!$BE$2:$BQ$250,97,0)</f>
        <v>0</v>
      </c>
      <c r="Z78" s="106">
        <f>+HLOOKUP($C78,PMGR!$BE$2:$BQ$250,98,0)</f>
        <v>0</v>
      </c>
      <c r="AA78" s="106">
        <f>+HLOOKUP($C78,PMGR!$BE$2:$BQ$250,99,0)</f>
        <v>0</v>
      </c>
      <c r="AB78" s="106">
        <f>+HLOOKUP($C78,PMGR!$BE$2:$BQ$250,100,0)</f>
        <v>0</v>
      </c>
      <c r="AC78" s="106">
        <f>+HLOOKUP($C78,PMGR!$BE$2:$BQ$250,101,0)</f>
        <v>14736</v>
      </c>
      <c r="AD78" s="106">
        <f>+HLOOKUP($C78,PMGR!$BE$2:$BQ$250,104,0)</f>
        <v>82562.59</v>
      </c>
      <c r="AE78" s="106">
        <f>+HLOOKUP($C78,PMGR!$BE$2:$BQ$250,105,0)</f>
        <v>7974</v>
      </c>
      <c r="AF78" s="106">
        <f>+HLOOKUP($C78,PMGR!$BE$2:$BQ$250,106,0)</f>
        <v>0</v>
      </c>
      <c r="AG78" s="106">
        <f>+HLOOKUP($C78,PMGR!$BE$2:$BQ$250,107,0)</f>
        <v>0</v>
      </c>
      <c r="AH78" s="106">
        <f>+HLOOKUP($C78,PMGR!$BE$2:$BQ$250,108,0)</f>
        <v>13641.3</v>
      </c>
      <c r="AI78" s="106">
        <f>+HLOOKUP($C78,PMGR!$BE$2:$BQ$250,109,0)</f>
        <v>70449.119999999995</v>
      </c>
      <c r="AJ78" s="106">
        <f>+HLOOKUP($C78,PMGR!$BE$2:$BQ$250,110,0)</f>
        <v>0</v>
      </c>
      <c r="AK78" s="106">
        <f>+HLOOKUP($C78,PMGR!$BE$2:$BQ$250,111,0)</f>
        <v>38067.800000000003</v>
      </c>
      <c r="AL78" s="106">
        <f>+HLOOKUP($C78,PMGR!$BE$2:$BQ$250,112,0)</f>
        <v>0</v>
      </c>
      <c r="AM78" s="106">
        <f>+HLOOKUP($C78,PMGR!$BE$2:$BQ$250,116,0)</f>
        <v>588068</v>
      </c>
      <c r="AN78" s="106">
        <f>+HLOOKUP($C78,PMGR!$BE$2:$BQ$250,117,0)</f>
        <v>87776.6</v>
      </c>
      <c r="AO78" s="106">
        <f>+HLOOKUP($C78,PMGR!$BE$2:$BQ$250,118,0)</f>
        <v>1500</v>
      </c>
      <c r="AP78" s="106">
        <f>+HLOOKUP($C78,PMGR!$BE$2:$BQ$250,119,0)</f>
        <v>205728.4</v>
      </c>
      <c r="AQ78" s="106">
        <f>+HLOOKUP($C78,PMGR!$BE$2:$BQ$250,120,0)</f>
        <v>45458</v>
      </c>
      <c r="AR78" s="106">
        <f>+HLOOKUP($C78,PMGR!$BE$2:$BQ$250,121,0)</f>
        <v>18685</v>
      </c>
      <c r="AS78" s="106">
        <f>+HLOOKUP($C78,PMGR!$BE$2:$BQ$250,122,0)</f>
        <v>291977.40000000002</v>
      </c>
      <c r="AT78" s="106">
        <f>+HLOOKUP($C78,PMGR!$BE$2:$BQ$250,123,0)</f>
        <v>74658.494586180561</v>
      </c>
      <c r="AU78" s="106">
        <f>+HLOOKUP($C78,PMGR!$BE$2:$BQ$250,124,0)</f>
        <v>6992</v>
      </c>
      <c r="AV78" s="106">
        <f>+HLOOKUP($C78,PMGR!$BE$2:$BQ$250,125,0)</f>
        <v>123620.90399999999</v>
      </c>
      <c r="AW78" s="106">
        <f>+HLOOKUP($C78,PMGR!$BE$2:$BQ$250,126,0)</f>
        <v>28437.499999999996</v>
      </c>
      <c r="AX78" s="106">
        <f>+HLOOKUP($C78,PMGR!$BE$2:$BQ$250,127,0)</f>
        <v>42233.333333333328</v>
      </c>
      <c r="AY78" s="106">
        <f>+HLOOKUP($C78,PMGR!$BE$2:$BQ$250,129,0)</f>
        <v>0</v>
      </c>
      <c r="AZ78" s="106">
        <f>+HLOOKUP($C78,PMGR!$BE$2:$BQ$250,130,0)</f>
        <v>0</v>
      </c>
      <c r="BA78" s="106">
        <f>+HLOOKUP($C78,PMGR!$BE$2:$BQ$250,131,0)</f>
        <v>0</v>
      </c>
      <c r="BB78" s="106">
        <f>+HLOOKUP($C78,PMGR!$BE$2:$BQ$250,133,0)</f>
        <v>0</v>
      </c>
      <c r="BC78" s="106">
        <f>+HLOOKUP($C78,PMGR!$BE$2:$BQ$250,134,0)</f>
        <v>67679.88</v>
      </c>
      <c r="BD78" s="106">
        <f>+HLOOKUP($C78,PMGR!$BE$2:$BQ$250,135,0)</f>
        <v>0</v>
      </c>
      <c r="BE78" s="106">
        <f>+HLOOKUP($C78,PMGR!$BE$2:$BQ$250,136,0)</f>
        <v>0</v>
      </c>
      <c r="BF78" s="106">
        <f>+HLOOKUP($C78,PMGR!$BE$2:$BQ$250,138,0)</f>
        <v>11207.699999999999</v>
      </c>
      <c r="BG78" s="106">
        <f>+HLOOKUP($C78,PMGR!$BE$2:$BQ$250,139,0)</f>
        <v>30571</v>
      </c>
      <c r="BH78" s="106">
        <f>+HLOOKUP($C78,PMGR!$BE$2:$BQ$250,140,0)</f>
        <v>49652</v>
      </c>
      <c r="BI78" s="106">
        <f>+HLOOKUP($C78,PMGR!$BE$2:$BQ$250,141,0)</f>
        <v>0</v>
      </c>
      <c r="BJ78" s="106">
        <f>+HLOOKUP($C78,PMGR!$BE$2:$BQ$250,142,0)</f>
        <v>0</v>
      </c>
      <c r="BK78" s="106">
        <f>+HLOOKUP($C78,PMGR!$BE$2:$BQ$250,143,0)</f>
        <v>0</v>
      </c>
      <c r="BL78" s="106">
        <f>+HLOOKUP($C78,PMGR!$BE$2:$BQ$250,144,0)</f>
        <v>2700</v>
      </c>
      <c r="BM78" s="106">
        <f>+HLOOKUP($C78,PMGR!$BE$2:$BQ$250,146,0)</f>
        <v>0</v>
      </c>
      <c r="BN78" s="106">
        <f>+HLOOKUP($C78,PMGR!$BE$2:$BQ$250,147,0)</f>
        <v>77887</v>
      </c>
      <c r="BO78" s="106">
        <f>+HLOOKUP($C78,PMGR!$BE$2:$BQ$250,148,0)</f>
        <v>0</v>
      </c>
      <c r="BP78" s="106">
        <f>+HLOOKUP($C78,PMGR!$BE$2:$BQ$250,150,0)</f>
        <v>54452.4</v>
      </c>
      <c r="BQ78" s="106">
        <f>+HLOOKUP($C78,PMGR!$BE$2:$BQ$250,151,0)</f>
        <v>9922</v>
      </c>
      <c r="BR78" s="106">
        <f>+HLOOKUP($C78,PMGR!$BE$2:$BQ$250,152,0)</f>
        <v>35000</v>
      </c>
      <c r="BS78" s="106">
        <f>+HLOOKUP($C78,PMGR!$BE$2:$BQ$250,153,0)</f>
        <v>0</v>
      </c>
      <c r="BT78" s="106">
        <f>+HLOOKUP($C78,PMGR!$BE$2:$BQ$250,157,0)</f>
        <v>0</v>
      </c>
      <c r="BU78" s="106">
        <f>+HLOOKUP($C78,PMGR!$BE$2:$BQ$250,158,0)</f>
        <v>5000</v>
      </c>
      <c r="BV78" s="106">
        <f>+HLOOKUP($C78,PMGR!$BE$2:$BQ$250,159,0)</f>
        <v>681</v>
      </c>
      <c r="BW78" s="106">
        <f>+HLOOKUP($C78,PMGR!$BE$2:$BQ$250,160,0)</f>
        <v>40431.640399999997</v>
      </c>
      <c r="BX78" s="106">
        <f>+HLOOKUP($C78,PMGR!$BE$2:$BQ$250,161,0)</f>
        <v>54501.27</v>
      </c>
      <c r="BY78" s="106">
        <f>+HLOOKUP($C78,PMGR!$BE$2:$BQ$250,164,0)</f>
        <v>13979.535</v>
      </c>
      <c r="BZ78" s="106">
        <f>+HLOOKUP($C78,PMGR!$BE$2:$BQ$250,165,0)</f>
        <v>44454.6</v>
      </c>
      <c r="CA78" s="106">
        <f>+HLOOKUP($C78,PMGR!$BE$2:$BQ$250,166,0)</f>
        <v>0</v>
      </c>
      <c r="CB78" s="106">
        <f>+HLOOKUP($C78,PMGR!$BE$2:$BQ$250,167,0)</f>
        <v>59634.44</v>
      </c>
      <c r="CC78" s="106">
        <f>+HLOOKUP($C78,PMGR!$BE$2:$BQ$250,168,0)</f>
        <v>0</v>
      </c>
      <c r="CD78" s="106">
        <f>+HLOOKUP($C78,PMGR!$BE$2:$BQ$250,169,0)</f>
        <v>300</v>
      </c>
      <c r="CE78" s="106">
        <f>+HLOOKUP($C78,PMGR!$BE$2:$BQ$250,170,0)</f>
        <v>0</v>
      </c>
      <c r="CF78" s="106">
        <f>+HLOOKUP($C78,PMGR!$BE$2:$BQ$250,172,0)</f>
        <v>32700</v>
      </c>
      <c r="CG78" s="106">
        <f>+HLOOKUP($C78,PMGR!$BE$2:$BQ$250,173,0)</f>
        <v>0</v>
      </c>
      <c r="CH78" s="106">
        <f>+HLOOKUP($C78,PMGR!$BE$2:$BQ$250,174,0)</f>
        <v>86400</v>
      </c>
      <c r="CI78" s="106">
        <f>+HLOOKUP($C78,PMGR!$BE$2:$BQ$250,175,0)</f>
        <v>6690</v>
      </c>
      <c r="CJ78" s="106">
        <f>+HLOOKUP($C78,PMGR!$BE$2:$BQ$250,176,0)</f>
        <v>3401.4206000000004</v>
      </c>
      <c r="CK78" s="106">
        <f>+HLOOKUP($C78,PMGR!$BE$2:$BQ$250,178,0)</f>
        <v>87547.8</v>
      </c>
      <c r="CL78" s="106">
        <f>+HLOOKUP($C78,PMGR!$BE$2:$BQ$250,179,0)</f>
        <v>7426.5</v>
      </c>
      <c r="CM78" s="106">
        <f>+HLOOKUP($C78,PMGR!$BE$2:$BQ$250,180,0)</f>
        <v>0</v>
      </c>
      <c r="CN78" s="106">
        <f>+HLOOKUP($C78,PMGR!$BE$2:$BQ$250,182,0)</f>
        <v>913.73939999999993</v>
      </c>
      <c r="CO78" s="106">
        <f>+HLOOKUP($C78,PMGR!$BE$2:$BQ$250,183,0)</f>
        <v>31368.94</v>
      </c>
      <c r="CP78" s="106">
        <f>+HLOOKUP($C78,PMGR!$BE$2:$BQ$250,184,0)</f>
        <v>2644.02</v>
      </c>
      <c r="CQ78" s="106">
        <f>+HLOOKUP($C78,PMGR!$BE$2:$BQ$250,185,0)</f>
        <v>0</v>
      </c>
      <c r="CR78" s="106">
        <f>+HLOOKUP($C78,PMGR!$BE$2:$BQ$250,187,0)</f>
        <v>3749.7599999999993</v>
      </c>
      <c r="CS78" s="106">
        <f>+HLOOKUP($C78,PMGR!$BE$2:$BQ$250,188,0)</f>
        <v>0</v>
      </c>
      <c r="CT78" s="106">
        <f>+HLOOKUP($C78,PMGR!$BE$2:$BQ$250,189,0)</f>
        <v>0</v>
      </c>
      <c r="CU78" s="106">
        <f>+HLOOKUP($C78,PMGR!$BE$2:$BQ$250,190,0)</f>
        <v>12000</v>
      </c>
      <c r="CV78" s="106">
        <f>+HLOOKUP($C78,PMGR!$BE$2:$BQ$250,191,0)</f>
        <v>0</v>
      </c>
      <c r="CW78" s="106">
        <f>+HLOOKUP($C78,PMGR!$BE$2:$BQ$250,193,0)</f>
        <v>16684.2</v>
      </c>
      <c r="CX78" s="106">
        <f>+HLOOKUP($C78,PMGR!$BE$2:$BQ$250,194,0)</f>
        <v>422.64</v>
      </c>
      <c r="CY78" s="106">
        <f>+HLOOKUP($C78,PMGR!$BE$2:$BQ$250,195,0)</f>
        <v>0</v>
      </c>
      <c r="CZ78" s="106">
        <f>+HLOOKUP($C78,PMGR!$BE$2:$BQ$250,196,0)</f>
        <v>0</v>
      </c>
      <c r="DA78" s="106">
        <f>+HLOOKUP($C78,PMGR!$BE$2:$BQ$250,197,0)</f>
        <v>6438.7919999999995</v>
      </c>
      <c r="DB78" s="106">
        <f>+HLOOKUP($C78,PMGR!$BE$2:$BQ$250,198,0)</f>
        <v>21498.92</v>
      </c>
      <c r="DC78" s="106">
        <f>+HLOOKUP($C78,PMGR!$BE$2:$BQ$250,199,0)</f>
        <v>7182.68</v>
      </c>
      <c r="DD78" s="106">
        <f>+HLOOKUP($C78,PMGR!$BE$2:$BQ$250,200,0)</f>
        <v>4930</v>
      </c>
      <c r="DE78" s="106">
        <f>+HLOOKUP($C78,PMGR!$BE$2:$BQ$250,201,0)</f>
        <v>1020.3</v>
      </c>
      <c r="DF78" s="106">
        <f>+HLOOKUP($C78,PMGR!$BE$2:$BQ$250,202,0)</f>
        <v>2.6655999999999995</v>
      </c>
      <c r="DG78" s="106">
        <f>+HLOOKUP($C78,PMGR!$BE$2:$BQ$250,203,0)</f>
        <v>-5.1497999999999999</v>
      </c>
      <c r="DH78" s="106">
        <f>+HLOOKUP($C78,PMGR!$BE$2:$BQ$250,205,0)</f>
        <v>0</v>
      </c>
      <c r="DI78" s="106">
        <f>+HLOOKUP($C78,PMGR!$BE$2:$BQ$250,206,0)</f>
        <v>9734</v>
      </c>
      <c r="DJ78" s="106">
        <f>+HLOOKUP($C78,PMGR!$BE$2:$BQ$250,207,0)</f>
        <v>122042.1768</v>
      </c>
      <c r="DK78" s="106">
        <f>+HLOOKUP($C78,PMGR!$BE$2:$BQ$250,209,0)</f>
        <v>0</v>
      </c>
      <c r="DL78" s="106">
        <f>+HLOOKUP($C78,PMGR!$BE$2:$BQ$250,210,0)</f>
        <v>186159</v>
      </c>
      <c r="DM78" s="106">
        <f>+HLOOKUP($C78,PMGR!$BE$2:$BQ$250,211,0)</f>
        <v>0</v>
      </c>
      <c r="DN78" s="106">
        <f>+HLOOKUP($C78,PMGR!$BE$2:$BQ$250,212,0)</f>
        <v>0</v>
      </c>
      <c r="DO78" s="106">
        <f>+HLOOKUP($C78,PMGR!$BE$2:$BQ$250,214,0)</f>
        <v>0</v>
      </c>
      <c r="DP78" s="106">
        <f>+HLOOKUP($C78,PMGR!$BE$2:$BQ$250,215,0)</f>
        <v>1700</v>
      </c>
      <c r="DQ78" s="106">
        <f>+HLOOKUP($C78,PMGR!$BE$2:$BQ$250,219,0)</f>
        <v>0</v>
      </c>
      <c r="DR78" s="106">
        <f>+HLOOKUP($C78,PMGR!$BE$2:$BQ$250,220,0)</f>
        <v>0</v>
      </c>
      <c r="DS78" s="106">
        <f>+HLOOKUP($C78,PMGR!$BE$2:$BQ$250,221,0)</f>
        <v>0</v>
      </c>
      <c r="DT78" s="106">
        <f>+HLOOKUP($C78,PMGR!$BE$2:$BQ$250,223,0)</f>
        <v>24315.730200000002</v>
      </c>
      <c r="DU78" s="106">
        <f>+HLOOKUP($C78,PMGR!$BE$2:$BQ$250,224,0)</f>
        <v>0</v>
      </c>
      <c r="DV78" s="106">
        <f>+HLOOKUP($C78,PMGR!$BE$2:$BQ$250,225,0)</f>
        <v>0</v>
      </c>
      <c r="DW78" s="106">
        <f>+HLOOKUP($C78,PMGR!$BE$2:$BQ$250,227,0)</f>
        <v>0</v>
      </c>
      <c r="DX78" s="106">
        <f>+HLOOKUP($C78,PMGR!$BE$2:$BQ$250,228,0)</f>
        <v>3356.4599999999996</v>
      </c>
      <c r="DY78" s="106">
        <f>+HLOOKUP($C78,PMGR!$BE$2:$BQ$250,236,0)</f>
        <v>292047.59999999998</v>
      </c>
      <c r="DZ78" s="106">
        <f>+HLOOKUP($C78,PMGR!$BE$2:$BQ$250,237,0)</f>
        <v>28470.385679999999</v>
      </c>
      <c r="EA78" s="106">
        <f>+HLOOKUP($C78,PMGR!$BE$2:$BQ$250,238,0)</f>
        <v>28522.2</v>
      </c>
      <c r="EB78" s="106">
        <f>+HLOOKUP($C78,PMGR!$BE$2:$BQ$250,240,0)</f>
        <v>675475.61596874997</v>
      </c>
    </row>
    <row r="79" spans="1:132">
      <c r="A79" t="s">
        <v>269</v>
      </c>
      <c r="B79" t="s">
        <v>217</v>
      </c>
      <c r="C79" s="117">
        <v>45839</v>
      </c>
      <c r="D79" s="106">
        <f t="shared" si="0"/>
        <v>22062730.764733646</v>
      </c>
      <c r="E79" s="106">
        <f>+HLOOKUP(C79,PMGR!$BE$2:$BQ$250,28,0)+HLOOKUP(C79,PMGR!$BE$2:$BQ$250,43,0)+HLOOKUP(C79,PMGR!$BE$2:$BQ$250,44,0)+HLOOKUP(C79,PMGR!$BE$2:$BQ$250,45,0)+HLOOKUP(C79,PMGR!$BE$2:$BQ$250,54,0)+HLOOKUP(C79,PMGR!$BE$2:$BQ$250,59,0)</f>
        <v>22062730.764733646</v>
      </c>
      <c r="F79" s="106">
        <f>+HLOOKUP(C79,PMGR!$BE$2:$BQ$250,37,0)+HLOOKUP(C79,PMGR!$BE$2:$BQ$250,55,0)</f>
        <v>15130314.295999993</v>
      </c>
      <c r="G79" s="106">
        <f>+HLOOKUP($C79,PMGR!$BE$2:$BQ$250,76,0)</f>
        <v>0</v>
      </c>
      <c r="H79" s="106">
        <f>+HLOOKUP($C79,PMGR!$BE$2:$BQ$250,77,0)</f>
        <v>0</v>
      </c>
      <c r="I79" s="106">
        <f>+HLOOKUP($C79,PMGR!$BE$2:$BQ$250,78,0)</f>
        <v>0</v>
      </c>
      <c r="J79" s="106">
        <f>+HLOOKUP($C79,PMGR!$BE$2:$BQ$250,79,0)</f>
        <v>0</v>
      </c>
      <c r="K79" s="106">
        <f>+HLOOKUP($C79,PMGR!$BE$2:$BQ$250,80,0)</f>
        <v>4000</v>
      </c>
      <c r="L79" s="106">
        <f>+HLOOKUP($C79,PMGR!$BE$2:$BQ$250,81,0)</f>
        <v>0</v>
      </c>
      <c r="M79" s="106">
        <f>+HLOOKUP($C79,PMGR!$BE$2:$BQ$250,82,0)</f>
        <v>0</v>
      </c>
      <c r="N79" s="106">
        <f>+HLOOKUP($C79,PMGR!$BE$2:$BQ$250,83,0)</f>
        <v>0</v>
      </c>
      <c r="O79" s="106">
        <f>+HLOOKUP($C79,PMGR!$BE$2:$BQ$250,84,0)</f>
        <v>0</v>
      </c>
      <c r="P79" s="106">
        <f>+HLOOKUP($C79,PMGR!$BE$2:$BQ$250,85,0)</f>
        <v>0</v>
      </c>
      <c r="Q79" s="106">
        <f>+HLOOKUP($C79,PMGR!$BE$2:$BQ$250,87,0)</f>
        <v>426255.45400000003</v>
      </c>
      <c r="R79" s="106">
        <f>+HLOOKUP($C79,PMGR!$BE$2:$BQ$250,90,0)</f>
        <v>0</v>
      </c>
      <c r="S79" s="106">
        <f>+HLOOKUP($C79,PMGR!$BE$2:$BQ$250,91,0)</f>
        <v>0</v>
      </c>
      <c r="T79" s="106">
        <f>+HLOOKUP($C79,PMGR!$BE$2:$BQ$250,92,0)</f>
        <v>1715.85</v>
      </c>
      <c r="U79" s="106">
        <f>+HLOOKUP($C79,PMGR!$BE$2:$BQ$250,93,0)</f>
        <v>0</v>
      </c>
      <c r="V79" s="106">
        <f>+HLOOKUP($C79,PMGR!$BE$2:$BQ$250,94,0)</f>
        <v>0</v>
      </c>
      <c r="W79" s="106">
        <f>+HLOOKUP($C79,PMGR!$BE$2:$BQ$250,95,0)</f>
        <v>0</v>
      </c>
      <c r="X79" s="106">
        <f>+HLOOKUP($C79,PMGR!$BE$2:$BQ$250,96,0)</f>
        <v>0</v>
      </c>
      <c r="Y79" s="106">
        <f>+HLOOKUP($C79,PMGR!$BE$2:$BQ$250,97,0)</f>
        <v>0</v>
      </c>
      <c r="Z79" s="106">
        <f>+HLOOKUP($C79,PMGR!$BE$2:$BQ$250,98,0)</f>
        <v>0</v>
      </c>
      <c r="AA79" s="106">
        <f>+HLOOKUP($C79,PMGR!$BE$2:$BQ$250,99,0)</f>
        <v>0</v>
      </c>
      <c r="AB79" s="106">
        <f>+HLOOKUP($C79,PMGR!$BE$2:$BQ$250,100,0)</f>
        <v>0</v>
      </c>
      <c r="AC79" s="106">
        <f>+HLOOKUP($C79,PMGR!$BE$2:$BQ$250,101,0)</f>
        <v>0</v>
      </c>
      <c r="AD79" s="106">
        <f>+HLOOKUP($C79,PMGR!$BE$2:$BQ$250,104,0)</f>
        <v>0</v>
      </c>
      <c r="AE79" s="106">
        <f>+HLOOKUP($C79,PMGR!$BE$2:$BQ$250,105,0)</f>
        <v>5400</v>
      </c>
      <c r="AF79" s="106">
        <f>+HLOOKUP($C79,PMGR!$BE$2:$BQ$250,106,0)</f>
        <v>0</v>
      </c>
      <c r="AG79" s="106">
        <f>+HLOOKUP($C79,PMGR!$BE$2:$BQ$250,107,0)</f>
        <v>0</v>
      </c>
      <c r="AH79" s="106">
        <f>+HLOOKUP($C79,PMGR!$BE$2:$BQ$250,108,0)</f>
        <v>0</v>
      </c>
      <c r="AI79" s="106">
        <f>+HLOOKUP($C79,PMGR!$BE$2:$BQ$250,109,0)</f>
        <v>0</v>
      </c>
      <c r="AJ79" s="106">
        <f>+HLOOKUP($C79,PMGR!$BE$2:$BQ$250,110,0)</f>
        <v>0</v>
      </c>
      <c r="AK79" s="106">
        <f>+HLOOKUP($C79,PMGR!$BE$2:$BQ$250,111,0)</f>
        <v>5920</v>
      </c>
      <c r="AL79" s="106">
        <f>+HLOOKUP($C79,PMGR!$BE$2:$BQ$250,112,0)</f>
        <v>0</v>
      </c>
      <c r="AM79" s="106">
        <f>+HLOOKUP($C79,PMGR!$BE$2:$BQ$250,116,0)</f>
        <v>587741</v>
      </c>
      <c r="AN79" s="106">
        <f>+HLOOKUP($C79,PMGR!$BE$2:$BQ$250,117,0)</f>
        <v>87676</v>
      </c>
      <c r="AO79" s="106">
        <f>+HLOOKUP($C79,PMGR!$BE$2:$BQ$250,118,0)</f>
        <v>1500</v>
      </c>
      <c r="AP79" s="106">
        <f>+HLOOKUP($C79,PMGR!$BE$2:$BQ$250,119,0)</f>
        <v>205426</v>
      </c>
      <c r="AQ79" s="106">
        <f>+HLOOKUP($C79,PMGR!$BE$2:$BQ$250,120,0)</f>
        <v>45419</v>
      </c>
      <c r="AR79" s="106">
        <f>+HLOOKUP($C79,PMGR!$BE$2:$BQ$250,121,0)</f>
        <v>18700</v>
      </c>
      <c r="AS79" s="106">
        <f>+HLOOKUP($C79,PMGR!$BE$2:$BQ$250,122,0)</f>
        <v>287607</v>
      </c>
      <c r="AT79" s="106">
        <f>+HLOOKUP($C79,PMGR!$BE$2:$BQ$250,123,0)</f>
        <v>74658.494586180561</v>
      </c>
      <c r="AU79" s="106">
        <f>+HLOOKUP($C79,PMGR!$BE$2:$BQ$250,124,0)</f>
        <v>6992</v>
      </c>
      <c r="AV79" s="106">
        <f>+HLOOKUP($C79,PMGR!$BE$2:$BQ$250,125,0)</f>
        <v>147920.90399999998</v>
      </c>
      <c r="AW79" s="106">
        <f>+HLOOKUP($C79,PMGR!$BE$2:$BQ$250,126,0)</f>
        <v>28437.499999999996</v>
      </c>
      <c r="AX79" s="106">
        <f>+HLOOKUP($C79,PMGR!$BE$2:$BQ$250,127,0)</f>
        <v>42233.333333333328</v>
      </c>
      <c r="AY79" s="106">
        <f>+HLOOKUP($C79,PMGR!$BE$2:$BQ$250,129,0)</f>
        <v>0</v>
      </c>
      <c r="AZ79" s="106">
        <f>+HLOOKUP($C79,PMGR!$BE$2:$BQ$250,130,0)</f>
        <v>0</v>
      </c>
      <c r="BA79" s="106">
        <f>+HLOOKUP($C79,PMGR!$BE$2:$BQ$250,131,0)</f>
        <v>0</v>
      </c>
      <c r="BB79" s="106">
        <f>+HLOOKUP($C79,PMGR!$BE$2:$BQ$250,133,0)</f>
        <v>0</v>
      </c>
      <c r="BC79" s="106">
        <f>+HLOOKUP($C79,PMGR!$BE$2:$BQ$250,134,0)</f>
        <v>63629.88</v>
      </c>
      <c r="BD79" s="106">
        <f>+HLOOKUP($C79,PMGR!$BE$2:$BQ$250,135,0)</f>
        <v>0</v>
      </c>
      <c r="BE79" s="106">
        <f>+HLOOKUP($C79,PMGR!$BE$2:$BQ$250,136,0)</f>
        <v>82319.718599999993</v>
      </c>
      <c r="BF79" s="106">
        <f>+HLOOKUP($C79,PMGR!$BE$2:$BQ$250,138,0)</f>
        <v>11207.761232876712</v>
      </c>
      <c r="BG79" s="106">
        <f>+HLOOKUP($C79,PMGR!$BE$2:$BQ$250,139,0)</f>
        <v>37592</v>
      </c>
      <c r="BH79" s="106">
        <f>+HLOOKUP($C79,PMGR!$BE$2:$BQ$250,140,0)</f>
        <v>29791.199999999997</v>
      </c>
      <c r="BI79" s="106">
        <f>+HLOOKUP($C79,PMGR!$BE$2:$BQ$250,141,0)</f>
        <v>0</v>
      </c>
      <c r="BJ79" s="106">
        <f>+HLOOKUP($C79,PMGR!$BE$2:$BQ$250,142,0)</f>
        <v>0</v>
      </c>
      <c r="BK79" s="106">
        <f>+HLOOKUP($C79,PMGR!$BE$2:$BQ$250,143,0)</f>
        <v>0</v>
      </c>
      <c r="BL79" s="106">
        <f>+HLOOKUP($C79,PMGR!$BE$2:$BQ$250,144,0)</f>
        <v>0</v>
      </c>
      <c r="BM79" s="106">
        <f>+HLOOKUP($C79,PMGR!$BE$2:$BQ$250,146,0)</f>
        <v>0</v>
      </c>
      <c r="BN79" s="106">
        <f>+HLOOKUP($C79,PMGR!$BE$2:$BQ$250,147,0)</f>
        <v>17472</v>
      </c>
      <c r="BO79" s="106">
        <f>+HLOOKUP($C79,PMGR!$BE$2:$BQ$250,148,0)</f>
        <v>0</v>
      </c>
      <c r="BP79" s="106">
        <f>+HLOOKUP($C79,PMGR!$BE$2:$BQ$250,150,0)</f>
        <v>51914.400000000001</v>
      </c>
      <c r="BQ79" s="106">
        <f>+HLOOKUP($C79,PMGR!$BE$2:$BQ$250,151,0)</f>
        <v>9922</v>
      </c>
      <c r="BR79" s="106">
        <f>+HLOOKUP($C79,PMGR!$BE$2:$BQ$250,152,0)</f>
        <v>35000</v>
      </c>
      <c r="BS79" s="106">
        <f>+HLOOKUP($C79,PMGR!$BE$2:$BQ$250,153,0)</f>
        <v>2180</v>
      </c>
      <c r="BT79" s="106">
        <f>+HLOOKUP($C79,PMGR!$BE$2:$BQ$250,157,0)</f>
        <v>0</v>
      </c>
      <c r="BU79" s="106">
        <f>+HLOOKUP($C79,PMGR!$BE$2:$BQ$250,158,0)</f>
        <v>0</v>
      </c>
      <c r="BV79" s="106">
        <f>+HLOOKUP($C79,PMGR!$BE$2:$BQ$250,159,0)</f>
        <v>680.555555555556</v>
      </c>
      <c r="BW79" s="106">
        <f>+HLOOKUP($C79,PMGR!$BE$2:$BQ$250,160,0)</f>
        <v>27149.7166666667</v>
      </c>
      <c r="BX79" s="106">
        <f>+HLOOKUP($C79,PMGR!$BE$2:$BQ$250,161,0)</f>
        <v>8507.25</v>
      </c>
      <c r="BY79" s="106">
        <f>+HLOOKUP($C79,PMGR!$BE$2:$BQ$250,164,0)</f>
        <v>9858.9659999999985</v>
      </c>
      <c r="BZ79" s="106">
        <f>+HLOOKUP($C79,PMGR!$BE$2:$BQ$250,165,0)</f>
        <v>29893.66</v>
      </c>
      <c r="CA79" s="106">
        <f>+HLOOKUP($C79,PMGR!$BE$2:$BQ$250,166,0)</f>
        <v>0</v>
      </c>
      <c r="CB79" s="106">
        <f>+HLOOKUP($C79,PMGR!$BE$2:$BQ$250,167,0)</f>
        <v>179013.31999999998</v>
      </c>
      <c r="CC79" s="106">
        <f>+HLOOKUP($C79,PMGR!$BE$2:$BQ$250,168,0)</f>
        <v>0</v>
      </c>
      <c r="CD79" s="106">
        <f>+HLOOKUP($C79,PMGR!$BE$2:$BQ$250,169,0)</f>
        <v>7526.9654</v>
      </c>
      <c r="CE79" s="106">
        <f>+HLOOKUP($C79,PMGR!$BE$2:$BQ$250,170,0)</f>
        <v>0</v>
      </c>
      <c r="CF79" s="106">
        <f>+HLOOKUP($C79,PMGR!$BE$2:$BQ$250,172,0)</f>
        <v>32700</v>
      </c>
      <c r="CG79" s="106">
        <f>+HLOOKUP($C79,PMGR!$BE$2:$BQ$250,173,0)</f>
        <v>0</v>
      </c>
      <c r="CH79" s="106">
        <f>+HLOOKUP($C79,PMGR!$BE$2:$BQ$250,174,0)</f>
        <v>115896</v>
      </c>
      <c r="CI79" s="106">
        <f>+HLOOKUP($C79,PMGR!$BE$2:$BQ$250,175,0)</f>
        <v>48965.5</v>
      </c>
      <c r="CJ79" s="106">
        <f>+HLOOKUP($C79,PMGR!$BE$2:$BQ$250,176,0)</f>
        <v>3401.1039555555985</v>
      </c>
      <c r="CK79" s="106">
        <f>+HLOOKUP($C79,PMGR!$BE$2:$BQ$250,178,0)</f>
        <v>89716.478000000003</v>
      </c>
      <c r="CL79" s="106">
        <f>+HLOOKUP($C79,PMGR!$BE$2:$BQ$250,179,0)</f>
        <v>12635.159999999998</v>
      </c>
      <c r="CM79" s="106">
        <f>+HLOOKUP($C79,PMGR!$BE$2:$BQ$250,180,0)</f>
        <v>0</v>
      </c>
      <c r="CN79" s="106">
        <f>+HLOOKUP($C79,PMGR!$BE$2:$BQ$250,182,0)</f>
        <v>913.73939999999993</v>
      </c>
      <c r="CO79" s="106">
        <f>+HLOOKUP($C79,PMGR!$BE$2:$BQ$250,183,0)</f>
        <v>31282.368617582415</v>
      </c>
      <c r="CP79" s="106">
        <f>+HLOOKUP($C79,PMGR!$BE$2:$BQ$250,184,0)</f>
        <v>11578.161600000001</v>
      </c>
      <c r="CQ79" s="106">
        <f>+HLOOKUP($C79,PMGR!$BE$2:$BQ$250,185,0)</f>
        <v>0</v>
      </c>
      <c r="CR79" s="106">
        <f>+HLOOKUP($C79,PMGR!$BE$2:$BQ$250,187,0)</f>
        <v>3749.7599999999993</v>
      </c>
      <c r="CS79" s="106">
        <f>+HLOOKUP($C79,PMGR!$BE$2:$BQ$250,188,0)</f>
        <v>2700</v>
      </c>
      <c r="CT79" s="106">
        <f>+HLOOKUP($C79,PMGR!$BE$2:$BQ$250,189,0)</f>
        <v>0</v>
      </c>
      <c r="CU79" s="106">
        <f>+HLOOKUP($C79,PMGR!$BE$2:$BQ$250,190,0)</f>
        <v>1499.94</v>
      </c>
      <c r="CV79" s="106">
        <f>+HLOOKUP($C79,PMGR!$BE$2:$BQ$250,191,0)</f>
        <v>0</v>
      </c>
      <c r="CW79" s="106">
        <f>+HLOOKUP($C79,PMGR!$BE$2:$BQ$250,193,0)</f>
        <v>16684.398000000001</v>
      </c>
      <c r="CX79" s="106">
        <f>+HLOOKUP($C79,PMGR!$BE$2:$BQ$250,194,0)</f>
        <v>1553.8728395061719</v>
      </c>
      <c r="CY79" s="106">
        <f>+HLOOKUP($C79,PMGR!$BE$2:$BQ$250,195,0)</f>
        <v>0</v>
      </c>
      <c r="CZ79" s="106">
        <f>+HLOOKUP($C79,PMGR!$BE$2:$BQ$250,196,0)</f>
        <v>0</v>
      </c>
      <c r="DA79" s="106">
        <f>+HLOOKUP($C79,PMGR!$BE$2:$BQ$250,197,0)</f>
        <v>4629.3599999999997</v>
      </c>
      <c r="DB79" s="106">
        <f>+HLOOKUP($C79,PMGR!$BE$2:$BQ$250,198,0)</f>
        <v>20735.45</v>
      </c>
      <c r="DC79" s="106">
        <f>+HLOOKUP($C79,PMGR!$BE$2:$BQ$250,199,0)</f>
        <v>0</v>
      </c>
      <c r="DD79" s="106">
        <f>+HLOOKUP($C79,PMGR!$BE$2:$BQ$250,200,0)</f>
        <v>30922</v>
      </c>
      <c r="DE79" s="106">
        <f>+HLOOKUP($C79,PMGR!$BE$2:$BQ$250,201,0)</f>
        <v>1998.8</v>
      </c>
      <c r="DF79" s="106">
        <f>+HLOOKUP($C79,PMGR!$BE$2:$BQ$250,202,0)</f>
        <v>3.3624000000000001</v>
      </c>
      <c r="DG79" s="106">
        <f>+HLOOKUP($C79,PMGR!$BE$2:$BQ$250,203,0)</f>
        <v>51.892200000000003</v>
      </c>
      <c r="DH79" s="106">
        <f>+HLOOKUP($C79,PMGR!$BE$2:$BQ$250,205,0)</f>
        <v>0</v>
      </c>
      <c r="DI79" s="106">
        <f>+HLOOKUP($C79,PMGR!$BE$2:$BQ$250,206,0)</f>
        <v>9733.5</v>
      </c>
      <c r="DJ79" s="106">
        <f>+HLOOKUP($C79,PMGR!$BE$2:$BQ$250,207,0)</f>
        <v>130882.62005494529</v>
      </c>
      <c r="DK79" s="106">
        <f>+HLOOKUP($C79,PMGR!$BE$2:$BQ$250,209,0)</f>
        <v>0</v>
      </c>
      <c r="DL79" s="106">
        <f>+HLOOKUP($C79,PMGR!$BE$2:$BQ$250,210,0)</f>
        <v>186159</v>
      </c>
      <c r="DM79" s="106">
        <f>+HLOOKUP($C79,PMGR!$BE$2:$BQ$250,211,0)</f>
        <v>0</v>
      </c>
      <c r="DN79" s="106">
        <f>+HLOOKUP($C79,PMGR!$BE$2:$BQ$250,212,0)</f>
        <v>0</v>
      </c>
      <c r="DO79" s="106">
        <f>+HLOOKUP($C79,PMGR!$BE$2:$BQ$250,214,0)</f>
        <v>0</v>
      </c>
      <c r="DP79" s="106">
        <f>+HLOOKUP($C79,PMGR!$BE$2:$BQ$250,215,0)</f>
        <v>1700</v>
      </c>
      <c r="DQ79" s="106">
        <f>+HLOOKUP($C79,PMGR!$BE$2:$BQ$250,219,0)</f>
        <v>0</v>
      </c>
      <c r="DR79" s="106">
        <f>+HLOOKUP($C79,PMGR!$BE$2:$BQ$250,220,0)</f>
        <v>0</v>
      </c>
      <c r="DS79" s="106">
        <f>+HLOOKUP($C79,PMGR!$BE$2:$BQ$250,221,0)</f>
        <v>0</v>
      </c>
      <c r="DT79" s="106">
        <f>+HLOOKUP($C79,PMGR!$BE$2:$BQ$250,223,0)</f>
        <v>23210.839799999994</v>
      </c>
      <c r="DU79" s="106">
        <f>+HLOOKUP($C79,PMGR!$BE$2:$BQ$250,224,0)</f>
        <v>0</v>
      </c>
      <c r="DV79" s="106">
        <f>+HLOOKUP($C79,PMGR!$BE$2:$BQ$250,225,0)</f>
        <v>0</v>
      </c>
      <c r="DW79" s="106">
        <f>+HLOOKUP($C79,PMGR!$BE$2:$BQ$250,227,0)</f>
        <v>0</v>
      </c>
      <c r="DX79" s="106">
        <f>+HLOOKUP($C79,PMGR!$BE$2:$BQ$250,228,0)</f>
        <v>0</v>
      </c>
      <c r="DY79" s="106">
        <f>+HLOOKUP($C79,PMGR!$BE$2:$BQ$250,236,0)</f>
        <v>301063.8</v>
      </c>
      <c r="DZ79" s="106">
        <f>+HLOOKUP($C79,PMGR!$BE$2:$BQ$250,237,0)</f>
        <v>29826.733199999999</v>
      </c>
      <c r="EA79" s="106">
        <f>+HLOOKUP($C79,PMGR!$BE$2:$BQ$250,238,0)</f>
        <v>31262.399999999998</v>
      </c>
      <c r="EB79" s="106">
        <f>+HLOOKUP($C79,PMGR!$BE$2:$BQ$250,240,0)</f>
        <v>675475.61596874997</v>
      </c>
    </row>
    <row r="80" spans="1:132">
      <c r="A80" t="s">
        <v>269</v>
      </c>
      <c r="B80" t="s">
        <v>217</v>
      </c>
      <c r="C80" s="117">
        <v>45809</v>
      </c>
      <c r="D80" s="106">
        <f t="shared" si="0"/>
        <v>17638861.599501122</v>
      </c>
      <c r="E80" s="106">
        <f>+HLOOKUP(C80,PMGR!$BE$2:$BQ$250,28,0)+HLOOKUP(C80,PMGR!$BE$2:$BQ$250,43,0)+HLOOKUP(C80,PMGR!$BE$2:$BQ$250,44,0)+HLOOKUP(C80,PMGR!$BE$2:$BQ$250,45,0)+HLOOKUP(C80,PMGR!$BE$2:$BQ$250,54,0)+HLOOKUP(C80,PMGR!$BE$2:$BQ$250,59,0)</f>
        <v>17638861.599501122</v>
      </c>
      <c r="F80" s="106">
        <f>+HLOOKUP(C80,PMGR!$BE$2:$BQ$250,37,0)+HLOOKUP(C80,PMGR!$BE$2:$BQ$250,55,0)</f>
        <v>11671381.212000007</v>
      </c>
      <c r="G80" s="106">
        <f>+HLOOKUP($C80,PMGR!$BE$2:$BQ$250,76,0)</f>
        <v>0</v>
      </c>
      <c r="H80" s="106">
        <f>+HLOOKUP($C80,PMGR!$BE$2:$BQ$250,77,0)</f>
        <v>0</v>
      </c>
      <c r="I80" s="106">
        <f>+HLOOKUP($C80,PMGR!$BE$2:$BQ$250,78,0)</f>
        <v>0</v>
      </c>
      <c r="J80" s="106">
        <f>+HLOOKUP($C80,PMGR!$BE$2:$BQ$250,79,0)</f>
        <v>0</v>
      </c>
      <c r="K80" s="106">
        <f>+HLOOKUP($C80,PMGR!$BE$2:$BQ$250,80,0)</f>
        <v>0</v>
      </c>
      <c r="L80" s="106">
        <f>+HLOOKUP($C80,PMGR!$BE$2:$BQ$250,81,0)</f>
        <v>0</v>
      </c>
      <c r="M80" s="106">
        <f>+HLOOKUP($C80,PMGR!$BE$2:$BQ$250,82,0)</f>
        <v>0</v>
      </c>
      <c r="N80" s="106">
        <f>+HLOOKUP($C80,PMGR!$BE$2:$BQ$250,83,0)</f>
        <v>0</v>
      </c>
      <c r="O80" s="106">
        <f>+HLOOKUP($C80,PMGR!$BE$2:$BQ$250,84,0)</f>
        <v>0</v>
      </c>
      <c r="P80" s="106">
        <f>+HLOOKUP($C80,PMGR!$BE$2:$BQ$250,85,0)</f>
        <v>0</v>
      </c>
      <c r="Q80" s="106">
        <f>+HLOOKUP($C80,PMGR!$BE$2:$BQ$250,87,0)</f>
        <v>247055.36200000011</v>
      </c>
      <c r="R80" s="106">
        <f>+HLOOKUP($C80,PMGR!$BE$2:$BQ$250,90,0)</f>
        <v>0</v>
      </c>
      <c r="S80" s="106">
        <f>+HLOOKUP($C80,PMGR!$BE$2:$BQ$250,91,0)</f>
        <v>900</v>
      </c>
      <c r="T80" s="106">
        <f>+HLOOKUP($C80,PMGR!$BE$2:$BQ$250,92,0)</f>
        <v>0</v>
      </c>
      <c r="U80" s="106">
        <f>+HLOOKUP($C80,PMGR!$BE$2:$BQ$250,93,0)</f>
        <v>0</v>
      </c>
      <c r="V80" s="106">
        <f>+HLOOKUP($C80,PMGR!$BE$2:$BQ$250,94,0)</f>
        <v>0</v>
      </c>
      <c r="W80" s="106">
        <f>+HLOOKUP($C80,PMGR!$BE$2:$BQ$250,95,0)</f>
        <v>0</v>
      </c>
      <c r="X80" s="106">
        <f>+HLOOKUP($C80,PMGR!$BE$2:$BQ$250,96,0)</f>
        <v>0</v>
      </c>
      <c r="Y80" s="106">
        <f>+HLOOKUP($C80,PMGR!$BE$2:$BQ$250,97,0)</f>
        <v>0</v>
      </c>
      <c r="Z80" s="106">
        <f>+HLOOKUP($C80,PMGR!$BE$2:$BQ$250,98,0)</f>
        <v>0</v>
      </c>
      <c r="AA80" s="106">
        <f>+HLOOKUP($C80,PMGR!$BE$2:$BQ$250,99,0)</f>
        <v>0</v>
      </c>
      <c r="AB80" s="106">
        <f>+HLOOKUP($C80,PMGR!$BE$2:$BQ$250,100,0)</f>
        <v>0</v>
      </c>
      <c r="AC80" s="106">
        <f>+HLOOKUP($C80,PMGR!$BE$2:$BQ$250,101,0)</f>
        <v>14736</v>
      </c>
      <c r="AD80" s="106">
        <f>+HLOOKUP($C80,PMGR!$BE$2:$BQ$250,104,0)</f>
        <v>0</v>
      </c>
      <c r="AE80" s="106">
        <f>+HLOOKUP($C80,PMGR!$BE$2:$BQ$250,105,0)</f>
        <v>16838.215</v>
      </c>
      <c r="AF80" s="106">
        <f>+HLOOKUP($C80,PMGR!$BE$2:$BQ$250,106,0)</f>
        <v>0</v>
      </c>
      <c r="AG80" s="106">
        <f>+HLOOKUP($C80,PMGR!$BE$2:$BQ$250,107,0)</f>
        <v>0</v>
      </c>
      <c r="AH80" s="106">
        <f>+HLOOKUP($C80,PMGR!$BE$2:$BQ$250,108,0)</f>
        <v>0</v>
      </c>
      <c r="AI80" s="106">
        <f>+HLOOKUP($C80,PMGR!$BE$2:$BQ$250,109,0)</f>
        <v>0</v>
      </c>
      <c r="AJ80" s="106">
        <f>+HLOOKUP($C80,PMGR!$BE$2:$BQ$250,110,0)</f>
        <v>0</v>
      </c>
      <c r="AK80" s="106">
        <f>+HLOOKUP($C80,PMGR!$BE$2:$BQ$250,111,0)</f>
        <v>14075</v>
      </c>
      <c r="AL80" s="106">
        <f>+HLOOKUP($C80,PMGR!$BE$2:$BQ$250,112,0)</f>
        <v>0</v>
      </c>
      <c r="AM80" s="106">
        <f>+HLOOKUP($C80,PMGR!$BE$2:$BQ$250,116,0)</f>
        <v>590205</v>
      </c>
      <c r="AN80" s="106">
        <f>+HLOOKUP($C80,PMGR!$BE$2:$BQ$250,117,0)</f>
        <v>87966</v>
      </c>
      <c r="AO80" s="106">
        <f>+HLOOKUP($C80,PMGR!$BE$2:$BQ$250,118,0)</f>
        <v>1500</v>
      </c>
      <c r="AP80" s="106">
        <f>+HLOOKUP($C80,PMGR!$BE$2:$BQ$250,119,0)</f>
        <v>206292</v>
      </c>
      <c r="AQ80" s="106">
        <f>+HLOOKUP($C80,PMGR!$BE$2:$BQ$250,120,0)</f>
        <v>45425</v>
      </c>
      <c r="AR80" s="106">
        <f>+HLOOKUP($C80,PMGR!$BE$2:$BQ$250,121,0)</f>
        <v>18798</v>
      </c>
      <c r="AS80" s="106">
        <f>+HLOOKUP($C80,PMGR!$BE$2:$BQ$250,122,0)</f>
        <v>288665</v>
      </c>
      <c r="AT80" s="106">
        <f>+HLOOKUP($C80,PMGR!$BE$2:$BQ$250,123,0)</f>
        <v>74658.494586180561</v>
      </c>
      <c r="AU80" s="106">
        <f>+HLOOKUP($C80,PMGR!$BE$2:$BQ$250,124,0)</f>
        <v>6992</v>
      </c>
      <c r="AV80" s="106">
        <f>+HLOOKUP($C80,PMGR!$BE$2:$BQ$250,125,0)</f>
        <v>106880.90399999999</v>
      </c>
      <c r="AW80" s="106">
        <f>+HLOOKUP($C80,PMGR!$BE$2:$BQ$250,126,0)</f>
        <v>28437.499999999996</v>
      </c>
      <c r="AX80" s="106">
        <f>+HLOOKUP($C80,PMGR!$BE$2:$BQ$250,127,0)</f>
        <v>42233.333333333328</v>
      </c>
      <c r="AY80" s="106">
        <f>+HLOOKUP($C80,PMGR!$BE$2:$BQ$250,129,0)</f>
        <v>0</v>
      </c>
      <c r="AZ80" s="106">
        <f>+HLOOKUP($C80,PMGR!$BE$2:$BQ$250,130,0)</f>
        <v>0</v>
      </c>
      <c r="BA80" s="106">
        <f>+HLOOKUP($C80,PMGR!$BE$2:$BQ$250,131,0)</f>
        <v>0</v>
      </c>
      <c r="BB80" s="106">
        <f>+HLOOKUP($C80,PMGR!$BE$2:$BQ$250,133,0)</f>
        <v>0</v>
      </c>
      <c r="BC80" s="106">
        <f>+HLOOKUP($C80,PMGR!$BE$2:$BQ$250,134,0)</f>
        <v>117384.6</v>
      </c>
      <c r="BD80" s="106">
        <f>+HLOOKUP($C80,PMGR!$BE$2:$BQ$250,135,0)</f>
        <v>0</v>
      </c>
      <c r="BE80" s="106">
        <f>+HLOOKUP($C80,PMGR!$BE$2:$BQ$250,136,0)</f>
        <v>0</v>
      </c>
      <c r="BF80" s="106">
        <f>+HLOOKUP($C80,PMGR!$BE$2:$BQ$250,138,0)</f>
        <v>11207.761199999999</v>
      </c>
      <c r="BG80" s="106">
        <f>+HLOOKUP($C80,PMGR!$BE$2:$BQ$250,139,0)</f>
        <v>37848.36</v>
      </c>
      <c r="BH80" s="106">
        <f>+HLOOKUP($C80,PMGR!$BE$2:$BQ$250,140,0)</f>
        <v>29791.199999999997</v>
      </c>
      <c r="BI80" s="106">
        <f>+HLOOKUP($C80,PMGR!$BE$2:$BQ$250,141,0)</f>
        <v>765</v>
      </c>
      <c r="BJ80" s="106">
        <f>+HLOOKUP($C80,PMGR!$BE$2:$BQ$250,142,0)</f>
        <v>0</v>
      </c>
      <c r="BK80" s="106">
        <f>+HLOOKUP($C80,PMGR!$BE$2:$BQ$250,143,0)</f>
        <v>72391.9568</v>
      </c>
      <c r="BL80" s="106">
        <f>+HLOOKUP($C80,PMGR!$BE$2:$BQ$250,144,0)</f>
        <v>3900</v>
      </c>
      <c r="BM80" s="106">
        <f>+HLOOKUP($C80,PMGR!$BE$2:$BQ$250,146,0)</f>
        <v>0</v>
      </c>
      <c r="BN80" s="106">
        <f>+HLOOKUP($C80,PMGR!$BE$2:$BQ$250,147,0)</f>
        <v>67423</v>
      </c>
      <c r="BO80" s="106">
        <f>+HLOOKUP($C80,PMGR!$BE$2:$BQ$250,148,0)</f>
        <v>0</v>
      </c>
      <c r="BP80" s="106">
        <f>+HLOOKUP($C80,PMGR!$BE$2:$BQ$250,150,0)</f>
        <v>52522.2</v>
      </c>
      <c r="BQ80" s="106">
        <f>+HLOOKUP($C80,PMGR!$BE$2:$BQ$250,151,0)</f>
        <v>9922</v>
      </c>
      <c r="BR80" s="106">
        <f>+HLOOKUP($C80,PMGR!$BE$2:$BQ$250,152,0)</f>
        <v>35000</v>
      </c>
      <c r="BS80" s="106">
        <f>+HLOOKUP($C80,PMGR!$BE$2:$BQ$250,153,0)</f>
        <v>1250</v>
      </c>
      <c r="BT80" s="106">
        <f>+HLOOKUP($C80,PMGR!$BE$2:$BQ$250,157,0)</f>
        <v>50572.13</v>
      </c>
      <c r="BU80" s="106">
        <f>+HLOOKUP($C80,PMGR!$BE$2:$BQ$250,158,0)</f>
        <v>8213.4087999999992</v>
      </c>
      <c r="BV80" s="106">
        <f>+HLOOKUP($C80,PMGR!$BE$2:$BQ$250,159,0)</f>
        <v>8794.35</v>
      </c>
      <c r="BW80" s="106">
        <f>+HLOOKUP($C80,PMGR!$BE$2:$BQ$250,160,0)</f>
        <v>52550.55</v>
      </c>
      <c r="BX80" s="106">
        <f>+HLOOKUP($C80,PMGR!$BE$2:$BQ$250,161,0)</f>
        <v>84515.23</v>
      </c>
      <c r="BY80" s="106">
        <f>+HLOOKUP($C80,PMGR!$BE$2:$BQ$250,164,0)</f>
        <v>16462.9686</v>
      </c>
      <c r="BZ80" s="106">
        <f>+HLOOKUP($C80,PMGR!$BE$2:$BQ$250,165,0)</f>
        <v>51965.279999999999</v>
      </c>
      <c r="CA80" s="106">
        <f>+HLOOKUP($C80,PMGR!$BE$2:$BQ$250,166,0)</f>
        <v>0</v>
      </c>
      <c r="CB80" s="106">
        <f>+HLOOKUP($C80,PMGR!$BE$2:$BQ$250,167,0)</f>
        <v>14226.58</v>
      </c>
      <c r="CC80" s="106">
        <f>+HLOOKUP($C80,PMGR!$BE$2:$BQ$250,168,0)</f>
        <v>0</v>
      </c>
      <c r="CD80" s="106">
        <f>+HLOOKUP($C80,PMGR!$BE$2:$BQ$250,169,0)</f>
        <v>6717.57</v>
      </c>
      <c r="CE80" s="106">
        <f>+HLOOKUP($C80,PMGR!$BE$2:$BQ$250,170,0)</f>
        <v>0</v>
      </c>
      <c r="CF80" s="106">
        <f>+HLOOKUP($C80,PMGR!$BE$2:$BQ$250,172,0)</f>
        <v>32700</v>
      </c>
      <c r="CG80" s="106">
        <f>+HLOOKUP($C80,PMGR!$BE$2:$BQ$250,173,0)</f>
        <v>0</v>
      </c>
      <c r="CH80" s="106">
        <f>+HLOOKUP($C80,PMGR!$BE$2:$BQ$250,174,0)</f>
        <v>114751.5</v>
      </c>
      <c r="CI80" s="106">
        <f>+HLOOKUP($C80,PMGR!$BE$2:$BQ$250,175,0)</f>
        <v>50110</v>
      </c>
      <c r="CJ80" s="106">
        <f>+HLOOKUP($C80,PMGR!$BE$2:$BQ$250,176,0)</f>
        <v>10034.099400000001</v>
      </c>
      <c r="CK80" s="106">
        <f>+HLOOKUP($C80,PMGR!$BE$2:$BQ$250,178,0)</f>
        <v>133608.6</v>
      </c>
      <c r="CL80" s="106">
        <f>+HLOOKUP($C80,PMGR!$BE$2:$BQ$250,179,0)</f>
        <v>17519.741999999998</v>
      </c>
      <c r="CM80" s="106">
        <f>+HLOOKUP($C80,PMGR!$BE$2:$BQ$250,180,0)</f>
        <v>0</v>
      </c>
      <c r="CN80" s="106">
        <f>+HLOOKUP($C80,PMGR!$BE$2:$BQ$250,182,0)</f>
        <v>913.73939999999993</v>
      </c>
      <c r="CO80" s="106">
        <f>+HLOOKUP($C80,PMGR!$BE$2:$BQ$250,183,0)</f>
        <v>42683.57</v>
      </c>
      <c r="CP80" s="106">
        <f>+HLOOKUP($C80,PMGR!$BE$2:$BQ$250,184,0)</f>
        <v>11771.0028</v>
      </c>
      <c r="CQ80" s="106">
        <f>+HLOOKUP($C80,PMGR!$BE$2:$BQ$250,185,0)</f>
        <v>0</v>
      </c>
      <c r="CR80" s="106">
        <f>+HLOOKUP($C80,PMGR!$BE$2:$BQ$250,187,0)</f>
        <v>3749.7599999999993</v>
      </c>
      <c r="CS80" s="106">
        <f>+HLOOKUP($C80,PMGR!$BE$2:$BQ$250,188,0)</f>
        <v>0</v>
      </c>
      <c r="CT80" s="106">
        <f>+HLOOKUP($C80,PMGR!$BE$2:$BQ$250,189,0)</f>
        <v>0</v>
      </c>
      <c r="CU80" s="106">
        <f>+HLOOKUP($C80,PMGR!$BE$2:$BQ$250,190,0)</f>
        <v>1499.94</v>
      </c>
      <c r="CV80" s="106">
        <f>+HLOOKUP($C80,PMGR!$BE$2:$BQ$250,191,0)</f>
        <v>0</v>
      </c>
      <c r="CW80" s="106">
        <f>+HLOOKUP($C80,PMGR!$BE$2:$BQ$250,193,0)</f>
        <v>16684.398000000001</v>
      </c>
      <c r="CX80" s="106">
        <f>+HLOOKUP($C80,PMGR!$BE$2:$BQ$250,194,0)</f>
        <v>47.699999999999996</v>
      </c>
      <c r="CY80" s="106">
        <f>+HLOOKUP($C80,PMGR!$BE$2:$BQ$250,195,0)</f>
        <v>0</v>
      </c>
      <c r="CZ80" s="106">
        <f>+HLOOKUP($C80,PMGR!$BE$2:$BQ$250,196,0)</f>
        <v>0</v>
      </c>
      <c r="DA80" s="106">
        <f>+HLOOKUP($C80,PMGR!$BE$2:$BQ$250,197,0)</f>
        <v>6354.3959999999997</v>
      </c>
      <c r="DB80" s="106">
        <f>+HLOOKUP($C80,PMGR!$BE$2:$BQ$250,198,0)</f>
        <v>19654.11</v>
      </c>
      <c r="DC80" s="106">
        <f>+HLOOKUP($C80,PMGR!$BE$2:$BQ$250,199,0)</f>
        <v>7429.01</v>
      </c>
      <c r="DD80" s="106">
        <f>+HLOOKUP($C80,PMGR!$BE$2:$BQ$250,200,0)</f>
        <v>35485.19</v>
      </c>
      <c r="DE80" s="106">
        <f>+HLOOKUP($C80,PMGR!$BE$2:$BQ$250,201,0)</f>
        <v>2660.6</v>
      </c>
      <c r="DF80" s="106">
        <f>+HLOOKUP($C80,PMGR!$BE$2:$BQ$250,202,0)</f>
        <v>3.6114000000000002</v>
      </c>
      <c r="DG80" s="106">
        <f>+HLOOKUP($C80,PMGR!$BE$2:$BQ$250,203,0)</f>
        <v>-20.615400000000001</v>
      </c>
      <c r="DH80" s="106">
        <f>+HLOOKUP($C80,PMGR!$BE$2:$BQ$250,205,0)</f>
        <v>0</v>
      </c>
      <c r="DI80" s="106">
        <f>+HLOOKUP($C80,PMGR!$BE$2:$BQ$250,206,0)</f>
        <v>9733.5</v>
      </c>
      <c r="DJ80" s="106">
        <f>+HLOOKUP($C80,PMGR!$BE$2:$BQ$250,207,0)</f>
        <v>105302.19439999999</v>
      </c>
      <c r="DK80" s="106">
        <f>+HLOOKUP($C80,PMGR!$BE$2:$BQ$250,209,0)</f>
        <v>0</v>
      </c>
      <c r="DL80" s="106">
        <f>+HLOOKUP($C80,PMGR!$BE$2:$BQ$250,210,0)</f>
        <v>186159</v>
      </c>
      <c r="DM80" s="106">
        <f>+HLOOKUP($C80,PMGR!$BE$2:$BQ$250,211,0)</f>
        <v>0</v>
      </c>
      <c r="DN80" s="106">
        <f>+HLOOKUP($C80,PMGR!$BE$2:$BQ$250,212,0)</f>
        <v>0</v>
      </c>
      <c r="DO80" s="106">
        <f>+HLOOKUP($C80,PMGR!$BE$2:$BQ$250,214,0)</f>
        <v>0</v>
      </c>
      <c r="DP80" s="106">
        <f>+HLOOKUP($C80,PMGR!$BE$2:$BQ$250,215,0)</f>
        <v>1050</v>
      </c>
      <c r="DQ80" s="106">
        <f>+HLOOKUP($C80,PMGR!$BE$2:$BQ$250,219,0)</f>
        <v>0</v>
      </c>
      <c r="DR80" s="106">
        <f>+HLOOKUP($C80,PMGR!$BE$2:$BQ$250,220,0)</f>
        <v>0</v>
      </c>
      <c r="DS80" s="106">
        <f>+HLOOKUP($C80,PMGR!$BE$2:$BQ$250,221,0)</f>
        <v>0</v>
      </c>
      <c r="DT80" s="106">
        <f>+HLOOKUP($C80,PMGR!$BE$2:$BQ$250,223,0)</f>
        <v>21327.193800000001</v>
      </c>
      <c r="DU80" s="106">
        <f>+HLOOKUP($C80,PMGR!$BE$2:$BQ$250,224,0)</f>
        <v>0</v>
      </c>
      <c r="DV80" s="106">
        <f>+HLOOKUP($C80,PMGR!$BE$2:$BQ$250,225,0)</f>
        <v>0</v>
      </c>
      <c r="DW80" s="106">
        <f>+HLOOKUP($C80,PMGR!$BE$2:$BQ$250,227,0)</f>
        <v>0</v>
      </c>
      <c r="DX80" s="106">
        <f>+HLOOKUP($C80,PMGR!$BE$2:$BQ$250,228,0)</f>
        <v>5414.2199999999993</v>
      </c>
      <c r="DY80" s="106">
        <f>+HLOOKUP($C80,PMGR!$BE$2:$BQ$250,236,0)</f>
        <v>380501</v>
      </c>
      <c r="DZ80" s="106">
        <f>+HLOOKUP($C80,PMGR!$BE$2:$BQ$250,237,0)</f>
        <v>31882.245779999997</v>
      </c>
      <c r="EA80" s="106">
        <f>+HLOOKUP($C80,PMGR!$BE$2:$BQ$250,238,0)</f>
        <v>10194.659999999998</v>
      </c>
      <c r="EB80" s="106">
        <f>+HLOOKUP($C80,PMGR!$BE$2:$BQ$250,240,0)</f>
        <v>675475.61596874997</v>
      </c>
    </row>
    <row r="81" spans="1:132">
      <c r="A81" t="s">
        <v>269</v>
      </c>
      <c r="B81" t="s">
        <v>217</v>
      </c>
      <c r="C81" s="117">
        <v>45778</v>
      </c>
      <c r="D81" s="106">
        <f t="shared" si="0"/>
        <v>24754530.644144166</v>
      </c>
      <c r="E81" s="106">
        <f>+HLOOKUP(C81,PMGR!$BE$2:$BQ$250,28,0)+HLOOKUP(C81,PMGR!$BE$2:$BQ$250,43,0)+HLOOKUP(C81,PMGR!$BE$2:$BQ$250,44,0)+HLOOKUP(C81,PMGR!$BE$2:$BQ$250,45,0)+HLOOKUP(C81,PMGR!$BE$2:$BQ$250,54,0)+HLOOKUP(C81,PMGR!$BE$2:$BQ$250,59,0)</f>
        <v>24754530.644144166</v>
      </c>
      <c r="F81" s="106">
        <f>+HLOOKUP(C81,PMGR!$BE$2:$BQ$250,37,0)+HLOOKUP(C81,PMGR!$BE$2:$BQ$250,55,0)</f>
        <v>15243511.955999995</v>
      </c>
      <c r="G81" s="106">
        <f>+HLOOKUP($C81,PMGR!$BE$2:$BQ$250,76,0)</f>
        <v>0</v>
      </c>
      <c r="H81" s="106">
        <f>+HLOOKUP($C81,PMGR!$BE$2:$BQ$250,77,0)</f>
        <v>0</v>
      </c>
      <c r="I81" s="106">
        <f>+HLOOKUP($C81,PMGR!$BE$2:$BQ$250,78,0)</f>
        <v>0</v>
      </c>
      <c r="J81" s="106">
        <f>+HLOOKUP($C81,PMGR!$BE$2:$BQ$250,79,0)</f>
        <v>0</v>
      </c>
      <c r="K81" s="106">
        <f>+HLOOKUP($C81,PMGR!$BE$2:$BQ$250,80,0)</f>
        <v>0</v>
      </c>
      <c r="L81" s="106">
        <f>+HLOOKUP($C81,PMGR!$BE$2:$BQ$250,81,0)</f>
        <v>0</v>
      </c>
      <c r="M81" s="106">
        <f>+HLOOKUP($C81,PMGR!$BE$2:$BQ$250,82,0)</f>
        <v>0</v>
      </c>
      <c r="N81" s="106">
        <f>+HLOOKUP($C81,PMGR!$BE$2:$BQ$250,83,0)</f>
        <v>0</v>
      </c>
      <c r="O81" s="106">
        <f>+HLOOKUP($C81,PMGR!$BE$2:$BQ$250,84,0)</f>
        <v>0</v>
      </c>
      <c r="P81" s="106">
        <f>+HLOOKUP($C81,PMGR!$BE$2:$BQ$250,85,0)</f>
        <v>0</v>
      </c>
      <c r="Q81" s="106">
        <f>+HLOOKUP($C81,PMGR!$BE$2:$BQ$250,87,0)</f>
        <v>357355.59700000007</v>
      </c>
      <c r="R81" s="106">
        <f>+HLOOKUP($C81,PMGR!$BE$2:$BQ$250,90,0)</f>
        <v>0</v>
      </c>
      <c r="S81" s="106">
        <f>+HLOOKUP($C81,PMGR!$BE$2:$BQ$250,91,0)</f>
        <v>0</v>
      </c>
      <c r="T81" s="106">
        <f>+HLOOKUP($C81,PMGR!$BE$2:$BQ$250,92,0)</f>
        <v>0</v>
      </c>
      <c r="U81" s="106">
        <f>+HLOOKUP($C81,PMGR!$BE$2:$BQ$250,93,0)</f>
        <v>0</v>
      </c>
      <c r="V81" s="106">
        <f>+HLOOKUP($C81,PMGR!$BE$2:$BQ$250,94,0)</f>
        <v>0</v>
      </c>
      <c r="W81" s="106">
        <f>+HLOOKUP($C81,PMGR!$BE$2:$BQ$250,95,0)</f>
        <v>0</v>
      </c>
      <c r="X81" s="106">
        <f>+HLOOKUP($C81,PMGR!$BE$2:$BQ$250,96,0)</f>
        <v>0</v>
      </c>
      <c r="Y81" s="106">
        <f>+HLOOKUP($C81,PMGR!$BE$2:$BQ$250,97,0)</f>
        <v>0</v>
      </c>
      <c r="Z81" s="106">
        <f>+HLOOKUP($C81,PMGR!$BE$2:$BQ$250,98,0)</f>
        <v>0</v>
      </c>
      <c r="AA81" s="106">
        <f>+HLOOKUP($C81,PMGR!$BE$2:$BQ$250,99,0)</f>
        <v>0</v>
      </c>
      <c r="AB81" s="106">
        <f>+HLOOKUP($C81,PMGR!$BE$2:$BQ$250,100,0)</f>
        <v>0</v>
      </c>
      <c r="AC81" s="106">
        <f>+HLOOKUP($C81,PMGR!$BE$2:$BQ$250,101,0)</f>
        <v>0</v>
      </c>
      <c r="AD81" s="106">
        <f>+HLOOKUP($C81,PMGR!$BE$2:$BQ$250,104,0)</f>
        <v>112</v>
      </c>
      <c r="AE81" s="106">
        <f>+HLOOKUP($C81,PMGR!$BE$2:$BQ$250,105,0)</f>
        <v>0</v>
      </c>
      <c r="AF81" s="106">
        <f>+HLOOKUP($C81,PMGR!$BE$2:$BQ$250,106,0)</f>
        <v>0</v>
      </c>
      <c r="AG81" s="106">
        <f>+HLOOKUP($C81,PMGR!$BE$2:$BQ$250,107,0)</f>
        <v>0</v>
      </c>
      <c r="AH81" s="106">
        <f>+HLOOKUP($C81,PMGR!$BE$2:$BQ$250,108,0)</f>
        <v>48400</v>
      </c>
      <c r="AI81" s="106">
        <f>+HLOOKUP($C81,PMGR!$BE$2:$BQ$250,109,0)</f>
        <v>2700</v>
      </c>
      <c r="AJ81" s="106">
        <f>+HLOOKUP($C81,PMGR!$BE$2:$BQ$250,110,0)</f>
        <v>0</v>
      </c>
      <c r="AK81" s="106">
        <f>+HLOOKUP($C81,PMGR!$BE$2:$BQ$250,111,0)</f>
        <v>27786.949999999997</v>
      </c>
      <c r="AL81" s="106">
        <f>+HLOOKUP($C81,PMGR!$BE$2:$BQ$250,112,0)</f>
        <v>0</v>
      </c>
      <c r="AM81" s="106">
        <f>+HLOOKUP($C81,PMGR!$BE$2:$BQ$250,116,0)</f>
        <v>555742</v>
      </c>
      <c r="AN81" s="106">
        <f>+HLOOKUP($C81,PMGR!$BE$2:$BQ$250,117,0)</f>
        <v>82489</v>
      </c>
      <c r="AO81" s="106">
        <f>+HLOOKUP($C81,PMGR!$BE$2:$BQ$250,118,0)</f>
        <v>1500</v>
      </c>
      <c r="AP81" s="106">
        <f>+HLOOKUP($C81,PMGR!$BE$2:$BQ$250,119,0)</f>
        <v>192569</v>
      </c>
      <c r="AQ81" s="106">
        <f>+HLOOKUP($C81,PMGR!$BE$2:$BQ$250,120,0)</f>
        <v>39506</v>
      </c>
      <c r="AR81" s="106">
        <f>+HLOOKUP($C81,PMGR!$BE$2:$BQ$250,121,0)</f>
        <v>18800</v>
      </c>
      <c r="AS81" s="106">
        <f>+HLOOKUP($C81,PMGR!$BE$2:$BQ$250,122,0)</f>
        <v>278597</v>
      </c>
      <c r="AT81" s="106">
        <f>+HLOOKUP($C81,PMGR!$BE$2:$BQ$250,123,0)</f>
        <v>74658.494586180561</v>
      </c>
      <c r="AU81" s="106">
        <f>+HLOOKUP($C81,PMGR!$BE$2:$BQ$250,124,0)</f>
        <v>6992</v>
      </c>
      <c r="AV81" s="106">
        <f>+HLOOKUP($C81,PMGR!$BE$2:$BQ$250,125,0)</f>
        <v>92430</v>
      </c>
      <c r="AW81" s="106">
        <f>+HLOOKUP($C81,PMGR!$BE$2:$BQ$250,126,0)</f>
        <v>28437.499999999996</v>
      </c>
      <c r="AX81" s="106">
        <f>+HLOOKUP($C81,PMGR!$BE$2:$BQ$250,127,0)</f>
        <v>42233.333333333328</v>
      </c>
      <c r="AY81" s="106">
        <f>+HLOOKUP($C81,PMGR!$BE$2:$BQ$250,129,0)</f>
        <v>0</v>
      </c>
      <c r="AZ81" s="106">
        <f>+HLOOKUP($C81,PMGR!$BE$2:$BQ$250,130,0)</f>
        <v>0</v>
      </c>
      <c r="BA81" s="106">
        <f>+HLOOKUP($C81,PMGR!$BE$2:$BQ$250,131,0)</f>
        <v>0</v>
      </c>
      <c r="BB81" s="106">
        <f>+HLOOKUP($C81,PMGR!$BE$2:$BQ$250,133,0)</f>
        <v>0</v>
      </c>
      <c r="BC81" s="106">
        <f>+HLOOKUP($C81,PMGR!$BE$2:$BQ$250,134,0)</f>
        <v>19129.419999999998</v>
      </c>
      <c r="BD81" s="106">
        <f>+HLOOKUP($C81,PMGR!$BE$2:$BQ$250,135,0)</f>
        <v>0</v>
      </c>
      <c r="BE81" s="106">
        <f>+HLOOKUP($C81,PMGR!$BE$2:$BQ$250,136,0)</f>
        <v>-18486.539999999997</v>
      </c>
      <c r="BF81" s="106">
        <f>+HLOOKUP($C81,PMGR!$BE$2:$BQ$250,138,0)</f>
        <v>11522.761199999999</v>
      </c>
      <c r="BG81" s="106">
        <f>+HLOOKUP($C81,PMGR!$BE$2:$BQ$250,139,0)</f>
        <v>31031</v>
      </c>
      <c r="BH81" s="106">
        <f>+HLOOKUP($C81,PMGR!$BE$2:$BQ$250,140,0)</f>
        <v>49652</v>
      </c>
      <c r="BI81" s="106">
        <f>+HLOOKUP($C81,PMGR!$BE$2:$BQ$250,141,0)</f>
        <v>0</v>
      </c>
      <c r="BJ81" s="106">
        <f>+HLOOKUP($C81,PMGR!$BE$2:$BQ$250,142,0)</f>
        <v>0</v>
      </c>
      <c r="BK81" s="106">
        <f>+HLOOKUP($C81,PMGR!$BE$2:$BQ$250,143,0)</f>
        <v>95683.4568</v>
      </c>
      <c r="BL81" s="106">
        <f>+HLOOKUP($C81,PMGR!$BE$2:$BQ$250,144,0)</f>
        <v>0</v>
      </c>
      <c r="BM81" s="106">
        <f>+HLOOKUP($C81,PMGR!$BE$2:$BQ$250,146,0)</f>
        <v>0</v>
      </c>
      <c r="BN81" s="106">
        <f>+HLOOKUP($C81,PMGR!$BE$2:$BQ$250,147,0)</f>
        <v>33262</v>
      </c>
      <c r="BO81" s="106">
        <f>+HLOOKUP($C81,PMGR!$BE$2:$BQ$250,148,0)</f>
        <v>0</v>
      </c>
      <c r="BP81" s="106">
        <f>+HLOOKUP($C81,PMGR!$BE$2:$BQ$250,150,0)</f>
        <v>50293.799999999996</v>
      </c>
      <c r="BQ81" s="106">
        <f>+HLOOKUP($C81,PMGR!$BE$2:$BQ$250,151,0)</f>
        <v>9922</v>
      </c>
      <c r="BR81" s="106">
        <f>+HLOOKUP($C81,PMGR!$BE$2:$BQ$250,152,0)</f>
        <v>35000</v>
      </c>
      <c r="BS81" s="106">
        <f>+HLOOKUP($C81,PMGR!$BE$2:$BQ$250,153,0)</f>
        <v>300</v>
      </c>
      <c r="BT81" s="106">
        <f>+HLOOKUP($C81,PMGR!$BE$2:$BQ$250,157,0)</f>
        <v>8557.23</v>
      </c>
      <c r="BU81" s="106">
        <f>+HLOOKUP($C81,PMGR!$BE$2:$BQ$250,158,0)</f>
        <v>0</v>
      </c>
      <c r="BV81" s="106">
        <f>+HLOOKUP($C81,PMGR!$BE$2:$BQ$250,159,0)</f>
        <v>680.56</v>
      </c>
      <c r="BW81" s="106">
        <f>+HLOOKUP($C81,PMGR!$BE$2:$BQ$250,160,0)</f>
        <v>70731.179999999993</v>
      </c>
      <c r="BX81" s="106">
        <f>+HLOOKUP($C81,PMGR!$BE$2:$BQ$250,161,0)</f>
        <v>19184.939999999999</v>
      </c>
      <c r="BY81" s="106">
        <f>+HLOOKUP($C81,PMGR!$BE$2:$BQ$250,164,0)</f>
        <v>9911.6591999999982</v>
      </c>
      <c r="BZ81" s="106">
        <f>+HLOOKUP($C81,PMGR!$BE$2:$BQ$250,165,0)</f>
        <v>31383</v>
      </c>
      <c r="CA81" s="106">
        <f>+HLOOKUP($C81,PMGR!$BE$2:$BQ$250,166,0)</f>
        <v>0</v>
      </c>
      <c r="CB81" s="106">
        <f>+HLOOKUP($C81,PMGR!$BE$2:$BQ$250,167,0)</f>
        <v>50878.07</v>
      </c>
      <c r="CC81" s="106">
        <f>+HLOOKUP($C81,PMGR!$BE$2:$BQ$250,168,0)</f>
        <v>0</v>
      </c>
      <c r="CD81" s="106">
        <f>+HLOOKUP($C81,PMGR!$BE$2:$BQ$250,169,0)</f>
        <v>71352.804000000004</v>
      </c>
      <c r="CE81" s="106">
        <f>+HLOOKUP($C81,PMGR!$BE$2:$BQ$250,170,0)</f>
        <v>0</v>
      </c>
      <c r="CF81" s="106">
        <f>+HLOOKUP($C81,PMGR!$BE$2:$BQ$250,172,0)</f>
        <v>32700</v>
      </c>
      <c r="CG81" s="106">
        <f>+HLOOKUP($C81,PMGR!$BE$2:$BQ$250,173,0)</f>
        <v>0</v>
      </c>
      <c r="CH81" s="106">
        <f>+HLOOKUP($C81,PMGR!$BE$2:$BQ$250,174,0)</f>
        <v>141979.68</v>
      </c>
      <c r="CI81" s="106">
        <f>+HLOOKUP($C81,PMGR!$BE$2:$BQ$250,175,0)</f>
        <v>37361.519999999997</v>
      </c>
      <c r="CJ81" s="106">
        <f>+HLOOKUP($C81,PMGR!$BE$2:$BQ$250,176,0)</f>
        <v>35179.299399999996</v>
      </c>
      <c r="CK81" s="106">
        <f>+HLOOKUP($C81,PMGR!$BE$2:$BQ$250,178,0)</f>
        <v>101140.4</v>
      </c>
      <c r="CL81" s="106">
        <f>+HLOOKUP($C81,PMGR!$BE$2:$BQ$250,179,0)</f>
        <v>12406.38</v>
      </c>
      <c r="CM81" s="106">
        <f>+HLOOKUP($C81,PMGR!$BE$2:$BQ$250,180,0)</f>
        <v>0</v>
      </c>
      <c r="CN81" s="106">
        <f>+HLOOKUP($C81,PMGR!$BE$2:$BQ$250,182,0)</f>
        <v>933.82199999999989</v>
      </c>
      <c r="CO81" s="106">
        <f>+HLOOKUP($C81,PMGR!$BE$2:$BQ$250,183,0)</f>
        <v>39384.726000000002</v>
      </c>
      <c r="CP81" s="106">
        <f>+HLOOKUP($C81,PMGR!$BE$2:$BQ$250,184,0)</f>
        <v>2583.7163999999998</v>
      </c>
      <c r="CQ81" s="106">
        <f>+HLOOKUP($C81,PMGR!$BE$2:$BQ$250,185,0)</f>
        <v>0</v>
      </c>
      <c r="CR81" s="106">
        <f>+HLOOKUP($C81,PMGR!$BE$2:$BQ$250,187,0)</f>
        <v>3749.7599999999993</v>
      </c>
      <c r="CS81" s="106">
        <f>+HLOOKUP($C81,PMGR!$BE$2:$BQ$250,188,0)</f>
        <v>2700</v>
      </c>
      <c r="CT81" s="106">
        <f>+HLOOKUP($C81,PMGR!$BE$2:$BQ$250,189,0)</f>
        <v>0</v>
      </c>
      <c r="CU81" s="106">
        <f>+HLOOKUP($C81,PMGR!$BE$2:$BQ$250,190,0)</f>
        <v>1499.94</v>
      </c>
      <c r="CV81" s="106">
        <f>+HLOOKUP($C81,PMGR!$BE$2:$BQ$250,191,0)</f>
        <v>0</v>
      </c>
      <c r="CW81" s="106">
        <f>+HLOOKUP($C81,PMGR!$BE$2:$BQ$250,193,0)</f>
        <v>16684.398000000001</v>
      </c>
      <c r="CX81" s="106">
        <f>+HLOOKUP($C81,PMGR!$BE$2:$BQ$250,194,0)</f>
        <v>47.699999999999996</v>
      </c>
      <c r="CY81" s="106">
        <f>+HLOOKUP($C81,PMGR!$BE$2:$BQ$250,195,0)</f>
        <v>0</v>
      </c>
      <c r="CZ81" s="106">
        <f>+HLOOKUP($C81,PMGR!$BE$2:$BQ$250,196,0)</f>
        <v>0</v>
      </c>
      <c r="DA81" s="106">
        <f>+HLOOKUP($C81,PMGR!$BE$2:$BQ$250,197,0)</f>
        <v>7952.3760000000002</v>
      </c>
      <c r="DB81" s="106">
        <f>+HLOOKUP($C81,PMGR!$BE$2:$BQ$250,198,0)</f>
        <v>20233.419999999998</v>
      </c>
      <c r="DC81" s="106">
        <f>+HLOOKUP($C81,PMGR!$BE$2:$BQ$250,199,0)</f>
        <v>7551.75</v>
      </c>
      <c r="DD81" s="106">
        <f>+HLOOKUP($C81,PMGR!$BE$2:$BQ$250,200,0)</f>
        <v>14920</v>
      </c>
      <c r="DE81" s="106">
        <f>+HLOOKUP($C81,PMGR!$BE$2:$BQ$250,201,0)</f>
        <v>0</v>
      </c>
      <c r="DF81" s="106">
        <f>+HLOOKUP($C81,PMGR!$BE$2:$BQ$250,202,0)</f>
        <v>9.4200000000000006E-2</v>
      </c>
      <c r="DG81" s="106">
        <f>+HLOOKUP($C81,PMGR!$BE$2:$BQ$250,203,0)</f>
        <v>44.296199999999999</v>
      </c>
      <c r="DH81" s="106">
        <f>+HLOOKUP($C81,PMGR!$BE$2:$BQ$250,205,0)</f>
        <v>0</v>
      </c>
      <c r="DI81" s="106">
        <f>+HLOOKUP($C81,PMGR!$BE$2:$BQ$250,206,0)</f>
        <v>9733.49</v>
      </c>
      <c r="DJ81" s="106">
        <f>+HLOOKUP($C81,PMGR!$BE$2:$BQ$250,207,0)</f>
        <v>97395.644400000005</v>
      </c>
      <c r="DK81" s="106">
        <f>+HLOOKUP($C81,PMGR!$BE$2:$BQ$250,209,0)</f>
        <v>0</v>
      </c>
      <c r="DL81" s="106">
        <f>+HLOOKUP($C81,PMGR!$BE$2:$BQ$250,210,0)</f>
        <v>186159</v>
      </c>
      <c r="DM81" s="106">
        <f>+HLOOKUP($C81,PMGR!$BE$2:$BQ$250,211,0)</f>
        <v>0</v>
      </c>
      <c r="DN81" s="106">
        <f>+HLOOKUP($C81,PMGR!$BE$2:$BQ$250,212,0)</f>
        <v>0</v>
      </c>
      <c r="DO81" s="106">
        <f>+HLOOKUP($C81,PMGR!$BE$2:$BQ$250,214,0)</f>
        <v>0</v>
      </c>
      <c r="DP81" s="106">
        <f>+HLOOKUP($C81,PMGR!$BE$2:$BQ$250,215,0)</f>
        <v>600</v>
      </c>
      <c r="DQ81" s="106">
        <f>+HLOOKUP($C81,PMGR!$BE$2:$BQ$250,219,0)</f>
        <v>0</v>
      </c>
      <c r="DR81" s="106">
        <f>+HLOOKUP($C81,PMGR!$BE$2:$BQ$250,220,0)</f>
        <v>0</v>
      </c>
      <c r="DS81" s="106">
        <f>+HLOOKUP($C81,PMGR!$BE$2:$BQ$250,221,0)</f>
        <v>0</v>
      </c>
      <c r="DT81" s="106">
        <f>+HLOOKUP($C81,PMGR!$BE$2:$BQ$250,223,0)</f>
        <v>34080.535799999998</v>
      </c>
      <c r="DU81" s="106">
        <f>+HLOOKUP($C81,PMGR!$BE$2:$BQ$250,224,0)</f>
        <v>0</v>
      </c>
      <c r="DV81" s="106">
        <f>+HLOOKUP($C81,PMGR!$BE$2:$BQ$250,225,0)</f>
        <v>0</v>
      </c>
      <c r="DW81" s="106">
        <f>+HLOOKUP($C81,PMGR!$BE$2:$BQ$250,227,0)</f>
        <v>0</v>
      </c>
      <c r="DX81" s="106">
        <f>+HLOOKUP($C81,PMGR!$BE$2:$BQ$250,228,0)</f>
        <v>8886.7799999999988</v>
      </c>
      <c r="DY81" s="106">
        <f>+HLOOKUP($C81,PMGR!$BE$2:$BQ$250,236,0)</f>
        <v>234660</v>
      </c>
      <c r="DZ81" s="106">
        <f>+HLOOKUP($C81,PMGR!$BE$2:$BQ$250,237,0)</f>
        <v>33498.964619999999</v>
      </c>
      <c r="EA81" s="106">
        <f>+HLOOKUP($C81,PMGR!$BE$2:$BQ$250,238,0)</f>
        <v>33982.199999999997</v>
      </c>
      <c r="EB81" s="106">
        <f>+HLOOKUP($C81,PMGR!$BE$2:$BQ$250,240,0)</f>
        <v>675475.61596874997</v>
      </c>
    </row>
    <row r="82" spans="1:132">
      <c r="A82" t="s">
        <v>269</v>
      </c>
      <c r="B82" t="s">
        <v>217</v>
      </c>
      <c r="C82" s="117">
        <v>45748</v>
      </c>
      <c r="D82" s="106">
        <f t="shared" si="0"/>
        <v>17583097.84652859</v>
      </c>
      <c r="E82" s="106">
        <f>+HLOOKUP(C82,PMGR!$BE$2:$BQ$250,28,0)+HLOOKUP(C82,PMGR!$BE$2:$BQ$250,43,0)+HLOOKUP(C82,PMGR!$BE$2:$BQ$250,44,0)+HLOOKUP(C82,PMGR!$BE$2:$BQ$250,45,0)+HLOOKUP(C82,PMGR!$BE$2:$BQ$250,54,0)+HLOOKUP(C82,PMGR!$BE$2:$BQ$250,59,0)</f>
        <v>17583097.84652859</v>
      </c>
      <c r="F82" s="106">
        <f>+HLOOKUP(C82,PMGR!$BE$2:$BQ$250,37,0)+HLOOKUP(C82,PMGR!$BE$2:$BQ$250,55,0)</f>
        <v>11709829.450000003</v>
      </c>
      <c r="G82" s="106">
        <f>+HLOOKUP($C82,PMGR!$BE$2:$BQ$250,76,0)</f>
        <v>0</v>
      </c>
      <c r="H82" s="106">
        <f>+HLOOKUP($C82,PMGR!$BE$2:$BQ$250,77,0)</f>
        <v>0</v>
      </c>
      <c r="I82" s="106">
        <f>+HLOOKUP($C82,PMGR!$BE$2:$BQ$250,78,0)</f>
        <v>0</v>
      </c>
      <c r="J82" s="106">
        <f>+HLOOKUP($C82,PMGR!$BE$2:$BQ$250,79,0)</f>
        <v>0</v>
      </c>
      <c r="K82" s="106">
        <f>+HLOOKUP($C82,PMGR!$BE$2:$BQ$250,80,0)</f>
        <v>0</v>
      </c>
      <c r="L82" s="106">
        <f>+HLOOKUP($C82,PMGR!$BE$2:$BQ$250,81,0)</f>
        <v>0</v>
      </c>
      <c r="M82" s="106">
        <f>+HLOOKUP($C82,PMGR!$BE$2:$BQ$250,82,0)</f>
        <v>0</v>
      </c>
      <c r="N82" s="106">
        <f>+HLOOKUP($C82,PMGR!$BE$2:$BQ$250,83,0)</f>
        <v>0</v>
      </c>
      <c r="O82" s="106">
        <f>+HLOOKUP($C82,PMGR!$BE$2:$BQ$250,84,0)</f>
        <v>0</v>
      </c>
      <c r="P82" s="106">
        <f>+HLOOKUP($C82,PMGR!$BE$2:$BQ$250,85,0)</f>
        <v>0</v>
      </c>
      <c r="Q82" s="106">
        <f>+HLOOKUP($C82,PMGR!$BE$2:$BQ$250,87,0)</f>
        <v>251341.16200000004</v>
      </c>
      <c r="R82" s="106">
        <f>+HLOOKUP($C82,PMGR!$BE$2:$BQ$250,90,0)</f>
        <v>0</v>
      </c>
      <c r="S82" s="106">
        <f>+HLOOKUP($C82,PMGR!$BE$2:$BQ$250,91,0)</f>
        <v>3900</v>
      </c>
      <c r="T82" s="106">
        <f>+HLOOKUP($C82,PMGR!$BE$2:$BQ$250,92,0)</f>
        <v>0</v>
      </c>
      <c r="U82" s="106">
        <f>+HLOOKUP($C82,PMGR!$BE$2:$BQ$250,93,0)</f>
        <v>0</v>
      </c>
      <c r="V82" s="106">
        <f>+HLOOKUP($C82,PMGR!$BE$2:$BQ$250,94,0)</f>
        <v>0</v>
      </c>
      <c r="W82" s="106">
        <f>+HLOOKUP($C82,PMGR!$BE$2:$BQ$250,95,0)</f>
        <v>0</v>
      </c>
      <c r="X82" s="106">
        <f>+HLOOKUP($C82,PMGR!$BE$2:$BQ$250,96,0)</f>
        <v>0</v>
      </c>
      <c r="Y82" s="106">
        <f>+HLOOKUP($C82,PMGR!$BE$2:$BQ$250,97,0)</f>
        <v>0</v>
      </c>
      <c r="Z82" s="106">
        <f>+HLOOKUP($C82,PMGR!$BE$2:$BQ$250,98,0)</f>
        <v>0</v>
      </c>
      <c r="AA82" s="106">
        <f>+HLOOKUP($C82,PMGR!$BE$2:$BQ$250,99,0)</f>
        <v>0</v>
      </c>
      <c r="AB82" s="106">
        <f>+HLOOKUP($C82,PMGR!$BE$2:$BQ$250,100,0)</f>
        <v>0</v>
      </c>
      <c r="AC82" s="106">
        <f>+HLOOKUP($C82,PMGR!$BE$2:$BQ$250,101,0)</f>
        <v>6612</v>
      </c>
      <c r="AD82" s="106">
        <f>+HLOOKUP($C82,PMGR!$BE$2:$BQ$250,104,0)</f>
        <v>0</v>
      </c>
      <c r="AE82" s="106">
        <f>+HLOOKUP($C82,PMGR!$BE$2:$BQ$250,105,0)</f>
        <v>50400.82</v>
      </c>
      <c r="AF82" s="106">
        <f>+HLOOKUP($C82,PMGR!$BE$2:$BQ$250,106,0)</f>
        <v>0</v>
      </c>
      <c r="AG82" s="106">
        <f>+HLOOKUP($C82,PMGR!$BE$2:$BQ$250,107,0)</f>
        <v>0</v>
      </c>
      <c r="AH82" s="106">
        <f>+HLOOKUP($C82,PMGR!$BE$2:$BQ$250,108,0)</f>
        <v>0</v>
      </c>
      <c r="AI82" s="106">
        <f>+HLOOKUP($C82,PMGR!$BE$2:$BQ$250,109,0)</f>
        <v>0</v>
      </c>
      <c r="AJ82" s="106">
        <f>+HLOOKUP($C82,PMGR!$BE$2:$BQ$250,110,0)</f>
        <v>0</v>
      </c>
      <c r="AK82" s="106">
        <f>+HLOOKUP($C82,PMGR!$BE$2:$BQ$250,111,0)</f>
        <v>0</v>
      </c>
      <c r="AL82" s="106">
        <f>+HLOOKUP($C82,PMGR!$BE$2:$BQ$250,112,0)</f>
        <v>0</v>
      </c>
      <c r="AM82" s="106">
        <f>+HLOOKUP($C82,PMGR!$BE$2:$BQ$250,116,0)</f>
        <v>571975.80000000005</v>
      </c>
      <c r="AN82" s="106">
        <f>+HLOOKUP($C82,PMGR!$BE$2:$BQ$250,117,0)</f>
        <v>85674</v>
      </c>
      <c r="AO82" s="106">
        <f>+HLOOKUP($C82,PMGR!$BE$2:$BQ$250,118,0)</f>
        <v>1500</v>
      </c>
      <c r="AP82" s="106">
        <f>+HLOOKUP($C82,PMGR!$BE$2:$BQ$250,119,0)</f>
        <v>197986.8</v>
      </c>
      <c r="AQ82" s="106">
        <f>+HLOOKUP($C82,PMGR!$BE$2:$BQ$250,120,0)</f>
        <v>38772.800000000003</v>
      </c>
      <c r="AR82" s="106">
        <f>+HLOOKUP($C82,PMGR!$BE$2:$BQ$250,121,0)</f>
        <v>19050</v>
      </c>
      <c r="AS82" s="106">
        <f>+HLOOKUP($C82,PMGR!$BE$2:$BQ$250,122,0)</f>
        <v>281292.2</v>
      </c>
      <c r="AT82" s="106">
        <f>+HLOOKUP($C82,PMGR!$BE$2:$BQ$250,123,0)</f>
        <v>74658.494586180561</v>
      </c>
      <c r="AU82" s="106">
        <f>+HLOOKUP($C82,PMGR!$BE$2:$BQ$250,124,0)</f>
        <v>6992</v>
      </c>
      <c r="AV82" s="106">
        <f>+HLOOKUP($C82,PMGR!$BE$2:$BQ$250,125,0)</f>
        <v>122670</v>
      </c>
      <c r="AW82" s="106">
        <f>+HLOOKUP($C82,PMGR!$BE$2:$BQ$250,126,0)</f>
        <v>28437.499999999996</v>
      </c>
      <c r="AX82" s="106">
        <f>+HLOOKUP($C82,PMGR!$BE$2:$BQ$250,127,0)</f>
        <v>42233.333333333328</v>
      </c>
      <c r="AY82" s="106">
        <f>+HLOOKUP($C82,PMGR!$BE$2:$BQ$250,129,0)</f>
        <v>0</v>
      </c>
      <c r="AZ82" s="106">
        <f>+HLOOKUP($C82,PMGR!$BE$2:$BQ$250,130,0)</f>
        <v>0</v>
      </c>
      <c r="BA82" s="106">
        <f>+HLOOKUP($C82,PMGR!$BE$2:$BQ$250,131,0)</f>
        <v>0</v>
      </c>
      <c r="BB82" s="106">
        <f>+HLOOKUP($C82,PMGR!$BE$2:$BQ$250,133,0)</f>
        <v>0</v>
      </c>
      <c r="BC82" s="106">
        <f>+HLOOKUP($C82,PMGR!$BE$2:$BQ$250,134,0)</f>
        <v>115013.92</v>
      </c>
      <c r="BD82" s="106">
        <f>+HLOOKUP($C82,PMGR!$BE$2:$BQ$250,135,0)</f>
        <v>0</v>
      </c>
      <c r="BE82" s="106">
        <f>+HLOOKUP($C82,PMGR!$BE$2:$BQ$250,136,0)</f>
        <v>0</v>
      </c>
      <c r="BF82" s="106">
        <f>+HLOOKUP($C82,PMGR!$BE$2:$BQ$250,138,0)</f>
        <v>14715.81856</v>
      </c>
      <c r="BG82" s="106">
        <f>+HLOOKUP($C82,PMGR!$BE$2:$BQ$250,139,0)</f>
        <v>45143.88</v>
      </c>
      <c r="BH82" s="106">
        <f>+HLOOKUP($C82,PMGR!$BE$2:$BQ$250,140,0)</f>
        <v>29791.199999999997</v>
      </c>
      <c r="BI82" s="106">
        <f>+HLOOKUP($C82,PMGR!$BE$2:$BQ$250,141,0)</f>
        <v>0</v>
      </c>
      <c r="BJ82" s="106">
        <f>+HLOOKUP($C82,PMGR!$BE$2:$BQ$250,142,0)</f>
        <v>0</v>
      </c>
      <c r="BK82" s="106">
        <f>+HLOOKUP($C82,PMGR!$BE$2:$BQ$250,143,0)</f>
        <v>49201.416666666664</v>
      </c>
      <c r="BL82" s="106">
        <f>+HLOOKUP($C82,PMGR!$BE$2:$BQ$250,144,0)</f>
        <v>0</v>
      </c>
      <c r="BM82" s="106">
        <f>+HLOOKUP($C82,PMGR!$BE$2:$BQ$250,146,0)</f>
        <v>0</v>
      </c>
      <c r="BN82" s="106">
        <f>+HLOOKUP($C82,PMGR!$BE$2:$BQ$250,147,0)</f>
        <v>36776</v>
      </c>
      <c r="BO82" s="106">
        <f>+HLOOKUP($C82,PMGR!$BE$2:$BQ$250,148,0)</f>
        <v>0</v>
      </c>
      <c r="BP82" s="106">
        <f>+HLOOKUP($C82,PMGR!$BE$2:$BQ$250,150,0)</f>
        <v>51562.2</v>
      </c>
      <c r="BQ82" s="106">
        <f>+HLOOKUP($C82,PMGR!$BE$2:$BQ$250,151,0)</f>
        <v>9922</v>
      </c>
      <c r="BR82" s="106">
        <f>+HLOOKUP($C82,PMGR!$BE$2:$BQ$250,152,0)</f>
        <v>21000</v>
      </c>
      <c r="BS82" s="106">
        <f>+HLOOKUP($C82,PMGR!$BE$2:$BQ$250,153,0)</f>
        <v>0</v>
      </c>
      <c r="BT82" s="106">
        <f>+HLOOKUP($C82,PMGR!$BE$2:$BQ$250,157,0)</f>
        <v>0</v>
      </c>
      <c r="BU82" s="106">
        <f>+HLOOKUP($C82,PMGR!$BE$2:$BQ$250,158,0)</f>
        <v>254.24</v>
      </c>
      <c r="BV82" s="106">
        <f>+HLOOKUP($C82,PMGR!$BE$2:$BQ$250,159,0)</f>
        <v>680.56</v>
      </c>
      <c r="BW82" s="106">
        <f>+HLOOKUP($C82,PMGR!$BE$2:$BQ$250,160,0)</f>
        <v>39516.67</v>
      </c>
      <c r="BX82" s="106">
        <f>+HLOOKUP($C82,PMGR!$BE$2:$BQ$250,161,0)</f>
        <v>11335.21</v>
      </c>
      <c r="BY82" s="106">
        <f>+HLOOKUP($C82,PMGR!$BE$2:$BQ$250,164,0)</f>
        <v>15513.933999999997</v>
      </c>
      <c r="BZ82" s="106">
        <f>+HLOOKUP($C82,PMGR!$BE$2:$BQ$250,165,0)</f>
        <v>30749.519999999997</v>
      </c>
      <c r="CA82" s="106">
        <f>+HLOOKUP($C82,PMGR!$BE$2:$BQ$250,166,0)</f>
        <v>0</v>
      </c>
      <c r="CB82" s="106">
        <f>+HLOOKUP($C82,PMGR!$BE$2:$BQ$250,167,0)</f>
        <v>5002.22</v>
      </c>
      <c r="CC82" s="106">
        <f>+HLOOKUP($C82,PMGR!$BE$2:$BQ$250,168,0)</f>
        <v>0</v>
      </c>
      <c r="CD82" s="106">
        <f>+HLOOKUP($C82,PMGR!$BE$2:$BQ$250,169,0)</f>
        <v>0</v>
      </c>
      <c r="CE82" s="106">
        <f>+HLOOKUP($C82,PMGR!$BE$2:$BQ$250,170,0)</f>
        <v>0</v>
      </c>
      <c r="CF82" s="106">
        <f>+HLOOKUP($C82,PMGR!$BE$2:$BQ$250,172,0)</f>
        <v>32700</v>
      </c>
      <c r="CG82" s="106">
        <f>+HLOOKUP($C82,PMGR!$BE$2:$BQ$250,173,0)</f>
        <v>0</v>
      </c>
      <c r="CH82" s="106">
        <f>+HLOOKUP($C82,PMGR!$BE$2:$BQ$250,174,0)</f>
        <v>124641</v>
      </c>
      <c r="CI82" s="106">
        <f>+HLOOKUP($C82,PMGR!$BE$2:$BQ$250,175,0)</f>
        <v>38471</v>
      </c>
      <c r="CJ82" s="106">
        <f>+HLOOKUP($C82,PMGR!$BE$2:$BQ$250,176,0)</f>
        <v>3318.4793999999974</v>
      </c>
      <c r="CK82" s="106">
        <f>+HLOOKUP($C82,PMGR!$BE$2:$BQ$250,178,0)</f>
        <v>104862</v>
      </c>
      <c r="CL82" s="106">
        <f>+HLOOKUP($C82,PMGR!$BE$2:$BQ$250,179,0)</f>
        <v>12713.124</v>
      </c>
      <c r="CM82" s="106">
        <f>+HLOOKUP($C82,PMGR!$BE$2:$BQ$250,180,0)</f>
        <v>0</v>
      </c>
      <c r="CN82" s="106">
        <f>+HLOOKUP($C82,PMGR!$BE$2:$BQ$250,182,0)</f>
        <v>0</v>
      </c>
      <c r="CO82" s="106">
        <f>+HLOOKUP($C82,PMGR!$BE$2:$BQ$250,183,0)</f>
        <v>19394.725999999999</v>
      </c>
      <c r="CP82" s="106">
        <f>+HLOOKUP($C82,PMGR!$BE$2:$BQ$250,184,0)</f>
        <v>228.66119999999998</v>
      </c>
      <c r="CQ82" s="106">
        <f>+HLOOKUP($C82,PMGR!$BE$2:$BQ$250,185,0)</f>
        <v>0</v>
      </c>
      <c r="CR82" s="106">
        <f>+HLOOKUP($C82,PMGR!$BE$2:$BQ$250,187,0)</f>
        <v>3749.7599999999993</v>
      </c>
      <c r="CS82" s="106">
        <f>+HLOOKUP($C82,PMGR!$BE$2:$BQ$250,188,0)</f>
        <v>0</v>
      </c>
      <c r="CT82" s="106">
        <f>+HLOOKUP($C82,PMGR!$BE$2:$BQ$250,189,0)</f>
        <v>0</v>
      </c>
      <c r="CU82" s="106">
        <f>+HLOOKUP($C82,PMGR!$BE$2:$BQ$250,190,0)</f>
        <v>0</v>
      </c>
      <c r="CV82" s="106">
        <f>+HLOOKUP($C82,PMGR!$BE$2:$BQ$250,191,0)</f>
        <v>0</v>
      </c>
      <c r="CW82" s="106">
        <f>+HLOOKUP($C82,PMGR!$BE$2:$BQ$250,193,0)</f>
        <v>16501.055999999997</v>
      </c>
      <c r="CX82" s="106">
        <f>+HLOOKUP($C82,PMGR!$BE$2:$BQ$250,194,0)</f>
        <v>47.699999999999996</v>
      </c>
      <c r="CY82" s="106">
        <f>+HLOOKUP($C82,PMGR!$BE$2:$BQ$250,195,0)</f>
        <v>153597</v>
      </c>
      <c r="CZ82" s="106">
        <f>+HLOOKUP($C82,PMGR!$BE$2:$BQ$250,196,0)</f>
        <v>0</v>
      </c>
      <c r="DA82" s="106">
        <f>+HLOOKUP($C82,PMGR!$BE$2:$BQ$250,197,0)</f>
        <v>5202.16</v>
      </c>
      <c r="DB82" s="106">
        <f>+HLOOKUP($C82,PMGR!$BE$2:$BQ$250,198,0)</f>
        <v>16745.7</v>
      </c>
      <c r="DC82" s="106">
        <f>+HLOOKUP($C82,PMGR!$BE$2:$BQ$250,199,0)</f>
        <v>3174.63</v>
      </c>
      <c r="DD82" s="106">
        <f>+HLOOKUP($C82,PMGR!$BE$2:$BQ$250,200,0)</f>
        <v>-690</v>
      </c>
      <c r="DE82" s="106">
        <f>+HLOOKUP($C82,PMGR!$BE$2:$BQ$250,201,0)</f>
        <v>0</v>
      </c>
      <c r="DF82" s="106">
        <f>+HLOOKUP($C82,PMGR!$BE$2:$BQ$250,202,0)</f>
        <v>1.6626000000000001</v>
      </c>
      <c r="DG82" s="106">
        <f>+HLOOKUP($C82,PMGR!$BE$2:$BQ$250,203,0)</f>
        <v>-7.6103999999999994</v>
      </c>
      <c r="DH82" s="106">
        <f>+HLOOKUP($C82,PMGR!$BE$2:$BQ$250,205,0)</f>
        <v>0</v>
      </c>
      <c r="DI82" s="106">
        <f>+HLOOKUP($C82,PMGR!$BE$2:$BQ$250,206,0)</f>
        <v>9733.5</v>
      </c>
      <c r="DJ82" s="106">
        <f>+HLOOKUP($C82,PMGR!$BE$2:$BQ$250,207,0)</f>
        <v>79748.704400000002</v>
      </c>
      <c r="DK82" s="106">
        <f>+HLOOKUP($C82,PMGR!$BE$2:$BQ$250,209,0)</f>
        <v>0</v>
      </c>
      <c r="DL82" s="106">
        <f>+HLOOKUP($C82,PMGR!$BE$2:$BQ$250,210,0)</f>
        <v>186159</v>
      </c>
      <c r="DM82" s="106">
        <f>+HLOOKUP($C82,PMGR!$BE$2:$BQ$250,211,0)</f>
        <v>0</v>
      </c>
      <c r="DN82" s="106">
        <f>+HLOOKUP($C82,PMGR!$BE$2:$BQ$250,212,0)</f>
        <v>0</v>
      </c>
      <c r="DO82" s="106">
        <f>+HLOOKUP($C82,PMGR!$BE$2:$BQ$250,214,0)</f>
        <v>0</v>
      </c>
      <c r="DP82" s="106">
        <f>+HLOOKUP($C82,PMGR!$BE$2:$BQ$250,215,0)</f>
        <v>400</v>
      </c>
      <c r="DQ82" s="106">
        <f>+HLOOKUP($C82,PMGR!$BE$2:$BQ$250,219,0)</f>
        <v>0</v>
      </c>
      <c r="DR82" s="106">
        <f>+HLOOKUP($C82,PMGR!$BE$2:$BQ$250,220,0)</f>
        <v>0</v>
      </c>
      <c r="DS82" s="106">
        <f>+HLOOKUP($C82,PMGR!$BE$2:$BQ$250,221,0)</f>
        <v>0</v>
      </c>
      <c r="DT82" s="106">
        <f>+HLOOKUP($C82,PMGR!$BE$2:$BQ$250,223,0)</f>
        <v>20893.348799999996</v>
      </c>
      <c r="DU82" s="106">
        <f>+HLOOKUP($C82,PMGR!$BE$2:$BQ$250,224,0)</f>
        <v>0</v>
      </c>
      <c r="DV82" s="106">
        <f>+HLOOKUP($C82,PMGR!$BE$2:$BQ$250,225,0)</f>
        <v>0</v>
      </c>
      <c r="DW82" s="106">
        <f>+HLOOKUP($C82,PMGR!$BE$2:$BQ$250,227,0)</f>
        <v>0</v>
      </c>
      <c r="DX82" s="106">
        <f>+HLOOKUP($C82,PMGR!$BE$2:$BQ$250,228,0)</f>
        <v>790.56</v>
      </c>
      <c r="DY82" s="106">
        <f>+HLOOKUP($C82,PMGR!$BE$2:$BQ$250,236,0)</f>
        <v>240972.59999999998</v>
      </c>
      <c r="DZ82" s="106">
        <f>+HLOOKUP($C82,PMGR!$BE$2:$BQ$250,237,0)</f>
        <v>35053.112159999997</v>
      </c>
      <c r="EA82" s="106">
        <f>+HLOOKUP($C82,PMGR!$BE$2:$BQ$250,238,0)</f>
        <v>36682.799999999996</v>
      </c>
      <c r="EB82" s="106">
        <f>+HLOOKUP($C82,PMGR!$BE$2:$BQ$250,240,0)</f>
        <v>675475.61596874997</v>
      </c>
    </row>
    <row r="83" spans="1:132">
      <c r="A83" t="s">
        <v>269</v>
      </c>
      <c r="B83" t="s">
        <v>217</v>
      </c>
      <c r="C83" s="117">
        <v>45717</v>
      </c>
      <c r="D83" s="106">
        <f t="shared" si="0"/>
        <v>23558585.371108275</v>
      </c>
      <c r="E83" s="106">
        <f>+HLOOKUP(C83,PMGR!$BE$2:$BQ$250,28,0)+HLOOKUP(C83,PMGR!$BE$2:$BQ$250,43,0)+HLOOKUP(C83,PMGR!$BE$2:$BQ$250,44,0)+HLOOKUP(C83,PMGR!$BE$2:$BQ$250,45,0)+HLOOKUP(C83,PMGR!$BE$2:$BQ$250,54,0)+HLOOKUP(C83,PMGR!$BE$2:$BQ$250,59,0)</f>
        <v>23558585.371108275</v>
      </c>
      <c r="F83" s="106">
        <f>+HLOOKUP(C83,PMGR!$BE$2:$BQ$250,37,0)+HLOOKUP(C83,PMGR!$BE$2:$BQ$250,55,0)</f>
        <v>16261168.850000003</v>
      </c>
      <c r="G83" s="106">
        <f>+HLOOKUP($C83,PMGR!$BE$2:$BQ$250,76,0)</f>
        <v>0</v>
      </c>
      <c r="H83" s="106">
        <f>+HLOOKUP($C83,PMGR!$BE$2:$BQ$250,77,0)</f>
        <v>0</v>
      </c>
      <c r="I83" s="106">
        <f>+HLOOKUP($C83,PMGR!$BE$2:$BQ$250,78,0)</f>
        <v>0</v>
      </c>
      <c r="J83" s="106">
        <f>+HLOOKUP($C83,PMGR!$BE$2:$BQ$250,79,0)</f>
        <v>0</v>
      </c>
      <c r="K83" s="106">
        <f>+HLOOKUP($C83,PMGR!$BE$2:$BQ$250,80,0)</f>
        <v>23587</v>
      </c>
      <c r="L83" s="106">
        <f>+HLOOKUP($C83,PMGR!$BE$2:$BQ$250,81,0)</f>
        <v>0</v>
      </c>
      <c r="M83" s="106">
        <f>+HLOOKUP($C83,PMGR!$BE$2:$BQ$250,82,0)</f>
        <v>0</v>
      </c>
      <c r="N83" s="106">
        <f>+HLOOKUP($C83,PMGR!$BE$2:$BQ$250,83,0)</f>
        <v>0</v>
      </c>
      <c r="O83" s="106">
        <f>+HLOOKUP($C83,PMGR!$BE$2:$BQ$250,84,0)</f>
        <v>0</v>
      </c>
      <c r="P83" s="106">
        <f>+HLOOKUP($C83,PMGR!$BE$2:$BQ$250,85,0)</f>
        <v>0</v>
      </c>
      <c r="Q83" s="106">
        <f>+HLOOKUP($C83,PMGR!$BE$2:$BQ$250,87,0)</f>
        <v>240853.405</v>
      </c>
      <c r="R83" s="106">
        <f>+HLOOKUP($C83,PMGR!$BE$2:$BQ$250,90,0)</f>
        <v>0</v>
      </c>
      <c r="S83" s="106">
        <f>+HLOOKUP($C83,PMGR!$BE$2:$BQ$250,91,0)</f>
        <v>0</v>
      </c>
      <c r="T83" s="106">
        <f>+HLOOKUP($C83,PMGR!$BE$2:$BQ$250,92,0)</f>
        <v>0</v>
      </c>
      <c r="U83" s="106">
        <f>+HLOOKUP($C83,PMGR!$BE$2:$BQ$250,93,0)</f>
        <v>0</v>
      </c>
      <c r="V83" s="106">
        <f>+HLOOKUP($C83,PMGR!$BE$2:$BQ$250,94,0)</f>
        <v>0</v>
      </c>
      <c r="W83" s="106">
        <f>+HLOOKUP($C83,PMGR!$BE$2:$BQ$250,95,0)</f>
        <v>0</v>
      </c>
      <c r="X83" s="106">
        <f>+HLOOKUP($C83,PMGR!$BE$2:$BQ$250,96,0)</f>
        <v>0</v>
      </c>
      <c r="Y83" s="106">
        <f>+HLOOKUP($C83,PMGR!$BE$2:$BQ$250,97,0)</f>
        <v>0</v>
      </c>
      <c r="Z83" s="106">
        <f>+HLOOKUP($C83,PMGR!$BE$2:$BQ$250,98,0)</f>
        <v>0</v>
      </c>
      <c r="AA83" s="106">
        <f>+HLOOKUP($C83,PMGR!$BE$2:$BQ$250,99,0)</f>
        <v>0</v>
      </c>
      <c r="AB83" s="106">
        <f>+HLOOKUP($C83,PMGR!$BE$2:$BQ$250,100,0)</f>
        <v>0</v>
      </c>
      <c r="AC83" s="106">
        <f>+HLOOKUP($C83,PMGR!$BE$2:$BQ$250,101,0)</f>
        <v>14736</v>
      </c>
      <c r="AD83" s="106">
        <f>+HLOOKUP($C83,PMGR!$BE$2:$BQ$250,104,0)</f>
        <v>0</v>
      </c>
      <c r="AE83" s="106">
        <f>+HLOOKUP($C83,PMGR!$BE$2:$BQ$250,105,0)</f>
        <v>18730</v>
      </c>
      <c r="AF83" s="106">
        <f>+HLOOKUP($C83,PMGR!$BE$2:$BQ$250,106,0)</f>
        <v>0</v>
      </c>
      <c r="AG83" s="106">
        <f>+HLOOKUP($C83,PMGR!$BE$2:$BQ$250,107,0)</f>
        <v>0</v>
      </c>
      <c r="AH83" s="106">
        <f>+HLOOKUP($C83,PMGR!$BE$2:$BQ$250,108,0)</f>
        <v>0</v>
      </c>
      <c r="AI83" s="106">
        <f>+HLOOKUP($C83,PMGR!$BE$2:$BQ$250,109,0)</f>
        <v>45.9</v>
      </c>
      <c r="AJ83" s="106">
        <f>+HLOOKUP($C83,PMGR!$BE$2:$BQ$250,110,0)</f>
        <v>0</v>
      </c>
      <c r="AK83" s="106">
        <f>+HLOOKUP($C83,PMGR!$BE$2:$BQ$250,111,0)</f>
        <v>10920</v>
      </c>
      <c r="AL83" s="106">
        <f>+HLOOKUP($C83,PMGR!$BE$2:$BQ$250,112,0)</f>
        <v>0</v>
      </c>
      <c r="AM83" s="106">
        <f>+HLOOKUP($C83,PMGR!$BE$2:$BQ$250,116,0)</f>
        <v>556032</v>
      </c>
      <c r="AN83" s="106">
        <f>+HLOOKUP($C83,PMGR!$BE$2:$BQ$250,117,0)</f>
        <v>82783</v>
      </c>
      <c r="AO83" s="106">
        <f>+HLOOKUP($C83,PMGR!$BE$2:$BQ$250,118,0)</f>
        <v>1500</v>
      </c>
      <c r="AP83" s="106">
        <f>+HLOOKUP($C83,PMGR!$BE$2:$BQ$250,119,0)</f>
        <v>297788</v>
      </c>
      <c r="AQ83" s="106">
        <f>+HLOOKUP($C83,PMGR!$BE$2:$BQ$250,120,0)</f>
        <v>35003</v>
      </c>
      <c r="AR83" s="106">
        <f>+HLOOKUP($C83,PMGR!$BE$2:$BQ$250,121,0)</f>
        <v>19050</v>
      </c>
      <c r="AS83" s="106">
        <f>+HLOOKUP($C83,PMGR!$BE$2:$BQ$250,122,0)</f>
        <v>278358</v>
      </c>
      <c r="AT83" s="106">
        <f>+HLOOKUP($C83,PMGR!$BE$2:$BQ$250,123,0)</f>
        <v>98158</v>
      </c>
      <c r="AU83" s="106">
        <f>+HLOOKUP($C83,PMGR!$BE$2:$BQ$250,124,0)</f>
        <v>22521.8</v>
      </c>
      <c r="AV83" s="106">
        <f>+HLOOKUP($C83,PMGR!$BE$2:$BQ$250,125,0)</f>
        <v>122670</v>
      </c>
      <c r="AW83" s="106">
        <f>+HLOOKUP($C83,PMGR!$BE$2:$BQ$250,126,0)</f>
        <v>28437.499999999996</v>
      </c>
      <c r="AX83" s="106">
        <f>+HLOOKUP($C83,PMGR!$BE$2:$BQ$250,127,0)</f>
        <v>42233.333333333328</v>
      </c>
      <c r="AY83" s="106">
        <f>+HLOOKUP($C83,PMGR!$BE$2:$BQ$250,129,0)</f>
        <v>0</v>
      </c>
      <c r="AZ83" s="106">
        <f>+HLOOKUP($C83,PMGR!$BE$2:$BQ$250,130,0)</f>
        <v>0</v>
      </c>
      <c r="BA83" s="106">
        <f>+HLOOKUP($C83,PMGR!$BE$2:$BQ$250,131,0)</f>
        <v>0</v>
      </c>
      <c r="BB83" s="106">
        <f>+HLOOKUP($C83,PMGR!$BE$2:$BQ$250,133,0)</f>
        <v>0</v>
      </c>
      <c r="BC83" s="106">
        <f>+HLOOKUP($C83,PMGR!$BE$2:$BQ$250,134,0)</f>
        <v>201528.8</v>
      </c>
      <c r="BD83" s="106">
        <f>+HLOOKUP($C83,PMGR!$BE$2:$BQ$250,135,0)</f>
        <v>0</v>
      </c>
      <c r="BE83" s="106">
        <f>+HLOOKUP($C83,PMGR!$BE$2:$BQ$250,136,0)</f>
        <v>0</v>
      </c>
      <c r="BF83" s="106">
        <f>+HLOOKUP($C83,PMGR!$BE$2:$BQ$250,138,0)</f>
        <v>0</v>
      </c>
      <c r="BG83" s="106">
        <f>+HLOOKUP($C83,PMGR!$BE$2:$BQ$250,139,0)</f>
        <v>27432.52</v>
      </c>
      <c r="BH83" s="106">
        <f>+HLOOKUP($C83,PMGR!$BE$2:$BQ$250,140,0)</f>
        <v>49652</v>
      </c>
      <c r="BI83" s="106">
        <f>+HLOOKUP($C83,PMGR!$BE$2:$BQ$250,141,0)</f>
        <v>0</v>
      </c>
      <c r="BJ83" s="106">
        <f>+HLOOKUP($C83,PMGR!$BE$2:$BQ$250,142,0)</f>
        <v>0</v>
      </c>
      <c r="BK83" s="106">
        <f>+HLOOKUP($C83,PMGR!$BE$2:$BQ$250,143,0)</f>
        <v>49201.416666666664</v>
      </c>
      <c r="BL83" s="106">
        <f>+HLOOKUP($C83,PMGR!$BE$2:$BQ$250,144,0)</f>
        <v>29556</v>
      </c>
      <c r="BM83" s="106">
        <f>+HLOOKUP($C83,PMGR!$BE$2:$BQ$250,146,0)</f>
        <v>0</v>
      </c>
      <c r="BN83" s="106">
        <f>+HLOOKUP($C83,PMGR!$BE$2:$BQ$250,147,0)</f>
        <v>38971</v>
      </c>
      <c r="BO83" s="106">
        <f>+HLOOKUP($C83,PMGR!$BE$2:$BQ$250,148,0)</f>
        <v>0</v>
      </c>
      <c r="BP83" s="106">
        <f>+HLOOKUP($C83,PMGR!$BE$2:$BQ$250,150,0)</f>
        <v>52585.2</v>
      </c>
      <c r="BQ83" s="106">
        <f>+HLOOKUP($C83,PMGR!$BE$2:$BQ$250,151,0)</f>
        <v>9922</v>
      </c>
      <c r="BR83" s="106">
        <f>+HLOOKUP($C83,PMGR!$BE$2:$BQ$250,152,0)</f>
        <v>32000</v>
      </c>
      <c r="BS83" s="106">
        <f>+HLOOKUP($C83,PMGR!$BE$2:$BQ$250,153,0)</f>
        <v>500</v>
      </c>
      <c r="BT83" s="106">
        <f>+HLOOKUP($C83,PMGR!$BE$2:$BQ$250,157,0)</f>
        <v>0</v>
      </c>
      <c r="BU83" s="106">
        <f>+HLOOKUP($C83,PMGR!$BE$2:$BQ$250,158,0)</f>
        <v>750</v>
      </c>
      <c r="BV83" s="106">
        <f>+HLOOKUP($C83,PMGR!$BE$2:$BQ$250,159,0)</f>
        <v>2893.8345999999997</v>
      </c>
      <c r="BW83" s="106">
        <f>+HLOOKUP($C83,PMGR!$BE$2:$BQ$250,160,0)</f>
        <v>28552.67</v>
      </c>
      <c r="BX83" s="106">
        <f>+HLOOKUP($C83,PMGR!$BE$2:$BQ$250,161,0)</f>
        <v>20924.330000000002</v>
      </c>
      <c r="BY83" s="106">
        <f>+HLOOKUP($C83,PMGR!$BE$2:$BQ$250,164,0)</f>
        <v>6091.6180000000004</v>
      </c>
      <c r="BZ83" s="106">
        <f>+HLOOKUP($C83,PMGR!$BE$2:$BQ$250,165,0)</f>
        <v>28040.97</v>
      </c>
      <c r="CA83" s="106">
        <f>+HLOOKUP($C83,PMGR!$BE$2:$BQ$250,166,0)</f>
        <v>0</v>
      </c>
      <c r="CB83" s="106">
        <f>+HLOOKUP($C83,PMGR!$BE$2:$BQ$250,167,0)</f>
        <v>300</v>
      </c>
      <c r="CC83" s="106">
        <f>+HLOOKUP($C83,PMGR!$BE$2:$BQ$250,168,0)</f>
        <v>0</v>
      </c>
      <c r="CD83" s="106">
        <f>+HLOOKUP($C83,PMGR!$BE$2:$BQ$250,169,0)</f>
        <v>1760.3405999999993</v>
      </c>
      <c r="CE83" s="106">
        <f>+HLOOKUP($C83,PMGR!$BE$2:$BQ$250,170,0)</f>
        <v>0</v>
      </c>
      <c r="CF83" s="106">
        <f>+HLOOKUP($C83,PMGR!$BE$2:$BQ$250,172,0)</f>
        <v>32700</v>
      </c>
      <c r="CG83" s="106">
        <f>+HLOOKUP($C83,PMGR!$BE$2:$BQ$250,173,0)</f>
        <v>0</v>
      </c>
      <c r="CH83" s="106">
        <f>+HLOOKUP($C83,PMGR!$BE$2:$BQ$250,174,0)</f>
        <v>124641</v>
      </c>
      <c r="CI83" s="106">
        <f>+HLOOKUP($C83,PMGR!$BE$2:$BQ$250,175,0)</f>
        <v>38471</v>
      </c>
      <c r="CJ83" s="106">
        <f>+HLOOKUP($C83,PMGR!$BE$2:$BQ$250,176,0)</f>
        <v>3498.4793999999974</v>
      </c>
      <c r="CK83" s="106">
        <f>+HLOOKUP($C83,PMGR!$BE$2:$BQ$250,178,0)</f>
        <v>86765.4</v>
      </c>
      <c r="CL83" s="106">
        <f>+HLOOKUP($C83,PMGR!$BE$2:$BQ$250,179,0)</f>
        <v>5691</v>
      </c>
      <c r="CM83" s="106">
        <f>+HLOOKUP($C83,PMGR!$BE$2:$BQ$250,180,0)</f>
        <v>0</v>
      </c>
      <c r="CN83" s="106">
        <f>+HLOOKUP($C83,PMGR!$BE$2:$BQ$250,182,0)</f>
        <v>0</v>
      </c>
      <c r="CO83" s="106">
        <f>+HLOOKUP($C83,PMGR!$BE$2:$BQ$250,183,0)</f>
        <v>11220.565999999999</v>
      </c>
      <c r="CP83" s="106">
        <f>+HLOOKUP($C83,PMGR!$BE$2:$BQ$250,184,0)</f>
        <v>0</v>
      </c>
      <c r="CQ83" s="106">
        <f>+HLOOKUP($C83,PMGR!$BE$2:$BQ$250,185,0)</f>
        <v>0</v>
      </c>
      <c r="CR83" s="106">
        <f>+HLOOKUP($C83,PMGR!$BE$2:$BQ$250,187,0)</f>
        <v>3749.7599999999993</v>
      </c>
      <c r="CS83" s="106">
        <f>+HLOOKUP($C83,PMGR!$BE$2:$BQ$250,188,0)</f>
        <v>0</v>
      </c>
      <c r="CT83" s="106">
        <f>+HLOOKUP($C83,PMGR!$BE$2:$BQ$250,189,0)</f>
        <v>0</v>
      </c>
      <c r="CU83" s="106">
        <f>+HLOOKUP($C83,PMGR!$BE$2:$BQ$250,190,0)</f>
        <v>0</v>
      </c>
      <c r="CV83" s="106">
        <f>+HLOOKUP($C83,PMGR!$BE$2:$BQ$250,191,0)</f>
        <v>0</v>
      </c>
      <c r="CW83" s="106">
        <f>+HLOOKUP($C83,PMGR!$BE$2:$BQ$250,193,0)</f>
        <v>16684.300000000021</v>
      </c>
      <c r="CX83" s="106">
        <f>+HLOOKUP($C83,PMGR!$BE$2:$BQ$250,194,0)</f>
        <v>47.699999999999996</v>
      </c>
      <c r="CY83" s="106">
        <f>+HLOOKUP($C83,PMGR!$BE$2:$BQ$250,195,0)</f>
        <v>0</v>
      </c>
      <c r="CZ83" s="106">
        <f>+HLOOKUP($C83,PMGR!$BE$2:$BQ$250,196,0)</f>
        <v>0</v>
      </c>
      <c r="DA83" s="106">
        <f>+HLOOKUP($C83,PMGR!$BE$2:$BQ$250,197,0)</f>
        <v>7397.23</v>
      </c>
      <c r="DB83" s="106">
        <f>+HLOOKUP($C83,PMGR!$BE$2:$BQ$250,198,0)</f>
        <v>22218.26</v>
      </c>
      <c r="DC83" s="106">
        <f>+HLOOKUP($C83,PMGR!$BE$2:$BQ$250,199,0)</f>
        <v>7426.27</v>
      </c>
      <c r="DD83" s="106">
        <f>+HLOOKUP($C83,PMGR!$BE$2:$BQ$250,200,0)</f>
        <v>10009</v>
      </c>
      <c r="DE83" s="106">
        <f>+HLOOKUP($C83,PMGR!$BE$2:$BQ$250,201,0)</f>
        <v>0</v>
      </c>
      <c r="DF83" s="106">
        <f>+HLOOKUP($C83,PMGR!$BE$2:$BQ$250,202,0)</f>
        <v>-0.30459999999999976</v>
      </c>
      <c r="DG83" s="106">
        <f>+HLOOKUP($C83,PMGR!$BE$2:$BQ$250,203,0)</f>
        <v>-71.320399999999992</v>
      </c>
      <c r="DH83" s="106">
        <f>+HLOOKUP($C83,PMGR!$BE$2:$BQ$250,205,0)</f>
        <v>0</v>
      </c>
      <c r="DI83" s="106">
        <f>+HLOOKUP($C83,PMGR!$BE$2:$BQ$250,206,0)</f>
        <v>9733.5</v>
      </c>
      <c r="DJ83" s="106">
        <f>+HLOOKUP($C83,PMGR!$BE$2:$BQ$250,207,0)</f>
        <v>34860.704399999995</v>
      </c>
      <c r="DK83" s="106">
        <f>+HLOOKUP($C83,PMGR!$BE$2:$BQ$250,209,0)</f>
        <v>0</v>
      </c>
      <c r="DL83" s="106">
        <f>+HLOOKUP($C83,PMGR!$BE$2:$BQ$250,210,0)</f>
        <v>186159</v>
      </c>
      <c r="DM83" s="106">
        <f>+HLOOKUP($C83,PMGR!$BE$2:$BQ$250,211,0)</f>
        <v>0</v>
      </c>
      <c r="DN83" s="106">
        <f>+HLOOKUP($C83,PMGR!$BE$2:$BQ$250,212,0)</f>
        <v>0</v>
      </c>
      <c r="DO83" s="106">
        <f>+HLOOKUP($C83,PMGR!$BE$2:$BQ$250,214,0)</f>
        <v>0</v>
      </c>
      <c r="DP83" s="106">
        <f>+HLOOKUP($C83,PMGR!$BE$2:$BQ$250,215,0)</f>
        <v>1400</v>
      </c>
      <c r="DQ83" s="106">
        <f>+HLOOKUP($C83,PMGR!$BE$2:$BQ$250,219,0)</f>
        <v>0</v>
      </c>
      <c r="DR83" s="106">
        <f>+HLOOKUP($C83,PMGR!$BE$2:$BQ$250,220,0)</f>
        <v>0</v>
      </c>
      <c r="DS83" s="106">
        <f>+HLOOKUP($C83,PMGR!$BE$2:$BQ$250,221,0)</f>
        <v>0</v>
      </c>
      <c r="DT83" s="106">
        <f>+HLOOKUP($C83,PMGR!$BE$2:$BQ$250,223,0)</f>
        <v>37681.187399999995</v>
      </c>
      <c r="DU83" s="106">
        <f>+HLOOKUP($C83,PMGR!$BE$2:$BQ$250,224,0)</f>
        <v>0</v>
      </c>
      <c r="DV83" s="106">
        <f>+HLOOKUP($C83,PMGR!$BE$2:$BQ$250,225,0)</f>
        <v>0</v>
      </c>
      <c r="DW83" s="106">
        <f>+HLOOKUP($C83,PMGR!$BE$2:$BQ$250,227,0)</f>
        <v>0</v>
      </c>
      <c r="DX83" s="106">
        <f>+HLOOKUP($C83,PMGR!$BE$2:$BQ$250,228,0)</f>
        <v>2989.4399999999996</v>
      </c>
      <c r="DY83" s="106">
        <f>+HLOOKUP($C83,PMGR!$BE$2:$BQ$250,236,0)</f>
        <v>247239</v>
      </c>
      <c r="DZ83" s="106">
        <f>+HLOOKUP($C83,PMGR!$BE$2:$BQ$250,237,0)</f>
        <v>33090.041819999999</v>
      </c>
      <c r="EA83" s="106">
        <f>+HLOOKUP($C83,PMGR!$BE$2:$BQ$250,238,0)</f>
        <v>12607.38</v>
      </c>
      <c r="EB83" s="106">
        <f>+HLOOKUP($C83,PMGR!$BE$2:$BQ$250,240,0)</f>
        <v>675475.61596874997</v>
      </c>
    </row>
    <row r="84" spans="1:132">
      <c r="A84" t="s">
        <v>269</v>
      </c>
      <c r="B84" t="s">
        <v>217</v>
      </c>
      <c r="C84" s="117">
        <v>45689</v>
      </c>
      <c r="D84" s="106">
        <f t="shared" si="0"/>
        <v>15693171.516873533</v>
      </c>
      <c r="E84" s="106">
        <f>+HLOOKUP(C84,PMGR!$BE$2:$BQ$250,28,0)+HLOOKUP(C84,PMGR!$BE$2:$BQ$250,43,0)+HLOOKUP(C84,PMGR!$BE$2:$BQ$250,44,0)+HLOOKUP(C84,PMGR!$BE$2:$BQ$250,45,0)+HLOOKUP(C84,PMGR!$BE$2:$BQ$250,54,0)+HLOOKUP(C84,PMGR!$BE$2:$BQ$250,59,0)</f>
        <v>15693171.516873533</v>
      </c>
      <c r="F84" s="106">
        <f>+HLOOKUP(C84,PMGR!$BE$2:$BQ$250,37,0)+HLOOKUP(C84,PMGR!$BE$2:$BQ$250,55,0)</f>
        <v>11603982.099999994</v>
      </c>
      <c r="G84" s="106">
        <f>+HLOOKUP($C84,PMGR!$BE$2:$BQ$250,76,0)</f>
        <v>0</v>
      </c>
      <c r="H84" s="106">
        <f>+HLOOKUP($C84,PMGR!$BE$2:$BQ$250,77,0)</f>
        <v>0</v>
      </c>
      <c r="I84" s="106">
        <f>+HLOOKUP($C84,PMGR!$BE$2:$BQ$250,78,0)</f>
        <v>0</v>
      </c>
      <c r="J84" s="106">
        <f>+HLOOKUP($C84,PMGR!$BE$2:$BQ$250,79,0)</f>
        <v>0</v>
      </c>
      <c r="K84" s="106">
        <f>+HLOOKUP($C84,PMGR!$BE$2:$BQ$250,80,0)</f>
        <v>6388.3</v>
      </c>
      <c r="L84" s="106">
        <f>+HLOOKUP($C84,PMGR!$BE$2:$BQ$250,81,0)</f>
        <v>0</v>
      </c>
      <c r="M84" s="106">
        <f>+HLOOKUP($C84,PMGR!$BE$2:$BQ$250,82,0)</f>
        <v>0</v>
      </c>
      <c r="N84" s="106">
        <f>+HLOOKUP($C84,PMGR!$BE$2:$BQ$250,83,0)</f>
        <v>0</v>
      </c>
      <c r="O84" s="106">
        <f>+HLOOKUP($C84,PMGR!$BE$2:$BQ$250,84,0)</f>
        <v>0</v>
      </c>
      <c r="P84" s="106">
        <f>+HLOOKUP($C84,PMGR!$BE$2:$BQ$250,85,0)</f>
        <v>0</v>
      </c>
      <c r="Q84" s="106">
        <f>+HLOOKUP($C84,PMGR!$BE$2:$BQ$250,87,0)</f>
        <v>18465.208682722005</v>
      </c>
      <c r="R84" s="106">
        <f>+HLOOKUP($C84,PMGR!$BE$2:$BQ$250,90,0)</f>
        <v>0</v>
      </c>
      <c r="S84" s="106">
        <f>+HLOOKUP($C84,PMGR!$BE$2:$BQ$250,91,0)</f>
        <v>900</v>
      </c>
      <c r="T84" s="106">
        <f>+HLOOKUP($C84,PMGR!$BE$2:$BQ$250,92,0)</f>
        <v>0</v>
      </c>
      <c r="U84" s="106">
        <f>+HLOOKUP($C84,PMGR!$BE$2:$BQ$250,93,0)</f>
        <v>0</v>
      </c>
      <c r="V84" s="106">
        <f>+HLOOKUP($C84,PMGR!$BE$2:$BQ$250,94,0)</f>
        <v>0</v>
      </c>
      <c r="W84" s="106">
        <f>+HLOOKUP($C84,PMGR!$BE$2:$BQ$250,95,0)</f>
        <v>0</v>
      </c>
      <c r="X84" s="106">
        <f>+HLOOKUP($C84,PMGR!$BE$2:$BQ$250,96,0)</f>
        <v>0</v>
      </c>
      <c r="Y84" s="106">
        <f>+HLOOKUP($C84,PMGR!$BE$2:$BQ$250,97,0)</f>
        <v>0</v>
      </c>
      <c r="Z84" s="106">
        <f>+HLOOKUP($C84,PMGR!$BE$2:$BQ$250,98,0)</f>
        <v>0</v>
      </c>
      <c r="AA84" s="106">
        <f>+HLOOKUP($C84,PMGR!$BE$2:$BQ$250,99,0)</f>
        <v>0</v>
      </c>
      <c r="AB84" s="106">
        <f>+HLOOKUP($C84,PMGR!$BE$2:$BQ$250,100,0)</f>
        <v>0</v>
      </c>
      <c r="AC84" s="106">
        <f>+HLOOKUP($C84,PMGR!$BE$2:$BQ$250,101,0)</f>
        <v>6612</v>
      </c>
      <c r="AD84" s="106">
        <f>+HLOOKUP($C84,PMGR!$BE$2:$BQ$250,104,0)</f>
        <v>0</v>
      </c>
      <c r="AE84" s="106">
        <f>+HLOOKUP($C84,PMGR!$BE$2:$BQ$250,105,0)</f>
        <v>4140</v>
      </c>
      <c r="AF84" s="106">
        <f>+HLOOKUP($C84,PMGR!$BE$2:$BQ$250,106,0)</f>
        <v>0</v>
      </c>
      <c r="AG84" s="106">
        <f>+HLOOKUP($C84,PMGR!$BE$2:$BQ$250,107,0)</f>
        <v>0</v>
      </c>
      <c r="AH84" s="106">
        <f>+HLOOKUP($C84,PMGR!$BE$2:$BQ$250,108,0)</f>
        <v>0</v>
      </c>
      <c r="AI84" s="106">
        <f>+HLOOKUP($C84,PMGR!$BE$2:$BQ$250,109,0)</f>
        <v>0</v>
      </c>
      <c r="AJ84" s="106">
        <f>+HLOOKUP($C84,PMGR!$BE$2:$BQ$250,110,0)</f>
        <v>0</v>
      </c>
      <c r="AK84" s="106">
        <f>+HLOOKUP($C84,PMGR!$BE$2:$BQ$250,111,0)</f>
        <v>5920</v>
      </c>
      <c r="AL84" s="106">
        <f>+HLOOKUP($C84,PMGR!$BE$2:$BQ$250,112,0)</f>
        <v>0</v>
      </c>
      <c r="AM84" s="106">
        <f>+HLOOKUP($C84,PMGR!$BE$2:$BQ$250,116,0)</f>
        <v>604846</v>
      </c>
      <c r="AN84" s="106">
        <f>+HLOOKUP($C84,PMGR!$BE$2:$BQ$250,117,0)</f>
        <v>79834</v>
      </c>
      <c r="AO84" s="106">
        <f>+HLOOKUP($C84,PMGR!$BE$2:$BQ$250,118,0)</f>
        <v>4500</v>
      </c>
      <c r="AP84" s="106">
        <f>+HLOOKUP($C84,PMGR!$BE$2:$BQ$250,119,0)</f>
        <v>177192</v>
      </c>
      <c r="AQ84" s="106">
        <f>+HLOOKUP($C84,PMGR!$BE$2:$BQ$250,120,0)</f>
        <v>33064.29</v>
      </c>
      <c r="AR84" s="106">
        <f>+HLOOKUP($C84,PMGR!$BE$2:$BQ$250,121,0)</f>
        <v>17250</v>
      </c>
      <c r="AS84" s="106">
        <f>+HLOOKUP($C84,PMGR!$BE$2:$BQ$250,122,0)</f>
        <v>262650</v>
      </c>
      <c r="AT84" s="106">
        <f>+HLOOKUP($C84,PMGR!$BE$2:$BQ$250,123,0)</f>
        <v>105698</v>
      </c>
      <c r="AU84" s="106">
        <f>+HLOOKUP($C84,PMGR!$BE$2:$BQ$250,124,0)</f>
        <v>21140.799999999999</v>
      </c>
      <c r="AV84" s="106">
        <f>+HLOOKUP($C84,PMGR!$BE$2:$BQ$250,125,0)</f>
        <v>122670</v>
      </c>
      <c r="AW84" s="106">
        <f>+HLOOKUP($C84,PMGR!$BE$2:$BQ$250,126,0)</f>
        <v>28437.499999999996</v>
      </c>
      <c r="AX84" s="106">
        <f>+HLOOKUP($C84,PMGR!$BE$2:$BQ$250,127,0)</f>
        <v>42233.333333333328</v>
      </c>
      <c r="AY84" s="106">
        <f>+HLOOKUP($C84,PMGR!$BE$2:$BQ$250,129,0)</f>
        <v>0</v>
      </c>
      <c r="AZ84" s="106">
        <f>+HLOOKUP($C84,PMGR!$BE$2:$BQ$250,130,0)</f>
        <v>0</v>
      </c>
      <c r="BA84" s="106">
        <f>+HLOOKUP($C84,PMGR!$BE$2:$BQ$250,131,0)</f>
        <v>0</v>
      </c>
      <c r="BB84" s="106">
        <f>+HLOOKUP($C84,PMGR!$BE$2:$BQ$250,133,0)</f>
        <v>0</v>
      </c>
      <c r="BC84" s="106">
        <f>+HLOOKUP($C84,PMGR!$BE$2:$BQ$250,134,0)</f>
        <v>102126.18060000001</v>
      </c>
      <c r="BD84" s="106">
        <f>+HLOOKUP($C84,PMGR!$BE$2:$BQ$250,135,0)</f>
        <v>0</v>
      </c>
      <c r="BE84" s="106">
        <f>+HLOOKUP($C84,PMGR!$BE$2:$BQ$250,136,0)</f>
        <v>0</v>
      </c>
      <c r="BF84" s="106">
        <f>+HLOOKUP($C84,PMGR!$BE$2:$BQ$250,138,0)</f>
        <v>500</v>
      </c>
      <c r="BG84" s="106">
        <f>+HLOOKUP($C84,PMGR!$BE$2:$BQ$250,139,0)</f>
        <v>27179.84</v>
      </c>
      <c r="BH84" s="106">
        <f>+HLOOKUP($C84,PMGR!$BE$2:$BQ$250,140,0)</f>
        <v>49652</v>
      </c>
      <c r="BI84" s="106">
        <f>+HLOOKUP($C84,PMGR!$BE$2:$BQ$250,141,0)</f>
        <v>0</v>
      </c>
      <c r="BJ84" s="106">
        <f>+HLOOKUP($C84,PMGR!$BE$2:$BQ$250,142,0)</f>
        <v>0</v>
      </c>
      <c r="BK84" s="106">
        <f>+HLOOKUP($C84,PMGR!$BE$2:$BQ$250,143,0)</f>
        <v>49201.416666666664</v>
      </c>
      <c r="BL84" s="106">
        <f>+HLOOKUP($C84,PMGR!$BE$2:$BQ$250,144,0)</f>
        <v>40175</v>
      </c>
      <c r="BM84" s="106">
        <f>+HLOOKUP($C84,PMGR!$BE$2:$BQ$250,146,0)</f>
        <v>0</v>
      </c>
      <c r="BN84" s="106">
        <f>+HLOOKUP($C84,PMGR!$BE$2:$BQ$250,147,0)</f>
        <v>34781</v>
      </c>
      <c r="BO84" s="106">
        <f>+HLOOKUP($C84,PMGR!$BE$2:$BQ$250,148,0)</f>
        <v>0</v>
      </c>
      <c r="BP84" s="106">
        <f>+HLOOKUP($C84,PMGR!$BE$2:$BQ$250,150,0)</f>
        <v>52681.2</v>
      </c>
      <c r="BQ84" s="106">
        <f>+HLOOKUP($C84,PMGR!$BE$2:$BQ$250,151,0)</f>
        <v>4961</v>
      </c>
      <c r="BR84" s="106">
        <f>+HLOOKUP($C84,PMGR!$BE$2:$BQ$250,152,0)</f>
        <v>32000</v>
      </c>
      <c r="BS84" s="106">
        <f>+HLOOKUP($C84,PMGR!$BE$2:$BQ$250,153,0)</f>
        <v>0</v>
      </c>
      <c r="BT84" s="106">
        <f>+HLOOKUP($C84,PMGR!$BE$2:$BQ$250,157,0)</f>
        <v>0</v>
      </c>
      <c r="BU84" s="106">
        <f>+HLOOKUP($C84,PMGR!$BE$2:$BQ$250,158,0)</f>
        <v>0</v>
      </c>
      <c r="BV84" s="106">
        <f>+HLOOKUP($C84,PMGR!$BE$2:$BQ$250,159,0)</f>
        <v>681</v>
      </c>
      <c r="BW84" s="106">
        <f>+HLOOKUP($C84,PMGR!$BE$2:$BQ$250,160,0)</f>
        <v>7555</v>
      </c>
      <c r="BX84" s="106">
        <f>+HLOOKUP($C84,PMGR!$BE$2:$BQ$250,161,0)</f>
        <v>130461.0102</v>
      </c>
      <c r="BY84" s="106">
        <f>+HLOOKUP($C84,PMGR!$BE$2:$BQ$250,164,0)</f>
        <v>11856.805999999999</v>
      </c>
      <c r="BZ84" s="106">
        <f>+HLOOKUP($C84,PMGR!$BE$2:$BQ$250,165,0)</f>
        <v>30825.119999999999</v>
      </c>
      <c r="CA84" s="106">
        <f>+HLOOKUP($C84,PMGR!$BE$2:$BQ$250,166,0)</f>
        <v>0</v>
      </c>
      <c r="CB84" s="106">
        <f>+HLOOKUP($C84,PMGR!$BE$2:$BQ$250,167,0)</f>
        <v>400</v>
      </c>
      <c r="CC84" s="106">
        <f>+HLOOKUP($C84,PMGR!$BE$2:$BQ$250,168,0)</f>
        <v>0</v>
      </c>
      <c r="CD84" s="106">
        <f>+HLOOKUP($C84,PMGR!$BE$2:$BQ$250,169,0)</f>
        <v>1424.4101999999998</v>
      </c>
      <c r="CE84" s="106">
        <f>+HLOOKUP($C84,PMGR!$BE$2:$BQ$250,170,0)</f>
        <v>0</v>
      </c>
      <c r="CF84" s="106">
        <f>+HLOOKUP($C84,PMGR!$BE$2:$BQ$250,172,0)</f>
        <v>32700</v>
      </c>
      <c r="CG84" s="106">
        <f>+HLOOKUP($C84,PMGR!$BE$2:$BQ$250,173,0)</f>
        <v>0</v>
      </c>
      <c r="CH84" s="106">
        <f>+HLOOKUP($C84,PMGR!$BE$2:$BQ$250,174,0)</f>
        <v>124641</v>
      </c>
      <c r="CI84" s="106">
        <f>+HLOOKUP($C84,PMGR!$BE$2:$BQ$250,175,0)</f>
        <v>38471</v>
      </c>
      <c r="CJ84" s="106">
        <f>+HLOOKUP($C84,PMGR!$BE$2:$BQ$250,176,0)</f>
        <v>3318.04</v>
      </c>
      <c r="CK84" s="106">
        <f>+HLOOKUP($C84,PMGR!$BE$2:$BQ$250,178,0)</f>
        <v>91393.2</v>
      </c>
      <c r="CL84" s="106">
        <f>+HLOOKUP($C84,PMGR!$BE$2:$BQ$250,179,0)</f>
        <v>4330.8540000000003</v>
      </c>
      <c r="CM84" s="106">
        <f>+HLOOKUP($C84,PMGR!$BE$2:$BQ$250,180,0)</f>
        <v>0</v>
      </c>
      <c r="CN84" s="106">
        <f>+HLOOKUP($C84,PMGR!$BE$2:$BQ$250,182,0)</f>
        <v>0</v>
      </c>
      <c r="CO84" s="106">
        <f>+HLOOKUP($C84,PMGR!$BE$2:$BQ$250,183,0)</f>
        <v>26894.400000000001</v>
      </c>
      <c r="CP84" s="106">
        <f>+HLOOKUP($C84,PMGR!$BE$2:$BQ$250,184,0)</f>
        <v>0</v>
      </c>
      <c r="CQ84" s="106">
        <f>+HLOOKUP($C84,PMGR!$BE$2:$BQ$250,185,0)</f>
        <v>0</v>
      </c>
      <c r="CR84" s="106">
        <f>+HLOOKUP($C84,PMGR!$BE$2:$BQ$250,187,0)</f>
        <v>3749.7599999999993</v>
      </c>
      <c r="CS84" s="106">
        <f>+HLOOKUP($C84,PMGR!$BE$2:$BQ$250,188,0)</f>
        <v>0</v>
      </c>
      <c r="CT84" s="106">
        <f>+HLOOKUP($C84,PMGR!$BE$2:$BQ$250,189,0)</f>
        <v>0</v>
      </c>
      <c r="CU84" s="106">
        <f>+HLOOKUP($C84,PMGR!$BE$2:$BQ$250,190,0)</f>
        <v>1499.94</v>
      </c>
      <c r="CV84" s="106">
        <f>+HLOOKUP($C84,PMGR!$BE$2:$BQ$250,191,0)</f>
        <v>0</v>
      </c>
      <c r="CW84" s="106">
        <f>+HLOOKUP($C84,PMGR!$BE$2:$BQ$250,193,0)</f>
        <v>0</v>
      </c>
      <c r="CX84" s="106">
        <f>+HLOOKUP($C84,PMGR!$BE$2:$BQ$250,194,0)</f>
        <v>47.699999999999996</v>
      </c>
      <c r="CY84" s="106">
        <f>+HLOOKUP($C84,PMGR!$BE$2:$BQ$250,195,0)</f>
        <v>0</v>
      </c>
      <c r="CZ84" s="106">
        <f>+HLOOKUP($C84,PMGR!$BE$2:$BQ$250,196,0)</f>
        <v>0</v>
      </c>
      <c r="DA84" s="106">
        <f>+HLOOKUP($C84,PMGR!$BE$2:$BQ$250,197,0)</f>
        <v>15329.13</v>
      </c>
      <c r="DB84" s="106">
        <f>+HLOOKUP($C84,PMGR!$BE$2:$BQ$250,198,0)</f>
        <v>9754.7000000000007</v>
      </c>
      <c r="DC84" s="106">
        <f>+HLOOKUP($C84,PMGR!$BE$2:$BQ$250,199,0)</f>
        <v>11484.81</v>
      </c>
      <c r="DD84" s="106">
        <f>+HLOOKUP($C84,PMGR!$BE$2:$BQ$250,200,0)</f>
        <v>3950</v>
      </c>
      <c r="DE84" s="106">
        <f>+HLOOKUP($C84,PMGR!$BE$2:$BQ$250,201,0)</f>
        <v>0</v>
      </c>
      <c r="DF84" s="106">
        <f>+HLOOKUP($C84,PMGR!$BE$2:$BQ$250,202,0)</f>
        <v>0.73460000000000003</v>
      </c>
      <c r="DG84" s="106">
        <f>+HLOOKUP($C84,PMGR!$BE$2:$BQ$250,203,0)</f>
        <v>-10.2348</v>
      </c>
      <c r="DH84" s="106">
        <f>+HLOOKUP($C84,PMGR!$BE$2:$BQ$250,205,0)</f>
        <v>0</v>
      </c>
      <c r="DI84" s="106">
        <f>+HLOOKUP($C84,PMGR!$BE$2:$BQ$250,206,0)</f>
        <v>9734</v>
      </c>
      <c r="DJ84" s="106">
        <f>+HLOOKUP($C84,PMGR!$BE$2:$BQ$250,207,0)</f>
        <v>31687.7994</v>
      </c>
      <c r="DK84" s="106">
        <f>+HLOOKUP($C84,PMGR!$BE$2:$BQ$250,209,0)</f>
        <v>0</v>
      </c>
      <c r="DL84" s="106">
        <f>+HLOOKUP($C84,PMGR!$BE$2:$BQ$250,210,0)</f>
        <v>186159</v>
      </c>
      <c r="DM84" s="106">
        <f>+HLOOKUP($C84,PMGR!$BE$2:$BQ$250,211,0)</f>
        <v>0</v>
      </c>
      <c r="DN84" s="106">
        <f>+HLOOKUP($C84,PMGR!$BE$2:$BQ$250,212,0)</f>
        <v>0</v>
      </c>
      <c r="DO84" s="106">
        <f>+HLOOKUP($C84,PMGR!$BE$2:$BQ$250,214,0)</f>
        <v>0</v>
      </c>
      <c r="DP84" s="106">
        <f>+HLOOKUP($C84,PMGR!$BE$2:$BQ$250,215,0)</f>
        <v>5300</v>
      </c>
      <c r="DQ84" s="106">
        <f>+HLOOKUP($C84,PMGR!$BE$2:$BQ$250,219,0)</f>
        <v>0</v>
      </c>
      <c r="DR84" s="106">
        <f>+HLOOKUP($C84,PMGR!$BE$2:$BQ$250,220,0)</f>
        <v>0</v>
      </c>
      <c r="DS84" s="106">
        <f>+HLOOKUP($C84,PMGR!$BE$2:$BQ$250,221,0)</f>
        <v>0</v>
      </c>
      <c r="DT84" s="106">
        <f>+HLOOKUP($C84,PMGR!$BE$2:$BQ$250,223,0)</f>
        <v>12771.026999999998</v>
      </c>
      <c r="DU84" s="106">
        <f>+HLOOKUP($C84,PMGR!$BE$2:$BQ$250,224,0)</f>
        <v>0</v>
      </c>
      <c r="DV84" s="106">
        <f>+HLOOKUP($C84,PMGR!$BE$2:$BQ$250,225,0)</f>
        <v>0</v>
      </c>
      <c r="DW84" s="106">
        <f>+HLOOKUP($C84,PMGR!$BE$2:$BQ$250,227,0)</f>
        <v>0</v>
      </c>
      <c r="DX84" s="106">
        <f>+HLOOKUP($C84,PMGR!$BE$2:$BQ$250,228,0)</f>
        <v>12128.58</v>
      </c>
      <c r="DY84" s="106">
        <f>+HLOOKUP($C84,PMGR!$BE$2:$BQ$250,236,0)</f>
        <v>422432</v>
      </c>
      <c r="DZ84" s="106">
        <f>+HLOOKUP($C84,PMGR!$BE$2:$BQ$250,237,0)</f>
        <v>32363.4267</v>
      </c>
      <c r="EA84" s="106">
        <f>+HLOOKUP($C84,PMGR!$BE$2:$BQ$250,238,0)</f>
        <v>44667</v>
      </c>
      <c r="EB84" s="106">
        <f>+HLOOKUP($C84,PMGR!$BE$2:$BQ$250,240,0)</f>
        <v>675475.61596874997</v>
      </c>
    </row>
    <row r="85" spans="1:132">
      <c r="A85" t="s">
        <v>269</v>
      </c>
      <c r="B85" t="s">
        <v>217</v>
      </c>
      <c r="C85" s="117">
        <v>45658</v>
      </c>
      <c r="D85" s="106">
        <f t="shared" si="0"/>
        <v>12513123.115422493</v>
      </c>
      <c r="E85" s="106">
        <f>+HLOOKUP(C85,PMGR!$BE$2:$BQ$250,28,0)+HLOOKUP(C85,PMGR!$BE$2:$BQ$250,43,0)+HLOOKUP(C85,PMGR!$BE$2:$BQ$250,44,0)+HLOOKUP(C85,PMGR!$BE$2:$BQ$250,45,0)+HLOOKUP(C85,PMGR!$BE$2:$BQ$250,54,0)+HLOOKUP(C85,PMGR!$BE$2:$BQ$250,59,0)</f>
        <v>12513123.115422493</v>
      </c>
      <c r="F85" s="106">
        <f>+HLOOKUP(C85,PMGR!$BE$2:$BQ$250,37,0)+HLOOKUP(C85,PMGR!$BE$2:$BQ$250,55,0)</f>
        <v>9016729.089999998</v>
      </c>
      <c r="G85" s="106">
        <f>+HLOOKUP($C85,PMGR!$BE$2:$BQ$250,76,0)</f>
        <v>0</v>
      </c>
      <c r="H85" s="106">
        <f>+HLOOKUP($C85,PMGR!$BE$2:$BQ$250,77,0)</f>
        <v>600</v>
      </c>
      <c r="I85" s="106">
        <f>+HLOOKUP($C85,PMGR!$BE$2:$BQ$250,78,0)</f>
        <v>0</v>
      </c>
      <c r="J85" s="106">
        <f>+HLOOKUP($C85,PMGR!$BE$2:$BQ$250,79,0)</f>
        <v>0</v>
      </c>
      <c r="K85" s="106">
        <f>+HLOOKUP($C85,PMGR!$BE$2:$BQ$250,80,0)</f>
        <v>0</v>
      </c>
      <c r="L85" s="106">
        <f>+HLOOKUP($C85,PMGR!$BE$2:$BQ$250,81,0)</f>
        <v>1530</v>
      </c>
      <c r="M85" s="106">
        <f>+HLOOKUP($C85,PMGR!$BE$2:$BQ$250,82,0)</f>
        <v>0</v>
      </c>
      <c r="N85" s="106">
        <f>+HLOOKUP($C85,PMGR!$BE$2:$BQ$250,83,0)</f>
        <v>0</v>
      </c>
      <c r="O85" s="106">
        <f>+HLOOKUP($C85,PMGR!$BE$2:$BQ$250,84,0)</f>
        <v>0</v>
      </c>
      <c r="P85" s="106">
        <f>+HLOOKUP($C85,PMGR!$BE$2:$BQ$250,85,0)</f>
        <v>0</v>
      </c>
      <c r="Q85" s="106">
        <f>+HLOOKUP($C85,PMGR!$BE$2:$BQ$250,87,0)</f>
        <v>154492.791317278</v>
      </c>
      <c r="R85" s="106">
        <f>+HLOOKUP($C85,PMGR!$BE$2:$BQ$250,90,0)</f>
        <v>0</v>
      </c>
      <c r="S85" s="106">
        <f>+HLOOKUP($C85,PMGR!$BE$2:$BQ$250,91,0)</f>
        <v>900</v>
      </c>
      <c r="T85" s="106">
        <f>+HLOOKUP($C85,PMGR!$BE$2:$BQ$250,92,0)</f>
        <v>0</v>
      </c>
      <c r="U85" s="106">
        <f>+HLOOKUP($C85,PMGR!$BE$2:$BQ$250,93,0)</f>
        <v>0</v>
      </c>
      <c r="V85" s="106">
        <f>+HLOOKUP($C85,PMGR!$BE$2:$BQ$250,94,0)</f>
        <v>0</v>
      </c>
      <c r="W85" s="106">
        <f>+HLOOKUP($C85,PMGR!$BE$2:$BQ$250,95,0)</f>
        <v>20841.400000000001</v>
      </c>
      <c r="X85" s="106">
        <f>+HLOOKUP($C85,PMGR!$BE$2:$BQ$250,96,0)</f>
        <v>0</v>
      </c>
      <c r="Y85" s="106">
        <f>+HLOOKUP($C85,PMGR!$BE$2:$BQ$250,97,0)</f>
        <v>0</v>
      </c>
      <c r="Z85" s="106">
        <f>+HLOOKUP($C85,PMGR!$BE$2:$BQ$250,98,0)</f>
        <v>0</v>
      </c>
      <c r="AA85" s="106">
        <f>+HLOOKUP($C85,PMGR!$BE$2:$BQ$250,99,0)</f>
        <v>0</v>
      </c>
      <c r="AB85" s="106">
        <f>+HLOOKUP($C85,PMGR!$BE$2:$BQ$250,100,0)</f>
        <v>0</v>
      </c>
      <c r="AC85" s="106">
        <f>+HLOOKUP($C85,PMGR!$BE$2:$BQ$250,101,0)</f>
        <v>21348</v>
      </c>
      <c r="AD85" s="106">
        <f>+HLOOKUP($C85,PMGR!$BE$2:$BQ$250,104,0)</f>
        <v>41721.5</v>
      </c>
      <c r="AE85" s="106">
        <f>+HLOOKUP($C85,PMGR!$BE$2:$BQ$250,105,0)</f>
        <v>0</v>
      </c>
      <c r="AF85" s="106">
        <f>+HLOOKUP($C85,PMGR!$BE$2:$BQ$250,106,0)</f>
        <v>0</v>
      </c>
      <c r="AG85" s="106">
        <f>+HLOOKUP($C85,PMGR!$BE$2:$BQ$250,107,0)</f>
        <v>0</v>
      </c>
      <c r="AH85" s="106">
        <f>+HLOOKUP($C85,PMGR!$BE$2:$BQ$250,108,0)</f>
        <v>0</v>
      </c>
      <c r="AI85" s="106">
        <f>+HLOOKUP($C85,PMGR!$BE$2:$BQ$250,109,0)</f>
        <v>0</v>
      </c>
      <c r="AJ85" s="106">
        <f>+HLOOKUP($C85,PMGR!$BE$2:$BQ$250,110,0)</f>
        <v>0</v>
      </c>
      <c r="AK85" s="106">
        <f>+HLOOKUP($C85,PMGR!$BE$2:$BQ$250,111,0)</f>
        <v>15000</v>
      </c>
      <c r="AL85" s="106">
        <f>+HLOOKUP($C85,PMGR!$BE$2:$BQ$250,112,0)</f>
        <v>0</v>
      </c>
      <c r="AM85" s="106">
        <f>+HLOOKUP($C85,PMGR!$BE$2:$BQ$250,116,0)</f>
        <v>602817</v>
      </c>
      <c r="AN85" s="106">
        <f>+HLOOKUP($C85,PMGR!$BE$2:$BQ$250,117,0)</f>
        <v>79758</v>
      </c>
      <c r="AO85" s="106">
        <f>+HLOOKUP($C85,PMGR!$BE$2:$BQ$250,118,0)</f>
        <v>4500</v>
      </c>
      <c r="AP85" s="106">
        <f>+HLOOKUP($C85,PMGR!$BE$2:$BQ$250,119,0)</f>
        <v>178229</v>
      </c>
      <c r="AQ85" s="106">
        <f>+HLOOKUP($C85,PMGR!$BE$2:$BQ$250,120,0)</f>
        <v>32555</v>
      </c>
      <c r="AR85" s="106">
        <f>+HLOOKUP($C85,PMGR!$BE$2:$BQ$250,121,0)</f>
        <v>16992</v>
      </c>
      <c r="AS85" s="106">
        <f>+HLOOKUP($C85,PMGR!$BE$2:$BQ$250,122,0)</f>
        <v>262957</v>
      </c>
      <c r="AT85" s="106">
        <f>+HLOOKUP($C85,PMGR!$BE$2:$BQ$250,123,0)</f>
        <v>95149</v>
      </c>
      <c r="AU85" s="106">
        <f>+HLOOKUP($C85,PMGR!$BE$2:$BQ$250,124,0)</f>
        <v>21420.400000000001</v>
      </c>
      <c r="AV85" s="106">
        <f>+HLOOKUP($C85,PMGR!$BE$2:$BQ$250,125,0)</f>
        <v>122670</v>
      </c>
      <c r="AW85" s="106">
        <f>+HLOOKUP($C85,PMGR!$BE$2:$BQ$250,126,0)</f>
        <v>28437.499999999996</v>
      </c>
      <c r="AX85" s="106">
        <f>+HLOOKUP($C85,PMGR!$BE$2:$BQ$250,127,0)</f>
        <v>42233.333333333328</v>
      </c>
      <c r="AY85" s="106">
        <f>+HLOOKUP($C85,PMGR!$BE$2:$BQ$250,129,0)</f>
        <v>0</v>
      </c>
      <c r="AZ85" s="106">
        <f>+HLOOKUP($C85,PMGR!$BE$2:$BQ$250,130,0)</f>
        <v>0</v>
      </c>
      <c r="BA85" s="106">
        <f>+HLOOKUP($C85,PMGR!$BE$2:$BQ$250,131,0)</f>
        <v>399750</v>
      </c>
      <c r="BB85" s="106">
        <f>+HLOOKUP($C85,PMGR!$BE$2:$BQ$250,133,0)</f>
        <v>0</v>
      </c>
      <c r="BC85" s="106">
        <f>+HLOOKUP($C85,PMGR!$BE$2:$BQ$250,134,0)</f>
        <v>97707.59</v>
      </c>
      <c r="BD85" s="106">
        <f>+HLOOKUP($C85,PMGR!$BE$2:$BQ$250,135,0)</f>
        <v>0</v>
      </c>
      <c r="BE85" s="106">
        <f>+HLOOKUP($C85,PMGR!$BE$2:$BQ$250,136,0)</f>
        <v>0</v>
      </c>
      <c r="BF85" s="106">
        <f>+HLOOKUP($C85,PMGR!$BE$2:$BQ$250,138,0)</f>
        <v>1178</v>
      </c>
      <c r="BG85" s="106">
        <f>+HLOOKUP($C85,PMGR!$BE$2:$BQ$250,139,0)</f>
        <v>37428</v>
      </c>
      <c r="BH85" s="106">
        <f>+HLOOKUP($C85,PMGR!$BE$2:$BQ$250,140,0)</f>
        <v>49652</v>
      </c>
      <c r="BI85" s="106">
        <f>+HLOOKUP($C85,PMGR!$BE$2:$BQ$250,141,0)</f>
        <v>0</v>
      </c>
      <c r="BJ85" s="106">
        <f>+HLOOKUP($C85,PMGR!$BE$2:$BQ$250,142,0)</f>
        <v>0</v>
      </c>
      <c r="BK85" s="106">
        <f>+HLOOKUP($C85,PMGR!$BE$2:$BQ$250,143,0)</f>
        <v>49201.416666666664</v>
      </c>
      <c r="BL85" s="106">
        <f>+HLOOKUP($C85,PMGR!$BE$2:$BQ$250,144,0)</f>
        <v>1610</v>
      </c>
      <c r="BM85" s="106">
        <f>+HLOOKUP($C85,PMGR!$BE$2:$BQ$250,146,0)</f>
        <v>0</v>
      </c>
      <c r="BN85" s="106">
        <f>+HLOOKUP($C85,PMGR!$BE$2:$BQ$250,147,0)</f>
        <v>62266</v>
      </c>
      <c r="BO85" s="106">
        <f>+HLOOKUP($C85,PMGR!$BE$2:$BQ$250,148,0)</f>
        <v>0</v>
      </c>
      <c r="BP85" s="106">
        <f>+HLOOKUP($C85,PMGR!$BE$2:$BQ$250,150,0)</f>
        <v>49596</v>
      </c>
      <c r="BQ85" s="106">
        <f>+HLOOKUP($C85,PMGR!$BE$2:$BQ$250,151,0)</f>
        <v>9922</v>
      </c>
      <c r="BR85" s="106">
        <f>+HLOOKUP($C85,PMGR!$BE$2:$BQ$250,152,0)</f>
        <v>32000</v>
      </c>
      <c r="BS85" s="106">
        <f>+HLOOKUP($C85,PMGR!$BE$2:$BQ$250,153,0)</f>
        <v>0</v>
      </c>
      <c r="BT85" s="106">
        <f>+HLOOKUP($C85,PMGR!$BE$2:$BQ$250,157,0)</f>
        <v>0</v>
      </c>
      <c r="BU85" s="106">
        <f>+HLOOKUP($C85,PMGR!$BE$2:$BQ$250,158,0)</f>
        <v>0</v>
      </c>
      <c r="BV85" s="106">
        <f>+HLOOKUP($C85,PMGR!$BE$2:$BQ$250,159,0)</f>
        <v>3098.8679999999999</v>
      </c>
      <c r="BW85" s="106">
        <f>+HLOOKUP($C85,PMGR!$BE$2:$BQ$250,160,0)</f>
        <v>23138.12</v>
      </c>
      <c r="BX85" s="106">
        <f>+HLOOKUP($C85,PMGR!$BE$2:$BQ$250,161,0)</f>
        <v>11163.421600000001</v>
      </c>
      <c r="BY85" s="106">
        <f>+HLOOKUP($C85,PMGR!$BE$2:$BQ$250,164,0)</f>
        <v>10118.851999999999</v>
      </c>
      <c r="BZ85" s="106">
        <f>+HLOOKUP($C85,PMGR!$BE$2:$BQ$250,165,0)</f>
        <v>19298.580000000002</v>
      </c>
      <c r="CA85" s="106">
        <f>+HLOOKUP($C85,PMGR!$BE$2:$BQ$250,166,0)</f>
        <v>0</v>
      </c>
      <c r="CB85" s="106">
        <f>+HLOOKUP($C85,PMGR!$BE$2:$BQ$250,167,0)</f>
        <v>3596.17</v>
      </c>
      <c r="CC85" s="106">
        <f>+HLOOKUP($C85,PMGR!$BE$2:$BQ$250,168,0)</f>
        <v>0</v>
      </c>
      <c r="CD85" s="106">
        <f>+HLOOKUP($C85,PMGR!$BE$2:$BQ$250,169,0)</f>
        <v>0</v>
      </c>
      <c r="CE85" s="106">
        <f>+HLOOKUP($C85,PMGR!$BE$2:$BQ$250,170,0)</f>
        <v>0</v>
      </c>
      <c r="CF85" s="106">
        <f>+HLOOKUP($C85,PMGR!$BE$2:$BQ$250,172,0)</f>
        <v>32700</v>
      </c>
      <c r="CG85" s="106">
        <f>+HLOOKUP($C85,PMGR!$BE$2:$BQ$250,173,0)</f>
        <v>0</v>
      </c>
      <c r="CH85" s="106">
        <f>+HLOOKUP($C85,PMGR!$BE$2:$BQ$250,174,0)</f>
        <v>74043</v>
      </c>
      <c r="CI85" s="106">
        <f>+HLOOKUP($C85,PMGR!$BE$2:$BQ$250,175,0)</f>
        <v>23824.2</v>
      </c>
      <c r="CJ85" s="106">
        <f>+HLOOKUP($C85,PMGR!$BE$2:$BQ$250,176,0)</f>
        <v>3318.04</v>
      </c>
      <c r="CK85" s="106">
        <f>+HLOOKUP($C85,PMGR!$BE$2:$BQ$250,178,0)</f>
        <v>103311.4</v>
      </c>
      <c r="CL85" s="106">
        <f>+HLOOKUP($C85,PMGR!$BE$2:$BQ$250,179,0)</f>
        <v>0</v>
      </c>
      <c r="CM85" s="106">
        <f>+HLOOKUP($C85,PMGR!$BE$2:$BQ$250,180,0)</f>
        <v>0</v>
      </c>
      <c r="CN85" s="106">
        <f>+HLOOKUP($C85,PMGR!$BE$2:$BQ$250,182,0)</f>
        <v>46556.26</v>
      </c>
      <c r="CO85" s="106">
        <f>+HLOOKUP($C85,PMGR!$BE$2:$BQ$250,183,0)</f>
        <v>0</v>
      </c>
      <c r="CP85" s="106">
        <f>+HLOOKUP($C85,PMGR!$BE$2:$BQ$250,184,0)</f>
        <v>0</v>
      </c>
      <c r="CQ85" s="106">
        <f>+HLOOKUP($C85,PMGR!$BE$2:$BQ$250,185,0)</f>
        <v>0</v>
      </c>
      <c r="CR85" s="106">
        <f>+HLOOKUP($C85,PMGR!$BE$2:$BQ$250,187,0)</f>
        <v>3749.7599999999993</v>
      </c>
      <c r="CS85" s="106">
        <f>+HLOOKUP($C85,PMGR!$BE$2:$BQ$250,188,0)</f>
        <v>2700</v>
      </c>
      <c r="CT85" s="106">
        <f>+HLOOKUP($C85,PMGR!$BE$2:$BQ$250,189,0)</f>
        <v>0</v>
      </c>
      <c r="CU85" s="106">
        <f>+HLOOKUP($C85,PMGR!$BE$2:$BQ$250,190,0)</f>
        <v>1499.94</v>
      </c>
      <c r="CV85" s="106">
        <f>+HLOOKUP($C85,PMGR!$BE$2:$BQ$250,191,0)</f>
        <v>0</v>
      </c>
      <c r="CW85" s="106">
        <f>+HLOOKUP($C85,PMGR!$BE$2:$BQ$250,193,0)</f>
        <v>16684.3</v>
      </c>
      <c r="CX85" s="106">
        <f>+HLOOKUP($C85,PMGR!$BE$2:$BQ$250,194,0)</f>
        <v>47.699999999999996</v>
      </c>
      <c r="CY85" s="106">
        <f>+HLOOKUP($C85,PMGR!$BE$2:$BQ$250,195,0)</f>
        <v>0</v>
      </c>
      <c r="CZ85" s="106">
        <f>+HLOOKUP($C85,PMGR!$BE$2:$BQ$250,196,0)</f>
        <v>0</v>
      </c>
      <c r="DA85" s="106">
        <f>+HLOOKUP($C85,PMGR!$BE$2:$BQ$250,197,0)</f>
        <v>23960.47</v>
      </c>
      <c r="DB85" s="106">
        <f>+HLOOKUP($C85,PMGR!$BE$2:$BQ$250,198,0)</f>
        <v>50112.76</v>
      </c>
      <c r="DC85" s="106">
        <f>+HLOOKUP($C85,PMGR!$BE$2:$BQ$250,199,0)</f>
        <v>6017.32</v>
      </c>
      <c r="DD85" s="106">
        <f>+HLOOKUP($C85,PMGR!$BE$2:$BQ$250,200,0)</f>
        <v>3653</v>
      </c>
      <c r="DE85" s="106">
        <f>+HLOOKUP($C85,PMGR!$BE$2:$BQ$250,201,0)</f>
        <v>0</v>
      </c>
      <c r="DF85" s="106">
        <f>+HLOOKUP($C85,PMGR!$BE$2:$BQ$250,202,0)</f>
        <v>-5.5975999999999999</v>
      </c>
      <c r="DG85" s="106">
        <f>+HLOOKUP($C85,PMGR!$BE$2:$BQ$250,203,0)</f>
        <v>-3.1877999999999997</v>
      </c>
      <c r="DH85" s="106">
        <f>+HLOOKUP($C85,PMGR!$BE$2:$BQ$250,205,0)</f>
        <v>0</v>
      </c>
      <c r="DI85" s="106">
        <f>+HLOOKUP($C85,PMGR!$BE$2:$BQ$250,206,0)</f>
        <v>0</v>
      </c>
      <c r="DJ85" s="106">
        <f>+HLOOKUP($C85,PMGR!$BE$2:$BQ$250,207,0)</f>
        <v>0</v>
      </c>
      <c r="DK85" s="106">
        <f>+HLOOKUP($C85,PMGR!$BE$2:$BQ$250,209,0)</f>
        <v>0</v>
      </c>
      <c r="DL85" s="106">
        <f>+HLOOKUP($C85,PMGR!$BE$2:$BQ$250,210,0)</f>
        <v>186159</v>
      </c>
      <c r="DM85" s="106">
        <f>+HLOOKUP($C85,PMGR!$BE$2:$BQ$250,211,0)</f>
        <v>0</v>
      </c>
      <c r="DN85" s="106">
        <f>+HLOOKUP($C85,PMGR!$BE$2:$BQ$250,212,0)</f>
        <v>0</v>
      </c>
      <c r="DO85" s="106">
        <f>+HLOOKUP($C85,PMGR!$BE$2:$BQ$250,214,0)</f>
        <v>0</v>
      </c>
      <c r="DP85" s="106">
        <f>+HLOOKUP($C85,PMGR!$BE$2:$BQ$250,215,0)</f>
        <v>400</v>
      </c>
      <c r="DQ85" s="106">
        <f>+HLOOKUP($C85,PMGR!$BE$2:$BQ$250,219,0)</f>
        <v>0</v>
      </c>
      <c r="DR85" s="106">
        <f>+HLOOKUP($C85,PMGR!$BE$2:$BQ$250,220,0)</f>
        <v>0</v>
      </c>
      <c r="DS85" s="106">
        <f>+HLOOKUP($C85,PMGR!$BE$2:$BQ$250,221,0)</f>
        <v>0</v>
      </c>
      <c r="DT85" s="106">
        <f>+HLOOKUP($C85,PMGR!$BE$2:$BQ$250,223,0)</f>
        <v>23844.904199999994</v>
      </c>
      <c r="DU85" s="106">
        <f>+HLOOKUP($C85,PMGR!$BE$2:$BQ$250,224,0)</f>
        <v>0</v>
      </c>
      <c r="DV85" s="106">
        <f>+HLOOKUP($C85,PMGR!$BE$2:$BQ$250,225,0)</f>
        <v>0</v>
      </c>
      <c r="DW85" s="106">
        <f>+HLOOKUP($C85,PMGR!$BE$2:$BQ$250,227,0)</f>
        <v>0</v>
      </c>
      <c r="DX85" s="106">
        <f>+HLOOKUP($C85,PMGR!$BE$2:$BQ$250,228,0)</f>
        <v>16431.66</v>
      </c>
      <c r="DY85" s="106">
        <f>+HLOOKUP($C85,PMGR!$BE$2:$BQ$250,236,0)</f>
        <v>259633.19999999998</v>
      </c>
      <c r="DZ85" s="106">
        <f>+HLOOKUP($C85,PMGR!$BE$2:$BQ$250,237,0)</f>
        <v>36258.08208</v>
      </c>
      <c r="EA85" s="106">
        <f>+HLOOKUP($C85,PMGR!$BE$2:$BQ$250,238,0)</f>
        <v>47290.2</v>
      </c>
      <c r="EB85" s="106">
        <f>+HLOOKUP($C85,PMGR!$BE$2:$BQ$250,240,0)</f>
        <v>675475.61596874997</v>
      </c>
    </row>
    <row r="86" spans="1:132">
      <c r="A86" t="s">
        <v>269</v>
      </c>
      <c r="B86" t="s">
        <v>217</v>
      </c>
      <c r="C86" s="117">
        <v>45627</v>
      </c>
      <c r="D86" s="106">
        <f t="shared" ref="D86" si="1">+E86</f>
        <v>24546250.440651983</v>
      </c>
      <c r="E86" s="106">
        <f>+HLOOKUP(C86,PMGR!$AQ$2:$BC$250,28,0)+HLOOKUP(C86,PMGR!$AQ$2:$BC$250,43,0)+HLOOKUP(C86,PMGR!$AQ$2:$BC$250,44,0)+HLOOKUP(C86,PMGR!$AQ$2:$BC$250,45,0)+HLOOKUP(C86,PMGR!$AQ$2:$BC$250,54,0)+HLOOKUP(C86,PMGR!$AQ$2:$BC$250,59,0)</f>
        <v>24546250.440651983</v>
      </c>
      <c r="F86" s="106">
        <f>+HLOOKUP(C86,PMGR!$AQ$2:$BC$250,37,0)+HLOOKUP(C86,PMGR!$AQ$2:$BC$250,55,0)</f>
        <v>13184861.652000004</v>
      </c>
      <c r="G86" s="106">
        <f>+HLOOKUP($C86,PMGR!$AQ$2:$BC$250,76,0)</f>
        <v>0</v>
      </c>
      <c r="H86" s="106">
        <f>+HLOOKUP($C86,PMGR!$AQ$2:$BC$250,77,0)</f>
        <v>0</v>
      </c>
      <c r="I86" s="106">
        <f>+HLOOKUP($C86,PMGR!$AQ$2:$BC$250,78,0)</f>
        <v>0</v>
      </c>
      <c r="J86" s="106">
        <f>+HLOOKUP($C86,PMGR!$AQ$2:$BC$250,79,0)</f>
        <v>0</v>
      </c>
      <c r="K86" s="106">
        <f>+HLOOKUP($C86,PMGR!$AQ$2:$BC$250,80,0)</f>
        <v>0</v>
      </c>
      <c r="L86" s="106">
        <f>+HLOOKUP($C86,PMGR!$AQ$2:$BC$250,81,0)</f>
        <v>0</v>
      </c>
      <c r="M86" s="106">
        <f>+HLOOKUP($C86,PMGR!$AQ$2:$BC$250,82,0)</f>
        <v>0</v>
      </c>
      <c r="N86" s="106">
        <f>+HLOOKUP($C86,PMGR!$AQ$2:$BC$250,83,0)</f>
        <v>0</v>
      </c>
      <c r="O86" s="106">
        <f>+HLOOKUP($C86,PMGR!$AQ$2:$BC$250,84,0)</f>
        <v>0</v>
      </c>
      <c r="P86" s="106">
        <f>+HLOOKUP($C86,PMGR!$AQ$2:$BC$250,85,0)</f>
        <v>0</v>
      </c>
      <c r="Q86" s="106">
        <f>+HLOOKUP($C86,PMGR!$AQ$2:$BC$250,87,0)</f>
        <v>270556.59999999998</v>
      </c>
      <c r="R86" s="106">
        <f>+HLOOKUP($C86,PMGR!$AQ$2:$BC$250,90,0)</f>
        <v>0</v>
      </c>
      <c r="S86" s="106">
        <f>+HLOOKUP($C86,PMGR!$AQ$2:$BC$250,91,0)</f>
        <v>0</v>
      </c>
      <c r="T86" s="106">
        <f>+HLOOKUP($C86,PMGR!$AQ$2:$BC$250,92,0)</f>
        <v>8000</v>
      </c>
      <c r="U86" s="106">
        <f>+HLOOKUP($C86,PMGR!$AQ$2:$BC$250,93,0)</f>
        <v>0</v>
      </c>
      <c r="V86" s="106">
        <f>+HLOOKUP($C86,PMGR!$AQ$2:$BC$250,94,0)</f>
        <v>0</v>
      </c>
      <c r="W86" s="106">
        <f>+HLOOKUP($C86,PMGR!$AQ$2:$BC$250,95,0)</f>
        <v>0</v>
      </c>
      <c r="X86" s="106">
        <f>+HLOOKUP($C86,PMGR!$AQ$2:$BC$250,96,0)</f>
        <v>0</v>
      </c>
      <c r="Y86" s="106">
        <f>+HLOOKUP($C86,PMGR!$AQ$2:$BC$250,97,0)</f>
        <v>0</v>
      </c>
      <c r="Z86" s="106">
        <f>+HLOOKUP($C86,PMGR!$AQ$2:$BC$250,98,0)</f>
        <v>0</v>
      </c>
      <c r="AA86" s="106">
        <f>+HLOOKUP($C86,PMGR!$AQ$2:$BC$250,99,0)</f>
        <v>0</v>
      </c>
      <c r="AB86" s="106">
        <f>+HLOOKUP($C86,PMGR!$AQ$2:$BC$250,100,0)</f>
        <v>0</v>
      </c>
      <c r="AC86" s="106">
        <f>+HLOOKUP($C86,PMGR!$AQ$2:$BC$250,101,0)</f>
        <v>0</v>
      </c>
      <c r="AD86" s="106">
        <f>+HLOOKUP($C86,PMGR!$AQ$2:$BC$250,104,0)</f>
        <v>360</v>
      </c>
      <c r="AE86" s="106">
        <f>+HLOOKUP($C86,PMGR!$AQ$2:$BC$250,105,0)</f>
        <v>0</v>
      </c>
      <c r="AF86" s="106">
        <f>+HLOOKUP($C86,PMGR!$AQ$2:$BC$250,106,0)</f>
        <v>0</v>
      </c>
      <c r="AG86" s="106">
        <f>+HLOOKUP($C86,PMGR!$AQ$2:$BC$250,107,0)</f>
        <v>0</v>
      </c>
      <c r="AH86" s="106">
        <f>+HLOOKUP($C86,PMGR!$AQ$2:$BC$250,108,0)</f>
        <v>34250</v>
      </c>
      <c r="AI86" s="106">
        <f>+HLOOKUP($C86,PMGR!$AQ$2:$BC$250,109,0)</f>
        <v>0</v>
      </c>
      <c r="AJ86" s="106">
        <f>+HLOOKUP($C86,PMGR!$AQ$2:$BC$250,110,0)</f>
        <v>0</v>
      </c>
      <c r="AK86" s="106">
        <f>+HLOOKUP($C86,PMGR!$AQ$2:$BC$250,111,0)</f>
        <v>-183355</v>
      </c>
      <c r="AL86" s="106">
        <f>+HLOOKUP($C86,PMGR!$AQ$2:$BC$250,112,0)</f>
        <v>0</v>
      </c>
      <c r="AM86" s="106">
        <f>+HLOOKUP($C86,PMGR!$AQ$2:$BC$250,116,0)</f>
        <v>626147.80000000005</v>
      </c>
      <c r="AN86" s="106">
        <f>+HLOOKUP($C86,PMGR!$AQ$2:$BC$250,117,0)</f>
        <v>90071</v>
      </c>
      <c r="AO86" s="106">
        <f>+HLOOKUP($C86,PMGR!$AQ$2:$BC$250,118,0)</f>
        <v>4500</v>
      </c>
      <c r="AP86" s="106">
        <f>+HLOOKUP($C86,PMGR!$AQ$2:$BC$250,119,0)</f>
        <v>207361.2</v>
      </c>
      <c r="AQ86" s="106">
        <f>+HLOOKUP($C86,PMGR!$AQ$2:$BC$250,120,0)</f>
        <v>38594</v>
      </c>
      <c r="AR86" s="106">
        <f>+HLOOKUP($C86,PMGR!$AQ$2:$BC$250,121,0)</f>
        <v>21806</v>
      </c>
      <c r="AS86" s="106">
        <f>+HLOOKUP($C86,PMGR!$AQ$2:$BC$250,122,0)</f>
        <v>300226</v>
      </c>
      <c r="AT86" s="106">
        <f>+HLOOKUP($C86,PMGR!$AQ$2:$BC$250,123,0)</f>
        <v>17244.12</v>
      </c>
      <c r="AU86" s="106">
        <f>+HLOOKUP($C86,PMGR!$AQ$2:$BC$250,124,0)</f>
        <v>43200</v>
      </c>
      <c r="AV86" s="106">
        <f>+HLOOKUP($C86,PMGR!$AQ$2:$BC$250,125,0)</f>
        <v>172527.59999999998</v>
      </c>
      <c r="AW86" s="106">
        <f>+HLOOKUP($C86,PMGR!$AQ$2:$BC$250,126,0)</f>
        <v>41810.705769230772</v>
      </c>
      <c r="AX86" s="106">
        <f>+HLOOKUP($C86,PMGR!$AQ$2:$BC$250,127,0)</f>
        <v>56845.311666666668</v>
      </c>
      <c r="AY86" s="106">
        <f>+HLOOKUP($C86,PMGR!$AQ$2:$BC$250,129,0)</f>
        <v>0</v>
      </c>
      <c r="AZ86" s="106">
        <f>+HLOOKUP($C86,PMGR!$AQ$2:$BC$250,130,0)</f>
        <v>0</v>
      </c>
      <c r="BA86" s="106">
        <f>+HLOOKUP($C86,PMGR!$AQ$2:$BC$250,131,0)</f>
        <v>98175</v>
      </c>
      <c r="BB86" s="106">
        <f>+HLOOKUP($C86,PMGR!$AQ$2:$BC$250,133,0)</f>
        <v>0</v>
      </c>
      <c r="BC86" s="106">
        <f>+HLOOKUP($C86,PMGR!$AQ$2:$BC$250,134,0)</f>
        <v>106199.30279999999</v>
      </c>
      <c r="BD86" s="106">
        <f>+HLOOKUP($C86,PMGR!$AQ$2:$BC$250,135,0)</f>
        <v>0</v>
      </c>
      <c r="BE86" s="106">
        <f>+HLOOKUP($C86,PMGR!$AQ$2:$BC$250,136,0)</f>
        <v>0</v>
      </c>
      <c r="BF86" s="106">
        <f>+HLOOKUP($C86,PMGR!$AQ$2:$BC$250,138,0)</f>
        <v>0</v>
      </c>
      <c r="BG86" s="106">
        <f>+HLOOKUP($C86,PMGR!$AQ$2:$BC$250,139,0)</f>
        <v>65334.46</v>
      </c>
      <c r="BH86" s="106">
        <f>+HLOOKUP($C86,PMGR!$AQ$2:$BC$250,140,0)</f>
        <v>49652</v>
      </c>
      <c r="BI86" s="106">
        <f>+HLOOKUP($C86,PMGR!$AQ$2:$BC$250,141,0)</f>
        <v>0</v>
      </c>
      <c r="BJ86" s="106">
        <f>+HLOOKUP($C86,PMGR!$AQ$2:$BC$250,142,0)</f>
        <v>0</v>
      </c>
      <c r="BK86" s="106">
        <f>+HLOOKUP($C86,PMGR!$AQ$2:$BC$250,143,0)</f>
        <v>89227.44</v>
      </c>
      <c r="BL86" s="106">
        <f>+HLOOKUP($C86,PMGR!$AQ$2:$BC$250,144,0)</f>
        <v>261</v>
      </c>
      <c r="BM86" s="106">
        <f>+HLOOKUP($C86,PMGR!$AQ$2:$BC$250,146,0)</f>
        <v>0</v>
      </c>
      <c r="BN86" s="106">
        <f>+HLOOKUP($C86,PMGR!$AQ$2:$BC$250,147,0)</f>
        <v>48834</v>
      </c>
      <c r="BO86" s="106">
        <f>+HLOOKUP($C86,PMGR!$AQ$2:$BC$250,148,0)</f>
        <v>0</v>
      </c>
      <c r="BP86" s="106">
        <f>+HLOOKUP($C86,PMGR!$AQ$2:$BC$250,150,0)</f>
        <v>49554</v>
      </c>
      <c r="BQ86" s="106">
        <f>+HLOOKUP($C86,PMGR!$AQ$2:$BC$250,151,0)</f>
        <v>9450</v>
      </c>
      <c r="BR86" s="106">
        <f>+HLOOKUP($C86,PMGR!$AQ$2:$BC$250,152,0)</f>
        <v>32000</v>
      </c>
      <c r="BS86" s="106">
        <f>+HLOOKUP($C86,PMGR!$AQ$2:$BC$250,153,0)</f>
        <v>1500</v>
      </c>
      <c r="BT86" s="106">
        <f>+HLOOKUP($C86,PMGR!$AQ$2:$BC$250,157,0)</f>
        <v>35978.400000000001</v>
      </c>
      <c r="BU86" s="106">
        <f>+HLOOKUP($C86,PMGR!$AQ$2:$BC$250,158,0)</f>
        <v>0</v>
      </c>
      <c r="BV86" s="106">
        <f>+HLOOKUP($C86,PMGR!$AQ$2:$BC$250,159,0)</f>
        <v>6373.62</v>
      </c>
      <c r="BW86" s="106">
        <f>+HLOOKUP($C86,PMGR!$AQ$2:$BC$250,160,0)</f>
        <v>21000</v>
      </c>
      <c r="BX86" s="106">
        <f>+HLOOKUP($C86,PMGR!$AQ$2:$BC$250,161,0)</f>
        <v>13994.779999999999</v>
      </c>
      <c r="BY86" s="106">
        <f>+HLOOKUP($C86,PMGR!$AQ$2:$BC$250,164,0)</f>
        <v>13625.031999999999</v>
      </c>
      <c r="BZ86" s="106">
        <f>+HLOOKUP($C86,PMGR!$AQ$2:$BC$250,165,0)</f>
        <v>51251.01</v>
      </c>
      <c r="CA86" s="106">
        <f>+HLOOKUP($C86,PMGR!$AQ$2:$BC$250,166,0)</f>
        <v>0</v>
      </c>
      <c r="CB86" s="106">
        <f>+HLOOKUP($C86,PMGR!$AQ$2:$BC$250,167,0)</f>
        <v>7773.95</v>
      </c>
      <c r="CC86" s="106">
        <f>+HLOOKUP($C86,PMGR!$AQ$2:$BC$250,168,0)</f>
        <v>0</v>
      </c>
      <c r="CD86" s="106">
        <f>+HLOOKUP($C86,PMGR!$AQ$2:$BC$250,169,0)</f>
        <v>5594.26</v>
      </c>
      <c r="CE86" s="106">
        <f>+HLOOKUP($C86,PMGR!$AQ$2:$BC$250,170,0)</f>
        <v>0</v>
      </c>
      <c r="CF86" s="106">
        <f>+HLOOKUP($C86,PMGR!$AQ$2:$BC$250,172,0)</f>
        <v>32700</v>
      </c>
      <c r="CG86" s="106">
        <f>+HLOOKUP($C86,PMGR!$AQ$2:$BC$250,173,0)</f>
        <v>0</v>
      </c>
      <c r="CH86" s="106">
        <f>+HLOOKUP($C86,PMGR!$AQ$2:$BC$250,174,0)</f>
        <v>53310</v>
      </c>
      <c r="CI86" s="106">
        <f>+HLOOKUP($C86,PMGR!$AQ$2:$BC$250,175,0)</f>
        <v>6690</v>
      </c>
      <c r="CJ86" s="106">
        <f>+HLOOKUP($C86,PMGR!$AQ$2:$BC$250,176,0)</f>
        <v>2397.42</v>
      </c>
      <c r="CK86" s="106">
        <f>+HLOOKUP($C86,PMGR!$AQ$2:$BC$250,178,0)</f>
        <v>103199.8</v>
      </c>
      <c r="CL86" s="106">
        <f>+HLOOKUP($C86,PMGR!$AQ$2:$BC$250,179,0)</f>
        <v>9516.7259999999987</v>
      </c>
      <c r="CM86" s="106">
        <f>+HLOOKUP($C86,PMGR!$AQ$2:$BC$250,180,0)</f>
        <v>0</v>
      </c>
      <c r="CN86" s="106">
        <f>+HLOOKUP($C86,PMGR!$AQ$2:$BC$250,182,0)</f>
        <v>0</v>
      </c>
      <c r="CO86" s="106">
        <f>+HLOOKUP($C86,PMGR!$AQ$2:$BC$250,183,0)</f>
        <v>48515.4</v>
      </c>
      <c r="CP86" s="106">
        <f>+HLOOKUP($C86,PMGR!$AQ$2:$BC$250,184,0)</f>
        <v>0</v>
      </c>
      <c r="CQ86" s="106">
        <f>+HLOOKUP($C86,PMGR!$AQ$2:$BC$250,185,0)</f>
        <v>0</v>
      </c>
      <c r="CR86" s="106">
        <f>+HLOOKUP($C86,PMGR!$AQ$2:$BC$250,187,0)</f>
        <v>0</v>
      </c>
      <c r="CS86" s="106">
        <f>+HLOOKUP($C86,PMGR!$AQ$2:$BC$250,188,0)</f>
        <v>2700</v>
      </c>
      <c r="CT86" s="106">
        <f>+HLOOKUP($C86,PMGR!$AQ$2:$BC$250,189,0)</f>
        <v>0</v>
      </c>
      <c r="CU86" s="106">
        <f>+HLOOKUP($C86,PMGR!$AQ$2:$BC$250,190,0)</f>
        <v>1499.94</v>
      </c>
      <c r="CV86" s="106">
        <f>+HLOOKUP($C86,PMGR!$AQ$2:$BC$250,191,0)</f>
        <v>0</v>
      </c>
      <c r="CW86" s="106">
        <f>+HLOOKUP($C86,PMGR!$AQ$2:$BC$250,193,0)</f>
        <v>15889.8</v>
      </c>
      <c r="CX86" s="106">
        <f>+HLOOKUP($C86,PMGR!$AQ$2:$BC$250,194,0)</f>
        <v>47.699999999999996</v>
      </c>
      <c r="CY86" s="106">
        <f>+HLOOKUP($C86,PMGR!$AQ$2:$BC$250,195,0)</f>
        <v>540285</v>
      </c>
      <c r="CZ86" s="106">
        <f>+HLOOKUP($C86,PMGR!$AQ$2:$BC$250,196,0)</f>
        <v>0</v>
      </c>
      <c r="DA86" s="106">
        <f>+HLOOKUP($C86,PMGR!$AQ$2:$BC$250,197,0)</f>
        <v>31812.87</v>
      </c>
      <c r="DB86" s="106">
        <f>+HLOOKUP($C86,PMGR!$AQ$2:$BC$250,198,0)</f>
        <v>15111.83</v>
      </c>
      <c r="DC86" s="106">
        <f>+HLOOKUP($C86,PMGR!$AQ$2:$BC$250,199,0)</f>
        <v>10044.36</v>
      </c>
      <c r="DD86" s="106">
        <f>+HLOOKUP($C86,PMGR!$AQ$2:$BC$250,200,0)</f>
        <v>5990</v>
      </c>
      <c r="DE86" s="106">
        <f>+HLOOKUP($C86,PMGR!$AQ$2:$BC$250,201,0)</f>
        <v>0</v>
      </c>
      <c r="DF86" s="106">
        <f>+HLOOKUP($C86,PMGR!$AQ$2:$BC$250,202,0)</f>
        <v>-16.298000000000002</v>
      </c>
      <c r="DG86" s="106">
        <f>+HLOOKUP($C86,PMGR!$AQ$2:$BC$250,203,0)</f>
        <v>0</v>
      </c>
      <c r="DH86" s="106">
        <f>+HLOOKUP($C86,PMGR!$AQ$2:$BC$250,205,0)</f>
        <v>0</v>
      </c>
      <c r="DI86" s="106">
        <f>+HLOOKUP($C86,PMGR!$AQ$2:$BC$250,206,0)</f>
        <v>9734</v>
      </c>
      <c r="DJ86" s="106">
        <f>+HLOOKUP($C86,PMGR!$AQ$2:$BC$250,207,0)</f>
        <v>49739.799400000004</v>
      </c>
      <c r="DK86" s="106">
        <f>+HLOOKUP($C86,PMGR!$AQ$2:$BC$250,209,0)</f>
        <v>0</v>
      </c>
      <c r="DL86" s="106">
        <f>+HLOOKUP($C86,PMGR!$AQ$2:$BC$250,210,0)</f>
        <v>186159</v>
      </c>
      <c r="DM86" s="106">
        <f>+HLOOKUP($C86,PMGR!$AQ$2:$BC$250,211,0)</f>
        <v>0</v>
      </c>
      <c r="DN86" s="106">
        <f>+HLOOKUP($C86,PMGR!$AQ$2:$BC$250,212,0)</f>
        <v>0</v>
      </c>
      <c r="DO86" s="106">
        <f>+HLOOKUP($C86,PMGR!$AQ$2:$BC$250,214,0)</f>
        <v>0</v>
      </c>
      <c r="DP86" s="106">
        <f>+HLOOKUP($C86,PMGR!$AQ$2:$BC$250,215,0)</f>
        <v>1000</v>
      </c>
      <c r="DQ86" s="106">
        <f>+HLOOKUP($C86,PMGR!$AQ$2:$BC$250,219,0)</f>
        <v>0</v>
      </c>
      <c r="DR86" s="106">
        <f>+HLOOKUP($C86,PMGR!$AQ$2:$BC$250,220,0)</f>
        <v>0</v>
      </c>
      <c r="DS86" s="106">
        <f>+HLOOKUP($C86,PMGR!$AQ$2:$BC$250,221,0)</f>
        <v>0</v>
      </c>
      <c r="DT86" s="106">
        <f>+HLOOKUP($C86,PMGR!$AQ$2:$BC$250,223,0)</f>
        <v>16677.648000000001</v>
      </c>
      <c r="DU86" s="106">
        <f>+HLOOKUP($C86,PMGR!$AQ$2:$BC$250,224,0)</f>
        <v>0</v>
      </c>
      <c r="DV86" s="106">
        <f>+HLOOKUP($C86,PMGR!$AQ$2:$BC$250,225,0)</f>
        <v>0</v>
      </c>
      <c r="DW86" s="106">
        <f>+HLOOKUP($C86,PMGR!$AQ$2:$BC$250,227,0)</f>
        <v>0</v>
      </c>
      <c r="DX86" s="106">
        <f>+HLOOKUP($C86,PMGR!$AQ$2:$BC$250,228,0)</f>
        <v>15329.339999999998</v>
      </c>
      <c r="DY86" s="106">
        <f>+HLOOKUP($C86,PMGR!$AQ$2:$BC$250,236,0)</f>
        <v>265761.59999999998</v>
      </c>
      <c r="DZ86" s="106">
        <f>+HLOOKUP($C86,PMGR!$AQ$2:$BC$250,237,0)</f>
        <v>36679.519139999997</v>
      </c>
      <c r="EA86" s="106">
        <f>+HLOOKUP($C86,PMGR!$AQ$2:$BC$250,238,0)</f>
        <v>49894.799999999996</v>
      </c>
      <c r="EB86" s="106">
        <f>+HLOOKUP($C86,PMGR!$AQ$2:$BC$250,240,0)</f>
        <v>681753.02281250001</v>
      </c>
    </row>
    <row r="87" spans="1:132">
      <c r="A87" t="s">
        <v>269</v>
      </c>
      <c r="B87" t="s">
        <v>217</v>
      </c>
      <c r="C87" s="117">
        <v>45597</v>
      </c>
      <c r="D87" s="106">
        <f t="shared" ref="D87:D97" si="2">+E87</f>
        <v>18315592.578933671</v>
      </c>
      <c r="E87" s="106">
        <f>+HLOOKUP(C87,PMGR!$AQ$2:$BC$250,28,0)+HLOOKUP(C87,PMGR!$AQ$2:$BC$250,43,0)+HLOOKUP(C87,PMGR!$AQ$2:$BC$250,44,0)+HLOOKUP(C87,PMGR!$AQ$2:$BC$250,45,0)+HLOOKUP(C87,PMGR!$AQ$2:$BC$250,54,0)+HLOOKUP(C87,PMGR!$AQ$2:$BC$250,59,0)</f>
        <v>18315592.578933671</v>
      </c>
      <c r="F87" s="106">
        <f>+HLOOKUP(C87,PMGR!$AQ$2:$BC$250,37,0)+HLOOKUP(C87,PMGR!$AQ$2:$BC$250,55,0)</f>
        <v>13447675.640000001</v>
      </c>
      <c r="G87" s="106">
        <f>+HLOOKUP($C87,PMGR!$AQ$2:$BC$250,76,0)</f>
        <v>0</v>
      </c>
      <c r="H87" s="106">
        <f>+HLOOKUP($C87,PMGR!$AQ$2:$BC$250,77,0)</f>
        <v>0</v>
      </c>
      <c r="I87" s="106">
        <f>+HLOOKUP($C87,PMGR!$AQ$2:$BC$250,78,0)</f>
        <v>0</v>
      </c>
      <c r="J87" s="106">
        <f>+HLOOKUP($C87,PMGR!$AQ$2:$BC$250,79,0)</f>
        <v>0</v>
      </c>
      <c r="K87" s="106">
        <f>+HLOOKUP($C87,PMGR!$AQ$2:$BC$250,80,0)</f>
        <v>0</v>
      </c>
      <c r="L87" s="106">
        <f>+HLOOKUP($C87,PMGR!$AQ$2:$BC$250,81,0)</f>
        <v>0</v>
      </c>
      <c r="M87" s="106">
        <f>+HLOOKUP($C87,PMGR!$AQ$2:$BC$250,82,0)</f>
        <v>0</v>
      </c>
      <c r="N87" s="106">
        <f>+HLOOKUP($C87,PMGR!$AQ$2:$BC$250,83,0)</f>
        <v>0</v>
      </c>
      <c r="O87" s="106">
        <f>+HLOOKUP($C87,PMGR!$AQ$2:$BC$250,84,0)</f>
        <v>0</v>
      </c>
      <c r="P87" s="106">
        <f>+HLOOKUP($C87,PMGR!$AQ$2:$BC$250,85,0)</f>
        <v>0</v>
      </c>
      <c r="Q87" s="106">
        <f>+HLOOKUP($C87,PMGR!$AQ$2:$BC$250,87,0)</f>
        <v>320058.64</v>
      </c>
      <c r="R87" s="106">
        <f>+HLOOKUP($C87,PMGR!$AQ$2:$BC$250,90,0)</f>
        <v>0</v>
      </c>
      <c r="S87" s="106">
        <f>+HLOOKUP($C87,PMGR!$AQ$2:$BC$250,91,0)</f>
        <v>10512</v>
      </c>
      <c r="T87" s="106">
        <f>+HLOOKUP($C87,PMGR!$AQ$2:$BC$250,92,0)</f>
        <v>0</v>
      </c>
      <c r="U87" s="106">
        <f>+HLOOKUP($C87,PMGR!$AQ$2:$BC$250,93,0)</f>
        <v>0</v>
      </c>
      <c r="V87" s="106">
        <f>+HLOOKUP($C87,PMGR!$AQ$2:$BC$250,94,0)</f>
        <v>0</v>
      </c>
      <c r="W87" s="106">
        <f>+HLOOKUP($C87,PMGR!$AQ$2:$BC$250,95,0)</f>
        <v>0</v>
      </c>
      <c r="X87" s="106">
        <f>+HLOOKUP($C87,PMGR!$AQ$2:$BC$250,96,0)</f>
        <v>0</v>
      </c>
      <c r="Y87" s="106">
        <f>+HLOOKUP($C87,PMGR!$AQ$2:$BC$250,97,0)</f>
        <v>0</v>
      </c>
      <c r="Z87" s="106">
        <f>+HLOOKUP($C87,PMGR!$AQ$2:$BC$250,98,0)</f>
        <v>0</v>
      </c>
      <c r="AA87" s="106">
        <f>+HLOOKUP($C87,PMGR!$AQ$2:$BC$250,99,0)</f>
        <v>0</v>
      </c>
      <c r="AB87" s="106">
        <f>+HLOOKUP($C87,PMGR!$AQ$2:$BC$250,100,0)</f>
        <v>0</v>
      </c>
      <c r="AC87" s="106">
        <f>+HLOOKUP($C87,PMGR!$AQ$2:$BC$250,101,0)</f>
        <v>7512</v>
      </c>
      <c r="AD87" s="106">
        <f>+HLOOKUP($C87,PMGR!$AQ$2:$BC$250,104,0)</f>
        <v>0</v>
      </c>
      <c r="AE87" s="106">
        <f>+HLOOKUP($C87,PMGR!$AQ$2:$BC$250,105,0)</f>
        <v>28000</v>
      </c>
      <c r="AF87" s="106">
        <f>+HLOOKUP($C87,PMGR!$AQ$2:$BC$250,106,0)</f>
        <v>0</v>
      </c>
      <c r="AG87" s="106">
        <f>+HLOOKUP($C87,PMGR!$AQ$2:$BC$250,107,0)</f>
        <v>0</v>
      </c>
      <c r="AH87" s="106">
        <f>+HLOOKUP($C87,PMGR!$AQ$2:$BC$250,108,0)</f>
        <v>0</v>
      </c>
      <c r="AI87" s="106">
        <f>+HLOOKUP($C87,PMGR!$AQ$2:$BC$250,109,0)</f>
        <v>0</v>
      </c>
      <c r="AJ87" s="106">
        <f>+HLOOKUP($C87,PMGR!$AQ$2:$BC$250,110,0)</f>
        <v>0</v>
      </c>
      <c r="AK87" s="106">
        <f>+HLOOKUP($C87,PMGR!$AQ$2:$BC$250,111,0)</f>
        <v>0</v>
      </c>
      <c r="AL87" s="106">
        <f>+HLOOKUP($C87,PMGR!$AQ$2:$BC$250,112,0)</f>
        <v>0</v>
      </c>
      <c r="AM87" s="106">
        <f>+HLOOKUP($C87,PMGR!$AQ$2:$BC$250,116,0)</f>
        <v>776557.2</v>
      </c>
      <c r="AN87" s="106">
        <f>+HLOOKUP($C87,PMGR!$AQ$2:$BC$250,117,0)</f>
        <v>109692</v>
      </c>
      <c r="AO87" s="106">
        <f>+HLOOKUP($C87,PMGR!$AQ$2:$BC$250,118,0)</f>
        <v>5734</v>
      </c>
      <c r="AP87" s="106">
        <f>+HLOOKUP($C87,PMGR!$AQ$2:$BC$250,119,0)</f>
        <v>250331.2</v>
      </c>
      <c r="AQ87" s="106">
        <f>+HLOOKUP($C87,PMGR!$AQ$2:$BC$250,120,0)</f>
        <v>46538.2</v>
      </c>
      <c r="AR87" s="106">
        <f>+HLOOKUP($C87,PMGR!$AQ$2:$BC$250,121,0)</f>
        <v>30210</v>
      </c>
      <c r="AS87" s="106">
        <f>+HLOOKUP($C87,PMGR!$AQ$2:$BC$250,122,0)</f>
        <v>378592</v>
      </c>
      <c r="AT87" s="106">
        <f>+HLOOKUP($C87,PMGR!$AQ$2:$BC$250,123,0)</f>
        <v>105293.51999999999</v>
      </c>
      <c r="AU87" s="106">
        <f>+HLOOKUP($C87,PMGR!$AQ$2:$BC$250,124,0)</f>
        <v>17244.12</v>
      </c>
      <c r="AV87" s="106">
        <f>+HLOOKUP($C87,PMGR!$AQ$2:$BC$250,125,0)</f>
        <v>87930</v>
      </c>
      <c r="AW87" s="106">
        <f>+HLOOKUP($C87,PMGR!$AQ$2:$BC$250,126,0)</f>
        <v>41810.705769230772</v>
      </c>
      <c r="AX87" s="106">
        <f>+HLOOKUP($C87,PMGR!$AQ$2:$BC$250,127,0)</f>
        <v>56845.311666666668</v>
      </c>
      <c r="AY87" s="106">
        <f>+HLOOKUP($C87,PMGR!$AQ$2:$BC$250,129,0)</f>
        <v>0</v>
      </c>
      <c r="AZ87" s="106">
        <f>+HLOOKUP($C87,PMGR!$AQ$2:$BC$250,130,0)</f>
        <v>0</v>
      </c>
      <c r="BA87" s="106">
        <f>+HLOOKUP($C87,PMGR!$AQ$2:$BC$250,131,0)</f>
        <v>98175</v>
      </c>
      <c r="BB87" s="106">
        <f>+HLOOKUP($C87,PMGR!$AQ$2:$BC$250,133,0)</f>
        <v>0</v>
      </c>
      <c r="BC87" s="106">
        <f>+HLOOKUP($C87,PMGR!$AQ$2:$BC$250,134,0)</f>
        <v>125426.1388</v>
      </c>
      <c r="BD87" s="106">
        <f>+HLOOKUP($C87,PMGR!$AQ$2:$BC$250,135,0)</f>
        <v>0</v>
      </c>
      <c r="BE87" s="106">
        <f>+HLOOKUP($C87,PMGR!$AQ$2:$BC$250,136,0)</f>
        <v>0</v>
      </c>
      <c r="BF87" s="106">
        <f>+HLOOKUP($C87,PMGR!$AQ$2:$BC$250,138,0)</f>
        <v>3428.2008000000001</v>
      </c>
      <c r="BG87" s="106">
        <f>+HLOOKUP($C87,PMGR!$AQ$2:$BC$250,139,0)</f>
        <v>33343.4</v>
      </c>
      <c r="BH87" s="106">
        <f>+HLOOKUP($C87,PMGR!$AQ$2:$BC$250,140,0)</f>
        <v>49652</v>
      </c>
      <c r="BI87" s="106">
        <f>+HLOOKUP($C87,PMGR!$AQ$2:$BC$250,141,0)</f>
        <v>1741</v>
      </c>
      <c r="BJ87" s="106">
        <f>+HLOOKUP($C87,PMGR!$AQ$2:$BC$250,142,0)</f>
        <v>190000</v>
      </c>
      <c r="BK87" s="106">
        <f>+HLOOKUP($C87,PMGR!$AQ$2:$BC$250,143,0)</f>
        <v>89227.44</v>
      </c>
      <c r="BL87" s="106">
        <f>+HLOOKUP($C87,PMGR!$AQ$2:$BC$250,144,0)</f>
        <v>0</v>
      </c>
      <c r="BM87" s="106">
        <f>+HLOOKUP($C87,PMGR!$AQ$2:$BC$250,146,0)</f>
        <v>0</v>
      </c>
      <c r="BN87" s="106">
        <f>+HLOOKUP($C87,PMGR!$AQ$2:$BC$250,147,0)</f>
        <v>62742</v>
      </c>
      <c r="BO87" s="106">
        <f>+HLOOKUP($C87,PMGR!$AQ$2:$BC$250,148,0)</f>
        <v>0</v>
      </c>
      <c r="BP87" s="106">
        <f>+HLOOKUP($C87,PMGR!$AQ$2:$BC$250,150,0)</f>
        <v>50852.4</v>
      </c>
      <c r="BQ87" s="106">
        <f>+HLOOKUP($C87,PMGR!$AQ$2:$BC$250,151,0)</f>
        <v>9450</v>
      </c>
      <c r="BR87" s="106">
        <f>+HLOOKUP($C87,PMGR!$AQ$2:$BC$250,152,0)</f>
        <v>32000</v>
      </c>
      <c r="BS87" s="106">
        <f>+HLOOKUP($C87,PMGR!$AQ$2:$BC$250,153,0)</f>
        <v>290</v>
      </c>
      <c r="BT87" s="106">
        <f>+HLOOKUP($C87,PMGR!$AQ$2:$BC$250,157,0)</f>
        <v>3000</v>
      </c>
      <c r="BU87" s="106">
        <f>+HLOOKUP($C87,PMGR!$AQ$2:$BC$250,158,0)</f>
        <v>1864.41</v>
      </c>
      <c r="BV87" s="106">
        <f>+HLOOKUP($C87,PMGR!$AQ$2:$BC$250,159,0)</f>
        <v>0</v>
      </c>
      <c r="BW87" s="106">
        <f>+HLOOKUP($C87,PMGR!$AQ$2:$BC$250,160,0)</f>
        <v>40454</v>
      </c>
      <c r="BX87" s="106">
        <f>+HLOOKUP($C87,PMGR!$AQ$2:$BC$250,161,0)</f>
        <v>24593.33</v>
      </c>
      <c r="BY87" s="106">
        <f>+HLOOKUP($C87,PMGR!$AQ$2:$BC$250,164,0)</f>
        <v>7715.6607999999997</v>
      </c>
      <c r="BZ87" s="106">
        <f>+HLOOKUP($C87,PMGR!$AQ$2:$BC$250,165,0)</f>
        <v>43230.02</v>
      </c>
      <c r="CA87" s="106">
        <f>+HLOOKUP($C87,PMGR!$AQ$2:$BC$250,166,0)</f>
        <v>437.97</v>
      </c>
      <c r="CB87" s="106">
        <f>+HLOOKUP($C87,PMGR!$AQ$2:$BC$250,167,0)</f>
        <v>3471.6</v>
      </c>
      <c r="CC87" s="106">
        <f>+HLOOKUP($C87,PMGR!$AQ$2:$BC$250,168,0)</f>
        <v>0</v>
      </c>
      <c r="CD87" s="106">
        <f>+HLOOKUP($C87,PMGR!$AQ$2:$BC$250,169,0)</f>
        <v>4606.25</v>
      </c>
      <c r="CE87" s="106">
        <f>+HLOOKUP($C87,PMGR!$AQ$2:$BC$250,170,0)</f>
        <v>0</v>
      </c>
      <c r="CF87" s="106">
        <f>+HLOOKUP($C87,PMGR!$AQ$2:$BC$250,172,0)</f>
        <v>32700</v>
      </c>
      <c r="CG87" s="106">
        <f>+HLOOKUP($C87,PMGR!$AQ$2:$BC$250,173,0)</f>
        <v>0</v>
      </c>
      <c r="CH87" s="106">
        <f>+HLOOKUP($C87,PMGR!$AQ$2:$BC$250,174,0)</f>
        <v>53310</v>
      </c>
      <c r="CI87" s="106">
        <f>+HLOOKUP($C87,PMGR!$AQ$2:$BC$250,175,0)</f>
        <v>6690</v>
      </c>
      <c r="CJ87" s="106">
        <f>+HLOOKUP($C87,PMGR!$AQ$2:$BC$250,176,0)</f>
        <v>2648.4695999999999</v>
      </c>
      <c r="CK87" s="106">
        <f>+HLOOKUP($C87,PMGR!$AQ$2:$BC$250,178,0)</f>
        <v>96867</v>
      </c>
      <c r="CL87" s="106">
        <f>+HLOOKUP($C87,PMGR!$AQ$2:$BC$250,179,0)</f>
        <v>0</v>
      </c>
      <c r="CM87" s="106">
        <f>+HLOOKUP($C87,PMGR!$AQ$2:$BC$250,180,0)</f>
        <v>0</v>
      </c>
      <c r="CN87" s="106">
        <f>+HLOOKUP($C87,PMGR!$AQ$2:$BC$250,182,0)</f>
        <v>0</v>
      </c>
      <c r="CO87" s="106">
        <f>+HLOOKUP($C87,PMGR!$AQ$2:$BC$250,183,0)</f>
        <v>49514.646000000001</v>
      </c>
      <c r="CP87" s="106">
        <f>+HLOOKUP($C87,PMGR!$AQ$2:$BC$250,184,0)</f>
        <v>0</v>
      </c>
      <c r="CQ87" s="106">
        <f>+HLOOKUP($C87,PMGR!$AQ$2:$BC$250,185,0)</f>
        <v>0</v>
      </c>
      <c r="CR87" s="106">
        <f>+HLOOKUP($C87,PMGR!$AQ$2:$BC$250,187,0)</f>
        <v>3749.9994000000002</v>
      </c>
      <c r="CS87" s="106">
        <f>+HLOOKUP($C87,PMGR!$AQ$2:$BC$250,188,0)</f>
        <v>2700</v>
      </c>
      <c r="CT87" s="106">
        <f>+HLOOKUP($C87,PMGR!$AQ$2:$BC$250,189,0)</f>
        <v>10000</v>
      </c>
      <c r="CU87" s="106">
        <f>+HLOOKUP($C87,PMGR!$AQ$2:$BC$250,190,0)</f>
        <v>1499.94</v>
      </c>
      <c r="CV87" s="106">
        <f>+HLOOKUP($C87,PMGR!$AQ$2:$BC$250,191,0)</f>
        <v>0</v>
      </c>
      <c r="CW87" s="106">
        <f>+HLOOKUP($C87,PMGR!$AQ$2:$BC$250,193,0)</f>
        <v>15889.8</v>
      </c>
      <c r="CX87" s="106">
        <f>+HLOOKUP($C87,PMGR!$AQ$2:$BC$250,194,0)</f>
        <v>47.699999999999996</v>
      </c>
      <c r="CY87" s="106">
        <f>+HLOOKUP($C87,PMGR!$AQ$2:$BC$250,195,0)</f>
        <v>30638</v>
      </c>
      <c r="CZ87" s="106">
        <f>+HLOOKUP($C87,PMGR!$AQ$2:$BC$250,196,0)</f>
        <v>0</v>
      </c>
      <c r="DA87" s="106">
        <f>+HLOOKUP($C87,PMGR!$AQ$2:$BC$250,197,0)</f>
        <v>6473.64</v>
      </c>
      <c r="DB87" s="106">
        <f>+HLOOKUP($C87,PMGR!$AQ$2:$BC$250,198,0)</f>
        <v>36357.519999999997</v>
      </c>
      <c r="DC87" s="106">
        <f>+HLOOKUP($C87,PMGR!$AQ$2:$BC$250,199,0)</f>
        <v>635.59019999999998</v>
      </c>
      <c r="DD87" s="106">
        <f>+HLOOKUP($C87,PMGR!$AQ$2:$BC$250,200,0)</f>
        <v>5650</v>
      </c>
      <c r="DE87" s="106">
        <f>+HLOOKUP($C87,PMGR!$AQ$2:$BC$250,201,0)</f>
        <v>0</v>
      </c>
      <c r="DF87" s="106">
        <f>+HLOOKUP($C87,PMGR!$AQ$2:$BC$250,202,0)</f>
        <v>-6.5088000000000008</v>
      </c>
      <c r="DG87" s="106">
        <f>+HLOOKUP($C87,PMGR!$AQ$2:$BC$250,203,0)</f>
        <v>18.188999999999997</v>
      </c>
      <c r="DH87" s="106">
        <f>+HLOOKUP($C87,PMGR!$AQ$2:$BC$250,205,0)</f>
        <v>0</v>
      </c>
      <c r="DI87" s="106">
        <f>+HLOOKUP($C87,PMGR!$AQ$2:$BC$250,206,0)</f>
        <v>13798.04</v>
      </c>
      <c r="DJ87" s="106">
        <f>+HLOOKUP($C87,PMGR!$AQ$2:$BC$250,207,0)</f>
        <v>50243.5844</v>
      </c>
      <c r="DK87" s="106">
        <f>+HLOOKUP($C87,PMGR!$AQ$2:$BC$250,209,0)</f>
        <v>0</v>
      </c>
      <c r="DL87" s="106">
        <f>+HLOOKUP($C87,PMGR!$AQ$2:$BC$250,210,0)</f>
        <v>186159</v>
      </c>
      <c r="DM87" s="106">
        <f>+HLOOKUP($C87,PMGR!$AQ$2:$BC$250,211,0)</f>
        <v>0</v>
      </c>
      <c r="DN87" s="106">
        <f>+HLOOKUP($C87,PMGR!$AQ$2:$BC$250,212,0)</f>
        <v>0</v>
      </c>
      <c r="DO87" s="106">
        <f>+HLOOKUP($C87,PMGR!$AQ$2:$BC$250,214,0)</f>
        <v>0</v>
      </c>
      <c r="DP87" s="106">
        <f>+HLOOKUP($C87,PMGR!$AQ$2:$BC$250,215,0)</f>
        <v>2100</v>
      </c>
      <c r="DQ87" s="106">
        <f>+HLOOKUP($C87,PMGR!$AQ$2:$BC$250,219,0)</f>
        <v>0</v>
      </c>
      <c r="DR87" s="106">
        <f>+HLOOKUP($C87,PMGR!$AQ$2:$BC$250,220,0)</f>
        <v>0</v>
      </c>
      <c r="DS87" s="106">
        <f>+HLOOKUP($C87,PMGR!$AQ$2:$BC$250,221,0)</f>
        <v>0</v>
      </c>
      <c r="DT87" s="106">
        <f>+HLOOKUP($C87,PMGR!$AQ$2:$BC$250,223,0)</f>
        <v>102587.2614</v>
      </c>
      <c r="DU87" s="106">
        <f>+HLOOKUP($C87,PMGR!$AQ$2:$BC$250,224,0)</f>
        <v>0</v>
      </c>
      <c r="DV87" s="106">
        <f>+HLOOKUP($C87,PMGR!$AQ$2:$BC$250,225,0)</f>
        <v>0</v>
      </c>
      <c r="DW87" s="106">
        <f>+HLOOKUP($C87,PMGR!$AQ$2:$BC$250,227,0)</f>
        <v>0</v>
      </c>
      <c r="DX87" s="106">
        <f>+HLOOKUP($C87,PMGR!$AQ$2:$BC$250,228,0)</f>
        <v>10507.5</v>
      </c>
      <c r="DY87" s="106">
        <f>+HLOOKUP($C87,PMGR!$AQ$2:$BC$250,236,0)</f>
        <v>271845</v>
      </c>
      <c r="DZ87" s="106">
        <f>+HLOOKUP($C87,PMGR!$AQ$2:$BC$250,237,0)</f>
        <v>35952.904019999994</v>
      </c>
      <c r="EA87" s="106">
        <f>+HLOOKUP($C87,PMGR!$AQ$2:$BC$250,238,0)</f>
        <v>52479.6</v>
      </c>
      <c r="EB87" s="106">
        <f>+HLOOKUP($C87,PMGR!$AQ$2:$BC$250,240,0)</f>
        <v>681753.02281250001</v>
      </c>
    </row>
    <row r="88" spans="1:132">
      <c r="A88" t="s">
        <v>269</v>
      </c>
      <c r="B88" t="s">
        <v>217</v>
      </c>
      <c r="C88" s="117">
        <v>45566</v>
      </c>
      <c r="D88" s="106">
        <f t="shared" si="2"/>
        <v>16538003.736661771</v>
      </c>
      <c r="E88" s="106">
        <f>+HLOOKUP(C88,PMGR!$AQ$2:$BC$250,28,0)+HLOOKUP(C88,PMGR!$AQ$2:$BC$250,43,0)+HLOOKUP(C88,PMGR!$AQ$2:$BC$250,44,0)+HLOOKUP(C88,PMGR!$AQ$2:$BC$250,45,0)+HLOOKUP(C88,PMGR!$AQ$2:$BC$250,54,0)+HLOOKUP(C88,PMGR!$AQ$2:$BC$250,59,0)</f>
        <v>16538003.736661771</v>
      </c>
      <c r="F88" s="106">
        <f>+HLOOKUP(C88,PMGR!$AQ$2:$BC$250,37,0)+HLOOKUP(C88,PMGR!$AQ$2:$BC$250,55,0)</f>
        <v>11686183.659999982</v>
      </c>
      <c r="G88" s="106">
        <f>+HLOOKUP($C88,PMGR!$AQ$2:$BC$250,76,0)</f>
        <v>0</v>
      </c>
      <c r="H88" s="106">
        <f>+HLOOKUP($C88,PMGR!$AQ$2:$BC$250,77,0)</f>
        <v>0</v>
      </c>
      <c r="I88" s="106">
        <f>+HLOOKUP($C88,PMGR!$AQ$2:$BC$250,78,0)</f>
        <v>0</v>
      </c>
      <c r="J88" s="106">
        <f>+HLOOKUP($C88,PMGR!$AQ$2:$BC$250,79,0)</f>
        <v>0</v>
      </c>
      <c r="K88" s="106">
        <f>+HLOOKUP($C88,PMGR!$AQ$2:$BC$250,80,0)</f>
        <v>0</v>
      </c>
      <c r="L88" s="106">
        <f>+HLOOKUP($C88,PMGR!$AQ$2:$BC$250,81,0)</f>
        <v>0</v>
      </c>
      <c r="M88" s="106">
        <f>+HLOOKUP($C88,PMGR!$AQ$2:$BC$250,82,0)</f>
        <v>0</v>
      </c>
      <c r="N88" s="106">
        <f>+HLOOKUP($C88,PMGR!$AQ$2:$BC$250,83,0)</f>
        <v>0</v>
      </c>
      <c r="O88" s="106">
        <f>+HLOOKUP($C88,PMGR!$AQ$2:$BC$250,84,0)</f>
        <v>0</v>
      </c>
      <c r="P88" s="106">
        <f>+HLOOKUP($C88,PMGR!$AQ$2:$BC$250,85,0)</f>
        <v>0</v>
      </c>
      <c r="Q88" s="106">
        <f>+HLOOKUP($C88,PMGR!$AQ$2:$BC$250,87,0)</f>
        <v>497099.74</v>
      </c>
      <c r="R88" s="106">
        <f>+HLOOKUP($C88,PMGR!$AQ$2:$BC$250,90,0)</f>
        <v>0</v>
      </c>
      <c r="S88" s="106">
        <f>+HLOOKUP($C88,PMGR!$AQ$2:$BC$250,91,0)</f>
        <v>0</v>
      </c>
      <c r="T88" s="106">
        <f>+HLOOKUP($C88,PMGR!$AQ$2:$BC$250,92,0)</f>
        <v>0</v>
      </c>
      <c r="U88" s="106">
        <f>+HLOOKUP($C88,PMGR!$AQ$2:$BC$250,93,0)</f>
        <v>0</v>
      </c>
      <c r="V88" s="106">
        <f>+HLOOKUP($C88,PMGR!$AQ$2:$BC$250,94,0)</f>
        <v>0</v>
      </c>
      <c r="W88" s="106">
        <f>+HLOOKUP($C88,PMGR!$AQ$2:$BC$250,95,0)</f>
        <v>0</v>
      </c>
      <c r="X88" s="106">
        <f>+HLOOKUP($C88,PMGR!$AQ$2:$BC$250,96,0)</f>
        <v>0</v>
      </c>
      <c r="Y88" s="106">
        <f>+HLOOKUP($C88,PMGR!$AQ$2:$BC$250,97,0)</f>
        <v>0</v>
      </c>
      <c r="Z88" s="106">
        <f>+HLOOKUP($C88,PMGR!$AQ$2:$BC$250,98,0)</f>
        <v>0</v>
      </c>
      <c r="AA88" s="106">
        <f>+HLOOKUP($C88,PMGR!$AQ$2:$BC$250,99,0)</f>
        <v>0</v>
      </c>
      <c r="AB88" s="106">
        <f>+HLOOKUP($C88,PMGR!$AQ$2:$BC$250,100,0)</f>
        <v>0</v>
      </c>
      <c r="AC88" s="106">
        <f>+HLOOKUP($C88,PMGR!$AQ$2:$BC$250,101,0)</f>
        <v>14736</v>
      </c>
      <c r="AD88" s="106">
        <f>+HLOOKUP($C88,PMGR!$AQ$2:$BC$250,104,0)</f>
        <v>0</v>
      </c>
      <c r="AE88" s="106">
        <f>+HLOOKUP($C88,PMGR!$AQ$2:$BC$250,105,0)</f>
        <v>35000</v>
      </c>
      <c r="AF88" s="106">
        <f>+HLOOKUP($C88,PMGR!$AQ$2:$BC$250,106,0)</f>
        <v>0</v>
      </c>
      <c r="AG88" s="106">
        <f>+HLOOKUP($C88,PMGR!$AQ$2:$BC$250,107,0)</f>
        <v>0</v>
      </c>
      <c r="AH88" s="106">
        <f>+HLOOKUP($C88,PMGR!$AQ$2:$BC$250,108,0)</f>
        <v>26160</v>
      </c>
      <c r="AI88" s="106">
        <f>+HLOOKUP($C88,PMGR!$AQ$2:$BC$250,109,0)</f>
        <v>0</v>
      </c>
      <c r="AJ88" s="106">
        <f>+HLOOKUP($C88,PMGR!$AQ$2:$BC$250,110,0)</f>
        <v>0</v>
      </c>
      <c r="AK88" s="106">
        <f>+HLOOKUP($C88,PMGR!$AQ$2:$BC$250,111,0)</f>
        <v>79976</v>
      </c>
      <c r="AL88" s="106">
        <f>+HLOOKUP($C88,PMGR!$AQ$2:$BC$250,112,0)</f>
        <v>0</v>
      </c>
      <c r="AM88" s="106">
        <f>+HLOOKUP($C88,PMGR!$AQ$2:$BC$250,116,0)</f>
        <v>744034.6</v>
      </c>
      <c r="AN88" s="106">
        <f>+HLOOKUP($C88,PMGR!$AQ$2:$BC$250,117,0)</f>
        <v>109844</v>
      </c>
      <c r="AO88" s="106">
        <f>+HLOOKUP($C88,PMGR!$AQ$2:$BC$250,118,0)</f>
        <v>5371</v>
      </c>
      <c r="AP88" s="106">
        <f>+HLOOKUP($C88,PMGR!$AQ$2:$BC$250,119,0)</f>
        <v>246202</v>
      </c>
      <c r="AQ88" s="106">
        <f>+HLOOKUP($C88,PMGR!$AQ$2:$BC$250,120,0)</f>
        <v>44936</v>
      </c>
      <c r="AR88" s="106">
        <f>+HLOOKUP($C88,PMGR!$AQ$2:$BC$250,121,0)</f>
        <v>28798</v>
      </c>
      <c r="AS88" s="106">
        <f>+HLOOKUP($C88,PMGR!$AQ$2:$BC$250,122,0)</f>
        <v>366131.20000000001</v>
      </c>
      <c r="AT88" s="106">
        <f>+HLOOKUP($C88,PMGR!$AQ$2:$BC$250,123,0)</f>
        <v>105293.51999999999</v>
      </c>
      <c r="AU88" s="106">
        <f>+HLOOKUP($C88,PMGR!$AQ$2:$BC$250,124,0)</f>
        <v>17244.12</v>
      </c>
      <c r="AV88" s="106">
        <f>+HLOOKUP($C88,PMGR!$AQ$2:$BC$250,125,0)</f>
        <v>87930</v>
      </c>
      <c r="AW88" s="106">
        <f>+HLOOKUP($C88,PMGR!$AQ$2:$BC$250,126,0)</f>
        <v>41810.705769230772</v>
      </c>
      <c r="AX88" s="106">
        <f>+HLOOKUP($C88,PMGR!$AQ$2:$BC$250,127,0)</f>
        <v>56845.311666666668</v>
      </c>
      <c r="AY88" s="106">
        <f>+HLOOKUP($C88,PMGR!$AQ$2:$BC$250,129,0)</f>
        <v>0</v>
      </c>
      <c r="AZ88" s="106">
        <f>+HLOOKUP($C88,PMGR!$AQ$2:$BC$250,130,0)</f>
        <v>0</v>
      </c>
      <c r="BA88" s="106">
        <f>+HLOOKUP($C88,PMGR!$AQ$2:$BC$250,131,0)</f>
        <v>98175</v>
      </c>
      <c r="BB88" s="106">
        <f>+HLOOKUP($C88,PMGR!$AQ$2:$BC$250,133,0)</f>
        <v>0</v>
      </c>
      <c r="BC88" s="106">
        <f>+HLOOKUP($C88,PMGR!$AQ$2:$BC$250,134,0)</f>
        <v>104941.2</v>
      </c>
      <c r="BD88" s="106">
        <f>+HLOOKUP($C88,PMGR!$AQ$2:$BC$250,135,0)</f>
        <v>0</v>
      </c>
      <c r="BE88" s="106">
        <f>+HLOOKUP($C88,PMGR!$AQ$2:$BC$250,136,0)</f>
        <v>0</v>
      </c>
      <c r="BF88" s="106">
        <f>+HLOOKUP($C88,PMGR!$AQ$2:$BC$250,138,0)</f>
        <v>6242.3199999999988</v>
      </c>
      <c r="BG88" s="106">
        <f>+HLOOKUP($C88,PMGR!$AQ$2:$BC$250,139,0)</f>
        <v>42655</v>
      </c>
      <c r="BH88" s="106">
        <f>+HLOOKUP($C88,PMGR!$AQ$2:$BC$250,140,0)</f>
        <v>64652</v>
      </c>
      <c r="BI88" s="106">
        <f>+HLOOKUP($C88,PMGR!$AQ$2:$BC$250,141,0)</f>
        <v>390</v>
      </c>
      <c r="BJ88" s="106">
        <f>+HLOOKUP($C88,PMGR!$AQ$2:$BC$250,142,0)</f>
        <v>0</v>
      </c>
      <c r="BK88" s="106">
        <f>+HLOOKUP($C88,PMGR!$AQ$2:$BC$250,143,0)</f>
        <v>89227.44</v>
      </c>
      <c r="BL88" s="106">
        <f>+HLOOKUP($C88,PMGR!$AQ$2:$BC$250,144,0)</f>
        <v>12000</v>
      </c>
      <c r="BM88" s="106">
        <f>+HLOOKUP($C88,PMGR!$AQ$2:$BC$250,146,0)</f>
        <v>0</v>
      </c>
      <c r="BN88" s="106">
        <f>+HLOOKUP($C88,PMGR!$AQ$2:$BC$250,147,0)</f>
        <v>50277</v>
      </c>
      <c r="BO88" s="106">
        <f>+HLOOKUP($C88,PMGR!$AQ$2:$BC$250,148,0)</f>
        <v>0</v>
      </c>
      <c r="BP88" s="106">
        <f>+HLOOKUP($C88,PMGR!$AQ$2:$BC$250,150,0)</f>
        <v>103852.2</v>
      </c>
      <c r="BQ88" s="106">
        <f>+HLOOKUP($C88,PMGR!$AQ$2:$BC$250,151,0)</f>
        <v>9450</v>
      </c>
      <c r="BR88" s="106">
        <f>+HLOOKUP($C88,PMGR!$AQ$2:$BC$250,152,0)</f>
        <v>32000</v>
      </c>
      <c r="BS88" s="106">
        <f>+HLOOKUP($C88,PMGR!$AQ$2:$BC$250,153,0)</f>
        <v>0</v>
      </c>
      <c r="BT88" s="106">
        <f>+HLOOKUP($C88,PMGR!$AQ$2:$BC$250,157,0)</f>
        <v>0</v>
      </c>
      <c r="BU88" s="106">
        <f>+HLOOKUP($C88,PMGR!$AQ$2:$BC$250,158,0)</f>
        <v>3286.44</v>
      </c>
      <c r="BV88" s="106">
        <f>+HLOOKUP($C88,PMGR!$AQ$2:$BC$250,159,0)</f>
        <v>0</v>
      </c>
      <c r="BW88" s="106">
        <f>+HLOOKUP($C88,PMGR!$AQ$2:$BC$250,160,0)</f>
        <v>58185</v>
      </c>
      <c r="BX88" s="106">
        <f>+HLOOKUP($C88,PMGR!$AQ$2:$BC$250,161,0)</f>
        <v>7669.51</v>
      </c>
      <c r="BY88" s="106">
        <f>+HLOOKUP($C88,PMGR!$AQ$2:$BC$250,164,0)</f>
        <v>5839.0775999999996</v>
      </c>
      <c r="BZ88" s="106">
        <f>+HLOOKUP($C88,PMGR!$AQ$2:$BC$250,165,0)</f>
        <v>13636.01</v>
      </c>
      <c r="CA88" s="106">
        <f>+HLOOKUP($C88,PMGR!$AQ$2:$BC$250,166,0)</f>
        <v>0</v>
      </c>
      <c r="CB88" s="106">
        <f>+HLOOKUP($C88,PMGR!$AQ$2:$BC$250,167,0)</f>
        <v>1000</v>
      </c>
      <c r="CC88" s="106">
        <f>+HLOOKUP($C88,PMGR!$AQ$2:$BC$250,168,0)</f>
        <v>0</v>
      </c>
      <c r="CD88" s="106">
        <f>+HLOOKUP($C88,PMGR!$AQ$2:$BC$250,169,0)</f>
        <v>162.4</v>
      </c>
      <c r="CE88" s="106">
        <f>+HLOOKUP($C88,PMGR!$AQ$2:$BC$250,170,0)</f>
        <v>0</v>
      </c>
      <c r="CF88" s="106">
        <f>+HLOOKUP($C88,PMGR!$AQ$2:$BC$250,172,0)</f>
        <v>32700</v>
      </c>
      <c r="CG88" s="106">
        <f>+HLOOKUP($C88,PMGR!$AQ$2:$BC$250,173,0)</f>
        <v>0</v>
      </c>
      <c r="CH88" s="106">
        <f>+HLOOKUP($C88,PMGR!$AQ$2:$BC$250,174,0)</f>
        <v>53310</v>
      </c>
      <c r="CI88" s="106">
        <f>+HLOOKUP($C88,PMGR!$AQ$2:$BC$250,175,0)</f>
        <v>6690</v>
      </c>
      <c r="CJ88" s="106">
        <f>+HLOOKUP($C88,PMGR!$AQ$2:$BC$250,176,0)</f>
        <v>34863.4</v>
      </c>
      <c r="CK88" s="106">
        <f>+HLOOKUP($C88,PMGR!$AQ$2:$BC$250,178,0)</f>
        <v>92402</v>
      </c>
      <c r="CL88" s="106">
        <f>+HLOOKUP($C88,PMGR!$AQ$2:$BC$250,179,0)</f>
        <v>0</v>
      </c>
      <c r="CM88" s="106">
        <f>+HLOOKUP($C88,PMGR!$AQ$2:$BC$250,180,0)</f>
        <v>16800</v>
      </c>
      <c r="CN88" s="106">
        <f>+HLOOKUP($C88,PMGR!$AQ$2:$BC$250,182,0)</f>
        <v>0</v>
      </c>
      <c r="CO88" s="106">
        <f>+HLOOKUP($C88,PMGR!$AQ$2:$BC$250,183,0)</f>
        <v>45000</v>
      </c>
      <c r="CP88" s="106">
        <f>+HLOOKUP($C88,PMGR!$AQ$2:$BC$250,184,0)</f>
        <v>0</v>
      </c>
      <c r="CQ88" s="106">
        <f>+HLOOKUP($C88,PMGR!$AQ$2:$BC$250,185,0)</f>
        <v>0</v>
      </c>
      <c r="CR88" s="106">
        <f>+HLOOKUP($C88,PMGR!$AQ$2:$BC$250,187,0)</f>
        <v>3749.9999999999936</v>
      </c>
      <c r="CS88" s="106">
        <f>+HLOOKUP($C88,PMGR!$AQ$2:$BC$250,188,0)</f>
        <v>2700</v>
      </c>
      <c r="CT88" s="106">
        <f>+HLOOKUP($C88,PMGR!$AQ$2:$BC$250,189,0)</f>
        <v>0</v>
      </c>
      <c r="CU88" s="106">
        <f>+HLOOKUP($C88,PMGR!$AQ$2:$BC$250,190,0)</f>
        <v>1499.94</v>
      </c>
      <c r="CV88" s="106">
        <f>+HLOOKUP($C88,PMGR!$AQ$2:$BC$250,191,0)</f>
        <v>0</v>
      </c>
      <c r="CW88" s="106">
        <f>+HLOOKUP($C88,PMGR!$AQ$2:$BC$250,193,0)</f>
        <v>15889.8</v>
      </c>
      <c r="CX88" s="106">
        <f>+HLOOKUP($C88,PMGR!$AQ$2:$BC$250,194,0)</f>
        <v>47.699999999999996</v>
      </c>
      <c r="CY88" s="106">
        <f>+HLOOKUP($C88,PMGR!$AQ$2:$BC$250,195,0)</f>
        <v>0</v>
      </c>
      <c r="CZ88" s="106">
        <f>+HLOOKUP($C88,PMGR!$AQ$2:$BC$250,196,0)</f>
        <v>0</v>
      </c>
      <c r="DA88" s="106">
        <f>+HLOOKUP($C88,PMGR!$AQ$2:$BC$250,197,0)</f>
        <v>11147.26</v>
      </c>
      <c r="DB88" s="106">
        <f>+HLOOKUP($C88,PMGR!$AQ$2:$BC$250,198,0)</f>
        <v>16698.96</v>
      </c>
      <c r="DC88" s="106">
        <f>+HLOOKUP($C88,PMGR!$AQ$2:$BC$250,199,0)</f>
        <v>4058.11</v>
      </c>
      <c r="DD88" s="106">
        <f>+HLOOKUP($C88,PMGR!$AQ$2:$BC$250,200,0)</f>
        <v>12460</v>
      </c>
      <c r="DE88" s="106">
        <f>+HLOOKUP($C88,PMGR!$AQ$2:$BC$250,201,0)</f>
        <v>0</v>
      </c>
      <c r="DF88" s="106">
        <f>+HLOOKUP($C88,PMGR!$AQ$2:$BC$250,202,0)</f>
        <v>-1.4104000000000001</v>
      </c>
      <c r="DG88" s="106">
        <f>+HLOOKUP($C88,PMGR!$AQ$2:$BC$250,203,0)</f>
        <v>24.123799999999996</v>
      </c>
      <c r="DH88" s="106">
        <f>+HLOOKUP($C88,PMGR!$AQ$2:$BC$250,205,0)</f>
        <v>0</v>
      </c>
      <c r="DI88" s="106">
        <f>+HLOOKUP($C88,PMGR!$AQ$2:$BC$250,206,0)</f>
        <v>5699.46</v>
      </c>
      <c r="DJ88" s="106">
        <f>+HLOOKUP($C88,PMGR!$AQ$2:$BC$250,207,0)</f>
        <v>60220.799400000004</v>
      </c>
      <c r="DK88" s="106">
        <f>+HLOOKUP($C88,PMGR!$AQ$2:$BC$250,209,0)</f>
        <v>0</v>
      </c>
      <c r="DL88" s="106">
        <f>+HLOOKUP($C88,PMGR!$AQ$2:$BC$250,210,0)</f>
        <v>186159</v>
      </c>
      <c r="DM88" s="106">
        <f>+HLOOKUP($C88,PMGR!$AQ$2:$BC$250,211,0)</f>
        <v>0</v>
      </c>
      <c r="DN88" s="106">
        <f>+HLOOKUP($C88,PMGR!$AQ$2:$BC$250,212,0)</f>
        <v>0</v>
      </c>
      <c r="DO88" s="106">
        <f>+HLOOKUP($C88,PMGR!$AQ$2:$BC$250,214,0)</f>
        <v>0</v>
      </c>
      <c r="DP88" s="106">
        <f>+HLOOKUP($C88,PMGR!$AQ$2:$BC$250,215,0)</f>
        <v>1800</v>
      </c>
      <c r="DQ88" s="106">
        <f>+HLOOKUP($C88,PMGR!$AQ$2:$BC$250,219,0)</f>
        <v>0</v>
      </c>
      <c r="DR88" s="106">
        <f>+HLOOKUP($C88,PMGR!$AQ$2:$BC$250,220,0)</f>
        <v>0</v>
      </c>
      <c r="DS88" s="106">
        <f>+HLOOKUP($C88,PMGR!$AQ$2:$BC$250,221,0)</f>
        <v>0</v>
      </c>
      <c r="DT88" s="106">
        <f>+HLOOKUP($C88,PMGR!$AQ$2:$BC$250,223,0)</f>
        <v>12493.4148</v>
      </c>
      <c r="DU88" s="106">
        <f>+HLOOKUP($C88,PMGR!$AQ$2:$BC$250,224,0)</f>
        <v>0</v>
      </c>
      <c r="DV88" s="106">
        <f>+HLOOKUP($C88,PMGR!$AQ$2:$BC$250,225,0)</f>
        <v>0</v>
      </c>
      <c r="DW88" s="106">
        <f>+HLOOKUP($C88,PMGR!$AQ$2:$BC$250,227,0)</f>
        <v>0</v>
      </c>
      <c r="DX88" s="106">
        <f>+HLOOKUP($C88,PMGR!$AQ$2:$BC$250,228,0)</f>
        <v>16509.599999999999</v>
      </c>
      <c r="DY88" s="106">
        <f>+HLOOKUP($C88,PMGR!$AQ$2:$BC$250,236,0)</f>
        <v>463138</v>
      </c>
      <c r="DZ88" s="106">
        <f>+HLOOKUP($C88,PMGR!$AQ$2:$BC$250,237,0)</f>
        <v>37609.585859999992</v>
      </c>
      <c r="EA88" s="106">
        <f>+HLOOKUP($C88,PMGR!$AQ$2:$BC$250,238,0)</f>
        <v>55046.400000000001</v>
      </c>
      <c r="EB88" s="106">
        <f>+HLOOKUP($C88,PMGR!$AQ$2:$BC$250,240,0)</f>
        <v>681753.02281250001</v>
      </c>
    </row>
    <row r="89" spans="1:132">
      <c r="A89" t="s">
        <v>269</v>
      </c>
      <c r="B89" t="s">
        <v>217</v>
      </c>
      <c r="C89" s="117">
        <v>45536</v>
      </c>
      <c r="D89" s="106">
        <f t="shared" si="2"/>
        <v>22797758.255473137</v>
      </c>
      <c r="E89" s="106">
        <f>+HLOOKUP(C89,PMGR!$AQ$2:$BC$250,28,0)+HLOOKUP(C89,PMGR!$AQ$2:$BC$250,43,0)+HLOOKUP(C89,PMGR!$AQ$2:$BC$250,44,0)+HLOOKUP(C89,PMGR!$AQ$2:$BC$250,45,0)+HLOOKUP(C89,PMGR!$AQ$2:$BC$250,54,0)+HLOOKUP(C89,PMGR!$AQ$2:$BC$250,59,0)</f>
        <v>22797758.255473137</v>
      </c>
      <c r="F89" s="106">
        <f>+HLOOKUP(C89,PMGR!$AQ$2:$BC$250,37,0)+HLOOKUP(C89,PMGR!$AQ$2:$BC$250,55,0)</f>
        <v>15955790.526000004</v>
      </c>
      <c r="G89" s="106">
        <f>+HLOOKUP($C89,PMGR!$AQ$2:$BC$250,76,0)</f>
        <v>0</v>
      </c>
      <c r="H89" s="106">
        <f>+HLOOKUP($C89,PMGR!$AQ$2:$BC$250,77,0)</f>
        <v>0</v>
      </c>
      <c r="I89" s="106">
        <f>+HLOOKUP($C89,PMGR!$AQ$2:$BC$250,78,0)</f>
        <v>0</v>
      </c>
      <c r="J89" s="106">
        <f>+HLOOKUP($C89,PMGR!$AQ$2:$BC$250,79,0)</f>
        <v>0</v>
      </c>
      <c r="K89" s="106">
        <f>+HLOOKUP($C89,PMGR!$AQ$2:$BC$250,80,0)</f>
        <v>0</v>
      </c>
      <c r="L89" s="106">
        <f>+HLOOKUP($C89,PMGR!$AQ$2:$BC$250,81,0)</f>
        <v>0</v>
      </c>
      <c r="M89" s="106">
        <f>+HLOOKUP($C89,PMGR!$AQ$2:$BC$250,82,0)</f>
        <v>0</v>
      </c>
      <c r="N89" s="106">
        <f>+HLOOKUP($C89,PMGR!$AQ$2:$BC$250,83,0)</f>
        <v>0</v>
      </c>
      <c r="O89" s="106">
        <f>+HLOOKUP($C89,PMGR!$AQ$2:$BC$250,84,0)</f>
        <v>0</v>
      </c>
      <c r="P89" s="106">
        <f>+HLOOKUP($C89,PMGR!$AQ$2:$BC$250,85,0)</f>
        <v>0</v>
      </c>
      <c r="Q89" s="106">
        <f>+HLOOKUP($C89,PMGR!$AQ$2:$BC$250,87,0)</f>
        <v>411621.18</v>
      </c>
      <c r="R89" s="106">
        <f>+HLOOKUP($C89,PMGR!$AQ$2:$BC$250,90,0)</f>
        <v>0</v>
      </c>
      <c r="S89" s="106">
        <f>+HLOOKUP($C89,PMGR!$AQ$2:$BC$250,91,0)</f>
        <v>0</v>
      </c>
      <c r="T89" s="106">
        <f>+HLOOKUP($C89,PMGR!$AQ$2:$BC$250,92,0)</f>
        <v>0</v>
      </c>
      <c r="U89" s="106">
        <f>+HLOOKUP($C89,PMGR!$AQ$2:$BC$250,93,0)</f>
        <v>0</v>
      </c>
      <c r="V89" s="106">
        <f>+HLOOKUP($C89,PMGR!$AQ$2:$BC$250,94,0)</f>
        <v>0</v>
      </c>
      <c r="W89" s="106">
        <f>+HLOOKUP($C89,PMGR!$AQ$2:$BC$250,95,0)</f>
        <v>0</v>
      </c>
      <c r="X89" s="106">
        <f>+HLOOKUP($C89,PMGR!$AQ$2:$BC$250,96,0)</f>
        <v>0</v>
      </c>
      <c r="Y89" s="106">
        <f>+HLOOKUP($C89,PMGR!$AQ$2:$BC$250,97,0)</f>
        <v>0</v>
      </c>
      <c r="Z89" s="106">
        <f>+HLOOKUP($C89,PMGR!$AQ$2:$BC$250,98,0)</f>
        <v>0</v>
      </c>
      <c r="AA89" s="106">
        <f>+HLOOKUP($C89,PMGR!$AQ$2:$BC$250,99,0)</f>
        <v>0</v>
      </c>
      <c r="AB89" s="106">
        <f>+HLOOKUP($C89,PMGR!$AQ$2:$BC$250,100,0)</f>
        <v>0</v>
      </c>
      <c r="AC89" s="106">
        <f>+HLOOKUP($C89,PMGR!$AQ$2:$BC$250,101,0)</f>
        <v>21900.799999999999</v>
      </c>
      <c r="AD89" s="106">
        <f>+HLOOKUP($C89,PMGR!$AQ$2:$BC$250,104,0)</f>
        <v>11718</v>
      </c>
      <c r="AE89" s="106">
        <f>+HLOOKUP($C89,PMGR!$AQ$2:$BC$250,105,0)</f>
        <v>70400</v>
      </c>
      <c r="AF89" s="106">
        <f>+HLOOKUP($C89,PMGR!$AQ$2:$BC$250,106,0)</f>
        <v>0</v>
      </c>
      <c r="AG89" s="106">
        <f>+HLOOKUP($C89,PMGR!$AQ$2:$BC$250,107,0)</f>
        <v>0</v>
      </c>
      <c r="AH89" s="106">
        <f>+HLOOKUP($C89,PMGR!$AQ$2:$BC$250,108,0)</f>
        <v>195490</v>
      </c>
      <c r="AI89" s="106">
        <f>+HLOOKUP($C89,PMGR!$AQ$2:$BC$250,109,0)</f>
        <v>0</v>
      </c>
      <c r="AJ89" s="106">
        <f>+HLOOKUP($C89,PMGR!$AQ$2:$BC$250,110,0)</f>
        <v>0</v>
      </c>
      <c r="AK89" s="106">
        <f>+HLOOKUP($C89,PMGR!$AQ$2:$BC$250,111,0)</f>
        <v>3000</v>
      </c>
      <c r="AL89" s="106">
        <f>+HLOOKUP($C89,PMGR!$AQ$2:$BC$250,112,0)</f>
        <v>0</v>
      </c>
      <c r="AM89" s="106">
        <f>+HLOOKUP($C89,PMGR!$AQ$2:$BC$250,116,0)</f>
        <v>780482.45799999998</v>
      </c>
      <c r="AN89" s="106">
        <f>+HLOOKUP($C89,PMGR!$AQ$2:$BC$250,117,0)</f>
        <v>113970.652</v>
      </c>
      <c r="AO89" s="106">
        <f>+HLOOKUP($C89,PMGR!$AQ$2:$BC$250,118,0)</f>
        <v>5466.67</v>
      </c>
      <c r="AP89" s="106">
        <f>+HLOOKUP($C89,PMGR!$AQ$2:$BC$250,119,0)</f>
        <v>254771.128</v>
      </c>
      <c r="AQ89" s="106">
        <f>+HLOOKUP($C89,PMGR!$AQ$2:$BC$250,120,0)</f>
        <v>46614.57</v>
      </c>
      <c r="AR89" s="106">
        <f>+HLOOKUP($C89,PMGR!$AQ$2:$BC$250,121,0)</f>
        <v>31058.17</v>
      </c>
      <c r="AS89" s="106">
        <f>+HLOOKUP($C89,PMGR!$AQ$2:$BC$250,122,0)</f>
        <v>477328.51800000004</v>
      </c>
      <c r="AT89" s="106">
        <f>+HLOOKUP($C89,PMGR!$AQ$2:$BC$250,123,0)</f>
        <v>105293.51999999999</v>
      </c>
      <c r="AU89" s="106">
        <f>+HLOOKUP($C89,PMGR!$AQ$2:$BC$250,124,0)</f>
        <v>17244.12</v>
      </c>
      <c r="AV89" s="106">
        <f>+HLOOKUP($C89,PMGR!$AQ$2:$BC$250,125,0)</f>
        <v>87930</v>
      </c>
      <c r="AW89" s="106">
        <f>+HLOOKUP($C89,PMGR!$AQ$2:$BC$250,126,0)</f>
        <v>41810.705769230772</v>
      </c>
      <c r="AX89" s="106">
        <f>+HLOOKUP($C89,PMGR!$AQ$2:$BC$250,127,0)</f>
        <v>56845.311666666668</v>
      </c>
      <c r="AY89" s="106">
        <f>+HLOOKUP($C89,PMGR!$AQ$2:$BC$250,129,0)</f>
        <v>0</v>
      </c>
      <c r="AZ89" s="106">
        <f>+HLOOKUP($C89,PMGR!$AQ$2:$BC$250,130,0)</f>
        <v>0</v>
      </c>
      <c r="BA89" s="106">
        <f>+HLOOKUP($C89,PMGR!$AQ$2:$BC$250,131,0)</f>
        <v>98175</v>
      </c>
      <c r="BB89" s="106">
        <f>+HLOOKUP($C89,PMGR!$AQ$2:$BC$250,133,0)</f>
        <v>0</v>
      </c>
      <c r="BC89" s="106">
        <f>+HLOOKUP($C89,PMGR!$AQ$2:$BC$250,134,0)</f>
        <v>63278.63</v>
      </c>
      <c r="BD89" s="106">
        <f>+HLOOKUP($C89,PMGR!$AQ$2:$BC$250,135,0)</f>
        <v>0</v>
      </c>
      <c r="BE89" s="106">
        <f>+HLOOKUP($C89,PMGR!$AQ$2:$BC$250,136,0)</f>
        <v>0</v>
      </c>
      <c r="BF89" s="106">
        <f>+HLOOKUP($C89,PMGR!$AQ$2:$BC$250,138,0)</f>
        <v>5107.3199999999988</v>
      </c>
      <c r="BG89" s="106">
        <f>+HLOOKUP($C89,PMGR!$AQ$2:$BC$250,139,0)</f>
        <v>38942.660000000003</v>
      </c>
      <c r="BH89" s="106">
        <f>+HLOOKUP($C89,PMGR!$AQ$2:$BC$250,140,0)</f>
        <v>49652</v>
      </c>
      <c r="BI89" s="106">
        <f>+HLOOKUP($C89,PMGR!$AQ$2:$BC$250,141,0)</f>
        <v>4022.54</v>
      </c>
      <c r="BJ89" s="106">
        <f>+HLOOKUP($C89,PMGR!$AQ$2:$BC$250,142,0)</f>
        <v>0</v>
      </c>
      <c r="BK89" s="106">
        <f>+HLOOKUP($C89,PMGR!$AQ$2:$BC$250,143,0)</f>
        <v>25509.75</v>
      </c>
      <c r="BL89" s="106">
        <f>+HLOOKUP($C89,PMGR!$AQ$2:$BC$250,144,0)</f>
        <v>32770</v>
      </c>
      <c r="BM89" s="106">
        <f>+HLOOKUP($C89,PMGR!$AQ$2:$BC$250,146,0)</f>
        <v>0</v>
      </c>
      <c r="BN89" s="106">
        <f>+HLOOKUP($C89,PMGR!$AQ$2:$BC$250,147,0)</f>
        <v>24564</v>
      </c>
      <c r="BO89" s="106">
        <f>+HLOOKUP($C89,PMGR!$AQ$2:$BC$250,148,0)</f>
        <v>0</v>
      </c>
      <c r="BP89" s="106">
        <f>+HLOOKUP($C89,PMGR!$AQ$2:$BC$250,150,0)</f>
        <v>61254</v>
      </c>
      <c r="BQ89" s="106">
        <f>+HLOOKUP($C89,PMGR!$AQ$2:$BC$250,151,0)</f>
        <v>9450</v>
      </c>
      <c r="BR89" s="106">
        <f>+HLOOKUP($C89,PMGR!$AQ$2:$BC$250,152,0)</f>
        <v>32000</v>
      </c>
      <c r="BS89" s="106">
        <f>+HLOOKUP($C89,PMGR!$AQ$2:$BC$250,153,0)</f>
        <v>350</v>
      </c>
      <c r="BT89" s="106">
        <f>+HLOOKUP($C89,PMGR!$AQ$2:$BC$250,157,0)</f>
        <v>0</v>
      </c>
      <c r="BU89" s="106">
        <f>+HLOOKUP($C89,PMGR!$AQ$2:$BC$250,158,0)</f>
        <v>2659.6368000000002</v>
      </c>
      <c r="BV89" s="106">
        <f>+HLOOKUP($C89,PMGR!$AQ$2:$BC$250,159,0)</f>
        <v>680.56</v>
      </c>
      <c r="BW89" s="106">
        <f>+HLOOKUP($C89,PMGR!$AQ$2:$BC$250,160,0)</f>
        <v>94000</v>
      </c>
      <c r="BX89" s="106">
        <f>+HLOOKUP($C89,PMGR!$AQ$2:$BC$250,161,0)</f>
        <v>21196.451999999997</v>
      </c>
      <c r="BY89" s="106">
        <f>+HLOOKUP($C89,PMGR!$AQ$2:$BC$250,164,0)</f>
        <v>8233.1898000000001</v>
      </c>
      <c r="BZ89" s="106">
        <f>+HLOOKUP($C89,PMGR!$AQ$2:$BC$250,165,0)</f>
        <v>35915</v>
      </c>
      <c r="CA89" s="106">
        <f>+HLOOKUP($C89,PMGR!$AQ$2:$BC$250,166,0)</f>
        <v>0</v>
      </c>
      <c r="CB89" s="106">
        <f>+HLOOKUP($C89,PMGR!$AQ$2:$BC$250,167,0)</f>
        <v>1180</v>
      </c>
      <c r="CC89" s="106">
        <f>+HLOOKUP($C89,PMGR!$AQ$2:$BC$250,168,0)</f>
        <v>0</v>
      </c>
      <c r="CD89" s="106">
        <f>+HLOOKUP($C89,PMGR!$AQ$2:$BC$250,169,0)</f>
        <v>4502.7097999999996</v>
      </c>
      <c r="CE89" s="106">
        <f>+HLOOKUP($C89,PMGR!$AQ$2:$BC$250,170,0)</f>
        <v>0</v>
      </c>
      <c r="CF89" s="106">
        <f>+HLOOKUP($C89,PMGR!$AQ$2:$BC$250,172,0)</f>
        <v>32700</v>
      </c>
      <c r="CG89" s="106">
        <f>+HLOOKUP($C89,PMGR!$AQ$2:$BC$250,173,0)</f>
        <v>0</v>
      </c>
      <c r="CH89" s="106">
        <f>+HLOOKUP($C89,PMGR!$AQ$2:$BC$250,174,0)</f>
        <v>53310</v>
      </c>
      <c r="CI89" s="106">
        <f>+HLOOKUP($C89,PMGR!$AQ$2:$BC$250,175,0)</f>
        <v>6690</v>
      </c>
      <c r="CJ89" s="106">
        <f>+HLOOKUP($C89,PMGR!$AQ$2:$BC$250,176,0)</f>
        <v>3002.4594000000002</v>
      </c>
      <c r="CK89" s="106">
        <f>+HLOOKUP($C89,PMGR!$AQ$2:$BC$250,178,0)</f>
        <v>154444.79999999999</v>
      </c>
      <c r="CL89" s="106">
        <f>+HLOOKUP($C89,PMGR!$AQ$2:$BC$250,179,0)</f>
        <v>16472.61</v>
      </c>
      <c r="CM89" s="106">
        <f>+HLOOKUP($C89,PMGR!$AQ$2:$BC$250,180,0)</f>
        <v>0</v>
      </c>
      <c r="CN89" s="106">
        <f>+HLOOKUP($C89,PMGR!$AQ$2:$BC$250,182,0)</f>
        <v>0</v>
      </c>
      <c r="CO89" s="106">
        <f>+HLOOKUP($C89,PMGR!$AQ$2:$BC$250,183,0)</f>
        <v>13514.645999999999</v>
      </c>
      <c r="CP89" s="106">
        <f>+HLOOKUP($C89,PMGR!$AQ$2:$BC$250,184,0)</f>
        <v>0</v>
      </c>
      <c r="CQ89" s="106">
        <f>+HLOOKUP($C89,PMGR!$AQ$2:$BC$250,185,0)</f>
        <v>0</v>
      </c>
      <c r="CR89" s="106">
        <f>+HLOOKUP($C89,PMGR!$AQ$2:$BC$250,187,0)</f>
        <v>0</v>
      </c>
      <c r="CS89" s="106">
        <f>+HLOOKUP($C89,PMGR!$AQ$2:$BC$250,188,0)</f>
        <v>2700</v>
      </c>
      <c r="CT89" s="106">
        <f>+HLOOKUP($C89,PMGR!$AQ$2:$BC$250,189,0)</f>
        <v>0</v>
      </c>
      <c r="CU89" s="106">
        <f>+HLOOKUP($C89,PMGR!$AQ$2:$BC$250,190,0)</f>
        <v>1499.9399999999998</v>
      </c>
      <c r="CV89" s="106">
        <f>+HLOOKUP($C89,PMGR!$AQ$2:$BC$250,191,0)</f>
        <v>0</v>
      </c>
      <c r="CW89" s="106">
        <f>+HLOOKUP($C89,PMGR!$AQ$2:$BC$250,193,0)</f>
        <v>15889.8</v>
      </c>
      <c r="CX89" s="106">
        <f>+HLOOKUP($C89,PMGR!$AQ$2:$BC$250,194,0)</f>
        <v>47.699999999999996</v>
      </c>
      <c r="CY89" s="106">
        <f>+HLOOKUP($C89,PMGR!$AQ$2:$BC$250,195,0)</f>
        <v>3000</v>
      </c>
      <c r="CZ89" s="106">
        <f>+HLOOKUP($C89,PMGR!$AQ$2:$BC$250,196,0)</f>
        <v>0</v>
      </c>
      <c r="DA89" s="106">
        <f>+HLOOKUP($C89,PMGR!$AQ$2:$BC$250,197,0)</f>
        <v>27608.720000000001</v>
      </c>
      <c r="DB89" s="106">
        <f>+HLOOKUP($C89,PMGR!$AQ$2:$BC$250,198,0)</f>
        <v>9991.6200000000008</v>
      </c>
      <c r="DC89" s="106">
        <f>+HLOOKUP($C89,PMGR!$AQ$2:$BC$250,199,0)</f>
        <v>330.51</v>
      </c>
      <c r="DD89" s="106">
        <f>+HLOOKUP($C89,PMGR!$AQ$2:$BC$250,200,0)</f>
        <v>10970</v>
      </c>
      <c r="DE89" s="106">
        <f>+HLOOKUP($C89,PMGR!$AQ$2:$BC$250,201,0)</f>
        <v>0</v>
      </c>
      <c r="DF89" s="106">
        <f>+HLOOKUP($C89,PMGR!$AQ$2:$BC$250,202,0)</f>
        <v>5.1668000000000003</v>
      </c>
      <c r="DG89" s="106">
        <f>+HLOOKUP($C89,PMGR!$AQ$2:$BC$250,203,0)</f>
        <v>-108.17</v>
      </c>
      <c r="DH89" s="106">
        <f>+HLOOKUP($C89,PMGR!$AQ$2:$BC$250,205,0)</f>
        <v>0</v>
      </c>
      <c r="DI89" s="106">
        <f>+HLOOKUP($C89,PMGR!$AQ$2:$BC$250,206,0)</f>
        <v>9953.4905999999992</v>
      </c>
      <c r="DJ89" s="106">
        <f>+HLOOKUP($C89,PMGR!$AQ$2:$BC$250,207,0)</f>
        <v>60316.866599999994</v>
      </c>
      <c r="DK89" s="106">
        <f>+HLOOKUP($C89,PMGR!$AQ$2:$BC$250,209,0)</f>
        <v>0</v>
      </c>
      <c r="DL89" s="106">
        <f>+HLOOKUP($C89,PMGR!$AQ$2:$BC$250,210,0)</f>
        <v>186159</v>
      </c>
      <c r="DM89" s="106">
        <f>+HLOOKUP($C89,PMGR!$AQ$2:$BC$250,211,0)</f>
        <v>0</v>
      </c>
      <c r="DN89" s="106">
        <f>+HLOOKUP($C89,PMGR!$AQ$2:$BC$250,212,0)</f>
        <v>0</v>
      </c>
      <c r="DO89" s="106">
        <f>+HLOOKUP($C89,PMGR!$AQ$2:$BC$250,214,0)</f>
        <v>0</v>
      </c>
      <c r="DP89" s="106">
        <f>+HLOOKUP($C89,PMGR!$AQ$2:$BC$250,215,0)</f>
        <v>400</v>
      </c>
      <c r="DQ89" s="106">
        <f>+HLOOKUP($C89,PMGR!$AQ$2:$BC$250,219,0)</f>
        <v>0</v>
      </c>
      <c r="DR89" s="106">
        <f>+HLOOKUP($C89,PMGR!$AQ$2:$BC$250,220,0)</f>
        <v>0</v>
      </c>
      <c r="DS89" s="106">
        <f>+HLOOKUP($C89,PMGR!$AQ$2:$BC$250,221,0)</f>
        <v>0</v>
      </c>
      <c r="DT89" s="106">
        <f>+HLOOKUP($C89,PMGR!$AQ$2:$BC$250,223,0)</f>
        <v>13980.952799999999</v>
      </c>
      <c r="DU89" s="106">
        <f>+HLOOKUP($C89,PMGR!$AQ$2:$BC$250,224,0)</f>
        <v>0</v>
      </c>
      <c r="DV89" s="106">
        <f>+HLOOKUP($C89,PMGR!$AQ$2:$BC$250,225,0)</f>
        <v>0</v>
      </c>
      <c r="DW89" s="106">
        <f>+HLOOKUP($C89,PMGR!$AQ$2:$BC$250,227,0)</f>
        <v>0</v>
      </c>
      <c r="DX89" s="106">
        <f>+HLOOKUP($C89,PMGR!$AQ$2:$BC$250,228,0)</f>
        <v>13002.839999999998</v>
      </c>
      <c r="DY89" s="106">
        <f>+HLOOKUP($C89,PMGR!$AQ$2:$BC$250,236,0)</f>
        <v>473127</v>
      </c>
      <c r="DZ89" s="106">
        <f>+HLOOKUP($C89,PMGR!$AQ$2:$BC$250,237,0)</f>
        <v>36810.309359999999</v>
      </c>
      <c r="EA89" s="106">
        <f>+HLOOKUP($C89,PMGR!$AQ$2:$BC$250,238,0)</f>
        <v>57594</v>
      </c>
      <c r="EB89" s="106">
        <f>+HLOOKUP($C89,PMGR!$AQ$2:$BC$250,240,0)</f>
        <v>681753.02281250001</v>
      </c>
    </row>
    <row r="90" spans="1:132">
      <c r="A90" t="s">
        <v>269</v>
      </c>
      <c r="B90" t="s">
        <v>217</v>
      </c>
      <c r="C90" s="117">
        <v>45505</v>
      </c>
      <c r="D90" s="106">
        <f t="shared" si="2"/>
        <v>16399215.018333949</v>
      </c>
      <c r="E90" s="106">
        <f>+HLOOKUP(C90,PMGR!$AQ$2:$BC$250,28,0)+HLOOKUP(C90,PMGR!$AQ$2:$BC$250,43,0)+HLOOKUP(C90,PMGR!$AQ$2:$BC$250,44,0)+HLOOKUP(C90,PMGR!$AQ$2:$BC$250,45,0)+HLOOKUP(C90,PMGR!$AQ$2:$BC$250,54,0)+HLOOKUP(C90,PMGR!$AQ$2:$BC$250,59,0)</f>
        <v>16399215.018333949</v>
      </c>
      <c r="F90" s="106">
        <f>+HLOOKUP(C90,PMGR!$AQ$2:$BC$250,37,0)+HLOOKUP(C90,PMGR!$AQ$2:$BC$250,55,0)</f>
        <v>11004767.25</v>
      </c>
      <c r="G90" s="106">
        <f>+HLOOKUP($C90,PMGR!$AQ$2:$BC$250,76,0)</f>
        <v>0</v>
      </c>
      <c r="H90" s="106">
        <f>+HLOOKUP($C90,PMGR!$AQ$2:$BC$250,77,0)</f>
        <v>0</v>
      </c>
      <c r="I90" s="106">
        <f>+HLOOKUP($C90,PMGR!$AQ$2:$BC$250,78,0)</f>
        <v>0</v>
      </c>
      <c r="J90" s="106">
        <f>+HLOOKUP($C90,PMGR!$AQ$2:$BC$250,79,0)</f>
        <v>0</v>
      </c>
      <c r="K90" s="106">
        <f>+HLOOKUP($C90,PMGR!$AQ$2:$BC$250,80,0)</f>
        <v>0</v>
      </c>
      <c r="L90" s="106">
        <f>+HLOOKUP($C90,PMGR!$AQ$2:$BC$250,81,0)</f>
        <v>0</v>
      </c>
      <c r="M90" s="106">
        <f>+HLOOKUP($C90,PMGR!$AQ$2:$BC$250,82,0)</f>
        <v>0</v>
      </c>
      <c r="N90" s="106">
        <f>+HLOOKUP($C90,PMGR!$AQ$2:$BC$250,83,0)</f>
        <v>0</v>
      </c>
      <c r="O90" s="106">
        <f>+HLOOKUP($C90,PMGR!$AQ$2:$BC$250,84,0)</f>
        <v>0</v>
      </c>
      <c r="P90" s="106">
        <f>+HLOOKUP($C90,PMGR!$AQ$2:$BC$250,85,0)</f>
        <v>0</v>
      </c>
      <c r="Q90" s="106">
        <f>+HLOOKUP($C90,PMGR!$AQ$2:$BC$250,87,0)</f>
        <v>19880</v>
      </c>
      <c r="R90" s="106">
        <f>+HLOOKUP($C90,PMGR!$AQ$2:$BC$250,90,0)</f>
        <v>0</v>
      </c>
      <c r="S90" s="106">
        <f>+HLOOKUP($C90,PMGR!$AQ$2:$BC$250,91,0)</f>
        <v>8112</v>
      </c>
      <c r="T90" s="106">
        <f>+HLOOKUP($C90,PMGR!$AQ$2:$BC$250,92,0)</f>
        <v>0</v>
      </c>
      <c r="U90" s="106">
        <f>+HLOOKUP($C90,PMGR!$AQ$2:$BC$250,93,0)</f>
        <v>0</v>
      </c>
      <c r="V90" s="106">
        <f>+HLOOKUP($C90,PMGR!$AQ$2:$BC$250,94,0)</f>
        <v>0</v>
      </c>
      <c r="W90" s="106">
        <f>+HLOOKUP($C90,PMGR!$AQ$2:$BC$250,95,0)</f>
        <v>0</v>
      </c>
      <c r="X90" s="106">
        <f>+HLOOKUP($C90,PMGR!$AQ$2:$BC$250,96,0)</f>
        <v>12515.4</v>
      </c>
      <c r="Y90" s="106">
        <f>+HLOOKUP($C90,PMGR!$AQ$2:$BC$250,97,0)</f>
        <v>0</v>
      </c>
      <c r="Z90" s="106">
        <f>+HLOOKUP($C90,PMGR!$AQ$2:$BC$250,98,0)</f>
        <v>0</v>
      </c>
      <c r="AA90" s="106">
        <f>+HLOOKUP($C90,PMGR!$AQ$2:$BC$250,99,0)</f>
        <v>0</v>
      </c>
      <c r="AB90" s="106">
        <f>+HLOOKUP($C90,PMGR!$AQ$2:$BC$250,100,0)</f>
        <v>0</v>
      </c>
      <c r="AC90" s="106">
        <f>+HLOOKUP($C90,PMGR!$AQ$2:$BC$250,101,0)</f>
        <v>0</v>
      </c>
      <c r="AD90" s="106">
        <f>+HLOOKUP($C90,PMGR!$AQ$2:$BC$250,104,0)</f>
        <v>1000</v>
      </c>
      <c r="AE90" s="106">
        <f>+HLOOKUP($C90,PMGR!$AQ$2:$BC$250,105,0)</f>
        <v>31485</v>
      </c>
      <c r="AF90" s="106">
        <f>+HLOOKUP($C90,PMGR!$AQ$2:$BC$250,106,0)</f>
        <v>0</v>
      </c>
      <c r="AG90" s="106">
        <f>+HLOOKUP($C90,PMGR!$AQ$2:$BC$250,107,0)</f>
        <v>0</v>
      </c>
      <c r="AH90" s="106">
        <f>+HLOOKUP($C90,PMGR!$AQ$2:$BC$250,108,0)</f>
        <v>33750</v>
      </c>
      <c r="AI90" s="106">
        <f>+HLOOKUP($C90,PMGR!$AQ$2:$BC$250,109,0)</f>
        <v>1455.8400000000008</v>
      </c>
      <c r="AJ90" s="106">
        <f>+HLOOKUP($C90,PMGR!$AQ$2:$BC$250,110,0)</f>
        <v>0</v>
      </c>
      <c r="AK90" s="106">
        <f>+HLOOKUP($C90,PMGR!$AQ$2:$BC$250,111,0)</f>
        <v>148820</v>
      </c>
      <c r="AL90" s="106">
        <f>+HLOOKUP($C90,PMGR!$AQ$2:$BC$250,112,0)</f>
        <v>0</v>
      </c>
      <c r="AM90" s="106">
        <f>+HLOOKUP($C90,PMGR!$AQ$2:$BC$250,116,0)</f>
        <v>722260.38</v>
      </c>
      <c r="AN90" s="106">
        <f>+HLOOKUP($C90,PMGR!$AQ$2:$BC$250,117,0)</f>
        <v>105600.3</v>
      </c>
      <c r="AO90" s="106">
        <f>+HLOOKUP($C90,PMGR!$AQ$2:$BC$250,118,0)</f>
        <v>5500</v>
      </c>
      <c r="AP90" s="106">
        <f>+HLOOKUP($C90,PMGR!$AQ$2:$BC$250,119,0)</f>
        <v>231741.46</v>
      </c>
      <c r="AQ90" s="106">
        <f>+HLOOKUP($C90,PMGR!$AQ$2:$BC$250,120,0)</f>
        <v>44232</v>
      </c>
      <c r="AR90" s="106">
        <f>+HLOOKUP($C90,PMGR!$AQ$2:$BC$250,121,0)</f>
        <v>31991.64</v>
      </c>
      <c r="AS90" s="106">
        <f>+HLOOKUP($C90,PMGR!$AQ$2:$BC$250,122,0)</f>
        <v>337411.66</v>
      </c>
      <c r="AT90" s="106">
        <f>+HLOOKUP($C90,PMGR!$AQ$2:$BC$250,123,0)</f>
        <v>105293.51999999999</v>
      </c>
      <c r="AU90" s="106">
        <f>+HLOOKUP($C90,PMGR!$AQ$2:$BC$250,124,0)</f>
        <v>17244.12</v>
      </c>
      <c r="AV90" s="106">
        <f>+HLOOKUP($C90,PMGR!$AQ$2:$BC$250,125,0)</f>
        <v>87930</v>
      </c>
      <c r="AW90" s="106">
        <f>+HLOOKUP($C90,PMGR!$AQ$2:$BC$250,126,0)</f>
        <v>41810.705769230772</v>
      </c>
      <c r="AX90" s="106">
        <f>+HLOOKUP($C90,PMGR!$AQ$2:$BC$250,127,0)</f>
        <v>56845.311666666668</v>
      </c>
      <c r="AY90" s="106">
        <f>+HLOOKUP($C90,PMGR!$AQ$2:$BC$250,129,0)</f>
        <v>0</v>
      </c>
      <c r="AZ90" s="106">
        <f>+HLOOKUP($C90,PMGR!$AQ$2:$BC$250,130,0)</f>
        <v>0</v>
      </c>
      <c r="BA90" s="106">
        <f>+HLOOKUP($C90,PMGR!$AQ$2:$BC$250,131,0)</f>
        <v>98175</v>
      </c>
      <c r="BB90" s="106">
        <f>+HLOOKUP($C90,PMGR!$AQ$2:$BC$250,133,0)</f>
        <v>0</v>
      </c>
      <c r="BC90" s="106">
        <f>+HLOOKUP($C90,PMGR!$AQ$2:$BC$250,134,0)</f>
        <v>277449.71120000002</v>
      </c>
      <c r="BD90" s="106">
        <f>+HLOOKUP($C90,PMGR!$AQ$2:$BC$250,135,0)</f>
        <v>0</v>
      </c>
      <c r="BE90" s="106">
        <f>+HLOOKUP($C90,PMGR!$AQ$2:$BC$250,136,0)</f>
        <v>0</v>
      </c>
      <c r="BF90" s="106">
        <f>+HLOOKUP($C90,PMGR!$AQ$2:$BC$250,138,0)</f>
        <v>6018.3199999999988</v>
      </c>
      <c r="BG90" s="106">
        <f>+HLOOKUP($C90,PMGR!$AQ$2:$BC$250,139,0)</f>
        <v>59793.04</v>
      </c>
      <c r="BH90" s="106">
        <f>+HLOOKUP($C90,PMGR!$AQ$2:$BC$250,140,0)</f>
        <v>54652</v>
      </c>
      <c r="BI90" s="106">
        <f>+HLOOKUP($C90,PMGR!$AQ$2:$BC$250,141,0)</f>
        <v>10600</v>
      </c>
      <c r="BJ90" s="106">
        <f>+HLOOKUP($C90,PMGR!$AQ$2:$BC$250,142,0)</f>
        <v>0</v>
      </c>
      <c r="BK90" s="106">
        <f>+HLOOKUP($C90,PMGR!$AQ$2:$BC$250,143,0)</f>
        <v>25509.75</v>
      </c>
      <c r="BL90" s="106">
        <f>+HLOOKUP($C90,PMGR!$AQ$2:$BC$250,144,0)</f>
        <v>1375</v>
      </c>
      <c r="BM90" s="106">
        <f>+HLOOKUP($C90,PMGR!$AQ$2:$BC$250,146,0)</f>
        <v>0</v>
      </c>
      <c r="BN90" s="106">
        <f>+HLOOKUP($C90,PMGR!$AQ$2:$BC$250,147,0)</f>
        <v>84105</v>
      </c>
      <c r="BO90" s="106">
        <f>+HLOOKUP($C90,PMGR!$AQ$2:$BC$250,148,0)</f>
        <v>0</v>
      </c>
      <c r="BP90" s="106">
        <f>+HLOOKUP($C90,PMGR!$AQ$2:$BC$250,150,0)</f>
        <v>45781.799999999996</v>
      </c>
      <c r="BQ90" s="106">
        <f>+HLOOKUP($C90,PMGR!$AQ$2:$BC$250,151,0)</f>
        <v>9450</v>
      </c>
      <c r="BR90" s="106">
        <f>+HLOOKUP($C90,PMGR!$AQ$2:$BC$250,152,0)</f>
        <v>32000</v>
      </c>
      <c r="BS90" s="106">
        <f>+HLOOKUP($C90,PMGR!$AQ$2:$BC$250,153,0)</f>
        <v>0</v>
      </c>
      <c r="BT90" s="106">
        <f>+HLOOKUP($C90,PMGR!$AQ$2:$BC$250,157,0)</f>
        <v>38618</v>
      </c>
      <c r="BU90" s="106">
        <f>+HLOOKUP($C90,PMGR!$AQ$2:$BC$250,158,0)</f>
        <v>5338.98</v>
      </c>
      <c r="BV90" s="106">
        <f>+HLOOKUP($C90,PMGR!$AQ$2:$BC$250,159,0)</f>
        <v>681</v>
      </c>
      <c r="BW90" s="106">
        <f>+HLOOKUP($C90,PMGR!$AQ$2:$BC$250,160,0)</f>
        <v>32000</v>
      </c>
      <c r="BX90" s="106">
        <f>+HLOOKUP($C90,PMGR!$AQ$2:$BC$250,161,0)</f>
        <v>57359.14</v>
      </c>
      <c r="BY90" s="106">
        <f>+HLOOKUP($C90,PMGR!$AQ$2:$BC$250,164,0)</f>
        <v>3910.5383999999999</v>
      </c>
      <c r="BZ90" s="106">
        <f>+HLOOKUP($C90,PMGR!$AQ$2:$BC$250,165,0)</f>
        <v>34968.879999999997</v>
      </c>
      <c r="CA90" s="106">
        <f>+HLOOKUP($C90,PMGR!$AQ$2:$BC$250,166,0)</f>
        <v>0</v>
      </c>
      <c r="CB90" s="106">
        <f>+HLOOKUP($C90,PMGR!$AQ$2:$BC$250,167,0)</f>
        <v>0</v>
      </c>
      <c r="CC90" s="106">
        <f>+HLOOKUP($C90,PMGR!$AQ$2:$BC$250,168,0)</f>
        <v>0</v>
      </c>
      <c r="CD90" s="106">
        <f>+HLOOKUP($C90,PMGR!$AQ$2:$BC$250,169,0)</f>
        <v>90</v>
      </c>
      <c r="CE90" s="106">
        <f>+HLOOKUP($C90,PMGR!$AQ$2:$BC$250,170,0)</f>
        <v>0</v>
      </c>
      <c r="CF90" s="106">
        <f>+HLOOKUP($C90,PMGR!$AQ$2:$BC$250,172,0)</f>
        <v>32700</v>
      </c>
      <c r="CG90" s="106">
        <f>+HLOOKUP($C90,PMGR!$AQ$2:$BC$250,173,0)</f>
        <v>0</v>
      </c>
      <c r="CH90" s="106">
        <f>+HLOOKUP($C90,PMGR!$AQ$2:$BC$250,174,0)</f>
        <v>53310</v>
      </c>
      <c r="CI90" s="106">
        <f>+HLOOKUP($C90,PMGR!$AQ$2:$BC$250,175,0)</f>
        <v>6690</v>
      </c>
      <c r="CJ90" s="106">
        <f>+HLOOKUP($C90,PMGR!$AQ$2:$BC$250,176,0)</f>
        <v>3002.4</v>
      </c>
      <c r="CK90" s="106">
        <f>+HLOOKUP($C90,PMGR!$AQ$2:$BC$250,178,0)</f>
        <v>139989.96</v>
      </c>
      <c r="CL90" s="106">
        <f>+HLOOKUP($C90,PMGR!$AQ$2:$BC$250,179,0)</f>
        <v>0</v>
      </c>
      <c r="CM90" s="106">
        <f>+HLOOKUP($C90,PMGR!$AQ$2:$BC$250,180,0)</f>
        <v>0</v>
      </c>
      <c r="CN90" s="106">
        <f>+HLOOKUP($C90,PMGR!$AQ$2:$BC$250,182,0)</f>
        <v>0</v>
      </c>
      <c r="CO90" s="106">
        <f>+HLOOKUP($C90,PMGR!$AQ$2:$BC$250,183,0)</f>
        <v>599.4</v>
      </c>
      <c r="CP90" s="106">
        <f>+HLOOKUP($C90,PMGR!$AQ$2:$BC$250,184,0)</f>
        <v>0</v>
      </c>
      <c r="CQ90" s="106">
        <f>+HLOOKUP($C90,PMGR!$AQ$2:$BC$250,185,0)</f>
        <v>0</v>
      </c>
      <c r="CR90" s="106">
        <f>+HLOOKUP($C90,PMGR!$AQ$2:$BC$250,187,0)</f>
        <v>3749.9994000000002</v>
      </c>
      <c r="CS90" s="106">
        <f>+HLOOKUP($C90,PMGR!$AQ$2:$BC$250,188,0)</f>
        <v>2700</v>
      </c>
      <c r="CT90" s="106">
        <f>+HLOOKUP($C90,PMGR!$AQ$2:$BC$250,189,0)</f>
        <v>0</v>
      </c>
      <c r="CU90" s="106">
        <f>+HLOOKUP($C90,PMGR!$AQ$2:$BC$250,190,0)</f>
        <v>1499.94</v>
      </c>
      <c r="CV90" s="106">
        <f>+HLOOKUP($C90,PMGR!$AQ$2:$BC$250,191,0)</f>
        <v>0</v>
      </c>
      <c r="CW90" s="106">
        <f>+HLOOKUP($C90,PMGR!$AQ$2:$BC$250,193,0)</f>
        <v>15889.8</v>
      </c>
      <c r="CX90" s="106">
        <f>+HLOOKUP($C90,PMGR!$AQ$2:$BC$250,194,0)</f>
        <v>47.699999999999996</v>
      </c>
      <c r="CY90" s="106">
        <f>+HLOOKUP($C90,PMGR!$AQ$2:$BC$250,195,0)</f>
        <v>0</v>
      </c>
      <c r="CZ90" s="106">
        <f>+HLOOKUP($C90,PMGR!$AQ$2:$BC$250,196,0)</f>
        <v>0</v>
      </c>
      <c r="DA90" s="106">
        <f>+HLOOKUP($C90,PMGR!$AQ$2:$BC$250,197,0)</f>
        <v>9935.7031999999999</v>
      </c>
      <c r="DB90" s="106">
        <f>+HLOOKUP($C90,PMGR!$AQ$2:$BC$250,198,0)</f>
        <v>12272.92</v>
      </c>
      <c r="DC90" s="106">
        <f>+HLOOKUP($C90,PMGR!$AQ$2:$BC$250,199,0)</f>
        <v>14004.33</v>
      </c>
      <c r="DD90" s="106">
        <f>+HLOOKUP($C90,PMGR!$AQ$2:$BC$250,200,0)</f>
        <v>10740</v>
      </c>
      <c r="DE90" s="106">
        <f>+HLOOKUP($C90,PMGR!$AQ$2:$BC$250,201,0)</f>
        <v>0</v>
      </c>
      <c r="DF90" s="106">
        <f>+HLOOKUP($C90,PMGR!$AQ$2:$BC$250,202,0)</f>
        <v>7.6619999999999999</v>
      </c>
      <c r="DG90" s="106">
        <f>+HLOOKUP($C90,PMGR!$AQ$2:$BC$250,203,0)</f>
        <v>0</v>
      </c>
      <c r="DH90" s="106">
        <f>+HLOOKUP($C90,PMGR!$AQ$2:$BC$250,205,0)</f>
        <v>0</v>
      </c>
      <c r="DI90" s="106">
        <f>+HLOOKUP($C90,PMGR!$AQ$2:$BC$250,206,0)</f>
        <v>9953.4599999999991</v>
      </c>
      <c r="DJ90" s="106">
        <f>+HLOOKUP($C90,PMGR!$AQ$2:$BC$250,207,0)</f>
        <v>59827.749953846149</v>
      </c>
      <c r="DK90" s="106">
        <f>+HLOOKUP($C90,PMGR!$AQ$2:$BC$250,209,0)</f>
        <v>0</v>
      </c>
      <c r="DL90" s="106">
        <f>+HLOOKUP($C90,PMGR!$AQ$2:$BC$250,210,0)</f>
        <v>186159</v>
      </c>
      <c r="DM90" s="106">
        <f>+HLOOKUP($C90,PMGR!$AQ$2:$BC$250,211,0)</f>
        <v>0</v>
      </c>
      <c r="DN90" s="106">
        <f>+HLOOKUP($C90,PMGR!$AQ$2:$BC$250,212,0)</f>
        <v>0</v>
      </c>
      <c r="DO90" s="106">
        <f>+HLOOKUP($C90,PMGR!$AQ$2:$BC$250,214,0)</f>
        <v>0</v>
      </c>
      <c r="DP90" s="106">
        <f>+HLOOKUP($C90,PMGR!$AQ$2:$BC$250,215,0)</f>
        <v>900</v>
      </c>
      <c r="DQ90" s="106">
        <f>+HLOOKUP($C90,PMGR!$AQ$2:$BC$250,219,0)</f>
        <v>0</v>
      </c>
      <c r="DR90" s="106">
        <f>+HLOOKUP($C90,PMGR!$AQ$2:$BC$250,220,0)</f>
        <v>0</v>
      </c>
      <c r="DS90" s="106">
        <f>+HLOOKUP($C90,PMGR!$AQ$2:$BC$250,221,0)</f>
        <v>0</v>
      </c>
      <c r="DT90" s="106">
        <f>+HLOOKUP($C90,PMGR!$AQ$2:$BC$250,223,0)</f>
        <v>29313.3416</v>
      </c>
      <c r="DU90" s="106">
        <f>+HLOOKUP($C90,PMGR!$AQ$2:$BC$250,224,0)</f>
        <v>0</v>
      </c>
      <c r="DV90" s="106">
        <f>+HLOOKUP($C90,PMGR!$AQ$2:$BC$250,225,0)</f>
        <v>0</v>
      </c>
      <c r="DW90" s="106">
        <f>+HLOOKUP($C90,PMGR!$AQ$2:$BC$250,227,0)</f>
        <v>0</v>
      </c>
      <c r="DX90" s="106">
        <f>+HLOOKUP($C90,PMGR!$AQ$2:$BC$250,228,0)</f>
        <v>7716.96</v>
      </c>
      <c r="DY90" s="106">
        <f>+HLOOKUP($C90,PMGR!$AQ$2:$BC$250,236,0)</f>
        <v>304506</v>
      </c>
      <c r="DZ90" s="106">
        <f>+HLOOKUP($C90,PMGR!$AQ$2:$BC$250,237,0)</f>
        <v>38496.056279999997</v>
      </c>
      <c r="EA90" s="106">
        <f>+HLOOKUP($C90,PMGR!$AQ$2:$BC$250,238,0)</f>
        <v>60123.6</v>
      </c>
      <c r="EB90" s="106">
        <f>+HLOOKUP($C90,PMGR!$AQ$2:$BC$250,240,0)</f>
        <v>681753.02281250001</v>
      </c>
    </row>
    <row r="91" spans="1:132">
      <c r="A91" t="s">
        <v>269</v>
      </c>
      <c r="B91" t="s">
        <v>217</v>
      </c>
      <c r="C91" s="117">
        <v>45474</v>
      </c>
      <c r="D91" s="106">
        <f t="shared" si="2"/>
        <v>15849789.602192596</v>
      </c>
      <c r="E91" s="106">
        <f>+HLOOKUP(C91,PMGR!$AQ$2:$BC$250,28,0)+HLOOKUP(C91,PMGR!$AQ$2:$BC$250,43,0)+HLOOKUP(C91,PMGR!$AQ$2:$BC$250,44,0)+HLOOKUP(C91,PMGR!$AQ$2:$BC$250,45,0)+HLOOKUP(C91,PMGR!$AQ$2:$BC$250,54,0)+HLOOKUP(C91,PMGR!$AQ$2:$BC$250,59,0)</f>
        <v>15849789.602192596</v>
      </c>
      <c r="F91" s="106">
        <f>+HLOOKUP(C91,PMGR!$AQ$2:$BC$250,37,0)+HLOOKUP(C91,PMGR!$AQ$2:$BC$250,55,0)</f>
        <v>10604106.422</v>
      </c>
      <c r="G91" s="106">
        <f>+HLOOKUP($C91,PMGR!$AQ$2:$BC$250,76,0)</f>
        <v>0</v>
      </c>
      <c r="H91" s="106">
        <f>+HLOOKUP($C91,PMGR!$AQ$2:$BC$250,77,0)</f>
        <v>0</v>
      </c>
      <c r="I91" s="106">
        <f>+HLOOKUP($C91,PMGR!$AQ$2:$BC$250,78,0)</f>
        <v>0</v>
      </c>
      <c r="J91" s="106">
        <f>+HLOOKUP($C91,PMGR!$AQ$2:$BC$250,79,0)</f>
        <v>0</v>
      </c>
      <c r="K91" s="106">
        <f>+HLOOKUP($C91,PMGR!$AQ$2:$BC$250,80,0)</f>
        <v>60</v>
      </c>
      <c r="L91" s="106">
        <f>+HLOOKUP($C91,PMGR!$AQ$2:$BC$250,81,0)</f>
        <v>0</v>
      </c>
      <c r="M91" s="106">
        <f>+HLOOKUP($C91,PMGR!$AQ$2:$BC$250,82,0)</f>
        <v>0</v>
      </c>
      <c r="N91" s="106">
        <f>+HLOOKUP($C91,PMGR!$AQ$2:$BC$250,83,0)</f>
        <v>0</v>
      </c>
      <c r="O91" s="106">
        <f>+HLOOKUP($C91,PMGR!$AQ$2:$BC$250,84,0)</f>
        <v>0</v>
      </c>
      <c r="P91" s="106">
        <f>+HLOOKUP($C91,PMGR!$AQ$2:$BC$250,85,0)</f>
        <v>0</v>
      </c>
      <c r="Q91" s="106">
        <f>+HLOOKUP($C91,PMGR!$AQ$2:$BC$250,87,0)</f>
        <v>276842.71999999997</v>
      </c>
      <c r="R91" s="106">
        <f>+HLOOKUP($C91,PMGR!$AQ$2:$BC$250,90,0)</f>
        <v>0</v>
      </c>
      <c r="S91" s="106">
        <f>+HLOOKUP($C91,PMGR!$AQ$2:$BC$250,91,0)</f>
        <v>11112</v>
      </c>
      <c r="T91" s="106">
        <f>+HLOOKUP($C91,PMGR!$AQ$2:$BC$250,92,0)</f>
        <v>8181</v>
      </c>
      <c r="U91" s="106">
        <f>+HLOOKUP($C91,PMGR!$AQ$2:$BC$250,93,0)</f>
        <v>0</v>
      </c>
      <c r="V91" s="106">
        <f>+HLOOKUP($C91,PMGR!$AQ$2:$BC$250,94,0)</f>
        <v>0</v>
      </c>
      <c r="W91" s="106">
        <f>+HLOOKUP($C91,PMGR!$AQ$2:$BC$250,95,0)</f>
        <v>0</v>
      </c>
      <c r="X91" s="106">
        <f>+HLOOKUP($C91,PMGR!$AQ$2:$BC$250,96,0)</f>
        <v>0</v>
      </c>
      <c r="Y91" s="106">
        <f>+HLOOKUP($C91,PMGR!$AQ$2:$BC$250,97,0)</f>
        <v>0</v>
      </c>
      <c r="Z91" s="106">
        <f>+HLOOKUP($C91,PMGR!$AQ$2:$BC$250,98,0)</f>
        <v>0</v>
      </c>
      <c r="AA91" s="106">
        <f>+HLOOKUP($C91,PMGR!$AQ$2:$BC$250,99,0)</f>
        <v>0</v>
      </c>
      <c r="AB91" s="106">
        <f>+HLOOKUP($C91,PMGR!$AQ$2:$BC$250,100,0)</f>
        <v>0</v>
      </c>
      <c r="AC91" s="106">
        <f>+HLOOKUP($C91,PMGR!$AQ$2:$BC$250,101,0)</f>
        <v>14367.6</v>
      </c>
      <c r="AD91" s="106">
        <f>+HLOOKUP($C91,PMGR!$AQ$2:$BC$250,104,0)</f>
        <v>1000</v>
      </c>
      <c r="AE91" s="106">
        <f>+HLOOKUP($C91,PMGR!$AQ$2:$BC$250,105,0)</f>
        <v>30000</v>
      </c>
      <c r="AF91" s="106">
        <f>+HLOOKUP($C91,PMGR!$AQ$2:$BC$250,106,0)</f>
        <v>0</v>
      </c>
      <c r="AG91" s="106">
        <f>+HLOOKUP($C91,PMGR!$AQ$2:$BC$250,107,0)</f>
        <v>0</v>
      </c>
      <c r="AH91" s="106">
        <f>+HLOOKUP($C91,PMGR!$AQ$2:$BC$250,108,0)</f>
        <v>0</v>
      </c>
      <c r="AI91" s="106">
        <f>+HLOOKUP($C91,PMGR!$AQ$2:$BC$250,109,0)</f>
        <v>0</v>
      </c>
      <c r="AJ91" s="106">
        <f>+HLOOKUP($C91,PMGR!$AQ$2:$BC$250,110,0)</f>
        <v>0</v>
      </c>
      <c r="AK91" s="106">
        <f>+HLOOKUP($C91,PMGR!$AQ$2:$BC$250,111,0)</f>
        <v>0</v>
      </c>
      <c r="AL91" s="106">
        <f>+HLOOKUP($C91,PMGR!$AQ$2:$BC$250,112,0)</f>
        <v>0</v>
      </c>
      <c r="AM91" s="106">
        <f>+HLOOKUP($C91,PMGR!$AQ$2:$BC$250,116,0)</f>
        <v>675147.41999999993</v>
      </c>
      <c r="AN91" s="106">
        <f>+HLOOKUP($C91,PMGR!$AQ$2:$BC$250,117,0)</f>
        <v>103151.4</v>
      </c>
      <c r="AO91" s="106">
        <f>+HLOOKUP($C91,PMGR!$AQ$2:$BC$250,118,0)</f>
        <v>5500</v>
      </c>
      <c r="AP91" s="106">
        <f>+HLOOKUP($C91,PMGR!$AQ$2:$BC$250,119,0)</f>
        <v>211113</v>
      </c>
      <c r="AQ91" s="106">
        <f>+HLOOKUP($C91,PMGR!$AQ$2:$BC$250,120,0)</f>
        <v>40857</v>
      </c>
      <c r="AR91" s="106">
        <f>+HLOOKUP($C91,PMGR!$AQ$2:$BC$250,121,0)</f>
        <v>32508</v>
      </c>
      <c r="AS91" s="106">
        <f>+HLOOKUP($C91,PMGR!$AQ$2:$BC$250,122,0)</f>
        <v>332001.40000000002</v>
      </c>
      <c r="AT91" s="106">
        <f>+HLOOKUP($C91,PMGR!$AQ$2:$BC$250,123,0)</f>
        <v>105293.51999999999</v>
      </c>
      <c r="AU91" s="106">
        <f>+HLOOKUP($C91,PMGR!$AQ$2:$BC$250,124,0)</f>
        <v>17244.12</v>
      </c>
      <c r="AV91" s="106">
        <f>+HLOOKUP($C91,PMGR!$AQ$2:$BC$250,125,0)</f>
        <v>87930</v>
      </c>
      <c r="AW91" s="106">
        <f>+HLOOKUP($C91,PMGR!$AQ$2:$BC$250,126,0)</f>
        <v>41810.705769230772</v>
      </c>
      <c r="AX91" s="106">
        <f>+HLOOKUP($C91,PMGR!$AQ$2:$BC$250,127,0)</f>
        <v>56845.311666666668</v>
      </c>
      <c r="AY91" s="106">
        <f>+HLOOKUP($C91,PMGR!$AQ$2:$BC$250,129,0)</f>
        <v>0</v>
      </c>
      <c r="AZ91" s="106">
        <f>+HLOOKUP($C91,PMGR!$AQ$2:$BC$250,130,0)</f>
        <v>0</v>
      </c>
      <c r="BA91" s="106">
        <f>+HLOOKUP($C91,PMGR!$AQ$2:$BC$250,131,0)</f>
        <v>98175</v>
      </c>
      <c r="BB91" s="106">
        <f>+HLOOKUP($C91,PMGR!$AQ$2:$BC$250,133,0)</f>
        <v>0</v>
      </c>
      <c r="BC91" s="106">
        <f>+HLOOKUP($C91,PMGR!$AQ$2:$BC$250,134,0)</f>
        <v>127481</v>
      </c>
      <c r="BD91" s="106">
        <f>+HLOOKUP($C91,PMGR!$AQ$2:$BC$250,135,0)</f>
        <v>0</v>
      </c>
      <c r="BE91" s="106">
        <f>+HLOOKUP($C91,PMGR!$AQ$2:$BC$250,136,0)</f>
        <v>0</v>
      </c>
      <c r="BF91" s="106">
        <f>+HLOOKUP($C91,PMGR!$AQ$2:$BC$250,138,0)</f>
        <v>6657.3199999999988</v>
      </c>
      <c r="BG91" s="106">
        <f>+HLOOKUP($C91,PMGR!$AQ$2:$BC$250,139,0)</f>
        <v>21832.6</v>
      </c>
      <c r="BH91" s="106">
        <f>+HLOOKUP($C91,PMGR!$AQ$2:$BC$250,140,0)</f>
        <v>74652</v>
      </c>
      <c r="BI91" s="106">
        <f>+HLOOKUP($C91,PMGR!$AQ$2:$BC$250,141,0)</f>
        <v>3000</v>
      </c>
      <c r="BJ91" s="106">
        <f>+HLOOKUP($C91,PMGR!$AQ$2:$BC$250,142,0)</f>
        <v>0</v>
      </c>
      <c r="BK91" s="106">
        <f>+HLOOKUP($C91,PMGR!$AQ$2:$BC$250,143,0)</f>
        <v>25509.75</v>
      </c>
      <c r="BL91" s="106">
        <f>+HLOOKUP($C91,PMGR!$AQ$2:$BC$250,144,0)</f>
        <v>6860</v>
      </c>
      <c r="BM91" s="106">
        <f>+HLOOKUP($C91,PMGR!$AQ$2:$BC$250,146,0)</f>
        <v>0</v>
      </c>
      <c r="BN91" s="106">
        <f>+HLOOKUP($C91,PMGR!$AQ$2:$BC$250,147,0)</f>
        <v>58665</v>
      </c>
      <c r="BO91" s="106">
        <f>+HLOOKUP($C91,PMGR!$AQ$2:$BC$250,148,0)</f>
        <v>0</v>
      </c>
      <c r="BP91" s="106">
        <f>+HLOOKUP($C91,PMGR!$AQ$2:$BC$250,150,0)</f>
        <v>46791.6</v>
      </c>
      <c r="BQ91" s="106">
        <f>+HLOOKUP($C91,PMGR!$AQ$2:$BC$250,151,0)</f>
        <v>9450</v>
      </c>
      <c r="BR91" s="106">
        <f>+HLOOKUP($C91,PMGR!$AQ$2:$BC$250,152,0)</f>
        <v>32000</v>
      </c>
      <c r="BS91" s="106">
        <f>+HLOOKUP($C91,PMGR!$AQ$2:$BC$250,153,0)</f>
        <v>0</v>
      </c>
      <c r="BT91" s="106">
        <f>+HLOOKUP($C91,PMGR!$AQ$2:$BC$250,157,0)</f>
        <v>47500</v>
      </c>
      <c r="BU91" s="106">
        <f>+HLOOKUP($C91,PMGR!$AQ$2:$BC$250,158,0)</f>
        <v>3177.97</v>
      </c>
      <c r="BV91" s="106">
        <f>+HLOOKUP($C91,PMGR!$AQ$2:$BC$250,159,0)</f>
        <v>681</v>
      </c>
      <c r="BW91" s="106">
        <f>+HLOOKUP($C91,PMGR!$AQ$2:$BC$250,160,0)</f>
        <v>49508</v>
      </c>
      <c r="BX91" s="106">
        <f>+HLOOKUP($C91,PMGR!$AQ$2:$BC$250,161,0)</f>
        <v>19618.8</v>
      </c>
      <c r="BY91" s="106">
        <f>+HLOOKUP($C91,PMGR!$AQ$2:$BC$250,164,0)</f>
        <v>7429.829999999999</v>
      </c>
      <c r="BZ91" s="106">
        <f>+HLOOKUP($C91,PMGR!$AQ$2:$BC$250,165,0)</f>
        <v>78936.11</v>
      </c>
      <c r="CA91" s="106">
        <f>+HLOOKUP($C91,PMGR!$AQ$2:$BC$250,166,0)</f>
        <v>0</v>
      </c>
      <c r="CB91" s="106">
        <f>+HLOOKUP($C91,PMGR!$AQ$2:$BC$250,167,0)</f>
        <v>20967.23</v>
      </c>
      <c r="CC91" s="106">
        <f>+HLOOKUP($C91,PMGR!$AQ$2:$BC$250,168,0)</f>
        <v>0</v>
      </c>
      <c r="CD91" s="106">
        <f>+HLOOKUP($C91,PMGR!$AQ$2:$BC$250,169,0)</f>
        <v>9532.0457999999981</v>
      </c>
      <c r="CE91" s="106">
        <f>+HLOOKUP($C91,PMGR!$AQ$2:$BC$250,170,0)</f>
        <v>0</v>
      </c>
      <c r="CF91" s="106">
        <f>+HLOOKUP($C91,PMGR!$AQ$2:$BC$250,172,0)</f>
        <v>32700</v>
      </c>
      <c r="CG91" s="106">
        <f>+HLOOKUP($C91,PMGR!$AQ$2:$BC$250,173,0)</f>
        <v>0</v>
      </c>
      <c r="CH91" s="106">
        <f>+HLOOKUP($C91,PMGR!$AQ$2:$BC$250,174,0)</f>
        <v>53310</v>
      </c>
      <c r="CI91" s="106">
        <f>+HLOOKUP($C91,PMGR!$AQ$2:$BC$250,175,0)</f>
        <v>6690</v>
      </c>
      <c r="CJ91" s="106">
        <f>+HLOOKUP($C91,PMGR!$AQ$2:$BC$250,176,0)</f>
        <v>3002.4</v>
      </c>
      <c r="CK91" s="106">
        <f>+HLOOKUP($C91,PMGR!$AQ$2:$BC$250,178,0)</f>
        <v>132649.95000000001</v>
      </c>
      <c r="CL91" s="106">
        <f>+HLOOKUP($C91,PMGR!$AQ$2:$BC$250,179,0)</f>
        <v>31550.473999999995</v>
      </c>
      <c r="CM91" s="106">
        <f>+HLOOKUP($C91,PMGR!$AQ$2:$BC$250,180,0)</f>
        <v>0</v>
      </c>
      <c r="CN91" s="106">
        <f>+HLOOKUP($C91,PMGR!$AQ$2:$BC$250,182,0)</f>
        <v>0</v>
      </c>
      <c r="CO91" s="106">
        <f>+HLOOKUP($C91,PMGR!$AQ$2:$BC$250,183,0)</f>
        <v>13591.8</v>
      </c>
      <c r="CP91" s="106">
        <f>+HLOOKUP($C91,PMGR!$AQ$2:$BC$250,184,0)</f>
        <v>0</v>
      </c>
      <c r="CQ91" s="106">
        <f>+HLOOKUP($C91,PMGR!$AQ$2:$BC$250,185,0)</f>
        <v>0</v>
      </c>
      <c r="CR91" s="106">
        <f>+HLOOKUP($C91,PMGR!$AQ$2:$BC$250,187,0)</f>
        <v>3749.9999999999936</v>
      </c>
      <c r="CS91" s="106">
        <f>+HLOOKUP($C91,PMGR!$AQ$2:$BC$250,188,0)</f>
        <v>4770</v>
      </c>
      <c r="CT91" s="106">
        <f>+HLOOKUP($C91,PMGR!$AQ$2:$BC$250,189,0)</f>
        <v>7500</v>
      </c>
      <c r="CU91" s="106">
        <f>+HLOOKUP($C91,PMGR!$AQ$2:$BC$250,190,0)</f>
        <v>1499.9993999999999</v>
      </c>
      <c r="CV91" s="106">
        <f>+HLOOKUP($C91,PMGR!$AQ$2:$BC$250,191,0)</f>
        <v>0</v>
      </c>
      <c r="CW91" s="106">
        <f>+HLOOKUP($C91,PMGR!$AQ$2:$BC$250,193,0)</f>
        <v>15889.8</v>
      </c>
      <c r="CX91" s="106">
        <f>+HLOOKUP($C91,PMGR!$AQ$2:$BC$250,194,0)</f>
        <v>47.699999999999996</v>
      </c>
      <c r="CY91" s="106">
        <f>+HLOOKUP($C91,PMGR!$AQ$2:$BC$250,195,0)</f>
        <v>0</v>
      </c>
      <c r="CZ91" s="106">
        <f>+HLOOKUP($C91,PMGR!$AQ$2:$BC$250,196,0)</f>
        <v>0</v>
      </c>
      <c r="DA91" s="106">
        <f>+HLOOKUP($C91,PMGR!$AQ$2:$BC$250,197,0)</f>
        <v>7085.0599999999995</v>
      </c>
      <c r="DB91" s="106">
        <f>+HLOOKUP($C91,PMGR!$AQ$2:$BC$250,198,0)</f>
        <v>16818.990000000002</v>
      </c>
      <c r="DC91" s="106">
        <f>+HLOOKUP($C91,PMGR!$AQ$2:$BC$250,199,0)</f>
        <v>16691.234</v>
      </c>
      <c r="DD91" s="106">
        <f>+HLOOKUP($C91,PMGR!$AQ$2:$BC$250,200,0)</f>
        <v>10150</v>
      </c>
      <c r="DE91" s="106">
        <f>+HLOOKUP($C91,PMGR!$AQ$2:$BC$250,201,0)</f>
        <v>0</v>
      </c>
      <c r="DF91" s="106">
        <f>+HLOOKUP($C91,PMGR!$AQ$2:$BC$250,202,0)</f>
        <v>-5.6744000000000003</v>
      </c>
      <c r="DG91" s="106">
        <f>+HLOOKUP($C91,PMGR!$AQ$2:$BC$250,203,0)</f>
        <v>0.2</v>
      </c>
      <c r="DH91" s="106">
        <f>+HLOOKUP($C91,PMGR!$AQ$2:$BC$250,205,0)</f>
        <v>0</v>
      </c>
      <c r="DI91" s="106">
        <f>+HLOOKUP($C91,PMGR!$AQ$2:$BC$250,206,0)</f>
        <v>9953.4599999999991</v>
      </c>
      <c r="DJ91" s="106">
        <f>+HLOOKUP($C91,PMGR!$AQ$2:$BC$250,207,0)</f>
        <v>60315.709999400002</v>
      </c>
      <c r="DK91" s="106">
        <f>+HLOOKUP($C91,PMGR!$AQ$2:$BC$250,209,0)</f>
        <v>0</v>
      </c>
      <c r="DL91" s="106">
        <f>+HLOOKUP($C91,PMGR!$AQ$2:$BC$250,210,0)</f>
        <v>186159</v>
      </c>
      <c r="DM91" s="106">
        <f>+HLOOKUP($C91,PMGR!$AQ$2:$BC$250,211,0)</f>
        <v>0</v>
      </c>
      <c r="DN91" s="106">
        <f>+HLOOKUP($C91,PMGR!$AQ$2:$BC$250,212,0)</f>
        <v>0</v>
      </c>
      <c r="DO91" s="106">
        <f>+HLOOKUP($C91,PMGR!$AQ$2:$BC$250,214,0)</f>
        <v>0</v>
      </c>
      <c r="DP91" s="106">
        <f>+HLOOKUP($C91,PMGR!$AQ$2:$BC$250,215,0)</f>
        <v>850</v>
      </c>
      <c r="DQ91" s="106">
        <f>+HLOOKUP($C91,PMGR!$AQ$2:$BC$250,219,0)</f>
        <v>0</v>
      </c>
      <c r="DR91" s="106">
        <f>+HLOOKUP($C91,PMGR!$AQ$2:$BC$250,220,0)</f>
        <v>0</v>
      </c>
      <c r="DS91" s="106">
        <f>+HLOOKUP($C91,PMGR!$AQ$2:$BC$250,221,0)</f>
        <v>0</v>
      </c>
      <c r="DT91" s="106">
        <f>+HLOOKUP($C91,PMGR!$AQ$2:$BC$250,223,0)</f>
        <v>31053.232799999994</v>
      </c>
      <c r="DU91" s="106">
        <f>+HLOOKUP($C91,PMGR!$AQ$2:$BC$250,224,0)</f>
        <v>0</v>
      </c>
      <c r="DV91" s="106">
        <f>+HLOOKUP($C91,PMGR!$AQ$2:$BC$250,225,0)</f>
        <v>0</v>
      </c>
      <c r="DW91" s="106">
        <f>+HLOOKUP($C91,PMGR!$AQ$2:$BC$250,227,0)</f>
        <v>0</v>
      </c>
      <c r="DX91" s="106">
        <f>+HLOOKUP($C91,PMGR!$AQ$2:$BC$250,228,0)</f>
        <v>4483.62</v>
      </c>
      <c r="DY91" s="106">
        <f>+HLOOKUP($C91,PMGR!$AQ$2:$BC$250,236,0)</f>
        <v>308119</v>
      </c>
      <c r="DZ91" s="106">
        <f>+HLOOKUP($C91,PMGR!$AQ$2:$BC$250,237,0)</f>
        <v>40225.3995</v>
      </c>
      <c r="EA91" s="106">
        <f>+HLOOKUP($C91,PMGR!$AQ$2:$BC$250,238,0)</f>
        <v>62634.6</v>
      </c>
      <c r="EB91" s="106">
        <f>+HLOOKUP($C91,PMGR!$AQ$2:$BC$250,240,0)</f>
        <v>681753.02281250001</v>
      </c>
    </row>
    <row r="92" spans="1:132">
      <c r="A92" t="s">
        <v>269</v>
      </c>
      <c r="B92" t="s">
        <v>217</v>
      </c>
      <c r="C92" s="117">
        <v>45444</v>
      </c>
      <c r="D92" s="106">
        <f t="shared" si="2"/>
        <v>16141865.647615658</v>
      </c>
      <c r="E92" s="106">
        <f>+HLOOKUP(C92,PMGR!$AQ$2:$BC$250,28,0)+HLOOKUP(C92,PMGR!$AQ$2:$BC$250,43,0)+HLOOKUP(C92,PMGR!$AQ$2:$BC$250,44,0)+HLOOKUP(C92,PMGR!$AQ$2:$BC$250,45,0)+HLOOKUP(C92,PMGR!$AQ$2:$BC$250,54,0)+HLOOKUP(C92,PMGR!$AQ$2:$BC$250,59,0)</f>
        <v>16141865.647615658</v>
      </c>
      <c r="F92" s="106">
        <f>+HLOOKUP(C92,PMGR!$AQ$2:$BC$250,37,0)+HLOOKUP(C92,PMGR!$AQ$2:$BC$250,55,0)</f>
        <v>10353131.327999998</v>
      </c>
      <c r="G92" s="106">
        <f>+HLOOKUP($C92,PMGR!$AQ$2:$BC$250,76,0)</f>
        <v>0</v>
      </c>
      <c r="H92" s="106">
        <f>+HLOOKUP($C92,PMGR!$AQ$2:$BC$250,77,0)</f>
        <v>0</v>
      </c>
      <c r="I92" s="106">
        <f>+HLOOKUP($C92,PMGR!$AQ$2:$BC$250,78,0)</f>
        <v>0</v>
      </c>
      <c r="J92" s="106">
        <f>+HLOOKUP($C92,PMGR!$AQ$2:$BC$250,79,0)</f>
        <v>0</v>
      </c>
      <c r="K92" s="106">
        <f>+HLOOKUP($C92,PMGR!$AQ$2:$BC$250,80,0)</f>
        <v>0</v>
      </c>
      <c r="L92" s="106">
        <f>+HLOOKUP($C92,PMGR!$AQ$2:$BC$250,81,0)</f>
        <v>0</v>
      </c>
      <c r="M92" s="106">
        <f>+HLOOKUP($C92,PMGR!$AQ$2:$BC$250,82,0)</f>
        <v>0</v>
      </c>
      <c r="N92" s="106">
        <f>+HLOOKUP($C92,PMGR!$AQ$2:$BC$250,83,0)</f>
        <v>0</v>
      </c>
      <c r="O92" s="106">
        <f>+HLOOKUP($C92,PMGR!$AQ$2:$BC$250,84,0)</f>
        <v>0</v>
      </c>
      <c r="P92" s="106">
        <f>+HLOOKUP($C92,PMGR!$AQ$2:$BC$250,85,0)</f>
        <v>0</v>
      </c>
      <c r="Q92" s="106">
        <f>+HLOOKUP($C92,PMGR!$AQ$2:$BC$250,87,0)</f>
        <v>133764.18</v>
      </c>
      <c r="R92" s="106">
        <f>+HLOOKUP($C92,PMGR!$AQ$2:$BC$250,90,0)</f>
        <v>0</v>
      </c>
      <c r="S92" s="106">
        <f>+HLOOKUP($C92,PMGR!$AQ$2:$BC$250,91,0)</f>
        <v>3500</v>
      </c>
      <c r="T92" s="106">
        <f>+HLOOKUP($C92,PMGR!$AQ$2:$BC$250,92,0)</f>
        <v>0</v>
      </c>
      <c r="U92" s="106">
        <f>+HLOOKUP($C92,PMGR!$AQ$2:$BC$250,93,0)</f>
        <v>0</v>
      </c>
      <c r="V92" s="106">
        <f>+HLOOKUP($C92,PMGR!$AQ$2:$BC$250,94,0)</f>
        <v>0</v>
      </c>
      <c r="W92" s="106">
        <f>+HLOOKUP($C92,PMGR!$AQ$2:$BC$250,95,0)</f>
        <v>0</v>
      </c>
      <c r="X92" s="106">
        <f>+HLOOKUP($C92,PMGR!$AQ$2:$BC$250,96,0)</f>
        <v>0</v>
      </c>
      <c r="Y92" s="106">
        <f>+HLOOKUP($C92,PMGR!$AQ$2:$BC$250,97,0)</f>
        <v>0</v>
      </c>
      <c r="Z92" s="106">
        <f>+HLOOKUP($C92,PMGR!$AQ$2:$BC$250,98,0)</f>
        <v>0</v>
      </c>
      <c r="AA92" s="106">
        <f>+HLOOKUP($C92,PMGR!$AQ$2:$BC$250,99,0)</f>
        <v>0</v>
      </c>
      <c r="AB92" s="106">
        <f>+HLOOKUP($C92,PMGR!$AQ$2:$BC$250,100,0)</f>
        <v>0</v>
      </c>
      <c r="AC92" s="106">
        <f>+HLOOKUP($C92,PMGR!$AQ$2:$BC$250,101,0)</f>
        <v>0</v>
      </c>
      <c r="AD92" s="106">
        <f>+HLOOKUP($C92,PMGR!$AQ$2:$BC$250,104,0)</f>
        <v>1270</v>
      </c>
      <c r="AE92" s="106">
        <f>+HLOOKUP($C92,PMGR!$AQ$2:$BC$250,105,0)</f>
        <v>30000</v>
      </c>
      <c r="AF92" s="106">
        <f>+HLOOKUP($C92,PMGR!$AQ$2:$BC$250,106,0)</f>
        <v>0</v>
      </c>
      <c r="AG92" s="106">
        <f>+HLOOKUP($C92,PMGR!$AQ$2:$BC$250,107,0)</f>
        <v>0</v>
      </c>
      <c r="AH92" s="106">
        <f>+HLOOKUP($C92,PMGR!$AQ$2:$BC$250,108,0)</f>
        <v>17143</v>
      </c>
      <c r="AI92" s="106">
        <f>+HLOOKUP($C92,PMGR!$AQ$2:$BC$250,109,0)</f>
        <v>0</v>
      </c>
      <c r="AJ92" s="106">
        <f>+HLOOKUP($C92,PMGR!$AQ$2:$BC$250,110,0)</f>
        <v>0</v>
      </c>
      <c r="AK92" s="106">
        <f>+HLOOKUP($C92,PMGR!$AQ$2:$BC$250,111,0)</f>
        <v>5420</v>
      </c>
      <c r="AL92" s="106">
        <f>+HLOOKUP($C92,PMGR!$AQ$2:$BC$250,112,0)</f>
        <v>0</v>
      </c>
      <c r="AM92" s="106">
        <f>+HLOOKUP($C92,PMGR!$AQ$2:$BC$250,116,0)</f>
        <v>644829.62000000011</v>
      </c>
      <c r="AN92" s="106">
        <f>+HLOOKUP($C92,PMGR!$AQ$2:$BC$250,117,0)</f>
        <v>90463.2</v>
      </c>
      <c r="AO92" s="106">
        <f>+HLOOKUP($C92,PMGR!$AQ$2:$BC$250,118,0)</f>
        <v>5700</v>
      </c>
      <c r="AP92" s="106">
        <f>+HLOOKUP($C92,PMGR!$AQ$2:$BC$250,119,0)</f>
        <v>178571.2</v>
      </c>
      <c r="AQ92" s="106">
        <f>+HLOOKUP($C92,PMGR!$AQ$2:$BC$250,120,0)</f>
        <v>38963</v>
      </c>
      <c r="AR92" s="106">
        <f>+HLOOKUP($C92,PMGR!$AQ$2:$BC$250,121,0)</f>
        <v>32157</v>
      </c>
      <c r="AS92" s="106">
        <f>+HLOOKUP($C92,PMGR!$AQ$2:$BC$250,122,0)</f>
        <v>295221.2</v>
      </c>
      <c r="AT92" s="106">
        <f>+HLOOKUP($C92,PMGR!$AQ$2:$BC$250,123,0)</f>
        <v>105293.51999999999</v>
      </c>
      <c r="AU92" s="106">
        <f>+HLOOKUP($C92,PMGR!$AQ$2:$BC$250,124,0)</f>
        <v>17244.12</v>
      </c>
      <c r="AV92" s="106">
        <f>+HLOOKUP($C92,PMGR!$AQ$2:$BC$250,125,0)</f>
        <v>87930</v>
      </c>
      <c r="AW92" s="106">
        <f>+HLOOKUP($C92,PMGR!$AQ$2:$BC$250,126,0)</f>
        <v>41810.705769230772</v>
      </c>
      <c r="AX92" s="106">
        <f>+HLOOKUP($C92,PMGR!$AQ$2:$BC$250,127,0)</f>
        <v>56845.311666666668</v>
      </c>
      <c r="AY92" s="106">
        <f>+HLOOKUP($C92,PMGR!$AQ$2:$BC$250,129,0)</f>
        <v>0</v>
      </c>
      <c r="AZ92" s="106">
        <f>+HLOOKUP($C92,PMGR!$AQ$2:$BC$250,130,0)</f>
        <v>0</v>
      </c>
      <c r="BA92" s="106">
        <f>+HLOOKUP($C92,PMGR!$AQ$2:$BC$250,131,0)</f>
        <v>98175</v>
      </c>
      <c r="BB92" s="106">
        <f>+HLOOKUP($C92,PMGR!$AQ$2:$BC$250,133,0)</f>
        <v>0</v>
      </c>
      <c r="BC92" s="106">
        <f>+HLOOKUP($C92,PMGR!$AQ$2:$BC$250,134,0)</f>
        <v>122222</v>
      </c>
      <c r="BD92" s="106">
        <f>+HLOOKUP($C92,PMGR!$AQ$2:$BC$250,135,0)</f>
        <v>0</v>
      </c>
      <c r="BE92" s="106">
        <f>+HLOOKUP($C92,PMGR!$AQ$2:$BC$250,136,0)</f>
        <v>0</v>
      </c>
      <c r="BF92" s="106">
        <f>+HLOOKUP($C92,PMGR!$AQ$2:$BC$250,138,0)</f>
        <v>5247.3199999999988</v>
      </c>
      <c r="BG92" s="106">
        <f>+HLOOKUP($C92,PMGR!$AQ$2:$BC$250,139,0)</f>
        <v>34730.94</v>
      </c>
      <c r="BH92" s="106">
        <f>+HLOOKUP($C92,PMGR!$AQ$2:$BC$250,140,0)</f>
        <v>49652</v>
      </c>
      <c r="BI92" s="106">
        <f>+HLOOKUP($C92,PMGR!$AQ$2:$BC$250,141,0)</f>
        <v>14164.65</v>
      </c>
      <c r="BJ92" s="106">
        <f>+HLOOKUP($C92,PMGR!$AQ$2:$BC$250,142,0)</f>
        <v>0</v>
      </c>
      <c r="BK92" s="106">
        <f>+HLOOKUP($C92,PMGR!$AQ$2:$BC$250,143,0)</f>
        <v>25509.75</v>
      </c>
      <c r="BL92" s="106">
        <f>+HLOOKUP($C92,PMGR!$AQ$2:$BC$250,144,0)</f>
        <v>51960</v>
      </c>
      <c r="BM92" s="106">
        <f>+HLOOKUP($C92,PMGR!$AQ$2:$BC$250,146,0)</f>
        <v>0</v>
      </c>
      <c r="BN92" s="106">
        <f>+HLOOKUP($C92,PMGR!$AQ$2:$BC$250,147,0)</f>
        <v>20336</v>
      </c>
      <c r="BO92" s="106">
        <f>+HLOOKUP($C92,PMGR!$AQ$2:$BC$250,148,0)</f>
        <v>0</v>
      </c>
      <c r="BP92" s="106">
        <f>+HLOOKUP($C92,PMGR!$AQ$2:$BC$250,150,0)</f>
        <v>52527</v>
      </c>
      <c r="BQ92" s="106">
        <f>+HLOOKUP($C92,PMGR!$AQ$2:$BC$250,151,0)</f>
        <v>9450</v>
      </c>
      <c r="BR92" s="106">
        <f>+HLOOKUP($C92,PMGR!$AQ$2:$BC$250,152,0)</f>
        <v>19200</v>
      </c>
      <c r="BS92" s="106">
        <f>+HLOOKUP($C92,PMGR!$AQ$2:$BC$250,153,0)</f>
        <v>1500</v>
      </c>
      <c r="BT92" s="106">
        <f>+HLOOKUP($C92,PMGR!$AQ$2:$BC$250,157,0)</f>
        <v>0</v>
      </c>
      <c r="BU92" s="106">
        <f>+HLOOKUP($C92,PMGR!$AQ$2:$BC$250,158,0)</f>
        <v>0</v>
      </c>
      <c r="BV92" s="106">
        <f>+HLOOKUP($C92,PMGR!$AQ$2:$BC$250,159,0)</f>
        <v>21805.25</v>
      </c>
      <c r="BW92" s="106">
        <f>+HLOOKUP($C92,PMGR!$AQ$2:$BC$250,160,0)</f>
        <v>30987</v>
      </c>
      <c r="BX92" s="106">
        <f>+HLOOKUP($C92,PMGR!$AQ$2:$BC$250,161,0)</f>
        <v>32018.799999999999</v>
      </c>
      <c r="BY92" s="106">
        <f>+HLOOKUP($C92,PMGR!$AQ$2:$BC$250,164,0)</f>
        <v>6495.8519999999999</v>
      </c>
      <c r="BZ92" s="106">
        <f>+HLOOKUP($C92,PMGR!$AQ$2:$BC$250,165,0)</f>
        <v>15054.72</v>
      </c>
      <c r="CA92" s="106">
        <f>+HLOOKUP($C92,PMGR!$AQ$2:$BC$250,166,0)</f>
        <v>0</v>
      </c>
      <c r="CB92" s="106">
        <f>+HLOOKUP($C92,PMGR!$AQ$2:$BC$250,167,0)</f>
        <v>46952</v>
      </c>
      <c r="CC92" s="106">
        <f>+HLOOKUP($C92,PMGR!$AQ$2:$BC$250,168,0)</f>
        <v>0</v>
      </c>
      <c r="CD92" s="106">
        <f>+HLOOKUP($C92,PMGR!$AQ$2:$BC$250,169,0)</f>
        <v>0</v>
      </c>
      <c r="CE92" s="106">
        <f>+HLOOKUP($C92,PMGR!$AQ$2:$BC$250,170,0)</f>
        <v>0</v>
      </c>
      <c r="CF92" s="106">
        <f>+HLOOKUP($C92,PMGR!$AQ$2:$BC$250,172,0)</f>
        <v>32700</v>
      </c>
      <c r="CG92" s="106">
        <f>+HLOOKUP($C92,PMGR!$AQ$2:$BC$250,173,0)</f>
        <v>0</v>
      </c>
      <c r="CH92" s="106">
        <f>+HLOOKUP($C92,PMGR!$AQ$2:$BC$250,174,0)</f>
        <v>53310</v>
      </c>
      <c r="CI92" s="106">
        <f>+HLOOKUP($C92,PMGR!$AQ$2:$BC$250,175,0)</f>
        <v>6690</v>
      </c>
      <c r="CJ92" s="106">
        <f>+HLOOKUP($C92,PMGR!$AQ$2:$BC$250,176,0)</f>
        <v>3002.4</v>
      </c>
      <c r="CK92" s="106">
        <f>+HLOOKUP($C92,PMGR!$AQ$2:$BC$250,178,0)</f>
        <v>88123.199999999997</v>
      </c>
      <c r="CL92" s="106">
        <f>+HLOOKUP($C92,PMGR!$AQ$2:$BC$250,179,0)</f>
        <v>22749.599999999999</v>
      </c>
      <c r="CM92" s="106">
        <f>+HLOOKUP($C92,PMGR!$AQ$2:$BC$250,180,0)</f>
        <v>0</v>
      </c>
      <c r="CN92" s="106">
        <f>+HLOOKUP($C92,PMGR!$AQ$2:$BC$250,182,0)</f>
        <v>0</v>
      </c>
      <c r="CO92" s="106">
        <f>+HLOOKUP($C92,PMGR!$AQ$2:$BC$250,183,0)</f>
        <v>48515.4</v>
      </c>
      <c r="CP92" s="106">
        <f>+HLOOKUP($C92,PMGR!$AQ$2:$BC$250,184,0)</f>
        <v>0</v>
      </c>
      <c r="CQ92" s="106">
        <f>+HLOOKUP($C92,PMGR!$AQ$2:$BC$250,185,0)</f>
        <v>0</v>
      </c>
      <c r="CR92" s="106">
        <f>+HLOOKUP($C92,PMGR!$AQ$2:$BC$250,187,0)</f>
        <v>3749.9999999999936</v>
      </c>
      <c r="CS92" s="106">
        <f>+HLOOKUP($C92,PMGR!$AQ$2:$BC$250,188,0)</f>
        <v>4770</v>
      </c>
      <c r="CT92" s="106">
        <f>+HLOOKUP($C92,PMGR!$AQ$2:$BC$250,189,0)</f>
        <v>0</v>
      </c>
      <c r="CU92" s="106">
        <f>+HLOOKUP($C92,PMGR!$AQ$2:$BC$250,190,0)</f>
        <v>1499.9993999999999</v>
      </c>
      <c r="CV92" s="106">
        <f>+HLOOKUP($C92,PMGR!$AQ$2:$BC$250,191,0)</f>
        <v>0</v>
      </c>
      <c r="CW92" s="106">
        <f>+HLOOKUP($C92,PMGR!$AQ$2:$BC$250,193,0)</f>
        <v>15889.8</v>
      </c>
      <c r="CX92" s="106">
        <f>+HLOOKUP($C92,PMGR!$AQ$2:$BC$250,194,0)</f>
        <v>47.699999999999996</v>
      </c>
      <c r="CY92" s="106">
        <f>+HLOOKUP($C92,PMGR!$AQ$2:$BC$250,195,0)</f>
        <v>0</v>
      </c>
      <c r="CZ92" s="106">
        <f>+HLOOKUP($C92,PMGR!$AQ$2:$BC$250,196,0)</f>
        <v>0</v>
      </c>
      <c r="DA92" s="106">
        <f>+HLOOKUP($C92,PMGR!$AQ$2:$BC$250,197,0)</f>
        <v>5597.52</v>
      </c>
      <c r="DB92" s="106">
        <f>+HLOOKUP($C92,PMGR!$AQ$2:$BC$250,198,0)</f>
        <v>8480.17</v>
      </c>
      <c r="DC92" s="106">
        <f>+HLOOKUP($C92,PMGR!$AQ$2:$BC$250,199,0)</f>
        <v>4608.6880000000001</v>
      </c>
      <c r="DD92" s="106">
        <f>+HLOOKUP($C92,PMGR!$AQ$2:$BC$250,200,0)</f>
        <v>21085</v>
      </c>
      <c r="DE92" s="106">
        <f>+HLOOKUP($C92,PMGR!$AQ$2:$BC$250,201,0)</f>
        <v>0</v>
      </c>
      <c r="DF92" s="106">
        <f>+HLOOKUP($C92,PMGR!$AQ$2:$BC$250,202,0)</f>
        <v>-1.3692</v>
      </c>
      <c r="DG92" s="106">
        <f>+HLOOKUP($C92,PMGR!$AQ$2:$BC$250,203,0)</f>
        <v>32.278600000000004</v>
      </c>
      <c r="DH92" s="106">
        <f>+HLOOKUP($C92,PMGR!$AQ$2:$BC$250,205,0)</f>
        <v>0</v>
      </c>
      <c r="DI92" s="106">
        <f>+HLOOKUP($C92,PMGR!$AQ$2:$BC$250,206,0)</f>
        <v>9953.4599999999991</v>
      </c>
      <c r="DJ92" s="106">
        <f>+HLOOKUP($C92,PMGR!$AQ$2:$BC$250,207,0)</f>
        <v>63796.803</v>
      </c>
      <c r="DK92" s="106">
        <f>+HLOOKUP($C92,PMGR!$AQ$2:$BC$250,209,0)</f>
        <v>0</v>
      </c>
      <c r="DL92" s="106">
        <f>+HLOOKUP($C92,PMGR!$AQ$2:$BC$250,210,0)</f>
        <v>186159.33</v>
      </c>
      <c r="DM92" s="106">
        <f>+HLOOKUP($C92,PMGR!$AQ$2:$BC$250,211,0)</f>
        <v>0</v>
      </c>
      <c r="DN92" s="106">
        <f>+HLOOKUP($C92,PMGR!$AQ$2:$BC$250,212,0)</f>
        <v>0</v>
      </c>
      <c r="DO92" s="106">
        <f>+HLOOKUP($C92,PMGR!$AQ$2:$BC$250,214,0)</f>
        <v>0</v>
      </c>
      <c r="DP92" s="106">
        <f>+HLOOKUP($C92,PMGR!$AQ$2:$BC$250,215,0)</f>
        <v>750</v>
      </c>
      <c r="DQ92" s="106">
        <f>+HLOOKUP($C92,PMGR!$AQ$2:$BC$250,219,0)</f>
        <v>0</v>
      </c>
      <c r="DR92" s="106">
        <f>+HLOOKUP($C92,PMGR!$AQ$2:$BC$250,220,0)</f>
        <v>0</v>
      </c>
      <c r="DS92" s="106">
        <f>+HLOOKUP($C92,PMGR!$AQ$2:$BC$250,221,0)</f>
        <v>0</v>
      </c>
      <c r="DT92" s="106">
        <f>+HLOOKUP($C92,PMGR!$AQ$2:$BC$250,223,0)</f>
        <v>17350.9794</v>
      </c>
      <c r="DU92" s="106">
        <f>+HLOOKUP($C92,PMGR!$AQ$2:$BC$250,224,0)</f>
        <v>0</v>
      </c>
      <c r="DV92" s="106">
        <f>+HLOOKUP($C92,PMGR!$AQ$2:$BC$250,225,0)</f>
        <v>0</v>
      </c>
      <c r="DW92" s="106">
        <f>+HLOOKUP($C92,PMGR!$AQ$2:$BC$250,227,0)</f>
        <v>0</v>
      </c>
      <c r="DX92" s="106">
        <f>+HLOOKUP($C92,PMGR!$AQ$2:$BC$250,228,0)</f>
        <v>5153.9399999999996</v>
      </c>
      <c r="DY92" s="106">
        <f>+HLOOKUP($C92,PMGR!$AQ$2:$BC$250,236,0)</f>
        <v>187022.4</v>
      </c>
      <c r="DZ92" s="106">
        <f>+HLOOKUP($C92,PMGR!$AQ$2:$BC$250,237,0)</f>
        <v>36882.970740000004</v>
      </c>
      <c r="EA92" s="106">
        <f>+HLOOKUP($C92,PMGR!$AQ$2:$BC$250,238,0)</f>
        <v>65127.6</v>
      </c>
      <c r="EB92" s="106">
        <f>+HLOOKUP($C92,PMGR!$AQ$2:$BC$250,240,0)</f>
        <v>681753.02281250001</v>
      </c>
    </row>
    <row r="93" spans="1:132">
      <c r="A93" t="s">
        <v>269</v>
      </c>
      <c r="B93" t="s">
        <v>217</v>
      </c>
      <c r="C93" s="117">
        <v>45413</v>
      </c>
      <c r="D93" s="106">
        <f t="shared" si="2"/>
        <v>12639098.442186577</v>
      </c>
      <c r="E93" s="106">
        <f>+HLOOKUP(C93,PMGR!$AQ$2:$BC$250,28,0)+HLOOKUP(C93,PMGR!$AQ$2:$BC$250,43,0)+HLOOKUP(C93,PMGR!$AQ$2:$BC$250,44,0)+HLOOKUP(C93,PMGR!$AQ$2:$BC$250,45,0)+HLOOKUP(C93,PMGR!$AQ$2:$BC$250,54,0)+HLOOKUP(C93,PMGR!$AQ$2:$BC$250,59,0)</f>
        <v>12639098.442186577</v>
      </c>
      <c r="F93" s="106">
        <f>+HLOOKUP(C93,PMGR!$AQ$2:$BC$250,37,0)+HLOOKUP(C93,PMGR!$AQ$2:$BC$250,55,0)</f>
        <v>8758710.0799999945</v>
      </c>
      <c r="G93" s="106">
        <f>+HLOOKUP($C93,PMGR!$AQ$2:$BC$250,76,0)</f>
        <v>0</v>
      </c>
      <c r="H93" s="106">
        <f>+HLOOKUP($C93,PMGR!$AQ$2:$BC$250,77,0)</f>
        <v>0</v>
      </c>
      <c r="I93" s="106">
        <f>+HLOOKUP($C93,PMGR!$AQ$2:$BC$250,78,0)</f>
        <v>0</v>
      </c>
      <c r="J93" s="106">
        <f>+HLOOKUP($C93,PMGR!$AQ$2:$BC$250,79,0)</f>
        <v>0</v>
      </c>
      <c r="K93" s="106">
        <f>+HLOOKUP($C93,PMGR!$AQ$2:$BC$250,80,0)</f>
        <v>0</v>
      </c>
      <c r="L93" s="106">
        <f>+HLOOKUP($C93,PMGR!$AQ$2:$BC$250,81,0)</f>
        <v>0</v>
      </c>
      <c r="M93" s="106">
        <f>+HLOOKUP($C93,PMGR!$AQ$2:$BC$250,82,0)</f>
        <v>0</v>
      </c>
      <c r="N93" s="106">
        <f>+HLOOKUP($C93,PMGR!$AQ$2:$BC$250,83,0)</f>
        <v>0</v>
      </c>
      <c r="O93" s="106">
        <f>+HLOOKUP($C93,PMGR!$AQ$2:$BC$250,84,0)</f>
        <v>0</v>
      </c>
      <c r="P93" s="106">
        <f>+HLOOKUP($C93,PMGR!$AQ$2:$BC$250,85,0)</f>
        <v>0</v>
      </c>
      <c r="Q93" s="106">
        <f>+HLOOKUP($C93,PMGR!$AQ$2:$BC$250,87,0)</f>
        <v>330582.12</v>
      </c>
      <c r="R93" s="106">
        <f>+HLOOKUP($C93,PMGR!$AQ$2:$BC$250,90,0)</f>
        <v>0</v>
      </c>
      <c r="S93" s="106">
        <f>+HLOOKUP($C93,PMGR!$AQ$2:$BC$250,91,0)</f>
        <v>0</v>
      </c>
      <c r="T93" s="106">
        <f>+HLOOKUP($C93,PMGR!$AQ$2:$BC$250,92,0)</f>
        <v>0</v>
      </c>
      <c r="U93" s="106">
        <f>+HLOOKUP($C93,PMGR!$AQ$2:$BC$250,93,0)</f>
        <v>0</v>
      </c>
      <c r="V93" s="106">
        <f>+HLOOKUP($C93,PMGR!$AQ$2:$BC$250,94,0)</f>
        <v>0</v>
      </c>
      <c r="W93" s="106">
        <f>+HLOOKUP($C93,PMGR!$AQ$2:$BC$250,95,0)</f>
        <v>0</v>
      </c>
      <c r="X93" s="106">
        <f>+HLOOKUP($C93,PMGR!$AQ$2:$BC$250,96,0)</f>
        <v>0</v>
      </c>
      <c r="Y93" s="106">
        <f>+HLOOKUP($C93,PMGR!$AQ$2:$BC$250,97,0)</f>
        <v>0</v>
      </c>
      <c r="Z93" s="106">
        <f>+HLOOKUP($C93,PMGR!$AQ$2:$BC$250,98,0)</f>
        <v>0</v>
      </c>
      <c r="AA93" s="106">
        <f>+HLOOKUP($C93,PMGR!$AQ$2:$BC$250,99,0)</f>
        <v>0</v>
      </c>
      <c r="AB93" s="106">
        <f>+HLOOKUP($C93,PMGR!$AQ$2:$BC$250,100,0)</f>
        <v>0</v>
      </c>
      <c r="AC93" s="106">
        <f>+HLOOKUP($C93,PMGR!$AQ$2:$BC$250,101,0)</f>
        <v>0</v>
      </c>
      <c r="AD93" s="106">
        <f>+HLOOKUP($C93,PMGR!$AQ$2:$BC$250,104,0)</f>
        <v>0</v>
      </c>
      <c r="AE93" s="106">
        <f>+HLOOKUP($C93,PMGR!$AQ$2:$BC$250,105,0)</f>
        <v>63500</v>
      </c>
      <c r="AF93" s="106">
        <f>+HLOOKUP($C93,PMGR!$AQ$2:$BC$250,106,0)</f>
        <v>0</v>
      </c>
      <c r="AG93" s="106">
        <f>+HLOOKUP($C93,PMGR!$AQ$2:$BC$250,107,0)</f>
        <v>45676.799999999996</v>
      </c>
      <c r="AH93" s="106">
        <f>+HLOOKUP($C93,PMGR!$AQ$2:$BC$250,108,0)</f>
        <v>0</v>
      </c>
      <c r="AI93" s="106">
        <f>+HLOOKUP($C93,PMGR!$AQ$2:$BC$250,109,0)</f>
        <v>0</v>
      </c>
      <c r="AJ93" s="106">
        <f>+HLOOKUP($C93,PMGR!$AQ$2:$BC$250,110,0)</f>
        <v>0</v>
      </c>
      <c r="AK93" s="106">
        <f>+HLOOKUP($C93,PMGR!$AQ$2:$BC$250,111,0)</f>
        <v>5420</v>
      </c>
      <c r="AL93" s="106">
        <f>+HLOOKUP($C93,PMGR!$AQ$2:$BC$250,112,0)</f>
        <v>0</v>
      </c>
      <c r="AM93" s="106">
        <f>+HLOOKUP($C93,PMGR!$AQ$2:$BC$250,116,0)</f>
        <v>577746.41999999993</v>
      </c>
      <c r="AN93" s="106">
        <f>+HLOOKUP($C93,PMGR!$AQ$2:$BC$250,117,0)</f>
        <v>88863.6</v>
      </c>
      <c r="AO93" s="106">
        <f>+HLOOKUP($C93,PMGR!$AQ$2:$BC$250,118,0)</f>
        <v>6500</v>
      </c>
      <c r="AP93" s="106">
        <f>+HLOOKUP($C93,PMGR!$AQ$2:$BC$250,119,0)</f>
        <v>170312</v>
      </c>
      <c r="AQ93" s="106">
        <f>+HLOOKUP($C93,PMGR!$AQ$2:$BC$250,120,0)</f>
        <v>40270</v>
      </c>
      <c r="AR93" s="106">
        <f>+HLOOKUP($C93,PMGR!$AQ$2:$BC$250,121,0)</f>
        <v>31441</v>
      </c>
      <c r="AS93" s="106">
        <f>+HLOOKUP($C93,PMGR!$AQ$2:$BC$250,122,0)</f>
        <v>302516.2</v>
      </c>
      <c r="AT93" s="106">
        <f>+HLOOKUP($C93,PMGR!$AQ$2:$BC$250,123,0)</f>
        <v>105293.51999999999</v>
      </c>
      <c r="AU93" s="106">
        <f>+HLOOKUP($C93,PMGR!$AQ$2:$BC$250,124,0)</f>
        <v>17244.12</v>
      </c>
      <c r="AV93" s="106">
        <f>+HLOOKUP($C93,PMGR!$AQ$2:$BC$250,125,0)</f>
        <v>116730</v>
      </c>
      <c r="AW93" s="106">
        <f>+HLOOKUP($C93,PMGR!$AQ$2:$BC$250,126,0)</f>
        <v>41810.705769230772</v>
      </c>
      <c r="AX93" s="106">
        <f>+HLOOKUP($C93,PMGR!$AQ$2:$BC$250,127,0)</f>
        <v>56845.311666666668</v>
      </c>
      <c r="AY93" s="106">
        <f>+HLOOKUP($C93,PMGR!$AQ$2:$BC$250,129,0)</f>
        <v>8526.24</v>
      </c>
      <c r="AZ93" s="106">
        <f>+HLOOKUP($C93,PMGR!$AQ$2:$BC$250,130,0)</f>
        <v>0</v>
      </c>
      <c r="BA93" s="106">
        <f>+HLOOKUP($C93,PMGR!$AQ$2:$BC$250,131,0)</f>
        <v>98175</v>
      </c>
      <c r="BB93" s="106">
        <f>+HLOOKUP($C93,PMGR!$AQ$2:$BC$250,133,0)</f>
        <v>0</v>
      </c>
      <c r="BC93" s="106">
        <f>+HLOOKUP($C93,PMGR!$AQ$2:$BC$250,134,0)</f>
        <v>126239.4488</v>
      </c>
      <c r="BD93" s="106">
        <f>+HLOOKUP($C93,PMGR!$AQ$2:$BC$250,135,0)</f>
        <v>0</v>
      </c>
      <c r="BE93" s="106">
        <f>+HLOOKUP($C93,PMGR!$AQ$2:$BC$250,136,0)</f>
        <v>0</v>
      </c>
      <c r="BF93" s="106">
        <f>+HLOOKUP($C93,PMGR!$AQ$2:$BC$250,138,0)</f>
        <v>5427.3199999999988</v>
      </c>
      <c r="BG93" s="106">
        <f>+HLOOKUP($C93,PMGR!$AQ$2:$BC$250,139,0)</f>
        <v>36667.86</v>
      </c>
      <c r="BH93" s="106">
        <f>+HLOOKUP($C93,PMGR!$AQ$2:$BC$250,140,0)</f>
        <v>50152</v>
      </c>
      <c r="BI93" s="106">
        <f>+HLOOKUP($C93,PMGR!$AQ$2:$BC$250,141,0)</f>
        <v>0</v>
      </c>
      <c r="BJ93" s="106">
        <f>+HLOOKUP($C93,PMGR!$AQ$2:$BC$250,142,0)</f>
        <v>0</v>
      </c>
      <c r="BK93" s="106">
        <f>+HLOOKUP($C93,PMGR!$AQ$2:$BC$250,143,0)</f>
        <v>25509.75</v>
      </c>
      <c r="BL93" s="106">
        <f>+HLOOKUP($C93,PMGR!$AQ$2:$BC$250,144,0)</f>
        <v>9173.9399999999987</v>
      </c>
      <c r="BM93" s="106">
        <f>+HLOOKUP($C93,PMGR!$AQ$2:$BC$250,146,0)</f>
        <v>0</v>
      </c>
      <c r="BN93" s="106">
        <f>+HLOOKUP($C93,PMGR!$AQ$2:$BC$250,147,0)</f>
        <v>85976</v>
      </c>
      <c r="BO93" s="106">
        <f>+HLOOKUP($C93,PMGR!$AQ$2:$BC$250,148,0)</f>
        <v>0</v>
      </c>
      <c r="BP93" s="106">
        <f>+HLOOKUP($C93,PMGR!$AQ$2:$BC$250,150,0)</f>
        <v>52527</v>
      </c>
      <c r="BQ93" s="106">
        <f>+HLOOKUP($C93,PMGR!$AQ$2:$BC$250,151,0)</f>
        <v>9450</v>
      </c>
      <c r="BR93" s="106">
        <f>+HLOOKUP($C93,PMGR!$AQ$2:$BC$250,152,0)</f>
        <v>19200</v>
      </c>
      <c r="BS93" s="106">
        <f>+HLOOKUP($C93,PMGR!$AQ$2:$BC$250,153,0)</f>
        <v>0</v>
      </c>
      <c r="BT93" s="106">
        <f>+HLOOKUP($C93,PMGR!$AQ$2:$BC$250,157,0)</f>
        <v>0</v>
      </c>
      <c r="BU93" s="106">
        <f>+HLOOKUP($C93,PMGR!$AQ$2:$BC$250,158,0)</f>
        <v>259.32240000000002</v>
      </c>
      <c r="BV93" s="106">
        <f>+HLOOKUP($C93,PMGR!$AQ$2:$BC$250,159,0)</f>
        <v>681</v>
      </c>
      <c r="BW93" s="106">
        <f>+HLOOKUP($C93,PMGR!$AQ$2:$BC$250,160,0)</f>
        <v>28007</v>
      </c>
      <c r="BX93" s="106">
        <f>+HLOOKUP($C93,PMGR!$AQ$2:$BC$250,161,0)</f>
        <v>14695</v>
      </c>
      <c r="BY93" s="106">
        <f>+HLOOKUP($C93,PMGR!$AQ$2:$BC$250,164,0)</f>
        <v>8654.4120000000003</v>
      </c>
      <c r="BZ93" s="106">
        <f>+HLOOKUP($C93,PMGR!$AQ$2:$BC$250,165,0)</f>
        <v>61270.267999999996</v>
      </c>
      <c r="CA93" s="106">
        <f>+HLOOKUP($C93,PMGR!$AQ$2:$BC$250,166,0)</f>
        <v>0</v>
      </c>
      <c r="CB93" s="106">
        <f>+HLOOKUP($C93,PMGR!$AQ$2:$BC$250,167,0)</f>
        <v>31117.08</v>
      </c>
      <c r="CC93" s="106">
        <f>+HLOOKUP($C93,PMGR!$AQ$2:$BC$250,168,0)</f>
        <v>0</v>
      </c>
      <c r="CD93" s="106">
        <f>+HLOOKUP($C93,PMGR!$AQ$2:$BC$250,169,0)</f>
        <v>2641.5956000000001</v>
      </c>
      <c r="CE93" s="106">
        <f>+HLOOKUP($C93,PMGR!$AQ$2:$BC$250,170,0)</f>
        <v>0</v>
      </c>
      <c r="CF93" s="106">
        <f>+HLOOKUP($C93,PMGR!$AQ$2:$BC$250,172,0)</f>
        <v>32700</v>
      </c>
      <c r="CG93" s="106">
        <f>+HLOOKUP($C93,PMGR!$AQ$2:$BC$250,173,0)</f>
        <v>0</v>
      </c>
      <c r="CH93" s="106">
        <f>+HLOOKUP($C93,PMGR!$AQ$2:$BC$250,174,0)</f>
        <v>53310</v>
      </c>
      <c r="CI93" s="106">
        <f>+HLOOKUP($C93,PMGR!$AQ$2:$BC$250,175,0)</f>
        <v>6690</v>
      </c>
      <c r="CJ93" s="106">
        <f>+HLOOKUP($C93,PMGR!$AQ$2:$BC$250,176,0)</f>
        <v>3002.4</v>
      </c>
      <c r="CK93" s="106">
        <f>+HLOOKUP($C93,PMGR!$AQ$2:$BC$250,178,0)</f>
        <v>175489</v>
      </c>
      <c r="CL93" s="106">
        <f>+HLOOKUP($C93,PMGR!$AQ$2:$BC$250,179,0)</f>
        <v>41423.230000000003</v>
      </c>
      <c r="CM93" s="106">
        <f>+HLOOKUP($C93,PMGR!$AQ$2:$BC$250,180,0)</f>
        <v>0</v>
      </c>
      <c r="CN93" s="106">
        <f>+HLOOKUP($C93,PMGR!$AQ$2:$BC$250,182,0)</f>
        <v>737.1</v>
      </c>
      <c r="CO93" s="106">
        <f>+HLOOKUP($C93,PMGR!$AQ$2:$BC$250,183,0)</f>
        <v>49514.400000000001</v>
      </c>
      <c r="CP93" s="106">
        <f>+HLOOKUP($C93,PMGR!$AQ$2:$BC$250,184,0)</f>
        <v>0</v>
      </c>
      <c r="CQ93" s="106">
        <f>+HLOOKUP($C93,PMGR!$AQ$2:$BC$250,185,0)</f>
        <v>0</v>
      </c>
      <c r="CR93" s="106">
        <f>+HLOOKUP($C93,PMGR!$AQ$2:$BC$250,187,0)</f>
        <v>3749.9999999999936</v>
      </c>
      <c r="CS93" s="106">
        <f>+HLOOKUP($C93,PMGR!$AQ$2:$BC$250,188,0)</f>
        <v>4770</v>
      </c>
      <c r="CT93" s="106">
        <f>+HLOOKUP($C93,PMGR!$AQ$2:$BC$250,189,0)</f>
        <v>0</v>
      </c>
      <c r="CU93" s="106">
        <f>+HLOOKUP($C93,PMGR!$AQ$2:$BC$250,190,0)</f>
        <v>1499.9993999999999</v>
      </c>
      <c r="CV93" s="106">
        <f>+HLOOKUP($C93,PMGR!$AQ$2:$BC$250,191,0)</f>
        <v>0</v>
      </c>
      <c r="CW93" s="106">
        <f>+HLOOKUP($C93,PMGR!$AQ$2:$BC$250,193,0)</f>
        <v>15889.8</v>
      </c>
      <c r="CX93" s="106">
        <f>+HLOOKUP($C93,PMGR!$AQ$2:$BC$250,194,0)</f>
        <v>47.699999999999996</v>
      </c>
      <c r="CY93" s="106">
        <f>+HLOOKUP($C93,PMGR!$AQ$2:$BC$250,195,0)</f>
        <v>0</v>
      </c>
      <c r="CZ93" s="106">
        <f>+HLOOKUP($C93,PMGR!$AQ$2:$BC$250,196,0)</f>
        <v>0</v>
      </c>
      <c r="DA93" s="106">
        <f>+HLOOKUP($C93,PMGR!$AQ$2:$BC$250,197,0)</f>
        <v>13559.97</v>
      </c>
      <c r="DB93" s="106">
        <f>+HLOOKUP($C93,PMGR!$AQ$2:$BC$250,198,0)</f>
        <v>7889.07</v>
      </c>
      <c r="DC93" s="106">
        <f>+HLOOKUP($C93,PMGR!$AQ$2:$BC$250,199,0)</f>
        <v>813.55799999999999</v>
      </c>
      <c r="DD93" s="106">
        <f>+HLOOKUP($C93,PMGR!$AQ$2:$BC$250,200,0)</f>
        <v>3390</v>
      </c>
      <c r="DE93" s="106">
        <f>+HLOOKUP($C93,PMGR!$AQ$2:$BC$250,201,0)</f>
        <v>0</v>
      </c>
      <c r="DF93" s="106">
        <f>+HLOOKUP($C93,PMGR!$AQ$2:$BC$250,202,0)</f>
        <v>2.5851999999999999</v>
      </c>
      <c r="DG93" s="106">
        <f>+HLOOKUP($C93,PMGR!$AQ$2:$BC$250,203,0)</f>
        <v>25.787599999999998</v>
      </c>
      <c r="DH93" s="106">
        <f>+HLOOKUP($C93,PMGR!$AQ$2:$BC$250,205,0)</f>
        <v>0</v>
      </c>
      <c r="DI93" s="106">
        <f>+HLOOKUP($C93,PMGR!$AQ$2:$BC$250,206,0)</f>
        <v>9953.4599999999991</v>
      </c>
      <c r="DJ93" s="106">
        <f>+HLOOKUP($C93,PMGR!$AQ$2:$BC$250,207,0)</f>
        <v>67045.784999999989</v>
      </c>
      <c r="DK93" s="106">
        <f>+HLOOKUP($C93,PMGR!$AQ$2:$BC$250,209,0)</f>
        <v>0</v>
      </c>
      <c r="DL93" s="106">
        <f>+HLOOKUP($C93,PMGR!$AQ$2:$BC$250,210,0)</f>
        <v>177294.6</v>
      </c>
      <c r="DM93" s="106">
        <f>+HLOOKUP($C93,PMGR!$AQ$2:$BC$250,211,0)</f>
        <v>0</v>
      </c>
      <c r="DN93" s="106">
        <f>+HLOOKUP($C93,PMGR!$AQ$2:$BC$250,212,0)</f>
        <v>0</v>
      </c>
      <c r="DO93" s="106">
        <f>+HLOOKUP($C93,PMGR!$AQ$2:$BC$250,214,0)</f>
        <v>0</v>
      </c>
      <c r="DP93" s="106">
        <f>+HLOOKUP($C93,PMGR!$AQ$2:$BC$250,215,0)</f>
        <v>500</v>
      </c>
      <c r="DQ93" s="106">
        <f>+HLOOKUP($C93,PMGR!$AQ$2:$BC$250,219,0)</f>
        <v>0</v>
      </c>
      <c r="DR93" s="106">
        <f>+HLOOKUP($C93,PMGR!$AQ$2:$BC$250,220,0)</f>
        <v>0</v>
      </c>
      <c r="DS93" s="106">
        <f>+HLOOKUP($C93,PMGR!$AQ$2:$BC$250,221,0)</f>
        <v>0</v>
      </c>
      <c r="DT93" s="106">
        <f>+HLOOKUP($C93,PMGR!$AQ$2:$BC$250,223,0)</f>
        <v>12666.049199999999</v>
      </c>
      <c r="DU93" s="106">
        <f>+HLOOKUP($C93,PMGR!$AQ$2:$BC$250,224,0)</f>
        <v>0</v>
      </c>
      <c r="DV93" s="106">
        <f>+HLOOKUP($C93,PMGR!$AQ$2:$BC$250,225,0)</f>
        <v>0</v>
      </c>
      <c r="DW93" s="106">
        <f>+HLOOKUP($C93,PMGR!$AQ$2:$BC$250,227,0)</f>
        <v>0</v>
      </c>
      <c r="DX93" s="106">
        <f>+HLOOKUP($C93,PMGR!$AQ$2:$BC$250,228,0)</f>
        <v>1479.4199999999998</v>
      </c>
      <c r="DY93" s="106">
        <f>+HLOOKUP($C93,PMGR!$AQ$2:$BC$250,236,0)</f>
        <v>189156.6</v>
      </c>
      <c r="DZ93" s="106">
        <f>+HLOOKUP($C93,PMGR!$AQ$2:$BC$250,237,0)</f>
        <v>39862.091939999998</v>
      </c>
      <c r="EA93" s="106">
        <f>+HLOOKUP($C93,PMGR!$AQ$2:$BC$250,238,0)</f>
        <v>67602.599999999991</v>
      </c>
      <c r="EB93" s="106">
        <f>+HLOOKUP($C93,PMGR!$AQ$2:$BC$250,240,0)</f>
        <v>681753.02281250001</v>
      </c>
    </row>
    <row r="94" spans="1:132">
      <c r="A94" t="s">
        <v>269</v>
      </c>
      <c r="B94" t="s">
        <v>217</v>
      </c>
      <c r="C94" s="117">
        <v>45383</v>
      </c>
      <c r="D94" s="106">
        <f t="shared" si="2"/>
        <v>13130517.788789459</v>
      </c>
      <c r="E94" s="106">
        <f>+HLOOKUP(C94,PMGR!$AQ$2:$BC$250,28,0)+HLOOKUP(C94,PMGR!$AQ$2:$BC$250,43,0)+HLOOKUP(C94,PMGR!$AQ$2:$BC$250,44,0)+HLOOKUP(C94,PMGR!$AQ$2:$BC$250,45,0)+HLOOKUP(C94,PMGR!$AQ$2:$BC$250,54,0)+HLOOKUP(C94,PMGR!$AQ$2:$BC$250,59,0)</f>
        <v>13130517.788789459</v>
      </c>
      <c r="F94" s="106">
        <f>+HLOOKUP(C94,PMGR!$AQ$2:$BC$250,37,0)+HLOOKUP(C94,PMGR!$AQ$2:$BC$250,55,0)</f>
        <v>8892135.0159999952</v>
      </c>
      <c r="G94" s="106">
        <f>+HLOOKUP($C94,PMGR!$AQ$2:$BC$250,76,0)</f>
        <v>0</v>
      </c>
      <c r="H94" s="106">
        <f>+HLOOKUP($C94,PMGR!$AQ$2:$BC$250,77,0)</f>
        <v>0</v>
      </c>
      <c r="I94" s="106">
        <f>+HLOOKUP($C94,PMGR!$AQ$2:$BC$250,78,0)</f>
        <v>0</v>
      </c>
      <c r="J94" s="106">
        <f>+HLOOKUP($C94,PMGR!$AQ$2:$BC$250,79,0)</f>
        <v>0</v>
      </c>
      <c r="K94" s="106">
        <f>+HLOOKUP($C94,PMGR!$AQ$2:$BC$250,80,0)</f>
        <v>0</v>
      </c>
      <c r="L94" s="106">
        <f>+HLOOKUP($C94,PMGR!$AQ$2:$BC$250,81,0)</f>
        <v>0</v>
      </c>
      <c r="M94" s="106">
        <f>+HLOOKUP($C94,PMGR!$AQ$2:$BC$250,82,0)</f>
        <v>0</v>
      </c>
      <c r="N94" s="106">
        <f>+HLOOKUP($C94,PMGR!$AQ$2:$BC$250,83,0)</f>
        <v>0</v>
      </c>
      <c r="O94" s="106">
        <f>+HLOOKUP($C94,PMGR!$AQ$2:$BC$250,84,0)</f>
        <v>0</v>
      </c>
      <c r="P94" s="106">
        <f>+HLOOKUP($C94,PMGR!$AQ$2:$BC$250,85,0)</f>
        <v>0</v>
      </c>
      <c r="Q94" s="106">
        <f>+HLOOKUP($C94,PMGR!$AQ$2:$BC$250,87,0)</f>
        <v>208703.77300000002</v>
      </c>
      <c r="R94" s="106">
        <f>+HLOOKUP($C94,PMGR!$AQ$2:$BC$250,90,0)</f>
        <v>0</v>
      </c>
      <c r="S94" s="106">
        <f>+HLOOKUP($C94,PMGR!$AQ$2:$BC$250,91,0)</f>
        <v>0</v>
      </c>
      <c r="T94" s="106">
        <f>+HLOOKUP($C94,PMGR!$AQ$2:$BC$250,92,0)</f>
        <v>0</v>
      </c>
      <c r="U94" s="106">
        <f>+HLOOKUP($C94,PMGR!$AQ$2:$BC$250,93,0)</f>
        <v>0</v>
      </c>
      <c r="V94" s="106">
        <f>+HLOOKUP($C94,PMGR!$AQ$2:$BC$250,94,0)</f>
        <v>0</v>
      </c>
      <c r="W94" s="106">
        <f>+HLOOKUP($C94,PMGR!$AQ$2:$BC$250,95,0)</f>
        <v>0</v>
      </c>
      <c r="X94" s="106">
        <f>+HLOOKUP($C94,PMGR!$AQ$2:$BC$250,96,0)</f>
        <v>0</v>
      </c>
      <c r="Y94" s="106">
        <f>+HLOOKUP($C94,PMGR!$AQ$2:$BC$250,97,0)</f>
        <v>0</v>
      </c>
      <c r="Z94" s="106">
        <f>+HLOOKUP($C94,PMGR!$AQ$2:$BC$250,98,0)</f>
        <v>0</v>
      </c>
      <c r="AA94" s="106">
        <f>+HLOOKUP($C94,PMGR!$AQ$2:$BC$250,99,0)</f>
        <v>0</v>
      </c>
      <c r="AB94" s="106">
        <f>+HLOOKUP($C94,PMGR!$AQ$2:$BC$250,100,0)</f>
        <v>0</v>
      </c>
      <c r="AC94" s="106">
        <f>+HLOOKUP($C94,PMGR!$AQ$2:$BC$250,101,0)</f>
        <v>0</v>
      </c>
      <c r="AD94" s="106">
        <f>+HLOOKUP($C94,PMGR!$AQ$2:$BC$250,104,0)</f>
        <v>870</v>
      </c>
      <c r="AE94" s="106">
        <f>+HLOOKUP($C94,PMGR!$AQ$2:$BC$250,105,0)</f>
        <v>71500</v>
      </c>
      <c r="AF94" s="106">
        <f>+HLOOKUP($C94,PMGR!$AQ$2:$BC$250,106,0)</f>
        <v>0</v>
      </c>
      <c r="AG94" s="106">
        <f>+HLOOKUP($C94,PMGR!$AQ$2:$BC$250,107,0)</f>
        <v>0</v>
      </c>
      <c r="AH94" s="106">
        <f>+HLOOKUP($C94,PMGR!$AQ$2:$BC$250,108,0)</f>
        <v>0</v>
      </c>
      <c r="AI94" s="106">
        <f>+HLOOKUP($C94,PMGR!$AQ$2:$BC$250,109,0)</f>
        <v>0</v>
      </c>
      <c r="AJ94" s="106">
        <f>+HLOOKUP($C94,PMGR!$AQ$2:$BC$250,110,0)</f>
        <v>0</v>
      </c>
      <c r="AK94" s="106">
        <f>+HLOOKUP($C94,PMGR!$AQ$2:$BC$250,111,0)</f>
        <v>8420</v>
      </c>
      <c r="AL94" s="106">
        <f>+HLOOKUP($C94,PMGR!$AQ$2:$BC$250,112,0)</f>
        <v>0</v>
      </c>
      <c r="AM94" s="106">
        <f>+HLOOKUP($C94,PMGR!$AQ$2:$BC$250,116,0)</f>
        <v>570716.82000000007</v>
      </c>
      <c r="AN94" s="106">
        <f>+HLOOKUP($C94,PMGR!$AQ$2:$BC$250,117,0)</f>
        <v>84840</v>
      </c>
      <c r="AO94" s="106">
        <f>+HLOOKUP($C94,PMGR!$AQ$2:$BC$250,118,0)</f>
        <v>6500</v>
      </c>
      <c r="AP94" s="106">
        <f>+HLOOKUP($C94,PMGR!$AQ$2:$BC$250,119,0)</f>
        <v>163135</v>
      </c>
      <c r="AQ94" s="106">
        <f>+HLOOKUP($C94,PMGR!$AQ$2:$BC$250,120,0)</f>
        <v>41647</v>
      </c>
      <c r="AR94" s="106">
        <f>+HLOOKUP($C94,PMGR!$AQ$2:$BC$250,121,0)</f>
        <v>27610</v>
      </c>
      <c r="AS94" s="106">
        <f>+HLOOKUP($C94,PMGR!$AQ$2:$BC$250,122,0)</f>
        <v>283418</v>
      </c>
      <c r="AT94" s="106">
        <f>+HLOOKUP($C94,PMGR!$AQ$2:$BC$250,123,0)</f>
        <v>105293.51999999999</v>
      </c>
      <c r="AU94" s="106">
        <f>+HLOOKUP($C94,PMGR!$AQ$2:$BC$250,124,0)</f>
        <v>18805.039999999997</v>
      </c>
      <c r="AV94" s="106">
        <f>+HLOOKUP($C94,PMGR!$AQ$2:$BC$250,125,0)</f>
        <v>116730</v>
      </c>
      <c r="AW94" s="106">
        <f>+HLOOKUP($C94,PMGR!$AQ$2:$BC$250,126,0)</f>
        <v>41810.705769230772</v>
      </c>
      <c r="AX94" s="106">
        <f>+HLOOKUP($C94,PMGR!$AQ$2:$BC$250,127,0)</f>
        <v>56845.311666666668</v>
      </c>
      <c r="AY94" s="106">
        <f>+HLOOKUP($C94,PMGR!$AQ$2:$BC$250,129,0)</f>
        <v>0</v>
      </c>
      <c r="AZ94" s="106">
        <f>+HLOOKUP($C94,PMGR!$AQ$2:$BC$250,130,0)</f>
        <v>0</v>
      </c>
      <c r="BA94" s="106">
        <f>+HLOOKUP($C94,PMGR!$AQ$2:$BC$250,131,0)</f>
        <v>98175</v>
      </c>
      <c r="BB94" s="106">
        <f>+HLOOKUP($C94,PMGR!$AQ$2:$BC$250,133,0)</f>
        <v>0</v>
      </c>
      <c r="BC94" s="106">
        <f>+HLOOKUP($C94,PMGR!$AQ$2:$BC$250,134,0)</f>
        <v>53431.2624</v>
      </c>
      <c r="BD94" s="106">
        <f>+HLOOKUP($C94,PMGR!$AQ$2:$BC$250,135,0)</f>
        <v>0</v>
      </c>
      <c r="BE94" s="106">
        <f>+HLOOKUP($C94,PMGR!$AQ$2:$BC$250,136,0)</f>
        <v>0</v>
      </c>
      <c r="BF94" s="106">
        <f>+HLOOKUP($C94,PMGR!$AQ$2:$BC$250,138,0)</f>
        <v>5107.3199999999988</v>
      </c>
      <c r="BG94" s="106">
        <f>+HLOOKUP($C94,PMGR!$AQ$2:$BC$250,139,0)</f>
        <v>27098.45</v>
      </c>
      <c r="BH94" s="106">
        <f>+HLOOKUP($C94,PMGR!$AQ$2:$BC$250,140,0)</f>
        <v>49152</v>
      </c>
      <c r="BI94" s="106">
        <f>+HLOOKUP($C94,PMGR!$AQ$2:$BC$250,141,0)</f>
        <v>10300</v>
      </c>
      <c r="BJ94" s="106">
        <f>+HLOOKUP($C94,PMGR!$AQ$2:$BC$250,142,0)</f>
        <v>0</v>
      </c>
      <c r="BK94" s="106">
        <f>+HLOOKUP($C94,PMGR!$AQ$2:$BC$250,143,0)</f>
        <v>25509.75</v>
      </c>
      <c r="BL94" s="106">
        <f>+HLOOKUP($C94,PMGR!$AQ$2:$BC$250,144,0)</f>
        <v>24170</v>
      </c>
      <c r="BM94" s="106">
        <f>+HLOOKUP($C94,PMGR!$AQ$2:$BC$250,146,0)</f>
        <v>0</v>
      </c>
      <c r="BN94" s="106">
        <f>+HLOOKUP($C94,PMGR!$AQ$2:$BC$250,147,0)</f>
        <v>13454</v>
      </c>
      <c r="BO94" s="106">
        <f>+HLOOKUP($C94,PMGR!$AQ$2:$BC$250,148,0)</f>
        <v>0</v>
      </c>
      <c r="BP94" s="106">
        <f>+HLOOKUP($C94,PMGR!$AQ$2:$BC$250,150,0)</f>
        <v>43444.799999999996</v>
      </c>
      <c r="BQ94" s="106">
        <f>+HLOOKUP($C94,PMGR!$AQ$2:$BC$250,151,0)</f>
        <v>9450</v>
      </c>
      <c r="BR94" s="106">
        <f>+HLOOKUP($C94,PMGR!$AQ$2:$BC$250,152,0)</f>
        <v>19200</v>
      </c>
      <c r="BS94" s="106">
        <f>+HLOOKUP($C94,PMGR!$AQ$2:$BC$250,153,0)</f>
        <v>0</v>
      </c>
      <c r="BT94" s="106">
        <f>+HLOOKUP($C94,PMGR!$AQ$2:$BC$250,157,0)</f>
        <v>0</v>
      </c>
      <c r="BU94" s="106">
        <f>+HLOOKUP($C94,PMGR!$AQ$2:$BC$250,158,0)</f>
        <v>1864.41</v>
      </c>
      <c r="BV94" s="106">
        <f>+HLOOKUP($C94,PMGR!$AQ$2:$BC$250,159,0)</f>
        <v>681</v>
      </c>
      <c r="BW94" s="106">
        <f>+HLOOKUP($C94,PMGR!$AQ$2:$BC$250,160,0)</f>
        <v>25618.58</v>
      </c>
      <c r="BX94" s="106">
        <f>+HLOOKUP($C94,PMGR!$AQ$2:$BC$250,161,0)</f>
        <v>11827.81</v>
      </c>
      <c r="BY94" s="106">
        <f>+HLOOKUP($C94,PMGR!$AQ$2:$BC$250,164,0)</f>
        <v>8226.83</v>
      </c>
      <c r="BZ94" s="106">
        <f>+HLOOKUP($C94,PMGR!$AQ$2:$BC$250,165,0)</f>
        <v>13988.41</v>
      </c>
      <c r="CA94" s="106">
        <f>+HLOOKUP($C94,PMGR!$AQ$2:$BC$250,166,0)</f>
        <v>0</v>
      </c>
      <c r="CB94" s="106">
        <f>+HLOOKUP($C94,PMGR!$AQ$2:$BC$250,167,0)</f>
        <v>22090.51</v>
      </c>
      <c r="CC94" s="106">
        <f>+HLOOKUP($C94,PMGR!$AQ$2:$BC$250,168,0)</f>
        <v>0</v>
      </c>
      <c r="CD94" s="106">
        <f>+HLOOKUP($C94,PMGR!$AQ$2:$BC$250,169,0)</f>
        <v>0</v>
      </c>
      <c r="CE94" s="106">
        <f>+HLOOKUP($C94,PMGR!$AQ$2:$BC$250,170,0)</f>
        <v>0</v>
      </c>
      <c r="CF94" s="106">
        <f>+HLOOKUP($C94,PMGR!$AQ$2:$BC$250,172,0)</f>
        <v>32700</v>
      </c>
      <c r="CG94" s="106">
        <f>+HLOOKUP($C94,PMGR!$AQ$2:$BC$250,173,0)</f>
        <v>0</v>
      </c>
      <c r="CH94" s="106">
        <f>+HLOOKUP($C94,PMGR!$AQ$2:$BC$250,174,0)</f>
        <v>53310</v>
      </c>
      <c r="CI94" s="106">
        <f>+HLOOKUP($C94,PMGR!$AQ$2:$BC$250,175,0)</f>
        <v>6690</v>
      </c>
      <c r="CJ94" s="106">
        <f>+HLOOKUP($C94,PMGR!$AQ$2:$BC$250,176,0)</f>
        <v>3002.4</v>
      </c>
      <c r="CK94" s="106">
        <f>+HLOOKUP($C94,PMGR!$AQ$2:$BC$250,178,0)</f>
        <v>107875.49999999999</v>
      </c>
      <c r="CL94" s="106">
        <f>+HLOOKUP($C94,PMGR!$AQ$2:$BC$250,179,0)</f>
        <v>7635.3359999999993</v>
      </c>
      <c r="CM94" s="106">
        <f>+HLOOKUP($C94,PMGR!$AQ$2:$BC$250,180,0)</f>
        <v>0</v>
      </c>
      <c r="CN94" s="106">
        <f>+HLOOKUP($C94,PMGR!$AQ$2:$BC$250,182,0)</f>
        <v>737.1</v>
      </c>
      <c r="CO94" s="106">
        <f>+HLOOKUP($C94,PMGR!$AQ$2:$BC$250,183,0)</f>
        <v>49514.400000000001</v>
      </c>
      <c r="CP94" s="106">
        <f>+HLOOKUP($C94,PMGR!$AQ$2:$BC$250,184,0)</f>
        <v>0</v>
      </c>
      <c r="CQ94" s="106">
        <f>+HLOOKUP($C94,PMGR!$AQ$2:$BC$250,185,0)</f>
        <v>0</v>
      </c>
      <c r="CR94" s="106">
        <f>+HLOOKUP($C94,PMGR!$AQ$2:$BC$250,187,0)</f>
        <v>3749.9999999999936</v>
      </c>
      <c r="CS94" s="106">
        <f>+HLOOKUP($C94,PMGR!$AQ$2:$BC$250,188,0)</f>
        <v>4770</v>
      </c>
      <c r="CT94" s="106">
        <f>+HLOOKUP($C94,PMGR!$AQ$2:$BC$250,189,0)</f>
        <v>0</v>
      </c>
      <c r="CU94" s="106">
        <f>+HLOOKUP($C94,PMGR!$AQ$2:$BC$250,190,0)</f>
        <v>1499.9993999999999</v>
      </c>
      <c r="CV94" s="106">
        <f>+HLOOKUP($C94,PMGR!$AQ$2:$BC$250,191,0)</f>
        <v>0</v>
      </c>
      <c r="CW94" s="106">
        <f>+HLOOKUP($C94,PMGR!$AQ$2:$BC$250,193,0)</f>
        <v>15889.8</v>
      </c>
      <c r="CX94" s="106">
        <f>+HLOOKUP($C94,PMGR!$AQ$2:$BC$250,194,0)</f>
        <v>47.699999999999996</v>
      </c>
      <c r="CY94" s="106">
        <f>+HLOOKUP($C94,PMGR!$AQ$2:$BC$250,195,0)</f>
        <v>0</v>
      </c>
      <c r="CZ94" s="106">
        <f>+HLOOKUP($C94,PMGR!$AQ$2:$BC$250,196,0)</f>
        <v>0</v>
      </c>
      <c r="DA94" s="106">
        <f>+HLOOKUP($C94,PMGR!$AQ$2:$BC$250,197,0)</f>
        <v>10867.572</v>
      </c>
      <c r="DB94" s="106">
        <f>+HLOOKUP($C94,PMGR!$AQ$2:$BC$250,198,0)</f>
        <v>3050.85</v>
      </c>
      <c r="DC94" s="106">
        <f>+HLOOKUP($C94,PMGR!$AQ$2:$BC$250,199,0)</f>
        <v>830.51</v>
      </c>
      <c r="DD94" s="106">
        <f>+HLOOKUP($C94,PMGR!$AQ$2:$BC$250,200,0)</f>
        <v>8343</v>
      </c>
      <c r="DE94" s="106">
        <f>+HLOOKUP($C94,PMGR!$AQ$2:$BC$250,201,0)</f>
        <v>0</v>
      </c>
      <c r="DF94" s="106">
        <f>+HLOOKUP($C94,PMGR!$AQ$2:$BC$250,202,0)</f>
        <v>1.0799999999999998</v>
      </c>
      <c r="DG94" s="106">
        <f>+HLOOKUP($C94,PMGR!$AQ$2:$BC$250,203,0)</f>
        <v>7.919999999999999</v>
      </c>
      <c r="DH94" s="106">
        <f>+HLOOKUP($C94,PMGR!$AQ$2:$BC$250,205,0)</f>
        <v>0</v>
      </c>
      <c r="DI94" s="106">
        <f>+HLOOKUP($C94,PMGR!$AQ$2:$BC$250,206,0)</f>
        <v>9953.4599999999991</v>
      </c>
      <c r="DJ94" s="106">
        <f>+HLOOKUP($C94,PMGR!$AQ$2:$BC$250,207,0)</f>
        <v>63796.785000000003</v>
      </c>
      <c r="DK94" s="106">
        <f>+HLOOKUP($C94,PMGR!$AQ$2:$BC$250,209,0)</f>
        <v>0</v>
      </c>
      <c r="DL94" s="106">
        <f>+HLOOKUP($C94,PMGR!$AQ$2:$BC$250,210,0)</f>
        <v>177294.6</v>
      </c>
      <c r="DM94" s="106">
        <f>+HLOOKUP($C94,PMGR!$AQ$2:$BC$250,211,0)</f>
        <v>0</v>
      </c>
      <c r="DN94" s="106">
        <f>+HLOOKUP($C94,PMGR!$AQ$2:$BC$250,212,0)</f>
        <v>0</v>
      </c>
      <c r="DO94" s="106">
        <f>+HLOOKUP($C94,PMGR!$AQ$2:$BC$250,214,0)</f>
        <v>0</v>
      </c>
      <c r="DP94" s="106">
        <f>+HLOOKUP($C94,PMGR!$AQ$2:$BC$250,215,0)</f>
        <v>900</v>
      </c>
      <c r="DQ94" s="106">
        <f>+HLOOKUP($C94,PMGR!$AQ$2:$BC$250,219,0)</f>
        <v>0</v>
      </c>
      <c r="DR94" s="106">
        <f>+HLOOKUP($C94,PMGR!$AQ$2:$BC$250,220,0)</f>
        <v>0</v>
      </c>
      <c r="DS94" s="106">
        <f>+HLOOKUP($C94,PMGR!$AQ$2:$BC$250,221,0)</f>
        <v>0</v>
      </c>
      <c r="DT94" s="106">
        <f>+HLOOKUP($C94,PMGR!$AQ$2:$BC$250,223,0)</f>
        <v>14403.166199999998</v>
      </c>
      <c r="DU94" s="106">
        <f>+HLOOKUP($C94,PMGR!$AQ$2:$BC$250,224,0)</f>
        <v>0</v>
      </c>
      <c r="DV94" s="106">
        <f>+HLOOKUP($C94,PMGR!$AQ$2:$BC$250,225,0)</f>
        <v>0</v>
      </c>
      <c r="DW94" s="106">
        <f>+HLOOKUP($C94,PMGR!$AQ$2:$BC$250,227,0)</f>
        <v>0</v>
      </c>
      <c r="DX94" s="106">
        <f>+HLOOKUP($C94,PMGR!$AQ$2:$BC$250,228,0)</f>
        <v>4916.16</v>
      </c>
      <c r="DY94" s="106">
        <f>+HLOOKUP($C94,PMGR!$AQ$2:$BC$250,236,0)</f>
        <v>191274</v>
      </c>
      <c r="DZ94" s="106">
        <f>+HLOOKUP($C94,PMGR!$AQ$2:$BC$250,237,0)</f>
        <v>40327.125959999998</v>
      </c>
      <c r="EA94" s="106">
        <f>+HLOOKUP($C94,PMGR!$AQ$2:$BC$250,238,0)</f>
        <v>70059.599999999991</v>
      </c>
      <c r="EB94" s="106">
        <f>+HLOOKUP($C94,PMGR!$AQ$2:$BC$250,240,0)</f>
        <v>681753.02281250001</v>
      </c>
    </row>
    <row r="95" spans="1:132">
      <c r="A95" t="s">
        <v>269</v>
      </c>
      <c r="B95" t="s">
        <v>217</v>
      </c>
      <c r="C95" s="117">
        <v>45352</v>
      </c>
      <c r="D95" s="106">
        <f t="shared" si="2"/>
        <v>16385054.40410115</v>
      </c>
      <c r="E95" s="106">
        <f>+HLOOKUP(C95,PMGR!$AQ$2:$BC$250,28,0)+HLOOKUP(C95,PMGR!$AQ$2:$BC$250,43,0)+HLOOKUP(C95,PMGR!$AQ$2:$BC$250,44,0)+HLOOKUP(C95,PMGR!$AQ$2:$BC$250,45,0)+HLOOKUP(C95,PMGR!$AQ$2:$BC$250,54,0)+HLOOKUP(C95,PMGR!$AQ$2:$BC$250,59,0)</f>
        <v>16385054.40410115</v>
      </c>
      <c r="F95" s="106">
        <f>+HLOOKUP(C95,PMGR!$AQ$2:$BC$250,37,0)+HLOOKUP(C95,PMGR!$AQ$2:$BC$250,55,0)</f>
        <v>9895200.1300000045</v>
      </c>
      <c r="G95" s="106">
        <f>+HLOOKUP($C95,PMGR!$AQ$2:$BC$250,76,0)</f>
        <v>0</v>
      </c>
      <c r="H95" s="106">
        <f>+HLOOKUP($C95,PMGR!$AQ$2:$BC$250,77,0)</f>
        <v>0</v>
      </c>
      <c r="I95" s="106">
        <f>+HLOOKUP($C95,PMGR!$AQ$2:$BC$250,78,0)</f>
        <v>0</v>
      </c>
      <c r="J95" s="106">
        <f>+HLOOKUP($C95,PMGR!$AQ$2:$BC$250,79,0)</f>
        <v>0</v>
      </c>
      <c r="K95" s="106">
        <f>+HLOOKUP($C95,PMGR!$AQ$2:$BC$250,80,0)</f>
        <v>11500</v>
      </c>
      <c r="L95" s="106">
        <f>+HLOOKUP($C95,PMGR!$AQ$2:$BC$250,81,0)</f>
        <v>0</v>
      </c>
      <c r="M95" s="106">
        <f>+HLOOKUP($C95,PMGR!$AQ$2:$BC$250,82,0)</f>
        <v>0</v>
      </c>
      <c r="N95" s="106">
        <f>+HLOOKUP($C95,PMGR!$AQ$2:$BC$250,83,0)</f>
        <v>0</v>
      </c>
      <c r="O95" s="106">
        <f>+HLOOKUP($C95,PMGR!$AQ$2:$BC$250,84,0)</f>
        <v>0</v>
      </c>
      <c r="P95" s="106">
        <f>+HLOOKUP($C95,PMGR!$AQ$2:$BC$250,85,0)</f>
        <v>0</v>
      </c>
      <c r="Q95" s="106">
        <f>+HLOOKUP($C95,PMGR!$AQ$2:$BC$250,87,0)</f>
        <v>314798.64</v>
      </c>
      <c r="R95" s="106">
        <f>+HLOOKUP($C95,PMGR!$AQ$2:$BC$250,90,0)</f>
        <v>0</v>
      </c>
      <c r="S95" s="106">
        <f>+HLOOKUP($C95,PMGR!$AQ$2:$BC$250,91,0)</f>
        <v>0</v>
      </c>
      <c r="T95" s="106">
        <f>+HLOOKUP($C95,PMGR!$AQ$2:$BC$250,92,0)</f>
        <v>0</v>
      </c>
      <c r="U95" s="106">
        <f>+HLOOKUP($C95,PMGR!$AQ$2:$BC$250,93,0)</f>
        <v>0</v>
      </c>
      <c r="V95" s="106">
        <f>+HLOOKUP($C95,PMGR!$AQ$2:$BC$250,94,0)</f>
        <v>0</v>
      </c>
      <c r="W95" s="106">
        <f>+HLOOKUP($C95,PMGR!$AQ$2:$BC$250,95,0)</f>
        <v>0</v>
      </c>
      <c r="X95" s="106">
        <f>+HLOOKUP($C95,PMGR!$AQ$2:$BC$250,96,0)</f>
        <v>12256.86</v>
      </c>
      <c r="Y95" s="106">
        <f>+HLOOKUP($C95,PMGR!$AQ$2:$BC$250,97,0)</f>
        <v>0</v>
      </c>
      <c r="Z95" s="106">
        <f>+HLOOKUP($C95,PMGR!$AQ$2:$BC$250,98,0)</f>
        <v>0</v>
      </c>
      <c r="AA95" s="106">
        <f>+HLOOKUP($C95,PMGR!$AQ$2:$BC$250,99,0)</f>
        <v>0</v>
      </c>
      <c r="AB95" s="106">
        <f>+HLOOKUP($C95,PMGR!$AQ$2:$BC$250,100,0)</f>
        <v>0</v>
      </c>
      <c r="AC95" s="106">
        <f>+HLOOKUP($C95,PMGR!$AQ$2:$BC$250,101,0)</f>
        <v>0</v>
      </c>
      <c r="AD95" s="106">
        <f>+HLOOKUP($C95,PMGR!$AQ$2:$BC$250,104,0)</f>
        <v>240</v>
      </c>
      <c r="AE95" s="106">
        <f>+HLOOKUP($C95,PMGR!$AQ$2:$BC$250,105,0)</f>
        <v>30000</v>
      </c>
      <c r="AF95" s="106">
        <f>+HLOOKUP($C95,PMGR!$AQ$2:$BC$250,106,0)</f>
        <v>0</v>
      </c>
      <c r="AG95" s="106">
        <f>+HLOOKUP($C95,PMGR!$AQ$2:$BC$250,107,0)</f>
        <v>0</v>
      </c>
      <c r="AH95" s="106">
        <f>+HLOOKUP($C95,PMGR!$AQ$2:$BC$250,108,0)</f>
        <v>37141</v>
      </c>
      <c r="AI95" s="106">
        <f>+HLOOKUP($C95,PMGR!$AQ$2:$BC$250,109,0)</f>
        <v>0</v>
      </c>
      <c r="AJ95" s="106">
        <f>+HLOOKUP($C95,PMGR!$AQ$2:$BC$250,110,0)</f>
        <v>0</v>
      </c>
      <c r="AK95" s="106">
        <f>+HLOOKUP($C95,PMGR!$AQ$2:$BC$250,111,0)</f>
        <v>5420</v>
      </c>
      <c r="AL95" s="106">
        <f>+HLOOKUP($C95,PMGR!$AQ$2:$BC$250,112,0)</f>
        <v>0</v>
      </c>
      <c r="AM95" s="106">
        <f>+HLOOKUP($C95,PMGR!$AQ$2:$BC$250,116,0)</f>
        <v>594010.82000000007</v>
      </c>
      <c r="AN95" s="106">
        <f>+HLOOKUP($C95,PMGR!$AQ$2:$BC$250,117,0)</f>
        <v>88353</v>
      </c>
      <c r="AO95" s="106">
        <f>+HLOOKUP($C95,PMGR!$AQ$2:$BC$250,118,0)</f>
        <v>6500</v>
      </c>
      <c r="AP95" s="106">
        <f>+HLOOKUP($C95,PMGR!$AQ$2:$BC$250,119,0)</f>
        <v>175845</v>
      </c>
      <c r="AQ95" s="106">
        <f>+HLOOKUP($C95,PMGR!$AQ$2:$BC$250,120,0)</f>
        <v>47711</v>
      </c>
      <c r="AR95" s="106">
        <f>+HLOOKUP($C95,PMGR!$AQ$2:$BC$250,121,0)</f>
        <v>30723</v>
      </c>
      <c r="AS95" s="106">
        <f>+HLOOKUP($C95,PMGR!$AQ$2:$BC$250,122,0)</f>
        <v>299213</v>
      </c>
      <c r="AT95" s="106">
        <f>+HLOOKUP($C95,PMGR!$AQ$2:$BC$250,123,0)</f>
        <v>92744.16</v>
      </c>
      <c r="AU95" s="106">
        <f>+HLOOKUP($C95,PMGR!$AQ$2:$BC$250,124,0)</f>
        <v>18805.039999999997</v>
      </c>
      <c r="AV95" s="106">
        <f>+HLOOKUP($C95,PMGR!$AQ$2:$BC$250,125,0)</f>
        <v>116640</v>
      </c>
      <c r="AW95" s="106">
        <f>+HLOOKUP($C95,PMGR!$AQ$2:$BC$250,126,0)</f>
        <v>41810.705769230772</v>
      </c>
      <c r="AX95" s="106">
        <f>+HLOOKUP($C95,PMGR!$AQ$2:$BC$250,127,0)</f>
        <v>56845.311666666668</v>
      </c>
      <c r="AY95" s="106">
        <f>+HLOOKUP($C95,PMGR!$AQ$2:$BC$250,129,0)</f>
        <v>0</v>
      </c>
      <c r="AZ95" s="106">
        <f>+HLOOKUP($C95,PMGR!$AQ$2:$BC$250,130,0)</f>
        <v>0</v>
      </c>
      <c r="BA95" s="106">
        <f>+HLOOKUP($C95,PMGR!$AQ$2:$BC$250,131,0)</f>
        <v>98175</v>
      </c>
      <c r="BB95" s="106">
        <f>+HLOOKUP($C95,PMGR!$AQ$2:$BC$250,133,0)</f>
        <v>0</v>
      </c>
      <c r="BC95" s="106">
        <f>+HLOOKUP($C95,PMGR!$AQ$2:$BC$250,134,0)</f>
        <v>0</v>
      </c>
      <c r="BD95" s="106">
        <f>+HLOOKUP($C95,PMGR!$AQ$2:$BC$250,135,0)</f>
        <v>0</v>
      </c>
      <c r="BE95" s="106">
        <f>+HLOOKUP($C95,PMGR!$AQ$2:$BC$250,136,0)</f>
        <v>0</v>
      </c>
      <c r="BF95" s="106">
        <f>+HLOOKUP($C95,PMGR!$AQ$2:$BC$250,138,0)</f>
        <v>5107.3199999999988</v>
      </c>
      <c r="BG95" s="106">
        <f>+HLOOKUP($C95,PMGR!$AQ$2:$BC$250,139,0)</f>
        <v>29339.77</v>
      </c>
      <c r="BH95" s="106">
        <f>+HLOOKUP($C95,PMGR!$AQ$2:$BC$250,140,0)</f>
        <v>49152</v>
      </c>
      <c r="BI95" s="106">
        <f>+HLOOKUP($C95,PMGR!$AQ$2:$BC$250,141,0)</f>
        <v>0</v>
      </c>
      <c r="BJ95" s="106">
        <f>+HLOOKUP($C95,PMGR!$AQ$2:$BC$250,142,0)</f>
        <v>0</v>
      </c>
      <c r="BK95" s="106">
        <f>+HLOOKUP($C95,PMGR!$AQ$2:$BC$250,143,0)</f>
        <v>25509.75</v>
      </c>
      <c r="BL95" s="106">
        <f>+HLOOKUP($C95,PMGR!$AQ$2:$BC$250,144,0)</f>
        <v>2657</v>
      </c>
      <c r="BM95" s="106">
        <f>+HLOOKUP($C95,PMGR!$AQ$2:$BC$250,146,0)</f>
        <v>0</v>
      </c>
      <c r="BN95" s="106">
        <f>+HLOOKUP($C95,PMGR!$AQ$2:$BC$250,147,0)</f>
        <v>74941</v>
      </c>
      <c r="BO95" s="106">
        <f>+HLOOKUP($C95,PMGR!$AQ$2:$BC$250,148,0)</f>
        <v>0</v>
      </c>
      <c r="BP95" s="106">
        <f>+HLOOKUP($C95,PMGR!$AQ$2:$BC$250,150,0)</f>
        <v>49299</v>
      </c>
      <c r="BQ95" s="106">
        <f>+HLOOKUP($C95,PMGR!$AQ$2:$BC$250,151,0)</f>
        <v>9450</v>
      </c>
      <c r="BR95" s="106">
        <f>+HLOOKUP($C95,PMGR!$AQ$2:$BC$250,152,0)</f>
        <v>19200</v>
      </c>
      <c r="BS95" s="106">
        <f>+HLOOKUP($C95,PMGR!$AQ$2:$BC$250,153,0)</f>
        <v>0</v>
      </c>
      <c r="BT95" s="106">
        <f>+HLOOKUP($C95,PMGR!$AQ$2:$BC$250,157,0)</f>
        <v>24725</v>
      </c>
      <c r="BU95" s="106">
        <f>+HLOOKUP($C95,PMGR!$AQ$2:$BC$250,158,0)</f>
        <v>19767</v>
      </c>
      <c r="BV95" s="106">
        <f>+HLOOKUP($C95,PMGR!$AQ$2:$BC$250,159,0)</f>
        <v>681</v>
      </c>
      <c r="BW95" s="106">
        <f>+HLOOKUP($C95,PMGR!$AQ$2:$BC$250,160,0)</f>
        <v>61391</v>
      </c>
      <c r="BX95" s="106">
        <f>+HLOOKUP($C95,PMGR!$AQ$2:$BC$250,161,0)</f>
        <v>13169.5</v>
      </c>
      <c r="BY95" s="106">
        <f>+HLOOKUP($C95,PMGR!$AQ$2:$BC$250,164,0)</f>
        <v>5347.6439999999993</v>
      </c>
      <c r="BZ95" s="106">
        <f>+HLOOKUP($C95,PMGR!$AQ$2:$BC$250,165,0)</f>
        <v>39237.46</v>
      </c>
      <c r="CA95" s="106">
        <f>+HLOOKUP($C95,PMGR!$AQ$2:$BC$250,166,0)</f>
        <v>0</v>
      </c>
      <c r="CB95" s="106">
        <f>+HLOOKUP($C95,PMGR!$AQ$2:$BC$250,167,0)</f>
        <v>2605.11</v>
      </c>
      <c r="CC95" s="106">
        <f>+HLOOKUP($C95,PMGR!$AQ$2:$BC$250,168,0)</f>
        <v>0</v>
      </c>
      <c r="CD95" s="106">
        <f>+HLOOKUP($C95,PMGR!$AQ$2:$BC$250,169,0)</f>
        <v>7203.92</v>
      </c>
      <c r="CE95" s="106">
        <f>+HLOOKUP($C95,PMGR!$AQ$2:$BC$250,170,0)</f>
        <v>0</v>
      </c>
      <c r="CF95" s="106">
        <f>+HLOOKUP($C95,PMGR!$AQ$2:$BC$250,172,0)</f>
        <v>32700</v>
      </c>
      <c r="CG95" s="106">
        <f>+HLOOKUP($C95,PMGR!$AQ$2:$BC$250,173,0)</f>
        <v>0</v>
      </c>
      <c r="CH95" s="106">
        <f>+HLOOKUP($C95,PMGR!$AQ$2:$BC$250,174,0)</f>
        <v>49553.950799999868</v>
      </c>
      <c r="CI95" s="106">
        <f>+HLOOKUP($C95,PMGR!$AQ$2:$BC$250,175,0)</f>
        <v>5918.2800000000116</v>
      </c>
      <c r="CJ95" s="106">
        <f>+HLOOKUP($C95,PMGR!$AQ$2:$BC$250,176,0)</f>
        <v>1063.7298000000003</v>
      </c>
      <c r="CK95" s="106">
        <f>+HLOOKUP($C95,PMGR!$AQ$2:$BC$250,178,0)</f>
        <v>104157.02039999999</v>
      </c>
      <c r="CL95" s="106">
        <f>+HLOOKUP($C95,PMGR!$AQ$2:$BC$250,179,0)</f>
        <v>0</v>
      </c>
      <c r="CM95" s="106">
        <f>+HLOOKUP($C95,PMGR!$AQ$2:$BC$250,180,0)</f>
        <v>0</v>
      </c>
      <c r="CN95" s="106">
        <f>+HLOOKUP($C95,PMGR!$AQ$2:$BC$250,182,0)</f>
        <v>737.1</v>
      </c>
      <c r="CO95" s="106">
        <f>+HLOOKUP($C95,PMGR!$AQ$2:$BC$250,183,0)</f>
        <v>13514.4</v>
      </c>
      <c r="CP95" s="106">
        <f>+HLOOKUP($C95,PMGR!$AQ$2:$BC$250,184,0)</f>
        <v>0</v>
      </c>
      <c r="CQ95" s="106">
        <f>+HLOOKUP($C95,PMGR!$AQ$2:$BC$250,185,0)</f>
        <v>0</v>
      </c>
      <c r="CR95" s="106">
        <f>+HLOOKUP($C95,PMGR!$AQ$2:$BC$250,187,0)</f>
        <v>3749.9999999999936</v>
      </c>
      <c r="CS95" s="106">
        <f>+HLOOKUP($C95,PMGR!$AQ$2:$BC$250,188,0)</f>
        <v>4770</v>
      </c>
      <c r="CT95" s="106">
        <f>+HLOOKUP($C95,PMGR!$AQ$2:$BC$250,189,0)</f>
        <v>0</v>
      </c>
      <c r="CU95" s="106">
        <f>+HLOOKUP($C95,PMGR!$AQ$2:$BC$250,190,0)</f>
        <v>1499.9993999999999</v>
      </c>
      <c r="CV95" s="106">
        <f>+HLOOKUP($C95,PMGR!$AQ$2:$BC$250,191,0)</f>
        <v>0</v>
      </c>
      <c r="CW95" s="106">
        <f>+HLOOKUP($C95,PMGR!$AQ$2:$BC$250,193,0)</f>
        <v>15889.8</v>
      </c>
      <c r="CX95" s="106">
        <f>+HLOOKUP($C95,PMGR!$AQ$2:$BC$250,194,0)</f>
        <v>47.699999999999996</v>
      </c>
      <c r="CY95" s="106">
        <f>+HLOOKUP($C95,PMGR!$AQ$2:$BC$250,195,0)</f>
        <v>7300</v>
      </c>
      <c r="CZ95" s="106">
        <f>+HLOOKUP($C95,PMGR!$AQ$2:$BC$250,196,0)</f>
        <v>0</v>
      </c>
      <c r="DA95" s="106">
        <f>+HLOOKUP($C95,PMGR!$AQ$2:$BC$250,197,0)</f>
        <v>46341.77</v>
      </c>
      <c r="DB95" s="106">
        <f>+HLOOKUP($C95,PMGR!$AQ$2:$BC$250,198,0)</f>
        <v>5084.7299999999996</v>
      </c>
      <c r="DC95" s="106">
        <f>+HLOOKUP($C95,PMGR!$AQ$2:$BC$250,199,0)</f>
        <v>17706.61</v>
      </c>
      <c r="DD95" s="106">
        <f>+HLOOKUP($C95,PMGR!$AQ$2:$BC$250,200,0)</f>
        <v>2640</v>
      </c>
      <c r="DE95" s="106">
        <f>+HLOOKUP($C95,PMGR!$AQ$2:$BC$250,201,0)</f>
        <v>0</v>
      </c>
      <c r="DF95" s="106">
        <f>+HLOOKUP($C95,PMGR!$AQ$2:$BC$250,202,0)</f>
        <v>-7.9184000000000001</v>
      </c>
      <c r="DG95" s="106">
        <f>+HLOOKUP($C95,PMGR!$AQ$2:$BC$250,203,0)</f>
        <v>164.49</v>
      </c>
      <c r="DH95" s="106">
        <f>+HLOOKUP($C95,PMGR!$AQ$2:$BC$250,205,0)</f>
        <v>0</v>
      </c>
      <c r="DI95" s="106">
        <f>+HLOOKUP($C95,PMGR!$AQ$2:$BC$250,206,0)</f>
        <v>9953.4599999999991</v>
      </c>
      <c r="DJ95" s="106">
        <f>+HLOOKUP($C95,PMGR!$AQ$2:$BC$250,207,0)</f>
        <v>75134.784999999989</v>
      </c>
      <c r="DK95" s="106">
        <f>+HLOOKUP($C95,PMGR!$AQ$2:$BC$250,209,0)</f>
        <v>0</v>
      </c>
      <c r="DL95" s="106">
        <f>+HLOOKUP($C95,PMGR!$AQ$2:$BC$250,210,0)</f>
        <v>177294.6</v>
      </c>
      <c r="DM95" s="106">
        <f>+HLOOKUP($C95,PMGR!$AQ$2:$BC$250,211,0)</f>
        <v>0</v>
      </c>
      <c r="DN95" s="106">
        <f>+HLOOKUP($C95,PMGR!$AQ$2:$BC$250,212,0)</f>
        <v>0</v>
      </c>
      <c r="DO95" s="106">
        <f>+HLOOKUP($C95,PMGR!$AQ$2:$BC$250,214,0)</f>
        <v>0</v>
      </c>
      <c r="DP95" s="106">
        <f>+HLOOKUP($C95,PMGR!$AQ$2:$BC$250,215,0)</f>
        <v>800</v>
      </c>
      <c r="DQ95" s="106">
        <f>+HLOOKUP($C95,PMGR!$AQ$2:$BC$250,219,0)</f>
        <v>0</v>
      </c>
      <c r="DR95" s="106">
        <f>+HLOOKUP($C95,PMGR!$AQ$2:$BC$250,220,0)</f>
        <v>0</v>
      </c>
      <c r="DS95" s="106">
        <f>+HLOOKUP($C95,PMGR!$AQ$2:$BC$250,221,0)</f>
        <v>0</v>
      </c>
      <c r="DT95" s="106">
        <f>+HLOOKUP($C95,PMGR!$AQ$2:$BC$250,223,0)</f>
        <v>14093.684999999999</v>
      </c>
      <c r="DU95" s="106">
        <f>+HLOOKUP($C95,PMGR!$AQ$2:$BC$250,224,0)</f>
        <v>0</v>
      </c>
      <c r="DV95" s="106">
        <f>+HLOOKUP($C95,PMGR!$AQ$2:$BC$250,225,0)</f>
        <v>0</v>
      </c>
      <c r="DW95" s="106">
        <f>+HLOOKUP($C95,PMGR!$AQ$2:$BC$250,227,0)</f>
        <v>0</v>
      </c>
      <c r="DX95" s="106">
        <f>+HLOOKUP($C95,PMGR!$AQ$2:$BC$250,228,0)</f>
        <v>41063.4</v>
      </c>
      <c r="DY95" s="106">
        <f>+HLOOKUP($C95,PMGR!$AQ$2:$BC$250,236,0)</f>
        <v>0</v>
      </c>
      <c r="DZ95" s="106">
        <f>+HLOOKUP($C95,PMGR!$AQ$2:$BC$250,237,0)</f>
        <v>39455.187419999995</v>
      </c>
      <c r="EA95" s="106">
        <f>+HLOOKUP($C95,PMGR!$AQ$2:$BC$250,238,0)</f>
        <v>72498.599999999991</v>
      </c>
      <c r="EB95" s="106">
        <f>+HLOOKUP($C95,PMGR!$AQ$2:$BC$250,240,0)</f>
        <v>681753.02281250001</v>
      </c>
    </row>
    <row r="96" spans="1:132">
      <c r="A96" t="s">
        <v>269</v>
      </c>
      <c r="B96" t="s">
        <v>217</v>
      </c>
      <c r="C96" s="117">
        <v>45323</v>
      </c>
      <c r="D96" s="106">
        <f t="shared" si="2"/>
        <v>13840401.004978696</v>
      </c>
      <c r="E96" s="106">
        <f>+HLOOKUP(C96,PMGR!$AQ$2:$BC$250,28,0)+HLOOKUP(C96,PMGR!$AQ$2:$BC$250,43,0)+HLOOKUP(C96,PMGR!$AQ$2:$BC$250,44,0)+HLOOKUP(C96,PMGR!$AQ$2:$BC$250,45,0)+HLOOKUP(C96,PMGR!$AQ$2:$BC$250,54,0)+HLOOKUP(C96,PMGR!$AQ$2:$BC$250,59,0)</f>
        <v>13840401.004978696</v>
      </c>
      <c r="F96" s="106">
        <f>+HLOOKUP(C96,PMGR!$AQ$2:$BC$250,37,0)+HLOOKUP(C96,PMGR!$AQ$2:$BC$250,55,0)</f>
        <v>8947339.4299999997</v>
      </c>
      <c r="G96" s="106">
        <f>+HLOOKUP($C96,PMGR!$AQ$2:$BC$250,76,0)</f>
        <v>0</v>
      </c>
      <c r="H96" s="106">
        <f>+HLOOKUP($C96,PMGR!$AQ$2:$BC$250,77,0)</f>
        <v>0</v>
      </c>
      <c r="I96" s="106">
        <f>+HLOOKUP($C96,PMGR!$AQ$2:$BC$250,78,0)</f>
        <v>0</v>
      </c>
      <c r="J96" s="106">
        <f>+HLOOKUP($C96,PMGR!$AQ$2:$BC$250,79,0)</f>
        <v>0</v>
      </c>
      <c r="K96" s="106">
        <f>+HLOOKUP($C96,PMGR!$AQ$2:$BC$250,80,0)</f>
        <v>0</v>
      </c>
      <c r="L96" s="106">
        <f>+HLOOKUP($C96,PMGR!$AQ$2:$BC$250,81,0)</f>
        <v>0</v>
      </c>
      <c r="M96" s="106">
        <f>+HLOOKUP($C96,PMGR!$AQ$2:$BC$250,82,0)</f>
        <v>0</v>
      </c>
      <c r="N96" s="106">
        <f>+HLOOKUP($C96,PMGR!$AQ$2:$BC$250,83,0)</f>
        <v>0</v>
      </c>
      <c r="O96" s="106">
        <f>+HLOOKUP($C96,PMGR!$AQ$2:$BC$250,84,0)</f>
        <v>0</v>
      </c>
      <c r="P96" s="106">
        <f>+HLOOKUP($C96,PMGR!$AQ$2:$BC$250,85,0)</f>
        <v>0</v>
      </c>
      <c r="Q96" s="106">
        <f>+HLOOKUP($C96,PMGR!$AQ$2:$BC$250,87,0)</f>
        <v>288728.55499999999</v>
      </c>
      <c r="R96" s="106">
        <f>+HLOOKUP($C96,PMGR!$AQ$2:$BC$250,90,0)</f>
        <v>0</v>
      </c>
      <c r="S96" s="106">
        <f>+HLOOKUP($C96,PMGR!$AQ$2:$BC$250,91,0)</f>
        <v>10000</v>
      </c>
      <c r="T96" s="106">
        <f>+HLOOKUP($C96,PMGR!$AQ$2:$BC$250,92,0)</f>
        <v>0</v>
      </c>
      <c r="U96" s="106">
        <f>+HLOOKUP($C96,PMGR!$AQ$2:$BC$250,93,0)</f>
        <v>0</v>
      </c>
      <c r="V96" s="106">
        <f>+HLOOKUP($C96,PMGR!$AQ$2:$BC$250,94,0)</f>
        <v>0</v>
      </c>
      <c r="W96" s="106">
        <f>+HLOOKUP($C96,PMGR!$AQ$2:$BC$250,95,0)</f>
        <v>0</v>
      </c>
      <c r="X96" s="106">
        <f>+HLOOKUP($C96,PMGR!$AQ$2:$BC$250,96,0)</f>
        <v>0</v>
      </c>
      <c r="Y96" s="106">
        <f>+HLOOKUP($C96,PMGR!$AQ$2:$BC$250,97,0)</f>
        <v>0</v>
      </c>
      <c r="Z96" s="106">
        <f>+HLOOKUP($C96,PMGR!$AQ$2:$BC$250,98,0)</f>
        <v>0</v>
      </c>
      <c r="AA96" s="106">
        <f>+HLOOKUP($C96,PMGR!$AQ$2:$BC$250,99,0)</f>
        <v>0</v>
      </c>
      <c r="AB96" s="106">
        <f>+HLOOKUP($C96,PMGR!$AQ$2:$BC$250,100,0)</f>
        <v>0</v>
      </c>
      <c r="AC96" s="106">
        <f>+HLOOKUP($C96,PMGR!$AQ$2:$BC$250,101,0)</f>
        <v>0</v>
      </c>
      <c r="AD96" s="106">
        <f>+HLOOKUP($C96,PMGR!$AQ$2:$BC$250,104,0)</f>
        <v>1000</v>
      </c>
      <c r="AE96" s="106">
        <f>+HLOOKUP($C96,PMGR!$AQ$2:$BC$250,105,0)</f>
        <v>19151</v>
      </c>
      <c r="AF96" s="106">
        <f>+HLOOKUP($C96,PMGR!$AQ$2:$BC$250,106,0)</f>
        <v>0</v>
      </c>
      <c r="AG96" s="106">
        <f>+HLOOKUP($C96,PMGR!$AQ$2:$BC$250,107,0)</f>
        <v>0</v>
      </c>
      <c r="AH96" s="106">
        <f>+HLOOKUP($C96,PMGR!$AQ$2:$BC$250,108,0)</f>
        <v>0</v>
      </c>
      <c r="AI96" s="106">
        <f>+HLOOKUP($C96,PMGR!$AQ$2:$BC$250,109,0)</f>
        <v>0</v>
      </c>
      <c r="AJ96" s="106">
        <f>+HLOOKUP($C96,PMGR!$AQ$2:$BC$250,110,0)</f>
        <v>0</v>
      </c>
      <c r="AK96" s="106">
        <f>+HLOOKUP($C96,PMGR!$AQ$2:$BC$250,111,0)</f>
        <v>0</v>
      </c>
      <c r="AL96" s="106">
        <f>+HLOOKUP($C96,PMGR!$AQ$2:$BC$250,112,0)</f>
        <v>0</v>
      </c>
      <c r="AM96" s="106">
        <f>+HLOOKUP($C96,PMGR!$AQ$2:$BC$250,116,0)</f>
        <v>590890.98380000005</v>
      </c>
      <c r="AN96" s="106">
        <f>+HLOOKUP($C96,PMGR!$AQ$2:$BC$250,117,0)</f>
        <v>87039.77</v>
      </c>
      <c r="AO96" s="106">
        <f>+HLOOKUP($C96,PMGR!$AQ$2:$BC$250,118,0)</f>
        <v>7085.0000000000009</v>
      </c>
      <c r="AP96" s="106">
        <f>+HLOOKUP($C96,PMGR!$AQ$2:$BC$250,119,0)</f>
        <v>172320.28</v>
      </c>
      <c r="AQ96" s="106">
        <f>+HLOOKUP($C96,PMGR!$AQ$2:$BC$250,120,0)</f>
        <v>53105.890000000007</v>
      </c>
      <c r="AR96" s="106">
        <f>+HLOOKUP($C96,PMGR!$AQ$2:$BC$250,121,0)</f>
        <v>34859.29</v>
      </c>
      <c r="AS96" s="106">
        <f>+HLOOKUP($C96,PMGR!$AQ$2:$BC$250,122,0)</f>
        <v>334415.26999999996</v>
      </c>
      <c r="AT96" s="106">
        <f>+HLOOKUP($C96,PMGR!$AQ$2:$BC$250,123,0)</f>
        <v>90458.559999999998</v>
      </c>
      <c r="AU96" s="106">
        <f>+HLOOKUP($C96,PMGR!$AQ$2:$BC$250,124,0)</f>
        <v>17597.599999999999</v>
      </c>
      <c r="AV96" s="106">
        <f>+HLOOKUP($C96,PMGR!$AQ$2:$BC$250,125,0)</f>
        <v>116935.20000000001</v>
      </c>
      <c r="AW96" s="106">
        <f>+HLOOKUP($C96,PMGR!$AQ$2:$BC$250,126,0)</f>
        <v>41810.705769230772</v>
      </c>
      <c r="AX96" s="106">
        <f>+HLOOKUP($C96,PMGR!$AQ$2:$BC$250,127,0)</f>
        <v>56845.311666666668</v>
      </c>
      <c r="AY96" s="106">
        <f>+HLOOKUP($C96,PMGR!$AQ$2:$BC$250,129,0)</f>
        <v>0</v>
      </c>
      <c r="AZ96" s="106">
        <f>+HLOOKUP($C96,PMGR!$AQ$2:$BC$250,130,0)</f>
        <v>0</v>
      </c>
      <c r="BA96" s="106">
        <f>+HLOOKUP($C96,PMGR!$AQ$2:$BC$250,131,0)</f>
        <v>98175</v>
      </c>
      <c r="BB96" s="106">
        <f>+HLOOKUP($C96,PMGR!$AQ$2:$BC$250,133,0)</f>
        <v>0</v>
      </c>
      <c r="BC96" s="106">
        <f>+HLOOKUP($C96,PMGR!$AQ$2:$BC$250,134,0)</f>
        <v>43037.953199999989</v>
      </c>
      <c r="BD96" s="106">
        <f>+HLOOKUP($C96,PMGR!$AQ$2:$BC$250,135,0)</f>
        <v>0</v>
      </c>
      <c r="BE96" s="106">
        <f>+HLOOKUP($C96,PMGR!$AQ$2:$BC$250,136,0)</f>
        <v>0</v>
      </c>
      <c r="BF96" s="106">
        <f>+HLOOKUP($C96,PMGR!$AQ$2:$BC$250,138,0)</f>
        <v>6882.3199999999988</v>
      </c>
      <c r="BG96" s="106">
        <f>+HLOOKUP($C96,PMGR!$AQ$2:$BC$250,139,0)</f>
        <v>43292.75</v>
      </c>
      <c r="BH96" s="106">
        <f>+HLOOKUP($C96,PMGR!$AQ$2:$BC$250,140,0)</f>
        <v>61152</v>
      </c>
      <c r="BI96" s="106">
        <f>+HLOOKUP($C96,PMGR!$AQ$2:$BC$250,141,0)</f>
        <v>0</v>
      </c>
      <c r="BJ96" s="106">
        <f>+HLOOKUP($C96,PMGR!$AQ$2:$BC$250,142,0)</f>
        <v>0</v>
      </c>
      <c r="BK96" s="106">
        <f>+HLOOKUP($C96,PMGR!$AQ$2:$BC$250,143,0)</f>
        <v>25509.75</v>
      </c>
      <c r="BL96" s="106">
        <f>+HLOOKUP($C96,PMGR!$AQ$2:$BC$250,144,0)</f>
        <v>0</v>
      </c>
      <c r="BM96" s="106">
        <f>+HLOOKUP($C96,PMGR!$AQ$2:$BC$250,146,0)</f>
        <v>0</v>
      </c>
      <c r="BN96" s="106">
        <f>+HLOOKUP($C96,PMGR!$AQ$2:$BC$250,147,0)</f>
        <v>42496</v>
      </c>
      <c r="BO96" s="106">
        <f>+HLOOKUP($C96,PMGR!$AQ$2:$BC$250,148,0)</f>
        <v>0</v>
      </c>
      <c r="BP96" s="106">
        <f>+HLOOKUP($C96,PMGR!$AQ$2:$BC$250,150,0)</f>
        <v>46489.799999999996</v>
      </c>
      <c r="BQ96" s="106">
        <f>+HLOOKUP($C96,PMGR!$AQ$2:$BC$250,151,0)</f>
        <v>9450</v>
      </c>
      <c r="BR96" s="106">
        <f>+HLOOKUP($C96,PMGR!$AQ$2:$BC$250,152,0)</f>
        <v>19200</v>
      </c>
      <c r="BS96" s="106">
        <f>+HLOOKUP($C96,PMGR!$AQ$2:$BC$250,153,0)</f>
        <v>0</v>
      </c>
      <c r="BT96" s="106">
        <f>+HLOOKUP($C96,PMGR!$AQ$2:$BC$250,157,0)</f>
        <v>77800</v>
      </c>
      <c r="BU96" s="106">
        <f>+HLOOKUP($C96,PMGR!$AQ$2:$BC$250,158,0)</f>
        <v>2777.06</v>
      </c>
      <c r="BV96" s="106">
        <f>+HLOOKUP($C96,PMGR!$AQ$2:$BC$250,159,0)</f>
        <v>681</v>
      </c>
      <c r="BW96" s="106">
        <f>+HLOOKUP($C96,PMGR!$AQ$2:$BC$250,160,0)</f>
        <v>31779.52</v>
      </c>
      <c r="BX96" s="106">
        <f>+HLOOKUP($C96,PMGR!$AQ$2:$BC$250,161,0)</f>
        <v>20151</v>
      </c>
      <c r="BY96" s="106">
        <f>+HLOOKUP($C96,PMGR!$AQ$2:$BC$250,164,0)</f>
        <v>8311.0220000000008</v>
      </c>
      <c r="BZ96" s="106">
        <f>+HLOOKUP($C96,PMGR!$AQ$2:$BC$250,165,0)</f>
        <v>24229.19</v>
      </c>
      <c r="CA96" s="106">
        <f>+HLOOKUP($C96,PMGR!$AQ$2:$BC$250,166,0)</f>
        <v>0</v>
      </c>
      <c r="CB96" s="106">
        <f>+HLOOKUP($C96,PMGR!$AQ$2:$BC$250,167,0)</f>
        <v>0</v>
      </c>
      <c r="CC96" s="106">
        <f>+HLOOKUP($C96,PMGR!$AQ$2:$BC$250,168,0)</f>
        <v>0</v>
      </c>
      <c r="CD96" s="106">
        <f>+HLOOKUP($C96,PMGR!$AQ$2:$BC$250,169,0)</f>
        <v>0</v>
      </c>
      <c r="CE96" s="106">
        <f>+HLOOKUP($C96,PMGR!$AQ$2:$BC$250,170,0)</f>
        <v>0</v>
      </c>
      <c r="CF96" s="106">
        <f>+HLOOKUP($C96,PMGR!$AQ$2:$BC$250,172,0)</f>
        <v>32700</v>
      </c>
      <c r="CG96" s="106">
        <f>+HLOOKUP($C96,PMGR!$AQ$2:$BC$250,173,0)</f>
        <v>0</v>
      </c>
      <c r="CH96" s="106">
        <f>+HLOOKUP($C96,PMGR!$AQ$2:$BC$250,174,0)</f>
        <v>49553.950799999868</v>
      </c>
      <c r="CI96" s="106">
        <f>+HLOOKUP($C96,PMGR!$AQ$2:$BC$250,175,0)</f>
        <v>5918.2800000000116</v>
      </c>
      <c r="CJ96" s="106">
        <f>+HLOOKUP($C96,PMGR!$AQ$2:$BC$250,176,0)</f>
        <v>3002.4</v>
      </c>
      <c r="CK96" s="106">
        <f>+HLOOKUP($C96,PMGR!$AQ$2:$BC$250,178,0)</f>
        <v>91464</v>
      </c>
      <c r="CL96" s="106">
        <f>+HLOOKUP($C96,PMGR!$AQ$2:$BC$250,179,0)</f>
        <v>0</v>
      </c>
      <c r="CM96" s="106">
        <f>+HLOOKUP($C96,PMGR!$AQ$2:$BC$250,180,0)</f>
        <v>0</v>
      </c>
      <c r="CN96" s="106">
        <f>+HLOOKUP($C96,PMGR!$AQ$2:$BC$250,182,0)</f>
        <v>737.1</v>
      </c>
      <c r="CO96" s="106">
        <f>+HLOOKUP($C96,PMGR!$AQ$2:$BC$250,183,0)</f>
        <v>13114.8</v>
      </c>
      <c r="CP96" s="106">
        <f>+HLOOKUP($C96,PMGR!$AQ$2:$BC$250,184,0)</f>
        <v>0</v>
      </c>
      <c r="CQ96" s="106">
        <f>+HLOOKUP($C96,PMGR!$AQ$2:$BC$250,185,0)</f>
        <v>0</v>
      </c>
      <c r="CR96" s="106">
        <f>+HLOOKUP($C96,PMGR!$AQ$2:$BC$250,187,0)</f>
        <v>3749.9999999999936</v>
      </c>
      <c r="CS96" s="106">
        <f>+HLOOKUP($C96,PMGR!$AQ$2:$BC$250,188,0)</f>
        <v>4770</v>
      </c>
      <c r="CT96" s="106">
        <f>+HLOOKUP($C96,PMGR!$AQ$2:$BC$250,189,0)</f>
        <v>0</v>
      </c>
      <c r="CU96" s="106">
        <f>+HLOOKUP($C96,PMGR!$AQ$2:$BC$250,190,0)</f>
        <v>1499.9993999999999</v>
      </c>
      <c r="CV96" s="106">
        <f>+HLOOKUP($C96,PMGR!$AQ$2:$BC$250,191,0)</f>
        <v>0</v>
      </c>
      <c r="CW96" s="106">
        <f>+HLOOKUP($C96,PMGR!$AQ$2:$BC$250,193,0)</f>
        <v>15889.8</v>
      </c>
      <c r="CX96" s="106">
        <f>+HLOOKUP($C96,PMGR!$AQ$2:$BC$250,194,0)</f>
        <v>47.699999999999996</v>
      </c>
      <c r="CY96" s="106">
        <f>+HLOOKUP($C96,PMGR!$AQ$2:$BC$250,195,0)</f>
        <v>83225</v>
      </c>
      <c r="CZ96" s="106">
        <f>+HLOOKUP($C96,PMGR!$AQ$2:$BC$250,196,0)</f>
        <v>0</v>
      </c>
      <c r="DA96" s="106">
        <f>+HLOOKUP($C96,PMGR!$AQ$2:$BC$250,197,0)</f>
        <v>13079.1348</v>
      </c>
      <c r="DB96" s="106">
        <f>+HLOOKUP($C96,PMGR!$AQ$2:$BC$250,198,0)</f>
        <v>17639.27</v>
      </c>
      <c r="DC96" s="106">
        <f>+HLOOKUP($C96,PMGR!$AQ$2:$BC$250,199,0)</f>
        <v>1161.02</v>
      </c>
      <c r="DD96" s="106">
        <f>+HLOOKUP($C96,PMGR!$AQ$2:$BC$250,200,0)</f>
        <v>13370</v>
      </c>
      <c r="DE96" s="106">
        <f>+HLOOKUP($C96,PMGR!$AQ$2:$BC$250,201,0)</f>
        <v>0</v>
      </c>
      <c r="DF96" s="106">
        <f>+HLOOKUP($C96,PMGR!$AQ$2:$BC$250,202,0)</f>
        <v>-13.247399999999999</v>
      </c>
      <c r="DG96" s="106">
        <f>+HLOOKUP($C96,PMGR!$AQ$2:$BC$250,203,0)</f>
        <v>249.916</v>
      </c>
      <c r="DH96" s="106">
        <f>+HLOOKUP($C96,PMGR!$AQ$2:$BC$250,205,0)</f>
        <v>0</v>
      </c>
      <c r="DI96" s="106">
        <f>+HLOOKUP($C96,PMGR!$AQ$2:$BC$250,206,0)</f>
        <v>16401.060000000001</v>
      </c>
      <c r="DJ96" s="106">
        <f>+HLOOKUP($C96,PMGR!$AQ$2:$BC$250,207,0)</f>
        <v>86238.739999999991</v>
      </c>
      <c r="DK96" s="106">
        <f>+HLOOKUP($C96,PMGR!$AQ$2:$BC$250,209,0)</f>
        <v>0</v>
      </c>
      <c r="DL96" s="106">
        <f>+HLOOKUP($C96,PMGR!$AQ$2:$BC$250,210,0)</f>
        <v>177294.6</v>
      </c>
      <c r="DM96" s="106">
        <f>+HLOOKUP($C96,PMGR!$AQ$2:$BC$250,211,0)</f>
        <v>0</v>
      </c>
      <c r="DN96" s="106">
        <f>+HLOOKUP($C96,PMGR!$AQ$2:$BC$250,212,0)</f>
        <v>0</v>
      </c>
      <c r="DO96" s="106">
        <f>+HLOOKUP($C96,PMGR!$AQ$2:$BC$250,214,0)</f>
        <v>0</v>
      </c>
      <c r="DP96" s="106">
        <f>+HLOOKUP($C96,PMGR!$AQ$2:$BC$250,215,0)</f>
        <v>400</v>
      </c>
      <c r="DQ96" s="106">
        <f>+HLOOKUP($C96,PMGR!$AQ$2:$BC$250,219,0)</f>
        <v>0</v>
      </c>
      <c r="DR96" s="106">
        <f>+HLOOKUP($C96,PMGR!$AQ$2:$BC$250,220,0)</f>
        <v>0</v>
      </c>
      <c r="DS96" s="106">
        <f>+HLOOKUP($C96,PMGR!$AQ$2:$BC$250,221,0)</f>
        <v>0</v>
      </c>
      <c r="DT96" s="106">
        <f>+HLOOKUP($C96,PMGR!$AQ$2:$BC$250,223,0)</f>
        <v>15215.120999999999</v>
      </c>
      <c r="DU96" s="106">
        <f>+HLOOKUP($C96,PMGR!$AQ$2:$BC$250,224,0)</f>
        <v>0</v>
      </c>
      <c r="DV96" s="106">
        <f>+HLOOKUP($C96,PMGR!$AQ$2:$BC$250,225,0)</f>
        <v>0</v>
      </c>
      <c r="DW96" s="106">
        <f>+HLOOKUP($C96,PMGR!$AQ$2:$BC$250,227,0)</f>
        <v>0</v>
      </c>
      <c r="DX96" s="106">
        <f>+HLOOKUP($C96,PMGR!$AQ$2:$BC$250,228,0)</f>
        <v>24454.079999999998</v>
      </c>
      <c r="DY96" s="106">
        <f>+HLOOKUP($C96,PMGR!$AQ$2:$BC$250,236,0)</f>
        <v>5864.4</v>
      </c>
      <c r="DZ96" s="106">
        <f>+HLOOKUP($C96,PMGR!$AQ$2:$BC$250,237,0)</f>
        <v>38568.717660000002</v>
      </c>
      <c r="EA96" s="106">
        <f>+HLOOKUP($C96,PMGR!$AQ$2:$BC$250,238,0)</f>
        <v>74920.800000000003</v>
      </c>
      <c r="EB96" s="106">
        <f>+HLOOKUP($C96,PMGR!$AQ$2:$BC$250,240,0)</f>
        <v>681753.02281250001</v>
      </c>
    </row>
    <row r="97" spans="1:132">
      <c r="A97" t="s">
        <v>269</v>
      </c>
      <c r="B97" t="s">
        <v>217</v>
      </c>
      <c r="C97" s="117">
        <v>45292</v>
      </c>
      <c r="D97" s="106">
        <f t="shared" si="2"/>
        <v>16061229.121541264</v>
      </c>
      <c r="E97" s="106">
        <f>+HLOOKUP(C97,PMGR!$AQ$2:$BC$250,28,0)+HLOOKUP(C97,PMGR!$AQ$2:$BC$250,43,0)+HLOOKUP(C97,PMGR!$AQ$2:$BC$250,44,0)+HLOOKUP(C97,PMGR!$AQ$2:$BC$250,45,0)+HLOOKUP(C97,PMGR!$AQ$2:$BC$250,54,0)+HLOOKUP(C97,PMGR!$AQ$2:$BC$250,59,0)</f>
        <v>16061229.121541264</v>
      </c>
      <c r="F97" s="106">
        <f>+HLOOKUP(C97,PMGR!$AQ$2:$BC$250,37,0)+HLOOKUP(C97,PMGR!$AQ$2:$BC$250,55,0)</f>
        <v>10573559.540000001</v>
      </c>
      <c r="G97" s="106">
        <f>+HLOOKUP($C97,PMGR!$AQ$2:$BC$250,76,0)</f>
        <v>0</v>
      </c>
      <c r="H97" s="106">
        <f>+HLOOKUP($C97,PMGR!$AQ$2:$BC$250,77,0)</f>
        <v>0</v>
      </c>
      <c r="I97" s="106">
        <f>+HLOOKUP($C97,PMGR!$AQ$2:$BC$250,78,0)</f>
        <v>0</v>
      </c>
      <c r="J97" s="106">
        <f>+HLOOKUP($C97,PMGR!$AQ$2:$BC$250,79,0)</f>
        <v>0</v>
      </c>
      <c r="K97" s="106">
        <f>+HLOOKUP($C97,PMGR!$AQ$2:$BC$250,80,0)</f>
        <v>2000</v>
      </c>
      <c r="L97" s="106">
        <f>+HLOOKUP($C97,PMGR!$AQ$2:$BC$250,81,0)</f>
        <v>0</v>
      </c>
      <c r="M97" s="106">
        <f>+HLOOKUP($C97,PMGR!$AQ$2:$BC$250,82,0)</f>
        <v>0</v>
      </c>
      <c r="N97" s="106">
        <f>+HLOOKUP($C97,PMGR!$AQ$2:$BC$250,83,0)</f>
        <v>0</v>
      </c>
      <c r="O97" s="106">
        <f>+HLOOKUP($C97,PMGR!$AQ$2:$BC$250,84,0)</f>
        <v>0</v>
      </c>
      <c r="P97" s="106">
        <f>+HLOOKUP($C97,PMGR!$AQ$2:$BC$250,85,0)</f>
        <v>0</v>
      </c>
      <c r="Q97" s="106">
        <f>+HLOOKUP($C97,PMGR!$AQ$2:$BC$250,87,0)</f>
        <v>347554.57100000011</v>
      </c>
      <c r="R97" s="106">
        <f>+HLOOKUP($C97,PMGR!$AQ$2:$BC$250,90,0)</f>
        <v>0</v>
      </c>
      <c r="S97" s="106">
        <f>+HLOOKUP($C97,PMGR!$AQ$2:$BC$250,91,0)</f>
        <v>0</v>
      </c>
      <c r="T97" s="106">
        <f>+HLOOKUP($C97,PMGR!$AQ$2:$BC$250,92,0)</f>
        <v>0</v>
      </c>
      <c r="U97" s="106">
        <f>+HLOOKUP($C97,PMGR!$AQ$2:$BC$250,93,0)</f>
        <v>0</v>
      </c>
      <c r="V97" s="106">
        <f>+HLOOKUP($C97,PMGR!$AQ$2:$BC$250,94,0)</f>
        <v>0</v>
      </c>
      <c r="W97" s="106">
        <f>+HLOOKUP($C97,PMGR!$AQ$2:$BC$250,95,0)</f>
        <v>0</v>
      </c>
      <c r="X97" s="106">
        <f>+HLOOKUP($C97,PMGR!$AQ$2:$BC$250,96,0)</f>
        <v>0</v>
      </c>
      <c r="Y97" s="106">
        <f>+HLOOKUP($C97,PMGR!$AQ$2:$BC$250,97,0)</f>
        <v>0</v>
      </c>
      <c r="Z97" s="106">
        <f>+HLOOKUP($C97,PMGR!$AQ$2:$BC$250,98,0)</f>
        <v>0</v>
      </c>
      <c r="AA97" s="106">
        <f>+HLOOKUP($C97,PMGR!$AQ$2:$BC$250,99,0)</f>
        <v>0</v>
      </c>
      <c r="AB97" s="106">
        <f>+HLOOKUP($C97,PMGR!$AQ$2:$BC$250,100,0)</f>
        <v>0</v>
      </c>
      <c r="AC97" s="106">
        <f>+HLOOKUP($C97,PMGR!$AQ$2:$BC$250,101,0)</f>
        <v>0</v>
      </c>
      <c r="AD97" s="106">
        <f>+HLOOKUP($C97,PMGR!$AQ$2:$BC$250,104,0)</f>
        <v>4346</v>
      </c>
      <c r="AE97" s="106">
        <f>+HLOOKUP($C97,PMGR!$AQ$2:$BC$250,105,0)</f>
        <v>23672</v>
      </c>
      <c r="AF97" s="106">
        <f>+HLOOKUP($C97,PMGR!$AQ$2:$BC$250,106,0)</f>
        <v>0</v>
      </c>
      <c r="AG97" s="106">
        <f>+HLOOKUP($C97,PMGR!$AQ$2:$BC$250,107,0)</f>
        <v>0</v>
      </c>
      <c r="AH97" s="106">
        <f>+HLOOKUP($C97,PMGR!$AQ$2:$BC$250,108,0)</f>
        <v>0</v>
      </c>
      <c r="AI97" s="106">
        <f>+HLOOKUP($C97,PMGR!$AQ$2:$BC$250,109,0)</f>
        <v>0</v>
      </c>
      <c r="AJ97" s="106">
        <f>+HLOOKUP($C97,PMGR!$AQ$2:$BC$250,110,0)</f>
        <v>0</v>
      </c>
      <c r="AK97" s="106">
        <f>+HLOOKUP($C97,PMGR!$AQ$2:$BC$250,111,0)</f>
        <v>0</v>
      </c>
      <c r="AL97" s="106">
        <f>+HLOOKUP($C97,PMGR!$AQ$2:$BC$250,112,0)</f>
        <v>0</v>
      </c>
      <c r="AM97" s="106">
        <f>+HLOOKUP($C97,PMGR!$AQ$2:$BC$250,116,0)</f>
        <v>586943.67959999933</v>
      </c>
      <c r="AN97" s="106">
        <f>+HLOOKUP($C97,PMGR!$AQ$2:$BC$250,117,0)</f>
        <v>87294.35040000001</v>
      </c>
      <c r="AO97" s="106">
        <f>+HLOOKUP($C97,PMGR!$AQ$2:$BC$250,118,0)</f>
        <v>7085.0000000000009</v>
      </c>
      <c r="AP97" s="106">
        <f>+HLOOKUP($C97,PMGR!$AQ$2:$BC$250,119,0)</f>
        <v>171620.9578</v>
      </c>
      <c r="AQ97" s="106">
        <f>+HLOOKUP($C97,PMGR!$AQ$2:$BC$250,120,0)</f>
        <v>51955.9182</v>
      </c>
      <c r="AR97" s="106">
        <f>+HLOOKUP($C97,PMGR!$AQ$2:$BC$250,121,0)</f>
        <v>36982.871600000006</v>
      </c>
      <c r="AS97" s="106">
        <f>+HLOOKUP($C97,PMGR!$AQ$2:$BC$250,122,0)</f>
        <v>332900.78039999999</v>
      </c>
      <c r="AT97" s="106">
        <f>+HLOOKUP($C97,PMGR!$AQ$2:$BC$250,123,0)</f>
        <v>91099.64</v>
      </c>
      <c r="AU97" s="106">
        <f>+HLOOKUP($C97,PMGR!$AQ$2:$BC$250,124,0)</f>
        <v>17902.599999999999</v>
      </c>
      <c r="AV97" s="106">
        <f>+HLOOKUP($C97,PMGR!$AQ$2:$BC$250,125,0)</f>
        <v>116935.20000000001</v>
      </c>
      <c r="AW97" s="106">
        <f>+HLOOKUP($C97,PMGR!$AQ$2:$BC$250,126,0)</f>
        <v>27262.628846153846</v>
      </c>
      <c r="AX97" s="106">
        <f>+HLOOKUP($C97,PMGR!$AQ$2:$BC$250,127,0)</f>
        <v>39805.311666666668</v>
      </c>
      <c r="AY97" s="106">
        <f>+HLOOKUP($C97,PMGR!$AQ$2:$BC$250,129,0)</f>
        <v>0</v>
      </c>
      <c r="AZ97" s="106">
        <f>+HLOOKUP($C97,PMGR!$AQ$2:$BC$250,130,0)</f>
        <v>0</v>
      </c>
      <c r="BA97" s="106">
        <f>+HLOOKUP($C97,PMGR!$AQ$2:$BC$250,131,0)</f>
        <v>98175</v>
      </c>
      <c r="BB97" s="106">
        <f>+HLOOKUP($C97,PMGR!$AQ$2:$BC$250,133,0)</f>
        <v>0</v>
      </c>
      <c r="BC97" s="106">
        <f>+HLOOKUP($C97,PMGR!$AQ$2:$BC$250,134,0)</f>
        <v>0</v>
      </c>
      <c r="BD97" s="106">
        <f>+HLOOKUP($C97,PMGR!$AQ$2:$BC$250,135,0)</f>
        <v>0</v>
      </c>
      <c r="BE97" s="106">
        <f>+HLOOKUP($C97,PMGR!$AQ$2:$BC$250,136,0)</f>
        <v>75200</v>
      </c>
      <c r="BF97" s="106">
        <f>+HLOOKUP($C97,PMGR!$AQ$2:$BC$250,138,0)</f>
        <v>5107.3199999999988</v>
      </c>
      <c r="BG97" s="106">
        <f>+HLOOKUP($C97,PMGR!$AQ$2:$BC$250,139,0)</f>
        <v>42121.33</v>
      </c>
      <c r="BH97" s="106">
        <f>+HLOOKUP($C97,PMGR!$AQ$2:$BC$250,140,0)</f>
        <v>49152</v>
      </c>
      <c r="BI97" s="106">
        <f>+HLOOKUP($C97,PMGR!$AQ$2:$BC$250,141,0)</f>
        <v>0</v>
      </c>
      <c r="BJ97" s="106">
        <f>+HLOOKUP($C97,PMGR!$AQ$2:$BC$250,142,0)</f>
        <v>0</v>
      </c>
      <c r="BK97" s="106">
        <f>+HLOOKUP($C97,PMGR!$AQ$2:$BC$250,143,0)</f>
        <v>25509.75</v>
      </c>
      <c r="BL97" s="106">
        <f>+HLOOKUP($C97,PMGR!$AQ$2:$BC$250,144,0)</f>
        <v>0</v>
      </c>
      <c r="BM97" s="106">
        <f>+HLOOKUP($C97,PMGR!$AQ$2:$BC$250,146,0)</f>
        <v>0</v>
      </c>
      <c r="BN97" s="106">
        <f>+HLOOKUP($C97,PMGR!$AQ$2:$BC$250,147,0)</f>
        <v>47453</v>
      </c>
      <c r="BO97" s="106">
        <f>+HLOOKUP($C97,PMGR!$AQ$2:$BC$250,148,0)</f>
        <v>0</v>
      </c>
      <c r="BP97" s="106">
        <f>+HLOOKUP($C97,PMGR!$AQ$2:$BC$250,150,0)</f>
        <v>48285</v>
      </c>
      <c r="BQ97" s="106">
        <f>+HLOOKUP($C97,PMGR!$AQ$2:$BC$250,151,0)</f>
        <v>9450</v>
      </c>
      <c r="BR97" s="106">
        <f>+HLOOKUP($C97,PMGR!$AQ$2:$BC$250,152,0)</f>
        <v>19200</v>
      </c>
      <c r="BS97" s="106">
        <f>+HLOOKUP($C97,PMGR!$AQ$2:$BC$250,153,0)</f>
        <v>0</v>
      </c>
      <c r="BT97" s="106">
        <f>+HLOOKUP($C97,PMGR!$AQ$2:$BC$250,157,0)</f>
        <v>0</v>
      </c>
      <c r="BU97" s="106">
        <f>+HLOOKUP($C97,PMGR!$AQ$2:$BC$250,158,0)</f>
        <v>149.99939999999998</v>
      </c>
      <c r="BV97" s="106">
        <f>+HLOOKUP($C97,PMGR!$AQ$2:$BC$250,159,0)</f>
        <v>680.56</v>
      </c>
      <c r="BW97" s="106">
        <f>+HLOOKUP($C97,PMGR!$AQ$2:$BC$250,160,0)</f>
        <v>22969.11</v>
      </c>
      <c r="BX97" s="106">
        <f>+HLOOKUP($C97,PMGR!$AQ$2:$BC$250,161,0)</f>
        <v>10694.946</v>
      </c>
      <c r="BY97" s="106">
        <f>+HLOOKUP($C97,PMGR!$AQ$2:$BC$250,164,0)</f>
        <v>13305.150600000001</v>
      </c>
      <c r="BZ97" s="106">
        <f>+HLOOKUP($C97,PMGR!$AQ$2:$BC$250,165,0)</f>
        <v>33505.699999999997</v>
      </c>
      <c r="CA97" s="106">
        <f>+HLOOKUP($C97,PMGR!$AQ$2:$BC$250,166,0)</f>
        <v>0</v>
      </c>
      <c r="CB97" s="106">
        <f>+HLOOKUP($C97,PMGR!$AQ$2:$BC$250,167,0)</f>
        <v>27372.45</v>
      </c>
      <c r="CC97" s="106">
        <f>+HLOOKUP($C97,PMGR!$AQ$2:$BC$250,168,0)</f>
        <v>0</v>
      </c>
      <c r="CD97" s="106">
        <f>+HLOOKUP($C97,PMGR!$AQ$2:$BC$250,169,0)</f>
        <v>0</v>
      </c>
      <c r="CE97" s="106">
        <f>+HLOOKUP($C97,PMGR!$AQ$2:$BC$250,170,0)</f>
        <v>0</v>
      </c>
      <c r="CF97" s="106">
        <f>+HLOOKUP($C97,PMGR!$AQ$2:$BC$250,172,0)</f>
        <v>32700</v>
      </c>
      <c r="CG97" s="106">
        <f>+HLOOKUP($C97,PMGR!$AQ$2:$BC$250,173,0)</f>
        <v>0</v>
      </c>
      <c r="CH97" s="106">
        <f>+HLOOKUP($C97,PMGR!$AQ$2:$BC$250,174,0)</f>
        <v>49553.950799999868</v>
      </c>
      <c r="CI97" s="106">
        <f>+HLOOKUP($C97,PMGR!$AQ$2:$BC$250,175,0)</f>
        <v>5918.2800000000116</v>
      </c>
      <c r="CJ97" s="106">
        <f>+HLOOKUP($C97,PMGR!$AQ$2:$BC$250,176,0)</f>
        <v>3036.4793999999997</v>
      </c>
      <c r="CK97" s="106">
        <f>+HLOOKUP($C97,PMGR!$AQ$2:$BC$250,178,0)</f>
        <v>98531.600399999996</v>
      </c>
      <c r="CL97" s="106">
        <f>+HLOOKUP($C97,PMGR!$AQ$2:$BC$250,179,0)</f>
        <v>5229.3599999999997</v>
      </c>
      <c r="CM97" s="106">
        <f>+HLOOKUP($C97,PMGR!$AQ$2:$BC$250,180,0)</f>
        <v>0</v>
      </c>
      <c r="CN97" s="106">
        <f>+HLOOKUP($C97,PMGR!$AQ$2:$BC$250,182,0)</f>
        <v>737.1</v>
      </c>
      <c r="CO97" s="106">
        <f>+HLOOKUP($C97,PMGR!$AQ$2:$BC$250,183,0)</f>
        <v>13514.645999999999</v>
      </c>
      <c r="CP97" s="106">
        <f>+HLOOKUP($C97,PMGR!$AQ$2:$BC$250,184,0)</f>
        <v>2984.5349999999994</v>
      </c>
      <c r="CQ97" s="106">
        <f>+HLOOKUP($C97,PMGR!$AQ$2:$BC$250,185,0)</f>
        <v>0</v>
      </c>
      <c r="CR97" s="106">
        <f>+HLOOKUP($C97,PMGR!$AQ$2:$BC$250,187,0)</f>
        <v>3749.9999999999936</v>
      </c>
      <c r="CS97" s="106">
        <f>+HLOOKUP($C97,PMGR!$AQ$2:$BC$250,188,0)</f>
        <v>4770</v>
      </c>
      <c r="CT97" s="106">
        <f>+HLOOKUP($C97,PMGR!$AQ$2:$BC$250,189,0)</f>
        <v>0</v>
      </c>
      <c r="CU97" s="106">
        <f>+HLOOKUP($C97,PMGR!$AQ$2:$BC$250,190,0)</f>
        <v>1499.9999999999993</v>
      </c>
      <c r="CV97" s="106">
        <f>+HLOOKUP($C97,PMGR!$AQ$2:$BC$250,191,0)</f>
        <v>0</v>
      </c>
      <c r="CW97" s="106">
        <f>+HLOOKUP($C97,PMGR!$AQ$2:$BC$250,193,0)</f>
        <v>15889.8</v>
      </c>
      <c r="CX97" s="106">
        <f>+HLOOKUP($C97,PMGR!$AQ$2:$BC$250,194,0)</f>
        <v>47.699999999999996</v>
      </c>
      <c r="CY97" s="106">
        <f>+HLOOKUP($C97,PMGR!$AQ$2:$BC$250,195,0)</f>
        <v>0</v>
      </c>
      <c r="CZ97" s="106">
        <f>+HLOOKUP($C97,PMGR!$AQ$2:$BC$250,196,0)</f>
        <v>0</v>
      </c>
      <c r="DA97" s="106">
        <f>+HLOOKUP($C97,PMGR!$AQ$2:$BC$250,197,0)</f>
        <v>7069.8600000000006</v>
      </c>
      <c r="DB97" s="106">
        <f>+HLOOKUP($C97,PMGR!$AQ$2:$BC$250,198,0)</f>
        <v>18270.88</v>
      </c>
      <c r="DC97" s="106">
        <f>+HLOOKUP($C97,PMGR!$AQ$2:$BC$250,199,0)</f>
        <v>1902.6219999999998</v>
      </c>
      <c r="DD97" s="106">
        <f>+HLOOKUP($C97,PMGR!$AQ$2:$BC$250,200,0)</f>
        <v>16950</v>
      </c>
      <c r="DE97" s="106">
        <f>+HLOOKUP($C97,PMGR!$AQ$2:$BC$250,201,0)</f>
        <v>0</v>
      </c>
      <c r="DF97" s="106">
        <f>+HLOOKUP($C97,PMGR!$AQ$2:$BC$250,202,0)</f>
        <v>-0.19199999999999998</v>
      </c>
      <c r="DG97" s="106">
        <f>+HLOOKUP($C97,PMGR!$AQ$2:$BC$250,203,0)</f>
        <v>35.9574</v>
      </c>
      <c r="DH97" s="106">
        <f>+HLOOKUP($C97,PMGR!$AQ$2:$BC$250,205,0)</f>
        <v>0</v>
      </c>
      <c r="DI97" s="106">
        <f>+HLOOKUP($C97,PMGR!$AQ$2:$BC$250,206,0)</f>
        <v>16401.0906</v>
      </c>
      <c r="DJ97" s="106">
        <f>+HLOOKUP($C97,PMGR!$AQ$2:$BC$250,207,0)</f>
        <v>85704.236999999994</v>
      </c>
      <c r="DK97" s="106">
        <f>+HLOOKUP($C97,PMGR!$AQ$2:$BC$250,209,0)</f>
        <v>0</v>
      </c>
      <c r="DL97" s="106">
        <f>+HLOOKUP($C97,PMGR!$AQ$2:$BC$250,210,0)</f>
        <v>177294.6</v>
      </c>
      <c r="DM97" s="106">
        <f>+HLOOKUP($C97,PMGR!$AQ$2:$BC$250,211,0)</f>
        <v>0</v>
      </c>
      <c r="DN97" s="106">
        <f>+HLOOKUP($C97,PMGR!$AQ$2:$BC$250,212,0)</f>
        <v>0</v>
      </c>
      <c r="DO97" s="106">
        <f>+HLOOKUP($C97,PMGR!$AQ$2:$BC$250,214,0)</f>
        <v>0</v>
      </c>
      <c r="DP97" s="106">
        <f>+HLOOKUP($C97,PMGR!$AQ$2:$BC$250,215,0)</f>
        <v>850</v>
      </c>
      <c r="DQ97" s="106">
        <f>+HLOOKUP($C97,PMGR!$AQ$2:$BC$250,219,0)</f>
        <v>0</v>
      </c>
      <c r="DR97" s="106">
        <f>+HLOOKUP($C97,PMGR!$AQ$2:$BC$250,220,0)</f>
        <v>0</v>
      </c>
      <c r="DS97" s="106">
        <f>+HLOOKUP($C97,PMGR!$AQ$2:$BC$250,221,0)</f>
        <v>0</v>
      </c>
      <c r="DT97" s="106">
        <f>+HLOOKUP($C97,PMGR!$AQ$2:$BC$250,223,0)</f>
        <v>16211.446199999998</v>
      </c>
      <c r="DU97" s="106">
        <f>+HLOOKUP($C97,PMGR!$AQ$2:$BC$250,224,0)</f>
        <v>0</v>
      </c>
      <c r="DV97" s="106">
        <f>+HLOOKUP($C97,PMGR!$AQ$2:$BC$250,225,0)</f>
        <v>0</v>
      </c>
      <c r="DW97" s="106">
        <f>+HLOOKUP($C97,PMGR!$AQ$2:$BC$250,227,0)</f>
        <v>0</v>
      </c>
      <c r="DX97" s="106">
        <f>+HLOOKUP($C97,PMGR!$AQ$2:$BC$250,228,0)</f>
        <v>1868.04</v>
      </c>
      <c r="DY97" s="106">
        <f>+HLOOKUP($C97,PMGR!$AQ$2:$BC$250,236,0)</f>
        <v>0</v>
      </c>
      <c r="DZ97" s="106">
        <f>+HLOOKUP($C97,PMGR!$AQ$2:$BC$250,237,0)</f>
        <v>43015.600319999998</v>
      </c>
      <c r="EA97" s="106">
        <f>+HLOOKUP($C97,PMGR!$AQ$2:$BC$250,238,0)</f>
        <v>77324.399999999994</v>
      </c>
      <c r="EB97" s="106">
        <f>+HLOOKUP($C97,PMGR!$AQ$2:$BC$250,240,0)</f>
        <v>681753.02281250001</v>
      </c>
    </row>
    <row r="98" spans="1:132">
      <c r="A98" t="s">
        <v>269</v>
      </c>
      <c r="B98" t="s">
        <v>217</v>
      </c>
      <c r="C98" s="117">
        <v>45261</v>
      </c>
    </row>
    <row r="99" spans="1:132">
      <c r="A99" t="s">
        <v>269</v>
      </c>
      <c r="B99" t="s">
        <v>217</v>
      </c>
      <c r="C99" s="117">
        <v>45231</v>
      </c>
    </row>
    <row r="100" spans="1:132">
      <c r="A100" t="s">
        <v>269</v>
      </c>
      <c r="B100" t="s">
        <v>217</v>
      </c>
      <c r="C100" s="117">
        <v>45200</v>
      </c>
    </row>
    <row r="101" spans="1:132">
      <c r="A101" t="s">
        <v>269</v>
      </c>
      <c r="B101" t="s">
        <v>217</v>
      </c>
      <c r="C101" s="117">
        <v>45170</v>
      </c>
    </row>
    <row r="102" spans="1:132">
      <c r="A102" t="s">
        <v>269</v>
      </c>
      <c r="B102" t="s">
        <v>217</v>
      </c>
      <c r="C102" s="117">
        <v>45139</v>
      </c>
    </row>
    <row r="103" spans="1:132">
      <c r="A103" t="s">
        <v>269</v>
      </c>
      <c r="B103" t="s">
        <v>217</v>
      </c>
      <c r="C103" s="117">
        <v>45108</v>
      </c>
    </row>
    <row r="104" spans="1:132">
      <c r="A104" t="s">
        <v>269</v>
      </c>
      <c r="B104" t="s">
        <v>217</v>
      </c>
      <c r="C104" s="117">
        <v>45078</v>
      </c>
    </row>
    <row r="105" spans="1:132">
      <c r="A105" t="s">
        <v>269</v>
      </c>
      <c r="B105" t="s">
        <v>217</v>
      </c>
      <c r="C105" s="117">
        <v>45047</v>
      </c>
    </row>
    <row r="106" spans="1:132">
      <c r="A106" t="s">
        <v>269</v>
      </c>
      <c r="B106" t="s">
        <v>217</v>
      </c>
      <c r="C106" s="117">
        <v>45017</v>
      </c>
    </row>
    <row r="107" spans="1:132">
      <c r="A107" t="s">
        <v>269</v>
      </c>
      <c r="B107" t="s">
        <v>217</v>
      </c>
      <c r="C107" s="117">
        <v>44986</v>
      </c>
    </row>
    <row r="108" spans="1:132">
      <c r="A108" t="s">
        <v>269</v>
      </c>
      <c r="B108" t="s">
        <v>217</v>
      </c>
      <c r="C108" s="117">
        <v>44958</v>
      </c>
    </row>
    <row r="109" spans="1:132">
      <c r="A109" t="s">
        <v>269</v>
      </c>
      <c r="B109" t="s">
        <v>217</v>
      </c>
      <c r="C109" s="117">
        <v>44927</v>
      </c>
    </row>
    <row r="110" spans="1:132" hidden="1">
      <c r="A110" t="s">
        <v>271</v>
      </c>
      <c r="B110" t="s">
        <v>217</v>
      </c>
      <c r="C110" s="117">
        <v>45992</v>
      </c>
      <c r="D110" s="106">
        <f t="shared" si="0"/>
        <v>0</v>
      </c>
      <c r="E110" s="106">
        <f>+HLOOKUP(C110,PMGR!$CU$2:$DG$250,28,0)+HLOOKUP(C110,PMGR!$CU$2:$DG$250,43,0)+HLOOKUP(C110,PMGR!$CU$2:$DG$250,44,0)+HLOOKUP(C110,PMGR!$CU$2:$DG$250,45,0)+HLOOKUP(C110,PMGR!$CU$2:$DG$250,54,0)+HLOOKUP(C110,PMGR!$CU$2:$DG$250,59,0)</f>
        <v>0</v>
      </c>
      <c r="F110" s="106">
        <f>+HLOOKUP(C110,PMGR!$CU$2:$DG$250,37,0)+HLOOKUP(C110,PMGR!$CU$2:$DG$250,55,0)</f>
        <v>0</v>
      </c>
      <c r="G110" s="106">
        <f>+HLOOKUP($C110,PMGR!$CU$2:$DG$250,76,0)</f>
        <v>0</v>
      </c>
      <c r="H110" s="106">
        <f>+HLOOKUP($C110,PMGR!$CU$2:$DG$250,77,0)</f>
        <v>0</v>
      </c>
      <c r="I110" s="106">
        <f>+HLOOKUP($C110,PMGR!$CU$2:$DG$250,78,0)</f>
        <v>0</v>
      </c>
      <c r="J110" s="106">
        <f>+HLOOKUP($C110,PMGR!$CU$2:$DG$250,79,0)</f>
        <v>0</v>
      </c>
      <c r="K110" s="106">
        <f>+HLOOKUP($C110,PMGR!$CU$2:$DG$250,80,0)</f>
        <v>0</v>
      </c>
      <c r="L110" s="106">
        <f>+HLOOKUP($C110,PMGR!$CU$2:$DG$250,81,0)</f>
        <v>0</v>
      </c>
      <c r="M110" s="106">
        <f>+HLOOKUP($C110,PMGR!$CU$2:$DG$250,82,0)</f>
        <v>0</v>
      </c>
      <c r="N110" s="106">
        <f>+HLOOKUP($C110,PMGR!$CU$2:$DG$250,83,0)</f>
        <v>0</v>
      </c>
      <c r="O110" s="106">
        <f>+HLOOKUP($C110,PMGR!$CU$2:$DG$250,84,0)</f>
        <v>0</v>
      </c>
      <c r="P110" s="106">
        <f>+HLOOKUP($C110,PMGR!$CU$2:$DG$250,85,0)</f>
        <v>0</v>
      </c>
      <c r="Q110" s="106">
        <f>+HLOOKUP($C110,PMGR!$CU$2:$DG$250,87,0)</f>
        <v>0</v>
      </c>
      <c r="R110" s="106">
        <f>+HLOOKUP($C110,PMGR!$CU$2:$DG$250,90,0)</f>
        <v>0</v>
      </c>
      <c r="S110" s="106">
        <f>+HLOOKUP($C110,PMGR!$CU$2:$DG$250,91,0)</f>
        <v>0</v>
      </c>
      <c r="T110" s="106">
        <f>+HLOOKUP($C110,PMGR!$CU$2:$DG$250,92,0)</f>
        <v>0</v>
      </c>
      <c r="U110" s="106">
        <f>+HLOOKUP($C110,PMGR!$CU$2:$DG$250,93,0)</f>
        <v>0</v>
      </c>
      <c r="V110" s="106">
        <f>+HLOOKUP($C110,PMGR!$CU$2:$DG$250,94,0)</f>
        <v>0</v>
      </c>
      <c r="W110" s="106">
        <f>+HLOOKUP($C110,PMGR!$CU$2:$DG$250,95,0)</f>
        <v>0</v>
      </c>
      <c r="X110" s="106">
        <f>+HLOOKUP($C110,PMGR!$CU$2:$DG$250,96,0)</f>
        <v>0</v>
      </c>
      <c r="Y110" s="106">
        <f>+HLOOKUP($C110,PMGR!$CU$2:$DG$250,97,0)</f>
        <v>0</v>
      </c>
      <c r="Z110" s="106">
        <f>+HLOOKUP($C110,PMGR!$CU$2:$DG$250,98,0)</f>
        <v>0</v>
      </c>
      <c r="AA110" s="106">
        <f>+HLOOKUP($C110,PMGR!$CU$2:$DG$250,99,0)</f>
        <v>0</v>
      </c>
      <c r="AB110" s="106">
        <f>+HLOOKUP($C110,PMGR!$CU$2:$DG$250,100,0)</f>
        <v>0</v>
      </c>
      <c r="AC110" s="106">
        <f>+HLOOKUP($C110,PMGR!$CU$2:$DG$250,101,0)</f>
        <v>0</v>
      </c>
      <c r="AD110" s="106">
        <f>+HLOOKUP($C110,PMGR!$CU$2:$DG$250,104,0)</f>
        <v>0</v>
      </c>
      <c r="AE110" s="106">
        <f>+HLOOKUP($C110,PMGR!$CU$2:$DG$250,105,0)</f>
        <v>0</v>
      </c>
      <c r="AF110" s="106">
        <f>+HLOOKUP($C110,PMGR!$CU$2:$DG$250,106,0)</f>
        <v>0</v>
      </c>
      <c r="AG110" s="106">
        <f>+HLOOKUP($C110,PMGR!$CU$2:$DG$250,107,0)</f>
        <v>0</v>
      </c>
      <c r="AH110" s="106">
        <f>+HLOOKUP($C110,PMGR!$CU$2:$DG$250,108,0)</f>
        <v>0</v>
      </c>
      <c r="AI110" s="106">
        <f>+HLOOKUP($C110,PMGR!$CU$2:$DG$250,109,0)</f>
        <v>0</v>
      </c>
      <c r="AJ110" s="106">
        <f>+HLOOKUP($C110,PMGR!$CU$2:$DG$250,110,0)</f>
        <v>0</v>
      </c>
      <c r="AK110" s="106">
        <f>+HLOOKUP($C110,PMGR!$CU$2:$DG$250,111,0)</f>
        <v>0</v>
      </c>
      <c r="AL110" s="106">
        <f>+HLOOKUP($C110,PMGR!$CU$2:$DG$250,112,0)</f>
        <v>0</v>
      </c>
      <c r="AM110" s="106">
        <f>+HLOOKUP($C110,PMGR!$CU$2:$DG$250,116,0)</f>
        <v>0</v>
      </c>
      <c r="AN110" s="106">
        <f>+HLOOKUP($C110,PMGR!$CU$2:$DG$250,117,0)</f>
        <v>0</v>
      </c>
      <c r="AO110" s="106">
        <f>+HLOOKUP($C110,PMGR!$CU$2:$DG$250,118,0)</f>
        <v>0</v>
      </c>
      <c r="AP110" s="106">
        <f>+HLOOKUP($C110,PMGR!$CU$2:$DG$250,119,0)</f>
        <v>0</v>
      </c>
      <c r="AQ110" s="106">
        <f>+HLOOKUP($C110,PMGR!$CU$2:$DG$250,120,0)</f>
        <v>0</v>
      </c>
      <c r="AR110" s="106">
        <f>+HLOOKUP($C110,PMGR!$CU$2:$DG$250,121,0)</f>
        <v>0</v>
      </c>
      <c r="AS110" s="106">
        <f>+HLOOKUP($C110,PMGR!$CU$2:$DG$250,122,0)</f>
        <v>0</v>
      </c>
      <c r="AT110" s="106">
        <f>+HLOOKUP($C110,PMGR!$CU$2:$DG$250,123,0)</f>
        <v>0</v>
      </c>
      <c r="AU110" s="106">
        <f>+HLOOKUP($C110,PMGR!$CU$2:$DG$250,124,0)</f>
        <v>0</v>
      </c>
      <c r="AV110" s="106">
        <f>+HLOOKUP($C110,PMGR!$CU$2:$DG$250,125,0)</f>
        <v>0</v>
      </c>
      <c r="AW110" s="106">
        <f>+HLOOKUP($C110,PMGR!$CU$2:$DG$250,126,0)</f>
        <v>0</v>
      </c>
      <c r="AX110" s="106">
        <f>+HLOOKUP($C110,PMGR!$CU$2:$DG$250,127,0)</f>
        <v>0</v>
      </c>
      <c r="AY110" s="106">
        <f>+HLOOKUP($C110,PMGR!$CU$2:$DG$250,129,0)</f>
        <v>0</v>
      </c>
      <c r="AZ110" s="106">
        <f>+HLOOKUP($C110,PMGR!$CU$2:$DG$250,130,0)</f>
        <v>0</v>
      </c>
      <c r="BA110" s="106">
        <f>+HLOOKUP($C110,PMGR!$CU$2:$DG$250,131,0)</f>
        <v>0</v>
      </c>
      <c r="BB110" s="106">
        <f>+HLOOKUP($C110,PMGR!$CU$2:$DG$250,133,0)</f>
        <v>0</v>
      </c>
      <c r="BC110" s="106">
        <f>+HLOOKUP($C110,PMGR!$CU$2:$DG$250,134,0)</f>
        <v>0</v>
      </c>
      <c r="BD110" s="106">
        <f>+HLOOKUP($C110,PMGR!$CU$2:$DG$250,135,0)</f>
        <v>0</v>
      </c>
      <c r="BE110" s="106">
        <f>+HLOOKUP($C110,PMGR!$CU$2:$DG$250,136,0)</f>
        <v>0</v>
      </c>
      <c r="BF110" s="106">
        <f>+HLOOKUP($C110,PMGR!$CU$2:$DG$250,138,0)</f>
        <v>0</v>
      </c>
      <c r="BG110" s="106">
        <f>+HLOOKUP($C110,PMGR!$CU$2:$DG$250,139,0)</f>
        <v>0</v>
      </c>
      <c r="BH110" s="106">
        <f>+HLOOKUP($C110,PMGR!$CU$2:$DG$250,140,0)</f>
        <v>0</v>
      </c>
      <c r="BI110" s="106">
        <f>+HLOOKUP($C110,PMGR!$CU$2:$DG$250,141,0)</f>
        <v>0</v>
      </c>
      <c r="BJ110" s="106">
        <f>+HLOOKUP($C110,PMGR!$CU$2:$DG$250,142,0)</f>
        <v>0</v>
      </c>
      <c r="BK110" s="106">
        <f>+HLOOKUP($C110,PMGR!$CU$2:$DG$250,143,0)</f>
        <v>0</v>
      </c>
      <c r="BL110" s="106">
        <f>+HLOOKUP($C110,PMGR!$CU$2:$DG$250,144,0)</f>
        <v>0</v>
      </c>
      <c r="BM110" s="106">
        <f>+HLOOKUP($C110,PMGR!$CU$2:$DG$250,146,0)</f>
        <v>0</v>
      </c>
      <c r="BN110" s="106">
        <f>+HLOOKUP($C110,PMGR!$CU$2:$DG$250,147,0)</f>
        <v>0</v>
      </c>
      <c r="BO110" s="106">
        <f>+HLOOKUP($C110,PMGR!$CU$2:$DG$250,148,0)</f>
        <v>0</v>
      </c>
      <c r="BP110" s="106">
        <f>+HLOOKUP($C110,PMGR!$CU$2:$DG$250,150,0)</f>
        <v>0</v>
      </c>
      <c r="BQ110" s="106">
        <f>+HLOOKUP($C110,PMGR!$CU$2:$DG$250,151,0)</f>
        <v>0</v>
      </c>
      <c r="BR110" s="106">
        <f>+HLOOKUP($C110,PMGR!$CU$2:$DG$250,152,0)</f>
        <v>0</v>
      </c>
      <c r="BS110" s="106">
        <f>+HLOOKUP($C110,PMGR!$CU$2:$DG$250,153,0)</f>
        <v>0</v>
      </c>
      <c r="BT110" s="106">
        <f>+HLOOKUP($C110,PMGR!$CU$2:$DG$250,157,0)</f>
        <v>0</v>
      </c>
      <c r="BU110" s="106">
        <f>+HLOOKUP($C110,PMGR!$CU$2:$DG$250,158,0)</f>
        <v>0</v>
      </c>
      <c r="BV110" s="106">
        <f>+HLOOKUP($C110,PMGR!$CU$2:$DG$250,159,0)</f>
        <v>0</v>
      </c>
      <c r="BW110" s="106">
        <f>+HLOOKUP($C110,PMGR!$CU$2:$DG$250,160,0)</f>
        <v>0</v>
      </c>
      <c r="BX110" s="106">
        <f>+HLOOKUP($C110,PMGR!$CU$2:$DG$250,161,0)</f>
        <v>0</v>
      </c>
      <c r="BY110" s="106">
        <f>+HLOOKUP($C110,PMGR!$CU$2:$DG$250,164,0)</f>
        <v>0</v>
      </c>
      <c r="BZ110" s="106">
        <f>+HLOOKUP($C110,PMGR!$CU$2:$DG$250,165,0)</f>
        <v>0</v>
      </c>
      <c r="CA110" s="106">
        <f>+HLOOKUP($C110,PMGR!$CU$2:$DG$250,166,0)</f>
        <v>0</v>
      </c>
      <c r="CB110" s="106">
        <f>+HLOOKUP($C110,PMGR!$CU$2:$DG$250,167,0)</f>
        <v>0</v>
      </c>
      <c r="CC110" s="106">
        <f>+HLOOKUP($C110,PMGR!$CU$2:$DG$250,168,0)</f>
        <v>0</v>
      </c>
      <c r="CD110" s="106">
        <f>+HLOOKUP($C110,PMGR!$CU$2:$DG$250,169,0)</f>
        <v>0</v>
      </c>
      <c r="CE110" s="106">
        <f>+HLOOKUP($C110,PMGR!$CU$2:$DG$250,170,0)</f>
        <v>0</v>
      </c>
      <c r="CF110" s="106">
        <f>+HLOOKUP($C110,PMGR!$CU$2:$DG$250,172,0)</f>
        <v>0</v>
      </c>
      <c r="CG110" s="106">
        <f>+HLOOKUP($C110,PMGR!$CU$2:$DG$250,173,0)</f>
        <v>0</v>
      </c>
      <c r="CH110" s="106">
        <f>+HLOOKUP($C110,PMGR!$CU$2:$DG$250,174,0)</f>
        <v>0</v>
      </c>
      <c r="CI110" s="106">
        <f>+HLOOKUP($C110,PMGR!$CU$2:$DG$250,175,0)</f>
        <v>0</v>
      </c>
      <c r="CJ110" s="106">
        <f>+HLOOKUP($C110,PMGR!$CU$2:$DG$250,176,0)</f>
        <v>0</v>
      </c>
      <c r="CK110" s="106">
        <f>+HLOOKUP($C110,PMGR!$CU$2:$DG$250,178,0)</f>
        <v>0</v>
      </c>
      <c r="CL110" s="106">
        <f>+HLOOKUP($C110,PMGR!$CU$2:$DG$250,179,0)</f>
        <v>0</v>
      </c>
      <c r="CM110" s="106">
        <f>+HLOOKUP($C110,PMGR!$CU$2:$DG$250,180,0)</f>
        <v>0</v>
      </c>
      <c r="CN110" s="106">
        <f>+HLOOKUP($C110,PMGR!$CU$2:$DG$250,182,0)</f>
        <v>0</v>
      </c>
      <c r="CO110" s="106">
        <f>+HLOOKUP($C110,PMGR!$CU$2:$DG$250,183,0)</f>
        <v>0</v>
      </c>
      <c r="CP110" s="106">
        <f>+HLOOKUP($C110,PMGR!$CU$2:$DG$250,184,0)</f>
        <v>0</v>
      </c>
      <c r="CQ110" s="106">
        <f>+HLOOKUP($C110,PMGR!$CU$2:$DG$250,185,0)</f>
        <v>0</v>
      </c>
      <c r="CR110" s="106">
        <f>+HLOOKUP($C110,PMGR!$CU$2:$DG$250,187,0)</f>
        <v>0</v>
      </c>
      <c r="CS110" s="106">
        <f>+HLOOKUP($C110,PMGR!$CU$2:$DG$250,188,0)</f>
        <v>0</v>
      </c>
      <c r="CT110" s="106">
        <f>+HLOOKUP($C110,PMGR!$CU$2:$DG$250,189,0)</f>
        <v>0</v>
      </c>
      <c r="CU110" s="106">
        <f>+HLOOKUP($C110,PMGR!$CU$2:$DG$250,190,0)</f>
        <v>0</v>
      </c>
      <c r="CV110" s="106">
        <f>+HLOOKUP($C110,PMGR!$CU$2:$DG$250,191,0)</f>
        <v>0</v>
      </c>
      <c r="CW110" s="106">
        <f>+HLOOKUP($C110,PMGR!$CU$2:$DG$250,193,0)</f>
        <v>0</v>
      </c>
      <c r="CX110" s="106">
        <f>+HLOOKUP($C110,PMGR!$CU$2:$DG$250,194,0)</f>
        <v>0</v>
      </c>
      <c r="CY110" s="106">
        <f>+HLOOKUP($C110,PMGR!$CU$2:$DG$250,195,0)</f>
        <v>0</v>
      </c>
      <c r="CZ110" s="106">
        <f>+HLOOKUP($C110,PMGR!$CU$2:$DG$250,196,0)</f>
        <v>0</v>
      </c>
      <c r="DA110" s="106">
        <f>+HLOOKUP($C110,PMGR!$CU$2:$DG$250,197,0)</f>
        <v>0</v>
      </c>
      <c r="DB110" s="106">
        <f>+HLOOKUP($C110,PMGR!$CU$2:$DG$250,198,0)</f>
        <v>0</v>
      </c>
      <c r="DC110" s="106">
        <f>+HLOOKUP($C110,PMGR!$CU$2:$DG$250,199,0)</f>
        <v>0</v>
      </c>
      <c r="DD110" s="106">
        <f>+HLOOKUP($C110,PMGR!$CU$2:$DG$250,200,0)</f>
        <v>0</v>
      </c>
      <c r="DE110" s="106">
        <f>+HLOOKUP($C110,PMGR!$CU$2:$DG$250,201,0)</f>
        <v>0</v>
      </c>
      <c r="DF110" s="106">
        <f>+HLOOKUP($C110,PMGR!$CU$2:$DG$250,202,0)</f>
        <v>0</v>
      </c>
      <c r="DG110" s="106">
        <f>+HLOOKUP($C110,PMGR!$CU$2:$DG$250,203,0)</f>
        <v>0</v>
      </c>
      <c r="DH110" s="106">
        <f>+HLOOKUP($C110,PMGR!$CU$2:$DG$250,205,0)</f>
        <v>0</v>
      </c>
      <c r="DI110" s="106">
        <f>+HLOOKUP($C110,PMGR!$CU$2:$DG$250,206,0)</f>
        <v>0</v>
      </c>
      <c r="DJ110" s="106">
        <f>+HLOOKUP($C110,PMGR!$CU$2:$DG$250,207,0)</f>
        <v>0</v>
      </c>
      <c r="DK110" s="106">
        <f>+HLOOKUP($C110,PMGR!$CU$2:$DG$250,209,0)</f>
        <v>0</v>
      </c>
      <c r="DL110" s="106">
        <f>+HLOOKUP($C110,PMGR!$CU$2:$DG$250,210,0)</f>
        <v>0</v>
      </c>
      <c r="DM110" s="106">
        <f>+HLOOKUP($C110,PMGR!$CU$2:$DG$250,211,0)</f>
        <v>0</v>
      </c>
      <c r="DN110" s="106">
        <f>+HLOOKUP($C110,PMGR!$CU$2:$DG$250,212,0)</f>
        <v>0</v>
      </c>
      <c r="DO110" s="106">
        <f>+HLOOKUP($C110,PMGR!$CU$2:$DG$250,214,0)</f>
        <v>0</v>
      </c>
      <c r="DP110" s="106">
        <f>+HLOOKUP($C110,PMGR!$CU$2:$DG$250,215,0)</f>
        <v>0</v>
      </c>
      <c r="DQ110" s="106">
        <f>+HLOOKUP($C110,PMGR!$CU$2:$DG$250,219,0)</f>
        <v>0</v>
      </c>
      <c r="DR110" s="106">
        <f>+HLOOKUP($C110,PMGR!$CU$2:$DG$250,220,0)</f>
        <v>0</v>
      </c>
      <c r="DS110" s="106">
        <f>+HLOOKUP($C110,PMGR!$CU$2:$DG$250,221,0)</f>
        <v>0</v>
      </c>
      <c r="DT110" s="106">
        <f>+HLOOKUP($C110,PMGR!$CU$2:$DG$250,223,0)</f>
        <v>0</v>
      </c>
      <c r="DU110" s="106">
        <f>+HLOOKUP($C110,PMGR!$CU$2:$DG$250,224,0)</f>
        <v>0</v>
      </c>
      <c r="DV110" s="106">
        <f>+HLOOKUP($C110,PMGR!$CU$2:$DG$250,225,0)</f>
        <v>0</v>
      </c>
      <c r="DW110" s="106">
        <f>+HLOOKUP($C110,PMGR!$CU$2:$DG$250,227,0)</f>
        <v>0</v>
      </c>
      <c r="DX110" s="106">
        <f>+HLOOKUP($C110,PMGR!$CU$2:$DG$250,228,0)</f>
        <v>0</v>
      </c>
      <c r="DY110" s="106">
        <f>+HLOOKUP($C110,PMGR!$CU$2:$DG$250,236,0)</f>
        <v>0</v>
      </c>
      <c r="DZ110" s="106">
        <f>+HLOOKUP($C110,PMGR!$CU$2:$DG$250,237,0)</f>
        <v>0</v>
      </c>
      <c r="EA110" s="106">
        <f>+HLOOKUP($C110,PMGR!$CU$2:$DG$250,238,0)</f>
        <v>0</v>
      </c>
      <c r="EB110" s="106">
        <f>+HLOOKUP($C110,PMGR!$CU$2:$DG$250,240,0)</f>
        <v>0</v>
      </c>
    </row>
    <row r="111" spans="1:132" hidden="1">
      <c r="A111" t="s">
        <v>271</v>
      </c>
      <c r="B111" t="s">
        <v>217</v>
      </c>
      <c r="C111" s="117">
        <v>45962</v>
      </c>
      <c r="D111" s="106">
        <f t="shared" si="0"/>
        <v>0</v>
      </c>
      <c r="E111" s="106">
        <f>+HLOOKUP(C111,PMGR!$CU$2:$DG$250,28,0)+HLOOKUP(C111,PMGR!$CU$2:$DG$250,43,0)+HLOOKUP(C111,PMGR!$CU$2:$DG$250,44,0)+HLOOKUP(C111,PMGR!$CU$2:$DG$250,45,0)+HLOOKUP(C111,PMGR!$CU$2:$DG$250,54,0)+HLOOKUP(C111,PMGR!$CU$2:$DG$250,59,0)</f>
        <v>0</v>
      </c>
      <c r="F111" s="106">
        <f>+HLOOKUP(C111,PMGR!$CU$2:$DG$250,37,0)+HLOOKUP(C111,PMGR!$CU$2:$DG$250,55,0)</f>
        <v>0</v>
      </c>
      <c r="G111" s="106">
        <f>+HLOOKUP($C111,PMGR!$CU$2:$DG$250,76,0)</f>
        <v>0</v>
      </c>
      <c r="H111" s="106">
        <f>+HLOOKUP($C111,PMGR!$CU$2:$DG$250,77,0)</f>
        <v>0</v>
      </c>
      <c r="I111" s="106">
        <f>+HLOOKUP($C111,PMGR!$CU$2:$DG$250,78,0)</f>
        <v>0</v>
      </c>
      <c r="J111" s="106">
        <f>+HLOOKUP($C111,PMGR!$CU$2:$DG$250,79,0)</f>
        <v>0</v>
      </c>
      <c r="K111" s="106">
        <f>+HLOOKUP($C111,PMGR!$CU$2:$DG$250,80,0)</f>
        <v>0</v>
      </c>
      <c r="L111" s="106">
        <f>+HLOOKUP($C111,PMGR!$CU$2:$DG$250,81,0)</f>
        <v>0</v>
      </c>
      <c r="M111" s="106">
        <f>+HLOOKUP($C111,PMGR!$CU$2:$DG$250,82,0)</f>
        <v>0</v>
      </c>
      <c r="N111" s="106">
        <f>+HLOOKUP($C111,PMGR!$CU$2:$DG$250,83,0)</f>
        <v>0</v>
      </c>
      <c r="O111" s="106">
        <f>+HLOOKUP($C111,PMGR!$CU$2:$DG$250,84,0)</f>
        <v>0</v>
      </c>
      <c r="P111" s="106">
        <f>+HLOOKUP($C111,PMGR!$CU$2:$DG$250,85,0)</f>
        <v>0</v>
      </c>
      <c r="Q111" s="106">
        <f>+HLOOKUP($C111,PMGR!$CU$2:$DG$250,87,0)</f>
        <v>0</v>
      </c>
      <c r="R111" s="106">
        <f>+HLOOKUP($C111,PMGR!$CU$2:$DG$250,90,0)</f>
        <v>0</v>
      </c>
      <c r="S111" s="106">
        <f>+HLOOKUP($C111,PMGR!$CU$2:$DG$250,91,0)</f>
        <v>0</v>
      </c>
      <c r="T111" s="106">
        <f>+HLOOKUP($C111,PMGR!$CU$2:$DG$250,92,0)</f>
        <v>0</v>
      </c>
      <c r="U111" s="106">
        <f>+HLOOKUP($C111,PMGR!$CU$2:$DG$250,93,0)</f>
        <v>0</v>
      </c>
      <c r="V111" s="106">
        <f>+HLOOKUP($C111,PMGR!$CU$2:$DG$250,94,0)</f>
        <v>0</v>
      </c>
      <c r="W111" s="106">
        <f>+HLOOKUP($C111,PMGR!$CU$2:$DG$250,95,0)</f>
        <v>0</v>
      </c>
      <c r="X111" s="106">
        <f>+HLOOKUP($C111,PMGR!$CU$2:$DG$250,96,0)</f>
        <v>0</v>
      </c>
      <c r="Y111" s="106">
        <f>+HLOOKUP($C111,PMGR!$CU$2:$DG$250,97,0)</f>
        <v>0</v>
      </c>
      <c r="Z111" s="106">
        <f>+HLOOKUP($C111,PMGR!$CU$2:$DG$250,98,0)</f>
        <v>0</v>
      </c>
      <c r="AA111" s="106">
        <f>+HLOOKUP($C111,PMGR!$CU$2:$DG$250,99,0)</f>
        <v>0</v>
      </c>
      <c r="AB111" s="106">
        <f>+HLOOKUP($C111,PMGR!$CU$2:$DG$250,100,0)</f>
        <v>0</v>
      </c>
      <c r="AC111" s="106">
        <f>+HLOOKUP($C111,PMGR!$CU$2:$DG$250,101,0)</f>
        <v>0</v>
      </c>
      <c r="AD111" s="106">
        <f>+HLOOKUP($C111,PMGR!$CU$2:$DG$250,104,0)</f>
        <v>0</v>
      </c>
      <c r="AE111" s="106">
        <f>+HLOOKUP($C111,PMGR!$CU$2:$DG$250,105,0)</f>
        <v>0</v>
      </c>
      <c r="AF111" s="106">
        <f>+HLOOKUP($C111,PMGR!$CU$2:$DG$250,106,0)</f>
        <v>0</v>
      </c>
      <c r="AG111" s="106">
        <f>+HLOOKUP($C111,PMGR!$CU$2:$DG$250,107,0)</f>
        <v>0</v>
      </c>
      <c r="AH111" s="106">
        <f>+HLOOKUP($C111,PMGR!$CU$2:$DG$250,108,0)</f>
        <v>0</v>
      </c>
      <c r="AI111" s="106">
        <f>+HLOOKUP($C111,PMGR!$CU$2:$DG$250,109,0)</f>
        <v>0</v>
      </c>
      <c r="AJ111" s="106">
        <f>+HLOOKUP($C111,PMGR!$CU$2:$DG$250,110,0)</f>
        <v>0</v>
      </c>
      <c r="AK111" s="106">
        <f>+HLOOKUP($C111,PMGR!$CU$2:$DG$250,111,0)</f>
        <v>0</v>
      </c>
      <c r="AL111" s="106">
        <f>+HLOOKUP($C111,PMGR!$CU$2:$DG$250,112,0)</f>
        <v>0</v>
      </c>
      <c r="AM111" s="106">
        <f>+HLOOKUP($C111,PMGR!$CU$2:$DG$250,116,0)</f>
        <v>0</v>
      </c>
      <c r="AN111" s="106">
        <f>+HLOOKUP($C111,PMGR!$CU$2:$DG$250,117,0)</f>
        <v>0</v>
      </c>
      <c r="AO111" s="106">
        <f>+HLOOKUP($C111,PMGR!$CU$2:$DG$250,118,0)</f>
        <v>0</v>
      </c>
      <c r="AP111" s="106">
        <f>+HLOOKUP($C111,PMGR!$CU$2:$DG$250,119,0)</f>
        <v>0</v>
      </c>
      <c r="AQ111" s="106">
        <f>+HLOOKUP($C111,PMGR!$CU$2:$DG$250,120,0)</f>
        <v>0</v>
      </c>
      <c r="AR111" s="106">
        <f>+HLOOKUP($C111,PMGR!$CU$2:$DG$250,121,0)</f>
        <v>0</v>
      </c>
      <c r="AS111" s="106">
        <f>+HLOOKUP($C111,PMGR!$CU$2:$DG$250,122,0)</f>
        <v>0</v>
      </c>
      <c r="AT111" s="106">
        <f>+HLOOKUP($C111,PMGR!$CU$2:$DG$250,123,0)</f>
        <v>0</v>
      </c>
      <c r="AU111" s="106">
        <f>+HLOOKUP($C111,PMGR!$CU$2:$DG$250,124,0)</f>
        <v>0</v>
      </c>
      <c r="AV111" s="106">
        <f>+HLOOKUP($C111,PMGR!$CU$2:$DG$250,125,0)</f>
        <v>0</v>
      </c>
      <c r="AW111" s="106">
        <f>+HLOOKUP($C111,PMGR!$CU$2:$DG$250,126,0)</f>
        <v>0</v>
      </c>
      <c r="AX111" s="106">
        <f>+HLOOKUP($C111,PMGR!$CU$2:$DG$250,127,0)</f>
        <v>0</v>
      </c>
      <c r="AY111" s="106">
        <f>+HLOOKUP($C111,PMGR!$CU$2:$DG$250,129,0)</f>
        <v>0</v>
      </c>
      <c r="AZ111" s="106">
        <f>+HLOOKUP($C111,PMGR!$CU$2:$DG$250,130,0)</f>
        <v>0</v>
      </c>
      <c r="BA111" s="106">
        <f>+HLOOKUP($C111,PMGR!$CU$2:$DG$250,131,0)</f>
        <v>0</v>
      </c>
      <c r="BB111" s="106">
        <f>+HLOOKUP($C111,PMGR!$CU$2:$DG$250,133,0)</f>
        <v>0</v>
      </c>
      <c r="BC111" s="106">
        <f>+HLOOKUP($C111,PMGR!$CU$2:$DG$250,134,0)</f>
        <v>0</v>
      </c>
      <c r="BD111" s="106">
        <f>+HLOOKUP($C111,PMGR!$CU$2:$DG$250,135,0)</f>
        <v>0</v>
      </c>
      <c r="BE111" s="106">
        <f>+HLOOKUP($C111,PMGR!$CU$2:$DG$250,136,0)</f>
        <v>0</v>
      </c>
      <c r="BF111" s="106">
        <f>+HLOOKUP($C111,PMGR!$CU$2:$DG$250,138,0)</f>
        <v>0</v>
      </c>
      <c r="BG111" s="106">
        <f>+HLOOKUP($C111,PMGR!$CU$2:$DG$250,139,0)</f>
        <v>0</v>
      </c>
      <c r="BH111" s="106">
        <f>+HLOOKUP($C111,PMGR!$CU$2:$DG$250,140,0)</f>
        <v>0</v>
      </c>
      <c r="BI111" s="106">
        <f>+HLOOKUP($C111,PMGR!$CU$2:$DG$250,141,0)</f>
        <v>0</v>
      </c>
      <c r="BJ111" s="106">
        <f>+HLOOKUP($C111,PMGR!$CU$2:$DG$250,142,0)</f>
        <v>0</v>
      </c>
      <c r="BK111" s="106">
        <f>+HLOOKUP($C111,PMGR!$CU$2:$DG$250,143,0)</f>
        <v>0</v>
      </c>
      <c r="BL111" s="106">
        <f>+HLOOKUP($C111,PMGR!$CU$2:$DG$250,144,0)</f>
        <v>0</v>
      </c>
      <c r="BM111" s="106">
        <f>+HLOOKUP($C111,PMGR!$CU$2:$DG$250,146,0)</f>
        <v>0</v>
      </c>
      <c r="BN111" s="106">
        <f>+HLOOKUP($C111,PMGR!$CU$2:$DG$250,147,0)</f>
        <v>0</v>
      </c>
      <c r="BO111" s="106">
        <f>+HLOOKUP($C111,PMGR!$CU$2:$DG$250,148,0)</f>
        <v>0</v>
      </c>
      <c r="BP111" s="106">
        <f>+HLOOKUP($C111,PMGR!$CU$2:$DG$250,150,0)</f>
        <v>0</v>
      </c>
      <c r="BQ111" s="106">
        <f>+HLOOKUP($C111,PMGR!$CU$2:$DG$250,151,0)</f>
        <v>0</v>
      </c>
      <c r="BR111" s="106">
        <f>+HLOOKUP($C111,PMGR!$CU$2:$DG$250,152,0)</f>
        <v>0</v>
      </c>
      <c r="BS111" s="106">
        <f>+HLOOKUP($C111,PMGR!$CU$2:$DG$250,153,0)</f>
        <v>0</v>
      </c>
      <c r="BT111" s="106">
        <f>+HLOOKUP($C111,PMGR!$CU$2:$DG$250,157,0)</f>
        <v>0</v>
      </c>
      <c r="BU111" s="106">
        <f>+HLOOKUP($C111,PMGR!$CU$2:$DG$250,158,0)</f>
        <v>0</v>
      </c>
      <c r="BV111" s="106">
        <f>+HLOOKUP($C111,PMGR!$CU$2:$DG$250,159,0)</f>
        <v>0</v>
      </c>
      <c r="BW111" s="106">
        <f>+HLOOKUP($C111,PMGR!$CU$2:$DG$250,160,0)</f>
        <v>0</v>
      </c>
      <c r="BX111" s="106">
        <f>+HLOOKUP($C111,PMGR!$CU$2:$DG$250,161,0)</f>
        <v>0</v>
      </c>
      <c r="BY111" s="106">
        <f>+HLOOKUP($C111,PMGR!$CU$2:$DG$250,164,0)</f>
        <v>0</v>
      </c>
      <c r="BZ111" s="106">
        <f>+HLOOKUP($C111,PMGR!$CU$2:$DG$250,165,0)</f>
        <v>0</v>
      </c>
      <c r="CA111" s="106">
        <f>+HLOOKUP($C111,PMGR!$CU$2:$DG$250,166,0)</f>
        <v>0</v>
      </c>
      <c r="CB111" s="106">
        <f>+HLOOKUP($C111,PMGR!$CU$2:$DG$250,167,0)</f>
        <v>0</v>
      </c>
      <c r="CC111" s="106">
        <f>+HLOOKUP($C111,PMGR!$CU$2:$DG$250,168,0)</f>
        <v>0</v>
      </c>
      <c r="CD111" s="106">
        <f>+HLOOKUP($C111,PMGR!$CU$2:$DG$250,169,0)</f>
        <v>0</v>
      </c>
      <c r="CE111" s="106">
        <f>+HLOOKUP($C111,PMGR!$CU$2:$DG$250,170,0)</f>
        <v>0</v>
      </c>
      <c r="CF111" s="106">
        <f>+HLOOKUP($C111,PMGR!$CU$2:$DG$250,172,0)</f>
        <v>0</v>
      </c>
      <c r="CG111" s="106">
        <f>+HLOOKUP($C111,PMGR!$CU$2:$DG$250,173,0)</f>
        <v>0</v>
      </c>
      <c r="CH111" s="106">
        <f>+HLOOKUP($C111,PMGR!$CU$2:$DG$250,174,0)</f>
        <v>0</v>
      </c>
      <c r="CI111" s="106">
        <f>+HLOOKUP($C111,PMGR!$CU$2:$DG$250,175,0)</f>
        <v>0</v>
      </c>
      <c r="CJ111" s="106">
        <f>+HLOOKUP($C111,PMGR!$CU$2:$DG$250,176,0)</f>
        <v>0</v>
      </c>
      <c r="CK111" s="106">
        <f>+HLOOKUP($C111,PMGR!$CU$2:$DG$250,178,0)</f>
        <v>0</v>
      </c>
      <c r="CL111" s="106">
        <f>+HLOOKUP($C111,PMGR!$CU$2:$DG$250,179,0)</f>
        <v>0</v>
      </c>
      <c r="CM111" s="106">
        <f>+HLOOKUP($C111,PMGR!$CU$2:$DG$250,180,0)</f>
        <v>0</v>
      </c>
      <c r="CN111" s="106">
        <f>+HLOOKUP($C111,PMGR!$CU$2:$DG$250,182,0)</f>
        <v>0</v>
      </c>
      <c r="CO111" s="106">
        <f>+HLOOKUP($C111,PMGR!$CU$2:$DG$250,183,0)</f>
        <v>0</v>
      </c>
      <c r="CP111" s="106">
        <f>+HLOOKUP($C111,PMGR!$CU$2:$DG$250,184,0)</f>
        <v>0</v>
      </c>
      <c r="CQ111" s="106">
        <f>+HLOOKUP($C111,PMGR!$CU$2:$DG$250,185,0)</f>
        <v>0</v>
      </c>
      <c r="CR111" s="106">
        <f>+HLOOKUP($C111,PMGR!$CU$2:$DG$250,187,0)</f>
        <v>0</v>
      </c>
      <c r="CS111" s="106">
        <f>+HLOOKUP($C111,PMGR!$CU$2:$DG$250,188,0)</f>
        <v>0</v>
      </c>
      <c r="CT111" s="106">
        <f>+HLOOKUP($C111,PMGR!$CU$2:$DG$250,189,0)</f>
        <v>0</v>
      </c>
      <c r="CU111" s="106">
        <f>+HLOOKUP($C111,PMGR!$CU$2:$DG$250,190,0)</f>
        <v>0</v>
      </c>
      <c r="CV111" s="106">
        <f>+HLOOKUP($C111,PMGR!$CU$2:$DG$250,191,0)</f>
        <v>0</v>
      </c>
      <c r="CW111" s="106">
        <f>+HLOOKUP($C111,PMGR!$CU$2:$DG$250,193,0)</f>
        <v>0</v>
      </c>
      <c r="CX111" s="106">
        <f>+HLOOKUP($C111,PMGR!$CU$2:$DG$250,194,0)</f>
        <v>0</v>
      </c>
      <c r="CY111" s="106">
        <f>+HLOOKUP($C111,PMGR!$CU$2:$DG$250,195,0)</f>
        <v>0</v>
      </c>
      <c r="CZ111" s="106">
        <f>+HLOOKUP($C111,PMGR!$CU$2:$DG$250,196,0)</f>
        <v>0</v>
      </c>
      <c r="DA111" s="106">
        <f>+HLOOKUP($C111,PMGR!$CU$2:$DG$250,197,0)</f>
        <v>0</v>
      </c>
      <c r="DB111" s="106">
        <f>+HLOOKUP($C111,PMGR!$CU$2:$DG$250,198,0)</f>
        <v>0</v>
      </c>
      <c r="DC111" s="106">
        <f>+HLOOKUP($C111,PMGR!$CU$2:$DG$250,199,0)</f>
        <v>0</v>
      </c>
      <c r="DD111" s="106">
        <f>+HLOOKUP($C111,PMGR!$CU$2:$DG$250,200,0)</f>
        <v>0</v>
      </c>
      <c r="DE111" s="106">
        <f>+HLOOKUP($C111,PMGR!$CU$2:$DG$250,201,0)</f>
        <v>0</v>
      </c>
      <c r="DF111" s="106">
        <f>+HLOOKUP($C111,PMGR!$CU$2:$DG$250,202,0)</f>
        <v>0</v>
      </c>
      <c r="DG111" s="106">
        <f>+HLOOKUP($C111,PMGR!$CU$2:$DG$250,203,0)</f>
        <v>0</v>
      </c>
      <c r="DH111" s="106">
        <f>+HLOOKUP($C111,PMGR!$CU$2:$DG$250,205,0)</f>
        <v>0</v>
      </c>
      <c r="DI111" s="106">
        <f>+HLOOKUP($C111,PMGR!$CU$2:$DG$250,206,0)</f>
        <v>0</v>
      </c>
      <c r="DJ111" s="106">
        <f>+HLOOKUP($C111,PMGR!$CU$2:$DG$250,207,0)</f>
        <v>0</v>
      </c>
      <c r="DK111" s="106">
        <f>+HLOOKUP($C111,PMGR!$CU$2:$DG$250,209,0)</f>
        <v>0</v>
      </c>
      <c r="DL111" s="106">
        <f>+HLOOKUP($C111,PMGR!$CU$2:$DG$250,210,0)</f>
        <v>0</v>
      </c>
      <c r="DM111" s="106">
        <f>+HLOOKUP($C111,PMGR!$CU$2:$DG$250,211,0)</f>
        <v>0</v>
      </c>
      <c r="DN111" s="106">
        <f>+HLOOKUP($C111,PMGR!$CU$2:$DG$250,212,0)</f>
        <v>0</v>
      </c>
      <c r="DO111" s="106">
        <f>+HLOOKUP($C111,PMGR!$CU$2:$DG$250,214,0)</f>
        <v>0</v>
      </c>
      <c r="DP111" s="106">
        <f>+HLOOKUP($C111,PMGR!$CU$2:$DG$250,215,0)</f>
        <v>0</v>
      </c>
      <c r="DQ111" s="106">
        <f>+HLOOKUP($C111,PMGR!$CU$2:$DG$250,219,0)</f>
        <v>0</v>
      </c>
      <c r="DR111" s="106">
        <f>+HLOOKUP($C111,PMGR!$CU$2:$DG$250,220,0)</f>
        <v>0</v>
      </c>
      <c r="DS111" s="106">
        <f>+HLOOKUP($C111,PMGR!$CU$2:$DG$250,221,0)</f>
        <v>0</v>
      </c>
      <c r="DT111" s="106">
        <f>+HLOOKUP($C111,PMGR!$CU$2:$DG$250,223,0)</f>
        <v>0</v>
      </c>
      <c r="DU111" s="106">
        <f>+HLOOKUP($C111,PMGR!$CU$2:$DG$250,224,0)</f>
        <v>0</v>
      </c>
      <c r="DV111" s="106">
        <f>+HLOOKUP($C111,PMGR!$CU$2:$DG$250,225,0)</f>
        <v>0</v>
      </c>
      <c r="DW111" s="106">
        <f>+HLOOKUP($C111,PMGR!$CU$2:$DG$250,227,0)</f>
        <v>0</v>
      </c>
      <c r="DX111" s="106">
        <f>+HLOOKUP($C111,PMGR!$CU$2:$DG$250,228,0)</f>
        <v>0</v>
      </c>
      <c r="DY111" s="106">
        <f>+HLOOKUP($C111,PMGR!$CU$2:$DG$250,236,0)</f>
        <v>0</v>
      </c>
      <c r="DZ111" s="106">
        <f>+HLOOKUP($C111,PMGR!$CU$2:$DG$250,237,0)</f>
        <v>0</v>
      </c>
      <c r="EA111" s="106">
        <f>+HLOOKUP($C111,PMGR!$CU$2:$DG$250,238,0)</f>
        <v>0</v>
      </c>
      <c r="EB111" s="106">
        <f>+HLOOKUP($C111,PMGR!$CU$2:$DG$250,240,0)</f>
        <v>0</v>
      </c>
    </row>
    <row r="112" spans="1:132" hidden="1">
      <c r="A112" t="s">
        <v>271</v>
      </c>
      <c r="B112" t="s">
        <v>217</v>
      </c>
      <c r="C112" s="117">
        <v>45931</v>
      </c>
      <c r="D112" s="106">
        <f t="shared" si="0"/>
        <v>11400253.819950931</v>
      </c>
      <c r="E112" s="106">
        <f>+HLOOKUP(C112,PMGR!$CU$2:$DG$250,28,0)+HLOOKUP(C112,PMGR!$CU$2:$DG$250,43,0)+HLOOKUP(C112,PMGR!$CU$2:$DG$250,44,0)+HLOOKUP(C112,PMGR!$CU$2:$DG$250,45,0)+HLOOKUP(C112,PMGR!$CU$2:$DG$250,54,0)+HLOOKUP(C112,PMGR!$CU$2:$DG$250,59,0)</f>
        <v>11400253.819950931</v>
      </c>
      <c r="F112" s="106">
        <f>+HLOOKUP(C112,PMGR!$CU$2:$DG$250,37,0)+HLOOKUP(C112,PMGR!$CU$2:$DG$250,55,0)</f>
        <v>8065833.2699999977</v>
      </c>
      <c r="G112" s="106">
        <f>+HLOOKUP($C112,PMGR!$CU$2:$DG$250,76,0)</f>
        <v>0</v>
      </c>
      <c r="H112" s="106">
        <f>+HLOOKUP($C112,PMGR!$CU$2:$DG$250,77,0)</f>
        <v>0</v>
      </c>
      <c r="I112" s="106">
        <f>+HLOOKUP($C112,PMGR!$CU$2:$DG$250,78,0)</f>
        <v>0</v>
      </c>
      <c r="J112" s="106">
        <f>+HLOOKUP($C112,PMGR!$CU$2:$DG$250,79,0)</f>
        <v>0</v>
      </c>
      <c r="K112" s="106">
        <f>+HLOOKUP($C112,PMGR!$CU$2:$DG$250,80,0)</f>
        <v>0</v>
      </c>
      <c r="L112" s="106">
        <f>+HLOOKUP($C112,PMGR!$CU$2:$DG$250,81,0)</f>
        <v>0</v>
      </c>
      <c r="M112" s="106">
        <f>+HLOOKUP($C112,PMGR!$CU$2:$DG$250,82,0)</f>
        <v>0</v>
      </c>
      <c r="N112" s="106">
        <f>+HLOOKUP($C112,PMGR!$CU$2:$DG$250,83,0)</f>
        <v>0</v>
      </c>
      <c r="O112" s="106">
        <f>+HLOOKUP($C112,PMGR!$CU$2:$DG$250,84,0)</f>
        <v>0</v>
      </c>
      <c r="P112" s="106">
        <f>+HLOOKUP($C112,PMGR!$CU$2:$DG$250,85,0)</f>
        <v>0</v>
      </c>
      <c r="Q112" s="106">
        <f>+HLOOKUP($C112,PMGR!$CU$2:$DG$250,87,0)</f>
        <v>89446.42</v>
      </c>
      <c r="R112" s="106">
        <f>+HLOOKUP($C112,PMGR!$CU$2:$DG$250,90,0)</f>
        <v>0</v>
      </c>
      <c r="S112" s="106">
        <f>+HLOOKUP($C112,PMGR!$CU$2:$DG$250,91,0)</f>
        <v>574.85699999999997</v>
      </c>
      <c r="T112" s="106">
        <f>+HLOOKUP($C112,PMGR!$CU$2:$DG$250,92,0)</f>
        <v>0</v>
      </c>
      <c r="U112" s="106">
        <f>+HLOOKUP($C112,PMGR!$CU$2:$DG$250,93,0)</f>
        <v>0</v>
      </c>
      <c r="V112" s="106">
        <f>+HLOOKUP($C112,PMGR!$CU$2:$DG$250,94,0)</f>
        <v>0</v>
      </c>
      <c r="W112" s="106">
        <f>+HLOOKUP($C112,PMGR!$CU$2:$DG$250,95,0)</f>
        <v>0</v>
      </c>
      <c r="X112" s="106">
        <f>+HLOOKUP($C112,PMGR!$CU$2:$DG$250,96,0)</f>
        <v>0</v>
      </c>
      <c r="Y112" s="106">
        <f>+HLOOKUP($C112,PMGR!$CU$2:$DG$250,97,0)</f>
        <v>0</v>
      </c>
      <c r="Z112" s="106">
        <f>+HLOOKUP($C112,PMGR!$CU$2:$DG$250,98,0)</f>
        <v>0</v>
      </c>
      <c r="AA112" s="106">
        <f>+HLOOKUP($C112,PMGR!$CU$2:$DG$250,99,0)</f>
        <v>0</v>
      </c>
      <c r="AB112" s="106">
        <f>+HLOOKUP($C112,PMGR!$CU$2:$DG$250,100,0)</f>
        <v>0</v>
      </c>
      <c r="AC112" s="106">
        <f>+HLOOKUP($C112,PMGR!$CU$2:$DG$250,101,0)</f>
        <v>1260</v>
      </c>
      <c r="AD112" s="106">
        <f>+HLOOKUP($C112,PMGR!$CU$2:$DG$250,104,0)</f>
        <v>26198.89</v>
      </c>
      <c r="AE112" s="106">
        <f>+HLOOKUP($C112,PMGR!$CU$2:$DG$250,105,0)</f>
        <v>8100</v>
      </c>
      <c r="AF112" s="106">
        <f>+HLOOKUP($C112,PMGR!$CU$2:$DG$250,106,0)</f>
        <v>0</v>
      </c>
      <c r="AG112" s="106">
        <f>+HLOOKUP($C112,PMGR!$CU$2:$DG$250,107,0)</f>
        <v>0</v>
      </c>
      <c r="AH112" s="106">
        <f>+HLOOKUP($C112,PMGR!$CU$2:$DG$250,108,0)</f>
        <v>0</v>
      </c>
      <c r="AI112" s="106">
        <f>+HLOOKUP($C112,PMGR!$CU$2:$DG$250,109,0)</f>
        <v>0</v>
      </c>
      <c r="AJ112" s="106">
        <f>+HLOOKUP($C112,PMGR!$CU$2:$DG$250,110,0)</f>
        <v>0</v>
      </c>
      <c r="AK112" s="106">
        <f>+HLOOKUP($C112,PMGR!$CU$2:$DG$250,111,0)</f>
        <v>3020.4</v>
      </c>
      <c r="AL112" s="106">
        <f>+HLOOKUP($C112,PMGR!$CU$2:$DG$250,112,0)</f>
        <v>0</v>
      </c>
      <c r="AM112" s="106">
        <f>+HLOOKUP($C112,PMGR!$CU$2:$DG$250,116,0)</f>
        <v>279036</v>
      </c>
      <c r="AN112" s="106">
        <f>+HLOOKUP($C112,PMGR!$CU$2:$DG$250,117,0)</f>
        <v>47424</v>
      </c>
      <c r="AO112" s="106">
        <f>+HLOOKUP($C112,PMGR!$CU$2:$DG$250,118,0)</f>
        <v>3000</v>
      </c>
      <c r="AP112" s="106">
        <f>+HLOOKUP($C112,PMGR!$CU$2:$DG$250,119,0)</f>
        <v>104449</v>
      </c>
      <c r="AQ112" s="106">
        <f>+HLOOKUP($C112,PMGR!$CU$2:$DG$250,120,0)</f>
        <v>27411</v>
      </c>
      <c r="AR112" s="106">
        <f>+HLOOKUP($C112,PMGR!$CU$2:$DG$250,121,0)</f>
        <v>13157</v>
      </c>
      <c r="AS112" s="106">
        <f>+HLOOKUP($C112,PMGR!$CU$2:$DG$250,122,0)</f>
        <v>117139</v>
      </c>
      <c r="AT112" s="106">
        <f>+HLOOKUP($C112,PMGR!$CU$2:$DG$250,123,0)</f>
        <v>35293.217528472225</v>
      </c>
      <c r="AU112" s="106">
        <f>+HLOOKUP($C112,PMGR!$CU$2:$DG$250,124,0)</f>
        <v>3752.5</v>
      </c>
      <c r="AV112" s="106">
        <f>+HLOOKUP($C112,PMGR!$CU$2:$DG$250,125,0)</f>
        <v>100453.95</v>
      </c>
      <c r="AW112" s="106">
        <f>+HLOOKUP($C112,PMGR!$CU$2:$DG$250,126,0)</f>
        <v>14716.346153846156</v>
      </c>
      <c r="AX112" s="106">
        <f>+HLOOKUP($C112,PMGR!$CU$2:$DG$250,127,0)</f>
        <v>20216.666666666664</v>
      </c>
      <c r="AY112" s="106">
        <f>+HLOOKUP($C112,PMGR!$CU$2:$DG$250,129,0)</f>
        <v>117873.58</v>
      </c>
      <c r="AZ112" s="106">
        <f>+HLOOKUP($C112,PMGR!$CU$2:$DG$250,130,0)</f>
        <v>0</v>
      </c>
      <c r="BA112" s="106">
        <f>+HLOOKUP($C112,PMGR!$CU$2:$DG$250,131,0)</f>
        <v>0</v>
      </c>
      <c r="BB112" s="106">
        <f>+HLOOKUP($C112,PMGR!$CU$2:$DG$250,133,0)</f>
        <v>0</v>
      </c>
      <c r="BC112" s="106">
        <f>+HLOOKUP($C112,PMGR!$CU$2:$DG$250,134,0)</f>
        <v>27778.53</v>
      </c>
      <c r="BD112" s="106">
        <f>+HLOOKUP($C112,PMGR!$CU$2:$DG$250,135,0)</f>
        <v>0</v>
      </c>
      <c r="BE112" s="106">
        <f>+HLOOKUP($C112,PMGR!$CU$2:$DG$250,136,0)</f>
        <v>0</v>
      </c>
      <c r="BF112" s="106">
        <f>+HLOOKUP($C112,PMGR!$CU$2:$DG$250,138,0)</f>
        <v>6950.15</v>
      </c>
      <c r="BG112" s="106">
        <f>+HLOOKUP($C112,PMGR!$CU$2:$DG$250,139,0)</f>
        <v>15201.7</v>
      </c>
      <c r="BH112" s="106">
        <f>+HLOOKUP($C112,PMGR!$CU$2:$DG$250,140,0)</f>
        <v>13950</v>
      </c>
      <c r="BI112" s="106">
        <f>+HLOOKUP($C112,PMGR!$CU$2:$DG$250,141,0)</f>
        <v>0</v>
      </c>
      <c r="BJ112" s="106">
        <f>+HLOOKUP($C112,PMGR!$CU$2:$DG$250,142,0)</f>
        <v>0</v>
      </c>
      <c r="BK112" s="106">
        <f>+HLOOKUP($C112,PMGR!$CU$2:$DG$250,143,0)</f>
        <v>0</v>
      </c>
      <c r="BL112" s="106">
        <f>+HLOOKUP($C112,PMGR!$CU$2:$DG$250,144,0)</f>
        <v>7500</v>
      </c>
      <c r="BM112" s="106">
        <f>+HLOOKUP($C112,PMGR!$CU$2:$DG$250,146,0)</f>
        <v>0</v>
      </c>
      <c r="BN112" s="106">
        <f>+HLOOKUP($C112,PMGR!$CU$2:$DG$250,147,0)</f>
        <v>80653</v>
      </c>
      <c r="BO112" s="106">
        <f>+HLOOKUP($C112,PMGR!$CU$2:$DG$250,148,0)</f>
        <v>0</v>
      </c>
      <c r="BP112" s="106">
        <f>+HLOOKUP($C112,PMGR!$CU$2:$DG$250,150,0)</f>
        <v>24794.7</v>
      </c>
      <c r="BQ112" s="106">
        <f>+HLOOKUP($C112,PMGR!$CU$2:$DG$250,151,0)</f>
        <v>1488.3</v>
      </c>
      <c r="BR112" s="106">
        <f>+HLOOKUP($C112,PMGR!$CU$2:$DG$250,152,0)</f>
        <v>10500</v>
      </c>
      <c r="BS112" s="106">
        <f>+HLOOKUP($C112,PMGR!$CU$2:$DG$250,153,0)</f>
        <v>480</v>
      </c>
      <c r="BT112" s="106">
        <f>+HLOOKUP($C112,PMGR!$CU$2:$DG$250,157,0)</f>
        <v>0</v>
      </c>
      <c r="BU112" s="106">
        <f>+HLOOKUP($C112,PMGR!$CU$2:$DG$250,158,0)</f>
        <v>1440.68</v>
      </c>
      <c r="BV112" s="106">
        <f>+HLOOKUP($C112,PMGR!$CU$2:$DG$250,159,0)</f>
        <v>204.29999999999998</v>
      </c>
      <c r="BW112" s="106">
        <f>+HLOOKUP($C112,PMGR!$CU$2:$DG$250,160,0)</f>
        <v>41424.32</v>
      </c>
      <c r="BX112" s="106">
        <f>+HLOOKUP($C112,PMGR!$CU$2:$DG$250,161,0)</f>
        <v>17172.599999999999</v>
      </c>
      <c r="BY112" s="106">
        <f>+HLOOKUP($C112,PMGR!$CU$2:$DG$250,164,0)</f>
        <v>1492.63</v>
      </c>
      <c r="BZ112" s="106">
        <f>+HLOOKUP($C112,PMGR!$CU$2:$DG$250,165,0)</f>
        <v>66864.400000000009</v>
      </c>
      <c r="CA112" s="106">
        <f>+HLOOKUP($C112,PMGR!$CU$2:$DG$250,166,0)</f>
        <v>0</v>
      </c>
      <c r="CB112" s="106">
        <f>+HLOOKUP($C112,PMGR!$CU$2:$DG$250,167,0)</f>
        <v>536.78</v>
      </c>
      <c r="CC112" s="106">
        <f>+HLOOKUP($C112,PMGR!$CU$2:$DG$250,168,0)</f>
        <v>0</v>
      </c>
      <c r="CD112" s="106">
        <f>+HLOOKUP($C112,PMGR!$CU$2:$DG$250,169,0)</f>
        <v>570</v>
      </c>
      <c r="CE112" s="106">
        <f>+HLOOKUP($C112,PMGR!$CU$2:$DG$250,170,0)</f>
        <v>0</v>
      </c>
      <c r="CF112" s="106">
        <f>+HLOOKUP($C112,PMGR!$CU$2:$DG$250,172,0)</f>
        <v>10800</v>
      </c>
      <c r="CG112" s="106">
        <f>+HLOOKUP($C112,PMGR!$CU$2:$DG$250,173,0)</f>
        <v>0</v>
      </c>
      <c r="CH112" s="106">
        <f>+HLOOKUP($C112,PMGR!$CU$2:$DG$250,174,0)</f>
        <v>57600</v>
      </c>
      <c r="CI112" s="106">
        <f>+HLOOKUP($C112,PMGR!$CU$2:$DG$250,175,0)</f>
        <v>4458</v>
      </c>
      <c r="CJ112" s="106">
        <f>+HLOOKUP($C112,PMGR!$CU$2:$DG$250,176,0)</f>
        <v>1464.54</v>
      </c>
      <c r="CK112" s="106">
        <f>+HLOOKUP($C112,PMGR!$CU$2:$DG$250,178,0)</f>
        <v>31471.5</v>
      </c>
      <c r="CL112" s="106">
        <f>+HLOOKUP($C112,PMGR!$CU$2:$DG$250,179,0)</f>
        <v>11807.91</v>
      </c>
      <c r="CM112" s="106">
        <f>+HLOOKUP($C112,PMGR!$CU$2:$DG$250,180,0)</f>
        <v>7140</v>
      </c>
      <c r="CN112" s="106">
        <f>+HLOOKUP($C112,PMGR!$CU$2:$DG$250,182,0)</f>
        <v>456.84</v>
      </c>
      <c r="CO112" s="106">
        <f>+HLOOKUP($C112,PMGR!$CU$2:$DG$250,183,0)</f>
        <v>6052.1699999999992</v>
      </c>
      <c r="CP112" s="106">
        <f>+HLOOKUP($C112,PMGR!$CU$2:$DG$250,184,0)</f>
        <v>5188.1399999999994</v>
      </c>
      <c r="CQ112" s="106">
        <f>+HLOOKUP($C112,PMGR!$CU$2:$DG$250,185,0)</f>
        <v>0</v>
      </c>
      <c r="CR112" s="106">
        <f>+HLOOKUP($C112,PMGR!$CU$2:$DG$250,187,0)</f>
        <v>1874.8799999999997</v>
      </c>
      <c r="CS112" s="106">
        <f>+HLOOKUP($C112,PMGR!$CU$2:$DG$250,188,0)</f>
        <v>0</v>
      </c>
      <c r="CT112" s="106">
        <f>+HLOOKUP($C112,PMGR!$CU$2:$DG$250,189,0)</f>
        <v>0</v>
      </c>
      <c r="CU112" s="106">
        <f>+HLOOKUP($C112,PMGR!$CU$2:$DG$250,190,0)</f>
        <v>749.97</v>
      </c>
      <c r="CV112" s="106">
        <f>+HLOOKUP($C112,PMGR!$CU$2:$DG$250,191,0)</f>
        <v>0</v>
      </c>
      <c r="CW112" s="106">
        <f>+HLOOKUP($C112,PMGR!$CU$2:$DG$250,193,0)</f>
        <v>3713.3999999999996</v>
      </c>
      <c r="CX112" s="106">
        <f>+HLOOKUP($C112,PMGR!$CU$2:$DG$250,194,0)</f>
        <v>586.35</v>
      </c>
      <c r="CY112" s="106">
        <f>+HLOOKUP($C112,PMGR!$CU$2:$DG$250,195,0)</f>
        <v>825</v>
      </c>
      <c r="CZ112" s="106">
        <f>+HLOOKUP($C112,PMGR!$CU$2:$DG$250,196,0)</f>
        <v>0</v>
      </c>
      <c r="DA112" s="106">
        <f>+HLOOKUP($C112,PMGR!$CU$2:$DG$250,197,0)</f>
        <v>3098.165</v>
      </c>
      <c r="DB112" s="106">
        <f>+HLOOKUP($C112,PMGR!$CU$2:$DG$250,198,0)</f>
        <v>7443.405999999999</v>
      </c>
      <c r="DC112" s="106">
        <f>+HLOOKUP($C112,PMGR!$CU$2:$DG$250,199,0)</f>
        <v>990.0809999999999</v>
      </c>
      <c r="DD112" s="106">
        <f>+HLOOKUP($C112,PMGR!$CU$2:$DG$250,200,0)</f>
        <v>3078</v>
      </c>
      <c r="DE112" s="106">
        <f>+HLOOKUP($C112,PMGR!$CU$2:$DG$250,201,0)</f>
        <v>0</v>
      </c>
      <c r="DF112" s="106">
        <f>+HLOOKUP($C112,PMGR!$CU$2:$DG$250,202,0)</f>
        <v>0.37979999999999992</v>
      </c>
      <c r="DG112" s="106">
        <f>+HLOOKUP($C112,PMGR!$CU$2:$DG$250,203,0)</f>
        <v>-7.1711999999999998</v>
      </c>
      <c r="DH112" s="106">
        <f>+HLOOKUP($C112,PMGR!$CU$2:$DG$250,205,0)</f>
        <v>0</v>
      </c>
      <c r="DI112" s="106">
        <f>+HLOOKUP($C112,PMGR!$CU$2:$DG$250,206,0)</f>
        <v>2284.7999999999997</v>
      </c>
      <c r="DJ112" s="106">
        <f>+HLOOKUP($C112,PMGR!$CU$2:$DG$250,207,0)</f>
        <v>9714.7100000000009</v>
      </c>
      <c r="DK112" s="106">
        <f>+HLOOKUP($C112,PMGR!$CU$2:$DG$250,209,0)</f>
        <v>0</v>
      </c>
      <c r="DL112" s="106">
        <f>+HLOOKUP($C112,PMGR!$CU$2:$DG$250,210,0)</f>
        <v>73705.2</v>
      </c>
      <c r="DM112" s="106">
        <f>+HLOOKUP($C112,PMGR!$CU$2:$DG$250,211,0)</f>
        <v>0</v>
      </c>
      <c r="DN112" s="106">
        <f>+HLOOKUP($C112,PMGR!$CU$2:$DG$250,212,0)</f>
        <v>14400</v>
      </c>
      <c r="DO112" s="106">
        <f>+HLOOKUP($C112,PMGR!$CU$2:$DG$250,214,0)</f>
        <v>0</v>
      </c>
      <c r="DP112" s="106">
        <f>+HLOOKUP($C112,PMGR!$CU$2:$DG$250,215,0)</f>
        <v>60</v>
      </c>
      <c r="DQ112" s="106">
        <f>+HLOOKUP($C112,PMGR!$CU$2:$DG$250,219,0)</f>
        <v>0</v>
      </c>
      <c r="DR112" s="106">
        <f>+HLOOKUP($C112,PMGR!$CU$2:$DG$250,220,0)</f>
        <v>0</v>
      </c>
      <c r="DS112" s="106">
        <f>+HLOOKUP($C112,PMGR!$CU$2:$DG$250,221,0)</f>
        <v>0</v>
      </c>
      <c r="DT112" s="106">
        <f>+HLOOKUP($C112,PMGR!$CU$2:$DG$250,223,0)</f>
        <v>12231.410399999999</v>
      </c>
      <c r="DU112" s="106">
        <f>+HLOOKUP($C112,PMGR!$CU$2:$DG$250,224,0)</f>
        <v>0</v>
      </c>
      <c r="DV112" s="106">
        <f>+HLOOKUP($C112,PMGR!$CU$2:$DG$250,225,0)</f>
        <v>0</v>
      </c>
      <c r="DW112" s="106">
        <f>+HLOOKUP($C112,PMGR!$CU$2:$DG$250,227,0)</f>
        <v>0</v>
      </c>
      <c r="DX112" s="106">
        <f>+HLOOKUP($C112,PMGR!$CU$2:$DG$250,228,0)</f>
        <v>1058.1299999999999</v>
      </c>
      <c r="DY112" s="106">
        <f>+HLOOKUP($C112,PMGR!$CU$2:$DG$250,236,0)</f>
        <v>182546.80000000002</v>
      </c>
      <c r="DZ112" s="106">
        <f>+HLOOKUP($C112,PMGR!$CU$2:$DG$250,237,0)</f>
        <v>81972.726569999999</v>
      </c>
      <c r="EA112" s="106">
        <f>+HLOOKUP($C112,PMGR!$CU$2:$DG$250,238,0)</f>
        <v>15321.6</v>
      </c>
      <c r="EB112" s="106">
        <f>+HLOOKUP($C112,PMGR!$CU$2:$DG$250,240,0)</f>
        <v>241812.14353571442</v>
      </c>
    </row>
    <row r="113" spans="1:132" hidden="1">
      <c r="A113" t="s">
        <v>271</v>
      </c>
      <c r="B113" t="s">
        <v>217</v>
      </c>
      <c r="C113" s="117">
        <v>45901</v>
      </c>
      <c r="D113" s="106">
        <f t="shared" si="0"/>
        <v>10515232.08231464</v>
      </c>
      <c r="E113" s="106">
        <f>+HLOOKUP(C113,PMGR!$CU$2:$DG$250,28,0)+HLOOKUP(C113,PMGR!$CU$2:$DG$250,43,0)+HLOOKUP(C113,PMGR!$CU$2:$DG$250,44,0)+HLOOKUP(C113,PMGR!$CU$2:$DG$250,45,0)+HLOOKUP(C113,PMGR!$CU$2:$DG$250,54,0)+HLOOKUP(C113,PMGR!$CU$2:$DG$250,59,0)</f>
        <v>10515232.08231464</v>
      </c>
      <c r="F113" s="106">
        <f>+HLOOKUP(C113,PMGR!$CU$2:$DG$250,37,0)+HLOOKUP(C113,PMGR!$CU$2:$DG$250,55,0)</f>
        <v>6110325.6539999992</v>
      </c>
      <c r="G113" s="106">
        <f>+HLOOKUP($C113,PMGR!$CU$2:$DG$250,76,0)</f>
        <v>0</v>
      </c>
      <c r="H113" s="106">
        <f>+HLOOKUP($C113,PMGR!$CU$2:$DG$250,77,0)</f>
        <v>0</v>
      </c>
      <c r="I113" s="106">
        <f>+HLOOKUP($C113,PMGR!$CU$2:$DG$250,78,0)</f>
        <v>0</v>
      </c>
      <c r="J113" s="106">
        <f>+HLOOKUP($C113,PMGR!$CU$2:$DG$250,79,0)</f>
        <v>0</v>
      </c>
      <c r="K113" s="106">
        <f>+HLOOKUP($C113,PMGR!$CU$2:$DG$250,80,0)</f>
        <v>0</v>
      </c>
      <c r="L113" s="106">
        <f>+HLOOKUP($C113,PMGR!$CU$2:$DG$250,81,0)</f>
        <v>0</v>
      </c>
      <c r="M113" s="106">
        <f>+HLOOKUP($C113,PMGR!$CU$2:$DG$250,82,0)</f>
        <v>0</v>
      </c>
      <c r="N113" s="106">
        <f>+HLOOKUP($C113,PMGR!$CU$2:$DG$250,83,0)</f>
        <v>0</v>
      </c>
      <c r="O113" s="106">
        <f>+HLOOKUP($C113,PMGR!$CU$2:$DG$250,84,0)</f>
        <v>0</v>
      </c>
      <c r="P113" s="106">
        <f>+HLOOKUP($C113,PMGR!$CU$2:$DG$250,85,0)</f>
        <v>0</v>
      </c>
      <c r="Q113" s="106">
        <f>+HLOOKUP($C113,PMGR!$CU$2:$DG$250,87,0)</f>
        <v>108548.06999999989</v>
      </c>
      <c r="R113" s="106">
        <f>+HLOOKUP($C113,PMGR!$CU$2:$DG$250,90,0)</f>
        <v>0</v>
      </c>
      <c r="S113" s="106">
        <f>+HLOOKUP($C113,PMGR!$CU$2:$DG$250,91,0)</f>
        <v>3727.2813333333334</v>
      </c>
      <c r="T113" s="106">
        <f>+HLOOKUP($C113,PMGR!$CU$2:$DG$250,92,0)</f>
        <v>0</v>
      </c>
      <c r="U113" s="106">
        <f>+HLOOKUP($C113,PMGR!$CU$2:$DG$250,93,0)</f>
        <v>0</v>
      </c>
      <c r="V113" s="106">
        <f>+HLOOKUP($C113,PMGR!$CU$2:$DG$250,94,0)</f>
        <v>0</v>
      </c>
      <c r="W113" s="106">
        <f>+HLOOKUP($C113,PMGR!$CU$2:$DG$250,95,0)</f>
        <v>0</v>
      </c>
      <c r="X113" s="106">
        <f>+HLOOKUP($C113,PMGR!$CU$2:$DG$250,96,0)</f>
        <v>0</v>
      </c>
      <c r="Y113" s="106">
        <f>+HLOOKUP($C113,PMGR!$CU$2:$DG$250,97,0)</f>
        <v>0</v>
      </c>
      <c r="Z113" s="106">
        <f>+HLOOKUP($C113,PMGR!$CU$2:$DG$250,98,0)</f>
        <v>0</v>
      </c>
      <c r="AA113" s="106">
        <f>+HLOOKUP($C113,PMGR!$CU$2:$DG$250,99,0)</f>
        <v>0</v>
      </c>
      <c r="AB113" s="106">
        <f>+HLOOKUP($C113,PMGR!$CU$2:$DG$250,100,0)</f>
        <v>0</v>
      </c>
      <c r="AC113" s="106">
        <f>+HLOOKUP($C113,PMGR!$CU$2:$DG$250,101,0)</f>
        <v>0</v>
      </c>
      <c r="AD113" s="106">
        <f>+HLOOKUP($C113,PMGR!$CU$2:$DG$250,104,0)</f>
        <v>43841.69</v>
      </c>
      <c r="AE113" s="106">
        <f>+HLOOKUP($C113,PMGR!$CU$2:$DG$250,105,0)</f>
        <v>0</v>
      </c>
      <c r="AF113" s="106">
        <f>+HLOOKUP($C113,PMGR!$CU$2:$DG$250,106,0)</f>
        <v>0</v>
      </c>
      <c r="AG113" s="106">
        <f>+HLOOKUP($C113,PMGR!$CU$2:$DG$250,107,0)</f>
        <v>0</v>
      </c>
      <c r="AH113" s="106">
        <f>+HLOOKUP($C113,PMGR!$CU$2:$DG$250,108,0)</f>
        <v>2037.6000000000001</v>
      </c>
      <c r="AI113" s="106">
        <f>+HLOOKUP($C113,PMGR!$CU$2:$DG$250,109,0)</f>
        <v>0</v>
      </c>
      <c r="AJ113" s="106">
        <f>+HLOOKUP($C113,PMGR!$CU$2:$DG$250,110,0)</f>
        <v>0</v>
      </c>
      <c r="AK113" s="106">
        <f>+HLOOKUP($C113,PMGR!$CU$2:$DG$250,111,0)</f>
        <v>5360</v>
      </c>
      <c r="AL113" s="106">
        <f>+HLOOKUP($C113,PMGR!$CU$2:$DG$250,112,0)</f>
        <v>0</v>
      </c>
      <c r="AM113" s="106">
        <f>+HLOOKUP($C113,PMGR!$CU$2:$DG$250,116,0)</f>
        <v>269096</v>
      </c>
      <c r="AN113" s="106">
        <f>+HLOOKUP($C113,PMGR!$CU$2:$DG$250,117,0)</f>
        <v>46452</v>
      </c>
      <c r="AO113" s="106">
        <f>+HLOOKUP($C113,PMGR!$CU$2:$DG$250,118,0)</f>
        <v>3000</v>
      </c>
      <c r="AP113" s="106">
        <f>+HLOOKUP($C113,PMGR!$CU$2:$DG$250,119,0)</f>
        <v>101328</v>
      </c>
      <c r="AQ113" s="106">
        <f>+HLOOKUP($C113,PMGR!$CU$2:$DG$250,120,0)</f>
        <v>26322</v>
      </c>
      <c r="AR113" s="106">
        <f>+HLOOKUP($C113,PMGR!$CU$2:$DG$250,121,0)</f>
        <v>12500</v>
      </c>
      <c r="AS113" s="106">
        <f>+HLOOKUP($C113,PMGR!$CU$2:$DG$250,122,0)</f>
        <v>175443.20000000001</v>
      </c>
      <c r="AT113" s="106">
        <f>+HLOOKUP($C113,PMGR!$CU$2:$DG$250,123,0)</f>
        <v>35293.217528472225</v>
      </c>
      <c r="AU113" s="106">
        <f>+HLOOKUP($C113,PMGR!$CU$2:$DG$250,124,0)</f>
        <v>3752.5</v>
      </c>
      <c r="AV113" s="106">
        <f>+HLOOKUP($C113,PMGR!$CU$2:$DG$250,125,0)</f>
        <v>77920.2</v>
      </c>
      <c r="AW113" s="106">
        <f>+HLOOKUP($C113,PMGR!$CU$2:$DG$250,126,0)</f>
        <v>14716.346153846156</v>
      </c>
      <c r="AX113" s="106">
        <f>+HLOOKUP($C113,PMGR!$CU$2:$DG$250,127,0)</f>
        <v>20216.666666666664</v>
      </c>
      <c r="AY113" s="106">
        <f>+HLOOKUP($C113,PMGR!$CU$2:$DG$250,129,0)</f>
        <v>33927.5</v>
      </c>
      <c r="AZ113" s="106">
        <f>+HLOOKUP($C113,PMGR!$CU$2:$DG$250,130,0)</f>
        <v>0</v>
      </c>
      <c r="BA113" s="106">
        <f>+HLOOKUP($C113,PMGR!$CU$2:$DG$250,131,0)</f>
        <v>0</v>
      </c>
      <c r="BB113" s="106">
        <f>+HLOOKUP($C113,PMGR!$CU$2:$DG$250,133,0)</f>
        <v>0</v>
      </c>
      <c r="BC113" s="106">
        <f>+HLOOKUP($C113,PMGR!$CU$2:$DG$250,134,0)</f>
        <v>10354.75</v>
      </c>
      <c r="BD113" s="106">
        <f>+HLOOKUP($C113,PMGR!$CU$2:$DG$250,135,0)</f>
        <v>0</v>
      </c>
      <c r="BE113" s="106">
        <f>+HLOOKUP($C113,PMGR!$CU$2:$DG$250,136,0)</f>
        <v>0</v>
      </c>
      <c r="BF113" s="106">
        <f>+HLOOKUP($C113,PMGR!$CU$2:$DG$250,138,0)</f>
        <v>5978.8499999999995</v>
      </c>
      <c r="BG113" s="106">
        <f>+HLOOKUP($C113,PMGR!$CU$2:$DG$250,139,0)</f>
        <v>2750.8</v>
      </c>
      <c r="BH113" s="106">
        <f>+HLOOKUP($C113,PMGR!$CU$2:$DG$250,140,0)</f>
        <v>13950</v>
      </c>
      <c r="BI113" s="106">
        <f>+HLOOKUP($C113,PMGR!$CU$2:$DG$250,141,0)</f>
        <v>0</v>
      </c>
      <c r="BJ113" s="106">
        <f>+HLOOKUP($C113,PMGR!$CU$2:$DG$250,142,0)</f>
        <v>0</v>
      </c>
      <c r="BK113" s="106">
        <f>+HLOOKUP($C113,PMGR!$CU$2:$DG$250,143,0)</f>
        <v>434.09999999999997</v>
      </c>
      <c r="BL113" s="106">
        <f>+HLOOKUP($C113,PMGR!$CU$2:$DG$250,144,0)</f>
        <v>13324.5</v>
      </c>
      <c r="BM113" s="106">
        <f>+HLOOKUP($C113,PMGR!$CU$2:$DG$250,146,0)</f>
        <v>0</v>
      </c>
      <c r="BN113" s="106">
        <f>+HLOOKUP($C113,PMGR!$CU$2:$DG$250,147,0)</f>
        <v>38731</v>
      </c>
      <c r="BO113" s="106">
        <f>+HLOOKUP($C113,PMGR!$CU$2:$DG$250,148,0)</f>
        <v>0</v>
      </c>
      <c r="BP113" s="106">
        <f>+HLOOKUP($C113,PMGR!$CU$2:$DG$250,150,0)</f>
        <v>24747.899999999998</v>
      </c>
      <c r="BQ113" s="106">
        <f>+HLOOKUP($C113,PMGR!$CU$2:$DG$250,151,0)</f>
        <v>1488.3</v>
      </c>
      <c r="BR113" s="106">
        <f>+HLOOKUP($C113,PMGR!$CU$2:$DG$250,152,0)</f>
        <v>10500</v>
      </c>
      <c r="BS113" s="106">
        <f>+HLOOKUP($C113,PMGR!$CU$2:$DG$250,153,0)</f>
        <v>26480</v>
      </c>
      <c r="BT113" s="106">
        <f>+HLOOKUP($C113,PMGR!$CU$2:$DG$250,157,0)</f>
        <v>0</v>
      </c>
      <c r="BU113" s="106">
        <f>+HLOOKUP($C113,PMGR!$CU$2:$DG$250,158,0)</f>
        <v>640</v>
      </c>
      <c r="BV113" s="106">
        <f>+HLOOKUP($C113,PMGR!$CU$2:$DG$250,159,0)</f>
        <v>204.29999999999998</v>
      </c>
      <c r="BW113" s="106">
        <f>+HLOOKUP($C113,PMGR!$CU$2:$DG$250,160,0)</f>
        <v>41003.5</v>
      </c>
      <c r="BX113" s="106">
        <f>+HLOOKUP($C113,PMGR!$CU$2:$DG$250,161,0)</f>
        <v>80530</v>
      </c>
      <c r="BY113" s="106">
        <f>+HLOOKUP($C113,PMGR!$CU$2:$DG$250,164,0)</f>
        <v>1351.27</v>
      </c>
      <c r="BZ113" s="106">
        <f>+HLOOKUP($C113,PMGR!$CU$2:$DG$250,165,0)</f>
        <v>32787.08</v>
      </c>
      <c r="CA113" s="106">
        <f>+HLOOKUP($C113,PMGR!$CU$2:$DG$250,166,0)</f>
        <v>0</v>
      </c>
      <c r="CB113" s="106">
        <f>+HLOOKUP($C113,PMGR!$CU$2:$DG$250,167,0)</f>
        <v>65999.58</v>
      </c>
      <c r="CC113" s="106">
        <f>+HLOOKUP($C113,PMGR!$CU$2:$DG$250,168,0)</f>
        <v>0</v>
      </c>
      <c r="CD113" s="106">
        <f>+HLOOKUP($C113,PMGR!$CU$2:$DG$250,169,0)</f>
        <v>0</v>
      </c>
      <c r="CE113" s="106">
        <f>+HLOOKUP($C113,PMGR!$CU$2:$DG$250,170,0)</f>
        <v>0</v>
      </c>
      <c r="CF113" s="106">
        <f>+HLOOKUP($C113,PMGR!$CU$2:$DG$250,172,0)</f>
        <v>10800</v>
      </c>
      <c r="CG113" s="106">
        <f>+HLOOKUP($C113,PMGR!$CU$2:$DG$250,173,0)</f>
        <v>0</v>
      </c>
      <c r="CH113" s="106">
        <f>+HLOOKUP($C113,PMGR!$CU$2:$DG$250,174,0)</f>
        <v>57600</v>
      </c>
      <c r="CI113" s="106">
        <f>+HLOOKUP($C113,PMGR!$CU$2:$DG$250,175,0)</f>
        <v>4458</v>
      </c>
      <c r="CJ113" s="106">
        <f>+HLOOKUP($C113,PMGR!$CU$2:$DG$250,176,0)</f>
        <v>1464.54</v>
      </c>
      <c r="CK113" s="106">
        <f>+HLOOKUP($C113,PMGR!$CU$2:$DG$250,178,0)</f>
        <v>24173.1</v>
      </c>
      <c r="CL113" s="106">
        <f>+HLOOKUP($C113,PMGR!$CU$2:$DG$250,179,0)</f>
        <v>0</v>
      </c>
      <c r="CM113" s="106">
        <f>+HLOOKUP($C113,PMGR!$CU$2:$DG$250,180,0)</f>
        <v>9240</v>
      </c>
      <c r="CN113" s="106">
        <f>+HLOOKUP($C113,PMGR!$CU$2:$DG$250,182,0)</f>
        <v>456.84</v>
      </c>
      <c r="CO113" s="106">
        <f>+HLOOKUP($C113,PMGR!$CU$2:$DG$250,183,0)</f>
        <v>5374.2899999999991</v>
      </c>
      <c r="CP113" s="106">
        <f>+HLOOKUP($C113,PMGR!$CU$2:$DG$250,184,0)</f>
        <v>6474.24</v>
      </c>
      <c r="CQ113" s="106">
        <f>+HLOOKUP($C113,PMGR!$CU$2:$DG$250,185,0)</f>
        <v>0</v>
      </c>
      <c r="CR113" s="106">
        <f>+HLOOKUP($C113,PMGR!$CU$2:$DG$250,187,0)</f>
        <v>1874.8799999999997</v>
      </c>
      <c r="CS113" s="106">
        <f>+HLOOKUP($C113,PMGR!$CU$2:$DG$250,188,0)</f>
        <v>0</v>
      </c>
      <c r="CT113" s="106">
        <f>+HLOOKUP($C113,PMGR!$CU$2:$DG$250,189,0)</f>
        <v>0</v>
      </c>
      <c r="CU113" s="106">
        <f>+HLOOKUP($C113,PMGR!$CU$2:$DG$250,190,0)</f>
        <v>0</v>
      </c>
      <c r="CV113" s="106">
        <f>+HLOOKUP($C113,PMGR!$CU$2:$DG$250,191,0)</f>
        <v>0</v>
      </c>
      <c r="CW113" s="106">
        <f>+HLOOKUP($C113,PMGR!$CU$2:$DG$250,193,0)</f>
        <v>3713.3999999999996</v>
      </c>
      <c r="CX113" s="106">
        <f>+HLOOKUP($C113,PMGR!$CU$2:$DG$250,194,0)</f>
        <v>235.98</v>
      </c>
      <c r="CY113" s="106">
        <f>+HLOOKUP($C113,PMGR!$CU$2:$DG$250,195,0)</f>
        <v>856.86</v>
      </c>
      <c r="CZ113" s="106">
        <f>+HLOOKUP($C113,PMGR!$CU$2:$DG$250,196,0)</f>
        <v>0</v>
      </c>
      <c r="DA113" s="106">
        <f>+HLOOKUP($C113,PMGR!$CU$2:$DG$250,197,0)</f>
        <v>5333.2649999999994</v>
      </c>
      <c r="DB113" s="106">
        <f>+HLOOKUP($C113,PMGR!$CU$2:$DG$250,198,0)</f>
        <v>1304.07</v>
      </c>
      <c r="DC113" s="106">
        <f>+HLOOKUP($C113,PMGR!$CU$2:$DG$250,199,0)</f>
        <v>535.75799999999992</v>
      </c>
      <c r="DD113" s="106">
        <f>+HLOOKUP($C113,PMGR!$CU$2:$DG$250,200,0)</f>
        <v>2110</v>
      </c>
      <c r="DE113" s="106">
        <f>+HLOOKUP($C113,PMGR!$CU$2:$DG$250,201,0)</f>
        <v>0</v>
      </c>
      <c r="DF113" s="106">
        <f>+HLOOKUP($C113,PMGR!$CU$2:$DG$250,202,0)</f>
        <v>-0.87280000000000002</v>
      </c>
      <c r="DG113" s="106">
        <f>+HLOOKUP($C113,PMGR!$CU$2:$DG$250,203,0)</f>
        <v>-5.94</v>
      </c>
      <c r="DH113" s="106">
        <f>+HLOOKUP($C113,PMGR!$CU$2:$DG$250,205,0)</f>
        <v>0</v>
      </c>
      <c r="DI113" s="106">
        <f>+HLOOKUP($C113,PMGR!$CU$2:$DG$250,206,0)</f>
        <v>0</v>
      </c>
      <c r="DJ113" s="106">
        <f>+HLOOKUP($C113,PMGR!$CU$2:$DG$250,207,0)</f>
        <v>9297.3273000000008</v>
      </c>
      <c r="DK113" s="106">
        <f>+HLOOKUP($C113,PMGR!$CU$2:$DG$250,209,0)</f>
        <v>0</v>
      </c>
      <c r="DL113" s="106">
        <f>+HLOOKUP($C113,PMGR!$CU$2:$DG$250,210,0)</f>
        <v>73705.2</v>
      </c>
      <c r="DM113" s="106">
        <f>+HLOOKUP($C113,PMGR!$CU$2:$DG$250,211,0)</f>
        <v>0</v>
      </c>
      <c r="DN113" s="106">
        <f>+HLOOKUP($C113,PMGR!$CU$2:$DG$250,212,0)</f>
        <v>14400</v>
      </c>
      <c r="DO113" s="106">
        <f>+HLOOKUP($C113,PMGR!$CU$2:$DG$250,214,0)</f>
        <v>0</v>
      </c>
      <c r="DP113" s="106">
        <f>+HLOOKUP($C113,PMGR!$CU$2:$DG$250,215,0)</f>
        <v>555</v>
      </c>
      <c r="DQ113" s="106">
        <f>+HLOOKUP($C113,PMGR!$CU$2:$DG$250,219,0)</f>
        <v>0</v>
      </c>
      <c r="DR113" s="106">
        <f>+HLOOKUP($C113,PMGR!$CU$2:$DG$250,220,0)</f>
        <v>0</v>
      </c>
      <c r="DS113" s="106">
        <f>+HLOOKUP($C113,PMGR!$CU$2:$DG$250,221,0)</f>
        <v>0</v>
      </c>
      <c r="DT113" s="106">
        <f>+HLOOKUP($C113,PMGR!$CU$2:$DG$250,223,0)</f>
        <v>9409.5144</v>
      </c>
      <c r="DU113" s="106">
        <f>+HLOOKUP($C113,PMGR!$CU$2:$DG$250,224,0)</f>
        <v>0</v>
      </c>
      <c r="DV113" s="106">
        <f>+HLOOKUP($C113,PMGR!$CU$2:$DG$250,225,0)</f>
        <v>0</v>
      </c>
      <c r="DW113" s="106">
        <f>+HLOOKUP($C113,PMGR!$CU$2:$DG$250,227,0)</f>
        <v>0</v>
      </c>
      <c r="DX113" s="106">
        <f>+HLOOKUP($C113,PMGR!$CU$2:$DG$250,228,0)</f>
        <v>148.41</v>
      </c>
      <c r="DY113" s="106">
        <f>+HLOOKUP($C113,PMGR!$CU$2:$DG$250,236,0)</f>
        <v>188644</v>
      </c>
      <c r="DZ113" s="106">
        <f>+HLOOKUP($C113,PMGR!$CU$2:$DG$250,237,0)</f>
        <v>83156.448690000005</v>
      </c>
      <c r="EA113" s="106">
        <f>+HLOOKUP($C113,PMGR!$CU$2:$DG$250,238,0)</f>
        <v>17175.2</v>
      </c>
      <c r="EB113" s="106">
        <f>+HLOOKUP($C113,PMGR!$CU$2:$DG$250,240,0)</f>
        <v>241812.14353571442</v>
      </c>
    </row>
    <row r="114" spans="1:132" hidden="1">
      <c r="A114" t="s">
        <v>271</v>
      </c>
      <c r="B114" t="s">
        <v>217</v>
      </c>
      <c r="C114" s="117">
        <v>45870</v>
      </c>
      <c r="D114" s="106">
        <f t="shared" si="0"/>
        <v>9764963.0127013605</v>
      </c>
      <c r="E114" s="106">
        <f>+HLOOKUP(C114,PMGR!$CU$2:$DG$250,28,0)+HLOOKUP(C114,PMGR!$CU$2:$DG$250,43,0)+HLOOKUP(C114,PMGR!$CU$2:$DG$250,44,0)+HLOOKUP(C114,PMGR!$CU$2:$DG$250,45,0)+HLOOKUP(C114,PMGR!$CU$2:$DG$250,54,0)+HLOOKUP(C114,PMGR!$CU$2:$DG$250,59,0)</f>
        <v>9764963.0127013605</v>
      </c>
      <c r="F114" s="106">
        <f>+HLOOKUP(C114,PMGR!$CU$2:$DG$250,37,0)+HLOOKUP(C114,PMGR!$CU$2:$DG$250,55,0)</f>
        <v>5805036.3639999991</v>
      </c>
      <c r="G114" s="106">
        <f>+HLOOKUP($C114,PMGR!$CU$2:$DG$250,76,0)</f>
        <v>0</v>
      </c>
      <c r="H114" s="106">
        <f>+HLOOKUP($C114,PMGR!$CU$2:$DG$250,77,0)</f>
        <v>0</v>
      </c>
      <c r="I114" s="106">
        <f>+HLOOKUP($C114,PMGR!$CU$2:$DG$250,78,0)</f>
        <v>0</v>
      </c>
      <c r="J114" s="106">
        <f>+HLOOKUP($C114,PMGR!$CU$2:$DG$250,79,0)</f>
        <v>0</v>
      </c>
      <c r="K114" s="106">
        <f>+HLOOKUP($C114,PMGR!$CU$2:$DG$250,80,0)</f>
        <v>0</v>
      </c>
      <c r="L114" s="106">
        <f>+HLOOKUP($C114,PMGR!$CU$2:$DG$250,81,0)</f>
        <v>0</v>
      </c>
      <c r="M114" s="106">
        <f>+HLOOKUP($C114,PMGR!$CU$2:$DG$250,82,0)</f>
        <v>0</v>
      </c>
      <c r="N114" s="106">
        <f>+HLOOKUP($C114,PMGR!$CU$2:$DG$250,83,0)</f>
        <v>0</v>
      </c>
      <c r="O114" s="106">
        <f>+HLOOKUP($C114,PMGR!$CU$2:$DG$250,84,0)</f>
        <v>0</v>
      </c>
      <c r="P114" s="106">
        <f>+HLOOKUP($C114,PMGR!$CU$2:$DG$250,85,0)</f>
        <v>0</v>
      </c>
      <c r="Q114" s="106">
        <f>+HLOOKUP($C114,PMGR!$CU$2:$DG$250,87,0)</f>
        <v>206807.62000000011</v>
      </c>
      <c r="R114" s="106">
        <f>+HLOOKUP($C114,PMGR!$CU$2:$DG$250,90,0)</f>
        <v>0</v>
      </c>
      <c r="S114" s="106">
        <f>+HLOOKUP($C114,PMGR!$CU$2:$DG$250,91,0)</f>
        <v>0</v>
      </c>
      <c r="T114" s="106">
        <f>+HLOOKUP($C114,PMGR!$CU$2:$DG$250,92,0)</f>
        <v>0</v>
      </c>
      <c r="U114" s="106">
        <f>+HLOOKUP($C114,PMGR!$CU$2:$DG$250,93,0)</f>
        <v>0</v>
      </c>
      <c r="V114" s="106">
        <f>+HLOOKUP($C114,PMGR!$CU$2:$DG$250,94,0)</f>
        <v>0</v>
      </c>
      <c r="W114" s="106">
        <f>+HLOOKUP($C114,PMGR!$CU$2:$DG$250,95,0)</f>
        <v>0</v>
      </c>
      <c r="X114" s="106">
        <f>+HLOOKUP($C114,PMGR!$CU$2:$DG$250,96,0)</f>
        <v>0</v>
      </c>
      <c r="Y114" s="106">
        <f>+HLOOKUP($C114,PMGR!$CU$2:$DG$250,97,0)</f>
        <v>0</v>
      </c>
      <c r="Z114" s="106">
        <f>+HLOOKUP($C114,PMGR!$CU$2:$DG$250,98,0)</f>
        <v>0</v>
      </c>
      <c r="AA114" s="106">
        <f>+HLOOKUP($C114,PMGR!$CU$2:$DG$250,99,0)</f>
        <v>0</v>
      </c>
      <c r="AB114" s="106">
        <f>+HLOOKUP($C114,PMGR!$CU$2:$DG$250,100,0)</f>
        <v>0</v>
      </c>
      <c r="AC114" s="106">
        <f>+HLOOKUP($C114,PMGR!$CU$2:$DG$250,101,0)</f>
        <v>4420.8</v>
      </c>
      <c r="AD114" s="106">
        <f>+HLOOKUP($C114,PMGR!$CU$2:$DG$250,104,0)</f>
        <v>18229.68</v>
      </c>
      <c r="AE114" s="106">
        <f>+HLOOKUP($C114,PMGR!$CU$2:$DG$250,105,0)</f>
        <v>3987</v>
      </c>
      <c r="AF114" s="106">
        <f>+HLOOKUP($C114,PMGR!$CU$2:$DG$250,106,0)</f>
        <v>0</v>
      </c>
      <c r="AG114" s="106">
        <f>+HLOOKUP($C114,PMGR!$CU$2:$DG$250,107,0)</f>
        <v>0</v>
      </c>
      <c r="AH114" s="106">
        <f>+HLOOKUP($C114,PMGR!$CU$2:$DG$250,108,0)</f>
        <v>6820.65</v>
      </c>
      <c r="AI114" s="106">
        <f>+HLOOKUP($C114,PMGR!$CU$2:$DG$250,109,0)</f>
        <v>35224.559999999998</v>
      </c>
      <c r="AJ114" s="106">
        <f>+HLOOKUP($C114,PMGR!$CU$2:$DG$250,110,0)</f>
        <v>0</v>
      </c>
      <c r="AK114" s="106">
        <f>+HLOOKUP($C114,PMGR!$CU$2:$DG$250,111,0)</f>
        <v>0</v>
      </c>
      <c r="AL114" s="106">
        <f>+HLOOKUP($C114,PMGR!$CU$2:$DG$250,112,0)</f>
        <v>0</v>
      </c>
      <c r="AM114" s="106">
        <f>+HLOOKUP($C114,PMGR!$CU$2:$DG$250,116,0)</f>
        <v>271858</v>
      </c>
      <c r="AN114" s="106">
        <f>+HLOOKUP($C114,PMGR!$CU$2:$DG$250,117,0)</f>
        <v>46954</v>
      </c>
      <c r="AO114" s="106">
        <f>+HLOOKUP($C114,PMGR!$CU$2:$DG$250,118,0)</f>
        <v>3000</v>
      </c>
      <c r="AP114" s="106">
        <f>+HLOOKUP($C114,PMGR!$CU$2:$DG$250,119,0)</f>
        <v>102081</v>
      </c>
      <c r="AQ114" s="106">
        <f>+HLOOKUP($C114,PMGR!$CU$2:$DG$250,120,0)</f>
        <v>26824</v>
      </c>
      <c r="AR114" s="106">
        <f>+HLOOKUP($C114,PMGR!$CU$2:$DG$250,121,0)</f>
        <v>12500</v>
      </c>
      <c r="AS114" s="106">
        <f>+HLOOKUP($C114,PMGR!$CU$2:$DG$250,122,0)</f>
        <v>111298</v>
      </c>
      <c r="AT114" s="106">
        <f>+HLOOKUP($C114,PMGR!$CU$2:$DG$250,123,0)</f>
        <v>35293.217528472225</v>
      </c>
      <c r="AU114" s="106">
        <f>+HLOOKUP($C114,PMGR!$CU$2:$DG$250,124,0)</f>
        <v>3752.5</v>
      </c>
      <c r="AV114" s="106">
        <f>+HLOOKUP($C114,PMGR!$CU$2:$DG$250,125,0)</f>
        <v>65590.45199999999</v>
      </c>
      <c r="AW114" s="106">
        <f>+HLOOKUP($C114,PMGR!$CU$2:$DG$250,126,0)</f>
        <v>14716.346153846156</v>
      </c>
      <c r="AX114" s="106">
        <f>+HLOOKUP($C114,PMGR!$CU$2:$DG$250,127,0)</f>
        <v>20216.666666666664</v>
      </c>
      <c r="AY114" s="106">
        <f>+HLOOKUP($C114,PMGR!$CU$2:$DG$250,129,0)</f>
        <v>0</v>
      </c>
      <c r="AZ114" s="106">
        <f>+HLOOKUP($C114,PMGR!$CU$2:$DG$250,130,0)</f>
        <v>0</v>
      </c>
      <c r="BA114" s="106">
        <f>+HLOOKUP($C114,PMGR!$CU$2:$DG$250,131,0)</f>
        <v>0</v>
      </c>
      <c r="BB114" s="106">
        <f>+HLOOKUP($C114,PMGR!$CU$2:$DG$250,133,0)</f>
        <v>0</v>
      </c>
      <c r="BC114" s="106">
        <f>+HLOOKUP($C114,PMGR!$CU$2:$DG$250,134,0)</f>
        <v>115609.06</v>
      </c>
      <c r="BD114" s="106">
        <f>+HLOOKUP($C114,PMGR!$CU$2:$DG$250,135,0)</f>
        <v>0</v>
      </c>
      <c r="BE114" s="106">
        <f>+HLOOKUP($C114,PMGR!$CU$2:$DG$250,136,0)</f>
        <v>0</v>
      </c>
      <c r="BF114" s="106">
        <f>+HLOOKUP($C114,PMGR!$CU$2:$DG$250,138,0)</f>
        <v>5603.8499999999995</v>
      </c>
      <c r="BG114" s="106">
        <f>+HLOOKUP($C114,PMGR!$CU$2:$DG$250,139,0)</f>
        <v>7201.5</v>
      </c>
      <c r="BH114" s="106">
        <f>+HLOOKUP($C114,PMGR!$CU$2:$DG$250,140,0)</f>
        <v>14850</v>
      </c>
      <c r="BI114" s="106">
        <f>+HLOOKUP($C114,PMGR!$CU$2:$DG$250,141,0)</f>
        <v>5084.7449999999999</v>
      </c>
      <c r="BJ114" s="106">
        <f>+HLOOKUP($C114,PMGR!$CU$2:$DG$250,142,0)</f>
        <v>0</v>
      </c>
      <c r="BK114" s="106">
        <f>+HLOOKUP($C114,PMGR!$CU$2:$DG$250,143,0)</f>
        <v>0</v>
      </c>
      <c r="BL114" s="106">
        <f>+HLOOKUP($C114,PMGR!$CU$2:$DG$250,144,0)</f>
        <v>0</v>
      </c>
      <c r="BM114" s="106">
        <f>+HLOOKUP($C114,PMGR!$CU$2:$DG$250,146,0)</f>
        <v>0</v>
      </c>
      <c r="BN114" s="106">
        <f>+HLOOKUP($C114,PMGR!$CU$2:$DG$250,147,0)</f>
        <v>77238</v>
      </c>
      <c r="BO114" s="106">
        <f>+HLOOKUP($C114,PMGR!$CU$2:$DG$250,148,0)</f>
        <v>0</v>
      </c>
      <c r="BP114" s="106">
        <f>+HLOOKUP($C114,PMGR!$CU$2:$DG$250,150,0)</f>
        <v>25606.5</v>
      </c>
      <c r="BQ114" s="106">
        <f>+HLOOKUP($C114,PMGR!$CU$2:$DG$250,151,0)</f>
        <v>1488.3</v>
      </c>
      <c r="BR114" s="106">
        <f>+HLOOKUP($C114,PMGR!$CU$2:$DG$250,152,0)</f>
        <v>10500</v>
      </c>
      <c r="BS114" s="106">
        <f>+HLOOKUP($C114,PMGR!$CU$2:$DG$250,153,0)</f>
        <v>480</v>
      </c>
      <c r="BT114" s="106">
        <f>+HLOOKUP($C114,PMGR!$CU$2:$DG$250,157,0)</f>
        <v>0</v>
      </c>
      <c r="BU114" s="106">
        <f>+HLOOKUP($C114,PMGR!$CU$2:$DG$250,158,0)</f>
        <v>0</v>
      </c>
      <c r="BV114" s="106">
        <f>+HLOOKUP($C114,PMGR!$CU$2:$DG$250,159,0)</f>
        <v>204.29999999999998</v>
      </c>
      <c r="BW114" s="106">
        <f>+HLOOKUP($C114,PMGR!$CU$2:$DG$250,160,0)</f>
        <v>20824.320199999998</v>
      </c>
      <c r="BX114" s="106">
        <f>+HLOOKUP($C114,PMGR!$CU$2:$DG$250,161,0)</f>
        <v>2040</v>
      </c>
      <c r="BY114" s="106">
        <f>+HLOOKUP($C114,PMGR!$CU$2:$DG$250,164,0)</f>
        <v>7263.2564999999995</v>
      </c>
      <c r="BZ114" s="106">
        <f>+HLOOKUP($C114,PMGR!$CU$2:$DG$250,165,0)</f>
        <v>19368.990000000002</v>
      </c>
      <c r="CA114" s="106">
        <f>+HLOOKUP($C114,PMGR!$CU$2:$DG$250,166,0)</f>
        <v>0</v>
      </c>
      <c r="CB114" s="106">
        <f>+HLOOKUP($C114,PMGR!$CU$2:$DG$250,167,0)</f>
        <v>570</v>
      </c>
      <c r="CC114" s="106">
        <f>+HLOOKUP($C114,PMGR!$CU$2:$DG$250,168,0)</f>
        <v>0</v>
      </c>
      <c r="CD114" s="106">
        <f>+HLOOKUP($C114,PMGR!$CU$2:$DG$250,169,0)</f>
        <v>0</v>
      </c>
      <c r="CE114" s="106">
        <f>+HLOOKUP($C114,PMGR!$CU$2:$DG$250,170,0)</f>
        <v>0</v>
      </c>
      <c r="CF114" s="106">
        <f>+HLOOKUP($C114,PMGR!$CU$2:$DG$250,172,0)</f>
        <v>10800</v>
      </c>
      <c r="CG114" s="106">
        <f>+HLOOKUP($C114,PMGR!$CU$2:$DG$250,173,0)</f>
        <v>0</v>
      </c>
      <c r="CH114" s="106">
        <f>+HLOOKUP($C114,PMGR!$CU$2:$DG$250,174,0)</f>
        <v>57600</v>
      </c>
      <c r="CI114" s="106">
        <f>+HLOOKUP($C114,PMGR!$CU$2:$DG$250,175,0)</f>
        <v>4458</v>
      </c>
      <c r="CJ114" s="106">
        <f>+HLOOKUP($C114,PMGR!$CU$2:$DG$250,176,0)</f>
        <v>1464.5103000000001</v>
      </c>
      <c r="CK114" s="106">
        <f>+HLOOKUP($C114,PMGR!$CU$2:$DG$250,178,0)</f>
        <v>25098.9</v>
      </c>
      <c r="CL114" s="106">
        <f>+HLOOKUP($C114,PMGR!$CU$2:$DG$250,179,0)</f>
        <v>4000</v>
      </c>
      <c r="CM114" s="106">
        <f>+HLOOKUP($C114,PMGR!$CU$2:$DG$250,180,0)</f>
        <v>8400</v>
      </c>
      <c r="CN114" s="106">
        <f>+HLOOKUP($C114,PMGR!$CU$2:$DG$250,182,0)</f>
        <v>456.86969999999997</v>
      </c>
      <c r="CO114" s="106">
        <f>+HLOOKUP($C114,PMGR!$CU$2:$DG$250,183,0)</f>
        <v>5489.6699999999992</v>
      </c>
      <c r="CP114" s="106">
        <f>+HLOOKUP($C114,PMGR!$CU$2:$DG$250,184,0)</f>
        <v>1322.01</v>
      </c>
      <c r="CQ114" s="106">
        <f>+HLOOKUP($C114,PMGR!$CU$2:$DG$250,185,0)</f>
        <v>0</v>
      </c>
      <c r="CR114" s="106">
        <f>+HLOOKUP($C114,PMGR!$CU$2:$DG$250,187,0)</f>
        <v>1874.8799999999997</v>
      </c>
      <c r="CS114" s="106">
        <f>+HLOOKUP($C114,PMGR!$CU$2:$DG$250,188,0)</f>
        <v>0</v>
      </c>
      <c r="CT114" s="106">
        <f>+HLOOKUP($C114,PMGR!$CU$2:$DG$250,189,0)</f>
        <v>0</v>
      </c>
      <c r="CU114" s="106">
        <f>+HLOOKUP($C114,PMGR!$CU$2:$DG$250,190,0)</f>
        <v>0</v>
      </c>
      <c r="CV114" s="106">
        <f>+HLOOKUP($C114,PMGR!$CU$2:$DG$250,191,0)</f>
        <v>0</v>
      </c>
      <c r="CW114" s="106">
        <f>+HLOOKUP($C114,PMGR!$CU$2:$DG$250,193,0)</f>
        <v>3713.3999999999996</v>
      </c>
      <c r="CX114" s="106">
        <f>+HLOOKUP($C114,PMGR!$CU$2:$DG$250,194,0)</f>
        <v>211.32</v>
      </c>
      <c r="CY114" s="106">
        <f>+HLOOKUP($C114,PMGR!$CU$2:$DG$250,195,0)</f>
        <v>3825</v>
      </c>
      <c r="CZ114" s="106">
        <f>+HLOOKUP($C114,PMGR!$CU$2:$DG$250,196,0)</f>
        <v>0</v>
      </c>
      <c r="DA114" s="106">
        <f>+HLOOKUP($C114,PMGR!$CU$2:$DG$250,197,0)</f>
        <v>25481.370999999999</v>
      </c>
      <c r="DB114" s="106">
        <f>+HLOOKUP($C114,PMGR!$CU$2:$DG$250,198,0)</f>
        <v>19768.499</v>
      </c>
      <c r="DC114" s="106">
        <f>+HLOOKUP($C114,PMGR!$CU$2:$DG$250,199,0)</f>
        <v>90</v>
      </c>
      <c r="DD114" s="106">
        <f>+HLOOKUP($C114,PMGR!$CU$2:$DG$250,200,0)</f>
        <v>3470</v>
      </c>
      <c r="DE114" s="106">
        <f>+HLOOKUP($C114,PMGR!$CU$2:$DG$250,201,0)</f>
        <v>0</v>
      </c>
      <c r="DF114" s="106">
        <f>+HLOOKUP($C114,PMGR!$CU$2:$DG$250,202,0)</f>
        <v>1.4867999999999999</v>
      </c>
      <c r="DG114" s="106">
        <f>+HLOOKUP($C114,PMGR!$CU$2:$DG$250,203,0)</f>
        <v>-2.5749</v>
      </c>
      <c r="DH114" s="106">
        <f>+HLOOKUP($C114,PMGR!$CU$2:$DG$250,205,0)</f>
        <v>0</v>
      </c>
      <c r="DI114" s="106">
        <f>+HLOOKUP($C114,PMGR!$CU$2:$DG$250,206,0)</f>
        <v>0</v>
      </c>
      <c r="DJ114" s="106">
        <f>+HLOOKUP($C114,PMGR!$CU$2:$DG$250,207,0)</f>
        <v>9284.7884000000013</v>
      </c>
      <c r="DK114" s="106">
        <f>+HLOOKUP($C114,PMGR!$CU$2:$DG$250,209,0)</f>
        <v>0</v>
      </c>
      <c r="DL114" s="106">
        <f>+HLOOKUP($C114,PMGR!$CU$2:$DG$250,210,0)</f>
        <v>70195.5</v>
      </c>
      <c r="DM114" s="106">
        <f>+HLOOKUP($C114,PMGR!$CU$2:$DG$250,211,0)</f>
        <v>0</v>
      </c>
      <c r="DN114" s="106">
        <f>+HLOOKUP($C114,PMGR!$CU$2:$DG$250,212,0)</f>
        <v>14400</v>
      </c>
      <c r="DO114" s="106">
        <f>+HLOOKUP($C114,PMGR!$CU$2:$DG$250,214,0)</f>
        <v>0</v>
      </c>
      <c r="DP114" s="106">
        <f>+HLOOKUP($C114,PMGR!$CU$2:$DG$250,215,0)</f>
        <v>642</v>
      </c>
      <c r="DQ114" s="106">
        <f>+HLOOKUP($C114,PMGR!$CU$2:$DG$250,219,0)</f>
        <v>0</v>
      </c>
      <c r="DR114" s="106">
        <f>+HLOOKUP($C114,PMGR!$CU$2:$DG$250,220,0)</f>
        <v>0</v>
      </c>
      <c r="DS114" s="106">
        <f>+HLOOKUP($C114,PMGR!$CU$2:$DG$250,221,0)</f>
        <v>0</v>
      </c>
      <c r="DT114" s="106">
        <f>+HLOOKUP($C114,PMGR!$CU$2:$DG$250,223,0)</f>
        <v>12157.865100000001</v>
      </c>
      <c r="DU114" s="106">
        <f>+HLOOKUP($C114,PMGR!$CU$2:$DG$250,224,0)</f>
        <v>0</v>
      </c>
      <c r="DV114" s="106">
        <f>+HLOOKUP($C114,PMGR!$CU$2:$DG$250,225,0)</f>
        <v>0</v>
      </c>
      <c r="DW114" s="106">
        <f>+HLOOKUP($C114,PMGR!$CU$2:$DG$250,227,0)</f>
        <v>0</v>
      </c>
      <c r="DX114" s="106">
        <f>+HLOOKUP($C114,PMGR!$CU$2:$DG$250,228,0)</f>
        <v>1678.2299999999998</v>
      </c>
      <c r="DY114" s="106">
        <f>+HLOOKUP($C114,PMGR!$CU$2:$DG$250,236,0)</f>
        <v>194698.40000000002</v>
      </c>
      <c r="DZ114" s="106">
        <f>+HLOOKUP($C114,PMGR!$CU$2:$DG$250,237,0)</f>
        <v>81528.831720000002</v>
      </c>
      <c r="EA114" s="106">
        <f>+HLOOKUP($C114,PMGR!$CU$2:$DG$250,238,0)</f>
        <v>19014.8</v>
      </c>
      <c r="EB114" s="106">
        <f>+HLOOKUP($C114,PMGR!$CU$2:$DG$250,240,0)</f>
        <v>241812.14353571442</v>
      </c>
    </row>
    <row r="115" spans="1:132" hidden="1">
      <c r="A115" t="s">
        <v>271</v>
      </c>
      <c r="B115" t="s">
        <v>217</v>
      </c>
      <c r="C115" s="117">
        <v>45839</v>
      </c>
      <c r="D115" s="106">
        <f t="shared" si="0"/>
        <v>11090636.292579604</v>
      </c>
      <c r="E115" s="106">
        <f>+HLOOKUP(C115,PMGR!$CU$2:$DG$250,28,0)+HLOOKUP(C115,PMGR!$CU$2:$DG$250,43,0)+HLOOKUP(C115,PMGR!$CU$2:$DG$250,44,0)+HLOOKUP(C115,PMGR!$CU$2:$DG$250,45,0)+HLOOKUP(C115,PMGR!$CU$2:$DG$250,54,0)+HLOOKUP(C115,PMGR!$CU$2:$DG$250,59,0)</f>
        <v>11090636.292579604</v>
      </c>
      <c r="F115" s="106">
        <f>+HLOOKUP(C115,PMGR!$CU$2:$DG$250,37,0)+HLOOKUP(C115,PMGR!$CU$2:$DG$250,55,0)</f>
        <v>7287483.0240000105</v>
      </c>
      <c r="G115" s="106">
        <f>+HLOOKUP($C115,PMGR!$CU$2:$DG$250,76,0)</f>
        <v>0</v>
      </c>
      <c r="H115" s="106">
        <f>+HLOOKUP($C115,PMGR!$CU$2:$DG$250,77,0)</f>
        <v>0</v>
      </c>
      <c r="I115" s="106">
        <f>+HLOOKUP($C115,PMGR!$CU$2:$DG$250,78,0)</f>
        <v>0</v>
      </c>
      <c r="J115" s="106">
        <f>+HLOOKUP($C115,PMGR!$CU$2:$DG$250,79,0)</f>
        <v>0</v>
      </c>
      <c r="K115" s="106">
        <f>+HLOOKUP($C115,PMGR!$CU$2:$DG$250,80,0)</f>
        <v>0</v>
      </c>
      <c r="L115" s="106">
        <f>+HLOOKUP($C115,PMGR!$CU$2:$DG$250,81,0)</f>
        <v>0</v>
      </c>
      <c r="M115" s="106">
        <f>+HLOOKUP($C115,PMGR!$CU$2:$DG$250,82,0)</f>
        <v>0</v>
      </c>
      <c r="N115" s="106">
        <f>+HLOOKUP($C115,PMGR!$CU$2:$DG$250,83,0)</f>
        <v>0</v>
      </c>
      <c r="O115" s="106">
        <f>+HLOOKUP($C115,PMGR!$CU$2:$DG$250,84,0)</f>
        <v>0</v>
      </c>
      <c r="P115" s="106">
        <f>+HLOOKUP($C115,PMGR!$CU$2:$DG$250,85,0)</f>
        <v>0</v>
      </c>
      <c r="Q115" s="106">
        <f>+HLOOKUP($C115,PMGR!$CU$2:$DG$250,87,0)</f>
        <v>220323.16400000008</v>
      </c>
      <c r="R115" s="106">
        <f>+HLOOKUP($C115,PMGR!$CU$2:$DG$250,90,0)</f>
        <v>0</v>
      </c>
      <c r="S115" s="106">
        <f>+HLOOKUP($C115,PMGR!$CU$2:$DG$250,91,0)</f>
        <v>5000</v>
      </c>
      <c r="T115" s="106">
        <f>+HLOOKUP($C115,PMGR!$CU$2:$DG$250,92,0)</f>
        <v>1141.749</v>
      </c>
      <c r="U115" s="106">
        <f>+HLOOKUP($C115,PMGR!$CU$2:$DG$250,93,0)</f>
        <v>0</v>
      </c>
      <c r="V115" s="106">
        <f>+HLOOKUP($C115,PMGR!$CU$2:$DG$250,94,0)</f>
        <v>0</v>
      </c>
      <c r="W115" s="106">
        <f>+HLOOKUP($C115,PMGR!$CU$2:$DG$250,95,0)</f>
        <v>0</v>
      </c>
      <c r="X115" s="106">
        <f>+HLOOKUP($C115,PMGR!$CU$2:$DG$250,96,0)</f>
        <v>0</v>
      </c>
      <c r="Y115" s="106">
        <f>+HLOOKUP($C115,PMGR!$CU$2:$DG$250,97,0)</f>
        <v>0</v>
      </c>
      <c r="Z115" s="106">
        <f>+HLOOKUP($C115,PMGR!$CU$2:$DG$250,98,0)</f>
        <v>0</v>
      </c>
      <c r="AA115" s="106">
        <f>+HLOOKUP($C115,PMGR!$CU$2:$DG$250,99,0)</f>
        <v>0</v>
      </c>
      <c r="AB115" s="106">
        <f>+HLOOKUP($C115,PMGR!$CU$2:$DG$250,100,0)</f>
        <v>0</v>
      </c>
      <c r="AC115" s="106">
        <f>+HLOOKUP($C115,PMGR!$CU$2:$DG$250,101,0)</f>
        <v>3129.4319999999998</v>
      </c>
      <c r="AD115" s="106">
        <f>+HLOOKUP($C115,PMGR!$CU$2:$DG$250,104,0)</f>
        <v>0</v>
      </c>
      <c r="AE115" s="106">
        <f>+HLOOKUP($C115,PMGR!$CU$2:$DG$250,105,0)</f>
        <v>2700</v>
      </c>
      <c r="AF115" s="106">
        <f>+HLOOKUP($C115,PMGR!$CU$2:$DG$250,106,0)</f>
        <v>0</v>
      </c>
      <c r="AG115" s="106">
        <f>+HLOOKUP($C115,PMGR!$CU$2:$DG$250,107,0)</f>
        <v>0</v>
      </c>
      <c r="AH115" s="106">
        <f>+HLOOKUP($C115,PMGR!$CU$2:$DG$250,108,0)</f>
        <v>0</v>
      </c>
      <c r="AI115" s="106">
        <f>+HLOOKUP($C115,PMGR!$CU$2:$DG$250,109,0)</f>
        <v>0</v>
      </c>
      <c r="AJ115" s="106">
        <f>+HLOOKUP($C115,PMGR!$CU$2:$DG$250,110,0)</f>
        <v>0</v>
      </c>
      <c r="AK115" s="106">
        <f>+HLOOKUP($C115,PMGR!$CU$2:$DG$250,111,0)</f>
        <v>0</v>
      </c>
      <c r="AL115" s="106">
        <f>+HLOOKUP($C115,PMGR!$CU$2:$DG$250,112,0)</f>
        <v>0</v>
      </c>
      <c r="AM115" s="106">
        <f>+HLOOKUP($C115,PMGR!$CU$2:$DG$250,116,0)</f>
        <v>270814</v>
      </c>
      <c r="AN115" s="106">
        <f>+HLOOKUP($C115,PMGR!$CU$2:$DG$250,117,0)</f>
        <v>45892</v>
      </c>
      <c r="AO115" s="106">
        <f>+HLOOKUP($C115,PMGR!$CU$2:$DG$250,118,0)</f>
        <v>3000</v>
      </c>
      <c r="AP115" s="106">
        <f>+HLOOKUP($C115,PMGR!$CU$2:$DG$250,119,0)</f>
        <v>100387</v>
      </c>
      <c r="AQ115" s="106">
        <f>+HLOOKUP($C115,PMGR!$CU$2:$DG$250,120,0)</f>
        <v>25412</v>
      </c>
      <c r="AR115" s="106">
        <f>+HLOOKUP($C115,PMGR!$CU$2:$DG$250,121,0)</f>
        <v>12500</v>
      </c>
      <c r="AS115" s="106">
        <f>+HLOOKUP($C115,PMGR!$CU$2:$DG$250,122,0)</f>
        <v>114423</v>
      </c>
      <c r="AT115" s="106">
        <f>+HLOOKUP($C115,PMGR!$CU$2:$DG$250,123,0)</f>
        <v>35293.217528472225</v>
      </c>
      <c r="AU115" s="106">
        <f>+HLOOKUP($C115,PMGR!$CU$2:$DG$250,124,0)</f>
        <v>3752.5</v>
      </c>
      <c r="AV115" s="106">
        <f>+HLOOKUP($C115,PMGR!$CU$2:$DG$250,125,0)</f>
        <v>77740.45199999999</v>
      </c>
      <c r="AW115" s="106">
        <f>+HLOOKUP($C115,PMGR!$CU$2:$DG$250,126,0)</f>
        <v>14716.346153846156</v>
      </c>
      <c r="AX115" s="106">
        <f>+HLOOKUP($C115,PMGR!$CU$2:$DG$250,127,0)</f>
        <v>20216.666666666664</v>
      </c>
      <c r="AY115" s="106">
        <f>+HLOOKUP($C115,PMGR!$CU$2:$DG$250,129,0)</f>
        <v>0</v>
      </c>
      <c r="AZ115" s="106">
        <f>+HLOOKUP($C115,PMGR!$CU$2:$DG$250,130,0)</f>
        <v>0</v>
      </c>
      <c r="BA115" s="106">
        <f>+HLOOKUP($C115,PMGR!$CU$2:$DG$250,131,0)</f>
        <v>0</v>
      </c>
      <c r="BB115" s="106">
        <f>+HLOOKUP($C115,PMGR!$CU$2:$DG$250,133,0)</f>
        <v>0</v>
      </c>
      <c r="BC115" s="106">
        <f>+HLOOKUP($C115,PMGR!$CU$2:$DG$250,134,0)</f>
        <v>18551.009999999998</v>
      </c>
      <c r="BD115" s="106">
        <f>+HLOOKUP($C115,PMGR!$CU$2:$DG$250,135,0)</f>
        <v>0</v>
      </c>
      <c r="BE115" s="106">
        <f>+HLOOKUP($C115,PMGR!$CU$2:$DG$250,136,0)</f>
        <v>41159.859299999996</v>
      </c>
      <c r="BF115" s="106">
        <f>+HLOOKUP($C115,PMGR!$CU$2:$DG$250,138,0)</f>
        <v>6712.6806164383561</v>
      </c>
      <c r="BG115" s="106">
        <f>+HLOOKUP($C115,PMGR!$CU$2:$DG$250,139,0)</f>
        <v>12066.420999999998</v>
      </c>
      <c r="BH115" s="106">
        <f>+HLOOKUP($C115,PMGR!$CU$2:$DG$250,140,0)</f>
        <v>13500</v>
      </c>
      <c r="BI115" s="106">
        <f>+HLOOKUP($C115,PMGR!$CU$2:$DG$250,141,0)</f>
        <v>12250</v>
      </c>
      <c r="BJ115" s="106">
        <f>+HLOOKUP($C115,PMGR!$CU$2:$DG$250,142,0)</f>
        <v>0</v>
      </c>
      <c r="BK115" s="106">
        <f>+HLOOKUP($C115,PMGR!$CU$2:$DG$250,143,0)</f>
        <v>0</v>
      </c>
      <c r="BL115" s="106">
        <f>+HLOOKUP($C115,PMGR!$CU$2:$DG$250,144,0)</f>
        <v>0</v>
      </c>
      <c r="BM115" s="106">
        <f>+HLOOKUP($C115,PMGR!$CU$2:$DG$250,146,0)</f>
        <v>0</v>
      </c>
      <c r="BN115" s="106">
        <f>+HLOOKUP($C115,PMGR!$CU$2:$DG$250,147,0)</f>
        <v>18793</v>
      </c>
      <c r="BO115" s="106">
        <f>+HLOOKUP($C115,PMGR!$CU$2:$DG$250,148,0)</f>
        <v>0</v>
      </c>
      <c r="BP115" s="106">
        <f>+HLOOKUP($C115,PMGR!$CU$2:$DG$250,150,0)</f>
        <v>30466.799999999999</v>
      </c>
      <c r="BQ115" s="106">
        <f>+HLOOKUP($C115,PMGR!$CU$2:$DG$250,151,0)</f>
        <v>1488.3</v>
      </c>
      <c r="BR115" s="106">
        <f>+HLOOKUP($C115,PMGR!$CU$2:$DG$250,152,0)</f>
        <v>10500</v>
      </c>
      <c r="BS115" s="106">
        <f>+HLOOKUP($C115,PMGR!$CU$2:$DG$250,153,0)</f>
        <v>480</v>
      </c>
      <c r="BT115" s="106">
        <f>+HLOOKUP($C115,PMGR!$CU$2:$DG$250,157,0)</f>
        <v>0</v>
      </c>
      <c r="BU115" s="106">
        <f>+HLOOKUP($C115,PMGR!$CU$2:$DG$250,158,0)</f>
        <v>0</v>
      </c>
      <c r="BV115" s="106">
        <f>+HLOOKUP($C115,PMGR!$CU$2:$DG$250,159,0)</f>
        <v>204.1666666666668</v>
      </c>
      <c r="BW115" s="106">
        <f>+HLOOKUP($C115,PMGR!$CU$2:$DG$250,160,0)</f>
        <v>38255.209166666697</v>
      </c>
      <c r="BX115" s="106">
        <f>+HLOOKUP($C115,PMGR!$CU$2:$DG$250,161,0)</f>
        <v>32009</v>
      </c>
      <c r="BY115" s="106">
        <f>+HLOOKUP($C115,PMGR!$CU$2:$DG$250,164,0)</f>
        <v>2286.7199999999998</v>
      </c>
      <c r="BZ115" s="106">
        <f>+HLOOKUP($C115,PMGR!$CU$2:$DG$250,165,0)</f>
        <v>23753.19</v>
      </c>
      <c r="CA115" s="106">
        <f>+HLOOKUP($C115,PMGR!$CU$2:$DG$250,166,0)</f>
        <v>0</v>
      </c>
      <c r="CB115" s="106">
        <f>+HLOOKUP($C115,PMGR!$CU$2:$DG$250,167,0)</f>
        <v>1590</v>
      </c>
      <c r="CC115" s="106">
        <f>+HLOOKUP($C115,PMGR!$CU$2:$DG$250,168,0)</f>
        <v>0</v>
      </c>
      <c r="CD115" s="106">
        <f>+HLOOKUP($C115,PMGR!$CU$2:$DG$250,169,0)</f>
        <v>844.51769999999999</v>
      </c>
      <c r="CE115" s="106">
        <f>+HLOOKUP($C115,PMGR!$CU$2:$DG$250,170,0)</f>
        <v>0</v>
      </c>
      <c r="CF115" s="106">
        <f>+HLOOKUP($C115,PMGR!$CU$2:$DG$250,172,0)</f>
        <v>10800</v>
      </c>
      <c r="CG115" s="106">
        <f>+HLOOKUP($C115,PMGR!$CU$2:$DG$250,173,0)</f>
        <v>0</v>
      </c>
      <c r="CH115" s="106">
        <f>+HLOOKUP($C115,PMGR!$CU$2:$DG$250,174,0)</f>
        <v>69537.599999999991</v>
      </c>
      <c r="CI115" s="106">
        <f>+HLOOKUP($C115,PMGR!$CU$2:$DG$250,175,0)</f>
        <v>29379.3</v>
      </c>
      <c r="CJ115" s="106">
        <f>+HLOOKUP($C115,PMGR!$CU$2:$DG$250,176,0)</f>
        <v>1464.4408666666682</v>
      </c>
      <c r="CK115" s="106">
        <f>+HLOOKUP($C115,PMGR!$CU$2:$DG$250,178,0)</f>
        <v>36857.796999999999</v>
      </c>
      <c r="CL115" s="106">
        <f>+HLOOKUP($C115,PMGR!$CU$2:$DG$250,179,0)</f>
        <v>12649.63</v>
      </c>
      <c r="CM115" s="106">
        <f>+HLOOKUP($C115,PMGR!$CU$2:$DG$250,180,0)</f>
        <v>6300</v>
      </c>
      <c r="CN115" s="106">
        <f>+HLOOKUP($C115,PMGR!$CU$2:$DG$250,182,0)</f>
        <v>456.86969999999997</v>
      </c>
      <c r="CO115" s="106">
        <f>+HLOOKUP($C115,PMGR!$CU$2:$DG$250,183,0)</f>
        <v>5885.8843087912073</v>
      </c>
      <c r="CP115" s="106">
        <f>+HLOOKUP($C115,PMGR!$CU$2:$DG$250,184,0)</f>
        <v>5789.0808000000006</v>
      </c>
      <c r="CQ115" s="106">
        <f>+HLOOKUP($C115,PMGR!$CU$2:$DG$250,185,0)</f>
        <v>0</v>
      </c>
      <c r="CR115" s="106">
        <f>+HLOOKUP($C115,PMGR!$CU$2:$DG$250,187,0)</f>
        <v>1874.8799999999997</v>
      </c>
      <c r="CS115" s="106">
        <f>+HLOOKUP($C115,PMGR!$CU$2:$DG$250,188,0)</f>
        <v>1350</v>
      </c>
      <c r="CT115" s="106">
        <f>+HLOOKUP($C115,PMGR!$CU$2:$DG$250,189,0)</f>
        <v>0</v>
      </c>
      <c r="CU115" s="106">
        <f>+HLOOKUP($C115,PMGR!$CU$2:$DG$250,190,0)</f>
        <v>749.97</v>
      </c>
      <c r="CV115" s="106">
        <f>+HLOOKUP($C115,PMGR!$CU$2:$DG$250,191,0)</f>
        <v>0</v>
      </c>
      <c r="CW115" s="106">
        <f>+HLOOKUP($C115,PMGR!$CU$2:$DG$250,193,0)</f>
        <v>3713.3249999999998</v>
      </c>
      <c r="CX115" s="106">
        <f>+HLOOKUP($C115,PMGR!$CU$2:$DG$250,194,0)</f>
        <v>776.93641975308594</v>
      </c>
      <c r="CY115" s="106">
        <f>+HLOOKUP($C115,PMGR!$CU$2:$DG$250,195,0)</f>
        <v>7725.0353999999998</v>
      </c>
      <c r="CZ115" s="106">
        <f>+HLOOKUP($C115,PMGR!$CU$2:$DG$250,196,0)</f>
        <v>0</v>
      </c>
      <c r="DA115" s="106">
        <f>+HLOOKUP($C115,PMGR!$CU$2:$DG$250,197,0)</f>
        <v>4992.3700000000008</v>
      </c>
      <c r="DB115" s="106">
        <f>+HLOOKUP($C115,PMGR!$CU$2:$DG$250,198,0)</f>
        <v>4227.1930000000002</v>
      </c>
      <c r="DC115" s="106">
        <f>+HLOOKUP($C115,PMGR!$CU$2:$DG$250,199,0)</f>
        <v>1934.546</v>
      </c>
      <c r="DD115" s="106">
        <f>+HLOOKUP($C115,PMGR!$CU$2:$DG$250,200,0)</f>
        <v>10290.299999999999</v>
      </c>
      <c r="DE115" s="106">
        <f>+HLOOKUP($C115,PMGR!$CU$2:$DG$250,201,0)</f>
        <v>689.4</v>
      </c>
      <c r="DF115" s="106">
        <f>+HLOOKUP($C115,PMGR!$CU$2:$DG$250,202,0)</f>
        <v>0.68120000000000003</v>
      </c>
      <c r="DG115" s="106">
        <f>+HLOOKUP($C115,PMGR!$CU$2:$DG$250,203,0)</f>
        <v>25.946100000000001</v>
      </c>
      <c r="DH115" s="106">
        <f>+HLOOKUP($C115,PMGR!$CU$2:$DG$250,205,0)</f>
        <v>0</v>
      </c>
      <c r="DI115" s="106">
        <f>+HLOOKUP($C115,PMGR!$CU$2:$DG$250,206,0)</f>
        <v>0</v>
      </c>
      <c r="DJ115" s="106">
        <f>+HLOOKUP($C115,PMGR!$CU$2:$DG$250,207,0)</f>
        <v>9284.495833333327</v>
      </c>
      <c r="DK115" s="106">
        <f>+HLOOKUP($C115,PMGR!$CU$2:$DG$250,209,0)</f>
        <v>0</v>
      </c>
      <c r="DL115" s="106">
        <f>+HLOOKUP($C115,PMGR!$CU$2:$DG$250,210,0)</f>
        <v>70195.5</v>
      </c>
      <c r="DM115" s="106">
        <f>+HLOOKUP($C115,PMGR!$CU$2:$DG$250,211,0)</f>
        <v>0</v>
      </c>
      <c r="DN115" s="106">
        <f>+HLOOKUP($C115,PMGR!$CU$2:$DG$250,212,0)</f>
        <v>14400</v>
      </c>
      <c r="DO115" s="106">
        <f>+HLOOKUP($C115,PMGR!$CU$2:$DG$250,214,0)</f>
        <v>0</v>
      </c>
      <c r="DP115" s="106">
        <f>+HLOOKUP($C115,PMGR!$CU$2:$DG$250,215,0)</f>
        <v>810</v>
      </c>
      <c r="DQ115" s="106">
        <f>+HLOOKUP($C115,PMGR!$CU$2:$DG$250,219,0)</f>
        <v>0</v>
      </c>
      <c r="DR115" s="106">
        <f>+HLOOKUP($C115,PMGR!$CU$2:$DG$250,220,0)</f>
        <v>0</v>
      </c>
      <c r="DS115" s="106">
        <f>+HLOOKUP($C115,PMGR!$CU$2:$DG$250,221,0)</f>
        <v>0</v>
      </c>
      <c r="DT115" s="106">
        <f>+HLOOKUP($C115,PMGR!$CU$2:$DG$250,223,0)</f>
        <v>11605.419899999997</v>
      </c>
      <c r="DU115" s="106">
        <f>+HLOOKUP($C115,PMGR!$CU$2:$DG$250,224,0)</f>
        <v>0</v>
      </c>
      <c r="DV115" s="106">
        <f>+HLOOKUP($C115,PMGR!$CU$2:$DG$250,225,0)</f>
        <v>0</v>
      </c>
      <c r="DW115" s="106">
        <f>+HLOOKUP($C115,PMGR!$CU$2:$DG$250,227,0)</f>
        <v>0</v>
      </c>
      <c r="DX115" s="106">
        <f>+HLOOKUP($C115,PMGR!$CU$2:$DG$250,228,0)</f>
        <v>0</v>
      </c>
      <c r="DY115" s="106">
        <f>+HLOOKUP($C115,PMGR!$CU$2:$DG$250,236,0)</f>
        <v>200709.2</v>
      </c>
      <c r="DZ115" s="106">
        <f>+HLOOKUP($C115,PMGR!$CU$2:$DG$250,237,0)</f>
        <v>85412.91780000001</v>
      </c>
      <c r="EA115" s="106">
        <f>+HLOOKUP($C115,PMGR!$CU$2:$DG$250,238,0)</f>
        <v>20841.600000000002</v>
      </c>
      <c r="EB115" s="106">
        <f>+HLOOKUP($C115,PMGR!$CU$2:$DG$250,240,0)</f>
        <v>241812.14353571442</v>
      </c>
    </row>
    <row r="116" spans="1:132" hidden="1">
      <c r="A116" t="s">
        <v>271</v>
      </c>
      <c r="B116" t="s">
        <v>217</v>
      </c>
      <c r="C116" s="117">
        <v>45809</v>
      </c>
      <c r="D116" s="106">
        <f t="shared" si="0"/>
        <v>10043955.207838684</v>
      </c>
      <c r="E116" s="106">
        <f>+HLOOKUP(C116,PMGR!$CU$2:$DG$250,28,0)+HLOOKUP(C116,PMGR!$CU$2:$DG$250,43,0)+HLOOKUP(C116,PMGR!$CU$2:$DG$250,44,0)+HLOOKUP(C116,PMGR!$CU$2:$DG$250,45,0)+HLOOKUP(C116,PMGR!$CU$2:$DG$250,54,0)+HLOOKUP(C116,PMGR!$CU$2:$DG$250,59,0)</f>
        <v>10043955.207838684</v>
      </c>
      <c r="F116" s="106">
        <f>+HLOOKUP(C116,PMGR!$CU$2:$DG$250,37,0)+HLOOKUP(C116,PMGR!$CU$2:$DG$250,55,0)</f>
        <v>6079675.700000002</v>
      </c>
      <c r="G116" s="106">
        <f>+HLOOKUP($C116,PMGR!$CU$2:$DG$250,76,0)</f>
        <v>0</v>
      </c>
      <c r="H116" s="106">
        <f>+HLOOKUP($C116,PMGR!$CU$2:$DG$250,77,0)</f>
        <v>0</v>
      </c>
      <c r="I116" s="106">
        <f>+HLOOKUP($C116,PMGR!$CU$2:$DG$250,78,0)</f>
        <v>0</v>
      </c>
      <c r="J116" s="106">
        <f>+HLOOKUP($C116,PMGR!$CU$2:$DG$250,79,0)</f>
        <v>0</v>
      </c>
      <c r="K116" s="106">
        <f>+HLOOKUP($C116,PMGR!$CU$2:$DG$250,80,0)</f>
        <v>0</v>
      </c>
      <c r="L116" s="106">
        <f>+HLOOKUP($C116,PMGR!$CU$2:$DG$250,81,0)</f>
        <v>0</v>
      </c>
      <c r="M116" s="106">
        <f>+HLOOKUP($C116,PMGR!$CU$2:$DG$250,82,0)</f>
        <v>0</v>
      </c>
      <c r="N116" s="106">
        <f>+HLOOKUP($C116,PMGR!$CU$2:$DG$250,83,0)</f>
        <v>0</v>
      </c>
      <c r="O116" s="106">
        <f>+HLOOKUP($C116,PMGR!$CU$2:$DG$250,84,0)</f>
        <v>0</v>
      </c>
      <c r="P116" s="106">
        <f>+HLOOKUP($C116,PMGR!$CU$2:$DG$250,85,0)</f>
        <v>0</v>
      </c>
      <c r="Q116" s="106">
        <f>+HLOOKUP($C116,PMGR!$CU$2:$DG$250,87,0)</f>
        <v>156606.48700000002</v>
      </c>
      <c r="R116" s="106">
        <f>+HLOOKUP($C116,PMGR!$CU$2:$DG$250,90,0)</f>
        <v>0</v>
      </c>
      <c r="S116" s="106">
        <f>+HLOOKUP($C116,PMGR!$CU$2:$DG$250,91,0)</f>
        <v>450</v>
      </c>
      <c r="T116" s="106">
        <f>+HLOOKUP($C116,PMGR!$CU$2:$DG$250,92,0)</f>
        <v>283.82400000000001</v>
      </c>
      <c r="U116" s="106">
        <f>+HLOOKUP($C116,PMGR!$CU$2:$DG$250,93,0)</f>
        <v>0</v>
      </c>
      <c r="V116" s="106">
        <f>+HLOOKUP($C116,PMGR!$CU$2:$DG$250,94,0)</f>
        <v>0</v>
      </c>
      <c r="W116" s="106">
        <f>+HLOOKUP($C116,PMGR!$CU$2:$DG$250,95,0)</f>
        <v>0</v>
      </c>
      <c r="X116" s="106">
        <f>+HLOOKUP($C116,PMGR!$CU$2:$DG$250,96,0)</f>
        <v>0</v>
      </c>
      <c r="Y116" s="106">
        <f>+HLOOKUP($C116,PMGR!$CU$2:$DG$250,97,0)</f>
        <v>0</v>
      </c>
      <c r="Z116" s="106">
        <f>+HLOOKUP($C116,PMGR!$CU$2:$DG$250,98,0)</f>
        <v>0</v>
      </c>
      <c r="AA116" s="106">
        <f>+HLOOKUP($C116,PMGR!$CU$2:$DG$250,99,0)</f>
        <v>0</v>
      </c>
      <c r="AB116" s="106">
        <f>+HLOOKUP($C116,PMGR!$CU$2:$DG$250,100,0)</f>
        <v>0</v>
      </c>
      <c r="AC116" s="106">
        <f>+HLOOKUP($C116,PMGR!$CU$2:$DG$250,101,0)</f>
        <v>4896.8</v>
      </c>
      <c r="AD116" s="106">
        <f>+HLOOKUP($C116,PMGR!$CU$2:$DG$250,104,0)</f>
        <v>500</v>
      </c>
      <c r="AE116" s="106">
        <f>+HLOOKUP($C116,PMGR!$CU$2:$DG$250,105,0)</f>
        <v>8932.9290000000001</v>
      </c>
      <c r="AF116" s="106">
        <f>+HLOOKUP($C116,PMGR!$CU$2:$DG$250,106,0)</f>
        <v>0</v>
      </c>
      <c r="AG116" s="106">
        <f>+HLOOKUP($C116,PMGR!$CU$2:$DG$250,107,0)</f>
        <v>0</v>
      </c>
      <c r="AH116" s="106">
        <f>+HLOOKUP($C116,PMGR!$CU$2:$DG$250,108,0)</f>
        <v>0</v>
      </c>
      <c r="AI116" s="106">
        <f>+HLOOKUP($C116,PMGR!$CU$2:$DG$250,109,0)</f>
        <v>0</v>
      </c>
      <c r="AJ116" s="106">
        <f>+HLOOKUP($C116,PMGR!$CU$2:$DG$250,110,0)</f>
        <v>0</v>
      </c>
      <c r="AK116" s="106">
        <f>+HLOOKUP($C116,PMGR!$CU$2:$DG$250,111,0)</f>
        <v>0</v>
      </c>
      <c r="AL116" s="106">
        <f>+HLOOKUP($C116,PMGR!$CU$2:$DG$250,112,0)</f>
        <v>0</v>
      </c>
      <c r="AM116" s="106">
        <f>+HLOOKUP($C116,PMGR!$CU$2:$DG$250,116,0)</f>
        <v>266741</v>
      </c>
      <c r="AN116" s="106">
        <f>+HLOOKUP($C116,PMGR!$CU$2:$DG$250,117,0)</f>
        <v>45215</v>
      </c>
      <c r="AO116" s="106">
        <f>+HLOOKUP($C116,PMGR!$CU$2:$DG$250,118,0)</f>
        <v>3000</v>
      </c>
      <c r="AP116" s="106">
        <f>+HLOOKUP($C116,PMGR!$CU$2:$DG$250,119,0)</f>
        <v>193363</v>
      </c>
      <c r="AQ116" s="106">
        <f>+HLOOKUP($C116,PMGR!$CU$2:$DG$250,120,0)</f>
        <v>25285</v>
      </c>
      <c r="AR116" s="106">
        <f>+HLOOKUP($C116,PMGR!$CU$2:$DG$250,121,0)</f>
        <v>12500</v>
      </c>
      <c r="AS116" s="106">
        <f>+HLOOKUP($C116,PMGR!$CU$2:$DG$250,122,0)</f>
        <v>113219</v>
      </c>
      <c r="AT116" s="106">
        <f>+HLOOKUP($C116,PMGR!$CU$2:$DG$250,123,0)</f>
        <v>35293.217528472225</v>
      </c>
      <c r="AU116" s="106">
        <f>+HLOOKUP($C116,PMGR!$CU$2:$DG$250,124,0)</f>
        <v>3752.5</v>
      </c>
      <c r="AV116" s="106">
        <f>+HLOOKUP($C116,PMGR!$CU$2:$DG$250,125,0)</f>
        <v>61000.451999999997</v>
      </c>
      <c r="AW116" s="106">
        <f>+HLOOKUP($C116,PMGR!$CU$2:$DG$250,126,0)</f>
        <v>14716.346153846156</v>
      </c>
      <c r="AX116" s="106">
        <f>+HLOOKUP($C116,PMGR!$CU$2:$DG$250,127,0)</f>
        <v>20216.666666666664</v>
      </c>
      <c r="AY116" s="106">
        <f>+HLOOKUP($C116,PMGR!$CU$2:$DG$250,129,0)</f>
        <v>0</v>
      </c>
      <c r="AZ116" s="106">
        <f>+HLOOKUP($C116,PMGR!$CU$2:$DG$250,130,0)</f>
        <v>0</v>
      </c>
      <c r="BA116" s="106">
        <f>+HLOOKUP($C116,PMGR!$CU$2:$DG$250,131,0)</f>
        <v>0</v>
      </c>
      <c r="BB116" s="106">
        <f>+HLOOKUP($C116,PMGR!$CU$2:$DG$250,133,0)</f>
        <v>0</v>
      </c>
      <c r="BC116" s="106">
        <f>+HLOOKUP($C116,PMGR!$CU$2:$DG$250,134,0)</f>
        <v>45783.98</v>
      </c>
      <c r="BD116" s="106">
        <f>+HLOOKUP($C116,PMGR!$CU$2:$DG$250,135,0)</f>
        <v>0</v>
      </c>
      <c r="BE116" s="106">
        <f>+HLOOKUP($C116,PMGR!$CU$2:$DG$250,136,0)</f>
        <v>0</v>
      </c>
      <c r="BF116" s="106">
        <f>+HLOOKUP($C116,PMGR!$CU$2:$DG$250,138,0)</f>
        <v>5603.8805999999995</v>
      </c>
      <c r="BG116" s="106">
        <f>+HLOOKUP($C116,PMGR!$CU$2:$DG$250,139,0)</f>
        <v>22205.379999999997</v>
      </c>
      <c r="BH116" s="106">
        <f>+HLOOKUP($C116,PMGR!$CU$2:$DG$250,140,0)</f>
        <v>13500</v>
      </c>
      <c r="BI116" s="106">
        <f>+HLOOKUP($C116,PMGR!$CU$2:$DG$250,141,0)</f>
        <v>0</v>
      </c>
      <c r="BJ116" s="106">
        <f>+HLOOKUP($C116,PMGR!$CU$2:$DG$250,142,0)</f>
        <v>0</v>
      </c>
      <c r="BK116" s="106">
        <f>+HLOOKUP($C116,PMGR!$CU$2:$DG$250,143,0)</f>
        <v>36908.828399999999</v>
      </c>
      <c r="BL116" s="106">
        <f>+HLOOKUP($C116,PMGR!$CU$2:$DG$250,144,0)</f>
        <v>0</v>
      </c>
      <c r="BM116" s="106">
        <f>+HLOOKUP($C116,PMGR!$CU$2:$DG$250,146,0)</f>
        <v>0</v>
      </c>
      <c r="BN116" s="106">
        <f>+HLOOKUP($C116,PMGR!$CU$2:$DG$250,147,0)</f>
        <v>56383</v>
      </c>
      <c r="BO116" s="106">
        <f>+HLOOKUP($C116,PMGR!$CU$2:$DG$250,148,0)</f>
        <v>0</v>
      </c>
      <c r="BP116" s="106">
        <f>+HLOOKUP($C116,PMGR!$CU$2:$DG$250,150,0)</f>
        <v>25401.599999999999</v>
      </c>
      <c r="BQ116" s="106">
        <f>+HLOOKUP($C116,PMGR!$CU$2:$DG$250,151,0)</f>
        <v>1488.3</v>
      </c>
      <c r="BR116" s="106">
        <f>+HLOOKUP($C116,PMGR!$CU$2:$DG$250,152,0)</f>
        <v>10500</v>
      </c>
      <c r="BS116" s="106">
        <f>+HLOOKUP($C116,PMGR!$CU$2:$DG$250,153,0)</f>
        <v>480</v>
      </c>
      <c r="BT116" s="106">
        <f>+HLOOKUP($C116,PMGR!$CU$2:$DG$250,157,0)</f>
        <v>0</v>
      </c>
      <c r="BU116" s="106">
        <f>+HLOOKUP($C116,PMGR!$CU$2:$DG$250,158,0)</f>
        <v>2734.6693999999998</v>
      </c>
      <c r="BV116" s="106">
        <f>+HLOOKUP($C116,PMGR!$CU$2:$DG$250,159,0)</f>
        <v>4202.25</v>
      </c>
      <c r="BW116" s="106">
        <f>+HLOOKUP($C116,PMGR!$CU$2:$DG$250,160,0)</f>
        <v>25862.16</v>
      </c>
      <c r="BX116" s="106">
        <f>+HLOOKUP($C116,PMGR!$CU$2:$DG$250,161,0)</f>
        <v>1875</v>
      </c>
      <c r="BY116" s="106">
        <f>+HLOOKUP($C116,PMGR!$CU$2:$DG$250,164,0)</f>
        <v>4007.8052999999995</v>
      </c>
      <c r="BZ116" s="106">
        <f>+HLOOKUP($C116,PMGR!$CU$2:$DG$250,165,0)</f>
        <v>24764.74</v>
      </c>
      <c r="CA116" s="106">
        <f>+HLOOKUP($C116,PMGR!$CU$2:$DG$250,166,0)</f>
        <v>0</v>
      </c>
      <c r="CB116" s="106">
        <f>+HLOOKUP($C116,PMGR!$CU$2:$DG$250,167,0)</f>
        <v>1590</v>
      </c>
      <c r="CC116" s="106">
        <f>+HLOOKUP($C116,PMGR!$CU$2:$DG$250,168,0)</f>
        <v>0</v>
      </c>
      <c r="CD116" s="106">
        <f>+HLOOKUP($C116,PMGR!$CU$2:$DG$250,169,0)</f>
        <v>0</v>
      </c>
      <c r="CE116" s="106">
        <f>+HLOOKUP($C116,PMGR!$CU$2:$DG$250,170,0)</f>
        <v>0</v>
      </c>
      <c r="CF116" s="106">
        <f>+HLOOKUP($C116,PMGR!$CU$2:$DG$250,172,0)</f>
        <v>10800</v>
      </c>
      <c r="CG116" s="106">
        <f>+HLOOKUP($C116,PMGR!$CU$2:$DG$250,173,0)</f>
        <v>0</v>
      </c>
      <c r="CH116" s="106">
        <f>+HLOOKUP($C116,PMGR!$CU$2:$DG$250,174,0)</f>
        <v>68850.899999999994</v>
      </c>
      <c r="CI116" s="106">
        <f>+HLOOKUP($C116,PMGR!$CU$2:$DG$250,175,0)</f>
        <v>30066</v>
      </c>
      <c r="CJ116" s="106">
        <f>+HLOOKUP($C116,PMGR!$CU$2:$DG$250,176,0)</f>
        <v>4780.9376999999995</v>
      </c>
      <c r="CK116" s="106">
        <f>+HLOOKUP($C116,PMGR!$CU$2:$DG$250,178,0)</f>
        <v>39864.299999999996</v>
      </c>
      <c r="CL116" s="106">
        <f>+HLOOKUP($C116,PMGR!$CU$2:$DG$250,179,0)</f>
        <v>6657.7</v>
      </c>
      <c r="CM116" s="106">
        <f>+HLOOKUP($C116,PMGR!$CU$2:$DG$250,180,0)</f>
        <v>3360</v>
      </c>
      <c r="CN116" s="106">
        <f>+HLOOKUP($C116,PMGR!$CU$2:$DG$250,182,0)</f>
        <v>456.86969999999997</v>
      </c>
      <c r="CO116" s="106">
        <f>+HLOOKUP($C116,PMGR!$CU$2:$DG$250,183,0)</f>
        <v>9111.393</v>
      </c>
      <c r="CP116" s="106">
        <f>+HLOOKUP($C116,PMGR!$CU$2:$DG$250,184,0)</f>
        <v>5885.5014000000001</v>
      </c>
      <c r="CQ116" s="106">
        <f>+HLOOKUP($C116,PMGR!$CU$2:$DG$250,185,0)</f>
        <v>0</v>
      </c>
      <c r="CR116" s="106">
        <f>+HLOOKUP($C116,PMGR!$CU$2:$DG$250,187,0)</f>
        <v>1874.8799999999997</v>
      </c>
      <c r="CS116" s="106">
        <f>+HLOOKUP($C116,PMGR!$CU$2:$DG$250,188,0)</f>
        <v>0</v>
      </c>
      <c r="CT116" s="106">
        <f>+HLOOKUP($C116,PMGR!$CU$2:$DG$250,189,0)</f>
        <v>0</v>
      </c>
      <c r="CU116" s="106">
        <f>+HLOOKUP($C116,PMGR!$CU$2:$DG$250,190,0)</f>
        <v>749.97</v>
      </c>
      <c r="CV116" s="106">
        <f>+HLOOKUP($C116,PMGR!$CU$2:$DG$250,191,0)</f>
        <v>0</v>
      </c>
      <c r="CW116" s="106">
        <f>+HLOOKUP($C116,PMGR!$CU$2:$DG$250,193,0)</f>
        <v>3713.3249999999998</v>
      </c>
      <c r="CX116" s="106">
        <f>+HLOOKUP($C116,PMGR!$CU$2:$DG$250,194,0)</f>
        <v>23.849999999999998</v>
      </c>
      <c r="CY116" s="106">
        <f>+HLOOKUP($C116,PMGR!$CU$2:$DG$250,195,0)</f>
        <v>825.03599999999994</v>
      </c>
      <c r="CZ116" s="106">
        <f>+HLOOKUP($C116,PMGR!$CU$2:$DG$250,196,0)</f>
        <v>0</v>
      </c>
      <c r="DA116" s="106">
        <f>+HLOOKUP($C116,PMGR!$CU$2:$DG$250,197,0)</f>
        <v>2179.21</v>
      </c>
      <c r="DB116" s="106">
        <f>+HLOOKUP($C116,PMGR!$CU$2:$DG$250,198,0)</f>
        <v>7107.630000000001</v>
      </c>
      <c r="DC116" s="106">
        <f>+HLOOKUP($C116,PMGR!$CU$2:$DG$250,199,0)</f>
        <v>780.63300000000004</v>
      </c>
      <c r="DD116" s="106">
        <f>+HLOOKUP($C116,PMGR!$CU$2:$DG$250,200,0)</f>
        <v>24</v>
      </c>
      <c r="DE116" s="106">
        <f>+HLOOKUP($C116,PMGR!$CU$2:$DG$250,201,0)</f>
        <v>0</v>
      </c>
      <c r="DF116" s="106">
        <f>+HLOOKUP($C116,PMGR!$CU$2:$DG$250,202,0)</f>
        <v>0.67869999999999986</v>
      </c>
      <c r="DG116" s="106">
        <f>+HLOOKUP($C116,PMGR!$CU$2:$DG$250,203,0)</f>
        <v>-10.307700000000001</v>
      </c>
      <c r="DH116" s="106">
        <f>+HLOOKUP($C116,PMGR!$CU$2:$DG$250,205,0)</f>
        <v>0</v>
      </c>
      <c r="DI116" s="106">
        <f>+HLOOKUP($C116,PMGR!$CU$2:$DG$250,206,0)</f>
        <v>0</v>
      </c>
      <c r="DJ116" s="106">
        <f>+HLOOKUP($C116,PMGR!$CU$2:$DG$250,207,0)</f>
        <v>9272.3712000000014</v>
      </c>
      <c r="DK116" s="106">
        <f>+HLOOKUP($C116,PMGR!$CU$2:$DG$250,209,0)</f>
        <v>0</v>
      </c>
      <c r="DL116" s="106">
        <f>+HLOOKUP($C116,PMGR!$CU$2:$DG$250,210,0)</f>
        <v>70195.5</v>
      </c>
      <c r="DM116" s="106">
        <f>+HLOOKUP($C116,PMGR!$CU$2:$DG$250,211,0)</f>
        <v>0</v>
      </c>
      <c r="DN116" s="106">
        <f>+HLOOKUP($C116,PMGR!$CU$2:$DG$250,212,0)</f>
        <v>14400</v>
      </c>
      <c r="DO116" s="106">
        <f>+HLOOKUP($C116,PMGR!$CU$2:$DG$250,214,0)</f>
        <v>0</v>
      </c>
      <c r="DP116" s="106">
        <f>+HLOOKUP($C116,PMGR!$CU$2:$DG$250,215,0)</f>
        <v>570</v>
      </c>
      <c r="DQ116" s="106">
        <f>+HLOOKUP($C116,PMGR!$CU$2:$DG$250,219,0)</f>
        <v>0</v>
      </c>
      <c r="DR116" s="106">
        <f>+HLOOKUP($C116,PMGR!$CU$2:$DG$250,220,0)</f>
        <v>0</v>
      </c>
      <c r="DS116" s="106">
        <f>+HLOOKUP($C116,PMGR!$CU$2:$DG$250,221,0)</f>
        <v>0</v>
      </c>
      <c r="DT116" s="106">
        <f>+HLOOKUP($C116,PMGR!$CU$2:$DG$250,223,0)</f>
        <v>10663.5969</v>
      </c>
      <c r="DU116" s="106">
        <f>+HLOOKUP($C116,PMGR!$CU$2:$DG$250,224,0)</f>
        <v>0</v>
      </c>
      <c r="DV116" s="106">
        <f>+HLOOKUP($C116,PMGR!$CU$2:$DG$250,225,0)</f>
        <v>0</v>
      </c>
      <c r="DW116" s="106">
        <f>+HLOOKUP($C116,PMGR!$CU$2:$DG$250,227,0)</f>
        <v>0</v>
      </c>
      <c r="DX116" s="106">
        <f>+HLOOKUP($C116,PMGR!$CU$2:$DG$250,228,0)</f>
        <v>2707.1099999999997</v>
      </c>
      <c r="DY116" s="106">
        <f>+HLOOKUP($C116,PMGR!$CU$2:$DG$250,236,0)</f>
        <v>0</v>
      </c>
      <c r="DZ116" s="106">
        <f>+HLOOKUP($C116,PMGR!$CU$2:$DG$250,237,0)</f>
        <v>91299.15836999999</v>
      </c>
      <c r="EA116" s="106">
        <f>+HLOOKUP($C116,PMGR!$CU$2:$DG$250,238,0)</f>
        <v>5097.329999999999</v>
      </c>
      <c r="EB116" s="106">
        <f>+HLOOKUP($C116,PMGR!$CU$2:$DG$250,240,0)</f>
        <v>241812.14353571442</v>
      </c>
    </row>
    <row r="117" spans="1:132" hidden="1">
      <c r="A117" t="s">
        <v>271</v>
      </c>
      <c r="B117" t="s">
        <v>217</v>
      </c>
      <c r="C117" s="117">
        <v>45778</v>
      </c>
      <c r="D117" s="106">
        <f t="shared" si="0"/>
        <v>11520507.107341168</v>
      </c>
      <c r="E117" s="106">
        <f>+HLOOKUP(C117,PMGR!$CU$2:$DG$250,28,0)+HLOOKUP(C117,PMGR!$CU$2:$DG$250,43,0)+HLOOKUP(C117,PMGR!$CU$2:$DG$250,44,0)+HLOOKUP(C117,PMGR!$CU$2:$DG$250,45,0)+HLOOKUP(C117,PMGR!$CU$2:$DG$250,54,0)+HLOOKUP(C117,PMGR!$CU$2:$DG$250,59,0)</f>
        <v>11520507.107341168</v>
      </c>
      <c r="F117" s="106">
        <f>+HLOOKUP(C117,PMGR!$CU$2:$DG$250,37,0)+HLOOKUP(C117,PMGR!$CU$2:$DG$250,55,0)</f>
        <v>7857966.4700000016</v>
      </c>
      <c r="G117" s="106">
        <f>+HLOOKUP($C117,PMGR!$CU$2:$DG$250,76,0)</f>
        <v>0</v>
      </c>
      <c r="H117" s="106">
        <f>+HLOOKUP($C117,PMGR!$CU$2:$DG$250,77,0)</f>
        <v>0</v>
      </c>
      <c r="I117" s="106">
        <f>+HLOOKUP($C117,PMGR!$CU$2:$DG$250,78,0)</f>
        <v>0</v>
      </c>
      <c r="J117" s="106">
        <f>+HLOOKUP($C117,PMGR!$CU$2:$DG$250,79,0)</f>
        <v>0</v>
      </c>
      <c r="K117" s="106">
        <f>+HLOOKUP($C117,PMGR!$CU$2:$DG$250,80,0)</f>
        <v>0</v>
      </c>
      <c r="L117" s="106">
        <f>+HLOOKUP($C117,PMGR!$CU$2:$DG$250,81,0)</f>
        <v>0</v>
      </c>
      <c r="M117" s="106">
        <f>+HLOOKUP($C117,PMGR!$CU$2:$DG$250,82,0)</f>
        <v>0</v>
      </c>
      <c r="N117" s="106">
        <f>+HLOOKUP($C117,PMGR!$CU$2:$DG$250,83,0)</f>
        <v>0</v>
      </c>
      <c r="O117" s="106">
        <f>+HLOOKUP($C117,PMGR!$CU$2:$DG$250,84,0)</f>
        <v>0</v>
      </c>
      <c r="P117" s="106">
        <f>+HLOOKUP($C117,PMGR!$CU$2:$DG$250,85,0)</f>
        <v>0</v>
      </c>
      <c r="Q117" s="106">
        <f>+HLOOKUP($C117,PMGR!$CU$2:$DG$250,87,0)</f>
        <v>190879.22400000005</v>
      </c>
      <c r="R117" s="106">
        <f>+HLOOKUP($C117,PMGR!$CU$2:$DG$250,90,0)</f>
        <v>0</v>
      </c>
      <c r="S117" s="106">
        <f>+HLOOKUP($C117,PMGR!$CU$2:$DG$250,91,0)</f>
        <v>0</v>
      </c>
      <c r="T117" s="106">
        <f>+HLOOKUP($C117,PMGR!$CU$2:$DG$250,92,0)</f>
        <v>425.87999999999994</v>
      </c>
      <c r="U117" s="106">
        <f>+HLOOKUP($C117,PMGR!$CU$2:$DG$250,93,0)</f>
        <v>0</v>
      </c>
      <c r="V117" s="106">
        <f>+HLOOKUP($C117,PMGR!$CU$2:$DG$250,94,0)</f>
        <v>0</v>
      </c>
      <c r="W117" s="106">
        <f>+HLOOKUP($C117,PMGR!$CU$2:$DG$250,95,0)</f>
        <v>0</v>
      </c>
      <c r="X117" s="106">
        <f>+HLOOKUP($C117,PMGR!$CU$2:$DG$250,96,0)</f>
        <v>0</v>
      </c>
      <c r="Y117" s="106">
        <f>+HLOOKUP($C117,PMGR!$CU$2:$DG$250,97,0)</f>
        <v>0</v>
      </c>
      <c r="Z117" s="106">
        <f>+HLOOKUP($C117,PMGR!$CU$2:$DG$250,98,0)</f>
        <v>0</v>
      </c>
      <c r="AA117" s="106">
        <f>+HLOOKUP($C117,PMGR!$CU$2:$DG$250,99,0)</f>
        <v>0</v>
      </c>
      <c r="AB117" s="106">
        <f>+HLOOKUP($C117,PMGR!$CU$2:$DG$250,100,0)</f>
        <v>0</v>
      </c>
      <c r="AC117" s="106">
        <f>+HLOOKUP($C117,PMGR!$CU$2:$DG$250,101,0)</f>
        <v>4420.8</v>
      </c>
      <c r="AD117" s="106">
        <f>+HLOOKUP($C117,PMGR!$CU$2:$DG$250,104,0)</f>
        <v>0</v>
      </c>
      <c r="AE117" s="106">
        <f>+HLOOKUP($C117,PMGR!$CU$2:$DG$250,105,0)</f>
        <v>0</v>
      </c>
      <c r="AF117" s="106">
        <f>+HLOOKUP($C117,PMGR!$CU$2:$DG$250,106,0)</f>
        <v>0</v>
      </c>
      <c r="AG117" s="106">
        <f>+HLOOKUP($C117,PMGR!$CU$2:$DG$250,107,0)</f>
        <v>0</v>
      </c>
      <c r="AH117" s="106">
        <f>+HLOOKUP($C117,PMGR!$CU$2:$DG$250,108,0)</f>
        <v>42840</v>
      </c>
      <c r="AI117" s="106">
        <f>+HLOOKUP($C117,PMGR!$CU$2:$DG$250,109,0)</f>
        <v>1350</v>
      </c>
      <c r="AJ117" s="106">
        <f>+HLOOKUP($C117,PMGR!$CU$2:$DG$250,110,0)</f>
        <v>0</v>
      </c>
      <c r="AK117" s="106">
        <f>+HLOOKUP($C117,PMGR!$CU$2:$DG$250,111,0)</f>
        <v>14447.6</v>
      </c>
      <c r="AL117" s="106">
        <f>+HLOOKUP($C117,PMGR!$CU$2:$DG$250,112,0)</f>
        <v>0</v>
      </c>
      <c r="AM117" s="106">
        <f>+HLOOKUP($C117,PMGR!$CU$2:$DG$250,116,0)</f>
        <v>256406</v>
      </c>
      <c r="AN117" s="106">
        <f>+HLOOKUP($C117,PMGR!$CU$2:$DG$250,117,0)</f>
        <v>43399</v>
      </c>
      <c r="AO117" s="106">
        <f>+HLOOKUP($C117,PMGR!$CU$2:$DG$250,118,0)</f>
        <v>3000</v>
      </c>
      <c r="AP117" s="106">
        <f>+HLOOKUP($C117,PMGR!$CU$2:$DG$250,119,0)</f>
        <v>94549</v>
      </c>
      <c r="AQ117" s="106">
        <f>+HLOOKUP($C117,PMGR!$CU$2:$DG$250,120,0)</f>
        <v>24019</v>
      </c>
      <c r="AR117" s="106">
        <f>+HLOOKUP($C117,PMGR!$CU$2:$DG$250,121,0)</f>
        <v>12500</v>
      </c>
      <c r="AS117" s="106">
        <f>+HLOOKUP($C117,PMGR!$CU$2:$DG$250,122,0)</f>
        <v>109739</v>
      </c>
      <c r="AT117" s="106">
        <f>+HLOOKUP($C117,PMGR!$CU$2:$DG$250,123,0)</f>
        <v>35293.217528472225</v>
      </c>
      <c r="AU117" s="106">
        <f>+HLOOKUP($C117,PMGR!$CU$2:$DG$250,124,0)</f>
        <v>3752.5</v>
      </c>
      <c r="AV117" s="106">
        <f>+HLOOKUP($C117,PMGR!$CU$2:$DG$250,125,0)</f>
        <v>38655</v>
      </c>
      <c r="AW117" s="106">
        <f>+HLOOKUP($C117,PMGR!$CU$2:$DG$250,126,0)</f>
        <v>14716.346153846156</v>
      </c>
      <c r="AX117" s="106">
        <f>+HLOOKUP($C117,PMGR!$CU$2:$DG$250,127,0)</f>
        <v>20216.666666666664</v>
      </c>
      <c r="AY117" s="106">
        <f>+HLOOKUP($C117,PMGR!$CU$2:$DG$250,129,0)</f>
        <v>0</v>
      </c>
      <c r="AZ117" s="106">
        <f>+HLOOKUP($C117,PMGR!$CU$2:$DG$250,130,0)</f>
        <v>0</v>
      </c>
      <c r="BA117" s="106">
        <f>+HLOOKUP($C117,PMGR!$CU$2:$DG$250,131,0)</f>
        <v>0</v>
      </c>
      <c r="BB117" s="106">
        <f>+HLOOKUP($C117,PMGR!$CU$2:$DG$250,133,0)</f>
        <v>0</v>
      </c>
      <c r="BC117" s="106">
        <f>+HLOOKUP($C117,PMGR!$CU$2:$DG$250,134,0)</f>
        <v>26993.14</v>
      </c>
      <c r="BD117" s="106">
        <f>+HLOOKUP($C117,PMGR!$CU$2:$DG$250,135,0)</f>
        <v>0</v>
      </c>
      <c r="BE117" s="106">
        <f>+HLOOKUP($C117,PMGR!$CU$2:$DG$250,136,0)</f>
        <v>-9243.2699999999986</v>
      </c>
      <c r="BF117" s="106">
        <f>+HLOOKUP($C117,PMGR!$CU$2:$DG$250,138,0)</f>
        <v>6232.3805999999995</v>
      </c>
      <c r="BG117" s="106">
        <f>+HLOOKUP($C117,PMGR!$CU$2:$DG$250,139,0)</f>
        <v>11201.099999999999</v>
      </c>
      <c r="BH117" s="106">
        <f>+HLOOKUP($C117,PMGR!$CU$2:$DG$250,140,0)</f>
        <v>13500</v>
      </c>
      <c r="BI117" s="106">
        <f>+HLOOKUP($C117,PMGR!$CU$2:$DG$250,141,0)</f>
        <v>0</v>
      </c>
      <c r="BJ117" s="106">
        <f>+HLOOKUP($C117,PMGR!$CU$2:$DG$250,142,0)</f>
        <v>0</v>
      </c>
      <c r="BK117" s="106">
        <f>+HLOOKUP($C117,PMGR!$CU$2:$DG$250,143,0)</f>
        <v>52911.7284</v>
      </c>
      <c r="BL117" s="106">
        <f>+HLOOKUP($C117,PMGR!$CU$2:$DG$250,144,0)</f>
        <v>0</v>
      </c>
      <c r="BM117" s="106">
        <f>+HLOOKUP($C117,PMGR!$CU$2:$DG$250,146,0)</f>
        <v>0</v>
      </c>
      <c r="BN117" s="106">
        <f>+HLOOKUP($C117,PMGR!$CU$2:$DG$250,147,0)</f>
        <v>37976</v>
      </c>
      <c r="BO117" s="106">
        <f>+HLOOKUP($C117,PMGR!$CU$2:$DG$250,148,0)</f>
        <v>0</v>
      </c>
      <c r="BP117" s="106">
        <f>+HLOOKUP($C117,PMGR!$CU$2:$DG$250,150,0)</f>
        <v>24025.200000000001</v>
      </c>
      <c r="BQ117" s="106">
        <f>+HLOOKUP($C117,PMGR!$CU$2:$DG$250,151,0)</f>
        <v>1488.3</v>
      </c>
      <c r="BR117" s="106">
        <f>+HLOOKUP($C117,PMGR!$CU$2:$DG$250,152,0)</f>
        <v>10500</v>
      </c>
      <c r="BS117" s="106">
        <f>+HLOOKUP($C117,PMGR!$CU$2:$DG$250,153,0)</f>
        <v>480</v>
      </c>
      <c r="BT117" s="106">
        <f>+HLOOKUP($C117,PMGR!$CU$2:$DG$250,157,0)</f>
        <v>9930</v>
      </c>
      <c r="BU117" s="106">
        <f>+HLOOKUP($C117,PMGR!$CU$2:$DG$250,158,0)</f>
        <v>0</v>
      </c>
      <c r="BV117" s="106">
        <f>+HLOOKUP($C117,PMGR!$CU$2:$DG$250,159,0)</f>
        <v>204.16799999999998</v>
      </c>
      <c r="BW117" s="106">
        <f>+HLOOKUP($C117,PMGR!$CU$2:$DG$250,160,0)</f>
        <v>11000</v>
      </c>
      <c r="BX117" s="106">
        <f>+HLOOKUP($C117,PMGR!$CU$2:$DG$250,161,0)</f>
        <v>480</v>
      </c>
      <c r="BY117" s="106">
        <f>+HLOOKUP($C117,PMGR!$CU$2:$DG$250,164,0)</f>
        <v>3457.0275999999994</v>
      </c>
      <c r="BZ117" s="106">
        <f>+HLOOKUP($C117,PMGR!$CU$2:$DG$250,165,0)</f>
        <v>20484.79</v>
      </c>
      <c r="CA117" s="106">
        <f>+HLOOKUP($C117,PMGR!$CU$2:$DG$250,166,0)</f>
        <v>0</v>
      </c>
      <c r="CB117" s="106">
        <f>+HLOOKUP($C117,PMGR!$CU$2:$DG$250,167,0)</f>
        <v>0</v>
      </c>
      <c r="CC117" s="106">
        <f>+HLOOKUP($C117,PMGR!$CU$2:$DG$250,168,0)</f>
        <v>0</v>
      </c>
      <c r="CD117" s="106">
        <f>+HLOOKUP($C117,PMGR!$CU$2:$DG$250,169,0)</f>
        <v>15750</v>
      </c>
      <c r="CE117" s="106">
        <f>+HLOOKUP($C117,PMGR!$CU$2:$DG$250,170,0)</f>
        <v>0</v>
      </c>
      <c r="CF117" s="106">
        <f>+HLOOKUP($C117,PMGR!$CU$2:$DG$250,172,0)</f>
        <v>10800</v>
      </c>
      <c r="CG117" s="106">
        <f>+HLOOKUP($C117,PMGR!$CU$2:$DG$250,173,0)</f>
        <v>0</v>
      </c>
      <c r="CH117" s="106">
        <f>+HLOOKUP($C117,PMGR!$CU$2:$DG$250,174,0)</f>
        <v>47326.559999999998</v>
      </c>
      <c r="CI117" s="106">
        <f>+HLOOKUP($C117,PMGR!$CU$2:$DG$250,175,0)</f>
        <v>12453.84</v>
      </c>
      <c r="CJ117" s="106">
        <f>+HLOOKUP($C117,PMGR!$CU$2:$DG$250,176,0)</f>
        <v>1423.1277</v>
      </c>
      <c r="CK117" s="106">
        <f>+HLOOKUP($C117,PMGR!$CU$2:$DG$250,178,0)</f>
        <v>50798.7</v>
      </c>
      <c r="CL117" s="106">
        <f>+HLOOKUP($C117,PMGR!$CU$2:$DG$250,179,0)</f>
        <v>2850</v>
      </c>
      <c r="CM117" s="106">
        <f>+HLOOKUP($C117,PMGR!$CU$2:$DG$250,180,0)</f>
        <v>11760</v>
      </c>
      <c r="CN117" s="106">
        <f>+HLOOKUP($C117,PMGR!$CU$2:$DG$250,182,0)</f>
        <v>466.91099999999994</v>
      </c>
      <c r="CO117" s="106">
        <f>+HLOOKUP($C117,PMGR!$CU$2:$DG$250,183,0)</f>
        <v>6974.9970000000003</v>
      </c>
      <c r="CP117" s="106">
        <f>+HLOOKUP($C117,PMGR!$CU$2:$DG$250,184,0)</f>
        <v>1291.8581999999999</v>
      </c>
      <c r="CQ117" s="106">
        <f>+HLOOKUP($C117,PMGR!$CU$2:$DG$250,185,0)</f>
        <v>0</v>
      </c>
      <c r="CR117" s="106">
        <f>+HLOOKUP($C117,PMGR!$CU$2:$DG$250,187,0)</f>
        <v>1874.8799999999997</v>
      </c>
      <c r="CS117" s="106">
        <f>+HLOOKUP($C117,PMGR!$CU$2:$DG$250,188,0)</f>
        <v>1350</v>
      </c>
      <c r="CT117" s="106">
        <f>+HLOOKUP($C117,PMGR!$CU$2:$DG$250,189,0)</f>
        <v>0</v>
      </c>
      <c r="CU117" s="106">
        <f>+HLOOKUP($C117,PMGR!$CU$2:$DG$250,190,0)</f>
        <v>749.97</v>
      </c>
      <c r="CV117" s="106">
        <f>+HLOOKUP($C117,PMGR!$CU$2:$DG$250,191,0)</f>
        <v>0</v>
      </c>
      <c r="CW117" s="106">
        <f>+HLOOKUP($C117,PMGR!$CU$2:$DG$250,193,0)</f>
        <v>3713.3249999999998</v>
      </c>
      <c r="CX117" s="106">
        <f>+HLOOKUP($C117,PMGR!$CU$2:$DG$250,194,0)</f>
        <v>23.849999999999998</v>
      </c>
      <c r="CY117" s="106">
        <f>+HLOOKUP($C117,PMGR!$CU$2:$DG$250,195,0)</f>
        <v>825.03599999999994</v>
      </c>
      <c r="CZ117" s="106">
        <f>+HLOOKUP($C117,PMGR!$CU$2:$DG$250,196,0)</f>
        <v>0</v>
      </c>
      <c r="DA117" s="106">
        <f>+HLOOKUP($C117,PMGR!$CU$2:$DG$250,197,0)</f>
        <v>3514.681</v>
      </c>
      <c r="DB117" s="106">
        <f>+HLOOKUP($C117,PMGR!$CU$2:$DG$250,198,0)</f>
        <v>4361.6179999999995</v>
      </c>
      <c r="DC117" s="106">
        <f>+HLOOKUP($C117,PMGR!$CU$2:$DG$250,199,0)</f>
        <v>619.06799999999998</v>
      </c>
      <c r="DD117" s="106">
        <f>+HLOOKUP($C117,PMGR!$CU$2:$DG$250,200,0)</f>
        <v>3484</v>
      </c>
      <c r="DE117" s="106">
        <f>+HLOOKUP($C117,PMGR!$CU$2:$DG$250,201,0)</f>
        <v>0</v>
      </c>
      <c r="DF117" s="106">
        <f>+HLOOKUP($C117,PMGR!$CU$2:$DG$250,202,0)</f>
        <v>0.41610000000000003</v>
      </c>
      <c r="DG117" s="106">
        <f>+HLOOKUP($C117,PMGR!$CU$2:$DG$250,203,0)</f>
        <v>22.147199999999998</v>
      </c>
      <c r="DH117" s="106">
        <f>+HLOOKUP($C117,PMGR!$CU$2:$DG$250,205,0)</f>
        <v>0</v>
      </c>
      <c r="DI117" s="106">
        <f>+HLOOKUP($C117,PMGR!$CU$2:$DG$250,206,0)</f>
        <v>0</v>
      </c>
      <c r="DJ117" s="106">
        <f>+HLOOKUP($C117,PMGR!$CU$2:$DG$250,207,0)</f>
        <v>9263.2812000000013</v>
      </c>
      <c r="DK117" s="106">
        <f>+HLOOKUP($C117,PMGR!$CU$2:$DG$250,209,0)</f>
        <v>0</v>
      </c>
      <c r="DL117" s="106">
        <f>+HLOOKUP($C117,PMGR!$CU$2:$DG$250,210,0)</f>
        <v>70195.5</v>
      </c>
      <c r="DM117" s="106">
        <f>+HLOOKUP($C117,PMGR!$CU$2:$DG$250,211,0)</f>
        <v>0</v>
      </c>
      <c r="DN117" s="106">
        <f>+HLOOKUP($C117,PMGR!$CU$2:$DG$250,212,0)</f>
        <v>14400</v>
      </c>
      <c r="DO117" s="106">
        <f>+HLOOKUP($C117,PMGR!$CU$2:$DG$250,214,0)</f>
        <v>0</v>
      </c>
      <c r="DP117" s="106">
        <f>+HLOOKUP($C117,PMGR!$CU$2:$DG$250,215,0)</f>
        <v>180</v>
      </c>
      <c r="DQ117" s="106">
        <f>+HLOOKUP($C117,PMGR!$CU$2:$DG$250,219,0)</f>
        <v>0</v>
      </c>
      <c r="DR117" s="106">
        <f>+HLOOKUP($C117,PMGR!$CU$2:$DG$250,220,0)</f>
        <v>0</v>
      </c>
      <c r="DS117" s="106">
        <f>+HLOOKUP($C117,PMGR!$CU$2:$DG$250,221,0)</f>
        <v>0</v>
      </c>
      <c r="DT117" s="106">
        <f>+HLOOKUP($C117,PMGR!$CU$2:$DG$250,223,0)</f>
        <v>17040.267899999999</v>
      </c>
      <c r="DU117" s="106">
        <f>+HLOOKUP($C117,PMGR!$CU$2:$DG$250,224,0)</f>
        <v>0</v>
      </c>
      <c r="DV117" s="106">
        <f>+HLOOKUP($C117,PMGR!$CU$2:$DG$250,225,0)</f>
        <v>0</v>
      </c>
      <c r="DW117" s="106">
        <f>+HLOOKUP($C117,PMGR!$CU$2:$DG$250,227,0)</f>
        <v>0</v>
      </c>
      <c r="DX117" s="106">
        <f>+HLOOKUP($C117,PMGR!$CU$2:$DG$250,228,0)</f>
        <v>4443.3899999999994</v>
      </c>
      <c r="DY117" s="106">
        <f>+HLOOKUP($C117,PMGR!$CU$2:$DG$250,236,0)</f>
        <v>156440</v>
      </c>
      <c r="DZ117" s="106">
        <f>+HLOOKUP($C117,PMGR!$CU$2:$DG$250,237,0)</f>
        <v>95928.853229999993</v>
      </c>
      <c r="EA117" s="106">
        <f>+HLOOKUP($C117,PMGR!$CU$2:$DG$250,238,0)</f>
        <v>22654.800000000003</v>
      </c>
      <c r="EB117" s="106">
        <f>+HLOOKUP($C117,PMGR!$CU$2:$DG$250,240,0)</f>
        <v>241812.14353571442</v>
      </c>
    </row>
    <row r="118" spans="1:132" hidden="1">
      <c r="A118" t="s">
        <v>271</v>
      </c>
      <c r="B118" t="s">
        <v>217</v>
      </c>
      <c r="C118" s="117">
        <v>45748</v>
      </c>
      <c r="D118" s="106">
        <f t="shared" si="0"/>
        <v>8131833.9190565934</v>
      </c>
      <c r="E118" s="106">
        <f>+HLOOKUP(C118,PMGR!$CU$2:$DG$250,28,0)+HLOOKUP(C118,PMGR!$CU$2:$DG$250,43,0)+HLOOKUP(C118,PMGR!$CU$2:$DG$250,44,0)+HLOOKUP(C118,PMGR!$CU$2:$DG$250,45,0)+HLOOKUP(C118,PMGR!$CU$2:$DG$250,54,0)+HLOOKUP(C118,PMGR!$CU$2:$DG$250,59,0)</f>
        <v>8131833.9190565934</v>
      </c>
      <c r="F118" s="106">
        <f>+HLOOKUP(C118,PMGR!$CU$2:$DG$250,37,0)+HLOOKUP(C118,PMGR!$CU$2:$DG$250,55,0)</f>
        <v>5246737.3459999971</v>
      </c>
      <c r="G118" s="106">
        <f>+HLOOKUP($C118,PMGR!$CU$2:$DG$250,76,0)</f>
        <v>0</v>
      </c>
      <c r="H118" s="106">
        <f>+HLOOKUP($C118,PMGR!$CU$2:$DG$250,77,0)</f>
        <v>0</v>
      </c>
      <c r="I118" s="106">
        <f>+HLOOKUP($C118,PMGR!$CU$2:$DG$250,78,0)</f>
        <v>0</v>
      </c>
      <c r="J118" s="106">
        <f>+HLOOKUP($C118,PMGR!$CU$2:$DG$250,79,0)</f>
        <v>0</v>
      </c>
      <c r="K118" s="106">
        <f>+HLOOKUP($C118,PMGR!$CU$2:$DG$250,80,0)</f>
        <v>0</v>
      </c>
      <c r="L118" s="106">
        <f>+HLOOKUP($C118,PMGR!$CU$2:$DG$250,81,0)</f>
        <v>0</v>
      </c>
      <c r="M118" s="106">
        <f>+HLOOKUP($C118,PMGR!$CU$2:$DG$250,82,0)</f>
        <v>0</v>
      </c>
      <c r="N118" s="106">
        <f>+HLOOKUP($C118,PMGR!$CU$2:$DG$250,83,0)</f>
        <v>0</v>
      </c>
      <c r="O118" s="106">
        <f>+HLOOKUP($C118,PMGR!$CU$2:$DG$250,84,0)</f>
        <v>0</v>
      </c>
      <c r="P118" s="106">
        <f>+HLOOKUP($C118,PMGR!$CU$2:$DG$250,85,0)</f>
        <v>0</v>
      </c>
      <c r="Q118" s="106">
        <f>+HLOOKUP($C118,PMGR!$CU$2:$DG$250,87,0)</f>
        <v>132460.32400000002</v>
      </c>
      <c r="R118" s="106">
        <f>+HLOOKUP($C118,PMGR!$CU$2:$DG$250,90,0)</f>
        <v>0</v>
      </c>
      <c r="S118" s="106">
        <f>+HLOOKUP($C118,PMGR!$CU$2:$DG$250,91,0)</f>
        <v>4500</v>
      </c>
      <c r="T118" s="106">
        <f>+HLOOKUP($C118,PMGR!$CU$2:$DG$250,92,0)</f>
        <v>0</v>
      </c>
      <c r="U118" s="106">
        <f>+HLOOKUP($C118,PMGR!$CU$2:$DG$250,93,0)</f>
        <v>0</v>
      </c>
      <c r="V118" s="106">
        <f>+HLOOKUP($C118,PMGR!$CU$2:$DG$250,94,0)</f>
        <v>0</v>
      </c>
      <c r="W118" s="106">
        <f>+HLOOKUP($C118,PMGR!$CU$2:$DG$250,95,0)</f>
        <v>0</v>
      </c>
      <c r="X118" s="106">
        <f>+HLOOKUP($C118,PMGR!$CU$2:$DG$250,96,0)</f>
        <v>0</v>
      </c>
      <c r="Y118" s="106">
        <f>+HLOOKUP($C118,PMGR!$CU$2:$DG$250,97,0)</f>
        <v>0</v>
      </c>
      <c r="Z118" s="106">
        <f>+HLOOKUP($C118,PMGR!$CU$2:$DG$250,98,0)</f>
        <v>0</v>
      </c>
      <c r="AA118" s="106">
        <f>+HLOOKUP($C118,PMGR!$CU$2:$DG$250,99,0)</f>
        <v>0</v>
      </c>
      <c r="AB118" s="106">
        <f>+HLOOKUP($C118,PMGR!$CU$2:$DG$250,100,0)</f>
        <v>0</v>
      </c>
      <c r="AC118" s="106">
        <f>+HLOOKUP($C118,PMGR!$CU$2:$DG$250,101,0)</f>
        <v>4420.8</v>
      </c>
      <c r="AD118" s="106">
        <f>+HLOOKUP($C118,PMGR!$CU$2:$DG$250,104,0)</f>
        <v>1928</v>
      </c>
      <c r="AE118" s="106">
        <f>+HLOOKUP($C118,PMGR!$CU$2:$DG$250,105,0)</f>
        <v>9270</v>
      </c>
      <c r="AF118" s="106">
        <f>+HLOOKUP($C118,PMGR!$CU$2:$DG$250,106,0)</f>
        <v>0</v>
      </c>
      <c r="AG118" s="106">
        <f>+HLOOKUP($C118,PMGR!$CU$2:$DG$250,107,0)</f>
        <v>0</v>
      </c>
      <c r="AH118" s="106">
        <f>+HLOOKUP($C118,PMGR!$CU$2:$DG$250,108,0)</f>
        <v>0</v>
      </c>
      <c r="AI118" s="106">
        <f>+HLOOKUP($C118,PMGR!$CU$2:$DG$250,109,0)</f>
        <v>0</v>
      </c>
      <c r="AJ118" s="106">
        <f>+HLOOKUP($C118,PMGR!$CU$2:$DG$250,110,0)</f>
        <v>0</v>
      </c>
      <c r="AK118" s="106">
        <f>+HLOOKUP($C118,PMGR!$CU$2:$DG$250,111,0)</f>
        <v>0</v>
      </c>
      <c r="AL118" s="106">
        <f>+HLOOKUP($C118,PMGR!$CU$2:$DG$250,112,0)</f>
        <v>0</v>
      </c>
      <c r="AM118" s="106">
        <f>+HLOOKUP($C118,PMGR!$CU$2:$DG$250,116,0)</f>
        <v>268727</v>
      </c>
      <c r="AN118" s="106">
        <f>+HLOOKUP($C118,PMGR!$CU$2:$DG$250,117,0)</f>
        <v>44906</v>
      </c>
      <c r="AO118" s="106">
        <f>+HLOOKUP($C118,PMGR!$CU$2:$DG$250,118,0)</f>
        <v>3000</v>
      </c>
      <c r="AP118" s="106">
        <f>+HLOOKUP($C118,PMGR!$CU$2:$DG$250,119,0)</f>
        <v>98498</v>
      </c>
      <c r="AQ118" s="106">
        <f>+HLOOKUP($C118,PMGR!$CU$2:$DG$250,120,0)</f>
        <v>25026</v>
      </c>
      <c r="AR118" s="106">
        <f>+HLOOKUP($C118,PMGR!$CU$2:$DG$250,121,0)</f>
        <v>12940</v>
      </c>
      <c r="AS118" s="106">
        <f>+HLOOKUP($C118,PMGR!$CU$2:$DG$250,122,0)</f>
        <v>116376</v>
      </c>
      <c r="AT118" s="106">
        <f>+HLOOKUP($C118,PMGR!$CU$2:$DG$250,123,0)</f>
        <v>35293.217528472225</v>
      </c>
      <c r="AU118" s="106">
        <f>+HLOOKUP($C118,PMGR!$CU$2:$DG$250,124,0)</f>
        <v>3752.5</v>
      </c>
      <c r="AV118" s="106">
        <f>+HLOOKUP($C118,PMGR!$CU$2:$DG$250,125,0)</f>
        <v>23535</v>
      </c>
      <c r="AW118" s="106">
        <f>+HLOOKUP($C118,PMGR!$CU$2:$DG$250,126,0)</f>
        <v>14716.346153846156</v>
      </c>
      <c r="AX118" s="106">
        <f>+HLOOKUP($C118,PMGR!$CU$2:$DG$250,127,0)</f>
        <v>20216.666666666664</v>
      </c>
      <c r="AY118" s="106">
        <f>+HLOOKUP($C118,PMGR!$CU$2:$DG$250,129,0)</f>
        <v>0</v>
      </c>
      <c r="AZ118" s="106">
        <f>+HLOOKUP($C118,PMGR!$CU$2:$DG$250,130,0)</f>
        <v>0</v>
      </c>
      <c r="BA118" s="106">
        <f>+HLOOKUP($C118,PMGR!$CU$2:$DG$250,131,0)</f>
        <v>0</v>
      </c>
      <c r="BB118" s="106">
        <f>+HLOOKUP($C118,PMGR!$CU$2:$DG$250,133,0)</f>
        <v>0</v>
      </c>
      <c r="BC118" s="106">
        <f>+HLOOKUP($C118,PMGR!$CU$2:$DG$250,134,0)</f>
        <v>28111.89</v>
      </c>
      <c r="BD118" s="106">
        <f>+HLOOKUP($C118,PMGR!$CU$2:$DG$250,135,0)</f>
        <v>0</v>
      </c>
      <c r="BE118" s="106">
        <f>+HLOOKUP($C118,PMGR!$CU$2:$DG$250,136,0)</f>
        <v>0</v>
      </c>
      <c r="BF118" s="106">
        <f>+HLOOKUP($C118,PMGR!$CU$2:$DG$250,138,0)</f>
        <v>6542.9092799999999</v>
      </c>
      <c r="BG118" s="106">
        <f>+HLOOKUP($C118,PMGR!$CU$2:$DG$250,139,0)</f>
        <v>14375.140000000001</v>
      </c>
      <c r="BH118" s="106">
        <f>+HLOOKUP($C118,PMGR!$CU$2:$DG$250,140,0)</f>
        <v>13500</v>
      </c>
      <c r="BI118" s="106">
        <f>+HLOOKUP($C118,PMGR!$CU$2:$DG$250,141,0)</f>
        <v>0</v>
      </c>
      <c r="BJ118" s="106">
        <f>+HLOOKUP($C118,PMGR!$CU$2:$DG$250,142,0)</f>
        <v>0</v>
      </c>
      <c r="BK118" s="106">
        <f>+HLOOKUP($C118,PMGR!$CU$2:$DG$250,143,0)</f>
        <v>14452.166666666666</v>
      </c>
      <c r="BL118" s="106">
        <f>+HLOOKUP($C118,PMGR!$CU$2:$DG$250,144,0)</f>
        <v>0</v>
      </c>
      <c r="BM118" s="106">
        <f>+HLOOKUP($C118,PMGR!$CU$2:$DG$250,146,0)</f>
        <v>0</v>
      </c>
      <c r="BN118" s="106">
        <f>+HLOOKUP($C118,PMGR!$CU$2:$DG$250,147,0)</f>
        <v>40902</v>
      </c>
      <c r="BO118" s="106">
        <f>+HLOOKUP($C118,PMGR!$CU$2:$DG$250,148,0)</f>
        <v>0</v>
      </c>
      <c r="BP118" s="106">
        <f>+HLOOKUP($C118,PMGR!$CU$2:$DG$250,150,0)</f>
        <v>23572.799999999999</v>
      </c>
      <c r="BQ118" s="106">
        <f>+HLOOKUP($C118,PMGR!$CU$2:$DG$250,151,0)</f>
        <v>1488.3</v>
      </c>
      <c r="BR118" s="106">
        <f>+HLOOKUP($C118,PMGR!$CU$2:$DG$250,152,0)</f>
        <v>10500</v>
      </c>
      <c r="BS118" s="106">
        <f>+HLOOKUP($C118,PMGR!$CU$2:$DG$250,153,0)</f>
        <v>525</v>
      </c>
      <c r="BT118" s="106">
        <f>+HLOOKUP($C118,PMGR!$CU$2:$DG$250,157,0)</f>
        <v>0</v>
      </c>
      <c r="BU118" s="106">
        <f>+HLOOKUP($C118,PMGR!$CU$2:$DG$250,158,0)</f>
        <v>0</v>
      </c>
      <c r="BV118" s="106">
        <f>+HLOOKUP($C118,PMGR!$CU$2:$DG$250,159,0)</f>
        <v>204.16799999999998</v>
      </c>
      <c r="BW118" s="106">
        <f>+HLOOKUP($C118,PMGR!$CU$2:$DG$250,160,0)</f>
        <v>11000</v>
      </c>
      <c r="BX118" s="106">
        <f>+HLOOKUP($C118,PMGR!$CU$2:$DG$250,161,0)</f>
        <v>1350</v>
      </c>
      <c r="BY118" s="106">
        <f>+HLOOKUP($C118,PMGR!$CU$2:$DG$250,164,0)</f>
        <v>2642.07</v>
      </c>
      <c r="BZ118" s="106">
        <f>+HLOOKUP($C118,PMGR!$CU$2:$DG$250,165,0)</f>
        <v>17028.45</v>
      </c>
      <c r="CA118" s="106">
        <f>+HLOOKUP($C118,PMGR!$CU$2:$DG$250,166,0)</f>
        <v>0</v>
      </c>
      <c r="CB118" s="106">
        <f>+HLOOKUP($C118,PMGR!$CU$2:$DG$250,167,0)</f>
        <v>0</v>
      </c>
      <c r="CC118" s="106">
        <f>+HLOOKUP($C118,PMGR!$CU$2:$DG$250,168,0)</f>
        <v>0</v>
      </c>
      <c r="CD118" s="106">
        <f>+HLOOKUP($C118,PMGR!$CU$2:$DG$250,169,0)</f>
        <v>0</v>
      </c>
      <c r="CE118" s="106">
        <f>+HLOOKUP($C118,PMGR!$CU$2:$DG$250,170,0)</f>
        <v>0</v>
      </c>
      <c r="CF118" s="106">
        <f>+HLOOKUP($C118,PMGR!$CU$2:$DG$250,172,0)</f>
        <v>10800</v>
      </c>
      <c r="CG118" s="106">
        <f>+HLOOKUP($C118,PMGR!$CU$2:$DG$250,173,0)</f>
        <v>0</v>
      </c>
      <c r="CH118" s="106">
        <f>+HLOOKUP($C118,PMGR!$CU$2:$DG$250,174,0)</f>
        <v>0</v>
      </c>
      <c r="CI118" s="106">
        <f>+HLOOKUP($C118,PMGR!$CU$2:$DG$250,175,0)</f>
        <v>0</v>
      </c>
      <c r="CJ118" s="106">
        <f>+HLOOKUP($C118,PMGR!$CU$2:$DG$250,176,0)</f>
        <v>1423.1276999999998</v>
      </c>
      <c r="CK118" s="106">
        <f>+HLOOKUP($C118,PMGR!$CU$2:$DG$250,178,0)</f>
        <v>54382</v>
      </c>
      <c r="CL118" s="106">
        <f>+HLOOKUP($C118,PMGR!$CU$2:$DG$250,179,0)</f>
        <v>28781.24</v>
      </c>
      <c r="CM118" s="106">
        <f>+HLOOKUP($C118,PMGR!$CU$2:$DG$250,180,0)</f>
        <v>0</v>
      </c>
      <c r="CN118" s="106">
        <f>+HLOOKUP($C118,PMGR!$CU$2:$DG$250,182,0)</f>
        <v>0</v>
      </c>
      <c r="CO118" s="106">
        <f>+HLOOKUP($C118,PMGR!$CU$2:$DG$250,183,0)</f>
        <v>6974.9970000000003</v>
      </c>
      <c r="CP118" s="106">
        <f>+HLOOKUP($C118,PMGR!$CU$2:$DG$250,184,0)</f>
        <v>114.33059999999999</v>
      </c>
      <c r="CQ118" s="106">
        <f>+HLOOKUP($C118,PMGR!$CU$2:$DG$250,185,0)</f>
        <v>0</v>
      </c>
      <c r="CR118" s="106">
        <f>+HLOOKUP($C118,PMGR!$CU$2:$DG$250,187,0)</f>
        <v>1874.8799999999997</v>
      </c>
      <c r="CS118" s="106">
        <f>+HLOOKUP($C118,PMGR!$CU$2:$DG$250,188,0)</f>
        <v>0</v>
      </c>
      <c r="CT118" s="106">
        <f>+HLOOKUP($C118,PMGR!$CU$2:$DG$250,189,0)</f>
        <v>0</v>
      </c>
      <c r="CU118" s="106">
        <f>+HLOOKUP($C118,PMGR!$CU$2:$DG$250,190,0)</f>
        <v>0</v>
      </c>
      <c r="CV118" s="106">
        <f>+HLOOKUP($C118,PMGR!$CU$2:$DG$250,191,0)</f>
        <v>0</v>
      </c>
      <c r="CW118" s="106">
        <f>+HLOOKUP($C118,PMGR!$CU$2:$DG$250,193,0)</f>
        <v>3672.5189999999998</v>
      </c>
      <c r="CX118" s="106">
        <f>+HLOOKUP($C118,PMGR!$CU$2:$DG$250,194,0)</f>
        <v>23.849999999999998</v>
      </c>
      <c r="CY118" s="106">
        <f>+HLOOKUP($C118,PMGR!$CU$2:$DG$250,195,0)</f>
        <v>825.03599999999994</v>
      </c>
      <c r="CZ118" s="106">
        <f>+HLOOKUP($C118,PMGR!$CU$2:$DG$250,196,0)</f>
        <v>0</v>
      </c>
      <c r="DA118" s="106">
        <f>+HLOOKUP($C118,PMGR!$CU$2:$DG$250,197,0)</f>
        <v>2790.99</v>
      </c>
      <c r="DB118" s="106">
        <f>+HLOOKUP($C118,PMGR!$CU$2:$DG$250,198,0)</f>
        <v>2755.8989999999999</v>
      </c>
      <c r="DC118" s="106">
        <f>+HLOOKUP($C118,PMGR!$CU$2:$DG$250,199,0)</f>
        <v>90</v>
      </c>
      <c r="DD118" s="106">
        <f>+HLOOKUP($C118,PMGR!$CU$2:$DG$250,200,0)</f>
        <v>92.399999999999991</v>
      </c>
      <c r="DE118" s="106">
        <f>+HLOOKUP($C118,PMGR!$CU$2:$DG$250,201,0)</f>
        <v>0</v>
      </c>
      <c r="DF118" s="106">
        <f>+HLOOKUP($C118,PMGR!$CU$2:$DG$250,202,0)</f>
        <v>0.90529999999999999</v>
      </c>
      <c r="DG118" s="106">
        <f>+HLOOKUP($C118,PMGR!$CU$2:$DG$250,203,0)</f>
        <v>-3.8051999999999997</v>
      </c>
      <c r="DH118" s="106">
        <f>+HLOOKUP($C118,PMGR!$CU$2:$DG$250,205,0)</f>
        <v>0</v>
      </c>
      <c r="DI118" s="106">
        <f>+HLOOKUP($C118,PMGR!$CU$2:$DG$250,206,0)</f>
        <v>0</v>
      </c>
      <c r="DJ118" s="106">
        <f>+HLOOKUP($C118,PMGR!$CU$2:$DG$250,207,0)</f>
        <v>8378.5812000000005</v>
      </c>
      <c r="DK118" s="106">
        <f>+HLOOKUP($C118,PMGR!$CU$2:$DG$250,209,0)</f>
        <v>0</v>
      </c>
      <c r="DL118" s="106">
        <f>+HLOOKUP($C118,PMGR!$CU$2:$DG$250,210,0)</f>
        <v>70195.5</v>
      </c>
      <c r="DM118" s="106">
        <f>+HLOOKUP($C118,PMGR!$CU$2:$DG$250,211,0)</f>
        <v>0</v>
      </c>
      <c r="DN118" s="106">
        <f>+HLOOKUP($C118,PMGR!$CU$2:$DG$250,212,0)</f>
        <v>14400</v>
      </c>
      <c r="DO118" s="106">
        <f>+HLOOKUP($C118,PMGR!$CU$2:$DG$250,214,0)</f>
        <v>0</v>
      </c>
      <c r="DP118" s="106">
        <f>+HLOOKUP($C118,PMGR!$CU$2:$DG$250,215,0)</f>
        <v>570</v>
      </c>
      <c r="DQ118" s="106">
        <f>+HLOOKUP($C118,PMGR!$CU$2:$DG$250,219,0)</f>
        <v>0</v>
      </c>
      <c r="DR118" s="106">
        <f>+HLOOKUP($C118,PMGR!$CU$2:$DG$250,220,0)</f>
        <v>0</v>
      </c>
      <c r="DS118" s="106">
        <f>+HLOOKUP($C118,PMGR!$CU$2:$DG$250,221,0)</f>
        <v>0</v>
      </c>
      <c r="DT118" s="106">
        <f>+HLOOKUP($C118,PMGR!$CU$2:$DG$250,223,0)</f>
        <v>10446.674399999998</v>
      </c>
      <c r="DU118" s="106">
        <f>+HLOOKUP($C118,PMGR!$CU$2:$DG$250,224,0)</f>
        <v>0</v>
      </c>
      <c r="DV118" s="106">
        <f>+HLOOKUP($C118,PMGR!$CU$2:$DG$250,225,0)</f>
        <v>0</v>
      </c>
      <c r="DW118" s="106">
        <f>+HLOOKUP($C118,PMGR!$CU$2:$DG$250,227,0)</f>
        <v>0</v>
      </c>
      <c r="DX118" s="106">
        <f>+HLOOKUP($C118,PMGR!$CU$2:$DG$250,228,0)</f>
        <v>395.28</v>
      </c>
      <c r="DY118" s="106">
        <f>+HLOOKUP($C118,PMGR!$CU$2:$DG$250,236,0)</f>
        <v>160648.40000000002</v>
      </c>
      <c r="DZ118" s="106">
        <f>+HLOOKUP($C118,PMGR!$CU$2:$DG$250,237,0)</f>
        <v>100379.36664000001</v>
      </c>
      <c r="EA118" s="106">
        <f>+HLOOKUP($C118,PMGR!$CU$2:$DG$250,238,0)</f>
        <v>24455.200000000001</v>
      </c>
      <c r="EB118" s="106">
        <f>+HLOOKUP($C118,PMGR!$CU$2:$DG$250,240,0)</f>
        <v>241812.14353571442</v>
      </c>
    </row>
    <row r="119" spans="1:132" hidden="1">
      <c r="A119" t="s">
        <v>271</v>
      </c>
      <c r="B119" t="s">
        <v>217</v>
      </c>
      <c r="C119" s="117">
        <v>45717</v>
      </c>
      <c r="D119" s="106">
        <f t="shared" si="0"/>
        <v>10277235.963352943</v>
      </c>
      <c r="E119" s="106">
        <f>+HLOOKUP(C119,PMGR!$CU$2:$DG$250,28,0)+HLOOKUP(C119,PMGR!$CU$2:$DG$250,43,0)+HLOOKUP(C119,PMGR!$CU$2:$DG$250,44,0)+HLOOKUP(C119,PMGR!$CU$2:$DG$250,45,0)+HLOOKUP(C119,PMGR!$CU$2:$DG$250,54,0)+HLOOKUP(C119,PMGR!$CU$2:$DG$250,59,0)</f>
        <v>10277235.963352943</v>
      </c>
      <c r="F119" s="106">
        <f>+HLOOKUP(C119,PMGR!$CU$2:$DG$250,37,0)+HLOOKUP(C119,PMGR!$CU$2:$DG$250,55,0)</f>
        <v>6059838.7199999997</v>
      </c>
      <c r="G119" s="106">
        <f>+HLOOKUP($C119,PMGR!$CU$2:$DG$250,76,0)</f>
        <v>0</v>
      </c>
      <c r="H119" s="106">
        <f>+HLOOKUP($C119,PMGR!$CU$2:$DG$250,77,0)</f>
        <v>0</v>
      </c>
      <c r="I119" s="106">
        <f>+HLOOKUP($C119,PMGR!$CU$2:$DG$250,78,0)</f>
        <v>0</v>
      </c>
      <c r="J119" s="106">
        <f>+HLOOKUP($C119,PMGR!$CU$2:$DG$250,79,0)</f>
        <v>0</v>
      </c>
      <c r="K119" s="106">
        <f>+HLOOKUP($C119,PMGR!$CU$2:$DG$250,80,0)</f>
        <v>0</v>
      </c>
      <c r="L119" s="106">
        <f>+HLOOKUP($C119,PMGR!$CU$2:$DG$250,81,0)</f>
        <v>0</v>
      </c>
      <c r="M119" s="106">
        <f>+HLOOKUP($C119,PMGR!$CU$2:$DG$250,82,0)</f>
        <v>0</v>
      </c>
      <c r="N119" s="106">
        <f>+HLOOKUP($C119,PMGR!$CU$2:$DG$250,83,0)</f>
        <v>0</v>
      </c>
      <c r="O119" s="106">
        <f>+HLOOKUP($C119,PMGR!$CU$2:$DG$250,84,0)</f>
        <v>0</v>
      </c>
      <c r="P119" s="106">
        <f>+HLOOKUP($C119,PMGR!$CU$2:$DG$250,85,0)</f>
        <v>0</v>
      </c>
      <c r="Q119" s="106">
        <f>+HLOOKUP($C119,PMGR!$CU$2:$DG$250,87,0)</f>
        <v>170599.70700000005</v>
      </c>
      <c r="R119" s="106">
        <f>+HLOOKUP($C119,PMGR!$CU$2:$DG$250,90,0)</f>
        <v>0</v>
      </c>
      <c r="S119" s="106">
        <f>+HLOOKUP($C119,PMGR!$CU$2:$DG$250,91,0)</f>
        <v>0</v>
      </c>
      <c r="T119" s="106">
        <f>+HLOOKUP($C119,PMGR!$CU$2:$DG$250,92,0)</f>
        <v>283.82400000000001</v>
      </c>
      <c r="U119" s="106">
        <f>+HLOOKUP($C119,PMGR!$CU$2:$DG$250,93,0)</f>
        <v>0</v>
      </c>
      <c r="V119" s="106">
        <f>+HLOOKUP($C119,PMGR!$CU$2:$DG$250,94,0)</f>
        <v>0</v>
      </c>
      <c r="W119" s="106">
        <f>+HLOOKUP($C119,PMGR!$CU$2:$DG$250,95,0)</f>
        <v>0</v>
      </c>
      <c r="X119" s="106">
        <f>+HLOOKUP($C119,PMGR!$CU$2:$DG$250,96,0)</f>
        <v>0</v>
      </c>
      <c r="Y119" s="106">
        <f>+HLOOKUP($C119,PMGR!$CU$2:$DG$250,97,0)</f>
        <v>0</v>
      </c>
      <c r="Z119" s="106">
        <f>+HLOOKUP($C119,PMGR!$CU$2:$DG$250,98,0)</f>
        <v>0</v>
      </c>
      <c r="AA119" s="106">
        <f>+HLOOKUP($C119,PMGR!$CU$2:$DG$250,99,0)</f>
        <v>0</v>
      </c>
      <c r="AB119" s="106">
        <f>+HLOOKUP($C119,PMGR!$CU$2:$DG$250,100,0)</f>
        <v>0</v>
      </c>
      <c r="AC119" s="106">
        <f>+HLOOKUP($C119,PMGR!$CU$2:$DG$250,101,0)</f>
        <v>483</v>
      </c>
      <c r="AD119" s="106">
        <f>+HLOOKUP($C119,PMGR!$CU$2:$DG$250,104,0)</f>
        <v>0</v>
      </c>
      <c r="AE119" s="106">
        <f>+HLOOKUP($C119,PMGR!$CU$2:$DG$250,105,0)</f>
        <v>4365</v>
      </c>
      <c r="AF119" s="106">
        <f>+HLOOKUP($C119,PMGR!$CU$2:$DG$250,106,0)</f>
        <v>0</v>
      </c>
      <c r="AG119" s="106">
        <f>+HLOOKUP($C119,PMGR!$CU$2:$DG$250,107,0)</f>
        <v>0</v>
      </c>
      <c r="AH119" s="106">
        <f>+HLOOKUP($C119,PMGR!$CU$2:$DG$250,108,0)</f>
        <v>0</v>
      </c>
      <c r="AI119" s="106">
        <f>+HLOOKUP($C119,PMGR!$CU$2:$DG$250,109,0)</f>
        <v>22.95</v>
      </c>
      <c r="AJ119" s="106">
        <f>+HLOOKUP($C119,PMGR!$CU$2:$DG$250,110,0)</f>
        <v>0</v>
      </c>
      <c r="AK119" s="106">
        <f>+HLOOKUP($C119,PMGR!$CU$2:$DG$250,111,0)</f>
        <v>3960</v>
      </c>
      <c r="AL119" s="106">
        <f>+HLOOKUP($C119,PMGR!$CU$2:$DG$250,112,0)</f>
        <v>0</v>
      </c>
      <c r="AM119" s="106">
        <f>+HLOOKUP($C119,PMGR!$CU$2:$DG$250,116,0)</f>
        <v>278955</v>
      </c>
      <c r="AN119" s="106">
        <f>+HLOOKUP($C119,PMGR!$CU$2:$DG$250,117,0)</f>
        <v>45915</v>
      </c>
      <c r="AO119" s="106">
        <f>+HLOOKUP($C119,PMGR!$CU$2:$DG$250,118,0)</f>
        <v>3000</v>
      </c>
      <c r="AP119" s="106">
        <f>+HLOOKUP($C119,PMGR!$CU$2:$DG$250,119,0)</f>
        <v>175897</v>
      </c>
      <c r="AQ119" s="106">
        <f>+HLOOKUP($C119,PMGR!$CU$2:$DG$250,120,0)</f>
        <v>25568</v>
      </c>
      <c r="AR119" s="106">
        <f>+HLOOKUP($C119,PMGR!$CU$2:$DG$250,121,0)</f>
        <v>13468</v>
      </c>
      <c r="AS119" s="106">
        <f>+HLOOKUP($C119,PMGR!$CU$2:$DG$250,122,0)</f>
        <v>122513</v>
      </c>
      <c r="AT119" s="106">
        <f>+HLOOKUP($C119,PMGR!$CU$2:$DG$250,123,0)</f>
        <v>50488</v>
      </c>
      <c r="AU119" s="106">
        <f>+HLOOKUP($C119,PMGR!$CU$2:$DG$250,124,0)</f>
        <v>10406</v>
      </c>
      <c r="AV119" s="106">
        <f>+HLOOKUP($C119,PMGR!$CU$2:$DG$250,125,0)</f>
        <v>23535</v>
      </c>
      <c r="AW119" s="106">
        <f>+HLOOKUP($C119,PMGR!$CU$2:$DG$250,126,0)</f>
        <v>14716.346153846156</v>
      </c>
      <c r="AX119" s="106">
        <f>+HLOOKUP($C119,PMGR!$CU$2:$DG$250,127,0)</f>
        <v>20216.666666666664</v>
      </c>
      <c r="AY119" s="106">
        <f>+HLOOKUP($C119,PMGR!$CU$2:$DG$250,129,0)</f>
        <v>0</v>
      </c>
      <c r="AZ119" s="106">
        <f>+HLOOKUP($C119,PMGR!$CU$2:$DG$250,130,0)</f>
        <v>0</v>
      </c>
      <c r="BA119" s="106">
        <f>+HLOOKUP($C119,PMGR!$CU$2:$DG$250,131,0)</f>
        <v>0</v>
      </c>
      <c r="BB119" s="106">
        <f>+HLOOKUP($C119,PMGR!$CU$2:$DG$250,133,0)</f>
        <v>0</v>
      </c>
      <c r="BC119" s="106">
        <f>+HLOOKUP($C119,PMGR!$CU$2:$DG$250,134,0)</f>
        <v>15668.08</v>
      </c>
      <c r="BD119" s="106">
        <f>+HLOOKUP($C119,PMGR!$CU$2:$DG$250,135,0)</f>
        <v>0</v>
      </c>
      <c r="BE119" s="106">
        <f>+HLOOKUP($C119,PMGR!$CU$2:$DG$250,136,0)</f>
        <v>0</v>
      </c>
      <c r="BF119" s="106">
        <f>+HLOOKUP($C119,PMGR!$CU$2:$DG$250,138,0)</f>
        <v>0</v>
      </c>
      <c r="BG119" s="106">
        <f>+HLOOKUP($C119,PMGR!$CU$2:$DG$250,139,0)</f>
        <v>16125.26</v>
      </c>
      <c r="BH119" s="106">
        <f>+HLOOKUP($C119,PMGR!$CU$2:$DG$250,140,0)</f>
        <v>13500</v>
      </c>
      <c r="BI119" s="106">
        <f>+HLOOKUP($C119,PMGR!$CU$2:$DG$250,141,0)</f>
        <v>13680.119999999999</v>
      </c>
      <c r="BJ119" s="106">
        <f>+HLOOKUP($C119,PMGR!$CU$2:$DG$250,142,0)</f>
        <v>0</v>
      </c>
      <c r="BK119" s="106">
        <f>+HLOOKUP($C119,PMGR!$CU$2:$DG$250,143,0)</f>
        <v>14452.166666666666</v>
      </c>
      <c r="BL119" s="106">
        <f>+HLOOKUP($C119,PMGR!$CU$2:$DG$250,144,0)</f>
        <v>0</v>
      </c>
      <c r="BM119" s="106">
        <f>+HLOOKUP($C119,PMGR!$CU$2:$DG$250,146,0)</f>
        <v>0</v>
      </c>
      <c r="BN119" s="106">
        <f>+HLOOKUP($C119,PMGR!$CU$2:$DG$250,147,0)</f>
        <v>40051</v>
      </c>
      <c r="BO119" s="106">
        <f>+HLOOKUP($C119,PMGR!$CU$2:$DG$250,148,0)</f>
        <v>0</v>
      </c>
      <c r="BP119" s="106">
        <f>+HLOOKUP($C119,PMGR!$CU$2:$DG$250,150,0)</f>
        <v>23807.399999999998</v>
      </c>
      <c r="BQ119" s="106">
        <f>+HLOOKUP($C119,PMGR!$CU$2:$DG$250,151,0)</f>
        <v>1488.3</v>
      </c>
      <c r="BR119" s="106">
        <f>+HLOOKUP($C119,PMGR!$CU$2:$DG$250,152,0)</f>
        <v>9600</v>
      </c>
      <c r="BS119" s="106">
        <f>+HLOOKUP($C119,PMGR!$CU$2:$DG$250,153,0)</f>
        <v>480</v>
      </c>
      <c r="BT119" s="106">
        <f>+HLOOKUP($C119,PMGR!$CU$2:$DG$250,157,0)</f>
        <v>116900</v>
      </c>
      <c r="BU119" s="106">
        <f>+HLOOKUP($C119,PMGR!$CU$2:$DG$250,158,0)</f>
        <v>2350</v>
      </c>
      <c r="BV119" s="106">
        <f>+HLOOKUP($C119,PMGR!$CU$2:$DG$250,159,0)</f>
        <v>1310.8052999999998</v>
      </c>
      <c r="BW119" s="106">
        <f>+HLOOKUP($C119,PMGR!$CU$2:$DG$250,160,0)</f>
        <v>38085</v>
      </c>
      <c r="BX119" s="106">
        <f>+HLOOKUP($C119,PMGR!$CU$2:$DG$250,161,0)</f>
        <v>750</v>
      </c>
      <c r="BY119" s="106">
        <f>+HLOOKUP($C119,PMGR!$CU$2:$DG$250,164,0)</f>
        <v>0</v>
      </c>
      <c r="BZ119" s="106">
        <f>+HLOOKUP($C119,PMGR!$CU$2:$DG$250,165,0)</f>
        <v>1000</v>
      </c>
      <c r="CA119" s="106">
        <f>+HLOOKUP($C119,PMGR!$CU$2:$DG$250,166,0)</f>
        <v>0</v>
      </c>
      <c r="CB119" s="106">
        <f>+HLOOKUP($C119,PMGR!$CU$2:$DG$250,167,0)</f>
        <v>0</v>
      </c>
      <c r="CC119" s="106">
        <f>+HLOOKUP($C119,PMGR!$CU$2:$DG$250,168,0)</f>
        <v>0</v>
      </c>
      <c r="CD119" s="106">
        <f>+HLOOKUP($C119,PMGR!$CU$2:$DG$250,169,0)</f>
        <v>103334.1703</v>
      </c>
      <c r="CE119" s="106">
        <f>+HLOOKUP($C119,PMGR!$CU$2:$DG$250,170,0)</f>
        <v>0</v>
      </c>
      <c r="CF119" s="106">
        <f>+HLOOKUP($C119,PMGR!$CU$2:$DG$250,172,0)</f>
        <v>10800</v>
      </c>
      <c r="CG119" s="106">
        <f>+HLOOKUP($C119,PMGR!$CU$2:$DG$250,173,0)</f>
        <v>0</v>
      </c>
      <c r="CH119" s="106">
        <f>+HLOOKUP($C119,PMGR!$CU$2:$DG$250,174,0)</f>
        <v>0</v>
      </c>
      <c r="CI119" s="106">
        <f>+HLOOKUP($C119,PMGR!$CU$2:$DG$250,175,0)</f>
        <v>0</v>
      </c>
      <c r="CJ119" s="106">
        <f>+HLOOKUP($C119,PMGR!$CU$2:$DG$250,176,0)</f>
        <v>1423.1276999999998</v>
      </c>
      <c r="CK119" s="106">
        <f>+HLOOKUP($C119,PMGR!$CU$2:$DG$250,178,0)</f>
        <v>30874.199999999997</v>
      </c>
      <c r="CL119" s="106">
        <f>+HLOOKUP($C119,PMGR!$CU$2:$DG$250,179,0)</f>
        <v>0</v>
      </c>
      <c r="CM119" s="106">
        <f>+HLOOKUP($C119,PMGR!$CU$2:$DG$250,180,0)</f>
        <v>23800</v>
      </c>
      <c r="CN119" s="106">
        <f>+HLOOKUP($C119,PMGR!$CU$2:$DG$250,182,0)</f>
        <v>0</v>
      </c>
      <c r="CO119" s="106">
        <f>+HLOOKUP($C119,PMGR!$CU$2:$DG$250,183,0)</f>
        <v>4283.049</v>
      </c>
      <c r="CP119" s="106">
        <f>+HLOOKUP($C119,PMGR!$CU$2:$DG$250,184,0)</f>
        <v>0</v>
      </c>
      <c r="CQ119" s="106">
        <f>+HLOOKUP($C119,PMGR!$CU$2:$DG$250,185,0)</f>
        <v>0</v>
      </c>
      <c r="CR119" s="106">
        <f>+HLOOKUP($C119,PMGR!$CU$2:$DG$250,187,0)</f>
        <v>1874.8799999999997</v>
      </c>
      <c r="CS119" s="106">
        <f>+HLOOKUP($C119,PMGR!$CU$2:$DG$250,188,0)</f>
        <v>0</v>
      </c>
      <c r="CT119" s="106">
        <f>+HLOOKUP($C119,PMGR!$CU$2:$DG$250,189,0)</f>
        <v>0</v>
      </c>
      <c r="CU119" s="106">
        <f>+HLOOKUP($C119,PMGR!$CU$2:$DG$250,190,0)</f>
        <v>0</v>
      </c>
      <c r="CV119" s="106">
        <f>+HLOOKUP($C119,PMGR!$CU$2:$DG$250,191,0)</f>
        <v>0</v>
      </c>
      <c r="CW119" s="106">
        <f>+HLOOKUP($C119,PMGR!$CU$2:$DG$250,193,0)</f>
        <v>3706.3</v>
      </c>
      <c r="CX119" s="106">
        <f>+HLOOKUP($C119,PMGR!$CU$2:$DG$250,194,0)</f>
        <v>23.849999999999998</v>
      </c>
      <c r="CY119" s="106">
        <f>+HLOOKUP($C119,PMGR!$CU$2:$DG$250,195,0)</f>
        <v>825.03599999999994</v>
      </c>
      <c r="CZ119" s="106">
        <f>+HLOOKUP($C119,PMGR!$CU$2:$DG$250,196,0)</f>
        <v>0</v>
      </c>
      <c r="DA119" s="106">
        <f>+HLOOKUP($C119,PMGR!$CU$2:$DG$250,197,0)</f>
        <v>1763.36</v>
      </c>
      <c r="DB119" s="106">
        <f>+HLOOKUP($C119,PMGR!$CU$2:$DG$250,198,0)</f>
        <v>386</v>
      </c>
      <c r="DC119" s="106">
        <f>+HLOOKUP($C119,PMGR!$CU$2:$DG$250,199,0)</f>
        <v>474.28800000000001</v>
      </c>
      <c r="DD119" s="106">
        <f>+HLOOKUP($C119,PMGR!$CU$2:$DG$250,200,0)</f>
        <v>3670</v>
      </c>
      <c r="DE119" s="106">
        <f>+HLOOKUP($C119,PMGR!$CU$2:$DG$250,201,0)</f>
        <v>0</v>
      </c>
      <c r="DF119" s="106">
        <f>+HLOOKUP($C119,PMGR!$CU$2:$DG$250,202,0)</f>
        <v>-1.6082999999999998</v>
      </c>
      <c r="DG119" s="106">
        <f>+HLOOKUP($C119,PMGR!$CU$2:$DG$250,203,0)</f>
        <v>-36.475199999999994</v>
      </c>
      <c r="DH119" s="106">
        <f>+HLOOKUP($C119,PMGR!$CU$2:$DG$250,205,0)</f>
        <v>0</v>
      </c>
      <c r="DI119" s="106">
        <f>+HLOOKUP($C119,PMGR!$CU$2:$DG$250,206,0)</f>
        <v>0</v>
      </c>
      <c r="DJ119" s="106">
        <f>+HLOOKUP($C119,PMGR!$CU$2:$DG$250,207,0)</f>
        <v>1212.4512000000002</v>
      </c>
      <c r="DK119" s="106">
        <f>+HLOOKUP($C119,PMGR!$CU$2:$DG$250,209,0)</f>
        <v>0</v>
      </c>
      <c r="DL119" s="106">
        <f>+HLOOKUP($C119,PMGR!$CU$2:$DG$250,210,0)</f>
        <v>70195.5</v>
      </c>
      <c r="DM119" s="106">
        <f>+HLOOKUP($C119,PMGR!$CU$2:$DG$250,211,0)</f>
        <v>0</v>
      </c>
      <c r="DN119" s="106">
        <f>+HLOOKUP($C119,PMGR!$CU$2:$DG$250,212,0)</f>
        <v>14400</v>
      </c>
      <c r="DO119" s="106">
        <f>+HLOOKUP($C119,PMGR!$CU$2:$DG$250,214,0)</f>
        <v>0</v>
      </c>
      <c r="DP119" s="106">
        <f>+HLOOKUP($C119,PMGR!$CU$2:$DG$250,215,0)</f>
        <v>705</v>
      </c>
      <c r="DQ119" s="106">
        <f>+HLOOKUP($C119,PMGR!$CU$2:$DG$250,219,0)</f>
        <v>0</v>
      </c>
      <c r="DR119" s="106">
        <f>+HLOOKUP($C119,PMGR!$CU$2:$DG$250,220,0)</f>
        <v>0</v>
      </c>
      <c r="DS119" s="106">
        <f>+HLOOKUP($C119,PMGR!$CU$2:$DG$250,221,0)</f>
        <v>0</v>
      </c>
      <c r="DT119" s="106">
        <f>+HLOOKUP($C119,PMGR!$CU$2:$DG$250,223,0)</f>
        <v>18840.593699999998</v>
      </c>
      <c r="DU119" s="106">
        <f>+HLOOKUP($C119,PMGR!$CU$2:$DG$250,224,0)</f>
        <v>0</v>
      </c>
      <c r="DV119" s="106">
        <f>+HLOOKUP($C119,PMGR!$CU$2:$DG$250,225,0)</f>
        <v>0</v>
      </c>
      <c r="DW119" s="106">
        <f>+HLOOKUP($C119,PMGR!$CU$2:$DG$250,227,0)</f>
        <v>0</v>
      </c>
      <c r="DX119" s="106">
        <f>+HLOOKUP($C119,PMGR!$CU$2:$DG$250,228,0)</f>
        <v>1494.7199999999998</v>
      </c>
      <c r="DY119" s="106">
        <f>+HLOOKUP($C119,PMGR!$CU$2:$DG$250,236,0)</f>
        <v>164826</v>
      </c>
      <c r="DZ119" s="106">
        <f>+HLOOKUP($C119,PMGR!$CU$2:$DG$250,237,0)</f>
        <v>94757.84702999999</v>
      </c>
      <c r="EA119" s="106">
        <f>+HLOOKUP($C119,PMGR!$CU$2:$DG$250,238,0)</f>
        <v>6303.69</v>
      </c>
      <c r="EB119" s="106">
        <f>+HLOOKUP($C119,PMGR!$CU$2:$DG$250,240,0)</f>
        <v>241812.14353571442</v>
      </c>
    </row>
    <row r="120" spans="1:132" hidden="1">
      <c r="A120" t="s">
        <v>271</v>
      </c>
      <c r="B120" t="s">
        <v>217</v>
      </c>
      <c r="C120" s="117">
        <v>45689</v>
      </c>
      <c r="D120" s="106">
        <f t="shared" si="0"/>
        <v>8297404.5944792069</v>
      </c>
      <c r="E120" s="106">
        <f>+HLOOKUP(C120,PMGR!$CU$2:$DG$250,28,0)+HLOOKUP(C120,PMGR!$CU$2:$DG$250,43,0)+HLOOKUP(C120,PMGR!$CU$2:$DG$250,44,0)+HLOOKUP(C120,PMGR!$CU$2:$DG$250,45,0)+HLOOKUP(C120,PMGR!$CU$2:$DG$250,54,0)+HLOOKUP(C120,PMGR!$CU$2:$DG$250,59,0)</f>
        <v>8297404.5944792069</v>
      </c>
      <c r="F120" s="106">
        <f>+HLOOKUP(C120,PMGR!$CU$2:$DG$250,37,0)+HLOOKUP(C120,PMGR!$CU$2:$DG$250,55,0)</f>
        <v>6192292.205000001</v>
      </c>
      <c r="G120" s="106">
        <f>+HLOOKUP($C120,PMGR!$CU$2:$DG$250,76,0)</f>
        <v>0</v>
      </c>
      <c r="H120" s="106">
        <f>+HLOOKUP($C120,PMGR!$CU$2:$DG$250,77,0)</f>
        <v>0</v>
      </c>
      <c r="I120" s="106">
        <f>+HLOOKUP($C120,PMGR!$CU$2:$DG$250,78,0)</f>
        <v>0</v>
      </c>
      <c r="J120" s="106">
        <f>+HLOOKUP($C120,PMGR!$CU$2:$DG$250,79,0)</f>
        <v>0</v>
      </c>
      <c r="K120" s="106">
        <f>+HLOOKUP($C120,PMGR!$CU$2:$DG$250,80,0)</f>
        <v>0</v>
      </c>
      <c r="L120" s="106">
        <f>+HLOOKUP($C120,PMGR!$CU$2:$DG$250,81,0)</f>
        <v>0</v>
      </c>
      <c r="M120" s="106">
        <f>+HLOOKUP($C120,PMGR!$CU$2:$DG$250,82,0)</f>
        <v>0</v>
      </c>
      <c r="N120" s="106">
        <f>+HLOOKUP($C120,PMGR!$CU$2:$DG$250,83,0)</f>
        <v>0</v>
      </c>
      <c r="O120" s="106">
        <f>+HLOOKUP($C120,PMGR!$CU$2:$DG$250,84,0)</f>
        <v>0</v>
      </c>
      <c r="P120" s="106">
        <f>+HLOOKUP($C120,PMGR!$CU$2:$DG$250,85,0)</f>
        <v>0</v>
      </c>
      <c r="Q120" s="106">
        <f>+HLOOKUP($C120,PMGR!$CU$2:$DG$250,87,0)</f>
        <v>1391</v>
      </c>
      <c r="R120" s="106">
        <f>+HLOOKUP($C120,PMGR!$CU$2:$DG$250,90,0)</f>
        <v>0</v>
      </c>
      <c r="S120" s="106">
        <f>+HLOOKUP($C120,PMGR!$CU$2:$DG$250,91,0)</f>
        <v>0</v>
      </c>
      <c r="T120" s="106">
        <f>+HLOOKUP($C120,PMGR!$CU$2:$DG$250,92,0)</f>
        <v>283.87200000000001</v>
      </c>
      <c r="U120" s="106">
        <f>+HLOOKUP($C120,PMGR!$CU$2:$DG$250,93,0)</f>
        <v>0</v>
      </c>
      <c r="V120" s="106">
        <f>+HLOOKUP($C120,PMGR!$CU$2:$DG$250,94,0)</f>
        <v>0</v>
      </c>
      <c r="W120" s="106">
        <f>+HLOOKUP($C120,PMGR!$CU$2:$DG$250,95,0)</f>
        <v>0</v>
      </c>
      <c r="X120" s="106">
        <f>+HLOOKUP($C120,PMGR!$CU$2:$DG$250,96,0)</f>
        <v>0</v>
      </c>
      <c r="Y120" s="106">
        <f>+HLOOKUP($C120,PMGR!$CU$2:$DG$250,97,0)</f>
        <v>0</v>
      </c>
      <c r="Z120" s="106">
        <f>+HLOOKUP($C120,PMGR!$CU$2:$DG$250,98,0)</f>
        <v>0</v>
      </c>
      <c r="AA120" s="106">
        <f>+HLOOKUP($C120,PMGR!$CU$2:$DG$250,99,0)</f>
        <v>0</v>
      </c>
      <c r="AB120" s="106">
        <f>+HLOOKUP($C120,PMGR!$CU$2:$DG$250,100,0)</f>
        <v>0</v>
      </c>
      <c r="AC120" s="106">
        <f>+HLOOKUP($C120,PMGR!$CU$2:$DG$250,101,0)</f>
        <v>5355.8</v>
      </c>
      <c r="AD120" s="106">
        <f>+HLOOKUP($C120,PMGR!$CU$2:$DG$250,104,0)</f>
        <v>0</v>
      </c>
      <c r="AE120" s="106">
        <f>+HLOOKUP($C120,PMGR!$CU$2:$DG$250,105,0)</f>
        <v>2070</v>
      </c>
      <c r="AF120" s="106">
        <f>+HLOOKUP($C120,PMGR!$CU$2:$DG$250,106,0)</f>
        <v>0</v>
      </c>
      <c r="AG120" s="106">
        <f>+HLOOKUP($C120,PMGR!$CU$2:$DG$250,107,0)</f>
        <v>0</v>
      </c>
      <c r="AH120" s="106">
        <f>+HLOOKUP($C120,PMGR!$CU$2:$DG$250,108,0)</f>
        <v>0</v>
      </c>
      <c r="AI120" s="106">
        <f>+HLOOKUP($C120,PMGR!$CU$2:$DG$250,109,0)</f>
        <v>0</v>
      </c>
      <c r="AJ120" s="106">
        <f>+HLOOKUP($C120,PMGR!$CU$2:$DG$250,110,0)</f>
        <v>0</v>
      </c>
      <c r="AK120" s="106">
        <f>+HLOOKUP($C120,PMGR!$CU$2:$DG$250,111,0)</f>
        <v>27005</v>
      </c>
      <c r="AL120" s="106">
        <f>+HLOOKUP($C120,PMGR!$CU$2:$DG$250,112,0)</f>
        <v>0</v>
      </c>
      <c r="AM120" s="106">
        <f>+HLOOKUP($C120,PMGR!$CU$2:$DG$250,116,0)</f>
        <v>298305</v>
      </c>
      <c r="AN120" s="106">
        <f>+HLOOKUP($C120,PMGR!$CU$2:$DG$250,117,0)</f>
        <v>44560</v>
      </c>
      <c r="AO120" s="106">
        <f>+HLOOKUP($C120,PMGR!$CU$2:$DG$250,118,0)</f>
        <v>3000</v>
      </c>
      <c r="AP120" s="106">
        <f>+HLOOKUP($C120,PMGR!$CU$2:$DG$250,119,0)</f>
        <v>96405</v>
      </c>
      <c r="AQ120" s="106">
        <f>+HLOOKUP($C120,PMGR!$CU$2:$DG$250,120,0)</f>
        <v>23500</v>
      </c>
      <c r="AR120" s="106">
        <f>+HLOOKUP($C120,PMGR!$CU$2:$DG$250,121,0)</f>
        <v>11900</v>
      </c>
      <c r="AS120" s="106">
        <f>+HLOOKUP($C120,PMGR!$CU$2:$DG$250,122,0)</f>
        <v>120100</v>
      </c>
      <c r="AT120" s="106">
        <f>+HLOOKUP($C120,PMGR!$CU$2:$DG$250,123,0)</f>
        <v>50958</v>
      </c>
      <c r="AU120" s="106">
        <f>+HLOOKUP($C120,PMGR!$CU$2:$DG$250,124,0)</f>
        <v>9902</v>
      </c>
      <c r="AV120" s="106">
        <f>+HLOOKUP($C120,PMGR!$CU$2:$DG$250,125,0)</f>
        <v>23535</v>
      </c>
      <c r="AW120" s="106">
        <f>+HLOOKUP($C120,PMGR!$CU$2:$DG$250,126,0)</f>
        <v>14716.346153846156</v>
      </c>
      <c r="AX120" s="106">
        <f>+HLOOKUP($C120,PMGR!$CU$2:$DG$250,127,0)</f>
        <v>20216.666666666664</v>
      </c>
      <c r="AY120" s="106">
        <f>+HLOOKUP($C120,PMGR!$CU$2:$DG$250,129,0)</f>
        <v>0</v>
      </c>
      <c r="AZ120" s="106">
        <f>+HLOOKUP($C120,PMGR!$CU$2:$DG$250,130,0)</f>
        <v>0</v>
      </c>
      <c r="BA120" s="106">
        <f>+HLOOKUP($C120,PMGR!$CU$2:$DG$250,131,0)</f>
        <v>0</v>
      </c>
      <c r="BB120" s="106">
        <f>+HLOOKUP($C120,PMGR!$CU$2:$DG$250,133,0)</f>
        <v>0</v>
      </c>
      <c r="BC120" s="106">
        <f>+HLOOKUP($C120,PMGR!$CU$2:$DG$250,134,0)</f>
        <v>5362.9552999999996</v>
      </c>
      <c r="BD120" s="106">
        <f>+HLOOKUP($C120,PMGR!$CU$2:$DG$250,135,0)</f>
        <v>0</v>
      </c>
      <c r="BE120" s="106">
        <f>+HLOOKUP($C120,PMGR!$CU$2:$DG$250,136,0)</f>
        <v>0</v>
      </c>
      <c r="BF120" s="106">
        <f>+HLOOKUP($C120,PMGR!$CU$2:$DG$250,138,0)</f>
        <v>0</v>
      </c>
      <c r="BG120" s="106">
        <f>+HLOOKUP($C120,PMGR!$CU$2:$DG$250,139,0)</f>
        <v>3830.12</v>
      </c>
      <c r="BH120" s="106">
        <f>+HLOOKUP($C120,PMGR!$CU$2:$DG$250,140,0)</f>
        <v>13500</v>
      </c>
      <c r="BI120" s="106">
        <f>+HLOOKUP($C120,PMGR!$CU$2:$DG$250,141,0)</f>
        <v>36853.700000000004</v>
      </c>
      <c r="BJ120" s="106">
        <f>+HLOOKUP($C120,PMGR!$CU$2:$DG$250,142,0)</f>
        <v>0</v>
      </c>
      <c r="BK120" s="106">
        <f>+HLOOKUP($C120,PMGR!$CU$2:$DG$250,143,0)</f>
        <v>14452.166666666666</v>
      </c>
      <c r="BL120" s="106">
        <f>+HLOOKUP($C120,PMGR!$CU$2:$DG$250,144,0)</f>
        <v>0</v>
      </c>
      <c r="BM120" s="106">
        <f>+HLOOKUP($C120,PMGR!$CU$2:$DG$250,146,0)</f>
        <v>0</v>
      </c>
      <c r="BN120" s="106">
        <f>+HLOOKUP($C120,PMGR!$CU$2:$DG$250,147,0)</f>
        <v>48015</v>
      </c>
      <c r="BO120" s="106">
        <f>+HLOOKUP($C120,PMGR!$CU$2:$DG$250,148,0)</f>
        <v>0</v>
      </c>
      <c r="BP120" s="106">
        <f>+HLOOKUP($C120,PMGR!$CU$2:$DG$250,150,0)</f>
        <v>23759.399999999998</v>
      </c>
      <c r="BQ120" s="106">
        <f>+HLOOKUP($C120,PMGR!$CU$2:$DG$250,151,0)</f>
        <v>1488.3</v>
      </c>
      <c r="BR120" s="106">
        <f>+HLOOKUP($C120,PMGR!$CU$2:$DG$250,152,0)</f>
        <v>9600</v>
      </c>
      <c r="BS120" s="106">
        <f>+HLOOKUP($C120,PMGR!$CU$2:$DG$250,153,0)</f>
        <v>480</v>
      </c>
      <c r="BT120" s="106">
        <f>+HLOOKUP($C120,PMGR!$CU$2:$DG$250,157,0)</f>
        <v>165000</v>
      </c>
      <c r="BU120" s="106">
        <f>+HLOOKUP($C120,PMGR!$CU$2:$DG$250,158,0)</f>
        <v>0</v>
      </c>
      <c r="BV120" s="106">
        <f>+HLOOKUP($C120,PMGR!$CU$2:$DG$250,159,0)</f>
        <v>204.29999999999998</v>
      </c>
      <c r="BW120" s="106">
        <f>+HLOOKUP($C120,PMGR!$CU$2:$DG$250,160,0)</f>
        <v>49773.16</v>
      </c>
      <c r="BX120" s="106">
        <f>+HLOOKUP($C120,PMGR!$CU$2:$DG$250,161,0)</f>
        <v>14039.005099999998</v>
      </c>
      <c r="BY120" s="106">
        <f>+HLOOKUP($C120,PMGR!$CU$2:$DG$250,164,0)</f>
        <v>3330.3599999999997</v>
      </c>
      <c r="BZ120" s="106">
        <f>+HLOOKUP($C120,PMGR!$CU$2:$DG$250,165,0)</f>
        <v>0</v>
      </c>
      <c r="CA120" s="106">
        <f>+HLOOKUP($C120,PMGR!$CU$2:$DG$250,166,0)</f>
        <v>0</v>
      </c>
      <c r="CB120" s="106">
        <f>+HLOOKUP($C120,PMGR!$CU$2:$DG$250,167,0)</f>
        <v>0</v>
      </c>
      <c r="CC120" s="106">
        <f>+HLOOKUP($C120,PMGR!$CU$2:$DG$250,168,0)</f>
        <v>0</v>
      </c>
      <c r="CD120" s="106">
        <f>+HLOOKUP($C120,PMGR!$CU$2:$DG$250,169,0)</f>
        <v>712.2050999999999</v>
      </c>
      <c r="CE120" s="106">
        <f>+HLOOKUP($C120,PMGR!$CU$2:$DG$250,170,0)</f>
        <v>0</v>
      </c>
      <c r="CF120" s="106">
        <f>+HLOOKUP($C120,PMGR!$CU$2:$DG$250,172,0)</f>
        <v>10800</v>
      </c>
      <c r="CG120" s="106">
        <f>+HLOOKUP($C120,PMGR!$CU$2:$DG$250,173,0)</f>
        <v>0</v>
      </c>
      <c r="CH120" s="106">
        <f>+HLOOKUP($C120,PMGR!$CU$2:$DG$250,174,0)</f>
        <v>0</v>
      </c>
      <c r="CI120" s="106">
        <f>+HLOOKUP($C120,PMGR!$CU$2:$DG$250,175,0)</f>
        <v>0</v>
      </c>
      <c r="CJ120" s="106">
        <f>+HLOOKUP($C120,PMGR!$CU$2:$DG$250,176,0)</f>
        <v>1423.2299999999998</v>
      </c>
      <c r="CK120" s="106">
        <f>+HLOOKUP($C120,PMGR!$CU$2:$DG$250,178,0)</f>
        <v>64090.799999999996</v>
      </c>
      <c r="CL120" s="106">
        <f>+HLOOKUP($C120,PMGR!$CU$2:$DG$250,179,0)</f>
        <v>0</v>
      </c>
      <c r="CM120" s="106">
        <f>+HLOOKUP($C120,PMGR!$CU$2:$DG$250,180,0)</f>
        <v>25200</v>
      </c>
      <c r="CN120" s="106">
        <f>+HLOOKUP($C120,PMGR!$CU$2:$DG$250,182,0)</f>
        <v>0</v>
      </c>
      <c r="CO120" s="106">
        <f>+HLOOKUP($C120,PMGR!$CU$2:$DG$250,183,0)</f>
        <v>9464.6999999999989</v>
      </c>
      <c r="CP120" s="106">
        <f>+HLOOKUP($C120,PMGR!$CU$2:$DG$250,184,0)</f>
        <v>0</v>
      </c>
      <c r="CQ120" s="106">
        <f>+HLOOKUP($C120,PMGR!$CU$2:$DG$250,185,0)</f>
        <v>0</v>
      </c>
      <c r="CR120" s="106">
        <f>+HLOOKUP($C120,PMGR!$CU$2:$DG$250,187,0)</f>
        <v>1874.8799999999997</v>
      </c>
      <c r="CS120" s="106">
        <f>+HLOOKUP($C120,PMGR!$CU$2:$DG$250,188,0)</f>
        <v>0</v>
      </c>
      <c r="CT120" s="106">
        <f>+HLOOKUP($C120,PMGR!$CU$2:$DG$250,189,0)</f>
        <v>0</v>
      </c>
      <c r="CU120" s="106">
        <f>+HLOOKUP($C120,PMGR!$CU$2:$DG$250,190,0)</f>
        <v>749.97</v>
      </c>
      <c r="CV120" s="106">
        <f>+HLOOKUP($C120,PMGR!$CU$2:$DG$250,191,0)</f>
        <v>0</v>
      </c>
      <c r="CW120" s="106">
        <f>+HLOOKUP($C120,PMGR!$CU$2:$DG$250,193,0)</f>
        <v>0</v>
      </c>
      <c r="CX120" s="106">
        <f>+HLOOKUP($C120,PMGR!$CU$2:$DG$250,194,0)</f>
        <v>23.849999999999998</v>
      </c>
      <c r="CY120" s="106">
        <f>+HLOOKUP($C120,PMGR!$CU$2:$DG$250,195,0)</f>
        <v>825</v>
      </c>
      <c r="CZ120" s="106">
        <f>+HLOOKUP($C120,PMGR!$CU$2:$DG$250,196,0)</f>
        <v>0</v>
      </c>
      <c r="DA120" s="106">
        <f>+HLOOKUP($C120,PMGR!$CU$2:$DG$250,197,0)</f>
        <v>3961.81</v>
      </c>
      <c r="DB120" s="106">
        <f>+HLOOKUP($C120,PMGR!$CU$2:$DG$250,198,0)</f>
        <v>0</v>
      </c>
      <c r="DC120" s="106">
        <f>+HLOOKUP($C120,PMGR!$CU$2:$DG$250,199,0)</f>
        <v>922.12199999999984</v>
      </c>
      <c r="DD120" s="106">
        <f>+HLOOKUP($C120,PMGR!$CU$2:$DG$250,200,0)</f>
        <v>510</v>
      </c>
      <c r="DE120" s="106">
        <f>+HLOOKUP($C120,PMGR!$CU$2:$DG$250,201,0)</f>
        <v>0</v>
      </c>
      <c r="DF120" s="106">
        <f>+HLOOKUP($C120,PMGR!$CU$2:$DG$250,202,0)</f>
        <v>9.3299999999999994E-2</v>
      </c>
      <c r="DG120" s="106">
        <f>+HLOOKUP($C120,PMGR!$CU$2:$DG$250,203,0)</f>
        <v>-5.1173999999999999</v>
      </c>
      <c r="DH120" s="106">
        <f>+HLOOKUP($C120,PMGR!$CU$2:$DG$250,205,0)</f>
        <v>0</v>
      </c>
      <c r="DI120" s="106">
        <f>+HLOOKUP($C120,PMGR!$CU$2:$DG$250,206,0)</f>
        <v>0</v>
      </c>
      <c r="DJ120" s="106">
        <f>+HLOOKUP($C120,PMGR!$CU$2:$DG$250,207,0)</f>
        <v>1224.5997000000004</v>
      </c>
      <c r="DK120" s="106">
        <f>+HLOOKUP($C120,PMGR!$CU$2:$DG$250,209,0)</f>
        <v>0</v>
      </c>
      <c r="DL120" s="106">
        <f>+HLOOKUP($C120,PMGR!$CU$2:$DG$250,210,0)</f>
        <v>70195.5</v>
      </c>
      <c r="DM120" s="106">
        <f>+HLOOKUP($C120,PMGR!$CU$2:$DG$250,211,0)</f>
        <v>0</v>
      </c>
      <c r="DN120" s="106">
        <f>+HLOOKUP($C120,PMGR!$CU$2:$DG$250,212,0)</f>
        <v>14400</v>
      </c>
      <c r="DO120" s="106">
        <f>+HLOOKUP($C120,PMGR!$CU$2:$DG$250,214,0)</f>
        <v>0</v>
      </c>
      <c r="DP120" s="106">
        <f>+HLOOKUP($C120,PMGR!$CU$2:$DG$250,215,0)</f>
        <v>2250</v>
      </c>
      <c r="DQ120" s="106">
        <f>+HLOOKUP($C120,PMGR!$CU$2:$DG$250,219,0)</f>
        <v>0</v>
      </c>
      <c r="DR120" s="106">
        <f>+HLOOKUP($C120,PMGR!$CU$2:$DG$250,220,0)</f>
        <v>0</v>
      </c>
      <c r="DS120" s="106">
        <f>+HLOOKUP($C120,PMGR!$CU$2:$DG$250,221,0)</f>
        <v>0</v>
      </c>
      <c r="DT120" s="106">
        <f>+HLOOKUP($C120,PMGR!$CU$2:$DG$250,223,0)</f>
        <v>6385.5134999999991</v>
      </c>
      <c r="DU120" s="106">
        <f>+HLOOKUP($C120,PMGR!$CU$2:$DG$250,224,0)</f>
        <v>0</v>
      </c>
      <c r="DV120" s="106">
        <f>+HLOOKUP($C120,PMGR!$CU$2:$DG$250,225,0)</f>
        <v>0</v>
      </c>
      <c r="DW120" s="106">
        <f>+HLOOKUP($C120,PMGR!$CU$2:$DG$250,227,0)</f>
        <v>0</v>
      </c>
      <c r="DX120" s="106">
        <f>+HLOOKUP($C120,PMGR!$CU$2:$DG$250,228,0)</f>
        <v>6064.29</v>
      </c>
      <c r="DY120" s="106">
        <f>+HLOOKUP($C120,PMGR!$CU$2:$DG$250,236,0)</f>
        <v>0</v>
      </c>
      <c r="DZ120" s="106">
        <f>+HLOOKUP($C120,PMGR!$CU$2:$DG$250,237,0)</f>
        <v>92677.085549999989</v>
      </c>
      <c r="EA120" s="106">
        <f>+HLOOKUP($C120,PMGR!$CU$2:$DG$250,238,0)</f>
        <v>29778</v>
      </c>
      <c r="EB120" s="106">
        <f>+HLOOKUP($C120,PMGR!$CU$2:$DG$250,240,0)</f>
        <v>241812.14353571442</v>
      </c>
    </row>
    <row r="121" spans="1:132" hidden="1">
      <c r="A121" t="s">
        <v>271</v>
      </c>
      <c r="B121" t="s">
        <v>217</v>
      </c>
      <c r="C121" s="117">
        <v>45658</v>
      </c>
      <c r="D121" s="106">
        <f t="shared" si="0"/>
        <v>9416063.2792496532</v>
      </c>
      <c r="E121" s="106">
        <f>+HLOOKUP(C121,PMGR!$CU$2:$DG$250,28,0)+HLOOKUP(C121,PMGR!$CU$2:$DG$250,43,0)+HLOOKUP(C121,PMGR!$CU$2:$DG$250,44,0)+HLOOKUP(C121,PMGR!$CU$2:$DG$250,45,0)+HLOOKUP(C121,PMGR!$CU$2:$DG$250,54,0)+HLOOKUP(C121,PMGR!$CU$2:$DG$250,59,0)</f>
        <v>9416063.2792496532</v>
      </c>
      <c r="F121" s="106">
        <f>+HLOOKUP(C121,PMGR!$CU$2:$DG$250,37,0)+HLOOKUP(C121,PMGR!$CU$2:$DG$250,55,0)</f>
        <v>6851319.8299999991</v>
      </c>
      <c r="G121" s="106">
        <f>+HLOOKUP($C121,PMGR!$CU$2:$DG$250,76,0)</f>
        <v>0</v>
      </c>
      <c r="H121" s="106">
        <f>+HLOOKUP($C121,PMGR!$CU$2:$DG$250,77,0)</f>
        <v>0</v>
      </c>
      <c r="I121" s="106">
        <f>+HLOOKUP($C121,PMGR!$CU$2:$DG$250,78,0)</f>
        <v>0</v>
      </c>
      <c r="J121" s="106">
        <f>+HLOOKUP($C121,PMGR!$CU$2:$DG$250,79,0)</f>
        <v>0</v>
      </c>
      <c r="K121" s="106">
        <f>+HLOOKUP($C121,PMGR!$CU$2:$DG$250,80,0)</f>
        <v>0</v>
      </c>
      <c r="L121" s="106">
        <f>+HLOOKUP($C121,PMGR!$CU$2:$DG$250,81,0)</f>
        <v>765</v>
      </c>
      <c r="M121" s="106">
        <f>+HLOOKUP($C121,PMGR!$CU$2:$DG$250,82,0)</f>
        <v>0</v>
      </c>
      <c r="N121" s="106">
        <f>+HLOOKUP($C121,PMGR!$CU$2:$DG$250,83,0)</f>
        <v>0</v>
      </c>
      <c r="O121" s="106">
        <f>+HLOOKUP($C121,PMGR!$CU$2:$DG$250,84,0)</f>
        <v>0</v>
      </c>
      <c r="P121" s="106">
        <f>+HLOOKUP($C121,PMGR!$CU$2:$DG$250,85,0)</f>
        <v>0</v>
      </c>
      <c r="Q121" s="106">
        <f>+HLOOKUP($C121,PMGR!$CU$2:$DG$250,87,0)</f>
        <v>44713.4</v>
      </c>
      <c r="R121" s="106">
        <f>+HLOOKUP($C121,PMGR!$CU$2:$DG$250,90,0)</f>
        <v>0</v>
      </c>
      <c r="S121" s="106">
        <f>+HLOOKUP($C121,PMGR!$CU$2:$DG$250,91,0)</f>
        <v>900</v>
      </c>
      <c r="T121" s="106">
        <f>+HLOOKUP($C121,PMGR!$CU$2:$DG$250,92,0)</f>
        <v>486.375</v>
      </c>
      <c r="U121" s="106">
        <f>+HLOOKUP($C121,PMGR!$CU$2:$DG$250,93,0)</f>
        <v>0</v>
      </c>
      <c r="V121" s="106">
        <f>+HLOOKUP($C121,PMGR!$CU$2:$DG$250,94,0)</f>
        <v>0</v>
      </c>
      <c r="W121" s="106">
        <f>+HLOOKUP($C121,PMGR!$CU$2:$DG$250,95,0)</f>
        <v>6937.5</v>
      </c>
      <c r="X121" s="106">
        <f>+HLOOKUP($C121,PMGR!$CU$2:$DG$250,96,0)</f>
        <v>0</v>
      </c>
      <c r="Y121" s="106">
        <f>+HLOOKUP($C121,PMGR!$CU$2:$DG$250,97,0)</f>
        <v>0</v>
      </c>
      <c r="Z121" s="106">
        <f>+HLOOKUP($C121,PMGR!$CU$2:$DG$250,98,0)</f>
        <v>0</v>
      </c>
      <c r="AA121" s="106">
        <f>+HLOOKUP($C121,PMGR!$CU$2:$DG$250,99,0)</f>
        <v>0</v>
      </c>
      <c r="AB121" s="106">
        <f>+HLOOKUP($C121,PMGR!$CU$2:$DG$250,100,0)</f>
        <v>0</v>
      </c>
      <c r="AC121" s="106">
        <f>+HLOOKUP($C121,PMGR!$CU$2:$DG$250,101,0)</f>
        <v>24007.059999999998</v>
      </c>
      <c r="AD121" s="106">
        <f>+HLOOKUP($C121,PMGR!$CU$2:$DG$250,104,0)</f>
        <v>0</v>
      </c>
      <c r="AE121" s="106">
        <f>+HLOOKUP($C121,PMGR!$CU$2:$DG$250,105,0)</f>
        <v>0</v>
      </c>
      <c r="AF121" s="106">
        <f>+HLOOKUP($C121,PMGR!$CU$2:$DG$250,106,0)</f>
        <v>0</v>
      </c>
      <c r="AG121" s="106">
        <f>+HLOOKUP($C121,PMGR!$CU$2:$DG$250,107,0)</f>
        <v>0</v>
      </c>
      <c r="AH121" s="106">
        <f>+HLOOKUP($C121,PMGR!$CU$2:$DG$250,108,0)</f>
        <v>0</v>
      </c>
      <c r="AI121" s="106">
        <f>+HLOOKUP($C121,PMGR!$CU$2:$DG$250,109,0)</f>
        <v>0</v>
      </c>
      <c r="AJ121" s="106">
        <f>+HLOOKUP($C121,PMGR!$CU$2:$DG$250,110,0)</f>
        <v>0</v>
      </c>
      <c r="AK121" s="106">
        <f>+HLOOKUP($C121,PMGR!$CU$2:$DG$250,111,0)</f>
        <v>12250</v>
      </c>
      <c r="AL121" s="106">
        <f>+HLOOKUP($C121,PMGR!$CU$2:$DG$250,112,0)</f>
        <v>0</v>
      </c>
      <c r="AM121" s="106">
        <f>+HLOOKUP($C121,PMGR!$CU$2:$DG$250,116,0)</f>
        <v>294240</v>
      </c>
      <c r="AN121" s="106">
        <f>+HLOOKUP($C121,PMGR!$CU$2:$DG$250,117,0)</f>
        <v>43597</v>
      </c>
      <c r="AO121" s="106">
        <f>+HLOOKUP($C121,PMGR!$CU$2:$DG$250,118,0)</f>
        <v>3000</v>
      </c>
      <c r="AP121" s="106">
        <f>+HLOOKUP($C121,PMGR!$CU$2:$DG$250,119,0)</f>
        <v>95792</v>
      </c>
      <c r="AQ121" s="106">
        <f>+HLOOKUP($C121,PMGR!$CU$2:$DG$250,120,0)</f>
        <v>23242</v>
      </c>
      <c r="AR121" s="106">
        <f>+HLOOKUP($C121,PMGR!$CU$2:$DG$250,121,0)</f>
        <v>11868</v>
      </c>
      <c r="AS121" s="106">
        <f>+HLOOKUP($C121,PMGR!$CU$2:$DG$250,122,0)</f>
        <v>119426</v>
      </c>
      <c r="AT121" s="106">
        <f>+HLOOKUP($C121,PMGR!$CU$2:$DG$250,123,0)</f>
        <v>46764</v>
      </c>
      <c r="AU121" s="106">
        <f>+HLOOKUP($C121,PMGR!$CU$2:$DG$250,124,0)</f>
        <v>9972</v>
      </c>
      <c r="AV121" s="106">
        <f>+HLOOKUP($C121,PMGR!$CU$2:$DG$250,125,0)</f>
        <v>23535</v>
      </c>
      <c r="AW121" s="106">
        <f>+HLOOKUP($C121,PMGR!$CU$2:$DG$250,126,0)</f>
        <v>14716.346153846156</v>
      </c>
      <c r="AX121" s="106">
        <f>+HLOOKUP($C121,PMGR!$CU$2:$DG$250,127,0)</f>
        <v>20216.666666666664</v>
      </c>
      <c r="AY121" s="106">
        <f>+HLOOKUP($C121,PMGR!$CU$2:$DG$250,129,0)</f>
        <v>0</v>
      </c>
      <c r="AZ121" s="106">
        <f>+HLOOKUP($C121,PMGR!$CU$2:$DG$250,130,0)</f>
        <v>0</v>
      </c>
      <c r="BA121" s="106">
        <f>+HLOOKUP($C121,PMGR!$CU$2:$DG$250,131,0)</f>
        <v>0</v>
      </c>
      <c r="BB121" s="106">
        <f>+HLOOKUP($C121,PMGR!$CU$2:$DG$250,133,0)</f>
        <v>0</v>
      </c>
      <c r="BC121" s="106">
        <f>+HLOOKUP($C121,PMGR!$CU$2:$DG$250,134,0)</f>
        <v>8778.4399999999987</v>
      </c>
      <c r="BD121" s="106">
        <f>+HLOOKUP($C121,PMGR!$CU$2:$DG$250,135,0)</f>
        <v>0</v>
      </c>
      <c r="BE121" s="106">
        <f>+HLOOKUP($C121,PMGR!$CU$2:$DG$250,136,0)</f>
        <v>0</v>
      </c>
      <c r="BF121" s="106">
        <f>+HLOOKUP($C121,PMGR!$CU$2:$DG$250,138,0)</f>
        <v>0</v>
      </c>
      <c r="BG121" s="106">
        <f>+HLOOKUP($C121,PMGR!$CU$2:$DG$250,139,0)</f>
        <v>16766.400000000001</v>
      </c>
      <c r="BH121" s="106">
        <f>+HLOOKUP($C121,PMGR!$CU$2:$DG$250,140,0)</f>
        <v>13500</v>
      </c>
      <c r="BI121" s="106">
        <f>+HLOOKUP($C121,PMGR!$CU$2:$DG$250,141,0)</f>
        <v>0</v>
      </c>
      <c r="BJ121" s="106">
        <f>+HLOOKUP($C121,PMGR!$CU$2:$DG$250,142,0)</f>
        <v>0</v>
      </c>
      <c r="BK121" s="106">
        <f>+HLOOKUP($C121,PMGR!$CU$2:$DG$250,143,0)</f>
        <v>14452.166666666666</v>
      </c>
      <c r="BL121" s="106">
        <f>+HLOOKUP($C121,PMGR!$CU$2:$DG$250,144,0)</f>
        <v>225</v>
      </c>
      <c r="BM121" s="106">
        <f>+HLOOKUP($C121,PMGR!$CU$2:$DG$250,146,0)</f>
        <v>0</v>
      </c>
      <c r="BN121" s="106">
        <f>+HLOOKUP($C121,PMGR!$CU$2:$DG$250,147,0)</f>
        <v>41200</v>
      </c>
      <c r="BO121" s="106">
        <f>+HLOOKUP($C121,PMGR!$CU$2:$DG$250,148,0)</f>
        <v>0</v>
      </c>
      <c r="BP121" s="106">
        <f>+HLOOKUP($C121,PMGR!$CU$2:$DG$250,150,0)</f>
        <v>23622.899999999998</v>
      </c>
      <c r="BQ121" s="106">
        <f>+HLOOKUP($C121,PMGR!$CU$2:$DG$250,151,0)</f>
        <v>1488.3</v>
      </c>
      <c r="BR121" s="106">
        <f>+HLOOKUP($C121,PMGR!$CU$2:$DG$250,152,0)</f>
        <v>9600</v>
      </c>
      <c r="BS121" s="106">
        <f>+HLOOKUP($C121,PMGR!$CU$2:$DG$250,153,0)</f>
        <v>480</v>
      </c>
      <c r="BT121" s="106">
        <f>+HLOOKUP($C121,PMGR!$CU$2:$DG$250,157,0)</f>
        <v>0</v>
      </c>
      <c r="BU121" s="106">
        <f>+HLOOKUP($C121,PMGR!$CU$2:$DG$250,158,0)</f>
        <v>0</v>
      </c>
      <c r="BV121" s="106">
        <f>+HLOOKUP($C121,PMGR!$CU$2:$DG$250,159,0)</f>
        <v>1413.2339999999999</v>
      </c>
      <c r="BW121" s="106">
        <f>+HLOOKUP($C121,PMGR!$CU$2:$DG$250,160,0)</f>
        <v>41703</v>
      </c>
      <c r="BX121" s="106">
        <f>+HLOOKUP($C121,PMGR!$CU$2:$DG$250,161,0)</f>
        <v>4001.4407999999999</v>
      </c>
      <c r="BY121" s="106">
        <f>+HLOOKUP($C121,PMGR!$CU$2:$DG$250,164,0)</f>
        <v>1773.12</v>
      </c>
      <c r="BZ121" s="106">
        <f>+HLOOKUP($C121,PMGR!$CU$2:$DG$250,165,0)</f>
        <v>23332.95</v>
      </c>
      <c r="CA121" s="106">
        <f>+HLOOKUP($C121,PMGR!$CU$2:$DG$250,166,0)</f>
        <v>0</v>
      </c>
      <c r="CB121" s="106">
        <f>+HLOOKUP($C121,PMGR!$CU$2:$DG$250,167,0)</f>
        <v>0</v>
      </c>
      <c r="CC121" s="106">
        <f>+HLOOKUP($C121,PMGR!$CU$2:$DG$250,168,0)</f>
        <v>0</v>
      </c>
      <c r="CD121" s="106">
        <f>+HLOOKUP($C121,PMGR!$CU$2:$DG$250,169,0)</f>
        <v>1592.7719999999999</v>
      </c>
      <c r="CE121" s="106">
        <f>+HLOOKUP($C121,PMGR!$CU$2:$DG$250,170,0)</f>
        <v>0</v>
      </c>
      <c r="CF121" s="106">
        <f>+HLOOKUP($C121,PMGR!$CU$2:$DG$250,172,0)</f>
        <v>10800</v>
      </c>
      <c r="CG121" s="106">
        <f>+HLOOKUP($C121,PMGR!$CU$2:$DG$250,173,0)</f>
        <v>0</v>
      </c>
      <c r="CH121" s="106">
        <f>+HLOOKUP($C121,PMGR!$CU$2:$DG$250,174,0)</f>
        <v>49362</v>
      </c>
      <c r="CI121" s="106">
        <f>+HLOOKUP($C121,PMGR!$CU$2:$DG$250,175,0)</f>
        <v>15882.800000000001</v>
      </c>
      <c r="CJ121" s="106">
        <f>+HLOOKUP($C121,PMGR!$CU$2:$DG$250,176,0)</f>
        <v>1423.2299999999998</v>
      </c>
      <c r="CK121" s="106">
        <f>+HLOOKUP($C121,PMGR!$CU$2:$DG$250,178,0)</f>
        <v>50766.400000000001</v>
      </c>
      <c r="CL121" s="106">
        <f>+HLOOKUP($C121,PMGR!$CU$2:$DG$250,179,0)</f>
        <v>7610.7</v>
      </c>
      <c r="CM121" s="106">
        <f>+HLOOKUP($C121,PMGR!$CU$2:$DG$250,180,0)</f>
        <v>7980</v>
      </c>
      <c r="CN121" s="106">
        <f>+HLOOKUP($C121,PMGR!$CU$2:$DG$250,182,0)</f>
        <v>7137.53</v>
      </c>
      <c r="CO121" s="106">
        <f>+HLOOKUP($C121,PMGR!$CU$2:$DG$250,183,0)</f>
        <v>0</v>
      </c>
      <c r="CP121" s="106">
        <f>+HLOOKUP($C121,PMGR!$CU$2:$DG$250,184,0)</f>
        <v>0</v>
      </c>
      <c r="CQ121" s="106">
        <f>+HLOOKUP($C121,PMGR!$CU$2:$DG$250,185,0)</f>
        <v>0</v>
      </c>
      <c r="CR121" s="106">
        <f>+HLOOKUP($C121,PMGR!$CU$2:$DG$250,187,0)</f>
        <v>1874.8799999999997</v>
      </c>
      <c r="CS121" s="106">
        <f>+HLOOKUP($C121,PMGR!$CU$2:$DG$250,188,0)</f>
        <v>1350</v>
      </c>
      <c r="CT121" s="106">
        <f>+HLOOKUP($C121,PMGR!$CU$2:$DG$250,189,0)</f>
        <v>0</v>
      </c>
      <c r="CU121" s="106">
        <f>+HLOOKUP($C121,PMGR!$CU$2:$DG$250,190,0)</f>
        <v>749.97</v>
      </c>
      <c r="CV121" s="106">
        <f>+HLOOKUP($C121,PMGR!$CU$2:$DG$250,191,0)</f>
        <v>0</v>
      </c>
      <c r="CW121" s="106">
        <f>+HLOOKUP($C121,PMGR!$CU$2:$DG$250,193,0)</f>
        <v>3706.3</v>
      </c>
      <c r="CX121" s="106">
        <f>+HLOOKUP($C121,PMGR!$CU$2:$DG$250,194,0)</f>
        <v>23.849999999999998</v>
      </c>
      <c r="CY121" s="106">
        <f>+HLOOKUP($C121,PMGR!$CU$2:$DG$250,195,0)</f>
        <v>825</v>
      </c>
      <c r="CZ121" s="106">
        <f>+HLOOKUP($C121,PMGR!$CU$2:$DG$250,196,0)</f>
        <v>0</v>
      </c>
      <c r="DA121" s="106">
        <f>+HLOOKUP($C121,PMGR!$CU$2:$DG$250,197,0)</f>
        <v>4143.2550000000001</v>
      </c>
      <c r="DB121" s="106">
        <f>+HLOOKUP($C121,PMGR!$CU$2:$DG$250,198,0)</f>
        <v>22729.462</v>
      </c>
      <c r="DC121" s="106">
        <f>+HLOOKUP($C121,PMGR!$CU$2:$DG$250,199,0)</f>
        <v>609.06899999999996</v>
      </c>
      <c r="DD121" s="106">
        <f>+HLOOKUP($C121,PMGR!$CU$2:$DG$250,200,0)</f>
        <v>1294</v>
      </c>
      <c r="DE121" s="106">
        <f>+HLOOKUP($C121,PMGR!$CU$2:$DG$250,201,0)</f>
        <v>0</v>
      </c>
      <c r="DF121" s="106">
        <f>+HLOOKUP($C121,PMGR!$CU$2:$DG$250,202,0)</f>
        <v>-3.2787999999999999</v>
      </c>
      <c r="DG121" s="106">
        <f>+HLOOKUP($C121,PMGR!$CU$2:$DG$250,203,0)</f>
        <v>-1.5938999999999999</v>
      </c>
      <c r="DH121" s="106">
        <f>+HLOOKUP($C121,PMGR!$CU$2:$DG$250,205,0)</f>
        <v>0</v>
      </c>
      <c r="DI121" s="106">
        <f>+HLOOKUP($C121,PMGR!$CU$2:$DG$250,206,0)</f>
        <v>0</v>
      </c>
      <c r="DJ121" s="106">
        <f>+HLOOKUP($C121,PMGR!$CU$2:$DG$250,207,0)</f>
        <v>0</v>
      </c>
      <c r="DK121" s="106">
        <f>+HLOOKUP($C121,PMGR!$CU$2:$DG$250,209,0)</f>
        <v>0</v>
      </c>
      <c r="DL121" s="106">
        <f>+HLOOKUP($C121,PMGR!$CU$2:$DG$250,210,0)</f>
        <v>70195.5</v>
      </c>
      <c r="DM121" s="106">
        <f>+HLOOKUP($C121,PMGR!$CU$2:$DG$250,211,0)</f>
        <v>0</v>
      </c>
      <c r="DN121" s="106">
        <f>+HLOOKUP($C121,PMGR!$CU$2:$DG$250,212,0)</f>
        <v>14400</v>
      </c>
      <c r="DO121" s="106">
        <f>+HLOOKUP($C121,PMGR!$CU$2:$DG$250,214,0)</f>
        <v>0</v>
      </c>
      <c r="DP121" s="106">
        <f>+HLOOKUP($C121,PMGR!$CU$2:$DG$250,215,0)</f>
        <v>690</v>
      </c>
      <c r="DQ121" s="106">
        <f>+HLOOKUP($C121,PMGR!$CU$2:$DG$250,219,0)</f>
        <v>0</v>
      </c>
      <c r="DR121" s="106">
        <f>+HLOOKUP($C121,PMGR!$CU$2:$DG$250,220,0)</f>
        <v>0</v>
      </c>
      <c r="DS121" s="106">
        <f>+HLOOKUP($C121,PMGR!$CU$2:$DG$250,221,0)</f>
        <v>0</v>
      </c>
      <c r="DT121" s="106">
        <f>+HLOOKUP($C121,PMGR!$CU$2:$DG$250,223,0)</f>
        <v>11922.452099999997</v>
      </c>
      <c r="DU121" s="106">
        <f>+HLOOKUP($C121,PMGR!$CU$2:$DG$250,224,0)</f>
        <v>0</v>
      </c>
      <c r="DV121" s="106">
        <f>+HLOOKUP($C121,PMGR!$CU$2:$DG$250,225,0)</f>
        <v>0</v>
      </c>
      <c r="DW121" s="106">
        <f>+HLOOKUP($C121,PMGR!$CU$2:$DG$250,227,0)</f>
        <v>0</v>
      </c>
      <c r="DX121" s="106">
        <f>+HLOOKUP($C121,PMGR!$CU$2:$DG$250,228,0)</f>
        <v>8215.83</v>
      </c>
      <c r="DY121" s="106">
        <f>+HLOOKUP($C121,PMGR!$CU$2:$DG$250,236,0)</f>
        <v>173088.80000000002</v>
      </c>
      <c r="DZ121" s="106">
        <f>+HLOOKUP($C121,PMGR!$CU$2:$DG$250,237,0)</f>
        <v>103829.96232000001</v>
      </c>
      <c r="EA121" s="106">
        <f>+HLOOKUP($C121,PMGR!$CU$2:$DG$250,238,0)</f>
        <v>31526.800000000003</v>
      </c>
      <c r="EB121" s="106">
        <f>+HLOOKUP($C121,PMGR!$CU$2:$DG$250,240,0)</f>
        <v>241812.14353571442</v>
      </c>
    </row>
    <row r="122" spans="1:132" hidden="1">
      <c r="A122" t="s">
        <v>271</v>
      </c>
      <c r="B122" t="s">
        <v>217</v>
      </c>
      <c r="C122" s="117">
        <v>45627</v>
      </c>
      <c r="D122" s="106">
        <f t="shared" ref="D122" si="3">+E122</f>
        <v>10302654.801883612</v>
      </c>
      <c r="E122" s="106">
        <f>+HLOOKUP(C122,PMGR!$CG$2:$CS$250,28,0)+HLOOKUP(C122,PMGR!$CG$2:$CS$250,43,0)+HLOOKUP(C122,PMGR!$CG$2:$CS$250,44,0)+HLOOKUP(C122,PMGR!$CG$2:$CS$250,45,0)+HLOOKUP(C122,PMGR!$CG$2:$CS$250,54,0)+HLOOKUP(C122,PMGR!$CG$2:$CS$250,59,0)</f>
        <v>10302654.801883612</v>
      </c>
      <c r="F122" s="106">
        <f>+HLOOKUP(C122,PMGR!$CG$2:$CS$250,37,0)+HLOOKUP(C122,PMGR!$CG$2:$CS$250,55,0)</f>
        <v>5443246.6599999983</v>
      </c>
      <c r="G122" s="106">
        <f>+HLOOKUP($C122,PMGR!$CG$2:$CS$250,76,0)</f>
        <v>0</v>
      </c>
      <c r="H122" s="106">
        <f>+HLOOKUP($C122,PMGR!$CG$2:$CS$250,77,0)</f>
        <v>0</v>
      </c>
      <c r="I122" s="106">
        <f>+HLOOKUP($C122,PMGR!$CG$2:$CS$250,78,0)</f>
        <v>0</v>
      </c>
      <c r="J122" s="106">
        <f>+HLOOKUP($C122,PMGR!$CG$2:$CS$250,79,0)</f>
        <v>0</v>
      </c>
      <c r="K122" s="106">
        <f>+HLOOKUP($C122,PMGR!$CG$2:$CS$250,80,0)</f>
        <v>0</v>
      </c>
      <c r="L122" s="106">
        <f>+HLOOKUP($C122,PMGR!$CG$2:$CS$250,81,0)</f>
        <v>0</v>
      </c>
      <c r="M122" s="106">
        <f>+HLOOKUP($C122,PMGR!$CG$2:$CS$250,82,0)</f>
        <v>0</v>
      </c>
      <c r="N122" s="106">
        <f>+HLOOKUP($C122,PMGR!$CG$2:$CS$250,83,0)</f>
        <v>0</v>
      </c>
      <c r="O122" s="106">
        <f>+HLOOKUP($C122,PMGR!$CG$2:$CS$250,84,0)</f>
        <v>0</v>
      </c>
      <c r="P122" s="106">
        <f>+HLOOKUP($C122,PMGR!$CG$2:$CS$250,85,0)</f>
        <v>0</v>
      </c>
      <c r="Q122" s="106">
        <f>+HLOOKUP($C122,PMGR!$CG$2:$CS$250,87,0)</f>
        <v>157448.29999999999</v>
      </c>
      <c r="R122" s="106">
        <f>+HLOOKUP($C122,PMGR!$CG$2:$CS$250,90,0)</f>
        <v>0</v>
      </c>
      <c r="S122" s="106">
        <f>+HLOOKUP($C122,PMGR!$CG$2:$CS$250,91,0)</f>
        <v>740</v>
      </c>
      <c r="T122" s="106">
        <f>+HLOOKUP($C122,PMGR!$CG$2:$CS$250,92,0)</f>
        <v>883.82100000000003</v>
      </c>
      <c r="U122" s="106">
        <f>+HLOOKUP($C122,PMGR!$CG$2:$CS$250,93,0)</f>
        <v>0</v>
      </c>
      <c r="V122" s="106">
        <f>+HLOOKUP($C122,PMGR!$CG$2:$CS$250,94,0)</f>
        <v>0</v>
      </c>
      <c r="W122" s="106">
        <f>+HLOOKUP($C122,PMGR!$CG$2:$CS$250,95,0)</f>
        <v>0</v>
      </c>
      <c r="X122" s="106">
        <f>+HLOOKUP($C122,PMGR!$CG$2:$CS$250,96,0)</f>
        <v>0</v>
      </c>
      <c r="Y122" s="106">
        <f>+HLOOKUP($C122,PMGR!$CG$2:$CS$250,97,0)</f>
        <v>0</v>
      </c>
      <c r="Z122" s="106">
        <f>+HLOOKUP($C122,PMGR!$CG$2:$CS$250,98,0)</f>
        <v>0</v>
      </c>
      <c r="AA122" s="106">
        <f>+HLOOKUP($C122,PMGR!$CG$2:$CS$250,99,0)</f>
        <v>0</v>
      </c>
      <c r="AB122" s="106">
        <f>+HLOOKUP($C122,PMGR!$CG$2:$CS$250,100,0)</f>
        <v>0</v>
      </c>
      <c r="AC122" s="106">
        <f>+HLOOKUP($C122,PMGR!$CG$2:$CS$250,101,0)</f>
        <v>26524.799999999999</v>
      </c>
      <c r="AD122" s="106">
        <f>+HLOOKUP($C122,PMGR!$CG$2:$CS$250,104,0)</f>
        <v>0</v>
      </c>
      <c r="AE122" s="106">
        <f>+HLOOKUP($C122,PMGR!$CG$2:$CS$250,105,0)</f>
        <v>0</v>
      </c>
      <c r="AF122" s="106">
        <f>+HLOOKUP($C122,PMGR!$CG$2:$CS$250,106,0)</f>
        <v>0</v>
      </c>
      <c r="AG122" s="106">
        <f>+HLOOKUP($C122,PMGR!$CG$2:$CS$250,107,0)</f>
        <v>0</v>
      </c>
      <c r="AH122" s="106">
        <f>+HLOOKUP($C122,PMGR!$CG$2:$CS$250,108,0)</f>
        <v>2950</v>
      </c>
      <c r="AI122" s="106">
        <f>+HLOOKUP($C122,PMGR!$CG$2:$CS$250,109,0)</f>
        <v>0</v>
      </c>
      <c r="AJ122" s="106">
        <f>+HLOOKUP($C122,PMGR!$CG$2:$CS$250,110,0)</f>
        <v>0</v>
      </c>
      <c r="AK122" s="106">
        <f>+HLOOKUP($C122,PMGR!$CG$2:$CS$250,111,0)</f>
        <v>403025</v>
      </c>
      <c r="AL122" s="106">
        <f>+HLOOKUP($C122,PMGR!$CG$2:$CS$250,112,0)</f>
        <v>0</v>
      </c>
      <c r="AM122" s="106">
        <f>+HLOOKUP($C122,PMGR!$CG$2:$CS$250,116,0)</f>
        <v>262171</v>
      </c>
      <c r="AN122" s="106">
        <f>+HLOOKUP($C122,PMGR!$CG$2:$CS$250,117,0)</f>
        <v>44608</v>
      </c>
      <c r="AO122" s="106">
        <f>+HLOOKUP($C122,PMGR!$CG$2:$CS$250,118,0)</f>
        <v>3000</v>
      </c>
      <c r="AP122" s="106">
        <f>+HLOOKUP($C122,PMGR!$CG$2:$CS$250,119,0)</f>
        <v>95829</v>
      </c>
      <c r="AQ122" s="106">
        <f>+HLOOKUP($C122,PMGR!$CG$2:$CS$250,120,0)</f>
        <v>25103</v>
      </c>
      <c r="AR122" s="106">
        <f>+HLOOKUP($C122,PMGR!$CG$2:$CS$250,121,0)</f>
        <v>6553</v>
      </c>
      <c r="AS122" s="106">
        <f>+HLOOKUP($C122,PMGR!$CG$2:$CS$250,122,0)</f>
        <v>101064</v>
      </c>
      <c r="AT122" s="106">
        <f>+HLOOKUP($C122,PMGR!$CG$2:$CS$250,123,0)</f>
        <v>10489.96</v>
      </c>
      <c r="AU122" s="106">
        <f>+HLOOKUP($C122,PMGR!$CG$2:$CS$250,124,0)</f>
        <v>28800</v>
      </c>
      <c r="AV122" s="106">
        <f>+HLOOKUP($C122,PMGR!$CG$2:$CS$250,125,0)</f>
        <v>22365</v>
      </c>
      <c r="AW122" s="106">
        <f>+HLOOKUP($C122,PMGR!$CG$2:$CS$250,126,0)</f>
        <v>18911.170192307691</v>
      </c>
      <c r="AX122" s="106">
        <f>+HLOOKUP($C122,PMGR!$CG$2:$CS$250,127,0)</f>
        <v>24153.510000000002</v>
      </c>
      <c r="AY122" s="106">
        <f>+HLOOKUP($C122,PMGR!$CG$2:$CS$250,129,0)</f>
        <v>0</v>
      </c>
      <c r="AZ122" s="106">
        <f>+HLOOKUP($C122,PMGR!$CG$2:$CS$250,130,0)</f>
        <v>0</v>
      </c>
      <c r="BA122" s="106">
        <f>+HLOOKUP($C122,PMGR!$CG$2:$CS$250,131,0)</f>
        <v>63783.333333333336</v>
      </c>
      <c r="BB122" s="106">
        <f>+HLOOKUP($C122,PMGR!$CG$2:$CS$250,133,0)</f>
        <v>0</v>
      </c>
      <c r="BC122" s="106">
        <f>+HLOOKUP($C122,PMGR!$CG$2:$CS$250,134,0)</f>
        <v>34886.991399999999</v>
      </c>
      <c r="BD122" s="106">
        <f>+HLOOKUP($C122,PMGR!$CG$2:$CS$250,135,0)</f>
        <v>0</v>
      </c>
      <c r="BE122" s="106">
        <f>+HLOOKUP($C122,PMGR!$CG$2:$CS$250,136,0)</f>
        <v>0</v>
      </c>
      <c r="BF122" s="106">
        <f>+HLOOKUP($C122,PMGR!$CG$2:$CS$250,138,0)</f>
        <v>559.5</v>
      </c>
      <c r="BG122" s="106">
        <f>+HLOOKUP($C122,PMGR!$CG$2:$CS$250,139,0)</f>
        <v>13030.33</v>
      </c>
      <c r="BH122" s="106">
        <f>+HLOOKUP($C122,PMGR!$CG$2:$CS$250,140,0)</f>
        <v>7500</v>
      </c>
      <c r="BI122" s="106">
        <f>+HLOOKUP($C122,PMGR!$CG$2:$CS$250,141,0)</f>
        <v>0</v>
      </c>
      <c r="BJ122" s="106">
        <f>+HLOOKUP($C122,PMGR!$CG$2:$CS$250,142,0)</f>
        <v>0</v>
      </c>
      <c r="BK122" s="106">
        <f>+HLOOKUP($C122,PMGR!$CG$2:$CS$250,143,0)</f>
        <v>0</v>
      </c>
      <c r="BL122" s="106">
        <f>+HLOOKUP($C122,PMGR!$CG$2:$CS$250,144,0)</f>
        <v>0</v>
      </c>
      <c r="BM122" s="106">
        <f>+HLOOKUP($C122,PMGR!$CG$2:$CS$250,146,0)</f>
        <v>0</v>
      </c>
      <c r="BN122" s="106">
        <f>+HLOOKUP($C122,PMGR!$CG$2:$CS$250,147,0)</f>
        <v>15807.5</v>
      </c>
      <c r="BO122" s="106">
        <f>+HLOOKUP($C122,PMGR!$CG$2:$CS$250,148,0)</f>
        <v>0</v>
      </c>
      <c r="BP122" s="106">
        <f>+HLOOKUP($C122,PMGR!$CG$2:$CS$250,150,0)</f>
        <v>23036.1</v>
      </c>
      <c r="BQ122" s="106">
        <f>+HLOOKUP($C122,PMGR!$CG$2:$CS$250,151,0)</f>
        <v>1417.5</v>
      </c>
      <c r="BR122" s="106">
        <f>+HLOOKUP($C122,PMGR!$CG$2:$CS$250,152,0)</f>
        <v>9600</v>
      </c>
      <c r="BS122" s="106">
        <f>+HLOOKUP($C122,PMGR!$CG$2:$CS$250,153,0)</f>
        <v>9090</v>
      </c>
      <c r="BT122" s="106">
        <f>+HLOOKUP($C122,PMGR!$CG$2:$CS$250,157,0)</f>
        <v>20015.2</v>
      </c>
      <c r="BU122" s="106">
        <f>+HLOOKUP($C122,PMGR!$CG$2:$CS$250,158,0)</f>
        <v>0</v>
      </c>
      <c r="BV122" s="106">
        <f>+HLOOKUP($C122,PMGR!$CG$2:$CS$250,159,0)</f>
        <v>204.29999999999998</v>
      </c>
      <c r="BW122" s="106">
        <f>+HLOOKUP($C122,PMGR!$CG$2:$CS$250,160,0)</f>
        <v>1031</v>
      </c>
      <c r="BX122" s="106">
        <f>+HLOOKUP($C122,PMGR!$CG$2:$CS$250,161,0)</f>
        <v>5588.57</v>
      </c>
      <c r="BY122" s="106">
        <f>+HLOOKUP($C122,PMGR!$CG$2:$CS$250,164,0)</f>
        <v>5858.1280000000006</v>
      </c>
      <c r="BZ122" s="106">
        <f>+HLOOKUP($C122,PMGR!$CG$2:$CS$250,165,0)</f>
        <v>25621.51</v>
      </c>
      <c r="CA122" s="106">
        <f>+HLOOKUP($C122,PMGR!$CG$2:$CS$250,166,0)</f>
        <v>0</v>
      </c>
      <c r="CB122" s="106">
        <f>+HLOOKUP($C122,PMGR!$CG$2:$CS$250,167,0)</f>
        <v>12967.63</v>
      </c>
      <c r="CC122" s="106">
        <f>+HLOOKUP($C122,PMGR!$CG$2:$CS$250,168,0)</f>
        <v>0</v>
      </c>
      <c r="CD122" s="106">
        <f>+HLOOKUP($C122,PMGR!$CG$2:$CS$250,169,0)</f>
        <v>45</v>
      </c>
      <c r="CE122" s="106">
        <f>+HLOOKUP($C122,PMGR!$CG$2:$CS$250,170,0)</f>
        <v>0</v>
      </c>
      <c r="CF122" s="106">
        <f>+HLOOKUP($C122,PMGR!$CG$2:$CS$250,172,0)</f>
        <v>10800</v>
      </c>
      <c r="CG122" s="106">
        <f>+HLOOKUP($C122,PMGR!$CG$2:$CS$250,173,0)</f>
        <v>0</v>
      </c>
      <c r="CH122" s="106">
        <f>+HLOOKUP($C122,PMGR!$CG$2:$CS$250,174,0)</f>
        <v>35538</v>
      </c>
      <c r="CI122" s="106">
        <f>+HLOOKUP($C122,PMGR!$CG$2:$CS$250,175,0)</f>
        <v>4458</v>
      </c>
      <c r="CJ122" s="106">
        <f>+HLOOKUP($C122,PMGR!$CG$2:$CS$250,176,0)</f>
        <v>1198.6199999999999</v>
      </c>
      <c r="CK122" s="106">
        <f>+HLOOKUP($C122,PMGR!$CG$2:$CS$250,178,0)</f>
        <v>42866.400000000001</v>
      </c>
      <c r="CL122" s="106">
        <f>+HLOOKUP($C122,PMGR!$CG$2:$CS$250,179,0)</f>
        <v>0</v>
      </c>
      <c r="CM122" s="106">
        <f>+HLOOKUP($C122,PMGR!$CG$2:$CS$250,180,0)</f>
        <v>18480</v>
      </c>
      <c r="CN122" s="106">
        <f>+HLOOKUP($C122,PMGR!$CG$2:$CS$250,182,0)</f>
        <v>0</v>
      </c>
      <c r="CO122" s="106">
        <f>+HLOOKUP($C122,PMGR!$CG$2:$CS$250,183,0)</f>
        <v>2714.7</v>
      </c>
      <c r="CP122" s="106">
        <f>+HLOOKUP($C122,PMGR!$CG$2:$CS$250,184,0)</f>
        <v>0</v>
      </c>
      <c r="CQ122" s="106">
        <f>+HLOOKUP($C122,PMGR!$CG$2:$CS$250,185,0)</f>
        <v>0</v>
      </c>
      <c r="CR122" s="106">
        <f>+HLOOKUP($C122,PMGR!$CG$2:$CS$250,187,0)</f>
        <v>0</v>
      </c>
      <c r="CS122" s="106">
        <f>+HLOOKUP($C122,PMGR!$CG$2:$CS$250,188,0)</f>
        <v>1350</v>
      </c>
      <c r="CT122" s="106">
        <f>+HLOOKUP($C122,PMGR!$CG$2:$CS$250,189,0)</f>
        <v>0</v>
      </c>
      <c r="CU122" s="106">
        <f>+HLOOKUP($C122,PMGR!$CG$2:$CS$250,190,0)</f>
        <v>749.97</v>
      </c>
      <c r="CV122" s="106">
        <f>+HLOOKUP($C122,PMGR!$CG$2:$CS$250,191,0)</f>
        <v>0</v>
      </c>
      <c r="CW122" s="106">
        <f>+HLOOKUP($C122,PMGR!$CG$2:$CS$250,193,0)</f>
        <v>3706.2</v>
      </c>
      <c r="CX122" s="106">
        <f>+HLOOKUP($C122,PMGR!$CG$2:$CS$250,194,0)</f>
        <v>23.849999999999998</v>
      </c>
      <c r="CY122" s="106">
        <f>+HLOOKUP($C122,PMGR!$CG$2:$CS$250,195,0)</f>
        <v>825</v>
      </c>
      <c r="CZ122" s="106">
        <f>+HLOOKUP($C122,PMGR!$CG$2:$CS$250,196,0)</f>
        <v>0</v>
      </c>
      <c r="DA122" s="106">
        <f>+HLOOKUP($C122,PMGR!$CG$2:$CS$250,197,0)</f>
        <v>2439.3949999999995</v>
      </c>
      <c r="DB122" s="106">
        <f>+HLOOKUP($C122,PMGR!$CG$2:$CS$250,198,0)</f>
        <v>4820.3999999999996</v>
      </c>
      <c r="DC122" s="106">
        <f>+HLOOKUP($C122,PMGR!$CG$2:$CS$250,199,0)</f>
        <v>559.19999999999993</v>
      </c>
      <c r="DD122" s="106">
        <f>+HLOOKUP($C122,PMGR!$CG$2:$CS$250,200,0)</f>
        <v>829.9</v>
      </c>
      <c r="DE122" s="106">
        <f>+HLOOKUP($C122,PMGR!$CG$2:$CS$250,201,0)</f>
        <v>0</v>
      </c>
      <c r="DF122" s="106">
        <f>+HLOOKUP($C122,PMGR!$CG$2:$CS$250,202,0)</f>
        <v>-3.0529999999999999</v>
      </c>
      <c r="DG122" s="106">
        <f>+HLOOKUP($C122,PMGR!$CG$2:$CS$250,203,0)</f>
        <v>0</v>
      </c>
      <c r="DH122" s="106">
        <f>+HLOOKUP($C122,PMGR!$CG$2:$CS$250,205,0)</f>
        <v>0</v>
      </c>
      <c r="DI122" s="106">
        <f>+HLOOKUP($C122,PMGR!$CG$2:$CS$250,206,0)</f>
        <v>3513.9</v>
      </c>
      <c r="DJ122" s="106">
        <f>+HLOOKUP($C122,PMGR!$CG$2:$CS$250,207,0)</f>
        <v>5562.3997000000008</v>
      </c>
      <c r="DK122" s="106">
        <f>+HLOOKUP($C122,PMGR!$CG$2:$CS$250,209,0)</f>
        <v>0</v>
      </c>
      <c r="DL122" s="106">
        <f>+HLOOKUP($C122,PMGR!$CG$2:$CS$250,210,0)</f>
        <v>70195.5</v>
      </c>
      <c r="DM122" s="106">
        <f>+HLOOKUP($C122,PMGR!$CG$2:$CS$250,211,0)</f>
        <v>0</v>
      </c>
      <c r="DN122" s="106">
        <f>+HLOOKUP($C122,PMGR!$CG$2:$CS$250,212,0)</f>
        <v>14400</v>
      </c>
      <c r="DO122" s="106">
        <f>+HLOOKUP($C122,PMGR!$CG$2:$CS$250,214,0)</f>
        <v>0</v>
      </c>
      <c r="DP122" s="106">
        <f>+HLOOKUP($C122,PMGR!$CG$2:$CS$250,215,0)</f>
        <v>390</v>
      </c>
      <c r="DQ122" s="106">
        <f>+HLOOKUP($C122,PMGR!$CG$2:$CS$250,219,0)</f>
        <v>0</v>
      </c>
      <c r="DR122" s="106">
        <f>+HLOOKUP($C122,PMGR!$CG$2:$CS$250,220,0)</f>
        <v>0</v>
      </c>
      <c r="DS122" s="106">
        <f>+HLOOKUP($C122,PMGR!$CG$2:$CS$250,221,0)</f>
        <v>0</v>
      </c>
      <c r="DT122" s="106">
        <f>+HLOOKUP($C122,PMGR!$CG$2:$CS$250,223,0)</f>
        <v>8338.8240000000005</v>
      </c>
      <c r="DU122" s="106">
        <f>+HLOOKUP($C122,PMGR!$CG$2:$CS$250,224,0)</f>
        <v>0</v>
      </c>
      <c r="DV122" s="106">
        <f>+HLOOKUP($C122,PMGR!$CG$2:$CS$250,225,0)</f>
        <v>0</v>
      </c>
      <c r="DW122" s="106">
        <f>+HLOOKUP($C122,PMGR!$CG$2:$CS$250,227,0)</f>
        <v>0</v>
      </c>
      <c r="DX122" s="106">
        <f>+HLOOKUP($C122,PMGR!$CG$2:$CS$250,228,0)</f>
        <v>7664.6699999999992</v>
      </c>
      <c r="DY122" s="106">
        <f>+HLOOKUP($C122,PMGR!$CG$2:$CS$250,236,0)</f>
        <v>177174.40000000002</v>
      </c>
      <c r="DZ122" s="106">
        <f>+HLOOKUP($C122,PMGR!$CG$2:$CS$250,237,0)</f>
        <v>105036.80481</v>
      </c>
      <c r="EA122" s="106">
        <f>+HLOOKUP($C122,PMGR!$CG$2:$CS$250,238,0)</f>
        <v>33263.200000000004</v>
      </c>
      <c r="EB122" s="106">
        <f>+HLOOKUP($C122,PMGR!$CG$2:$CS$250,240,0)</f>
        <v>292179.86691964284</v>
      </c>
    </row>
    <row r="123" spans="1:132" hidden="1">
      <c r="A123" t="s">
        <v>271</v>
      </c>
      <c r="B123" t="s">
        <v>217</v>
      </c>
      <c r="C123" s="117">
        <v>45597</v>
      </c>
      <c r="D123" s="106">
        <f t="shared" ref="D123:D133" si="4">+E123</f>
        <v>11467343.209255185</v>
      </c>
      <c r="E123" s="106">
        <f>+HLOOKUP(C123,PMGR!$CG$2:$CS$250,28,0)+HLOOKUP(C123,PMGR!$CG$2:$CS$250,43,0)+HLOOKUP(C123,PMGR!$CG$2:$CS$250,44,0)+HLOOKUP(C123,PMGR!$CG$2:$CS$250,45,0)+HLOOKUP(C123,PMGR!$CG$2:$CS$250,54,0)+HLOOKUP(C123,PMGR!$CG$2:$CS$250,59,0)</f>
        <v>11467343.209255185</v>
      </c>
      <c r="F123" s="106">
        <f>+HLOOKUP(C123,PMGR!$CG$2:$CS$250,37,0)+HLOOKUP(C123,PMGR!$CG$2:$CS$250,55,0)</f>
        <v>7200078.4789999966</v>
      </c>
      <c r="G123" s="106">
        <f>+HLOOKUP($C123,PMGR!$CG$2:$CS$250,76,0)</f>
        <v>460</v>
      </c>
      <c r="H123" s="106">
        <f>+HLOOKUP($C123,PMGR!$CG$2:$CS$250,77,0)</f>
        <v>0</v>
      </c>
      <c r="I123" s="106">
        <f>+HLOOKUP($C123,PMGR!$CG$2:$CS$250,78,0)</f>
        <v>0</v>
      </c>
      <c r="J123" s="106">
        <f>+HLOOKUP($C123,PMGR!$CG$2:$CS$250,79,0)</f>
        <v>0</v>
      </c>
      <c r="K123" s="106">
        <f>+HLOOKUP($C123,PMGR!$CG$2:$CS$250,80,0)</f>
        <v>0</v>
      </c>
      <c r="L123" s="106">
        <f>+HLOOKUP($C123,PMGR!$CG$2:$CS$250,81,0)</f>
        <v>0</v>
      </c>
      <c r="M123" s="106">
        <f>+HLOOKUP($C123,PMGR!$CG$2:$CS$250,82,0)</f>
        <v>0</v>
      </c>
      <c r="N123" s="106">
        <f>+HLOOKUP($C123,PMGR!$CG$2:$CS$250,83,0)</f>
        <v>0</v>
      </c>
      <c r="O123" s="106">
        <f>+HLOOKUP($C123,PMGR!$CG$2:$CS$250,84,0)</f>
        <v>0</v>
      </c>
      <c r="P123" s="106">
        <f>+HLOOKUP($C123,PMGR!$CG$2:$CS$250,85,0)</f>
        <v>0</v>
      </c>
      <c r="Q123" s="106">
        <f>+HLOOKUP($C123,PMGR!$CG$2:$CS$250,87,0)</f>
        <v>192952.38499999995</v>
      </c>
      <c r="R123" s="106">
        <f>+HLOOKUP($C123,PMGR!$CG$2:$CS$250,90,0)</f>
        <v>0</v>
      </c>
      <c r="S123" s="106">
        <f>+HLOOKUP($C123,PMGR!$CG$2:$CS$250,91,0)</f>
        <v>320</v>
      </c>
      <c r="T123" s="106">
        <f>+HLOOKUP($C123,PMGR!$CG$2:$CS$250,92,0)</f>
        <v>492.75</v>
      </c>
      <c r="U123" s="106">
        <f>+HLOOKUP($C123,PMGR!$CG$2:$CS$250,93,0)</f>
        <v>0</v>
      </c>
      <c r="V123" s="106">
        <f>+HLOOKUP($C123,PMGR!$CG$2:$CS$250,94,0)</f>
        <v>0</v>
      </c>
      <c r="W123" s="106">
        <f>+HLOOKUP($C123,PMGR!$CG$2:$CS$250,95,0)</f>
        <v>0</v>
      </c>
      <c r="X123" s="106">
        <f>+HLOOKUP($C123,PMGR!$CG$2:$CS$250,96,0)</f>
        <v>0</v>
      </c>
      <c r="Y123" s="106">
        <f>+HLOOKUP($C123,PMGR!$CG$2:$CS$250,97,0)</f>
        <v>0</v>
      </c>
      <c r="Z123" s="106">
        <f>+HLOOKUP($C123,PMGR!$CG$2:$CS$250,98,0)</f>
        <v>0</v>
      </c>
      <c r="AA123" s="106">
        <f>+HLOOKUP($C123,PMGR!$CG$2:$CS$250,99,0)</f>
        <v>0</v>
      </c>
      <c r="AB123" s="106">
        <f>+HLOOKUP($C123,PMGR!$CG$2:$CS$250,100,0)</f>
        <v>0</v>
      </c>
      <c r="AC123" s="106">
        <f>+HLOOKUP($C123,PMGR!$CG$2:$CS$250,101,0)</f>
        <v>0</v>
      </c>
      <c r="AD123" s="106">
        <f>+HLOOKUP($C123,PMGR!$CG$2:$CS$250,104,0)</f>
        <v>1360</v>
      </c>
      <c r="AE123" s="106">
        <f>+HLOOKUP($C123,PMGR!$CG$2:$CS$250,105,0)</f>
        <v>0</v>
      </c>
      <c r="AF123" s="106">
        <f>+HLOOKUP($C123,PMGR!$CG$2:$CS$250,106,0)</f>
        <v>0</v>
      </c>
      <c r="AG123" s="106">
        <f>+HLOOKUP($C123,PMGR!$CG$2:$CS$250,107,0)</f>
        <v>0</v>
      </c>
      <c r="AH123" s="106">
        <f>+HLOOKUP($C123,PMGR!$CG$2:$CS$250,108,0)</f>
        <v>0</v>
      </c>
      <c r="AI123" s="106">
        <f>+HLOOKUP($C123,PMGR!$CG$2:$CS$250,109,0)</f>
        <v>0</v>
      </c>
      <c r="AJ123" s="106">
        <f>+HLOOKUP($C123,PMGR!$CG$2:$CS$250,110,0)</f>
        <v>0</v>
      </c>
      <c r="AK123" s="106">
        <f>+HLOOKUP($C123,PMGR!$CG$2:$CS$250,111,0)</f>
        <v>0</v>
      </c>
      <c r="AL123" s="106">
        <f>+HLOOKUP($C123,PMGR!$CG$2:$CS$250,112,0)</f>
        <v>0</v>
      </c>
      <c r="AM123" s="106">
        <f>+HLOOKUP($C123,PMGR!$CG$2:$CS$250,116,0)</f>
        <v>350586.2</v>
      </c>
      <c r="AN123" s="106">
        <f>+HLOOKUP($C123,PMGR!$CG$2:$CS$250,117,0)</f>
        <v>55701.1</v>
      </c>
      <c r="AO123" s="106">
        <f>+HLOOKUP($C123,PMGR!$CG$2:$CS$250,118,0)</f>
        <v>5900.7</v>
      </c>
      <c r="AP123" s="106">
        <f>+HLOOKUP($C123,PMGR!$CG$2:$CS$250,119,0)</f>
        <v>123814.79999999999</v>
      </c>
      <c r="AQ123" s="106">
        <f>+HLOOKUP($C123,PMGR!$CG$2:$CS$250,120,0)</f>
        <v>30798.5</v>
      </c>
      <c r="AR123" s="106">
        <f>+HLOOKUP($C123,PMGR!$CG$2:$CS$250,121,0)</f>
        <v>11055</v>
      </c>
      <c r="AS123" s="106">
        <f>+HLOOKUP($C123,PMGR!$CG$2:$CS$250,122,0)</f>
        <v>174573.1</v>
      </c>
      <c r="AT123" s="106">
        <f>+HLOOKUP($C123,PMGR!$CG$2:$CS$250,123,0)</f>
        <v>48544.06</v>
      </c>
      <c r="AU123" s="106">
        <f>+HLOOKUP($C123,PMGR!$CG$2:$CS$250,124,0)</f>
        <v>10489.96</v>
      </c>
      <c r="AV123" s="106">
        <f>+HLOOKUP($C123,PMGR!$CG$2:$CS$250,125,0)</f>
        <v>51165</v>
      </c>
      <c r="AW123" s="106">
        <f>+HLOOKUP($C123,PMGR!$CG$2:$CS$250,126,0)</f>
        <v>18911.170192307691</v>
      </c>
      <c r="AX123" s="106">
        <f>+HLOOKUP($C123,PMGR!$CG$2:$CS$250,127,0)</f>
        <v>24153.510000000002</v>
      </c>
      <c r="AY123" s="106">
        <f>+HLOOKUP($C123,PMGR!$CG$2:$CS$250,129,0)</f>
        <v>0</v>
      </c>
      <c r="AZ123" s="106">
        <f>+HLOOKUP($C123,PMGR!$CG$2:$CS$250,130,0)</f>
        <v>0</v>
      </c>
      <c r="BA123" s="106">
        <f>+HLOOKUP($C123,PMGR!$CG$2:$CS$250,131,0)</f>
        <v>63783.333333333336</v>
      </c>
      <c r="BB123" s="106">
        <f>+HLOOKUP($C123,PMGR!$CG$2:$CS$250,133,0)</f>
        <v>0</v>
      </c>
      <c r="BC123" s="106">
        <f>+HLOOKUP($C123,PMGR!$CG$2:$CS$250,134,0)</f>
        <v>31755.894399999997</v>
      </c>
      <c r="BD123" s="106">
        <f>+HLOOKUP($C123,PMGR!$CG$2:$CS$250,135,0)</f>
        <v>0</v>
      </c>
      <c r="BE123" s="106">
        <f>+HLOOKUP($C123,PMGR!$CG$2:$CS$250,136,0)</f>
        <v>0</v>
      </c>
      <c r="BF123" s="106">
        <f>+HLOOKUP($C123,PMGR!$CG$2:$CS$250,138,0)</f>
        <v>1714.1004</v>
      </c>
      <c r="BG123" s="106">
        <f>+HLOOKUP($C123,PMGR!$CG$2:$CS$250,139,0)</f>
        <v>16114.5</v>
      </c>
      <c r="BH123" s="106">
        <f>+HLOOKUP($C123,PMGR!$CG$2:$CS$250,140,0)</f>
        <v>7500</v>
      </c>
      <c r="BI123" s="106">
        <f>+HLOOKUP($C123,PMGR!$CG$2:$CS$250,141,0)</f>
        <v>0</v>
      </c>
      <c r="BJ123" s="106">
        <f>+HLOOKUP($C123,PMGR!$CG$2:$CS$250,142,0)</f>
        <v>0</v>
      </c>
      <c r="BK123" s="106">
        <f>+HLOOKUP($C123,PMGR!$CG$2:$CS$250,143,0)</f>
        <v>0</v>
      </c>
      <c r="BL123" s="106">
        <f>+HLOOKUP($C123,PMGR!$CG$2:$CS$250,144,0)</f>
        <v>0</v>
      </c>
      <c r="BM123" s="106">
        <f>+HLOOKUP($C123,PMGR!$CG$2:$CS$250,146,0)</f>
        <v>0</v>
      </c>
      <c r="BN123" s="106">
        <f>+HLOOKUP($C123,PMGR!$CG$2:$CS$250,147,0)</f>
        <v>90849</v>
      </c>
      <c r="BO123" s="106">
        <f>+HLOOKUP($C123,PMGR!$CG$2:$CS$250,148,0)</f>
        <v>0</v>
      </c>
      <c r="BP123" s="106">
        <f>+HLOOKUP($C123,PMGR!$CG$2:$CS$250,150,0)</f>
        <v>23315.399999999998</v>
      </c>
      <c r="BQ123" s="106">
        <f>+HLOOKUP($C123,PMGR!$CG$2:$CS$250,151,0)</f>
        <v>1417.5</v>
      </c>
      <c r="BR123" s="106">
        <f>+HLOOKUP($C123,PMGR!$CG$2:$CS$250,152,0)</f>
        <v>9600</v>
      </c>
      <c r="BS123" s="106">
        <f>+HLOOKUP($C123,PMGR!$CG$2:$CS$250,153,0)</f>
        <v>480</v>
      </c>
      <c r="BT123" s="106">
        <f>+HLOOKUP($C123,PMGR!$CG$2:$CS$250,157,0)</f>
        <v>6405</v>
      </c>
      <c r="BU123" s="106">
        <f>+HLOOKUP($C123,PMGR!$CG$2:$CS$250,158,0)</f>
        <v>0</v>
      </c>
      <c r="BV123" s="106">
        <f>+HLOOKUP($C123,PMGR!$CG$2:$CS$250,159,0)</f>
        <v>204.16799999999998</v>
      </c>
      <c r="BW123" s="106">
        <f>+HLOOKUP($C123,PMGR!$CG$2:$CS$250,160,0)</f>
        <v>0</v>
      </c>
      <c r="BX123" s="106">
        <f>+HLOOKUP($C123,PMGR!$CG$2:$CS$250,161,0)</f>
        <v>1485</v>
      </c>
      <c r="BY123" s="106">
        <f>+HLOOKUP($C123,PMGR!$CG$2:$CS$250,164,0)</f>
        <v>2723.5054</v>
      </c>
      <c r="BZ123" s="106">
        <f>+HLOOKUP($C123,PMGR!$CG$2:$CS$250,165,0)</f>
        <v>19069.59</v>
      </c>
      <c r="CA123" s="106">
        <f>+HLOOKUP($C123,PMGR!$CG$2:$CS$250,166,0)</f>
        <v>0</v>
      </c>
      <c r="CB123" s="106">
        <f>+HLOOKUP($C123,PMGR!$CG$2:$CS$250,167,0)</f>
        <v>13629.9</v>
      </c>
      <c r="CC123" s="106">
        <f>+HLOOKUP($C123,PMGR!$CG$2:$CS$250,168,0)</f>
        <v>0</v>
      </c>
      <c r="CD123" s="106">
        <f>+HLOOKUP($C123,PMGR!$CG$2:$CS$250,169,0)</f>
        <v>450</v>
      </c>
      <c r="CE123" s="106">
        <f>+HLOOKUP($C123,PMGR!$CG$2:$CS$250,170,0)</f>
        <v>0</v>
      </c>
      <c r="CF123" s="106">
        <f>+HLOOKUP($C123,PMGR!$CG$2:$CS$250,172,0)</f>
        <v>10800</v>
      </c>
      <c r="CG123" s="106">
        <f>+HLOOKUP($C123,PMGR!$CG$2:$CS$250,173,0)</f>
        <v>0</v>
      </c>
      <c r="CH123" s="106">
        <f>+HLOOKUP($C123,PMGR!$CG$2:$CS$250,174,0)</f>
        <v>35538</v>
      </c>
      <c r="CI123" s="106">
        <f>+HLOOKUP($C123,PMGR!$CG$2:$CS$250,175,0)</f>
        <v>4458</v>
      </c>
      <c r="CJ123" s="106">
        <f>+HLOOKUP($C123,PMGR!$CG$2:$CS$250,176,0)</f>
        <v>1324.2348</v>
      </c>
      <c r="CK123" s="106">
        <f>+HLOOKUP($C123,PMGR!$CG$2:$CS$250,178,0)</f>
        <v>43797</v>
      </c>
      <c r="CL123" s="106">
        <f>+HLOOKUP($C123,PMGR!$CG$2:$CS$250,179,0)</f>
        <v>7889.5</v>
      </c>
      <c r="CM123" s="106">
        <f>+HLOOKUP($C123,PMGR!$CG$2:$CS$250,180,0)</f>
        <v>16800</v>
      </c>
      <c r="CN123" s="106">
        <f>+HLOOKUP($C123,PMGR!$CG$2:$CS$250,182,0)</f>
        <v>0</v>
      </c>
      <c r="CO123" s="106">
        <f>+HLOOKUP($C123,PMGR!$CG$2:$CS$250,183,0)</f>
        <v>2474.9969999999998</v>
      </c>
      <c r="CP123" s="106">
        <f>+HLOOKUP($C123,PMGR!$CG$2:$CS$250,184,0)</f>
        <v>0</v>
      </c>
      <c r="CQ123" s="106">
        <f>+HLOOKUP($C123,PMGR!$CG$2:$CS$250,185,0)</f>
        <v>0</v>
      </c>
      <c r="CR123" s="106">
        <f>+HLOOKUP($C123,PMGR!$CG$2:$CS$250,187,0)</f>
        <v>1874.9997000000001</v>
      </c>
      <c r="CS123" s="106">
        <f>+HLOOKUP($C123,PMGR!$CG$2:$CS$250,188,0)</f>
        <v>1350</v>
      </c>
      <c r="CT123" s="106">
        <f>+HLOOKUP($C123,PMGR!$CG$2:$CS$250,189,0)</f>
        <v>0</v>
      </c>
      <c r="CU123" s="106">
        <f>+HLOOKUP($C123,PMGR!$CG$2:$CS$250,190,0)</f>
        <v>749.97</v>
      </c>
      <c r="CV123" s="106">
        <f>+HLOOKUP($C123,PMGR!$CG$2:$CS$250,191,0)</f>
        <v>0</v>
      </c>
      <c r="CW123" s="106">
        <f>+HLOOKUP($C123,PMGR!$CG$2:$CS$250,193,0)</f>
        <v>3706.2</v>
      </c>
      <c r="CX123" s="106">
        <f>+HLOOKUP($C123,PMGR!$CG$2:$CS$250,194,0)</f>
        <v>23.849999999999998</v>
      </c>
      <c r="CY123" s="106">
        <f>+HLOOKUP($C123,PMGR!$CG$2:$CS$250,195,0)</f>
        <v>5041.5360000000001</v>
      </c>
      <c r="CZ123" s="106">
        <f>+HLOOKUP($C123,PMGR!$CG$2:$CS$250,196,0)</f>
        <v>0</v>
      </c>
      <c r="DA123" s="106">
        <f>+HLOOKUP($C123,PMGR!$CG$2:$CS$250,197,0)</f>
        <v>1413.39</v>
      </c>
      <c r="DB123" s="106">
        <f>+HLOOKUP($C123,PMGR!$CG$2:$CS$250,198,0)</f>
        <v>1983.8209999999999</v>
      </c>
      <c r="DC123" s="106">
        <f>+HLOOKUP($C123,PMGR!$CG$2:$CS$250,199,0)</f>
        <v>1046.6190999999999</v>
      </c>
      <c r="DD123" s="106">
        <f>+HLOOKUP($C123,PMGR!$CG$2:$CS$250,200,0)</f>
        <v>1853.9</v>
      </c>
      <c r="DE123" s="106">
        <f>+HLOOKUP($C123,PMGR!$CG$2:$CS$250,201,0)</f>
        <v>0</v>
      </c>
      <c r="DF123" s="106">
        <f>+HLOOKUP($C123,PMGR!$CG$2:$CS$250,202,0)</f>
        <v>3.6155999999999997</v>
      </c>
      <c r="DG123" s="106">
        <f>+HLOOKUP($C123,PMGR!$CG$2:$CS$250,203,0)</f>
        <v>9.0944999999999983</v>
      </c>
      <c r="DH123" s="106">
        <f>+HLOOKUP($C123,PMGR!$CG$2:$CS$250,205,0)</f>
        <v>0</v>
      </c>
      <c r="DI123" s="106">
        <f>+HLOOKUP($C123,PMGR!$CG$2:$CS$250,206,0)</f>
        <v>3513.9</v>
      </c>
      <c r="DJ123" s="106">
        <f>+HLOOKUP($C123,PMGR!$CG$2:$CS$250,207,0)</f>
        <v>5648.7071999999998</v>
      </c>
      <c r="DK123" s="106">
        <f>+HLOOKUP($C123,PMGR!$CG$2:$CS$250,209,0)</f>
        <v>0</v>
      </c>
      <c r="DL123" s="106">
        <f>+HLOOKUP($C123,PMGR!$CG$2:$CS$250,210,0)</f>
        <v>70195.5</v>
      </c>
      <c r="DM123" s="106">
        <f>+HLOOKUP($C123,PMGR!$CG$2:$CS$250,211,0)</f>
        <v>0</v>
      </c>
      <c r="DN123" s="106">
        <f>+HLOOKUP($C123,PMGR!$CG$2:$CS$250,212,0)</f>
        <v>14400</v>
      </c>
      <c r="DO123" s="106">
        <f>+HLOOKUP($C123,PMGR!$CG$2:$CS$250,214,0)</f>
        <v>0</v>
      </c>
      <c r="DP123" s="106">
        <f>+HLOOKUP($C123,PMGR!$CG$2:$CS$250,215,0)</f>
        <v>930</v>
      </c>
      <c r="DQ123" s="106">
        <f>+HLOOKUP($C123,PMGR!$CG$2:$CS$250,219,0)</f>
        <v>0</v>
      </c>
      <c r="DR123" s="106">
        <f>+HLOOKUP($C123,PMGR!$CG$2:$CS$250,220,0)</f>
        <v>0</v>
      </c>
      <c r="DS123" s="106">
        <f>+HLOOKUP($C123,PMGR!$CG$2:$CS$250,221,0)</f>
        <v>0</v>
      </c>
      <c r="DT123" s="106">
        <f>+HLOOKUP($C123,PMGR!$CG$2:$CS$250,223,0)</f>
        <v>51293.630700000002</v>
      </c>
      <c r="DU123" s="106">
        <f>+HLOOKUP($C123,PMGR!$CG$2:$CS$250,224,0)</f>
        <v>0</v>
      </c>
      <c r="DV123" s="106">
        <f>+HLOOKUP($C123,PMGR!$CG$2:$CS$250,225,0)</f>
        <v>0</v>
      </c>
      <c r="DW123" s="106">
        <f>+HLOOKUP($C123,PMGR!$CG$2:$CS$250,227,0)</f>
        <v>0</v>
      </c>
      <c r="DX123" s="106">
        <f>+HLOOKUP($C123,PMGR!$CG$2:$CS$250,228,0)</f>
        <v>5253.75</v>
      </c>
      <c r="DY123" s="106">
        <f>+HLOOKUP($C123,PMGR!$CG$2:$CS$250,236,0)</f>
        <v>181230</v>
      </c>
      <c r="DZ123" s="106">
        <f>+HLOOKUP($C123,PMGR!$CG$2:$CS$250,237,0)</f>
        <v>102956.04333</v>
      </c>
      <c r="EA123" s="106">
        <f>+HLOOKUP($C123,PMGR!$CG$2:$CS$250,238,0)</f>
        <v>34986.400000000001</v>
      </c>
      <c r="EB123" s="106">
        <f>+HLOOKUP($C123,PMGR!$CG$2:$CS$250,240,0)</f>
        <v>292179.86691964284</v>
      </c>
    </row>
    <row r="124" spans="1:132" hidden="1">
      <c r="A124" t="s">
        <v>271</v>
      </c>
      <c r="B124" t="s">
        <v>217</v>
      </c>
      <c r="C124" s="117">
        <v>45566</v>
      </c>
      <c r="D124" s="106">
        <f t="shared" si="4"/>
        <v>9680885.6404960919</v>
      </c>
      <c r="E124" s="106">
        <f>+HLOOKUP(C124,PMGR!$CG$2:$CS$250,28,0)+HLOOKUP(C124,PMGR!$CG$2:$CS$250,43,0)+HLOOKUP(C124,PMGR!$CG$2:$CS$250,44,0)+HLOOKUP(C124,PMGR!$CG$2:$CS$250,45,0)+HLOOKUP(C124,PMGR!$CG$2:$CS$250,54,0)+HLOOKUP(C124,PMGR!$CG$2:$CS$250,59,0)</f>
        <v>9680885.6404960919</v>
      </c>
      <c r="F124" s="106">
        <f>+HLOOKUP(C124,PMGR!$CG$2:$CS$250,37,0)+HLOOKUP(C124,PMGR!$CG$2:$CS$250,55,0)</f>
        <v>4646463.2369999997</v>
      </c>
      <c r="G124" s="106">
        <f>+HLOOKUP($C124,PMGR!$CG$2:$CS$250,76,0)</f>
        <v>0</v>
      </c>
      <c r="H124" s="106">
        <f>+HLOOKUP($C124,PMGR!$CG$2:$CS$250,77,0)</f>
        <v>0</v>
      </c>
      <c r="I124" s="106">
        <f>+HLOOKUP($C124,PMGR!$CG$2:$CS$250,78,0)</f>
        <v>0</v>
      </c>
      <c r="J124" s="106">
        <f>+HLOOKUP($C124,PMGR!$CG$2:$CS$250,79,0)</f>
        <v>0</v>
      </c>
      <c r="K124" s="106">
        <f>+HLOOKUP($C124,PMGR!$CG$2:$CS$250,80,0)</f>
        <v>0</v>
      </c>
      <c r="L124" s="106">
        <f>+HLOOKUP($C124,PMGR!$CG$2:$CS$250,81,0)</f>
        <v>0</v>
      </c>
      <c r="M124" s="106">
        <f>+HLOOKUP($C124,PMGR!$CG$2:$CS$250,82,0)</f>
        <v>0</v>
      </c>
      <c r="N124" s="106">
        <f>+HLOOKUP($C124,PMGR!$CG$2:$CS$250,83,0)</f>
        <v>0</v>
      </c>
      <c r="O124" s="106">
        <f>+HLOOKUP($C124,PMGR!$CG$2:$CS$250,84,0)</f>
        <v>0</v>
      </c>
      <c r="P124" s="106">
        <f>+HLOOKUP($C124,PMGR!$CG$2:$CS$250,85,0)</f>
        <v>0</v>
      </c>
      <c r="Q124" s="106">
        <f>+HLOOKUP($C124,PMGR!$CG$2:$CS$250,87,0)</f>
        <v>130909.97</v>
      </c>
      <c r="R124" s="106">
        <f>+HLOOKUP($C124,PMGR!$CG$2:$CS$250,90,0)</f>
        <v>0</v>
      </c>
      <c r="S124" s="106">
        <f>+HLOOKUP($C124,PMGR!$CG$2:$CS$250,91,0)</f>
        <v>670</v>
      </c>
      <c r="T124" s="106">
        <f>+HLOOKUP($C124,PMGR!$CG$2:$CS$250,92,0)</f>
        <v>141.91200000000001</v>
      </c>
      <c r="U124" s="106">
        <f>+HLOOKUP($C124,PMGR!$CG$2:$CS$250,93,0)</f>
        <v>0</v>
      </c>
      <c r="V124" s="106">
        <f>+HLOOKUP($C124,PMGR!$CG$2:$CS$250,94,0)</f>
        <v>0</v>
      </c>
      <c r="W124" s="106">
        <f>+HLOOKUP($C124,PMGR!$CG$2:$CS$250,95,0)</f>
        <v>0</v>
      </c>
      <c r="X124" s="106">
        <f>+HLOOKUP($C124,PMGR!$CG$2:$CS$250,96,0)</f>
        <v>0</v>
      </c>
      <c r="Y124" s="106">
        <f>+HLOOKUP($C124,PMGR!$CG$2:$CS$250,97,0)</f>
        <v>0</v>
      </c>
      <c r="Z124" s="106">
        <f>+HLOOKUP($C124,PMGR!$CG$2:$CS$250,98,0)</f>
        <v>0</v>
      </c>
      <c r="AA124" s="106">
        <f>+HLOOKUP($C124,PMGR!$CG$2:$CS$250,99,0)</f>
        <v>0</v>
      </c>
      <c r="AB124" s="106">
        <f>+HLOOKUP($C124,PMGR!$CG$2:$CS$250,100,0)</f>
        <v>0</v>
      </c>
      <c r="AC124" s="106">
        <f>+HLOOKUP($C124,PMGR!$CG$2:$CS$250,101,0)</f>
        <v>246.375</v>
      </c>
      <c r="AD124" s="106">
        <f>+HLOOKUP($C124,PMGR!$CG$2:$CS$250,104,0)</f>
        <v>0</v>
      </c>
      <c r="AE124" s="106">
        <f>+HLOOKUP($C124,PMGR!$CG$2:$CS$250,105,0)</f>
        <v>0</v>
      </c>
      <c r="AF124" s="106">
        <f>+HLOOKUP($C124,PMGR!$CG$2:$CS$250,106,0)</f>
        <v>0</v>
      </c>
      <c r="AG124" s="106">
        <f>+HLOOKUP($C124,PMGR!$CG$2:$CS$250,107,0)</f>
        <v>0</v>
      </c>
      <c r="AH124" s="106">
        <f>+HLOOKUP($C124,PMGR!$CG$2:$CS$250,108,0)</f>
        <v>64000</v>
      </c>
      <c r="AI124" s="106">
        <f>+HLOOKUP($C124,PMGR!$CG$2:$CS$250,109,0)</f>
        <v>0</v>
      </c>
      <c r="AJ124" s="106">
        <f>+HLOOKUP($C124,PMGR!$CG$2:$CS$250,110,0)</f>
        <v>0</v>
      </c>
      <c r="AK124" s="106">
        <f>+HLOOKUP($C124,PMGR!$CG$2:$CS$250,111,0)</f>
        <v>0</v>
      </c>
      <c r="AL124" s="106">
        <f>+HLOOKUP($C124,PMGR!$CG$2:$CS$250,112,0)</f>
        <v>0</v>
      </c>
      <c r="AM124" s="106">
        <f>+HLOOKUP($C124,PMGR!$CG$2:$CS$250,116,0)</f>
        <v>184261</v>
      </c>
      <c r="AN124" s="106">
        <f>+HLOOKUP($C124,PMGR!$CG$2:$CS$250,117,0)</f>
        <v>31823.5</v>
      </c>
      <c r="AO124" s="106">
        <f>+HLOOKUP($C124,PMGR!$CG$2:$CS$250,118,0)</f>
        <v>1000</v>
      </c>
      <c r="AP124" s="106">
        <f>+HLOOKUP($C124,PMGR!$CG$2:$CS$250,119,0)</f>
        <v>61639</v>
      </c>
      <c r="AQ124" s="106">
        <f>+HLOOKUP($C124,PMGR!$CG$2:$CS$250,120,0)</f>
        <v>14635</v>
      </c>
      <c r="AR124" s="106">
        <f>+HLOOKUP($C124,PMGR!$CG$2:$CS$250,121,0)</f>
        <v>7190</v>
      </c>
      <c r="AS124" s="106">
        <f>+HLOOKUP($C124,PMGR!$CG$2:$CS$250,122,0)</f>
        <v>88110.6</v>
      </c>
      <c r="AT124" s="106">
        <f>+HLOOKUP($C124,PMGR!$CG$2:$CS$250,123,0)</f>
        <v>48544.06</v>
      </c>
      <c r="AU124" s="106">
        <f>+HLOOKUP($C124,PMGR!$CG$2:$CS$250,124,0)</f>
        <v>10489.96</v>
      </c>
      <c r="AV124" s="106">
        <f>+HLOOKUP($C124,PMGR!$CG$2:$CS$250,125,0)</f>
        <v>51165</v>
      </c>
      <c r="AW124" s="106">
        <f>+HLOOKUP($C124,PMGR!$CG$2:$CS$250,126,0)</f>
        <v>18911.170192307691</v>
      </c>
      <c r="AX124" s="106">
        <f>+HLOOKUP($C124,PMGR!$CG$2:$CS$250,127,0)</f>
        <v>24153.510000000002</v>
      </c>
      <c r="AY124" s="106">
        <f>+HLOOKUP($C124,PMGR!$CG$2:$CS$250,129,0)</f>
        <v>0</v>
      </c>
      <c r="AZ124" s="106">
        <f>+HLOOKUP($C124,PMGR!$CG$2:$CS$250,130,0)</f>
        <v>0</v>
      </c>
      <c r="BA124" s="106">
        <f>+HLOOKUP($C124,PMGR!$CG$2:$CS$250,131,0)</f>
        <v>63783.333333333336</v>
      </c>
      <c r="BB124" s="106">
        <f>+HLOOKUP($C124,PMGR!$CG$2:$CS$250,133,0)</f>
        <v>0</v>
      </c>
      <c r="BC124" s="106">
        <f>+HLOOKUP($C124,PMGR!$CG$2:$CS$250,134,0)</f>
        <v>4677</v>
      </c>
      <c r="BD124" s="106">
        <f>+HLOOKUP($C124,PMGR!$CG$2:$CS$250,135,0)</f>
        <v>0</v>
      </c>
      <c r="BE124" s="106">
        <f>+HLOOKUP($C124,PMGR!$CG$2:$CS$250,136,0)</f>
        <v>0</v>
      </c>
      <c r="BF124" s="106">
        <f>+HLOOKUP($C124,PMGR!$CG$2:$CS$250,138,0)</f>
        <v>2553.6599999999994</v>
      </c>
      <c r="BG124" s="106">
        <f>+HLOOKUP($C124,PMGR!$CG$2:$CS$250,139,0)</f>
        <v>7501.9919999999993</v>
      </c>
      <c r="BH124" s="106">
        <f>+HLOOKUP($C124,PMGR!$CG$2:$CS$250,140,0)</f>
        <v>7500</v>
      </c>
      <c r="BI124" s="106">
        <f>+HLOOKUP($C124,PMGR!$CG$2:$CS$250,141,0)</f>
        <v>0</v>
      </c>
      <c r="BJ124" s="106">
        <f>+HLOOKUP($C124,PMGR!$CG$2:$CS$250,142,0)</f>
        <v>0</v>
      </c>
      <c r="BK124" s="106">
        <f>+HLOOKUP($C124,PMGR!$CG$2:$CS$250,143,0)</f>
        <v>0</v>
      </c>
      <c r="BL124" s="106">
        <f>+HLOOKUP($C124,PMGR!$CG$2:$CS$250,144,0)</f>
        <v>6752.7</v>
      </c>
      <c r="BM124" s="106">
        <f>+HLOOKUP($C124,PMGR!$CG$2:$CS$250,146,0)</f>
        <v>0</v>
      </c>
      <c r="BN124" s="106">
        <f>+HLOOKUP($C124,PMGR!$CG$2:$CS$250,147,0)</f>
        <v>67380</v>
      </c>
      <c r="BO124" s="106">
        <f>+HLOOKUP($C124,PMGR!$CG$2:$CS$250,148,0)</f>
        <v>0</v>
      </c>
      <c r="BP124" s="106">
        <f>+HLOOKUP($C124,PMGR!$CG$2:$CS$250,150,0)</f>
        <v>61224.5</v>
      </c>
      <c r="BQ124" s="106">
        <f>+HLOOKUP($C124,PMGR!$CG$2:$CS$250,151,0)</f>
        <v>1417.5</v>
      </c>
      <c r="BR124" s="106">
        <f>+HLOOKUP($C124,PMGR!$CG$2:$CS$250,152,0)</f>
        <v>9600</v>
      </c>
      <c r="BS124" s="106">
        <f>+HLOOKUP($C124,PMGR!$CG$2:$CS$250,153,0)</f>
        <v>510</v>
      </c>
      <c r="BT124" s="106">
        <f>+HLOOKUP($C124,PMGR!$CG$2:$CS$250,157,0)</f>
        <v>0</v>
      </c>
      <c r="BU124" s="106">
        <f>+HLOOKUP($C124,PMGR!$CG$2:$CS$250,158,0)</f>
        <v>0</v>
      </c>
      <c r="BV124" s="106">
        <f>+HLOOKUP($C124,PMGR!$CG$2:$CS$250,159,0)</f>
        <v>681</v>
      </c>
      <c r="BW124" s="106">
        <f>+HLOOKUP($C124,PMGR!$CG$2:$CS$250,160,0)</f>
        <v>41005</v>
      </c>
      <c r="BX124" s="106">
        <f>+HLOOKUP($C124,PMGR!$CG$2:$CS$250,161,0)</f>
        <v>24413.57</v>
      </c>
      <c r="BY124" s="106">
        <f>+HLOOKUP($C124,PMGR!$CG$2:$CS$250,164,0)</f>
        <v>1796.0507999999998</v>
      </c>
      <c r="BZ124" s="106">
        <f>+HLOOKUP($C124,PMGR!$CG$2:$CS$250,165,0)</f>
        <v>22472.85</v>
      </c>
      <c r="CA124" s="106">
        <f>+HLOOKUP($C124,PMGR!$CG$2:$CS$250,166,0)</f>
        <v>0</v>
      </c>
      <c r="CB124" s="106">
        <f>+HLOOKUP($C124,PMGR!$CG$2:$CS$250,167,0)</f>
        <v>16887.52</v>
      </c>
      <c r="CC124" s="106">
        <f>+HLOOKUP($C124,PMGR!$CG$2:$CS$250,168,0)</f>
        <v>0</v>
      </c>
      <c r="CD124" s="106">
        <f>+HLOOKUP($C124,PMGR!$CG$2:$CS$250,169,0)</f>
        <v>16.2</v>
      </c>
      <c r="CE124" s="106">
        <f>+HLOOKUP($C124,PMGR!$CG$2:$CS$250,170,0)</f>
        <v>0</v>
      </c>
      <c r="CF124" s="106">
        <f>+HLOOKUP($C124,PMGR!$CG$2:$CS$250,172,0)</f>
        <v>10800</v>
      </c>
      <c r="CG124" s="106">
        <f>+HLOOKUP($C124,PMGR!$CG$2:$CS$250,173,0)</f>
        <v>0</v>
      </c>
      <c r="CH124" s="106">
        <f>+HLOOKUP($C124,PMGR!$CG$2:$CS$250,174,0)</f>
        <v>35538</v>
      </c>
      <c r="CI124" s="106">
        <f>+HLOOKUP($C124,PMGR!$CG$2:$CS$250,175,0)</f>
        <v>4458</v>
      </c>
      <c r="CJ124" s="106">
        <f>+HLOOKUP($C124,PMGR!$CG$2:$CS$250,176,0)</f>
        <v>1501.2</v>
      </c>
      <c r="CK124" s="106">
        <f>+HLOOKUP($C124,PMGR!$CG$2:$CS$250,178,0)</f>
        <v>26451.498</v>
      </c>
      <c r="CL124" s="106">
        <f>+HLOOKUP($C124,PMGR!$CG$2:$CS$250,179,0)</f>
        <v>8225.6299999999992</v>
      </c>
      <c r="CM124" s="106">
        <f>+HLOOKUP($C124,PMGR!$CG$2:$CS$250,180,0)</f>
        <v>0</v>
      </c>
      <c r="CN124" s="106">
        <f>+HLOOKUP($C124,PMGR!$CG$2:$CS$250,182,0)</f>
        <v>0</v>
      </c>
      <c r="CO124" s="106">
        <f>+HLOOKUP($C124,PMGR!$CG$2:$CS$250,183,0)</f>
        <v>479.4</v>
      </c>
      <c r="CP124" s="106">
        <f>+HLOOKUP($C124,PMGR!$CG$2:$CS$250,184,0)</f>
        <v>0</v>
      </c>
      <c r="CQ124" s="106">
        <f>+HLOOKUP($C124,PMGR!$CG$2:$CS$250,185,0)</f>
        <v>0</v>
      </c>
      <c r="CR124" s="106">
        <f>+HLOOKUP($C124,PMGR!$CG$2:$CS$250,187,0)</f>
        <v>1874.9999999999968</v>
      </c>
      <c r="CS124" s="106">
        <f>+HLOOKUP($C124,PMGR!$CG$2:$CS$250,188,0)</f>
        <v>1350</v>
      </c>
      <c r="CT124" s="106">
        <f>+HLOOKUP($C124,PMGR!$CG$2:$CS$250,189,0)</f>
        <v>0</v>
      </c>
      <c r="CU124" s="106">
        <f>+HLOOKUP($C124,PMGR!$CG$2:$CS$250,190,0)</f>
        <v>749.97</v>
      </c>
      <c r="CV124" s="106">
        <f>+HLOOKUP($C124,PMGR!$CG$2:$CS$250,191,0)</f>
        <v>0</v>
      </c>
      <c r="CW124" s="106">
        <f>+HLOOKUP($C124,PMGR!$CG$2:$CS$250,193,0)</f>
        <v>3706.2</v>
      </c>
      <c r="CX124" s="106">
        <f>+HLOOKUP($C124,PMGR!$CG$2:$CS$250,194,0)</f>
        <v>23.849999999999998</v>
      </c>
      <c r="CY124" s="106">
        <f>+HLOOKUP($C124,PMGR!$CG$2:$CS$250,195,0)</f>
        <v>2750</v>
      </c>
      <c r="CZ124" s="106">
        <f>+HLOOKUP($C124,PMGR!$CG$2:$CS$250,196,0)</f>
        <v>0</v>
      </c>
      <c r="DA124" s="106">
        <f>+HLOOKUP($C124,PMGR!$CG$2:$CS$250,197,0)</f>
        <v>1548.2849999999999</v>
      </c>
      <c r="DB124" s="106">
        <f>+HLOOKUP($C124,PMGR!$CG$2:$CS$250,198,0)</f>
        <v>3256.8870000000002</v>
      </c>
      <c r="DC124" s="106">
        <f>+HLOOKUP($C124,PMGR!$CG$2:$CS$250,199,0)</f>
        <v>961.76400000000001</v>
      </c>
      <c r="DD124" s="106">
        <f>+HLOOKUP($C124,PMGR!$CG$2:$CS$250,200,0)</f>
        <v>1697</v>
      </c>
      <c r="DE124" s="106">
        <f>+HLOOKUP($C124,PMGR!$CG$2:$CS$250,201,0)</f>
        <v>0</v>
      </c>
      <c r="DF124" s="106">
        <f>+HLOOKUP($C124,PMGR!$CG$2:$CS$250,202,0)</f>
        <v>5.5837999999999992</v>
      </c>
      <c r="DG124" s="106">
        <f>+HLOOKUP($C124,PMGR!$CG$2:$CS$250,203,0)</f>
        <v>15.561899999999998</v>
      </c>
      <c r="DH124" s="106">
        <f>+HLOOKUP($C124,PMGR!$CG$2:$CS$250,205,0)</f>
        <v>0</v>
      </c>
      <c r="DI124" s="106">
        <f>+HLOOKUP($C124,PMGR!$CG$2:$CS$250,206,0)</f>
        <v>3594.63</v>
      </c>
      <c r="DJ124" s="106">
        <f>+HLOOKUP($C124,PMGR!$CG$2:$CS$250,207,0)</f>
        <v>233.39970000000048</v>
      </c>
      <c r="DK124" s="106">
        <f>+HLOOKUP($C124,PMGR!$CG$2:$CS$250,209,0)</f>
        <v>0</v>
      </c>
      <c r="DL124" s="106">
        <f>+HLOOKUP($C124,PMGR!$CG$2:$CS$250,210,0)</f>
        <v>70195.5</v>
      </c>
      <c r="DM124" s="106">
        <f>+HLOOKUP($C124,PMGR!$CG$2:$CS$250,211,0)</f>
        <v>0</v>
      </c>
      <c r="DN124" s="106">
        <f>+HLOOKUP($C124,PMGR!$CG$2:$CS$250,212,0)</f>
        <v>14400</v>
      </c>
      <c r="DO124" s="106">
        <f>+HLOOKUP($C124,PMGR!$CG$2:$CS$250,214,0)</f>
        <v>0</v>
      </c>
      <c r="DP124" s="106">
        <f>+HLOOKUP($C124,PMGR!$CG$2:$CS$250,215,0)</f>
        <v>240</v>
      </c>
      <c r="DQ124" s="106">
        <f>+HLOOKUP($C124,PMGR!$CG$2:$CS$250,219,0)</f>
        <v>0</v>
      </c>
      <c r="DR124" s="106">
        <f>+HLOOKUP($C124,PMGR!$CG$2:$CS$250,220,0)</f>
        <v>0</v>
      </c>
      <c r="DS124" s="106">
        <f>+HLOOKUP($C124,PMGR!$CG$2:$CS$250,221,0)</f>
        <v>0</v>
      </c>
      <c r="DT124" s="106">
        <f>+HLOOKUP($C124,PMGR!$CG$2:$CS$250,223,0)</f>
        <v>6246.7074000000002</v>
      </c>
      <c r="DU124" s="106">
        <f>+HLOOKUP($C124,PMGR!$CG$2:$CS$250,224,0)</f>
        <v>0</v>
      </c>
      <c r="DV124" s="106">
        <f>+HLOOKUP($C124,PMGR!$CG$2:$CS$250,225,0)</f>
        <v>0</v>
      </c>
      <c r="DW124" s="106">
        <f>+HLOOKUP($C124,PMGR!$CG$2:$CS$250,227,0)</f>
        <v>0</v>
      </c>
      <c r="DX124" s="106">
        <f>+HLOOKUP($C124,PMGR!$CG$2:$CS$250,228,0)</f>
        <v>8254.7999999999993</v>
      </c>
      <c r="DY124" s="106">
        <f>+HLOOKUP($C124,PMGR!$CG$2:$CS$250,236,0)</f>
        <v>0</v>
      </c>
      <c r="DZ124" s="106">
        <f>+HLOOKUP($C124,PMGR!$CG$2:$CS$250,237,0)</f>
        <v>107700.17768999998</v>
      </c>
      <c r="EA124" s="106">
        <f>+HLOOKUP($C124,PMGR!$CG$2:$CS$250,238,0)</f>
        <v>36697.599999999999</v>
      </c>
      <c r="EB124" s="106">
        <f>+HLOOKUP($C124,PMGR!$CG$2:$CS$250,240,0)</f>
        <v>292179.86691964284</v>
      </c>
    </row>
    <row r="125" spans="1:132" hidden="1">
      <c r="A125" t="s">
        <v>271</v>
      </c>
      <c r="B125" t="s">
        <v>217</v>
      </c>
      <c r="C125" s="117">
        <v>45536</v>
      </c>
      <c r="D125" s="106">
        <f t="shared" si="4"/>
        <v>11613383.408486739</v>
      </c>
      <c r="E125" s="106">
        <f>+HLOOKUP(C125,PMGR!$CG$2:$CS$250,28,0)+HLOOKUP(C125,PMGR!$CG$2:$CS$250,43,0)+HLOOKUP(C125,PMGR!$CG$2:$CS$250,44,0)+HLOOKUP(C125,PMGR!$CG$2:$CS$250,45,0)+HLOOKUP(C125,PMGR!$CG$2:$CS$250,54,0)+HLOOKUP(C125,PMGR!$CG$2:$CS$250,59,0)</f>
        <v>11613383.408486739</v>
      </c>
      <c r="F125" s="106">
        <f>+HLOOKUP(C125,PMGR!$CG$2:$CS$250,37,0)+HLOOKUP(C125,PMGR!$CG$2:$CS$250,55,0)</f>
        <v>7074497.0059999963</v>
      </c>
      <c r="G125" s="106">
        <f>+HLOOKUP($C125,PMGR!$CG$2:$CS$250,76,0)</f>
        <v>0</v>
      </c>
      <c r="H125" s="106">
        <f>+HLOOKUP($C125,PMGR!$CG$2:$CS$250,77,0)</f>
        <v>0</v>
      </c>
      <c r="I125" s="106">
        <f>+HLOOKUP($C125,PMGR!$CG$2:$CS$250,78,0)</f>
        <v>0</v>
      </c>
      <c r="J125" s="106">
        <f>+HLOOKUP($C125,PMGR!$CG$2:$CS$250,79,0)</f>
        <v>0</v>
      </c>
      <c r="K125" s="106">
        <f>+HLOOKUP($C125,PMGR!$CG$2:$CS$250,80,0)</f>
        <v>0</v>
      </c>
      <c r="L125" s="106">
        <f>+HLOOKUP($C125,PMGR!$CG$2:$CS$250,81,0)</f>
        <v>0</v>
      </c>
      <c r="M125" s="106">
        <f>+HLOOKUP($C125,PMGR!$CG$2:$CS$250,82,0)</f>
        <v>0</v>
      </c>
      <c r="N125" s="106">
        <f>+HLOOKUP($C125,PMGR!$CG$2:$CS$250,83,0)</f>
        <v>0</v>
      </c>
      <c r="O125" s="106">
        <f>+HLOOKUP($C125,PMGR!$CG$2:$CS$250,84,0)</f>
        <v>0</v>
      </c>
      <c r="P125" s="106">
        <f>+HLOOKUP($C125,PMGR!$CG$2:$CS$250,85,0)</f>
        <v>0</v>
      </c>
      <c r="Q125" s="106">
        <f>+HLOOKUP($C125,PMGR!$CG$2:$CS$250,87,0)</f>
        <v>170379.245</v>
      </c>
      <c r="R125" s="106">
        <f>+HLOOKUP($C125,PMGR!$CG$2:$CS$250,90,0)</f>
        <v>0</v>
      </c>
      <c r="S125" s="106">
        <f>+HLOOKUP($C125,PMGR!$CG$2:$CS$250,91,0)</f>
        <v>3495</v>
      </c>
      <c r="T125" s="106">
        <f>+HLOOKUP($C125,PMGR!$CG$2:$CS$250,92,0)</f>
        <v>390.3</v>
      </c>
      <c r="U125" s="106">
        <f>+HLOOKUP($C125,PMGR!$CG$2:$CS$250,93,0)</f>
        <v>0</v>
      </c>
      <c r="V125" s="106">
        <f>+HLOOKUP($C125,PMGR!$CG$2:$CS$250,94,0)</f>
        <v>0</v>
      </c>
      <c r="W125" s="106">
        <f>+HLOOKUP($C125,PMGR!$CG$2:$CS$250,95,0)</f>
        <v>0</v>
      </c>
      <c r="X125" s="106">
        <f>+HLOOKUP($C125,PMGR!$CG$2:$CS$250,96,0)</f>
        <v>0</v>
      </c>
      <c r="Y125" s="106">
        <f>+HLOOKUP($C125,PMGR!$CG$2:$CS$250,97,0)</f>
        <v>0</v>
      </c>
      <c r="Z125" s="106">
        <f>+HLOOKUP($C125,PMGR!$CG$2:$CS$250,98,0)</f>
        <v>0</v>
      </c>
      <c r="AA125" s="106">
        <f>+HLOOKUP($C125,PMGR!$CG$2:$CS$250,99,0)</f>
        <v>0</v>
      </c>
      <c r="AB125" s="106">
        <f>+HLOOKUP($C125,PMGR!$CG$2:$CS$250,100,0)</f>
        <v>0</v>
      </c>
      <c r="AC125" s="106">
        <f>+HLOOKUP($C125,PMGR!$CG$2:$CS$250,101,0)</f>
        <v>0</v>
      </c>
      <c r="AD125" s="106">
        <f>+HLOOKUP($C125,PMGR!$CG$2:$CS$250,104,0)</f>
        <v>2346</v>
      </c>
      <c r="AE125" s="106">
        <f>+HLOOKUP($C125,PMGR!$CG$2:$CS$250,105,0)</f>
        <v>0</v>
      </c>
      <c r="AF125" s="106">
        <f>+HLOOKUP($C125,PMGR!$CG$2:$CS$250,106,0)</f>
        <v>0</v>
      </c>
      <c r="AG125" s="106">
        <f>+HLOOKUP($C125,PMGR!$CG$2:$CS$250,107,0)</f>
        <v>0</v>
      </c>
      <c r="AH125" s="106">
        <f>+HLOOKUP($C125,PMGR!$CG$2:$CS$250,108,0)</f>
        <v>0</v>
      </c>
      <c r="AI125" s="106">
        <f>+HLOOKUP($C125,PMGR!$CG$2:$CS$250,109,0)</f>
        <v>22935</v>
      </c>
      <c r="AJ125" s="106">
        <f>+HLOOKUP($C125,PMGR!$CG$2:$CS$250,110,0)</f>
        <v>0</v>
      </c>
      <c r="AK125" s="106">
        <f>+HLOOKUP($C125,PMGR!$CG$2:$CS$250,111,0)</f>
        <v>0</v>
      </c>
      <c r="AL125" s="106">
        <f>+HLOOKUP($C125,PMGR!$CG$2:$CS$250,112,0)</f>
        <v>0</v>
      </c>
      <c r="AM125" s="106">
        <f>+HLOOKUP($C125,PMGR!$CG$2:$CS$250,116,0)</f>
        <v>181552.67</v>
      </c>
      <c r="AN125" s="106">
        <f>+HLOOKUP($C125,PMGR!$CG$2:$CS$250,117,0)</f>
        <v>31604.9</v>
      </c>
      <c r="AO125" s="106">
        <f>+HLOOKUP($C125,PMGR!$CG$2:$CS$250,118,0)</f>
        <v>1000</v>
      </c>
      <c r="AP125" s="106">
        <f>+HLOOKUP($C125,PMGR!$CG$2:$CS$250,119,0)</f>
        <v>60905.73</v>
      </c>
      <c r="AQ125" s="106">
        <f>+HLOOKUP($C125,PMGR!$CG$2:$CS$250,120,0)</f>
        <v>14583.33</v>
      </c>
      <c r="AR125" s="106">
        <f>+HLOOKUP($C125,PMGR!$CG$2:$CS$250,121,0)</f>
        <v>7093.33</v>
      </c>
      <c r="AS125" s="106">
        <f>+HLOOKUP($C125,PMGR!$CG$2:$CS$250,122,0)</f>
        <v>86592.8</v>
      </c>
      <c r="AT125" s="106">
        <f>+HLOOKUP($C125,PMGR!$CG$2:$CS$250,123,0)</f>
        <v>48544.06</v>
      </c>
      <c r="AU125" s="106">
        <f>+HLOOKUP($C125,PMGR!$CG$2:$CS$250,124,0)</f>
        <v>10489.96</v>
      </c>
      <c r="AV125" s="106">
        <f>+HLOOKUP($C125,PMGR!$CG$2:$CS$250,125,0)</f>
        <v>51165</v>
      </c>
      <c r="AW125" s="106">
        <f>+HLOOKUP($C125,PMGR!$CG$2:$CS$250,126,0)</f>
        <v>18911.170192307691</v>
      </c>
      <c r="AX125" s="106">
        <f>+HLOOKUP($C125,PMGR!$CG$2:$CS$250,127,0)</f>
        <v>24153.510000000002</v>
      </c>
      <c r="AY125" s="106">
        <f>+HLOOKUP($C125,PMGR!$CG$2:$CS$250,129,0)</f>
        <v>0</v>
      </c>
      <c r="AZ125" s="106">
        <f>+HLOOKUP($C125,PMGR!$CG$2:$CS$250,130,0)</f>
        <v>0</v>
      </c>
      <c r="BA125" s="106">
        <f>+HLOOKUP($C125,PMGR!$CG$2:$CS$250,131,0)</f>
        <v>63783.333333333336</v>
      </c>
      <c r="BB125" s="106">
        <f>+HLOOKUP($C125,PMGR!$CG$2:$CS$250,133,0)</f>
        <v>0</v>
      </c>
      <c r="BC125" s="106">
        <f>+HLOOKUP($C125,PMGR!$CG$2:$CS$250,134,0)</f>
        <v>52172</v>
      </c>
      <c r="BD125" s="106">
        <f>+HLOOKUP($C125,PMGR!$CG$2:$CS$250,135,0)</f>
        <v>0</v>
      </c>
      <c r="BE125" s="106">
        <f>+HLOOKUP($C125,PMGR!$CG$2:$CS$250,136,0)</f>
        <v>0</v>
      </c>
      <c r="BF125" s="106">
        <f>+HLOOKUP($C125,PMGR!$CG$2:$CS$250,138,0)</f>
        <v>2553.6599999999994</v>
      </c>
      <c r="BG125" s="106">
        <f>+HLOOKUP($C125,PMGR!$CG$2:$CS$250,139,0)</f>
        <v>9700.6419999999998</v>
      </c>
      <c r="BH125" s="106">
        <f>+HLOOKUP($C125,PMGR!$CG$2:$CS$250,140,0)</f>
        <v>7500</v>
      </c>
      <c r="BI125" s="106">
        <f>+HLOOKUP($C125,PMGR!$CG$2:$CS$250,141,0)</f>
        <v>0</v>
      </c>
      <c r="BJ125" s="106">
        <f>+HLOOKUP($C125,PMGR!$CG$2:$CS$250,142,0)</f>
        <v>0</v>
      </c>
      <c r="BK125" s="106">
        <f>+HLOOKUP($C125,PMGR!$CG$2:$CS$250,143,0)</f>
        <v>12754.875</v>
      </c>
      <c r="BL125" s="106">
        <f>+HLOOKUP($C125,PMGR!$CG$2:$CS$250,144,0)</f>
        <v>6032.4</v>
      </c>
      <c r="BM125" s="106">
        <f>+HLOOKUP($C125,PMGR!$CG$2:$CS$250,146,0)</f>
        <v>0</v>
      </c>
      <c r="BN125" s="106">
        <f>+HLOOKUP($C125,PMGR!$CG$2:$CS$250,147,0)</f>
        <v>62130</v>
      </c>
      <c r="BO125" s="106">
        <f>+HLOOKUP($C125,PMGR!$CG$2:$CS$250,148,0)</f>
        <v>0</v>
      </c>
      <c r="BP125" s="106">
        <f>+HLOOKUP($C125,PMGR!$CG$2:$CS$250,150,0)</f>
        <v>22181.7</v>
      </c>
      <c r="BQ125" s="106">
        <f>+HLOOKUP($C125,PMGR!$CG$2:$CS$250,151,0)</f>
        <v>1417.5</v>
      </c>
      <c r="BR125" s="106">
        <f>+HLOOKUP($C125,PMGR!$CG$2:$CS$250,152,0)</f>
        <v>9600</v>
      </c>
      <c r="BS125" s="106">
        <f>+HLOOKUP($C125,PMGR!$CG$2:$CS$250,153,0)</f>
        <v>480</v>
      </c>
      <c r="BT125" s="106">
        <f>+HLOOKUP($C125,PMGR!$CG$2:$CS$250,157,0)</f>
        <v>27390</v>
      </c>
      <c r="BU125" s="106">
        <f>+HLOOKUP($C125,PMGR!$CG$2:$CS$250,158,0)</f>
        <v>1168.8084000000001</v>
      </c>
      <c r="BV125" s="106">
        <f>+HLOOKUP($C125,PMGR!$CG$2:$CS$250,159,0)</f>
        <v>204.16799999999998</v>
      </c>
      <c r="BW125" s="106">
        <f>+HLOOKUP($C125,PMGR!$CG$2:$CS$250,160,0)</f>
        <v>0</v>
      </c>
      <c r="BX125" s="106">
        <f>+HLOOKUP($C125,PMGR!$CG$2:$CS$250,161,0)</f>
        <v>4024.3320000000003</v>
      </c>
      <c r="BY125" s="106">
        <f>+HLOOKUP($C125,PMGR!$CG$2:$CS$250,164,0)</f>
        <v>1206.6398999999999</v>
      </c>
      <c r="BZ125" s="106">
        <f>+HLOOKUP($C125,PMGR!$CG$2:$CS$250,165,0)</f>
        <v>27421.87</v>
      </c>
      <c r="CA125" s="106">
        <f>+HLOOKUP($C125,PMGR!$CG$2:$CS$250,166,0)</f>
        <v>0</v>
      </c>
      <c r="CB125" s="106">
        <f>+HLOOKUP($C125,PMGR!$CG$2:$CS$250,167,0)</f>
        <v>0</v>
      </c>
      <c r="CC125" s="106">
        <f>+HLOOKUP($C125,PMGR!$CG$2:$CS$250,168,0)</f>
        <v>0</v>
      </c>
      <c r="CD125" s="106">
        <f>+HLOOKUP($C125,PMGR!$CG$2:$CS$250,169,0)</f>
        <v>1851.3548999999998</v>
      </c>
      <c r="CE125" s="106">
        <f>+HLOOKUP($C125,PMGR!$CG$2:$CS$250,170,0)</f>
        <v>0</v>
      </c>
      <c r="CF125" s="106">
        <f>+HLOOKUP($C125,PMGR!$CG$2:$CS$250,172,0)</f>
        <v>10800</v>
      </c>
      <c r="CG125" s="106">
        <f>+HLOOKUP($C125,PMGR!$CG$2:$CS$250,173,0)</f>
        <v>0</v>
      </c>
      <c r="CH125" s="106">
        <f>+HLOOKUP($C125,PMGR!$CG$2:$CS$250,174,0)</f>
        <v>35538</v>
      </c>
      <c r="CI125" s="106">
        <f>+HLOOKUP($C125,PMGR!$CG$2:$CS$250,175,0)</f>
        <v>4458</v>
      </c>
      <c r="CJ125" s="106">
        <f>+HLOOKUP($C125,PMGR!$CG$2:$CS$250,176,0)</f>
        <v>1501.2297000000001</v>
      </c>
      <c r="CK125" s="106">
        <f>+HLOOKUP($C125,PMGR!$CG$2:$CS$250,178,0)</f>
        <v>110934.39999999999</v>
      </c>
      <c r="CL125" s="106">
        <f>+HLOOKUP($C125,PMGR!$CG$2:$CS$250,179,0)</f>
        <v>0</v>
      </c>
      <c r="CM125" s="106">
        <f>+HLOOKUP($C125,PMGR!$CG$2:$CS$250,180,0)</f>
        <v>19600</v>
      </c>
      <c r="CN125" s="106">
        <f>+HLOOKUP($C125,PMGR!$CG$2:$CS$250,182,0)</f>
        <v>0</v>
      </c>
      <c r="CO125" s="106">
        <f>+HLOOKUP($C125,PMGR!$CG$2:$CS$250,183,0)</f>
        <v>6735.2970000000005</v>
      </c>
      <c r="CP125" s="106">
        <f>+HLOOKUP($C125,PMGR!$CG$2:$CS$250,184,0)</f>
        <v>0</v>
      </c>
      <c r="CQ125" s="106">
        <f>+HLOOKUP($C125,PMGR!$CG$2:$CS$250,185,0)</f>
        <v>0</v>
      </c>
      <c r="CR125" s="106">
        <f>+HLOOKUP($C125,PMGR!$CG$2:$CS$250,187,0)</f>
        <v>0</v>
      </c>
      <c r="CS125" s="106">
        <f>+HLOOKUP($C125,PMGR!$CG$2:$CS$250,188,0)</f>
        <v>1350</v>
      </c>
      <c r="CT125" s="106">
        <f>+HLOOKUP($C125,PMGR!$CG$2:$CS$250,189,0)</f>
        <v>0</v>
      </c>
      <c r="CU125" s="106">
        <f>+HLOOKUP($C125,PMGR!$CG$2:$CS$250,190,0)</f>
        <v>749.96999999999991</v>
      </c>
      <c r="CV125" s="106">
        <f>+HLOOKUP($C125,PMGR!$CG$2:$CS$250,191,0)</f>
        <v>0</v>
      </c>
      <c r="CW125" s="106">
        <f>+HLOOKUP($C125,PMGR!$CG$2:$CS$250,193,0)</f>
        <v>3529.8</v>
      </c>
      <c r="CX125" s="106">
        <f>+HLOOKUP($C125,PMGR!$CG$2:$CS$250,194,0)</f>
        <v>23.849999999999998</v>
      </c>
      <c r="CY125" s="106">
        <f>+HLOOKUP($C125,PMGR!$CG$2:$CS$250,195,0)</f>
        <v>825.03599999999994</v>
      </c>
      <c r="CZ125" s="106">
        <f>+HLOOKUP($C125,PMGR!$CG$2:$CS$250,196,0)</f>
        <v>0</v>
      </c>
      <c r="DA125" s="106">
        <f>+HLOOKUP($C125,PMGR!$CG$2:$CS$250,197,0)</f>
        <v>6246.6299999999992</v>
      </c>
      <c r="DB125" s="106">
        <f>+HLOOKUP($C125,PMGR!$CG$2:$CS$250,198,0)</f>
        <v>1756.6020000000001</v>
      </c>
      <c r="DC125" s="106">
        <f>+HLOOKUP($C125,PMGR!$CG$2:$CS$250,199,0)</f>
        <v>180</v>
      </c>
      <c r="DD125" s="106">
        <f>+HLOOKUP($C125,PMGR!$CG$2:$CS$250,200,0)</f>
        <v>323</v>
      </c>
      <c r="DE125" s="106">
        <f>+HLOOKUP($C125,PMGR!$CG$2:$CS$250,201,0)</f>
        <v>0</v>
      </c>
      <c r="DF125" s="106">
        <f>+HLOOKUP($C125,PMGR!$CG$2:$CS$250,202,0)</f>
        <v>-0.85260000000000014</v>
      </c>
      <c r="DG125" s="106">
        <f>+HLOOKUP($C125,PMGR!$CG$2:$CS$250,203,0)</f>
        <v>0</v>
      </c>
      <c r="DH125" s="106">
        <f>+HLOOKUP($C125,PMGR!$CG$2:$CS$250,205,0)</f>
        <v>0</v>
      </c>
      <c r="DI125" s="106">
        <f>+HLOOKUP($C125,PMGR!$CG$2:$CS$250,206,0)</f>
        <v>3654.9453000000003</v>
      </c>
      <c r="DJ125" s="106">
        <f>+HLOOKUP($C125,PMGR!$CG$2:$CS$250,207,0)</f>
        <v>5655.4952999999969</v>
      </c>
      <c r="DK125" s="106">
        <f>+HLOOKUP($C125,PMGR!$CG$2:$CS$250,209,0)</f>
        <v>0</v>
      </c>
      <c r="DL125" s="106">
        <f>+HLOOKUP($C125,PMGR!$CG$2:$CS$250,210,0)</f>
        <v>73538.099999999991</v>
      </c>
      <c r="DM125" s="106">
        <f>+HLOOKUP($C125,PMGR!$CG$2:$CS$250,211,0)</f>
        <v>0</v>
      </c>
      <c r="DN125" s="106">
        <f>+HLOOKUP($C125,PMGR!$CG$2:$CS$250,212,0)</f>
        <v>14400</v>
      </c>
      <c r="DO125" s="106">
        <f>+HLOOKUP($C125,PMGR!$CG$2:$CS$250,214,0)</f>
        <v>0</v>
      </c>
      <c r="DP125" s="106">
        <f>+HLOOKUP($C125,PMGR!$CG$2:$CS$250,215,0)</f>
        <v>1020</v>
      </c>
      <c r="DQ125" s="106">
        <f>+HLOOKUP($C125,PMGR!$CG$2:$CS$250,219,0)</f>
        <v>0</v>
      </c>
      <c r="DR125" s="106">
        <f>+HLOOKUP($C125,PMGR!$CG$2:$CS$250,220,0)</f>
        <v>0</v>
      </c>
      <c r="DS125" s="106">
        <f>+HLOOKUP($C125,PMGR!$CG$2:$CS$250,221,0)</f>
        <v>0</v>
      </c>
      <c r="DT125" s="106">
        <f>+HLOOKUP($C125,PMGR!$CG$2:$CS$250,223,0)</f>
        <v>6990.4763999999996</v>
      </c>
      <c r="DU125" s="106">
        <f>+HLOOKUP($C125,PMGR!$CG$2:$CS$250,224,0)</f>
        <v>0</v>
      </c>
      <c r="DV125" s="106">
        <f>+HLOOKUP($C125,PMGR!$CG$2:$CS$250,225,0)</f>
        <v>0</v>
      </c>
      <c r="DW125" s="106">
        <f>+HLOOKUP($C125,PMGR!$CG$2:$CS$250,227,0)</f>
        <v>0</v>
      </c>
      <c r="DX125" s="106">
        <f>+HLOOKUP($C125,PMGR!$CG$2:$CS$250,228,0)</f>
        <v>6501.4199999999992</v>
      </c>
      <c r="DY125" s="106">
        <f>+HLOOKUP($C125,PMGR!$CG$2:$CS$250,236,0)</f>
        <v>0</v>
      </c>
      <c r="DZ125" s="106">
        <f>+HLOOKUP($C125,PMGR!$CG$2:$CS$250,237,0)</f>
        <v>105411.34044</v>
      </c>
      <c r="EA125" s="106">
        <f>+HLOOKUP($C125,PMGR!$CG$2:$CS$250,238,0)</f>
        <v>38396</v>
      </c>
      <c r="EB125" s="106">
        <f>+HLOOKUP($C125,PMGR!$CG$2:$CS$250,240,0)</f>
        <v>292179.86691964284</v>
      </c>
    </row>
    <row r="126" spans="1:132" hidden="1">
      <c r="A126" t="s">
        <v>271</v>
      </c>
      <c r="B126" t="s">
        <v>217</v>
      </c>
      <c r="C126" s="117">
        <v>45505</v>
      </c>
      <c r="D126" s="106">
        <f t="shared" si="4"/>
        <v>10069677.740299961</v>
      </c>
      <c r="E126" s="106">
        <f>+HLOOKUP(C126,PMGR!$CG$2:$CS$250,28,0)+HLOOKUP(C126,PMGR!$CG$2:$CS$250,43,0)+HLOOKUP(C126,PMGR!$CG$2:$CS$250,44,0)+HLOOKUP(C126,PMGR!$CG$2:$CS$250,45,0)+HLOOKUP(C126,PMGR!$CG$2:$CS$250,54,0)+HLOOKUP(C126,PMGR!$CG$2:$CS$250,59,0)</f>
        <v>10069677.740299961</v>
      </c>
      <c r="F126" s="106">
        <f>+HLOOKUP(C126,PMGR!$CG$2:$CS$250,37,0)+HLOOKUP(C126,PMGR!$CG$2:$CS$250,55,0)</f>
        <v>6394371.4459999995</v>
      </c>
      <c r="G126" s="106">
        <f>+HLOOKUP($C126,PMGR!$CG$2:$CS$250,76,0)</f>
        <v>0</v>
      </c>
      <c r="H126" s="106">
        <f>+HLOOKUP($C126,PMGR!$CG$2:$CS$250,77,0)</f>
        <v>0</v>
      </c>
      <c r="I126" s="106">
        <f>+HLOOKUP($C126,PMGR!$CG$2:$CS$250,78,0)</f>
        <v>0</v>
      </c>
      <c r="J126" s="106">
        <f>+HLOOKUP($C126,PMGR!$CG$2:$CS$250,79,0)</f>
        <v>0</v>
      </c>
      <c r="K126" s="106">
        <f>+HLOOKUP($C126,PMGR!$CG$2:$CS$250,80,0)</f>
        <v>11747</v>
      </c>
      <c r="L126" s="106">
        <f>+HLOOKUP($C126,PMGR!$CG$2:$CS$250,81,0)</f>
        <v>0</v>
      </c>
      <c r="M126" s="106">
        <f>+HLOOKUP($C126,PMGR!$CG$2:$CS$250,82,0)</f>
        <v>0</v>
      </c>
      <c r="N126" s="106">
        <f>+HLOOKUP($C126,PMGR!$CG$2:$CS$250,83,0)</f>
        <v>0</v>
      </c>
      <c r="O126" s="106">
        <f>+HLOOKUP($C126,PMGR!$CG$2:$CS$250,84,0)</f>
        <v>0</v>
      </c>
      <c r="P126" s="106">
        <f>+HLOOKUP($C126,PMGR!$CG$2:$CS$250,85,0)</f>
        <v>0</v>
      </c>
      <c r="Q126" s="106">
        <f>+HLOOKUP($C126,PMGR!$CG$2:$CS$250,87,0)</f>
        <v>59225</v>
      </c>
      <c r="R126" s="106">
        <f>+HLOOKUP($C126,PMGR!$CG$2:$CS$250,90,0)</f>
        <v>0</v>
      </c>
      <c r="S126" s="106">
        <f>+HLOOKUP($C126,PMGR!$CG$2:$CS$250,91,0)</f>
        <v>1910</v>
      </c>
      <c r="T126" s="106">
        <f>+HLOOKUP($C126,PMGR!$CG$2:$CS$250,92,0)</f>
        <v>208.92599999999999</v>
      </c>
      <c r="U126" s="106">
        <f>+HLOOKUP($C126,PMGR!$CG$2:$CS$250,93,0)</f>
        <v>0</v>
      </c>
      <c r="V126" s="106">
        <f>+HLOOKUP($C126,PMGR!$CG$2:$CS$250,94,0)</f>
        <v>0</v>
      </c>
      <c r="W126" s="106">
        <f>+HLOOKUP($C126,PMGR!$CG$2:$CS$250,95,0)</f>
        <v>0</v>
      </c>
      <c r="X126" s="106">
        <f>+HLOOKUP($C126,PMGR!$CG$2:$CS$250,96,0)</f>
        <v>6735.3</v>
      </c>
      <c r="Y126" s="106">
        <f>+HLOOKUP($C126,PMGR!$CG$2:$CS$250,97,0)</f>
        <v>0</v>
      </c>
      <c r="Z126" s="106">
        <f>+HLOOKUP($C126,PMGR!$CG$2:$CS$250,98,0)</f>
        <v>0</v>
      </c>
      <c r="AA126" s="106">
        <f>+HLOOKUP($C126,PMGR!$CG$2:$CS$250,99,0)</f>
        <v>0</v>
      </c>
      <c r="AB126" s="106">
        <f>+HLOOKUP($C126,PMGR!$CG$2:$CS$250,100,0)</f>
        <v>0</v>
      </c>
      <c r="AC126" s="106">
        <f>+HLOOKUP($C126,PMGR!$CG$2:$CS$250,101,0)</f>
        <v>0</v>
      </c>
      <c r="AD126" s="106">
        <f>+HLOOKUP($C126,PMGR!$CG$2:$CS$250,104,0)</f>
        <v>0</v>
      </c>
      <c r="AE126" s="106">
        <f>+HLOOKUP($C126,PMGR!$CG$2:$CS$250,105,0)</f>
        <v>0</v>
      </c>
      <c r="AF126" s="106">
        <f>+HLOOKUP($C126,PMGR!$CG$2:$CS$250,106,0)</f>
        <v>0</v>
      </c>
      <c r="AG126" s="106">
        <f>+HLOOKUP($C126,PMGR!$CG$2:$CS$250,107,0)</f>
        <v>0</v>
      </c>
      <c r="AH126" s="106">
        <f>+HLOOKUP($C126,PMGR!$CG$2:$CS$250,108,0)</f>
        <v>0</v>
      </c>
      <c r="AI126" s="106">
        <f>+HLOOKUP($C126,PMGR!$CG$2:$CS$250,109,0)</f>
        <v>727.92000000000041</v>
      </c>
      <c r="AJ126" s="106">
        <f>+HLOOKUP($C126,PMGR!$CG$2:$CS$250,110,0)</f>
        <v>0</v>
      </c>
      <c r="AK126" s="106">
        <f>+HLOOKUP($C126,PMGR!$CG$2:$CS$250,111,0)</f>
        <v>0</v>
      </c>
      <c r="AL126" s="106">
        <f>+HLOOKUP($C126,PMGR!$CG$2:$CS$250,112,0)</f>
        <v>0</v>
      </c>
      <c r="AM126" s="106">
        <f>+HLOOKUP($C126,PMGR!$CG$2:$CS$250,116,0)</f>
        <v>194743.14161290298</v>
      </c>
      <c r="AN126" s="106">
        <f>+HLOOKUP($C126,PMGR!$CG$2:$CS$250,117,0)</f>
        <v>33381.65</v>
      </c>
      <c r="AO126" s="106">
        <f>+HLOOKUP($C126,PMGR!$CG$2:$CS$250,118,0)</f>
        <v>3258</v>
      </c>
      <c r="AP126" s="106">
        <f>+HLOOKUP($C126,PMGR!$CG$2:$CS$250,119,0)</f>
        <v>64093.729999999996</v>
      </c>
      <c r="AQ126" s="106">
        <f>+HLOOKUP($C126,PMGR!$CG$2:$CS$250,120,0)</f>
        <v>14567</v>
      </c>
      <c r="AR126" s="106">
        <f>+HLOOKUP($C126,PMGR!$CG$2:$CS$250,121,0)</f>
        <v>7216.32</v>
      </c>
      <c r="AS126" s="106">
        <f>+HLOOKUP($C126,PMGR!$CG$2:$CS$250,122,0)</f>
        <v>83880.33</v>
      </c>
      <c r="AT126" s="106">
        <f>+HLOOKUP($C126,PMGR!$CG$2:$CS$250,123,0)</f>
        <v>48544.06</v>
      </c>
      <c r="AU126" s="106">
        <f>+HLOOKUP($C126,PMGR!$CG$2:$CS$250,124,0)</f>
        <v>10489.96</v>
      </c>
      <c r="AV126" s="106">
        <f>+HLOOKUP($C126,PMGR!$CG$2:$CS$250,125,0)</f>
        <v>51165</v>
      </c>
      <c r="AW126" s="106">
        <f>+HLOOKUP($C126,PMGR!$CG$2:$CS$250,126,0)</f>
        <v>18911.170192307691</v>
      </c>
      <c r="AX126" s="106">
        <f>+HLOOKUP($C126,PMGR!$CG$2:$CS$250,127,0)</f>
        <v>24153.510000000002</v>
      </c>
      <c r="AY126" s="106">
        <f>+HLOOKUP($C126,PMGR!$CG$2:$CS$250,129,0)</f>
        <v>0</v>
      </c>
      <c r="AZ126" s="106">
        <f>+HLOOKUP($C126,PMGR!$CG$2:$CS$250,130,0)</f>
        <v>0</v>
      </c>
      <c r="BA126" s="106">
        <f>+HLOOKUP($C126,PMGR!$CG$2:$CS$250,131,0)</f>
        <v>63783.333333333336</v>
      </c>
      <c r="BB126" s="106">
        <f>+HLOOKUP($C126,PMGR!$CG$2:$CS$250,133,0)</f>
        <v>0</v>
      </c>
      <c r="BC126" s="106">
        <f>+HLOOKUP($C126,PMGR!$CG$2:$CS$250,134,0)</f>
        <v>92157.925599999988</v>
      </c>
      <c r="BD126" s="106">
        <f>+HLOOKUP($C126,PMGR!$CG$2:$CS$250,135,0)</f>
        <v>0</v>
      </c>
      <c r="BE126" s="106">
        <f>+HLOOKUP($C126,PMGR!$CG$2:$CS$250,136,0)</f>
        <v>0</v>
      </c>
      <c r="BF126" s="106">
        <f>+HLOOKUP($C126,PMGR!$CG$2:$CS$250,138,0)</f>
        <v>3151.5599999999995</v>
      </c>
      <c r="BG126" s="106">
        <f>+HLOOKUP($C126,PMGR!$CG$2:$CS$250,139,0)</f>
        <v>7842.2199999999993</v>
      </c>
      <c r="BH126" s="106">
        <f>+HLOOKUP($C126,PMGR!$CG$2:$CS$250,140,0)</f>
        <v>7500</v>
      </c>
      <c r="BI126" s="106">
        <f>+HLOOKUP($C126,PMGR!$CG$2:$CS$250,141,0)</f>
        <v>0</v>
      </c>
      <c r="BJ126" s="106">
        <f>+HLOOKUP($C126,PMGR!$CG$2:$CS$250,142,0)</f>
        <v>0</v>
      </c>
      <c r="BK126" s="106">
        <f>+HLOOKUP($C126,PMGR!$CG$2:$CS$250,143,0)</f>
        <v>12754.875</v>
      </c>
      <c r="BL126" s="106">
        <f>+HLOOKUP($C126,PMGR!$CG$2:$CS$250,144,0)</f>
        <v>0</v>
      </c>
      <c r="BM126" s="106">
        <f>+HLOOKUP($C126,PMGR!$CG$2:$CS$250,146,0)</f>
        <v>0</v>
      </c>
      <c r="BN126" s="106">
        <f>+HLOOKUP($C126,PMGR!$CG$2:$CS$250,147,0)</f>
        <v>29718</v>
      </c>
      <c r="BO126" s="106">
        <f>+HLOOKUP($C126,PMGR!$CG$2:$CS$250,148,0)</f>
        <v>0</v>
      </c>
      <c r="BP126" s="106">
        <f>+HLOOKUP($C126,PMGR!$CG$2:$CS$250,150,0)</f>
        <v>20014.5</v>
      </c>
      <c r="BQ126" s="106">
        <f>+HLOOKUP($C126,PMGR!$CG$2:$CS$250,151,0)</f>
        <v>1417.5</v>
      </c>
      <c r="BR126" s="106">
        <f>+HLOOKUP($C126,PMGR!$CG$2:$CS$250,152,0)</f>
        <v>9600</v>
      </c>
      <c r="BS126" s="106">
        <f>+HLOOKUP($C126,PMGR!$CG$2:$CS$250,153,0)</f>
        <v>17880</v>
      </c>
      <c r="BT126" s="106">
        <f>+HLOOKUP($C126,PMGR!$CG$2:$CS$250,157,0)</f>
        <v>0</v>
      </c>
      <c r="BU126" s="106">
        <f>+HLOOKUP($C126,PMGR!$CG$2:$CS$250,158,0)</f>
        <v>1525.42</v>
      </c>
      <c r="BV126" s="106">
        <f>+HLOOKUP($C126,PMGR!$CG$2:$CS$250,159,0)</f>
        <v>204.29999999999998</v>
      </c>
      <c r="BW126" s="106">
        <f>+HLOOKUP($C126,PMGR!$CG$2:$CS$250,160,0)</f>
        <v>17000</v>
      </c>
      <c r="BX126" s="106">
        <f>+HLOOKUP($C126,PMGR!$CG$2:$CS$250,161,0)</f>
        <v>11061.77</v>
      </c>
      <c r="BY126" s="106">
        <f>+HLOOKUP($C126,PMGR!$CG$2:$CS$250,164,0)</f>
        <v>882.5652</v>
      </c>
      <c r="BZ126" s="106">
        <f>+HLOOKUP($C126,PMGR!$CG$2:$CS$250,165,0)</f>
        <v>35473.629999999997</v>
      </c>
      <c r="CA126" s="106">
        <f>+HLOOKUP($C126,PMGR!$CG$2:$CS$250,166,0)</f>
        <v>0</v>
      </c>
      <c r="CB126" s="106">
        <f>+HLOOKUP($C126,PMGR!$CG$2:$CS$250,167,0)</f>
        <v>3280</v>
      </c>
      <c r="CC126" s="106">
        <f>+HLOOKUP($C126,PMGR!$CG$2:$CS$250,168,0)</f>
        <v>0</v>
      </c>
      <c r="CD126" s="106">
        <f>+HLOOKUP($C126,PMGR!$CG$2:$CS$250,169,0)</f>
        <v>45</v>
      </c>
      <c r="CE126" s="106">
        <f>+HLOOKUP($C126,PMGR!$CG$2:$CS$250,170,0)</f>
        <v>0</v>
      </c>
      <c r="CF126" s="106">
        <f>+HLOOKUP($C126,PMGR!$CG$2:$CS$250,172,0)</f>
        <v>10800</v>
      </c>
      <c r="CG126" s="106">
        <f>+HLOOKUP($C126,PMGR!$CG$2:$CS$250,173,0)</f>
        <v>0</v>
      </c>
      <c r="CH126" s="106">
        <f>+HLOOKUP($C126,PMGR!$CG$2:$CS$250,174,0)</f>
        <v>35538</v>
      </c>
      <c r="CI126" s="106">
        <f>+HLOOKUP($C126,PMGR!$CG$2:$CS$250,175,0)</f>
        <v>4458</v>
      </c>
      <c r="CJ126" s="106">
        <f>+HLOOKUP($C126,PMGR!$CG$2:$CS$250,176,0)</f>
        <v>1501.2</v>
      </c>
      <c r="CK126" s="106">
        <f>+HLOOKUP($C126,PMGR!$CG$2:$CS$250,178,0)</f>
        <v>40385.58</v>
      </c>
      <c r="CL126" s="106">
        <f>+HLOOKUP($C126,PMGR!$CG$2:$CS$250,179,0)</f>
        <v>9505</v>
      </c>
      <c r="CM126" s="106">
        <f>+HLOOKUP($C126,PMGR!$CG$2:$CS$250,180,0)</f>
        <v>14000</v>
      </c>
      <c r="CN126" s="106">
        <f>+HLOOKUP($C126,PMGR!$CG$2:$CS$250,182,0)</f>
        <v>0</v>
      </c>
      <c r="CO126" s="106">
        <f>+HLOOKUP($C126,PMGR!$CG$2:$CS$250,183,0)</f>
        <v>0</v>
      </c>
      <c r="CP126" s="106">
        <f>+HLOOKUP($C126,PMGR!$CG$2:$CS$250,184,0)</f>
        <v>0</v>
      </c>
      <c r="CQ126" s="106">
        <f>+HLOOKUP($C126,PMGR!$CG$2:$CS$250,185,0)</f>
        <v>0</v>
      </c>
      <c r="CR126" s="106">
        <f>+HLOOKUP($C126,PMGR!$CG$2:$CS$250,187,0)</f>
        <v>1874.9997000000001</v>
      </c>
      <c r="CS126" s="106">
        <f>+HLOOKUP($C126,PMGR!$CG$2:$CS$250,188,0)</f>
        <v>1350</v>
      </c>
      <c r="CT126" s="106">
        <f>+HLOOKUP($C126,PMGR!$CG$2:$CS$250,189,0)</f>
        <v>0</v>
      </c>
      <c r="CU126" s="106">
        <f>+HLOOKUP($C126,PMGR!$CG$2:$CS$250,190,0)</f>
        <v>749.97</v>
      </c>
      <c r="CV126" s="106">
        <f>+HLOOKUP($C126,PMGR!$CG$2:$CS$250,191,0)</f>
        <v>0</v>
      </c>
      <c r="CW126" s="106">
        <f>+HLOOKUP($C126,PMGR!$CG$2:$CS$250,193,0)</f>
        <v>3529.7999999999997</v>
      </c>
      <c r="CX126" s="106">
        <f>+HLOOKUP($C126,PMGR!$CG$2:$CS$250,194,0)</f>
        <v>23.849999999999998</v>
      </c>
      <c r="CY126" s="106">
        <f>+HLOOKUP($C126,PMGR!$CG$2:$CS$250,195,0)</f>
        <v>825</v>
      </c>
      <c r="CZ126" s="106">
        <f>+HLOOKUP($C126,PMGR!$CG$2:$CS$250,196,0)</f>
        <v>0</v>
      </c>
      <c r="DA126" s="106">
        <f>+HLOOKUP($C126,PMGR!$CG$2:$CS$250,197,0)</f>
        <v>3495.6066000000001</v>
      </c>
      <c r="DB126" s="106">
        <f>+HLOOKUP($C126,PMGR!$CG$2:$CS$250,198,0)</f>
        <v>1120.69</v>
      </c>
      <c r="DC126" s="106">
        <f>+HLOOKUP($C126,PMGR!$CG$2:$CS$250,199,0)</f>
        <v>1267.653</v>
      </c>
      <c r="DD126" s="106">
        <f>+HLOOKUP($C126,PMGR!$CG$2:$CS$250,200,0)</f>
        <v>800</v>
      </c>
      <c r="DE126" s="106">
        <f>+HLOOKUP($C126,PMGR!$CG$2:$CS$250,201,0)</f>
        <v>0</v>
      </c>
      <c r="DF126" s="106">
        <f>+HLOOKUP($C126,PMGR!$CG$2:$CS$250,202,0)</f>
        <v>10.277999999999999</v>
      </c>
      <c r="DG126" s="106">
        <f>+HLOOKUP($C126,PMGR!$CG$2:$CS$250,203,0)</f>
        <v>0</v>
      </c>
      <c r="DH126" s="106">
        <f>+HLOOKUP($C126,PMGR!$CG$2:$CS$250,205,0)</f>
        <v>0</v>
      </c>
      <c r="DI126" s="106">
        <f>+HLOOKUP($C126,PMGR!$CG$2:$CS$250,206,0)</f>
        <v>3654.9300000000003</v>
      </c>
      <c r="DJ126" s="106">
        <f>+HLOOKUP($C126,PMGR!$CG$2:$CS$250,207,0)</f>
        <v>5415.3333102564038</v>
      </c>
      <c r="DK126" s="106">
        <f>+HLOOKUP($C126,PMGR!$CG$2:$CS$250,209,0)</f>
        <v>0</v>
      </c>
      <c r="DL126" s="106">
        <f>+HLOOKUP($C126,PMGR!$CG$2:$CS$250,210,0)</f>
        <v>66852.899999999994</v>
      </c>
      <c r="DM126" s="106">
        <f>+HLOOKUP($C126,PMGR!$CG$2:$CS$250,211,0)</f>
        <v>0</v>
      </c>
      <c r="DN126" s="106">
        <f>+HLOOKUP($C126,PMGR!$CG$2:$CS$250,212,0)</f>
        <v>14400</v>
      </c>
      <c r="DO126" s="106">
        <f>+HLOOKUP($C126,PMGR!$CG$2:$CS$250,214,0)</f>
        <v>0</v>
      </c>
      <c r="DP126" s="106">
        <f>+HLOOKUP($C126,PMGR!$CG$2:$CS$250,215,0)</f>
        <v>1080</v>
      </c>
      <c r="DQ126" s="106">
        <f>+HLOOKUP($C126,PMGR!$CG$2:$CS$250,219,0)</f>
        <v>0</v>
      </c>
      <c r="DR126" s="106">
        <f>+HLOOKUP($C126,PMGR!$CG$2:$CS$250,220,0)</f>
        <v>0</v>
      </c>
      <c r="DS126" s="106">
        <f>+HLOOKUP($C126,PMGR!$CG$2:$CS$250,221,0)</f>
        <v>0</v>
      </c>
      <c r="DT126" s="106">
        <f>+HLOOKUP($C126,PMGR!$CG$2:$CS$250,223,0)</f>
        <v>6728.5458000000008</v>
      </c>
      <c r="DU126" s="106">
        <f>+HLOOKUP($C126,PMGR!$CG$2:$CS$250,224,0)</f>
        <v>0</v>
      </c>
      <c r="DV126" s="106">
        <f>+HLOOKUP($C126,PMGR!$CG$2:$CS$250,225,0)</f>
        <v>0</v>
      </c>
      <c r="DW126" s="106">
        <f>+HLOOKUP($C126,PMGR!$CG$2:$CS$250,227,0)</f>
        <v>0</v>
      </c>
      <c r="DX126" s="106">
        <f>+HLOOKUP($C126,PMGR!$CG$2:$CS$250,228,0)</f>
        <v>3858.48</v>
      </c>
      <c r="DY126" s="106">
        <f>+HLOOKUP($C126,PMGR!$CG$2:$CS$250,236,0)</f>
        <v>0</v>
      </c>
      <c r="DZ126" s="106">
        <f>+HLOOKUP($C126,PMGR!$CG$2:$CS$250,237,0)</f>
        <v>110238.70662</v>
      </c>
      <c r="EA126" s="106">
        <f>+HLOOKUP($C126,PMGR!$CG$2:$CS$250,238,0)</f>
        <v>40082.400000000001</v>
      </c>
      <c r="EB126" s="106">
        <f>+HLOOKUP($C126,PMGR!$CG$2:$CS$250,240,0)</f>
        <v>292179.86691964284</v>
      </c>
    </row>
    <row r="127" spans="1:132" hidden="1">
      <c r="A127" t="s">
        <v>271</v>
      </c>
      <c r="B127" t="s">
        <v>217</v>
      </c>
      <c r="C127" s="117">
        <v>45474</v>
      </c>
      <c r="D127" s="106">
        <f t="shared" si="4"/>
        <v>10689067.370337816</v>
      </c>
      <c r="E127" s="106">
        <f>+HLOOKUP(C127,PMGR!$CG$2:$CS$250,28,0)+HLOOKUP(C127,PMGR!$CG$2:$CS$250,43,0)+HLOOKUP(C127,PMGR!$CG$2:$CS$250,44,0)+HLOOKUP(C127,PMGR!$CG$2:$CS$250,45,0)+HLOOKUP(C127,PMGR!$CG$2:$CS$250,54,0)+HLOOKUP(C127,PMGR!$CG$2:$CS$250,59,0)</f>
        <v>10689067.370337816</v>
      </c>
      <c r="F127" s="106">
        <f>+HLOOKUP(C127,PMGR!$CG$2:$CS$250,37,0)+HLOOKUP(C127,PMGR!$CG$2:$CS$250,55,0)</f>
        <v>6668946.5140000032</v>
      </c>
      <c r="G127" s="106">
        <f>+HLOOKUP($C127,PMGR!$CG$2:$CS$250,76,0)</f>
        <v>0</v>
      </c>
      <c r="H127" s="106">
        <f>+HLOOKUP($C127,PMGR!$CG$2:$CS$250,77,0)</f>
        <v>0</v>
      </c>
      <c r="I127" s="106">
        <f>+HLOOKUP($C127,PMGR!$CG$2:$CS$250,78,0)</f>
        <v>0</v>
      </c>
      <c r="J127" s="106">
        <f>+HLOOKUP($C127,PMGR!$CG$2:$CS$250,79,0)</f>
        <v>0</v>
      </c>
      <c r="K127" s="106">
        <f>+HLOOKUP($C127,PMGR!$CG$2:$CS$250,80,0)</f>
        <v>0</v>
      </c>
      <c r="L127" s="106">
        <f>+HLOOKUP($C127,PMGR!$CG$2:$CS$250,81,0)</f>
        <v>0</v>
      </c>
      <c r="M127" s="106">
        <f>+HLOOKUP($C127,PMGR!$CG$2:$CS$250,82,0)</f>
        <v>0</v>
      </c>
      <c r="N127" s="106">
        <f>+HLOOKUP($C127,PMGR!$CG$2:$CS$250,83,0)</f>
        <v>0</v>
      </c>
      <c r="O127" s="106">
        <f>+HLOOKUP($C127,PMGR!$CG$2:$CS$250,84,0)</f>
        <v>0</v>
      </c>
      <c r="P127" s="106">
        <f>+HLOOKUP($C127,PMGR!$CG$2:$CS$250,85,0)</f>
        <v>0</v>
      </c>
      <c r="Q127" s="106">
        <f>+HLOOKUP($C127,PMGR!$CG$2:$CS$250,87,0)</f>
        <v>211472.14599999986</v>
      </c>
      <c r="R127" s="106">
        <f>+HLOOKUP($C127,PMGR!$CG$2:$CS$250,90,0)</f>
        <v>0</v>
      </c>
      <c r="S127" s="106">
        <f>+HLOOKUP($C127,PMGR!$CG$2:$CS$250,91,0)</f>
        <v>2420</v>
      </c>
      <c r="T127" s="106">
        <f>+HLOOKUP($C127,PMGR!$CG$2:$CS$250,92,0)</f>
        <v>208.92599999999999</v>
      </c>
      <c r="U127" s="106">
        <f>+HLOOKUP($C127,PMGR!$CG$2:$CS$250,93,0)</f>
        <v>0</v>
      </c>
      <c r="V127" s="106">
        <f>+HLOOKUP($C127,PMGR!$CG$2:$CS$250,94,0)</f>
        <v>0</v>
      </c>
      <c r="W127" s="106">
        <f>+HLOOKUP($C127,PMGR!$CG$2:$CS$250,95,0)</f>
        <v>0</v>
      </c>
      <c r="X127" s="106">
        <f>+HLOOKUP($C127,PMGR!$CG$2:$CS$250,96,0)</f>
        <v>0</v>
      </c>
      <c r="Y127" s="106">
        <f>+HLOOKUP($C127,PMGR!$CG$2:$CS$250,97,0)</f>
        <v>0</v>
      </c>
      <c r="Z127" s="106">
        <f>+HLOOKUP($C127,PMGR!$CG$2:$CS$250,98,0)</f>
        <v>0</v>
      </c>
      <c r="AA127" s="106">
        <f>+HLOOKUP($C127,PMGR!$CG$2:$CS$250,99,0)</f>
        <v>0</v>
      </c>
      <c r="AB127" s="106">
        <f>+HLOOKUP($C127,PMGR!$CG$2:$CS$250,100,0)</f>
        <v>0</v>
      </c>
      <c r="AC127" s="106">
        <f>+HLOOKUP($C127,PMGR!$CG$2:$CS$250,101,0)</f>
        <v>0</v>
      </c>
      <c r="AD127" s="106">
        <f>+HLOOKUP($C127,PMGR!$CG$2:$CS$250,104,0)</f>
        <v>0</v>
      </c>
      <c r="AE127" s="106">
        <f>+HLOOKUP($C127,PMGR!$CG$2:$CS$250,105,0)</f>
        <v>0</v>
      </c>
      <c r="AF127" s="106">
        <f>+HLOOKUP($C127,PMGR!$CG$2:$CS$250,106,0)</f>
        <v>0</v>
      </c>
      <c r="AG127" s="106">
        <f>+HLOOKUP($C127,PMGR!$CG$2:$CS$250,107,0)</f>
        <v>0</v>
      </c>
      <c r="AH127" s="106">
        <f>+HLOOKUP($C127,PMGR!$CG$2:$CS$250,108,0)</f>
        <v>0</v>
      </c>
      <c r="AI127" s="106">
        <f>+HLOOKUP($C127,PMGR!$CG$2:$CS$250,109,0)</f>
        <v>0</v>
      </c>
      <c r="AJ127" s="106">
        <f>+HLOOKUP($C127,PMGR!$CG$2:$CS$250,110,0)</f>
        <v>0</v>
      </c>
      <c r="AK127" s="106">
        <f>+HLOOKUP($C127,PMGR!$CG$2:$CS$250,111,0)</f>
        <v>0</v>
      </c>
      <c r="AL127" s="106">
        <f>+HLOOKUP($C127,PMGR!$CG$2:$CS$250,112,0)</f>
        <v>0</v>
      </c>
      <c r="AM127" s="106">
        <f>+HLOOKUP($C127,PMGR!$CG$2:$CS$250,116,0)</f>
        <v>198809.91</v>
      </c>
      <c r="AN127" s="106">
        <f>+HLOOKUP($C127,PMGR!$CG$2:$CS$250,117,0)</f>
        <v>33946.5</v>
      </c>
      <c r="AO127" s="106">
        <f>+HLOOKUP($C127,PMGR!$CG$2:$CS$250,118,0)</f>
        <v>3500</v>
      </c>
      <c r="AP127" s="106">
        <f>+HLOOKUP($C127,PMGR!$CG$2:$CS$250,119,0)</f>
        <v>65130</v>
      </c>
      <c r="AQ127" s="106">
        <f>+HLOOKUP($C127,PMGR!$CG$2:$CS$250,120,0)</f>
        <v>14615</v>
      </c>
      <c r="AR127" s="106">
        <f>+HLOOKUP($C127,PMGR!$CG$2:$CS$250,121,0)</f>
        <v>7305</v>
      </c>
      <c r="AS127" s="106">
        <f>+HLOOKUP($C127,PMGR!$CG$2:$CS$250,122,0)</f>
        <v>93229.6</v>
      </c>
      <c r="AT127" s="106">
        <f>+HLOOKUP($C127,PMGR!$CG$2:$CS$250,123,0)</f>
        <v>48544.06</v>
      </c>
      <c r="AU127" s="106">
        <f>+HLOOKUP($C127,PMGR!$CG$2:$CS$250,124,0)</f>
        <v>10489.96</v>
      </c>
      <c r="AV127" s="106">
        <f>+HLOOKUP($C127,PMGR!$CG$2:$CS$250,125,0)</f>
        <v>51165</v>
      </c>
      <c r="AW127" s="106">
        <f>+HLOOKUP($C127,PMGR!$CG$2:$CS$250,126,0)</f>
        <v>18911.170192307691</v>
      </c>
      <c r="AX127" s="106">
        <f>+HLOOKUP($C127,PMGR!$CG$2:$CS$250,127,0)</f>
        <v>24153.510000000002</v>
      </c>
      <c r="AY127" s="106">
        <f>+HLOOKUP($C127,PMGR!$CG$2:$CS$250,129,0)</f>
        <v>0</v>
      </c>
      <c r="AZ127" s="106">
        <f>+HLOOKUP($C127,PMGR!$CG$2:$CS$250,130,0)</f>
        <v>0</v>
      </c>
      <c r="BA127" s="106">
        <f>+HLOOKUP($C127,PMGR!$CG$2:$CS$250,131,0)</f>
        <v>63783.333333333336</v>
      </c>
      <c r="BB127" s="106">
        <f>+HLOOKUP($C127,PMGR!$CG$2:$CS$250,133,0)</f>
        <v>0</v>
      </c>
      <c r="BC127" s="106">
        <f>+HLOOKUP($C127,PMGR!$CG$2:$CS$250,134,0)</f>
        <v>42649.5</v>
      </c>
      <c r="BD127" s="106">
        <f>+HLOOKUP($C127,PMGR!$CG$2:$CS$250,135,0)</f>
        <v>0</v>
      </c>
      <c r="BE127" s="106">
        <f>+HLOOKUP($C127,PMGR!$CG$2:$CS$250,136,0)</f>
        <v>0</v>
      </c>
      <c r="BF127" s="106">
        <f>+HLOOKUP($C127,PMGR!$CG$2:$CS$250,138,0)</f>
        <v>2577.6599999999994</v>
      </c>
      <c r="BG127" s="106">
        <f>+HLOOKUP($C127,PMGR!$CG$2:$CS$250,139,0)</f>
        <v>10053.599999999999</v>
      </c>
      <c r="BH127" s="106">
        <f>+HLOOKUP($C127,PMGR!$CG$2:$CS$250,140,0)</f>
        <v>7500</v>
      </c>
      <c r="BI127" s="106">
        <f>+HLOOKUP($C127,PMGR!$CG$2:$CS$250,141,0)</f>
        <v>0</v>
      </c>
      <c r="BJ127" s="106">
        <f>+HLOOKUP($C127,PMGR!$CG$2:$CS$250,142,0)</f>
        <v>0</v>
      </c>
      <c r="BK127" s="106">
        <f>+HLOOKUP($C127,PMGR!$CG$2:$CS$250,143,0)</f>
        <v>12754.875</v>
      </c>
      <c r="BL127" s="106">
        <f>+HLOOKUP($C127,PMGR!$CG$2:$CS$250,144,0)</f>
        <v>6378</v>
      </c>
      <c r="BM127" s="106">
        <f>+HLOOKUP($C127,PMGR!$CG$2:$CS$250,146,0)</f>
        <v>0</v>
      </c>
      <c r="BN127" s="106">
        <f>+HLOOKUP($C127,PMGR!$CG$2:$CS$250,147,0)</f>
        <v>93701</v>
      </c>
      <c r="BO127" s="106">
        <f>+HLOOKUP($C127,PMGR!$CG$2:$CS$250,148,0)</f>
        <v>0</v>
      </c>
      <c r="BP127" s="106">
        <f>+HLOOKUP($C127,PMGR!$CG$2:$CS$250,150,0)</f>
        <v>21086.399999999998</v>
      </c>
      <c r="BQ127" s="106">
        <f>+HLOOKUP($C127,PMGR!$CG$2:$CS$250,151,0)</f>
        <v>1417.5</v>
      </c>
      <c r="BR127" s="106">
        <f>+HLOOKUP($C127,PMGR!$CG$2:$CS$250,152,0)</f>
        <v>9600</v>
      </c>
      <c r="BS127" s="106">
        <f>+HLOOKUP($C127,PMGR!$CG$2:$CS$250,153,0)</f>
        <v>510</v>
      </c>
      <c r="BT127" s="106">
        <f>+HLOOKUP($C127,PMGR!$CG$2:$CS$250,157,0)</f>
        <v>3345</v>
      </c>
      <c r="BU127" s="106">
        <f>+HLOOKUP($C127,PMGR!$CG$2:$CS$250,158,0)</f>
        <v>0</v>
      </c>
      <c r="BV127" s="106">
        <f>+HLOOKUP($C127,PMGR!$CG$2:$CS$250,159,0)</f>
        <v>204.29999999999998</v>
      </c>
      <c r="BW127" s="106">
        <f>+HLOOKUP($C127,PMGR!$CG$2:$CS$250,160,0)</f>
        <v>9750</v>
      </c>
      <c r="BX127" s="106">
        <f>+HLOOKUP($C127,PMGR!$CG$2:$CS$250,161,0)</f>
        <v>10516.7</v>
      </c>
      <c r="BY127" s="106">
        <f>+HLOOKUP($C127,PMGR!$CG$2:$CS$250,164,0)</f>
        <v>659.81099999999992</v>
      </c>
      <c r="BZ127" s="106">
        <f>+HLOOKUP($C127,PMGR!$CG$2:$CS$250,165,0)</f>
        <v>43088.4</v>
      </c>
      <c r="CA127" s="106">
        <f>+HLOOKUP($C127,PMGR!$CG$2:$CS$250,166,0)</f>
        <v>0</v>
      </c>
      <c r="CB127" s="106">
        <f>+HLOOKUP($C127,PMGR!$CG$2:$CS$250,167,0)</f>
        <v>0</v>
      </c>
      <c r="CC127" s="106">
        <f>+HLOOKUP($C127,PMGR!$CG$2:$CS$250,168,0)</f>
        <v>0</v>
      </c>
      <c r="CD127" s="106">
        <f>+HLOOKUP($C127,PMGR!$CG$2:$CS$250,169,0)</f>
        <v>4766.022899999999</v>
      </c>
      <c r="CE127" s="106">
        <f>+HLOOKUP($C127,PMGR!$CG$2:$CS$250,170,0)</f>
        <v>0</v>
      </c>
      <c r="CF127" s="106">
        <f>+HLOOKUP($C127,PMGR!$CG$2:$CS$250,172,0)</f>
        <v>10800</v>
      </c>
      <c r="CG127" s="106">
        <f>+HLOOKUP($C127,PMGR!$CG$2:$CS$250,173,0)</f>
        <v>0</v>
      </c>
      <c r="CH127" s="106">
        <f>+HLOOKUP($C127,PMGR!$CG$2:$CS$250,174,0)</f>
        <v>35538</v>
      </c>
      <c r="CI127" s="106">
        <f>+HLOOKUP($C127,PMGR!$CG$2:$CS$250,175,0)</f>
        <v>4458</v>
      </c>
      <c r="CJ127" s="106">
        <f>+HLOOKUP($C127,PMGR!$CG$2:$CS$250,176,0)</f>
        <v>1501.2</v>
      </c>
      <c r="CK127" s="106">
        <f>+HLOOKUP($C127,PMGR!$CG$2:$CS$250,178,0)</f>
        <v>36912.58</v>
      </c>
      <c r="CL127" s="106">
        <f>+HLOOKUP($C127,PMGR!$CG$2:$CS$250,179,0)</f>
        <v>4793.07</v>
      </c>
      <c r="CM127" s="106">
        <f>+HLOOKUP($C127,PMGR!$CG$2:$CS$250,180,0)</f>
        <v>6300</v>
      </c>
      <c r="CN127" s="106">
        <f>+HLOOKUP($C127,PMGR!$CG$2:$CS$250,182,0)</f>
        <v>0</v>
      </c>
      <c r="CO127" s="106">
        <f>+HLOOKUP($C127,PMGR!$CG$2:$CS$250,183,0)</f>
        <v>7453.2</v>
      </c>
      <c r="CP127" s="106">
        <f>+HLOOKUP($C127,PMGR!$CG$2:$CS$250,184,0)</f>
        <v>0</v>
      </c>
      <c r="CQ127" s="106">
        <f>+HLOOKUP($C127,PMGR!$CG$2:$CS$250,185,0)</f>
        <v>0</v>
      </c>
      <c r="CR127" s="106">
        <f>+HLOOKUP($C127,PMGR!$CG$2:$CS$250,187,0)</f>
        <v>1874.9999999999968</v>
      </c>
      <c r="CS127" s="106">
        <f>+HLOOKUP($C127,PMGR!$CG$2:$CS$250,188,0)</f>
        <v>2385</v>
      </c>
      <c r="CT127" s="106">
        <f>+HLOOKUP($C127,PMGR!$CG$2:$CS$250,189,0)</f>
        <v>0</v>
      </c>
      <c r="CU127" s="106">
        <f>+HLOOKUP($C127,PMGR!$CG$2:$CS$250,190,0)</f>
        <v>749.99969999999996</v>
      </c>
      <c r="CV127" s="106">
        <f>+HLOOKUP($C127,PMGR!$CG$2:$CS$250,191,0)</f>
        <v>0</v>
      </c>
      <c r="CW127" s="106">
        <f>+HLOOKUP($C127,PMGR!$CG$2:$CS$250,193,0)</f>
        <v>3529.7999999999997</v>
      </c>
      <c r="CX127" s="106">
        <f>+HLOOKUP($C127,PMGR!$CG$2:$CS$250,194,0)</f>
        <v>23.849999999999998</v>
      </c>
      <c r="CY127" s="106">
        <f>+HLOOKUP($C127,PMGR!$CG$2:$CS$250,195,0)</f>
        <v>7725</v>
      </c>
      <c r="CZ127" s="106">
        <f>+HLOOKUP($C127,PMGR!$CG$2:$CS$250,196,0)</f>
        <v>0</v>
      </c>
      <c r="DA127" s="106">
        <f>+HLOOKUP($C127,PMGR!$CG$2:$CS$250,197,0)</f>
        <v>2865.81</v>
      </c>
      <c r="DB127" s="106">
        <f>+HLOOKUP($C127,PMGR!$CG$2:$CS$250,198,0)</f>
        <v>1352.8</v>
      </c>
      <c r="DC127" s="106">
        <f>+HLOOKUP($C127,PMGR!$CG$2:$CS$250,199,0)</f>
        <v>13100</v>
      </c>
      <c r="DD127" s="106">
        <f>+HLOOKUP($C127,PMGR!$CG$2:$CS$250,200,0)</f>
        <v>259.89999999999998</v>
      </c>
      <c r="DE127" s="106">
        <f>+HLOOKUP($C127,PMGR!$CG$2:$CS$250,201,0)</f>
        <v>0</v>
      </c>
      <c r="DF127" s="106">
        <f>+HLOOKUP($C127,PMGR!$CG$2:$CS$250,202,0)</f>
        <v>-3.2682000000000002</v>
      </c>
      <c r="DG127" s="106">
        <f>+HLOOKUP($C127,PMGR!$CG$2:$CS$250,203,0)</f>
        <v>0</v>
      </c>
      <c r="DH127" s="106">
        <f>+HLOOKUP($C127,PMGR!$CG$2:$CS$250,205,0)</f>
        <v>0</v>
      </c>
      <c r="DI127" s="106">
        <f>+HLOOKUP($C127,PMGR!$CG$2:$CS$250,206,0)</f>
        <v>3654.9300000000003</v>
      </c>
      <c r="DJ127" s="106">
        <f>+HLOOKUP($C127,PMGR!$CG$2:$CS$250,207,0)</f>
        <v>5659.1549997000002</v>
      </c>
      <c r="DK127" s="106">
        <f>+HLOOKUP($C127,PMGR!$CG$2:$CS$250,209,0)</f>
        <v>0</v>
      </c>
      <c r="DL127" s="106">
        <f>+HLOOKUP($C127,PMGR!$CG$2:$CS$250,210,0)</f>
        <v>66852.899999999994</v>
      </c>
      <c r="DM127" s="106">
        <f>+HLOOKUP($C127,PMGR!$CG$2:$CS$250,211,0)</f>
        <v>0</v>
      </c>
      <c r="DN127" s="106">
        <f>+HLOOKUP($C127,PMGR!$CG$2:$CS$250,212,0)</f>
        <v>14400</v>
      </c>
      <c r="DO127" s="106">
        <f>+HLOOKUP($C127,PMGR!$CG$2:$CS$250,214,0)</f>
        <v>0</v>
      </c>
      <c r="DP127" s="106">
        <f>+HLOOKUP($C127,PMGR!$CG$2:$CS$250,215,0)</f>
        <v>270</v>
      </c>
      <c r="DQ127" s="106">
        <f>+HLOOKUP($C127,PMGR!$CG$2:$CS$250,219,0)</f>
        <v>0</v>
      </c>
      <c r="DR127" s="106">
        <f>+HLOOKUP($C127,PMGR!$CG$2:$CS$250,220,0)</f>
        <v>0</v>
      </c>
      <c r="DS127" s="106">
        <f>+HLOOKUP($C127,PMGR!$CG$2:$CS$250,221,0)</f>
        <v>0</v>
      </c>
      <c r="DT127" s="106">
        <f>+HLOOKUP($C127,PMGR!$CG$2:$CS$250,223,0)</f>
        <v>15526.616399999997</v>
      </c>
      <c r="DU127" s="106">
        <f>+HLOOKUP($C127,PMGR!$CG$2:$CS$250,224,0)</f>
        <v>0</v>
      </c>
      <c r="DV127" s="106">
        <f>+HLOOKUP($C127,PMGR!$CG$2:$CS$250,225,0)</f>
        <v>0</v>
      </c>
      <c r="DW127" s="106">
        <f>+HLOOKUP($C127,PMGR!$CG$2:$CS$250,227,0)</f>
        <v>0</v>
      </c>
      <c r="DX127" s="106">
        <f>+HLOOKUP($C127,PMGR!$CG$2:$CS$250,228,0)</f>
        <v>2241.81</v>
      </c>
      <c r="DY127" s="106">
        <f>+HLOOKUP($C127,PMGR!$CG$2:$CS$250,236,0)</f>
        <v>0</v>
      </c>
      <c r="DZ127" s="106">
        <f>+HLOOKUP($C127,PMGR!$CG$2:$CS$250,237,0)</f>
        <v>115190.91674999999</v>
      </c>
      <c r="EA127" s="106">
        <f>+HLOOKUP($C127,PMGR!$CG$2:$CS$250,238,0)</f>
        <v>41756.400000000001</v>
      </c>
      <c r="EB127" s="106">
        <f>+HLOOKUP($C127,PMGR!$CG$2:$CS$250,240,0)</f>
        <v>292179.86691964284</v>
      </c>
    </row>
    <row r="128" spans="1:132" hidden="1">
      <c r="A128" t="s">
        <v>271</v>
      </c>
      <c r="B128" t="s">
        <v>217</v>
      </c>
      <c r="C128" s="117">
        <v>45444</v>
      </c>
      <c r="D128" s="106">
        <f t="shared" si="4"/>
        <v>15016692.943594528</v>
      </c>
      <c r="E128" s="106">
        <f>+HLOOKUP(C128,PMGR!$CG$2:$CS$250,28,0)+HLOOKUP(C128,PMGR!$CG$2:$CS$250,43,0)+HLOOKUP(C128,PMGR!$CG$2:$CS$250,44,0)+HLOOKUP(C128,PMGR!$CG$2:$CS$250,45,0)+HLOOKUP(C128,PMGR!$CG$2:$CS$250,54,0)+HLOOKUP(C128,PMGR!$CG$2:$CS$250,59,0)</f>
        <v>15016692.943594528</v>
      </c>
      <c r="F128" s="106">
        <f>+HLOOKUP(C128,PMGR!$CG$2:$CS$250,37,0)+HLOOKUP(C128,PMGR!$CG$2:$CS$250,55,0)</f>
        <v>10125584</v>
      </c>
      <c r="G128" s="106">
        <f>+HLOOKUP($C128,PMGR!$CG$2:$CS$250,76,0)</f>
        <v>0</v>
      </c>
      <c r="H128" s="106">
        <f>+HLOOKUP($C128,PMGR!$CG$2:$CS$250,77,0)</f>
        <v>0</v>
      </c>
      <c r="I128" s="106">
        <f>+HLOOKUP($C128,PMGR!$CG$2:$CS$250,78,0)</f>
        <v>0</v>
      </c>
      <c r="J128" s="106">
        <f>+HLOOKUP($C128,PMGR!$CG$2:$CS$250,79,0)</f>
        <v>0</v>
      </c>
      <c r="K128" s="106">
        <f>+HLOOKUP($C128,PMGR!$CG$2:$CS$250,80,0)</f>
        <v>0</v>
      </c>
      <c r="L128" s="106">
        <f>+HLOOKUP($C128,PMGR!$CG$2:$CS$250,81,0)</f>
        <v>0</v>
      </c>
      <c r="M128" s="106">
        <f>+HLOOKUP($C128,PMGR!$CG$2:$CS$250,82,0)</f>
        <v>0</v>
      </c>
      <c r="N128" s="106">
        <f>+HLOOKUP($C128,PMGR!$CG$2:$CS$250,83,0)</f>
        <v>0</v>
      </c>
      <c r="O128" s="106">
        <f>+HLOOKUP($C128,PMGR!$CG$2:$CS$250,84,0)</f>
        <v>0</v>
      </c>
      <c r="P128" s="106">
        <f>+HLOOKUP($C128,PMGR!$CG$2:$CS$250,85,0)</f>
        <v>0</v>
      </c>
      <c r="Q128" s="106">
        <f>+HLOOKUP($C128,PMGR!$CG$2:$CS$250,87,0)</f>
        <v>169553.09</v>
      </c>
      <c r="R128" s="106">
        <f>+HLOOKUP($C128,PMGR!$CG$2:$CS$250,90,0)</f>
        <v>0</v>
      </c>
      <c r="S128" s="106">
        <f>+HLOOKUP($C128,PMGR!$CG$2:$CS$250,91,0)</f>
        <v>2750</v>
      </c>
      <c r="T128" s="106">
        <f>+HLOOKUP($C128,PMGR!$CG$2:$CS$250,92,0)</f>
        <v>0</v>
      </c>
      <c r="U128" s="106">
        <f>+HLOOKUP($C128,PMGR!$CG$2:$CS$250,93,0)</f>
        <v>0</v>
      </c>
      <c r="V128" s="106">
        <f>+HLOOKUP($C128,PMGR!$CG$2:$CS$250,94,0)</f>
        <v>0</v>
      </c>
      <c r="W128" s="106">
        <f>+HLOOKUP($C128,PMGR!$CG$2:$CS$250,95,0)</f>
        <v>0</v>
      </c>
      <c r="X128" s="106">
        <f>+HLOOKUP($C128,PMGR!$CG$2:$CS$250,96,0)</f>
        <v>0</v>
      </c>
      <c r="Y128" s="106">
        <f>+HLOOKUP($C128,PMGR!$CG$2:$CS$250,97,0)</f>
        <v>0</v>
      </c>
      <c r="Z128" s="106">
        <f>+HLOOKUP($C128,PMGR!$CG$2:$CS$250,98,0)</f>
        <v>0</v>
      </c>
      <c r="AA128" s="106">
        <f>+HLOOKUP($C128,PMGR!$CG$2:$CS$250,99,0)</f>
        <v>0</v>
      </c>
      <c r="AB128" s="106">
        <f>+HLOOKUP($C128,PMGR!$CG$2:$CS$250,100,0)</f>
        <v>0</v>
      </c>
      <c r="AC128" s="106">
        <f>+HLOOKUP($C128,PMGR!$CG$2:$CS$250,101,0)</f>
        <v>0</v>
      </c>
      <c r="AD128" s="106">
        <f>+HLOOKUP($C128,PMGR!$CG$2:$CS$250,104,0)</f>
        <v>1400</v>
      </c>
      <c r="AE128" s="106">
        <f>+HLOOKUP($C128,PMGR!$CG$2:$CS$250,105,0)</f>
        <v>0</v>
      </c>
      <c r="AF128" s="106">
        <f>+HLOOKUP($C128,PMGR!$CG$2:$CS$250,106,0)</f>
        <v>0</v>
      </c>
      <c r="AG128" s="106">
        <f>+HLOOKUP($C128,PMGR!$CG$2:$CS$250,107,0)</f>
        <v>0</v>
      </c>
      <c r="AH128" s="106">
        <f>+HLOOKUP($C128,PMGR!$CG$2:$CS$250,108,0)</f>
        <v>0</v>
      </c>
      <c r="AI128" s="106">
        <f>+HLOOKUP($C128,PMGR!$CG$2:$CS$250,109,0)</f>
        <v>0</v>
      </c>
      <c r="AJ128" s="106">
        <f>+HLOOKUP($C128,PMGR!$CG$2:$CS$250,110,0)</f>
        <v>0</v>
      </c>
      <c r="AK128" s="106">
        <f>+HLOOKUP($C128,PMGR!$CG$2:$CS$250,111,0)</f>
        <v>1440</v>
      </c>
      <c r="AL128" s="106">
        <f>+HLOOKUP($C128,PMGR!$CG$2:$CS$250,112,0)</f>
        <v>0</v>
      </c>
      <c r="AM128" s="106">
        <f>+HLOOKUP($C128,PMGR!$CG$2:$CS$250,116,0)</f>
        <v>199168.91</v>
      </c>
      <c r="AN128" s="106">
        <f>+HLOOKUP($C128,PMGR!$CG$2:$CS$250,117,0)</f>
        <v>33903.5</v>
      </c>
      <c r="AO128" s="106">
        <f>+HLOOKUP($C128,PMGR!$CG$2:$CS$250,118,0)</f>
        <v>3500</v>
      </c>
      <c r="AP128" s="106">
        <f>+HLOOKUP($C128,PMGR!$CG$2:$CS$250,119,0)</f>
        <v>65067</v>
      </c>
      <c r="AQ128" s="106">
        <f>+HLOOKUP($C128,PMGR!$CG$2:$CS$250,120,0)</f>
        <v>14680</v>
      </c>
      <c r="AR128" s="106">
        <f>+HLOOKUP($C128,PMGR!$CG$2:$CS$250,121,0)</f>
        <v>7370</v>
      </c>
      <c r="AS128" s="106">
        <f>+HLOOKUP($C128,PMGR!$CG$2:$CS$250,122,0)</f>
        <v>93565.6</v>
      </c>
      <c r="AT128" s="106">
        <f>+HLOOKUP($C128,PMGR!$CG$2:$CS$250,123,0)</f>
        <v>48544.06</v>
      </c>
      <c r="AU128" s="106">
        <f>+HLOOKUP($C128,PMGR!$CG$2:$CS$250,124,0)</f>
        <v>10489.96</v>
      </c>
      <c r="AV128" s="106">
        <f>+HLOOKUP($C128,PMGR!$CG$2:$CS$250,125,0)</f>
        <v>51165</v>
      </c>
      <c r="AW128" s="106">
        <f>+HLOOKUP($C128,PMGR!$CG$2:$CS$250,126,0)</f>
        <v>18911.170192307691</v>
      </c>
      <c r="AX128" s="106">
        <f>+HLOOKUP($C128,PMGR!$CG$2:$CS$250,127,0)</f>
        <v>24153.510000000002</v>
      </c>
      <c r="AY128" s="106">
        <f>+HLOOKUP($C128,PMGR!$CG$2:$CS$250,129,0)</f>
        <v>0</v>
      </c>
      <c r="AZ128" s="106">
        <f>+HLOOKUP($C128,PMGR!$CG$2:$CS$250,130,0)</f>
        <v>0</v>
      </c>
      <c r="BA128" s="106">
        <f>+HLOOKUP($C128,PMGR!$CG$2:$CS$250,131,0)</f>
        <v>63783.333333333336</v>
      </c>
      <c r="BB128" s="106">
        <f>+HLOOKUP($C128,PMGR!$CG$2:$CS$250,133,0)</f>
        <v>0</v>
      </c>
      <c r="BC128" s="106">
        <f>+HLOOKUP($C128,PMGR!$CG$2:$CS$250,134,0)</f>
        <v>51714</v>
      </c>
      <c r="BD128" s="106">
        <f>+HLOOKUP($C128,PMGR!$CG$2:$CS$250,135,0)</f>
        <v>0</v>
      </c>
      <c r="BE128" s="106">
        <f>+HLOOKUP($C128,PMGR!$CG$2:$CS$250,136,0)</f>
        <v>0</v>
      </c>
      <c r="BF128" s="106">
        <f>+HLOOKUP($C128,PMGR!$CG$2:$CS$250,138,0)</f>
        <v>2553.6599999999994</v>
      </c>
      <c r="BG128" s="106">
        <f>+HLOOKUP($C128,PMGR!$CG$2:$CS$250,139,0)</f>
        <v>17994.532999999999</v>
      </c>
      <c r="BH128" s="106">
        <f>+HLOOKUP($C128,PMGR!$CG$2:$CS$250,140,0)</f>
        <v>6900</v>
      </c>
      <c r="BI128" s="106">
        <f>+HLOOKUP($C128,PMGR!$CG$2:$CS$250,141,0)</f>
        <v>840</v>
      </c>
      <c r="BJ128" s="106">
        <f>+HLOOKUP($C128,PMGR!$CG$2:$CS$250,142,0)</f>
        <v>0</v>
      </c>
      <c r="BK128" s="106">
        <f>+HLOOKUP($C128,PMGR!$CG$2:$CS$250,143,0)</f>
        <v>12754.875</v>
      </c>
      <c r="BL128" s="106">
        <f>+HLOOKUP($C128,PMGR!$CG$2:$CS$250,144,0)</f>
        <v>34640</v>
      </c>
      <c r="BM128" s="106">
        <f>+HLOOKUP($C128,PMGR!$CG$2:$CS$250,146,0)</f>
        <v>0</v>
      </c>
      <c r="BN128" s="106">
        <f>+HLOOKUP($C128,PMGR!$CG$2:$CS$250,147,0)</f>
        <v>72297</v>
      </c>
      <c r="BO128" s="106">
        <f>+HLOOKUP($C128,PMGR!$CG$2:$CS$250,148,0)</f>
        <v>0</v>
      </c>
      <c r="BP128" s="106">
        <f>+HLOOKUP($C128,PMGR!$CG$2:$CS$250,150,0)</f>
        <v>18197.7</v>
      </c>
      <c r="BQ128" s="106">
        <f>+HLOOKUP($C128,PMGR!$CG$2:$CS$250,151,0)</f>
        <v>1417.5</v>
      </c>
      <c r="BR128" s="106">
        <f>+HLOOKUP($C128,PMGR!$CG$2:$CS$250,152,0)</f>
        <v>9600</v>
      </c>
      <c r="BS128" s="106">
        <f>+HLOOKUP($C128,PMGR!$CG$2:$CS$250,153,0)</f>
        <v>480</v>
      </c>
      <c r="BT128" s="106">
        <f>+HLOOKUP($C128,PMGR!$CG$2:$CS$250,157,0)</f>
        <v>0</v>
      </c>
      <c r="BU128" s="106">
        <f>+HLOOKUP($C128,PMGR!$CG$2:$CS$250,158,0)</f>
        <v>650</v>
      </c>
      <c r="BV128" s="106">
        <f>+HLOOKUP($C128,PMGR!$CG$2:$CS$250,159,0)</f>
        <v>204.29999999999998</v>
      </c>
      <c r="BW128" s="106">
        <f>+HLOOKUP($C128,PMGR!$CG$2:$CS$250,160,0)</f>
        <v>0</v>
      </c>
      <c r="BX128" s="106">
        <f>+HLOOKUP($C128,PMGR!$CG$2:$CS$250,161,0)</f>
        <v>6443.7</v>
      </c>
      <c r="BY128" s="106">
        <f>+HLOOKUP($C128,PMGR!$CG$2:$CS$250,164,0)</f>
        <v>2297.3039999999996</v>
      </c>
      <c r="BZ128" s="106">
        <f>+HLOOKUP($C128,PMGR!$CG$2:$CS$250,165,0)</f>
        <v>29436.99</v>
      </c>
      <c r="CA128" s="106">
        <f>+HLOOKUP($C128,PMGR!$CG$2:$CS$250,166,0)</f>
        <v>0</v>
      </c>
      <c r="CB128" s="106">
        <f>+HLOOKUP($C128,PMGR!$CG$2:$CS$250,167,0)</f>
        <v>440</v>
      </c>
      <c r="CC128" s="106">
        <f>+HLOOKUP($C128,PMGR!$CG$2:$CS$250,168,0)</f>
        <v>0</v>
      </c>
      <c r="CD128" s="106">
        <f>+HLOOKUP($C128,PMGR!$CG$2:$CS$250,169,0)</f>
        <v>0</v>
      </c>
      <c r="CE128" s="106">
        <f>+HLOOKUP($C128,PMGR!$CG$2:$CS$250,170,0)</f>
        <v>0</v>
      </c>
      <c r="CF128" s="106">
        <f>+HLOOKUP($C128,PMGR!$CG$2:$CS$250,172,0)</f>
        <v>10800</v>
      </c>
      <c r="CG128" s="106">
        <f>+HLOOKUP($C128,PMGR!$CG$2:$CS$250,173,0)</f>
        <v>0</v>
      </c>
      <c r="CH128" s="106">
        <f>+HLOOKUP($C128,PMGR!$CG$2:$CS$250,174,0)</f>
        <v>35538</v>
      </c>
      <c r="CI128" s="106">
        <f>+HLOOKUP($C128,PMGR!$CG$2:$CS$250,175,0)</f>
        <v>4458</v>
      </c>
      <c r="CJ128" s="106">
        <f>+HLOOKUP($C128,PMGR!$CG$2:$CS$250,176,0)</f>
        <v>1501.2</v>
      </c>
      <c r="CK128" s="106">
        <f>+HLOOKUP($C128,PMGR!$CG$2:$CS$250,178,0)</f>
        <v>36927.199999999997</v>
      </c>
      <c r="CL128" s="106">
        <f>+HLOOKUP($C128,PMGR!$CG$2:$CS$250,179,0)</f>
        <v>19960.5</v>
      </c>
      <c r="CM128" s="106">
        <f>+HLOOKUP($C128,PMGR!$CG$2:$CS$250,180,0)</f>
        <v>16800</v>
      </c>
      <c r="CN128" s="106">
        <f>+HLOOKUP($C128,PMGR!$CG$2:$CS$250,182,0)</f>
        <v>0</v>
      </c>
      <c r="CO128" s="106">
        <f>+HLOOKUP($C128,PMGR!$CG$2:$CS$250,183,0)</f>
        <v>2235.2999999999997</v>
      </c>
      <c r="CP128" s="106">
        <f>+HLOOKUP($C128,PMGR!$CG$2:$CS$250,184,0)</f>
        <v>0</v>
      </c>
      <c r="CQ128" s="106">
        <f>+HLOOKUP($C128,PMGR!$CG$2:$CS$250,185,0)</f>
        <v>0</v>
      </c>
      <c r="CR128" s="106">
        <f>+HLOOKUP($C128,PMGR!$CG$2:$CS$250,187,0)</f>
        <v>1874.9999999999968</v>
      </c>
      <c r="CS128" s="106">
        <f>+HLOOKUP($C128,PMGR!$CG$2:$CS$250,188,0)</f>
        <v>2385</v>
      </c>
      <c r="CT128" s="106">
        <f>+HLOOKUP($C128,PMGR!$CG$2:$CS$250,189,0)</f>
        <v>0</v>
      </c>
      <c r="CU128" s="106">
        <f>+HLOOKUP($C128,PMGR!$CG$2:$CS$250,190,0)</f>
        <v>749.99969999999996</v>
      </c>
      <c r="CV128" s="106">
        <f>+HLOOKUP($C128,PMGR!$CG$2:$CS$250,191,0)</f>
        <v>0</v>
      </c>
      <c r="CW128" s="106">
        <f>+HLOOKUP($C128,PMGR!$CG$2:$CS$250,193,0)</f>
        <v>3529.7999999999997</v>
      </c>
      <c r="CX128" s="106">
        <f>+HLOOKUP($C128,PMGR!$CG$2:$CS$250,194,0)</f>
        <v>23.849999999999998</v>
      </c>
      <c r="CY128" s="106">
        <f>+HLOOKUP($C128,PMGR!$CG$2:$CS$250,195,0)</f>
        <v>825</v>
      </c>
      <c r="CZ128" s="106">
        <f>+HLOOKUP($C128,PMGR!$CG$2:$CS$250,196,0)</f>
        <v>0</v>
      </c>
      <c r="DA128" s="106">
        <f>+HLOOKUP($C128,PMGR!$CG$2:$CS$250,197,0)</f>
        <v>5763.5050000000001</v>
      </c>
      <c r="DB128" s="106">
        <f>+HLOOKUP($C128,PMGR!$CG$2:$CS$250,198,0)</f>
        <v>1624.8</v>
      </c>
      <c r="DC128" s="106">
        <f>+HLOOKUP($C128,PMGR!$CG$2:$CS$250,199,0)</f>
        <v>1069.296</v>
      </c>
      <c r="DD128" s="106">
        <f>+HLOOKUP($C128,PMGR!$CG$2:$CS$250,200,0)</f>
        <v>1030</v>
      </c>
      <c r="DE128" s="106">
        <f>+HLOOKUP($C128,PMGR!$CG$2:$CS$250,201,0)</f>
        <v>0</v>
      </c>
      <c r="DF128" s="106">
        <f>+HLOOKUP($C128,PMGR!$CG$2:$CS$250,202,0)</f>
        <v>-5.4666000000000006</v>
      </c>
      <c r="DG128" s="106">
        <f>+HLOOKUP($C128,PMGR!$CG$2:$CS$250,203,0)</f>
        <v>16.539300000000001</v>
      </c>
      <c r="DH128" s="106">
        <f>+HLOOKUP($C128,PMGR!$CG$2:$CS$250,205,0)</f>
        <v>0</v>
      </c>
      <c r="DI128" s="106">
        <f>+HLOOKUP($C128,PMGR!$CG$2:$CS$250,206,0)</f>
        <v>3654.9300000000003</v>
      </c>
      <c r="DJ128" s="106">
        <f>+HLOOKUP($C128,PMGR!$CG$2:$CS$250,207,0)</f>
        <v>5659.2015000000001</v>
      </c>
      <c r="DK128" s="106">
        <f>+HLOOKUP($C128,PMGR!$CG$2:$CS$250,209,0)</f>
        <v>0</v>
      </c>
      <c r="DL128" s="106">
        <f>+HLOOKUP($C128,PMGR!$CG$2:$CS$250,210,0)</f>
        <v>66852.899999999994</v>
      </c>
      <c r="DM128" s="106">
        <f>+HLOOKUP($C128,PMGR!$CG$2:$CS$250,211,0)</f>
        <v>0</v>
      </c>
      <c r="DN128" s="106">
        <f>+HLOOKUP($C128,PMGR!$CG$2:$CS$250,212,0)</f>
        <v>48000</v>
      </c>
      <c r="DO128" s="106">
        <f>+HLOOKUP($C128,PMGR!$CG$2:$CS$250,214,0)</f>
        <v>0</v>
      </c>
      <c r="DP128" s="106">
        <f>+HLOOKUP($C128,PMGR!$CG$2:$CS$250,215,0)</f>
        <v>720</v>
      </c>
      <c r="DQ128" s="106">
        <f>+HLOOKUP($C128,PMGR!$CG$2:$CS$250,219,0)</f>
        <v>0</v>
      </c>
      <c r="DR128" s="106">
        <f>+HLOOKUP($C128,PMGR!$CG$2:$CS$250,220,0)</f>
        <v>0</v>
      </c>
      <c r="DS128" s="106">
        <f>+HLOOKUP($C128,PMGR!$CG$2:$CS$250,221,0)</f>
        <v>0</v>
      </c>
      <c r="DT128" s="106">
        <f>+HLOOKUP($C128,PMGR!$CG$2:$CS$250,223,0)</f>
        <v>8675.4897000000001</v>
      </c>
      <c r="DU128" s="106">
        <f>+HLOOKUP($C128,PMGR!$CG$2:$CS$250,224,0)</f>
        <v>0</v>
      </c>
      <c r="DV128" s="106">
        <f>+HLOOKUP($C128,PMGR!$CG$2:$CS$250,225,0)</f>
        <v>0</v>
      </c>
      <c r="DW128" s="106">
        <f>+HLOOKUP($C128,PMGR!$CG$2:$CS$250,227,0)</f>
        <v>0</v>
      </c>
      <c r="DX128" s="106">
        <f>+HLOOKUP($C128,PMGR!$CG$2:$CS$250,228,0)</f>
        <v>2576.9699999999998</v>
      </c>
      <c r="DY128" s="106">
        <f>+HLOOKUP($C128,PMGR!$CG$2:$CS$250,236,0)</f>
        <v>124681.60000000001</v>
      </c>
      <c r="DZ128" s="106">
        <f>+HLOOKUP($C128,PMGR!$CG$2:$CS$250,237,0)</f>
        <v>105619.41621</v>
      </c>
      <c r="EA128" s="106">
        <f>+HLOOKUP($C128,PMGR!$CG$2:$CS$250,238,0)</f>
        <v>43418.400000000001</v>
      </c>
      <c r="EB128" s="106">
        <f>+HLOOKUP($C128,PMGR!$CG$2:$CS$250,240,0)</f>
        <v>292179.86691964284</v>
      </c>
    </row>
    <row r="129" spans="1:132" hidden="1">
      <c r="A129" t="s">
        <v>271</v>
      </c>
      <c r="B129" t="s">
        <v>217</v>
      </c>
      <c r="C129" s="117">
        <v>45413</v>
      </c>
      <c r="D129" s="106">
        <f t="shared" si="4"/>
        <v>11671788.750975724</v>
      </c>
      <c r="E129" s="106">
        <f>+HLOOKUP(C129,PMGR!$CG$2:$CS$250,28,0)+HLOOKUP(C129,PMGR!$CG$2:$CS$250,43,0)+HLOOKUP(C129,PMGR!$CG$2:$CS$250,44,0)+HLOOKUP(C129,PMGR!$CG$2:$CS$250,45,0)+HLOOKUP(C129,PMGR!$CG$2:$CS$250,54,0)+HLOOKUP(C129,PMGR!$CG$2:$CS$250,59,0)</f>
        <v>11671788.750975724</v>
      </c>
      <c r="F129" s="106">
        <f>+HLOOKUP(C129,PMGR!$CG$2:$CS$250,37,0)+HLOOKUP(C129,PMGR!$CG$2:$CS$250,55,0)</f>
        <v>7891157.7559999991</v>
      </c>
      <c r="G129" s="106">
        <f>+HLOOKUP($C129,PMGR!$CG$2:$CS$250,76,0)</f>
        <v>0</v>
      </c>
      <c r="H129" s="106">
        <f>+HLOOKUP($C129,PMGR!$CG$2:$CS$250,77,0)</f>
        <v>0</v>
      </c>
      <c r="I129" s="106">
        <f>+HLOOKUP($C129,PMGR!$CG$2:$CS$250,78,0)</f>
        <v>0</v>
      </c>
      <c r="J129" s="106">
        <f>+HLOOKUP($C129,PMGR!$CG$2:$CS$250,79,0)</f>
        <v>0</v>
      </c>
      <c r="K129" s="106">
        <f>+HLOOKUP($C129,PMGR!$CG$2:$CS$250,80,0)</f>
        <v>0</v>
      </c>
      <c r="L129" s="106">
        <f>+HLOOKUP($C129,PMGR!$CG$2:$CS$250,81,0)</f>
        <v>0</v>
      </c>
      <c r="M129" s="106">
        <f>+HLOOKUP($C129,PMGR!$CG$2:$CS$250,82,0)</f>
        <v>0</v>
      </c>
      <c r="N129" s="106">
        <f>+HLOOKUP($C129,PMGR!$CG$2:$CS$250,83,0)</f>
        <v>0</v>
      </c>
      <c r="O129" s="106">
        <f>+HLOOKUP($C129,PMGR!$CG$2:$CS$250,84,0)</f>
        <v>0</v>
      </c>
      <c r="P129" s="106">
        <f>+HLOOKUP($C129,PMGR!$CG$2:$CS$250,85,0)</f>
        <v>0</v>
      </c>
      <c r="Q129" s="106">
        <f>+HLOOKUP($C129,PMGR!$CG$2:$CS$250,87,0)</f>
        <v>56344.959999999999</v>
      </c>
      <c r="R129" s="106">
        <f>+HLOOKUP($C129,PMGR!$CG$2:$CS$250,90,0)</f>
        <v>0</v>
      </c>
      <c r="S129" s="106">
        <f>+HLOOKUP($C129,PMGR!$CG$2:$CS$250,91,0)</f>
        <v>160</v>
      </c>
      <c r="T129" s="106">
        <f>+HLOOKUP($C129,PMGR!$CG$2:$CS$250,92,0)</f>
        <v>0</v>
      </c>
      <c r="U129" s="106">
        <f>+HLOOKUP($C129,PMGR!$CG$2:$CS$250,93,0)</f>
        <v>0</v>
      </c>
      <c r="V129" s="106">
        <f>+HLOOKUP($C129,PMGR!$CG$2:$CS$250,94,0)</f>
        <v>0</v>
      </c>
      <c r="W129" s="106">
        <f>+HLOOKUP($C129,PMGR!$CG$2:$CS$250,95,0)</f>
        <v>0</v>
      </c>
      <c r="X129" s="106">
        <f>+HLOOKUP($C129,PMGR!$CG$2:$CS$250,96,0)</f>
        <v>0</v>
      </c>
      <c r="Y129" s="106">
        <f>+HLOOKUP($C129,PMGR!$CG$2:$CS$250,97,0)</f>
        <v>0</v>
      </c>
      <c r="Z129" s="106">
        <f>+HLOOKUP($C129,PMGR!$CG$2:$CS$250,98,0)</f>
        <v>0</v>
      </c>
      <c r="AA129" s="106">
        <f>+HLOOKUP($C129,PMGR!$CG$2:$CS$250,99,0)</f>
        <v>0</v>
      </c>
      <c r="AB129" s="106">
        <f>+HLOOKUP($C129,PMGR!$CG$2:$CS$250,100,0)</f>
        <v>0</v>
      </c>
      <c r="AC129" s="106">
        <f>+HLOOKUP($C129,PMGR!$CG$2:$CS$250,101,0)</f>
        <v>0</v>
      </c>
      <c r="AD129" s="106">
        <f>+HLOOKUP($C129,PMGR!$CG$2:$CS$250,104,0)</f>
        <v>0</v>
      </c>
      <c r="AE129" s="106">
        <f>+HLOOKUP($C129,PMGR!$CG$2:$CS$250,105,0)</f>
        <v>0</v>
      </c>
      <c r="AF129" s="106">
        <f>+HLOOKUP($C129,PMGR!$CG$2:$CS$250,106,0)</f>
        <v>0</v>
      </c>
      <c r="AG129" s="106">
        <f>+HLOOKUP($C129,PMGR!$CG$2:$CS$250,107,0)</f>
        <v>22838.399999999998</v>
      </c>
      <c r="AH129" s="106">
        <f>+HLOOKUP($C129,PMGR!$CG$2:$CS$250,108,0)</f>
        <v>0</v>
      </c>
      <c r="AI129" s="106">
        <f>+HLOOKUP($C129,PMGR!$CG$2:$CS$250,109,0)</f>
        <v>0</v>
      </c>
      <c r="AJ129" s="106">
        <f>+HLOOKUP($C129,PMGR!$CG$2:$CS$250,110,0)</f>
        <v>0</v>
      </c>
      <c r="AK129" s="106">
        <f>+HLOOKUP($C129,PMGR!$CG$2:$CS$250,111,0)</f>
        <v>0</v>
      </c>
      <c r="AL129" s="106">
        <f>+HLOOKUP($C129,PMGR!$CG$2:$CS$250,112,0)</f>
        <v>0</v>
      </c>
      <c r="AM129" s="106">
        <f>+HLOOKUP($C129,PMGR!$CG$2:$CS$250,116,0)</f>
        <v>202454.91</v>
      </c>
      <c r="AN129" s="106">
        <f>+HLOOKUP($C129,PMGR!$CG$2:$CS$250,117,0)</f>
        <v>34860.5</v>
      </c>
      <c r="AO129" s="106">
        <f>+HLOOKUP($C129,PMGR!$CG$2:$CS$250,118,0)</f>
        <v>3500</v>
      </c>
      <c r="AP129" s="106">
        <f>+HLOOKUP($C129,PMGR!$CG$2:$CS$250,119,0)</f>
        <v>64246</v>
      </c>
      <c r="AQ129" s="106">
        <f>+HLOOKUP($C129,PMGR!$CG$2:$CS$250,120,0)</f>
        <v>14680</v>
      </c>
      <c r="AR129" s="106">
        <f>+HLOOKUP($C129,PMGR!$CG$2:$CS$250,121,0)</f>
        <v>7370</v>
      </c>
      <c r="AS129" s="106">
        <f>+HLOOKUP($C129,PMGR!$CG$2:$CS$250,122,0)</f>
        <v>97123.6</v>
      </c>
      <c r="AT129" s="106">
        <f>+HLOOKUP($C129,PMGR!$CG$2:$CS$250,123,0)</f>
        <v>48544.06</v>
      </c>
      <c r="AU129" s="106">
        <f>+HLOOKUP($C129,PMGR!$CG$2:$CS$250,124,0)</f>
        <v>10489.96</v>
      </c>
      <c r="AV129" s="106">
        <f>+HLOOKUP($C129,PMGR!$CG$2:$CS$250,125,0)</f>
        <v>70365</v>
      </c>
      <c r="AW129" s="106">
        <f>+HLOOKUP($C129,PMGR!$CG$2:$CS$250,126,0)</f>
        <v>18911.170192307691</v>
      </c>
      <c r="AX129" s="106">
        <f>+HLOOKUP($C129,PMGR!$CG$2:$CS$250,127,0)</f>
        <v>24153.510000000002</v>
      </c>
      <c r="AY129" s="106">
        <f>+HLOOKUP($C129,PMGR!$CG$2:$CS$250,129,0)</f>
        <v>4263.12</v>
      </c>
      <c r="AZ129" s="106">
        <f>+HLOOKUP($C129,PMGR!$CG$2:$CS$250,130,0)</f>
        <v>0</v>
      </c>
      <c r="BA129" s="106">
        <f>+HLOOKUP($C129,PMGR!$CG$2:$CS$250,131,0)</f>
        <v>63783.333333333336</v>
      </c>
      <c r="BB129" s="106">
        <f>+HLOOKUP($C129,PMGR!$CG$2:$CS$250,133,0)</f>
        <v>0</v>
      </c>
      <c r="BC129" s="106">
        <f>+HLOOKUP($C129,PMGR!$CG$2:$CS$250,134,0)</f>
        <v>8461.884399999999</v>
      </c>
      <c r="BD129" s="106">
        <f>+HLOOKUP($C129,PMGR!$CG$2:$CS$250,135,0)</f>
        <v>0</v>
      </c>
      <c r="BE129" s="106">
        <f>+HLOOKUP($C129,PMGR!$CG$2:$CS$250,136,0)</f>
        <v>0</v>
      </c>
      <c r="BF129" s="106">
        <f>+HLOOKUP($C129,PMGR!$CG$2:$CS$250,138,0)</f>
        <v>2553.6599999999994</v>
      </c>
      <c r="BG129" s="106">
        <f>+HLOOKUP($C129,PMGR!$CG$2:$CS$250,139,0)</f>
        <v>5752.23</v>
      </c>
      <c r="BH129" s="106">
        <f>+HLOOKUP($C129,PMGR!$CG$2:$CS$250,140,0)</f>
        <v>6900</v>
      </c>
      <c r="BI129" s="106">
        <f>+HLOOKUP($C129,PMGR!$CG$2:$CS$250,141,0)</f>
        <v>2348.1</v>
      </c>
      <c r="BJ129" s="106">
        <f>+HLOOKUP($C129,PMGR!$CG$2:$CS$250,142,0)</f>
        <v>0</v>
      </c>
      <c r="BK129" s="106">
        <f>+HLOOKUP($C129,PMGR!$CG$2:$CS$250,143,0)</f>
        <v>12754.875</v>
      </c>
      <c r="BL129" s="106">
        <f>+HLOOKUP($C129,PMGR!$CG$2:$CS$250,144,0)</f>
        <v>3386.97</v>
      </c>
      <c r="BM129" s="106">
        <f>+HLOOKUP($C129,PMGR!$CG$2:$CS$250,146,0)</f>
        <v>0</v>
      </c>
      <c r="BN129" s="106">
        <f>+HLOOKUP($C129,PMGR!$CG$2:$CS$250,147,0)</f>
        <v>88297</v>
      </c>
      <c r="BO129" s="106">
        <f>+HLOOKUP($C129,PMGR!$CG$2:$CS$250,148,0)</f>
        <v>0</v>
      </c>
      <c r="BP129" s="106">
        <f>+HLOOKUP($C129,PMGR!$CG$2:$CS$250,150,0)</f>
        <v>18197.7</v>
      </c>
      <c r="BQ129" s="106">
        <f>+HLOOKUP($C129,PMGR!$CG$2:$CS$250,151,0)</f>
        <v>1417.5</v>
      </c>
      <c r="BR129" s="106">
        <f>+HLOOKUP($C129,PMGR!$CG$2:$CS$250,152,0)</f>
        <v>9600</v>
      </c>
      <c r="BS129" s="106">
        <f>+HLOOKUP($C129,PMGR!$CG$2:$CS$250,153,0)</f>
        <v>480</v>
      </c>
      <c r="BT129" s="106">
        <f>+HLOOKUP($C129,PMGR!$CG$2:$CS$250,157,0)</f>
        <v>0</v>
      </c>
      <c r="BU129" s="106">
        <f>+HLOOKUP($C129,PMGR!$CG$2:$CS$250,158,0)</f>
        <v>1229.6612</v>
      </c>
      <c r="BV129" s="106">
        <f>+HLOOKUP($C129,PMGR!$CG$2:$CS$250,159,0)</f>
        <v>204.29999999999998</v>
      </c>
      <c r="BW129" s="106">
        <f>+HLOOKUP($C129,PMGR!$CG$2:$CS$250,160,0)</f>
        <v>3800</v>
      </c>
      <c r="BX129" s="106">
        <f>+HLOOKUP($C129,PMGR!$CG$2:$CS$250,161,0)</f>
        <v>5127.5</v>
      </c>
      <c r="BY129" s="106">
        <f>+HLOOKUP($C129,PMGR!$CG$2:$CS$250,164,0)</f>
        <v>945</v>
      </c>
      <c r="BZ129" s="106">
        <f>+HLOOKUP($C129,PMGR!$CG$2:$CS$250,165,0)</f>
        <v>27712.22</v>
      </c>
      <c r="CA129" s="106">
        <f>+HLOOKUP($C129,PMGR!$CG$2:$CS$250,166,0)</f>
        <v>0</v>
      </c>
      <c r="CB129" s="106">
        <f>+HLOOKUP($C129,PMGR!$CG$2:$CS$250,167,0)</f>
        <v>14902.009999999998</v>
      </c>
      <c r="CC129" s="106">
        <f>+HLOOKUP($C129,PMGR!$CG$2:$CS$250,168,0)</f>
        <v>0</v>
      </c>
      <c r="CD129" s="106">
        <f>+HLOOKUP($C129,PMGR!$CG$2:$CS$250,169,0)</f>
        <v>320.7978</v>
      </c>
      <c r="CE129" s="106">
        <f>+HLOOKUP($C129,PMGR!$CG$2:$CS$250,170,0)</f>
        <v>0</v>
      </c>
      <c r="CF129" s="106">
        <f>+HLOOKUP($C129,PMGR!$CG$2:$CS$250,172,0)</f>
        <v>10800</v>
      </c>
      <c r="CG129" s="106">
        <f>+HLOOKUP($C129,PMGR!$CG$2:$CS$250,173,0)</f>
        <v>0</v>
      </c>
      <c r="CH129" s="106">
        <f>+HLOOKUP($C129,PMGR!$CG$2:$CS$250,174,0)</f>
        <v>35538</v>
      </c>
      <c r="CI129" s="106">
        <f>+HLOOKUP($C129,PMGR!$CG$2:$CS$250,175,0)</f>
        <v>4458</v>
      </c>
      <c r="CJ129" s="106">
        <f>+HLOOKUP($C129,PMGR!$CG$2:$CS$250,176,0)</f>
        <v>1501.2</v>
      </c>
      <c r="CK129" s="106">
        <f>+HLOOKUP($C129,PMGR!$CG$2:$CS$250,178,0)</f>
        <v>26270.6</v>
      </c>
      <c r="CL129" s="106">
        <f>+HLOOKUP($C129,PMGR!$CG$2:$CS$250,179,0)</f>
        <v>13802.44</v>
      </c>
      <c r="CM129" s="106">
        <f>+HLOOKUP($C129,PMGR!$CG$2:$CS$250,180,0)</f>
        <v>5040</v>
      </c>
      <c r="CN129" s="106">
        <f>+HLOOKUP($C129,PMGR!$CG$2:$CS$250,182,0)</f>
        <v>368.55</v>
      </c>
      <c r="CO129" s="106">
        <f>+HLOOKUP($C129,PMGR!$CG$2:$CS$250,183,0)</f>
        <v>2714.7</v>
      </c>
      <c r="CP129" s="106">
        <f>+HLOOKUP($C129,PMGR!$CG$2:$CS$250,184,0)</f>
        <v>0</v>
      </c>
      <c r="CQ129" s="106">
        <f>+HLOOKUP($C129,PMGR!$CG$2:$CS$250,185,0)</f>
        <v>0</v>
      </c>
      <c r="CR129" s="106">
        <f>+HLOOKUP($C129,PMGR!$CG$2:$CS$250,187,0)</f>
        <v>1874.9999999999968</v>
      </c>
      <c r="CS129" s="106">
        <f>+HLOOKUP($C129,PMGR!$CG$2:$CS$250,188,0)</f>
        <v>2385</v>
      </c>
      <c r="CT129" s="106">
        <f>+HLOOKUP($C129,PMGR!$CG$2:$CS$250,189,0)</f>
        <v>0</v>
      </c>
      <c r="CU129" s="106">
        <f>+HLOOKUP($C129,PMGR!$CG$2:$CS$250,190,0)</f>
        <v>749.99969999999996</v>
      </c>
      <c r="CV129" s="106">
        <f>+HLOOKUP($C129,PMGR!$CG$2:$CS$250,191,0)</f>
        <v>0</v>
      </c>
      <c r="CW129" s="106">
        <f>+HLOOKUP($C129,PMGR!$CG$2:$CS$250,193,0)</f>
        <v>3529.7999999999997</v>
      </c>
      <c r="CX129" s="106">
        <f>+HLOOKUP($C129,PMGR!$CG$2:$CS$250,194,0)</f>
        <v>116.85</v>
      </c>
      <c r="CY129" s="106">
        <f>+HLOOKUP($C129,PMGR!$CG$2:$CS$250,195,0)</f>
        <v>825</v>
      </c>
      <c r="CZ129" s="106">
        <f>+HLOOKUP($C129,PMGR!$CG$2:$CS$250,196,0)</f>
        <v>0</v>
      </c>
      <c r="DA129" s="106">
        <f>+HLOOKUP($C129,PMGR!$CG$2:$CS$250,197,0)</f>
        <v>3326.9649999999992</v>
      </c>
      <c r="DB129" s="106">
        <f>+HLOOKUP($C129,PMGR!$CG$2:$CS$250,198,0)</f>
        <v>10121.361000000001</v>
      </c>
      <c r="DC129" s="106">
        <f>+HLOOKUP($C129,PMGR!$CG$2:$CS$250,199,0)</f>
        <v>906.81</v>
      </c>
      <c r="DD129" s="106">
        <f>+HLOOKUP($C129,PMGR!$CG$2:$CS$250,200,0)</f>
        <v>197</v>
      </c>
      <c r="DE129" s="106">
        <f>+HLOOKUP($C129,PMGR!$CG$2:$CS$250,201,0)</f>
        <v>0</v>
      </c>
      <c r="DF129" s="106">
        <f>+HLOOKUP($C129,PMGR!$CG$2:$CS$250,202,0)</f>
        <v>6.2126000000000001</v>
      </c>
      <c r="DG129" s="106">
        <f>+HLOOKUP($C129,PMGR!$CG$2:$CS$250,203,0)</f>
        <v>2.0987999999999998</v>
      </c>
      <c r="DH129" s="106">
        <f>+HLOOKUP($C129,PMGR!$CG$2:$CS$250,205,0)</f>
        <v>0</v>
      </c>
      <c r="DI129" s="106">
        <f>+HLOOKUP($C129,PMGR!$CG$2:$CS$250,206,0)</f>
        <v>3654.9300000000003</v>
      </c>
      <c r="DJ129" s="106">
        <f>+HLOOKUP($C129,PMGR!$CG$2:$CS$250,207,0)</f>
        <v>2410.1925000000001</v>
      </c>
      <c r="DK129" s="106">
        <f>+HLOOKUP($C129,PMGR!$CG$2:$CS$250,209,0)</f>
        <v>0</v>
      </c>
      <c r="DL129" s="106">
        <f>+HLOOKUP($C129,PMGR!$CG$2:$CS$250,210,0)</f>
        <v>66852.899999999994</v>
      </c>
      <c r="DM129" s="106">
        <f>+HLOOKUP($C129,PMGR!$CG$2:$CS$250,211,0)</f>
        <v>0</v>
      </c>
      <c r="DN129" s="106">
        <f>+HLOOKUP($C129,PMGR!$CG$2:$CS$250,212,0)</f>
        <v>48000</v>
      </c>
      <c r="DO129" s="106">
        <f>+HLOOKUP($C129,PMGR!$CG$2:$CS$250,214,0)</f>
        <v>0</v>
      </c>
      <c r="DP129" s="106">
        <f>+HLOOKUP($C129,PMGR!$CG$2:$CS$250,215,0)</f>
        <v>420</v>
      </c>
      <c r="DQ129" s="106">
        <f>+HLOOKUP($C129,PMGR!$CG$2:$CS$250,219,0)</f>
        <v>0</v>
      </c>
      <c r="DR129" s="106">
        <f>+HLOOKUP($C129,PMGR!$CG$2:$CS$250,220,0)</f>
        <v>0</v>
      </c>
      <c r="DS129" s="106">
        <f>+HLOOKUP($C129,PMGR!$CG$2:$CS$250,221,0)</f>
        <v>0</v>
      </c>
      <c r="DT129" s="106">
        <f>+HLOOKUP($C129,PMGR!$CG$2:$CS$250,223,0)</f>
        <v>6333.0245999999997</v>
      </c>
      <c r="DU129" s="106">
        <f>+HLOOKUP($C129,PMGR!$CG$2:$CS$250,224,0)</f>
        <v>0</v>
      </c>
      <c r="DV129" s="106">
        <f>+HLOOKUP($C129,PMGR!$CG$2:$CS$250,225,0)</f>
        <v>0</v>
      </c>
      <c r="DW129" s="106">
        <f>+HLOOKUP($C129,PMGR!$CG$2:$CS$250,227,0)</f>
        <v>0</v>
      </c>
      <c r="DX129" s="106">
        <f>+HLOOKUP($C129,PMGR!$CG$2:$CS$250,228,0)</f>
        <v>739.70999999999992</v>
      </c>
      <c r="DY129" s="106">
        <f>+HLOOKUP($C129,PMGR!$CG$2:$CS$250,236,0)</f>
        <v>126104.40000000001</v>
      </c>
      <c r="DZ129" s="106">
        <f>+HLOOKUP($C129,PMGR!$CG$2:$CS$250,237,0)</f>
        <v>114150.53601</v>
      </c>
      <c r="EA129" s="106">
        <f>+HLOOKUP($C129,PMGR!$CG$2:$CS$250,238,0)</f>
        <v>45068.4</v>
      </c>
      <c r="EB129" s="106">
        <f>+HLOOKUP($C129,PMGR!$CG$2:$CS$250,240,0)</f>
        <v>292179.86691964284</v>
      </c>
    </row>
    <row r="130" spans="1:132" hidden="1">
      <c r="A130" t="s">
        <v>271</v>
      </c>
      <c r="B130" t="s">
        <v>217</v>
      </c>
      <c r="C130" s="117">
        <v>45383</v>
      </c>
      <c r="D130" s="106">
        <f t="shared" si="4"/>
        <v>6717624.029045918</v>
      </c>
      <c r="E130" s="106">
        <f>+HLOOKUP(C130,PMGR!$CG$2:$CS$250,28,0)+HLOOKUP(C130,PMGR!$CG$2:$CS$250,43,0)+HLOOKUP(C130,PMGR!$CG$2:$CS$250,44,0)+HLOOKUP(C130,PMGR!$CG$2:$CS$250,45,0)+HLOOKUP(C130,PMGR!$CG$2:$CS$250,54,0)+HLOOKUP(C130,PMGR!$CG$2:$CS$250,59,0)</f>
        <v>6717624.029045918</v>
      </c>
      <c r="F130" s="106">
        <f>+HLOOKUP(C130,PMGR!$CG$2:$CS$250,37,0)+HLOOKUP(C130,PMGR!$CG$2:$CS$250,55,0)</f>
        <v>4077284.2959999982</v>
      </c>
      <c r="G130" s="106">
        <f>+HLOOKUP($C130,PMGR!$CG$2:$CS$250,76,0)</f>
        <v>0</v>
      </c>
      <c r="H130" s="106">
        <f>+HLOOKUP($C130,PMGR!$CG$2:$CS$250,77,0)</f>
        <v>0</v>
      </c>
      <c r="I130" s="106">
        <f>+HLOOKUP($C130,PMGR!$CG$2:$CS$250,78,0)</f>
        <v>0</v>
      </c>
      <c r="J130" s="106">
        <f>+HLOOKUP($C130,PMGR!$CG$2:$CS$250,79,0)</f>
        <v>0</v>
      </c>
      <c r="K130" s="106">
        <f>+HLOOKUP($C130,PMGR!$CG$2:$CS$250,80,0)</f>
        <v>0</v>
      </c>
      <c r="L130" s="106">
        <f>+HLOOKUP($C130,PMGR!$CG$2:$CS$250,81,0)</f>
        <v>0</v>
      </c>
      <c r="M130" s="106">
        <f>+HLOOKUP($C130,PMGR!$CG$2:$CS$250,82,0)</f>
        <v>0</v>
      </c>
      <c r="N130" s="106">
        <f>+HLOOKUP($C130,PMGR!$CG$2:$CS$250,83,0)</f>
        <v>0</v>
      </c>
      <c r="O130" s="106">
        <f>+HLOOKUP($C130,PMGR!$CG$2:$CS$250,84,0)</f>
        <v>0</v>
      </c>
      <c r="P130" s="106">
        <f>+HLOOKUP($C130,PMGR!$CG$2:$CS$250,85,0)</f>
        <v>0</v>
      </c>
      <c r="Q130" s="106">
        <f>+HLOOKUP($C130,PMGR!$CG$2:$CS$250,87,0)</f>
        <v>123693.39800000003</v>
      </c>
      <c r="R130" s="106">
        <f>+HLOOKUP($C130,PMGR!$CG$2:$CS$250,90,0)</f>
        <v>0</v>
      </c>
      <c r="S130" s="106">
        <f>+HLOOKUP($C130,PMGR!$CG$2:$CS$250,91,0)</f>
        <v>1268</v>
      </c>
      <c r="T130" s="106">
        <f>+HLOOKUP($C130,PMGR!$CG$2:$CS$250,92,0)</f>
        <v>0</v>
      </c>
      <c r="U130" s="106">
        <f>+HLOOKUP($C130,PMGR!$CG$2:$CS$250,93,0)</f>
        <v>0</v>
      </c>
      <c r="V130" s="106">
        <f>+HLOOKUP($C130,PMGR!$CG$2:$CS$250,94,0)</f>
        <v>0</v>
      </c>
      <c r="W130" s="106">
        <f>+HLOOKUP($C130,PMGR!$CG$2:$CS$250,95,0)</f>
        <v>0</v>
      </c>
      <c r="X130" s="106">
        <f>+HLOOKUP($C130,PMGR!$CG$2:$CS$250,96,0)</f>
        <v>0</v>
      </c>
      <c r="Y130" s="106">
        <f>+HLOOKUP($C130,PMGR!$CG$2:$CS$250,97,0)</f>
        <v>0</v>
      </c>
      <c r="Z130" s="106">
        <f>+HLOOKUP($C130,PMGR!$CG$2:$CS$250,98,0)</f>
        <v>0</v>
      </c>
      <c r="AA130" s="106">
        <f>+HLOOKUP($C130,PMGR!$CG$2:$CS$250,99,0)</f>
        <v>0</v>
      </c>
      <c r="AB130" s="106">
        <f>+HLOOKUP($C130,PMGR!$CG$2:$CS$250,100,0)</f>
        <v>0</v>
      </c>
      <c r="AC130" s="106">
        <f>+HLOOKUP($C130,PMGR!$CG$2:$CS$250,101,0)</f>
        <v>0</v>
      </c>
      <c r="AD130" s="106">
        <f>+HLOOKUP($C130,PMGR!$CG$2:$CS$250,104,0)</f>
        <v>239</v>
      </c>
      <c r="AE130" s="106">
        <f>+HLOOKUP($C130,PMGR!$CG$2:$CS$250,105,0)</f>
        <v>0</v>
      </c>
      <c r="AF130" s="106">
        <f>+HLOOKUP($C130,PMGR!$CG$2:$CS$250,106,0)</f>
        <v>0</v>
      </c>
      <c r="AG130" s="106">
        <f>+HLOOKUP($C130,PMGR!$CG$2:$CS$250,107,0)</f>
        <v>0</v>
      </c>
      <c r="AH130" s="106">
        <f>+HLOOKUP($C130,PMGR!$CG$2:$CS$250,108,0)</f>
        <v>0</v>
      </c>
      <c r="AI130" s="106">
        <f>+HLOOKUP($C130,PMGR!$CG$2:$CS$250,109,0)</f>
        <v>0</v>
      </c>
      <c r="AJ130" s="106">
        <f>+HLOOKUP($C130,PMGR!$CG$2:$CS$250,110,0)</f>
        <v>0</v>
      </c>
      <c r="AK130" s="106">
        <f>+HLOOKUP($C130,PMGR!$CG$2:$CS$250,111,0)</f>
        <v>0</v>
      </c>
      <c r="AL130" s="106">
        <f>+HLOOKUP($C130,PMGR!$CG$2:$CS$250,112,0)</f>
        <v>0</v>
      </c>
      <c r="AM130" s="106">
        <f>+HLOOKUP($C130,PMGR!$CG$2:$CS$250,116,0)</f>
        <v>221180.91</v>
      </c>
      <c r="AN130" s="106">
        <f>+HLOOKUP($C130,PMGR!$CG$2:$CS$250,117,0)</f>
        <v>37183.5</v>
      </c>
      <c r="AO130" s="106">
        <f>+HLOOKUP($C130,PMGR!$CG$2:$CS$250,118,0)</f>
        <v>3500</v>
      </c>
      <c r="AP130" s="106">
        <f>+HLOOKUP($C130,PMGR!$CG$2:$CS$250,119,0)</f>
        <v>67214</v>
      </c>
      <c r="AQ130" s="106">
        <f>+HLOOKUP($C130,PMGR!$CG$2:$CS$250,120,0)</f>
        <v>14680</v>
      </c>
      <c r="AR130" s="106">
        <f>+HLOOKUP($C130,PMGR!$CG$2:$CS$250,121,0)</f>
        <v>7370</v>
      </c>
      <c r="AS130" s="106">
        <f>+HLOOKUP($C130,PMGR!$CG$2:$CS$250,122,0)</f>
        <v>100856.5</v>
      </c>
      <c r="AT130" s="106">
        <f>+HLOOKUP($C130,PMGR!$CG$2:$CS$250,123,0)</f>
        <v>48544.06</v>
      </c>
      <c r="AU130" s="106">
        <f>+HLOOKUP($C130,PMGR!$CG$2:$CS$250,124,0)</f>
        <v>10171.619999999999</v>
      </c>
      <c r="AV130" s="106">
        <f>+HLOOKUP($C130,PMGR!$CG$2:$CS$250,125,0)</f>
        <v>22365</v>
      </c>
      <c r="AW130" s="106">
        <f>+HLOOKUP($C130,PMGR!$CG$2:$CS$250,126,0)</f>
        <v>18911.170192307691</v>
      </c>
      <c r="AX130" s="106">
        <f>+HLOOKUP($C130,PMGR!$CG$2:$CS$250,127,0)</f>
        <v>24153.510000000002</v>
      </c>
      <c r="AY130" s="106">
        <f>+HLOOKUP($C130,PMGR!$CG$2:$CS$250,129,0)</f>
        <v>0</v>
      </c>
      <c r="AZ130" s="106">
        <f>+HLOOKUP($C130,PMGR!$CG$2:$CS$250,130,0)</f>
        <v>0</v>
      </c>
      <c r="BA130" s="106">
        <f>+HLOOKUP($C130,PMGR!$CG$2:$CS$250,131,0)</f>
        <v>63783.333333333336</v>
      </c>
      <c r="BB130" s="106">
        <f>+HLOOKUP($C130,PMGR!$CG$2:$CS$250,133,0)</f>
        <v>0</v>
      </c>
      <c r="BC130" s="106">
        <f>+HLOOKUP($C130,PMGR!$CG$2:$CS$250,134,0)</f>
        <v>3283.6311999999998</v>
      </c>
      <c r="BD130" s="106">
        <f>+HLOOKUP($C130,PMGR!$CG$2:$CS$250,135,0)</f>
        <v>0</v>
      </c>
      <c r="BE130" s="106">
        <f>+HLOOKUP($C130,PMGR!$CG$2:$CS$250,136,0)</f>
        <v>0</v>
      </c>
      <c r="BF130" s="106">
        <f>+HLOOKUP($C130,PMGR!$CG$2:$CS$250,138,0)</f>
        <v>3324.6599999999994</v>
      </c>
      <c r="BG130" s="106">
        <f>+HLOOKUP($C130,PMGR!$CG$2:$CS$250,139,0)</f>
        <v>4934</v>
      </c>
      <c r="BH130" s="106">
        <f>+HLOOKUP($C130,PMGR!$CG$2:$CS$250,140,0)</f>
        <v>6900</v>
      </c>
      <c r="BI130" s="106">
        <f>+HLOOKUP($C130,PMGR!$CG$2:$CS$250,141,0)</f>
        <v>0</v>
      </c>
      <c r="BJ130" s="106">
        <f>+HLOOKUP($C130,PMGR!$CG$2:$CS$250,142,0)</f>
        <v>0</v>
      </c>
      <c r="BK130" s="106">
        <f>+HLOOKUP($C130,PMGR!$CG$2:$CS$250,143,0)</f>
        <v>12754.875</v>
      </c>
      <c r="BL130" s="106">
        <f>+HLOOKUP($C130,PMGR!$CG$2:$CS$250,144,0)</f>
        <v>6000</v>
      </c>
      <c r="BM130" s="106">
        <f>+HLOOKUP($C130,PMGR!$CG$2:$CS$250,146,0)</f>
        <v>0</v>
      </c>
      <c r="BN130" s="106">
        <f>+HLOOKUP($C130,PMGR!$CG$2:$CS$250,147,0)</f>
        <v>55483</v>
      </c>
      <c r="BO130" s="106">
        <f>+HLOOKUP($C130,PMGR!$CG$2:$CS$250,148,0)</f>
        <v>0</v>
      </c>
      <c r="BP130" s="106">
        <f>+HLOOKUP($C130,PMGR!$CG$2:$CS$250,150,0)</f>
        <v>17819.399999999998</v>
      </c>
      <c r="BQ130" s="106">
        <f>+HLOOKUP($C130,PMGR!$CG$2:$CS$250,151,0)</f>
        <v>1417.5</v>
      </c>
      <c r="BR130" s="106">
        <f>+HLOOKUP($C130,PMGR!$CG$2:$CS$250,152,0)</f>
        <v>9600</v>
      </c>
      <c r="BS130" s="106">
        <f>+HLOOKUP($C130,PMGR!$CG$2:$CS$250,153,0)</f>
        <v>480</v>
      </c>
      <c r="BT130" s="106">
        <f>+HLOOKUP($C130,PMGR!$CG$2:$CS$250,157,0)</f>
        <v>0</v>
      </c>
      <c r="BU130" s="106">
        <f>+HLOOKUP($C130,PMGR!$CG$2:$CS$250,158,0)</f>
        <v>0</v>
      </c>
      <c r="BV130" s="106">
        <f>+HLOOKUP($C130,PMGR!$CG$2:$CS$250,159,0)</f>
        <v>204.29999999999998</v>
      </c>
      <c r="BW130" s="106">
        <f>+HLOOKUP($C130,PMGR!$CG$2:$CS$250,160,0)</f>
        <v>0</v>
      </c>
      <c r="BX130" s="106">
        <f>+HLOOKUP($C130,PMGR!$CG$2:$CS$250,161,0)</f>
        <v>4597.5</v>
      </c>
      <c r="BY130" s="106">
        <f>+HLOOKUP($C130,PMGR!$CG$2:$CS$250,164,0)</f>
        <v>1310.45</v>
      </c>
      <c r="BZ130" s="106">
        <f>+HLOOKUP($C130,PMGR!$CG$2:$CS$250,165,0)</f>
        <v>21716.18</v>
      </c>
      <c r="CA130" s="106">
        <f>+HLOOKUP($C130,PMGR!$CG$2:$CS$250,166,0)</f>
        <v>0</v>
      </c>
      <c r="CB130" s="106">
        <f>+HLOOKUP($C130,PMGR!$CG$2:$CS$250,167,0)</f>
        <v>0</v>
      </c>
      <c r="CC130" s="106">
        <f>+HLOOKUP($C130,PMGR!$CG$2:$CS$250,168,0)</f>
        <v>0</v>
      </c>
      <c r="CD130" s="106">
        <f>+HLOOKUP($C130,PMGR!$CG$2:$CS$250,169,0)</f>
        <v>2226</v>
      </c>
      <c r="CE130" s="106">
        <f>+HLOOKUP($C130,PMGR!$CG$2:$CS$250,170,0)</f>
        <v>0</v>
      </c>
      <c r="CF130" s="106">
        <f>+HLOOKUP($C130,PMGR!$CG$2:$CS$250,172,0)</f>
        <v>10800</v>
      </c>
      <c r="CG130" s="106">
        <f>+HLOOKUP($C130,PMGR!$CG$2:$CS$250,173,0)</f>
        <v>0</v>
      </c>
      <c r="CH130" s="106">
        <f>+HLOOKUP($C130,PMGR!$CG$2:$CS$250,174,0)</f>
        <v>35538</v>
      </c>
      <c r="CI130" s="106">
        <f>+HLOOKUP($C130,PMGR!$CG$2:$CS$250,175,0)</f>
        <v>4458</v>
      </c>
      <c r="CJ130" s="106">
        <f>+HLOOKUP($C130,PMGR!$CG$2:$CS$250,176,0)</f>
        <v>1501.2</v>
      </c>
      <c r="CK130" s="106">
        <f>+HLOOKUP($C130,PMGR!$CG$2:$CS$250,178,0)</f>
        <v>30961.55</v>
      </c>
      <c r="CL130" s="106">
        <f>+HLOOKUP($C130,PMGR!$CG$2:$CS$250,179,0)</f>
        <v>3500</v>
      </c>
      <c r="CM130" s="106">
        <f>+HLOOKUP($C130,PMGR!$CG$2:$CS$250,180,0)</f>
        <v>0</v>
      </c>
      <c r="CN130" s="106">
        <f>+HLOOKUP($C130,PMGR!$CG$2:$CS$250,182,0)</f>
        <v>368.55</v>
      </c>
      <c r="CO130" s="106">
        <f>+HLOOKUP($C130,PMGR!$CG$2:$CS$250,183,0)</f>
        <v>2235.2999999999997</v>
      </c>
      <c r="CP130" s="106">
        <f>+HLOOKUP($C130,PMGR!$CG$2:$CS$250,184,0)</f>
        <v>0</v>
      </c>
      <c r="CQ130" s="106">
        <f>+HLOOKUP($C130,PMGR!$CG$2:$CS$250,185,0)</f>
        <v>0</v>
      </c>
      <c r="CR130" s="106">
        <f>+HLOOKUP($C130,PMGR!$CG$2:$CS$250,187,0)</f>
        <v>1874.9999999999968</v>
      </c>
      <c r="CS130" s="106">
        <f>+HLOOKUP($C130,PMGR!$CG$2:$CS$250,188,0)</f>
        <v>2385</v>
      </c>
      <c r="CT130" s="106">
        <f>+HLOOKUP($C130,PMGR!$CG$2:$CS$250,189,0)</f>
        <v>0</v>
      </c>
      <c r="CU130" s="106">
        <f>+HLOOKUP($C130,PMGR!$CG$2:$CS$250,190,0)</f>
        <v>749.99969999999996</v>
      </c>
      <c r="CV130" s="106">
        <f>+HLOOKUP($C130,PMGR!$CG$2:$CS$250,191,0)</f>
        <v>0</v>
      </c>
      <c r="CW130" s="106">
        <f>+HLOOKUP($C130,PMGR!$CG$2:$CS$250,193,0)</f>
        <v>3529.7999999999997</v>
      </c>
      <c r="CX130" s="106">
        <f>+HLOOKUP($C130,PMGR!$CG$2:$CS$250,194,0)</f>
        <v>23.849999999999998</v>
      </c>
      <c r="CY130" s="106">
        <f>+HLOOKUP($C130,PMGR!$CG$2:$CS$250,195,0)</f>
        <v>825</v>
      </c>
      <c r="CZ130" s="106">
        <f>+HLOOKUP($C130,PMGR!$CG$2:$CS$250,196,0)</f>
        <v>0</v>
      </c>
      <c r="DA130" s="106">
        <f>+HLOOKUP($C130,PMGR!$CG$2:$CS$250,197,0)</f>
        <v>2343.2069999999999</v>
      </c>
      <c r="DB130" s="106">
        <f>+HLOOKUP($C130,PMGR!$CG$2:$CS$250,198,0)</f>
        <v>0</v>
      </c>
      <c r="DC130" s="106">
        <f>+HLOOKUP($C130,PMGR!$CG$2:$CS$250,199,0)</f>
        <v>1361.49</v>
      </c>
      <c r="DD130" s="106">
        <f>+HLOOKUP($C130,PMGR!$CG$2:$CS$250,200,0)</f>
        <v>1864</v>
      </c>
      <c r="DE130" s="106">
        <f>+HLOOKUP($C130,PMGR!$CG$2:$CS$250,201,0)</f>
        <v>0</v>
      </c>
      <c r="DF130" s="106">
        <f>+HLOOKUP($C130,PMGR!$CG$2:$CS$250,202,0)</f>
        <v>0.53999999999999992</v>
      </c>
      <c r="DG130" s="106">
        <f>+HLOOKUP($C130,PMGR!$CG$2:$CS$250,203,0)</f>
        <v>3.9599999999999995</v>
      </c>
      <c r="DH130" s="106">
        <f>+HLOOKUP($C130,PMGR!$CG$2:$CS$250,205,0)</f>
        <v>0</v>
      </c>
      <c r="DI130" s="106">
        <f>+HLOOKUP($C130,PMGR!$CG$2:$CS$250,206,0)</f>
        <v>3654.9300000000003</v>
      </c>
      <c r="DJ130" s="106">
        <f>+HLOOKUP($C130,PMGR!$CG$2:$CS$250,207,0)</f>
        <v>5659.1925000000001</v>
      </c>
      <c r="DK130" s="106">
        <f>+HLOOKUP($C130,PMGR!$CG$2:$CS$250,209,0)</f>
        <v>0</v>
      </c>
      <c r="DL130" s="106">
        <f>+HLOOKUP($C130,PMGR!$CG$2:$CS$250,210,0)</f>
        <v>66852.899999999994</v>
      </c>
      <c r="DM130" s="106">
        <f>+HLOOKUP($C130,PMGR!$CG$2:$CS$250,211,0)</f>
        <v>0</v>
      </c>
      <c r="DN130" s="106">
        <f>+HLOOKUP($C130,PMGR!$CG$2:$CS$250,212,0)</f>
        <v>48000</v>
      </c>
      <c r="DO130" s="106">
        <f>+HLOOKUP($C130,PMGR!$CG$2:$CS$250,214,0)</f>
        <v>0</v>
      </c>
      <c r="DP130" s="106">
        <f>+HLOOKUP($C130,PMGR!$CG$2:$CS$250,215,0)</f>
        <v>600</v>
      </c>
      <c r="DQ130" s="106">
        <f>+HLOOKUP($C130,PMGR!$CG$2:$CS$250,219,0)</f>
        <v>0</v>
      </c>
      <c r="DR130" s="106">
        <f>+HLOOKUP($C130,PMGR!$CG$2:$CS$250,220,0)</f>
        <v>0</v>
      </c>
      <c r="DS130" s="106">
        <f>+HLOOKUP($C130,PMGR!$CG$2:$CS$250,221,0)</f>
        <v>0</v>
      </c>
      <c r="DT130" s="106">
        <f>+HLOOKUP($C130,PMGR!$CG$2:$CS$250,223,0)</f>
        <v>7201.5830999999989</v>
      </c>
      <c r="DU130" s="106">
        <f>+HLOOKUP($C130,PMGR!$CG$2:$CS$250,224,0)</f>
        <v>0</v>
      </c>
      <c r="DV130" s="106">
        <f>+HLOOKUP($C130,PMGR!$CG$2:$CS$250,225,0)</f>
        <v>0</v>
      </c>
      <c r="DW130" s="106">
        <f>+HLOOKUP($C130,PMGR!$CG$2:$CS$250,227,0)</f>
        <v>0</v>
      </c>
      <c r="DX130" s="106">
        <f>+HLOOKUP($C130,PMGR!$CG$2:$CS$250,228,0)</f>
        <v>2458.08</v>
      </c>
      <c r="DY130" s="106">
        <f>+HLOOKUP($C130,PMGR!$CG$2:$CS$250,236,0)</f>
        <v>127516</v>
      </c>
      <c r="DZ130" s="106">
        <f>+HLOOKUP($C130,PMGR!$CG$2:$CS$250,237,0)</f>
        <v>115482.22434</v>
      </c>
      <c r="EA130" s="106">
        <f>+HLOOKUP($C130,PMGR!$CG$2:$CS$250,238,0)</f>
        <v>46706.400000000001</v>
      </c>
      <c r="EB130" s="106">
        <f>+HLOOKUP($C130,PMGR!$CG$2:$CS$250,240,0)</f>
        <v>292179.86691964284</v>
      </c>
    </row>
    <row r="131" spans="1:132" hidden="1">
      <c r="A131" t="s">
        <v>271</v>
      </c>
      <c r="B131" t="s">
        <v>217</v>
      </c>
      <c r="C131" s="117">
        <v>45352</v>
      </c>
      <c r="D131" s="106">
        <f t="shared" si="4"/>
        <v>11240264.107922956</v>
      </c>
      <c r="E131" s="106">
        <f>+HLOOKUP(C131,PMGR!$CG$2:$CS$250,28,0)+HLOOKUP(C131,PMGR!$CG$2:$CS$250,43,0)+HLOOKUP(C131,PMGR!$CG$2:$CS$250,44,0)+HLOOKUP(C131,PMGR!$CG$2:$CS$250,45,0)+HLOOKUP(C131,PMGR!$CG$2:$CS$250,54,0)+HLOOKUP(C131,PMGR!$CG$2:$CS$250,59,0)</f>
        <v>11240264.107922956</v>
      </c>
      <c r="F131" s="106">
        <f>+HLOOKUP(C131,PMGR!$CG$2:$CS$250,37,0)+HLOOKUP(C131,PMGR!$CG$2:$CS$250,55,0)</f>
        <v>6145716.8620000035</v>
      </c>
      <c r="G131" s="106">
        <f>+HLOOKUP($C131,PMGR!$CG$2:$CS$250,76,0)</f>
        <v>0</v>
      </c>
      <c r="H131" s="106">
        <f>+HLOOKUP($C131,PMGR!$CG$2:$CS$250,77,0)</f>
        <v>0</v>
      </c>
      <c r="I131" s="106">
        <f>+HLOOKUP($C131,PMGR!$CG$2:$CS$250,78,0)</f>
        <v>0</v>
      </c>
      <c r="J131" s="106">
        <f>+HLOOKUP($C131,PMGR!$CG$2:$CS$250,79,0)</f>
        <v>0</v>
      </c>
      <c r="K131" s="106">
        <f>+HLOOKUP($C131,PMGR!$CG$2:$CS$250,80,0)</f>
        <v>0</v>
      </c>
      <c r="L131" s="106">
        <f>+HLOOKUP($C131,PMGR!$CG$2:$CS$250,81,0)</f>
        <v>0</v>
      </c>
      <c r="M131" s="106">
        <f>+HLOOKUP($C131,PMGR!$CG$2:$CS$250,82,0)</f>
        <v>0</v>
      </c>
      <c r="N131" s="106">
        <f>+HLOOKUP($C131,PMGR!$CG$2:$CS$250,83,0)</f>
        <v>0</v>
      </c>
      <c r="O131" s="106">
        <f>+HLOOKUP($C131,PMGR!$CG$2:$CS$250,84,0)</f>
        <v>0</v>
      </c>
      <c r="P131" s="106">
        <f>+HLOOKUP($C131,PMGR!$CG$2:$CS$250,85,0)</f>
        <v>0</v>
      </c>
      <c r="Q131" s="106">
        <f>+HLOOKUP($C131,PMGR!$CG$2:$CS$250,87,0)</f>
        <v>133549.82</v>
      </c>
      <c r="R131" s="106">
        <f>+HLOOKUP($C131,PMGR!$CG$2:$CS$250,90,0)</f>
        <v>0</v>
      </c>
      <c r="S131" s="106">
        <f>+HLOOKUP($C131,PMGR!$CG$2:$CS$250,91,0)</f>
        <v>1200</v>
      </c>
      <c r="T131" s="106">
        <f>+HLOOKUP($C131,PMGR!$CG$2:$CS$250,92,0)</f>
        <v>0</v>
      </c>
      <c r="U131" s="106">
        <f>+HLOOKUP($C131,PMGR!$CG$2:$CS$250,93,0)</f>
        <v>0</v>
      </c>
      <c r="V131" s="106">
        <f>+HLOOKUP($C131,PMGR!$CG$2:$CS$250,94,0)</f>
        <v>0</v>
      </c>
      <c r="W131" s="106">
        <f>+HLOOKUP($C131,PMGR!$CG$2:$CS$250,95,0)</f>
        <v>0</v>
      </c>
      <c r="X131" s="106">
        <f>+HLOOKUP($C131,PMGR!$CG$2:$CS$250,96,0)</f>
        <v>0</v>
      </c>
      <c r="Y131" s="106">
        <f>+HLOOKUP($C131,PMGR!$CG$2:$CS$250,97,0)</f>
        <v>0</v>
      </c>
      <c r="Z131" s="106">
        <f>+HLOOKUP($C131,PMGR!$CG$2:$CS$250,98,0)</f>
        <v>0</v>
      </c>
      <c r="AA131" s="106">
        <f>+HLOOKUP($C131,PMGR!$CG$2:$CS$250,99,0)</f>
        <v>0</v>
      </c>
      <c r="AB131" s="106">
        <f>+HLOOKUP($C131,PMGR!$CG$2:$CS$250,100,0)</f>
        <v>0</v>
      </c>
      <c r="AC131" s="106">
        <f>+HLOOKUP($C131,PMGR!$CG$2:$CS$250,101,0)</f>
        <v>0</v>
      </c>
      <c r="AD131" s="106">
        <f>+HLOOKUP($C131,PMGR!$CG$2:$CS$250,104,0)</f>
        <v>999</v>
      </c>
      <c r="AE131" s="106">
        <f>+HLOOKUP($C131,PMGR!$CG$2:$CS$250,105,0)</f>
        <v>0</v>
      </c>
      <c r="AF131" s="106">
        <f>+HLOOKUP($C131,PMGR!$CG$2:$CS$250,106,0)</f>
        <v>0</v>
      </c>
      <c r="AG131" s="106">
        <f>+HLOOKUP($C131,PMGR!$CG$2:$CS$250,107,0)</f>
        <v>0</v>
      </c>
      <c r="AH131" s="106">
        <f>+HLOOKUP($C131,PMGR!$CG$2:$CS$250,108,0)</f>
        <v>0</v>
      </c>
      <c r="AI131" s="106">
        <f>+HLOOKUP($C131,PMGR!$CG$2:$CS$250,109,0)</f>
        <v>0</v>
      </c>
      <c r="AJ131" s="106">
        <f>+HLOOKUP($C131,PMGR!$CG$2:$CS$250,110,0)</f>
        <v>0</v>
      </c>
      <c r="AK131" s="106">
        <f>+HLOOKUP($C131,PMGR!$CG$2:$CS$250,111,0)</f>
        <v>0</v>
      </c>
      <c r="AL131" s="106">
        <f>+HLOOKUP($C131,PMGR!$CG$2:$CS$250,112,0)</f>
        <v>0</v>
      </c>
      <c r="AM131" s="106">
        <f>+HLOOKUP($C131,PMGR!$CG$2:$CS$250,116,0)</f>
        <v>206692.91</v>
      </c>
      <c r="AN131" s="106">
        <f>+HLOOKUP($C131,PMGR!$CG$2:$CS$250,117,0)</f>
        <v>35082.5</v>
      </c>
      <c r="AO131" s="106">
        <f>+HLOOKUP($C131,PMGR!$CG$2:$CS$250,118,0)</f>
        <v>3500</v>
      </c>
      <c r="AP131" s="106">
        <f>+HLOOKUP($C131,PMGR!$CG$2:$CS$250,119,0)</f>
        <v>64591</v>
      </c>
      <c r="AQ131" s="106">
        <f>+HLOOKUP($C131,PMGR!$CG$2:$CS$250,120,0)</f>
        <v>12150</v>
      </c>
      <c r="AR131" s="106">
        <f>+HLOOKUP($C131,PMGR!$CG$2:$CS$250,121,0)</f>
        <v>7370</v>
      </c>
      <c r="AS131" s="106">
        <f>+HLOOKUP($C131,PMGR!$CG$2:$CS$250,122,0)</f>
        <v>94015.5</v>
      </c>
      <c r="AT131" s="106">
        <f>+HLOOKUP($C131,PMGR!$CG$2:$CS$250,123,0)</f>
        <v>38844.58</v>
      </c>
      <c r="AU131" s="106">
        <f>+HLOOKUP($C131,PMGR!$CG$2:$CS$250,124,0)</f>
        <v>10171.619999999999</v>
      </c>
      <c r="AV131" s="106">
        <f>+HLOOKUP($C131,PMGR!$CG$2:$CS$250,125,0)</f>
        <v>22320</v>
      </c>
      <c r="AW131" s="106">
        <f>+HLOOKUP($C131,PMGR!$CG$2:$CS$250,126,0)</f>
        <v>18911.170192307691</v>
      </c>
      <c r="AX131" s="106">
        <f>+HLOOKUP($C131,PMGR!$CG$2:$CS$250,127,0)</f>
        <v>24153.510000000002</v>
      </c>
      <c r="AY131" s="106">
        <f>+HLOOKUP($C131,PMGR!$CG$2:$CS$250,129,0)</f>
        <v>0</v>
      </c>
      <c r="AZ131" s="106">
        <f>+HLOOKUP($C131,PMGR!$CG$2:$CS$250,130,0)</f>
        <v>0</v>
      </c>
      <c r="BA131" s="106">
        <f>+HLOOKUP($C131,PMGR!$CG$2:$CS$250,131,0)</f>
        <v>63783.333333333336</v>
      </c>
      <c r="BB131" s="106">
        <f>+HLOOKUP($C131,PMGR!$CG$2:$CS$250,133,0)</f>
        <v>0</v>
      </c>
      <c r="BC131" s="106">
        <f>+HLOOKUP($C131,PMGR!$CG$2:$CS$250,134,0)</f>
        <v>0</v>
      </c>
      <c r="BD131" s="106">
        <f>+HLOOKUP($C131,PMGR!$CG$2:$CS$250,135,0)</f>
        <v>0</v>
      </c>
      <c r="BE131" s="106">
        <f>+HLOOKUP($C131,PMGR!$CG$2:$CS$250,136,0)</f>
        <v>0</v>
      </c>
      <c r="BF131" s="106">
        <f>+HLOOKUP($C131,PMGR!$CG$2:$CS$250,138,0)</f>
        <v>2553.6599999999994</v>
      </c>
      <c r="BG131" s="106">
        <f>+HLOOKUP($C131,PMGR!$CG$2:$CS$250,139,0)</f>
        <v>5207.7749999999996</v>
      </c>
      <c r="BH131" s="106">
        <f>+HLOOKUP($C131,PMGR!$CG$2:$CS$250,140,0)</f>
        <v>6900</v>
      </c>
      <c r="BI131" s="106">
        <f>+HLOOKUP($C131,PMGR!$CG$2:$CS$250,141,0)</f>
        <v>0</v>
      </c>
      <c r="BJ131" s="106">
        <f>+HLOOKUP($C131,PMGR!$CG$2:$CS$250,142,0)</f>
        <v>0</v>
      </c>
      <c r="BK131" s="106">
        <f>+HLOOKUP($C131,PMGR!$CG$2:$CS$250,143,0)</f>
        <v>12754.875</v>
      </c>
      <c r="BL131" s="106">
        <f>+HLOOKUP($C131,PMGR!$CG$2:$CS$250,144,0)</f>
        <v>1251.3</v>
      </c>
      <c r="BM131" s="106">
        <f>+HLOOKUP($C131,PMGR!$CG$2:$CS$250,146,0)</f>
        <v>0</v>
      </c>
      <c r="BN131" s="106">
        <f>+HLOOKUP($C131,PMGR!$CG$2:$CS$250,147,0)</f>
        <v>30476</v>
      </c>
      <c r="BO131" s="106">
        <f>+HLOOKUP($C131,PMGR!$CG$2:$CS$250,148,0)</f>
        <v>0</v>
      </c>
      <c r="BP131" s="106">
        <f>+HLOOKUP($C131,PMGR!$CG$2:$CS$250,150,0)</f>
        <v>19041.899999999998</v>
      </c>
      <c r="BQ131" s="106">
        <f>+HLOOKUP($C131,PMGR!$CG$2:$CS$250,151,0)</f>
        <v>1417.5</v>
      </c>
      <c r="BR131" s="106">
        <f>+HLOOKUP($C131,PMGR!$CG$2:$CS$250,152,0)</f>
        <v>9600</v>
      </c>
      <c r="BS131" s="106">
        <f>+HLOOKUP($C131,PMGR!$CG$2:$CS$250,153,0)</f>
        <v>570</v>
      </c>
      <c r="BT131" s="106">
        <f>+HLOOKUP($C131,PMGR!$CG$2:$CS$250,157,0)</f>
        <v>10000</v>
      </c>
      <c r="BU131" s="106">
        <f>+HLOOKUP($C131,PMGR!$CG$2:$CS$250,158,0)</f>
        <v>510</v>
      </c>
      <c r="BV131" s="106">
        <f>+HLOOKUP($C131,PMGR!$CG$2:$CS$250,159,0)</f>
        <v>234.89999999999998</v>
      </c>
      <c r="BW131" s="106">
        <f>+HLOOKUP($C131,PMGR!$CG$2:$CS$250,160,0)</f>
        <v>200.1</v>
      </c>
      <c r="BX131" s="106">
        <f>+HLOOKUP($C131,PMGR!$CG$2:$CS$250,161,0)</f>
        <v>20284.75</v>
      </c>
      <c r="BY131" s="106">
        <f>+HLOOKUP($C131,PMGR!$CG$2:$CS$250,164,0)</f>
        <v>1565.36</v>
      </c>
      <c r="BZ131" s="106">
        <f>+HLOOKUP($C131,PMGR!$CG$2:$CS$250,165,0)</f>
        <v>25574.46</v>
      </c>
      <c r="CA131" s="106">
        <f>+HLOOKUP($C131,PMGR!$CG$2:$CS$250,166,0)</f>
        <v>0</v>
      </c>
      <c r="CB131" s="106">
        <f>+HLOOKUP($C131,PMGR!$CG$2:$CS$250,167,0)</f>
        <v>550</v>
      </c>
      <c r="CC131" s="106">
        <f>+HLOOKUP($C131,PMGR!$CG$2:$CS$250,168,0)</f>
        <v>0</v>
      </c>
      <c r="CD131" s="106">
        <f>+HLOOKUP($C131,PMGR!$CG$2:$CS$250,169,0)</f>
        <v>0</v>
      </c>
      <c r="CE131" s="106">
        <f>+HLOOKUP($C131,PMGR!$CG$2:$CS$250,170,0)</f>
        <v>0</v>
      </c>
      <c r="CF131" s="106">
        <f>+HLOOKUP($C131,PMGR!$CG$2:$CS$250,172,0)</f>
        <v>10800</v>
      </c>
      <c r="CG131" s="106">
        <f>+HLOOKUP($C131,PMGR!$CG$2:$CS$250,173,0)</f>
        <v>0</v>
      </c>
      <c r="CH131" s="106">
        <f>+HLOOKUP($C131,PMGR!$CG$2:$CS$250,174,0)</f>
        <v>33035.967199999919</v>
      </c>
      <c r="CI131" s="106">
        <f>+HLOOKUP($C131,PMGR!$CG$2:$CS$250,175,0)</f>
        <v>3945.5200000000077</v>
      </c>
      <c r="CJ131" s="106">
        <f>+HLOOKUP($C131,PMGR!$CG$2:$CS$250,176,0)</f>
        <v>531.86490000000015</v>
      </c>
      <c r="CK131" s="106">
        <f>+HLOOKUP($C131,PMGR!$CG$2:$CS$250,178,0)</f>
        <v>26673.910199999998</v>
      </c>
      <c r="CL131" s="106">
        <f>+HLOOKUP($C131,PMGR!$CG$2:$CS$250,179,0)</f>
        <v>6653.5</v>
      </c>
      <c r="CM131" s="106">
        <f>+HLOOKUP($C131,PMGR!$CG$2:$CS$250,180,0)</f>
        <v>8820</v>
      </c>
      <c r="CN131" s="106">
        <f>+HLOOKUP($C131,PMGR!$CG$2:$CS$250,182,0)</f>
        <v>368.55</v>
      </c>
      <c r="CO131" s="106">
        <f>+HLOOKUP($C131,PMGR!$CG$2:$CS$250,183,0)</f>
        <v>6735.3</v>
      </c>
      <c r="CP131" s="106">
        <f>+HLOOKUP($C131,PMGR!$CG$2:$CS$250,184,0)</f>
        <v>0</v>
      </c>
      <c r="CQ131" s="106">
        <f>+HLOOKUP($C131,PMGR!$CG$2:$CS$250,185,0)</f>
        <v>0</v>
      </c>
      <c r="CR131" s="106">
        <f>+HLOOKUP($C131,PMGR!$CG$2:$CS$250,187,0)</f>
        <v>1874.9999999999968</v>
      </c>
      <c r="CS131" s="106">
        <f>+HLOOKUP($C131,PMGR!$CG$2:$CS$250,188,0)</f>
        <v>2385</v>
      </c>
      <c r="CT131" s="106">
        <f>+HLOOKUP($C131,PMGR!$CG$2:$CS$250,189,0)</f>
        <v>0</v>
      </c>
      <c r="CU131" s="106">
        <f>+HLOOKUP($C131,PMGR!$CG$2:$CS$250,190,0)</f>
        <v>749.99969999999996</v>
      </c>
      <c r="CV131" s="106">
        <f>+HLOOKUP($C131,PMGR!$CG$2:$CS$250,191,0)</f>
        <v>0</v>
      </c>
      <c r="CW131" s="106">
        <f>+HLOOKUP($C131,PMGR!$CG$2:$CS$250,193,0)</f>
        <v>3529.7999999999997</v>
      </c>
      <c r="CX131" s="106">
        <f>+HLOOKUP($C131,PMGR!$CG$2:$CS$250,194,0)</f>
        <v>23.849999999999998</v>
      </c>
      <c r="CY131" s="106">
        <f>+HLOOKUP($C131,PMGR!$CG$2:$CS$250,195,0)</f>
        <v>825</v>
      </c>
      <c r="CZ131" s="106">
        <f>+HLOOKUP($C131,PMGR!$CG$2:$CS$250,196,0)</f>
        <v>0</v>
      </c>
      <c r="DA131" s="106">
        <f>+HLOOKUP($C131,PMGR!$CG$2:$CS$250,197,0)</f>
        <v>3218.02</v>
      </c>
      <c r="DB131" s="106">
        <f>+HLOOKUP($C131,PMGR!$CG$2:$CS$250,198,0)</f>
        <v>5881.2</v>
      </c>
      <c r="DC131" s="106">
        <f>+HLOOKUP($C131,PMGR!$CG$2:$CS$250,199,0)</f>
        <v>2231.3310000000001</v>
      </c>
      <c r="DD131" s="106">
        <f>+HLOOKUP($C131,PMGR!$CG$2:$CS$250,200,0)</f>
        <v>150</v>
      </c>
      <c r="DE131" s="106">
        <f>+HLOOKUP($C131,PMGR!$CG$2:$CS$250,201,0)</f>
        <v>0</v>
      </c>
      <c r="DF131" s="106">
        <f>+HLOOKUP($C131,PMGR!$CG$2:$CS$250,202,0)</f>
        <v>4.3208000000000002</v>
      </c>
      <c r="DG131" s="106">
        <f>+HLOOKUP($C131,PMGR!$CG$2:$CS$250,203,0)</f>
        <v>81.45</v>
      </c>
      <c r="DH131" s="106">
        <f>+HLOOKUP($C131,PMGR!$CG$2:$CS$250,205,0)</f>
        <v>0</v>
      </c>
      <c r="DI131" s="106">
        <f>+HLOOKUP($C131,PMGR!$CG$2:$CS$250,206,0)</f>
        <v>3654.9300000000003</v>
      </c>
      <c r="DJ131" s="106">
        <f>+HLOOKUP($C131,PMGR!$CG$2:$CS$250,207,0)</f>
        <v>5659.1925000000001</v>
      </c>
      <c r="DK131" s="106">
        <f>+HLOOKUP($C131,PMGR!$CG$2:$CS$250,209,0)</f>
        <v>0</v>
      </c>
      <c r="DL131" s="106">
        <f>+HLOOKUP($C131,PMGR!$CG$2:$CS$250,210,0)</f>
        <v>66852.899999999994</v>
      </c>
      <c r="DM131" s="106">
        <f>+HLOOKUP($C131,PMGR!$CG$2:$CS$250,211,0)</f>
        <v>0</v>
      </c>
      <c r="DN131" s="106">
        <f>+HLOOKUP($C131,PMGR!$CG$2:$CS$250,212,0)</f>
        <v>48000</v>
      </c>
      <c r="DO131" s="106">
        <f>+HLOOKUP($C131,PMGR!$CG$2:$CS$250,214,0)</f>
        <v>0</v>
      </c>
      <c r="DP131" s="106">
        <f>+HLOOKUP($C131,PMGR!$CG$2:$CS$250,215,0)</f>
        <v>1230</v>
      </c>
      <c r="DQ131" s="106">
        <f>+HLOOKUP($C131,PMGR!$CG$2:$CS$250,219,0)</f>
        <v>0</v>
      </c>
      <c r="DR131" s="106">
        <f>+HLOOKUP($C131,PMGR!$CG$2:$CS$250,220,0)</f>
        <v>0</v>
      </c>
      <c r="DS131" s="106">
        <f>+HLOOKUP($C131,PMGR!$CG$2:$CS$250,221,0)</f>
        <v>0</v>
      </c>
      <c r="DT131" s="106">
        <f>+HLOOKUP($C131,PMGR!$CG$2:$CS$250,223,0)</f>
        <v>7046.8424999999997</v>
      </c>
      <c r="DU131" s="106">
        <f>+HLOOKUP($C131,PMGR!$CG$2:$CS$250,224,0)</f>
        <v>0</v>
      </c>
      <c r="DV131" s="106">
        <f>+HLOOKUP($C131,PMGR!$CG$2:$CS$250,225,0)</f>
        <v>0</v>
      </c>
      <c r="DW131" s="106">
        <f>+HLOOKUP($C131,PMGR!$CG$2:$CS$250,227,0)</f>
        <v>0</v>
      </c>
      <c r="DX131" s="106">
        <f>+HLOOKUP($C131,PMGR!$CG$2:$CS$250,228,0)</f>
        <v>20531.7</v>
      </c>
      <c r="DY131" s="106">
        <f>+HLOOKUP($C131,PMGR!$CG$2:$CS$250,236,0)</f>
        <v>0</v>
      </c>
      <c r="DZ131" s="106">
        <f>+HLOOKUP($C131,PMGR!$CG$2:$CS$250,237,0)</f>
        <v>112985.30942999999</v>
      </c>
      <c r="EA131" s="106">
        <f>+HLOOKUP($C131,PMGR!$CG$2:$CS$250,238,0)</f>
        <v>48332.4</v>
      </c>
      <c r="EB131" s="106">
        <f>+HLOOKUP($C131,PMGR!$CG$2:$CS$250,240,0)</f>
        <v>292179.86691964284</v>
      </c>
    </row>
    <row r="132" spans="1:132" hidden="1">
      <c r="A132" t="s">
        <v>271</v>
      </c>
      <c r="B132" t="s">
        <v>217</v>
      </c>
      <c r="C132" s="117">
        <v>45323</v>
      </c>
      <c r="D132" s="106">
        <f t="shared" si="4"/>
        <v>12427758.102764327</v>
      </c>
      <c r="E132" s="106">
        <f>+HLOOKUP(C132,PMGR!$CG$2:$CS$250,28,0)+HLOOKUP(C132,PMGR!$CG$2:$CS$250,43,0)+HLOOKUP(C132,PMGR!$CG$2:$CS$250,44,0)+HLOOKUP(C132,PMGR!$CG$2:$CS$250,45,0)+HLOOKUP(C132,PMGR!$CG$2:$CS$250,54,0)+HLOOKUP(C132,PMGR!$CG$2:$CS$250,59,0)</f>
        <v>12427758.102764327</v>
      </c>
      <c r="F132" s="106">
        <f>+HLOOKUP(C132,PMGR!$CG$2:$CS$250,37,0)+HLOOKUP(C132,PMGR!$CG$2:$CS$250,55,0)</f>
        <v>8380924.3440000042</v>
      </c>
      <c r="G132" s="106">
        <f>+HLOOKUP($C132,PMGR!$CG$2:$CS$250,76,0)</f>
        <v>0</v>
      </c>
      <c r="H132" s="106">
        <f>+HLOOKUP($C132,PMGR!$CG$2:$CS$250,77,0)</f>
        <v>0</v>
      </c>
      <c r="I132" s="106">
        <f>+HLOOKUP($C132,PMGR!$CG$2:$CS$250,78,0)</f>
        <v>0</v>
      </c>
      <c r="J132" s="106">
        <f>+HLOOKUP($C132,PMGR!$CG$2:$CS$250,79,0)</f>
        <v>0</v>
      </c>
      <c r="K132" s="106">
        <f>+HLOOKUP($C132,PMGR!$CG$2:$CS$250,80,0)</f>
        <v>0</v>
      </c>
      <c r="L132" s="106">
        <f>+HLOOKUP($C132,PMGR!$CG$2:$CS$250,81,0)</f>
        <v>0</v>
      </c>
      <c r="M132" s="106">
        <f>+HLOOKUP($C132,PMGR!$CG$2:$CS$250,82,0)</f>
        <v>0</v>
      </c>
      <c r="N132" s="106">
        <f>+HLOOKUP($C132,PMGR!$CG$2:$CS$250,83,0)</f>
        <v>0</v>
      </c>
      <c r="O132" s="106">
        <f>+HLOOKUP($C132,PMGR!$CG$2:$CS$250,84,0)</f>
        <v>0</v>
      </c>
      <c r="P132" s="106">
        <f>+HLOOKUP($C132,PMGR!$CG$2:$CS$250,85,0)</f>
        <v>0</v>
      </c>
      <c r="Q132" s="106">
        <f>+HLOOKUP($C132,PMGR!$CG$2:$CS$250,87,0)</f>
        <v>192877.15699999998</v>
      </c>
      <c r="R132" s="106">
        <f>+HLOOKUP($C132,PMGR!$CG$2:$CS$250,90,0)</f>
        <v>0</v>
      </c>
      <c r="S132" s="106">
        <f>+HLOOKUP($C132,PMGR!$CG$2:$CS$250,91,0)</f>
        <v>0</v>
      </c>
      <c r="T132" s="106">
        <f>+HLOOKUP($C132,PMGR!$CG$2:$CS$250,92,0)</f>
        <v>0</v>
      </c>
      <c r="U132" s="106">
        <f>+HLOOKUP($C132,PMGR!$CG$2:$CS$250,93,0)</f>
        <v>0</v>
      </c>
      <c r="V132" s="106">
        <f>+HLOOKUP($C132,PMGR!$CG$2:$CS$250,94,0)</f>
        <v>0</v>
      </c>
      <c r="W132" s="106">
        <f>+HLOOKUP($C132,PMGR!$CG$2:$CS$250,95,0)</f>
        <v>0</v>
      </c>
      <c r="X132" s="106">
        <f>+HLOOKUP($C132,PMGR!$CG$2:$CS$250,96,0)</f>
        <v>0</v>
      </c>
      <c r="Y132" s="106">
        <f>+HLOOKUP($C132,PMGR!$CG$2:$CS$250,97,0)</f>
        <v>0</v>
      </c>
      <c r="Z132" s="106">
        <f>+HLOOKUP($C132,PMGR!$CG$2:$CS$250,98,0)</f>
        <v>0</v>
      </c>
      <c r="AA132" s="106">
        <f>+HLOOKUP($C132,PMGR!$CG$2:$CS$250,99,0)</f>
        <v>0</v>
      </c>
      <c r="AB132" s="106">
        <f>+HLOOKUP($C132,PMGR!$CG$2:$CS$250,100,0)</f>
        <v>0</v>
      </c>
      <c r="AC132" s="106">
        <f>+HLOOKUP($C132,PMGR!$CG$2:$CS$250,101,0)</f>
        <v>0</v>
      </c>
      <c r="AD132" s="106">
        <f>+HLOOKUP($C132,PMGR!$CG$2:$CS$250,104,0)</f>
        <v>0</v>
      </c>
      <c r="AE132" s="106">
        <f>+HLOOKUP($C132,PMGR!$CG$2:$CS$250,105,0)</f>
        <v>2500</v>
      </c>
      <c r="AF132" s="106">
        <f>+HLOOKUP($C132,PMGR!$CG$2:$CS$250,106,0)</f>
        <v>0</v>
      </c>
      <c r="AG132" s="106">
        <f>+HLOOKUP($C132,PMGR!$CG$2:$CS$250,107,0)</f>
        <v>0</v>
      </c>
      <c r="AH132" s="106">
        <f>+HLOOKUP($C132,PMGR!$CG$2:$CS$250,108,0)</f>
        <v>0</v>
      </c>
      <c r="AI132" s="106">
        <f>+HLOOKUP($C132,PMGR!$CG$2:$CS$250,109,0)</f>
        <v>0</v>
      </c>
      <c r="AJ132" s="106">
        <f>+HLOOKUP($C132,PMGR!$CG$2:$CS$250,110,0)</f>
        <v>0</v>
      </c>
      <c r="AK132" s="106">
        <f>+HLOOKUP($C132,PMGR!$CG$2:$CS$250,111,0)</f>
        <v>0</v>
      </c>
      <c r="AL132" s="106">
        <f>+HLOOKUP($C132,PMGR!$CG$2:$CS$250,112,0)</f>
        <v>0</v>
      </c>
      <c r="AM132" s="106">
        <f>+HLOOKUP($C132,PMGR!$CG$2:$CS$250,116,0)</f>
        <v>204462.10190000001</v>
      </c>
      <c r="AN132" s="106">
        <f>+HLOOKUP($C132,PMGR!$CG$2:$CS$250,117,0)</f>
        <v>32472.190000000002</v>
      </c>
      <c r="AO132" s="106">
        <f>+HLOOKUP($C132,PMGR!$CG$2:$CS$250,118,0)</f>
        <v>3815.0000000000005</v>
      </c>
      <c r="AP132" s="106">
        <f>+HLOOKUP($C132,PMGR!$CG$2:$CS$250,119,0)</f>
        <v>64619.560000000005</v>
      </c>
      <c r="AQ132" s="106">
        <f>+HLOOKUP($C132,PMGR!$CG$2:$CS$250,120,0)</f>
        <v>12580.780000000002</v>
      </c>
      <c r="AR132" s="106">
        <f>+HLOOKUP($C132,PMGR!$CG$2:$CS$250,121,0)</f>
        <v>8033.3000000000011</v>
      </c>
      <c r="AS132" s="106">
        <f>+HLOOKUP($C132,PMGR!$CG$2:$CS$250,122,0)</f>
        <v>100628.80000000002</v>
      </c>
      <c r="AT132" s="106">
        <f>+HLOOKUP($C132,PMGR!$CG$2:$CS$250,123,0)</f>
        <v>37049.279999999999</v>
      </c>
      <c r="AU132" s="106">
        <f>+HLOOKUP($C132,PMGR!$CG$2:$CS$250,124,0)</f>
        <v>9475.2999999999993</v>
      </c>
      <c r="AV132" s="106">
        <f>+HLOOKUP($C132,PMGR!$CG$2:$CS$250,125,0)</f>
        <v>22563</v>
      </c>
      <c r="AW132" s="106">
        <f>+HLOOKUP($C132,PMGR!$CG$2:$CS$250,126,0)</f>
        <v>18911.170192307691</v>
      </c>
      <c r="AX132" s="106">
        <f>+HLOOKUP($C132,PMGR!$CG$2:$CS$250,127,0)</f>
        <v>24153.510000000002</v>
      </c>
      <c r="AY132" s="106">
        <f>+HLOOKUP($C132,PMGR!$CG$2:$CS$250,129,0)</f>
        <v>0</v>
      </c>
      <c r="AZ132" s="106">
        <f>+HLOOKUP($C132,PMGR!$CG$2:$CS$250,130,0)</f>
        <v>0</v>
      </c>
      <c r="BA132" s="106">
        <f>+HLOOKUP($C132,PMGR!$CG$2:$CS$250,131,0)</f>
        <v>63783.333333333336</v>
      </c>
      <c r="BB132" s="106">
        <f>+HLOOKUP($C132,PMGR!$CG$2:$CS$250,133,0)</f>
        <v>0</v>
      </c>
      <c r="BC132" s="106">
        <f>+HLOOKUP($C132,PMGR!$CG$2:$CS$250,134,0)</f>
        <v>34411.816599999998</v>
      </c>
      <c r="BD132" s="106">
        <f>+HLOOKUP($C132,PMGR!$CG$2:$CS$250,135,0)</f>
        <v>0</v>
      </c>
      <c r="BE132" s="106">
        <f>+HLOOKUP($C132,PMGR!$CG$2:$CS$250,136,0)</f>
        <v>0</v>
      </c>
      <c r="BF132" s="106">
        <f>+HLOOKUP($C132,PMGR!$CG$2:$CS$250,138,0)</f>
        <v>2628.6599999999994</v>
      </c>
      <c r="BG132" s="106">
        <f>+HLOOKUP($C132,PMGR!$CG$2:$CS$250,139,0)</f>
        <v>7426.3289999999997</v>
      </c>
      <c r="BH132" s="106">
        <f>+HLOOKUP($C132,PMGR!$CG$2:$CS$250,140,0)</f>
        <v>6900</v>
      </c>
      <c r="BI132" s="106">
        <f>+HLOOKUP($C132,PMGR!$CG$2:$CS$250,141,0)</f>
        <v>0</v>
      </c>
      <c r="BJ132" s="106">
        <f>+HLOOKUP($C132,PMGR!$CG$2:$CS$250,142,0)</f>
        <v>0</v>
      </c>
      <c r="BK132" s="106">
        <f>+HLOOKUP($C132,PMGR!$CG$2:$CS$250,143,0)</f>
        <v>12754.875</v>
      </c>
      <c r="BL132" s="106">
        <f>+HLOOKUP($C132,PMGR!$CG$2:$CS$250,144,0)</f>
        <v>0</v>
      </c>
      <c r="BM132" s="106">
        <f>+HLOOKUP($C132,PMGR!$CG$2:$CS$250,146,0)</f>
        <v>0</v>
      </c>
      <c r="BN132" s="106">
        <f>+HLOOKUP($C132,PMGR!$CG$2:$CS$250,147,0)</f>
        <v>71037</v>
      </c>
      <c r="BO132" s="106">
        <f>+HLOOKUP($C132,PMGR!$CG$2:$CS$250,148,0)</f>
        <v>0</v>
      </c>
      <c r="BP132" s="106">
        <f>+HLOOKUP($C132,PMGR!$CG$2:$CS$250,150,0)</f>
        <v>17853.599999999999</v>
      </c>
      <c r="BQ132" s="106">
        <f>+HLOOKUP($C132,PMGR!$CG$2:$CS$250,151,0)</f>
        <v>1417.5</v>
      </c>
      <c r="BR132" s="106">
        <f>+HLOOKUP($C132,PMGR!$CG$2:$CS$250,152,0)</f>
        <v>9600</v>
      </c>
      <c r="BS132" s="106">
        <f>+HLOOKUP($C132,PMGR!$CG$2:$CS$250,153,0)</f>
        <v>450</v>
      </c>
      <c r="BT132" s="106">
        <f>+HLOOKUP($C132,PMGR!$CG$2:$CS$250,157,0)</f>
        <v>0</v>
      </c>
      <c r="BU132" s="106">
        <f>+HLOOKUP($C132,PMGR!$CG$2:$CS$250,158,0)</f>
        <v>2361.41</v>
      </c>
      <c r="BV132" s="106">
        <f>+HLOOKUP($C132,PMGR!$CG$2:$CS$250,159,0)</f>
        <v>4095.6989999999996</v>
      </c>
      <c r="BW132" s="106">
        <f>+HLOOKUP($C132,PMGR!$CG$2:$CS$250,160,0)</f>
        <v>5100.1000000000004</v>
      </c>
      <c r="BX132" s="106">
        <f>+HLOOKUP($C132,PMGR!$CG$2:$CS$250,161,0)</f>
        <v>8302.5</v>
      </c>
      <c r="BY132" s="106">
        <f>+HLOOKUP($C132,PMGR!$CG$2:$CS$250,164,0)</f>
        <v>1763.346</v>
      </c>
      <c r="BZ132" s="106">
        <f>+HLOOKUP($C132,PMGR!$CG$2:$CS$250,165,0)</f>
        <v>26771.75</v>
      </c>
      <c r="CA132" s="106">
        <f>+HLOOKUP($C132,PMGR!$CG$2:$CS$250,166,0)</f>
        <v>0</v>
      </c>
      <c r="CB132" s="106">
        <f>+HLOOKUP($C132,PMGR!$CG$2:$CS$250,167,0)</f>
        <v>13968.84</v>
      </c>
      <c r="CC132" s="106">
        <f>+HLOOKUP($C132,PMGR!$CG$2:$CS$250,168,0)</f>
        <v>0</v>
      </c>
      <c r="CD132" s="106">
        <f>+HLOOKUP($C132,PMGR!$CG$2:$CS$250,169,0)</f>
        <v>0</v>
      </c>
      <c r="CE132" s="106">
        <f>+HLOOKUP($C132,PMGR!$CG$2:$CS$250,170,0)</f>
        <v>0</v>
      </c>
      <c r="CF132" s="106">
        <f>+HLOOKUP($C132,PMGR!$CG$2:$CS$250,172,0)</f>
        <v>10800</v>
      </c>
      <c r="CG132" s="106">
        <f>+HLOOKUP($C132,PMGR!$CG$2:$CS$250,173,0)</f>
        <v>0</v>
      </c>
      <c r="CH132" s="106">
        <f>+HLOOKUP($C132,PMGR!$CG$2:$CS$250,174,0)</f>
        <v>33035.967199999919</v>
      </c>
      <c r="CI132" s="106">
        <f>+HLOOKUP($C132,PMGR!$CG$2:$CS$250,175,0)</f>
        <v>3945.5200000000077</v>
      </c>
      <c r="CJ132" s="106">
        <f>+HLOOKUP($C132,PMGR!$CG$2:$CS$250,176,0)</f>
        <v>1501.2</v>
      </c>
      <c r="CK132" s="106">
        <f>+HLOOKUP($C132,PMGR!$CG$2:$CS$250,178,0)</f>
        <v>37791.1</v>
      </c>
      <c r="CL132" s="106">
        <f>+HLOOKUP($C132,PMGR!$CG$2:$CS$250,179,0)</f>
        <v>0</v>
      </c>
      <c r="CM132" s="106">
        <f>+HLOOKUP($C132,PMGR!$CG$2:$CS$250,180,0)</f>
        <v>5040</v>
      </c>
      <c r="CN132" s="106">
        <f>+HLOOKUP($C132,PMGR!$CG$2:$CS$250,182,0)</f>
        <v>368.55</v>
      </c>
      <c r="CO132" s="106">
        <f>+HLOOKUP($C132,PMGR!$CG$2:$CS$250,183,0)</f>
        <v>6735.3</v>
      </c>
      <c r="CP132" s="106">
        <f>+HLOOKUP($C132,PMGR!$CG$2:$CS$250,184,0)</f>
        <v>0</v>
      </c>
      <c r="CQ132" s="106">
        <f>+HLOOKUP($C132,PMGR!$CG$2:$CS$250,185,0)</f>
        <v>0</v>
      </c>
      <c r="CR132" s="106">
        <f>+HLOOKUP($C132,PMGR!$CG$2:$CS$250,187,0)</f>
        <v>1874.9999999999968</v>
      </c>
      <c r="CS132" s="106">
        <f>+HLOOKUP($C132,PMGR!$CG$2:$CS$250,188,0)</f>
        <v>2385</v>
      </c>
      <c r="CT132" s="106">
        <f>+HLOOKUP($C132,PMGR!$CG$2:$CS$250,189,0)</f>
        <v>0</v>
      </c>
      <c r="CU132" s="106">
        <f>+HLOOKUP($C132,PMGR!$CG$2:$CS$250,190,0)</f>
        <v>749.99969999999996</v>
      </c>
      <c r="CV132" s="106">
        <f>+HLOOKUP($C132,PMGR!$CG$2:$CS$250,191,0)</f>
        <v>0</v>
      </c>
      <c r="CW132" s="106">
        <f>+HLOOKUP($C132,PMGR!$CG$2:$CS$250,193,0)</f>
        <v>3529.7999999999997</v>
      </c>
      <c r="CX132" s="106">
        <f>+HLOOKUP($C132,PMGR!$CG$2:$CS$250,194,0)</f>
        <v>23.849999999999998</v>
      </c>
      <c r="CY132" s="106">
        <f>+HLOOKUP($C132,PMGR!$CG$2:$CS$250,195,0)</f>
        <v>825</v>
      </c>
      <c r="CZ132" s="106">
        <f>+HLOOKUP($C132,PMGR!$CG$2:$CS$250,196,0)</f>
        <v>0</v>
      </c>
      <c r="DA132" s="106">
        <f>+HLOOKUP($C132,PMGR!$CG$2:$CS$250,197,0)</f>
        <v>4665.5064000000002</v>
      </c>
      <c r="DB132" s="106">
        <f>+HLOOKUP($C132,PMGR!$CG$2:$CS$250,198,0)</f>
        <v>1779.66</v>
      </c>
      <c r="DC132" s="106">
        <f>+HLOOKUP($C132,PMGR!$CG$2:$CS$250,199,0)</f>
        <v>390</v>
      </c>
      <c r="DD132" s="106">
        <f>+HLOOKUP($C132,PMGR!$CG$2:$CS$250,200,0)</f>
        <v>1528.4</v>
      </c>
      <c r="DE132" s="106">
        <f>+HLOOKUP($C132,PMGR!$CG$2:$CS$250,201,0)</f>
        <v>0</v>
      </c>
      <c r="DF132" s="106">
        <f>+HLOOKUP($C132,PMGR!$CG$2:$CS$250,202,0)</f>
        <v>-1.6396999999999999</v>
      </c>
      <c r="DG132" s="106">
        <f>+HLOOKUP($C132,PMGR!$CG$2:$CS$250,203,0)</f>
        <v>101.583</v>
      </c>
      <c r="DH132" s="106">
        <f>+HLOOKUP($C132,PMGR!$CG$2:$CS$250,205,0)</f>
        <v>0</v>
      </c>
      <c r="DI132" s="106">
        <f>+HLOOKUP($C132,PMGR!$CG$2:$CS$250,206,0)</f>
        <v>141.02999999999997</v>
      </c>
      <c r="DJ132" s="106">
        <f>+HLOOKUP($C132,PMGR!$CG$2:$CS$250,207,0)</f>
        <v>5647.17</v>
      </c>
      <c r="DK132" s="106">
        <f>+HLOOKUP($C132,PMGR!$CG$2:$CS$250,209,0)</f>
        <v>0</v>
      </c>
      <c r="DL132" s="106">
        <f>+HLOOKUP($C132,PMGR!$CG$2:$CS$250,210,0)</f>
        <v>66852.899999999994</v>
      </c>
      <c r="DM132" s="106">
        <f>+HLOOKUP($C132,PMGR!$CG$2:$CS$250,211,0)</f>
        <v>0</v>
      </c>
      <c r="DN132" s="106">
        <f>+HLOOKUP($C132,PMGR!$CG$2:$CS$250,212,0)</f>
        <v>48000</v>
      </c>
      <c r="DO132" s="106">
        <f>+HLOOKUP($C132,PMGR!$CG$2:$CS$250,214,0)</f>
        <v>0</v>
      </c>
      <c r="DP132" s="106">
        <f>+HLOOKUP($C132,PMGR!$CG$2:$CS$250,215,0)</f>
        <v>900</v>
      </c>
      <c r="DQ132" s="106">
        <f>+HLOOKUP($C132,PMGR!$CG$2:$CS$250,219,0)</f>
        <v>0</v>
      </c>
      <c r="DR132" s="106">
        <f>+HLOOKUP($C132,PMGR!$CG$2:$CS$250,220,0)</f>
        <v>0</v>
      </c>
      <c r="DS132" s="106">
        <f>+HLOOKUP($C132,PMGR!$CG$2:$CS$250,221,0)</f>
        <v>0</v>
      </c>
      <c r="DT132" s="106">
        <f>+HLOOKUP($C132,PMGR!$CG$2:$CS$250,223,0)</f>
        <v>7607.5604999999996</v>
      </c>
      <c r="DU132" s="106">
        <f>+HLOOKUP($C132,PMGR!$CG$2:$CS$250,224,0)</f>
        <v>0</v>
      </c>
      <c r="DV132" s="106">
        <f>+HLOOKUP($C132,PMGR!$CG$2:$CS$250,225,0)</f>
        <v>0</v>
      </c>
      <c r="DW132" s="106">
        <f>+HLOOKUP($C132,PMGR!$CG$2:$CS$250,227,0)</f>
        <v>0</v>
      </c>
      <c r="DX132" s="106">
        <f>+HLOOKUP($C132,PMGR!$CG$2:$CS$250,228,0)</f>
        <v>12227.039999999999</v>
      </c>
      <c r="DY132" s="106">
        <f>+HLOOKUP($C132,PMGR!$CG$2:$CS$250,236,0)</f>
        <v>3909.6</v>
      </c>
      <c r="DZ132" s="106">
        <f>+HLOOKUP($C132,PMGR!$CG$2:$CS$250,237,0)</f>
        <v>110446.78238999999</v>
      </c>
      <c r="EA132" s="106">
        <f>+HLOOKUP($C132,PMGR!$CG$2:$CS$250,238,0)</f>
        <v>49947.200000000004</v>
      </c>
      <c r="EB132" s="106">
        <f>+HLOOKUP($C132,PMGR!$CG$2:$CS$250,240,0)</f>
        <v>292179.86691964284</v>
      </c>
    </row>
    <row r="133" spans="1:132" hidden="1">
      <c r="A133" t="s">
        <v>271</v>
      </c>
      <c r="B133" t="s">
        <v>217</v>
      </c>
      <c r="C133" s="117">
        <v>45292</v>
      </c>
      <c r="D133" s="106">
        <f t="shared" si="4"/>
        <v>12493242.036201756</v>
      </c>
      <c r="E133" s="106">
        <f>+HLOOKUP(C133,PMGR!$CG$2:$CS$250,28,0)+HLOOKUP(C133,PMGR!$CG$2:$CS$250,43,0)+HLOOKUP(C133,PMGR!$CG$2:$CS$250,44,0)+HLOOKUP(C133,PMGR!$CG$2:$CS$250,45,0)+HLOOKUP(C133,PMGR!$CG$2:$CS$250,54,0)+HLOOKUP(C133,PMGR!$CG$2:$CS$250,59,0)</f>
        <v>12493242.036201756</v>
      </c>
      <c r="F133" s="106">
        <f>+HLOOKUP(C133,PMGR!$CG$2:$CS$250,37,0)+HLOOKUP(C133,PMGR!$CG$2:$CS$250,55,0)</f>
        <v>8011705.6000000061</v>
      </c>
      <c r="G133" s="106">
        <f>+HLOOKUP($C133,PMGR!$CG$2:$CS$250,76,0)</f>
        <v>0</v>
      </c>
      <c r="H133" s="106">
        <f>+HLOOKUP($C133,PMGR!$CG$2:$CS$250,77,0)</f>
        <v>0</v>
      </c>
      <c r="I133" s="106">
        <f>+HLOOKUP($C133,PMGR!$CG$2:$CS$250,78,0)</f>
        <v>0</v>
      </c>
      <c r="J133" s="106">
        <f>+HLOOKUP($C133,PMGR!$CG$2:$CS$250,79,0)</f>
        <v>0</v>
      </c>
      <c r="K133" s="106">
        <f>+HLOOKUP($C133,PMGR!$CG$2:$CS$250,80,0)</f>
        <v>27470.14</v>
      </c>
      <c r="L133" s="106">
        <f>+HLOOKUP($C133,PMGR!$CG$2:$CS$250,81,0)</f>
        <v>0</v>
      </c>
      <c r="M133" s="106">
        <f>+HLOOKUP($C133,PMGR!$CG$2:$CS$250,82,0)</f>
        <v>0</v>
      </c>
      <c r="N133" s="106">
        <f>+HLOOKUP($C133,PMGR!$CG$2:$CS$250,83,0)</f>
        <v>0</v>
      </c>
      <c r="O133" s="106">
        <f>+HLOOKUP($C133,PMGR!$CG$2:$CS$250,84,0)</f>
        <v>0</v>
      </c>
      <c r="P133" s="106">
        <f>+HLOOKUP($C133,PMGR!$CG$2:$CS$250,85,0)</f>
        <v>0</v>
      </c>
      <c r="Q133" s="106">
        <f>+HLOOKUP($C133,PMGR!$CG$2:$CS$250,87,0)</f>
        <v>174822.61</v>
      </c>
      <c r="R133" s="106">
        <f>+HLOOKUP($C133,PMGR!$CG$2:$CS$250,90,0)</f>
        <v>0</v>
      </c>
      <c r="S133" s="106">
        <f>+HLOOKUP($C133,PMGR!$CG$2:$CS$250,91,0)</f>
        <v>1420</v>
      </c>
      <c r="T133" s="106">
        <f>+HLOOKUP($C133,PMGR!$CG$2:$CS$250,92,0)</f>
        <v>0</v>
      </c>
      <c r="U133" s="106">
        <f>+HLOOKUP($C133,PMGR!$CG$2:$CS$250,93,0)</f>
        <v>0</v>
      </c>
      <c r="V133" s="106">
        <f>+HLOOKUP($C133,PMGR!$CG$2:$CS$250,94,0)</f>
        <v>0</v>
      </c>
      <c r="W133" s="106">
        <f>+HLOOKUP($C133,PMGR!$CG$2:$CS$250,95,0)</f>
        <v>0</v>
      </c>
      <c r="X133" s="106">
        <f>+HLOOKUP($C133,PMGR!$CG$2:$CS$250,96,0)</f>
        <v>0</v>
      </c>
      <c r="Y133" s="106">
        <f>+HLOOKUP($C133,PMGR!$CG$2:$CS$250,97,0)</f>
        <v>0</v>
      </c>
      <c r="Z133" s="106">
        <f>+HLOOKUP($C133,PMGR!$CG$2:$CS$250,98,0)</f>
        <v>0</v>
      </c>
      <c r="AA133" s="106">
        <f>+HLOOKUP($C133,PMGR!$CG$2:$CS$250,99,0)</f>
        <v>0</v>
      </c>
      <c r="AB133" s="106">
        <f>+HLOOKUP($C133,PMGR!$CG$2:$CS$250,100,0)</f>
        <v>0</v>
      </c>
      <c r="AC133" s="106">
        <f>+HLOOKUP($C133,PMGR!$CG$2:$CS$250,101,0)</f>
        <v>0</v>
      </c>
      <c r="AD133" s="106">
        <f>+HLOOKUP($C133,PMGR!$CG$2:$CS$250,104,0)</f>
        <v>1244.6999999999998</v>
      </c>
      <c r="AE133" s="106">
        <f>+HLOOKUP($C133,PMGR!$CG$2:$CS$250,105,0)</f>
        <v>1836</v>
      </c>
      <c r="AF133" s="106">
        <f>+HLOOKUP($C133,PMGR!$CG$2:$CS$250,106,0)</f>
        <v>0</v>
      </c>
      <c r="AG133" s="106">
        <f>+HLOOKUP($C133,PMGR!$CG$2:$CS$250,107,0)</f>
        <v>0</v>
      </c>
      <c r="AH133" s="106">
        <f>+HLOOKUP($C133,PMGR!$CG$2:$CS$250,108,0)</f>
        <v>0</v>
      </c>
      <c r="AI133" s="106">
        <f>+HLOOKUP($C133,PMGR!$CG$2:$CS$250,109,0)</f>
        <v>0</v>
      </c>
      <c r="AJ133" s="106">
        <f>+HLOOKUP($C133,PMGR!$CG$2:$CS$250,110,0)</f>
        <v>0</v>
      </c>
      <c r="AK133" s="106">
        <f>+HLOOKUP($C133,PMGR!$CG$2:$CS$250,111,0)</f>
        <v>0</v>
      </c>
      <c r="AL133" s="106">
        <f>+HLOOKUP($C133,PMGR!$CG$2:$CS$250,112,0)</f>
        <v>0</v>
      </c>
      <c r="AM133" s="106">
        <f>+HLOOKUP($C133,PMGR!$CG$2:$CS$250,116,0)</f>
        <v>215971.20479999966</v>
      </c>
      <c r="AN133" s="106">
        <f>+HLOOKUP($C133,PMGR!$CG$2:$CS$250,117,0)</f>
        <v>37040.140200000002</v>
      </c>
      <c r="AO133" s="106">
        <f>+HLOOKUP($C133,PMGR!$CG$2:$CS$250,118,0)</f>
        <v>3815.0000000000005</v>
      </c>
      <c r="AP133" s="106">
        <f>+HLOOKUP($C133,PMGR!$CG$2:$CS$250,119,0)</f>
        <v>68277.283900000009</v>
      </c>
      <c r="AQ133" s="106">
        <f>+HLOOKUP($C133,PMGR!$CG$2:$CS$250,120,0)</f>
        <v>16115.094100000002</v>
      </c>
      <c r="AR133" s="106">
        <f>+HLOOKUP($C133,PMGR!$CG$2:$CS$250,121,0)</f>
        <v>8128.2608000000009</v>
      </c>
      <c r="AS133" s="106">
        <f>+HLOOKUP($C133,PMGR!$CG$2:$CS$250,122,0)</f>
        <v>103830.98020000001</v>
      </c>
      <c r="AT133" s="106">
        <f>+HLOOKUP($C133,PMGR!$CG$2:$CS$250,123,0)</f>
        <v>38421.82</v>
      </c>
      <c r="AU133" s="106">
        <f>+HLOOKUP($C133,PMGR!$CG$2:$CS$250,124,0)</f>
        <v>9475.2999999999993</v>
      </c>
      <c r="AV133" s="106">
        <f>+HLOOKUP($C133,PMGR!$CG$2:$CS$250,125,0)</f>
        <v>22563</v>
      </c>
      <c r="AW133" s="106">
        <f>+HLOOKUP($C133,PMGR!$CG$2:$CS$250,126,0)</f>
        <v>10880.208653846152</v>
      </c>
      <c r="AX133" s="106">
        <f>+HLOOKUP($C133,PMGR!$CG$2:$CS$250,127,0)</f>
        <v>15816.510000000002</v>
      </c>
      <c r="AY133" s="106">
        <f>+HLOOKUP($C133,PMGR!$CG$2:$CS$250,129,0)</f>
        <v>0</v>
      </c>
      <c r="AZ133" s="106">
        <f>+HLOOKUP($C133,PMGR!$CG$2:$CS$250,130,0)</f>
        <v>0</v>
      </c>
      <c r="BA133" s="106">
        <f>+HLOOKUP($C133,PMGR!$CG$2:$CS$250,131,0)</f>
        <v>63783.333333333336</v>
      </c>
      <c r="BB133" s="106">
        <f>+HLOOKUP($C133,PMGR!$CG$2:$CS$250,133,0)</f>
        <v>0</v>
      </c>
      <c r="BC133" s="106">
        <f>+HLOOKUP($C133,PMGR!$CG$2:$CS$250,134,0)</f>
        <v>0</v>
      </c>
      <c r="BD133" s="106">
        <f>+HLOOKUP($C133,PMGR!$CG$2:$CS$250,135,0)</f>
        <v>0</v>
      </c>
      <c r="BE133" s="106">
        <f>+HLOOKUP($C133,PMGR!$CG$2:$CS$250,136,0)</f>
        <v>0</v>
      </c>
      <c r="BF133" s="106">
        <f>+HLOOKUP($C133,PMGR!$CG$2:$CS$250,138,0)</f>
        <v>2898.6599999999994</v>
      </c>
      <c r="BG133" s="106">
        <f>+HLOOKUP($C133,PMGR!$CG$2:$CS$250,139,0)</f>
        <v>5813.3980000000001</v>
      </c>
      <c r="BH133" s="106">
        <f>+HLOOKUP($C133,PMGR!$CG$2:$CS$250,140,0)</f>
        <v>6900</v>
      </c>
      <c r="BI133" s="106">
        <f>+HLOOKUP($C133,PMGR!$CG$2:$CS$250,141,0)</f>
        <v>0</v>
      </c>
      <c r="BJ133" s="106">
        <f>+HLOOKUP($C133,PMGR!$CG$2:$CS$250,142,0)</f>
        <v>0</v>
      </c>
      <c r="BK133" s="106">
        <f>+HLOOKUP($C133,PMGR!$CG$2:$CS$250,143,0)</f>
        <v>12754.875</v>
      </c>
      <c r="BL133" s="106">
        <f>+HLOOKUP($C133,PMGR!$CG$2:$CS$250,144,0)</f>
        <v>1463.3999999999999</v>
      </c>
      <c r="BM133" s="106">
        <f>+HLOOKUP($C133,PMGR!$CG$2:$CS$250,146,0)</f>
        <v>0</v>
      </c>
      <c r="BN133" s="106">
        <f>+HLOOKUP($C133,PMGR!$CG$2:$CS$250,147,0)</f>
        <v>68389</v>
      </c>
      <c r="BO133" s="106">
        <f>+HLOOKUP($C133,PMGR!$CG$2:$CS$250,148,0)</f>
        <v>0</v>
      </c>
      <c r="BP133" s="106">
        <f>+HLOOKUP($C133,PMGR!$CG$2:$CS$250,150,0)</f>
        <v>17909.399999999998</v>
      </c>
      <c r="BQ133" s="106">
        <f>+HLOOKUP($C133,PMGR!$CG$2:$CS$250,151,0)</f>
        <v>1417.5</v>
      </c>
      <c r="BR133" s="106">
        <f>+HLOOKUP($C133,PMGR!$CG$2:$CS$250,152,0)</f>
        <v>9600</v>
      </c>
      <c r="BS133" s="106">
        <f>+HLOOKUP($C133,PMGR!$CG$2:$CS$250,153,0)</f>
        <v>22355</v>
      </c>
      <c r="BT133" s="106">
        <f>+HLOOKUP($C133,PMGR!$CG$2:$CS$250,157,0)</f>
        <v>0</v>
      </c>
      <c r="BU133" s="106">
        <f>+HLOOKUP($C133,PMGR!$CG$2:$CS$250,158,0)</f>
        <v>11424.9997</v>
      </c>
      <c r="BV133" s="106">
        <f>+HLOOKUP($C133,PMGR!$CG$2:$CS$250,159,0)</f>
        <v>150</v>
      </c>
      <c r="BW133" s="106">
        <f>+HLOOKUP($C133,PMGR!$CG$2:$CS$250,160,0)</f>
        <v>36313.665999999997</v>
      </c>
      <c r="BX133" s="106">
        <f>+HLOOKUP($C133,PMGR!$CG$2:$CS$250,161,0)</f>
        <v>5563.3799999999992</v>
      </c>
      <c r="BY133" s="106">
        <f>+HLOOKUP($C133,PMGR!$CG$2:$CS$250,164,0)</f>
        <v>2640.2222999999999</v>
      </c>
      <c r="BZ133" s="106">
        <f>+HLOOKUP($C133,PMGR!$CG$2:$CS$250,165,0)</f>
        <v>32797.82</v>
      </c>
      <c r="CA133" s="106">
        <f>+HLOOKUP($C133,PMGR!$CG$2:$CS$250,166,0)</f>
        <v>0</v>
      </c>
      <c r="CB133" s="106">
        <f>+HLOOKUP($C133,PMGR!$CG$2:$CS$250,167,0)</f>
        <v>30455.64</v>
      </c>
      <c r="CC133" s="106">
        <f>+HLOOKUP($C133,PMGR!$CG$2:$CS$250,168,0)</f>
        <v>0</v>
      </c>
      <c r="CD133" s="106">
        <f>+HLOOKUP($C133,PMGR!$CG$2:$CS$250,169,0)</f>
        <v>0</v>
      </c>
      <c r="CE133" s="106">
        <f>+HLOOKUP($C133,PMGR!$CG$2:$CS$250,170,0)</f>
        <v>0</v>
      </c>
      <c r="CF133" s="106">
        <f>+HLOOKUP($C133,PMGR!$CG$2:$CS$250,172,0)</f>
        <v>10800</v>
      </c>
      <c r="CG133" s="106">
        <f>+HLOOKUP($C133,PMGR!$CG$2:$CS$250,173,0)</f>
        <v>0</v>
      </c>
      <c r="CH133" s="106">
        <f>+HLOOKUP($C133,PMGR!$CG$2:$CS$250,174,0)</f>
        <v>33035.967199999919</v>
      </c>
      <c r="CI133" s="106">
        <f>+HLOOKUP($C133,PMGR!$CG$2:$CS$250,175,0)</f>
        <v>3945.5200000000077</v>
      </c>
      <c r="CJ133" s="106">
        <f>+HLOOKUP($C133,PMGR!$CG$2:$CS$250,176,0)</f>
        <v>1518.2396999999999</v>
      </c>
      <c r="CK133" s="106">
        <f>+HLOOKUP($C133,PMGR!$CG$2:$CS$250,178,0)</f>
        <v>33791.300199999998</v>
      </c>
      <c r="CL133" s="106">
        <f>+HLOOKUP($C133,PMGR!$CG$2:$CS$250,179,0)</f>
        <v>2614.6799999999998</v>
      </c>
      <c r="CM133" s="106">
        <f>+HLOOKUP($C133,PMGR!$CG$2:$CS$250,180,0)</f>
        <v>8820</v>
      </c>
      <c r="CN133" s="106">
        <f>+HLOOKUP($C133,PMGR!$CG$2:$CS$250,182,0)</f>
        <v>368.55</v>
      </c>
      <c r="CO133" s="106">
        <f>+HLOOKUP($C133,PMGR!$CG$2:$CS$250,183,0)</f>
        <v>6974.9970000000003</v>
      </c>
      <c r="CP133" s="106">
        <f>+HLOOKUP($C133,PMGR!$CG$2:$CS$250,184,0)</f>
        <v>1492.2674999999997</v>
      </c>
      <c r="CQ133" s="106">
        <f>+HLOOKUP($C133,PMGR!$CG$2:$CS$250,185,0)</f>
        <v>0</v>
      </c>
      <c r="CR133" s="106">
        <f>+HLOOKUP($C133,PMGR!$CG$2:$CS$250,187,0)</f>
        <v>1874.9999999999968</v>
      </c>
      <c r="CS133" s="106">
        <f>+HLOOKUP($C133,PMGR!$CG$2:$CS$250,188,0)</f>
        <v>2385</v>
      </c>
      <c r="CT133" s="106">
        <f>+HLOOKUP($C133,PMGR!$CG$2:$CS$250,189,0)</f>
        <v>0</v>
      </c>
      <c r="CU133" s="106">
        <f>+HLOOKUP($C133,PMGR!$CG$2:$CS$250,190,0)</f>
        <v>749.99999999999966</v>
      </c>
      <c r="CV133" s="106">
        <f>+HLOOKUP($C133,PMGR!$CG$2:$CS$250,191,0)</f>
        <v>0</v>
      </c>
      <c r="CW133" s="106">
        <f>+HLOOKUP($C133,PMGR!$CG$2:$CS$250,193,0)</f>
        <v>3529.7999999999997</v>
      </c>
      <c r="CX133" s="106">
        <f>+HLOOKUP($C133,PMGR!$CG$2:$CS$250,194,0)</f>
        <v>23.849999999999998</v>
      </c>
      <c r="CY133" s="106">
        <f>+HLOOKUP($C133,PMGR!$CG$2:$CS$250,195,0)</f>
        <v>825.03599999999994</v>
      </c>
      <c r="CZ133" s="106">
        <f>+HLOOKUP($C133,PMGR!$CG$2:$CS$250,196,0)</f>
        <v>0</v>
      </c>
      <c r="DA133" s="106">
        <f>+HLOOKUP($C133,PMGR!$CG$2:$CS$250,197,0)</f>
        <v>7432.0410000000002</v>
      </c>
      <c r="DB133" s="106">
        <f>+HLOOKUP($C133,PMGR!$CG$2:$CS$250,198,0)</f>
        <v>1468.905</v>
      </c>
      <c r="DC133" s="106">
        <f>+HLOOKUP($C133,PMGR!$CG$2:$CS$250,199,0)</f>
        <v>903.34</v>
      </c>
      <c r="DD133" s="106">
        <f>+HLOOKUP($C133,PMGR!$CG$2:$CS$250,200,0)</f>
        <v>936</v>
      </c>
      <c r="DE133" s="106">
        <f>+HLOOKUP($C133,PMGR!$CG$2:$CS$250,201,0)</f>
        <v>0</v>
      </c>
      <c r="DF133" s="106">
        <f>+HLOOKUP($C133,PMGR!$CG$2:$CS$250,202,0)</f>
        <v>2.5279999999999996</v>
      </c>
      <c r="DG133" s="106">
        <f>+HLOOKUP($C133,PMGR!$CG$2:$CS$250,203,0)</f>
        <v>12.713699999999999</v>
      </c>
      <c r="DH133" s="106">
        <f>+HLOOKUP($C133,PMGR!$CG$2:$CS$250,205,0)</f>
        <v>0</v>
      </c>
      <c r="DI133" s="106">
        <f>+HLOOKUP($C133,PMGR!$CG$2:$CS$250,206,0)</f>
        <v>488.18430000000001</v>
      </c>
      <c r="DJ133" s="106">
        <f>+HLOOKUP($C133,PMGR!$CG$2:$CS$250,207,0)</f>
        <v>3656.2175000000002</v>
      </c>
      <c r="DK133" s="106">
        <f>+HLOOKUP($C133,PMGR!$CG$2:$CS$250,209,0)</f>
        <v>0</v>
      </c>
      <c r="DL133" s="106">
        <f>+HLOOKUP($C133,PMGR!$CG$2:$CS$250,210,0)</f>
        <v>66852.899999999994</v>
      </c>
      <c r="DM133" s="106">
        <f>+HLOOKUP($C133,PMGR!$CG$2:$CS$250,211,0)</f>
        <v>0</v>
      </c>
      <c r="DN133" s="106">
        <f>+HLOOKUP($C133,PMGR!$CG$2:$CS$250,212,0)</f>
        <v>48000</v>
      </c>
      <c r="DO133" s="106">
        <f>+HLOOKUP($C133,PMGR!$CG$2:$CS$250,214,0)</f>
        <v>0</v>
      </c>
      <c r="DP133" s="106">
        <f>+HLOOKUP($C133,PMGR!$CG$2:$CS$250,215,0)</f>
        <v>1710</v>
      </c>
      <c r="DQ133" s="106">
        <f>+HLOOKUP($C133,PMGR!$CG$2:$CS$250,219,0)</f>
        <v>0</v>
      </c>
      <c r="DR133" s="106">
        <f>+HLOOKUP($C133,PMGR!$CG$2:$CS$250,220,0)</f>
        <v>0</v>
      </c>
      <c r="DS133" s="106">
        <f>+HLOOKUP($C133,PMGR!$CG$2:$CS$250,221,0)</f>
        <v>0</v>
      </c>
      <c r="DT133" s="106">
        <f>+HLOOKUP($C133,PMGR!$CG$2:$CS$250,223,0)</f>
        <v>8105.7230999999992</v>
      </c>
      <c r="DU133" s="106">
        <f>+HLOOKUP($C133,PMGR!$CG$2:$CS$250,224,0)</f>
        <v>0</v>
      </c>
      <c r="DV133" s="106">
        <f>+HLOOKUP($C133,PMGR!$CG$2:$CS$250,225,0)</f>
        <v>0</v>
      </c>
      <c r="DW133" s="106">
        <f>+HLOOKUP($C133,PMGR!$CG$2:$CS$250,227,0)</f>
        <v>0</v>
      </c>
      <c r="DX133" s="106">
        <f>+HLOOKUP($C133,PMGR!$CG$2:$CS$250,228,0)</f>
        <v>934.02</v>
      </c>
      <c r="DY133" s="106">
        <f>+HLOOKUP($C133,PMGR!$CG$2:$CS$250,236,0)</f>
        <v>0</v>
      </c>
      <c r="DZ133" s="106">
        <f>+HLOOKUP($C133,PMGR!$CG$2:$CS$250,237,0)</f>
        <v>123181.03728</v>
      </c>
      <c r="EA133" s="106">
        <f>+HLOOKUP($C133,PMGR!$CG$2:$CS$250,238,0)</f>
        <v>51549.600000000006</v>
      </c>
      <c r="EB133" s="106">
        <f>+HLOOKUP($C133,PMGR!$CG$2:$CS$250,240,0)</f>
        <v>292179.86691964284</v>
      </c>
    </row>
    <row r="134" spans="1:132" hidden="1">
      <c r="A134" t="s">
        <v>271</v>
      </c>
      <c r="B134" t="s">
        <v>217</v>
      </c>
      <c r="C134" s="117">
        <v>45261</v>
      </c>
    </row>
    <row r="135" spans="1:132" hidden="1">
      <c r="A135" t="s">
        <v>271</v>
      </c>
      <c r="B135" t="s">
        <v>217</v>
      </c>
      <c r="C135" s="117">
        <v>45231</v>
      </c>
    </row>
    <row r="136" spans="1:132" hidden="1">
      <c r="A136" t="s">
        <v>271</v>
      </c>
      <c r="B136" t="s">
        <v>217</v>
      </c>
      <c r="C136" s="117">
        <v>45200</v>
      </c>
    </row>
    <row r="137" spans="1:132" hidden="1">
      <c r="A137" t="s">
        <v>271</v>
      </c>
      <c r="B137" t="s">
        <v>217</v>
      </c>
      <c r="C137" s="117">
        <v>45170</v>
      </c>
    </row>
    <row r="138" spans="1:132" hidden="1">
      <c r="A138" t="s">
        <v>271</v>
      </c>
      <c r="B138" t="s">
        <v>217</v>
      </c>
      <c r="C138" s="117">
        <v>45139</v>
      </c>
    </row>
    <row r="139" spans="1:132" hidden="1">
      <c r="A139" t="s">
        <v>271</v>
      </c>
      <c r="B139" t="s">
        <v>217</v>
      </c>
      <c r="C139" s="117">
        <v>45108</v>
      </c>
    </row>
    <row r="140" spans="1:132" hidden="1">
      <c r="A140" t="s">
        <v>271</v>
      </c>
      <c r="B140" t="s">
        <v>217</v>
      </c>
      <c r="C140" s="117">
        <v>45078</v>
      </c>
    </row>
    <row r="141" spans="1:132" hidden="1">
      <c r="A141" t="s">
        <v>271</v>
      </c>
      <c r="B141" t="s">
        <v>217</v>
      </c>
      <c r="C141" s="117">
        <v>45047</v>
      </c>
    </row>
    <row r="142" spans="1:132" hidden="1">
      <c r="A142" t="s">
        <v>271</v>
      </c>
      <c r="B142" t="s">
        <v>217</v>
      </c>
      <c r="C142" s="117">
        <v>45017</v>
      </c>
    </row>
    <row r="143" spans="1:132" hidden="1">
      <c r="A143" t="s">
        <v>271</v>
      </c>
      <c r="B143" t="s">
        <v>217</v>
      </c>
      <c r="C143" s="117">
        <v>44986</v>
      </c>
    </row>
    <row r="144" spans="1:132" hidden="1">
      <c r="A144" t="s">
        <v>271</v>
      </c>
      <c r="B144" t="s">
        <v>217</v>
      </c>
      <c r="C144" s="117">
        <v>44958</v>
      </c>
    </row>
    <row r="145" spans="1:132" hidden="1">
      <c r="A145" t="s">
        <v>271</v>
      </c>
      <c r="B145" t="s">
        <v>217</v>
      </c>
      <c r="C145" s="117">
        <v>44927</v>
      </c>
    </row>
    <row r="146" spans="1:132" hidden="1">
      <c r="A146" t="s">
        <v>272</v>
      </c>
      <c r="B146" t="s">
        <v>217</v>
      </c>
      <c r="C146" s="117">
        <v>45992</v>
      </c>
      <c r="D146" s="106">
        <f t="shared" si="0"/>
        <v>0</v>
      </c>
      <c r="E146" s="106">
        <f>+HLOOKUP(C146,PMGR!$EK$2:$EW$250,28,0)+HLOOKUP(C146,PMGR!$EK$2:$EW$250,43,0)+HLOOKUP(C146,PMGR!$EK$2:$EW$250,44,0)+HLOOKUP(C146,PMGR!$EK$2:$EW$250,45,0)+HLOOKUP(C146,PMGR!$EK$2:$EW$250,54,0)+HLOOKUP(C146,PMGR!$EK$2:$EW$250,59,0)</f>
        <v>0</v>
      </c>
      <c r="F146" s="106">
        <f>+HLOOKUP(C146,PMGR!$EK$2:$EW$250,37,0)+HLOOKUP(C146,PMGR!$EK$2:$EW$250,55,0)</f>
        <v>0</v>
      </c>
      <c r="G146" s="106">
        <f>+HLOOKUP($C146,PMGR!$EK$2:$EW$250,76,0)</f>
        <v>0</v>
      </c>
      <c r="H146" s="106">
        <f>+HLOOKUP($C146,PMGR!$EK$2:$EW$250,77,0)</f>
        <v>0</v>
      </c>
      <c r="I146" s="106">
        <f>+HLOOKUP($C146,PMGR!$EK$2:$EW$250,78,0)</f>
        <v>0</v>
      </c>
      <c r="J146" s="106">
        <f>+HLOOKUP($C146,PMGR!$EK$2:$EW$250,79,0)</f>
        <v>0</v>
      </c>
      <c r="K146" s="106">
        <f>+HLOOKUP($C146,PMGR!$EK$2:$EW$250,80,0)</f>
        <v>0</v>
      </c>
      <c r="L146" s="106">
        <f>+HLOOKUP($C146,PMGR!$EK$2:$EW$250,81,0)</f>
        <v>0</v>
      </c>
      <c r="M146" s="106">
        <f>+HLOOKUP($C146,PMGR!$EK$2:$EW$250,82,0)</f>
        <v>0</v>
      </c>
      <c r="N146" s="106">
        <f>+HLOOKUP($C146,PMGR!$EK$2:$EW$250,83,0)</f>
        <v>0</v>
      </c>
      <c r="O146" s="106">
        <f>+HLOOKUP($C146,PMGR!$EK$2:$EW$250,84,0)</f>
        <v>0</v>
      </c>
      <c r="P146" s="106">
        <f>+HLOOKUP($C146,PMGR!$EK$2:$EW$250,85,0)</f>
        <v>0</v>
      </c>
      <c r="Q146" s="106">
        <f>+HLOOKUP($C146,PMGR!$EK$2:$EW$250,87,0)</f>
        <v>0</v>
      </c>
      <c r="R146" s="106">
        <f>+HLOOKUP($C146,PMGR!$EK$2:$EW$250,90,0)</f>
        <v>0</v>
      </c>
      <c r="S146" s="106">
        <f>+HLOOKUP($C146,PMGR!$EK$2:$EW$250,91,0)</f>
        <v>0</v>
      </c>
      <c r="T146" s="106">
        <f>+HLOOKUP($C146,PMGR!$EK$2:$EW$250,92,0)</f>
        <v>0</v>
      </c>
      <c r="U146" s="106">
        <f>+HLOOKUP($C146,PMGR!$EK$2:$EW$250,93,0)</f>
        <v>0</v>
      </c>
      <c r="V146" s="106">
        <f>+HLOOKUP($C146,PMGR!$EK$2:$EW$250,94,0)</f>
        <v>0</v>
      </c>
      <c r="W146" s="106">
        <f>+HLOOKUP($C146,PMGR!$EK$2:$EW$250,95,0)</f>
        <v>0</v>
      </c>
      <c r="X146" s="106">
        <f>+HLOOKUP($C146,PMGR!$EK$2:$EW$250,96,0)</f>
        <v>0</v>
      </c>
      <c r="Y146" s="106">
        <f>+HLOOKUP($C146,PMGR!$EK$2:$EW$250,97,0)</f>
        <v>0</v>
      </c>
      <c r="Z146" s="106">
        <f>+HLOOKUP($C146,PMGR!$EK$2:$EW$250,98,0)</f>
        <v>0</v>
      </c>
      <c r="AA146" s="106">
        <f>+HLOOKUP($C146,PMGR!$EK$2:$EW$250,99,0)</f>
        <v>0</v>
      </c>
      <c r="AB146" s="106">
        <f>+HLOOKUP($C146,PMGR!$EK$2:$EW$250,100,0)</f>
        <v>0</v>
      </c>
      <c r="AC146" s="106">
        <f>+HLOOKUP($C146,PMGR!$EK$2:$EW$250,101,0)</f>
        <v>0</v>
      </c>
      <c r="AD146" s="106">
        <f>+HLOOKUP($C146,PMGR!$EK$2:$EW$250,104,0)</f>
        <v>0</v>
      </c>
      <c r="AE146" s="106">
        <f>+HLOOKUP($C146,PMGR!$EK$2:$EW$250,105,0)</f>
        <v>0</v>
      </c>
      <c r="AF146" s="106">
        <f>+HLOOKUP($C146,PMGR!$EK$2:$EW$250,106,0)</f>
        <v>0</v>
      </c>
      <c r="AG146" s="106">
        <f>+HLOOKUP($C146,PMGR!$EK$2:$EW$250,107,0)</f>
        <v>0</v>
      </c>
      <c r="AH146" s="106">
        <f>+HLOOKUP($C146,PMGR!$EK$2:$EW$250,108,0)</f>
        <v>0</v>
      </c>
      <c r="AI146" s="106">
        <f>+HLOOKUP($C146,PMGR!$EK$2:$EW$250,109,0)</f>
        <v>0</v>
      </c>
      <c r="AJ146" s="106">
        <f>+HLOOKUP($C146,PMGR!$EK$2:$EW$250,110,0)</f>
        <v>0</v>
      </c>
      <c r="AK146" s="106">
        <f>+HLOOKUP($C146,PMGR!$EK$2:$EW$250,111,0)</f>
        <v>0</v>
      </c>
      <c r="AL146" s="106">
        <f>+HLOOKUP($C146,PMGR!$EK$2:$EW$250,112,0)</f>
        <v>0</v>
      </c>
      <c r="AM146" s="106">
        <f>+HLOOKUP($C146,PMGR!$EK$2:$EW$250,116,0)</f>
        <v>0</v>
      </c>
      <c r="AN146" s="106">
        <f>+HLOOKUP($C146,PMGR!$EK$2:$EW$250,117,0)</f>
        <v>0</v>
      </c>
      <c r="AO146" s="106">
        <f>+HLOOKUP($C146,PMGR!$EK$2:$EW$250,118,0)</f>
        <v>0</v>
      </c>
      <c r="AP146" s="106">
        <f>+HLOOKUP($C146,PMGR!$EK$2:$EW$250,119,0)</f>
        <v>0</v>
      </c>
      <c r="AQ146" s="106">
        <f>+HLOOKUP($C146,PMGR!$EK$2:$EW$250,120,0)</f>
        <v>0</v>
      </c>
      <c r="AR146" s="106">
        <f>+HLOOKUP($C146,PMGR!$EK$2:$EW$250,121,0)</f>
        <v>0</v>
      </c>
      <c r="AS146" s="106">
        <f>+HLOOKUP($C146,PMGR!$EK$2:$EW$250,122,0)</f>
        <v>0</v>
      </c>
      <c r="AT146" s="106">
        <f>+HLOOKUP($C146,PMGR!$EK$2:$EW$250,123,0)</f>
        <v>0</v>
      </c>
      <c r="AU146" s="106">
        <f>+HLOOKUP($C146,PMGR!$EK$2:$EW$250,124,0)</f>
        <v>0</v>
      </c>
      <c r="AV146" s="106">
        <f>+HLOOKUP($C146,PMGR!$EK$2:$EW$250,125,0)</f>
        <v>0</v>
      </c>
      <c r="AW146" s="106">
        <f>+HLOOKUP($C146,PMGR!$EK$2:$EW$250,126,0)</f>
        <v>0</v>
      </c>
      <c r="AX146" s="106">
        <f>+HLOOKUP($C146,PMGR!$EK$2:$EW$250,127,0)</f>
        <v>0</v>
      </c>
      <c r="AY146" s="106">
        <f>+HLOOKUP($C146,PMGR!$EK$2:$EW$250,129,0)</f>
        <v>0</v>
      </c>
      <c r="AZ146" s="106">
        <f>+HLOOKUP($C146,PMGR!$EK$2:$EW$250,130,0)</f>
        <v>0</v>
      </c>
      <c r="BA146" s="106">
        <f>+HLOOKUP($C146,PMGR!$EK$2:$EW$250,131,0)</f>
        <v>0</v>
      </c>
      <c r="BB146" s="106">
        <f>+HLOOKUP($C146,PMGR!$EK$2:$EW$250,133,0)</f>
        <v>0</v>
      </c>
      <c r="BC146" s="106">
        <f>+HLOOKUP($C146,PMGR!$EK$2:$EW$250,134,0)</f>
        <v>0</v>
      </c>
      <c r="BD146" s="106">
        <f>+HLOOKUP($C146,PMGR!$EK$2:$EW$250,135,0)</f>
        <v>0</v>
      </c>
      <c r="BE146" s="106">
        <f>+HLOOKUP($C146,PMGR!$EK$2:$EW$250,136,0)</f>
        <v>0</v>
      </c>
      <c r="BF146" s="106">
        <f>+HLOOKUP($C146,PMGR!$EK$2:$EW$250,138,0)</f>
        <v>0</v>
      </c>
      <c r="BG146" s="106">
        <f>+HLOOKUP($C146,PMGR!$EK$2:$EW$250,139,0)</f>
        <v>0</v>
      </c>
      <c r="BH146" s="106">
        <f>+HLOOKUP($C146,PMGR!$EK$2:$EW$250,140,0)</f>
        <v>0</v>
      </c>
      <c r="BI146" s="106">
        <f>+HLOOKUP($C146,PMGR!$EK$2:$EW$250,141,0)</f>
        <v>0</v>
      </c>
      <c r="BJ146" s="106">
        <f>+HLOOKUP($C146,PMGR!$EK$2:$EW$250,142,0)</f>
        <v>0</v>
      </c>
      <c r="BK146" s="106">
        <f>+HLOOKUP($C146,PMGR!$EK$2:$EW$250,143,0)</f>
        <v>0</v>
      </c>
      <c r="BL146" s="106">
        <f>+HLOOKUP($C146,PMGR!$EK$2:$EW$250,144,0)</f>
        <v>0</v>
      </c>
      <c r="BM146" s="106">
        <f>+HLOOKUP($C146,PMGR!$EK$2:$EW$250,146,0)</f>
        <v>0</v>
      </c>
      <c r="BN146" s="106">
        <f>+HLOOKUP($C146,PMGR!$EK$2:$EW$250,147,0)</f>
        <v>0</v>
      </c>
      <c r="BO146" s="106">
        <f>+HLOOKUP($C146,PMGR!$EK$2:$EW$250,148,0)</f>
        <v>0</v>
      </c>
      <c r="BP146" s="106">
        <f>+HLOOKUP($C146,PMGR!$EK$2:$EW$250,150,0)</f>
        <v>0</v>
      </c>
      <c r="BQ146" s="106">
        <f>+HLOOKUP($C146,PMGR!$EK$2:$EW$250,151,0)</f>
        <v>0</v>
      </c>
      <c r="BR146" s="106">
        <f>+HLOOKUP($C146,PMGR!$EK$2:$EW$250,152,0)</f>
        <v>0</v>
      </c>
      <c r="BS146" s="106">
        <f>+HLOOKUP($C146,PMGR!$EK$2:$EW$250,153,0)</f>
        <v>0</v>
      </c>
      <c r="BT146" s="106">
        <f>+HLOOKUP($C146,PMGR!$EK$2:$EW$250,157,0)</f>
        <v>0</v>
      </c>
      <c r="BU146" s="106">
        <f>+HLOOKUP($C146,PMGR!$EK$2:$EW$250,158,0)</f>
        <v>0</v>
      </c>
      <c r="BV146" s="106">
        <f>+HLOOKUP($C146,PMGR!$EK$2:$EW$250,159,0)</f>
        <v>0</v>
      </c>
      <c r="BW146" s="106">
        <f>+HLOOKUP($C146,PMGR!$EK$2:$EW$250,160,0)</f>
        <v>0</v>
      </c>
      <c r="BX146" s="106">
        <f>+HLOOKUP($C146,PMGR!$EK$2:$EW$250,161,0)</f>
        <v>0</v>
      </c>
      <c r="BY146" s="106">
        <f>+HLOOKUP($C146,PMGR!$EK$2:$EW$250,164,0)</f>
        <v>0</v>
      </c>
      <c r="BZ146" s="106">
        <f>+HLOOKUP($C146,PMGR!$EK$2:$EW$250,165,0)</f>
        <v>0</v>
      </c>
      <c r="CA146" s="106">
        <f>+HLOOKUP($C146,PMGR!$EK$2:$EW$250,166,0)</f>
        <v>0</v>
      </c>
      <c r="CB146" s="106">
        <f>+HLOOKUP($C146,PMGR!$EK$2:$EW$250,167,0)</f>
        <v>0</v>
      </c>
      <c r="CC146" s="106">
        <f>+HLOOKUP($C146,PMGR!$EK$2:$EW$250,168,0)</f>
        <v>0</v>
      </c>
      <c r="CD146" s="106">
        <f>+HLOOKUP($C146,PMGR!$EK$2:$EW$250,169,0)</f>
        <v>0</v>
      </c>
      <c r="CE146" s="106">
        <f>+HLOOKUP($C146,PMGR!$EK$2:$EW$250,170,0)</f>
        <v>0</v>
      </c>
      <c r="CF146" s="106">
        <f>+HLOOKUP($C146,PMGR!$EK$2:$EW$250,172,0)</f>
        <v>0</v>
      </c>
      <c r="CG146" s="106">
        <f>+HLOOKUP($C146,PMGR!$EK$2:$EW$250,173,0)</f>
        <v>0</v>
      </c>
      <c r="CH146" s="106">
        <f>+HLOOKUP($C146,PMGR!$EK$2:$EW$250,174,0)</f>
        <v>0</v>
      </c>
      <c r="CI146" s="106">
        <f>+HLOOKUP($C146,PMGR!$EK$2:$EW$250,175,0)</f>
        <v>0</v>
      </c>
      <c r="CJ146" s="106">
        <f>+HLOOKUP($C146,PMGR!$EK$2:$EW$250,176,0)</f>
        <v>0</v>
      </c>
      <c r="CK146" s="106">
        <f>+HLOOKUP($C146,PMGR!$EK$2:$EW$250,178,0)</f>
        <v>0</v>
      </c>
      <c r="CL146" s="106">
        <f>+HLOOKUP($C146,PMGR!$EK$2:$EW$250,179,0)</f>
        <v>0</v>
      </c>
      <c r="CM146" s="106">
        <f>+HLOOKUP($C146,PMGR!$EK$2:$EW$250,180,0)</f>
        <v>0</v>
      </c>
      <c r="CN146" s="106">
        <f>+HLOOKUP($C146,PMGR!$EK$2:$EW$250,182,0)</f>
        <v>0</v>
      </c>
      <c r="CO146" s="106">
        <f>+HLOOKUP($C146,PMGR!$EK$2:$EW$250,183,0)</f>
        <v>0</v>
      </c>
      <c r="CP146" s="106">
        <f>+HLOOKUP($C146,PMGR!$EK$2:$EW$250,184,0)</f>
        <v>0</v>
      </c>
      <c r="CQ146" s="106">
        <f>+HLOOKUP($C146,PMGR!$EK$2:$EW$250,185,0)</f>
        <v>0</v>
      </c>
      <c r="CR146" s="106">
        <f>+HLOOKUP($C146,PMGR!$EK$2:$EW$250,187,0)</f>
        <v>0</v>
      </c>
      <c r="CS146" s="106">
        <f>+HLOOKUP($C146,PMGR!$EK$2:$EW$250,188,0)</f>
        <v>0</v>
      </c>
      <c r="CT146" s="106">
        <f>+HLOOKUP($C146,PMGR!$EK$2:$EW$250,189,0)</f>
        <v>0</v>
      </c>
      <c r="CU146" s="106">
        <f>+HLOOKUP($C146,PMGR!$EK$2:$EW$250,190,0)</f>
        <v>0</v>
      </c>
      <c r="CV146" s="106">
        <f>+HLOOKUP($C146,PMGR!$EK$2:$EW$250,191,0)</f>
        <v>0</v>
      </c>
      <c r="CW146" s="106">
        <f>+HLOOKUP($C146,PMGR!$EK$2:$EW$250,193,0)</f>
        <v>0</v>
      </c>
      <c r="CX146" s="106">
        <f>+HLOOKUP($C146,PMGR!$EK$2:$EW$250,194,0)</f>
        <v>0</v>
      </c>
      <c r="CY146" s="106">
        <f>+HLOOKUP($C146,PMGR!$EK$2:$EW$250,195,0)</f>
        <v>0</v>
      </c>
      <c r="CZ146" s="106">
        <f>+HLOOKUP($C146,PMGR!$EK$2:$EW$250,196,0)</f>
        <v>0</v>
      </c>
      <c r="DA146" s="106">
        <f>+HLOOKUP($C146,PMGR!$EK$2:$EW$250,197,0)</f>
        <v>0</v>
      </c>
      <c r="DB146" s="106">
        <f>+HLOOKUP($C146,PMGR!$EK$2:$EW$250,198,0)</f>
        <v>0</v>
      </c>
      <c r="DC146" s="106">
        <f>+HLOOKUP($C146,PMGR!$EK$2:$EW$250,199,0)</f>
        <v>0</v>
      </c>
      <c r="DD146" s="106">
        <f>+HLOOKUP($C146,PMGR!$EK$2:$EW$250,200,0)</f>
        <v>0</v>
      </c>
      <c r="DE146" s="106">
        <f>+HLOOKUP($C146,PMGR!$EK$2:$EW$250,201,0)</f>
        <v>0</v>
      </c>
      <c r="DF146" s="106">
        <f>+HLOOKUP($C146,PMGR!$EK$2:$EW$250,202,0)</f>
        <v>0</v>
      </c>
      <c r="DG146" s="106">
        <f>+HLOOKUP($C146,PMGR!$EK$2:$EW$250,203,0)</f>
        <v>0</v>
      </c>
      <c r="DH146" s="106">
        <f>+HLOOKUP($C146,PMGR!$EK$2:$EW$250,205,0)</f>
        <v>0</v>
      </c>
      <c r="DI146" s="106">
        <f>+HLOOKUP($C146,PMGR!$EK$2:$EW$250,206,0)</f>
        <v>0</v>
      </c>
      <c r="DJ146" s="106">
        <f>+HLOOKUP($C146,PMGR!$EK$2:$EW$250,207,0)</f>
        <v>0</v>
      </c>
      <c r="DK146" s="106">
        <f>+HLOOKUP($C146,PMGR!$EK$2:$EW$250,209,0)</f>
        <v>0</v>
      </c>
      <c r="DL146" s="106">
        <f>+HLOOKUP($C146,PMGR!$EK$2:$EW$250,210,0)</f>
        <v>0</v>
      </c>
      <c r="DM146" s="106">
        <f>+HLOOKUP($C146,PMGR!$EK$2:$EW$250,211,0)</f>
        <v>0</v>
      </c>
      <c r="DN146" s="106">
        <f>+HLOOKUP($C146,PMGR!$EK$2:$EW$250,212,0)</f>
        <v>0</v>
      </c>
      <c r="DO146" s="106">
        <f>+HLOOKUP($C146,PMGR!$EK$2:$EW$250,214,0)</f>
        <v>0</v>
      </c>
      <c r="DP146" s="106">
        <f>+HLOOKUP($C146,PMGR!$EK$2:$EW$250,215,0)</f>
        <v>0</v>
      </c>
      <c r="DQ146" s="106">
        <f>+HLOOKUP($C146,PMGR!$EK$2:$EW$250,219,0)</f>
        <v>0</v>
      </c>
      <c r="DR146" s="106">
        <f>+HLOOKUP($C146,PMGR!$EK$2:$EW$250,220,0)</f>
        <v>0</v>
      </c>
      <c r="DS146" s="106">
        <f>+HLOOKUP($C146,PMGR!$EK$2:$EW$250,221,0)</f>
        <v>0</v>
      </c>
      <c r="DT146" s="106">
        <f>+HLOOKUP($C146,PMGR!$EK$2:$EW$250,223,0)</f>
        <v>0</v>
      </c>
      <c r="DU146" s="106">
        <f>+HLOOKUP($C146,PMGR!$EK$2:$EW$250,224,0)</f>
        <v>0</v>
      </c>
      <c r="DV146" s="106">
        <f>+HLOOKUP($C146,PMGR!$EK$2:$EW$250,225,0)</f>
        <v>0</v>
      </c>
      <c r="DW146" s="106">
        <f>+HLOOKUP($C146,PMGR!$EK$2:$EW$250,227,0)</f>
        <v>0</v>
      </c>
      <c r="DX146" s="106">
        <f>+HLOOKUP($C146,PMGR!$EK$2:$EW$250,228,0)</f>
        <v>0</v>
      </c>
      <c r="DY146" s="106">
        <f>+HLOOKUP($C146,PMGR!$EK$2:$EW$250,236,0)</f>
        <v>0</v>
      </c>
      <c r="DZ146" s="106">
        <f>+HLOOKUP($C146,PMGR!$EK$2:$EW$250,237,0)</f>
        <v>0</v>
      </c>
      <c r="EA146" s="106">
        <f>+HLOOKUP($C146,PMGR!$EK$2:$EW$250,238,0)</f>
        <v>0</v>
      </c>
      <c r="EB146" s="106">
        <f>+HLOOKUP($C146,PMGR!$EK$2:$EW$250,240,0)</f>
        <v>0</v>
      </c>
    </row>
    <row r="147" spans="1:132" hidden="1">
      <c r="A147" t="s">
        <v>272</v>
      </c>
      <c r="B147" t="s">
        <v>217</v>
      </c>
      <c r="C147" s="117">
        <v>45962</v>
      </c>
      <c r="D147" s="106">
        <f t="shared" si="0"/>
        <v>0</v>
      </c>
      <c r="E147" s="106">
        <f>+HLOOKUP(C147,PMGR!$EK$2:$EW$250,28,0)+HLOOKUP(C147,PMGR!$EK$2:$EW$250,43,0)+HLOOKUP(C147,PMGR!$EK$2:$EW$250,44,0)+HLOOKUP(C147,PMGR!$EK$2:$EW$250,45,0)+HLOOKUP(C147,PMGR!$EK$2:$EW$250,54,0)+HLOOKUP(C147,PMGR!$EK$2:$EW$250,59,0)</f>
        <v>0</v>
      </c>
      <c r="F147" s="106">
        <f>+HLOOKUP(C147,PMGR!$EK$2:$EW$250,37,0)+HLOOKUP(C147,PMGR!$EK$2:$EW$250,55,0)</f>
        <v>0</v>
      </c>
      <c r="G147" s="106">
        <f>+HLOOKUP($C147,PMGR!$EK$2:$EW$250,76,0)</f>
        <v>0</v>
      </c>
      <c r="H147" s="106">
        <f>+HLOOKUP($C147,PMGR!$EK$2:$EW$250,77,0)</f>
        <v>0</v>
      </c>
      <c r="I147" s="106">
        <f>+HLOOKUP($C147,PMGR!$EK$2:$EW$250,78,0)</f>
        <v>0</v>
      </c>
      <c r="J147" s="106">
        <f>+HLOOKUP($C147,PMGR!$EK$2:$EW$250,79,0)</f>
        <v>0</v>
      </c>
      <c r="K147" s="106">
        <f>+HLOOKUP($C147,PMGR!$EK$2:$EW$250,80,0)</f>
        <v>0</v>
      </c>
      <c r="L147" s="106">
        <f>+HLOOKUP($C147,PMGR!$EK$2:$EW$250,81,0)</f>
        <v>0</v>
      </c>
      <c r="M147" s="106">
        <f>+HLOOKUP($C147,PMGR!$EK$2:$EW$250,82,0)</f>
        <v>0</v>
      </c>
      <c r="N147" s="106">
        <f>+HLOOKUP($C147,PMGR!$EK$2:$EW$250,83,0)</f>
        <v>0</v>
      </c>
      <c r="O147" s="106">
        <f>+HLOOKUP($C147,PMGR!$EK$2:$EW$250,84,0)</f>
        <v>0</v>
      </c>
      <c r="P147" s="106">
        <f>+HLOOKUP($C147,PMGR!$EK$2:$EW$250,85,0)</f>
        <v>0</v>
      </c>
      <c r="Q147" s="106">
        <f>+HLOOKUP($C147,PMGR!$EK$2:$EW$250,87,0)</f>
        <v>0</v>
      </c>
      <c r="R147" s="106">
        <f>+HLOOKUP($C147,PMGR!$EK$2:$EW$250,90,0)</f>
        <v>0</v>
      </c>
      <c r="S147" s="106">
        <f>+HLOOKUP($C147,PMGR!$EK$2:$EW$250,91,0)</f>
        <v>0</v>
      </c>
      <c r="T147" s="106">
        <f>+HLOOKUP($C147,PMGR!$EK$2:$EW$250,92,0)</f>
        <v>0</v>
      </c>
      <c r="U147" s="106">
        <f>+HLOOKUP($C147,PMGR!$EK$2:$EW$250,93,0)</f>
        <v>0</v>
      </c>
      <c r="V147" s="106">
        <f>+HLOOKUP($C147,PMGR!$EK$2:$EW$250,94,0)</f>
        <v>0</v>
      </c>
      <c r="W147" s="106">
        <f>+HLOOKUP($C147,PMGR!$EK$2:$EW$250,95,0)</f>
        <v>0</v>
      </c>
      <c r="X147" s="106">
        <f>+HLOOKUP($C147,PMGR!$EK$2:$EW$250,96,0)</f>
        <v>0</v>
      </c>
      <c r="Y147" s="106">
        <f>+HLOOKUP($C147,PMGR!$EK$2:$EW$250,97,0)</f>
        <v>0</v>
      </c>
      <c r="Z147" s="106">
        <f>+HLOOKUP($C147,PMGR!$EK$2:$EW$250,98,0)</f>
        <v>0</v>
      </c>
      <c r="AA147" s="106">
        <f>+HLOOKUP($C147,PMGR!$EK$2:$EW$250,99,0)</f>
        <v>0</v>
      </c>
      <c r="AB147" s="106">
        <f>+HLOOKUP($C147,PMGR!$EK$2:$EW$250,100,0)</f>
        <v>0</v>
      </c>
      <c r="AC147" s="106">
        <f>+HLOOKUP($C147,PMGR!$EK$2:$EW$250,101,0)</f>
        <v>0</v>
      </c>
      <c r="AD147" s="106">
        <f>+HLOOKUP($C147,PMGR!$EK$2:$EW$250,104,0)</f>
        <v>0</v>
      </c>
      <c r="AE147" s="106">
        <f>+HLOOKUP($C147,PMGR!$EK$2:$EW$250,105,0)</f>
        <v>0</v>
      </c>
      <c r="AF147" s="106">
        <f>+HLOOKUP($C147,PMGR!$EK$2:$EW$250,106,0)</f>
        <v>0</v>
      </c>
      <c r="AG147" s="106">
        <f>+HLOOKUP($C147,PMGR!$EK$2:$EW$250,107,0)</f>
        <v>0</v>
      </c>
      <c r="AH147" s="106">
        <f>+HLOOKUP($C147,PMGR!$EK$2:$EW$250,108,0)</f>
        <v>0</v>
      </c>
      <c r="AI147" s="106">
        <f>+HLOOKUP($C147,PMGR!$EK$2:$EW$250,109,0)</f>
        <v>0</v>
      </c>
      <c r="AJ147" s="106">
        <f>+HLOOKUP($C147,PMGR!$EK$2:$EW$250,110,0)</f>
        <v>0</v>
      </c>
      <c r="AK147" s="106">
        <f>+HLOOKUP($C147,PMGR!$EK$2:$EW$250,111,0)</f>
        <v>0</v>
      </c>
      <c r="AL147" s="106">
        <f>+HLOOKUP($C147,PMGR!$EK$2:$EW$250,112,0)</f>
        <v>0</v>
      </c>
      <c r="AM147" s="106">
        <f>+HLOOKUP($C147,PMGR!$EK$2:$EW$250,116,0)</f>
        <v>0</v>
      </c>
      <c r="AN147" s="106">
        <f>+HLOOKUP($C147,PMGR!$EK$2:$EW$250,117,0)</f>
        <v>0</v>
      </c>
      <c r="AO147" s="106">
        <f>+HLOOKUP($C147,PMGR!$EK$2:$EW$250,118,0)</f>
        <v>0</v>
      </c>
      <c r="AP147" s="106">
        <f>+HLOOKUP($C147,PMGR!$EK$2:$EW$250,119,0)</f>
        <v>0</v>
      </c>
      <c r="AQ147" s="106">
        <f>+HLOOKUP($C147,PMGR!$EK$2:$EW$250,120,0)</f>
        <v>0</v>
      </c>
      <c r="AR147" s="106">
        <f>+HLOOKUP($C147,PMGR!$EK$2:$EW$250,121,0)</f>
        <v>0</v>
      </c>
      <c r="AS147" s="106">
        <f>+HLOOKUP($C147,PMGR!$EK$2:$EW$250,122,0)</f>
        <v>0</v>
      </c>
      <c r="AT147" s="106">
        <f>+HLOOKUP($C147,PMGR!$EK$2:$EW$250,123,0)</f>
        <v>0</v>
      </c>
      <c r="AU147" s="106">
        <f>+HLOOKUP($C147,PMGR!$EK$2:$EW$250,124,0)</f>
        <v>0</v>
      </c>
      <c r="AV147" s="106">
        <f>+HLOOKUP($C147,PMGR!$EK$2:$EW$250,125,0)</f>
        <v>0</v>
      </c>
      <c r="AW147" s="106">
        <f>+HLOOKUP($C147,PMGR!$EK$2:$EW$250,126,0)</f>
        <v>0</v>
      </c>
      <c r="AX147" s="106">
        <f>+HLOOKUP($C147,PMGR!$EK$2:$EW$250,127,0)</f>
        <v>0</v>
      </c>
      <c r="AY147" s="106">
        <f>+HLOOKUP($C147,PMGR!$EK$2:$EW$250,129,0)</f>
        <v>0</v>
      </c>
      <c r="AZ147" s="106">
        <f>+HLOOKUP($C147,PMGR!$EK$2:$EW$250,130,0)</f>
        <v>0</v>
      </c>
      <c r="BA147" s="106">
        <f>+HLOOKUP($C147,PMGR!$EK$2:$EW$250,131,0)</f>
        <v>0</v>
      </c>
      <c r="BB147" s="106">
        <f>+HLOOKUP($C147,PMGR!$EK$2:$EW$250,133,0)</f>
        <v>0</v>
      </c>
      <c r="BC147" s="106">
        <f>+HLOOKUP($C147,PMGR!$EK$2:$EW$250,134,0)</f>
        <v>0</v>
      </c>
      <c r="BD147" s="106">
        <f>+HLOOKUP($C147,PMGR!$EK$2:$EW$250,135,0)</f>
        <v>0</v>
      </c>
      <c r="BE147" s="106">
        <f>+HLOOKUP($C147,PMGR!$EK$2:$EW$250,136,0)</f>
        <v>0</v>
      </c>
      <c r="BF147" s="106">
        <f>+HLOOKUP($C147,PMGR!$EK$2:$EW$250,138,0)</f>
        <v>0</v>
      </c>
      <c r="BG147" s="106">
        <f>+HLOOKUP($C147,PMGR!$EK$2:$EW$250,139,0)</f>
        <v>0</v>
      </c>
      <c r="BH147" s="106">
        <f>+HLOOKUP($C147,PMGR!$EK$2:$EW$250,140,0)</f>
        <v>0</v>
      </c>
      <c r="BI147" s="106">
        <f>+HLOOKUP($C147,PMGR!$EK$2:$EW$250,141,0)</f>
        <v>0</v>
      </c>
      <c r="BJ147" s="106">
        <f>+HLOOKUP($C147,PMGR!$EK$2:$EW$250,142,0)</f>
        <v>0</v>
      </c>
      <c r="BK147" s="106">
        <f>+HLOOKUP($C147,PMGR!$EK$2:$EW$250,143,0)</f>
        <v>0</v>
      </c>
      <c r="BL147" s="106">
        <f>+HLOOKUP($C147,PMGR!$EK$2:$EW$250,144,0)</f>
        <v>0</v>
      </c>
      <c r="BM147" s="106">
        <f>+HLOOKUP($C147,PMGR!$EK$2:$EW$250,146,0)</f>
        <v>0</v>
      </c>
      <c r="BN147" s="106">
        <f>+HLOOKUP($C147,PMGR!$EK$2:$EW$250,147,0)</f>
        <v>0</v>
      </c>
      <c r="BO147" s="106">
        <f>+HLOOKUP($C147,PMGR!$EK$2:$EW$250,148,0)</f>
        <v>0</v>
      </c>
      <c r="BP147" s="106">
        <f>+HLOOKUP($C147,PMGR!$EK$2:$EW$250,150,0)</f>
        <v>0</v>
      </c>
      <c r="BQ147" s="106">
        <f>+HLOOKUP($C147,PMGR!$EK$2:$EW$250,151,0)</f>
        <v>0</v>
      </c>
      <c r="BR147" s="106">
        <f>+HLOOKUP($C147,PMGR!$EK$2:$EW$250,152,0)</f>
        <v>0</v>
      </c>
      <c r="BS147" s="106">
        <f>+HLOOKUP($C147,PMGR!$EK$2:$EW$250,153,0)</f>
        <v>0</v>
      </c>
      <c r="BT147" s="106">
        <f>+HLOOKUP($C147,PMGR!$EK$2:$EW$250,157,0)</f>
        <v>0</v>
      </c>
      <c r="BU147" s="106">
        <f>+HLOOKUP($C147,PMGR!$EK$2:$EW$250,158,0)</f>
        <v>0</v>
      </c>
      <c r="BV147" s="106">
        <f>+HLOOKUP($C147,PMGR!$EK$2:$EW$250,159,0)</f>
        <v>0</v>
      </c>
      <c r="BW147" s="106">
        <f>+HLOOKUP($C147,PMGR!$EK$2:$EW$250,160,0)</f>
        <v>0</v>
      </c>
      <c r="BX147" s="106">
        <f>+HLOOKUP($C147,PMGR!$EK$2:$EW$250,161,0)</f>
        <v>0</v>
      </c>
      <c r="BY147" s="106">
        <f>+HLOOKUP($C147,PMGR!$EK$2:$EW$250,164,0)</f>
        <v>0</v>
      </c>
      <c r="BZ147" s="106">
        <f>+HLOOKUP($C147,PMGR!$EK$2:$EW$250,165,0)</f>
        <v>0</v>
      </c>
      <c r="CA147" s="106">
        <f>+HLOOKUP($C147,PMGR!$EK$2:$EW$250,166,0)</f>
        <v>0</v>
      </c>
      <c r="CB147" s="106">
        <f>+HLOOKUP($C147,PMGR!$EK$2:$EW$250,167,0)</f>
        <v>0</v>
      </c>
      <c r="CC147" s="106">
        <f>+HLOOKUP($C147,PMGR!$EK$2:$EW$250,168,0)</f>
        <v>0</v>
      </c>
      <c r="CD147" s="106">
        <f>+HLOOKUP($C147,PMGR!$EK$2:$EW$250,169,0)</f>
        <v>0</v>
      </c>
      <c r="CE147" s="106">
        <f>+HLOOKUP($C147,PMGR!$EK$2:$EW$250,170,0)</f>
        <v>0</v>
      </c>
      <c r="CF147" s="106">
        <f>+HLOOKUP($C147,PMGR!$EK$2:$EW$250,172,0)</f>
        <v>0</v>
      </c>
      <c r="CG147" s="106">
        <f>+HLOOKUP($C147,PMGR!$EK$2:$EW$250,173,0)</f>
        <v>0</v>
      </c>
      <c r="CH147" s="106">
        <f>+HLOOKUP($C147,PMGR!$EK$2:$EW$250,174,0)</f>
        <v>0</v>
      </c>
      <c r="CI147" s="106">
        <f>+HLOOKUP($C147,PMGR!$EK$2:$EW$250,175,0)</f>
        <v>0</v>
      </c>
      <c r="CJ147" s="106">
        <f>+HLOOKUP($C147,PMGR!$EK$2:$EW$250,176,0)</f>
        <v>0</v>
      </c>
      <c r="CK147" s="106">
        <f>+HLOOKUP($C147,PMGR!$EK$2:$EW$250,178,0)</f>
        <v>0</v>
      </c>
      <c r="CL147" s="106">
        <f>+HLOOKUP($C147,PMGR!$EK$2:$EW$250,179,0)</f>
        <v>0</v>
      </c>
      <c r="CM147" s="106">
        <f>+HLOOKUP($C147,PMGR!$EK$2:$EW$250,180,0)</f>
        <v>0</v>
      </c>
      <c r="CN147" s="106">
        <f>+HLOOKUP($C147,PMGR!$EK$2:$EW$250,182,0)</f>
        <v>0</v>
      </c>
      <c r="CO147" s="106">
        <f>+HLOOKUP($C147,PMGR!$EK$2:$EW$250,183,0)</f>
        <v>0</v>
      </c>
      <c r="CP147" s="106">
        <f>+HLOOKUP($C147,PMGR!$EK$2:$EW$250,184,0)</f>
        <v>0</v>
      </c>
      <c r="CQ147" s="106">
        <f>+HLOOKUP($C147,PMGR!$EK$2:$EW$250,185,0)</f>
        <v>0</v>
      </c>
      <c r="CR147" s="106">
        <f>+HLOOKUP($C147,PMGR!$EK$2:$EW$250,187,0)</f>
        <v>0</v>
      </c>
      <c r="CS147" s="106">
        <f>+HLOOKUP($C147,PMGR!$EK$2:$EW$250,188,0)</f>
        <v>0</v>
      </c>
      <c r="CT147" s="106">
        <f>+HLOOKUP($C147,PMGR!$EK$2:$EW$250,189,0)</f>
        <v>0</v>
      </c>
      <c r="CU147" s="106">
        <f>+HLOOKUP($C147,PMGR!$EK$2:$EW$250,190,0)</f>
        <v>0</v>
      </c>
      <c r="CV147" s="106">
        <f>+HLOOKUP($C147,PMGR!$EK$2:$EW$250,191,0)</f>
        <v>0</v>
      </c>
      <c r="CW147" s="106">
        <f>+HLOOKUP($C147,PMGR!$EK$2:$EW$250,193,0)</f>
        <v>0</v>
      </c>
      <c r="CX147" s="106">
        <f>+HLOOKUP($C147,PMGR!$EK$2:$EW$250,194,0)</f>
        <v>0</v>
      </c>
      <c r="CY147" s="106">
        <f>+HLOOKUP($C147,PMGR!$EK$2:$EW$250,195,0)</f>
        <v>0</v>
      </c>
      <c r="CZ147" s="106">
        <f>+HLOOKUP($C147,PMGR!$EK$2:$EW$250,196,0)</f>
        <v>0</v>
      </c>
      <c r="DA147" s="106">
        <f>+HLOOKUP($C147,PMGR!$EK$2:$EW$250,197,0)</f>
        <v>0</v>
      </c>
      <c r="DB147" s="106">
        <f>+HLOOKUP($C147,PMGR!$EK$2:$EW$250,198,0)</f>
        <v>0</v>
      </c>
      <c r="DC147" s="106">
        <f>+HLOOKUP($C147,PMGR!$EK$2:$EW$250,199,0)</f>
        <v>0</v>
      </c>
      <c r="DD147" s="106">
        <f>+HLOOKUP($C147,PMGR!$EK$2:$EW$250,200,0)</f>
        <v>0</v>
      </c>
      <c r="DE147" s="106">
        <f>+HLOOKUP($C147,PMGR!$EK$2:$EW$250,201,0)</f>
        <v>0</v>
      </c>
      <c r="DF147" s="106">
        <f>+HLOOKUP($C147,PMGR!$EK$2:$EW$250,202,0)</f>
        <v>0</v>
      </c>
      <c r="DG147" s="106">
        <f>+HLOOKUP($C147,PMGR!$EK$2:$EW$250,203,0)</f>
        <v>0</v>
      </c>
      <c r="DH147" s="106">
        <f>+HLOOKUP($C147,PMGR!$EK$2:$EW$250,205,0)</f>
        <v>0</v>
      </c>
      <c r="DI147" s="106">
        <f>+HLOOKUP($C147,PMGR!$EK$2:$EW$250,206,0)</f>
        <v>0</v>
      </c>
      <c r="DJ147" s="106">
        <f>+HLOOKUP($C147,PMGR!$EK$2:$EW$250,207,0)</f>
        <v>0</v>
      </c>
      <c r="DK147" s="106">
        <f>+HLOOKUP($C147,PMGR!$EK$2:$EW$250,209,0)</f>
        <v>0</v>
      </c>
      <c r="DL147" s="106">
        <f>+HLOOKUP($C147,PMGR!$EK$2:$EW$250,210,0)</f>
        <v>0</v>
      </c>
      <c r="DM147" s="106">
        <f>+HLOOKUP($C147,PMGR!$EK$2:$EW$250,211,0)</f>
        <v>0</v>
      </c>
      <c r="DN147" s="106">
        <f>+HLOOKUP($C147,PMGR!$EK$2:$EW$250,212,0)</f>
        <v>0</v>
      </c>
      <c r="DO147" s="106">
        <f>+HLOOKUP($C147,PMGR!$EK$2:$EW$250,214,0)</f>
        <v>0</v>
      </c>
      <c r="DP147" s="106">
        <f>+HLOOKUP($C147,PMGR!$EK$2:$EW$250,215,0)</f>
        <v>0</v>
      </c>
      <c r="DQ147" s="106">
        <f>+HLOOKUP($C147,PMGR!$EK$2:$EW$250,219,0)</f>
        <v>0</v>
      </c>
      <c r="DR147" s="106">
        <f>+HLOOKUP($C147,PMGR!$EK$2:$EW$250,220,0)</f>
        <v>0</v>
      </c>
      <c r="DS147" s="106">
        <f>+HLOOKUP($C147,PMGR!$EK$2:$EW$250,221,0)</f>
        <v>0</v>
      </c>
      <c r="DT147" s="106">
        <f>+HLOOKUP($C147,PMGR!$EK$2:$EW$250,223,0)</f>
        <v>0</v>
      </c>
      <c r="DU147" s="106">
        <f>+HLOOKUP($C147,PMGR!$EK$2:$EW$250,224,0)</f>
        <v>0</v>
      </c>
      <c r="DV147" s="106">
        <f>+HLOOKUP($C147,PMGR!$EK$2:$EW$250,225,0)</f>
        <v>0</v>
      </c>
      <c r="DW147" s="106">
        <f>+HLOOKUP($C147,PMGR!$EK$2:$EW$250,227,0)</f>
        <v>0</v>
      </c>
      <c r="DX147" s="106">
        <f>+HLOOKUP($C147,PMGR!$EK$2:$EW$250,228,0)</f>
        <v>0</v>
      </c>
      <c r="DY147" s="106">
        <f>+HLOOKUP($C147,PMGR!$EK$2:$EW$250,236,0)</f>
        <v>0</v>
      </c>
      <c r="DZ147" s="106">
        <f>+HLOOKUP($C147,PMGR!$EK$2:$EW$250,237,0)</f>
        <v>0</v>
      </c>
      <c r="EA147" s="106">
        <f>+HLOOKUP($C147,PMGR!$EK$2:$EW$250,238,0)</f>
        <v>0</v>
      </c>
      <c r="EB147" s="106">
        <f>+HLOOKUP($C147,PMGR!$EK$2:$EW$250,240,0)</f>
        <v>0</v>
      </c>
    </row>
    <row r="148" spans="1:132" hidden="1">
      <c r="A148" t="s">
        <v>272</v>
      </c>
      <c r="B148" t="s">
        <v>217</v>
      </c>
      <c r="C148" s="117">
        <v>45931</v>
      </c>
      <c r="D148" s="106">
        <f t="shared" si="0"/>
        <v>4563739.4358386043</v>
      </c>
      <c r="E148" s="106">
        <f>+HLOOKUP(C148,PMGR!$EK$2:$EW$250,28,0)+HLOOKUP(C148,PMGR!$EK$2:$EW$250,43,0)+HLOOKUP(C148,PMGR!$EK$2:$EW$250,44,0)+HLOOKUP(C148,PMGR!$EK$2:$EW$250,45,0)+HLOOKUP(C148,PMGR!$EK$2:$EW$250,54,0)+HLOOKUP(C148,PMGR!$EK$2:$EW$250,59,0)</f>
        <v>4563739.4358386043</v>
      </c>
      <c r="F148" s="106">
        <f>+HLOOKUP(C148,PMGR!$EK$2:$EW$250,37,0)+HLOOKUP(C148,PMGR!$EK$2:$EW$250,55,0)</f>
        <v>3124625.72</v>
      </c>
      <c r="G148" s="106">
        <f>+HLOOKUP($C148,PMGR!$EK$2:$EW$250,76,0)</f>
        <v>0</v>
      </c>
      <c r="H148" s="106">
        <f>+HLOOKUP($C148,PMGR!$EK$2:$EW$250,77,0)</f>
        <v>0</v>
      </c>
      <c r="I148" s="106">
        <f>+HLOOKUP($C148,PMGR!$EK$2:$EW$250,78,0)</f>
        <v>0</v>
      </c>
      <c r="J148" s="106">
        <f>+HLOOKUP($C148,PMGR!$EK$2:$EW$250,79,0)</f>
        <v>0</v>
      </c>
      <c r="K148" s="106">
        <f>+HLOOKUP($C148,PMGR!$EK$2:$EW$250,80,0)</f>
        <v>0</v>
      </c>
      <c r="L148" s="106">
        <f>+HLOOKUP($C148,PMGR!$EK$2:$EW$250,81,0)</f>
        <v>0</v>
      </c>
      <c r="M148" s="106">
        <f>+HLOOKUP($C148,PMGR!$EK$2:$EW$250,82,0)</f>
        <v>0</v>
      </c>
      <c r="N148" s="106">
        <f>+HLOOKUP($C148,PMGR!$EK$2:$EW$250,83,0)</f>
        <v>0</v>
      </c>
      <c r="O148" s="106">
        <f>+HLOOKUP($C148,PMGR!$EK$2:$EW$250,84,0)</f>
        <v>0</v>
      </c>
      <c r="P148" s="106">
        <f>+HLOOKUP($C148,PMGR!$EK$2:$EW$250,85,0)</f>
        <v>0</v>
      </c>
      <c r="Q148" s="106">
        <f>+HLOOKUP($C148,PMGR!$EK$2:$EW$250,87,0)</f>
        <v>49873</v>
      </c>
      <c r="R148" s="106">
        <f>+HLOOKUP($C148,PMGR!$EK$2:$EW$250,90,0)</f>
        <v>0</v>
      </c>
      <c r="S148" s="106">
        <f>+HLOOKUP($C148,PMGR!$EK$2:$EW$250,91,0)</f>
        <v>44630.04</v>
      </c>
      <c r="T148" s="106">
        <f>+HLOOKUP($C148,PMGR!$EK$2:$EW$250,92,0)</f>
        <v>0</v>
      </c>
      <c r="U148" s="106">
        <f>+HLOOKUP($C148,PMGR!$EK$2:$EW$250,93,0)</f>
        <v>0</v>
      </c>
      <c r="V148" s="106">
        <f>+HLOOKUP($C148,PMGR!$EK$2:$EW$250,94,0)</f>
        <v>0</v>
      </c>
      <c r="W148" s="106">
        <f>+HLOOKUP($C148,PMGR!$EK$2:$EW$250,95,0)</f>
        <v>0</v>
      </c>
      <c r="X148" s="106">
        <f>+HLOOKUP($C148,PMGR!$EK$2:$EW$250,96,0)</f>
        <v>0</v>
      </c>
      <c r="Y148" s="106">
        <f>+HLOOKUP($C148,PMGR!$EK$2:$EW$250,97,0)</f>
        <v>0</v>
      </c>
      <c r="Z148" s="106">
        <f>+HLOOKUP($C148,PMGR!$EK$2:$EW$250,98,0)</f>
        <v>0</v>
      </c>
      <c r="AA148" s="106">
        <f>+HLOOKUP($C148,PMGR!$EK$2:$EW$250,99,0)</f>
        <v>0</v>
      </c>
      <c r="AB148" s="106">
        <f>+HLOOKUP($C148,PMGR!$EK$2:$EW$250,100,0)</f>
        <v>0</v>
      </c>
      <c r="AC148" s="106">
        <f>+HLOOKUP($C148,PMGR!$EK$2:$EW$250,101,0)</f>
        <v>0</v>
      </c>
      <c r="AD148" s="106">
        <f>+HLOOKUP($C148,PMGR!$EK$2:$EW$250,104,0)</f>
        <v>0</v>
      </c>
      <c r="AE148" s="106">
        <f>+HLOOKUP($C148,PMGR!$EK$2:$EW$250,105,0)</f>
        <v>0</v>
      </c>
      <c r="AF148" s="106">
        <f>+HLOOKUP($C148,PMGR!$EK$2:$EW$250,106,0)</f>
        <v>0</v>
      </c>
      <c r="AG148" s="106">
        <f>+HLOOKUP($C148,PMGR!$EK$2:$EW$250,107,0)</f>
        <v>0</v>
      </c>
      <c r="AH148" s="106">
        <f>+HLOOKUP($C148,PMGR!$EK$2:$EW$250,108,0)</f>
        <v>0</v>
      </c>
      <c r="AI148" s="106">
        <f>+HLOOKUP($C148,PMGR!$EK$2:$EW$250,109,0)</f>
        <v>0</v>
      </c>
      <c r="AJ148" s="106">
        <f>+HLOOKUP($C148,PMGR!$EK$2:$EW$250,110,0)</f>
        <v>0</v>
      </c>
      <c r="AK148" s="106">
        <f>+HLOOKUP($C148,PMGR!$EK$2:$EW$250,111,0)</f>
        <v>4481.54</v>
      </c>
      <c r="AL148" s="106">
        <f>+HLOOKUP($C148,PMGR!$EK$2:$EW$250,112,0)</f>
        <v>0</v>
      </c>
      <c r="AM148" s="106">
        <f>+HLOOKUP($C148,PMGR!$EK$2:$EW$250,116,0)</f>
        <v>174165</v>
      </c>
      <c r="AN148" s="106">
        <f>+HLOOKUP($C148,PMGR!$EK$2:$EW$250,117,0)</f>
        <v>25031</v>
      </c>
      <c r="AO148" s="106">
        <f>+HLOOKUP($C148,PMGR!$EK$2:$EW$250,118,0)</f>
        <v>0</v>
      </c>
      <c r="AP148" s="106">
        <f>+HLOOKUP($C148,PMGR!$EK$2:$EW$250,119,0)</f>
        <v>68405</v>
      </c>
      <c r="AQ148" s="106">
        <f>+HLOOKUP($C148,PMGR!$EK$2:$EW$250,120,0)</f>
        <v>15205</v>
      </c>
      <c r="AR148" s="106">
        <f>+HLOOKUP($C148,PMGR!$EK$2:$EW$250,121,0)</f>
        <v>2172</v>
      </c>
      <c r="AS148" s="106">
        <f>+HLOOKUP($C148,PMGR!$EK$2:$EW$250,122,0)</f>
        <v>61414</v>
      </c>
      <c r="AT148" s="106">
        <f>+HLOOKUP($C148,PMGR!$EK$2:$EW$250,123,0)</f>
        <v>18806.666666666668</v>
      </c>
      <c r="AU148" s="106">
        <f>+HLOOKUP($C148,PMGR!$EK$2:$EW$250,124,0)</f>
        <v>807.5</v>
      </c>
      <c r="AV148" s="106">
        <f>+HLOOKUP($C148,PMGR!$EK$2:$EW$250,125,0)</f>
        <v>0</v>
      </c>
      <c r="AW148" s="106">
        <f>+HLOOKUP($C148,PMGR!$EK$2:$EW$250,126,0)</f>
        <v>7644.2307692307695</v>
      </c>
      <c r="AX148" s="106">
        <f>+HLOOKUP($C148,PMGR!$EK$2:$EW$250,127,0)</f>
        <v>10916.666666666664</v>
      </c>
      <c r="AY148" s="106">
        <f>+HLOOKUP($C148,PMGR!$EK$2:$EW$250,129,0)</f>
        <v>3885</v>
      </c>
      <c r="AZ148" s="106">
        <f>+HLOOKUP($C148,PMGR!$EK$2:$EW$250,130,0)</f>
        <v>0</v>
      </c>
      <c r="BA148" s="106">
        <f>+HLOOKUP($C148,PMGR!$EK$2:$EW$250,131,0)</f>
        <v>0</v>
      </c>
      <c r="BB148" s="106">
        <f>+HLOOKUP($C148,PMGR!$EK$2:$EW$250,133,0)</f>
        <v>0</v>
      </c>
      <c r="BC148" s="106">
        <f>+HLOOKUP($C148,PMGR!$EK$2:$EW$250,134,0)</f>
        <v>20682.580000000002</v>
      </c>
      <c r="BD148" s="106">
        <f>+HLOOKUP($C148,PMGR!$EK$2:$EW$250,135,0)</f>
        <v>0</v>
      </c>
      <c r="BE148" s="106">
        <f>+HLOOKUP($C148,PMGR!$EK$2:$EW$250,136,0)</f>
        <v>0</v>
      </c>
      <c r="BF148" s="106">
        <f>+HLOOKUP($C148,PMGR!$EK$2:$EW$250,138,0)</f>
        <v>0</v>
      </c>
      <c r="BG148" s="106">
        <f>+HLOOKUP($C148,PMGR!$EK$2:$EW$250,139,0)</f>
        <v>13922</v>
      </c>
      <c r="BH148" s="106">
        <f>+HLOOKUP($C148,PMGR!$EK$2:$EW$250,140,0)</f>
        <v>30000</v>
      </c>
      <c r="BI148" s="106">
        <f>+HLOOKUP($C148,PMGR!$EK$2:$EW$250,141,0)</f>
        <v>0</v>
      </c>
      <c r="BJ148" s="106">
        <f>+HLOOKUP($C148,PMGR!$EK$2:$EW$250,142,0)</f>
        <v>0</v>
      </c>
      <c r="BK148" s="106">
        <f>+HLOOKUP($C148,PMGR!$EK$2:$EW$250,143,0)</f>
        <v>0</v>
      </c>
      <c r="BL148" s="106">
        <f>+HLOOKUP($C148,PMGR!$EK$2:$EW$250,144,0)</f>
        <v>5000</v>
      </c>
      <c r="BM148" s="106">
        <f>+HLOOKUP($C148,PMGR!$EK$2:$EW$250,146,0)</f>
        <v>0</v>
      </c>
      <c r="BN148" s="106">
        <f>+HLOOKUP($C148,PMGR!$EK$2:$EW$250,147,0)</f>
        <v>25293</v>
      </c>
      <c r="BO148" s="106">
        <f>+HLOOKUP($C148,PMGR!$EK$2:$EW$250,148,0)</f>
        <v>0</v>
      </c>
      <c r="BP148" s="106">
        <f>+HLOOKUP($C148,PMGR!$EK$2:$EW$250,150,0)</f>
        <v>83133</v>
      </c>
      <c r="BQ148" s="106">
        <f>+HLOOKUP($C148,PMGR!$EK$2:$EW$250,151,0)</f>
        <v>4961</v>
      </c>
      <c r="BR148" s="106">
        <f>+HLOOKUP($C148,PMGR!$EK$2:$EW$250,152,0)</f>
        <v>32000</v>
      </c>
      <c r="BS148" s="106">
        <f>+HLOOKUP($C148,PMGR!$EK$2:$EW$250,153,0)</f>
        <v>5000</v>
      </c>
      <c r="BT148" s="106">
        <f>+HLOOKUP($C148,PMGR!$EK$2:$EW$250,157,0)</f>
        <v>0</v>
      </c>
      <c r="BU148" s="106">
        <f>+HLOOKUP($C148,PMGR!$EK$2:$EW$250,158,0)</f>
        <v>0</v>
      </c>
      <c r="BV148" s="106">
        <f>+HLOOKUP($C148,PMGR!$EK$2:$EW$250,159,0)</f>
        <v>0</v>
      </c>
      <c r="BW148" s="106">
        <f>+HLOOKUP($C148,PMGR!$EK$2:$EW$250,160,0)</f>
        <v>16126.7</v>
      </c>
      <c r="BX148" s="106">
        <f>+HLOOKUP($C148,PMGR!$EK$2:$EW$250,161,0)</f>
        <v>1700</v>
      </c>
      <c r="BY148" s="106">
        <f>+HLOOKUP($C148,PMGR!$EK$2:$EW$250,164,0)</f>
        <v>0</v>
      </c>
      <c r="BZ148" s="106">
        <f>+HLOOKUP($C148,PMGR!$EK$2:$EW$250,165,0)</f>
        <v>2000</v>
      </c>
      <c r="CA148" s="106">
        <f>+HLOOKUP($C148,PMGR!$EK$2:$EW$250,166,0)</f>
        <v>0</v>
      </c>
      <c r="CB148" s="106">
        <f>+HLOOKUP($C148,PMGR!$EK$2:$EW$250,167,0)</f>
        <v>0</v>
      </c>
      <c r="CC148" s="106">
        <f>+HLOOKUP($C148,PMGR!$EK$2:$EW$250,168,0)</f>
        <v>0</v>
      </c>
      <c r="CD148" s="106">
        <f>+HLOOKUP($C148,PMGR!$EK$2:$EW$250,169,0)</f>
        <v>0</v>
      </c>
      <c r="CE148" s="106">
        <f>+HLOOKUP($C148,PMGR!$EK$2:$EW$250,170,0)</f>
        <v>0</v>
      </c>
      <c r="CF148" s="106">
        <f>+HLOOKUP($C148,PMGR!$EK$2:$EW$250,172,0)</f>
        <v>0</v>
      </c>
      <c r="CG148" s="106">
        <f>+HLOOKUP($C148,PMGR!$EK$2:$EW$250,173,0)</f>
        <v>0</v>
      </c>
      <c r="CH148" s="106">
        <f>+HLOOKUP($C148,PMGR!$EK$2:$EW$250,174,0)</f>
        <v>50000</v>
      </c>
      <c r="CI148" s="106">
        <f>+HLOOKUP($C148,PMGR!$EK$2:$EW$250,175,0)</f>
        <v>5000</v>
      </c>
      <c r="CJ148" s="106">
        <f>+HLOOKUP($C148,PMGR!$EK$2:$EW$250,176,0)</f>
        <v>0</v>
      </c>
      <c r="CK148" s="106">
        <f>+HLOOKUP($C148,PMGR!$EK$2:$EW$250,178,0)</f>
        <v>19969.8</v>
      </c>
      <c r="CL148" s="106">
        <f>+HLOOKUP($C148,PMGR!$EK$2:$EW$250,179,0)</f>
        <v>217650</v>
      </c>
      <c r="CM148" s="106">
        <f>+HLOOKUP($C148,PMGR!$EK$2:$EW$250,180,0)</f>
        <v>0</v>
      </c>
      <c r="CN148" s="106">
        <f>+HLOOKUP($C148,PMGR!$EK$2:$EW$250,182,0)</f>
        <v>0</v>
      </c>
      <c r="CO148" s="106">
        <f>+HLOOKUP($C148,PMGR!$EK$2:$EW$250,183,0)</f>
        <v>659</v>
      </c>
      <c r="CP148" s="106">
        <f>+HLOOKUP($C148,PMGR!$EK$2:$EW$250,184,0)</f>
        <v>0</v>
      </c>
      <c r="CQ148" s="106">
        <f>+HLOOKUP($C148,PMGR!$EK$2:$EW$250,185,0)</f>
        <v>0</v>
      </c>
      <c r="CR148" s="106">
        <f>+HLOOKUP($C148,PMGR!$EK$2:$EW$250,187,0)</f>
        <v>1874.9999999999995</v>
      </c>
      <c r="CS148" s="106">
        <f>+HLOOKUP($C148,PMGR!$EK$2:$EW$250,188,0)</f>
        <v>0</v>
      </c>
      <c r="CT148" s="106">
        <f>+HLOOKUP($C148,PMGR!$EK$2:$EW$250,189,0)</f>
        <v>0</v>
      </c>
      <c r="CU148" s="106">
        <f>+HLOOKUP($C148,PMGR!$EK$2:$EW$250,190,0)</f>
        <v>0</v>
      </c>
      <c r="CV148" s="106">
        <f>+HLOOKUP($C148,PMGR!$EK$2:$EW$250,191,0)</f>
        <v>0</v>
      </c>
      <c r="CW148" s="106">
        <f>+HLOOKUP($C148,PMGR!$EK$2:$EW$250,193,0)</f>
        <v>7042.8</v>
      </c>
      <c r="CX148" s="106">
        <f>+HLOOKUP($C148,PMGR!$EK$2:$EW$250,194,0)</f>
        <v>230</v>
      </c>
      <c r="CY148" s="106">
        <f>+HLOOKUP($C148,PMGR!$EK$2:$EW$250,195,0)</f>
        <v>2167</v>
      </c>
      <c r="CZ148" s="106">
        <f>+HLOOKUP($C148,PMGR!$EK$2:$EW$250,196,0)</f>
        <v>0</v>
      </c>
      <c r="DA148" s="106">
        <f>+HLOOKUP($C148,PMGR!$EK$2:$EW$250,197,0)</f>
        <v>35796.199999999997</v>
      </c>
      <c r="DB148" s="106">
        <f>+HLOOKUP($C148,PMGR!$EK$2:$EW$250,198,0)</f>
        <v>9991.27</v>
      </c>
      <c r="DC148" s="106">
        <f>+HLOOKUP($C148,PMGR!$EK$2:$EW$250,199,0)</f>
        <v>0</v>
      </c>
      <c r="DD148" s="106">
        <f>+HLOOKUP($C148,PMGR!$EK$2:$EW$250,200,0)</f>
        <v>1200</v>
      </c>
      <c r="DE148" s="106">
        <f>+HLOOKUP($C148,PMGR!$EK$2:$EW$250,201,0)</f>
        <v>0</v>
      </c>
      <c r="DF148" s="106">
        <f>+HLOOKUP($C148,PMGR!$EK$2:$EW$250,202,0)</f>
        <v>0</v>
      </c>
      <c r="DG148" s="106">
        <f>+HLOOKUP($C148,PMGR!$EK$2:$EW$250,203,0)</f>
        <v>0</v>
      </c>
      <c r="DH148" s="106">
        <f>+HLOOKUP($C148,PMGR!$EK$2:$EW$250,205,0)</f>
        <v>0</v>
      </c>
      <c r="DI148" s="106">
        <f>+HLOOKUP($C148,PMGR!$EK$2:$EW$250,206,0)</f>
        <v>8954.4</v>
      </c>
      <c r="DJ148" s="106">
        <f>+HLOOKUP($C148,PMGR!$EK$2:$EW$250,207,0)</f>
        <v>3383</v>
      </c>
      <c r="DK148" s="106">
        <f>+HLOOKUP($C148,PMGR!$EK$2:$EW$250,209,0)</f>
        <v>0</v>
      </c>
      <c r="DL148" s="106">
        <f>+HLOOKUP($C148,PMGR!$EK$2:$EW$250,210,0)</f>
        <v>267000</v>
      </c>
      <c r="DM148" s="106">
        <f>+HLOOKUP($C148,PMGR!$EK$2:$EW$250,211,0)</f>
        <v>0</v>
      </c>
      <c r="DN148" s="106">
        <f>+HLOOKUP($C148,PMGR!$EK$2:$EW$250,212,0)</f>
        <v>0</v>
      </c>
      <c r="DO148" s="106">
        <f>+HLOOKUP($C148,PMGR!$EK$2:$EW$250,214,0)</f>
        <v>0</v>
      </c>
      <c r="DP148" s="106">
        <f>+HLOOKUP($C148,PMGR!$EK$2:$EW$250,215,0)</f>
        <v>100</v>
      </c>
      <c r="DQ148" s="106">
        <f>+HLOOKUP($C148,PMGR!$EK$2:$EW$250,219,0)</f>
        <v>0</v>
      </c>
      <c r="DR148" s="106">
        <f>+HLOOKUP($C148,PMGR!$EK$2:$EW$250,220,0)</f>
        <v>0</v>
      </c>
      <c r="DS148" s="106">
        <f>+HLOOKUP($C148,PMGR!$EK$2:$EW$250,221,0)</f>
        <v>0</v>
      </c>
      <c r="DT148" s="106">
        <f>+HLOOKUP($C148,PMGR!$EK$2:$EW$250,223,0)</f>
        <v>8154.2735999999995</v>
      </c>
      <c r="DU148" s="106">
        <f>+HLOOKUP($C148,PMGR!$EK$2:$EW$250,224,0)</f>
        <v>0</v>
      </c>
      <c r="DV148" s="106">
        <f>+HLOOKUP($C148,PMGR!$EK$2:$EW$250,225,0)</f>
        <v>0</v>
      </c>
      <c r="DW148" s="106">
        <f>+HLOOKUP($C148,PMGR!$EK$2:$EW$250,227,0)</f>
        <v>0</v>
      </c>
      <c r="DX148" s="106">
        <f>+HLOOKUP($C148,PMGR!$EK$2:$EW$250,228,0)</f>
        <v>705.42</v>
      </c>
      <c r="DY148" s="106">
        <f>+HLOOKUP($C148,PMGR!$EK$2:$EW$250,236,0)</f>
        <v>0</v>
      </c>
      <c r="DZ148" s="106">
        <f>+HLOOKUP($C148,PMGR!$EK$2:$EW$250,237,0)</f>
        <v>0</v>
      </c>
      <c r="EA148" s="106">
        <f>+HLOOKUP($C148,PMGR!$EK$2:$EW$250,238,0)</f>
        <v>0</v>
      </c>
      <c r="EB148" s="106">
        <f>+HLOOKUP($C148,PMGR!$EK$2:$EW$250,240,0)</f>
        <v>702927.25199999998</v>
      </c>
    </row>
    <row r="149" spans="1:132" hidden="1">
      <c r="A149" t="s">
        <v>272</v>
      </c>
      <c r="B149" t="s">
        <v>217</v>
      </c>
      <c r="C149" s="117">
        <v>45901</v>
      </c>
      <c r="D149" s="106">
        <f t="shared" si="0"/>
        <v>4566088.2276707161</v>
      </c>
      <c r="E149" s="106">
        <f>+HLOOKUP(C149,PMGR!$EK$2:$EW$250,28,0)+HLOOKUP(C149,PMGR!$EK$2:$EW$250,43,0)+HLOOKUP(C149,PMGR!$EK$2:$EW$250,44,0)+HLOOKUP(C149,PMGR!$EK$2:$EW$250,45,0)+HLOOKUP(C149,PMGR!$EK$2:$EW$250,54,0)+HLOOKUP(C149,PMGR!$EK$2:$EW$250,59,0)</f>
        <v>4566088.2276707161</v>
      </c>
      <c r="F149" s="106">
        <f>+HLOOKUP(C149,PMGR!$EK$2:$EW$250,37,0)+HLOOKUP(C149,PMGR!$EK$2:$EW$250,55,0)</f>
        <v>2193087.88</v>
      </c>
      <c r="G149" s="106">
        <f>+HLOOKUP($C149,PMGR!$EK$2:$EW$250,76,0)</f>
        <v>0</v>
      </c>
      <c r="H149" s="106">
        <f>+HLOOKUP($C149,PMGR!$EK$2:$EW$250,77,0)</f>
        <v>0</v>
      </c>
      <c r="I149" s="106">
        <f>+HLOOKUP($C149,PMGR!$EK$2:$EW$250,78,0)</f>
        <v>0</v>
      </c>
      <c r="J149" s="106">
        <f>+HLOOKUP($C149,PMGR!$EK$2:$EW$250,79,0)</f>
        <v>0</v>
      </c>
      <c r="K149" s="106">
        <f>+HLOOKUP($C149,PMGR!$EK$2:$EW$250,80,0)</f>
        <v>0</v>
      </c>
      <c r="L149" s="106">
        <f>+HLOOKUP($C149,PMGR!$EK$2:$EW$250,81,0)</f>
        <v>0</v>
      </c>
      <c r="M149" s="106">
        <f>+HLOOKUP($C149,PMGR!$EK$2:$EW$250,82,0)</f>
        <v>0</v>
      </c>
      <c r="N149" s="106">
        <f>+HLOOKUP($C149,PMGR!$EK$2:$EW$250,83,0)</f>
        <v>0</v>
      </c>
      <c r="O149" s="106">
        <f>+HLOOKUP($C149,PMGR!$EK$2:$EW$250,84,0)</f>
        <v>0</v>
      </c>
      <c r="P149" s="106">
        <f>+HLOOKUP($C149,PMGR!$EK$2:$EW$250,85,0)</f>
        <v>0</v>
      </c>
      <c r="Q149" s="106">
        <f>+HLOOKUP($C149,PMGR!$EK$2:$EW$250,87,0)</f>
        <v>178084.68800000002</v>
      </c>
      <c r="R149" s="106">
        <f>+HLOOKUP($C149,PMGR!$EK$2:$EW$250,90,0)</f>
        <v>0</v>
      </c>
      <c r="S149" s="106">
        <f>+HLOOKUP($C149,PMGR!$EK$2:$EW$250,91,0)</f>
        <v>1752.2722222222224</v>
      </c>
      <c r="T149" s="106">
        <f>+HLOOKUP($C149,PMGR!$EK$2:$EW$250,92,0)</f>
        <v>0</v>
      </c>
      <c r="U149" s="106">
        <f>+HLOOKUP($C149,PMGR!$EK$2:$EW$250,93,0)</f>
        <v>0</v>
      </c>
      <c r="V149" s="106">
        <f>+HLOOKUP($C149,PMGR!$EK$2:$EW$250,94,0)</f>
        <v>0</v>
      </c>
      <c r="W149" s="106">
        <f>+HLOOKUP($C149,PMGR!$EK$2:$EW$250,95,0)</f>
        <v>0</v>
      </c>
      <c r="X149" s="106">
        <f>+HLOOKUP($C149,PMGR!$EK$2:$EW$250,96,0)</f>
        <v>0</v>
      </c>
      <c r="Y149" s="106">
        <f>+HLOOKUP($C149,PMGR!$EK$2:$EW$250,97,0)</f>
        <v>0</v>
      </c>
      <c r="Z149" s="106">
        <f>+HLOOKUP($C149,PMGR!$EK$2:$EW$250,98,0)</f>
        <v>0</v>
      </c>
      <c r="AA149" s="106">
        <f>+HLOOKUP($C149,PMGR!$EK$2:$EW$250,99,0)</f>
        <v>0</v>
      </c>
      <c r="AB149" s="106">
        <f>+HLOOKUP($C149,PMGR!$EK$2:$EW$250,100,0)</f>
        <v>0</v>
      </c>
      <c r="AC149" s="106">
        <f>+HLOOKUP($C149,PMGR!$EK$2:$EW$250,101,0)</f>
        <v>0</v>
      </c>
      <c r="AD149" s="106">
        <f>+HLOOKUP($C149,PMGR!$EK$2:$EW$250,104,0)</f>
        <v>0</v>
      </c>
      <c r="AE149" s="106">
        <f>+HLOOKUP($C149,PMGR!$EK$2:$EW$250,105,0)</f>
        <v>0</v>
      </c>
      <c r="AF149" s="106">
        <f>+HLOOKUP($C149,PMGR!$EK$2:$EW$250,106,0)</f>
        <v>0</v>
      </c>
      <c r="AG149" s="106">
        <f>+HLOOKUP($C149,PMGR!$EK$2:$EW$250,107,0)</f>
        <v>0</v>
      </c>
      <c r="AH149" s="106">
        <f>+HLOOKUP($C149,PMGR!$EK$2:$EW$250,108,0)</f>
        <v>0</v>
      </c>
      <c r="AI149" s="106">
        <f>+HLOOKUP($C149,PMGR!$EK$2:$EW$250,109,0)</f>
        <v>0</v>
      </c>
      <c r="AJ149" s="106">
        <f>+HLOOKUP($C149,PMGR!$EK$2:$EW$250,110,0)</f>
        <v>0</v>
      </c>
      <c r="AK149" s="106">
        <f>+HLOOKUP($C149,PMGR!$EK$2:$EW$250,111,0)</f>
        <v>52115</v>
      </c>
      <c r="AL149" s="106">
        <f>+HLOOKUP($C149,PMGR!$EK$2:$EW$250,112,0)</f>
        <v>0</v>
      </c>
      <c r="AM149" s="106">
        <f>+HLOOKUP($C149,PMGR!$EK$2:$EW$250,116,0)</f>
        <v>177707</v>
      </c>
      <c r="AN149" s="106">
        <f>+HLOOKUP($C149,PMGR!$EK$2:$EW$250,117,0)</f>
        <v>25559</v>
      </c>
      <c r="AO149" s="106">
        <f>+HLOOKUP($C149,PMGR!$EK$2:$EW$250,118,0)</f>
        <v>0</v>
      </c>
      <c r="AP149" s="106">
        <f>+HLOOKUP($C149,PMGR!$EK$2:$EW$250,119,0)</f>
        <v>69803</v>
      </c>
      <c r="AQ149" s="106">
        <f>+HLOOKUP($C149,PMGR!$EK$2:$EW$250,120,0)</f>
        <v>15334</v>
      </c>
      <c r="AR149" s="106">
        <f>+HLOOKUP($C149,PMGR!$EK$2:$EW$250,121,0)</f>
        <v>2417</v>
      </c>
      <c r="AS149" s="106">
        <f>+HLOOKUP($C149,PMGR!$EK$2:$EW$250,122,0)</f>
        <v>62526</v>
      </c>
      <c r="AT149" s="106">
        <f>+HLOOKUP($C149,PMGR!$EK$2:$EW$250,123,0)</f>
        <v>18806.666666666668</v>
      </c>
      <c r="AU149" s="106">
        <f>+HLOOKUP($C149,PMGR!$EK$2:$EW$250,124,0)</f>
        <v>807.5</v>
      </c>
      <c r="AV149" s="106">
        <f>+HLOOKUP($C149,PMGR!$EK$2:$EW$250,125,0)</f>
        <v>15120</v>
      </c>
      <c r="AW149" s="106">
        <f>+HLOOKUP($C149,PMGR!$EK$2:$EW$250,126,0)</f>
        <v>7644.2307692307695</v>
      </c>
      <c r="AX149" s="106">
        <f>+HLOOKUP($C149,PMGR!$EK$2:$EW$250,127,0)</f>
        <v>10916.666666666664</v>
      </c>
      <c r="AY149" s="106">
        <f>+HLOOKUP($C149,PMGR!$EK$2:$EW$250,129,0)</f>
        <v>0</v>
      </c>
      <c r="AZ149" s="106">
        <f>+HLOOKUP($C149,PMGR!$EK$2:$EW$250,130,0)</f>
        <v>0</v>
      </c>
      <c r="BA149" s="106">
        <f>+HLOOKUP($C149,PMGR!$EK$2:$EW$250,131,0)</f>
        <v>0</v>
      </c>
      <c r="BB149" s="106">
        <f>+HLOOKUP($C149,PMGR!$EK$2:$EW$250,133,0)</f>
        <v>0</v>
      </c>
      <c r="BC149" s="106">
        <f>+HLOOKUP($C149,PMGR!$EK$2:$EW$250,134,0)</f>
        <v>8556.14</v>
      </c>
      <c r="BD149" s="106">
        <f>+HLOOKUP($C149,PMGR!$EK$2:$EW$250,135,0)</f>
        <v>0</v>
      </c>
      <c r="BE149" s="106">
        <f>+HLOOKUP($C149,PMGR!$EK$2:$EW$250,136,0)</f>
        <v>0</v>
      </c>
      <c r="BF149" s="106">
        <f>+HLOOKUP($C149,PMGR!$EK$2:$EW$250,138,0)</f>
        <v>0</v>
      </c>
      <c r="BG149" s="106">
        <f>+HLOOKUP($C149,PMGR!$EK$2:$EW$250,139,0)</f>
        <v>11482</v>
      </c>
      <c r="BH149" s="106">
        <f>+HLOOKUP($C149,PMGR!$EK$2:$EW$250,140,0)</f>
        <v>30000</v>
      </c>
      <c r="BI149" s="106">
        <f>+HLOOKUP($C149,PMGR!$EK$2:$EW$250,141,0)</f>
        <v>0</v>
      </c>
      <c r="BJ149" s="106">
        <f>+HLOOKUP($C149,PMGR!$EK$2:$EW$250,142,0)</f>
        <v>0</v>
      </c>
      <c r="BK149" s="106">
        <f>+HLOOKUP($C149,PMGR!$EK$2:$EW$250,143,0)</f>
        <v>0</v>
      </c>
      <c r="BL149" s="106">
        <f>+HLOOKUP($C149,PMGR!$EK$2:$EW$250,144,0)</f>
        <v>16382.4</v>
      </c>
      <c r="BM149" s="106">
        <f>+HLOOKUP($C149,PMGR!$EK$2:$EW$250,146,0)</f>
        <v>0</v>
      </c>
      <c r="BN149" s="106">
        <f>+HLOOKUP($C149,PMGR!$EK$2:$EW$250,147,0)</f>
        <v>2791</v>
      </c>
      <c r="BO149" s="106">
        <f>+HLOOKUP($C149,PMGR!$EK$2:$EW$250,148,0)</f>
        <v>0</v>
      </c>
      <c r="BP149" s="106">
        <f>+HLOOKUP($C149,PMGR!$EK$2:$EW$250,150,0)</f>
        <v>47263.799999999996</v>
      </c>
      <c r="BQ149" s="106">
        <f>+HLOOKUP($C149,PMGR!$EK$2:$EW$250,151,0)</f>
        <v>2976.6</v>
      </c>
      <c r="BR149" s="106">
        <f>+HLOOKUP($C149,PMGR!$EK$2:$EW$250,152,0)</f>
        <v>19200</v>
      </c>
      <c r="BS149" s="106">
        <f>+HLOOKUP($C149,PMGR!$EK$2:$EW$250,153,0)</f>
        <v>3300</v>
      </c>
      <c r="BT149" s="106">
        <f>+HLOOKUP($C149,PMGR!$EK$2:$EW$250,157,0)</f>
        <v>299950</v>
      </c>
      <c r="BU149" s="106">
        <f>+HLOOKUP($C149,PMGR!$EK$2:$EW$250,158,0)</f>
        <v>0</v>
      </c>
      <c r="BV149" s="106">
        <f>+HLOOKUP($C149,PMGR!$EK$2:$EW$250,159,0)</f>
        <v>0</v>
      </c>
      <c r="BW149" s="106">
        <f>+HLOOKUP($C149,PMGR!$EK$2:$EW$250,160,0)</f>
        <v>0</v>
      </c>
      <c r="BX149" s="106">
        <f>+HLOOKUP($C149,PMGR!$EK$2:$EW$250,161,0)</f>
        <v>2300</v>
      </c>
      <c r="BY149" s="106">
        <f>+HLOOKUP($C149,PMGR!$EK$2:$EW$250,164,0)</f>
        <v>0</v>
      </c>
      <c r="BZ149" s="106">
        <f>+HLOOKUP($C149,PMGR!$EK$2:$EW$250,165,0)</f>
        <v>0</v>
      </c>
      <c r="CA149" s="106">
        <f>+HLOOKUP($C149,PMGR!$EK$2:$EW$250,166,0)</f>
        <v>0</v>
      </c>
      <c r="CB149" s="106">
        <f>+HLOOKUP($C149,PMGR!$EK$2:$EW$250,167,0)</f>
        <v>0</v>
      </c>
      <c r="CC149" s="106">
        <f>+HLOOKUP($C149,PMGR!$EK$2:$EW$250,168,0)</f>
        <v>0</v>
      </c>
      <c r="CD149" s="106">
        <f>+HLOOKUP($C149,PMGR!$EK$2:$EW$250,169,0)</f>
        <v>0</v>
      </c>
      <c r="CE149" s="106">
        <f>+HLOOKUP($C149,PMGR!$EK$2:$EW$250,170,0)</f>
        <v>0</v>
      </c>
      <c r="CF149" s="106">
        <f>+HLOOKUP($C149,PMGR!$EK$2:$EW$250,172,0)</f>
        <v>0</v>
      </c>
      <c r="CG149" s="106">
        <f>+HLOOKUP($C149,PMGR!$EK$2:$EW$250,173,0)</f>
        <v>0</v>
      </c>
      <c r="CH149" s="106">
        <f>+HLOOKUP($C149,PMGR!$EK$2:$EW$250,174,0)</f>
        <v>50000</v>
      </c>
      <c r="CI149" s="106">
        <f>+HLOOKUP($C149,PMGR!$EK$2:$EW$250,175,0)</f>
        <v>5000</v>
      </c>
      <c r="CJ149" s="106">
        <f>+HLOOKUP($C149,PMGR!$EK$2:$EW$250,176,0)</f>
        <v>0</v>
      </c>
      <c r="CK149" s="106">
        <f>+HLOOKUP($C149,PMGR!$EK$2:$EW$250,178,0)</f>
        <v>27248.399999999998</v>
      </c>
      <c r="CL149" s="106">
        <f>+HLOOKUP($C149,PMGR!$EK$2:$EW$250,179,0)</f>
        <v>206001.6</v>
      </c>
      <c r="CM149" s="106">
        <f>+HLOOKUP($C149,PMGR!$EK$2:$EW$250,180,0)</f>
        <v>0</v>
      </c>
      <c r="CN149" s="106">
        <f>+HLOOKUP($C149,PMGR!$EK$2:$EW$250,182,0)</f>
        <v>0</v>
      </c>
      <c r="CO149" s="106">
        <f>+HLOOKUP($C149,PMGR!$EK$2:$EW$250,183,0)</f>
        <v>659</v>
      </c>
      <c r="CP149" s="106">
        <f>+HLOOKUP($C149,PMGR!$EK$2:$EW$250,184,0)</f>
        <v>0</v>
      </c>
      <c r="CQ149" s="106">
        <f>+HLOOKUP($C149,PMGR!$EK$2:$EW$250,185,0)</f>
        <v>0</v>
      </c>
      <c r="CR149" s="106">
        <f>+HLOOKUP($C149,PMGR!$EK$2:$EW$250,187,0)</f>
        <v>1874.9999999999995</v>
      </c>
      <c r="CS149" s="106">
        <f>+HLOOKUP($C149,PMGR!$EK$2:$EW$250,188,0)</f>
        <v>0</v>
      </c>
      <c r="CT149" s="106">
        <f>+HLOOKUP($C149,PMGR!$EK$2:$EW$250,189,0)</f>
        <v>0</v>
      </c>
      <c r="CU149" s="106">
        <f>+HLOOKUP($C149,PMGR!$EK$2:$EW$250,190,0)</f>
        <v>0</v>
      </c>
      <c r="CV149" s="106">
        <f>+HLOOKUP($C149,PMGR!$EK$2:$EW$250,191,0)</f>
        <v>0</v>
      </c>
      <c r="CW149" s="106">
        <f>+HLOOKUP($C149,PMGR!$EK$2:$EW$250,193,0)</f>
        <v>7042.8</v>
      </c>
      <c r="CX149" s="106">
        <f>+HLOOKUP($C149,PMGR!$EK$2:$EW$250,194,0)</f>
        <v>230</v>
      </c>
      <c r="CY149" s="106">
        <f>+HLOOKUP($C149,PMGR!$EK$2:$EW$250,195,0)</f>
        <v>1300.2</v>
      </c>
      <c r="CZ149" s="106">
        <f>+HLOOKUP($C149,PMGR!$EK$2:$EW$250,196,0)</f>
        <v>0</v>
      </c>
      <c r="DA149" s="106">
        <f>+HLOOKUP($C149,PMGR!$EK$2:$EW$250,197,0)</f>
        <v>28408.52</v>
      </c>
      <c r="DB149" s="106">
        <f>+HLOOKUP($C149,PMGR!$EK$2:$EW$250,198,0)</f>
        <v>9557.58</v>
      </c>
      <c r="DC149" s="106">
        <f>+HLOOKUP($C149,PMGR!$EK$2:$EW$250,199,0)</f>
        <v>1950</v>
      </c>
      <c r="DD149" s="106">
        <f>+HLOOKUP($C149,PMGR!$EK$2:$EW$250,200,0)</f>
        <v>4180</v>
      </c>
      <c r="DE149" s="106">
        <f>+HLOOKUP($C149,PMGR!$EK$2:$EW$250,201,0)</f>
        <v>0</v>
      </c>
      <c r="DF149" s="106">
        <f>+HLOOKUP($C149,PMGR!$EK$2:$EW$250,202,0)</f>
        <v>1.29</v>
      </c>
      <c r="DG149" s="106">
        <f>+HLOOKUP($C149,PMGR!$EK$2:$EW$250,203,0)</f>
        <v>0</v>
      </c>
      <c r="DH149" s="106">
        <f>+HLOOKUP($C149,PMGR!$EK$2:$EW$250,205,0)</f>
        <v>0</v>
      </c>
      <c r="DI149" s="106">
        <f>+HLOOKUP($C149,PMGR!$EK$2:$EW$250,206,0)</f>
        <v>7415</v>
      </c>
      <c r="DJ149" s="106">
        <f>+HLOOKUP($C149,PMGR!$EK$2:$EW$250,207,0)</f>
        <v>3383</v>
      </c>
      <c r="DK149" s="106">
        <f>+HLOOKUP($C149,PMGR!$EK$2:$EW$250,209,0)</f>
        <v>0</v>
      </c>
      <c r="DL149" s="106">
        <f>+HLOOKUP($C149,PMGR!$EK$2:$EW$250,210,0)</f>
        <v>267000</v>
      </c>
      <c r="DM149" s="106">
        <f>+HLOOKUP($C149,PMGR!$EK$2:$EW$250,211,0)</f>
        <v>0</v>
      </c>
      <c r="DN149" s="106">
        <f>+HLOOKUP($C149,PMGR!$EK$2:$EW$250,212,0)</f>
        <v>0</v>
      </c>
      <c r="DO149" s="106">
        <f>+HLOOKUP($C149,PMGR!$EK$2:$EW$250,214,0)</f>
        <v>0</v>
      </c>
      <c r="DP149" s="106">
        <f>+HLOOKUP($C149,PMGR!$EK$2:$EW$250,215,0)</f>
        <v>500</v>
      </c>
      <c r="DQ149" s="106">
        <f>+HLOOKUP($C149,PMGR!$EK$2:$EW$250,219,0)</f>
        <v>0</v>
      </c>
      <c r="DR149" s="106">
        <f>+HLOOKUP($C149,PMGR!$EK$2:$EW$250,220,0)</f>
        <v>0</v>
      </c>
      <c r="DS149" s="106">
        <f>+HLOOKUP($C149,PMGR!$EK$2:$EW$250,221,0)</f>
        <v>0</v>
      </c>
      <c r="DT149" s="106">
        <f>+HLOOKUP($C149,PMGR!$EK$2:$EW$250,223,0)</f>
        <v>0</v>
      </c>
      <c r="DU149" s="106">
        <f>+HLOOKUP($C149,PMGR!$EK$2:$EW$250,224,0)</f>
        <v>0</v>
      </c>
      <c r="DV149" s="106">
        <f>+HLOOKUP($C149,PMGR!$EK$2:$EW$250,225,0)</f>
        <v>0</v>
      </c>
      <c r="DW149" s="106">
        <f>+HLOOKUP($C149,PMGR!$EK$2:$EW$250,227,0)</f>
        <v>0</v>
      </c>
      <c r="DX149" s="106">
        <f>+HLOOKUP($C149,PMGR!$EK$2:$EW$250,228,0)</f>
        <v>0</v>
      </c>
      <c r="DY149" s="106">
        <f>+HLOOKUP($C149,PMGR!$EK$2:$EW$250,236,0)</f>
        <v>0</v>
      </c>
      <c r="DZ149" s="106">
        <f>+HLOOKUP($C149,PMGR!$EK$2:$EW$250,237,0)</f>
        <v>0</v>
      </c>
      <c r="EA149" s="106">
        <f>+HLOOKUP($C149,PMGR!$EK$2:$EW$250,238,0)</f>
        <v>0</v>
      </c>
      <c r="EB149" s="106">
        <f>+HLOOKUP($C149,PMGR!$EK$2:$EW$250,240,0)</f>
        <v>702927.25199999998</v>
      </c>
    </row>
    <row r="150" spans="1:132" hidden="1">
      <c r="A150" t="s">
        <v>272</v>
      </c>
      <c r="B150" t="s">
        <v>217</v>
      </c>
      <c r="C150" s="117">
        <v>45870</v>
      </c>
      <c r="D150" s="106">
        <f t="shared" si="0"/>
        <v>3863876.8289996595</v>
      </c>
      <c r="E150" s="106">
        <f>+HLOOKUP(C150,PMGR!$EK$2:$EW$250,28,0)+HLOOKUP(C150,PMGR!$EK$2:$EW$250,43,0)+HLOOKUP(C150,PMGR!$EK$2:$EW$250,44,0)+HLOOKUP(C150,PMGR!$EK$2:$EW$250,45,0)+HLOOKUP(C150,PMGR!$EK$2:$EW$250,54,0)+HLOOKUP(C150,PMGR!$EK$2:$EW$250,59,0)</f>
        <v>3863876.8289996595</v>
      </c>
      <c r="F150" s="106">
        <f>+HLOOKUP(C150,PMGR!$EK$2:$EW$250,37,0)+HLOOKUP(C150,PMGR!$EK$2:$EW$250,55,0)</f>
        <v>2736548.324</v>
      </c>
      <c r="G150" s="106">
        <f>+HLOOKUP($C150,PMGR!$EK$2:$EW$250,76,0)</f>
        <v>0</v>
      </c>
      <c r="H150" s="106">
        <f>+HLOOKUP($C150,PMGR!$EK$2:$EW$250,77,0)</f>
        <v>0</v>
      </c>
      <c r="I150" s="106">
        <f>+HLOOKUP($C150,PMGR!$EK$2:$EW$250,78,0)</f>
        <v>0</v>
      </c>
      <c r="J150" s="106">
        <f>+HLOOKUP($C150,PMGR!$EK$2:$EW$250,79,0)</f>
        <v>0</v>
      </c>
      <c r="K150" s="106">
        <f>+HLOOKUP($C150,PMGR!$EK$2:$EW$250,80,0)</f>
        <v>0</v>
      </c>
      <c r="L150" s="106">
        <f>+HLOOKUP($C150,PMGR!$EK$2:$EW$250,81,0)</f>
        <v>0</v>
      </c>
      <c r="M150" s="106">
        <f>+HLOOKUP($C150,PMGR!$EK$2:$EW$250,82,0)</f>
        <v>0</v>
      </c>
      <c r="N150" s="106">
        <f>+HLOOKUP($C150,PMGR!$EK$2:$EW$250,83,0)</f>
        <v>0</v>
      </c>
      <c r="O150" s="106">
        <f>+HLOOKUP($C150,PMGR!$EK$2:$EW$250,84,0)</f>
        <v>0</v>
      </c>
      <c r="P150" s="106">
        <f>+HLOOKUP($C150,PMGR!$EK$2:$EW$250,85,0)</f>
        <v>0</v>
      </c>
      <c r="Q150" s="106">
        <f>+HLOOKUP($C150,PMGR!$EK$2:$EW$250,87,0)</f>
        <v>79079.299999999988</v>
      </c>
      <c r="R150" s="106">
        <f>+HLOOKUP($C150,PMGR!$EK$2:$EW$250,90,0)</f>
        <v>0</v>
      </c>
      <c r="S150" s="106">
        <f>+HLOOKUP($C150,PMGR!$EK$2:$EW$250,91,0)</f>
        <v>900</v>
      </c>
      <c r="T150" s="106">
        <f>+HLOOKUP($C150,PMGR!$EK$2:$EW$250,92,0)</f>
        <v>0</v>
      </c>
      <c r="U150" s="106">
        <f>+HLOOKUP($C150,PMGR!$EK$2:$EW$250,93,0)</f>
        <v>0</v>
      </c>
      <c r="V150" s="106">
        <f>+HLOOKUP($C150,PMGR!$EK$2:$EW$250,94,0)</f>
        <v>0</v>
      </c>
      <c r="W150" s="106">
        <f>+HLOOKUP($C150,PMGR!$EK$2:$EW$250,95,0)</f>
        <v>0</v>
      </c>
      <c r="X150" s="106">
        <f>+HLOOKUP($C150,PMGR!$EK$2:$EW$250,96,0)</f>
        <v>0</v>
      </c>
      <c r="Y150" s="106">
        <f>+HLOOKUP($C150,PMGR!$EK$2:$EW$250,97,0)</f>
        <v>0</v>
      </c>
      <c r="Z150" s="106">
        <f>+HLOOKUP($C150,PMGR!$EK$2:$EW$250,98,0)</f>
        <v>0</v>
      </c>
      <c r="AA150" s="106">
        <f>+HLOOKUP($C150,PMGR!$EK$2:$EW$250,99,0)</f>
        <v>0</v>
      </c>
      <c r="AB150" s="106">
        <f>+HLOOKUP($C150,PMGR!$EK$2:$EW$250,100,0)</f>
        <v>0</v>
      </c>
      <c r="AC150" s="106">
        <f>+HLOOKUP($C150,PMGR!$EK$2:$EW$250,101,0)</f>
        <v>0</v>
      </c>
      <c r="AD150" s="106">
        <f>+HLOOKUP($C150,PMGR!$EK$2:$EW$250,104,0)</f>
        <v>0</v>
      </c>
      <c r="AE150" s="106">
        <f>+HLOOKUP($C150,PMGR!$EK$2:$EW$250,105,0)</f>
        <v>0</v>
      </c>
      <c r="AF150" s="106">
        <f>+HLOOKUP($C150,PMGR!$EK$2:$EW$250,106,0)</f>
        <v>0</v>
      </c>
      <c r="AG150" s="106">
        <f>+HLOOKUP($C150,PMGR!$EK$2:$EW$250,107,0)</f>
        <v>0</v>
      </c>
      <c r="AH150" s="106">
        <f>+HLOOKUP($C150,PMGR!$EK$2:$EW$250,108,0)</f>
        <v>0</v>
      </c>
      <c r="AI150" s="106">
        <f>+HLOOKUP($C150,PMGR!$EK$2:$EW$250,109,0)</f>
        <v>0</v>
      </c>
      <c r="AJ150" s="106">
        <f>+HLOOKUP($C150,PMGR!$EK$2:$EW$250,110,0)</f>
        <v>0</v>
      </c>
      <c r="AK150" s="106">
        <f>+HLOOKUP($C150,PMGR!$EK$2:$EW$250,111,0)</f>
        <v>3214.92</v>
      </c>
      <c r="AL150" s="106">
        <f>+HLOOKUP($C150,PMGR!$EK$2:$EW$250,112,0)</f>
        <v>0</v>
      </c>
      <c r="AM150" s="106">
        <f>+HLOOKUP($C150,PMGR!$EK$2:$EW$250,116,0)</f>
        <v>178435</v>
      </c>
      <c r="AN150" s="106">
        <f>+HLOOKUP($C150,PMGR!$EK$2:$EW$250,117,0)</f>
        <v>25669</v>
      </c>
      <c r="AO150" s="106">
        <f>+HLOOKUP($C150,PMGR!$EK$2:$EW$250,118,0)</f>
        <v>0</v>
      </c>
      <c r="AP150" s="106">
        <f>+HLOOKUP($C150,PMGR!$EK$2:$EW$250,119,0)</f>
        <v>70098</v>
      </c>
      <c r="AQ150" s="106">
        <f>+HLOOKUP($C150,PMGR!$EK$2:$EW$250,120,0)</f>
        <v>15360</v>
      </c>
      <c r="AR150" s="106">
        <f>+HLOOKUP($C150,PMGR!$EK$2:$EW$250,121,0)</f>
        <v>2500</v>
      </c>
      <c r="AS150" s="106">
        <f>+HLOOKUP($C150,PMGR!$EK$2:$EW$250,122,0)</f>
        <v>62769</v>
      </c>
      <c r="AT150" s="106">
        <f>+HLOOKUP($C150,PMGR!$EK$2:$EW$250,123,0)</f>
        <v>18806.666666666668</v>
      </c>
      <c r="AU150" s="106">
        <f>+HLOOKUP($C150,PMGR!$EK$2:$EW$250,124,0)</f>
        <v>807.5</v>
      </c>
      <c r="AV150" s="106">
        <f>+HLOOKUP($C150,PMGR!$EK$2:$EW$250,125,0)</f>
        <v>15120</v>
      </c>
      <c r="AW150" s="106">
        <f>+HLOOKUP($C150,PMGR!$EK$2:$EW$250,126,0)</f>
        <v>7644.2307692307695</v>
      </c>
      <c r="AX150" s="106">
        <f>+HLOOKUP($C150,PMGR!$EK$2:$EW$250,127,0)</f>
        <v>10916.666666666664</v>
      </c>
      <c r="AY150" s="106">
        <f>+HLOOKUP($C150,PMGR!$EK$2:$EW$250,129,0)</f>
        <v>0</v>
      </c>
      <c r="AZ150" s="106">
        <f>+HLOOKUP($C150,PMGR!$EK$2:$EW$250,130,0)</f>
        <v>0</v>
      </c>
      <c r="BA150" s="106">
        <f>+HLOOKUP($C150,PMGR!$EK$2:$EW$250,131,0)</f>
        <v>0</v>
      </c>
      <c r="BB150" s="106">
        <f>+HLOOKUP($C150,PMGR!$EK$2:$EW$250,133,0)</f>
        <v>0</v>
      </c>
      <c r="BC150" s="106">
        <f>+HLOOKUP($C150,PMGR!$EK$2:$EW$250,134,0)</f>
        <v>7720</v>
      </c>
      <c r="BD150" s="106">
        <f>+HLOOKUP($C150,PMGR!$EK$2:$EW$250,135,0)</f>
        <v>0</v>
      </c>
      <c r="BE150" s="106">
        <f>+HLOOKUP($C150,PMGR!$EK$2:$EW$250,136,0)</f>
        <v>0</v>
      </c>
      <c r="BF150" s="106">
        <f>+HLOOKUP($C150,PMGR!$EK$2:$EW$250,138,0)</f>
        <v>0</v>
      </c>
      <c r="BG150" s="106">
        <f>+HLOOKUP($C150,PMGR!$EK$2:$EW$250,139,0)</f>
        <v>17011</v>
      </c>
      <c r="BH150" s="106">
        <f>+HLOOKUP($C150,PMGR!$EK$2:$EW$250,140,0)</f>
        <v>30000</v>
      </c>
      <c r="BI150" s="106">
        <f>+HLOOKUP($C150,PMGR!$EK$2:$EW$250,141,0)</f>
        <v>0</v>
      </c>
      <c r="BJ150" s="106">
        <f>+HLOOKUP($C150,PMGR!$EK$2:$EW$250,142,0)</f>
        <v>0</v>
      </c>
      <c r="BK150" s="106">
        <f>+HLOOKUP($C150,PMGR!$EK$2:$EW$250,143,0)</f>
        <v>0</v>
      </c>
      <c r="BL150" s="106">
        <f>+HLOOKUP($C150,PMGR!$EK$2:$EW$250,144,0)</f>
        <v>0</v>
      </c>
      <c r="BM150" s="106">
        <f>+HLOOKUP($C150,PMGR!$EK$2:$EW$250,146,0)</f>
        <v>0</v>
      </c>
      <c r="BN150" s="106">
        <f>+HLOOKUP($C150,PMGR!$EK$2:$EW$250,147,0)</f>
        <v>20202</v>
      </c>
      <c r="BO150" s="106">
        <f>+HLOOKUP($C150,PMGR!$EK$2:$EW$250,148,0)</f>
        <v>0</v>
      </c>
      <c r="BP150" s="106">
        <f>+HLOOKUP($C150,PMGR!$EK$2:$EW$250,150,0)</f>
        <v>78293</v>
      </c>
      <c r="BQ150" s="106">
        <f>+HLOOKUP($C150,PMGR!$EK$2:$EW$250,151,0)</f>
        <v>4961</v>
      </c>
      <c r="BR150" s="106">
        <f>+HLOOKUP($C150,PMGR!$EK$2:$EW$250,152,0)</f>
        <v>32000</v>
      </c>
      <c r="BS150" s="106">
        <f>+HLOOKUP($C150,PMGR!$EK$2:$EW$250,153,0)</f>
        <v>300</v>
      </c>
      <c r="BT150" s="106">
        <f>+HLOOKUP($C150,PMGR!$EK$2:$EW$250,157,0)</f>
        <v>0</v>
      </c>
      <c r="BU150" s="106">
        <f>+HLOOKUP($C150,PMGR!$EK$2:$EW$250,158,0)</f>
        <v>0</v>
      </c>
      <c r="BV150" s="106">
        <f>+HLOOKUP($C150,PMGR!$EK$2:$EW$250,159,0)</f>
        <v>0</v>
      </c>
      <c r="BW150" s="106">
        <f>+HLOOKUP($C150,PMGR!$EK$2:$EW$250,160,0)</f>
        <v>0</v>
      </c>
      <c r="BX150" s="106">
        <f>+HLOOKUP($C150,PMGR!$EK$2:$EW$250,161,0)</f>
        <v>1800</v>
      </c>
      <c r="BY150" s="106">
        <f>+HLOOKUP($C150,PMGR!$EK$2:$EW$250,164,0)</f>
        <v>0</v>
      </c>
      <c r="BZ150" s="106">
        <f>+HLOOKUP($C150,PMGR!$EK$2:$EW$250,165,0)</f>
        <v>0</v>
      </c>
      <c r="CA150" s="106">
        <f>+HLOOKUP($C150,PMGR!$EK$2:$EW$250,166,0)</f>
        <v>0</v>
      </c>
      <c r="CB150" s="106">
        <f>+HLOOKUP($C150,PMGR!$EK$2:$EW$250,167,0)</f>
        <v>91696.91</v>
      </c>
      <c r="CC150" s="106">
        <f>+HLOOKUP($C150,PMGR!$EK$2:$EW$250,168,0)</f>
        <v>0</v>
      </c>
      <c r="CD150" s="106">
        <f>+HLOOKUP($C150,PMGR!$EK$2:$EW$250,169,0)</f>
        <v>0</v>
      </c>
      <c r="CE150" s="106">
        <f>+HLOOKUP($C150,PMGR!$EK$2:$EW$250,170,0)</f>
        <v>0</v>
      </c>
      <c r="CF150" s="106">
        <f>+HLOOKUP($C150,PMGR!$EK$2:$EW$250,172,0)</f>
        <v>0</v>
      </c>
      <c r="CG150" s="106">
        <f>+HLOOKUP($C150,PMGR!$EK$2:$EW$250,173,0)</f>
        <v>0</v>
      </c>
      <c r="CH150" s="106">
        <f>+HLOOKUP($C150,PMGR!$EK$2:$EW$250,174,0)</f>
        <v>50000</v>
      </c>
      <c r="CI150" s="106">
        <f>+HLOOKUP($C150,PMGR!$EK$2:$EW$250,175,0)</f>
        <v>5000</v>
      </c>
      <c r="CJ150" s="106">
        <f>+HLOOKUP($C150,PMGR!$EK$2:$EW$250,176,0)</f>
        <v>0</v>
      </c>
      <c r="CK150" s="106">
        <f>+HLOOKUP($C150,PMGR!$EK$2:$EW$250,178,0)</f>
        <v>4964</v>
      </c>
      <c r="CL150" s="106">
        <f>+HLOOKUP($C150,PMGR!$EK$2:$EW$250,179,0)</f>
        <v>218045.4</v>
      </c>
      <c r="CM150" s="106">
        <f>+HLOOKUP($C150,PMGR!$EK$2:$EW$250,180,0)</f>
        <v>0</v>
      </c>
      <c r="CN150" s="106">
        <f>+HLOOKUP($C150,PMGR!$EK$2:$EW$250,182,0)</f>
        <v>0</v>
      </c>
      <c r="CO150" s="106">
        <f>+HLOOKUP($C150,PMGR!$EK$2:$EW$250,183,0)</f>
        <v>659</v>
      </c>
      <c r="CP150" s="106">
        <f>+HLOOKUP($C150,PMGR!$EK$2:$EW$250,184,0)</f>
        <v>0</v>
      </c>
      <c r="CQ150" s="106">
        <f>+HLOOKUP($C150,PMGR!$EK$2:$EW$250,185,0)</f>
        <v>0</v>
      </c>
      <c r="CR150" s="106">
        <f>+HLOOKUP($C150,PMGR!$EK$2:$EW$250,187,0)</f>
        <v>1874.9999999999995</v>
      </c>
      <c r="CS150" s="106">
        <f>+HLOOKUP($C150,PMGR!$EK$2:$EW$250,188,0)</f>
        <v>0</v>
      </c>
      <c r="CT150" s="106">
        <f>+HLOOKUP($C150,PMGR!$EK$2:$EW$250,189,0)</f>
        <v>0</v>
      </c>
      <c r="CU150" s="106">
        <f>+HLOOKUP($C150,PMGR!$EK$2:$EW$250,190,0)</f>
        <v>0</v>
      </c>
      <c r="CV150" s="106">
        <f>+HLOOKUP($C150,PMGR!$EK$2:$EW$250,191,0)</f>
        <v>0</v>
      </c>
      <c r="CW150" s="106">
        <f>+HLOOKUP($C150,PMGR!$EK$2:$EW$250,193,0)</f>
        <v>11738</v>
      </c>
      <c r="CX150" s="106">
        <f>+HLOOKUP($C150,PMGR!$EK$2:$EW$250,194,0)</f>
        <v>230</v>
      </c>
      <c r="CY150" s="106">
        <f>+HLOOKUP($C150,PMGR!$EK$2:$EW$250,195,0)</f>
        <v>2167</v>
      </c>
      <c r="CZ150" s="106">
        <f>+HLOOKUP($C150,PMGR!$EK$2:$EW$250,196,0)</f>
        <v>0</v>
      </c>
      <c r="DA150" s="106">
        <f>+HLOOKUP($C150,PMGR!$EK$2:$EW$250,197,0)</f>
        <v>38365</v>
      </c>
      <c r="DB150" s="106">
        <f>+HLOOKUP($C150,PMGR!$EK$2:$EW$250,198,0)</f>
        <v>2698.31</v>
      </c>
      <c r="DC150" s="106">
        <f>+HLOOKUP($C150,PMGR!$EK$2:$EW$250,199,0)</f>
        <v>0</v>
      </c>
      <c r="DD150" s="106">
        <f>+HLOOKUP($C150,PMGR!$EK$2:$EW$250,200,0)</f>
        <v>5296</v>
      </c>
      <c r="DE150" s="106">
        <f>+HLOOKUP($C150,PMGR!$EK$2:$EW$250,201,0)</f>
        <v>0</v>
      </c>
      <c r="DF150" s="106">
        <f>+HLOOKUP($C150,PMGR!$EK$2:$EW$250,202,0)</f>
        <v>0.38</v>
      </c>
      <c r="DG150" s="106">
        <f>+HLOOKUP($C150,PMGR!$EK$2:$EW$250,203,0)</f>
        <v>0</v>
      </c>
      <c r="DH150" s="106">
        <f>+HLOOKUP($C150,PMGR!$EK$2:$EW$250,205,0)</f>
        <v>0</v>
      </c>
      <c r="DI150" s="106">
        <f>+HLOOKUP($C150,PMGR!$EK$2:$EW$250,206,0)</f>
        <v>7415</v>
      </c>
      <c r="DJ150" s="106">
        <f>+HLOOKUP($C150,PMGR!$EK$2:$EW$250,207,0)</f>
        <v>3383</v>
      </c>
      <c r="DK150" s="106">
        <f>+HLOOKUP($C150,PMGR!$EK$2:$EW$250,209,0)</f>
        <v>0</v>
      </c>
      <c r="DL150" s="106">
        <f>+HLOOKUP($C150,PMGR!$EK$2:$EW$250,210,0)</f>
        <v>445000</v>
      </c>
      <c r="DM150" s="106">
        <f>+HLOOKUP($C150,PMGR!$EK$2:$EW$250,211,0)</f>
        <v>0</v>
      </c>
      <c r="DN150" s="106">
        <f>+HLOOKUP($C150,PMGR!$EK$2:$EW$250,212,0)</f>
        <v>0</v>
      </c>
      <c r="DO150" s="106">
        <f>+HLOOKUP($C150,PMGR!$EK$2:$EW$250,214,0)</f>
        <v>0</v>
      </c>
      <c r="DP150" s="106">
        <f>+HLOOKUP($C150,PMGR!$EK$2:$EW$250,215,0)</f>
        <v>100</v>
      </c>
      <c r="DQ150" s="106">
        <f>+HLOOKUP($C150,PMGR!$EK$2:$EW$250,219,0)</f>
        <v>0</v>
      </c>
      <c r="DR150" s="106">
        <f>+HLOOKUP($C150,PMGR!$EK$2:$EW$250,220,0)</f>
        <v>0</v>
      </c>
      <c r="DS150" s="106">
        <f>+HLOOKUP($C150,PMGR!$EK$2:$EW$250,221,0)</f>
        <v>0</v>
      </c>
      <c r="DT150" s="106">
        <f>+HLOOKUP($C150,PMGR!$EK$2:$EW$250,223,0)</f>
        <v>0</v>
      </c>
      <c r="DU150" s="106">
        <f>+HLOOKUP($C150,PMGR!$EK$2:$EW$250,224,0)</f>
        <v>0</v>
      </c>
      <c r="DV150" s="106">
        <f>+HLOOKUP($C150,PMGR!$EK$2:$EW$250,225,0)</f>
        <v>0</v>
      </c>
      <c r="DW150" s="106">
        <f>+HLOOKUP($C150,PMGR!$EK$2:$EW$250,227,0)</f>
        <v>0</v>
      </c>
      <c r="DX150" s="106">
        <f>+HLOOKUP($C150,PMGR!$EK$2:$EW$250,228,0)</f>
        <v>0</v>
      </c>
      <c r="DY150" s="106">
        <f>+HLOOKUP($C150,PMGR!$EK$2:$EW$250,236,0)</f>
        <v>0</v>
      </c>
      <c r="DZ150" s="106">
        <f>+HLOOKUP($C150,PMGR!$EK$2:$EW$250,237,0)</f>
        <v>0</v>
      </c>
      <c r="EA150" s="106">
        <f>+HLOOKUP($C150,PMGR!$EK$2:$EW$250,238,0)</f>
        <v>0</v>
      </c>
      <c r="EB150" s="106">
        <f>+HLOOKUP($C150,PMGR!$EK$2:$EW$250,240,0)</f>
        <v>702927.25199999998</v>
      </c>
    </row>
    <row r="151" spans="1:132" hidden="1">
      <c r="A151" t="s">
        <v>272</v>
      </c>
      <c r="B151" t="s">
        <v>217</v>
      </c>
      <c r="C151" s="117">
        <v>45839</v>
      </c>
      <c r="D151" s="106">
        <f t="shared" si="0"/>
        <v>3598114.5443118899</v>
      </c>
      <c r="E151" s="106">
        <f>+HLOOKUP(C151,PMGR!$EK$2:$EW$250,28,0)+HLOOKUP(C151,PMGR!$EK$2:$EW$250,43,0)+HLOOKUP(C151,PMGR!$EK$2:$EW$250,44,0)+HLOOKUP(C151,PMGR!$EK$2:$EW$250,45,0)+HLOOKUP(C151,PMGR!$EK$2:$EW$250,54,0)+HLOOKUP(C151,PMGR!$EK$2:$EW$250,59,0)</f>
        <v>3598114.5443118899</v>
      </c>
      <c r="F151" s="106">
        <f>+HLOOKUP(C151,PMGR!$EK$2:$EW$250,37,0)+HLOOKUP(C151,PMGR!$EK$2:$EW$250,55,0)</f>
        <v>2586542.5720000002</v>
      </c>
      <c r="G151" s="106">
        <f>+HLOOKUP($C151,PMGR!$EK$2:$EW$250,76,0)</f>
        <v>0</v>
      </c>
      <c r="H151" s="106">
        <f>+HLOOKUP($C151,PMGR!$EK$2:$EW$250,77,0)</f>
        <v>0</v>
      </c>
      <c r="I151" s="106">
        <f>+HLOOKUP($C151,PMGR!$EK$2:$EW$250,78,0)</f>
        <v>0</v>
      </c>
      <c r="J151" s="106">
        <f>+HLOOKUP($C151,PMGR!$EK$2:$EW$250,79,0)</f>
        <v>0</v>
      </c>
      <c r="K151" s="106">
        <f>+HLOOKUP($C151,PMGR!$EK$2:$EW$250,80,0)</f>
        <v>0</v>
      </c>
      <c r="L151" s="106">
        <f>+HLOOKUP($C151,PMGR!$EK$2:$EW$250,81,0)</f>
        <v>0</v>
      </c>
      <c r="M151" s="106">
        <f>+HLOOKUP($C151,PMGR!$EK$2:$EW$250,82,0)</f>
        <v>0</v>
      </c>
      <c r="N151" s="106">
        <f>+HLOOKUP($C151,PMGR!$EK$2:$EW$250,83,0)</f>
        <v>0</v>
      </c>
      <c r="O151" s="106">
        <f>+HLOOKUP($C151,PMGR!$EK$2:$EW$250,84,0)</f>
        <v>0</v>
      </c>
      <c r="P151" s="106">
        <f>+HLOOKUP($C151,PMGR!$EK$2:$EW$250,85,0)</f>
        <v>0</v>
      </c>
      <c r="Q151" s="106">
        <f>+HLOOKUP($C151,PMGR!$EK$2:$EW$250,87,0)</f>
        <v>64629.994999999995</v>
      </c>
      <c r="R151" s="106">
        <f>+HLOOKUP($C151,PMGR!$EK$2:$EW$250,90,0)</f>
        <v>0</v>
      </c>
      <c r="S151" s="106">
        <f>+HLOOKUP($C151,PMGR!$EK$2:$EW$250,91,0)</f>
        <v>0</v>
      </c>
      <c r="T151" s="106">
        <f>+HLOOKUP($C151,PMGR!$EK$2:$EW$250,92,0)</f>
        <v>0</v>
      </c>
      <c r="U151" s="106">
        <f>+HLOOKUP($C151,PMGR!$EK$2:$EW$250,93,0)</f>
        <v>0</v>
      </c>
      <c r="V151" s="106">
        <f>+HLOOKUP($C151,PMGR!$EK$2:$EW$250,94,0)</f>
        <v>0</v>
      </c>
      <c r="W151" s="106">
        <f>+HLOOKUP($C151,PMGR!$EK$2:$EW$250,95,0)</f>
        <v>0</v>
      </c>
      <c r="X151" s="106">
        <f>+HLOOKUP($C151,PMGR!$EK$2:$EW$250,96,0)</f>
        <v>0</v>
      </c>
      <c r="Y151" s="106">
        <f>+HLOOKUP($C151,PMGR!$EK$2:$EW$250,97,0)</f>
        <v>0</v>
      </c>
      <c r="Z151" s="106">
        <f>+HLOOKUP($C151,PMGR!$EK$2:$EW$250,98,0)</f>
        <v>0</v>
      </c>
      <c r="AA151" s="106">
        <f>+HLOOKUP($C151,PMGR!$EK$2:$EW$250,99,0)</f>
        <v>0</v>
      </c>
      <c r="AB151" s="106">
        <f>+HLOOKUP($C151,PMGR!$EK$2:$EW$250,100,0)</f>
        <v>0</v>
      </c>
      <c r="AC151" s="106">
        <f>+HLOOKUP($C151,PMGR!$EK$2:$EW$250,101,0)</f>
        <v>578</v>
      </c>
      <c r="AD151" s="106">
        <f>+HLOOKUP($C151,PMGR!$EK$2:$EW$250,104,0)</f>
        <v>0</v>
      </c>
      <c r="AE151" s="106">
        <f>+HLOOKUP($C151,PMGR!$EK$2:$EW$250,105,0)</f>
        <v>0</v>
      </c>
      <c r="AF151" s="106">
        <f>+HLOOKUP($C151,PMGR!$EK$2:$EW$250,106,0)</f>
        <v>0</v>
      </c>
      <c r="AG151" s="106">
        <f>+HLOOKUP($C151,PMGR!$EK$2:$EW$250,107,0)</f>
        <v>0</v>
      </c>
      <c r="AH151" s="106">
        <f>+HLOOKUP($C151,PMGR!$EK$2:$EW$250,108,0)</f>
        <v>0</v>
      </c>
      <c r="AI151" s="106">
        <f>+HLOOKUP($C151,PMGR!$EK$2:$EW$250,109,0)</f>
        <v>0</v>
      </c>
      <c r="AJ151" s="106">
        <f>+HLOOKUP($C151,PMGR!$EK$2:$EW$250,110,0)</f>
        <v>0</v>
      </c>
      <c r="AK151" s="106">
        <f>+HLOOKUP($C151,PMGR!$EK$2:$EW$250,111,0)</f>
        <v>30928</v>
      </c>
      <c r="AL151" s="106">
        <f>+HLOOKUP($C151,PMGR!$EK$2:$EW$250,112,0)</f>
        <v>0</v>
      </c>
      <c r="AM151" s="106">
        <f>+HLOOKUP($C151,PMGR!$EK$2:$EW$250,116,0)</f>
        <v>178774</v>
      </c>
      <c r="AN151" s="106">
        <f>+HLOOKUP($C151,PMGR!$EK$2:$EW$250,117,0)</f>
        <v>25718</v>
      </c>
      <c r="AO151" s="106">
        <f>+HLOOKUP($C151,PMGR!$EK$2:$EW$250,118,0)</f>
        <v>0</v>
      </c>
      <c r="AP151" s="106">
        <f>+HLOOKUP($C151,PMGR!$EK$2:$EW$250,119,0)</f>
        <v>70219</v>
      </c>
      <c r="AQ151" s="106">
        <f>+HLOOKUP($C151,PMGR!$EK$2:$EW$250,120,0)</f>
        <v>15384</v>
      </c>
      <c r="AR151" s="106">
        <f>+HLOOKUP($C151,PMGR!$EK$2:$EW$250,121,0)</f>
        <v>2500</v>
      </c>
      <c r="AS151" s="106">
        <f>+HLOOKUP($C151,PMGR!$EK$2:$EW$250,122,0)</f>
        <v>62818</v>
      </c>
      <c r="AT151" s="106">
        <f>+HLOOKUP($C151,PMGR!$EK$2:$EW$250,123,0)</f>
        <v>18806.666666666668</v>
      </c>
      <c r="AU151" s="106">
        <f>+HLOOKUP($C151,PMGR!$EK$2:$EW$250,124,0)</f>
        <v>807.5</v>
      </c>
      <c r="AV151" s="106">
        <f>+HLOOKUP($C151,PMGR!$EK$2:$EW$250,125,0)</f>
        <v>15120</v>
      </c>
      <c r="AW151" s="106">
        <f>+HLOOKUP($C151,PMGR!$EK$2:$EW$250,126,0)</f>
        <v>7644.2307692307695</v>
      </c>
      <c r="AX151" s="106">
        <f>+HLOOKUP($C151,PMGR!$EK$2:$EW$250,127,0)</f>
        <v>10916.666666666664</v>
      </c>
      <c r="AY151" s="106">
        <f>+HLOOKUP($C151,PMGR!$EK$2:$EW$250,129,0)</f>
        <v>0</v>
      </c>
      <c r="AZ151" s="106">
        <f>+HLOOKUP($C151,PMGR!$EK$2:$EW$250,130,0)</f>
        <v>0</v>
      </c>
      <c r="BA151" s="106">
        <f>+HLOOKUP($C151,PMGR!$EK$2:$EW$250,131,0)</f>
        <v>0</v>
      </c>
      <c r="BB151" s="106">
        <f>+HLOOKUP($C151,PMGR!$EK$2:$EW$250,133,0)</f>
        <v>0</v>
      </c>
      <c r="BC151" s="106">
        <f>+HLOOKUP($C151,PMGR!$EK$2:$EW$250,134,0)</f>
        <v>7316</v>
      </c>
      <c r="BD151" s="106">
        <f>+HLOOKUP($C151,PMGR!$EK$2:$EW$250,135,0)</f>
        <v>0</v>
      </c>
      <c r="BE151" s="106">
        <f>+HLOOKUP($C151,PMGR!$EK$2:$EW$250,136,0)</f>
        <v>0</v>
      </c>
      <c r="BF151" s="106">
        <f>+HLOOKUP($C151,PMGR!$EK$2:$EW$250,138,0)</f>
        <v>100</v>
      </c>
      <c r="BG151" s="106">
        <f>+HLOOKUP($C151,PMGR!$EK$2:$EW$250,139,0)</f>
        <v>15488</v>
      </c>
      <c r="BH151" s="106">
        <f>+HLOOKUP($C151,PMGR!$EK$2:$EW$250,140,0)</f>
        <v>18000</v>
      </c>
      <c r="BI151" s="106">
        <f>+HLOOKUP($C151,PMGR!$EK$2:$EW$250,141,0)</f>
        <v>0</v>
      </c>
      <c r="BJ151" s="106">
        <f>+HLOOKUP($C151,PMGR!$EK$2:$EW$250,142,0)</f>
        <v>0</v>
      </c>
      <c r="BK151" s="106">
        <f>+HLOOKUP($C151,PMGR!$EK$2:$EW$250,143,0)</f>
        <v>0</v>
      </c>
      <c r="BL151" s="106">
        <f>+HLOOKUP($C151,PMGR!$EK$2:$EW$250,144,0)</f>
        <v>0</v>
      </c>
      <c r="BM151" s="106">
        <f>+HLOOKUP($C151,PMGR!$EK$2:$EW$250,146,0)</f>
        <v>0</v>
      </c>
      <c r="BN151" s="106">
        <f>+HLOOKUP($C151,PMGR!$EK$2:$EW$250,147,0)</f>
        <v>6361</v>
      </c>
      <c r="BO151" s="106">
        <f>+HLOOKUP($C151,PMGR!$EK$2:$EW$250,148,0)</f>
        <v>0</v>
      </c>
      <c r="BP151" s="106">
        <f>+HLOOKUP($C151,PMGR!$EK$2:$EW$250,150,0)</f>
        <v>39463.199999999997</v>
      </c>
      <c r="BQ151" s="106">
        <f>+HLOOKUP($C151,PMGR!$EK$2:$EW$250,151,0)</f>
        <v>4961</v>
      </c>
      <c r="BR151" s="106">
        <f>+HLOOKUP($C151,PMGR!$EK$2:$EW$250,152,0)</f>
        <v>32000</v>
      </c>
      <c r="BS151" s="106">
        <f>+HLOOKUP($C151,PMGR!$EK$2:$EW$250,153,0)</f>
        <v>5800</v>
      </c>
      <c r="BT151" s="106">
        <f>+HLOOKUP($C151,PMGR!$EK$2:$EW$250,157,0)</f>
        <v>0</v>
      </c>
      <c r="BU151" s="106">
        <f>+HLOOKUP($C151,PMGR!$EK$2:$EW$250,158,0)</f>
        <v>0</v>
      </c>
      <c r="BV151" s="106">
        <f>+HLOOKUP($C151,PMGR!$EK$2:$EW$250,159,0)</f>
        <v>42896.86</v>
      </c>
      <c r="BW151" s="106">
        <f>+HLOOKUP($C151,PMGR!$EK$2:$EW$250,160,0)</f>
        <v>10413.89</v>
      </c>
      <c r="BX151" s="106">
        <f>+HLOOKUP($C151,PMGR!$EK$2:$EW$250,161,0)</f>
        <v>54600</v>
      </c>
      <c r="BY151" s="106">
        <f>+HLOOKUP($C151,PMGR!$EK$2:$EW$250,164,0)</f>
        <v>0</v>
      </c>
      <c r="BZ151" s="106">
        <f>+HLOOKUP($C151,PMGR!$EK$2:$EW$250,165,0)</f>
        <v>0</v>
      </c>
      <c r="CA151" s="106">
        <f>+HLOOKUP($C151,PMGR!$EK$2:$EW$250,166,0)</f>
        <v>0</v>
      </c>
      <c r="CB151" s="106">
        <f>+HLOOKUP($C151,PMGR!$EK$2:$EW$250,167,0)</f>
        <v>25826.79</v>
      </c>
      <c r="CC151" s="106">
        <f>+HLOOKUP($C151,PMGR!$EK$2:$EW$250,168,0)</f>
        <v>0</v>
      </c>
      <c r="CD151" s="106">
        <f>+HLOOKUP($C151,PMGR!$EK$2:$EW$250,169,0)</f>
        <v>0</v>
      </c>
      <c r="CE151" s="106">
        <f>+HLOOKUP($C151,PMGR!$EK$2:$EW$250,170,0)</f>
        <v>0</v>
      </c>
      <c r="CF151" s="106">
        <f>+HLOOKUP($C151,PMGR!$EK$2:$EW$250,172,0)</f>
        <v>0</v>
      </c>
      <c r="CG151" s="106">
        <f>+HLOOKUP($C151,PMGR!$EK$2:$EW$250,173,0)</f>
        <v>0</v>
      </c>
      <c r="CH151" s="106">
        <f>+HLOOKUP($C151,PMGR!$EK$2:$EW$250,174,0)</f>
        <v>46358.400000000001</v>
      </c>
      <c r="CI151" s="106">
        <f>+HLOOKUP($C151,PMGR!$EK$2:$EW$250,175,0)</f>
        <v>19586.2</v>
      </c>
      <c r="CJ151" s="106">
        <f>+HLOOKUP($C151,PMGR!$EK$2:$EW$250,176,0)</f>
        <v>0</v>
      </c>
      <c r="CK151" s="106">
        <f>+HLOOKUP($C151,PMGR!$EK$2:$EW$250,178,0)</f>
        <v>55606</v>
      </c>
      <c r="CL151" s="106">
        <f>+HLOOKUP($C151,PMGR!$EK$2:$EW$250,179,0)</f>
        <v>344748</v>
      </c>
      <c r="CM151" s="106">
        <f>+HLOOKUP($C151,PMGR!$EK$2:$EW$250,180,0)</f>
        <v>0</v>
      </c>
      <c r="CN151" s="106">
        <f>+HLOOKUP($C151,PMGR!$EK$2:$EW$250,182,0)</f>
        <v>0</v>
      </c>
      <c r="CO151" s="106">
        <f>+HLOOKUP($C151,PMGR!$EK$2:$EW$250,183,0)</f>
        <v>659.08</v>
      </c>
      <c r="CP151" s="106">
        <f>+HLOOKUP($C151,PMGR!$EK$2:$EW$250,184,0)</f>
        <v>0</v>
      </c>
      <c r="CQ151" s="106">
        <f>+HLOOKUP($C151,PMGR!$EK$2:$EW$250,185,0)</f>
        <v>0</v>
      </c>
      <c r="CR151" s="106">
        <f>+HLOOKUP($C151,PMGR!$EK$2:$EW$250,187,0)</f>
        <v>1874.9999999999995</v>
      </c>
      <c r="CS151" s="106">
        <f>+HLOOKUP($C151,PMGR!$EK$2:$EW$250,188,0)</f>
        <v>0</v>
      </c>
      <c r="CT151" s="106">
        <f>+HLOOKUP($C151,PMGR!$EK$2:$EW$250,189,0)</f>
        <v>0</v>
      </c>
      <c r="CU151" s="106">
        <f>+HLOOKUP($C151,PMGR!$EK$2:$EW$250,190,0)</f>
        <v>0</v>
      </c>
      <c r="CV151" s="106">
        <f>+HLOOKUP($C151,PMGR!$EK$2:$EW$250,191,0)</f>
        <v>0</v>
      </c>
      <c r="CW151" s="106">
        <f>+HLOOKUP($C151,PMGR!$EK$2:$EW$250,193,0)</f>
        <v>28171.8</v>
      </c>
      <c r="CX151" s="106">
        <f>+HLOOKUP($C151,PMGR!$EK$2:$EW$250,194,0)</f>
        <v>230</v>
      </c>
      <c r="CY151" s="106">
        <f>+HLOOKUP($C151,PMGR!$EK$2:$EW$250,195,0)</f>
        <v>167166.66666666666</v>
      </c>
      <c r="CZ151" s="106">
        <f>+HLOOKUP($C151,PMGR!$EK$2:$EW$250,196,0)</f>
        <v>0</v>
      </c>
      <c r="DA151" s="106">
        <f>+HLOOKUP($C151,PMGR!$EK$2:$EW$250,197,0)</f>
        <v>25096</v>
      </c>
      <c r="DB151" s="106">
        <f>+HLOOKUP($C151,PMGR!$EK$2:$EW$250,198,0)</f>
        <v>5758.08</v>
      </c>
      <c r="DC151" s="106">
        <f>+HLOOKUP($C151,PMGR!$EK$2:$EW$250,199,0)</f>
        <v>0</v>
      </c>
      <c r="DD151" s="106">
        <f>+HLOOKUP($C151,PMGR!$EK$2:$EW$250,200,0)</f>
        <v>2908</v>
      </c>
      <c r="DE151" s="106">
        <f>+HLOOKUP($C151,PMGR!$EK$2:$EW$250,201,0)</f>
        <v>0</v>
      </c>
      <c r="DF151" s="106">
        <f>+HLOOKUP($C151,PMGR!$EK$2:$EW$250,202,0)</f>
        <v>-0.89</v>
      </c>
      <c r="DG151" s="106">
        <f>+HLOOKUP($C151,PMGR!$EK$2:$EW$250,203,0)</f>
        <v>0</v>
      </c>
      <c r="DH151" s="106">
        <f>+HLOOKUP($C151,PMGR!$EK$2:$EW$250,205,0)</f>
        <v>0</v>
      </c>
      <c r="DI151" s="106">
        <f>+HLOOKUP($C151,PMGR!$EK$2:$EW$250,206,0)</f>
        <v>7415.25</v>
      </c>
      <c r="DJ151" s="106">
        <f>+HLOOKUP($C151,PMGR!$EK$2:$EW$250,207,0)</f>
        <v>3382.75</v>
      </c>
      <c r="DK151" s="106">
        <f>+HLOOKUP($C151,PMGR!$EK$2:$EW$250,209,0)</f>
        <v>0</v>
      </c>
      <c r="DL151" s="106">
        <f>+HLOOKUP($C151,PMGR!$EK$2:$EW$250,210,0)</f>
        <v>267000</v>
      </c>
      <c r="DM151" s="106">
        <f>+HLOOKUP($C151,PMGR!$EK$2:$EW$250,211,0)</f>
        <v>0</v>
      </c>
      <c r="DN151" s="106">
        <f>+HLOOKUP($C151,PMGR!$EK$2:$EW$250,212,0)</f>
        <v>0</v>
      </c>
      <c r="DO151" s="106">
        <f>+HLOOKUP($C151,PMGR!$EK$2:$EW$250,214,0)</f>
        <v>0</v>
      </c>
      <c r="DP151" s="106">
        <f>+HLOOKUP($C151,PMGR!$EK$2:$EW$250,215,0)</f>
        <v>0</v>
      </c>
      <c r="DQ151" s="106">
        <f>+HLOOKUP($C151,PMGR!$EK$2:$EW$250,219,0)</f>
        <v>0</v>
      </c>
      <c r="DR151" s="106">
        <f>+HLOOKUP($C151,PMGR!$EK$2:$EW$250,220,0)</f>
        <v>0</v>
      </c>
      <c r="DS151" s="106">
        <f>+HLOOKUP($C151,PMGR!$EK$2:$EW$250,221,0)</f>
        <v>0</v>
      </c>
      <c r="DT151" s="106">
        <f>+HLOOKUP($C151,PMGR!$EK$2:$EW$250,223,0)</f>
        <v>0</v>
      </c>
      <c r="DU151" s="106">
        <f>+HLOOKUP($C151,PMGR!$EK$2:$EW$250,224,0)</f>
        <v>0</v>
      </c>
      <c r="DV151" s="106">
        <f>+HLOOKUP($C151,PMGR!$EK$2:$EW$250,225,0)</f>
        <v>0</v>
      </c>
      <c r="DW151" s="106">
        <f>+HLOOKUP($C151,PMGR!$EK$2:$EW$250,227,0)</f>
        <v>0</v>
      </c>
      <c r="DX151" s="106">
        <f>+HLOOKUP($C151,PMGR!$EK$2:$EW$250,228,0)</f>
        <v>0</v>
      </c>
      <c r="DY151" s="106">
        <f>+HLOOKUP($C151,PMGR!$EK$2:$EW$250,236,0)</f>
        <v>0</v>
      </c>
      <c r="DZ151" s="106">
        <f>+HLOOKUP($C151,PMGR!$EK$2:$EW$250,237,0)</f>
        <v>0</v>
      </c>
      <c r="EA151" s="106">
        <f>+HLOOKUP($C151,PMGR!$EK$2:$EW$250,238,0)</f>
        <v>0</v>
      </c>
      <c r="EB151" s="106">
        <f>+HLOOKUP($C151,PMGR!$EK$2:$EW$250,240,0)</f>
        <v>702927.25199999998</v>
      </c>
    </row>
    <row r="152" spans="1:132" hidden="1">
      <c r="A152" t="s">
        <v>272</v>
      </c>
      <c r="B152" t="s">
        <v>217</v>
      </c>
      <c r="C152" s="117">
        <v>45809</v>
      </c>
      <c r="D152" s="106">
        <f t="shared" si="0"/>
        <v>4201509.8628908545</v>
      </c>
      <c r="E152" s="106">
        <f>+HLOOKUP(C152,PMGR!$EK$2:$EW$250,28,0)+HLOOKUP(C152,PMGR!$EK$2:$EW$250,43,0)+HLOOKUP(C152,PMGR!$EK$2:$EW$250,44,0)+HLOOKUP(C152,PMGR!$EK$2:$EW$250,45,0)+HLOOKUP(C152,PMGR!$EK$2:$EW$250,54,0)+HLOOKUP(C152,PMGR!$EK$2:$EW$250,59,0)</f>
        <v>4201509.8628908545</v>
      </c>
      <c r="F152" s="106">
        <f>+HLOOKUP(C152,PMGR!$EK$2:$EW$250,37,0)+HLOOKUP(C152,PMGR!$EK$2:$EW$250,55,0)</f>
        <v>2521811.6580000003</v>
      </c>
      <c r="G152" s="106">
        <f>+HLOOKUP($C152,PMGR!$EK$2:$EW$250,76,0)</f>
        <v>0</v>
      </c>
      <c r="H152" s="106">
        <f>+HLOOKUP($C152,PMGR!$EK$2:$EW$250,77,0)</f>
        <v>0</v>
      </c>
      <c r="I152" s="106">
        <f>+HLOOKUP($C152,PMGR!$EK$2:$EW$250,78,0)</f>
        <v>0</v>
      </c>
      <c r="J152" s="106">
        <f>+HLOOKUP($C152,PMGR!$EK$2:$EW$250,79,0)</f>
        <v>0</v>
      </c>
      <c r="K152" s="106">
        <f>+HLOOKUP($C152,PMGR!$EK$2:$EW$250,80,0)</f>
        <v>0</v>
      </c>
      <c r="L152" s="106">
        <f>+HLOOKUP($C152,PMGR!$EK$2:$EW$250,81,0)</f>
        <v>0</v>
      </c>
      <c r="M152" s="106">
        <f>+HLOOKUP($C152,PMGR!$EK$2:$EW$250,82,0)</f>
        <v>0</v>
      </c>
      <c r="N152" s="106">
        <f>+HLOOKUP($C152,PMGR!$EK$2:$EW$250,83,0)</f>
        <v>0</v>
      </c>
      <c r="O152" s="106">
        <f>+HLOOKUP($C152,PMGR!$EK$2:$EW$250,84,0)</f>
        <v>0</v>
      </c>
      <c r="P152" s="106">
        <f>+HLOOKUP($C152,PMGR!$EK$2:$EW$250,85,0)</f>
        <v>0</v>
      </c>
      <c r="Q152" s="106">
        <f>+HLOOKUP($C152,PMGR!$EK$2:$EW$250,87,0)</f>
        <v>67199.191000000006</v>
      </c>
      <c r="R152" s="106">
        <f>+HLOOKUP($C152,PMGR!$EK$2:$EW$250,90,0)</f>
        <v>0</v>
      </c>
      <c r="S152" s="106">
        <f>+HLOOKUP($C152,PMGR!$EK$2:$EW$250,91,0)</f>
        <v>900</v>
      </c>
      <c r="T152" s="106">
        <f>+HLOOKUP($C152,PMGR!$EK$2:$EW$250,92,0)</f>
        <v>0</v>
      </c>
      <c r="U152" s="106">
        <f>+HLOOKUP($C152,PMGR!$EK$2:$EW$250,93,0)</f>
        <v>0</v>
      </c>
      <c r="V152" s="106">
        <f>+HLOOKUP($C152,PMGR!$EK$2:$EW$250,94,0)</f>
        <v>0</v>
      </c>
      <c r="W152" s="106">
        <f>+HLOOKUP($C152,PMGR!$EK$2:$EW$250,95,0)</f>
        <v>0</v>
      </c>
      <c r="X152" s="106">
        <f>+HLOOKUP($C152,PMGR!$EK$2:$EW$250,96,0)</f>
        <v>0</v>
      </c>
      <c r="Y152" s="106">
        <f>+HLOOKUP($C152,PMGR!$EK$2:$EW$250,97,0)</f>
        <v>0</v>
      </c>
      <c r="Z152" s="106">
        <f>+HLOOKUP($C152,PMGR!$EK$2:$EW$250,98,0)</f>
        <v>0</v>
      </c>
      <c r="AA152" s="106">
        <f>+HLOOKUP($C152,PMGR!$EK$2:$EW$250,99,0)</f>
        <v>0</v>
      </c>
      <c r="AB152" s="106">
        <f>+HLOOKUP($C152,PMGR!$EK$2:$EW$250,100,0)</f>
        <v>0</v>
      </c>
      <c r="AC152" s="106">
        <f>+HLOOKUP($C152,PMGR!$EK$2:$EW$250,101,0)</f>
        <v>18978.864000000001</v>
      </c>
      <c r="AD152" s="106">
        <f>+HLOOKUP($C152,PMGR!$EK$2:$EW$250,104,0)</f>
        <v>0</v>
      </c>
      <c r="AE152" s="106">
        <f>+HLOOKUP($C152,PMGR!$EK$2:$EW$250,105,0)</f>
        <v>2055.2860000000001</v>
      </c>
      <c r="AF152" s="106">
        <f>+HLOOKUP($C152,PMGR!$EK$2:$EW$250,106,0)</f>
        <v>0</v>
      </c>
      <c r="AG152" s="106">
        <f>+HLOOKUP($C152,PMGR!$EK$2:$EW$250,107,0)</f>
        <v>28570.5</v>
      </c>
      <c r="AH152" s="106">
        <f>+HLOOKUP($C152,PMGR!$EK$2:$EW$250,108,0)</f>
        <v>0</v>
      </c>
      <c r="AI152" s="106">
        <f>+HLOOKUP($C152,PMGR!$EK$2:$EW$250,109,0)</f>
        <v>0</v>
      </c>
      <c r="AJ152" s="106">
        <f>+HLOOKUP($C152,PMGR!$EK$2:$EW$250,110,0)</f>
        <v>0</v>
      </c>
      <c r="AK152" s="106">
        <f>+HLOOKUP($C152,PMGR!$EK$2:$EW$250,111,0)</f>
        <v>49274.39</v>
      </c>
      <c r="AL152" s="106">
        <f>+HLOOKUP($C152,PMGR!$EK$2:$EW$250,112,0)</f>
        <v>0</v>
      </c>
      <c r="AM152" s="106">
        <f>+HLOOKUP($C152,PMGR!$EK$2:$EW$250,116,0)</f>
        <v>178333</v>
      </c>
      <c r="AN152" s="106">
        <f>+HLOOKUP($C152,PMGR!$EK$2:$EW$250,117,0)</f>
        <v>22650</v>
      </c>
      <c r="AO152" s="106">
        <f>+HLOOKUP($C152,PMGR!$EK$2:$EW$250,118,0)</f>
        <v>0</v>
      </c>
      <c r="AP152" s="106">
        <f>+HLOOKUP($C152,PMGR!$EK$2:$EW$250,119,0)</f>
        <v>70033</v>
      </c>
      <c r="AQ152" s="106">
        <f>+HLOOKUP($C152,PMGR!$EK$2:$EW$250,120,0)</f>
        <v>14200</v>
      </c>
      <c r="AR152" s="106">
        <f>+HLOOKUP($C152,PMGR!$EK$2:$EW$250,121,0)</f>
        <v>1417</v>
      </c>
      <c r="AS152" s="106">
        <f>+HLOOKUP($C152,PMGR!$EK$2:$EW$250,122,0)</f>
        <v>54753</v>
      </c>
      <c r="AT152" s="106">
        <f>+HLOOKUP($C152,PMGR!$EK$2:$EW$250,123,0)</f>
        <v>18806.666666666668</v>
      </c>
      <c r="AU152" s="106">
        <f>+HLOOKUP($C152,PMGR!$EK$2:$EW$250,124,0)</f>
        <v>807.5</v>
      </c>
      <c r="AV152" s="106">
        <f>+HLOOKUP($C152,PMGR!$EK$2:$EW$250,125,0)</f>
        <v>0</v>
      </c>
      <c r="AW152" s="106">
        <f>+HLOOKUP($C152,PMGR!$EK$2:$EW$250,126,0)</f>
        <v>7644.2307692307695</v>
      </c>
      <c r="AX152" s="106">
        <f>+HLOOKUP($C152,PMGR!$EK$2:$EW$250,127,0)</f>
        <v>10916.666666666664</v>
      </c>
      <c r="AY152" s="106">
        <f>+HLOOKUP($C152,PMGR!$EK$2:$EW$250,129,0)</f>
        <v>0</v>
      </c>
      <c r="AZ152" s="106">
        <f>+HLOOKUP($C152,PMGR!$EK$2:$EW$250,130,0)</f>
        <v>0</v>
      </c>
      <c r="BA152" s="106">
        <f>+HLOOKUP($C152,PMGR!$EK$2:$EW$250,131,0)</f>
        <v>0</v>
      </c>
      <c r="BB152" s="106">
        <f>+HLOOKUP($C152,PMGR!$EK$2:$EW$250,133,0)</f>
        <v>0</v>
      </c>
      <c r="BC152" s="106">
        <f>+HLOOKUP($C152,PMGR!$EK$2:$EW$250,134,0)</f>
        <v>18407.14</v>
      </c>
      <c r="BD152" s="106">
        <f>+HLOOKUP($C152,PMGR!$EK$2:$EW$250,135,0)</f>
        <v>0</v>
      </c>
      <c r="BE152" s="106">
        <f>+HLOOKUP($C152,PMGR!$EK$2:$EW$250,136,0)</f>
        <v>0</v>
      </c>
      <c r="BF152" s="106">
        <f>+HLOOKUP($C152,PMGR!$EK$2:$EW$250,138,0)</f>
        <v>320</v>
      </c>
      <c r="BG152" s="106">
        <f>+HLOOKUP($C152,PMGR!$EK$2:$EW$250,139,0)</f>
        <v>24768</v>
      </c>
      <c r="BH152" s="106">
        <f>+HLOOKUP($C152,PMGR!$EK$2:$EW$250,140,0)</f>
        <v>17910</v>
      </c>
      <c r="BI152" s="106">
        <f>+HLOOKUP($C152,PMGR!$EK$2:$EW$250,141,0)</f>
        <v>0</v>
      </c>
      <c r="BJ152" s="106">
        <f>+HLOOKUP($C152,PMGR!$EK$2:$EW$250,142,0)</f>
        <v>0</v>
      </c>
      <c r="BK152" s="106">
        <f>+HLOOKUP($C152,PMGR!$EK$2:$EW$250,143,0)</f>
        <v>2851.4</v>
      </c>
      <c r="BL152" s="106">
        <f>+HLOOKUP($C152,PMGR!$EK$2:$EW$250,144,0)</f>
        <v>500</v>
      </c>
      <c r="BM152" s="106">
        <f>+HLOOKUP($C152,PMGR!$EK$2:$EW$250,146,0)</f>
        <v>0</v>
      </c>
      <c r="BN152" s="106">
        <f>+HLOOKUP($C152,PMGR!$EK$2:$EW$250,147,0)</f>
        <v>23347</v>
      </c>
      <c r="BO152" s="106">
        <f>+HLOOKUP($C152,PMGR!$EK$2:$EW$250,148,0)</f>
        <v>0</v>
      </c>
      <c r="BP152" s="106">
        <f>+HLOOKUP($C152,PMGR!$EK$2:$EW$250,150,0)</f>
        <v>78524</v>
      </c>
      <c r="BQ152" s="106">
        <f>+HLOOKUP($C152,PMGR!$EK$2:$EW$250,151,0)</f>
        <v>4961</v>
      </c>
      <c r="BR152" s="106">
        <f>+HLOOKUP($C152,PMGR!$EK$2:$EW$250,152,0)</f>
        <v>36000</v>
      </c>
      <c r="BS152" s="106">
        <f>+HLOOKUP($C152,PMGR!$EK$2:$EW$250,153,0)</f>
        <v>12300</v>
      </c>
      <c r="BT152" s="106">
        <f>+HLOOKUP($C152,PMGR!$EK$2:$EW$250,157,0)</f>
        <v>-54558.25</v>
      </c>
      <c r="BU152" s="106">
        <f>+HLOOKUP($C152,PMGR!$EK$2:$EW$250,158,0)</f>
        <v>0</v>
      </c>
      <c r="BV152" s="106">
        <f>+HLOOKUP($C152,PMGR!$EK$2:$EW$250,159,0)</f>
        <v>0</v>
      </c>
      <c r="BW152" s="106">
        <f>+HLOOKUP($C152,PMGR!$EK$2:$EW$250,160,0)</f>
        <v>0</v>
      </c>
      <c r="BX152" s="106">
        <f>+HLOOKUP($C152,PMGR!$EK$2:$EW$250,161,0)</f>
        <v>186596.09</v>
      </c>
      <c r="BY152" s="106">
        <f>+HLOOKUP($C152,PMGR!$EK$2:$EW$250,164,0)</f>
        <v>0</v>
      </c>
      <c r="BZ152" s="106">
        <f>+HLOOKUP($C152,PMGR!$EK$2:$EW$250,165,0)</f>
        <v>0</v>
      </c>
      <c r="CA152" s="106">
        <f>+HLOOKUP($C152,PMGR!$EK$2:$EW$250,166,0)</f>
        <v>0</v>
      </c>
      <c r="CB152" s="106">
        <f>+HLOOKUP($C152,PMGR!$EK$2:$EW$250,167,0)</f>
        <v>0</v>
      </c>
      <c r="CC152" s="106">
        <f>+HLOOKUP($C152,PMGR!$EK$2:$EW$250,168,0)</f>
        <v>0</v>
      </c>
      <c r="CD152" s="106">
        <f>+HLOOKUP($C152,PMGR!$EK$2:$EW$250,169,0)</f>
        <v>0</v>
      </c>
      <c r="CE152" s="106">
        <f>+HLOOKUP($C152,PMGR!$EK$2:$EW$250,170,0)</f>
        <v>0</v>
      </c>
      <c r="CF152" s="106">
        <f>+HLOOKUP($C152,PMGR!$EK$2:$EW$250,172,0)</f>
        <v>0</v>
      </c>
      <c r="CG152" s="106">
        <f>+HLOOKUP($C152,PMGR!$EK$2:$EW$250,173,0)</f>
        <v>0</v>
      </c>
      <c r="CH152" s="106">
        <f>+HLOOKUP($C152,PMGR!$EK$2:$EW$250,174,0)</f>
        <v>45900.600000000006</v>
      </c>
      <c r="CI152" s="106">
        <f>+HLOOKUP($C152,PMGR!$EK$2:$EW$250,175,0)</f>
        <v>20044</v>
      </c>
      <c r="CJ152" s="106">
        <f>+HLOOKUP($C152,PMGR!$EK$2:$EW$250,176,0)</f>
        <v>0</v>
      </c>
      <c r="CK152" s="106">
        <f>+HLOOKUP($C152,PMGR!$EK$2:$EW$250,178,0)</f>
        <v>8807</v>
      </c>
      <c r="CL152" s="106">
        <f>+HLOOKUP($C152,PMGR!$EK$2:$EW$250,179,0)</f>
        <v>285113</v>
      </c>
      <c r="CM152" s="106">
        <f>+HLOOKUP($C152,PMGR!$EK$2:$EW$250,180,0)</f>
        <v>0</v>
      </c>
      <c r="CN152" s="106">
        <f>+HLOOKUP($C152,PMGR!$EK$2:$EW$250,182,0)</f>
        <v>0</v>
      </c>
      <c r="CO152" s="106">
        <f>+HLOOKUP($C152,PMGR!$EK$2:$EW$250,183,0)</f>
        <v>13992.41</v>
      </c>
      <c r="CP152" s="106">
        <f>+HLOOKUP($C152,PMGR!$EK$2:$EW$250,184,0)</f>
        <v>0</v>
      </c>
      <c r="CQ152" s="106">
        <f>+HLOOKUP($C152,PMGR!$EK$2:$EW$250,185,0)</f>
        <v>0</v>
      </c>
      <c r="CR152" s="106">
        <f>+HLOOKUP($C152,PMGR!$EK$2:$EW$250,187,0)</f>
        <v>1874.9999999999995</v>
      </c>
      <c r="CS152" s="106">
        <f>+HLOOKUP($C152,PMGR!$EK$2:$EW$250,188,0)</f>
        <v>0</v>
      </c>
      <c r="CT152" s="106">
        <f>+HLOOKUP($C152,PMGR!$EK$2:$EW$250,189,0)</f>
        <v>0</v>
      </c>
      <c r="CU152" s="106">
        <f>+HLOOKUP($C152,PMGR!$EK$2:$EW$250,190,0)</f>
        <v>0</v>
      </c>
      <c r="CV152" s="106">
        <f>+HLOOKUP($C152,PMGR!$EK$2:$EW$250,191,0)</f>
        <v>0</v>
      </c>
      <c r="CW152" s="106">
        <f>+HLOOKUP($C152,PMGR!$EK$2:$EW$250,193,0)</f>
        <v>0</v>
      </c>
      <c r="CX152" s="106">
        <f>+HLOOKUP($C152,PMGR!$EK$2:$EW$250,194,0)</f>
        <v>230</v>
      </c>
      <c r="CY152" s="106">
        <f>+HLOOKUP($C152,PMGR!$EK$2:$EW$250,195,0)</f>
        <v>2166.67</v>
      </c>
      <c r="CZ152" s="106">
        <f>+HLOOKUP($C152,PMGR!$EK$2:$EW$250,196,0)</f>
        <v>0</v>
      </c>
      <c r="DA152" s="106">
        <f>+HLOOKUP($C152,PMGR!$EK$2:$EW$250,197,0)</f>
        <v>25898</v>
      </c>
      <c r="DB152" s="106">
        <f>+HLOOKUP($C152,PMGR!$EK$2:$EW$250,198,0)</f>
        <v>4643.1139999999996</v>
      </c>
      <c r="DC152" s="106">
        <f>+HLOOKUP($C152,PMGR!$EK$2:$EW$250,199,0)</f>
        <v>0</v>
      </c>
      <c r="DD152" s="106">
        <f>+HLOOKUP($C152,PMGR!$EK$2:$EW$250,200,0)</f>
        <v>1994</v>
      </c>
      <c r="DE152" s="106">
        <f>+HLOOKUP($C152,PMGR!$EK$2:$EW$250,201,0)</f>
        <v>0</v>
      </c>
      <c r="DF152" s="106">
        <f>+HLOOKUP($C152,PMGR!$EK$2:$EW$250,202,0)</f>
        <v>-1.2</v>
      </c>
      <c r="DG152" s="106">
        <f>+HLOOKUP($C152,PMGR!$EK$2:$EW$250,203,0)</f>
        <v>0</v>
      </c>
      <c r="DH152" s="106">
        <f>+HLOOKUP($C152,PMGR!$EK$2:$EW$250,205,0)</f>
        <v>0</v>
      </c>
      <c r="DI152" s="106">
        <f>+HLOOKUP($C152,PMGR!$EK$2:$EW$250,206,0)</f>
        <v>7415.25</v>
      </c>
      <c r="DJ152" s="106">
        <f>+HLOOKUP($C152,PMGR!$EK$2:$EW$250,207,0)</f>
        <v>10594.33</v>
      </c>
      <c r="DK152" s="106">
        <f>+HLOOKUP($C152,PMGR!$EK$2:$EW$250,209,0)</f>
        <v>0</v>
      </c>
      <c r="DL152" s="106">
        <f>+HLOOKUP($C152,PMGR!$EK$2:$EW$250,210,0)</f>
        <v>267000</v>
      </c>
      <c r="DM152" s="106">
        <f>+HLOOKUP($C152,PMGR!$EK$2:$EW$250,211,0)</f>
        <v>0</v>
      </c>
      <c r="DN152" s="106">
        <f>+HLOOKUP($C152,PMGR!$EK$2:$EW$250,212,0)</f>
        <v>0</v>
      </c>
      <c r="DO152" s="106">
        <f>+HLOOKUP($C152,PMGR!$EK$2:$EW$250,214,0)</f>
        <v>0</v>
      </c>
      <c r="DP152" s="106">
        <f>+HLOOKUP($C152,PMGR!$EK$2:$EW$250,215,0)</f>
        <v>0</v>
      </c>
      <c r="DQ152" s="106">
        <f>+HLOOKUP($C152,PMGR!$EK$2:$EW$250,219,0)</f>
        <v>0</v>
      </c>
      <c r="DR152" s="106">
        <f>+HLOOKUP($C152,PMGR!$EK$2:$EW$250,220,0)</f>
        <v>0</v>
      </c>
      <c r="DS152" s="106">
        <f>+HLOOKUP($C152,PMGR!$EK$2:$EW$250,221,0)</f>
        <v>0</v>
      </c>
      <c r="DT152" s="106">
        <f>+HLOOKUP($C152,PMGR!$EK$2:$EW$250,223,0)</f>
        <v>0</v>
      </c>
      <c r="DU152" s="106">
        <f>+HLOOKUP($C152,PMGR!$EK$2:$EW$250,224,0)</f>
        <v>0</v>
      </c>
      <c r="DV152" s="106">
        <f>+HLOOKUP($C152,PMGR!$EK$2:$EW$250,225,0)</f>
        <v>0</v>
      </c>
      <c r="DW152" s="106">
        <f>+HLOOKUP($C152,PMGR!$EK$2:$EW$250,227,0)</f>
        <v>0</v>
      </c>
      <c r="DX152" s="106">
        <f>+HLOOKUP($C152,PMGR!$EK$2:$EW$250,228,0)</f>
        <v>0</v>
      </c>
      <c r="DY152" s="106">
        <f>+HLOOKUP($C152,PMGR!$EK$2:$EW$250,236,0)</f>
        <v>0</v>
      </c>
      <c r="DZ152" s="106">
        <f>+HLOOKUP($C152,PMGR!$EK$2:$EW$250,237,0)</f>
        <v>0</v>
      </c>
      <c r="EA152" s="106">
        <f>+HLOOKUP($C152,PMGR!$EK$2:$EW$250,238,0)</f>
        <v>0</v>
      </c>
      <c r="EB152" s="106">
        <f>+HLOOKUP($C152,PMGR!$EK$2:$EW$250,240,0)</f>
        <v>702927.25199999998</v>
      </c>
    </row>
    <row r="153" spans="1:132" hidden="1">
      <c r="A153" t="s">
        <v>272</v>
      </c>
      <c r="B153" t="s">
        <v>217</v>
      </c>
      <c r="C153" s="117">
        <v>45778</v>
      </c>
      <c r="D153" s="106">
        <f t="shared" si="0"/>
        <v>3509980.7314237747</v>
      </c>
      <c r="E153" s="106">
        <f>+HLOOKUP(C153,PMGR!$EK$2:$EW$250,28,0)+HLOOKUP(C153,PMGR!$EK$2:$EW$250,43,0)+HLOOKUP(C153,PMGR!$EK$2:$EW$250,44,0)+HLOOKUP(C153,PMGR!$EK$2:$EW$250,45,0)+HLOOKUP(C153,PMGR!$EK$2:$EW$250,54,0)+HLOOKUP(C153,PMGR!$EK$2:$EW$250,59,0)</f>
        <v>3509980.7314237747</v>
      </c>
      <c r="F153" s="106">
        <f>+HLOOKUP(C153,PMGR!$EK$2:$EW$250,37,0)+HLOOKUP(C153,PMGR!$EK$2:$EW$250,55,0)</f>
        <v>2697577.8820000002</v>
      </c>
      <c r="G153" s="106">
        <f>+HLOOKUP($C153,PMGR!$EK$2:$EW$250,76,0)</f>
        <v>0</v>
      </c>
      <c r="H153" s="106">
        <f>+HLOOKUP($C153,PMGR!$EK$2:$EW$250,77,0)</f>
        <v>0</v>
      </c>
      <c r="I153" s="106">
        <f>+HLOOKUP($C153,PMGR!$EK$2:$EW$250,78,0)</f>
        <v>0</v>
      </c>
      <c r="J153" s="106">
        <f>+HLOOKUP($C153,PMGR!$EK$2:$EW$250,79,0)</f>
        <v>0</v>
      </c>
      <c r="K153" s="106">
        <f>+HLOOKUP($C153,PMGR!$EK$2:$EW$250,80,0)</f>
        <v>0</v>
      </c>
      <c r="L153" s="106">
        <f>+HLOOKUP($C153,PMGR!$EK$2:$EW$250,81,0)</f>
        <v>0</v>
      </c>
      <c r="M153" s="106">
        <f>+HLOOKUP($C153,PMGR!$EK$2:$EW$250,82,0)</f>
        <v>0</v>
      </c>
      <c r="N153" s="106">
        <f>+HLOOKUP($C153,PMGR!$EK$2:$EW$250,83,0)</f>
        <v>0</v>
      </c>
      <c r="O153" s="106">
        <f>+HLOOKUP($C153,PMGR!$EK$2:$EW$250,84,0)</f>
        <v>0</v>
      </c>
      <c r="P153" s="106">
        <f>+HLOOKUP($C153,PMGR!$EK$2:$EW$250,85,0)</f>
        <v>0</v>
      </c>
      <c r="Q153" s="106">
        <f>+HLOOKUP($C153,PMGR!$EK$2:$EW$250,87,0)</f>
        <v>68069.100000000006</v>
      </c>
      <c r="R153" s="106">
        <f>+HLOOKUP($C153,PMGR!$EK$2:$EW$250,90,0)</f>
        <v>0</v>
      </c>
      <c r="S153" s="106">
        <f>+HLOOKUP($C153,PMGR!$EK$2:$EW$250,91,0)</f>
        <v>900</v>
      </c>
      <c r="T153" s="106">
        <f>+HLOOKUP($C153,PMGR!$EK$2:$EW$250,92,0)</f>
        <v>0</v>
      </c>
      <c r="U153" s="106">
        <f>+HLOOKUP($C153,PMGR!$EK$2:$EW$250,93,0)</f>
        <v>0</v>
      </c>
      <c r="V153" s="106">
        <f>+HLOOKUP($C153,PMGR!$EK$2:$EW$250,94,0)</f>
        <v>0</v>
      </c>
      <c r="W153" s="106">
        <f>+HLOOKUP($C153,PMGR!$EK$2:$EW$250,95,0)</f>
        <v>0</v>
      </c>
      <c r="X153" s="106">
        <f>+HLOOKUP($C153,PMGR!$EK$2:$EW$250,96,0)</f>
        <v>0</v>
      </c>
      <c r="Y153" s="106">
        <f>+HLOOKUP($C153,PMGR!$EK$2:$EW$250,97,0)</f>
        <v>0</v>
      </c>
      <c r="Z153" s="106">
        <f>+HLOOKUP($C153,PMGR!$EK$2:$EW$250,98,0)</f>
        <v>0</v>
      </c>
      <c r="AA153" s="106">
        <f>+HLOOKUP($C153,PMGR!$EK$2:$EW$250,99,0)</f>
        <v>0</v>
      </c>
      <c r="AB153" s="106">
        <f>+HLOOKUP($C153,PMGR!$EK$2:$EW$250,100,0)</f>
        <v>0</v>
      </c>
      <c r="AC153" s="106">
        <f>+HLOOKUP($C153,PMGR!$EK$2:$EW$250,101,0)</f>
        <v>21348</v>
      </c>
      <c r="AD153" s="106">
        <f>+HLOOKUP($C153,PMGR!$EK$2:$EW$250,104,0)</f>
        <v>0</v>
      </c>
      <c r="AE153" s="106">
        <f>+HLOOKUP($C153,PMGR!$EK$2:$EW$250,105,0)</f>
        <v>0</v>
      </c>
      <c r="AF153" s="106">
        <f>+HLOOKUP($C153,PMGR!$EK$2:$EW$250,106,0)</f>
        <v>0</v>
      </c>
      <c r="AG153" s="106">
        <f>+HLOOKUP($C153,PMGR!$EK$2:$EW$250,107,0)</f>
        <v>0</v>
      </c>
      <c r="AH153" s="106">
        <f>+HLOOKUP($C153,PMGR!$EK$2:$EW$250,108,0)</f>
        <v>0</v>
      </c>
      <c r="AI153" s="106">
        <f>+HLOOKUP($C153,PMGR!$EK$2:$EW$250,109,0)</f>
        <v>0</v>
      </c>
      <c r="AJ153" s="106">
        <f>+HLOOKUP($C153,PMGR!$EK$2:$EW$250,110,0)</f>
        <v>0</v>
      </c>
      <c r="AK153" s="106">
        <f>+HLOOKUP($C153,PMGR!$EK$2:$EW$250,111,0)</f>
        <v>136168.75799999997</v>
      </c>
      <c r="AL153" s="106">
        <f>+HLOOKUP($C153,PMGR!$EK$2:$EW$250,112,0)</f>
        <v>0</v>
      </c>
      <c r="AM153" s="106">
        <f>+HLOOKUP($C153,PMGR!$EK$2:$EW$250,116,0)</f>
        <v>159000</v>
      </c>
      <c r="AN153" s="106">
        <f>+HLOOKUP($C153,PMGR!$EK$2:$EW$250,117,0)</f>
        <v>22750</v>
      </c>
      <c r="AO153" s="106">
        <f>+HLOOKUP($C153,PMGR!$EK$2:$EW$250,118,0)</f>
        <v>0</v>
      </c>
      <c r="AP153" s="106">
        <f>+HLOOKUP($C153,PMGR!$EK$2:$EW$250,119,0)</f>
        <v>62300</v>
      </c>
      <c r="AQ153" s="106">
        <f>+HLOOKUP($C153,PMGR!$EK$2:$EW$250,120,0)</f>
        <v>13400</v>
      </c>
      <c r="AR153" s="106">
        <f>+HLOOKUP($C153,PMGR!$EK$2:$EW$250,121,0)</f>
        <v>2500</v>
      </c>
      <c r="AS153" s="106">
        <f>+HLOOKUP($C153,PMGR!$EK$2:$EW$250,122,0)</f>
        <v>54050</v>
      </c>
      <c r="AT153" s="106">
        <f>+HLOOKUP($C153,PMGR!$EK$2:$EW$250,123,0)</f>
        <v>18806.666666666668</v>
      </c>
      <c r="AU153" s="106">
        <f>+HLOOKUP($C153,PMGR!$EK$2:$EW$250,124,0)</f>
        <v>807.5</v>
      </c>
      <c r="AV153" s="106">
        <f>+HLOOKUP($C153,PMGR!$EK$2:$EW$250,125,0)</f>
        <v>0</v>
      </c>
      <c r="AW153" s="106">
        <f>+HLOOKUP($C153,PMGR!$EK$2:$EW$250,126,0)</f>
        <v>7644.2307692307695</v>
      </c>
      <c r="AX153" s="106">
        <f>+HLOOKUP($C153,PMGR!$EK$2:$EW$250,127,0)</f>
        <v>10916.666666666664</v>
      </c>
      <c r="AY153" s="106">
        <f>+HLOOKUP($C153,PMGR!$EK$2:$EW$250,129,0)</f>
        <v>0</v>
      </c>
      <c r="AZ153" s="106">
        <f>+HLOOKUP($C153,PMGR!$EK$2:$EW$250,130,0)</f>
        <v>0</v>
      </c>
      <c r="BA153" s="106">
        <f>+HLOOKUP($C153,PMGR!$EK$2:$EW$250,131,0)</f>
        <v>0</v>
      </c>
      <c r="BB153" s="106">
        <f>+HLOOKUP($C153,PMGR!$EK$2:$EW$250,133,0)</f>
        <v>0</v>
      </c>
      <c r="BC153" s="106">
        <f>+HLOOKUP($C153,PMGR!$EK$2:$EW$250,134,0)</f>
        <v>5483</v>
      </c>
      <c r="BD153" s="106">
        <f>+HLOOKUP($C153,PMGR!$EK$2:$EW$250,135,0)</f>
        <v>0</v>
      </c>
      <c r="BE153" s="106">
        <f>+HLOOKUP($C153,PMGR!$EK$2:$EW$250,136,0)</f>
        <v>0</v>
      </c>
      <c r="BF153" s="106">
        <f>+HLOOKUP($C153,PMGR!$EK$2:$EW$250,138,0)</f>
        <v>0</v>
      </c>
      <c r="BG153" s="106">
        <f>+HLOOKUP($C153,PMGR!$EK$2:$EW$250,139,0)</f>
        <v>17535</v>
      </c>
      <c r="BH153" s="106">
        <f>+HLOOKUP($C153,PMGR!$EK$2:$EW$250,140,0)</f>
        <v>30000</v>
      </c>
      <c r="BI153" s="106">
        <f>+HLOOKUP($C153,PMGR!$EK$2:$EW$250,141,0)</f>
        <v>0</v>
      </c>
      <c r="BJ153" s="106">
        <f>+HLOOKUP($C153,PMGR!$EK$2:$EW$250,142,0)</f>
        <v>0</v>
      </c>
      <c r="BK153" s="106">
        <f>+HLOOKUP($C153,PMGR!$EK$2:$EW$250,143,0)</f>
        <v>0</v>
      </c>
      <c r="BL153" s="106">
        <f>+HLOOKUP($C153,PMGR!$EK$2:$EW$250,144,0)</f>
        <v>0</v>
      </c>
      <c r="BM153" s="106">
        <f>+HLOOKUP($C153,PMGR!$EK$2:$EW$250,146,0)</f>
        <v>0</v>
      </c>
      <c r="BN153" s="106">
        <f>+HLOOKUP($C153,PMGR!$EK$2:$EW$250,147,0)</f>
        <v>9138</v>
      </c>
      <c r="BO153" s="106">
        <f>+HLOOKUP($C153,PMGR!$EK$2:$EW$250,148,0)</f>
        <v>0</v>
      </c>
      <c r="BP153" s="106">
        <f>+HLOOKUP($C153,PMGR!$EK$2:$EW$250,150,0)</f>
        <v>80450</v>
      </c>
      <c r="BQ153" s="106">
        <f>+HLOOKUP($C153,PMGR!$EK$2:$EW$250,151,0)</f>
        <v>4961</v>
      </c>
      <c r="BR153" s="106">
        <f>+HLOOKUP($C153,PMGR!$EK$2:$EW$250,152,0)</f>
        <v>18000</v>
      </c>
      <c r="BS153" s="106">
        <f>+HLOOKUP($C153,PMGR!$EK$2:$EW$250,153,0)</f>
        <v>4300</v>
      </c>
      <c r="BT153" s="106">
        <f>+HLOOKUP($C153,PMGR!$EK$2:$EW$250,157,0)</f>
        <v>0</v>
      </c>
      <c r="BU153" s="106">
        <f>+HLOOKUP($C153,PMGR!$EK$2:$EW$250,158,0)</f>
        <v>0</v>
      </c>
      <c r="BV153" s="106">
        <f>+HLOOKUP($C153,PMGR!$EK$2:$EW$250,159,0)</f>
        <v>0</v>
      </c>
      <c r="BW153" s="106">
        <f>+HLOOKUP($C153,PMGR!$EK$2:$EW$250,160,0)</f>
        <v>0</v>
      </c>
      <c r="BX153" s="106">
        <f>+HLOOKUP($C153,PMGR!$EK$2:$EW$250,161,0)</f>
        <v>5600</v>
      </c>
      <c r="BY153" s="106">
        <f>+HLOOKUP($C153,PMGR!$EK$2:$EW$250,164,0)</f>
        <v>0</v>
      </c>
      <c r="BZ153" s="106">
        <f>+HLOOKUP($C153,PMGR!$EK$2:$EW$250,165,0)</f>
        <v>0</v>
      </c>
      <c r="CA153" s="106">
        <f>+HLOOKUP($C153,PMGR!$EK$2:$EW$250,166,0)</f>
        <v>0</v>
      </c>
      <c r="CB153" s="106">
        <f>+HLOOKUP($C153,PMGR!$EK$2:$EW$250,167,0)</f>
        <v>0</v>
      </c>
      <c r="CC153" s="106">
        <f>+HLOOKUP($C153,PMGR!$EK$2:$EW$250,168,0)</f>
        <v>0</v>
      </c>
      <c r="CD153" s="106">
        <f>+HLOOKUP($C153,PMGR!$EK$2:$EW$250,169,0)</f>
        <v>0</v>
      </c>
      <c r="CE153" s="106">
        <f>+HLOOKUP($C153,PMGR!$EK$2:$EW$250,170,0)</f>
        <v>0</v>
      </c>
      <c r="CF153" s="106">
        <f>+HLOOKUP($C153,PMGR!$EK$2:$EW$250,172,0)</f>
        <v>0</v>
      </c>
      <c r="CG153" s="106">
        <f>+HLOOKUP($C153,PMGR!$EK$2:$EW$250,173,0)</f>
        <v>0</v>
      </c>
      <c r="CH153" s="106">
        <f>+HLOOKUP($C153,PMGR!$EK$2:$EW$250,174,0)</f>
        <v>0</v>
      </c>
      <c r="CI153" s="106">
        <f>+HLOOKUP($C153,PMGR!$EK$2:$EW$250,175,0)</f>
        <v>0</v>
      </c>
      <c r="CJ153" s="106">
        <f>+HLOOKUP($C153,PMGR!$EK$2:$EW$250,176,0)</f>
        <v>0</v>
      </c>
      <c r="CK153" s="106">
        <f>+HLOOKUP($C153,PMGR!$EK$2:$EW$250,178,0)</f>
        <v>27211.8</v>
      </c>
      <c r="CL153" s="106">
        <f>+HLOOKUP($C153,PMGR!$EK$2:$EW$250,179,0)</f>
        <v>272924.39999999997</v>
      </c>
      <c r="CM153" s="106">
        <f>+HLOOKUP($C153,PMGR!$EK$2:$EW$250,180,0)</f>
        <v>0</v>
      </c>
      <c r="CN153" s="106">
        <f>+HLOOKUP($C153,PMGR!$EK$2:$EW$250,182,0)</f>
        <v>0</v>
      </c>
      <c r="CO153" s="106">
        <f>+HLOOKUP($C153,PMGR!$EK$2:$EW$250,183,0)</f>
        <v>8395.4459999999999</v>
      </c>
      <c r="CP153" s="106">
        <f>+HLOOKUP($C153,PMGR!$EK$2:$EW$250,184,0)</f>
        <v>0</v>
      </c>
      <c r="CQ153" s="106">
        <f>+HLOOKUP($C153,PMGR!$EK$2:$EW$250,185,0)</f>
        <v>0</v>
      </c>
      <c r="CR153" s="106">
        <f>+HLOOKUP($C153,PMGR!$EK$2:$EW$250,187,0)</f>
        <v>1874.9999999999995</v>
      </c>
      <c r="CS153" s="106">
        <f>+HLOOKUP($C153,PMGR!$EK$2:$EW$250,188,0)</f>
        <v>0</v>
      </c>
      <c r="CT153" s="106">
        <f>+HLOOKUP($C153,PMGR!$EK$2:$EW$250,189,0)</f>
        <v>0</v>
      </c>
      <c r="CU153" s="106">
        <f>+HLOOKUP($C153,PMGR!$EK$2:$EW$250,190,0)</f>
        <v>0</v>
      </c>
      <c r="CV153" s="106">
        <f>+HLOOKUP($C153,PMGR!$EK$2:$EW$250,191,0)</f>
        <v>0</v>
      </c>
      <c r="CW153" s="106">
        <f>+HLOOKUP($C153,PMGR!$EK$2:$EW$250,193,0)</f>
        <v>0</v>
      </c>
      <c r="CX153" s="106">
        <f>+HLOOKUP($C153,PMGR!$EK$2:$EW$250,194,0)</f>
        <v>230</v>
      </c>
      <c r="CY153" s="106">
        <f>+HLOOKUP($C153,PMGR!$EK$2:$EW$250,195,0)</f>
        <v>14996.67</v>
      </c>
      <c r="CZ153" s="106">
        <f>+HLOOKUP($C153,PMGR!$EK$2:$EW$250,196,0)</f>
        <v>0</v>
      </c>
      <c r="DA153" s="106">
        <f>+HLOOKUP($C153,PMGR!$EK$2:$EW$250,197,0)</f>
        <v>37383</v>
      </c>
      <c r="DB153" s="106">
        <f>+HLOOKUP($C153,PMGR!$EK$2:$EW$250,198,0)</f>
        <v>16581.29</v>
      </c>
      <c r="DC153" s="106">
        <f>+HLOOKUP($C153,PMGR!$EK$2:$EW$250,199,0)</f>
        <v>0</v>
      </c>
      <c r="DD153" s="106">
        <f>+HLOOKUP($C153,PMGR!$EK$2:$EW$250,200,0)</f>
        <v>4990</v>
      </c>
      <c r="DE153" s="106">
        <f>+HLOOKUP($C153,PMGR!$EK$2:$EW$250,201,0)</f>
        <v>0</v>
      </c>
      <c r="DF153" s="106">
        <f>+HLOOKUP($C153,PMGR!$EK$2:$EW$250,202,0)</f>
        <v>-0.22</v>
      </c>
      <c r="DG153" s="106">
        <f>+HLOOKUP($C153,PMGR!$EK$2:$EW$250,203,0)</f>
        <v>0</v>
      </c>
      <c r="DH153" s="106">
        <f>+HLOOKUP($C153,PMGR!$EK$2:$EW$250,205,0)</f>
        <v>0</v>
      </c>
      <c r="DI153" s="106">
        <f>+HLOOKUP($C153,PMGR!$EK$2:$EW$250,206,0)</f>
        <v>7415.24</v>
      </c>
      <c r="DJ153" s="106">
        <f>+HLOOKUP($C153,PMGR!$EK$2:$EW$250,207,0)</f>
        <v>0</v>
      </c>
      <c r="DK153" s="106">
        <f>+HLOOKUP($C153,PMGR!$EK$2:$EW$250,209,0)</f>
        <v>0</v>
      </c>
      <c r="DL153" s="106">
        <f>+HLOOKUP($C153,PMGR!$EK$2:$EW$250,210,0)</f>
        <v>267000</v>
      </c>
      <c r="DM153" s="106">
        <f>+HLOOKUP($C153,PMGR!$EK$2:$EW$250,211,0)</f>
        <v>0</v>
      </c>
      <c r="DN153" s="106">
        <f>+HLOOKUP($C153,PMGR!$EK$2:$EW$250,212,0)</f>
        <v>0</v>
      </c>
      <c r="DO153" s="106">
        <f>+HLOOKUP($C153,PMGR!$EK$2:$EW$250,214,0)</f>
        <v>0</v>
      </c>
      <c r="DP153" s="106">
        <f>+HLOOKUP($C153,PMGR!$EK$2:$EW$250,215,0)</f>
        <v>0</v>
      </c>
      <c r="DQ153" s="106">
        <f>+HLOOKUP($C153,PMGR!$EK$2:$EW$250,219,0)</f>
        <v>0</v>
      </c>
      <c r="DR153" s="106">
        <f>+HLOOKUP($C153,PMGR!$EK$2:$EW$250,220,0)</f>
        <v>0</v>
      </c>
      <c r="DS153" s="106">
        <f>+HLOOKUP($C153,PMGR!$EK$2:$EW$250,221,0)</f>
        <v>0</v>
      </c>
      <c r="DT153" s="106">
        <f>+HLOOKUP($C153,PMGR!$EK$2:$EW$250,223,0)</f>
        <v>0</v>
      </c>
      <c r="DU153" s="106">
        <f>+HLOOKUP($C153,PMGR!$EK$2:$EW$250,224,0)</f>
        <v>0</v>
      </c>
      <c r="DV153" s="106">
        <f>+HLOOKUP($C153,PMGR!$EK$2:$EW$250,225,0)</f>
        <v>0</v>
      </c>
      <c r="DW153" s="106">
        <f>+HLOOKUP($C153,PMGR!$EK$2:$EW$250,227,0)</f>
        <v>0</v>
      </c>
      <c r="DX153" s="106">
        <f>+HLOOKUP($C153,PMGR!$EK$2:$EW$250,228,0)</f>
        <v>0</v>
      </c>
      <c r="DY153" s="106">
        <f>+HLOOKUP($C153,PMGR!$EK$2:$EW$250,236,0)</f>
        <v>0</v>
      </c>
      <c r="DZ153" s="106">
        <f>+HLOOKUP($C153,PMGR!$EK$2:$EW$250,237,0)</f>
        <v>0</v>
      </c>
      <c r="EA153" s="106">
        <f>+HLOOKUP($C153,PMGR!$EK$2:$EW$250,238,0)</f>
        <v>0</v>
      </c>
      <c r="EB153" s="106">
        <f>+HLOOKUP($C153,PMGR!$EK$2:$EW$250,240,0)</f>
        <v>702927.25199999998</v>
      </c>
    </row>
    <row r="154" spans="1:132" hidden="1">
      <c r="A154" t="s">
        <v>272</v>
      </c>
      <c r="B154" t="s">
        <v>217</v>
      </c>
      <c r="C154" s="117">
        <v>45748</v>
      </c>
      <c r="D154" s="106">
        <f t="shared" si="0"/>
        <v>2234299.319928396</v>
      </c>
      <c r="E154" s="106">
        <f>+HLOOKUP(C154,PMGR!$EK$2:$EW$250,28,0)+HLOOKUP(C154,PMGR!$EK$2:$EW$250,43,0)+HLOOKUP(C154,PMGR!$EK$2:$EW$250,44,0)+HLOOKUP(C154,PMGR!$EK$2:$EW$250,45,0)+HLOOKUP(C154,PMGR!$EK$2:$EW$250,54,0)+HLOOKUP(C154,PMGR!$EK$2:$EW$250,59,0)</f>
        <v>2234299.319928396</v>
      </c>
      <c r="F154" s="106">
        <f>+HLOOKUP(C154,PMGR!$EK$2:$EW$250,37,0)+HLOOKUP(C154,PMGR!$EK$2:$EW$250,55,0)</f>
        <v>1201427.9779999999</v>
      </c>
      <c r="G154" s="106">
        <f>+HLOOKUP($C154,PMGR!$EK$2:$EW$250,76,0)</f>
        <v>0</v>
      </c>
      <c r="H154" s="106">
        <f>+HLOOKUP($C154,PMGR!$EK$2:$EW$250,77,0)</f>
        <v>0</v>
      </c>
      <c r="I154" s="106">
        <f>+HLOOKUP($C154,PMGR!$EK$2:$EW$250,78,0)</f>
        <v>0</v>
      </c>
      <c r="J154" s="106">
        <f>+HLOOKUP($C154,PMGR!$EK$2:$EW$250,79,0)</f>
        <v>0</v>
      </c>
      <c r="K154" s="106">
        <f>+HLOOKUP($C154,PMGR!$EK$2:$EW$250,80,0)</f>
        <v>0</v>
      </c>
      <c r="L154" s="106">
        <f>+HLOOKUP($C154,PMGR!$EK$2:$EW$250,81,0)</f>
        <v>0</v>
      </c>
      <c r="M154" s="106">
        <f>+HLOOKUP($C154,PMGR!$EK$2:$EW$250,82,0)</f>
        <v>0</v>
      </c>
      <c r="N154" s="106">
        <f>+HLOOKUP($C154,PMGR!$EK$2:$EW$250,83,0)</f>
        <v>0</v>
      </c>
      <c r="O154" s="106">
        <f>+HLOOKUP($C154,PMGR!$EK$2:$EW$250,84,0)</f>
        <v>0</v>
      </c>
      <c r="P154" s="106">
        <f>+HLOOKUP($C154,PMGR!$EK$2:$EW$250,85,0)</f>
        <v>0</v>
      </c>
      <c r="Q154" s="106">
        <f>+HLOOKUP($C154,PMGR!$EK$2:$EW$250,87,0)</f>
        <v>37142.42</v>
      </c>
      <c r="R154" s="106">
        <f>+HLOOKUP($C154,PMGR!$EK$2:$EW$250,90,0)</f>
        <v>0</v>
      </c>
      <c r="S154" s="106">
        <f>+HLOOKUP($C154,PMGR!$EK$2:$EW$250,91,0)</f>
        <v>0</v>
      </c>
      <c r="T154" s="106">
        <f>+HLOOKUP($C154,PMGR!$EK$2:$EW$250,92,0)</f>
        <v>0</v>
      </c>
      <c r="U154" s="106">
        <f>+HLOOKUP($C154,PMGR!$EK$2:$EW$250,93,0)</f>
        <v>0</v>
      </c>
      <c r="V154" s="106">
        <f>+HLOOKUP($C154,PMGR!$EK$2:$EW$250,94,0)</f>
        <v>0</v>
      </c>
      <c r="W154" s="106">
        <f>+HLOOKUP($C154,PMGR!$EK$2:$EW$250,95,0)</f>
        <v>0</v>
      </c>
      <c r="X154" s="106">
        <f>+HLOOKUP($C154,PMGR!$EK$2:$EW$250,96,0)</f>
        <v>0</v>
      </c>
      <c r="Y154" s="106">
        <f>+HLOOKUP($C154,PMGR!$EK$2:$EW$250,97,0)</f>
        <v>0</v>
      </c>
      <c r="Z154" s="106">
        <f>+HLOOKUP($C154,PMGR!$EK$2:$EW$250,98,0)</f>
        <v>0</v>
      </c>
      <c r="AA154" s="106">
        <f>+HLOOKUP($C154,PMGR!$EK$2:$EW$250,99,0)</f>
        <v>0</v>
      </c>
      <c r="AB154" s="106">
        <f>+HLOOKUP($C154,PMGR!$EK$2:$EW$250,100,0)</f>
        <v>0</v>
      </c>
      <c r="AC154" s="106">
        <f>+HLOOKUP($C154,PMGR!$EK$2:$EW$250,101,0)</f>
        <v>0</v>
      </c>
      <c r="AD154" s="106">
        <f>+HLOOKUP($C154,PMGR!$EK$2:$EW$250,104,0)</f>
        <v>0</v>
      </c>
      <c r="AE154" s="106">
        <f>+HLOOKUP($C154,PMGR!$EK$2:$EW$250,105,0)</f>
        <v>0</v>
      </c>
      <c r="AF154" s="106">
        <f>+HLOOKUP($C154,PMGR!$EK$2:$EW$250,106,0)</f>
        <v>0</v>
      </c>
      <c r="AG154" s="106">
        <f>+HLOOKUP($C154,PMGR!$EK$2:$EW$250,107,0)</f>
        <v>0</v>
      </c>
      <c r="AH154" s="106">
        <f>+HLOOKUP($C154,PMGR!$EK$2:$EW$250,108,0)</f>
        <v>0</v>
      </c>
      <c r="AI154" s="106">
        <f>+HLOOKUP($C154,PMGR!$EK$2:$EW$250,109,0)</f>
        <v>0</v>
      </c>
      <c r="AJ154" s="106">
        <f>+HLOOKUP($C154,PMGR!$EK$2:$EW$250,110,0)</f>
        <v>0</v>
      </c>
      <c r="AK154" s="106">
        <f>+HLOOKUP($C154,PMGR!$EK$2:$EW$250,111,0)</f>
        <v>3700</v>
      </c>
      <c r="AL154" s="106">
        <f>+HLOOKUP($C154,PMGR!$EK$2:$EW$250,112,0)</f>
        <v>0</v>
      </c>
      <c r="AM154" s="106">
        <f>+HLOOKUP($C154,PMGR!$EK$2:$EW$250,116,0)</f>
        <v>159000</v>
      </c>
      <c r="AN154" s="106">
        <f>+HLOOKUP($C154,PMGR!$EK$2:$EW$250,117,0)</f>
        <v>22750</v>
      </c>
      <c r="AO154" s="106">
        <f>+HLOOKUP($C154,PMGR!$EK$2:$EW$250,118,0)</f>
        <v>0</v>
      </c>
      <c r="AP154" s="106">
        <f>+HLOOKUP($C154,PMGR!$EK$2:$EW$250,119,0)</f>
        <v>62300</v>
      </c>
      <c r="AQ154" s="106">
        <f>+HLOOKUP($C154,PMGR!$EK$2:$EW$250,120,0)</f>
        <v>13400</v>
      </c>
      <c r="AR154" s="106">
        <f>+HLOOKUP($C154,PMGR!$EK$2:$EW$250,121,0)</f>
        <v>2500</v>
      </c>
      <c r="AS154" s="106">
        <f>+HLOOKUP($C154,PMGR!$EK$2:$EW$250,122,0)</f>
        <v>54050</v>
      </c>
      <c r="AT154" s="106">
        <f>+HLOOKUP($C154,PMGR!$EK$2:$EW$250,123,0)</f>
        <v>18806.666666666668</v>
      </c>
      <c r="AU154" s="106">
        <f>+HLOOKUP($C154,PMGR!$EK$2:$EW$250,124,0)</f>
        <v>807.5</v>
      </c>
      <c r="AV154" s="106">
        <f>+HLOOKUP($C154,PMGR!$EK$2:$EW$250,125,0)</f>
        <v>0</v>
      </c>
      <c r="AW154" s="106">
        <f>+HLOOKUP($C154,PMGR!$EK$2:$EW$250,126,0)</f>
        <v>7644.2307692307695</v>
      </c>
      <c r="AX154" s="106">
        <f>+HLOOKUP($C154,PMGR!$EK$2:$EW$250,127,0)</f>
        <v>10916.666666666664</v>
      </c>
      <c r="AY154" s="106">
        <f>+HLOOKUP($C154,PMGR!$EK$2:$EW$250,129,0)</f>
        <v>0</v>
      </c>
      <c r="AZ154" s="106">
        <f>+HLOOKUP($C154,PMGR!$EK$2:$EW$250,130,0)</f>
        <v>0</v>
      </c>
      <c r="BA154" s="106">
        <f>+HLOOKUP($C154,PMGR!$EK$2:$EW$250,131,0)</f>
        <v>0</v>
      </c>
      <c r="BB154" s="106">
        <f>+HLOOKUP($C154,PMGR!$EK$2:$EW$250,133,0)</f>
        <v>0</v>
      </c>
      <c r="BC154" s="106">
        <f>+HLOOKUP($C154,PMGR!$EK$2:$EW$250,134,0)</f>
        <v>4900</v>
      </c>
      <c r="BD154" s="106">
        <f>+HLOOKUP($C154,PMGR!$EK$2:$EW$250,135,0)</f>
        <v>0</v>
      </c>
      <c r="BE154" s="106">
        <f>+HLOOKUP($C154,PMGR!$EK$2:$EW$250,136,0)</f>
        <v>0</v>
      </c>
      <c r="BF154" s="106">
        <f>+HLOOKUP($C154,PMGR!$EK$2:$EW$250,138,0)</f>
        <v>0</v>
      </c>
      <c r="BG154" s="106">
        <f>+HLOOKUP($C154,PMGR!$EK$2:$EW$250,139,0)</f>
        <v>10490</v>
      </c>
      <c r="BH154" s="106">
        <f>+HLOOKUP($C154,PMGR!$EK$2:$EW$250,140,0)</f>
        <v>18000</v>
      </c>
      <c r="BI154" s="106">
        <f>+HLOOKUP($C154,PMGR!$EK$2:$EW$250,141,0)</f>
        <v>0</v>
      </c>
      <c r="BJ154" s="106">
        <f>+HLOOKUP($C154,PMGR!$EK$2:$EW$250,142,0)</f>
        <v>0</v>
      </c>
      <c r="BK154" s="106">
        <f>+HLOOKUP($C154,PMGR!$EK$2:$EW$250,143,0)</f>
        <v>0</v>
      </c>
      <c r="BL154" s="106">
        <f>+HLOOKUP($C154,PMGR!$EK$2:$EW$250,144,0)</f>
        <v>0</v>
      </c>
      <c r="BM154" s="106">
        <f>+HLOOKUP($C154,PMGR!$EK$2:$EW$250,146,0)</f>
        <v>0</v>
      </c>
      <c r="BN154" s="106">
        <f>+HLOOKUP($C154,PMGR!$EK$2:$EW$250,147,0)</f>
        <v>8757</v>
      </c>
      <c r="BO154" s="106">
        <f>+HLOOKUP($C154,PMGR!$EK$2:$EW$250,148,0)</f>
        <v>0</v>
      </c>
      <c r="BP154" s="106">
        <f>+HLOOKUP($C154,PMGR!$EK$2:$EW$250,150,0)</f>
        <v>82637</v>
      </c>
      <c r="BQ154" s="106">
        <f>+HLOOKUP($C154,PMGR!$EK$2:$EW$250,151,0)</f>
        <v>4961</v>
      </c>
      <c r="BR154" s="106">
        <f>+HLOOKUP($C154,PMGR!$EK$2:$EW$250,152,0)</f>
        <v>18000</v>
      </c>
      <c r="BS154" s="106">
        <f>+HLOOKUP($C154,PMGR!$EK$2:$EW$250,153,0)</f>
        <v>300</v>
      </c>
      <c r="BT154" s="106">
        <f>+HLOOKUP($C154,PMGR!$EK$2:$EW$250,157,0)</f>
        <v>0</v>
      </c>
      <c r="BU154" s="106">
        <f>+HLOOKUP($C154,PMGR!$EK$2:$EW$250,158,0)</f>
        <v>0</v>
      </c>
      <c r="BV154" s="106">
        <f>+HLOOKUP($C154,PMGR!$EK$2:$EW$250,159,0)</f>
        <v>0</v>
      </c>
      <c r="BW154" s="106">
        <f>+HLOOKUP($C154,PMGR!$EK$2:$EW$250,160,0)</f>
        <v>0</v>
      </c>
      <c r="BX154" s="106">
        <f>+HLOOKUP($C154,PMGR!$EK$2:$EW$250,161,0)</f>
        <v>31850</v>
      </c>
      <c r="BY154" s="106">
        <f>+HLOOKUP($C154,PMGR!$EK$2:$EW$250,164,0)</f>
        <v>0</v>
      </c>
      <c r="BZ154" s="106">
        <f>+HLOOKUP($C154,PMGR!$EK$2:$EW$250,165,0)</f>
        <v>9162</v>
      </c>
      <c r="CA154" s="106">
        <f>+HLOOKUP($C154,PMGR!$EK$2:$EW$250,166,0)</f>
        <v>0</v>
      </c>
      <c r="CB154" s="106">
        <f>+HLOOKUP($C154,PMGR!$EK$2:$EW$250,167,0)</f>
        <v>14526.56</v>
      </c>
      <c r="CC154" s="106">
        <f>+HLOOKUP($C154,PMGR!$EK$2:$EW$250,168,0)</f>
        <v>0</v>
      </c>
      <c r="CD154" s="106">
        <f>+HLOOKUP($C154,PMGR!$EK$2:$EW$250,169,0)</f>
        <v>0</v>
      </c>
      <c r="CE154" s="106">
        <f>+HLOOKUP($C154,PMGR!$EK$2:$EW$250,170,0)</f>
        <v>0</v>
      </c>
      <c r="CF154" s="106">
        <f>+HLOOKUP($C154,PMGR!$EK$2:$EW$250,172,0)</f>
        <v>0</v>
      </c>
      <c r="CG154" s="106">
        <f>+HLOOKUP($C154,PMGR!$EK$2:$EW$250,173,0)</f>
        <v>0</v>
      </c>
      <c r="CH154" s="106">
        <f>+HLOOKUP($C154,PMGR!$EK$2:$EW$250,174,0)</f>
        <v>0</v>
      </c>
      <c r="CI154" s="106">
        <f>+HLOOKUP($C154,PMGR!$EK$2:$EW$250,175,0)</f>
        <v>0</v>
      </c>
      <c r="CJ154" s="106">
        <f>+HLOOKUP($C154,PMGR!$EK$2:$EW$250,176,0)</f>
        <v>0</v>
      </c>
      <c r="CK154" s="106">
        <f>+HLOOKUP($C154,PMGR!$EK$2:$EW$250,178,0)</f>
        <v>8350</v>
      </c>
      <c r="CL154" s="106">
        <f>+HLOOKUP($C154,PMGR!$EK$2:$EW$250,179,0)</f>
        <v>316267</v>
      </c>
      <c r="CM154" s="106">
        <f>+HLOOKUP($C154,PMGR!$EK$2:$EW$250,180,0)</f>
        <v>0</v>
      </c>
      <c r="CN154" s="106">
        <f>+HLOOKUP($C154,PMGR!$EK$2:$EW$250,182,0)</f>
        <v>0</v>
      </c>
      <c r="CO154" s="106">
        <f>+HLOOKUP($C154,PMGR!$EK$2:$EW$250,183,0)</f>
        <v>13992.41</v>
      </c>
      <c r="CP154" s="106">
        <f>+HLOOKUP($C154,PMGR!$EK$2:$EW$250,184,0)</f>
        <v>0</v>
      </c>
      <c r="CQ154" s="106">
        <f>+HLOOKUP($C154,PMGR!$EK$2:$EW$250,185,0)</f>
        <v>0</v>
      </c>
      <c r="CR154" s="106">
        <f>+HLOOKUP($C154,PMGR!$EK$2:$EW$250,187,0)</f>
        <v>1874.9999999999995</v>
      </c>
      <c r="CS154" s="106">
        <f>+HLOOKUP($C154,PMGR!$EK$2:$EW$250,188,0)</f>
        <v>0</v>
      </c>
      <c r="CT154" s="106">
        <f>+HLOOKUP($C154,PMGR!$EK$2:$EW$250,189,0)</f>
        <v>0</v>
      </c>
      <c r="CU154" s="106">
        <f>+HLOOKUP($C154,PMGR!$EK$2:$EW$250,190,0)</f>
        <v>0</v>
      </c>
      <c r="CV154" s="106">
        <f>+HLOOKUP($C154,PMGR!$EK$2:$EW$250,191,0)</f>
        <v>0</v>
      </c>
      <c r="CW154" s="106">
        <f>+HLOOKUP($C154,PMGR!$EK$2:$EW$250,193,0)</f>
        <v>0</v>
      </c>
      <c r="CX154" s="106">
        <f>+HLOOKUP($C154,PMGR!$EK$2:$EW$250,194,0)</f>
        <v>230</v>
      </c>
      <c r="CY154" s="106">
        <f>+HLOOKUP($C154,PMGR!$EK$2:$EW$250,195,0)</f>
        <v>21636.67</v>
      </c>
      <c r="CZ154" s="106">
        <f>+HLOOKUP($C154,PMGR!$EK$2:$EW$250,196,0)</f>
        <v>0</v>
      </c>
      <c r="DA154" s="106">
        <f>+HLOOKUP($C154,PMGR!$EK$2:$EW$250,197,0)</f>
        <v>41058</v>
      </c>
      <c r="DB154" s="106">
        <f>+HLOOKUP($C154,PMGR!$EK$2:$EW$250,198,0)</f>
        <v>6765.81</v>
      </c>
      <c r="DC154" s="106">
        <f>+HLOOKUP($C154,PMGR!$EK$2:$EW$250,199,0)</f>
        <v>5850</v>
      </c>
      <c r="DD154" s="106">
        <f>+HLOOKUP($C154,PMGR!$EK$2:$EW$250,200,0)</f>
        <v>0</v>
      </c>
      <c r="DE154" s="106">
        <f>+HLOOKUP($C154,PMGR!$EK$2:$EW$250,201,0)</f>
        <v>0</v>
      </c>
      <c r="DF154" s="106">
        <f>+HLOOKUP($C154,PMGR!$EK$2:$EW$250,202,0)</f>
        <v>0.3</v>
      </c>
      <c r="DG154" s="106">
        <f>+HLOOKUP($C154,PMGR!$EK$2:$EW$250,203,0)</f>
        <v>0</v>
      </c>
      <c r="DH154" s="106">
        <f>+HLOOKUP($C154,PMGR!$EK$2:$EW$250,205,0)</f>
        <v>0</v>
      </c>
      <c r="DI154" s="106">
        <f>+HLOOKUP($C154,PMGR!$EK$2:$EW$250,206,0)</f>
        <v>7415.25</v>
      </c>
      <c r="DJ154" s="106">
        <f>+HLOOKUP($C154,PMGR!$EK$2:$EW$250,207,0)</f>
        <v>0</v>
      </c>
      <c r="DK154" s="106">
        <f>+HLOOKUP($C154,PMGR!$EK$2:$EW$250,209,0)</f>
        <v>0</v>
      </c>
      <c r="DL154" s="106">
        <f>+HLOOKUP($C154,PMGR!$EK$2:$EW$250,210,0)</f>
        <v>267000</v>
      </c>
      <c r="DM154" s="106">
        <f>+HLOOKUP($C154,PMGR!$EK$2:$EW$250,211,0)</f>
        <v>0</v>
      </c>
      <c r="DN154" s="106">
        <f>+HLOOKUP($C154,PMGR!$EK$2:$EW$250,212,0)</f>
        <v>0</v>
      </c>
      <c r="DO154" s="106">
        <f>+HLOOKUP($C154,PMGR!$EK$2:$EW$250,214,0)</f>
        <v>0</v>
      </c>
      <c r="DP154" s="106">
        <f>+HLOOKUP($C154,PMGR!$EK$2:$EW$250,215,0)</f>
        <v>200</v>
      </c>
      <c r="DQ154" s="106">
        <f>+HLOOKUP($C154,PMGR!$EK$2:$EW$250,219,0)</f>
        <v>0</v>
      </c>
      <c r="DR154" s="106">
        <f>+HLOOKUP($C154,PMGR!$EK$2:$EW$250,220,0)</f>
        <v>0</v>
      </c>
      <c r="DS154" s="106">
        <f>+HLOOKUP($C154,PMGR!$EK$2:$EW$250,221,0)</f>
        <v>0</v>
      </c>
      <c r="DT154" s="106">
        <f>+HLOOKUP($C154,PMGR!$EK$2:$EW$250,223,0)</f>
        <v>0</v>
      </c>
      <c r="DU154" s="106">
        <f>+HLOOKUP($C154,PMGR!$EK$2:$EW$250,224,0)</f>
        <v>0</v>
      </c>
      <c r="DV154" s="106">
        <f>+HLOOKUP($C154,PMGR!$EK$2:$EW$250,225,0)</f>
        <v>0</v>
      </c>
      <c r="DW154" s="106">
        <f>+HLOOKUP($C154,PMGR!$EK$2:$EW$250,227,0)</f>
        <v>0</v>
      </c>
      <c r="DX154" s="106">
        <f>+HLOOKUP($C154,PMGR!$EK$2:$EW$250,228,0)</f>
        <v>0</v>
      </c>
      <c r="DY154" s="106">
        <f>+HLOOKUP($C154,PMGR!$EK$2:$EW$250,236,0)</f>
        <v>0</v>
      </c>
      <c r="DZ154" s="106">
        <f>+HLOOKUP($C154,PMGR!$EK$2:$EW$250,237,0)</f>
        <v>0</v>
      </c>
      <c r="EA154" s="106">
        <f>+HLOOKUP($C154,PMGR!$EK$2:$EW$250,238,0)</f>
        <v>0</v>
      </c>
      <c r="EB154" s="106">
        <f>+HLOOKUP($C154,PMGR!$EK$2:$EW$250,240,0)</f>
        <v>702927.25199999998</v>
      </c>
    </row>
    <row r="155" spans="1:132" hidden="1">
      <c r="A155" t="s">
        <v>272</v>
      </c>
      <c r="B155" t="s">
        <v>217</v>
      </c>
      <c r="C155" s="117">
        <v>45717</v>
      </c>
      <c r="D155" s="106">
        <f t="shared" si="0"/>
        <v>2944964.9938242189</v>
      </c>
      <c r="E155" s="106">
        <f>+HLOOKUP(C155,PMGR!$EK$2:$EW$250,28,0)+HLOOKUP(C155,PMGR!$EK$2:$EW$250,43,0)+HLOOKUP(C155,PMGR!$EK$2:$EW$250,44,0)+HLOOKUP(C155,PMGR!$EK$2:$EW$250,45,0)+HLOOKUP(C155,PMGR!$EK$2:$EW$250,54,0)+HLOOKUP(C155,PMGR!$EK$2:$EW$250,59,0)</f>
        <v>2944964.9938242189</v>
      </c>
      <c r="F155" s="106">
        <f>+HLOOKUP(C155,PMGR!$EK$2:$EW$250,37,0)+HLOOKUP(C155,PMGR!$EK$2:$EW$250,55,0)</f>
        <v>1513213.0000000002</v>
      </c>
      <c r="G155" s="106">
        <f>+HLOOKUP($C155,PMGR!$EK$2:$EW$250,76,0)</f>
        <v>0</v>
      </c>
      <c r="H155" s="106">
        <f>+HLOOKUP($C155,PMGR!$EK$2:$EW$250,77,0)</f>
        <v>0</v>
      </c>
      <c r="I155" s="106">
        <f>+HLOOKUP($C155,PMGR!$EK$2:$EW$250,78,0)</f>
        <v>0</v>
      </c>
      <c r="J155" s="106">
        <f>+HLOOKUP($C155,PMGR!$EK$2:$EW$250,79,0)</f>
        <v>0</v>
      </c>
      <c r="K155" s="106">
        <f>+HLOOKUP($C155,PMGR!$EK$2:$EW$250,80,0)</f>
        <v>0</v>
      </c>
      <c r="L155" s="106">
        <f>+HLOOKUP($C155,PMGR!$EK$2:$EW$250,81,0)</f>
        <v>0</v>
      </c>
      <c r="M155" s="106">
        <f>+HLOOKUP($C155,PMGR!$EK$2:$EW$250,82,0)</f>
        <v>0</v>
      </c>
      <c r="N155" s="106">
        <f>+HLOOKUP($C155,PMGR!$EK$2:$EW$250,83,0)</f>
        <v>0</v>
      </c>
      <c r="O155" s="106">
        <f>+HLOOKUP($C155,PMGR!$EK$2:$EW$250,84,0)</f>
        <v>0</v>
      </c>
      <c r="P155" s="106">
        <f>+HLOOKUP($C155,PMGR!$EK$2:$EW$250,85,0)</f>
        <v>0</v>
      </c>
      <c r="Q155" s="106">
        <f>+HLOOKUP($C155,PMGR!$EK$2:$EW$250,87,0)</f>
        <v>45905.08</v>
      </c>
      <c r="R155" s="106">
        <f>+HLOOKUP($C155,PMGR!$EK$2:$EW$250,90,0)</f>
        <v>0</v>
      </c>
      <c r="S155" s="106">
        <f>+HLOOKUP($C155,PMGR!$EK$2:$EW$250,91,0)</f>
        <v>900</v>
      </c>
      <c r="T155" s="106">
        <f>+HLOOKUP($C155,PMGR!$EK$2:$EW$250,92,0)</f>
        <v>0</v>
      </c>
      <c r="U155" s="106">
        <f>+HLOOKUP($C155,PMGR!$EK$2:$EW$250,93,0)</f>
        <v>0</v>
      </c>
      <c r="V155" s="106">
        <f>+HLOOKUP($C155,PMGR!$EK$2:$EW$250,94,0)</f>
        <v>0</v>
      </c>
      <c r="W155" s="106">
        <f>+HLOOKUP($C155,PMGR!$EK$2:$EW$250,95,0)</f>
        <v>0</v>
      </c>
      <c r="X155" s="106">
        <f>+HLOOKUP($C155,PMGR!$EK$2:$EW$250,96,0)</f>
        <v>0</v>
      </c>
      <c r="Y155" s="106">
        <f>+HLOOKUP($C155,PMGR!$EK$2:$EW$250,97,0)</f>
        <v>0</v>
      </c>
      <c r="Z155" s="106">
        <f>+HLOOKUP($C155,PMGR!$EK$2:$EW$250,98,0)</f>
        <v>0</v>
      </c>
      <c r="AA155" s="106">
        <f>+HLOOKUP($C155,PMGR!$EK$2:$EW$250,99,0)</f>
        <v>0</v>
      </c>
      <c r="AB155" s="106">
        <f>+HLOOKUP($C155,PMGR!$EK$2:$EW$250,100,0)</f>
        <v>0</v>
      </c>
      <c r="AC155" s="106">
        <f>+HLOOKUP($C155,PMGR!$EK$2:$EW$250,101,0)</f>
        <v>6612</v>
      </c>
      <c r="AD155" s="106">
        <f>+HLOOKUP($C155,PMGR!$EK$2:$EW$250,104,0)</f>
        <v>0</v>
      </c>
      <c r="AE155" s="106">
        <f>+HLOOKUP($C155,PMGR!$EK$2:$EW$250,105,0)</f>
        <v>0</v>
      </c>
      <c r="AF155" s="106">
        <f>+HLOOKUP($C155,PMGR!$EK$2:$EW$250,106,0)</f>
        <v>0</v>
      </c>
      <c r="AG155" s="106">
        <f>+HLOOKUP($C155,PMGR!$EK$2:$EW$250,107,0)</f>
        <v>0</v>
      </c>
      <c r="AH155" s="106">
        <f>+HLOOKUP($C155,PMGR!$EK$2:$EW$250,108,0)</f>
        <v>0</v>
      </c>
      <c r="AI155" s="106">
        <f>+HLOOKUP($C155,PMGR!$EK$2:$EW$250,109,0)</f>
        <v>0</v>
      </c>
      <c r="AJ155" s="106">
        <f>+HLOOKUP($C155,PMGR!$EK$2:$EW$250,110,0)</f>
        <v>0</v>
      </c>
      <c r="AK155" s="106">
        <f>+HLOOKUP($C155,PMGR!$EK$2:$EW$250,111,0)</f>
        <v>35709</v>
      </c>
      <c r="AL155" s="106">
        <f>+HLOOKUP($C155,PMGR!$EK$2:$EW$250,112,0)</f>
        <v>0</v>
      </c>
      <c r="AM155" s="106">
        <f>+HLOOKUP($C155,PMGR!$EK$2:$EW$250,116,0)</f>
        <v>159000</v>
      </c>
      <c r="AN155" s="106">
        <f>+HLOOKUP($C155,PMGR!$EK$2:$EW$250,117,0)</f>
        <v>22750</v>
      </c>
      <c r="AO155" s="106">
        <f>+HLOOKUP($C155,PMGR!$EK$2:$EW$250,118,0)</f>
        <v>0</v>
      </c>
      <c r="AP155" s="106">
        <f>+HLOOKUP($C155,PMGR!$EK$2:$EW$250,119,0)</f>
        <v>88500</v>
      </c>
      <c r="AQ155" s="106">
        <f>+HLOOKUP($C155,PMGR!$EK$2:$EW$250,120,0)</f>
        <v>13400</v>
      </c>
      <c r="AR155" s="106">
        <f>+HLOOKUP($C155,PMGR!$EK$2:$EW$250,121,0)</f>
        <v>2500</v>
      </c>
      <c r="AS155" s="106">
        <f>+HLOOKUP($C155,PMGR!$EK$2:$EW$250,122,0)</f>
        <v>54050</v>
      </c>
      <c r="AT155" s="106">
        <f>+HLOOKUP($C155,PMGR!$EK$2:$EW$250,123,0)</f>
        <v>24050</v>
      </c>
      <c r="AU155" s="106">
        <f>+HLOOKUP($C155,PMGR!$EK$2:$EW$250,124,0)</f>
        <v>3835</v>
      </c>
      <c r="AV155" s="106">
        <f>+HLOOKUP($C155,PMGR!$EK$2:$EW$250,125,0)</f>
        <v>0</v>
      </c>
      <c r="AW155" s="106">
        <f>+HLOOKUP($C155,PMGR!$EK$2:$EW$250,126,0)</f>
        <v>7644.2307692307695</v>
      </c>
      <c r="AX155" s="106">
        <f>+HLOOKUP($C155,PMGR!$EK$2:$EW$250,127,0)</f>
        <v>10916.666666666664</v>
      </c>
      <c r="AY155" s="106">
        <f>+HLOOKUP($C155,PMGR!$EK$2:$EW$250,129,0)</f>
        <v>0</v>
      </c>
      <c r="AZ155" s="106">
        <f>+HLOOKUP($C155,PMGR!$EK$2:$EW$250,130,0)</f>
        <v>0</v>
      </c>
      <c r="BA155" s="106">
        <f>+HLOOKUP($C155,PMGR!$EK$2:$EW$250,131,0)</f>
        <v>0</v>
      </c>
      <c r="BB155" s="106">
        <f>+HLOOKUP($C155,PMGR!$EK$2:$EW$250,133,0)</f>
        <v>0</v>
      </c>
      <c r="BC155" s="106">
        <f>+HLOOKUP($C155,PMGR!$EK$2:$EW$250,134,0)</f>
        <v>8495.7099999999991</v>
      </c>
      <c r="BD155" s="106">
        <f>+HLOOKUP($C155,PMGR!$EK$2:$EW$250,135,0)</f>
        <v>0</v>
      </c>
      <c r="BE155" s="106">
        <f>+HLOOKUP($C155,PMGR!$EK$2:$EW$250,136,0)</f>
        <v>0</v>
      </c>
      <c r="BF155" s="106">
        <f>+HLOOKUP($C155,PMGR!$EK$2:$EW$250,138,0)</f>
        <v>0</v>
      </c>
      <c r="BG155" s="106">
        <f>+HLOOKUP($C155,PMGR!$EK$2:$EW$250,139,0)</f>
        <v>14920</v>
      </c>
      <c r="BH155" s="106">
        <f>+HLOOKUP($C155,PMGR!$EK$2:$EW$250,140,0)</f>
        <v>33500</v>
      </c>
      <c r="BI155" s="106">
        <f>+HLOOKUP($C155,PMGR!$EK$2:$EW$250,141,0)</f>
        <v>17337.310000000001</v>
      </c>
      <c r="BJ155" s="106">
        <f>+HLOOKUP($C155,PMGR!$EK$2:$EW$250,142,0)</f>
        <v>0</v>
      </c>
      <c r="BK155" s="106">
        <f>+HLOOKUP($C155,PMGR!$EK$2:$EW$250,143,0)</f>
        <v>0</v>
      </c>
      <c r="BL155" s="106">
        <f>+HLOOKUP($C155,PMGR!$EK$2:$EW$250,144,0)</f>
        <v>10109</v>
      </c>
      <c r="BM155" s="106">
        <f>+HLOOKUP($C155,PMGR!$EK$2:$EW$250,146,0)</f>
        <v>0</v>
      </c>
      <c r="BN155" s="106">
        <f>+HLOOKUP($C155,PMGR!$EK$2:$EW$250,147,0)</f>
        <v>5897</v>
      </c>
      <c r="BO155" s="106">
        <f>+HLOOKUP($C155,PMGR!$EK$2:$EW$250,148,0)</f>
        <v>0</v>
      </c>
      <c r="BP155" s="106">
        <f>+HLOOKUP($C155,PMGR!$EK$2:$EW$250,150,0)</f>
        <v>81368</v>
      </c>
      <c r="BQ155" s="106">
        <f>+HLOOKUP($C155,PMGR!$EK$2:$EW$250,151,0)</f>
        <v>4961</v>
      </c>
      <c r="BR155" s="106">
        <f>+HLOOKUP($C155,PMGR!$EK$2:$EW$250,152,0)</f>
        <v>16000</v>
      </c>
      <c r="BS155" s="106">
        <f>+HLOOKUP($C155,PMGR!$EK$2:$EW$250,153,0)</f>
        <v>300</v>
      </c>
      <c r="BT155" s="106">
        <f>+HLOOKUP($C155,PMGR!$EK$2:$EW$250,157,0)</f>
        <v>0</v>
      </c>
      <c r="BU155" s="106">
        <f>+HLOOKUP($C155,PMGR!$EK$2:$EW$250,158,0)</f>
        <v>0</v>
      </c>
      <c r="BV155" s="106">
        <f>+HLOOKUP($C155,PMGR!$EK$2:$EW$250,159,0)</f>
        <v>22753.03</v>
      </c>
      <c r="BW155" s="106">
        <f>+HLOOKUP($C155,PMGR!$EK$2:$EW$250,160,0)</f>
        <v>0</v>
      </c>
      <c r="BX155" s="106">
        <f>+HLOOKUP($C155,PMGR!$EK$2:$EW$250,161,0)</f>
        <v>20572.04</v>
      </c>
      <c r="BY155" s="106">
        <f>+HLOOKUP($C155,PMGR!$EK$2:$EW$250,164,0)</f>
        <v>0</v>
      </c>
      <c r="BZ155" s="106">
        <f>+HLOOKUP($C155,PMGR!$EK$2:$EW$250,165,0)</f>
        <v>0</v>
      </c>
      <c r="CA155" s="106">
        <f>+HLOOKUP($C155,PMGR!$EK$2:$EW$250,166,0)</f>
        <v>0</v>
      </c>
      <c r="CB155" s="106">
        <f>+HLOOKUP($C155,PMGR!$EK$2:$EW$250,167,0)</f>
        <v>1050</v>
      </c>
      <c r="CC155" s="106">
        <f>+HLOOKUP($C155,PMGR!$EK$2:$EW$250,168,0)</f>
        <v>0</v>
      </c>
      <c r="CD155" s="106">
        <f>+HLOOKUP($C155,PMGR!$EK$2:$EW$250,169,0)</f>
        <v>0</v>
      </c>
      <c r="CE155" s="106">
        <f>+HLOOKUP($C155,PMGR!$EK$2:$EW$250,170,0)</f>
        <v>0</v>
      </c>
      <c r="CF155" s="106">
        <f>+HLOOKUP($C155,PMGR!$EK$2:$EW$250,172,0)</f>
        <v>0</v>
      </c>
      <c r="CG155" s="106">
        <f>+HLOOKUP($C155,PMGR!$EK$2:$EW$250,173,0)</f>
        <v>0</v>
      </c>
      <c r="CH155" s="106">
        <f>+HLOOKUP($C155,PMGR!$EK$2:$EW$250,174,0)</f>
        <v>0</v>
      </c>
      <c r="CI155" s="106">
        <f>+HLOOKUP($C155,PMGR!$EK$2:$EW$250,175,0)</f>
        <v>0</v>
      </c>
      <c r="CJ155" s="106">
        <f>+HLOOKUP($C155,PMGR!$EK$2:$EW$250,176,0)</f>
        <v>0</v>
      </c>
      <c r="CK155" s="106">
        <f>+HLOOKUP($C155,PMGR!$EK$2:$EW$250,178,0)</f>
        <v>52450</v>
      </c>
      <c r="CL155" s="106">
        <f>+HLOOKUP($C155,PMGR!$EK$2:$EW$250,179,0)</f>
        <v>165837</v>
      </c>
      <c r="CM155" s="106">
        <f>+HLOOKUP($C155,PMGR!$EK$2:$EW$250,180,0)</f>
        <v>0</v>
      </c>
      <c r="CN155" s="106">
        <f>+HLOOKUP($C155,PMGR!$EK$2:$EW$250,182,0)</f>
        <v>0</v>
      </c>
      <c r="CO155" s="106">
        <f>+HLOOKUP($C155,PMGR!$EK$2:$EW$250,183,0)</f>
        <v>6726.49</v>
      </c>
      <c r="CP155" s="106">
        <f>+HLOOKUP($C155,PMGR!$EK$2:$EW$250,184,0)</f>
        <v>0</v>
      </c>
      <c r="CQ155" s="106">
        <f>+HLOOKUP($C155,PMGR!$EK$2:$EW$250,185,0)</f>
        <v>0</v>
      </c>
      <c r="CR155" s="106">
        <f>+HLOOKUP($C155,PMGR!$EK$2:$EW$250,187,0)</f>
        <v>1874.9999999999995</v>
      </c>
      <c r="CS155" s="106">
        <f>+HLOOKUP($C155,PMGR!$EK$2:$EW$250,188,0)</f>
        <v>0</v>
      </c>
      <c r="CT155" s="106">
        <f>+HLOOKUP($C155,PMGR!$EK$2:$EW$250,189,0)</f>
        <v>0</v>
      </c>
      <c r="CU155" s="106">
        <f>+HLOOKUP($C155,PMGR!$EK$2:$EW$250,190,0)</f>
        <v>148500</v>
      </c>
      <c r="CV155" s="106">
        <f>+HLOOKUP($C155,PMGR!$EK$2:$EW$250,191,0)</f>
        <v>0</v>
      </c>
      <c r="CW155" s="106">
        <f>+HLOOKUP($C155,PMGR!$EK$2:$EW$250,193,0)</f>
        <v>0</v>
      </c>
      <c r="CX155" s="106">
        <f>+HLOOKUP($C155,PMGR!$EK$2:$EW$250,194,0)</f>
        <v>230</v>
      </c>
      <c r="CY155" s="106">
        <f>+HLOOKUP($C155,PMGR!$EK$2:$EW$250,195,0)</f>
        <v>26996.67</v>
      </c>
      <c r="CZ155" s="106">
        <f>+HLOOKUP($C155,PMGR!$EK$2:$EW$250,196,0)</f>
        <v>0</v>
      </c>
      <c r="DA155" s="106">
        <f>+HLOOKUP($C155,PMGR!$EK$2:$EW$250,197,0)</f>
        <v>46234.9</v>
      </c>
      <c r="DB155" s="106">
        <f>+HLOOKUP($C155,PMGR!$EK$2:$EW$250,198,0)</f>
        <v>9823.0499999999993</v>
      </c>
      <c r="DC155" s="106">
        <f>+HLOOKUP($C155,PMGR!$EK$2:$EW$250,199,0)</f>
        <v>0</v>
      </c>
      <c r="DD155" s="106">
        <f>+HLOOKUP($C155,PMGR!$EK$2:$EW$250,200,0)</f>
        <v>13856</v>
      </c>
      <c r="DE155" s="106">
        <f>+HLOOKUP($C155,PMGR!$EK$2:$EW$250,201,0)</f>
        <v>0</v>
      </c>
      <c r="DF155" s="106">
        <f>+HLOOKUP($C155,PMGR!$EK$2:$EW$250,202,0)</f>
        <v>-0.81</v>
      </c>
      <c r="DG155" s="106">
        <f>+HLOOKUP($C155,PMGR!$EK$2:$EW$250,203,0)</f>
        <v>0</v>
      </c>
      <c r="DH155" s="106">
        <f>+HLOOKUP($C155,PMGR!$EK$2:$EW$250,205,0)</f>
        <v>0</v>
      </c>
      <c r="DI155" s="106">
        <f>+HLOOKUP($C155,PMGR!$EK$2:$EW$250,206,0)</f>
        <v>7415.25</v>
      </c>
      <c r="DJ155" s="106">
        <f>+HLOOKUP($C155,PMGR!$EK$2:$EW$250,207,0)</f>
        <v>0</v>
      </c>
      <c r="DK155" s="106">
        <f>+HLOOKUP($C155,PMGR!$EK$2:$EW$250,209,0)</f>
        <v>0</v>
      </c>
      <c r="DL155" s="106">
        <f>+HLOOKUP($C155,PMGR!$EK$2:$EW$250,210,0)</f>
        <v>267000</v>
      </c>
      <c r="DM155" s="106">
        <f>+HLOOKUP($C155,PMGR!$EK$2:$EW$250,211,0)</f>
        <v>0</v>
      </c>
      <c r="DN155" s="106">
        <f>+HLOOKUP($C155,PMGR!$EK$2:$EW$250,212,0)</f>
        <v>0</v>
      </c>
      <c r="DO155" s="106">
        <f>+HLOOKUP($C155,PMGR!$EK$2:$EW$250,214,0)</f>
        <v>0</v>
      </c>
      <c r="DP155" s="106">
        <f>+HLOOKUP($C155,PMGR!$EK$2:$EW$250,215,0)</f>
        <v>0</v>
      </c>
      <c r="DQ155" s="106">
        <f>+HLOOKUP($C155,PMGR!$EK$2:$EW$250,219,0)</f>
        <v>0</v>
      </c>
      <c r="DR155" s="106">
        <f>+HLOOKUP($C155,PMGR!$EK$2:$EW$250,220,0)</f>
        <v>0</v>
      </c>
      <c r="DS155" s="106">
        <f>+HLOOKUP($C155,PMGR!$EK$2:$EW$250,221,0)</f>
        <v>0</v>
      </c>
      <c r="DT155" s="106">
        <f>+HLOOKUP($C155,PMGR!$EK$2:$EW$250,223,0)</f>
        <v>0</v>
      </c>
      <c r="DU155" s="106">
        <f>+HLOOKUP($C155,PMGR!$EK$2:$EW$250,224,0)</f>
        <v>0</v>
      </c>
      <c r="DV155" s="106">
        <f>+HLOOKUP($C155,PMGR!$EK$2:$EW$250,225,0)</f>
        <v>0</v>
      </c>
      <c r="DW155" s="106">
        <f>+HLOOKUP($C155,PMGR!$EK$2:$EW$250,227,0)</f>
        <v>0</v>
      </c>
      <c r="DX155" s="106">
        <f>+HLOOKUP($C155,PMGR!$EK$2:$EW$250,228,0)</f>
        <v>0</v>
      </c>
      <c r="DY155" s="106">
        <f>+HLOOKUP($C155,PMGR!$EK$2:$EW$250,236,0)</f>
        <v>0</v>
      </c>
      <c r="DZ155" s="106">
        <f>+HLOOKUP($C155,PMGR!$EK$2:$EW$250,237,0)</f>
        <v>0</v>
      </c>
      <c r="EA155" s="106">
        <f>+HLOOKUP($C155,PMGR!$EK$2:$EW$250,238,0)</f>
        <v>0</v>
      </c>
      <c r="EB155" s="106">
        <f>+HLOOKUP($C155,PMGR!$EK$2:$EW$250,240,0)</f>
        <v>702927.25199999998</v>
      </c>
    </row>
    <row r="156" spans="1:132" hidden="1">
      <c r="A156" t="s">
        <v>272</v>
      </c>
      <c r="B156" t="s">
        <v>217</v>
      </c>
      <c r="C156" s="117">
        <v>45689</v>
      </c>
      <c r="D156" s="106">
        <f t="shared" si="0"/>
        <v>4028163.774283824</v>
      </c>
      <c r="E156" s="106">
        <f>+HLOOKUP(C156,PMGR!$EK$2:$EW$250,28,0)+HLOOKUP(C156,PMGR!$EK$2:$EW$250,43,0)+HLOOKUP(C156,PMGR!$EK$2:$EW$250,44,0)+HLOOKUP(C156,PMGR!$EK$2:$EW$250,45,0)+HLOOKUP(C156,PMGR!$EK$2:$EW$250,54,0)+HLOOKUP(C156,PMGR!$EK$2:$EW$250,59,0)</f>
        <v>4028163.774283824</v>
      </c>
      <c r="F156" s="106">
        <f>+HLOOKUP(C156,PMGR!$EK$2:$EW$250,37,0)+HLOOKUP(C156,PMGR!$EK$2:$EW$250,55,0)</f>
        <v>2885519.4499999993</v>
      </c>
      <c r="G156" s="106">
        <f>+HLOOKUP($C156,PMGR!$EK$2:$EW$250,76,0)</f>
        <v>0</v>
      </c>
      <c r="H156" s="106">
        <f>+HLOOKUP($C156,PMGR!$EK$2:$EW$250,77,0)</f>
        <v>0</v>
      </c>
      <c r="I156" s="106">
        <f>+HLOOKUP($C156,PMGR!$EK$2:$EW$250,78,0)</f>
        <v>0</v>
      </c>
      <c r="J156" s="106">
        <f>+HLOOKUP($C156,PMGR!$EK$2:$EW$250,79,0)</f>
        <v>0</v>
      </c>
      <c r="K156" s="106">
        <f>+HLOOKUP($C156,PMGR!$EK$2:$EW$250,80,0)</f>
        <v>0</v>
      </c>
      <c r="L156" s="106">
        <f>+HLOOKUP($C156,PMGR!$EK$2:$EW$250,81,0)</f>
        <v>0</v>
      </c>
      <c r="M156" s="106">
        <f>+HLOOKUP($C156,PMGR!$EK$2:$EW$250,82,0)</f>
        <v>0</v>
      </c>
      <c r="N156" s="106">
        <f>+HLOOKUP($C156,PMGR!$EK$2:$EW$250,83,0)</f>
        <v>0</v>
      </c>
      <c r="O156" s="106">
        <f>+HLOOKUP($C156,PMGR!$EK$2:$EW$250,84,0)</f>
        <v>0</v>
      </c>
      <c r="P156" s="106">
        <f>+HLOOKUP($C156,PMGR!$EK$2:$EW$250,85,0)</f>
        <v>0</v>
      </c>
      <c r="Q156" s="106">
        <f>+HLOOKUP($C156,PMGR!$EK$2:$EW$250,87,0)</f>
        <v>16500</v>
      </c>
      <c r="R156" s="106">
        <f>+HLOOKUP($C156,PMGR!$EK$2:$EW$250,90,0)</f>
        <v>0</v>
      </c>
      <c r="S156" s="106">
        <f>+HLOOKUP($C156,PMGR!$EK$2:$EW$250,91,0)</f>
        <v>0</v>
      </c>
      <c r="T156" s="106">
        <f>+HLOOKUP($C156,PMGR!$EK$2:$EW$250,92,0)</f>
        <v>12053</v>
      </c>
      <c r="U156" s="106">
        <f>+HLOOKUP($C156,PMGR!$EK$2:$EW$250,93,0)</f>
        <v>0</v>
      </c>
      <c r="V156" s="106">
        <f>+HLOOKUP($C156,PMGR!$EK$2:$EW$250,94,0)</f>
        <v>0</v>
      </c>
      <c r="W156" s="106">
        <f>+HLOOKUP($C156,PMGR!$EK$2:$EW$250,95,0)</f>
        <v>0</v>
      </c>
      <c r="X156" s="106">
        <f>+HLOOKUP($C156,PMGR!$EK$2:$EW$250,96,0)</f>
        <v>0</v>
      </c>
      <c r="Y156" s="106">
        <f>+HLOOKUP($C156,PMGR!$EK$2:$EW$250,97,0)</f>
        <v>0</v>
      </c>
      <c r="Z156" s="106">
        <f>+HLOOKUP($C156,PMGR!$EK$2:$EW$250,98,0)</f>
        <v>0</v>
      </c>
      <c r="AA156" s="106">
        <f>+HLOOKUP($C156,PMGR!$EK$2:$EW$250,99,0)</f>
        <v>0</v>
      </c>
      <c r="AB156" s="106">
        <f>+HLOOKUP($C156,PMGR!$EK$2:$EW$250,100,0)</f>
        <v>0</v>
      </c>
      <c r="AC156" s="106">
        <f>+HLOOKUP($C156,PMGR!$EK$2:$EW$250,101,0)</f>
        <v>0</v>
      </c>
      <c r="AD156" s="106">
        <f>+HLOOKUP($C156,PMGR!$EK$2:$EW$250,104,0)</f>
        <v>1500</v>
      </c>
      <c r="AE156" s="106">
        <f>+HLOOKUP($C156,PMGR!$EK$2:$EW$250,105,0)</f>
        <v>0</v>
      </c>
      <c r="AF156" s="106">
        <f>+HLOOKUP($C156,PMGR!$EK$2:$EW$250,106,0)</f>
        <v>0</v>
      </c>
      <c r="AG156" s="106">
        <f>+HLOOKUP($C156,PMGR!$EK$2:$EW$250,107,0)</f>
        <v>0</v>
      </c>
      <c r="AH156" s="106">
        <f>+HLOOKUP($C156,PMGR!$EK$2:$EW$250,108,0)</f>
        <v>0</v>
      </c>
      <c r="AI156" s="106">
        <f>+HLOOKUP($C156,PMGR!$EK$2:$EW$250,109,0)</f>
        <v>0</v>
      </c>
      <c r="AJ156" s="106">
        <f>+HLOOKUP($C156,PMGR!$EK$2:$EW$250,110,0)</f>
        <v>0</v>
      </c>
      <c r="AK156" s="106">
        <f>+HLOOKUP($C156,PMGR!$EK$2:$EW$250,111,0)</f>
        <v>2338</v>
      </c>
      <c r="AL156" s="106">
        <f>+HLOOKUP($C156,PMGR!$EK$2:$EW$250,112,0)</f>
        <v>0</v>
      </c>
      <c r="AM156" s="106">
        <f>+HLOOKUP($C156,PMGR!$EK$2:$EW$250,116,0)</f>
        <v>182000</v>
      </c>
      <c r="AN156" s="106">
        <f>+HLOOKUP($C156,PMGR!$EK$2:$EW$250,117,0)</f>
        <v>22750</v>
      </c>
      <c r="AO156" s="106">
        <f>+HLOOKUP($C156,PMGR!$EK$2:$EW$250,118,0)</f>
        <v>0</v>
      </c>
      <c r="AP156" s="106">
        <f>+HLOOKUP($C156,PMGR!$EK$2:$EW$250,119,0)</f>
        <v>59300</v>
      </c>
      <c r="AQ156" s="106">
        <f>+HLOOKUP($C156,PMGR!$EK$2:$EW$250,120,0)</f>
        <v>13400</v>
      </c>
      <c r="AR156" s="106">
        <f>+HLOOKUP($C156,PMGR!$EK$2:$EW$250,121,0)</f>
        <v>2500</v>
      </c>
      <c r="AS156" s="106">
        <f>+HLOOKUP($C156,PMGR!$EK$2:$EW$250,122,0)</f>
        <v>49050</v>
      </c>
      <c r="AT156" s="106">
        <f>+HLOOKUP($C156,PMGR!$EK$2:$EW$250,123,0)</f>
        <v>10498</v>
      </c>
      <c r="AU156" s="106">
        <f>+HLOOKUP($C156,PMGR!$EK$2:$EW$250,124,0)</f>
        <v>3835</v>
      </c>
      <c r="AV156" s="106">
        <f>+HLOOKUP($C156,PMGR!$EK$2:$EW$250,125,0)</f>
        <v>0</v>
      </c>
      <c r="AW156" s="106">
        <f>+HLOOKUP($C156,PMGR!$EK$2:$EW$250,126,0)</f>
        <v>7644.2307692307695</v>
      </c>
      <c r="AX156" s="106">
        <f>+HLOOKUP($C156,PMGR!$EK$2:$EW$250,127,0)</f>
        <v>10916.666666666664</v>
      </c>
      <c r="AY156" s="106">
        <f>+HLOOKUP($C156,PMGR!$EK$2:$EW$250,129,0)</f>
        <v>0</v>
      </c>
      <c r="AZ156" s="106">
        <f>+HLOOKUP($C156,PMGR!$EK$2:$EW$250,130,0)</f>
        <v>0</v>
      </c>
      <c r="BA156" s="106">
        <f>+HLOOKUP($C156,PMGR!$EK$2:$EW$250,131,0)</f>
        <v>0</v>
      </c>
      <c r="BB156" s="106">
        <f>+HLOOKUP($C156,PMGR!$EK$2:$EW$250,133,0)</f>
        <v>0</v>
      </c>
      <c r="BC156" s="106">
        <f>+HLOOKUP($C156,PMGR!$EK$2:$EW$250,134,0)</f>
        <v>6310.28</v>
      </c>
      <c r="BD156" s="106">
        <f>+HLOOKUP($C156,PMGR!$EK$2:$EW$250,135,0)</f>
        <v>0</v>
      </c>
      <c r="BE156" s="106">
        <f>+HLOOKUP($C156,PMGR!$EK$2:$EW$250,136,0)</f>
        <v>0</v>
      </c>
      <c r="BF156" s="106">
        <f>+HLOOKUP($C156,PMGR!$EK$2:$EW$250,138,0)</f>
        <v>0</v>
      </c>
      <c r="BG156" s="106">
        <f>+HLOOKUP($C156,PMGR!$EK$2:$EW$250,139,0)</f>
        <v>10823</v>
      </c>
      <c r="BH156" s="106">
        <f>+HLOOKUP($C156,PMGR!$EK$2:$EW$250,140,0)</f>
        <v>30000</v>
      </c>
      <c r="BI156" s="106">
        <f>+HLOOKUP($C156,PMGR!$EK$2:$EW$250,141,0)</f>
        <v>0</v>
      </c>
      <c r="BJ156" s="106">
        <f>+HLOOKUP($C156,PMGR!$EK$2:$EW$250,142,0)</f>
        <v>0</v>
      </c>
      <c r="BK156" s="106">
        <f>+HLOOKUP($C156,PMGR!$EK$2:$EW$250,143,0)</f>
        <v>0</v>
      </c>
      <c r="BL156" s="106">
        <f>+HLOOKUP($C156,PMGR!$EK$2:$EW$250,144,0)</f>
        <v>9440</v>
      </c>
      <c r="BM156" s="106">
        <f>+HLOOKUP($C156,PMGR!$EK$2:$EW$250,146,0)</f>
        <v>0</v>
      </c>
      <c r="BN156" s="106">
        <f>+HLOOKUP($C156,PMGR!$EK$2:$EW$250,147,0)</f>
        <v>6041</v>
      </c>
      <c r="BO156" s="106">
        <f>+HLOOKUP($C156,PMGR!$EK$2:$EW$250,148,0)</f>
        <v>0</v>
      </c>
      <c r="BP156" s="106">
        <f>+HLOOKUP($C156,PMGR!$EK$2:$EW$250,150,0)</f>
        <v>60837</v>
      </c>
      <c r="BQ156" s="106">
        <f>+HLOOKUP($C156,PMGR!$EK$2:$EW$250,151,0)</f>
        <v>4961</v>
      </c>
      <c r="BR156" s="106">
        <f>+HLOOKUP($C156,PMGR!$EK$2:$EW$250,152,0)</f>
        <v>16000</v>
      </c>
      <c r="BS156" s="106">
        <f>+HLOOKUP($C156,PMGR!$EK$2:$EW$250,153,0)</f>
        <v>300</v>
      </c>
      <c r="BT156" s="106">
        <f>+HLOOKUP($C156,PMGR!$EK$2:$EW$250,157,0)</f>
        <v>0</v>
      </c>
      <c r="BU156" s="106">
        <f>+HLOOKUP($C156,PMGR!$EK$2:$EW$250,158,0)</f>
        <v>0</v>
      </c>
      <c r="BV156" s="106">
        <f>+HLOOKUP($C156,PMGR!$EK$2:$EW$250,159,0)</f>
        <v>0</v>
      </c>
      <c r="BW156" s="106">
        <f>+HLOOKUP($C156,PMGR!$EK$2:$EW$250,160,0)</f>
        <v>0</v>
      </c>
      <c r="BX156" s="106">
        <f>+HLOOKUP($C156,PMGR!$EK$2:$EW$250,161,0)</f>
        <v>29130</v>
      </c>
      <c r="BY156" s="106">
        <f>+HLOOKUP($C156,PMGR!$EK$2:$EW$250,164,0)</f>
        <v>0</v>
      </c>
      <c r="BZ156" s="106">
        <f>+HLOOKUP($C156,PMGR!$EK$2:$EW$250,165,0)</f>
        <v>8237</v>
      </c>
      <c r="CA156" s="106">
        <f>+HLOOKUP($C156,PMGR!$EK$2:$EW$250,166,0)</f>
        <v>0</v>
      </c>
      <c r="CB156" s="106">
        <f>+HLOOKUP($C156,PMGR!$EK$2:$EW$250,167,0)</f>
        <v>0</v>
      </c>
      <c r="CC156" s="106">
        <f>+HLOOKUP($C156,PMGR!$EK$2:$EW$250,168,0)</f>
        <v>0</v>
      </c>
      <c r="CD156" s="106">
        <f>+HLOOKUP($C156,PMGR!$EK$2:$EW$250,169,0)</f>
        <v>0</v>
      </c>
      <c r="CE156" s="106">
        <f>+HLOOKUP($C156,PMGR!$EK$2:$EW$250,170,0)</f>
        <v>0</v>
      </c>
      <c r="CF156" s="106">
        <f>+HLOOKUP($C156,PMGR!$EK$2:$EW$250,172,0)</f>
        <v>0</v>
      </c>
      <c r="CG156" s="106">
        <f>+HLOOKUP($C156,PMGR!$EK$2:$EW$250,173,0)</f>
        <v>0</v>
      </c>
      <c r="CH156" s="106">
        <f>+HLOOKUP($C156,PMGR!$EK$2:$EW$250,174,0)</f>
        <v>0</v>
      </c>
      <c r="CI156" s="106">
        <f>+HLOOKUP($C156,PMGR!$EK$2:$EW$250,175,0)</f>
        <v>0</v>
      </c>
      <c r="CJ156" s="106">
        <f>+HLOOKUP($C156,PMGR!$EK$2:$EW$250,176,0)</f>
        <v>0</v>
      </c>
      <c r="CK156" s="106">
        <f>+HLOOKUP($C156,PMGR!$EK$2:$EW$250,178,0)</f>
        <v>0</v>
      </c>
      <c r="CL156" s="106">
        <f>+HLOOKUP($C156,PMGR!$EK$2:$EW$250,179,0)</f>
        <v>300457</v>
      </c>
      <c r="CM156" s="106">
        <f>+HLOOKUP($C156,PMGR!$EK$2:$EW$250,180,0)</f>
        <v>800</v>
      </c>
      <c r="CN156" s="106">
        <f>+HLOOKUP($C156,PMGR!$EK$2:$EW$250,182,0)</f>
        <v>0</v>
      </c>
      <c r="CO156" s="106">
        <f>+HLOOKUP($C156,PMGR!$EK$2:$EW$250,183,0)</f>
        <v>20659</v>
      </c>
      <c r="CP156" s="106">
        <f>+HLOOKUP($C156,PMGR!$EK$2:$EW$250,184,0)</f>
        <v>0</v>
      </c>
      <c r="CQ156" s="106">
        <f>+HLOOKUP($C156,PMGR!$EK$2:$EW$250,185,0)</f>
        <v>0</v>
      </c>
      <c r="CR156" s="106">
        <f>+HLOOKUP($C156,PMGR!$EK$2:$EW$250,187,0)</f>
        <v>1874.9999999999995</v>
      </c>
      <c r="CS156" s="106">
        <f>+HLOOKUP($C156,PMGR!$EK$2:$EW$250,188,0)</f>
        <v>0</v>
      </c>
      <c r="CT156" s="106">
        <f>+HLOOKUP($C156,PMGR!$EK$2:$EW$250,189,0)</f>
        <v>0</v>
      </c>
      <c r="CU156" s="106">
        <f>+HLOOKUP($C156,PMGR!$EK$2:$EW$250,190,0)</f>
        <v>43750</v>
      </c>
      <c r="CV156" s="106">
        <f>+HLOOKUP($C156,PMGR!$EK$2:$EW$250,191,0)</f>
        <v>0</v>
      </c>
      <c r="CW156" s="106">
        <f>+HLOOKUP($C156,PMGR!$EK$2:$EW$250,193,0)</f>
        <v>0</v>
      </c>
      <c r="CX156" s="106">
        <f>+HLOOKUP($C156,PMGR!$EK$2:$EW$250,194,0)</f>
        <v>230</v>
      </c>
      <c r="CY156" s="106">
        <f>+HLOOKUP($C156,PMGR!$EK$2:$EW$250,195,0)</f>
        <v>91748.78</v>
      </c>
      <c r="CZ156" s="106">
        <f>+HLOOKUP($C156,PMGR!$EK$2:$EW$250,196,0)</f>
        <v>0</v>
      </c>
      <c r="DA156" s="106">
        <f>+HLOOKUP($C156,PMGR!$EK$2:$EW$250,197,0)</f>
        <v>63785</v>
      </c>
      <c r="DB156" s="106">
        <f>+HLOOKUP($C156,PMGR!$EK$2:$EW$250,198,0)</f>
        <v>8220.34</v>
      </c>
      <c r="DC156" s="106">
        <f>+HLOOKUP($C156,PMGR!$EK$2:$EW$250,199,0)</f>
        <v>0</v>
      </c>
      <c r="DD156" s="106">
        <f>+HLOOKUP($C156,PMGR!$EK$2:$EW$250,200,0)</f>
        <v>0</v>
      </c>
      <c r="DE156" s="106">
        <f>+HLOOKUP($C156,PMGR!$EK$2:$EW$250,201,0)</f>
        <v>0</v>
      </c>
      <c r="DF156" s="106">
        <f>+HLOOKUP($C156,PMGR!$EK$2:$EW$250,202,0)</f>
        <v>0.68</v>
      </c>
      <c r="DG156" s="106">
        <f>+HLOOKUP($C156,PMGR!$EK$2:$EW$250,203,0)</f>
        <v>0</v>
      </c>
      <c r="DH156" s="106">
        <f>+HLOOKUP($C156,PMGR!$EK$2:$EW$250,205,0)</f>
        <v>0</v>
      </c>
      <c r="DI156" s="106">
        <f>+HLOOKUP($C156,PMGR!$EK$2:$EW$250,206,0)</f>
        <v>7415</v>
      </c>
      <c r="DJ156" s="106">
        <f>+HLOOKUP($C156,PMGR!$EK$2:$EW$250,207,0)</f>
        <v>0</v>
      </c>
      <c r="DK156" s="106">
        <f>+HLOOKUP($C156,PMGR!$EK$2:$EW$250,209,0)</f>
        <v>0</v>
      </c>
      <c r="DL156" s="106">
        <f>+HLOOKUP($C156,PMGR!$EK$2:$EW$250,210,0)</f>
        <v>267000</v>
      </c>
      <c r="DM156" s="106">
        <f>+HLOOKUP($C156,PMGR!$EK$2:$EW$250,211,0)</f>
        <v>0</v>
      </c>
      <c r="DN156" s="106">
        <f>+HLOOKUP($C156,PMGR!$EK$2:$EW$250,212,0)</f>
        <v>0</v>
      </c>
      <c r="DO156" s="106">
        <f>+HLOOKUP($C156,PMGR!$EK$2:$EW$250,214,0)</f>
        <v>0</v>
      </c>
      <c r="DP156" s="106">
        <f>+HLOOKUP($C156,PMGR!$EK$2:$EW$250,215,0)</f>
        <v>0</v>
      </c>
      <c r="DQ156" s="106">
        <f>+HLOOKUP($C156,PMGR!$EK$2:$EW$250,219,0)</f>
        <v>0</v>
      </c>
      <c r="DR156" s="106">
        <f>+HLOOKUP($C156,PMGR!$EK$2:$EW$250,220,0)</f>
        <v>0</v>
      </c>
      <c r="DS156" s="106">
        <f>+HLOOKUP($C156,PMGR!$EK$2:$EW$250,221,0)</f>
        <v>0</v>
      </c>
      <c r="DT156" s="106">
        <f>+HLOOKUP($C156,PMGR!$EK$2:$EW$250,223,0)</f>
        <v>0</v>
      </c>
      <c r="DU156" s="106">
        <f>+HLOOKUP($C156,PMGR!$EK$2:$EW$250,224,0)</f>
        <v>0</v>
      </c>
      <c r="DV156" s="106">
        <f>+HLOOKUP($C156,PMGR!$EK$2:$EW$250,225,0)</f>
        <v>0</v>
      </c>
      <c r="DW156" s="106">
        <f>+HLOOKUP($C156,PMGR!$EK$2:$EW$250,227,0)</f>
        <v>0</v>
      </c>
      <c r="DX156" s="106">
        <f>+HLOOKUP($C156,PMGR!$EK$2:$EW$250,228,0)</f>
        <v>0</v>
      </c>
      <c r="DY156" s="106">
        <f>+HLOOKUP($C156,PMGR!$EK$2:$EW$250,236,0)</f>
        <v>0</v>
      </c>
      <c r="DZ156" s="106">
        <f>+HLOOKUP($C156,PMGR!$EK$2:$EW$250,237,0)</f>
        <v>0</v>
      </c>
      <c r="EA156" s="106">
        <f>+HLOOKUP($C156,PMGR!$EK$2:$EW$250,238,0)</f>
        <v>0</v>
      </c>
      <c r="EB156" s="106">
        <f>+HLOOKUP($C156,PMGR!$EK$2:$EW$250,240,0)</f>
        <v>702927.25199999998</v>
      </c>
    </row>
    <row r="157" spans="1:132" hidden="1">
      <c r="A157" t="s">
        <v>272</v>
      </c>
      <c r="B157" t="s">
        <v>217</v>
      </c>
      <c r="C157" s="117">
        <v>45658</v>
      </c>
      <c r="D157" s="106">
        <f t="shared" si="0"/>
        <v>2120577.3374996977</v>
      </c>
      <c r="E157" s="106">
        <f>+HLOOKUP(C157,PMGR!$EK$2:$EW$250,28,0)+HLOOKUP(C157,PMGR!$EK$2:$EW$250,43,0)+HLOOKUP(C157,PMGR!$EK$2:$EW$250,44,0)+HLOOKUP(C157,PMGR!$EK$2:$EW$250,45,0)+HLOOKUP(C157,PMGR!$EK$2:$EW$250,54,0)+HLOOKUP(C157,PMGR!$EK$2:$EW$250,59,0)</f>
        <v>2120577.3374996977</v>
      </c>
      <c r="F157" s="106">
        <f>+HLOOKUP(C157,PMGR!$EK$2:$EW$250,37,0)+HLOOKUP(C157,PMGR!$EK$2:$EW$250,55,0)</f>
        <v>1375156.5299999998</v>
      </c>
      <c r="G157" s="106">
        <f>+HLOOKUP($C157,PMGR!$EK$2:$EW$250,76,0)</f>
        <v>600</v>
      </c>
      <c r="H157" s="106">
        <f>+HLOOKUP($C157,PMGR!$EK$2:$EW$250,77,0)</f>
        <v>95960</v>
      </c>
      <c r="I157" s="106">
        <f>+HLOOKUP($C157,PMGR!$EK$2:$EW$250,78,0)</f>
        <v>400</v>
      </c>
      <c r="J157" s="106">
        <f>+HLOOKUP($C157,PMGR!$EK$2:$EW$250,79,0)</f>
        <v>0</v>
      </c>
      <c r="K157" s="106">
        <f>+HLOOKUP($C157,PMGR!$EK$2:$EW$250,80,0)</f>
        <v>0</v>
      </c>
      <c r="L157" s="106">
        <f>+HLOOKUP($C157,PMGR!$EK$2:$EW$250,81,0)</f>
        <v>0</v>
      </c>
      <c r="M157" s="106">
        <f>+HLOOKUP($C157,PMGR!$EK$2:$EW$250,82,0)</f>
        <v>0</v>
      </c>
      <c r="N157" s="106">
        <f>+HLOOKUP($C157,PMGR!$EK$2:$EW$250,83,0)</f>
        <v>0</v>
      </c>
      <c r="O157" s="106">
        <f>+HLOOKUP($C157,PMGR!$EK$2:$EW$250,84,0)</f>
        <v>0</v>
      </c>
      <c r="P157" s="106">
        <f>+HLOOKUP($C157,PMGR!$EK$2:$EW$250,85,0)</f>
        <v>0</v>
      </c>
      <c r="Q157" s="106">
        <f>+HLOOKUP($C157,PMGR!$EK$2:$EW$250,87,0)</f>
        <v>51450</v>
      </c>
      <c r="R157" s="106">
        <f>+HLOOKUP($C157,PMGR!$EK$2:$EW$250,90,0)</f>
        <v>0</v>
      </c>
      <c r="S157" s="106">
        <f>+HLOOKUP($C157,PMGR!$EK$2:$EW$250,91,0)</f>
        <v>0</v>
      </c>
      <c r="T157" s="106">
        <f>+HLOOKUP($C157,PMGR!$EK$2:$EW$250,92,0)</f>
        <v>40850</v>
      </c>
      <c r="U157" s="106">
        <f>+HLOOKUP($C157,PMGR!$EK$2:$EW$250,93,0)</f>
        <v>0</v>
      </c>
      <c r="V157" s="106">
        <f>+HLOOKUP($C157,PMGR!$EK$2:$EW$250,94,0)</f>
        <v>0</v>
      </c>
      <c r="W157" s="106">
        <f>+HLOOKUP($C157,PMGR!$EK$2:$EW$250,95,0)</f>
        <v>15540</v>
      </c>
      <c r="X157" s="106">
        <f>+HLOOKUP($C157,PMGR!$EK$2:$EW$250,96,0)</f>
        <v>0</v>
      </c>
      <c r="Y157" s="106">
        <f>+HLOOKUP($C157,PMGR!$EK$2:$EW$250,97,0)</f>
        <v>8192</v>
      </c>
      <c r="Z157" s="106">
        <f>+HLOOKUP($C157,PMGR!$EK$2:$EW$250,98,0)</f>
        <v>0</v>
      </c>
      <c r="AA157" s="106">
        <f>+HLOOKUP($C157,PMGR!$EK$2:$EW$250,99,0)</f>
        <v>0</v>
      </c>
      <c r="AB157" s="106">
        <f>+HLOOKUP($C157,PMGR!$EK$2:$EW$250,100,0)</f>
        <v>0</v>
      </c>
      <c r="AC157" s="106">
        <f>+HLOOKUP($C157,PMGR!$EK$2:$EW$250,101,0)</f>
        <v>7893.53</v>
      </c>
      <c r="AD157" s="106">
        <f>+HLOOKUP($C157,PMGR!$EK$2:$EW$250,104,0)</f>
        <v>0</v>
      </c>
      <c r="AE157" s="106">
        <f>+HLOOKUP($C157,PMGR!$EK$2:$EW$250,105,0)</f>
        <v>0</v>
      </c>
      <c r="AF157" s="106">
        <f>+HLOOKUP($C157,PMGR!$EK$2:$EW$250,106,0)</f>
        <v>0</v>
      </c>
      <c r="AG157" s="106">
        <f>+HLOOKUP($C157,PMGR!$EK$2:$EW$250,107,0)</f>
        <v>0</v>
      </c>
      <c r="AH157" s="106">
        <f>+HLOOKUP($C157,PMGR!$EK$2:$EW$250,108,0)</f>
        <v>0</v>
      </c>
      <c r="AI157" s="106">
        <f>+HLOOKUP($C157,PMGR!$EK$2:$EW$250,109,0)</f>
        <v>0</v>
      </c>
      <c r="AJ157" s="106">
        <f>+HLOOKUP($C157,PMGR!$EK$2:$EW$250,110,0)</f>
        <v>0</v>
      </c>
      <c r="AK157" s="106">
        <f>+HLOOKUP($C157,PMGR!$EK$2:$EW$250,111,0)</f>
        <v>2474</v>
      </c>
      <c r="AL157" s="106">
        <f>+HLOOKUP($C157,PMGR!$EK$2:$EW$250,112,0)</f>
        <v>0</v>
      </c>
      <c r="AM157" s="106">
        <f>+HLOOKUP($C157,PMGR!$EK$2:$EW$250,116,0)</f>
        <v>181355</v>
      </c>
      <c r="AN157" s="106">
        <f>+HLOOKUP($C157,PMGR!$EK$2:$EW$250,117,0)</f>
        <v>22653</v>
      </c>
      <c r="AO157" s="106">
        <f>+HLOOKUP($C157,PMGR!$EK$2:$EW$250,118,0)</f>
        <v>0</v>
      </c>
      <c r="AP157" s="106">
        <f>+HLOOKUP($C157,PMGR!$EK$2:$EW$250,119,0)</f>
        <v>59042</v>
      </c>
      <c r="AQ157" s="106">
        <f>+HLOOKUP($C157,PMGR!$EK$2:$EW$250,120,0)</f>
        <v>13400</v>
      </c>
      <c r="AR157" s="106">
        <f>+HLOOKUP($C157,PMGR!$EK$2:$EW$250,121,0)</f>
        <v>2419</v>
      </c>
      <c r="AS157" s="106">
        <f>+HLOOKUP($C157,PMGR!$EK$2:$EW$250,122,0)</f>
        <v>48840</v>
      </c>
      <c r="AT157" s="106">
        <f>+HLOOKUP($C157,PMGR!$EK$2:$EW$250,123,0)</f>
        <v>23825</v>
      </c>
      <c r="AU157" s="106">
        <f>+HLOOKUP($C157,PMGR!$EK$2:$EW$250,124,0)</f>
        <v>3810</v>
      </c>
      <c r="AV157" s="106">
        <f>+HLOOKUP($C157,PMGR!$EK$2:$EW$250,125,0)</f>
        <v>0</v>
      </c>
      <c r="AW157" s="106">
        <f>+HLOOKUP($C157,PMGR!$EK$2:$EW$250,126,0)</f>
        <v>7644.2307692307695</v>
      </c>
      <c r="AX157" s="106">
        <f>+HLOOKUP($C157,PMGR!$EK$2:$EW$250,127,0)</f>
        <v>10916.666666666664</v>
      </c>
      <c r="AY157" s="106">
        <f>+HLOOKUP($C157,PMGR!$EK$2:$EW$250,129,0)</f>
        <v>0</v>
      </c>
      <c r="AZ157" s="106">
        <f>+HLOOKUP($C157,PMGR!$EK$2:$EW$250,130,0)</f>
        <v>0</v>
      </c>
      <c r="BA157" s="106">
        <f>+HLOOKUP($C157,PMGR!$EK$2:$EW$250,131,0)</f>
        <v>0</v>
      </c>
      <c r="BB157" s="106">
        <f>+HLOOKUP($C157,PMGR!$EK$2:$EW$250,133,0)</f>
        <v>0</v>
      </c>
      <c r="BC157" s="106">
        <f>+HLOOKUP($C157,PMGR!$EK$2:$EW$250,134,0)</f>
        <v>89358.04</v>
      </c>
      <c r="BD157" s="106">
        <f>+HLOOKUP($C157,PMGR!$EK$2:$EW$250,135,0)</f>
        <v>0</v>
      </c>
      <c r="BE157" s="106">
        <f>+HLOOKUP($C157,PMGR!$EK$2:$EW$250,136,0)</f>
        <v>0</v>
      </c>
      <c r="BF157" s="106">
        <f>+HLOOKUP($C157,PMGR!$EK$2:$EW$250,138,0)</f>
        <v>0</v>
      </c>
      <c r="BG157" s="106">
        <f>+HLOOKUP($C157,PMGR!$EK$2:$EW$250,139,0)</f>
        <v>14863</v>
      </c>
      <c r="BH157" s="106">
        <f>+HLOOKUP($C157,PMGR!$EK$2:$EW$250,140,0)</f>
        <v>60000</v>
      </c>
      <c r="BI157" s="106">
        <f>+HLOOKUP($C157,PMGR!$EK$2:$EW$250,141,0)</f>
        <v>73500</v>
      </c>
      <c r="BJ157" s="106">
        <f>+HLOOKUP($C157,PMGR!$EK$2:$EW$250,142,0)</f>
        <v>0</v>
      </c>
      <c r="BK157" s="106">
        <f>+HLOOKUP($C157,PMGR!$EK$2:$EW$250,143,0)</f>
        <v>0</v>
      </c>
      <c r="BL157" s="106">
        <f>+HLOOKUP($C157,PMGR!$EK$2:$EW$250,144,0)</f>
        <v>0</v>
      </c>
      <c r="BM157" s="106">
        <f>+HLOOKUP($C157,PMGR!$EK$2:$EW$250,146,0)</f>
        <v>0</v>
      </c>
      <c r="BN157" s="106">
        <f>+HLOOKUP($C157,PMGR!$EK$2:$EW$250,147,0)</f>
        <v>4482</v>
      </c>
      <c r="BO157" s="106">
        <f>+HLOOKUP($C157,PMGR!$EK$2:$EW$250,148,0)</f>
        <v>0</v>
      </c>
      <c r="BP157" s="106">
        <f>+HLOOKUP($C157,PMGR!$EK$2:$EW$250,150,0)</f>
        <v>66935</v>
      </c>
      <c r="BQ157" s="106">
        <f>+HLOOKUP($C157,PMGR!$EK$2:$EW$250,151,0)</f>
        <v>4961</v>
      </c>
      <c r="BR157" s="106">
        <f>+HLOOKUP($C157,PMGR!$EK$2:$EW$250,152,0)</f>
        <v>16000</v>
      </c>
      <c r="BS157" s="106">
        <f>+HLOOKUP($C157,PMGR!$EK$2:$EW$250,153,0)</f>
        <v>3300</v>
      </c>
      <c r="BT157" s="106">
        <f>+HLOOKUP($C157,PMGR!$EK$2:$EW$250,157,0)</f>
        <v>0</v>
      </c>
      <c r="BU157" s="106">
        <f>+HLOOKUP($C157,PMGR!$EK$2:$EW$250,158,0)</f>
        <v>0</v>
      </c>
      <c r="BV157" s="106">
        <f>+HLOOKUP($C157,PMGR!$EK$2:$EW$250,159,0)</f>
        <v>0</v>
      </c>
      <c r="BW157" s="106">
        <f>+HLOOKUP($C157,PMGR!$EK$2:$EW$250,160,0)</f>
        <v>30776.3</v>
      </c>
      <c r="BX157" s="106">
        <f>+HLOOKUP($C157,PMGR!$EK$2:$EW$250,161,0)</f>
        <v>85000</v>
      </c>
      <c r="BY157" s="106">
        <f>+HLOOKUP($C157,PMGR!$EK$2:$EW$250,164,0)</f>
        <v>6463</v>
      </c>
      <c r="BZ157" s="106">
        <f>+HLOOKUP($C157,PMGR!$EK$2:$EW$250,165,0)</f>
        <v>0</v>
      </c>
      <c r="CA157" s="106">
        <f>+HLOOKUP($C157,PMGR!$EK$2:$EW$250,166,0)</f>
        <v>0</v>
      </c>
      <c r="CB157" s="106">
        <f>+HLOOKUP($C157,PMGR!$EK$2:$EW$250,167,0)</f>
        <v>0</v>
      </c>
      <c r="CC157" s="106">
        <f>+HLOOKUP($C157,PMGR!$EK$2:$EW$250,168,0)</f>
        <v>0</v>
      </c>
      <c r="CD157" s="106">
        <f>+HLOOKUP($C157,PMGR!$EK$2:$EW$250,169,0)</f>
        <v>0</v>
      </c>
      <c r="CE157" s="106">
        <f>+HLOOKUP($C157,PMGR!$EK$2:$EW$250,170,0)</f>
        <v>0</v>
      </c>
      <c r="CF157" s="106">
        <f>+HLOOKUP($C157,PMGR!$EK$2:$EW$250,172,0)</f>
        <v>0</v>
      </c>
      <c r="CG157" s="106">
        <f>+HLOOKUP($C157,PMGR!$EK$2:$EW$250,173,0)</f>
        <v>0</v>
      </c>
      <c r="CH157" s="106">
        <f>+HLOOKUP($C157,PMGR!$EK$2:$EW$250,174,0)</f>
        <v>0</v>
      </c>
      <c r="CI157" s="106">
        <f>+HLOOKUP($C157,PMGR!$EK$2:$EW$250,175,0)</f>
        <v>0</v>
      </c>
      <c r="CJ157" s="106">
        <f>+HLOOKUP($C157,PMGR!$EK$2:$EW$250,176,0)</f>
        <v>0</v>
      </c>
      <c r="CK157" s="106">
        <f>+HLOOKUP($C157,PMGR!$EK$2:$EW$250,178,0)</f>
        <v>0</v>
      </c>
      <c r="CL157" s="106">
        <f>+HLOOKUP($C157,PMGR!$EK$2:$EW$250,179,0)</f>
        <v>319808</v>
      </c>
      <c r="CM157" s="106">
        <f>+HLOOKUP($C157,PMGR!$EK$2:$EW$250,180,0)</f>
        <v>4800</v>
      </c>
      <c r="CN157" s="106">
        <f>+HLOOKUP($C157,PMGR!$EK$2:$EW$250,182,0)</f>
        <v>7415</v>
      </c>
      <c r="CO157" s="106">
        <f>+HLOOKUP($C157,PMGR!$EK$2:$EW$250,183,0)</f>
        <v>0</v>
      </c>
      <c r="CP157" s="106">
        <f>+HLOOKUP($C157,PMGR!$EK$2:$EW$250,184,0)</f>
        <v>0</v>
      </c>
      <c r="CQ157" s="106">
        <f>+HLOOKUP($C157,PMGR!$EK$2:$EW$250,185,0)</f>
        <v>0</v>
      </c>
      <c r="CR157" s="106">
        <f>+HLOOKUP($C157,PMGR!$EK$2:$EW$250,187,0)</f>
        <v>1874.9999999999995</v>
      </c>
      <c r="CS157" s="106">
        <f>+HLOOKUP($C157,PMGR!$EK$2:$EW$250,188,0)</f>
        <v>0</v>
      </c>
      <c r="CT157" s="106">
        <f>+HLOOKUP($C157,PMGR!$EK$2:$EW$250,189,0)</f>
        <v>0</v>
      </c>
      <c r="CU157" s="106">
        <f>+HLOOKUP($C157,PMGR!$EK$2:$EW$250,190,0)</f>
        <v>146970</v>
      </c>
      <c r="CV157" s="106">
        <f>+HLOOKUP($C157,PMGR!$EK$2:$EW$250,191,0)</f>
        <v>0</v>
      </c>
      <c r="CW157" s="106">
        <f>+HLOOKUP($C157,PMGR!$EK$2:$EW$250,193,0)</f>
        <v>0</v>
      </c>
      <c r="CX157" s="106">
        <f>+HLOOKUP($C157,PMGR!$EK$2:$EW$250,194,0)</f>
        <v>219</v>
      </c>
      <c r="CY157" s="106">
        <f>+HLOOKUP($C157,PMGR!$EK$2:$EW$250,195,0)</f>
        <v>41167</v>
      </c>
      <c r="CZ157" s="106">
        <f>+HLOOKUP($C157,PMGR!$EK$2:$EW$250,196,0)</f>
        <v>0</v>
      </c>
      <c r="DA157" s="106">
        <f>+HLOOKUP($C157,PMGR!$EK$2:$EW$250,197,0)</f>
        <v>77988.11</v>
      </c>
      <c r="DB157" s="106">
        <f>+HLOOKUP($C157,PMGR!$EK$2:$EW$250,198,0)</f>
        <v>10874.86</v>
      </c>
      <c r="DC157" s="106">
        <f>+HLOOKUP($C157,PMGR!$EK$2:$EW$250,199,0)</f>
        <v>0</v>
      </c>
      <c r="DD157" s="106">
        <f>+HLOOKUP($C157,PMGR!$EK$2:$EW$250,200,0)</f>
        <v>80</v>
      </c>
      <c r="DE157" s="106">
        <f>+HLOOKUP($C157,PMGR!$EK$2:$EW$250,201,0)</f>
        <v>0</v>
      </c>
      <c r="DF157" s="106">
        <f>+HLOOKUP($C157,PMGR!$EK$2:$EW$250,202,0)</f>
        <v>0.95</v>
      </c>
      <c r="DG157" s="106">
        <f>+HLOOKUP($C157,PMGR!$EK$2:$EW$250,203,0)</f>
        <v>0</v>
      </c>
      <c r="DH157" s="106">
        <f>+HLOOKUP($C157,PMGR!$EK$2:$EW$250,205,0)</f>
        <v>0</v>
      </c>
      <c r="DI157" s="106">
        <f>+HLOOKUP($C157,PMGR!$EK$2:$EW$250,206,0)</f>
        <v>0</v>
      </c>
      <c r="DJ157" s="106">
        <f>+HLOOKUP($C157,PMGR!$EK$2:$EW$250,207,0)</f>
        <v>0</v>
      </c>
      <c r="DK157" s="106">
        <f>+HLOOKUP($C157,PMGR!$EK$2:$EW$250,209,0)</f>
        <v>0</v>
      </c>
      <c r="DL157" s="106">
        <f>+HLOOKUP($C157,PMGR!$EK$2:$EW$250,210,0)</f>
        <v>267000</v>
      </c>
      <c r="DM157" s="106">
        <f>+HLOOKUP($C157,PMGR!$EK$2:$EW$250,211,0)</f>
        <v>0</v>
      </c>
      <c r="DN157" s="106">
        <f>+HLOOKUP($C157,PMGR!$EK$2:$EW$250,212,0)</f>
        <v>0</v>
      </c>
      <c r="DO157" s="106">
        <f>+HLOOKUP($C157,PMGR!$EK$2:$EW$250,214,0)</f>
        <v>0</v>
      </c>
      <c r="DP157" s="106">
        <f>+HLOOKUP($C157,PMGR!$EK$2:$EW$250,215,0)</f>
        <v>900</v>
      </c>
      <c r="DQ157" s="106">
        <f>+HLOOKUP($C157,PMGR!$EK$2:$EW$250,219,0)</f>
        <v>0</v>
      </c>
      <c r="DR157" s="106">
        <f>+HLOOKUP($C157,PMGR!$EK$2:$EW$250,220,0)</f>
        <v>0</v>
      </c>
      <c r="DS157" s="106">
        <f>+HLOOKUP($C157,PMGR!$EK$2:$EW$250,221,0)</f>
        <v>0</v>
      </c>
      <c r="DT157" s="106">
        <f>+HLOOKUP($C157,PMGR!$EK$2:$EW$250,223,0)</f>
        <v>0</v>
      </c>
      <c r="DU157" s="106">
        <f>+HLOOKUP($C157,PMGR!$EK$2:$EW$250,224,0)</f>
        <v>0</v>
      </c>
      <c r="DV157" s="106">
        <f>+HLOOKUP($C157,PMGR!$EK$2:$EW$250,225,0)</f>
        <v>0</v>
      </c>
      <c r="DW157" s="106">
        <f>+HLOOKUP($C157,PMGR!$EK$2:$EW$250,227,0)</f>
        <v>0</v>
      </c>
      <c r="DX157" s="106">
        <f>+HLOOKUP($C157,PMGR!$EK$2:$EW$250,228,0)</f>
        <v>0</v>
      </c>
      <c r="DY157" s="106">
        <f>+HLOOKUP($C157,PMGR!$EK$2:$EW$250,236,0)</f>
        <v>0</v>
      </c>
      <c r="DZ157" s="106">
        <f>+HLOOKUP($C157,PMGR!$EK$2:$EW$250,237,0)</f>
        <v>0</v>
      </c>
      <c r="EA157" s="106">
        <f>+HLOOKUP($C157,PMGR!$EK$2:$EW$250,238,0)</f>
        <v>0</v>
      </c>
      <c r="EB157" s="106">
        <f>+HLOOKUP($C157,PMGR!$EK$2:$EW$250,240,0)</f>
        <v>702927.25199999998</v>
      </c>
    </row>
    <row r="158" spans="1:132" hidden="1">
      <c r="A158" t="s">
        <v>272</v>
      </c>
      <c r="B158" t="s">
        <v>217</v>
      </c>
      <c r="C158" s="117">
        <v>45627</v>
      </c>
      <c r="D158" s="106">
        <v>0</v>
      </c>
      <c r="E158" s="106">
        <v>0</v>
      </c>
      <c r="F158" s="106">
        <v>0</v>
      </c>
      <c r="G158" s="106">
        <v>0</v>
      </c>
      <c r="H158" s="106">
        <v>0</v>
      </c>
      <c r="I158" s="106">
        <v>0</v>
      </c>
      <c r="J158" s="106">
        <v>0</v>
      </c>
      <c r="K158" s="106">
        <v>0</v>
      </c>
      <c r="L158" s="106">
        <v>0</v>
      </c>
      <c r="M158" s="106">
        <v>0</v>
      </c>
      <c r="N158" s="106">
        <v>0</v>
      </c>
      <c r="O158" s="106">
        <v>0</v>
      </c>
      <c r="P158" s="106">
        <v>0</v>
      </c>
      <c r="Q158" s="106">
        <v>0</v>
      </c>
      <c r="R158" s="106">
        <v>0</v>
      </c>
      <c r="S158" s="106">
        <v>0</v>
      </c>
      <c r="T158" s="106">
        <v>0</v>
      </c>
      <c r="U158" s="106">
        <v>0</v>
      </c>
      <c r="V158" s="106">
        <v>0</v>
      </c>
      <c r="W158" s="106">
        <v>0</v>
      </c>
      <c r="X158" s="106">
        <v>0</v>
      </c>
      <c r="Y158" s="106">
        <v>0</v>
      </c>
      <c r="Z158" s="106">
        <v>0</v>
      </c>
      <c r="AA158" s="106">
        <v>0</v>
      </c>
      <c r="AB158" s="106">
        <v>0</v>
      </c>
      <c r="AC158" s="106">
        <v>0</v>
      </c>
      <c r="AD158" s="106">
        <v>0</v>
      </c>
      <c r="AE158" s="106">
        <v>0</v>
      </c>
      <c r="AF158" s="106">
        <v>0</v>
      </c>
      <c r="AG158" s="106">
        <v>0</v>
      </c>
      <c r="AH158" s="106">
        <v>0</v>
      </c>
      <c r="AI158" s="106">
        <v>0</v>
      </c>
      <c r="AJ158" s="106">
        <v>0</v>
      </c>
      <c r="AK158" s="106">
        <v>0</v>
      </c>
      <c r="AL158" s="106">
        <v>0</v>
      </c>
      <c r="AM158" s="106">
        <v>0</v>
      </c>
      <c r="AN158" s="106">
        <v>0</v>
      </c>
      <c r="AO158" s="106">
        <v>0</v>
      </c>
      <c r="AP158" s="106">
        <v>0</v>
      </c>
      <c r="AQ158" s="106">
        <v>0</v>
      </c>
      <c r="AR158" s="106">
        <v>0</v>
      </c>
      <c r="AS158" s="106">
        <v>0</v>
      </c>
      <c r="AT158" s="106">
        <v>0</v>
      </c>
      <c r="AU158" s="106">
        <v>0</v>
      </c>
      <c r="AV158" s="106">
        <v>0</v>
      </c>
      <c r="AW158" s="106">
        <v>0</v>
      </c>
      <c r="AX158" s="106">
        <v>0</v>
      </c>
      <c r="AY158" s="106">
        <v>0</v>
      </c>
      <c r="AZ158" s="106">
        <v>0</v>
      </c>
      <c r="BA158" s="106">
        <v>0</v>
      </c>
      <c r="BB158" s="106">
        <v>0</v>
      </c>
      <c r="BC158" s="106">
        <v>0</v>
      </c>
      <c r="BD158" s="106">
        <v>0</v>
      </c>
      <c r="BE158" s="106">
        <v>0</v>
      </c>
      <c r="BF158" s="106">
        <v>0</v>
      </c>
      <c r="BG158" s="106">
        <v>0</v>
      </c>
      <c r="BH158" s="106">
        <v>0</v>
      </c>
      <c r="BI158" s="106">
        <v>0</v>
      </c>
      <c r="BJ158" s="106">
        <v>0</v>
      </c>
      <c r="BK158" s="106">
        <v>0</v>
      </c>
      <c r="BL158" s="106">
        <v>0</v>
      </c>
      <c r="BM158" s="106">
        <v>0</v>
      </c>
      <c r="BN158" s="106">
        <v>0</v>
      </c>
      <c r="BO158" s="106">
        <v>0</v>
      </c>
      <c r="BP158" s="106">
        <v>0</v>
      </c>
      <c r="BQ158" s="106">
        <v>0</v>
      </c>
      <c r="BR158" s="106">
        <v>0</v>
      </c>
      <c r="BS158" s="106">
        <v>0</v>
      </c>
      <c r="BT158" s="106">
        <v>0</v>
      </c>
      <c r="BU158" s="106">
        <v>0</v>
      </c>
      <c r="BV158" s="106">
        <v>0</v>
      </c>
      <c r="BW158" s="106">
        <v>0</v>
      </c>
      <c r="BX158" s="106">
        <v>0</v>
      </c>
      <c r="BY158" s="106">
        <v>0</v>
      </c>
      <c r="BZ158" s="106">
        <v>0</v>
      </c>
      <c r="CA158" s="106">
        <v>0</v>
      </c>
      <c r="CB158" s="106">
        <v>0</v>
      </c>
      <c r="CC158" s="106">
        <v>0</v>
      </c>
      <c r="CD158" s="106">
        <v>0</v>
      </c>
      <c r="CE158" s="106">
        <v>0</v>
      </c>
      <c r="CF158" s="106">
        <v>0</v>
      </c>
      <c r="CG158" s="106">
        <v>0</v>
      </c>
      <c r="CH158" s="106">
        <v>0</v>
      </c>
      <c r="CI158" s="106">
        <v>0</v>
      </c>
      <c r="CJ158" s="106">
        <v>0</v>
      </c>
      <c r="CK158" s="106">
        <v>0</v>
      </c>
      <c r="CL158" s="106">
        <v>0</v>
      </c>
      <c r="CM158" s="106">
        <v>0</v>
      </c>
      <c r="CN158" s="106">
        <v>0</v>
      </c>
      <c r="CO158" s="106">
        <v>0</v>
      </c>
      <c r="CP158" s="106">
        <v>0</v>
      </c>
      <c r="CQ158" s="106">
        <v>0</v>
      </c>
      <c r="CR158" s="106">
        <v>0</v>
      </c>
      <c r="CS158" s="106">
        <v>0</v>
      </c>
      <c r="CT158" s="106">
        <v>0</v>
      </c>
      <c r="CU158" s="106">
        <v>0</v>
      </c>
      <c r="CV158" s="106">
        <v>0</v>
      </c>
      <c r="CW158" s="106">
        <v>0</v>
      </c>
      <c r="CX158" s="106">
        <v>0</v>
      </c>
      <c r="CY158" s="106">
        <v>0</v>
      </c>
      <c r="CZ158" s="106">
        <v>0</v>
      </c>
      <c r="DA158" s="106">
        <v>0</v>
      </c>
      <c r="DB158" s="106">
        <v>0</v>
      </c>
      <c r="DC158" s="106">
        <v>0</v>
      </c>
      <c r="DD158" s="106">
        <v>0</v>
      </c>
      <c r="DE158" s="106">
        <v>0</v>
      </c>
      <c r="DF158" s="106">
        <v>0</v>
      </c>
      <c r="DG158" s="106">
        <v>0</v>
      </c>
      <c r="DH158" s="106">
        <v>0</v>
      </c>
      <c r="DI158" s="106">
        <v>0</v>
      </c>
      <c r="DJ158" s="106">
        <v>0</v>
      </c>
      <c r="DK158" s="106">
        <v>0</v>
      </c>
      <c r="DL158" s="106">
        <v>0</v>
      </c>
      <c r="DM158" s="106">
        <v>0</v>
      </c>
      <c r="DN158" s="106">
        <v>0</v>
      </c>
      <c r="DO158" s="106">
        <v>0</v>
      </c>
      <c r="DP158" s="106">
        <v>0</v>
      </c>
      <c r="DQ158" s="106">
        <v>0</v>
      </c>
      <c r="DR158" s="106">
        <v>0</v>
      </c>
      <c r="DS158" s="106">
        <v>0</v>
      </c>
      <c r="DT158" s="106">
        <v>0</v>
      </c>
      <c r="DU158" s="106">
        <v>0</v>
      </c>
      <c r="DV158" s="106">
        <v>0</v>
      </c>
      <c r="DW158" s="106">
        <v>0</v>
      </c>
      <c r="DX158" s="106">
        <v>0</v>
      </c>
      <c r="DY158" s="106">
        <v>0</v>
      </c>
      <c r="DZ158" s="106">
        <v>0</v>
      </c>
      <c r="EA158" s="106">
        <v>0</v>
      </c>
      <c r="EB158" s="106">
        <v>0</v>
      </c>
    </row>
    <row r="159" spans="1:132" hidden="1">
      <c r="A159" t="s">
        <v>272</v>
      </c>
      <c r="B159" t="s">
        <v>217</v>
      </c>
      <c r="C159" s="117">
        <v>45597</v>
      </c>
      <c r="D159" s="106">
        <v>0</v>
      </c>
      <c r="E159" s="106">
        <v>0</v>
      </c>
      <c r="F159" s="106">
        <v>0</v>
      </c>
      <c r="G159" s="106">
        <v>0</v>
      </c>
      <c r="H159" s="106">
        <v>0</v>
      </c>
      <c r="I159" s="106">
        <v>0</v>
      </c>
      <c r="J159" s="106">
        <v>0</v>
      </c>
      <c r="K159" s="106">
        <v>0</v>
      </c>
      <c r="L159" s="106">
        <v>0</v>
      </c>
      <c r="M159" s="106">
        <v>0</v>
      </c>
      <c r="N159" s="106">
        <v>0</v>
      </c>
      <c r="O159" s="106">
        <v>0</v>
      </c>
      <c r="P159" s="106">
        <v>0</v>
      </c>
      <c r="Q159" s="106">
        <v>0</v>
      </c>
      <c r="R159" s="106">
        <v>0</v>
      </c>
      <c r="S159" s="106">
        <v>0</v>
      </c>
      <c r="T159" s="106">
        <v>0</v>
      </c>
      <c r="U159" s="106">
        <v>0</v>
      </c>
      <c r="V159" s="106">
        <v>0</v>
      </c>
      <c r="W159" s="106">
        <v>0</v>
      </c>
      <c r="X159" s="106">
        <v>0</v>
      </c>
      <c r="Y159" s="106">
        <v>0</v>
      </c>
      <c r="Z159" s="106">
        <v>0</v>
      </c>
      <c r="AA159" s="106">
        <v>0</v>
      </c>
      <c r="AB159" s="106">
        <v>0</v>
      </c>
      <c r="AC159" s="106">
        <v>0</v>
      </c>
      <c r="AD159" s="106">
        <v>0</v>
      </c>
      <c r="AE159" s="106">
        <v>0</v>
      </c>
      <c r="AF159" s="106">
        <v>0</v>
      </c>
      <c r="AG159" s="106">
        <v>0</v>
      </c>
      <c r="AH159" s="106">
        <v>0</v>
      </c>
      <c r="AI159" s="106">
        <v>0</v>
      </c>
      <c r="AJ159" s="106">
        <v>0</v>
      </c>
      <c r="AK159" s="106">
        <v>0</v>
      </c>
      <c r="AL159" s="106">
        <v>0</v>
      </c>
      <c r="AM159" s="106">
        <v>0</v>
      </c>
      <c r="AN159" s="106">
        <v>0</v>
      </c>
      <c r="AO159" s="106">
        <v>0</v>
      </c>
      <c r="AP159" s="106">
        <v>0</v>
      </c>
      <c r="AQ159" s="106">
        <v>0</v>
      </c>
      <c r="AR159" s="106">
        <v>0</v>
      </c>
      <c r="AS159" s="106">
        <v>0</v>
      </c>
      <c r="AT159" s="106">
        <v>0</v>
      </c>
      <c r="AU159" s="106">
        <v>0</v>
      </c>
      <c r="AV159" s="106">
        <v>0</v>
      </c>
      <c r="AW159" s="106">
        <v>0</v>
      </c>
      <c r="AX159" s="106">
        <v>0</v>
      </c>
      <c r="AY159" s="106">
        <v>0</v>
      </c>
      <c r="AZ159" s="106">
        <v>0</v>
      </c>
      <c r="BA159" s="106">
        <v>0</v>
      </c>
      <c r="BB159" s="106">
        <v>0</v>
      </c>
      <c r="BC159" s="106">
        <v>0</v>
      </c>
      <c r="BD159" s="106">
        <v>0</v>
      </c>
      <c r="BE159" s="106">
        <v>0</v>
      </c>
      <c r="BF159" s="106">
        <v>0</v>
      </c>
      <c r="BG159" s="106">
        <v>0</v>
      </c>
      <c r="BH159" s="106">
        <v>0</v>
      </c>
      <c r="BI159" s="106">
        <v>0</v>
      </c>
      <c r="BJ159" s="106">
        <v>0</v>
      </c>
      <c r="BK159" s="106">
        <v>0</v>
      </c>
      <c r="BL159" s="106">
        <v>0</v>
      </c>
      <c r="BM159" s="106">
        <v>0</v>
      </c>
      <c r="BN159" s="106">
        <v>0</v>
      </c>
      <c r="BO159" s="106">
        <v>0</v>
      </c>
      <c r="BP159" s="106">
        <v>0</v>
      </c>
      <c r="BQ159" s="106">
        <v>0</v>
      </c>
      <c r="BR159" s="106">
        <v>0</v>
      </c>
      <c r="BS159" s="106">
        <v>0</v>
      </c>
      <c r="BT159" s="106">
        <v>0</v>
      </c>
      <c r="BU159" s="106">
        <v>0</v>
      </c>
      <c r="BV159" s="106">
        <v>0</v>
      </c>
      <c r="BW159" s="106">
        <v>0</v>
      </c>
      <c r="BX159" s="106">
        <v>0</v>
      </c>
      <c r="BY159" s="106">
        <v>0</v>
      </c>
      <c r="BZ159" s="106">
        <v>0</v>
      </c>
      <c r="CA159" s="106">
        <v>0</v>
      </c>
      <c r="CB159" s="106">
        <v>0</v>
      </c>
      <c r="CC159" s="106">
        <v>0</v>
      </c>
      <c r="CD159" s="106">
        <v>0</v>
      </c>
      <c r="CE159" s="106">
        <v>0</v>
      </c>
      <c r="CF159" s="106">
        <v>0</v>
      </c>
      <c r="CG159" s="106">
        <v>0</v>
      </c>
      <c r="CH159" s="106">
        <v>0</v>
      </c>
      <c r="CI159" s="106">
        <v>0</v>
      </c>
      <c r="CJ159" s="106">
        <v>0</v>
      </c>
      <c r="CK159" s="106">
        <v>0</v>
      </c>
      <c r="CL159" s="106">
        <v>0</v>
      </c>
      <c r="CM159" s="106">
        <v>0</v>
      </c>
      <c r="CN159" s="106">
        <v>0</v>
      </c>
      <c r="CO159" s="106">
        <v>0</v>
      </c>
      <c r="CP159" s="106">
        <v>0</v>
      </c>
      <c r="CQ159" s="106">
        <v>0</v>
      </c>
      <c r="CR159" s="106">
        <v>0</v>
      </c>
      <c r="CS159" s="106">
        <v>0</v>
      </c>
      <c r="CT159" s="106">
        <v>0</v>
      </c>
      <c r="CU159" s="106">
        <v>0</v>
      </c>
      <c r="CV159" s="106">
        <v>0</v>
      </c>
      <c r="CW159" s="106">
        <v>0</v>
      </c>
      <c r="CX159" s="106">
        <v>0</v>
      </c>
      <c r="CY159" s="106">
        <v>0</v>
      </c>
      <c r="CZ159" s="106">
        <v>0</v>
      </c>
      <c r="DA159" s="106">
        <v>0</v>
      </c>
      <c r="DB159" s="106">
        <v>0</v>
      </c>
      <c r="DC159" s="106">
        <v>0</v>
      </c>
      <c r="DD159" s="106">
        <v>0</v>
      </c>
      <c r="DE159" s="106">
        <v>0</v>
      </c>
      <c r="DF159" s="106">
        <v>0</v>
      </c>
      <c r="DG159" s="106">
        <v>0</v>
      </c>
      <c r="DH159" s="106">
        <v>0</v>
      </c>
      <c r="DI159" s="106">
        <v>0</v>
      </c>
      <c r="DJ159" s="106">
        <v>0</v>
      </c>
      <c r="DK159" s="106">
        <v>0</v>
      </c>
      <c r="DL159" s="106">
        <v>0</v>
      </c>
      <c r="DM159" s="106">
        <v>0</v>
      </c>
      <c r="DN159" s="106">
        <v>0</v>
      </c>
      <c r="DO159" s="106">
        <v>0</v>
      </c>
      <c r="DP159" s="106">
        <v>0</v>
      </c>
      <c r="DQ159" s="106">
        <v>0</v>
      </c>
      <c r="DR159" s="106">
        <v>0</v>
      </c>
      <c r="DS159" s="106">
        <v>0</v>
      </c>
      <c r="DT159" s="106">
        <v>0</v>
      </c>
      <c r="DU159" s="106">
        <v>0</v>
      </c>
      <c r="DV159" s="106">
        <v>0</v>
      </c>
      <c r="DW159" s="106">
        <v>0</v>
      </c>
      <c r="DX159" s="106">
        <v>0</v>
      </c>
      <c r="DY159" s="106">
        <v>0</v>
      </c>
      <c r="DZ159" s="106">
        <v>0</v>
      </c>
      <c r="EA159" s="106">
        <v>0</v>
      </c>
      <c r="EB159" s="106">
        <v>0</v>
      </c>
    </row>
    <row r="160" spans="1:132" hidden="1">
      <c r="A160" t="s">
        <v>272</v>
      </c>
      <c r="B160" t="s">
        <v>217</v>
      </c>
      <c r="C160" s="117">
        <v>45566</v>
      </c>
      <c r="D160" s="106">
        <v>0</v>
      </c>
      <c r="E160" s="106">
        <v>0</v>
      </c>
      <c r="F160" s="106">
        <v>0</v>
      </c>
      <c r="G160" s="106">
        <v>0</v>
      </c>
      <c r="H160" s="106">
        <v>0</v>
      </c>
      <c r="I160" s="106">
        <v>0</v>
      </c>
      <c r="J160" s="106">
        <v>0</v>
      </c>
      <c r="K160" s="106">
        <v>0</v>
      </c>
      <c r="L160" s="106">
        <v>0</v>
      </c>
      <c r="M160" s="106">
        <v>0</v>
      </c>
      <c r="N160" s="106">
        <v>0</v>
      </c>
      <c r="O160" s="106">
        <v>0</v>
      </c>
      <c r="P160" s="106">
        <v>0</v>
      </c>
      <c r="Q160" s="106">
        <v>0</v>
      </c>
      <c r="R160" s="106">
        <v>0</v>
      </c>
      <c r="S160" s="106">
        <v>0</v>
      </c>
      <c r="T160" s="106">
        <v>0</v>
      </c>
      <c r="U160" s="106">
        <v>0</v>
      </c>
      <c r="V160" s="106">
        <v>0</v>
      </c>
      <c r="W160" s="106">
        <v>0</v>
      </c>
      <c r="X160" s="106">
        <v>0</v>
      </c>
      <c r="Y160" s="106">
        <v>0</v>
      </c>
      <c r="Z160" s="106">
        <v>0</v>
      </c>
      <c r="AA160" s="106">
        <v>0</v>
      </c>
      <c r="AB160" s="106">
        <v>0</v>
      </c>
      <c r="AC160" s="106">
        <v>0</v>
      </c>
      <c r="AD160" s="106">
        <v>0</v>
      </c>
      <c r="AE160" s="106">
        <v>0</v>
      </c>
      <c r="AF160" s="106">
        <v>0</v>
      </c>
      <c r="AG160" s="106">
        <v>0</v>
      </c>
      <c r="AH160" s="106">
        <v>0</v>
      </c>
      <c r="AI160" s="106">
        <v>0</v>
      </c>
      <c r="AJ160" s="106">
        <v>0</v>
      </c>
      <c r="AK160" s="106">
        <v>0</v>
      </c>
      <c r="AL160" s="106">
        <v>0</v>
      </c>
      <c r="AM160" s="106">
        <v>0</v>
      </c>
      <c r="AN160" s="106">
        <v>0</v>
      </c>
      <c r="AO160" s="106">
        <v>0</v>
      </c>
      <c r="AP160" s="106">
        <v>0</v>
      </c>
      <c r="AQ160" s="106">
        <v>0</v>
      </c>
      <c r="AR160" s="106">
        <v>0</v>
      </c>
      <c r="AS160" s="106">
        <v>0</v>
      </c>
      <c r="AT160" s="106">
        <v>0</v>
      </c>
      <c r="AU160" s="106">
        <v>0</v>
      </c>
      <c r="AV160" s="106">
        <v>0</v>
      </c>
      <c r="AW160" s="106">
        <v>0</v>
      </c>
      <c r="AX160" s="106">
        <v>0</v>
      </c>
      <c r="AY160" s="106">
        <v>0</v>
      </c>
      <c r="AZ160" s="106">
        <v>0</v>
      </c>
      <c r="BA160" s="106">
        <v>0</v>
      </c>
      <c r="BB160" s="106">
        <v>0</v>
      </c>
      <c r="BC160" s="106">
        <v>0</v>
      </c>
      <c r="BD160" s="106">
        <v>0</v>
      </c>
      <c r="BE160" s="106">
        <v>0</v>
      </c>
      <c r="BF160" s="106">
        <v>0</v>
      </c>
      <c r="BG160" s="106">
        <v>0</v>
      </c>
      <c r="BH160" s="106">
        <v>0</v>
      </c>
      <c r="BI160" s="106">
        <v>0</v>
      </c>
      <c r="BJ160" s="106">
        <v>0</v>
      </c>
      <c r="BK160" s="106">
        <v>0</v>
      </c>
      <c r="BL160" s="106">
        <v>0</v>
      </c>
      <c r="BM160" s="106">
        <v>0</v>
      </c>
      <c r="BN160" s="106">
        <v>0</v>
      </c>
      <c r="BO160" s="106">
        <v>0</v>
      </c>
      <c r="BP160" s="106">
        <v>0</v>
      </c>
      <c r="BQ160" s="106">
        <v>0</v>
      </c>
      <c r="BR160" s="106">
        <v>0</v>
      </c>
      <c r="BS160" s="106">
        <v>0</v>
      </c>
      <c r="BT160" s="106">
        <v>0</v>
      </c>
      <c r="BU160" s="106">
        <v>0</v>
      </c>
      <c r="BV160" s="106">
        <v>0</v>
      </c>
      <c r="BW160" s="106">
        <v>0</v>
      </c>
      <c r="BX160" s="106">
        <v>0</v>
      </c>
      <c r="BY160" s="106">
        <v>0</v>
      </c>
      <c r="BZ160" s="106">
        <v>0</v>
      </c>
      <c r="CA160" s="106">
        <v>0</v>
      </c>
      <c r="CB160" s="106">
        <v>0</v>
      </c>
      <c r="CC160" s="106">
        <v>0</v>
      </c>
      <c r="CD160" s="106">
        <v>0</v>
      </c>
      <c r="CE160" s="106">
        <v>0</v>
      </c>
      <c r="CF160" s="106">
        <v>0</v>
      </c>
      <c r="CG160" s="106">
        <v>0</v>
      </c>
      <c r="CH160" s="106">
        <v>0</v>
      </c>
      <c r="CI160" s="106">
        <v>0</v>
      </c>
      <c r="CJ160" s="106">
        <v>0</v>
      </c>
      <c r="CK160" s="106">
        <v>0</v>
      </c>
      <c r="CL160" s="106">
        <v>0</v>
      </c>
      <c r="CM160" s="106">
        <v>0</v>
      </c>
      <c r="CN160" s="106">
        <v>0</v>
      </c>
      <c r="CO160" s="106">
        <v>0</v>
      </c>
      <c r="CP160" s="106">
        <v>0</v>
      </c>
      <c r="CQ160" s="106">
        <v>0</v>
      </c>
      <c r="CR160" s="106">
        <v>0</v>
      </c>
      <c r="CS160" s="106">
        <v>0</v>
      </c>
      <c r="CT160" s="106">
        <v>0</v>
      </c>
      <c r="CU160" s="106">
        <v>0</v>
      </c>
      <c r="CV160" s="106">
        <v>0</v>
      </c>
      <c r="CW160" s="106">
        <v>0</v>
      </c>
      <c r="CX160" s="106">
        <v>0</v>
      </c>
      <c r="CY160" s="106">
        <v>0</v>
      </c>
      <c r="CZ160" s="106">
        <v>0</v>
      </c>
      <c r="DA160" s="106">
        <v>0</v>
      </c>
      <c r="DB160" s="106">
        <v>0</v>
      </c>
      <c r="DC160" s="106">
        <v>0</v>
      </c>
      <c r="DD160" s="106">
        <v>0</v>
      </c>
      <c r="DE160" s="106">
        <v>0</v>
      </c>
      <c r="DF160" s="106">
        <v>0</v>
      </c>
      <c r="DG160" s="106">
        <v>0</v>
      </c>
      <c r="DH160" s="106">
        <v>0</v>
      </c>
      <c r="DI160" s="106">
        <v>0</v>
      </c>
      <c r="DJ160" s="106">
        <v>0</v>
      </c>
      <c r="DK160" s="106">
        <v>0</v>
      </c>
      <c r="DL160" s="106">
        <v>0</v>
      </c>
      <c r="DM160" s="106">
        <v>0</v>
      </c>
      <c r="DN160" s="106">
        <v>0</v>
      </c>
      <c r="DO160" s="106">
        <v>0</v>
      </c>
      <c r="DP160" s="106">
        <v>0</v>
      </c>
      <c r="DQ160" s="106">
        <v>0</v>
      </c>
      <c r="DR160" s="106">
        <v>0</v>
      </c>
      <c r="DS160" s="106">
        <v>0</v>
      </c>
      <c r="DT160" s="106">
        <v>0</v>
      </c>
      <c r="DU160" s="106">
        <v>0</v>
      </c>
      <c r="DV160" s="106">
        <v>0</v>
      </c>
      <c r="DW160" s="106">
        <v>0</v>
      </c>
      <c r="DX160" s="106">
        <v>0</v>
      </c>
      <c r="DY160" s="106">
        <v>0</v>
      </c>
      <c r="DZ160" s="106">
        <v>0</v>
      </c>
      <c r="EA160" s="106">
        <v>0</v>
      </c>
      <c r="EB160" s="106">
        <v>0</v>
      </c>
    </row>
    <row r="161" spans="1:132" hidden="1">
      <c r="A161" t="s">
        <v>272</v>
      </c>
      <c r="B161" t="s">
        <v>217</v>
      </c>
      <c r="C161" s="117">
        <v>45536</v>
      </c>
      <c r="D161" s="106">
        <v>0</v>
      </c>
      <c r="E161" s="106">
        <v>0</v>
      </c>
      <c r="F161" s="106">
        <v>0</v>
      </c>
      <c r="G161" s="106">
        <v>0</v>
      </c>
      <c r="H161" s="106">
        <v>0</v>
      </c>
      <c r="I161" s="106">
        <v>0</v>
      </c>
      <c r="J161" s="106">
        <v>0</v>
      </c>
      <c r="K161" s="106">
        <v>0</v>
      </c>
      <c r="L161" s="106">
        <v>0</v>
      </c>
      <c r="M161" s="106">
        <v>0</v>
      </c>
      <c r="N161" s="106">
        <v>0</v>
      </c>
      <c r="O161" s="106">
        <v>0</v>
      </c>
      <c r="P161" s="106">
        <v>0</v>
      </c>
      <c r="Q161" s="106">
        <v>0</v>
      </c>
      <c r="R161" s="106">
        <v>0</v>
      </c>
      <c r="S161" s="106">
        <v>0</v>
      </c>
      <c r="T161" s="106">
        <v>0</v>
      </c>
      <c r="U161" s="106">
        <v>0</v>
      </c>
      <c r="V161" s="106">
        <v>0</v>
      </c>
      <c r="W161" s="106">
        <v>0</v>
      </c>
      <c r="X161" s="106">
        <v>0</v>
      </c>
      <c r="Y161" s="106">
        <v>0</v>
      </c>
      <c r="Z161" s="106">
        <v>0</v>
      </c>
      <c r="AA161" s="106">
        <v>0</v>
      </c>
      <c r="AB161" s="106">
        <v>0</v>
      </c>
      <c r="AC161" s="106">
        <v>0</v>
      </c>
      <c r="AD161" s="106">
        <v>0</v>
      </c>
      <c r="AE161" s="106">
        <v>0</v>
      </c>
      <c r="AF161" s="106">
        <v>0</v>
      </c>
      <c r="AG161" s="106">
        <v>0</v>
      </c>
      <c r="AH161" s="106">
        <v>0</v>
      </c>
      <c r="AI161" s="106">
        <v>0</v>
      </c>
      <c r="AJ161" s="106">
        <v>0</v>
      </c>
      <c r="AK161" s="106">
        <v>0</v>
      </c>
      <c r="AL161" s="106">
        <v>0</v>
      </c>
      <c r="AM161" s="106">
        <v>0</v>
      </c>
      <c r="AN161" s="106">
        <v>0</v>
      </c>
      <c r="AO161" s="106">
        <v>0</v>
      </c>
      <c r="AP161" s="106">
        <v>0</v>
      </c>
      <c r="AQ161" s="106">
        <v>0</v>
      </c>
      <c r="AR161" s="106">
        <v>0</v>
      </c>
      <c r="AS161" s="106">
        <v>0</v>
      </c>
      <c r="AT161" s="106">
        <v>0</v>
      </c>
      <c r="AU161" s="106">
        <v>0</v>
      </c>
      <c r="AV161" s="106">
        <v>0</v>
      </c>
      <c r="AW161" s="106">
        <v>0</v>
      </c>
      <c r="AX161" s="106">
        <v>0</v>
      </c>
      <c r="AY161" s="106">
        <v>0</v>
      </c>
      <c r="AZ161" s="106">
        <v>0</v>
      </c>
      <c r="BA161" s="106">
        <v>0</v>
      </c>
      <c r="BB161" s="106">
        <v>0</v>
      </c>
      <c r="BC161" s="106">
        <v>0</v>
      </c>
      <c r="BD161" s="106">
        <v>0</v>
      </c>
      <c r="BE161" s="106">
        <v>0</v>
      </c>
      <c r="BF161" s="106">
        <v>0</v>
      </c>
      <c r="BG161" s="106">
        <v>0</v>
      </c>
      <c r="BH161" s="106">
        <v>0</v>
      </c>
      <c r="BI161" s="106">
        <v>0</v>
      </c>
      <c r="BJ161" s="106">
        <v>0</v>
      </c>
      <c r="BK161" s="106">
        <v>0</v>
      </c>
      <c r="BL161" s="106">
        <v>0</v>
      </c>
      <c r="BM161" s="106">
        <v>0</v>
      </c>
      <c r="BN161" s="106">
        <v>0</v>
      </c>
      <c r="BO161" s="106">
        <v>0</v>
      </c>
      <c r="BP161" s="106">
        <v>0</v>
      </c>
      <c r="BQ161" s="106">
        <v>0</v>
      </c>
      <c r="BR161" s="106">
        <v>0</v>
      </c>
      <c r="BS161" s="106">
        <v>0</v>
      </c>
      <c r="BT161" s="106">
        <v>0</v>
      </c>
      <c r="BU161" s="106">
        <v>0</v>
      </c>
      <c r="BV161" s="106">
        <v>0</v>
      </c>
      <c r="BW161" s="106">
        <v>0</v>
      </c>
      <c r="BX161" s="106">
        <v>0</v>
      </c>
      <c r="BY161" s="106">
        <v>0</v>
      </c>
      <c r="BZ161" s="106">
        <v>0</v>
      </c>
      <c r="CA161" s="106">
        <v>0</v>
      </c>
      <c r="CB161" s="106">
        <v>0</v>
      </c>
      <c r="CC161" s="106">
        <v>0</v>
      </c>
      <c r="CD161" s="106">
        <v>0</v>
      </c>
      <c r="CE161" s="106">
        <v>0</v>
      </c>
      <c r="CF161" s="106">
        <v>0</v>
      </c>
      <c r="CG161" s="106">
        <v>0</v>
      </c>
      <c r="CH161" s="106">
        <v>0</v>
      </c>
      <c r="CI161" s="106">
        <v>0</v>
      </c>
      <c r="CJ161" s="106">
        <v>0</v>
      </c>
      <c r="CK161" s="106">
        <v>0</v>
      </c>
      <c r="CL161" s="106">
        <v>0</v>
      </c>
      <c r="CM161" s="106">
        <v>0</v>
      </c>
      <c r="CN161" s="106">
        <v>0</v>
      </c>
      <c r="CO161" s="106">
        <v>0</v>
      </c>
      <c r="CP161" s="106">
        <v>0</v>
      </c>
      <c r="CQ161" s="106">
        <v>0</v>
      </c>
      <c r="CR161" s="106">
        <v>0</v>
      </c>
      <c r="CS161" s="106">
        <v>0</v>
      </c>
      <c r="CT161" s="106">
        <v>0</v>
      </c>
      <c r="CU161" s="106">
        <v>0</v>
      </c>
      <c r="CV161" s="106">
        <v>0</v>
      </c>
      <c r="CW161" s="106">
        <v>0</v>
      </c>
      <c r="CX161" s="106">
        <v>0</v>
      </c>
      <c r="CY161" s="106">
        <v>0</v>
      </c>
      <c r="CZ161" s="106">
        <v>0</v>
      </c>
      <c r="DA161" s="106">
        <v>0</v>
      </c>
      <c r="DB161" s="106">
        <v>0</v>
      </c>
      <c r="DC161" s="106">
        <v>0</v>
      </c>
      <c r="DD161" s="106">
        <v>0</v>
      </c>
      <c r="DE161" s="106">
        <v>0</v>
      </c>
      <c r="DF161" s="106">
        <v>0</v>
      </c>
      <c r="DG161" s="106">
        <v>0</v>
      </c>
      <c r="DH161" s="106">
        <v>0</v>
      </c>
      <c r="DI161" s="106">
        <v>0</v>
      </c>
      <c r="DJ161" s="106">
        <v>0</v>
      </c>
      <c r="DK161" s="106">
        <v>0</v>
      </c>
      <c r="DL161" s="106">
        <v>0</v>
      </c>
      <c r="DM161" s="106">
        <v>0</v>
      </c>
      <c r="DN161" s="106">
        <v>0</v>
      </c>
      <c r="DO161" s="106">
        <v>0</v>
      </c>
      <c r="DP161" s="106">
        <v>0</v>
      </c>
      <c r="DQ161" s="106">
        <v>0</v>
      </c>
      <c r="DR161" s="106">
        <v>0</v>
      </c>
      <c r="DS161" s="106">
        <v>0</v>
      </c>
      <c r="DT161" s="106">
        <v>0</v>
      </c>
      <c r="DU161" s="106">
        <v>0</v>
      </c>
      <c r="DV161" s="106">
        <v>0</v>
      </c>
      <c r="DW161" s="106">
        <v>0</v>
      </c>
      <c r="DX161" s="106">
        <v>0</v>
      </c>
      <c r="DY161" s="106">
        <v>0</v>
      </c>
      <c r="DZ161" s="106">
        <v>0</v>
      </c>
      <c r="EA161" s="106">
        <v>0</v>
      </c>
      <c r="EB161" s="106">
        <v>0</v>
      </c>
    </row>
    <row r="162" spans="1:132" hidden="1">
      <c r="A162" t="s">
        <v>272</v>
      </c>
      <c r="B162" t="s">
        <v>217</v>
      </c>
      <c r="C162" s="117">
        <v>45505</v>
      </c>
      <c r="D162" s="106">
        <v>0</v>
      </c>
      <c r="E162" s="106">
        <v>0</v>
      </c>
      <c r="F162" s="106">
        <v>0</v>
      </c>
      <c r="G162" s="106">
        <v>0</v>
      </c>
      <c r="H162" s="106">
        <v>0</v>
      </c>
      <c r="I162" s="106">
        <v>0</v>
      </c>
      <c r="J162" s="106">
        <v>0</v>
      </c>
      <c r="K162" s="106">
        <v>0</v>
      </c>
      <c r="L162" s="106">
        <v>0</v>
      </c>
      <c r="M162" s="106">
        <v>0</v>
      </c>
      <c r="N162" s="106">
        <v>0</v>
      </c>
      <c r="O162" s="106">
        <v>0</v>
      </c>
      <c r="P162" s="106">
        <v>0</v>
      </c>
      <c r="Q162" s="106">
        <v>0</v>
      </c>
      <c r="R162" s="106">
        <v>0</v>
      </c>
      <c r="S162" s="106">
        <v>0</v>
      </c>
      <c r="T162" s="106">
        <v>0</v>
      </c>
      <c r="U162" s="106">
        <v>0</v>
      </c>
      <c r="V162" s="106">
        <v>0</v>
      </c>
      <c r="W162" s="106">
        <v>0</v>
      </c>
      <c r="X162" s="106">
        <v>0</v>
      </c>
      <c r="Y162" s="106">
        <v>0</v>
      </c>
      <c r="Z162" s="106">
        <v>0</v>
      </c>
      <c r="AA162" s="106">
        <v>0</v>
      </c>
      <c r="AB162" s="106">
        <v>0</v>
      </c>
      <c r="AC162" s="106">
        <v>0</v>
      </c>
      <c r="AD162" s="106">
        <v>0</v>
      </c>
      <c r="AE162" s="106">
        <v>0</v>
      </c>
      <c r="AF162" s="106">
        <v>0</v>
      </c>
      <c r="AG162" s="106">
        <v>0</v>
      </c>
      <c r="AH162" s="106">
        <v>0</v>
      </c>
      <c r="AI162" s="106">
        <v>0</v>
      </c>
      <c r="AJ162" s="106">
        <v>0</v>
      </c>
      <c r="AK162" s="106">
        <v>0</v>
      </c>
      <c r="AL162" s="106">
        <v>0</v>
      </c>
      <c r="AM162" s="106">
        <v>0</v>
      </c>
      <c r="AN162" s="106">
        <v>0</v>
      </c>
      <c r="AO162" s="106">
        <v>0</v>
      </c>
      <c r="AP162" s="106">
        <v>0</v>
      </c>
      <c r="AQ162" s="106">
        <v>0</v>
      </c>
      <c r="AR162" s="106">
        <v>0</v>
      </c>
      <c r="AS162" s="106">
        <v>0</v>
      </c>
      <c r="AT162" s="106">
        <v>0</v>
      </c>
      <c r="AU162" s="106">
        <v>0</v>
      </c>
      <c r="AV162" s="106">
        <v>0</v>
      </c>
      <c r="AW162" s="106">
        <v>0</v>
      </c>
      <c r="AX162" s="106">
        <v>0</v>
      </c>
      <c r="AY162" s="106">
        <v>0</v>
      </c>
      <c r="AZ162" s="106">
        <v>0</v>
      </c>
      <c r="BA162" s="106">
        <v>0</v>
      </c>
      <c r="BB162" s="106">
        <v>0</v>
      </c>
      <c r="BC162" s="106">
        <v>0</v>
      </c>
      <c r="BD162" s="106">
        <v>0</v>
      </c>
      <c r="BE162" s="106">
        <v>0</v>
      </c>
      <c r="BF162" s="106">
        <v>0</v>
      </c>
      <c r="BG162" s="106">
        <v>0</v>
      </c>
      <c r="BH162" s="106">
        <v>0</v>
      </c>
      <c r="BI162" s="106">
        <v>0</v>
      </c>
      <c r="BJ162" s="106">
        <v>0</v>
      </c>
      <c r="BK162" s="106">
        <v>0</v>
      </c>
      <c r="BL162" s="106">
        <v>0</v>
      </c>
      <c r="BM162" s="106">
        <v>0</v>
      </c>
      <c r="BN162" s="106">
        <v>0</v>
      </c>
      <c r="BO162" s="106">
        <v>0</v>
      </c>
      <c r="BP162" s="106">
        <v>0</v>
      </c>
      <c r="BQ162" s="106">
        <v>0</v>
      </c>
      <c r="BR162" s="106">
        <v>0</v>
      </c>
      <c r="BS162" s="106">
        <v>0</v>
      </c>
      <c r="BT162" s="106">
        <v>0</v>
      </c>
      <c r="BU162" s="106">
        <v>0</v>
      </c>
      <c r="BV162" s="106">
        <v>0</v>
      </c>
      <c r="BW162" s="106">
        <v>0</v>
      </c>
      <c r="BX162" s="106">
        <v>0</v>
      </c>
      <c r="BY162" s="106">
        <v>0</v>
      </c>
      <c r="BZ162" s="106">
        <v>0</v>
      </c>
      <c r="CA162" s="106">
        <v>0</v>
      </c>
      <c r="CB162" s="106">
        <v>0</v>
      </c>
      <c r="CC162" s="106">
        <v>0</v>
      </c>
      <c r="CD162" s="106">
        <v>0</v>
      </c>
      <c r="CE162" s="106">
        <v>0</v>
      </c>
      <c r="CF162" s="106">
        <v>0</v>
      </c>
      <c r="CG162" s="106">
        <v>0</v>
      </c>
      <c r="CH162" s="106">
        <v>0</v>
      </c>
      <c r="CI162" s="106">
        <v>0</v>
      </c>
      <c r="CJ162" s="106">
        <v>0</v>
      </c>
      <c r="CK162" s="106">
        <v>0</v>
      </c>
      <c r="CL162" s="106">
        <v>0</v>
      </c>
      <c r="CM162" s="106">
        <v>0</v>
      </c>
      <c r="CN162" s="106">
        <v>0</v>
      </c>
      <c r="CO162" s="106">
        <v>0</v>
      </c>
      <c r="CP162" s="106">
        <v>0</v>
      </c>
      <c r="CQ162" s="106">
        <v>0</v>
      </c>
      <c r="CR162" s="106">
        <v>0</v>
      </c>
      <c r="CS162" s="106">
        <v>0</v>
      </c>
      <c r="CT162" s="106">
        <v>0</v>
      </c>
      <c r="CU162" s="106">
        <v>0</v>
      </c>
      <c r="CV162" s="106">
        <v>0</v>
      </c>
      <c r="CW162" s="106">
        <v>0</v>
      </c>
      <c r="CX162" s="106">
        <v>0</v>
      </c>
      <c r="CY162" s="106">
        <v>0</v>
      </c>
      <c r="CZ162" s="106">
        <v>0</v>
      </c>
      <c r="DA162" s="106">
        <v>0</v>
      </c>
      <c r="DB162" s="106">
        <v>0</v>
      </c>
      <c r="DC162" s="106">
        <v>0</v>
      </c>
      <c r="DD162" s="106">
        <v>0</v>
      </c>
      <c r="DE162" s="106">
        <v>0</v>
      </c>
      <c r="DF162" s="106">
        <v>0</v>
      </c>
      <c r="DG162" s="106">
        <v>0</v>
      </c>
      <c r="DH162" s="106">
        <v>0</v>
      </c>
      <c r="DI162" s="106">
        <v>0</v>
      </c>
      <c r="DJ162" s="106">
        <v>0</v>
      </c>
      <c r="DK162" s="106">
        <v>0</v>
      </c>
      <c r="DL162" s="106">
        <v>0</v>
      </c>
      <c r="DM162" s="106">
        <v>0</v>
      </c>
      <c r="DN162" s="106">
        <v>0</v>
      </c>
      <c r="DO162" s="106">
        <v>0</v>
      </c>
      <c r="DP162" s="106">
        <v>0</v>
      </c>
      <c r="DQ162" s="106">
        <v>0</v>
      </c>
      <c r="DR162" s="106">
        <v>0</v>
      </c>
      <c r="DS162" s="106">
        <v>0</v>
      </c>
      <c r="DT162" s="106">
        <v>0</v>
      </c>
      <c r="DU162" s="106">
        <v>0</v>
      </c>
      <c r="DV162" s="106">
        <v>0</v>
      </c>
      <c r="DW162" s="106">
        <v>0</v>
      </c>
      <c r="DX162" s="106">
        <v>0</v>
      </c>
      <c r="DY162" s="106">
        <v>0</v>
      </c>
      <c r="DZ162" s="106">
        <v>0</v>
      </c>
      <c r="EA162" s="106">
        <v>0</v>
      </c>
      <c r="EB162" s="106">
        <v>0</v>
      </c>
    </row>
    <row r="163" spans="1:132" hidden="1">
      <c r="A163" t="s">
        <v>272</v>
      </c>
      <c r="B163" t="s">
        <v>217</v>
      </c>
      <c r="C163" s="117">
        <v>45474</v>
      </c>
      <c r="D163" s="106">
        <v>0</v>
      </c>
      <c r="E163" s="106">
        <v>0</v>
      </c>
      <c r="F163" s="106">
        <v>0</v>
      </c>
      <c r="G163" s="106">
        <v>0</v>
      </c>
      <c r="H163" s="106">
        <v>0</v>
      </c>
      <c r="I163" s="106">
        <v>0</v>
      </c>
      <c r="J163" s="106">
        <v>0</v>
      </c>
      <c r="K163" s="106">
        <v>0</v>
      </c>
      <c r="L163" s="106">
        <v>0</v>
      </c>
      <c r="M163" s="106">
        <v>0</v>
      </c>
      <c r="N163" s="106">
        <v>0</v>
      </c>
      <c r="O163" s="106">
        <v>0</v>
      </c>
      <c r="P163" s="106">
        <v>0</v>
      </c>
      <c r="Q163" s="106">
        <v>0</v>
      </c>
      <c r="R163" s="106">
        <v>0</v>
      </c>
      <c r="S163" s="106">
        <v>0</v>
      </c>
      <c r="T163" s="106">
        <v>0</v>
      </c>
      <c r="U163" s="106">
        <v>0</v>
      </c>
      <c r="V163" s="106">
        <v>0</v>
      </c>
      <c r="W163" s="106">
        <v>0</v>
      </c>
      <c r="X163" s="106">
        <v>0</v>
      </c>
      <c r="Y163" s="106">
        <v>0</v>
      </c>
      <c r="Z163" s="106">
        <v>0</v>
      </c>
      <c r="AA163" s="106">
        <v>0</v>
      </c>
      <c r="AB163" s="106">
        <v>0</v>
      </c>
      <c r="AC163" s="106">
        <v>0</v>
      </c>
      <c r="AD163" s="106">
        <v>0</v>
      </c>
      <c r="AE163" s="106">
        <v>0</v>
      </c>
      <c r="AF163" s="106">
        <v>0</v>
      </c>
      <c r="AG163" s="106">
        <v>0</v>
      </c>
      <c r="AH163" s="106">
        <v>0</v>
      </c>
      <c r="AI163" s="106">
        <v>0</v>
      </c>
      <c r="AJ163" s="106">
        <v>0</v>
      </c>
      <c r="AK163" s="106">
        <v>0</v>
      </c>
      <c r="AL163" s="106">
        <v>0</v>
      </c>
      <c r="AM163" s="106">
        <v>0</v>
      </c>
      <c r="AN163" s="106">
        <v>0</v>
      </c>
      <c r="AO163" s="106">
        <v>0</v>
      </c>
      <c r="AP163" s="106">
        <v>0</v>
      </c>
      <c r="AQ163" s="106">
        <v>0</v>
      </c>
      <c r="AR163" s="106">
        <v>0</v>
      </c>
      <c r="AS163" s="106">
        <v>0</v>
      </c>
      <c r="AT163" s="106">
        <v>0</v>
      </c>
      <c r="AU163" s="106">
        <v>0</v>
      </c>
      <c r="AV163" s="106">
        <v>0</v>
      </c>
      <c r="AW163" s="106">
        <v>0</v>
      </c>
      <c r="AX163" s="106">
        <v>0</v>
      </c>
      <c r="AY163" s="106">
        <v>0</v>
      </c>
      <c r="AZ163" s="106">
        <v>0</v>
      </c>
      <c r="BA163" s="106">
        <v>0</v>
      </c>
      <c r="BB163" s="106">
        <v>0</v>
      </c>
      <c r="BC163" s="106">
        <v>0</v>
      </c>
      <c r="BD163" s="106">
        <v>0</v>
      </c>
      <c r="BE163" s="106">
        <v>0</v>
      </c>
      <c r="BF163" s="106">
        <v>0</v>
      </c>
      <c r="BG163" s="106">
        <v>0</v>
      </c>
      <c r="BH163" s="106">
        <v>0</v>
      </c>
      <c r="BI163" s="106">
        <v>0</v>
      </c>
      <c r="BJ163" s="106">
        <v>0</v>
      </c>
      <c r="BK163" s="106">
        <v>0</v>
      </c>
      <c r="BL163" s="106">
        <v>0</v>
      </c>
      <c r="BM163" s="106">
        <v>0</v>
      </c>
      <c r="BN163" s="106">
        <v>0</v>
      </c>
      <c r="BO163" s="106">
        <v>0</v>
      </c>
      <c r="BP163" s="106">
        <v>0</v>
      </c>
      <c r="BQ163" s="106">
        <v>0</v>
      </c>
      <c r="BR163" s="106">
        <v>0</v>
      </c>
      <c r="BS163" s="106">
        <v>0</v>
      </c>
      <c r="BT163" s="106">
        <v>0</v>
      </c>
      <c r="BU163" s="106">
        <v>0</v>
      </c>
      <c r="BV163" s="106">
        <v>0</v>
      </c>
      <c r="BW163" s="106">
        <v>0</v>
      </c>
      <c r="BX163" s="106">
        <v>0</v>
      </c>
      <c r="BY163" s="106">
        <v>0</v>
      </c>
      <c r="BZ163" s="106">
        <v>0</v>
      </c>
      <c r="CA163" s="106">
        <v>0</v>
      </c>
      <c r="CB163" s="106">
        <v>0</v>
      </c>
      <c r="CC163" s="106">
        <v>0</v>
      </c>
      <c r="CD163" s="106">
        <v>0</v>
      </c>
      <c r="CE163" s="106">
        <v>0</v>
      </c>
      <c r="CF163" s="106">
        <v>0</v>
      </c>
      <c r="CG163" s="106">
        <v>0</v>
      </c>
      <c r="CH163" s="106">
        <v>0</v>
      </c>
      <c r="CI163" s="106">
        <v>0</v>
      </c>
      <c r="CJ163" s="106">
        <v>0</v>
      </c>
      <c r="CK163" s="106">
        <v>0</v>
      </c>
      <c r="CL163" s="106">
        <v>0</v>
      </c>
      <c r="CM163" s="106">
        <v>0</v>
      </c>
      <c r="CN163" s="106">
        <v>0</v>
      </c>
      <c r="CO163" s="106">
        <v>0</v>
      </c>
      <c r="CP163" s="106">
        <v>0</v>
      </c>
      <c r="CQ163" s="106">
        <v>0</v>
      </c>
      <c r="CR163" s="106">
        <v>0</v>
      </c>
      <c r="CS163" s="106">
        <v>0</v>
      </c>
      <c r="CT163" s="106">
        <v>0</v>
      </c>
      <c r="CU163" s="106">
        <v>0</v>
      </c>
      <c r="CV163" s="106">
        <v>0</v>
      </c>
      <c r="CW163" s="106">
        <v>0</v>
      </c>
      <c r="CX163" s="106">
        <v>0</v>
      </c>
      <c r="CY163" s="106">
        <v>0</v>
      </c>
      <c r="CZ163" s="106">
        <v>0</v>
      </c>
      <c r="DA163" s="106">
        <v>0</v>
      </c>
      <c r="DB163" s="106">
        <v>0</v>
      </c>
      <c r="DC163" s="106">
        <v>0</v>
      </c>
      <c r="DD163" s="106">
        <v>0</v>
      </c>
      <c r="DE163" s="106">
        <v>0</v>
      </c>
      <c r="DF163" s="106">
        <v>0</v>
      </c>
      <c r="DG163" s="106">
        <v>0</v>
      </c>
      <c r="DH163" s="106">
        <v>0</v>
      </c>
      <c r="DI163" s="106">
        <v>0</v>
      </c>
      <c r="DJ163" s="106">
        <v>0</v>
      </c>
      <c r="DK163" s="106">
        <v>0</v>
      </c>
      <c r="DL163" s="106">
        <v>0</v>
      </c>
      <c r="DM163" s="106">
        <v>0</v>
      </c>
      <c r="DN163" s="106">
        <v>0</v>
      </c>
      <c r="DO163" s="106">
        <v>0</v>
      </c>
      <c r="DP163" s="106">
        <v>0</v>
      </c>
      <c r="DQ163" s="106">
        <v>0</v>
      </c>
      <c r="DR163" s="106">
        <v>0</v>
      </c>
      <c r="DS163" s="106">
        <v>0</v>
      </c>
      <c r="DT163" s="106">
        <v>0</v>
      </c>
      <c r="DU163" s="106">
        <v>0</v>
      </c>
      <c r="DV163" s="106">
        <v>0</v>
      </c>
      <c r="DW163" s="106">
        <v>0</v>
      </c>
      <c r="DX163" s="106">
        <v>0</v>
      </c>
      <c r="DY163" s="106">
        <v>0</v>
      </c>
      <c r="DZ163" s="106">
        <v>0</v>
      </c>
      <c r="EA163" s="106">
        <v>0</v>
      </c>
      <c r="EB163" s="106">
        <v>0</v>
      </c>
    </row>
    <row r="164" spans="1:132" hidden="1">
      <c r="A164" t="s">
        <v>272</v>
      </c>
      <c r="B164" t="s">
        <v>217</v>
      </c>
      <c r="C164" s="117">
        <v>45444</v>
      </c>
      <c r="D164" s="106">
        <v>0</v>
      </c>
      <c r="E164" s="106">
        <v>0</v>
      </c>
      <c r="F164" s="106">
        <v>0</v>
      </c>
      <c r="G164" s="106">
        <v>0</v>
      </c>
      <c r="H164" s="106">
        <v>0</v>
      </c>
      <c r="I164" s="106">
        <v>0</v>
      </c>
      <c r="J164" s="106">
        <v>0</v>
      </c>
      <c r="K164" s="106">
        <v>0</v>
      </c>
      <c r="L164" s="106">
        <v>0</v>
      </c>
      <c r="M164" s="106">
        <v>0</v>
      </c>
      <c r="N164" s="106">
        <v>0</v>
      </c>
      <c r="O164" s="106">
        <v>0</v>
      </c>
      <c r="P164" s="106">
        <v>0</v>
      </c>
      <c r="Q164" s="106">
        <v>0</v>
      </c>
      <c r="R164" s="106">
        <v>0</v>
      </c>
      <c r="S164" s="106">
        <v>0</v>
      </c>
      <c r="T164" s="106">
        <v>0</v>
      </c>
      <c r="U164" s="106">
        <v>0</v>
      </c>
      <c r="V164" s="106">
        <v>0</v>
      </c>
      <c r="W164" s="106">
        <v>0</v>
      </c>
      <c r="X164" s="106">
        <v>0</v>
      </c>
      <c r="Y164" s="106">
        <v>0</v>
      </c>
      <c r="Z164" s="106">
        <v>0</v>
      </c>
      <c r="AA164" s="106">
        <v>0</v>
      </c>
      <c r="AB164" s="106">
        <v>0</v>
      </c>
      <c r="AC164" s="106">
        <v>0</v>
      </c>
      <c r="AD164" s="106">
        <v>0</v>
      </c>
      <c r="AE164" s="106">
        <v>0</v>
      </c>
      <c r="AF164" s="106">
        <v>0</v>
      </c>
      <c r="AG164" s="106">
        <v>0</v>
      </c>
      <c r="AH164" s="106">
        <v>0</v>
      </c>
      <c r="AI164" s="106">
        <v>0</v>
      </c>
      <c r="AJ164" s="106">
        <v>0</v>
      </c>
      <c r="AK164" s="106">
        <v>0</v>
      </c>
      <c r="AL164" s="106">
        <v>0</v>
      </c>
      <c r="AM164" s="106">
        <v>0</v>
      </c>
      <c r="AN164" s="106">
        <v>0</v>
      </c>
      <c r="AO164" s="106">
        <v>0</v>
      </c>
      <c r="AP164" s="106">
        <v>0</v>
      </c>
      <c r="AQ164" s="106">
        <v>0</v>
      </c>
      <c r="AR164" s="106">
        <v>0</v>
      </c>
      <c r="AS164" s="106">
        <v>0</v>
      </c>
      <c r="AT164" s="106">
        <v>0</v>
      </c>
      <c r="AU164" s="106">
        <v>0</v>
      </c>
      <c r="AV164" s="106">
        <v>0</v>
      </c>
      <c r="AW164" s="106">
        <v>0</v>
      </c>
      <c r="AX164" s="106">
        <v>0</v>
      </c>
      <c r="AY164" s="106">
        <v>0</v>
      </c>
      <c r="AZ164" s="106">
        <v>0</v>
      </c>
      <c r="BA164" s="106">
        <v>0</v>
      </c>
      <c r="BB164" s="106">
        <v>0</v>
      </c>
      <c r="BC164" s="106">
        <v>0</v>
      </c>
      <c r="BD164" s="106">
        <v>0</v>
      </c>
      <c r="BE164" s="106">
        <v>0</v>
      </c>
      <c r="BF164" s="106">
        <v>0</v>
      </c>
      <c r="BG164" s="106">
        <v>0</v>
      </c>
      <c r="BH164" s="106">
        <v>0</v>
      </c>
      <c r="BI164" s="106">
        <v>0</v>
      </c>
      <c r="BJ164" s="106">
        <v>0</v>
      </c>
      <c r="BK164" s="106">
        <v>0</v>
      </c>
      <c r="BL164" s="106">
        <v>0</v>
      </c>
      <c r="BM164" s="106">
        <v>0</v>
      </c>
      <c r="BN164" s="106">
        <v>0</v>
      </c>
      <c r="BO164" s="106">
        <v>0</v>
      </c>
      <c r="BP164" s="106">
        <v>0</v>
      </c>
      <c r="BQ164" s="106">
        <v>0</v>
      </c>
      <c r="BR164" s="106">
        <v>0</v>
      </c>
      <c r="BS164" s="106">
        <v>0</v>
      </c>
      <c r="BT164" s="106">
        <v>0</v>
      </c>
      <c r="BU164" s="106">
        <v>0</v>
      </c>
      <c r="BV164" s="106">
        <v>0</v>
      </c>
      <c r="BW164" s="106">
        <v>0</v>
      </c>
      <c r="BX164" s="106">
        <v>0</v>
      </c>
      <c r="BY164" s="106">
        <v>0</v>
      </c>
      <c r="BZ164" s="106">
        <v>0</v>
      </c>
      <c r="CA164" s="106">
        <v>0</v>
      </c>
      <c r="CB164" s="106">
        <v>0</v>
      </c>
      <c r="CC164" s="106">
        <v>0</v>
      </c>
      <c r="CD164" s="106">
        <v>0</v>
      </c>
      <c r="CE164" s="106">
        <v>0</v>
      </c>
      <c r="CF164" s="106">
        <v>0</v>
      </c>
      <c r="CG164" s="106">
        <v>0</v>
      </c>
      <c r="CH164" s="106">
        <v>0</v>
      </c>
      <c r="CI164" s="106">
        <v>0</v>
      </c>
      <c r="CJ164" s="106">
        <v>0</v>
      </c>
      <c r="CK164" s="106">
        <v>0</v>
      </c>
      <c r="CL164" s="106">
        <v>0</v>
      </c>
      <c r="CM164" s="106">
        <v>0</v>
      </c>
      <c r="CN164" s="106">
        <v>0</v>
      </c>
      <c r="CO164" s="106">
        <v>0</v>
      </c>
      <c r="CP164" s="106">
        <v>0</v>
      </c>
      <c r="CQ164" s="106">
        <v>0</v>
      </c>
      <c r="CR164" s="106">
        <v>0</v>
      </c>
      <c r="CS164" s="106">
        <v>0</v>
      </c>
      <c r="CT164" s="106">
        <v>0</v>
      </c>
      <c r="CU164" s="106">
        <v>0</v>
      </c>
      <c r="CV164" s="106">
        <v>0</v>
      </c>
      <c r="CW164" s="106">
        <v>0</v>
      </c>
      <c r="CX164" s="106">
        <v>0</v>
      </c>
      <c r="CY164" s="106">
        <v>0</v>
      </c>
      <c r="CZ164" s="106">
        <v>0</v>
      </c>
      <c r="DA164" s="106">
        <v>0</v>
      </c>
      <c r="DB164" s="106">
        <v>0</v>
      </c>
      <c r="DC164" s="106">
        <v>0</v>
      </c>
      <c r="DD164" s="106">
        <v>0</v>
      </c>
      <c r="DE164" s="106">
        <v>0</v>
      </c>
      <c r="DF164" s="106">
        <v>0</v>
      </c>
      <c r="DG164" s="106">
        <v>0</v>
      </c>
      <c r="DH164" s="106">
        <v>0</v>
      </c>
      <c r="DI164" s="106">
        <v>0</v>
      </c>
      <c r="DJ164" s="106">
        <v>0</v>
      </c>
      <c r="DK164" s="106">
        <v>0</v>
      </c>
      <c r="DL164" s="106">
        <v>0</v>
      </c>
      <c r="DM164" s="106">
        <v>0</v>
      </c>
      <c r="DN164" s="106">
        <v>0</v>
      </c>
      <c r="DO164" s="106">
        <v>0</v>
      </c>
      <c r="DP164" s="106">
        <v>0</v>
      </c>
      <c r="DQ164" s="106">
        <v>0</v>
      </c>
      <c r="DR164" s="106">
        <v>0</v>
      </c>
      <c r="DS164" s="106">
        <v>0</v>
      </c>
      <c r="DT164" s="106">
        <v>0</v>
      </c>
      <c r="DU164" s="106">
        <v>0</v>
      </c>
      <c r="DV164" s="106">
        <v>0</v>
      </c>
      <c r="DW164" s="106">
        <v>0</v>
      </c>
      <c r="DX164" s="106">
        <v>0</v>
      </c>
      <c r="DY164" s="106">
        <v>0</v>
      </c>
      <c r="DZ164" s="106">
        <v>0</v>
      </c>
      <c r="EA164" s="106">
        <v>0</v>
      </c>
      <c r="EB164" s="106">
        <v>0</v>
      </c>
    </row>
    <row r="165" spans="1:132" hidden="1">
      <c r="A165" t="s">
        <v>272</v>
      </c>
      <c r="B165" t="s">
        <v>217</v>
      </c>
      <c r="C165" s="117">
        <v>45413</v>
      </c>
      <c r="D165" s="106">
        <v>0</v>
      </c>
      <c r="E165" s="106">
        <v>0</v>
      </c>
      <c r="F165" s="106">
        <v>0</v>
      </c>
      <c r="G165" s="106">
        <v>0</v>
      </c>
      <c r="H165" s="106">
        <v>0</v>
      </c>
      <c r="I165" s="106">
        <v>0</v>
      </c>
      <c r="J165" s="106">
        <v>0</v>
      </c>
      <c r="K165" s="106">
        <v>0</v>
      </c>
      <c r="L165" s="106">
        <v>0</v>
      </c>
      <c r="M165" s="106">
        <v>0</v>
      </c>
      <c r="N165" s="106">
        <v>0</v>
      </c>
      <c r="O165" s="106">
        <v>0</v>
      </c>
      <c r="P165" s="106">
        <v>0</v>
      </c>
      <c r="Q165" s="106">
        <v>0</v>
      </c>
      <c r="R165" s="106">
        <v>0</v>
      </c>
      <c r="S165" s="106">
        <v>0</v>
      </c>
      <c r="T165" s="106">
        <v>0</v>
      </c>
      <c r="U165" s="106">
        <v>0</v>
      </c>
      <c r="V165" s="106">
        <v>0</v>
      </c>
      <c r="W165" s="106">
        <v>0</v>
      </c>
      <c r="X165" s="106">
        <v>0</v>
      </c>
      <c r="Y165" s="106">
        <v>0</v>
      </c>
      <c r="Z165" s="106">
        <v>0</v>
      </c>
      <c r="AA165" s="106">
        <v>0</v>
      </c>
      <c r="AB165" s="106">
        <v>0</v>
      </c>
      <c r="AC165" s="106">
        <v>0</v>
      </c>
      <c r="AD165" s="106">
        <v>0</v>
      </c>
      <c r="AE165" s="106">
        <v>0</v>
      </c>
      <c r="AF165" s="106">
        <v>0</v>
      </c>
      <c r="AG165" s="106">
        <v>0</v>
      </c>
      <c r="AH165" s="106">
        <v>0</v>
      </c>
      <c r="AI165" s="106">
        <v>0</v>
      </c>
      <c r="AJ165" s="106">
        <v>0</v>
      </c>
      <c r="AK165" s="106">
        <v>0</v>
      </c>
      <c r="AL165" s="106">
        <v>0</v>
      </c>
      <c r="AM165" s="106">
        <v>0</v>
      </c>
      <c r="AN165" s="106">
        <v>0</v>
      </c>
      <c r="AO165" s="106">
        <v>0</v>
      </c>
      <c r="AP165" s="106">
        <v>0</v>
      </c>
      <c r="AQ165" s="106">
        <v>0</v>
      </c>
      <c r="AR165" s="106">
        <v>0</v>
      </c>
      <c r="AS165" s="106">
        <v>0</v>
      </c>
      <c r="AT165" s="106">
        <v>0</v>
      </c>
      <c r="AU165" s="106">
        <v>0</v>
      </c>
      <c r="AV165" s="106">
        <v>0</v>
      </c>
      <c r="AW165" s="106">
        <v>0</v>
      </c>
      <c r="AX165" s="106">
        <v>0</v>
      </c>
      <c r="AY165" s="106">
        <v>0</v>
      </c>
      <c r="AZ165" s="106">
        <v>0</v>
      </c>
      <c r="BA165" s="106">
        <v>0</v>
      </c>
      <c r="BB165" s="106">
        <v>0</v>
      </c>
      <c r="BC165" s="106">
        <v>0</v>
      </c>
      <c r="BD165" s="106">
        <v>0</v>
      </c>
      <c r="BE165" s="106">
        <v>0</v>
      </c>
      <c r="BF165" s="106">
        <v>0</v>
      </c>
      <c r="BG165" s="106">
        <v>0</v>
      </c>
      <c r="BH165" s="106">
        <v>0</v>
      </c>
      <c r="BI165" s="106">
        <v>0</v>
      </c>
      <c r="BJ165" s="106">
        <v>0</v>
      </c>
      <c r="BK165" s="106">
        <v>0</v>
      </c>
      <c r="BL165" s="106">
        <v>0</v>
      </c>
      <c r="BM165" s="106">
        <v>0</v>
      </c>
      <c r="BN165" s="106">
        <v>0</v>
      </c>
      <c r="BO165" s="106">
        <v>0</v>
      </c>
      <c r="BP165" s="106">
        <v>0</v>
      </c>
      <c r="BQ165" s="106">
        <v>0</v>
      </c>
      <c r="BR165" s="106">
        <v>0</v>
      </c>
      <c r="BS165" s="106">
        <v>0</v>
      </c>
      <c r="BT165" s="106">
        <v>0</v>
      </c>
      <c r="BU165" s="106">
        <v>0</v>
      </c>
      <c r="BV165" s="106">
        <v>0</v>
      </c>
      <c r="BW165" s="106">
        <v>0</v>
      </c>
      <c r="BX165" s="106">
        <v>0</v>
      </c>
      <c r="BY165" s="106">
        <v>0</v>
      </c>
      <c r="BZ165" s="106">
        <v>0</v>
      </c>
      <c r="CA165" s="106">
        <v>0</v>
      </c>
      <c r="CB165" s="106">
        <v>0</v>
      </c>
      <c r="CC165" s="106">
        <v>0</v>
      </c>
      <c r="CD165" s="106">
        <v>0</v>
      </c>
      <c r="CE165" s="106">
        <v>0</v>
      </c>
      <c r="CF165" s="106">
        <v>0</v>
      </c>
      <c r="CG165" s="106">
        <v>0</v>
      </c>
      <c r="CH165" s="106">
        <v>0</v>
      </c>
      <c r="CI165" s="106">
        <v>0</v>
      </c>
      <c r="CJ165" s="106">
        <v>0</v>
      </c>
      <c r="CK165" s="106">
        <v>0</v>
      </c>
      <c r="CL165" s="106">
        <v>0</v>
      </c>
      <c r="CM165" s="106">
        <v>0</v>
      </c>
      <c r="CN165" s="106">
        <v>0</v>
      </c>
      <c r="CO165" s="106">
        <v>0</v>
      </c>
      <c r="CP165" s="106">
        <v>0</v>
      </c>
      <c r="CQ165" s="106">
        <v>0</v>
      </c>
      <c r="CR165" s="106">
        <v>0</v>
      </c>
      <c r="CS165" s="106">
        <v>0</v>
      </c>
      <c r="CT165" s="106">
        <v>0</v>
      </c>
      <c r="CU165" s="106">
        <v>0</v>
      </c>
      <c r="CV165" s="106">
        <v>0</v>
      </c>
      <c r="CW165" s="106">
        <v>0</v>
      </c>
      <c r="CX165" s="106">
        <v>0</v>
      </c>
      <c r="CY165" s="106">
        <v>0</v>
      </c>
      <c r="CZ165" s="106">
        <v>0</v>
      </c>
      <c r="DA165" s="106">
        <v>0</v>
      </c>
      <c r="DB165" s="106">
        <v>0</v>
      </c>
      <c r="DC165" s="106">
        <v>0</v>
      </c>
      <c r="DD165" s="106">
        <v>0</v>
      </c>
      <c r="DE165" s="106">
        <v>0</v>
      </c>
      <c r="DF165" s="106">
        <v>0</v>
      </c>
      <c r="DG165" s="106">
        <v>0</v>
      </c>
      <c r="DH165" s="106">
        <v>0</v>
      </c>
      <c r="DI165" s="106">
        <v>0</v>
      </c>
      <c r="DJ165" s="106">
        <v>0</v>
      </c>
      <c r="DK165" s="106">
        <v>0</v>
      </c>
      <c r="DL165" s="106">
        <v>0</v>
      </c>
      <c r="DM165" s="106">
        <v>0</v>
      </c>
      <c r="DN165" s="106">
        <v>0</v>
      </c>
      <c r="DO165" s="106">
        <v>0</v>
      </c>
      <c r="DP165" s="106">
        <v>0</v>
      </c>
      <c r="DQ165" s="106">
        <v>0</v>
      </c>
      <c r="DR165" s="106">
        <v>0</v>
      </c>
      <c r="DS165" s="106">
        <v>0</v>
      </c>
      <c r="DT165" s="106">
        <v>0</v>
      </c>
      <c r="DU165" s="106">
        <v>0</v>
      </c>
      <c r="DV165" s="106">
        <v>0</v>
      </c>
      <c r="DW165" s="106">
        <v>0</v>
      </c>
      <c r="DX165" s="106">
        <v>0</v>
      </c>
      <c r="DY165" s="106">
        <v>0</v>
      </c>
      <c r="DZ165" s="106">
        <v>0</v>
      </c>
      <c r="EA165" s="106">
        <v>0</v>
      </c>
      <c r="EB165" s="106">
        <v>0</v>
      </c>
    </row>
    <row r="166" spans="1:132" hidden="1">
      <c r="A166" t="s">
        <v>272</v>
      </c>
      <c r="B166" t="s">
        <v>217</v>
      </c>
      <c r="C166" s="117">
        <v>45383</v>
      </c>
      <c r="D166" s="106">
        <v>0</v>
      </c>
      <c r="E166" s="106">
        <v>0</v>
      </c>
      <c r="F166" s="106">
        <v>0</v>
      </c>
      <c r="G166" s="106">
        <v>0</v>
      </c>
      <c r="H166" s="106">
        <v>0</v>
      </c>
      <c r="I166" s="106">
        <v>0</v>
      </c>
      <c r="J166" s="106">
        <v>0</v>
      </c>
      <c r="K166" s="106">
        <v>0</v>
      </c>
      <c r="L166" s="106">
        <v>0</v>
      </c>
      <c r="M166" s="106">
        <v>0</v>
      </c>
      <c r="N166" s="106">
        <v>0</v>
      </c>
      <c r="O166" s="106">
        <v>0</v>
      </c>
      <c r="P166" s="106">
        <v>0</v>
      </c>
      <c r="Q166" s="106">
        <v>0</v>
      </c>
      <c r="R166" s="106">
        <v>0</v>
      </c>
      <c r="S166" s="106">
        <v>0</v>
      </c>
      <c r="T166" s="106">
        <v>0</v>
      </c>
      <c r="U166" s="106">
        <v>0</v>
      </c>
      <c r="V166" s="106">
        <v>0</v>
      </c>
      <c r="W166" s="106">
        <v>0</v>
      </c>
      <c r="X166" s="106">
        <v>0</v>
      </c>
      <c r="Y166" s="106">
        <v>0</v>
      </c>
      <c r="Z166" s="106">
        <v>0</v>
      </c>
      <c r="AA166" s="106">
        <v>0</v>
      </c>
      <c r="AB166" s="106">
        <v>0</v>
      </c>
      <c r="AC166" s="106">
        <v>0</v>
      </c>
      <c r="AD166" s="106">
        <v>0</v>
      </c>
      <c r="AE166" s="106">
        <v>0</v>
      </c>
      <c r="AF166" s="106">
        <v>0</v>
      </c>
      <c r="AG166" s="106">
        <v>0</v>
      </c>
      <c r="AH166" s="106">
        <v>0</v>
      </c>
      <c r="AI166" s="106">
        <v>0</v>
      </c>
      <c r="AJ166" s="106">
        <v>0</v>
      </c>
      <c r="AK166" s="106">
        <v>0</v>
      </c>
      <c r="AL166" s="106">
        <v>0</v>
      </c>
      <c r="AM166" s="106">
        <v>0</v>
      </c>
      <c r="AN166" s="106">
        <v>0</v>
      </c>
      <c r="AO166" s="106">
        <v>0</v>
      </c>
      <c r="AP166" s="106">
        <v>0</v>
      </c>
      <c r="AQ166" s="106">
        <v>0</v>
      </c>
      <c r="AR166" s="106">
        <v>0</v>
      </c>
      <c r="AS166" s="106">
        <v>0</v>
      </c>
      <c r="AT166" s="106">
        <v>0</v>
      </c>
      <c r="AU166" s="106">
        <v>0</v>
      </c>
      <c r="AV166" s="106">
        <v>0</v>
      </c>
      <c r="AW166" s="106">
        <v>0</v>
      </c>
      <c r="AX166" s="106">
        <v>0</v>
      </c>
      <c r="AY166" s="106">
        <v>0</v>
      </c>
      <c r="AZ166" s="106">
        <v>0</v>
      </c>
      <c r="BA166" s="106">
        <v>0</v>
      </c>
      <c r="BB166" s="106">
        <v>0</v>
      </c>
      <c r="BC166" s="106">
        <v>0</v>
      </c>
      <c r="BD166" s="106">
        <v>0</v>
      </c>
      <c r="BE166" s="106">
        <v>0</v>
      </c>
      <c r="BF166" s="106">
        <v>0</v>
      </c>
      <c r="BG166" s="106">
        <v>0</v>
      </c>
      <c r="BH166" s="106">
        <v>0</v>
      </c>
      <c r="BI166" s="106">
        <v>0</v>
      </c>
      <c r="BJ166" s="106">
        <v>0</v>
      </c>
      <c r="BK166" s="106">
        <v>0</v>
      </c>
      <c r="BL166" s="106">
        <v>0</v>
      </c>
      <c r="BM166" s="106">
        <v>0</v>
      </c>
      <c r="BN166" s="106">
        <v>0</v>
      </c>
      <c r="BO166" s="106">
        <v>0</v>
      </c>
      <c r="BP166" s="106">
        <v>0</v>
      </c>
      <c r="BQ166" s="106">
        <v>0</v>
      </c>
      <c r="BR166" s="106">
        <v>0</v>
      </c>
      <c r="BS166" s="106">
        <v>0</v>
      </c>
      <c r="BT166" s="106">
        <v>0</v>
      </c>
      <c r="BU166" s="106">
        <v>0</v>
      </c>
      <c r="BV166" s="106">
        <v>0</v>
      </c>
      <c r="BW166" s="106">
        <v>0</v>
      </c>
      <c r="BX166" s="106">
        <v>0</v>
      </c>
      <c r="BY166" s="106">
        <v>0</v>
      </c>
      <c r="BZ166" s="106">
        <v>0</v>
      </c>
      <c r="CA166" s="106">
        <v>0</v>
      </c>
      <c r="CB166" s="106">
        <v>0</v>
      </c>
      <c r="CC166" s="106">
        <v>0</v>
      </c>
      <c r="CD166" s="106">
        <v>0</v>
      </c>
      <c r="CE166" s="106">
        <v>0</v>
      </c>
      <c r="CF166" s="106">
        <v>0</v>
      </c>
      <c r="CG166" s="106">
        <v>0</v>
      </c>
      <c r="CH166" s="106">
        <v>0</v>
      </c>
      <c r="CI166" s="106">
        <v>0</v>
      </c>
      <c r="CJ166" s="106">
        <v>0</v>
      </c>
      <c r="CK166" s="106">
        <v>0</v>
      </c>
      <c r="CL166" s="106">
        <v>0</v>
      </c>
      <c r="CM166" s="106">
        <v>0</v>
      </c>
      <c r="CN166" s="106">
        <v>0</v>
      </c>
      <c r="CO166" s="106">
        <v>0</v>
      </c>
      <c r="CP166" s="106">
        <v>0</v>
      </c>
      <c r="CQ166" s="106">
        <v>0</v>
      </c>
      <c r="CR166" s="106">
        <v>0</v>
      </c>
      <c r="CS166" s="106">
        <v>0</v>
      </c>
      <c r="CT166" s="106">
        <v>0</v>
      </c>
      <c r="CU166" s="106">
        <v>0</v>
      </c>
      <c r="CV166" s="106">
        <v>0</v>
      </c>
      <c r="CW166" s="106">
        <v>0</v>
      </c>
      <c r="CX166" s="106">
        <v>0</v>
      </c>
      <c r="CY166" s="106">
        <v>0</v>
      </c>
      <c r="CZ166" s="106">
        <v>0</v>
      </c>
      <c r="DA166" s="106">
        <v>0</v>
      </c>
      <c r="DB166" s="106">
        <v>0</v>
      </c>
      <c r="DC166" s="106">
        <v>0</v>
      </c>
      <c r="DD166" s="106">
        <v>0</v>
      </c>
      <c r="DE166" s="106">
        <v>0</v>
      </c>
      <c r="DF166" s="106">
        <v>0</v>
      </c>
      <c r="DG166" s="106">
        <v>0</v>
      </c>
      <c r="DH166" s="106">
        <v>0</v>
      </c>
      <c r="DI166" s="106">
        <v>0</v>
      </c>
      <c r="DJ166" s="106">
        <v>0</v>
      </c>
      <c r="DK166" s="106">
        <v>0</v>
      </c>
      <c r="DL166" s="106">
        <v>0</v>
      </c>
      <c r="DM166" s="106">
        <v>0</v>
      </c>
      <c r="DN166" s="106">
        <v>0</v>
      </c>
      <c r="DO166" s="106">
        <v>0</v>
      </c>
      <c r="DP166" s="106">
        <v>0</v>
      </c>
      <c r="DQ166" s="106">
        <v>0</v>
      </c>
      <c r="DR166" s="106">
        <v>0</v>
      </c>
      <c r="DS166" s="106">
        <v>0</v>
      </c>
      <c r="DT166" s="106">
        <v>0</v>
      </c>
      <c r="DU166" s="106">
        <v>0</v>
      </c>
      <c r="DV166" s="106">
        <v>0</v>
      </c>
      <c r="DW166" s="106">
        <v>0</v>
      </c>
      <c r="DX166" s="106">
        <v>0</v>
      </c>
      <c r="DY166" s="106">
        <v>0</v>
      </c>
      <c r="DZ166" s="106">
        <v>0</v>
      </c>
      <c r="EA166" s="106">
        <v>0</v>
      </c>
      <c r="EB166" s="106">
        <v>0</v>
      </c>
    </row>
    <row r="167" spans="1:132" hidden="1">
      <c r="A167" t="s">
        <v>272</v>
      </c>
      <c r="B167" t="s">
        <v>217</v>
      </c>
      <c r="C167" s="117">
        <v>45352</v>
      </c>
      <c r="D167" s="106">
        <v>0</v>
      </c>
      <c r="E167" s="106">
        <v>0</v>
      </c>
      <c r="F167" s="106">
        <v>0</v>
      </c>
      <c r="G167" s="106">
        <v>0</v>
      </c>
      <c r="H167" s="106">
        <v>0</v>
      </c>
      <c r="I167" s="106">
        <v>0</v>
      </c>
      <c r="J167" s="106">
        <v>0</v>
      </c>
      <c r="K167" s="106">
        <v>0</v>
      </c>
      <c r="L167" s="106">
        <v>0</v>
      </c>
      <c r="M167" s="106">
        <v>0</v>
      </c>
      <c r="N167" s="106">
        <v>0</v>
      </c>
      <c r="O167" s="106">
        <v>0</v>
      </c>
      <c r="P167" s="106">
        <v>0</v>
      </c>
      <c r="Q167" s="106">
        <v>0</v>
      </c>
      <c r="R167" s="106">
        <v>0</v>
      </c>
      <c r="S167" s="106">
        <v>0</v>
      </c>
      <c r="T167" s="106">
        <v>0</v>
      </c>
      <c r="U167" s="106">
        <v>0</v>
      </c>
      <c r="V167" s="106">
        <v>0</v>
      </c>
      <c r="W167" s="106">
        <v>0</v>
      </c>
      <c r="X167" s="106">
        <v>0</v>
      </c>
      <c r="Y167" s="106">
        <v>0</v>
      </c>
      <c r="Z167" s="106">
        <v>0</v>
      </c>
      <c r="AA167" s="106">
        <v>0</v>
      </c>
      <c r="AB167" s="106">
        <v>0</v>
      </c>
      <c r="AC167" s="106">
        <v>0</v>
      </c>
      <c r="AD167" s="106">
        <v>0</v>
      </c>
      <c r="AE167" s="106">
        <v>0</v>
      </c>
      <c r="AF167" s="106">
        <v>0</v>
      </c>
      <c r="AG167" s="106">
        <v>0</v>
      </c>
      <c r="AH167" s="106">
        <v>0</v>
      </c>
      <c r="AI167" s="106">
        <v>0</v>
      </c>
      <c r="AJ167" s="106">
        <v>0</v>
      </c>
      <c r="AK167" s="106">
        <v>0</v>
      </c>
      <c r="AL167" s="106">
        <v>0</v>
      </c>
      <c r="AM167" s="106">
        <v>0</v>
      </c>
      <c r="AN167" s="106">
        <v>0</v>
      </c>
      <c r="AO167" s="106">
        <v>0</v>
      </c>
      <c r="AP167" s="106">
        <v>0</v>
      </c>
      <c r="AQ167" s="106">
        <v>0</v>
      </c>
      <c r="AR167" s="106">
        <v>0</v>
      </c>
      <c r="AS167" s="106">
        <v>0</v>
      </c>
      <c r="AT167" s="106">
        <v>0</v>
      </c>
      <c r="AU167" s="106">
        <v>0</v>
      </c>
      <c r="AV167" s="106">
        <v>0</v>
      </c>
      <c r="AW167" s="106">
        <v>0</v>
      </c>
      <c r="AX167" s="106">
        <v>0</v>
      </c>
      <c r="AY167" s="106">
        <v>0</v>
      </c>
      <c r="AZ167" s="106">
        <v>0</v>
      </c>
      <c r="BA167" s="106">
        <v>0</v>
      </c>
      <c r="BB167" s="106">
        <v>0</v>
      </c>
      <c r="BC167" s="106">
        <v>0</v>
      </c>
      <c r="BD167" s="106">
        <v>0</v>
      </c>
      <c r="BE167" s="106">
        <v>0</v>
      </c>
      <c r="BF167" s="106">
        <v>0</v>
      </c>
      <c r="BG167" s="106">
        <v>0</v>
      </c>
      <c r="BH167" s="106">
        <v>0</v>
      </c>
      <c r="BI167" s="106">
        <v>0</v>
      </c>
      <c r="BJ167" s="106">
        <v>0</v>
      </c>
      <c r="BK167" s="106">
        <v>0</v>
      </c>
      <c r="BL167" s="106">
        <v>0</v>
      </c>
      <c r="BM167" s="106">
        <v>0</v>
      </c>
      <c r="BN167" s="106">
        <v>0</v>
      </c>
      <c r="BO167" s="106">
        <v>0</v>
      </c>
      <c r="BP167" s="106">
        <v>0</v>
      </c>
      <c r="BQ167" s="106">
        <v>0</v>
      </c>
      <c r="BR167" s="106">
        <v>0</v>
      </c>
      <c r="BS167" s="106">
        <v>0</v>
      </c>
      <c r="BT167" s="106">
        <v>0</v>
      </c>
      <c r="BU167" s="106">
        <v>0</v>
      </c>
      <c r="BV167" s="106">
        <v>0</v>
      </c>
      <c r="BW167" s="106">
        <v>0</v>
      </c>
      <c r="BX167" s="106">
        <v>0</v>
      </c>
      <c r="BY167" s="106">
        <v>0</v>
      </c>
      <c r="BZ167" s="106">
        <v>0</v>
      </c>
      <c r="CA167" s="106">
        <v>0</v>
      </c>
      <c r="CB167" s="106">
        <v>0</v>
      </c>
      <c r="CC167" s="106">
        <v>0</v>
      </c>
      <c r="CD167" s="106">
        <v>0</v>
      </c>
      <c r="CE167" s="106">
        <v>0</v>
      </c>
      <c r="CF167" s="106">
        <v>0</v>
      </c>
      <c r="CG167" s="106">
        <v>0</v>
      </c>
      <c r="CH167" s="106">
        <v>0</v>
      </c>
      <c r="CI167" s="106">
        <v>0</v>
      </c>
      <c r="CJ167" s="106">
        <v>0</v>
      </c>
      <c r="CK167" s="106">
        <v>0</v>
      </c>
      <c r="CL167" s="106">
        <v>0</v>
      </c>
      <c r="CM167" s="106">
        <v>0</v>
      </c>
      <c r="CN167" s="106">
        <v>0</v>
      </c>
      <c r="CO167" s="106">
        <v>0</v>
      </c>
      <c r="CP167" s="106">
        <v>0</v>
      </c>
      <c r="CQ167" s="106">
        <v>0</v>
      </c>
      <c r="CR167" s="106">
        <v>0</v>
      </c>
      <c r="CS167" s="106">
        <v>0</v>
      </c>
      <c r="CT167" s="106">
        <v>0</v>
      </c>
      <c r="CU167" s="106">
        <v>0</v>
      </c>
      <c r="CV167" s="106">
        <v>0</v>
      </c>
      <c r="CW167" s="106">
        <v>0</v>
      </c>
      <c r="CX167" s="106">
        <v>0</v>
      </c>
      <c r="CY167" s="106">
        <v>0</v>
      </c>
      <c r="CZ167" s="106">
        <v>0</v>
      </c>
      <c r="DA167" s="106">
        <v>0</v>
      </c>
      <c r="DB167" s="106">
        <v>0</v>
      </c>
      <c r="DC167" s="106">
        <v>0</v>
      </c>
      <c r="DD167" s="106">
        <v>0</v>
      </c>
      <c r="DE167" s="106">
        <v>0</v>
      </c>
      <c r="DF167" s="106">
        <v>0</v>
      </c>
      <c r="DG167" s="106">
        <v>0</v>
      </c>
      <c r="DH167" s="106">
        <v>0</v>
      </c>
      <c r="DI167" s="106">
        <v>0</v>
      </c>
      <c r="DJ167" s="106">
        <v>0</v>
      </c>
      <c r="DK167" s="106">
        <v>0</v>
      </c>
      <c r="DL167" s="106">
        <v>0</v>
      </c>
      <c r="DM167" s="106">
        <v>0</v>
      </c>
      <c r="DN167" s="106">
        <v>0</v>
      </c>
      <c r="DO167" s="106">
        <v>0</v>
      </c>
      <c r="DP167" s="106">
        <v>0</v>
      </c>
      <c r="DQ167" s="106">
        <v>0</v>
      </c>
      <c r="DR167" s="106">
        <v>0</v>
      </c>
      <c r="DS167" s="106">
        <v>0</v>
      </c>
      <c r="DT167" s="106">
        <v>0</v>
      </c>
      <c r="DU167" s="106">
        <v>0</v>
      </c>
      <c r="DV167" s="106">
        <v>0</v>
      </c>
      <c r="DW167" s="106">
        <v>0</v>
      </c>
      <c r="DX167" s="106">
        <v>0</v>
      </c>
      <c r="DY167" s="106">
        <v>0</v>
      </c>
      <c r="DZ167" s="106">
        <v>0</v>
      </c>
      <c r="EA167" s="106">
        <v>0</v>
      </c>
      <c r="EB167" s="106">
        <v>0</v>
      </c>
    </row>
    <row r="168" spans="1:132" hidden="1">
      <c r="A168" t="s">
        <v>272</v>
      </c>
      <c r="B168" t="s">
        <v>217</v>
      </c>
      <c r="C168" s="117">
        <v>45323</v>
      </c>
      <c r="D168" s="106">
        <v>0</v>
      </c>
      <c r="E168" s="106">
        <v>0</v>
      </c>
      <c r="F168" s="106">
        <v>0</v>
      </c>
      <c r="G168" s="106">
        <v>0</v>
      </c>
      <c r="H168" s="106">
        <v>0</v>
      </c>
      <c r="I168" s="106">
        <v>0</v>
      </c>
      <c r="J168" s="106">
        <v>0</v>
      </c>
      <c r="K168" s="106">
        <v>0</v>
      </c>
      <c r="L168" s="106">
        <v>0</v>
      </c>
      <c r="M168" s="106">
        <v>0</v>
      </c>
      <c r="N168" s="106">
        <v>0</v>
      </c>
      <c r="O168" s="106">
        <v>0</v>
      </c>
      <c r="P168" s="106">
        <v>0</v>
      </c>
      <c r="Q168" s="106">
        <v>0</v>
      </c>
      <c r="R168" s="106">
        <v>0</v>
      </c>
      <c r="S168" s="106">
        <v>0</v>
      </c>
      <c r="T168" s="106">
        <v>0</v>
      </c>
      <c r="U168" s="106">
        <v>0</v>
      </c>
      <c r="V168" s="106">
        <v>0</v>
      </c>
      <c r="W168" s="106">
        <v>0</v>
      </c>
      <c r="X168" s="106">
        <v>0</v>
      </c>
      <c r="Y168" s="106">
        <v>0</v>
      </c>
      <c r="Z168" s="106">
        <v>0</v>
      </c>
      <c r="AA168" s="106">
        <v>0</v>
      </c>
      <c r="AB168" s="106">
        <v>0</v>
      </c>
      <c r="AC168" s="106">
        <v>0</v>
      </c>
      <c r="AD168" s="106">
        <v>0</v>
      </c>
      <c r="AE168" s="106">
        <v>0</v>
      </c>
      <c r="AF168" s="106">
        <v>0</v>
      </c>
      <c r="AG168" s="106">
        <v>0</v>
      </c>
      <c r="AH168" s="106">
        <v>0</v>
      </c>
      <c r="AI168" s="106">
        <v>0</v>
      </c>
      <c r="AJ168" s="106">
        <v>0</v>
      </c>
      <c r="AK168" s="106">
        <v>0</v>
      </c>
      <c r="AL168" s="106">
        <v>0</v>
      </c>
      <c r="AM168" s="106">
        <v>0</v>
      </c>
      <c r="AN168" s="106">
        <v>0</v>
      </c>
      <c r="AO168" s="106">
        <v>0</v>
      </c>
      <c r="AP168" s="106">
        <v>0</v>
      </c>
      <c r="AQ168" s="106">
        <v>0</v>
      </c>
      <c r="AR168" s="106">
        <v>0</v>
      </c>
      <c r="AS168" s="106">
        <v>0</v>
      </c>
      <c r="AT168" s="106">
        <v>0</v>
      </c>
      <c r="AU168" s="106">
        <v>0</v>
      </c>
      <c r="AV168" s="106">
        <v>0</v>
      </c>
      <c r="AW168" s="106">
        <v>0</v>
      </c>
      <c r="AX168" s="106">
        <v>0</v>
      </c>
      <c r="AY168" s="106">
        <v>0</v>
      </c>
      <c r="AZ168" s="106">
        <v>0</v>
      </c>
      <c r="BA168" s="106">
        <v>0</v>
      </c>
      <c r="BB168" s="106">
        <v>0</v>
      </c>
      <c r="BC168" s="106">
        <v>0</v>
      </c>
      <c r="BD168" s="106">
        <v>0</v>
      </c>
      <c r="BE168" s="106">
        <v>0</v>
      </c>
      <c r="BF168" s="106">
        <v>0</v>
      </c>
      <c r="BG168" s="106">
        <v>0</v>
      </c>
      <c r="BH168" s="106">
        <v>0</v>
      </c>
      <c r="BI168" s="106">
        <v>0</v>
      </c>
      <c r="BJ168" s="106">
        <v>0</v>
      </c>
      <c r="BK168" s="106">
        <v>0</v>
      </c>
      <c r="BL168" s="106">
        <v>0</v>
      </c>
      <c r="BM168" s="106">
        <v>0</v>
      </c>
      <c r="BN168" s="106">
        <v>0</v>
      </c>
      <c r="BO168" s="106">
        <v>0</v>
      </c>
      <c r="BP168" s="106">
        <v>0</v>
      </c>
      <c r="BQ168" s="106">
        <v>0</v>
      </c>
      <c r="BR168" s="106">
        <v>0</v>
      </c>
      <c r="BS168" s="106">
        <v>0</v>
      </c>
      <c r="BT168" s="106">
        <v>0</v>
      </c>
      <c r="BU168" s="106">
        <v>0</v>
      </c>
      <c r="BV168" s="106">
        <v>0</v>
      </c>
      <c r="BW168" s="106">
        <v>0</v>
      </c>
      <c r="BX168" s="106">
        <v>0</v>
      </c>
      <c r="BY168" s="106">
        <v>0</v>
      </c>
      <c r="BZ168" s="106">
        <v>0</v>
      </c>
      <c r="CA168" s="106">
        <v>0</v>
      </c>
      <c r="CB168" s="106">
        <v>0</v>
      </c>
      <c r="CC168" s="106">
        <v>0</v>
      </c>
      <c r="CD168" s="106">
        <v>0</v>
      </c>
      <c r="CE168" s="106">
        <v>0</v>
      </c>
      <c r="CF168" s="106">
        <v>0</v>
      </c>
      <c r="CG168" s="106">
        <v>0</v>
      </c>
      <c r="CH168" s="106">
        <v>0</v>
      </c>
      <c r="CI168" s="106">
        <v>0</v>
      </c>
      <c r="CJ168" s="106">
        <v>0</v>
      </c>
      <c r="CK168" s="106">
        <v>0</v>
      </c>
      <c r="CL168" s="106">
        <v>0</v>
      </c>
      <c r="CM168" s="106">
        <v>0</v>
      </c>
      <c r="CN168" s="106">
        <v>0</v>
      </c>
      <c r="CO168" s="106">
        <v>0</v>
      </c>
      <c r="CP168" s="106">
        <v>0</v>
      </c>
      <c r="CQ168" s="106">
        <v>0</v>
      </c>
      <c r="CR168" s="106">
        <v>0</v>
      </c>
      <c r="CS168" s="106">
        <v>0</v>
      </c>
      <c r="CT168" s="106">
        <v>0</v>
      </c>
      <c r="CU168" s="106">
        <v>0</v>
      </c>
      <c r="CV168" s="106">
        <v>0</v>
      </c>
      <c r="CW168" s="106">
        <v>0</v>
      </c>
      <c r="CX168" s="106">
        <v>0</v>
      </c>
      <c r="CY168" s="106">
        <v>0</v>
      </c>
      <c r="CZ168" s="106">
        <v>0</v>
      </c>
      <c r="DA168" s="106">
        <v>0</v>
      </c>
      <c r="DB168" s="106">
        <v>0</v>
      </c>
      <c r="DC168" s="106">
        <v>0</v>
      </c>
      <c r="DD168" s="106">
        <v>0</v>
      </c>
      <c r="DE168" s="106">
        <v>0</v>
      </c>
      <c r="DF168" s="106">
        <v>0</v>
      </c>
      <c r="DG168" s="106">
        <v>0</v>
      </c>
      <c r="DH168" s="106">
        <v>0</v>
      </c>
      <c r="DI168" s="106">
        <v>0</v>
      </c>
      <c r="DJ168" s="106">
        <v>0</v>
      </c>
      <c r="DK168" s="106">
        <v>0</v>
      </c>
      <c r="DL168" s="106">
        <v>0</v>
      </c>
      <c r="DM168" s="106">
        <v>0</v>
      </c>
      <c r="DN168" s="106">
        <v>0</v>
      </c>
      <c r="DO168" s="106">
        <v>0</v>
      </c>
      <c r="DP168" s="106">
        <v>0</v>
      </c>
      <c r="DQ168" s="106">
        <v>0</v>
      </c>
      <c r="DR168" s="106">
        <v>0</v>
      </c>
      <c r="DS168" s="106">
        <v>0</v>
      </c>
      <c r="DT168" s="106">
        <v>0</v>
      </c>
      <c r="DU168" s="106">
        <v>0</v>
      </c>
      <c r="DV168" s="106">
        <v>0</v>
      </c>
      <c r="DW168" s="106">
        <v>0</v>
      </c>
      <c r="DX168" s="106">
        <v>0</v>
      </c>
      <c r="DY168" s="106">
        <v>0</v>
      </c>
      <c r="DZ168" s="106">
        <v>0</v>
      </c>
      <c r="EA168" s="106">
        <v>0</v>
      </c>
      <c r="EB168" s="106">
        <v>0</v>
      </c>
    </row>
    <row r="169" spans="1:132" hidden="1">
      <c r="A169" t="s">
        <v>272</v>
      </c>
      <c r="B169" t="s">
        <v>217</v>
      </c>
      <c r="C169" s="117">
        <v>45292</v>
      </c>
      <c r="D169" s="106">
        <v>0</v>
      </c>
      <c r="E169" s="106">
        <v>0</v>
      </c>
      <c r="F169" s="106">
        <v>0</v>
      </c>
      <c r="G169" s="106">
        <v>0</v>
      </c>
      <c r="H169" s="106">
        <v>0</v>
      </c>
      <c r="I169" s="106">
        <v>0</v>
      </c>
      <c r="J169" s="106">
        <v>0</v>
      </c>
      <c r="K169" s="106">
        <v>0</v>
      </c>
      <c r="L169" s="106">
        <v>0</v>
      </c>
      <c r="M169" s="106">
        <v>0</v>
      </c>
      <c r="N169" s="106">
        <v>0</v>
      </c>
      <c r="O169" s="106">
        <v>0</v>
      </c>
      <c r="P169" s="106">
        <v>0</v>
      </c>
      <c r="Q169" s="106">
        <v>0</v>
      </c>
      <c r="R169" s="106">
        <v>0</v>
      </c>
      <c r="S169" s="106">
        <v>0</v>
      </c>
      <c r="T169" s="106">
        <v>0</v>
      </c>
      <c r="U169" s="106">
        <v>0</v>
      </c>
      <c r="V169" s="106">
        <v>0</v>
      </c>
      <c r="W169" s="106">
        <v>0</v>
      </c>
      <c r="X169" s="106">
        <v>0</v>
      </c>
      <c r="Y169" s="106">
        <v>0</v>
      </c>
      <c r="Z169" s="106">
        <v>0</v>
      </c>
      <c r="AA169" s="106">
        <v>0</v>
      </c>
      <c r="AB169" s="106">
        <v>0</v>
      </c>
      <c r="AC169" s="106">
        <v>0</v>
      </c>
      <c r="AD169" s="106">
        <v>0</v>
      </c>
      <c r="AE169" s="106">
        <v>0</v>
      </c>
      <c r="AF169" s="106">
        <v>0</v>
      </c>
      <c r="AG169" s="106">
        <v>0</v>
      </c>
      <c r="AH169" s="106">
        <v>0</v>
      </c>
      <c r="AI169" s="106">
        <v>0</v>
      </c>
      <c r="AJ169" s="106">
        <v>0</v>
      </c>
      <c r="AK169" s="106">
        <v>0</v>
      </c>
      <c r="AL169" s="106">
        <v>0</v>
      </c>
      <c r="AM169" s="106">
        <v>0</v>
      </c>
      <c r="AN169" s="106">
        <v>0</v>
      </c>
      <c r="AO169" s="106">
        <v>0</v>
      </c>
      <c r="AP169" s="106">
        <v>0</v>
      </c>
      <c r="AQ169" s="106">
        <v>0</v>
      </c>
      <c r="AR169" s="106">
        <v>0</v>
      </c>
      <c r="AS169" s="106">
        <v>0</v>
      </c>
      <c r="AT169" s="106">
        <v>0</v>
      </c>
      <c r="AU169" s="106">
        <v>0</v>
      </c>
      <c r="AV169" s="106">
        <v>0</v>
      </c>
      <c r="AW169" s="106">
        <v>0</v>
      </c>
      <c r="AX169" s="106">
        <v>0</v>
      </c>
      <c r="AY169" s="106">
        <v>0</v>
      </c>
      <c r="AZ169" s="106">
        <v>0</v>
      </c>
      <c r="BA169" s="106">
        <v>0</v>
      </c>
      <c r="BB169" s="106">
        <v>0</v>
      </c>
      <c r="BC169" s="106">
        <v>0</v>
      </c>
      <c r="BD169" s="106">
        <v>0</v>
      </c>
      <c r="BE169" s="106">
        <v>0</v>
      </c>
      <c r="BF169" s="106">
        <v>0</v>
      </c>
      <c r="BG169" s="106">
        <v>0</v>
      </c>
      <c r="BH169" s="106">
        <v>0</v>
      </c>
      <c r="BI169" s="106">
        <v>0</v>
      </c>
      <c r="BJ169" s="106">
        <v>0</v>
      </c>
      <c r="BK169" s="106">
        <v>0</v>
      </c>
      <c r="BL169" s="106">
        <v>0</v>
      </c>
      <c r="BM169" s="106">
        <v>0</v>
      </c>
      <c r="BN169" s="106">
        <v>0</v>
      </c>
      <c r="BO169" s="106">
        <v>0</v>
      </c>
      <c r="BP169" s="106">
        <v>0</v>
      </c>
      <c r="BQ169" s="106">
        <v>0</v>
      </c>
      <c r="BR169" s="106">
        <v>0</v>
      </c>
      <c r="BS169" s="106">
        <v>0</v>
      </c>
      <c r="BT169" s="106">
        <v>0</v>
      </c>
      <c r="BU169" s="106">
        <v>0</v>
      </c>
      <c r="BV169" s="106">
        <v>0</v>
      </c>
      <c r="BW169" s="106">
        <v>0</v>
      </c>
      <c r="BX169" s="106">
        <v>0</v>
      </c>
      <c r="BY169" s="106">
        <v>0</v>
      </c>
      <c r="BZ169" s="106">
        <v>0</v>
      </c>
      <c r="CA169" s="106">
        <v>0</v>
      </c>
      <c r="CB169" s="106">
        <v>0</v>
      </c>
      <c r="CC169" s="106">
        <v>0</v>
      </c>
      <c r="CD169" s="106">
        <v>0</v>
      </c>
      <c r="CE169" s="106">
        <v>0</v>
      </c>
      <c r="CF169" s="106">
        <v>0</v>
      </c>
      <c r="CG169" s="106">
        <v>0</v>
      </c>
      <c r="CH169" s="106">
        <v>0</v>
      </c>
      <c r="CI169" s="106">
        <v>0</v>
      </c>
      <c r="CJ169" s="106">
        <v>0</v>
      </c>
      <c r="CK169" s="106">
        <v>0</v>
      </c>
      <c r="CL169" s="106">
        <v>0</v>
      </c>
      <c r="CM169" s="106">
        <v>0</v>
      </c>
      <c r="CN169" s="106">
        <v>0</v>
      </c>
      <c r="CO169" s="106">
        <v>0</v>
      </c>
      <c r="CP169" s="106">
        <v>0</v>
      </c>
      <c r="CQ169" s="106">
        <v>0</v>
      </c>
      <c r="CR169" s="106">
        <v>0</v>
      </c>
      <c r="CS169" s="106">
        <v>0</v>
      </c>
      <c r="CT169" s="106">
        <v>0</v>
      </c>
      <c r="CU169" s="106">
        <v>0</v>
      </c>
      <c r="CV169" s="106">
        <v>0</v>
      </c>
      <c r="CW169" s="106">
        <v>0</v>
      </c>
      <c r="CX169" s="106">
        <v>0</v>
      </c>
      <c r="CY169" s="106">
        <v>0</v>
      </c>
      <c r="CZ169" s="106">
        <v>0</v>
      </c>
      <c r="DA169" s="106">
        <v>0</v>
      </c>
      <c r="DB169" s="106">
        <v>0</v>
      </c>
      <c r="DC169" s="106">
        <v>0</v>
      </c>
      <c r="DD169" s="106">
        <v>0</v>
      </c>
      <c r="DE169" s="106">
        <v>0</v>
      </c>
      <c r="DF169" s="106">
        <v>0</v>
      </c>
      <c r="DG169" s="106">
        <v>0</v>
      </c>
      <c r="DH169" s="106">
        <v>0</v>
      </c>
      <c r="DI169" s="106">
        <v>0</v>
      </c>
      <c r="DJ169" s="106">
        <v>0</v>
      </c>
      <c r="DK169" s="106">
        <v>0</v>
      </c>
      <c r="DL169" s="106">
        <v>0</v>
      </c>
      <c r="DM169" s="106">
        <v>0</v>
      </c>
      <c r="DN169" s="106">
        <v>0</v>
      </c>
      <c r="DO169" s="106">
        <v>0</v>
      </c>
      <c r="DP169" s="106">
        <v>0</v>
      </c>
      <c r="DQ169" s="106">
        <v>0</v>
      </c>
      <c r="DR169" s="106">
        <v>0</v>
      </c>
      <c r="DS169" s="106">
        <v>0</v>
      </c>
      <c r="DT169" s="106">
        <v>0</v>
      </c>
      <c r="DU169" s="106">
        <v>0</v>
      </c>
      <c r="DV169" s="106">
        <v>0</v>
      </c>
      <c r="DW169" s="106">
        <v>0</v>
      </c>
      <c r="DX169" s="106">
        <v>0</v>
      </c>
      <c r="DY169" s="106">
        <v>0</v>
      </c>
      <c r="DZ169" s="106">
        <v>0</v>
      </c>
      <c r="EA169" s="106">
        <v>0</v>
      </c>
      <c r="EB169" s="106">
        <v>0</v>
      </c>
    </row>
    <row r="170" spans="1:132" hidden="1">
      <c r="A170" t="s">
        <v>272</v>
      </c>
      <c r="B170" t="s">
        <v>217</v>
      </c>
      <c r="C170" s="117">
        <v>45261</v>
      </c>
      <c r="D170" s="106">
        <v>0</v>
      </c>
      <c r="E170" s="106">
        <v>0</v>
      </c>
      <c r="F170" s="106">
        <v>0</v>
      </c>
      <c r="G170" s="106">
        <v>0</v>
      </c>
      <c r="H170" s="106">
        <v>0</v>
      </c>
      <c r="I170" s="106">
        <v>0</v>
      </c>
      <c r="J170" s="106">
        <v>0</v>
      </c>
      <c r="K170" s="106">
        <v>0</v>
      </c>
      <c r="L170" s="106">
        <v>0</v>
      </c>
      <c r="M170" s="106">
        <v>0</v>
      </c>
      <c r="N170" s="106">
        <v>0</v>
      </c>
      <c r="O170" s="106">
        <v>0</v>
      </c>
      <c r="P170" s="106">
        <v>0</v>
      </c>
      <c r="Q170" s="106">
        <v>0</v>
      </c>
      <c r="R170" s="106">
        <v>0</v>
      </c>
      <c r="S170" s="106">
        <v>0</v>
      </c>
      <c r="T170" s="106">
        <v>0</v>
      </c>
      <c r="U170" s="106">
        <v>0</v>
      </c>
      <c r="V170" s="106">
        <v>0</v>
      </c>
      <c r="W170" s="106">
        <v>0</v>
      </c>
      <c r="X170" s="106">
        <v>0</v>
      </c>
      <c r="Y170" s="106">
        <v>0</v>
      </c>
      <c r="Z170" s="106">
        <v>0</v>
      </c>
      <c r="AA170" s="106">
        <v>0</v>
      </c>
      <c r="AB170" s="106">
        <v>0</v>
      </c>
      <c r="AC170" s="106">
        <v>0</v>
      </c>
      <c r="AD170" s="106">
        <v>0</v>
      </c>
      <c r="AE170" s="106">
        <v>0</v>
      </c>
      <c r="AF170" s="106">
        <v>0</v>
      </c>
      <c r="AG170" s="106">
        <v>0</v>
      </c>
      <c r="AH170" s="106">
        <v>0</v>
      </c>
      <c r="AI170" s="106">
        <v>0</v>
      </c>
      <c r="AJ170" s="106">
        <v>0</v>
      </c>
      <c r="AK170" s="106">
        <v>0</v>
      </c>
      <c r="AL170" s="106">
        <v>0</v>
      </c>
      <c r="AM170" s="106">
        <v>0</v>
      </c>
      <c r="AN170" s="106">
        <v>0</v>
      </c>
      <c r="AO170" s="106">
        <v>0</v>
      </c>
      <c r="AP170" s="106">
        <v>0</v>
      </c>
      <c r="AQ170" s="106">
        <v>0</v>
      </c>
      <c r="AR170" s="106">
        <v>0</v>
      </c>
      <c r="AS170" s="106">
        <v>0</v>
      </c>
      <c r="AT170" s="106">
        <v>0</v>
      </c>
      <c r="AU170" s="106">
        <v>0</v>
      </c>
      <c r="AV170" s="106">
        <v>0</v>
      </c>
      <c r="AW170" s="106">
        <v>0</v>
      </c>
      <c r="AX170" s="106">
        <v>0</v>
      </c>
      <c r="AY170" s="106">
        <v>0</v>
      </c>
      <c r="AZ170" s="106">
        <v>0</v>
      </c>
      <c r="BA170" s="106">
        <v>0</v>
      </c>
      <c r="BB170" s="106">
        <v>0</v>
      </c>
      <c r="BC170" s="106">
        <v>0</v>
      </c>
      <c r="BD170" s="106">
        <v>0</v>
      </c>
      <c r="BE170" s="106">
        <v>0</v>
      </c>
      <c r="BF170" s="106">
        <v>0</v>
      </c>
      <c r="BG170" s="106">
        <v>0</v>
      </c>
      <c r="BH170" s="106">
        <v>0</v>
      </c>
      <c r="BI170" s="106">
        <v>0</v>
      </c>
      <c r="BJ170" s="106">
        <v>0</v>
      </c>
      <c r="BK170" s="106">
        <v>0</v>
      </c>
      <c r="BL170" s="106">
        <v>0</v>
      </c>
      <c r="BM170" s="106">
        <v>0</v>
      </c>
      <c r="BN170" s="106">
        <v>0</v>
      </c>
      <c r="BO170" s="106">
        <v>0</v>
      </c>
      <c r="BP170" s="106">
        <v>0</v>
      </c>
      <c r="BQ170" s="106">
        <v>0</v>
      </c>
      <c r="BR170" s="106">
        <v>0</v>
      </c>
      <c r="BS170" s="106">
        <v>0</v>
      </c>
      <c r="BT170" s="106">
        <v>0</v>
      </c>
      <c r="BU170" s="106">
        <v>0</v>
      </c>
      <c r="BV170" s="106">
        <v>0</v>
      </c>
      <c r="BW170" s="106">
        <v>0</v>
      </c>
      <c r="BX170" s="106">
        <v>0</v>
      </c>
      <c r="BY170" s="106">
        <v>0</v>
      </c>
      <c r="BZ170" s="106">
        <v>0</v>
      </c>
      <c r="CA170" s="106">
        <v>0</v>
      </c>
      <c r="CB170" s="106">
        <v>0</v>
      </c>
      <c r="CC170" s="106">
        <v>0</v>
      </c>
      <c r="CD170" s="106">
        <v>0</v>
      </c>
      <c r="CE170" s="106">
        <v>0</v>
      </c>
      <c r="CF170" s="106">
        <v>0</v>
      </c>
      <c r="CG170" s="106">
        <v>0</v>
      </c>
      <c r="CH170" s="106">
        <v>0</v>
      </c>
      <c r="CI170" s="106">
        <v>0</v>
      </c>
      <c r="CJ170" s="106">
        <v>0</v>
      </c>
      <c r="CK170" s="106">
        <v>0</v>
      </c>
      <c r="CL170" s="106">
        <v>0</v>
      </c>
      <c r="CM170" s="106">
        <v>0</v>
      </c>
      <c r="CN170" s="106">
        <v>0</v>
      </c>
      <c r="CO170" s="106">
        <v>0</v>
      </c>
      <c r="CP170" s="106">
        <v>0</v>
      </c>
      <c r="CQ170" s="106">
        <v>0</v>
      </c>
      <c r="CR170" s="106">
        <v>0</v>
      </c>
      <c r="CS170" s="106">
        <v>0</v>
      </c>
      <c r="CT170" s="106">
        <v>0</v>
      </c>
      <c r="CU170" s="106">
        <v>0</v>
      </c>
      <c r="CV170" s="106">
        <v>0</v>
      </c>
      <c r="CW170" s="106">
        <v>0</v>
      </c>
      <c r="CX170" s="106">
        <v>0</v>
      </c>
      <c r="CY170" s="106">
        <v>0</v>
      </c>
      <c r="CZ170" s="106">
        <v>0</v>
      </c>
      <c r="DA170" s="106">
        <v>0</v>
      </c>
      <c r="DB170" s="106">
        <v>0</v>
      </c>
      <c r="DC170" s="106">
        <v>0</v>
      </c>
      <c r="DD170" s="106">
        <v>0</v>
      </c>
      <c r="DE170" s="106">
        <v>0</v>
      </c>
      <c r="DF170" s="106">
        <v>0</v>
      </c>
      <c r="DG170" s="106">
        <v>0</v>
      </c>
      <c r="DH170" s="106">
        <v>0</v>
      </c>
      <c r="DI170" s="106">
        <v>0</v>
      </c>
      <c r="DJ170" s="106">
        <v>0</v>
      </c>
      <c r="DK170" s="106">
        <v>0</v>
      </c>
      <c r="DL170" s="106">
        <v>0</v>
      </c>
      <c r="DM170" s="106">
        <v>0</v>
      </c>
      <c r="DN170" s="106">
        <v>0</v>
      </c>
      <c r="DO170" s="106">
        <v>0</v>
      </c>
      <c r="DP170" s="106">
        <v>0</v>
      </c>
      <c r="DQ170" s="106">
        <v>0</v>
      </c>
      <c r="DR170" s="106">
        <v>0</v>
      </c>
      <c r="DS170" s="106">
        <v>0</v>
      </c>
      <c r="DT170" s="106">
        <v>0</v>
      </c>
      <c r="DU170" s="106">
        <v>0</v>
      </c>
      <c r="DV170" s="106">
        <v>0</v>
      </c>
      <c r="DW170" s="106">
        <v>0</v>
      </c>
      <c r="DX170" s="106">
        <v>0</v>
      </c>
      <c r="DY170" s="106">
        <v>0</v>
      </c>
      <c r="DZ170" s="106">
        <v>0</v>
      </c>
      <c r="EA170" s="106">
        <v>0</v>
      </c>
      <c r="EB170" s="106">
        <v>0</v>
      </c>
    </row>
    <row r="171" spans="1:132" hidden="1">
      <c r="A171" t="s">
        <v>272</v>
      </c>
      <c r="B171" t="s">
        <v>217</v>
      </c>
      <c r="C171" s="117">
        <v>45231</v>
      </c>
      <c r="D171" s="106">
        <v>0</v>
      </c>
      <c r="E171" s="106">
        <v>0</v>
      </c>
      <c r="F171" s="106">
        <v>0</v>
      </c>
      <c r="G171" s="106">
        <v>0</v>
      </c>
      <c r="H171" s="106">
        <v>0</v>
      </c>
      <c r="I171" s="106">
        <v>0</v>
      </c>
      <c r="J171" s="106">
        <v>0</v>
      </c>
      <c r="K171" s="106">
        <v>0</v>
      </c>
      <c r="L171" s="106">
        <v>0</v>
      </c>
      <c r="M171" s="106">
        <v>0</v>
      </c>
      <c r="N171" s="106">
        <v>0</v>
      </c>
      <c r="O171" s="106">
        <v>0</v>
      </c>
      <c r="P171" s="106">
        <v>0</v>
      </c>
      <c r="Q171" s="106">
        <v>0</v>
      </c>
      <c r="R171" s="106">
        <v>0</v>
      </c>
      <c r="S171" s="106">
        <v>0</v>
      </c>
      <c r="T171" s="106">
        <v>0</v>
      </c>
      <c r="U171" s="106">
        <v>0</v>
      </c>
      <c r="V171" s="106">
        <v>0</v>
      </c>
      <c r="W171" s="106">
        <v>0</v>
      </c>
      <c r="X171" s="106">
        <v>0</v>
      </c>
      <c r="Y171" s="106">
        <v>0</v>
      </c>
      <c r="Z171" s="106">
        <v>0</v>
      </c>
      <c r="AA171" s="106">
        <v>0</v>
      </c>
      <c r="AB171" s="106">
        <v>0</v>
      </c>
      <c r="AC171" s="106">
        <v>0</v>
      </c>
      <c r="AD171" s="106">
        <v>0</v>
      </c>
      <c r="AE171" s="106">
        <v>0</v>
      </c>
      <c r="AF171" s="106">
        <v>0</v>
      </c>
      <c r="AG171" s="106">
        <v>0</v>
      </c>
      <c r="AH171" s="106">
        <v>0</v>
      </c>
      <c r="AI171" s="106">
        <v>0</v>
      </c>
      <c r="AJ171" s="106">
        <v>0</v>
      </c>
      <c r="AK171" s="106">
        <v>0</v>
      </c>
      <c r="AL171" s="106">
        <v>0</v>
      </c>
      <c r="AM171" s="106">
        <v>0</v>
      </c>
      <c r="AN171" s="106">
        <v>0</v>
      </c>
      <c r="AO171" s="106">
        <v>0</v>
      </c>
      <c r="AP171" s="106">
        <v>0</v>
      </c>
      <c r="AQ171" s="106">
        <v>0</v>
      </c>
      <c r="AR171" s="106">
        <v>0</v>
      </c>
      <c r="AS171" s="106">
        <v>0</v>
      </c>
      <c r="AT171" s="106">
        <v>0</v>
      </c>
      <c r="AU171" s="106">
        <v>0</v>
      </c>
      <c r="AV171" s="106">
        <v>0</v>
      </c>
      <c r="AW171" s="106">
        <v>0</v>
      </c>
      <c r="AX171" s="106">
        <v>0</v>
      </c>
      <c r="AY171" s="106">
        <v>0</v>
      </c>
      <c r="AZ171" s="106">
        <v>0</v>
      </c>
      <c r="BA171" s="106">
        <v>0</v>
      </c>
      <c r="BB171" s="106">
        <v>0</v>
      </c>
      <c r="BC171" s="106">
        <v>0</v>
      </c>
      <c r="BD171" s="106">
        <v>0</v>
      </c>
      <c r="BE171" s="106">
        <v>0</v>
      </c>
      <c r="BF171" s="106">
        <v>0</v>
      </c>
      <c r="BG171" s="106">
        <v>0</v>
      </c>
      <c r="BH171" s="106">
        <v>0</v>
      </c>
      <c r="BI171" s="106">
        <v>0</v>
      </c>
      <c r="BJ171" s="106">
        <v>0</v>
      </c>
      <c r="BK171" s="106">
        <v>0</v>
      </c>
      <c r="BL171" s="106">
        <v>0</v>
      </c>
      <c r="BM171" s="106">
        <v>0</v>
      </c>
      <c r="BN171" s="106">
        <v>0</v>
      </c>
      <c r="BO171" s="106">
        <v>0</v>
      </c>
      <c r="BP171" s="106">
        <v>0</v>
      </c>
      <c r="BQ171" s="106">
        <v>0</v>
      </c>
      <c r="BR171" s="106">
        <v>0</v>
      </c>
      <c r="BS171" s="106">
        <v>0</v>
      </c>
      <c r="BT171" s="106">
        <v>0</v>
      </c>
      <c r="BU171" s="106">
        <v>0</v>
      </c>
      <c r="BV171" s="106">
        <v>0</v>
      </c>
      <c r="BW171" s="106">
        <v>0</v>
      </c>
      <c r="BX171" s="106">
        <v>0</v>
      </c>
      <c r="BY171" s="106">
        <v>0</v>
      </c>
      <c r="BZ171" s="106">
        <v>0</v>
      </c>
      <c r="CA171" s="106">
        <v>0</v>
      </c>
      <c r="CB171" s="106">
        <v>0</v>
      </c>
      <c r="CC171" s="106">
        <v>0</v>
      </c>
      <c r="CD171" s="106">
        <v>0</v>
      </c>
      <c r="CE171" s="106">
        <v>0</v>
      </c>
      <c r="CF171" s="106">
        <v>0</v>
      </c>
      <c r="CG171" s="106">
        <v>0</v>
      </c>
      <c r="CH171" s="106">
        <v>0</v>
      </c>
      <c r="CI171" s="106">
        <v>0</v>
      </c>
      <c r="CJ171" s="106">
        <v>0</v>
      </c>
      <c r="CK171" s="106">
        <v>0</v>
      </c>
      <c r="CL171" s="106">
        <v>0</v>
      </c>
      <c r="CM171" s="106">
        <v>0</v>
      </c>
      <c r="CN171" s="106">
        <v>0</v>
      </c>
      <c r="CO171" s="106">
        <v>0</v>
      </c>
      <c r="CP171" s="106">
        <v>0</v>
      </c>
      <c r="CQ171" s="106">
        <v>0</v>
      </c>
      <c r="CR171" s="106">
        <v>0</v>
      </c>
      <c r="CS171" s="106">
        <v>0</v>
      </c>
      <c r="CT171" s="106">
        <v>0</v>
      </c>
      <c r="CU171" s="106">
        <v>0</v>
      </c>
      <c r="CV171" s="106">
        <v>0</v>
      </c>
      <c r="CW171" s="106">
        <v>0</v>
      </c>
      <c r="CX171" s="106">
        <v>0</v>
      </c>
      <c r="CY171" s="106">
        <v>0</v>
      </c>
      <c r="CZ171" s="106">
        <v>0</v>
      </c>
      <c r="DA171" s="106">
        <v>0</v>
      </c>
      <c r="DB171" s="106">
        <v>0</v>
      </c>
      <c r="DC171" s="106">
        <v>0</v>
      </c>
      <c r="DD171" s="106">
        <v>0</v>
      </c>
      <c r="DE171" s="106">
        <v>0</v>
      </c>
      <c r="DF171" s="106">
        <v>0</v>
      </c>
      <c r="DG171" s="106">
        <v>0</v>
      </c>
      <c r="DH171" s="106">
        <v>0</v>
      </c>
      <c r="DI171" s="106">
        <v>0</v>
      </c>
      <c r="DJ171" s="106">
        <v>0</v>
      </c>
      <c r="DK171" s="106">
        <v>0</v>
      </c>
      <c r="DL171" s="106">
        <v>0</v>
      </c>
      <c r="DM171" s="106">
        <v>0</v>
      </c>
      <c r="DN171" s="106">
        <v>0</v>
      </c>
      <c r="DO171" s="106">
        <v>0</v>
      </c>
      <c r="DP171" s="106">
        <v>0</v>
      </c>
      <c r="DQ171" s="106">
        <v>0</v>
      </c>
      <c r="DR171" s="106">
        <v>0</v>
      </c>
      <c r="DS171" s="106">
        <v>0</v>
      </c>
      <c r="DT171" s="106">
        <v>0</v>
      </c>
      <c r="DU171" s="106">
        <v>0</v>
      </c>
      <c r="DV171" s="106">
        <v>0</v>
      </c>
      <c r="DW171" s="106">
        <v>0</v>
      </c>
      <c r="DX171" s="106">
        <v>0</v>
      </c>
      <c r="DY171" s="106">
        <v>0</v>
      </c>
      <c r="DZ171" s="106">
        <v>0</v>
      </c>
      <c r="EA171" s="106">
        <v>0</v>
      </c>
      <c r="EB171" s="106">
        <v>0</v>
      </c>
    </row>
    <row r="172" spans="1:132" hidden="1">
      <c r="A172" t="s">
        <v>272</v>
      </c>
      <c r="B172" t="s">
        <v>217</v>
      </c>
      <c r="C172" s="117">
        <v>45200</v>
      </c>
      <c r="D172" s="106">
        <v>0</v>
      </c>
      <c r="E172" s="106">
        <v>0</v>
      </c>
      <c r="F172" s="106">
        <v>0</v>
      </c>
      <c r="G172" s="106">
        <v>0</v>
      </c>
      <c r="H172" s="106">
        <v>0</v>
      </c>
      <c r="I172" s="106">
        <v>0</v>
      </c>
      <c r="J172" s="106">
        <v>0</v>
      </c>
      <c r="K172" s="106">
        <v>0</v>
      </c>
      <c r="L172" s="106">
        <v>0</v>
      </c>
      <c r="M172" s="106">
        <v>0</v>
      </c>
      <c r="N172" s="106">
        <v>0</v>
      </c>
      <c r="O172" s="106">
        <v>0</v>
      </c>
      <c r="P172" s="106">
        <v>0</v>
      </c>
      <c r="Q172" s="106">
        <v>0</v>
      </c>
      <c r="R172" s="106">
        <v>0</v>
      </c>
      <c r="S172" s="106">
        <v>0</v>
      </c>
      <c r="T172" s="106">
        <v>0</v>
      </c>
      <c r="U172" s="106">
        <v>0</v>
      </c>
      <c r="V172" s="106">
        <v>0</v>
      </c>
      <c r="W172" s="106">
        <v>0</v>
      </c>
      <c r="X172" s="106">
        <v>0</v>
      </c>
      <c r="Y172" s="106">
        <v>0</v>
      </c>
      <c r="Z172" s="106">
        <v>0</v>
      </c>
      <c r="AA172" s="106">
        <v>0</v>
      </c>
      <c r="AB172" s="106">
        <v>0</v>
      </c>
      <c r="AC172" s="106">
        <v>0</v>
      </c>
      <c r="AD172" s="106">
        <v>0</v>
      </c>
      <c r="AE172" s="106">
        <v>0</v>
      </c>
      <c r="AF172" s="106">
        <v>0</v>
      </c>
      <c r="AG172" s="106">
        <v>0</v>
      </c>
      <c r="AH172" s="106">
        <v>0</v>
      </c>
      <c r="AI172" s="106">
        <v>0</v>
      </c>
      <c r="AJ172" s="106">
        <v>0</v>
      </c>
      <c r="AK172" s="106">
        <v>0</v>
      </c>
      <c r="AL172" s="106">
        <v>0</v>
      </c>
      <c r="AM172" s="106">
        <v>0</v>
      </c>
      <c r="AN172" s="106">
        <v>0</v>
      </c>
      <c r="AO172" s="106">
        <v>0</v>
      </c>
      <c r="AP172" s="106">
        <v>0</v>
      </c>
      <c r="AQ172" s="106">
        <v>0</v>
      </c>
      <c r="AR172" s="106">
        <v>0</v>
      </c>
      <c r="AS172" s="106">
        <v>0</v>
      </c>
      <c r="AT172" s="106">
        <v>0</v>
      </c>
      <c r="AU172" s="106">
        <v>0</v>
      </c>
      <c r="AV172" s="106">
        <v>0</v>
      </c>
      <c r="AW172" s="106">
        <v>0</v>
      </c>
      <c r="AX172" s="106">
        <v>0</v>
      </c>
      <c r="AY172" s="106">
        <v>0</v>
      </c>
      <c r="AZ172" s="106">
        <v>0</v>
      </c>
      <c r="BA172" s="106">
        <v>0</v>
      </c>
      <c r="BB172" s="106">
        <v>0</v>
      </c>
      <c r="BC172" s="106">
        <v>0</v>
      </c>
      <c r="BD172" s="106">
        <v>0</v>
      </c>
      <c r="BE172" s="106">
        <v>0</v>
      </c>
      <c r="BF172" s="106">
        <v>0</v>
      </c>
      <c r="BG172" s="106">
        <v>0</v>
      </c>
      <c r="BH172" s="106">
        <v>0</v>
      </c>
      <c r="BI172" s="106">
        <v>0</v>
      </c>
      <c r="BJ172" s="106">
        <v>0</v>
      </c>
      <c r="BK172" s="106">
        <v>0</v>
      </c>
      <c r="BL172" s="106">
        <v>0</v>
      </c>
      <c r="BM172" s="106">
        <v>0</v>
      </c>
      <c r="BN172" s="106">
        <v>0</v>
      </c>
      <c r="BO172" s="106">
        <v>0</v>
      </c>
      <c r="BP172" s="106">
        <v>0</v>
      </c>
      <c r="BQ172" s="106">
        <v>0</v>
      </c>
      <c r="BR172" s="106">
        <v>0</v>
      </c>
      <c r="BS172" s="106">
        <v>0</v>
      </c>
      <c r="BT172" s="106">
        <v>0</v>
      </c>
      <c r="BU172" s="106">
        <v>0</v>
      </c>
      <c r="BV172" s="106">
        <v>0</v>
      </c>
      <c r="BW172" s="106">
        <v>0</v>
      </c>
      <c r="BX172" s="106">
        <v>0</v>
      </c>
      <c r="BY172" s="106">
        <v>0</v>
      </c>
      <c r="BZ172" s="106">
        <v>0</v>
      </c>
      <c r="CA172" s="106">
        <v>0</v>
      </c>
      <c r="CB172" s="106">
        <v>0</v>
      </c>
      <c r="CC172" s="106">
        <v>0</v>
      </c>
      <c r="CD172" s="106">
        <v>0</v>
      </c>
      <c r="CE172" s="106">
        <v>0</v>
      </c>
      <c r="CF172" s="106">
        <v>0</v>
      </c>
      <c r="CG172" s="106">
        <v>0</v>
      </c>
      <c r="CH172" s="106">
        <v>0</v>
      </c>
      <c r="CI172" s="106">
        <v>0</v>
      </c>
      <c r="CJ172" s="106">
        <v>0</v>
      </c>
      <c r="CK172" s="106">
        <v>0</v>
      </c>
      <c r="CL172" s="106">
        <v>0</v>
      </c>
      <c r="CM172" s="106">
        <v>0</v>
      </c>
      <c r="CN172" s="106">
        <v>0</v>
      </c>
      <c r="CO172" s="106">
        <v>0</v>
      </c>
      <c r="CP172" s="106">
        <v>0</v>
      </c>
      <c r="CQ172" s="106">
        <v>0</v>
      </c>
      <c r="CR172" s="106">
        <v>0</v>
      </c>
      <c r="CS172" s="106">
        <v>0</v>
      </c>
      <c r="CT172" s="106">
        <v>0</v>
      </c>
      <c r="CU172" s="106">
        <v>0</v>
      </c>
      <c r="CV172" s="106">
        <v>0</v>
      </c>
      <c r="CW172" s="106">
        <v>0</v>
      </c>
      <c r="CX172" s="106">
        <v>0</v>
      </c>
      <c r="CY172" s="106">
        <v>0</v>
      </c>
      <c r="CZ172" s="106">
        <v>0</v>
      </c>
      <c r="DA172" s="106">
        <v>0</v>
      </c>
      <c r="DB172" s="106">
        <v>0</v>
      </c>
      <c r="DC172" s="106">
        <v>0</v>
      </c>
      <c r="DD172" s="106">
        <v>0</v>
      </c>
      <c r="DE172" s="106">
        <v>0</v>
      </c>
      <c r="DF172" s="106">
        <v>0</v>
      </c>
      <c r="DG172" s="106">
        <v>0</v>
      </c>
      <c r="DH172" s="106">
        <v>0</v>
      </c>
      <c r="DI172" s="106">
        <v>0</v>
      </c>
      <c r="DJ172" s="106">
        <v>0</v>
      </c>
      <c r="DK172" s="106">
        <v>0</v>
      </c>
      <c r="DL172" s="106">
        <v>0</v>
      </c>
      <c r="DM172" s="106">
        <v>0</v>
      </c>
      <c r="DN172" s="106">
        <v>0</v>
      </c>
      <c r="DO172" s="106">
        <v>0</v>
      </c>
      <c r="DP172" s="106">
        <v>0</v>
      </c>
      <c r="DQ172" s="106">
        <v>0</v>
      </c>
      <c r="DR172" s="106">
        <v>0</v>
      </c>
      <c r="DS172" s="106">
        <v>0</v>
      </c>
      <c r="DT172" s="106">
        <v>0</v>
      </c>
      <c r="DU172" s="106">
        <v>0</v>
      </c>
      <c r="DV172" s="106">
        <v>0</v>
      </c>
      <c r="DW172" s="106">
        <v>0</v>
      </c>
      <c r="DX172" s="106">
        <v>0</v>
      </c>
      <c r="DY172" s="106">
        <v>0</v>
      </c>
      <c r="DZ172" s="106">
        <v>0</v>
      </c>
      <c r="EA172" s="106">
        <v>0</v>
      </c>
      <c r="EB172" s="106">
        <v>0</v>
      </c>
    </row>
    <row r="173" spans="1:132" hidden="1">
      <c r="A173" t="s">
        <v>272</v>
      </c>
      <c r="B173" t="s">
        <v>217</v>
      </c>
      <c r="C173" s="117">
        <v>45170</v>
      </c>
      <c r="D173" s="106">
        <v>0</v>
      </c>
      <c r="E173" s="106">
        <v>0</v>
      </c>
      <c r="F173" s="106">
        <v>0</v>
      </c>
      <c r="G173" s="106">
        <v>0</v>
      </c>
      <c r="H173" s="106">
        <v>0</v>
      </c>
      <c r="I173" s="106">
        <v>0</v>
      </c>
      <c r="J173" s="106">
        <v>0</v>
      </c>
      <c r="K173" s="106">
        <v>0</v>
      </c>
      <c r="L173" s="106">
        <v>0</v>
      </c>
      <c r="M173" s="106">
        <v>0</v>
      </c>
      <c r="N173" s="106">
        <v>0</v>
      </c>
      <c r="O173" s="106">
        <v>0</v>
      </c>
      <c r="P173" s="106">
        <v>0</v>
      </c>
      <c r="Q173" s="106">
        <v>0</v>
      </c>
      <c r="R173" s="106">
        <v>0</v>
      </c>
      <c r="S173" s="106">
        <v>0</v>
      </c>
      <c r="T173" s="106">
        <v>0</v>
      </c>
      <c r="U173" s="106">
        <v>0</v>
      </c>
      <c r="V173" s="106">
        <v>0</v>
      </c>
      <c r="W173" s="106">
        <v>0</v>
      </c>
      <c r="X173" s="106">
        <v>0</v>
      </c>
      <c r="Y173" s="106">
        <v>0</v>
      </c>
      <c r="Z173" s="106">
        <v>0</v>
      </c>
      <c r="AA173" s="106">
        <v>0</v>
      </c>
      <c r="AB173" s="106">
        <v>0</v>
      </c>
      <c r="AC173" s="106">
        <v>0</v>
      </c>
      <c r="AD173" s="106">
        <v>0</v>
      </c>
      <c r="AE173" s="106">
        <v>0</v>
      </c>
      <c r="AF173" s="106">
        <v>0</v>
      </c>
      <c r="AG173" s="106">
        <v>0</v>
      </c>
      <c r="AH173" s="106">
        <v>0</v>
      </c>
      <c r="AI173" s="106">
        <v>0</v>
      </c>
      <c r="AJ173" s="106">
        <v>0</v>
      </c>
      <c r="AK173" s="106">
        <v>0</v>
      </c>
      <c r="AL173" s="106">
        <v>0</v>
      </c>
      <c r="AM173" s="106">
        <v>0</v>
      </c>
      <c r="AN173" s="106">
        <v>0</v>
      </c>
      <c r="AO173" s="106">
        <v>0</v>
      </c>
      <c r="AP173" s="106">
        <v>0</v>
      </c>
      <c r="AQ173" s="106">
        <v>0</v>
      </c>
      <c r="AR173" s="106">
        <v>0</v>
      </c>
      <c r="AS173" s="106">
        <v>0</v>
      </c>
      <c r="AT173" s="106">
        <v>0</v>
      </c>
      <c r="AU173" s="106">
        <v>0</v>
      </c>
      <c r="AV173" s="106">
        <v>0</v>
      </c>
      <c r="AW173" s="106">
        <v>0</v>
      </c>
      <c r="AX173" s="106">
        <v>0</v>
      </c>
      <c r="AY173" s="106">
        <v>0</v>
      </c>
      <c r="AZ173" s="106">
        <v>0</v>
      </c>
      <c r="BA173" s="106">
        <v>0</v>
      </c>
      <c r="BB173" s="106">
        <v>0</v>
      </c>
      <c r="BC173" s="106">
        <v>0</v>
      </c>
      <c r="BD173" s="106">
        <v>0</v>
      </c>
      <c r="BE173" s="106">
        <v>0</v>
      </c>
      <c r="BF173" s="106">
        <v>0</v>
      </c>
      <c r="BG173" s="106">
        <v>0</v>
      </c>
      <c r="BH173" s="106">
        <v>0</v>
      </c>
      <c r="BI173" s="106">
        <v>0</v>
      </c>
      <c r="BJ173" s="106">
        <v>0</v>
      </c>
      <c r="BK173" s="106">
        <v>0</v>
      </c>
      <c r="BL173" s="106">
        <v>0</v>
      </c>
      <c r="BM173" s="106">
        <v>0</v>
      </c>
      <c r="BN173" s="106">
        <v>0</v>
      </c>
      <c r="BO173" s="106">
        <v>0</v>
      </c>
      <c r="BP173" s="106">
        <v>0</v>
      </c>
      <c r="BQ173" s="106">
        <v>0</v>
      </c>
      <c r="BR173" s="106">
        <v>0</v>
      </c>
      <c r="BS173" s="106">
        <v>0</v>
      </c>
      <c r="BT173" s="106">
        <v>0</v>
      </c>
      <c r="BU173" s="106">
        <v>0</v>
      </c>
      <c r="BV173" s="106">
        <v>0</v>
      </c>
      <c r="BW173" s="106">
        <v>0</v>
      </c>
      <c r="BX173" s="106">
        <v>0</v>
      </c>
      <c r="BY173" s="106">
        <v>0</v>
      </c>
      <c r="BZ173" s="106">
        <v>0</v>
      </c>
      <c r="CA173" s="106">
        <v>0</v>
      </c>
      <c r="CB173" s="106">
        <v>0</v>
      </c>
      <c r="CC173" s="106">
        <v>0</v>
      </c>
      <c r="CD173" s="106">
        <v>0</v>
      </c>
      <c r="CE173" s="106">
        <v>0</v>
      </c>
      <c r="CF173" s="106">
        <v>0</v>
      </c>
      <c r="CG173" s="106">
        <v>0</v>
      </c>
      <c r="CH173" s="106">
        <v>0</v>
      </c>
      <c r="CI173" s="106">
        <v>0</v>
      </c>
      <c r="CJ173" s="106">
        <v>0</v>
      </c>
      <c r="CK173" s="106">
        <v>0</v>
      </c>
      <c r="CL173" s="106">
        <v>0</v>
      </c>
      <c r="CM173" s="106">
        <v>0</v>
      </c>
      <c r="CN173" s="106">
        <v>0</v>
      </c>
      <c r="CO173" s="106">
        <v>0</v>
      </c>
      <c r="CP173" s="106">
        <v>0</v>
      </c>
      <c r="CQ173" s="106">
        <v>0</v>
      </c>
      <c r="CR173" s="106">
        <v>0</v>
      </c>
      <c r="CS173" s="106">
        <v>0</v>
      </c>
      <c r="CT173" s="106">
        <v>0</v>
      </c>
      <c r="CU173" s="106">
        <v>0</v>
      </c>
      <c r="CV173" s="106">
        <v>0</v>
      </c>
      <c r="CW173" s="106">
        <v>0</v>
      </c>
      <c r="CX173" s="106">
        <v>0</v>
      </c>
      <c r="CY173" s="106">
        <v>0</v>
      </c>
      <c r="CZ173" s="106">
        <v>0</v>
      </c>
      <c r="DA173" s="106">
        <v>0</v>
      </c>
      <c r="DB173" s="106">
        <v>0</v>
      </c>
      <c r="DC173" s="106">
        <v>0</v>
      </c>
      <c r="DD173" s="106">
        <v>0</v>
      </c>
      <c r="DE173" s="106">
        <v>0</v>
      </c>
      <c r="DF173" s="106">
        <v>0</v>
      </c>
      <c r="DG173" s="106">
        <v>0</v>
      </c>
      <c r="DH173" s="106">
        <v>0</v>
      </c>
      <c r="DI173" s="106">
        <v>0</v>
      </c>
      <c r="DJ173" s="106">
        <v>0</v>
      </c>
      <c r="DK173" s="106">
        <v>0</v>
      </c>
      <c r="DL173" s="106">
        <v>0</v>
      </c>
      <c r="DM173" s="106">
        <v>0</v>
      </c>
      <c r="DN173" s="106">
        <v>0</v>
      </c>
      <c r="DO173" s="106">
        <v>0</v>
      </c>
      <c r="DP173" s="106">
        <v>0</v>
      </c>
      <c r="DQ173" s="106">
        <v>0</v>
      </c>
      <c r="DR173" s="106">
        <v>0</v>
      </c>
      <c r="DS173" s="106">
        <v>0</v>
      </c>
      <c r="DT173" s="106">
        <v>0</v>
      </c>
      <c r="DU173" s="106">
        <v>0</v>
      </c>
      <c r="DV173" s="106">
        <v>0</v>
      </c>
      <c r="DW173" s="106">
        <v>0</v>
      </c>
      <c r="DX173" s="106">
        <v>0</v>
      </c>
      <c r="DY173" s="106">
        <v>0</v>
      </c>
      <c r="DZ173" s="106">
        <v>0</v>
      </c>
      <c r="EA173" s="106">
        <v>0</v>
      </c>
      <c r="EB173" s="106">
        <v>0</v>
      </c>
    </row>
    <row r="174" spans="1:132" hidden="1">
      <c r="A174" t="s">
        <v>272</v>
      </c>
      <c r="B174" t="s">
        <v>217</v>
      </c>
      <c r="C174" s="117">
        <v>45139</v>
      </c>
      <c r="D174" s="106">
        <v>0</v>
      </c>
      <c r="E174" s="106">
        <v>0</v>
      </c>
      <c r="F174" s="106">
        <v>0</v>
      </c>
      <c r="G174" s="106">
        <v>0</v>
      </c>
      <c r="H174" s="106">
        <v>0</v>
      </c>
      <c r="I174" s="106">
        <v>0</v>
      </c>
      <c r="J174" s="106">
        <v>0</v>
      </c>
      <c r="K174" s="106">
        <v>0</v>
      </c>
      <c r="L174" s="106">
        <v>0</v>
      </c>
      <c r="M174" s="106">
        <v>0</v>
      </c>
      <c r="N174" s="106">
        <v>0</v>
      </c>
      <c r="O174" s="106">
        <v>0</v>
      </c>
      <c r="P174" s="106">
        <v>0</v>
      </c>
      <c r="Q174" s="106">
        <v>0</v>
      </c>
      <c r="R174" s="106">
        <v>0</v>
      </c>
      <c r="S174" s="106">
        <v>0</v>
      </c>
      <c r="T174" s="106">
        <v>0</v>
      </c>
      <c r="U174" s="106">
        <v>0</v>
      </c>
      <c r="V174" s="106">
        <v>0</v>
      </c>
      <c r="W174" s="106">
        <v>0</v>
      </c>
      <c r="X174" s="106">
        <v>0</v>
      </c>
      <c r="Y174" s="106">
        <v>0</v>
      </c>
      <c r="Z174" s="106">
        <v>0</v>
      </c>
      <c r="AA174" s="106">
        <v>0</v>
      </c>
      <c r="AB174" s="106">
        <v>0</v>
      </c>
      <c r="AC174" s="106">
        <v>0</v>
      </c>
      <c r="AD174" s="106">
        <v>0</v>
      </c>
      <c r="AE174" s="106">
        <v>0</v>
      </c>
      <c r="AF174" s="106">
        <v>0</v>
      </c>
      <c r="AG174" s="106">
        <v>0</v>
      </c>
      <c r="AH174" s="106">
        <v>0</v>
      </c>
      <c r="AI174" s="106">
        <v>0</v>
      </c>
      <c r="AJ174" s="106">
        <v>0</v>
      </c>
      <c r="AK174" s="106">
        <v>0</v>
      </c>
      <c r="AL174" s="106">
        <v>0</v>
      </c>
      <c r="AM174" s="106">
        <v>0</v>
      </c>
      <c r="AN174" s="106">
        <v>0</v>
      </c>
      <c r="AO174" s="106">
        <v>0</v>
      </c>
      <c r="AP174" s="106">
        <v>0</v>
      </c>
      <c r="AQ174" s="106">
        <v>0</v>
      </c>
      <c r="AR174" s="106">
        <v>0</v>
      </c>
      <c r="AS174" s="106">
        <v>0</v>
      </c>
      <c r="AT174" s="106">
        <v>0</v>
      </c>
      <c r="AU174" s="106">
        <v>0</v>
      </c>
      <c r="AV174" s="106">
        <v>0</v>
      </c>
      <c r="AW174" s="106">
        <v>0</v>
      </c>
      <c r="AX174" s="106">
        <v>0</v>
      </c>
      <c r="AY174" s="106">
        <v>0</v>
      </c>
      <c r="AZ174" s="106">
        <v>0</v>
      </c>
      <c r="BA174" s="106">
        <v>0</v>
      </c>
      <c r="BB174" s="106">
        <v>0</v>
      </c>
      <c r="BC174" s="106">
        <v>0</v>
      </c>
      <c r="BD174" s="106">
        <v>0</v>
      </c>
      <c r="BE174" s="106">
        <v>0</v>
      </c>
      <c r="BF174" s="106">
        <v>0</v>
      </c>
      <c r="BG174" s="106">
        <v>0</v>
      </c>
      <c r="BH174" s="106">
        <v>0</v>
      </c>
      <c r="BI174" s="106">
        <v>0</v>
      </c>
      <c r="BJ174" s="106">
        <v>0</v>
      </c>
      <c r="BK174" s="106">
        <v>0</v>
      </c>
      <c r="BL174" s="106">
        <v>0</v>
      </c>
      <c r="BM174" s="106">
        <v>0</v>
      </c>
      <c r="BN174" s="106">
        <v>0</v>
      </c>
      <c r="BO174" s="106">
        <v>0</v>
      </c>
      <c r="BP174" s="106">
        <v>0</v>
      </c>
      <c r="BQ174" s="106">
        <v>0</v>
      </c>
      <c r="BR174" s="106">
        <v>0</v>
      </c>
      <c r="BS174" s="106">
        <v>0</v>
      </c>
      <c r="BT174" s="106">
        <v>0</v>
      </c>
      <c r="BU174" s="106">
        <v>0</v>
      </c>
      <c r="BV174" s="106">
        <v>0</v>
      </c>
      <c r="BW174" s="106">
        <v>0</v>
      </c>
      <c r="BX174" s="106">
        <v>0</v>
      </c>
      <c r="BY174" s="106">
        <v>0</v>
      </c>
      <c r="BZ174" s="106">
        <v>0</v>
      </c>
      <c r="CA174" s="106">
        <v>0</v>
      </c>
      <c r="CB174" s="106">
        <v>0</v>
      </c>
      <c r="CC174" s="106">
        <v>0</v>
      </c>
      <c r="CD174" s="106">
        <v>0</v>
      </c>
      <c r="CE174" s="106">
        <v>0</v>
      </c>
      <c r="CF174" s="106">
        <v>0</v>
      </c>
      <c r="CG174" s="106">
        <v>0</v>
      </c>
      <c r="CH174" s="106">
        <v>0</v>
      </c>
      <c r="CI174" s="106">
        <v>0</v>
      </c>
      <c r="CJ174" s="106">
        <v>0</v>
      </c>
      <c r="CK174" s="106">
        <v>0</v>
      </c>
      <c r="CL174" s="106">
        <v>0</v>
      </c>
      <c r="CM174" s="106">
        <v>0</v>
      </c>
      <c r="CN174" s="106">
        <v>0</v>
      </c>
      <c r="CO174" s="106">
        <v>0</v>
      </c>
      <c r="CP174" s="106">
        <v>0</v>
      </c>
      <c r="CQ174" s="106">
        <v>0</v>
      </c>
      <c r="CR174" s="106">
        <v>0</v>
      </c>
      <c r="CS174" s="106">
        <v>0</v>
      </c>
      <c r="CT174" s="106">
        <v>0</v>
      </c>
      <c r="CU174" s="106">
        <v>0</v>
      </c>
      <c r="CV174" s="106">
        <v>0</v>
      </c>
      <c r="CW174" s="106">
        <v>0</v>
      </c>
      <c r="CX174" s="106">
        <v>0</v>
      </c>
      <c r="CY174" s="106">
        <v>0</v>
      </c>
      <c r="CZ174" s="106">
        <v>0</v>
      </c>
      <c r="DA174" s="106">
        <v>0</v>
      </c>
      <c r="DB174" s="106">
        <v>0</v>
      </c>
      <c r="DC174" s="106">
        <v>0</v>
      </c>
      <c r="DD174" s="106">
        <v>0</v>
      </c>
      <c r="DE174" s="106">
        <v>0</v>
      </c>
      <c r="DF174" s="106">
        <v>0</v>
      </c>
      <c r="DG174" s="106">
        <v>0</v>
      </c>
      <c r="DH174" s="106">
        <v>0</v>
      </c>
      <c r="DI174" s="106">
        <v>0</v>
      </c>
      <c r="DJ174" s="106">
        <v>0</v>
      </c>
      <c r="DK174" s="106">
        <v>0</v>
      </c>
      <c r="DL174" s="106">
        <v>0</v>
      </c>
      <c r="DM174" s="106">
        <v>0</v>
      </c>
      <c r="DN174" s="106">
        <v>0</v>
      </c>
      <c r="DO174" s="106">
        <v>0</v>
      </c>
      <c r="DP174" s="106">
        <v>0</v>
      </c>
      <c r="DQ174" s="106">
        <v>0</v>
      </c>
      <c r="DR174" s="106">
        <v>0</v>
      </c>
      <c r="DS174" s="106">
        <v>0</v>
      </c>
      <c r="DT174" s="106">
        <v>0</v>
      </c>
      <c r="DU174" s="106">
        <v>0</v>
      </c>
      <c r="DV174" s="106">
        <v>0</v>
      </c>
      <c r="DW174" s="106">
        <v>0</v>
      </c>
      <c r="DX174" s="106">
        <v>0</v>
      </c>
      <c r="DY174" s="106">
        <v>0</v>
      </c>
      <c r="DZ174" s="106">
        <v>0</v>
      </c>
      <c r="EA174" s="106">
        <v>0</v>
      </c>
      <c r="EB174" s="106">
        <v>0</v>
      </c>
    </row>
    <row r="175" spans="1:132" hidden="1">
      <c r="A175" t="s">
        <v>272</v>
      </c>
      <c r="B175" t="s">
        <v>217</v>
      </c>
      <c r="C175" s="117">
        <v>45108</v>
      </c>
      <c r="D175" s="106">
        <v>0</v>
      </c>
      <c r="E175" s="106">
        <v>0</v>
      </c>
      <c r="F175" s="106">
        <v>0</v>
      </c>
      <c r="G175" s="106">
        <v>0</v>
      </c>
      <c r="H175" s="106">
        <v>0</v>
      </c>
      <c r="I175" s="106">
        <v>0</v>
      </c>
      <c r="J175" s="106">
        <v>0</v>
      </c>
      <c r="K175" s="106">
        <v>0</v>
      </c>
      <c r="L175" s="106">
        <v>0</v>
      </c>
      <c r="M175" s="106">
        <v>0</v>
      </c>
      <c r="N175" s="106">
        <v>0</v>
      </c>
      <c r="O175" s="106">
        <v>0</v>
      </c>
      <c r="P175" s="106">
        <v>0</v>
      </c>
      <c r="Q175" s="106">
        <v>0</v>
      </c>
      <c r="R175" s="106">
        <v>0</v>
      </c>
      <c r="S175" s="106">
        <v>0</v>
      </c>
      <c r="T175" s="106">
        <v>0</v>
      </c>
      <c r="U175" s="106">
        <v>0</v>
      </c>
      <c r="V175" s="106">
        <v>0</v>
      </c>
      <c r="W175" s="106">
        <v>0</v>
      </c>
      <c r="X175" s="106">
        <v>0</v>
      </c>
      <c r="Y175" s="106">
        <v>0</v>
      </c>
      <c r="Z175" s="106">
        <v>0</v>
      </c>
      <c r="AA175" s="106">
        <v>0</v>
      </c>
      <c r="AB175" s="106">
        <v>0</v>
      </c>
      <c r="AC175" s="106">
        <v>0</v>
      </c>
      <c r="AD175" s="106">
        <v>0</v>
      </c>
      <c r="AE175" s="106">
        <v>0</v>
      </c>
      <c r="AF175" s="106">
        <v>0</v>
      </c>
      <c r="AG175" s="106">
        <v>0</v>
      </c>
      <c r="AH175" s="106">
        <v>0</v>
      </c>
      <c r="AI175" s="106">
        <v>0</v>
      </c>
      <c r="AJ175" s="106">
        <v>0</v>
      </c>
      <c r="AK175" s="106">
        <v>0</v>
      </c>
      <c r="AL175" s="106">
        <v>0</v>
      </c>
      <c r="AM175" s="106">
        <v>0</v>
      </c>
      <c r="AN175" s="106">
        <v>0</v>
      </c>
      <c r="AO175" s="106">
        <v>0</v>
      </c>
      <c r="AP175" s="106">
        <v>0</v>
      </c>
      <c r="AQ175" s="106">
        <v>0</v>
      </c>
      <c r="AR175" s="106">
        <v>0</v>
      </c>
      <c r="AS175" s="106">
        <v>0</v>
      </c>
      <c r="AT175" s="106">
        <v>0</v>
      </c>
      <c r="AU175" s="106">
        <v>0</v>
      </c>
      <c r="AV175" s="106">
        <v>0</v>
      </c>
      <c r="AW175" s="106">
        <v>0</v>
      </c>
      <c r="AX175" s="106">
        <v>0</v>
      </c>
      <c r="AY175" s="106">
        <v>0</v>
      </c>
      <c r="AZ175" s="106">
        <v>0</v>
      </c>
      <c r="BA175" s="106">
        <v>0</v>
      </c>
      <c r="BB175" s="106">
        <v>0</v>
      </c>
      <c r="BC175" s="106">
        <v>0</v>
      </c>
      <c r="BD175" s="106">
        <v>0</v>
      </c>
      <c r="BE175" s="106">
        <v>0</v>
      </c>
      <c r="BF175" s="106">
        <v>0</v>
      </c>
      <c r="BG175" s="106">
        <v>0</v>
      </c>
      <c r="BH175" s="106">
        <v>0</v>
      </c>
      <c r="BI175" s="106">
        <v>0</v>
      </c>
      <c r="BJ175" s="106">
        <v>0</v>
      </c>
      <c r="BK175" s="106">
        <v>0</v>
      </c>
      <c r="BL175" s="106">
        <v>0</v>
      </c>
      <c r="BM175" s="106">
        <v>0</v>
      </c>
      <c r="BN175" s="106">
        <v>0</v>
      </c>
      <c r="BO175" s="106">
        <v>0</v>
      </c>
      <c r="BP175" s="106">
        <v>0</v>
      </c>
      <c r="BQ175" s="106">
        <v>0</v>
      </c>
      <c r="BR175" s="106">
        <v>0</v>
      </c>
      <c r="BS175" s="106">
        <v>0</v>
      </c>
      <c r="BT175" s="106">
        <v>0</v>
      </c>
      <c r="BU175" s="106">
        <v>0</v>
      </c>
      <c r="BV175" s="106">
        <v>0</v>
      </c>
      <c r="BW175" s="106">
        <v>0</v>
      </c>
      <c r="BX175" s="106">
        <v>0</v>
      </c>
      <c r="BY175" s="106">
        <v>0</v>
      </c>
      <c r="BZ175" s="106">
        <v>0</v>
      </c>
      <c r="CA175" s="106">
        <v>0</v>
      </c>
      <c r="CB175" s="106">
        <v>0</v>
      </c>
      <c r="CC175" s="106">
        <v>0</v>
      </c>
      <c r="CD175" s="106">
        <v>0</v>
      </c>
      <c r="CE175" s="106">
        <v>0</v>
      </c>
      <c r="CF175" s="106">
        <v>0</v>
      </c>
      <c r="CG175" s="106">
        <v>0</v>
      </c>
      <c r="CH175" s="106">
        <v>0</v>
      </c>
      <c r="CI175" s="106">
        <v>0</v>
      </c>
      <c r="CJ175" s="106">
        <v>0</v>
      </c>
      <c r="CK175" s="106">
        <v>0</v>
      </c>
      <c r="CL175" s="106">
        <v>0</v>
      </c>
      <c r="CM175" s="106">
        <v>0</v>
      </c>
      <c r="CN175" s="106">
        <v>0</v>
      </c>
      <c r="CO175" s="106">
        <v>0</v>
      </c>
      <c r="CP175" s="106">
        <v>0</v>
      </c>
      <c r="CQ175" s="106">
        <v>0</v>
      </c>
      <c r="CR175" s="106">
        <v>0</v>
      </c>
      <c r="CS175" s="106">
        <v>0</v>
      </c>
      <c r="CT175" s="106">
        <v>0</v>
      </c>
      <c r="CU175" s="106">
        <v>0</v>
      </c>
      <c r="CV175" s="106">
        <v>0</v>
      </c>
      <c r="CW175" s="106">
        <v>0</v>
      </c>
      <c r="CX175" s="106">
        <v>0</v>
      </c>
      <c r="CY175" s="106">
        <v>0</v>
      </c>
      <c r="CZ175" s="106">
        <v>0</v>
      </c>
      <c r="DA175" s="106">
        <v>0</v>
      </c>
      <c r="DB175" s="106">
        <v>0</v>
      </c>
      <c r="DC175" s="106">
        <v>0</v>
      </c>
      <c r="DD175" s="106">
        <v>0</v>
      </c>
      <c r="DE175" s="106">
        <v>0</v>
      </c>
      <c r="DF175" s="106">
        <v>0</v>
      </c>
      <c r="DG175" s="106">
        <v>0</v>
      </c>
      <c r="DH175" s="106">
        <v>0</v>
      </c>
      <c r="DI175" s="106">
        <v>0</v>
      </c>
      <c r="DJ175" s="106">
        <v>0</v>
      </c>
      <c r="DK175" s="106">
        <v>0</v>
      </c>
      <c r="DL175" s="106">
        <v>0</v>
      </c>
      <c r="DM175" s="106">
        <v>0</v>
      </c>
      <c r="DN175" s="106">
        <v>0</v>
      </c>
      <c r="DO175" s="106">
        <v>0</v>
      </c>
      <c r="DP175" s="106">
        <v>0</v>
      </c>
      <c r="DQ175" s="106">
        <v>0</v>
      </c>
      <c r="DR175" s="106">
        <v>0</v>
      </c>
      <c r="DS175" s="106">
        <v>0</v>
      </c>
      <c r="DT175" s="106">
        <v>0</v>
      </c>
      <c r="DU175" s="106">
        <v>0</v>
      </c>
      <c r="DV175" s="106">
        <v>0</v>
      </c>
      <c r="DW175" s="106">
        <v>0</v>
      </c>
      <c r="DX175" s="106">
        <v>0</v>
      </c>
      <c r="DY175" s="106">
        <v>0</v>
      </c>
      <c r="DZ175" s="106">
        <v>0</v>
      </c>
      <c r="EA175" s="106">
        <v>0</v>
      </c>
      <c r="EB175" s="106">
        <v>0</v>
      </c>
    </row>
    <row r="176" spans="1:132" hidden="1">
      <c r="A176" t="s">
        <v>272</v>
      </c>
      <c r="B176" t="s">
        <v>217</v>
      </c>
      <c r="C176" s="117">
        <v>45078</v>
      </c>
      <c r="D176" s="106">
        <v>0</v>
      </c>
      <c r="E176" s="106">
        <v>0</v>
      </c>
      <c r="F176" s="106">
        <v>0</v>
      </c>
      <c r="G176" s="106">
        <v>0</v>
      </c>
      <c r="H176" s="106">
        <v>0</v>
      </c>
      <c r="I176" s="106">
        <v>0</v>
      </c>
      <c r="J176" s="106">
        <v>0</v>
      </c>
      <c r="K176" s="106">
        <v>0</v>
      </c>
      <c r="L176" s="106">
        <v>0</v>
      </c>
      <c r="M176" s="106">
        <v>0</v>
      </c>
      <c r="N176" s="106">
        <v>0</v>
      </c>
      <c r="O176" s="106">
        <v>0</v>
      </c>
      <c r="P176" s="106">
        <v>0</v>
      </c>
      <c r="Q176" s="106">
        <v>0</v>
      </c>
      <c r="R176" s="106">
        <v>0</v>
      </c>
      <c r="S176" s="106">
        <v>0</v>
      </c>
      <c r="T176" s="106">
        <v>0</v>
      </c>
      <c r="U176" s="106">
        <v>0</v>
      </c>
      <c r="V176" s="106">
        <v>0</v>
      </c>
      <c r="W176" s="106">
        <v>0</v>
      </c>
      <c r="X176" s="106">
        <v>0</v>
      </c>
      <c r="Y176" s="106">
        <v>0</v>
      </c>
      <c r="Z176" s="106">
        <v>0</v>
      </c>
      <c r="AA176" s="106">
        <v>0</v>
      </c>
      <c r="AB176" s="106">
        <v>0</v>
      </c>
      <c r="AC176" s="106">
        <v>0</v>
      </c>
      <c r="AD176" s="106">
        <v>0</v>
      </c>
      <c r="AE176" s="106">
        <v>0</v>
      </c>
      <c r="AF176" s="106">
        <v>0</v>
      </c>
      <c r="AG176" s="106">
        <v>0</v>
      </c>
      <c r="AH176" s="106">
        <v>0</v>
      </c>
      <c r="AI176" s="106">
        <v>0</v>
      </c>
      <c r="AJ176" s="106">
        <v>0</v>
      </c>
      <c r="AK176" s="106">
        <v>0</v>
      </c>
      <c r="AL176" s="106">
        <v>0</v>
      </c>
      <c r="AM176" s="106">
        <v>0</v>
      </c>
      <c r="AN176" s="106">
        <v>0</v>
      </c>
      <c r="AO176" s="106">
        <v>0</v>
      </c>
      <c r="AP176" s="106">
        <v>0</v>
      </c>
      <c r="AQ176" s="106">
        <v>0</v>
      </c>
      <c r="AR176" s="106">
        <v>0</v>
      </c>
      <c r="AS176" s="106">
        <v>0</v>
      </c>
      <c r="AT176" s="106">
        <v>0</v>
      </c>
      <c r="AU176" s="106">
        <v>0</v>
      </c>
      <c r="AV176" s="106">
        <v>0</v>
      </c>
      <c r="AW176" s="106">
        <v>0</v>
      </c>
      <c r="AX176" s="106">
        <v>0</v>
      </c>
      <c r="AY176" s="106">
        <v>0</v>
      </c>
      <c r="AZ176" s="106">
        <v>0</v>
      </c>
      <c r="BA176" s="106">
        <v>0</v>
      </c>
      <c r="BB176" s="106">
        <v>0</v>
      </c>
      <c r="BC176" s="106">
        <v>0</v>
      </c>
      <c r="BD176" s="106">
        <v>0</v>
      </c>
      <c r="BE176" s="106">
        <v>0</v>
      </c>
      <c r="BF176" s="106">
        <v>0</v>
      </c>
      <c r="BG176" s="106">
        <v>0</v>
      </c>
      <c r="BH176" s="106">
        <v>0</v>
      </c>
      <c r="BI176" s="106">
        <v>0</v>
      </c>
      <c r="BJ176" s="106">
        <v>0</v>
      </c>
      <c r="BK176" s="106">
        <v>0</v>
      </c>
      <c r="BL176" s="106">
        <v>0</v>
      </c>
      <c r="BM176" s="106">
        <v>0</v>
      </c>
      <c r="BN176" s="106">
        <v>0</v>
      </c>
      <c r="BO176" s="106">
        <v>0</v>
      </c>
      <c r="BP176" s="106">
        <v>0</v>
      </c>
      <c r="BQ176" s="106">
        <v>0</v>
      </c>
      <c r="BR176" s="106">
        <v>0</v>
      </c>
      <c r="BS176" s="106">
        <v>0</v>
      </c>
      <c r="BT176" s="106">
        <v>0</v>
      </c>
      <c r="BU176" s="106">
        <v>0</v>
      </c>
      <c r="BV176" s="106">
        <v>0</v>
      </c>
      <c r="BW176" s="106">
        <v>0</v>
      </c>
      <c r="BX176" s="106">
        <v>0</v>
      </c>
      <c r="BY176" s="106">
        <v>0</v>
      </c>
      <c r="BZ176" s="106">
        <v>0</v>
      </c>
      <c r="CA176" s="106">
        <v>0</v>
      </c>
      <c r="CB176" s="106">
        <v>0</v>
      </c>
      <c r="CC176" s="106">
        <v>0</v>
      </c>
      <c r="CD176" s="106">
        <v>0</v>
      </c>
      <c r="CE176" s="106">
        <v>0</v>
      </c>
      <c r="CF176" s="106">
        <v>0</v>
      </c>
      <c r="CG176" s="106">
        <v>0</v>
      </c>
      <c r="CH176" s="106">
        <v>0</v>
      </c>
      <c r="CI176" s="106">
        <v>0</v>
      </c>
      <c r="CJ176" s="106">
        <v>0</v>
      </c>
      <c r="CK176" s="106">
        <v>0</v>
      </c>
      <c r="CL176" s="106">
        <v>0</v>
      </c>
      <c r="CM176" s="106">
        <v>0</v>
      </c>
      <c r="CN176" s="106">
        <v>0</v>
      </c>
      <c r="CO176" s="106">
        <v>0</v>
      </c>
      <c r="CP176" s="106">
        <v>0</v>
      </c>
      <c r="CQ176" s="106">
        <v>0</v>
      </c>
      <c r="CR176" s="106">
        <v>0</v>
      </c>
      <c r="CS176" s="106">
        <v>0</v>
      </c>
      <c r="CT176" s="106">
        <v>0</v>
      </c>
      <c r="CU176" s="106">
        <v>0</v>
      </c>
      <c r="CV176" s="106">
        <v>0</v>
      </c>
      <c r="CW176" s="106">
        <v>0</v>
      </c>
      <c r="CX176" s="106">
        <v>0</v>
      </c>
      <c r="CY176" s="106">
        <v>0</v>
      </c>
      <c r="CZ176" s="106">
        <v>0</v>
      </c>
      <c r="DA176" s="106">
        <v>0</v>
      </c>
      <c r="DB176" s="106">
        <v>0</v>
      </c>
      <c r="DC176" s="106">
        <v>0</v>
      </c>
      <c r="DD176" s="106">
        <v>0</v>
      </c>
      <c r="DE176" s="106">
        <v>0</v>
      </c>
      <c r="DF176" s="106">
        <v>0</v>
      </c>
      <c r="DG176" s="106">
        <v>0</v>
      </c>
      <c r="DH176" s="106">
        <v>0</v>
      </c>
      <c r="DI176" s="106">
        <v>0</v>
      </c>
      <c r="DJ176" s="106">
        <v>0</v>
      </c>
      <c r="DK176" s="106">
        <v>0</v>
      </c>
      <c r="DL176" s="106">
        <v>0</v>
      </c>
      <c r="DM176" s="106">
        <v>0</v>
      </c>
      <c r="DN176" s="106">
        <v>0</v>
      </c>
      <c r="DO176" s="106">
        <v>0</v>
      </c>
      <c r="DP176" s="106">
        <v>0</v>
      </c>
      <c r="DQ176" s="106">
        <v>0</v>
      </c>
      <c r="DR176" s="106">
        <v>0</v>
      </c>
      <c r="DS176" s="106">
        <v>0</v>
      </c>
      <c r="DT176" s="106">
        <v>0</v>
      </c>
      <c r="DU176" s="106">
        <v>0</v>
      </c>
      <c r="DV176" s="106">
        <v>0</v>
      </c>
      <c r="DW176" s="106">
        <v>0</v>
      </c>
      <c r="DX176" s="106">
        <v>0</v>
      </c>
      <c r="DY176" s="106">
        <v>0</v>
      </c>
      <c r="DZ176" s="106">
        <v>0</v>
      </c>
      <c r="EA176" s="106">
        <v>0</v>
      </c>
      <c r="EB176" s="106">
        <v>0</v>
      </c>
    </row>
    <row r="177" spans="1:132" hidden="1">
      <c r="A177" t="s">
        <v>272</v>
      </c>
      <c r="B177" t="s">
        <v>217</v>
      </c>
      <c r="C177" s="117">
        <v>45047</v>
      </c>
      <c r="D177" s="106">
        <v>0</v>
      </c>
      <c r="E177" s="106">
        <v>0</v>
      </c>
      <c r="F177" s="106">
        <v>0</v>
      </c>
      <c r="G177" s="106">
        <v>0</v>
      </c>
      <c r="H177" s="106">
        <v>0</v>
      </c>
      <c r="I177" s="106">
        <v>0</v>
      </c>
      <c r="J177" s="106">
        <v>0</v>
      </c>
      <c r="K177" s="106">
        <v>0</v>
      </c>
      <c r="L177" s="106">
        <v>0</v>
      </c>
      <c r="M177" s="106">
        <v>0</v>
      </c>
      <c r="N177" s="106">
        <v>0</v>
      </c>
      <c r="O177" s="106">
        <v>0</v>
      </c>
      <c r="P177" s="106">
        <v>0</v>
      </c>
      <c r="Q177" s="106">
        <v>0</v>
      </c>
      <c r="R177" s="106">
        <v>0</v>
      </c>
      <c r="S177" s="106">
        <v>0</v>
      </c>
      <c r="T177" s="106">
        <v>0</v>
      </c>
      <c r="U177" s="106">
        <v>0</v>
      </c>
      <c r="V177" s="106">
        <v>0</v>
      </c>
      <c r="W177" s="106">
        <v>0</v>
      </c>
      <c r="X177" s="106">
        <v>0</v>
      </c>
      <c r="Y177" s="106">
        <v>0</v>
      </c>
      <c r="Z177" s="106">
        <v>0</v>
      </c>
      <c r="AA177" s="106">
        <v>0</v>
      </c>
      <c r="AB177" s="106">
        <v>0</v>
      </c>
      <c r="AC177" s="106">
        <v>0</v>
      </c>
      <c r="AD177" s="106">
        <v>0</v>
      </c>
      <c r="AE177" s="106">
        <v>0</v>
      </c>
      <c r="AF177" s="106">
        <v>0</v>
      </c>
      <c r="AG177" s="106">
        <v>0</v>
      </c>
      <c r="AH177" s="106">
        <v>0</v>
      </c>
      <c r="AI177" s="106">
        <v>0</v>
      </c>
      <c r="AJ177" s="106">
        <v>0</v>
      </c>
      <c r="AK177" s="106">
        <v>0</v>
      </c>
      <c r="AL177" s="106">
        <v>0</v>
      </c>
      <c r="AM177" s="106">
        <v>0</v>
      </c>
      <c r="AN177" s="106">
        <v>0</v>
      </c>
      <c r="AO177" s="106">
        <v>0</v>
      </c>
      <c r="AP177" s="106">
        <v>0</v>
      </c>
      <c r="AQ177" s="106">
        <v>0</v>
      </c>
      <c r="AR177" s="106">
        <v>0</v>
      </c>
      <c r="AS177" s="106">
        <v>0</v>
      </c>
      <c r="AT177" s="106">
        <v>0</v>
      </c>
      <c r="AU177" s="106">
        <v>0</v>
      </c>
      <c r="AV177" s="106">
        <v>0</v>
      </c>
      <c r="AW177" s="106">
        <v>0</v>
      </c>
      <c r="AX177" s="106">
        <v>0</v>
      </c>
      <c r="AY177" s="106">
        <v>0</v>
      </c>
      <c r="AZ177" s="106">
        <v>0</v>
      </c>
      <c r="BA177" s="106">
        <v>0</v>
      </c>
      <c r="BB177" s="106">
        <v>0</v>
      </c>
      <c r="BC177" s="106">
        <v>0</v>
      </c>
      <c r="BD177" s="106">
        <v>0</v>
      </c>
      <c r="BE177" s="106">
        <v>0</v>
      </c>
      <c r="BF177" s="106">
        <v>0</v>
      </c>
      <c r="BG177" s="106">
        <v>0</v>
      </c>
      <c r="BH177" s="106">
        <v>0</v>
      </c>
      <c r="BI177" s="106">
        <v>0</v>
      </c>
      <c r="BJ177" s="106">
        <v>0</v>
      </c>
      <c r="BK177" s="106">
        <v>0</v>
      </c>
      <c r="BL177" s="106">
        <v>0</v>
      </c>
      <c r="BM177" s="106">
        <v>0</v>
      </c>
      <c r="BN177" s="106">
        <v>0</v>
      </c>
      <c r="BO177" s="106">
        <v>0</v>
      </c>
      <c r="BP177" s="106">
        <v>0</v>
      </c>
      <c r="BQ177" s="106">
        <v>0</v>
      </c>
      <c r="BR177" s="106">
        <v>0</v>
      </c>
      <c r="BS177" s="106">
        <v>0</v>
      </c>
      <c r="BT177" s="106">
        <v>0</v>
      </c>
      <c r="BU177" s="106">
        <v>0</v>
      </c>
      <c r="BV177" s="106">
        <v>0</v>
      </c>
      <c r="BW177" s="106">
        <v>0</v>
      </c>
      <c r="BX177" s="106">
        <v>0</v>
      </c>
      <c r="BY177" s="106">
        <v>0</v>
      </c>
      <c r="BZ177" s="106">
        <v>0</v>
      </c>
      <c r="CA177" s="106">
        <v>0</v>
      </c>
      <c r="CB177" s="106">
        <v>0</v>
      </c>
      <c r="CC177" s="106">
        <v>0</v>
      </c>
      <c r="CD177" s="106">
        <v>0</v>
      </c>
      <c r="CE177" s="106">
        <v>0</v>
      </c>
      <c r="CF177" s="106">
        <v>0</v>
      </c>
      <c r="CG177" s="106">
        <v>0</v>
      </c>
      <c r="CH177" s="106">
        <v>0</v>
      </c>
      <c r="CI177" s="106">
        <v>0</v>
      </c>
      <c r="CJ177" s="106">
        <v>0</v>
      </c>
      <c r="CK177" s="106">
        <v>0</v>
      </c>
      <c r="CL177" s="106">
        <v>0</v>
      </c>
      <c r="CM177" s="106">
        <v>0</v>
      </c>
      <c r="CN177" s="106">
        <v>0</v>
      </c>
      <c r="CO177" s="106">
        <v>0</v>
      </c>
      <c r="CP177" s="106">
        <v>0</v>
      </c>
      <c r="CQ177" s="106">
        <v>0</v>
      </c>
      <c r="CR177" s="106">
        <v>0</v>
      </c>
      <c r="CS177" s="106">
        <v>0</v>
      </c>
      <c r="CT177" s="106">
        <v>0</v>
      </c>
      <c r="CU177" s="106">
        <v>0</v>
      </c>
      <c r="CV177" s="106">
        <v>0</v>
      </c>
      <c r="CW177" s="106">
        <v>0</v>
      </c>
      <c r="CX177" s="106">
        <v>0</v>
      </c>
      <c r="CY177" s="106">
        <v>0</v>
      </c>
      <c r="CZ177" s="106">
        <v>0</v>
      </c>
      <c r="DA177" s="106">
        <v>0</v>
      </c>
      <c r="DB177" s="106">
        <v>0</v>
      </c>
      <c r="DC177" s="106">
        <v>0</v>
      </c>
      <c r="DD177" s="106">
        <v>0</v>
      </c>
      <c r="DE177" s="106">
        <v>0</v>
      </c>
      <c r="DF177" s="106">
        <v>0</v>
      </c>
      <c r="DG177" s="106">
        <v>0</v>
      </c>
      <c r="DH177" s="106">
        <v>0</v>
      </c>
      <c r="DI177" s="106">
        <v>0</v>
      </c>
      <c r="DJ177" s="106">
        <v>0</v>
      </c>
      <c r="DK177" s="106">
        <v>0</v>
      </c>
      <c r="DL177" s="106">
        <v>0</v>
      </c>
      <c r="DM177" s="106">
        <v>0</v>
      </c>
      <c r="DN177" s="106">
        <v>0</v>
      </c>
      <c r="DO177" s="106">
        <v>0</v>
      </c>
      <c r="DP177" s="106">
        <v>0</v>
      </c>
      <c r="DQ177" s="106">
        <v>0</v>
      </c>
      <c r="DR177" s="106">
        <v>0</v>
      </c>
      <c r="DS177" s="106">
        <v>0</v>
      </c>
      <c r="DT177" s="106">
        <v>0</v>
      </c>
      <c r="DU177" s="106">
        <v>0</v>
      </c>
      <c r="DV177" s="106">
        <v>0</v>
      </c>
      <c r="DW177" s="106">
        <v>0</v>
      </c>
      <c r="DX177" s="106">
        <v>0</v>
      </c>
      <c r="DY177" s="106">
        <v>0</v>
      </c>
      <c r="DZ177" s="106">
        <v>0</v>
      </c>
      <c r="EA177" s="106">
        <v>0</v>
      </c>
      <c r="EB177" s="106">
        <v>0</v>
      </c>
    </row>
    <row r="178" spans="1:132" hidden="1">
      <c r="A178" t="s">
        <v>272</v>
      </c>
      <c r="B178" t="s">
        <v>217</v>
      </c>
      <c r="C178" s="117">
        <v>45017</v>
      </c>
      <c r="D178" s="106">
        <v>0</v>
      </c>
      <c r="E178" s="106">
        <v>0</v>
      </c>
      <c r="F178" s="106">
        <v>0</v>
      </c>
      <c r="G178" s="106">
        <v>0</v>
      </c>
      <c r="H178" s="106">
        <v>0</v>
      </c>
      <c r="I178" s="106">
        <v>0</v>
      </c>
      <c r="J178" s="106">
        <v>0</v>
      </c>
      <c r="K178" s="106">
        <v>0</v>
      </c>
      <c r="L178" s="106">
        <v>0</v>
      </c>
      <c r="M178" s="106">
        <v>0</v>
      </c>
      <c r="N178" s="106">
        <v>0</v>
      </c>
      <c r="O178" s="106">
        <v>0</v>
      </c>
      <c r="P178" s="106">
        <v>0</v>
      </c>
      <c r="Q178" s="106">
        <v>0</v>
      </c>
      <c r="R178" s="106">
        <v>0</v>
      </c>
      <c r="S178" s="106">
        <v>0</v>
      </c>
      <c r="T178" s="106">
        <v>0</v>
      </c>
      <c r="U178" s="106">
        <v>0</v>
      </c>
      <c r="V178" s="106">
        <v>0</v>
      </c>
      <c r="W178" s="106">
        <v>0</v>
      </c>
      <c r="X178" s="106">
        <v>0</v>
      </c>
      <c r="Y178" s="106">
        <v>0</v>
      </c>
      <c r="Z178" s="106">
        <v>0</v>
      </c>
      <c r="AA178" s="106">
        <v>0</v>
      </c>
      <c r="AB178" s="106">
        <v>0</v>
      </c>
      <c r="AC178" s="106">
        <v>0</v>
      </c>
      <c r="AD178" s="106">
        <v>0</v>
      </c>
      <c r="AE178" s="106">
        <v>0</v>
      </c>
      <c r="AF178" s="106">
        <v>0</v>
      </c>
      <c r="AG178" s="106">
        <v>0</v>
      </c>
      <c r="AH178" s="106">
        <v>0</v>
      </c>
      <c r="AI178" s="106">
        <v>0</v>
      </c>
      <c r="AJ178" s="106">
        <v>0</v>
      </c>
      <c r="AK178" s="106">
        <v>0</v>
      </c>
      <c r="AL178" s="106">
        <v>0</v>
      </c>
      <c r="AM178" s="106">
        <v>0</v>
      </c>
      <c r="AN178" s="106">
        <v>0</v>
      </c>
      <c r="AO178" s="106">
        <v>0</v>
      </c>
      <c r="AP178" s="106">
        <v>0</v>
      </c>
      <c r="AQ178" s="106">
        <v>0</v>
      </c>
      <c r="AR178" s="106">
        <v>0</v>
      </c>
      <c r="AS178" s="106">
        <v>0</v>
      </c>
      <c r="AT178" s="106">
        <v>0</v>
      </c>
      <c r="AU178" s="106">
        <v>0</v>
      </c>
      <c r="AV178" s="106">
        <v>0</v>
      </c>
      <c r="AW178" s="106">
        <v>0</v>
      </c>
      <c r="AX178" s="106">
        <v>0</v>
      </c>
      <c r="AY178" s="106">
        <v>0</v>
      </c>
      <c r="AZ178" s="106">
        <v>0</v>
      </c>
      <c r="BA178" s="106">
        <v>0</v>
      </c>
      <c r="BB178" s="106">
        <v>0</v>
      </c>
      <c r="BC178" s="106">
        <v>0</v>
      </c>
      <c r="BD178" s="106">
        <v>0</v>
      </c>
      <c r="BE178" s="106">
        <v>0</v>
      </c>
      <c r="BF178" s="106">
        <v>0</v>
      </c>
      <c r="BG178" s="106">
        <v>0</v>
      </c>
      <c r="BH178" s="106">
        <v>0</v>
      </c>
      <c r="BI178" s="106">
        <v>0</v>
      </c>
      <c r="BJ178" s="106">
        <v>0</v>
      </c>
      <c r="BK178" s="106">
        <v>0</v>
      </c>
      <c r="BL178" s="106">
        <v>0</v>
      </c>
      <c r="BM178" s="106">
        <v>0</v>
      </c>
      <c r="BN178" s="106">
        <v>0</v>
      </c>
      <c r="BO178" s="106">
        <v>0</v>
      </c>
      <c r="BP178" s="106">
        <v>0</v>
      </c>
      <c r="BQ178" s="106">
        <v>0</v>
      </c>
      <c r="BR178" s="106">
        <v>0</v>
      </c>
      <c r="BS178" s="106">
        <v>0</v>
      </c>
      <c r="BT178" s="106">
        <v>0</v>
      </c>
      <c r="BU178" s="106">
        <v>0</v>
      </c>
      <c r="BV178" s="106">
        <v>0</v>
      </c>
      <c r="BW178" s="106">
        <v>0</v>
      </c>
      <c r="BX178" s="106">
        <v>0</v>
      </c>
      <c r="BY178" s="106">
        <v>0</v>
      </c>
      <c r="BZ178" s="106">
        <v>0</v>
      </c>
      <c r="CA178" s="106">
        <v>0</v>
      </c>
      <c r="CB178" s="106">
        <v>0</v>
      </c>
      <c r="CC178" s="106">
        <v>0</v>
      </c>
      <c r="CD178" s="106">
        <v>0</v>
      </c>
      <c r="CE178" s="106">
        <v>0</v>
      </c>
      <c r="CF178" s="106">
        <v>0</v>
      </c>
      <c r="CG178" s="106">
        <v>0</v>
      </c>
      <c r="CH178" s="106">
        <v>0</v>
      </c>
      <c r="CI178" s="106">
        <v>0</v>
      </c>
      <c r="CJ178" s="106">
        <v>0</v>
      </c>
      <c r="CK178" s="106">
        <v>0</v>
      </c>
      <c r="CL178" s="106">
        <v>0</v>
      </c>
      <c r="CM178" s="106">
        <v>0</v>
      </c>
      <c r="CN178" s="106">
        <v>0</v>
      </c>
      <c r="CO178" s="106">
        <v>0</v>
      </c>
      <c r="CP178" s="106">
        <v>0</v>
      </c>
      <c r="CQ178" s="106">
        <v>0</v>
      </c>
      <c r="CR178" s="106">
        <v>0</v>
      </c>
      <c r="CS178" s="106">
        <v>0</v>
      </c>
      <c r="CT178" s="106">
        <v>0</v>
      </c>
      <c r="CU178" s="106">
        <v>0</v>
      </c>
      <c r="CV178" s="106">
        <v>0</v>
      </c>
      <c r="CW178" s="106">
        <v>0</v>
      </c>
      <c r="CX178" s="106">
        <v>0</v>
      </c>
      <c r="CY178" s="106">
        <v>0</v>
      </c>
      <c r="CZ178" s="106">
        <v>0</v>
      </c>
      <c r="DA178" s="106">
        <v>0</v>
      </c>
      <c r="DB178" s="106">
        <v>0</v>
      </c>
      <c r="DC178" s="106">
        <v>0</v>
      </c>
      <c r="DD178" s="106">
        <v>0</v>
      </c>
      <c r="DE178" s="106">
        <v>0</v>
      </c>
      <c r="DF178" s="106">
        <v>0</v>
      </c>
      <c r="DG178" s="106">
        <v>0</v>
      </c>
      <c r="DH178" s="106">
        <v>0</v>
      </c>
      <c r="DI178" s="106">
        <v>0</v>
      </c>
      <c r="DJ178" s="106">
        <v>0</v>
      </c>
      <c r="DK178" s="106">
        <v>0</v>
      </c>
      <c r="DL178" s="106">
        <v>0</v>
      </c>
      <c r="DM178" s="106">
        <v>0</v>
      </c>
      <c r="DN178" s="106">
        <v>0</v>
      </c>
      <c r="DO178" s="106">
        <v>0</v>
      </c>
      <c r="DP178" s="106">
        <v>0</v>
      </c>
      <c r="DQ178" s="106">
        <v>0</v>
      </c>
      <c r="DR178" s="106">
        <v>0</v>
      </c>
      <c r="DS178" s="106">
        <v>0</v>
      </c>
      <c r="DT178" s="106">
        <v>0</v>
      </c>
      <c r="DU178" s="106">
        <v>0</v>
      </c>
      <c r="DV178" s="106">
        <v>0</v>
      </c>
      <c r="DW178" s="106">
        <v>0</v>
      </c>
      <c r="DX178" s="106">
        <v>0</v>
      </c>
      <c r="DY178" s="106">
        <v>0</v>
      </c>
      <c r="DZ178" s="106">
        <v>0</v>
      </c>
      <c r="EA178" s="106">
        <v>0</v>
      </c>
      <c r="EB178" s="106">
        <v>0</v>
      </c>
    </row>
    <row r="179" spans="1:132" hidden="1">
      <c r="A179" t="s">
        <v>272</v>
      </c>
      <c r="B179" t="s">
        <v>217</v>
      </c>
      <c r="C179" s="117">
        <v>44986</v>
      </c>
      <c r="D179" s="106">
        <v>0</v>
      </c>
      <c r="E179" s="106">
        <v>0</v>
      </c>
      <c r="F179" s="106">
        <v>0</v>
      </c>
      <c r="G179" s="106">
        <v>0</v>
      </c>
      <c r="H179" s="106">
        <v>0</v>
      </c>
      <c r="I179" s="106">
        <v>0</v>
      </c>
      <c r="J179" s="106">
        <v>0</v>
      </c>
      <c r="K179" s="106">
        <v>0</v>
      </c>
      <c r="L179" s="106">
        <v>0</v>
      </c>
      <c r="M179" s="106">
        <v>0</v>
      </c>
      <c r="N179" s="106">
        <v>0</v>
      </c>
      <c r="O179" s="106">
        <v>0</v>
      </c>
      <c r="P179" s="106">
        <v>0</v>
      </c>
      <c r="Q179" s="106">
        <v>0</v>
      </c>
      <c r="R179" s="106">
        <v>0</v>
      </c>
      <c r="S179" s="106">
        <v>0</v>
      </c>
      <c r="T179" s="106">
        <v>0</v>
      </c>
      <c r="U179" s="106">
        <v>0</v>
      </c>
      <c r="V179" s="106">
        <v>0</v>
      </c>
      <c r="W179" s="106">
        <v>0</v>
      </c>
      <c r="X179" s="106">
        <v>0</v>
      </c>
      <c r="Y179" s="106">
        <v>0</v>
      </c>
      <c r="Z179" s="106">
        <v>0</v>
      </c>
      <c r="AA179" s="106">
        <v>0</v>
      </c>
      <c r="AB179" s="106">
        <v>0</v>
      </c>
      <c r="AC179" s="106">
        <v>0</v>
      </c>
      <c r="AD179" s="106">
        <v>0</v>
      </c>
      <c r="AE179" s="106">
        <v>0</v>
      </c>
      <c r="AF179" s="106">
        <v>0</v>
      </c>
      <c r="AG179" s="106">
        <v>0</v>
      </c>
      <c r="AH179" s="106">
        <v>0</v>
      </c>
      <c r="AI179" s="106">
        <v>0</v>
      </c>
      <c r="AJ179" s="106">
        <v>0</v>
      </c>
      <c r="AK179" s="106">
        <v>0</v>
      </c>
      <c r="AL179" s="106">
        <v>0</v>
      </c>
      <c r="AM179" s="106">
        <v>0</v>
      </c>
      <c r="AN179" s="106">
        <v>0</v>
      </c>
      <c r="AO179" s="106">
        <v>0</v>
      </c>
      <c r="AP179" s="106">
        <v>0</v>
      </c>
      <c r="AQ179" s="106">
        <v>0</v>
      </c>
      <c r="AR179" s="106">
        <v>0</v>
      </c>
      <c r="AS179" s="106">
        <v>0</v>
      </c>
      <c r="AT179" s="106">
        <v>0</v>
      </c>
      <c r="AU179" s="106">
        <v>0</v>
      </c>
      <c r="AV179" s="106">
        <v>0</v>
      </c>
      <c r="AW179" s="106">
        <v>0</v>
      </c>
      <c r="AX179" s="106">
        <v>0</v>
      </c>
      <c r="AY179" s="106">
        <v>0</v>
      </c>
      <c r="AZ179" s="106">
        <v>0</v>
      </c>
      <c r="BA179" s="106">
        <v>0</v>
      </c>
      <c r="BB179" s="106">
        <v>0</v>
      </c>
      <c r="BC179" s="106">
        <v>0</v>
      </c>
      <c r="BD179" s="106">
        <v>0</v>
      </c>
      <c r="BE179" s="106">
        <v>0</v>
      </c>
      <c r="BF179" s="106">
        <v>0</v>
      </c>
      <c r="BG179" s="106">
        <v>0</v>
      </c>
      <c r="BH179" s="106">
        <v>0</v>
      </c>
      <c r="BI179" s="106">
        <v>0</v>
      </c>
      <c r="BJ179" s="106">
        <v>0</v>
      </c>
      <c r="BK179" s="106">
        <v>0</v>
      </c>
      <c r="BL179" s="106">
        <v>0</v>
      </c>
      <c r="BM179" s="106">
        <v>0</v>
      </c>
      <c r="BN179" s="106">
        <v>0</v>
      </c>
      <c r="BO179" s="106">
        <v>0</v>
      </c>
      <c r="BP179" s="106">
        <v>0</v>
      </c>
      <c r="BQ179" s="106">
        <v>0</v>
      </c>
      <c r="BR179" s="106">
        <v>0</v>
      </c>
      <c r="BS179" s="106">
        <v>0</v>
      </c>
      <c r="BT179" s="106">
        <v>0</v>
      </c>
      <c r="BU179" s="106">
        <v>0</v>
      </c>
      <c r="BV179" s="106">
        <v>0</v>
      </c>
      <c r="BW179" s="106">
        <v>0</v>
      </c>
      <c r="BX179" s="106">
        <v>0</v>
      </c>
      <c r="BY179" s="106">
        <v>0</v>
      </c>
      <c r="BZ179" s="106">
        <v>0</v>
      </c>
      <c r="CA179" s="106">
        <v>0</v>
      </c>
      <c r="CB179" s="106">
        <v>0</v>
      </c>
      <c r="CC179" s="106">
        <v>0</v>
      </c>
      <c r="CD179" s="106">
        <v>0</v>
      </c>
      <c r="CE179" s="106">
        <v>0</v>
      </c>
      <c r="CF179" s="106">
        <v>0</v>
      </c>
      <c r="CG179" s="106">
        <v>0</v>
      </c>
      <c r="CH179" s="106">
        <v>0</v>
      </c>
      <c r="CI179" s="106">
        <v>0</v>
      </c>
      <c r="CJ179" s="106">
        <v>0</v>
      </c>
      <c r="CK179" s="106">
        <v>0</v>
      </c>
      <c r="CL179" s="106">
        <v>0</v>
      </c>
      <c r="CM179" s="106">
        <v>0</v>
      </c>
      <c r="CN179" s="106">
        <v>0</v>
      </c>
      <c r="CO179" s="106">
        <v>0</v>
      </c>
      <c r="CP179" s="106">
        <v>0</v>
      </c>
      <c r="CQ179" s="106">
        <v>0</v>
      </c>
      <c r="CR179" s="106">
        <v>0</v>
      </c>
      <c r="CS179" s="106">
        <v>0</v>
      </c>
      <c r="CT179" s="106">
        <v>0</v>
      </c>
      <c r="CU179" s="106">
        <v>0</v>
      </c>
      <c r="CV179" s="106">
        <v>0</v>
      </c>
      <c r="CW179" s="106">
        <v>0</v>
      </c>
      <c r="CX179" s="106">
        <v>0</v>
      </c>
      <c r="CY179" s="106">
        <v>0</v>
      </c>
      <c r="CZ179" s="106">
        <v>0</v>
      </c>
      <c r="DA179" s="106">
        <v>0</v>
      </c>
      <c r="DB179" s="106">
        <v>0</v>
      </c>
      <c r="DC179" s="106">
        <v>0</v>
      </c>
      <c r="DD179" s="106">
        <v>0</v>
      </c>
      <c r="DE179" s="106">
        <v>0</v>
      </c>
      <c r="DF179" s="106">
        <v>0</v>
      </c>
      <c r="DG179" s="106">
        <v>0</v>
      </c>
      <c r="DH179" s="106">
        <v>0</v>
      </c>
      <c r="DI179" s="106">
        <v>0</v>
      </c>
      <c r="DJ179" s="106">
        <v>0</v>
      </c>
      <c r="DK179" s="106">
        <v>0</v>
      </c>
      <c r="DL179" s="106">
        <v>0</v>
      </c>
      <c r="DM179" s="106">
        <v>0</v>
      </c>
      <c r="DN179" s="106">
        <v>0</v>
      </c>
      <c r="DO179" s="106">
        <v>0</v>
      </c>
      <c r="DP179" s="106">
        <v>0</v>
      </c>
      <c r="DQ179" s="106">
        <v>0</v>
      </c>
      <c r="DR179" s="106">
        <v>0</v>
      </c>
      <c r="DS179" s="106">
        <v>0</v>
      </c>
      <c r="DT179" s="106">
        <v>0</v>
      </c>
      <c r="DU179" s="106">
        <v>0</v>
      </c>
      <c r="DV179" s="106">
        <v>0</v>
      </c>
      <c r="DW179" s="106">
        <v>0</v>
      </c>
      <c r="DX179" s="106">
        <v>0</v>
      </c>
      <c r="DY179" s="106">
        <v>0</v>
      </c>
      <c r="DZ179" s="106">
        <v>0</v>
      </c>
      <c r="EA179" s="106">
        <v>0</v>
      </c>
      <c r="EB179" s="106">
        <v>0</v>
      </c>
    </row>
    <row r="180" spans="1:132" hidden="1">
      <c r="A180" t="s">
        <v>272</v>
      </c>
      <c r="B180" t="s">
        <v>217</v>
      </c>
      <c r="C180" s="117">
        <v>44958</v>
      </c>
      <c r="D180" s="106">
        <v>0</v>
      </c>
      <c r="E180" s="106">
        <v>0</v>
      </c>
      <c r="F180" s="106">
        <v>0</v>
      </c>
      <c r="G180" s="106">
        <v>0</v>
      </c>
      <c r="H180" s="106">
        <v>0</v>
      </c>
      <c r="I180" s="106">
        <v>0</v>
      </c>
      <c r="J180" s="106">
        <v>0</v>
      </c>
      <c r="K180" s="106">
        <v>0</v>
      </c>
      <c r="L180" s="106">
        <v>0</v>
      </c>
      <c r="M180" s="106">
        <v>0</v>
      </c>
      <c r="N180" s="106">
        <v>0</v>
      </c>
      <c r="O180" s="106">
        <v>0</v>
      </c>
      <c r="P180" s="106">
        <v>0</v>
      </c>
      <c r="Q180" s="106">
        <v>0</v>
      </c>
      <c r="R180" s="106">
        <v>0</v>
      </c>
      <c r="S180" s="106">
        <v>0</v>
      </c>
      <c r="T180" s="106">
        <v>0</v>
      </c>
      <c r="U180" s="106">
        <v>0</v>
      </c>
      <c r="V180" s="106">
        <v>0</v>
      </c>
      <c r="W180" s="106">
        <v>0</v>
      </c>
      <c r="X180" s="106">
        <v>0</v>
      </c>
      <c r="Y180" s="106">
        <v>0</v>
      </c>
      <c r="Z180" s="106">
        <v>0</v>
      </c>
      <c r="AA180" s="106">
        <v>0</v>
      </c>
      <c r="AB180" s="106">
        <v>0</v>
      </c>
      <c r="AC180" s="106">
        <v>0</v>
      </c>
      <c r="AD180" s="106">
        <v>0</v>
      </c>
      <c r="AE180" s="106">
        <v>0</v>
      </c>
      <c r="AF180" s="106">
        <v>0</v>
      </c>
      <c r="AG180" s="106">
        <v>0</v>
      </c>
      <c r="AH180" s="106">
        <v>0</v>
      </c>
      <c r="AI180" s="106">
        <v>0</v>
      </c>
      <c r="AJ180" s="106">
        <v>0</v>
      </c>
      <c r="AK180" s="106">
        <v>0</v>
      </c>
      <c r="AL180" s="106">
        <v>0</v>
      </c>
      <c r="AM180" s="106">
        <v>0</v>
      </c>
      <c r="AN180" s="106">
        <v>0</v>
      </c>
      <c r="AO180" s="106">
        <v>0</v>
      </c>
      <c r="AP180" s="106">
        <v>0</v>
      </c>
      <c r="AQ180" s="106">
        <v>0</v>
      </c>
      <c r="AR180" s="106">
        <v>0</v>
      </c>
      <c r="AS180" s="106">
        <v>0</v>
      </c>
      <c r="AT180" s="106">
        <v>0</v>
      </c>
      <c r="AU180" s="106">
        <v>0</v>
      </c>
      <c r="AV180" s="106">
        <v>0</v>
      </c>
      <c r="AW180" s="106">
        <v>0</v>
      </c>
      <c r="AX180" s="106">
        <v>0</v>
      </c>
      <c r="AY180" s="106">
        <v>0</v>
      </c>
      <c r="AZ180" s="106">
        <v>0</v>
      </c>
      <c r="BA180" s="106">
        <v>0</v>
      </c>
      <c r="BB180" s="106">
        <v>0</v>
      </c>
      <c r="BC180" s="106">
        <v>0</v>
      </c>
      <c r="BD180" s="106">
        <v>0</v>
      </c>
      <c r="BE180" s="106">
        <v>0</v>
      </c>
      <c r="BF180" s="106">
        <v>0</v>
      </c>
      <c r="BG180" s="106">
        <v>0</v>
      </c>
      <c r="BH180" s="106">
        <v>0</v>
      </c>
      <c r="BI180" s="106">
        <v>0</v>
      </c>
      <c r="BJ180" s="106">
        <v>0</v>
      </c>
      <c r="BK180" s="106">
        <v>0</v>
      </c>
      <c r="BL180" s="106">
        <v>0</v>
      </c>
      <c r="BM180" s="106">
        <v>0</v>
      </c>
      <c r="BN180" s="106">
        <v>0</v>
      </c>
      <c r="BO180" s="106">
        <v>0</v>
      </c>
      <c r="BP180" s="106">
        <v>0</v>
      </c>
      <c r="BQ180" s="106">
        <v>0</v>
      </c>
      <c r="BR180" s="106">
        <v>0</v>
      </c>
      <c r="BS180" s="106">
        <v>0</v>
      </c>
      <c r="BT180" s="106">
        <v>0</v>
      </c>
      <c r="BU180" s="106">
        <v>0</v>
      </c>
      <c r="BV180" s="106">
        <v>0</v>
      </c>
      <c r="BW180" s="106">
        <v>0</v>
      </c>
      <c r="BX180" s="106">
        <v>0</v>
      </c>
      <c r="BY180" s="106">
        <v>0</v>
      </c>
      <c r="BZ180" s="106">
        <v>0</v>
      </c>
      <c r="CA180" s="106">
        <v>0</v>
      </c>
      <c r="CB180" s="106">
        <v>0</v>
      </c>
      <c r="CC180" s="106">
        <v>0</v>
      </c>
      <c r="CD180" s="106">
        <v>0</v>
      </c>
      <c r="CE180" s="106">
        <v>0</v>
      </c>
      <c r="CF180" s="106">
        <v>0</v>
      </c>
      <c r="CG180" s="106">
        <v>0</v>
      </c>
      <c r="CH180" s="106">
        <v>0</v>
      </c>
      <c r="CI180" s="106">
        <v>0</v>
      </c>
      <c r="CJ180" s="106">
        <v>0</v>
      </c>
      <c r="CK180" s="106">
        <v>0</v>
      </c>
      <c r="CL180" s="106">
        <v>0</v>
      </c>
      <c r="CM180" s="106">
        <v>0</v>
      </c>
      <c r="CN180" s="106">
        <v>0</v>
      </c>
      <c r="CO180" s="106">
        <v>0</v>
      </c>
      <c r="CP180" s="106">
        <v>0</v>
      </c>
      <c r="CQ180" s="106">
        <v>0</v>
      </c>
      <c r="CR180" s="106">
        <v>0</v>
      </c>
      <c r="CS180" s="106">
        <v>0</v>
      </c>
      <c r="CT180" s="106">
        <v>0</v>
      </c>
      <c r="CU180" s="106">
        <v>0</v>
      </c>
      <c r="CV180" s="106">
        <v>0</v>
      </c>
      <c r="CW180" s="106">
        <v>0</v>
      </c>
      <c r="CX180" s="106">
        <v>0</v>
      </c>
      <c r="CY180" s="106">
        <v>0</v>
      </c>
      <c r="CZ180" s="106">
        <v>0</v>
      </c>
      <c r="DA180" s="106">
        <v>0</v>
      </c>
      <c r="DB180" s="106">
        <v>0</v>
      </c>
      <c r="DC180" s="106">
        <v>0</v>
      </c>
      <c r="DD180" s="106">
        <v>0</v>
      </c>
      <c r="DE180" s="106">
        <v>0</v>
      </c>
      <c r="DF180" s="106">
        <v>0</v>
      </c>
      <c r="DG180" s="106">
        <v>0</v>
      </c>
      <c r="DH180" s="106">
        <v>0</v>
      </c>
      <c r="DI180" s="106">
        <v>0</v>
      </c>
      <c r="DJ180" s="106">
        <v>0</v>
      </c>
      <c r="DK180" s="106">
        <v>0</v>
      </c>
      <c r="DL180" s="106">
        <v>0</v>
      </c>
      <c r="DM180" s="106">
        <v>0</v>
      </c>
      <c r="DN180" s="106">
        <v>0</v>
      </c>
      <c r="DO180" s="106">
        <v>0</v>
      </c>
      <c r="DP180" s="106">
        <v>0</v>
      </c>
      <c r="DQ180" s="106">
        <v>0</v>
      </c>
      <c r="DR180" s="106">
        <v>0</v>
      </c>
      <c r="DS180" s="106">
        <v>0</v>
      </c>
      <c r="DT180" s="106">
        <v>0</v>
      </c>
      <c r="DU180" s="106">
        <v>0</v>
      </c>
      <c r="DV180" s="106">
        <v>0</v>
      </c>
      <c r="DW180" s="106">
        <v>0</v>
      </c>
      <c r="DX180" s="106">
        <v>0</v>
      </c>
      <c r="DY180" s="106">
        <v>0</v>
      </c>
      <c r="DZ180" s="106">
        <v>0</v>
      </c>
      <c r="EA180" s="106">
        <v>0</v>
      </c>
      <c r="EB180" s="106">
        <v>0</v>
      </c>
    </row>
    <row r="181" spans="1:132" hidden="1">
      <c r="A181" t="s">
        <v>272</v>
      </c>
      <c r="B181" t="s">
        <v>217</v>
      </c>
      <c r="C181" s="117">
        <v>44927</v>
      </c>
      <c r="D181" s="106">
        <v>0</v>
      </c>
      <c r="E181" s="106">
        <v>0</v>
      </c>
      <c r="F181" s="106">
        <v>0</v>
      </c>
      <c r="G181" s="106">
        <v>0</v>
      </c>
      <c r="H181" s="106">
        <v>0</v>
      </c>
      <c r="I181" s="106">
        <v>0</v>
      </c>
      <c r="J181" s="106">
        <v>0</v>
      </c>
      <c r="K181" s="106">
        <v>0</v>
      </c>
      <c r="L181" s="106">
        <v>0</v>
      </c>
      <c r="M181" s="106">
        <v>0</v>
      </c>
      <c r="N181" s="106">
        <v>0</v>
      </c>
      <c r="O181" s="106">
        <v>0</v>
      </c>
      <c r="P181" s="106">
        <v>0</v>
      </c>
      <c r="Q181" s="106">
        <v>0</v>
      </c>
      <c r="R181" s="106">
        <v>0</v>
      </c>
      <c r="S181" s="106">
        <v>0</v>
      </c>
      <c r="T181" s="106">
        <v>0</v>
      </c>
      <c r="U181" s="106">
        <v>0</v>
      </c>
      <c r="V181" s="106">
        <v>0</v>
      </c>
      <c r="W181" s="106">
        <v>0</v>
      </c>
      <c r="X181" s="106">
        <v>0</v>
      </c>
      <c r="Y181" s="106">
        <v>0</v>
      </c>
      <c r="Z181" s="106">
        <v>0</v>
      </c>
      <c r="AA181" s="106">
        <v>0</v>
      </c>
      <c r="AB181" s="106">
        <v>0</v>
      </c>
      <c r="AC181" s="106">
        <v>0</v>
      </c>
      <c r="AD181" s="106">
        <v>0</v>
      </c>
      <c r="AE181" s="106">
        <v>0</v>
      </c>
      <c r="AF181" s="106">
        <v>0</v>
      </c>
      <c r="AG181" s="106">
        <v>0</v>
      </c>
      <c r="AH181" s="106">
        <v>0</v>
      </c>
      <c r="AI181" s="106">
        <v>0</v>
      </c>
      <c r="AJ181" s="106">
        <v>0</v>
      </c>
      <c r="AK181" s="106">
        <v>0</v>
      </c>
      <c r="AL181" s="106">
        <v>0</v>
      </c>
      <c r="AM181" s="106">
        <v>0</v>
      </c>
      <c r="AN181" s="106">
        <v>0</v>
      </c>
      <c r="AO181" s="106">
        <v>0</v>
      </c>
      <c r="AP181" s="106">
        <v>0</v>
      </c>
      <c r="AQ181" s="106">
        <v>0</v>
      </c>
      <c r="AR181" s="106">
        <v>0</v>
      </c>
      <c r="AS181" s="106">
        <v>0</v>
      </c>
      <c r="AT181" s="106">
        <v>0</v>
      </c>
      <c r="AU181" s="106">
        <v>0</v>
      </c>
      <c r="AV181" s="106">
        <v>0</v>
      </c>
      <c r="AW181" s="106">
        <v>0</v>
      </c>
      <c r="AX181" s="106">
        <v>0</v>
      </c>
      <c r="AY181" s="106">
        <v>0</v>
      </c>
      <c r="AZ181" s="106">
        <v>0</v>
      </c>
      <c r="BA181" s="106">
        <v>0</v>
      </c>
      <c r="BB181" s="106">
        <v>0</v>
      </c>
      <c r="BC181" s="106">
        <v>0</v>
      </c>
      <c r="BD181" s="106">
        <v>0</v>
      </c>
      <c r="BE181" s="106">
        <v>0</v>
      </c>
      <c r="BF181" s="106">
        <v>0</v>
      </c>
      <c r="BG181" s="106">
        <v>0</v>
      </c>
      <c r="BH181" s="106">
        <v>0</v>
      </c>
      <c r="BI181" s="106">
        <v>0</v>
      </c>
      <c r="BJ181" s="106">
        <v>0</v>
      </c>
      <c r="BK181" s="106">
        <v>0</v>
      </c>
      <c r="BL181" s="106">
        <v>0</v>
      </c>
      <c r="BM181" s="106">
        <v>0</v>
      </c>
      <c r="BN181" s="106">
        <v>0</v>
      </c>
      <c r="BO181" s="106">
        <v>0</v>
      </c>
      <c r="BP181" s="106">
        <v>0</v>
      </c>
      <c r="BQ181" s="106">
        <v>0</v>
      </c>
      <c r="BR181" s="106">
        <v>0</v>
      </c>
      <c r="BS181" s="106">
        <v>0</v>
      </c>
      <c r="BT181" s="106">
        <v>0</v>
      </c>
      <c r="BU181" s="106">
        <v>0</v>
      </c>
      <c r="BV181" s="106">
        <v>0</v>
      </c>
      <c r="BW181" s="106">
        <v>0</v>
      </c>
      <c r="BX181" s="106">
        <v>0</v>
      </c>
      <c r="BY181" s="106">
        <v>0</v>
      </c>
      <c r="BZ181" s="106">
        <v>0</v>
      </c>
      <c r="CA181" s="106">
        <v>0</v>
      </c>
      <c r="CB181" s="106">
        <v>0</v>
      </c>
      <c r="CC181" s="106">
        <v>0</v>
      </c>
      <c r="CD181" s="106">
        <v>0</v>
      </c>
      <c r="CE181" s="106">
        <v>0</v>
      </c>
      <c r="CF181" s="106">
        <v>0</v>
      </c>
      <c r="CG181" s="106">
        <v>0</v>
      </c>
      <c r="CH181" s="106">
        <v>0</v>
      </c>
      <c r="CI181" s="106">
        <v>0</v>
      </c>
      <c r="CJ181" s="106">
        <v>0</v>
      </c>
      <c r="CK181" s="106">
        <v>0</v>
      </c>
      <c r="CL181" s="106">
        <v>0</v>
      </c>
      <c r="CM181" s="106">
        <v>0</v>
      </c>
      <c r="CN181" s="106">
        <v>0</v>
      </c>
      <c r="CO181" s="106">
        <v>0</v>
      </c>
      <c r="CP181" s="106">
        <v>0</v>
      </c>
      <c r="CQ181" s="106">
        <v>0</v>
      </c>
      <c r="CR181" s="106">
        <v>0</v>
      </c>
      <c r="CS181" s="106">
        <v>0</v>
      </c>
      <c r="CT181" s="106">
        <v>0</v>
      </c>
      <c r="CU181" s="106">
        <v>0</v>
      </c>
      <c r="CV181" s="106">
        <v>0</v>
      </c>
      <c r="CW181" s="106">
        <v>0</v>
      </c>
      <c r="CX181" s="106">
        <v>0</v>
      </c>
      <c r="CY181" s="106">
        <v>0</v>
      </c>
      <c r="CZ181" s="106">
        <v>0</v>
      </c>
      <c r="DA181" s="106">
        <v>0</v>
      </c>
      <c r="DB181" s="106">
        <v>0</v>
      </c>
      <c r="DC181" s="106">
        <v>0</v>
      </c>
      <c r="DD181" s="106">
        <v>0</v>
      </c>
      <c r="DE181" s="106">
        <v>0</v>
      </c>
      <c r="DF181" s="106">
        <v>0</v>
      </c>
      <c r="DG181" s="106">
        <v>0</v>
      </c>
      <c r="DH181" s="106">
        <v>0</v>
      </c>
      <c r="DI181" s="106">
        <v>0</v>
      </c>
      <c r="DJ181" s="106">
        <v>0</v>
      </c>
      <c r="DK181" s="106">
        <v>0</v>
      </c>
      <c r="DL181" s="106">
        <v>0</v>
      </c>
      <c r="DM181" s="106">
        <v>0</v>
      </c>
      <c r="DN181" s="106">
        <v>0</v>
      </c>
      <c r="DO181" s="106">
        <v>0</v>
      </c>
      <c r="DP181" s="106">
        <v>0</v>
      </c>
      <c r="DQ181" s="106">
        <v>0</v>
      </c>
      <c r="DR181" s="106">
        <v>0</v>
      </c>
      <c r="DS181" s="106">
        <v>0</v>
      </c>
      <c r="DT181" s="106">
        <v>0</v>
      </c>
      <c r="DU181" s="106">
        <v>0</v>
      </c>
      <c r="DV181" s="106">
        <v>0</v>
      </c>
      <c r="DW181" s="106">
        <v>0</v>
      </c>
      <c r="DX181" s="106">
        <v>0</v>
      </c>
      <c r="DY181" s="106">
        <v>0</v>
      </c>
      <c r="DZ181" s="106">
        <v>0</v>
      </c>
      <c r="EA181" s="106">
        <v>0</v>
      </c>
      <c r="EB181" s="106">
        <v>0</v>
      </c>
    </row>
    <row r="182" spans="1:132">
      <c r="A182" t="s">
        <v>269</v>
      </c>
      <c r="B182" t="s">
        <v>218</v>
      </c>
      <c r="C182" s="117">
        <v>45992</v>
      </c>
      <c r="D182" s="106">
        <f>+E182</f>
        <v>0</v>
      </c>
      <c r="E182" s="106">
        <f>+HLOOKUP(C182,BP!$BE$2:$BQ$250,28,0)+HLOOKUP(C182,BP!$BE$2:$BQ$250,43,0)+HLOOKUP(C182,BP!$BE$2:$BQ$250,44,0)+HLOOKUP(C182,BP!$BE$2:$BQ$250,45,0)+HLOOKUP(C182,BP!$BE$2:$BQ$250,54,0)+HLOOKUP(C182,BP!$BE$2:$BQ$250,59,0)</f>
        <v>0</v>
      </c>
      <c r="F182" s="106">
        <f>+HLOOKUP(C182,BP!$BE$2:$BQ$250,37,0)+HLOOKUP(C182,BP!$BE$2:$BQ$250,55,0)</f>
        <v>0</v>
      </c>
      <c r="G182" s="106">
        <f>+HLOOKUP($C182,BP!$BE$2:$BQ$250,76,0)</f>
        <v>0</v>
      </c>
      <c r="H182" s="106">
        <f>+HLOOKUP($C182,BP!$BE$2:$BQ$250,77,0)</f>
        <v>0</v>
      </c>
      <c r="I182" s="106">
        <f>+HLOOKUP($C182,BP!$BE$2:$BQ$250,78,0)</f>
        <v>0</v>
      </c>
      <c r="J182" s="106">
        <f>+HLOOKUP($C182,BP!$BE$2:$BQ$250,79,0)</f>
        <v>0</v>
      </c>
      <c r="K182" s="106">
        <f>+HLOOKUP($C182,BP!$BE$2:$BQ$250,80,0)</f>
        <v>0</v>
      </c>
      <c r="L182" s="106">
        <f>+HLOOKUP($C182,BP!$BE$2:$BQ$250,81,0)</f>
        <v>0</v>
      </c>
      <c r="M182" s="106">
        <f>+HLOOKUP($C182,BP!$BE$2:$BQ$250,82,0)</f>
        <v>0</v>
      </c>
      <c r="N182" s="106">
        <f>+HLOOKUP($C182,BP!$BE$2:$BQ$250,83,0)</f>
        <v>0</v>
      </c>
      <c r="O182" s="106">
        <f>+HLOOKUP($C182,BP!$BE$2:$BQ$250,84,0)</f>
        <v>0</v>
      </c>
      <c r="P182" s="106">
        <f>+HLOOKUP($C182,BP!$BE$2:$BQ$250,85,0)</f>
        <v>0</v>
      </c>
      <c r="Q182" s="106">
        <f>+HLOOKUP($C182,BP!$BE$2:$BQ$250,87,0)</f>
        <v>0</v>
      </c>
      <c r="R182" s="106">
        <f>+HLOOKUP($C182,BP!$BE$2:$BQ$250,90,0)</f>
        <v>0</v>
      </c>
      <c r="S182" s="106">
        <f>+HLOOKUP($C182,BP!$BE$2:$BQ$250,91,0)</f>
        <v>0</v>
      </c>
      <c r="T182" s="106">
        <f>+HLOOKUP($C182,BP!$BE$2:$BQ$250,92,0)</f>
        <v>0</v>
      </c>
      <c r="U182" s="106">
        <f>+HLOOKUP($C182,BP!$BE$2:$BQ$250,93,0)</f>
        <v>0</v>
      </c>
      <c r="V182" s="106">
        <f>+HLOOKUP($C182,BP!$BE$2:$BQ$250,94,0)</f>
        <v>0</v>
      </c>
      <c r="W182" s="106">
        <f>+HLOOKUP($C182,BP!$BE$2:$BQ$250,95,0)</f>
        <v>0</v>
      </c>
      <c r="X182" s="106">
        <f>+HLOOKUP($C182,BP!$BE$2:$BQ$250,96,0)</f>
        <v>0</v>
      </c>
      <c r="Y182" s="106">
        <f>+HLOOKUP($C182,BP!$BE$2:$BQ$250,97,0)</f>
        <v>0</v>
      </c>
      <c r="Z182" s="106">
        <f>+HLOOKUP($C182,BP!$BE$2:$BQ$250,98,0)</f>
        <v>0</v>
      </c>
      <c r="AA182" s="106">
        <f>+HLOOKUP($C182,BP!$BE$2:$BQ$250,99,0)</f>
        <v>0</v>
      </c>
      <c r="AB182" s="106">
        <f>+HLOOKUP($C182,BP!$BE$2:$BQ$250,100,0)</f>
        <v>0</v>
      </c>
      <c r="AC182" s="106">
        <f>+HLOOKUP($C182,BP!$BE$2:$BQ$250,101,0)</f>
        <v>0</v>
      </c>
      <c r="AD182" s="106">
        <f>+HLOOKUP($C182,BP!$BE$2:$BQ$250,104,0)</f>
        <v>0</v>
      </c>
      <c r="AE182" s="106">
        <f>+HLOOKUP($C182,BP!$BE$2:$BQ$250,105,0)</f>
        <v>0</v>
      </c>
      <c r="AF182" s="106">
        <f>+HLOOKUP($C182,BP!$BE$2:$BQ$250,106,0)</f>
        <v>0</v>
      </c>
      <c r="AG182" s="106">
        <f>+HLOOKUP($C182,BP!$BE$2:$BQ$250,107,0)</f>
        <v>0</v>
      </c>
      <c r="AH182" s="106">
        <f>+HLOOKUP($C182,BP!$BE$2:$BQ$250,108,0)</f>
        <v>0</v>
      </c>
      <c r="AI182" s="106">
        <f>+HLOOKUP($C182,BP!$BE$2:$BQ$250,109,0)</f>
        <v>0</v>
      </c>
      <c r="AJ182" s="106">
        <f>+HLOOKUP($C182,BP!$BE$2:$BQ$250,110,0)</f>
        <v>0</v>
      </c>
      <c r="AK182" s="106">
        <f>+HLOOKUP($C182,BP!$BE$2:$BQ$250,111,0)</f>
        <v>0</v>
      </c>
      <c r="AL182" s="106">
        <f>+HLOOKUP($C182,BP!$BE$2:$BQ$250,112,0)</f>
        <v>0</v>
      </c>
      <c r="AM182" s="106">
        <f>+HLOOKUP($C182,BP!$BE$2:$BQ$250,116,0)</f>
        <v>0</v>
      </c>
      <c r="AN182" s="106">
        <f>+HLOOKUP($C182,BP!$BE$2:$BQ$250,117,0)</f>
        <v>0</v>
      </c>
      <c r="AO182" s="106">
        <f>+HLOOKUP($C182,BP!$BE$2:$BQ$250,118,0)</f>
        <v>0</v>
      </c>
      <c r="AP182" s="106">
        <f>+HLOOKUP($C182,BP!$BE$2:$BQ$250,119,0)</f>
        <v>0</v>
      </c>
      <c r="AQ182" s="106">
        <f>+HLOOKUP($C182,BP!$BE$2:$BQ$250,120,0)</f>
        <v>0</v>
      </c>
      <c r="AR182" s="106">
        <f>+HLOOKUP($C182,BP!$BE$2:$BQ$250,121,0)</f>
        <v>0</v>
      </c>
      <c r="AS182" s="106">
        <f>+HLOOKUP($C182,BP!$BE$2:$BQ$250,122,0)</f>
        <v>0</v>
      </c>
      <c r="AT182" s="106">
        <f>+HLOOKUP($C182,BP!$BE$2:$BQ$250,123,0)</f>
        <v>0</v>
      </c>
      <c r="AU182" s="106">
        <f>+HLOOKUP($C182,BP!$BE$2:$BQ$250,124,0)</f>
        <v>0</v>
      </c>
      <c r="AV182" s="106">
        <f>+HLOOKUP($C182,BP!$BE$2:$BQ$250,125,0)</f>
        <v>0</v>
      </c>
      <c r="AW182" s="106">
        <f>+HLOOKUP($C182,BP!$BE$2:$BQ$250,126,0)</f>
        <v>0</v>
      </c>
      <c r="AX182" s="106">
        <f>+HLOOKUP($C182,BP!$BE$2:$BQ$250,127,0)</f>
        <v>0</v>
      </c>
      <c r="AY182" s="106">
        <f>+HLOOKUP($C182,BP!$BE$2:$BQ$250,129,0)</f>
        <v>0</v>
      </c>
      <c r="AZ182" s="106">
        <f>+HLOOKUP($C182,BP!$BE$2:$BQ$250,130,0)</f>
        <v>0</v>
      </c>
      <c r="BA182" s="106">
        <f>+HLOOKUP($C182,BP!$BE$2:$BQ$250,131,0)</f>
        <v>0</v>
      </c>
      <c r="BB182" s="106">
        <f>+HLOOKUP($C182,BP!$BE$2:$BQ$250,133,0)</f>
        <v>0</v>
      </c>
      <c r="BC182" s="106">
        <f>+HLOOKUP($C182,BP!$BE$2:$BQ$250,134,0)</f>
        <v>0</v>
      </c>
      <c r="BD182" s="106">
        <f>+HLOOKUP($C182,BP!$BE$2:$BQ$250,135,0)</f>
        <v>0</v>
      </c>
      <c r="BE182" s="106">
        <f>+HLOOKUP($C182,BP!$BE$2:$BQ$250,136,0)</f>
        <v>0</v>
      </c>
      <c r="BF182" s="106">
        <f>+HLOOKUP($C182,BP!$BE$2:$BQ$250,138,0)</f>
        <v>0</v>
      </c>
      <c r="BG182" s="106">
        <f>+HLOOKUP($C182,BP!$BE$2:$BQ$250,139,0)</f>
        <v>0</v>
      </c>
      <c r="BH182" s="106">
        <f>+HLOOKUP($C182,BP!$BE$2:$BQ$250,140,0)</f>
        <v>0</v>
      </c>
      <c r="BI182" s="106">
        <f>+HLOOKUP($C182,BP!$BE$2:$BQ$250,141,0)</f>
        <v>0</v>
      </c>
      <c r="BJ182" s="106">
        <f>+HLOOKUP($C182,BP!$BE$2:$BQ$250,142,0)</f>
        <v>0</v>
      </c>
      <c r="BK182" s="106">
        <f>+HLOOKUP($C182,BP!$BE$2:$BQ$250,143,0)</f>
        <v>0</v>
      </c>
      <c r="BL182" s="106">
        <f>+HLOOKUP($C182,BP!$BE$2:$BQ$250,144,0)</f>
        <v>0</v>
      </c>
      <c r="BM182" s="106">
        <f>+HLOOKUP($C182,BP!$BE$2:$BQ$250,146,0)</f>
        <v>0</v>
      </c>
      <c r="BN182" s="106">
        <f>+HLOOKUP($C182,BP!$BE$2:$BQ$250,147,0)</f>
        <v>0</v>
      </c>
      <c r="BO182" s="106">
        <f>+HLOOKUP($C182,BP!$BE$2:$BQ$250,148,0)</f>
        <v>0</v>
      </c>
      <c r="BP182" s="106">
        <f>+HLOOKUP($C182,BP!$BE$2:$BQ$250,150,0)</f>
        <v>0</v>
      </c>
      <c r="BQ182" s="106">
        <f>+HLOOKUP($C182,BP!$BE$2:$BQ$250,151,0)</f>
        <v>0</v>
      </c>
      <c r="BR182" s="106">
        <f>+HLOOKUP($C182,BP!$BE$2:$BQ$250,152,0)</f>
        <v>0</v>
      </c>
      <c r="BS182" s="106">
        <f>+HLOOKUP($C182,BP!$BE$2:$BQ$250,153,0)</f>
        <v>0</v>
      </c>
      <c r="BT182" s="106">
        <f>+HLOOKUP($C182,BP!$BE$2:$BQ$250,157,0)</f>
        <v>0</v>
      </c>
      <c r="BU182" s="106">
        <f>+HLOOKUP($C182,BP!$BE$2:$BQ$250,158,0)</f>
        <v>0</v>
      </c>
      <c r="BV182" s="106">
        <f>+HLOOKUP($C182,BP!$BE$2:$BQ$250,159,0)</f>
        <v>0</v>
      </c>
      <c r="BW182" s="106">
        <f>+HLOOKUP($C182,BP!$BE$2:$BQ$250,160,0)</f>
        <v>0</v>
      </c>
      <c r="BX182" s="106">
        <f>+HLOOKUP($C182,BP!$BE$2:$BQ$250,161,0)</f>
        <v>0</v>
      </c>
      <c r="BY182" s="106">
        <f>+HLOOKUP($C182,BP!$BE$2:$BQ$250,164,0)</f>
        <v>0</v>
      </c>
      <c r="BZ182" s="106">
        <f>+HLOOKUP($C182,BP!$BE$2:$BQ$250,165,0)</f>
        <v>0</v>
      </c>
      <c r="CA182" s="106">
        <f>+HLOOKUP($C182,BP!$BE$2:$BQ$250,166,0)</f>
        <v>0</v>
      </c>
      <c r="CB182" s="106">
        <f>+HLOOKUP($C182,BP!$BE$2:$BQ$250,167,0)</f>
        <v>0</v>
      </c>
      <c r="CC182" s="106">
        <f>+HLOOKUP($C182,BP!$BE$2:$BQ$250,168,0)</f>
        <v>0</v>
      </c>
      <c r="CD182" s="106">
        <f>+HLOOKUP($C182,BP!$BE$2:$BQ$250,169,0)</f>
        <v>0</v>
      </c>
      <c r="CE182" s="106">
        <f>+HLOOKUP($C182,BP!$BE$2:$BQ$250,170,0)</f>
        <v>0</v>
      </c>
      <c r="CF182" s="106">
        <f>+HLOOKUP($C182,BP!$BE$2:$BQ$250,172,0)</f>
        <v>0</v>
      </c>
      <c r="CG182" s="106">
        <f>+HLOOKUP($C182,BP!$BE$2:$BQ$250,173,0)</f>
        <v>0</v>
      </c>
      <c r="CH182" s="106">
        <f>+HLOOKUP($C182,BP!$BE$2:$BQ$250,174,0)</f>
        <v>0</v>
      </c>
      <c r="CI182" s="106">
        <f>+HLOOKUP($C182,BP!$BE$2:$BQ$250,175,0)</f>
        <v>0</v>
      </c>
      <c r="CJ182" s="106">
        <f>+HLOOKUP($C182,BP!$BE$2:$BQ$250,176,0)</f>
        <v>0</v>
      </c>
      <c r="CK182" s="106">
        <f>+HLOOKUP($C182,BP!$BE$2:$BQ$250,178,0)</f>
        <v>0</v>
      </c>
      <c r="CL182" s="106">
        <f>+HLOOKUP($C182,BP!$BE$2:$BQ$250,179,0)</f>
        <v>0</v>
      </c>
      <c r="CM182" s="106">
        <f>+HLOOKUP($C182,BP!$BE$2:$BQ$250,180,0)</f>
        <v>0</v>
      </c>
      <c r="CN182" s="106">
        <f>+HLOOKUP($C182,BP!$BE$2:$BQ$250,182,0)</f>
        <v>0</v>
      </c>
      <c r="CO182" s="106">
        <f>+HLOOKUP($C182,BP!$BE$2:$BQ$250,183,0)</f>
        <v>0</v>
      </c>
      <c r="CP182" s="106">
        <f>+HLOOKUP($C182,BP!$BE$2:$BQ$250,184,0)</f>
        <v>0</v>
      </c>
      <c r="CQ182" s="106">
        <f>+HLOOKUP($C182,BP!$BE$2:$BQ$250,185,0)</f>
        <v>0</v>
      </c>
      <c r="CR182" s="106">
        <f>+HLOOKUP($C182,BP!$BE$2:$BQ$250,187,0)</f>
        <v>0</v>
      </c>
      <c r="CS182" s="106">
        <f>+HLOOKUP($C182,BP!$BE$2:$BQ$250,188,0)</f>
        <v>0</v>
      </c>
      <c r="CT182" s="106">
        <f>+HLOOKUP($C182,BP!$BE$2:$BQ$250,189,0)</f>
        <v>0</v>
      </c>
      <c r="CU182" s="106">
        <f>+HLOOKUP($C182,BP!$BE$2:$BQ$250,190,0)</f>
        <v>0</v>
      </c>
      <c r="CV182" s="106">
        <f>+HLOOKUP($C182,BP!$BE$2:$BQ$250,191,0)</f>
        <v>0</v>
      </c>
      <c r="CW182" s="106">
        <f>+HLOOKUP($C182,BP!$BE$2:$BQ$250,193,0)</f>
        <v>0</v>
      </c>
      <c r="CX182" s="106">
        <f>+HLOOKUP($C182,BP!$BE$2:$BQ$250,194,0)</f>
        <v>0</v>
      </c>
      <c r="CY182" s="106">
        <f>+HLOOKUP($C182,BP!$BE$2:$BQ$250,195,0)</f>
        <v>0</v>
      </c>
      <c r="CZ182" s="106">
        <f>+HLOOKUP($C182,BP!$BE$2:$BQ$250,196,0)</f>
        <v>0</v>
      </c>
      <c r="DA182" s="106">
        <f>+HLOOKUP($C182,BP!$BE$2:$BQ$250,197,0)</f>
        <v>0</v>
      </c>
      <c r="DB182" s="106">
        <f>+HLOOKUP($C182,BP!$BE$2:$BQ$250,198,0)</f>
        <v>0</v>
      </c>
      <c r="DC182" s="106">
        <f>+HLOOKUP($C182,BP!$BE$2:$BQ$250,199,0)</f>
        <v>0</v>
      </c>
      <c r="DD182" s="106">
        <f>+HLOOKUP($C182,BP!$BE$2:$BQ$250,200,0)</f>
        <v>0</v>
      </c>
      <c r="DE182" s="106">
        <f>+HLOOKUP($C182,BP!$BE$2:$BQ$250,201,0)</f>
        <v>0</v>
      </c>
      <c r="DF182" s="106">
        <f>+HLOOKUP($C182,BP!$BE$2:$BQ$250,202,0)</f>
        <v>0</v>
      </c>
      <c r="DG182" s="106">
        <f>+HLOOKUP($C182,BP!$BE$2:$BQ$250,203,0)</f>
        <v>0</v>
      </c>
      <c r="DH182" s="106">
        <f>+HLOOKUP($C182,BP!$BE$2:$BQ$250,205,0)</f>
        <v>0</v>
      </c>
      <c r="DI182" s="106">
        <f>+HLOOKUP($C182,BP!$BE$2:$BQ$250,206,0)</f>
        <v>0</v>
      </c>
      <c r="DJ182" s="106">
        <f>+HLOOKUP($C182,BP!$BE$2:$BQ$250,207,0)</f>
        <v>0</v>
      </c>
      <c r="DK182" s="106">
        <f>+HLOOKUP($C182,BP!$BE$2:$BQ$250,209,0)</f>
        <v>0</v>
      </c>
      <c r="DL182" s="106">
        <f>+HLOOKUP($C182,BP!$BE$2:$BQ$250,210,0)</f>
        <v>0</v>
      </c>
      <c r="DM182" s="106">
        <f>+HLOOKUP($C182,BP!$BE$2:$BQ$250,211,0)</f>
        <v>0</v>
      </c>
      <c r="DN182" s="106">
        <f>+HLOOKUP($C182,BP!$BE$2:$BQ$250,212,0)</f>
        <v>0</v>
      </c>
      <c r="DO182" s="106">
        <f>+HLOOKUP($C182,BP!$BE$2:$BQ$250,214,0)</f>
        <v>0</v>
      </c>
      <c r="DP182" s="106">
        <f>+HLOOKUP($C182,BP!$BE$2:$BQ$250,215,0)</f>
        <v>0</v>
      </c>
      <c r="DQ182" s="106">
        <f>+HLOOKUP($C182,BP!$BE$2:$BQ$250,219,0)</f>
        <v>0</v>
      </c>
      <c r="DR182" s="106">
        <f>+HLOOKUP($C182,BP!$BE$2:$BQ$250,220,0)</f>
        <v>0</v>
      </c>
      <c r="DS182" s="106">
        <f>+HLOOKUP($C182,BP!$BE$2:$BQ$250,221,0)</f>
        <v>0</v>
      </c>
      <c r="DT182" s="106">
        <f>+HLOOKUP($C182,BP!$BE$2:$BQ$250,223,0)</f>
        <v>0</v>
      </c>
      <c r="DU182" s="106">
        <f>+HLOOKUP($C182,BP!$BE$2:$BQ$250,224,0)</f>
        <v>0</v>
      </c>
      <c r="DV182" s="106">
        <f>+HLOOKUP($C182,BP!$BE$2:$BQ$250,225,0)</f>
        <v>0</v>
      </c>
      <c r="DW182" s="106">
        <f>+HLOOKUP($C182,BP!$BE$2:$BQ$250,227,0)</f>
        <v>0</v>
      </c>
      <c r="DX182" s="106">
        <f>+HLOOKUP($C182,BP!$BE$2:$BQ$250,228,0)</f>
        <v>0</v>
      </c>
      <c r="DY182" s="106">
        <f>+HLOOKUP($C182,BP!$BE$2:$BQ$250,236,0)</f>
        <v>0</v>
      </c>
      <c r="DZ182" s="106">
        <f>+HLOOKUP($C182,BP!$BE$2:$BQ$250,237,0)</f>
        <v>0</v>
      </c>
      <c r="EA182" s="106">
        <f>+HLOOKUP($C182,BP!$BE$2:$BQ$250,238,0)</f>
        <v>0</v>
      </c>
      <c r="EB182" s="106">
        <f>+HLOOKUP($C182,BP!$BE$2:$BQ$250,240,0)</f>
        <v>0</v>
      </c>
    </row>
    <row r="183" spans="1:132">
      <c r="A183" t="s">
        <v>269</v>
      </c>
      <c r="B183" t="s">
        <v>218</v>
      </c>
      <c r="C183" s="117">
        <v>45962</v>
      </c>
      <c r="D183" s="106">
        <f t="shared" ref="D183:D301" si="5">+E183</f>
        <v>0</v>
      </c>
      <c r="E183" s="106">
        <f>+HLOOKUP(C183,BP!$BE$2:$BQ$250,28,0)+HLOOKUP(C183,BP!$BE$2:$BQ$250,43,0)+HLOOKUP(C183,BP!$BE$2:$BQ$250,44,0)+HLOOKUP(C183,BP!$BE$2:$BQ$250,45,0)+HLOOKUP(C183,BP!$BE$2:$BQ$250,54,0)+HLOOKUP(C183,BP!$BE$2:$BQ$250,59,0)</f>
        <v>0</v>
      </c>
      <c r="F183" s="106">
        <f>+HLOOKUP(C183,BP!$BE$2:$BQ$250,37,0)+HLOOKUP(C183,BP!$BE$2:$BQ$250,55,0)</f>
        <v>0</v>
      </c>
      <c r="G183" s="106">
        <f>+HLOOKUP($C183,BP!$BE$2:$BQ$250,76,0)</f>
        <v>0</v>
      </c>
      <c r="H183" s="106">
        <f>+HLOOKUP($C183,BP!$BE$2:$BQ$250,77,0)</f>
        <v>0</v>
      </c>
      <c r="I183" s="106">
        <f>+HLOOKUP($C183,BP!$BE$2:$BQ$250,78,0)</f>
        <v>0</v>
      </c>
      <c r="J183" s="106">
        <f>+HLOOKUP($C183,BP!$BE$2:$BQ$250,79,0)</f>
        <v>0</v>
      </c>
      <c r="K183" s="106">
        <f>+HLOOKUP($C183,BP!$BE$2:$BQ$250,80,0)</f>
        <v>0</v>
      </c>
      <c r="L183" s="106">
        <f>+HLOOKUP($C183,BP!$BE$2:$BQ$250,81,0)</f>
        <v>0</v>
      </c>
      <c r="M183" s="106">
        <f>+HLOOKUP($C183,BP!$BE$2:$BQ$250,82,0)</f>
        <v>0</v>
      </c>
      <c r="N183" s="106">
        <f>+HLOOKUP($C183,BP!$BE$2:$BQ$250,83,0)</f>
        <v>0</v>
      </c>
      <c r="O183" s="106">
        <f>+HLOOKUP($C183,BP!$BE$2:$BQ$250,84,0)</f>
        <v>0</v>
      </c>
      <c r="P183" s="106">
        <f>+HLOOKUP($C183,BP!$BE$2:$BQ$250,85,0)</f>
        <v>0</v>
      </c>
      <c r="Q183" s="106">
        <f>+HLOOKUP($C183,BP!$BE$2:$BQ$250,87,0)</f>
        <v>0</v>
      </c>
      <c r="R183" s="106">
        <f>+HLOOKUP($C183,BP!$BE$2:$BQ$250,90,0)</f>
        <v>0</v>
      </c>
      <c r="S183" s="106">
        <f>+HLOOKUP($C183,BP!$BE$2:$BQ$250,91,0)</f>
        <v>0</v>
      </c>
      <c r="T183" s="106">
        <f>+HLOOKUP($C183,BP!$BE$2:$BQ$250,92,0)</f>
        <v>0</v>
      </c>
      <c r="U183" s="106">
        <f>+HLOOKUP($C183,BP!$BE$2:$BQ$250,93,0)</f>
        <v>0</v>
      </c>
      <c r="V183" s="106">
        <f>+HLOOKUP($C183,BP!$BE$2:$BQ$250,94,0)</f>
        <v>0</v>
      </c>
      <c r="W183" s="106">
        <f>+HLOOKUP($C183,BP!$BE$2:$BQ$250,95,0)</f>
        <v>0</v>
      </c>
      <c r="X183" s="106">
        <f>+HLOOKUP($C183,BP!$BE$2:$BQ$250,96,0)</f>
        <v>0</v>
      </c>
      <c r="Y183" s="106">
        <f>+HLOOKUP($C183,BP!$BE$2:$BQ$250,97,0)</f>
        <v>0</v>
      </c>
      <c r="Z183" s="106">
        <f>+HLOOKUP($C183,BP!$BE$2:$BQ$250,98,0)</f>
        <v>0</v>
      </c>
      <c r="AA183" s="106">
        <f>+HLOOKUP($C183,BP!$BE$2:$BQ$250,99,0)</f>
        <v>0</v>
      </c>
      <c r="AB183" s="106">
        <f>+HLOOKUP($C183,BP!$BE$2:$BQ$250,100,0)</f>
        <v>0</v>
      </c>
      <c r="AC183" s="106">
        <f>+HLOOKUP($C183,BP!$BE$2:$BQ$250,101,0)</f>
        <v>0</v>
      </c>
      <c r="AD183" s="106">
        <f>+HLOOKUP($C183,BP!$BE$2:$BQ$250,104,0)</f>
        <v>0</v>
      </c>
      <c r="AE183" s="106">
        <f>+HLOOKUP($C183,BP!$BE$2:$BQ$250,105,0)</f>
        <v>0</v>
      </c>
      <c r="AF183" s="106">
        <f>+HLOOKUP($C183,BP!$BE$2:$BQ$250,106,0)</f>
        <v>0</v>
      </c>
      <c r="AG183" s="106">
        <f>+HLOOKUP($C183,BP!$BE$2:$BQ$250,107,0)</f>
        <v>0</v>
      </c>
      <c r="AH183" s="106">
        <f>+HLOOKUP($C183,BP!$BE$2:$BQ$250,108,0)</f>
        <v>0</v>
      </c>
      <c r="AI183" s="106">
        <f>+HLOOKUP($C183,BP!$BE$2:$BQ$250,109,0)</f>
        <v>0</v>
      </c>
      <c r="AJ183" s="106">
        <f>+HLOOKUP($C183,BP!$BE$2:$BQ$250,110,0)</f>
        <v>0</v>
      </c>
      <c r="AK183" s="106">
        <f>+HLOOKUP($C183,BP!$BE$2:$BQ$250,111,0)</f>
        <v>0</v>
      </c>
      <c r="AL183" s="106">
        <f>+HLOOKUP($C183,BP!$BE$2:$BQ$250,112,0)</f>
        <v>0</v>
      </c>
      <c r="AM183" s="106">
        <f>+HLOOKUP($C183,BP!$BE$2:$BQ$250,116,0)</f>
        <v>0</v>
      </c>
      <c r="AN183" s="106">
        <f>+HLOOKUP($C183,BP!$BE$2:$BQ$250,117,0)</f>
        <v>0</v>
      </c>
      <c r="AO183" s="106">
        <f>+HLOOKUP($C183,BP!$BE$2:$BQ$250,118,0)</f>
        <v>0</v>
      </c>
      <c r="AP183" s="106">
        <f>+HLOOKUP($C183,BP!$BE$2:$BQ$250,119,0)</f>
        <v>0</v>
      </c>
      <c r="AQ183" s="106">
        <f>+HLOOKUP($C183,BP!$BE$2:$BQ$250,120,0)</f>
        <v>0</v>
      </c>
      <c r="AR183" s="106">
        <f>+HLOOKUP($C183,BP!$BE$2:$BQ$250,121,0)</f>
        <v>0</v>
      </c>
      <c r="AS183" s="106">
        <f>+HLOOKUP($C183,BP!$BE$2:$BQ$250,122,0)</f>
        <v>0</v>
      </c>
      <c r="AT183" s="106">
        <f>+HLOOKUP($C183,BP!$BE$2:$BQ$250,123,0)</f>
        <v>0</v>
      </c>
      <c r="AU183" s="106">
        <f>+HLOOKUP($C183,BP!$BE$2:$BQ$250,124,0)</f>
        <v>0</v>
      </c>
      <c r="AV183" s="106">
        <f>+HLOOKUP($C183,BP!$BE$2:$BQ$250,125,0)</f>
        <v>0</v>
      </c>
      <c r="AW183" s="106">
        <f>+HLOOKUP($C183,BP!$BE$2:$BQ$250,126,0)</f>
        <v>0</v>
      </c>
      <c r="AX183" s="106">
        <f>+HLOOKUP($C183,BP!$BE$2:$BQ$250,127,0)</f>
        <v>0</v>
      </c>
      <c r="AY183" s="106">
        <f>+HLOOKUP($C183,BP!$BE$2:$BQ$250,129,0)</f>
        <v>0</v>
      </c>
      <c r="AZ183" s="106">
        <f>+HLOOKUP($C183,BP!$BE$2:$BQ$250,130,0)</f>
        <v>0</v>
      </c>
      <c r="BA183" s="106">
        <f>+HLOOKUP($C183,BP!$BE$2:$BQ$250,131,0)</f>
        <v>0</v>
      </c>
      <c r="BB183" s="106">
        <f>+HLOOKUP($C183,BP!$BE$2:$BQ$250,133,0)</f>
        <v>0</v>
      </c>
      <c r="BC183" s="106">
        <f>+HLOOKUP($C183,BP!$BE$2:$BQ$250,134,0)</f>
        <v>0</v>
      </c>
      <c r="BD183" s="106">
        <f>+HLOOKUP($C183,BP!$BE$2:$BQ$250,135,0)</f>
        <v>0</v>
      </c>
      <c r="BE183" s="106">
        <f>+HLOOKUP($C183,BP!$BE$2:$BQ$250,136,0)</f>
        <v>0</v>
      </c>
      <c r="BF183" s="106">
        <f>+HLOOKUP($C183,BP!$BE$2:$BQ$250,138,0)</f>
        <v>0</v>
      </c>
      <c r="BG183" s="106">
        <f>+HLOOKUP($C183,BP!$BE$2:$BQ$250,139,0)</f>
        <v>0</v>
      </c>
      <c r="BH183" s="106">
        <f>+HLOOKUP($C183,BP!$BE$2:$BQ$250,140,0)</f>
        <v>0</v>
      </c>
      <c r="BI183" s="106">
        <f>+HLOOKUP($C183,BP!$BE$2:$BQ$250,141,0)</f>
        <v>0</v>
      </c>
      <c r="BJ183" s="106">
        <f>+HLOOKUP($C183,BP!$BE$2:$BQ$250,142,0)</f>
        <v>0</v>
      </c>
      <c r="BK183" s="106">
        <f>+HLOOKUP($C183,BP!$BE$2:$BQ$250,143,0)</f>
        <v>0</v>
      </c>
      <c r="BL183" s="106">
        <f>+HLOOKUP($C183,BP!$BE$2:$BQ$250,144,0)</f>
        <v>0</v>
      </c>
      <c r="BM183" s="106">
        <f>+HLOOKUP($C183,BP!$BE$2:$BQ$250,146,0)</f>
        <v>0</v>
      </c>
      <c r="BN183" s="106">
        <f>+HLOOKUP($C183,BP!$BE$2:$BQ$250,147,0)</f>
        <v>0</v>
      </c>
      <c r="BO183" s="106">
        <f>+HLOOKUP($C183,BP!$BE$2:$BQ$250,148,0)</f>
        <v>0</v>
      </c>
      <c r="BP183" s="106">
        <f>+HLOOKUP($C183,BP!$BE$2:$BQ$250,150,0)</f>
        <v>0</v>
      </c>
      <c r="BQ183" s="106">
        <f>+HLOOKUP($C183,BP!$BE$2:$BQ$250,151,0)</f>
        <v>0</v>
      </c>
      <c r="BR183" s="106">
        <f>+HLOOKUP($C183,BP!$BE$2:$BQ$250,152,0)</f>
        <v>0</v>
      </c>
      <c r="BS183" s="106">
        <f>+HLOOKUP($C183,BP!$BE$2:$BQ$250,153,0)</f>
        <v>0</v>
      </c>
      <c r="BT183" s="106">
        <f>+HLOOKUP($C183,BP!$BE$2:$BQ$250,157,0)</f>
        <v>0</v>
      </c>
      <c r="BU183" s="106">
        <f>+HLOOKUP($C183,BP!$BE$2:$BQ$250,158,0)</f>
        <v>0</v>
      </c>
      <c r="BV183" s="106">
        <f>+HLOOKUP($C183,BP!$BE$2:$BQ$250,159,0)</f>
        <v>0</v>
      </c>
      <c r="BW183" s="106">
        <f>+HLOOKUP($C183,BP!$BE$2:$BQ$250,160,0)</f>
        <v>0</v>
      </c>
      <c r="BX183" s="106">
        <f>+HLOOKUP($C183,BP!$BE$2:$BQ$250,161,0)</f>
        <v>0</v>
      </c>
      <c r="BY183" s="106">
        <f>+HLOOKUP($C183,BP!$BE$2:$BQ$250,164,0)</f>
        <v>0</v>
      </c>
      <c r="BZ183" s="106">
        <f>+HLOOKUP($C183,BP!$BE$2:$BQ$250,165,0)</f>
        <v>0</v>
      </c>
      <c r="CA183" s="106">
        <f>+HLOOKUP($C183,BP!$BE$2:$BQ$250,166,0)</f>
        <v>0</v>
      </c>
      <c r="CB183" s="106">
        <f>+HLOOKUP($C183,BP!$BE$2:$BQ$250,167,0)</f>
        <v>0</v>
      </c>
      <c r="CC183" s="106">
        <f>+HLOOKUP($C183,BP!$BE$2:$BQ$250,168,0)</f>
        <v>0</v>
      </c>
      <c r="CD183" s="106">
        <f>+HLOOKUP($C183,BP!$BE$2:$BQ$250,169,0)</f>
        <v>0</v>
      </c>
      <c r="CE183" s="106">
        <f>+HLOOKUP($C183,BP!$BE$2:$BQ$250,170,0)</f>
        <v>0</v>
      </c>
      <c r="CF183" s="106">
        <f>+HLOOKUP($C183,BP!$BE$2:$BQ$250,172,0)</f>
        <v>0</v>
      </c>
      <c r="CG183" s="106">
        <f>+HLOOKUP($C183,BP!$BE$2:$BQ$250,173,0)</f>
        <v>0</v>
      </c>
      <c r="CH183" s="106">
        <f>+HLOOKUP($C183,BP!$BE$2:$BQ$250,174,0)</f>
        <v>0</v>
      </c>
      <c r="CI183" s="106">
        <f>+HLOOKUP($C183,BP!$BE$2:$BQ$250,175,0)</f>
        <v>0</v>
      </c>
      <c r="CJ183" s="106">
        <f>+HLOOKUP($C183,BP!$BE$2:$BQ$250,176,0)</f>
        <v>0</v>
      </c>
      <c r="CK183" s="106">
        <f>+HLOOKUP($C183,BP!$BE$2:$BQ$250,178,0)</f>
        <v>0</v>
      </c>
      <c r="CL183" s="106">
        <f>+HLOOKUP($C183,BP!$BE$2:$BQ$250,179,0)</f>
        <v>0</v>
      </c>
      <c r="CM183" s="106">
        <f>+HLOOKUP($C183,BP!$BE$2:$BQ$250,180,0)</f>
        <v>0</v>
      </c>
      <c r="CN183" s="106">
        <f>+HLOOKUP($C183,BP!$BE$2:$BQ$250,182,0)</f>
        <v>0</v>
      </c>
      <c r="CO183" s="106">
        <f>+HLOOKUP($C183,BP!$BE$2:$BQ$250,183,0)</f>
        <v>0</v>
      </c>
      <c r="CP183" s="106">
        <f>+HLOOKUP($C183,BP!$BE$2:$BQ$250,184,0)</f>
        <v>0</v>
      </c>
      <c r="CQ183" s="106">
        <f>+HLOOKUP($C183,BP!$BE$2:$BQ$250,185,0)</f>
        <v>0</v>
      </c>
      <c r="CR183" s="106">
        <f>+HLOOKUP($C183,BP!$BE$2:$BQ$250,187,0)</f>
        <v>0</v>
      </c>
      <c r="CS183" s="106">
        <f>+HLOOKUP($C183,BP!$BE$2:$BQ$250,188,0)</f>
        <v>0</v>
      </c>
      <c r="CT183" s="106">
        <f>+HLOOKUP($C183,BP!$BE$2:$BQ$250,189,0)</f>
        <v>0</v>
      </c>
      <c r="CU183" s="106">
        <f>+HLOOKUP($C183,BP!$BE$2:$BQ$250,190,0)</f>
        <v>0</v>
      </c>
      <c r="CV183" s="106">
        <f>+HLOOKUP($C183,BP!$BE$2:$BQ$250,191,0)</f>
        <v>0</v>
      </c>
      <c r="CW183" s="106">
        <f>+HLOOKUP($C183,BP!$BE$2:$BQ$250,193,0)</f>
        <v>0</v>
      </c>
      <c r="CX183" s="106">
        <f>+HLOOKUP($C183,BP!$BE$2:$BQ$250,194,0)</f>
        <v>0</v>
      </c>
      <c r="CY183" s="106">
        <f>+HLOOKUP($C183,BP!$BE$2:$BQ$250,195,0)</f>
        <v>0</v>
      </c>
      <c r="CZ183" s="106">
        <f>+HLOOKUP($C183,BP!$BE$2:$BQ$250,196,0)</f>
        <v>0</v>
      </c>
      <c r="DA183" s="106">
        <f>+HLOOKUP($C183,BP!$BE$2:$BQ$250,197,0)</f>
        <v>0</v>
      </c>
      <c r="DB183" s="106">
        <f>+HLOOKUP($C183,BP!$BE$2:$BQ$250,198,0)</f>
        <v>0</v>
      </c>
      <c r="DC183" s="106">
        <f>+HLOOKUP($C183,BP!$BE$2:$BQ$250,199,0)</f>
        <v>0</v>
      </c>
      <c r="DD183" s="106">
        <f>+HLOOKUP($C183,BP!$BE$2:$BQ$250,200,0)</f>
        <v>0</v>
      </c>
      <c r="DE183" s="106">
        <f>+HLOOKUP($C183,BP!$BE$2:$BQ$250,201,0)</f>
        <v>0</v>
      </c>
      <c r="DF183" s="106">
        <f>+HLOOKUP($C183,BP!$BE$2:$BQ$250,202,0)</f>
        <v>0</v>
      </c>
      <c r="DG183" s="106">
        <f>+HLOOKUP($C183,BP!$BE$2:$BQ$250,203,0)</f>
        <v>0</v>
      </c>
      <c r="DH183" s="106">
        <f>+HLOOKUP($C183,BP!$BE$2:$BQ$250,205,0)</f>
        <v>0</v>
      </c>
      <c r="DI183" s="106">
        <f>+HLOOKUP($C183,BP!$BE$2:$BQ$250,206,0)</f>
        <v>0</v>
      </c>
      <c r="DJ183" s="106">
        <f>+HLOOKUP($C183,BP!$BE$2:$BQ$250,207,0)</f>
        <v>0</v>
      </c>
      <c r="DK183" s="106">
        <f>+HLOOKUP($C183,BP!$BE$2:$BQ$250,209,0)</f>
        <v>0</v>
      </c>
      <c r="DL183" s="106">
        <f>+HLOOKUP($C183,BP!$BE$2:$BQ$250,210,0)</f>
        <v>0</v>
      </c>
      <c r="DM183" s="106">
        <f>+HLOOKUP($C183,BP!$BE$2:$BQ$250,211,0)</f>
        <v>0</v>
      </c>
      <c r="DN183" s="106">
        <f>+HLOOKUP($C183,BP!$BE$2:$BQ$250,212,0)</f>
        <v>0</v>
      </c>
      <c r="DO183" s="106">
        <f>+HLOOKUP($C183,BP!$BE$2:$BQ$250,214,0)</f>
        <v>0</v>
      </c>
      <c r="DP183" s="106">
        <f>+HLOOKUP($C183,BP!$BE$2:$BQ$250,215,0)</f>
        <v>0</v>
      </c>
      <c r="DQ183" s="106">
        <f>+HLOOKUP($C183,BP!$BE$2:$BQ$250,219,0)</f>
        <v>0</v>
      </c>
      <c r="DR183" s="106">
        <f>+HLOOKUP($C183,BP!$BE$2:$BQ$250,220,0)</f>
        <v>0</v>
      </c>
      <c r="DS183" s="106">
        <f>+HLOOKUP($C183,BP!$BE$2:$BQ$250,221,0)</f>
        <v>0</v>
      </c>
      <c r="DT183" s="106">
        <f>+HLOOKUP($C183,BP!$BE$2:$BQ$250,223,0)</f>
        <v>0</v>
      </c>
      <c r="DU183" s="106">
        <f>+HLOOKUP($C183,BP!$BE$2:$BQ$250,224,0)</f>
        <v>0</v>
      </c>
      <c r="DV183" s="106">
        <f>+HLOOKUP($C183,BP!$BE$2:$BQ$250,225,0)</f>
        <v>0</v>
      </c>
      <c r="DW183" s="106">
        <f>+HLOOKUP($C183,BP!$BE$2:$BQ$250,227,0)</f>
        <v>0</v>
      </c>
      <c r="DX183" s="106">
        <f>+HLOOKUP($C183,BP!$BE$2:$BQ$250,228,0)</f>
        <v>0</v>
      </c>
      <c r="DY183" s="106">
        <f>+HLOOKUP($C183,BP!$BE$2:$BQ$250,236,0)</f>
        <v>0</v>
      </c>
      <c r="DZ183" s="106">
        <f>+HLOOKUP($C183,BP!$BE$2:$BQ$250,237,0)</f>
        <v>0</v>
      </c>
      <c r="EA183" s="106">
        <f>+HLOOKUP($C183,BP!$BE$2:$BQ$250,238,0)</f>
        <v>0</v>
      </c>
      <c r="EB183" s="106">
        <f>+HLOOKUP($C183,BP!$BE$2:$BQ$250,240,0)</f>
        <v>0</v>
      </c>
    </row>
    <row r="184" spans="1:132">
      <c r="A184" t="s">
        <v>269</v>
      </c>
      <c r="B184" t="s">
        <v>218</v>
      </c>
      <c r="C184" s="117">
        <v>45931</v>
      </c>
      <c r="D184" s="106">
        <f t="shared" si="5"/>
        <v>5199711.3132000007</v>
      </c>
      <c r="E184" s="106">
        <f>+HLOOKUP(C184,BP!$BE$2:$BQ$250,28,0)+HLOOKUP(C184,BP!$BE$2:$BQ$250,43,0)+HLOOKUP(C184,BP!$BE$2:$BQ$250,44,0)+HLOOKUP(C184,BP!$BE$2:$BQ$250,45,0)+HLOOKUP(C184,BP!$BE$2:$BQ$250,54,0)+HLOOKUP(C184,BP!$BE$2:$BQ$250,59,0)</f>
        <v>5199711.3132000007</v>
      </c>
      <c r="F184" s="106">
        <f>+HLOOKUP(C184,BP!$BE$2:$BQ$250,37,0)+HLOOKUP(C184,BP!$BE$2:$BQ$250,55,0)</f>
        <v>3205757.3620000002</v>
      </c>
      <c r="G184" s="106">
        <f>+HLOOKUP($C184,BP!$BE$2:$BQ$250,76,0)</f>
        <v>0</v>
      </c>
      <c r="H184" s="106">
        <f>+HLOOKUP($C184,BP!$BE$2:$BQ$250,77,0)</f>
        <v>0</v>
      </c>
      <c r="I184" s="106">
        <f>+HLOOKUP($C184,BP!$BE$2:$BQ$250,78,0)</f>
        <v>0</v>
      </c>
      <c r="J184" s="106">
        <f>+HLOOKUP($C184,BP!$BE$2:$BQ$250,79,0)</f>
        <v>0</v>
      </c>
      <c r="K184" s="106">
        <f>+HLOOKUP($C184,BP!$BE$2:$BQ$250,80,0)</f>
        <v>75000</v>
      </c>
      <c r="L184" s="106">
        <f>+HLOOKUP($C184,BP!$BE$2:$BQ$250,81,0)</f>
        <v>38050.51</v>
      </c>
      <c r="M184" s="106">
        <f>+HLOOKUP($C184,BP!$BE$2:$BQ$250,82,0)</f>
        <v>0</v>
      </c>
      <c r="N184" s="106">
        <f>+HLOOKUP($C184,BP!$BE$2:$BQ$250,83,0)</f>
        <v>0</v>
      </c>
      <c r="O184" s="106">
        <f>+HLOOKUP($C184,BP!$BE$2:$BQ$250,84,0)</f>
        <v>0</v>
      </c>
      <c r="P184" s="106">
        <f>+HLOOKUP($C184,BP!$BE$2:$BQ$250,85,0)</f>
        <v>0</v>
      </c>
      <c r="Q184" s="106">
        <f>+HLOOKUP($C184,BP!$BE$2:$BQ$250,87,0)</f>
        <v>25858.76</v>
      </c>
      <c r="R184" s="106">
        <f>+HLOOKUP($C184,BP!$BE$2:$BQ$250,90,0)</f>
        <v>0</v>
      </c>
      <c r="S184" s="106">
        <f>+HLOOKUP($C184,BP!$BE$2:$BQ$250,91,0)</f>
        <v>0</v>
      </c>
      <c r="T184" s="106">
        <f>+HLOOKUP($C184,BP!$BE$2:$BQ$250,92,0)</f>
        <v>0</v>
      </c>
      <c r="U184" s="106">
        <f>+HLOOKUP($C184,BP!$BE$2:$BQ$250,93,0)</f>
        <v>0</v>
      </c>
      <c r="V184" s="106">
        <f>+HLOOKUP($C184,BP!$BE$2:$BQ$250,94,0)</f>
        <v>0</v>
      </c>
      <c r="W184" s="106">
        <f>+HLOOKUP($C184,BP!$BE$2:$BQ$250,95,0)</f>
        <v>0</v>
      </c>
      <c r="X184" s="106">
        <f>+HLOOKUP($C184,BP!$BE$2:$BQ$250,96,0)</f>
        <v>0</v>
      </c>
      <c r="Y184" s="106">
        <f>+HLOOKUP($C184,BP!$BE$2:$BQ$250,97,0)</f>
        <v>0</v>
      </c>
      <c r="Z184" s="106">
        <f>+HLOOKUP($C184,BP!$BE$2:$BQ$250,98,0)</f>
        <v>0</v>
      </c>
      <c r="AA184" s="106">
        <f>+HLOOKUP($C184,BP!$BE$2:$BQ$250,99,0)</f>
        <v>0</v>
      </c>
      <c r="AB184" s="106">
        <f>+HLOOKUP($C184,BP!$BE$2:$BQ$250,100,0)</f>
        <v>0</v>
      </c>
      <c r="AC184" s="106">
        <f>+HLOOKUP($C184,BP!$BE$2:$BQ$250,101,0)</f>
        <v>0</v>
      </c>
      <c r="AD184" s="106">
        <f>+HLOOKUP($C184,BP!$BE$2:$BQ$250,104,0)</f>
        <v>0</v>
      </c>
      <c r="AE184" s="106">
        <f>+HLOOKUP($C184,BP!$BE$2:$BQ$250,105,0)</f>
        <v>10800</v>
      </c>
      <c r="AF184" s="106">
        <f>+HLOOKUP($C184,BP!$BE$2:$BQ$250,106,0)</f>
        <v>0</v>
      </c>
      <c r="AG184" s="106">
        <f>+HLOOKUP($C184,BP!$BE$2:$BQ$250,107,0)</f>
        <v>0</v>
      </c>
      <c r="AH184" s="106">
        <f>+HLOOKUP($C184,BP!$BE$2:$BQ$250,108,0)</f>
        <v>0</v>
      </c>
      <c r="AI184" s="106">
        <f>+HLOOKUP($C184,BP!$BE$2:$BQ$250,109,0)</f>
        <v>0</v>
      </c>
      <c r="AJ184" s="106">
        <f>+HLOOKUP($C184,BP!$BE$2:$BQ$250,110,0)</f>
        <v>0</v>
      </c>
      <c r="AK184" s="106">
        <f>+HLOOKUP($C184,BP!$BE$2:$BQ$250,111,0)</f>
        <v>0</v>
      </c>
      <c r="AL184" s="106">
        <f>+HLOOKUP($C184,BP!$BE$2:$BQ$250,112,0)</f>
        <v>0</v>
      </c>
      <c r="AM184" s="106">
        <f>+HLOOKUP($C184,BP!$BE$2:$BQ$250,116,0)</f>
        <v>115397</v>
      </c>
      <c r="AN184" s="106">
        <f>+HLOOKUP($C184,BP!$BE$2:$BQ$250,117,0)</f>
        <v>20048</v>
      </c>
      <c r="AO184" s="106">
        <f>+HLOOKUP($C184,BP!$BE$2:$BQ$250,118,0)</f>
        <v>2379</v>
      </c>
      <c r="AP184" s="106">
        <f>+HLOOKUP($C184,BP!$BE$2:$BQ$250,119,0)</f>
        <v>38792</v>
      </c>
      <c r="AQ184" s="106">
        <f>+HLOOKUP($C184,BP!$BE$2:$BQ$250,120,0)</f>
        <v>7516</v>
      </c>
      <c r="AR184" s="106">
        <f>+HLOOKUP($C184,BP!$BE$2:$BQ$250,121,0)</f>
        <v>2876</v>
      </c>
      <c r="AS184" s="106">
        <f>+HLOOKUP($C184,BP!$BE$2:$BQ$250,122,0)</f>
        <v>63573</v>
      </c>
      <c r="AT184" s="106">
        <f>+HLOOKUP($C184,BP!$BE$2:$BQ$250,123,0)</f>
        <v>14646.494290277777</v>
      </c>
      <c r="AU184" s="106">
        <f>+HLOOKUP($C184,BP!$BE$2:$BQ$250,124,0)</f>
        <v>1866.75</v>
      </c>
      <c r="AV184" s="106">
        <f>+HLOOKUP($C184,BP!$BE$2:$BQ$250,125,0)</f>
        <v>66738.600000000006</v>
      </c>
      <c r="AW184" s="106">
        <f>+HLOOKUP($C184,BP!$BE$2:$BQ$250,126,0)</f>
        <v>5110.5769230769229</v>
      </c>
      <c r="AX184" s="106">
        <f>+HLOOKUP($C184,BP!$BE$2:$BQ$250,127,0)</f>
        <v>8274.9999999999982</v>
      </c>
      <c r="AY184" s="106">
        <f>+HLOOKUP($C184,BP!$BE$2:$BQ$250,129,0)</f>
        <v>0</v>
      </c>
      <c r="AZ184" s="106">
        <f>+HLOOKUP($C184,BP!$BE$2:$BQ$250,130,0)</f>
        <v>0</v>
      </c>
      <c r="BA184" s="106">
        <f>+HLOOKUP($C184,BP!$BE$2:$BQ$250,131,0)</f>
        <v>0</v>
      </c>
      <c r="BB184" s="106">
        <f>+HLOOKUP($C184,BP!$BE$2:$BQ$250,133,0)</f>
        <v>0</v>
      </c>
      <c r="BC184" s="106">
        <f>+HLOOKUP($C184,BP!$BE$2:$BQ$250,134,0)</f>
        <v>3135.24</v>
      </c>
      <c r="BD184" s="106">
        <f>+HLOOKUP($C184,BP!$BE$2:$BQ$250,135,0)</f>
        <v>0</v>
      </c>
      <c r="BE184" s="106">
        <f>+HLOOKUP($C184,BP!$BE$2:$BQ$250,136,0)</f>
        <v>0</v>
      </c>
      <c r="BF184" s="106">
        <f>+HLOOKUP($C184,BP!$BE$2:$BQ$250,138,0)</f>
        <v>7471.8</v>
      </c>
      <c r="BG184" s="106">
        <f>+HLOOKUP($C184,BP!$BE$2:$BQ$250,139,0)</f>
        <v>0</v>
      </c>
      <c r="BH184" s="106">
        <f>+HLOOKUP($C184,BP!$BE$2:$BQ$250,140,0)</f>
        <v>0</v>
      </c>
      <c r="BI184" s="106">
        <f>+HLOOKUP($C184,BP!$BE$2:$BQ$250,141,0)</f>
        <v>0</v>
      </c>
      <c r="BJ184" s="106">
        <f>+HLOOKUP($C184,BP!$BE$2:$BQ$250,142,0)</f>
        <v>0</v>
      </c>
      <c r="BK184" s="106">
        <f>+HLOOKUP($C184,BP!$BE$2:$BQ$250,143,0)</f>
        <v>0</v>
      </c>
      <c r="BL184" s="106">
        <f>+HLOOKUP($C184,BP!$BE$2:$BQ$250,144,0)</f>
        <v>0</v>
      </c>
      <c r="BM184" s="106">
        <f>+HLOOKUP($C184,BP!$BE$2:$BQ$250,146,0)</f>
        <v>0</v>
      </c>
      <c r="BN184" s="106">
        <f>+HLOOKUP($C184,BP!$BE$2:$BQ$250,147,0)</f>
        <v>0</v>
      </c>
      <c r="BO184" s="106">
        <f>+HLOOKUP($C184,BP!$BE$2:$BQ$250,148,0)</f>
        <v>0</v>
      </c>
      <c r="BP184" s="106">
        <f>+HLOOKUP($C184,BP!$BE$2:$BQ$250,150,0)</f>
        <v>47188.4</v>
      </c>
      <c r="BQ184" s="106">
        <f>+HLOOKUP($C184,BP!$BE$2:$BQ$250,151,0)</f>
        <v>3968.8</v>
      </c>
      <c r="BR184" s="106">
        <f>+HLOOKUP($C184,BP!$BE$2:$BQ$250,152,0)</f>
        <v>14000</v>
      </c>
      <c r="BS184" s="106">
        <f>+HLOOKUP($C184,BP!$BE$2:$BQ$250,153,0)</f>
        <v>0</v>
      </c>
      <c r="BT184" s="106">
        <f>+HLOOKUP($C184,BP!$BE$2:$BQ$250,157,0)</f>
        <v>0</v>
      </c>
      <c r="BU184" s="106">
        <f>+HLOOKUP($C184,BP!$BE$2:$BQ$250,158,0)</f>
        <v>0</v>
      </c>
      <c r="BV184" s="106">
        <f>+HLOOKUP($C184,BP!$BE$2:$BQ$250,159,0)</f>
        <v>0</v>
      </c>
      <c r="BW184" s="106">
        <f>+HLOOKUP($C184,BP!$BE$2:$BQ$250,160,0)</f>
        <v>514.55999999999995</v>
      </c>
      <c r="BX184" s="106">
        <f>+HLOOKUP($C184,BP!$BE$2:$BQ$250,161,0)</f>
        <v>0</v>
      </c>
      <c r="BY184" s="106">
        <f>+HLOOKUP($C184,BP!$BE$2:$BQ$250,164,0)</f>
        <v>6229.8960000000006</v>
      </c>
      <c r="BZ184" s="106">
        <f>+HLOOKUP($C184,BP!$BE$2:$BQ$250,165,0)</f>
        <v>0</v>
      </c>
      <c r="CA184" s="106">
        <f>+HLOOKUP($C184,BP!$BE$2:$BQ$250,166,0)</f>
        <v>0</v>
      </c>
      <c r="CB184" s="106">
        <f>+HLOOKUP($C184,BP!$BE$2:$BQ$250,167,0)</f>
        <v>0</v>
      </c>
      <c r="CC184" s="106">
        <f>+HLOOKUP($C184,BP!$BE$2:$BQ$250,168,0)</f>
        <v>0</v>
      </c>
      <c r="CD184" s="106">
        <f>+HLOOKUP($C184,BP!$BE$2:$BQ$250,169,0)</f>
        <v>0</v>
      </c>
      <c r="CE184" s="106">
        <f>+HLOOKUP($C184,BP!$BE$2:$BQ$250,170,0)</f>
        <v>0</v>
      </c>
      <c r="CF184" s="106">
        <f>+HLOOKUP($C184,BP!$BE$2:$BQ$250,172,0)</f>
        <v>21800</v>
      </c>
      <c r="CG184" s="106">
        <f>+HLOOKUP($C184,BP!$BE$2:$BQ$250,173,0)</f>
        <v>0</v>
      </c>
      <c r="CH184" s="106">
        <f>+HLOOKUP($C184,BP!$BE$2:$BQ$250,174,0)</f>
        <v>57600</v>
      </c>
      <c r="CI184" s="106">
        <f>+HLOOKUP($C184,BP!$BE$2:$BQ$250,175,0)</f>
        <v>4460</v>
      </c>
      <c r="CJ184" s="106">
        <f>+HLOOKUP($C184,BP!$BE$2:$BQ$250,176,0)</f>
        <v>1480.32</v>
      </c>
      <c r="CK184" s="106">
        <f>+HLOOKUP($C184,BP!$BE$2:$BQ$250,178,0)</f>
        <v>66812</v>
      </c>
      <c r="CL184" s="106">
        <f>+HLOOKUP($C184,BP!$BE$2:$BQ$250,179,0)</f>
        <v>5577.18</v>
      </c>
      <c r="CM184" s="106">
        <f>+HLOOKUP($C184,BP!$BE$2:$BQ$250,180,0)</f>
        <v>0</v>
      </c>
      <c r="CN184" s="106">
        <f>+HLOOKUP($C184,BP!$BE$2:$BQ$250,182,0)</f>
        <v>609.12</v>
      </c>
      <c r="CO184" s="106">
        <f>+HLOOKUP($C184,BP!$BE$2:$BQ$250,183,0)</f>
        <v>7749.9599999999991</v>
      </c>
      <c r="CP184" s="106">
        <f>+HLOOKUP($C184,BP!$BE$2:$BQ$250,184,0)</f>
        <v>6917.52</v>
      </c>
      <c r="CQ184" s="106">
        <f>+HLOOKUP($C184,BP!$BE$2:$BQ$250,185,0)</f>
        <v>0</v>
      </c>
      <c r="CR184" s="106">
        <f>+HLOOKUP($C184,BP!$BE$2:$BQ$250,187,0)</f>
        <v>2499.84</v>
      </c>
      <c r="CS184" s="106">
        <f>+HLOOKUP($C184,BP!$BE$2:$BQ$250,188,0)</f>
        <v>0</v>
      </c>
      <c r="CT184" s="106">
        <f>+HLOOKUP($C184,BP!$BE$2:$BQ$250,189,0)</f>
        <v>0</v>
      </c>
      <c r="CU184" s="106">
        <f>+HLOOKUP($C184,BP!$BE$2:$BQ$250,190,0)</f>
        <v>999.96</v>
      </c>
      <c r="CV184" s="106">
        <f>+HLOOKUP($C184,BP!$BE$2:$BQ$250,191,0)</f>
        <v>0</v>
      </c>
      <c r="CW184" s="106">
        <f>+HLOOKUP($C184,BP!$BE$2:$BQ$250,193,0)</f>
        <v>0</v>
      </c>
      <c r="CX184" s="106">
        <f>+HLOOKUP($C184,BP!$BE$2:$BQ$250,194,0)</f>
        <v>781.8</v>
      </c>
      <c r="CY184" s="106">
        <f>+HLOOKUP($C184,BP!$BE$2:$BQ$250,195,0)</f>
        <v>0</v>
      </c>
      <c r="CZ184" s="106">
        <f>+HLOOKUP($C184,BP!$BE$2:$BQ$250,196,0)</f>
        <v>0</v>
      </c>
      <c r="DA184" s="106">
        <f>+HLOOKUP($C184,BP!$BE$2:$BQ$250,197,0)</f>
        <v>1584.4880000000001</v>
      </c>
      <c r="DB184" s="106">
        <f>+HLOOKUP($C184,BP!$BE$2:$BQ$250,198,0)</f>
        <v>4500</v>
      </c>
      <c r="DC184" s="106">
        <f>+HLOOKUP($C184,BP!$BE$2:$BQ$250,199,0)</f>
        <v>0</v>
      </c>
      <c r="DD184" s="106">
        <f>+HLOOKUP($C184,BP!$BE$2:$BQ$250,200,0)</f>
        <v>0</v>
      </c>
      <c r="DE184" s="106">
        <f>+HLOOKUP($C184,BP!$BE$2:$BQ$250,201,0)</f>
        <v>0</v>
      </c>
      <c r="DF184" s="106">
        <f>+HLOOKUP($C184,BP!$BE$2:$BQ$250,202,0)</f>
        <v>0.50639999999999996</v>
      </c>
      <c r="DG184" s="106">
        <f>+HLOOKUP($C184,BP!$BE$2:$BQ$250,203,0)</f>
        <v>-9.5616000000000003</v>
      </c>
      <c r="DH184" s="106">
        <f>+HLOOKUP($C184,BP!$BE$2:$BQ$250,205,0)</f>
        <v>0</v>
      </c>
      <c r="DI184" s="106">
        <f>+HLOOKUP($C184,BP!$BE$2:$BQ$250,206,0)</f>
        <v>0</v>
      </c>
      <c r="DJ184" s="106">
        <f>+HLOOKUP($C184,BP!$BE$2:$BQ$250,207,0)</f>
        <v>333.48</v>
      </c>
      <c r="DK184" s="106">
        <f>+HLOOKUP($C184,BP!$BE$2:$BQ$250,209,0)</f>
        <v>100000</v>
      </c>
      <c r="DL184" s="106">
        <f>+HLOOKUP($C184,BP!$BE$2:$BQ$250,210,0)</f>
        <v>126588</v>
      </c>
      <c r="DM184" s="106">
        <f>+HLOOKUP($C184,BP!$BE$2:$BQ$250,211,0)</f>
        <v>0</v>
      </c>
      <c r="DN184" s="106">
        <f>+HLOOKUP($C184,BP!$BE$2:$BQ$250,212,0)</f>
        <v>0</v>
      </c>
      <c r="DO184" s="106">
        <f>+HLOOKUP($C184,BP!$BE$2:$BQ$250,214,0)</f>
        <v>0</v>
      </c>
      <c r="DP184" s="106">
        <f>+HLOOKUP($C184,BP!$BE$2:$BQ$250,215,0)</f>
        <v>0</v>
      </c>
      <c r="DQ184" s="106">
        <f>+HLOOKUP($C184,BP!$BE$2:$BQ$250,219,0)</f>
        <v>0</v>
      </c>
      <c r="DR184" s="106">
        <f>+HLOOKUP($C184,BP!$BE$2:$BQ$250,220,0)</f>
        <v>0</v>
      </c>
      <c r="DS184" s="106">
        <f>+HLOOKUP($C184,BP!$BE$2:$BQ$250,221,0)</f>
        <v>0</v>
      </c>
      <c r="DT184" s="106">
        <f>+HLOOKUP($C184,BP!$BE$2:$BQ$250,223,0)</f>
        <v>16308.547199999999</v>
      </c>
      <c r="DU184" s="106">
        <f>+HLOOKUP($C184,BP!$BE$2:$BQ$250,224,0)</f>
        <v>0</v>
      </c>
      <c r="DV184" s="106">
        <f>+HLOOKUP($C184,BP!$BE$2:$BQ$250,225,0)</f>
        <v>0</v>
      </c>
      <c r="DW184" s="106">
        <f>+HLOOKUP($C184,BP!$BE$2:$BQ$250,227,0)</f>
        <v>0</v>
      </c>
      <c r="DX184" s="106">
        <f>+HLOOKUP($C184,BP!$BE$2:$BQ$250,228,0)</f>
        <v>1410.8400000000001</v>
      </c>
      <c r="DY184" s="106">
        <f>+HLOOKUP($C184,BP!$BE$2:$BQ$250,236,0)</f>
        <v>0</v>
      </c>
      <c r="DZ184" s="106">
        <f>+HLOOKUP($C184,BP!$BE$2:$BQ$250,237,0)</f>
        <v>19083.597720000002</v>
      </c>
      <c r="EA184" s="106">
        <f>+HLOOKUP($C184,BP!$BE$2:$BQ$250,238,0)</f>
        <v>0</v>
      </c>
      <c r="EB184" s="106">
        <f>+HLOOKUP($C184,BP!$BE$2:$BQ$250,240,0)</f>
        <v>386326.71292708302</v>
      </c>
    </row>
    <row r="185" spans="1:132">
      <c r="A185" t="s">
        <v>269</v>
      </c>
      <c r="B185" t="s">
        <v>218</v>
      </c>
      <c r="C185" s="117">
        <v>45901</v>
      </c>
      <c r="D185" s="106">
        <f t="shared" si="5"/>
        <v>8018185.8848000001</v>
      </c>
      <c r="E185" s="106">
        <f>+HLOOKUP(C185,BP!$BE$2:$BQ$250,28,0)+HLOOKUP(C185,BP!$BE$2:$BQ$250,43,0)+HLOOKUP(C185,BP!$BE$2:$BQ$250,44,0)+HLOOKUP(C185,BP!$BE$2:$BQ$250,45,0)+HLOOKUP(C185,BP!$BE$2:$BQ$250,54,0)+HLOOKUP(C185,BP!$BE$2:$BQ$250,59,0)</f>
        <v>8018185.8848000001</v>
      </c>
      <c r="F185" s="106">
        <f>+HLOOKUP(C185,BP!$BE$2:$BQ$250,37,0)+HLOOKUP(C185,BP!$BE$2:$BQ$250,55,0)</f>
        <v>4784081.6259999992</v>
      </c>
      <c r="G185" s="106">
        <f>+HLOOKUP($C185,BP!$BE$2:$BQ$250,76,0)</f>
        <v>0</v>
      </c>
      <c r="H185" s="106">
        <f>+HLOOKUP($C185,BP!$BE$2:$BQ$250,77,0)</f>
        <v>0</v>
      </c>
      <c r="I185" s="106">
        <f>+HLOOKUP($C185,BP!$BE$2:$BQ$250,78,0)</f>
        <v>0</v>
      </c>
      <c r="J185" s="106">
        <f>+HLOOKUP($C185,BP!$BE$2:$BQ$250,79,0)</f>
        <v>0</v>
      </c>
      <c r="K185" s="106">
        <f>+HLOOKUP($C185,BP!$BE$2:$BQ$250,80,0)</f>
        <v>0</v>
      </c>
      <c r="L185" s="106">
        <f>+HLOOKUP($C185,BP!$BE$2:$BQ$250,81,0)</f>
        <v>18127.14</v>
      </c>
      <c r="M185" s="106">
        <f>+HLOOKUP($C185,BP!$BE$2:$BQ$250,82,0)</f>
        <v>0</v>
      </c>
      <c r="N185" s="106">
        <f>+HLOOKUP($C185,BP!$BE$2:$BQ$250,83,0)</f>
        <v>0</v>
      </c>
      <c r="O185" s="106">
        <f>+HLOOKUP($C185,BP!$BE$2:$BQ$250,84,0)</f>
        <v>0</v>
      </c>
      <c r="P185" s="106">
        <f>+HLOOKUP($C185,BP!$BE$2:$BQ$250,85,0)</f>
        <v>0</v>
      </c>
      <c r="Q185" s="106">
        <f>+HLOOKUP($C185,BP!$BE$2:$BQ$250,87,0)</f>
        <v>190263.59</v>
      </c>
      <c r="R185" s="106">
        <f>+HLOOKUP($C185,BP!$BE$2:$BQ$250,90,0)</f>
        <v>0</v>
      </c>
      <c r="S185" s="106">
        <f>+HLOOKUP($C185,BP!$BE$2:$BQ$250,91,0)</f>
        <v>6018.1777777777779</v>
      </c>
      <c r="T185" s="106">
        <f>+HLOOKUP($C185,BP!$BE$2:$BQ$250,92,0)</f>
        <v>0</v>
      </c>
      <c r="U185" s="106">
        <f>+HLOOKUP($C185,BP!$BE$2:$BQ$250,93,0)</f>
        <v>0</v>
      </c>
      <c r="V185" s="106">
        <f>+HLOOKUP($C185,BP!$BE$2:$BQ$250,94,0)</f>
        <v>0</v>
      </c>
      <c r="W185" s="106">
        <f>+HLOOKUP($C185,BP!$BE$2:$BQ$250,95,0)</f>
        <v>0</v>
      </c>
      <c r="X185" s="106">
        <f>+HLOOKUP($C185,BP!$BE$2:$BQ$250,96,0)</f>
        <v>0</v>
      </c>
      <c r="Y185" s="106">
        <f>+HLOOKUP($C185,BP!$BE$2:$BQ$250,97,0)</f>
        <v>0</v>
      </c>
      <c r="Z185" s="106">
        <f>+HLOOKUP($C185,BP!$BE$2:$BQ$250,98,0)</f>
        <v>0</v>
      </c>
      <c r="AA185" s="106">
        <f>+HLOOKUP($C185,BP!$BE$2:$BQ$250,99,0)</f>
        <v>0</v>
      </c>
      <c r="AB185" s="106">
        <f>+HLOOKUP($C185,BP!$BE$2:$BQ$250,100,0)</f>
        <v>0</v>
      </c>
      <c r="AC185" s="106">
        <f>+HLOOKUP($C185,BP!$BE$2:$BQ$250,101,0)</f>
        <v>0</v>
      </c>
      <c r="AD185" s="106">
        <f>+HLOOKUP($C185,BP!$BE$2:$BQ$250,104,0)</f>
        <v>0</v>
      </c>
      <c r="AE185" s="106">
        <f>+HLOOKUP($C185,BP!$BE$2:$BQ$250,105,0)</f>
        <v>0</v>
      </c>
      <c r="AF185" s="106">
        <f>+HLOOKUP($C185,BP!$BE$2:$BQ$250,106,0)</f>
        <v>0</v>
      </c>
      <c r="AG185" s="106">
        <f>+HLOOKUP($C185,BP!$BE$2:$BQ$250,107,0)</f>
        <v>0</v>
      </c>
      <c r="AH185" s="106">
        <f>+HLOOKUP($C185,BP!$BE$2:$BQ$250,108,0)</f>
        <v>0</v>
      </c>
      <c r="AI185" s="106">
        <f>+HLOOKUP($C185,BP!$BE$2:$BQ$250,109,0)</f>
        <v>0</v>
      </c>
      <c r="AJ185" s="106">
        <f>+HLOOKUP($C185,BP!$BE$2:$BQ$250,110,0)</f>
        <v>0</v>
      </c>
      <c r="AK185" s="106">
        <f>+HLOOKUP($C185,BP!$BE$2:$BQ$250,111,0)</f>
        <v>0</v>
      </c>
      <c r="AL185" s="106">
        <f>+HLOOKUP($C185,BP!$BE$2:$BQ$250,112,0)</f>
        <v>0</v>
      </c>
      <c r="AM185" s="106">
        <f>+HLOOKUP($C185,BP!$BE$2:$BQ$250,116,0)</f>
        <v>93468</v>
      </c>
      <c r="AN185" s="106">
        <f>+HLOOKUP($C185,BP!$BE$2:$BQ$250,117,0)</f>
        <v>16611</v>
      </c>
      <c r="AO185" s="106">
        <f>+HLOOKUP($C185,BP!$BE$2:$BQ$250,118,0)</f>
        <v>2500</v>
      </c>
      <c r="AP185" s="106">
        <f>+HLOOKUP($C185,BP!$BE$2:$BQ$250,119,0)</f>
        <v>32247</v>
      </c>
      <c r="AQ185" s="106">
        <f>+HLOOKUP($C185,BP!$BE$2:$BQ$250,120,0)</f>
        <v>4268</v>
      </c>
      <c r="AR185" s="106">
        <f>+HLOOKUP($C185,BP!$BE$2:$BQ$250,121,0)</f>
        <v>2000</v>
      </c>
      <c r="AS185" s="106">
        <f>+HLOOKUP($C185,BP!$BE$2:$BQ$250,122,0)</f>
        <v>96906.6</v>
      </c>
      <c r="AT185" s="106">
        <f>+HLOOKUP($C185,BP!$BE$2:$BQ$250,123,0)</f>
        <v>14646.494290277777</v>
      </c>
      <c r="AU185" s="106">
        <f>+HLOOKUP($C185,BP!$BE$2:$BQ$250,124,0)</f>
        <v>1866.75</v>
      </c>
      <c r="AV185" s="106">
        <f>+HLOOKUP($C185,BP!$BE$2:$BQ$250,125,0)</f>
        <v>98853.6</v>
      </c>
      <c r="AW185" s="106">
        <f>+HLOOKUP($C185,BP!$BE$2:$BQ$250,126,0)</f>
        <v>5110.5769230769229</v>
      </c>
      <c r="AX185" s="106">
        <f>+HLOOKUP($C185,BP!$BE$2:$BQ$250,127,0)</f>
        <v>8274.9999999999982</v>
      </c>
      <c r="AY185" s="106">
        <f>+HLOOKUP($C185,BP!$BE$2:$BQ$250,129,0)</f>
        <v>6858</v>
      </c>
      <c r="AZ185" s="106">
        <f>+HLOOKUP($C185,BP!$BE$2:$BQ$250,130,0)</f>
        <v>0</v>
      </c>
      <c r="BA185" s="106">
        <f>+HLOOKUP($C185,BP!$BE$2:$BQ$250,131,0)</f>
        <v>0</v>
      </c>
      <c r="BB185" s="106">
        <f>+HLOOKUP($C185,BP!$BE$2:$BQ$250,133,0)</f>
        <v>0</v>
      </c>
      <c r="BC185" s="106">
        <f>+HLOOKUP($C185,BP!$BE$2:$BQ$250,134,0)</f>
        <v>0</v>
      </c>
      <c r="BD185" s="106">
        <f>+HLOOKUP($C185,BP!$BE$2:$BQ$250,135,0)</f>
        <v>0</v>
      </c>
      <c r="BE185" s="106">
        <f>+HLOOKUP($C185,BP!$BE$2:$BQ$250,136,0)</f>
        <v>0</v>
      </c>
      <c r="BF185" s="106">
        <f>+HLOOKUP($C185,BP!$BE$2:$BQ$250,138,0)</f>
        <v>7471.8</v>
      </c>
      <c r="BG185" s="106">
        <f>+HLOOKUP($C185,BP!$BE$2:$BQ$250,139,0)</f>
        <v>0</v>
      </c>
      <c r="BH185" s="106">
        <f>+HLOOKUP($C185,BP!$BE$2:$BQ$250,140,0)</f>
        <v>0</v>
      </c>
      <c r="BI185" s="106">
        <f>+HLOOKUP($C185,BP!$BE$2:$BQ$250,141,0)</f>
        <v>0</v>
      </c>
      <c r="BJ185" s="106">
        <f>+HLOOKUP($C185,BP!$BE$2:$BQ$250,142,0)</f>
        <v>0</v>
      </c>
      <c r="BK185" s="106">
        <f>+HLOOKUP($C185,BP!$BE$2:$BQ$250,143,0)</f>
        <v>0</v>
      </c>
      <c r="BL185" s="106">
        <f>+HLOOKUP($C185,BP!$BE$2:$BQ$250,144,0)</f>
        <v>0</v>
      </c>
      <c r="BM185" s="106">
        <f>+HLOOKUP($C185,BP!$BE$2:$BQ$250,146,0)</f>
        <v>0</v>
      </c>
      <c r="BN185" s="106">
        <f>+HLOOKUP($C185,BP!$BE$2:$BQ$250,147,0)</f>
        <v>0</v>
      </c>
      <c r="BO185" s="106">
        <f>+HLOOKUP($C185,BP!$BE$2:$BQ$250,148,0)</f>
        <v>0</v>
      </c>
      <c r="BP185" s="106">
        <f>+HLOOKUP($C185,BP!$BE$2:$BQ$250,150,0)</f>
        <v>36190</v>
      </c>
      <c r="BQ185" s="106">
        <f>+HLOOKUP($C185,BP!$BE$2:$BQ$250,151,0)</f>
        <v>3968.8</v>
      </c>
      <c r="BR185" s="106">
        <f>+HLOOKUP($C185,BP!$BE$2:$BQ$250,152,0)</f>
        <v>14000</v>
      </c>
      <c r="BS185" s="106">
        <f>+HLOOKUP($C185,BP!$BE$2:$BQ$250,153,0)</f>
        <v>0</v>
      </c>
      <c r="BT185" s="106">
        <f>+HLOOKUP($C185,BP!$BE$2:$BQ$250,157,0)</f>
        <v>0</v>
      </c>
      <c r="BU185" s="106">
        <f>+HLOOKUP($C185,BP!$BE$2:$BQ$250,158,0)</f>
        <v>4708.47</v>
      </c>
      <c r="BV185" s="106">
        <f>+HLOOKUP($C185,BP!$BE$2:$BQ$250,159,0)</f>
        <v>0</v>
      </c>
      <c r="BW185" s="106">
        <f>+HLOOKUP($C185,BP!$BE$2:$BQ$250,160,0)</f>
        <v>0</v>
      </c>
      <c r="BX185" s="106">
        <f>+HLOOKUP($C185,BP!$BE$2:$BQ$250,161,0)</f>
        <v>0</v>
      </c>
      <c r="BY185" s="106">
        <f>+HLOOKUP($C185,BP!$BE$2:$BQ$250,164,0)</f>
        <v>3190.3160000000003</v>
      </c>
      <c r="BZ185" s="106">
        <f>+HLOOKUP($C185,BP!$BE$2:$BQ$250,165,0)</f>
        <v>0</v>
      </c>
      <c r="CA185" s="106">
        <f>+HLOOKUP($C185,BP!$BE$2:$BQ$250,166,0)</f>
        <v>0</v>
      </c>
      <c r="CB185" s="106">
        <f>+HLOOKUP($C185,BP!$BE$2:$BQ$250,167,0)</f>
        <v>0</v>
      </c>
      <c r="CC185" s="106">
        <f>+HLOOKUP($C185,BP!$BE$2:$BQ$250,168,0)</f>
        <v>0</v>
      </c>
      <c r="CD185" s="106">
        <f>+HLOOKUP($C185,BP!$BE$2:$BQ$250,169,0)</f>
        <v>0</v>
      </c>
      <c r="CE185" s="106">
        <f>+HLOOKUP($C185,BP!$BE$2:$BQ$250,170,0)</f>
        <v>0</v>
      </c>
      <c r="CF185" s="106">
        <f>+HLOOKUP($C185,BP!$BE$2:$BQ$250,172,0)</f>
        <v>21800</v>
      </c>
      <c r="CG185" s="106">
        <f>+HLOOKUP($C185,BP!$BE$2:$BQ$250,173,0)</f>
        <v>0</v>
      </c>
      <c r="CH185" s="106">
        <f>+HLOOKUP($C185,BP!$BE$2:$BQ$250,174,0)</f>
        <v>57600</v>
      </c>
      <c r="CI185" s="106">
        <f>+HLOOKUP($C185,BP!$BE$2:$BQ$250,175,0)</f>
        <v>4460</v>
      </c>
      <c r="CJ185" s="106">
        <f>+HLOOKUP($C185,BP!$BE$2:$BQ$250,176,0)</f>
        <v>1480.32</v>
      </c>
      <c r="CK185" s="106">
        <f>+HLOOKUP($C185,BP!$BE$2:$BQ$250,178,0)</f>
        <v>59828.800000000003</v>
      </c>
      <c r="CL185" s="106">
        <f>+HLOOKUP($C185,BP!$BE$2:$BQ$250,179,0)</f>
        <v>3452.5400000000004</v>
      </c>
      <c r="CM185" s="106">
        <f>+HLOOKUP($C185,BP!$BE$2:$BQ$250,180,0)</f>
        <v>0</v>
      </c>
      <c r="CN185" s="106">
        <f>+HLOOKUP($C185,BP!$BE$2:$BQ$250,182,0)</f>
        <v>609.12</v>
      </c>
      <c r="CO185" s="106">
        <f>+HLOOKUP($C185,BP!$BE$2:$BQ$250,183,0)</f>
        <v>6846.12</v>
      </c>
      <c r="CP185" s="106">
        <f>+HLOOKUP($C185,BP!$BE$2:$BQ$250,184,0)</f>
        <v>8632.32</v>
      </c>
      <c r="CQ185" s="106">
        <f>+HLOOKUP($C185,BP!$BE$2:$BQ$250,185,0)</f>
        <v>0</v>
      </c>
      <c r="CR185" s="106">
        <f>+HLOOKUP($C185,BP!$BE$2:$BQ$250,187,0)</f>
        <v>2499.84</v>
      </c>
      <c r="CS185" s="106">
        <f>+HLOOKUP($C185,BP!$BE$2:$BQ$250,188,0)</f>
        <v>0</v>
      </c>
      <c r="CT185" s="106">
        <f>+HLOOKUP($C185,BP!$BE$2:$BQ$250,189,0)</f>
        <v>0</v>
      </c>
      <c r="CU185" s="106">
        <f>+HLOOKUP($C185,BP!$BE$2:$BQ$250,190,0)</f>
        <v>0</v>
      </c>
      <c r="CV185" s="106">
        <f>+HLOOKUP($C185,BP!$BE$2:$BQ$250,191,0)</f>
        <v>0</v>
      </c>
      <c r="CW185" s="106">
        <f>+HLOOKUP($C185,BP!$BE$2:$BQ$250,193,0)</f>
        <v>11122.8</v>
      </c>
      <c r="CX185" s="106">
        <f>+HLOOKUP($C185,BP!$BE$2:$BQ$250,194,0)</f>
        <v>314.64000000000004</v>
      </c>
      <c r="CY185" s="106">
        <f>+HLOOKUP($C185,BP!$BE$2:$BQ$250,195,0)</f>
        <v>42.480000000000004</v>
      </c>
      <c r="CZ185" s="106">
        <f>+HLOOKUP($C185,BP!$BE$2:$BQ$250,196,0)</f>
        <v>0</v>
      </c>
      <c r="DA185" s="106">
        <f>+HLOOKUP($C185,BP!$BE$2:$BQ$250,197,0)</f>
        <v>150</v>
      </c>
      <c r="DB185" s="106">
        <f>+HLOOKUP($C185,BP!$BE$2:$BQ$250,198,0)</f>
        <v>0</v>
      </c>
      <c r="DC185" s="106">
        <f>+HLOOKUP($C185,BP!$BE$2:$BQ$250,199,0)</f>
        <v>0</v>
      </c>
      <c r="DD185" s="106">
        <f>+HLOOKUP($C185,BP!$BE$2:$BQ$250,200,0)</f>
        <v>0</v>
      </c>
      <c r="DE185" s="106">
        <f>+HLOOKUP($C185,BP!$BE$2:$BQ$250,201,0)</f>
        <v>0</v>
      </c>
      <c r="DF185" s="106">
        <f>+HLOOKUP($C185,BP!$BE$2:$BQ$250,202,0)</f>
        <v>0.49959999999999999</v>
      </c>
      <c r="DG185" s="106">
        <f>+HLOOKUP($C185,BP!$BE$2:$BQ$250,203,0)</f>
        <v>-7.9200000000000008</v>
      </c>
      <c r="DH185" s="106">
        <f>+HLOOKUP($C185,BP!$BE$2:$BQ$250,205,0)</f>
        <v>0</v>
      </c>
      <c r="DI185" s="106">
        <f>+HLOOKUP($C185,BP!$BE$2:$BQ$250,206,0)</f>
        <v>0</v>
      </c>
      <c r="DJ185" s="106">
        <f>+HLOOKUP($C185,BP!$BE$2:$BQ$250,207,0)</f>
        <v>337.07639999999998</v>
      </c>
      <c r="DK185" s="106">
        <f>+HLOOKUP($C185,BP!$BE$2:$BQ$250,209,0)</f>
        <v>100000</v>
      </c>
      <c r="DL185" s="106">
        <f>+HLOOKUP($C185,BP!$BE$2:$BQ$250,210,0)</f>
        <v>134034</v>
      </c>
      <c r="DM185" s="106">
        <f>+HLOOKUP($C185,BP!$BE$2:$BQ$250,211,0)</f>
        <v>0</v>
      </c>
      <c r="DN185" s="106">
        <f>+HLOOKUP($C185,BP!$BE$2:$BQ$250,212,0)</f>
        <v>0</v>
      </c>
      <c r="DO185" s="106">
        <f>+HLOOKUP($C185,BP!$BE$2:$BQ$250,214,0)</f>
        <v>0</v>
      </c>
      <c r="DP185" s="106">
        <f>+HLOOKUP($C185,BP!$BE$2:$BQ$250,215,0)</f>
        <v>0</v>
      </c>
      <c r="DQ185" s="106">
        <f>+HLOOKUP($C185,BP!$BE$2:$BQ$250,219,0)</f>
        <v>0</v>
      </c>
      <c r="DR185" s="106">
        <f>+HLOOKUP($C185,BP!$BE$2:$BQ$250,220,0)</f>
        <v>0</v>
      </c>
      <c r="DS185" s="106">
        <f>+HLOOKUP($C185,BP!$BE$2:$BQ$250,221,0)</f>
        <v>0</v>
      </c>
      <c r="DT185" s="106">
        <f>+HLOOKUP($C185,BP!$BE$2:$BQ$250,223,0)</f>
        <v>12546.019200000001</v>
      </c>
      <c r="DU185" s="106">
        <f>+HLOOKUP($C185,BP!$BE$2:$BQ$250,224,0)</f>
        <v>0</v>
      </c>
      <c r="DV185" s="106">
        <f>+HLOOKUP($C185,BP!$BE$2:$BQ$250,225,0)</f>
        <v>0</v>
      </c>
      <c r="DW185" s="106">
        <f>+HLOOKUP($C185,BP!$BE$2:$BQ$250,227,0)</f>
        <v>0</v>
      </c>
      <c r="DX185" s="106">
        <f>+HLOOKUP($C185,BP!$BE$2:$BQ$250,228,0)</f>
        <v>197.88</v>
      </c>
      <c r="DY185" s="106">
        <f>+HLOOKUP($C185,BP!$BE$2:$BQ$250,236,0)</f>
        <v>0</v>
      </c>
      <c r="DZ185" s="106">
        <f>+HLOOKUP($C185,BP!$BE$2:$BQ$250,237,0)</f>
        <v>19359.17324</v>
      </c>
      <c r="EA185" s="106">
        <f>+HLOOKUP($C185,BP!$BE$2:$BQ$250,238,0)</f>
        <v>0</v>
      </c>
      <c r="EB185" s="106">
        <f>+HLOOKUP($C185,BP!$BE$2:$BQ$250,240,0)</f>
        <v>386326.71292708302</v>
      </c>
    </row>
    <row r="186" spans="1:132">
      <c r="A186" t="s">
        <v>269</v>
      </c>
      <c r="B186" t="s">
        <v>218</v>
      </c>
      <c r="C186" s="117">
        <v>45870</v>
      </c>
      <c r="D186" s="106">
        <f t="shared" si="5"/>
        <v>6457943.6124</v>
      </c>
      <c r="E186" s="106">
        <f>+HLOOKUP(C186,BP!$BE$2:$BQ$250,28,0)+HLOOKUP(C186,BP!$BE$2:$BQ$250,43,0)+HLOOKUP(C186,BP!$BE$2:$BQ$250,44,0)+HLOOKUP(C186,BP!$BE$2:$BQ$250,45,0)+HLOOKUP(C186,BP!$BE$2:$BQ$250,54,0)+HLOOKUP(C186,BP!$BE$2:$BQ$250,59,0)</f>
        <v>6457943.6124</v>
      </c>
      <c r="F186" s="106">
        <f>+HLOOKUP(C186,BP!$BE$2:$BQ$250,37,0)+HLOOKUP(C186,BP!$BE$2:$BQ$250,55,0)</f>
        <v>3971095.1340000001</v>
      </c>
      <c r="G186" s="106">
        <f>+HLOOKUP($C186,BP!$BE$2:$BQ$250,76,0)</f>
        <v>0</v>
      </c>
      <c r="H186" s="106">
        <f>+HLOOKUP($C186,BP!$BE$2:$BQ$250,77,0)</f>
        <v>0</v>
      </c>
      <c r="I186" s="106">
        <f>+HLOOKUP($C186,BP!$BE$2:$BQ$250,78,0)</f>
        <v>0</v>
      </c>
      <c r="J186" s="106">
        <f>+HLOOKUP($C186,BP!$BE$2:$BQ$250,79,0)</f>
        <v>0</v>
      </c>
      <c r="K186" s="106">
        <f>+HLOOKUP($C186,BP!$BE$2:$BQ$250,80,0)</f>
        <v>0</v>
      </c>
      <c r="L186" s="106">
        <f>+HLOOKUP($C186,BP!$BE$2:$BQ$250,81,0)</f>
        <v>27253</v>
      </c>
      <c r="M186" s="106">
        <f>+HLOOKUP($C186,BP!$BE$2:$BQ$250,82,0)</f>
        <v>0</v>
      </c>
      <c r="N186" s="106">
        <f>+HLOOKUP($C186,BP!$BE$2:$BQ$250,83,0)</f>
        <v>0</v>
      </c>
      <c r="O186" s="106">
        <f>+HLOOKUP($C186,BP!$BE$2:$BQ$250,84,0)</f>
        <v>0</v>
      </c>
      <c r="P186" s="106">
        <f>+HLOOKUP($C186,BP!$BE$2:$BQ$250,85,0)</f>
        <v>0</v>
      </c>
      <c r="Q186" s="106">
        <f>+HLOOKUP($C186,BP!$BE$2:$BQ$250,87,0)</f>
        <v>86683.448000000004</v>
      </c>
      <c r="R186" s="106">
        <f>+HLOOKUP($C186,BP!$BE$2:$BQ$250,90,0)</f>
        <v>0</v>
      </c>
      <c r="S186" s="106">
        <f>+HLOOKUP($C186,BP!$BE$2:$BQ$250,91,0)</f>
        <v>0</v>
      </c>
      <c r="T186" s="106">
        <f>+HLOOKUP($C186,BP!$BE$2:$BQ$250,92,0)</f>
        <v>0</v>
      </c>
      <c r="U186" s="106">
        <f>+HLOOKUP($C186,BP!$BE$2:$BQ$250,93,0)</f>
        <v>0</v>
      </c>
      <c r="V186" s="106">
        <f>+HLOOKUP($C186,BP!$BE$2:$BQ$250,94,0)</f>
        <v>0</v>
      </c>
      <c r="W186" s="106">
        <f>+HLOOKUP($C186,BP!$BE$2:$BQ$250,95,0)</f>
        <v>0</v>
      </c>
      <c r="X186" s="106">
        <f>+HLOOKUP($C186,BP!$BE$2:$BQ$250,96,0)</f>
        <v>0</v>
      </c>
      <c r="Y186" s="106">
        <f>+HLOOKUP($C186,BP!$BE$2:$BQ$250,97,0)</f>
        <v>0</v>
      </c>
      <c r="Z186" s="106">
        <f>+HLOOKUP($C186,BP!$BE$2:$BQ$250,98,0)</f>
        <v>0</v>
      </c>
      <c r="AA186" s="106">
        <f>+HLOOKUP($C186,BP!$BE$2:$BQ$250,99,0)</f>
        <v>0</v>
      </c>
      <c r="AB186" s="106">
        <f>+HLOOKUP($C186,BP!$BE$2:$BQ$250,100,0)</f>
        <v>0</v>
      </c>
      <c r="AC186" s="106">
        <f>+HLOOKUP($C186,BP!$BE$2:$BQ$250,101,0)</f>
        <v>0</v>
      </c>
      <c r="AD186" s="106">
        <f>+HLOOKUP($C186,BP!$BE$2:$BQ$250,104,0)</f>
        <v>0</v>
      </c>
      <c r="AE186" s="106">
        <f>+HLOOKUP($C186,BP!$BE$2:$BQ$250,105,0)</f>
        <v>5316</v>
      </c>
      <c r="AF186" s="106">
        <f>+HLOOKUP($C186,BP!$BE$2:$BQ$250,106,0)</f>
        <v>0</v>
      </c>
      <c r="AG186" s="106">
        <f>+HLOOKUP($C186,BP!$BE$2:$BQ$250,107,0)</f>
        <v>0</v>
      </c>
      <c r="AH186" s="106">
        <f>+HLOOKUP($C186,BP!$BE$2:$BQ$250,108,0)</f>
        <v>9094.2000000000007</v>
      </c>
      <c r="AI186" s="106">
        <f>+HLOOKUP($C186,BP!$BE$2:$BQ$250,109,0)</f>
        <v>46966.080000000002</v>
      </c>
      <c r="AJ186" s="106">
        <f>+HLOOKUP($C186,BP!$BE$2:$BQ$250,110,0)</f>
        <v>0</v>
      </c>
      <c r="AK186" s="106">
        <f>+HLOOKUP($C186,BP!$BE$2:$BQ$250,111,0)</f>
        <v>0</v>
      </c>
      <c r="AL186" s="106">
        <f>+HLOOKUP($C186,BP!$BE$2:$BQ$250,112,0)</f>
        <v>0</v>
      </c>
      <c r="AM186" s="106">
        <f>+HLOOKUP($C186,BP!$BE$2:$BQ$250,116,0)</f>
        <v>94700</v>
      </c>
      <c r="AN186" s="106">
        <f>+HLOOKUP($C186,BP!$BE$2:$BQ$250,117,0)</f>
        <v>16934.400000000001</v>
      </c>
      <c r="AO186" s="106">
        <f>+HLOOKUP($C186,BP!$BE$2:$BQ$250,118,0)</f>
        <v>2500</v>
      </c>
      <c r="AP186" s="106">
        <f>+HLOOKUP($C186,BP!$BE$2:$BQ$250,119,0)</f>
        <v>32544.6</v>
      </c>
      <c r="AQ186" s="106">
        <f>+HLOOKUP($C186,BP!$BE$2:$BQ$250,120,0)</f>
        <v>4100</v>
      </c>
      <c r="AR186" s="106">
        <f>+HLOOKUP($C186,BP!$BE$2:$BQ$250,121,0)</f>
        <v>2000</v>
      </c>
      <c r="AS186" s="106">
        <f>+HLOOKUP($C186,BP!$BE$2:$BQ$250,122,0)</f>
        <v>52820.6</v>
      </c>
      <c r="AT186" s="106">
        <f>+HLOOKUP($C186,BP!$BE$2:$BQ$250,123,0)</f>
        <v>14646.494290277777</v>
      </c>
      <c r="AU186" s="106">
        <f>+HLOOKUP($C186,BP!$BE$2:$BQ$250,124,0)</f>
        <v>1866.75</v>
      </c>
      <c r="AV186" s="106">
        <f>+HLOOKUP($C186,BP!$BE$2:$BQ$250,125,0)</f>
        <v>82413.936000000002</v>
      </c>
      <c r="AW186" s="106">
        <f>+HLOOKUP($C186,BP!$BE$2:$BQ$250,126,0)</f>
        <v>5110.5769230769229</v>
      </c>
      <c r="AX186" s="106">
        <f>+HLOOKUP($C186,BP!$BE$2:$BQ$250,127,0)</f>
        <v>8274.9999999999982</v>
      </c>
      <c r="AY186" s="106">
        <f>+HLOOKUP($C186,BP!$BE$2:$BQ$250,129,0)</f>
        <v>0</v>
      </c>
      <c r="AZ186" s="106">
        <f>+HLOOKUP($C186,BP!$BE$2:$BQ$250,130,0)</f>
        <v>0</v>
      </c>
      <c r="BA186" s="106">
        <f>+HLOOKUP($C186,BP!$BE$2:$BQ$250,131,0)</f>
        <v>0</v>
      </c>
      <c r="BB186" s="106">
        <f>+HLOOKUP($C186,BP!$BE$2:$BQ$250,133,0)</f>
        <v>0</v>
      </c>
      <c r="BC186" s="106">
        <f>+HLOOKUP($C186,BP!$BE$2:$BQ$250,134,0)</f>
        <v>2233.92</v>
      </c>
      <c r="BD186" s="106">
        <f>+HLOOKUP($C186,BP!$BE$2:$BQ$250,135,0)</f>
        <v>0</v>
      </c>
      <c r="BE186" s="106">
        <f>+HLOOKUP($C186,BP!$BE$2:$BQ$250,136,0)</f>
        <v>0</v>
      </c>
      <c r="BF186" s="106">
        <f>+HLOOKUP($C186,BP!$BE$2:$BQ$250,138,0)</f>
        <v>7471.8</v>
      </c>
      <c r="BG186" s="106">
        <f>+HLOOKUP($C186,BP!$BE$2:$BQ$250,139,0)</f>
        <v>0</v>
      </c>
      <c r="BH186" s="106">
        <f>+HLOOKUP($C186,BP!$BE$2:$BQ$250,140,0)</f>
        <v>0</v>
      </c>
      <c r="BI186" s="106">
        <f>+HLOOKUP($C186,BP!$BE$2:$BQ$250,141,0)</f>
        <v>0</v>
      </c>
      <c r="BJ186" s="106">
        <f>+HLOOKUP($C186,BP!$BE$2:$BQ$250,142,0)</f>
        <v>0</v>
      </c>
      <c r="BK186" s="106">
        <f>+HLOOKUP($C186,BP!$BE$2:$BQ$250,143,0)</f>
        <v>0</v>
      </c>
      <c r="BL186" s="106">
        <f>+HLOOKUP($C186,BP!$BE$2:$BQ$250,144,0)</f>
        <v>0</v>
      </c>
      <c r="BM186" s="106">
        <f>+HLOOKUP($C186,BP!$BE$2:$BQ$250,146,0)</f>
        <v>0</v>
      </c>
      <c r="BN186" s="106">
        <f>+HLOOKUP($C186,BP!$BE$2:$BQ$250,147,0)</f>
        <v>0</v>
      </c>
      <c r="BO186" s="106">
        <f>+HLOOKUP($C186,BP!$BE$2:$BQ$250,148,0)</f>
        <v>0</v>
      </c>
      <c r="BP186" s="106">
        <f>+HLOOKUP($C186,BP!$BE$2:$BQ$250,150,0)</f>
        <v>36301.599999999999</v>
      </c>
      <c r="BQ186" s="106">
        <f>+HLOOKUP($C186,BP!$BE$2:$BQ$250,151,0)</f>
        <v>0</v>
      </c>
      <c r="BR186" s="106">
        <f>+HLOOKUP($C186,BP!$BE$2:$BQ$250,152,0)</f>
        <v>0</v>
      </c>
      <c r="BS186" s="106">
        <f>+HLOOKUP($C186,BP!$BE$2:$BQ$250,153,0)</f>
        <v>0</v>
      </c>
      <c r="BT186" s="106">
        <f>+HLOOKUP($C186,BP!$BE$2:$BQ$250,157,0)</f>
        <v>0</v>
      </c>
      <c r="BU186" s="106">
        <f>+HLOOKUP($C186,BP!$BE$2:$BQ$250,158,0)</f>
        <v>0</v>
      </c>
      <c r="BV186" s="106">
        <f>+HLOOKUP($C186,BP!$BE$2:$BQ$250,159,0)</f>
        <v>0</v>
      </c>
      <c r="BW186" s="106">
        <f>+HLOOKUP($C186,BP!$BE$2:$BQ$250,160,0)</f>
        <v>2643.0936000000002</v>
      </c>
      <c r="BX186" s="106">
        <f>+HLOOKUP($C186,BP!$BE$2:$BQ$250,161,0)</f>
        <v>0</v>
      </c>
      <c r="BY186" s="106">
        <f>+HLOOKUP($C186,BP!$BE$2:$BQ$250,164,0)</f>
        <v>9319.69</v>
      </c>
      <c r="BZ186" s="106">
        <f>+HLOOKUP($C186,BP!$BE$2:$BQ$250,165,0)</f>
        <v>0</v>
      </c>
      <c r="CA186" s="106">
        <f>+HLOOKUP($C186,BP!$BE$2:$BQ$250,166,0)</f>
        <v>0</v>
      </c>
      <c r="CB186" s="106">
        <f>+HLOOKUP($C186,BP!$BE$2:$BQ$250,167,0)</f>
        <v>0</v>
      </c>
      <c r="CC186" s="106">
        <f>+HLOOKUP($C186,BP!$BE$2:$BQ$250,168,0)</f>
        <v>0</v>
      </c>
      <c r="CD186" s="106">
        <f>+HLOOKUP($C186,BP!$BE$2:$BQ$250,169,0)</f>
        <v>0</v>
      </c>
      <c r="CE186" s="106">
        <f>+HLOOKUP($C186,BP!$BE$2:$BQ$250,170,0)</f>
        <v>0</v>
      </c>
      <c r="CF186" s="106">
        <f>+HLOOKUP($C186,BP!$BE$2:$BQ$250,172,0)</f>
        <v>21800</v>
      </c>
      <c r="CG186" s="106">
        <f>+HLOOKUP($C186,BP!$BE$2:$BQ$250,173,0)</f>
        <v>0</v>
      </c>
      <c r="CH186" s="106">
        <f>+HLOOKUP($C186,BP!$BE$2:$BQ$250,174,0)</f>
        <v>57600</v>
      </c>
      <c r="CI186" s="106">
        <f>+HLOOKUP($C186,BP!$BE$2:$BQ$250,175,0)</f>
        <v>4460</v>
      </c>
      <c r="CJ186" s="106">
        <f>+HLOOKUP($C186,BP!$BE$2:$BQ$250,176,0)</f>
        <v>1480.2804000000003</v>
      </c>
      <c r="CK186" s="106">
        <f>+HLOOKUP($C186,BP!$BE$2:$BQ$250,178,0)</f>
        <v>58365.2</v>
      </c>
      <c r="CL186" s="106">
        <f>+HLOOKUP($C186,BP!$BE$2:$BQ$250,179,0)</f>
        <v>4951</v>
      </c>
      <c r="CM186" s="106">
        <f>+HLOOKUP($C186,BP!$BE$2:$BQ$250,180,0)</f>
        <v>0</v>
      </c>
      <c r="CN186" s="106">
        <f>+HLOOKUP($C186,BP!$BE$2:$BQ$250,182,0)</f>
        <v>609.15959999999995</v>
      </c>
      <c r="CO186" s="106">
        <f>+HLOOKUP($C186,BP!$BE$2:$BQ$250,183,0)</f>
        <v>6999.9599999999991</v>
      </c>
      <c r="CP186" s="106">
        <f>+HLOOKUP($C186,BP!$BE$2:$BQ$250,184,0)</f>
        <v>1762.68</v>
      </c>
      <c r="CQ186" s="106">
        <f>+HLOOKUP($C186,BP!$BE$2:$BQ$250,185,0)</f>
        <v>0</v>
      </c>
      <c r="CR186" s="106">
        <f>+HLOOKUP($C186,BP!$BE$2:$BQ$250,187,0)</f>
        <v>2499.84</v>
      </c>
      <c r="CS186" s="106">
        <f>+HLOOKUP($C186,BP!$BE$2:$BQ$250,188,0)</f>
        <v>0</v>
      </c>
      <c r="CT186" s="106">
        <f>+HLOOKUP($C186,BP!$BE$2:$BQ$250,189,0)</f>
        <v>0</v>
      </c>
      <c r="CU186" s="106">
        <f>+HLOOKUP($C186,BP!$BE$2:$BQ$250,190,0)</f>
        <v>0</v>
      </c>
      <c r="CV186" s="106">
        <f>+HLOOKUP($C186,BP!$BE$2:$BQ$250,191,0)</f>
        <v>0</v>
      </c>
      <c r="CW186" s="106">
        <f>+HLOOKUP($C186,BP!$BE$2:$BQ$250,193,0)</f>
        <v>11122.800000000003</v>
      </c>
      <c r="CX186" s="106">
        <f>+HLOOKUP($C186,BP!$BE$2:$BQ$250,194,0)</f>
        <v>281.76</v>
      </c>
      <c r="CY186" s="106">
        <f>+HLOOKUP($C186,BP!$BE$2:$BQ$250,195,0)</f>
        <v>0</v>
      </c>
      <c r="CZ186" s="106">
        <f>+HLOOKUP($C186,BP!$BE$2:$BQ$250,196,0)</f>
        <v>0</v>
      </c>
      <c r="DA186" s="106">
        <f>+HLOOKUP($C186,BP!$BE$2:$BQ$250,197,0)</f>
        <v>752.52800000000002</v>
      </c>
      <c r="DB186" s="106">
        <f>+HLOOKUP($C186,BP!$BE$2:$BQ$250,198,0)</f>
        <v>1296</v>
      </c>
      <c r="DC186" s="106">
        <f>+HLOOKUP($C186,BP!$BE$2:$BQ$250,199,0)</f>
        <v>0</v>
      </c>
      <c r="DD186" s="106">
        <f>+HLOOKUP($C186,BP!$BE$2:$BQ$250,200,0)</f>
        <v>0</v>
      </c>
      <c r="DE186" s="106">
        <f>+HLOOKUP($C186,BP!$BE$2:$BQ$250,201,0)</f>
        <v>0</v>
      </c>
      <c r="DF186" s="106">
        <f>+HLOOKUP($C186,BP!$BE$2:$BQ$250,202,0)</f>
        <v>1.3504</v>
      </c>
      <c r="DG186" s="106">
        <f>+HLOOKUP($C186,BP!$BE$2:$BQ$250,203,0)</f>
        <v>-3.4332000000000003</v>
      </c>
      <c r="DH186" s="106">
        <f>+HLOOKUP($C186,BP!$BE$2:$BQ$250,205,0)</f>
        <v>0</v>
      </c>
      <c r="DI186" s="106">
        <f>+HLOOKUP($C186,BP!$BE$2:$BQ$250,206,0)</f>
        <v>0</v>
      </c>
      <c r="DJ186" s="106">
        <f>+HLOOKUP($C186,BP!$BE$2:$BQ$250,207,0)</f>
        <v>339.45119999999991</v>
      </c>
      <c r="DK186" s="106">
        <f>+HLOOKUP($C186,BP!$BE$2:$BQ$250,209,0)</f>
        <v>100000</v>
      </c>
      <c r="DL186" s="106">
        <f>+HLOOKUP($C186,BP!$BE$2:$BQ$250,210,0)</f>
        <v>124106</v>
      </c>
      <c r="DM186" s="106">
        <f>+HLOOKUP($C186,BP!$BE$2:$BQ$250,211,0)</f>
        <v>0</v>
      </c>
      <c r="DN186" s="106">
        <f>+HLOOKUP($C186,BP!$BE$2:$BQ$250,212,0)</f>
        <v>0</v>
      </c>
      <c r="DO186" s="106">
        <f>+HLOOKUP($C186,BP!$BE$2:$BQ$250,214,0)</f>
        <v>0</v>
      </c>
      <c r="DP186" s="106">
        <f>+HLOOKUP($C186,BP!$BE$2:$BQ$250,215,0)</f>
        <v>0</v>
      </c>
      <c r="DQ186" s="106">
        <f>+HLOOKUP($C186,BP!$BE$2:$BQ$250,219,0)</f>
        <v>0</v>
      </c>
      <c r="DR186" s="106">
        <f>+HLOOKUP($C186,BP!$BE$2:$BQ$250,220,0)</f>
        <v>0</v>
      </c>
      <c r="DS186" s="106">
        <f>+HLOOKUP($C186,BP!$BE$2:$BQ$250,221,0)</f>
        <v>0</v>
      </c>
      <c r="DT186" s="106">
        <f>+HLOOKUP($C186,BP!$BE$2:$BQ$250,223,0)</f>
        <v>16210.486800000002</v>
      </c>
      <c r="DU186" s="106">
        <f>+HLOOKUP($C186,BP!$BE$2:$BQ$250,224,0)</f>
        <v>0</v>
      </c>
      <c r="DV186" s="106">
        <f>+HLOOKUP($C186,BP!$BE$2:$BQ$250,225,0)</f>
        <v>0</v>
      </c>
      <c r="DW186" s="106">
        <f>+HLOOKUP($C186,BP!$BE$2:$BQ$250,227,0)</f>
        <v>0</v>
      </c>
      <c r="DX186" s="106">
        <f>+HLOOKUP($C186,BP!$BE$2:$BQ$250,228,0)</f>
        <v>2237.64</v>
      </c>
      <c r="DY186" s="106">
        <f>+HLOOKUP($C186,BP!$BE$2:$BQ$250,236,0)</f>
        <v>0</v>
      </c>
      <c r="DZ186" s="106">
        <f>+HLOOKUP($C186,BP!$BE$2:$BQ$250,237,0)</f>
        <v>18980.257120000002</v>
      </c>
      <c r="EA186" s="106">
        <f>+HLOOKUP($C186,BP!$BE$2:$BQ$250,238,0)</f>
        <v>0</v>
      </c>
      <c r="EB186" s="106">
        <f>+HLOOKUP($C186,BP!$BE$2:$BQ$250,240,0)</f>
        <v>386326.71292708302</v>
      </c>
    </row>
    <row r="187" spans="1:132">
      <c r="A187" t="s">
        <v>269</v>
      </c>
      <c r="B187" t="s">
        <v>218</v>
      </c>
      <c r="C187" s="117">
        <v>45839</v>
      </c>
      <c r="D187" s="106">
        <f t="shared" si="5"/>
        <v>7888715.0539999995</v>
      </c>
      <c r="E187" s="106">
        <f>+HLOOKUP(C187,BP!$BE$2:$BQ$250,28,0)+HLOOKUP(C187,BP!$BE$2:$BQ$250,43,0)+HLOOKUP(C187,BP!$BE$2:$BQ$250,44,0)+HLOOKUP(C187,BP!$BE$2:$BQ$250,45,0)+HLOOKUP(C187,BP!$BE$2:$BQ$250,54,0)+HLOOKUP(C187,BP!$BE$2:$BQ$250,59,0)</f>
        <v>7888715.0539999995</v>
      </c>
      <c r="F187" s="106">
        <f>+HLOOKUP(C187,BP!$BE$2:$BQ$250,37,0)+HLOOKUP(C187,BP!$BE$2:$BQ$250,55,0)</f>
        <v>4506801.9840000002</v>
      </c>
      <c r="G187" s="106">
        <f>+HLOOKUP($C187,BP!$BE$2:$BQ$250,76,0)</f>
        <v>0</v>
      </c>
      <c r="H187" s="106">
        <f>+HLOOKUP($C187,BP!$BE$2:$BQ$250,77,0)</f>
        <v>0</v>
      </c>
      <c r="I187" s="106">
        <f>+HLOOKUP($C187,BP!$BE$2:$BQ$250,78,0)</f>
        <v>0</v>
      </c>
      <c r="J187" s="106">
        <f>+HLOOKUP($C187,BP!$BE$2:$BQ$250,79,0)</f>
        <v>0</v>
      </c>
      <c r="K187" s="106">
        <f>+HLOOKUP($C187,BP!$BE$2:$BQ$250,80,0)</f>
        <v>0</v>
      </c>
      <c r="L187" s="106">
        <f>+HLOOKUP($C187,BP!$BE$2:$BQ$250,81,0)</f>
        <v>33972</v>
      </c>
      <c r="M187" s="106">
        <f>+HLOOKUP($C187,BP!$BE$2:$BQ$250,82,0)</f>
        <v>0</v>
      </c>
      <c r="N187" s="106">
        <f>+HLOOKUP($C187,BP!$BE$2:$BQ$250,83,0)</f>
        <v>0</v>
      </c>
      <c r="O187" s="106">
        <f>+HLOOKUP($C187,BP!$BE$2:$BQ$250,84,0)</f>
        <v>0</v>
      </c>
      <c r="P187" s="106">
        <f>+HLOOKUP($C187,BP!$BE$2:$BQ$250,85,0)</f>
        <v>0</v>
      </c>
      <c r="Q187" s="106">
        <f>+HLOOKUP($C187,BP!$BE$2:$BQ$250,87,0)</f>
        <v>124076.76799999998</v>
      </c>
      <c r="R187" s="106">
        <f>+HLOOKUP($C187,BP!$BE$2:$BQ$250,90,0)</f>
        <v>0</v>
      </c>
      <c r="S187" s="106">
        <f>+HLOOKUP($C187,BP!$BE$2:$BQ$250,91,0)</f>
        <v>0</v>
      </c>
      <c r="T187" s="106">
        <f>+HLOOKUP($C187,BP!$BE$2:$BQ$250,92,0)</f>
        <v>1143.9000000000001</v>
      </c>
      <c r="U187" s="106">
        <f>+HLOOKUP($C187,BP!$BE$2:$BQ$250,93,0)</f>
        <v>0</v>
      </c>
      <c r="V187" s="106">
        <f>+HLOOKUP($C187,BP!$BE$2:$BQ$250,94,0)</f>
        <v>0</v>
      </c>
      <c r="W187" s="106">
        <f>+HLOOKUP($C187,BP!$BE$2:$BQ$250,95,0)</f>
        <v>0</v>
      </c>
      <c r="X187" s="106">
        <f>+HLOOKUP($C187,BP!$BE$2:$BQ$250,96,0)</f>
        <v>0</v>
      </c>
      <c r="Y187" s="106">
        <f>+HLOOKUP($C187,BP!$BE$2:$BQ$250,97,0)</f>
        <v>0</v>
      </c>
      <c r="Z187" s="106">
        <f>+HLOOKUP($C187,BP!$BE$2:$BQ$250,98,0)</f>
        <v>0</v>
      </c>
      <c r="AA187" s="106">
        <f>+HLOOKUP($C187,BP!$BE$2:$BQ$250,99,0)</f>
        <v>0</v>
      </c>
      <c r="AB187" s="106">
        <f>+HLOOKUP($C187,BP!$BE$2:$BQ$250,100,0)</f>
        <v>0</v>
      </c>
      <c r="AC187" s="106">
        <f>+HLOOKUP($C187,BP!$BE$2:$BQ$250,101,0)</f>
        <v>0</v>
      </c>
      <c r="AD187" s="106">
        <f>+HLOOKUP($C187,BP!$BE$2:$BQ$250,104,0)</f>
        <v>0</v>
      </c>
      <c r="AE187" s="106">
        <f>+HLOOKUP($C187,BP!$BE$2:$BQ$250,105,0)</f>
        <v>3600</v>
      </c>
      <c r="AF187" s="106">
        <f>+HLOOKUP($C187,BP!$BE$2:$BQ$250,106,0)</f>
        <v>0</v>
      </c>
      <c r="AG187" s="106">
        <f>+HLOOKUP($C187,BP!$BE$2:$BQ$250,107,0)</f>
        <v>0</v>
      </c>
      <c r="AH187" s="106">
        <f>+HLOOKUP($C187,BP!$BE$2:$BQ$250,108,0)</f>
        <v>0</v>
      </c>
      <c r="AI187" s="106">
        <f>+HLOOKUP($C187,BP!$BE$2:$BQ$250,109,0)</f>
        <v>0</v>
      </c>
      <c r="AJ187" s="106">
        <f>+HLOOKUP($C187,BP!$BE$2:$BQ$250,110,0)</f>
        <v>0</v>
      </c>
      <c r="AK187" s="106">
        <f>+HLOOKUP($C187,BP!$BE$2:$BQ$250,111,0)</f>
        <v>0</v>
      </c>
      <c r="AL187" s="106">
        <f>+HLOOKUP($C187,BP!$BE$2:$BQ$250,112,0)</f>
        <v>0</v>
      </c>
      <c r="AM187" s="106">
        <f>+HLOOKUP($C187,BP!$BE$2:$BQ$250,116,0)</f>
        <v>95300</v>
      </c>
      <c r="AN187" s="106">
        <f>+HLOOKUP($C187,BP!$BE$2:$BQ$250,117,0)</f>
        <v>17120</v>
      </c>
      <c r="AO187" s="106">
        <f>+HLOOKUP($C187,BP!$BE$2:$BQ$250,118,0)</f>
        <v>2500</v>
      </c>
      <c r="AP187" s="106">
        <f>+HLOOKUP($C187,BP!$BE$2:$BQ$250,119,0)</f>
        <v>32720</v>
      </c>
      <c r="AQ187" s="106">
        <f>+HLOOKUP($C187,BP!$BE$2:$BQ$250,120,0)</f>
        <v>4100</v>
      </c>
      <c r="AR187" s="106">
        <f>+HLOOKUP($C187,BP!$BE$2:$BQ$250,121,0)</f>
        <v>2000</v>
      </c>
      <c r="AS187" s="106">
        <f>+HLOOKUP($C187,BP!$BE$2:$BQ$250,122,0)</f>
        <v>53060</v>
      </c>
      <c r="AT187" s="106">
        <f>+HLOOKUP($C187,BP!$BE$2:$BQ$250,123,0)</f>
        <v>14646.494290277777</v>
      </c>
      <c r="AU187" s="106">
        <f>+HLOOKUP($C187,BP!$BE$2:$BQ$250,124,0)</f>
        <v>1866.75</v>
      </c>
      <c r="AV187" s="106">
        <f>+HLOOKUP($C187,BP!$BE$2:$BQ$250,125,0)</f>
        <v>98613.936000000002</v>
      </c>
      <c r="AW187" s="106">
        <f>+HLOOKUP($C187,BP!$BE$2:$BQ$250,126,0)</f>
        <v>5110.5769230769229</v>
      </c>
      <c r="AX187" s="106">
        <f>+HLOOKUP($C187,BP!$BE$2:$BQ$250,127,0)</f>
        <v>8274.9999999999982</v>
      </c>
      <c r="AY187" s="106">
        <f>+HLOOKUP($C187,BP!$BE$2:$BQ$250,129,0)</f>
        <v>0</v>
      </c>
      <c r="AZ187" s="106">
        <f>+HLOOKUP($C187,BP!$BE$2:$BQ$250,130,0)</f>
        <v>0</v>
      </c>
      <c r="BA187" s="106">
        <f>+HLOOKUP($C187,BP!$BE$2:$BQ$250,131,0)</f>
        <v>0</v>
      </c>
      <c r="BB187" s="106">
        <f>+HLOOKUP($C187,BP!$BE$2:$BQ$250,133,0)</f>
        <v>0</v>
      </c>
      <c r="BC187" s="106">
        <f>+HLOOKUP($C187,BP!$BE$2:$BQ$250,134,0)</f>
        <v>2962.68</v>
      </c>
      <c r="BD187" s="106">
        <f>+HLOOKUP($C187,BP!$BE$2:$BQ$250,135,0)</f>
        <v>0</v>
      </c>
      <c r="BE187" s="106">
        <f>+HLOOKUP($C187,BP!$BE$2:$BQ$250,136,0)</f>
        <v>54879.812399999995</v>
      </c>
      <c r="BF187" s="106">
        <f>+HLOOKUP($C187,BP!$BE$2:$BQ$250,138,0)</f>
        <v>7471.8408219178082</v>
      </c>
      <c r="BG187" s="106">
        <f>+HLOOKUP($C187,BP!$BE$2:$BQ$250,139,0)</f>
        <v>0</v>
      </c>
      <c r="BH187" s="106">
        <f>+HLOOKUP($C187,BP!$BE$2:$BQ$250,140,0)</f>
        <v>19860.800000000003</v>
      </c>
      <c r="BI187" s="106">
        <f>+HLOOKUP($C187,BP!$BE$2:$BQ$250,141,0)</f>
        <v>0</v>
      </c>
      <c r="BJ187" s="106">
        <f>+HLOOKUP($C187,BP!$BE$2:$BQ$250,142,0)</f>
        <v>0</v>
      </c>
      <c r="BK187" s="106">
        <f>+HLOOKUP($C187,BP!$BE$2:$BQ$250,143,0)</f>
        <v>0</v>
      </c>
      <c r="BL187" s="106">
        <f>+HLOOKUP($C187,BP!$BE$2:$BQ$250,144,0)</f>
        <v>0</v>
      </c>
      <c r="BM187" s="106">
        <f>+HLOOKUP($C187,BP!$BE$2:$BQ$250,146,0)</f>
        <v>0</v>
      </c>
      <c r="BN187" s="106">
        <f>+HLOOKUP($C187,BP!$BE$2:$BQ$250,147,0)</f>
        <v>0</v>
      </c>
      <c r="BO187" s="106">
        <f>+HLOOKUP($C187,BP!$BE$2:$BQ$250,148,0)</f>
        <v>0</v>
      </c>
      <c r="BP187" s="106">
        <f>+HLOOKUP($C187,BP!$BE$2:$BQ$250,150,0)</f>
        <v>60918.400000000001</v>
      </c>
      <c r="BQ187" s="106">
        <f>+HLOOKUP($C187,BP!$BE$2:$BQ$250,151,0)</f>
        <v>0</v>
      </c>
      <c r="BR187" s="106">
        <f>+HLOOKUP($C187,BP!$BE$2:$BQ$250,152,0)</f>
        <v>0</v>
      </c>
      <c r="BS187" s="106">
        <f>+HLOOKUP($C187,BP!$BE$2:$BQ$250,153,0)</f>
        <v>0</v>
      </c>
      <c r="BT187" s="106">
        <f>+HLOOKUP($C187,BP!$BE$2:$BQ$250,157,0)</f>
        <v>0</v>
      </c>
      <c r="BU187" s="106">
        <f>+HLOOKUP($C187,BP!$BE$2:$BQ$250,158,0)</f>
        <v>0</v>
      </c>
      <c r="BV187" s="106">
        <f>+HLOOKUP($C187,BP!$BE$2:$BQ$250,159,0)</f>
        <v>0</v>
      </c>
      <c r="BW187" s="106">
        <f>+HLOOKUP($C187,BP!$BE$2:$BQ$250,160,0)</f>
        <v>2400</v>
      </c>
      <c r="BX187" s="106">
        <f>+HLOOKUP($C187,BP!$BE$2:$BQ$250,161,0)</f>
        <v>0</v>
      </c>
      <c r="BY187" s="106">
        <f>+HLOOKUP($C187,BP!$BE$2:$BQ$250,164,0)</f>
        <v>6372.6440000000002</v>
      </c>
      <c r="BZ187" s="106">
        <f>+HLOOKUP($C187,BP!$BE$2:$BQ$250,165,0)</f>
        <v>0</v>
      </c>
      <c r="CA187" s="106">
        <f>+HLOOKUP($C187,BP!$BE$2:$BQ$250,166,0)</f>
        <v>0</v>
      </c>
      <c r="CB187" s="106">
        <f>+HLOOKUP($C187,BP!$BE$2:$BQ$250,167,0)</f>
        <v>0</v>
      </c>
      <c r="CC187" s="106">
        <f>+HLOOKUP($C187,BP!$BE$2:$BQ$250,168,0)</f>
        <v>0</v>
      </c>
      <c r="CD187" s="106">
        <f>+HLOOKUP($C187,BP!$BE$2:$BQ$250,169,0)</f>
        <v>1126.0236000000002</v>
      </c>
      <c r="CE187" s="106">
        <f>+HLOOKUP($C187,BP!$BE$2:$BQ$250,170,0)</f>
        <v>0</v>
      </c>
      <c r="CF187" s="106">
        <f>+HLOOKUP($C187,BP!$BE$2:$BQ$250,172,0)</f>
        <v>21800</v>
      </c>
      <c r="CG187" s="106">
        <f>+HLOOKUP($C187,BP!$BE$2:$BQ$250,173,0)</f>
        <v>0</v>
      </c>
      <c r="CH187" s="106">
        <f>+HLOOKUP($C187,BP!$BE$2:$BQ$250,174,0)</f>
        <v>0</v>
      </c>
      <c r="CI187" s="106">
        <f>+HLOOKUP($C187,BP!$BE$2:$BQ$250,175,0)</f>
        <v>0</v>
      </c>
      <c r="CJ187" s="106">
        <f>+HLOOKUP($C187,BP!$BE$2:$BQ$250,176,0)</f>
        <v>1480.3656000000001</v>
      </c>
      <c r="CK187" s="106">
        <f>+HLOOKUP($C187,BP!$BE$2:$BQ$250,178,0)</f>
        <v>58969.652000000002</v>
      </c>
      <c r="CL187" s="106">
        <f>+HLOOKUP($C187,BP!$BE$2:$BQ$250,179,0)</f>
        <v>8423.44</v>
      </c>
      <c r="CM187" s="106">
        <f>+HLOOKUP($C187,BP!$BE$2:$BQ$250,180,0)</f>
        <v>0</v>
      </c>
      <c r="CN187" s="106">
        <f>+HLOOKUP($C187,BP!$BE$2:$BQ$250,182,0)</f>
        <v>609.15959999999995</v>
      </c>
      <c r="CO187" s="106">
        <f>+HLOOKUP($C187,BP!$BE$2:$BQ$250,183,0)</f>
        <v>7528.2457450549446</v>
      </c>
      <c r="CP187" s="106">
        <f>+HLOOKUP($C187,BP!$BE$2:$BQ$250,184,0)</f>
        <v>7718.7744000000012</v>
      </c>
      <c r="CQ187" s="106">
        <f>+HLOOKUP($C187,BP!$BE$2:$BQ$250,185,0)</f>
        <v>0</v>
      </c>
      <c r="CR187" s="106">
        <f>+HLOOKUP($C187,BP!$BE$2:$BQ$250,187,0)</f>
        <v>2499.84</v>
      </c>
      <c r="CS187" s="106">
        <f>+HLOOKUP($C187,BP!$BE$2:$BQ$250,188,0)</f>
        <v>1800</v>
      </c>
      <c r="CT187" s="106">
        <f>+HLOOKUP($C187,BP!$BE$2:$BQ$250,189,0)</f>
        <v>0</v>
      </c>
      <c r="CU187" s="106">
        <f>+HLOOKUP($C187,BP!$BE$2:$BQ$250,190,0)</f>
        <v>999.96</v>
      </c>
      <c r="CV187" s="106">
        <f>+HLOOKUP($C187,BP!$BE$2:$BQ$250,191,0)</f>
        <v>0</v>
      </c>
      <c r="CW187" s="106">
        <f>+HLOOKUP($C187,BP!$BE$2:$BQ$250,193,0)</f>
        <v>11122.932000000001</v>
      </c>
      <c r="CX187" s="106">
        <f>+HLOOKUP($C187,BP!$BE$2:$BQ$250,194,0)</f>
        <v>1035.9152263374478</v>
      </c>
      <c r="CY187" s="106">
        <f>+HLOOKUP($C187,BP!$BE$2:$BQ$250,195,0)</f>
        <v>0</v>
      </c>
      <c r="CZ187" s="106">
        <f>+HLOOKUP($C187,BP!$BE$2:$BQ$250,196,0)</f>
        <v>0</v>
      </c>
      <c r="DA187" s="106">
        <f>+HLOOKUP($C187,BP!$BE$2:$BQ$250,197,0)</f>
        <v>112.80000000000001</v>
      </c>
      <c r="DB187" s="106">
        <f>+HLOOKUP($C187,BP!$BE$2:$BQ$250,198,0)</f>
        <v>0</v>
      </c>
      <c r="DC187" s="106">
        <f>+HLOOKUP($C187,BP!$BE$2:$BQ$250,199,0)</f>
        <v>0</v>
      </c>
      <c r="DD187" s="106">
        <f>+HLOOKUP($C187,BP!$BE$2:$BQ$250,200,0)</f>
        <v>0</v>
      </c>
      <c r="DE187" s="106">
        <f>+HLOOKUP($C187,BP!$BE$2:$BQ$250,201,0)</f>
        <v>919.2</v>
      </c>
      <c r="DF187" s="106">
        <f>+HLOOKUP($C187,BP!$BE$2:$BQ$250,202,0)</f>
        <v>2.1816</v>
      </c>
      <c r="DG187" s="106">
        <f>+HLOOKUP($C187,BP!$BE$2:$BQ$250,203,0)</f>
        <v>34.594800000000006</v>
      </c>
      <c r="DH187" s="106">
        <f>+HLOOKUP($C187,BP!$BE$2:$BQ$250,205,0)</f>
        <v>0</v>
      </c>
      <c r="DI187" s="106">
        <f>+HLOOKUP($C187,BP!$BE$2:$BQ$250,206,0)</f>
        <v>0</v>
      </c>
      <c r="DJ187" s="106">
        <f>+HLOOKUP($C187,BP!$BE$2:$BQ$250,207,0)</f>
        <v>339.44999999999641</v>
      </c>
      <c r="DK187" s="106">
        <f>+HLOOKUP($C187,BP!$BE$2:$BQ$250,209,0)</f>
        <v>100000</v>
      </c>
      <c r="DL187" s="106">
        <f>+HLOOKUP($C187,BP!$BE$2:$BQ$250,210,0)</f>
        <v>124106</v>
      </c>
      <c r="DM187" s="106">
        <f>+HLOOKUP($C187,BP!$BE$2:$BQ$250,211,0)</f>
        <v>0</v>
      </c>
      <c r="DN187" s="106">
        <f>+HLOOKUP($C187,BP!$BE$2:$BQ$250,212,0)</f>
        <v>0</v>
      </c>
      <c r="DO187" s="106">
        <f>+HLOOKUP($C187,BP!$BE$2:$BQ$250,214,0)</f>
        <v>0</v>
      </c>
      <c r="DP187" s="106">
        <f>+HLOOKUP($C187,BP!$BE$2:$BQ$250,215,0)</f>
        <v>600</v>
      </c>
      <c r="DQ187" s="106">
        <f>+HLOOKUP($C187,BP!$BE$2:$BQ$250,219,0)</f>
        <v>0</v>
      </c>
      <c r="DR187" s="106">
        <f>+HLOOKUP($C187,BP!$BE$2:$BQ$250,220,0)</f>
        <v>0</v>
      </c>
      <c r="DS187" s="106">
        <f>+HLOOKUP($C187,BP!$BE$2:$BQ$250,221,0)</f>
        <v>0</v>
      </c>
      <c r="DT187" s="106">
        <f>+HLOOKUP($C187,BP!$BE$2:$BQ$250,223,0)</f>
        <v>15473.893199999999</v>
      </c>
      <c r="DU187" s="106">
        <f>+HLOOKUP($C187,BP!$BE$2:$BQ$250,224,0)</f>
        <v>0</v>
      </c>
      <c r="DV187" s="106">
        <f>+HLOOKUP($C187,BP!$BE$2:$BQ$250,225,0)</f>
        <v>0</v>
      </c>
      <c r="DW187" s="106">
        <f>+HLOOKUP($C187,BP!$BE$2:$BQ$250,227,0)</f>
        <v>0</v>
      </c>
      <c r="DX187" s="106">
        <f>+HLOOKUP($C187,BP!$BE$2:$BQ$250,228,0)</f>
        <v>0</v>
      </c>
      <c r="DY187" s="106">
        <f>+HLOOKUP($C187,BP!$BE$2:$BQ$250,236,0)</f>
        <v>0</v>
      </c>
      <c r="DZ187" s="106">
        <f>+HLOOKUP($C187,BP!$BE$2:$BQ$250,237,0)</f>
        <v>19884.488800000003</v>
      </c>
      <c r="EA187" s="106">
        <f>+HLOOKUP($C187,BP!$BE$2:$BQ$250,238,0)</f>
        <v>0</v>
      </c>
      <c r="EB187" s="106">
        <f>+HLOOKUP($C187,BP!$BE$2:$BQ$250,240,0)</f>
        <v>386326.71292708302</v>
      </c>
    </row>
    <row r="188" spans="1:132">
      <c r="A188" t="s">
        <v>269</v>
      </c>
      <c r="B188" t="s">
        <v>218</v>
      </c>
      <c r="C188" s="117">
        <v>45809</v>
      </c>
      <c r="D188" s="106">
        <f t="shared" si="5"/>
        <v>7528731.9616</v>
      </c>
      <c r="E188" s="106">
        <f>+HLOOKUP(C188,BP!$BE$2:$BQ$250,28,0)+HLOOKUP(C188,BP!$BE$2:$BQ$250,43,0)+HLOOKUP(C188,BP!$BE$2:$BQ$250,44,0)+HLOOKUP(C188,BP!$BE$2:$BQ$250,45,0)+HLOOKUP(C188,BP!$BE$2:$BQ$250,54,0)+HLOOKUP(C188,BP!$BE$2:$BQ$250,59,0)</f>
        <v>7528731.9616</v>
      </c>
      <c r="F188" s="106">
        <f>+HLOOKUP(C188,BP!$BE$2:$BQ$250,37,0)+HLOOKUP(C188,BP!$BE$2:$BQ$250,55,0)</f>
        <v>4478402.987999999</v>
      </c>
      <c r="G188" s="106">
        <f>+HLOOKUP($C188,BP!$BE$2:$BQ$250,76,0)</f>
        <v>0</v>
      </c>
      <c r="H188" s="106">
        <f>+HLOOKUP($C188,BP!$BE$2:$BQ$250,77,0)</f>
        <v>0</v>
      </c>
      <c r="I188" s="106">
        <f>+HLOOKUP($C188,BP!$BE$2:$BQ$250,78,0)</f>
        <v>0</v>
      </c>
      <c r="J188" s="106">
        <f>+HLOOKUP($C188,BP!$BE$2:$BQ$250,79,0)</f>
        <v>0</v>
      </c>
      <c r="K188" s="106">
        <f>+HLOOKUP($C188,BP!$BE$2:$BQ$250,80,0)</f>
        <v>0</v>
      </c>
      <c r="L188" s="106">
        <f>+HLOOKUP($C188,BP!$BE$2:$BQ$250,81,0)</f>
        <v>16130</v>
      </c>
      <c r="M188" s="106">
        <f>+HLOOKUP($C188,BP!$BE$2:$BQ$250,82,0)</f>
        <v>0</v>
      </c>
      <c r="N188" s="106">
        <f>+HLOOKUP($C188,BP!$BE$2:$BQ$250,83,0)</f>
        <v>0</v>
      </c>
      <c r="O188" s="106">
        <f>+HLOOKUP($C188,BP!$BE$2:$BQ$250,84,0)</f>
        <v>0</v>
      </c>
      <c r="P188" s="106">
        <f>+HLOOKUP($C188,BP!$BE$2:$BQ$250,85,0)</f>
        <v>0</v>
      </c>
      <c r="Q188" s="106">
        <f>+HLOOKUP($C188,BP!$BE$2:$BQ$250,87,0)</f>
        <v>135172.69600000003</v>
      </c>
      <c r="R188" s="106">
        <f>+HLOOKUP($C188,BP!$BE$2:$BQ$250,90,0)</f>
        <v>0</v>
      </c>
      <c r="S188" s="106">
        <f>+HLOOKUP($C188,BP!$BE$2:$BQ$250,91,0)</f>
        <v>0</v>
      </c>
      <c r="T188" s="106">
        <f>+HLOOKUP($C188,BP!$BE$2:$BQ$250,92,0)</f>
        <v>0</v>
      </c>
      <c r="U188" s="106">
        <f>+HLOOKUP($C188,BP!$BE$2:$BQ$250,93,0)</f>
        <v>0</v>
      </c>
      <c r="V188" s="106">
        <f>+HLOOKUP($C188,BP!$BE$2:$BQ$250,94,0)</f>
        <v>0</v>
      </c>
      <c r="W188" s="106">
        <f>+HLOOKUP($C188,BP!$BE$2:$BQ$250,95,0)</f>
        <v>0</v>
      </c>
      <c r="X188" s="106">
        <f>+HLOOKUP($C188,BP!$BE$2:$BQ$250,96,0)</f>
        <v>0</v>
      </c>
      <c r="Y188" s="106">
        <f>+HLOOKUP($C188,BP!$BE$2:$BQ$250,97,0)</f>
        <v>0</v>
      </c>
      <c r="Z188" s="106">
        <f>+HLOOKUP($C188,BP!$BE$2:$BQ$250,98,0)</f>
        <v>0</v>
      </c>
      <c r="AA188" s="106">
        <f>+HLOOKUP($C188,BP!$BE$2:$BQ$250,99,0)</f>
        <v>0</v>
      </c>
      <c r="AB188" s="106">
        <f>+HLOOKUP($C188,BP!$BE$2:$BQ$250,100,0)</f>
        <v>0</v>
      </c>
      <c r="AC188" s="106">
        <f>+HLOOKUP($C188,BP!$BE$2:$BQ$250,101,0)</f>
        <v>0</v>
      </c>
      <c r="AD188" s="106">
        <f>+HLOOKUP($C188,BP!$BE$2:$BQ$250,104,0)</f>
        <v>0</v>
      </c>
      <c r="AE188" s="106">
        <f>+HLOOKUP($C188,BP!$BE$2:$BQ$250,105,0)</f>
        <v>7800</v>
      </c>
      <c r="AF188" s="106">
        <f>+HLOOKUP($C188,BP!$BE$2:$BQ$250,106,0)</f>
        <v>0</v>
      </c>
      <c r="AG188" s="106">
        <f>+HLOOKUP($C188,BP!$BE$2:$BQ$250,107,0)</f>
        <v>0</v>
      </c>
      <c r="AH188" s="106">
        <f>+HLOOKUP($C188,BP!$BE$2:$BQ$250,108,0)</f>
        <v>0</v>
      </c>
      <c r="AI188" s="106">
        <f>+HLOOKUP($C188,BP!$BE$2:$BQ$250,109,0)</f>
        <v>0</v>
      </c>
      <c r="AJ188" s="106">
        <f>+HLOOKUP($C188,BP!$BE$2:$BQ$250,110,0)</f>
        <v>0</v>
      </c>
      <c r="AK188" s="106">
        <f>+HLOOKUP($C188,BP!$BE$2:$BQ$250,111,0)</f>
        <v>0</v>
      </c>
      <c r="AL188" s="106">
        <f>+HLOOKUP($C188,BP!$BE$2:$BQ$250,112,0)</f>
        <v>0</v>
      </c>
      <c r="AM188" s="106">
        <f>+HLOOKUP($C188,BP!$BE$2:$BQ$250,116,0)</f>
        <v>94815</v>
      </c>
      <c r="AN188" s="106">
        <f>+HLOOKUP($C188,BP!$BE$2:$BQ$250,117,0)</f>
        <v>16952</v>
      </c>
      <c r="AO188" s="106">
        <f>+HLOOKUP($C188,BP!$BE$2:$BQ$250,118,0)</f>
        <v>2500</v>
      </c>
      <c r="AP188" s="106">
        <f>+HLOOKUP($C188,BP!$BE$2:$BQ$250,119,0)</f>
        <v>32591</v>
      </c>
      <c r="AQ188" s="106">
        <f>+HLOOKUP($C188,BP!$BE$2:$BQ$250,120,0)</f>
        <v>4100</v>
      </c>
      <c r="AR188" s="106">
        <f>+HLOOKUP($C188,BP!$BE$2:$BQ$250,121,0)</f>
        <v>2000</v>
      </c>
      <c r="AS188" s="106">
        <f>+HLOOKUP($C188,BP!$BE$2:$BQ$250,122,0)</f>
        <v>52872</v>
      </c>
      <c r="AT188" s="106">
        <f>+HLOOKUP($C188,BP!$BE$2:$BQ$250,123,0)</f>
        <v>14646.494290277777</v>
      </c>
      <c r="AU188" s="106">
        <f>+HLOOKUP($C188,BP!$BE$2:$BQ$250,124,0)</f>
        <v>1866.75</v>
      </c>
      <c r="AV188" s="106">
        <f>+HLOOKUP($C188,BP!$BE$2:$BQ$250,125,0)</f>
        <v>71253.936000000002</v>
      </c>
      <c r="AW188" s="106">
        <f>+HLOOKUP($C188,BP!$BE$2:$BQ$250,126,0)</f>
        <v>5110.5769230769229</v>
      </c>
      <c r="AX188" s="106">
        <f>+HLOOKUP($C188,BP!$BE$2:$BQ$250,127,0)</f>
        <v>8274.9999999999982</v>
      </c>
      <c r="AY188" s="106">
        <f>+HLOOKUP($C188,BP!$BE$2:$BQ$250,129,0)</f>
        <v>0</v>
      </c>
      <c r="AZ188" s="106">
        <f>+HLOOKUP($C188,BP!$BE$2:$BQ$250,130,0)</f>
        <v>0</v>
      </c>
      <c r="BA188" s="106">
        <f>+HLOOKUP($C188,BP!$BE$2:$BQ$250,131,0)</f>
        <v>0</v>
      </c>
      <c r="BB188" s="106">
        <f>+HLOOKUP($C188,BP!$BE$2:$BQ$250,133,0)</f>
        <v>0</v>
      </c>
      <c r="BC188" s="106">
        <f>+HLOOKUP($C188,BP!$BE$2:$BQ$250,134,0)</f>
        <v>1610.64</v>
      </c>
      <c r="BD188" s="106">
        <f>+HLOOKUP($C188,BP!$BE$2:$BQ$250,135,0)</f>
        <v>0</v>
      </c>
      <c r="BE188" s="106">
        <f>+HLOOKUP($C188,BP!$BE$2:$BQ$250,136,0)</f>
        <v>0</v>
      </c>
      <c r="BF188" s="106">
        <f>+HLOOKUP($C188,BP!$BE$2:$BQ$250,138,0)</f>
        <v>7471.8407999999999</v>
      </c>
      <c r="BG188" s="106">
        <f>+HLOOKUP($C188,BP!$BE$2:$BQ$250,139,0)</f>
        <v>84.240000000000009</v>
      </c>
      <c r="BH188" s="106">
        <f>+HLOOKUP($C188,BP!$BE$2:$BQ$250,140,0)</f>
        <v>19860.800000000003</v>
      </c>
      <c r="BI188" s="106">
        <f>+HLOOKUP($C188,BP!$BE$2:$BQ$250,141,0)</f>
        <v>0</v>
      </c>
      <c r="BJ188" s="106">
        <f>+HLOOKUP($C188,BP!$BE$2:$BQ$250,142,0)</f>
        <v>0</v>
      </c>
      <c r="BK188" s="106">
        <f>+HLOOKUP($C188,BP!$BE$2:$BQ$250,143,0)</f>
        <v>43508.9712</v>
      </c>
      <c r="BL188" s="106">
        <f>+HLOOKUP($C188,BP!$BE$2:$BQ$250,144,0)</f>
        <v>0</v>
      </c>
      <c r="BM188" s="106">
        <f>+HLOOKUP($C188,BP!$BE$2:$BQ$250,146,0)</f>
        <v>0</v>
      </c>
      <c r="BN188" s="106">
        <f>+HLOOKUP($C188,BP!$BE$2:$BQ$250,147,0)</f>
        <v>0</v>
      </c>
      <c r="BO188" s="106">
        <f>+HLOOKUP($C188,BP!$BE$2:$BQ$250,148,0)</f>
        <v>0</v>
      </c>
      <c r="BP188" s="106">
        <f>+HLOOKUP($C188,BP!$BE$2:$BQ$250,150,0)</f>
        <v>35014.800000000003</v>
      </c>
      <c r="BQ188" s="106">
        <f>+HLOOKUP($C188,BP!$BE$2:$BQ$250,151,0)</f>
        <v>0</v>
      </c>
      <c r="BR188" s="106">
        <f>+HLOOKUP($C188,BP!$BE$2:$BQ$250,152,0)</f>
        <v>0</v>
      </c>
      <c r="BS188" s="106">
        <f>+HLOOKUP($C188,BP!$BE$2:$BQ$250,153,0)</f>
        <v>0</v>
      </c>
      <c r="BT188" s="106">
        <f>+HLOOKUP($C188,BP!$BE$2:$BQ$250,157,0)</f>
        <v>129450</v>
      </c>
      <c r="BU188" s="106">
        <f>+HLOOKUP($C188,BP!$BE$2:$BQ$250,158,0)</f>
        <v>1779.5592000000001</v>
      </c>
      <c r="BV188" s="106">
        <f>+HLOOKUP($C188,BP!$BE$2:$BQ$250,159,0)</f>
        <v>0</v>
      </c>
      <c r="BW188" s="106">
        <f>+HLOOKUP($C188,BP!$BE$2:$BQ$250,160,0)</f>
        <v>0</v>
      </c>
      <c r="BX188" s="106">
        <f>+HLOOKUP($C188,BP!$BE$2:$BQ$250,161,0)</f>
        <v>800</v>
      </c>
      <c r="BY188" s="106">
        <f>+HLOOKUP($C188,BP!$BE$2:$BQ$250,164,0)</f>
        <v>10975.312399999999</v>
      </c>
      <c r="BZ188" s="106">
        <f>+HLOOKUP($C188,BP!$BE$2:$BQ$250,165,0)</f>
        <v>0</v>
      </c>
      <c r="CA188" s="106">
        <f>+HLOOKUP($C188,BP!$BE$2:$BQ$250,166,0)</f>
        <v>0</v>
      </c>
      <c r="CB188" s="106">
        <f>+HLOOKUP($C188,BP!$BE$2:$BQ$250,167,0)</f>
        <v>0</v>
      </c>
      <c r="CC188" s="106">
        <f>+HLOOKUP($C188,BP!$BE$2:$BQ$250,168,0)</f>
        <v>0</v>
      </c>
      <c r="CD188" s="106">
        <f>+HLOOKUP($C188,BP!$BE$2:$BQ$250,169,0)</f>
        <v>0</v>
      </c>
      <c r="CE188" s="106">
        <f>+HLOOKUP($C188,BP!$BE$2:$BQ$250,170,0)</f>
        <v>0</v>
      </c>
      <c r="CF188" s="106">
        <f>+HLOOKUP($C188,BP!$BE$2:$BQ$250,172,0)</f>
        <v>21800</v>
      </c>
      <c r="CG188" s="106">
        <f>+HLOOKUP($C188,BP!$BE$2:$BQ$250,173,0)</f>
        <v>0</v>
      </c>
      <c r="CH188" s="106">
        <f>+HLOOKUP($C188,BP!$BE$2:$BQ$250,174,0)</f>
        <v>0</v>
      </c>
      <c r="CI188" s="106">
        <f>+HLOOKUP($C188,BP!$BE$2:$BQ$250,175,0)</f>
        <v>0</v>
      </c>
      <c r="CJ188" s="106">
        <f>+HLOOKUP($C188,BP!$BE$2:$BQ$250,176,0)</f>
        <v>5902.3596000000007</v>
      </c>
      <c r="CK188" s="106">
        <f>+HLOOKUP($C188,BP!$BE$2:$BQ$250,178,0)</f>
        <v>89072.400000000009</v>
      </c>
      <c r="CL188" s="106">
        <f>+HLOOKUP($C188,BP!$BE$2:$BQ$250,179,0)</f>
        <v>11679.828000000001</v>
      </c>
      <c r="CM188" s="106">
        <f>+HLOOKUP($C188,BP!$BE$2:$BQ$250,180,0)</f>
        <v>0</v>
      </c>
      <c r="CN188" s="106">
        <f>+HLOOKUP($C188,BP!$BE$2:$BQ$250,182,0)</f>
        <v>609.15959999999995</v>
      </c>
      <c r="CO188" s="106">
        <f>+HLOOKUP($C188,BP!$BE$2:$BQ$250,183,0)</f>
        <v>4555.66</v>
      </c>
      <c r="CP188" s="106">
        <f>+HLOOKUP($C188,BP!$BE$2:$BQ$250,184,0)</f>
        <v>7847.3352000000004</v>
      </c>
      <c r="CQ188" s="106">
        <f>+HLOOKUP($C188,BP!$BE$2:$BQ$250,185,0)</f>
        <v>0</v>
      </c>
      <c r="CR188" s="106">
        <f>+HLOOKUP($C188,BP!$BE$2:$BQ$250,187,0)</f>
        <v>2499.84</v>
      </c>
      <c r="CS188" s="106">
        <f>+HLOOKUP($C188,BP!$BE$2:$BQ$250,188,0)</f>
        <v>0</v>
      </c>
      <c r="CT188" s="106">
        <f>+HLOOKUP($C188,BP!$BE$2:$BQ$250,189,0)</f>
        <v>0</v>
      </c>
      <c r="CU188" s="106">
        <f>+HLOOKUP($C188,BP!$BE$2:$BQ$250,190,0)</f>
        <v>999.96</v>
      </c>
      <c r="CV188" s="106">
        <f>+HLOOKUP($C188,BP!$BE$2:$BQ$250,191,0)</f>
        <v>0</v>
      </c>
      <c r="CW188" s="106">
        <f>+HLOOKUP($C188,BP!$BE$2:$BQ$250,193,0)</f>
        <v>11122.932000000001</v>
      </c>
      <c r="CX188" s="106">
        <f>+HLOOKUP($C188,BP!$BE$2:$BQ$250,194,0)</f>
        <v>31.8</v>
      </c>
      <c r="CY188" s="106">
        <f>+HLOOKUP($C188,BP!$BE$2:$BQ$250,195,0)</f>
        <v>0</v>
      </c>
      <c r="CZ188" s="106">
        <f>+HLOOKUP($C188,BP!$BE$2:$BQ$250,196,0)</f>
        <v>0</v>
      </c>
      <c r="DA188" s="106">
        <f>+HLOOKUP($C188,BP!$BE$2:$BQ$250,197,0)</f>
        <v>376.26400000000001</v>
      </c>
      <c r="DB188" s="106">
        <f>+HLOOKUP($C188,BP!$BE$2:$BQ$250,198,0)</f>
        <v>0</v>
      </c>
      <c r="DC188" s="106">
        <f>+HLOOKUP($C188,BP!$BE$2:$BQ$250,199,0)</f>
        <v>0</v>
      </c>
      <c r="DD188" s="106">
        <f>+HLOOKUP($C188,BP!$BE$2:$BQ$250,200,0)</f>
        <v>0</v>
      </c>
      <c r="DE188" s="106">
        <f>+HLOOKUP($C188,BP!$BE$2:$BQ$250,201,0)</f>
        <v>0</v>
      </c>
      <c r="DF188" s="106">
        <f>+HLOOKUP($C188,BP!$BE$2:$BQ$250,202,0)</f>
        <v>0.82760000000000011</v>
      </c>
      <c r="DG188" s="106">
        <f>+HLOOKUP($C188,BP!$BE$2:$BQ$250,203,0)</f>
        <v>-13.743600000000001</v>
      </c>
      <c r="DH188" s="106">
        <f>+HLOOKUP($C188,BP!$BE$2:$BQ$250,205,0)</f>
        <v>0</v>
      </c>
      <c r="DI188" s="106">
        <f>+HLOOKUP($C188,BP!$BE$2:$BQ$250,206,0)</f>
        <v>0</v>
      </c>
      <c r="DJ188" s="106">
        <f>+HLOOKUP($C188,BP!$BE$2:$BQ$250,207,0)</f>
        <v>323.28960000000006</v>
      </c>
      <c r="DK188" s="106">
        <f>+HLOOKUP($C188,BP!$BE$2:$BQ$250,209,0)</f>
        <v>100000</v>
      </c>
      <c r="DL188" s="106">
        <f>+HLOOKUP($C188,BP!$BE$2:$BQ$250,210,0)</f>
        <v>124106</v>
      </c>
      <c r="DM188" s="106">
        <f>+HLOOKUP($C188,BP!$BE$2:$BQ$250,211,0)</f>
        <v>0</v>
      </c>
      <c r="DN188" s="106">
        <f>+HLOOKUP($C188,BP!$BE$2:$BQ$250,212,0)</f>
        <v>0</v>
      </c>
      <c r="DO188" s="106">
        <f>+HLOOKUP($C188,BP!$BE$2:$BQ$250,214,0)</f>
        <v>0</v>
      </c>
      <c r="DP188" s="106">
        <f>+HLOOKUP($C188,BP!$BE$2:$BQ$250,215,0)</f>
        <v>0</v>
      </c>
      <c r="DQ188" s="106">
        <f>+HLOOKUP($C188,BP!$BE$2:$BQ$250,219,0)</f>
        <v>0</v>
      </c>
      <c r="DR188" s="106">
        <f>+HLOOKUP($C188,BP!$BE$2:$BQ$250,220,0)</f>
        <v>0</v>
      </c>
      <c r="DS188" s="106">
        <f>+HLOOKUP($C188,BP!$BE$2:$BQ$250,221,0)</f>
        <v>0</v>
      </c>
      <c r="DT188" s="106">
        <f>+HLOOKUP($C188,BP!$BE$2:$BQ$250,223,0)</f>
        <v>14218.129200000003</v>
      </c>
      <c r="DU188" s="106">
        <f>+HLOOKUP($C188,BP!$BE$2:$BQ$250,224,0)</f>
        <v>0</v>
      </c>
      <c r="DV188" s="106">
        <f>+HLOOKUP($C188,BP!$BE$2:$BQ$250,225,0)</f>
        <v>0</v>
      </c>
      <c r="DW188" s="106">
        <f>+HLOOKUP($C188,BP!$BE$2:$BQ$250,227,0)</f>
        <v>0</v>
      </c>
      <c r="DX188" s="106">
        <f>+HLOOKUP($C188,BP!$BE$2:$BQ$250,228,0)</f>
        <v>3609.4799999999996</v>
      </c>
      <c r="DY188" s="106">
        <f>+HLOOKUP($C188,BP!$BE$2:$BQ$250,236,0)</f>
        <v>0</v>
      </c>
      <c r="DZ188" s="106">
        <f>+HLOOKUP($C188,BP!$BE$2:$BQ$250,237,0)</f>
        <v>21254.830520000003</v>
      </c>
      <c r="EA188" s="106">
        <f>+HLOOKUP($C188,BP!$BE$2:$BQ$250,238,0)</f>
        <v>6796.44</v>
      </c>
      <c r="EB188" s="106">
        <f>+HLOOKUP($C188,BP!$BE$2:$BQ$250,240,0)</f>
        <v>386326.71292708302</v>
      </c>
    </row>
    <row r="189" spans="1:132">
      <c r="A189" t="s">
        <v>269</v>
      </c>
      <c r="B189" t="s">
        <v>218</v>
      </c>
      <c r="C189" s="117">
        <v>45778</v>
      </c>
      <c r="D189" s="106">
        <f t="shared" si="5"/>
        <v>10228335.370000001</v>
      </c>
      <c r="E189" s="106">
        <f>+HLOOKUP(C189,BP!$BE$2:$BQ$250,28,0)+HLOOKUP(C189,BP!$BE$2:$BQ$250,43,0)+HLOOKUP(C189,BP!$BE$2:$BQ$250,44,0)+HLOOKUP(C189,BP!$BE$2:$BQ$250,45,0)+HLOOKUP(C189,BP!$BE$2:$BQ$250,54,0)+HLOOKUP(C189,BP!$BE$2:$BQ$250,59,0)</f>
        <v>10228335.370000001</v>
      </c>
      <c r="F189" s="106">
        <f>+HLOOKUP(C189,BP!$BE$2:$BQ$250,37,0)+HLOOKUP(C189,BP!$BE$2:$BQ$250,55,0)</f>
        <v>6492673.1040000003</v>
      </c>
      <c r="G189" s="106">
        <f>+HLOOKUP($C189,BP!$BE$2:$BQ$250,76,0)</f>
        <v>0</v>
      </c>
      <c r="H189" s="106">
        <f>+HLOOKUP($C189,BP!$BE$2:$BQ$250,77,0)</f>
        <v>0</v>
      </c>
      <c r="I189" s="106">
        <f>+HLOOKUP($C189,BP!$BE$2:$BQ$250,78,0)</f>
        <v>0</v>
      </c>
      <c r="J189" s="106">
        <f>+HLOOKUP($C189,BP!$BE$2:$BQ$250,79,0)</f>
        <v>0</v>
      </c>
      <c r="K189" s="106">
        <f>+HLOOKUP($C189,BP!$BE$2:$BQ$250,80,0)</f>
        <v>0</v>
      </c>
      <c r="L189" s="106">
        <f>+HLOOKUP($C189,BP!$BE$2:$BQ$250,81,0)</f>
        <v>10787</v>
      </c>
      <c r="M189" s="106">
        <f>+HLOOKUP($C189,BP!$BE$2:$BQ$250,82,0)</f>
        <v>0</v>
      </c>
      <c r="N189" s="106">
        <f>+HLOOKUP($C189,BP!$BE$2:$BQ$250,83,0)</f>
        <v>0</v>
      </c>
      <c r="O189" s="106">
        <f>+HLOOKUP($C189,BP!$BE$2:$BQ$250,84,0)</f>
        <v>0</v>
      </c>
      <c r="P189" s="106">
        <f>+HLOOKUP($C189,BP!$BE$2:$BQ$250,85,0)</f>
        <v>0</v>
      </c>
      <c r="Q189" s="106">
        <f>+HLOOKUP($C189,BP!$BE$2:$BQ$250,87,0)</f>
        <v>187362.59299999999</v>
      </c>
      <c r="R189" s="106">
        <f>+HLOOKUP($C189,BP!$BE$2:$BQ$250,90,0)</f>
        <v>0</v>
      </c>
      <c r="S189" s="106">
        <f>+HLOOKUP($C189,BP!$BE$2:$BQ$250,91,0)</f>
        <v>0</v>
      </c>
      <c r="T189" s="106">
        <f>+HLOOKUP($C189,BP!$BE$2:$BQ$250,92,0)</f>
        <v>0</v>
      </c>
      <c r="U189" s="106">
        <f>+HLOOKUP($C189,BP!$BE$2:$BQ$250,93,0)</f>
        <v>0</v>
      </c>
      <c r="V189" s="106">
        <f>+HLOOKUP($C189,BP!$BE$2:$BQ$250,94,0)</f>
        <v>0</v>
      </c>
      <c r="W189" s="106">
        <f>+HLOOKUP($C189,BP!$BE$2:$BQ$250,95,0)</f>
        <v>0</v>
      </c>
      <c r="X189" s="106">
        <f>+HLOOKUP($C189,BP!$BE$2:$BQ$250,96,0)</f>
        <v>0</v>
      </c>
      <c r="Y189" s="106">
        <f>+HLOOKUP($C189,BP!$BE$2:$BQ$250,97,0)</f>
        <v>0</v>
      </c>
      <c r="Z189" s="106">
        <f>+HLOOKUP($C189,BP!$BE$2:$BQ$250,98,0)</f>
        <v>0</v>
      </c>
      <c r="AA189" s="106">
        <f>+HLOOKUP($C189,BP!$BE$2:$BQ$250,99,0)</f>
        <v>0</v>
      </c>
      <c r="AB189" s="106">
        <f>+HLOOKUP($C189,BP!$BE$2:$BQ$250,100,0)</f>
        <v>0</v>
      </c>
      <c r="AC189" s="106">
        <f>+HLOOKUP($C189,BP!$BE$2:$BQ$250,101,0)</f>
        <v>0</v>
      </c>
      <c r="AD189" s="106">
        <f>+HLOOKUP($C189,BP!$BE$2:$BQ$250,104,0)</f>
        <v>0</v>
      </c>
      <c r="AE189" s="106">
        <f>+HLOOKUP($C189,BP!$BE$2:$BQ$250,105,0)</f>
        <v>0</v>
      </c>
      <c r="AF189" s="106">
        <f>+HLOOKUP($C189,BP!$BE$2:$BQ$250,106,0)</f>
        <v>0</v>
      </c>
      <c r="AG189" s="106">
        <f>+HLOOKUP($C189,BP!$BE$2:$BQ$250,107,0)</f>
        <v>0</v>
      </c>
      <c r="AH189" s="106">
        <f>+HLOOKUP($C189,BP!$BE$2:$BQ$250,108,0)</f>
        <v>0</v>
      </c>
      <c r="AI189" s="106">
        <f>+HLOOKUP($C189,BP!$BE$2:$BQ$250,109,0)</f>
        <v>1800</v>
      </c>
      <c r="AJ189" s="106">
        <f>+HLOOKUP($C189,BP!$BE$2:$BQ$250,110,0)</f>
        <v>0</v>
      </c>
      <c r="AK189" s="106">
        <f>+HLOOKUP($C189,BP!$BE$2:$BQ$250,111,0)</f>
        <v>0</v>
      </c>
      <c r="AL189" s="106">
        <f>+HLOOKUP($C189,BP!$BE$2:$BQ$250,112,0)</f>
        <v>0</v>
      </c>
      <c r="AM189" s="106">
        <f>+HLOOKUP($C189,BP!$BE$2:$BQ$250,116,0)</f>
        <v>95300</v>
      </c>
      <c r="AN189" s="106">
        <f>+HLOOKUP($C189,BP!$BE$2:$BQ$250,117,0)</f>
        <v>17120</v>
      </c>
      <c r="AO189" s="106">
        <f>+HLOOKUP($C189,BP!$BE$2:$BQ$250,118,0)</f>
        <v>2500</v>
      </c>
      <c r="AP189" s="106">
        <f>+HLOOKUP($C189,BP!$BE$2:$BQ$250,119,0)</f>
        <v>32720</v>
      </c>
      <c r="AQ189" s="106">
        <f>+HLOOKUP($C189,BP!$BE$2:$BQ$250,120,0)</f>
        <v>4100</v>
      </c>
      <c r="AR189" s="106">
        <f>+HLOOKUP($C189,BP!$BE$2:$BQ$250,121,0)</f>
        <v>2000</v>
      </c>
      <c r="AS189" s="106">
        <f>+HLOOKUP($C189,BP!$BE$2:$BQ$250,122,0)</f>
        <v>53060</v>
      </c>
      <c r="AT189" s="106">
        <f>+HLOOKUP($C189,BP!$BE$2:$BQ$250,123,0)</f>
        <v>14646.494290277777</v>
      </c>
      <c r="AU189" s="106">
        <f>+HLOOKUP($C189,BP!$BE$2:$BQ$250,124,0)</f>
        <v>1866.75</v>
      </c>
      <c r="AV189" s="106">
        <f>+HLOOKUP($C189,BP!$BE$2:$BQ$250,125,0)</f>
        <v>61620</v>
      </c>
      <c r="AW189" s="106">
        <f>+HLOOKUP($C189,BP!$BE$2:$BQ$250,126,0)</f>
        <v>5110.5769230769229</v>
      </c>
      <c r="AX189" s="106">
        <f>+HLOOKUP($C189,BP!$BE$2:$BQ$250,127,0)</f>
        <v>8274.9999999999982</v>
      </c>
      <c r="AY189" s="106">
        <f>+HLOOKUP($C189,BP!$BE$2:$BQ$250,129,0)</f>
        <v>0</v>
      </c>
      <c r="AZ189" s="106">
        <f>+HLOOKUP($C189,BP!$BE$2:$BQ$250,130,0)</f>
        <v>0</v>
      </c>
      <c r="BA189" s="106">
        <f>+HLOOKUP($C189,BP!$BE$2:$BQ$250,131,0)</f>
        <v>0</v>
      </c>
      <c r="BB189" s="106">
        <f>+HLOOKUP($C189,BP!$BE$2:$BQ$250,133,0)</f>
        <v>0</v>
      </c>
      <c r="BC189" s="106">
        <f>+HLOOKUP($C189,BP!$BE$2:$BQ$250,134,0)</f>
        <v>14137.52</v>
      </c>
      <c r="BD189" s="106">
        <f>+HLOOKUP($C189,BP!$BE$2:$BQ$250,135,0)</f>
        <v>0</v>
      </c>
      <c r="BE189" s="106">
        <f>+HLOOKUP($C189,BP!$BE$2:$BQ$250,136,0)</f>
        <v>-12324.36</v>
      </c>
      <c r="BF189" s="106">
        <f>+HLOOKUP($C189,BP!$BE$2:$BQ$250,138,0)</f>
        <v>7471.8407999999999</v>
      </c>
      <c r="BG189" s="106">
        <f>+HLOOKUP($C189,BP!$BE$2:$BQ$250,139,0)</f>
        <v>330</v>
      </c>
      <c r="BH189" s="106">
        <f>+HLOOKUP($C189,BP!$BE$2:$BQ$250,140,0)</f>
        <v>0</v>
      </c>
      <c r="BI189" s="106">
        <f>+HLOOKUP($C189,BP!$BE$2:$BQ$250,141,0)</f>
        <v>0</v>
      </c>
      <c r="BJ189" s="106">
        <f>+HLOOKUP($C189,BP!$BE$2:$BQ$250,142,0)</f>
        <v>0</v>
      </c>
      <c r="BK189" s="106">
        <f>+HLOOKUP($C189,BP!$BE$2:$BQ$250,143,0)</f>
        <v>43508.9712</v>
      </c>
      <c r="BL189" s="106">
        <f>+HLOOKUP($C189,BP!$BE$2:$BQ$250,144,0)</f>
        <v>0</v>
      </c>
      <c r="BM189" s="106">
        <f>+HLOOKUP($C189,BP!$BE$2:$BQ$250,146,0)</f>
        <v>0</v>
      </c>
      <c r="BN189" s="106">
        <f>+HLOOKUP($C189,BP!$BE$2:$BQ$250,147,0)</f>
        <v>0</v>
      </c>
      <c r="BO189" s="106">
        <f>+HLOOKUP($C189,BP!$BE$2:$BQ$250,148,0)</f>
        <v>0</v>
      </c>
      <c r="BP189" s="106">
        <f>+HLOOKUP($C189,BP!$BE$2:$BQ$250,150,0)</f>
        <v>33529.200000000004</v>
      </c>
      <c r="BQ189" s="106">
        <f>+HLOOKUP($C189,BP!$BE$2:$BQ$250,151,0)</f>
        <v>0</v>
      </c>
      <c r="BR189" s="106">
        <f>+HLOOKUP($C189,BP!$BE$2:$BQ$250,152,0)</f>
        <v>0</v>
      </c>
      <c r="BS189" s="106">
        <f>+HLOOKUP($C189,BP!$BE$2:$BQ$250,153,0)</f>
        <v>0</v>
      </c>
      <c r="BT189" s="106">
        <f>+HLOOKUP($C189,BP!$BE$2:$BQ$250,157,0)</f>
        <v>16340</v>
      </c>
      <c r="BU189" s="106">
        <f>+HLOOKUP($C189,BP!$BE$2:$BQ$250,158,0)</f>
        <v>0</v>
      </c>
      <c r="BV189" s="106">
        <f>+HLOOKUP($C189,BP!$BE$2:$BQ$250,159,0)</f>
        <v>0</v>
      </c>
      <c r="BW189" s="106">
        <f>+HLOOKUP($C189,BP!$BE$2:$BQ$250,160,0)</f>
        <v>0</v>
      </c>
      <c r="BX189" s="106">
        <f>+HLOOKUP($C189,BP!$BE$2:$BQ$250,161,0)</f>
        <v>1200</v>
      </c>
      <c r="BY189" s="106">
        <f>+HLOOKUP($C189,BP!$BE$2:$BQ$250,164,0)</f>
        <v>6607.7728000000006</v>
      </c>
      <c r="BZ189" s="106">
        <f>+HLOOKUP($C189,BP!$BE$2:$BQ$250,165,0)</f>
        <v>0</v>
      </c>
      <c r="CA189" s="106">
        <f>+HLOOKUP($C189,BP!$BE$2:$BQ$250,166,0)</f>
        <v>0</v>
      </c>
      <c r="CB189" s="106">
        <f>+HLOOKUP($C189,BP!$BE$2:$BQ$250,167,0)</f>
        <v>0</v>
      </c>
      <c r="CC189" s="106">
        <f>+HLOOKUP($C189,BP!$BE$2:$BQ$250,168,0)</f>
        <v>0</v>
      </c>
      <c r="CD189" s="106">
        <f>+HLOOKUP($C189,BP!$BE$2:$BQ$250,169,0)</f>
        <v>47568.536</v>
      </c>
      <c r="CE189" s="106">
        <f>+HLOOKUP($C189,BP!$BE$2:$BQ$250,170,0)</f>
        <v>0</v>
      </c>
      <c r="CF189" s="106">
        <f>+HLOOKUP($C189,BP!$BE$2:$BQ$250,172,0)</f>
        <v>21800</v>
      </c>
      <c r="CG189" s="106">
        <f>+HLOOKUP($C189,BP!$BE$2:$BQ$250,173,0)</f>
        <v>0</v>
      </c>
      <c r="CH189" s="106">
        <f>+HLOOKUP($C189,BP!$BE$2:$BQ$250,174,0)</f>
        <v>94653.119999999995</v>
      </c>
      <c r="CI189" s="106">
        <f>+HLOOKUP($C189,BP!$BE$2:$BQ$250,175,0)</f>
        <v>24907.68</v>
      </c>
      <c r="CJ189" s="106">
        <f>+HLOOKUP($C189,BP!$BE$2:$BQ$250,176,0)</f>
        <v>1425.2796000000003</v>
      </c>
      <c r="CK189" s="106">
        <f>+HLOOKUP($C189,BP!$BE$2:$BQ$250,178,0)</f>
        <v>65095.600000000006</v>
      </c>
      <c r="CL189" s="106">
        <f>+HLOOKUP($C189,BP!$BE$2:$BQ$250,179,0)</f>
        <v>8270.92</v>
      </c>
      <c r="CM189" s="106">
        <f>+HLOOKUP($C189,BP!$BE$2:$BQ$250,180,0)</f>
        <v>0</v>
      </c>
      <c r="CN189" s="106">
        <f>+HLOOKUP($C189,BP!$BE$2:$BQ$250,182,0)</f>
        <v>622.548</v>
      </c>
      <c r="CO189" s="106">
        <f>+HLOOKUP($C189,BP!$BE$2:$BQ$250,183,0)</f>
        <v>2343.7640000000001</v>
      </c>
      <c r="CP189" s="106">
        <f>+HLOOKUP($C189,BP!$BE$2:$BQ$250,184,0)</f>
        <v>1722.4775999999999</v>
      </c>
      <c r="CQ189" s="106">
        <f>+HLOOKUP($C189,BP!$BE$2:$BQ$250,185,0)</f>
        <v>0</v>
      </c>
      <c r="CR189" s="106">
        <f>+HLOOKUP($C189,BP!$BE$2:$BQ$250,187,0)</f>
        <v>2499.84</v>
      </c>
      <c r="CS189" s="106">
        <f>+HLOOKUP($C189,BP!$BE$2:$BQ$250,188,0)</f>
        <v>1800</v>
      </c>
      <c r="CT189" s="106">
        <f>+HLOOKUP($C189,BP!$BE$2:$BQ$250,189,0)</f>
        <v>0</v>
      </c>
      <c r="CU189" s="106">
        <f>+HLOOKUP($C189,BP!$BE$2:$BQ$250,190,0)</f>
        <v>999.96</v>
      </c>
      <c r="CV189" s="106">
        <f>+HLOOKUP($C189,BP!$BE$2:$BQ$250,191,0)</f>
        <v>0</v>
      </c>
      <c r="CW189" s="106">
        <f>+HLOOKUP($C189,BP!$BE$2:$BQ$250,193,0)</f>
        <v>0</v>
      </c>
      <c r="CX189" s="106">
        <f>+HLOOKUP($C189,BP!$BE$2:$BQ$250,194,0)</f>
        <v>31.8</v>
      </c>
      <c r="CY189" s="106">
        <f>+HLOOKUP($C189,BP!$BE$2:$BQ$250,195,0)</f>
        <v>0</v>
      </c>
      <c r="CZ189" s="106">
        <f>+HLOOKUP($C189,BP!$BE$2:$BQ$250,196,0)</f>
        <v>0</v>
      </c>
      <c r="DA189" s="106">
        <f>+HLOOKUP($C189,BP!$BE$2:$BQ$250,197,0)</f>
        <v>284.74400000000003</v>
      </c>
      <c r="DB189" s="106">
        <f>+HLOOKUP($C189,BP!$BE$2:$BQ$250,198,0)</f>
        <v>0</v>
      </c>
      <c r="DC189" s="106">
        <f>+HLOOKUP($C189,BP!$BE$2:$BQ$250,199,0)</f>
        <v>0</v>
      </c>
      <c r="DD189" s="106">
        <f>+HLOOKUP($C189,BP!$BE$2:$BQ$250,200,0)</f>
        <v>0</v>
      </c>
      <c r="DE189" s="106">
        <f>+HLOOKUP($C189,BP!$BE$2:$BQ$250,201,0)</f>
        <v>0</v>
      </c>
      <c r="DF189" s="106">
        <f>+HLOOKUP($C189,BP!$BE$2:$BQ$250,202,0)</f>
        <v>0.32280000000000003</v>
      </c>
      <c r="DG189" s="106">
        <f>+HLOOKUP($C189,BP!$BE$2:$BQ$250,203,0)</f>
        <v>29.530799999999999</v>
      </c>
      <c r="DH189" s="106">
        <f>+HLOOKUP($C189,BP!$BE$2:$BQ$250,205,0)</f>
        <v>0</v>
      </c>
      <c r="DI189" s="106">
        <f>+HLOOKUP($C189,BP!$BE$2:$BQ$250,206,0)</f>
        <v>0</v>
      </c>
      <c r="DJ189" s="106">
        <f>+HLOOKUP($C189,BP!$BE$2:$BQ$250,207,0)</f>
        <v>311.1696000000004</v>
      </c>
      <c r="DK189" s="106">
        <f>+HLOOKUP($C189,BP!$BE$2:$BQ$250,209,0)</f>
        <v>100000</v>
      </c>
      <c r="DL189" s="106">
        <f>+HLOOKUP($C189,BP!$BE$2:$BQ$250,210,0)</f>
        <v>124106</v>
      </c>
      <c r="DM189" s="106">
        <f>+HLOOKUP($C189,BP!$BE$2:$BQ$250,211,0)</f>
        <v>0</v>
      </c>
      <c r="DN189" s="106">
        <f>+HLOOKUP($C189,BP!$BE$2:$BQ$250,212,0)</f>
        <v>0</v>
      </c>
      <c r="DO189" s="106">
        <f>+HLOOKUP($C189,BP!$BE$2:$BQ$250,214,0)</f>
        <v>0</v>
      </c>
      <c r="DP189" s="106">
        <f>+HLOOKUP($C189,BP!$BE$2:$BQ$250,215,0)</f>
        <v>0</v>
      </c>
      <c r="DQ189" s="106">
        <f>+HLOOKUP($C189,BP!$BE$2:$BQ$250,219,0)</f>
        <v>0</v>
      </c>
      <c r="DR189" s="106">
        <f>+HLOOKUP($C189,BP!$BE$2:$BQ$250,220,0)</f>
        <v>0</v>
      </c>
      <c r="DS189" s="106">
        <f>+HLOOKUP($C189,BP!$BE$2:$BQ$250,221,0)</f>
        <v>0</v>
      </c>
      <c r="DT189" s="106">
        <f>+HLOOKUP($C189,BP!$BE$2:$BQ$250,223,0)</f>
        <v>22720.357199999999</v>
      </c>
      <c r="DU189" s="106">
        <f>+HLOOKUP($C189,BP!$BE$2:$BQ$250,224,0)</f>
        <v>0</v>
      </c>
      <c r="DV189" s="106">
        <f>+HLOOKUP($C189,BP!$BE$2:$BQ$250,225,0)</f>
        <v>0</v>
      </c>
      <c r="DW189" s="106">
        <f>+HLOOKUP($C189,BP!$BE$2:$BQ$250,227,0)</f>
        <v>0</v>
      </c>
      <c r="DX189" s="106">
        <f>+HLOOKUP($C189,BP!$BE$2:$BQ$250,228,0)</f>
        <v>5924.52</v>
      </c>
      <c r="DY189" s="106">
        <f>+HLOOKUP($C189,BP!$BE$2:$BQ$250,236,0)</f>
        <v>0</v>
      </c>
      <c r="DZ189" s="106">
        <f>+HLOOKUP($C189,BP!$BE$2:$BQ$250,237,0)</f>
        <v>22332.643080000002</v>
      </c>
      <c r="EA189" s="106">
        <f>+HLOOKUP($C189,BP!$BE$2:$BQ$250,238,0)</f>
        <v>0</v>
      </c>
      <c r="EB189" s="106">
        <f>+HLOOKUP($C189,BP!$BE$2:$BQ$250,240,0)</f>
        <v>386326.71292708302</v>
      </c>
    </row>
    <row r="190" spans="1:132">
      <c r="A190" t="s">
        <v>269</v>
      </c>
      <c r="B190" t="s">
        <v>218</v>
      </c>
      <c r="C190" s="117">
        <v>45748</v>
      </c>
      <c r="D190" s="106">
        <f t="shared" si="5"/>
        <v>9189230.284</v>
      </c>
      <c r="E190" s="106">
        <f>+HLOOKUP(C190,BP!$BE$2:$BQ$250,28,0)+HLOOKUP(C190,BP!$BE$2:$BQ$250,43,0)+HLOOKUP(C190,BP!$BE$2:$BQ$250,44,0)+HLOOKUP(C190,BP!$BE$2:$BQ$250,45,0)+HLOOKUP(C190,BP!$BE$2:$BQ$250,54,0)+HLOOKUP(C190,BP!$BE$2:$BQ$250,59,0)</f>
        <v>9189230.284</v>
      </c>
      <c r="F190" s="106">
        <f>+HLOOKUP(C190,BP!$BE$2:$BQ$250,37,0)+HLOOKUP(C190,BP!$BE$2:$BQ$250,55,0)</f>
        <v>6412828.8199999994</v>
      </c>
      <c r="G190" s="106">
        <f>+HLOOKUP($C190,BP!$BE$2:$BQ$250,76,0)</f>
        <v>0</v>
      </c>
      <c r="H190" s="106">
        <f>+HLOOKUP($C190,BP!$BE$2:$BQ$250,77,0)</f>
        <v>0</v>
      </c>
      <c r="I190" s="106">
        <f>+HLOOKUP($C190,BP!$BE$2:$BQ$250,78,0)</f>
        <v>0</v>
      </c>
      <c r="J190" s="106">
        <f>+HLOOKUP($C190,BP!$BE$2:$BQ$250,79,0)</f>
        <v>0</v>
      </c>
      <c r="K190" s="106">
        <f>+HLOOKUP($C190,BP!$BE$2:$BQ$250,80,0)</f>
        <v>0</v>
      </c>
      <c r="L190" s="106">
        <f>+HLOOKUP($C190,BP!$BE$2:$BQ$250,81,0)</f>
        <v>9543</v>
      </c>
      <c r="M190" s="106">
        <f>+HLOOKUP($C190,BP!$BE$2:$BQ$250,82,0)</f>
        <v>0</v>
      </c>
      <c r="N190" s="106">
        <f>+HLOOKUP($C190,BP!$BE$2:$BQ$250,83,0)</f>
        <v>0</v>
      </c>
      <c r="O190" s="106">
        <f>+HLOOKUP($C190,BP!$BE$2:$BQ$250,84,0)</f>
        <v>0</v>
      </c>
      <c r="P190" s="106">
        <f>+HLOOKUP($C190,BP!$BE$2:$BQ$250,85,0)</f>
        <v>0</v>
      </c>
      <c r="Q190" s="106">
        <f>+HLOOKUP($C190,BP!$BE$2:$BQ$250,87,0)</f>
        <v>118877.54900000003</v>
      </c>
      <c r="R190" s="106">
        <f>+HLOOKUP($C190,BP!$BE$2:$BQ$250,90,0)</f>
        <v>0</v>
      </c>
      <c r="S190" s="106">
        <f>+HLOOKUP($C190,BP!$BE$2:$BQ$250,91,0)</f>
        <v>0</v>
      </c>
      <c r="T190" s="106">
        <f>+HLOOKUP($C190,BP!$BE$2:$BQ$250,92,0)</f>
        <v>0</v>
      </c>
      <c r="U190" s="106">
        <f>+HLOOKUP($C190,BP!$BE$2:$BQ$250,93,0)</f>
        <v>0</v>
      </c>
      <c r="V190" s="106">
        <f>+HLOOKUP($C190,BP!$BE$2:$BQ$250,94,0)</f>
        <v>0</v>
      </c>
      <c r="W190" s="106">
        <f>+HLOOKUP($C190,BP!$BE$2:$BQ$250,95,0)</f>
        <v>0</v>
      </c>
      <c r="X190" s="106">
        <f>+HLOOKUP($C190,BP!$BE$2:$BQ$250,96,0)</f>
        <v>0</v>
      </c>
      <c r="Y190" s="106">
        <f>+HLOOKUP($C190,BP!$BE$2:$BQ$250,97,0)</f>
        <v>0</v>
      </c>
      <c r="Z190" s="106">
        <f>+HLOOKUP($C190,BP!$BE$2:$BQ$250,98,0)</f>
        <v>0</v>
      </c>
      <c r="AA190" s="106">
        <f>+HLOOKUP($C190,BP!$BE$2:$BQ$250,99,0)</f>
        <v>0</v>
      </c>
      <c r="AB190" s="106">
        <f>+HLOOKUP($C190,BP!$BE$2:$BQ$250,100,0)</f>
        <v>0</v>
      </c>
      <c r="AC190" s="106">
        <f>+HLOOKUP($C190,BP!$BE$2:$BQ$250,101,0)</f>
        <v>0</v>
      </c>
      <c r="AD190" s="106">
        <f>+HLOOKUP($C190,BP!$BE$2:$BQ$250,104,0)</f>
        <v>0</v>
      </c>
      <c r="AE190" s="106">
        <f>+HLOOKUP($C190,BP!$BE$2:$BQ$250,105,0)</f>
        <v>12360</v>
      </c>
      <c r="AF190" s="106">
        <f>+HLOOKUP($C190,BP!$BE$2:$BQ$250,106,0)</f>
        <v>0</v>
      </c>
      <c r="AG190" s="106">
        <f>+HLOOKUP($C190,BP!$BE$2:$BQ$250,107,0)</f>
        <v>0</v>
      </c>
      <c r="AH190" s="106">
        <f>+HLOOKUP($C190,BP!$BE$2:$BQ$250,108,0)</f>
        <v>0</v>
      </c>
      <c r="AI190" s="106">
        <f>+HLOOKUP($C190,BP!$BE$2:$BQ$250,109,0)</f>
        <v>0</v>
      </c>
      <c r="AJ190" s="106">
        <f>+HLOOKUP($C190,BP!$BE$2:$BQ$250,110,0)</f>
        <v>0</v>
      </c>
      <c r="AK190" s="106">
        <f>+HLOOKUP($C190,BP!$BE$2:$BQ$250,111,0)</f>
        <v>0</v>
      </c>
      <c r="AL190" s="106">
        <f>+HLOOKUP($C190,BP!$BE$2:$BQ$250,112,0)</f>
        <v>0</v>
      </c>
      <c r="AM190" s="106">
        <f>+HLOOKUP($C190,BP!$BE$2:$BQ$250,116,0)</f>
        <v>92848.2</v>
      </c>
      <c r="AN190" s="106">
        <f>+HLOOKUP($C190,BP!$BE$2:$BQ$250,117,0)</f>
        <v>16323</v>
      </c>
      <c r="AO190" s="106">
        <f>+HLOOKUP($C190,BP!$BE$2:$BQ$250,118,0)</f>
        <v>2500</v>
      </c>
      <c r="AP190" s="106">
        <f>+HLOOKUP($C190,BP!$BE$2:$BQ$250,119,0)</f>
        <v>32030.2</v>
      </c>
      <c r="AQ190" s="106">
        <f>+HLOOKUP($C190,BP!$BE$2:$BQ$250,120,0)</f>
        <v>4073.2</v>
      </c>
      <c r="AR190" s="106">
        <f>+HLOOKUP($C190,BP!$BE$2:$BQ$250,121,0)</f>
        <v>2000</v>
      </c>
      <c r="AS190" s="106">
        <f>+HLOOKUP($C190,BP!$BE$2:$BQ$250,122,0)</f>
        <v>52121.8</v>
      </c>
      <c r="AT190" s="106">
        <f>+HLOOKUP($C190,BP!$BE$2:$BQ$250,123,0)</f>
        <v>14646.494290277777</v>
      </c>
      <c r="AU190" s="106">
        <f>+HLOOKUP($C190,BP!$BE$2:$BQ$250,124,0)</f>
        <v>1866.75</v>
      </c>
      <c r="AV190" s="106">
        <f>+HLOOKUP($C190,BP!$BE$2:$BQ$250,125,0)</f>
        <v>81780</v>
      </c>
      <c r="AW190" s="106">
        <f>+HLOOKUP($C190,BP!$BE$2:$BQ$250,126,0)</f>
        <v>5110.5769230769229</v>
      </c>
      <c r="AX190" s="106">
        <f>+HLOOKUP($C190,BP!$BE$2:$BQ$250,127,0)</f>
        <v>8274.9999999999982</v>
      </c>
      <c r="AY190" s="106">
        <f>+HLOOKUP($C190,BP!$BE$2:$BQ$250,129,0)</f>
        <v>0</v>
      </c>
      <c r="AZ190" s="106">
        <f>+HLOOKUP($C190,BP!$BE$2:$BQ$250,130,0)</f>
        <v>0</v>
      </c>
      <c r="BA190" s="106">
        <f>+HLOOKUP($C190,BP!$BE$2:$BQ$250,131,0)</f>
        <v>0</v>
      </c>
      <c r="BB190" s="106">
        <f>+HLOOKUP($C190,BP!$BE$2:$BQ$250,133,0)</f>
        <v>0</v>
      </c>
      <c r="BC190" s="106">
        <f>+HLOOKUP($C190,BP!$BE$2:$BQ$250,134,0)</f>
        <v>33919.119999999995</v>
      </c>
      <c r="BD190" s="106">
        <f>+HLOOKUP($C190,BP!$BE$2:$BQ$250,135,0)</f>
        <v>0</v>
      </c>
      <c r="BE190" s="106">
        <f>+HLOOKUP($C190,BP!$BE$2:$BQ$250,136,0)</f>
        <v>0</v>
      </c>
      <c r="BF190" s="106">
        <f>+HLOOKUP($C190,BP!$BE$2:$BQ$250,138,0)</f>
        <v>8723.8790399999998</v>
      </c>
      <c r="BG190" s="106">
        <f>+HLOOKUP($C190,BP!$BE$2:$BQ$250,139,0)</f>
        <v>1297.92</v>
      </c>
      <c r="BH190" s="106">
        <f>+HLOOKUP($C190,BP!$BE$2:$BQ$250,140,0)</f>
        <v>19860.800000000003</v>
      </c>
      <c r="BI190" s="106">
        <f>+HLOOKUP($C190,BP!$BE$2:$BQ$250,141,0)</f>
        <v>0</v>
      </c>
      <c r="BJ190" s="106">
        <f>+HLOOKUP($C190,BP!$BE$2:$BQ$250,142,0)</f>
        <v>0</v>
      </c>
      <c r="BK190" s="106">
        <f>+HLOOKUP($C190,BP!$BE$2:$BQ$250,143,0)</f>
        <v>0</v>
      </c>
      <c r="BL190" s="106">
        <f>+HLOOKUP($C190,BP!$BE$2:$BQ$250,144,0)</f>
        <v>0</v>
      </c>
      <c r="BM190" s="106">
        <f>+HLOOKUP($C190,BP!$BE$2:$BQ$250,146,0)</f>
        <v>0</v>
      </c>
      <c r="BN190" s="106">
        <f>+HLOOKUP($C190,BP!$BE$2:$BQ$250,147,0)</f>
        <v>0</v>
      </c>
      <c r="BO190" s="106">
        <f>+HLOOKUP($C190,BP!$BE$2:$BQ$250,148,0)</f>
        <v>0</v>
      </c>
      <c r="BP190" s="106">
        <f>+HLOOKUP($C190,BP!$BE$2:$BQ$250,150,0)</f>
        <v>34374.800000000003</v>
      </c>
      <c r="BQ190" s="106">
        <f>+HLOOKUP($C190,BP!$BE$2:$BQ$250,151,0)</f>
        <v>0</v>
      </c>
      <c r="BR190" s="106">
        <f>+HLOOKUP($C190,BP!$BE$2:$BQ$250,152,0)</f>
        <v>14000</v>
      </c>
      <c r="BS190" s="106">
        <f>+HLOOKUP($C190,BP!$BE$2:$BQ$250,153,0)</f>
        <v>0</v>
      </c>
      <c r="BT190" s="106">
        <f>+HLOOKUP($C190,BP!$BE$2:$BQ$250,157,0)</f>
        <v>0</v>
      </c>
      <c r="BU190" s="106">
        <f>+HLOOKUP($C190,BP!$BE$2:$BQ$250,158,0)</f>
        <v>0</v>
      </c>
      <c r="BV190" s="106">
        <f>+HLOOKUP($C190,BP!$BE$2:$BQ$250,159,0)</f>
        <v>0</v>
      </c>
      <c r="BW190" s="106">
        <f>+HLOOKUP($C190,BP!$BE$2:$BQ$250,160,0)</f>
        <v>15918.75</v>
      </c>
      <c r="BX190" s="106">
        <f>+HLOOKUP($C190,BP!$BE$2:$BQ$250,161,0)</f>
        <v>0</v>
      </c>
      <c r="BY190" s="106">
        <f>+HLOOKUP($C190,BP!$BE$2:$BQ$250,164,0)</f>
        <v>5963.576</v>
      </c>
      <c r="BZ190" s="106">
        <f>+HLOOKUP($C190,BP!$BE$2:$BQ$250,165,0)</f>
        <v>0</v>
      </c>
      <c r="CA190" s="106">
        <f>+HLOOKUP($C190,BP!$BE$2:$BQ$250,166,0)</f>
        <v>0</v>
      </c>
      <c r="CB190" s="106">
        <f>+HLOOKUP($C190,BP!$BE$2:$BQ$250,167,0)</f>
        <v>0</v>
      </c>
      <c r="CC190" s="106">
        <f>+HLOOKUP($C190,BP!$BE$2:$BQ$250,168,0)</f>
        <v>0</v>
      </c>
      <c r="CD190" s="106">
        <f>+HLOOKUP($C190,BP!$BE$2:$BQ$250,169,0)</f>
        <v>0</v>
      </c>
      <c r="CE190" s="106">
        <f>+HLOOKUP($C190,BP!$BE$2:$BQ$250,170,0)</f>
        <v>0</v>
      </c>
      <c r="CF190" s="106">
        <f>+HLOOKUP($C190,BP!$BE$2:$BQ$250,172,0)</f>
        <v>21800</v>
      </c>
      <c r="CG190" s="106">
        <f>+HLOOKUP($C190,BP!$BE$2:$BQ$250,173,0)</f>
        <v>0</v>
      </c>
      <c r="CH190" s="106">
        <f>+HLOOKUP($C190,BP!$BE$2:$BQ$250,174,0)</f>
        <v>0</v>
      </c>
      <c r="CI190" s="106">
        <f>+HLOOKUP($C190,BP!$BE$2:$BQ$250,175,0)</f>
        <v>0</v>
      </c>
      <c r="CJ190" s="106">
        <f>+HLOOKUP($C190,BP!$BE$2:$BQ$250,176,0)</f>
        <v>1425.2796000000001</v>
      </c>
      <c r="CK190" s="106">
        <f>+HLOOKUP($C190,BP!$BE$2:$BQ$250,178,0)</f>
        <v>67002</v>
      </c>
      <c r="CL190" s="106">
        <f>+HLOOKUP($C190,BP!$BE$2:$BQ$250,179,0)</f>
        <v>8475.4160000000011</v>
      </c>
      <c r="CM190" s="106">
        <f>+HLOOKUP($C190,BP!$BE$2:$BQ$250,180,0)</f>
        <v>0</v>
      </c>
      <c r="CN190" s="106">
        <f>+HLOOKUP($C190,BP!$BE$2:$BQ$250,182,0)</f>
        <v>0</v>
      </c>
      <c r="CO190" s="106">
        <f>+HLOOKUP($C190,BP!$BE$2:$BQ$250,183,0)</f>
        <v>2343.7640000000001</v>
      </c>
      <c r="CP190" s="106">
        <f>+HLOOKUP($C190,BP!$BE$2:$BQ$250,184,0)</f>
        <v>152.4408</v>
      </c>
      <c r="CQ190" s="106">
        <f>+HLOOKUP($C190,BP!$BE$2:$BQ$250,185,0)</f>
        <v>0</v>
      </c>
      <c r="CR190" s="106">
        <f>+HLOOKUP($C190,BP!$BE$2:$BQ$250,187,0)</f>
        <v>2499.84</v>
      </c>
      <c r="CS190" s="106">
        <f>+HLOOKUP($C190,BP!$BE$2:$BQ$250,188,0)</f>
        <v>0</v>
      </c>
      <c r="CT190" s="106">
        <f>+HLOOKUP($C190,BP!$BE$2:$BQ$250,189,0)</f>
        <v>0</v>
      </c>
      <c r="CU190" s="106">
        <f>+HLOOKUP($C190,BP!$BE$2:$BQ$250,190,0)</f>
        <v>0</v>
      </c>
      <c r="CV190" s="106">
        <f>+HLOOKUP($C190,BP!$BE$2:$BQ$250,191,0)</f>
        <v>0</v>
      </c>
      <c r="CW190" s="106">
        <f>+HLOOKUP($C190,BP!$BE$2:$BQ$250,193,0)</f>
        <v>11000.703999999998</v>
      </c>
      <c r="CX190" s="106">
        <f>+HLOOKUP($C190,BP!$BE$2:$BQ$250,194,0)</f>
        <v>31.8</v>
      </c>
      <c r="CY190" s="106">
        <f>+HLOOKUP($C190,BP!$BE$2:$BQ$250,195,0)</f>
        <v>0</v>
      </c>
      <c r="CZ190" s="106">
        <f>+HLOOKUP($C190,BP!$BE$2:$BQ$250,196,0)</f>
        <v>0</v>
      </c>
      <c r="DA190" s="106">
        <f>+HLOOKUP($C190,BP!$BE$2:$BQ$250,197,0)</f>
        <v>0</v>
      </c>
      <c r="DB190" s="106">
        <f>+HLOOKUP($C190,BP!$BE$2:$BQ$250,198,0)</f>
        <v>0</v>
      </c>
      <c r="DC190" s="106">
        <f>+HLOOKUP($C190,BP!$BE$2:$BQ$250,199,0)</f>
        <v>0</v>
      </c>
      <c r="DD190" s="106">
        <f>+HLOOKUP($C190,BP!$BE$2:$BQ$250,200,0)</f>
        <v>0</v>
      </c>
      <c r="DE190" s="106">
        <f>+HLOOKUP($C190,BP!$BE$2:$BQ$250,201,0)</f>
        <v>0</v>
      </c>
      <c r="DF190" s="106">
        <f>+HLOOKUP($C190,BP!$BE$2:$BQ$250,202,0)</f>
        <v>0.86840000000000006</v>
      </c>
      <c r="DG190" s="106">
        <f>+HLOOKUP($C190,BP!$BE$2:$BQ$250,203,0)</f>
        <v>-5.0735999999999999</v>
      </c>
      <c r="DH190" s="106">
        <f>+HLOOKUP($C190,BP!$BE$2:$BQ$250,205,0)</f>
        <v>0</v>
      </c>
      <c r="DI190" s="106">
        <f>+HLOOKUP($C190,BP!$BE$2:$BQ$250,206,0)</f>
        <v>0</v>
      </c>
      <c r="DJ190" s="106">
        <f>+HLOOKUP($C190,BP!$BE$2:$BQ$250,207,0)</f>
        <v>311.1696000000004</v>
      </c>
      <c r="DK190" s="106">
        <f>+HLOOKUP($C190,BP!$BE$2:$BQ$250,209,0)</f>
        <v>100000</v>
      </c>
      <c r="DL190" s="106">
        <f>+HLOOKUP($C190,BP!$BE$2:$BQ$250,210,0)</f>
        <v>124106</v>
      </c>
      <c r="DM190" s="106">
        <f>+HLOOKUP($C190,BP!$BE$2:$BQ$250,211,0)</f>
        <v>0</v>
      </c>
      <c r="DN190" s="106">
        <f>+HLOOKUP($C190,BP!$BE$2:$BQ$250,212,0)</f>
        <v>0</v>
      </c>
      <c r="DO190" s="106">
        <f>+HLOOKUP($C190,BP!$BE$2:$BQ$250,214,0)</f>
        <v>0</v>
      </c>
      <c r="DP190" s="106">
        <f>+HLOOKUP($C190,BP!$BE$2:$BQ$250,215,0)</f>
        <v>0</v>
      </c>
      <c r="DQ190" s="106">
        <f>+HLOOKUP($C190,BP!$BE$2:$BQ$250,219,0)</f>
        <v>0</v>
      </c>
      <c r="DR190" s="106">
        <f>+HLOOKUP($C190,BP!$BE$2:$BQ$250,220,0)</f>
        <v>0</v>
      </c>
      <c r="DS190" s="106">
        <f>+HLOOKUP($C190,BP!$BE$2:$BQ$250,221,0)</f>
        <v>0</v>
      </c>
      <c r="DT190" s="106">
        <f>+HLOOKUP($C190,BP!$BE$2:$BQ$250,223,0)</f>
        <v>13928.899199999998</v>
      </c>
      <c r="DU190" s="106">
        <f>+HLOOKUP($C190,BP!$BE$2:$BQ$250,224,0)</f>
        <v>0</v>
      </c>
      <c r="DV190" s="106">
        <f>+HLOOKUP($C190,BP!$BE$2:$BQ$250,225,0)</f>
        <v>0</v>
      </c>
      <c r="DW190" s="106">
        <f>+HLOOKUP($C190,BP!$BE$2:$BQ$250,227,0)</f>
        <v>0</v>
      </c>
      <c r="DX190" s="106">
        <f>+HLOOKUP($C190,BP!$BE$2:$BQ$250,228,0)</f>
        <v>527.04</v>
      </c>
      <c r="DY190" s="106">
        <f>+HLOOKUP($C190,BP!$BE$2:$BQ$250,236,0)</f>
        <v>0</v>
      </c>
      <c r="DZ190" s="106">
        <f>+HLOOKUP($C190,BP!$BE$2:$BQ$250,237,0)</f>
        <v>23368.741440000002</v>
      </c>
      <c r="EA190" s="106">
        <f>+HLOOKUP($C190,BP!$BE$2:$BQ$250,238,0)</f>
        <v>0</v>
      </c>
      <c r="EB190" s="106">
        <f>+HLOOKUP($C190,BP!$BE$2:$BQ$250,240,0)</f>
        <v>386326.71292708302</v>
      </c>
    </row>
    <row r="191" spans="1:132">
      <c r="A191" t="s">
        <v>269</v>
      </c>
      <c r="B191" t="s">
        <v>218</v>
      </c>
      <c r="C191" s="117">
        <v>45717</v>
      </c>
      <c r="D191" s="106">
        <f t="shared" si="5"/>
        <v>10505086.697999999</v>
      </c>
      <c r="E191" s="106">
        <f>+HLOOKUP(C191,BP!$BE$2:$BQ$250,28,0)+HLOOKUP(C191,BP!$BE$2:$BQ$250,43,0)+HLOOKUP(C191,BP!$BE$2:$BQ$250,44,0)+HLOOKUP(C191,BP!$BE$2:$BQ$250,45,0)+HLOOKUP(C191,BP!$BE$2:$BQ$250,54,0)+HLOOKUP(C191,BP!$BE$2:$BQ$250,59,0)</f>
        <v>10505086.697999999</v>
      </c>
      <c r="F191" s="106">
        <f>+HLOOKUP(C191,BP!$BE$2:$BQ$250,37,0)+HLOOKUP(C191,BP!$BE$2:$BQ$250,55,0)</f>
        <v>6167475.330000001</v>
      </c>
      <c r="G191" s="106">
        <f>+HLOOKUP($C191,BP!$BE$2:$BQ$250,76,0)</f>
        <v>0</v>
      </c>
      <c r="H191" s="106">
        <f>+HLOOKUP($C191,BP!$BE$2:$BQ$250,77,0)</f>
        <v>0</v>
      </c>
      <c r="I191" s="106">
        <f>+HLOOKUP($C191,BP!$BE$2:$BQ$250,78,0)</f>
        <v>0</v>
      </c>
      <c r="J191" s="106">
        <f>+HLOOKUP($C191,BP!$BE$2:$BQ$250,79,0)</f>
        <v>0</v>
      </c>
      <c r="K191" s="106">
        <f>+HLOOKUP($C191,BP!$BE$2:$BQ$250,80,0)</f>
        <v>0</v>
      </c>
      <c r="L191" s="106">
        <f>+HLOOKUP($C191,BP!$BE$2:$BQ$250,81,0)</f>
        <v>19597.72</v>
      </c>
      <c r="M191" s="106">
        <f>+HLOOKUP($C191,BP!$BE$2:$BQ$250,82,0)</f>
        <v>0</v>
      </c>
      <c r="N191" s="106">
        <f>+HLOOKUP($C191,BP!$BE$2:$BQ$250,83,0)</f>
        <v>0</v>
      </c>
      <c r="O191" s="106">
        <f>+HLOOKUP($C191,BP!$BE$2:$BQ$250,84,0)</f>
        <v>0</v>
      </c>
      <c r="P191" s="106">
        <f>+HLOOKUP($C191,BP!$BE$2:$BQ$250,85,0)</f>
        <v>0</v>
      </c>
      <c r="Q191" s="106">
        <f>+HLOOKUP($C191,BP!$BE$2:$BQ$250,87,0)</f>
        <v>159046.61500000002</v>
      </c>
      <c r="R191" s="106">
        <f>+HLOOKUP($C191,BP!$BE$2:$BQ$250,90,0)</f>
        <v>0</v>
      </c>
      <c r="S191" s="106">
        <f>+HLOOKUP($C191,BP!$BE$2:$BQ$250,91,0)</f>
        <v>0</v>
      </c>
      <c r="T191" s="106">
        <f>+HLOOKUP($C191,BP!$BE$2:$BQ$250,92,0)</f>
        <v>0</v>
      </c>
      <c r="U191" s="106">
        <f>+HLOOKUP($C191,BP!$BE$2:$BQ$250,93,0)</f>
        <v>0</v>
      </c>
      <c r="V191" s="106">
        <f>+HLOOKUP($C191,BP!$BE$2:$BQ$250,94,0)</f>
        <v>0</v>
      </c>
      <c r="W191" s="106">
        <f>+HLOOKUP($C191,BP!$BE$2:$BQ$250,95,0)</f>
        <v>0</v>
      </c>
      <c r="X191" s="106">
        <f>+HLOOKUP($C191,BP!$BE$2:$BQ$250,96,0)</f>
        <v>0</v>
      </c>
      <c r="Y191" s="106">
        <f>+HLOOKUP($C191,BP!$BE$2:$BQ$250,97,0)</f>
        <v>0</v>
      </c>
      <c r="Z191" s="106">
        <f>+HLOOKUP($C191,BP!$BE$2:$BQ$250,98,0)</f>
        <v>0</v>
      </c>
      <c r="AA191" s="106">
        <f>+HLOOKUP($C191,BP!$BE$2:$BQ$250,99,0)</f>
        <v>0</v>
      </c>
      <c r="AB191" s="106">
        <f>+HLOOKUP($C191,BP!$BE$2:$BQ$250,100,0)</f>
        <v>0</v>
      </c>
      <c r="AC191" s="106">
        <f>+HLOOKUP($C191,BP!$BE$2:$BQ$250,101,0)</f>
        <v>0</v>
      </c>
      <c r="AD191" s="106">
        <f>+HLOOKUP($C191,BP!$BE$2:$BQ$250,104,0)</f>
        <v>0</v>
      </c>
      <c r="AE191" s="106">
        <f>+HLOOKUP($C191,BP!$BE$2:$BQ$250,105,0)</f>
        <v>5820</v>
      </c>
      <c r="AF191" s="106">
        <f>+HLOOKUP($C191,BP!$BE$2:$BQ$250,106,0)</f>
        <v>0</v>
      </c>
      <c r="AG191" s="106">
        <f>+HLOOKUP($C191,BP!$BE$2:$BQ$250,107,0)</f>
        <v>0</v>
      </c>
      <c r="AH191" s="106">
        <f>+HLOOKUP($C191,BP!$BE$2:$BQ$250,108,0)</f>
        <v>0</v>
      </c>
      <c r="AI191" s="106">
        <f>+HLOOKUP($C191,BP!$BE$2:$BQ$250,109,0)</f>
        <v>30.6</v>
      </c>
      <c r="AJ191" s="106">
        <f>+HLOOKUP($C191,BP!$BE$2:$BQ$250,110,0)</f>
        <v>0</v>
      </c>
      <c r="AK191" s="106">
        <f>+HLOOKUP($C191,BP!$BE$2:$BQ$250,111,0)</f>
        <v>5280</v>
      </c>
      <c r="AL191" s="106">
        <f>+HLOOKUP($C191,BP!$BE$2:$BQ$250,112,0)</f>
        <v>0</v>
      </c>
      <c r="AM191" s="106">
        <f>+HLOOKUP($C191,BP!$BE$2:$BQ$250,116,0)</f>
        <v>94989</v>
      </c>
      <c r="AN191" s="106">
        <f>+HLOOKUP($C191,BP!$BE$2:$BQ$250,117,0)</f>
        <v>16121</v>
      </c>
      <c r="AO191" s="106">
        <f>+HLOOKUP($C191,BP!$BE$2:$BQ$250,118,0)</f>
        <v>2500</v>
      </c>
      <c r="AP191" s="106">
        <f>+HLOOKUP($C191,BP!$BE$2:$BQ$250,119,0)</f>
        <v>59894</v>
      </c>
      <c r="AQ191" s="106">
        <f>+HLOOKUP($C191,BP!$BE$2:$BQ$250,120,0)</f>
        <v>4668</v>
      </c>
      <c r="AR191" s="106">
        <f>+HLOOKUP($C191,BP!$BE$2:$BQ$250,121,0)</f>
        <v>2000</v>
      </c>
      <c r="AS191" s="106">
        <f>+HLOOKUP($C191,BP!$BE$2:$BQ$250,122,0)</f>
        <v>52506</v>
      </c>
      <c r="AT191" s="106">
        <f>+HLOOKUP($C191,BP!$BE$2:$BQ$250,123,0)</f>
        <v>21838</v>
      </c>
      <c r="AU191" s="106">
        <f>+HLOOKUP($C191,BP!$BE$2:$BQ$250,124,0)</f>
        <v>1262.2</v>
      </c>
      <c r="AV191" s="106">
        <f>+HLOOKUP($C191,BP!$BE$2:$BQ$250,125,0)</f>
        <v>81780</v>
      </c>
      <c r="AW191" s="106">
        <f>+HLOOKUP($C191,BP!$BE$2:$BQ$250,126,0)</f>
        <v>5110.5769230769229</v>
      </c>
      <c r="AX191" s="106">
        <f>+HLOOKUP($C191,BP!$BE$2:$BQ$250,127,0)</f>
        <v>8274.9999999999982</v>
      </c>
      <c r="AY191" s="106">
        <f>+HLOOKUP($C191,BP!$BE$2:$BQ$250,129,0)</f>
        <v>0</v>
      </c>
      <c r="AZ191" s="106">
        <f>+HLOOKUP($C191,BP!$BE$2:$BQ$250,130,0)</f>
        <v>0</v>
      </c>
      <c r="BA191" s="106">
        <f>+HLOOKUP($C191,BP!$BE$2:$BQ$250,131,0)</f>
        <v>0</v>
      </c>
      <c r="BB191" s="106">
        <f>+HLOOKUP($C191,BP!$BE$2:$BQ$250,133,0)</f>
        <v>0</v>
      </c>
      <c r="BC191" s="106">
        <f>+HLOOKUP($C191,BP!$BE$2:$BQ$250,134,0)</f>
        <v>516</v>
      </c>
      <c r="BD191" s="106">
        <f>+HLOOKUP($C191,BP!$BE$2:$BQ$250,135,0)</f>
        <v>0</v>
      </c>
      <c r="BE191" s="106">
        <f>+HLOOKUP($C191,BP!$BE$2:$BQ$250,136,0)</f>
        <v>0</v>
      </c>
      <c r="BF191" s="106">
        <f>+HLOOKUP($C191,BP!$BE$2:$BQ$250,138,0)</f>
        <v>0</v>
      </c>
      <c r="BG191" s="106">
        <f>+HLOOKUP($C191,BP!$BE$2:$BQ$250,139,0)</f>
        <v>3923.68</v>
      </c>
      <c r="BH191" s="106">
        <f>+HLOOKUP($C191,BP!$BE$2:$BQ$250,140,0)</f>
        <v>0</v>
      </c>
      <c r="BI191" s="106">
        <f>+HLOOKUP($C191,BP!$BE$2:$BQ$250,141,0)</f>
        <v>0</v>
      </c>
      <c r="BJ191" s="106">
        <f>+HLOOKUP($C191,BP!$BE$2:$BQ$250,142,0)</f>
        <v>0</v>
      </c>
      <c r="BK191" s="106">
        <f>+HLOOKUP($C191,BP!$BE$2:$BQ$250,143,0)</f>
        <v>0</v>
      </c>
      <c r="BL191" s="106">
        <f>+HLOOKUP($C191,BP!$BE$2:$BQ$250,144,0)</f>
        <v>0</v>
      </c>
      <c r="BM191" s="106">
        <f>+HLOOKUP($C191,BP!$BE$2:$BQ$250,146,0)</f>
        <v>0</v>
      </c>
      <c r="BN191" s="106">
        <f>+HLOOKUP($C191,BP!$BE$2:$BQ$250,147,0)</f>
        <v>0</v>
      </c>
      <c r="BO191" s="106">
        <f>+HLOOKUP($C191,BP!$BE$2:$BQ$250,148,0)</f>
        <v>0</v>
      </c>
      <c r="BP191" s="106">
        <f>+HLOOKUP($C191,BP!$BE$2:$BQ$250,150,0)</f>
        <v>35056.800000000003</v>
      </c>
      <c r="BQ191" s="106">
        <f>+HLOOKUP($C191,BP!$BE$2:$BQ$250,151,0)</f>
        <v>0</v>
      </c>
      <c r="BR191" s="106">
        <f>+HLOOKUP($C191,BP!$BE$2:$BQ$250,152,0)</f>
        <v>0</v>
      </c>
      <c r="BS191" s="106">
        <f>+HLOOKUP($C191,BP!$BE$2:$BQ$250,153,0)</f>
        <v>0</v>
      </c>
      <c r="BT191" s="106">
        <f>+HLOOKUP($C191,BP!$BE$2:$BQ$250,157,0)</f>
        <v>0</v>
      </c>
      <c r="BU191" s="106">
        <f>+HLOOKUP($C191,BP!$BE$2:$BQ$250,158,0)</f>
        <v>0</v>
      </c>
      <c r="BV191" s="106">
        <f>+HLOOKUP($C191,BP!$BE$2:$BQ$250,159,0)</f>
        <v>1475.5164</v>
      </c>
      <c r="BW191" s="106">
        <f>+HLOOKUP($C191,BP!$BE$2:$BQ$250,160,0)</f>
        <v>0</v>
      </c>
      <c r="BX191" s="106">
        <f>+HLOOKUP($C191,BP!$BE$2:$BQ$250,161,0)</f>
        <v>0</v>
      </c>
      <c r="BY191" s="106">
        <f>+HLOOKUP($C191,BP!$BE$2:$BQ$250,164,0)</f>
        <v>1555.9920000000002</v>
      </c>
      <c r="BZ191" s="106">
        <f>+HLOOKUP($C191,BP!$BE$2:$BQ$250,165,0)</f>
        <v>0</v>
      </c>
      <c r="CA191" s="106">
        <f>+HLOOKUP($C191,BP!$BE$2:$BQ$250,166,0)</f>
        <v>0</v>
      </c>
      <c r="CB191" s="106">
        <f>+HLOOKUP($C191,BP!$BE$2:$BQ$250,167,0)</f>
        <v>0</v>
      </c>
      <c r="CC191" s="106">
        <f>+HLOOKUP($C191,BP!$BE$2:$BQ$250,168,0)</f>
        <v>0</v>
      </c>
      <c r="CD191" s="106">
        <f>+HLOOKUP($C191,BP!$BE$2:$BQ$250,169,0)</f>
        <v>1173.5603999999996</v>
      </c>
      <c r="CE191" s="106">
        <f>+HLOOKUP($C191,BP!$BE$2:$BQ$250,170,0)</f>
        <v>0</v>
      </c>
      <c r="CF191" s="106">
        <f>+HLOOKUP($C191,BP!$BE$2:$BQ$250,172,0)</f>
        <v>21800</v>
      </c>
      <c r="CG191" s="106">
        <f>+HLOOKUP($C191,BP!$BE$2:$BQ$250,173,0)</f>
        <v>0</v>
      </c>
      <c r="CH191" s="106">
        <f>+HLOOKUP($C191,BP!$BE$2:$BQ$250,174,0)</f>
        <v>0</v>
      </c>
      <c r="CI191" s="106">
        <f>+HLOOKUP($C191,BP!$BE$2:$BQ$250,175,0)</f>
        <v>0</v>
      </c>
      <c r="CJ191" s="106">
        <f>+HLOOKUP($C191,BP!$BE$2:$BQ$250,176,0)</f>
        <v>1425.2796000000001</v>
      </c>
      <c r="CK191" s="106">
        <f>+HLOOKUP($C191,BP!$BE$2:$BQ$250,178,0)</f>
        <v>57843.600000000006</v>
      </c>
      <c r="CL191" s="106">
        <f>+HLOOKUP($C191,BP!$BE$2:$BQ$250,179,0)</f>
        <v>3794</v>
      </c>
      <c r="CM191" s="106">
        <f>+HLOOKUP($C191,BP!$BE$2:$BQ$250,180,0)</f>
        <v>0</v>
      </c>
      <c r="CN191" s="106">
        <f>+HLOOKUP($C191,BP!$BE$2:$BQ$250,182,0)</f>
        <v>0</v>
      </c>
      <c r="CO191" s="106">
        <f>+HLOOKUP($C191,BP!$BE$2:$BQ$250,183,0)</f>
        <v>2343.7640000000001</v>
      </c>
      <c r="CP191" s="106">
        <f>+HLOOKUP($C191,BP!$BE$2:$BQ$250,184,0)</f>
        <v>0</v>
      </c>
      <c r="CQ191" s="106">
        <f>+HLOOKUP($C191,BP!$BE$2:$BQ$250,185,0)</f>
        <v>0</v>
      </c>
      <c r="CR191" s="106">
        <f>+HLOOKUP($C191,BP!$BE$2:$BQ$250,187,0)</f>
        <v>2499.84</v>
      </c>
      <c r="CS191" s="106">
        <f>+HLOOKUP($C191,BP!$BE$2:$BQ$250,188,0)</f>
        <v>0</v>
      </c>
      <c r="CT191" s="106">
        <f>+HLOOKUP($C191,BP!$BE$2:$BQ$250,189,0)</f>
        <v>0</v>
      </c>
      <c r="CU191" s="106">
        <f>+HLOOKUP($C191,BP!$BE$2:$BQ$250,190,0)</f>
        <v>0</v>
      </c>
      <c r="CV191" s="106">
        <f>+HLOOKUP($C191,BP!$BE$2:$BQ$250,191,0)</f>
        <v>0</v>
      </c>
      <c r="CW191" s="106">
        <f>+HLOOKUP($C191,BP!$BE$2:$BQ$250,193,0)</f>
        <v>11122.866666666681</v>
      </c>
      <c r="CX191" s="106">
        <f>+HLOOKUP($C191,BP!$BE$2:$BQ$250,194,0)</f>
        <v>31.8</v>
      </c>
      <c r="CY191" s="106">
        <f>+HLOOKUP($C191,BP!$BE$2:$BQ$250,195,0)</f>
        <v>0</v>
      </c>
      <c r="CZ191" s="106">
        <f>+HLOOKUP($C191,BP!$BE$2:$BQ$250,196,0)</f>
        <v>0</v>
      </c>
      <c r="DA191" s="106">
        <f>+HLOOKUP($C191,BP!$BE$2:$BQ$250,197,0)</f>
        <v>120</v>
      </c>
      <c r="DB191" s="106">
        <f>+HLOOKUP($C191,BP!$BE$2:$BQ$250,198,0)</f>
        <v>0</v>
      </c>
      <c r="DC191" s="106">
        <f>+HLOOKUP($C191,BP!$BE$2:$BQ$250,199,0)</f>
        <v>0</v>
      </c>
      <c r="DD191" s="106">
        <f>+HLOOKUP($C191,BP!$BE$2:$BQ$250,200,0)</f>
        <v>0</v>
      </c>
      <c r="DE191" s="106">
        <f>+HLOOKUP($C191,BP!$BE$2:$BQ$250,201,0)</f>
        <v>0</v>
      </c>
      <c r="DF191" s="106">
        <f>+HLOOKUP($C191,BP!$BE$2:$BQ$250,202,0)</f>
        <v>-2.2763999999999998</v>
      </c>
      <c r="DG191" s="106">
        <f>+HLOOKUP($C191,BP!$BE$2:$BQ$250,203,0)</f>
        <v>-48.633600000000001</v>
      </c>
      <c r="DH191" s="106">
        <f>+HLOOKUP($C191,BP!$BE$2:$BQ$250,205,0)</f>
        <v>0</v>
      </c>
      <c r="DI191" s="106">
        <f>+HLOOKUP($C191,BP!$BE$2:$BQ$250,206,0)</f>
        <v>0</v>
      </c>
      <c r="DJ191" s="106">
        <f>+HLOOKUP($C191,BP!$BE$2:$BQ$250,207,0)</f>
        <v>311.1696000000004</v>
      </c>
      <c r="DK191" s="106">
        <f>+HLOOKUP($C191,BP!$BE$2:$BQ$250,209,0)</f>
        <v>100000</v>
      </c>
      <c r="DL191" s="106">
        <f>+HLOOKUP($C191,BP!$BE$2:$BQ$250,210,0)</f>
        <v>124106</v>
      </c>
      <c r="DM191" s="106">
        <f>+HLOOKUP($C191,BP!$BE$2:$BQ$250,211,0)</f>
        <v>0</v>
      </c>
      <c r="DN191" s="106">
        <f>+HLOOKUP($C191,BP!$BE$2:$BQ$250,212,0)</f>
        <v>0</v>
      </c>
      <c r="DO191" s="106">
        <f>+HLOOKUP($C191,BP!$BE$2:$BQ$250,214,0)</f>
        <v>0</v>
      </c>
      <c r="DP191" s="106">
        <f>+HLOOKUP($C191,BP!$BE$2:$BQ$250,215,0)</f>
        <v>0</v>
      </c>
      <c r="DQ191" s="106">
        <f>+HLOOKUP($C191,BP!$BE$2:$BQ$250,219,0)</f>
        <v>0</v>
      </c>
      <c r="DR191" s="106">
        <f>+HLOOKUP($C191,BP!$BE$2:$BQ$250,220,0)</f>
        <v>0</v>
      </c>
      <c r="DS191" s="106">
        <f>+HLOOKUP($C191,BP!$BE$2:$BQ$250,221,0)</f>
        <v>0</v>
      </c>
      <c r="DT191" s="106">
        <f>+HLOOKUP($C191,BP!$BE$2:$BQ$250,223,0)</f>
        <v>25120.791599999997</v>
      </c>
      <c r="DU191" s="106">
        <f>+HLOOKUP($C191,BP!$BE$2:$BQ$250,224,0)</f>
        <v>0</v>
      </c>
      <c r="DV191" s="106">
        <f>+HLOOKUP($C191,BP!$BE$2:$BQ$250,225,0)</f>
        <v>0</v>
      </c>
      <c r="DW191" s="106">
        <f>+HLOOKUP($C191,BP!$BE$2:$BQ$250,227,0)</f>
        <v>0</v>
      </c>
      <c r="DX191" s="106">
        <f>+HLOOKUP($C191,BP!$BE$2:$BQ$250,228,0)</f>
        <v>1992.96</v>
      </c>
      <c r="DY191" s="106">
        <f>+HLOOKUP($C191,BP!$BE$2:$BQ$250,236,0)</f>
        <v>0</v>
      </c>
      <c r="DZ191" s="106">
        <f>+HLOOKUP($C191,BP!$BE$2:$BQ$250,237,0)</f>
        <v>22060.027880000001</v>
      </c>
      <c r="EA191" s="106">
        <f>+HLOOKUP($C191,BP!$BE$2:$BQ$250,238,0)</f>
        <v>8404.92</v>
      </c>
      <c r="EB191" s="106">
        <f>+HLOOKUP($C191,BP!$BE$2:$BQ$250,240,0)</f>
        <v>386326.71292708302</v>
      </c>
    </row>
    <row r="192" spans="1:132">
      <c r="A192" t="s">
        <v>269</v>
      </c>
      <c r="B192" t="s">
        <v>218</v>
      </c>
      <c r="C192" s="117">
        <v>45689</v>
      </c>
      <c r="D192" s="106">
        <f t="shared" si="5"/>
        <v>3304745.7548000002</v>
      </c>
      <c r="E192" s="106">
        <f>+HLOOKUP(C192,BP!$BE$2:$BQ$250,28,0)+HLOOKUP(C192,BP!$BE$2:$BQ$250,43,0)+HLOOKUP(C192,BP!$BE$2:$BQ$250,44,0)+HLOOKUP(C192,BP!$BE$2:$BQ$250,45,0)+HLOOKUP(C192,BP!$BE$2:$BQ$250,54,0)+HLOOKUP(C192,BP!$BE$2:$BQ$250,59,0)</f>
        <v>3304745.7548000002</v>
      </c>
      <c r="F192" s="106">
        <f>+HLOOKUP(C192,BP!$BE$2:$BQ$250,37,0)+HLOOKUP(C192,BP!$BE$2:$BQ$250,55,0)</f>
        <v>1560614.0300000003</v>
      </c>
      <c r="G192" s="106">
        <f>+HLOOKUP($C192,BP!$BE$2:$BQ$250,76,0)</f>
        <v>0</v>
      </c>
      <c r="H192" s="106">
        <f>+HLOOKUP($C192,BP!$BE$2:$BQ$250,77,0)</f>
        <v>0</v>
      </c>
      <c r="I192" s="106">
        <f>+HLOOKUP($C192,BP!$BE$2:$BQ$250,78,0)</f>
        <v>0</v>
      </c>
      <c r="J192" s="106">
        <f>+HLOOKUP($C192,BP!$BE$2:$BQ$250,79,0)</f>
        <v>0</v>
      </c>
      <c r="K192" s="106">
        <f>+HLOOKUP($C192,BP!$BE$2:$BQ$250,80,0)</f>
        <v>0</v>
      </c>
      <c r="L192" s="106">
        <f>+HLOOKUP($C192,BP!$BE$2:$BQ$250,81,0)</f>
        <v>10243</v>
      </c>
      <c r="M192" s="106">
        <f>+HLOOKUP($C192,BP!$BE$2:$BQ$250,82,0)</f>
        <v>0</v>
      </c>
      <c r="N192" s="106">
        <f>+HLOOKUP($C192,BP!$BE$2:$BQ$250,83,0)</f>
        <v>0</v>
      </c>
      <c r="O192" s="106">
        <f>+HLOOKUP($C192,BP!$BE$2:$BQ$250,84,0)</f>
        <v>0</v>
      </c>
      <c r="P192" s="106">
        <f>+HLOOKUP($C192,BP!$BE$2:$BQ$250,85,0)</f>
        <v>0</v>
      </c>
      <c r="Q192" s="106">
        <f>+HLOOKUP($C192,BP!$BE$2:$BQ$250,87,0)</f>
        <v>1343.7232294668065</v>
      </c>
      <c r="R192" s="106">
        <f>+HLOOKUP($C192,BP!$BE$2:$BQ$250,90,0)</f>
        <v>0</v>
      </c>
      <c r="S192" s="106">
        <f>+HLOOKUP($C192,BP!$BE$2:$BQ$250,91,0)</f>
        <v>0</v>
      </c>
      <c r="T192" s="106">
        <f>+HLOOKUP($C192,BP!$BE$2:$BQ$250,92,0)</f>
        <v>0</v>
      </c>
      <c r="U192" s="106">
        <f>+HLOOKUP($C192,BP!$BE$2:$BQ$250,93,0)</f>
        <v>0</v>
      </c>
      <c r="V192" s="106">
        <f>+HLOOKUP($C192,BP!$BE$2:$BQ$250,94,0)</f>
        <v>0</v>
      </c>
      <c r="W192" s="106">
        <f>+HLOOKUP($C192,BP!$BE$2:$BQ$250,95,0)</f>
        <v>0</v>
      </c>
      <c r="X192" s="106">
        <f>+HLOOKUP($C192,BP!$BE$2:$BQ$250,96,0)</f>
        <v>0</v>
      </c>
      <c r="Y192" s="106">
        <f>+HLOOKUP($C192,BP!$BE$2:$BQ$250,97,0)</f>
        <v>0</v>
      </c>
      <c r="Z192" s="106">
        <f>+HLOOKUP($C192,BP!$BE$2:$BQ$250,98,0)</f>
        <v>0</v>
      </c>
      <c r="AA192" s="106">
        <f>+HLOOKUP($C192,BP!$BE$2:$BQ$250,99,0)</f>
        <v>0</v>
      </c>
      <c r="AB192" s="106">
        <f>+HLOOKUP($C192,BP!$BE$2:$BQ$250,100,0)</f>
        <v>0</v>
      </c>
      <c r="AC192" s="106">
        <f>+HLOOKUP($C192,BP!$BE$2:$BQ$250,101,0)</f>
        <v>0</v>
      </c>
      <c r="AD192" s="106">
        <f>+HLOOKUP($C192,BP!$BE$2:$BQ$250,104,0)</f>
        <v>0</v>
      </c>
      <c r="AE192" s="106">
        <f>+HLOOKUP($C192,BP!$BE$2:$BQ$250,105,0)</f>
        <v>2760</v>
      </c>
      <c r="AF192" s="106">
        <f>+HLOOKUP($C192,BP!$BE$2:$BQ$250,106,0)</f>
        <v>0</v>
      </c>
      <c r="AG192" s="106">
        <f>+HLOOKUP($C192,BP!$BE$2:$BQ$250,107,0)</f>
        <v>0</v>
      </c>
      <c r="AH192" s="106">
        <f>+HLOOKUP($C192,BP!$BE$2:$BQ$250,108,0)</f>
        <v>0</v>
      </c>
      <c r="AI192" s="106">
        <f>+HLOOKUP($C192,BP!$BE$2:$BQ$250,109,0)</f>
        <v>0</v>
      </c>
      <c r="AJ192" s="106">
        <f>+HLOOKUP($C192,BP!$BE$2:$BQ$250,110,0)</f>
        <v>0</v>
      </c>
      <c r="AK192" s="106">
        <f>+HLOOKUP($C192,BP!$BE$2:$BQ$250,111,0)</f>
        <v>0</v>
      </c>
      <c r="AL192" s="106">
        <f>+HLOOKUP($C192,BP!$BE$2:$BQ$250,112,0)</f>
        <v>0</v>
      </c>
      <c r="AM192" s="106">
        <f>+HLOOKUP($C192,BP!$BE$2:$BQ$250,116,0)</f>
        <v>109819</v>
      </c>
      <c r="AN192" s="106">
        <f>+HLOOKUP($C192,BP!$BE$2:$BQ$250,117,0)</f>
        <v>15989</v>
      </c>
      <c r="AO192" s="106">
        <f>+HLOOKUP($C192,BP!$BE$2:$BQ$250,118,0)</f>
        <v>2500</v>
      </c>
      <c r="AP192" s="106">
        <f>+HLOOKUP($C192,BP!$BE$2:$BQ$250,119,0)</f>
        <v>24814</v>
      </c>
      <c r="AQ192" s="106">
        <f>+HLOOKUP($C192,BP!$BE$2:$BQ$250,120,0)</f>
        <v>3700</v>
      </c>
      <c r="AR192" s="106">
        <f>+HLOOKUP($C192,BP!$BE$2:$BQ$250,121,0)</f>
        <v>2000</v>
      </c>
      <c r="AS192" s="106">
        <f>+HLOOKUP($C192,BP!$BE$2:$BQ$250,122,0)</f>
        <v>44196</v>
      </c>
      <c r="AT192" s="106">
        <f>+HLOOKUP($C192,BP!$BE$2:$BQ$250,123,0)</f>
        <v>21258</v>
      </c>
      <c r="AU192" s="106">
        <f>+HLOOKUP($C192,BP!$BE$2:$BQ$250,124,0)</f>
        <v>1549.2</v>
      </c>
      <c r="AV192" s="106">
        <f>+HLOOKUP($C192,BP!$BE$2:$BQ$250,125,0)</f>
        <v>81780</v>
      </c>
      <c r="AW192" s="106">
        <f>+HLOOKUP($C192,BP!$BE$2:$BQ$250,126,0)</f>
        <v>5110.5769230769229</v>
      </c>
      <c r="AX192" s="106">
        <f>+HLOOKUP($C192,BP!$BE$2:$BQ$250,127,0)</f>
        <v>8274.9999999999982</v>
      </c>
      <c r="AY192" s="106">
        <f>+HLOOKUP($C192,BP!$BE$2:$BQ$250,129,0)</f>
        <v>0</v>
      </c>
      <c r="AZ192" s="106">
        <f>+HLOOKUP($C192,BP!$BE$2:$BQ$250,130,0)</f>
        <v>0</v>
      </c>
      <c r="BA192" s="106">
        <f>+HLOOKUP($C192,BP!$BE$2:$BQ$250,131,0)</f>
        <v>0</v>
      </c>
      <c r="BB192" s="106">
        <f>+HLOOKUP($C192,BP!$BE$2:$BQ$250,133,0)</f>
        <v>0</v>
      </c>
      <c r="BC192" s="106">
        <f>+HLOOKUP($C192,BP!$BE$2:$BQ$250,134,0)</f>
        <v>1963.9404</v>
      </c>
      <c r="BD192" s="106">
        <f>+HLOOKUP($C192,BP!$BE$2:$BQ$250,135,0)</f>
        <v>0</v>
      </c>
      <c r="BE192" s="106">
        <f>+HLOOKUP($C192,BP!$BE$2:$BQ$250,136,0)</f>
        <v>0</v>
      </c>
      <c r="BF192" s="106">
        <f>+HLOOKUP($C192,BP!$BE$2:$BQ$250,138,0)</f>
        <v>0</v>
      </c>
      <c r="BG192" s="106">
        <f>+HLOOKUP($C192,BP!$BE$2:$BQ$250,139,0)</f>
        <v>208.56</v>
      </c>
      <c r="BH192" s="106">
        <f>+HLOOKUP($C192,BP!$BE$2:$BQ$250,140,0)</f>
        <v>0</v>
      </c>
      <c r="BI192" s="106">
        <f>+HLOOKUP($C192,BP!$BE$2:$BQ$250,141,0)</f>
        <v>0</v>
      </c>
      <c r="BJ192" s="106">
        <f>+HLOOKUP($C192,BP!$BE$2:$BQ$250,142,0)</f>
        <v>0</v>
      </c>
      <c r="BK192" s="106">
        <f>+HLOOKUP($C192,BP!$BE$2:$BQ$250,143,0)</f>
        <v>10681.75</v>
      </c>
      <c r="BL192" s="106">
        <f>+HLOOKUP($C192,BP!$BE$2:$BQ$250,144,0)</f>
        <v>0</v>
      </c>
      <c r="BM192" s="106">
        <f>+HLOOKUP($C192,BP!$BE$2:$BQ$250,146,0)</f>
        <v>0</v>
      </c>
      <c r="BN192" s="106">
        <f>+HLOOKUP($C192,BP!$BE$2:$BQ$250,147,0)</f>
        <v>0</v>
      </c>
      <c r="BO192" s="106">
        <f>+HLOOKUP($C192,BP!$BE$2:$BQ$250,148,0)</f>
        <v>0</v>
      </c>
      <c r="BP192" s="106">
        <f>+HLOOKUP($C192,BP!$BE$2:$BQ$250,150,0)</f>
        <v>35120.800000000003</v>
      </c>
      <c r="BQ192" s="106">
        <f>+HLOOKUP($C192,BP!$BE$2:$BQ$250,151,0)</f>
        <v>0</v>
      </c>
      <c r="BR192" s="106">
        <f>+HLOOKUP($C192,BP!$BE$2:$BQ$250,152,0)</f>
        <v>0</v>
      </c>
      <c r="BS192" s="106">
        <f>+HLOOKUP($C192,BP!$BE$2:$BQ$250,153,0)</f>
        <v>0</v>
      </c>
      <c r="BT192" s="106">
        <f>+HLOOKUP($C192,BP!$BE$2:$BQ$250,157,0)</f>
        <v>0</v>
      </c>
      <c r="BU192" s="106">
        <f>+HLOOKUP($C192,BP!$BE$2:$BQ$250,158,0)</f>
        <v>0</v>
      </c>
      <c r="BV192" s="106">
        <f>+HLOOKUP($C192,BP!$BE$2:$BQ$250,159,0)</f>
        <v>0</v>
      </c>
      <c r="BW192" s="106">
        <f>+HLOOKUP($C192,BP!$BE$2:$BQ$250,160,0)</f>
        <v>7250.01</v>
      </c>
      <c r="BX192" s="106">
        <f>+HLOOKUP($C192,BP!$BE$2:$BQ$250,161,0)</f>
        <v>14716.416800000001</v>
      </c>
      <c r="BY192" s="106">
        <f>+HLOOKUP($C192,BP!$BE$2:$BQ$250,164,0)</f>
        <v>6904.6639999999998</v>
      </c>
      <c r="BZ192" s="106">
        <f>+HLOOKUP($C192,BP!$BE$2:$BQ$250,165,0)</f>
        <v>0</v>
      </c>
      <c r="CA192" s="106">
        <f>+HLOOKUP($C192,BP!$BE$2:$BQ$250,166,0)</f>
        <v>0</v>
      </c>
      <c r="CB192" s="106">
        <f>+HLOOKUP($C192,BP!$BE$2:$BQ$250,167,0)</f>
        <v>0</v>
      </c>
      <c r="CC192" s="106">
        <f>+HLOOKUP($C192,BP!$BE$2:$BQ$250,168,0)</f>
        <v>0</v>
      </c>
      <c r="CD192" s="106">
        <f>+HLOOKUP($C192,BP!$BE$2:$BQ$250,169,0)</f>
        <v>949.60680000000002</v>
      </c>
      <c r="CE192" s="106">
        <f>+HLOOKUP($C192,BP!$BE$2:$BQ$250,170,0)</f>
        <v>0</v>
      </c>
      <c r="CF192" s="106">
        <f>+HLOOKUP($C192,BP!$BE$2:$BQ$250,172,0)</f>
        <v>21800</v>
      </c>
      <c r="CG192" s="106">
        <f>+HLOOKUP($C192,BP!$BE$2:$BQ$250,173,0)</f>
        <v>0</v>
      </c>
      <c r="CH192" s="106">
        <f>+HLOOKUP($C192,BP!$BE$2:$BQ$250,174,0)</f>
        <v>0</v>
      </c>
      <c r="CI192" s="106">
        <f>+HLOOKUP($C192,BP!$BE$2:$BQ$250,175,0)</f>
        <v>0</v>
      </c>
      <c r="CJ192" s="106">
        <f>+HLOOKUP($C192,BP!$BE$2:$BQ$250,176,0)</f>
        <v>1425.24</v>
      </c>
      <c r="CK192" s="106">
        <f>+HLOOKUP($C192,BP!$BE$2:$BQ$250,178,0)</f>
        <v>60928.800000000003</v>
      </c>
      <c r="CL192" s="106">
        <f>+HLOOKUP($C192,BP!$BE$2:$BQ$250,179,0)</f>
        <v>2887.2360000000003</v>
      </c>
      <c r="CM192" s="106">
        <f>+HLOOKUP($C192,BP!$BE$2:$BQ$250,180,0)</f>
        <v>0</v>
      </c>
      <c r="CN192" s="106">
        <f>+HLOOKUP($C192,BP!$BE$2:$BQ$250,182,0)</f>
        <v>0</v>
      </c>
      <c r="CO192" s="106">
        <f>+HLOOKUP($C192,BP!$BE$2:$BQ$250,183,0)</f>
        <v>2343.6</v>
      </c>
      <c r="CP192" s="106">
        <f>+HLOOKUP($C192,BP!$BE$2:$BQ$250,184,0)</f>
        <v>0</v>
      </c>
      <c r="CQ192" s="106">
        <f>+HLOOKUP($C192,BP!$BE$2:$BQ$250,185,0)</f>
        <v>0</v>
      </c>
      <c r="CR192" s="106">
        <f>+HLOOKUP($C192,BP!$BE$2:$BQ$250,187,0)</f>
        <v>2499.84</v>
      </c>
      <c r="CS192" s="106">
        <f>+HLOOKUP($C192,BP!$BE$2:$BQ$250,188,0)</f>
        <v>0</v>
      </c>
      <c r="CT192" s="106">
        <f>+HLOOKUP($C192,BP!$BE$2:$BQ$250,189,0)</f>
        <v>0</v>
      </c>
      <c r="CU192" s="106">
        <f>+HLOOKUP($C192,BP!$BE$2:$BQ$250,190,0)</f>
        <v>999.96</v>
      </c>
      <c r="CV192" s="106">
        <f>+HLOOKUP($C192,BP!$BE$2:$BQ$250,191,0)</f>
        <v>0</v>
      </c>
      <c r="CW192" s="106">
        <f>+HLOOKUP($C192,BP!$BE$2:$BQ$250,193,0)</f>
        <v>0</v>
      </c>
      <c r="CX192" s="106">
        <f>+HLOOKUP($C192,BP!$BE$2:$BQ$250,194,0)</f>
        <v>31.8</v>
      </c>
      <c r="CY192" s="106">
        <f>+HLOOKUP($C192,BP!$BE$2:$BQ$250,195,0)</f>
        <v>0</v>
      </c>
      <c r="CZ192" s="106">
        <f>+HLOOKUP($C192,BP!$BE$2:$BQ$250,196,0)</f>
        <v>0</v>
      </c>
      <c r="DA192" s="106">
        <f>+HLOOKUP($C192,BP!$BE$2:$BQ$250,197,0)</f>
        <v>0</v>
      </c>
      <c r="DB192" s="106">
        <f>+HLOOKUP($C192,BP!$BE$2:$BQ$250,198,0)</f>
        <v>0</v>
      </c>
      <c r="DC192" s="106">
        <f>+HLOOKUP($C192,BP!$BE$2:$BQ$250,199,0)</f>
        <v>0</v>
      </c>
      <c r="DD192" s="106">
        <f>+HLOOKUP($C192,BP!$BE$2:$BQ$250,200,0)</f>
        <v>0</v>
      </c>
      <c r="DE192" s="106">
        <f>+HLOOKUP($C192,BP!$BE$2:$BQ$250,201,0)</f>
        <v>0</v>
      </c>
      <c r="DF192" s="106">
        <f>+HLOOKUP($C192,BP!$BE$2:$BQ$250,202,0)</f>
        <v>-0.96360000000000001</v>
      </c>
      <c r="DG192" s="106">
        <f>+HLOOKUP($C192,BP!$BE$2:$BQ$250,203,0)</f>
        <v>-6.8231999999999999</v>
      </c>
      <c r="DH192" s="106">
        <f>+HLOOKUP($C192,BP!$BE$2:$BQ$250,205,0)</f>
        <v>0</v>
      </c>
      <c r="DI192" s="106">
        <f>+HLOOKUP($C192,BP!$BE$2:$BQ$250,206,0)</f>
        <v>0</v>
      </c>
      <c r="DJ192" s="106">
        <f>+HLOOKUP($C192,BP!$BE$2:$BQ$250,207,0)</f>
        <v>311.19960000000066</v>
      </c>
      <c r="DK192" s="106">
        <f>+HLOOKUP($C192,BP!$BE$2:$BQ$250,209,0)</f>
        <v>100000</v>
      </c>
      <c r="DL192" s="106">
        <f>+HLOOKUP($C192,BP!$BE$2:$BQ$250,210,0)</f>
        <v>124106</v>
      </c>
      <c r="DM192" s="106">
        <f>+HLOOKUP($C192,BP!$BE$2:$BQ$250,211,0)</f>
        <v>0</v>
      </c>
      <c r="DN192" s="106">
        <f>+HLOOKUP($C192,BP!$BE$2:$BQ$250,212,0)</f>
        <v>0</v>
      </c>
      <c r="DO192" s="106">
        <f>+HLOOKUP($C192,BP!$BE$2:$BQ$250,214,0)</f>
        <v>0</v>
      </c>
      <c r="DP192" s="106">
        <f>+HLOOKUP($C192,BP!$BE$2:$BQ$250,215,0)</f>
        <v>2400</v>
      </c>
      <c r="DQ192" s="106">
        <f>+HLOOKUP($C192,BP!$BE$2:$BQ$250,219,0)</f>
        <v>0</v>
      </c>
      <c r="DR192" s="106">
        <f>+HLOOKUP($C192,BP!$BE$2:$BQ$250,220,0)</f>
        <v>0</v>
      </c>
      <c r="DS192" s="106">
        <f>+HLOOKUP($C192,BP!$BE$2:$BQ$250,221,0)</f>
        <v>0</v>
      </c>
      <c r="DT192" s="106">
        <f>+HLOOKUP($C192,BP!$BE$2:$BQ$250,223,0)</f>
        <v>8514.018</v>
      </c>
      <c r="DU192" s="106">
        <f>+HLOOKUP($C192,BP!$BE$2:$BQ$250,224,0)</f>
        <v>0</v>
      </c>
      <c r="DV192" s="106">
        <f>+HLOOKUP($C192,BP!$BE$2:$BQ$250,225,0)</f>
        <v>0</v>
      </c>
      <c r="DW192" s="106">
        <f>+HLOOKUP($C192,BP!$BE$2:$BQ$250,227,0)</f>
        <v>0</v>
      </c>
      <c r="DX192" s="106">
        <f>+HLOOKUP($C192,BP!$BE$2:$BQ$250,228,0)</f>
        <v>8085.72</v>
      </c>
      <c r="DY192" s="106">
        <f>+HLOOKUP($C192,BP!$BE$2:$BQ$250,236,0)</f>
        <v>0</v>
      </c>
      <c r="DZ192" s="106">
        <f>+HLOOKUP($C192,BP!$BE$2:$BQ$250,237,0)</f>
        <v>21575.617800000004</v>
      </c>
      <c r="EA192" s="106">
        <f>+HLOOKUP($C192,BP!$BE$2:$BQ$250,238,0)</f>
        <v>0</v>
      </c>
      <c r="EB192" s="106">
        <f>+HLOOKUP($C192,BP!$BE$2:$BQ$250,240,0)</f>
        <v>386326.71292708302</v>
      </c>
    </row>
    <row r="193" spans="1:132">
      <c r="A193" t="s">
        <v>269</v>
      </c>
      <c r="B193" t="s">
        <v>218</v>
      </c>
      <c r="C193" s="117">
        <v>45658</v>
      </c>
      <c r="D193" s="106">
        <f t="shared" si="5"/>
        <v>7961695.3139999993</v>
      </c>
      <c r="E193" s="106">
        <f>+HLOOKUP(C193,BP!$BE$2:$BQ$250,28,0)+HLOOKUP(C193,BP!$BE$2:$BQ$250,43,0)+HLOOKUP(C193,BP!$BE$2:$BQ$250,44,0)+HLOOKUP(C193,BP!$BE$2:$BQ$250,45,0)+HLOOKUP(C193,BP!$BE$2:$BQ$250,54,0)+HLOOKUP(C193,BP!$BE$2:$BQ$250,59,0)</f>
        <v>7961695.3139999993</v>
      </c>
      <c r="F193" s="106">
        <f>+HLOOKUP(C193,BP!$BE$2:$BQ$250,37,0)+HLOOKUP(C193,BP!$BE$2:$BQ$250,55,0)</f>
        <v>4015467.94</v>
      </c>
      <c r="G193" s="106">
        <f>+HLOOKUP($C193,BP!$BE$2:$BQ$250,76,0)</f>
        <v>0</v>
      </c>
      <c r="H193" s="106">
        <f>+HLOOKUP($C193,BP!$BE$2:$BQ$250,77,0)</f>
        <v>0</v>
      </c>
      <c r="I193" s="106">
        <f>+HLOOKUP($C193,BP!$BE$2:$BQ$250,78,0)</f>
        <v>0</v>
      </c>
      <c r="J193" s="106">
        <f>+HLOOKUP($C193,BP!$BE$2:$BQ$250,79,0)</f>
        <v>0</v>
      </c>
      <c r="K193" s="106">
        <f>+HLOOKUP($C193,BP!$BE$2:$BQ$250,80,0)</f>
        <v>0</v>
      </c>
      <c r="L193" s="106">
        <f>+HLOOKUP($C193,BP!$BE$2:$BQ$250,81,0)</f>
        <v>19417</v>
      </c>
      <c r="M193" s="106">
        <f>+HLOOKUP($C193,BP!$BE$2:$BQ$250,82,0)</f>
        <v>0</v>
      </c>
      <c r="N193" s="106">
        <f>+HLOOKUP($C193,BP!$BE$2:$BQ$250,83,0)</f>
        <v>0</v>
      </c>
      <c r="O193" s="106">
        <f>+HLOOKUP($C193,BP!$BE$2:$BQ$250,84,0)</f>
        <v>0</v>
      </c>
      <c r="P193" s="106">
        <f>+HLOOKUP($C193,BP!$BE$2:$BQ$250,85,0)</f>
        <v>0</v>
      </c>
      <c r="Q193" s="106">
        <f>+HLOOKUP($C193,BP!$BE$2:$BQ$250,87,0)</f>
        <v>94856.276770533193</v>
      </c>
      <c r="R193" s="106">
        <f>+HLOOKUP($C193,BP!$BE$2:$BQ$250,90,0)</f>
        <v>0</v>
      </c>
      <c r="S193" s="106">
        <f>+HLOOKUP($C193,BP!$BE$2:$BQ$250,91,0)</f>
        <v>0</v>
      </c>
      <c r="T193" s="106">
        <f>+HLOOKUP($C193,BP!$BE$2:$BQ$250,92,0)</f>
        <v>0</v>
      </c>
      <c r="U193" s="106">
        <f>+HLOOKUP($C193,BP!$BE$2:$BQ$250,93,0)</f>
        <v>0</v>
      </c>
      <c r="V193" s="106">
        <f>+HLOOKUP($C193,BP!$BE$2:$BQ$250,94,0)</f>
        <v>0</v>
      </c>
      <c r="W193" s="106">
        <f>+HLOOKUP($C193,BP!$BE$2:$BQ$250,95,0)</f>
        <v>2343.6</v>
      </c>
      <c r="X193" s="106">
        <f>+HLOOKUP($C193,BP!$BE$2:$BQ$250,96,0)</f>
        <v>0</v>
      </c>
      <c r="Y193" s="106">
        <f>+HLOOKUP($C193,BP!$BE$2:$BQ$250,97,0)</f>
        <v>0</v>
      </c>
      <c r="Z193" s="106">
        <f>+HLOOKUP($C193,BP!$BE$2:$BQ$250,98,0)</f>
        <v>0</v>
      </c>
      <c r="AA193" s="106">
        <f>+HLOOKUP($C193,BP!$BE$2:$BQ$250,99,0)</f>
        <v>0</v>
      </c>
      <c r="AB193" s="106">
        <f>+HLOOKUP($C193,BP!$BE$2:$BQ$250,100,0)</f>
        <v>0</v>
      </c>
      <c r="AC193" s="106">
        <f>+HLOOKUP($C193,BP!$BE$2:$BQ$250,101,0)</f>
        <v>0</v>
      </c>
      <c r="AD193" s="106">
        <f>+HLOOKUP($C193,BP!$BE$2:$BQ$250,104,0)</f>
        <v>0</v>
      </c>
      <c r="AE193" s="106">
        <f>+HLOOKUP($C193,BP!$BE$2:$BQ$250,105,0)</f>
        <v>0</v>
      </c>
      <c r="AF193" s="106">
        <f>+HLOOKUP($C193,BP!$BE$2:$BQ$250,106,0)</f>
        <v>0</v>
      </c>
      <c r="AG193" s="106">
        <f>+HLOOKUP($C193,BP!$BE$2:$BQ$250,107,0)</f>
        <v>0</v>
      </c>
      <c r="AH193" s="106">
        <f>+HLOOKUP($C193,BP!$BE$2:$BQ$250,108,0)</f>
        <v>0</v>
      </c>
      <c r="AI193" s="106">
        <f>+HLOOKUP($C193,BP!$BE$2:$BQ$250,109,0)</f>
        <v>0</v>
      </c>
      <c r="AJ193" s="106">
        <f>+HLOOKUP($C193,BP!$BE$2:$BQ$250,110,0)</f>
        <v>0</v>
      </c>
      <c r="AK193" s="106">
        <f>+HLOOKUP($C193,BP!$BE$2:$BQ$250,111,0)</f>
        <v>0</v>
      </c>
      <c r="AL193" s="106">
        <f>+HLOOKUP($C193,BP!$BE$2:$BQ$250,112,0)</f>
        <v>0</v>
      </c>
      <c r="AM193" s="106">
        <f>+HLOOKUP($C193,BP!$BE$2:$BQ$250,116,0)</f>
        <v>110280</v>
      </c>
      <c r="AN193" s="106">
        <f>+HLOOKUP($C193,BP!$BE$2:$BQ$250,117,0)</f>
        <v>16076</v>
      </c>
      <c r="AO193" s="106">
        <f>+HLOOKUP($C193,BP!$BE$2:$BQ$250,118,0)</f>
        <v>2500</v>
      </c>
      <c r="AP193" s="106">
        <f>+HLOOKUP($C193,BP!$BE$2:$BQ$250,119,0)</f>
        <v>49136</v>
      </c>
      <c r="AQ193" s="106">
        <f>+HLOOKUP($C193,BP!$BE$2:$BQ$250,120,0)</f>
        <v>4023</v>
      </c>
      <c r="AR193" s="106">
        <f>+HLOOKUP($C193,BP!$BE$2:$BQ$250,121,0)</f>
        <v>2000</v>
      </c>
      <c r="AS193" s="106">
        <f>+HLOOKUP($C193,BP!$BE$2:$BQ$250,122,0)</f>
        <v>44936</v>
      </c>
      <c r="AT193" s="106">
        <f>+HLOOKUP($C193,BP!$BE$2:$BQ$250,123,0)</f>
        <v>20824</v>
      </c>
      <c r="AU193" s="106">
        <f>+HLOOKUP($C193,BP!$BE$2:$BQ$250,124,0)</f>
        <v>1693.6</v>
      </c>
      <c r="AV193" s="106">
        <f>+HLOOKUP($C193,BP!$BE$2:$BQ$250,125,0)</f>
        <v>81780</v>
      </c>
      <c r="AW193" s="106">
        <f>+HLOOKUP($C193,BP!$BE$2:$BQ$250,126,0)</f>
        <v>5110.5769230769229</v>
      </c>
      <c r="AX193" s="106">
        <f>+HLOOKUP($C193,BP!$BE$2:$BQ$250,127,0)</f>
        <v>8274.9999999999982</v>
      </c>
      <c r="AY193" s="106">
        <f>+HLOOKUP($C193,BP!$BE$2:$BQ$250,129,0)</f>
        <v>0</v>
      </c>
      <c r="AZ193" s="106">
        <f>+HLOOKUP($C193,BP!$BE$2:$BQ$250,130,0)</f>
        <v>0</v>
      </c>
      <c r="BA193" s="106">
        <f>+HLOOKUP($C193,BP!$BE$2:$BQ$250,131,0)</f>
        <v>0</v>
      </c>
      <c r="BB193" s="106">
        <f>+HLOOKUP($C193,BP!$BE$2:$BQ$250,133,0)</f>
        <v>0</v>
      </c>
      <c r="BC193" s="106">
        <f>+HLOOKUP($C193,BP!$BE$2:$BQ$250,134,0)</f>
        <v>3203.64</v>
      </c>
      <c r="BD193" s="106">
        <f>+HLOOKUP($C193,BP!$BE$2:$BQ$250,135,0)</f>
        <v>0</v>
      </c>
      <c r="BE193" s="106">
        <f>+HLOOKUP($C193,BP!$BE$2:$BQ$250,136,0)</f>
        <v>0</v>
      </c>
      <c r="BF193" s="106">
        <f>+HLOOKUP($C193,BP!$BE$2:$BQ$250,138,0)</f>
        <v>0</v>
      </c>
      <c r="BG193" s="106">
        <f>+HLOOKUP($C193,BP!$BE$2:$BQ$250,139,0)</f>
        <v>0</v>
      </c>
      <c r="BH193" s="106">
        <f>+HLOOKUP($C193,BP!$BE$2:$BQ$250,140,0)</f>
        <v>0</v>
      </c>
      <c r="BI193" s="106">
        <f>+HLOOKUP($C193,BP!$BE$2:$BQ$250,141,0)</f>
        <v>0</v>
      </c>
      <c r="BJ193" s="106">
        <f>+HLOOKUP($C193,BP!$BE$2:$BQ$250,142,0)</f>
        <v>0</v>
      </c>
      <c r="BK193" s="106">
        <f>+HLOOKUP($C193,BP!$BE$2:$BQ$250,143,0)</f>
        <v>10681.75</v>
      </c>
      <c r="BL193" s="106">
        <f>+HLOOKUP($C193,BP!$BE$2:$BQ$250,144,0)</f>
        <v>300</v>
      </c>
      <c r="BM193" s="106">
        <f>+HLOOKUP($C193,BP!$BE$2:$BQ$250,146,0)</f>
        <v>0</v>
      </c>
      <c r="BN193" s="106">
        <f>+HLOOKUP($C193,BP!$BE$2:$BQ$250,147,0)</f>
        <v>0</v>
      </c>
      <c r="BO193" s="106">
        <f>+HLOOKUP($C193,BP!$BE$2:$BQ$250,148,0)</f>
        <v>0</v>
      </c>
      <c r="BP193" s="106">
        <f>+HLOOKUP($C193,BP!$BE$2:$BQ$250,150,0)</f>
        <v>33064</v>
      </c>
      <c r="BQ193" s="106">
        <f>+HLOOKUP($C193,BP!$BE$2:$BQ$250,151,0)</f>
        <v>0</v>
      </c>
      <c r="BR193" s="106">
        <f>+HLOOKUP($C193,BP!$BE$2:$BQ$250,152,0)</f>
        <v>0</v>
      </c>
      <c r="BS193" s="106">
        <f>+HLOOKUP($C193,BP!$BE$2:$BQ$250,153,0)</f>
        <v>0</v>
      </c>
      <c r="BT193" s="106">
        <f>+HLOOKUP($C193,BP!$BE$2:$BQ$250,157,0)</f>
        <v>0</v>
      </c>
      <c r="BU193" s="106">
        <f>+HLOOKUP($C193,BP!$BE$2:$BQ$250,158,0)</f>
        <v>0</v>
      </c>
      <c r="BV193" s="106">
        <f>+HLOOKUP($C193,BP!$BE$2:$BQ$250,159,0)</f>
        <v>1611.912</v>
      </c>
      <c r="BW193" s="106">
        <f>+HLOOKUP($C193,BP!$BE$2:$BQ$250,160,0)</f>
        <v>0</v>
      </c>
      <c r="BX193" s="106">
        <f>+HLOOKUP($C193,BP!$BE$2:$BQ$250,161,0)</f>
        <v>315.25440000000003</v>
      </c>
      <c r="BY193" s="106">
        <f>+HLOOKUP($C193,BP!$BE$2:$BQ$250,164,0)</f>
        <v>4750.2280000000001</v>
      </c>
      <c r="BZ193" s="106">
        <f>+HLOOKUP($C193,BP!$BE$2:$BQ$250,165,0)</f>
        <v>0</v>
      </c>
      <c r="CA193" s="106">
        <f>+HLOOKUP($C193,BP!$BE$2:$BQ$250,166,0)</f>
        <v>0</v>
      </c>
      <c r="CB193" s="106">
        <f>+HLOOKUP($C193,BP!$BE$2:$BQ$250,167,0)</f>
        <v>0</v>
      </c>
      <c r="CC193" s="106">
        <f>+HLOOKUP($C193,BP!$BE$2:$BQ$250,168,0)</f>
        <v>0</v>
      </c>
      <c r="CD193" s="106">
        <f>+HLOOKUP($C193,BP!$BE$2:$BQ$250,169,0)</f>
        <v>0</v>
      </c>
      <c r="CE193" s="106">
        <f>+HLOOKUP($C193,BP!$BE$2:$BQ$250,170,0)</f>
        <v>0</v>
      </c>
      <c r="CF193" s="106">
        <f>+HLOOKUP($C193,BP!$BE$2:$BQ$250,172,0)</f>
        <v>21800</v>
      </c>
      <c r="CG193" s="106">
        <f>+HLOOKUP($C193,BP!$BE$2:$BQ$250,173,0)</f>
        <v>0</v>
      </c>
      <c r="CH193" s="106">
        <f>+HLOOKUP($C193,BP!$BE$2:$BQ$250,174,0)</f>
        <v>0</v>
      </c>
      <c r="CI193" s="106">
        <f>+HLOOKUP($C193,BP!$BE$2:$BQ$250,175,0)</f>
        <v>0</v>
      </c>
      <c r="CJ193" s="106">
        <f>+HLOOKUP($C193,BP!$BE$2:$BQ$250,176,0)</f>
        <v>1425.24</v>
      </c>
      <c r="CK193" s="106">
        <f>+HLOOKUP($C193,BP!$BE$2:$BQ$250,178,0)</f>
        <v>66233.600000000006</v>
      </c>
      <c r="CL193" s="106">
        <f>+HLOOKUP($C193,BP!$BE$2:$BQ$250,179,0)</f>
        <v>0</v>
      </c>
      <c r="CM193" s="106">
        <f>+HLOOKUP($C193,BP!$BE$2:$BQ$250,180,0)</f>
        <v>0</v>
      </c>
      <c r="CN193" s="106">
        <f>+HLOOKUP($C193,BP!$BE$2:$BQ$250,182,0)</f>
        <v>3564.84</v>
      </c>
      <c r="CO193" s="106">
        <f>+HLOOKUP($C193,BP!$BE$2:$BQ$250,183,0)</f>
        <v>0</v>
      </c>
      <c r="CP193" s="106">
        <f>+HLOOKUP($C193,BP!$BE$2:$BQ$250,184,0)</f>
        <v>0</v>
      </c>
      <c r="CQ193" s="106">
        <f>+HLOOKUP($C193,BP!$BE$2:$BQ$250,185,0)</f>
        <v>0</v>
      </c>
      <c r="CR193" s="106">
        <f>+HLOOKUP($C193,BP!$BE$2:$BQ$250,187,0)</f>
        <v>2499.84</v>
      </c>
      <c r="CS193" s="106">
        <f>+HLOOKUP($C193,BP!$BE$2:$BQ$250,188,0)</f>
        <v>1800</v>
      </c>
      <c r="CT193" s="106">
        <f>+HLOOKUP($C193,BP!$BE$2:$BQ$250,189,0)</f>
        <v>0</v>
      </c>
      <c r="CU193" s="106">
        <f>+HLOOKUP($C193,BP!$BE$2:$BQ$250,190,0)</f>
        <v>999.96</v>
      </c>
      <c r="CV193" s="106">
        <f>+HLOOKUP($C193,BP!$BE$2:$BQ$250,191,0)</f>
        <v>0</v>
      </c>
      <c r="CW193" s="106">
        <f>+HLOOKUP($C193,BP!$BE$2:$BQ$250,193,0)</f>
        <v>11122.866666666669</v>
      </c>
      <c r="CX193" s="106">
        <f>+HLOOKUP($C193,BP!$BE$2:$BQ$250,194,0)</f>
        <v>31.8</v>
      </c>
      <c r="CY193" s="106">
        <f>+HLOOKUP($C193,BP!$BE$2:$BQ$250,195,0)</f>
        <v>0</v>
      </c>
      <c r="CZ193" s="106">
        <f>+HLOOKUP($C193,BP!$BE$2:$BQ$250,196,0)</f>
        <v>0</v>
      </c>
      <c r="DA193" s="106">
        <f>+HLOOKUP($C193,BP!$BE$2:$BQ$250,197,0)</f>
        <v>0</v>
      </c>
      <c r="DB193" s="106">
        <f>+HLOOKUP($C193,BP!$BE$2:$BQ$250,198,0)</f>
        <v>0</v>
      </c>
      <c r="DC193" s="106">
        <f>+HLOOKUP($C193,BP!$BE$2:$BQ$250,199,0)</f>
        <v>0</v>
      </c>
      <c r="DD193" s="106">
        <f>+HLOOKUP($C193,BP!$BE$2:$BQ$250,200,0)</f>
        <v>0</v>
      </c>
      <c r="DE193" s="106">
        <f>+HLOOKUP($C193,BP!$BE$2:$BQ$250,201,0)</f>
        <v>0</v>
      </c>
      <c r="DF193" s="106">
        <f>+HLOOKUP($C193,BP!$BE$2:$BQ$250,202,0)</f>
        <v>3.8715999999999999</v>
      </c>
      <c r="DG193" s="106">
        <f>+HLOOKUP($C193,BP!$BE$2:$BQ$250,203,0)</f>
        <v>-2.1252</v>
      </c>
      <c r="DH193" s="106">
        <f>+HLOOKUP($C193,BP!$BE$2:$BQ$250,205,0)</f>
        <v>0</v>
      </c>
      <c r="DI193" s="106">
        <f>+HLOOKUP($C193,BP!$BE$2:$BQ$250,206,0)</f>
        <v>0</v>
      </c>
      <c r="DJ193" s="106">
        <f>+HLOOKUP($C193,BP!$BE$2:$BQ$250,207,0)</f>
        <v>0</v>
      </c>
      <c r="DK193" s="106">
        <f>+HLOOKUP($C193,BP!$BE$2:$BQ$250,209,0)</f>
        <v>100000</v>
      </c>
      <c r="DL193" s="106">
        <f>+HLOOKUP($C193,BP!$BE$2:$BQ$250,210,0)</f>
        <v>124106</v>
      </c>
      <c r="DM193" s="106">
        <f>+HLOOKUP($C193,BP!$BE$2:$BQ$250,211,0)</f>
        <v>0</v>
      </c>
      <c r="DN193" s="106">
        <f>+HLOOKUP($C193,BP!$BE$2:$BQ$250,212,0)</f>
        <v>0</v>
      </c>
      <c r="DO193" s="106">
        <f>+HLOOKUP($C193,BP!$BE$2:$BQ$250,214,0)</f>
        <v>0</v>
      </c>
      <c r="DP193" s="106">
        <f>+HLOOKUP($C193,BP!$BE$2:$BQ$250,215,0)</f>
        <v>0</v>
      </c>
      <c r="DQ193" s="106">
        <f>+HLOOKUP($C193,BP!$BE$2:$BQ$250,219,0)</f>
        <v>0</v>
      </c>
      <c r="DR193" s="106">
        <f>+HLOOKUP($C193,BP!$BE$2:$BQ$250,220,0)</f>
        <v>0</v>
      </c>
      <c r="DS193" s="106">
        <f>+HLOOKUP($C193,BP!$BE$2:$BQ$250,221,0)</f>
        <v>0</v>
      </c>
      <c r="DT193" s="106">
        <f>+HLOOKUP($C193,BP!$BE$2:$BQ$250,223,0)</f>
        <v>15896.602799999997</v>
      </c>
      <c r="DU193" s="106">
        <f>+HLOOKUP($C193,BP!$BE$2:$BQ$250,224,0)</f>
        <v>0</v>
      </c>
      <c r="DV193" s="106">
        <f>+HLOOKUP($C193,BP!$BE$2:$BQ$250,225,0)</f>
        <v>0</v>
      </c>
      <c r="DW193" s="106">
        <f>+HLOOKUP($C193,BP!$BE$2:$BQ$250,227,0)</f>
        <v>0</v>
      </c>
      <c r="DX193" s="106">
        <f>+HLOOKUP($C193,BP!$BE$2:$BQ$250,228,0)</f>
        <v>10954.44</v>
      </c>
      <c r="DY193" s="106">
        <f>+HLOOKUP($C193,BP!$BE$2:$BQ$250,236,0)</f>
        <v>0</v>
      </c>
      <c r="DZ193" s="106">
        <f>+HLOOKUP($C193,BP!$BE$2:$BQ$250,237,0)</f>
        <v>24172.05472</v>
      </c>
      <c r="EA193" s="106">
        <f>+HLOOKUP($C193,BP!$BE$2:$BQ$250,238,0)</f>
        <v>0</v>
      </c>
      <c r="EB193" s="106">
        <f>+HLOOKUP($C193,BP!$BE$2:$BQ$250,240,0)</f>
        <v>386326.71292708302</v>
      </c>
    </row>
    <row r="194" spans="1:132">
      <c r="A194" t="s">
        <v>269</v>
      </c>
      <c r="B194" t="s">
        <v>218</v>
      </c>
      <c r="C194" s="117">
        <v>45627</v>
      </c>
      <c r="D194" s="106">
        <f t="shared" ref="D194" si="6">+E194</f>
        <v>8803594.8900000006</v>
      </c>
      <c r="E194" s="106">
        <f>+HLOOKUP(C194,BP!$AQ$2:$BC$250,28,0)+HLOOKUP(C194,BP!$AQ$2:$BC$250,43,0)+HLOOKUP(C194,BP!$AQ$2:$BC$250,44,0)+HLOOKUP(C194,BP!$AQ$2:$BC$250,45,0)+HLOOKUP(C194,BP!$AQ$2:$BC$250,54,0)+HLOOKUP(C194,BP!$AQ$2:$BC$250,59,0)</f>
        <v>8803594.8900000006</v>
      </c>
      <c r="F194" s="106">
        <f>+HLOOKUP(C194,BP!$AQ$2:$BC$250,37,0)+HLOOKUP(C194,BP!$AQ$2:$BC$250,55,0)</f>
        <v>5225010.1279999996</v>
      </c>
      <c r="G194" s="106">
        <f>+HLOOKUP($C194,BP!$AQ$2:$BC$250,76,0)</f>
        <v>0</v>
      </c>
      <c r="H194" s="106">
        <f>+HLOOKUP($C194,BP!$AQ$2:$BC$250,77,0)</f>
        <v>0</v>
      </c>
      <c r="I194" s="106">
        <f>+HLOOKUP($C194,BP!$AQ$2:$BC$250,78,0)</f>
        <v>0</v>
      </c>
      <c r="J194" s="106">
        <f>+HLOOKUP($C194,BP!$AQ$2:$BC$250,79,0)</f>
        <v>0</v>
      </c>
      <c r="K194" s="106">
        <f>+HLOOKUP($C194,BP!$AQ$2:$BC$250,80,0)</f>
        <v>0</v>
      </c>
      <c r="L194" s="106">
        <f>+HLOOKUP($C194,BP!$AQ$2:$BC$250,81,0)</f>
        <v>30364</v>
      </c>
      <c r="M194" s="106">
        <f>+HLOOKUP($C194,BP!$AQ$2:$BC$250,82,0)</f>
        <v>0</v>
      </c>
      <c r="N194" s="106">
        <f>+HLOOKUP($C194,BP!$AQ$2:$BC$250,83,0)</f>
        <v>0</v>
      </c>
      <c r="O194" s="106">
        <f>+HLOOKUP($C194,BP!$AQ$2:$BC$250,84,0)</f>
        <v>0</v>
      </c>
      <c r="P194" s="106">
        <f>+HLOOKUP($C194,BP!$AQ$2:$BC$250,85,0)</f>
        <v>0</v>
      </c>
      <c r="Q194" s="106">
        <f>+HLOOKUP($C194,BP!$AQ$2:$BC$250,87,0)</f>
        <v>81519.399999999994</v>
      </c>
      <c r="R194" s="106">
        <f>+HLOOKUP($C194,BP!$AQ$2:$BC$250,90,0)</f>
        <v>0</v>
      </c>
      <c r="S194" s="106">
        <f>+HLOOKUP($C194,BP!$AQ$2:$BC$250,91,0)</f>
        <v>0</v>
      </c>
      <c r="T194" s="106">
        <f>+HLOOKUP($C194,BP!$AQ$2:$BC$250,92,0)</f>
        <v>0</v>
      </c>
      <c r="U194" s="106">
        <f>+HLOOKUP($C194,BP!$AQ$2:$BC$250,93,0)</f>
        <v>0</v>
      </c>
      <c r="V194" s="106">
        <f>+HLOOKUP($C194,BP!$AQ$2:$BC$250,94,0)</f>
        <v>0</v>
      </c>
      <c r="W194" s="106">
        <f>+HLOOKUP($C194,BP!$AQ$2:$BC$250,95,0)</f>
        <v>0</v>
      </c>
      <c r="X194" s="106">
        <f>+HLOOKUP($C194,BP!$AQ$2:$BC$250,96,0)</f>
        <v>0</v>
      </c>
      <c r="Y194" s="106">
        <f>+HLOOKUP($C194,BP!$AQ$2:$BC$250,97,0)</f>
        <v>0</v>
      </c>
      <c r="Z194" s="106">
        <f>+HLOOKUP($C194,BP!$AQ$2:$BC$250,98,0)</f>
        <v>0</v>
      </c>
      <c r="AA194" s="106">
        <f>+HLOOKUP($C194,BP!$AQ$2:$BC$250,99,0)</f>
        <v>0</v>
      </c>
      <c r="AB194" s="106">
        <f>+HLOOKUP($C194,BP!$AQ$2:$BC$250,100,0)</f>
        <v>0</v>
      </c>
      <c r="AC194" s="106">
        <f>+HLOOKUP($C194,BP!$AQ$2:$BC$250,101,0)</f>
        <v>0</v>
      </c>
      <c r="AD194" s="106">
        <f>+HLOOKUP($C194,BP!$AQ$2:$BC$250,104,0)</f>
        <v>0</v>
      </c>
      <c r="AE194" s="106">
        <f>+HLOOKUP($C194,BP!$AQ$2:$BC$250,105,0)</f>
        <v>0</v>
      </c>
      <c r="AF194" s="106">
        <f>+HLOOKUP($C194,BP!$AQ$2:$BC$250,106,0)</f>
        <v>0</v>
      </c>
      <c r="AG194" s="106">
        <f>+HLOOKUP($C194,BP!$AQ$2:$BC$250,107,0)</f>
        <v>0</v>
      </c>
      <c r="AH194" s="106">
        <f>+HLOOKUP($C194,BP!$AQ$2:$BC$250,108,0)</f>
        <v>0</v>
      </c>
      <c r="AI194" s="106">
        <f>+HLOOKUP($C194,BP!$AQ$2:$BC$250,109,0)</f>
        <v>0</v>
      </c>
      <c r="AJ194" s="106">
        <f>+HLOOKUP($C194,BP!$AQ$2:$BC$250,110,0)</f>
        <v>0</v>
      </c>
      <c r="AK194" s="106">
        <f>+HLOOKUP($C194,BP!$AQ$2:$BC$250,111,0)</f>
        <v>0</v>
      </c>
      <c r="AL194" s="106">
        <f>+HLOOKUP($C194,BP!$AQ$2:$BC$250,112,0)</f>
        <v>0</v>
      </c>
      <c r="AM194" s="106">
        <f>+HLOOKUP($C194,BP!$AQ$2:$BC$250,116,0)</f>
        <v>77024.2</v>
      </c>
      <c r="AN194" s="106">
        <f>+HLOOKUP($C194,BP!$AQ$2:$BC$250,117,0)</f>
        <v>14479</v>
      </c>
      <c r="AO194" s="106">
        <f>+HLOOKUP($C194,BP!$AQ$2:$BC$250,118,0)</f>
        <v>2336</v>
      </c>
      <c r="AP194" s="106">
        <f>+HLOOKUP($C194,BP!$AQ$2:$BC$250,119,0)</f>
        <v>21444.799999999999</v>
      </c>
      <c r="AQ194" s="106">
        <f>+HLOOKUP($C194,BP!$AQ$2:$BC$250,120,0)</f>
        <v>1102</v>
      </c>
      <c r="AR194" s="106">
        <f>+HLOOKUP($C194,BP!$AQ$2:$BC$250,121,0)</f>
        <v>1802</v>
      </c>
      <c r="AS194" s="106">
        <f>+HLOOKUP($C194,BP!$AQ$2:$BC$250,122,0)</f>
        <v>38384</v>
      </c>
      <c r="AT194" s="106">
        <f>+HLOOKUP($C194,BP!$AQ$2:$BC$250,123,0)</f>
        <v>2559.08</v>
      </c>
      <c r="AU194" s="106">
        <f>+HLOOKUP($C194,BP!$AQ$2:$BC$250,124,0)</f>
        <v>28800</v>
      </c>
      <c r="AV194" s="106">
        <f>+HLOOKUP($C194,BP!$AQ$2:$BC$250,125,0)</f>
        <v>115018.40000000001</v>
      </c>
      <c r="AW194" s="106">
        <f>+HLOOKUP($C194,BP!$AQ$2:$BC$250,126,0)</f>
        <v>7056.7846153846158</v>
      </c>
      <c r="AX194" s="106">
        <f>+HLOOKUP($C194,BP!$AQ$2:$BC$250,127,0)</f>
        <v>11519.43</v>
      </c>
      <c r="AY194" s="106">
        <f>+HLOOKUP($C194,BP!$AQ$2:$BC$250,129,0)</f>
        <v>0</v>
      </c>
      <c r="AZ194" s="106">
        <f>+HLOOKUP($C194,BP!$AQ$2:$BC$250,130,0)</f>
        <v>0</v>
      </c>
      <c r="BA194" s="106">
        <f>+HLOOKUP($C194,BP!$AQ$2:$BC$250,131,0)</f>
        <v>0</v>
      </c>
      <c r="BB194" s="106">
        <f>+HLOOKUP($C194,BP!$AQ$2:$BC$250,133,0)</f>
        <v>0</v>
      </c>
      <c r="BC194" s="106">
        <f>+HLOOKUP($C194,BP!$AQ$2:$BC$250,134,0)</f>
        <v>29118.655199999997</v>
      </c>
      <c r="BD194" s="106">
        <f>+HLOOKUP($C194,BP!$AQ$2:$BC$250,135,0)</f>
        <v>0</v>
      </c>
      <c r="BE194" s="106">
        <f>+HLOOKUP($C194,BP!$AQ$2:$BC$250,136,0)</f>
        <v>0</v>
      </c>
      <c r="BF194" s="106">
        <f>+HLOOKUP($C194,BP!$AQ$2:$BC$250,138,0)</f>
        <v>0</v>
      </c>
      <c r="BG194" s="106">
        <f>+HLOOKUP($C194,BP!$AQ$2:$BC$250,139,0)</f>
        <v>1775.6399999999999</v>
      </c>
      <c r="BH194" s="106">
        <f>+HLOOKUP($C194,BP!$AQ$2:$BC$250,140,0)</f>
        <v>0</v>
      </c>
      <c r="BI194" s="106">
        <f>+HLOOKUP($C194,BP!$AQ$2:$BC$250,141,0)</f>
        <v>0</v>
      </c>
      <c r="BJ194" s="106">
        <f>+HLOOKUP($C194,BP!$AQ$2:$BC$250,142,0)</f>
        <v>0</v>
      </c>
      <c r="BK194" s="106">
        <f>+HLOOKUP($C194,BP!$AQ$2:$BC$250,143,0)</f>
        <v>0</v>
      </c>
      <c r="BL194" s="106">
        <f>+HLOOKUP($C194,BP!$AQ$2:$BC$250,144,0)</f>
        <v>0</v>
      </c>
      <c r="BM194" s="106">
        <f>+HLOOKUP($C194,BP!$AQ$2:$BC$250,146,0)</f>
        <v>0</v>
      </c>
      <c r="BN194" s="106">
        <f>+HLOOKUP($C194,BP!$AQ$2:$BC$250,147,0)</f>
        <v>78</v>
      </c>
      <c r="BO194" s="106">
        <f>+HLOOKUP($C194,BP!$AQ$2:$BC$250,148,0)</f>
        <v>0</v>
      </c>
      <c r="BP194" s="106">
        <f>+HLOOKUP($C194,BP!$AQ$2:$BC$250,150,0)</f>
        <v>33036</v>
      </c>
      <c r="BQ194" s="106">
        <f>+HLOOKUP($C194,BP!$AQ$2:$BC$250,151,0)</f>
        <v>0</v>
      </c>
      <c r="BR194" s="106">
        <f>+HLOOKUP($C194,BP!$AQ$2:$BC$250,152,0)</f>
        <v>0</v>
      </c>
      <c r="BS194" s="106">
        <f>+HLOOKUP($C194,BP!$AQ$2:$BC$250,153,0)</f>
        <v>0</v>
      </c>
      <c r="BT194" s="106">
        <f>+HLOOKUP($C194,BP!$AQ$2:$BC$250,157,0)</f>
        <v>23985.600000000002</v>
      </c>
      <c r="BU194" s="106">
        <f>+HLOOKUP($C194,BP!$AQ$2:$BC$250,158,0)</f>
        <v>0</v>
      </c>
      <c r="BV194" s="106">
        <f>+HLOOKUP($C194,BP!$AQ$2:$BC$250,159,0)</f>
        <v>0</v>
      </c>
      <c r="BW194" s="106">
        <f>+HLOOKUP($C194,BP!$AQ$2:$BC$250,160,0)</f>
        <v>0</v>
      </c>
      <c r="BX194" s="106">
        <f>+HLOOKUP($C194,BP!$AQ$2:$BC$250,161,0)</f>
        <v>584.76</v>
      </c>
      <c r="BY194" s="106">
        <f>+HLOOKUP($C194,BP!$AQ$2:$BC$250,164,0)</f>
        <v>8221.5280000000002</v>
      </c>
      <c r="BZ194" s="106">
        <f>+HLOOKUP($C194,BP!$AQ$2:$BC$250,165,0)</f>
        <v>0</v>
      </c>
      <c r="CA194" s="106">
        <f>+HLOOKUP($C194,BP!$AQ$2:$BC$250,166,0)</f>
        <v>0</v>
      </c>
      <c r="CB194" s="106">
        <f>+HLOOKUP($C194,BP!$AQ$2:$BC$250,167,0)</f>
        <v>0</v>
      </c>
      <c r="CC194" s="106">
        <f>+HLOOKUP($C194,BP!$AQ$2:$BC$250,168,0)</f>
        <v>0</v>
      </c>
      <c r="CD194" s="106">
        <f>+HLOOKUP($C194,BP!$AQ$2:$BC$250,169,0)</f>
        <v>60</v>
      </c>
      <c r="CE194" s="106">
        <f>+HLOOKUP($C194,BP!$AQ$2:$BC$250,170,0)</f>
        <v>0</v>
      </c>
      <c r="CF194" s="106">
        <f>+HLOOKUP($C194,BP!$AQ$2:$BC$250,172,0)</f>
        <v>21800</v>
      </c>
      <c r="CG194" s="106">
        <f>+HLOOKUP($C194,BP!$AQ$2:$BC$250,173,0)</f>
        <v>0</v>
      </c>
      <c r="CH194" s="106">
        <f>+HLOOKUP($C194,BP!$AQ$2:$BC$250,174,0)</f>
        <v>35540</v>
      </c>
      <c r="CI194" s="106">
        <f>+HLOOKUP($C194,BP!$AQ$2:$BC$250,175,0)</f>
        <v>4460</v>
      </c>
      <c r="CJ194" s="106">
        <f>+HLOOKUP($C194,BP!$AQ$2:$BC$250,176,0)</f>
        <v>1598.1599999999999</v>
      </c>
      <c r="CK194" s="106">
        <f>+HLOOKUP($C194,BP!$AQ$2:$BC$250,178,0)</f>
        <v>66621.2</v>
      </c>
      <c r="CL194" s="106">
        <f>+HLOOKUP($C194,BP!$AQ$2:$BC$250,179,0)</f>
        <v>6344.4840000000004</v>
      </c>
      <c r="CM194" s="106">
        <f>+HLOOKUP($C194,BP!$AQ$2:$BC$250,180,0)</f>
        <v>0</v>
      </c>
      <c r="CN194" s="106">
        <f>+HLOOKUP($C194,BP!$AQ$2:$BC$250,182,0)</f>
        <v>0</v>
      </c>
      <c r="CO194" s="106">
        <f>+HLOOKUP($C194,BP!$AQ$2:$BC$250,183,0)</f>
        <v>2343.6</v>
      </c>
      <c r="CP194" s="106">
        <f>+HLOOKUP($C194,BP!$AQ$2:$BC$250,184,0)</f>
        <v>0</v>
      </c>
      <c r="CQ194" s="106">
        <f>+HLOOKUP($C194,BP!$AQ$2:$BC$250,185,0)</f>
        <v>0</v>
      </c>
      <c r="CR194" s="106">
        <f>+HLOOKUP($C194,BP!$AQ$2:$BC$250,187,0)</f>
        <v>0</v>
      </c>
      <c r="CS194" s="106">
        <f>+HLOOKUP($C194,BP!$AQ$2:$BC$250,188,0)</f>
        <v>1800</v>
      </c>
      <c r="CT194" s="106">
        <f>+HLOOKUP($C194,BP!$AQ$2:$BC$250,189,0)</f>
        <v>0</v>
      </c>
      <c r="CU194" s="106">
        <f>+HLOOKUP($C194,BP!$AQ$2:$BC$250,190,0)</f>
        <v>999.96</v>
      </c>
      <c r="CV194" s="106">
        <f>+HLOOKUP($C194,BP!$AQ$2:$BC$250,191,0)</f>
        <v>0</v>
      </c>
      <c r="CW194" s="106">
        <f>+HLOOKUP($C194,BP!$AQ$2:$BC$250,193,0)</f>
        <v>10593.2</v>
      </c>
      <c r="CX194" s="106">
        <f>+HLOOKUP($C194,BP!$AQ$2:$BC$250,194,0)</f>
        <v>31.8</v>
      </c>
      <c r="CY194" s="106">
        <f>+HLOOKUP($C194,BP!$AQ$2:$BC$250,195,0)</f>
        <v>0</v>
      </c>
      <c r="CZ194" s="106">
        <f>+HLOOKUP($C194,BP!$AQ$2:$BC$250,196,0)</f>
        <v>0</v>
      </c>
      <c r="DA194" s="106">
        <f>+HLOOKUP($C194,BP!$AQ$2:$BC$250,197,0)</f>
        <v>0</v>
      </c>
      <c r="DB194" s="106">
        <f>+HLOOKUP($C194,BP!$AQ$2:$BC$250,198,0)</f>
        <v>0</v>
      </c>
      <c r="DC194" s="106">
        <f>+HLOOKUP($C194,BP!$AQ$2:$BC$250,199,0)</f>
        <v>0</v>
      </c>
      <c r="DD194" s="106">
        <f>+HLOOKUP($C194,BP!$AQ$2:$BC$250,200,0)</f>
        <v>0</v>
      </c>
      <c r="DE194" s="106">
        <f>+HLOOKUP($C194,BP!$AQ$2:$BC$250,201,0)</f>
        <v>0</v>
      </c>
      <c r="DF194" s="106">
        <f>+HLOOKUP($C194,BP!$AQ$2:$BC$250,202,0)</f>
        <v>7.5980000000000008</v>
      </c>
      <c r="DG194" s="106">
        <f>+HLOOKUP($C194,BP!$AQ$2:$BC$250,203,0)</f>
        <v>0</v>
      </c>
      <c r="DH194" s="106">
        <f>+HLOOKUP($C194,BP!$AQ$2:$BC$250,205,0)</f>
        <v>0</v>
      </c>
      <c r="DI194" s="106">
        <f>+HLOOKUP($C194,BP!$AQ$2:$BC$250,206,0)</f>
        <v>0</v>
      </c>
      <c r="DJ194" s="106">
        <f>+HLOOKUP($C194,BP!$AQ$2:$BC$250,207,0)</f>
        <v>311.19960000000066</v>
      </c>
      <c r="DK194" s="106">
        <f>+HLOOKUP($C194,BP!$AQ$2:$BC$250,209,0)</f>
        <v>100000</v>
      </c>
      <c r="DL194" s="106">
        <f>+HLOOKUP($C194,BP!$AQ$2:$BC$250,210,0)</f>
        <v>124106</v>
      </c>
      <c r="DM194" s="106">
        <f>+HLOOKUP($C194,BP!$AQ$2:$BC$250,211,0)</f>
        <v>0</v>
      </c>
      <c r="DN194" s="106">
        <f>+HLOOKUP($C194,BP!$AQ$2:$BC$250,212,0)</f>
        <v>0</v>
      </c>
      <c r="DO194" s="106">
        <f>+HLOOKUP($C194,BP!$AQ$2:$BC$250,214,0)</f>
        <v>0</v>
      </c>
      <c r="DP194" s="106">
        <f>+HLOOKUP($C194,BP!$AQ$2:$BC$250,215,0)</f>
        <v>0</v>
      </c>
      <c r="DQ194" s="106">
        <f>+HLOOKUP($C194,BP!$AQ$2:$BC$250,219,0)</f>
        <v>0</v>
      </c>
      <c r="DR194" s="106">
        <f>+HLOOKUP($C194,BP!$AQ$2:$BC$250,220,0)</f>
        <v>0</v>
      </c>
      <c r="DS194" s="106">
        <f>+HLOOKUP($C194,BP!$AQ$2:$BC$250,221,0)</f>
        <v>0</v>
      </c>
      <c r="DT194" s="106">
        <f>+HLOOKUP($C194,BP!$AQ$2:$BC$250,223,0)</f>
        <v>11118.432000000001</v>
      </c>
      <c r="DU194" s="106">
        <f>+HLOOKUP($C194,BP!$AQ$2:$BC$250,224,0)</f>
        <v>0</v>
      </c>
      <c r="DV194" s="106">
        <f>+HLOOKUP($C194,BP!$AQ$2:$BC$250,225,0)</f>
        <v>0</v>
      </c>
      <c r="DW194" s="106">
        <f>+HLOOKUP($C194,BP!$AQ$2:$BC$250,227,0)</f>
        <v>0</v>
      </c>
      <c r="DX194" s="106">
        <f>+HLOOKUP($C194,BP!$AQ$2:$BC$250,228,0)</f>
        <v>10219.56</v>
      </c>
      <c r="DY194" s="106">
        <f>+HLOOKUP($C194,BP!$AQ$2:$BC$250,236,0)</f>
        <v>0</v>
      </c>
      <c r="DZ194" s="106">
        <f>+HLOOKUP($C194,BP!$AQ$2:$BC$250,237,0)</f>
        <v>24453.012760000001</v>
      </c>
      <c r="EA194" s="106">
        <f>+HLOOKUP($C194,BP!$AQ$2:$BC$250,238,0)</f>
        <v>0</v>
      </c>
      <c r="EB194" s="106">
        <f>+HLOOKUP($C194,BP!$AQ$2:$BC$250,240,0)</f>
        <v>454502.01520833332</v>
      </c>
    </row>
    <row r="195" spans="1:132">
      <c r="A195" t="s">
        <v>269</v>
      </c>
      <c r="B195" t="s">
        <v>218</v>
      </c>
      <c r="C195" s="117">
        <v>45597</v>
      </c>
      <c r="D195" s="106">
        <f t="shared" ref="D195:D205" si="7">+E195</f>
        <v>8484685.75</v>
      </c>
      <c r="E195" s="106">
        <f>+HLOOKUP(C195,BP!$AQ$2:$BC$250,28,0)+HLOOKUP(C195,BP!$AQ$2:$BC$250,43,0)+HLOOKUP(C195,BP!$AQ$2:$BC$250,44,0)+HLOOKUP(C195,BP!$AQ$2:$BC$250,45,0)+HLOOKUP(C195,BP!$AQ$2:$BC$250,54,0)+HLOOKUP(C195,BP!$AQ$2:$BC$250,59,0)</f>
        <v>8484685.75</v>
      </c>
      <c r="F195" s="106">
        <f>+HLOOKUP(C195,BP!$AQ$2:$BC$250,37,0)+HLOOKUP(C195,BP!$AQ$2:$BC$250,55,0)</f>
        <v>5066868.3899999997</v>
      </c>
      <c r="G195" s="106">
        <f>+HLOOKUP($C195,BP!$AQ$2:$BC$250,76,0)</f>
        <v>0</v>
      </c>
      <c r="H195" s="106">
        <f>+HLOOKUP($C195,BP!$AQ$2:$BC$250,77,0)</f>
        <v>0</v>
      </c>
      <c r="I195" s="106">
        <f>+HLOOKUP($C195,BP!$AQ$2:$BC$250,78,0)</f>
        <v>0</v>
      </c>
      <c r="J195" s="106">
        <f>+HLOOKUP($C195,BP!$AQ$2:$BC$250,79,0)</f>
        <v>0</v>
      </c>
      <c r="K195" s="106">
        <f>+HLOOKUP($C195,BP!$AQ$2:$BC$250,80,0)</f>
        <v>0</v>
      </c>
      <c r="L195" s="106">
        <f>+HLOOKUP($C195,BP!$AQ$2:$BC$250,81,0)</f>
        <v>28862</v>
      </c>
      <c r="M195" s="106">
        <f>+HLOOKUP($C195,BP!$AQ$2:$BC$250,82,0)</f>
        <v>0</v>
      </c>
      <c r="N195" s="106">
        <f>+HLOOKUP($C195,BP!$AQ$2:$BC$250,83,0)</f>
        <v>0</v>
      </c>
      <c r="O195" s="106">
        <f>+HLOOKUP($C195,BP!$AQ$2:$BC$250,84,0)</f>
        <v>0</v>
      </c>
      <c r="P195" s="106">
        <f>+HLOOKUP($C195,BP!$AQ$2:$BC$250,85,0)</f>
        <v>0</v>
      </c>
      <c r="Q195" s="106">
        <f>+HLOOKUP($C195,BP!$AQ$2:$BC$250,87,0)</f>
        <v>163319.29900000003</v>
      </c>
      <c r="R195" s="106">
        <f>+HLOOKUP($C195,BP!$AQ$2:$BC$250,90,0)</f>
        <v>0</v>
      </c>
      <c r="S195" s="106">
        <f>+HLOOKUP($C195,BP!$AQ$2:$BC$250,91,0)</f>
        <v>0</v>
      </c>
      <c r="T195" s="106">
        <f>+HLOOKUP($C195,BP!$AQ$2:$BC$250,92,0)</f>
        <v>0</v>
      </c>
      <c r="U195" s="106">
        <f>+HLOOKUP($C195,BP!$AQ$2:$BC$250,93,0)</f>
        <v>0</v>
      </c>
      <c r="V195" s="106">
        <f>+HLOOKUP($C195,BP!$AQ$2:$BC$250,94,0)</f>
        <v>0</v>
      </c>
      <c r="W195" s="106">
        <f>+HLOOKUP($C195,BP!$AQ$2:$BC$250,95,0)</f>
        <v>0</v>
      </c>
      <c r="X195" s="106">
        <f>+HLOOKUP($C195,BP!$AQ$2:$BC$250,96,0)</f>
        <v>0</v>
      </c>
      <c r="Y195" s="106">
        <f>+HLOOKUP($C195,BP!$AQ$2:$BC$250,97,0)</f>
        <v>0</v>
      </c>
      <c r="Z195" s="106">
        <f>+HLOOKUP($C195,BP!$AQ$2:$BC$250,98,0)</f>
        <v>0</v>
      </c>
      <c r="AA195" s="106">
        <f>+HLOOKUP($C195,BP!$AQ$2:$BC$250,99,0)</f>
        <v>0</v>
      </c>
      <c r="AB195" s="106">
        <f>+HLOOKUP($C195,BP!$AQ$2:$BC$250,100,0)</f>
        <v>0</v>
      </c>
      <c r="AC195" s="106">
        <f>+HLOOKUP($C195,BP!$AQ$2:$BC$250,101,0)</f>
        <v>0</v>
      </c>
      <c r="AD195" s="106">
        <f>+HLOOKUP($C195,BP!$AQ$2:$BC$250,104,0)</f>
        <v>0</v>
      </c>
      <c r="AE195" s="106">
        <f>+HLOOKUP($C195,BP!$AQ$2:$BC$250,105,0)</f>
        <v>0</v>
      </c>
      <c r="AF195" s="106">
        <f>+HLOOKUP($C195,BP!$AQ$2:$BC$250,106,0)</f>
        <v>0</v>
      </c>
      <c r="AG195" s="106">
        <f>+HLOOKUP($C195,BP!$AQ$2:$BC$250,107,0)</f>
        <v>0</v>
      </c>
      <c r="AH195" s="106">
        <f>+HLOOKUP($C195,BP!$AQ$2:$BC$250,108,0)</f>
        <v>0</v>
      </c>
      <c r="AI195" s="106">
        <f>+HLOOKUP($C195,BP!$AQ$2:$BC$250,109,0)</f>
        <v>0</v>
      </c>
      <c r="AJ195" s="106">
        <f>+HLOOKUP($C195,BP!$AQ$2:$BC$250,110,0)</f>
        <v>0</v>
      </c>
      <c r="AK195" s="106">
        <f>+HLOOKUP($C195,BP!$AQ$2:$BC$250,111,0)</f>
        <v>0</v>
      </c>
      <c r="AL195" s="106">
        <f>+HLOOKUP($C195,BP!$AQ$2:$BC$250,112,0)</f>
        <v>0</v>
      </c>
      <c r="AM195" s="106">
        <f>+HLOOKUP($C195,BP!$AQ$2:$BC$250,116,0)</f>
        <v>153874.79999999999</v>
      </c>
      <c r="AN195" s="106">
        <f>+HLOOKUP($C195,BP!$AQ$2:$BC$250,117,0)</f>
        <v>24167</v>
      </c>
      <c r="AO195" s="106">
        <f>+HLOOKUP($C195,BP!$AQ$2:$BC$250,118,0)</f>
        <v>2636</v>
      </c>
      <c r="AP195" s="106">
        <f>+HLOOKUP($C195,BP!$AQ$2:$BC$250,119,0)</f>
        <v>55059.8</v>
      </c>
      <c r="AQ195" s="106">
        <f>+HLOOKUP($C195,BP!$AQ$2:$BC$250,120,0)</f>
        <v>6974.8</v>
      </c>
      <c r="AR195" s="106">
        <f>+HLOOKUP($C195,BP!$AQ$2:$BC$250,121,0)</f>
        <v>3472</v>
      </c>
      <c r="AS195" s="106">
        <f>+HLOOKUP($C195,BP!$AQ$2:$BC$250,122,0)</f>
        <v>77184</v>
      </c>
      <c r="AT195" s="106">
        <f>+HLOOKUP($C195,BP!$AQ$2:$BC$250,123,0)</f>
        <v>18158.68</v>
      </c>
      <c r="AU195" s="106">
        <f>+HLOOKUP($C195,BP!$AQ$2:$BC$250,124,0)</f>
        <v>2559.08</v>
      </c>
      <c r="AV195" s="106">
        <f>+HLOOKUP($C195,BP!$AQ$2:$BC$250,125,0)</f>
        <v>58620</v>
      </c>
      <c r="AW195" s="106">
        <f>+HLOOKUP($C195,BP!$AQ$2:$BC$250,126,0)</f>
        <v>7056.7846153846158</v>
      </c>
      <c r="AX195" s="106">
        <f>+HLOOKUP($C195,BP!$AQ$2:$BC$250,127,0)</f>
        <v>11519.43</v>
      </c>
      <c r="AY195" s="106">
        <f>+HLOOKUP($C195,BP!$AQ$2:$BC$250,129,0)</f>
        <v>0</v>
      </c>
      <c r="AZ195" s="106">
        <f>+HLOOKUP($C195,BP!$AQ$2:$BC$250,130,0)</f>
        <v>0</v>
      </c>
      <c r="BA195" s="106">
        <f>+HLOOKUP($C195,BP!$AQ$2:$BC$250,131,0)</f>
        <v>0</v>
      </c>
      <c r="BB195" s="106">
        <f>+HLOOKUP($C195,BP!$AQ$2:$BC$250,133,0)</f>
        <v>0</v>
      </c>
      <c r="BC195" s="106">
        <f>+HLOOKUP($C195,BP!$AQ$2:$BC$250,134,0)</f>
        <v>21439.099200000001</v>
      </c>
      <c r="BD195" s="106">
        <f>+HLOOKUP($C195,BP!$AQ$2:$BC$250,135,0)</f>
        <v>0</v>
      </c>
      <c r="BE195" s="106">
        <f>+HLOOKUP($C195,BP!$AQ$2:$BC$250,136,0)</f>
        <v>0</v>
      </c>
      <c r="BF195" s="106">
        <f>+HLOOKUP($C195,BP!$AQ$2:$BC$250,138,0)</f>
        <v>2285.4672000000005</v>
      </c>
      <c r="BG195" s="106">
        <f>+HLOOKUP($C195,BP!$AQ$2:$BC$250,139,0)</f>
        <v>657.6</v>
      </c>
      <c r="BH195" s="106">
        <f>+HLOOKUP($C195,BP!$AQ$2:$BC$250,140,0)</f>
        <v>0</v>
      </c>
      <c r="BI195" s="106">
        <f>+HLOOKUP($C195,BP!$AQ$2:$BC$250,141,0)</f>
        <v>0</v>
      </c>
      <c r="BJ195" s="106">
        <f>+HLOOKUP($C195,BP!$AQ$2:$BC$250,142,0)</f>
        <v>0</v>
      </c>
      <c r="BK195" s="106">
        <f>+HLOOKUP($C195,BP!$AQ$2:$BC$250,143,0)</f>
        <v>0</v>
      </c>
      <c r="BL195" s="106">
        <f>+HLOOKUP($C195,BP!$AQ$2:$BC$250,144,0)</f>
        <v>0</v>
      </c>
      <c r="BM195" s="106">
        <f>+HLOOKUP($C195,BP!$AQ$2:$BC$250,146,0)</f>
        <v>0</v>
      </c>
      <c r="BN195" s="106">
        <f>+HLOOKUP($C195,BP!$AQ$2:$BC$250,147,0)</f>
        <v>0</v>
      </c>
      <c r="BO195" s="106">
        <f>+HLOOKUP($C195,BP!$AQ$2:$BC$250,148,0)</f>
        <v>0</v>
      </c>
      <c r="BP195" s="106">
        <f>+HLOOKUP($C195,BP!$AQ$2:$BC$250,150,0)</f>
        <v>33901.599999999999</v>
      </c>
      <c r="BQ195" s="106">
        <f>+HLOOKUP($C195,BP!$AQ$2:$BC$250,151,0)</f>
        <v>0</v>
      </c>
      <c r="BR195" s="106">
        <f>+HLOOKUP($C195,BP!$AQ$2:$BC$250,152,0)</f>
        <v>0</v>
      </c>
      <c r="BS195" s="106">
        <f>+HLOOKUP($C195,BP!$AQ$2:$BC$250,153,0)</f>
        <v>0</v>
      </c>
      <c r="BT195" s="106">
        <f>+HLOOKUP($C195,BP!$AQ$2:$BC$250,157,0)</f>
        <v>0</v>
      </c>
      <c r="BU195" s="106">
        <f>+HLOOKUP($C195,BP!$AQ$2:$BC$250,158,0)</f>
        <v>800</v>
      </c>
      <c r="BV195" s="106">
        <f>+HLOOKUP($C195,BP!$AQ$2:$BC$250,159,0)</f>
        <v>0</v>
      </c>
      <c r="BW195" s="106">
        <f>+HLOOKUP($C195,BP!$AQ$2:$BC$250,160,0)</f>
        <v>0</v>
      </c>
      <c r="BX195" s="106">
        <f>+HLOOKUP($C195,BP!$AQ$2:$BC$250,161,0)</f>
        <v>0</v>
      </c>
      <c r="BY195" s="106">
        <f>+HLOOKUP($C195,BP!$AQ$2:$BC$250,164,0)</f>
        <v>4811.0471999999991</v>
      </c>
      <c r="BZ195" s="106">
        <f>+HLOOKUP($C195,BP!$AQ$2:$BC$250,165,0)</f>
        <v>0</v>
      </c>
      <c r="CA195" s="106">
        <f>+HLOOKUP($C195,BP!$AQ$2:$BC$250,166,0)</f>
        <v>0</v>
      </c>
      <c r="CB195" s="106">
        <f>+HLOOKUP($C195,BP!$AQ$2:$BC$250,167,0)</f>
        <v>0</v>
      </c>
      <c r="CC195" s="106">
        <f>+HLOOKUP($C195,BP!$AQ$2:$BC$250,168,0)</f>
        <v>0</v>
      </c>
      <c r="CD195" s="106">
        <f>+HLOOKUP($C195,BP!$AQ$2:$BC$250,169,0)</f>
        <v>2287.5</v>
      </c>
      <c r="CE195" s="106">
        <f>+HLOOKUP($C195,BP!$AQ$2:$BC$250,170,0)</f>
        <v>0</v>
      </c>
      <c r="CF195" s="106">
        <f>+HLOOKUP($C195,BP!$AQ$2:$BC$250,172,0)</f>
        <v>21800</v>
      </c>
      <c r="CG195" s="106">
        <f>+HLOOKUP($C195,BP!$AQ$2:$BC$250,173,0)</f>
        <v>0</v>
      </c>
      <c r="CH195" s="106">
        <f>+HLOOKUP($C195,BP!$AQ$2:$BC$250,174,0)</f>
        <v>35540</v>
      </c>
      <c r="CI195" s="106">
        <f>+HLOOKUP($C195,BP!$AQ$2:$BC$250,175,0)</f>
        <v>4460</v>
      </c>
      <c r="CJ195" s="106">
        <f>+HLOOKUP($C195,BP!$AQ$2:$BC$250,176,0)</f>
        <v>1765.6464000000001</v>
      </c>
      <c r="CK195" s="106">
        <f>+HLOOKUP($C195,BP!$AQ$2:$BC$250,178,0)</f>
        <v>64578</v>
      </c>
      <c r="CL195" s="106">
        <f>+HLOOKUP($C195,BP!$AQ$2:$BC$250,179,0)</f>
        <v>0</v>
      </c>
      <c r="CM195" s="106">
        <f>+HLOOKUP($C195,BP!$AQ$2:$BC$250,180,0)</f>
        <v>0</v>
      </c>
      <c r="CN195" s="106">
        <f>+HLOOKUP($C195,BP!$AQ$2:$BC$250,182,0)</f>
        <v>0</v>
      </c>
      <c r="CO195" s="106">
        <f>+HLOOKUP($C195,BP!$AQ$2:$BC$250,183,0)</f>
        <v>2343.7640000000001</v>
      </c>
      <c r="CP195" s="106">
        <f>+HLOOKUP($C195,BP!$AQ$2:$BC$250,184,0)</f>
        <v>0</v>
      </c>
      <c r="CQ195" s="106">
        <f>+HLOOKUP($C195,BP!$AQ$2:$BC$250,185,0)</f>
        <v>0</v>
      </c>
      <c r="CR195" s="106">
        <f>+HLOOKUP($C195,BP!$AQ$2:$BC$250,187,0)</f>
        <v>2499.9996000000006</v>
      </c>
      <c r="CS195" s="106">
        <f>+HLOOKUP($C195,BP!$AQ$2:$BC$250,188,0)</f>
        <v>1800</v>
      </c>
      <c r="CT195" s="106">
        <f>+HLOOKUP($C195,BP!$AQ$2:$BC$250,189,0)</f>
        <v>0</v>
      </c>
      <c r="CU195" s="106">
        <f>+HLOOKUP($C195,BP!$AQ$2:$BC$250,190,0)</f>
        <v>999.96</v>
      </c>
      <c r="CV195" s="106">
        <f>+HLOOKUP($C195,BP!$AQ$2:$BC$250,191,0)</f>
        <v>0</v>
      </c>
      <c r="CW195" s="106">
        <f>+HLOOKUP($C195,BP!$AQ$2:$BC$250,193,0)</f>
        <v>10593.2</v>
      </c>
      <c r="CX195" s="106">
        <f>+HLOOKUP($C195,BP!$AQ$2:$BC$250,194,0)</f>
        <v>31.8</v>
      </c>
      <c r="CY195" s="106">
        <f>+HLOOKUP($C195,BP!$AQ$2:$BC$250,195,0)</f>
        <v>252</v>
      </c>
      <c r="CZ195" s="106">
        <f>+HLOOKUP($C195,BP!$AQ$2:$BC$250,196,0)</f>
        <v>0</v>
      </c>
      <c r="DA195" s="106">
        <f>+HLOOKUP($C195,BP!$AQ$2:$BC$250,197,0)</f>
        <v>0</v>
      </c>
      <c r="DB195" s="106">
        <f>+HLOOKUP($C195,BP!$AQ$2:$BC$250,198,0)</f>
        <v>0</v>
      </c>
      <c r="DC195" s="106">
        <f>+HLOOKUP($C195,BP!$AQ$2:$BC$250,199,0)</f>
        <v>223.72680000000003</v>
      </c>
      <c r="DD195" s="106">
        <f>+HLOOKUP($C195,BP!$AQ$2:$BC$250,200,0)</f>
        <v>0</v>
      </c>
      <c r="DE195" s="106">
        <f>+HLOOKUP($C195,BP!$AQ$2:$BC$250,201,0)</f>
        <v>0</v>
      </c>
      <c r="DF195" s="106">
        <f>+HLOOKUP($C195,BP!$AQ$2:$BC$250,202,0)</f>
        <v>6.6407999999999996</v>
      </c>
      <c r="DG195" s="106">
        <f>+HLOOKUP($C195,BP!$AQ$2:$BC$250,203,0)</f>
        <v>12.125999999999999</v>
      </c>
      <c r="DH195" s="106">
        <f>+HLOOKUP($C195,BP!$AQ$2:$BC$250,205,0)</f>
        <v>0</v>
      </c>
      <c r="DI195" s="106">
        <f>+HLOOKUP($C195,BP!$AQ$2:$BC$250,206,0)</f>
        <v>0</v>
      </c>
      <c r="DJ195" s="106">
        <f>+HLOOKUP($C195,BP!$AQ$2:$BC$250,207,0)</f>
        <v>311.1696000000004</v>
      </c>
      <c r="DK195" s="106">
        <f>+HLOOKUP($C195,BP!$AQ$2:$BC$250,209,0)</f>
        <v>100000</v>
      </c>
      <c r="DL195" s="106">
        <f>+HLOOKUP($C195,BP!$AQ$2:$BC$250,210,0)</f>
        <v>124106</v>
      </c>
      <c r="DM195" s="106">
        <f>+HLOOKUP($C195,BP!$AQ$2:$BC$250,211,0)</f>
        <v>0</v>
      </c>
      <c r="DN195" s="106">
        <f>+HLOOKUP($C195,BP!$AQ$2:$BC$250,212,0)</f>
        <v>0</v>
      </c>
      <c r="DO195" s="106">
        <f>+HLOOKUP($C195,BP!$AQ$2:$BC$250,214,0)</f>
        <v>0</v>
      </c>
      <c r="DP195" s="106">
        <f>+HLOOKUP($C195,BP!$AQ$2:$BC$250,215,0)</f>
        <v>0</v>
      </c>
      <c r="DQ195" s="106">
        <f>+HLOOKUP($C195,BP!$AQ$2:$BC$250,219,0)</f>
        <v>0</v>
      </c>
      <c r="DR195" s="106">
        <f>+HLOOKUP($C195,BP!$AQ$2:$BC$250,220,0)</f>
        <v>0</v>
      </c>
      <c r="DS195" s="106">
        <f>+HLOOKUP($C195,BP!$AQ$2:$BC$250,221,0)</f>
        <v>0</v>
      </c>
      <c r="DT195" s="106">
        <f>+HLOOKUP($C195,BP!$AQ$2:$BC$250,223,0)</f>
        <v>68391.507599999997</v>
      </c>
      <c r="DU195" s="106">
        <f>+HLOOKUP($C195,BP!$AQ$2:$BC$250,224,0)</f>
        <v>0</v>
      </c>
      <c r="DV195" s="106">
        <f>+HLOOKUP($C195,BP!$AQ$2:$BC$250,225,0)</f>
        <v>0</v>
      </c>
      <c r="DW195" s="106">
        <f>+HLOOKUP($C195,BP!$AQ$2:$BC$250,227,0)</f>
        <v>0</v>
      </c>
      <c r="DX195" s="106">
        <f>+HLOOKUP($C195,BP!$AQ$2:$BC$250,228,0)</f>
        <v>7005</v>
      </c>
      <c r="DY195" s="106">
        <f>+HLOOKUP($C195,BP!$AQ$2:$BC$250,236,0)</f>
        <v>0</v>
      </c>
      <c r="DZ195" s="106">
        <f>+HLOOKUP($C195,BP!$AQ$2:$BC$250,237,0)</f>
        <v>23968.60268</v>
      </c>
      <c r="EA195" s="106">
        <f>+HLOOKUP($C195,BP!$AQ$2:$BC$250,238,0)</f>
        <v>0</v>
      </c>
      <c r="EB195" s="106">
        <f>+HLOOKUP($C195,BP!$AQ$2:$BC$250,240,0)</f>
        <v>454502.01520833332</v>
      </c>
    </row>
    <row r="196" spans="1:132">
      <c r="A196" t="s">
        <v>269</v>
      </c>
      <c r="B196" t="s">
        <v>218</v>
      </c>
      <c r="C196" s="117">
        <v>45566</v>
      </c>
      <c r="D196" s="106">
        <f t="shared" si="7"/>
        <v>7584630.0799999991</v>
      </c>
      <c r="E196" s="106">
        <f>+HLOOKUP(C196,BP!$AQ$2:$BC$250,28,0)+HLOOKUP(C196,BP!$AQ$2:$BC$250,43,0)+HLOOKUP(C196,BP!$AQ$2:$BC$250,44,0)+HLOOKUP(C196,BP!$AQ$2:$BC$250,45,0)+HLOOKUP(C196,BP!$AQ$2:$BC$250,54,0)+HLOOKUP(C196,BP!$AQ$2:$BC$250,59,0)</f>
        <v>7584630.0799999991</v>
      </c>
      <c r="F196" s="106">
        <f>+HLOOKUP(C196,BP!$AQ$2:$BC$250,37,0)+HLOOKUP(C196,BP!$AQ$2:$BC$250,55,0)</f>
        <v>6016584.034</v>
      </c>
      <c r="G196" s="106">
        <f>+HLOOKUP($C196,BP!$AQ$2:$BC$250,76,0)</f>
        <v>0</v>
      </c>
      <c r="H196" s="106">
        <f>+HLOOKUP($C196,BP!$AQ$2:$BC$250,77,0)</f>
        <v>0</v>
      </c>
      <c r="I196" s="106">
        <f>+HLOOKUP($C196,BP!$AQ$2:$BC$250,78,0)</f>
        <v>0</v>
      </c>
      <c r="J196" s="106">
        <f>+HLOOKUP($C196,BP!$AQ$2:$BC$250,79,0)</f>
        <v>0</v>
      </c>
      <c r="K196" s="106">
        <f>+HLOOKUP($C196,BP!$AQ$2:$BC$250,80,0)</f>
        <v>0</v>
      </c>
      <c r="L196" s="106">
        <f>+HLOOKUP($C196,BP!$AQ$2:$BC$250,81,0)</f>
        <v>21978</v>
      </c>
      <c r="M196" s="106">
        <f>+HLOOKUP($C196,BP!$AQ$2:$BC$250,82,0)</f>
        <v>0</v>
      </c>
      <c r="N196" s="106">
        <f>+HLOOKUP($C196,BP!$AQ$2:$BC$250,83,0)</f>
        <v>0</v>
      </c>
      <c r="O196" s="106">
        <f>+HLOOKUP($C196,BP!$AQ$2:$BC$250,84,0)</f>
        <v>0</v>
      </c>
      <c r="P196" s="106">
        <f>+HLOOKUP($C196,BP!$AQ$2:$BC$250,85,0)</f>
        <v>0</v>
      </c>
      <c r="Q196" s="106">
        <f>+HLOOKUP($C196,BP!$AQ$2:$BC$250,87,0)</f>
        <v>149396.90600000002</v>
      </c>
      <c r="R196" s="106">
        <f>+HLOOKUP($C196,BP!$AQ$2:$BC$250,90,0)</f>
        <v>0</v>
      </c>
      <c r="S196" s="106">
        <f>+HLOOKUP($C196,BP!$AQ$2:$BC$250,91,0)</f>
        <v>0</v>
      </c>
      <c r="T196" s="106">
        <f>+HLOOKUP($C196,BP!$AQ$2:$BC$250,92,0)</f>
        <v>0</v>
      </c>
      <c r="U196" s="106">
        <f>+HLOOKUP($C196,BP!$AQ$2:$BC$250,93,0)</f>
        <v>0</v>
      </c>
      <c r="V196" s="106">
        <f>+HLOOKUP($C196,BP!$AQ$2:$BC$250,94,0)</f>
        <v>0</v>
      </c>
      <c r="W196" s="106">
        <f>+HLOOKUP($C196,BP!$AQ$2:$BC$250,95,0)</f>
        <v>0</v>
      </c>
      <c r="X196" s="106">
        <f>+HLOOKUP($C196,BP!$AQ$2:$BC$250,96,0)</f>
        <v>0</v>
      </c>
      <c r="Y196" s="106">
        <f>+HLOOKUP($C196,BP!$AQ$2:$BC$250,97,0)</f>
        <v>0</v>
      </c>
      <c r="Z196" s="106">
        <f>+HLOOKUP($C196,BP!$AQ$2:$BC$250,98,0)</f>
        <v>0</v>
      </c>
      <c r="AA196" s="106">
        <f>+HLOOKUP($C196,BP!$AQ$2:$BC$250,99,0)</f>
        <v>0</v>
      </c>
      <c r="AB196" s="106">
        <f>+HLOOKUP($C196,BP!$AQ$2:$BC$250,100,0)</f>
        <v>0</v>
      </c>
      <c r="AC196" s="106">
        <f>+HLOOKUP($C196,BP!$AQ$2:$BC$250,101,0)</f>
        <v>0</v>
      </c>
      <c r="AD196" s="106">
        <f>+HLOOKUP($C196,BP!$AQ$2:$BC$250,104,0)</f>
        <v>38306.42</v>
      </c>
      <c r="AE196" s="106">
        <f>+HLOOKUP($C196,BP!$AQ$2:$BC$250,105,0)</f>
        <v>0</v>
      </c>
      <c r="AF196" s="106">
        <f>+HLOOKUP($C196,BP!$AQ$2:$BC$250,106,0)</f>
        <v>0</v>
      </c>
      <c r="AG196" s="106">
        <f>+HLOOKUP($C196,BP!$AQ$2:$BC$250,107,0)</f>
        <v>0</v>
      </c>
      <c r="AH196" s="106">
        <f>+HLOOKUP($C196,BP!$AQ$2:$BC$250,108,0)</f>
        <v>0</v>
      </c>
      <c r="AI196" s="106">
        <f>+HLOOKUP($C196,BP!$AQ$2:$BC$250,109,0)</f>
        <v>0</v>
      </c>
      <c r="AJ196" s="106">
        <f>+HLOOKUP($C196,BP!$AQ$2:$BC$250,110,0)</f>
        <v>0</v>
      </c>
      <c r="AK196" s="106">
        <f>+HLOOKUP($C196,BP!$AQ$2:$BC$250,111,0)</f>
        <v>9100</v>
      </c>
      <c r="AL196" s="106">
        <f>+HLOOKUP($C196,BP!$AQ$2:$BC$250,112,0)</f>
        <v>0</v>
      </c>
      <c r="AM196" s="106">
        <f>+HLOOKUP($C196,BP!$AQ$2:$BC$250,116,0)</f>
        <v>140850.4</v>
      </c>
      <c r="AN196" s="106">
        <f>+HLOOKUP($C196,BP!$AQ$2:$BC$250,117,0)</f>
        <v>23218</v>
      </c>
      <c r="AO196" s="106">
        <f>+HLOOKUP($C196,BP!$AQ$2:$BC$250,118,0)</f>
        <v>2500</v>
      </c>
      <c r="AP196" s="106">
        <f>+HLOOKUP($C196,BP!$AQ$2:$BC$250,119,0)</f>
        <v>51272</v>
      </c>
      <c r="AQ196" s="106">
        <f>+HLOOKUP($C196,BP!$AQ$2:$BC$250,120,0)</f>
        <v>5420</v>
      </c>
      <c r="AR196" s="106">
        <f>+HLOOKUP($C196,BP!$AQ$2:$BC$250,121,0)</f>
        <v>2200</v>
      </c>
      <c r="AS196" s="106">
        <f>+HLOOKUP($C196,BP!$AQ$2:$BC$250,122,0)</f>
        <v>66730.8</v>
      </c>
      <c r="AT196" s="106">
        <f>+HLOOKUP($C196,BP!$AQ$2:$BC$250,123,0)</f>
        <v>18158.68</v>
      </c>
      <c r="AU196" s="106">
        <f>+HLOOKUP($C196,BP!$AQ$2:$BC$250,124,0)</f>
        <v>2559.08</v>
      </c>
      <c r="AV196" s="106">
        <f>+HLOOKUP($C196,BP!$AQ$2:$BC$250,125,0)</f>
        <v>58620</v>
      </c>
      <c r="AW196" s="106">
        <f>+HLOOKUP($C196,BP!$AQ$2:$BC$250,126,0)</f>
        <v>7056.7846153846158</v>
      </c>
      <c r="AX196" s="106">
        <f>+HLOOKUP($C196,BP!$AQ$2:$BC$250,127,0)</f>
        <v>11519.43</v>
      </c>
      <c r="AY196" s="106">
        <f>+HLOOKUP($C196,BP!$AQ$2:$BC$250,129,0)</f>
        <v>0</v>
      </c>
      <c r="AZ196" s="106">
        <f>+HLOOKUP($C196,BP!$AQ$2:$BC$250,130,0)</f>
        <v>0</v>
      </c>
      <c r="BA196" s="106">
        <f>+HLOOKUP($C196,BP!$AQ$2:$BC$250,131,0)</f>
        <v>0</v>
      </c>
      <c r="BB196" s="106">
        <f>+HLOOKUP($C196,BP!$AQ$2:$BC$250,133,0)</f>
        <v>0</v>
      </c>
      <c r="BC196" s="106">
        <f>+HLOOKUP($C196,BP!$AQ$2:$BC$250,134,0)</f>
        <v>420</v>
      </c>
      <c r="BD196" s="106">
        <f>+HLOOKUP($C196,BP!$AQ$2:$BC$250,135,0)</f>
        <v>0</v>
      </c>
      <c r="BE196" s="106">
        <f>+HLOOKUP($C196,BP!$AQ$2:$BC$250,136,0)</f>
        <v>0</v>
      </c>
      <c r="BF196" s="106">
        <f>+HLOOKUP($C196,BP!$AQ$2:$BC$250,138,0)</f>
        <v>3404.8799999999997</v>
      </c>
      <c r="BG196" s="106">
        <f>+HLOOKUP($C196,BP!$AQ$2:$BC$250,139,0)</f>
        <v>0</v>
      </c>
      <c r="BH196" s="106">
        <f>+HLOOKUP($C196,BP!$AQ$2:$BC$250,140,0)</f>
        <v>0</v>
      </c>
      <c r="BI196" s="106">
        <f>+HLOOKUP($C196,BP!$AQ$2:$BC$250,141,0)</f>
        <v>0</v>
      </c>
      <c r="BJ196" s="106">
        <f>+HLOOKUP($C196,BP!$AQ$2:$BC$250,142,0)</f>
        <v>0</v>
      </c>
      <c r="BK196" s="106">
        <f>+HLOOKUP($C196,BP!$AQ$2:$BC$250,143,0)</f>
        <v>0</v>
      </c>
      <c r="BL196" s="106">
        <f>+HLOOKUP($C196,BP!$AQ$2:$BC$250,144,0)</f>
        <v>8000</v>
      </c>
      <c r="BM196" s="106">
        <f>+HLOOKUP($C196,BP!$AQ$2:$BC$250,146,0)</f>
        <v>0</v>
      </c>
      <c r="BN196" s="106">
        <f>+HLOOKUP($C196,BP!$AQ$2:$BC$250,147,0)</f>
        <v>0</v>
      </c>
      <c r="BO196" s="106">
        <f>+HLOOKUP($C196,BP!$AQ$2:$BC$250,148,0)</f>
        <v>0</v>
      </c>
      <c r="BP196" s="106">
        <f>+HLOOKUP($C196,BP!$AQ$2:$BC$250,150,0)</f>
        <v>69234.8</v>
      </c>
      <c r="BQ196" s="106">
        <f>+HLOOKUP($C196,BP!$AQ$2:$BC$250,151,0)</f>
        <v>0</v>
      </c>
      <c r="BR196" s="106">
        <f>+HLOOKUP($C196,BP!$AQ$2:$BC$250,152,0)</f>
        <v>0</v>
      </c>
      <c r="BS196" s="106">
        <f>+HLOOKUP($C196,BP!$AQ$2:$BC$250,153,0)</f>
        <v>0</v>
      </c>
      <c r="BT196" s="106">
        <f>+HLOOKUP($C196,BP!$AQ$2:$BC$250,157,0)</f>
        <v>0</v>
      </c>
      <c r="BU196" s="106">
        <f>+HLOOKUP($C196,BP!$AQ$2:$BC$250,158,0)</f>
        <v>0</v>
      </c>
      <c r="BV196" s="106">
        <f>+HLOOKUP($C196,BP!$AQ$2:$BC$250,159,0)</f>
        <v>0</v>
      </c>
      <c r="BW196" s="106">
        <f>+HLOOKUP($C196,BP!$AQ$2:$BC$250,160,0)</f>
        <v>9200</v>
      </c>
      <c r="BX196" s="106">
        <f>+HLOOKUP($C196,BP!$AQ$2:$BC$250,161,0)</f>
        <v>584.76</v>
      </c>
      <c r="BY196" s="106">
        <f>+HLOOKUP($C196,BP!$AQ$2:$BC$250,164,0)</f>
        <v>3892.7183999999997</v>
      </c>
      <c r="BZ196" s="106">
        <f>+HLOOKUP($C196,BP!$AQ$2:$BC$250,165,0)</f>
        <v>0</v>
      </c>
      <c r="CA196" s="106">
        <f>+HLOOKUP($C196,BP!$AQ$2:$BC$250,166,0)</f>
        <v>0</v>
      </c>
      <c r="CB196" s="106">
        <f>+HLOOKUP($C196,BP!$AQ$2:$BC$250,167,0)</f>
        <v>0</v>
      </c>
      <c r="CC196" s="106">
        <f>+HLOOKUP($C196,BP!$AQ$2:$BC$250,168,0)</f>
        <v>0</v>
      </c>
      <c r="CD196" s="106">
        <f>+HLOOKUP($C196,BP!$AQ$2:$BC$250,169,0)</f>
        <v>21.6</v>
      </c>
      <c r="CE196" s="106">
        <f>+HLOOKUP($C196,BP!$AQ$2:$BC$250,170,0)</f>
        <v>0</v>
      </c>
      <c r="CF196" s="106">
        <f>+HLOOKUP($C196,BP!$AQ$2:$BC$250,172,0)</f>
        <v>21800</v>
      </c>
      <c r="CG196" s="106">
        <f>+HLOOKUP($C196,BP!$AQ$2:$BC$250,173,0)</f>
        <v>0</v>
      </c>
      <c r="CH196" s="106">
        <f>+HLOOKUP($C196,BP!$AQ$2:$BC$250,174,0)</f>
        <v>35540</v>
      </c>
      <c r="CI196" s="106">
        <f>+HLOOKUP($C196,BP!$AQ$2:$BC$250,175,0)</f>
        <v>4460</v>
      </c>
      <c r="CJ196" s="106">
        <f>+HLOOKUP($C196,BP!$AQ$2:$BC$250,176,0)</f>
        <v>2001.6000000000001</v>
      </c>
      <c r="CK196" s="106">
        <f>+HLOOKUP($C196,BP!$AQ$2:$BC$250,178,0)</f>
        <v>61122</v>
      </c>
      <c r="CL196" s="106">
        <f>+HLOOKUP($C196,BP!$AQ$2:$BC$250,179,0)</f>
        <v>0</v>
      </c>
      <c r="CM196" s="106">
        <f>+HLOOKUP($C196,BP!$AQ$2:$BC$250,180,0)</f>
        <v>0</v>
      </c>
      <c r="CN196" s="106">
        <f>+HLOOKUP($C196,BP!$AQ$2:$BC$250,182,0)</f>
        <v>0</v>
      </c>
      <c r="CO196" s="106">
        <f>+HLOOKUP($C196,BP!$AQ$2:$BC$250,183,0)</f>
        <v>0</v>
      </c>
      <c r="CP196" s="106">
        <f>+HLOOKUP($C196,BP!$AQ$2:$BC$250,184,0)</f>
        <v>0</v>
      </c>
      <c r="CQ196" s="106">
        <f>+HLOOKUP($C196,BP!$AQ$2:$BC$250,185,0)</f>
        <v>0</v>
      </c>
      <c r="CR196" s="106">
        <f>+HLOOKUP($C196,BP!$AQ$2:$BC$250,187,0)</f>
        <v>2499.9999999999964</v>
      </c>
      <c r="CS196" s="106">
        <f>+HLOOKUP($C196,BP!$AQ$2:$BC$250,188,0)</f>
        <v>1800</v>
      </c>
      <c r="CT196" s="106">
        <f>+HLOOKUP($C196,BP!$AQ$2:$BC$250,189,0)</f>
        <v>0</v>
      </c>
      <c r="CU196" s="106">
        <f>+HLOOKUP($C196,BP!$AQ$2:$BC$250,190,0)</f>
        <v>999.96</v>
      </c>
      <c r="CV196" s="106">
        <f>+HLOOKUP($C196,BP!$AQ$2:$BC$250,191,0)</f>
        <v>0</v>
      </c>
      <c r="CW196" s="106">
        <f>+HLOOKUP($C196,BP!$AQ$2:$BC$250,193,0)</f>
        <v>10593.2</v>
      </c>
      <c r="CX196" s="106">
        <f>+HLOOKUP($C196,BP!$AQ$2:$BC$250,194,0)</f>
        <v>31.8</v>
      </c>
      <c r="CY196" s="106">
        <f>+HLOOKUP($C196,BP!$AQ$2:$BC$250,195,0)</f>
        <v>0</v>
      </c>
      <c r="CZ196" s="106">
        <f>+HLOOKUP($C196,BP!$AQ$2:$BC$250,196,0)</f>
        <v>0</v>
      </c>
      <c r="DA196" s="106">
        <f>+HLOOKUP($C196,BP!$AQ$2:$BC$250,197,0)</f>
        <v>0</v>
      </c>
      <c r="DB196" s="106">
        <f>+HLOOKUP($C196,BP!$AQ$2:$BC$250,198,0)</f>
        <v>0</v>
      </c>
      <c r="DC196" s="106">
        <f>+HLOOKUP($C196,BP!$AQ$2:$BC$250,199,0)</f>
        <v>0</v>
      </c>
      <c r="DD196" s="106">
        <f>+HLOOKUP($C196,BP!$AQ$2:$BC$250,200,0)</f>
        <v>0</v>
      </c>
      <c r="DE196" s="106">
        <f>+HLOOKUP($C196,BP!$AQ$2:$BC$250,201,0)</f>
        <v>0</v>
      </c>
      <c r="DF196" s="106">
        <f>+HLOOKUP($C196,BP!$AQ$2:$BC$250,202,0)</f>
        <v>6.1064000000000007</v>
      </c>
      <c r="DG196" s="106">
        <f>+HLOOKUP($C196,BP!$AQ$2:$BC$250,203,0)</f>
        <v>20.749200000000002</v>
      </c>
      <c r="DH196" s="106">
        <f>+HLOOKUP($C196,BP!$AQ$2:$BC$250,205,0)</f>
        <v>0</v>
      </c>
      <c r="DI196" s="106">
        <f>+HLOOKUP($C196,BP!$AQ$2:$BC$250,206,0)</f>
        <v>3799.64</v>
      </c>
      <c r="DJ196" s="106">
        <f>+HLOOKUP($C196,BP!$AQ$2:$BC$250,207,0)</f>
        <v>311.19960000000066</v>
      </c>
      <c r="DK196" s="106">
        <f>+HLOOKUP($C196,BP!$AQ$2:$BC$250,209,0)</f>
        <v>100000</v>
      </c>
      <c r="DL196" s="106">
        <f>+HLOOKUP($C196,BP!$AQ$2:$BC$250,210,0)</f>
        <v>124106</v>
      </c>
      <c r="DM196" s="106">
        <f>+HLOOKUP($C196,BP!$AQ$2:$BC$250,211,0)</f>
        <v>0</v>
      </c>
      <c r="DN196" s="106">
        <f>+HLOOKUP($C196,BP!$AQ$2:$BC$250,212,0)</f>
        <v>0</v>
      </c>
      <c r="DO196" s="106">
        <f>+HLOOKUP($C196,BP!$AQ$2:$BC$250,214,0)</f>
        <v>0</v>
      </c>
      <c r="DP196" s="106">
        <f>+HLOOKUP($C196,BP!$AQ$2:$BC$250,215,0)</f>
        <v>0</v>
      </c>
      <c r="DQ196" s="106">
        <f>+HLOOKUP($C196,BP!$AQ$2:$BC$250,219,0)</f>
        <v>0</v>
      </c>
      <c r="DR196" s="106">
        <f>+HLOOKUP($C196,BP!$AQ$2:$BC$250,220,0)</f>
        <v>0</v>
      </c>
      <c r="DS196" s="106">
        <f>+HLOOKUP($C196,BP!$AQ$2:$BC$250,221,0)</f>
        <v>0</v>
      </c>
      <c r="DT196" s="106">
        <f>+HLOOKUP($C196,BP!$AQ$2:$BC$250,223,0)</f>
        <v>8328.9431999999997</v>
      </c>
      <c r="DU196" s="106">
        <f>+HLOOKUP($C196,BP!$AQ$2:$BC$250,224,0)</f>
        <v>0</v>
      </c>
      <c r="DV196" s="106">
        <f>+HLOOKUP($C196,BP!$AQ$2:$BC$250,225,0)</f>
        <v>0</v>
      </c>
      <c r="DW196" s="106">
        <f>+HLOOKUP($C196,BP!$AQ$2:$BC$250,227,0)</f>
        <v>0</v>
      </c>
      <c r="DX196" s="106">
        <f>+HLOOKUP($C196,BP!$AQ$2:$BC$250,228,0)</f>
        <v>11006.400000000001</v>
      </c>
      <c r="DY196" s="106">
        <f>+HLOOKUP($C196,BP!$AQ$2:$BC$250,236,0)</f>
        <v>0</v>
      </c>
      <c r="DZ196" s="106">
        <f>+HLOOKUP($C196,BP!$AQ$2:$BC$250,237,0)</f>
        <v>25073.057239999998</v>
      </c>
      <c r="EA196" s="106">
        <f>+HLOOKUP($C196,BP!$AQ$2:$BC$250,238,0)</f>
        <v>0</v>
      </c>
      <c r="EB196" s="106">
        <f>+HLOOKUP($C196,BP!$AQ$2:$BC$250,240,0)</f>
        <v>454502.01520833332</v>
      </c>
    </row>
    <row r="197" spans="1:132">
      <c r="A197" t="s">
        <v>269</v>
      </c>
      <c r="B197" t="s">
        <v>218</v>
      </c>
      <c r="C197" s="117">
        <v>45536</v>
      </c>
      <c r="D197" s="106">
        <f t="shared" si="7"/>
        <v>6804407.5800000001</v>
      </c>
      <c r="E197" s="106">
        <f>+HLOOKUP(C197,BP!$AQ$2:$BC$250,28,0)+HLOOKUP(C197,BP!$AQ$2:$BC$250,43,0)+HLOOKUP(C197,BP!$AQ$2:$BC$250,44,0)+HLOOKUP(C197,BP!$AQ$2:$BC$250,45,0)+HLOOKUP(C197,BP!$AQ$2:$BC$250,54,0)+HLOOKUP(C197,BP!$AQ$2:$BC$250,59,0)</f>
        <v>6804407.5800000001</v>
      </c>
      <c r="F197" s="106">
        <f>+HLOOKUP(C197,BP!$AQ$2:$BC$250,37,0)+HLOOKUP(C197,BP!$AQ$2:$BC$250,55,0)</f>
        <v>4299316.3220000006</v>
      </c>
      <c r="G197" s="106">
        <f>+HLOOKUP($C197,BP!$AQ$2:$BC$250,76,0)</f>
        <v>0</v>
      </c>
      <c r="H197" s="106">
        <f>+HLOOKUP($C197,BP!$AQ$2:$BC$250,77,0)</f>
        <v>0</v>
      </c>
      <c r="I197" s="106">
        <f>+HLOOKUP($C197,BP!$AQ$2:$BC$250,78,0)</f>
        <v>0</v>
      </c>
      <c r="J197" s="106">
        <f>+HLOOKUP($C197,BP!$AQ$2:$BC$250,79,0)</f>
        <v>0</v>
      </c>
      <c r="K197" s="106">
        <f>+HLOOKUP($C197,BP!$AQ$2:$BC$250,80,0)</f>
        <v>0</v>
      </c>
      <c r="L197" s="106">
        <f>+HLOOKUP($C197,BP!$AQ$2:$BC$250,81,0)</f>
        <v>8193.9</v>
      </c>
      <c r="M197" s="106">
        <f>+HLOOKUP($C197,BP!$AQ$2:$BC$250,82,0)</f>
        <v>0</v>
      </c>
      <c r="N197" s="106">
        <f>+HLOOKUP($C197,BP!$AQ$2:$BC$250,83,0)</f>
        <v>0</v>
      </c>
      <c r="O197" s="106">
        <f>+HLOOKUP($C197,BP!$AQ$2:$BC$250,84,0)</f>
        <v>0</v>
      </c>
      <c r="P197" s="106">
        <f>+HLOOKUP($C197,BP!$AQ$2:$BC$250,85,0)</f>
        <v>0</v>
      </c>
      <c r="Q197" s="106">
        <f>+HLOOKUP($C197,BP!$AQ$2:$BC$250,87,0)</f>
        <v>120135.148</v>
      </c>
      <c r="R197" s="106">
        <f>+HLOOKUP($C197,BP!$AQ$2:$BC$250,90,0)</f>
        <v>0</v>
      </c>
      <c r="S197" s="106">
        <f>+HLOOKUP($C197,BP!$AQ$2:$BC$250,91,0)</f>
        <v>0</v>
      </c>
      <c r="T197" s="106">
        <f>+HLOOKUP($C197,BP!$AQ$2:$BC$250,92,0)</f>
        <v>0</v>
      </c>
      <c r="U197" s="106">
        <f>+HLOOKUP($C197,BP!$AQ$2:$BC$250,93,0)</f>
        <v>0</v>
      </c>
      <c r="V197" s="106">
        <f>+HLOOKUP($C197,BP!$AQ$2:$BC$250,94,0)</f>
        <v>0</v>
      </c>
      <c r="W197" s="106">
        <f>+HLOOKUP($C197,BP!$AQ$2:$BC$250,95,0)</f>
        <v>0</v>
      </c>
      <c r="X197" s="106">
        <f>+HLOOKUP($C197,BP!$AQ$2:$BC$250,96,0)</f>
        <v>0</v>
      </c>
      <c r="Y197" s="106">
        <f>+HLOOKUP($C197,BP!$AQ$2:$BC$250,97,0)</f>
        <v>0</v>
      </c>
      <c r="Z197" s="106">
        <f>+HLOOKUP($C197,BP!$AQ$2:$BC$250,98,0)</f>
        <v>0</v>
      </c>
      <c r="AA197" s="106">
        <f>+HLOOKUP($C197,BP!$AQ$2:$BC$250,99,0)</f>
        <v>0</v>
      </c>
      <c r="AB197" s="106">
        <f>+HLOOKUP($C197,BP!$AQ$2:$BC$250,100,0)</f>
        <v>0</v>
      </c>
      <c r="AC197" s="106">
        <f>+HLOOKUP($C197,BP!$AQ$2:$BC$250,101,0)</f>
        <v>0</v>
      </c>
      <c r="AD197" s="106">
        <f>+HLOOKUP($C197,BP!$AQ$2:$BC$250,104,0)</f>
        <v>0</v>
      </c>
      <c r="AE197" s="106">
        <f>+HLOOKUP($C197,BP!$AQ$2:$BC$250,105,0)</f>
        <v>0</v>
      </c>
      <c r="AF197" s="106">
        <f>+HLOOKUP($C197,BP!$AQ$2:$BC$250,106,0)</f>
        <v>0</v>
      </c>
      <c r="AG197" s="106">
        <f>+HLOOKUP($C197,BP!$AQ$2:$BC$250,107,0)</f>
        <v>0</v>
      </c>
      <c r="AH197" s="106">
        <f>+HLOOKUP($C197,BP!$AQ$2:$BC$250,108,0)</f>
        <v>0</v>
      </c>
      <c r="AI197" s="106">
        <f>+HLOOKUP($C197,BP!$AQ$2:$BC$250,109,0)</f>
        <v>0</v>
      </c>
      <c r="AJ197" s="106">
        <f>+HLOOKUP($C197,BP!$AQ$2:$BC$250,110,0)</f>
        <v>0</v>
      </c>
      <c r="AK197" s="106">
        <f>+HLOOKUP($C197,BP!$AQ$2:$BC$250,111,0)</f>
        <v>0</v>
      </c>
      <c r="AL197" s="106">
        <f>+HLOOKUP($C197,BP!$AQ$2:$BC$250,112,0)</f>
        <v>0</v>
      </c>
      <c r="AM197" s="106">
        <f>+HLOOKUP($C197,BP!$AQ$2:$BC$250,116,0)</f>
        <v>140689.66200000001</v>
      </c>
      <c r="AN197" s="106">
        <f>+HLOOKUP($C197,BP!$AQ$2:$BC$250,117,0)</f>
        <v>23267.668000000001</v>
      </c>
      <c r="AO197" s="106">
        <f>+HLOOKUP($C197,BP!$AQ$2:$BC$250,118,0)</f>
        <v>2500</v>
      </c>
      <c r="AP197" s="106">
        <f>+HLOOKUP($C197,BP!$AQ$2:$BC$250,119,0)</f>
        <v>51756.662000000004</v>
      </c>
      <c r="AQ197" s="106">
        <f>+HLOOKUP($C197,BP!$AQ$2:$BC$250,120,0)</f>
        <v>5420</v>
      </c>
      <c r="AR197" s="106">
        <f>+HLOOKUP($C197,BP!$AQ$2:$BC$250,121,0)</f>
        <v>2200</v>
      </c>
      <c r="AS197" s="106">
        <f>+HLOOKUP($C197,BP!$AQ$2:$BC$250,122,0)</f>
        <v>67368.131999999998</v>
      </c>
      <c r="AT197" s="106">
        <f>+HLOOKUP($C197,BP!$AQ$2:$BC$250,123,0)</f>
        <v>18158.68</v>
      </c>
      <c r="AU197" s="106">
        <f>+HLOOKUP($C197,BP!$AQ$2:$BC$250,124,0)</f>
        <v>2559.08</v>
      </c>
      <c r="AV197" s="106">
        <f>+HLOOKUP($C197,BP!$AQ$2:$BC$250,125,0)</f>
        <v>58620</v>
      </c>
      <c r="AW197" s="106">
        <f>+HLOOKUP($C197,BP!$AQ$2:$BC$250,126,0)</f>
        <v>7056.7846153846158</v>
      </c>
      <c r="AX197" s="106">
        <f>+HLOOKUP($C197,BP!$AQ$2:$BC$250,127,0)</f>
        <v>11519.43</v>
      </c>
      <c r="AY197" s="106">
        <f>+HLOOKUP($C197,BP!$AQ$2:$BC$250,129,0)</f>
        <v>0</v>
      </c>
      <c r="AZ197" s="106">
        <f>+HLOOKUP($C197,BP!$AQ$2:$BC$250,130,0)</f>
        <v>0</v>
      </c>
      <c r="BA197" s="106">
        <f>+HLOOKUP($C197,BP!$AQ$2:$BC$250,131,0)</f>
        <v>0</v>
      </c>
      <c r="BB197" s="106">
        <f>+HLOOKUP($C197,BP!$AQ$2:$BC$250,133,0)</f>
        <v>0</v>
      </c>
      <c r="BC197" s="106">
        <f>+HLOOKUP($C197,BP!$AQ$2:$BC$250,134,0)</f>
        <v>41040</v>
      </c>
      <c r="BD197" s="106">
        <f>+HLOOKUP($C197,BP!$AQ$2:$BC$250,135,0)</f>
        <v>0</v>
      </c>
      <c r="BE197" s="106">
        <f>+HLOOKUP($C197,BP!$AQ$2:$BC$250,136,0)</f>
        <v>0</v>
      </c>
      <c r="BF197" s="106">
        <f>+HLOOKUP($C197,BP!$AQ$2:$BC$250,138,0)</f>
        <v>3404.8799999999997</v>
      </c>
      <c r="BG197" s="106">
        <f>+HLOOKUP($C197,BP!$AQ$2:$BC$250,139,0)</f>
        <v>130.44</v>
      </c>
      <c r="BH197" s="106">
        <f>+HLOOKUP($C197,BP!$AQ$2:$BC$250,140,0)</f>
        <v>0</v>
      </c>
      <c r="BI197" s="106">
        <f>+HLOOKUP($C197,BP!$AQ$2:$BC$250,141,0)</f>
        <v>0</v>
      </c>
      <c r="BJ197" s="106">
        <f>+HLOOKUP($C197,BP!$AQ$2:$BC$250,142,0)</f>
        <v>0</v>
      </c>
      <c r="BK197" s="106">
        <f>+HLOOKUP($C197,BP!$AQ$2:$BC$250,143,0)</f>
        <v>17006.5</v>
      </c>
      <c r="BL197" s="106">
        <f>+HLOOKUP($C197,BP!$AQ$2:$BC$250,144,0)</f>
        <v>0</v>
      </c>
      <c r="BM197" s="106">
        <f>+HLOOKUP($C197,BP!$AQ$2:$BC$250,146,0)</f>
        <v>0</v>
      </c>
      <c r="BN197" s="106">
        <f>+HLOOKUP($C197,BP!$AQ$2:$BC$250,147,0)</f>
        <v>0</v>
      </c>
      <c r="BO197" s="106">
        <f>+HLOOKUP($C197,BP!$AQ$2:$BC$250,148,0)</f>
        <v>0</v>
      </c>
      <c r="BP197" s="106">
        <f>+HLOOKUP($C197,BP!$AQ$2:$BC$250,150,0)</f>
        <v>40836</v>
      </c>
      <c r="BQ197" s="106">
        <f>+HLOOKUP($C197,BP!$AQ$2:$BC$250,151,0)</f>
        <v>0</v>
      </c>
      <c r="BR197" s="106">
        <f>+HLOOKUP($C197,BP!$AQ$2:$BC$250,152,0)</f>
        <v>0</v>
      </c>
      <c r="BS197" s="106">
        <f>+HLOOKUP($C197,BP!$AQ$2:$BC$250,153,0)</f>
        <v>0</v>
      </c>
      <c r="BT197" s="106">
        <f>+HLOOKUP($C197,BP!$AQ$2:$BC$250,157,0)</f>
        <v>0</v>
      </c>
      <c r="BU197" s="106">
        <f>+HLOOKUP($C197,BP!$AQ$2:$BC$250,158,0)</f>
        <v>89.491199999999992</v>
      </c>
      <c r="BV197" s="106">
        <f>+HLOOKUP($C197,BP!$AQ$2:$BC$250,159,0)</f>
        <v>0</v>
      </c>
      <c r="BW197" s="106">
        <f>+HLOOKUP($C197,BP!$AQ$2:$BC$250,160,0)</f>
        <v>15011</v>
      </c>
      <c r="BX197" s="106">
        <f>+HLOOKUP($C197,BP!$AQ$2:$BC$250,161,0)</f>
        <v>7545.5560000000005</v>
      </c>
      <c r="BY197" s="106">
        <f>+HLOOKUP($C197,BP!$AQ$2:$BC$250,164,0)</f>
        <v>5488.7932000000001</v>
      </c>
      <c r="BZ197" s="106">
        <f>+HLOOKUP($C197,BP!$AQ$2:$BC$250,165,0)</f>
        <v>206.5</v>
      </c>
      <c r="CA197" s="106">
        <f>+HLOOKUP($C197,BP!$AQ$2:$BC$250,166,0)</f>
        <v>0</v>
      </c>
      <c r="CB197" s="106">
        <f>+HLOOKUP($C197,BP!$AQ$2:$BC$250,167,0)</f>
        <v>0</v>
      </c>
      <c r="CC197" s="106">
        <f>+HLOOKUP($C197,BP!$AQ$2:$BC$250,168,0)</f>
        <v>0</v>
      </c>
      <c r="CD197" s="106">
        <f>+HLOOKUP($C197,BP!$AQ$2:$BC$250,169,0)</f>
        <v>2468.4732000000004</v>
      </c>
      <c r="CE197" s="106">
        <f>+HLOOKUP($C197,BP!$AQ$2:$BC$250,170,0)</f>
        <v>0</v>
      </c>
      <c r="CF197" s="106">
        <f>+HLOOKUP($C197,BP!$AQ$2:$BC$250,172,0)</f>
        <v>21800</v>
      </c>
      <c r="CG197" s="106">
        <f>+HLOOKUP($C197,BP!$AQ$2:$BC$250,173,0)</f>
        <v>0</v>
      </c>
      <c r="CH197" s="106">
        <f>+HLOOKUP($C197,BP!$AQ$2:$BC$250,174,0)</f>
        <v>35540</v>
      </c>
      <c r="CI197" s="106">
        <f>+HLOOKUP($C197,BP!$AQ$2:$BC$250,175,0)</f>
        <v>4460</v>
      </c>
      <c r="CJ197" s="106">
        <f>+HLOOKUP($C197,BP!$AQ$2:$BC$250,176,0)</f>
        <v>2001.6396000000002</v>
      </c>
      <c r="CK197" s="106">
        <f>+HLOOKUP($C197,BP!$AQ$2:$BC$250,178,0)</f>
        <v>1699.2</v>
      </c>
      <c r="CL197" s="106">
        <f>+HLOOKUP($C197,BP!$AQ$2:$BC$250,179,0)</f>
        <v>0</v>
      </c>
      <c r="CM197" s="106">
        <f>+HLOOKUP($C197,BP!$AQ$2:$BC$250,180,0)</f>
        <v>0</v>
      </c>
      <c r="CN197" s="106">
        <f>+HLOOKUP($C197,BP!$AQ$2:$BC$250,182,0)</f>
        <v>0</v>
      </c>
      <c r="CO197" s="106">
        <f>+HLOOKUP($C197,BP!$AQ$2:$BC$250,183,0)</f>
        <v>8343.764000000001</v>
      </c>
      <c r="CP197" s="106">
        <f>+HLOOKUP($C197,BP!$AQ$2:$BC$250,184,0)</f>
        <v>0</v>
      </c>
      <c r="CQ197" s="106">
        <f>+HLOOKUP($C197,BP!$AQ$2:$BC$250,185,0)</f>
        <v>0</v>
      </c>
      <c r="CR197" s="106">
        <f>+HLOOKUP($C197,BP!$AQ$2:$BC$250,187,0)</f>
        <v>0</v>
      </c>
      <c r="CS197" s="106">
        <f>+HLOOKUP($C197,BP!$AQ$2:$BC$250,188,0)</f>
        <v>1800</v>
      </c>
      <c r="CT197" s="106">
        <f>+HLOOKUP($C197,BP!$AQ$2:$BC$250,189,0)</f>
        <v>0</v>
      </c>
      <c r="CU197" s="106">
        <f>+HLOOKUP($C197,BP!$AQ$2:$BC$250,190,0)</f>
        <v>999.95999999999992</v>
      </c>
      <c r="CV197" s="106">
        <f>+HLOOKUP($C197,BP!$AQ$2:$BC$250,191,0)</f>
        <v>0</v>
      </c>
      <c r="CW197" s="106">
        <f>+HLOOKUP($C197,BP!$AQ$2:$BC$250,193,0)</f>
        <v>10593.2</v>
      </c>
      <c r="CX197" s="106">
        <f>+HLOOKUP($C197,BP!$AQ$2:$BC$250,194,0)</f>
        <v>31.8</v>
      </c>
      <c r="CY197" s="106">
        <f>+HLOOKUP($C197,BP!$AQ$2:$BC$250,195,0)</f>
        <v>0</v>
      </c>
      <c r="CZ197" s="106">
        <f>+HLOOKUP($C197,BP!$AQ$2:$BC$250,196,0)</f>
        <v>0</v>
      </c>
      <c r="DA197" s="106">
        <f>+HLOOKUP($C197,BP!$AQ$2:$BC$250,197,0)</f>
        <v>0</v>
      </c>
      <c r="DB197" s="106">
        <f>+HLOOKUP($C197,BP!$AQ$2:$BC$250,198,0)</f>
        <v>0</v>
      </c>
      <c r="DC197" s="106">
        <f>+HLOOKUP($C197,BP!$AQ$2:$BC$250,199,0)</f>
        <v>0</v>
      </c>
      <c r="DD197" s="106">
        <f>+HLOOKUP($C197,BP!$AQ$2:$BC$250,200,0)</f>
        <v>0</v>
      </c>
      <c r="DE197" s="106">
        <f>+HLOOKUP($C197,BP!$AQ$2:$BC$250,201,0)</f>
        <v>0</v>
      </c>
      <c r="DF197" s="106">
        <f>+HLOOKUP($C197,BP!$AQ$2:$BC$250,202,0)</f>
        <v>8.4112000000000009</v>
      </c>
      <c r="DG197" s="106">
        <f>+HLOOKUP($C197,BP!$AQ$2:$BC$250,203,0)</f>
        <v>0</v>
      </c>
      <c r="DH197" s="106">
        <f>+HLOOKUP($C197,BP!$AQ$2:$BC$250,205,0)</f>
        <v>0</v>
      </c>
      <c r="DI197" s="106">
        <f>+HLOOKUP($C197,BP!$AQ$2:$BC$250,206,0)</f>
        <v>6635.6604000000007</v>
      </c>
      <c r="DJ197" s="106">
        <f>+HLOOKUP($C197,BP!$AQ$2:$BC$250,207,0)</f>
        <v>700.94439999999622</v>
      </c>
      <c r="DK197" s="106">
        <f>+HLOOKUP($C197,BP!$AQ$2:$BC$250,209,0)</f>
        <v>100000</v>
      </c>
      <c r="DL197" s="106">
        <f>+HLOOKUP($C197,BP!$AQ$2:$BC$250,210,0)</f>
        <v>124106</v>
      </c>
      <c r="DM197" s="106">
        <f>+HLOOKUP($C197,BP!$AQ$2:$BC$250,211,0)</f>
        <v>0</v>
      </c>
      <c r="DN197" s="106">
        <f>+HLOOKUP($C197,BP!$AQ$2:$BC$250,212,0)</f>
        <v>0</v>
      </c>
      <c r="DO197" s="106">
        <f>+HLOOKUP($C197,BP!$AQ$2:$BC$250,214,0)</f>
        <v>0</v>
      </c>
      <c r="DP197" s="106">
        <f>+HLOOKUP($C197,BP!$AQ$2:$BC$250,215,0)</f>
        <v>0</v>
      </c>
      <c r="DQ197" s="106">
        <f>+HLOOKUP($C197,BP!$AQ$2:$BC$250,219,0)</f>
        <v>0</v>
      </c>
      <c r="DR197" s="106">
        <f>+HLOOKUP($C197,BP!$AQ$2:$BC$250,220,0)</f>
        <v>0</v>
      </c>
      <c r="DS197" s="106">
        <f>+HLOOKUP($C197,BP!$AQ$2:$BC$250,221,0)</f>
        <v>0</v>
      </c>
      <c r="DT197" s="106">
        <f>+HLOOKUP($C197,BP!$AQ$2:$BC$250,223,0)</f>
        <v>9320.6352000000006</v>
      </c>
      <c r="DU197" s="106">
        <f>+HLOOKUP($C197,BP!$AQ$2:$BC$250,224,0)</f>
        <v>0</v>
      </c>
      <c r="DV197" s="106">
        <f>+HLOOKUP($C197,BP!$AQ$2:$BC$250,225,0)</f>
        <v>0</v>
      </c>
      <c r="DW197" s="106">
        <f>+HLOOKUP($C197,BP!$AQ$2:$BC$250,227,0)</f>
        <v>0</v>
      </c>
      <c r="DX197" s="106">
        <f>+HLOOKUP($C197,BP!$AQ$2:$BC$250,228,0)</f>
        <v>8668.56</v>
      </c>
      <c r="DY197" s="106">
        <f>+HLOOKUP($C197,BP!$AQ$2:$BC$250,236,0)</f>
        <v>0</v>
      </c>
      <c r="DZ197" s="106">
        <f>+HLOOKUP($C197,BP!$AQ$2:$BC$250,237,0)</f>
        <v>24540.20624</v>
      </c>
      <c r="EA197" s="106">
        <f>+HLOOKUP($C197,BP!$AQ$2:$BC$250,238,0)</f>
        <v>0</v>
      </c>
      <c r="EB197" s="106">
        <f>+HLOOKUP($C197,BP!$AQ$2:$BC$250,240,0)</f>
        <v>454502.01520833332</v>
      </c>
    </row>
    <row r="198" spans="1:132">
      <c r="A198" t="s">
        <v>269</v>
      </c>
      <c r="B198" t="s">
        <v>218</v>
      </c>
      <c r="C198" s="117">
        <v>45505</v>
      </c>
      <c r="D198" s="106">
        <f t="shared" si="7"/>
        <v>12132499.840000002</v>
      </c>
      <c r="E198" s="106">
        <f>+HLOOKUP(C198,BP!$AQ$2:$BC$250,28,0)+HLOOKUP(C198,BP!$AQ$2:$BC$250,43,0)+HLOOKUP(C198,BP!$AQ$2:$BC$250,44,0)+HLOOKUP(C198,BP!$AQ$2:$BC$250,45,0)+HLOOKUP(C198,BP!$AQ$2:$BC$250,54,0)+HLOOKUP(C198,BP!$AQ$2:$BC$250,59,0)</f>
        <v>12132499.840000002</v>
      </c>
      <c r="F198" s="106">
        <f>+HLOOKUP(C198,BP!$AQ$2:$BC$250,37,0)+HLOOKUP(C198,BP!$AQ$2:$BC$250,55,0)</f>
        <v>8718030.4000000004</v>
      </c>
      <c r="G198" s="106">
        <f>+HLOOKUP($C198,BP!$AQ$2:$BC$250,76,0)</f>
        <v>0</v>
      </c>
      <c r="H198" s="106">
        <f>+HLOOKUP($C198,BP!$AQ$2:$BC$250,77,0)</f>
        <v>0</v>
      </c>
      <c r="I198" s="106">
        <f>+HLOOKUP($C198,BP!$AQ$2:$BC$250,78,0)</f>
        <v>0</v>
      </c>
      <c r="J198" s="106">
        <f>+HLOOKUP($C198,BP!$AQ$2:$BC$250,79,0)</f>
        <v>0</v>
      </c>
      <c r="K198" s="106">
        <f>+HLOOKUP($C198,BP!$AQ$2:$BC$250,80,0)</f>
        <v>0</v>
      </c>
      <c r="L198" s="106">
        <f>+HLOOKUP($C198,BP!$AQ$2:$BC$250,81,0)</f>
        <v>10996</v>
      </c>
      <c r="M198" s="106">
        <f>+HLOOKUP($C198,BP!$AQ$2:$BC$250,82,0)</f>
        <v>0</v>
      </c>
      <c r="N198" s="106">
        <f>+HLOOKUP($C198,BP!$AQ$2:$BC$250,83,0)</f>
        <v>0</v>
      </c>
      <c r="O198" s="106">
        <f>+HLOOKUP($C198,BP!$AQ$2:$BC$250,84,0)</f>
        <v>0</v>
      </c>
      <c r="P198" s="106">
        <f>+HLOOKUP($C198,BP!$AQ$2:$BC$250,85,0)</f>
        <v>0</v>
      </c>
      <c r="Q198" s="106">
        <f>+HLOOKUP($C198,BP!$AQ$2:$BC$250,87,0)</f>
        <v>2560</v>
      </c>
      <c r="R198" s="106">
        <f>+HLOOKUP($C198,BP!$AQ$2:$BC$250,90,0)</f>
        <v>0</v>
      </c>
      <c r="S198" s="106">
        <f>+HLOOKUP($C198,BP!$AQ$2:$BC$250,91,0)</f>
        <v>0</v>
      </c>
      <c r="T198" s="106">
        <f>+HLOOKUP($C198,BP!$AQ$2:$BC$250,92,0)</f>
        <v>0</v>
      </c>
      <c r="U198" s="106">
        <f>+HLOOKUP($C198,BP!$AQ$2:$BC$250,93,0)</f>
        <v>0</v>
      </c>
      <c r="V198" s="106">
        <f>+HLOOKUP($C198,BP!$AQ$2:$BC$250,94,0)</f>
        <v>0</v>
      </c>
      <c r="W198" s="106">
        <f>+HLOOKUP($C198,BP!$AQ$2:$BC$250,95,0)</f>
        <v>0</v>
      </c>
      <c r="X198" s="106">
        <f>+HLOOKUP($C198,BP!$AQ$2:$BC$250,96,0)</f>
        <v>8343.6</v>
      </c>
      <c r="Y198" s="106">
        <f>+HLOOKUP($C198,BP!$AQ$2:$BC$250,97,0)</f>
        <v>0</v>
      </c>
      <c r="Z198" s="106">
        <f>+HLOOKUP($C198,BP!$AQ$2:$BC$250,98,0)</f>
        <v>0</v>
      </c>
      <c r="AA198" s="106">
        <f>+HLOOKUP($C198,BP!$AQ$2:$BC$250,99,0)</f>
        <v>0</v>
      </c>
      <c r="AB198" s="106">
        <f>+HLOOKUP($C198,BP!$AQ$2:$BC$250,100,0)</f>
        <v>0</v>
      </c>
      <c r="AC198" s="106">
        <f>+HLOOKUP($C198,BP!$AQ$2:$BC$250,101,0)</f>
        <v>0</v>
      </c>
      <c r="AD198" s="106">
        <f>+HLOOKUP($C198,BP!$AQ$2:$BC$250,104,0)</f>
        <v>0</v>
      </c>
      <c r="AE198" s="106">
        <f>+HLOOKUP($C198,BP!$AQ$2:$BC$250,105,0)</f>
        <v>0</v>
      </c>
      <c r="AF198" s="106">
        <f>+HLOOKUP($C198,BP!$AQ$2:$BC$250,106,0)</f>
        <v>0</v>
      </c>
      <c r="AG198" s="106">
        <f>+HLOOKUP($C198,BP!$AQ$2:$BC$250,107,0)</f>
        <v>0</v>
      </c>
      <c r="AH198" s="106">
        <f>+HLOOKUP($C198,BP!$AQ$2:$BC$250,108,0)</f>
        <v>0</v>
      </c>
      <c r="AI198" s="106">
        <f>+HLOOKUP($C198,BP!$AQ$2:$BC$250,109,0)</f>
        <v>970.56000000000063</v>
      </c>
      <c r="AJ198" s="106">
        <f>+HLOOKUP($C198,BP!$AQ$2:$BC$250,110,0)</f>
        <v>0</v>
      </c>
      <c r="AK198" s="106">
        <f>+HLOOKUP($C198,BP!$AQ$2:$BC$250,111,0)</f>
        <v>0</v>
      </c>
      <c r="AL198" s="106">
        <f>+HLOOKUP($C198,BP!$AQ$2:$BC$250,112,0)</f>
        <v>0</v>
      </c>
      <c r="AM198" s="106">
        <f>+HLOOKUP($C198,BP!$AQ$2:$BC$250,116,0)</f>
        <v>216198.91999999998</v>
      </c>
      <c r="AN198" s="106">
        <f>+HLOOKUP($C198,BP!$AQ$2:$BC$250,117,0)</f>
        <v>18360.2</v>
      </c>
      <c r="AO198" s="106">
        <f>+HLOOKUP($C198,BP!$AQ$2:$BC$250,118,0)</f>
        <v>2500</v>
      </c>
      <c r="AP198" s="106">
        <f>+HLOOKUP($C198,BP!$AQ$2:$BC$250,119,0)</f>
        <v>39303.64</v>
      </c>
      <c r="AQ198" s="106">
        <f>+HLOOKUP($C198,BP!$AQ$2:$BC$250,120,0)</f>
        <v>5420</v>
      </c>
      <c r="AR198" s="106">
        <f>+HLOOKUP($C198,BP!$AQ$2:$BC$250,121,0)</f>
        <v>2385.7600000000002</v>
      </c>
      <c r="AS198" s="106">
        <f>+HLOOKUP($C198,BP!$AQ$2:$BC$250,122,0)</f>
        <v>42282.44</v>
      </c>
      <c r="AT198" s="106">
        <f>+HLOOKUP($C198,BP!$AQ$2:$BC$250,123,0)</f>
        <v>18158.68</v>
      </c>
      <c r="AU198" s="106">
        <f>+HLOOKUP($C198,BP!$AQ$2:$BC$250,124,0)</f>
        <v>2559.08</v>
      </c>
      <c r="AV198" s="106">
        <f>+HLOOKUP($C198,BP!$AQ$2:$BC$250,125,0)</f>
        <v>58620</v>
      </c>
      <c r="AW198" s="106">
        <f>+HLOOKUP($C198,BP!$AQ$2:$BC$250,126,0)</f>
        <v>7056.7846153846158</v>
      </c>
      <c r="AX198" s="106">
        <f>+HLOOKUP($C198,BP!$AQ$2:$BC$250,127,0)</f>
        <v>11519.43</v>
      </c>
      <c r="AY198" s="106">
        <f>+HLOOKUP($C198,BP!$AQ$2:$BC$250,129,0)</f>
        <v>0</v>
      </c>
      <c r="AZ198" s="106">
        <f>+HLOOKUP($C198,BP!$AQ$2:$BC$250,130,0)</f>
        <v>0</v>
      </c>
      <c r="BA198" s="106">
        <f>+HLOOKUP($C198,BP!$AQ$2:$BC$250,131,0)</f>
        <v>0</v>
      </c>
      <c r="BB198" s="106">
        <f>+HLOOKUP($C198,BP!$AQ$2:$BC$250,133,0)</f>
        <v>0</v>
      </c>
      <c r="BC198" s="106">
        <f>+HLOOKUP($C198,BP!$AQ$2:$BC$250,134,0)</f>
        <v>20310.700800000002</v>
      </c>
      <c r="BD198" s="106">
        <f>+HLOOKUP($C198,BP!$AQ$2:$BC$250,135,0)</f>
        <v>0</v>
      </c>
      <c r="BE198" s="106">
        <f>+HLOOKUP($C198,BP!$AQ$2:$BC$250,136,0)</f>
        <v>0</v>
      </c>
      <c r="BF198" s="106">
        <f>+HLOOKUP($C198,BP!$AQ$2:$BC$250,138,0)</f>
        <v>3404.8799999999997</v>
      </c>
      <c r="BG198" s="106">
        <f>+HLOOKUP($C198,BP!$AQ$2:$BC$250,139,0)</f>
        <v>267.36</v>
      </c>
      <c r="BH198" s="106">
        <f>+HLOOKUP($C198,BP!$AQ$2:$BC$250,140,0)</f>
        <v>0</v>
      </c>
      <c r="BI198" s="106">
        <f>+HLOOKUP($C198,BP!$AQ$2:$BC$250,141,0)</f>
        <v>0</v>
      </c>
      <c r="BJ198" s="106">
        <f>+HLOOKUP($C198,BP!$AQ$2:$BC$250,142,0)</f>
        <v>0</v>
      </c>
      <c r="BK198" s="106">
        <f>+HLOOKUP($C198,BP!$AQ$2:$BC$250,143,0)</f>
        <v>17006.5</v>
      </c>
      <c r="BL198" s="106">
        <f>+HLOOKUP($C198,BP!$AQ$2:$BC$250,144,0)</f>
        <v>0</v>
      </c>
      <c r="BM198" s="106">
        <f>+HLOOKUP($C198,BP!$AQ$2:$BC$250,146,0)</f>
        <v>0</v>
      </c>
      <c r="BN198" s="106">
        <f>+HLOOKUP($C198,BP!$AQ$2:$BC$250,147,0)</f>
        <v>0</v>
      </c>
      <c r="BO198" s="106">
        <f>+HLOOKUP($C198,BP!$AQ$2:$BC$250,148,0)</f>
        <v>0</v>
      </c>
      <c r="BP198" s="106">
        <f>+HLOOKUP($C198,BP!$AQ$2:$BC$250,150,0)</f>
        <v>30521.200000000001</v>
      </c>
      <c r="BQ198" s="106">
        <f>+HLOOKUP($C198,BP!$AQ$2:$BC$250,151,0)</f>
        <v>0</v>
      </c>
      <c r="BR198" s="106">
        <f>+HLOOKUP($C198,BP!$AQ$2:$BC$250,152,0)</f>
        <v>0</v>
      </c>
      <c r="BS198" s="106">
        <f>+HLOOKUP($C198,BP!$AQ$2:$BC$250,153,0)</f>
        <v>0</v>
      </c>
      <c r="BT198" s="106">
        <f>+HLOOKUP($C198,BP!$AQ$2:$BC$250,157,0)</f>
        <v>0</v>
      </c>
      <c r="BU198" s="106">
        <f>+HLOOKUP($C198,BP!$AQ$2:$BC$250,158,0)</f>
        <v>0</v>
      </c>
      <c r="BV198" s="106">
        <f>+HLOOKUP($C198,BP!$AQ$2:$BC$250,159,0)</f>
        <v>0</v>
      </c>
      <c r="BW198" s="106">
        <f>+HLOOKUP($C198,BP!$AQ$2:$BC$250,160,0)</f>
        <v>12856</v>
      </c>
      <c r="BX198" s="106">
        <f>+HLOOKUP($C198,BP!$AQ$2:$BC$250,161,0)</f>
        <v>7714.76</v>
      </c>
      <c r="BY198" s="106">
        <f>+HLOOKUP($C198,BP!$AQ$2:$BC$250,164,0)</f>
        <v>2236.7656000000002</v>
      </c>
      <c r="BZ198" s="106">
        <f>+HLOOKUP($C198,BP!$AQ$2:$BC$250,165,0)</f>
        <v>0</v>
      </c>
      <c r="CA198" s="106">
        <f>+HLOOKUP($C198,BP!$AQ$2:$BC$250,166,0)</f>
        <v>0</v>
      </c>
      <c r="CB198" s="106">
        <f>+HLOOKUP($C198,BP!$AQ$2:$BC$250,167,0)</f>
        <v>0</v>
      </c>
      <c r="CC198" s="106">
        <f>+HLOOKUP($C198,BP!$AQ$2:$BC$250,168,0)</f>
        <v>0</v>
      </c>
      <c r="CD198" s="106">
        <f>+HLOOKUP($C198,BP!$AQ$2:$BC$250,169,0)</f>
        <v>60</v>
      </c>
      <c r="CE198" s="106">
        <f>+HLOOKUP($C198,BP!$AQ$2:$BC$250,170,0)</f>
        <v>0</v>
      </c>
      <c r="CF198" s="106">
        <f>+HLOOKUP($C198,BP!$AQ$2:$BC$250,172,0)</f>
        <v>21800</v>
      </c>
      <c r="CG198" s="106">
        <f>+HLOOKUP($C198,BP!$AQ$2:$BC$250,173,0)</f>
        <v>0</v>
      </c>
      <c r="CH198" s="106">
        <f>+HLOOKUP($C198,BP!$AQ$2:$BC$250,174,0)</f>
        <v>35540</v>
      </c>
      <c r="CI198" s="106">
        <f>+HLOOKUP($C198,BP!$AQ$2:$BC$250,175,0)</f>
        <v>4460</v>
      </c>
      <c r="CJ198" s="106">
        <f>+HLOOKUP($C198,BP!$AQ$2:$BC$250,176,0)</f>
        <v>2001.6000000000001</v>
      </c>
      <c r="CK198" s="106">
        <f>+HLOOKUP($C198,BP!$AQ$2:$BC$250,178,0)</f>
        <v>1130.6400000000001</v>
      </c>
      <c r="CL198" s="106">
        <f>+HLOOKUP($C198,BP!$AQ$2:$BC$250,179,0)</f>
        <v>0</v>
      </c>
      <c r="CM198" s="106">
        <f>+HLOOKUP($C198,BP!$AQ$2:$BC$250,180,0)</f>
        <v>0</v>
      </c>
      <c r="CN198" s="106">
        <f>+HLOOKUP($C198,BP!$AQ$2:$BC$250,182,0)</f>
        <v>0</v>
      </c>
      <c r="CO198" s="106">
        <f>+HLOOKUP($C198,BP!$AQ$2:$BC$250,183,0)</f>
        <v>399.6</v>
      </c>
      <c r="CP198" s="106">
        <f>+HLOOKUP($C198,BP!$AQ$2:$BC$250,184,0)</f>
        <v>0</v>
      </c>
      <c r="CQ198" s="106">
        <f>+HLOOKUP($C198,BP!$AQ$2:$BC$250,185,0)</f>
        <v>0</v>
      </c>
      <c r="CR198" s="106">
        <f>+HLOOKUP($C198,BP!$AQ$2:$BC$250,187,0)</f>
        <v>2499.9996000000006</v>
      </c>
      <c r="CS198" s="106">
        <f>+HLOOKUP($C198,BP!$AQ$2:$BC$250,188,0)</f>
        <v>1800</v>
      </c>
      <c r="CT198" s="106">
        <f>+HLOOKUP($C198,BP!$AQ$2:$BC$250,189,0)</f>
        <v>0</v>
      </c>
      <c r="CU198" s="106">
        <f>+HLOOKUP($C198,BP!$AQ$2:$BC$250,190,0)</f>
        <v>999.96</v>
      </c>
      <c r="CV198" s="106">
        <f>+HLOOKUP($C198,BP!$AQ$2:$BC$250,191,0)</f>
        <v>0</v>
      </c>
      <c r="CW198" s="106">
        <f>+HLOOKUP($C198,BP!$AQ$2:$BC$250,193,0)</f>
        <v>10593.2</v>
      </c>
      <c r="CX198" s="106">
        <f>+HLOOKUP($C198,BP!$AQ$2:$BC$250,194,0)</f>
        <v>31.8</v>
      </c>
      <c r="CY198" s="106">
        <f>+HLOOKUP($C198,BP!$AQ$2:$BC$250,195,0)</f>
        <v>0</v>
      </c>
      <c r="CZ198" s="106">
        <f>+HLOOKUP($C198,BP!$AQ$2:$BC$250,196,0)</f>
        <v>0</v>
      </c>
      <c r="DA198" s="106">
        <f>+HLOOKUP($C198,BP!$AQ$2:$BC$250,197,0)</f>
        <v>242.90879999999999</v>
      </c>
      <c r="DB198" s="106">
        <f>+HLOOKUP($C198,BP!$AQ$2:$BC$250,198,0)</f>
        <v>0</v>
      </c>
      <c r="DC198" s="106">
        <f>+HLOOKUP($C198,BP!$AQ$2:$BC$250,199,0)</f>
        <v>0</v>
      </c>
      <c r="DD198" s="106">
        <f>+HLOOKUP($C198,BP!$AQ$2:$BC$250,200,0)</f>
        <v>0</v>
      </c>
      <c r="DE198" s="106">
        <f>+HLOOKUP($C198,BP!$AQ$2:$BC$250,201,0)</f>
        <v>0</v>
      </c>
      <c r="DF198" s="106">
        <f>+HLOOKUP($C198,BP!$AQ$2:$BC$250,202,0)</f>
        <v>5.2380000000000004</v>
      </c>
      <c r="DG198" s="106">
        <f>+HLOOKUP($C198,BP!$AQ$2:$BC$250,203,0)</f>
        <v>0</v>
      </c>
      <c r="DH198" s="106">
        <f>+HLOOKUP($C198,BP!$AQ$2:$BC$250,205,0)</f>
        <v>0</v>
      </c>
      <c r="DI198" s="106">
        <f>+HLOOKUP($C198,BP!$AQ$2:$BC$250,206,0)</f>
        <v>6635.64</v>
      </c>
      <c r="DJ198" s="106">
        <f>+HLOOKUP($C198,BP!$AQ$2:$BC$250,207,0)</f>
        <v>393.66663589743115</v>
      </c>
      <c r="DK198" s="106">
        <f>+HLOOKUP($C198,BP!$AQ$2:$BC$250,209,0)</f>
        <v>100000</v>
      </c>
      <c r="DL198" s="106">
        <f>+HLOOKUP($C198,BP!$AQ$2:$BC$250,210,0)</f>
        <v>124106</v>
      </c>
      <c r="DM198" s="106">
        <f>+HLOOKUP($C198,BP!$AQ$2:$BC$250,211,0)</f>
        <v>0</v>
      </c>
      <c r="DN198" s="106">
        <f>+HLOOKUP($C198,BP!$AQ$2:$BC$250,212,0)</f>
        <v>0</v>
      </c>
      <c r="DO198" s="106">
        <f>+HLOOKUP($C198,BP!$AQ$2:$BC$250,214,0)</f>
        <v>0</v>
      </c>
      <c r="DP198" s="106">
        <f>+HLOOKUP($C198,BP!$AQ$2:$BC$250,215,0)</f>
        <v>0</v>
      </c>
      <c r="DQ198" s="106">
        <f>+HLOOKUP($C198,BP!$AQ$2:$BC$250,219,0)</f>
        <v>0</v>
      </c>
      <c r="DR198" s="106">
        <f>+HLOOKUP($C198,BP!$AQ$2:$BC$250,220,0)</f>
        <v>0</v>
      </c>
      <c r="DS198" s="106">
        <f>+HLOOKUP($C198,BP!$AQ$2:$BC$250,221,0)</f>
        <v>0</v>
      </c>
      <c r="DT198" s="106">
        <f>+HLOOKUP($C198,BP!$AQ$2:$BC$250,223,0)</f>
        <v>8971.3944000000029</v>
      </c>
      <c r="DU198" s="106">
        <f>+HLOOKUP($C198,BP!$AQ$2:$BC$250,224,0)</f>
        <v>0</v>
      </c>
      <c r="DV198" s="106">
        <f>+HLOOKUP($C198,BP!$AQ$2:$BC$250,225,0)</f>
        <v>0</v>
      </c>
      <c r="DW198" s="106">
        <f>+HLOOKUP($C198,BP!$AQ$2:$BC$250,227,0)</f>
        <v>0</v>
      </c>
      <c r="DX198" s="106">
        <f>+HLOOKUP($C198,BP!$AQ$2:$BC$250,228,0)</f>
        <v>5144.6400000000003</v>
      </c>
      <c r="DY198" s="106">
        <f>+HLOOKUP($C198,BP!$AQ$2:$BC$250,236,0)</f>
        <v>0</v>
      </c>
      <c r="DZ198" s="106">
        <f>+HLOOKUP($C198,BP!$AQ$2:$BC$250,237,0)</f>
        <v>25664.037519999998</v>
      </c>
      <c r="EA198" s="106">
        <f>+HLOOKUP($C198,BP!$AQ$2:$BC$250,238,0)</f>
        <v>0</v>
      </c>
      <c r="EB198" s="106">
        <f>+HLOOKUP($C198,BP!$AQ$2:$BC$250,240,0)</f>
        <v>454502.01520833332</v>
      </c>
    </row>
    <row r="199" spans="1:132">
      <c r="A199" t="s">
        <v>269</v>
      </c>
      <c r="B199" t="s">
        <v>218</v>
      </c>
      <c r="C199" s="117">
        <v>45474</v>
      </c>
      <c r="D199" s="106">
        <f t="shared" si="7"/>
        <v>8100789.6000000006</v>
      </c>
      <c r="E199" s="106">
        <f>+HLOOKUP(C199,BP!$AQ$2:$BC$250,28,0)+HLOOKUP(C199,BP!$AQ$2:$BC$250,43,0)+HLOOKUP(C199,BP!$AQ$2:$BC$250,44,0)+HLOOKUP(C199,BP!$AQ$2:$BC$250,45,0)+HLOOKUP(C199,BP!$AQ$2:$BC$250,54,0)+HLOOKUP(C199,BP!$AQ$2:$BC$250,59,0)</f>
        <v>8100789.6000000006</v>
      </c>
      <c r="F199" s="106">
        <f>+HLOOKUP(C199,BP!$AQ$2:$BC$250,37,0)+HLOOKUP(C199,BP!$AQ$2:$BC$250,55,0)</f>
        <v>4750286.2680000002</v>
      </c>
      <c r="G199" s="106">
        <f>+HLOOKUP($C199,BP!$AQ$2:$BC$250,76,0)</f>
        <v>0</v>
      </c>
      <c r="H199" s="106">
        <f>+HLOOKUP($C199,BP!$AQ$2:$BC$250,77,0)</f>
        <v>0</v>
      </c>
      <c r="I199" s="106">
        <f>+HLOOKUP($C199,BP!$AQ$2:$BC$250,78,0)</f>
        <v>0</v>
      </c>
      <c r="J199" s="106">
        <f>+HLOOKUP($C199,BP!$AQ$2:$BC$250,79,0)</f>
        <v>0</v>
      </c>
      <c r="K199" s="106">
        <f>+HLOOKUP($C199,BP!$AQ$2:$BC$250,80,0)</f>
        <v>0</v>
      </c>
      <c r="L199" s="106">
        <f>+HLOOKUP($C199,BP!$AQ$2:$BC$250,81,0)</f>
        <v>23609</v>
      </c>
      <c r="M199" s="106">
        <f>+HLOOKUP($C199,BP!$AQ$2:$BC$250,82,0)</f>
        <v>0</v>
      </c>
      <c r="N199" s="106">
        <f>+HLOOKUP($C199,BP!$AQ$2:$BC$250,83,0)</f>
        <v>0</v>
      </c>
      <c r="O199" s="106">
        <f>+HLOOKUP($C199,BP!$AQ$2:$BC$250,84,0)</f>
        <v>0</v>
      </c>
      <c r="P199" s="106">
        <f>+HLOOKUP($C199,BP!$AQ$2:$BC$250,85,0)</f>
        <v>0</v>
      </c>
      <c r="Q199" s="106">
        <f>+HLOOKUP($C199,BP!$AQ$2:$BC$250,87,0)</f>
        <v>135309.44000000006</v>
      </c>
      <c r="R199" s="106">
        <f>+HLOOKUP($C199,BP!$AQ$2:$BC$250,90,0)</f>
        <v>0</v>
      </c>
      <c r="S199" s="106">
        <f>+HLOOKUP($C199,BP!$AQ$2:$BC$250,91,0)</f>
        <v>0</v>
      </c>
      <c r="T199" s="106">
        <f>+HLOOKUP($C199,BP!$AQ$2:$BC$250,92,0)</f>
        <v>0</v>
      </c>
      <c r="U199" s="106">
        <f>+HLOOKUP($C199,BP!$AQ$2:$BC$250,93,0)</f>
        <v>0</v>
      </c>
      <c r="V199" s="106">
        <f>+HLOOKUP($C199,BP!$AQ$2:$BC$250,94,0)</f>
        <v>0</v>
      </c>
      <c r="W199" s="106">
        <f>+HLOOKUP($C199,BP!$AQ$2:$BC$250,95,0)</f>
        <v>0</v>
      </c>
      <c r="X199" s="106">
        <f>+HLOOKUP($C199,BP!$AQ$2:$BC$250,96,0)</f>
        <v>0</v>
      </c>
      <c r="Y199" s="106">
        <f>+HLOOKUP($C199,BP!$AQ$2:$BC$250,97,0)</f>
        <v>0</v>
      </c>
      <c r="Z199" s="106">
        <f>+HLOOKUP($C199,BP!$AQ$2:$BC$250,98,0)</f>
        <v>0</v>
      </c>
      <c r="AA199" s="106">
        <f>+HLOOKUP($C199,BP!$AQ$2:$BC$250,99,0)</f>
        <v>0</v>
      </c>
      <c r="AB199" s="106">
        <f>+HLOOKUP($C199,BP!$AQ$2:$BC$250,100,0)</f>
        <v>0</v>
      </c>
      <c r="AC199" s="106">
        <f>+HLOOKUP($C199,BP!$AQ$2:$BC$250,101,0)</f>
        <v>0</v>
      </c>
      <c r="AD199" s="106">
        <f>+HLOOKUP($C199,BP!$AQ$2:$BC$250,104,0)</f>
        <v>0</v>
      </c>
      <c r="AE199" s="106">
        <f>+HLOOKUP($C199,BP!$AQ$2:$BC$250,105,0)</f>
        <v>0</v>
      </c>
      <c r="AF199" s="106">
        <f>+HLOOKUP($C199,BP!$AQ$2:$BC$250,106,0)</f>
        <v>0</v>
      </c>
      <c r="AG199" s="106">
        <f>+HLOOKUP($C199,BP!$AQ$2:$BC$250,107,0)</f>
        <v>0</v>
      </c>
      <c r="AH199" s="106">
        <f>+HLOOKUP($C199,BP!$AQ$2:$BC$250,108,0)</f>
        <v>0</v>
      </c>
      <c r="AI199" s="106">
        <f>+HLOOKUP($C199,BP!$AQ$2:$BC$250,109,0)</f>
        <v>0</v>
      </c>
      <c r="AJ199" s="106">
        <f>+HLOOKUP($C199,BP!$AQ$2:$BC$250,110,0)</f>
        <v>0</v>
      </c>
      <c r="AK199" s="106">
        <f>+HLOOKUP($C199,BP!$AQ$2:$BC$250,111,0)</f>
        <v>0</v>
      </c>
      <c r="AL199" s="106">
        <f>+HLOOKUP($C199,BP!$AQ$2:$BC$250,112,0)</f>
        <v>0</v>
      </c>
      <c r="AM199" s="106">
        <f>+HLOOKUP($C199,BP!$AQ$2:$BC$250,116,0)</f>
        <v>105518.28</v>
      </c>
      <c r="AN199" s="106">
        <f>+HLOOKUP($C199,BP!$AQ$2:$BC$250,117,0)</f>
        <v>18491.599999999999</v>
      </c>
      <c r="AO199" s="106">
        <f>+HLOOKUP($C199,BP!$AQ$2:$BC$250,118,0)</f>
        <v>2500</v>
      </c>
      <c r="AP199" s="106">
        <f>+HLOOKUP($C199,BP!$AQ$2:$BC$250,119,0)</f>
        <v>36968</v>
      </c>
      <c r="AQ199" s="106">
        <f>+HLOOKUP($C199,BP!$AQ$2:$BC$250,120,0)</f>
        <v>5420</v>
      </c>
      <c r="AR199" s="106">
        <f>+HLOOKUP($C199,BP!$AQ$2:$BC$250,121,0)</f>
        <v>2440</v>
      </c>
      <c r="AS199" s="106">
        <f>+HLOOKUP($C199,BP!$AQ$2:$BC$250,122,0)</f>
        <v>50261.600000000006</v>
      </c>
      <c r="AT199" s="106">
        <f>+HLOOKUP($C199,BP!$AQ$2:$BC$250,123,0)</f>
        <v>18158.68</v>
      </c>
      <c r="AU199" s="106">
        <f>+HLOOKUP($C199,BP!$AQ$2:$BC$250,124,0)</f>
        <v>2559.08</v>
      </c>
      <c r="AV199" s="106">
        <f>+HLOOKUP($C199,BP!$AQ$2:$BC$250,125,0)</f>
        <v>58620</v>
      </c>
      <c r="AW199" s="106">
        <f>+HLOOKUP($C199,BP!$AQ$2:$BC$250,126,0)</f>
        <v>7056.7846153846158</v>
      </c>
      <c r="AX199" s="106">
        <f>+HLOOKUP($C199,BP!$AQ$2:$BC$250,127,0)</f>
        <v>11519.43</v>
      </c>
      <c r="AY199" s="106">
        <f>+HLOOKUP($C199,BP!$AQ$2:$BC$250,129,0)</f>
        <v>0</v>
      </c>
      <c r="AZ199" s="106">
        <f>+HLOOKUP($C199,BP!$AQ$2:$BC$250,130,0)</f>
        <v>0</v>
      </c>
      <c r="BA199" s="106">
        <f>+HLOOKUP($C199,BP!$AQ$2:$BC$250,131,0)</f>
        <v>0</v>
      </c>
      <c r="BB199" s="106">
        <f>+HLOOKUP($C199,BP!$AQ$2:$BC$250,133,0)</f>
        <v>0</v>
      </c>
      <c r="BC199" s="106">
        <f>+HLOOKUP($C199,BP!$AQ$2:$BC$250,134,0)</f>
        <v>420</v>
      </c>
      <c r="BD199" s="106">
        <f>+HLOOKUP($C199,BP!$AQ$2:$BC$250,135,0)</f>
        <v>0</v>
      </c>
      <c r="BE199" s="106">
        <f>+HLOOKUP($C199,BP!$AQ$2:$BC$250,136,0)</f>
        <v>0</v>
      </c>
      <c r="BF199" s="106">
        <f>+HLOOKUP($C199,BP!$AQ$2:$BC$250,138,0)</f>
        <v>3404.8799999999997</v>
      </c>
      <c r="BG199" s="106">
        <f>+HLOOKUP($C199,BP!$AQ$2:$BC$250,139,0)</f>
        <v>0</v>
      </c>
      <c r="BH199" s="106">
        <f>+HLOOKUP($C199,BP!$AQ$2:$BC$250,140,0)</f>
        <v>0</v>
      </c>
      <c r="BI199" s="106">
        <f>+HLOOKUP($C199,BP!$AQ$2:$BC$250,141,0)</f>
        <v>0</v>
      </c>
      <c r="BJ199" s="106">
        <f>+HLOOKUP($C199,BP!$AQ$2:$BC$250,142,0)</f>
        <v>0</v>
      </c>
      <c r="BK199" s="106">
        <f>+HLOOKUP($C199,BP!$AQ$2:$BC$250,143,0)</f>
        <v>17006.5</v>
      </c>
      <c r="BL199" s="106">
        <f>+HLOOKUP($C199,BP!$AQ$2:$BC$250,144,0)</f>
        <v>0</v>
      </c>
      <c r="BM199" s="106">
        <f>+HLOOKUP($C199,BP!$AQ$2:$BC$250,146,0)</f>
        <v>0</v>
      </c>
      <c r="BN199" s="106">
        <f>+HLOOKUP($C199,BP!$AQ$2:$BC$250,147,0)</f>
        <v>0</v>
      </c>
      <c r="BO199" s="106">
        <f>+HLOOKUP($C199,BP!$AQ$2:$BC$250,148,0)</f>
        <v>0</v>
      </c>
      <c r="BP199" s="106">
        <f>+HLOOKUP($C199,BP!$AQ$2:$BC$250,150,0)</f>
        <v>31194.400000000001</v>
      </c>
      <c r="BQ199" s="106">
        <f>+HLOOKUP($C199,BP!$AQ$2:$BC$250,151,0)</f>
        <v>0</v>
      </c>
      <c r="BR199" s="106">
        <f>+HLOOKUP($C199,BP!$AQ$2:$BC$250,152,0)</f>
        <v>0</v>
      </c>
      <c r="BS199" s="106">
        <f>+HLOOKUP($C199,BP!$AQ$2:$BC$250,153,0)</f>
        <v>0</v>
      </c>
      <c r="BT199" s="106">
        <f>+HLOOKUP($C199,BP!$AQ$2:$BC$250,157,0)</f>
        <v>0</v>
      </c>
      <c r="BU199" s="106">
        <f>+HLOOKUP($C199,BP!$AQ$2:$BC$250,158,0)</f>
        <v>0</v>
      </c>
      <c r="BV199" s="106">
        <f>+HLOOKUP($C199,BP!$AQ$2:$BC$250,159,0)</f>
        <v>0</v>
      </c>
      <c r="BW199" s="106">
        <f>+HLOOKUP($C199,BP!$AQ$2:$BC$250,160,0)</f>
        <v>0</v>
      </c>
      <c r="BX199" s="106">
        <f>+HLOOKUP($C199,BP!$AQ$2:$BC$250,161,0)</f>
        <v>7130</v>
      </c>
      <c r="BY199" s="106">
        <f>+HLOOKUP($C199,BP!$AQ$2:$BC$250,164,0)</f>
        <v>4953.22</v>
      </c>
      <c r="BZ199" s="106">
        <f>+HLOOKUP($C199,BP!$AQ$2:$BC$250,165,0)</f>
        <v>0</v>
      </c>
      <c r="CA199" s="106">
        <f>+HLOOKUP($C199,BP!$AQ$2:$BC$250,166,0)</f>
        <v>0</v>
      </c>
      <c r="CB199" s="106">
        <f>+HLOOKUP($C199,BP!$AQ$2:$BC$250,167,0)</f>
        <v>0</v>
      </c>
      <c r="CC199" s="106">
        <f>+HLOOKUP($C199,BP!$AQ$2:$BC$250,168,0)</f>
        <v>0</v>
      </c>
      <c r="CD199" s="106">
        <f>+HLOOKUP($C199,BP!$AQ$2:$BC$250,169,0)</f>
        <v>6354.6971999999996</v>
      </c>
      <c r="CE199" s="106">
        <f>+HLOOKUP($C199,BP!$AQ$2:$BC$250,170,0)</f>
        <v>0</v>
      </c>
      <c r="CF199" s="106">
        <f>+HLOOKUP($C199,BP!$AQ$2:$BC$250,172,0)</f>
        <v>21800</v>
      </c>
      <c r="CG199" s="106">
        <f>+HLOOKUP($C199,BP!$AQ$2:$BC$250,173,0)</f>
        <v>0</v>
      </c>
      <c r="CH199" s="106">
        <f>+HLOOKUP($C199,BP!$AQ$2:$BC$250,174,0)</f>
        <v>35540</v>
      </c>
      <c r="CI199" s="106">
        <f>+HLOOKUP($C199,BP!$AQ$2:$BC$250,175,0)</f>
        <v>4460</v>
      </c>
      <c r="CJ199" s="106">
        <f>+HLOOKUP($C199,BP!$AQ$2:$BC$250,176,0)</f>
        <v>2001.6000000000001</v>
      </c>
      <c r="CK199" s="106">
        <f>+HLOOKUP($C199,BP!$AQ$2:$BC$250,178,0)</f>
        <v>575.04</v>
      </c>
      <c r="CL199" s="106">
        <f>+HLOOKUP($C199,BP!$AQ$2:$BC$250,179,0)</f>
        <v>8622.4760000000006</v>
      </c>
      <c r="CM199" s="106">
        <f>+HLOOKUP($C199,BP!$AQ$2:$BC$250,180,0)</f>
        <v>0</v>
      </c>
      <c r="CN199" s="106">
        <f>+HLOOKUP($C199,BP!$AQ$2:$BC$250,182,0)</f>
        <v>0</v>
      </c>
      <c r="CO199" s="106">
        <f>+HLOOKUP($C199,BP!$AQ$2:$BC$250,183,0)</f>
        <v>9061.2000000000007</v>
      </c>
      <c r="CP199" s="106">
        <f>+HLOOKUP($C199,BP!$AQ$2:$BC$250,184,0)</f>
        <v>0</v>
      </c>
      <c r="CQ199" s="106">
        <f>+HLOOKUP($C199,BP!$AQ$2:$BC$250,185,0)</f>
        <v>0</v>
      </c>
      <c r="CR199" s="106">
        <f>+HLOOKUP($C199,BP!$AQ$2:$BC$250,187,0)</f>
        <v>2499.9999999999964</v>
      </c>
      <c r="CS199" s="106">
        <f>+HLOOKUP($C199,BP!$AQ$2:$BC$250,188,0)</f>
        <v>3180</v>
      </c>
      <c r="CT199" s="106">
        <f>+HLOOKUP($C199,BP!$AQ$2:$BC$250,189,0)</f>
        <v>0</v>
      </c>
      <c r="CU199" s="106">
        <f>+HLOOKUP($C199,BP!$AQ$2:$BC$250,190,0)</f>
        <v>999.99959999999999</v>
      </c>
      <c r="CV199" s="106">
        <f>+HLOOKUP($C199,BP!$AQ$2:$BC$250,191,0)</f>
        <v>0</v>
      </c>
      <c r="CW199" s="106">
        <f>+HLOOKUP($C199,BP!$AQ$2:$BC$250,193,0)</f>
        <v>10593.2</v>
      </c>
      <c r="CX199" s="106">
        <f>+HLOOKUP($C199,BP!$AQ$2:$BC$250,194,0)</f>
        <v>31.8</v>
      </c>
      <c r="CY199" s="106">
        <f>+HLOOKUP($C199,BP!$AQ$2:$BC$250,195,0)</f>
        <v>0</v>
      </c>
      <c r="CZ199" s="106">
        <f>+HLOOKUP($C199,BP!$AQ$2:$BC$250,196,0)</f>
        <v>0</v>
      </c>
      <c r="DA199" s="106">
        <f>+HLOOKUP($C199,BP!$AQ$2:$BC$250,197,0)</f>
        <v>1405.0800000000002</v>
      </c>
      <c r="DB199" s="106">
        <f>+HLOOKUP($C199,BP!$AQ$2:$BC$250,198,0)</f>
        <v>0</v>
      </c>
      <c r="DC199" s="106">
        <f>+HLOOKUP($C199,BP!$AQ$2:$BC$250,199,0)</f>
        <v>728.81600000000003</v>
      </c>
      <c r="DD199" s="106">
        <f>+HLOOKUP($C199,BP!$AQ$2:$BC$250,200,0)</f>
        <v>0</v>
      </c>
      <c r="DE199" s="106">
        <f>+HLOOKUP($C199,BP!$AQ$2:$BC$250,201,0)</f>
        <v>0</v>
      </c>
      <c r="DF199" s="106">
        <f>+HLOOKUP($C199,BP!$AQ$2:$BC$250,202,0)</f>
        <v>7.4904000000000002</v>
      </c>
      <c r="DG199" s="106">
        <f>+HLOOKUP($C199,BP!$AQ$2:$BC$250,203,0)</f>
        <v>0</v>
      </c>
      <c r="DH199" s="106">
        <f>+HLOOKUP($C199,BP!$AQ$2:$BC$250,205,0)</f>
        <v>0</v>
      </c>
      <c r="DI199" s="106">
        <f>+HLOOKUP($C199,BP!$AQ$2:$BC$250,206,0)</f>
        <v>6635.64</v>
      </c>
      <c r="DJ199" s="106">
        <f>+HLOOKUP($C199,BP!$AQ$2:$BC$250,207,0)</f>
        <v>719.13999960000001</v>
      </c>
      <c r="DK199" s="106">
        <f>+HLOOKUP($C199,BP!$AQ$2:$BC$250,209,0)</f>
        <v>100000</v>
      </c>
      <c r="DL199" s="106">
        <f>+HLOOKUP($C199,BP!$AQ$2:$BC$250,210,0)</f>
        <v>124106</v>
      </c>
      <c r="DM199" s="106">
        <f>+HLOOKUP($C199,BP!$AQ$2:$BC$250,211,0)</f>
        <v>0</v>
      </c>
      <c r="DN199" s="106">
        <f>+HLOOKUP($C199,BP!$AQ$2:$BC$250,212,0)</f>
        <v>0</v>
      </c>
      <c r="DO199" s="106">
        <f>+HLOOKUP($C199,BP!$AQ$2:$BC$250,214,0)</f>
        <v>0</v>
      </c>
      <c r="DP199" s="106">
        <f>+HLOOKUP($C199,BP!$AQ$2:$BC$250,215,0)</f>
        <v>0</v>
      </c>
      <c r="DQ199" s="106">
        <f>+HLOOKUP($C199,BP!$AQ$2:$BC$250,219,0)</f>
        <v>0</v>
      </c>
      <c r="DR199" s="106">
        <f>+HLOOKUP($C199,BP!$AQ$2:$BC$250,220,0)</f>
        <v>0</v>
      </c>
      <c r="DS199" s="106">
        <f>+HLOOKUP($C199,BP!$AQ$2:$BC$250,221,0)</f>
        <v>0</v>
      </c>
      <c r="DT199" s="106">
        <f>+HLOOKUP($C199,BP!$AQ$2:$BC$250,223,0)</f>
        <v>20702.155199999997</v>
      </c>
      <c r="DU199" s="106">
        <f>+HLOOKUP($C199,BP!$AQ$2:$BC$250,224,0)</f>
        <v>0</v>
      </c>
      <c r="DV199" s="106">
        <f>+HLOOKUP($C199,BP!$AQ$2:$BC$250,225,0)</f>
        <v>0</v>
      </c>
      <c r="DW199" s="106">
        <f>+HLOOKUP($C199,BP!$AQ$2:$BC$250,227,0)</f>
        <v>0</v>
      </c>
      <c r="DX199" s="106">
        <f>+HLOOKUP($C199,BP!$AQ$2:$BC$250,228,0)</f>
        <v>2989.08</v>
      </c>
      <c r="DY199" s="106">
        <f>+HLOOKUP($C199,BP!$AQ$2:$BC$250,236,0)</f>
        <v>0</v>
      </c>
      <c r="DZ199" s="106">
        <f>+HLOOKUP($C199,BP!$AQ$2:$BC$250,237,0)</f>
        <v>26816.933000000005</v>
      </c>
      <c r="EA199" s="106">
        <f>+HLOOKUP($C199,BP!$AQ$2:$BC$250,238,0)</f>
        <v>0</v>
      </c>
      <c r="EB199" s="106">
        <f>+HLOOKUP($C199,BP!$AQ$2:$BC$250,240,0)</f>
        <v>454502.01520833332</v>
      </c>
    </row>
    <row r="200" spans="1:132">
      <c r="A200" t="s">
        <v>269</v>
      </c>
      <c r="B200" t="s">
        <v>218</v>
      </c>
      <c r="C200" s="117">
        <v>45444</v>
      </c>
      <c r="D200" s="106">
        <f t="shared" si="7"/>
        <v>6850228.7199999997</v>
      </c>
      <c r="E200" s="106">
        <f>+HLOOKUP(C200,BP!$AQ$2:$BC$250,28,0)+HLOOKUP(C200,BP!$AQ$2:$BC$250,43,0)+HLOOKUP(C200,BP!$AQ$2:$BC$250,44,0)+HLOOKUP(C200,BP!$AQ$2:$BC$250,45,0)+HLOOKUP(C200,BP!$AQ$2:$BC$250,54,0)+HLOOKUP(C200,BP!$AQ$2:$BC$250,59,0)</f>
        <v>6850228.7199999997</v>
      </c>
      <c r="F200" s="106">
        <f>+HLOOKUP(C200,BP!$AQ$2:$BC$250,37,0)+HLOOKUP(C200,BP!$AQ$2:$BC$250,55,0)</f>
        <v>3971360.6919999998</v>
      </c>
      <c r="G200" s="106">
        <f>+HLOOKUP($C200,BP!$AQ$2:$BC$250,76,0)</f>
        <v>0</v>
      </c>
      <c r="H200" s="106">
        <f>+HLOOKUP($C200,BP!$AQ$2:$BC$250,77,0)</f>
        <v>0</v>
      </c>
      <c r="I200" s="106">
        <f>+HLOOKUP($C200,BP!$AQ$2:$BC$250,78,0)</f>
        <v>0</v>
      </c>
      <c r="J200" s="106">
        <f>+HLOOKUP($C200,BP!$AQ$2:$BC$250,79,0)</f>
        <v>0</v>
      </c>
      <c r="K200" s="106">
        <f>+HLOOKUP($C200,BP!$AQ$2:$BC$250,80,0)</f>
        <v>0</v>
      </c>
      <c r="L200" s="106">
        <f>+HLOOKUP($C200,BP!$AQ$2:$BC$250,81,0)</f>
        <v>9656</v>
      </c>
      <c r="M200" s="106">
        <f>+HLOOKUP($C200,BP!$AQ$2:$BC$250,82,0)</f>
        <v>0</v>
      </c>
      <c r="N200" s="106">
        <f>+HLOOKUP($C200,BP!$AQ$2:$BC$250,83,0)</f>
        <v>0</v>
      </c>
      <c r="O200" s="106">
        <f>+HLOOKUP($C200,BP!$AQ$2:$BC$250,84,0)</f>
        <v>0</v>
      </c>
      <c r="P200" s="106">
        <f>+HLOOKUP($C200,BP!$AQ$2:$BC$250,85,0)</f>
        <v>0</v>
      </c>
      <c r="Q200" s="106">
        <f>+HLOOKUP($C200,BP!$AQ$2:$BC$250,87,0)</f>
        <v>3656.12</v>
      </c>
      <c r="R200" s="106">
        <f>+HLOOKUP($C200,BP!$AQ$2:$BC$250,90,0)</f>
        <v>0</v>
      </c>
      <c r="S200" s="106">
        <f>+HLOOKUP($C200,BP!$AQ$2:$BC$250,91,0)</f>
        <v>0</v>
      </c>
      <c r="T200" s="106">
        <f>+HLOOKUP($C200,BP!$AQ$2:$BC$250,92,0)</f>
        <v>0</v>
      </c>
      <c r="U200" s="106">
        <f>+HLOOKUP($C200,BP!$AQ$2:$BC$250,93,0)</f>
        <v>0</v>
      </c>
      <c r="V200" s="106">
        <f>+HLOOKUP($C200,BP!$AQ$2:$BC$250,94,0)</f>
        <v>0</v>
      </c>
      <c r="W200" s="106">
        <f>+HLOOKUP($C200,BP!$AQ$2:$BC$250,95,0)</f>
        <v>0</v>
      </c>
      <c r="X200" s="106">
        <f>+HLOOKUP($C200,BP!$AQ$2:$BC$250,96,0)</f>
        <v>0</v>
      </c>
      <c r="Y200" s="106">
        <f>+HLOOKUP($C200,BP!$AQ$2:$BC$250,97,0)</f>
        <v>0</v>
      </c>
      <c r="Z200" s="106">
        <f>+HLOOKUP($C200,BP!$AQ$2:$BC$250,98,0)</f>
        <v>0</v>
      </c>
      <c r="AA200" s="106">
        <f>+HLOOKUP($C200,BP!$AQ$2:$BC$250,99,0)</f>
        <v>0</v>
      </c>
      <c r="AB200" s="106">
        <f>+HLOOKUP($C200,BP!$AQ$2:$BC$250,100,0)</f>
        <v>0</v>
      </c>
      <c r="AC200" s="106">
        <f>+HLOOKUP($C200,BP!$AQ$2:$BC$250,101,0)</f>
        <v>0</v>
      </c>
      <c r="AD200" s="106">
        <f>+HLOOKUP($C200,BP!$AQ$2:$BC$250,104,0)</f>
        <v>0</v>
      </c>
      <c r="AE200" s="106">
        <f>+HLOOKUP($C200,BP!$AQ$2:$BC$250,105,0)</f>
        <v>0</v>
      </c>
      <c r="AF200" s="106">
        <f>+HLOOKUP($C200,BP!$AQ$2:$BC$250,106,0)</f>
        <v>0</v>
      </c>
      <c r="AG200" s="106">
        <f>+HLOOKUP($C200,BP!$AQ$2:$BC$250,107,0)</f>
        <v>0</v>
      </c>
      <c r="AH200" s="106">
        <f>+HLOOKUP($C200,BP!$AQ$2:$BC$250,108,0)</f>
        <v>0</v>
      </c>
      <c r="AI200" s="106">
        <f>+HLOOKUP($C200,BP!$AQ$2:$BC$250,109,0)</f>
        <v>0</v>
      </c>
      <c r="AJ200" s="106">
        <f>+HLOOKUP($C200,BP!$AQ$2:$BC$250,110,0)</f>
        <v>0</v>
      </c>
      <c r="AK200" s="106">
        <f>+HLOOKUP($C200,BP!$AQ$2:$BC$250,111,0)</f>
        <v>0</v>
      </c>
      <c r="AL200" s="106">
        <f>+HLOOKUP($C200,BP!$AQ$2:$BC$250,112,0)</f>
        <v>0</v>
      </c>
      <c r="AM200" s="106">
        <f>+HLOOKUP($C200,BP!$AQ$2:$BC$250,116,0)</f>
        <v>91561.08</v>
      </c>
      <c r="AN200" s="106">
        <f>+HLOOKUP($C200,BP!$AQ$2:$BC$250,117,0)</f>
        <v>16676.8</v>
      </c>
      <c r="AO200" s="106">
        <f>+HLOOKUP($C200,BP!$AQ$2:$BC$250,118,0)</f>
        <v>2500</v>
      </c>
      <c r="AP200" s="106">
        <f>+HLOOKUP($C200,BP!$AQ$2:$BC$250,119,0)</f>
        <v>30878.799999999999</v>
      </c>
      <c r="AQ200" s="106">
        <f>+HLOOKUP($C200,BP!$AQ$2:$BC$250,120,0)</f>
        <v>4620</v>
      </c>
      <c r="AR200" s="106">
        <f>+HLOOKUP($C200,BP!$AQ$2:$BC$250,121,0)</f>
        <v>2440</v>
      </c>
      <c r="AS200" s="106">
        <f>+HLOOKUP($C200,BP!$AQ$2:$BC$250,122,0)</f>
        <v>44248.800000000003</v>
      </c>
      <c r="AT200" s="106">
        <f>+HLOOKUP($C200,BP!$AQ$2:$BC$250,123,0)</f>
        <v>18158.68</v>
      </c>
      <c r="AU200" s="106">
        <f>+HLOOKUP($C200,BP!$AQ$2:$BC$250,124,0)</f>
        <v>2559.08</v>
      </c>
      <c r="AV200" s="106">
        <f>+HLOOKUP($C200,BP!$AQ$2:$BC$250,125,0)</f>
        <v>58620</v>
      </c>
      <c r="AW200" s="106">
        <f>+HLOOKUP($C200,BP!$AQ$2:$BC$250,126,0)</f>
        <v>7056.7846153846158</v>
      </c>
      <c r="AX200" s="106">
        <f>+HLOOKUP($C200,BP!$AQ$2:$BC$250,127,0)</f>
        <v>11519.43</v>
      </c>
      <c r="AY200" s="106">
        <f>+HLOOKUP($C200,BP!$AQ$2:$BC$250,129,0)</f>
        <v>0</v>
      </c>
      <c r="AZ200" s="106">
        <f>+HLOOKUP($C200,BP!$AQ$2:$BC$250,130,0)</f>
        <v>0</v>
      </c>
      <c r="BA200" s="106">
        <f>+HLOOKUP($C200,BP!$AQ$2:$BC$250,131,0)</f>
        <v>0</v>
      </c>
      <c r="BB200" s="106">
        <f>+HLOOKUP($C200,BP!$AQ$2:$BC$250,133,0)</f>
        <v>0</v>
      </c>
      <c r="BC200" s="106">
        <f>+HLOOKUP($C200,BP!$AQ$2:$BC$250,134,0)</f>
        <v>840</v>
      </c>
      <c r="BD200" s="106">
        <f>+HLOOKUP($C200,BP!$AQ$2:$BC$250,135,0)</f>
        <v>0</v>
      </c>
      <c r="BE200" s="106">
        <f>+HLOOKUP($C200,BP!$AQ$2:$BC$250,136,0)</f>
        <v>0</v>
      </c>
      <c r="BF200" s="106">
        <f>+HLOOKUP($C200,BP!$AQ$2:$BC$250,138,0)</f>
        <v>3404.8799999999997</v>
      </c>
      <c r="BG200" s="106">
        <f>+HLOOKUP($C200,BP!$AQ$2:$BC$250,139,0)</f>
        <v>273.95999999999998</v>
      </c>
      <c r="BH200" s="106">
        <f>+HLOOKUP($C200,BP!$AQ$2:$BC$250,140,0)</f>
        <v>0</v>
      </c>
      <c r="BI200" s="106">
        <f>+HLOOKUP($C200,BP!$AQ$2:$BC$250,141,0)</f>
        <v>0</v>
      </c>
      <c r="BJ200" s="106">
        <f>+HLOOKUP($C200,BP!$AQ$2:$BC$250,142,0)</f>
        <v>0</v>
      </c>
      <c r="BK200" s="106">
        <f>+HLOOKUP($C200,BP!$AQ$2:$BC$250,143,0)</f>
        <v>17006.5</v>
      </c>
      <c r="BL200" s="106">
        <f>+HLOOKUP($C200,BP!$AQ$2:$BC$250,144,0)</f>
        <v>0</v>
      </c>
      <c r="BM200" s="106">
        <f>+HLOOKUP($C200,BP!$AQ$2:$BC$250,146,0)</f>
        <v>0</v>
      </c>
      <c r="BN200" s="106">
        <f>+HLOOKUP($C200,BP!$AQ$2:$BC$250,147,0)</f>
        <v>0</v>
      </c>
      <c r="BO200" s="106">
        <f>+HLOOKUP($C200,BP!$AQ$2:$BC$250,148,0)</f>
        <v>0</v>
      </c>
      <c r="BP200" s="106">
        <f>+HLOOKUP($C200,BP!$AQ$2:$BC$250,150,0)</f>
        <v>35018</v>
      </c>
      <c r="BQ200" s="106">
        <f>+HLOOKUP($C200,BP!$AQ$2:$BC$250,151,0)</f>
        <v>0</v>
      </c>
      <c r="BR200" s="106">
        <f>+HLOOKUP($C200,BP!$AQ$2:$BC$250,152,0)</f>
        <v>12800</v>
      </c>
      <c r="BS200" s="106">
        <f>+HLOOKUP($C200,BP!$AQ$2:$BC$250,153,0)</f>
        <v>0</v>
      </c>
      <c r="BT200" s="106">
        <f>+HLOOKUP($C200,BP!$AQ$2:$BC$250,157,0)</f>
        <v>0</v>
      </c>
      <c r="BU200" s="106">
        <f>+HLOOKUP($C200,BP!$AQ$2:$BC$250,158,0)</f>
        <v>0</v>
      </c>
      <c r="BV200" s="106">
        <f>+HLOOKUP($C200,BP!$AQ$2:$BC$250,159,0)</f>
        <v>0</v>
      </c>
      <c r="BW200" s="106">
        <f>+HLOOKUP($C200,BP!$AQ$2:$BC$250,160,0)</f>
        <v>0</v>
      </c>
      <c r="BX200" s="106">
        <f>+HLOOKUP($C200,BP!$AQ$2:$BC$250,161,0)</f>
        <v>7130</v>
      </c>
      <c r="BY200" s="106">
        <f>+HLOOKUP($C200,BP!$AQ$2:$BC$250,164,0)</f>
        <v>4330.5680000000002</v>
      </c>
      <c r="BZ200" s="106">
        <f>+HLOOKUP($C200,BP!$AQ$2:$BC$250,165,0)</f>
        <v>0</v>
      </c>
      <c r="CA200" s="106">
        <f>+HLOOKUP($C200,BP!$AQ$2:$BC$250,166,0)</f>
        <v>0</v>
      </c>
      <c r="CB200" s="106">
        <f>+HLOOKUP($C200,BP!$AQ$2:$BC$250,167,0)</f>
        <v>0</v>
      </c>
      <c r="CC200" s="106">
        <f>+HLOOKUP($C200,BP!$AQ$2:$BC$250,168,0)</f>
        <v>0</v>
      </c>
      <c r="CD200" s="106">
        <f>+HLOOKUP($C200,BP!$AQ$2:$BC$250,169,0)</f>
        <v>0</v>
      </c>
      <c r="CE200" s="106">
        <f>+HLOOKUP($C200,BP!$AQ$2:$BC$250,170,0)</f>
        <v>0</v>
      </c>
      <c r="CF200" s="106">
        <f>+HLOOKUP($C200,BP!$AQ$2:$BC$250,172,0)</f>
        <v>21800</v>
      </c>
      <c r="CG200" s="106">
        <f>+HLOOKUP($C200,BP!$AQ$2:$BC$250,173,0)</f>
        <v>0</v>
      </c>
      <c r="CH200" s="106">
        <f>+HLOOKUP($C200,BP!$AQ$2:$BC$250,174,0)</f>
        <v>35540</v>
      </c>
      <c r="CI200" s="106">
        <f>+HLOOKUP($C200,BP!$AQ$2:$BC$250,175,0)</f>
        <v>4460</v>
      </c>
      <c r="CJ200" s="106">
        <f>+HLOOKUP($C200,BP!$AQ$2:$BC$250,176,0)</f>
        <v>2001.6000000000001</v>
      </c>
      <c r="CK200" s="106">
        <f>+HLOOKUP($C200,BP!$AQ$2:$BC$250,178,0)</f>
        <v>58748.800000000003</v>
      </c>
      <c r="CL200" s="106">
        <f>+HLOOKUP($C200,BP!$AQ$2:$BC$250,179,0)</f>
        <v>0</v>
      </c>
      <c r="CM200" s="106">
        <f>+HLOOKUP($C200,BP!$AQ$2:$BC$250,180,0)</f>
        <v>0</v>
      </c>
      <c r="CN200" s="106">
        <f>+HLOOKUP($C200,BP!$AQ$2:$BC$250,182,0)</f>
        <v>0</v>
      </c>
      <c r="CO200" s="106">
        <f>+HLOOKUP($C200,BP!$AQ$2:$BC$250,183,0)</f>
        <v>2343.6</v>
      </c>
      <c r="CP200" s="106">
        <f>+HLOOKUP($C200,BP!$AQ$2:$BC$250,184,0)</f>
        <v>0</v>
      </c>
      <c r="CQ200" s="106">
        <f>+HLOOKUP($C200,BP!$AQ$2:$BC$250,185,0)</f>
        <v>0</v>
      </c>
      <c r="CR200" s="106">
        <f>+HLOOKUP($C200,BP!$AQ$2:$BC$250,187,0)</f>
        <v>2499.9999999999964</v>
      </c>
      <c r="CS200" s="106">
        <f>+HLOOKUP($C200,BP!$AQ$2:$BC$250,188,0)</f>
        <v>3180</v>
      </c>
      <c r="CT200" s="106">
        <f>+HLOOKUP($C200,BP!$AQ$2:$BC$250,189,0)</f>
        <v>0</v>
      </c>
      <c r="CU200" s="106">
        <f>+HLOOKUP($C200,BP!$AQ$2:$BC$250,190,0)</f>
        <v>999.99959999999999</v>
      </c>
      <c r="CV200" s="106">
        <f>+HLOOKUP($C200,BP!$AQ$2:$BC$250,191,0)</f>
        <v>0</v>
      </c>
      <c r="CW200" s="106">
        <f>+HLOOKUP($C200,BP!$AQ$2:$BC$250,193,0)</f>
        <v>10593.2</v>
      </c>
      <c r="CX200" s="106">
        <f>+HLOOKUP($C200,BP!$AQ$2:$BC$250,194,0)</f>
        <v>31.8</v>
      </c>
      <c r="CY200" s="106">
        <f>+HLOOKUP($C200,BP!$AQ$2:$BC$250,195,0)</f>
        <v>0</v>
      </c>
      <c r="CZ200" s="106">
        <f>+HLOOKUP($C200,BP!$AQ$2:$BC$250,196,0)</f>
        <v>0</v>
      </c>
      <c r="DA200" s="106">
        <f>+HLOOKUP($C200,BP!$AQ$2:$BC$250,197,0)</f>
        <v>0</v>
      </c>
      <c r="DB200" s="106">
        <f>+HLOOKUP($C200,BP!$AQ$2:$BC$250,198,0)</f>
        <v>2627.12</v>
      </c>
      <c r="DC200" s="106">
        <f>+HLOOKUP($C200,BP!$AQ$2:$BC$250,199,0)</f>
        <v>1200.8320000000001</v>
      </c>
      <c r="DD200" s="106">
        <f>+HLOOKUP($C200,BP!$AQ$2:$BC$250,200,0)</f>
        <v>0</v>
      </c>
      <c r="DE200" s="106">
        <f>+HLOOKUP($C200,BP!$AQ$2:$BC$250,201,0)</f>
        <v>0</v>
      </c>
      <c r="DF200" s="106">
        <f>+HLOOKUP($C200,BP!$AQ$2:$BC$250,202,0)</f>
        <v>0.32720000000000016</v>
      </c>
      <c r="DG200" s="106">
        <f>+HLOOKUP($C200,BP!$AQ$2:$BC$250,203,0)</f>
        <v>22.052400000000002</v>
      </c>
      <c r="DH200" s="106">
        <f>+HLOOKUP($C200,BP!$AQ$2:$BC$250,205,0)</f>
        <v>0</v>
      </c>
      <c r="DI200" s="106">
        <f>+HLOOKUP($C200,BP!$AQ$2:$BC$250,206,0)</f>
        <v>6635.64</v>
      </c>
      <c r="DJ200" s="106">
        <f>+HLOOKUP($C200,BP!$AQ$2:$BC$250,207,0)</f>
        <v>719.20199999999977</v>
      </c>
      <c r="DK200" s="106">
        <f>+HLOOKUP($C200,BP!$AQ$2:$BC$250,209,0)</f>
        <v>100000</v>
      </c>
      <c r="DL200" s="106">
        <f>+HLOOKUP($C200,BP!$AQ$2:$BC$250,210,0)</f>
        <v>124106.22</v>
      </c>
      <c r="DM200" s="106">
        <f>+HLOOKUP($C200,BP!$AQ$2:$BC$250,211,0)</f>
        <v>0</v>
      </c>
      <c r="DN200" s="106">
        <f>+HLOOKUP($C200,BP!$AQ$2:$BC$250,212,0)</f>
        <v>0</v>
      </c>
      <c r="DO200" s="106">
        <f>+HLOOKUP($C200,BP!$AQ$2:$BC$250,214,0)</f>
        <v>0</v>
      </c>
      <c r="DP200" s="106">
        <f>+HLOOKUP($C200,BP!$AQ$2:$BC$250,215,0)</f>
        <v>0</v>
      </c>
      <c r="DQ200" s="106">
        <f>+HLOOKUP($C200,BP!$AQ$2:$BC$250,219,0)</f>
        <v>0</v>
      </c>
      <c r="DR200" s="106">
        <f>+HLOOKUP($C200,BP!$AQ$2:$BC$250,220,0)</f>
        <v>0</v>
      </c>
      <c r="DS200" s="106">
        <f>+HLOOKUP($C200,BP!$AQ$2:$BC$250,221,0)</f>
        <v>0</v>
      </c>
      <c r="DT200" s="106">
        <f>+HLOOKUP($C200,BP!$AQ$2:$BC$250,223,0)</f>
        <v>11567.319600000001</v>
      </c>
      <c r="DU200" s="106">
        <f>+HLOOKUP($C200,BP!$AQ$2:$BC$250,224,0)</f>
        <v>0</v>
      </c>
      <c r="DV200" s="106">
        <f>+HLOOKUP($C200,BP!$AQ$2:$BC$250,225,0)</f>
        <v>0</v>
      </c>
      <c r="DW200" s="106">
        <f>+HLOOKUP($C200,BP!$AQ$2:$BC$250,227,0)</f>
        <v>0</v>
      </c>
      <c r="DX200" s="106">
        <f>+HLOOKUP($C200,BP!$AQ$2:$BC$250,228,0)</f>
        <v>3435.96</v>
      </c>
      <c r="DY200" s="106">
        <f>+HLOOKUP($C200,BP!$AQ$2:$BC$250,236,0)</f>
        <v>0</v>
      </c>
      <c r="DZ200" s="106">
        <f>+HLOOKUP($C200,BP!$AQ$2:$BC$250,237,0)</f>
        <v>24588.647160000004</v>
      </c>
      <c r="EA200" s="106">
        <f>+HLOOKUP($C200,BP!$AQ$2:$BC$250,238,0)</f>
        <v>0</v>
      </c>
      <c r="EB200" s="106">
        <f>+HLOOKUP($C200,BP!$AQ$2:$BC$250,240,0)</f>
        <v>454502.01520833332</v>
      </c>
    </row>
    <row r="201" spans="1:132">
      <c r="A201" t="s">
        <v>269</v>
      </c>
      <c r="B201" t="s">
        <v>218</v>
      </c>
      <c r="C201" s="117">
        <v>45413</v>
      </c>
      <c r="D201" s="106">
        <f t="shared" si="7"/>
        <v>3668484.1300000004</v>
      </c>
      <c r="E201" s="106">
        <f>+HLOOKUP(C201,BP!$AQ$2:$BC$250,28,0)+HLOOKUP(C201,BP!$AQ$2:$BC$250,43,0)+HLOOKUP(C201,BP!$AQ$2:$BC$250,44,0)+HLOOKUP(C201,BP!$AQ$2:$BC$250,45,0)+HLOOKUP(C201,BP!$AQ$2:$BC$250,54,0)+HLOOKUP(C201,BP!$AQ$2:$BC$250,59,0)</f>
        <v>3668484.1300000004</v>
      </c>
      <c r="F201" s="106">
        <f>+HLOOKUP(C201,BP!$AQ$2:$BC$250,37,0)+HLOOKUP(C201,BP!$AQ$2:$BC$250,55,0)</f>
        <v>2275500.2900000005</v>
      </c>
      <c r="G201" s="106">
        <f>+HLOOKUP($C201,BP!$AQ$2:$BC$250,76,0)</f>
        <v>0</v>
      </c>
      <c r="H201" s="106">
        <f>+HLOOKUP($C201,BP!$AQ$2:$BC$250,77,0)</f>
        <v>0</v>
      </c>
      <c r="I201" s="106">
        <f>+HLOOKUP($C201,BP!$AQ$2:$BC$250,78,0)</f>
        <v>0</v>
      </c>
      <c r="J201" s="106">
        <f>+HLOOKUP($C201,BP!$AQ$2:$BC$250,79,0)</f>
        <v>0</v>
      </c>
      <c r="K201" s="106">
        <f>+HLOOKUP($C201,BP!$AQ$2:$BC$250,80,0)</f>
        <v>0</v>
      </c>
      <c r="L201" s="106">
        <f>+HLOOKUP($C201,BP!$AQ$2:$BC$250,81,0)</f>
        <v>4475.78</v>
      </c>
      <c r="M201" s="106">
        <f>+HLOOKUP($C201,BP!$AQ$2:$BC$250,82,0)</f>
        <v>0</v>
      </c>
      <c r="N201" s="106">
        <f>+HLOOKUP($C201,BP!$AQ$2:$BC$250,83,0)</f>
        <v>0</v>
      </c>
      <c r="O201" s="106">
        <f>+HLOOKUP($C201,BP!$AQ$2:$BC$250,84,0)</f>
        <v>0</v>
      </c>
      <c r="P201" s="106">
        <f>+HLOOKUP($C201,BP!$AQ$2:$BC$250,85,0)</f>
        <v>0</v>
      </c>
      <c r="Q201" s="106">
        <f>+HLOOKUP($C201,BP!$AQ$2:$BC$250,87,0)</f>
        <v>124933.08</v>
      </c>
      <c r="R201" s="106">
        <f>+HLOOKUP($C201,BP!$AQ$2:$BC$250,90,0)</f>
        <v>0</v>
      </c>
      <c r="S201" s="106">
        <f>+HLOOKUP($C201,BP!$AQ$2:$BC$250,91,0)</f>
        <v>0</v>
      </c>
      <c r="T201" s="106">
        <f>+HLOOKUP($C201,BP!$AQ$2:$BC$250,92,0)</f>
        <v>0</v>
      </c>
      <c r="U201" s="106">
        <f>+HLOOKUP($C201,BP!$AQ$2:$BC$250,93,0)</f>
        <v>0</v>
      </c>
      <c r="V201" s="106">
        <f>+HLOOKUP($C201,BP!$AQ$2:$BC$250,94,0)</f>
        <v>0</v>
      </c>
      <c r="W201" s="106">
        <f>+HLOOKUP($C201,BP!$AQ$2:$BC$250,95,0)</f>
        <v>0</v>
      </c>
      <c r="X201" s="106">
        <f>+HLOOKUP($C201,BP!$AQ$2:$BC$250,96,0)</f>
        <v>0</v>
      </c>
      <c r="Y201" s="106">
        <f>+HLOOKUP($C201,BP!$AQ$2:$BC$250,97,0)</f>
        <v>0</v>
      </c>
      <c r="Z201" s="106">
        <f>+HLOOKUP($C201,BP!$AQ$2:$BC$250,98,0)</f>
        <v>0</v>
      </c>
      <c r="AA201" s="106">
        <f>+HLOOKUP($C201,BP!$AQ$2:$BC$250,99,0)</f>
        <v>0</v>
      </c>
      <c r="AB201" s="106">
        <f>+HLOOKUP($C201,BP!$AQ$2:$BC$250,100,0)</f>
        <v>0</v>
      </c>
      <c r="AC201" s="106">
        <f>+HLOOKUP($C201,BP!$AQ$2:$BC$250,101,0)</f>
        <v>0</v>
      </c>
      <c r="AD201" s="106">
        <f>+HLOOKUP($C201,BP!$AQ$2:$BC$250,104,0)</f>
        <v>0</v>
      </c>
      <c r="AE201" s="106">
        <f>+HLOOKUP($C201,BP!$AQ$2:$BC$250,105,0)</f>
        <v>0</v>
      </c>
      <c r="AF201" s="106">
        <f>+HLOOKUP($C201,BP!$AQ$2:$BC$250,106,0)</f>
        <v>0</v>
      </c>
      <c r="AG201" s="106">
        <f>+HLOOKUP($C201,BP!$AQ$2:$BC$250,107,0)</f>
        <v>30451.200000000001</v>
      </c>
      <c r="AH201" s="106">
        <f>+HLOOKUP($C201,BP!$AQ$2:$BC$250,108,0)</f>
        <v>0</v>
      </c>
      <c r="AI201" s="106">
        <f>+HLOOKUP($C201,BP!$AQ$2:$BC$250,109,0)</f>
        <v>0</v>
      </c>
      <c r="AJ201" s="106">
        <f>+HLOOKUP($C201,BP!$AQ$2:$BC$250,110,0)</f>
        <v>0</v>
      </c>
      <c r="AK201" s="106">
        <f>+HLOOKUP($C201,BP!$AQ$2:$BC$250,111,0)</f>
        <v>0</v>
      </c>
      <c r="AL201" s="106">
        <f>+HLOOKUP($C201,BP!$AQ$2:$BC$250,112,0)</f>
        <v>0</v>
      </c>
      <c r="AM201" s="106">
        <f>+HLOOKUP($C201,BP!$AQ$2:$BC$250,116,0)</f>
        <v>92950.28</v>
      </c>
      <c r="AN201" s="106">
        <f>+HLOOKUP($C201,BP!$AQ$2:$BC$250,117,0)</f>
        <v>17024.400000000001</v>
      </c>
      <c r="AO201" s="106">
        <f>+HLOOKUP($C201,BP!$AQ$2:$BC$250,118,0)</f>
        <v>2500</v>
      </c>
      <c r="AP201" s="106">
        <f>+HLOOKUP($C201,BP!$AQ$2:$BC$250,119,0)</f>
        <v>31154</v>
      </c>
      <c r="AQ201" s="106">
        <f>+HLOOKUP($C201,BP!$AQ$2:$BC$250,120,0)</f>
        <v>4620</v>
      </c>
      <c r="AR201" s="106">
        <f>+HLOOKUP($C201,BP!$AQ$2:$BC$250,121,0)</f>
        <v>2440</v>
      </c>
      <c r="AS201" s="106">
        <f>+HLOOKUP($C201,BP!$AQ$2:$BC$250,122,0)</f>
        <v>47334.8</v>
      </c>
      <c r="AT201" s="106">
        <f>+HLOOKUP($C201,BP!$AQ$2:$BC$250,123,0)</f>
        <v>18158.68</v>
      </c>
      <c r="AU201" s="106">
        <f>+HLOOKUP($C201,BP!$AQ$2:$BC$250,124,0)</f>
        <v>2559.08</v>
      </c>
      <c r="AV201" s="106">
        <f>+HLOOKUP($C201,BP!$AQ$2:$BC$250,125,0)</f>
        <v>29820</v>
      </c>
      <c r="AW201" s="106">
        <f>+HLOOKUP($C201,BP!$AQ$2:$BC$250,126,0)</f>
        <v>7056.7846153846158</v>
      </c>
      <c r="AX201" s="106">
        <f>+HLOOKUP($C201,BP!$AQ$2:$BC$250,127,0)</f>
        <v>11519.43</v>
      </c>
      <c r="AY201" s="106">
        <f>+HLOOKUP($C201,BP!$AQ$2:$BC$250,129,0)</f>
        <v>5684.16</v>
      </c>
      <c r="AZ201" s="106">
        <f>+HLOOKUP($C201,BP!$AQ$2:$BC$250,130,0)</f>
        <v>0</v>
      </c>
      <c r="BA201" s="106">
        <f>+HLOOKUP($C201,BP!$AQ$2:$BC$250,131,0)</f>
        <v>0</v>
      </c>
      <c r="BB201" s="106">
        <f>+HLOOKUP($C201,BP!$AQ$2:$BC$250,133,0)</f>
        <v>0</v>
      </c>
      <c r="BC201" s="106">
        <f>+HLOOKUP($C201,BP!$AQ$2:$BC$250,134,0)</f>
        <v>9869.1792000000005</v>
      </c>
      <c r="BD201" s="106">
        <f>+HLOOKUP($C201,BP!$AQ$2:$BC$250,135,0)</f>
        <v>0</v>
      </c>
      <c r="BE201" s="106">
        <f>+HLOOKUP($C201,BP!$AQ$2:$BC$250,136,0)</f>
        <v>0</v>
      </c>
      <c r="BF201" s="106">
        <f>+HLOOKUP($C201,BP!$AQ$2:$BC$250,138,0)</f>
        <v>3404.8799999999997</v>
      </c>
      <c r="BG201" s="106">
        <f>+HLOOKUP($C201,BP!$AQ$2:$BC$250,139,0)</f>
        <v>750.84</v>
      </c>
      <c r="BH201" s="106">
        <f>+HLOOKUP($C201,BP!$AQ$2:$BC$250,140,0)</f>
        <v>0</v>
      </c>
      <c r="BI201" s="106">
        <f>+HLOOKUP($C201,BP!$AQ$2:$BC$250,141,0)</f>
        <v>0</v>
      </c>
      <c r="BJ201" s="106">
        <f>+HLOOKUP($C201,BP!$AQ$2:$BC$250,142,0)</f>
        <v>0</v>
      </c>
      <c r="BK201" s="106">
        <f>+HLOOKUP($C201,BP!$AQ$2:$BC$250,143,0)</f>
        <v>17006.5</v>
      </c>
      <c r="BL201" s="106">
        <f>+HLOOKUP($C201,BP!$AQ$2:$BC$250,144,0)</f>
        <v>6115.96</v>
      </c>
      <c r="BM201" s="106">
        <f>+HLOOKUP($C201,BP!$AQ$2:$BC$250,146,0)</f>
        <v>0</v>
      </c>
      <c r="BN201" s="106">
        <f>+HLOOKUP($C201,BP!$AQ$2:$BC$250,147,0)</f>
        <v>0</v>
      </c>
      <c r="BO201" s="106">
        <f>+HLOOKUP($C201,BP!$AQ$2:$BC$250,148,0)</f>
        <v>0</v>
      </c>
      <c r="BP201" s="106">
        <f>+HLOOKUP($C201,BP!$AQ$2:$BC$250,150,0)</f>
        <v>35018</v>
      </c>
      <c r="BQ201" s="106">
        <f>+HLOOKUP($C201,BP!$AQ$2:$BC$250,151,0)</f>
        <v>0</v>
      </c>
      <c r="BR201" s="106">
        <f>+HLOOKUP($C201,BP!$AQ$2:$BC$250,152,0)</f>
        <v>12800</v>
      </c>
      <c r="BS201" s="106">
        <f>+HLOOKUP($C201,BP!$AQ$2:$BC$250,153,0)</f>
        <v>0</v>
      </c>
      <c r="BT201" s="106">
        <f>+HLOOKUP($C201,BP!$AQ$2:$BC$250,157,0)</f>
        <v>0</v>
      </c>
      <c r="BU201" s="106">
        <f>+HLOOKUP($C201,BP!$AQ$2:$BC$250,158,0)</f>
        <v>172.88160000000002</v>
      </c>
      <c r="BV201" s="106">
        <f>+HLOOKUP($C201,BP!$AQ$2:$BC$250,159,0)</f>
        <v>0</v>
      </c>
      <c r="BW201" s="106">
        <f>+HLOOKUP($C201,BP!$AQ$2:$BC$250,160,0)</f>
        <v>0</v>
      </c>
      <c r="BX201" s="106">
        <f>+HLOOKUP($C201,BP!$AQ$2:$BC$250,161,0)</f>
        <v>7130</v>
      </c>
      <c r="BY201" s="106">
        <f>+HLOOKUP($C201,BP!$AQ$2:$BC$250,164,0)</f>
        <v>5769.6080000000002</v>
      </c>
      <c r="BZ201" s="106">
        <f>+HLOOKUP($C201,BP!$AQ$2:$BC$250,165,0)</f>
        <v>766.452</v>
      </c>
      <c r="CA201" s="106">
        <f>+HLOOKUP($C201,BP!$AQ$2:$BC$250,166,0)</f>
        <v>0</v>
      </c>
      <c r="CB201" s="106">
        <f>+HLOOKUP($C201,BP!$AQ$2:$BC$250,167,0)</f>
        <v>0</v>
      </c>
      <c r="CC201" s="106">
        <f>+HLOOKUP($C201,BP!$AQ$2:$BC$250,168,0)</f>
        <v>0</v>
      </c>
      <c r="CD201" s="106">
        <f>+HLOOKUP($C201,BP!$AQ$2:$BC$250,169,0)</f>
        <v>427.73040000000003</v>
      </c>
      <c r="CE201" s="106">
        <f>+HLOOKUP($C201,BP!$AQ$2:$BC$250,170,0)</f>
        <v>0</v>
      </c>
      <c r="CF201" s="106">
        <f>+HLOOKUP($C201,BP!$AQ$2:$BC$250,172,0)</f>
        <v>21800</v>
      </c>
      <c r="CG201" s="106">
        <f>+HLOOKUP($C201,BP!$AQ$2:$BC$250,173,0)</f>
        <v>0</v>
      </c>
      <c r="CH201" s="106">
        <f>+HLOOKUP($C201,BP!$AQ$2:$BC$250,174,0)</f>
        <v>35540</v>
      </c>
      <c r="CI201" s="106">
        <f>+HLOOKUP($C201,BP!$AQ$2:$BC$250,175,0)</f>
        <v>4460</v>
      </c>
      <c r="CJ201" s="106">
        <f>+HLOOKUP($C201,BP!$AQ$2:$BC$250,176,0)</f>
        <v>2001.6000000000001</v>
      </c>
      <c r="CK201" s="106">
        <f>+HLOOKUP($C201,BP!$AQ$2:$BC$250,178,0)</f>
        <v>4254</v>
      </c>
      <c r="CL201" s="106">
        <f>+HLOOKUP($C201,BP!$AQ$2:$BC$250,179,0)</f>
        <v>0</v>
      </c>
      <c r="CM201" s="106">
        <f>+HLOOKUP($C201,BP!$AQ$2:$BC$250,180,0)</f>
        <v>0</v>
      </c>
      <c r="CN201" s="106">
        <f>+HLOOKUP($C201,BP!$AQ$2:$BC$250,182,0)</f>
        <v>491.40000000000003</v>
      </c>
      <c r="CO201" s="106">
        <f>+HLOOKUP($C201,BP!$AQ$2:$BC$250,183,0)</f>
        <v>2343.6</v>
      </c>
      <c r="CP201" s="106">
        <f>+HLOOKUP($C201,BP!$AQ$2:$BC$250,184,0)</f>
        <v>0</v>
      </c>
      <c r="CQ201" s="106">
        <f>+HLOOKUP($C201,BP!$AQ$2:$BC$250,185,0)</f>
        <v>0</v>
      </c>
      <c r="CR201" s="106">
        <f>+HLOOKUP($C201,BP!$AQ$2:$BC$250,187,0)</f>
        <v>2499.9999999999964</v>
      </c>
      <c r="CS201" s="106">
        <f>+HLOOKUP($C201,BP!$AQ$2:$BC$250,188,0)</f>
        <v>3180</v>
      </c>
      <c r="CT201" s="106">
        <f>+HLOOKUP($C201,BP!$AQ$2:$BC$250,189,0)</f>
        <v>0</v>
      </c>
      <c r="CU201" s="106">
        <f>+HLOOKUP($C201,BP!$AQ$2:$BC$250,190,0)</f>
        <v>999.99959999999999</v>
      </c>
      <c r="CV201" s="106">
        <f>+HLOOKUP($C201,BP!$AQ$2:$BC$250,191,0)</f>
        <v>0</v>
      </c>
      <c r="CW201" s="106">
        <f>+HLOOKUP($C201,BP!$AQ$2:$BC$250,193,0)</f>
        <v>10593.2</v>
      </c>
      <c r="CX201" s="106">
        <f>+HLOOKUP($C201,BP!$AQ$2:$BC$250,194,0)</f>
        <v>31.8</v>
      </c>
      <c r="CY201" s="106">
        <f>+HLOOKUP($C201,BP!$AQ$2:$BC$250,195,0)</f>
        <v>0</v>
      </c>
      <c r="CZ201" s="106">
        <f>+HLOOKUP($C201,BP!$AQ$2:$BC$250,196,0)</f>
        <v>0</v>
      </c>
      <c r="DA201" s="106">
        <f>+HLOOKUP($C201,BP!$AQ$2:$BC$250,197,0)</f>
        <v>129.6</v>
      </c>
      <c r="DB201" s="106">
        <f>+HLOOKUP($C201,BP!$AQ$2:$BC$250,198,0)</f>
        <v>5259.380000000001</v>
      </c>
      <c r="DC201" s="106">
        <f>+HLOOKUP($C201,BP!$AQ$2:$BC$250,199,0)</f>
        <v>542.37200000000007</v>
      </c>
      <c r="DD201" s="106">
        <f>+HLOOKUP($C201,BP!$AQ$2:$BC$250,200,0)</f>
        <v>0</v>
      </c>
      <c r="DE201" s="106">
        <f>+HLOOKUP($C201,BP!$AQ$2:$BC$250,201,0)</f>
        <v>0</v>
      </c>
      <c r="DF201" s="106">
        <f>+HLOOKUP($C201,BP!$AQ$2:$BC$250,202,0)</f>
        <v>-1.0531999999999999</v>
      </c>
      <c r="DG201" s="106">
        <f>+HLOOKUP($C201,BP!$AQ$2:$BC$250,203,0)</f>
        <v>2.7984</v>
      </c>
      <c r="DH201" s="106">
        <f>+HLOOKUP($C201,BP!$AQ$2:$BC$250,205,0)</f>
        <v>0</v>
      </c>
      <c r="DI201" s="106">
        <f>+HLOOKUP($C201,BP!$AQ$2:$BC$250,206,0)</f>
        <v>6635.64</v>
      </c>
      <c r="DJ201" s="106">
        <f>+HLOOKUP($C201,BP!$AQ$2:$BC$250,207,0)</f>
        <v>719.19000000000017</v>
      </c>
      <c r="DK201" s="106">
        <f>+HLOOKUP($C201,BP!$AQ$2:$BC$250,209,0)</f>
        <v>100000</v>
      </c>
      <c r="DL201" s="106">
        <f>+HLOOKUP($C201,BP!$AQ$2:$BC$250,210,0)</f>
        <v>118196.40000000001</v>
      </c>
      <c r="DM201" s="106">
        <f>+HLOOKUP($C201,BP!$AQ$2:$BC$250,211,0)</f>
        <v>0</v>
      </c>
      <c r="DN201" s="106">
        <f>+HLOOKUP($C201,BP!$AQ$2:$BC$250,212,0)</f>
        <v>0</v>
      </c>
      <c r="DO201" s="106">
        <f>+HLOOKUP($C201,BP!$AQ$2:$BC$250,214,0)</f>
        <v>0</v>
      </c>
      <c r="DP201" s="106">
        <f>+HLOOKUP($C201,BP!$AQ$2:$BC$250,215,0)</f>
        <v>0</v>
      </c>
      <c r="DQ201" s="106">
        <f>+HLOOKUP($C201,BP!$AQ$2:$BC$250,219,0)</f>
        <v>0</v>
      </c>
      <c r="DR201" s="106">
        <f>+HLOOKUP($C201,BP!$AQ$2:$BC$250,220,0)</f>
        <v>0</v>
      </c>
      <c r="DS201" s="106">
        <f>+HLOOKUP($C201,BP!$AQ$2:$BC$250,221,0)</f>
        <v>0</v>
      </c>
      <c r="DT201" s="106">
        <f>+HLOOKUP($C201,BP!$AQ$2:$BC$250,223,0)</f>
        <v>8444.032799999999</v>
      </c>
      <c r="DU201" s="106">
        <f>+HLOOKUP($C201,BP!$AQ$2:$BC$250,224,0)</f>
        <v>0</v>
      </c>
      <c r="DV201" s="106">
        <f>+HLOOKUP($C201,BP!$AQ$2:$BC$250,225,0)</f>
        <v>0</v>
      </c>
      <c r="DW201" s="106">
        <f>+HLOOKUP($C201,BP!$AQ$2:$BC$250,227,0)</f>
        <v>0</v>
      </c>
      <c r="DX201" s="106">
        <f>+HLOOKUP($C201,BP!$AQ$2:$BC$250,228,0)</f>
        <v>986.28</v>
      </c>
      <c r="DY201" s="106">
        <f>+HLOOKUP($C201,BP!$AQ$2:$BC$250,236,0)</f>
        <v>0</v>
      </c>
      <c r="DZ201" s="106">
        <f>+HLOOKUP($C201,BP!$AQ$2:$BC$250,237,0)</f>
        <v>26574.727960000004</v>
      </c>
      <c r="EA201" s="106">
        <f>+HLOOKUP($C201,BP!$AQ$2:$BC$250,238,0)</f>
        <v>0</v>
      </c>
      <c r="EB201" s="106">
        <f>+HLOOKUP($C201,BP!$AQ$2:$BC$250,240,0)</f>
        <v>454502.01520833332</v>
      </c>
    </row>
    <row r="202" spans="1:132">
      <c r="A202" t="s">
        <v>269</v>
      </c>
      <c r="B202" t="s">
        <v>218</v>
      </c>
      <c r="C202" s="117">
        <v>45383</v>
      </c>
      <c r="D202" s="106">
        <f t="shared" si="7"/>
        <v>7413276.96</v>
      </c>
      <c r="E202" s="106">
        <f>+HLOOKUP(C202,BP!$AQ$2:$BC$250,28,0)+HLOOKUP(C202,BP!$AQ$2:$BC$250,43,0)+HLOOKUP(C202,BP!$AQ$2:$BC$250,44,0)+HLOOKUP(C202,BP!$AQ$2:$BC$250,45,0)+HLOOKUP(C202,BP!$AQ$2:$BC$250,54,0)+HLOOKUP(C202,BP!$AQ$2:$BC$250,59,0)</f>
        <v>7413276.96</v>
      </c>
      <c r="F202" s="106">
        <f>+HLOOKUP(C202,BP!$AQ$2:$BC$250,37,0)+HLOOKUP(C202,BP!$AQ$2:$BC$250,55,0)</f>
        <v>4452846.0639999993</v>
      </c>
      <c r="G202" s="106">
        <f>+HLOOKUP($C202,BP!$AQ$2:$BC$250,76,0)</f>
        <v>0</v>
      </c>
      <c r="H202" s="106">
        <f>+HLOOKUP($C202,BP!$AQ$2:$BC$250,77,0)</f>
        <v>0</v>
      </c>
      <c r="I202" s="106">
        <f>+HLOOKUP($C202,BP!$AQ$2:$BC$250,78,0)</f>
        <v>0</v>
      </c>
      <c r="J202" s="106">
        <f>+HLOOKUP($C202,BP!$AQ$2:$BC$250,79,0)</f>
        <v>0</v>
      </c>
      <c r="K202" s="106">
        <f>+HLOOKUP($C202,BP!$AQ$2:$BC$250,80,0)</f>
        <v>0</v>
      </c>
      <c r="L202" s="106">
        <f>+HLOOKUP($C202,BP!$AQ$2:$BC$250,81,0)</f>
        <v>6146</v>
      </c>
      <c r="M202" s="106">
        <f>+HLOOKUP($C202,BP!$AQ$2:$BC$250,82,0)</f>
        <v>0</v>
      </c>
      <c r="N202" s="106">
        <f>+HLOOKUP($C202,BP!$AQ$2:$BC$250,83,0)</f>
        <v>0</v>
      </c>
      <c r="O202" s="106">
        <f>+HLOOKUP($C202,BP!$AQ$2:$BC$250,84,0)</f>
        <v>0</v>
      </c>
      <c r="P202" s="106">
        <f>+HLOOKUP($C202,BP!$AQ$2:$BC$250,85,0)</f>
        <v>0</v>
      </c>
      <c r="Q202" s="106">
        <f>+HLOOKUP($C202,BP!$AQ$2:$BC$250,87,0)</f>
        <v>162378.66800000001</v>
      </c>
      <c r="R202" s="106">
        <f>+HLOOKUP($C202,BP!$AQ$2:$BC$250,90,0)</f>
        <v>0</v>
      </c>
      <c r="S202" s="106">
        <f>+HLOOKUP($C202,BP!$AQ$2:$BC$250,91,0)</f>
        <v>0</v>
      </c>
      <c r="T202" s="106">
        <f>+HLOOKUP($C202,BP!$AQ$2:$BC$250,92,0)</f>
        <v>0</v>
      </c>
      <c r="U202" s="106">
        <f>+HLOOKUP($C202,BP!$AQ$2:$BC$250,93,0)</f>
        <v>0</v>
      </c>
      <c r="V202" s="106">
        <f>+HLOOKUP($C202,BP!$AQ$2:$BC$250,94,0)</f>
        <v>0</v>
      </c>
      <c r="W202" s="106">
        <f>+HLOOKUP($C202,BP!$AQ$2:$BC$250,95,0)</f>
        <v>0</v>
      </c>
      <c r="X202" s="106">
        <f>+HLOOKUP($C202,BP!$AQ$2:$BC$250,96,0)</f>
        <v>0</v>
      </c>
      <c r="Y202" s="106">
        <f>+HLOOKUP($C202,BP!$AQ$2:$BC$250,97,0)</f>
        <v>0</v>
      </c>
      <c r="Z202" s="106">
        <f>+HLOOKUP($C202,BP!$AQ$2:$BC$250,98,0)</f>
        <v>0</v>
      </c>
      <c r="AA202" s="106">
        <f>+HLOOKUP($C202,BP!$AQ$2:$BC$250,99,0)</f>
        <v>0</v>
      </c>
      <c r="AB202" s="106">
        <f>+HLOOKUP($C202,BP!$AQ$2:$BC$250,100,0)</f>
        <v>0</v>
      </c>
      <c r="AC202" s="106">
        <f>+HLOOKUP($C202,BP!$AQ$2:$BC$250,101,0)</f>
        <v>0</v>
      </c>
      <c r="AD202" s="106">
        <f>+HLOOKUP($C202,BP!$AQ$2:$BC$250,104,0)</f>
        <v>0</v>
      </c>
      <c r="AE202" s="106">
        <f>+HLOOKUP($C202,BP!$AQ$2:$BC$250,105,0)</f>
        <v>0</v>
      </c>
      <c r="AF202" s="106">
        <f>+HLOOKUP($C202,BP!$AQ$2:$BC$250,106,0)</f>
        <v>0</v>
      </c>
      <c r="AG202" s="106">
        <f>+HLOOKUP($C202,BP!$AQ$2:$BC$250,107,0)</f>
        <v>0</v>
      </c>
      <c r="AH202" s="106">
        <f>+HLOOKUP($C202,BP!$AQ$2:$BC$250,108,0)</f>
        <v>0</v>
      </c>
      <c r="AI202" s="106">
        <f>+HLOOKUP($C202,BP!$AQ$2:$BC$250,109,0)</f>
        <v>0</v>
      </c>
      <c r="AJ202" s="106">
        <f>+HLOOKUP($C202,BP!$AQ$2:$BC$250,110,0)</f>
        <v>0</v>
      </c>
      <c r="AK202" s="106">
        <f>+HLOOKUP($C202,BP!$AQ$2:$BC$250,111,0)</f>
        <v>0</v>
      </c>
      <c r="AL202" s="106">
        <f>+HLOOKUP($C202,BP!$AQ$2:$BC$250,112,0)</f>
        <v>0</v>
      </c>
      <c r="AM202" s="106">
        <f>+HLOOKUP($C202,BP!$AQ$2:$BC$250,116,0)</f>
        <v>101486.88</v>
      </c>
      <c r="AN202" s="106">
        <f>+HLOOKUP($C202,BP!$AQ$2:$BC$250,117,0)</f>
        <v>16018</v>
      </c>
      <c r="AO202" s="106">
        <f>+HLOOKUP($C202,BP!$AQ$2:$BC$250,118,0)</f>
        <v>2500</v>
      </c>
      <c r="AP202" s="106">
        <f>+HLOOKUP($C202,BP!$AQ$2:$BC$250,119,0)</f>
        <v>30612</v>
      </c>
      <c r="AQ202" s="106">
        <f>+HLOOKUP($C202,BP!$AQ$2:$BC$250,120,0)</f>
        <v>4620</v>
      </c>
      <c r="AR202" s="106">
        <f>+HLOOKUP($C202,BP!$AQ$2:$BC$250,121,0)</f>
        <v>2440</v>
      </c>
      <c r="AS202" s="106">
        <f>+HLOOKUP($C202,BP!$AQ$2:$BC$250,122,0)</f>
        <v>45602</v>
      </c>
      <c r="AT202" s="106">
        <f>+HLOOKUP($C202,BP!$AQ$2:$BC$250,123,0)</f>
        <v>18158.68</v>
      </c>
      <c r="AU202" s="106">
        <f>+HLOOKUP($C202,BP!$AQ$2:$BC$250,124,0)</f>
        <v>2403.36</v>
      </c>
      <c r="AV202" s="106">
        <f>+HLOOKUP($C202,BP!$AQ$2:$BC$250,125,0)</f>
        <v>77820</v>
      </c>
      <c r="AW202" s="106">
        <f>+HLOOKUP($C202,BP!$AQ$2:$BC$250,126,0)</f>
        <v>7056.7846153846158</v>
      </c>
      <c r="AX202" s="106">
        <f>+HLOOKUP($C202,BP!$AQ$2:$BC$250,127,0)</f>
        <v>11519.43</v>
      </c>
      <c r="AY202" s="106">
        <f>+HLOOKUP($C202,BP!$AQ$2:$BC$250,129,0)</f>
        <v>0</v>
      </c>
      <c r="AZ202" s="106">
        <f>+HLOOKUP($C202,BP!$AQ$2:$BC$250,130,0)</f>
        <v>0</v>
      </c>
      <c r="BA202" s="106">
        <f>+HLOOKUP($C202,BP!$AQ$2:$BC$250,131,0)</f>
        <v>0</v>
      </c>
      <c r="BB202" s="106">
        <f>+HLOOKUP($C202,BP!$AQ$2:$BC$250,133,0)</f>
        <v>0</v>
      </c>
      <c r="BC202" s="106">
        <f>+HLOOKUP($C202,BP!$AQ$2:$BC$250,134,0)</f>
        <v>3008.8415999999997</v>
      </c>
      <c r="BD202" s="106">
        <f>+HLOOKUP($C202,BP!$AQ$2:$BC$250,135,0)</f>
        <v>0</v>
      </c>
      <c r="BE202" s="106">
        <f>+HLOOKUP($C202,BP!$AQ$2:$BC$250,136,0)</f>
        <v>0</v>
      </c>
      <c r="BF202" s="106">
        <f>+HLOOKUP($C202,BP!$AQ$2:$BC$250,138,0)</f>
        <v>3404.8799999999997</v>
      </c>
      <c r="BG202" s="106">
        <f>+HLOOKUP($C202,BP!$AQ$2:$BC$250,139,0)</f>
        <v>0</v>
      </c>
      <c r="BH202" s="106">
        <f>+HLOOKUP($C202,BP!$AQ$2:$BC$250,140,0)</f>
        <v>0</v>
      </c>
      <c r="BI202" s="106">
        <f>+HLOOKUP($C202,BP!$AQ$2:$BC$250,141,0)</f>
        <v>0</v>
      </c>
      <c r="BJ202" s="106">
        <f>+HLOOKUP($C202,BP!$AQ$2:$BC$250,142,0)</f>
        <v>0</v>
      </c>
      <c r="BK202" s="106">
        <f>+HLOOKUP($C202,BP!$AQ$2:$BC$250,143,0)</f>
        <v>17006.5</v>
      </c>
      <c r="BL202" s="106">
        <f>+HLOOKUP($C202,BP!$AQ$2:$BC$250,144,0)</f>
        <v>0</v>
      </c>
      <c r="BM202" s="106">
        <f>+HLOOKUP($C202,BP!$AQ$2:$BC$250,146,0)</f>
        <v>0</v>
      </c>
      <c r="BN202" s="106">
        <f>+HLOOKUP($C202,BP!$AQ$2:$BC$250,147,0)</f>
        <v>0</v>
      </c>
      <c r="BO202" s="106">
        <f>+HLOOKUP($C202,BP!$AQ$2:$BC$250,148,0)</f>
        <v>0</v>
      </c>
      <c r="BP202" s="106">
        <f>+HLOOKUP($C202,BP!$AQ$2:$BC$250,150,0)</f>
        <v>28963.199999999997</v>
      </c>
      <c r="BQ202" s="106">
        <f>+HLOOKUP($C202,BP!$AQ$2:$BC$250,151,0)</f>
        <v>0</v>
      </c>
      <c r="BR202" s="106">
        <f>+HLOOKUP($C202,BP!$AQ$2:$BC$250,152,0)</f>
        <v>12800</v>
      </c>
      <c r="BS202" s="106">
        <f>+HLOOKUP($C202,BP!$AQ$2:$BC$250,153,0)</f>
        <v>0</v>
      </c>
      <c r="BT202" s="106">
        <f>+HLOOKUP($C202,BP!$AQ$2:$BC$250,157,0)</f>
        <v>0</v>
      </c>
      <c r="BU202" s="106">
        <f>+HLOOKUP($C202,BP!$AQ$2:$BC$250,158,0)</f>
        <v>0</v>
      </c>
      <c r="BV202" s="106">
        <f>+HLOOKUP($C202,BP!$AQ$2:$BC$250,159,0)</f>
        <v>0</v>
      </c>
      <c r="BW202" s="106">
        <f>+HLOOKUP($C202,BP!$AQ$2:$BC$250,160,0)</f>
        <v>12000</v>
      </c>
      <c r="BX202" s="106">
        <f>+HLOOKUP($C202,BP!$AQ$2:$BC$250,161,0)</f>
        <v>7130</v>
      </c>
      <c r="BY202" s="106">
        <f>+HLOOKUP($C202,BP!$AQ$2:$BC$250,164,0)</f>
        <v>480</v>
      </c>
      <c r="BZ202" s="106">
        <f>+HLOOKUP($C202,BP!$AQ$2:$BC$250,165,0)</f>
        <v>0</v>
      </c>
      <c r="CA202" s="106">
        <f>+HLOOKUP($C202,BP!$AQ$2:$BC$250,166,0)</f>
        <v>0</v>
      </c>
      <c r="CB202" s="106">
        <f>+HLOOKUP($C202,BP!$AQ$2:$BC$250,167,0)</f>
        <v>0</v>
      </c>
      <c r="CC202" s="106">
        <f>+HLOOKUP($C202,BP!$AQ$2:$BC$250,168,0)</f>
        <v>0</v>
      </c>
      <c r="CD202" s="106">
        <f>+HLOOKUP($C202,BP!$AQ$2:$BC$250,169,0)</f>
        <v>0</v>
      </c>
      <c r="CE202" s="106">
        <f>+HLOOKUP($C202,BP!$AQ$2:$BC$250,170,0)</f>
        <v>0</v>
      </c>
      <c r="CF202" s="106">
        <f>+HLOOKUP($C202,BP!$AQ$2:$BC$250,172,0)</f>
        <v>21800</v>
      </c>
      <c r="CG202" s="106">
        <f>+HLOOKUP($C202,BP!$AQ$2:$BC$250,173,0)</f>
        <v>0</v>
      </c>
      <c r="CH202" s="106">
        <f>+HLOOKUP($C202,BP!$AQ$2:$BC$250,174,0)</f>
        <v>35540</v>
      </c>
      <c r="CI202" s="106">
        <f>+HLOOKUP($C202,BP!$AQ$2:$BC$250,175,0)</f>
        <v>4460</v>
      </c>
      <c r="CJ202" s="106">
        <f>+HLOOKUP($C202,BP!$AQ$2:$BC$250,176,0)</f>
        <v>2001.6000000000001</v>
      </c>
      <c r="CK202" s="106">
        <f>+HLOOKUP($C202,BP!$AQ$2:$BC$250,178,0)</f>
        <v>71917</v>
      </c>
      <c r="CL202" s="106">
        <f>+HLOOKUP($C202,BP!$AQ$2:$BC$250,179,0)</f>
        <v>5090.2240000000002</v>
      </c>
      <c r="CM202" s="106">
        <f>+HLOOKUP($C202,BP!$AQ$2:$BC$250,180,0)</f>
        <v>0</v>
      </c>
      <c r="CN202" s="106">
        <f>+HLOOKUP($C202,BP!$AQ$2:$BC$250,182,0)</f>
        <v>491.40000000000003</v>
      </c>
      <c r="CO202" s="106">
        <f>+HLOOKUP($C202,BP!$AQ$2:$BC$250,183,0)</f>
        <v>2343.6</v>
      </c>
      <c r="CP202" s="106">
        <f>+HLOOKUP($C202,BP!$AQ$2:$BC$250,184,0)</f>
        <v>0</v>
      </c>
      <c r="CQ202" s="106">
        <f>+HLOOKUP($C202,BP!$AQ$2:$BC$250,185,0)</f>
        <v>0</v>
      </c>
      <c r="CR202" s="106">
        <f>+HLOOKUP($C202,BP!$AQ$2:$BC$250,187,0)</f>
        <v>2499.9999999999964</v>
      </c>
      <c r="CS202" s="106">
        <f>+HLOOKUP($C202,BP!$AQ$2:$BC$250,188,0)</f>
        <v>3180</v>
      </c>
      <c r="CT202" s="106">
        <f>+HLOOKUP($C202,BP!$AQ$2:$BC$250,189,0)</f>
        <v>0</v>
      </c>
      <c r="CU202" s="106">
        <f>+HLOOKUP($C202,BP!$AQ$2:$BC$250,190,0)</f>
        <v>999.99959999999999</v>
      </c>
      <c r="CV202" s="106">
        <f>+HLOOKUP($C202,BP!$AQ$2:$BC$250,191,0)</f>
        <v>0</v>
      </c>
      <c r="CW202" s="106">
        <f>+HLOOKUP($C202,BP!$AQ$2:$BC$250,193,0)</f>
        <v>10593.2</v>
      </c>
      <c r="CX202" s="106">
        <f>+HLOOKUP($C202,BP!$AQ$2:$BC$250,194,0)</f>
        <v>31.8</v>
      </c>
      <c r="CY202" s="106">
        <f>+HLOOKUP($C202,BP!$AQ$2:$BC$250,195,0)</f>
        <v>0</v>
      </c>
      <c r="CZ202" s="106">
        <f>+HLOOKUP($C202,BP!$AQ$2:$BC$250,196,0)</f>
        <v>0</v>
      </c>
      <c r="DA202" s="106">
        <f>+HLOOKUP($C202,BP!$AQ$2:$BC$250,197,0)</f>
        <v>925.00800000000004</v>
      </c>
      <c r="DB202" s="106">
        <f>+HLOOKUP($C202,BP!$AQ$2:$BC$250,198,0)</f>
        <v>0</v>
      </c>
      <c r="DC202" s="106">
        <f>+HLOOKUP($C202,BP!$AQ$2:$BC$250,199,0)</f>
        <v>0</v>
      </c>
      <c r="DD202" s="106">
        <f>+HLOOKUP($C202,BP!$AQ$2:$BC$250,200,0)</f>
        <v>0</v>
      </c>
      <c r="DE202" s="106">
        <f>+HLOOKUP($C202,BP!$AQ$2:$BC$250,201,0)</f>
        <v>0</v>
      </c>
      <c r="DF202" s="106">
        <f>+HLOOKUP($C202,BP!$AQ$2:$BC$250,202,0)</f>
        <v>0.72</v>
      </c>
      <c r="DG202" s="106">
        <f>+HLOOKUP($C202,BP!$AQ$2:$BC$250,203,0)</f>
        <v>5.28</v>
      </c>
      <c r="DH202" s="106">
        <f>+HLOOKUP($C202,BP!$AQ$2:$BC$250,205,0)</f>
        <v>0</v>
      </c>
      <c r="DI202" s="106">
        <f>+HLOOKUP($C202,BP!$AQ$2:$BC$250,206,0)</f>
        <v>6635.64</v>
      </c>
      <c r="DJ202" s="106">
        <f>+HLOOKUP($C202,BP!$AQ$2:$BC$250,207,0)</f>
        <v>719.19000000000017</v>
      </c>
      <c r="DK202" s="106">
        <f>+HLOOKUP($C202,BP!$AQ$2:$BC$250,209,0)</f>
        <v>100000</v>
      </c>
      <c r="DL202" s="106">
        <f>+HLOOKUP($C202,BP!$AQ$2:$BC$250,210,0)</f>
        <v>118196.40000000001</v>
      </c>
      <c r="DM202" s="106">
        <f>+HLOOKUP($C202,BP!$AQ$2:$BC$250,211,0)</f>
        <v>0</v>
      </c>
      <c r="DN202" s="106">
        <f>+HLOOKUP($C202,BP!$AQ$2:$BC$250,212,0)</f>
        <v>0</v>
      </c>
      <c r="DO202" s="106">
        <f>+HLOOKUP($C202,BP!$AQ$2:$BC$250,214,0)</f>
        <v>0</v>
      </c>
      <c r="DP202" s="106">
        <f>+HLOOKUP($C202,BP!$AQ$2:$BC$250,215,0)</f>
        <v>0</v>
      </c>
      <c r="DQ202" s="106">
        <f>+HLOOKUP($C202,BP!$AQ$2:$BC$250,219,0)</f>
        <v>0</v>
      </c>
      <c r="DR202" s="106">
        <f>+HLOOKUP($C202,BP!$AQ$2:$BC$250,220,0)</f>
        <v>0</v>
      </c>
      <c r="DS202" s="106">
        <f>+HLOOKUP($C202,BP!$AQ$2:$BC$250,221,0)</f>
        <v>0</v>
      </c>
      <c r="DT202" s="106">
        <f>+HLOOKUP($C202,BP!$AQ$2:$BC$250,223,0)</f>
        <v>9602.1108000000004</v>
      </c>
      <c r="DU202" s="106">
        <f>+HLOOKUP($C202,BP!$AQ$2:$BC$250,224,0)</f>
        <v>0</v>
      </c>
      <c r="DV202" s="106">
        <f>+HLOOKUP($C202,BP!$AQ$2:$BC$250,225,0)</f>
        <v>0</v>
      </c>
      <c r="DW202" s="106">
        <f>+HLOOKUP($C202,BP!$AQ$2:$BC$250,227,0)</f>
        <v>0</v>
      </c>
      <c r="DX202" s="106">
        <f>+HLOOKUP($C202,BP!$AQ$2:$BC$250,228,0)</f>
        <v>3277.4400000000005</v>
      </c>
      <c r="DY202" s="106">
        <f>+HLOOKUP($C202,BP!$AQ$2:$BC$250,236,0)</f>
        <v>0</v>
      </c>
      <c r="DZ202" s="106">
        <f>+HLOOKUP($C202,BP!$AQ$2:$BC$250,237,0)</f>
        <v>26884.750640000002</v>
      </c>
      <c r="EA202" s="106">
        <f>+HLOOKUP($C202,BP!$AQ$2:$BC$250,238,0)</f>
        <v>0</v>
      </c>
      <c r="EB202" s="106">
        <f>+HLOOKUP($C202,BP!$AQ$2:$BC$250,240,0)</f>
        <v>454502.01520833332</v>
      </c>
    </row>
    <row r="203" spans="1:132">
      <c r="A203" t="s">
        <v>269</v>
      </c>
      <c r="B203" t="s">
        <v>218</v>
      </c>
      <c r="C203" s="117">
        <v>45352</v>
      </c>
      <c r="D203" s="106">
        <f t="shared" si="7"/>
        <v>6999091.7000000002</v>
      </c>
      <c r="E203" s="106">
        <f>+HLOOKUP(C203,BP!$AQ$2:$BC$250,28,0)+HLOOKUP(C203,BP!$AQ$2:$BC$250,43,0)+HLOOKUP(C203,BP!$AQ$2:$BC$250,44,0)+HLOOKUP(C203,BP!$AQ$2:$BC$250,45,0)+HLOOKUP(C203,BP!$AQ$2:$BC$250,54,0)+HLOOKUP(C203,BP!$AQ$2:$BC$250,59,0)</f>
        <v>6999091.7000000002</v>
      </c>
      <c r="F203" s="106">
        <f>+HLOOKUP(C203,BP!$AQ$2:$BC$250,37,0)+HLOOKUP(C203,BP!$AQ$2:$BC$250,55,0)</f>
        <v>4319132.28</v>
      </c>
      <c r="G203" s="106">
        <f>+HLOOKUP($C203,BP!$AQ$2:$BC$250,76,0)</f>
        <v>0</v>
      </c>
      <c r="H203" s="106">
        <f>+HLOOKUP($C203,BP!$AQ$2:$BC$250,77,0)</f>
        <v>0</v>
      </c>
      <c r="I203" s="106">
        <f>+HLOOKUP($C203,BP!$AQ$2:$BC$250,78,0)</f>
        <v>0</v>
      </c>
      <c r="J203" s="106">
        <f>+HLOOKUP($C203,BP!$AQ$2:$BC$250,79,0)</f>
        <v>0</v>
      </c>
      <c r="K203" s="106">
        <f>+HLOOKUP($C203,BP!$AQ$2:$BC$250,80,0)</f>
        <v>0</v>
      </c>
      <c r="L203" s="106">
        <f>+HLOOKUP($C203,BP!$AQ$2:$BC$250,81,0)</f>
        <v>26023</v>
      </c>
      <c r="M203" s="106">
        <f>+HLOOKUP($C203,BP!$AQ$2:$BC$250,82,0)</f>
        <v>0</v>
      </c>
      <c r="N203" s="106">
        <f>+HLOOKUP($C203,BP!$AQ$2:$BC$250,83,0)</f>
        <v>0</v>
      </c>
      <c r="O203" s="106">
        <f>+HLOOKUP($C203,BP!$AQ$2:$BC$250,84,0)</f>
        <v>0</v>
      </c>
      <c r="P203" s="106">
        <f>+HLOOKUP($C203,BP!$AQ$2:$BC$250,85,0)</f>
        <v>0</v>
      </c>
      <c r="Q203" s="106">
        <f>+HLOOKUP($C203,BP!$AQ$2:$BC$250,87,0)</f>
        <v>49475.76</v>
      </c>
      <c r="R203" s="106">
        <f>+HLOOKUP($C203,BP!$AQ$2:$BC$250,90,0)</f>
        <v>0</v>
      </c>
      <c r="S203" s="106">
        <f>+HLOOKUP($C203,BP!$AQ$2:$BC$250,91,0)</f>
        <v>0</v>
      </c>
      <c r="T203" s="106">
        <f>+HLOOKUP($C203,BP!$AQ$2:$BC$250,92,0)</f>
        <v>0</v>
      </c>
      <c r="U203" s="106">
        <f>+HLOOKUP($C203,BP!$AQ$2:$BC$250,93,0)</f>
        <v>0</v>
      </c>
      <c r="V203" s="106">
        <f>+HLOOKUP($C203,BP!$AQ$2:$BC$250,94,0)</f>
        <v>0</v>
      </c>
      <c r="W203" s="106">
        <f>+HLOOKUP($C203,BP!$AQ$2:$BC$250,95,0)</f>
        <v>0</v>
      </c>
      <c r="X203" s="106">
        <f>+HLOOKUP($C203,BP!$AQ$2:$BC$250,96,0)</f>
        <v>0</v>
      </c>
      <c r="Y203" s="106">
        <f>+HLOOKUP($C203,BP!$AQ$2:$BC$250,97,0)</f>
        <v>0</v>
      </c>
      <c r="Z203" s="106">
        <f>+HLOOKUP($C203,BP!$AQ$2:$BC$250,98,0)</f>
        <v>0</v>
      </c>
      <c r="AA203" s="106">
        <f>+HLOOKUP($C203,BP!$AQ$2:$BC$250,99,0)</f>
        <v>0</v>
      </c>
      <c r="AB203" s="106">
        <f>+HLOOKUP($C203,BP!$AQ$2:$BC$250,100,0)</f>
        <v>0</v>
      </c>
      <c r="AC203" s="106">
        <f>+HLOOKUP($C203,BP!$AQ$2:$BC$250,101,0)</f>
        <v>0</v>
      </c>
      <c r="AD203" s="106">
        <f>+HLOOKUP($C203,BP!$AQ$2:$BC$250,104,0)</f>
        <v>0</v>
      </c>
      <c r="AE203" s="106">
        <f>+HLOOKUP($C203,BP!$AQ$2:$BC$250,105,0)</f>
        <v>0</v>
      </c>
      <c r="AF203" s="106">
        <f>+HLOOKUP($C203,BP!$AQ$2:$BC$250,106,0)</f>
        <v>0</v>
      </c>
      <c r="AG203" s="106">
        <f>+HLOOKUP($C203,BP!$AQ$2:$BC$250,107,0)</f>
        <v>0</v>
      </c>
      <c r="AH203" s="106">
        <f>+HLOOKUP($C203,BP!$AQ$2:$BC$250,108,0)</f>
        <v>0</v>
      </c>
      <c r="AI203" s="106">
        <f>+HLOOKUP($C203,BP!$AQ$2:$BC$250,109,0)</f>
        <v>0</v>
      </c>
      <c r="AJ203" s="106">
        <f>+HLOOKUP($C203,BP!$AQ$2:$BC$250,110,0)</f>
        <v>0</v>
      </c>
      <c r="AK203" s="106">
        <f>+HLOOKUP($C203,BP!$AQ$2:$BC$250,111,0)</f>
        <v>0</v>
      </c>
      <c r="AL203" s="106">
        <f>+HLOOKUP($C203,BP!$AQ$2:$BC$250,112,0)</f>
        <v>0</v>
      </c>
      <c r="AM203" s="106">
        <f>+HLOOKUP($C203,BP!$AQ$2:$BC$250,116,0)</f>
        <v>102986.88</v>
      </c>
      <c r="AN203" s="106">
        <f>+HLOOKUP($C203,BP!$AQ$2:$BC$250,117,0)</f>
        <v>16330</v>
      </c>
      <c r="AO203" s="106">
        <f>+HLOOKUP($C203,BP!$AQ$2:$BC$250,118,0)</f>
        <v>2500</v>
      </c>
      <c r="AP203" s="106">
        <f>+HLOOKUP($C203,BP!$AQ$2:$BC$250,119,0)</f>
        <v>30900</v>
      </c>
      <c r="AQ203" s="106">
        <f>+HLOOKUP($C203,BP!$AQ$2:$BC$250,120,0)</f>
        <v>4860</v>
      </c>
      <c r="AR203" s="106">
        <f>+HLOOKUP($C203,BP!$AQ$2:$BC$250,121,0)</f>
        <v>2440</v>
      </c>
      <c r="AS203" s="106">
        <f>+HLOOKUP($C203,BP!$AQ$2:$BC$250,122,0)</f>
        <v>46442</v>
      </c>
      <c r="AT203" s="106">
        <f>+HLOOKUP($C203,BP!$AQ$2:$BC$250,123,0)</f>
        <v>20993.439999999999</v>
      </c>
      <c r="AU203" s="106">
        <f>+HLOOKUP($C203,BP!$AQ$2:$BC$250,124,0)</f>
        <v>2403.36</v>
      </c>
      <c r="AV203" s="106">
        <f>+HLOOKUP($C203,BP!$AQ$2:$BC$250,125,0)</f>
        <v>77760</v>
      </c>
      <c r="AW203" s="106">
        <f>+HLOOKUP($C203,BP!$AQ$2:$BC$250,126,0)</f>
        <v>7056.7846153846158</v>
      </c>
      <c r="AX203" s="106">
        <f>+HLOOKUP($C203,BP!$AQ$2:$BC$250,127,0)</f>
        <v>11519.43</v>
      </c>
      <c r="AY203" s="106">
        <f>+HLOOKUP($C203,BP!$AQ$2:$BC$250,129,0)</f>
        <v>0</v>
      </c>
      <c r="AZ203" s="106">
        <f>+HLOOKUP($C203,BP!$AQ$2:$BC$250,130,0)</f>
        <v>0</v>
      </c>
      <c r="BA203" s="106">
        <f>+HLOOKUP($C203,BP!$AQ$2:$BC$250,131,0)</f>
        <v>0</v>
      </c>
      <c r="BB203" s="106">
        <f>+HLOOKUP($C203,BP!$AQ$2:$BC$250,133,0)</f>
        <v>0</v>
      </c>
      <c r="BC203" s="106">
        <f>+HLOOKUP($C203,BP!$AQ$2:$BC$250,134,0)</f>
        <v>0</v>
      </c>
      <c r="BD203" s="106">
        <f>+HLOOKUP($C203,BP!$AQ$2:$BC$250,135,0)</f>
        <v>0</v>
      </c>
      <c r="BE203" s="106">
        <f>+HLOOKUP($C203,BP!$AQ$2:$BC$250,136,0)</f>
        <v>0</v>
      </c>
      <c r="BF203" s="106">
        <f>+HLOOKUP($C203,BP!$AQ$2:$BC$250,138,0)</f>
        <v>3404.8799999999997</v>
      </c>
      <c r="BG203" s="106">
        <f>+HLOOKUP($C203,BP!$AQ$2:$BC$250,139,0)</f>
        <v>196.56</v>
      </c>
      <c r="BH203" s="106">
        <f>+HLOOKUP($C203,BP!$AQ$2:$BC$250,140,0)</f>
        <v>0</v>
      </c>
      <c r="BI203" s="106">
        <f>+HLOOKUP($C203,BP!$AQ$2:$BC$250,141,0)</f>
        <v>0</v>
      </c>
      <c r="BJ203" s="106">
        <f>+HLOOKUP($C203,BP!$AQ$2:$BC$250,142,0)</f>
        <v>0</v>
      </c>
      <c r="BK203" s="106">
        <f>+HLOOKUP($C203,BP!$AQ$2:$BC$250,143,0)</f>
        <v>17006.5</v>
      </c>
      <c r="BL203" s="106">
        <f>+HLOOKUP($C203,BP!$AQ$2:$BC$250,144,0)</f>
        <v>0</v>
      </c>
      <c r="BM203" s="106">
        <f>+HLOOKUP($C203,BP!$AQ$2:$BC$250,146,0)</f>
        <v>0</v>
      </c>
      <c r="BN203" s="106">
        <f>+HLOOKUP($C203,BP!$AQ$2:$BC$250,147,0)</f>
        <v>0</v>
      </c>
      <c r="BO203" s="106">
        <f>+HLOOKUP($C203,BP!$AQ$2:$BC$250,148,0)</f>
        <v>0</v>
      </c>
      <c r="BP203" s="106">
        <f>+HLOOKUP($C203,BP!$AQ$2:$BC$250,150,0)</f>
        <v>32866</v>
      </c>
      <c r="BQ203" s="106">
        <f>+HLOOKUP($C203,BP!$AQ$2:$BC$250,151,0)</f>
        <v>0</v>
      </c>
      <c r="BR203" s="106">
        <f>+HLOOKUP($C203,BP!$AQ$2:$BC$250,152,0)</f>
        <v>12800</v>
      </c>
      <c r="BS203" s="106">
        <f>+HLOOKUP($C203,BP!$AQ$2:$BC$250,153,0)</f>
        <v>0</v>
      </c>
      <c r="BT203" s="106">
        <f>+HLOOKUP($C203,BP!$AQ$2:$BC$250,157,0)</f>
        <v>0</v>
      </c>
      <c r="BU203" s="106">
        <f>+HLOOKUP($C203,BP!$AQ$2:$BC$250,158,0)</f>
        <v>0</v>
      </c>
      <c r="BV203" s="106">
        <f>+HLOOKUP($C203,BP!$AQ$2:$BC$250,159,0)</f>
        <v>0</v>
      </c>
      <c r="BW203" s="106">
        <f>+HLOOKUP($C203,BP!$AQ$2:$BC$250,160,0)</f>
        <v>0</v>
      </c>
      <c r="BX203" s="106">
        <f>+HLOOKUP($C203,BP!$AQ$2:$BC$250,161,0)</f>
        <v>8273</v>
      </c>
      <c r="BY203" s="106">
        <f>+HLOOKUP($C203,BP!$AQ$2:$BC$250,164,0)</f>
        <v>3565.096</v>
      </c>
      <c r="BZ203" s="106">
        <f>+HLOOKUP($C203,BP!$AQ$2:$BC$250,165,0)</f>
        <v>0</v>
      </c>
      <c r="CA203" s="106">
        <f>+HLOOKUP($C203,BP!$AQ$2:$BC$250,166,0)</f>
        <v>0</v>
      </c>
      <c r="CB203" s="106">
        <f>+HLOOKUP($C203,BP!$AQ$2:$BC$250,167,0)</f>
        <v>0</v>
      </c>
      <c r="CC203" s="106">
        <f>+HLOOKUP($C203,BP!$AQ$2:$BC$250,168,0)</f>
        <v>0</v>
      </c>
      <c r="CD203" s="106">
        <f>+HLOOKUP($C203,BP!$AQ$2:$BC$250,169,0)</f>
        <v>0</v>
      </c>
      <c r="CE203" s="106">
        <f>+HLOOKUP($C203,BP!$AQ$2:$BC$250,170,0)</f>
        <v>0</v>
      </c>
      <c r="CF203" s="106">
        <f>+HLOOKUP($C203,BP!$AQ$2:$BC$250,172,0)</f>
        <v>21800</v>
      </c>
      <c r="CG203" s="106">
        <f>+HLOOKUP($C203,BP!$AQ$2:$BC$250,173,0)</f>
        <v>0</v>
      </c>
      <c r="CH203" s="106">
        <f>+HLOOKUP($C203,BP!$AQ$2:$BC$250,174,0)</f>
        <v>33035.967199999919</v>
      </c>
      <c r="CI203" s="106">
        <f>+HLOOKUP($C203,BP!$AQ$2:$BC$250,175,0)</f>
        <v>3945.5200000000082</v>
      </c>
      <c r="CJ203" s="106">
        <f>+HLOOKUP($C203,BP!$AQ$2:$BC$250,176,0)</f>
        <v>709.15320000000031</v>
      </c>
      <c r="CK203" s="106">
        <f>+HLOOKUP($C203,BP!$AQ$2:$BC$250,178,0)</f>
        <v>69438.013600000006</v>
      </c>
      <c r="CL203" s="106">
        <f>+HLOOKUP($C203,BP!$AQ$2:$BC$250,179,0)</f>
        <v>0</v>
      </c>
      <c r="CM203" s="106">
        <f>+HLOOKUP($C203,BP!$AQ$2:$BC$250,180,0)</f>
        <v>0</v>
      </c>
      <c r="CN203" s="106">
        <f>+HLOOKUP($C203,BP!$AQ$2:$BC$250,182,0)</f>
        <v>491.40000000000003</v>
      </c>
      <c r="CO203" s="106">
        <f>+HLOOKUP($C203,BP!$AQ$2:$BC$250,183,0)</f>
        <v>8343.6</v>
      </c>
      <c r="CP203" s="106">
        <f>+HLOOKUP($C203,BP!$AQ$2:$BC$250,184,0)</f>
        <v>0</v>
      </c>
      <c r="CQ203" s="106">
        <f>+HLOOKUP($C203,BP!$AQ$2:$BC$250,185,0)</f>
        <v>0</v>
      </c>
      <c r="CR203" s="106">
        <f>+HLOOKUP($C203,BP!$AQ$2:$BC$250,187,0)</f>
        <v>2499.9999999999964</v>
      </c>
      <c r="CS203" s="106">
        <f>+HLOOKUP($C203,BP!$AQ$2:$BC$250,188,0)</f>
        <v>3180</v>
      </c>
      <c r="CT203" s="106">
        <f>+HLOOKUP($C203,BP!$AQ$2:$BC$250,189,0)</f>
        <v>0</v>
      </c>
      <c r="CU203" s="106">
        <f>+HLOOKUP($C203,BP!$AQ$2:$BC$250,190,0)</f>
        <v>999.99959999999999</v>
      </c>
      <c r="CV203" s="106">
        <f>+HLOOKUP($C203,BP!$AQ$2:$BC$250,191,0)</f>
        <v>0</v>
      </c>
      <c r="CW203" s="106">
        <f>+HLOOKUP($C203,BP!$AQ$2:$BC$250,193,0)</f>
        <v>10593.2</v>
      </c>
      <c r="CX203" s="106">
        <f>+HLOOKUP($C203,BP!$AQ$2:$BC$250,194,0)</f>
        <v>31.8</v>
      </c>
      <c r="CY203" s="106">
        <f>+HLOOKUP($C203,BP!$AQ$2:$BC$250,195,0)</f>
        <v>0</v>
      </c>
      <c r="CZ203" s="106">
        <f>+HLOOKUP($C203,BP!$AQ$2:$BC$250,196,0)</f>
        <v>0</v>
      </c>
      <c r="DA203" s="106">
        <f>+HLOOKUP($C203,BP!$AQ$2:$BC$250,197,0)</f>
        <v>456</v>
      </c>
      <c r="DB203" s="106">
        <f>+HLOOKUP($C203,BP!$AQ$2:$BC$250,198,0)</f>
        <v>0</v>
      </c>
      <c r="DC203" s="106">
        <f>+HLOOKUP($C203,BP!$AQ$2:$BC$250,199,0)</f>
        <v>0</v>
      </c>
      <c r="DD203" s="106">
        <f>+HLOOKUP($C203,BP!$AQ$2:$BC$250,200,0)</f>
        <v>0</v>
      </c>
      <c r="DE203" s="106">
        <f>+HLOOKUP($C203,BP!$AQ$2:$BC$250,201,0)</f>
        <v>0</v>
      </c>
      <c r="DF203" s="106">
        <f>+HLOOKUP($C203,BP!$AQ$2:$BC$250,202,0)</f>
        <v>2.9744000000000002</v>
      </c>
      <c r="DG203" s="106">
        <f>+HLOOKUP($C203,BP!$AQ$2:$BC$250,203,0)</f>
        <v>108.60000000000001</v>
      </c>
      <c r="DH203" s="106">
        <f>+HLOOKUP($C203,BP!$AQ$2:$BC$250,205,0)</f>
        <v>0</v>
      </c>
      <c r="DI203" s="106">
        <f>+HLOOKUP($C203,BP!$AQ$2:$BC$250,206,0)</f>
        <v>6635.64</v>
      </c>
      <c r="DJ203" s="106">
        <f>+HLOOKUP($C203,BP!$AQ$2:$BC$250,207,0)</f>
        <v>719.18999999999983</v>
      </c>
      <c r="DK203" s="106">
        <f>+HLOOKUP($C203,BP!$AQ$2:$BC$250,209,0)</f>
        <v>100000</v>
      </c>
      <c r="DL203" s="106">
        <f>+HLOOKUP($C203,BP!$AQ$2:$BC$250,210,0)</f>
        <v>118196.40000000001</v>
      </c>
      <c r="DM203" s="106">
        <f>+HLOOKUP($C203,BP!$AQ$2:$BC$250,211,0)</f>
        <v>0</v>
      </c>
      <c r="DN203" s="106">
        <f>+HLOOKUP($C203,BP!$AQ$2:$BC$250,212,0)</f>
        <v>0</v>
      </c>
      <c r="DO203" s="106">
        <f>+HLOOKUP($C203,BP!$AQ$2:$BC$250,214,0)</f>
        <v>0</v>
      </c>
      <c r="DP203" s="106">
        <f>+HLOOKUP($C203,BP!$AQ$2:$BC$250,215,0)</f>
        <v>200</v>
      </c>
      <c r="DQ203" s="106">
        <f>+HLOOKUP($C203,BP!$AQ$2:$BC$250,219,0)</f>
        <v>0</v>
      </c>
      <c r="DR203" s="106">
        <f>+HLOOKUP($C203,BP!$AQ$2:$BC$250,220,0)</f>
        <v>0</v>
      </c>
      <c r="DS203" s="106">
        <f>+HLOOKUP($C203,BP!$AQ$2:$BC$250,221,0)</f>
        <v>0</v>
      </c>
      <c r="DT203" s="106">
        <f>+HLOOKUP($C203,BP!$AQ$2:$BC$250,223,0)</f>
        <v>9395.7899999999991</v>
      </c>
      <c r="DU203" s="106">
        <f>+HLOOKUP($C203,BP!$AQ$2:$BC$250,224,0)</f>
        <v>0</v>
      </c>
      <c r="DV203" s="106">
        <f>+HLOOKUP($C203,BP!$AQ$2:$BC$250,225,0)</f>
        <v>0</v>
      </c>
      <c r="DW203" s="106">
        <f>+HLOOKUP($C203,BP!$AQ$2:$BC$250,227,0)</f>
        <v>0</v>
      </c>
      <c r="DX203" s="106">
        <f>+HLOOKUP($C203,BP!$AQ$2:$BC$250,228,0)</f>
        <v>27375.600000000002</v>
      </c>
      <c r="DY203" s="106">
        <f>+HLOOKUP($C203,BP!$AQ$2:$BC$250,236,0)</f>
        <v>0</v>
      </c>
      <c r="DZ203" s="106">
        <f>+HLOOKUP($C203,BP!$AQ$2:$BC$250,237,0)</f>
        <v>26303.458279999999</v>
      </c>
      <c r="EA203" s="106">
        <f>+HLOOKUP($C203,BP!$AQ$2:$BC$250,238,0)</f>
        <v>0</v>
      </c>
      <c r="EB203" s="106">
        <f>+HLOOKUP($C203,BP!$AQ$2:$BC$250,240,0)</f>
        <v>454502.01520833332</v>
      </c>
    </row>
    <row r="204" spans="1:132">
      <c r="A204" t="s">
        <v>269</v>
      </c>
      <c r="B204" t="s">
        <v>218</v>
      </c>
      <c r="C204" s="117">
        <v>45323</v>
      </c>
      <c r="D204" s="106">
        <f t="shared" si="7"/>
        <v>14485205.700000001</v>
      </c>
      <c r="E204" s="106">
        <f>+HLOOKUP(C204,BP!$AQ$2:$BC$250,28,0)+HLOOKUP(C204,BP!$AQ$2:$BC$250,43,0)+HLOOKUP(C204,BP!$AQ$2:$BC$250,44,0)+HLOOKUP(C204,BP!$AQ$2:$BC$250,45,0)+HLOOKUP(C204,BP!$AQ$2:$BC$250,54,0)+HLOOKUP(C204,BP!$AQ$2:$BC$250,59,0)</f>
        <v>14485205.700000001</v>
      </c>
      <c r="F204" s="106">
        <f>+HLOOKUP(C204,BP!$AQ$2:$BC$250,37,0)+HLOOKUP(C204,BP!$AQ$2:$BC$250,55,0)</f>
        <v>9485122.6400000006</v>
      </c>
      <c r="G204" s="106">
        <f>+HLOOKUP($C204,BP!$AQ$2:$BC$250,76,0)</f>
        <v>0</v>
      </c>
      <c r="H204" s="106">
        <f>+HLOOKUP($C204,BP!$AQ$2:$BC$250,77,0)</f>
        <v>0</v>
      </c>
      <c r="I204" s="106">
        <f>+HLOOKUP($C204,BP!$AQ$2:$BC$250,78,0)</f>
        <v>0</v>
      </c>
      <c r="J204" s="106">
        <f>+HLOOKUP($C204,BP!$AQ$2:$BC$250,79,0)</f>
        <v>0</v>
      </c>
      <c r="K204" s="106">
        <f>+HLOOKUP($C204,BP!$AQ$2:$BC$250,80,0)</f>
        <v>0</v>
      </c>
      <c r="L204" s="106">
        <f>+HLOOKUP($C204,BP!$AQ$2:$BC$250,81,0)</f>
        <v>13308</v>
      </c>
      <c r="M204" s="106">
        <f>+HLOOKUP($C204,BP!$AQ$2:$BC$250,82,0)</f>
        <v>0</v>
      </c>
      <c r="N204" s="106">
        <f>+HLOOKUP($C204,BP!$AQ$2:$BC$250,83,0)</f>
        <v>0</v>
      </c>
      <c r="O204" s="106">
        <f>+HLOOKUP($C204,BP!$AQ$2:$BC$250,84,0)</f>
        <v>0</v>
      </c>
      <c r="P204" s="106">
        <f>+HLOOKUP($C204,BP!$AQ$2:$BC$250,85,0)</f>
        <v>0</v>
      </c>
      <c r="Q204" s="106">
        <f>+HLOOKUP($C204,BP!$AQ$2:$BC$250,87,0)</f>
        <v>218208.18700000003</v>
      </c>
      <c r="R204" s="106">
        <f>+HLOOKUP($C204,BP!$AQ$2:$BC$250,90,0)</f>
        <v>0</v>
      </c>
      <c r="S204" s="106">
        <f>+HLOOKUP($C204,BP!$AQ$2:$BC$250,91,0)</f>
        <v>0</v>
      </c>
      <c r="T204" s="106">
        <f>+HLOOKUP($C204,BP!$AQ$2:$BC$250,92,0)</f>
        <v>0</v>
      </c>
      <c r="U204" s="106">
        <f>+HLOOKUP($C204,BP!$AQ$2:$BC$250,93,0)</f>
        <v>0</v>
      </c>
      <c r="V204" s="106">
        <f>+HLOOKUP($C204,BP!$AQ$2:$BC$250,94,0)</f>
        <v>0</v>
      </c>
      <c r="W204" s="106">
        <f>+HLOOKUP($C204,BP!$AQ$2:$BC$250,95,0)</f>
        <v>0</v>
      </c>
      <c r="X204" s="106">
        <f>+HLOOKUP($C204,BP!$AQ$2:$BC$250,96,0)</f>
        <v>0</v>
      </c>
      <c r="Y204" s="106">
        <f>+HLOOKUP($C204,BP!$AQ$2:$BC$250,97,0)</f>
        <v>0</v>
      </c>
      <c r="Z204" s="106">
        <f>+HLOOKUP($C204,BP!$AQ$2:$BC$250,98,0)</f>
        <v>0</v>
      </c>
      <c r="AA204" s="106">
        <f>+HLOOKUP($C204,BP!$AQ$2:$BC$250,99,0)</f>
        <v>0</v>
      </c>
      <c r="AB204" s="106">
        <f>+HLOOKUP($C204,BP!$AQ$2:$BC$250,100,0)</f>
        <v>0</v>
      </c>
      <c r="AC204" s="106">
        <f>+HLOOKUP($C204,BP!$AQ$2:$BC$250,101,0)</f>
        <v>0</v>
      </c>
      <c r="AD204" s="106">
        <f>+HLOOKUP($C204,BP!$AQ$2:$BC$250,104,0)</f>
        <v>0</v>
      </c>
      <c r="AE204" s="106">
        <f>+HLOOKUP($C204,BP!$AQ$2:$BC$250,105,0)</f>
        <v>0</v>
      </c>
      <c r="AF204" s="106">
        <f>+HLOOKUP($C204,BP!$AQ$2:$BC$250,106,0)</f>
        <v>0</v>
      </c>
      <c r="AG204" s="106">
        <f>+HLOOKUP($C204,BP!$AQ$2:$BC$250,107,0)</f>
        <v>0</v>
      </c>
      <c r="AH204" s="106">
        <f>+HLOOKUP($C204,BP!$AQ$2:$BC$250,108,0)</f>
        <v>0</v>
      </c>
      <c r="AI204" s="106">
        <f>+HLOOKUP($C204,BP!$AQ$2:$BC$250,109,0)</f>
        <v>0</v>
      </c>
      <c r="AJ204" s="106">
        <f>+HLOOKUP($C204,BP!$AQ$2:$BC$250,110,0)</f>
        <v>0</v>
      </c>
      <c r="AK204" s="106">
        <f>+HLOOKUP($C204,BP!$AQ$2:$BC$250,111,0)</f>
        <v>0</v>
      </c>
      <c r="AL204" s="106">
        <f>+HLOOKUP($C204,BP!$AQ$2:$BC$250,112,0)</f>
        <v>0</v>
      </c>
      <c r="AM204" s="106">
        <f>+HLOOKUP($C204,BP!$AQ$2:$BC$250,116,0)</f>
        <v>79780.239200000011</v>
      </c>
      <c r="AN204" s="106">
        <f>+HLOOKUP($C204,BP!$AQ$2:$BC$250,117,0)</f>
        <v>11637.93</v>
      </c>
      <c r="AO204" s="106">
        <f>+HLOOKUP($C204,BP!$AQ$2:$BC$250,118,0)</f>
        <v>2725</v>
      </c>
      <c r="AP204" s="106">
        <f>+HLOOKUP($C204,BP!$AQ$2:$BC$250,119,0)</f>
        <v>25641.16</v>
      </c>
      <c r="AQ204" s="106">
        <f>+HLOOKUP($C204,BP!$AQ$2:$BC$250,120,0)</f>
        <v>5035.8</v>
      </c>
      <c r="AR204" s="106">
        <f>+HLOOKUP($C204,BP!$AQ$2:$BC$250,121,0)</f>
        <v>2659.6000000000004</v>
      </c>
      <c r="AS204" s="106">
        <f>+HLOOKUP($C204,BP!$AQ$2:$BC$250,122,0)</f>
        <v>44059.98000000001</v>
      </c>
      <c r="AT204" s="106">
        <f>+HLOOKUP($C204,BP!$AQ$2:$BC$250,123,0)</f>
        <v>17517.04</v>
      </c>
      <c r="AU204" s="106">
        <f>+HLOOKUP($C204,BP!$AQ$2:$BC$250,124,0)</f>
        <v>1708.4</v>
      </c>
      <c r="AV204" s="106">
        <f>+HLOOKUP($C204,BP!$AQ$2:$BC$250,125,0)</f>
        <v>77956.800000000003</v>
      </c>
      <c r="AW204" s="106">
        <f>+HLOOKUP($C204,BP!$AQ$2:$BC$250,126,0)</f>
        <v>7056.7846153846158</v>
      </c>
      <c r="AX204" s="106">
        <f>+HLOOKUP($C204,BP!$AQ$2:$BC$250,127,0)</f>
        <v>11519.43</v>
      </c>
      <c r="AY204" s="106">
        <f>+HLOOKUP($C204,BP!$AQ$2:$BC$250,129,0)</f>
        <v>0</v>
      </c>
      <c r="AZ204" s="106">
        <f>+HLOOKUP($C204,BP!$AQ$2:$BC$250,130,0)</f>
        <v>0</v>
      </c>
      <c r="BA204" s="106">
        <f>+HLOOKUP($C204,BP!$AQ$2:$BC$250,131,0)</f>
        <v>0</v>
      </c>
      <c r="BB204" s="106">
        <f>+HLOOKUP($C204,BP!$AQ$2:$BC$250,133,0)</f>
        <v>0</v>
      </c>
      <c r="BC204" s="106">
        <f>+HLOOKUP($C204,BP!$AQ$2:$BC$250,134,0)</f>
        <v>14721.088799999996</v>
      </c>
      <c r="BD204" s="106">
        <f>+HLOOKUP($C204,BP!$AQ$2:$BC$250,135,0)</f>
        <v>0</v>
      </c>
      <c r="BE204" s="106">
        <f>+HLOOKUP($C204,BP!$AQ$2:$BC$250,136,0)</f>
        <v>0</v>
      </c>
      <c r="BF204" s="106">
        <f>+HLOOKUP($C204,BP!$AQ$2:$BC$250,138,0)</f>
        <v>3404.8799999999997</v>
      </c>
      <c r="BG204" s="106">
        <f>+HLOOKUP($C204,BP!$AQ$2:$BC$250,139,0)</f>
        <v>0</v>
      </c>
      <c r="BH204" s="106">
        <f>+HLOOKUP($C204,BP!$AQ$2:$BC$250,140,0)</f>
        <v>0</v>
      </c>
      <c r="BI204" s="106">
        <f>+HLOOKUP($C204,BP!$AQ$2:$BC$250,141,0)</f>
        <v>0</v>
      </c>
      <c r="BJ204" s="106">
        <f>+HLOOKUP($C204,BP!$AQ$2:$BC$250,142,0)</f>
        <v>0</v>
      </c>
      <c r="BK204" s="106">
        <f>+HLOOKUP($C204,BP!$AQ$2:$BC$250,143,0)</f>
        <v>17006.5</v>
      </c>
      <c r="BL204" s="106">
        <f>+HLOOKUP($C204,BP!$AQ$2:$BC$250,144,0)</f>
        <v>0</v>
      </c>
      <c r="BM204" s="106">
        <f>+HLOOKUP($C204,BP!$AQ$2:$BC$250,146,0)</f>
        <v>0</v>
      </c>
      <c r="BN204" s="106">
        <f>+HLOOKUP($C204,BP!$AQ$2:$BC$250,147,0)</f>
        <v>0</v>
      </c>
      <c r="BO204" s="106">
        <f>+HLOOKUP($C204,BP!$AQ$2:$BC$250,148,0)</f>
        <v>0</v>
      </c>
      <c r="BP204" s="106">
        <f>+HLOOKUP($C204,BP!$AQ$2:$BC$250,150,0)</f>
        <v>30993.199999999997</v>
      </c>
      <c r="BQ204" s="106">
        <f>+HLOOKUP($C204,BP!$AQ$2:$BC$250,151,0)</f>
        <v>0</v>
      </c>
      <c r="BR204" s="106">
        <f>+HLOOKUP($C204,BP!$AQ$2:$BC$250,152,0)</f>
        <v>12800</v>
      </c>
      <c r="BS204" s="106">
        <f>+HLOOKUP($C204,BP!$AQ$2:$BC$250,153,0)</f>
        <v>0</v>
      </c>
      <c r="BT204" s="106">
        <f>+HLOOKUP($C204,BP!$AQ$2:$BC$250,157,0)</f>
        <v>0</v>
      </c>
      <c r="BU204" s="106">
        <f>+HLOOKUP($C204,BP!$AQ$2:$BC$250,158,0)</f>
        <v>99.96</v>
      </c>
      <c r="BV204" s="106">
        <f>+HLOOKUP($C204,BP!$AQ$2:$BC$250,159,0)</f>
        <v>0</v>
      </c>
      <c r="BW204" s="106">
        <f>+HLOOKUP($C204,BP!$AQ$2:$BC$250,160,0)</f>
        <v>0</v>
      </c>
      <c r="BX204" s="106">
        <f>+HLOOKUP($C204,BP!$AQ$2:$BC$250,161,0)</f>
        <v>7130</v>
      </c>
      <c r="BY204" s="106">
        <f>+HLOOKUP($C204,BP!$AQ$2:$BC$250,164,0)</f>
        <v>5236.9279999999999</v>
      </c>
      <c r="BZ204" s="106">
        <f>+HLOOKUP($C204,BP!$AQ$2:$BC$250,165,0)</f>
        <v>0</v>
      </c>
      <c r="CA204" s="106">
        <f>+HLOOKUP($C204,BP!$AQ$2:$BC$250,166,0)</f>
        <v>0</v>
      </c>
      <c r="CB204" s="106">
        <f>+HLOOKUP($C204,BP!$AQ$2:$BC$250,167,0)</f>
        <v>0</v>
      </c>
      <c r="CC204" s="106">
        <f>+HLOOKUP($C204,BP!$AQ$2:$BC$250,168,0)</f>
        <v>0</v>
      </c>
      <c r="CD204" s="106">
        <f>+HLOOKUP($C204,BP!$AQ$2:$BC$250,169,0)</f>
        <v>0</v>
      </c>
      <c r="CE204" s="106">
        <f>+HLOOKUP($C204,BP!$AQ$2:$BC$250,170,0)</f>
        <v>0</v>
      </c>
      <c r="CF204" s="106">
        <f>+HLOOKUP($C204,BP!$AQ$2:$BC$250,172,0)</f>
        <v>21800</v>
      </c>
      <c r="CG204" s="106">
        <f>+HLOOKUP($C204,BP!$AQ$2:$BC$250,173,0)</f>
        <v>0</v>
      </c>
      <c r="CH204" s="106">
        <f>+HLOOKUP($C204,BP!$AQ$2:$BC$250,174,0)</f>
        <v>33035.967199999919</v>
      </c>
      <c r="CI204" s="106">
        <f>+HLOOKUP($C204,BP!$AQ$2:$BC$250,175,0)</f>
        <v>3945.5200000000082</v>
      </c>
      <c r="CJ204" s="106">
        <f>+HLOOKUP($C204,BP!$AQ$2:$BC$250,176,0)</f>
        <v>2001.6000000000001</v>
      </c>
      <c r="CK204" s="106">
        <f>+HLOOKUP($C204,BP!$AQ$2:$BC$250,178,0)</f>
        <v>60976</v>
      </c>
      <c r="CL204" s="106">
        <f>+HLOOKUP($C204,BP!$AQ$2:$BC$250,179,0)</f>
        <v>0</v>
      </c>
      <c r="CM204" s="106">
        <f>+HLOOKUP($C204,BP!$AQ$2:$BC$250,180,0)</f>
        <v>0</v>
      </c>
      <c r="CN204" s="106">
        <f>+HLOOKUP($C204,BP!$AQ$2:$BC$250,182,0)</f>
        <v>491.40000000000003</v>
      </c>
      <c r="CO204" s="106">
        <f>+HLOOKUP($C204,BP!$AQ$2:$BC$250,183,0)</f>
        <v>8743.2000000000007</v>
      </c>
      <c r="CP204" s="106">
        <f>+HLOOKUP($C204,BP!$AQ$2:$BC$250,184,0)</f>
        <v>0</v>
      </c>
      <c r="CQ204" s="106">
        <f>+HLOOKUP($C204,BP!$AQ$2:$BC$250,185,0)</f>
        <v>0</v>
      </c>
      <c r="CR204" s="106">
        <f>+HLOOKUP($C204,BP!$AQ$2:$BC$250,187,0)</f>
        <v>2499.9999999999964</v>
      </c>
      <c r="CS204" s="106">
        <f>+HLOOKUP($C204,BP!$AQ$2:$BC$250,188,0)</f>
        <v>3180</v>
      </c>
      <c r="CT204" s="106">
        <f>+HLOOKUP($C204,BP!$AQ$2:$BC$250,189,0)</f>
        <v>0</v>
      </c>
      <c r="CU204" s="106">
        <f>+HLOOKUP($C204,BP!$AQ$2:$BC$250,190,0)</f>
        <v>999.99959999999999</v>
      </c>
      <c r="CV204" s="106">
        <f>+HLOOKUP($C204,BP!$AQ$2:$BC$250,191,0)</f>
        <v>0</v>
      </c>
      <c r="CW204" s="106">
        <f>+HLOOKUP($C204,BP!$AQ$2:$BC$250,193,0)</f>
        <v>10593.2</v>
      </c>
      <c r="CX204" s="106">
        <f>+HLOOKUP($C204,BP!$AQ$2:$BC$250,194,0)</f>
        <v>31.8</v>
      </c>
      <c r="CY204" s="106">
        <f>+HLOOKUP($C204,BP!$AQ$2:$BC$250,195,0)</f>
        <v>0</v>
      </c>
      <c r="CZ204" s="106">
        <f>+HLOOKUP($C204,BP!$AQ$2:$BC$250,196,0)</f>
        <v>0</v>
      </c>
      <c r="DA204" s="106">
        <f>+HLOOKUP($C204,BP!$AQ$2:$BC$250,197,0)</f>
        <v>91.423200000000008</v>
      </c>
      <c r="DB204" s="106">
        <f>+HLOOKUP($C204,BP!$AQ$2:$BC$250,198,0)</f>
        <v>0</v>
      </c>
      <c r="DC204" s="106">
        <f>+HLOOKUP($C204,BP!$AQ$2:$BC$250,199,0)</f>
        <v>0</v>
      </c>
      <c r="DD204" s="106">
        <f>+HLOOKUP($C204,BP!$AQ$2:$BC$250,200,0)</f>
        <v>500</v>
      </c>
      <c r="DE204" s="106">
        <f>+HLOOKUP($C204,BP!$AQ$2:$BC$250,201,0)</f>
        <v>0</v>
      </c>
      <c r="DF204" s="106">
        <f>+HLOOKUP($C204,BP!$AQ$2:$BC$250,202,0)</f>
        <v>4.678399999999999</v>
      </c>
      <c r="DG204" s="106">
        <f>+HLOOKUP($C204,BP!$AQ$2:$BC$250,203,0)</f>
        <v>135.44400000000002</v>
      </c>
      <c r="DH204" s="106">
        <f>+HLOOKUP($C204,BP!$AQ$2:$BC$250,205,0)</f>
        <v>0</v>
      </c>
      <c r="DI204" s="106">
        <f>+HLOOKUP($C204,BP!$AQ$2:$BC$250,206,0)</f>
        <v>188.04</v>
      </c>
      <c r="DJ204" s="106">
        <f>+HLOOKUP($C204,BP!$AQ$2:$BC$250,207,0)</f>
        <v>719.15999999999974</v>
      </c>
      <c r="DK204" s="106">
        <f>+HLOOKUP($C204,BP!$AQ$2:$BC$250,209,0)</f>
        <v>100000</v>
      </c>
      <c r="DL204" s="106">
        <f>+HLOOKUP($C204,BP!$AQ$2:$BC$250,210,0)</f>
        <v>118196.40000000001</v>
      </c>
      <c r="DM204" s="106">
        <f>+HLOOKUP($C204,BP!$AQ$2:$BC$250,211,0)</f>
        <v>0</v>
      </c>
      <c r="DN204" s="106">
        <f>+HLOOKUP($C204,BP!$AQ$2:$BC$250,212,0)</f>
        <v>0</v>
      </c>
      <c r="DO204" s="106">
        <f>+HLOOKUP($C204,BP!$AQ$2:$BC$250,214,0)</f>
        <v>0</v>
      </c>
      <c r="DP204" s="106">
        <f>+HLOOKUP($C204,BP!$AQ$2:$BC$250,215,0)</f>
        <v>0</v>
      </c>
      <c r="DQ204" s="106">
        <f>+HLOOKUP($C204,BP!$AQ$2:$BC$250,219,0)</f>
        <v>0</v>
      </c>
      <c r="DR204" s="106">
        <f>+HLOOKUP($C204,BP!$AQ$2:$BC$250,220,0)</f>
        <v>0</v>
      </c>
      <c r="DS204" s="106">
        <f>+HLOOKUP($C204,BP!$AQ$2:$BC$250,221,0)</f>
        <v>0</v>
      </c>
      <c r="DT204" s="106">
        <f>+HLOOKUP($C204,BP!$AQ$2:$BC$250,223,0)</f>
        <v>10143.414000000001</v>
      </c>
      <c r="DU204" s="106">
        <f>+HLOOKUP($C204,BP!$AQ$2:$BC$250,224,0)</f>
        <v>0</v>
      </c>
      <c r="DV204" s="106">
        <f>+HLOOKUP($C204,BP!$AQ$2:$BC$250,225,0)</f>
        <v>0</v>
      </c>
      <c r="DW204" s="106">
        <f>+HLOOKUP($C204,BP!$AQ$2:$BC$250,227,0)</f>
        <v>0</v>
      </c>
      <c r="DX204" s="106">
        <f>+HLOOKUP($C204,BP!$AQ$2:$BC$250,228,0)</f>
        <v>16302.72</v>
      </c>
      <c r="DY204" s="106">
        <f>+HLOOKUP($C204,BP!$AQ$2:$BC$250,236,0)</f>
        <v>0</v>
      </c>
      <c r="DZ204" s="106">
        <f>+HLOOKUP($C204,BP!$AQ$2:$BC$250,237,0)</f>
        <v>25712.478440000003</v>
      </c>
      <c r="EA204" s="106">
        <f>+HLOOKUP($C204,BP!$AQ$2:$BC$250,238,0)</f>
        <v>0</v>
      </c>
      <c r="EB204" s="106">
        <f>+HLOOKUP($C204,BP!$AQ$2:$BC$250,240,0)</f>
        <v>454502.01520833332</v>
      </c>
    </row>
    <row r="205" spans="1:132">
      <c r="A205" t="s">
        <v>269</v>
      </c>
      <c r="B205" t="s">
        <v>218</v>
      </c>
      <c r="C205" s="117">
        <v>45292</v>
      </c>
      <c r="D205" s="106">
        <f t="shared" si="7"/>
        <v>4170969.4</v>
      </c>
      <c r="E205" s="106">
        <f>+HLOOKUP(C205,BP!$AQ$2:$BC$250,28,0)+HLOOKUP(C205,BP!$AQ$2:$BC$250,43,0)+HLOOKUP(C205,BP!$AQ$2:$BC$250,44,0)+HLOOKUP(C205,BP!$AQ$2:$BC$250,45,0)+HLOOKUP(C205,BP!$AQ$2:$BC$250,54,0)+HLOOKUP(C205,BP!$AQ$2:$BC$250,59,0)</f>
        <v>4170969.4</v>
      </c>
      <c r="F205" s="106">
        <f>+HLOOKUP(C205,BP!$AQ$2:$BC$250,37,0)+HLOOKUP(C205,BP!$AQ$2:$BC$250,55,0)</f>
        <v>2141004.6860000002</v>
      </c>
      <c r="G205" s="106">
        <f>+HLOOKUP($C205,BP!$AQ$2:$BC$250,76,0)</f>
        <v>0</v>
      </c>
      <c r="H205" s="106">
        <f>+HLOOKUP($C205,BP!$AQ$2:$BC$250,77,0)</f>
        <v>0</v>
      </c>
      <c r="I205" s="106">
        <f>+HLOOKUP($C205,BP!$AQ$2:$BC$250,78,0)</f>
        <v>0</v>
      </c>
      <c r="J205" s="106">
        <f>+HLOOKUP($C205,BP!$AQ$2:$BC$250,79,0)</f>
        <v>0</v>
      </c>
      <c r="K205" s="106">
        <f>+HLOOKUP($C205,BP!$AQ$2:$BC$250,80,0)</f>
        <v>0</v>
      </c>
      <c r="L205" s="106">
        <f>+HLOOKUP($C205,BP!$AQ$2:$BC$250,81,0)</f>
        <v>17484</v>
      </c>
      <c r="M205" s="106">
        <f>+HLOOKUP($C205,BP!$AQ$2:$BC$250,82,0)</f>
        <v>0</v>
      </c>
      <c r="N205" s="106">
        <f>+HLOOKUP($C205,BP!$AQ$2:$BC$250,83,0)</f>
        <v>0</v>
      </c>
      <c r="O205" s="106">
        <f>+HLOOKUP($C205,BP!$AQ$2:$BC$250,84,0)</f>
        <v>0</v>
      </c>
      <c r="P205" s="106">
        <f>+HLOOKUP($C205,BP!$AQ$2:$BC$250,85,0)</f>
        <v>0</v>
      </c>
      <c r="Q205" s="106">
        <f>+HLOOKUP($C205,BP!$AQ$2:$BC$250,87,0)</f>
        <v>71463.08</v>
      </c>
      <c r="R205" s="106">
        <f>+HLOOKUP($C205,BP!$AQ$2:$BC$250,90,0)</f>
        <v>0</v>
      </c>
      <c r="S205" s="106">
        <f>+HLOOKUP($C205,BP!$AQ$2:$BC$250,91,0)</f>
        <v>0</v>
      </c>
      <c r="T205" s="106">
        <f>+HLOOKUP($C205,BP!$AQ$2:$BC$250,92,0)</f>
        <v>0</v>
      </c>
      <c r="U205" s="106">
        <f>+HLOOKUP($C205,BP!$AQ$2:$BC$250,93,0)</f>
        <v>0</v>
      </c>
      <c r="V205" s="106">
        <f>+HLOOKUP($C205,BP!$AQ$2:$BC$250,94,0)</f>
        <v>0</v>
      </c>
      <c r="W205" s="106">
        <f>+HLOOKUP($C205,BP!$AQ$2:$BC$250,95,0)</f>
        <v>0</v>
      </c>
      <c r="X205" s="106">
        <f>+HLOOKUP($C205,BP!$AQ$2:$BC$250,96,0)</f>
        <v>0</v>
      </c>
      <c r="Y205" s="106">
        <f>+HLOOKUP($C205,BP!$AQ$2:$BC$250,97,0)</f>
        <v>0</v>
      </c>
      <c r="Z205" s="106">
        <f>+HLOOKUP($C205,BP!$AQ$2:$BC$250,98,0)</f>
        <v>0</v>
      </c>
      <c r="AA205" s="106">
        <f>+HLOOKUP($C205,BP!$AQ$2:$BC$250,99,0)</f>
        <v>0</v>
      </c>
      <c r="AB205" s="106">
        <f>+HLOOKUP($C205,BP!$AQ$2:$BC$250,100,0)</f>
        <v>0</v>
      </c>
      <c r="AC205" s="106">
        <f>+HLOOKUP($C205,BP!$AQ$2:$BC$250,101,0)</f>
        <v>0</v>
      </c>
      <c r="AD205" s="106">
        <f>+HLOOKUP($C205,BP!$AQ$2:$BC$250,104,0)</f>
        <v>0</v>
      </c>
      <c r="AE205" s="106">
        <f>+HLOOKUP($C205,BP!$AQ$2:$BC$250,105,0)</f>
        <v>2448</v>
      </c>
      <c r="AF205" s="106">
        <f>+HLOOKUP($C205,BP!$AQ$2:$BC$250,106,0)</f>
        <v>0</v>
      </c>
      <c r="AG205" s="106">
        <f>+HLOOKUP($C205,BP!$AQ$2:$BC$250,107,0)</f>
        <v>0</v>
      </c>
      <c r="AH205" s="106">
        <f>+HLOOKUP($C205,BP!$AQ$2:$BC$250,108,0)</f>
        <v>0</v>
      </c>
      <c r="AI205" s="106">
        <f>+HLOOKUP($C205,BP!$AQ$2:$BC$250,109,0)</f>
        <v>0</v>
      </c>
      <c r="AJ205" s="106">
        <f>+HLOOKUP($C205,BP!$AQ$2:$BC$250,110,0)</f>
        <v>0</v>
      </c>
      <c r="AK205" s="106">
        <f>+HLOOKUP($C205,BP!$AQ$2:$BC$250,111,0)</f>
        <v>0</v>
      </c>
      <c r="AL205" s="106">
        <f>+HLOOKUP($C205,BP!$AQ$2:$BC$250,112,0)</f>
        <v>0</v>
      </c>
      <c r="AM205" s="106">
        <f>+HLOOKUP($C205,BP!$AQ$2:$BC$250,116,0)</f>
        <v>76283.606399999553</v>
      </c>
      <c r="AN205" s="106">
        <f>+HLOOKUP($C205,BP!$AQ$2:$BC$250,117,0)</f>
        <v>10888.053600000001</v>
      </c>
      <c r="AO205" s="106">
        <f>+HLOOKUP($C205,BP!$AQ$2:$BC$250,118,0)</f>
        <v>2725</v>
      </c>
      <c r="AP205" s="106">
        <f>+HLOOKUP($C205,BP!$AQ$2:$BC$250,119,0)</f>
        <v>25055.0452</v>
      </c>
      <c r="AQ205" s="106">
        <f>+HLOOKUP($C205,BP!$AQ$2:$BC$250,120,0)</f>
        <v>5187.6588000000002</v>
      </c>
      <c r="AR205" s="106">
        <f>+HLOOKUP($C205,BP!$AQ$2:$BC$250,121,0)</f>
        <v>2786.2144000000003</v>
      </c>
      <c r="AS205" s="106">
        <f>+HLOOKUP($C205,BP!$AQ$2:$BC$250,122,0)</f>
        <v>42441.373600000006</v>
      </c>
      <c r="AT205" s="106">
        <f>+HLOOKUP($C205,BP!$AQ$2:$BC$250,123,0)</f>
        <v>17099.759999999998</v>
      </c>
      <c r="AU205" s="106">
        <f>+HLOOKUP($C205,BP!$AQ$2:$BC$250,124,0)</f>
        <v>1708.4</v>
      </c>
      <c r="AV205" s="106">
        <f>+HLOOKUP($C205,BP!$AQ$2:$BC$250,125,0)</f>
        <v>77956.800000000003</v>
      </c>
      <c r="AW205" s="106">
        <f>+HLOOKUP($C205,BP!$AQ$2:$BC$250,126,0)</f>
        <v>3579.2846153846158</v>
      </c>
      <c r="AX205" s="106">
        <f>+HLOOKUP($C205,BP!$AQ$2:$BC$250,127,0)</f>
        <v>5523.0133333333342</v>
      </c>
      <c r="AY205" s="106">
        <f>+HLOOKUP($C205,BP!$AQ$2:$BC$250,129,0)</f>
        <v>0</v>
      </c>
      <c r="AZ205" s="106">
        <f>+HLOOKUP($C205,BP!$AQ$2:$BC$250,130,0)</f>
        <v>0</v>
      </c>
      <c r="BA205" s="106">
        <f>+HLOOKUP($C205,BP!$AQ$2:$BC$250,131,0)</f>
        <v>0</v>
      </c>
      <c r="BB205" s="106">
        <f>+HLOOKUP($C205,BP!$AQ$2:$BC$250,133,0)</f>
        <v>0</v>
      </c>
      <c r="BC205" s="106">
        <f>+HLOOKUP($C205,BP!$AQ$2:$BC$250,134,0)</f>
        <v>0</v>
      </c>
      <c r="BD205" s="106">
        <f>+HLOOKUP($C205,BP!$AQ$2:$BC$250,135,0)</f>
        <v>0</v>
      </c>
      <c r="BE205" s="106">
        <f>+HLOOKUP($C205,BP!$AQ$2:$BC$250,136,0)</f>
        <v>0</v>
      </c>
      <c r="BF205" s="106">
        <f>+HLOOKUP($C205,BP!$AQ$2:$BC$250,138,0)</f>
        <v>3404.8799999999997</v>
      </c>
      <c r="BG205" s="106">
        <f>+HLOOKUP($C205,BP!$AQ$2:$BC$250,139,0)</f>
        <v>298.08</v>
      </c>
      <c r="BH205" s="106">
        <f>+HLOOKUP($C205,BP!$AQ$2:$BC$250,140,0)</f>
        <v>0</v>
      </c>
      <c r="BI205" s="106">
        <f>+HLOOKUP($C205,BP!$AQ$2:$BC$250,141,0)</f>
        <v>0</v>
      </c>
      <c r="BJ205" s="106">
        <f>+HLOOKUP($C205,BP!$AQ$2:$BC$250,142,0)</f>
        <v>0</v>
      </c>
      <c r="BK205" s="106">
        <f>+HLOOKUP($C205,BP!$AQ$2:$BC$250,143,0)</f>
        <v>17006.5</v>
      </c>
      <c r="BL205" s="106">
        <f>+HLOOKUP($C205,BP!$AQ$2:$BC$250,144,0)</f>
        <v>0</v>
      </c>
      <c r="BM205" s="106">
        <f>+HLOOKUP($C205,BP!$AQ$2:$BC$250,146,0)</f>
        <v>0</v>
      </c>
      <c r="BN205" s="106">
        <f>+HLOOKUP($C205,BP!$AQ$2:$BC$250,147,0)</f>
        <v>0</v>
      </c>
      <c r="BO205" s="106">
        <f>+HLOOKUP($C205,BP!$AQ$2:$BC$250,148,0)</f>
        <v>0</v>
      </c>
      <c r="BP205" s="106">
        <f>+HLOOKUP($C205,BP!$AQ$2:$BC$250,150,0)</f>
        <v>32190.000000000015</v>
      </c>
      <c r="BQ205" s="106">
        <f>+HLOOKUP($C205,BP!$AQ$2:$BC$250,151,0)</f>
        <v>0</v>
      </c>
      <c r="BR205" s="106">
        <f>+HLOOKUP($C205,BP!$AQ$2:$BC$250,152,0)</f>
        <v>12800</v>
      </c>
      <c r="BS205" s="106">
        <f>+HLOOKUP($C205,BP!$AQ$2:$BC$250,153,0)</f>
        <v>0</v>
      </c>
      <c r="BT205" s="106">
        <f>+HLOOKUP($C205,BP!$AQ$2:$BC$250,157,0)</f>
        <v>0</v>
      </c>
      <c r="BU205" s="106">
        <f>+HLOOKUP($C205,BP!$AQ$2:$BC$250,158,0)</f>
        <v>396.6096</v>
      </c>
      <c r="BV205" s="106">
        <f>+HLOOKUP($C205,BP!$AQ$2:$BC$250,159,0)</f>
        <v>0</v>
      </c>
      <c r="BW205" s="106">
        <f>+HLOOKUP($C205,BP!$AQ$2:$BC$250,160,0)</f>
        <v>12500</v>
      </c>
      <c r="BX205" s="106">
        <f>+HLOOKUP($C205,BP!$AQ$2:$BC$250,161,0)</f>
        <v>7129.9639999999999</v>
      </c>
      <c r="BY205" s="106">
        <f>+HLOOKUP($C205,BP!$AQ$2:$BC$250,164,0)</f>
        <v>3128.3004000000001</v>
      </c>
      <c r="BZ205" s="106">
        <f>+HLOOKUP($C205,BP!$AQ$2:$BC$250,165,0)</f>
        <v>0</v>
      </c>
      <c r="CA205" s="106">
        <f>+HLOOKUP($C205,BP!$AQ$2:$BC$250,166,0)</f>
        <v>0</v>
      </c>
      <c r="CB205" s="106">
        <f>+HLOOKUP($C205,BP!$AQ$2:$BC$250,167,0)</f>
        <v>0</v>
      </c>
      <c r="CC205" s="106">
        <f>+HLOOKUP($C205,BP!$AQ$2:$BC$250,168,0)</f>
        <v>0</v>
      </c>
      <c r="CD205" s="106">
        <f>+HLOOKUP($C205,BP!$AQ$2:$BC$250,169,0)</f>
        <v>0</v>
      </c>
      <c r="CE205" s="106">
        <f>+HLOOKUP($C205,BP!$AQ$2:$BC$250,170,0)</f>
        <v>0</v>
      </c>
      <c r="CF205" s="106">
        <f>+HLOOKUP($C205,BP!$AQ$2:$BC$250,172,0)</f>
        <v>21800</v>
      </c>
      <c r="CG205" s="106">
        <f>+HLOOKUP($C205,BP!$AQ$2:$BC$250,173,0)</f>
        <v>0</v>
      </c>
      <c r="CH205" s="106">
        <f>+HLOOKUP($C205,BP!$AQ$2:$BC$250,174,0)</f>
        <v>33035.967199999919</v>
      </c>
      <c r="CI205" s="106">
        <f>+HLOOKUP($C205,BP!$AQ$2:$BC$250,175,0)</f>
        <v>3945.5200000000082</v>
      </c>
      <c r="CJ205" s="106">
        <f>+HLOOKUP($C205,BP!$AQ$2:$BC$250,176,0)</f>
        <v>2024.3196</v>
      </c>
      <c r="CK205" s="106">
        <f>+HLOOKUP($C205,BP!$AQ$2:$BC$250,178,0)</f>
        <v>65687.733600000007</v>
      </c>
      <c r="CL205" s="106">
        <f>+HLOOKUP($C205,BP!$AQ$2:$BC$250,179,0)</f>
        <v>3486.2400000000002</v>
      </c>
      <c r="CM205" s="106">
        <f>+HLOOKUP($C205,BP!$AQ$2:$BC$250,180,0)</f>
        <v>0</v>
      </c>
      <c r="CN205" s="106">
        <f>+HLOOKUP($C205,BP!$AQ$2:$BC$250,182,0)</f>
        <v>491.40000000000003</v>
      </c>
      <c r="CO205" s="106">
        <f>+HLOOKUP($C205,BP!$AQ$2:$BC$250,183,0)</f>
        <v>8343.764000000001</v>
      </c>
      <c r="CP205" s="106">
        <f>+HLOOKUP($C205,BP!$AQ$2:$BC$250,184,0)</f>
        <v>1989.6899999999998</v>
      </c>
      <c r="CQ205" s="106">
        <f>+HLOOKUP($C205,BP!$AQ$2:$BC$250,185,0)</f>
        <v>0</v>
      </c>
      <c r="CR205" s="106">
        <f>+HLOOKUP($C205,BP!$AQ$2:$BC$250,187,0)</f>
        <v>2499.9999999999964</v>
      </c>
      <c r="CS205" s="106">
        <f>+HLOOKUP($C205,BP!$AQ$2:$BC$250,188,0)</f>
        <v>3180</v>
      </c>
      <c r="CT205" s="106">
        <f>+HLOOKUP($C205,BP!$AQ$2:$BC$250,189,0)</f>
        <v>0</v>
      </c>
      <c r="CU205" s="106">
        <f>+HLOOKUP($C205,BP!$AQ$2:$BC$250,190,0)</f>
        <v>999.99999999999966</v>
      </c>
      <c r="CV205" s="106">
        <f>+HLOOKUP($C205,BP!$AQ$2:$BC$250,191,0)</f>
        <v>0</v>
      </c>
      <c r="CW205" s="106">
        <f>+HLOOKUP($C205,BP!$AQ$2:$BC$250,193,0)</f>
        <v>10593.2</v>
      </c>
      <c r="CX205" s="106">
        <f>+HLOOKUP($C205,BP!$AQ$2:$BC$250,194,0)</f>
        <v>31.8</v>
      </c>
      <c r="CY205" s="106">
        <f>+HLOOKUP($C205,BP!$AQ$2:$BC$250,195,0)</f>
        <v>0</v>
      </c>
      <c r="CZ205" s="106">
        <f>+HLOOKUP($C205,BP!$AQ$2:$BC$250,196,0)</f>
        <v>0</v>
      </c>
      <c r="DA205" s="106">
        <f>+HLOOKUP($C205,BP!$AQ$2:$BC$250,197,0)</f>
        <v>1942.6000000000001</v>
      </c>
      <c r="DB205" s="106">
        <f>+HLOOKUP($C205,BP!$AQ$2:$BC$250,198,0)</f>
        <v>1991.53</v>
      </c>
      <c r="DC205" s="106">
        <f>+HLOOKUP($C205,BP!$AQ$2:$BC$250,199,0)</f>
        <v>381.40800000000002</v>
      </c>
      <c r="DD205" s="106">
        <f>+HLOOKUP($C205,BP!$AQ$2:$BC$250,200,0)</f>
        <v>0</v>
      </c>
      <c r="DE205" s="106">
        <f>+HLOOKUP($C205,BP!$AQ$2:$BC$250,201,0)</f>
        <v>0</v>
      </c>
      <c r="DF205" s="106">
        <f>+HLOOKUP($C205,BP!$AQ$2:$BC$250,202,0)</f>
        <v>1.5619999999999998</v>
      </c>
      <c r="DG205" s="106">
        <f>+HLOOKUP($C205,BP!$AQ$2:$BC$250,203,0)</f>
        <v>12.951599999999999</v>
      </c>
      <c r="DH205" s="106">
        <f>+HLOOKUP($C205,BP!$AQ$2:$BC$250,205,0)</f>
        <v>0</v>
      </c>
      <c r="DI205" s="106">
        <f>+HLOOKUP($C205,BP!$AQ$2:$BC$250,206,0)</f>
        <v>188.06040000000002</v>
      </c>
      <c r="DJ205" s="106">
        <f>+HLOOKUP($C205,BP!$AQ$2:$BC$250,207,0)</f>
        <v>719.19799999999998</v>
      </c>
      <c r="DK205" s="106">
        <f>+HLOOKUP($C205,BP!$AQ$2:$BC$250,209,0)</f>
        <v>100000</v>
      </c>
      <c r="DL205" s="106">
        <f>+HLOOKUP($C205,BP!$AQ$2:$BC$250,210,0)</f>
        <v>118196.40000000001</v>
      </c>
      <c r="DM205" s="106">
        <f>+HLOOKUP($C205,BP!$AQ$2:$BC$250,211,0)</f>
        <v>0</v>
      </c>
      <c r="DN205" s="106">
        <f>+HLOOKUP($C205,BP!$AQ$2:$BC$250,212,0)</f>
        <v>0</v>
      </c>
      <c r="DO205" s="106">
        <f>+HLOOKUP($C205,BP!$AQ$2:$BC$250,214,0)</f>
        <v>0</v>
      </c>
      <c r="DP205" s="106">
        <f>+HLOOKUP($C205,BP!$AQ$2:$BC$250,215,0)</f>
        <v>0</v>
      </c>
      <c r="DQ205" s="106">
        <f>+HLOOKUP($C205,BP!$AQ$2:$BC$250,219,0)</f>
        <v>0</v>
      </c>
      <c r="DR205" s="106">
        <f>+HLOOKUP($C205,BP!$AQ$2:$BC$250,220,0)</f>
        <v>0</v>
      </c>
      <c r="DS205" s="106">
        <f>+HLOOKUP($C205,BP!$AQ$2:$BC$250,221,0)</f>
        <v>0</v>
      </c>
      <c r="DT205" s="106">
        <f>+HLOOKUP($C205,BP!$AQ$2:$BC$250,223,0)</f>
        <v>10807.630799999999</v>
      </c>
      <c r="DU205" s="106">
        <f>+HLOOKUP($C205,BP!$AQ$2:$BC$250,224,0)</f>
        <v>0</v>
      </c>
      <c r="DV205" s="106">
        <f>+HLOOKUP($C205,BP!$AQ$2:$BC$250,225,0)</f>
        <v>0</v>
      </c>
      <c r="DW205" s="106">
        <f>+HLOOKUP($C205,BP!$AQ$2:$BC$250,227,0)</f>
        <v>0</v>
      </c>
      <c r="DX205" s="106">
        <f>+HLOOKUP($C205,BP!$AQ$2:$BC$250,228,0)</f>
        <v>1245.3600000000001</v>
      </c>
      <c r="DY205" s="106">
        <f>+HLOOKUP($C205,BP!$AQ$2:$BC$250,236,0)</f>
        <v>0</v>
      </c>
      <c r="DZ205" s="106">
        <f>+HLOOKUP($C205,BP!$AQ$2:$BC$250,237,0)</f>
        <v>28677.066879999998</v>
      </c>
      <c r="EA205" s="106">
        <f>+HLOOKUP($C205,BP!$AQ$2:$BC$250,238,0)</f>
        <v>0</v>
      </c>
      <c r="EB205" s="106">
        <f>+HLOOKUP($C205,BP!$AQ$2:$BC$250,240,0)</f>
        <v>454502.01520833332</v>
      </c>
    </row>
    <row r="206" spans="1:132">
      <c r="A206" t="s">
        <v>269</v>
      </c>
      <c r="B206" t="s">
        <v>218</v>
      </c>
      <c r="C206" s="117">
        <v>45261</v>
      </c>
    </row>
    <row r="207" spans="1:132">
      <c r="A207" t="s">
        <v>269</v>
      </c>
      <c r="B207" t="s">
        <v>218</v>
      </c>
      <c r="C207" s="117">
        <v>45231</v>
      </c>
    </row>
    <row r="208" spans="1:132">
      <c r="A208" t="s">
        <v>269</v>
      </c>
      <c r="B208" t="s">
        <v>218</v>
      </c>
      <c r="C208" s="117">
        <v>45200</v>
      </c>
    </row>
    <row r="209" spans="1:132">
      <c r="A209" t="s">
        <v>269</v>
      </c>
      <c r="B209" t="s">
        <v>218</v>
      </c>
      <c r="C209" s="117">
        <v>45170</v>
      </c>
    </row>
    <row r="210" spans="1:132">
      <c r="A210" t="s">
        <v>269</v>
      </c>
      <c r="B210" t="s">
        <v>218</v>
      </c>
      <c r="C210" s="117">
        <v>45139</v>
      </c>
    </row>
    <row r="211" spans="1:132">
      <c r="A211" t="s">
        <v>269</v>
      </c>
      <c r="B211" t="s">
        <v>218</v>
      </c>
      <c r="C211" s="117">
        <v>45108</v>
      </c>
    </row>
    <row r="212" spans="1:132">
      <c r="A212" t="s">
        <v>269</v>
      </c>
      <c r="B212" t="s">
        <v>218</v>
      </c>
      <c r="C212" s="117">
        <v>45078</v>
      </c>
    </row>
    <row r="213" spans="1:132">
      <c r="A213" t="s">
        <v>269</v>
      </c>
      <c r="B213" t="s">
        <v>218</v>
      </c>
      <c r="C213" s="117">
        <v>45047</v>
      </c>
    </row>
    <row r="214" spans="1:132">
      <c r="A214" t="s">
        <v>269</v>
      </c>
      <c r="B214" t="s">
        <v>218</v>
      </c>
      <c r="C214" s="117">
        <v>45017</v>
      </c>
    </row>
    <row r="215" spans="1:132">
      <c r="A215" t="s">
        <v>269</v>
      </c>
      <c r="B215" t="s">
        <v>218</v>
      </c>
      <c r="C215" s="117">
        <v>44986</v>
      </c>
    </row>
    <row r="216" spans="1:132">
      <c r="A216" t="s">
        <v>269</v>
      </c>
      <c r="B216" t="s">
        <v>218</v>
      </c>
      <c r="C216" s="117">
        <v>44958</v>
      </c>
    </row>
    <row r="217" spans="1:132">
      <c r="A217" t="s">
        <v>269</v>
      </c>
      <c r="B217" t="s">
        <v>218</v>
      </c>
      <c r="C217" s="117">
        <v>44927</v>
      </c>
    </row>
    <row r="218" spans="1:132" hidden="1">
      <c r="A218" t="s">
        <v>271</v>
      </c>
      <c r="B218" t="s">
        <v>218</v>
      </c>
      <c r="C218" s="117">
        <v>45992</v>
      </c>
      <c r="D218" s="106">
        <f t="shared" si="5"/>
        <v>0</v>
      </c>
      <c r="E218" s="106">
        <f>+HLOOKUP(C218,BP!$CU$2:$DG$250,28,0)+HLOOKUP(C218,BP!$CU$2:$DG$250,43,0)+HLOOKUP(C218,BP!$CU$2:$DG$250,44,0)+HLOOKUP(C218,BP!$CU$2:$DG$250,45,0)+HLOOKUP(C218,BP!$CU$2:$DG$250,54,0)+HLOOKUP(C218,BP!$CU$2:$DG$250,59,0)</f>
        <v>0</v>
      </c>
      <c r="F218" s="106">
        <f>+HLOOKUP(C218,BP!$CU$2:$DG$250,37,0)+HLOOKUP(C218,BP!$CU$2:$DG$250,55,0)</f>
        <v>0</v>
      </c>
      <c r="G218" s="106">
        <f>+HLOOKUP($C218,BP!$CU$2:$DG$250,76,0)</f>
        <v>0</v>
      </c>
      <c r="H218" s="106">
        <f>+HLOOKUP($C218,BP!$CU$2:$DG$250,77,0)</f>
        <v>0</v>
      </c>
      <c r="I218" s="106">
        <f>+HLOOKUP($C218,BP!$CU$2:$DG$250,78,0)</f>
        <v>0</v>
      </c>
      <c r="J218" s="106">
        <f>+HLOOKUP($C218,BP!$CU$2:$DG$250,79,0)</f>
        <v>0</v>
      </c>
      <c r="K218" s="106">
        <f>+HLOOKUP($C218,BP!$CU$2:$DG$250,80,0)</f>
        <v>0</v>
      </c>
      <c r="L218" s="106">
        <f>+HLOOKUP($C218,BP!$CU$2:$DG$250,81,0)</f>
        <v>0</v>
      </c>
      <c r="M218" s="106">
        <f>+HLOOKUP($C218,BP!$CU$2:$DG$250,82,0)</f>
        <v>0</v>
      </c>
      <c r="N218" s="106">
        <f>+HLOOKUP($C218,BP!$CU$2:$DG$250,83,0)</f>
        <v>0</v>
      </c>
      <c r="O218" s="106">
        <f>+HLOOKUP($C218,BP!$CU$2:$DG$250,84,0)</f>
        <v>0</v>
      </c>
      <c r="P218" s="106">
        <f>+HLOOKUP($C218,BP!$CU$2:$DG$250,85,0)</f>
        <v>0</v>
      </c>
      <c r="Q218" s="106">
        <f>+HLOOKUP($C218,BP!$CU$2:$DG$250,87,0)</f>
        <v>0</v>
      </c>
      <c r="R218" s="106">
        <f>+HLOOKUP($C218,BP!$CU$2:$DG$250,90,0)</f>
        <v>0</v>
      </c>
      <c r="S218" s="106">
        <f>+HLOOKUP($C218,BP!$CU$2:$DG$250,91,0)</f>
        <v>0</v>
      </c>
      <c r="T218" s="106">
        <f>+HLOOKUP($C218,BP!$CU$2:$DG$250,92,0)</f>
        <v>0</v>
      </c>
      <c r="U218" s="106">
        <f>+HLOOKUP($C218,BP!$CU$2:$DG$250,93,0)</f>
        <v>0</v>
      </c>
      <c r="V218" s="106">
        <f>+HLOOKUP($C218,BP!$CU$2:$DG$250,94,0)</f>
        <v>0</v>
      </c>
      <c r="W218" s="106">
        <f>+HLOOKUP($C218,BP!$CU$2:$DG$250,95,0)</f>
        <v>0</v>
      </c>
      <c r="X218" s="106">
        <f>+HLOOKUP($C218,BP!$CU$2:$DG$250,96,0)</f>
        <v>0</v>
      </c>
      <c r="Y218" s="106">
        <f>+HLOOKUP($C218,BP!$CU$2:$DG$250,97,0)</f>
        <v>0</v>
      </c>
      <c r="Z218" s="106">
        <f>+HLOOKUP($C218,BP!$CU$2:$DG$250,98,0)</f>
        <v>0</v>
      </c>
      <c r="AA218" s="106">
        <f>+HLOOKUP($C218,BP!$CU$2:$DG$250,99,0)</f>
        <v>0</v>
      </c>
      <c r="AB218" s="106">
        <f>+HLOOKUP($C218,BP!$CU$2:$DG$250,100,0)</f>
        <v>0</v>
      </c>
      <c r="AC218" s="106">
        <f>+HLOOKUP($C218,BP!$CU$2:$DG$250,101,0)</f>
        <v>0</v>
      </c>
      <c r="AD218" s="106">
        <f>+HLOOKUP($C218,BP!$CU$2:$DG$250,104,0)</f>
        <v>0</v>
      </c>
      <c r="AE218" s="106">
        <f>+HLOOKUP($C218,BP!$CU$2:$DG$250,105,0)</f>
        <v>0</v>
      </c>
      <c r="AF218" s="106">
        <f>+HLOOKUP($C218,BP!$CU$2:$DG$250,106,0)</f>
        <v>0</v>
      </c>
      <c r="AG218" s="106">
        <f>+HLOOKUP($C218,BP!$CU$2:$DG$250,107,0)</f>
        <v>0</v>
      </c>
      <c r="AH218" s="106">
        <f>+HLOOKUP($C218,BP!$CU$2:$DG$250,108,0)</f>
        <v>0</v>
      </c>
      <c r="AI218" s="106">
        <f>+HLOOKUP($C218,BP!$CU$2:$DG$250,109,0)</f>
        <v>0</v>
      </c>
      <c r="AJ218" s="106">
        <f>+HLOOKUP($C218,BP!$CU$2:$DG$250,110,0)</f>
        <v>0</v>
      </c>
      <c r="AK218" s="106">
        <f>+HLOOKUP($C218,BP!$CU$2:$DG$250,111,0)</f>
        <v>0</v>
      </c>
      <c r="AL218" s="106">
        <f>+HLOOKUP($C218,BP!$CU$2:$DG$250,112,0)</f>
        <v>0</v>
      </c>
      <c r="AM218" s="106">
        <f>+HLOOKUP($C218,BP!$CU$2:$DG$250,116,0)</f>
        <v>0</v>
      </c>
      <c r="AN218" s="106">
        <f>+HLOOKUP($C218,BP!$CU$2:$DG$250,117,0)</f>
        <v>0</v>
      </c>
      <c r="AO218" s="106">
        <f>+HLOOKUP($C218,BP!$CU$2:$DG$250,118,0)</f>
        <v>0</v>
      </c>
      <c r="AP218" s="106">
        <f>+HLOOKUP($C218,BP!$CU$2:$DG$250,119,0)</f>
        <v>0</v>
      </c>
      <c r="AQ218" s="106">
        <f>+HLOOKUP($C218,BP!$CU$2:$DG$250,120,0)</f>
        <v>0</v>
      </c>
      <c r="AR218" s="106">
        <f>+HLOOKUP($C218,BP!$CU$2:$DG$250,121,0)</f>
        <v>0</v>
      </c>
      <c r="AS218" s="106">
        <f>+HLOOKUP($C218,BP!$CU$2:$DG$250,122,0)</f>
        <v>0</v>
      </c>
      <c r="AT218" s="106">
        <f>+HLOOKUP($C218,BP!$CU$2:$DG$250,123,0)</f>
        <v>0</v>
      </c>
      <c r="AU218" s="106">
        <f>+HLOOKUP($C218,BP!$CU$2:$DG$250,124,0)</f>
        <v>0</v>
      </c>
      <c r="AV218" s="106">
        <f>+HLOOKUP($C218,BP!$CU$2:$DG$250,125,0)</f>
        <v>0</v>
      </c>
      <c r="AW218" s="106">
        <f>+HLOOKUP($C218,BP!$CU$2:$DG$250,126,0)</f>
        <v>0</v>
      </c>
      <c r="AX218" s="106">
        <f>+HLOOKUP($C218,BP!$CU$2:$DG$250,127,0)</f>
        <v>0</v>
      </c>
      <c r="AY218" s="106">
        <f>+HLOOKUP($C218,BP!$CU$2:$DG$250,129,0)</f>
        <v>0</v>
      </c>
      <c r="AZ218" s="106">
        <f>+HLOOKUP($C218,BP!$CU$2:$DG$250,130,0)</f>
        <v>0</v>
      </c>
      <c r="BA218" s="106">
        <f>+HLOOKUP($C218,BP!$CU$2:$DG$250,131,0)</f>
        <v>0</v>
      </c>
      <c r="BB218" s="106">
        <f>+HLOOKUP($C218,BP!$CU$2:$DG$250,133,0)</f>
        <v>0</v>
      </c>
      <c r="BC218" s="106">
        <f>+HLOOKUP($C218,BP!$CU$2:$DG$250,134,0)</f>
        <v>0</v>
      </c>
      <c r="BD218" s="106">
        <f>+HLOOKUP($C218,BP!$CU$2:$DG$250,135,0)</f>
        <v>0</v>
      </c>
      <c r="BE218" s="106">
        <f>+HLOOKUP($C218,BP!$CU$2:$DG$250,136,0)</f>
        <v>0</v>
      </c>
      <c r="BF218" s="106">
        <f>+HLOOKUP($C218,BP!$CU$2:$DG$250,138,0)</f>
        <v>0</v>
      </c>
      <c r="BG218" s="106">
        <f>+HLOOKUP($C218,BP!$CU$2:$DG$250,139,0)</f>
        <v>0</v>
      </c>
      <c r="BH218" s="106">
        <f>+HLOOKUP($C218,BP!$CU$2:$DG$250,140,0)</f>
        <v>0</v>
      </c>
      <c r="BI218" s="106">
        <f>+HLOOKUP($C218,BP!$CU$2:$DG$250,141,0)</f>
        <v>0</v>
      </c>
      <c r="BJ218" s="106">
        <f>+HLOOKUP($C218,BP!$CU$2:$DG$250,142,0)</f>
        <v>0</v>
      </c>
      <c r="BK218" s="106">
        <f>+HLOOKUP($C218,BP!$CU$2:$DG$250,143,0)</f>
        <v>0</v>
      </c>
      <c r="BL218" s="106">
        <f>+HLOOKUP($C218,BP!$CU$2:$DG$250,144,0)</f>
        <v>0</v>
      </c>
      <c r="BM218" s="106">
        <f>+HLOOKUP($C218,BP!$CU$2:$DG$250,146,0)</f>
        <v>0</v>
      </c>
      <c r="BN218" s="106">
        <f>+HLOOKUP($C218,BP!$CU$2:$DG$250,147,0)</f>
        <v>0</v>
      </c>
      <c r="BO218" s="106">
        <f>+HLOOKUP($C218,BP!$CU$2:$DG$250,148,0)</f>
        <v>0</v>
      </c>
      <c r="BP218" s="106">
        <f>+HLOOKUP($C218,BP!$CU$2:$DG$250,150,0)</f>
        <v>0</v>
      </c>
      <c r="BQ218" s="106">
        <f>+HLOOKUP($C218,BP!$CU$2:$DG$250,151,0)</f>
        <v>0</v>
      </c>
      <c r="BR218" s="106">
        <f>+HLOOKUP($C218,BP!$CU$2:$DG$250,152,0)</f>
        <v>0</v>
      </c>
      <c r="BS218" s="106">
        <f>+HLOOKUP($C218,BP!$CU$2:$DG$250,153,0)</f>
        <v>0</v>
      </c>
      <c r="BT218" s="106">
        <f>+HLOOKUP($C218,BP!$CU$2:$DG$250,157,0)</f>
        <v>0</v>
      </c>
      <c r="BU218" s="106">
        <f>+HLOOKUP($C218,BP!$CU$2:$DG$250,158,0)</f>
        <v>0</v>
      </c>
      <c r="BV218" s="106">
        <f>+HLOOKUP($C218,BP!$CU$2:$DG$250,159,0)</f>
        <v>0</v>
      </c>
      <c r="BW218" s="106">
        <f>+HLOOKUP($C218,BP!$CU$2:$DG$250,160,0)</f>
        <v>0</v>
      </c>
      <c r="BX218" s="106">
        <f>+HLOOKUP($C218,BP!$CU$2:$DG$250,161,0)</f>
        <v>0</v>
      </c>
      <c r="BY218" s="106">
        <f>+HLOOKUP($C218,BP!$CU$2:$DG$250,164,0)</f>
        <v>0</v>
      </c>
      <c r="BZ218" s="106">
        <f>+HLOOKUP($C218,BP!$CU$2:$DG$250,165,0)</f>
        <v>0</v>
      </c>
      <c r="CA218" s="106">
        <f>+HLOOKUP($C218,BP!$CU$2:$DG$250,166,0)</f>
        <v>0</v>
      </c>
      <c r="CB218" s="106">
        <f>+HLOOKUP($C218,BP!$CU$2:$DG$250,167,0)</f>
        <v>0</v>
      </c>
      <c r="CC218" s="106">
        <f>+HLOOKUP($C218,BP!$CU$2:$DG$250,168,0)</f>
        <v>0</v>
      </c>
      <c r="CD218" s="106">
        <f>+HLOOKUP($C218,BP!$CU$2:$DG$250,169,0)</f>
        <v>0</v>
      </c>
      <c r="CE218" s="106">
        <f>+HLOOKUP($C218,BP!$CU$2:$DG$250,170,0)</f>
        <v>0</v>
      </c>
      <c r="CF218" s="106">
        <f>+HLOOKUP($C218,BP!$CU$2:$DG$250,172,0)</f>
        <v>0</v>
      </c>
      <c r="CG218" s="106">
        <f>+HLOOKUP($C218,BP!$CU$2:$DG$250,173,0)</f>
        <v>0</v>
      </c>
      <c r="CH218" s="106">
        <f>+HLOOKUP($C218,BP!$CU$2:$DG$250,174,0)</f>
        <v>0</v>
      </c>
      <c r="CI218" s="106">
        <f>+HLOOKUP($C218,BP!$CU$2:$DG$250,175,0)</f>
        <v>0</v>
      </c>
      <c r="CJ218" s="106">
        <f>+HLOOKUP($C218,BP!$CU$2:$DG$250,176,0)</f>
        <v>0</v>
      </c>
      <c r="CK218" s="106">
        <f>+HLOOKUP($C218,BP!$CU$2:$DG$250,178,0)</f>
        <v>0</v>
      </c>
      <c r="CL218" s="106">
        <f>+HLOOKUP($C218,BP!$CU$2:$DG$250,179,0)</f>
        <v>0</v>
      </c>
      <c r="CM218" s="106">
        <f>+HLOOKUP($C218,BP!$CU$2:$DG$250,180,0)</f>
        <v>0</v>
      </c>
      <c r="CN218" s="106">
        <f>+HLOOKUP($C218,BP!$CU$2:$DG$250,182,0)</f>
        <v>0</v>
      </c>
      <c r="CO218" s="106">
        <f>+HLOOKUP($C218,BP!$CU$2:$DG$250,183,0)</f>
        <v>0</v>
      </c>
      <c r="CP218" s="106">
        <f>+HLOOKUP($C218,BP!$CU$2:$DG$250,184,0)</f>
        <v>0</v>
      </c>
      <c r="CQ218" s="106">
        <f>+HLOOKUP($C218,BP!$CU$2:$DG$250,185,0)</f>
        <v>0</v>
      </c>
      <c r="CR218" s="106">
        <f>+HLOOKUP($C218,BP!$CU$2:$DG$250,187,0)</f>
        <v>0</v>
      </c>
      <c r="CS218" s="106">
        <f>+HLOOKUP($C218,BP!$CU$2:$DG$250,188,0)</f>
        <v>0</v>
      </c>
      <c r="CT218" s="106">
        <f>+HLOOKUP($C218,BP!$CU$2:$DG$250,189,0)</f>
        <v>0</v>
      </c>
      <c r="CU218" s="106">
        <f>+HLOOKUP($C218,BP!$CU$2:$DG$250,190,0)</f>
        <v>0</v>
      </c>
      <c r="CV218" s="106">
        <f>+HLOOKUP($C218,BP!$CU$2:$DG$250,191,0)</f>
        <v>0</v>
      </c>
      <c r="CW218" s="106">
        <f>+HLOOKUP($C218,BP!$CU$2:$DG$250,193,0)</f>
        <v>0</v>
      </c>
      <c r="CX218" s="106">
        <f>+HLOOKUP($C218,BP!$CU$2:$DG$250,194,0)</f>
        <v>0</v>
      </c>
      <c r="CY218" s="106">
        <f>+HLOOKUP($C218,BP!$CU$2:$DG$250,195,0)</f>
        <v>0</v>
      </c>
      <c r="CZ218" s="106">
        <f>+HLOOKUP($C218,BP!$CU$2:$DG$250,196,0)</f>
        <v>0</v>
      </c>
      <c r="DA218" s="106">
        <f>+HLOOKUP($C218,BP!$CU$2:$DG$250,197,0)</f>
        <v>0</v>
      </c>
      <c r="DB218" s="106">
        <f>+HLOOKUP($C218,BP!$CU$2:$DG$250,198,0)</f>
        <v>0</v>
      </c>
      <c r="DC218" s="106">
        <f>+HLOOKUP($C218,BP!$CU$2:$DG$250,199,0)</f>
        <v>0</v>
      </c>
      <c r="DD218" s="106">
        <f>+HLOOKUP($C218,BP!$CU$2:$DG$250,200,0)</f>
        <v>0</v>
      </c>
      <c r="DE218" s="106">
        <f>+HLOOKUP($C218,BP!$CU$2:$DG$250,201,0)</f>
        <v>0</v>
      </c>
      <c r="DF218" s="106">
        <f>+HLOOKUP($C218,BP!$CU$2:$DG$250,202,0)</f>
        <v>0</v>
      </c>
      <c r="DG218" s="106">
        <f>+HLOOKUP($C218,BP!$CU$2:$DG$250,203,0)</f>
        <v>0</v>
      </c>
      <c r="DH218" s="106">
        <f>+HLOOKUP($C218,BP!$CU$2:$DG$250,205,0)</f>
        <v>0</v>
      </c>
      <c r="DI218" s="106">
        <f>+HLOOKUP($C218,BP!$CU$2:$DG$250,206,0)</f>
        <v>0</v>
      </c>
      <c r="DJ218" s="106">
        <f>+HLOOKUP($C218,BP!$CU$2:$DG$250,207,0)</f>
        <v>0</v>
      </c>
      <c r="DK218" s="106">
        <f>+HLOOKUP($C218,BP!$CU$2:$DG$250,209,0)</f>
        <v>0</v>
      </c>
      <c r="DL218" s="106">
        <f>+HLOOKUP($C218,BP!$CU$2:$DG$250,210,0)</f>
        <v>0</v>
      </c>
      <c r="DM218" s="106">
        <f>+HLOOKUP($C218,BP!$CU$2:$DG$250,211,0)</f>
        <v>0</v>
      </c>
      <c r="DN218" s="106">
        <f>+HLOOKUP($C218,BP!$CU$2:$DG$250,212,0)</f>
        <v>0</v>
      </c>
      <c r="DO218" s="106">
        <f>+HLOOKUP($C218,BP!$CU$2:$DG$250,214,0)</f>
        <v>0</v>
      </c>
      <c r="DP218" s="106">
        <f>+HLOOKUP($C218,BP!$CU$2:$DG$250,215,0)</f>
        <v>0</v>
      </c>
      <c r="DQ218" s="106">
        <f>+HLOOKUP($C218,BP!$CU$2:$DG$250,219,0)</f>
        <v>0</v>
      </c>
      <c r="DR218" s="106">
        <f>+HLOOKUP($C218,BP!$CU$2:$DG$250,220,0)</f>
        <v>0</v>
      </c>
      <c r="DS218" s="106">
        <f>+HLOOKUP($C218,BP!$CU$2:$DG$250,221,0)</f>
        <v>0</v>
      </c>
      <c r="DT218" s="106">
        <f>+HLOOKUP($C218,BP!$CU$2:$DG$250,223,0)</f>
        <v>0</v>
      </c>
      <c r="DU218" s="106">
        <f>+HLOOKUP($C218,BP!$CU$2:$DG$250,224,0)</f>
        <v>0</v>
      </c>
      <c r="DV218" s="106">
        <f>+HLOOKUP($C218,BP!$CU$2:$DG$250,225,0)</f>
        <v>0</v>
      </c>
      <c r="DW218" s="106">
        <f>+HLOOKUP($C218,BP!$CU$2:$DG$250,227,0)</f>
        <v>0</v>
      </c>
      <c r="DX218" s="106">
        <f>+HLOOKUP($C218,BP!$CU$2:$DG$250,228,0)</f>
        <v>0</v>
      </c>
      <c r="DY218" s="106">
        <f>+HLOOKUP($C218,BP!$CU$2:$DG$250,236,0)</f>
        <v>0</v>
      </c>
      <c r="DZ218" s="106">
        <f>+HLOOKUP($C218,BP!$CU$2:$DG$250,237,0)</f>
        <v>0</v>
      </c>
      <c r="EA218" s="106">
        <f>+HLOOKUP($C218,BP!$CU$2:$DG$250,238,0)</f>
        <v>0</v>
      </c>
      <c r="EB218" s="106">
        <f>+HLOOKUP($C218,BP!$CU$2:$DG$250,240,0)</f>
        <v>0</v>
      </c>
    </row>
    <row r="219" spans="1:132" hidden="1">
      <c r="A219" t="s">
        <v>271</v>
      </c>
      <c r="B219" t="s">
        <v>218</v>
      </c>
      <c r="C219" s="117">
        <v>45962</v>
      </c>
      <c r="D219" s="106">
        <f t="shared" si="5"/>
        <v>0</v>
      </c>
      <c r="E219" s="106">
        <f>+HLOOKUP(C219,BP!$CU$2:$DG$250,28,0)+HLOOKUP(C219,BP!$CU$2:$DG$250,43,0)+HLOOKUP(C219,BP!$CU$2:$DG$250,44,0)+HLOOKUP(C219,BP!$CU$2:$DG$250,45,0)+HLOOKUP(C219,BP!$CU$2:$DG$250,54,0)+HLOOKUP(C219,BP!$CU$2:$DG$250,59,0)</f>
        <v>0</v>
      </c>
      <c r="F219" s="106">
        <f>+HLOOKUP(C219,BP!$CU$2:$DG$250,37,0)+HLOOKUP(C219,BP!$CU$2:$DG$250,55,0)</f>
        <v>0</v>
      </c>
      <c r="G219" s="106">
        <f>+HLOOKUP($C219,BP!$CU$2:$DG$250,76,0)</f>
        <v>0</v>
      </c>
      <c r="H219" s="106">
        <f>+HLOOKUP($C219,BP!$CU$2:$DG$250,77,0)</f>
        <v>0</v>
      </c>
      <c r="I219" s="106">
        <f>+HLOOKUP($C219,BP!$CU$2:$DG$250,78,0)</f>
        <v>0</v>
      </c>
      <c r="J219" s="106">
        <f>+HLOOKUP($C219,BP!$CU$2:$DG$250,79,0)</f>
        <v>0</v>
      </c>
      <c r="K219" s="106">
        <f>+HLOOKUP($C219,BP!$CU$2:$DG$250,80,0)</f>
        <v>0</v>
      </c>
      <c r="L219" s="106">
        <f>+HLOOKUP($C219,BP!$CU$2:$DG$250,81,0)</f>
        <v>0</v>
      </c>
      <c r="M219" s="106">
        <f>+HLOOKUP($C219,BP!$CU$2:$DG$250,82,0)</f>
        <v>0</v>
      </c>
      <c r="N219" s="106">
        <f>+HLOOKUP($C219,BP!$CU$2:$DG$250,83,0)</f>
        <v>0</v>
      </c>
      <c r="O219" s="106">
        <f>+HLOOKUP($C219,BP!$CU$2:$DG$250,84,0)</f>
        <v>0</v>
      </c>
      <c r="P219" s="106">
        <f>+HLOOKUP($C219,BP!$CU$2:$DG$250,85,0)</f>
        <v>0</v>
      </c>
      <c r="Q219" s="106">
        <f>+HLOOKUP($C219,BP!$CU$2:$DG$250,87,0)</f>
        <v>0</v>
      </c>
      <c r="R219" s="106">
        <f>+HLOOKUP($C219,BP!$CU$2:$DG$250,90,0)</f>
        <v>0</v>
      </c>
      <c r="S219" s="106">
        <f>+HLOOKUP($C219,BP!$CU$2:$DG$250,91,0)</f>
        <v>0</v>
      </c>
      <c r="T219" s="106">
        <f>+HLOOKUP($C219,BP!$CU$2:$DG$250,92,0)</f>
        <v>0</v>
      </c>
      <c r="U219" s="106">
        <f>+HLOOKUP($C219,BP!$CU$2:$DG$250,93,0)</f>
        <v>0</v>
      </c>
      <c r="V219" s="106">
        <f>+HLOOKUP($C219,BP!$CU$2:$DG$250,94,0)</f>
        <v>0</v>
      </c>
      <c r="W219" s="106">
        <f>+HLOOKUP($C219,BP!$CU$2:$DG$250,95,0)</f>
        <v>0</v>
      </c>
      <c r="X219" s="106">
        <f>+HLOOKUP($C219,BP!$CU$2:$DG$250,96,0)</f>
        <v>0</v>
      </c>
      <c r="Y219" s="106">
        <f>+HLOOKUP($C219,BP!$CU$2:$DG$250,97,0)</f>
        <v>0</v>
      </c>
      <c r="Z219" s="106">
        <f>+HLOOKUP($C219,BP!$CU$2:$DG$250,98,0)</f>
        <v>0</v>
      </c>
      <c r="AA219" s="106">
        <f>+HLOOKUP($C219,BP!$CU$2:$DG$250,99,0)</f>
        <v>0</v>
      </c>
      <c r="AB219" s="106">
        <f>+HLOOKUP($C219,BP!$CU$2:$DG$250,100,0)</f>
        <v>0</v>
      </c>
      <c r="AC219" s="106">
        <f>+HLOOKUP($C219,BP!$CU$2:$DG$250,101,0)</f>
        <v>0</v>
      </c>
      <c r="AD219" s="106">
        <f>+HLOOKUP($C219,BP!$CU$2:$DG$250,104,0)</f>
        <v>0</v>
      </c>
      <c r="AE219" s="106">
        <f>+HLOOKUP($C219,BP!$CU$2:$DG$250,105,0)</f>
        <v>0</v>
      </c>
      <c r="AF219" s="106">
        <f>+HLOOKUP($C219,BP!$CU$2:$DG$250,106,0)</f>
        <v>0</v>
      </c>
      <c r="AG219" s="106">
        <f>+HLOOKUP($C219,BP!$CU$2:$DG$250,107,0)</f>
        <v>0</v>
      </c>
      <c r="AH219" s="106">
        <f>+HLOOKUP($C219,BP!$CU$2:$DG$250,108,0)</f>
        <v>0</v>
      </c>
      <c r="AI219" s="106">
        <f>+HLOOKUP($C219,BP!$CU$2:$DG$250,109,0)</f>
        <v>0</v>
      </c>
      <c r="AJ219" s="106">
        <f>+HLOOKUP($C219,BP!$CU$2:$DG$250,110,0)</f>
        <v>0</v>
      </c>
      <c r="AK219" s="106">
        <f>+HLOOKUP($C219,BP!$CU$2:$DG$250,111,0)</f>
        <v>0</v>
      </c>
      <c r="AL219" s="106">
        <f>+HLOOKUP($C219,BP!$CU$2:$DG$250,112,0)</f>
        <v>0</v>
      </c>
      <c r="AM219" s="106">
        <f>+HLOOKUP($C219,BP!$CU$2:$DG$250,116,0)</f>
        <v>0</v>
      </c>
      <c r="AN219" s="106">
        <f>+HLOOKUP($C219,BP!$CU$2:$DG$250,117,0)</f>
        <v>0</v>
      </c>
      <c r="AO219" s="106">
        <f>+HLOOKUP($C219,BP!$CU$2:$DG$250,118,0)</f>
        <v>0</v>
      </c>
      <c r="AP219" s="106">
        <f>+HLOOKUP($C219,BP!$CU$2:$DG$250,119,0)</f>
        <v>0</v>
      </c>
      <c r="AQ219" s="106">
        <f>+HLOOKUP($C219,BP!$CU$2:$DG$250,120,0)</f>
        <v>0</v>
      </c>
      <c r="AR219" s="106">
        <f>+HLOOKUP($C219,BP!$CU$2:$DG$250,121,0)</f>
        <v>0</v>
      </c>
      <c r="AS219" s="106">
        <f>+HLOOKUP($C219,BP!$CU$2:$DG$250,122,0)</f>
        <v>0</v>
      </c>
      <c r="AT219" s="106">
        <f>+HLOOKUP($C219,BP!$CU$2:$DG$250,123,0)</f>
        <v>0</v>
      </c>
      <c r="AU219" s="106">
        <f>+HLOOKUP($C219,BP!$CU$2:$DG$250,124,0)</f>
        <v>0</v>
      </c>
      <c r="AV219" s="106">
        <f>+HLOOKUP($C219,BP!$CU$2:$DG$250,125,0)</f>
        <v>0</v>
      </c>
      <c r="AW219" s="106">
        <f>+HLOOKUP($C219,BP!$CU$2:$DG$250,126,0)</f>
        <v>0</v>
      </c>
      <c r="AX219" s="106">
        <f>+HLOOKUP($C219,BP!$CU$2:$DG$250,127,0)</f>
        <v>0</v>
      </c>
      <c r="AY219" s="106">
        <f>+HLOOKUP($C219,BP!$CU$2:$DG$250,129,0)</f>
        <v>0</v>
      </c>
      <c r="AZ219" s="106">
        <f>+HLOOKUP($C219,BP!$CU$2:$DG$250,130,0)</f>
        <v>0</v>
      </c>
      <c r="BA219" s="106">
        <f>+HLOOKUP($C219,BP!$CU$2:$DG$250,131,0)</f>
        <v>0</v>
      </c>
      <c r="BB219" s="106">
        <f>+HLOOKUP($C219,BP!$CU$2:$DG$250,133,0)</f>
        <v>0</v>
      </c>
      <c r="BC219" s="106">
        <f>+HLOOKUP($C219,BP!$CU$2:$DG$250,134,0)</f>
        <v>0</v>
      </c>
      <c r="BD219" s="106">
        <f>+HLOOKUP($C219,BP!$CU$2:$DG$250,135,0)</f>
        <v>0</v>
      </c>
      <c r="BE219" s="106">
        <f>+HLOOKUP($C219,BP!$CU$2:$DG$250,136,0)</f>
        <v>0</v>
      </c>
      <c r="BF219" s="106">
        <f>+HLOOKUP($C219,BP!$CU$2:$DG$250,138,0)</f>
        <v>0</v>
      </c>
      <c r="BG219" s="106">
        <f>+HLOOKUP($C219,BP!$CU$2:$DG$250,139,0)</f>
        <v>0</v>
      </c>
      <c r="BH219" s="106">
        <f>+HLOOKUP($C219,BP!$CU$2:$DG$250,140,0)</f>
        <v>0</v>
      </c>
      <c r="BI219" s="106">
        <f>+HLOOKUP($C219,BP!$CU$2:$DG$250,141,0)</f>
        <v>0</v>
      </c>
      <c r="BJ219" s="106">
        <f>+HLOOKUP($C219,BP!$CU$2:$DG$250,142,0)</f>
        <v>0</v>
      </c>
      <c r="BK219" s="106">
        <f>+HLOOKUP($C219,BP!$CU$2:$DG$250,143,0)</f>
        <v>0</v>
      </c>
      <c r="BL219" s="106">
        <f>+HLOOKUP($C219,BP!$CU$2:$DG$250,144,0)</f>
        <v>0</v>
      </c>
      <c r="BM219" s="106">
        <f>+HLOOKUP($C219,BP!$CU$2:$DG$250,146,0)</f>
        <v>0</v>
      </c>
      <c r="BN219" s="106">
        <f>+HLOOKUP($C219,BP!$CU$2:$DG$250,147,0)</f>
        <v>0</v>
      </c>
      <c r="BO219" s="106">
        <f>+HLOOKUP($C219,BP!$CU$2:$DG$250,148,0)</f>
        <v>0</v>
      </c>
      <c r="BP219" s="106">
        <f>+HLOOKUP($C219,BP!$CU$2:$DG$250,150,0)</f>
        <v>0</v>
      </c>
      <c r="BQ219" s="106">
        <f>+HLOOKUP($C219,BP!$CU$2:$DG$250,151,0)</f>
        <v>0</v>
      </c>
      <c r="BR219" s="106">
        <f>+HLOOKUP($C219,BP!$CU$2:$DG$250,152,0)</f>
        <v>0</v>
      </c>
      <c r="BS219" s="106">
        <f>+HLOOKUP($C219,BP!$CU$2:$DG$250,153,0)</f>
        <v>0</v>
      </c>
      <c r="BT219" s="106">
        <f>+HLOOKUP($C219,BP!$CU$2:$DG$250,157,0)</f>
        <v>0</v>
      </c>
      <c r="BU219" s="106">
        <f>+HLOOKUP($C219,BP!$CU$2:$DG$250,158,0)</f>
        <v>0</v>
      </c>
      <c r="BV219" s="106">
        <f>+HLOOKUP($C219,BP!$CU$2:$DG$250,159,0)</f>
        <v>0</v>
      </c>
      <c r="BW219" s="106">
        <f>+HLOOKUP($C219,BP!$CU$2:$DG$250,160,0)</f>
        <v>0</v>
      </c>
      <c r="BX219" s="106">
        <f>+HLOOKUP($C219,BP!$CU$2:$DG$250,161,0)</f>
        <v>0</v>
      </c>
      <c r="BY219" s="106">
        <f>+HLOOKUP($C219,BP!$CU$2:$DG$250,164,0)</f>
        <v>0</v>
      </c>
      <c r="BZ219" s="106">
        <f>+HLOOKUP($C219,BP!$CU$2:$DG$250,165,0)</f>
        <v>0</v>
      </c>
      <c r="CA219" s="106">
        <f>+HLOOKUP($C219,BP!$CU$2:$DG$250,166,0)</f>
        <v>0</v>
      </c>
      <c r="CB219" s="106">
        <f>+HLOOKUP($C219,BP!$CU$2:$DG$250,167,0)</f>
        <v>0</v>
      </c>
      <c r="CC219" s="106">
        <f>+HLOOKUP($C219,BP!$CU$2:$DG$250,168,0)</f>
        <v>0</v>
      </c>
      <c r="CD219" s="106">
        <f>+HLOOKUP($C219,BP!$CU$2:$DG$250,169,0)</f>
        <v>0</v>
      </c>
      <c r="CE219" s="106">
        <f>+HLOOKUP($C219,BP!$CU$2:$DG$250,170,0)</f>
        <v>0</v>
      </c>
      <c r="CF219" s="106">
        <f>+HLOOKUP($C219,BP!$CU$2:$DG$250,172,0)</f>
        <v>0</v>
      </c>
      <c r="CG219" s="106">
        <f>+HLOOKUP($C219,BP!$CU$2:$DG$250,173,0)</f>
        <v>0</v>
      </c>
      <c r="CH219" s="106">
        <f>+HLOOKUP($C219,BP!$CU$2:$DG$250,174,0)</f>
        <v>0</v>
      </c>
      <c r="CI219" s="106">
        <f>+HLOOKUP($C219,BP!$CU$2:$DG$250,175,0)</f>
        <v>0</v>
      </c>
      <c r="CJ219" s="106">
        <f>+HLOOKUP($C219,BP!$CU$2:$DG$250,176,0)</f>
        <v>0</v>
      </c>
      <c r="CK219" s="106">
        <f>+HLOOKUP($C219,BP!$CU$2:$DG$250,178,0)</f>
        <v>0</v>
      </c>
      <c r="CL219" s="106">
        <f>+HLOOKUP($C219,BP!$CU$2:$DG$250,179,0)</f>
        <v>0</v>
      </c>
      <c r="CM219" s="106">
        <f>+HLOOKUP($C219,BP!$CU$2:$DG$250,180,0)</f>
        <v>0</v>
      </c>
      <c r="CN219" s="106">
        <f>+HLOOKUP($C219,BP!$CU$2:$DG$250,182,0)</f>
        <v>0</v>
      </c>
      <c r="CO219" s="106">
        <f>+HLOOKUP($C219,BP!$CU$2:$DG$250,183,0)</f>
        <v>0</v>
      </c>
      <c r="CP219" s="106">
        <f>+HLOOKUP($C219,BP!$CU$2:$DG$250,184,0)</f>
        <v>0</v>
      </c>
      <c r="CQ219" s="106">
        <f>+HLOOKUP($C219,BP!$CU$2:$DG$250,185,0)</f>
        <v>0</v>
      </c>
      <c r="CR219" s="106">
        <f>+HLOOKUP($C219,BP!$CU$2:$DG$250,187,0)</f>
        <v>0</v>
      </c>
      <c r="CS219" s="106">
        <f>+HLOOKUP($C219,BP!$CU$2:$DG$250,188,0)</f>
        <v>0</v>
      </c>
      <c r="CT219" s="106">
        <f>+HLOOKUP($C219,BP!$CU$2:$DG$250,189,0)</f>
        <v>0</v>
      </c>
      <c r="CU219" s="106">
        <f>+HLOOKUP($C219,BP!$CU$2:$DG$250,190,0)</f>
        <v>0</v>
      </c>
      <c r="CV219" s="106">
        <f>+HLOOKUP($C219,BP!$CU$2:$DG$250,191,0)</f>
        <v>0</v>
      </c>
      <c r="CW219" s="106">
        <f>+HLOOKUP($C219,BP!$CU$2:$DG$250,193,0)</f>
        <v>0</v>
      </c>
      <c r="CX219" s="106">
        <f>+HLOOKUP($C219,BP!$CU$2:$DG$250,194,0)</f>
        <v>0</v>
      </c>
      <c r="CY219" s="106">
        <f>+HLOOKUP($C219,BP!$CU$2:$DG$250,195,0)</f>
        <v>0</v>
      </c>
      <c r="CZ219" s="106">
        <f>+HLOOKUP($C219,BP!$CU$2:$DG$250,196,0)</f>
        <v>0</v>
      </c>
      <c r="DA219" s="106">
        <f>+HLOOKUP($C219,BP!$CU$2:$DG$250,197,0)</f>
        <v>0</v>
      </c>
      <c r="DB219" s="106">
        <f>+HLOOKUP($C219,BP!$CU$2:$DG$250,198,0)</f>
        <v>0</v>
      </c>
      <c r="DC219" s="106">
        <f>+HLOOKUP($C219,BP!$CU$2:$DG$250,199,0)</f>
        <v>0</v>
      </c>
      <c r="DD219" s="106">
        <f>+HLOOKUP($C219,BP!$CU$2:$DG$250,200,0)</f>
        <v>0</v>
      </c>
      <c r="DE219" s="106">
        <f>+HLOOKUP($C219,BP!$CU$2:$DG$250,201,0)</f>
        <v>0</v>
      </c>
      <c r="DF219" s="106">
        <f>+HLOOKUP($C219,BP!$CU$2:$DG$250,202,0)</f>
        <v>0</v>
      </c>
      <c r="DG219" s="106">
        <f>+HLOOKUP($C219,BP!$CU$2:$DG$250,203,0)</f>
        <v>0</v>
      </c>
      <c r="DH219" s="106">
        <f>+HLOOKUP($C219,BP!$CU$2:$DG$250,205,0)</f>
        <v>0</v>
      </c>
      <c r="DI219" s="106">
        <f>+HLOOKUP($C219,BP!$CU$2:$DG$250,206,0)</f>
        <v>0</v>
      </c>
      <c r="DJ219" s="106">
        <f>+HLOOKUP($C219,BP!$CU$2:$DG$250,207,0)</f>
        <v>0</v>
      </c>
      <c r="DK219" s="106">
        <f>+HLOOKUP($C219,BP!$CU$2:$DG$250,209,0)</f>
        <v>0</v>
      </c>
      <c r="DL219" s="106">
        <f>+HLOOKUP($C219,BP!$CU$2:$DG$250,210,0)</f>
        <v>0</v>
      </c>
      <c r="DM219" s="106">
        <f>+HLOOKUP($C219,BP!$CU$2:$DG$250,211,0)</f>
        <v>0</v>
      </c>
      <c r="DN219" s="106">
        <f>+HLOOKUP($C219,BP!$CU$2:$DG$250,212,0)</f>
        <v>0</v>
      </c>
      <c r="DO219" s="106">
        <f>+HLOOKUP($C219,BP!$CU$2:$DG$250,214,0)</f>
        <v>0</v>
      </c>
      <c r="DP219" s="106">
        <f>+HLOOKUP($C219,BP!$CU$2:$DG$250,215,0)</f>
        <v>0</v>
      </c>
      <c r="DQ219" s="106">
        <f>+HLOOKUP($C219,BP!$CU$2:$DG$250,219,0)</f>
        <v>0</v>
      </c>
      <c r="DR219" s="106">
        <f>+HLOOKUP($C219,BP!$CU$2:$DG$250,220,0)</f>
        <v>0</v>
      </c>
      <c r="DS219" s="106">
        <f>+HLOOKUP($C219,BP!$CU$2:$DG$250,221,0)</f>
        <v>0</v>
      </c>
      <c r="DT219" s="106">
        <f>+HLOOKUP($C219,BP!$CU$2:$DG$250,223,0)</f>
        <v>0</v>
      </c>
      <c r="DU219" s="106">
        <f>+HLOOKUP($C219,BP!$CU$2:$DG$250,224,0)</f>
        <v>0</v>
      </c>
      <c r="DV219" s="106">
        <f>+HLOOKUP($C219,BP!$CU$2:$DG$250,225,0)</f>
        <v>0</v>
      </c>
      <c r="DW219" s="106">
        <f>+HLOOKUP($C219,BP!$CU$2:$DG$250,227,0)</f>
        <v>0</v>
      </c>
      <c r="DX219" s="106">
        <f>+HLOOKUP($C219,BP!$CU$2:$DG$250,228,0)</f>
        <v>0</v>
      </c>
      <c r="DY219" s="106">
        <f>+HLOOKUP($C219,BP!$CU$2:$DG$250,236,0)</f>
        <v>0</v>
      </c>
      <c r="DZ219" s="106">
        <f>+HLOOKUP($C219,BP!$CU$2:$DG$250,237,0)</f>
        <v>0</v>
      </c>
      <c r="EA219" s="106">
        <f>+HLOOKUP($C219,BP!$CU$2:$DG$250,238,0)</f>
        <v>0</v>
      </c>
      <c r="EB219" s="106">
        <f>+HLOOKUP($C219,BP!$CU$2:$DG$250,240,0)</f>
        <v>0</v>
      </c>
    </row>
    <row r="220" spans="1:132" hidden="1">
      <c r="A220" t="s">
        <v>271</v>
      </c>
      <c r="B220" t="s">
        <v>218</v>
      </c>
      <c r="C220" s="117">
        <v>45931</v>
      </c>
      <c r="D220" s="106">
        <f t="shared" si="5"/>
        <v>3009392.0366000002</v>
      </c>
      <c r="E220" s="106">
        <f>+HLOOKUP(C220,BP!$CU$2:$DG$250,28,0)+HLOOKUP(C220,BP!$CU$2:$DG$250,43,0)+HLOOKUP(C220,BP!$CU$2:$DG$250,44,0)+HLOOKUP(C220,BP!$CU$2:$DG$250,45,0)+HLOOKUP(C220,BP!$CU$2:$DG$250,54,0)+HLOOKUP(C220,BP!$CU$2:$DG$250,59,0)</f>
        <v>3009392.0366000002</v>
      </c>
      <c r="F220" s="106">
        <f>+HLOOKUP(C220,BP!$CU$2:$DG$250,37,0)+HLOOKUP(C220,BP!$CU$2:$DG$250,55,0)</f>
        <v>2032045.79</v>
      </c>
      <c r="G220" s="106">
        <f>+HLOOKUP($C220,BP!$CU$2:$DG$250,76,0)</f>
        <v>0</v>
      </c>
      <c r="H220" s="106">
        <f>+HLOOKUP($C220,BP!$CU$2:$DG$250,77,0)</f>
        <v>0</v>
      </c>
      <c r="I220" s="106">
        <f>+HLOOKUP($C220,BP!$CU$2:$DG$250,78,0)</f>
        <v>0</v>
      </c>
      <c r="J220" s="106">
        <f>+HLOOKUP($C220,BP!$CU$2:$DG$250,79,0)</f>
        <v>0</v>
      </c>
      <c r="K220" s="106">
        <f>+HLOOKUP($C220,BP!$CU$2:$DG$250,80,0)</f>
        <v>75000</v>
      </c>
      <c r="L220" s="106">
        <f>+HLOOKUP($C220,BP!$CU$2:$DG$250,81,0)</f>
        <v>0</v>
      </c>
      <c r="M220" s="106">
        <f>+HLOOKUP($C220,BP!$CU$2:$DG$250,82,0)</f>
        <v>0</v>
      </c>
      <c r="N220" s="106">
        <f>+HLOOKUP($C220,BP!$CU$2:$DG$250,83,0)</f>
        <v>0</v>
      </c>
      <c r="O220" s="106">
        <f>+HLOOKUP($C220,BP!$CU$2:$DG$250,84,0)</f>
        <v>0</v>
      </c>
      <c r="P220" s="106">
        <f>+HLOOKUP($C220,BP!$CU$2:$DG$250,85,0)</f>
        <v>0</v>
      </c>
      <c r="Q220" s="106">
        <f>+HLOOKUP($C220,BP!$CU$2:$DG$250,87,0)</f>
        <v>56225.279999999999</v>
      </c>
      <c r="R220" s="106">
        <f>+HLOOKUP($C220,BP!$CU$2:$DG$250,90,0)</f>
        <v>0</v>
      </c>
      <c r="S220" s="106">
        <f>+HLOOKUP($C220,BP!$CU$2:$DG$250,91,0)</f>
        <v>383.23800000000006</v>
      </c>
      <c r="T220" s="106">
        <f>+HLOOKUP($C220,BP!$CU$2:$DG$250,92,0)</f>
        <v>0</v>
      </c>
      <c r="U220" s="106">
        <f>+HLOOKUP($C220,BP!$CU$2:$DG$250,93,0)</f>
        <v>0</v>
      </c>
      <c r="V220" s="106">
        <f>+HLOOKUP($C220,BP!$CU$2:$DG$250,94,0)</f>
        <v>0</v>
      </c>
      <c r="W220" s="106">
        <f>+HLOOKUP($C220,BP!$CU$2:$DG$250,95,0)</f>
        <v>0</v>
      </c>
      <c r="X220" s="106">
        <f>+HLOOKUP($C220,BP!$CU$2:$DG$250,96,0)</f>
        <v>0</v>
      </c>
      <c r="Y220" s="106">
        <f>+HLOOKUP($C220,BP!$CU$2:$DG$250,97,0)</f>
        <v>0</v>
      </c>
      <c r="Z220" s="106">
        <f>+HLOOKUP($C220,BP!$CU$2:$DG$250,98,0)</f>
        <v>0</v>
      </c>
      <c r="AA220" s="106">
        <f>+HLOOKUP($C220,BP!$CU$2:$DG$250,99,0)</f>
        <v>0</v>
      </c>
      <c r="AB220" s="106">
        <f>+HLOOKUP($C220,BP!$CU$2:$DG$250,100,0)</f>
        <v>0</v>
      </c>
      <c r="AC220" s="106">
        <f>+HLOOKUP($C220,BP!$CU$2:$DG$250,101,0)</f>
        <v>0</v>
      </c>
      <c r="AD220" s="106">
        <f>+HLOOKUP($C220,BP!$CU$2:$DG$250,104,0)</f>
        <v>0</v>
      </c>
      <c r="AE220" s="106">
        <f>+HLOOKUP($C220,BP!$CU$2:$DG$250,105,0)</f>
        <v>5400</v>
      </c>
      <c r="AF220" s="106">
        <f>+HLOOKUP($C220,BP!$CU$2:$DG$250,106,0)</f>
        <v>0</v>
      </c>
      <c r="AG220" s="106">
        <f>+HLOOKUP($C220,BP!$CU$2:$DG$250,107,0)</f>
        <v>0</v>
      </c>
      <c r="AH220" s="106">
        <f>+HLOOKUP($C220,BP!$CU$2:$DG$250,108,0)</f>
        <v>0</v>
      </c>
      <c r="AI220" s="106">
        <f>+HLOOKUP($C220,BP!$CU$2:$DG$250,109,0)</f>
        <v>0</v>
      </c>
      <c r="AJ220" s="106">
        <f>+HLOOKUP($C220,BP!$CU$2:$DG$250,110,0)</f>
        <v>0</v>
      </c>
      <c r="AK220" s="106">
        <f>+HLOOKUP($C220,BP!$CU$2:$DG$250,111,0)</f>
        <v>0</v>
      </c>
      <c r="AL220" s="106">
        <f>+HLOOKUP($C220,BP!$CU$2:$DG$250,112,0)</f>
        <v>0</v>
      </c>
      <c r="AM220" s="106">
        <f>+HLOOKUP($C220,BP!$CU$2:$DG$250,116,0)</f>
        <v>27960</v>
      </c>
      <c r="AN220" s="106">
        <f>+HLOOKUP($C220,BP!$CU$2:$DG$250,117,0)</f>
        <v>3982</v>
      </c>
      <c r="AO220" s="106">
        <f>+HLOOKUP($C220,BP!$CU$2:$DG$250,118,0)</f>
        <v>0</v>
      </c>
      <c r="AP220" s="106">
        <f>+HLOOKUP($C220,BP!$CU$2:$DG$250,119,0)</f>
        <v>8854</v>
      </c>
      <c r="AQ220" s="106">
        <f>+HLOOKUP($C220,BP!$CU$2:$DG$250,120,0)</f>
        <v>3828</v>
      </c>
      <c r="AR220" s="106">
        <f>+HLOOKUP($C220,BP!$CU$2:$DG$250,121,0)</f>
        <v>1938</v>
      </c>
      <c r="AS220" s="106">
        <f>+HLOOKUP($C220,BP!$CU$2:$DG$250,122,0)</f>
        <v>13388</v>
      </c>
      <c r="AT220" s="106">
        <f>+HLOOKUP($C220,BP!$CU$2:$DG$250,123,0)</f>
        <v>2286.8210263888886</v>
      </c>
      <c r="AU220" s="106">
        <f>+HLOOKUP($C220,BP!$CU$2:$DG$250,124,0)</f>
        <v>0</v>
      </c>
      <c r="AV220" s="106">
        <f>+HLOOKUP($C220,BP!$CU$2:$DG$250,125,0)</f>
        <v>33369.300000000003</v>
      </c>
      <c r="AW220" s="106">
        <f>+HLOOKUP($C220,BP!$CU$2:$DG$250,126,0)</f>
        <v>836.53846153846155</v>
      </c>
      <c r="AX220" s="106">
        <f>+HLOOKUP($C220,BP!$CU$2:$DG$250,127,0)</f>
        <v>1283.3333333333333</v>
      </c>
      <c r="AY220" s="106">
        <f>+HLOOKUP($C220,BP!$CU$2:$DG$250,129,0)</f>
        <v>0</v>
      </c>
      <c r="AZ220" s="106">
        <f>+HLOOKUP($C220,BP!$CU$2:$DG$250,130,0)</f>
        <v>0</v>
      </c>
      <c r="BA220" s="106">
        <f>+HLOOKUP($C220,BP!$CU$2:$DG$250,131,0)</f>
        <v>0</v>
      </c>
      <c r="BB220" s="106">
        <f>+HLOOKUP($C220,BP!$CU$2:$DG$250,133,0)</f>
        <v>0</v>
      </c>
      <c r="BC220" s="106">
        <f>+HLOOKUP($C220,BP!$CU$2:$DG$250,134,0)</f>
        <v>3632.22</v>
      </c>
      <c r="BD220" s="106">
        <f>+HLOOKUP($C220,BP!$CU$2:$DG$250,135,0)</f>
        <v>0</v>
      </c>
      <c r="BE220" s="106">
        <f>+HLOOKUP($C220,BP!$CU$2:$DG$250,136,0)</f>
        <v>0</v>
      </c>
      <c r="BF220" s="106">
        <f>+HLOOKUP($C220,BP!$CU$2:$DG$250,138,0)</f>
        <v>3748.1000000000004</v>
      </c>
      <c r="BG220" s="106">
        <f>+HLOOKUP($C220,BP!$CU$2:$DG$250,139,0)</f>
        <v>4419.8</v>
      </c>
      <c r="BH220" s="106">
        <f>+HLOOKUP($C220,BP!$CU$2:$DG$250,140,0)</f>
        <v>9300</v>
      </c>
      <c r="BI220" s="106">
        <f>+HLOOKUP($C220,BP!$CU$2:$DG$250,141,0)</f>
        <v>0</v>
      </c>
      <c r="BJ220" s="106">
        <f>+HLOOKUP($C220,BP!$CU$2:$DG$250,142,0)</f>
        <v>0</v>
      </c>
      <c r="BK220" s="106">
        <f>+HLOOKUP($C220,BP!$CU$2:$DG$250,143,0)</f>
        <v>0</v>
      </c>
      <c r="BL220" s="106">
        <f>+HLOOKUP($C220,BP!$CU$2:$DG$250,144,0)</f>
        <v>5000</v>
      </c>
      <c r="BM220" s="106">
        <f>+HLOOKUP($C220,BP!$CU$2:$DG$250,146,0)</f>
        <v>0</v>
      </c>
      <c r="BN220" s="106">
        <f>+HLOOKUP($C220,BP!$CU$2:$DG$250,147,0)</f>
        <v>0</v>
      </c>
      <c r="BO220" s="106">
        <f>+HLOOKUP($C220,BP!$CU$2:$DG$250,148,0)</f>
        <v>0</v>
      </c>
      <c r="BP220" s="106">
        <f>+HLOOKUP($C220,BP!$CU$2:$DG$250,150,0)</f>
        <v>16529.8</v>
      </c>
      <c r="BQ220" s="106">
        <f>+HLOOKUP($C220,BP!$CU$2:$DG$250,151,0)</f>
        <v>992.2</v>
      </c>
      <c r="BR220" s="106">
        <f>+HLOOKUP($C220,BP!$CU$2:$DG$250,152,0)</f>
        <v>7000</v>
      </c>
      <c r="BS220" s="106">
        <f>+HLOOKUP($C220,BP!$CU$2:$DG$250,153,0)</f>
        <v>320</v>
      </c>
      <c r="BT220" s="106">
        <f>+HLOOKUP($C220,BP!$CU$2:$DG$250,157,0)</f>
        <v>0</v>
      </c>
      <c r="BU220" s="106">
        <f>+HLOOKUP($C220,BP!$CU$2:$DG$250,158,0)</f>
        <v>1400</v>
      </c>
      <c r="BV220" s="106">
        <f>+HLOOKUP($C220,BP!$CU$2:$DG$250,159,0)</f>
        <v>136.20000000000002</v>
      </c>
      <c r="BW220" s="106">
        <f>+HLOOKUP($C220,BP!$CU$2:$DG$250,160,0)</f>
        <v>7854.88</v>
      </c>
      <c r="BX220" s="106">
        <f>+HLOOKUP($C220,BP!$CU$2:$DG$250,161,0)</f>
        <v>9828.4000000000015</v>
      </c>
      <c r="BY220" s="106">
        <f>+HLOOKUP($C220,BP!$CU$2:$DG$250,164,0)</f>
        <v>0</v>
      </c>
      <c r="BZ220" s="106">
        <f>+HLOOKUP($C220,BP!$CU$2:$DG$250,165,0)</f>
        <v>0</v>
      </c>
      <c r="CA220" s="106">
        <f>+HLOOKUP($C220,BP!$CU$2:$DG$250,166,0)</f>
        <v>0</v>
      </c>
      <c r="CB220" s="106">
        <f>+HLOOKUP($C220,BP!$CU$2:$DG$250,167,0)</f>
        <v>0</v>
      </c>
      <c r="CC220" s="106">
        <f>+HLOOKUP($C220,BP!$CU$2:$DG$250,168,0)</f>
        <v>0</v>
      </c>
      <c r="CD220" s="106">
        <f>+HLOOKUP($C220,BP!$CU$2:$DG$250,169,0)</f>
        <v>0</v>
      </c>
      <c r="CE220" s="106">
        <f>+HLOOKUP($C220,BP!$CU$2:$DG$250,170,0)</f>
        <v>0</v>
      </c>
      <c r="CF220" s="106">
        <f>+HLOOKUP($C220,BP!$CU$2:$DG$250,172,0)</f>
        <v>7200</v>
      </c>
      <c r="CG220" s="106">
        <f>+HLOOKUP($C220,BP!$CU$2:$DG$250,173,0)</f>
        <v>0</v>
      </c>
      <c r="CH220" s="106">
        <f>+HLOOKUP($C220,BP!$CU$2:$DG$250,174,0)</f>
        <v>38400</v>
      </c>
      <c r="CI220" s="106">
        <f>+HLOOKUP($C220,BP!$CU$2:$DG$250,175,0)</f>
        <v>2972</v>
      </c>
      <c r="CJ220" s="106">
        <f>+HLOOKUP($C220,BP!$CU$2:$DG$250,176,0)</f>
        <v>976.36</v>
      </c>
      <c r="CK220" s="106">
        <f>+HLOOKUP($C220,BP!$CU$2:$DG$250,178,0)</f>
        <v>20981</v>
      </c>
      <c r="CL220" s="106">
        <f>+HLOOKUP($C220,BP!$CU$2:$DG$250,179,0)</f>
        <v>0</v>
      </c>
      <c r="CM220" s="106">
        <f>+HLOOKUP($C220,BP!$CU$2:$DG$250,180,0)</f>
        <v>4760</v>
      </c>
      <c r="CN220" s="106">
        <f>+HLOOKUP($C220,BP!$CU$2:$DG$250,182,0)</f>
        <v>304.56</v>
      </c>
      <c r="CO220" s="106">
        <f>+HLOOKUP($C220,BP!$CU$2:$DG$250,183,0)</f>
        <v>4034.7799999999997</v>
      </c>
      <c r="CP220" s="106">
        <f>+HLOOKUP($C220,BP!$CU$2:$DG$250,184,0)</f>
        <v>3458.76</v>
      </c>
      <c r="CQ220" s="106">
        <f>+HLOOKUP($C220,BP!$CU$2:$DG$250,185,0)</f>
        <v>0</v>
      </c>
      <c r="CR220" s="106">
        <f>+HLOOKUP($C220,BP!$CU$2:$DG$250,187,0)</f>
        <v>1249.92</v>
      </c>
      <c r="CS220" s="106">
        <f>+HLOOKUP($C220,BP!$CU$2:$DG$250,188,0)</f>
        <v>0</v>
      </c>
      <c r="CT220" s="106">
        <f>+HLOOKUP($C220,BP!$CU$2:$DG$250,189,0)</f>
        <v>0</v>
      </c>
      <c r="CU220" s="106">
        <f>+HLOOKUP($C220,BP!$CU$2:$DG$250,190,0)</f>
        <v>499.98</v>
      </c>
      <c r="CV220" s="106">
        <f>+HLOOKUP($C220,BP!$CU$2:$DG$250,191,0)</f>
        <v>0</v>
      </c>
      <c r="CW220" s="106">
        <f>+HLOOKUP($C220,BP!$CU$2:$DG$250,193,0)</f>
        <v>2475.6000000000004</v>
      </c>
      <c r="CX220" s="106">
        <f>+HLOOKUP($C220,BP!$CU$2:$DG$250,194,0)</f>
        <v>390.9</v>
      </c>
      <c r="CY220" s="106">
        <f>+HLOOKUP($C220,BP!$CU$2:$DG$250,195,0)</f>
        <v>550</v>
      </c>
      <c r="CZ220" s="106">
        <f>+HLOOKUP($C220,BP!$CU$2:$DG$250,196,0)</f>
        <v>0</v>
      </c>
      <c r="DA220" s="106">
        <f>+HLOOKUP($C220,BP!$CU$2:$DG$250,197,0)</f>
        <v>7522.1100000000006</v>
      </c>
      <c r="DB220" s="106">
        <f>+HLOOKUP($C220,BP!$CU$2:$DG$250,198,0)</f>
        <v>2530.0640000000003</v>
      </c>
      <c r="DC220" s="106">
        <f>+HLOOKUP($C220,BP!$CU$2:$DG$250,199,0)</f>
        <v>660.05400000000009</v>
      </c>
      <c r="DD220" s="106">
        <f>+HLOOKUP($C220,BP!$CU$2:$DG$250,200,0)</f>
        <v>32</v>
      </c>
      <c r="DE220" s="106">
        <f>+HLOOKUP($C220,BP!$CU$2:$DG$250,201,0)</f>
        <v>0</v>
      </c>
      <c r="DF220" s="106">
        <f>+HLOOKUP($C220,BP!$CU$2:$DG$250,202,0)</f>
        <v>0.25319999999999998</v>
      </c>
      <c r="DG220" s="106">
        <f>+HLOOKUP($C220,BP!$CU$2:$DG$250,203,0)</f>
        <v>-4.7808000000000002</v>
      </c>
      <c r="DH220" s="106">
        <f>+HLOOKUP($C220,BP!$CU$2:$DG$250,205,0)</f>
        <v>0</v>
      </c>
      <c r="DI220" s="106">
        <f>+HLOOKUP($C220,BP!$CU$2:$DG$250,206,0)</f>
        <v>1523.2</v>
      </c>
      <c r="DJ220" s="106">
        <f>+HLOOKUP($C220,BP!$CU$2:$DG$250,207,0)</f>
        <v>819.54000000000008</v>
      </c>
      <c r="DK220" s="106">
        <f>+HLOOKUP($C220,BP!$CU$2:$DG$250,209,0)</f>
        <v>0</v>
      </c>
      <c r="DL220" s="106">
        <f>+HLOOKUP($C220,BP!$CU$2:$DG$250,210,0)</f>
        <v>49136.800000000003</v>
      </c>
      <c r="DM220" s="106">
        <f>+HLOOKUP($C220,BP!$CU$2:$DG$250,211,0)</f>
        <v>0</v>
      </c>
      <c r="DN220" s="106">
        <f>+HLOOKUP($C220,BP!$CU$2:$DG$250,212,0)</f>
        <v>9600</v>
      </c>
      <c r="DO220" s="106">
        <f>+HLOOKUP($C220,BP!$CU$2:$DG$250,214,0)</f>
        <v>0</v>
      </c>
      <c r="DP220" s="106">
        <f>+HLOOKUP($C220,BP!$CU$2:$DG$250,215,0)</f>
        <v>40</v>
      </c>
      <c r="DQ220" s="106">
        <f>+HLOOKUP($C220,BP!$CU$2:$DG$250,219,0)</f>
        <v>0</v>
      </c>
      <c r="DR220" s="106">
        <f>+HLOOKUP($C220,BP!$CU$2:$DG$250,220,0)</f>
        <v>0</v>
      </c>
      <c r="DS220" s="106">
        <f>+HLOOKUP($C220,BP!$CU$2:$DG$250,221,0)</f>
        <v>0</v>
      </c>
      <c r="DT220" s="106">
        <f>+HLOOKUP($C220,BP!$CU$2:$DG$250,223,0)</f>
        <v>8154.2735999999995</v>
      </c>
      <c r="DU220" s="106">
        <f>+HLOOKUP($C220,BP!$CU$2:$DG$250,224,0)</f>
        <v>0</v>
      </c>
      <c r="DV220" s="106">
        <f>+HLOOKUP($C220,BP!$CU$2:$DG$250,225,0)</f>
        <v>0</v>
      </c>
      <c r="DW220" s="106">
        <f>+HLOOKUP($C220,BP!$CU$2:$DG$250,227,0)</f>
        <v>0</v>
      </c>
      <c r="DX220" s="106">
        <f>+HLOOKUP($C220,BP!$CU$2:$DG$250,228,0)</f>
        <v>705.42000000000007</v>
      </c>
      <c r="DY220" s="106">
        <f>+HLOOKUP($C220,BP!$CU$2:$DG$250,236,0)</f>
        <v>0</v>
      </c>
      <c r="DZ220" s="106">
        <f>+HLOOKUP($C220,BP!$CU$2:$DG$250,237,0)</f>
        <v>54648.484380000009</v>
      </c>
      <c r="EA220" s="106">
        <f>+HLOOKUP($C220,BP!$CU$2:$DG$250,238,0)</f>
        <v>0</v>
      </c>
      <c r="EB220" s="106">
        <f>+HLOOKUP($C220,BP!$CU$2:$DG$250,240,0)</f>
        <v>155829.26235714319</v>
      </c>
    </row>
    <row r="221" spans="1:132" hidden="1">
      <c r="A221" t="s">
        <v>271</v>
      </c>
      <c r="B221" t="s">
        <v>218</v>
      </c>
      <c r="C221" s="117">
        <v>45901</v>
      </c>
      <c r="D221" s="106">
        <f t="shared" si="5"/>
        <v>2290960.1723999996</v>
      </c>
      <c r="E221" s="106">
        <f>+HLOOKUP(C221,BP!$CU$2:$DG$250,28,0)+HLOOKUP(C221,BP!$CU$2:$DG$250,43,0)+HLOOKUP(C221,BP!$CU$2:$DG$250,44,0)+HLOOKUP(C221,BP!$CU$2:$DG$250,45,0)+HLOOKUP(C221,BP!$CU$2:$DG$250,54,0)+HLOOKUP(C221,BP!$CU$2:$DG$250,59,0)</f>
        <v>2290960.1723999996</v>
      </c>
      <c r="F221" s="106">
        <f>+HLOOKUP(C221,BP!$CU$2:$DG$250,37,0)+HLOOKUP(C221,BP!$CU$2:$DG$250,55,0)</f>
        <v>1282175.956</v>
      </c>
      <c r="G221" s="106">
        <f>+HLOOKUP($C221,BP!$CU$2:$DG$250,76,0)</f>
        <v>0</v>
      </c>
      <c r="H221" s="106">
        <f>+HLOOKUP($C221,BP!$CU$2:$DG$250,77,0)</f>
        <v>0</v>
      </c>
      <c r="I221" s="106">
        <f>+HLOOKUP($C221,BP!$CU$2:$DG$250,78,0)</f>
        <v>0</v>
      </c>
      <c r="J221" s="106">
        <f>+HLOOKUP($C221,BP!$CU$2:$DG$250,79,0)</f>
        <v>0</v>
      </c>
      <c r="K221" s="106">
        <f>+HLOOKUP($C221,BP!$CU$2:$DG$250,80,0)</f>
        <v>0</v>
      </c>
      <c r="L221" s="106">
        <f>+HLOOKUP($C221,BP!$CU$2:$DG$250,81,0)</f>
        <v>0</v>
      </c>
      <c r="M221" s="106">
        <f>+HLOOKUP($C221,BP!$CU$2:$DG$250,82,0)</f>
        <v>0</v>
      </c>
      <c r="N221" s="106">
        <f>+HLOOKUP($C221,BP!$CU$2:$DG$250,83,0)</f>
        <v>0</v>
      </c>
      <c r="O221" s="106">
        <f>+HLOOKUP($C221,BP!$CU$2:$DG$250,84,0)</f>
        <v>0</v>
      </c>
      <c r="P221" s="106">
        <f>+HLOOKUP($C221,BP!$CU$2:$DG$250,85,0)</f>
        <v>0</v>
      </c>
      <c r="Q221" s="106">
        <f>+HLOOKUP($C221,BP!$CU$2:$DG$250,87,0)</f>
        <v>64549.498999999974</v>
      </c>
      <c r="R221" s="106">
        <f>+HLOOKUP($C221,BP!$CU$2:$DG$250,90,0)</f>
        <v>0</v>
      </c>
      <c r="S221" s="106">
        <f>+HLOOKUP($C221,BP!$CU$2:$DG$250,91,0)</f>
        <v>9556.2131111111103</v>
      </c>
      <c r="T221" s="106">
        <f>+HLOOKUP($C221,BP!$CU$2:$DG$250,92,0)</f>
        <v>0</v>
      </c>
      <c r="U221" s="106">
        <f>+HLOOKUP($C221,BP!$CU$2:$DG$250,93,0)</f>
        <v>0</v>
      </c>
      <c r="V221" s="106">
        <f>+HLOOKUP($C221,BP!$CU$2:$DG$250,94,0)</f>
        <v>0</v>
      </c>
      <c r="W221" s="106">
        <f>+HLOOKUP($C221,BP!$CU$2:$DG$250,95,0)</f>
        <v>0</v>
      </c>
      <c r="X221" s="106">
        <f>+HLOOKUP($C221,BP!$CU$2:$DG$250,96,0)</f>
        <v>0</v>
      </c>
      <c r="Y221" s="106">
        <f>+HLOOKUP($C221,BP!$CU$2:$DG$250,97,0)</f>
        <v>0</v>
      </c>
      <c r="Z221" s="106">
        <f>+HLOOKUP($C221,BP!$CU$2:$DG$250,98,0)</f>
        <v>0</v>
      </c>
      <c r="AA221" s="106">
        <f>+HLOOKUP($C221,BP!$CU$2:$DG$250,99,0)</f>
        <v>0</v>
      </c>
      <c r="AB221" s="106">
        <f>+HLOOKUP($C221,BP!$CU$2:$DG$250,100,0)</f>
        <v>0</v>
      </c>
      <c r="AC221" s="106">
        <f>+HLOOKUP($C221,BP!$CU$2:$DG$250,101,0)</f>
        <v>0</v>
      </c>
      <c r="AD221" s="106">
        <f>+HLOOKUP($C221,BP!$CU$2:$DG$250,104,0)</f>
        <v>0</v>
      </c>
      <c r="AE221" s="106">
        <f>+HLOOKUP($C221,BP!$CU$2:$DG$250,105,0)</f>
        <v>0</v>
      </c>
      <c r="AF221" s="106">
        <f>+HLOOKUP($C221,BP!$CU$2:$DG$250,106,0)</f>
        <v>0</v>
      </c>
      <c r="AG221" s="106">
        <f>+HLOOKUP($C221,BP!$CU$2:$DG$250,107,0)</f>
        <v>0</v>
      </c>
      <c r="AH221" s="106">
        <f>+HLOOKUP($C221,BP!$CU$2:$DG$250,108,0)</f>
        <v>0</v>
      </c>
      <c r="AI221" s="106">
        <f>+HLOOKUP($C221,BP!$CU$2:$DG$250,109,0)</f>
        <v>0</v>
      </c>
      <c r="AJ221" s="106">
        <f>+HLOOKUP($C221,BP!$CU$2:$DG$250,110,0)</f>
        <v>0</v>
      </c>
      <c r="AK221" s="106">
        <f>+HLOOKUP($C221,BP!$CU$2:$DG$250,111,0)</f>
        <v>0</v>
      </c>
      <c r="AL221" s="106">
        <f>+HLOOKUP($C221,BP!$CU$2:$DG$250,112,0)</f>
        <v>0</v>
      </c>
      <c r="AM221" s="106">
        <f>+HLOOKUP($C221,BP!$CU$2:$DG$250,116,0)</f>
        <v>17400</v>
      </c>
      <c r="AN221" s="106">
        <f>+HLOOKUP($C221,BP!$CU$2:$DG$250,117,0)</f>
        <v>2620</v>
      </c>
      <c r="AO221" s="106">
        <f>+HLOOKUP($C221,BP!$CU$2:$DG$250,118,0)</f>
        <v>0</v>
      </c>
      <c r="AP221" s="106">
        <f>+HLOOKUP($C221,BP!$CU$2:$DG$250,119,0)</f>
        <v>5680</v>
      </c>
      <c r="AQ221" s="106">
        <f>+HLOOKUP($C221,BP!$CU$2:$DG$250,120,0)</f>
        <v>2400</v>
      </c>
      <c r="AR221" s="106">
        <f>+HLOOKUP($C221,BP!$CU$2:$DG$250,121,0)</f>
        <v>1500</v>
      </c>
      <c r="AS221" s="106">
        <f>+HLOOKUP($C221,BP!$CU$2:$DG$250,122,0)</f>
        <v>29832.800000000003</v>
      </c>
      <c r="AT221" s="106">
        <f>+HLOOKUP($C221,BP!$CU$2:$DG$250,123,0)</f>
        <v>2286.8210263888886</v>
      </c>
      <c r="AU221" s="106">
        <f>+HLOOKUP($C221,BP!$CU$2:$DG$250,124,0)</f>
        <v>0</v>
      </c>
      <c r="AV221" s="106">
        <f>+HLOOKUP($C221,BP!$CU$2:$DG$250,125,0)</f>
        <v>51946.8</v>
      </c>
      <c r="AW221" s="106">
        <f>+HLOOKUP($C221,BP!$CU$2:$DG$250,126,0)</f>
        <v>836.53846153846155</v>
      </c>
      <c r="AX221" s="106">
        <f>+HLOOKUP($C221,BP!$CU$2:$DG$250,127,0)</f>
        <v>1283.3333333333333</v>
      </c>
      <c r="AY221" s="106">
        <f>+HLOOKUP($C221,BP!$CU$2:$DG$250,129,0)</f>
        <v>3429</v>
      </c>
      <c r="AZ221" s="106">
        <f>+HLOOKUP($C221,BP!$CU$2:$DG$250,130,0)</f>
        <v>0</v>
      </c>
      <c r="BA221" s="106">
        <f>+HLOOKUP($C221,BP!$CU$2:$DG$250,131,0)</f>
        <v>0</v>
      </c>
      <c r="BB221" s="106">
        <f>+HLOOKUP($C221,BP!$CU$2:$DG$250,133,0)</f>
        <v>0</v>
      </c>
      <c r="BC221" s="106">
        <f>+HLOOKUP($C221,BP!$CU$2:$DG$250,134,0)</f>
        <v>2505.2000000000003</v>
      </c>
      <c r="BD221" s="106">
        <f>+HLOOKUP($C221,BP!$CU$2:$DG$250,135,0)</f>
        <v>0</v>
      </c>
      <c r="BE221" s="106">
        <f>+HLOOKUP($C221,BP!$CU$2:$DG$250,136,0)</f>
        <v>0</v>
      </c>
      <c r="BF221" s="106">
        <f>+HLOOKUP($C221,BP!$CU$2:$DG$250,138,0)</f>
        <v>3985.9</v>
      </c>
      <c r="BG221" s="106">
        <f>+HLOOKUP($C221,BP!$CU$2:$DG$250,139,0)</f>
        <v>983.2</v>
      </c>
      <c r="BH221" s="106">
        <f>+HLOOKUP($C221,BP!$CU$2:$DG$250,140,0)</f>
        <v>9300</v>
      </c>
      <c r="BI221" s="106">
        <f>+HLOOKUP($C221,BP!$CU$2:$DG$250,141,0)</f>
        <v>0</v>
      </c>
      <c r="BJ221" s="106">
        <f>+HLOOKUP($C221,BP!$CU$2:$DG$250,142,0)</f>
        <v>0</v>
      </c>
      <c r="BK221" s="106">
        <f>+HLOOKUP($C221,BP!$CU$2:$DG$250,143,0)</f>
        <v>289.40000000000003</v>
      </c>
      <c r="BL221" s="106">
        <f>+HLOOKUP($C221,BP!$CU$2:$DG$250,144,0)</f>
        <v>8883</v>
      </c>
      <c r="BM221" s="106">
        <f>+HLOOKUP($C221,BP!$CU$2:$DG$250,146,0)</f>
        <v>0</v>
      </c>
      <c r="BN221" s="106">
        <f>+HLOOKUP($C221,BP!$CU$2:$DG$250,147,0)</f>
        <v>0</v>
      </c>
      <c r="BO221" s="106">
        <f>+HLOOKUP($C221,BP!$CU$2:$DG$250,148,0)</f>
        <v>0</v>
      </c>
      <c r="BP221" s="106">
        <f>+HLOOKUP($C221,BP!$CU$2:$DG$250,150,0)</f>
        <v>16498.600000000002</v>
      </c>
      <c r="BQ221" s="106">
        <f>+HLOOKUP($C221,BP!$CU$2:$DG$250,151,0)</f>
        <v>992.2</v>
      </c>
      <c r="BR221" s="106">
        <f>+HLOOKUP($C221,BP!$CU$2:$DG$250,152,0)</f>
        <v>7000</v>
      </c>
      <c r="BS221" s="106">
        <f>+HLOOKUP($C221,BP!$CU$2:$DG$250,153,0)</f>
        <v>320</v>
      </c>
      <c r="BT221" s="106">
        <f>+HLOOKUP($C221,BP!$CU$2:$DG$250,157,0)</f>
        <v>0</v>
      </c>
      <c r="BU221" s="106">
        <f>+HLOOKUP($C221,BP!$CU$2:$DG$250,158,0)</f>
        <v>0</v>
      </c>
      <c r="BV221" s="106">
        <f>+HLOOKUP($C221,BP!$CU$2:$DG$250,159,0)</f>
        <v>136.20000000000002</v>
      </c>
      <c r="BW221" s="106">
        <f>+HLOOKUP($C221,BP!$CU$2:$DG$250,160,0)</f>
        <v>9017</v>
      </c>
      <c r="BX221" s="106">
        <f>+HLOOKUP($C221,BP!$CU$2:$DG$250,161,0)</f>
        <v>53420</v>
      </c>
      <c r="BY221" s="106">
        <f>+HLOOKUP($C221,BP!$CU$2:$DG$250,164,0)</f>
        <v>0</v>
      </c>
      <c r="BZ221" s="106">
        <f>+HLOOKUP($C221,BP!$CU$2:$DG$250,165,0)</f>
        <v>0</v>
      </c>
      <c r="CA221" s="106">
        <f>+HLOOKUP($C221,BP!$CU$2:$DG$250,166,0)</f>
        <v>0</v>
      </c>
      <c r="CB221" s="106">
        <f>+HLOOKUP($C221,BP!$CU$2:$DG$250,167,0)</f>
        <v>0</v>
      </c>
      <c r="CC221" s="106">
        <f>+HLOOKUP($C221,BP!$CU$2:$DG$250,168,0)</f>
        <v>0</v>
      </c>
      <c r="CD221" s="106">
        <f>+HLOOKUP($C221,BP!$CU$2:$DG$250,169,0)</f>
        <v>0</v>
      </c>
      <c r="CE221" s="106">
        <f>+HLOOKUP($C221,BP!$CU$2:$DG$250,170,0)</f>
        <v>0</v>
      </c>
      <c r="CF221" s="106">
        <f>+HLOOKUP($C221,BP!$CU$2:$DG$250,172,0)</f>
        <v>7200</v>
      </c>
      <c r="CG221" s="106">
        <f>+HLOOKUP($C221,BP!$CU$2:$DG$250,173,0)</f>
        <v>0</v>
      </c>
      <c r="CH221" s="106">
        <f>+HLOOKUP($C221,BP!$CU$2:$DG$250,174,0)</f>
        <v>38400</v>
      </c>
      <c r="CI221" s="106">
        <f>+HLOOKUP($C221,BP!$CU$2:$DG$250,175,0)</f>
        <v>2972</v>
      </c>
      <c r="CJ221" s="106">
        <f>+HLOOKUP($C221,BP!$CU$2:$DG$250,176,0)</f>
        <v>976.36</v>
      </c>
      <c r="CK221" s="106">
        <f>+HLOOKUP($C221,BP!$CU$2:$DG$250,178,0)</f>
        <v>16115.400000000001</v>
      </c>
      <c r="CL221" s="106">
        <f>+HLOOKUP($C221,BP!$CU$2:$DG$250,179,0)</f>
        <v>0</v>
      </c>
      <c r="CM221" s="106">
        <f>+HLOOKUP($C221,BP!$CU$2:$DG$250,180,0)</f>
        <v>6160</v>
      </c>
      <c r="CN221" s="106">
        <f>+HLOOKUP($C221,BP!$CU$2:$DG$250,182,0)</f>
        <v>304.56</v>
      </c>
      <c r="CO221" s="106">
        <f>+HLOOKUP($C221,BP!$CU$2:$DG$250,183,0)</f>
        <v>3582.86</v>
      </c>
      <c r="CP221" s="106">
        <f>+HLOOKUP($C221,BP!$CU$2:$DG$250,184,0)</f>
        <v>4316.16</v>
      </c>
      <c r="CQ221" s="106">
        <f>+HLOOKUP($C221,BP!$CU$2:$DG$250,185,0)</f>
        <v>0</v>
      </c>
      <c r="CR221" s="106">
        <f>+HLOOKUP($C221,BP!$CU$2:$DG$250,187,0)</f>
        <v>1249.92</v>
      </c>
      <c r="CS221" s="106">
        <f>+HLOOKUP($C221,BP!$CU$2:$DG$250,188,0)</f>
        <v>0</v>
      </c>
      <c r="CT221" s="106">
        <f>+HLOOKUP($C221,BP!$CU$2:$DG$250,189,0)</f>
        <v>0</v>
      </c>
      <c r="CU221" s="106">
        <f>+HLOOKUP($C221,BP!$CU$2:$DG$250,190,0)</f>
        <v>0</v>
      </c>
      <c r="CV221" s="106">
        <f>+HLOOKUP($C221,BP!$CU$2:$DG$250,191,0)</f>
        <v>0</v>
      </c>
      <c r="CW221" s="106">
        <f>+HLOOKUP($C221,BP!$CU$2:$DG$250,193,0)</f>
        <v>2475.6000000000004</v>
      </c>
      <c r="CX221" s="106">
        <f>+HLOOKUP($C221,BP!$CU$2:$DG$250,194,0)</f>
        <v>157.32000000000002</v>
      </c>
      <c r="CY221" s="106">
        <f>+HLOOKUP($C221,BP!$CU$2:$DG$250,195,0)</f>
        <v>571.24</v>
      </c>
      <c r="CZ221" s="106">
        <f>+HLOOKUP($C221,BP!$CU$2:$DG$250,196,0)</f>
        <v>0</v>
      </c>
      <c r="DA221" s="106">
        <f>+HLOOKUP($C221,BP!$CU$2:$DG$250,197,0)</f>
        <v>3555.51</v>
      </c>
      <c r="DB221" s="106">
        <f>+HLOOKUP($C221,BP!$CU$2:$DG$250,198,0)</f>
        <v>80</v>
      </c>
      <c r="DC221" s="106">
        <f>+HLOOKUP($C221,BP!$CU$2:$DG$250,199,0)</f>
        <v>357.17200000000003</v>
      </c>
      <c r="DD221" s="106">
        <f>+HLOOKUP($C221,BP!$CU$2:$DG$250,200,0)</f>
        <v>0</v>
      </c>
      <c r="DE221" s="106">
        <f>+HLOOKUP($C221,BP!$CU$2:$DG$250,201,0)</f>
        <v>0</v>
      </c>
      <c r="DF221" s="106">
        <f>+HLOOKUP($C221,BP!$CU$2:$DG$250,202,0)</f>
        <v>-0.13519999999999999</v>
      </c>
      <c r="DG221" s="106">
        <f>+HLOOKUP($C221,BP!$CU$2:$DG$250,203,0)</f>
        <v>-3.9600000000000004</v>
      </c>
      <c r="DH221" s="106">
        <f>+HLOOKUP($C221,BP!$CU$2:$DG$250,205,0)</f>
        <v>0</v>
      </c>
      <c r="DI221" s="106">
        <f>+HLOOKUP($C221,BP!$CU$2:$DG$250,206,0)</f>
        <v>0</v>
      </c>
      <c r="DJ221" s="106">
        <f>+HLOOKUP($C221,BP!$CU$2:$DG$250,207,0)</f>
        <v>821.33820000000003</v>
      </c>
      <c r="DK221" s="106">
        <f>+HLOOKUP($C221,BP!$CU$2:$DG$250,209,0)</f>
        <v>0</v>
      </c>
      <c r="DL221" s="106">
        <f>+HLOOKUP($C221,BP!$CU$2:$DG$250,210,0)</f>
        <v>49136.800000000003</v>
      </c>
      <c r="DM221" s="106">
        <f>+HLOOKUP($C221,BP!$CU$2:$DG$250,211,0)</f>
        <v>0</v>
      </c>
      <c r="DN221" s="106">
        <f>+HLOOKUP($C221,BP!$CU$2:$DG$250,212,0)</f>
        <v>9600</v>
      </c>
      <c r="DO221" s="106">
        <f>+HLOOKUP($C221,BP!$CU$2:$DG$250,214,0)</f>
        <v>0</v>
      </c>
      <c r="DP221" s="106">
        <f>+HLOOKUP($C221,BP!$CU$2:$DG$250,215,0)</f>
        <v>370</v>
      </c>
      <c r="DQ221" s="106">
        <f>+HLOOKUP($C221,BP!$CU$2:$DG$250,219,0)</f>
        <v>0</v>
      </c>
      <c r="DR221" s="106">
        <f>+HLOOKUP($C221,BP!$CU$2:$DG$250,220,0)</f>
        <v>0</v>
      </c>
      <c r="DS221" s="106">
        <f>+HLOOKUP($C221,BP!$CU$2:$DG$250,221,0)</f>
        <v>0</v>
      </c>
      <c r="DT221" s="106">
        <f>+HLOOKUP($C221,BP!$CU$2:$DG$250,223,0)</f>
        <v>6273.0096000000003</v>
      </c>
      <c r="DU221" s="106">
        <f>+HLOOKUP($C221,BP!$CU$2:$DG$250,224,0)</f>
        <v>0</v>
      </c>
      <c r="DV221" s="106">
        <f>+HLOOKUP($C221,BP!$CU$2:$DG$250,225,0)</f>
        <v>0</v>
      </c>
      <c r="DW221" s="106">
        <f>+HLOOKUP($C221,BP!$CU$2:$DG$250,227,0)</f>
        <v>0</v>
      </c>
      <c r="DX221" s="106">
        <f>+HLOOKUP($C221,BP!$CU$2:$DG$250,228,0)</f>
        <v>98.94</v>
      </c>
      <c r="DY221" s="106">
        <f>+HLOOKUP($C221,BP!$CU$2:$DG$250,236,0)</f>
        <v>0</v>
      </c>
      <c r="DZ221" s="106">
        <f>+HLOOKUP($C221,BP!$CU$2:$DG$250,237,0)</f>
        <v>55437.632460000008</v>
      </c>
      <c r="EA221" s="106">
        <f>+HLOOKUP($C221,BP!$CU$2:$DG$250,238,0)</f>
        <v>0</v>
      </c>
      <c r="EB221" s="106">
        <f>+HLOOKUP($C221,BP!$CU$2:$DG$250,240,0)</f>
        <v>155829.26235714319</v>
      </c>
    </row>
    <row r="222" spans="1:132" hidden="1">
      <c r="A222" t="s">
        <v>271</v>
      </c>
      <c r="B222" t="s">
        <v>218</v>
      </c>
      <c r="C222" s="117">
        <v>45870</v>
      </c>
      <c r="D222" s="106">
        <f t="shared" si="5"/>
        <v>4077431.3262</v>
      </c>
      <c r="E222" s="106">
        <f>+HLOOKUP(C222,BP!$CU$2:$DG$250,28,0)+HLOOKUP(C222,BP!$CU$2:$DG$250,43,0)+HLOOKUP(C222,BP!$CU$2:$DG$250,44,0)+HLOOKUP(C222,BP!$CU$2:$DG$250,45,0)+HLOOKUP(C222,BP!$CU$2:$DG$250,54,0)+HLOOKUP(C222,BP!$CU$2:$DG$250,59,0)</f>
        <v>4077431.3262</v>
      </c>
      <c r="F222" s="106">
        <f>+HLOOKUP(C222,BP!$CU$2:$DG$250,37,0)+HLOOKUP(C222,BP!$CU$2:$DG$250,55,0)</f>
        <v>2758351.4360000002</v>
      </c>
      <c r="G222" s="106">
        <f>+HLOOKUP($C222,BP!$CU$2:$DG$250,76,0)</f>
        <v>0</v>
      </c>
      <c r="H222" s="106">
        <f>+HLOOKUP($C222,BP!$CU$2:$DG$250,77,0)</f>
        <v>0</v>
      </c>
      <c r="I222" s="106">
        <f>+HLOOKUP($C222,BP!$CU$2:$DG$250,78,0)</f>
        <v>0</v>
      </c>
      <c r="J222" s="106">
        <f>+HLOOKUP($C222,BP!$CU$2:$DG$250,79,0)</f>
        <v>0</v>
      </c>
      <c r="K222" s="106">
        <f>+HLOOKUP($C222,BP!$CU$2:$DG$250,80,0)</f>
        <v>0</v>
      </c>
      <c r="L222" s="106">
        <f>+HLOOKUP($C222,BP!$CU$2:$DG$250,81,0)</f>
        <v>0</v>
      </c>
      <c r="M222" s="106">
        <f>+HLOOKUP($C222,BP!$CU$2:$DG$250,82,0)</f>
        <v>0</v>
      </c>
      <c r="N222" s="106">
        <f>+HLOOKUP($C222,BP!$CU$2:$DG$250,83,0)</f>
        <v>0</v>
      </c>
      <c r="O222" s="106">
        <f>+HLOOKUP($C222,BP!$CU$2:$DG$250,84,0)</f>
        <v>0</v>
      </c>
      <c r="P222" s="106">
        <f>+HLOOKUP($C222,BP!$CU$2:$DG$250,85,0)</f>
        <v>0</v>
      </c>
      <c r="Q222" s="106">
        <f>+HLOOKUP($C222,BP!$CU$2:$DG$250,87,0)</f>
        <v>81355.21100000001</v>
      </c>
      <c r="R222" s="106">
        <f>+HLOOKUP($C222,BP!$CU$2:$DG$250,90,0)</f>
        <v>0</v>
      </c>
      <c r="S222" s="106">
        <f>+HLOOKUP($C222,BP!$CU$2:$DG$250,91,0)</f>
        <v>0</v>
      </c>
      <c r="T222" s="106">
        <f>+HLOOKUP($C222,BP!$CU$2:$DG$250,92,0)</f>
        <v>0</v>
      </c>
      <c r="U222" s="106">
        <f>+HLOOKUP($C222,BP!$CU$2:$DG$250,93,0)</f>
        <v>0</v>
      </c>
      <c r="V222" s="106">
        <f>+HLOOKUP($C222,BP!$CU$2:$DG$250,94,0)</f>
        <v>0</v>
      </c>
      <c r="W222" s="106">
        <f>+HLOOKUP($C222,BP!$CU$2:$DG$250,95,0)</f>
        <v>0</v>
      </c>
      <c r="X222" s="106">
        <f>+HLOOKUP($C222,BP!$CU$2:$DG$250,96,0)</f>
        <v>0</v>
      </c>
      <c r="Y222" s="106">
        <f>+HLOOKUP($C222,BP!$CU$2:$DG$250,97,0)</f>
        <v>0</v>
      </c>
      <c r="Z222" s="106">
        <f>+HLOOKUP($C222,BP!$CU$2:$DG$250,98,0)</f>
        <v>0</v>
      </c>
      <c r="AA222" s="106">
        <f>+HLOOKUP($C222,BP!$CU$2:$DG$250,99,0)</f>
        <v>0</v>
      </c>
      <c r="AB222" s="106">
        <f>+HLOOKUP($C222,BP!$CU$2:$DG$250,100,0)</f>
        <v>0</v>
      </c>
      <c r="AC222" s="106">
        <f>+HLOOKUP($C222,BP!$CU$2:$DG$250,101,0)</f>
        <v>2947.2000000000003</v>
      </c>
      <c r="AD222" s="106">
        <f>+HLOOKUP($C222,BP!$CU$2:$DG$250,104,0)</f>
        <v>0</v>
      </c>
      <c r="AE222" s="106">
        <f>+HLOOKUP($C222,BP!$CU$2:$DG$250,105,0)</f>
        <v>2658</v>
      </c>
      <c r="AF222" s="106">
        <f>+HLOOKUP($C222,BP!$CU$2:$DG$250,106,0)</f>
        <v>0</v>
      </c>
      <c r="AG222" s="106">
        <f>+HLOOKUP($C222,BP!$CU$2:$DG$250,107,0)</f>
        <v>0</v>
      </c>
      <c r="AH222" s="106">
        <f>+HLOOKUP($C222,BP!$CU$2:$DG$250,108,0)</f>
        <v>4547.1000000000004</v>
      </c>
      <c r="AI222" s="106">
        <f>+HLOOKUP($C222,BP!$CU$2:$DG$250,109,0)</f>
        <v>23483.040000000001</v>
      </c>
      <c r="AJ222" s="106">
        <f>+HLOOKUP($C222,BP!$CU$2:$DG$250,110,0)</f>
        <v>0</v>
      </c>
      <c r="AK222" s="106">
        <f>+HLOOKUP($C222,BP!$CU$2:$DG$250,111,0)</f>
        <v>0</v>
      </c>
      <c r="AL222" s="106">
        <f>+HLOOKUP($C222,BP!$CU$2:$DG$250,112,0)</f>
        <v>0</v>
      </c>
      <c r="AM222" s="106">
        <f>+HLOOKUP($C222,BP!$CU$2:$DG$250,116,0)</f>
        <v>17400</v>
      </c>
      <c r="AN222" s="106">
        <f>+HLOOKUP($C222,BP!$CU$2:$DG$250,117,0)</f>
        <v>2620</v>
      </c>
      <c r="AO222" s="106">
        <f>+HLOOKUP($C222,BP!$CU$2:$DG$250,118,0)</f>
        <v>0</v>
      </c>
      <c r="AP222" s="106">
        <f>+HLOOKUP($C222,BP!$CU$2:$DG$250,119,0)</f>
        <v>5680</v>
      </c>
      <c r="AQ222" s="106">
        <f>+HLOOKUP($C222,BP!$CU$2:$DG$250,120,0)</f>
        <v>2400</v>
      </c>
      <c r="AR222" s="106">
        <f>+HLOOKUP($C222,BP!$CU$2:$DG$250,121,0)</f>
        <v>1500</v>
      </c>
      <c r="AS222" s="106">
        <f>+HLOOKUP($C222,BP!$CU$2:$DG$250,122,0)</f>
        <v>7400</v>
      </c>
      <c r="AT222" s="106">
        <f>+HLOOKUP($C222,BP!$CU$2:$DG$250,123,0)</f>
        <v>2286.8210263888886</v>
      </c>
      <c r="AU222" s="106">
        <f>+HLOOKUP($C222,BP!$CU$2:$DG$250,124,0)</f>
        <v>0</v>
      </c>
      <c r="AV222" s="106">
        <f>+HLOOKUP($C222,BP!$CU$2:$DG$250,125,0)</f>
        <v>43726.968000000001</v>
      </c>
      <c r="AW222" s="106">
        <f>+HLOOKUP($C222,BP!$CU$2:$DG$250,126,0)</f>
        <v>836.53846153846155</v>
      </c>
      <c r="AX222" s="106">
        <f>+HLOOKUP($C222,BP!$CU$2:$DG$250,127,0)</f>
        <v>1283.3333333333333</v>
      </c>
      <c r="AY222" s="106">
        <f>+HLOOKUP($C222,BP!$CU$2:$DG$250,129,0)</f>
        <v>0</v>
      </c>
      <c r="AZ222" s="106">
        <f>+HLOOKUP($C222,BP!$CU$2:$DG$250,130,0)</f>
        <v>0</v>
      </c>
      <c r="BA222" s="106">
        <f>+HLOOKUP($C222,BP!$CU$2:$DG$250,131,0)</f>
        <v>0</v>
      </c>
      <c r="BB222" s="106">
        <f>+HLOOKUP($C222,BP!$CU$2:$DG$250,133,0)</f>
        <v>0</v>
      </c>
      <c r="BC222" s="106">
        <f>+HLOOKUP($C222,BP!$CU$2:$DG$250,134,0)</f>
        <v>1116.96</v>
      </c>
      <c r="BD222" s="106">
        <f>+HLOOKUP($C222,BP!$CU$2:$DG$250,135,0)</f>
        <v>0</v>
      </c>
      <c r="BE222" s="106">
        <f>+HLOOKUP($C222,BP!$CU$2:$DG$250,136,0)</f>
        <v>0</v>
      </c>
      <c r="BF222" s="106">
        <f>+HLOOKUP($C222,BP!$CU$2:$DG$250,138,0)</f>
        <v>3735.9</v>
      </c>
      <c r="BG222" s="106">
        <f>+HLOOKUP($C222,BP!$CU$2:$DG$250,139,0)</f>
        <v>4401</v>
      </c>
      <c r="BH222" s="106">
        <f>+HLOOKUP($C222,BP!$CU$2:$DG$250,140,0)</f>
        <v>9900</v>
      </c>
      <c r="BI222" s="106">
        <f>+HLOOKUP($C222,BP!$CU$2:$DG$250,141,0)</f>
        <v>3389.8300000000004</v>
      </c>
      <c r="BJ222" s="106">
        <f>+HLOOKUP($C222,BP!$CU$2:$DG$250,142,0)</f>
        <v>0</v>
      </c>
      <c r="BK222" s="106">
        <f>+HLOOKUP($C222,BP!$CU$2:$DG$250,143,0)</f>
        <v>0</v>
      </c>
      <c r="BL222" s="106">
        <f>+HLOOKUP($C222,BP!$CU$2:$DG$250,144,0)</f>
        <v>0</v>
      </c>
      <c r="BM222" s="106">
        <f>+HLOOKUP($C222,BP!$CU$2:$DG$250,146,0)</f>
        <v>0</v>
      </c>
      <c r="BN222" s="106">
        <f>+HLOOKUP($C222,BP!$CU$2:$DG$250,147,0)</f>
        <v>0</v>
      </c>
      <c r="BO222" s="106">
        <f>+HLOOKUP($C222,BP!$CU$2:$DG$250,148,0)</f>
        <v>0</v>
      </c>
      <c r="BP222" s="106">
        <f>+HLOOKUP($C222,BP!$CU$2:$DG$250,150,0)</f>
        <v>17071</v>
      </c>
      <c r="BQ222" s="106">
        <f>+HLOOKUP($C222,BP!$CU$2:$DG$250,151,0)</f>
        <v>992.2</v>
      </c>
      <c r="BR222" s="106">
        <f>+HLOOKUP($C222,BP!$CU$2:$DG$250,152,0)</f>
        <v>7000</v>
      </c>
      <c r="BS222" s="106">
        <f>+HLOOKUP($C222,BP!$CU$2:$DG$250,153,0)</f>
        <v>320</v>
      </c>
      <c r="BT222" s="106">
        <f>+HLOOKUP($C222,BP!$CU$2:$DG$250,157,0)</f>
        <v>0</v>
      </c>
      <c r="BU222" s="106">
        <f>+HLOOKUP($C222,BP!$CU$2:$DG$250,158,0)</f>
        <v>0</v>
      </c>
      <c r="BV222" s="106">
        <f>+HLOOKUP($C222,BP!$CU$2:$DG$250,159,0)</f>
        <v>136.20000000000002</v>
      </c>
      <c r="BW222" s="106">
        <f>+HLOOKUP($C222,BP!$CU$2:$DG$250,160,0)</f>
        <v>1321.5468000000001</v>
      </c>
      <c r="BX222" s="106">
        <f>+HLOOKUP($C222,BP!$CU$2:$DG$250,161,0)</f>
        <v>1260</v>
      </c>
      <c r="BY222" s="106">
        <f>+HLOOKUP($C222,BP!$CU$2:$DG$250,164,0)</f>
        <v>3180.951</v>
      </c>
      <c r="BZ222" s="106">
        <f>+HLOOKUP($C222,BP!$CU$2:$DG$250,165,0)</f>
        <v>0</v>
      </c>
      <c r="CA222" s="106">
        <f>+HLOOKUP($C222,BP!$CU$2:$DG$250,166,0)</f>
        <v>0</v>
      </c>
      <c r="CB222" s="106">
        <f>+HLOOKUP($C222,BP!$CU$2:$DG$250,167,0)</f>
        <v>0</v>
      </c>
      <c r="CC222" s="106">
        <f>+HLOOKUP($C222,BP!$CU$2:$DG$250,168,0)</f>
        <v>0</v>
      </c>
      <c r="CD222" s="106">
        <f>+HLOOKUP($C222,BP!$CU$2:$DG$250,169,0)</f>
        <v>0</v>
      </c>
      <c r="CE222" s="106">
        <f>+HLOOKUP($C222,BP!$CU$2:$DG$250,170,0)</f>
        <v>0</v>
      </c>
      <c r="CF222" s="106">
        <f>+HLOOKUP($C222,BP!$CU$2:$DG$250,172,0)</f>
        <v>7200</v>
      </c>
      <c r="CG222" s="106">
        <f>+HLOOKUP($C222,BP!$CU$2:$DG$250,173,0)</f>
        <v>0</v>
      </c>
      <c r="CH222" s="106">
        <f>+HLOOKUP($C222,BP!$CU$2:$DG$250,174,0)</f>
        <v>38400</v>
      </c>
      <c r="CI222" s="106">
        <f>+HLOOKUP($C222,BP!$CU$2:$DG$250,175,0)</f>
        <v>2972</v>
      </c>
      <c r="CJ222" s="106">
        <f>+HLOOKUP($C222,BP!$CU$2:$DG$250,176,0)</f>
        <v>976.34020000000021</v>
      </c>
      <c r="CK222" s="106">
        <f>+HLOOKUP($C222,BP!$CU$2:$DG$250,178,0)</f>
        <v>14030.6</v>
      </c>
      <c r="CL222" s="106">
        <f>+HLOOKUP($C222,BP!$CU$2:$DG$250,179,0)</f>
        <v>0</v>
      </c>
      <c r="CM222" s="106">
        <f>+HLOOKUP($C222,BP!$CU$2:$DG$250,180,0)</f>
        <v>5600</v>
      </c>
      <c r="CN222" s="106">
        <f>+HLOOKUP($C222,BP!$CU$2:$DG$250,182,0)</f>
        <v>304.57979999999998</v>
      </c>
      <c r="CO222" s="106">
        <f>+HLOOKUP($C222,BP!$CU$2:$DG$250,183,0)</f>
        <v>3659.7799999999997</v>
      </c>
      <c r="CP222" s="106">
        <f>+HLOOKUP($C222,BP!$CU$2:$DG$250,184,0)</f>
        <v>881.34</v>
      </c>
      <c r="CQ222" s="106">
        <f>+HLOOKUP($C222,BP!$CU$2:$DG$250,185,0)</f>
        <v>0</v>
      </c>
      <c r="CR222" s="106">
        <f>+HLOOKUP($C222,BP!$CU$2:$DG$250,187,0)</f>
        <v>1249.92</v>
      </c>
      <c r="CS222" s="106">
        <f>+HLOOKUP($C222,BP!$CU$2:$DG$250,188,0)</f>
        <v>0</v>
      </c>
      <c r="CT222" s="106">
        <f>+HLOOKUP($C222,BP!$CU$2:$DG$250,189,0)</f>
        <v>0</v>
      </c>
      <c r="CU222" s="106">
        <f>+HLOOKUP($C222,BP!$CU$2:$DG$250,190,0)</f>
        <v>0</v>
      </c>
      <c r="CV222" s="106">
        <f>+HLOOKUP($C222,BP!$CU$2:$DG$250,191,0)</f>
        <v>0</v>
      </c>
      <c r="CW222" s="106">
        <f>+HLOOKUP($C222,BP!$CU$2:$DG$250,193,0)</f>
        <v>2475.6000000000004</v>
      </c>
      <c r="CX222" s="106">
        <f>+HLOOKUP($C222,BP!$CU$2:$DG$250,194,0)</f>
        <v>140.88</v>
      </c>
      <c r="CY222" s="106">
        <f>+HLOOKUP($C222,BP!$CU$2:$DG$250,195,0)</f>
        <v>2550</v>
      </c>
      <c r="CZ222" s="106">
        <f>+HLOOKUP($C222,BP!$CU$2:$DG$250,196,0)</f>
        <v>0</v>
      </c>
      <c r="DA222" s="106">
        <f>+HLOOKUP($C222,BP!$CU$2:$DG$250,197,0)</f>
        <v>1236.914</v>
      </c>
      <c r="DB222" s="106">
        <f>+HLOOKUP($C222,BP!$CU$2:$DG$250,198,0)</f>
        <v>975.66599999999994</v>
      </c>
      <c r="DC222" s="106">
        <f>+HLOOKUP($C222,BP!$CU$2:$DG$250,199,0)</f>
        <v>60</v>
      </c>
      <c r="DD222" s="106">
        <f>+HLOOKUP($C222,BP!$CU$2:$DG$250,200,0)</f>
        <v>0</v>
      </c>
      <c r="DE222" s="106">
        <f>+HLOOKUP($C222,BP!$CU$2:$DG$250,201,0)</f>
        <v>0</v>
      </c>
      <c r="DF222" s="106">
        <f>+HLOOKUP($C222,BP!$CU$2:$DG$250,202,0)</f>
        <v>0.55119999999999991</v>
      </c>
      <c r="DG222" s="106">
        <f>+HLOOKUP($C222,BP!$CU$2:$DG$250,203,0)</f>
        <v>-1.7166000000000001</v>
      </c>
      <c r="DH222" s="106">
        <f>+HLOOKUP($C222,BP!$CU$2:$DG$250,205,0)</f>
        <v>0</v>
      </c>
      <c r="DI222" s="106">
        <f>+HLOOKUP($C222,BP!$CU$2:$DG$250,206,0)</f>
        <v>0</v>
      </c>
      <c r="DJ222" s="106">
        <f>+HLOOKUP($C222,BP!$CU$2:$DG$250,207,0)</f>
        <v>822.52560000000005</v>
      </c>
      <c r="DK222" s="106">
        <f>+HLOOKUP($C222,BP!$CU$2:$DG$250,209,0)</f>
        <v>0</v>
      </c>
      <c r="DL222" s="106">
        <f>+HLOOKUP($C222,BP!$CU$2:$DG$250,210,0)</f>
        <v>46797</v>
      </c>
      <c r="DM222" s="106">
        <f>+HLOOKUP($C222,BP!$CU$2:$DG$250,211,0)</f>
        <v>0</v>
      </c>
      <c r="DN222" s="106">
        <f>+HLOOKUP($C222,BP!$CU$2:$DG$250,212,0)</f>
        <v>9600</v>
      </c>
      <c r="DO222" s="106">
        <f>+HLOOKUP($C222,BP!$CU$2:$DG$250,214,0)</f>
        <v>0</v>
      </c>
      <c r="DP222" s="106">
        <f>+HLOOKUP($C222,BP!$CU$2:$DG$250,215,0)</f>
        <v>428</v>
      </c>
      <c r="DQ222" s="106">
        <f>+HLOOKUP($C222,BP!$CU$2:$DG$250,219,0)</f>
        <v>0</v>
      </c>
      <c r="DR222" s="106">
        <f>+HLOOKUP($C222,BP!$CU$2:$DG$250,220,0)</f>
        <v>0</v>
      </c>
      <c r="DS222" s="106">
        <f>+HLOOKUP($C222,BP!$CU$2:$DG$250,221,0)</f>
        <v>0</v>
      </c>
      <c r="DT222" s="106">
        <f>+HLOOKUP($C222,BP!$CU$2:$DG$250,223,0)</f>
        <v>8105.2434000000012</v>
      </c>
      <c r="DU222" s="106">
        <f>+HLOOKUP($C222,BP!$CU$2:$DG$250,224,0)</f>
        <v>0</v>
      </c>
      <c r="DV222" s="106">
        <f>+HLOOKUP($C222,BP!$CU$2:$DG$250,225,0)</f>
        <v>0</v>
      </c>
      <c r="DW222" s="106">
        <f>+HLOOKUP($C222,BP!$CU$2:$DG$250,227,0)</f>
        <v>0</v>
      </c>
      <c r="DX222" s="106">
        <f>+HLOOKUP($C222,BP!$CU$2:$DG$250,228,0)</f>
        <v>1118.82</v>
      </c>
      <c r="DY222" s="106">
        <f>+HLOOKUP($C222,BP!$CU$2:$DG$250,236,0)</f>
        <v>0</v>
      </c>
      <c r="DZ222" s="106">
        <f>+HLOOKUP($C222,BP!$CU$2:$DG$250,237,0)</f>
        <v>54352.554480000006</v>
      </c>
      <c r="EA222" s="106">
        <f>+HLOOKUP($C222,BP!$CU$2:$DG$250,238,0)</f>
        <v>0</v>
      </c>
      <c r="EB222" s="106">
        <f>+HLOOKUP($C222,BP!$CU$2:$DG$250,240,0)</f>
        <v>155829.26235714319</v>
      </c>
    </row>
    <row r="223" spans="1:132" hidden="1">
      <c r="A223" t="s">
        <v>271</v>
      </c>
      <c r="B223" t="s">
        <v>218</v>
      </c>
      <c r="C223" s="117">
        <v>45839</v>
      </c>
      <c r="D223" s="106">
        <f t="shared" si="5"/>
        <v>3037238.9219999998</v>
      </c>
      <c r="E223" s="106">
        <f>+HLOOKUP(C223,BP!$CU$2:$DG$250,28,0)+HLOOKUP(C223,BP!$CU$2:$DG$250,43,0)+HLOOKUP(C223,BP!$CU$2:$DG$250,44,0)+HLOOKUP(C223,BP!$CU$2:$DG$250,45,0)+HLOOKUP(C223,BP!$CU$2:$DG$250,54,0)+HLOOKUP(C223,BP!$CU$2:$DG$250,59,0)</f>
        <v>3037238.9219999998</v>
      </c>
      <c r="F223" s="106">
        <f>+HLOOKUP(C223,BP!$CU$2:$DG$250,37,0)+HLOOKUP(C223,BP!$CU$2:$DG$250,55,0)</f>
        <v>2004030.3459999999</v>
      </c>
      <c r="G223" s="106">
        <f>+HLOOKUP($C223,BP!$CU$2:$DG$250,76,0)</f>
        <v>0</v>
      </c>
      <c r="H223" s="106">
        <f>+HLOOKUP($C223,BP!$CU$2:$DG$250,77,0)</f>
        <v>0</v>
      </c>
      <c r="I223" s="106">
        <f>+HLOOKUP($C223,BP!$CU$2:$DG$250,78,0)</f>
        <v>0</v>
      </c>
      <c r="J223" s="106">
        <f>+HLOOKUP($C223,BP!$CU$2:$DG$250,79,0)</f>
        <v>0</v>
      </c>
      <c r="K223" s="106">
        <f>+HLOOKUP($C223,BP!$CU$2:$DG$250,80,0)</f>
        <v>0</v>
      </c>
      <c r="L223" s="106">
        <f>+HLOOKUP($C223,BP!$CU$2:$DG$250,81,0)</f>
        <v>0</v>
      </c>
      <c r="M223" s="106">
        <f>+HLOOKUP($C223,BP!$CU$2:$DG$250,82,0)</f>
        <v>0</v>
      </c>
      <c r="N223" s="106">
        <f>+HLOOKUP($C223,BP!$CU$2:$DG$250,83,0)</f>
        <v>0</v>
      </c>
      <c r="O223" s="106">
        <f>+HLOOKUP($C223,BP!$CU$2:$DG$250,84,0)</f>
        <v>0</v>
      </c>
      <c r="P223" s="106">
        <f>+HLOOKUP($C223,BP!$CU$2:$DG$250,85,0)</f>
        <v>0</v>
      </c>
      <c r="Q223" s="106">
        <f>+HLOOKUP($C223,BP!$CU$2:$DG$250,87,0)</f>
        <v>80279.074999999997</v>
      </c>
      <c r="R223" s="106">
        <f>+HLOOKUP($C223,BP!$CU$2:$DG$250,90,0)</f>
        <v>0</v>
      </c>
      <c r="S223" s="106">
        <f>+HLOOKUP($C223,BP!$CU$2:$DG$250,91,0)</f>
        <v>0</v>
      </c>
      <c r="T223" s="106">
        <f>+HLOOKUP($C223,BP!$CU$2:$DG$250,92,0)</f>
        <v>761.16600000000005</v>
      </c>
      <c r="U223" s="106">
        <f>+HLOOKUP($C223,BP!$CU$2:$DG$250,93,0)</f>
        <v>0</v>
      </c>
      <c r="V223" s="106">
        <f>+HLOOKUP($C223,BP!$CU$2:$DG$250,94,0)</f>
        <v>0</v>
      </c>
      <c r="W223" s="106">
        <f>+HLOOKUP($C223,BP!$CU$2:$DG$250,95,0)</f>
        <v>0</v>
      </c>
      <c r="X223" s="106">
        <f>+HLOOKUP($C223,BP!$CU$2:$DG$250,96,0)</f>
        <v>0</v>
      </c>
      <c r="Y223" s="106">
        <f>+HLOOKUP($C223,BP!$CU$2:$DG$250,97,0)</f>
        <v>0</v>
      </c>
      <c r="Z223" s="106">
        <f>+HLOOKUP($C223,BP!$CU$2:$DG$250,98,0)</f>
        <v>0</v>
      </c>
      <c r="AA223" s="106">
        <f>+HLOOKUP($C223,BP!$CU$2:$DG$250,99,0)</f>
        <v>0</v>
      </c>
      <c r="AB223" s="106">
        <f>+HLOOKUP($C223,BP!$CU$2:$DG$250,100,0)</f>
        <v>0</v>
      </c>
      <c r="AC223" s="106">
        <f>+HLOOKUP($C223,BP!$CU$2:$DG$250,101,0)</f>
        <v>1414.288</v>
      </c>
      <c r="AD223" s="106">
        <f>+HLOOKUP($C223,BP!$CU$2:$DG$250,104,0)</f>
        <v>0</v>
      </c>
      <c r="AE223" s="106">
        <f>+HLOOKUP($C223,BP!$CU$2:$DG$250,105,0)</f>
        <v>1800</v>
      </c>
      <c r="AF223" s="106">
        <f>+HLOOKUP($C223,BP!$CU$2:$DG$250,106,0)</f>
        <v>0</v>
      </c>
      <c r="AG223" s="106">
        <f>+HLOOKUP($C223,BP!$CU$2:$DG$250,107,0)</f>
        <v>0</v>
      </c>
      <c r="AH223" s="106">
        <f>+HLOOKUP($C223,BP!$CU$2:$DG$250,108,0)</f>
        <v>0</v>
      </c>
      <c r="AI223" s="106">
        <f>+HLOOKUP($C223,BP!$CU$2:$DG$250,109,0)</f>
        <v>0</v>
      </c>
      <c r="AJ223" s="106">
        <f>+HLOOKUP($C223,BP!$CU$2:$DG$250,110,0)</f>
        <v>0</v>
      </c>
      <c r="AK223" s="106">
        <f>+HLOOKUP($C223,BP!$CU$2:$DG$250,111,0)</f>
        <v>0</v>
      </c>
      <c r="AL223" s="106">
        <f>+HLOOKUP($C223,BP!$CU$2:$DG$250,112,0)</f>
        <v>0</v>
      </c>
      <c r="AM223" s="106">
        <f>+HLOOKUP($C223,BP!$CU$2:$DG$250,116,0)</f>
        <v>17400</v>
      </c>
      <c r="AN223" s="106">
        <f>+HLOOKUP($C223,BP!$CU$2:$DG$250,117,0)</f>
        <v>2620</v>
      </c>
      <c r="AO223" s="106">
        <f>+HLOOKUP($C223,BP!$CU$2:$DG$250,118,0)</f>
        <v>0</v>
      </c>
      <c r="AP223" s="106">
        <f>+HLOOKUP($C223,BP!$CU$2:$DG$250,119,0)</f>
        <v>5680</v>
      </c>
      <c r="AQ223" s="106">
        <f>+HLOOKUP($C223,BP!$CU$2:$DG$250,120,0)</f>
        <v>2400</v>
      </c>
      <c r="AR223" s="106">
        <f>+HLOOKUP($C223,BP!$CU$2:$DG$250,121,0)</f>
        <v>1500</v>
      </c>
      <c r="AS223" s="106">
        <f>+HLOOKUP($C223,BP!$CU$2:$DG$250,122,0)</f>
        <v>7400</v>
      </c>
      <c r="AT223" s="106">
        <f>+HLOOKUP($C223,BP!$CU$2:$DG$250,123,0)</f>
        <v>2286.8210263888886</v>
      </c>
      <c r="AU223" s="106">
        <f>+HLOOKUP($C223,BP!$CU$2:$DG$250,124,0)</f>
        <v>0</v>
      </c>
      <c r="AV223" s="106">
        <f>+HLOOKUP($C223,BP!$CU$2:$DG$250,125,0)</f>
        <v>51826.968000000001</v>
      </c>
      <c r="AW223" s="106">
        <f>+HLOOKUP($C223,BP!$CU$2:$DG$250,126,0)</f>
        <v>836.53846153846155</v>
      </c>
      <c r="AX223" s="106">
        <f>+HLOOKUP($C223,BP!$CU$2:$DG$250,127,0)</f>
        <v>1283.3333333333333</v>
      </c>
      <c r="AY223" s="106">
        <f>+HLOOKUP($C223,BP!$CU$2:$DG$250,129,0)</f>
        <v>0</v>
      </c>
      <c r="AZ223" s="106">
        <f>+HLOOKUP($C223,BP!$CU$2:$DG$250,130,0)</f>
        <v>0</v>
      </c>
      <c r="BA223" s="106">
        <f>+HLOOKUP($C223,BP!$CU$2:$DG$250,131,0)</f>
        <v>0</v>
      </c>
      <c r="BB223" s="106">
        <f>+HLOOKUP($C223,BP!$CU$2:$DG$250,133,0)</f>
        <v>0</v>
      </c>
      <c r="BC223" s="106">
        <f>+HLOOKUP($C223,BP!$CU$2:$DG$250,134,0)</f>
        <v>1481.34</v>
      </c>
      <c r="BD223" s="106">
        <f>+HLOOKUP($C223,BP!$CU$2:$DG$250,135,0)</f>
        <v>0</v>
      </c>
      <c r="BE223" s="106">
        <f>+HLOOKUP($C223,BP!$CU$2:$DG$250,136,0)</f>
        <v>27439.906199999998</v>
      </c>
      <c r="BF223" s="106">
        <f>+HLOOKUP($C223,BP!$CU$2:$DG$250,138,0)</f>
        <v>3943.1204109589039</v>
      </c>
      <c r="BG223" s="106">
        <f>+HLOOKUP($C223,BP!$CU$2:$DG$250,139,0)</f>
        <v>4579.6140000000005</v>
      </c>
      <c r="BH223" s="106">
        <f>+HLOOKUP($C223,BP!$CU$2:$DG$250,140,0)</f>
        <v>9000</v>
      </c>
      <c r="BI223" s="106">
        <f>+HLOOKUP($C223,BP!$CU$2:$DG$250,141,0)</f>
        <v>0</v>
      </c>
      <c r="BJ223" s="106">
        <f>+HLOOKUP($C223,BP!$CU$2:$DG$250,142,0)</f>
        <v>0</v>
      </c>
      <c r="BK223" s="106">
        <f>+HLOOKUP($C223,BP!$CU$2:$DG$250,143,0)</f>
        <v>0</v>
      </c>
      <c r="BL223" s="106">
        <f>+HLOOKUP($C223,BP!$CU$2:$DG$250,144,0)</f>
        <v>0</v>
      </c>
      <c r="BM223" s="106">
        <f>+HLOOKUP($C223,BP!$CU$2:$DG$250,146,0)</f>
        <v>0</v>
      </c>
      <c r="BN223" s="106">
        <f>+HLOOKUP($C223,BP!$CU$2:$DG$250,147,0)</f>
        <v>0</v>
      </c>
      <c r="BO223" s="106">
        <f>+HLOOKUP($C223,BP!$CU$2:$DG$250,148,0)</f>
        <v>0</v>
      </c>
      <c r="BP223" s="106">
        <f>+HLOOKUP($C223,BP!$CU$2:$DG$250,150,0)</f>
        <v>20311.2</v>
      </c>
      <c r="BQ223" s="106">
        <f>+HLOOKUP($C223,BP!$CU$2:$DG$250,151,0)</f>
        <v>992.2</v>
      </c>
      <c r="BR223" s="106">
        <f>+HLOOKUP($C223,BP!$CU$2:$DG$250,152,0)</f>
        <v>7000</v>
      </c>
      <c r="BS223" s="106">
        <f>+HLOOKUP($C223,BP!$CU$2:$DG$250,153,0)</f>
        <v>320</v>
      </c>
      <c r="BT223" s="106">
        <f>+HLOOKUP($C223,BP!$CU$2:$DG$250,157,0)</f>
        <v>0</v>
      </c>
      <c r="BU223" s="106">
        <f>+HLOOKUP($C223,BP!$CU$2:$DG$250,158,0)</f>
        <v>0</v>
      </c>
      <c r="BV223" s="106">
        <f>+HLOOKUP($C223,BP!$CU$2:$DG$250,159,0)</f>
        <v>136.1111111111112</v>
      </c>
      <c r="BW223" s="106">
        <f>+HLOOKUP($C223,BP!$CU$2:$DG$250,160,0)</f>
        <v>0</v>
      </c>
      <c r="BX223" s="106">
        <f>+HLOOKUP($C223,BP!$CU$2:$DG$250,161,0)</f>
        <v>906</v>
      </c>
      <c r="BY223" s="106">
        <f>+HLOOKUP($C223,BP!$CU$2:$DG$250,164,0)</f>
        <v>1524.48</v>
      </c>
      <c r="BZ223" s="106">
        <f>+HLOOKUP($C223,BP!$CU$2:$DG$250,165,0)</f>
        <v>0</v>
      </c>
      <c r="CA223" s="106">
        <f>+HLOOKUP($C223,BP!$CU$2:$DG$250,166,0)</f>
        <v>0</v>
      </c>
      <c r="CB223" s="106">
        <f>+HLOOKUP($C223,BP!$CU$2:$DG$250,167,0)</f>
        <v>0</v>
      </c>
      <c r="CC223" s="106">
        <f>+HLOOKUP($C223,BP!$CU$2:$DG$250,168,0)</f>
        <v>0</v>
      </c>
      <c r="CD223" s="106">
        <f>+HLOOKUP($C223,BP!$CU$2:$DG$250,169,0)</f>
        <v>563.01180000000011</v>
      </c>
      <c r="CE223" s="106">
        <f>+HLOOKUP($C223,BP!$CU$2:$DG$250,170,0)</f>
        <v>0</v>
      </c>
      <c r="CF223" s="106">
        <f>+HLOOKUP($C223,BP!$CU$2:$DG$250,172,0)</f>
        <v>7200</v>
      </c>
      <c r="CG223" s="106">
        <f>+HLOOKUP($C223,BP!$CU$2:$DG$250,173,0)</f>
        <v>0</v>
      </c>
      <c r="CH223" s="106">
        <f>+HLOOKUP($C223,BP!$CU$2:$DG$250,174,0)</f>
        <v>0</v>
      </c>
      <c r="CI223" s="106">
        <f>+HLOOKUP($C223,BP!$CU$2:$DG$250,175,0)</f>
        <v>0</v>
      </c>
      <c r="CJ223" s="106">
        <f>+HLOOKUP($C223,BP!$CU$2:$DG$250,176,0)</f>
        <v>976.29391111111204</v>
      </c>
      <c r="CK223" s="106">
        <f>+HLOOKUP($C223,BP!$CU$2:$DG$250,178,0)</f>
        <v>23917.198000000004</v>
      </c>
      <c r="CL223" s="106">
        <f>+HLOOKUP($C223,BP!$CU$2:$DG$250,179,0)</f>
        <v>0</v>
      </c>
      <c r="CM223" s="106">
        <f>+HLOOKUP($C223,BP!$CU$2:$DG$250,180,0)</f>
        <v>4200</v>
      </c>
      <c r="CN223" s="106">
        <f>+HLOOKUP($C223,BP!$CU$2:$DG$250,182,0)</f>
        <v>304.57979999999998</v>
      </c>
      <c r="CO223" s="106">
        <f>+HLOOKUP($C223,BP!$CU$2:$DG$250,183,0)</f>
        <v>3923.9228725274725</v>
      </c>
      <c r="CP223" s="106">
        <f>+HLOOKUP($C223,BP!$CU$2:$DG$250,184,0)</f>
        <v>3859.3872000000006</v>
      </c>
      <c r="CQ223" s="106">
        <f>+HLOOKUP($C223,BP!$CU$2:$DG$250,185,0)</f>
        <v>0</v>
      </c>
      <c r="CR223" s="106">
        <f>+HLOOKUP($C223,BP!$CU$2:$DG$250,187,0)</f>
        <v>1249.92</v>
      </c>
      <c r="CS223" s="106">
        <f>+HLOOKUP($C223,BP!$CU$2:$DG$250,188,0)</f>
        <v>900</v>
      </c>
      <c r="CT223" s="106">
        <f>+HLOOKUP($C223,BP!$CU$2:$DG$250,189,0)</f>
        <v>0</v>
      </c>
      <c r="CU223" s="106">
        <f>+HLOOKUP($C223,BP!$CU$2:$DG$250,190,0)</f>
        <v>499.98</v>
      </c>
      <c r="CV223" s="106">
        <f>+HLOOKUP($C223,BP!$CU$2:$DG$250,191,0)</f>
        <v>0</v>
      </c>
      <c r="CW223" s="106">
        <f>+HLOOKUP($C223,BP!$CU$2:$DG$250,193,0)</f>
        <v>2475.5500000000002</v>
      </c>
      <c r="CX223" s="106">
        <f>+HLOOKUP($C223,BP!$CU$2:$DG$250,194,0)</f>
        <v>517.95761316872392</v>
      </c>
      <c r="CY223" s="106">
        <f>+HLOOKUP($C223,BP!$CU$2:$DG$250,195,0)</f>
        <v>550.02359999999999</v>
      </c>
      <c r="CZ223" s="106">
        <f>+HLOOKUP($C223,BP!$CU$2:$DG$250,196,0)</f>
        <v>0</v>
      </c>
      <c r="DA223" s="106">
        <f>+HLOOKUP($C223,BP!$CU$2:$DG$250,197,0)</f>
        <v>1754.8000000000002</v>
      </c>
      <c r="DB223" s="106">
        <f>+HLOOKUP($C223,BP!$CU$2:$DG$250,198,0)</f>
        <v>390.50200000000001</v>
      </c>
      <c r="DC223" s="106">
        <f>+HLOOKUP($C223,BP!$CU$2:$DG$250,199,0)</f>
        <v>1266.364</v>
      </c>
      <c r="DD223" s="106">
        <f>+HLOOKUP($C223,BP!$CU$2:$DG$250,200,0)</f>
        <v>186.20000000000002</v>
      </c>
      <c r="DE223" s="106">
        <f>+HLOOKUP($C223,BP!$CU$2:$DG$250,201,0)</f>
        <v>459.6</v>
      </c>
      <c r="DF223" s="106">
        <f>+HLOOKUP($C223,BP!$CU$2:$DG$250,202,0)</f>
        <v>1.0407999999999999</v>
      </c>
      <c r="DG223" s="106">
        <f>+HLOOKUP($C223,BP!$CU$2:$DG$250,203,0)</f>
        <v>17.297400000000003</v>
      </c>
      <c r="DH223" s="106">
        <f>+HLOOKUP($C223,BP!$CU$2:$DG$250,205,0)</f>
        <v>0</v>
      </c>
      <c r="DI223" s="106">
        <f>+HLOOKUP($C223,BP!$CU$2:$DG$250,206,0)</f>
        <v>0</v>
      </c>
      <c r="DJ223" s="106">
        <f>+HLOOKUP($C223,BP!$CU$2:$DG$250,207,0)</f>
        <v>822.44166666666422</v>
      </c>
      <c r="DK223" s="106">
        <f>+HLOOKUP($C223,BP!$CU$2:$DG$250,209,0)</f>
        <v>0</v>
      </c>
      <c r="DL223" s="106">
        <f>+HLOOKUP($C223,BP!$CU$2:$DG$250,210,0)</f>
        <v>46797</v>
      </c>
      <c r="DM223" s="106">
        <f>+HLOOKUP($C223,BP!$CU$2:$DG$250,211,0)</f>
        <v>0</v>
      </c>
      <c r="DN223" s="106">
        <f>+HLOOKUP($C223,BP!$CU$2:$DG$250,212,0)</f>
        <v>9600</v>
      </c>
      <c r="DO223" s="106">
        <f>+HLOOKUP($C223,BP!$CU$2:$DG$250,214,0)</f>
        <v>0</v>
      </c>
      <c r="DP223" s="106">
        <f>+HLOOKUP($C223,BP!$CU$2:$DG$250,215,0)</f>
        <v>540</v>
      </c>
      <c r="DQ223" s="106">
        <f>+HLOOKUP($C223,BP!$CU$2:$DG$250,219,0)</f>
        <v>0</v>
      </c>
      <c r="DR223" s="106">
        <f>+HLOOKUP($C223,BP!$CU$2:$DG$250,220,0)</f>
        <v>0</v>
      </c>
      <c r="DS223" s="106">
        <f>+HLOOKUP($C223,BP!$CU$2:$DG$250,221,0)</f>
        <v>0</v>
      </c>
      <c r="DT223" s="106">
        <f>+HLOOKUP($C223,BP!$CU$2:$DG$250,223,0)</f>
        <v>7736.9465999999993</v>
      </c>
      <c r="DU223" s="106">
        <f>+HLOOKUP($C223,BP!$CU$2:$DG$250,224,0)</f>
        <v>0</v>
      </c>
      <c r="DV223" s="106">
        <f>+HLOOKUP($C223,BP!$CU$2:$DG$250,225,0)</f>
        <v>0</v>
      </c>
      <c r="DW223" s="106">
        <f>+HLOOKUP($C223,BP!$CU$2:$DG$250,227,0)</f>
        <v>0</v>
      </c>
      <c r="DX223" s="106">
        <f>+HLOOKUP($C223,BP!$CU$2:$DG$250,228,0)</f>
        <v>0</v>
      </c>
      <c r="DY223" s="106">
        <f>+HLOOKUP($C223,BP!$CU$2:$DG$250,236,0)</f>
        <v>0</v>
      </c>
      <c r="DZ223" s="106">
        <f>+HLOOKUP($C223,BP!$CU$2:$DG$250,237,0)</f>
        <v>56941.945200000009</v>
      </c>
      <c r="EA223" s="106">
        <f>+HLOOKUP($C223,BP!$CU$2:$DG$250,238,0)</f>
        <v>0</v>
      </c>
      <c r="EB223" s="106">
        <f>+HLOOKUP($C223,BP!$CU$2:$DG$250,240,0)</f>
        <v>155829.26235714319</v>
      </c>
    </row>
    <row r="224" spans="1:132" hidden="1">
      <c r="A224" t="s">
        <v>271</v>
      </c>
      <c r="B224" t="s">
        <v>218</v>
      </c>
      <c r="C224" s="117">
        <v>45809</v>
      </c>
      <c r="D224" s="106">
        <f t="shared" si="5"/>
        <v>1711689.7007999998</v>
      </c>
      <c r="E224" s="106">
        <f>+HLOOKUP(C224,BP!$CU$2:$DG$250,28,0)+HLOOKUP(C224,BP!$CU$2:$DG$250,43,0)+HLOOKUP(C224,BP!$CU$2:$DG$250,44,0)+HLOOKUP(C224,BP!$CU$2:$DG$250,45,0)+HLOOKUP(C224,BP!$CU$2:$DG$250,54,0)+HLOOKUP(C224,BP!$CU$2:$DG$250,59,0)</f>
        <v>1711689.7007999998</v>
      </c>
      <c r="F224" s="106">
        <f>+HLOOKUP(C224,BP!$CU$2:$DG$250,37,0)+HLOOKUP(C224,BP!$CU$2:$DG$250,55,0)</f>
        <v>1029533.8499999999</v>
      </c>
      <c r="G224" s="106">
        <f>+HLOOKUP($C224,BP!$CU$2:$DG$250,76,0)</f>
        <v>0</v>
      </c>
      <c r="H224" s="106">
        <f>+HLOOKUP($C224,BP!$CU$2:$DG$250,77,0)</f>
        <v>0</v>
      </c>
      <c r="I224" s="106">
        <f>+HLOOKUP($C224,BP!$CU$2:$DG$250,78,0)</f>
        <v>0</v>
      </c>
      <c r="J224" s="106">
        <f>+HLOOKUP($C224,BP!$CU$2:$DG$250,79,0)</f>
        <v>0</v>
      </c>
      <c r="K224" s="106">
        <f>+HLOOKUP($C224,BP!$CU$2:$DG$250,80,0)</f>
        <v>0</v>
      </c>
      <c r="L224" s="106">
        <f>+HLOOKUP($C224,BP!$CU$2:$DG$250,81,0)</f>
        <v>0</v>
      </c>
      <c r="M224" s="106">
        <f>+HLOOKUP($C224,BP!$CU$2:$DG$250,82,0)</f>
        <v>0</v>
      </c>
      <c r="N224" s="106">
        <f>+HLOOKUP($C224,BP!$CU$2:$DG$250,83,0)</f>
        <v>0</v>
      </c>
      <c r="O224" s="106">
        <f>+HLOOKUP($C224,BP!$CU$2:$DG$250,84,0)</f>
        <v>0</v>
      </c>
      <c r="P224" s="106">
        <f>+HLOOKUP($C224,BP!$CU$2:$DG$250,85,0)</f>
        <v>0</v>
      </c>
      <c r="Q224" s="106">
        <f>+HLOOKUP($C224,BP!$CU$2:$DG$250,87,0)</f>
        <v>57455.59</v>
      </c>
      <c r="R224" s="106">
        <f>+HLOOKUP($C224,BP!$CU$2:$DG$250,90,0)</f>
        <v>0</v>
      </c>
      <c r="S224" s="106">
        <f>+HLOOKUP($C224,BP!$CU$2:$DG$250,91,0)</f>
        <v>300</v>
      </c>
      <c r="T224" s="106">
        <f>+HLOOKUP($C224,BP!$CU$2:$DG$250,92,0)</f>
        <v>189.21600000000001</v>
      </c>
      <c r="U224" s="106">
        <f>+HLOOKUP($C224,BP!$CU$2:$DG$250,93,0)</f>
        <v>0</v>
      </c>
      <c r="V224" s="106">
        <f>+HLOOKUP($C224,BP!$CU$2:$DG$250,94,0)</f>
        <v>0</v>
      </c>
      <c r="W224" s="106">
        <f>+HLOOKUP($C224,BP!$CU$2:$DG$250,95,0)</f>
        <v>0</v>
      </c>
      <c r="X224" s="106">
        <f>+HLOOKUP($C224,BP!$CU$2:$DG$250,96,0)</f>
        <v>0</v>
      </c>
      <c r="Y224" s="106">
        <f>+HLOOKUP($C224,BP!$CU$2:$DG$250,97,0)</f>
        <v>0</v>
      </c>
      <c r="Z224" s="106">
        <f>+HLOOKUP($C224,BP!$CU$2:$DG$250,98,0)</f>
        <v>0</v>
      </c>
      <c r="AA224" s="106">
        <f>+HLOOKUP($C224,BP!$CU$2:$DG$250,99,0)</f>
        <v>0</v>
      </c>
      <c r="AB224" s="106">
        <f>+HLOOKUP($C224,BP!$CU$2:$DG$250,100,0)</f>
        <v>0</v>
      </c>
      <c r="AC224" s="106">
        <f>+HLOOKUP($C224,BP!$CU$2:$DG$250,101,0)</f>
        <v>2947.2000000000003</v>
      </c>
      <c r="AD224" s="106">
        <f>+HLOOKUP($C224,BP!$CU$2:$DG$250,104,0)</f>
        <v>0</v>
      </c>
      <c r="AE224" s="106">
        <f>+HLOOKUP($C224,BP!$CU$2:$DG$250,105,0)</f>
        <v>3900</v>
      </c>
      <c r="AF224" s="106">
        <f>+HLOOKUP($C224,BP!$CU$2:$DG$250,106,0)</f>
        <v>0</v>
      </c>
      <c r="AG224" s="106">
        <f>+HLOOKUP($C224,BP!$CU$2:$DG$250,107,0)</f>
        <v>0</v>
      </c>
      <c r="AH224" s="106">
        <f>+HLOOKUP($C224,BP!$CU$2:$DG$250,108,0)</f>
        <v>0</v>
      </c>
      <c r="AI224" s="106">
        <f>+HLOOKUP($C224,BP!$CU$2:$DG$250,109,0)</f>
        <v>0</v>
      </c>
      <c r="AJ224" s="106">
        <f>+HLOOKUP($C224,BP!$CU$2:$DG$250,110,0)</f>
        <v>0</v>
      </c>
      <c r="AK224" s="106">
        <f>+HLOOKUP($C224,BP!$CU$2:$DG$250,111,0)</f>
        <v>0</v>
      </c>
      <c r="AL224" s="106">
        <f>+HLOOKUP($C224,BP!$CU$2:$DG$250,112,0)</f>
        <v>0</v>
      </c>
      <c r="AM224" s="106">
        <f>+HLOOKUP($C224,BP!$CU$2:$DG$250,116,0)</f>
        <v>17400</v>
      </c>
      <c r="AN224" s="106">
        <f>+HLOOKUP($C224,BP!$CU$2:$DG$250,117,0)</f>
        <v>2620</v>
      </c>
      <c r="AO224" s="106">
        <f>+HLOOKUP($C224,BP!$CU$2:$DG$250,118,0)</f>
        <v>0</v>
      </c>
      <c r="AP224" s="106">
        <f>+HLOOKUP($C224,BP!$CU$2:$DG$250,119,0)</f>
        <v>5680</v>
      </c>
      <c r="AQ224" s="106">
        <f>+HLOOKUP($C224,BP!$CU$2:$DG$250,120,0)</f>
        <v>2400</v>
      </c>
      <c r="AR224" s="106">
        <f>+HLOOKUP($C224,BP!$CU$2:$DG$250,121,0)</f>
        <v>1500</v>
      </c>
      <c r="AS224" s="106">
        <f>+HLOOKUP($C224,BP!$CU$2:$DG$250,122,0)</f>
        <v>7400</v>
      </c>
      <c r="AT224" s="106">
        <f>+HLOOKUP($C224,BP!$CU$2:$DG$250,123,0)</f>
        <v>2286.8210263888886</v>
      </c>
      <c r="AU224" s="106">
        <f>+HLOOKUP($C224,BP!$CU$2:$DG$250,124,0)</f>
        <v>0</v>
      </c>
      <c r="AV224" s="106">
        <f>+HLOOKUP($C224,BP!$CU$2:$DG$250,125,0)</f>
        <v>40666.968000000001</v>
      </c>
      <c r="AW224" s="106">
        <f>+HLOOKUP($C224,BP!$CU$2:$DG$250,126,0)</f>
        <v>836.53846153846155</v>
      </c>
      <c r="AX224" s="106">
        <f>+HLOOKUP($C224,BP!$CU$2:$DG$250,127,0)</f>
        <v>1283.3333333333333</v>
      </c>
      <c r="AY224" s="106">
        <f>+HLOOKUP($C224,BP!$CU$2:$DG$250,129,0)</f>
        <v>0</v>
      </c>
      <c r="AZ224" s="106">
        <f>+HLOOKUP($C224,BP!$CU$2:$DG$250,130,0)</f>
        <v>0</v>
      </c>
      <c r="BA224" s="106">
        <f>+HLOOKUP($C224,BP!$CU$2:$DG$250,131,0)</f>
        <v>0</v>
      </c>
      <c r="BB224" s="106">
        <f>+HLOOKUP($C224,BP!$CU$2:$DG$250,133,0)</f>
        <v>0</v>
      </c>
      <c r="BC224" s="106">
        <f>+HLOOKUP($C224,BP!$CU$2:$DG$250,134,0)</f>
        <v>805.32</v>
      </c>
      <c r="BD224" s="106">
        <f>+HLOOKUP($C224,BP!$CU$2:$DG$250,135,0)</f>
        <v>0</v>
      </c>
      <c r="BE224" s="106">
        <f>+HLOOKUP($C224,BP!$CU$2:$DG$250,136,0)</f>
        <v>0</v>
      </c>
      <c r="BF224" s="106">
        <f>+HLOOKUP($C224,BP!$CU$2:$DG$250,138,0)</f>
        <v>3735.9204</v>
      </c>
      <c r="BG224" s="106">
        <f>+HLOOKUP($C224,BP!$CU$2:$DG$250,139,0)</f>
        <v>5998.92</v>
      </c>
      <c r="BH224" s="106">
        <f>+HLOOKUP($C224,BP!$CU$2:$DG$250,140,0)</f>
        <v>9000</v>
      </c>
      <c r="BI224" s="106">
        <f>+HLOOKUP($C224,BP!$CU$2:$DG$250,141,0)</f>
        <v>0</v>
      </c>
      <c r="BJ224" s="106">
        <f>+HLOOKUP($C224,BP!$CU$2:$DG$250,142,0)</f>
        <v>0</v>
      </c>
      <c r="BK224" s="106">
        <f>+HLOOKUP($C224,BP!$CU$2:$DG$250,143,0)</f>
        <v>21754.4856</v>
      </c>
      <c r="BL224" s="106">
        <f>+HLOOKUP($C224,BP!$CU$2:$DG$250,144,0)</f>
        <v>0</v>
      </c>
      <c r="BM224" s="106">
        <f>+HLOOKUP($C224,BP!$CU$2:$DG$250,146,0)</f>
        <v>0</v>
      </c>
      <c r="BN224" s="106">
        <f>+HLOOKUP($C224,BP!$CU$2:$DG$250,147,0)</f>
        <v>0</v>
      </c>
      <c r="BO224" s="106">
        <f>+HLOOKUP($C224,BP!$CU$2:$DG$250,148,0)</f>
        <v>0</v>
      </c>
      <c r="BP224" s="106">
        <f>+HLOOKUP($C224,BP!$CU$2:$DG$250,150,0)</f>
        <v>16934.400000000001</v>
      </c>
      <c r="BQ224" s="106">
        <f>+HLOOKUP($C224,BP!$CU$2:$DG$250,151,0)</f>
        <v>992.2</v>
      </c>
      <c r="BR224" s="106">
        <f>+HLOOKUP($C224,BP!$CU$2:$DG$250,152,0)</f>
        <v>7000</v>
      </c>
      <c r="BS224" s="106">
        <f>+HLOOKUP($C224,BP!$CU$2:$DG$250,153,0)</f>
        <v>320</v>
      </c>
      <c r="BT224" s="106">
        <f>+HLOOKUP($C224,BP!$CU$2:$DG$250,157,0)</f>
        <v>0</v>
      </c>
      <c r="BU224" s="106">
        <f>+HLOOKUP($C224,BP!$CU$2:$DG$250,158,0)</f>
        <v>889.77960000000007</v>
      </c>
      <c r="BV224" s="106">
        <f>+HLOOKUP($C224,BP!$CU$2:$DG$250,159,0)</f>
        <v>2801.5</v>
      </c>
      <c r="BW224" s="106">
        <f>+HLOOKUP($C224,BP!$CU$2:$DG$250,160,0)</f>
        <v>0</v>
      </c>
      <c r="BX224" s="106">
        <f>+HLOOKUP($C224,BP!$CU$2:$DG$250,161,0)</f>
        <v>1250</v>
      </c>
      <c r="BY224" s="106">
        <f>+HLOOKUP($C224,BP!$CU$2:$DG$250,164,0)</f>
        <v>2671.8701999999998</v>
      </c>
      <c r="BZ224" s="106">
        <f>+HLOOKUP($C224,BP!$CU$2:$DG$250,165,0)</f>
        <v>0</v>
      </c>
      <c r="CA224" s="106">
        <f>+HLOOKUP($C224,BP!$CU$2:$DG$250,166,0)</f>
        <v>0</v>
      </c>
      <c r="CB224" s="106">
        <f>+HLOOKUP($C224,BP!$CU$2:$DG$250,167,0)</f>
        <v>0</v>
      </c>
      <c r="CC224" s="106">
        <f>+HLOOKUP($C224,BP!$CU$2:$DG$250,168,0)</f>
        <v>0</v>
      </c>
      <c r="CD224" s="106">
        <f>+HLOOKUP($C224,BP!$CU$2:$DG$250,169,0)</f>
        <v>0</v>
      </c>
      <c r="CE224" s="106">
        <f>+HLOOKUP($C224,BP!$CU$2:$DG$250,170,0)</f>
        <v>0</v>
      </c>
      <c r="CF224" s="106">
        <f>+HLOOKUP($C224,BP!$CU$2:$DG$250,172,0)</f>
        <v>7200</v>
      </c>
      <c r="CG224" s="106">
        <f>+HLOOKUP($C224,BP!$CU$2:$DG$250,173,0)</f>
        <v>0</v>
      </c>
      <c r="CH224" s="106">
        <f>+HLOOKUP($C224,BP!$CU$2:$DG$250,174,0)</f>
        <v>0</v>
      </c>
      <c r="CI224" s="106">
        <f>+HLOOKUP($C224,BP!$CU$2:$DG$250,175,0)</f>
        <v>0</v>
      </c>
      <c r="CJ224" s="106">
        <f>+HLOOKUP($C224,BP!$CU$2:$DG$250,176,0)</f>
        <v>3187.2918000000004</v>
      </c>
      <c r="CK224" s="106">
        <f>+HLOOKUP($C224,BP!$CU$2:$DG$250,178,0)</f>
        <v>26576.2</v>
      </c>
      <c r="CL224" s="106">
        <f>+HLOOKUP($C224,BP!$CU$2:$DG$250,179,0)</f>
        <v>0</v>
      </c>
      <c r="CM224" s="106">
        <f>+HLOOKUP($C224,BP!$CU$2:$DG$250,180,0)</f>
        <v>2240</v>
      </c>
      <c r="CN224" s="106">
        <f>+HLOOKUP($C224,BP!$CU$2:$DG$250,182,0)</f>
        <v>304.57979999999998</v>
      </c>
      <c r="CO224" s="106">
        <f>+HLOOKUP($C224,BP!$CU$2:$DG$250,183,0)</f>
        <v>6074.2620000000006</v>
      </c>
      <c r="CP224" s="106">
        <f>+HLOOKUP($C224,BP!$CU$2:$DG$250,184,0)</f>
        <v>3923.6676000000002</v>
      </c>
      <c r="CQ224" s="106">
        <f>+HLOOKUP($C224,BP!$CU$2:$DG$250,185,0)</f>
        <v>0</v>
      </c>
      <c r="CR224" s="106">
        <f>+HLOOKUP($C224,BP!$CU$2:$DG$250,187,0)</f>
        <v>1249.92</v>
      </c>
      <c r="CS224" s="106">
        <f>+HLOOKUP($C224,BP!$CU$2:$DG$250,188,0)</f>
        <v>0</v>
      </c>
      <c r="CT224" s="106">
        <f>+HLOOKUP($C224,BP!$CU$2:$DG$250,189,0)</f>
        <v>0</v>
      </c>
      <c r="CU224" s="106">
        <f>+HLOOKUP($C224,BP!$CU$2:$DG$250,190,0)</f>
        <v>499.98</v>
      </c>
      <c r="CV224" s="106">
        <f>+HLOOKUP($C224,BP!$CU$2:$DG$250,191,0)</f>
        <v>0</v>
      </c>
      <c r="CW224" s="106">
        <f>+HLOOKUP($C224,BP!$CU$2:$DG$250,193,0)</f>
        <v>2475.5500000000002</v>
      </c>
      <c r="CX224" s="106">
        <f>+HLOOKUP($C224,BP!$CU$2:$DG$250,194,0)</f>
        <v>15.9</v>
      </c>
      <c r="CY224" s="106">
        <f>+HLOOKUP($C224,BP!$CU$2:$DG$250,195,0)</f>
        <v>550.024</v>
      </c>
      <c r="CZ224" s="106">
        <f>+HLOOKUP($C224,BP!$CU$2:$DG$250,196,0)</f>
        <v>0</v>
      </c>
      <c r="DA224" s="106">
        <f>+HLOOKUP($C224,BP!$CU$2:$DG$250,197,0)</f>
        <v>1316.14</v>
      </c>
      <c r="DB224" s="106">
        <f>+HLOOKUP($C224,BP!$CU$2:$DG$250,198,0)</f>
        <v>2250.056</v>
      </c>
      <c r="DC224" s="106">
        <f>+HLOOKUP($C224,BP!$CU$2:$DG$250,199,0)</f>
        <v>520.42200000000003</v>
      </c>
      <c r="DD224" s="106">
        <f>+HLOOKUP($C224,BP!$CU$2:$DG$250,200,0)</f>
        <v>16</v>
      </c>
      <c r="DE224" s="106">
        <f>+HLOOKUP($C224,BP!$CU$2:$DG$250,201,0)</f>
        <v>0</v>
      </c>
      <c r="DF224" s="106">
        <f>+HLOOKUP($C224,BP!$CU$2:$DG$250,202,0)</f>
        <v>0.1658</v>
      </c>
      <c r="DG224" s="106">
        <f>+HLOOKUP($C224,BP!$CU$2:$DG$250,203,0)</f>
        <v>-6.8718000000000004</v>
      </c>
      <c r="DH224" s="106">
        <f>+HLOOKUP($C224,BP!$CU$2:$DG$250,205,0)</f>
        <v>0</v>
      </c>
      <c r="DI224" s="106">
        <f>+HLOOKUP($C224,BP!$CU$2:$DG$250,206,0)</f>
        <v>0</v>
      </c>
      <c r="DJ224" s="106">
        <f>+HLOOKUP($C224,BP!$CU$2:$DG$250,207,0)</f>
        <v>814.36080000000004</v>
      </c>
      <c r="DK224" s="106">
        <f>+HLOOKUP($C224,BP!$CU$2:$DG$250,209,0)</f>
        <v>0</v>
      </c>
      <c r="DL224" s="106">
        <f>+HLOOKUP($C224,BP!$CU$2:$DG$250,210,0)</f>
        <v>46797</v>
      </c>
      <c r="DM224" s="106">
        <f>+HLOOKUP($C224,BP!$CU$2:$DG$250,211,0)</f>
        <v>0</v>
      </c>
      <c r="DN224" s="106">
        <f>+HLOOKUP($C224,BP!$CU$2:$DG$250,212,0)</f>
        <v>9600</v>
      </c>
      <c r="DO224" s="106">
        <f>+HLOOKUP($C224,BP!$CU$2:$DG$250,214,0)</f>
        <v>0</v>
      </c>
      <c r="DP224" s="106">
        <f>+HLOOKUP($C224,BP!$CU$2:$DG$250,215,0)</f>
        <v>380</v>
      </c>
      <c r="DQ224" s="106">
        <f>+HLOOKUP($C224,BP!$CU$2:$DG$250,219,0)</f>
        <v>0</v>
      </c>
      <c r="DR224" s="106">
        <f>+HLOOKUP($C224,BP!$CU$2:$DG$250,220,0)</f>
        <v>0</v>
      </c>
      <c r="DS224" s="106">
        <f>+HLOOKUP($C224,BP!$CU$2:$DG$250,221,0)</f>
        <v>0</v>
      </c>
      <c r="DT224" s="106">
        <f>+HLOOKUP($C224,BP!$CU$2:$DG$250,223,0)</f>
        <v>7109.0646000000015</v>
      </c>
      <c r="DU224" s="106">
        <f>+HLOOKUP($C224,BP!$CU$2:$DG$250,224,0)</f>
        <v>0</v>
      </c>
      <c r="DV224" s="106">
        <f>+HLOOKUP($C224,BP!$CU$2:$DG$250,225,0)</f>
        <v>0</v>
      </c>
      <c r="DW224" s="106">
        <f>+HLOOKUP($C224,BP!$CU$2:$DG$250,227,0)</f>
        <v>0</v>
      </c>
      <c r="DX224" s="106">
        <f>+HLOOKUP($C224,BP!$CU$2:$DG$250,228,0)</f>
        <v>1804.7399999999998</v>
      </c>
      <c r="DY224" s="106">
        <f>+HLOOKUP($C224,BP!$CU$2:$DG$250,236,0)</f>
        <v>0</v>
      </c>
      <c r="DZ224" s="106">
        <f>+HLOOKUP($C224,BP!$CU$2:$DG$250,237,0)</f>
        <v>60866.105580000003</v>
      </c>
      <c r="EA224" s="106">
        <f>+HLOOKUP($C224,BP!$CU$2:$DG$250,238,0)</f>
        <v>3398.22</v>
      </c>
      <c r="EB224" s="106">
        <f>+HLOOKUP($C224,BP!$CU$2:$DG$250,240,0)</f>
        <v>155829.26235714319</v>
      </c>
    </row>
    <row r="225" spans="1:132" hidden="1">
      <c r="A225" t="s">
        <v>271</v>
      </c>
      <c r="B225" t="s">
        <v>218</v>
      </c>
      <c r="C225" s="117">
        <v>45778</v>
      </c>
      <c r="D225" s="106">
        <f t="shared" si="5"/>
        <v>3278206.7</v>
      </c>
      <c r="E225" s="106">
        <f>+HLOOKUP(C225,BP!$CU$2:$DG$250,28,0)+HLOOKUP(C225,BP!$CU$2:$DG$250,43,0)+HLOOKUP(C225,BP!$CU$2:$DG$250,44,0)+HLOOKUP(C225,BP!$CU$2:$DG$250,45,0)+HLOOKUP(C225,BP!$CU$2:$DG$250,54,0)+HLOOKUP(C225,BP!$CU$2:$DG$250,59,0)</f>
        <v>3278206.7</v>
      </c>
      <c r="F225" s="106">
        <f>+HLOOKUP(C225,BP!$CU$2:$DG$250,37,0)+HLOOKUP(C225,BP!$CU$2:$DG$250,55,0)</f>
        <v>2156786.17</v>
      </c>
      <c r="G225" s="106">
        <f>+HLOOKUP($C225,BP!$CU$2:$DG$250,76,0)</f>
        <v>0</v>
      </c>
      <c r="H225" s="106">
        <f>+HLOOKUP($C225,BP!$CU$2:$DG$250,77,0)</f>
        <v>0</v>
      </c>
      <c r="I225" s="106">
        <f>+HLOOKUP($C225,BP!$CU$2:$DG$250,78,0)</f>
        <v>0</v>
      </c>
      <c r="J225" s="106">
        <f>+HLOOKUP($C225,BP!$CU$2:$DG$250,79,0)</f>
        <v>0</v>
      </c>
      <c r="K225" s="106">
        <f>+HLOOKUP($C225,BP!$CU$2:$DG$250,80,0)</f>
        <v>0</v>
      </c>
      <c r="L225" s="106">
        <f>+HLOOKUP($C225,BP!$CU$2:$DG$250,81,0)</f>
        <v>0</v>
      </c>
      <c r="M225" s="106">
        <f>+HLOOKUP($C225,BP!$CU$2:$DG$250,82,0)</f>
        <v>0</v>
      </c>
      <c r="N225" s="106">
        <f>+HLOOKUP($C225,BP!$CU$2:$DG$250,83,0)</f>
        <v>0</v>
      </c>
      <c r="O225" s="106">
        <f>+HLOOKUP($C225,BP!$CU$2:$DG$250,84,0)</f>
        <v>0</v>
      </c>
      <c r="P225" s="106">
        <f>+HLOOKUP($C225,BP!$CU$2:$DG$250,85,0)</f>
        <v>0</v>
      </c>
      <c r="Q225" s="106">
        <f>+HLOOKUP($C225,BP!$CU$2:$DG$250,87,0)</f>
        <v>76343.070000000007</v>
      </c>
      <c r="R225" s="106">
        <f>+HLOOKUP($C225,BP!$CU$2:$DG$250,90,0)</f>
        <v>0</v>
      </c>
      <c r="S225" s="106">
        <f>+HLOOKUP($C225,BP!$CU$2:$DG$250,91,0)</f>
        <v>0</v>
      </c>
      <c r="T225" s="106">
        <f>+HLOOKUP($C225,BP!$CU$2:$DG$250,92,0)</f>
        <v>283.92</v>
      </c>
      <c r="U225" s="106">
        <f>+HLOOKUP($C225,BP!$CU$2:$DG$250,93,0)</f>
        <v>0</v>
      </c>
      <c r="V225" s="106">
        <f>+HLOOKUP($C225,BP!$CU$2:$DG$250,94,0)</f>
        <v>0</v>
      </c>
      <c r="W225" s="106">
        <f>+HLOOKUP($C225,BP!$CU$2:$DG$250,95,0)</f>
        <v>0</v>
      </c>
      <c r="X225" s="106">
        <f>+HLOOKUP($C225,BP!$CU$2:$DG$250,96,0)</f>
        <v>0</v>
      </c>
      <c r="Y225" s="106">
        <f>+HLOOKUP($C225,BP!$CU$2:$DG$250,97,0)</f>
        <v>0</v>
      </c>
      <c r="Z225" s="106">
        <f>+HLOOKUP($C225,BP!$CU$2:$DG$250,98,0)</f>
        <v>0</v>
      </c>
      <c r="AA225" s="106">
        <f>+HLOOKUP($C225,BP!$CU$2:$DG$250,99,0)</f>
        <v>0</v>
      </c>
      <c r="AB225" s="106">
        <f>+HLOOKUP($C225,BP!$CU$2:$DG$250,100,0)</f>
        <v>0</v>
      </c>
      <c r="AC225" s="106">
        <f>+HLOOKUP($C225,BP!$CU$2:$DG$250,101,0)</f>
        <v>2947.2000000000003</v>
      </c>
      <c r="AD225" s="106">
        <f>+HLOOKUP($C225,BP!$CU$2:$DG$250,104,0)</f>
        <v>0</v>
      </c>
      <c r="AE225" s="106">
        <f>+HLOOKUP($C225,BP!$CU$2:$DG$250,105,0)</f>
        <v>0</v>
      </c>
      <c r="AF225" s="106">
        <f>+HLOOKUP($C225,BP!$CU$2:$DG$250,106,0)</f>
        <v>0</v>
      </c>
      <c r="AG225" s="106">
        <f>+HLOOKUP($C225,BP!$CU$2:$DG$250,107,0)</f>
        <v>0</v>
      </c>
      <c r="AH225" s="106">
        <f>+HLOOKUP($C225,BP!$CU$2:$DG$250,108,0)</f>
        <v>0</v>
      </c>
      <c r="AI225" s="106">
        <f>+HLOOKUP($C225,BP!$CU$2:$DG$250,109,0)</f>
        <v>900</v>
      </c>
      <c r="AJ225" s="106">
        <f>+HLOOKUP($C225,BP!$CU$2:$DG$250,110,0)</f>
        <v>0</v>
      </c>
      <c r="AK225" s="106">
        <f>+HLOOKUP($C225,BP!$CU$2:$DG$250,111,0)</f>
        <v>0</v>
      </c>
      <c r="AL225" s="106">
        <f>+HLOOKUP($C225,BP!$CU$2:$DG$250,112,0)</f>
        <v>0</v>
      </c>
      <c r="AM225" s="106">
        <f>+HLOOKUP($C225,BP!$CU$2:$DG$250,116,0)</f>
        <v>17400</v>
      </c>
      <c r="AN225" s="106">
        <f>+HLOOKUP($C225,BP!$CU$2:$DG$250,117,0)</f>
        <v>2620</v>
      </c>
      <c r="AO225" s="106">
        <f>+HLOOKUP($C225,BP!$CU$2:$DG$250,118,0)</f>
        <v>0</v>
      </c>
      <c r="AP225" s="106">
        <f>+HLOOKUP($C225,BP!$CU$2:$DG$250,119,0)</f>
        <v>5680</v>
      </c>
      <c r="AQ225" s="106">
        <f>+HLOOKUP($C225,BP!$CU$2:$DG$250,120,0)</f>
        <v>2400</v>
      </c>
      <c r="AR225" s="106">
        <f>+HLOOKUP($C225,BP!$CU$2:$DG$250,121,0)</f>
        <v>1500</v>
      </c>
      <c r="AS225" s="106">
        <f>+HLOOKUP($C225,BP!$CU$2:$DG$250,122,0)</f>
        <v>7400</v>
      </c>
      <c r="AT225" s="106">
        <f>+HLOOKUP($C225,BP!$CU$2:$DG$250,123,0)</f>
        <v>2286.8210263888886</v>
      </c>
      <c r="AU225" s="106">
        <f>+HLOOKUP($C225,BP!$CU$2:$DG$250,124,0)</f>
        <v>0</v>
      </c>
      <c r="AV225" s="106">
        <f>+HLOOKUP($C225,BP!$CU$2:$DG$250,125,0)</f>
        <v>25770</v>
      </c>
      <c r="AW225" s="106">
        <f>+HLOOKUP($C225,BP!$CU$2:$DG$250,126,0)</f>
        <v>836.53846153846155</v>
      </c>
      <c r="AX225" s="106">
        <f>+HLOOKUP($C225,BP!$CU$2:$DG$250,127,0)</f>
        <v>1283.3333333333333</v>
      </c>
      <c r="AY225" s="106">
        <f>+HLOOKUP($C225,BP!$CU$2:$DG$250,129,0)</f>
        <v>0</v>
      </c>
      <c r="AZ225" s="106">
        <f>+HLOOKUP($C225,BP!$CU$2:$DG$250,130,0)</f>
        <v>0</v>
      </c>
      <c r="BA225" s="106">
        <f>+HLOOKUP($C225,BP!$CU$2:$DG$250,131,0)</f>
        <v>0</v>
      </c>
      <c r="BB225" s="106">
        <f>+HLOOKUP($C225,BP!$CU$2:$DG$250,133,0)</f>
        <v>0</v>
      </c>
      <c r="BC225" s="106">
        <f>+HLOOKUP($C225,BP!$CU$2:$DG$250,134,0)</f>
        <v>1568.76</v>
      </c>
      <c r="BD225" s="106">
        <f>+HLOOKUP($C225,BP!$CU$2:$DG$250,135,0)</f>
        <v>0</v>
      </c>
      <c r="BE225" s="106">
        <f>+HLOOKUP($C225,BP!$CU$2:$DG$250,136,0)</f>
        <v>-6162.18</v>
      </c>
      <c r="BF225" s="106">
        <f>+HLOOKUP($C225,BP!$CU$2:$DG$250,138,0)</f>
        <v>4154.9204</v>
      </c>
      <c r="BG225" s="106">
        <f>+HLOOKUP($C225,BP!$CU$2:$DG$250,139,0)</f>
        <v>4655.4000000000005</v>
      </c>
      <c r="BH225" s="106">
        <f>+HLOOKUP($C225,BP!$CU$2:$DG$250,140,0)</f>
        <v>9000</v>
      </c>
      <c r="BI225" s="106">
        <f>+HLOOKUP($C225,BP!$CU$2:$DG$250,141,0)</f>
        <v>0</v>
      </c>
      <c r="BJ225" s="106">
        <f>+HLOOKUP($C225,BP!$CU$2:$DG$250,142,0)</f>
        <v>0</v>
      </c>
      <c r="BK225" s="106">
        <f>+HLOOKUP($C225,BP!$CU$2:$DG$250,143,0)</f>
        <v>21754.4856</v>
      </c>
      <c r="BL225" s="106">
        <f>+HLOOKUP($C225,BP!$CU$2:$DG$250,144,0)</f>
        <v>0</v>
      </c>
      <c r="BM225" s="106">
        <f>+HLOOKUP($C225,BP!$CU$2:$DG$250,146,0)</f>
        <v>0</v>
      </c>
      <c r="BN225" s="106">
        <f>+HLOOKUP($C225,BP!$CU$2:$DG$250,147,0)</f>
        <v>0</v>
      </c>
      <c r="BO225" s="106">
        <f>+HLOOKUP($C225,BP!$CU$2:$DG$250,148,0)</f>
        <v>0</v>
      </c>
      <c r="BP225" s="106">
        <f>+HLOOKUP($C225,BP!$CU$2:$DG$250,150,0)</f>
        <v>16016.800000000001</v>
      </c>
      <c r="BQ225" s="106">
        <f>+HLOOKUP($C225,BP!$CU$2:$DG$250,151,0)</f>
        <v>992.2</v>
      </c>
      <c r="BR225" s="106">
        <f>+HLOOKUP($C225,BP!$CU$2:$DG$250,152,0)</f>
        <v>7000</v>
      </c>
      <c r="BS225" s="106">
        <f>+HLOOKUP($C225,BP!$CU$2:$DG$250,153,0)</f>
        <v>320</v>
      </c>
      <c r="BT225" s="106">
        <f>+HLOOKUP($C225,BP!$CU$2:$DG$250,157,0)</f>
        <v>120</v>
      </c>
      <c r="BU225" s="106">
        <f>+HLOOKUP($C225,BP!$CU$2:$DG$250,158,0)</f>
        <v>0</v>
      </c>
      <c r="BV225" s="106">
        <f>+HLOOKUP($C225,BP!$CU$2:$DG$250,159,0)</f>
        <v>136.11199999999999</v>
      </c>
      <c r="BW225" s="106">
        <f>+HLOOKUP($C225,BP!$CU$2:$DG$250,160,0)</f>
        <v>0</v>
      </c>
      <c r="BX225" s="106">
        <f>+HLOOKUP($C225,BP!$CU$2:$DG$250,161,0)</f>
        <v>320</v>
      </c>
      <c r="BY225" s="106">
        <f>+HLOOKUP($C225,BP!$CU$2:$DG$250,164,0)</f>
        <v>1397.3184000000001</v>
      </c>
      <c r="BZ225" s="106">
        <f>+HLOOKUP($C225,BP!$CU$2:$DG$250,165,0)</f>
        <v>0</v>
      </c>
      <c r="CA225" s="106">
        <f>+HLOOKUP($C225,BP!$CU$2:$DG$250,166,0)</f>
        <v>0</v>
      </c>
      <c r="CB225" s="106">
        <f>+HLOOKUP($C225,BP!$CU$2:$DG$250,167,0)</f>
        <v>0</v>
      </c>
      <c r="CC225" s="106">
        <f>+HLOOKUP($C225,BP!$CU$2:$DG$250,168,0)</f>
        <v>0</v>
      </c>
      <c r="CD225" s="106">
        <f>+HLOOKUP($C225,BP!$CU$2:$DG$250,169,0)</f>
        <v>10500</v>
      </c>
      <c r="CE225" s="106">
        <f>+HLOOKUP($C225,BP!$CU$2:$DG$250,170,0)</f>
        <v>0</v>
      </c>
      <c r="CF225" s="106">
        <f>+HLOOKUP($C225,BP!$CU$2:$DG$250,172,0)</f>
        <v>7200</v>
      </c>
      <c r="CG225" s="106">
        <f>+HLOOKUP($C225,BP!$CU$2:$DG$250,173,0)</f>
        <v>0</v>
      </c>
      <c r="CH225" s="106">
        <f>+HLOOKUP($C225,BP!$CU$2:$DG$250,174,0)</f>
        <v>31551.040000000001</v>
      </c>
      <c r="CI225" s="106">
        <f>+HLOOKUP($C225,BP!$CU$2:$DG$250,175,0)</f>
        <v>8302.5600000000013</v>
      </c>
      <c r="CJ225" s="106">
        <f>+HLOOKUP($C225,BP!$CU$2:$DG$250,176,0)</f>
        <v>948.75180000000012</v>
      </c>
      <c r="CK225" s="106">
        <f>+HLOOKUP($C225,BP!$CU$2:$DG$250,178,0)</f>
        <v>31621.800000000003</v>
      </c>
      <c r="CL225" s="106">
        <f>+HLOOKUP($C225,BP!$CU$2:$DG$250,179,0)</f>
        <v>0</v>
      </c>
      <c r="CM225" s="106">
        <f>+HLOOKUP($C225,BP!$CU$2:$DG$250,180,0)</f>
        <v>7840</v>
      </c>
      <c r="CN225" s="106">
        <f>+HLOOKUP($C225,BP!$CU$2:$DG$250,182,0)</f>
        <v>311.274</v>
      </c>
      <c r="CO225" s="106">
        <f>+HLOOKUP($C225,BP!$CU$2:$DG$250,183,0)</f>
        <v>4649.9980000000005</v>
      </c>
      <c r="CP225" s="106">
        <f>+HLOOKUP($C225,BP!$CU$2:$DG$250,184,0)</f>
        <v>861.23879999999997</v>
      </c>
      <c r="CQ225" s="106">
        <f>+HLOOKUP($C225,BP!$CU$2:$DG$250,185,0)</f>
        <v>0</v>
      </c>
      <c r="CR225" s="106">
        <f>+HLOOKUP($C225,BP!$CU$2:$DG$250,187,0)</f>
        <v>1249.92</v>
      </c>
      <c r="CS225" s="106">
        <f>+HLOOKUP($C225,BP!$CU$2:$DG$250,188,0)</f>
        <v>900</v>
      </c>
      <c r="CT225" s="106">
        <f>+HLOOKUP($C225,BP!$CU$2:$DG$250,189,0)</f>
        <v>0</v>
      </c>
      <c r="CU225" s="106">
        <f>+HLOOKUP($C225,BP!$CU$2:$DG$250,190,0)</f>
        <v>499.98</v>
      </c>
      <c r="CV225" s="106">
        <f>+HLOOKUP($C225,BP!$CU$2:$DG$250,191,0)</f>
        <v>0</v>
      </c>
      <c r="CW225" s="106">
        <f>+HLOOKUP($C225,BP!$CU$2:$DG$250,193,0)</f>
        <v>13598.482</v>
      </c>
      <c r="CX225" s="106">
        <f>+HLOOKUP($C225,BP!$CU$2:$DG$250,194,0)</f>
        <v>15.9</v>
      </c>
      <c r="CY225" s="106">
        <f>+HLOOKUP($C225,BP!$CU$2:$DG$250,195,0)</f>
        <v>550.024</v>
      </c>
      <c r="CZ225" s="106">
        <f>+HLOOKUP($C225,BP!$CU$2:$DG$250,196,0)</f>
        <v>0</v>
      </c>
      <c r="DA225" s="106">
        <f>+HLOOKUP($C225,BP!$CU$2:$DG$250,197,0)</f>
        <v>1448.4540000000002</v>
      </c>
      <c r="DB225" s="106">
        <f>+HLOOKUP($C225,BP!$CU$2:$DG$250,198,0)</f>
        <v>2854.4120000000003</v>
      </c>
      <c r="DC225" s="106">
        <f>+HLOOKUP($C225,BP!$CU$2:$DG$250,199,0)</f>
        <v>412.71199999999999</v>
      </c>
      <c r="DD225" s="106">
        <f>+HLOOKUP($C225,BP!$CU$2:$DG$250,200,0)</f>
        <v>0</v>
      </c>
      <c r="DE225" s="106">
        <f>+HLOOKUP($C225,BP!$CU$2:$DG$250,201,0)</f>
        <v>0</v>
      </c>
      <c r="DF225" s="106">
        <f>+HLOOKUP($C225,BP!$CU$2:$DG$250,202,0)</f>
        <v>-0.4526</v>
      </c>
      <c r="DG225" s="106">
        <f>+HLOOKUP($C225,BP!$CU$2:$DG$250,203,0)</f>
        <v>14.764800000000001</v>
      </c>
      <c r="DH225" s="106">
        <f>+HLOOKUP($C225,BP!$CU$2:$DG$250,205,0)</f>
        <v>0</v>
      </c>
      <c r="DI225" s="106">
        <f>+HLOOKUP($C225,BP!$CU$2:$DG$250,206,0)</f>
        <v>0</v>
      </c>
      <c r="DJ225" s="106">
        <f>+HLOOKUP($C225,BP!$CU$2:$DG$250,207,0)</f>
        <v>808.30080000000021</v>
      </c>
      <c r="DK225" s="106">
        <f>+HLOOKUP($C225,BP!$CU$2:$DG$250,209,0)</f>
        <v>0</v>
      </c>
      <c r="DL225" s="106">
        <f>+HLOOKUP($C225,BP!$CU$2:$DG$250,210,0)</f>
        <v>46797</v>
      </c>
      <c r="DM225" s="106">
        <f>+HLOOKUP($C225,BP!$CU$2:$DG$250,211,0)</f>
        <v>0</v>
      </c>
      <c r="DN225" s="106">
        <f>+HLOOKUP($C225,BP!$CU$2:$DG$250,212,0)</f>
        <v>9600</v>
      </c>
      <c r="DO225" s="106">
        <f>+HLOOKUP($C225,BP!$CU$2:$DG$250,214,0)</f>
        <v>0</v>
      </c>
      <c r="DP225" s="106">
        <f>+HLOOKUP($C225,BP!$CU$2:$DG$250,215,0)</f>
        <v>120</v>
      </c>
      <c r="DQ225" s="106">
        <f>+HLOOKUP($C225,BP!$CU$2:$DG$250,219,0)</f>
        <v>0</v>
      </c>
      <c r="DR225" s="106">
        <f>+HLOOKUP($C225,BP!$CU$2:$DG$250,220,0)</f>
        <v>0</v>
      </c>
      <c r="DS225" s="106">
        <f>+HLOOKUP($C225,BP!$CU$2:$DG$250,221,0)</f>
        <v>0</v>
      </c>
      <c r="DT225" s="106">
        <f>+HLOOKUP($C225,BP!$CU$2:$DG$250,223,0)</f>
        <v>11360.178599999999</v>
      </c>
      <c r="DU225" s="106">
        <f>+HLOOKUP($C225,BP!$CU$2:$DG$250,224,0)</f>
        <v>0</v>
      </c>
      <c r="DV225" s="106">
        <f>+HLOOKUP($C225,BP!$CU$2:$DG$250,225,0)</f>
        <v>0</v>
      </c>
      <c r="DW225" s="106">
        <f>+HLOOKUP($C225,BP!$CU$2:$DG$250,227,0)</f>
        <v>0</v>
      </c>
      <c r="DX225" s="106">
        <f>+HLOOKUP($C225,BP!$CU$2:$DG$250,228,0)</f>
        <v>2962.26</v>
      </c>
      <c r="DY225" s="106">
        <f>+HLOOKUP($C225,BP!$CU$2:$DG$250,236,0)</f>
        <v>0</v>
      </c>
      <c r="DZ225" s="106">
        <f>+HLOOKUP($C225,BP!$CU$2:$DG$250,237,0)</f>
        <v>63952.56882</v>
      </c>
      <c r="EA225" s="106">
        <f>+HLOOKUP($C225,BP!$CU$2:$DG$250,238,0)</f>
        <v>0</v>
      </c>
      <c r="EB225" s="106">
        <f>+HLOOKUP($C225,BP!$CU$2:$DG$250,240,0)</f>
        <v>155829.26235714319</v>
      </c>
    </row>
    <row r="226" spans="1:132" hidden="1">
      <c r="A226" t="s">
        <v>271</v>
      </c>
      <c r="B226" t="s">
        <v>218</v>
      </c>
      <c r="C226" s="117">
        <v>45748</v>
      </c>
      <c r="D226" s="106">
        <f t="shared" si="5"/>
        <v>1697718.1790000002</v>
      </c>
      <c r="E226" s="106">
        <f>+HLOOKUP(C226,BP!$CU$2:$DG$250,28,0)+HLOOKUP(C226,BP!$CU$2:$DG$250,43,0)+HLOOKUP(C226,BP!$CU$2:$DG$250,44,0)+HLOOKUP(C226,BP!$CU$2:$DG$250,45,0)+HLOOKUP(C226,BP!$CU$2:$DG$250,54,0)+HLOOKUP(C226,BP!$CU$2:$DG$250,59,0)</f>
        <v>1697718.1790000002</v>
      </c>
      <c r="F226" s="106">
        <f>+HLOOKUP(C226,BP!$CU$2:$DG$250,37,0)+HLOOKUP(C226,BP!$CU$2:$DG$250,55,0)</f>
        <v>1162499.0839999998</v>
      </c>
      <c r="G226" s="106">
        <f>+HLOOKUP($C226,BP!$CU$2:$DG$250,76,0)</f>
        <v>0</v>
      </c>
      <c r="H226" s="106">
        <f>+HLOOKUP($C226,BP!$CU$2:$DG$250,77,0)</f>
        <v>0</v>
      </c>
      <c r="I226" s="106">
        <f>+HLOOKUP($C226,BP!$CU$2:$DG$250,78,0)</f>
        <v>0</v>
      </c>
      <c r="J226" s="106">
        <f>+HLOOKUP($C226,BP!$CU$2:$DG$250,79,0)</f>
        <v>0</v>
      </c>
      <c r="K226" s="106">
        <f>+HLOOKUP($C226,BP!$CU$2:$DG$250,80,0)</f>
        <v>0</v>
      </c>
      <c r="L226" s="106">
        <f>+HLOOKUP($C226,BP!$CU$2:$DG$250,81,0)</f>
        <v>0</v>
      </c>
      <c r="M226" s="106">
        <f>+HLOOKUP($C226,BP!$CU$2:$DG$250,82,0)</f>
        <v>0</v>
      </c>
      <c r="N226" s="106">
        <f>+HLOOKUP($C226,BP!$CU$2:$DG$250,83,0)</f>
        <v>0</v>
      </c>
      <c r="O226" s="106">
        <f>+HLOOKUP($C226,BP!$CU$2:$DG$250,84,0)</f>
        <v>0</v>
      </c>
      <c r="P226" s="106">
        <f>+HLOOKUP($C226,BP!$CU$2:$DG$250,85,0)</f>
        <v>0</v>
      </c>
      <c r="Q226" s="106">
        <f>+HLOOKUP($C226,BP!$CU$2:$DG$250,87,0)</f>
        <v>43170.625</v>
      </c>
      <c r="R226" s="106">
        <f>+HLOOKUP($C226,BP!$CU$2:$DG$250,90,0)</f>
        <v>0</v>
      </c>
      <c r="S226" s="106">
        <f>+HLOOKUP($C226,BP!$CU$2:$DG$250,91,0)</f>
        <v>0</v>
      </c>
      <c r="T226" s="106">
        <f>+HLOOKUP($C226,BP!$CU$2:$DG$250,92,0)</f>
        <v>0</v>
      </c>
      <c r="U226" s="106">
        <f>+HLOOKUP($C226,BP!$CU$2:$DG$250,93,0)</f>
        <v>0</v>
      </c>
      <c r="V226" s="106">
        <f>+HLOOKUP($C226,BP!$CU$2:$DG$250,94,0)</f>
        <v>0</v>
      </c>
      <c r="W226" s="106">
        <f>+HLOOKUP($C226,BP!$CU$2:$DG$250,95,0)</f>
        <v>0</v>
      </c>
      <c r="X226" s="106">
        <f>+HLOOKUP($C226,BP!$CU$2:$DG$250,96,0)</f>
        <v>0</v>
      </c>
      <c r="Y226" s="106">
        <f>+HLOOKUP($C226,BP!$CU$2:$DG$250,97,0)</f>
        <v>0</v>
      </c>
      <c r="Z226" s="106">
        <f>+HLOOKUP($C226,BP!$CU$2:$DG$250,98,0)</f>
        <v>0</v>
      </c>
      <c r="AA226" s="106">
        <f>+HLOOKUP($C226,BP!$CU$2:$DG$250,99,0)</f>
        <v>0</v>
      </c>
      <c r="AB226" s="106">
        <f>+HLOOKUP($C226,BP!$CU$2:$DG$250,100,0)</f>
        <v>0</v>
      </c>
      <c r="AC226" s="106">
        <f>+HLOOKUP($C226,BP!$CU$2:$DG$250,101,0)</f>
        <v>2947.2000000000003</v>
      </c>
      <c r="AD226" s="106">
        <f>+HLOOKUP($C226,BP!$CU$2:$DG$250,104,0)</f>
        <v>0</v>
      </c>
      <c r="AE226" s="106">
        <f>+HLOOKUP($C226,BP!$CU$2:$DG$250,105,0)</f>
        <v>6180</v>
      </c>
      <c r="AF226" s="106">
        <f>+HLOOKUP($C226,BP!$CU$2:$DG$250,106,0)</f>
        <v>0</v>
      </c>
      <c r="AG226" s="106">
        <f>+HLOOKUP($C226,BP!$CU$2:$DG$250,107,0)</f>
        <v>0</v>
      </c>
      <c r="AH226" s="106">
        <f>+HLOOKUP($C226,BP!$CU$2:$DG$250,108,0)</f>
        <v>0</v>
      </c>
      <c r="AI226" s="106">
        <f>+HLOOKUP($C226,BP!$CU$2:$DG$250,109,0)</f>
        <v>0</v>
      </c>
      <c r="AJ226" s="106">
        <f>+HLOOKUP($C226,BP!$CU$2:$DG$250,110,0)</f>
        <v>0</v>
      </c>
      <c r="AK226" s="106">
        <f>+HLOOKUP($C226,BP!$CU$2:$DG$250,111,0)</f>
        <v>0</v>
      </c>
      <c r="AL226" s="106">
        <f>+HLOOKUP($C226,BP!$CU$2:$DG$250,112,0)</f>
        <v>0</v>
      </c>
      <c r="AM226" s="106">
        <f>+HLOOKUP($C226,BP!$CU$2:$DG$250,116,0)</f>
        <v>17400</v>
      </c>
      <c r="AN226" s="106">
        <f>+HLOOKUP($C226,BP!$CU$2:$DG$250,117,0)</f>
        <v>2620</v>
      </c>
      <c r="AO226" s="106">
        <f>+HLOOKUP($C226,BP!$CU$2:$DG$250,118,0)</f>
        <v>0</v>
      </c>
      <c r="AP226" s="106">
        <f>+HLOOKUP($C226,BP!$CU$2:$DG$250,119,0)</f>
        <v>5680</v>
      </c>
      <c r="AQ226" s="106">
        <f>+HLOOKUP($C226,BP!$CU$2:$DG$250,120,0)</f>
        <v>2400</v>
      </c>
      <c r="AR226" s="106">
        <f>+HLOOKUP($C226,BP!$CU$2:$DG$250,121,0)</f>
        <v>1500</v>
      </c>
      <c r="AS226" s="106">
        <f>+HLOOKUP($C226,BP!$CU$2:$DG$250,122,0)</f>
        <v>7400</v>
      </c>
      <c r="AT226" s="106">
        <f>+HLOOKUP($C226,BP!$CU$2:$DG$250,123,0)</f>
        <v>2286.8210263888886</v>
      </c>
      <c r="AU226" s="106">
        <f>+HLOOKUP($C226,BP!$CU$2:$DG$250,124,0)</f>
        <v>0</v>
      </c>
      <c r="AV226" s="106">
        <f>+HLOOKUP($C226,BP!$CU$2:$DG$250,125,0)</f>
        <v>15690</v>
      </c>
      <c r="AW226" s="106">
        <f>+HLOOKUP($C226,BP!$CU$2:$DG$250,126,0)</f>
        <v>836.53846153846155</v>
      </c>
      <c r="AX226" s="106">
        <f>+HLOOKUP($C226,BP!$CU$2:$DG$250,127,0)</f>
        <v>1283.3333333333333</v>
      </c>
      <c r="AY226" s="106">
        <f>+HLOOKUP($C226,BP!$CU$2:$DG$250,129,0)</f>
        <v>0</v>
      </c>
      <c r="AZ226" s="106">
        <f>+HLOOKUP($C226,BP!$CU$2:$DG$250,130,0)</f>
        <v>0</v>
      </c>
      <c r="BA226" s="106">
        <f>+HLOOKUP($C226,BP!$CU$2:$DG$250,131,0)</f>
        <v>0</v>
      </c>
      <c r="BB226" s="106">
        <f>+HLOOKUP($C226,BP!$CU$2:$DG$250,133,0)</f>
        <v>0</v>
      </c>
      <c r="BC226" s="106">
        <f>+HLOOKUP($C226,BP!$CU$2:$DG$250,134,0)</f>
        <v>6193.26</v>
      </c>
      <c r="BD226" s="106">
        <f>+HLOOKUP($C226,BP!$CU$2:$DG$250,135,0)</f>
        <v>0</v>
      </c>
      <c r="BE226" s="106">
        <f>+HLOOKUP($C226,BP!$CU$2:$DG$250,136,0)</f>
        <v>0</v>
      </c>
      <c r="BF226" s="106">
        <f>+HLOOKUP($C226,BP!$CU$2:$DG$250,138,0)</f>
        <v>4361.9395199999999</v>
      </c>
      <c r="BG226" s="106">
        <f>+HLOOKUP($C226,BP!$CU$2:$DG$250,139,0)</f>
        <v>4988.76</v>
      </c>
      <c r="BH226" s="106">
        <f>+HLOOKUP($C226,BP!$CU$2:$DG$250,140,0)</f>
        <v>9000</v>
      </c>
      <c r="BI226" s="106">
        <f>+HLOOKUP($C226,BP!$CU$2:$DG$250,141,0)</f>
        <v>0</v>
      </c>
      <c r="BJ226" s="106">
        <f>+HLOOKUP($C226,BP!$CU$2:$DG$250,142,0)</f>
        <v>0</v>
      </c>
      <c r="BK226" s="106">
        <f>+HLOOKUP($C226,BP!$CU$2:$DG$250,143,0)</f>
        <v>10681.75</v>
      </c>
      <c r="BL226" s="106">
        <f>+HLOOKUP($C226,BP!$CU$2:$DG$250,144,0)</f>
        <v>0</v>
      </c>
      <c r="BM226" s="106">
        <f>+HLOOKUP($C226,BP!$CU$2:$DG$250,146,0)</f>
        <v>0</v>
      </c>
      <c r="BN226" s="106">
        <f>+HLOOKUP($C226,BP!$CU$2:$DG$250,147,0)</f>
        <v>0</v>
      </c>
      <c r="BO226" s="106">
        <f>+HLOOKUP($C226,BP!$CU$2:$DG$250,148,0)</f>
        <v>0</v>
      </c>
      <c r="BP226" s="106">
        <f>+HLOOKUP($C226,BP!$CU$2:$DG$250,150,0)</f>
        <v>15715.2</v>
      </c>
      <c r="BQ226" s="106">
        <f>+HLOOKUP($C226,BP!$CU$2:$DG$250,151,0)</f>
        <v>992.2</v>
      </c>
      <c r="BR226" s="106">
        <f>+HLOOKUP($C226,BP!$CU$2:$DG$250,152,0)</f>
        <v>7000</v>
      </c>
      <c r="BS226" s="106">
        <f>+HLOOKUP($C226,BP!$CU$2:$DG$250,153,0)</f>
        <v>350</v>
      </c>
      <c r="BT226" s="106">
        <f>+HLOOKUP($C226,BP!$CU$2:$DG$250,157,0)</f>
        <v>0</v>
      </c>
      <c r="BU226" s="106">
        <f>+HLOOKUP($C226,BP!$CU$2:$DG$250,158,0)</f>
        <v>0</v>
      </c>
      <c r="BV226" s="106">
        <f>+HLOOKUP($C226,BP!$CU$2:$DG$250,159,0)</f>
        <v>136.11199999999999</v>
      </c>
      <c r="BW226" s="106">
        <f>+HLOOKUP($C226,BP!$CU$2:$DG$250,160,0)</f>
        <v>0</v>
      </c>
      <c r="BX226" s="106">
        <f>+HLOOKUP($C226,BP!$CU$2:$DG$250,161,0)</f>
        <v>900</v>
      </c>
      <c r="BY226" s="106">
        <f>+HLOOKUP($C226,BP!$CU$2:$DG$250,164,0)</f>
        <v>0</v>
      </c>
      <c r="BZ226" s="106">
        <f>+HLOOKUP($C226,BP!$CU$2:$DG$250,165,0)</f>
        <v>0</v>
      </c>
      <c r="CA226" s="106">
        <f>+HLOOKUP($C226,BP!$CU$2:$DG$250,166,0)</f>
        <v>0</v>
      </c>
      <c r="CB226" s="106">
        <f>+HLOOKUP($C226,BP!$CU$2:$DG$250,167,0)</f>
        <v>0</v>
      </c>
      <c r="CC226" s="106">
        <f>+HLOOKUP($C226,BP!$CU$2:$DG$250,168,0)</f>
        <v>0</v>
      </c>
      <c r="CD226" s="106">
        <f>+HLOOKUP($C226,BP!$CU$2:$DG$250,169,0)</f>
        <v>0</v>
      </c>
      <c r="CE226" s="106">
        <f>+HLOOKUP($C226,BP!$CU$2:$DG$250,170,0)</f>
        <v>0</v>
      </c>
      <c r="CF226" s="106">
        <f>+HLOOKUP($C226,BP!$CU$2:$DG$250,172,0)</f>
        <v>7200</v>
      </c>
      <c r="CG226" s="106">
        <f>+HLOOKUP($C226,BP!$CU$2:$DG$250,173,0)</f>
        <v>0</v>
      </c>
      <c r="CH226" s="106">
        <f>+HLOOKUP($C226,BP!$CU$2:$DG$250,174,0)</f>
        <v>0</v>
      </c>
      <c r="CI226" s="106">
        <f>+HLOOKUP($C226,BP!$CU$2:$DG$250,175,0)</f>
        <v>0</v>
      </c>
      <c r="CJ226" s="106">
        <f>+HLOOKUP($C226,BP!$CU$2:$DG$250,176,0)</f>
        <v>948.7518</v>
      </c>
      <c r="CK226" s="106">
        <f>+HLOOKUP($C226,BP!$CU$2:$DG$250,178,0)</f>
        <v>33986</v>
      </c>
      <c r="CL226" s="106">
        <f>+HLOOKUP($C226,BP!$CU$2:$DG$250,179,0)</f>
        <v>0</v>
      </c>
      <c r="CM226" s="106">
        <f>+HLOOKUP($C226,BP!$CU$2:$DG$250,180,0)</f>
        <v>0</v>
      </c>
      <c r="CN226" s="106">
        <f>+HLOOKUP($C226,BP!$CU$2:$DG$250,182,0)</f>
        <v>0</v>
      </c>
      <c r="CO226" s="106">
        <f>+HLOOKUP($C226,BP!$CU$2:$DG$250,183,0)</f>
        <v>4649.9980000000005</v>
      </c>
      <c r="CP226" s="106">
        <f>+HLOOKUP($C226,BP!$CU$2:$DG$250,184,0)</f>
        <v>76.220399999999998</v>
      </c>
      <c r="CQ226" s="106">
        <f>+HLOOKUP($C226,BP!$CU$2:$DG$250,185,0)</f>
        <v>0</v>
      </c>
      <c r="CR226" s="106">
        <f>+HLOOKUP($C226,BP!$CU$2:$DG$250,187,0)</f>
        <v>1249.92</v>
      </c>
      <c r="CS226" s="106">
        <f>+HLOOKUP($C226,BP!$CU$2:$DG$250,188,0)</f>
        <v>0</v>
      </c>
      <c r="CT226" s="106">
        <f>+HLOOKUP($C226,BP!$CU$2:$DG$250,189,0)</f>
        <v>0</v>
      </c>
      <c r="CU226" s="106">
        <f>+HLOOKUP($C226,BP!$CU$2:$DG$250,190,0)</f>
        <v>0</v>
      </c>
      <c r="CV226" s="106">
        <f>+HLOOKUP($C226,BP!$CU$2:$DG$250,191,0)</f>
        <v>0</v>
      </c>
      <c r="CW226" s="106">
        <f>+HLOOKUP($C226,BP!$CU$2:$DG$250,193,0)</f>
        <v>2448.346</v>
      </c>
      <c r="CX226" s="106">
        <f>+HLOOKUP($C226,BP!$CU$2:$DG$250,194,0)</f>
        <v>15.9</v>
      </c>
      <c r="CY226" s="106">
        <f>+HLOOKUP($C226,BP!$CU$2:$DG$250,195,0)</f>
        <v>550.024</v>
      </c>
      <c r="CZ226" s="106">
        <f>+HLOOKUP($C226,BP!$CU$2:$DG$250,196,0)</f>
        <v>0</v>
      </c>
      <c r="DA226" s="106">
        <f>+HLOOKUP($C226,BP!$CU$2:$DG$250,197,0)</f>
        <v>1860.6599999999999</v>
      </c>
      <c r="DB226" s="106">
        <f>+HLOOKUP($C226,BP!$CU$2:$DG$250,198,0)</f>
        <v>1837.2660000000001</v>
      </c>
      <c r="DC226" s="106">
        <f>+HLOOKUP($C226,BP!$CU$2:$DG$250,199,0)</f>
        <v>60</v>
      </c>
      <c r="DD226" s="106">
        <f>+HLOOKUP($C226,BP!$CU$2:$DG$250,200,0)</f>
        <v>61.6</v>
      </c>
      <c r="DE226" s="106">
        <f>+HLOOKUP($C226,BP!$CU$2:$DG$250,201,0)</f>
        <v>0</v>
      </c>
      <c r="DF226" s="106">
        <f>+HLOOKUP($C226,BP!$CU$2:$DG$250,202,0)</f>
        <v>0.35020000000000001</v>
      </c>
      <c r="DG226" s="106">
        <f>+HLOOKUP($C226,BP!$CU$2:$DG$250,203,0)</f>
        <v>-2.5367999999999999</v>
      </c>
      <c r="DH226" s="106">
        <f>+HLOOKUP($C226,BP!$CU$2:$DG$250,205,0)</f>
        <v>0</v>
      </c>
      <c r="DI226" s="106">
        <f>+HLOOKUP($C226,BP!$CU$2:$DG$250,206,0)</f>
        <v>0</v>
      </c>
      <c r="DJ226" s="106">
        <f>+HLOOKUP($C226,BP!$CU$2:$DG$250,207,0)</f>
        <v>808.30080000000021</v>
      </c>
      <c r="DK226" s="106">
        <f>+HLOOKUP($C226,BP!$CU$2:$DG$250,209,0)</f>
        <v>0</v>
      </c>
      <c r="DL226" s="106">
        <f>+HLOOKUP($C226,BP!$CU$2:$DG$250,210,0)</f>
        <v>46797</v>
      </c>
      <c r="DM226" s="106">
        <f>+HLOOKUP($C226,BP!$CU$2:$DG$250,211,0)</f>
        <v>0</v>
      </c>
      <c r="DN226" s="106">
        <f>+HLOOKUP($C226,BP!$CU$2:$DG$250,212,0)</f>
        <v>9600</v>
      </c>
      <c r="DO226" s="106">
        <f>+HLOOKUP($C226,BP!$CU$2:$DG$250,214,0)</f>
        <v>0</v>
      </c>
      <c r="DP226" s="106">
        <f>+HLOOKUP($C226,BP!$CU$2:$DG$250,215,0)</f>
        <v>380</v>
      </c>
      <c r="DQ226" s="106">
        <f>+HLOOKUP($C226,BP!$CU$2:$DG$250,219,0)</f>
        <v>0</v>
      </c>
      <c r="DR226" s="106">
        <f>+HLOOKUP($C226,BP!$CU$2:$DG$250,220,0)</f>
        <v>0</v>
      </c>
      <c r="DS226" s="106">
        <f>+HLOOKUP($C226,BP!$CU$2:$DG$250,221,0)</f>
        <v>0</v>
      </c>
      <c r="DT226" s="106">
        <f>+HLOOKUP($C226,BP!$CU$2:$DG$250,223,0)</f>
        <v>6964.449599999999</v>
      </c>
      <c r="DU226" s="106">
        <f>+HLOOKUP($C226,BP!$CU$2:$DG$250,224,0)</f>
        <v>0</v>
      </c>
      <c r="DV226" s="106">
        <f>+HLOOKUP($C226,BP!$CU$2:$DG$250,225,0)</f>
        <v>0</v>
      </c>
      <c r="DW226" s="106">
        <f>+HLOOKUP($C226,BP!$CU$2:$DG$250,227,0)</f>
        <v>0</v>
      </c>
      <c r="DX226" s="106">
        <f>+HLOOKUP($C226,BP!$CU$2:$DG$250,228,0)</f>
        <v>263.52</v>
      </c>
      <c r="DY226" s="106">
        <f>+HLOOKUP($C226,BP!$CU$2:$DG$250,236,0)</f>
        <v>0</v>
      </c>
      <c r="DZ226" s="106">
        <f>+HLOOKUP($C226,BP!$CU$2:$DG$250,237,0)</f>
        <v>66919.57776</v>
      </c>
      <c r="EA226" s="106">
        <f>+HLOOKUP($C226,BP!$CU$2:$DG$250,238,0)</f>
        <v>0</v>
      </c>
      <c r="EB226" s="106">
        <f>+HLOOKUP($C226,BP!$CU$2:$DG$250,240,0)</f>
        <v>155829.26235714319</v>
      </c>
    </row>
    <row r="227" spans="1:132" hidden="1">
      <c r="A227" t="s">
        <v>271</v>
      </c>
      <c r="B227" t="s">
        <v>218</v>
      </c>
      <c r="C227" s="117">
        <v>45717</v>
      </c>
      <c r="D227" s="106">
        <f t="shared" si="5"/>
        <v>3763831.449</v>
      </c>
      <c r="E227" s="106">
        <f>+HLOOKUP(C227,BP!$CU$2:$DG$250,28,0)+HLOOKUP(C227,BP!$CU$2:$DG$250,43,0)+HLOOKUP(C227,BP!$CU$2:$DG$250,44,0)+HLOOKUP(C227,BP!$CU$2:$DG$250,45,0)+HLOOKUP(C227,BP!$CU$2:$DG$250,54,0)+HLOOKUP(C227,BP!$CU$2:$DG$250,59,0)</f>
        <v>3763831.449</v>
      </c>
      <c r="F227" s="106">
        <f>+HLOOKUP(C227,BP!$CU$2:$DG$250,37,0)+HLOOKUP(C227,BP!$CU$2:$DG$250,55,0)</f>
        <v>2666201.5699999998</v>
      </c>
      <c r="G227" s="106">
        <f>+HLOOKUP($C227,BP!$CU$2:$DG$250,76,0)</f>
        <v>0</v>
      </c>
      <c r="H227" s="106">
        <f>+HLOOKUP($C227,BP!$CU$2:$DG$250,77,0)</f>
        <v>0</v>
      </c>
      <c r="I227" s="106">
        <f>+HLOOKUP($C227,BP!$CU$2:$DG$250,78,0)</f>
        <v>0</v>
      </c>
      <c r="J227" s="106">
        <f>+HLOOKUP($C227,BP!$CU$2:$DG$250,79,0)</f>
        <v>0</v>
      </c>
      <c r="K227" s="106">
        <f>+HLOOKUP($C227,BP!$CU$2:$DG$250,80,0)</f>
        <v>0</v>
      </c>
      <c r="L227" s="106">
        <f>+HLOOKUP($C227,BP!$CU$2:$DG$250,81,0)</f>
        <v>0</v>
      </c>
      <c r="M227" s="106">
        <f>+HLOOKUP($C227,BP!$CU$2:$DG$250,82,0)</f>
        <v>0</v>
      </c>
      <c r="N227" s="106">
        <f>+HLOOKUP($C227,BP!$CU$2:$DG$250,83,0)</f>
        <v>0</v>
      </c>
      <c r="O227" s="106">
        <f>+HLOOKUP($C227,BP!$CU$2:$DG$250,84,0)</f>
        <v>0</v>
      </c>
      <c r="P227" s="106">
        <f>+HLOOKUP($C227,BP!$CU$2:$DG$250,85,0)</f>
        <v>0</v>
      </c>
      <c r="Q227" s="106">
        <f>+HLOOKUP($C227,BP!$CU$2:$DG$250,87,0)</f>
        <v>52804.815000000002</v>
      </c>
      <c r="R227" s="106">
        <f>+HLOOKUP($C227,BP!$CU$2:$DG$250,90,0)</f>
        <v>0</v>
      </c>
      <c r="S227" s="106">
        <f>+HLOOKUP($C227,BP!$CU$2:$DG$250,91,0)</f>
        <v>0</v>
      </c>
      <c r="T227" s="106">
        <f>+HLOOKUP($C227,BP!$CU$2:$DG$250,92,0)</f>
        <v>189.21600000000001</v>
      </c>
      <c r="U227" s="106">
        <f>+HLOOKUP($C227,BP!$CU$2:$DG$250,93,0)</f>
        <v>0</v>
      </c>
      <c r="V227" s="106">
        <f>+HLOOKUP($C227,BP!$CU$2:$DG$250,94,0)</f>
        <v>0</v>
      </c>
      <c r="W227" s="106">
        <f>+HLOOKUP($C227,BP!$CU$2:$DG$250,95,0)</f>
        <v>0</v>
      </c>
      <c r="X227" s="106">
        <f>+HLOOKUP($C227,BP!$CU$2:$DG$250,96,0)</f>
        <v>0</v>
      </c>
      <c r="Y227" s="106">
        <f>+HLOOKUP($C227,BP!$CU$2:$DG$250,97,0)</f>
        <v>0</v>
      </c>
      <c r="Z227" s="106">
        <f>+HLOOKUP($C227,BP!$CU$2:$DG$250,98,0)</f>
        <v>0</v>
      </c>
      <c r="AA227" s="106">
        <f>+HLOOKUP($C227,BP!$CU$2:$DG$250,99,0)</f>
        <v>0</v>
      </c>
      <c r="AB227" s="106">
        <f>+HLOOKUP($C227,BP!$CU$2:$DG$250,100,0)</f>
        <v>0</v>
      </c>
      <c r="AC227" s="106">
        <f>+HLOOKUP($C227,BP!$CU$2:$DG$250,101,0)</f>
        <v>0</v>
      </c>
      <c r="AD227" s="106">
        <f>+HLOOKUP($C227,BP!$CU$2:$DG$250,104,0)</f>
        <v>0</v>
      </c>
      <c r="AE227" s="106">
        <f>+HLOOKUP($C227,BP!$CU$2:$DG$250,105,0)</f>
        <v>2910</v>
      </c>
      <c r="AF227" s="106">
        <f>+HLOOKUP($C227,BP!$CU$2:$DG$250,106,0)</f>
        <v>0</v>
      </c>
      <c r="AG227" s="106">
        <f>+HLOOKUP($C227,BP!$CU$2:$DG$250,107,0)</f>
        <v>0</v>
      </c>
      <c r="AH227" s="106">
        <f>+HLOOKUP($C227,BP!$CU$2:$DG$250,108,0)</f>
        <v>0</v>
      </c>
      <c r="AI227" s="106">
        <f>+HLOOKUP($C227,BP!$CU$2:$DG$250,109,0)</f>
        <v>15.3</v>
      </c>
      <c r="AJ227" s="106">
        <f>+HLOOKUP($C227,BP!$CU$2:$DG$250,110,0)</f>
        <v>0</v>
      </c>
      <c r="AK227" s="106">
        <f>+HLOOKUP($C227,BP!$CU$2:$DG$250,111,0)</f>
        <v>2640</v>
      </c>
      <c r="AL227" s="106">
        <f>+HLOOKUP($C227,BP!$CU$2:$DG$250,112,0)</f>
        <v>0</v>
      </c>
      <c r="AM227" s="106">
        <f>+HLOOKUP($C227,BP!$CU$2:$DG$250,116,0)</f>
        <v>23481</v>
      </c>
      <c r="AN227" s="106">
        <f>+HLOOKUP($C227,BP!$CU$2:$DG$250,117,0)</f>
        <v>3555</v>
      </c>
      <c r="AO227" s="106">
        <f>+HLOOKUP($C227,BP!$CU$2:$DG$250,118,0)</f>
        <v>0</v>
      </c>
      <c r="AP227" s="106">
        <f>+HLOOKUP($C227,BP!$CU$2:$DG$250,119,0)</f>
        <v>21112</v>
      </c>
      <c r="AQ227" s="106">
        <f>+HLOOKUP($C227,BP!$CU$2:$DG$250,120,0)</f>
        <v>3242</v>
      </c>
      <c r="AR227" s="106">
        <f>+HLOOKUP($C227,BP!$CU$2:$DG$250,121,0)</f>
        <v>1500</v>
      </c>
      <c r="AS227" s="106">
        <f>+HLOOKUP($C227,BP!$CU$2:$DG$250,122,0)</f>
        <v>9271</v>
      </c>
      <c r="AT227" s="106">
        <f>+HLOOKUP($C227,BP!$CU$2:$DG$250,123,0)</f>
        <v>8123</v>
      </c>
      <c r="AU227" s="106">
        <f>+HLOOKUP($C227,BP!$CU$2:$DG$250,124,0)</f>
        <v>395</v>
      </c>
      <c r="AV227" s="106">
        <f>+HLOOKUP($C227,BP!$CU$2:$DG$250,125,0)</f>
        <v>15690</v>
      </c>
      <c r="AW227" s="106">
        <f>+HLOOKUP($C227,BP!$CU$2:$DG$250,126,0)</f>
        <v>836.53846153846155</v>
      </c>
      <c r="AX227" s="106">
        <f>+HLOOKUP($C227,BP!$CU$2:$DG$250,127,0)</f>
        <v>1283.3333333333333</v>
      </c>
      <c r="AY227" s="106">
        <f>+HLOOKUP($C227,BP!$CU$2:$DG$250,129,0)</f>
        <v>0</v>
      </c>
      <c r="AZ227" s="106">
        <f>+HLOOKUP($C227,BP!$CU$2:$DG$250,130,0)</f>
        <v>0</v>
      </c>
      <c r="BA227" s="106">
        <f>+HLOOKUP($C227,BP!$CU$2:$DG$250,131,0)</f>
        <v>0</v>
      </c>
      <c r="BB227" s="106">
        <f>+HLOOKUP($C227,BP!$CU$2:$DG$250,133,0)</f>
        <v>0</v>
      </c>
      <c r="BC227" s="106">
        <f>+HLOOKUP($C227,BP!$CU$2:$DG$250,134,0)</f>
        <v>258</v>
      </c>
      <c r="BD227" s="106">
        <f>+HLOOKUP($C227,BP!$CU$2:$DG$250,135,0)</f>
        <v>0</v>
      </c>
      <c r="BE227" s="106">
        <f>+HLOOKUP($C227,BP!$CU$2:$DG$250,136,0)</f>
        <v>0</v>
      </c>
      <c r="BF227" s="106">
        <f>+HLOOKUP($C227,BP!$CU$2:$DG$250,138,0)</f>
        <v>0</v>
      </c>
      <c r="BG227" s="106">
        <f>+HLOOKUP($C227,BP!$CU$2:$DG$250,139,0)</f>
        <v>5648.84</v>
      </c>
      <c r="BH227" s="106">
        <f>+HLOOKUP($C227,BP!$CU$2:$DG$250,140,0)</f>
        <v>9000</v>
      </c>
      <c r="BI227" s="106">
        <f>+HLOOKUP($C227,BP!$CU$2:$DG$250,141,0)</f>
        <v>273.32</v>
      </c>
      <c r="BJ227" s="106">
        <f>+HLOOKUP($C227,BP!$CU$2:$DG$250,142,0)</f>
        <v>0</v>
      </c>
      <c r="BK227" s="106">
        <f>+HLOOKUP($C227,BP!$CU$2:$DG$250,143,0)</f>
        <v>10681.75</v>
      </c>
      <c r="BL227" s="106">
        <f>+HLOOKUP($C227,BP!$CU$2:$DG$250,144,0)</f>
        <v>0</v>
      </c>
      <c r="BM227" s="106">
        <f>+HLOOKUP($C227,BP!$CU$2:$DG$250,146,0)</f>
        <v>0</v>
      </c>
      <c r="BN227" s="106">
        <f>+HLOOKUP($C227,BP!$CU$2:$DG$250,147,0)</f>
        <v>0</v>
      </c>
      <c r="BO227" s="106">
        <f>+HLOOKUP($C227,BP!$CU$2:$DG$250,148,0)</f>
        <v>0</v>
      </c>
      <c r="BP227" s="106">
        <f>+HLOOKUP($C227,BP!$CU$2:$DG$250,150,0)</f>
        <v>15871.6</v>
      </c>
      <c r="BQ227" s="106">
        <f>+HLOOKUP($C227,BP!$CU$2:$DG$250,151,0)</f>
        <v>992.2</v>
      </c>
      <c r="BR227" s="106">
        <f>+HLOOKUP($C227,BP!$CU$2:$DG$250,152,0)</f>
        <v>6400</v>
      </c>
      <c r="BS227" s="106">
        <f>+HLOOKUP($C227,BP!$CU$2:$DG$250,153,0)</f>
        <v>320</v>
      </c>
      <c r="BT227" s="106">
        <f>+HLOOKUP($C227,BP!$CU$2:$DG$250,157,0)</f>
        <v>0</v>
      </c>
      <c r="BU227" s="106">
        <f>+HLOOKUP($C227,BP!$CU$2:$DG$250,158,0)</f>
        <v>0</v>
      </c>
      <c r="BV227" s="106">
        <f>+HLOOKUP($C227,BP!$CU$2:$DG$250,159,0)</f>
        <v>873.87019999999995</v>
      </c>
      <c r="BW227" s="106">
        <f>+HLOOKUP($C227,BP!$CU$2:$DG$250,160,0)</f>
        <v>0</v>
      </c>
      <c r="BX227" s="106">
        <f>+HLOOKUP($C227,BP!$CU$2:$DG$250,161,0)</f>
        <v>500</v>
      </c>
      <c r="BY227" s="106">
        <f>+HLOOKUP($C227,BP!$CU$2:$DG$250,164,0)</f>
        <v>0</v>
      </c>
      <c r="BZ227" s="106">
        <f>+HLOOKUP($C227,BP!$CU$2:$DG$250,165,0)</f>
        <v>0</v>
      </c>
      <c r="CA227" s="106">
        <f>+HLOOKUP($C227,BP!$CU$2:$DG$250,166,0)</f>
        <v>0</v>
      </c>
      <c r="CB227" s="106">
        <f>+HLOOKUP($C227,BP!$CU$2:$DG$250,167,0)</f>
        <v>0</v>
      </c>
      <c r="CC227" s="106">
        <f>+HLOOKUP($C227,BP!$CU$2:$DG$250,168,0)</f>
        <v>0</v>
      </c>
      <c r="CD227" s="106">
        <f>+HLOOKUP($C227,BP!$CU$2:$DG$250,169,0)</f>
        <v>586.78019999999981</v>
      </c>
      <c r="CE227" s="106">
        <f>+HLOOKUP($C227,BP!$CU$2:$DG$250,170,0)</f>
        <v>0</v>
      </c>
      <c r="CF227" s="106">
        <f>+HLOOKUP($C227,BP!$CU$2:$DG$250,172,0)</f>
        <v>7200</v>
      </c>
      <c r="CG227" s="106">
        <f>+HLOOKUP($C227,BP!$CU$2:$DG$250,173,0)</f>
        <v>0</v>
      </c>
      <c r="CH227" s="106">
        <f>+HLOOKUP($C227,BP!$CU$2:$DG$250,174,0)</f>
        <v>0</v>
      </c>
      <c r="CI227" s="106">
        <f>+HLOOKUP($C227,BP!$CU$2:$DG$250,175,0)</f>
        <v>0</v>
      </c>
      <c r="CJ227" s="106">
        <f>+HLOOKUP($C227,BP!$CU$2:$DG$250,176,0)</f>
        <v>948.7518</v>
      </c>
      <c r="CK227" s="106">
        <f>+HLOOKUP($C227,BP!$CU$2:$DG$250,178,0)</f>
        <v>20582.800000000003</v>
      </c>
      <c r="CL227" s="106">
        <f>+HLOOKUP($C227,BP!$CU$2:$DG$250,179,0)</f>
        <v>0</v>
      </c>
      <c r="CM227" s="106">
        <f>+HLOOKUP($C227,BP!$CU$2:$DG$250,180,0)</f>
        <v>0</v>
      </c>
      <c r="CN227" s="106">
        <f>+HLOOKUP($C227,BP!$CU$2:$DG$250,182,0)</f>
        <v>0</v>
      </c>
      <c r="CO227" s="106">
        <f>+HLOOKUP($C227,BP!$CU$2:$DG$250,183,0)</f>
        <v>2855.366</v>
      </c>
      <c r="CP227" s="106">
        <f>+HLOOKUP($C227,BP!$CU$2:$DG$250,184,0)</f>
        <v>0</v>
      </c>
      <c r="CQ227" s="106">
        <f>+HLOOKUP($C227,BP!$CU$2:$DG$250,185,0)</f>
        <v>0</v>
      </c>
      <c r="CR227" s="106">
        <f>+HLOOKUP($C227,BP!$CU$2:$DG$250,187,0)</f>
        <v>1249.92</v>
      </c>
      <c r="CS227" s="106">
        <f>+HLOOKUP($C227,BP!$CU$2:$DG$250,188,0)</f>
        <v>0</v>
      </c>
      <c r="CT227" s="106">
        <f>+HLOOKUP($C227,BP!$CU$2:$DG$250,189,0)</f>
        <v>0</v>
      </c>
      <c r="CU227" s="106">
        <f>+HLOOKUP($C227,BP!$CU$2:$DG$250,190,0)</f>
        <v>0</v>
      </c>
      <c r="CV227" s="106">
        <f>+HLOOKUP($C227,BP!$CU$2:$DG$250,191,0)</f>
        <v>0</v>
      </c>
      <c r="CW227" s="106">
        <f>+HLOOKUP($C227,BP!$CU$2:$DG$250,193,0)</f>
        <v>2470.86666666667</v>
      </c>
      <c r="CX227" s="106">
        <f>+HLOOKUP($C227,BP!$CU$2:$DG$250,194,0)</f>
        <v>15.9</v>
      </c>
      <c r="CY227" s="106">
        <f>+HLOOKUP($C227,BP!$CU$2:$DG$250,195,0)</f>
        <v>550.024</v>
      </c>
      <c r="CZ227" s="106">
        <f>+HLOOKUP($C227,BP!$CU$2:$DG$250,196,0)</f>
        <v>0</v>
      </c>
      <c r="DA227" s="106">
        <f>+HLOOKUP($C227,BP!$CU$2:$DG$250,197,0)</f>
        <v>796.24</v>
      </c>
      <c r="DB227" s="106">
        <f>+HLOOKUP($C227,BP!$CU$2:$DG$250,198,0)</f>
        <v>124</v>
      </c>
      <c r="DC227" s="106">
        <f>+HLOOKUP($C227,BP!$CU$2:$DG$250,199,0)</f>
        <v>316.19200000000001</v>
      </c>
      <c r="DD227" s="106">
        <f>+HLOOKUP($C227,BP!$CU$2:$DG$250,200,0)</f>
        <v>200</v>
      </c>
      <c r="DE227" s="106">
        <f>+HLOOKUP($C227,BP!$CU$2:$DG$250,201,0)</f>
        <v>0</v>
      </c>
      <c r="DF227" s="106">
        <f>+HLOOKUP($C227,BP!$CU$2:$DG$250,202,0)</f>
        <v>-0.79219999999999979</v>
      </c>
      <c r="DG227" s="106">
        <f>+HLOOKUP($C227,BP!$CU$2:$DG$250,203,0)</f>
        <v>-24.316800000000001</v>
      </c>
      <c r="DH227" s="106">
        <f>+HLOOKUP($C227,BP!$CU$2:$DG$250,205,0)</f>
        <v>0</v>
      </c>
      <c r="DI227" s="106">
        <f>+HLOOKUP($C227,BP!$CU$2:$DG$250,206,0)</f>
        <v>0</v>
      </c>
      <c r="DJ227" s="106">
        <f>+HLOOKUP($C227,BP!$CU$2:$DG$250,207,0)</f>
        <v>808.30080000000021</v>
      </c>
      <c r="DK227" s="106">
        <f>+HLOOKUP($C227,BP!$CU$2:$DG$250,209,0)</f>
        <v>0</v>
      </c>
      <c r="DL227" s="106">
        <f>+HLOOKUP($C227,BP!$CU$2:$DG$250,210,0)</f>
        <v>46797</v>
      </c>
      <c r="DM227" s="106">
        <f>+HLOOKUP($C227,BP!$CU$2:$DG$250,211,0)</f>
        <v>0</v>
      </c>
      <c r="DN227" s="106">
        <f>+HLOOKUP($C227,BP!$CU$2:$DG$250,212,0)</f>
        <v>9600</v>
      </c>
      <c r="DO227" s="106">
        <f>+HLOOKUP($C227,BP!$CU$2:$DG$250,214,0)</f>
        <v>0</v>
      </c>
      <c r="DP227" s="106">
        <f>+HLOOKUP($C227,BP!$CU$2:$DG$250,215,0)</f>
        <v>470</v>
      </c>
      <c r="DQ227" s="106">
        <f>+HLOOKUP($C227,BP!$CU$2:$DG$250,219,0)</f>
        <v>0</v>
      </c>
      <c r="DR227" s="106">
        <f>+HLOOKUP($C227,BP!$CU$2:$DG$250,220,0)</f>
        <v>0</v>
      </c>
      <c r="DS227" s="106">
        <f>+HLOOKUP($C227,BP!$CU$2:$DG$250,221,0)</f>
        <v>0</v>
      </c>
      <c r="DT227" s="106">
        <f>+HLOOKUP($C227,BP!$CU$2:$DG$250,223,0)</f>
        <v>12560.395799999998</v>
      </c>
      <c r="DU227" s="106">
        <f>+HLOOKUP($C227,BP!$CU$2:$DG$250,224,0)</f>
        <v>0</v>
      </c>
      <c r="DV227" s="106">
        <f>+HLOOKUP($C227,BP!$CU$2:$DG$250,225,0)</f>
        <v>0</v>
      </c>
      <c r="DW227" s="106">
        <f>+HLOOKUP($C227,BP!$CU$2:$DG$250,227,0)</f>
        <v>0</v>
      </c>
      <c r="DX227" s="106">
        <f>+HLOOKUP($C227,BP!$CU$2:$DG$250,228,0)</f>
        <v>996.48</v>
      </c>
      <c r="DY227" s="106">
        <f>+HLOOKUP($C227,BP!$CU$2:$DG$250,236,0)</f>
        <v>0</v>
      </c>
      <c r="DZ227" s="106">
        <f>+HLOOKUP($C227,BP!$CU$2:$DG$250,237,0)</f>
        <v>63171.898020000001</v>
      </c>
      <c r="EA227" s="106">
        <f>+HLOOKUP($C227,BP!$CU$2:$DG$250,238,0)</f>
        <v>4202.46</v>
      </c>
      <c r="EB227" s="106">
        <f>+HLOOKUP($C227,BP!$CU$2:$DG$250,240,0)</f>
        <v>155829.26235714319</v>
      </c>
    </row>
    <row r="228" spans="1:132" hidden="1">
      <c r="A228" t="s">
        <v>271</v>
      </c>
      <c r="B228" t="s">
        <v>218</v>
      </c>
      <c r="C228" s="117">
        <v>45689</v>
      </c>
      <c r="D228" s="106">
        <f t="shared" si="5"/>
        <v>809802.17740000004</v>
      </c>
      <c r="E228" s="106">
        <f>+HLOOKUP(C228,BP!$CU$2:$DG$250,28,0)+HLOOKUP(C228,BP!$CU$2:$DG$250,43,0)+HLOOKUP(C228,BP!$CU$2:$DG$250,44,0)+HLOOKUP(C228,BP!$CU$2:$DG$250,45,0)+HLOOKUP(C228,BP!$CU$2:$DG$250,54,0)+HLOOKUP(C228,BP!$CU$2:$DG$250,59,0)</f>
        <v>809802.17740000004</v>
      </c>
      <c r="F228" s="106">
        <f>+HLOOKUP(C228,BP!$CU$2:$DG$250,37,0)+HLOOKUP(C228,BP!$CU$2:$DG$250,55,0)</f>
        <v>593409.14999999991</v>
      </c>
      <c r="G228" s="106">
        <f>+HLOOKUP($C228,BP!$CU$2:$DG$250,76,0)</f>
        <v>0</v>
      </c>
      <c r="H228" s="106">
        <f>+HLOOKUP($C228,BP!$CU$2:$DG$250,77,0)</f>
        <v>0</v>
      </c>
      <c r="I228" s="106">
        <f>+HLOOKUP($C228,BP!$CU$2:$DG$250,78,0)</f>
        <v>0</v>
      </c>
      <c r="J228" s="106">
        <f>+HLOOKUP($C228,BP!$CU$2:$DG$250,79,0)</f>
        <v>0</v>
      </c>
      <c r="K228" s="106">
        <f>+HLOOKUP($C228,BP!$CU$2:$DG$250,80,0)</f>
        <v>0</v>
      </c>
      <c r="L228" s="106">
        <f>+HLOOKUP($C228,BP!$CU$2:$DG$250,81,0)</f>
        <v>0</v>
      </c>
      <c r="M228" s="106">
        <f>+HLOOKUP($C228,BP!$CU$2:$DG$250,82,0)</f>
        <v>0</v>
      </c>
      <c r="N228" s="106">
        <f>+HLOOKUP($C228,BP!$CU$2:$DG$250,83,0)</f>
        <v>0</v>
      </c>
      <c r="O228" s="106">
        <f>+HLOOKUP($C228,BP!$CU$2:$DG$250,84,0)</f>
        <v>0</v>
      </c>
      <c r="P228" s="106">
        <f>+HLOOKUP($C228,BP!$CU$2:$DG$250,85,0)</f>
        <v>0</v>
      </c>
      <c r="Q228" s="106">
        <f>+HLOOKUP($C228,BP!$CU$2:$DG$250,87,0)</f>
        <v>234</v>
      </c>
      <c r="R228" s="106">
        <f>+HLOOKUP($C228,BP!$CU$2:$DG$250,90,0)</f>
        <v>0</v>
      </c>
      <c r="S228" s="106">
        <f>+HLOOKUP($C228,BP!$CU$2:$DG$250,91,0)</f>
        <v>0</v>
      </c>
      <c r="T228" s="106">
        <f>+HLOOKUP($C228,BP!$CU$2:$DG$250,92,0)</f>
        <v>189.24800000000002</v>
      </c>
      <c r="U228" s="106">
        <f>+HLOOKUP($C228,BP!$CU$2:$DG$250,93,0)</f>
        <v>0</v>
      </c>
      <c r="V228" s="106">
        <f>+HLOOKUP($C228,BP!$CU$2:$DG$250,94,0)</f>
        <v>0</v>
      </c>
      <c r="W228" s="106">
        <f>+HLOOKUP($C228,BP!$CU$2:$DG$250,95,0)</f>
        <v>0</v>
      </c>
      <c r="X228" s="106">
        <f>+HLOOKUP($C228,BP!$CU$2:$DG$250,96,0)</f>
        <v>0</v>
      </c>
      <c r="Y228" s="106">
        <f>+HLOOKUP($C228,BP!$CU$2:$DG$250,97,0)</f>
        <v>0</v>
      </c>
      <c r="Z228" s="106">
        <f>+HLOOKUP($C228,BP!$CU$2:$DG$250,98,0)</f>
        <v>0</v>
      </c>
      <c r="AA228" s="106">
        <f>+HLOOKUP($C228,BP!$CU$2:$DG$250,99,0)</f>
        <v>0</v>
      </c>
      <c r="AB228" s="106">
        <f>+HLOOKUP($C228,BP!$CU$2:$DG$250,100,0)</f>
        <v>0</v>
      </c>
      <c r="AC228" s="106">
        <f>+HLOOKUP($C228,BP!$CU$2:$DG$250,101,0)</f>
        <v>2947.2000000000003</v>
      </c>
      <c r="AD228" s="106">
        <f>+HLOOKUP($C228,BP!$CU$2:$DG$250,104,0)</f>
        <v>0</v>
      </c>
      <c r="AE228" s="106">
        <f>+HLOOKUP($C228,BP!$CU$2:$DG$250,105,0)</f>
        <v>1380</v>
      </c>
      <c r="AF228" s="106">
        <f>+HLOOKUP($C228,BP!$CU$2:$DG$250,106,0)</f>
        <v>0</v>
      </c>
      <c r="AG228" s="106">
        <f>+HLOOKUP($C228,BP!$CU$2:$DG$250,107,0)</f>
        <v>0</v>
      </c>
      <c r="AH228" s="106">
        <f>+HLOOKUP($C228,BP!$CU$2:$DG$250,108,0)</f>
        <v>0</v>
      </c>
      <c r="AI228" s="106">
        <f>+HLOOKUP($C228,BP!$CU$2:$DG$250,109,0)</f>
        <v>0</v>
      </c>
      <c r="AJ228" s="106">
        <f>+HLOOKUP($C228,BP!$CU$2:$DG$250,110,0)</f>
        <v>0</v>
      </c>
      <c r="AK228" s="106">
        <f>+HLOOKUP($C228,BP!$CU$2:$DG$250,111,0)</f>
        <v>0</v>
      </c>
      <c r="AL228" s="106">
        <f>+HLOOKUP($C228,BP!$CU$2:$DG$250,112,0)</f>
        <v>0</v>
      </c>
      <c r="AM228" s="106">
        <f>+HLOOKUP($C228,BP!$CU$2:$DG$250,116,0)</f>
        <v>21670</v>
      </c>
      <c r="AN228" s="106">
        <f>+HLOOKUP($C228,BP!$CU$2:$DG$250,117,0)</f>
        <v>3140</v>
      </c>
      <c r="AO228" s="106">
        <f>+HLOOKUP($C228,BP!$CU$2:$DG$250,118,0)</f>
        <v>0</v>
      </c>
      <c r="AP228" s="106">
        <f>+HLOOKUP($C228,BP!$CU$2:$DG$250,119,0)</f>
        <v>4870</v>
      </c>
      <c r="AQ228" s="106">
        <f>+HLOOKUP($C228,BP!$CU$2:$DG$250,120,0)</f>
        <v>2400</v>
      </c>
      <c r="AR228" s="106">
        <f>+HLOOKUP($C228,BP!$CU$2:$DG$250,121,0)</f>
        <v>1250</v>
      </c>
      <c r="AS228" s="106">
        <f>+HLOOKUP($C228,BP!$CU$2:$DG$250,122,0)</f>
        <v>6850</v>
      </c>
      <c r="AT228" s="106">
        <f>+HLOOKUP($C228,BP!$CU$2:$DG$250,123,0)</f>
        <v>8931</v>
      </c>
      <c r="AU228" s="106">
        <f>+HLOOKUP($C228,BP!$CU$2:$DG$250,124,0)</f>
        <v>0</v>
      </c>
      <c r="AV228" s="106">
        <f>+HLOOKUP($C228,BP!$CU$2:$DG$250,125,0)</f>
        <v>15690</v>
      </c>
      <c r="AW228" s="106">
        <f>+HLOOKUP($C228,BP!$CU$2:$DG$250,126,0)</f>
        <v>836.53846153846155</v>
      </c>
      <c r="AX228" s="106">
        <f>+HLOOKUP($C228,BP!$CU$2:$DG$250,127,0)</f>
        <v>1283.3333333333333</v>
      </c>
      <c r="AY228" s="106">
        <f>+HLOOKUP($C228,BP!$CU$2:$DG$250,129,0)</f>
        <v>0</v>
      </c>
      <c r="AZ228" s="106">
        <f>+HLOOKUP($C228,BP!$CU$2:$DG$250,130,0)</f>
        <v>0</v>
      </c>
      <c r="BA228" s="106">
        <f>+HLOOKUP($C228,BP!$CU$2:$DG$250,131,0)</f>
        <v>0</v>
      </c>
      <c r="BB228" s="106">
        <f>+HLOOKUP($C228,BP!$CU$2:$DG$250,133,0)</f>
        <v>0</v>
      </c>
      <c r="BC228" s="106">
        <f>+HLOOKUP($C228,BP!$CU$2:$DG$250,134,0)</f>
        <v>981.97019999999998</v>
      </c>
      <c r="BD228" s="106">
        <f>+HLOOKUP($C228,BP!$CU$2:$DG$250,135,0)</f>
        <v>0</v>
      </c>
      <c r="BE228" s="106">
        <f>+HLOOKUP($C228,BP!$CU$2:$DG$250,136,0)</f>
        <v>0</v>
      </c>
      <c r="BF228" s="106">
        <f>+HLOOKUP($C228,BP!$CU$2:$DG$250,138,0)</f>
        <v>0</v>
      </c>
      <c r="BG228" s="106">
        <f>+HLOOKUP($C228,BP!$CU$2:$DG$250,139,0)</f>
        <v>2260.0800000000004</v>
      </c>
      <c r="BH228" s="106">
        <f>+HLOOKUP($C228,BP!$CU$2:$DG$250,140,0)</f>
        <v>9000</v>
      </c>
      <c r="BI228" s="106">
        <f>+HLOOKUP($C228,BP!$CU$2:$DG$250,141,0)</f>
        <v>303.60000000000002</v>
      </c>
      <c r="BJ228" s="106">
        <f>+HLOOKUP($C228,BP!$CU$2:$DG$250,142,0)</f>
        <v>0</v>
      </c>
      <c r="BK228" s="106">
        <f>+HLOOKUP($C228,BP!$CU$2:$DG$250,143,0)</f>
        <v>2465</v>
      </c>
      <c r="BL228" s="106">
        <f>+HLOOKUP($C228,BP!$CU$2:$DG$250,144,0)</f>
        <v>0</v>
      </c>
      <c r="BM228" s="106">
        <f>+HLOOKUP($C228,BP!$CU$2:$DG$250,146,0)</f>
        <v>0</v>
      </c>
      <c r="BN228" s="106">
        <f>+HLOOKUP($C228,BP!$CU$2:$DG$250,147,0)</f>
        <v>0</v>
      </c>
      <c r="BO228" s="106">
        <f>+HLOOKUP($C228,BP!$CU$2:$DG$250,148,0)</f>
        <v>0</v>
      </c>
      <c r="BP228" s="106">
        <f>+HLOOKUP($C228,BP!$CU$2:$DG$250,150,0)</f>
        <v>15839.6</v>
      </c>
      <c r="BQ228" s="106">
        <f>+HLOOKUP($C228,BP!$CU$2:$DG$250,151,0)</f>
        <v>992.2</v>
      </c>
      <c r="BR228" s="106">
        <f>+HLOOKUP($C228,BP!$CU$2:$DG$250,152,0)</f>
        <v>6400</v>
      </c>
      <c r="BS228" s="106">
        <f>+HLOOKUP($C228,BP!$CU$2:$DG$250,153,0)</f>
        <v>320</v>
      </c>
      <c r="BT228" s="106">
        <f>+HLOOKUP($C228,BP!$CU$2:$DG$250,157,0)</f>
        <v>0</v>
      </c>
      <c r="BU228" s="106">
        <f>+HLOOKUP($C228,BP!$CU$2:$DG$250,158,0)</f>
        <v>0</v>
      </c>
      <c r="BV228" s="106">
        <f>+HLOOKUP($C228,BP!$CU$2:$DG$250,159,0)</f>
        <v>136.20000000000002</v>
      </c>
      <c r="BW228" s="106">
        <f>+HLOOKUP($C228,BP!$CU$2:$DG$250,160,0)</f>
        <v>0</v>
      </c>
      <c r="BX228" s="106">
        <f>+HLOOKUP($C228,BP!$CU$2:$DG$250,161,0)</f>
        <v>5426.0034000000005</v>
      </c>
      <c r="BY228" s="106">
        <f>+HLOOKUP($C228,BP!$CU$2:$DG$250,164,0)</f>
        <v>2220.2399999999998</v>
      </c>
      <c r="BZ228" s="106">
        <f>+HLOOKUP($C228,BP!$CU$2:$DG$250,165,0)</f>
        <v>0</v>
      </c>
      <c r="CA228" s="106">
        <f>+HLOOKUP($C228,BP!$CU$2:$DG$250,166,0)</f>
        <v>0</v>
      </c>
      <c r="CB228" s="106">
        <f>+HLOOKUP($C228,BP!$CU$2:$DG$250,167,0)</f>
        <v>0</v>
      </c>
      <c r="CC228" s="106">
        <f>+HLOOKUP($C228,BP!$CU$2:$DG$250,168,0)</f>
        <v>0</v>
      </c>
      <c r="CD228" s="106">
        <f>+HLOOKUP($C228,BP!$CU$2:$DG$250,169,0)</f>
        <v>474.80340000000001</v>
      </c>
      <c r="CE228" s="106">
        <f>+HLOOKUP($C228,BP!$CU$2:$DG$250,170,0)</f>
        <v>0</v>
      </c>
      <c r="CF228" s="106">
        <f>+HLOOKUP($C228,BP!$CU$2:$DG$250,172,0)</f>
        <v>7200</v>
      </c>
      <c r="CG228" s="106">
        <f>+HLOOKUP($C228,BP!$CU$2:$DG$250,173,0)</f>
        <v>0</v>
      </c>
      <c r="CH228" s="106">
        <f>+HLOOKUP($C228,BP!$CU$2:$DG$250,174,0)</f>
        <v>0</v>
      </c>
      <c r="CI228" s="106">
        <f>+HLOOKUP($C228,BP!$CU$2:$DG$250,175,0)</f>
        <v>0</v>
      </c>
      <c r="CJ228" s="106">
        <f>+HLOOKUP($C228,BP!$CU$2:$DG$250,176,0)</f>
        <v>948.82</v>
      </c>
      <c r="CK228" s="106">
        <f>+HLOOKUP($C228,BP!$CU$2:$DG$250,178,0)</f>
        <v>42727.200000000004</v>
      </c>
      <c r="CL228" s="106">
        <f>+HLOOKUP($C228,BP!$CU$2:$DG$250,179,0)</f>
        <v>0</v>
      </c>
      <c r="CM228" s="106">
        <f>+HLOOKUP($C228,BP!$CU$2:$DG$250,180,0)</f>
        <v>0</v>
      </c>
      <c r="CN228" s="106">
        <f>+HLOOKUP($C228,BP!$CU$2:$DG$250,182,0)</f>
        <v>0</v>
      </c>
      <c r="CO228" s="106">
        <f>+HLOOKUP($C228,BP!$CU$2:$DG$250,183,0)</f>
        <v>6309.8</v>
      </c>
      <c r="CP228" s="106">
        <f>+HLOOKUP($C228,BP!$CU$2:$DG$250,184,0)</f>
        <v>0</v>
      </c>
      <c r="CQ228" s="106">
        <f>+HLOOKUP($C228,BP!$CU$2:$DG$250,185,0)</f>
        <v>0</v>
      </c>
      <c r="CR228" s="106">
        <f>+HLOOKUP($C228,BP!$CU$2:$DG$250,187,0)</f>
        <v>1249.92</v>
      </c>
      <c r="CS228" s="106">
        <f>+HLOOKUP($C228,BP!$CU$2:$DG$250,188,0)</f>
        <v>0</v>
      </c>
      <c r="CT228" s="106">
        <f>+HLOOKUP($C228,BP!$CU$2:$DG$250,189,0)</f>
        <v>0</v>
      </c>
      <c r="CU228" s="106">
        <f>+HLOOKUP($C228,BP!$CU$2:$DG$250,190,0)</f>
        <v>499.98</v>
      </c>
      <c r="CV228" s="106">
        <f>+HLOOKUP($C228,BP!$CU$2:$DG$250,191,0)</f>
        <v>0</v>
      </c>
      <c r="CW228" s="106">
        <f>+HLOOKUP($C228,BP!$CU$2:$DG$250,193,0)</f>
        <v>0</v>
      </c>
      <c r="CX228" s="106">
        <f>+HLOOKUP($C228,BP!$CU$2:$DG$250,194,0)</f>
        <v>15.9</v>
      </c>
      <c r="CY228" s="106">
        <f>+HLOOKUP($C228,BP!$CU$2:$DG$250,195,0)</f>
        <v>550</v>
      </c>
      <c r="CZ228" s="106">
        <f>+HLOOKUP($C228,BP!$CU$2:$DG$250,196,0)</f>
        <v>0</v>
      </c>
      <c r="DA228" s="106">
        <f>+HLOOKUP($C228,BP!$CU$2:$DG$250,197,0)</f>
        <v>1434.54</v>
      </c>
      <c r="DB228" s="106">
        <f>+HLOOKUP($C228,BP!$CU$2:$DG$250,198,0)</f>
        <v>0</v>
      </c>
      <c r="DC228" s="106">
        <f>+HLOOKUP($C228,BP!$CU$2:$DG$250,199,0)</f>
        <v>614.74800000000005</v>
      </c>
      <c r="DD228" s="106">
        <f>+HLOOKUP($C228,BP!$CU$2:$DG$250,200,0)</f>
        <v>0</v>
      </c>
      <c r="DE228" s="106">
        <f>+HLOOKUP($C228,BP!$CU$2:$DG$250,201,0)</f>
        <v>0</v>
      </c>
      <c r="DF228" s="106">
        <f>+HLOOKUP($C228,BP!$CU$2:$DG$250,202,0)</f>
        <v>-0.21780000000000002</v>
      </c>
      <c r="DG228" s="106">
        <f>+HLOOKUP($C228,BP!$CU$2:$DG$250,203,0)</f>
        <v>-3.4116</v>
      </c>
      <c r="DH228" s="106">
        <f>+HLOOKUP($C228,BP!$CU$2:$DG$250,205,0)</f>
        <v>0</v>
      </c>
      <c r="DI228" s="106">
        <f>+HLOOKUP($C228,BP!$CU$2:$DG$250,206,0)</f>
        <v>0</v>
      </c>
      <c r="DJ228" s="106">
        <f>+HLOOKUP($C228,BP!$CU$2:$DG$250,207,0)</f>
        <v>808.39980000000037</v>
      </c>
      <c r="DK228" s="106">
        <f>+HLOOKUP($C228,BP!$CU$2:$DG$250,209,0)</f>
        <v>0</v>
      </c>
      <c r="DL228" s="106">
        <f>+HLOOKUP($C228,BP!$CU$2:$DG$250,210,0)</f>
        <v>46797</v>
      </c>
      <c r="DM228" s="106">
        <f>+HLOOKUP($C228,BP!$CU$2:$DG$250,211,0)</f>
        <v>0</v>
      </c>
      <c r="DN228" s="106">
        <f>+HLOOKUP($C228,BP!$CU$2:$DG$250,212,0)</f>
        <v>9600</v>
      </c>
      <c r="DO228" s="106">
        <f>+HLOOKUP($C228,BP!$CU$2:$DG$250,214,0)</f>
        <v>0</v>
      </c>
      <c r="DP228" s="106">
        <f>+HLOOKUP($C228,BP!$CU$2:$DG$250,215,0)</f>
        <v>1500</v>
      </c>
      <c r="DQ228" s="106">
        <f>+HLOOKUP($C228,BP!$CU$2:$DG$250,219,0)</f>
        <v>0</v>
      </c>
      <c r="DR228" s="106">
        <f>+HLOOKUP($C228,BP!$CU$2:$DG$250,220,0)</f>
        <v>0</v>
      </c>
      <c r="DS228" s="106">
        <f>+HLOOKUP($C228,BP!$CU$2:$DG$250,221,0)</f>
        <v>0</v>
      </c>
      <c r="DT228" s="106">
        <f>+HLOOKUP($C228,BP!$CU$2:$DG$250,223,0)</f>
        <v>4257.009</v>
      </c>
      <c r="DU228" s="106">
        <f>+HLOOKUP($C228,BP!$CU$2:$DG$250,224,0)</f>
        <v>0</v>
      </c>
      <c r="DV228" s="106">
        <f>+HLOOKUP($C228,BP!$CU$2:$DG$250,225,0)</f>
        <v>0</v>
      </c>
      <c r="DW228" s="106">
        <f>+HLOOKUP($C228,BP!$CU$2:$DG$250,227,0)</f>
        <v>0</v>
      </c>
      <c r="DX228" s="106">
        <f>+HLOOKUP($C228,BP!$CU$2:$DG$250,228,0)</f>
        <v>4042.86</v>
      </c>
      <c r="DY228" s="106">
        <f>+HLOOKUP($C228,BP!$CU$2:$DG$250,236,0)</f>
        <v>0</v>
      </c>
      <c r="DZ228" s="106">
        <f>+HLOOKUP($C228,BP!$CU$2:$DG$250,237,0)</f>
        <v>61784.723700000002</v>
      </c>
      <c r="EA228" s="106">
        <f>+HLOOKUP($C228,BP!$CU$2:$DG$250,238,0)</f>
        <v>0</v>
      </c>
      <c r="EB228" s="106">
        <f>+HLOOKUP($C228,BP!$CU$2:$DG$250,240,0)</f>
        <v>155829.26235714319</v>
      </c>
    </row>
    <row r="229" spans="1:132" hidden="1">
      <c r="A229" t="s">
        <v>271</v>
      </c>
      <c r="B229" t="s">
        <v>218</v>
      </c>
      <c r="C229" s="117">
        <v>45658</v>
      </c>
      <c r="D229" s="106">
        <f t="shared" si="5"/>
        <v>2888019.5720000002</v>
      </c>
      <c r="E229" s="106">
        <f>+HLOOKUP(C229,BP!$CU$2:$DG$250,28,0)+HLOOKUP(C229,BP!$CU$2:$DG$250,43,0)+HLOOKUP(C229,BP!$CU$2:$DG$250,44,0)+HLOOKUP(C229,BP!$CU$2:$DG$250,45,0)+HLOOKUP(C229,BP!$CU$2:$DG$250,54,0)+HLOOKUP(C229,BP!$CU$2:$DG$250,59,0)</f>
        <v>2888019.5720000002</v>
      </c>
      <c r="F229" s="106">
        <f>+HLOOKUP(C229,BP!$CU$2:$DG$250,37,0)+HLOOKUP(C229,BP!$CU$2:$DG$250,55,0)</f>
        <v>1189023.98</v>
      </c>
      <c r="G229" s="106">
        <f>+HLOOKUP($C229,BP!$CU$2:$DG$250,76,0)</f>
        <v>0</v>
      </c>
      <c r="H229" s="106">
        <f>+HLOOKUP($C229,BP!$CU$2:$DG$250,77,0)</f>
        <v>0</v>
      </c>
      <c r="I229" s="106">
        <f>+HLOOKUP($C229,BP!$CU$2:$DG$250,78,0)</f>
        <v>0</v>
      </c>
      <c r="J229" s="106">
        <f>+HLOOKUP($C229,BP!$CU$2:$DG$250,79,0)</f>
        <v>0</v>
      </c>
      <c r="K229" s="106">
        <f>+HLOOKUP($C229,BP!$CU$2:$DG$250,80,0)</f>
        <v>0</v>
      </c>
      <c r="L229" s="106">
        <f>+HLOOKUP($C229,BP!$CU$2:$DG$250,81,0)</f>
        <v>510</v>
      </c>
      <c r="M229" s="106">
        <f>+HLOOKUP($C229,BP!$CU$2:$DG$250,82,0)</f>
        <v>0</v>
      </c>
      <c r="N229" s="106">
        <f>+HLOOKUP($C229,BP!$CU$2:$DG$250,83,0)</f>
        <v>0</v>
      </c>
      <c r="O229" s="106">
        <f>+HLOOKUP($C229,BP!$CU$2:$DG$250,84,0)</f>
        <v>0</v>
      </c>
      <c r="P229" s="106">
        <f>+HLOOKUP($C229,BP!$CU$2:$DG$250,85,0)</f>
        <v>0</v>
      </c>
      <c r="Q229" s="106">
        <f>+HLOOKUP($C229,BP!$CU$2:$DG$250,87,0)</f>
        <v>42131.627707399995</v>
      </c>
      <c r="R229" s="106">
        <f>+HLOOKUP($C229,BP!$CU$2:$DG$250,90,0)</f>
        <v>0</v>
      </c>
      <c r="S229" s="106">
        <f>+HLOOKUP($C229,BP!$CU$2:$DG$250,91,0)</f>
        <v>600</v>
      </c>
      <c r="T229" s="106">
        <f>+HLOOKUP($C229,BP!$CU$2:$DG$250,92,0)</f>
        <v>324.25</v>
      </c>
      <c r="U229" s="106">
        <f>+HLOOKUP($C229,BP!$CU$2:$DG$250,93,0)</f>
        <v>0</v>
      </c>
      <c r="V229" s="106">
        <f>+HLOOKUP($C229,BP!$CU$2:$DG$250,94,0)</f>
        <v>0</v>
      </c>
      <c r="W229" s="106">
        <f>+HLOOKUP($C229,BP!$CU$2:$DG$250,95,0)</f>
        <v>4625</v>
      </c>
      <c r="X229" s="106">
        <f>+HLOOKUP($C229,BP!$CU$2:$DG$250,96,0)</f>
        <v>0</v>
      </c>
      <c r="Y229" s="106">
        <f>+HLOOKUP($C229,BP!$CU$2:$DG$250,97,0)</f>
        <v>0</v>
      </c>
      <c r="Z229" s="106">
        <f>+HLOOKUP($C229,BP!$CU$2:$DG$250,98,0)</f>
        <v>0</v>
      </c>
      <c r="AA229" s="106">
        <f>+HLOOKUP($C229,BP!$CU$2:$DG$250,99,0)</f>
        <v>0</v>
      </c>
      <c r="AB229" s="106">
        <f>+HLOOKUP($C229,BP!$CU$2:$DG$250,100,0)</f>
        <v>0</v>
      </c>
      <c r="AC229" s="106">
        <f>+HLOOKUP($C229,BP!$CU$2:$DG$250,101,0)</f>
        <v>5592</v>
      </c>
      <c r="AD229" s="106">
        <f>+HLOOKUP($C229,BP!$CU$2:$DG$250,104,0)</f>
        <v>0</v>
      </c>
      <c r="AE229" s="106">
        <f>+HLOOKUP($C229,BP!$CU$2:$DG$250,105,0)</f>
        <v>0</v>
      </c>
      <c r="AF229" s="106">
        <f>+HLOOKUP($C229,BP!$CU$2:$DG$250,106,0)</f>
        <v>0</v>
      </c>
      <c r="AG229" s="106">
        <f>+HLOOKUP($C229,BP!$CU$2:$DG$250,107,0)</f>
        <v>0</v>
      </c>
      <c r="AH229" s="106">
        <f>+HLOOKUP($C229,BP!$CU$2:$DG$250,108,0)</f>
        <v>0</v>
      </c>
      <c r="AI229" s="106">
        <f>+HLOOKUP($C229,BP!$CU$2:$DG$250,109,0)</f>
        <v>0</v>
      </c>
      <c r="AJ229" s="106">
        <f>+HLOOKUP($C229,BP!$CU$2:$DG$250,110,0)</f>
        <v>0</v>
      </c>
      <c r="AK229" s="106">
        <f>+HLOOKUP($C229,BP!$CU$2:$DG$250,111,0)</f>
        <v>0</v>
      </c>
      <c r="AL229" s="106">
        <f>+HLOOKUP($C229,BP!$CU$2:$DG$250,112,0)</f>
        <v>0</v>
      </c>
      <c r="AM229" s="106">
        <f>+HLOOKUP($C229,BP!$CU$2:$DG$250,116,0)</f>
        <v>19986</v>
      </c>
      <c r="AN229" s="106">
        <f>+HLOOKUP($C229,BP!$CU$2:$DG$250,117,0)</f>
        <v>2769</v>
      </c>
      <c r="AO229" s="106">
        <f>+HLOOKUP($C229,BP!$CU$2:$DG$250,118,0)</f>
        <v>0</v>
      </c>
      <c r="AP229" s="106">
        <f>+HLOOKUP($C229,BP!$CU$2:$DG$250,119,0)</f>
        <v>4741</v>
      </c>
      <c r="AQ229" s="106">
        <f>+HLOOKUP($C229,BP!$CU$2:$DG$250,120,0)</f>
        <v>2323</v>
      </c>
      <c r="AR229" s="106">
        <f>+HLOOKUP($C229,BP!$CU$2:$DG$250,121,0)</f>
        <v>1210</v>
      </c>
      <c r="AS229" s="106">
        <f>+HLOOKUP($C229,BP!$CU$2:$DG$250,122,0)</f>
        <v>6684</v>
      </c>
      <c r="AT229" s="106">
        <f>+HLOOKUP($C229,BP!$CU$2:$DG$250,123,0)</f>
        <v>8792</v>
      </c>
      <c r="AU229" s="106">
        <f>+HLOOKUP($C229,BP!$CU$2:$DG$250,124,0)</f>
        <v>157</v>
      </c>
      <c r="AV229" s="106">
        <f>+HLOOKUP($C229,BP!$CU$2:$DG$250,125,0)</f>
        <v>15690</v>
      </c>
      <c r="AW229" s="106">
        <f>+HLOOKUP($C229,BP!$CU$2:$DG$250,126,0)</f>
        <v>836.53846153846155</v>
      </c>
      <c r="AX229" s="106">
        <f>+HLOOKUP($C229,BP!$CU$2:$DG$250,127,0)</f>
        <v>1283.3333333333333</v>
      </c>
      <c r="AY229" s="106">
        <f>+HLOOKUP($C229,BP!$CU$2:$DG$250,129,0)</f>
        <v>0</v>
      </c>
      <c r="AZ229" s="106">
        <f>+HLOOKUP($C229,BP!$CU$2:$DG$250,130,0)</f>
        <v>0</v>
      </c>
      <c r="BA229" s="106">
        <f>+HLOOKUP($C229,BP!$CU$2:$DG$250,131,0)</f>
        <v>0</v>
      </c>
      <c r="BB229" s="106">
        <f>+HLOOKUP($C229,BP!$CU$2:$DG$250,133,0)</f>
        <v>0</v>
      </c>
      <c r="BC229" s="106">
        <f>+HLOOKUP($C229,BP!$CU$2:$DG$250,134,0)</f>
        <v>1601.82</v>
      </c>
      <c r="BD229" s="106">
        <f>+HLOOKUP($C229,BP!$CU$2:$DG$250,135,0)</f>
        <v>0</v>
      </c>
      <c r="BE229" s="106">
        <f>+HLOOKUP($C229,BP!$CU$2:$DG$250,136,0)</f>
        <v>0</v>
      </c>
      <c r="BF229" s="106">
        <f>+HLOOKUP($C229,BP!$CU$2:$DG$250,138,0)</f>
        <v>0</v>
      </c>
      <c r="BG229" s="106">
        <f>+HLOOKUP($C229,BP!$CU$2:$DG$250,139,0)</f>
        <v>6509.6</v>
      </c>
      <c r="BH229" s="106">
        <f>+HLOOKUP($C229,BP!$CU$2:$DG$250,140,0)</f>
        <v>9000</v>
      </c>
      <c r="BI229" s="106">
        <f>+HLOOKUP($C229,BP!$CU$2:$DG$250,141,0)</f>
        <v>0</v>
      </c>
      <c r="BJ229" s="106">
        <f>+HLOOKUP($C229,BP!$CU$2:$DG$250,142,0)</f>
        <v>0</v>
      </c>
      <c r="BK229" s="106">
        <f>+HLOOKUP($C229,BP!$CU$2:$DG$250,143,0)</f>
        <v>2465</v>
      </c>
      <c r="BL229" s="106">
        <f>+HLOOKUP($C229,BP!$CU$2:$DG$250,144,0)</f>
        <v>150</v>
      </c>
      <c r="BM229" s="106">
        <f>+HLOOKUP($C229,BP!$CU$2:$DG$250,146,0)</f>
        <v>0</v>
      </c>
      <c r="BN229" s="106">
        <f>+HLOOKUP($C229,BP!$CU$2:$DG$250,147,0)</f>
        <v>0</v>
      </c>
      <c r="BO229" s="106">
        <f>+HLOOKUP($C229,BP!$CU$2:$DG$250,148,0)</f>
        <v>0</v>
      </c>
      <c r="BP229" s="106">
        <f>+HLOOKUP($C229,BP!$CU$2:$DG$250,150,0)</f>
        <v>15748.6</v>
      </c>
      <c r="BQ229" s="106">
        <f>+HLOOKUP($C229,BP!$CU$2:$DG$250,151,0)</f>
        <v>992.2</v>
      </c>
      <c r="BR229" s="106">
        <f>+HLOOKUP($C229,BP!$CU$2:$DG$250,152,0)</f>
        <v>6400</v>
      </c>
      <c r="BS229" s="106">
        <f>+HLOOKUP($C229,BP!$CU$2:$DG$250,153,0)</f>
        <v>320</v>
      </c>
      <c r="BT229" s="106">
        <f>+HLOOKUP($C229,BP!$CU$2:$DG$250,157,0)</f>
        <v>0</v>
      </c>
      <c r="BU229" s="106">
        <f>+HLOOKUP($C229,BP!$CU$2:$DG$250,158,0)</f>
        <v>0</v>
      </c>
      <c r="BV229" s="106">
        <f>+HLOOKUP($C229,BP!$CU$2:$DG$250,159,0)</f>
        <v>942.15600000000006</v>
      </c>
      <c r="BW229" s="106">
        <f>+HLOOKUP($C229,BP!$CU$2:$DG$250,160,0)</f>
        <v>0</v>
      </c>
      <c r="BX229" s="106">
        <f>+HLOOKUP($C229,BP!$CU$2:$DG$250,161,0)</f>
        <v>2667.6271999999999</v>
      </c>
      <c r="BY229" s="106">
        <f>+HLOOKUP($C229,BP!$CU$2:$DG$250,164,0)</f>
        <v>180</v>
      </c>
      <c r="BZ229" s="106">
        <f>+HLOOKUP($C229,BP!$CU$2:$DG$250,165,0)</f>
        <v>0</v>
      </c>
      <c r="CA229" s="106">
        <f>+HLOOKUP($C229,BP!$CU$2:$DG$250,166,0)</f>
        <v>0</v>
      </c>
      <c r="CB229" s="106">
        <f>+HLOOKUP($C229,BP!$CU$2:$DG$250,167,0)</f>
        <v>0</v>
      </c>
      <c r="CC229" s="106">
        <f>+HLOOKUP($C229,BP!$CU$2:$DG$250,168,0)</f>
        <v>0</v>
      </c>
      <c r="CD229" s="106">
        <f>+HLOOKUP($C229,BP!$CU$2:$DG$250,169,0)</f>
        <v>1061.848</v>
      </c>
      <c r="CE229" s="106">
        <f>+HLOOKUP($C229,BP!$CU$2:$DG$250,170,0)</f>
        <v>0</v>
      </c>
      <c r="CF229" s="106">
        <f>+HLOOKUP($C229,BP!$CU$2:$DG$250,172,0)</f>
        <v>7200</v>
      </c>
      <c r="CG229" s="106">
        <f>+HLOOKUP($C229,BP!$CU$2:$DG$250,173,0)</f>
        <v>0</v>
      </c>
      <c r="CH229" s="106">
        <f>+HLOOKUP($C229,BP!$CU$2:$DG$250,174,0)</f>
        <v>0</v>
      </c>
      <c r="CI229" s="106">
        <f>+HLOOKUP($C229,BP!$CU$2:$DG$250,175,0)</f>
        <v>0</v>
      </c>
      <c r="CJ229" s="106">
        <f>+HLOOKUP($C229,BP!$CU$2:$DG$250,176,0)</f>
        <v>948.82</v>
      </c>
      <c r="CK229" s="106">
        <f>+HLOOKUP($C229,BP!$CU$2:$DG$250,178,0)</f>
        <v>31831.600000000002</v>
      </c>
      <c r="CL229" s="106">
        <f>+HLOOKUP($C229,BP!$CU$2:$DG$250,179,0)</f>
        <v>0</v>
      </c>
      <c r="CM229" s="106">
        <f>+HLOOKUP($C229,BP!$CU$2:$DG$250,180,0)</f>
        <v>5320</v>
      </c>
      <c r="CN229" s="106">
        <f>+HLOOKUP($C229,BP!$CU$2:$DG$250,182,0)</f>
        <v>3423.0200000000004</v>
      </c>
      <c r="CO229" s="106">
        <f>+HLOOKUP($C229,BP!$CU$2:$DG$250,183,0)</f>
        <v>0</v>
      </c>
      <c r="CP229" s="106">
        <f>+HLOOKUP($C229,BP!$CU$2:$DG$250,184,0)</f>
        <v>0</v>
      </c>
      <c r="CQ229" s="106">
        <f>+HLOOKUP($C229,BP!$CU$2:$DG$250,185,0)</f>
        <v>0</v>
      </c>
      <c r="CR229" s="106">
        <f>+HLOOKUP($C229,BP!$CU$2:$DG$250,187,0)</f>
        <v>1249.92</v>
      </c>
      <c r="CS229" s="106">
        <f>+HLOOKUP($C229,BP!$CU$2:$DG$250,188,0)</f>
        <v>900</v>
      </c>
      <c r="CT229" s="106">
        <f>+HLOOKUP($C229,BP!$CU$2:$DG$250,189,0)</f>
        <v>0</v>
      </c>
      <c r="CU229" s="106">
        <f>+HLOOKUP($C229,BP!$CU$2:$DG$250,190,0)</f>
        <v>499.98</v>
      </c>
      <c r="CV229" s="106">
        <f>+HLOOKUP($C229,BP!$CU$2:$DG$250,191,0)</f>
        <v>0</v>
      </c>
      <c r="CW229" s="106">
        <f>+HLOOKUP($C229,BP!$CU$2:$DG$250,193,0)</f>
        <v>2470.8666666666668</v>
      </c>
      <c r="CX229" s="106">
        <f>+HLOOKUP($C229,BP!$CU$2:$DG$250,194,0)</f>
        <v>15.9</v>
      </c>
      <c r="CY229" s="106">
        <f>+HLOOKUP($C229,BP!$CU$2:$DG$250,195,0)</f>
        <v>550</v>
      </c>
      <c r="CZ229" s="106">
        <f>+HLOOKUP($C229,BP!$CU$2:$DG$250,196,0)</f>
        <v>0</v>
      </c>
      <c r="DA229" s="106">
        <f>+HLOOKUP($C229,BP!$CU$2:$DG$250,197,0)</f>
        <v>2762.17</v>
      </c>
      <c r="DB229" s="106">
        <f>+HLOOKUP($C229,BP!$CU$2:$DG$250,198,0)</f>
        <v>115.06800000000001</v>
      </c>
      <c r="DC229" s="106">
        <f>+HLOOKUP($C229,BP!$CU$2:$DG$250,199,0)</f>
        <v>406.04600000000005</v>
      </c>
      <c r="DD229" s="106">
        <f>+HLOOKUP($C229,BP!$CU$2:$DG$250,200,0)</f>
        <v>0</v>
      </c>
      <c r="DE229" s="106">
        <f>+HLOOKUP($C229,BP!$CU$2:$DG$250,201,0)</f>
        <v>0</v>
      </c>
      <c r="DF229" s="106">
        <f>+HLOOKUP($C229,BP!$CU$2:$DG$250,202,0)</f>
        <v>1.9507999999999999</v>
      </c>
      <c r="DG229" s="106">
        <f>+HLOOKUP($C229,BP!$CU$2:$DG$250,203,0)</f>
        <v>-1.0626</v>
      </c>
      <c r="DH229" s="106">
        <f>+HLOOKUP($C229,BP!$CU$2:$DG$250,205,0)</f>
        <v>0</v>
      </c>
      <c r="DI229" s="106">
        <f>+HLOOKUP($C229,BP!$CU$2:$DG$250,206,0)</f>
        <v>0</v>
      </c>
      <c r="DJ229" s="106">
        <f>+HLOOKUP($C229,BP!$CU$2:$DG$250,207,0)</f>
        <v>0</v>
      </c>
      <c r="DK229" s="106">
        <f>+HLOOKUP($C229,BP!$CU$2:$DG$250,209,0)</f>
        <v>0</v>
      </c>
      <c r="DL229" s="106">
        <f>+HLOOKUP($C229,BP!$CU$2:$DG$250,210,0)</f>
        <v>46797</v>
      </c>
      <c r="DM229" s="106">
        <f>+HLOOKUP($C229,BP!$CU$2:$DG$250,211,0)</f>
        <v>0</v>
      </c>
      <c r="DN229" s="106">
        <f>+HLOOKUP($C229,BP!$CU$2:$DG$250,212,0)</f>
        <v>9600</v>
      </c>
      <c r="DO229" s="106">
        <f>+HLOOKUP($C229,BP!$CU$2:$DG$250,214,0)</f>
        <v>0</v>
      </c>
      <c r="DP229" s="106">
        <f>+HLOOKUP($C229,BP!$CU$2:$DG$250,215,0)</f>
        <v>460</v>
      </c>
      <c r="DQ229" s="106">
        <f>+HLOOKUP($C229,BP!$CU$2:$DG$250,219,0)</f>
        <v>0</v>
      </c>
      <c r="DR229" s="106">
        <f>+HLOOKUP($C229,BP!$CU$2:$DG$250,220,0)</f>
        <v>0</v>
      </c>
      <c r="DS229" s="106">
        <f>+HLOOKUP($C229,BP!$CU$2:$DG$250,221,0)</f>
        <v>0</v>
      </c>
      <c r="DT229" s="106">
        <f>+HLOOKUP($C229,BP!$CU$2:$DG$250,223,0)</f>
        <v>7948.3013999999985</v>
      </c>
      <c r="DU229" s="106">
        <f>+HLOOKUP($C229,BP!$CU$2:$DG$250,224,0)</f>
        <v>0</v>
      </c>
      <c r="DV229" s="106">
        <f>+HLOOKUP($C229,BP!$CU$2:$DG$250,225,0)</f>
        <v>0</v>
      </c>
      <c r="DW229" s="106">
        <f>+HLOOKUP($C229,BP!$CU$2:$DG$250,227,0)</f>
        <v>0</v>
      </c>
      <c r="DX229" s="106">
        <f>+HLOOKUP($C229,BP!$CU$2:$DG$250,228,0)</f>
        <v>5477.22</v>
      </c>
      <c r="DY229" s="106">
        <f>+HLOOKUP($C229,BP!$CU$2:$DG$250,236,0)</f>
        <v>0</v>
      </c>
      <c r="DZ229" s="106">
        <f>+HLOOKUP($C229,BP!$CU$2:$DG$250,237,0)</f>
        <v>69219.974880000009</v>
      </c>
      <c r="EA229" s="106">
        <f>+HLOOKUP($C229,BP!$CU$2:$DG$250,238,0)</f>
        <v>0</v>
      </c>
      <c r="EB229" s="106">
        <f>+HLOOKUP($C229,BP!$CU$2:$DG$250,240,0)</f>
        <v>155829.26235714319</v>
      </c>
    </row>
    <row r="230" spans="1:132" hidden="1">
      <c r="A230" t="s">
        <v>271</v>
      </c>
      <c r="B230" t="s">
        <v>218</v>
      </c>
      <c r="C230" s="117">
        <v>45627</v>
      </c>
      <c r="D230" s="106">
        <f t="shared" ref="D230" si="8">+E230</f>
        <v>5328532.7</v>
      </c>
      <c r="E230" s="106">
        <f>+HLOOKUP(C230,BP!$CG$2:$CS$250,28,0)+HLOOKUP(C230,BP!$CG$2:$CS$250,43,0)+HLOOKUP(C230,BP!$CG$2:$CS$250,44,0)+HLOOKUP(C230,BP!$CG$2:$CS$250,45,0)+HLOOKUP(C230,BP!$CG$2:$CS$250,54,0)+HLOOKUP(C230,BP!$CG$2:$CS$250,59,0)</f>
        <v>5328532.7</v>
      </c>
      <c r="F230" s="106">
        <f>+HLOOKUP(C230,BP!$CG$2:$CS$250,37,0)+HLOOKUP(C230,BP!$CG$2:$CS$250,55,0)</f>
        <v>3697862.38</v>
      </c>
      <c r="G230" s="106">
        <f>+HLOOKUP($C230,BP!$CG$2:$CS$250,76,0)</f>
        <v>0</v>
      </c>
      <c r="H230" s="106">
        <f>+HLOOKUP($C230,BP!$CG$2:$CS$250,77,0)</f>
        <v>0</v>
      </c>
      <c r="I230" s="106">
        <f>+HLOOKUP($C230,BP!$CG$2:$CS$250,78,0)</f>
        <v>0</v>
      </c>
      <c r="J230" s="106">
        <f>+HLOOKUP($C230,BP!$CG$2:$CS$250,79,0)</f>
        <v>0</v>
      </c>
      <c r="K230" s="106">
        <f>+HLOOKUP($C230,BP!$CG$2:$CS$250,80,0)</f>
        <v>0</v>
      </c>
      <c r="L230" s="106">
        <f>+HLOOKUP($C230,BP!$CG$2:$CS$250,81,0)</f>
        <v>0</v>
      </c>
      <c r="M230" s="106">
        <f>+HLOOKUP($C230,BP!$CG$2:$CS$250,82,0)</f>
        <v>0</v>
      </c>
      <c r="N230" s="106">
        <f>+HLOOKUP($C230,BP!$CG$2:$CS$250,83,0)</f>
        <v>0</v>
      </c>
      <c r="O230" s="106">
        <f>+HLOOKUP($C230,BP!$CG$2:$CS$250,84,0)</f>
        <v>0</v>
      </c>
      <c r="P230" s="106">
        <f>+HLOOKUP($C230,BP!$CG$2:$CS$250,85,0)</f>
        <v>0</v>
      </c>
      <c r="Q230" s="106">
        <f>+HLOOKUP($C230,BP!$CG$2:$CS$250,87,0)</f>
        <v>33252.199999999997</v>
      </c>
      <c r="R230" s="106">
        <f>+HLOOKUP($C230,BP!$CG$2:$CS$250,90,0)</f>
        <v>0</v>
      </c>
      <c r="S230" s="106">
        <f>+HLOOKUP($C230,BP!$CG$2:$CS$250,91,0)</f>
        <v>0</v>
      </c>
      <c r="T230" s="106">
        <f>+HLOOKUP($C230,BP!$CG$2:$CS$250,92,0)</f>
        <v>189.21400000000003</v>
      </c>
      <c r="U230" s="106">
        <f>+HLOOKUP($C230,BP!$CG$2:$CS$250,93,0)</f>
        <v>0</v>
      </c>
      <c r="V230" s="106">
        <f>+HLOOKUP($C230,BP!$CG$2:$CS$250,94,0)</f>
        <v>0</v>
      </c>
      <c r="W230" s="106">
        <f>+HLOOKUP($C230,BP!$CG$2:$CS$250,95,0)</f>
        <v>0</v>
      </c>
      <c r="X230" s="106">
        <f>+HLOOKUP($C230,BP!$CG$2:$CS$250,96,0)</f>
        <v>0</v>
      </c>
      <c r="Y230" s="106">
        <f>+HLOOKUP($C230,BP!$CG$2:$CS$250,97,0)</f>
        <v>0</v>
      </c>
      <c r="Z230" s="106">
        <f>+HLOOKUP($C230,BP!$CG$2:$CS$250,98,0)</f>
        <v>0</v>
      </c>
      <c r="AA230" s="106">
        <f>+HLOOKUP($C230,BP!$CG$2:$CS$250,99,0)</f>
        <v>0</v>
      </c>
      <c r="AB230" s="106">
        <f>+HLOOKUP($C230,BP!$CG$2:$CS$250,100,0)</f>
        <v>0</v>
      </c>
      <c r="AC230" s="106">
        <f>+HLOOKUP($C230,BP!$CG$2:$CS$250,101,0)</f>
        <v>17683.2</v>
      </c>
      <c r="AD230" s="106">
        <f>+HLOOKUP($C230,BP!$CG$2:$CS$250,104,0)</f>
        <v>0</v>
      </c>
      <c r="AE230" s="106">
        <f>+HLOOKUP($C230,BP!$CG$2:$CS$250,105,0)</f>
        <v>0</v>
      </c>
      <c r="AF230" s="106">
        <f>+HLOOKUP($C230,BP!$CG$2:$CS$250,106,0)</f>
        <v>0</v>
      </c>
      <c r="AG230" s="106">
        <f>+HLOOKUP($C230,BP!$CG$2:$CS$250,107,0)</f>
        <v>0</v>
      </c>
      <c r="AH230" s="106">
        <f>+HLOOKUP($C230,BP!$CG$2:$CS$250,108,0)</f>
        <v>0</v>
      </c>
      <c r="AI230" s="106">
        <f>+HLOOKUP($C230,BP!$CG$2:$CS$250,109,0)</f>
        <v>0</v>
      </c>
      <c r="AJ230" s="106">
        <f>+HLOOKUP($C230,BP!$CG$2:$CS$250,110,0)</f>
        <v>0</v>
      </c>
      <c r="AK230" s="106">
        <f>+HLOOKUP($C230,BP!$CG$2:$CS$250,111,0)</f>
        <v>0</v>
      </c>
      <c r="AL230" s="106">
        <f>+HLOOKUP($C230,BP!$CG$2:$CS$250,112,0)</f>
        <v>0</v>
      </c>
      <c r="AM230" s="106">
        <f>+HLOOKUP($C230,BP!$CG$2:$CS$250,116,0)</f>
        <v>24660</v>
      </c>
      <c r="AN230" s="106">
        <f>+HLOOKUP($C230,BP!$CG$2:$CS$250,117,0)</f>
        <v>4124</v>
      </c>
      <c r="AO230" s="106">
        <f>+HLOOKUP($C230,BP!$CG$2:$CS$250,118,0)</f>
        <v>0</v>
      </c>
      <c r="AP230" s="106">
        <f>+HLOOKUP($C230,BP!$CG$2:$CS$250,119,0)</f>
        <v>7451</v>
      </c>
      <c r="AQ230" s="106">
        <f>+HLOOKUP($C230,BP!$CG$2:$CS$250,120,0)</f>
        <v>3226</v>
      </c>
      <c r="AR230" s="106">
        <f>+HLOOKUP($C230,BP!$CG$2:$CS$250,121,0)</f>
        <v>1210</v>
      </c>
      <c r="AS230" s="106">
        <f>+HLOOKUP($C230,BP!$CG$2:$CS$250,122,0)</f>
        <v>8490</v>
      </c>
      <c r="AT230" s="106">
        <f>+HLOOKUP($C230,BP!$CG$2:$CS$250,123,0)</f>
        <v>886.64</v>
      </c>
      <c r="AU230" s="106">
        <f>+HLOOKUP($C230,BP!$CG$2:$CS$250,124,0)</f>
        <v>19200</v>
      </c>
      <c r="AV230" s="106">
        <f>+HLOOKUP($C230,BP!$CG$2:$CS$250,125,0)</f>
        <v>14910</v>
      </c>
      <c r="AW230" s="106">
        <f>+HLOOKUP($C230,BP!$CG$2:$CS$250,126,0)</f>
        <v>3491.8057692307689</v>
      </c>
      <c r="AX230" s="106">
        <f>+HLOOKUP($C230,BP!$CG$2:$CS$250,127,0)</f>
        <v>5711.9233333333341</v>
      </c>
      <c r="AY230" s="106">
        <f>+HLOOKUP($C230,BP!$CG$2:$CS$250,129,0)</f>
        <v>0</v>
      </c>
      <c r="AZ230" s="106">
        <f>+HLOOKUP($C230,BP!$CG$2:$CS$250,130,0)</f>
        <v>0</v>
      </c>
      <c r="BA230" s="106">
        <f>+HLOOKUP($C230,BP!$CG$2:$CS$250,131,0)</f>
        <v>0</v>
      </c>
      <c r="BB230" s="106">
        <f>+HLOOKUP($C230,BP!$CG$2:$CS$250,133,0)</f>
        <v>0</v>
      </c>
      <c r="BC230" s="106">
        <f>+HLOOKUP($C230,BP!$CG$2:$CS$250,134,0)</f>
        <v>14559.327599999999</v>
      </c>
      <c r="BD230" s="106">
        <f>+HLOOKUP($C230,BP!$CG$2:$CS$250,135,0)</f>
        <v>0</v>
      </c>
      <c r="BE230" s="106">
        <f>+HLOOKUP($C230,BP!$CG$2:$CS$250,136,0)</f>
        <v>0</v>
      </c>
      <c r="BF230" s="106">
        <f>+HLOOKUP($C230,BP!$CG$2:$CS$250,138,0)</f>
        <v>373</v>
      </c>
      <c r="BG230" s="106">
        <f>+HLOOKUP($C230,BP!$CG$2:$CS$250,139,0)</f>
        <v>3138.2200000000003</v>
      </c>
      <c r="BH230" s="106">
        <f>+HLOOKUP($C230,BP!$CG$2:$CS$250,140,0)</f>
        <v>5000</v>
      </c>
      <c r="BI230" s="106">
        <f>+HLOOKUP($C230,BP!$CG$2:$CS$250,141,0)</f>
        <v>0</v>
      </c>
      <c r="BJ230" s="106">
        <f>+HLOOKUP($C230,BP!$CG$2:$CS$250,142,0)</f>
        <v>0</v>
      </c>
      <c r="BK230" s="106">
        <f>+HLOOKUP($C230,BP!$CG$2:$CS$250,143,0)</f>
        <v>0</v>
      </c>
      <c r="BL230" s="106">
        <f>+HLOOKUP($C230,BP!$CG$2:$CS$250,144,0)</f>
        <v>0</v>
      </c>
      <c r="BM230" s="106">
        <f>+HLOOKUP($C230,BP!$CG$2:$CS$250,146,0)</f>
        <v>0</v>
      </c>
      <c r="BN230" s="106">
        <f>+HLOOKUP($C230,BP!$CG$2:$CS$250,147,0)</f>
        <v>39</v>
      </c>
      <c r="BO230" s="106">
        <f>+HLOOKUP($C230,BP!$CG$2:$CS$250,148,0)</f>
        <v>0</v>
      </c>
      <c r="BP230" s="106">
        <f>+HLOOKUP($C230,BP!$CG$2:$CS$250,150,0)</f>
        <v>15357.400000000001</v>
      </c>
      <c r="BQ230" s="106">
        <f>+HLOOKUP($C230,BP!$CG$2:$CS$250,151,0)</f>
        <v>945</v>
      </c>
      <c r="BR230" s="106">
        <f>+HLOOKUP($C230,BP!$CG$2:$CS$250,152,0)</f>
        <v>6400</v>
      </c>
      <c r="BS230" s="106">
        <f>+HLOOKUP($C230,BP!$CG$2:$CS$250,153,0)</f>
        <v>6060</v>
      </c>
      <c r="BT230" s="106">
        <f>+HLOOKUP($C230,BP!$CG$2:$CS$250,157,0)</f>
        <v>11992.800000000001</v>
      </c>
      <c r="BU230" s="106">
        <f>+HLOOKUP($C230,BP!$CG$2:$CS$250,158,0)</f>
        <v>0</v>
      </c>
      <c r="BV230" s="106">
        <f>+HLOOKUP($C230,BP!$CG$2:$CS$250,159,0)</f>
        <v>136.20000000000002</v>
      </c>
      <c r="BW230" s="106">
        <f>+HLOOKUP($C230,BP!$CG$2:$CS$250,160,0)</f>
        <v>0</v>
      </c>
      <c r="BX230" s="106">
        <f>+HLOOKUP($C230,BP!$CG$2:$CS$250,161,0)</f>
        <v>792.38</v>
      </c>
      <c r="BY230" s="106">
        <f>+HLOOKUP($C230,BP!$CG$2:$CS$250,164,0)</f>
        <v>1017.6120000000001</v>
      </c>
      <c r="BZ230" s="106">
        <f>+HLOOKUP($C230,BP!$CG$2:$CS$250,165,0)</f>
        <v>0</v>
      </c>
      <c r="CA230" s="106">
        <f>+HLOOKUP($C230,BP!$CG$2:$CS$250,166,0)</f>
        <v>0</v>
      </c>
      <c r="CB230" s="106">
        <f>+HLOOKUP($C230,BP!$CG$2:$CS$250,167,0)</f>
        <v>2000</v>
      </c>
      <c r="CC230" s="106">
        <f>+HLOOKUP($C230,BP!$CG$2:$CS$250,168,0)</f>
        <v>0</v>
      </c>
      <c r="CD230" s="106">
        <f>+HLOOKUP($C230,BP!$CG$2:$CS$250,169,0)</f>
        <v>30</v>
      </c>
      <c r="CE230" s="106">
        <f>+HLOOKUP($C230,BP!$CG$2:$CS$250,170,0)</f>
        <v>0</v>
      </c>
      <c r="CF230" s="106">
        <f>+HLOOKUP($C230,BP!$CG$2:$CS$250,172,0)</f>
        <v>7200</v>
      </c>
      <c r="CG230" s="106">
        <f>+HLOOKUP($C230,BP!$CG$2:$CS$250,173,0)</f>
        <v>0</v>
      </c>
      <c r="CH230" s="106">
        <f>+HLOOKUP($C230,BP!$CG$2:$CS$250,174,0)</f>
        <v>23692</v>
      </c>
      <c r="CI230" s="106">
        <f>+HLOOKUP($C230,BP!$CG$2:$CS$250,175,0)</f>
        <v>2972</v>
      </c>
      <c r="CJ230" s="106">
        <f>+HLOOKUP($C230,BP!$CG$2:$CS$250,176,0)</f>
        <v>799.07999999999993</v>
      </c>
      <c r="CK230" s="106">
        <f>+HLOOKUP($C230,BP!$CG$2:$CS$250,178,0)</f>
        <v>25805.600000000002</v>
      </c>
      <c r="CL230" s="106">
        <f>+HLOOKUP($C230,BP!$CG$2:$CS$250,179,0)</f>
        <v>0</v>
      </c>
      <c r="CM230" s="106">
        <f>+HLOOKUP($C230,BP!$CG$2:$CS$250,180,0)</f>
        <v>12320</v>
      </c>
      <c r="CN230" s="106">
        <f>+HLOOKUP($C230,BP!$CG$2:$CS$250,182,0)</f>
        <v>0</v>
      </c>
      <c r="CO230" s="106">
        <f>+HLOOKUP($C230,BP!$CG$2:$CS$250,183,0)</f>
        <v>1809.8000000000002</v>
      </c>
      <c r="CP230" s="106">
        <f>+HLOOKUP($C230,BP!$CG$2:$CS$250,184,0)</f>
        <v>0</v>
      </c>
      <c r="CQ230" s="106">
        <f>+HLOOKUP($C230,BP!$CG$2:$CS$250,185,0)</f>
        <v>0</v>
      </c>
      <c r="CR230" s="106">
        <f>+HLOOKUP($C230,BP!$CG$2:$CS$250,187,0)</f>
        <v>0</v>
      </c>
      <c r="CS230" s="106">
        <f>+HLOOKUP($C230,BP!$CG$2:$CS$250,188,0)</f>
        <v>900</v>
      </c>
      <c r="CT230" s="106">
        <f>+HLOOKUP($C230,BP!$CG$2:$CS$250,189,0)</f>
        <v>0</v>
      </c>
      <c r="CU230" s="106">
        <f>+HLOOKUP($C230,BP!$CG$2:$CS$250,190,0)</f>
        <v>499.98</v>
      </c>
      <c r="CV230" s="106">
        <f>+HLOOKUP($C230,BP!$CG$2:$CS$250,191,0)</f>
        <v>0</v>
      </c>
      <c r="CW230" s="106">
        <f>+HLOOKUP($C230,BP!$CG$2:$CS$250,193,0)</f>
        <v>2470.8000000000002</v>
      </c>
      <c r="CX230" s="106">
        <f>+HLOOKUP($C230,BP!$CG$2:$CS$250,194,0)</f>
        <v>15.9</v>
      </c>
      <c r="CY230" s="106">
        <f>+HLOOKUP($C230,BP!$CG$2:$CS$250,195,0)</f>
        <v>550</v>
      </c>
      <c r="CZ230" s="106">
        <f>+HLOOKUP($C230,BP!$CG$2:$CS$250,196,0)</f>
        <v>0</v>
      </c>
      <c r="DA230" s="106">
        <f>+HLOOKUP($C230,BP!$CG$2:$CS$250,197,0)</f>
        <v>1192.93</v>
      </c>
      <c r="DB230" s="106">
        <f>+HLOOKUP($C230,BP!$CG$2:$CS$250,198,0)</f>
        <v>213.60000000000002</v>
      </c>
      <c r="DC230" s="106">
        <f>+HLOOKUP($C230,BP!$CG$2:$CS$250,199,0)</f>
        <v>372.8</v>
      </c>
      <c r="DD230" s="106">
        <f>+HLOOKUP($C230,BP!$CG$2:$CS$250,200,0)</f>
        <v>46.6</v>
      </c>
      <c r="DE230" s="106">
        <f>+HLOOKUP($C230,BP!$CG$2:$CS$250,201,0)</f>
        <v>0</v>
      </c>
      <c r="DF230" s="106">
        <f>+HLOOKUP($C230,BP!$CG$2:$CS$250,202,0)</f>
        <v>2.9780000000000002</v>
      </c>
      <c r="DG230" s="106">
        <f>+HLOOKUP($C230,BP!$CG$2:$CS$250,203,0)</f>
        <v>0</v>
      </c>
      <c r="DH230" s="106">
        <f>+HLOOKUP($C230,BP!$CG$2:$CS$250,205,0)</f>
        <v>0</v>
      </c>
      <c r="DI230" s="106">
        <f>+HLOOKUP($C230,BP!$CG$2:$CS$250,206,0)</f>
        <v>2342.6</v>
      </c>
      <c r="DJ230" s="106">
        <f>+HLOOKUP($C230,BP!$CG$2:$CS$250,207,0)</f>
        <v>155.59980000000033</v>
      </c>
      <c r="DK230" s="106">
        <f>+HLOOKUP($C230,BP!$CG$2:$CS$250,209,0)</f>
        <v>0</v>
      </c>
      <c r="DL230" s="106">
        <f>+HLOOKUP($C230,BP!$CG$2:$CS$250,210,0)</f>
        <v>46797</v>
      </c>
      <c r="DM230" s="106">
        <f>+HLOOKUP($C230,BP!$CG$2:$CS$250,211,0)</f>
        <v>0</v>
      </c>
      <c r="DN230" s="106">
        <f>+HLOOKUP($C230,BP!$CG$2:$CS$250,212,0)</f>
        <v>9600</v>
      </c>
      <c r="DO230" s="106">
        <f>+HLOOKUP($C230,BP!$CG$2:$CS$250,214,0)</f>
        <v>0</v>
      </c>
      <c r="DP230" s="106">
        <f>+HLOOKUP($C230,BP!$CG$2:$CS$250,215,0)</f>
        <v>260</v>
      </c>
      <c r="DQ230" s="106">
        <f>+HLOOKUP($C230,BP!$CG$2:$CS$250,219,0)</f>
        <v>0</v>
      </c>
      <c r="DR230" s="106">
        <f>+HLOOKUP($C230,BP!$CG$2:$CS$250,220,0)</f>
        <v>0</v>
      </c>
      <c r="DS230" s="106">
        <f>+HLOOKUP($C230,BP!$CG$2:$CS$250,221,0)</f>
        <v>0</v>
      </c>
      <c r="DT230" s="106">
        <f>+HLOOKUP($C230,BP!$CG$2:$CS$250,223,0)</f>
        <v>5559.2160000000003</v>
      </c>
      <c r="DU230" s="106">
        <f>+HLOOKUP($C230,BP!$CG$2:$CS$250,224,0)</f>
        <v>0</v>
      </c>
      <c r="DV230" s="106">
        <f>+HLOOKUP($C230,BP!$CG$2:$CS$250,225,0)</f>
        <v>0</v>
      </c>
      <c r="DW230" s="106">
        <f>+HLOOKUP($C230,BP!$CG$2:$CS$250,227,0)</f>
        <v>0</v>
      </c>
      <c r="DX230" s="106">
        <f>+HLOOKUP($C230,BP!$CG$2:$CS$250,228,0)</f>
        <v>5109.78</v>
      </c>
      <c r="DY230" s="106">
        <f>+HLOOKUP($C230,BP!$CG$2:$CS$250,236,0)</f>
        <v>0</v>
      </c>
      <c r="DZ230" s="106">
        <f>+HLOOKUP($C230,BP!$CG$2:$CS$250,237,0)</f>
        <v>70024.536540000001</v>
      </c>
      <c r="EA230" s="106">
        <f>+HLOOKUP($C230,BP!$CG$2:$CS$250,238,0)</f>
        <v>0</v>
      </c>
      <c r="EB230" s="106">
        <f>+HLOOKUP($C230,BP!$CG$2:$CS$250,240,0)</f>
        <v>194786.57794642859</v>
      </c>
    </row>
    <row r="231" spans="1:132" hidden="1">
      <c r="A231" t="s">
        <v>271</v>
      </c>
      <c r="B231" t="s">
        <v>218</v>
      </c>
      <c r="C231" s="117">
        <v>45597</v>
      </c>
      <c r="D231" s="106">
        <f t="shared" ref="D231:D241" si="9">+E231</f>
        <v>5726489.25</v>
      </c>
      <c r="E231" s="106">
        <f>+HLOOKUP(C231,BP!$CG$2:$CS$250,28,0)+HLOOKUP(C231,BP!$CG$2:$CS$250,43,0)+HLOOKUP(C231,BP!$CG$2:$CS$250,44,0)+HLOOKUP(C231,BP!$CG$2:$CS$250,45,0)+HLOOKUP(C231,BP!$CG$2:$CS$250,54,0)+HLOOKUP(C231,BP!$CG$2:$CS$250,59,0)</f>
        <v>5726489.25</v>
      </c>
      <c r="F231" s="106">
        <f>+HLOOKUP(C231,BP!$CG$2:$CS$250,37,0)+HLOOKUP(C231,BP!$CG$2:$CS$250,55,0)</f>
        <v>2966580.3559999997</v>
      </c>
      <c r="G231" s="106">
        <f>+HLOOKUP($C231,BP!$CG$2:$CS$250,76,0)</f>
        <v>0</v>
      </c>
      <c r="H231" s="106">
        <f>+HLOOKUP($C231,BP!$CG$2:$CS$250,77,0)</f>
        <v>0</v>
      </c>
      <c r="I231" s="106">
        <f>+HLOOKUP($C231,BP!$CG$2:$CS$250,78,0)</f>
        <v>0</v>
      </c>
      <c r="J231" s="106">
        <f>+HLOOKUP($C231,BP!$CG$2:$CS$250,79,0)</f>
        <v>0</v>
      </c>
      <c r="K231" s="106">
        <f>+HLOOKUP($C231,BP!$CG$2:$CS$250,80,0)</f>
        <v>0</v>
      </c>
      <c r="L231" s="106">
        <f>+HLOOKUP($C231,BP!$CG$2:$CS$250,81,0)</f>
        <v>0</v>
      </c>
      <c r="M231" s="106">
        <f>+HLOOKUP($C231,BP!$CG$2:$CS$250,82,0)</f>
        <v>0</v>
      </c>
      <c r="N231" s="106">
        <f>+HLOOKUP($C231,BP!$CG$2:$CS$250,83,0)</f>
        <v>0</v>
      </c>
      <c r="O231" s="106">
        <f>+HLOOKUP($C231,BP!$CG$2:$CS$250,84,0)</f>
        <v>0</v>
      </c>
      <c r="P231" s="106">
        <f>+HLOOKUP($C231,BP!$CG$2:$CS$250,85,0)</f>
        <v>0</v>
      </c>
      <c r="Q231" s="106">
        <f>+HLOOKUP($C231,BP!$CG$2:$CS$250,87,0)</f>
        <v>85104.366000000009</v>
      </c>
      <c r="R231" s="106">
        <f>+HLOOKUP($C231,BP!$CG$2:$CS$250,90,0)</f>
        <v>0</v>
      </c>
      <c r="S231" s="106">
        <f>+HLOOKUP($C231,BP!$CG$2:$CS$250,91,0)</f>
        <v>0</v>
      </c>
      <c r="T231" s="106">
        <f>+HLOOKUP($C231,BP!$CG$2:$CS$250,92,0)</f>
        <v>328.5</v>
      </c>
      <c r="U231" s="106">
        <f>+HLOOKUP($C231,BP!$CG$2:$CS$250,93,0)</f>
        <v>0</v>
      </c>
      <c r="V231" s="106">
        <f>+HLOOKUP($C231,BP!$CG$2:$CS$250,94,0)</f>
        <v>0</v>
      </c>
      <c r="W231" s="106">
        <f>+HLOOKUP($C231,BP!$CG$2:$CS$250,95,0)</f>
        <v>0</v>
      </c>
      <c r="X231" s="106">
        <f>+HLOOKUP($C231,BP!$CG$2:$CS$250,96,0)</f>
        <v>0</v>
      </c>
      <c r="Y231" s="106">
        <f>+HLOOKUP($C231,BP!$CG$2:$CS$250,97,0)</f>
        <v>0</v>
      </c>
      <c r="Z231" s="106">
        <f>+HLOOKUP($C231,BP!$CG$2:$CS$250,98,0)</f>
        <v>0</v>
      </c>
      <c r="AA231" s="106">
        <f>+HLOOKUP($C231,BP!$CG$2:$CS$250,99,0)</f>
        <v>0</v>
      </c>
      <c r="AB231" s="106">
        <f>+HLOOKUP($C231,BP!$CG$2:$CS$250,100,0)</f>
        <v>0</v>
      </c>
      <c r="AC231" s="106">
        <f>+HLOOKUP($C231,BP!$CG$2:$CS$250,101,0)</f>
        <v>0</v>
      </c>
      <c r="AD231" s="106">
        <f>+HLOOKUP($C231,BP!$CG$2:$CS$250,104,0)</f>
        <v>0</v>
      </c>
      <c r="AE231" s="106">
        <f>+HLOOKUP($C231,BP!$CG$2:$CS$250,105,0)</f>
        <v>0</v>
      </c>
      <c r="AF231" s="106">
        <f>+HLOOKUP($C231,BP!$CG$2:$CS$250,106,0)</f>
        <v>0</v>
      </c>
      <c r="AG231" s="106">
        <f>+HLOOKUP($C231,BP!$CG$2:$CS$250,107,0)</f>
        <v>0</v>
      </c>
      <c r="AH231" s="106">
        <f>+HLOOKUP($C231,BP!$CG$2:$CS$250,108,0)</f>
        <v>0</v>
      </c>
      <c r="AI231" s="106">
        <f>+HLOOKUP($C231,BP!$CG$2:$CS$250,109,0)</f>
        <v>0</v>
      </c>
      <c r="AJ231" s="106">
        <f>+HLOOKUP($C231,BP!$CG$2:$CS$250,110,0)</f>
        <v>0</v>
      </c>
      <c r="AK231" s="106">
        <f>+HLOOKUP($C231,BP!$CG$2:$CS$250,111,0)</f>
        <v>0</v>
      </c>
      <c r="AL231" s="106">
        <f>+HLOOKUP($C231,BP!$CG$2:$CS$250,112,0)</f>
        <v>0</v>
      </c>
      <c r="AM231" s="106">
        <f>+HLOOKUP($C231,BP!$CG$2:$CS$250,116,0)</f>
        <v>114542.8</v>
      </c>
      <c r="AN231" s="106">
        <f>+HLOOKUP($C231,BP!$CG$2:$CS$250,117,0)</f>
        <v>16285.400000000001</v>
      </c>
      <c r="AO231" s="106">
        <f>+HLOOKUP($C231,BP!$CG$2:$CS$250,118,0)</f>
        <v>1933.8000000000002</v>
      </c>
      <c r="AP231" s="106">
        <f>+HLOOKUP($C231,BP!$CG$2:$CS$250,119,0)</f>
        <v>39621.199999999997</v>
      </c>
      <c r="AQ231" s="106">
        <f>+HLOOKUP($C231,BP!$CG$2:$CS$250,120,0)</f>
        <v>11313</v>
      </c>
      <c r="AR231" s="106">
        <f>+HLOOKUP($C231,BP!$CG$2:$CS$250,121,0)</f>
        <v>4206</v>
      </c>
      <c r="AS231" s="106">
        <f>+HLOOKUP($C231,BP!$CG$2:$CS$250,122,0)</f>
        <v>63829.4</v>
      </c>
      <c r="AT231" s="106">
        <f>+HLOOKUP($C231,BP!$CG$2:$CS$250,123,0)</f>
        <v>8981.0400000000009</v>
      </c>
      <c r="AU231" s="106">
        <f>+HLOOKUP($C231,BP!$CG$2:$CS$250,124,0)</f>
        <v>886.64</v>
      </c>
      <c r="AV231" s="106">
        <f>+HLOOKUP($C231,BP!$CG$2:$CS$250,125,0)</f>
        <v>34110</v>
      </c>
      <c r="AW231" s="106">
        <f>+HLOOKUP($C231,BP!$CG$2:$CS$250,126,0)</f>
        <v>3491.8057692307689</v>
      </c>
      <c r="AX231" s="106">
        <f>+HLOOKUP($C231,BP!$CG$2:$CS$250,127,0)</f>
        <v>5711.9233333333341</v>
      </c>
      <c r="AY231" s="106">
        <f>+HLOOKUP($C231,BP!$CG$2:$CS$250,129,0)</f>
        <v>0</v>
      </c>
      <c r="AZ231" s="106">
        <f>+HLOOKUP($C231,BP!$CG$2:$CS$250,130,0)</f>
        <v>0</v>
      </c>
      <c r="BA231" s="106">
        <f>+HLOOKUP($C231,BP!$CG$2:$CS$250,131,0)</f>
        <v>0</v>
      </c>
      <c r="BB231" s="106">
        <f>+HLOOKUP($C231,BP!$CG$2:$CS$250,133,0)</f>
        <v>0</v>
      </c>
      <c r="BC231" s="106">
        <f>+HLOOKUP($C231,BP!$CG$2:$CS$250,134,0)</f>
        <v>10719.5496</v>
      </c>
      <c r="BD231" s="106">
        <f>+HLOOKUP($C231,BP!$CG$2:$CS$250,135,0)</f>
        <v>0</v>
      </c>
      <c r="BE231" s="106">
        <f>+HLOOKUP($C231,BP!$CG$2:$CS$250,136,0)</f>
        <v>0</v>
      </c>
      <c r="BF231" s="106">
        <f>+HLOOKUP($C231,BP!$CG$2:$CS$250,138,0)</f>
        <v>1142.7336000000003</v>
      </c>
      <c r="BG231" s="106">
        <f>+HLOOKUP($C231,BP!$CG$2:$CS$250,139,0)</f>
        <v>5279.0000000000009</v>
      </c>
      <c r="BH231" s="106">
        <f>+HLOOKUP($C231,BP!$CG$2:$CS$250,140,0)</f>
        <v>5000</v>
      </c>
      <c r="BI231" s="106">
        <f>+HLOOKUP($C231,BP!$CG$2:$CS$250,141,0)</f>
        <v>0</v>
      </c>
      <c r="BJ231" s="106">
        <f>+HLOOKUP($C231,BP!$CG$2:$CS$250,142,0)</f>
        <v>0</v>
      </c>
      <c r="BK231" s="106">
        <f>+HLOOKUP($C231,BP!$CG$2:$CS$250,143,0)</f>
        <v>0</v>
      </c>
      <c r="BL231" s="106">
        <f>+HLOOKUP($C231,BP!$CG$2:$CS$250,144,0)</f>
        <v>0</v>
      </c>
      <c r="BM231" s="106">
        <f>+HLOOKUP($C231,BP!$CG$2:$CS$250,146,0)</f>
        <v>0</v>
      </c>
      <c r="BN231" s="106">
        <f>+HLOOKUP($C231,BP!$CG$2:$CS$250,147,0)</f>
        <v>0</v>
      </c>
      <c r="BO231" s="106">
        <f>+HLOOKUP($C231,BP!$CG$2:$CS$250,148,0)</f>
        <v>0</v>
      </c>
      <c r="BP231" s="106">
        <f>+HLOOKUP($C231,BP!$CG$2:$CS$250,150,0)</f>
        <v>15543.6</v>
      </c>
      <c r="BQ231" s="106">
        <f>+HLOOKUP($C231,BP!$CG$2:$CS$250,151,0)</f>
        <v>945</v>
      </c>
      <c r="BR231" s="106">
        <f>+HLOOKUP($C231,BP!$CG$2:$CS$250,152,0)</f>
        <v>6400</v>
      </c>
      <c r="BS231" s="106">
        <f>+HLOOKUP($C231,BP!$CG$2:$CS$250,153,0)</f>
        <v>320</v>
      </c>
      <c r="BT231" s="106">
        <f>+HLOOKUP($C231,BP!$CG$2:$CS$250,157,0)</f>
        <v>4270</v>
      </c>
      <c r="BU231" s="106">
        <f>+HLOOKUP($C231,BP!$CG$2:$CS$250,158,0)</f>
        <v>0</v>
      </c>
      <c r="BV231" s="106">
        <f>+HLOOKUP($C231,BP!$CG$2:$CS$250,159,0)</f>
        <v>136.11199999999999</v>
      </c>
      <c r="BW231" s="106">
        <f>+HLOOKUP($C231,BP!$CG$2:$CS$250,160,0)</f>
        <v>0</v>
      </c>
      <c r="BX231" s="106">
        <f>+HLOOKUP($C231,BP!$CG$2:$CS$250,161,0)</f>
        <v>990</v>
      </c>
      <c r="BY231" s="106">
        <f>+HLOOKUP($C231,BP!$CG$2:$CS$250,164,0)</f>
        <v>1029.0035999999998</v>
      </c>
      <c r="BZ231" s="106">
        <f>+HLOOKUP($C231,BP!$CG$2:$CS$250,165,0)</f>
        <v>0</v>
      </c>
      <c r="CA231" s="106">
        <f>+HLOOKUP($C231,BP!$CG$2:$CS$250,166,0)</f>
        <v>0</v>
      </c>
      <c r="CB231" s="106">
        <f>+HLOOKUP($C231,BP!$CG$2:$CS$250,167,0)</f>
        <v>0</v>
      </c>
      <c r="CC231" s="106">
        <f>+HLOOKUP($C231,BP!$CG$2:$CS$250,168,0)</f>
        <v>0</v>
      </c>
      <c r="CD231" s="106">
        <f>+HLOOKUP($C231,BP!$CG$2:$CS$250,169,0)</f>
        <v>300</v>
      </c>
      <c r="CE231" s="106">
        <f>+HLOOKUP($C231,BP!$CG$2:$CS$250,170,0)</f>
        <v>0</v>
      </c>
      <c r="CF231" s="106">
        <f>+HLOOKUP($C231,BP!$CG$2:$CS$250,172,0)</f>
        <v>7200</v>
      </c>
      <c r="CG231" s="106">
        <f>+HLOOKUP($C231,BP!$CG$2:$CS$250,173,0)</f>
        <v>0</v>
      </c>
      <c r="CH231" s="106">
        <f>+HLOOKUP($C231,BP!$CG$2:$CS$250,174,0)</f>
        <v>23692</v>
      </c>
      <c r="CI231" s="106">
        <f>+HLOOKUP($C231,BP!$CG$2:$CS$250,175,0)</f>
        <v>2972</v>
      </c>
      <c r="CJ231" s="106">
        <f>+HLOOKUP($C231,BP!$CG$2:$CS$250,176,0)</f>
        <v>882.82320000000004</v>
      </c>
      <c r="CK231" s="106">
        <f>+HLOOKUP($C231,BP!$CG$2:$CS$250,178,0)</f>
        <v>29198</v>
      </c>
      <c r="CL231" s="106">
        <f>+HLOOKUP($C231,BP!$CG$2:$CS$250,179,0)</f>
        <v>0</v>
      </c>
      <c r="CM231" s="106">
        <f>+HLOOKUP($C231,BP!$CG$2:$CS$250,180,0)</f>
        <v>0</v>
      </c>
      <c r="CN231" s="106">
        <f>+HLOOKUP($C231,BP!$CG$2:$CS$250,182,0)</f>
        <v>0</v>
      </c>
      <c r="CO231" s="106">
        <f>+HLOOKUP($C231,BP!$CG$2:$CS$250,183,0)</f>
        <v>1649.998</v>
      </c>
      <c r="CP231" s="106">
        <f>+HLOOKUP($C231,BP!$CG$2:$CS$250,184,0)</f>
        <v>0</v>
      </c>
      <c r="CQ231" s="106">
        <f>+HLOOKUP($C231,BP!$CG$2:$CS$250,185,0)</f>
        <v>0</v>
      </c>
      <c r="CR231" s="106">
        <f>+HLOOKUP($C231,BP!$CG$2:$CS$250,187,0)</f>
        <v>1249.9998000000003</v>
      </c>
      <c r="CS231" s="106">
        <f>+HLOOKUP($C231,BP!$CG$2:$CS$250,188,0)</f>
        <v>900</v>
      </c>
      <c r="CT231" s="106">
        <f>+HLOOKUP($C231,BP!$CG$2:$CS$250,189,0)</f>
        <v>0</v>
      </c>
      <c r="CU231" s="106">
        <f>+HLOOKUP($C231,BP!$CG$2:$CS$250,190,0)</f>
        <v>499.98</v>
      </c>
      <c r="CV231" s="106">
        <f>+HLOOKUP($C231,BP!$CG$2:$CS$250,191,0)</f>
        <v>0</v>
      </c>
      <c r="CW231" s="106">
        <f>+HLOOKUP($C231,BP!$CG$2:$CS$250,193,0)</f>
        <v>2470.8000000000002</v>
      </c>
      <c r="CX231" s="106">
        <f>+HLOOKUP($C231,BP!$CG$2:$CS$250,194,0)</f>
        <v>15.9</v>
      </c>
      <c r="CY231" s="106">
        <f>+HLOOKUP($C231,BP!$CG$2:$CS$250,195,0)</f>
        <v>3361.0240000000003</v>
      </c>
      <c r="CZ231" s="106">
        <f>+HLOOKUP($C231,BP!$CG$2:$CS$250,196,0)</f>
        <v>0</v>
      </c>
      <c r="DA231" s="106">
        <f>+HLOOKUP($C231,BP!$CG$2:$CS$250,197,0)</f>
        <v>942.2600000000001</v>
      </c>
      <c r="DB231" s="106">
        <f>+HLOOKUP($C231,BP!$CG$2:$CS$250,198,0)</f>
        <v>1269.2139999999999</v>
      </c>
      <c r="DC231" s="106">
        <f>+HLOOKUP($C231,BP!$CG$2:$CS$250,199,0)</f>
        <v>431.07940000000002</v>
      </c>
      <c r="DD231" s="106">
        <f>+HLOOKUP($C231,BP!$CG$2:$CS$250,200,0)</f>
        <v>28.6</v>
      </c>
      <c r="DE231" s="106">
        <f>+HLOOKUP($C231,BP!$CG$2:$CS$250,201,0)</f>
        <v>0</v>
      </c>
      <c r="DF231" s="106">
        <f>+HLOOKUP($C231,BP!$CG$2:$CS$250,202,0)</f>
        <v>5.2103999999999999</v>
      </c>
      <c r="DG231" s="106">
        <f>+HLOOKUP($C231,BP!$CG$2:$CS$250,203,0)</f>
        <v>6.0629999999999997</v>
      </c>
      <c r="DH231" s="106">
        <f>+HLOOKUP($C231,BP!$CG$2:$CS$250,205,0)</f>
        <v>0</v>
      </c>
      <c r="DI231" s="106">
        <f>+HLOOKUP($C231,BP!$CG$2:$CS$250,206,0)</f>
        <v>2342.6</v>
      </c>
      <c r="DJ231" s="106">
        <f>+HLOOKUP($C231,BP!$CG$2:$CS$250,207,0)</f>
        <v>155.5848000000002</v>
      </c>
      <c r="DK231" s="106">
        <f>+HLOOKUP($C231,BP!$CG$2:$CS$250,209,0)</f>
        <v>0</v>
      </c>
      <c r="DL231" s="106">
        <f>+HLOOKUP($C231,BP!$CG$2:$CS$250,210,0)</f>
        <v>46797</v>
      </c>
      <c r="DM231" s="106">
        <f>+HLOOKUP($C231,BP!$CG$2:$CS$250,211,0)</f>
        <v>0</v>
      </c>
      <c r="DN231" s="106">
        <f>+HLOOKUP($C231,BP!$CG$2:$CS$250,212,0)</f>
        <v>9600</v>
      </c>
      <c r="DO231" s="106">
        <f>+HLOOKUP($C231,BP!$CG$2:$CS$250,214,0)</f>
        <v>0</v>
      </c>
      <c r="DP231" s="106">
        <f>+HLOOKUP($C231,BP!$CG$2:$CS$250,215,0)</f>
        <v>620</v>
      </c>
      <c r="DQ231" s="106">
        <f>+HLOOKUP($C231,BP!$CG$2:$CS$250,219,0)</f>
        <v>0</v>
      </c>
      <c r="DR231" s="106">
        <f>+HLOOKUP($C231,BP!$CG$2:$CS$250,220,0)</f>
        <v>0</v>
      </c>
      <c r="DS231" s="106">
        <f>+HLOOKUP($C231,BP!$CG$2:$CS$250,221,0)</f>
        <v>0</v>
      </c>
      <c r="DT231" s="106">
        <f>+HLOOKUP($C231,BP!$CG$2:$CS$250,223,0)</f>
        <v>34195.753799999999</v>
      </c>
      <c r="DU231" s="106">
        <f>+HLOOKUP($C231,BP!$CG$2:$CS$250,224,0)</f>
        <v>0</v>
      </c>
      <c r="DV231" s="106">
        <f>+HLOOKUP($C231,BP!$CG$2:$CS$250,225,0)</f>
        <v>0</v>
      </c>
      <c r="DW231" s="106">
        <f>+HLOOKUP($C231,BP!$CG$2:$CS$250,227,0)</f>
        <v>0</v>
      </c>
      <c r="DX231" s="106">
        <f>+HLOOKUP($C231,BP!$CG$2:$CS$250,228,0)</f>
        <v>3502.5</v>
      </c>
      <c r="DY231" s="106">
        <f>+HLOOKUP($C231,BP!$CG$2:$CS$250,236,0)</f>
        <v>0</v>
      </c>
      <c r="DZ231" s="106">
        <f>+HLOOKUP($C231,BP!$CG$2:$CS$250,237,0)</f>
        <v>68637.362219999995</v>
      </c>
      <c r="EA231" s="106">
        <f>+HLOOKUP($C231,BP!$CG$2:$CS$250,238,0)</f>
        <v>0</v>
      </c>
      <c r="EB231" s="106">
        <f>+HLOOKUP($C231,BP!$CG$2:$CS$250,240,0)</f>
        <v>194786.57794642859</v>
      </c>
    </row>
    <row r="232" spans="1:132" hidden="1">
      <c r="A232" t="s">
        <v>271</v>
      </c>
      <c r="B232" t="s">
        <v>218</v>
      </c>
      <c r="C232" s="117">
        <v>45566</v>
      </c>
      <c r="D232" s="106">
        <f t="shared" si="9"/>
        <v>3384293.57</v>
      </c>
      <c r="E232" s="106">
        <f>+HLOOKUP(C232,BP!$CG$2:$CS$250,28,0)+HLOOKUP(C232,BP!$CG$2:$CS$250,43,0)+HLOOKUP(C232,BP!$CG$2:$CS$250,44,0)+HLOOKUP(C232,BP!$CG$2:$CS$250,45,0)+HLOOKUP(C232,BP!$CG$2:$CS$250,54,0)+HLOOKUP(C232,BP!$CG$2:$CS$250,59,0)</f>
        <v>3384293.57</v>
      </c>
      <c r="F232" s="106">
        <f>+HLOOKUP(C232,BP!$CG$2:$CS$250,37,0)+HLOOKUP(C232,BP!$CG$2:$CS$250,55,0)</f>
        <v>2106819.8339999998</v>
      </c>
      <c r="G232" s="106">
        <f>+HLOOKUP($C232,BP!$CG$2:$CS$250,76,0)</f>
        <v>0</v>
      </c>
      <c r="H232" s="106">
        <f>+HLOOKUP($C232,BP!$CG$2:$CS$250,77,0)</f>
        <v>0</v>
      </c>
      <c r="I232" s="106">
        <f>+HLOOKUP($C232,BP!$CG$2:$CS$250,78,0)</f>
        <v>0</v>
      </c>
      <c r="J232" s="106">
        <f>+HLOOKUP($C232,BP!$CG$2:$CS$250,79,0)</f>
        <v>0</v>
      </c>
      <c r="K232" s="106">
        <f>+HLOOKUP($C232,BP!$CG$2:$CS$250,80,0)</f>
        <v>0</v>
      </c>
      <c r="L232" s="106">
        <f>+HLOOKUP($C232,BP!$CG$2:$CS$250,81,0)</f>
        <v>0</v>
      </c>
      <c r="M232" s="106">
        <f>+HLOOKUP($C232,BP!$CG$2:$CS$250,82,0)</f>
        <v>0</v>
      </c>
      <c r="N232" s="106">
        <f>+HLOOKUP($C232,BP!$CG$2:$CS$250,83,0)</f>
        <v>0</v>
      </c>
      <c r="O232" s="106">
        <f>+HLOOKUP($C232,BP!$CG$2:$CS$250,84,0)</f>
        <v>0</v>
      </c>
      <c r="P232" s="106">
        <f>+HLOOKUP($C232,BP!$CG$2:$CS$250,85,0)</f>
        <v>0</v>
      </c>
      <c r="Q232" s="106">
        <f>+HLOOKUP($C232,BP!$CG$2:$CS$250,87,0)</f>
        <v>84448.706999999995</v>
      </c>
      <c r="R232" s="106">
        <f>+HLOOKUP($C232,BP!$CG$2:$CS$250,90,0)</f>
        <v>0</v>
      </c>
      <c r="S232" s="106">
        <f>+HLOOKUP($C232,BP!$CG$2:$CS$250,91,0)</f>
        <v>0</v>
      </c>
      <c r="T232" s="106">
        <f>+HLOOKUP($C232,BP!$CG$2:$CS$250,92,0)</f>
        <v>94.608000000000004</v>
      </c>
      <c r="U232" s="106">
        <f>+HLOOKUP($C232,BP!$CG$2:$CS$250,93,0)</f>
        <v>0</v>
      </c>
      <c r="V232" s="106">
        <f>+HLOOKUP($C232,BP!$CG$2:$CS$250,94,0)</f>
        <v>0</v>
      </c>
      <c r="W232" s="106">
        <f>+HLOOKUP($C232,BP!$CG$2:$CS$250,95,0)</f>
        <v>0</v>
      </c>
      <c r="X232" s="106">
        <f>+HLOOKUP($C232,BP!$CG$2:$CS$250,96,0)</f>
        <v>0</v>
      </c>
      <c r="Y232" s="106">
        <f>+HLOOKUP($C232,BP!$CG$2:$CS$250,97,0)</f>
        <v>0</v>
      </c>
      <c r="Z232" s="106">
        <f>+HLOOKUP($C232,BP!$CG$2:$CS$250,98,0)</f>
        <v>0</v>
      </c>
      <c r="AA232" s="106">
        <f>+HLOOKUP($C232,BP!$CG$2:$CS$250,99,0)</f>
        <v>0</v>
      </c>
      <c r="AB232" s="106">
        <f>+HLOOKUP($C232,BP!$CG$2:$CS$250,100,0)</f>
        <v>0</v>
      </c>
      <c r="AC232" s="106">
        <f>+HLOOKUP($C232,BP!$CG$2:$CS$250,101,0)</f>
        <v>164.25</v>
      </c>
      <c r="AD232" s="106">
        <f>+HLOOKUP($C232,BP!$CG$2:$CS$250,104,0)</f>
        <v>0</v>
      </c>
      <c r="AE232" s="106">
        <f>+HLOOKUP($C232,BP!$CG$2:$CS$250,105,0)</f>
        <v>0</v>
      </c>
      <c r="AF232" s="106">
        <f>+HLOOKUP($C232,BP!$CG$2:$CS$250,106,0)</f>
        <v>0</v>
      </c>
      <c r="AG232" s="106">
        <f>+HLOOKUP($C232,BP!$CG$2:$CS$250,107,0)</f>
        <v>0</v>
      </c>
      <c r="AH232" s="106">
        <f>+HLOOKUP($C232,BP!$CG$2:$CS$250,108,0)</f>
        <v>0</v>
      </c>
      <c r="AI232" s="106">
        <f>+HLOOKUP($C232,BP!$CG$2:$CS$250,109,0)</f>
        <v>0</v>
      </c>
      <c r="AJ232" s="106">
        <f>+HLOOKUP($C232,BP!$CG$2:$CS$250,110,0)</f>
        <v>0</v>
      </c>
      <c r="AK232" s="106">
        <f>+HLOOKUP($C232,BP!$CG$2:$CS$250,111,0)</f>
        <v>0</v>
      </c>
      <c r="AL232" s="106">
        <f>+HLOOKUP($C232,BP!$CG$2:$CS$250,112,0)</f>
        <v>0</v>
      </c>
      <c r="AM232" s="106">
        <f>+HLOOKUP($C232,BP!$CG$2:$CS$250,116,0)</f>
        <v>25264</v>
      </c>
      <c r="AN232" s="106">
        <f>+HLOOKUP($C232,BP!$CG$2:$CS$250,117,0)</f>
        <v>3539</v>
      </c>
      <c r="AO232" s="106">
        <f>+HLOOKUP($C232,BP!$CG$2:$CS$250,118,0)</f>
        <v>0</v>
      </c>
      <c r="AP232" s="106">
        <f>+HLOOKUP($C232,BP!$CG$2:$CS$250,119,0)</f>
        <v>9196</v>
      </c>
      <c r="AQ232" s="106">
        <f>+HLOOKUP($C232,BP!$CG$2:$CS$250,120,0)</f>
        <v>3120</v>
      </c>
      <c r="AR232" s="106">
        <f>+HLOOKUP($C232,BP!$CG$2:$CS$250,121,0)</f>
        <v>1610</v>
      </c>
      <c r="AS232" s="106">
        <f>+HLOOKUP($C232,BP!$CG$2:$CS$250,122,0)</f>
        <v>12780.400000000001</v>
      </c>
      <c r="AT232" s="106">
        <f>+HLOOKUP($C232,BP!$CG$2:$CS$250,123,0)</f>
        <v>8981.0400000000009</v>
      </c>
      <c r="AU232" s="106">
        <f>+HLOOKUP($C232,BP!$CG$2:$CS$250,124,0)</f>
        <v>886.64</v>
      </c>
      <c r="AV232" s="106">
        <f>+HLOOKUP($C232,BP!$CG$2:$CS$250,125,0)</f>
        <v>34110</v>
      </c>
      <c r="AW232" s="106">
        <f>+HLOOKUP($C232,BP!$CG$2:$CS$250,126,0)</f>
        <v>3491.8057692307689</v>
      </c>
      <c r="AX232" s="106">
        <f>+HLOOKUP($C232,BP!$CG$2:$CS$250,127,0)</f>
        <v>5711.9233333333341</v>
      </c>
      <c r="AY232" s="106">
        <f>+HLOOKUP($C232,BP!$CG$2:$CS$250,129,0)</f>
        <v>0</v>
      </c>
      <c r="AZ232" s="106">
        <f>+HLOOKUP($C232,BP!$CG$2:$CS$250,130,0)</f>
        <v>0</v>
      </c>
      <c r="BA232" s="106">
        <f>+HLOOKUP($C232,BP!$CG$2:$CS$250,131,0)</f>
        <v>0</v>
      </c>
      <c r="BB232" s="106">
        <f>+HLOOKUP($C232,BP!$CG$2:$CS$250,133,0)</f>
        <v>0</v>
      </c>
      <c r="BC232" s="106">
        <f>+HLOOKUP($C232,BP!$CG$2:$CS$250,134,0)</f>
        <v>210</v>
      </c>
      <c r="BD232" s="106">
        <f>+HLOOKUP($C232,BP!$CG$2:$CS$250,135,0)</f>
        <v>0</v>
      </c>
      <c r="BE232" s="106">
        <f>+HLOOKUP($C232,BP!$CG$2:$CS$250,136,0)</f>
        <v>0</v>
      </c>
      <c r="BF232" s="106">
        <f>+HLOOKUP($C232,BP!$CG$2:$CS$250,138,0)</f>
        <v>1702.4399999999998</v>
      </c>
      <c r="BG232" s="106">
        <f>+HLOOKUP($C232,BP!$CG$2:$CS$250,139,0)</f>
        <v>4617.3280000000004</v>
      </c>
      <c r="BH232" s="106">
        <f>+HLOOKUP($C232,BP!$CG$2:$CS$250,140,0)</f>
        <v>5000</v>
      </c>
      <c r="BI232" s="106">
        <f>+HLOOKUP($C232,BP!$CG$2:$CS$250,141,0)</f>
        <v>0</v>
      </c>
      <c r="BJ232" s="106">
        <f>+HLOOKUP($C232,BP!$CG$2:$CS$250,142,0)</f>
        <v>0</v>
      </c>
      <c r="BK232" s="106">
        <f>+HLOOKUP($C232,BP!$CG$2:$CS$250,143,0)</f>
        <v>0</v>
      </c>
      <c r="BL232" s="106">
        <f>+HLOOKUP($C232,BP!$CG$2:$CS$250,144,0)</f>
        <v>4501.8</v>
      </c>
      <c r="BM232" s="106">
        <f>+HLOOKUP($C232,BP!$CG$2:$CS$250,146,0)</f>
        <v>0</v>
      </c>
      <c r="BN232" s="106">
        <f>+HLOOKUP($C232,BP!$CG$2:$CS$250,147,0)</f>
        <v>0</v>
      </c>
      <c r="BO232" s="106">
        <f>+HLOOKUP($C232,BP!$CG$2:$CS$250,148,0)</f>
        <v>0</v>
      </c>
      <c r="BP232" s="106">
        <f>+HLOOKUP($C232,BP!$CG$2:$CS$250,150,0)</f>
        <v>29483</v>
      </c>
      <c r="BQ232" s="106">
        <f>+HLOOKUP($C232,BP!$CG$2:$CS$250,151,0)</f>
        <v>945</v>
      </c>
      <c r="BR232" s="106">
        <f>+HLOOKUP($C232,BP!$CG$2:$CS$250,152,0)</f>
        <v>6400</v>
      </c>
      <c r="BS232" s="106">
        <f>+HLOOKUP($C232,BP!$CG$2:$CS$250,153,0)</f>
        <v>340</v>
      </c>
      <c r="BT232" s="106">
        <f>+HLOOKUP($C232,BP!$CG$2:$CS$250,157,0)</f>
        <v>0</v>
      </c>
      <c r="BU232" s="106">
        <f>+HLOOKUP($C232,BP!$CG$2:$CS$250,158,0)</f>
        <v>0</v>
      </c>
      <c r="BV232" s="106">
        <f>+HLOOKUP($C232,BP!$CG$2:$CS$250,159,0)</f>
        <v>0</v>
      </c>
      <c r="BW232" s="106">
        <f>+HLOOKUP($C232,BP!$CG$2:$CS$250,160,0)</f>
        <v>0</v>
      </c>
      <c r="BX232" s="106">
        <f>+HLOOKUP($C232,BP!$CG$2:$CS$250,161,0)</f>
        <v>542.38</v>
      </c>
      <c r="BY232" s="106">
        <f>+HLOOKUP($C232,BP!$CG$2:$CS$250,164,0)</f>
        <v>1197.3671999999999</v>
      </c>
      <c r="BZ232" s="106">
        <f>+HLOOKUP($C232,BP!$CG$2:$CS$250,165,0)</f>
        <v>0</v>
      </c>
      <c r="CA232" s="106">
        <f>+HLOOKUP($C232,BP!$CG$2:$CS$250,166,0)</f>
        <v>0</v>
      </c>
      <c r="CB232" s="106">
        <f>+HLOOKUP($C232,BP!$CG$2:$CS$250,167,0)</f>
        <v>0</v>
      </c>
      <c r="CC232" s="106">
        <f>+HLOOKUP($C232,BP!$CG$2:$CS$250,168,0)</f>
        <v>0</v>
      </c>
      <c r="CD232" s="106">
        <f>+HLOOKUP($C232,BP!$CG$2:$CS$250,169,0)</f>
        <v>10.8</v>
      </c>
      <c r="CE232" s="106">
        <f>+HLOOKUP($C232,BP!$CG$2:$CS$250,170,0)</f>
        <v>0</v>
      </c>
      <c r="CF232" s="106">
        <f>+HLOOKUP($C232,BP!$CG$2:$CS$250,172,0)</f>
        <v>7200</v>
      </c>
      <c r="CG232" s="106">
        <f>+HLOOKUP($C232,BP!$CG$2:$CS$250,173,0)</f>
        <v>0</v>
      </c>
      <c r="CH232" s="106">
        <f>+HLOOKUP($C232,BP!$CG$2:$CS$250,174,0)</f>
        <v>23692</v>
      </c>
      <c r="CI232" s="106">
        <f>+HLOOKUP($C232,BP!$CG$2:$CS$250,175,0)</f>
        <v>2972</v>
      </c>
      <c r="CJ232" s="106">
        <f>+HLOOKUP($C232,BP!$CG$2:$CS$250,176,0)</f>
        <v>1000.8000000000001</v>
      </c>
      <c r="CK232" s="106">
        <f>+HLOOKUP($C232,BP!$CG$2:$CS$250,178,0)</f>
        <v>17634.332000000002</v>
      </c>
      <c r="CL232" s="106">
        <f>+HLOOKUP($C232,BP!$CG$2:$CS$250,179,0)</f>
        <v>0</v>
      </c>
      <c r="CM232" s="106">
        <f>+HLOOKUP($C232,BP!$CG$2:$CS$250,180,0)</f>
        <v>0</v>
      </c>
      <c r="CN232" s="106">
        <f>+HLOOKUP($C232,BP!$CG$2:$CS$250,182,0)</f>
        <v>0</v>
      </c>
      <c r="CO232" s="106">
        <f>+HLOOKUP($C232,BP!$CG$2:$CS$250,183,0)</f>
        <v>319.60000000000002</v>
      </c>
      <c r="CP232" s="106">
        <f>+HLOOKUP($C232,BP!$CG$2:$CS$250,184,0)</f>
        <v>0</v>
      </c>
      <c r="CQ232" s="106">
        <f>+HLOOKUP($C232,BP!$CG$2:$CS$250,185,0)</f>
        <v>0</v>
      </c>
      <c r="CR232" s="106">
        <f>+HLOOKUP($C232,BP!$CG$2:$CS$250,187,0)</f>
        <v>1249.9999999999982</v>
      </c>
      <c r="CS232" s="106">
        <f>+HLOOKUP($C232,BP!$CG$2:$CS$250,188,0)</f>
        <v>900</v>
      </c>
      <c r="CT232" s="106">
        <f>+HLOOKUP($C232,BP!$CG$2:$CS$250,189,0)</f>
        <v>0</v>
      </c>
      <c r="CU232" s="106">
        <f>+HLOOKUP($C232,BP!$CG$2:$CS$250,190,0)</f>
        <v>499.98</v>
      </c>
      <c r="CV232" s="106">
        <f>+HLOOKUP($C232,BP!$CG$2:$CS$250,191,0)</f>
        <v>0</v>
      </c>
      <c r="CW232" s="106">
        <f>+HLOOKUP($C232,BP!$CG$2:$CS$250,193,0)</f>
        <v>2470.8000000000002</v>
      </c>
      <c r="CX232" s="106">
        <f>+HLOOKUP($C232,BP!$CG$2:$CS$250,194,0)</f>
        <v>15.9</v>
      </c>
      <c r="CY232" s="106">
        <f>+HLOOKUP($C232,BP!$CG$2:$CS$250,195,0)</f>
        <v>0</v>
      </c>
      <c r="CZ232" s="106">
        <f>+HLOOKUP($C232,BP!$CG$2:$CS$250,196,0)</f>
        <v>0</v>
      </c>
      <c r="DA232" s="106">
        <f>+HLOOKUP($C232,BP!$CG$2:$CS$250,197,0)</f>
        <v>1032.19</v>
      </c>
      <c r="DB232" s="106">
        <f>+HLOOKUP($C232,BP!$CG$2:$CS$250,198,0)</f>
        <v>2171.2580000000003</v>
      </c>
      <c r="DC232" s="106">
        <f>+HLOOKUP($C232,BP!$CG$2:$CS$250,199,0)</f>
        <v>641.17600000000004</v>
      </c>
      <c r="DD232" s="106">
        <f>+HLOOKUP($C232,BP!$CG$2:$CS$250,200,0)</f>
        <v>0</v>
      </c>
      <c r="DE232" s="106">
        <f>+HLOOKUP($C232,BP!$CG$2:$CS$250,201,0)</f>
        <v>0</v>
      </c>
      <c r="DF232" s="106">
        <f>+HLOOKUP($C232,BP!$CG$2:$CS$250,202,0)</f>
        <v>4.0991999999999997</v>
      </c>
      <c r="DG232" s="106">
        <f>+HLOOKUP($C232,BP!$CG$2:$CS$250,203,0)</f>
        <v>10.374600000000001</v>
      </c>
      <c r="DH232" s="106">
        <f>+HLOOKUP($C232,BP!$CG$2:$CS$250,205,0)</f>
        <v>0</v>
      </c>
      <c r="DI232" s="106">
        <f>+HLOOKUP($C232,BP!$CG$2:$CS$250,206,0)</f>
        <v>2396.42</v>
      </c>
      <c r="DJ232" s="106">
        <f>+HLOOKUP($C232,BP!$CG$2:$CS$250,207,0)</f>
        <v>155.59980000000033</v>
      </c>
      <c r="DK232" s="106">
        <f>+HLOOKUP($C232,BP!$CG$2:$CS$250,209,0)</f>
        <v>0</v>
      </c>
      <c r="DL232" s="106">
        <f>+HLOOKUP($C232,BP!$CG$2:$CS$250,210,0)</f>
        <v>46797</v>
      </c>
      <c r="DM232" s="106">
        <f>+HLOOKUP($C232,BP!$CG$2:$CS$250,211,0)</f>
        <v>0</v>
      </c>
      <c r="DN232" s="106">
        <f>+HLOOKUP($C232,BP!$CG$2:$CS$250,212,0)</f>
        <v>9600</v>
      </c>
      <c r="DO232" s="106">
        <f>+HLOOKUP($C232,BP!$CG$2:$CS$250,214,0)</f>
        <v>0</v>
      </c>
      <c r="DP232" s="106">
        <f>+HLOOKUP($C232,BP!$CG$2:$CS$250,215,0)</f>
        <v>160</v>
      </c>
      <c r="DQ232" s="106">
        <f>+HLOOKUP($C232,BP!$CG$2:$CS$250,219,0)</f>
        <v>0</v>
      </c>
      <c r="DR232" s="106">
        <f>+HLOOKUP($C232,BP!$CG$2:$CS$250,220,0)</f>
        <v>0</v>
      </c>
      <c r="DS232" s="106">
        <f>+HLOOKUP($C232,BP!$CG$2:$CS$250,221,0)</f>
        <v>0</v>
      </c>
      <c r="DT232" s="106">
        <f>+HLOOKUP($C232,BP!$CG$2:$CS$250,223,0)</f>
        <v>4164.4715999999999</v>
      </c>
      <c r="DU232" s="106">
        <f>+HLOOKUP($C232,BP!$CG$2:$CS$250,224,0)</f>
        <v>0</v>
      </c>
      <c r="DV232" s="106">
        <f>+HLOOKUP($C232,BP!$CG$2:$CS$250,225,0)</f>
        <v>0</v>
      </c>
      <c r="DW232" s="106">
        <f>+HLOOKUP($C232,BP!$CG$2:$CS$250,227,0)</f>
        <v>0</v>
      </c>
      <c r="DX232" s="106">
        <f>+HLOOKUP($C232,BP!$CG$2:$CS$250,228,0)</f>
        <v>5503.2000000000007</v>
      </c>
      <c r="DY232" s="106">
        <f>+HLOOKUP($C232,BP!$CG$2:$CS$250,236,0)</f>
        <v>0</v>
      </c>
      <c r="DZ232" s="106">
        <f>+HLOOKUP($C232,BP!$CG$2:$CS$250,237,0)</f>
        <v>71800.118459999998</v>
      </c>
      <c r="EA232" s="106">
        <f>+HLOOKUP($C232,BP!$CG$2:$CS$250,238,0)</f>
        <v>0</v>
      </c>
      <c r="EB232" s="106">
        <f>+HLOOKUP($C232,BP!$CG$2:$CS$250,240,0)</f>
        <v>194786.57794642859</v>
      </c>
    </row>
    <row r="233" spans="1:132" hidden="1">
      <c r="A233" t="s">
        <v>271</v>
      </c>
      <c r="B233" t="s">
        <v>218</v>
      </c>
      <c r="C233" s="117">
        <v>45536</v>
      </c>
      <c r="D233" s="106">
        <f t="shared" si="9"/>
        <v>2070144.12</v>
      </c>
      <c r="E233" s="106">
        <f>+HLOOKUP(C233,BP!$CG$2:$CS$250,28,0)+HLOOKUP(C233,BP!$CG$2:$CS$250,43,0)+HLOOKUP(C233,BP!$CG$2:$CS$250,44,0)+HLOOKUP(C233,BP!$CG$2:$CS$250,45,0)+HLOOKUP(C233,BP!$CG$2:$CS$250,54,0)+HLOOKUP(C233,BP!$CG$2:$CS$250,59,0)</f>
        <v>2070144.12</v>
      </c>
      <c r="F233" s="106">
        <f>+HLOOKUP(C233,BP!$CG$2:$CS$250,37,0)+HLOOKUP(C233,BP!$CG$2:$CS$250,55,0)</f>
        <v>1387866.0160000001</v>
      </c>
      <c r="G233" s="106">
        <f>+HLOOKUP($C233,BP!$CG$2:$CS$250,76,0)</f>
        <v>0</v>
      </c>
      <c r="H233" s="106">
        <f>+HLOOKUP($C233,BP!$CG$2:$CS$250,77,0)</f>
        <v>0</v>
      </c>
      <c r="I233" s="106">
        <f>+HLOOKUP($C233,BP!$CG$2:$CS$250,78,0)</f>
        <v>0</v>
      </c>
      <c r="J233" s="106">
        <f>+HLOOKUP($C233,BP!$CG$2:$CS$250,79,0)</f>
        <v>0</v>
      </c>
      <c r="K233" s="106">
        <f>+HLOOKUP($C233,BP!$CG$2:$CS$250,80,0)</f>
        <v>0</v>
      </c>
      <c r="L233" s="106">
        <f>+HLOOKUP($C233,BP!$CG$2:$CS$250,81,0)</f>
        <v>0</v>
      </c>
      <c r="M233" s="106">
        <f>+HLOOKUP($C233,BP!$CG$2:$CS$250,82,0)</f>
        <v>0</v>
      </c>
      <c r="N233" s="106">
        <f>+HLOOKUP($C233,BP!$CG$2:$CS$250,83,0)</f>
        <v>0</v>
      </c>
      <c r="O233" s="106">
        <f>+HLOOKUP($C233,BP!$CG$2:$CS$250,84,0)</f>
        <v>0</v>
      </c>
      <c r="P233" s="106">
        <f>+HLOOKUP($C233,BP!$CG$2:$CS$250,85,0)</f>
        <v>0</v>
      </c>
      <c r="Q233" s="106">
        <f>+HLOOKUP($C233,BP!$CG$2:$CS$250,87,0)</f>
        <v>54690.126000000004</v>
      </c>
      <c r="R233" s="106">
        <f>+HLOOKUP($C233,BP!$CG$2:$CS$250,90,0)</f>
        <v>0</v>
      </c>
      <c r="S233" s="106">
        <f>+HLOOKUP($C233,BP!$CG$2:$CS$250,91,0)</f>
        <v>0</v>
      </c>
      <c r="T233" s="106">
        <f>+HLOOKUP($C233,BP!$CG$2:$CS$250,92,0)</f>
        <v>260.2</v>
      </c>
      <c r="U233" s="106">
        <f>+HLOOKUP($C233,BP!$CG$2:$CS$250,93,0)</f>
        <v>0</v>
      </c>
      <c r="V233" s="106">
        <f>+HLOOKUP($C233,BP!$CG$2:$CS$250,94,0)</f>
        <v>0</v>
      </c>
      <c r="W233" s="106">
        <f>+HLOOKUP($C233,BP!$CG$2:$CS$250,95,0)</f>
        <v>0</v>
      </c>
      <c r="X233" s="106">
        <f>+HLOOKUP($C233,BP!$CG$2:$CS$250,96,0)</f>
        <v>0</v>
      </c>
      <c r="Y233" s="106">
        <f>+HLOOKUP($C233,BP!$CG$2:$CS$250,97,0)</f>
        <v>0</v>
      </c>
      <c r="Z233" s="106">
        <f>+HLOOKUP($C233,BP!$CG$2:$CS$250,98,0)</f>
        <v>0</v>
      </c>
      <c r="AA233" s="106">
        <f>+HLOOKUP($C233,BP!$CG$2:$CS$250,99,0)</f>
        <v>0</v>
      </c>
      <c r="AB233" s="106">
        <f>+HLOOKUP($C233,BP!$CG$2:$CS$250,100,0)</f>
        <v>0</v>
      </c>
      <c r="AC233" s="106">
        <f>+HLOOKUP($C233,BP!$CG$2:$CS$250,101,0)</f>
        <v>0</v>
      </c>
      <c r="AD233" s="106">
        <f>+HLOOKUP($C233,BP!$CG$2:$CS$250,104,0)</f>
        <v>0</v>
      </c>
      <c r="AE233" s="106">
        <f>+HLOOKUP($C233,BP!$CG$2:$CS$250,105,0)</f>
        <v>0</v>
      </c>
      <c r="AF233" s="106">
        <f>+HLOOKUP($C233,BP!$CG$2:$CS$250,106,0)</f>
        <v>0</v>
      </c>
      <c r="AG233" s="106">
        <f>+HLOOKUP($C233,BP!$CG$2:$CS$250,107,0)</f>
        <v>0</v>
      </c>
      <c r="AH233" s="106">
        <f>+HLOOKUP($C233,BP!$CG$2:$CS$250,108,0)</f>
        <v>0</v>
      </c>
      <c r="AI233" s="106">
        <f>+HLOOKUP($C233,BP!$CG$2:$CS$250,109,0)</f>
        <v>15290</v>
      </c>
      <c r="AJ233" s="106">
        <f>+HLOOKUP($C233,BP!$CG$2:$CS$250,110,0)</f>
        <v>0</v>
      </c>
      <c r="AK233" s="106">
        <f>+HLOOKUP($C233,BP!$CG$2:$CS$250,111,0)</f>
        <v>0</v>
      </c>
      <c r="AL233" s="106">
        <f>+HLOOKUP($C233,BP!$CG$2:$CS$250,112,0)</f>
        <v>0</v>
      </c>
      <c r="AM233" s="106">
        <f>+HLOOKUP($C233,BP!$CG$2:$CS$250,116,0)</f>
        <v>25264</v>
      </c>
      <c r="AN233" s="106">
        <f>+HLOOKUP($C233,BP!$CG$2:$CS$250,117,0)</f>
        <v>3539</v>
      </c>
      <c r="AO233" s="106">
        <f>+HLOOKUP($C233,BP!$CG$2:$CS$250,118,0)</f>
        <v>0</v>
      </c>
      <c r="AP233" s="106">
        <f>+HLOOKUP($C233,BP!$CG$2:$CS$250,119,0)</f>
        <v>9196</v>
      </c>
      <c r="AQ233" s="106">
        <f>+HLOOKUP($C233,BP!$CG$2:$CS$250,120,0)</f>
        <v>3120</v>
      </c>
      <c r="AR233" s="106">
        <f>+HLOOKUP($C233,BP!$CG$2:$CS$250,121,0)</f>
        <v>1610</v>
      </c>
      <c r="AS233" s="106">
        <f>+HLOOKUP($C233,BP!$CG$2:$CS$250,122,0)</f>
        <v>12780.400000000001</v>
      </c>
      <c r="AT233" s="106">
        <f>+HLOOKUP($C233,BP!$CG$2:$CS$250,123,0)</f>
        <v>8981.0400000000009</v>
      </c>
      <c r="AU233" s="106">
        <f>+HLOOKUP($C233,BP!$CG$2:$CS$250,124,0)</f>
        <v>886.64</v>
      </c>
      <c r="AV233" s="106">
        <f>+HLOOKUP($C233,BP!$CG$2:$CS$250,125,0)</f>
        <v>34110</v>
      </c>
      <c r="AW233" s="106">
        <f>+HLOOKUP($C233,BP!$CG$2:$CS$250,126,0)</f>
        <v>3491.8057692307689</v>
      </c>
      <c r="AX233" s="106">
        <f>+HLOOKUP($C233,BP!$CG$2:$CS$250,127,0)</f>
        <v>5711.9233333333341</v>
      </c>
      <c r="AY233" s="106">
        <f>+HLOOKUP($C233,BP!$CG$2:$CS$250,129,0)</f>
        <v>0</v>
      </c>
      <c r="AZ233" s="106">
        <f>+HLOOKUP($C233,BP!$CG$2:$CS$250,130,0)</f>
        <v>0</v>
      </c>
      <c r="BA233" s="106">
        <f>+HLOOKUP($C233,BP!$CG$2:$CS$250,131,0)</f>
        <v>0</v>
      </c>
      <c r="BB233" s="106">
        <f>+HLOOKUP($C233,BP!$CG$2:$CS$250,133,0)</f>
        <v>0</v>
      </c>
      <c r="BC233" s="106">
        <f>+HLOOKUP($C233,BP!$CG$2:$CS$250,134,0)</f>
        <v>1050</v>
      </c>
      <c r="BD233" s="106">
        <f>+HLOOKUP($C233,BP!$CG$2:$CS$250,135,0)</f>
        <v>0</v>
      </c>
      <c r="BE233" s="106">
        <f>+HLOOKUP($C233,BP!$CG$2:$CS$250,136,0)</f>
        <v>0</v>
      </c>
      <c r="BF233" s="106">
        <f>+HLOOKUP($C233,BP!$CG$2:$CS$250,138,0)</f>
        <v>1702.4399999999998</v>
      </c>
      <c r="BG233" s="106">
        <f>+HLOOKUP($C233,BP!$CG$2:$CS$250,139,0)</f>
        <v>3894.4280000000003</v>
      </c>
      <c r="BH233" s="106">
        <f>+HLOOKUP($C233,BP!$CG$2:$CS$250,140,0)</f>
        <v>5000</v>
      </c>
      <c r="BI233" s="106">
        <f>+HLOOKUP($C233,BP!$CG$2:$CS$250,141,0)</f>
        <v>0</v>
      </c>
      <c r="BJ233" s="106">
        <f>+HLOOKUP($C233,BP!$CG$2:$CS$250,142,0)</f>
        <v>0</v>
      </c>
      <c r="BK233" s="106">
        <f>+HLOOKUP($C233,BP!$CG$2:$CS$250,143,0)</f>
        <v>8503.25</v>
      </c>
      <c r="BL233" s="106">
        <f>+HLOOKUP($C233,BP!$CG$2:$CS$250,144,0)</f>
        <v>4021.6000000000004</v>
      </c>
      <c r="BM233" s="106">
        <f>+HLOOKUP($C233,BP!$CG$2:$CS$250,146,0)</f>
        <v>0</v>
      </c>
      <c r="BN233" s="106">
        <f>+HLOOKUP($C233,BP!$CG$2:$CS$250,147,0)</f>
        <v>0</v>
      </c>
      <c r="BO233" s="106">
        <f>+HLOOKUP($C233,BP!$CG$2:$CS$250,148,0)</f>
        <v>0</v>
      </c>
      <c r="BP233" s="106">
        <f>+HLOOKUP($C233,BP!$CG$2:$CS$250,150,0)</f>
        <v>14787.800000000001</v>
      </c>
      <c r="BQ233" s="106">
        <f>+HLOOKUP($C233,BP!$CG$2:$CS$250,151,0)</f>
        <v>945</v>
      </c>
      <c r="BR233" s="106">
        <f>+HLOOKUP($C233,BP!$CG$2:$CS$250,152,0)</f>
        <v>6400</v>
      </c>
      <c r="BS233" s="106">
        <f>+HLOOKUP($C233,BP!$CG$2:$CS$250,153,0)</f>
        <v>320</v>
      </c>
      <c r="BT233" s="106">
        <f>+HLOOKUP($C233,BP!$CG$2:$CS$250,157,0)</f>
        <v>0</v>
      </c>
      <c r="BU233" s="106">
        <f>+HLOOKUP($C233,BP!$CG$2:$CS$250,158,0)</f>
        <v>44.745599999999996</v>
      </c>
      <c r="BV233" s="106">
        <f>+HLOOKUP($C233,BP!$CG$2:$CS$250,159,0)</f>
        <v>136.11199999999999</v>
      </c>
      <c r="BW233" s="106">
        <f>+HLOOKUP($C233,BP!$CG$2:$CS$250,160,0)</f>
        <v>0</v>
      </c>
      <c r="BX233" s="106">
        <f>+HLOOKUP($C233,BP!$CG$2:$CS$250,161,0)</f>
        <v>450</v>
      </c>
      <c r="BY233" s="106">
        <f>+HLOOKUP($C233,BP!$CG$2:$CS$250,164,0)</f>
        <v>804.42660000000001</v>
      </c>
      <c r="BZ233" s="106">
        <f>+HLOOKUP($C233,BP!$CG$2:$CS$250,165,0)</f>
        <v>300</v>
      </c>
      <c r="CA233" s="106">
        <f>+HLOOKUP($C233,BP!$CG$2:$CS$250,166,0)</f>
        <v>0</v>
      </c>
      <c r="CB233" s="106">
        <f>+HLOOKUP($C233,BP!$CG$2:$CS$250,167,0)</f>
        <v>0</v>
      </c>
      <c r="CC233" s="106">
        <f>+HLOOKUP($C233,BP!$CG$2:$CS$250,168,0)</f>
        <v>0</v>
      </c>
      <c r="CD233" s="106">
        <f>+HLOOKUP($C233,BP!$CG$2:$CS$250,169,0)</f>
        <v>1234.2366000000002</v>
      </c>
      <c r="CE233" s="106">
        <f>+HLOOKUP($C233,BP!$CG$2:$CS$250,170,0)</f>
        <v>0</v>
      </c>
      <c r="CF233" s="106">
        <f>+HLOOKUP($C233,BP!$CG$2:$CS$250,172,0)</f>
        <v>7200</v>
      </c>
      <c r="CG233" s="106">
        <f>+HLOOKUP($C233,BP!$CG$2:$CS$250,173,0)</f>
        <v>0</v>
      </c>
      <c r="CH233" s="106">
        <f>+HLOOKUP($C233,BP!$CG$2:$CS$250,174,0)</f>
        <v>23692</v>
      </c>
      <c r="CI233" s="106">
        <f>+HLOOKUP($C233,BP!$CG$2:$CS$250,175,0)</f>
        <v>2972</v>
      </c>
      <c r="CJ233" s="106">
        <f>+HLOOKUP($C233,BP!$CG$2:$CS$250,176,0)</f>
        <v>1000.8198000000001</v>
      </c>
      <c r="CK233" s="106">
        <f>+HLOOKUP($C233,BP!$CG$2:$CS$250,178,0)</f>
        <v>849.6</v>
      </c>
      <c r="CL233" s="106">
        <f>+HLOOKUP($C233,BP!$CG$2:$CS$250,179,0)</f>
        <v>0</v>
      </c>
      <c r="CM233" s="106">
        <f>+HLOOKUP($C233,BP!$CG$2:$CS$250,180,0)</f>
        <v>0</v>
      </c>
      <c r="CN233" s="106">
        <f>+HLOOKUP($C233,BP!$CG$2:$CS$250,182,0)</f>
        <v>0</v>
      </c>
      <c r="CO233" s="106">
        <f>+HLOOKUP($C233,BP!$CG$2:$CS$250,183,0)</f>
        <v>4490.1980000000003</v>
      </c>
      <c r="CP233" s="106">
        <f>+HLOOKUP($C233,BP!$CG$2:$CS$250,184,0)</f>
        <v>0</v>
      </c>
      <c r="CQ233" s="106">
        <f>+HLOOKUP($C233,BP!$CG$2:$CS$250,185,0)</f>
        <v>0</v>
      </c>
      <c r="CR233" s="106">
        <f>+HLOOKUP($C233,BP!$CG$2:$CS$250,187,0)</f>
        <v>0</v>
      </c>
      <c r="CS233" s="106">
        <f>+HLOOKUP($C233,BP!$CG$2:$CS$250,188,0)</f>
        <v>900</v>
      </c>
      <c r="CT233" s="106">
        <f>+HLOOKUP($C233,BP!$CG$2:$CS$250,189,0)</f>
        <v>0</v>
      </c>
      <c r="CU233" s="106">
        <f>+HLOOKUP($C233,BP!$CG$2:$CS$250,190,0)</f>
        <v>499.97999999999996</v>
      </c>
      <c r="CV233" s="106">
        <f>+HLOOKUP($C233,BP!$CG$2:$CS$250,191,0)</f>
        <v>0</v>
      </c>
      <c r="CW233" s="106">
        <f>+HLOOKUP($C233,BP!$CG$2:$CS$250,193,0)</f>
        <v>2353.1999999999998</v>
      </c>
      <c r="CX233" s="106">
        <f>+HLOOKUP($C233,BP!$CG$2:$CS$250,194,0)</f>
        <v>15.9</v>
      </c>
      <c r="CY233" s="106">
        <f>+HLOOKUP($C233,BP!$CG$2:$CS$250,195,0)</f>
        <v>550.024</v>
      </c>
      <c r="CZ233" s="106">
        <f>+HLOOKUP($C233,BP!$CG$2:$CS$250,196,0)</f>
        <v>0</v>
      </c>
      <c r="DA233" s="106">
        <f>+HLOOKUP($C233,BP!$CG$2:$CS$250,197,0)</f>
        <v>4164.42</v>
      </c>
      <c r="DB233" s="106">
        <f>+HLOOKUP($C233,BP!$CG$2:$CS$250,198,0)</f>
        <v>1171.068</v>
      </c>
      <c r="DC233" s="106">
        <f>+HLOOKUP($C233,BP!$CG$2:$CS$250,199,0)</f>
        <v>120</v>
      </c>
      <c r="DD233" s="106">
        <f>+HLOOKUP($C233,BP!$CG$2:$CS$250,200,0)</f>
        <v>102</v>
      </c>
      <c r="DE233" s="106">
        <f>+HLOOKUP($C233,BP!$CG$2:$CS$250,201,0)</f>
        <v>0</v>
      </c>
      <c r="DF233" s="106">
        <f>+HLOOKUP($C233,BP!$CG$2:$CS$250,202,0)</f>
        <v>1.5615999999999999</v>
      </c>
      <c r="DG233" s="106">
        <f>+HLOOKUP($C233,BP!$CG$2:$CS$250,203,0)</f>
        <v>0</v>
      </c>
      <c r="DH233" s="106">
        <f>+HLOOKUP($C233,BP!$CG$2:$CS$250,205,0)</f>
        <v>0</v>
      </c>
      <c r="DI233" s="106">
        <f>+HLOOKUP($C233,BP!$CG$2:$CS$250,206,0)</f>
        <v>2436.6302000000001</v>
      </c>
      <c r="DJ233" s="106">
        <f>+HLOOKUP($C233,BP!$CG$2:$CS$250,207,0)</f>
        <v>160.11019999999809</v>
      </c>
      <c r="DK233" s="106">
        <f>+HLOOKUP($C233,BP!$CG$2:$CS$250,209,0)</f>
        <v>0</v>
      </c>
      <c r="DL233" s="106">
        <f>+HLOOKUP($C233,BP!$CG$2:$CS$250,210,0)</f>
        <v>49025.4</v>
      </c>
      <c r="DM233" s="106">
        <f>+HLOOKUP($C233,BP!$CG$2:$CS$250,211,0)</f>
        <v>0</v>
      </c>
      <c r="DN233" s="106">
        <f>+HLOOKUP($C233,BP!$CG$2:$CS$250,212,0)</f>
        <v>9600</v>
      </c>
      <c r="DO233" s="106">
        <f>+HLOOKUP($C233,BP!$CG$2:$CS$250,214,0)</f>
        <v>0</v>
      </c>
      <c r="DP233" s="106">
        <f>+HLOOKUP($C233,BP!$CG$2:$CS$250,215,0)</f>
        <v>680</v>
      </c>
      <c r="DQ233" s="106">
        <f>+HLOOKUP($C233,BP!$CG$2:$CS$250,219,0)</f>
        <v>0</v>
      </c>
      <c r="DR233" s="106">
        <f>+HLOOKUP($C233,BP!$CG$2:$CS$250,220,0)</f>
        <v>0</v>
      </c>
      <c r="DS233" s="106">
        <f>+HLOOKUP($C233,BP!$CG$2:$CS$250,221,0)</f>
        <v>0</v>
      </c>
      <c r="DT233" s="106">
        <f>+HLOOKUP($C233,BP!$CG$2:$CS$250,223,0)</f>
        <v>4660.3176000000003</v>
      </c>
      <c r="DU233" s="106">
        <f>+HLOOKUP($C233,BP!$CG$2:$CS$250,224,0)</f>
        <v>0</v>
      </c>
      <c r="DV233" s="106">
        <f>+HLOOKUP($C233,BP!$CG$2:$CS$250,225,0)</f>
        <v>0</v>
      </c>
      <c r="DW233" s="106">
        <f>+HLOOKUP($C233,BP!$CG$2:$CS$250,227,0)</f>
        <v>0</v>
      </c>
      <c r="DX233" s="106">
        <f>+HLOOKUP($C233,BP!$CG$2:$CS$250,228,0)</f>
        <v>4334.28</v>
      </c>
      <c r="DY233" s="106">
        <f>+HLOOKUP($C233,BP!$CG$2:$CS$250,236,0)</f>
        <v>0</v>
      </c>
      <c r="DZ233" s="106">
        <f>+HLOOKUP($C233,BP!$CG$2:$CS$250,237,0)</f>
        <v>70274.22696</v>
      </c>
      <c r="EA233" s="106">
        <f>+HLOOKUP($C233,BP!$CG$2:$CS$250,238,0)</f>
        <v>0</v>
      </c>
      <c r="EB233" s="106">
        <f>+HLOOKUP($C233,BP!$CG$2:$CS$250,240,0)</f>
        <v>194786.57794642859</v>
      </c>
    </row>
    <row r="234" spans="1:132" hidden="1">
      <c r="A234" t="s">
        <v>271</v>
      </c>
      <c r="B234" t="s">
        <v>218</v>
      </c>
      <c r="C234" s="117">
        <v>45505</v>
      </c>
      <c r="D234" s="106">
        <f t="shared" si="9"/>
        <v>4257626.93</v>
      </c>
      <c r="E234" s="106">
        <f>+HLOOKUP(C234,BP!$CG$2:$CS$250,28,0)+HLOOKUP(C234,BP!$CG$2:$CS$250,43,0)+HLOOKUP(C234,BP!$CG$2:$CS$250,44,0)+HLOOKUP(C234,BP!$CG$2:$CS$250,45,0)+HLOOKUP(C234,BP!$CG$2:$CS$250,54,0)+HLOOKUP(C234,BP!$CG$2:$CS$250,59,0)</f>
        <v>4257626.93</v>
      </c>
      <c r="F234" s="106">
        <f>+HLOOKUP(C234,BP!$CG$2:$CS$250,37,0)+HLOOKUP(C234,BP!$CG$2:$CS$250,55,0)</f>
        <v>2919649.2140000002</v>
      </c>
      <c r="G234" s="106">
        <f>+HLOOKUP($C234,BP!$CG$2:$CS$250,76,0)</f>
        <v>0</v>
      </c>
      <c r="H234" s="106">
        <f>+HLOOKUP($C234,BP!$CG$2:$CS$250,77,0)</f>
        <v>0</v>
      </c>
      <c r="I234" s="106">
        <f>+HLOOKUP($C234,BP!$CG$2:$CS$250,78,0)</f>
        <v>0</v>
      </c>
      <c r="J234" s="106">
        <f>+HLOOKUP($C234,BP!$CG$2:$CS$250,79,0)</f>
        <v>0</v>
      </c>
      <c r="K234" s="106">
        <f>+HLOOKUP($C234,BP!$CG$2:$CS$250,80,0)</f>
        <v>0</v>
      </c>
      <c r="L234" s="106">
        <f>+HLOOKUP($C234,BP!$CG$2:$CS$250,81,0)</f>
        <v>0</v>
      </c>
      <c r="M234" s="106">
        <f>+HLOOKUP($C234,BP!$CG$2:$CS$250,82,0)</f>
        <v>0</v>
      </c>
      <c r="N234" s="106">
        <f>+HLOOKUP($C234,BP!$CG$2:$CS$250,83,0)</f>
        <v>0</v>
      </c>
      <c r="O234" s="106">
        <f>+HLOOKUP($C234,BP!$CG$2:$CS$250,84,0)</f>
        <v>0</v>
      </c>
      <c r="P234" s="106">
        <f>+HLOOKUP($C234,BP!$CG$2:$CS$250,85,0)</f>
        <v>0</v>
      </c>
      <c r="Q234" s="106">
        <f>+HLOOKUP($C234,BP!$CG$2:$CS$250,87,0)</f>
        <v>150</v>
      </c>
      <c r="R234" s="106">
        <f>+HLOOKUP($C234,BP!$CG$2:$CS$250,90,0)</f>
        <v>0</v>
      </c>
      <c r="S234" s="106">
        <f>+HLOOKUP($C234,BP!$CG$2:$CS$250,91,0)</f>
        <v>0</v>
      </c>
      <c r="T234" s="106">
        <f>+HLOOKUP($C234,BP!$CG$2:$CS$250,92,0)</f>
        <v>139.28399999999999</v>
      </c>
      <c r="U234" s="106">
        <f>+HLOOKUP($C234,BP!$CG$2:$CS$250,93,0)</f>
        <v>0</v>
      </c>
      <c r="V234" s="106">
        <f>+HLOOKUP($C234,BP!$CG$2:$CS$250,94,0)</f>
        <v>0</v>
      </c>
      <c r="W234" s="106">
        <f>+HLOOKUP($C234,BP!$CG$2:$CS$250,95,0)</f>
        <v>0</v>
      </c>
      <c r="X234" s="106">
        <f>+HLOOKUP($C234,BP!$CG$2:$CS$250,96,0)</f>
        <v>4490.2</v>
      </c>
      <c r="Y234" s="106">
        <f>+HLOOKUP($C234,BP!$CG$2:$CS$250,97,0)</f>
        <v>0</v>
      </c>
      <c r="Z234" s="106">
        <f>+HLOOKUP($C234,BP!$CG$2:$CS$250,98,0)</f>
        <v>0</v>
      </c>
      <c r="AA234" s="106">
        <f>+HLOOKUP($C234,BP!$CG$2:$CS$250,99,0)</f>
        <v>0</v>
      </c>
      <c r="AB234" s="106">
        <f>+HLOOKUP($C234,BP!$CG$2:$CS$250,100,0)</f>
        <v>0</v>
      </c>
      <c r="AC234" s="106">
        <f>+HLOOKUP($C234,BP!$CG$2:$CS$250,101,0)</f>
        <v>0</v>
      </c>
      <c r="AD234" s="106">
        <f>+HLOOKUP($C234,BP!$CG$2:$CS$250,104,0)</f>
        <v>0</v>
      </c>
      <c r="AE234" s="106">
        <f>+HLOOKUP($C234,BP!$CG$2:$CS$250,105,0)</f>
        <v>0</v>
      </c>
      <c r="AF234" s="106">
        <f>+HLOOKUP($C234,BP!$CG$2:$CS$250,106,0)</f>
        <v>0</v>
      </c>
      <c r="AG234" s="106">
        <f>+HLOOKUP($C234,BP!$CG$2:$CS$250,107,0)</f>
        <v>0</v>
      </c>
      <c r="AH234" s="106">
        <f>+HLOOKUP($C234,BP!$CG$2:$CS$250,108,0)</f>
        <v>0</v>
      </c>
      <c r="AI234" s="106">
        <f>+HLOOKUP($C234,BP!$CG$2:$CS$250,109,0)</f>
        <v>485.28000000000031</v>
      </c>
      <c r="AJ234" s="106">
        <f>+HLOOKUP($C234,BP!$CG$2:$CS$250,110,0)</f>
        <v>0</v>
      </c>
      <c r="AK234" s="106">
        <f>+HLOOKUP($C234,BP!$CG$2:$CS$250,111,0)</f>
        <v>0</v>
      </c>
      <c r="AL234" s="106">
        <f>+HLOOKUP($C234,BP!$CG$2:$CS$250,112,0)</f>
        <v>0</v>
      </c>
      <c r="AM234" s="106">
        <f>+HLOOKUP($C234,BP!$CG$2:$CS$250,116,0)</f>
        <v>74228.459999999992</v>
      </c>
      <c r="AN234" s="106">
        <f>+HLOOKUP($C234,BP!$CG$2:$CS$250,117,0)</f>
        <v>3655.1</v>
      </c>
      <c r="AO234" s="106">
        <f>+HLOOKUP($C234,BP!$CG$2:$CS$250,118,0)</f>
        <v>0</v>
      </c>
      <c r="AP234" s="106">
        <f>+HLOOKUP($C234,BP!$CG$2:$CS$250,119,0)</f>
        <v>9381.82</v>
      </c>
      <c r="AQ234" s="106">
        <f>+HLOOKUP($C234,BP!$CG$2:$CS$250,120,0)</f>
        <v>3120</v>
      </c>
      <c r="AR234" s="106">
        <f>+HLOOKUP($C234,BP!$CG$2:$CS$250,121,0)</f>
        <v>1702.88</v>
      </c>
      <c r="AS234" s="106">
        <f>+HLOOKUP($C234,BP!$CG$2:$CS$250,122,0)</f>
        <v>7866.2199999999993</v>
      </c>
      <c r="AT234" s="106">
        <f>+HLOOKUP($C234,BP!$CG$2:$CS$250,123,0)</f>
        <v>8981.0400000000009</v>
      </c>
      <c r="AU234" s="106">
        <f>+HLOOKUP($C234,BP!$CG$2:$CS$250,124,0)</f>
        <v>886.64</v>
      </c>
      <c r="AV234" s="106">
        <f>+HLOOKUP($C234,BP!$CG$2:$CS$250,125,0)</f>
        <v>34110</v>
      </c>
      <c r="AW234" s="106">
        <f>+HLOOKUP($C234,BP!$CG$2:$CS$250,126,0)</f>
        <v>3491.8057692307689</v>
      </c>
      <c r="AX234" s="106">
        <f>+HLOOKUP($C234,BP!$CG$2:$CS$250,127,0)</f>
        <v>5711.9233333333341</v>
      </c>
      <c r="AY234" s="106">
        <f>+HLOOKUP($C234,BP!$CG$2:$CS$250,129,0)</f>
        <v>0</v>
      </c>
      <c r="AZ234" s="106">
        <f>+HLOOKUP($C234,BP!$CG$2:$CS$250,130,0)</f>
        <v>0</v>
      </c>
      <c r="BA234" s="106">
        <f>+HLOOKUP($C234,BP!$CG$2:$CS$250,131,0)</f>
        <v>0</v>
      </c>
      <c r="BB234" s="106">
        <f>+HLOOKUP($C234,BP!$CG$2:$CS$250,133,0)</f>
        <v>0</v>
      </c>
      <c r="BC234" s="106">
        <f>+HLOOKUP($C234,BP!$CG$2:$CS$250,134,0)</f>
        <v>10155.350400000001</v>
      </c>
      <c r="BD234" s="106">
        <f>+HLOOKUP($C234,BP!$CG$2:$CS$250,135,0)</f>
        <v>0</v>
      </c>
      <c r="BE234" s="106">
        <f>+HLOOKUP($C234,BP!$CG$2:$CS$250,136,0)</f>
        <v>0</v>
      </c>
      <c r="BF234" s="106">
        <f>+HLOOKUP($C234,BP!$CG$2:$CS$250,138,0)</f>
        <v>2101.04</v>
      </c>
      <c r="BG234" s="106">
        <f>+HLOOKUP($C234,BP!$CG$2:$CS$250,139,0)</f>
        <v>4117.4800000000005</v>
      </c>
      <c r="BH234" s="106">
        <f>+HLOOKUP($C234,BP!$CG$2:$CS$250,140,0)</f>
        <v>5000</v>
      </c>
      <c r="BI234" s="106">
        <f>+HLOOKUP($C234,BP!$CG$2:$CS$250,141,0)</f>
        <v>0</v>
      </c>
      <c r="BJ234" s="106">
        <f>+HLOOKUP($C234,BP!$CG$2:$CS$250,142,0)</f>
        <v>0</v>
      </c>
      <c r="BK234" s="106">
        <f>+HLOOKUP($C234,BP!$CG$2:$CS$250,143,0)</f>
        <v>8503.25</v>
      </c>
      <c r="BL234" s="106">
        <f>+HLOOKUP($C234,BP!$CG$2:$CS$250,144,0)</f>
        <v>0</v>
      </c>
      <c r="BM234" s="106">
        <f>+HLOOKUP($C234,BP!$CG$2:$CS$250,146,0)</f>
        <v>0</v>
      </c>
      <c r="BN234" s="106">
        <f>+HLOOKUP($C234,BP!$CG$2:$CS$250,147,0)</f>
        <v>0</v>
      </c>
      <c r="BO234" s="106">
        <f>+HLOOKUP($C234,BP!$CG$2:$CS$250,148,0)</f>
        <v>0</v>
      </c>
      <c r="BP234" s="106">
        <f>+HLOOKUP($C234,BP!$CG$2:$CS$250,150,0)</f>
        <v>13343</v>
      </c>
      <c r="BQ234" s="106">
        <f>+HLOOKUP($C234,BP!$CG$2:$CS$250,151,0)</f>
        <v>945</v>
      </c>
      <c r="BR234" s="106">
        <f>+HLOOKUP($C234,BP!$CG$2:$CS$250,152,0)</f>
        <v>6400</v>
      </c>
      <c r="BS234" s="106">
        <f>+HLOOKUP($C234,BP!$CG$2:$CS$250,153,0)</f>
        <v>320</v>
      </c>
      <c r="BT234" s="106">
        <f>+HLOOKUP($C234,BP!$CG$2:$CS$250,157,0)</f>
        <v>0</v>
      </c>
      <c r="BU234" s="106">
        <f>+HLOOKUP($C234,BP!$CG$2:$CS$250,158,0)</f>
        <v>0</v>
      </c>
      <c r="BV234" s="106">
        <f>+HLOOKUP($C234,BP!$CG$2:$CS$250,159,0)</f>
        <v>136.20000000000002</v>
      </c>
      <c r="BW234" s="106">
        <f>+HLOOKUP($C234,BP!$CG$2:$CS$250,160,0)</f>
        <v>0</v>
      </c>
      <c r="BX234" s="106">
        <f>+HLOOKUP($C234,BP!$CG$2:$CS$250,161,0)</f>
        <v>5441.18</v>
      </c>
      <c r="BY234" s="106">
        <f>+HLOOKUP($C234,BP!$CG$2:$CS$250,164,0)</f>
        <v>588.3768</v>
      </c>
      <c r="BZ234" s="106">
        <f>+HLOOKUP($C234,BP!$CG$2:$CS$250,165,0)</f>
        <v>0</v>
      </c>
      <c r="CA234" s="106">
        <f>+HLOOKUP($C234,BP!$CG$2:$CS$250,166,0)</f>
        <v>0</v>
      </c>
      <c r="CB234" s="106">
        <f>+HLOOKUP($C234,BP!$CG$2:$CS$250,167,0)</f>
        <v>0</v>
      </c>
      <c r="CC234" s="106">
        <f>+HLOOKUP($C234,BP!$CG$2:$CS$250,168,0)</f>
        <v>0</v>
      </c>
      <c r="CD234" s="106">
        <f>+HLOOKUP($C234,BP!$CG$2:$CS$250,169,0)</f>
        <v>30</v>
      </c>
      <c r="CE234" s="106">
        <f>+HLOOKUP($C234,BP!$CG$2:$CS$250,170,0)</f>
        <v>0</v>
      </c>
      <c r="CF234" s="106">
        <f>+HLOOKUP($C234,BP!$CG$2:$CS$250,172,0)</f>
        <v>7200</v>
      </c>
      <c r="CG234" s="106">
        <f>+HLOOKUP($C234,BP!$CG$2:$CS$250,173,0)</f>
        <v>0</v>
      </c>
      <c r="CH234" s="106">
        <f>+HLOOKUP($C234,BP!$CG$2:$CS$250,174,0)</f>
        <v>23692</v>
      </c>
      <c r="CI234" s="106">
        <f>+HLOOKUP($C234,BP!$CG$2:$CS$250,175,0)</f>
        <v>2972</v>
      </c>
      <c r="CJ234" s="106">
        <f>+HLOOKUP($C234,BP!$CG$2:$CS$250,176,0)</f>
        <v>1000.8000000000001</v>
      </c>
      <c r="CK234" s="106">
        <f>+HLOOKUP($C234,BP!$CG$2:$CS$250,178,0)</f>
        <v>26923.72</v>
      </c>
      <c r="CL234" s="106">
        <f>+HLOOKUP($C234,BP!$CG$2:$CS$250,179,0)</f>
        <v>0</v>
      </c>
      <c r="CM234" s="106">
        <f>+HLOOKUP($C234,BP!$CG$2:$CS$250,180,0)</f>
        <v>0</v>
      </c>
      <c r="CN234" s="106">
        <f>+HLOOKUP($C234,BP!$CG$2:$CS$250,182,0)</f>
        <v>0</v>
      </c>
      <c r="CO234" s="106">
        <f>+HLOOKUP($C234,BP!$CG$2:$CS$250,183,0)</f>
        <v>0</v>
      </c>
      <c r="CP234" s="106">
        <f>+HLOOKUP($C234,BP!$CG$2:$CS$250,184,0)</f>
        <v>0</v>
      </c>
      <c r="CQ234" s="106">
        <f>+HLOOKUP($C234,BP!$CG$2:$CS$250,185,0)</f>
        <v>0</v>
      </c>
      <c r="CR234" s="106">
        <f>+HLOOKUP($C234,BP!$CG$2:$CS$250,187,0)</f>
        <v>1249.9998000000003</v>
      </c>
      <c r="CS234" s="106">
        <f>+HLOOKUP($C234,BP!$CG$2:$CS$250,188,0)</f>
        <v>900</v>
      </c>
      <c r="CT234" s="106">
        <f>+HLOOKUP($C234,BP!$CG$2:$CS$250,189,0)</f>
        <v>0</v>
      </c>
      <c r="CU234" s="106">
        <f>+HLOOKUP($C234,BP!$CG$2:$CS$250,190,0)</f>
        <v>499.98</v>
      </c>
      <c r="CV234" s="106">
        <f>+HLOOKUP($C234,BP!$CG$2:$CS$250,191,0)</f>
        <v>0</v>
      </c>
      <c r="CW234" s="106">
        <f>+HLOOKUP($C234,BP!$CG$2:$CS$250,193,0)</f>
        <v>2353.2000000000003</v>
      </c>
      <c r="CX234" s="106">
        <f>+HLOOKUP($C234,BP!$CG$2:$CS$250,194,0)</f>
        <v>15.9</v>
      </c>
      <c r="CY234" s="106">
        <f>+HLOOKUP($C234,BP!$CG$2:$CS$250,195,0)</f>
        <v>550</v>
      </c>
      <c r="CZ234" s="106">
        <f>+HLOOKUP($C234,BP!$CG$2:$CS$250,196,0)</f>
        <v>0</v>
      </c>
      <c r="DA234" s="106">
        <f>+HLOOKUP($C234,BP!$CG$2:$CS$250,197,0)</f>
        <v>1100.1244000000002</v>
      </c>
      <c r="DB234" s="106">
        <f>+HLOOKUP($C234,BP!$CG$2:$CS$250,198,0)</f>
        <v>0</v>
      </c>
      <c r="DC234" s="106">
        <f>+HLOOKUP($C234,BP!$CG$2:$CS$250,199,0)</f>
        <v>845.10200000000009</v>
      </c>
      <c r="DD234" s="106">
        <f>+HLOOKUP($C234,BP!$CG$2:$CS$250,200,0)</f>
        <v>200</v>
      </c>
      <c r="DE234" s="106">
        <f>+HLOOKUP($C234,BP!$CG$2:$CS$250,201,0)</f>
        <v>0</v>
      </c>
      <c r="DF234" s="106">
        <f>+HLOOKUP($C234,BP!$CG$2:$CS$250,202,0)</f>
        <v>1.262</v>
      </c>
      <c r="DG234" s="106">
        <f>+HLOOKUP($C234,BP!$CG$2:$CS$250,203,0)</f>
        <v>0</v>
      </c>
      <c r="DH234" s="106">
        <f>+HLOOKUP($C234,BP!$CG$2:$CS$250,205,0)</f>
        <v>0</v>
      </c>
      <c r="DI234" s="106">
        <f>+HLOOKUP($C234,BP!$CG$2:$CS$250,206,0)</f>
        <v>2436.62</v>
      </c>
      <c r="DJ234" s="106">
        <f>+HLOOKUP($C234,BP!$CG$2:$CS$250,207,0)</f>
        <v>-1.5384617836389224E-5</v>
      </c>
      <c r="DK234" s="106">
        <f>+HLOOKUP($C234,BP!$CG$2:$CS$250,209,0)</f>
        <v>0</v>
      </c>
      <c r="DL234" s="106">
        <f>+HLOOKUP($C234,BP!$CG$2:$CS$250,210,0)</f>
        <v>44568.600000000006</v>
      </c>
      <c r="DM234" s="106">
        <f>+HLOOKUP($C234,BP!$CG$2:$CS$250,211,0)</f>
        <v>0</v>
      </c>
      <c r="DN234" s="106">
        <f>+HLOOKUP($C234,BP!$CG$2:$CS$250,212,0)</f>
        <v>9600</v>
      </c>
      <c r="DO234" s="106">
        <f>+HLOOKUP($C234,BP!$CG$2:$CS$250,214,0)</f>
        <v>0</v>
      </c>
      <c r="DP234" s="106">
        <f>+HLOOKUP($C234,BP!$CG$2:$CS$250,215,0)</f>
        <v>720</v>
      </c>
      <c r="DQ234" s="106">
        <f>+HLOOKUP($C234,BP!$CG$2:$CS$250,219,0)</f>
        <v>0</v>
      </c>
      <c r="DR234" s="106">
        <f>+HLOOKUP($C234,BP!$CG$2:$CS$250,220,0)</f>
        <v>0</v>
      </c>
      <c r="DS234" s="106">
        <f>+HLOOKUP($C234,BP!$CG$2:$CS$250,221,0)</f>
        <v>0</v>
      </c>
      <c r="DT234" s="106">
        <f>+HLOOKUP($C234,BP!$CG$2:$CS$250,223,0)</f>
        <v>4485.6972000000014</v>
      </c>
      <c r="DU234" s="106">
        <f>+HLOOKUP($C234,BP!$CG$2:$CS$250,224,0)</f>
        <v>0</v>
      </c>
      <c r="DV234" s="106">
        <f>+HLOOKUP($C234,BP!$CG$2:$CS$250,225,0)</f>
        <v>0</v>
      </c>
      <c r="DW234" s="106">
        <f>+HLOOKUP($C234,BP!$CG$2:$CS$250,227,0)</f>
        <v>0</v>
      </c>
      <c r="DX234" s="106">
        <f>+HLOOKUP($C234,BP!$CG$2:$CS$250,228,0)</f>
        <v>2572.3200000000002</v>
      </c>
      <c r="DY234" s="106">
        <f>+HLOOKUP($C234,BP!$CG$2:$CS$250,236,0)</f>
        <v>0</v>
      </c>
      <c r="DZ234" s="106">
        <f>+HLOOKUP($C234,BP!$CG$2:$CS$250,237,0)</f>
        <v>73492.471080000003</v>
      </c>
      <c r="EA234" s="106">
        <f>+HLOOKUP($C234,BP!$CG$2:$CS$250,238,0)</f>
        <v>0</v>
      </c>
      <c r="EB234" s="106">
        <f>+HLOOKUP($C234,BP!$CG$2:$CS$250,240,0)</f>
        <v>194786.57794642859</v>
      </c>
    </row>
    <row r="235" spans="1:132" hidden="1">
      <c r="A235" t="s">
        <v>271</v>
      </c>
      <c r="B235" t="s">
        <v>218</v>
      </c>
      <c r="C235" s="117">
        <v>45474</v>
      </c>
      <c r="D235" s="106">
        <f t="shared" si="9"/>
        <v>2377000.2199999997</v>
      </c>
      <c r="E235" s="106">
        <f>+HLOOKUP(C235,BP!$CG$2:$CS$250,28,0)+HLOOKUP(C235,BP!$CG$2:$CS$250,43,0)+HLOOKUP(C235,BP!$CG$2:$CS$250,44,0)+HLOOKUP(C235,BP!$CG$2:$CS$250,45,0)+HLOOKUP(C235,BP!$CG$2:$CS$250,54,0)+HLOOKUP(C235,BP!$CG$2:$CS$250,59,0)</f>
        <v>2377000.2199999997</v>
      </c>
      <c r="F235" s="106">
        <f>+HLOOKUP(C235,BP!$CG$2:$CS$250,37,0)+HLOOKUP(C235,BP!$CG$2:$CS$250,55,0)</f>
        <v>1544125.5359999998</v>
      </c>
      <c r="G235" s="106">
        <f>+HLOOKUP($C235,BP!$CG$2:$CS$250,76,0)</f>
        <v>0</v>
      </c>
      <c r="H235" s="106">
        <f>+HLOOKUP($C235,BP!$CG$2:$CS$250,77,0)</f>
        <v>0</v>
      </c>
      <c r="I235" s="106">
        <f>+HLOOKUP($C235,BP!$CG$2:$CS$250,78,0)</f>
        <v>0</v>
      </c>
      <c r="J235" s="106">
        <f>+HLOOKUP($C235,BP!$CG$2:$CS$250,79,0)</f>
        <v>0</v>
      </c>
      <c r="K235" s="106">
        <f>+HLOOKUP($C235,BP!$CG$2:$CS$250,80,0)</f>
        <v>0</v>
      </c>
      <c r="L235" s="106">
        <f>+HLOOKUP($C235,BP!$CG$2:$CS$250,81,0)</f>
        <v>0</v>
      </c>
      <c r="M235" s="106">
        <f>+HLOOKUP($C235,BP!$CG$2:$CS$250,82,0)</f>
        <v>0</v>
      </c>
      <c r="N235" s="106">
        <f>+HLOOKUP($C235,BP!$CG$2:$CS$250,83,0)</f>
        <v>0</v>
      </c>
      <c r="O235" s="106">
        <f>+HLOOKUP($C235,BP!$CG$2:$CS$250,84,0)</f>
        <v>0</v>
      </c>
      <c r="P235" s="106">
        <f>+HLOOKUP($C235,BP!$CG$2:$CS$250,85,0)</f>
        <v>0</v>
      </c>
      <c r="Q235" s="106">
        <f>+HLOOKUP($C235,BP!$CG$2:$CS$250,87,0)</f>
        <v>57729.050999999999</v>
      </c>
      <c r="R235" s="106">
        <f>+HLOOKUP($C235,BP!$CG$2:$CS$250,90,0)</f>
        <v>0</v>
      </c>
      <c r="S235" s="106">
        <f>+HLOOKUP($C235,BP!$CG$2:$CS$250,91,0)</f>
        <v>0</v>
      </c>
      <c r="T235" s="106">
        <f>+HLOOKUP($C235,BP!$CG$2:$CS$250,92,0)</f>
        <v>139.28399999999999</v>
      </c>
      <c r="U235" s="106">
        <f>+HLOOKUP($C235,BP!$CG$2:$CS$250,93,0)</f>
        <v>0</v>
      </c>
      <c r="V235" s="106">
        <f>+HLOOKUP($C235,BP!$CG$2:$CS$250,94,0)</f>
        <v>0</v>
      </c>
      <c r="W235" s="106">
        <f>+HLOOKUP($C235,BP!$CG$2:$CS$250,95,0)</f>
        <v>0</v>
      </c>
      <c r="X235" s="106">
        <f>+HLOOKUP($C235,BP!$CG$2:$CS$250,96,0)</f>
        <v>0</v>
      </c>
      <c r="Y235" s="106">
        <f>+HLOOKUP($C235,BP!$CG$2:$CS$250,97,0)</f>
        <v>0</v>
      </c>
      <c r="Z235" s="106">
        <f>+HLOOKUP($C235,BP!$CG$2:$CS$250,98,0)</f>
        <v>0</v>
      </c>
      <c r="AA235" s="106">
        <f>+HLOOKUP($C235,BP!$CG$2:$CS$250,99,0)</f>
        <v>0</v>
      </c>
      <c r="AB235" s="106">
        <f>+HLOOKUP($C235,BP!$CG$2:$CS$250,100,0)</f>
        <v>0</v>
      </c>
      <c r="AC235" s="106">
        <f>+HLOOKUP($C235,BP!$CG$2:$CS$250,101,0)</f>
        <v>0</v>
      </c>
      <c r="AD235" s="106">
        <f>+HLOOKUP($C235,BP!$CG$2:$CS$250,104,0)</f>
        <v>0</v>
      </c>
      <c r="AE235" s="106">
        <f>+HLOOKUP($C235,BP!$CG$2:$CS$250,105,0)</f>
        <v>0</v>
      </c>
      <c r="AF235" s="106">
        <f>+HLOOKUP($C235,BP!$CG$2:$CS$250,106,0)</f>
        <v>0</v>
      </c>
      <c r="AG235" s="106">
        <f>+HLOOKUP($C235,BP!$CG$2:$CS$250,107,0)</f>
        <v>0</v>
      </c>
      <c r="AH235" s="106">
        <f>+HLOOKUP($C235,BP!$CG$2:$CS$250,108,0)</f>
        <v>0</v>
      </c>
      <c r="AI235" s="106">
        <f>+HLOOKUP($C235,BP!$CG$2:$CS$250,109,0)</f>
        <v>0</v>
      </c>
      <c r="AJ235" s="106">
        <f>+HLOOKUP($C235,BP!$CG$2:$CS$250,110,0)</f>
        <v>0</v>
      </c>
      <c r="AK235" s="106">
        <f>+HLOOKUP($C235,BP!$CG$2:$CS$250,111,0)</f>
        <v>0</v>
      </c>
      <c r="AL235" s="106">
        <f>+HLOOKUP($C235,BP!$CG$2:$CS$250,112,0)</f>
        <v>0</v>
      </c>
      <c r="AM235" s="106">
        <f>+HLOOKUP($C235,BP!$CG$2:$CS$250,116,0)</f>
        <v>25863.940000000002</v>
      </c>
      <c r="AN235" s="106">
        <f>+HLOOKUP($C235,BP!$CG$2:$CS$250,117,0)</f>
        <v>3689</v>
      </c>
      <c r="AO235" s="106">
        <f>+HLOOKUP($C235,BP!$CG$2:$CS$250,118,0)</f>
        <v>0</v>
      </c>
      <c r="AP235" s="106">
        <f>+HLOOKUP($C235,BP!$CG$2:$CS$250,119,0)</f>
        <v>9436</v>
      </c>
      <c r="AQ235" s="106">
        <f>+HLOOKUP($C235,BP!$CG$2:$CS$250,120,0)</f>
        <v>3120</v>
      </c>
      <c r="AR235" s="106">
        <f>+HLOOKUP($C235,BP!$CG$2:$CS$250,121,0)</f>
        <v>1730</v>
      </c>
      <c r="AS235" s="106">
        <f>+HLOOKUP($C235,BP!$CG$2:$CS$250,122,0)</f>
        <v>13020.400000000001</v>
      </c>
      <c r="AT235" s="106">
        <f>+HLOOKUP($C235,BP!$CG$2:$CS$250,123,0)</f>
        <v>8981.0400000000009</v>
      </c>
      <c r="AU235" s="106">
        <f>+HLOOKUP($C235,BP!$CG$2:$CS$250,124,0)</f>
        <v>886.64</v>
      </c>
      <c r="AV235" s="106">
        <f>+HLOOKUP($C235,BP!$CG$2:$CS$250,125,0)</f>
        <v>34110</v>
      </c>
      <c r="AW235" s="106">
        <f>+HLOOKUP($C235,BP!$CG$2:$CS$250,126,0)</f>
        <v>3491.8057692307689</v>
      </c>
      <c r="AX235" s="106">
        <f>+HLOOKUP($C235,BP!$CG$2:$CS$250,127,0)</f>
        <v>5711.9233333333341</v>
      </c>
      <c r="AY235" s="106">
        <f>+HLOOKUP($C235,BP!$CG$2:$CS$250,129,0)</f>
        <v>0</v>
      </c>
      <c r="AZ235" s="106">
        <f>+HLOOKUP($C235,BP!$CG$2:$CS$250,130,0)</f>
        <v>0</v>
      </c>
      <c r="BA235" s="106">
        <f>+HLOOKUP($C235,BP!$CG$2:$CS$250,131,0)</f>
        <v>0</v>
      </c>
      <c r="BB235" s="106">
        <f>+HLOOKUP($C235,BP!$CG$2:$CS$250,133,0)</f>
        <v>0</v>
      </c>
      <c r="BC235" s="106">
        <f>+HLOOKUP($C235,BP!$CG$2:$CS$250,134,0)</f>
        <v>457</v>
      </c>
      <c r="BD235" s="106">
        <f>+HLOOKUP($C235,BP!$CG$2:$CS$250,135,0)</f>
        <v>0</v>
      </c>
      <c r="BE235" s="106">
        <f>+HLOOKUP($C235,BP!$CG$2:$CS$250,136,0)</f>
        <v>0</v>
      </c>
      <c r="BF235" s="106">
        <f>+HLOOKUP($C235,BP!$CG$2:$CS$250,138,0)</f>
        <v>1718.4399999999998</v>
      </c>
      <c r="BG235" s="106">
        <f>+HLOOKUP($C235,BP!$CG$2:$CS$250,139,0)</f>
        <v>4062.4</v>
      </c>
      <c r="BH235" s="106">
        <f>+HLOOKUP($C235,BP!$CG$2:$CS$250,140,0)</f>
        <v>5000</v>
      </c>
      <c r="BI235" s="106">
        <f>+HLOOKUP($C235,BP!$CG$2:$CS$250,141,0)</f>
        <v>0</v>
      </c>
      <c r="BJ235" s="106">
        <f>+HLOOKUP($C235,BP!$CG$2:$CS$250,142,0)</f>
        <v>0</v>
      </c>
      <c r="BK235" s="106">
        <f>+HLOOKUP($C235,BP!$CG$2:$CS$250,143,0)</f>
        <v>8503.25</v>
      </c>
      <c r="BL235" s="106">
        <f>+HLOOKUP($C235,BP!$CG$2:$CS$250,144,0)</f>
        <v>0</v>
      </c>
      <c r="BM235" s="106">
        <f>+HLOOKUP($C235,BP!$CG$2:$CS$250,146,0)</f>
        <v>0</v>
      </c>
      <c r="BN235" s="106">
        <f>+HLOOKUP($C235,BP!$CG$2:$CS$250,147,0)</f>
        <v>0</v>
      </c>
      <c r="BO235" s="106">
        <f>+HLOOKUP($C235,BP!$CG$2:$CS$250,148,0)</f>
        <v>0</v>
      </c>
      <c r="BP235" s="106">
        <f>+HLOOKUP($C235,BP!$CG$2:$CS$250,150,0)</f>
        <v>14057.6</v>
      </c>
      <c r="BQ235" s="106">
        <f>+HLOOKUP($C235,BP!$CG$2:$CS$250,151,0)</f>
        <v>945</v>
      </c>
      <c r="BR235" s="106">
        <f>+HLOOKUP($C235,BP!$CG$2:$CS$250,152,0)</f>
        <v>6400</v>
      </c>
      <c r="BS235" s="106">
        <f>+HLOOKUP($C235,BP!$CG$2:$CS$250,153,0)</f>
        <v>340</v>
      </c>
      <c r="BT235" s="106">
        <f>+HLOOKUP($C235,BP!$CG$2:$CS$250,157,0)</f>
        <v>2230</v>
      </c>
      <c r="BU235" s="106">
        <f>+HLOOKUP($C235,BP!$CG$2:$CS$250,158,0)</f>
        <v>0</v>
      </c>
      <c r="BV235" s="106">
        <f>+HLOOKUP($C235,BP!$CG$2:$CS$250,159,0)</f>
        <v>136.20000000000002</v>
      </c>
      <c r="BW235" s="106">
        <f>+HLOOKUP($C235,BP!$CG$2:$CS$250,160,0)</f>
        <v>0</v>
      </c>
      <c r="BX235" s="106">
        <f>+HLOOKUP($C235,BP!$CG$2:$CS$250,161,0)</f>
        <v>4685</v>
      </c>
      <c r="BY235" s="106">
        <f>+HLOOKUP($C235,BP!$CG$2:$CS$250,164,0)</f>
        <v>439.87400000000002</v>
      </c>
      <c r="BZ235" s="106">
        <f>+HLOOKUP($C235,BP!$CG$2:$CS$250,165,0)</f>
        <v>0</v>
      </c>
      <c r="CA235" s="106">
        <f>+HLOOKUP($C235,BP!$CG$2:$CS$250,166,0)</f>
        <v>0</v>
      </c>
      <c r="CB235" s="106">
        <f>+HLOOKUP($C235,BP!$CG$2:$CS$250,167,0)</f>
        <v>0</v>
      </c>
      <c r="CC235" s="106">
        <f>+HLOOKUP($C235,BP!$CG$2:$CS$250,168,0)</f>
        <v>0</v>
      </c>
      <c r="CD235" s="106">
        <f>+HLOOKUP($C235,BP!$CG$2:$CS$250,169,0)</f>
        <v>3177.3485999999998</v>
      </c>
      <c r="CE235" s="106">
        <f>+HLOOKUP($C235,BP!$CG$2:$CS$250,170,0)</f>
        <v>0</v>
      </c>
      <c r="CF235" s="106">
        <f>+HLOOKUP($C235,BP!$CG$2:$CS$250,172,0)</f>
        <v>7200</v>
      </c>
      <c r="CG235" s="106">
        <f>+HLOOKUP($C235,BP!$CG$2:$CS$250,173,0)</f>
        <v>0</v>
      </c>
      <c r="CH235" s="106">
        <f>+HLOOKUP($C235,BP!$CG$2:$CS$250,174,0)</f>
        <v>23692</v>
      </c>
      <c r="CI235" s="106">
        <f>+HLOOKUP($C235,BP!$CG$2:$CS$250,175,0)</f>
        <v>2972</v>
      </c>
      <c r="CJ235" s="106">
        <f>+HLOOKUP($C235,BP!$CG$2:$CS$250,176,0)</f>
        <v>1000.8000000000001</v>
      </c>
      <c r="CK235" s="106">
        <f>+HLOOKUP($C235,BP!$CG$2:$CS$250,178,0)</f>
        <v>20755.72</v>
      </c>
      <c r="CL235" s="106">
        <f>+HLOOKUP($C235,BP!$CG$2:$CS$250,179,0)</f>
        <v>0</v>
      </c>
      <c r="CM235" s="106">
        <f>+HLOOKUP($C235,BP!$CG$2:$CS$250,180,0)</f>
        <v>4200</v>
      </c>
      <c r="CN235" s="106">
        <f>+HLOOKUP($C235,BP!$CG$2:$CS$250,182,0)</f>
        <v>0</v>
      </c>
      <c r="CO235" s="106">
        <f>+HLOOKUP($C235,BP!$CG$2:$CS$250,183,0)</f>
        <v>4968.8</v>
      </c>
      <c r="CP235" s="106">
        <f>+HLOOKUP($C235,BP!$CG$2:$CS$250,184,0)</f>
        <v>0</v>
      </c>
      <c r="CQ235" s="106">
        <f>+HLOOKUP($C235,BP!$CG$2:$CS$250,185,0)</f>
        <v>0</v>
      </c>
      <c r="CR235" s="106">
        <f>+HLOOKUP($C235,BP!$CG$2:$CS$250,187,0)</f>
        <v>1249.9999999999982</v>
      </c>
      <c r="CS235" s="106">
        <f>+HLOOKUP($C235,BP!$CG$2:$CS$250,188,0)</f>
        <v>1590</v>
      </c>
      <c r="CT235" s="106">
        <f>+HLOOKUP($C235,BP!$CG$2:$CS$250,189,0)</f>
        <v>0</v>
      </c>
      <c r="CU235" s="106">
        <f>+HLOOKUP($C235,BP!$CG$2:$CS$250,190,0)</f>
        <v>499.99979999999999</v>
      </c>
      <c r="CV235" s="106">
        <f>+HLOOKUP($C235,BP!$CG$2:$CS$250,191,0)</f>
        <v>0</v>
      </c>
      <c r="CW235" s="106">
        <f>+HLOOKUP($C235,BP!$CG$2:$CS$250,193,0)</f>
        <v>2353.2000000000003</v>
      </c>
      <c r="CX235" s="106">
        <f>+HLOOKUP($C235,BP!$CG$2:$CS$250,194,0)</f>
        <v>15.9</v>
      </c>
      <c r="CY235" s="106">
        <f>+HLOOKUP($C235,BP!$CG$2:$CS$250,195,0)</f>
        <v>550</v>
      </c>
      <c r="CZ235" s="106">
        <f>+HLOOKUP($C235,BP!$CG$2:$CS$250,196,0)</f>
        <v>0</v>
      </c>
      <c r="DA235" s="106">
        <f>+HLOOKUP($C235,BP!$CG$2:$CS$250,197,0)</f>
        <v>1910.5400000000002</v>
      </c>
      <c r="DB235" s="106">
        <f>+HLOOKUP($C235,BP!$CG$2:$CS$250,198,0)</f>
        <v>505.20000000000005</v>
      </c>
      <c r="DC235" s="106">
        <f>+HLOOKUP($C235,BP!$CG$2:$CS$250,199,0)</f>
        <v>200</v>
      </c>
      <c r="DD235" s="106">
        <f>+HLOOKUP($C235,BP!$CG$2:$CS$250,200,0)</f>
        <v>26.6</v>
      </c>
      <c r="DE235" s="106">
        <f>+HLOOKUP($C235,BP!$CG$2:$CS$250,201,0)</f>
        <v>0</v>
      </c>
      <c r="DF235" s="106">
        <f>+HLOOKUP($C235,BP!$CG$2:$CS$250,202,0)</f>
        <v>1.4012</v>
      </c>
      <c r="DG235" s="106">
        <f>+HLOOKUP($C235,BP!$CG$2:$CS$250,203,0)</f>
        <v>0</v>
      </c>
      <c r="DH235" s="106">
        <f>+HLOOKUP($C235,BP!$CG$2:$CS$250,205,0)</f>
        <v>0</v>
      </c>
      <c r="DI235" s="106">
        <f>+HLOOKUP($C235,BP!$CG$2:$CS$250,206,0)</f>
        <v>2436.62</v>
      </c>
      <c r="DJ235" s="106">
        <f>+HLOOKUP($C235,BP!$CG$2:$CS$250,207,0)</f>
        <v>162.76999980000002</v>
      </c>
      <c r="DK235" s="106">
        <f>+HLOOKUP($C235,BP!$CG$2:$CS$250,209,0)</f>
        <v>0</v>
      </c>
      <c r="DL235" s="106">
        <f>+HLOOKUP($C235,BP!$CG$2:$CS$250,210,0)</f>
        <v>44568.600000000006</v>
      </c>
      <c r="DM235" s="106">
        <f>+HLOOKUP($C235,BP!$CG$2:$CS$250,211,0)</f>
        <v>0</v>
      </c>
      <c r="DN235" s="106">
        <f>+HLOOKUP($C235,BP!$CG$2:$CS$250,212,0)</f>
        <v>9600</v>
      </c>
      <c r="DO235" s="106">
        <f>+HLOOKUP($C235,BP!$CG$2:$CS$250,214,0)</f>
        <v>0</v>
      </c>
      <c r="DP235" s="106">
        <f>+HLOOKUP($C235,BP!$CG$2:$CS$250,215,0)</f>
        <v>180</v>
      </c>
      <c r="DQ235" s="106">
        <f>+HLOOKUP($C235,BP!$CG$2:$CS$250,219,0)</f>
        <v>0</v>
      </c>
      <c r="DR235" s="106">
        <f>+HLOOKUP($C235,BP!$CG$2:$CS$250,220,0)</f>
        <v>0</v>
      </c>
      <c r="DS235" s="106">
        <f>+HLOOKUP($C235,BP!$CG$2:$CS$250,221,0)</f>
        <v>0</v>
      </c>
      <c r="DT235" s="106">
        <f>+HLOOKUP($C235,BP!$CG$2:$CS$250,223,0)</f>
        <v>10351.077599999999</v>
      </c>
      <c r="DU235" s="106">
        <f>+HLOOKUP($C235,BP!$CG$2:$CS$250,224,0)</f>
        <v>0</v>
      </c>
      <c r="DV235" s="106">
        <f>+HLOOKUP($C235,BP!$CG$2:$CS$250,225,0)</f>
        <v>0</v>
      </c>
      <c r="DW235" s="106">
        <f>+HLOOKUP($C235,BP!$CG$2:$CS$250,227,0)</f>
        <v>0</v>
      </c>
      <c r="DX235" s="106">
        <f>+HLOOKUP($C235,BP!$CG$2:$CS$250,228,0)</f>
        <v>1494.54</v>
      </c>
      <c r="DY235" s="106">
        <f>+HLOOKUP($C235,BP!$CG$2:$CS$250,236,0)</f>
        <v>0</v>
      </c>
      <c r="DZ235" s="106">
        <f>+HLOOKUP($C235,BP!$CG$2:$CS$250,237,0)</f>
        <v>76793.944499999998</v>
      </c>
      <c r="EA235" s="106">
        <f>+HLOOKUP($C235,BP!$CG$2:$CS$250,238,0)</f>
        <v>0</v>
      </c>
      <c r="EB235" s="106">
        <f>+HLOOKUP($C235,BP!$CG$2:$CS$250,240,0)</f>
        <v>194786.57794642859</v>
      </c>
    </row>
    <row r="236" spans="1:132" hidden="1">
      <c r="A236" t="s">
        <v>271</v>
      </c>
      <c r="B236" t="s">
        <v>218</v>
      </c>
      <c r="C236" s="117">
        <v>45444</v>
      </c>
      <c r="D236" s="106">
        <f t="shared" si="9"/>
        <v>1920889.71</v>
      </c>
      <c r="E236" s="106">
        <f>+HLOOKUP(C236,BP!$CG$2:$CS$250,28,0)+HLOOKUP(C236,BP!$CG$2:$CS$250,43,0)+HLOOKUP(C236,BP!$CG$2:$CS$250,44,0)+HLOOKUP(C236,BP!$CG$2:$CS$250,45,0)+HLOOKUP(C236,BP!$CG$2:$CS$250,54,0)+HLOOKUP(C236,BP!$CG$2:$CS$250,59,0)</f>
        <v>1920889.71</v>
      </c>
      <c r="F236" s="106">
        <f>+HLOOKUP(C236,BP!$CG$2:$CS$250,37,0)+HLOOKUP(C236,BP!$CG$2:$CS$250,55,0)</f>
        <v>1277271.1500000001</v>
      </c>
      <c r="G236" s="106">
        <f>+HLOOKUP($C236,BP!$CG$2:$CS$250,76,0)</f>
        <v>0</v>
      </c>
      <c r="H236" s="106">
        <f>+HLOOKUP($C236,BP!$CG$2:$CS$250,77,0)</f>
        <v>0</v>
      </c>
      <c r="I236" s="106">
        <f>+HLOOKUP($C236,BP!$CG$2:$CS$250,78,0)</f>
        <v>0</v>
      </c>
      <c r="J236" s="106">
        <f>+HLOOKUP($C236,BP!$CG$2:$CS$250,79,0)</f>
        <v>0</v>
      </c>
      <c r="K236" s="106">
        <f>+HLOOKUP($C236,BP!$CG$2:$CS$250,80,0)</f>
        <v>0</v>
      </c>
      <c r="L236" s="106">
        <f>+HLOOKUP($C236,BP!$CG$2:$CS$250,81,0)</f>
        <v>0</v>
      </c>
      <c r="M236" s="106">
        <f>+HLOOKUP($C236,BP!$CG$2:$CS$250,82,0)</f>
        <v>0</v>
      </c>
      <c r="N236" s="106">
        <f>+HLOOKUP($C236,BP!$CG$2:$CS$250,83,0)</f>
        <v>0</v>
      </c>
      <c r="O236" s="106">
        <f>+HLOOKUP($C236,BP!$CG$2:$CS$250,84,0)</f>
        <v>0</v>
      </c>
      <c r="P236" s="106">
        <f>+HLOOKUP($C236,BP!$CG$2:$CS$250,85,0)</f>
        <v>0</v>
      </c>
      <c r="Q236" s="106">
        <f>+HLOOKUP($C236,BP!$CG$2:$CS$250,87,0)</f>
        <v>48747.06</v>
      </c>
      <c r="R236" s="106">
        <f>+HLOOKUP($C236,BP!$CG$2:$CS$250,90,0)</f>
        <v>0</v>
      </c>
      <c r="S236" s="106">
        <f>+HLOOKUP($C236,BP!$CG$2:$CS$250,91,0)</f>
        <v>0</v>
      </c>
      <c r="T236" s="106">
        <f>+HLOOKUP($C236,BP!$CG$2:$CS$250,92,0)</f>
        <v>0</v>
      </c>
      <c r="U236" s="106">
        <f>+HLOOKUP($C236,BP!$CG$2:$CS$250,93,0)</f>
        <v>0</v>
      </c>
      <c r="V236" s="106">
        <f>+HLOOKUP($C236,BP!$CG$2:$CS$250,94,0)</f>
        <v>0</v>
      </c>
      <c r="W236" s="106">
        <f>+HLOOKUP($C236,BP!$CG$2:$CS$250,95,0)</f>
        <v>0</v>
      </c>
      <c r="X236" s="106">
        <f>+HLOOKUP($C236,BP!$CG$2:$CS$250,96,0)</f>
        <v>0</v>
      </c>
      <c r="Y236" s="106">
        <f>+HLOOKUP($C236,BP!$CG$2:$CS$250,97,0)</f>
        <v>0</v>
      </c>
      <c r="Z236" s="106">
        <f>+HLOOKUP($C236,BP!$CG$2:$CS$250,98,0)</f>
        <v>0</v>
      </c>
      <c r="AA236" s="106">
        <f>+HLOOKUP($C236,BP!$CG$2:$CS$250,99,0)</f>
        <v>0</v>
      </c>
      <c r="AB236" s="106">
        <f>+HLOOKUP($C236,BP!$CG$2:$CS$250,100,0)</f>
        <v>0</v>
      </c>
      <c r="AC236" s="106">
        <f>+HLOOKUP($C236,BP!$CG$2:$CS$250,101,0)</f>
        <v>0</v>
      </c>
      <c r="AD236" s="106">
        <f>+HLOOKUP($C236,BP!$CG$2:$CS$250,104,0)</f>
        <v>0</v>
      </c>
      <c r="AE236" s="106">
        <f>+HLOOKUP($C236,BP!$CG$2:$CS$250,105,0)</f>
        <v>0</v>
      </c>
      <c r="AF236" s="106">
        <f>+HLOOKUP($C236,BP!$CG$2:$CS$250,106,0)</f>
        <v>0</v>
      </c>
      <c r="AG236" s="106">
        <f>+HLOOKUP($C236,BP!$CG$2:$CS$250,107,0)</f>
        <v>0</v>
      </c>
      <c r="AH236" s="106">
        <f>+HLOOKUP($C236,BP!$CG$2:$CS$250,108,0)</f>
        <v>0</v>
      </c>
      <c r="AI236" s="106">
        <f>+HLOOKUP($C236,BP!$CG$2:$CS$250,109,0)</f>
        <v>0</v>
      </c>
      <c r="AJ236" s="106">
        <f>+HLOOKUP($C236,BP!$CG$2:$CS$250,110,0)</f>
        <v>0</v>
      </c>
      <c r="AK236" s="106">
        <f>+HLOOKUP($C236,BP!$CG$2:$CS$250,111,0)</f>
        <v>0</v>
      </c>
      <c r="AL236" s="106">
        <f>+HLOOKUP($C236,BP!$CG$2:$CS$250,112,0)</f>
        <v>0</v>
      </c>
      <c r="AM236" s="106">
        <f>+HLOOKUP($C236,BP!$CG$2:$CS$250,116,0)</f>
        <v>25863.940000000002</v>
      </c>
      <c r="AN236" s="106">
        <f>+HLOOKUP($C236,BP!$CG$2:$CS$250,117,0)</f>
        <v>3689</v>
      </c>
      <c r="AO236" s="106">
        <f>+HLOOKUP($C236,BP!$CG$2:$CS$250,118,0)</f>
        <v>0</v>
      </c>
      <c r="AP236" s="106">
        <f>+HLOOKUP($C236,BP!$CG$2:$CS$250,119,0)</f>
        <v>9436</v>
      </c>
      <c r="AQ236" s="106">
        <f>+HLOOKUP($C236,BP!$CG$2:$CS$250,120,0)</f>
        <v>3120</v>
      </c>
      <c r="AR236" s="106">
        <f>+HLOOKUP($C236,BP!$CG$2:$CS$250,121,0)</f>
        <v>1730</v>
      </c>
      <c r="AS236" s="106">
        <f>+HLOOKUP($C236,BP!$CG$2:$CS$250,122,0)</f>
        <v>13020.400000000001</v>
      </c>
      <c r="AT236" s="106">
        <f>+HLOOKUP($C236,BP!$CG$2:$CS$250,123,0)</f>
        <v>8981.0400000000009</v>
      </c>
      <c r="AU236" s="106">
        <f>+HLOOKUP($C236,BP!$CG$2:$CS$250,124,0)</f>
        <v>886.64</v>
      </c>
      <c r="AV236" s="106">
        <f>+HLOOKUP($C236,BP!$CG$2:$CS$250,125,0)</f>
        <v>34110</v>
      </c>
      <c r="AW236" s="106">
        <f>+HLOOKUP($C236,BP!$CG$2:$CS$250,126,0)</f>
        <v>3491.8057692307689</v>
      </c>
      <c r="AX236" s="106">
        <f>+HLOOKUP($C236,BP!$CG$2:$CS$250,127,0)</f>
        <v>5711.9233333333341</v>
      </c>
      <c r="AY236" s="106">
        <f>+HLOOKUP($C236,BP!$CG$2:$CS$250,129,0)</f>
        <v>0</v>
      </c>
      <c r="AZ236" s="106">
        <f>+HLOOKUP($C236,BP!$CG$2:$CS$250,130,0)</f>
        <v>0</v>
      </c>
      <c r="BA236" s="106">
        <f>+HLOOKUP($C236,BP!$CG$2:$CS$250,131,0)</f>
        <v>0</v>
      </c>
      <c r="BB236" s="106">
        <f>+HLOOKUP($C236,BP!$CG$2:$CS$250,133,0)</f>
        <v>0</v>
      </c>
      <c r="BC236" s="106">
        <f>+HLOOKUP($C236,BP!$CG$2:$CS$250,134,0)</f>
        <v>420</v>
      </c>
      <c r="BD236" s="106">
        <f>+HLOOKUP($C236,BP!$CG$2:$CS$250,135,0)</f>
        <v>0</v>
      </c>
      <c r="BE236" s="106">
        <f>+HLOOKUP($C236,BP!$CG$2:$CS$250,136,0)</f>
        <v>0</v>
      </c>
      <c r="BF236" s="106">
        <f>+HLOOKUP($C236,BP!$CG$2:$CS$250,138,0)</f>
        <v>1702.4399999999998</v>
      </c>
      <c r="BG236" s="106">
        <f>+HLOOKUP($C236,BP!$CG$2:$CS$250,139,0)</f>
        <v>4673.0219999999999</v>
      </c>
      <c r="BH236" s="106">
        <f>+HLOOKUP($C236,BP!$CG$2:$CS$250,140,0)</f>
        <v>4600</v>
      </c>
      <c r="BI236" s="106">
        <f>+HLOOKUP($C236,BP!$CG$2:$CS$250,141,0)</f>
        <v>560</v>
      </c>
      <c r="BJ236" s="106">
        <f>+HLOOKUP($C236,BP!$CG$2:$CS$250,142,0)</f>
        <v>0</v>
      </c>
      <c r="BK236" s="106">
        <f>+HLOOKUP($C236,BP!$CG$2:$CS$250,143,0)</f>
        <v>8503.25</v>
      </c>
      <c r="BL236" s="106">
        <f>+HLOOKUP($C236,BP!$CG$2:$CS$250,144,0)</f>
        <v>0</v>
      </c>
      <c r="BM236" s="106">
        <f>+HLOOKUP($C236,BP!$CG$2:$CS$250,146,0)</f>
        <v>0</v>
      </c>
      <c r="BN236" s="106">
        <f>+HLOOKUP($C236,BP!$CG$2:$CS$250,147,0)</f>
        <v>0</v>
      </c>
      <c r="BO236" s="106">
        <f>+HLOOKUP($C236,BP!$CG$2:$CS$250,148,0)</f>
        <v>0</v>
      </c>
      <c r="BP236" s="106">
        <f>+HLOOKUP($C236,BP!$CG$2:$CS$250,150,0)</f>
        <v>12131.800000000001</v>
      </c>
      <c r="BQ236" s="106">
        <f>+HLOOKUP($C236,BP!$CG$2:$CS$250,151,0)</f>
        <v>945</v>
      </c>
      <c r="BR236" s="106">
        <f>+HLOOKUP($C236,BP!$CG$2:$CS$250,152,0)</f>
        <v>6400</v>
      </c>
      <c r="BS236" s="106">
        <f>+HLOOKUP($C236,BP!$CG$2:$CS$250,153,0)</f>
        <v>320</v>
      </c>
      <c r="BT236" s="106">
        <f>+HLOOKUP($C236,BP!$CG$2:$CS$250,157,0)</f>
        <v>0</v>
      </c>
      <c r="BU236" s="106">
        <f>+HLOOKUP($C236,BP!$CG$2:$CS$250,158,0)</f>
        <v>0</v>
      </c>
      <c r="BV236" s="106">
        <f>+HLOOKUP($C236,BP!$CG$2:$CS$250,159,0)</f>
        <v>136.20000000000002</v>
      </c>
      <c r="BW236" s="106">
        <f>+HLOOKUP($C236,BP!$CG$2:$CS$250,160,0)</f>
        <v>81403</v>
      </c>
      <c r="BX236" s="106">
        <f>+HLOOKUP($C236,BP!$CG$2:$CS$250,161,0)</f>
        <v>3075</v>
      </c>
      <c r="BY236" s="106">
        <f>+HLOOKUP($C236,BP!$CG$2:$CS$250,164,0)</f>
        <v>1531.5360000000001</v>
      </c>
      <c r="BZ236" s="106">
        <f>+HLOOKUP($C236,BP!$CG$2:$CS$250,165,0)</f>
        <v>0</v>
      </c>
      <c r="CA236" s="106">
        <f>+HLOOKUP($C236,BP!$CG$2:$CS$250,166,0)</f>
        <v>0</v>
      </c>
      <c r="CB236" s="106">
        <f>+HLOOKUP($C236,BP!$CG$2:$CS$250,167,0)</f>
        <v>0</v>
      </c>
      <c r="CC236" s="106">
        <f>+HLOOKUP($C236,BP!$CG$2:$CS$250,168,0)</f>
        <v>0</v>
      </c>
      <c r="CD236" s="106">
        <f>+HLOOKUP($C236,BP!$CG$2:$CS$250,169,0)</f>
        <v>0</v>
      </c>
      <c r="CE236" s="106">
        <f>+HLOOKUP($C236,BP!$CG$2:$CS$250,170,0)</f>
        <v>0</v>
      </c>
      <c r="CF236" s="106">
        <f>+HLOOKUP($C236,BP!$CG$2:$CS$250,172,0)</f>
        <v>7200</v>
      </c>
      <c r="CG236" s="106">
        <f>+HLOOKUP($C236,BP!$CG$2:$CS$250,173,0)</f>
        <v>0</v>
      </c>
      <c r="CH236" s="106">
        <f>+HLOOKUP($C236,BP!$CG$2:$CS$250,174,0)</f>
        <v>23692</v>
      </c>
      <c r="CI236" s="106">
        <f>+HLOOKUP($C236,BP!$CG$2:$CS$250,175,0)</f>
        <v>2972</v>
      </c>
      <c r="CJ236" s="106">
        <f>+HLOOKUP($C236,BP!$CG$2:$CS$250,176,0)</f>
        <v>1000.8000000000001</v>
      </c>
      <c r="CK236" s="106">
        <f>+HLOOKUP($C236,BP!$CG$2:$CS$250,178,0)</f>
        <v>22752.800000000003</v>
      </c>
      <c r="CL236" s="106">
        <f>+HLOOKUP($C236,BP!$CG$2:$CS$250,179,0)</f>
        <v>0</v>
      </c>
      <c r="CM236" s="106">
        <f>+HLOOKUP($C236,BP!$CG$2:$CS$250,180,0)</f>
        <v>0</v>
      </c>
      <c r="CN236" s="106">
        <f>+HLOOKUP($C236,BP!$CG$2:$CS$250,182,0)</f>
        <v>0</v>
      </c>
      <c r="CO236" s="106">
        <f>+HLOOKUP($C236,BP!$CG$2:$CS$250,183,0)</f>
        <v>1490.2</v>
      </c>
      <c r="CP236" s="106">
        <f>+HLOOKUP($C236,BP!$CG$2:$CS$250,184,0)</f>
        <v>0</v>
      </c>
      <c r="CQ236" s="106">
        <f>+HLOOKUP($C236,BP!$CG$2:$CS$250,185,0)</f>
        <v>0</v>
      </c>
      <c r="CR236" s="106">
        <f>+HLOOKUP($C236,BP!$CG$2:$CS$250,187,0)</f>
        <v>1249.9999999999982</v>
      </c>
      <c r="CS236" s="106">
        <f>+HLOOKUP($C236,BP!$CG$2:$CS$250,188,0)</f>
        <v>1590</v>
      </c>
      <c r="CT236" s="106">
        <f>+HLOOKUP($C236,BP!$CG$2:$CS$250,189,0)</f>
        <v>0</v>
      </c>
      <c r="CU236" s="106">
        <f>+HLOOKUP($C236,BP!$CG$2:$CS$250,190,0)</f>
        <v>499.99979999999999</v>
      </c>
      <c r="CV236" s="106">
        <f>+HLOOKUP($C236,BP!$CG$2:$CS$250,191,0)</f>
        <v>0</v>
      </c>
      <c r="CW236" s="106">
        <f>+HLOOKUP($C236,BP!$CG$2:$CS$250,193,0)</f>
        <v>2353.2000000000003</v>
      </c>
      <c r="CX236" s="106">
        <f>+HLOOKUP($C236,BP!$CG$2:$CS$250,194,0)</f>
        <v>15.9</v>
      </c>
      <c r="CY236" s="106">
        <f>+HLOOKUP($C236,BP!$CG$2:$CS$250,195,0)</f>
        <v>550</v>
      </c>
      <c r="CZ236" s="106">
        <f>+HLOOKUP($C236,BP!$CG$2:$CS$250,196,0)</f>
        <v>0</v>
      </c>
      <c r="DA236" s="106">
        <f>+HLOOKUP($C236,BP!$CG$2:$CS$250,197,0)</f>
        <v>1301.43</v>
      </c>
      <c r="DB236" s="106">
        <f>+HLOOKUP($C236,BP!$CG$2:$CS$250,198,0)</f>
        <v>443.20000000000005</v>
      </c>
      <c r="DC236" s="106">
        <f>+HLOOKUP($C236,BP!$CG$2:$CS$250,199,0)</f>
        <v>712.86400000000003</v>
      </c>
      <c r="DD236" s="106">
        <f>+HLOOKUP($C236,BP!$CG$2:$CS$250,200,0)</f>
        <v>0</v>
      </c>
      <c r="DE236" s="106">
        <f>+HLOOKUP($C236,BP!$CG$2:$CS$250,201,0)</f>
        <v>0</v>
      </c>
      <c r="DF236" s="106">
        <f>+HLOOKUP($C236,BP!$CG$2:$CS$250,202,0)</f>
        <v>3.0056000000000003</v>
      </c>
      <c r="DG236" s="106">
        <f>+HLOOKUP($C236,BP!$CG$2:$CS$250,203,0)</f>
        <v>11.026200000000001</v>
      </c>
      <c r="DH236" s="106">
        <f>+HLOOKUP($C236,BP!$CG$2:$CS$250,205,0)</f>
        <v>0</v>
      </c>
      <c r="DI236" s="106">
        <f>+HLOOKUP($C236,BP!$CG$2:$CS$250,206,0)</f>
        <v>2436.62</v>
      </c>
      <c r="DJ236" s="106">
        <f>+HLOOKUP($C236,BP!$CG$2:$CS$250,207,0)</f>
        <v>162.80099999999985</v>
      </c>
      <c r="DK236" s="106">
        <f>+HLOOKUP($C236,BP!$CG$2:$CS$250,209,0)</f>
        <v>0</v>
      </c>
      <c r="DL236" s="106">
        <f>+HLOOKUP($C236,BP!$CG$2:$CS$250,210,0)</f>
        <v>44568.600000000006</v>
      </c>
      <c r="DM236" s="106">
        <f>+HLOOKUP($C236,BP!$CG$2:$CS$250,211,0)</f>
        <v>0</v>
      </c>
      <c r="DN236" s="106">
        <f>+HLOOKUP($C236,BP!$CG$2:$CS$250,212,0)</f>
        <v>0</v>
      </c>
      <c r="DO236" s="106">
        <f>+HLOOKUP($C236,BP!$CG$2:$CS$250,214,0)</f>
        <v>0</v>
      </c>
      <c r="DP236" s="106">
        <f>+HLOOKUP($C236,BP!$CG$2:$CS$250,215,0)</f>
        <v>480</v>
      </c>
      <c r="DQ236" s="106">
        <f>+HLOOKUP($C236,BP!$CG$2:$CS$250,219,0)</f>
        <v>0</v>
      </c>
      <c r="DR236" s="106">
        <f>+HLOOKUP($C236,BP!$CG$2:$CS$250,220,0)</f>
        <v>0</v>
      </c>
      <c r="DS236" s="106">
        <f>+HLOOKUP($C236,BP!$CG$2:$CS$250,221,0)</f>
        <v>0</v>
      </c>
      <c r="DT236" s="106">
        <f>+HLOOKUP($C236,BP!$CG$2:$CS$250,223,0)</f>
        <v>5783.6598000000004</v>
      </c>
      <c r="DU236" s="106">
        <f>+HLOOKUP($C236,BP!$CG$2:$CS$250,224,0)</f>
        <v>0</v>
      </c>
      <c r="DV236" s="106">
        <f>+HLOOKUP($C236,BP!$CG$2:$CS$250,225,0)</f>
        <v>0</v>
      </c>
      <c r="DW236" s="106">
        <f>+HLOOKUP($C236,BP!$CG$2:$CS$250,227,0)</f>
        <v>0</v>
      </c>
      <c r="DX236" s="106">
        <f>+HLOOKUP($C236,BP!$CG$2:$CS$250,228,0)</f>
        <v>1717.98</v>
      </c>
      <c r="DY236" s="106">
        <f>+HLOOKUP($C236,BP!$CG$2:$CS$250,236,0)</f>
        <v>0</v>
      </c>
      <c r="DZ236" s="106">
        <f>+HLOOKUP($C236,BP!$CG$2:$CS$250,237,0)</f>
        <v>70412.944140000007</v>
      </c>
      <c r="EA236" s="106">
        <f>+HLOOKUP($C236,BP!$CG$2:$CS$250,238,0)</f>
        <v>0</v>
      </c>
      <c r="EB236" s="106">
        <f>+HLOOKUP($C236,BP!$CG$2:$CS$250,240,0)</f>
        <v>194786.57794642859</v>
      </c>
    </row>
    <row r="237" spans="1:132" hidden="1">
      <c r="A237" t="s">
        <v>271</v>
      </c>
      <c r="B237" t="s">
        <v>218</v>
      </c>
      <c r="C237" s="117">
        <v>45413</v>
      </c>
      <c r="D237" s="106">
        <f t="shared" si="9"/>
        <v>4648360.5999999996</v>
      </c>
      <c r="E237" s="106">
        <f>+HLOOKUP(C237,BP!$CG$2:$CS$250,28,0)+HLOOKUP(C237,BP!$CG$2:$CS$250,43,0)+HLOOKUP(C237,BP!$CG$2:$CS$250,44,0)+HLOOKUP(C237,BP!$CG$2:$CS$250,45,0)+HLOOKUP(C237,BP!$CG$2:$CS$250,54,0)+HLOOKUP(C237,BP!$CG$2:$CS$250,59,0)</f>
        <v>4648360.5999999996</v>
      </c>
      <c r="F237" s="106">
        <f>+HLOOKUP(C237,BP!$CG$2:$CS$250,37,0)+HLOOKUP(C237,BP!$CG$2:$CS$250,55,0)</f>
        <v>2994941.5840000003</v>
      </c>
      <c r="G237" s="106">
        <f>+HLOOKUP($C237,BP!$CG$2:$CS$250,76,0)</f>
        <v>0</v>
      </c>
      <c r="H237" s="106">
        <f>+HLOOKUP($C237,BP!$CG$2:$CS$250,77,0)</f>
        <v>0</v>
      </c>
      <c r="I237" s="106">
        <f>+HLOOKUP($C237,BP!$CG$2:$CS$250,78,0)</f>
        <v>0</v>
      </c>
      <c r="J237" s="106">
        <f>+HLOOKUP($C237,BP!$CG$2:$CS$250,79,0)</f>
        <v>0</v>
      </c>
      <c r="K237" s="106">
        <f>+HLOOKUP($C237,BP!$CG$2:$CS$250,80,0)</f>
        <v>0</v>
      </c>
      <c r="L237" s="106">
        <f>+HLOOKUP($C237,BP!$CG$2:$CS$250,81,0)</f>
        <v>0</v>
      </c>
      <c r="M237" s="106">
        <f>+HLOOKUP($C237,BP!$CG$2:$CS$250,82,0)</f>
        <v>0</v>
      </c>
      <c r="N237" s="106">
        <f>+HLOOKUP($C237,BP!$CG$2:$CS$250,83,0)</f>
        <v>0</v>
      </c>
      <c r="O237" s="106">
        <f>+HLOOKUP($C237,BP!$CG$2:$CS$250,84,0)</f>
        <v>0</v>
      </c>
      <c r="P237" s="106">
        <f>+HLOOKUP($C237,BP!$CG$2:$CS$250,85,0)</f>
        <v>0</v>
      </c>
      <c r="Q237" s="106">
        <f>+HLOOKUP($C237,BP!$CG$2:$CS$250,87,0)</f>
        <v>99511.458000000028</v>
      </c>
      <c r="R237" s="106">
        <f>+HLOOKUP($C237,BP!$CG$2:$CS$250,90,0)</f>
        <v>0</v>
      </c>
      <c r="S237" s="106">
        <f>+HLOOKUP($C237,BP!$CG$2:$CS$250,91,0)</f>
        <v>0</v>
      </c>
      <c r="T237" s="106">
        <f>+HLOOKUP($C237,BP!$CG$2:$CS$250,92,0)</f>
        <v>0</v>
      </c>
      <c r="U237" s="106">
        <f>+HLOOKUP($C237,BP!$CG$2:$CS$250,93,0)</f>
        <v>0</v>
      </c>
      <c r="V237" s="106">
        <f>+HLOOKUP($C237,BP!$CG$2:$CS$250,94,0)</f>
        <v>0</v>
      </c>
      <c r="W237" s="106">
        <f>+HLOOKUP($C237,BP!$CG$2:$CS$250,95,0)</f>
        <v>0</v>
      </c>
      <c r="X237" s="106">
        <f>+HLOOKUP($C237,BP!$CG$2:$CS$250,96,0)</f>
        <v>0</v>
      </c>
      <c r="Y237" s="106">
        <f>+HLOOKUP($C237,BP!$CG$2:$CS$250,97,0)</f>
        <v>0</v>
      </c>
      <c r="Z237" s="106">
        <f>+HLOOKUP($C237,BP!$CG$2:$CS$250,98,0)</f>
        <v>0</v>
      </c>
      <c r="AA237" s="106">
        <f>+HLOOKUP($C237,BP!$CG$2:$CS$250,99,0)</f>
        <v>0</v>
      </c>
      <c r="AB237" s="106">
        <f>+HLOOKUP($C237,BP!$CG$2:$CS$250,100,0)</f>
        <v>0</v>
      </c>
      <c r="AC237" s="106">
        <f>+HLOOKUP($C237,BP!$CG$2:$CS$250,101,0)</f>
        <v>0</v>
      </c>
      <c r="AD237" s="106">
        <f>+HLOOKUP($C237,BP!$CG$2:$CS$250,104,0)</f>
        <v>0</v>
      </c>
      <c r="AE237" s="106">
        <f>+HLOOKUP($C237,BP!$CG$2:$CS$250,105,0)</f>
        <v>0</v>
      </c>
      <c r="AF237" s="106">
        <f>+HLOOKUP($C237,BP!$CG$2:$CS$250,106,0)</f>
        <v>0</v>
      </c>
      <c r="AG237" s="106">
        <f>+HLOOKUP($C237,BP!$CG$2:$CS$250,107,0)</f>
        <v>15225.6</v>
      </c>
      <c r="AH237" s="106">
        <f>+HLOOKUP($C237,BP!$CG$2:$CS$250,108,0)</f>
        <v>0</v>
      </c>
      <c r="AI237" s="106">
        <f>+HLOOKUP($C237,BP!$CG$2:$CS$250,109,0)</f>
        <v>0</v>
      </c>
      <c r="AJ237" s="106">
        <f>+HLOOKUP($C237,BP!$CG$2:$CS$250,110,0)</f>
        <v>0</v>
      </c>
      <c r="AK237" s="106">
        <f>+HLOOKUP($C237,BP!$CG$2:$CS$250,111,0)</f>
        <v>0</v>
      </c>
      <c r="AL237" s="106">
        <f>+HLOOKUP($C237,BP!$CG$2:$CS$250,112,0)</f>
        <v>0</v>
      </c>
      <c r="AM237" s="106">
        <f>+HLOOKUP($C237,BP!$CG$2:$CS$250,116,0)</f>
        <v>21863.940000000002</v>
      </c>
      <c r="AN237" s="106">
        <f>+HLOOKUP($C237,BP!$CG$2:$CS$250,117,0)</f>
        <v>3689</v>
      </c>
      <c r="AO237" s="106">
        <f>+HLOOKUP($C237,BP!$CG$2:$CS$250,118,0)</f>
        <v>0</v>
      </c>
      <c r="AP237" s="106">
        <f>+HLOOKUP($C237,BP!$CG$2:$CS$250,119,0)</f>
        <v>9436</v>
      </c>
      <c r="AQ237" s="106">
        <f>+HLOOKUP($C237,BP!$CG$2:$CS$250,120,0)</f>
        <v>3120</v>
      </c>
      <c r="AR237" s="106">
        <f>+HLOOKUP($C237,BP!$CG$2:$CS$250,121,0)</f>
        <v>1730</v>
      </c>
      <c r="AS237" s="106">
        <f>+HLOOKUP($C237,BP!$CG$2:$CS$250,122,0)</f>
        <v>13400.400000000001</v>
      </c>
      <c r="AT237" s="106">
        <f>+HLOOKUP($C237,BP!$CG$2:$CS$250,123,0)</f>
        <v>8981.0400000000009</v>
      </c>
      <c r="AU237" s="106">
        <f>+HLOOKUP($C237,BP!$CG$2:$CS$250,124,0)</f>
        <v>886.64</v>
      </c>
      <c r="AV237" s="106">
        <f>+HLOOKUP($C237,BP!$CG$2:$CS$250,125,0)</f>
        <v>14910</v>
      </c>
      <c r="AW237" s="106">
        <f>+HLOOKUP($C237,BP!$CG$2:$CS$250,126,0)</f>
        <v>3491.8057692307689</v>
      </c>
      <c r="AX237" s="106">
        <f>+HLOOKUP($C237,BP!$CG$2:$CS$250,127,0)</f>
        <v>5711.9233333333341</v>
      </c>
      <c r="AY237" s="106">
        <f>+HLOOKUP($C237,BP!$CG$2:$CS$250,129,0)</f>
        <v>2842.08</v>
      </c>
      <c r="AZ237" s="106">
        <f>+HLOOKUP($C237,BP!$CG$2:$CS$250,130,0)</f>
        <v>0</v>
      </c>
      <c r="BA237" s="106">
        <f>+HLOOKUP($C237,BP!$CG$2:$CS$250,131,0)</f>
        <v>0</v>
      </c>
      <c r="BB237" s="106">
        <f>+HLOOKUP($C237,BP!$CG$2:$CS$250,133,0)</f>
        <v>0</v>
      </c>
      <c r="BC237" s="106">
        <f>+HLOOKUP($C237,BP!$CG$2:$CS$250,134,0)</f>
        <v>4934.5896000000002</v>
      </c>
      <c r="BD237" s="106">
        <f>+HLOOKUP($C237,BP!$CG$2:$CS$250,135,0)</f>
        <v>0</v>
      </c>
      <c r="BE237" s="106">
        <f>+HLOOKUP($C237,BP!$CG$2:$CS$250,136,0)</f>
        <v>0</v>
      </c>
      <c r="BF237" s="106">
        <f>+HLOOKUP($C237,BP!$CG$2:$CS$250,138,0)</f>
        <v>1702.4399999999998</v>
      </c>
      <c r="BG237" s="106">
        <f>+HLOOKUP($C237,BP!$CG$2:$CS$250,139,0)</f>
        <v>3834.82</v>
      </c>
      <c r="BH237" s="106">
        <f>+HLOOKUP($C237,BP!$CG$2:$CS$250,140,0)</f>
        <v>4600</v>
      </c>
      <c r="BI237" s="106">
        <f>+HLOOKUP($C237,BP!$CG$2:$CS$250,141,0)</f>
        <v>1565.4</v>
      </c>
      <c r="BJ237" s="106">
        <f>+HLOOKUP($C237,BP!$CG$2:$CS$250,142,0)</f>
        <v>0</v>
      </c>
      <c r="BK237" s="106">
        <f>+HLOOKUP($C237,BP!$CG$2:$CS$250,143,0)</f>
        <v>8503.25</v>
      </c>
      <c r="BL237" s="106">
        <f>+HLOOKUP($C237,BP!$CG$2:$CS$250,144,0)</f>
        <v>2257.98</v>
      </c>
      <c r="BM237" s="106">
        <f>+HLOOKUP($C237,BP!$CG$2:$CS$250,146,0)</f>
        <v>0</v>
      </c>
      <c r="BN237" s="106">
        <f>+HLOOKUP($C237,BP!$CG$2:$CS$250,147,0)</f>
        <v>0</v>
      </c>
      <c r="BO237" s="106">
        <f>+HLOOKUP($C237,BP!$CG$2:$CS$250,148,0)</f>
        <v>0</v>
      </c>
      <c r="BP237" s="106">
        <f>+HLOOKUP($C237,BP!$CG$2:$CS$250,150,0)</f>
        <v>12131.800000000001</v>
      </c>
      <c r="BQ237" s="106">
        <f>+HLOOKUP($C237,BP!$CG$2:$CS$250,151,0)</f>
        <v>945</v>
      </c>
      <c r="BR237" s="106">
        <f>+HLOOKUP($C237,BP!$CG$2:$CS$250,152,0)</f>
        <v>6400</v>
      </c>
      <c r="BS237" s="106">
        <f>+HLOOKUP($C237,BP!$CG$2:$CS$250,153,0)</f>
        <v>320</v>
      </c>
      <c r="BT237" s="106">
        <f>+HLOOKUP($C237,BP!$CG$2:$CS$250,157,0)</f>
        <v>0</v>
      </c>
      <c r="BU237" s="106">
        <f>+HLOOKUP($C237,BP!$CG$2:$CS$250,158,0)</f>
        <v>86.44080000000001</v>
      </c>
      <c r="BV237" s="106">
        <f>+HLOOKUP($C237,BP!$CG$2:$CS$250,159,0)</f>
        <v>136.20000000000002</v>
      </c>
      <c r="BW237" s="106">
        <f>+HLOOKUP($C237,BP!$CG$2:$CS$250,160,0)</f>
        <v>0</v>
      </c>
      <c r="BX237" s="106">
        <f>+HLOOKUP($C237,BP!$CG$2:$CS$250,161,0)</f>
        <v>3185</v>
      </c>
      <c r="BY237" s="106">
        <f>+HLOOKUP($C237,BP!$CG$2:$CS$250,164,0)</f>
        <v>630</v>
      </c>
      <c r="BZ237" s="106">
        <f>+HLOOKUP($C237,BP!$CG$2:$CS$250,165,0)</f>
        <v>0</v>
      </c>
      <c r="CA237" s="106">
        <f>+HLOOKUP($C237,BP!$CG$2:$CS$250,166,0)</f>
        <v>0</v>
      </c>
      <c r="CB237" s="106">
        <f>+HLOOKUP($C237,BP!$CG$2:$CS$250,167,0)</f>
        <v>0</v>
      </c>
      <c r="CC237" s="106">
        <f>+HLOOKUP($C237,BP!$CG$2:$CS$250,168,0)</f>
        <v>0</v>
      </c>
      <c r="CD237" s="106">
        <f>+HLOOKUP($C237,BP!$CG$2:$CS$250,169,0)</f>
        <v>213.86520000000002</v>
      </c>
      <c r="CE237" s="106">
        <f>+HLOOKUP($C237,BP!$CG$2:$CS$250,170,0)</f>
        <v>0</v>
      </c>
      <c r="CF237" s="106">
        <f>+HLOOKUP($C237,BP!$CG$2:$CS$250,172,0)</f>
        <v>7200</v>
      </c>
      <c r="CG237" s="106">
        <f>+HLOOKUP($C237,BP!$CG$2:$CS$250,173,0)</f>
        <v>0</v>
      </c>
      <c r="CH237" s="106">
        <f>+HLOOKUP($C237,BP!$CG$2:$CS$250,174,0)</f>
        <v>23692</v>
      </c>
      <c r="CI237" s="106">
        <f>+HLOOKUP($C237,BP!$CG$2:$CS$250,175,0)</f>
        <v>2972</v>
      </c>
      <c r="CJ237" s="106">
        <f>+HLOOKUP($C237,BP!$CG$2:$CS$250,176,0)</f>
        <v>1000.8000000000001</v>
      </c>
      <c r="CK237" s="106">
        <f>+HLOOKUP($C237,BP!$CG$2:$CS$250,178,0)</f>
        <v>15648.400000000001</v>
      </c>
      <c r="CL237" s="106">
        <f>+HLOOKUP($C237,BP!$CG$2:$CS$250,179,0)</f>
        <v>0</v>
      </c>
      <c r="CM237" s="106">
        <f>+HLOOKUP($C237,BP!$CG$2:$CS$250,180,0)</f>
        <v>3360</v>
      </c>
      <c r="CN237" s="106">
        <f>+HLOOKUP($C237,BP!$CG$2:$CS$250,182,0)</f>
        <v>245.70000000000002</v>
      </c>
      <c r="CO237" s="106">
        <f>+HLOOKUP($C237,BP!$CG$2:$CS$250,183,0)</f>
        <v>1809.8000000000002</v>
      </c>
      <c r="CP237" s="106">
        <f>+HLOOKUP($C237,BP!$CG$2:$CS$250,184,0)</f>
        <v>0</v>
      </c>
      <c r="CQ237" s="106">
        <f>+HLOOKUP($C237,BP!$CG$2:$CS$250,185,0)</f>
        <v>0</v>
      </c>
      <c r="CR237" s="106">
        <f>+HLOOKUP($C237,BP!$CG$2:$CS$250,187,0)</f>
        <v>1249.9999999999982</v>
      </c>
      <c r="CS237" s="106">
        <f>+HLOOKUP($C237,BP!$CG$2:$CS$250,188,0)</f>
        <v>1590</v>
      </c>
      <c r="CT237" s="106">
        <f>+HLOOKUP($C237,BP!$CG$2:$CS$250,189,0)</f>
        <v>0</v>
      </c>
      <c r="CU237" s="106">
        <f>+HLOOKUP($C237,BP!$CG$2:$CS$250,190,0)</f>
        <v>499.99979999999999</v>
      </c>
      <c r="CV237" s="106">
        <f>+HLOOKUP($C237,BP!$CG$2:$CS$250,191,0)</f>
        <v>0</v>
      </c>
      <c r="CW237" s="106">
        <f>+HLOOKUP($C237,BP!$CG$2:$CS$250,193,0)</f>
        <v>2353.2000000000003</v>
      </c>
      <c r="CX237" s="106">
        <f>+HLOOKUP($C237,BP!$CG$2:$CS$250,194,0)</f>
        <v>77.900000000000006</v>
      </c>
      <c r="CY237" s="106">
        <f>+HLOOKUP($C237,BP!$CG$2:$CS$250,195,0)</f>
        <v>550</v>
      </c>
      <c r="CZ237" s="106">
        <f>+HLOOKUP($C237,BP!$CG$2:$CS$250,196,0)</f>
        <v>0</v>
      </c>
      <c r="DA237" s="106">
        <f>+HLOOKUP($C237,BP!$CG$2:$CS$250,197,0)</f>
        <v>1917.83</v>
      </c>
      <c r="DB237" s="106">
        <f>+HLOOKUP($C237,BP!$CG$2:$CS$250,198,0)</f>
        <v>1295.5940000000001</v>
      </c>
      <c r="DC237" s="106">
        <f>+HLOOKUP($C237,BP!$CG$2:$CS$250,199,0)</f>
        <v>604.54</v>
      </c>
      <c r="DD237" s="106">
        <f>+HLOOKUP($C237,BP!$CG$2:$CS$250,200,0)</f>
        <v>18</v>
      </c>
      <c r="DE237" s="106">
        <f>+HLOOKUP($C237,BP!$CG$2:$CS$250,201,0)</f>
        <v>0</v>
      </c>
      <c r="DF237" s="106">
        <f>+HLOOKUP($C237,BP!$CG$2:$CS$250,202,0)</f>
        <v>1.7083999999999999</v>
      </c>
      <c r="DG237" s="106">
        <f>+HLOOKUP($C237,BP!$CG$2:$CS$250,203,0)</f>
        <v>1.3992</v>
      </c>
      <c r="DH237" s="106">
        <f>+HLOOKUP($C237,BP!$CG$2:$CS$250,205,0)</f>
        <v>0</v>
      </c>
      <c r="DI237" s="106">
        <f>+HLOOKUP($C237,BP!$CG$2:$CS$250,206,0)</f>
        <v>2436.62</v>
      </c>
      <c r="DJ237" s="106">
        <f>+HLOOKUP($C237,BP!$CG$2:$CS$250,207,0)</f>
        <v>162.79500000000007</v>
      </c>
      <c r="DK237" s="106">
        <f>+HLOOKUP($C237,BP!$CG$2:$CS$250,209,0)</f>
        <v>0</v>
      </c>
      <c r="DL237" s="106">
        <f>+HLOOKUP($C237,BP!$CG$2:$CS$250,210,0)</f>
        <v>44568.600000000006</v>
      </c>
      <c r="DM237" s="106">
        <f>+HLOOKUP($C237,BP!$CG$2:$CS$250,211,0)</f>
        <v>0</v>
      </c>
      <c r="DN237" s="106">
        <f>+HLOOKUP($C237,BP!$CG$2:$CS$250,212,0)</f>
        <v>0</v>
      </c>
      <c r="DO237" s="106">
        <f>+HLOOKUP($C237,BP!$CG$2:$CS$250,214,0)</f>
        <v>0</v>
      </c>
      <c r="DP237" s="106">
        <f>+HLOOKUP($C237,BP!$CG$2:$CS$250,215,0)</f>
        <v>280</v>
      </c>
      <c r="DQ237" s="106">
        <f>+HLOOKUP($C237,BP!$CG$2:$CS$250,219,0)</f>
        <v>0</v>
      </c>
      <c r="DR237" s="106">
        <f>+HLOOKUP($C237,BP!$CG$2:$CS$250,220,0)</f>
        <v>0</v>
      </c>
      <c r="DS237" s="106">
        <f>+HLOOKUP($C237,BP!$CG$2:$CS$250,221,0)</f>
        <v>0</v>
      </c>
      <c r="DT237" s="106">
        <f>+HLOOKUP($C237,BP!$CG$2:$CS$250,223,0)</f>
        <v>4222.0163999999995</v>
      </c>
      <c r="DU237" s="106">
        <f>+HLOOKUP($C237,BP!$CG$2:$CS$250,224,0)</f>
        <v>0</v>
      </c>
      <c r="DV237" s="106">
        <f>+HLOOKUP($C237,BP!$CG$2:$CS$250,225,0)</f>
        <v>0</v>
      </c>
      <c r="DW237" s="106">
        <f>+HLOOKUP($C237,BP!$CG$2:$CS$250,227,0)</f>
        <v>0</v>
      </c>
      <c r="DX237" s="106">
        <f>+HLOOKUP($C237,BP!$CG$2:$CS$250,228,0)</f>
        <v>493.14</v>
      </c>
      <c r="DY237" s="106">
        <f>+HLOOKUP($C237,BP!$CG$2:$CS$250,236,0)</f>
        <v>0</v>
      </c>
      <c r="DZ237" s="106">
        <f>+HLOOKUP($C237,BP!$CG$2:$CS$250,237,0)</f>
        <v>76100.357340000002</v>
      </c>
      <c r="EA237" s="106">
        <f>+HLOOKUP($C237,BP!$CG$2:$CS$250,238,0)</f>
        <v>0</v>
      </c>
      <c r="EB237" s="106">
        <f>+HLOOKUP($C237,BP!$CG$2:$CS$250,240,0)</f>
        <v>194786.57794642859</v>
      </c>
    </row>
    <row r="238" spans="1:132" hidden="1">
      <c r="A238" t="s">
        <v>271</v>
      </c>
      <c r="B238" t="s">
        <v>218</v>
      </c>
      <c r="C238" s="117">
        <v>45383</v>
      </c>
      <c r="D238" s="106">
        <f t="shared" si="9"/>
        <v>1228584.21</v>
      </c>
      <c r="E238" s="106">
        <f>+HLOOKUP(C238,BP!$CG$2:$CS$250,28,0)+HLOOKUP(C238,BP!$CG$2:$CS$250,43,0)+HLOOKUP(C238,BP!$CG$2:$CS$250,44,0)+HLOOKUP(C238,BP!$CG$2:$CS$250,45,0)+HLOOKUP(C238,BP!$CG$2:$CS$250,54,0)+HLOOKUP(C238,BP!$CG$2:$CS$250,59,0)</f>
        <v>1228584.21</v>
      </c>
      <c r="F238" s="106">
        <f>+HLOOKUP(C238,BP!$CG$2:$CS$250,37,0)+HLOOKUP(C238,BP!$CG$2:$CS$250,55,0)</f>
        <v>730038.76399999997</v>
      </c>
      <c r="G238" s="106">
        <f>+HLOOKUP($C238,BP!$CG$2:$CS$250,76,0)</f>
        <v>0</v>
      </c>
      <c r="H238" s="106">
        <f>+HLOOKUP($C238,BP!$CG$2:$CS$250,77,0)</f>
        <v>0</v>
      </c>
      <c r="I238" s="106">
        <f>+HLOOKUP($C238,BP!$CG$2:$CS$250,78,0)</f>
        <v>0</v>
      </c>
      <c r="J238" s="106">
        <f>+HLOOKUP($C238,BP!$CG$2:$CS$250,79,0)</f>
        <v>0</v>
      </c>
      <c r="K238" s="106">
        <f>+HLOOKUP($C238,BP!$CG$2:$CS$250,80,0)</f>
        <v>0</v>
      </c>
      <c r="L238" s="106">
        <f>+HLOOKUP($C238,BP!$CG$2:$CS$250,81,0)</f>
        <v>0</v>
      </c>
      <c r="M238" s="106">
        <f>+HLOOKUP($C238,BP!$CG$2:$CS$250,82,0)</f>
        <v>0</v>
      </c>
      <c r="N238" s="106">
        <f>+HLOOKUP($C238,BP!$CG$2:$CS$250,83,0)</f>
        <v>0</v>
      </c>
      <c r="O238" s="106">
        <f>+HLOOKUP($C238,BP!$CG$2:$CS$250,84,0)</f>
        <v>0</v>
      </c>
      <c r="P238" s="106">
        <f>+HLOOKUP($C238,BP!$CG$2:$CS$250,85,0)</f>
        <v>0</v>
      </c>
      <c r="Q238" s="106">
        <f>+HLOOKUP($C238,BP!$CG$2:$CS$250,87,0)</f>
        <v>44969.121000000014</v>
      </c>
      <c r="R238" s="106">
        <f>+HLOOKUP($C238,BP!$CG$2:$CS$250,90,0)</f>
        <v>0</v>
      </c>
      <c r="S238" s="106">
        <f>+HLOOKUP($C238,BP!$CG$2:$CS$250,91,0)</f>
        <v>0</v>
      </c>
      <c r="T238" s="106">
        <f>+HLOOKUP($C238,BP!$CG$2:$CS$250,92,0)</f>
        <v>0</v>
      </c>
      <c r="U238" s="106">
        <f>+HLOOKUP($C238,BP!$CG$2:$CS$250,93,0)</f>
        <v>0</v>
      </c>
      <c r="V238" s="106">
        <f>+HLOOKUP($C238,BP!$CG$2:$CS$250,94,0)</f>
        <v>0</v>
      </c>
      <c r="W238" s="106">
        <f>+HLOOKUP($C238,BP!$CG$2:$CS$250,95,0)</f>
        <v>0</v>
      </c>
      <c r="X238" s="106">
        <f>+HLOOKUP($C238,BP!$CG$2:$CS$250,96,0)</f>
        <v>0</v>
      </c>
      <c r="Y238" s="106">
        <f>+HLOOKUP($C238,BP!$CG$2:$CS$250,97,0)</f>
        <v>0</v>
      </c>
      <c r="Z238" s="106">
        <f>+HLOOKUP($C238,BP!$CG$2:$CS$250,98,0)</f>
        <v>0</v>
      </c>
      <c r="AA238" s="106">
        <f>+HLOOKUP($C238,BP!$CG$2:$CS$250,99,0)</f>
        <v>0</v>
      </c>
      <c r="AB238" s="106">
        <f>+HLOOKUP($C238,BP!$CG$2:$CS$250,100,0)</f>
        <v>0</v>
      </c>
      <c r="AC238" s="106">
        <f>+HLOOKUP($C238,BP!$CG$2:$CS$250,101,0)</f>
        <v>0</v>
      </c>
      <c r="AD238" s="106">
        <f>+HLOOKUP($C238,BP!$CG$2:$CS$250,104,0)</f>
        <v>0</v>
      </c>
      <c r="AE238" s="106">
        <f>+HLOOKUP($C238,BP!$CG$2:$CS$250,105,0)</f>
        <v>0</v>
      </c>
      <c r="AF238" s="106">
        <f>+HLOOKUP($C238,BP!$CG$2:$CS$250,106,0)</f>
        <v>0</v>
      </c>
      <c r="AG238" s="106">
        <f>+HLOOKUP($C238,BP!$CG$2:$CS$250,107,0)</f>
        <v>0</v>
      </c>
      <c r="AH238" s="106">
        <f>+HLOOKUP($C238,BP!$CG$2:$CS$250,108,0)</f>
        <v>0</v>
      </c>
      <c r="AI238" s="106">
        <f>+HLOOKUP($C238,BP!$CG$2:$CS$250,109,0)</f>
        <v>0</v>
      </c>
      <c r="AJ238" s="106">
        <f>+HLOOKUP($C238,BP!$CG$2:$CS$250,110,0)</f>
        <v>0</v>
      </c>
      <c r="AK238" s="106">
        <f>+HLOOKUP($C238,BP!$CG$2:$CS$250,111,0)</f>
        <v>0</v>
      </c>
      <c r="AL238" s="106">
        <f>+HLOOKUP($C238,BP!$CG$2:$CS$250,112,0)</f>
        <v>0</v>
      </c>
      <c r="AM238" s="106">
        <f>+HLOOKUP($C238,BP!$CG$2:$CS$250,116,0)</f>
        <v>27293.940000000002</v>
      </c>
      <c r="AN238" s="106">
        <f>+HLOOKUP($C238,BP!$CG$2:$CS$250,117,0)</f>
        <v>3689</v>
      </c>
      <c r="AO238" s="106">
        <f>+HLOOKUP($C238,BP!$CG$2:$CS$250,118,0)</f>
        <v>0</v>
      </c>
      <c r="AP238" s="106">
        <f>+HLOOKUP($C238,BP!$CG$2:$CS$250,119,0)</f>
        <v>9436</v>
      </c>
      <c r="AQ238" s="106">
        <f>+HLOOKUP($C238,BP!$CG$2:$CS$250,120,0)</f>
        <v>3120</v>
      </c>
      <c r="AR238" s="106">
        <f>+HLOOKUP($C238,BP!$CG$2:$CS$250,121,0)</f>
        <v>1730</v>
      </c>
      <c r="AS238" s="106">
        <f>+HLOOKUP($C238,BP!$CG$2:$CS$250,122,0)</f>
        <v>12921</v>
      </c>
      <c r="AT238" s="106">
        <f>+HLOOKUP($C238,BP!$CG$2:$CS$250,123,0)</f>
        <v>8981.0400000000009</v>
      </c>
      <c r="AU238" s="106">
        <f>+HLOOKUP($C238,BP!$CG$2:$CS$250,124,0)</f>
        <v>880.08</v>
      </c>
      <c r="AV238" s="106">
        <f>+HLOOKUP($C238,BP!$CG$2:$CS$250,125,0)</f>
        <v>14910</v>
      </c>
      <c r="AW238" s="106">
        <f>+HLOOKUP($C238,BP!$CG$2:$CS$250,126,0)</f>
        <v>3491.8057692307689</v>
      </c>
      <c r="AX238" s="106">
        <f>+HLOOKUP($C238,BP!$CG$2:$CS$250,127,0)</f>
        <v>5711.9233333333341</v>
      </c>
      <c r="AY238" s="106">
        <f>+HLOOKUP($C238,BP!$CG$2:$CS$250,129,0)</f>
        <v>0</v>
      </c>
      <c r="AZ238" s="106">
        <f>+HLOOKUP($C238,BP!$CG$2:$CS$250,130,0)</f>
        <v>0</v>
      </c>
      <c r="BA238" s="106">
        <f>+HLOOKUP($C238,BP!$CG$2:$CS$250,131,0)</f>
        <v>0</v>
      </c>
      <c r="BB238" s="106">
        <f>+HLOOKUP($C238,BP!$CG$2:$CS$250,133,0)</f>
        <v>0</v>
      </c>
      <c r="BC238" s="106">
        <f>+HLOOKUP($C238,BP!$CG$2:$CS$250,134,0)</f>
        <v>1504.4207999999999</v>
      </c>
      <c r="BD238" s="106">
        <f>+HLOOKUP($C238,BP!$CG$2:$CS$250,135,0)</f>
        <v>0</v>
      </c>
      <c r="BE238" s="106">
        <f>+HLOOKUP($C238,BP!$CG$2:$CS$250,136,0)</f>
        <v>0</v>
      </c>
      <c r="BF238" s="106">
        <f>+HLOOKUP($C238,BP!$CG$2:$CS$250,138,0)</f>
        <v>1702.4399999999998</v>
      </c>
      <c r="BG238" s="106">
        <f>+HLOOKUP($C238,BP!$CG$2:$CS$250,139,0)</f>
        <v>3156</v>
      </c>
      <c r="BH238" s="106">
        <f>+HLOOKUP($C238,BP!$CG$2:$CS$250,140,0)</f>
        <v>4600</v>
      </c>
      <c r="BI238" s="106">
        <f>+HLOOKUP($C238,BP!$CG$2:$CS$250,141,0)</f>
        <v>0</v>
      </c>
      <c r="BJ238" s="106">
        <f>+HLOOKUP($C238,BP!$CG$2:$CS$250,142,0)</f>
        <v>0</v>
      </c>
      <c r="BK238" s="106">
        <f>+HLOOKUP($C238,BP!$CG$2:$CS$250,143,0)</f>
        <v>8503.25</v>
      </c>
      <c r="BL238" s="106">
        <f>+HLOOKUP($C238,BP!$CG$2:$CS$250,144,0)</f>
        <v>4000</v>
      </c>
      <c r="BM238" s="106">
        <f>+HLOOKUP($C238,BP!$CG$2:$CS$250,146,0)</f>
        <v>0</v>
      </c>
      <c r="BN238" s="106">
        <f>+HLOOKUP($C238,BP!$CG$2:$CS$250,147,0)</f>
        <v>0</v>
      </c>
      <c r="BO238" s="106">
        <f>+HLOOKUP($C238,BP!$CG$2:$CS$250,148,0)</f>
        <v>0</v>
      </c>
      <c r="BP238" s="106">
        <f>+HLOOKUP($C238,BP!$CG$2:$CS$250,150,0)</f>
        <v>11879.6</v>
      </c>
      <c r="BQ238" s="106">
        <f>+HLOOKUP($C238,BP!$CG$2:$CS$250,151,0)</f>
        <v>945</v>
      </c>
      <c r="BR238" s="106">
        <f>+HLOOKUP($C238,BP!$CG$2:$CS$250,152,0)</f>
        <v>6400</v>
      </c>
      <c r="BS238" s="106">
        <f>+HLOOKUP($C238,BP!$CG$2:$CS$250,153,0)</f>
        <v>320</v>
      </c>
      <c r="BT238" s="106">
        <f>+HLOOKUP($C238,BP!$CG$2:$CS$250,157,0)</f>
        <v>0</v>
      </c>
      <c r="BU238" s="106">
        <f>+HLOOKUP($C238,BP!$CG$2:$CS$250,158,0)</f>
        <v>0</v>
      </c>
      <c r="BV238" s="106">
        <f>+HLOOKUP($C238,BP!$CG$2:$CS$250,159,0)</f>
        <v>136.20000000000002</v>
      </c>
      <c r="BW238" s="106">
        <f>+HLOOKUP($C238,BP!$CG$2:$CS$250,160,0)</f>
        <v>0</v>
      </c>
      <c r="BX238" s="106">
        <f>+HLOOKUP($C238,BP!$CG$2:$CS$250,161,0)</f>
        <v>3065</v>
      </c>
      <c r="BY238" s="106">
        <f>+HLOOKUP($C238,BP!$CG$2:$CS$250,164,0)</f>
        <v>240</v>
      </c>
      <c r="BZ238" s="106">
        <f>+HLOOKUP($C238,BP!$CG$2:$CS$250,165,0)</f>
        <v>0</v>
      </c>
      <c r="CA238" s="106">
        <f>+HLOOKUP($C238,BP!$CG$2:$CS$250,166,0)</f>
        <v>0</v>
      </c>
      <c r="CB238" s="106">
        <f>+HLOOKUP($C238,BP!$CG$2:$CS$250,167,0)</f>
        <v>0</v>
      </c>
      <c r="CC238" s="106">
        <f>+HLOOKUP($C238,BP!$CG$2:$CS$250,168,0)</f>
        <v>0</v>
      </c>
      <c r="CD238" s="106">
        <f>+HLOOKUP($C238,BP!$CG$2:$CS$250,169,0)</f>
        <v>1484</v>
      </c>
      <c r="CE238" s="106">
        <f>+HLOOKUP($C238,BP!$CG$2:$CS$250,170,0)</f>
        <v>0</v>
      </c>
      <c r="CF238" s="106">
        <f>+HLOOKUP($C238,BP!$CG$2:$CS$250,172,0)</f>
        <v>7200</v>
      </c>
      <c r="CG238" s="106">
        <f>+HLOOKUP($C238,BP!$CG$2:$CS$250,173,0)</f>
        <v>0</v>
      </c>
      <c r="CH238" s="106">
        <f>+HLOOKUP($C238,BP!$CG$2:$CS$250,174,0)</f>
        <v>23692</v>
      </c>
      <c r="CI238" s="106">
        <f>+HLOOKUP($C238,BP!$CG$2:$CS$250,175,0)</f>
        <v>2972</v>
      </c>
      <c r="CJ238" s="106">
        <f>+HLOOKUP($C238,BP!$CG$2:$CS$250,176,0)</f>
        <v>1000.8000000000001</v>
      </c>
      <c r="CK238" s="106">
        <f>+HLOOKUP($C238,BP!$CG$2:$CS$250,178,0)</f>
        <v>18979.7</v>
      </c>
      <c r="CL238" s="106">
        <f>+HLOOKUP($C238,BP!$CG$2:$CS$250,179,0)</f>
        <v>0</v>
      </c>
      <c r="CM238" s="106">
        <f>+HLOOKUP($C238,BP!$CG$2:$CS$250,180,0)</f>
        <v>0</v>
      </c>
      <c r="CN238" s="106">
        <f>+HLOOKUP($C238,BP!$CG$2:$CS$250,182,0)</f>
        <v>245.70000000000002</v>
      </c>
      <c r="CO238" s="106">
        <f>+HLOOKUP($C238,BP!$CG$2:$CS$250,183,0)</f>
        <v>1490.2</v>
      </c>
      <c r="CP238" s="106">
        <f>+HLOOKUP($C238,BP!$CG$2:$CS$250,184,0)</f>
        <v>0</v>
      </c>
      <c r="CQ238" s="106">
        <f>+HLOOKUP($C238,BP!$CG$2:$CS$250,185,0)</f>
        <v>0</v>
      </c>
      <c r="CR238" s="106">
        <f>+HLOOKUP($C238,BP!$CG$2:$CS$250,187,0)</f>
        <v>1249.9999999999982</v>
      </c>
      <c r="CS238" s="106">
        <f>+HLOOKUP($C238,BP!$CG$2:$CS$250,188,0)</f>
        <v>1590</v>
      </c>
      <c r="CT238" s="106">
        <f>+HLOOKUP($C238,BP!$CG$2:$CS$250,189,0)</f>
        <v>0</v>
      </c>
      <c r="CU238" s="106">
        <f>+HLOOKUP($C238,BP!$CG$2:$CS$250,190,0)</f>
        <v>499.99979999999999</v>
      </c>
      <c r="CV238" s="106">
        <f>+HLOOKUP($C238,BP!$CG$2:$CS$250,191,0)</f>
        <v>0</v>
      </c>
      <c r="CW238" s="106">
        <f>+HLOOKUP($C238,BP!$CG$2:$CS$250,193,0)</f>
        <v>2353.2000000000003</v>
      </c>
      <c r="CX238" s="106">
        <f>+HLOOKUP($C238,BP!$CG$2:$CS$250,194,0)</f>
        <v>15.9</v>
      </c>
      <c r="CY238" s="106">
        <f>+HLOOKUP($C238,BP!$CG$2:$CS$250,195,0)</f>
        <v>550</v>
      </c>
      <c r="CZ238" s="106">
        <f>+HLOOKUP($C238,BP!$CG$2:$CS$250,196,0)</f>
        <v>0</v>
      </c>
      <c r="DA238" s="106">
        <f>+HLOOKUP($C238,BP!$CG$2:$CS$250,197,0)</f>
        <v>1562.1379999999999</v>
      </c>
      <c r="DB238" s="106">
        <f>+HLOOKUP($C238,BP!$CG$2:$CS$250,198,0)</f>
        <v>0</v>
      </c>
      <c r="DC238" s="106">
        <f>+HLOOKUP($C238,BP!$CG$2:$CS$250,199,0)</f>
        <v>60</v>
      </c>
      <c r="DD238" s="106">
        <f>+HLOOKUP($C238,BP!$CG$2:$CS$250,200,0)</f>
        <v>0</v>
      </c>
      <c r="DE238" s="106">
        <f>+HLOOKUP($C238,BP!$CG$2:$CS$250,201,0)</f>
        <v>0</v>
      </c>
      <c r="DF238" s="106">
        <f>+HLOOKUP($C238,BP!$CG$2:$CS$250,202,0)</f>
        <v>0.36</v>
      </c>
      <c r="DG238" s="106">
        <f>+HLOOKUP($C238,BP!$CG$2:$CS$250,203,0)</f>
        <v>2.64</v>
      </c>
      <c r="DH238" s="106">
        <f>+HLOOKUP($C238,BP!$CG$2:$CS$250,205,0)</f>
        <v>0</v>
      </c>
      <c r="DI238" s="106">
        <f>+HLOOKUP($C238,BP!$CG$2:$CS$250,206,0)</f>
        <v>2436.62</v>
      </c>
      <c r="DJ238" s="106">
        <f>+HLOOKUP($C238,BP!$CG$2:$CS$250,207,0)</f>
        <v>162.79500000000007</v>
      </c>
      <c r="DK238" s="106">
        <f>+HLOOKUP($C238,BP!$CG$2:$CS$250,209,0)</f>
        <v>0</v>
      </c>
      <c r="DL238" s="106">
        <f>+HLOOKUP($C238,BP!$CG$2:$CS$250,210,0)</f>
        <v>44568.600000000006</v>
      </c>
      <c r="DM238" s="106">
        <f>+HLOOKUP($C238,BP!$CG$2:$CS$250,211,0)</f>
        <v>0</v>
      </c>
      <c r="DN238" s="106">
        <f>+HLOOKUP($C238,BP!$CG$2:$CS$250,212,0)</f>
        <v>0</v>
      </c>
      <c r="DO238" s="106">
        <f>+HLOOKUP($C238,BP!$CG$2:$CS$250,214,0)</f>
        <v>0</v>
      </c>
      <c r="DP238" s="106">
        <f>+HLOOKUP($C238,BP!$CG$2:$CS$250,215,0)</f>
        <v>400</v>
      </c>
      <c r="DQ238" s="106">
        <f>+HLOOKUP($C238,BP!$CG$2:$CS$250,219,0)</f>
        <v>0</v>
      </c>
      <c r="DR238" s="106">
        <f>+HLOOKUP($C238,BP!$CG$2:$CS$250,220,0)</f>
        <v>0</v>
      </c>
      <c r="DS238" s="106">
        <f>+HLOOKUP($C238,BP!$CG$2:$CS$250,221,0)</f>
        <v>0</v>
      </c>
      <c r="DT238" s="106">
        <f>+HLOOKUP($C238,BP!$CG$2:$CS$250,223,0)</f>
        <v>4801.0554000000002</v>
      </c>
      <c r="DU238" s="106">
        <f>+HLOOKUP($C238,BP!$CG$2:$CS$250,224,0)</f>
        <v>0</v>
      </c>
      <c r="DV238" s="106">
        <f>+HLOOKUP($C238,BP!$CG$2:$CS$250,225,0)</f>
        <v>0</v>
      </c>
      <c r="DW238" s="106">
        <f>+HLOOKUP($C238,BP!$CG$2:$CS$250,227,0)</f>
        <v>0</v>
      </c>
      <c r="DX238" s="106">
        <f>+HLOOKUP($C238,BP!$CG$2:$CS$250,228,0)</f>
        <v>1638.7200000000003</v>
      </c>
      <c r="DY238" s="106">
        <f>+HLOOKUP($C238,BP!$CG$2:$CS$250,236,0)</f>
        <v>0</v>
      </c>
      <c r="DZ238" s="106">
        <f>+HLOOKUP($C238,BP!$CG$2:$CS$250,237,0)</f>
        <v>76988.149560000005</v>
      </c>
      <c r="EA238" s="106">
        <f>+HLOOKUP($C238,BP!$CG$2:$CS$250,238,0)</f>
        <v>0</v>
      </c>
      <c r="EB238" s="106">
        <f>+HLOOKUP($C238,BP!$CG$2:$CS$250,240,0)</f>
        <v>194786.57794642859</v>
      </c>
    </row>
    <row r="239" spans="1:132" hidden="1">
      <c r="A239" t="s">
        <v>271</v>
      </c>
      <c r="B239" t="s">
        <v>218</v>
      </c>
      <c r="C239" s="117">
        <v>45352</v>
      </c>
      <c r="D239" s="106">
        <f t="shared" si="9"/>
        <v>1661902.8799999997</v>
      </c>
      <c r="E239" s="106">
        <f>+HLOOKUP(C239,BP!$CG$2:$CS$250,28,0)+HLOOKUP(C239,BP!$CG$2:$CS$250,43,0)+HLOOKUP(C239,BP!$CG$2:$CS$250,44,0)+HLOOKUP(C239,BP!$CG$2:$CS$250,45,0)+HLOOKUP(C239,BP!$CG$2:$CS$250,54,0)+HLOOKUP(C239,BP!$CG$2:$CS$250,59,0)</f>
        <v>1661902.8799999997</v>
      </c>
      <c r="F239" s="106">
        <f>+HLOOKUP(C239,BP!$CG$2:$CS$250,37,0)+HLOOKUP(C239,BP!$CG$2:$CS$250,55,0)</f>
        <v>1208658.3780000003</v>
      </c>
      <c r="G239" s="106">
        <f>+HLOOKUP($C239,BP!$CG$2:$CS$250,76,0)</f>
        <v>0</v>
      </c>
      <c r="H239" s="106">
        <f>+HLOOKUP($C239,BP!$CG$2:$CS$250,77,0)</f>
        <v>0</v>
      </c>
      <c r="I239" s="106">
        <f>+HLOOKUP($C239,BP!$CG$2:$CS$250,78,0)</f>
        <v>0</v>
      </c>
      <c r="J239" s="106">
        <f>+HLOOKUP($C239,BP!$CG$2:$CS$250,79,0)</f>
        <v>0</v>
      </c>
      <c r="K239" s="106">
        <f>+HLOOKUP($C239,BP!$CG$2:$CS$250,80,0)</f>
        <v>0</v>
      </c>
      <c r="L239" s="106">
        <f>+HLOOKUP($C239,BP!$CG$2:$CS$250,81,0)</f>
        <v>0</v>
      </c>
      <c r="M239" s="106">
        <f>+HLOOKUP($C239,BP!$CG$2:$CS$250,82,0)</f>
        <v>0</v>
      </c>
      <c r="N239" s="106">
        <f>+HLOOKUP($C239,BP!$CG$2:$CS$250,83,0)</f>
        <v>0</v>
      </c>
      <c r="O239" s="106">
        <f>+HLOOKUP($C239,BP!$CG$2:$CS$250,84,0)</f>
        <v>0</v>
      </c>
      <c r="P239" s="106">
        <f>+HLOOKUP($C239,BP!$CG$2:$CS$250,85,0)</f>
        <v>0</v>
      </c>
      <c r="Q239" s="106">
        <f>+HLOOKUP($C239,BP!$CG$2:$CS$250,87,0)</f>
        <v>929.88</v>
      </c>
      <c r="R239" s="106">
        <f>+HLOOKUP($C239,BP!$CG$2:$CS$250,90,0)</f>
        <v>0</v>
      </c>
      <c r="S239" s="106">
        <f>+HLOOKUP($C239,BP!$CG$2:$CS$250,91,0)</f>
        <v>0</v>
      </c>
      <c r="T239" s="106">
        <f>+HLOOKUP($C239,BP!$CG$2:$CS$250,92,0)</f>
        <v>0</v>
      </c>
      <c r="U239" s="106">
        <f>+HLOOKUP($C239,BP!$CG$2:$CS$250,93,0)</f>
        <v>0</v>
      </c>
      <c r="V239" s="106">
        <f>+HLOOKUP($C239,BP!$CG$2:$CS$250,94,0)</f>
        <v>0</v>
      </c>
      <c r="W239" s="106">
        <f>+HLOOKUP($C239,BP!$CG$2:$CS$250,95,0)</f>
        <v>0</v>
      </c>
      <c r="X239" s="106">
        <f>+HLOOKUP($C239,BP!$CG$2:$CS$250,96,0)</f>
        <v>0</v>
      </c>
      <c r="Y239" s="106">
        <f>+HLOOKUP($C239,BP!$CG$2:$CS$250,97,0)</f>
        <v>0</v>
      </c>
      <c r="Z239" s="106">
        <f>+HLOOKUP($C239,BP!$CG$2:$CS$250,98,0)</f>
        <v>0</v>
      </c>
      <c r="AA239" s="106">
        <f>+HLOOKUP($C239,BP!$CG$2:$CS$250,99,0)</f>
        <v>0</v>
      </c>
      <c r="AB239" s="106">
        <f>+HLOOKUP($C239,BP!$CG$2:$CS$250,100,0)</f>
        <v>0</v>
      </c>
      <c r="AC239" s="106">
        <f>+HLOOKUP($C239,BP!$CG$2:$CS$250,101,0)</f>
        <v>0</v>
      </c>
      <c r="AD239" s="106">
        <f>+HLOOKUP($C239,BP!$CG$2:$CS$250,104,0)</f>
        <v>0</v>
      </c>
      <c r="AE239" s="106">
        <f>+HLOOKUP($C239,BP!$CG$2:$CS$250,105,0)</f>
        <v>0</v>
      </c>
      <c r="AF239" s="106">
        <f>+HLOOKUP($C239,BP!$CG$2:$CS$250,106,0)</f>
        <v>0</v>
      </c>
      <c r="AG239" s="106">
        <f>+HLOOKUP($C239,BP!$CG$2:$CS$250,107,0)</f>
        <v>0</v>
      </c>
      <c r="AH239" s="106">
        <f>+HLOOKUP($C239,BP!$CG$2:$CS$250,108,0)</f>
        <v>0</v>
      </c>
      <c r="AI239" s="106">
        <f>+HLOOKUP($C239,BP!$CG$2:$CS$250,109,0)</f>
        <v>0</v>
      </c>
      <c r="AJ239" s="106">
        <f>+HLOOKUP($C239,BP!$CG$2:$CS$250,110,0)</f>
        <v>0</v>
      </c>
      <c r="AK239" s="106">
        <f>+HLOOKUP($C239,BP!$CG$2:$CS$250,111,0)</f>
        <v>0</v>
      </c>
      <c r="AL239" s="106">
        <f>+HLOOKUP($C239,BP!$CG$2:$CS$250,112,0)</f>
        <v>0</v>
      </c>
      <c r="AM239" s="106">
        <f>+HLOOKUP($C239,BP!$CG$2:$CS$250,116,0)</f>
        <v>28043.940000000002</v>
      </c>
      <c r="AN239" s="106">
        <f>+HLOOKUP($C239,BP!$CG$2:$CS$250,117,0)</f>
        <v>3845</v>
      </c>
      <c r="AO239" s="106">
        <f>+HLOOKUP($C239,BP!$CG$2:$CS$250,118,0)</f>
        <v>0</v>
      </c>
      <c r="AP239" s="106">
        <f>+HLOOKUP($C239,BP!$CG$2:$CS$250,119,0)</f>
        <v>9580</v>
      </c>
      <c r="AQ239" s="106">
        <f>+HLOOKUP($C239,BP!$CG$2:$CS$250,120,0)</f>
        <v>3240</v>
      </c>
      <c r="AR239" s="106">
        <f>+HLOOKUP($C239,BP!$CG$2:$CS$250,121,0)</f>
        <v>1730</v>
      </c>
      <c r="AS239" s="106">
        <f>+HLOOKUP($C239,BP!$CG$2:$CS$250,122,0)</f>
        <v>13341</v>
      </c>
      <c r="AT239" s="106">
        <f>+HLOOKUP($C239,BP!$CG$2:$CS$250,123,0)</f>
        <v>8936.7199999999993</v>
      </c>
      <c r="AU239" s="106">
        <f>+HLOOKUP($C239,BP!$CG$2:$CS$250,124,0)</f>
        <v>880.08</v>
      </c>
      <c r="AV239" s="106">
        <f>+HLOOKUP($C239,BP!$CG$2:$CS$250,125,0)</f>
        <v>14880</v>
      </c>
      <c r="AW239" s="106">
        <f>+HLOOKUP($C239,BP!$CG$2:$CS$250,126,0)</f>
        <v>3491.8057692307689</v>
      </c>
      <c r="AX239" s="106">
        <f>+HLOOKUP($C239,BP!$CG$2:$CS$250,127,0)</f>
        <v>5711.9233333333341</v>
      </c>
      <c r="AY239" s="106">
        <f>+HLOOKUP($C239,BP!$CG$2:$CS$250,129,0)</f>
        <v>0</v>
      </c>
      <c r="AZ239" s="106">
        <f>+HLOOKUP($C239,BP!$CG$2:$CS$250,130,0)</f>
        <v>0</v>
      </c>
      <c r="BA239" s="106">
        <f>+HLOOKUP($C239,BP!$CG$2:$CS$250,131,0)</f>
        <v>0</v>
      </c>
      <c r="BB239" s="106">
        <f>+HLOOKUP($C239,BP!$CG$2:$CS$250,133,0)</f>
        <v>0</v>
      </c>
      <c r="BC239" s="106">
        <f>+HLOOKUP($C239,BP!$CG$2:$CS$250,134,0)</f>
        <v>0</v>
      </c>
      <c r="BD239" s="106">
        <f>+HLOOKUP($C239,BP!$CG$2:$CS$250,135,0)</f>
        <v>0</v>
      </c>
      <c r="BE239" s="106">
        <f>+HLOOKUP($C239,BP!$CG$2:$CS$250,136,0)</f>
        <v>0</v>
      </c>
      <c r="BF239" s="106">
        <f>+HLOOKUP($C239,BP!$CG$2:$CS$250,138,0)</f>
        <v>1702.4399999999998</v>
      </c>
      <c r="BG239" s="106">
        <f>+HLOOKUP($C239,BP!$CG$2:$CS$250,139,0)</f>
        <v>3303.8500000000004</v>
      </c>
      <c r="BH239" s="106">
        <f>+HLOOKUP($C239,BP!$CG$2:$CS$250,140,0)</f>
        <v>4600</v>
      </c>
      <c r="BI239" s="106">
        <f>+HLOOKUP($C239,BP!$CG$2:$CS$250,141,0)</f>
        <v>0</v>
      </c>
      <c r="BJ239" s="106">
        <f>+HLOOKUP($C239,BP!$CG$2:$CS$250,142,0)</f>
        <v>0</v>
      </c>
      <c r="BK239" s="106">
        <f>+HLOOKUP($C239,BP!$CG$2:$CS$250,143,0)</f>
        <v>8503.25</v>
      </c>
      <c r="BL239" s="106">
        <f>+HLOOKUP($C239,BP!$CG$2:$CS$250,144,0)</f>
        <v>834.2</v>
      </c>
      <c r="BM239" s="106">
        <f>+HLOOKUP($C239,BP!$CG$2:$CS$250,146,0)</f>
        <v>0</v>
      </c>
      <c r="BN239" s="106">
        <f>+HLOOKUP($C239,BP!$CG$2:$CS$250,147,0)</f>
        <v>0</v>
      </c>
      <c r="BO239" s="106">
        <f>+HLOOKUP($C239,BP!$CG$2:$CS$250,148,0)</f>
        <v>0</v>
      </c>
      <c r="BP239" s="106">
        <f>+HLOOKUP($C239,BP!$CG$2:$CS$250,150,0)</f>
        <v>12694.6</v>
      </c>
      <c r="BQ239" s="106">
        <f>+HLOOKUP($C239,BP!$CG$2:$CS$250,151,0)</f>
        <v>945</v>
      </c>
      <c r="BR239" s="106">
        <f>+HLOOKUP($C239,BP!$CG$2:$CS$250,152,0)</f>
        <v>6400</v>
      </c>
      <c r="BS239" s="106">
        <f>+HLOOKUP($C239,BP!$CG$2:$CS$250,153,0)</f>
        <v>380</v>
      </c>
      <c r="BT239" s="106">
        <f>+HLOOKUP($C239,BP!$CG$2:$CS$250,157,0)</f>
        <v>0</v>
      </c>
      <c r="BU239" s="106">
        <f>+HLOOKUP($C239,BP!$CG$2:$CS$250,158,0)</f>
        <v>340</v>
      </c>
      <c r="BV239" s="106">
        <f>+HLOOKUP($C239,BP!$CG$2:$CS$250,159,0)</f>
        <v>156.60000000000002</v>
      </c>
      <c r="BW239" s="106">
        <f>+HLOOKUP($C239,BP!$CG$2:$CS$250,160,0)</f>
        <v>133.4</v>
      </c>
      <c r="BX239" s="106">
        <f>+HLOOKUP($C239,BP!$CG$2:$CS$250,161,0)</f>
        <v>3856.5</v>
      </c>
      <c r="BY239" s="106">
        <f>+HLOOKUP($C239,BP!$CG$2:$CS$250,164,0)</f>
        <v>330</v>
      </c>
      <c r="BZ239" s="106">
        <f>+HLOOKUP($C239,BP!$CG$2:$CS$250,165,0)</f>
        <v>0</v>
      </c>
      <c r="CA239" s="106">
        <f>+HLOOKUP($C239,BP!$CG$2:$CS$250,166,0)</f>
        <v>0</v>
      </c>
      <c r="CB239" s="106">
        <f>+HLOOKUP($C239,BP!$CG$2:$CS$250,167,0)</f>
        <v>0</v>
      </c>
      <c r="CC239" s="106">
        <f>+HLOOKUP($C239,BP!$CG$2:$CS$250,168,0)</f>
        <v>0</v>
      </c>
      <c r="CD239" s="106">
        <f>+HLOOKUP($C239,BP!$CG$2:$CS$250,169,0)</f>
        <v>0</v>
      </c>
      <c r="CE239" s="106">
        <f>+HLOOKUP($C239,BP!$CG$2:$CS$250,170,0)</f>
        <v>0</v>
      </c>
      <c r="CF239" s="106">
        <f>+HLOOKUP($C239,BP!$CG$2:$CS$250,172,0)</f>
        <v>7200</v>
      </c>
      <c r="CG239" s="106">
        <f>+HLOOKUP($C239,BP!$CG$2:$CS$250,173,0)</f>
        <v>0</v>
      </c>
      <c r="CH239" s="106">
        <f>+HLOOKUP($C239,BP!$CG$2:$CS$250,174,0)</f>
        <v>22023.978133333279</v>
      </c>
      <c r="CI239" s="106">
        <f>+HLOOKUP($C239,BP!$CG$2:$CS$250,175,0)</f>
        <v>2630.3466666666723</v>
      </c>
      <c r="CJ239" s="106">
        <f>+HLOOKUP($C239,BP!$CG$2:$CS$250,176,0)</f>
        <v>354.57660000000016</v>
      </c>
      <c r="CK239" s="106">
        <f>+HLOOKUP($C239,BP!$CG$2:$CS$250,178,0)</f>
        <v>17782.606800000001</v>
      </c>
      <c r="CL239" s="106">
        <f>+HLOOKUP($C239,BP!$CG$2:$CS$250,179,0)</f>
        <v>0</v>
      </c>
      <c r="CM239" s="106">
        <f>+HLOOKUP($C239,BP!$CG$2:$CS$250,180,0)</f>
        <v>5880</v>
      </c>
      <c r="CN239" s="106">
        <f>+HLOOKUP($C239,BP!$CG$2:$CS$250,182,0)</f>
        <v>245.70000000000002</v>
      </c>
      <c r="CO239" s="106">
        <f>+HLOOKUP($C239,BP!$CG$2:$CS$250,183,0)</f>
        <v>4490.2</v>
      </c>
      <c r="CP239" s="106">
        <f>+HLOOKUP($C239,BP!$CG$2:$CS$250,184,0)</f>
        <v>0</v>
      </c>
      <c r="CQ239" s="106">
        <f>+HLOOKUP($C239,BP!$CG$2:$CS$250,185,0)</f>
        <v>0</v>
      </c>
      <c r="CR239" s="106">
        <f>+HLOOKUP($C239,BP!$CG$2:$CS$250,187,0)</f>
        <v>1249.9999999999982</v>
      </c>
      <c r="CS239" s="106">
        <f>+HLOOKUP($C239,BP!$CG$2:$CS$250,188,0)</f>
        <v>1590</v>
      </c>
      <c r="CT239" s="106">
        <f>+HLOOKUP($C239,BP!$CG$2:$CS$250,189,0)</f>
        <v>0</v>
      </c>
      <c r="CU239" s="106">
        <f>+HLOOKUP($C239,BP!$CG$2:$CS$250,190,0)</f>
        <v>499.99979999999999</v>
      </c>
      <c r="CV239" s="106">
        <f>+HLOOKUP($C239,BP!$CG$2:$CS$250,191,0)</f>
        <v>0</v>
      </c>
      <c r="CW239" s="106">
        <f>+HLOOKUP($C239,BP!$CG$2:$CS$250,193,0)</f>
        <v>2353.2000000000003</v>
      </c>
      <c r="CX239" s="106">
        <f>+HLOOKUP($C239,BP!$CG$2:$CS$250,194,0)</f>
        <v>15.9</v>
      </c>
      <c r="CY239" s="106">
        <f>+HLOOKUP($C239,BP!$CG$2:$CS$250,195,0)</f>
        <v>550</v>
      </c>
      <c r="CZ239" s="106">
        <f>+HLOOKUP($C239,BP!$CG$2:$CS$250,196,0)</f>
        <v>0</v>
      </c>
      <c r="DA239" s="106">
        <f>+HLOOKUP($C239,BP!$CG$2:$CS$250,197,0)</f>
        <v>1088.0600000000002</v>
      </c>
      <c r="DB239" s="106">
        <f>+HLOOKUP($C239,BP!$CG$2:$CS$250,198,0)</f>
        <v>0</v>
      </c>
      <c r="DC239" s="106">
        <f>+HLOOKUP($C239,BP!$CG$2:$CS$250,199,0)</f>
        <v>425.55400000000003</v>
      </c>
      <c r="DD239" s="106">
        <f>+HLOOKUP($C239,BP!$CG$2:$CS$250,200,0)</f>
        <v>0</v>
      </c>
      <c r="DE239" s="106">
        <f>+HLOOKUP($C239,BP!$CG$2:$CS$250,201,0)</f>
        <v>0</v>
      </c>
      <c r="DF239" s="106">
        <f>+HLOOKUP($C239,BP!$CG$2:$CS$250,202,0)</f>
        <v>3.5072000000000001</v>
      </c>
      <c r="DG239" s="106">
        <f>+HLOOKUP($C239,BP!$CG$2:$CS$250,203,0)</f>
        <v>54.300000000000004</v>
      </c>
      <c r="DH239" s="106">
        <f>+HLOOKUP($C239,BP!$CG$2:$CS$250,205,0)</f>
        <v>0</v>
      </c>
      <c r="DI239" s="106">
        <f>+HLOOKUP($C239,BP!$CG$2:$CS$250,206,0)</f>
        <v>2436.62</v>
      </c>
      <c r="DJ239" s="106">
        <f>+HLOOKUP($C239,BP!$CG$2:$CS$250,207,0)</f>
        <v>162.7949999999999</v>
      </c>
      <c r="DK239" s="106">
        <f>+HLOOKUP($C239,BP!$CG$2:$CS$250,209,0)</f>
        <v>0</v>
      </c>
      <c r="DL239" s="106">
        <f>+HLOOKUP($C239,BP!$CG$2:$CS$250,210,0)</f>
        <v>44568.600000000006</v>
      </c>
      <c r="DM239" s="106">
        <f>+HLOOKUP($C239,BP!$CG$2:$CS$250,211,0)</f>
        <v>0</v>
      </c>
      <c r="DN239" s="106">
        <f>+HLOOKUP($C239,BP!$CG$2:$CS$250,212,0)</f>
        <v>0</v>
      </c>
      <c r="DO239" s="106">
        <f>+HLOOKUP($C239,BP!$CG$2:$CS$250,214,0)</f>
        <v>0</v>
      </c>
      <c r="DP239" s="106">
        <f>+HLOOKUP($C239,BP!$CG$2:$CS$250,215,0)</f>
        <v>820</v>
      </c>
      <c r="DQ239" s="106">
        <f>+HLOOKUP($C239,BP!$CG$2:$CS$250,219,0)</f>
        <v>0</v>
      </c>
      <c r="DR239" s="106">
        <f>+HLOOKUP($C239,BP!$CG$2:$CS$250,220,0)</f>
        <v>0</v>
      </c>
      <c r="DS239" s="106">
        <f>+HLOOKUP($C239,BP!$CG$2:$CS$250,221,0)</f>
        <v>0</v>
      </c>
      <c r="DT239" s="106">
        <f>+HLOOKUP($C239,BP!$CG$2:$CS$250,223,0)</f>
        <v>4697.8949999999995</v>
      </c>
      <c r="DU239" s="106">
        <f>+HLOOKUP($C239,BP!$CG$2:$CS$250,224,0)</f>
        <v>0</v>
      </c>
      <c r="DV239" s="106">
        <f>+HLOOKUP($C239,BP!$CG$2:$CS$250,225,0)</f>
        <v>0</v>
      </c>
      <c r="DW239" s="106">
        <f>+HLOOKUP($C239,BP!$CG$2:$CS$250,227,0)</f>
        <v>0</v>
      </c>
      <c r="DX239" s="106">
        <f>+HLOOKUP($C239,BP!$CG$2:$CS$250,228,0)</f>
        <v>13687.800000000001</v>
      </c>
      <c r="DY239" s="106">
        <f>+HLOOKUP($C239,BP!$CG$2:$CS$250,236,0)</f>
        <v>0</v>
      </c>
      <c r="DZ239" s="106">
        <f>+HLOOKUP($C239,BP!$CG$2:$CS$250,237,0)</f>
        <v>75323.539619999996</v>
      </c>
      <c r="EA239" s="106">
        <f>+HLOOKUP($C239,BP!$CG$2:$CS$250,238,0)</f>
        <v>0</v>
      </c>
      <c r="EB239" s="106">
        <f>+HLOOKUP($C239,BP!$CG$2:$CS$250,240,0)</f>
        <v>194786.57794642859</v>
      </c>
    </row>
    <row r="240" spans="1:132" hidden="1">
      <c r="A240" t="s">
        <v>271</v>
      </c>
      <c r="B240" t="s">
        <v>218</v>
      </c>
      <c r="C240" s="117">
        <v>45323</v>
      </c>
      <c r="D240" s="106">
        <f t="shared" si="9"/>
        <v>3469355.7</v>
      </c>
      <c r="E240" s="106">
        <f>+HLOOKUP(C240,BP!$CG$2:$CS$250,28,0)+HLOOKUP(C240,BP!$CG$2:$CS$250,43,0)+HLOOKUP(C240,BP!$CG$2:$CS$250,44,0)+HLOOKUP(C240,BP!$CG$2:$CS$250,45,0)+HLOOKUP(C240,BP!$CG$2:$CS$250,54,0)+HLOOKUP(C240,BP!$CG$2:$CS$250,59,0)</f>
        <v>3469355.7</v>
      </c>
      <c r="F240" s="106">
        <f>+HLOOKUP(C240,BP!$CG$2:$CS$250,37,0)+HLOOKUP(C240,BP!$CG$2:$CS$250,55,0)</f>
        <v>2085926.3559999999</v>
      </c>
      <c r="G240" s="106">
        <f>+HLOOKUP($C240,BP!$CG$2:$CS$250,76,0)</f>
        <v>0</v>
      </c>
      <c r="H240" s="106">
        <f>+HLOOKUP($C240,BP!$CG$2:$CS$250,77,0)</f>
        <v>0</v>
      </c>
      <c r="I240" s="106">
        <f>+HLOOKUP($C240,BP!$CG$2:$CS$250,78,0)</f>
        <v>0</v>
      </c>
      <c r="J240" s="106">
        <f>+HLOOKUP($C240,BP!$CG$2:$CS$250,79,0)</f>
        <v>0</v>
      </c>
      <c r="K240" s="106">
        <f>+HLOOKUP($C240,BP!$CG$2:$CS$250,80,0)</f>
        <v>0</v>
      </c>
      <c r="L240" s="106">
        <f>+HLOOKUP($C240,BP!$CG$2:$CS$250,81,0)</f>
        <v>0</v>
      </c>
      <c r="M240" s="106">
        <f>+HLOOKUP($C240,BP!$CG$2:$CS$250,82,0)</f>
        <v>0</v>
      </c>
      <c r="N240" s="106">
        <f>+HLOOKUP($C240,BP!$CG$2:$CS$250,83,0)</f>
        <v>0</v>
      </c>
      <c r="O240" s="106">
        <f>+HLOOKUP($C240,BP!$CG$2:$CS$250,84,0)</f>
        <v>0</v>
      </c>
      <c r="P240" s="106">
        <f>+HLOOKUP($C240,BP!$CG$2:$CS$250,85,0)</f>
        <v>0</v>
      </c>
      <c r="Q240" s="106">
        <f>+HLOOKUP($C240,BP!$CG$2:$CS$250,87,0)</f>
        <v>83082.664000000019</v>
      </c>
      <c r="R240" s="106">
        <f>+HLOOKUP($C240,BP!$CG$2:$CS$250,90,0)</f>
        <v>0</v>
      </c>
      <c r="S240" s="106">
        <f>+HLOOKUP($C240,BP!$CG$2:$CS$250,91,0)</f>
        <v>0</v>
      </c>
      <c r="T240" s="106">
        <f>+HLOOKUP($C240,BP!$CG$2:$CS$250,92,0)</f>
        <v>0</v>
      </c>
      <c r="U240" s="106">
        <f>+HLOOKUP($C240,BP!$CG$2:$CS$250,93,0)</f>
        <v>0</v>
      </c>
      <c r="V240" s="106">
        <f>+HLOOKUP($C240,BP!$CG$2:$CS$250,94,0)</f>
        <v>0</v>
      </c>
      <c r="W240" s="106">
        <f>+HLOOKUP($C240,BP!$CG$2:$CS$250,95,0)</f>
        <v>0</v>
      </c>
      <c r="X240" s="106">
        <f>+HLOOKUP($C240,BP!$CG$2:$CS$250,96,0)</f>
        <v>0</v>
      </c>
      <c r="Y240" s="106">
        <f>+HLOOKUP($C240,BP!$CG$2:$CS$250,97,0)</f>
        <v>0</v>
      </c>
      <c r="Z240" s="106">
        <f>+HLOOKUP($C240,BP!$CG$2:$CS$250,98,0)</f>
        <v>0</v>
      </c>
      <c r="AA240" s="106">
        <f>+HLOOKUP($C240,BP!$CG$2:$CS$250,99,0)</f>
        <v>0</v>
      </c>
      <c r="AB240" s="106">
        <f>+HLOOKUP($C240,BP!$CG$2:$CS$250,100,0)</f>
        <v>0</v>
      </c>
      <c r="AC240" s="106">
        <f>+HLOOKUP($C240,BP!$CG$2:$CS$250,101,0)</f>
        <v>0</v>
      </c>
      <c r="AD240" s="106">
        <f>+HLOOKUP($C240,BP!$CG$2:$CS$250,104,0)</f>
        <v>0</v>
      </c>
      <c r="AE240" s="106">
        <f>+HLOOKUP($C240,BP!$CG$2:$CS$250,105,0)</f>
        <v>0</v>
      </c>
      <c r="AF240" s="106">
        <f>+HLOOKUP($C240,BP!$CG$2:$CS$250,106,0)</f>
        <v>0</v>
      </c>
      <c r="AG240" s="106">
        <f>+HLOOKUP($C240,BP!$CG$2:$CS$250,107,0)</f>
        <v>0</v>
      </c>
      <c r="AH240" s="106">
        <f>+HLOOKUP($C240,BP!$CG$2:$CS$250,108,0)</f>
        <v>0</v>
      </c>
      <c r="AI240" s="106">
        <f>+HLOOKUP($C240,BP!$CG$2:$CS$250,109,0)</f>
        <v>0</v>
      </c>
      <c r="AJ240" s="106">
        <f>+HLOOKUP($C240,BP!$CG$2:$CS$250,110,0)</f>
        <v>0</v>
      </c>
      <c r="AK240" s="106">
        <f>+HLOOKUP($C240,BP!$CG$2:$CS$250,111,0)</f>
        <v>0</v>
      </c>
      <c r="AL240" s="106">
        <f>+HLOOKUP($C240,BP!$CG$2:$CS$250,112,0)</f>
        <v>0</v>
      </c>
      <c r="AM240" s="106">
        <f>+HLOOKUP($C240,BP!$CG$2:$CS$250,116,0)</f>
        <v>23574.454600000005</v>
      </c>
      <c r="AN240" s="106">
        <f>+HLOOKUP($C240,BP!$CG$2:$CS$250,117,0)</f>
        <v>2561.5000000000005</v>
      </c>
      <c r="AO240" s="106">
        <f>+HLOOKUP($C240,BP!$CG$2:$CS$250,118,0)</f>
        <v>0</v>
      </c>
      <c r="AP240" s="106">
        <f>+HLOOKUP($C240,BP!$CG$2:$CS$250,119,0)</f>
        <v>8445.32</v>
      </c>
      <c r="AQ240" s="106">
        <f>+HLOOKUP($C240,BP!$CG$2:$CS$250,120,0)</f>
        <v>3400.8</v>
      </c>
      <c r="AR240" s="106">
        <f>+HLOOKUP($C240,BP!$CG$2:$CS$250,121,0)</f>
        <v>1885.7</v>
      </c>
      <c r="AS240" s="106">
        <f>+HLOOKUP($C240,BP!$CG$2:$CS$250,122,0)</f>
        <v>17357.160000000003</v>
      </c>
      <c r="AT240" s="106">
        <f>+HLOOKUP($C240,BP!$CG$2:$CS$250,123,0)</f>
        <v>8320.52</v>
      </c>
      <c r="AU240" s="106">
        <f>+HLOOKUP($C240,BP!$CG$2:$CS$250,124,0)</f>
        <v>828.2</v>
      </c>
      <c r="AV240" s="106">
        <f>+HLOOKUP($C240,BP!$CG$2:$CS$250,125,0)</f>
        <v>15042.000000000002</v>
      </c>
      <c r="AW240" s="106">
        <f>+HLOOKUP($C240,BP!$CG$2:$CS$250,126,0)</f>
        <v>3491.8057692307689</v>
      </c>
      <c r="AX240" s="106">
        <f>+HLOOKUP($C240,BP!$CG$2:$CS$250,127,0)</f>
        <v>5711.9233333333341</v>
      </c>
      <c r="AY240" s="106">
        <f>+HLOOKUP($C240,BP!$CG$2:$CS$250,129,0)</f>
        <v>0</v>
      </c>
      <c r="AZ240" s="106">
        <f>+HLOOKUP($C240,BP!$CG$2:$CS$250,130,0)</f>
        <v>0</v>
      </c>
      <c r="BA240" s="106">
        <f>+HLOOKUP($C240,BP!$CG$2:$CS$250,131,0)</f>
        <v>0</v>
      </c>
      <c r="BB240" s="106">
        <f>+HLOOKUP($C240,BP!$CG$2:$CS$250,133,0)</f>
        <v>0</v>
      </c>
      <c r="BC240" s="106">
        <f>+HLOOKUP($C240,BP!$CG$2:$CS$250,134,0)</f>
        <v>7360.5443999999979</v>
      </c>
      <c r="BD240" s="106">
        <f>+HLOOKUP($C240,BP!$CG$2:$CS$250,135,0)</f>
        <v>0</v>
      </c>
      <c r="BE240" s="106">
        <f>+HLOOKUP($C240,BP!$CG$2:$CS$250,136,0)</f>
        <v>0</v>
      </c>
      <c r="BF240" s="106">
        <f>+HLOOKUP($C240,BP!$CG$2:$CS$250,138,0)</f>
        <v>1752.4399999999998</v>
      </c>
      <c r="BG240" s="106">
        <f>+HLOOKUP($C240,BP!$CG$2:$CS$250,139,0)</f>
        <v>3732.8860000000004</v>
      </c>
      <c r="BH240" s="106">
        <f>+HLOOKUP($C240,BP!$CG$2:$CS$250,140,0)</f>
        <v>4600</v>
      </c>
      <c r="BI240" s="106">
        <f>+HLOOKUP($C240,BP!$CG$2:$CS$250,141,0)</f>
        <v>0</v>
      </c>
      <c r="BJ240" s="106">
        <f>+HLOOKUP($C240,BP!$CG$2:$CS$250,142,0)</f>
        <v>0</v>
      </c>
      <c r="BK240" s="106">
        <f>+HLOOKUP($C240,BP!$CG$2:$CS$250,143,0)</f>
        <v>8503.25</v>
      </c>
      <c r="BL240" s="106">
        <f>+HLOOKUP($C240,BP!$CG$2:$CS$250,144,0)</f>
        <v>0</v>
      </c>
      <c r="BM240" s="106">
        <f>+HLOOKUP($C240,BP!$CG$2:$CS$250,146,0)</f>
        <v>0</v>
      </c>
      <c r="BN240" s="106">
        <f>+HLOOKUP($C240,BP!$CG$2:$CS$250,147,0)</f>
        <v>0</v>
      </c>
      <c r="BO240" s="106">
        <f>+HLOOKUP($C240,BP!$CG$2:$CS$250,148,0)</f>
        <v>0</v>
      </c>
      <c r="BP240" s="106">
        <f>+HLOOKUP($C240,BP!$CG$2:$CS$250,150,0)</f>
        <v>11902.400000000001</v>
      </c>
      <c r="BQ240" s="106">
        <f>+HLOOKUP($C240,BP!$CG$2:$CS$250,151,0)</f>
        <v>945</v>
      </c>
      <c r="BR240" s="106">
        <f>+HLOOKUP($C240,BP!$CG$2:$CS$250,152,0)</f>
        <v>6400</v>
      </c>
      <c r="BS240" s="106">
        <f>+HLOOKUP($C240,BP!$CG$2:$CS$250,153,0)</f>
        <v>300</v>
      </c>
      <c r="BT240" s="106">
        <f>+HLOOKUP($C240,BP!$CG$2:$CS$250,157,0)</f>
        <v>0</v>
      </c>
      <c r="BU240" s="106">
        <f>+HLOOKUP($C240,BP!$CG$2:$CS$250,158,0)</f>
        <v>49.98</v>
      </c>
      <c r="BV240" s="106">
        <f>+HLOOKUP($C240,BP!$CG$2:$CS$250,159,0)</f>
        <v>2730.4660000000003</v>
      </c>
      <c r="BW240" s="106">
        <f>+HLOOKUP($C240,BP!$CG$2:$CS$250,160,0)</f>
        <v>133.4</v>
      </c>
      <c r="BX240" s="106">
        <f>+HLOOKUP($C240,BP!$CG$2:$CS$250,161,0)</f>
        <v>4535</v>
      </c>
      <c r="BY240" s="106">
        <f>+HLOOKUP($C240,BP!$CG$2:$CS$250,164,0)</f>
        <v>1175.5640000000001</v>
      </c>
      <c r="BZ240" s="106">
        <f>+HLOOKUP($C240,BP!$CG$2:$CS$250,165,0)</f>
        <v>0</v>
      </c>
      <c r="CA240" s="106">
        <f>+HLOOKUP($C240,BP!$CG$2:$CS$250,166,0)</f>
        <v>0</v>
      </c>
      <c r="CB240" s="106">
        <f>+HLOOKUP($C240,BP!$CG$2:$CS$250,167,0)</f>
        <v>0</v>
      </c>
      <c r="CC240" s="106">
        <f>+HLOOKUP($C240,BP!$CG$2:$CS$250,168,0)</f>
        <v>0</v>
      </c>
      <c r="CD240" s="106">
        <f>+HLOOKUP($C240,BP!$CG$2:$CS$250,169,0)</f>
        <v>0</v>
      </c>
      <c r="CE240" s="106">
        <f>+HLOOKUP($C240,BP!$CG$2:$CS$250,170,0)</f>
        <v>0</v>
      </c>
      <c r="CF240" s="106">
        <f>+HLOOKUP($C240,BP!$CG$2:$CS$250,172,0)</f>
        <v>7200</v>
      </c>
      <c r="CG240" s="106">
        <f>+HLOOKUP($C240,BP!$CG$2:$CS$250,173,0)</f>
        <v>0</v>
      </c>
      <c r="CH240" s="106">
        <f>+HLOOKUP($C240,BP!$CG$2:$CS$250,174,0)</f>
        <v>22023.978133333279</v>
      </c>
      <c r="CI240" s="106">
        <f>+HLOOKUP($C240,BP!$CG$2:$CS$250,175,0)</f>
        <v>2630.3466666666723</v>
      </c>
      <c r="CJ240" s="106">
        <f>+HLOOKUP($C240,BP!$CG$2:$CS$250,176,0)</f>
        <v>1000.8000000000001</v>
      </c>
      <c r="CK240" s="106">
        <f>+HLOOKUP($C240,BP!$CG$2:$CS$250,178,0)</f>
        <v>18881.400000000001</v>
      </c>
      <c r="CL240" s="106">
        <f>+HLOOKUP($C240,BP!$CG$2:$CS$250,179,0)</f>
        <v>0</v>
      </c>
      <c r="CM240" s="106">
        <f>+HLOOKUP($C240,BP!$CG$2:$CS$250,180,0)</f>
        <v>3360</v>
      </c>
      <c r="CN240" s="106">
        <f>+HLOOKUP($C240,BP!$CG$2:$CS$250,182,0)</f>
        <v>245.70000000000002</v>
      </c>
      <c r="CO240" s="106">
        <f>+HLOOKUP($C240,BP!$CG$2:$CS$250,183,0)</f>
        <v>4490.2</v>
      </c>
      <c r="CP240" s="106">
        <f>+HLOOKUP($C240,BP!$CG$2:$CS$250,184,0)</f>
        <v>0</v>
      </c>
      <c r="CQ240" s="106">
        <f>+HLOOKUP($C240,BP!$CG$2:$CS$250,185,0)</f>
        <v>0</v>
      </c>
      <c r="CR240" s="106">
        <f>+HLOOKUP($C240,BP!$CG$2:$CS$250,187,0)</f>
        <v>1249.9999999999982</v>
      </c>
      <c r="CS240" s="106">
        <f>+HLOOKUP($C240,BP!$CG$2:$CS$250,188,0)</f>
        <v>1590</v>
      </c>
      <c r="CT240" s="106">
        <f>+HLOOKUP($C240,BP!$CG$2:$CS$250,189,0)</f>
        <v>0</v>
      </c>
      <c r="CU240" s="106">
        <f>+HLOOKUP($C240,BP!$CG$2:$CS$250,190,0)</f>
        <v>499.99979999999999</v>
      </c>
      <c r="CV240" s="106">
        <f>+HLOOKUP($C240,BP!$CG$2:$CS$250,191,0)</f>
        <v>0</v>
      </c>
      <c r="CW240" s="106">
        <f>+HLOOKUP($C240,BP!$CG$2:$CS$250,193,0)</f>
        <v>2353.2000000000003</v>
      </c>
      <c r="CX240" s="106">
        <f>+HLOOKUP($C240,BP!$CG$2:$CS$250,194,0)</f>
        <v>15.9</v>
      </c>
      <c r="CY240" s="106">
        <f>+HLOOKUP($C240,BP!$CG$2:$CS$250,195,0)</f>
        <v>550</v>
      </c>
      <c r="CZ240" s="106">
        <f>+HLOOKUP($C240,BP!$CG$2:$CS$250,196,0)</f>
        <v>0</v>
      </c>
      <c r="DA240" s="106">
        <f>+HLOOKUP($C240,BP!$CG$2:$CS$250,197,0)</f>
        <v>1598.4776000000002</v>
      </c>
      <c r="DB240" s="106">
        <f>+HLOOKUP($C240,BP!$CG$2:$CS$250,198,0)</f>
        <v>0</v>
      </c>
      <c r="DC240" s="106">
        <f>+HLOOKUP($C240,BP!$CG$2:$CS$250,199,0)</f>
        <v>190</v>
      </c>
      <c r="DD240" s="106">
        <f>+HLOOKUP($C240,BP!$CG$2:$CS$250,200,0)</f>
        <v>485.6</v>
      </c>
      <c r="DE240" s="106">
        <f>+HLOOKUP($C240,BP!$CG$2:$CS$250,201,0)</f>
        <v>0</v>
      </c>
      <c r="DF240" s="106">
        <f>+HLOOKUP($C240,BP!$CG$2:$CS$250,202,0)</f>
        <v>0.14020000000000002</v>
      </c>
      <c r="DG240" s="106">
        <f>+HLOOKUP($C240,BP!$CG$2:$CS$250,203,0)</f>
        <v>67.722000000000008</v>
      </c>
      <c r="DH240" s="106">
        <f>+HLOOKUP($C240,BP!$CG$2:$CS$250,205,0)</f>
        <v>0</v>
      </c>
      <c r="DI240" s="106">
        <f>+HLOOKUP($C240,BP!$CG$2:$CS$250,206,0)</f>
        <v>94.02</v>
      </c>
      <c r="DJ240" s="106">
        <f>+HLOOKUP($C240,BP!$CG$2:$CS$250,207,0)</f>
        <v>162.77999999999986</v>
      </c>
      <c r="DK240" s="106">
        <f>+HLOOKUP($C240,BP!$CG$2:$CS$250,209,0)</f>
        <v>0</v>
      </c>
      <c r="DL240" s="106">
        <f>+HLOOKUP($C240,BP!$CG$2:$CS$250,210,0)</f>
        <v>44568.600000000006</v>
      </c>
      <c r="DM240" s="106">
        <f>+HLOOKUP($C240,BP!$CG$2:$CS$250,211,0)</f>
        <v>0</v>
      </c>
      <c r="DN240" s="106">
        <f>+HLOOKUP($C240,BP!$CG$2:$CS$250,212,0)</f>
        <v>0</v>
      </c>
      <c r="DO240" s="106">
        <f>+HLOOKUP($C240,BP!$CG$2:$CS$250,214,0)</f>
        <v>0</v>
      </c>
      <c r="DP240" s="106">
        <f>+HLOOKUP($C240,BP!$CG$2:$CS$250,215,0)</f>
        <v>600</v>
      </c>
      <c r="DQ240" s="106">
        <f>+HLOOKUP($C240,BP!$CG$2:$CS$250,219,0)</f>
        <v>0</v>
      </c>
      <c r="DR240" s="106">
        <f>+HLOOKUP($C240,BP!$CG$2:$CS$250,220,0)</f>
        <v>0</v>
      </c>
      <c r="DS240" s="106">
        <f>+HLOOKUP($C240,BP!$CG$2:$CS$250,221,0)</f>
        <v>0</v>
      </c>
      <c r="DT240" s="106">
        <f>+HLOOKUP($C240,BP!$CG$2:$CS$250,223,0)</f>
        <v>5071.7070000000003</v>
      </c>
      <c r="DU240" s="106">
        <f>+HLOOKUP($C240,BP!$CG$2:$CS$250,224,0)</f>
        <v>0</v>
      </c>
      <c r="DV240" s="106">
        <f>+HLOOKUP($C240,BP!$CG$2:$CS$250,225,0)</f>
        <v>0</v>
      </c>
      <c r="DW240" s="106">
        <f>+HLOOKUP($C240,BP!$CG$2:$CS$250,227,0)</f>
        <v>0</v>
      </c>
      <c r="DX240" s="106">
        <f>+HLOOKUP($C240,BP!$CG$2:$CS$250,228,0)</f>
        <v>8151.36</v>
      </c>
      <c r="DY240" s="106">
        <f>+HLOOKUP($C240,BP!$CG$2:$CS$250,236,0)</f>
        <v>0</v>
      </c>
      <c r="DZ240" s="106">
        <f>+HLOOKUP($C240,BP!$CG$2:$CS$250,237,0)</f>
        <v>73631.18826000001</v>
      </c>
      <c r="EA240" s="106">
        <f>+HLOOKUP($C240,BP!$CG$2:$CS$250,238,0)</f>
        <v>0</v>
      </c>
      <c r="EB240" s="106">
        <f>+HLOOKUP($C240,BP!$CG$2:$CS$250,240,0)</f>
        <v>194786.57794642859</v>
      </c>
    </row>
    <row r="241" spans="1:132" hidden="1">
      <c r="A241" t="s">
        <v>271</v>
      </c>
      <c r="B241" t="s">
        <v>218</v>
      </c>
      <c r="C241" s="117">
        <v>45292</v>
      </c>
      <c r="D241" s="106">
        <f t="shared" si="9"/>
        <v>2566737.87</v>
      </c>
      <c r="E241" s="106">
        <f>+HLOOKUP(C241,BP!$CG$2:$CS$250,28,0)+HLOOKUP(C241,BP!$CG$2:$CS$250,43,0)+HLOOKUP(C241,BP!$CG$2:$CS$250,44,0)+HLOOKUP(C241,BP!$CG$2:$CS$250,45,0)+HLOOKUP(C241,BP!$CG$2:$CS$250,54,0)+HLOOKUP(C241,BP!$CG$2:$CS$250,59,0)</f>
        <v>2566737.87</v>
      </c>
      <c r="F241" s="106">
        <f>+HLOOKUP(C241,BP!$CG$2:$CS$250,37,0)+HLOOKUP(C241,BP!$CG$2:$CS$250,55,0)</f>
        <v>1712790.16</v>
      </c>
      <c r="G241" s="106">
        <f>+HLOOKUP($C241,BP!$CG$2:$CS$250,76,0)</f>
        <v>0</v>
      </c>
      <c r="H241" s="106">
        <f>+HLOOKUP($C241,BP!$CG$2:$CS$250,77,0)</f>
        <v>0</v>
      </c>
      <c r="I241" s="106">
        <f>+HLOOKUP($C241,BP!$CG$2:$CS$250,78,0)</f>
        <v>0</v>
      </c>
      <c r="J241" s="106">
        <f>+HLOOKUP($C241,BP!$CG$2:$CS$250,79,0)</f>
        <v>0</v>
      </c>
      <c r="K241" s="106">
        <f>+HLOOKUP($C241,BP!$CG$2:$CS$250,80,0)</f>
        <v>0</v>
      </c>
      <c r="L241" s="106">
        <f>+HLOOKUP($C241,BP!$CG$2:$CS$250,81,0)</f>
        <v>0</v>
      </c>
      <c r="M241" s="106">
        <f>+HLOOKUP($C241,BP!$CG$2:$CS$250,82,0)</f>
        <v>0</v>
      </c>
      <c r="N241" s="106">
        <f>+HLOOKUP($C241,BP!$CG$2:$CS$250,83,0)</f>
        <v>0</v>
      </c>
      <c r="O241" s="106">
        <f>+HLOOKUP($C241,BP!$CG$2:$CS$250,84,0)</f>
        <v>0</v>
      </c>
      <c r="P241" s="106">
        <f>+HLOOKUP($C241,BP!$CG$2:$CS$250,85,0)</f>
        <v>0</v>
      </c>
      <c r="Q241" s="106">
        <f>+HLOOKUP($C241,BP!$CG$2:$CS$250,87,0)</f>
        <v>39176.740000000005</v>
      </c>
      <c r="R241" s="106">
        <f>+HLOOKUP($C241,BP!$CG$2:$CS$250,90,0)</f>
        <v>0</v>
      </c>
      <c r="S241" s="106">
        <f>+HLOOKUP($C241,BP!$CG$2:$CS$250,91,0)</f>
        <v>0</v>
      </c>
      <c r="T241" s="106">
        <f>+HLOOKUP($C241,BP!$CG$2:$CS$250,92,0)</f>
        <v>0</v>
      </c>
      <c r="U241" s="106">
        <f>+HLOOKUP($C241,BP!$CG$2:$CS$250,93,0)</f>
        <v>0</v>
      </c>
      <c r="V241" s="106">
        <f>+HLOOKUP($C241,BP!$CG$2:$CS$250,94,0)</f>
        <v>0</v>
      </c>
      <c r="W241" s="106">
        <f>+HLOOKUP($C241,BP!$CG$2:$CS$250,95,0)</f>
        <v>0</v>
      </c>
      <c r="X241" s="106">
        <f>+HLOOKUP($C241,BP!$CG$2:$CS$250,96,0)</f>
        <v>0</v>
      </c>
      <c r="Y241" s="106">
        <f>+HLOOKUP($C241,BP!$CG$2:$CS$250,97,0)</f>
        <v>0</v>
      </c>
      <c r="Z241" s="106">
        <f>+HLOOKUP($C241,BP!$CG$2:$CS$250,98,0)</f>
        <v>0</v>
      </c>
      <c r="AA241" s="106">
        <f>+HLOOKUP($C241,BP!$CG$2:$CS$250,99,0)</f>
        <v>0</v>
      </c>
      <c r="AB241" s="106">
        <f>+HLOOKUP($C241,BP!$CG$2:$CS$250,100,0)</f>
        <v>0</v>
      </c>
      <c r="AC241" s="106">
        <f>+HLOOKUP($C241,BP!$CG$2:$CS$250,101,0)</f>
        <v>0</v>
      </c>
      <c r="AD241" s="106">
        <f>+HLOOKUP($C241,BP!$CG$2:$CS$250,104,0)</f>
        <v>479.8</v>
      </c>
      <c r="AE241" s="106">
        <f>+HLOOKUP($C241,BP!$CG$2:$CS$250,105,0)</f>
        <v>1224</v>
      </c>
      <c r="AF241" s="106">
        <f>+HLOOKUP($C241,BP!$CG$2:$CS$250,106,0)</f>
        <v>0</v>
      </c>
      <c r="AG241" s="106">
        <f>+HLOOKUP($C241,BP!$CG$2:$CS$250,107,0)</f>
        <v>0</v>
      </c>
      <c r="AH241" s="106">
        <f>+HLOOKUP($C241,BP!$CG$2:$CS$250,108,0)</f>
        <v>0</v>
      </c>
      <c r="AI241" s="106">
        <f>+HLOOKUP($C241,BP!$CG$2:$CS$250,109,0)</f>
        <v>0</v>
      </c>
      <c r="AJ241" s="106">
        <f>+HLOOKUP($C241,BP!$CG$2:$CS$250,110,0)</f>
        <v>0</v>
      </c>
      <c r="AK241" s="106">
        <f>+HLOOKUP($C241,BP!$CG$2:$CS$250,111,0)</f>
        <v>0</v>
      </c>
      <c r="AL241" s="106">
        <f>+HLOOKUP($C241,BP!$CG$2:$CS$250,112,0)</f>
        <v>0</v>
      </c>
      <c r="AM241" s="106">
        <f>+HLOOKUP($C241,BP!$CG$2:$CS$250,116,0)</f>
        <v>24080.803199999777</v>
      </c>
      <c r="AN241" s="106">
        <f>+HLOOKUP($C241,BP!$CG$2:$CS$250,117,0)</f>
        <v>2675.4268000000002</v>
      </c>
      <c r="AO241" s="106">
        <f>+HLOOKUP($C241,BP!$CG$2:$CS$250,118,0)</f>
        <v>0</v>
      </c>
      <c r="AP241" s="106">
        <f>+HLOOKUP($C241,BP!$CG$2:$CS$250,119,0)</f>
        <v>8603.5226000000002</v>
      </c>
      <c r="AQ241" s="106">
        <f>+HLOOKUP($C241,BP!$CG$2:$CS$250,120,0)</f>
        <v>3476.7294000000002</v>
      </c>
      <c r="AR241" s="106">
        <f>+HLOOKUP($C241,BP!$CG$2:$CS$250,121,0)</f>
        <v>1949.0072</v>
      </c>
      <c r="AS241" s="106">
        <f>+HLOOKUP($C241,BP!$CG$2:$CS$250,122,0)</f>
        <v>17863.486799999999</v>
      </c>
      <c r="AT241" s="106">
        <f>+HLOOKUP($C241,BP!$CG$2:$CS$250,123,0)</f>
        <v>8380.8799999999992</v>
      </c>
      <c r="AU241" s="106">
        <f>+HLOOKUP($C241,BP!$CG$2:$CS$250,124,0)</f>
        <v>828.2</v>
      </c>
      <c r="AV241" s="106">
        <f>+HLOOKUP($C241,BP!$CG$2:$CS$250,125,0)</f>
        <v>15042.000000000002</v>
      </c>
      <c r="AW241" s="106">
        <f>+HLOOKUP($C241,BP!$CG$2:$CS$250,126,0)</f>
        <v>1156.3249999999998</v>
      </c>
      <c r="AX241" s="106">
        <f>+HLOOKUP($C241,BP!$CG$2:$CS$250,127,0)</f>
        <v>1663.7566666666667</v>
      </c>
      <c r="AY241" s="106">
        <f>+HLOOKUP($C241,BP!$CG$2:$CS$250,129,0)</f>
        <v>0</v>
      </c>
      <c r="AZ241" s="106">
        <f>+HLOOKUP($C241,BP!$CG$2:$CS$250,130,0)</f>
        <v>0</v>
      </c>
      <c r="BA241" s="106">
        <f>+HLOOKUP($C241,BP!$CG$2:$CS$250,131,0)</f>
        <v>0</v>
      </c>
      <c r="BB241" s="106">
        <f>+HLOOKUP($C241,BP!$CG$2:$CS$250,133,0)</f>
        <v>0</v>
      </c>
      <c r="BC241" s="106">
        <f>+HLOOKUP($C241,BP!$CG$2:$CS$250,134,0)</f>
        <v>0</v>
      </c>
      <c r="BD241" s="106">
        <f>+HLOOKUP($C241,BP!$CG$2:$CS$250,135,0)</f>
        <v>0</v>
      </c>
      <c r="BE241" s="106">
        <f>+HLOOKUP($C241,BP!$CG$2:$CS$250,136,0)</f>
        <v>0</v>
      </c>
      <c r="BF241" s="106">
        <f>+HLOOKUP($C241,BP!$CG$2:$CS$250,138,0)</f>
        <v>1932.4399999999998</v>
      </c>
      <c r="BG241" s="106">
        <f>+HLOOKUP($C241,BP!$CG$2:$CS$250,139,0)</f>
        <v>3628.9319999999998</v>
      </c>
      <c r="BH241" s="106">
        <f>+HLOOKUP($C241,BP!$CG$2:$CS$250,140,0)</f>
        <v>4600</v>
      </c>
      <c r="BI241" s="106">
        <f>+HLOOKUP($C241,BP!$CG$2:$CS$250,141,0)</f>
        <v>0</v>
      </c>
      <c r="BJ241" s="106">
        <f>+HLOOKUP($C241,BP!$CG$2:$CS$250,142,0)</f>
        <v>0</v>
      </c>
      <c r="BK241" s="106">
        <f>+HLOOKUP($C241,BP!$CG$2:$CS$250,143,0)</f>
        <v>8503.25</v>
      </c>
      <c r="BL241" s="106">
        <f>+HLOOKUP($C241,BP!$CG$2:$CS$250,144,0)</f>
        <v>975.6</v>
      </c>
      <c r="BM241" s="106">
        <f>+HLOOKUP($C241,BP!$CG$2:$CS$250,146,0)</f>
        <v>0</v>
      </c>
      <c r="BN241" s="106">
        <f>+HLOOKUP($C241,BP!$CG$2:$CS$250,147,0)</f>
        <v>0</v>
      </c>
      <c r="BO241" s="106">
        <f>+HLOOKUP($C241,BP!$CG$2:$CS$250,148,0)</f>
        <v>0</v>
      </c>
      <c r="BP241" s="106">
        <f>+HLOOKUP($C241,BP!$CG$2:$CS$250,150,0)</f>
        <v>11939.6</v>
      </c>
      <c r="BQ241" s="106">
        <f>+HLOOKUP($C241,BP!$CG$2:$CS$250,151,0)</f>
        <v>945</v>
      </c>
      <c r="BR241" s="106">
        <f>+HLOOKUP($C241,BP!$CG$2:$CS$250,152,0)</f>
        <v>6400</v>
      </c>
      <c r="BS241" s="106">
        <f>+HLOOKUP($C241,BP!$CG$2:$CS$250,153,0)</f>
        <v>300</v>
      </c>
      <c r="BT241" s="106">
        <f>+HLOOKUP($C241,BP!$CG$2:$CS$250,157,0)</f>
        <v>0</v>
      </c>
      <c r="BU241" s="106">
        <f>+HLOOKUP($C241,BP!$CG$2:$CS$250,158,0)</f>
        <v>49.9998</v>
      </c>
      <c r="BV241" s="106">
        <f>+HLOOKUP($C241,BP!$CG$2:$CS$250,159,0)</f>
        <v>100</v>
      </c>
      <c r="BW241" s="106">
        <f>+HLOOKUP($C241,BP!$CG$2:$CS$250,160,0)</f>
        <v>269.44400000000002</v>
      </c>
      <c r="BX241" s="106">
        <f>+HLOOKUP($C241,BP!$CG$2:$CS$250,161,0)</f>
        <v>3708.92</v>
      </c>
      <c r="BY241" s="106">
        <f>+HLOOKUP($C241,BP!$CG$2:$CS$250,164,0)</f>
        <v>1760.1482000000001</v>
      </c>
      <c r="BZ241" s="106">
        <f>+HLOOKUP($C241,BP!$CG$2:$CS$250,165,0)</f>
        <v>0</v>
      </c>
      <c r="CA241" s="106">
        <f>+HLOOKUP($C241,BP!$CG$2:$CS$250,166,0)</f>
        <v>0</v>
      </c>
      <c r="CB241" s="106">
        <f>+HLOOKUP($C241,BP!$CG$2:$CS$250,167,0)</f>
        <v>0</v>
      </c>
      <c r="CC241" s="106">
        <f>+HLOOKUP($C241,BP!$CG$2:$CS$250,168,0)</f>
        <v>0</v>
      </c>
      <c r="CD241" s="106">
        <f>+HLOOKUP($C241,BP!$CG$2:$CS$250,169,0)</f>
        <v>0</v>
      </c>
      <c r="CE241" s="106">
        <f>+HLOOKUP($C241,BP!$CG$2:$CS$250,170,0)</f>
        <v>0</v>
      </c>
      <c r="CF241" s="106">
        <f>+HLOOKUP($C241,BP!$CG$2:$CS$250,172,0)</f>
        <v>7200</v>
      </c>
      <c r="CG241" s="106">
        <f>+HLOOKUP($C241,BP!$CG$2:$CS$250,173,0)</f>
        <v>0</v>
      </c>
      <c r="CH241" s="106">
        <f>+HLOOKUP($C241,BP!$CG$2:$CS$250,174,0)</f>
        <v>22023.978133333279</v>
      </c>
      <c r="CI241" s="106">
        <f>+HLOOKUP($C241,BP!$CG$2:$CS$250,175,0)</f>
        <v>2630.3466666666723</v>
      </c>
      <c r="CJ241" s="106">
        <f>+HLOOKUP($C241,BP!$CG$2:$CS$250,176,0)</f>
        <v>1012.1598</v>
      </c>
      <c r="CK241" s="106">
        <f>+HLOOKUP($C241,BP!$CG$2:$CS$250,178,0)</f>
        <v>20958.8668</v>
      </c>
      <c r="CL241" s="106">
        <f>+HLOOKUP($C241,BP!$CG$2:$CS$250,179,0)</f>
        <v>1743.1200000000001</v>
      </c>
      <c r="CM241" s="106">
        <f>+HLOOKUP($C241,BP!$CG$2:$CS$250,180,0)</f>
        <v>5880</v>
      </c>
      <c r="CN241" s="106">
        <f>+HLOOKUP($C241,BP!$CG$2:$CS$250,182,0)</f>
        <v>245.70000000000002</v>
      </c>
      <c r="CO241" s="106">
        <f>+HLOOKUP($C241,BP!$CG$2:$CS$250,183,0)</f>
        <v>4649.9980000000005</v>
      </c>
      <c r="CP241" s="106">
        <f>+HLOOKUP($C241,BP!$CG$2:$CS$250,184,0)</f>
        <v>994.84499999999991</v>
      </c>
      <c r="CQ241" s="106">
        <f>+HLOOKUP($C241,BP!$CG$2:$CS$250,185,0)</f>
        <v>0</v>
      </c>
      <c r="CR241" s="106">
        <f>+HLOOKUP($C241,BP!$CG$2:$CS$250,187,0)</f>
        <v>1249.9999999999982</v>
      </c>
      <c r="CS241" s="106">
        <f>+HLOOKUP($C241,BP!$CG$2:$CS$250,188,0)</f>
        <v>1590</v>
      </c>
      <c r="CT241" s="106">
        <f>+HLOOKUP($C241,BP!$CG$2:$CS$250,189,0)</f>
        <v>0</v>
      </c>
      <c r="CU241" s="106">
        <f>+HLOOKUP($C241,BP!$CG$2:$CS$250,190,0)</f>
        <v>499.99999999999983</v>
      </c>
      <c r="CV241" s="106">
        <f>+HLOOKUP($C241,BP!$CG$2:$CS$250,191,0)</f>
        <v>0</v>
      </c>
      <c r="CW241" s="106">
        <f>+HLOOKUP($C241,BP!$CG$2:$CS$250,193,0)</f>
        <v>2353.2000000000003</v>
      </c>
      <c r="CX241" s="106">
        <f>+HLOOKUP($C241,BP!$CG$2:$CS$250,194,0)</f>
        <v>15.9</v>
      </c>
      <c r="CY241" s="106">
        <f>+HLOOKUP($C241,BP!$CG$2:$CS$250,195,0)</f>
        <v>550.024</v>
      </c>
      <c r="CZ241" s="106">
        <f>+HLOOKUP($C241,BP!$CG$2:$CS$250,196,0)</f>
        <v>0</v>
      </c>
      <c r="DA241" s="106">
        <f>+HLOOKUP($C241,BP!$CG$2:$CS$250,197,0)</f>
        <v>2970.694</v>
      </c>
      <c r="DB241" s="106">
        <f>+HLOOKUP($C241,BP!$CG$2:$CS$250,198,0)</f>
        <v>979.2700000000001</v>
      </c>
      <c r="DC241" s="106">
        <f>+HLOOKUP($C241,BP!$CG$2:$CS$250,199,0)</f>
        <v>178.5</v>
      </c>
      <c r="DD241" s="106">
        <f>+HLOOKUP($C241,BP!$CG$2:$CS$250,200,0)</f>
        <v>544</v>
      </c>
      <c r="DE241" s="106">
        <f>+HLOOKUP($C241,BP!$CG$2:$CS$250,201,0)</f>
        <v>0</v>
      </c>
      <c r="DF241" s="106">
        <f>+HLOOKUP($C241,BP!$CG$2:$CS$250,202,0)</f>
        <v>-7.7999999999999972E-2</v>
      </c>
      <c r="DG241" s="106">
        <f>+HLOOKUP($C241,BP!$CG$2:$CS$250,203,0)</f>
        <v>6.4757999999999996</v>
      </c>
      <c r="DH241" s="106">
        <f>+HLOOKUP($C241,BP!$CG$2:$CS$250,205,0)</f>
        <v>0</v>
      </c>
      <c r="DI241" s="106">
        <f>+HLOOKUP($C241,BP!$CG$2:$CS$250,206,0)</f>
        <v>325.45620000000008</v>
      </c>
      <c r="DJ241" s="106">
        <f>+HLOOKUP($C241,BP!$CG$2:$CS$250,207,0)</f>
        <v>162.76499999999999</v>
      </c>
      <c r="DK241" s="106">
        <f>+HLOOKUP($C241,BP!$CG$2:$CS$250,209,0)</f>
        <v>0</v>
      </c>
      <c r="DL241" s="106">
        <f>+HLOOKUP($C241,BP!$CG$2:$CS$250,210,0)</f>
        <v>44568.600000000006</v>
      </c>
      <c r="DM241" s="106">
        <f>+HLOOKUP($C241,BP!$CG$2:$CS$250,211,0)</f>
        <v>0</v>
      </c>
      <c r="DN241" s="106">
        <f>+HLOOKUP($C241,BP!$CG$2:$CS$250,212,0)</f>
        <v>0</v>
      </c>
      <c r="DO241" s="106">
        <f>+HLOOKUP($C241,BP!$CG$2:$CS$250,214,0)</f>
        <v>0</v>
      </c>
      <c r="DP241" s="106">
        <f>+HLOOKUP($C241,BP!$CG$2:$CS$250,215,0)</f>
        <v>1140</v>
      </c>
      <c r="DQ241" s="106">
        <f>+HLOOKUP($C241,BP!$CG$2:$CS$250,219,0)</f>
        <v>0</v>
      </c>
      <c r="DR241" s="106">
        <f>+HLOOKUP($C241,BP!$CG$2:$CS$250,220,0)</f>
        <v>0</v>
      </c>
      <c r="DS241" s="106">
        <f>+HLOOKUP($C241,BP!$CG$2:$CS$250,221,0)</f>
        <v>0</v>
      </c>
      <c r="DT241" s="106">
        <f>+HLOOKUP($C241,BP!$CG$2:$CS$250,223,0)</f>
        <v>5403.8153999999995</v>
      </c>
      <c r="DU241" s="106">
        <f>+HLOOKUP($C241,BP!$CG$2:$CS$250,224,0)</f>
        <v>0</v>
      </c>
      <c r="DV241" s="106">
        <f>+HLOOKUP($C241,BP!$CG$2:$CS$250,225,0)</f>
        <v>0</v>
      </c>
      <c r="DW241" s="106">
        <f>+HLOOKUP($C241,BP!$CG$2:$CS$250,227,0)</f>
        <v>0</v>
      </c>
      <c r="DX241" s="106">
        <f>+HLOOKUP($C241,BP!$CG$2:$CS$250,228,0)</f>
        <v>622.68000000000006</v>
      </c>
      <c r="DY241" s="106">
        <f>+HLOOKUP($C241,BP!$CG$2:$CS$250,236,0)</f>
        <v>0</v>
      </c>
      <c r="DZ241" s="106">
        <f>+HLOOKUP($C241,BP!$CG$2:$CS$250,237,0)</f>
        <v>82120.691520000008</v>
      </c>
      <c r="EA241" s="106">
        <f>+HLOOKUP($C241,BP!$CG$2:$CS$250,238,0)</f>
        <v>0</v>
      </c>
      <c r="EB241" s="106">
        <f>+HLOOKUP($C241,BP!$CG$2:$CS$250,240,0)</f>
        <v>194786.57794642859</v>
      </c>
    </row>
    <row r="242" spans="1:132" hidden="1">
      <c r="A242" t="s">
        <v>271</v>
      </c>
      <c r="B242" t="s">
        <v>218</v>
      </c>
      <c r="C242" s="117">
        <v>45261</v>
      </c>
    </row>
    <row r="243" spans="1:132" hidden="1">
      <c r="A243" t="s">
        <v>271</v>
      </c>
      <c r="B243" t="s">
        <v>218</v>
      </c>
      <c r="C243" s="117">
        <v>45231</v>
      </c>
    </row>
    <row r="244" spans="1:132" hidden="1">
      <c r="A244" t="s">
        <v>271</v>
      </c>
      <c r="B244" t="s">
        <v>218</v>
      </c>
      <c r="C244" s="117">
        <v>45200</v>
      </c>
    </row>
    <row r="245" spans="1:132" hidden="1">
      <c r="A245" t="s">
        <v>271</v>
      </c>
      <c r="B245" t="s">
        <v>218</v>
      </c>
      <c r="C245" s="117">
        <v>45170</v>
      </c>
    </row>
    <row r="246" spans="1:132" hidden="1">
      <c r="A246" t="s">
        <v>271</v>
      </c>
      <c r="B246" t="s">
        <v>218</v>
      </c>
      <c r="C246" s="117">
        <v>45139</v>
      </c>
    </row>
    <row r="247" spans="1:132" hidden="1">
      <c r="A247" t="s">
        <v>271</v>
      </c>
      <c r="B247" t="s">
        <v>218</v>
      </c>
      <c r="C247" s="117">
        <v>45108</v>
      </c>
    </row>
    <row r="248" spans="1:132" hidden="1">
      <c r="A248" t="s">
        <v>271</v>
      </c>
      <c r="B248" t="s">
        <v>218</v>
      </c>
      <c r="C248" s="117">
        <v>45078</v>
      </c>
    </row>
    <row r="249" spans="1:132" hidden="1">
      <c r="A249" t="s">
        <v>271</v>
      </c>
      <c r="B249" t="s">
        <v>218</v>
      </c>
      <c r="C249" s="117">
        <v>45047</v>
      </c>
    </row>
    <row r="250" spans="1:132" hidden="1">
      <c r="A250" t="s">
        <v>271</v>
      </c>
      <c r="B250" t="s">
        <v>218</v>
      </c>
      <c r="C250" s="117">
        <v>45017</v>
      </c>
    </row>
    <row r="251" spans="1:132" hidden="1">
      <c r="A251" t="s">
        <v>271</v>
      </c>
      <c r="B251" t="s">
        <v>218</v>
      </c>
      <c r="C251" s="117">
        <v>44986</v>
      </c>
    </row>
    <row r="252" spans="1:132" hidden="1">
      <c r="A252" t="s">
        <v>271</v>
      </c>
      <c r="B252" t="s">
        <v>218</v>
      </c>
      <c r="C252" s="117">
        <v>44958</v>
      </c>
    </row>
    <row r="253" spans="1:132" hidden="1">
      <c r="A253" t="s">
        <v>271</v>
      </c>
      <c r="B253" t="s">
        <v>218</v>
      </c>
      <c r="C253" s="117">
        <v>44927</v>
      </c>
    </row>
    <row r="254" spans="1:132" hidden="1">
      <c r="A254" t="s">
        <v>272</v>
      </c>
      <c r="B254" t="s">
        <v>218</v>
      </c>
      <c r="C254" s="117">
        <v>45992</v>
      </c>
      <c r="D254" s="106">
        <f t="shared" si="5"/>
        <v>0</v>
      </c>
      <c r="E254" s="106">
        <f>+HLOOKUP(C254,BP!$EK$2:$EW$250,28,0)+HLOOKUP(C254,BP!$EK$2:$EW$250,43,0)+HLOOKUP(C254,BP!$EK$2:$EW$250,44,0)+HLOOKUP(C254,BP!$EK$2:$EW$250,45,0)+HLOOKUP(C254,BP!$EK$2:$EW$250,54,0)+HLOOKUP(C254,BP!$EK$2:$EW$250,59,0)</f>
        <v>0</v>
      </c>
      <c r="F254" s="106">
        <f>+HLOOKUP(C254,BP!$EK$2:$EW$250,37,0)+HLOOKUP(C254,BP!$EK$2:$EW$250,55,0)</f>
        <v>0</v>
      </c>
      <c r="G254" s="106">
        <f>+HLOOKUP($C254,BP!$EK$2:$EW$250,76,0)</f>
        <v>0</v>
      </c>
      <c r="H254" s="106">
        <f>+HLOOKUP($C254,BP!$EK$2:$EW$250,77,0)</f>
        <v>0</v>
      </c>
      <c r="I254" s="106">
        <f>+HLOOKUP($C254,BP!$EK$2:$EW$250,78,0)</f>
        <v>0</v>
      </c>
      <c r="J254" s="106">
        <f>+HLOOKUP($C254,BP!$EK$2:$EW$250,79,0)</f>
        <v>0</v>
      </c>
      <c r="K254" s="106">
        <f>+HLOOKUP($C254,BP!$EK$2:$EW$250,80,0)</f>
        <v>0</v>
      </c>
      <c r="L254" s="106">
        <f>+HLOOKUP($C254,BP!$EK$2:$EW$250,81,0)</f>
        <v>0</v>
      </c>
      <c r="M254" s="106">
        <f>+HLOOKUP($C254,BP!$EK$2:$EW$250,82,0)</f>
        <v>0</v>
      </c>
      <c r="N254" s="106">
        <f>+HLOOKUP($C254,BP!$EK$2:$EW$250,83,0)</f>
        <v>0</v>
      </c>
      <c r="O254" s="106">
        <f>+HLOOKUP($C254,BP!$EK$2:$EW$250,84,0)</f>
        <v>0</v>
      </c>
      <c r="P254" s="106">
        <f>+HLOOKUP($C254,BP!$EK$2:$EW$250,85,0)</f>
        <v>0</v>
      </c>
      <c r="Q254" s="106">
        <f>+HLOOKUP($C254,BP!$EK$2:$EW$250,87,0)</f>
        <v>0</v>
      </c>
      <c r="R254" s="106">
        <f>+HLOOKUP($C254,BP!$EK$2:$EW$250,90,0)</f>
        <v>0</v>
      </c>
      <c r="S254" s="106">
        <f>+HLOOKUP($C254,BP!$EK$2:$EW$250,91,0)</f>
        <v>0</v>
      </c>
      <c r="T254" s="106">
        <f>+HLOOKUP($C254,BP!$EK$2:$EW$250,92,0)</f>
        <v>0</v>
      </c>
      <c r="U254" s="106">
        <f>+HLOOKUP($C254,BP!$EK$2:$EW$250,93,0)</f>
        <v>0</v>
      </c>
      <c r="V254" s="106">
        <f>+HLOOKUP($C254,BP!$EK$2:$EW$250,94,0)</f>
        <v>0</v>
      </c>
      <c r="W254" s="106">
        <f>+HLOOKUP($C254,BP!$EK$2:$EW$250,95,0)</f>
        <v>0</v>
      </c>
      <c r="X254" s="106">
        <f>+HLOOKUP($C254,BP!$EK$2:$EW$250,96,0)</f>
        <v>0</v>
      </c>
      <c r="Y254" s="106">
        <f>+HLOOKUP($C254,BP!$EK$2:$EW$250,97,0)</f>
        <v>0</v>
      </c>
      <c r="Z254" s="106">
        <f>+HLOOKUP($C254,BP!$EK$2:$EW$250,98,0)</f>
        <v>0</v>
      </c>
      <c r="AA254" s="106">
        <f>+HLOOKUP($C254,BP!$EK$2:$EW$250,99,0)</f>
        <v>0</v>
      </c>
      <c r="AB254" s="106">
        <f>+HLOOKUP($C254,BP!$EK$2:$EW$250,100,0)</f>
        <v>0</v>
      </c>
      <c r="AC254" s="106">
        <f>+HLOOKUP($C254,BP!$EK$2:$EW$250,101,0)</f>
        <v>0</v>
      </c>
      <c r="AD254" s="106">
        <f>+HLOOKUP($C254,BP!$EK$2:$EW$250,104,0)</f>
        <v>0</v>
      </c>
      <c r="AE254" s="106">
        <f>+HLOOKUP($C254,BP!$EK$2:$EW$250,105,0)</f>
        <v>0</v>
      </c>
      <c r="AF254" s="106">
        <f>+HLOOKUP($C254,BP!$EK$2:$EW$250,106,0)</f>
        <v>0</v>
      </c>
      <c r="AG254" s="106">
        <f>+HLOOKUP($C254,BP!$EK$2:$EW$250,107,0)</f>
        <v>0</v>
      </c>
      <c r="AH254" s="106">
        <f>+HLOOKUP($C254,BP!$EK$2:$EW$250,108,0)</f>
        <v>0</v>
      </c>
      <c r="AI254" s="106">
        <f>+HLOOKUP($C254,BP!$EK$2:$EW$250,109,0)</f>
        <v>0</v>
      </c>
      <c r="AJ254" s="106">
        <f>+HLOOKUP($C254,BP!$EK$2:$EW$250,110,0)</f>
        <v>0</v>
      </c>
      <c r="AK254" s="106">
        <f>+HLOOKUP($C254,BP!$EK$2:$EW$250,111,0)</f>
        <v>0</v>
      </c>
      <c r="AL254" s="106">
        <f>+HLOOKUP($C254,BP!$EK$2:$EW$250,112,0)</f>
        <v>0</v>
      </c>
      <c r="AM254" s="106">
        <f>+HLOOKUP($C254,BP!$EK$2:$EW$250,116,0)</f>
        <v>0</v>
      </c>
      <c r="AN254" s="106">
        <f>+HLOOKUP($C254,BP!$EK$2:$EW$250,117,0)</f>
        <v>0</v>
      </c>
      <c r="AO254" s="106">
        <f>+HLOOKUP($C254,BP!$EK$2:$EW$250,118,0)</f>
        <v>0</v>
      </c>
      <c r="AP254" s="106">
        <f>+HLOOKUP($C254,BP!$EK$2:$EW$250,119,0)</f>
        <v>0</v>
      </c>
      <c r="AQ254" s="106">
        <f>+HLOOKUP($C254,BP!$EK$2:$EW$250,120,0)</f>
        <v>0</v>
      </c>
      <c r="AR254" s="106">
        <f>+HLOOKUP($C254,BP!$EK$2:$EW$250,121,0)</f>
        <v>0</v>
      </c>
      <c r="AS254" s="106">
        <f>+HLOOKUP($C254,BP!$EK$2:$EW$250,122,0)</f>
        <v>0</v>
      </c>
      <c r="AT254" s="106">
        <f>+HLOOKUP($C254,BP!$EK$2:$EW$250,123,0)</f>
        <v>0</v>
      </c>
      <c r="AU254" s="106">
        <f>+HLOOKUP($C254,BP!$EK$2:$EW$250,124,0)</f>
        <v>0</v>
      </c>
      <c r="AV254" s="106">
        <f>+HLOOKUP($C254,BP!$EK$2:$EW$250,125,0)</f>
        <v>0</v>
      </c>
      <c r="AW254" s="106">
        <f>+HLOOKUP($C254,BP!$EK$2:$EW$250,126,0)</f>
        <v>0</v>
      </c>
      <c r="AX254" s="106">
        <f>+HLOOKUP($C254,BP!$EK$2:$EW$250,127,0)</f>
        <v>0</v>
      </c>
      <c r="AY254" s="106">
        <f>+HLOOKUP($C254,BP!$EK$2:$EW$250,129,0)</f>
        <v>0</v>
      </c>
      <c r="AZ254" s="106">
        <f>+HLOOKUP($C254,BP!$EK$2:$EW$250,130,0)</f>
        <v>0</v>
      </c>
      <c r="BA254" s="106">
        <f>+HLOOKUP($C254,BP!$EK$2:$EW$250,131,0)</f>
        <v>0</v>
      </c>
      <c r="BB254" s="106">
        <f>+HLOOKUP($C254,BP!$EK$2:$EW$250,133,0)</f>
        <v>0</v>
      </c>
      <c r="BC254" s="106">
        <f>+HLOOKUP($C254,BP!$EK$2:$EW$250,134,0)</f>
        <v>0</v>
      </c>
      <c r="BD254" s="106">
        <f>+HLOOKUP($C254,BP!$EK$2:$EW$250,135,0)</f>
        <v>0</v>
      </c>
      <c r="BE254" s="106">
        <f>+HLOOKUP($C254,BP!$EK$2:$EW$250,136,0)</f>
        <v>0</v>
      </c>
      <c r="BF254" s="106">
        <f>+HLOOKUP($C254,BP!$EK$2:$EW$250,138,0)</f>
        <v>0</v>
      </c>
      <c r="BG254" s="106">
        <f>+HLOOKUP($C254,BP!$EK$2:$EW$250,139,0)</f>
        <v>0</v>
      </c>
      <c r="BH254" s="106">
        <f>+HLOOKUP($C254,BP!$EK$2:$EW$250,140,0)</f>
        <v>0</v>
      </c>
      <c r="BI254" s="106">
        <f>+HLOOKUP($C254,BP!$EK$2:$EW$250,141,0)</f>
        <v>0</v>
      </c>
      <c r="BJ254" s="106">
        <f>+HLOOKUP($C254,BP!$EK$2:$EW$250,142,0)</f>
        <v>0</v>
      </c>
      <c r="BK254" s="106">
        <f>+HLOOKUP($C254,BP!$EK$2:$EW$250,143,0)</f>
        <v>0</v>
      </c>
      <c r="BL254" s="106">
        <f>+HLOOKUP($C254,BP!$EK$2:$EW$250,144,0)</f>
        <v>0</v>
      </c>
      <c r="BM254" s="106">
        <f>+HLOOKUP($C254,BP!$EK$2:$EW$250,146,0)</f>
        <v>0</v>
      </c>
      <c r="BN254" s="106">
        <f>+HLOOKUP($C254,BP!$EK$2:$EW$250,147,0)</f>
        <v>0</v>
      </c>
      <c r="BO254" s="106">
        <f>+HLOOKUP($C254,BP!$EK$2:$EW$250,148,0)</f>
        <v>0</v>
      </c>
      <c r="BP254" s="106">
        <f>+HLOOKUP($C254,BP!$EK$2:$EW$250,150,0)</f>
        <v>0</v>
      </c>
      <c r="BQ254" s="106">
        <f>+HLOOKUP($C254,BP!$EK$2:$EW$250,151,0)</f>
        <v>0</v>
      </c>
      <c r="BR254" s="106">
        <f>+HLOOKUP($C254,BP!$EK$2:$EW$250,152,0)</f>
        <v>0</v>
      </c>
      <c r="BS254" s="106">
        <f>+HLOOKUP($C254,BP!$EK$2:$EW$250,153,0)</f>
        <v>0</v>
      </c>
      <c r="BT254" s="106">
        <f>+HLOOKUP($C254,BP!$EK$2:$EW$250,157,0)</f>
        <v>0</v>
      </c>
      <c r="BU254" s="106">
        <f>+HLOOKUP($C254,BP!$EK$2:$EW$250,158,0)</f>
        <v>0</v>
      </c>
      <c r="BV254" s="106">
        <f>+HLOOKUP($C254,BP!$EK$2:$EW$250,159,0)</f>
        <v>0</v>
      </c>
      <c r="BW254" s="106">
        <f>+HLOOKUP($C254,BP!$EK$2:$EW$250,160,0)</f>
        <v>0</v>
      </c>
      <c r="BX254" s="106">
        <f>+HLOOKUP($C254,BP!$EK$2:$EW$250,161,0)</f>
        <v>0</v>
      </c>
      <c r="BY254" s="106">
        <f>+HLOOKUP($C254,BP!$EK$2:$EW$250,164,0)</f>
        <v>0</v>
      </c>
      <c r="BZ254" s="106">
        <f>+HLOOKUP($C254,BP!$EK$2:$EW$250,165,0)</f>
        <v>0</v>
      </c>
      <c r="CA254" s="106">
        <f>+HLOOKUP($C254,BP!$EK$2:$EW$250,166,0)</f>
        <v>0</v>
      </c>
      <c r="CB254" s="106">
        <f>+HLOOKUP($C254,BP!$EK$2:$EW$250,167,0)</f>
        <v>0</v>
      </c>
      <c r="CC254" s="106">
        <f>+HLOOKUP($C254,BP!$EK$2:$EW$250,168,0)</f>
        <v>0</v>
      </c>
      <c r="CD254" s="106">
        <f>+HLOOKUP($C254,BP!$EK$2:$EW$250,169,0)</f>
        <v>0</v>
      </c>
      <c r="CE254" s="106">
        <f>+HLOOKUP($C254,BP!$EK$2:$EW$250,170,0)</f>
        <v>0</v>
      </c>
      <c r="CF254" s="106">
        <f>+HLOOKUP($C254,BP!$EK$2:$EW$250,172,0)</f>
        <v>0</v>
      </c>
      <c r="CG254" s="106">
        <f>+HLOOKUP($C254,BP!$EK$2:$EW$250,173,0)</f>
        <v>0</v>
      </c>
      <c r="CH254" s="106">
        <f>+HLOOKUP($C254,BP!$EK$2:$EW$250,174,0)</f>
        <v>0</v>
      </c>
      <c r="CI254" s="106">
        <f>+HLOOKUP($C254,BP!$EK$2:$EW$250,175,0)</f>
        <v>0</v>
      </c>
      <c r="CJ254" s="106">
        <f>+HLOOKUP($C254,BP!$EK$2:$EW$250,176,0)</f>
        <v>0</v>
      </c>
      <c r="CK254" s="106">
        <f>+HLOOKUP($C254,BP!$EK$2:$EW$250,178,0)</f>
        <v>0</v>
      </c>
      <c r="CL254" s="106">
        <f>+HLOOKUP($C254,BP!$EK$2:$EW$250,179,0)</f>
        <v>0</v>
      </c>
      <c r="CM254" s="106">
        <f>+HLOOKUP($C254,BP!$EK$2:$EW$250,180,0)</f>
        <v>0</v>
      </c>
      <c r="CN254" s="106">
        <f>+HLOOKUP($C254,BP!$EK$2:$EW$250,182,0)</f>
        <v>0</v>
      </c>
      <c r="CO254" s="106">
        <f>+HLOOKUP($C254,BP!$EK$2:$EW$250,183,0)</f>
        <v>0</v>
      </c>
      <c r="CP254" s="106">
        <f>+HLOOKUP($C254,BP!$EK$2:$EW$250,184,0)</f>
        <v>0</v>
      </c>
      <c r="CQ254" s="106">
        <f>+HLOOKUP($C254,BP!$EK$2:$EW$250,185,0)</f>
        <v>0</v>
      </c>
      <c r="CR254" s="106">
        <f>+HLOOKUP($C254,BP!$EK$2:$EW$250,187,0)</f>
        <v>0</v>
      </c>
      <c r="CS254" s="106">
        <f>+HLOOKUP($C254,BP!$EK$2:$EW$250,188,0)</f>
        <v>0</v>
      </c>
      <c r="CT254" s="106">
        <f>+HLOOKUP($C254,BP!$EK$2:$EW$250,189,0)</f>
        <v>0</v>
      </c>
      <c r="CU254" s="106">
        <f>+HLOOKUP($C254,BP!$EK$2:$EW$250,190,0)</f>
        <v>0</v>
      </c>
      <c r="CV254" s="106">
        <f>+HLOOKUP($C254,BP!$EK$2:$EW$250,191,0)</f>
        <v>0</v>
      </c>
      <c r="CW254" s="106">
        <f>+HLOOKUP($C254,BP!$EK$2:$EW$250,193,0)</f>
        <v>0</v>
      </c>
      <c r="CX254" s="106">
        <f>+HLOOKUP($C254,BP!$EK$2:$EW$250,194,0)</f>
        <v>0</v>
      </c>
      <c r="CY254" s="106">
        <f>+HLOOKUP($C254,BP!$EK$2:$EW$250,195,0)</f>
        <v>0</v>
      </c>
      <c r="CZ254" s="106">
        <f>+HLOOKUP($C254,BP!$EK$2:$EW$250,196,0)</f>
        <v>0</v>
      </c>
      <c r="DA254" s="106">
        <f>+HLOOKUP($C254,BP!$EK$2:$EW$250,197,0)</f>
        <v>0</v>
      </c>
      <c r="DB254" s="106">
        <f>+HLOOKUP($C254,BP!$EK$2:$EW$250,198,0)</f>
        <v>0</v>
      </c>
      <c r="DC254" s="106">
        <f>+HLOOKUP($C254,BP!$EK$2:$EW$250,199,0)</f>
        <v>0</v>
      </c>
      <c r="DD254" s="106">
        <f>+HLOOKUP($C254,BP!$EK$2:$EW$250,200,0)</f>
        <v>0</v>
      </c>
      <c r="DE254" s="106">
        <f>+HLOOKUP($C254,BP!$EK$2:$EW$250,201,0)</f>
        <v>0</v>
      </c>
      <c r="DF254" s="106">
        <f>+HLOOKUP($C254,BP!$EK$2:$EW$250,202,0)</f>
        <v>0</v>
      </c>
      <c r="DG254" s="106">
        <f>+HLOOKUP($C254,BP!$EK$2:$EW$250,203,0)</f>
        <v>0</v>
      </c>
      <c r="DH254" s="106">
        <f>+HLOOKUP($C254,BP!$EK$2:$EW$250,205,0)</f>
        <v>0</v>
      </c>
      <c r="DI254" s="106">
        <f>+HLOOKUP($C254,BP!$EK$2:$EW$250,206,0)</f>
        <v>0</v>
      </c>
      <c r="DJ254" s="106">
        <f>+HLOOKUP($C254,BP!$EK$2:$EW$250,207,0)</f>
        <v>0</v>
      </c>
      <c r="DK254" s="106">
        <f>+HLOOKUP($C254,BP!$EK$2:$EW$250,209,0)</f>
        <v>0</v>
      </c>
      <c r="DL254" s="106">
        <f>+HLOOKUP($C254,BP!$EK$2:$EW$250,210,0)</f>
        <v>0</v>
      </c>
      <c r="DM254" s="106">
        <f>+HLOOKUP($C254,BP!$EK$2:$EW$250,211,0)</f>
        <v>0</v>
      </c>
      <c r="DN254" s="106">
        <f>+HLOOKUP($C254,BP!$EK$2:$EW$250,212,0)</f>
        <v>0</v>
      </c>
      <c r="DO254" s="106">
        <f>+HLOOKUP($C254,BP!$EK$2:$EW$250,214,0)</f>
        <v>0</v>
      </c>
      <c r="DP254" s="106">
        <f>+HLOOKUP($C254,BP!$EK$2:$EW$250,215,0)</f>
        <v>0</v>
      </c>
      <c r="DQ254" s="106">
        <f>+HLOOKUP($C254,BP!$EK$2:$EW$250,219,0)</f>
        <v>0</v>
      </c>
      <c r="DR254" s="106">
        <f>+HLOOKUP($C254,BP!$EK$2:$EW$250,220,0)</f>
        <v>0</v>
      </c>
      <c r="DS254" s="106">
        <f>+HLOOKUP($C254,BP!$EK$2:$EW$250,221,0)</f>
        <v>0</v>
      </c>
      <c r="DT254" s="106">
        <f>+HLOOKUP($C254,BP!$EK$2:$EW$250,223,0)</f>
        <v>0</v>
      </c>
      <c r="DU254" s="106">
        <f>+HLOOKUP($C254,BP!$EK$2:$EW$250,224,0)</f>
        <v>0</v>
      </c>
      <c r="DV254" s="106">
        <f>+HLOOKUP($C254,BP!$EK$2:$EW$250,225,0)</f>
        <v>0</v>
      </c>
      <c r="DW254" s="106">
        <f>+HLOOKUP($C254,BP!$EK$2:$EW$250,227,0)</f>
        <v>0</v>
      </c>
      <c r="DX254" s="106">
        <f>+HLOOKUP($C254,BP!$EK$2:$EW$250,228,0)</f>
        <v>0</v>
      </c>
      <c r="DY254" s="106">
        <f>+HLOOKUP($C254,BP!$EK$2:$EW$250,236,0)</f>
        <v>0</v>
      </c>
      <c r="DZ254" s="106">
        <f>+HLOOKUP($C254,BP!$EK$2:$EW$250,237,0)</f>
        <v>0</v>
      </c>
      <c r="EA254" s="106">
        <f>+HLOOKUP($C254,BP!$EK$2:$EW$250,238,0)</f>
        <v>0</v>
      </c>
      <c r="EB254" s="106">
        <f>+HLOOKUP($C254,BP!$EK$2:$EW$250,240,0)</f>
        <v>0</v>
      </c>
    </row>
    <row r="255" spans="1:132" hidden="1">
      <c r="A255" t="s">
        <v>272</v>
      </c>
      <c r="B255" t="s">
        <v>218</v>
      </c>
      <c r="C255" s="117">
        <v>45962</v>
      </c>
      <c r="D255" s="106">
        <f t="shared" si="5"/>
        <v>0</v>
      </c>
      <c r="E255" s="106">
        <f>+HLOOKUP(C255,BP!$EK$2:$EW$250,28,0)+HLOOKUP(C255,BP!$EK$2:$EW$250,43,0)+HLOOKUP(C255,BP!$EK$2:$EW$250,44,0)+HLOOKUP(C255,BP!$EK$2:$EW$250,45,0)+HLOOKUP(C255,BP!$EK$2:$EW$250,54,0)+HLOOKUP(C255,BP!$EK$2:$EW$250,59,0)</f>
        <v>0</v>
      </c>
      <c r="F255" s="106">
        <f>+HLOOKUP(C255,BP!$EK$2:$EW$250,37,0)+HLOOKUP(C255,BP!$EK$2:$EW$250,55,0)</f>
        <v>0</v>
      </c>
      <c r="G255" s="106">
        <f>+HLOOKUP($C255,BP!$EK$2:$EW$250,76,0)</f>
        <v>0</v>
      </c>
      <c r="H255" s="106">
        <f>+HLOOKUP($C255,BP!$EK$2:$EW$250,77,0)</f>
        <v>0</v>
      </c>
      <c r="I255" s="106">
        <f>+HLOOKUP($C255,BP!$EK$2:$EW$250,78,0)</f>
        <v>0</v>
      </c>
      <c r="J255" s="106">
        <f>+HLOOKUP($C255,BP!$EK$2:$EW$250,79,0)</f>
        <v>0</v>
      </c>
      <c r="K255" s="106">
        <f>+HLOOKUP($C255,BP!$EK$2:$EW$250,80,0)</f>
        <v>0</v>
      </c>
      <c r="L255" s="106">
        <f>+HLOOKUP($C255,BP!$EK$2:$EW$250,81,0)</f>
        <v>0</v>
      </c>
      <c r="M255" s="106">
        <f>+HLOOKUP($C255,BP!$EK$2:$EW$250,82,0)</f>
        <v>0</v>
      </c>
      <c r="N255" s="106">
        <f>+HLOOKUP($C255,BP!$EK$2:$EW$250,83,0)</f>
        <v>0</v>
      </c>
      <c r="O255" s="106">
        <f>+HLOOKUP($C255,BP!$EK$2:$EW$250,84,0)</f>
        <v>0</v>
      </c>
      <c r="P255" s="106">
        <f>+HLOOKUP($C255,BP!$EK$2:$EW$250,85,0)</f>
        <v>0</v>
      </c>
      <c r="Q255" s="106">
        <f>+HLOOKUP($C255,BP!$EK$2:$EW$250,87,0)</f>
        <v>0</v>
      </c>
      <c r="R255" s="106">
        <f>+HLOOKUP($C255,BP!$EK$2:$EW$250,90,0)</f>
        <v>0</v>
      </c>
      <c r="S255" s="106">
        <f>+HLOOKUP($C255,BP!$EK$2:$EW$250,91,0)</f>
        <v>0</v>
      </c>
      <c r="T255" s="106">
        <f>+HLOOKUP($C255,BP!$EK$2:$EW$250,92,0)</f>
        <v>0</v>
      </c>
      <c r="U255" s="106">
        <f>+HLOOKUP($C255,BP!$EK$2:$EW$250,93,0)</f>
        <v>0</v>
      </c>
      <c r="V255" s="106">
        <f>+HLOOKUP($C255,BP!$EK$2:$EW$250,94,0)</f>
        <v>0</v>
      </c>
      <c r="W255" s="106">
        <f>+HLOOKUP($C255,BP!$EK$2:$EW$250,95,0)</f>
        <v>0</v>
      </c>
      <c r="X255" s="106">
        <f>+HLOOKUP($C255,BP!$EK$2:$EW$250,96,0)</f>
        <v>0</v>
      </c>
      <c r="Y255" s="106">
        <f>+HLOOKUP($C255,BP!$EK$2:$EW$250,97,0)</f>
        <v>0</v>
      </c>
      <c r="Z255" s="106">
        <f>+HLOOKUP($C255,BP!$EK$2:$EW$250,98,0)</f>
        <v>0</v>
      </c>
      <c r="AA255" s="106">
        <f>+HLOOKUP($C255,BP!$EK$2:$EW$250,99,0)</f>
        <v>0</v>
      </c>
      <c r="AB255" s="106">
        <f>+HLOOKUP($C255,BP!$EK$2:$EW$250,100,0)</f>
        <v>0</v>
      </c>
      <c r="AC255" s="106">
        <f>+HLOOKUP($C255,BP!$EK$2:$EW$250,101,0)</f>
        <v>0</v>
      </c>
      <c r="AD255" s="106">
        <f>+HLOOKUP($C255,BP!$EK$2:$EW$250,104,0)</f>
        <v>0</v>
      </c>
      <c r="AE255" s="106">
        <f>+HLOOKUP($C255,BP!$EK$2:$EW$250,105,0)</f>
        <v>0</v>
      </c>
      <c r="AF255" s="106">
        <f>+HLOOKUP($C255,BP!$EK$2:$EW$250,106,0)</f>
        <v>0</v>
      </c>
      <c r="AG255" s="106">
        <f>+HLOOKUP($C255,BP!$EK$2:$EW$250,107,0)</f>
        <v>0</v>
      </c>
      <c r="AH255" s="106">
        <f>+HLOOKUP($C255,BP!$EK$2:$EW$250,108,0)</f>
        <v>0</v>
      </c>
      <c r="AI255" s="106">
        <f>+HLOOKUP($C255,BP!$EK$2:$EW$250,109,0)</f>
        <v>0</v>
      </c>
      <c r="AJ255" s="106">
        <f>+HLOOKUP($C255,BP!$EK$2:$EW$250,110,0)</f>
        <v>0</v>
      </c>
      <c r="AK255" s="106">
        <f>+HLOOKUP($C255,BP!$EK$2:$EW$250,111,0)</f>
        <v>0</v>
      </c>
      <c r="AL255" s="106">
        <f>+HLOOKUP($C255,BP!$EK$2:$EW$250,112,0)</f>
        <v>0</v>
      </c>
      <c r="AM255" s="106">
        <f>+HLOOKUP($C255,BP!$EK$2:$EW$250,116,0)</f>
        <v>0</v>
      </c>
      <c r="AN255" s="106">
        <f>+HLOOKUP($C255,BP!$EK$2:$EW$250,117,0)</f>
        <v>0</v>
      </c>
      <c r="AO255" s="106">
        <f>+HLOOKUP($C255,BP!$EK$2:$EW$250,118,0)</f>
        <v>0</v>
      </c>
      <c r="AP255" s="106">
        <f>+HLOOKUP($C255,BP!$EK$2:$EW$250,119,0)</f>
        <v>0</v>
      </c>
      <c r="AQ255" s="106">
        <f>+HLOOKUP($C255,BP!$EK$2:$EW$250,120,0)</f>
        <v>0</v>
      </c>
      <c r="AR255" s="106">
        <f>+HLOOKUP($C255,BP!$EK$2:$EW$250,121,0)</f>
        <v>0</v>
      </c>
      <c r="AS255" s="106">
        <f>+HLOOKUP($C255,BP!$EK$2:$EW$250,122,0)</f>
        <v>0</v>
      </c>
      <c r="AT255" s="106">
        <f>+HLOOKUP($C255,BP!$EK$2:$EW$250,123,0)</f>
        <v>0</v>
      </c>
      <c r="AU255" s="106">
        <f>+HLOOKUP($C255,BP!$EK$2:$EW$250,124,0)</f>
        <v>0</v>
      </c>
      <c r="AV255" s="106">
        <f>+HLOOKUP($C255,BP!$EK$2:$EW$250,125,0)</f>
        <v>0</v>
      </c>
      <c r="AW255" s="106">
        <f>+HLOOKUP($C255,BP!$EK$2:$EW$250,126,0)</f>
        <v>0</v>
      </c>
      <c r="AX255" s="106">
        <f>+HLOOKUP($C255,BP!$EK$2:$EW$250,127,0)</f>
        <v>0</v>
      </c>
      <c r="AY255" s="106">
        <f>+HLOOKUP($C255,BP!$EK$2:$EW$250,129,0)</f>
        <v>0</v>
      </c>
      <c r="AZ255" s="106">
        <f>+HLOOKUP($C255,BP!$EK$2:$EW$250,130,0)</f>
        <v>0</v>
      </c>
      <c r="BA255" s="106">
        <f>+HLOOKUP($C255,BP!$EK$2:$EW$250,131,0)</f>
        <v>0</v>
      </c>
      <c r="BB255" s="106">
        <f>+HLOOKUP($C255,BP!$EK$2:$EW$250,133,0)</f>
        <v>0</v>
      </c>
      <c r="BC255" s="106">
        <f>+HLOOKUP($C255,BP!$EK$2:$EW$250,134,0)</f>
        <v>0</v>
      </c>
      <c r="BD255" s="106">
        <f>+HLOOKUP($C255,BP!$EK$2:$EW$250,135,0)</f>
        <v>0</v>
      </c>
      <c r="BE255" s="106">
        <f>+HLOOKUP($C255,BP!$EK$2:$EW$250,136,0)</f>
        <v>0</v>
      </c>
      <c r="BF255" s="106">
        <f>+HLOOKUP($C255,BP!$EK$2:$EW$250,138,0)</f>
        <v>0</v>
      </c>
      <c r="BG255" s="106">
        <f>+HLOOKUP($C255,BP!$EK$2:$EW$250,139,0)</f>
        <v>0</v>
      </c>
      <c r="BH255" s="106">
        <f>+HLOOKUP($C255,BP!$EK$2:$EW$250,140,0)</f>
        <v>0</v>
      </c>
      <c r="BI255" s="106">
        <f>+HLOOKUP($C255,BP!$EK$2:$EW$250,141,0)</f>
        <v>0</v>
      </c>
      <c r="BJ255" s="106">
        <f>+HLOOKUP($C255,BP!$EK$2:$EW$250,142,0)</f>
        <v>0</v>
      </c>
      <c r="BK255" s="106">
        <f>+HLOOKUP($C255,BP!$EK$2:$EW$250,143,0)</f>
        <v>0</v>
      </c>
      <c r="BL255" s="106">
        <f>+HLOOKUP($C255,BP!$EK$2:$EW$250,144,0)</f>
        <v>0</v>
      </c>
      <c r="BM255" s="106">
        <f>+HLOOKUP($C255,BP!$EK$2:$EW$250,146,0)</f>
        <v>0</v>
      </c>
      <c r="BN255" s="106">
        <f>+HLOOKUP($C255,BP!$EK$2:$EW$250,147,0)</f>
        <v>0</v>
      </c>
      <c r="BO255" s="106">
        <f>+HLOOKUP($C255,BP!$EK$2:$EW$250,148,0)</f>
        <v>0</v>
      </c>
      <c r="BP255" s="106">
        <f>+HLOOKUP($C255,BP!$EK$2:$EW$250,150,0)</f>
        <v>0</v>
      </c>
      <c r="BQ255" s="106">
        <f>+HLOOKUP($C255,BP!$EK$2:$EW$250,151,0)</f>
        <v>0</v>
      </c>
      <c r="BR255" s="106">
        <f>+HLOOKUP($C255,BP!$EK$2:$EW$250,152,0)</f>
        <v>0</v>
      </c>
      <c r="BS255" s="106">
        <f>+HLOOKUP($C255,BP!$EK$2:$EW$250,153,0)</f>
        <v>0</v>
      </c>
      <c r="BT255" s="106">
        <f>+HLOOKUP($C255,BP!$EK$2:$EW$250,157,0)</f>
        <v>0</v>
      </c>
      <c r="BU255" s="106">
        <f>+HLOOKUP($C255,BP!$EK$2:$EW$250,158,0)</f>
        <v>0</v>
      </c>
      <c r="BV255" s="106">
        <f>+HLOOKUP($C255,BP!$EK$2:$EW$250,159,0)</f>
        <v>0</v>
      </c>
      <c r="BW255" s="106">
        <f>+HLOOKUP($C255,BP!$EK$2:$EW$250,160,0)</f>
        <v>0</v>
      </c>
      <c r="BX255" s="106">
        <f>+HLOOKUP($C255,BP!$EK$2:$EW$250,161,0)</f>
        <v>0</v>
      </c>
      <c r="BY255" s="106">
        <f>+HLOOKUP($C255,BP!$EK$2:$EW$250,164,0)</f>
        <v>0</v>
      </c>
      <c r="BZ255" s="106">
        <f>+HLOOKUP($C255,BP!$EK$2:$EW$250,165,0)</f>
        <v>0</v>
      </c>
      <c r="CA255" s="106">
        <f>+HLOOKUP($C255,BP!$EK$2:$EW$250,166,0)</f>
        <v>0</v>
      </c>
      <c r="CB255" s="106">
        <f>+HLOOKUP($C255,BP!$EK$2:$EW$250,167,0)</f>
        <v>0</v>
      </c>
      <c r="CC255" s="106">
        <f>+HLOOKUP($C255,BP!$EK$2:$EW$250,168,0)</f>
        <v>0</v>
      </c>
      <c r="CD255" s="106">
        <f>+HLOOKUP($C255,BP!$EK$2:$EW$250,169,0)</f>
        <v>0</v>
      </c>
      <c r="CE255" s="106">
        <f>+HLOOKUP($C255,BP!$EK$2:$EW$250,170,0)</f>
        <v>0</v>
      </c>
      <c r="CF255" s="106">
        <f>+HLOOKUP($C255,BP!$EK$2:$EW$250,172,0)</f>
        <v>0</v>
      </c>
      <c r="CG255" s="106">
        <f>+HLOOKUP($C255,BP!$EK$2:$EW$250,173,0)</f>
        <v>0</v>
      </c>
      <c r="CH255" s="106">
        <f>+HLOOKUP($C255,BP!$EK$2:$EW$250,174,0)</f>
        <v>0</v>
      </c>
      <c r="CI255" s="106">
        <f>+HLOOKUP($C255,BP!$EK$2:$EW$250,175,0)</f>
        <v>0</v>
      </c>
      <c r="CJ255" s="106">
        <f>+HLOOKUP($C255,BP!$EK$2:$EW$250,176,0)</f>
        <v>0</v>
      </c>
      <c r="CK255" s="106">
        <f>+HLOOKUP($C255,BP!$EK$2:$EW$250,178,0)</f>
        <v>0</v>
      </c>
      <c r="CL255" s="106">
        <f>+HLOOKUP($C255,BP!$EK$2:$EW$250,179,0)</f>
        <v>0</v>
      </c>
      <c r="CM255" s="106">
        <f>+HLOOKUP($C255,BP!$EK$2:$EW$250,180,0)</f>
        <v>0</v>
      </c>
      <c r="CN255" s="106">
        <f>+HLOOKUP($C255,BP!$EK$2:$EW$250,182,0)</f>
        <v>0</v>
      </c>
      <c r="CO255" s="106">
        <f>+HLOOKUP($C255,BP!$EK$2:$EW$250,183,0)</f>
        <v>0</v>
      </c>
      <c r="CP255" s="106">
        <f>+HLOOKUP($C255,BP!$EK$2:$EW$250,184,0)</f>
        <v>0</v>
      </c>
      <c r="CQ255" s="106">
        <f>+HLOOKUP($C255,BP!$EK$2:$EW$250,185,0)</f>
        <v>0</v>
      </c>
      <c r="CR255" s="106">
        <f>+HLOOKUP($C255,BP!$EK$2:$EW$250,187,0)</f>
        <v>0</v>
      </c>
      <c r="CS255" s="106">
        <f>+HLOOKUP($C255,BP!$EK$2:$EW$250,188,0)</f>
        <v>0</v>
      </c>
      <c r="CT255" s="106">
        <f>+HLOOKUP($C255,BP!$EK$2:$EW$250,189,0)</f>
        <v>0</v>
      </c>
      <c r="CU255" s="106">
        <f>+HLOOKUP($C255,BP!$EK$2:$EW$250,190,0)</f>
        <v>0</v>
      </c>
      <c r="CV255" s="106">
        <f>+HLOOKUP($C255,BP!$EK$2:$EW$250,191,0)</f>
        <v>0</v>
      </c>
      <c r="CW255" s="106">
        <f>+HLOOKUP($C255,BP!$EK$2:$EW$250,193,0)</f>
        <v>0</v>
      </c>
      <c r="CX255" s="106">
        <f>+HLOOKUP($C255,BP!$EK$2:$EW$250,194,0)</f>
        <v>0</v>
      </c>
      <c r="CY255" s="106">
        <f>+HLOOKUP($C255,BP!$EK$2:$EW$250,195,0)</f>
        <v>0</v>
      </c>
      <c r="CZ255" s="106">
        <f>+HLOOKUP($C255,BP!$EK$2:$EW$250,196,0)</f>
        <v>0</v>
      </c>
      <c r="DA255" s="106">
        <f>+HLOOKUP($C255,BP!$EK$2:$EW$250,197,0)</f>
        <v>0</v>
      </c>
      <c r="DB255" s="106">
        <f>+HLOOKUP($C255,BP!$EK$2:$EW$250,198,0)</f>
        <v>0</v>
      </c>
      <c r="DC255" s="106">
        <f>+HLOOKUP($C255,BP!$EK$2:$EW$250,199,0)</f>
        <v>0</v>
      </c>
      <c r="DD255" s="106">
        <f>+HLOOKUP($C255,BP!$EK$2:$EW$250,200,0)</f>
        <v>0</v>
      </c>
      <c r="DE255" s="106">
        <f>+HLOOKUP($C255,BP!$EK$2:$EW$250,201,0)</f>
        <v>0</v>
      </c>
      <c r="DF255" s="106">
        <f>+HLOOKUP($C255,BP!$EK$2:$EW$250,202,0)</f>
        <v>0</v>
      </c>
      <c r="DG255" s="106">
        <f>+HLOOKUP($C255,BP!$EK$2:$EW$250,203,0)</f>
        <v>0</v>
      </c>
      <c r="DH255" s="106">
        <f>+HLOOKUP($C255,BP!$EK$2:$EW$250,205,0)</f>
        <v>0</v>
      </c>
      <c r="DI255" s="106">
        <f>+HLOOKUP($C255,BP!$EK$2:$EW$250,206,0)</f>
        <v>0</v>
      </c>
      <c r="DJ255" s="106">
        <f>+HLOOKUP($C255,BP!$EK$2:$EW$250,207,0)</f>
        <v>0</v>
      </c>
      <c r="DK255" s="106">
        <f>+HLOOKUP($C255,BP!$EK$2:$EW$250,209,0)</f>
        <v>0</v>
      </c>
      <c r="DL255" s="106">
        <f>+HLOOKUP($C255,BP!$EK$2:$EW$250,210,0)</f>
        <v>0</v>
      </c>
      <c r="DM255" s="106">
        <f>+HLOOKUP($C255,BP!$EK$2:$EW$250,211,0)</f>
        <v>0</v>
      </c>
      <c r="DN255" s="106">
        <f>+HLOOKUP($C255,BP!$EK$2:$EW$250,212,0)</f>
        <v>0</v>
      </c>
      <c r="DO255" s="106">
        <f>+HLOOKUP($C255,BP!$EK$2:$EW$250,214,0)</f>
        <v>0</v>
      </c>
      <c r="DP255" s="106">
        <f>+HLOOKUP($C255,BP!$EK$2:$EW$250,215,0)</f>
        <v>0</v>
      </c>
      <c r="DQ255" s="106">
        <f>+HLOOKUP($C255,BP!$EK$2:$EW$250,219,0)</f>
        <v>0</v>
      </c>
      <c r="DR255" s="106">
        <f>+HLOOKUP($C255,BP!$EK$2:$EW$250,220,0)</f>
        <v>0</v>
      </c>
      <c r="DS255" s="106">
        <f>+HLOOKUP($C255,BP!$EK$2:$EW$250,221,0)</f>
        <v>0</v>
      </c>
      <c r="DT255" s="106">
        <f>+HLOOKUP($C255,BP!$EK$2:$EW$250,223,0)</f>
        <v>0</v>
      </c>
      <c r="DU255" s="106">
        <f>+HLOOKUP($C255,BP!$EK$2:$EW$250,224,0)</f>
        <v>0</v>
      </c>
      <c r="DV255" s="106">
        <f>+HLOOKUP($C255,BP!$EK$2:$EW$250,225,0)</f>
        <v>0</v>
      </c>
      <c r="DW255" s="106">
        <f>+HLOOKUP($C255,BP!$EK$2:$EW$250,227,0)</f>
        <v>0</v>
      </c>
      <c r="DX255" s="106">
        <f>+HLOOKUP($C255,BP!$EK$2:$EW$250,228,0)</f>
        <v>0</v>
      </c>
      <c r="DY255" s="106">
        <f>+HLOOKUP($C255,BP!$EK$2:$EW$250,236,0)</f>
        <v>0</v>
      </c>
      <c r="DZ255" s="106">
        <f>+HLOOKUP($C255,BP!$EK$2:$EW$250,237,0)</f>
        <v>0</v>
      </c>
      <c r="EA255" s="106">
        <f>+HLOOKUP($C255,BP!$EK$2:$EW$250,238,0)</f>
        <v>0</v>
      </c>
      <c r="EB255" s="106">
        <f>+HLOOKUP($C255,BP!$EK$2:$EW$250,240,0)</f>
        <v>0</v>
      </c>
    </row>
    <row r="256" spans="1:132" hidden="1">
      <c r="A256" t="s">
        <v>272</v>
      </c>
      <c r="B256" t="s">
        <v>218</v>
      </c>
      <c r="C256" s="117">
        <v>45931</v>
      </c>
      <c r="D256" s="106">
        <f t="shared" si="5"/>
        <v>716013.99439999997</v>
      </c>
      <c r="E256" s="106">
        <f>+HLOOKUP(C256,BP!$EK$2:$EW$250,28,0)+HLOOKUP(C256,BP!$EK$2:$EW$250,43,0)+HLOOKUP(C256,BP!$EK$2:$EW$250,44,0)+HLOOKUP(C256,BP!$EK$2:$EW$250,45,0)+HLOOKUP(C256,BP!$EK$2:$EW$250,54,0)+HLOOKUP(C256,BP!$EK$2:$EW$250,59,0)</f>
        <v>716013.99439999997</v>
      </c>
      <c r="F256" s="106">
        <f>+HLOOKUP(C256,BP!$EK$2:$EW$250,37,0)+HLOOKUP(C256,BP!$EK$2:$EW$250,55,0)</f>
        <v>543733.64</v>
      </c>
      <c r="G256" s="106">
        <f>+HLOOKUP($C256,BP!$EK$2:$EW$250,76,0)</f>
        <v>0</v>
      </c>
      <c r="H256" s="106">
        <f>+HLOOKUP($C256,BP!$EK$2:$EW$250,77,0)</f>
        <v>0</v>
      </c>
      <c r="I256" s="106">
        <f>+HLOOKUP($C256,BP!$EK$2:$EW$250,78,0)</f>
        <v>0</v>
      </c>
      <c r="J256" s="106">
        <f>+HLOOKUP($C256,BP!$EK$2:$EW$250,79,0)</f>
        <v>0</v>
      </c>
      <c r="K256" s="106">
        <f>+HLOOKUP($C256,BP!$EK$2:$EW$250,80,0)</f>
        <v>0</v>
      </c>
      <c r="L256" s="106">
        <f>+HLOOKUP($C256,BP!$EK$2:$EW$250,81,0)</f>
        <v>0</v>
      </c>
      <c r="M256" s="106">
        <f>+HLOOKUP($C256,BP!$EK$2:$EW$250,82,0)</f>
        <v>0</v>
      </c>
      <c r="N256" s="106">
        <f>+HLOOKUP($C256,BP!$EK$2:$EW$250,83,0)</f>
        <v>0</v>
      </c>
      <c r="O256" s="106">
        <f>+HLOOKUP($C256,BP!$EK$2:$EW$250,84,0)</f>
        <v>0</v>
      </c>
      <c r="P256" s="106">
        <f>+HLOOKUP($C256,BP!$EK$2:$EW$250,85,0)</f>
        <v>0</v>
      </c>
      <c r="Q256" s="106">
        <f>+HLOOKUP($C256,BP!$EK$2:$EW$250,87,0)</f>
        <v>10649</v>
      </c>
      <c r="R256" s="106">
        <f>+HLOOKUP($C256,BP!$EK$2:$EW$250,90,0)</f>
        <v>0</v>
      </c>
      <c r="S256" s="106">
        <f>+HLOOKUP($C256,BP!$EK$2:$EW$250,91,0)</f>
        <v>0</v>
      </c>
      <c r="T256" s="106">
        <f>+HLOOKUP($C256,BP!$EK$2:$EW$250,92,0)</f>
        <v>0</v>
      </c>
      <c r="U256" s="106">
        <f>+HLOOKUP($C256,BP!$EK$2:$EW$250,93,0)</f>
        <v>0</v>
      </c>
      <c r="V256" s="106">
        <f>+HLOOKUP($C256,BP!$EK$2:$EW$250,94,0)</f>
        <v>0</v>
      </c>
      <c r="W256" s="106">
        <f>+HLOOKUP($C256,BP!$EK$2:$EW$250,95,0)</f>
        <v>0</v>
      </c>
      <c r="X256" s="106">
        <f>+HLOOKUP($C256,BP!$EK$2:$EW$250,96,0)</f>
        <v>0</v>
      </c>
      <c r="Y256" s="106">
        <f>+HLOOKUP($C256,BP!$EK$2:$EW$250,97,0)</f>
        <v>0</v>
      </c>
      <c r="Z256" s="106">
        <f>+HLOOKUP($C256,BP!$EK$2:$EW$250,98,0)</f>
        <v>0</v>
      </c>
      <c r="AA256" s="106">
        <f>+HLOOKUP($C256,BP!$EK$2:$EW$250,99,0)</f>
        <v>0</v>
      </c>
      <c r="AB256" s="106">
        <f>+HLOOKUP($C256,BP!$EK$2:$EW$250,100,0)</f>
        <v>0</v>
      </c>
      <c r="AC256" s="106">
        <f>+HLOOKUP($C256,BP!$EK$2:$EW$250,101,0)</f>
        <v>0</v>
      </c>
      <c r="AD256" s="106">
        <f>+HLOOKUP($C256,BP!$EK$2:$EW$250,104,0)</f>
        <v>0</v>
      </c>
      <c r="AE256" s="106">
        <f>+HLOOKUP($C256,BP!$EK$2:$EW$250,105,0)</f>
        <v>0</v>
      </c>
      <c r="AF256" s="106">
        <f>+HLOOKUP($C256,BP!$EK$2:$EW$250,106,0)</f>
        <v>0</v>
      </c>
      <c r="AG256" s="106">
        <f>+HLOOKUP($C256,BP!$EK$2:$EW$250,107,0)</f>
        <v>0</v>
      </c>
      <c r="AH256" s="106">
        <f>+HLOOKUP($C256,BP!$EK$2:$EW$250,108,0)</f>
        <v>0</v>
      </c>
      <c r="AI256" s="106">
        <f>+HLOOKUP($C256,BP!$EK$2:$EW$250,109,0)</f>
        <v>0</v>
      </c>
      <c r="AJ256" s="106">
        <f>+HLOOKUP($C256,BP!$EK$2:$EW$250,110,0)</f>
        <v>0</v>
      </c>
      <c r="AK256" s="106">
        <f>+HLOOKUP($C256,BP!$EK$2:$EW$250,111,0)</f>
        <v>0</v>
      </c>
      <c r="AL256" s="106">
        <f>+HLOOKUP($C256,BP!$EK$2:$EW$250,112,0)</f>
        <v>0</v>
      </c>
      <c r="AM256" s="106">
        <f>+HLOOKUP($C256,BP!$EK$2:$EW$250,116,0)</f>
        <v>27766</v>
      </c>
      <c r="AN256" s="106">
        <f>+HLOOKUP($C256,BP!$EK$2:$EW$250,117,0)</f>
        <v>4127</v>
      </c>
      <c r="AO256" s="106">
        <f>+HLOOKUP($C256,BP!$EK$2:$EW$250,118,0)</f>
        <v>0</v>
      </c>
      <c r="AP256" s="106">
        <f>+HLOOKUP($C256,BP!$EK$2:$EW$250,119,0)</f>
        <v>11106</v>
      </c>
      <c r="AQ256" s="106">
        <f>+HLOOKUP($C256,BP!$EK$2:$EW$250,120,0)</f>
        <v>0</v>
      </c>
      <c r="AR256" s="106">
        <f>+HLOOKUP($C256,BP!$EK$2:$EW$250,121,0)</f>
        <v>0</v>
      </c>
      <c r="AS256" s="106">
        <f>+HLOOKUP($C256,BP!$EK$2:$EW$250,122,0)</f>
        <v>12532</v>
      </c>
      <c r="AT256" s="106">
        <f>+HLOOKUP($C256,BP!$EK$2:$EW$250,123,0)</f>
        <v>5646.875</v>
      </c>
      <c r="AU256" s="106">
        <f>+HLOOKUP($C256,BP!$EK$2:$EW$250,124,0)</f>
        <v>0</v>
      </c>
      <c r="AV256" s="106">
        <f>+HLOOKUP($C256,BP!$EK$2:$EW$250,125,0)</f>
        <v>0</v>
      </c>
      <c r="AW256" s="106">
        <f>+HLOOKUP($C256,BP!$EK$2:$EW$250,126,0)</f>
        <v>1983.1730769230771</v>
      </c>
      <c r="AX256" s="106">
        <f>+HLOOKUP($C256,BP!$EK$2:$EW$250,127,0)</f>
        <v>3250</v>
      </c>
      <c r="AY256" s="106">
        <f>+HLOOKUP($C256,BP!$EK$2:$EW$250,129,0)</f>
        <v>0</v>
      </c>
      <c r="AZ256" s="106">
        <f>+HLOOKUP($C256,BP!$EK$2:$EW$250,130,0)</f>
        <v>0</v>
      </c>
      <c r="BA256" s="106">
        <f>+HLOOKUP($C256,BP!$EK$2:$EW$250,131,0)</f>
        <v>0</v>
      </c>
      <c r="BB256" s="106">
        <f>+HLOOKUP($C256,BP!$EK$2:$EW$250,133,0)</f>
        <v>0</v>
      </c>
      <c r="BC256" s="106">
        <f>+HLOOKUP($C256,BP!$EK$2:$EW$250,134,0)</f>
        <v>0</v>
      </c>
      <c r="BD256" s="106">
        <f>+HLOOKUP($C256,BP!$EK$2:$EW$250,135,0)</f>
        <v>0</v>
      </c>
      <c r="BE256" s="106">
        <f>+HLOOKUP($C256,BP!$EK$2:$EW$250,136,0)</f>
        <v>0</v>
      </c>
      <c r="BF256" s="106">
        <f>+HLOOKUP($C256,BP!$EK$2:$EW$250,138,0)</f>
        <v>0</v>
      </c>
      <c r="BG256" s="106">
        <f>+HLOOKUP($C256,BP!$EK$2:$EW$250,139,0)</f>
        <v>0</v>
      </c>
      <c r="BH256" s="106">
        <f>+HLOOKUP($C256,BP!$EK$2:$EW$250,140,0)</f>
        <v>0</v>
      </c>
      <c r="BI256" s="106">
        <f>+HLOOKUP($C256,BP!$EK$2:$EW$250,141,0)</f>
        <v>0</v>
      </c>
      <c r="BJ256" s="106">
        <f>+HLOOKUP($C256,BP!$EK$2:$EW$250,142,0)</f>
        <v>0</v>
      </c>
      <c r="BK256" s="106">
        <f>+HLOOKUP($C256,BP!$EK$2:$EW$250,143,0)</f>
        <v>0</v>
      </c>
      <c r="BL256" s="106">
        <f>+HLOOKUP($C256,BP!$EK$2:$EW$250,144,0)</f>
        <v>0</v>
      </c>
      <c r="BM256" s="106">
        <f>+HLOOKUP($C256,BP!$EK$2:$EW$250,146,0)</f>
        <v>0</v>
      </c>
      <c r="BN256" s="106">
        <f>+HLOOKUP($C256,BP!$EK$2:$EW$250,147,0)</f>
        <v>0</v>
      </c>
      <c r="BO256" s="106">
        <f>+HLOOKUP($C256,BP!$EK$2:$EW$250,148,0)</f>
        <v>0</v>
      </c>
      <c r="BP256" s="106">
        <f>+HLOOKUP($C256,BP!$EK$2:$EW$250,150,0)</f>
        <v>0</v>
      </c>
      <c r="BQ256" s="106">
        <f>+HLOOKUP($C256,BP!$EK$2:$EW$250,151,0)</f>
        <v>0</v>
      </c>
      <c r="BR256" s="106">
        <f>+HLOOKUP($C256,BP!$EK$2:$EW$250,152,0)</f>
        <v>0</v>
      </c>
      <c r="BS256" s="106">
        <f>+HLOOKUP($C256,BP!$EK$2:$EW$250,153,0)</f>
        <v>0</v>
      </c>
      <c r="BT256" s="106">
        <f>+HLOOKUP($C256,BP!$EK$2:$EW$250,157,0)</f>
        <v>0</v>
      </c>
      <c r="BU256" s="106">
        <f>+HLOOKUP($C256,BP!$EK$2:$EW$250,158,0)</f>
        <v>0</v>
      </c>
      <c r="BV256" s="106">
        <f>+HLOOKUP($C256,BP!$EK$2:$EW$250,159,0)</f>
        <v>0</v>
      </c>
      <c r="BW256" s="106">
        <f>+HLOOKUP($C256,BP!$EK$2:$EW$250,160,0)</f>
        <v>0</v>
      </c>
      <c r="BX256" s="106">
        <f>+HLOOKUP($C256,BP!$EK$2:$EW$250,161,0)</f>
        <v>0</v>
      </c>
      <c r="BY256" s="106">
        <f>+HLOOKUP($C256,BP!$EK$2:$EW$250,164,0)</f>
        <v>0</v>
      </c>
      <c r="BZ256" s="106">
        <f>+HLOOKUP($C256,BP!$EK$2:$EW$250,165,0)</f>
        <v>0</v>
      </c>
      <c r="CA256" s="106">
        <f>+HLOOKUP($C256,BP!$EK$2:$EW$250,166,0)</f>
        <v>0</v>
      </c>
      <c r="CB256" s="106">
        <f>+HLOOKUP($C256,BP!$EK$2:$EW$250,167,0)</f>
        <v>0</v>
      </c>
      <c r="CC256" s="106">
        <f>+HLOOKUP($C256,BP!$EK$2:$EW$250,168,0)</f>
        <v>0</v>
      </c>
      <c r="CD256" s="106">
        <f>+HLOOKUP($C256,BP!$EK$2:$EW$250,169,0)</f>
        <v>0</v>
      </c>
      <c r="CE256" s="106">
        <f>+HLOOKUP($C256,BP!$EK$2:$EW$250,170,0)</f>
        <v>0</v>
      </c>
      <c r="CF256" s="106">
        <f>+HLOOKUP($C256,BP!$EK$2:$EW$250,172,0)</f>
        <v>0</v>
      </c>
      <c r="CG256" s="106">
        <f>+HLOOKUP($C256,BP!$EK$2:$EW$250,173,0)</f>
        <v>0</v>
      </c>
      <c r="CH256" s="106">
        <f>+HLOOKUP($C256,BP!$EK$2:$EW$250,174,0)</f>
        <v>0</v>
      </c>
      <c r="CI256" s="106">
        <f>+HLOOKUP($C256,BP!$EK$2:$EW$250,175,0)</f>
        <v>0</v>
      </c>
      <c r="CJ256" s="106">
        <f>+HLOOKUP($C256,BP!$EK$2:$EW$250,176,0)</f>
        <v>0</v>
      </c>
      <c r="CK256" s="106">
        <f>+HLOOKUP($C256,BP!$EK$2:$EW$250,178,0)</f>
        <v>13313.199999999999</v>
      </c>
      <c r="CL256" s="106">
        <f>+HLOOKUP($C256,BP!$EK$2:$EW$250,179,0)</f>
        <v>145100</v>
      </c>
      <c r="CM256" s="106">
        <f>+HLOOKUP($C256,BP!$EK$2:$EW$250,180,0)</f>
        <v>0</v>
      </c>
      <c r="CN256" s="106">
        <f>+HLOOKUP($C256,BP!$EK$2:$EW$250,182,0)</f>
        <v>0</v>
      </c>
      <c r="CO256" s="106">
        <f>+HLOOKUP($C256,BP!$EK$2:$EW$250,183,0)</f>
        <v>0</v>
      </c>
      <c r="CP256" s="106">
        <f>+HLOOKUP($C256,BP!$EK$2:$EW$250,184,0)</f>
        <v>0</v>
      </c>
      <c r="CQ256" s="106">
        <f>+HLOOKUP($C256,BP!$EK$2:$EW$250,185,0)</f>
        <v>0</v>
      </c>
      <c r="CR256" s="106">
        <f>+HLOOKUP($C256,BP!$EK$2:$EW$250,187,0)</f>
        <v>1250</v>
      </c>
      <c r="CS256" s="106">
        <f>+HLOOKUP($C256,BP!$EK$2:$EW$250,188,0)</f>
        <v>0</v>
      </c>
      <c r="CT256" s="106">
        <f>+HLOOKUP($C256,BP!$EK$2:$EW$250,189,0)</f>
        <v>0</v>
      </c>
      <c r="CU256" s="106">
        <f>+HLOOKUP($C256,BP!$EK$2:$EW$250,190,0)</f>
        <v>0</v>
      </c>
      <c r="CV256" s="106">
        <f>+HLOOKUP($C256,BP!$EK$2:$EW$250,191,0)</f>
        <v>0</v>
      </c>
      <c r="CW256" s="106">
        <f>+HLOOKUP($C256,BP!$EK$2:$EW$250,193,0)</f>
        <v>4695.2000000000025</v>
      </c>
      <c r="CX256" s="106">
        <f>+HLOOKUP($C256,BP!$EK$2:$EW$250,194,0)</f>
        <v>0</v>
      </c>
      <c r="CY256" s="106">
        <f>+HLOOKUP($C256,BP!$EK$2:$EW$250,195,0)</f>
        <v>0</v>
      </c>
      <c r="CZ256" s="106">
        <f>+HLOOKUP($C256,BP!$EK$2:$EW$250,196,0)</f>
        <v>0</v>
      </c>
      <c r="DA256" s="106">
        <f>+HLOOKUP($C256,BP!$EK$2:$EW$250,197,0)</f>
        <v>0</v>
      </c>
      <c r="DB256" s="106">
        <f>+HLOOKUP($C256,BP!$EK$2:$EW$250,198,0)</f>
        <v>0</v>
      </c>
      <c r="DC256" s="106">
        <f>+HLOOKUP($C256,BP!$EK$2:$EW$250,199,0)</f>
        <v>0</v>
      </c>
      <c r="DD256" s="106">
        <f>+HLOOKUP($C256,BP!$EK$2:$EW$250,200,0)</f>
        <v>0</v>
      </c>
      <c r="DE256" s="106">
        <f>+HLOOKUP($C256,BP!$EK$2:$EW$250,201,0)</f>
        <v>0</v>
      </c>
      <c r="DF256" s="106">
        <f>+HLOOKUP($C256,BP!$EK$2:$EW$250,202,0)</f>
        <v>0</v>
      </c>
      <c r="DG256" s="106">
        <f>+HLOOKUP($C256,BP!$EK$2:$EW$250,203,0)</f>
        <v>0</v>
      </c>
      <c r="DH256" s="106">
        <f>+HLOOKUP($C256,BP!$EK$2:$EW$250,205,0)</f>
        <v>0</v>
      </c>
      <c r="DI256" s="106">
        <f>+HLOOKUP($C256,BP!$EK$2:$EW$250,206,0)</f>
        <v>5969.6</v>
      </c>
      <c r="DJ256" s="106">
        <f>+HLOOKUP($C256,BP!$EK$2:$EW$250,207,0)</f>
        <v>0</v>
      </c>
      <c r="DK256" s="106">
        <f>+HLOOKUP($C256,BP!$EK$2:$EW$250,209,0)</f>
        <v>0</v>
      </c>
      <c r="DL256" s="106">
        <f>+HLOOKUP($C256,BP!$EK$2:$EW$250,210,0)</f>
        <v>178000</v>
      </c>
      <c r="DM256" s="106">
        <f>+HLOOKUP($C256,BP!$EK$2:$EW$250,211,0)</f>
        <v>0</v>
      </c>
      <c r="DN256" s="106">
        <f>+HLOOKUP($C256,BP!$EK$2:$EW$250,212,0)</f>
        <v>0</v>
      </c>
      <c r="DO256" s="106">
        <f>+HLOOKUP($C256,BP!$EK$2:$EW$250,214,0)</f>
        <v>0</v>
      </c>
      <c r="DP256" s="106">
        <f>+HLOOKUP($C256,BP!$EK$2:$EW$250,215,0)</f>
        <v>0</v>
      </c>
      <c r="DQ256" s="106">
        <f>+HLOOKUP($C256,BP!$EK$2:$EW$250,219,0)</f>
        <v>0</v>
      </c>
      <c r="DR256" s="106">
        <f>+HLOOKUP($C256,BP!$EK$2:$EW$250,220,0)</f>
        <v>0</v>
      </c>
      <c r="DS256" s="106">
        <f>+HLOOKUP($C256,BP!$EK$2:$EW$250,221,0)</f>
        <v>0</v>
      </c>
      <c r="DT256" s="106">
        <f>+HLOOKUP($C256,BP!$EK$2:$EW$250,223,0)</f>
        <v>5436.1824000000006</v>
      </c>
      <c r="DU256" s="106">
        <f>+HLOOKUP($C256,BP!$EK$2:$EW$250,224,0)</f>
        <v>0</v>
      </c>
      <c r="DV256" s="106">
        <f>+HLOOKUP($C256,BP!$EK$2:$EW$250,225,0)</f>
        <v>0</v>
      </c>
      <c r="DW256" s="106">
        <f>+HLOOKUP($C256,BP!$EK$2:$EW$250,227,0)</f>
        <v>0</v>
      </c>
      <c r="DX256" s="106">
        <f>+HLOOKUP($C256,BP!$EK$2:$EW$250,228,0)</f>
        <v>470.28000000000003</v>
      </c>
      <c r="DY256" s="106">
        <f>+HLOOKUP($C256,BP!$EK$2:$EW$250,236,0)</f>
        <v>0</v>
      </c>
      <c r="DZ256" s="106">
        <f>+HLOOKUP($C256,BP!$EK$2:$EW$250,237,0)</f>
        <v>0</v>
      </c>
      <c r="EA256" s="106">
        <f>+HLOOKUP($C256,BP!$EK$2:$EW$250,238,0)</f>
        <v>0</v>
      </c>
      <c r="EB256" s="106">
        <f>+HLOOKUP($C256,BP!$EK$2:$EW$250,240,0)</f>
        <v>468618.16800000001</v>
      </c>
    </row>
    <row r="257" spans="1:132" hidden="1">
      <c r="A257" t="s">
        <v>272</v>
      </c>
      <c r="B257" t="s">
        <v>218</v>
      </c>
      <c r="C257" s="117">
        <v>45901</v>
      </c>
      <c r="D257" s="106">
        <f t="shared" si="5"/>
        <v>568352</v>
      </c>
      <c r="E257" s="106">
        <f>+HLOOKUP(C257,BP!$EK$2:$EW$250,28,0)+HLOOKUP(C257,BP!$EK$2:$EW$250,43,0)+HLOOKUP(C257,BP!$EK$2:$EW$250,44,0)+HLOOKUP(C257,BP!$EK$2:$EW$250,45,0)+HLOOKUP(C257,BP!$EK$2:$EW$250,54,0)+HLOOKUP(C257,BP!$EK$2:$EW$250,59,0)</f>
        <v>568352</v>
      </c>
      <c r="F257" s="106">
        <f>+HLOOKUP(C257,BP!$EK$2:$EW$250,37,0)+HLOOKUP(C257,BP!$EK$2:$EW$250,55,0)</f>
        <v>378409.25</v>
      </c>
      <c r="G257" s="106">
        <f>+HLOOKUP($C257,BP!$EK$2:$EW$250,76,0)</f>
        <v>0</v>
      </c>
      <c r="H257" s="106">
        <f>+HLOOKUP($C257,BP!$EK$2:$EW$250,77,0)</f>
        <v>0</v>
      </c>
      <c r="I257" s="106">
        <f>+HLOOKUP($C257,BP!$EK$2:$EW$250,78,0)</f>
        <v>0</v>
      </c>
      <c r="J257" s="106">
        <f>+HLOOKUP($C257,BP!$EK$2:$EW$250,79,0)</f>
        <v>0</v>
      </c>
      <c r="K257" s="106">
        <f>+HLOOKUP($C257,BP!$EK$2:$EW$250,80,0)</f>
        <v>0</v>
      </c>
      <c r="L257" s="106">
        <f>+HLOOKUP($C257,BP!$EK$2:$EW$250,81,0)</f>
        <v>0</v>
      </c>
      <c r="M257" s="106">
        <f>+HLOOKUP($C257,BP!$EK$2:$EW$250,82,0)</f>
        <v>0</v>
      </c>
      <c r="N257" s="106">
        <f>+HLOOKUP($C257,BP!$EK$2:$EW$250,83,0)</f>
        <v>0</v>
      </c>
      <c r="O257" s="106">
        <f>+HLOOKUP($C257,BP!$EK$2:$EW$250,84,0)</f>
        <v>0</v>
      </c>
      <c r="P257" s="106">
        <f>+HLOOKUP($C257,BP!$EK$2:$EW$250,85,0)</f>
        <v>0</v>
      </c>
      <c r="Q257" s="106">
        <f>+HLOOKUP($C257,BP!$EK$2:$EW$250,87,0)</f>
        <v>14323.2</v>
      </c>
      <c r="R257" s="106">
        <f>+HLOOKUP($C257,BP!$EK$2:$EW$250,90,0)</f>
        <v>0</v>
      </c>
      <c r="S257" s="106">
        <f>+HLOOKUP($C257,BP!$EK$2:$EW$250,91,0)</f>
        <v>0</v>
      </c>
      <c r="T257" s="106">
        <f>+HLOOKUP($C257,BP!$EK$2:$EW$250,92,0)</f>
        <v>0</v>
      </c>
      <c r="U257" s="106">
        <f>+HLOOKUP($C257,BP!$EK$2:$EW$250,93,0)</f>
        <v>0</v>
      </c>
      <c r="V257" s="106">
        <f>+HLOOKUP($C257,BP!$EK$2:$EW$250,94,0)</f>
        <v>0</v>
      </c>
      <c r="W257" s="106">
        <f>+HLOOKUP($C257,BP!$EK$2:$EW$250,95,0)</f>
        <v>0</v>
      </c>
      <c r="X257" s="106">
        <f>+HLOOKUP($C257,BP!$EK$2:$EW$250,96,0)</f>
        <v>0</v>
      </c>
      <c r="Y257" s="106">
        <f>+HLOOKUP($C257,BP!$EK$2:$EW$250,97,0)</f>
        <v>0</v>
      </c>
      <c r="Z257" s="106">
        <f>+HLOOKUP($C257,BP!$EK$2:$EW$250,98,0)</f>
        <v>0</v>
      </c>
      <c r="AA257" s="106">
        <f>+HLOOKUP($C257,BP!$EK$2:$EW$250,99,0)</f>
        <v>0</v>
      </c>
      <c r="AB257" s="106">
        <f>+HLOOKUP($C257,BP!$EK$2:$EW$250,100,0)</f>
        <v>0</v>
      </c>
      <c r="AC257" s="106">
        <f>+HLOOKUP($C257,BP!$EK$2:$EW$250,101,0)</f>
        <v>0</v>
      </c>
      <c r="AD257" s="106">
        <f>+HLOOKUP($C257,BP!$EK$2:$EW$250,104,0)</f>
        <v>0</v>
      </c>
      <c r="AE257" s="106">
        <f>+HLOOKUP($C257,BP!$EK$2:$EW$250,105,0)</f>
        <v>0</v>
      </c>
      <c r="AF257" s="106">
        <f>+HLOOKUP($C257,BP!$EK$2:$EW$250,106,0)</f>
        <v>0</v>
      </c>
      <c r="AG257" s="106">
        <f>+HLOOKUP($C257,BP!$EK$2:$EW$250,107,0)</f>
        <v>0</v>
      </c>
      <c r="AH257" s="106">
        <f>+HLOOKUP($C257,BP!$EK$2:$EW$250,108,0)</f>
        <v>0</v>
      </c>
      <c r="AI257" s="106">
        <f>+HLOOKUP($C257,BP!$EK$2:$EW$250,109,0)</f>
        <v>0</v>
      </c>
      <c r="AJ257" s="106">
        <f>+HLOOKUP($C257,BP!$EK$2:$EW$250,110,0)</f>
        <v>0</v>
      </c>
      <c r="AK257" s="106">
        <f>+HLOOKUP($C257,BP!$EK$2:$EW$250,111,0)</f>
        <v>0</v>
      </c>
      <c r="AL257" s="106">
        <f>+HLOOKUP($C257,BP!$EK$2:$EW$250,112,0)</f>
        <v>0</v>
      </c>
      <c r="AM257" s="106">
        <f>+HLOOKUP($C257,BP!$EK$2:$EW$250,116,0)</f>
        <v>26510</v>
      </c>
      <c r="AN257" s="106">
        <f>+HLOOKUP($C257,BP!$EK$2:$EW$250,117,0)</f>
        <v>3939</v>
      </c>
      <c r="AO257" s="106">
        <f>+HLOOKUP($C257,BP!$EK$2:$EW$250,118,0)</f>
        <v>0</v>
      </c>
      <c r="AP257" s="106">
        <f>+HLOOKUP($C257,BP!$EK$2:$EW$250,119,0)</f>
        <v>10604</v>
      </c>
      <c r="AQ257" s="106">
        <f>+HLOOKUP($C257,BP!$EK$2:$EW$250,120,0)</f>
        <v>0</v>
      </c>
      <c r="AR257" s="106">
        <f>+HLOOKUP($C257,BP!$EK$2:$EW$250,121,0)</f>
        <v>0</v>
      </c>
      <c r="AS257" s="106">
        <f>+HLOOKUP($C257,BP!$EK$2:$EW$250,122,0)</f>
        <v>11967</v>
      </c>
      <c r="AT257" s="106">
        <f>+HLOOKUP($C257,BP!$EK$2:$EW$250,123,0)</f>
        <v>5646.875</v>
      </c>
      <c r="AU257" s="106">
        <f>+HLOOKUP($C257,BP!$EK$2:$EW$250,124,0)</f>
        <v>0</v>
      </c>
      <c r="AV257" s="106">
        <f>+HLOOKUP($C257,BP!$EK$2:$EW$250,125,0)</f>
        <v>10080</v>
      </c>
      <c r="AW257" s="106">
        <f>+HLOOKUP($C257,BP!$EK$2:$EW$250,126,0)</f>
        <v>1983.1730769230771</v>
      </c>
      <c r="AX257" s="106">
        <f>+HLOOKUP($C257,BP!$EK$2:$EW$250,127,0)</f>
        <v>3250</v>
      </c>
      <c r="AY257" s="106">
        <f>+HLOOKUP($C257,BP!$EK$2:$EW$250,129,0)</f>
        <v>0</v>
      </c>
      <c r="AZ257" s="106">
        <f>+HLOOKUP($C257,BP!$EK$2:$EW$250,130,0)</f>
        <v>0</v>
      </c>
      <c r="BA257" s="106">
        <f>+HLOOKUP($C257,BP!$EK$2:$EW$250,131,0)</f>
        <v>0</v>
      </c>
      <c r="BB257" s="106">
        <f>+HLOOKUP($C257,BP!$EK$2:$EW$250,133,0)</f>
        <v>0</v>
      </c>
      <c r="BC257" s="106">
        <f>+HLOOKUP($C257,BP!$EK$2:$EW$250,134,0)</f>
        <v>0</v>
      </c>
      <c r="BD257" s="106">
        <f>+HLOOKUP($C257,BP!$EK$2:$EW$250,135,0)</f>
        <v>0</v>
      </c>
      <c r="BE257" s="106">
        <f>+HLOOKUP($C257,BP!$EK$2:$EW$250,136,0)</f>
        <v>0</v>
      </c>
      <c r="BF257" s="106">
        <f>+HLOOKUP($C257,BP!$EK$2:$EW$250,138,0)</f>
        <v>0</v>
      </c>
      <c r="BG257" s="106">
        <f>+HLOOKUP($C257,BP!$EK$2:$EW$250,139,0)</f>
        <v>0</v>
      </c>
      <c r="BH257" s="106">
        <f>+HLOOKUP($C257,BP!$EK$2:$EW$250,140,0)</f>
        <v>0</v>
      </c>
      <c r="BI257" s="106">
        <f>+HLOOKUP($C257,BP!$EK$2:$EW$250,141,0)</f>
        <v>0</v>
      </c>
      <c r="BJ257" s="106">
        <f>+HLOOKUP($C257,BP!$EK$2:$EW$250,142,0)</f>
        <v>0</v>
      </c>
      <c r="BK257" s="106">
        <f>+HLOOKUP($C257,BP!$EK$2:$EW$250,143,0)</f>
        <v>0</v>
      </c>
      <c r="BL257" s="106">
        <f>+HLOOKUP($C257,BP!$EK$2:$EW$250,144,0)</f>
        <v>10921.6</v>
      </c>
      <c r="BM257" s="106">
        <f>+HLOOKUP($C257,BP!$EK$2:$EW$250,146,0)</f>
        <v>0</v>
      </c>
      <c r="BN257" s="106">
        <f>+HLOOKUP($C257,BP!$EK$2:$EW$250,147,0)</f>
        <v>0</v>
      </c>
      <c r="BO257" s="106">
        <f>+HLOOKUP($C257,BP!$EK$2:$EW$250,148,0)</f>
        <v>0</v>
      </c>
      <c r="BP257" s="106">
        <f>+HLOOKUP($C257,BP!$EK$2:$EW$250,150,0)</f>
        <v>31509.199999999997</v>
      </c>
      <c r="BQ257" s="106">
        <f>+HLOOKUP($C257,BP!$EK$2:$EW$250,151,0)</f>
        <v>1984.4</v>
      </c>
      <c r="BR257" s="106">
        <f>+HLOOKUP($C257,BP!$EK$2:$EW$250,152,0)</f>
        <v>12800</v>
      </c>
      <c r="BS257" s="106">
        <f>+HLOOKUP($C257,BP!$EK$2:$EW$250,153,0)</f>
        <v>0</v>
      </c>
      <c r="BT257" s="106">
        <f>+HLOOKUP($C257,BP!$EK$2:$EW$250,157,0)</f>
        <v>0</v>
      </c>
      <c r="BU257" s="106">
        <f>+HLOOKUP($C257,BP!$EK$2:$EW$250,158,0)</f>
        <v>0</v>
      </c>
      <c r="BV257" s="106">
        <f>+HLOOKUP($C257,BP!$EK$2:$EW$250,159,0)</f>
        <v>0</v>
      </c>
      <c r="BW257" s="106">
        <f>+HLOOKUP($C257,BP!$EK$2:$EW$250,160,0)</f>
        <v>0</v>
      </c>
      <c r="BX257" s="106">
        <f>+HLOOKUP($C257,BP!$EK$2:$EW$250,161,0)</f>
        <v>0</v>
      </c>
      <c r="BY257" s="106">
        <f>+HLOOKUP($C257,BP!$EK$2:$EW$250,164,0)</f>
        <v>0</v>
      </c>
      <c r="BZ257" s="106">
        <f>+HLOOKUP($C257,BP!$EK$2:$EW$250,165,0)</f>
        <v>0</v>
      </c>
      <c r="CA257" s="106">
        <f>+HLOOKUP($C257,BP!$EK$2:$EW$250,166,0)</f>
        <v>0</v>
      </c>
      <c r="CB257" s="106">
        <f>+HLOOKUP($C257,BP!$EK$2:$EW$250,167,0)</f>
        <v>0</v>
      </c>
      <c r="CC257" s="106">
        <f>+HLOOKUP($C257,BP!$EK$2:$EW$250,168,0)</f>
        <v>0</v>
      </c>
      <c r="CD257" s="106">
        <f>+HLOOKUP($C257,BP!$EK$2:$EW$250,169,0)</f>
        <v>0</v>
      </c>
      <c r="CE257" s="106">
        <f>+HLOOKUP($C257,BP!$EK$2:$EW$250,170,0)</f>
        <v>0</v>
      </c>
      <c r="CF257" s="106">
        <f>+HLOOKUP($C257,BP!$EK$2:$EW$250,172,0)</f>
        <v>0</v>
      </c>
      <c r="CG257" s="106">
        <f>+HLOOKUP($C257,BP!$EK$2:$EW$250,173,0)</f>
        <v>0</v>
      </c>
      <c r="CH257" s="106">
        <f>+HLOOKUP($C257,BP!$EK$2:$EW$250,174,0)</f>
        <v>0</v>
      </c>
      <c r="CI257" s="106">
        <f>+HLOOKUP($C257,BP!$EK$2:$EW$250,175,0)</f>
        <v>0</v>
      </c>
      <c r="CJ257" s="106">
        <f>+HLOOKUP($C257,BP!$EK$2:$EW$250,176,0)</f>
        <v>0</v>
      </c>
      <c r="CK257" s="106">
        <f>+HLOOKUP($C257,BP!$EK$2:$EW$250,178,0)</f>
        <v>18165.599999999999</v>
      </c>
      <c r="CL257" s="106">
        <f>+HLOOKUP($C257,BP!$EK$2:$EW$250,179,0)</f>
        <v>137334.39999999999</v>
      </c>
      <c r="CM257" s="106">
        <f>+HLOOKUP($C257,BP!$EK$2:$EW$250,180,0)</f>
        <v>0</v>
      </c>
      <c r="CN257" s="106">
        <f>+HLOOKUP($C257,BP!$EK$2:$EW$250,182,0)</f>
        <v>0</v>
      </c>
      <c r="CO257" s="106">
        <f>+HLOOKUP($C257,BP!$EK$2:$EW$250,183,0)</f>
        <v>0</v>
      </c>
      <c r="CP257" s="106">
        <f>+HLOOKUP($C257,BP!$EK$2:$EW$250,184,0)</f>
        <v>0</v>
      </c>
      <c r="CQ257" s="106">
        <f>+HLOOKUP($C257,BP!$EK$2:$EW$250,185,0)</f>
        <v>0</v>
      </c>
      <c r="CR257" s="106">
        <f>+HLOOKUP($C257,BP!$EK$2:$EW$250,187,0)</f>
        <v>1250</v>
      </c>
      <c r="CS257" s="106">
        <f>+HLOOKUP($C257,BP!$EK$2:$EW$250,188,0)</f>
        <v>0</v>
      </c>
      <c r="CT257" s="106">
        <f>+HLOOKUP($C257,BP!$EK$2:$EW$250,189,0)</f>
        <v>0</v>
      </c>
      <c r="CU257" s="106">
        <f>+HLOOKUP($C257,BP!$EK$2:$EW$250,190,0)</f>
        <v>0</v>
      </c>
      <c r="CV257" s="106">
        <f>+HLOOKUP($C257,BP!$EK$2:$EW$250,191,0)</f>
        <v>0</v>
      </c>
      <c r="CW257" s="106">
        <f>+HLOOKUP($C257,BP!$EK$2:$EW$250,193,0)</f>
        <v>4695.2000000000007</v>
      </c>
      <c r="CX257" s="106">
        <f>+HLOOKUP($C257,BP!$EK$2:$EW$250,194,0)</f>
        <v>0</v>
      </c>
      <c r="CY257" s="106">
        <f>+HLOOKUP($C257,BP!$EK$2:$EW$250,195,0)</f>
        <v>866.80000000000007</v>
      </c>
      <c r="CZ257" s="106">
        <f>+HLOOKUP($C257,BP!$EK$2:$EW$250,196,0)</f>
        <v>0</v>
      </c>
      <c r="DA257" s="106">
        <f>+HLOOKUP($C257,BP!$EK$2:$EW$250,197,0)</f>
        <v>0</v>
      </c>
      <c r="DB257" s="106">
        <f>+HLOOKUP($C257,BP!$EK$2:$EW$250,198,0)</f>
        <v>0</v>
      </c>
      <c r="DC257" s="106">
        <f>+HLOOKUP($C257,BP!$EK$2:$EW$250,199,0)</f>
        <v>0</v>
      </c>
      <c r="DD257" s="106">
        <f>+HLOOKUP($C257,BP!$EK$2:$EW$250,200,0)</f>
        <v>0</v>
      </c>
      <c r="DE257" s="106">
        <f>+HLOOKUP($C257,BP!$EK$2:$EW$250,201,0)</f>
        <v>0</v>
      </c>
      <c r="DF257" s="106">
        <f>+HLOOKUP($C257,BP!$EK$2:$EW$250,202,0)</f>
        <v>0</v>
      </c>
      <c r="DG257" s="106">
        <f>+HLOOKUP($C257,BP!$EK$2:$EW$250,203,0)</f>
        <v>0</v>
      </c>
      <c r="DH257" s="106">
        <f>+HLOOKUP($C257,BP!$EK$2:$EW$250,205,0)</f>
        <v>0</v>
      </c>
      <c r="DI257" s="106">
        <f>+HLOOKUP($C257,BP!$EK$2:$EW$250,206,0)</f>
        <v>0</v>
      </c>
      <c r="DJ257" s="106">
        <f>+HLOOKUP($C257,BP!$EK$2:$EW$250,207,0)</f>
        <v>0</v>
      </c>
      <c r="DK257" s="106">
        <f>+HLOOKUP($C257,BP!$EK$2:$EW$250,209,0)</f>
        <v>0</v>
      </c>
      <c r="DL257" s="106">
        <f>+HLOOKUP($C257,BP!$EK$2:$EW$250,210,0)</f>
        <v>178000</v>
      </c>
      <c r="DM257" s="106">
        <f>+HLOOKUP($C257,BP!$EK$2:$EW$250,211,0)</f>
        <v>0</v>
      </c>
      <c r="DN257" s="106">
        <f>+HLOOKUP($C257,BP!$EK$2:$EW$250,212,0)</f>
        <v>0</v>
      </c>
      <c r="DO257" s="106">
        <f>+HLOOKUP($C257,BP!$EK$2:$EW$250,214,0)</f>
        <v>0</v>
      </c>
      <c r="DP257" s="106">
        <f>+HLOOKUP($C257,BP!$EK$2:$EW$250,215,0)</f>
        <v>0</v>
      </c>
      <c r="DQ257" s="106">
        <f>+HLOOKUP($C257,BP!$EK$2:$EW$250,219,0)</f>
        <v>0</v>
      </c>
      <c r="DR257" s="106">
        <f>+HLOOKUP($C257,BP!$EK$2:$EW$250,220,0)</f>
        <v>0</v>
      </c>
      <c r="DS257" s="106">
        <f>+HLOOKUP($C257,BP!$EK$2:$EW$250,221,0)</f>
        <v>0</v>
      </c>
      <c r="DT257" s="106">
        <f>+HLOOKUP($C257,BP!$EK$2:$EW$250,223,0)</f>
        <v>0</v>
      </c>
      <c r="DU257" s="106">
        <f>+HLOOKUP($C257,BP!$EK$2:$EW$250,224,0)</f>
        <v>0</v>
      </c>
      <c r="DV257" s="106">
        <f>+HLOOKUP($C257,BP!$EK$2:$EW$250,225,0)</f>
        <v>0</v>
      </c>
      <c r="DW257" s="106">
        <f>+HLOOKUP($C257,BP!$EK$2:$EW$250,227,0)</f>
        <v>0</v>
      </c>
      <c r="DX257" s="106">
        <f>+HLOOKUP($C257,BP!$EK$2:$EW$250,228,0)</f>
        <v>0</v>
      </c>
      <c r="DY257" s="106">
        <f>+HLOOKUP($C257,BP!$EK$2:$EW$250,236,0)</f>
        <v>0</v>
      </c>
      <c r="DZ257" s="106">
        <f>+HLOOKUP($C257,BP!$EK$2:$EW$250,237,0)</f>
        <v>0</v>
      </c>
      <c r="EA257" s="106">
        <f>+HLOOKUP($C257,BP!$EK$2:$EW$250,238,0)</f>
        <v>0</v>
      </c>
      <c r="EB257" s="106">
        <f>+HLOOKUP($C257,BP!$EK$2:$EW$250,240,0)</f>
        <v>468618.16800000001</v>
      </c>
    </row>
    <row r="258" spans="1:132" hidden="1">
      <c r="A258" t="s">
        <v>272</v>
      </c>
      <c r="B258" t="s">
        <v>218</v>
      </c>
      <c r="C258" s="117">
        <v>45870</v>
      </c>
      <c r="D258" s="106">
        <f t="shared" si="5"/>
        <v>1576165.45</v>
      </c>
      <c r="E258" s="106">
        <f>+HLOOKUP(C258,BP!$EK$2:$EW$250,28,0)+HLOOKUP(C258,BP!$EK$2:$EW$250,43,0)+HLOOKUP(C258,BP!$EK$2:$EW$250,44,0)+HLOOKUP(C258,BP!$EK$2:$EW$250,45,0)+HLOOKUP(C258,BP!$EK$2:$EW$250,54,0)+HLOOKUP(C258,BP!$EK$2:$EW$250,59,0)</f>
        <v>1576165.45</v>
      </c>
      <c r="F258" s="106">
        <f>+HLOOKUP(C258,BP!$EK$2:$EW$250,37,0)+HLOOKUP(C258,BP!$EK$2:$EW$250,55,0)</f>
        <v>1040168.586</v>
      </c>
      <c r="G258" s="106">
        <f>+HLOOKUP($C258,BP!$EK$2:$EW$250,76,0)</f>
        <v>0</v>
      </c>
      <c r="H258" s="106">
        <f>+HLOOKUP($C258,BP!$EK$2:$EW$250,77,0)</f>
        <v>0</v>
      </c>
      <c r="I258" s="106">
        <f>+HLOOKUP($C258,BP!$EK$2:$EW$250,78,0)</f>
        <v>0</v>
      </c>
      <c r="J258" s="106">
        <f>+HLOOKUP($C258,BP!$EK$2:$EW$250,79,0)</f>
        <v>0</v>
      </c>
      <c r="K258" s="106">
        <f>+HLOOKUP($C258,BP!$EK$2:$EW$250,80,0)</f>
        <v>0</v>
      </c>
      <c r="L258" s="106">
        <f>+HLOOKUP($C258,BP!$EK$2:$EW$250,81,0)</f>
        <v>0</v>
      </c>
      <c r="M258" s="106">
        <f>+HLOOKUP($C258,BP!$EK$2:$EW$250,82,0)</f>
        <v>0</v>
      </c>
      <c r="N258" s="106">
        <f>+HLOOKUP($C258,BP!$EK$2:$EW$250,83,0)</f>
        <v>0</v>
      </c>
      <c r="O258" s="106">
        <f>+HLOOKUP($C258,BP!$EK$2:$EW$250,84,0)</f>
        <v>0</v>
      </c>
      <c r="P258" s="106">
        <f>+HLOOKUP($C258,BP!$EK$2:$EW$250,85,0)</f>
        <v>0</v>
      </c>
      <c r="Q258" s="106">
        <f>+HLOOKUP($C258,BP!$EK$2:$EW$250,87,0)</f>
        <v>0</v>
      </c>
      <c r="R258" s="106">
        <f>+HLOOKUP($C258,BP!$EK$2:$EW$250,90,0)</f>
        <v>0</v>
      </c>
      <c r="S258" s="106">
        <f>+HLOOKUP($C258,BP!$EK$2:$EW$250,91,0)</f>
        <v>0</v>
      </c>
      <c r="T258" s="106">
        <f>+HLOOKUP($C258,BP!$EK$2:$EW$250,92,0)</f>
        <v>0</v>
      </c>
      <c r="U258" s="106">
        <f>+HLOOKUP($C258,BP!$EK$2:$EW$250,93,0)</f>
        <v>0</v>
      </c>
      <c r="V258" s="106">
        <f>+HLOOKUP($C258,BP!$EK$2:$EW$250,94,0)</f>
        <v>0</v>
      </c>
      <c r="W258" s="106">
        <f>+HLOOKUP($C258,BP!$EK$2:$EW$250,95,0)</f>
        <v>0</v>
      </c>
      <c r="X258" s="106">
        <f>+HLOOKUP($C258,BP!$EK$2:$EW$250,96,0)</f>
        <v>0</v>
      </c>
      <c r="Y258" s="106">
        <f>+HLOOKUP($C258,BP!$EK$2:$EW$250,97,0)</f>
        <v>0</v>
      </c>
      <c r="Z258" s="106">
        <f>+HLOOKUP($C258,BP!$EK$2:$EW$250,98,0)</f>
        <v>0</v>
      </c>
      <c r="AA258" s="106">
        <f>+HLOOKUP($C258,BP!$EK$2:$EW$250,99,0)</f>
        <v>0</v>
      </c>
      <c r="AB258" s="106">
        <f>+HLOOKUP($C258,BP!$EK$2:$EW$250,100,0)</f>
        <v>0</v>
      </c>
      <c r="AC258" s="106">
        <f>+HLOOKUP($C258,BP!$EK$2:$EW$250,101,0)</f>
        <v>0</v>
      </c>
      <c r="AD258" s="106">
        <f>+HLOOKUP($C258,BP!$EK$2:$EW$250,104,0)</f>
        <v>0</v>
      </c>
      <c r="AE258" s="106">
        <f>+HLOOKUP($C258,BP!$EK$2:$EW$250,105,0)</f>
        <v>0</v>
      </c>
      <c r="AF258" s="106">
        <f>+HLOOKUP($C258,BP!$EK$2:$EW$250,106,0)</f>
        <v>0</v>
      </c>
      <c r="AG258" s="106">
        <f>+HLOOKUP($C258,BP!$EK$2:$EW$250,107,0)</f>
        <v>0</v>
      </c>
      <c r="AH258" s="106">
        <f>+HLOOKUP($C258,BP!$EK$2:$EW$250,108,0)</f>
        <v>0</v>
      </c>
      <c r="AI258" s="106">
        <f>+HLOOKUP($C258,BP!$EK$2:$EW$250,109,0)</f>
        <v>0</v>
      </c>
      <c r="AJ258" s="106">
        <f>+HLOOKUP($C258,BP!$EK$2:$EW$250,110,0)</f>
        <v>0</v>
      </c>
      <c r="AK258" s="106">
        <f>+HLOOKUP($C258,BP!$EK$2:$EW$250,111,0)</f>
        <v>0</v>
      </c>
      <c r="AL258" s="106">
        <f>+HLOOKUP($C258,BP!$EK$2:$EW$250,112,0)</f>
        <v>0</v>
      </c>
      <c r="AM258" s="106">
        <f>+HLOOKUP($C258,BP!$EK$2:$EW$250,116,0)</f>
        <v>28250</v>
      </c>
      <c r="AN258" s="106">
        <f>+HLOOKUP($C258,BP!$EK$2:$EW$250,117,0)</f>
        <v>4200</v>
      </c>
      <c r="AO258" s="106">
        <f>+HLOOKUP($C258,BP!$EK$2:$EW$250,118,0)</f>
        <v>0</v>
      </c>
      <c r="AP258" s="106">
        <f>+HLOOKUP($C258,BP!$EK$2:$EW$250,119,0)</f>
        <v>11300</v>
      </c>
      <c r="AQ258" s="106">
        <f>+HLOOKUP($C258,BP!$EK$2:$EW$250,120,0)</f>
        <v>0</v>
      </c>
      <c r="AR258" s="106">
        <f>+HLOOKUP($C258,BP!$EK$2:$EW$250,121,0)</f>
        <v>0</v>
      </c>
      <c r="AS258" s="106">
        <f>+HLOOKUP($C258,BP!$EK$2:$EW$250,122,0)</f>
        <v>12750</v>
      </c>
      <c r="AT258" s="106">
        <f>+HLOOKUP($C258,BP!$EK$2:$EW$250,123,0)</f>
        <v>5646.875</v>
      </c>
      <c r="AU258" s="106">
        <f>+HLOOKUP($C258,BP!$EK$2:$EW$250,124,0)</f>
        <v>0</v>
      </c>
      <c r="AV258" s="106">
        <f>+HLOOKUP($C258,BP!$EK$2:$EW$250,125,0)</f>
        <v>10080</v>
      </c>
      <c r="AW258" s="106">
        <f>+HLOOKUP($C258,BP!$EK$2:$EW$250,126,0)</f>
        <v>1983.1730769230771</v>
      </c>
      <c r="AX258" s="106">
        <f>+HLOOKUP($C258,BP!$EK$2:$EW$250,127,0)</f>
        <v>3250</v>
      </c>
      <c r="AY258" s="106">
        <f>+HLOOKUP($C258,BP!$EK$2:$EW$250,129,0)</f>
        <v>0</v>
      </c>
      <c r="AZ258" s="106">
        <f>+HLOOKUP($C258,BP!$EK$2:$EW$250,130,0)</f>
        <v>0</v>
      </c>
      <c r="BA258" s="106">
        <f>+HLOOKUP($C258,BP!$EK$2:$EW$250,131,0)</f>
        <v>0</v>
      </c>
      <c r="BB258" s="106">
        <f>+HLOOKUP($C258,BP!$EK$2:$EW$250,133,0)</f>
        <v>0</v>
      </c>
      <c r="BC258" s="106">
        <f>+HLOOKUP($C258,BP!$EK$2:$EW$250,134,0)</f>
        <v>0</v>
      </c>
      <c r="BD258" s="106">
        <f>+HLOOKUP($C258,BP!$EK$2:$EW$250,135,0)</f>
        <v>0</v>
      </c>
      <c r="BE258" s="106">
        <f>+HLOOKUP($C258,BP!$EK$2:$EW$250,136,0)</f>
        <v>0</v>
      </c>
      <c r="BF258" s="106">
        <f>+HLOOKUP($C258,BP!$EK$2:$EW$250,138,0)</f>
        <v>0</v>
      </c>
      <c r="BG258" s="106">
        <f>+HLOOKUP($C258,BP!$EK$2:$EW$250,139,0)</f>
        <v>0</v>
      </c>
      <c r="BH258" s="106">
        <f>+HLOOKUP($C258,BP!$EK$2:$EW$250,140,0)</f>
        <v>0</v>
      </c>
      <c r="BI258" s="106">
        <f>+HLOOKUP($C258,BP!$EK$2:$EW$250,141,0)</f>
        <v>0</v>
      </c>
      <c r="BJ258" s="106">
        <f>+HLOOKUP($C258,BP!$EK$2:$EW$250,142,0)</f>
        <v>0</v>
      </c>
      <c r="BK258" s="106">
        <f>+HLOOKUP($C258,BP!$EK$2:$EW$250,143,0)</f>
        <v>0</v>
      </c>
      <c r="BL258" s="106">
        <f>+HLOOKUP($C258,BP!$EK$2:$EW$250,144,0)</f>
        <v>0</v>
      </c>
      <c r="BM258" s="106">
        <f>+HLOOKUP($C258,BP!$EK$2:$EW$250,146,0)</f>
        <v>0</v>
      </c>
      <c r="BN258" s="106">
        <f>+HLOOKUP($C258,BP!$EK$2:$EW$250,147,0)</f>
        <v>0</v>
      </c>
      <c r="BO258" s="106">
        <f>+HLOOKUP($C258,BP!$EK$2:$EW$250,148,0)</f>
        <v>0</v>
      </c>
      <c r="BP258" s="106">
        <f>+HLOOKUP($C258,BP!$EK$2:$EW$250,150,0)</f>
        <v>0</v>
      </c>
      <c r="BQ258" s="106">
        <f>+HLOOKUP($C258,BP!$EK$2:$EW$250,151,0)</f>
        <v>0</v>
      </c>
      <c r="BR258" s="106">
        <f>+HLOOKUP($C258,BP!$EK$2:$EW$250,152,0)</f>
        <v>0</v>
      </c>
      <c r="BS258" s="106">
        <f>+HLOOKUP($C258,BP!$EK$2:$EW$250,153,0)</f>
        <v>0</v>
      </c>
      <c r="BT258" s="106">
        <f>+HLOOKUP($C258,BP!$EK$2:$EW$250,157,0)</f>
        <v>0</v>
      </c>
      <c r="BU258" s="106">
        <f>+HLOOKUP($C258,BP!$EK$2:$EW$250,158,0)</f>
        <v>0</v>
      </c>
      <c r="BV258" s="106">
        <f>+HLOOKUP($C258,BP!$EK$2:$EW$250,159,0)</f>
        <v>0</v>
      </c>
      <c r="BW258" s="106">
        <f>+HLOOKUP($C258,BP!$EK$2:$EW$250,160,0)</f>
        <v>0</v>
      </c>
      <c r="BX258" s="106">
        <f>+HLOOKUP($C258,BP!$EK$2:$EW$250,161,0)</f>
        <v>0</v>
      </c>
      <c r="BY258" s="106">
        <f>+HLOOKUP($C258,BP!$EK$2:$EW$250,164,0)</f>
        <v>0</v>
      </c>
      <c r="BZ258" s="106">
        <f>+HLOOKUP($C258,BP!$EK$2:$EW$250,165,0)</f>
        <v>0</v>
      </c>
      <c r="CA258" s="106">
        <f>+HLOOKUP($C258,BP!$EK$2:$EW$250,166,0)</f>
        <v>0</v>
      </c>
      <c r="CB258" s="106">
        <f>+HLOOKUP($C258,BP!$EK$2:$EW$250,167,0)</f>
        <v>0</v>
      </c>
      <c r="CC258" s="106">
        <f>+HLOOKUP($C258,BP!$EK$2:$EW$250,168,0)</f>
        <v>0</v>
      </c>
      <c r="CD258" s="106">
        <f>+HLOOKUP($C258,BP!$EK$2:$EW$250,169,0)</f>
        <v>0</v>
      </c>
      <c r="CE258" s="106">
        <f>+HLOOKUP($C258,BP!$EK$2:$EW$250,170,0)</f>
        <v>0</v>
      </c>
      <c r="CF258" s="106">
        <f>+HLOOKUP($C258,BP!$EK$2:$EW$250,172,0)</f>
        <v>0</v>
      </c>
      <c r="CG258" s="106">
        <f>+HLOOKUP($C258,BP!$EK$2:$EW$250,173,0)</f>
        <v>0</v>
      </c>
      <c r="CH258" s="106">
        <f>+HLOOKUP($C258,BP!$EK$2:$EW$250,174,0)</f>
        <v>0</v>
      </c>
      <c r="CI258" s="106">
        <f>+HLOOKUP($C258,BP!$EK$2:$EW$250,175,0)</f>
        <v>0</v>
      </c>
      <c r="CJ258" s="106">
        <f>+HLOOKUP($C258,BP!$EK$2:$EW$250,176,0)</f>
        <v>0</v>
      </c>
      <c r="CK258" s="106">
        <f>+HLOOKUP($C258,BP!$EK$2:$EW$250,178,0)</f>
        <v>0</v>
      </c>
      <c r="CL258" s="106">
        <f>+HLOOKUP($C258,BP!$EK$2:$EW$250,179,0)</f>
        <v>145363.6</v>
      </c>
      <c r="CM258" s="106">
        <f>+HLOOKUP($C258,BP!$EK$2:$EW$250,180,0)</f>
        <v>0</v>
      </c>
      <c r="CN258" s="106">
        <f>+HLOOKUP($C258,BP!$EK$2:$EW$250,182,0)</f>
        <v>0</v>
      </c>
      <c r="CO258" s="106">
        <f>+HLOOKUP($C258,BP!$EK$2:$EW$250,183,0)</f>
        <v>0</v>
      </c>
      <c r="CP258" s="106">
        <f>+HLOOKUP($C258,BP!$EK$2:$EW$250,184,0)</f>
        <v>0</v>
      </c>
      <c r="CQ258" s="106">
        <f>+HLOOKUP($C258,BP!$EK$2:$EW$250,185,0)</f>
        <v>0</v>
      </c>
      <c r="CR258" s="106">
        <f>+HLOOKUP($C258,BP!$EK$2:$EW$250,187,0)</f>
        <v>1250</v>
      </c>
      <c r="CS258" s="106">
        <f>+HLOOKUP($C258,BP!$EK$2:$EW$250,188,0)</f>
        <v>0</v>
      </c>
      <c r="CT258" s="106">
        <f>+HLOOKUP($C258,BP!$EK$2:$EW$250,189,0)</f>
        <v>0</v>
      </c>
      <c r="CU258" s="106">
        <f>+HLOOKUP($C258,BP!$EK$2:$EW$250,190,0)</f>
        <v>0</v>
      </c>
      <c r="CV258" s="106">
        <f>+HLOOKUP($C258,BP!$EK$2:$EW$250,191,0)</f>
        <v>0</v>
      </c>
      <c r="CW258" s="106">
        <f>+HLOOKUP($C258,BP!$EK$2:$EW$250,193,0)</f>
        <v>0</v>
      </c>
      <c r="CX258" s="106">
        <f>+HLOOKUP($C258,BP!$EK$2:$EW$250,194,0)</f>
        <v>0</v>
      </c>
      <c r="CY258" s="106">
        <f>+HLOOKUP($C258,BP!$EK$2:$EW$250,195,0)</f>
        <v>0</v>
      </c>
      <c r="CZ258" s="106">
        <f>+HLOOKUP($C258,BP!$EK$2:$EW$250,196,0)</f>
        <v>0</v>
      </c>
      <c r="DA258" s="106">
        <f>+HLOOKUP($C258,BP!$EK$2:$EW$250,197,0)</f>
        <v>0</v>
      </c>
      <c r="DB258" s="106">
        <f>+HLOOKUP($C258,BP!$EK$2:$EW$250,198,0)</f>
        <v>0</v>
      </c>
      <c r="DC258" s="106">
        <f>+HLOOKUP($C258,BP!$EK$2:$EW$250,199,0)</f>
        <v>0</v>
      </c>
      <c r="DD258" s="106">
        <f>+HLOOKUP($C258,BP!$EK$2:$EW$250,200,0)</f>
        <v>0</v>
      </c>
      <c r="DE258" s="106">
        <f>+HLOOKUP($C258,BP!$EK$2:$EW$250,201,0)</f>
        <v>0</v>
      </c>
      <c r="DF258" s="106">
        <f>+HLOOKUP($C258,BP!$EK$2:$EW$250,202,0)</f>
        <v>0</v>
      </c>
      <c r="DG258" s="106">
        <f>+HLOOKUP($C258,BP!$EK$2:$EW$250,203,0)</f>
        <v>0</v>
      </c>
      <c r="DH258" s="106">
        <f>+HLOOKUP($C258,BP!$EK$2:$EW$250,205,0)</f>
        <v>0</v>
      </c>
      <c r="DI258" s="106">
        <f>+HLOOKUP($C258,BP!$EK$2:$EW$250,206,0)</f>
        <v>0</v>
      </c>
      <c r="DJ258" s="106">
        <f>+HLOOKUP($C258,BP!$EK$2:$EW$250,207,0)</f>
        <v>0</v>
      </c>
      <c r="DK258" s="106">
        <f>+HLOOKUP($C258,BP!$EK$2:$EW$250,209,0)</f>
        <v>0</v>
      </c>
      <c r="DL258" s="106">
        <f>+HLOOKUP($C258,BP!$EK$2:$EW$250,210,0)</f>
        <v>0</v>
      </c>
      <c r="DM258" s="106">
        <f>+HLOOKUP($C258,BP!$EK$2:$EW$250,211,0)</f>
        <v>0</v>
      </c>
      <c r="DN258" s="106">
        <f>+HLOOKUP($C258,BP!$EK$2:$EW$250,212,0)</f>
        <v>0</v>
      </c>
      <c r="DO258" s="106">
        <f>+HLOOKUP($C258,BP!$EK$2:$EW$250,214,0)</f>
        <v>0</v>
      </c>
      <c r="DP258" s="106">
        <f>+HLOOKUP($C258,BP!$EK$2:$EW$250,215,0)</f>
        <v>0</v>
      </c>
      <c r="DQ258" s="106">
        <f>+HLOOKUP($C258,BP!$EK$2:$EW$250,219,0)</f>
        <v>0</v>
      </c>
      <c r="DR258" s="106">
        <f>+HLOOKUP($C258,BP!$EK$2:$EW$250,220,0)</f>
        <v>0</v>
      </c>
      <c r="DS258" s="106">
        <f>+HLOOKUP($C258,BP!$EK$2:$EW$250,221,0)</f>
        <v>0</v>
      </c>
      <c r="DT258" s="106">
        <f>+HLOOKUP($C258,BP!$EK$2:$EW$250,223,0)</f>
        <v>0</v>
      </c>
      <c r="DU258" s="106">
        <f>+HLOOKUP($C258,BP!$EK$2:$EW$250,224,0)</f>
        <v>0</v>
      </c>
      <c r="DV258" s="106">
        <f>+HLOOKUP($C258,BP!$EK$2:$EW$250,225,0)</f>
        <v>0</v>
      </c>
      <c r="DW258" s="106">
        <f>+HLOOKUP($C258,BP!$EK$2:$EW$250,227,0)</f>
        <v>0</v>
      </c>
      <c r="DX258" s="106">
        <f>+HLOOKUP($C258,BP!$EK$2:$EW$250,228,0)</f>
        <v>0</v>
      </c>
      <c r="DY258" s="106">
        <f>+HLOOKUP($C258,BP!$EK$2:$EW$250,236,0)</f>
        <v>0</v>
      </c>
      <c r="DZ258" s="106">
        <f>+HLOOKUP($C258,BP!$EK$2:$EW$250,237,0)</f>
        <v>0</v>
      </c>
      <c r="EA258" s="106">
        <f>+HLOOKUP($C258,BP!$EK$2:$EW$250,238,0)</f>
        <v>0</v>
      </c>
      <c r="EB258" s="106">
        <f>+HLOOKUP($C258,BP!$EK$2:$EW$250,240,0)</f>
        <v>468618.16800000001</v>
      </c>
    </row>
    <row r="259" spans="1:132" hidden="1">
      <c r="A259" t="s">
        <v>272</v>
      </c>
      <c r="B259" t="s">
        <v>218</v>
      </c>
      <c r="C259" s="117">
        <v>45839</v>
      </c>
      <c r="D259" s="106">
        <f t="shared" si="5"/>
        <v>921941.81</v>
      </c>
      <c r="E259" s="106">
        <f>+HLOOKUP(C259,BP!$EK$2:$EW$250,28,0)+HLOOKUP(C259,BP!$EK$2:$EW$250,43,0)+HLOOKUP(C259,BP!$EK$2:$EW$250,44,0)+HLOOKUP(C259,BP!$EK$2:$EW$250,45,0)+HLOOKUP(C259,BP!$EK$2:$EW$250,54,0)+HLOOKUP(C259,BP!$EK$2:$EW$250,59,0)</f>
        <v>921941.81</v>
      </c>
      <c r="F259" s="106">
        <f>+HLOOKUP(C259,BP!$EK$2:$EW$250,37,0)+HLOOKUP(C259,BP!$EK$2:$EW$250,55,0)</f>
        <v>687494.7080000001</v>
      </c>
      <c r="G259" s="106">
        <f>+HLOOKUP($C259,BP!$EK$2:$EW$250,76,0)</f>
        <v>0</v>
      </c>
      <c r="H259" s="106">
        <f>+HLOOKUP($C259,BP!$EK$2:$EW$250,77,0)</f>
        <v>0</v>
      </c>
      <c r="I259" s="106">
        <f>+HLOOKUP($C259,BP!$EK$2:$EW$250,78,0)</f>
        <v>0</v>
      </c>
      <c r="J259" s="106">
        <f>+HLOOKUP($C259,BP!$EK$2:$EW$250,79,0)</f>
        <v>0</v>
      </c>
      <c r="K259" s="106">
        <f>+HLOOKUP($C259,BP!$EK$2:$EW$250,80,0)</f>
        <v>0</v>
      </c>
      <c r="L259" s="106">
        <f>+HLOOKUP($C259,BP!$EK$2:$EW$250,81,0)</f>
        <v>0</v>
      </c>
      <c r="M259" s="106">
        <f>+HLOOKUP($C259,BP!$EK$2:$EW$250,82,0)</f>
        <v>0</v>
      </c>
      <c r="N259" s="106">
        <f>+HLOOKUP($C259,BP!$EK$2:$EW$250,83,0)</f>
        <v>0</v>
      </c>
      <c r="O259" s="106">
        <f>+HLOOKUP($C259,BP!$EK$2:$EW$250,84,0)</f>
        <v>0</v>
      </c>
      <c r="P259" s="106">
        <f>+HLOOKUP($C259,BP!$EK$2:$EW$250,85,0)</f>
        <v>0</v>
      </c>
      <c r="Q259" s="106">
        <f>+HLOOKUP($C259,BP!$EK$2:$EW$250,87,0)</f>
        <v>12163.881000000001</v>
      </c>
      <c r="R259" s="106">
        <f>+HLOOKUP($C259,BP!$EK$2:$EW$250,90,0)</f>
        <v>0</v>
      </c>
      <c r="S259" s="106">
        <f>+HLOOKUP($C259,BP!$EK$2:$EW$250,91,0)</f>
        <v>0</v>
      </c>
      <c r="T259" s="106">
        <f>+HLOOKUP($C259,BP!$EK$2:$EW$250,92,0)</f>
        <v>0</v>
      </c>
      <c r="U259" s="106">
        <f>+HLOOKUP($C259,BP!$EK$2:$EW$250,93,0)</f>
        <v>0</v>
      </c>
      <c r="V259" s="106">
        <f>+HLOOKUP($C259,BP!$EK$2:$EW$250,94,0)</f>
        <v>0</v>
      </c>
      <c r="W259" s="106">
        <f>+HLOOKUP($C259,BP!$EK$2:$EW$250,95,0)</f>
        <v>0</v>
      </c>
      <c r="X259" s="106">
        <f>+HLOOKUP($C259,BP!$EK$2:$EW$250,96,0)</f>
        <v>0</v>
      </c>
      <c r="Y259" s="106">
        <f>+HLOOKUP($C259,BP!$EK$2:$EW$250,97,0)</f>
        <v>0</v>
      </c>
      <c r="Z259" s="106">
        <f>+HLOOKUP($C259,BP!$EK$2:$EW$250,98,0)</f>
        <v>0</v>
      </c>
      <c r="AA259" s="106">
        <f>+HLOOKUP($C259,BP!$EK$2:$EW$250,99,0)</f>
        <v>0</v>
      </c>
      <c r="AB259" s="106">
        <f>+HLOOKUP($C259,BP!$EK$2:$EW$250,100,0)</f>
        <v>0</v>
      </c>
      <c r="AC259" s="106">
        <f>+HLOOKUP($C259,BP!$EK$2:$EW$250,101,0)</f>
        <v>0</v>
      </c>
      <c r="AD259" s="106">
        <f>+HLOOKUP($C259,BP!$EK$2:$EW$250,104,0)</f>
        <v>0</v>
      </c>
      <c r="AE259" s="106">
        <f>+HLOOKUP($C259,BP!$EK$2:$EW$250,105,0)</f>
        <v>0</v>
      </c>
      <c r="AF259" s="106">
        <f>+HLOOKUP($C259,BP!$EK$2:$EW$250,106,0)</f>
        <v>0</v>
      </c>
      <c r="AG259" s="106">
        <f>+HLOOKUP($C259,BP!$EK$2:$EW$250,107,0)</f>
        <v>0</v>
      </c>
      <c r="AH259" s="106">
        <f>+HLOOKUP($C259,BP!$EK$2:$EW$250,108,0)</f>
        <v>0</v>
      </c>
      <c r="AI259" s="106">
        <f>+HLOOKUP($C259,BP!$EK$2:$EW$250,109,0)</f>
        <v>0</v>
      </c>
      <c r="AJ259" s="106">
        <f>+HLOOKUP($C259,BP!$EK$2:$EW$250,110,0)</f>
        <v>0</v>
      </c>
      <c r="AK259" s="106">
        <f>+HLOOKUP($C259,BP!$EK$2:$EW$250,111,0)</f>
        <v>0</v>
      </c>
      <c r="AL259" s="106">
        <f>+HLOOKUP($C259,BP!$EK$2:$EW$250,112,0)</f>
        <v>0</v>
      </c>
      <c r="AM259" s="106">
        <f>+HLOOKUP($C259,BP!$EK$2:$EW$250,116,0)</f>
        <v>28250</v>
      </c>
      <c r="AN259" s="106">
        <f>+HLOOKUP($C259,BP!$EK$2:$EW$250,117,0)</f>
        <v>4200</v>
      </c>
      <c r="AO259" s="106">
        <f>+HLOOKUP($C259,BP!$EK$2:$EW$250,118,0)</f>
        <v>0</v>
      </c>
      <c r="AP259" s="106">
        <f>+HLOOKUP($C259,BP!$EK$2:$EW$250,119,0)</f>
        <v>11300</v>
      </c>
      <c r="AQ259" s="106">
        <f>+HLOOKUP($C259,BP!$EK$2:$EW$250,120,0)</f>
        <v>0</v>
      </c>
      <c r="AR259" s="106">
        <f>+HLOOKUP($C259,BP!$EK$2:$EW$250,121,0)</f>
        <v>0</v>
      </c>
      <c r="AS259" s="106">
        <f>+HLOOKUP($C259,BP!$EK$2:$EW$250,122,0)</f>
        <v>12750</v>
      </c>
      <c r="AT259" s="106">
        <f>+HLOOKUP($C259,BP!$EK$2:$EW$250,123,0)</f>
        <v>5646.875</v>
      </c>
      <c r="AU259" s="106">
        <f>+HLOOKUP($C259,BP!$EK$2:$EW$250,124,0)</f>
        <v>0</v>
      </c>
      <c r="AV259" s="106">
        <f>+HLOOKUP($C259,BP!$EK$2:$EW$250,125,0)</f>
        <v>10080</v>
      </c>
      <c r="AW259" s="106">
        <f>+HLOOKUP($C259,BP!$EK$2:$EW$250,126,0)</f>
        <v>1983.1730769230771</v>
      </c>
      <c r="AX259" s="106">
        <f>+HLOOKUP($C259,BP!$EK$2:$EW$250,127,0)</f>
        <v>3250</v>
      </c>
      <c r="AY259" s="106">
        <f>+HLOOKUP($C259,BP!$EK$2:$EW$250,129,0)</f>
        <v>0</v>
      </c>
      <c r="AZ259" s="106">
        <f>+HLOOKUP($C259,BP!$EK$2:$EW$250,130,0)</f>
        <v>0</v>
      </c>
      <c r="BA259" s="106">
        <f>+HLOOKUP($C259,BP!$EK$2:$EW$250,131,0)</f>
        <v>0</v>
      </c>
      <c r="BB259" s="106">
        <f>+HLOOKUP($C259,BP!$EK$2:$EW$250,133,0)</f>
        <v>0</v>
      </c>
      <c r="BC259" s="106">
        <f>+HLOOKUP($C259,BP!$EK$2:$EW$250,134,0)</f>
        <v>0</v>
      </c>
      <c r="BD259" s="106">
        <f>+HLOOKUP($C259,BP!$EK$2:$EW$250,135,0)</f>
        <v>0</v>
      </c>
      <c r="BE259" s="106">
        <f>+HLOOKUP($C259,BP!$EK$2:$EW$250,136,0)</f>
        <v>0</v>
      </c>
      <c r="BF259" s="106">
        <f>+HLOOKUP($C259,BP!$EK$2:$EW$250,138,0)</f>
        <v>0</v>
      </c>
      <c r="BG259" s="106">
        <f>+HLOOKUP($C259,BP!$EK$2:$EW$250,139,0)</f>
        <v>0</v>
      </c>
      <c r="BH259" s="106">
        <f>+HLOOKUP($C259,BP!$EK$2:$EW$250,140,0)</f>
        <v>12000</v>
      </c>
      <c r="BI259" s="106">
        <f>+HLOOKUP($C259,BP!$EK$2:$EW$250,141,0)</f>
        <v>0</v>
      </c>
      <c r="BJ259" s="106">
        <f>+HLOOKUP($C259,BP!$EK$2:$EW$250,142,0)</f>
        <v>0</v>
      </c>
      <c r="BK259" s="106">
        <f>+HLOOKUP($C259,BP!$EK$2:$EW$250,143,0)</f>
        <v>0</v>
      </c>
      <c r="BL259" s="106">
        <f>+HLOOKUP($C259,BP!$EK$2:$EW$250,144,0)</f>
        <v>0</v>
      </c>
      <c r="BM259" s="106">
        <f>+HLOOKUP($C259,BP!$EK$2:$EW$250,146,0)</f>
        <v>0</v>
      </c>
      <c r="BN259" s="106">
        <f>+HLOOKUP($C259,BP!$EK$2:$EW$250,147,0)</f>
        <v>0</v>
      </c>
      <c r="BO259" s="106">
        <f>+HLOOKUP($C259,BP!$EK$2:$EW$250,148,0)</f>
        <v>0</v>
      </c>
      <c r="BP259" s="106">
        <f>+HLOOKUP($C259,BP!$EK$2:$EW$250,150,0)</f>
        <v>0</v>
      </c>
      <c r="BQ259" s="106">
        <f>+HLOOKUP($C259,BP!$EK$2:$EW$250,151,0)</f>
        <v>0</v>
      </c>
      <c r="BR259" s="106">
        <f>+HLOOKUP($C259,BP!$EK$2:$EW$250,152,0)</f>
        <v>0</v>
      </c>
      <c r="BS259" s="106">
        <f>+HLOOKUP($C259,BP!$EK$2:$EW$250,153,0)</f>
        <v>0</v>
      </c>
      <c r="BT259" s="106">
        <f>+HLOOKUP($C259,BP!$EK$2:$EW$250,157,0)</f>
        <v>0</v>
      </c>
      <c r="BU259" s="106">
        <f>+HLOOKUP($C259,BP!$EK$2:$EW$250,158,0)</f>
        <v>0</v>
      </c>
      <c r="BV259" s="106">
        <f>+HLOOKUP($C259,BP!$EK$2:$EW$250,159,0)</f>
        <v>0</v>
      </c>
      <c r="BW259" s="106">
        <f>+HLOOKUP($C259,BP!$EK$2:$EW$250,160,0)</f>
        <v>0</v>
      </c>
      <c r="BX259" s="106">
        <f>+HLOOKUP($C259,BP!$EK$2:$EW$250,161,0)</f>
        <v>35200</v>
      </c>
      <c r="BY259" s="106">
        <f>+HLOOKUP($C259,BP!$EK$2:$EW$250,164,0)</f>
        <v>0</v>
      </c>
      <c r="BZ259" s="106">
        <f>+HLOOKUP($C259,BP!$EK$2:$EW$250,165,0)</f>
        <v>0</v>
      </c>
      <c r="CA259" s="106">
        <f>+HLOOKUP($C259,BP!$EK$2:$EW$250,166,0)</f>
        <v>0</v>
      </c>
      <c r="CB259" s="106">
        <f>+HLOOKUP($C259,BP!$EK$2:$EW$250,167,0)</f>
        <v>0</v>
      </c>
      <c r="CC259" s="106">
        <f>+HLOOKUP($C259,BP!$EK$2:$EW$250,168,0)</f>
        <v>0</v>
      </c>
      <c r="CD259" s="106">
        <f>+HLOOKUP($C259,BP!$EK$2:$EW$250,169,0)</f>
        <v>0</v>
      </c>
      <c r="CE259" s="106">
        <f>+HLOOKUP($C259,BP!$EK$2:$EW$250,170,0)</f>
        <v>0</v>
      </c>
      <c r="CF259" s="106">
        <f>+HLOOKUP($C259,BP!$EK$2:$EW$250,172,0)</f>
        <v>0</v>
      </c>
      <c r="CG259" s="106">
        <f>+HLOOKUP($C259,BP!$EK$2:$EW$250,173,0)</f>
        <v>0</v>
      </c>
      <c r="CH259" s="106">
        <f>+HLOOKUP($C259,BP!$EK$2:$EW$250,174,0)</f>
        <v>0</v>
      </c>
      <c r="CI259" s="106">
        <f>+HLOOKUP($C259,BP!$EK$2:$EW$250,175,0)</f>
        <v>0</v>
      </c>
      <c r="CJ259" s="106">
        <f>+HLOOKUP($C259,BP!$EK$2:$EW$250,176,0)</f>
        <v>0</v>
      </c>
      <c r="CK259" s="106">
        <f>+HLOOKUP($C259,BP!$EK$2:$EW$250,178,0)</f>
        <v>0</v>
      </c>
      <c r="CL259" s="106">
        <f>+HLOOKUP($C259,BP!$EK$2:$EW$250,179,0)</f>
        <v>0</v>
      </c>
      <c r="CM259" s="106">
        <f>+HLOOKUP($C259,BP!$EK$2:$EW$250,180,0)</f>
        <v>0</v>
      </c>
      <c r="CN259" s="106">
        <f>+HLOOKUP($C259,BP!$EK$2:$EW$250,182,0)</f>
        <v>0</v>
      </c>
      <c r="CO259" s="106">
        <f>+HLOOKUP($C259,BP!$EK$2:$EW$250,183,0)</f>
        <v>0</v>
      </c>
      <c r="CP259" s="106">
        <f>+HLOOKUP($C259,BP!$EK$2:$EW$250,184,0)</f>
        <v>0</v>
      </c>
      <c r="CQ259" s="106">
        <f>+HLOOKUP($C259,BP!$EK$2:$EW$250,185,0)</f>
        <v>0</v>
      </c>
      <c r="CR259" s="106">
        <f>+HLOOKUP($C259,BP!$EK$2:$EW$250,187,0)</f>
        <v>1250</v>
      </c>
      <c r="CS259" s="106">
        <f>+HLOOKUP($C259,BP!$EK$2:$EW$250,188,0)</f>
        <v>0</v>
      </c>
      <c r="CT259" s="106">
        <f>+HLOOKUP($C259,BP!$EK$2:$EW$250,189,0)</f>
        <v>0</v>
      </c>
      <c r="CU259" s="106">
        <f>+HLOOKUP($C259,BP!$EK$2:$EW$250,190,0)</f>
        <v>0</v>
      </c>
      <c r="CV259" s="106">
        <f>+HLOOKUP($C259,BP!$EK$2:$EW$250,191,0)</f>
        <v>0</v>
      </c>
      <c r="CW259" s="106">
        <f>+HLOOKUP($C259,BP!$EK$2:$EW$250,193,0)</f>
        <v>18781.2</v>
      </c>
      <c r="CX259" s="106">
        <f>+HLOOKUP($C259,BP!$EK$2:$EW$250,194,0)</f>
        <v>0</v>
      </c>
      <c r="CY259" s="106">
        <f>+HLOOKUP($C259,BP!$EK$2:$EW$250,195,0)</f>
        <v>110000</v>
      </c>
      <c r="CZ259" s="106">
        <f>+HLOOKUP($C259,BP!$EK$2:$EW$250,196,0)</f>
        <v>0</v>
      </c>
      <c r="DA259" s="106">
        <f>+HLOOKUP($C259,BP!$EK$2:$EW$250,197,0)</f>
        <v>0</v>
      </c>
      <c r="DB259" s="106">
        <f>+HLOOKUP($C259,BP!$EK$2:$EW$250,198,0)</f>
        <v>0</v>
      </c>
      <c r="DC259" s="106">
        <f>+HLOOKUP($C259,BP!$EK$2:$EW$250,199,0)</f>
        <v>0</v>
      </c>
      <c r="DD259" s="106">
        <f>+HLOOKUP($C259,BP!$EK$2:$EW$250,200,0)</f>
        <v>0</v>
      </c>
      <c r="DE259" s="106">
        <f>+HLOOKUP($C259,BP!$EK$2:$EW$250,201,0)</f>
        <v>0</v>
      </c>
      <c r="DF259" s="106">
        <f>+HLOOKUP($C259,BP!$EK$2:$EW$250,202,0)</f>
        <v>0</v>
      </c>
      <c r="DG259" s="106">
        <f>+HLOOKUP($C259,BP!$EK$2:$EW$250,203,0)</f>
        <v>0</v>
      </c>
      <c r="DH259" s="106">
        <f>+HLOOKUP($C259,BP!$EK$2:$EW$250,205,0)</f>
        <v>0</v>
      </c>
      <c r="DI259" s="106">
        <f>+HLOOKUP($C259,BP!$EK$2:$EW$250,206,0)</f>
        <v>0</v>
      </c>
      <c r="DJ259" s="106">
        <f>+HLOOKUP($C259,BP!$EK$2:$EW$250,207,0)</f>
        <v>0</v>
      </c>
      <c r="DK259" s="106">
        <f>+HLOOKUP($C259,BP!$EK$2:$EW$250,209,0)</f>
        <v>0</v>
      </c>
      <c r="DL259" s="106">
        <f>+HLOOKUP($C259,BP!$EK$2:$EW$250,210,0)</f>
        <v>178000</v>
      </c>
      <c r="DM259" s="106">
        <f>+HLOOKUP($C259,BP!$EK$2:$EW$250,211,0)</f>
        <v>0</v>
      </c>
      <c r="DN259" s="106">
        <f>+HLOOKUP($C259,BP!$EK$2:$EW$250,212,0)</f>
        <v>0</v>
      </c>
      <c r="DO259" s="106">
        <f>+HLOOKUP($C259,BP!$EK$2:$EW$250,214,0)</f>
        <v>0</v>
      </c>
      <c r="DP259" s="106">
        <f>+HLOOKUP($C259,BP!$EK$2:$EW$250,215,0)</f>
        <v>0</v>
      </c>
      <c r="DQ259" s="106">
        <f>+HLOOKUP($C259,BP!$EK$2:$EW$250,219,0)</f>
        <v>0</v>
      </c>
      <c r="DR259" s="106">
        <f>+HLOOKUP($C259,BP!$EK$2:$EW$250,220,0)</f>
        <v>0</v>
      </c>
      <c r="DS259" s="106">
        <f>+HLOOKUP($C259,BP!$EK$2:$EW$250,221,0)</f>
        <v>0</v>
      </c>
      <c r="DT259" s="106">
        <f>+HLOOKUP($C259,BP!$EK$2:$EW$250,223,0)</f>
        <v>0</v>
      </c>
      <c r="DU259" s="106">
        <f>+HLOOKUP($C259,BP!$EK$2:$EW$250,224,0)</f>
        <v>0</v>
      </c>
      <c r="DV259" s="106">
        <f>+HLOOKUP($C259,BP!$EK$2:$EW$250,225,0)</f>
        <v>0</v>
      </c>
      <c r="DW259" s="106">
        <f>+HLOOKUP($C259,BP!$EK$2:$EW$250,227,0)</f>
        <v>0</v>
      </c>
      <c r="DX259" s="106">
        <f>+HLOOKUP($C259,BP!$EK$2:$EW$250,228,0)</f>
        <v>0</v>
      </c>
      <c r="DY259" s="106">
        <f>+HLOOKUP($C259,BP!$EK$2:$EW$250,236,0)</f>
        <v>0</v>
      </c>
      <c r="DZ259" s="106">
        <f>+HLOOKUP($C259,BP!$EK$2:$EW$250,237,0)</f>
        <v>0</v>
      </c>
      <c r="EA259" s="106">
        <f>+HLOOKUP($C259,BP!$EK$2:$EW$250,238,0)</f>
        <v>0</v>
      </c>
      <c r="EB259" s="106">
        <f>+HLOOKUP($C259,BP!$EK$2:$EW$250,240,0)</f>
        <v>468618.16800000001</v>
      </c>
    </row>
    <row r="260" spans="1:132" hidden="1">
      <c r="A260" t="s">
        <v>272</v>
      </c>
      <c r="B260" t="s">
        <v>218</v>
      </c>
      <c r="C260" s="117">
        <v>45809</v>
      </c>
      <c r="D260" s="106">
        <f t="shared" si="5"/>
        <v>2262542.9300000002</v>
      </c>
      <c r="E260" s="106">
        <f>+HLOOKUP(C260,BP!$EK$2:$EW$250,28,0)+HLOOKUP(C260,BP!$EK$2:$EW$250,43,0)+HLOOKUP(C260,BP!$EK$2:$EW$250,44,0)+HLOOKUP(C260,BP!$EK$2:$EW$250,45,0)+HLOOKUP(C260,BP!$EK$2:$EW$250,54,0)+HLOOKUP(C260,BP!$EK$2:$EW$250,59,0)</f>
        <v>2262542.9300000002</v>
      </c>
      <c r="F260" s="106">
        <f>+HLOOKUP(C260,BP!$EK$2:$EW$250,37,0)+HLOOKUP(C260,BP!$EK$2:$EW$250,55,0)</f>
        <v>1557823.4820000001</v>
      </c>
      <c r="G260" s="106">
        <f>+HLOOKUP($C260,BP!$EK$2:$EW$250,76,0)</f>
        <v>0</v>
      </c>
      <c r="H260" s="106">
        <f>+HLOOKUP($C260,BP!$EK$2:$EW$250,77,0)</f>
        <v>0</v>
      </c>
      <c r="I260" s="106">
        <f>+HLOOKUP($C260,BP!$EK$2:$EW$250,78,0)</f>
        <v>0</v>
      </c>
      <c r="J260" s="106">
        <f>+HLOOKUP($C260,BP!$EK$2:$EW$250,79,0)</f>
        <v>0</v>
      </c>
      <c r="K260" s="106">
        <f>+HLOOKUP($C260,BP!$EK$2:$EW$250,80,0)</f>
        <v>0</v>
      </c>
      <c r="L260" s="106">
        <f>+HLOOKUP($C260,BP!$EK$2:$EW$250,81,0)</f>
        <v>0</v>
      </c>
      <c r="M260" s="106">
        <f>+HLOOKUP($C260,BP!$EK$2:$EW$250,82,0)</f>
        <v>0</v>
      </c>
      <c r="N260" s="106">
        <f>+HLOOKUP($C260,BP!$EK$2:$EW$250,83,0)</f>
        <v>0</v>
      </c>
      <c r="O260" s="106">
        <f>+HLOOKUP($C260,BP!$EK$2:$EW$250,84,0)</f>
        <v>0</v>
      </c>
      <c r="P260" s="106">
        <f>+HLOOKUP($C260,BP!$EK$2:$EW$250,85,0)</f>
        <v>0</v>
      </c>
      <c r="Q260" s="106">
        <f>+HLOOKUP($C260,BP!$EK$2:$EW$250,87,0)</f>
        <v>37972.902000000002</v>
      </c>
      <c r="R260" s="106">
        <f>+HLOOKUP($C260,BP!$EK$2:$EW$250,90,0)</f>
        <v>0</v>
      </c>
      <c r="S260" s="106">
        <f>+HLOOKUP($C260,BP!$EK$2:$EW$250,91,0)</f>
        <v>0</v>
      </c>
      <c r="T260" s="106">
        <f>+HLOOKUP($C260,BP!$EK$2:$EW$250,92,0)</f>
        <v>0</v>
      </c>
      <c r="U260" s="106">
        <f>+HLOOKUP($C260,BP!$EK$2:$EW$250,93,0)</f>
        <v>0</v>
      </c>
      <c r="V260" s="106">
        <f>+HLOOKUP($C260,BP!$EK$2:$EW$250,94,0)</f>
        <v>0</v>
      </c>
      <c r="W260" s="106">
        <f>+HLOOKUP($C260,BP!$EK$2:$EW$250,95,0)</f>
        <v>0</v>
      </c>
      <c r="X260" s="106">
        <f>+HLOOKUP($C260,BP!$EK$2:$EW$250,96,0)</f>
        <v>0</v>
      </c>
      <c r="Y260" s="106">
        <f>+HLOOKUP($C260,BP!$EK$2:$EW$250,97,0)</f>
        <v>0</v>
      </c>
      <c r="Z260" s="106">
        <f>+HLOOKUP($C260,BP!$EK$2:$EW$250,98,0)</f>
        <v>0</v>
      </c>
      <c r="AA260" s="106">
        <f>+HLOOKUP($C260,BP!$EK$2:$EW$250,99,0)</f>
        <v>0</v>
      </c>
      <c r="AB260" s="106">
        <f>+HLOOKUP($C260,BP!$EK$2:$EW$250,100,0)</f>
        <v>0</v>
      </c>
      <c r="AC260" s="106">
        <f>+HLOOKUP($C260,BP!$EK$2:$EW$250,101,0)</f>
        <v>2828.576</v>
      </c>
      <c r="AD260" s="106">
        <f>+HLOOKUP($C260,BP!$EK$2:$EW$250,104,0)</f>
        <v>0</v>
      </c>
      <c r="AE260" s="106">
        <f>+HLOOKUP($C260,BP!$EK$2:$EW$250,105,0)</f>
        <v>0</v>
      </c>
      <c r="AF260" s="106">
        <f>+HLOOKUP($C260,BP!$EK$2:$EW$250,106,0)</f>
        <v>0</v>
      </c>
      <c r="AG260" s="106">
        <f>+HLOOKUP($C260,BP!$EK$2:$EW$250,107,0)</f>
        <v>0</v>
      </c>
      <c r="AH260" s="106">
        <f>+HLOOKUP($C260,BP!$EK$2:$EW$250,108,0)</f>
        <v>0</v>
      </c>
      <c r="AI260" s="106">
        <f>+HLOOKUP($C260,BP!$EK$2:$EW$250,109,0)</f>
        <v>0</v>
      </c>
      <c r="AJ260" s="106">
        <f>+HLOOKUP($C260,BP!$EK$2:$EW$250,110,0)</f>
        <v>0</v>
      </c>
      <c r="AK260" s="106">
        <f>+HLOOKUP($C260,BP!$EK$2:$EW$250,111,0)</f>
        <v>0</v>
      </c>
      <c r="AL260" s="106">
        <f>+HLOOKUP($C260,BP!$EK$2:$EW$250,112,0)</f>
        <v>0</v>
      </c>
      <c r="AM260" s="106">
        <f>+HLOOKUP($C260,BP!$EK$2:$EW$250,116,0)</f>
        <v>28250</v>
      </c>
      <c r="AN260" s="106">
        <f>+HLOOKUP($C260,BP!$EK$2:$EW$250,117,0)</f>
        <v>4200</v>
      </c>
      <c r="AO260" s="106">
        <f>+HLOOKUP($C260,BP!$EK$2:$EW$250,118,0)</f>
        <v>0</v>
      </c>
      <c r="AP260" s="106">
        <f>+HLOOKUP($C260,BP!$EK$2:$EW$250,119,0)</f>
        <v>11300</v>
      </c>
      <c r="AQ260" s="106">
        <f>+HLOOKUP($C260,BP!$EK$2:$EW$250,120,0)</f>
        <v>0</v>
      </c>
      <c r="AR260" s="106">
        <f>+HLOOKUP($C260,BP!$EK$2:$EW$250,121,0)</f>
        <v>0</v>
      </c>
      <c r="AS260" s="106">
        <f>+HLOOKUP($C260,BP!$EK$2:$EW$250,122,0)</f>
        <v>12750</v>
      </c>
      <c r="AT260" s="106">
        <f>+HLOOKUP($C260,BP!$EK$2:$EW$250,123,0)</f>
        <v>5646.875</v>
      </c>
      <c r="AU260" s="106">
        <f>+HLOOKUP($C260,BP!$EK$2:$EW$250,124,0)</f>
        <v>0</v>
      </c>
      <c r="AV260" s="106">
        <f>+HLOOKUP($C260,BP!$EK$2:$EW$250,125,0)</f>
        <v>0</v>
      </c>
      <c r="AW260" s="106">
        <f>+HLOOKUP($C260,BP!$EK$2:$EW$250,126,0)</f>
        <v>1983.1730769230771</v>
      </c>
      <c r="AX260" s="106">
        <f>+HLOOKUP($C260,BP!$EK$2:$EW$250,127,0)</f>
        <v>3250</v>
      </c>
      <c r="AY260" s="106">
        <f>+HLOOKUP($C260,BP!$EK$2:$EW$250,129,0)</f>
        <v>0</v>
      </c>
      <c r="AZ260" s="106">
        <f>+HLOOKUP($C260,BP!$EK$2:$EW$250,130,0)</f>
        <v>0</v>
      </c>
      <c r="BA260" s="106">
        <f>+HLOOKUP($C260,BP!$EK$2:$EW$250,131,0)</f>
        <v>0</v>
      </c>
      <c r="BB260" s="106">
        <f>+HLOOKUP($C260,BP!$EK$2:$EW$250,133,0)</f>
        <v>0</v>
      </c>
      <c r="BC260" s="106">
        <f>+HLOOKUP($C260,BP!$EK$2:$EW$250,134,0)</f>
        <v>0</v>
      </c>
      <c r="BD260" s="106">
        <f>+HLOOKUP($C260,BP!$EK$2:$EW$250,135,0)</f>
        <v>0</v>
      </c>
      <c r="BE260" s="106">
        <f>+HLOOKUP($C260,BP!$EK$2:$EW$250,136,0)</f>
        <v>0</v>
      </c>
      <c r="BF260" s="106">
        <f>+HLOOKUP($C260,BP!$EK$2:$EW$250,138,0)</f>
        <v>0</v>
      </c>
      <c r="BG260" s="106">
        <f>+HLOOKUP($C260,BP!$EK$2:$EW$250,139,0)</f>
        <v>0</v>
      </c>
      <c r="BH260" s="106">
        <f>+HLOOKUP($C260,BP!$EK$2:$EW$250,140,0)</f>
        <v>11940</v>
      </c>
      <c r="BI260" s="106">
        <f>+HLOOKUP($C260,BP!$EK$2:$EW$250,141,0)</f>
        <v>0</v>
      </c>
      <c r="BJ260" s="106">
        <f>+HLOOKUP($C260,BP!$EK$2:$EW$250,142,0)</f>
        <v>0</v>
      </c>
      <c r="BK260" s="106">
        <f>+HLOOKUP($C260,BP!$EK$2:$EW$250,143,0)</f>
        <v>0</v>
      </c>
      <c r="BL260" s="106">
        <f>+HLOOKUP($C260,BP!$EK$2:$EW$250,144,0)</f>
        <v>0</v>
      </c>
      <c r="BM260" s="106">
        <f>+HLOOKUP($C260,BP!$EK$2:$EW$250,146,0)</f>
        <v>0</v>
      </c>
      <c r="BN260" s="106">
        <f>+HLOOKUP($C260,BP!$EK$2:$EW$250,147,0)</f>
        <v>0</v>
      </c>
      <c r="BO260" s="106">
        <f>+HLOOKUP($C260,BP!$EK$2:$EW$250,148,0)</f>
        <v>0</v>
      </c>
      <c r="BP260" s="106">
        <f>+HLOOKUP($C260,BP!$EK$2:$EW$250,150,0)</f>
        <v>0</v>
      </c>
      <c r="BQ260" s="106">
        <f>+HLOOKUP($C260,BP!$EK$2:$EW$250,151,0)</f>
        <v>0</v>
      </c>
      <c r="BR260" s="106">
        <f>+HLOOKUP($C260,BP!$EK$2:$EW$250,152,0)</f>
        <v>0</v>
      </c>
      <c r="BS260" s="106">
        <f>+HLOOKUP($C260,BP!$EK$2:$EW$250,153,0)</f>
        <v>0</v>
      </c>
      <c r="BT260" s="106">
        <f>+HLOOKUP($C260,BP!$EK$2:$EW$250,157,0)</f>
        <v>0</v>
      </c>
      <c r="BU260" s="106">
        <f>+HLOOKUP($C260,BP!$EK$2:$EW$250,158,0)</f>
        <v>0</v>
      </c>
      <c r="BV260" s="106">
        <f>+HLOOKUP($C260,BP!$EK$2:$EW$250,159,0)</f>
        <v>0</v>
      </c>
      <c r="BW260" s="106">
        <f>+HLOOKUP($C260,BP!$EK$2:$EW$250,160,0)</f>
        <v>0</v>
      </c>
      <c r="BX260" s="106">
        <f>+HLOOKUP($C260,BP!$EK$2:$EW$250,161,0)</f>
        <v>0</v>
      </c>
      <c r="BY260" s="106">
        <f>+HLOOKUP($C260,BP!$EK$2:$EW$250,164,0)</f>
        <v>0</v>
      </c>
      <c r="BZ260" s="106">
        <f>+HLOOKUP($C260,BP!$EK$2:$EW$250,165,0)</f>
        <v>0</v>
      </c>
      <c r="CA260" s="106">
        <f>+HLOOKUP($C260,BP!$EK$2:$EW$250,166,0)</f>
        <v>0</v>
      </c>
      <c r="CB260" s="106">
        <f>+HLOOKUP($C260,BP!$EK$2:$EW$250,167,0)</f>
        <v>0</v>
      </c>
      <c r="CC260" s="106">
        <f>+HLOOKUP($C260,BP!$EK$2:$EW$250,168,0)</f>
        <v>0</v>
      </c>
      <c r="CD260" s="106">
        <f>+HLOOKUP($C260,BP!$EK$2:$EW$250,169,0)</f>
        <v>0</v>
      </c>
      <c r="CE260" s="106">
        <f>+HLOOKUP($C260,BP!$EK$2:$EW$250,170,0)</f>
        <v>0</v>
      </c>
      <c r="CF260" s="106">
        <f>+HLOOKUP($C260,BP!$EK$2:$EW$250,172,0)</f>
        <v>0</v>
      </c>
      <c r="CG260" s="106">
        <f>+HLOOKUP($C260,BP!$EK$2:$EW$250,173,0)</f>
        <v>0</v>
      </c>
      <c r="CH260" s="106">
        <f>+HLOOKUP($C260,BP!$EK$2:$EW$250,174,0)</f>
        <v>0</v>
      </c>
      <c r="CI260" s="106">
        <f>+HLOOKUP($C260,BP!$EK$2:$EW$250,175,0)</f>
        <v>0</v>
      </c>
      <c r="CJ260" s="106">
        <f>+HLOOKUP($C260,BP!$EK$2:$EW$250,176,0)</f>
        <v>0</v>
      </c>
      <c r="CK260" s="106">
        <f>+HLOOKUP($C260,BP!$EK$2:$EW$250,178,0)</f>
        <v>0</v>
      </c>
      <c r="CL260" s="106">
        <f>+HLOOKUP($C260,BP!$EK$2:$EW$250,179,0)</f>
        <v>0</v>
      </c>
      <c r="CM260" s="106">
        <f>+HLOOKUP($C260,BP!$EK$2:$EW$250,180,0)</f>
        <v>0</v>
      </c>
      <c r="CN260" s="106">
        <f>+HLOOKUP($C260,BP!$EK$2:$EW$250,182,0)</f>
        <v>0</v>
      </c>
      <c r="CO260" s="106">
        <f>+HLOOKUP($C260,BP!$EK$2:$EW$250,183,0)</f>
        <v>0</v>
      </c>
      <c r="CP260" s="106">
        <f>+HLOOKUP($C260,BP!$EK$2:$EW$250,184,0)</f>
        <v>0</v>
      </c>
      <c r="CQ260" s="106">
        <f>+HLOOKUP($C260,BP!$EK$2:$EW$250,185,0)</f>
        <v>0</v>
      </c>
      <c r="CR260" s="106">
        <f>+HLOOKUP($C260,BP!$EK$2:$EW$250,187,0)</f>
        <v>1250</v>
      </c>
      <c r="CS260" s="106">
        <f>+HLOOKUP($C260,BP!$EK$2:$EW$250,188,0)</f>
        <v>0</v>
      </c>
      <c r="CT260" s="106">
        <f>+HLOOKUP($C260,BP!$EK$2:$EW$250,189,0)</f>
        <v>0</v>
      </c>
      <c r="CU260" s="106">
        <f>+HLOOKUP($C260,BP!$EK$2:$EW$250,190,0)</f>
        <v>0</v>
      </c>
      <c r="CV260" s="106">
        <f>+HLOOKUP($C260,BP!$EK$2:$EW$250,191,0)</f>
        <v>0</v>
      </c>
      <c r="CW260" s="106">
        <f>+HLOOKUP($C260,BP!$EK$2:$EW$250,193,0)</f>
        <v>0</v>
      </c>
      <c r="CX260" s="106">
        <f>+HLOOKUP($C260,BP!$EK$2:$EW$250,194,0)</f>
        <v>0</v>
      </c>
      <c r="CY260" s="106">
        <f>+HLOOKUP($C260,BP!$EK$2:$EW$250,195,0)</f>
        <v>0</v>
      </c>
      <c r="CZ260" s="106">
        <f>+HLOOKUP($C260,BP!$EK$2:$EW$250,196,0)</f>
        <v>0</v>
      </c>
      <c r="DA260" s="106">
        <f>+HLOOKUP($C260,BP!$EK$2:$EW$250,197,0)</f>
        <v>0</v>
      </c>
      <c r="DB260" s="106">
        <f>+HLOOKUP($C260,BP!$EK$2:$EW$250,198,0)</f>
        <v>0</v>
      </c>
      <c r="DC260" s="106">
        <f>+HLOOKUP($C260,BP!$EK$2:$EW$250,199,0)</f>
        <v>0</v>
      </c>
      <c r="DD260" s="106">
        <f>+HLOOKUP($C260,BP!$EK$2:$EW$250,200,0)</f>
        <v>0</v>
      </c>
      <c r="DE260" s="106">
        <f>+HLOOKUP($C260,BP!$EK$2:$EW$250,201,0)</f>
        <v>0</v>
      </c>
      <c r="DF260" s="106">
        <f>+HLOOKUP($C260,BP!$EK$2:$EW$250,202,0)</f>
        <v>0</v>
      </c>
      <c r="DG260" s="106">
        <f>+HLOOKUP($C260,BP!$EK$2:$EW$250,203,0)</f>
        <v>0</v>
      </c>
      <c r="DH260" s="106">
        <f>+HLOOKUP($C260,BP!$EK$2:$EW$250,205,0)</f>
        <v>0</v>
      </c>
      <c r="DI260" s="106">
        <f>+HLOOKUP($C260,BP!$EK$2:$EW$250,206,0)</f>
        <v>0</v>
      </c>
      <c r="DJ260" s="106">
        <f>+HLOOKUP($C260,BP!$EK$2:$EW$250,207,0)</f>
        <v>0</v>
      </c>
      <c r="DK260" s="106">
        <f>+HLOOKUP($C260,BP!$EK$2:$EW$250,209,0)</f>
        <v>0</v>
      </c>
      <c r="DL260" s="106">
        <f>+HLOOKUP($C260,BP!$EK$2:$EW$250,210,0)</f>
        <v>178000</v>
      </c>
      <c r="DM260" s="106">
        <f>+HLOOKUP($C260,BP!$EK$2:$EW$250,211,0)</f>
        <v>0</v>
      </c>
      <c r="DN260" s="106">
        <f>+HLOOKUP($C260,BP!$EK$2:$EW$250,212,0)</f>
        <v>0</v>
      </c>
      <c r="DO260" s="106">
        <f>+HLOOKUP($C260,BP!$EK$2:$EW$250,214,0)</f>
        <v>0</v>
      </c>
      <c r="DP260" s="106">
        <f>+HLOOKUP($C260,BP!$EK$2:$EW$250,215,0)</f>
        <v>0</v>
      </c>
      <c r="DQ260" s="106">
        <f>+HLOOKUP($C260,BP!$EK$2:$EW$250,219,0)</f>
        <v>0</v>
      </c>
      <c r="DR260" s="106">
        <f>+HLOOKUP($C260,BP!$EK$2:$EW$250,220,0)</f>
        <v>0</v>
      </c>
      <c r="DS260" s="106">
        <f>+HLOOKUP($C260,BP!$EK$2:$EW$250,221,0)</f>
        <v>0</v>
      </c>
      <c r="DT260" s="106">
        <f>+HLOOKUP($C260,BP!$EK$2:$EW$250,223,0)</f>
        <v>0</v>
      </c>
      <c r="DU260" s="106">
        <f>+HLOOKUP($C260,BP!$EK$2:$EW$250,224,0)</f>
        <v>0</v>
      </c>
      <c r="DV260" s="106">
        <f>+HLOOKUP($C260,BP!$EK$2:$EW$250,225,0)</f>
        <v>0</v>
      </c>
      <c r="DW260" s="106">
        <f>+HLOOKUP($C260,BP!$EK$2:$EW$250,227,0)</f>
        <v>0</v>
      </c>
      <c r="DX260" s="106">
        <f>+HLOOKUP($C260,BP!$EK$2:$EW$250,228,0)</f>
        <v>0</v>
      </c>
      <c r="DY260" s="106">
        <f>+HLOOKUP($C260,BP!$EK$2:$EW$250,236,0)</f>
        <v>0</v>
      </c>
      <c r="DZ260" s="106">
        <f>+HLOOKUP($C260,BP!$EK$2:$EW$250,237,0)</f>
        <v>0</v>
      </c>
      <c r="EA260" s="106">
        <f>+HLOOKUP($C260,BP!$EK$2:$EW$250,238,0)</f>
        <v>0</v>
      </c>
      <c r="EB260" s="106">
        <f>+HLOOKUP($C260,BP!$EK$2:$EW$250,240,0)</f>
        <v>468618.16800000001</v>
      </c>
    </row>
    <row r="261" spans="1:132" hidden="1">
      <c r="A261" t="s">
        <v>272</v>
      </c>
      <c r="B261" t="s">
        <v>218</v>
      </c>
      <c r="C261" s="117">
        <v>45778</v>
      </c>
      <c r="D261" s="106">
        <f t="shared" si="5"/>
        <v>339674.99</v>
      </c>
      <c r="E261" s="106">
        <f>+HLOOKUP(C261,BP!$EK$2:$EW$250,28,0)+HLOOKUP(C261,BP!$EK$2:$EW$250,43,0)+HLOOKUP(C261,BP!$EK$2:$EW$250,44,0)+HLOOKUP(C261,BP!$EK$2:$EW$250,45,0)+HLOOKUP(C261,BP!$EK$2:$EW$250,54,0)+HLOOKUP(C261,BP!$EK$2:$EW$250,59,0)</f>
        <v>339674.99</v>
      </c>
      <c r="F261" s="106">
        <f>+HLOOKUP(C261,BP!$EK$2:$EW$250,37,0)+HLOOKUP(C261,BP!$EK$2:$EW$250,55,0)</f>
        <v>180425.478</v>
      </c>
      <c r="G261" s="106">
        <f>+HLOOKUP($C261,BP!$EK$2:$EW$250,76,0)</f>
        <v>0</v>
      </c>
      <c r="H261" s="106">
        <f>+HLOOKUP($C261,BP!$EK$2:$EW$250,77,0)</f>
        <v>0</v>
      </c>
      <c r="I261" s="106">
        <f>+HLOOKUP($C261,BP!$EK$2:$EW$250,78,0)</f>
        <v>0</v>
      </c>
      <c r="J261" s="106">
        <f>+HLOOKUP($C261,BP!$EK$2:$EW$250,79,0)</f>
        <v>0</v>
      </c>
      <c r="K261" s="106">
        <f>+HLOOKUP($C261,BP!$EK$2:$EW$250,80,0)</f>
        <v>0</v>
      </c>
      <c r="L261" s="106">
        <f>+HLOOKUP($C261,BP!$EK$2:$EW$250,81,0)</f>
        <v>0</v>
      </c>
      <c r="M261" s="106">
        <f>+HLOOKUP($C261,BP!$EK$2:$EW$250,82,0)</f>
        <v>0</v>
      </c>
      <c r="N261" s="106">
        <f>+HLOOKUP($C261,BP!$EK$2:$EW$250,83,0)</f>
        <v>0</v>
      </c>
      <c r="O261" s="106">
        <f>+HLOOKUP($C261,BP!$EK$2:$EW$250,84,0)</f>
        <v>0</v>
      </c>
      <c r="P261" s="106">
        <f>+HLOOKUP($C261,BP!$EK$2:$EW$250,85,0)</f>
        <v>0</v>
      </c>
      <c r="Q261" s="106">
        <f>+HLOOKUP($C261,BP!$EK$2:$EW$250,87,0)</f>
        <v>11833.560000000001</v>
      </c>
      <c r="R261" s="106">
        <f>+HLOOKUP($C261,BP!$EK$2:$EW$250,90,0)</f>
        <v>0</v>
      </c>
      <c r="S261" s="106">
        <f>+HLOOKUP($C261,BP!$EK$2:$EW$250,91,0)</f>
        <v>0</v>
      </c>
      <c r="T261" s="106">
        <f>+HLOOKUP($C261,BP!$EK$2:$EW$250,92,0)</f>
        <v>0</v>
      </c>
      <c r="U261" s="106">
        <f>+HLOOKUP($C261,BP!$EK$2:$EW$250,93,0)</f>
        <v>0</v>
      </c>
      <c r="V261" s="106">
        <f>+HLOOKUP($C261,BP!$EK$2:$EW$250,94,0)</f>
        <v>0</v>
      </c>
      <c r="W261" s="106">
        <f>+HLOOKUP($C261,BP!$EK$2:$EW$250,95,0)</f>
        <v>0</v>
      </c>
      <c r="X261" s="106">
        <f>+HLOOKUP($C261,BP!$EK$2:$EW$250,96,0)</f>
        <v>0</v>
      </c>
      <c r="Y261" s="106">
        <f>+HLOOKUP($C261,BP!$EK$2:$EW$250,97,0)</f>
        <v>0</v>
      </c>
      <c r="Z261" s="106">
        <f>+HLOOKUP($C261,BP!$EK$2:$EW$250,98,0)</f>
        <v>0</v>
      </c>
      <c r="AA261" s="106">
        <f>+HLOOKUP($C261,BP!$EK$2:$EW$250,99,0)</f>
        <v>0</v>
      </c>
      <c r="AB261" s="106">
        <f>+HLOOKUP($C261,BP!$EK$2:$EW$250,100,0)</f>
        <v>0</v>
      </c>
      <c r="AC261" s="106">
        <f>+HLOOKUP($C261,BP!$EK$2:$EW$250,101,0)</f>
        <v>0</v>
      </c>
      <c r="AD261" s="106">
        <f>+HLOOKUP($C261,BP!$EK$2:$EW$250,104,0)</f>
        <v>0</v>
      </c>
      <c r="AE261" s="106">
        <f>+HLOOKUP($C261,BP!$EK$2:$EW$250,105,0)</f>
        <v>0</v>
      </c>
      <c r="AF261" s="106">
        <f>+HLOOKUP($C261,BP!$EK$2:$EW$250,106,0)</f>
        <v>0</v>
      </c>
      <c r="AG261" s="106">
        <f>+HLOOKUP($C261,BP!$EK$2:$EW$250,107,0)</f>
        <v>0</v>
      </c>
      <c r="AH261" s="106">
        <f>+HLOOKUP($C261,BP!$EK$2:$EW$250,108,0)</f>
        <v>0</v>
      </c>
      <c r="AI261" s="106">
        <f>+HLOOKUP($C261,BP!$EK$2:$EW$250,109,0)</f>
        <v>0</v>
      </c>
      <c r="AJ261" s="106">
        <f>+HLOOKUP($C261,BP!$EK$2:$EW$250,110,0)</f>
        <v>0</v>
      </c>
      <c r="AK261" s="106">
        <f>+HLOOKUP($C261,BP!$EK$2:$EW$250,111,0)</f>
        <v>79225.172000000006</v>
      </c>
      <c r="AL261" s="106">
        <f>+HLOOKUP($C261,BP!$EK$2:$EW$250,112,0)</f>
        <v>0</v>
      </c>
      <c r="AM261" s="106">
        <f>+HLOOKUP($C261,BP!$EK$2:$EW$250,116,0)</f>
        <v>37056</v>
      </c>
      <c r="AN261" s="106">
        <f>+HLOOKUP($C261,BP!$EK$2:$EW$250,117,0)</f>
        <v>5521</v>
      </c>
      <c r="AO261" s="106">
        <f>+HLOOKUP($C261,BP!$EK$2:$EW$250,118,0)</f>
        <v>0</v>
      </c>
      <c r="AP261" s="106">
        <f>+HLOOKUP($C261,BP!$EK$2:$EW$250,119,0)</f>
        <v>14823</v>
      </c>
      <c r="AQ261" s="106">
        <f>+HLOOKUP($C261,BP!$EK$2:$EW$250,120,0)</f>
        <v>0</v>
      </c>
      <c r="AR261" s="106">
        <f>+HLOOKUP($C261,BP!$EK$2:$EW$250,121,0)</f>
        <v>0</v>
      </c>
      <c r="AS261" s="106">
        <f>+HLOOKUP($C261,BP!$EK$2:$EW$250,122,0)</f>
        <v>16713</v>
      </c>
      <c r="AT261" s="106">
        <f>+HLOOKUP($C261,BP!$EK$2:$EW$250,123,0)</f>
        <v>5646.875</v>
      </c>
      <c r="AU261" s="106">
        <f>+HLOOKUP($C261,BP!$EK$2:$EW$250,124,0)</f>
        <v>0</v>
      </c>
      <c r="AV261" s="106">
        <f>+HLOOKUP($C261,BP!$EK$2:$EW$250,125,0)</f>
        <v>0</v>
      </c>
      <c r="AW261" s="106">
        <f>+HLOOKUP($C261,BP!$EK$2:$EW$250,126,0)</f>
        <v>1983.1730769230771</v>
      </c>
      <c r="AX261" s="106">
        <f>+HLOOKUP($C261,BP!$EK$2:$EW$250,127,0)</f>
        <v>3250</v>
      </c>
      <c r="AY261" s="106">
        <f>+HLOOKUP($C261,BP!$EK$2:$EW$250,129,0)</f>
        <v>0</v>
      </c>
      <c r="AZ261" s="106">
        <f>+HLOOKUP($C261,BP!$EK$2:$EW$250,130,0)</f>
        <v>0</v>
      </c>
      <c r="BA261" s="106">
        <f>+HLOOKUP($C261,BP!$EK$2:$EW$250,131,0)</f>
        <v>0</v>
      </c>
      <c r="BB261" s="106">
        <f>+HLOOKUP($C261,BP!$EK$2:$EW$250,133,0)</f>
        <v>0</v>
      </c>
      <c r="BC261" s="106">
        <f>+HLOOKUP($C261,BP!$EK$2:$EW$250,134,0)</f>
        <v>736</v>
      </c>
      <c r="BD261" s="106">
        <f>+HLOOKUP($C261,BP!$EK$2:$EW$250,135,0)</f>
        <v>0</v>
      </c>
      <c r="BE261" s="106">
        <f>+HLOOKUP($C261,BP!$EK$2:$EW$250,136,0)</f>
        <v>0</v>
      </c>
      <c r="BF261" s="106">
        <f>+HLOOKUP($C261,BP!$EK$2:$EW$250,138,0)</f>
        <v>0</v>
      </c>
      <c r="BG261" s="106">
        <f>+HLOOKUP($C261,BP!$EK$2:$EW$250,139,0)</f>
        <v>894</v>
      </c>
      <c r="BH261" s="106">
        <f>+HLOOKUP($C261,BP!$EK$2:$EW$250,140,0)</f>
        <v>0</v>
      </c>
      <c r="BI261" s="106">
        <f>+HLOOKUP($C261,BP!$EK$2:$EW$250,141,0)</f>
        <v>0</v>
      </c>
      <c r="BJ261" s="106">
        <f>+HLOOKUP($C261,BP!$EK$2:$EW$250,142,0)</f>
        <v>0</v>
      </c>
      <c r="BK261" s="106">
        <f>+HLOOKUP($C261,BP!$EK$2:$EW$250,143,0)</f>
        <v>0</v>
      </c>
      <c r="BL261" s="106">
        <f>+HLOOKUP($C261,BP!$EK$2:$EW$250,144,0)</f>
        <v>0</v>
      </c>
      <c r="BM261" s="106">
        <f>+HLOOKUP($C261,BP!$EK$2:$EW$250,146,0)</f>
        <v>0</v>
      </c>
      <c r="BN261" s="106">
        <f>+HLOOKUP($C261,BP!$EK$2:$EW$250,147,0)</f>
        <v>0</v>
      </c>
      <c r="BO261" s="106">
        <f>+HLOOKUP($C261,BP!$EK$2:$EW$250,148,0)</f>
        <v>0</v>
      </c>
      <c r="BP261" s="106">
        <f>+HLOOKUP($C261,BP!$EK$2:$EW$250,150,0)</f>
        <v>0</v>
      </c>
      <c r="BQ261" s="106">
        <f>+HLOOKUP($C261,BP!$EK$2:$EW$250,151,0)</f>
        <v>0</v>
      </c>
      <c r="BR261" s="106">
        <f>+HLOOKUP($C261,BP!$EK$2:$EW$250,152,0)</f>
        <v>0</v>
      </c>
      <c r="BS261" s="106">
        <f>+HLOOKUP($C261,BP!$EK$2:$EW$250,153,0)</f>
        <v>0</v>
      </c>
      <c r="BT261" s="106">
        <f>+HLOOKUP($C261,BP!$EK$2:$EW$250,157,0)</f>
        <v>0</v>
      </c>
      <c r="BU261" s="106">
        <f>+HLOOKUP($C261,BP!$EK$2:$EW$250,158,0)</f>
        <v>0</v>
      </c>
      <c r="BV261" s="106">
        <f>+HLOOKUP($C261,BP!$EK$2:$EW$250,159,0)</f>
        <v>0</v>
      </c>
      <c r="BW261" s="106">
        <f>+HLOOKUP($C261,BP!$EK$2:$EW$250,160,0)</f>
        <v>0</v>
      </c>
      <c r="BX261" s="106">
        <f>+HLOOKUP($C261,BP!$EK$2:$EW$250,161,0)</f>
        <v>0</v>
      </c>
      <c r="BY261" s="106">
        <f>+HLOOKUP($C261,BP!$EK$2:$EW$250,164,0)</f>
        <v>0</v>
      </c>
      <c r="BZ261" s="106">
        <f>+HLOOKUP($C261,BP!$EK$2:$EW$250,165,0)</f>
        <v>0</v>
      </c>
      <c r="CA261" s="106">
        <f>+HLOOKUP($C261,BP!$EK$2:$EW$250,166,0)</f>
        <v>0</v>
      </c>
      <c r="CB261" s="106">
        <f>+HLOOKUP($C261,BP!$EK$2:$EW$250,167,0)</f>
        <v>0</v>
      </c>
      <c r="CC261" s="106">
        <f>+HLOOKUP($C261,BP!$EK$2:$EW$250,168,0)</f>
        <v>0</v>
      </c>
      <c r="CD261" s="106">
        <f>+HLOOKUP($C261,BP!$EK$2:$EW$250,169,0)</f>
        <v>0</v>
      </c>
      <c r="CE261" s="106">
        <f>+HLOOKUP($C261,BP!$EK$2:$EW$250,170,0)</f>
        <v>0</v>
      </c>
      <c r="CF261" s="106">
        <f>+HLOOKUP($C261,BP!$EK$2:$EW$250,172,0)</f>
        <v>0</v>
      </c>
      <c r="CG261" s="106">
        <f>+HLOOKUP($C261,BP!$EK$2:$EW$250,173,0)</f>
        <v>0</v>
      </c>
      <c r="CH261" s="106">
        <f>+HLOOKUP($C261,BP!$EK$2:$EW$250,174,0)</f>
        <v>0</v>
      </c>
      <c r="CI261" s="106">
        <f>+HLOOKUP($C261,BP!$EK$2:$EW$250,175,0)</f>
        <v>0</v>
      </c>
      <c r="CJ261" s="106">
        <f>+HLOOKUP($C261,BP!$EK$2:$EW$250,176,0)</f>
        <v>0</v>
      </c>
      <c r="CK261" s="106">
        <f>+HLOOKUP($C261,BP!$EK$2:$EW$250,178,0)</f>
        <v>18141.2</v>
      </c>
      <c r="CL261" s="106">
        <f>+HLOOKUP($C261,BP!$EK$2:$EW$250,179,0)</f>
        <v>181949.59999999998</v>
      </c>
      <c r="CM261" s="106">
        <f>+HLOOKUP($C261,BP!$EK$2:$EW$250,180,0)</f>
        <v>0</v>
      </c>
      <c r="CN261" s="106">
        <f>+HLOOKUP($C261,BP!$EK$2:$EW$250,182,0)</f>
        <v>0</v>
      </c>
      <c r="CO261" s="106">
        <f>+HLOOKUP($C261,BP!$EK$2:$EW$250,183,0)</f>
        <v>5596.9639999999999</v>
      </c>
      <c r="CP261" s="106">
        <f>+HLOOKUP($C261,BP!$EK$2:$EW$250,184,0)</f>
        <v>0</v>
      </c>
      <c r="CQ261" s="106">
        <f>+HLOOKUP($C261,BP!$EK$2:$EW$250,185,0)</f>
        <v>0</v>
      </c>
      <c r="CR261" s="106">
        <f>+HLOOKUP($C261,BP!$EK$2:$EW$250,187,0)</f>
        <v>1250</v>
      </c>
      <c r="CS261" s="106">
        <f>+HLOOKUP($C261,BP!$EK$2:$EW$250,188,0)</f>
        <v>0</v>
      </c>
      <c r="CT261" s="106">
        <f>+HLOOKUP($C261,BP!$EK$2:$EW$250,189,0)</f>
        <v>0</v>
      </c>
      <c r="CU261" s="106">
        <f>+HLOOKUP($C261,BP!$EK$2:$EW$250,190,0)</f>
        <v>0</v>
      </c>
      <c r="CV261" s="106">
        <f>+HLOOKUP($C261,BP!$EK$2:$EW$250,191,0)</f>
        <v>0</v>
      </c>
      <c r="CW261" s="106">
        <f>+HLOOKUP($C261,BP!$EK$2:$EW$250,193,0)</f>
        <v>0</v>
      </c>
      <c r="CX261" s="106">
        <f>+HLOOKUP($C261,BP!$EK$2:$EW$250,194,0)</f>
        <v>0</v>
      </c>
      <c r="CY261" s="106">
        <f>+HLOOKUP($C261,BP!$EK$2:$EW$250,195,0)</f>
        <v>0</v>
      </c>
      <c r="CZ261" s="106">
        <f>+HLOOKUP($C261,BP!$EK$2:$EW$250,196,0)</f>
        <v>0</v>
      </c>
      <c r="DA261" s="106">
        <f>+HLOOKUP($C261,BP!$EK$2:$EW$250,197,0)</f>
        <v>0</v>
      </c>
      <c r="DB261" s="106">
        <f>+HLOOKUP($C261,BP!$EK$2:$EW$250,198,0)</f>
        <v>0</v>
      </c>
      <c r="DC261" s="106">
        <f>+HLOOKUP($C261,BP!$EK$2:$EW$250,199,0)</f>
        <v>0</v>
      </c>
      <c r="DD261" s="106">
        <f>+HLOOKUP($C261,BP!$EK$2:$EW$250,200,0)</f>
        <v>0</v>
      </c>
      <c r="DE261" s="106">
        <f>+HLOOKUP($C261,BP!$EK$2:$EW$250,201,0)</f>
        <v>0</v>
      </c>
      <c r="DF261" s="106">
        <f>+HLOOKUP($C261,BP!$EK$2:$EW$250,202,0)</f>
        <v>0.02</v>
      </c>
      <c r="DG261" s="106">
        <f>+HLOOKUP($C261,BP!$EK$2:$EW$250,203,0)</f>
        <v>0</v>
      </c>
      <c r="DH261" s="106">
        <f>+HLOOKUP($C261,BP!$EK$2:$EW$250,205,0)</f>
        <v>0</v>
      </c>
      <c r="DI261" s="106">
        <f>+HLOOKUP($C261,BP!$EK$2:$EW$250,206,0)</f>
        <v>0</v>
      </c>
      <c r="DJ261" s="106">
        <f>+HLOOKUP($C261,BP!$EK$2:$EW$250,207,0)</f>
        <v>0</v>
      </c>
      <c r="DK261" s="106">
        <f>+HLOOKUP($C261,BP!$EK$2:$EW$250,209,0)</f>
        <v>0</v>
      </c>
      <c r="DL261" s="106">
        <f>+HLOOKUP($C261,BP!$EK$2:$EW$250,210,0)</f>
        <v>178000</v>
      </c>
      <c r="DM261" s="106">
        <f>+HLOOKUP($C261,BP!$EK$2:$EW$250,211,0)</f>
        <v>0</v>
      </c>
      <c r="DN261" s="106">
        <f>+HLOOKUP($C261,BP!$EK$2:$EW$250,212,0)</f>
        <v>0</v>
      </c>
      <c r="DO261" s="106">
        <f>+HLOOKUP($C261,BP!$EK$2:$EW$250,214,0)</f>
        <v>0</v>
      </c>
      <c r="DP261" s="106">
        <f>+HLOOKUP($C261,BP!$EK$2:$EW$250,215,0)</f>
        <v>0</v>
      </c>
      <c r="DQ261" s="106">
        <f>+HLOOKUP($C261,BP!$EK$2:$EW$250,219,0)</f>
        <v>0</v>
      </c>
      <c r="DR261" s="106">
        <f>+HLOOKUP($C261,BP!$EK$2:$EW$250,220,0)</f>
        <v>0</v>
      </c>
      <c r="DS261" s="106">
        <f>+HLOOKUP($C261,BP!$EK$2:$EW$250,221,0)</f>
        <v>0</v>
      </c>
      <c r="DT261" s="106">
        <f>+HLOOKUP($C261,BP!$EK$2:$EW$250,223,0)</f>
        <v>0</v>
      </c>
      <c r="DU261" s="106">
        <f>+HLOOKUP($C261,BP!$EK$2:$EW$250,224,0)</f>
        <v>0</v>
      </c>
      <c r="DV261" s="106">
        <f>+HLOOKUP($C261,BP!$EK$2:$EW$250,225,0)</f>
        <v>0</v>
      </c>
      <c r="DW261" s="106">
        <f>+HLOOKUP($C261,BP!$EK$2:$EW$250,227,0)</f>
        <v>0</v>
      </c>
      <c r="DX261" s="106">
        <f>+HLOOKUP($C261,BP!$EK$2:$EW$250,228,0)</f>
        <v>0</v>
      </c>
      <c r="DY261" s="106">
        <f>+HLOOKUP($C261,BP!$EK$2:$EW$250,236,0)</f>
        <v>0</v>
      </c>
      <c r="DZ261" s="106">
        <f>+HLOOKUP($C261,BP!$EK$2:$EW$250,237,0)</f>
        <v>0</v>
      </c>
      <c r="EA261" s="106">
        <f>+HLOOKUP($C261,BP!$EK$2:$EW$250,238,0)</f>
        <v>0</v>
      </c>
      <c r="EB261" s="106">
        <f>+HLOOKUP($C261,BP!$EK$2:$EW$250,240,0)</f>
        <v>468618.16800000001</v>
      </c>
    </row>
    <row r="262" spans="1:132" hidden="1">
      <c r="A262" t="s">
        <v>272</v>
      </c>
      <c r="B262" t="s">
        <v>218</v>
      </c>
      <c r="C262" s="117">
        <v>45748</v>
      </c>
      <c r="D262" s="106">
        <f t="shared" si="5"/>
        <v>151040.29199999999</v>
      </c>
      <c r="E262" s="106">
        <f>+HLOOKUP(C262,BP!$EK$2:$EW$250,28,0)+HLOOKUP(C262,BP!$EK$2:$EW$250,43,0)+HLOOKUP(C262,BP!$EK$2:$EW$250,44,0)+HLOOKUP(C262,BP!$EK$2:$EW$250,45,0)+HLOOKUP(C262,BP!$EK$2:$EW$250,54,0)+HLOOKUP(C262,BP!$EK$2:$EW$250,59,0)</f>
        <v>151040.29199999999</v>
      </c>
      <c r="F262" s="106">
        <f>+HLOOKUP(C262,BP!$EK$2:$EW$250,37,0)+HLOOKUP(C262,BP!$EK$2:$EW$250,55,0)</f>
        <v>152131.652</v>
      </c>
      <c r="G262" s="106">
        <f>+HLOOKUP($C262,BP!$EK$2:$EW$250,76,0)</f>
        <v>0</v>
      </c>
      <c r="H262" s="106">
        <f>+HLOOKUP($C262,BP!$EK$2:$EW$250,77,0)</f>
        <v>0</v>
      </c>
      <c r="I262" s="106">
        <f>+HLOOKUP($C262,BP!$EK$2:$EW$250,78,0)</f>
        <v>0</v>
      </c>
      <c r="J262" s="106">
        <f>+HLOOKUP($C262,BP!$EK$2:$EW$250,79,0)</f>
        <v>0</v>
      </c>
      <c r="K262" s="106">
        <f>+HLOOKUP($C262,BP!$EK$2:$EW$250,80,0)</f>
        <v>0</v>
      </c>
      <c r="L262" s="106">
        <f>+HLOOKUP($C262,BP!$EK$2:$EW$250,81,0)</f>
        <v>0</v>
      </c>
      <c r="M262" s="106">
        <f>+HLOOKUP($C262,BP!$EK$2:$EW$250,82,0)</f>
        <v>0</v>
      </c>
      <c r="N262" s="106">
        <f>+HLOOKUP($C262,BP!$EK$2:$EW$250,83,0)</f>
        <v>0</v>
      </c>
      <c r="O262" s="106">
        <f>+HLOOKUP($C262,BP!$EK$2:$EW$250,84,0)</f>
        <v>0</v>
      </c>
      <c r="P262" s="106">
        <f>+HLOOKUP($C262,BP!$EK$2:$EW$250,85,0)</f>
        <v>0</v>
      </c>
      <c r="Q262" s="106">
        <f>+HLOOKUP($C262,BP!$EK$2:$EW$250,87,0)</f>
        <v>0</v>
      </c>
      <c r="R262" s="106">
        <f>+HLOOKUP($C262,BP!$EK$2:$EW$250,90,0)</f>
        <v>0</v>
      </c>
      <c r="S262" s="106">
        <f>+HLOOKUP($C262,BP!$EK$2:$EW$250,91,0)</f>
        <v>0</v>
      </c>
      <c r="T262" s="106">
        <f>+HLOOKUP($C262,BP!$EK$2:$EW$250,92,0)</f>
        <v>0</v>
      </c>
      <c r="U262" s="106">
        <f>+HLOOKUP($C262,BP!$EK$2:$EW$250,93,0)</f>
        <v>0</v>
      </c>
      <c r="V262" s="106">
        <f>+HLOOKUP($C262,BP!$EK$2:$EW$250,94,0)</f>
        <v>0</v>
      </c>
      <c r="W262" s="106">
        <f>+HLOOKUP($C262,BP!$EK$2:$EW$250,95,0)</f>
        <v>0</v>
      </c>
      <c r="X262" s="106">
        <f>+HLOOKUP($C262,BP!$EK$2:$EW$250,96,0)</f>
        <v>0</v>
      </c>
      <c r="Y262" s="106">
        <f>+HLOOKUP($C262,BP!$EK$2:$EW$250,97,0)</f>
        <v>0</v>
      </c>
      <c r="Z262" s="106">
        <f>+HLOOKUP($C262,BP!$EK$2:$EW$250,98,0)</f>
        <v>0</v>
      </c>
      <c r="AA262" s="106">
        <f>+HLOOKUP($C262,BP!$EK$2:$EW$250,99,0)</f>
        <v>0</v>
      </c>
      <c r="AB262" s="106">
        <f>+HLOOKUP($C262,BP!$EK$2:$EW$250,100,0)</f>
        <v>0</v>
      </c>
      <c r="AC262" s="106">
        <f>+HLOOKUP($C262,BP!$EK$2:$EW$250,101,0)</f>
        <v>0</v>
      </c>
      <c r="AD262" s="106">
        <f>+HLOOKUP($C262,BP!$EK$2:$EW$250,104,0)</f>
        <v>0</v>
      </c>
      <c r="AE262" s="106">
        <f>+HLOOKUP($C262,BP!$EK$2:$EW$250,105,0)</f>
        <v>0</v>
      </c>
      <c r="AF262" s="106">
        <f>+HLOOKUP($C262,BP!$EK$2:$EW$250,106,0)</f>
        <v>0</v>
      </c>
      <c r="AG262" s="106">
        <f>+HLOOKUP($C262,BP!$EK$2:$EW$250,107,0)</f>
        <v>0</v>
      </c>
      <c r="AH262" s="106">
        <f>+HLOOKUP($C262,BP!$EK$2:$EW$250,108,0)</f>
        <v>0</v>
      </c>
      <c r="AI262" s="106">
        <f>+HLOOKUP($C262,BP!$EK$2:$EW$250,109,0)</f>
        <v>0</v>
      </c>
      <c r="AJ262" s="106">
        <f>+HLOOKUP($C262,BP!$EK$2:$EW$250,110,0)</f>
        <v>0</v>
      </c>
      <c r="AK262" s="106">
        <f>+HLOOKUP($C262,BP!$EK$2:$EW$250,111,0)</f>
        <v>0</v>
      </c>
      <c r="AL262" s="106">
        <f>+HLOOKUP($C262,BP!$EK$2:$EW$250,112,0)</f>
        <v>0</v>
      </c>
      <c r="AM262" s="106">
        <f>+HLOOKUP($C262,BP!$EK$2:$EW$250,116,0)</f>
        <v>41250</v>
      </c>
      <c r="AN262" s="106">
        <f>+HLOOKUP($C262,BP!$EK$2:$EW$250,117,0)</f>
        <v>6150</v>
      </c>
      <c r="AO262" s="106">
        <f>+HLOOKUP($C262,BP!$EK$2:$EW$250,118,0)</f>
        <v>0</v>
      </c>
      <c r="AP262" s="106">
        <f>+HLOOKUP($C262,BP!$EK$2:$EW$250,119,0)</f>
        <v>16500</v>
      </c>
      <c r="AQ262" s="106">
        <f>+HLOOKUP($C262,BP!$EK$2:$EW$250,120,0)</f>
        <v>0</v>
      </c>
      <c r="AR262" s="106">
        <f>+HLOOKUP($C262,BP!$EK$2:$EW$250,121,0)</f>
        <v>0</v>
      </c>
      <c r="AS262" s="106">
        <f>+HLOOKUP($C262,BP!$EK$2:$EW$250,122,0)</f>
        <v>18600</v>
      </c>
      <c r="AT262" s="106">
        <f>+HLOOKUP($C262,BP!$EK$2:$EW$250,123,0)</f>
        <v>5646.875</v>
      </c>
      <c r="AU262" s="106">
        <f>+HLOOKUP($C262,BP!$EK$2:$EW$250,124,0)</f>
        <v>0</v>
      </c>
      <c r="AV262" s="106">
        <f>+HLOOKUP($C262,BP!$EK$2:$EW$250,125,0)</f>
        <v>0</v>
      </c>
      <c r="AW262" s="106">
        <f>+HLOOKUP($C262,BP!$EK$2:$EW$250,126,0)</f>
        <v>1983.1730769230771</v>
      </c>
      <c r="AX262" s="106">
        <f>+HLOOKUP($C262,BP!$EK$2:$EW$250,127,0)</f>
        <v>3250</v>
      </c>
      <c r="AY262" s="106">
        <f>+HLOOKUP($C262,BP!$EK$2:$EW$250,129,0)</f>
        <v>0</v>
      </c>
      <c r="AZ262" s="106">
        <f>+HLOOKUP($C262,BP!$EK$2:$EW$250,130,0)</f>
        <v>0</v>
      </c>
      <c r="BA262" s="106">
        <f>+HLOOKUP($C262,BP!$EK$2:$EW$250,131,0)</f>
        <v>0</v>
      </c>
      <c r="BB262" s="106">
        <f>+HLOOKUP($C262,BP!$EK$2:$EW$250,133,0)</f>
        <v>0</v>
      </c>
      <c r="BC262" s="106">
        <f>+HLOOKUP($C262,BP!$EK$2:$EW$250,134,0)</f>
        <v>0</v>
      </c>
      <c r="BD262" s="106">
        <f>+HLOOKUP($C262,BP!$EK$2:$EW$250,135,0)</f>
        <v>0</v>
      </c>
      <c r="BE262" s="106">
        <f>+HLOOKUP($C262,BP!$EK$2:$EW$250,136,0)</f>
        <v>0</v>
      </c>
      <c r="BF262" s="106">
        <f>+HLOOKUP($C262,BP!$EK$2:$EW$250,138,0)</f>
        <v>0</v>
      </c>
      <c r="BG262" s="106">
        <f>+HLOOKUP($C262,BP!$EK$2:$EW$250,139,0)</f>
        <v>0</v>
      </c>
      <c r="BH262" s="106">
        <f>+HLOOKUP($C262,BP!$EK$2:$EW$250,140,0)</f>
        <v>12000</v>
      </c>
      <c r="BI262" s="106">
        <f>+HLOOKUP($C262,BP!$EK$2:$EW$250,141,0)</f>
        <v>0</v>
      </c>
      <c r="BJ262" s="106">
        <f>+HLOOKUP($C262,BP!$EK$2:$EW$250,142,0)</f>
        <v>0</v>
      </c>
      <c r="BK262" s="106">
        <f>+HLOOKUP($C262,BP!$EK$2:$EW$250,143,0)</f>
        <v>2465</v>
      </c>
      <c r="BL262" s="106">
        <f>+HLOOKUP($C262,BP!$EK$2:$EW$250,144,0)</f>
        <v>0</v>
      </c>
      <c r="BM262" s="106">
        <f>+HLOOKUP($C262,BP!$EK$2:$EW$250,146,0)</f>
        <v>0</v>
      </c>
      <c r="BN262" s="106">
        <f>+HLOOKUP($C262,BP!$EK$2:$EW$250,147,0)</f>
        <v>0</v>
      </c>
      <c r="BO262" s="106">
        <f>+HLOOKUP($C262,BP!$EK$2:$EW$250,148,0)</f>
        <v>0</v>
      </c>
      <c r="BP262" s="106">
        <f>+HLOOKUP($C262,BP!$EK$2:$EW$250,150,0)</f>
        <v>0</v>
      </c>
      <c r="BQ262" s="106">
        <f>+HLOOKUP($C262,BP!$EK$2:$EW$250,151,0)</f>
        <v>0</v>
      </c>
      <c r="BR262" s="106">
        <f>+HLOOKUP($C262,BP!$EK$2:$EW$250,152,0)</f>
        <v>0</v>
      </c>
      <c r="BS262" s="106">
        <f>+HLOOKUP($C262,BP!$EK$2:$EW$250,153,0)</f>
        <v>0</v>
      </c>
      <c r="BT262" s="106">
        <f>+HLOOKUP($C262,BP!$EK$2:$EW$250,157,0)</f>
        <v>0</v>
      </c>
      <c r="BU262" s="106">
        <f>+HLOOKUP($C262,BP!$EK$2:$EW$250,158,0)</f>
        <v>0</v>
      </c>
      <c r="BV262" s="106">
        <f>+HLOOKUP($C262,BP!$EK$2:$EW$250,159,0)</f>
        <v>0</v>
      </c>
      <c r="BW262" s="106">
        <f>+HLOOKUP($C262,BP!$EK$2:$EW$250,160,0)</f>
        <v>0</v>
      </c>
      <c r="BX262" s="106">
        <f>+HLOOKUP($C262,BP!$EK$2:$EW$250,161,0)</f>
        <v>0</v>
      </c>
      <c r="BY262" s="106">
        <f>+HLOOKUP($C262,BP!$EK$2:$EW$250,164,0)</f>
        <v>0</v>
      </c>
      <c r="BZ262" s="106">
        <f>+HLOOKUP($C262,BP!$EK$2:$EW$250,165,0)</f>
        <v>0</v>
      </c>
      <c r="CA262" s="106">
        <f>+HLOOKUP($C262,BP!$EK$2:$EW$250,166,0)</f>
        <v>0</v>
      </c>
      <c r="CB262" s="106">
        <f>+HLOOKUP($C262,BP!$EK$2:$EW$250,167,0)</f>
        <v>0</v>
      </c>
      <c r="CC262" s="106">
        <f>+HLOOKUP($C262,BP!$EK$2:$EW$250,168,0)</f>
        <v>0</v>
      </c>
      <c r="CD262" s="106">
        <f>+HLOOKUP($C262,BP!$EK$2:$EW$250,169,0)</f>
        <v>0</v>
      </c>
      <c r="CE262" s="106">
        <f>+HLOOKUP($C262,BP!$EK$2:$EW$250,170,0)</f>
        <v>0</v>
      </c>
      <c r="CF262" s="106">
        <f>+HLOOKUP($C262,BP!$EK$2:$EW$250,172,0)</f>
        <v>0</v>
      </c>
      <c r="CG262" s="106">
        <f>+HLOOKUP($C262,BP!$EK$2:$EW$250,173,0)</f>
        <v>0</v>
      </c>
      <c r="CH262" s="106">
        <f>+HLOOKUP($C262,BP!$EK$2:$EW$250,174,0)</f>
        <v>0</v>
      </c>
      <c r="CI262" s="106">
        <f>+HLOOKUP($C262,BP!$EK$2:$EW$250,175,0)</f>
        <v>0</v>
      </c>
      <c r="CJ262" s="106">
        <f>+HLOOKUP($C262,BP!$EK$2:$EW$250,176,0)</f>
        <v>0</v>
      </c>
      <c r="CK262" s="106">
        <f>+HLOOKUP($C262,BP!$EK$2:$EW$250,178,0)</f>
        <v>0</v>
      </c>
      <c r="CL262" s="106">
        <f>+HLOOKUP($C262,BP!$EK$2:$EW$250,179,0)</f>
        <v>0</v>
      </c>
      <c r="CM262" s="106">
        <f>+HLOOKUP($C262,BP!$EK$2:$EW$250,180,0)</f>
        <v>0</v>
      </c>
      <c r="CN262" s="106">
        <f>+HLOOKUP($C262,BP!$EK$2:$EW$250,182,0)</f>
        <v>0</v>
      </c>
      <c r="CO262" s="106">
        <f>+HLOOKUP($C262,BP!$EK$2:$EW$250,183,0)</f>
        <v>0</v>
      </c>
      <c r="CP262" s="106">
        <f>+HLOOKUP($C262,BP!$EK$2:$EW$250,184,0)</f>
        <v>0</v>
      </c>
      <c r="CQ262" s="106">
        <f>+HLOOKUP($C262,BP!$EK$2:$EW$250,185,0)</f>
        <v>0</v>
      </c>
      <c r="CR262" s="106">
        <f>+HLOOKUP($C262,BP!$EK$2:$EW$250,187,0)</f>
        <v>1250</v>
      </c>
      <c r="CS262" s="106">
        <f>+HLOOKUP($C262,BP!$EK$2:$EW$250,188,0)</f>
        <v>0</v>
      </c>
      <c r="CT262" s="106">
        <f>+HLOOKUP($C262,BP!$EK$2:$EW$250,189,0)</f>
        <v>0</v>
      </c>
      <c r="CU262" s="106">
        <f>+HLOOKUP($C262,BP!$EK$2:$EW$250,190,0)</f>
        <v>0</v>
      </c>
      <c r="CV262" s="106">
        <f>+HLOOKUP($C262,BP!$EK$2:$EW$250,191,0)</f>
        <v>0</v>
      </c>
      <c r="CW262" s="106">
        <f>+HLOOKUP($C262,BP!$EK$2:$EW$250,193,0)</f>
        <v>0</v>
      </c>
      <c r="CX262" s="106">
        <f>+HLOOKUP($C262,BP!$EK$2:$EW$250,194,0)</f>
        <v>0</v>
      </c>
      <c r="CY262" s="106">
        <f>+HLOOKUP($C262,BP!$EK$2:$EW$250,195,0)</f>
        <v>0</v>
      </c>
      <c r="CZ262" s="106">
        <f>+HLOOKUP($C262,BP!$EK$2:$EW$250,196,0)</f>
        <v>0</v>
      </c>
      <c r="DA262" s="106">
        <f>+HLOOKUP($C262,BP!$EK$2:$EW$250,197,0)</f>
        <v>0</v>
      </c>
      <c r="DB262" s="106">
        <f>+HLOOKUP($C262,BP!$EK$2:$EW$250,198,0)</f>
        <v>0</v>
      </c>
      <c r="DC262" s="106">
        <f>+HLOOKUP($C262,BP!$EK$2:$EW$250,199,0)</f>
        <v>0</v>
      </c>
      <c r="DD262" s="106">
        <f>+HLOOKUP($C262,BP!$EK$2:$EW$250,200,0)</f>
        <v>0</v>
      </c>
      <c r="DE262" s="106">
        <f>+HLOOKUP($C262,BP!$EK$2:$EW$250,201,0)</f>
        <v>0</v>
      </c>
      <c r="DF262" s="106">
        <f>+HLOOKUP($C262,BP!$EK$2:$EW$250,202,0)</f>
        <v>0</v>
      </c>
      <c r="DG262" s="106">
        <f>+HLOOKUP($C262,BP!$EK$2:$EW$250,203,0)</f>
        <v>0</v>
      </c>
      <c r="DH262" s="106">
        <f>+HLOOKUP($C262,BP!$EK$2:$EW$250,205,0)</f>
        <v>0</v>
      </c>
      <c r="DI262" s="106">
        <f>+HLOOKUP($C262,BP!$EK$2:$EW$250,206,0)</f>
        <v>0</v>
      </c>
      <c r="DJ262" s="106">
        <f>+HLOOKUP($C262,BP!$EK$2:$EW$250,207,0)</f>
        <v>0</v>
      </c>
      <c r="DK262" s="106">
        <f>+HLOOKUP($C262,BP!$EK$2:$EW$250,209,0)</f>
        <v>0</v>
      </c>
      <c r="DL262" s="106">
        <f>+HLOOKUP($C262,BP!$EK$2:$EW$250,210,0)</f>
        <v>178000</v>
      </c>
      <c r="DM262" s="106">
        <f>+HLOOKUP($C262,BP!$EK$2:$EW$250,211,0)</f>
        <v>0</v>
      </c>
      <c r="DN262" s="106">
        <f>+HLOOKUP($C262,BP!$EK$2:$EW$250,212,0)</f>
        <v>0</v>
      </c>
      <c r="DO262" s="106">
        <f>+HLOOKUP($C262,BP!$EK$2:$EW$250,214,0)</f>
        <v>0</v>
      </c>
      <c r="DP262" s="106">
        <f>+HLOOKUP($C262,BP!$EK$2:$EW$250,215,0)</f>
        <v>0</v>
      </c>
      <c r="DQ262" s="106">
        <f>+HLOOKUP($C262,BP!$EK$2:$EW$250,219,0)</f>
        <v>0</v>
      </c>
      <c r="DR262" s="106">
        <f>+HLOOKUP($C262,BP!$EK$2:$EW$250,220,0)</f>
        <v>0</v>
      </c>
      <c r="DS262" s="106">
        <f>+HLOOKUP($C262,BP!$EK$2:$EW$250,221,0)</f>
        <v>0</v>
      </c>
      <c r="DT262" s="106">
        <f>+HLOOKUP($C262,BP!$EK$2:$EW$250,223,0)</f>
        <v>0</v>
      </c>
      <c r="DU262" s="106">
        <f>+HLOOKUP($C262,BP!$EK$2:$EW$250,224,0)</f>
        <v>0</v>
      </c>
      <c r="DV262" s="106">
        <f>+HLOOKUP($C262,BP!$EK$2:$EW$250,225,0)</f>
        <v>0</v>
      </c>
      <c r="DW262" s="106">
        <f>+HLOOKUP($C262,BP!$EK$2:$EW$250,227,0)</f>
        <v>0</v>
      </c>
      <c r="DX262" s="106">
        <f>+HLOOKUP($C262,BP!$EK$2:$EW$250,228,0)</f>
        <v>0</v>
      </c>
      <c r="DY262" s="106">
        <f>+HLOOKUP($C262,BP!$EK$2:$EW$250,236,0)</f>
        <v>0</v>
      </c>
      <c r="DZ262" s="106">
        <f>+HLOOKUP($C262,BP!$EK$2:$EW$250,237,0)</f>
        <v>0</v>
      </c>
      <c r="EA262" s="106">
        <f>+HLOOKUP($C262,BP!$EK$2:$EW$250,238,0)</f>
        <v>0</v>
      </c>
      <c r="EB262" s="106">
        <f>+HLOOKUP($C262,BP!$EK$2:$EW$250,240,0)</f>
        <v>468618.16800000001</v>
      </c>
    </row>
    <row r="263" spans="1:132" hidden="1">
      <c r="A263" t="s">
        <v>272</v>
      </c>
      <c r="B263" t="s">
        <v>218</v>
      </c>
      <c r="C263" s="117">
        <v>45717</v>
      </c>
      <c r="D263" s="106">
        <f t="shared" si="5"/>
        <v>926380.9</v>
      </c>
      <c r="E263" s="106">
        <f>+HLOOKUP(C263,BP!$EK$2:$EW$250,28,0)+HLOOKUP(C263,BP!$EK$2:$EW$250,43,0)+HLOOKUP(C263,BP!$EK$2:$EW$250,44,0)+HLOOKUP(C263,BP!$EK$2:$EW$250,45,0)+HLOOKUP(C263,BP!$EK$2:$EW$250,54,0)+HLOOKUP(C263,BP!$EK$2:$EW$250,59,0)</f>
        <v>926380.9</v>
      </c>
      <c r="F263" s="106">
        <f>+HLOOKUP(C263,BP!$EK$2:$EW$250,37,0)+HLOOKUP(C263,BP!$EK$2:$EW$250,55,0)</f>
        <v>602594.72</v>
      </c>
      <c r="G263" s="106">
        <f>+HLOOKUP($C263,BP!$EK$2:$EW$250,76,0)</f>
        <v>0</v>
      </c>
      <c r="H263" s="106">
        <f>+HLOOKUP($C263,BP!$EK$2:$EW$250,77,0)</f>
        <v>0</v>
      </c>
      <c r="I263" s="106">
        <f>+HLOOKUP($C263,BP!$EK$2:$EW$250,78,0)</f>
        <v>0</v>
      </c>
      <c r="J263" s="106">
        <f>+HLOOKUP($C263,BP!$EK$2:$EW$250,79,0)</f>
        <v>0</v>
      </c>
      <c r="K263" s="106">
        <f>+HLOOKUP($C263,BP!$EK$2:$EW$250,80,0)</f>
        <v>0</v>
      </c>
      <c r="L263" s="106">
        <f>+HLOOKUP($C263,BP!$EK$2:$EW$250,81,0)</f>
        <v>0</v>
      </c>
      <c r="M263" s="106">
        <f>+HLOOKUP($C263,BP!$EK$2:$EW$250,82,0)</f>
        <v>0</v>
      </c>
      <c r="N263" s="106">
        <f>+HLOOKUP($C263,BP!$EK$2:$EW$250,83,0)</f>
        <v>0</v>
      </c>
      <c r="O263" s="106">
        <f>+HLOOKUP($C263,BP!$EK$2:$EW$250,84,0)</f>
        <v>0</v>
      </c>
      <c r="P263" s="106">
        <f>+HLOOKUP($C263,BP!$EK$2:$EW$250,85,0)</f>
        <v>0</v>
      </c>
      <c r="Q263" s="106">
        <f>+HLOOKUP($C263,BP!$EK$2:$EW$250,87,0)</f>
        <v>23330.29</v>
      </c>
      <c r="R263" s="106">
        <f>+HLOOKUP($C263,BP!$EK$2:$EW$250,90,0)</f>
        <v>0</v>
      </c>
      <c r="S263" s="106">
        <f>+HLOOKUP($C263,BP!$EK$2:$EW$250,91,0)</f>
        <v>0</v>
      </c>
      <c r="T263" s="106">
        <f>+HLOOKUP($C263,BP!$EK$2:$EW$250,92,0)</f>
        <v>0</v>
      </c>
      <c r="U263" s="106">
        <f>+HLOOKUP($C263,BP!$EK$2:$EW$250,93,0)</f>
        <v>0</v>
      </c>
      <c r="V263" s="106">
        <f>+HLOOKUP($C263,BP!$EK$2:$EW$250,94,0)</f>
        <v>0</v>
      </c>
      <c r="W263" s="106">
        <f>+HLOOKUP($C263,BP!$EK$2:$EW$250,95,0)</f>
        <v>0</v>
      </c>
      <c r="X263" s="106">
        <f>+HLOOKUP($C263,BP!$EK$2:$EW$250,96,0)</f>
        <v>0</v>
      </c>
      <c r="Y263" s="106">
        <f>+HLOOKUP($C263,BP!$EK$2:$EW$250,97,0)</f>
        <v>0</v>
      </c>
      <c r="Z263" s="106">
        <f>+HLOOKUP($C263,BP!$EK$2:$EW$250,98,0)</f>
        <v>0</v>
      </c>
      <c r="AA263" s="106">
        <f>+HLOOKUP($C263,BP!$EK$2:$EW$250,99,0)</f>
        <v>0</v>
      </c>
      <c r="AB263" s="106">
        <f>+HLOOKUP($C263,BP!$EK$2:$EW$250,100,0)</f>
        <v>0</v>
      </c>
      <c r="AC263" s="106">
        <f>+HLOOKUP($C263,BP!$EK$2:$EW$250,101,0)</f>
        <v>0</v>
      </c>
      <c r="AD263" s="106">
        <f>+HLOOKUP($C263,BP!$EK$2:$EW$250,104,0)</f>
        <v>0</v>
      </c>
      <c r="AE263" s="106">
        <f>+HLOOKUP($C263,BP!$EK$2:$EW$250,105,0)</f>
        <v>0</v>
      </c>
      <c r="AF263" s="106">
        <f>+HLOOKUP($C263,BP!$EK$2:$EW$250,106,0)</f>
        <v>0</v>
      </c>
      <c r="AG263" s="106">
        <f>+HLOOKUP($C263,BP!$EK$2:$EW$250,107,0)</f>
        <v>0</v>
      </c>
      <c r="AH263" s="106">
        <f>+HLOOKUP($C263,BP!$EK$2:$EW$250,108,0)</f>
        <v>0</v>
      </c>
      <c r="AI263" s="106">
        <f>+HLOOKUP($C263,BP!$EK$2:$EW$250,109,0)</f>
        <v>0</v>
      </c>
      <c r="AJ263" s="106">
        <f>+HLOOKUP($C263,BP!$EK$2:$EW$250,110,0)</f>
        <v>0</v>
      </c>
      <c r="AK263" s="106">
        <f>+HLOOKUP($C263,BP!$EK$2:$EW$250,111,0)</f>
        <v>0</v>
      </c>
      <c r="AL263" s="106">
        <f>+HLOOKUP($C263,BP!$EK$2:$EW$250,112,0)</f>
        <v>0</v>
      </c>
      <c r="AM263" s="106">
        <f>+HLOOKUP($C263,BP!$EK$2:$EW$250,116,0)</f>
        <v>41250</v>
      </c>
      <c r="AN263" s="106">
        <f>+HLOOKUP($C263,BP!$EK$2:$EW$250,117,0)</f>
        <v>6150</v>
      </c>
      <c r="AO263" s="106">
        <f>+HLOOKUP($C263,BP!$EK$2:$EW$250,118,0)</f>
        <v>0</v>
      </c>
      <c r="AP263" s="106">
        <f>+HLOOKUP($C263,BP!$EK$2:$EW$250,119,0)</f>
        <v>22500</v>
      </c>
      <c r="AQ263" s="106">
        <f>+HLOOKUP($C263,BP!$EK$2:$EW$250,120,0)</f>
        <v>0</v>
      </c>
      <c r="AR263" s="106">
        <f>+HLOOKUP($C263,BP!$EK$2:$EW$250,121,0)</f>
        <v>0</v>
      </c>
      <c r="AS263" s="106">
        <f>+HLOOKUP($C263,BP!$EK$2:$EW$250,122,0)</f>
        <v>18600</v>
      </c>
      <c r="AT263" s="106">
        <f>+HLOOKUP($C263,BP!$EK$2:$EW$250,123,0)</f>
        <v>7313</v>
      </c>
      <c r="AU263" s="106">
        <f>+HLOOKUP($C263,BP!$EK$2:$EW$250,124,0)</f>
        <v>0</v>
      </c>
      <c r="AV263" s="106">
        <f>+HLOOKUP($C263,BP!$EK$2:$EW$250,125,0)</f>
        <v>0</v>
      </c>
      <c r="AW263" s="106">
        <f>+HLOOKUP($C263,BP!$EK$2:$EW$250,126,0)</f>
        <v>1983.1730769230771</v>
      </c>
      <c r="AX263" s="106">
        <f>+HLOOKUP($C263,BP!$EK$2:$EW$250,127,0)</f>
        <v>3250</v>
      </c>
      <c r="AY263" s="106">
        <f>+HLOOKUP($C263,BP!$EK$2:$EW$250,129,0)</f>
        <v>0</v>
      </c>
      <c r="AZ263" s="106">
        <f>+HLOOKUP($C263,BP!$EK$2:$EW$250,130,0)</f>
        <v>0</v>
      </c>
      <c r="BA263" s="106">
        <f>+HLOOKUP($C263,BP!$EK$2:$EW$250,131,0)</f>
        <v>0</v>
      </c>
      <c r="BB263" s="106">
        <f>+HLOOKUP($C263,BP!$EK$2:$EW$250,133,0)</f>
        <v>0</v>
      </c>
      <c r="BC263" s="106">
        <f>+HLOOKUP($C263,BP!$EK$2:$EW$250,134,0)</f>
        <v>0</v>
      </c>
      <c r="BD263" s="106">
        <f>+HLOOKUP($C263,BP!$EK$2:$EW$250,135,0)</f>
        <v>0</v>
      </c>
      <c r="BE263" s="106">
        <f>+HLOOKUP($C263,BP!$EK$2:$EW$250,136,0)</f>
        <v>0</v>
      </c>
      <c r="BF263" s="106">
        <f>+HLOOKUP($C263,BP!$EK$2:$EW$250,138,0)</f>
        <v>0</v>
      </c>
      <c r="BG263" s="106">
        <f>+HLOOKUP($C263,BP!$EK$2:$EW$250,139,0)</f>
        <v>0</v>
      </c>
      <c r="BH263" s="106">
        <f>+HLOOKUP($C263,BP!$EK$2:$EW$250,140,0)</f>
        <v>0</v>
      </c>
      <c r="BI263" s="106">
        <f>+HLOOKUP($C263,BP!$EK$2:$EW$250,141,0)</f>
        <v>0</v>
      </c>
      <c r="BJ263" s="106">
        <f>+HLOOKUP($C263,BP!$EK$2:$EW$250,142,0)</f>
        <v>0</v>
      </c>
      <c r="BK263" s="106">
        <f>+HLOOKUP($C263,BP!$EK$2:$EW$250,143,0)</f>
        <v>2465</v>
      </c>
      <c r="BL263" s="106">
        <f>+HLOOKUP($C263,BP!$EK$2:$EW$250,144,0)</f>
        <v>0</v>
      </c>
      <c r="BM263" s="106">
        <f>+HLOOKUP($C263,BP!$EK$2:$EW$250,146,0)</f>
        <v>0</v>
      </c>
      <c r="BN263" s="106">
        <f>+HLOOKUP($C263,BP!$EK$2:$EW$250,147,0)</f>
        <v>0</v>
      </c>
      <c r="BO263" s="106">
        <f>+HLOOKUP($C263,BP!$EK$2:$EW$250,148,0)</f>
        <v>0</v>
      </c>
      <c r="BP263" s="106">
        <f>+HLOOKUP($C263,BP!$EK$2:$EW$250,150,0)</f>
        <v>0</v>
      </c>
      <c r="BQ263" s="106">
        <f>+HLOOKUP($C263,BP!$EK$2:$EW$250,151,0)</f>
        <v>0</v>
      </c>
      <c r="BR263" s="106">
        <f>+HLOOKUP($C263,BP!$EK$2:$EW$250,152,0)</f>
        <v>0</v>
      </c>
      <c r="BS263" s="106">
        <f>+HLOOKUP($C263,BP!$EK$2:$EW$250,153,0)</f>
        <v>0</v>
      </c>
      <c r="BT263" s="106">
        <f>+HLOOKUP($C263,BP!$EK$2:$EW$250,157,0)</f>
        <v>0</v>
      </c>
      <c r="BU263" s="106">
        <f>+HLOOKUP($C263,BP!$EK$2:$EW$250,158,0)</f>
        <v>0</v>
      </c>
      <c r="BV263" s="106">
        <f>+HLOOKUP($C263,BP!$EK$2:$EW$250,159,0)</f>
        <v>0</v>
      </c>
      <c r="BW263" s="106">
        <f>+HLOOKUP($C263,BP!$EK$2:$EW$250,160,0)</f>
        <v>0</v>
      </c>
      <c r="BX263" s="106">
        <f>+HLOOKUP($C263,BP!$EK$2:$EW$250,161,0)</f>
        <v>0</v>
      </c>
      <c r="BY263" s="106">
        <f>+HLOOKUP($C263,BP!$EK$2:$EW$250,164,0)</f>
        <v>0</v>
      </c>
      <c r="BZ263" s="106">
        <f>+HLOOKUP($C263,BP!$EK$2:$EW$250,165,0)</f>
        <v>0</v>
      </c>
      <c r="CA263" s="106">
        <f>+HLOOKUP($C263,BP!$EK$2:$EW$250,166,0)</f>
        <v>0</v>
      </c>
      <c r="CB263" s="106">
        <f>+HLOOKUP($C263,BP!$EK$2:$EW$250,167,0)</f>
        <v>0</v>
      </c>
      <c r="CC263" s="106">
        <f>+HLOOKUP($C263,BP!$EK$2:$EW$250,168,0)</f>
        <v>0</v>
      </c>
      <c r="CD263" s="106">
        <f>+HLOOKUP($C263,BP!$EK$2:$EW$250,169,0)</f>
        <v>0</v>
      </c>
      <c r="CE263" s="106">
        <f>+HLOOKUP($C263,BP!$EK$2:$EW$250,170,0)</f>
        <v>0</v>
      </c>
      <c r="CF263" s="106">
        <f>+HLOOKUP($C263,BP!$EK$2:$EW$250,172,0)</f>
        <v>0</v>
      </c>
      <c r="CG263" s="106">
        <f>+HLOOKUP($C263,BP!$EK$2:$EW$250,173,0)</f>
        <v>0</v>
      </c>
      <c r="CH263" s="106">
        <f>+HLOOKUP($C263,BP!$EK$2:$EW$250,174,0)</f>
        <v>0</v>
      </c>
      <c r="CI263" s="106">
        <f>+HLOOKUP($C263,BP!$EK$2:$EW$250,175,0)</f>
        <v>0</v>
      </c>
      <c r="CJ263" s="106">
        <f>+HLOOKUP($C263,BP!$EK$2:$EW$250,176,0)</f>
        <v>0</v>
      </c>
      <c r="CK263" s="106">
        <f>+HLOOKUP($C263,BP!$EK$2:$EW$250,178,0)</f>
        <v>0</v>
      </c>
      <c r="CL263" s="106">
        <f>+HLOOKUP($C263,BP!$EK$2:$EW$250,179,0)</f>
        <v>0</v>
      </c>
      <c r="CM263" s="106">
        <f>+HLOOKUP($C263,BP!$EK$2:$EW$250,180,0)</f>
        <v>0</v>
      </c>
      <c r="CN263" s="106">
        <f>+HLOOKUP($C263,BP!$EK$2:$EW$250,182,0)</f>
        <v>0</v>
      </c>
      <c r="CO263" s="106">
        <f>+HLOOKUP($C263,BP!$EK$2:$EW$250,183,0)</f>
        <v>0</v>
      </c>
      <c r="CP263" s="106">
        <f>+HLOOKUP($C263,BP!$EK$2:$EW$250,184,0)</f>
        <v>0</v>
      </c>
      <c r="CQ263" s="106">
        <f>+HLOOKUP($C263,BP!$EK$2:$EW$250,185,0)</f>
        <v>0</v>
      </c>
      <c r="CR263" s="106">
        <f>+HLOOKUP($C263,BP!$EK$2:$EW$250,187,0)</f>
        <v>1250</v>
      </c>
      <c r="CS263" s="106">
        <f>+HLOOKUP($C263,BP!$EK$2:$EW$250,188,0)</f>
        <v>0</v>
      </c>
      <c r="CT263" s="106">
        <f>+HLOOKUP($C263,BP!$EK$2:$EW$250,189,0)</f>
        <v>0</v>
      </c>
      <c r="CU263" s="106">
        <f>+HLOOKUP($C263,BP!$EK$2:$EW$250,190,0)</f>
        <v>0</v>
      </c>
      <c r="CV263" s="106">
        <f>+HLOOKUP($C263,BP!$EK$2:$EW$250,191,0)</f>
        <v>0</v>
      </c>
      <c r="CW263" s="106">
        <f>+HLOOKUP($C263,BP!$EK$2:$EW$250,193,0)</f>
        <v>0</v>
      </c>
      <c r="CX263" s="106">
        <f>+HLOOKUP($C263,BP!$EK$2:$EW$250,194,0)</f>
        <v>0</v>
      </c>
      <c r="CY263" s="106">
        <f>+HLOOKUP($C263,BP!$EK$2:$EW$250,195,0)</f>
        <v>0</v>
      </c>
      <c r="CZ263" s="106">
        <f>+HLOOKUP($C263,BP!$EK$2:$EW$250,196,0)</f>
        <v>0</v>
      </c>
      <c r="DA263" s="106">
        <f>+HLOOKUP($C263,BP!$EK$2:$EW$250,197,0)</f>
        <v>0</v>
      </c>
      <c r="DB263" s="106">
        <f>+HLOOKUP($C263,BP!$EK$2:$EW$250,198,0)</f>
        <v>0</v>
      </c>
      <c r="DC263" s="106">
        <f>+HLOOKUP($C263,BP!$EK$2:$EW$250,199,0)</f>
        <v>0</v>
      </c>
      <c r="DD263" s="106">
        <f>+HLOOKUP($C263,BP!$EK$2:$EW$250,200,0)</f>
        <v>0</v>
      </c>
      <c r="DE263" s="106">
        <f>+HLOOKUP($C263,BP!$EK$2:$EW$250,201,0)</f>
        <v>0</v>
      </c>
      <c r="DF263" s="106">
        <f>+HLOOKUP($C263,BP!$EK$2:$EW$250,202,0)</f>
        <v>0</v>
      </c>
      <c r="DG263" s="106">
        <f>+HLOOKUP($C263,BP!$EK$2:$EW$250,203,0)</f>
        <v>0</v>
      </c>
      <c r="DH263" s="106">
        <f>+HLOOKUP($C263,BP!$EK$2:$EW$250,205,0)</f>
        <v>0</v>
      </c>
      <c r="DI263" s="106">
        <f>+HLOOKUP($C263,BP!$EK$2:$EW$250,206,0)</f>
        <v>0</v>
      </c>
      <c r="DJ263" s="106">
        <f>+HLOOKUP($C263,BP!$EK$2:$EW$250,207,0)</f>
        <v>0</v>
      </c>
      <c r="DK263" s="106">
        <f>+HLOOKUP($C263,BP!$EK$2:$EW$250,209,0)</f>
        <v>0</v>
      </c>
      <c r="DL263" s="106">
        <f>+HLOOKUP($C263,BP!$EK$2:$EW$250,210,0)</f>
        <v>178000</v>
      </c>
      <c r="DM263" s="106">
        <f>+HLOOKUP($C263,BP!$EK$2:$EW$250,211,0)</f>
        <v>0</v>
      </c>
      <c r="DN263" s="106">
        <f>+HLOOKUP($C263,BP!$EK$2:$EW$250,212,0)</f>
        <v>0</v>
      </c>
      <c r="DO263" s="106">
        <f>+HLOOKUP($C263,BP!$EK$2:$EW$250,214,0)</f>
        <v>0</v>
      </c>
      <c r="DP263" s="106">
        <f>+HLOOKUP($C263,BP!$EK$2:$EW$250,215,0)</f>
        <v>0</v>
      </c>
      <c r="DQ263" s="106">
        <f>+HLOOKUP($C263,BP!$EK$2:$EW$250,219,0)</f>
        <v>0</v>
      </c>
      <c r="DR263" s="106">
        <f>+HLOOKUP($C263,BP!$EK$2:$EW$250,220,0)</f>
        <v>0</v>
      </c>
      <c r="DS263" s="106">
        <f>+HLOOKUP($C263,BP!$EK$2:$EW$250,221,0)</f>
        <v>0</v>
      </c>
      <c r="DT263" s="106">
        <f>+HLOOKUP($C263,BP!$EK$2:$EW$250,223,0)</f>
        <v>0</v>
      </c>
      <c r="DU263" s="106">
        <f>+HLOOKUP($C263,BP!$EK$2:$EW$250,224,0)</f>
        <v>0</v>
      </c>
      <c r="DV263" s="106">
        <f>+HLOOKUP($C263,BP!$EK$2:$EW$250,225,0)</f>
        <v>0</v>
      </c>
      <c r="DW263" s="106">
        <f>+HLOOKUP($C263,BP!$EK$2:$EW$250,227,0)</f>
        <v>0</v>
      </c>
      <c r="DX263" s="106">
        <f>+HLOOKUP($C263,BP!$EK$2:$EW$250,228,0)</f>
        <v>0</v>
      </c>
      <c r="DY263" s="106">
        <f>+HLOOKUP($C263,BP!$EK$2:$EW$250,236,0)</f>
        <v>0</v>
      </c>
      <c r="DZ263" s="106">
        <f>+HLOOKUP($C263,BP!$EK$2:$EW$250,237,0)</f>
        <v>0</v>
      </c>
      <c r="EA263" s="106">
        <f>+HLOOKUP($C263,BP!$EK$2:$EW$250,238,0)</f>
        <v>0</v>
      </c>
      <c r="EB263" s="106">
        <f>+HLOOKUP($C263,BP!$EK$2:$EW$250,240,0)</f>
        <v>468618.16800000001</v>
      </c>
    </row>
    <row r="264" spans="1:132" hidden="1">
      <c r="A264" t="s">
        <v>272</v>
      </c>
      <c r="B264" t="s">
        <v>218</v>
      </c>
      <c r="C264" s="117">
        <v>45689</v>
      </c>
      <c r="D264" s="106">
        <f t="shared" si="5"/>
        <v>307410.40000000002</v>
      </c>
      <c r="E264" s="106">
        <f>+HLOOKUP(C264,BP!$EK$2:$EW$250,28,0)+HLOOKUP(C264,BP!$EK$2:$EW$250,43,0)+HLOOKUP(C264,BP!$EK$2:$EW$250,44,0)+HLOOKUP(C264,BP!$EK$2:$EW$250,45,0)+HLOOKUP(C264,BP!$EK$2:$EW$250,54,0)+HLOOKUP(C264,BP!$EK$2:$EW$250,59,0)</f>
        <v>307410.40000000002</v>
      </c>
      <c r="F264" s="106">
        <f>+HLOOKUP(C264,BP!$EK$2:$EW$250,37,0)+HLOOKUP(C264,BP!$EK$2:$EW$250,55,0)</f>
        <v>258071.13</v>
      </c>
      <c r="G264" s="106">
        <f>+HLOOKUP($C264,BP!$EK$2:$EW$250,76,0)</f>
        <v>0</v>
      </c>
      <c r="H264" s="106">
        <f>+HLOOKUP($C264,BP!$EK$2:$EW$250,77,0)</f>
        <v>0</v>
      </c>
      <c r="I264" s="106">
        <f>+HLOOKUP($C264,BP!$EK$2:$EW$250,78,0)</f>
        <v>0</v>
      </c>
      <c r="J264" s="106">
        <f>+HLOOKUP($C264,BP!$EK$2:$EW$250,79,0)</f>
        <v>0</v>
      </c>
      <c r="K264" s="106">
        <f>+HLOOKUP($C264,BP!$EK$2:$EW$250,80,0)</f>
        <v>0</v>
      </c>
      <c r="L264" s="106">
        <f>+HLOOKUP($C264,BP!$EK$2:$EW$250,81,0)</f>
        <v>0</v>
      </c>
      <c r="M264" s="106">
        <f>+HLOOKUP($C264,BP!$EK$2:$EW$250,82,0)</f>
        <v>0</v>
      </c>
      <c r="N264" s="106">
        <f>+HLOOKUP($C264,BP!$EK$2:$EW$250,83,0)</f>
        <v>0</v>
      </c>
      <c r="O264" s="106">
        <f>+HLOOKUP($C264,BP!$EK$2:$EW$250,84,0)</f>
        <v>0</v>
      </c>
      <c r="P264" s="106">
        <f>+HLOOKUP($C264,BP!$EK$2:$EW$250,85,0)</f>
        <v>0</v>
      </c>
      <c r="Q264" s="106">
        <f>+HLOOKUP($C264,BP!$EK$2:$EW$250,87,0)</f>
        <v>0</v>
      </c>
      <c r="R264" s="106">
        <f>+HLOOKUP($C264,BP!$EK$2:$EW$250,90,0)</f>
        <v>0</v>
      </c>
      <c r="S264" s="106">
        <f>+HLOOKUP($C264,BP!$EK$2:$EW$250,91,0)</f>
        <v>0</v>
      </c>
      <c r="T264" s="106">
        <f>+HLOOKUP($C264,BP!$EK$2:$EW$250,92,0)</f>
        <v>0</v>
      </c>
      <c r="U264" s="106">
        <f>+HLOOKUP($C264,BP!$EK$2:$EW$250,93,0)</f>
        <v>0</v>
      </c>
      <c r="V264" s="106">
        <f>+HLOOKUP($C264,BP!$EK$2:$EW$250,94,0)</f>
        <v>0</v>
      </c>
      <c r="W264" s="106">
        <f>+HLOOKUP($C264,BP!$EK$2:$EW$250,95,0)</f>
        <v>0</v>
      </c>
      <c r="X264" s="106">
        <f>+HLOOKUP($C264,BP!$EK$2:$EW$250,96,0)</f>
        <v>0</v>
      </c>
      <c r="Y264" s="106">
        <f>+HLOOKUP($C264,BP!$EK$2:$EW$250,97,0)</f>
        <v>0</v>
      </c>
      <c r="Z264" s="106">
        <f>+HLOOKUP($C264,BP!$EK$2:$EW$250,98,0)</f>
        <v>0</v>
      </c>
      <c r="AA264" s="106">
        <f>+HLOOKUP($C264,BP!$EK$2:$EW$250,99,0)</f>
        <v>0</v>
      </c>
      <c r="AB264" s="106">
        <f>+HLOOKUP($C264,BP!$EK$2:$EW$250,100,0)</f>
        <v>0</v>
      </c>
      <c r="AC264" s="106">
        <f>+HLOOKUP($C264,BP!$EK$2:$EW$250,101,0)</f>
        <v>0</v>
      </c>
      <c r="AD264" s="106">
        <f>+HLOOKUP($C264,BP!$EK$2:$EW$250,104,0)</f>
        <v>0</v>
      </c>
      <c r="AE264" s="106">
        <f>+HLOOKUP($C264,BP!$EK$2:$EW$250,105,0)</f>
        <v>0</v>
      </c>
      <c r="AF264" s="106">
        <f>+HLOOKUP($C264,BP!$EK$2:$EW$250,106,0)</f>
        <v>0</v>
      </c>
      <c r="AG264" s="106">
        <f>+HLOOKUP($C264,BP!$EK$2:$EW$250,107,0)</f>
        <v>0</v>
      </c>
      <c r="AH264" s="106">
        <f>+HLOOKUP($C264,BP!$EK$2:$EW$250,108,0)</f>
        <v>0</v>
      </c>
      <c r="AI264" s="106">
        <f>+HLOOKUP($C264,BP!$EK$2:$EW$250,109,0)</f>
        <v>0</v>
      </c>
      <c r="AJ264" s="106">
        <f>+HLOOKUP($C264,BP!$EK$2:$EW$250,110,0)</f>
        <v>0</v>
      </c>
      <c r="AK264" s="106">
        <f>+HLOOKUP($C264,BP!$EK$2:$EW$250,111,0)</f>
        <v>0</v>
      </c>
      <c r="AL264" s="106">
        <f>+HLOOKUP($C264,BP!$EK$2:$EW$250,112,0)</f>
        <v>0</v>
      </c>
      <c r="AM264" s="106">
        <f>+HLOOKUP($C264,BP!$EK$2:$EW$250,116,0)</f>
        <v>41250</v>
      </c>
      <c r="AN264" s="106">
        <f>+HLOOKUP($C264,BP!$EK$2:$EW$250,117,0)</f>
        <v>6150</v>
      </c>
      <c r="AO264" s="106">
        <f>+HLOOKUP($C264,BP!$EK$2:$EW$250,118,0)</f>
        <v>0</v>
      </c>
      <c r="AP264" s="106">
        <f>+HLOOKUP($C264,BP!$EK$2:$EW$250,119,0)</f>
        <v>16500</v>
      </c>
      <c r="AQ264" s="106">
        <f>+HLOOKUP($C264,BP!$EK$2:$EW$250,120,0)</f>
        <v>0</v>
      </c>
      <c r="AR264" s="106">
        <f>+HLOOKUP($C264,BP!$EK$2:$EW$250,121,0)</f>
        <v>0</v>
      </c>
      <c r="AS264" s="106">
        <f>+HLOOKUP($C264,BP!$EK$2:$EW$250,122,0)</f>
        <v>18600</v>
      </c>
      <c r="AT264" s="106">
        <f>+HLOOKUP($C264,BP!$EK$2:$EW$250,123,0)</f>
        <v>5363</v>
      </c>
      <c r="AU264" s="106">
        <f>+HLOOKUP($C264,BP!$EK$2:$EW$250,124,0)</f>
        <v>0</v>
      </c>
      <c r="AV264" s="106">
        <f>+HLOOKUP($C264,BP!$EK$2:$EW$250,125,0)</f>
        <v>0</v>
      </c>
      <c r="AW264" s="106">
        <f>+HLOOKUP($C264,BP!$EK$2:$EW$250,126,0)</f>
        <v>1983.1730769230771</v>
      </c>
      <c r="AX264" s="106">
        <f>+HLOOKUP($C264,BP!$EK$2:$EW$250,127,0)</f>
        <v>3250</v>
      </c>
      <c r="AY264" s="106">
        <f>+HLOOKUP($C264,BP!$EK$2:$EW$250,129,0)</f>
        <v>0</v>
      </c>
      <c r="AZ264" s="106">
        <f>+HLOOKUP($C264,BP!$EK$2:$EW$250,130,0)</f>
        <v>0</v>
      </c>
      <c r="BA264" s="106">
        <f>+HLOOKUP($C264,BP!$EK$2:$EW$250,131,0)</f>
        <v>0</v>
      </c>
      <c r="BB264" s="106">
        <f>+HLOOKUP($C264,BP!$EK$2:$EW$250,133,0)</f>
        <v>0</v>
      </c>
      <c r="BC264" s="106">
        <f>+HLOOKUP($C264,BP!$EK$2:$EW$250,134,0)</f>
        <v>0</v>
      </c>
      <c r="BD264" s="106">
        <f>+HLOOKUP($C264,BP!$EK$2:$EW$250,135,0)</f>
        <v>0</v>
      </c>
      <c r="BE264" s="106">
        <f>+HLOOKUP($C264,BP!$EK$2:$EW$250,136,0)</f>
        <v>0</v>
      </c>
      <c r="BF264" s="106">
        <f>+HLOOKUP($C264,BP!$EK$2:$EW$250,138,0)</f>
        <v>0</v>
      </c>
      <c r="BG264" s="106">
        <f>+HLOOKUP($C264,BP!$EK$2:$EW$250,139,0)</f>
        <v>0</v>
      </c>
      <c r="BH264" s="106">
        <f>+HLOOKUP($C264,BP!$EK$2:$EW$250,140,0)</f>
        <v>0</v>
      </c>
      <c r="BI264" s="106">
        <f>+HLOOKUP($C264,BP!$EK$2:$EW$250,141,0)</f>
        <v>0</v>
      </c>
      <c r="BJ264" s="106">
        <f>+HLOOKUP($C264,BP!$EK$2:$EW$250,142,0)</f>
        <v>0</v>
      </c>
      <c r="BK264" s="106">
        <f>+HLOOKUP($C264,BP!$EK$2:$EW$250,143,0)</f>
        <v>0</v>
      </c>
      <c r="BL264" s="106">
        <f>+HLOOKUP($C264,BP!$EK$2:$EW$250,144,0)</f>
        <v>0</v>
      </c>
      <c r="BM264" s="106">
        <f>+HLOOKUP($C264,BP!$EK$2:$EW$250,146,0)</f>
        <v>0</v>
      </c>
      <c r="BN264" s="106">
        <f>+HLOOKUP($C264,BP!$EK$2:$EW$250,147,0)</f>
        <v>0</v>
      </c>
      <c r="BO264" s="106">
        <f>+HLOOKUP($C264,BP!$EK$2:$EW$250,148,0)</f>
        <v>0</v>
      </c>
      <c r="BP264" s="106">
        <f>+HLOOKUP($C264,BP!$EK$2:$EW$250,150,0)</f>
        <v>0</v>
      </c>
      <c r="BQ264" s="106">
        <f>+HLOOKUP($C264,BP!$EK$2:$EW$250,151,0)</f>
        <v>0</v>
      </c>
      <c r="BR264" s="106">
        <f>+HLOOKUP($C264,BP!$EK$2:$EW$250,152,0)</f>
        <v>0</v>
      </c>
      <c r="BS264" s="106">
        <f>+HLOOKUP($C264,BP!$EK$2:$EW$250,153,0)</f>
        <v>0</v>
      </c>
      <c r="BT264" s="106">
        <f>+HLOOKUP($C264,BP!$EK$2:$EW$250,157,0)</f>
        <v>0</v>
      </c>
      <c r="BU264" s="106">
        <f>+HLOOKUP($C264,BP!$EK$2:$EW$250,158,0)</f>
        <v>0</v>
      </c>
      <c r="BV264" s="106">
        <f>+HLOOKUP($C264,BP!$EK$2:$EW$250,159,0)</f>
        <v>0</v>
      </c>
      <c r="BW264" s="106">
        <f>+HLOOKUP($C264,BP!$EK$2:$EW$250,160,0)</f>
        <v>0</v>
      </c>
      <c r="BX264" s="106">
        <f>+HLOOKUP($C264,BP!$EK$2:$EW$250,161,0)</f>
        <v>0</v>
      </c>
      <c r="BY264" s="106">
        <f>+HLOOKUP($C264,BP!$EK$2:$EW$250,164,0)</f>
        <v>0</v>
      </c>
      <c r="BZ264" s="106">
        <f>+HLOOKUP($C264,BP!$EK$2:$EW$250,165,0)</f>
        <v>0</v>
      </c>
      <c r="CA264" s="106">
        <f>+HLOOKUP($C264,BP!$EK$2:$EW$250,166,0)</f>
        <v>0</v>
      </c>
      <c r="CB264" s="106">
        <f>+HLOOKUP($C264,BP!$EK$2:$EW$250,167,0)</f>
        <v>0</v>
      </c>
      <c r="CC264" s="106">
        <f>+HLOOKUP($C264,BP!$EK$2:$EW$250,168,0)</f>
        <v>0</v>
      </c>
      <c r="CD264" s="106">
        <f>+HLOOKUP($C264,BP!$EK$2:$EW$250,169,0)</f>
        <v>0</v>
      </c>
      <c r="CE264" s="106">
        <f>+HLOOKUP($C264,BP!$EK$2:$EW$250,170,0)</f>
        <v>0</v>
      </c>
      <c r="CF264" s="106">
        <f>+HLOOKUP($C264,BP!$EK$2:$EW$250,172,0)</f>
        <v>0</v>
      </c>
      <c r="CG264" s="106">
        <f>+HLOOKUP($C264,BP!$EK$2:$EW$250,173,0)</f>
        <v>0</v>
      </c>
      <c r="CH264" s="106">
        <f>+HLOOKUP($C264,BP!$EK$2:$EW$250,174,0)</f>
        <v>0</v>
      </c>
      <c r="CI264" s="106">
        <f>+HLOOKUP($C264,BP!$EK$2:$EW$250,175,0)</f>
        <v>0</v>
      </c>
      <c r="CJ264" s="106">
        <f>+HLOOKUP($C264,BP!$EK$2:$EW$250,176,0)</f>
        <v>0</v>
      </c>
      <c r="CK264" s="106">
        <f>+HLOOKUP($C264,BP!$EK$2:$EW$250,178,0)</f>
        <v>0</v>
      </c>
      <c r="CL264" s="106">
        <f>+HLOOKUP($C264,BP!$EK$2:$EW$250,179,0)</f>
        <v>0</v>
      </c>
      <c r="CM264" s="106">
        <f>+HLOOKUP($C264,BP!$EK$2:$EW$250,180,0)</f>
        <v>0</v>
      </c>
      <c r="CN264" s="106">
        <f>+HLOOKUP($C264,BP!$EK$2:$EW$250,182,0)</f>
        <v>0</v>
      </c>
      <c r="CO264" s="106">
        <f>+HLOOKUP($C264,BP!$EK$2:$EW$250,183,0)</f>
        <v>0</v>
      </c>
      <c r="CP264" s="106">
        <f>+HLOOKUP($C264,BP!$EK$2:$EW$250,184,0)</f>
        <v>0</v>
      </c>
      <c r="CQ264" s="106">
        <f>+HLOOKUP($C264,BP!$EK$2:$EW$250,185,0)</f>
        <v>0</v>
      </c>
      <c r="CR264" s="106">
        <f>+HLOOKUP($C264,BP!$EK$2:$EW$250,187,0)</f>
        <v>1250</v>
      </c>
      <c r="CS264" s="106">
        <f>+HLOOKUP($C264,BP!$EK$2:$EW$250,188,0)</f>
        <v>0</v>
      </c>
      <c r="CT264" s="106">
        <f>+HLOOKUP($C264,BP!$EK$2:$EW$250,189,0)</f>
        <v>0</v>
      </c>
      <c r="CU264" s="106">
        <f>+HLOOKUP($C264,BP!$EK$2:$EW$250,190,0)</f>
        <v>0</v>
      </c>
      <c r="CV264" s="106">
        <f>+HLOOKUP($C264,BP!$EK$2:$EW$250,191,0)</f>
        <v>0</v>
      </c>
      <c r="CW264" s="106">
        <f>+HLOOKUP($C264,BP!$EK$2:$EW$250,193,0)</f>
        <v>0</v>
      </c>
      <c r="CX264" s="106">
        <f>+HLOOKUP($C264,BP!$EK$2:$EW$250,194,0)</f>
        <v>0</v>
      </c>
      <c r="CY264" s="106">
        <f>+HLOOKUP($C264,BP!$EK$2:$EW$250,195,0)</f>
        <v>0</v>
      </c>
      <c r="CZ264" s="106">
        <f>+HLOOKUP($C264,BP!$EK$2:$EW$250,196,0)</f>
        <v>0</v>
      </c>
      <c r="DA264" s="106">
        <f>+HLOOKUP($C264,BP!$EK$2:$EW$250,197,0)</f>
        <v>0</v>
      </c>
      <c r="DB264" s="106">
        <f>+HLOOKUP($C264,BP!$EK$2:$EW$250,198,0)</f>
        <v>0</v>
      </c>
      <c r="DC264" s="106">
        <f>+HLOOKUP($C264,BP!$EK$2:$EW$250,199,0)</f>
        <v>0</v>
      </c>
      <c r="DD264" s="106">
        <f>+HLOOKUP($C264,BP!$EK$2:$EW$250,200,0)</f>
        <v>0</v>
      </c>
      <c r="DE264" s="106">
        <f>+HLOOKUP($C264,BP!$EK$2:$EW$250,201,0)</f>
        <v>0</v>
      </c>
      <c r="DF264" s="106">
        <f>+HLOOKUP($C264,BP!$EK$2:$EW$250,202,0)</f>
        <v>0</v>
      </c>
      <c r="DG264" s="106">
        <f>+HLOOKUP($C264,BP!$EK$2:$EW$250,203,0)</f>
        <v>0</v>
      </c>
      <c r="DH264" s="106">
        <f>+HLOOKUP($C264,BP!$EK$2:$EW$250,205,0)</f>
        <v>0</v>
      </c>
      <c r="DI264" s="106">
        <f>+HLOOKUP($C264,BP!$EK$2:$EW$250,206,0)</f>
        <v>0</v>
      </c>
      <c r="DJ264" s="106">
        <f>+HLOOKUP($C264,BP!$EK$2:$EW$250,207,0)</f>
        <v>0</v>
      </c>
      <c r="DK264" s="106">
        <f>+HLOOKUP($C264,BP!$EK$2:$EW$250,209,0)</f>
        <v>0</v>
      </c>
      <c r="DL264" s="106">
        <f>+HLOOKUP($C264,BP!$EK$2:$EW$250,210,0)</f>
        <v>178000</v>
      </c>
      <c r="DM264" s="106">
        <f>+HLOOKUP($C264,BP!$EK$2:$EW$250,211,0)</f>
        <v>0</v>
      </c>
      <c r="DN264" s="106">
        <f>+HLOOKUP($C264,BP!$EK$2:$EW$250,212,0)</f>
        <v>0</v>
      </c>
      <c r="DO264" s="106">
        <f>+HLOOKUP($C264,BP!$EK$2:$EW$250,214,0)</f>
        <v>0</v>
      </c>
      <c r="DP264" s="106">
        <f>+HLOOKUP($C264,BP!$EK$2:$EW$250,215,0)</f>
        <v>0</v>
      </c>
      <c r="DQ264" s="106">
        <f>+HLOOKUP($C264,BP!$EK$2:$EW$250,219,0)</f>
        <v>0</v>
      </c>
      <c r="DR264" s="106">
        <f>+HLOOKUP($C264,BP!$EK$2:$EW$250,220,0)</f>
        <v>0</v>
      </c>
      <c r="DS264" s="106">
        <f>+HLOOKUP($C264,BP!$EK$2:$EW$250,221,0)</f>
        <v>0</v>
      </c>
      <c r="DT264" s="106">
        <f>+HLOOKUP($C264,BP!$EK$2:$EW$250,223,0)</f>
        <v>0</v>
      </c>
      <c r="DU264" s="106">
        <f>+HLOOKUP($C264,BP!$EK$2:$EW$250,224,0)</f>
        <v>0</v>
      </c>
      <c r="DV264" s="106">
        <f>+HLOOKUP($C264,BP!$EK$2:$EW$250,225,0)</f>
        <v>0</v>
      </c>
      <c r="DW264" s="106">
        <f>+HLOOKUP($C264,BP!$EK$2:$EW$250,227,0)</f>
        <v>0</v>
      </c>
      <c r="DX264" s="106">
        <f>+HLOOKUP($C264,BP!$EK$2:$EW$250,228,0)</f>
        <v>0</v>
      </c>
      <c r="DY264" s="106">
        <f>+HLOOKUP($C264,BP!$EK$2:$EW$250,236,0)</f>
        <v>0</v>
      </c>
      <c r="DZ264" s="106">
        <f>+HLOOKUP($C264,BP!$EK$2:$EW$250,237,0)</f>
        <v>0</v>
      </c>
      <c r="EA264" s="106">
        <f>+HLOOKUP($C264,BP!$EK$2:$EW$250,238,0)</f>
        <v>0</v>
      </c>
      <c r="EB264" s="106">
        <f>+HLOOKUP($C264,BP!$EK$2:$EW$250,240,0)</f>
        <v>468618.16800000001</v>
      </c>
    </row>
    <row r="265" spans="1:132" hidden="1">
      <c r="A265" t="s">
        <v>272</v>
      </c>
      <c r="B265" t="s">
        <v>218</v>
      </c>
      <c r="C265" s="117">
        <v>45658</v>
      </c>
      <c r="D265" s="106">
        <f t="shared" si="5"/>
        <v>526284.69999999995</v>
      </c>
      <c r="E265" s="106">
        <f>+HLOOKUP(C265,BP!$EK$2:$EW$250,28,0)+HLOOKUP(C265,BP!$EK$2:$EW$250,43,0)+HLOOKUP(C265,BP!$EK$2:$EW$250,44,0)+HLOOKUP(C265,BP!$EK$2:$EW$250,45,0)+HLOOKUP(C265,BP!$EK$2:$EW$250,54,0)+HLOOKUP(C265,BP!$EK$2:$EW$250,59,0)</f>
        <v>526284.69999999995</v>
      </c>
      <c r="F265" s="106">
        <f>+HLOOKUP(C265,BP!$EK$2:$EW$250,37,0)+HLOOKUP(C265,BP!$EK$2:$EW$250,55,0)</f>
        <v>382488.83999999997</v>
      </c>
      <c r="G265" s="106">
        <f>+HLOOKUP($C265,BP!$EK$2:$EW$250,76,0)</f>
        <v>0</v>
      </c>
      <c r="H265" s="106">
        <f>+HLOOKUP($C265,BP!$EK$2:$EW$250,77,0)</f>
        <v>0</v>
      </c>
      <c r="I265" s="106">
        <f>+HLOOKUP($C265,BP!$EK$2:$EW$250,78,0)</f>
        <v>0</v>
      </c>
      <c r="J265" s="106">
        <f>+HLOOKUP($C265,BP!$EK$2:$EW$250,79,0)</f>
        <v>0</v>
      </c>
      <c r="K265" s="106">
        <f>+HLOOKUP($C265,BP!$EK$2:$EW$250,80,0)</f>
        <v>0</v>
      </c>
      <c r="L265" s="106">
        <f>+HLOOKUP($C265,BP!$EK$2:$EW$250,81,0)</f>
        <v>0</v>
      </c>
      <c r="M265" s="106">
        <f>+HLOOKUP($C265,BP!$EK$2:$EW$250,82,0)</f>
        <v>0</v>
      </c>
      <c r="N265" s="106">
        <f>+HLOOKUP($C265,BP!$EK$2:$EW$250,83,0)</f>
        <v>0</v>
      </c>
      <c r="O265" s="106">
        <f>+HLOOKUP($C265,BP!$EK$2:$EW$250,84,0)</f>
        <v>0</v>
      </c>
      <c r="P265" s="106">
        <f>+HLOOKUP($C265,BP!$EK$2:$EW$250,85,0)</f>
        <v>0</v>
      </c>
      <c r="Q265" s="106">
        <f>+HLOOKUP($C265,BP!$EK$2:$EW$250,87,0)</f>
        <v>0</v>
      </c>
      <c r="R265" s="106">
        <f>+HLOOKUP($C265,BP!$EK$2:$EW$250,90,0)</f>
        <v>0</v>
      </c>
      <c r="S265" s="106">
        <f>+HLOOKUP($C265,BP!$EK$2:$EW$250,91,0)</f>
        <v>0</v>
      </c>
      <c r="T265" s="106">
        <f>+HLOOKUP($C265,BP!$EK$2:$EW$250,92,0)</f>
        <v>0</v>
      </c>
      <c r="U265" s="106">
        <f>+HLOOKUP($C265,BP!$EK$2:$EW$250,93,0)</f>
        <v>0</v>
      </c>
      <c r="V265" s="106">
        <f>+HLOOKUP($C265,BP!$EK$2:$EW$250,94,0)</f>
        <v>0</v>
      </c>
      <c r="W265" s="106">
        <f>+HLOOKUP($C265,BP!$EK$2:$EW$250,95,0)</f>
        <v>0</v>
      </c>
      <c r="X265" s="106">
        <f>+HLOOKUP($C265,BP!$EK$2:$EW$250,96,0)</f>
        <v>0</v>
      </c>
      <c r="Y265" s="106">
        <f>+HLOOKUP($C265,BP!$EK$2:$EW$250,97,0)</f>
        <v>0</v>
      </c>
      <c r="Z265" s="106">
        <f>+HLOOKUP($C265,BP!$EK$2:$EW$250,98,0)</f>
        <v>0</v>
      </c>
      <c r="AA265" s="106">
        <f>+HLOOKUP($C265,BP!$EK$2:$EW$250,99,0)</f>
        <v>0</v>
      </c>
      <c r="AB265" s="106">
        <f>+HLOOKUP($C265,BP!$EK$2:$EW$250,100,0)</f>
        <v>0</v>
      </c>
      <c r="AC265" s="106">
        <f>+HLOOKUP($C265,BP!$EK$2:$EW$250,101,0)</f>
        <v>0</v>
      </c>
      <c r="AD265" s="106">
        <f>+HLOOKUP($C265,BP!$EK$2:$EW$250,104,0)</f>
        <v>0</v>
      </c>
      <c r="AE265" s="106">
        <f>+HLOOKUP($C265,BP!$EK$2:$EW$250,105,0)</f>
        <v>0</v>
      </c>
      <c r="AF265" s="106">
        <f>+HLOOKUP($C265,BP!$EK$2:$EW$250,106,0)</f>
        <v>0</v>
      </c>
      <c r="AG265" s="106">
        <f>+HLOOKUP($C265,BP!$EK$2:$EW$250,107,0)</f>
        <v>0</v>
      </c>
      <c r="AH265" s="106">
        <f>+HLOOKUP($C265,BP!$EK$2:$EW$250,108,0)</f>
        <v>0</v>
      </c>
      <c r="AI265" s="106">
        <f>+HLOOKUP($C265,BP!$EK$2:$EW$250,109,0)</f>
        <v>0</v>
      </c>
      <c r="AJ265" s="106">
        <f>+HLOOKUP($C265,BP!$EK$2:$EW$250,110,0)</f>
        <v>0</v>
      </c>
      <c r="AK265" s="106">
        <f>+HLOOKUP($C265,BP!$EK$2:$EW$250,111,0)</f>
        <v>0</v>
      </c>
      <c r="AL265" s="106">
        <f>+HLOOKUP($C265,BP!$EK$2:$EW$250,112,0)</f>
        <v>0</v>
      </c>
      <c r="AM265" s="106">
        <f>+HLOOKUP($C265,BP!$EK$2:$EW$250,116,0)</f>
        <v>40766</v>
      </c>
      <c r="AN265" s="106">
        <f>+HLOOKUP($C265,BP!$EK$2:$EW$250,117,0)</f>
        <v>6077</v>
      </c>
      <c r="AO265" s="106">
        <f>+HLOOKUP($C265,BP!$EK$2:$EW$250,118,0)</f>
        <v>0</v>
      </c>
      <c r="AP265" s="106">
        <f>+HLOOKUP($C265,BP!$EK$2:$EW$250,119,0)</f>
        <v>22306</v>
      </c>
      <c r="AQ265" s="106">
        <f>+HLOOKUP($C265,BP!$EK$2:$EW$250,120,0)</f>
        <v>0</v>
      </c>
      <c r="AR265" s="106">
        <f>+HLOOKUP($C265,BP!$EK$2:$EW$250,121,0)</f>
        <v>0</v>
      </c>
      <c r="AS265" s="106">
        <f>+HLOOKUP($C265,BP!$EK$2:$EW$250,122,0)</f>
        <v>18382</v>
      </c>
      <c r="AT265" s="106">
        <f>+HLOOKUP($C265,BP!$EK$2:$EW$250,123,0)</f>
        <v>7250</v>
      </c>
      <c r="AU265" s="106">
        <f>+HLOOKUP($C265,BP!$EK$2:$EW$250,124,0)</f>
        <v>0</v>
      </c>
      <c r="AV265" s="106">
        <f>+HLOOKUP($C265,BP!$EK$2:$EW$250,125,0)</f>
        <v>0</v>
      </c>
      <c r="AW265" s="106">
        <f>+HLOOKUP($C265,BP!$EK$2:$EW$250,126,0)</f>
        <v>1983.1730769230771</v>
      </c>
      <c r="AX265" s="106">
        <f>+HLOOKUP($C265,BP!$EK$2:$EW$250,127,0)</f>
        <v>3250</v>
      </c>
      <c r="AY265" s="106">
        <f>+HLOOKUP($C265,BP!$EK$2:$EW$250,129,0)</f>
        <v>0</v>
      </c>
      <c r="AZ265" s="106">
        <f>+HLOOKUP($C265,BP!$EK$2:$EW$250,130,0)</f>
        <v>0</v>
      </c>
      <c r="BA265" s="106">
        <f>+HLOOKUP($C265,BP!$EK$2:$EW$250,131,0)</f>
        <v>0</v>
      </c>
      <c r="BB265" s="106">
        <f>+HLOOKUP($C265,BP!$EK$2:$EW$250,133,0)</f>
        <v>0</v>
      </c>
      <c r="BC265" s="106">
        <f>+HLOOKUP($C265,BP!$EK$2:$EW$250,134,0)</f>
        <v>0</v>
      </c>
      <c r="BD265" s="106">
        <f>+HLOOKUP($C265,BP!$EK$2:$EW$250,135,0)</f>
        <v>0</v>
      </c>
      <c r="BE265" s="106">
        <f>+HLOOKUP($C265,BP!$EK$2:$EW$250,136,0)</f>
        <v>0</v>
      </c>
      <c r="BF265" s="106">
        <f>+HLOOKUP($C265,BP!$EK$2:$EW$250,138,0)</f>
        <v>0</v>
      </c>
      <c r="BG265" s="106">
        <f>+HLOOKUP($C265,BP!$EK$2:$EW$250,139,0)</f>
        <v>0</v>
      </c>
      <c r="BH265" s="106">
        <f>+HLOOKUP($C265,BP!$EK$2:$EW$250,140,0)</f>
        <v>0</v>
      </c>
      <c r="BI265" s="106">
        <f>+HLOOKUP($C265,BP!$EK$2:$EW$250,141,0)</f>
        <v>0</v>
      </c>
      <c r="BJ265" s="106">
        <f>+HLOOKUP($C265,BP!$EK$2:$EW$250,142,0)</f>
        <v>0</v>
      </c>
      <c r="BK265" s="106">
        <f>+HLOOKUP($C265,BP!$EK$2:$EW$250,143,0)</f>
        <v>0</v>
      </c>
      <c r="BL265" s="106">
        <f>+HLOOKUP($C265,BP!$EK$2:$EW$250,144,0)</f>
        <v>0</v>
      </c>
      <c r="BM265" s="106">
        <f>+HLOOKUP($C265,BP!$EK$2:$EW$250,146,0)</f>
        <v>0</v>
      </c>
      <c r="BN265" s="106">
        <f>+HLOOKUP($C265,BP!$EK$2:$EW$250,147,0)</f>
        <v>0</v>
      </c>
      <c r="BO265" s="106">
        <f>+HLOOKUP($C265,BP!$EK$2:$EW$250,148,0)</f>
        <v>0</v>
      </c>
      <c r="BP265" s="106">
        <f>+HLOOKUP($C265,BP!$EK$2:$EW$250,150,0)</f>
        <v>0</v>
      </c>
      <c r="BQ265" s="106">
        <f>+HLOOKUP($C265,BP!$EK$2:$EW$250,151,0)</f>
        <v>0</v>
      </c>
      <c r="BR265" s="106">
        <f>+HLOOKUP($C265,BP!$EK$2:$EW$250,152,0)</f>
        <v>0</v>
      </c>
      <c r="BS265" s="106">
        <f>+HLOOKUP($C265,BP!$EK$2:$EW$250,153,0)</f>
        <v>0</v>
      </c>
      <c r="BT265" s="106">
        <f>+HLOOKUP($C265,BP!$EK$2:$EW$250,157,0)</f>
        <v>0</v>
      </c>
      <c r="BU265" s="106">
        <f>+HLOOKUP($C265,BP!$EK$2:$EW$250,158,0)</f>
        <v>0</v>
      </c>
      <c r="BV265" s="106">
        <f>+HLOOKUP($C265,BP!$EK$2:$EW$250,159,0)</f>
        <v>0</v>
      </c>
      <c r="BW265" s="106">
        <f>+HLOOKUP($C265,BP!$EK$2:$EW$250,160,0)</f>
        <v>0</v>
      </c>
      <c r="BX265" s="106">
        <f>+HLOOKUP($C265,BP!$EK$2:$EW$250,161,0)</f>
        <v>0</v>
      </c>
      <c r="BY265" s="106">
        <f>+HLOOKUP($C265,BP!$EK$2:$EW$250,164,0)</f>
        <v>0</v>
      </c>
      <c r="BZ265" s="106">
        <f>+HLOOKUP($C265,BP!$EK$2:$EW$250,165,0)</f>
        <v>0</v>
      </c>
      <c r="CA265" s="106">
        <f>+HLOOKUP($C265,BP!$EK$2:$EW$250,166,0)</f>
        <v>0</v>
      </c>
      <c r="CB265" s="106">
        <f>+HLOOKUP($C265,BP!$EK$2:$EW$250,167,0)</f>
        <v>0</v>
      </c>
      <c r="CC265" s="106">
        <f>+HLOOKUP($C265,BP!$EK$2:$EW$250,168,0)</f>
        <v>0</v>
      </c>
      <c r="CD265" s="106">
        <f>+HLOOKUP($C265,BP!$EK$2:$EW$250,169,0)</f>
        <v>0</v>
      </c>
      <c r="CE265" s="106">
        <f>+HLOOKUP($C265,BP!$EK$2:$EW$250,170,0)</f>
        <v>0</v>
      </c>
      <c r="CF265" s="106">
        <f>+HLOOKUP($C265,BP!$EK$2:$EW$250,172,0)</f>
        <v>0</v>
      </c>
      <c r="CG265" s="106">
        <f>+HLOOKUP($C265,BP!$EK$2:$EW$250,173,0)</f>
        <v>0</v>
      </c>
      <c r="CH265" s="106">
        <f>+HLOOKUP($C265,BP!$EK$2:$EW$250,174,0)</f>
        <v>0</v>
      </c>
      <c r="CI265" s="106">
        <f>+HLOOKUP($C265,BP!$EK$2:$EW$250,175,0)</f>
        <v>0</v>
      </c>
      <c r="CJ265" s="106">
        <f>+HLOOKUP($C265,BP!$EK$2:$EW$250,176,0)</f>
        <v>0</v>
      </c>
      <c r="CK265" s="106">
        <f>+HLOOKUP($C265,BP!$EK$2:$EW$250,178,0)</f>
        <v>0</v>
      </c>
      <c r="CL265" s="106">
        <f>+HLOOKUP($C265,BP!$EK$2:$EW$250,179,0)</f>
        <v>0</v>
      </c>
      <c r="CM265" s="106">
        <f>+HLOOKUP($C265,BP!$EK$2:$EW$250,180,0)</f>
        <v>0</v>
      </c>
      <c r="CN265" s="106">
        <f>+HLOOKUP($C265,BP!$EK$2:$EW$250,182,0)</f>
        <v>0</v>
      </c>
      <c r="CO265" s="106">
        <f>+HLOOKUP($C265,BP!$EK$2:$EW$250,183,0)</f>
        <v>0</v>
      </c>
      <c r="CP265" s="106">
        <f>+HLOOKUP($C265,BP!$EK$2:$EW$250,184,0)</f>
        <v>0</v>
      </c>
      <c r="CQ265" s="106">
        <f>+HLOOKUP($C265,BP!$EK$2:$EW$250,185,0)</f>
        <v>0</v>
      </c>
      <c r="CR265" s="106">
        <f>+HLOOKUP($C265,BP!$EK$2:$EW$250,187,0)</f>
        <v>1250</v>
      </c>
      <c r="CS265" s="106">
        <f>+HLOOKUP($C265,BP!$EK$2:$EW$250,188,0)</f>
        <v>0</v>
      </c>
      <c r="CT265" s="106">
        <f>+HLOOKUP($C265,BP!$EK$2:$EW$250,189,0)</f>
        <v>0</v>
      </c>
      <c r="CU265" s="106">
        <f>+HLOOKUP($C265,BP!$EK$2:$EW$250,190,0)</f>
        <v>0</v>
      </c>
      <c r="CV265" s="106">
        <f>+HLOOKUP($C265,BP!$EK$2:$EW$250,191,0)</f>
        <v>0</v>
      </c>
      <c r="CW265" s="106">
        <f>+HLOOKUP($C265,BP!$EK$2:$EW$250,193,0)</f>
        <v>0</v>
      </c>
      <c r="CX265" s="106">
        <f>+HLOOKUP($C265,BP!$EK$2:$EW$250,194,0)</f>
        <v>0</v>
      </c>
      <c r="CY265" s="106">
        <f>+HLOOKUP($C265,BP!$EK$2:$EW$250,195,0)</f>
        <v>0</v>
      </c>
      <c r="CZ265" s="106">
        <f>+HLOOKUP($C265,BP!$EK$2:$EW$250,196,0)</f>
        <v>0</v>
      </c>
      <c r="DA265" s="106">
        <f>+HLOOKUP($C265,BP!$EK$2:$EW$250,197,0)</f>
        <v>1000</v>
      </c>
      <c r="DB265" s="106">
        <f>+HLOOKUP($C265,BP!$EK$2:$EW$250,198,0)</f>
        <v>0</v>
      </c>
      <c r="DC265" s="106">
        <f>+HLOOKUP($C265,BP!$EK$2:$EW$250,199,0)</f>
        <v>0</v>
      </c>
      <c r="DD265" s="106">
        <f>+HLOOKUP($C265,BP!$EK$2:$EW$250,200,0)</f>
        <v>0</v>
      </c>
      <c r="DE265" s="106">
        <f>+HLOOKUP($C265,BP!$EK$2:$EW$250,201,0)</f>
        <v>0</v>
      </c>
      <c r="DF265" s="106">
        <f>+HLOOKUP($C265,BP!$EK$2:$EW$250,202,0)</f>
        <v>0</v>
      </c>
      <c r="DG265" s="106">
        <f>+HLOOKUP($C265,BP!$EK$2:$EW$250,203,0)</f>
        <v>0</v>
      </c>
      <c r="DH265" s="106">
        <f>+HLOOKUP($C265,BP!$EK$2:$EW$250,205,0)</f>
        <v>0</v>
      </c>
      <c r="DI265" s="106">
        <f>+HLOOKUP($C265,BP!$EK$2:$EW$250,206,0)</f>
        <v>0</v>
      </c>
      <c r="DJ265" s="106">
        <f>+HLOOKUP($C265,BP!$EK$2:$EW$250,207,0)</f>
        <v>0</v>
      </c>
      <c r="DK265" s="106">
        <f>+HLOOKUP($C265,BP!$EK$2:$EW$250,209,0)</f>
        <v>0</v>
      </c>
      <c r="DL265" s="106">
        <f>+HLOOKUP($C265,BP!$EK$2:$EW$250,210,0)</f>
        <v>178000</v>
      </c>
      <c r="DM265" s="106">
        <f>+HLOOKUP($C265,BP!$EK$2:$EW$250,211,0)</f>
        <v>0</v>
      </c>
      <c r="DN265" s="106">
        <f>+HLOOKUP($C265,BP!$EK$2:$EW$250,212,0)</f>
        <v>0</v>
      </c>
      <c r="DO265" s="106">
        <f>+HLOOKUP($C265,BP!$EK$2:$EW$250,214,0)</f>
        <v>0</v>
      </c>
      <c r="DP265" s="106">
        <f>+HLOOKUP($C265,BP!$EK$2:$EW$250,215,0)</f>
        <v>0</v>
      </c>
      <c r="DQ265" s="106">
        <f>+HLOOKUP($C265,BP!$EK$2:$EW$250,219,0)</f>
        <v>0</v>
      </c>
      <c r="DR265" s="106">
        <f>+HLOOKUP($C265,BP!$EK$2:$EW$250,220,0)</f>
        <v>0</v>
      </c>
      <c r="DS265" s="106">
        <f>+HLOOKUP($C265,BP!$EK$2:$EW$250,221,0)</f>
        <v>0</v>
      </c>
      <c r="DT265" s="106">
        <f>+HLOOKUP($C265,BP!$EK$2:$EW$250,223,0)</f>
        <v>0</v>
      </c>
      <c r="DU265" s="106">
        <f>+HLOOKUP($C265,BP!$EK$2:$EW$250,224,0)</f>
        <v>0</v>
      </c>
      <c r="DV265" s="106">
        <f>+HLOOKUP($C265,BP!$EK$2:$EW$250,225,0)</f>
        <v>0</v>
      </c>
      <c r="DW265" s="106">
        <f>+HLOOKUP($C265,BP!$EK$2:$EW$250,227,0)</f>
        <v>0</v>
      </c>
      <c r="DX265" s="106">
        <f>+HLOOKUP($C265,BP!$EK$2:$EW$250,228,0)</f>
        <v>0</v>
      </c>
      <c r="DY265" s="106">
        <f>+HLOOKUP($C265,BP!$EK$2:$EW$250,236,0)</f>
        <v>0</v>
      </c>
      <c r="DZ265" s="106">
        <f>+HLOOKUP($C265,BP!$EK$2:$EW$250,237,0)</f>
        <v>0</v>
      </c>
      <c r="EA265" s="106">
        <f>+HLOOKUP($C265,BP!$EK$2:$EW$250,238,0)</f>
        <v>0</v>
      </c>
      <c r="EB265" s="106">
        <f>+HLOOKUP($C265,BP!$EK$2:$EW$250,240,0)</f>
        <v>468618.16800000001</v>
      </c>
    </row>
    <row r="266" spans="1:132" hidden="1">
      <c r="A266" t="s">
        <v>272</v>
      </c>
      <c r="B266" t="s">
        <v>218</v>
      </c>
      <c r="C266" s="117">
        <v>45627</v>
      </c>
      <c r="D266" s="106">
        <v>0</v>
      </c>
      <c r="E266" s="106">
        <v>0</v>
      </c>
      <c r="F266" s="106">
        <v>0</v>
      </c>
      <c r="G266" s="106">
        <v>0</v>
      </c>
      <c r="H266" s="106">
        <v>0</v>
      </c>
      <c r="I266" s="106">
        <v>0</v>
      </c>
      <c r="J266" s="106">
        <v>0</v>
      </c>
      <c r="K266" s="106">
        <v>0</v>
      </c>
      <c r="L266" s="106">
        <v>0</v>
      </c>
      <c r="M266" s="106">
        <v>0</v>
      </c>
      <c r="N266" s="106">
        <v>0</v>
      </c>
      <c r="O266" s="106">
        <v>0</v>
      </c>
      <c r="P266" s="106">
        <v>0</v>
      </c>
      <c r="Q266" s="106">
        <v>0</v>
      </c>
      <c r="R266" s="106">
        <v>0</v>
      </c>
      <c r="S266" s="106">
        <v>0</v>
      </c>
      <c r="T266" s="106">
        <v>0</v>
      </c>
      <c r="U266" s="106">
        <v>0</v>
      </c>
      <c r="V266" s="106">
        <v>0</v>
      </c>
      <c r="W266" s="106">
        <v>0</v>
      </c>
      <c r="X266" s="106">
        <v>0</v>
      </c>
      <c r="Y266" s="106">
        <v>0</v>
      </c>
      <c r="Z266" s="106">
        <v>0</v>
      </c>
      <c r="AA266" s="106">
        <v>0</v>
      </c>
      <c r="AB266" s="106">
        <v>0</v>
      </c>
      <c r="AC266" s="106">
        <v>0</v>
      </c>
      <c r="AD266" s="106">
        <v>0</v>
      </c>
      <c r="AE266" s="106">
        <v>0</v>
      </c>
      <c r="AF266" s="106">
        <v>0</v>
      </c>
      <c r="AG266" s="106">
        <v>0</v>
      </c>
      <c r="AH266" s="106">
        <v>0</v>
      </c>
      <c r="AI266" s="106">
        <v>0</v>
      </c>
      <c r="AJ266" s="106">
        <v>0</v>
      </c>
      <c r="AK266" s="106">
        <v>0</v>
      </c>
      <c r="AL266" s="106">
        <v>0</v>
      </c>
      <c r="AM266" s="106">
        <v>0</v>
      </c>
      <c r="AN266" s="106">
        <v>0</v>
      </c>
      <c r="AO266" s="106">
        <v>0</v>
      </c>
      <c r="AP266" s="106">
        <v>0</v>
      </c>
      <c r="AQ266" s="106">
        <v>0</v>
      </c>
      <c r="AR266" s="106">
        <v>0</v>
      </c>
      <c r="AS266" s="106">
        <v>0</v>
      </c>
      <c r="AT266" s="106">
        <v>0</v>
      </c>
      <c r="AU266" s="106">
        <v>0</v>
      </c>
      <c r="AV266" s="106">
        <v>0</v>
      </c>
      <c r="AW266" s="106">
        <v>0</v>
      </c>
      <c r="AX266" s="106">
        <v>0</v>
      </c>
      <c r="AY266" s="106">
        <v>0</v>
      </c>
      <c r="AZ266" s="106">
        <v>0</v>
      </c>
      <c r="BA266" s="106">
        <v>0</v>
      </c>
      <c r="BB266" s="106">
        <v>0</v>
      </c>
      <c r="BC266" s="106">
        <v>0</v>
      </c>
      <c r="BD266" s="106">
        <v>0</v>
      </c>
      <c r="BE266" s="106">
        <v>0</v>
      </c>
      <c r="BF266" s="106">
        <v>0</v>
      </c>
      <c r="BG266" s="106">
        <v>0</v>
      </c>
      <c r="BH266" s="106">
        <v>0</v>
      </c>
      <c r="BI266" s="106">
        <v>0</v>
      </c>
      <c r="BJ266" s="106">
        <v>0</v>
      </c>
      <c r="BK266" s="106">
        <v>0</v>
      </c>
      <c r="BL266" s="106">
        <v>0</v>
      </c>
      <c r="BM266" s="106">
        <v>0</v>
      </c>
      <c r="BN266" s="106">
        <v>0</v>
      </c>
      <c r="BO266" s="106">
        <v>0</v>
      </c>
      <c r="BP266" s="106">
        <v>0</v>
      </c>
      <c r="BQ266" s="106">
        <v>0</v>
      </c>
      <c r="BR266" s="106">
        <v>0</v>
      </c>
      <c r="BS266" s="106">
        <v>0</v>
      </c>
      <c r="BT266" s="106">
        <v>0</v>
      </c>
      <c r="BU266" s="106">
        <v>0</v>
      </c>
      <c r="BV266" s="106">
        <v>0</v>
      </c>
      <c r="BW266" s="106">
        <v>0</v>
      </c>
      <c r="BX266" s="106">
        <v>0</v>
      </c>
      <c r="BY266" s="106">
        <v>0</v>
      </c>
      <c r="BZ266" s="106">
        <v>0</v>
      </c>
      <c r="CA266" s="106">
        <v>0</v>
      </c>
      <c r="CB266" s="106">
        <v>0</v>
      </c>
      <c r="CC266" s="106">
        <v>0</v>
      </c>
      <c r="CD266" s="106">
        <v>0</v>
      </c>
      <c r="CE266" s="106">
        <v>0</v>
      </c>
      <c r="CF266" s="106">
        <v>0</v>
      </c>
      <c r="CG266" s="106">
        <v>0</v>
      </c>
      <c r="CH266" s="106">
        <v>0</v>
      </c>
      <c r="CI266" s="106">
        <v>0</v>
      </c>
      <c r="CJ266" s="106">
        <v>0</v>
      </c>
      <c r="CK266" s="106">
        <v>0</v>
      </c>
      <c r="CL266" s="106">
        <v>0</v>
      </c>
      <c r="CM266" s="106">
        <v>0</v>
      </c>
      <c r="CN266" s="106">
        <v>0</v>
      </c>
      <c r="CO266" s="106">
        <v>0</v>
      </c>
      <c r="CP266" s="106">
        <v>0</v>
      </c>
      <c r="CQ266" s="106">
        <v>0</v>
      </c>
      <c r="CR266" s="106">
        <v>0</v>
      </c>
      <c r="CS266" s="106">
        <v>0</v>
      </c>
      <c r="CT266" s="106">
        <v>0</v>
      </c>
      <c r="CU266" s="106">
        <v>0</v>
      </c>
      <c r="CV266" s="106">
        <v>0</v>
      </c>
      <c r="CW266" s="106">
        <v>0</v>
      </c>
      <c r="CX266" s="106">
        <v>0</v>
      </c>
      <c r="CY266" s="106">
        <v>0</v>
      </c>
      <c r="CZ266" s="106">
        <v>0</v>
      </c>
      <c r="DA266" s="106">
        <v>0</v>
      </c>
      <c r="DB266" s="106">
        <v>0</v>
      </c>
      <c r="DC266" s="106">
        <v>0</v>
      </c>
      <c r="DD266" s="106">
        <v>0</v>
      </c>
      <c r="DE266" s="106">
        <v>0</v>
      </c>
      <c r="DF266" s="106">
        <v>0</v>
      </c>
      <c r="DG266" s="106">
        <v>0</v>
      </c>
      <c r="DH266" s="106">
        <v>0</v>
      </c>
      <c r="DI266" s="106">
        <v>0</v>
      </c>
      <c r="DJ266" s="106">
        <v>0</v>
      </c>
      <c r="DK266" s="106">
        <v>0</v>
      </c>
      <c r="DL266" s="106">
        <v>0</v>
      </c>
      <c r="DM266" s="106">
        <v>0</v>
      </c>
      <c r="DN266" s="106">
        <v>0</v>
      </c>
      <c r="DO266" s="106">
        <v>0</v>
      </c>
      <c r="DP266" s="106">
        <v>0</v>
      </c>
      <c r="DQ266" s="106">
        <v>0</v>
      </c>
      <c r="DR266" s="106">
        <v>0</v>
      </c>
      <c r="DS266" s="106">
        <v>0</v>
      </c>
      <c r="DT266" s="106">
        <v>0</v>
      </c>
      <c r="DU266" s="106">
        <v>0</v>
      </c>
      <c r="DV266" s="106">
        <v>0</v>
      </c>
      <c r="DW266" s="106">
        <v>0</v>
      </c>
      <c r="DX266" s="106">
        <v>0</v>
      </c>
      <c r="DY266" s="106">
        <v>0</v>
      </c>
      <c r="DZ266" s="106">
        <v>0</v>
      </c>
      <c r="EA266" s="106">
        <v>0</v>
      </c>
      <c r="EB266" s="106">
        <v>0</v>
      </c>
    </row>
    <row r="267" spans="1:132" hidden="1">
      <c r="A267" t="s">
        <v>272</v>
      </c>
      <c r="B267" t="s">
        <v>218</v>
      </c>
      <c r="C267" s="117">
        <v>45597</v>
      </c>
      <c r="D267" s="106">
        <v>0</v>
      </c>
      <c r="E267" s="106">
        <v>0</v>
      </c>
      <c r="F267" s="106">
        <v>0</v>
      </c>
      <c r="G267" s="106">
        <v>0</v>
      </c>
      <c r="H267" s="106">
        <v>0</v>
      </c>
      <c r="I267" s="106">
        <v>0</v>
      </c>
      <c r="J267" s="106">
        <v>0</v>
      </c>
      <c r="K267" s="106">
        <v>0</v>
      </c>
      <c r="L267" s="106">
        <v>0</v>
      </c>
      <c r="M267" s="106">
        <v>0</v>
      </c>
      <c r="N267" s="106">
        <v>0</v>
      </c>
      <c r="O267" s="106">
        <v>0</v>
      </c>
      <c r="P267" s="106">
        <v>0</v>
      </c>
      <c r="Q267" s="106">
        <v>0</v>
      </c>
      <c r="R267" s="106">
        <v>0</v>
      </c>
      <c r="S267" s="106">
        <v>0</v>
      </c>
      <c r="T267" s="106">
        <v>0</v>
      </c>
      <c r="U267" s="106">
        <v>0</v>
      </c>
      <c r="V267" s="106">
        <v>0</v>
      </c>
      <c r="W267" s="106">
        <v>0</v>
      </c>
      <c r="X267" s="106">
        <v>0</v>
      </c>
      <c r="Y267" s="106">
        <v>0</v>
      </c>
      <c r="Z267" s="106">
        <v>0</v>
      </c>
      <c r="AA267" s="106">
        <v>0</v>
      </c>
      <c r="AB267" s="106">
        <v>0</v>
      </c>
      <c r="AC267" s="106">
        <v>0</v>
      </c>
      <c r="AD267" s="106">
        <v>0</v>
      </c>
      <c r="AE267" s="106">
        <v>0</v>
      </c>
      <c r="AF267" s="106">
        <v>0</v>
      </c>
      <c r="AG267" s="106">
        <v>0</v>
      </c>
      <c r="AH267" s="106">
        <v>0</v>
      </c>
      <c r="AI267" s="106">
        <v>0</v>
      </c>
      <c r="AJ267" s="106">
        <v>0</v>
      </c>
      <c r="AK267" s="106">
        <v>0</v>
      </c>
      <c r="AL267" s="106">
        <v>0</v>
      </c>
      <c r="AM267" s="106">
        <v>0</v>
      </c>
      <c r="AN267" s="106">
        <v>0</v>
      </c>
      <c r="AO267" s="106">
        <v>0</v>
      </c>
      <c r="AP267" s="106">
        <v>0</v>
      </c>
      <c r="AQ267" s="106">
        <v>0</v>
      </c>
      <c r="AR267" s="106">
        <v>0</v>
      </c>
      <c r="AS267" s="106">
        <v>0</v>
      </c>
      <c r="AT267" s="106">
        <v>0</v>
      </c>
      <c r="AU267" s="106">
        <v>0</v>
      </c>
      <c r="AV267" s="106">
        <v>0</v>
      </c>
      <c r="AW267" s="106">
        <v>0</v>
      </c>
      <c r="AX267" s="106">
        <v>0</v>
      </c>
      <c r="AY267" s="106">
        <v>0</v>
      </c>
      <c r="AZ267" s="106">
        <v>0</v>
      </c>
      <c r="BA267" s="106">
        <v>0</v>
      </c>
      <c r="BB267" s="106">
        <v>0</v>
      </c>
      <c r="BC267" s="106">
        <v>0</v>
      </c>
      <c r="BD267" s="106">
        <v>0</v>
      </c>
      <c r="BE267" s="106">
        <v>0</v>
      </c>
      <c r="BF267" s="106">
        <v>0</v>
      </c>
      <c r="BG267" s="106">
        <v>0</v>
      </c>
      <c r="BH267" s="106">
        <v>0</v>
      </c>
      <c r="BI267" s="106">
        <v>0</v>
      </c>
      <c r="BJ267" s="106">
        <v>0</v>
      </c>
      <c r="BK267" s="106">
        <v>0</v>
      </c>
      <c r="BL267" s="106">
        <v>0</v>
      </c>
      <c r="BM267" s="106">
        <v>0</v>
      </c>
      <c r="BN267" s="106">
        <v>0</v>
      </c>
      <c r="BO267" s="106">
        <v>0</v>
      </c>
      <c r="BP267" s="106">
        <v>0</v>
      </c>
      <c r="BQ267" s="106">
        <v>0</v>
      </c>
      <c r="BR267" s="106">
        <v>0</v>
      </c>
      <c r="BS267" s="106">
        <v>0</v>
      </c>
      <c r="BT267" s="106">
        <v>0</v>
      </c>
      <c r="BU267" s="106">
        <v>0</v>
      </c>
      <c r="BV267" s="106">
        <v>0</v>
      </c>
      <c r="BW267" s="106">
        <v>0</v>
      </c>
      <c r="BX267" s="106">
        <v>0</v>
      </c>
      <c r="BY267" s="106">
        <v>0</v>
      </c>
      <c r="BZ267" s="106">
        <v>0</v>
      </c>
      <c r="CA267" s="106">
        <v>0</v>
      </c>
      <c r="CB267" s="106">
        <v>0</v>
      </c>
      <c r="CC267" s="106">
        <v>0</v>
      </c>
      <c r="CD267" s="106">
        <v>0</v>
      </c>
      <c r="CE267" s="106">
        <v>0</v>
      </c>
      <c r="CF267" s="106">
        <v>0</v>
      </c>
      <c r="CG267" s="106">
        <v>0</v>
      </c>
      <c r="CH267" s="106">
        <v>0</v>
      </c>
      <c r="CI267" s="106">
        <v>0</v>
      </c>
      <c r="CJ267" s="106">
        <v>0</v>
      </c>
      <c r="CK267" s="106">
        <v>0</v>
      </c>
      <c r="CL267" s="106">
        <v>0</v>
      </c>
      <c r="CM267" s="106">
        <v>0</v>
      </c>
      <c r="CN267" s="106">
        <v>0</v>
      </c>
      <c r="CO267" s="106">
        <v>0</v>
      </c>
      <c r="CP267" s="106">
        <v>0</v>
      </c>
      <c r="CQ267" s="106">
        <v>0</v>
      </c>
      <c r="CR267" s="106">
        <v>0</v>
      </c>
      <c r="CS267" s="106">
        <v>0</v>
      </c>
      <c r="CT267" s="106">
        <v>0</v>
      </c>
      <c r="CU267" s="106">
        <v>0</v>
      </c>
      <c r="CV267" s="106">
        <v>0</v>
      </c>
      <c r="CW267" s="106">
        <v>0</v>
      </c>
      <c r="CX267" s="106">
        <v>0</v>
      </c>
      <c r="CY267" s="106">
        <v>0</v>
      </c>
      <c r="CZ267" s="106">
        <v>0</v>
      </c>
      <c r="DA267" s="106">
        <v>0</v>
      </c>
      <c r="DB267" s="106">
        <v>0</v>
      </c>
      <c r="DC267" s="106">
        <v>0</v>
      </c>
      <c r="DD267" s="106">
        <v>0</v>
      </c>
      <c r="DE267" s="106">
        <v>0</v>
      </c>
      <c r="DF267" s="106">
        <v>0</v>
      </c>
      <c r="DG267" s="106">
        <v>0</v>
      </c>
      <c r="DH267" s="106">
        <v>0</v>
      </c>
      <c r="DI267" s="106">
        <v>0</v>
      </c>
      <c r="DJ267" s="106">
        <v>0</v>
      </c>
      <c r="DK267" s="106">
        <v>0</v>
      </c>
      <c r="DL267" s="106">
        <v>0</v>
      </c>
      <c r="DM267" s="106">
        <v>0</v>
      </c>
      <c r="DN267" s="106">
        <v>0</v>
      </c>
      <c r="DO267" s="106">
        <v>0</v>
      </c>
      <c r="DP267" s="106">
        <v>0</v>
      </c>
      <c r="DQ267" s="106">
        <v>0</v>
      </c>
      <c r="DR267" s="106">
        <v>0</v>
      </c>
      <c r="DS267" s="106">
        <v>0</v>
      </c>
      <c r="DT267" s="106">
        <v>0</v>
      </c>
      <c r="DU267" s="106">
        <v>0</v>
      </c>
      <c r="DV267" s="106">
        <v>0</v>
      </c>
      <c r="DW267" s="106">
        <v>0</v>
      </c>
      <c r="DX267" s="106">
        <v>0</v>
      </c>
      <c r="DY267" s="106">
        <v>0</v>
      </c>
      <c r="DZ267" s="106">
        <v>0</v>
      </c>
      <c r="EA267" s="106">
        <v>0</v>
      </c>
      <c r="EB267" s="106">
        <v>0</v>
      </c>
    </row>
    <row r="268" spans="1:132" hidden="1">
      <c r="A268" t="s">
        <v>272</v>
      </c>
      <c r="B268" t="s">
        <v>218</v>
      </c>
      <c r="C268" s="117">
        <v>45566</v>
      </c>
      <c r="D268" s="106">
        <v>0</v>
      </c>
      <c r="E268" s="106">
        <v>0</v>
      </c>
      <c r="F268" s="106">
        <v>0</v>
      </c>
      <c r="G268" s="106">
        <v>0</v>
      </c>
      <c r="H268" s="106">
        <v>0</v>
      </c>
      <c r="I268" s="106">
        <v>0</v>
      </c>
      <c r="J268" s="106">
        <v>0</v>
      </c>
      <c r="K268" s="106">
        <v>0</v>
      </c>
      <c r="L268" s="106">
        <v>0</v>
      </c>
      <c r="M268" s="106">
        <v>0</v>
      </c>
      <c r="N268" s="106">
        <v>0</v>
      </c>
      <c r="O268" s="106">
        <v>0</v>
      </c>
      <c r="P268" s="106">
        <v>0</v>
      </c>
      <c r="Q268" s="106">
        <v>0</v>
      </c>
      <c r="R268" s="106">
        <v>0</v>
      </c>
      <c r="S268" s="106">
        <v>0</v>
      </c>
      <c r="T268" s="106">
        <v>0</v>
      </c>
      <c r="U268" s="106">
        <v>0</v>
      </c>
      <c r="V268" s="106">
        <v>0</v>
      </c>
      <c r="W268" s="106">
        <v>0</v>
      </c>
      <c r="X268" s="106">
        <v>0</v>
      </c>
      <c r="Y268" s="106">
        <v>0</v>
      </c>
      <c r="Z268" s="106">
        <v>0</v>
      </c>
      <c r="AA268" s="106">
        <v>0</v>
      </c>
      <c r="AB268" s="106">
        <v>0</v>
      </c>
      <c r="AC268" s="106">
        <v>0</v>
      </c>
      <c r="AD268" s="106">
        <v>0</v>
      </c>
      <c r="AE268" s="106">
        <v>0</v>
      </c>
      <c r="AF268" s="106">
        <v>0</v>
      </c>
      <c r="AG268" s="106">
        <v>0</v>
      </c>
      <c r="AH268" s="106">
        <v>0</v>
      </c>
      <c r="AI268" s="106">
        <v>0</v>
      </c>
      <c r="AJ268" s="106">
        <v>0</v>
      </c>
      <c r="AK268" s="106">
        <v>0</v>
      </c>
      <c r="AL268" s="106">
        <v>0</v>
      </c>
      <c r="AM268" s="106">
        <v>0</v>
      </c>
      <c r="AN268" s="106">
        <v>0</v>
      </c>
      <c r="AO268" s="106">
        <v>0</v>
      </c>
      <c r="AP268" s="106">
        <v>0</v>
      </c>
      <c r="AQ268" s="106">
        <v>0</v>
      </c>
      <c r="AR268" s="106">
        <v>0</v>
      </c>
      <c r="AS268" s="106">
        <v>0</v>
      </c>
      <c r="AT268" s="106">
        <v>0</v>
      </c>
      <c r="AU268" s="106">
        <v>0</v>
      </c>
      <c r="AV268" s="106">
        <v>0</v>
      </c>
      <c r="AW268" s="106">
        <v>0</v>
      </c>
      <c r="AX268" s="106">
        <v>0</v>
      </c>
      <c r="AY268" s="106">
        <v>0</v>
      </c>
      <c r="AZ268" s="106">
        <v>0</v>
      </c>
      <c r="BA268" s="106">
        <v>0</v>
      </c>
      <c r="BB268" s="106">
        <v>0</v>
      </c>
      <c r="BC268" s="106">
        <v>0</v>
      </c>
      <c r="BD268" s="106">
        <v>0</v>
      </c>
      <c r="BE268" s="106">
        <v>0</v>
      </c>
      <c r="BF268" s="106">
        <v>0</v>
      </c>
      <c r="BG268" s="106">
        <v>0</v>
      </c>
      <c r="BH268" s="106">
        <v>0</v>
      </c>
      <c r="BI268" s="106">
        <v>0</v>
      </c>
      <c r="BJ268" s="106">
        <v>0</v>
      </c>
      <c r="BK268" s="106">
        <v>0</v>
      </c>
      <c r="BL268" s="106">
        <v>0</v>
      </c>
      <c r="BM268" s="106">
        <v>0</v>
      </c>
      <c r="BN268" s="106">
        <v>0</v>
      </c>
      <c r="BO268" s="106">
        <v>0</v>
      </c>
      <c r="BP268" s="106">
        <v>0</v>
      </c>
      <c r="BQ268" s="106">
        <v>0</v>
      </c>
      <c r="BR268" s="106">
        <v>0</v>
      </c>
      <c r="BS268" s="106">
        <v>0</v>
      </c>
      <c r="BT268" s="106">
        <v>0</v>
      </c>
      <c r="BU268" s="106">
        <v>0</v>
      </c>
      <c r="BV268" s="106">
        <v>0</v>
      </c>
      <c r="BW268" s="106">
        <v>0</v>
      </c>
      <c r="BX268" s="106">
        <v>0</v>
      </c>
      <c r="BY268" s="106">
        <v>0</v>
      </c>
      <c r="BZ268" s="106">
        <v>0</v>
      </c>
      <c r="CA268" s="106">
        <v>0</v>
      </c>
      <c r="CB268" s="106">
        <v>0</v>
      </c>
      <c r="CC268" s="106">
        <v>0</v>
      </c>
      <c r="CD268" s="106">
        <v>0</v>
      </c>
      <c r="CE268" s="106">
        <v>0</v>
      </c>
      <c r="CF268" s="106">
        <v>0</v>
      </c>
      <c r="CG268" s="106">
        <v>0</v>
      </c>
      <c r="CH268" s="106">
        <v>0</v>
      </c>
      <c r="CI268" s="106">
        <v>0</v>
      </c>
      <c r="CJ268" s="106">
        <v>0</v>
      </c>
      <c r="CK268" s="106">
        <v>0</v>
      </c>
      <c r="CL268" s="106">
        <v>0</v>
      </c>
      <c r="CM268" s="106">
        <v>0</v>
      </c>
      <c r="CN268" s="106">
        <v>0</v>
      </c>
      <c r="CO268" s="106">
        <v>0</v>
      </c>
      <c r="CP268" s="106">
        <v>0</v>
      </c>
      <c r="CQ268" s="106">
        <v>0</v>
      </c>
      <c r="CR268" s="106">
        <v>0</v>
      </c>
      <c r="CS268" s="106">
        <v>0</v>
      </c>
      <c r="CT268" s="106">
        <v>0</v>
      </c>
      <c r="CU268" s="106">
        <v>0</v>
      </c>
      <c r="CV268" s="106">
        <v>0</v>
      </c>
      <c r="CW268" s="106">
        <v>0</v>
      </c>
      <c r="CX268" s="106">
        <v>0</v>
      </c>
      <c r="CY268" s="106">
        <v>0</v>
      </c>
      <c r="CZ268" s="106">
        <v>0</v>
      </c>
      <c r="DA268" s="106">
        <v>0</v>
      </c>
      <c r="DB268" s="106">
        <v>0</v>
      </c>
      <c r="DC268" s="106">
        <v>0</v>
      </c>
      <c r="DD268" s="106">
        <v>0</v>
      </c>
      <c r="DE268" s="106">
        <v>0</v>
      </c>
      <c r="DF268" s="106">
        <v>0</v>
      </c>
      <c r="DG268" s="106">
        <v>0</v>
      </c>
      <c r="DH268" s="106">
        <v>0</v>
      </c>
      <c r="DI268" s="106">
        <v>0</v>
      </c>
      <c r="DJ268" s="106">
        <v>0</v>
      </c>
      <c r="DK268" s="106">
        <v>0</v>
      </c>
      <c r="DL268" s="106">
        <v>0</v>
      </c>
      <c r="DM268" s="106">
        <v>0</v>
      </c>
      <c r="DN268" s="106">
        <v>0</v>
      </c>
      <c r="DO268" s="106">
        <v>0</v>
      </c>
      <c r="DP268" s="106">
        <v>0</v>
      </c>
      <c r="DQ268" s="106">
        <v>0</v>
      </c>
      <c r="DR268" s="106">
        <v>0</v>
      </c>
      <c r="DS268" s="106">
        <v>0</v>
      </c>
      <c r="DT268" s="106">
        <v>0</v>
      </c>
      <c r="DU268" s="106">
        <v>0</v>
      </c>
      <c r="DV268" s="106">
        <v>0</v>
      </c>
      <c r="DW268" s="106">
        <v>0</v>
      </c>
      <c r="DX268" s="106">
        <v>0</v>
      </c>
      <c r="DY268" s="106">
        <v>0</v>
      </c>
      <c r="DZ268" s="106">
        <v>0</v>
      </c>
      <c r="EA268" s="106">
        <v>0</v>
      </c>
      <c r="EB268" s="106">
        <v>0</v>
      </c>
    </row>
    <row r="269" spans="1:132" hidden="1">
      <c r="A269" t="s">
        <v>272</v>
      </c>
      <c r="B269" t="s">
        <v>218</v>
      </c>
      <c r="C269" s="117">
        <v>45536</v>
      </c>
      <c r="D269" s="106">
        <v>0</v>
      </c>
      <c r="E269" s="106">
        <v>0</v>
      </c>
      <c r="F269" s="106">
        <v>0</v>
      </c>
      <c r="G269" s="106">
        <v>0</v>
      </c>
      <c r="H269" s="106">
        <v>0</v>
      </c>
      <c r="I269" s="106">
        <v>0</v>
      </c>
      <c r="J269" s="106">
        <v>0</v>
      </c>
      <c r="K269" s="106">
        <v>0</v>
      </c>
      <c r="L269" s="106">
        <v>0</v>
      </c>
      <c r="M269" s="106">
        <v>0</v>
      </c>
      <c r="N269" s="106">
        <v>0</v>
      </c>
      <c r="O269" s="106">
        <v>0</v>
      </c>
      <c r="P269" s="106">
        <v>0</v>
      </c>
      <c r="Q269" s="106">
        <v>0</v>
      </c>
      <c r="R269" s="106">
        <v>0</v>
      </c>
      <c r="S269" s="106">
        <v>0</v>
      </c>
      <c r="T269" s="106">
        <v>0</v>
      </c>
      <c r="U269" s="106">
        <v>0</v>
      </c>
      <c r="V269" s="106">
        <v>0</v>
      </c>
      <c r="W269" s="106">
        <v>0</v>
      </c>
      <c r="X269" s="106">
        <v>0</v>
      </c>
      <c r="Y269" s="106">
        <v>0</v>
      </c>
      <c r="Z269" s="106">
        <v>0</v>
      </c>
      <c r="AA269" s="106">
        <v>0</v>
      </c>
      <c r="AB269" s="106">
        <v>0</v>
      </c>
      <c r="AC269" s="106">
        <v>0</v>
      </c>
      <c r="AD269" s="106">
        <v>0</v>
      </c>
      <c r="AE269" s="106">
        <v>0</v>
      </c>
      <c r="AF269" s="106">
        <v>0</v>
      </c>
      <c r="AG269" s="106">
        <v>0</v>
      </c>
      <c r="AH269" s="106">
        <v>0</v>
      </c>
      <c r="AI269" s="106">
        <v>0</v>
      </c>
      <c r="AJ269" s="106">
        <v>0</v>
      </c>
      <c r="AK269" s="106">
        <v>0</v>
      </c>
      <c r="AL269" s="106">
        <v>0</v>
      </c>
      <c r="AM269" s="106">
        <v>0</v>
      </c>
      <c r="AN269" s="106">
        <v>0</v>
      </c>
      <c r="AO269" s="106">
        <v>0</v>
      </c>
      <c r="AP269" s="106">
        <v>0</v>
      </c>
      <c r="AQ269" s="106">
        <v>0</v>
      </c>
      <c r="AR269" s="106">
        <v>0</v>
      </c>
      <c r="AS269" s="106">
        <v>0</v>
      </c>
      <c r="AT269" s="106">
        <v>0</v>
      </c>
      <c r="AU269" s="106">
        <v>0</v>
      </c>
      <c r="AV269" s="106">
        <v>0</v>
      </c>
      <c r="AW269" s="106">
        <v>0</v>
      </c>
      <c r="AX269" s="106">
        <v>0</v>
      </c>
      <c r="AY269" s="106">
        <v>0</v>
      </c>
      <c r="AZ269" s="106">
        <v>0</v>
      </c>
      <c r="BA269" s="106">
        <v>0</v>
      </c>
      <c r="BB269" s="106">
        <v>0</v>
      </c>
      <c r="BC269" s="106">
        <v>0</v>
      </c>
      <c r="BD269" s="106">
        <v>0</v>
      </c>
      <c r="BE269" s="106">
        <v>0</v>
      </c>
      <c r="BF269" s="106">
        <v>0</v>
      </c>
      <c r="BG269" s="106">
        <v>0</v>
      </c>
      <c r="BH269" s="106">
        <v>0</v>
      </c>
      <c r="BI269" s="106">
        <v>0</v>
      </c>
      <c r="BJ269" s="106">
        <v>0</v>
      </c>
      <c r="BK269" s="106">
        <v>0</v>
      </c>
      <c r="BL269" s="106">
        <v>0</v>
      </c>
      <c r="BM269" s="106">
        <v>0</v>
      </c>
      <c r="BN269" s="106">
        <v>0</v>
      </c>
      <c r="BO269" s="106">
        <v>0</v>
      </c>
      <c r="BP269" s="106">
        <v>0</v>
      </c>
      <c r="BQ269" s="106">
        <v>0</v>
      </c>
      <c r="BR269" s="106">
        <v>0</v>
      </c>
      <c r="BS269" s="106">
        <v>0</v>
      </c>
      <c r="BT269" s="106">
        <v>0</v>
      </c>
      <c r="BU269" s="106">
        <v>0</v>
      </c>
      <c r="BV269" s="106">
        <v>0</v>
      </c>
      <c r="BW269" s="106">
        <v>0</v>
      </c>
      <c r="BX269" s="106">
        <v>0</v>
      </c>
      <c r="BY269" s="106">
        <v>0</v>
      </c>
      <c r="BZ269" s="106">
        <v>0</v>
      </c>
      <c r="CA269" s="106">
        <v>0</v>
      </c>
      <c r="CB269" s="106">
        <v>0</v>
      </c>
      <c r="CC269" s="106">
        <v>0</v>
      </c>
      <c r="CD269" s="106">
        <v>0</v>
      </c>
      <c r="CE269" s="106">
        <v>0</v>
      </c>
      <c r="CF269" s="106">
        <v>0</v>
      </c>
      <c r="CG269" s="106">
        <v>0</v>
      </c>
      <c r="CH269" s="106">
        <v>0</v>
      </c>
      <c r="CI269" s="106">
        <v>0</v>
      </c>
      <c r="CJ269" s="106">
        <v>0</v>
      </c>
      <c r="CK269" s="106">
        <v>0</v>
      </c>
      <c r="CL269" s="106">
        <v>0</v>
      </c>
      <c r="CM269" s="106">
        <v>0</v>
      </c>
      <c r="CN269" s="106">
        <v>0</v>
      </c>
      <c r="CO269" s="106">
        <v>0</v>
      </c>
      <c r="CP269" s="106">
        <v>0</v>
      </c>
      <c r="CQ269" s="106">
        <v>0</v>
      </c>
      <c r="CR269" s="106">
        <v>0</v>
      </c>
      <c r="CS269" s="106">
        <v>0</v>
      </c>
      <c r="CT269" s="106">
        <v>0</v>
      </c>
      <c r="CU269" s="106">
        <v>0</v>
      </c>
      <c r="CV269" s="106">
        <v>0</v>
      </c>
      <c r="CW269" s="106">
        <v>0</v>
      </c>
      <c r="CX269" s="106">
        <v>0</v>
      </c>
      <c r="CY269" s="106">
        <v>0</v>
      </c>
      <c r="CZ269" s="106">
        <v>0</v>
      </c>
      <c r="DA269" s="106">
        <v>0</v>
      </c>
      <c r="DB269" s="106">
        <v>0</v>
      </c>
      <c r="DC269" s="106">
        <v>0</v>
      </c>
      <c r="DD269" s="106">
        <v>0</v>
      </c>
      <c r="DE269" s="106">
        <v>0</v>
      </c>
      <c r="DF269" s="106">
        <v>0</v>
      </c>
      <c r="DG269" s="106">
        <v>0</v>
      </c>
      <c r="DH269" s="106">
        <v>0</v>
      </c>
      <c r="DI269" s="106">
        <v>0</v>
      </c>
      <c r="DJ269" s="106">
        <v>0</v>
      </c>
      <c r="DK269" s="106">
        <v>0</v>
      </c>
      <c r="DL269" s="106">
        <v>0</v>
      </c>
      <c r="DM269" s="106">
        <v>0</v>
      </c>
      <c r="DN269" s="106">
        <v>0</v>
      </c>
      <c r="DO269" s="106">
        <v>0</v>
      </c>
      <c r="DP269" s="106">
        <v>0</v>
      </c>
      <c r="DQ269" s="106">
        <v>0</v>
      </c>
      <c r="DR269" s="106">
        <v>0</v>
      </c>
      <c r="DS269" s="106">
        <v>0</v>
      </c>
      <c r="DT269" s="106">
        <v>0</v>
      </c>
      <c r="DU269" s="106">
        <v>0</v>
      </c>
      <c r="DV269" s="106">
        <v>0</v>
      </c>
      <c r="DW269" s="106">
        <v>0</v>
      </c>
      <c r="DX269" s="106">
        <v>0</v>
      </c>
      <c r="DY269" s="106">
        <v>0</v>
      </c>
      <c r="DZ269" s="106">
        <v>0</v>
      </c>
      <c r="EA269" s="106">
        <v>0</v>
      </c>
      <c r="EB269" s="106">
        <v>0</v>
      </c>
    </row>
    <row r="270" spans="1:132" hidden="1">
      <c r="A270" t="s">
        <v>272</v>
      </c>
      <c r="B270" t="s">
        <v>218</v>
      </c>
      <c r="C270" s="117">
        <v>45505</v>
      </c>
      <c r="D270" s="106">
        <v>0</v>
      </c>
      <c r="E270" s="106">
        <v>0</v>
      </c>
      <c r="F270" s="106">
        <v>0</v>
      </c>
      <c r="G270" s="106">
        <v>0</v>
      </c>
      <c r="H270" s="106">
        <v>0</v>
      </c>
      <c r="I270" s="106">
        <v>0</v>
      </c>
      <c r="J270" s="106">
        <v>0</v>
      </c>
      <c r="K270" s="106">
        <v>0</v>
      </c>
      <c r="L270" s="106">
        <v>0</v>
      </c>
      <c r="M270" s="106">
        <v>0</v>
      </c>
      <c r="N270" s="106">
        <v>0</v>
      </c>
      <c r="O270" s="106">
        <v>0</v>
      </c>
      <c r="P270" s="106">
        <v>0</v>
      </c>
      <c r="Q270" s="106">
        <v>0</v>
      </c>
      <c r="R270" s="106">
        <v>0</v>
      </c>
      <c r="S270" s="106">
        <v>0</v>
      </c>
      <c r="T270" s="106">
        <v>0</v>
      </c>
      <c r="U270" s="106">
        <v>0</v>
      </c>
      <c r="V270" s="106">
        <v>0</v>
      </c>
      <c r="W270" s="106">
        <v>0</v>
      </c>
      <c r="X270" s="106">
        <v>0</v>
      </c>
      <c r="Y270" s="106">
        <v>0</v>
      </c>
      <c r="Z270" s="106">
        <v>0</v>
      </c>
      <c r="AA270" s="106">
        <v>0</v>
      </c>
      <c r="AB270" s="106">
        <v>0</v>
      </c>
      <c r="AC270" s="106">
        <v>0</v>
      </c>
      <c r="AD270" s="106">
        <v>0</v>
      </c>
      <c r="AE270" s="106">
        <v>0</v>
      </c>
      <c r="AF270" s="106">
        <v>0</v>
      </c>
      <c r="AG270" s="106">
        <v>0</v>
      </c>
      <c r="AH270" s="106">
        <v>0</v>
      </c>
      <c r="AI270" s="106">
        <v>0</v>
      </c>
      <c r="AJ270" s="106">
        <v>0</v>
      </c>
      <c r="AK270" s="106">
        <v>0</v>
      </c>
      <c r="AL270" s="106">
        <v>0</v>
      </c>
      <c r="AM270" s="106">
        <v>0</v>
      </c>
      <c r="AN270" s="106">
        <v>0</v>
      </c>
      <c r="AO270" s="106">
        <v>0</v>
      </c>
      <c r="AP270" s="106">
        <v>0</v>
      </c>
      <c r="AQ270" s="106">
        <v>0</v>
      </c>
      <c r="AR270" s="106">
        <v>0</v>
      </c>
      <c r="AS270" s="106">
        <v>0</v>
      </c>
      <c r="AT270" s="106">
        <v>0</v>
      </c>
      <c r="AU270" s="106">
        <v>0</v>
      </c>
      <c r="AV270" s="106">
        <v>0</v>
      </c>
      <c r="AW270" s="106">
        <v>0</v>
      </c>
      <c r="AX270" s="106">
        <v>0</v>
      </c>
      <c r="AY270" s="106">
        <v>0</v>
      </c>
      <c r="AZ270" s="106">
        <v>0</v>
      </c>
      <c r="BA270" s="106">
        <v>0</v>
      </c>
      <c r="BB270" s="106">
        <v>0</v>
      </c>
      <c r="BC270" s="106">
        <v>0</v>
      </c>
      <c r="BD270" s="106">
        <v>0</v>
      </c>
      <c r="BE270" s="106">
        <v>0</v>
      </c>
      <c r="BF270" s="106">
        <v>0</v>
      </c>
      <c r="BG270" s="106">
        <v>0</v>
      </c>
      <c r="BH270" s="106">
        <v>0</v>
      </c>
      <c r="BI270" s="106">
        <v>0</v>
      </c>
      <c r="BJ270" s="106">
        <v>0</v>
      </c>
      <c r="BK270" s="106">
        <v>0</v>
      </c>
      <c r="BL270" s="106">
        <v>0</v>
      </c>
      <c r="BM270" s="106">
        <v>0</v>
      </c>
      <c r="BN270" s="106">
        <v>0</v>
      </c>
      <c r="BO270" s="106">
        <v>0</v>
      </c>
      <c r="BP270" s="106">
        <v>0</v>
      </c>
      <c r="BQ270" s="106">
        <v>0</v>
      </c>
      <c r="BR270" s="106">
        <v>0</v>
      </c>
      <c r="BS270" s="106">
        <v>0</v>
      </c>
      <c r="BT270" s="106">
        <v>0</v>
      </c>
      <c r="BU270" s="106">
        <v>0</v>
      </c>
      <c r="BV270" s="106">
        <v>0</v>
      </c>
      <c r="BW270" s="106">
        <v>0</v>
      </c>
      <c r="BX270" s="106">
        <v>0</v>
      </c>
      <c r="BY270" s="106">
        <v>0</v>
      </c>
      <c r="BZ270" s="106">
        <v>0</v>
      </c>
      <c r="CA270" s="106">
        <v>0</v>
      </c>
      <c r="CB270" s="106">
        <v>0</v>
      </c>
      <c r="CC270" s="106">
        <v>0</v>
      </c>
      <c r="CD270" s="106">
        <v>0</v>
      </c>
      <c r="CE270" s="106">
        <v>0</v>
      </c>
      <c r="CF270" s="106">
        <v>0</v>
      </c>
      <c r="CG270" s="106">
        <v>0</v>
      </c>
      <c r="CH270" s="106">
        <v>0</v>
      </c>
      <c r="CI270" s="106">
        <v>0</v>
      </c>
      <c r="CJ270" s="106">
        <v>0</v>
      </c>
      <c r="CK270" s="106">
        <v>0</v>
      </c>
      <c r="CL270" s="106">
        <v>0</v>
      </c>
      <c r="CM270" s="106">
        <v>0</v>
      </c>
      <c r="CN270" s="106">
        <v>0</v>
      </c>
      <c r="CO270" s="106">
        <v>0</v>
      </c>
      <c r="CP270" s="106">
        <v>0</v>
      </c>
      <c r="CQ270" s="106">
        <v>0</v>
      </c>
      <c r="CR270" s="106">
        <v>0</v>
      </c>
      <c r="CS270" s="106">
        <v>0</v>
      </c>
      <c r="CT270" s="106">
        <v>0</v>
      </c>
      <c r="CU270" s="106">
        <v>0</v>
      </c>
      <c r="CV270" s="106">
        <v>0</v>
      </c>
      <c r="CW270" s="106">
        <v>0</v>
      </c>
      <c r="CX270" s="106">
        <v>0</v>
      </c>
      <c r="CY270" s="106">
        <v>0</v>
      </c>
      <c r="CZ270" s="106">
        <v>0</v>
      </c>
      <c r="DA270" s="106">
        <v>0</v>
      </c>
      <c r="DB270" s="106">
        <v>0</v>
      </c>
      <c r="DC270" s="106">
        <v>0</v>
      </c>
      <c r="DD270" s="106">
        <v>0</v>
      </c>
      <c r="DE270" s="106">
        <v>0</v>
      </c>
      <c r="DF270" s="106">
        <v>0</v>
      </c>
      <c r="DG270" s="106">
        <v>0</v>
      </c>
      <c r="DH270" s="106">
        <v>0</v>
      </c>
      <c r="DI270" s="106">
        <v>0</v>
      </c>
      <c r="DJ270" s="106">
        <v>0</v>
      </c>
      <c r="DK270" s="106">
        <v>0</v>
      </c>
      <c r="DL270" s="106">
        <v>0</v>
      </c>
      <c r="DM270" s="106">
        <v>0</v>
      </c>
      <c r="DN270" s="106">
        <v>0</v>
      </c>
      <c r="DO270" s="106">
        <v>0</v>
      </c>
      <c r="DP270" s="106">
        <v>0</v>
      </c>
      <c r="DQ270" s="106">
        <v>0</v>
      </c>
      <c r="DR270" s="106">
        <v>0</v>
      </c>
      <c r="DS270" s="106">
        <v>0</v>
      </c>
      <c r="DT270" s="106">
        <v>0</v>
      </c>
      <c r="DU270" s="106">
        <v>0</v>
      </c>
      <c r="DV270" s="106">
        <v>0</v>
      </c>
      <c r="DW270" s="106">
        <v>0</v>
      </c>
      <c r="DX270" s="106">
        <v>0</v>
      </c>
      <c r="DY270" s="106">
        <v>0</v>
      </c>
      <c r="DZ270" s="106">
        <v>0</v>
      </c>
      <c r="EA270" s="106">
        <v>0</v>
      </c>
      <c r="EB270" s="106">
        <v>0</v>
      </c>
    </row>
    <row r="271" spans="1:132" hidden="1">
      <c r="A271" t="s">
        <v>272</v>
      </c>
      <c r="B271" t="s">
        <v>218</v>
      </c>
      <c r="C271" s="117">
        <v>45474</v>
      </c>
      <c r="D271" s="106">
        <v>0</v>
      </c>
      <c r="E271" s="106">
        <v>0</v>
      </c>
      <c r="F271" s="106">
        <v>0</v>
      </c>
      <c r="G271" s="106">
        <v>0</v>
      </c>
      <c r="H271" s="106">
        <v>0</v>
      </c>
      <c r="I271" s="106">
        <v>0</v>
      </c>
      <c r="J271" s="106">
        <v>0</v>
      </c>
      <c r="K271" s="106">
        <v>0</v>
      </c>
      <c r="L271" s="106">
        <v>0</v>
      </c>
      <c r="M271" s="106">
        <v>0</v>
      </c>
      <c r="N271" s="106">
        <v>0</v>
      </c>
      <c r="O271" s="106">
        <v>0</v>
      </c>
      <c r="P271" s="106">
        <v>0</v>
      </c>
      <c r="Q271" s="106">
        <v>0</v>
      </c>
      <c r="R271" s="106">
        <v>0</v>
      </c>
      <c r="S271" s="106">
        <v>0</v>
      </c>
      <c r="T271" s="106">
        <v>0</v>
      </c>
      <c r="U271" s="106">
        <v>0</v>
      </c>
      <c r="V271" s="106">
        <v>0</v>
      </c>
      <c r="W271" s="106">
        <v>0</v>
      </c>
      <c r="X271" s="106">
        <v>0</v>
      </c>
      <c r="Y271" s="106">
        <v>0</v>
      </c>
      <c r="Z271" s="106">
        <v>0</v>
      </c>
      <c r="AA271" s="106">
        <v>0</v>
      </c>
      <c r="AB271" s="106">
        <v>0</v>
      </c>
      <c r="AC271" s="106">
        <v>0</v>
      </c>
      <c r="AD271" s="106">
        <v>0</v>
      </c>
      <c r="AE271" s="106">
        <v>0</v>
      </c>
      <c r="AF271" s="106">
        <v>0</v>
      </c>
      <c r="AG271" s="106">
        <v>0</v>
      </c>
      <c r="AH271" s="106">
        <v>0</v>
      </c>
      <c r="AI271" s="106">
        <v>0</v>
      </c>
      <c r="AJ271" s="106">
        <v>0</v>
      </c>
      <c r="AK271" s="106">
        <v>0</v>
      </c>
      <c r="AL271" s="106">
        <v>0</v>
      </c>
      <c r="AM271" s="106">
        <v>0</v>
      </c>
      <c r="AN271" s="106">
        <v>0</v>
      </c>
      <c r="AO271" s="106">
        <v>0</v>
      </c>
      <c r="AP271" s="106">
        <v>0</v>
      </c>
      <c r="AQ271" s="106">
        <v>0</v>
      </c>
      <c r="AR271" s="106">
        <v>0</v>
      </c>
      <c r="AS271" s="106">
        <v>0</v>
      </c>
      <c r="AT271" s="106">
        <v>0</v>
      </c>
      <c r="AU271" s="106">
        <v>0</v>
      </c>
      <c r="AV271" s="106">
        <v>0</v>
      </c>
      <c r="AW271" s="106">
        <v>0</v>
      </c>
      <c r="AX271" s="106">
        <v>0</v>
      </c>
      <c r="AY271" s="106">
        <v>0</v>
      </c>
      <c r="AZ271" s="106">
        <v>0</v>
      </c>
      <c r="BA271" s="106">
        <v>0</v>
      </c>
      <c r="BB271" s="106">
        <v>0</v>
      </c>
      <c r="BC271" s="106">
        <v>0</v>
      </c>
      <c r="BD271" s="106">
        <v>0</v>
      </c>
      <c r="BE271" s="106">
        <v>0</v>
      </c>
      <c r="BF271" s="106">
        <v>0</v>
      </c>
      <c r="BG271" s="106">
        <v>0</v>
      </c>
      <c r="BH271" s="106">
        <v>0</v>
      </c>
      <c r="BI271" s="106">
        <v>0</v>
      </c>
      <c r="BJ271" s="106">
        <v>0</v>
      </c>
      <c r="BK271" s="106">
        <v>0</v>
      </c>
      <c r="BL271" s="106">
        <v>0</v>
      </c>
      <c r="BM271" s="106">
        <v>0</v>
      </c>
      <c r="BN271" s="106">
        <v>0</v>
      </c>
      <c r="BO271" s="106">
        <v>0</v>
      </c>
      <c r="BP271" s="106">
        <v>0</v>
      </c>
      <c r="BQ271" s="106">
        <v>0</v>
      </c>
      <c r="BR271" s="106">
        <v>0</v>
      </c>
      <c r="BS271" s="106">
        <v>0</v>
      </c>
      <c r="BT271" s="106">
        <v>0</v>
      </c>
      <c r="BU271" s="106">
        <v>0</v>
      </c>
      <c r="BV271" s="106">
        <v>0</v>
      </c>
      <c r="BW271" s="106">
        <v>0</v>
      </c>
      <c r="BX271" s="106">
        <v>0</v>
      </c>
      <c r="BY271" s="106">
        <v>0</v>
      </c>
      <c r="BZ271" s="106">
        <v>0</v>
      </c>
      <c r="CA271" s="106">
        <v>0</v>
      </c>
      <c r="CB271" s="106">
        <v>0</v>
      </c>
      <c r="CC271" s="106">
        <v>0</v>
      </c>
      <c r="CD271" s="106">
        <v>0</v>
      </c>
      <c r="CE271" s="106">
        <v>0</v>
      </c>
      <c r="CF271" s="106">
        <v>0</v>
      </c>
      <c r="CG271" s="106">
        <v>0</v>
      </c>
      <c r="CH271" s="106">
        <v>0</v>
      </c>
      <c r="CI271" s="106">
        <v>0</v>
      </c>
      <c r="CJ271" s="106">
        <v>0</v>
      </c>
      <c r="CK271" s="106">
        <v>0</v>
      </c>
      <c r="CL271" s="106">
        <v>0</v>
      </c>
      <c r="CM271" s="106">
        <v>0</v>
      </c>
      <c r="CN271" s="106">
        <v>0</v>
      </c>
      <c r="CO271" s="106">
        <v>0</v>
      </c>
      <c r="CP271" s="106">
        <v>0</v>
      </c>
      <c r="CQ271" s="106">
        <v>0</v>
      </c>
      <c r="CR271" s="106">
        <v>0</v>
      </c>
      <c r="CS271" s="106">
        <v>0</v>
      </c>
      <c r="CT271" s="106">
        <v>0</v>
      </c>
      <c r="CU271" s="106">
        <v>0</v>
      </c>
      <c r="CV271" s="106">
        <v>0</v>
      </c>
      <c r="CW271" s="106">
        <v>0</v>
      </c>
      <c r="CX271" s="106">
        <v>0</v>
      </c>
      <c r="CY271" s="106">
        <v>0</v>
      </c>
      <c r="CZ271" s="106">
        <v>0</v>
      </c>
      <c r="DA271" s="106">
        <v>0</v>
      </c>
      <c r="DB271" s="106">
        <v>0</v>
      </c>
      <c r="DC271" s="106">
        <v>0</v>
      </c>
      <c r="DD271" s="106">
        <v>0</v>
      </c>
      <c r="DE271" s="106">
        <v>0</v>
      </c>
      <c r="DF271" s="106">
        <v>0</v>
      </c>
      <c r="DG271" s="106">
        <v>0</v>
      </c>
      <c r="DH271" s="106">
        <v>0</v>
      </c>
      <c r="DI271" s="106">
        <v>0</v>
      </c>
      <c r="DJ271" s="106">
        <v>0</v>
      </c>
      <c r="DK271" s="106">
        <v>0</v>
      </c>
      <c r="DL271" s="106">
        <v>0</v>
      </c>
      <c r="DM271" s="106">
        <v>0</v>
      </c>
      <c r="DN271" s="106">
        <v>0</v>
      </c>
      <c r="DO271" s="106">
        <v>0</v>
      </c>
      <c r="DP271" s="106">
        <v>0</v>
      </c>
      <c r="DQ271" s="106">
        <v>0</v>
      </c>
      <c r="DR271" s="106">
        <v>0</v>
      </c>
      <c r="DS271" s="106">
        <v>0</v>
      </c>
      <c r="DT271" s="106">
        <v>0</v>
      </c>
      <c r="DU271" s="106">
        <v>0</v>
      </c>
      <c r="DV271" s="106">
        <v>0</v>
      </c>
      <c r="DW271" s="106">
        <v>0</v>
      </c>
      <c r="DX271" s="106">
        <v>0</v>
      </c>
      <c r="DY271" s="106">
        <v>0</v>
      </c>
      <c r="DZ271" s="106">
        <v>0</v>
      </c>
      <c r="EA271" s="106">
        <v>0</v>
      </c>
      <c r="EB271" s="106">
        <v>0</v>
      </c>
    </row>
    <row r="272" spans="1:132" hidden="1">
      <c r="A272" t="s">
        <v>272</v>
      </c>
      <c r="B272" t="s">
        <v>218</v>
      </c>
      <c r="C272" s="117">
        <v>45444</v>
      </c>
      <c r="D272" s="106">
        <v>0</v>
      </c>
      <c r="E272" s="106">
        <v>0</v>
      </c>
      <c r="F272" s="106">
        <v>0</v>
      </c>
      <c r="G272" s="106">
        <v>0</v>
      </c>
      <c r="H272" s="106">
        <v>0</v>
      </c>
      <c r="I272" s="106">
        <v>0</v>
      </c>
      <c r="J272" s="106">
        <v>0</v>
      </c>
      <c r="K272" s="106">
        <v>0</v>
      </c>
      <c r="L272" s="106">
        <v>0</v>
      </c>
      <c r="M272" s="106">
        <v>0</v>
      </c>
      <c r="N272" s="106">
        <v>0</v>
      </c>
      <c r="O272" s="106">
        <v>0</v>
      </c>
      <c r="P272" s="106">
        <v>0</v>
      </c>
      <c r="Q272" s="106">
        <v>0</v>
      </c>
      <c r="R272" s="106">
        <v>0</v>
      </c>
      <c r="S272" s="106">
        <v>0</v>
      </c>
      <c r="T272" s="106">
        <v>0</v>
      </c>
      <c r="U272" s="106">
        <v>0</v>
      </c>
      <c r="V272" s="106">
        <v>0</v>
      </c>
      <c r="W272" s="106">
        <v>0</v>
      </c>
      <c r="X272" s="106">
        <v>0</v>
      </c>
      <c r="Y272" s="106">
        <v>0</v>
      </c>
      <c r="Z272" s="106">
        <v>0</v>
      </c>
      <c r="AA272" s="106">
        <v>0</v>
      </c>
      <c r="AB272" s="106">
        <v>0</v>
      </c>
      <c r="AC272" s="106">
        <v>0</v>
      </c>
      <c r="AD272" s="106">
        <v>0</v>
      </c>
      <c r="AE272" s="106">
        <v>0</v>
      </c>
      <c r="AF272" s="106">
        <v>0</v>
      </c>
      <c r="AG272" s="106">
        <v>0</v>
      </c>
      <c r="AH272" s="106">
        <v>0</v>
      </c>
      <c r="AI272" s="106">
        <v>0</v>
      </c>
      <c r="AJ272" s="106">
        <v>0</v>
      </c>
      <c r="AK272" s="106">
        <v>0</v>
      </c>
      <c r="AL272" s="106">
        <v>0</v>
      </c>
      <c r="AM272" s="106">
        <v>0</v>
      </c>
      <c r="AN272" s="106">
        <v>0</v>
      </c>
      <c r="AO272" s="106">
        <v>0</v>
      </c>
      <c r="AP272" s="106">
        <v>0</v>
      </c>
      <c r="AQ272" s="106">
        <v>0</v>
      </c>
      <c r="AR272" s="106">
        <v>0</v>
      </c>
      <c r="AS272" s="106">
        <v>0</v>
      </c>
      <c r="AT272" s="106">
        <v>0</v>
      </c>
      <c r="AU272" s="106">
        <v>0</v>
      </c>
      <c r="AV272" s="106">
        <v>0</v>
      </c>
      <c r="AW272" s="106">
        <v>0</v>
      </c>
      <c r="AX272" s="106">
        <v>0</v>
      </c>
      <c r="AY272" s="106">
        <v>0</v>
      </c>
      <c r="AZ272" s="106">
        <v>0</v>
      </c>
      <c r="BA272" s="106">
        <v>0</v>
      </c>
      <c r="BB272" s="106">
        <v>0</v>
      </c>
      <c r="BC272" s="106">
        <v>0</v>
      </c>
      <c r="BD272" s="106">
        <v>0</v>
      </c>
      <c r="BE272" s="106">
        <v>0</v>
      </c>
      <c r="BF272" s="106">
        <v>0</v>
      </c>
      <c r="BG272" s="106">
        <v>0</v>
      </c>
      <c r="BH272" s="106">
        <v>0</v>
      </c>
      <c r="BI272" s="106">
        <v>0</v>
      </c>
      <c r="BJ272" s="106">
        <v>0</v>
      </c>
      <c r="BK272" s="106">
        <v>0</v>
      </c>
      <c r="BL272" s="106">
        <v>0</v>
      </c>
      <c r="BM272" s="106">
        <v>0</v>
      </c>
      <c r="BN272" s="106">
        <v>0</v>
      </c>
      <c r="BO272" s="106">
        <v>0</v>
      </c>
      <c r="BP272" s="106">
        <v>0</v>
      </c>
      <c r="BQ272" s="106">
        <v>0</v>
      </c>
      <c r="BR272" s="106">
        <v>0</v>
      </c>
      <c r="BS272" s="106">
        <v>0</v>
      </c>
      <c r="BT272" s="106">
        <v>0</v>
      </c>
      <c r="BU272" s="106">
        <v>0</v>
      </c>
      <c r="BV272" s="106">
        <v>0</v>
      </c>
      <c r="BW272" s="106">
        <v>0</v>
      </c>
      <c r="BX272" s="106">
        <v>0</v>
      </c>
      <c r="BY272" s="106">
        <v>0</v>
      </c>
      <c r="BZ272" s="106">
        <v>0</v>
      </c>
      <c r="CA272" s="106">
        <v>0</v>
      </c>
      <c r="CB272" s="106">
        <v>0</v>
      </c>
      <c r="CC272" s="106">
        <v>0</v>
      </c>
      <c r="CD272" s="106">
        <v>0</v>
      </c>
      <c r="CE272" s="106">
        <v>0</v>
      </c>
      <c r="CF272" s="106">
        <v>0</v>
      </c>
      <c r="CG272" s="106">
        <v>0</v>
      </c>
      <c r="CH272" s="106">
        <v>0</v>
      </c>
      <c r="CI272" s="106">
        <v>0</v>
      </c>
      <c r="CJ272" s="106">
        <v>0</v>
      </c>
      <c r="CK272" s="106">
        <v>0</v>
      </c>
      <c r="CL272" s="106">
        <v>0</v>
      </c>
      <c r="CM272" s="106">
        <v>0</v>
      </c>
      <c r="CN272" s="106">
        <v>0</v>
      </c>
      <c r="CO272" s="106">
        <v>0</v>
      </c>
      <c r="CP272" s="106">
        <v>0</v>
      </c>
      <c r="CQ272" s="106">
        <v>0</v>
      </c>
      <c r="CR272" s="106">
        <v>0</v>
      </c>
      <c r="CS272" s="106">
        <v>0</v>
      </c>
      <c r="CT272" s="106">
        <v>0</v>
      </c>
      <c r="CU272" s="106">
        <v>0</v>
      </c>
      <c r="CV272" s="106">
        <v>0</v>
      </c>
      <c r="CW272" s="106">
        <v>0</v>
      </c>
      <c r="CX272" s="106">
        <v>0</v>
      </c>
      <c r="CY272" s="106">
        <v>0</v>
      </c>
      <c r="CZ272" s="106">
        <v>0</v>
      </c>
      <c r="DA272" s="106">
        <v>0</v>
      </c>
      <c r="DB272" s="106">
        <v>0</v>
      </c>
      <c r="DC272" s="106">
        <v>0</v>
      </c>
      <c r="DD272" s="106">
        <v>0</v>
      </c>
      <c r="DE272" s="106">
        <v>0</v>
      </c>
      <c r="DF272" s="106">
        <v>0</v>
      </c>
      <c r="DG272" s="106">
        <v>0</v>
      </c>
      <c r="DH272" s="106">
        <v>0</v>
      </c>
      <c r="DI272" s="106">
        <v>0</v>
      </c>
      <c r="DJ272" s="106">
        <v>0</v>
      </c>
      <c r="DK272" s="106">
        <v>0</v>
      </c>
      <c r="DL272" s="106">
        <v>0</v>
      </c>
      <c r="DM272" s="106">
        <v>0</v>
      </c>
      <c r="DN272" s="106">
        <v>0</v>
      </c>
      <c r="DO272" s="106">
        <v>0</v>
      </c>
      <c r="DP272" s="106">
        <v>0</v>
      </c>
      <c r="DQ272" s="106">
        <v>0</v>
      </c>
      <c r="DR272" s="106">
        <v>0</v>
      </c>
      <c r="DS272" s="106">
        <v>0</v>
      </c>
      <c r="DT272" s="106">
        <v>0</v>
      </c>
      <c r="DU272" s="106">
        <v>0</v>
      </c>
      <c r="DV272" s="106">
        <v>0</v>
      </c>
      <c r="DW272" s="106">
        <v>0</v>
      </c>
      <c r="DX272" s="106">
        <v>0</v>
      </c>
      <c r="DY272" s="106">
        <v>0</v>
      </c>
      <c r="DZ272" s="106">
        <v>0</v>
      </c>
      <c r="EA272" s="106">
        <v>0</v>
      </c>
      <c r="EB272" s="106">
        <v>0</v>
      </c>
    </row>
    <row r="273" spans="1:132" hidden="1">
      <c r="A273" t="s">
        <v>272</v>
      </c>
      <c r="B273" t="s">
        <v>218</v>
      </c>
      <c r="C273" s="117">
        <v>45413</v>
      </c>
      <c r="D273" s="106">
        <v>0</v>
      </c>
      <c r="E273" s="106">
        <v>0</v>
      </c>
      <c r="F273" s="106">
        <v>0</v>
      </c>
      <c r="G273" s="106">
        <v>0</v>
      </c>
      <c r="H273" s="106">
        <v>0</v>
      </c>
      <c r="I273" s="106">
        <v>0</v>
      </c>
      <c r="J273" s="106">
        <v>0</v>
      </c>
      <c r="K273" s="106">
        <v>0</v>
      </c>
      <c r="L273" s="106">
        <v>0</v>
      </c>
      <c r="M273" s="106">
        <v>0</v>
      </c>
      <c r="N273" s="106">
        <v>0</v>
      </c>
      <c r="O273" s="106">
        <v>0</v>
      </c>
      <c r="P273" s="106">
        <v>0</v>
      </c>
      <c r="Q273" s="106">
        <v>0</v>
      </c>
      <c r="R273" s="106">
        <v>0</v>
      </c>
      <c r="S273" s="106">
        <v>0</v>
      </c>
      <c r="T273" s="106">
        <v>0</v>
      </c>
      <c r="U273" s="106">
        <v>0</v>
      </c>
      <c r="V273" s="106">
        <v>0</v>
      </c>
      <c r="W273" s="106">
        <v>0</v>
      </c>
      <c r="X273" s="106">
        <v>0</v>
      </c>
      <c r="Y273" s="106">
        <v>0</v>
      </c>
      <c r="Z273" s="106">
        <v>0</v>
      </c>
      <c r="AA273" s="106">
        <v>0</v>
      </c>
      <c r="AB273" s="106">
        <v>0</v>
      </c>
      <c r="AC273" s="106">
        <v>0</v>
      </c>
      <c r="AD273" s="106">
        <v>0</v>
      </c>
      <c r="AE273" s="106">
        <v>0</v>
      </c>
      <c r="AF273" s="106">
        <v>0</v>
      </c>
      <c r="AG273" s="106">
        <v>0</v>
      </c>
      <c r="AH273" s="106">
        <v>0</v>
      </c>
      <c r="AI273" s="106">
        <v>0</v>
      </c>
      <c r="AJ273" s="106">
        <v>0</v>
      </c>
      <c r="AK273" s="106">
        <v>0</v>
      </c>
      <c r="AL273" s="106">
        <v>0</v>
      </c>
      <c r="AM273" s="106">
        <v>0</v>
      </c>
      <c r="AN273" s="106">
        <v>0</v>
      </c>
      <c r="AO273" s="106">
        <v>0</v>
      </c>
      <c r="AP273" s="106">
        <v>0</v>
      </c>
      <c r="AQ273" s="106">
        <v>0</v>
      </c>
      <c r="AR273" s="106">
        <v>0</v>
      </c>
      <c r="AS273" s="106">
        <v>0</v>
      </c>
      <c r="AT273" s="106">
        <v>0</v>
      </c>
      <c r="AU273" s="106">
        <v>0</v>
      </c>
      <c r="AV273" s="106">
        <v>0</v>
      </c>
      <c r="AW273" s="106">
        <v>0</v>
      </c>
      <c r="AX273" s="106">
        <v>0</v>
      </c>
      <c r="AY273" s="106">
        <v>0</v>
      </c>
      <c r="AZ273" s="106">
        <v>0</v>
      </c>
      <c r="BA273" s="106">
        <v>0</v>
      </c>
      <c r="BB273" s="106">
        <v>0</v>
      </c>
      <c r="BC273" s="106">
        <v>0</v>
      </c>
      <c r="BD273" s="106">
        <v>0</v>
      </c>
      <c r="BE273" s="106">
        <v>0</v>
      </c>
      <c r="BF273" s="106">
        <v>0</v>
      </c>
      <c r="BG273" s="106">
        <v>0</v>
      </c>
      <c r="BH273" s="106">
        <v>0</v>
      </c>
      <c r="BI273" s="106">
        <v>0</v>
      </c>
      <c r="BJ273" s="106">
        <v>0</v>
      </c>
      <c r="BK273" s="106">
        <v>0</v>
      </c>
      <c r="BL273" s="106">
        <v>0</v>
      </c>
      <c r="BM273" s="106">
        <v>0</v>
      </c>
      <c r="BN273" s="106">
        <v>0</v>
      </c>
      <c r="BO273" s="106">
        <v>0</v>
      </c>
      <c r="BP273" s="106">
        <v>0</v>
      </c>
      <c r="BQ273" s="106">
        <v>0</v>
      </c>
      <c r="BR273" s="106">
        <v>0</v>
      </c>
      <c r="BS273" s="106">
        <v>0</v>
      </c>
      <c r="BT273" s="106">
        <v>0</v>
      </c>
      <c r="BU273" s="106">
        <v>0</v>
      </c>
      <c r="BV273" s="106">
        <v>0</v>
      </c>
      <c r="BW273" s="106">
        <v>0</v>
      </c>
      <c r="BX273" s="106">
        <v>0</v>
      </c>
      <c r="BY273" s="106">
        <v>0</v>
      </c>
      <c r="BZ273" s="106">
        <v>0</v>
      </c>
      <c r="CA273" s="106">
        <v>0</v>
      </c>
      <c r="CB273" s="106">
        <v>0</v>
      </c>
      <c r="CC273" s="106">
        <v>0</v>
      </c>
      <c r="CD273" s="106">
        <v>0</v>
      </c>
      <c r="CE273" s="106">
        <v>0</v>
      </c>
      <c r="CF273" s="106">
        <v>0</v>
      </c>
      <c r="CG273" s="106">
        <v>0</v>
      </c>
      <c r="CH273" s="106">
        <v>0</v>
      </c>
      <c r="CI273" s="106">
        <v>0</v>
      </c>
      <c r="CJ273" s="106">
        <v>0</v>
      </c>
      <c r="CK273" s="106">
        <v>0</v>
      </c>
      <c r="CL273" s="106">
        <v>0</v>
      </c>
      <c r="CM273" s="106">
        <v>0</v>
      </c>
      <c r="CN273" s="106">
        <v>0</v>
      </c>
      <c r="CO273" s="106">
        <v>0</v>
      </c>
      <c r="CP273" s="106">
        <v>0</v>
      </c>
      <c r="CQ273" s="106">
        <v>0</v>
      </c>
      <c r="CR273" s="106">
        <v>0</v>
      </c>
      <c r="CS273" s="106">
        <v>0</v>
      </c>
      <c r="CT273" s="106">
        <v>0</v>
      </c>
      <c r="CU273" s="106">
        <v>0</v>
      </c>
      <c r="CV273" s="106">
        <v>0</v>
      </c>
      <c r="CW273" s="106">
        <v>0</v>
      </c>
      <c r="CX273" s="106">
        <v>0</v>
      </c>
      <c r="CY273" s="106">
        <v>0</v>
      </c>
      <c r="CZ273" s="106">
        <v>0</v>
      </c>
      <c r="DA273" s="106">
        <v>0</v>
      </c>
      <c r="DB273" s="106">
        <v>0</v>
      </c>
      <c r="DC273" s="106">
        <v>0</v>
      </c>
      <c r="DD273" s="106">
        <v>0</v>
      </c>
      <c r="DE273" s="106">
        <v>0</v>
      </c>
      <c r="DF273" s="106">
        <v>0</v>
      </c>
      <c r="DG273" s="106">
        <v>0</v>
      </c>
      <c r="DH273" s="106">
        <v>0</v>
      </c>
      <c r="DI273" s="106">
        <v>0</v>
      </c>
      <c r="DJ273" s="106">
        <v>0</v>
      </c>
      <c r="DK273" s="106">
        <v>0</v>
      </c>
      <c r="DL273" s="106">
        <v>0</v>
      </c>
      <c r="DM273" s="106">
        <v>0</v>
      </c>
      <c r="DN273" s="106">
        <v>0</v>
      </c>
      <c r="DO273" s="106">
        <v>0</v>
      </c>
      <c r="DP273" s="106">
        <v>0</v>
      </c>
      <c r="DQ273" s="106">
        <v>0</v>
      </c>
      <c r="DR273" s="106">
        <v>0</v>
      </c>
      <c r="DS273" s="106">
        <v>0</v>
      </c>
      <c r="DT273" s="106">
        <v>0</v>
      </c>
      <c r="DU273" s="106">
        <v>0</v>
      </c>
      <c r="DV273" s="106">
        <v>0</v>
      </c>
      <c r="DW273" s="106">
        <v>0</v>
      </c>
      <c r="DX273" s="106">
        <v>0</v>
      </c>
      <c r="DY273" s="106">
        <v>0</v>
      </c>
      <c r="DZ273" s="106">
        <v>0</v>
      </c>
      <c r="EA273" s="106">
        <v>0</v>
      </c>
      <c r="EB273" s="106">
        <v>0</v>
      </c>
    </row>
    <row r="274" spans="1:132" hidden="1">
      <c r="A274" t="s">
        <v>272</v>
      </c>
      <c r="B274" t="s">
        <v>218</v>
      </c>
      <c r="C274" s="117">
        <v>45383</v>
      </c>
      <c r="D274" s="106">
        <v>0</v>
      </c>
      <c r="E274" s="106">
        <v>0</v>
      </c>
      <c r="F274" s="106">
        <v>0</v>
      </c>
      <c r="G274" s="106">
        <v>0</v>
      </c>
      <c r="H274" s="106">
        <v>0</v>
      </c>
      <c r="I274" s="106">
        <v>0</v>
      </c>
      <c r="J274" s="106">
        <v>0</v>
      </c>
      <c r="K274" s="106">
        <v>0</v>
      </c>
      <c r="L274" s="106">
        <v>0</v>
      </c>
      <c r="M274" s="106">
        <v>0</v>
      </c>
      <c r="N274" s="106">
        <v>0</v>
      </c>
      <c r="O274" s="106">
        <v>0</v>
      </c>
      <c r="P274" s="106">
        <v>0</v>
      </c>
      <c r="Q274" s="106">
        <v>0</v>
      </c>
      <c r="R274" s="106">
        <v>0</v>
      </c>
      <c r="S274" s="106">
        <v>0</v>
      </c>
      <c r="T274" s="106">
        <v>0</v>
      </c>
      <c r="U274" s="106">
        <v>0</v>
      </c>
      <c r="V274" s="106">
        <v>0</v>
      </c>
      <c r="W274" s="106">
        <v>0</v>
      </c>
      <c r="X274" s="106">
        <v>0</v>
      </c>
      <c r="Y274" s="106">
        <v>0</v>
      </c>
      <c r="Z274" s="106">
        <v>0</v>
      </c>
      <c r="AA274" s="106">
        <v>0</v>
      </c>
      <c r="AB274" s="106">
        <v>0</v>
      </c>
      <c r="AC274" s="106">
        <v>0</v>
      </c>
      <c r="AD274" s="106">
        <v>0</v>
      </c>
      <c r="AE274" s="106">
        <v>0</v>
      </c>
      <c r="AF274" s="106">
        <v>0</v>
      </c>
      <c r="AG274" s="106">
        <v>0</v>
      </c>
      <c r="AH274" s="106">
        <v>0</v>
      </c>
      <c r="AI274" s="106">
        <v>0</v>
      </c>
      <c r="AJ274" s="106">
        <v>0</v>
      </c>
      <c r="AK274" s="106">
        <v>0</v>
      </c>
      <c r="AL274" s="106">
        <v>0</v>
      </c>
      <c r="AM274" s="106">
        <v>0</v>
      </c>
      <c r="AN274" s="106">
        <v>0</v>
      </c>
      <c r="AO274" s="106">
        <v>0</v>
      </c>
      <c r="AP274" s="106">
        <v>0</v>
      </c>
      <c r="AQ274" s="106">
        <v>0</v>
      </c>
      <c r="AR274" s="106">
        <v>0</v>
      </c>
      <c r="AS274" s="106">
        <v>0</v>
      </c>
      <c r="AT274" s="106">
        <v>0</v>
      </c>
      <c r="AU274" s="106">
        <v>0</v>
      </c>
      <c r="AV274" s="106">
        <v>0</v>
      </c>
      <c r="AW274" s="106">
        <v>0</v>
      </c>
      <c r="AX274" s="106">
        <v>0</v>
      </c>
      <c r="AY274" s="106">
        <v>0</v>
      </c>
      <c r="AZ274" s="106">
        <v>0</v>
      </c>
      <c r="BA274" s="106">
        <v>0</v>
      </c>
      <c r="BB274" s="106">
        <v>0</v>
      </c>
      <c r="BC274" s="106">
        <v>0</v>
      </c>
      <c r="BD274" s="106">
        <v>0</v>
      </c>
      <c r="BE274" s="106">
        <v>0</v>
      </c>
      <c r="BF274" s="106">
        <v>0</v>
      </c>
      <c r="BG274" s="106">
        <v>0</v>
      </c>
      <c r="BH274" s="106">
        <v>0</v>
      </c>
      <c r="BI274" s="106">
        <v>0</v>
      </c>
      <c r="BJ274" s="106">
        <v>0</v>
      </c>
      <c r="BK274" s="106">
        <v>0</v>
      </c>
      <c r="BL274" s="106">
        <v>0</v>
      </c>
      <c r="BM274" s="106">
        <v>0</v>
      </c>
      <c r="BN274" s="106">
        <v>0</v>
      </c>
      <c r="BO274" s="106">
        <v>0</v>
      </c>
      <c r="BP274" s="106">
        <v>0</v>
      </c>
      <c r="BQ274" s="106">
        <v>0</v>
      </c>
      <c r="BR274" s="106">
        <v>0</v>
      </c>
      <c r="BS274" s="106">
        <v>0</v>
      </c>
      <c r="BT274" s="106">
        <v>0</v>
      </c>
      <c r="BU274" s="106">
        <v>0</v>
      </c>
      <c r="BV274" s="106">
        <v>0</v>
      </c>
      <c r="BW274" s="106">
        <v>0</v>
      </c>
      <c r="BX274" s="106">
        <v>0</v>
      </c>
      <c r="BY274" s="106">
        <v>0</v>
      </c>
      <c r="BZ274" s="106">
        <v>0</v>
      </c>
      <c r="CA274" s="106">
        <v>0</v>
      </c>
      <c r="CB274" s="106">
        <v>0</v>
      </c>
      <c r="CC274" s="106">
        <v>0</v>
      </c>
      <c r="CD274" s="106">
        <v>0</v>
      </c>
      <c r="CE274" s="106">
        <v>0</v>
      </c>
      <c r="CF274" s="106">
        <v>0</v>
      </c>
      <c r="CG274" s="106">
        <v>0</v>
      </c>
      <c r="CH274" s="106">
        <v>0</v>
      </c>
      <c r="CI274" s="106">
        <v>0</v>
      </c>
      <c r="CJ274" s="106">
        <v>0</v>
      </c>
      <c r="CK274" s="106">
        <v>0</v>
      </c>
      <c r="CL274" s="106">
        <v>0</v>
      </c>
      <c r="CM274" s="106">
        <v>0</v>
      </c>
      <c r="CN274" s="106">
        <v>0</v>
      </c>
      <c r="CO274" s="106">
        <v>0</v>
      </c>
      <c r="CP274" s="106">
        <v>0</v>
      </c>
      <c r="CQ274" s="106">
        <v>0</v>
      </c>
      <c r="CR274" s="106">
        <v>0</v>
      </c>
      <c r="CS274" s="106">
        <v>0</v>
      </c>
      <c r="CT274" s="106">
        <v>0</v>
      </c>
      <c r="CU274" s="106">
        <v>0</v>
      </c>
      <c r="CV274" s="106">
        <v>0</v>
      </c>
      <c r="CW274" s="106">
        <v>0</v>
      </c>
      <c r="CX274" s="106">
        <v>0</v>
      </c>
      <c r="CY274" s="106">
        <v>0</v>
      </c>
      <c r="CZ274" s="106">
        <v>0</v>
      </c>
      <c r="DA274" s="106">
        <v>0</v>
      </c>
      <c r="DB274" s="106">
        <v>0</v>
      </c>
      <c r="DC274" s="106">
        <v>0</v>
      </c>
      <c r="DD274" s="106">
        <v>0</v>
      </c>
      <c r="DE274" s="106">
        <v>0</v>
      </c>
      <c r="DF274" s="106">
        <v>0</v>
      </c>
      <c r="DG274" s="106">
        <v>0</v>
      </c>
      <c r="DH274" s="106">
        <v>0</v>
      </c>
      <c r="DI274" s="106">
        <v>0</v>
      </c>
      <c r="DJ274" s="106">
        <v>0</v>
      </c>
      <c r="DK274" s="106">
        <v>0</v>
      </c>
      <c r="DL274" s="106">
        <v>0</v>
      </c>
      <c r="DM274" s="106">
        <v>0</v>
      </c>
      <c r="DN274" s="106">
        <v>0</v>
      </c>
      <c r="DO274" s="106">
        <v>0</v>
      </c>
      <c r="DP274" s="106">
        <v>0</v>
      </c>
      <c r="DQ274" s="106">
        <v>0</v>
      </c>
      <c r="DR274" s="106">
        <v>0</v>
      </c>
      <c r="DS274" s="106">
        <v>0</v>
      </c>
      <c r="DT274" s="106">
        <v>0</v>
      </c>
      <c r="DU274" s="106">
        <v>0</v>
      </c>
      <c r="DV274" s="106">
        <v>0</v>
      </c>
      <c r="DW274" s="106">
        <v>0</v>
      </c>
      <c r="DX274" s="106">
        <v>0</v>
      </c>
      <c r="DY274" s="106">
        <v>0</v>
      </c>
      <c r="DZ274" s="106">
        <v>0</v>
      </c>
      <c r="EA274" s="106">
        <v>0</v>
      </c>
      <c r="EB274" s="106">
        <v>0</v>
      </c>
    </row>
    <row r="275" spans="1:132" hidden="1">
      <c r="A275" t="s">
        <v>272</v>
      </c>
      <c r="B275" t="s">
        <v>218</v>
      </c>
      <c r="C275" s="117">
        <v>45352</v>
      </c>
      <c r="D275" s="106">
        <v>0</v>
      </c>
      <c r="E275" s="106">
        <v>0</v>
      </c>
      <c r="F275" s="106">
        <v>0</v>
      </c>
      <c r="G275" s="106">
        <v>0</v>
      </c>
      <c r="H275" s="106">
        <v>0</v>
      </c>
      <c r="I275" s="106">
        <v>0</v>
      </c>
      <c r="J275" s="106">
        <v>0</v>
      </c>
      <c r="K275" s="106">
        <v>0</v>
      </c>
      <c r="L275" s="106">
        <v>0</v>
      </c>
      <c r="M275" s="106">
        <v>0</v>
      </c>
      <c r="N275" s="106">
        <v>0</v>
      </c>
      <c r="O275" s="106">
        <v>0</v>
      </c>
      <c r="P275" s="106">
        <v>0</v>
      </c>
      <c r="Q275" s="106">
        <v>0</v>
      </c>
      <c r="R275" s="106">
        <v>0</v>
      </c>
      <c r="S275" s="106">
        <v>0</v>
      </c>
      <c r="T275" s="106">
        <v>0</v>
      </c>
      <c r="U275" s="106">
        <v>0</v>
      </c>
      <c r="V275" s="106">
        <v>0</v>
      </c>
      <c r="W275" s="106">
        <v>0</v>
      </c>
      <c r="X275" s="106">
        <v>0</v>
      </c>
      <c r="Y275" s="106">
        <v>0</v>
      </c>
      <c r="Z275" s="106">
        <v>0</v>
      </c>
      <c r="AA275" s="106">
        <v>0</v>
      </c>
      <c r="AB275" s="106">
        <v>0</v>
      </c>
      <c r="AC275" s="106">
        <v>0</v>
      </c>
      <c r="AD275" s="106">
        <v>0</v>
      </c>
      <c r="AE275" s="106">
        <v>0</v>
      </c>
      <c r="AF275" s="106">
        <v>0</v>
      </c>
      <c r="AG275" s="106">
        <v>0</v>
      </c>
      <c r="AH275" s="106">
        <v>0</v>
      </c>
      <c r="AI275" s="106">
        <v>0</v>
      </c>
      <c r="AJ275" s="106">
        <v>0</v>
      </c>
      <c r="AK275" s="106">
        <v>0</v>
      </c>
      <c r="AL275" s="106">
        <v>0</v>
      </c>
      <c r="AM275" s="106">
        <v>0</v>
      </c>
      <c r="AN275" s="106">
        <v>0</v>
      </c>
      <c r="AO275" s="106">
        <v>0</v>
      </c>
      <c r="AP275" s="106">
        <v>0</v>
      </c>
      <c r="AQ275" s="106">
        <v>0</v>
      </c>
      <c r="AR275" s="106">
        <v>0</v>
      </c>
      <c r="AS275" s="106">
        <v>0</v>
      </c>
      <c r="AT275" s="106">
        <v>0</v>
      </c>
      <c r="AU275" s="106">
        <v>0</v>
      </c>
      <c r="AV275" s="106">
        <v>0</v>
      </c>
      <c r="AW275" s="106">
        <v>0</v>
      </c>
      <c r="AX275" s="106">
        <v>0</v>
      </c>
      <c r="AY275" s="106">
        <v>0</v>
      </c>
      <c r="AZ275" s="106">
        <v>0</v>
      </c>
      <c r="BA275" s="106">
        <v>0</v>
      </c>
      <c r="BB275" s="106">
        <v>0</v>
      </c>
      <c r="BC275" s="106">
        <v>0</v>
      </c>
      <c r="BD275" s="106">
        <v>0</v>
      </c>
      <c r="BE275" s="106">
        <v>0</v>
      </c>
      <c r="BF275" s="106">
        <v>0</v>
      </c>
      <c r="BG275" s="106">
        <v>0</v>
      </c>
      <c r="BH275" s="106">
        <v>0</v>
      </c>
      <c r="BI275" s="106">
        <v>0</v>
      </c>
      <c r="BJ275" s="106">
        <v>0</v>
      </c>
      <c r="BK275" s="106">
        <v>0</v>
      </c>
      <c r="BL275" s="106">
        <v>0</v>
      </c>
      <c r="BM275" s="106">
        <v>0</v>
      </c>
      <c r="BN275" s="106">
        <v>0</v>
      </c>
      <c r="BO275" s="106">
        <v>0</v>
      </c>
      <c r="BP275" s="106">
        <v>0</v>
      </c>
      <c r="BQ275" s="106">
        <v>0</v>
      </c>
      <c r="BR275" s="106">
        <v>0</v>
      </c>
      <c r="BS275" s="106">
        <v>0</v>
      </c>
      <c r="BT275" s="106">
        <v>0</v>
      </c>
      <c r="BU275" s="106">
        <v>0</v>
      </c>
      <c r="BV275" s="106">
        <v>0</v>
      </c>
      <c r="BW275" s="106">
        <v>0</v>
      </c>
      <c r="BX275" s="106">
        <v>0</v>
      </c>
      <c r="BY275" s="106">
        <v>0</v>
      </c>
      <c r="BZ275" s="106">
        <v>0</v>
      </c>
      <c r="CA275" s="106">
        <v>0</v>
      </c>
      <c r="CB275" s="106">
        <v>0</v>
      </c>
      <c r="CC275" s="106">
        <v>0</v>
      </c>
      <c r="CD275" s="106">
        <v>0</v>
      </c>
      <c r="CE275" s="106">
        <v>0</v>
      </c>
      <c r="CF275" s="106">
        <v>0</v>
      </c>
      <c r="CG275" s="106">
        <v>0</v>
      </c>
      <c r="CH275" s="106">
        <v>0</v>
      </c>
      <c r="CI275" s="106">
        <v>0</v>
      </c>
      <c r="CJ275" s="106">
        <v>0</v>
      </c>
      <c r="CK275" s="106">
        <v>0</v>
      </c>
      <c r="CL275" s="106">
        <v>0</v>
      </c>
      <c r="CM275" s="106">
        <v>0</v>
      </c>
      <c r="CN275" s="106">
        <v>0</v>
      </c>
      <c r="CO275" s="106">
        <v>0</v>
      </c>
      <c r="CP275" s="106">
        <v>0</v>
      </c>
      <c r="CQ275" s="106">
        <v>0</v>
      </c>
      <c r="CR275" s="106">
        <v>0</v>
      </c>
      <c r="CS275" s="106">
        <v>0</v>
      </c>
      <c r="CT275" s="106">
        <v>0</v>
      </c>
      <c r="CU275" s="106">
        <v>0</v>
      </c>
      <c r="CV275" s="106">
        <v>0</v>
      </c>
      <c r="CW275" s="106">
        <v>0</v>
      </c>
      <c r="CX275" s="106">
        <v>0</v>
      </c>
      <c r="CY275" s="106">
        <v>0</v>
      </c>
      <c r="CZ275" s="106">
        <v>0</v>
      </c>
      <c r="DA275" s="106">
        <v>0</v>
      </c>
      <c r="DB275" s="106">
        <v>0</v>
      </c>
      <c r="DC275" s="106">
        <v>0</v>
      </c>
      <c r="DD275" s="106">
        <v>0</v>
      </c>
      <c r="DE275" s="106">
        <v>0</v>
      </c>
      <c r="DF275" s="106">
        <v>0</v>
      </c>
      <c r="DG275" s="106">
        <v>0</v>
      </c>
      <c r="DH275" s="106">
        <v>0</v>
      </c>
      <c r="DI275" s="106">
        <v>0</v>
      </c>
      <c r="DJ275" s="106">
        <v>0</v>
      </c>
      <c r="DK275" s="106">
        <v>0</v>
      </c>
      <c r="DL275" s="106">
        <v>0</v>
      </c>
      <c r="DM275" s="106">
        <v>0</v>
      </c>
      <c r="DN275" s="106">
        <v>0</v>
      </c>
      <c r="DO275" s="106">
        <v>0</v>
      </c>
      <c r="DP275" s="106">
        <v>0</v>
      </c>
      <c r="DQ275" s="106">
        <v>0</v>
      </c>
      <c r="DR275" s="106">
        <v>0</v>
      </c>
      <c r="DS275" s="106">
        <v>0</v>
      </c>
      <c r="DT275" s="106">
        <v>0</v>
      </c>
      <c r="DU275" s="106">
        <v>0</v>
      </c>
      <c r="DV275" s="106">
        <v>0</v>
      </c>
      <c r="DW275" s="106">
        <v>0</v>
      </c>
      <c r="DX275" s="106">
        <v>0</v>
      </c>
      <c r="DY275" s="106">
        <v>0</v>
      </c>
      <c r="DZ275" s="106">
        <v>0</v>
      </c>
      <c r="EA275" s="106">
        <v>0</v>
      </c>
      <c r="EB275" s="106">
        <v>0</v>
      </c>
    </row>
    <row r="276" spans="1:132" hidden="1">
      <c r="A276" t="s">
        <v>272</v>
      </c>
      <c r="B276" t="s">
        <v>218</v>
      </c>
      <c r="C276" s="117">
        <v>45323</v>
      </c>
      <c r="D276" s="106">
        <v>0</v>
      </c>
      <c r="E276" s="106">
        <v>0</v>
      </c>
      <c r="F276" s="106">
        <v>0</v>
      </c>
      <c r="G276" s="106">
        <v>0</v>
      </c>
      <c r="H276" s="106">
        <v>0</v>
      </c>
      <c r="I276" s="106">
        <v>0</v>
      </c>
      <c r="J276" s="106">
        <v>0</v>
      </c>
      <c r="K276" s="106">
        <v>0</v>
      </c>
      <c r="L276" s="106">
        <v>0</v>
      </c>
      <c r="M276" s="106">
        <v>0</v>
      </c>
      <c r="N276" s="106">
        <v>0</v>
      </c>
      <c r="O276" s="106">
        <v>0</v>
      </c>
      <c r="P276" s="106">
        <v>0</v>
      </c>
      <c r="Q276" s="106">
        <v>0</v>
      </c>
      <c r="R276" s="106">
        <v>0</v>
      </c>
      <c r="S276" s="106">
        <v>0</v>
      </c>
      <c r="T276" s="106">
        <v>0</v>
      </c>
      <c r="U276" s="106">
        <v>0</v>
      </c>
      <c r="V276" s="106">
        <v>0</v>
      </c>
      <c r="W276" s="106">
        <v>0</v>
      </c>
      <c r="X276" s="106">
        <v>0</v>
      </c>
      <c r="Y276" s="106">
        <v>0</v>
      </c>
      <c r="Z276" s="106">
        <v>0</v>
      </c>
      <c r="AA276" s="106">
        <v>0</v>
      </c>
      <c r="AB276" s="106">
        <v>0</v>
      </c>
      <c r="AC276" s="106">
        <v>0</v>
      </c>
      <c r="AD276" s="106">
        <v>0</v>
      </c>
      <c r="AE276" s="106">
        <v>0</v>
      </c>
      <c r="AF276" s="106">
        <v>0</v>
      </c>
      <c r="AG276" s="106">
        <v>0</v>
      </c>
      <c r="AH276" s="106">
        <v>0</v>
      </c>
      <c r="AI276" s="106">
        <v>0</v>
      </c>
      <c r="AJ276" s="106">
        <v>0</v>
      </c>
      <c r="AK276" s="106">
        <v>0</v>
      </c>
      <c r="AL276" s="106">
        <v>0</v>
      </c>
      <c r="AM276" s="106">
        <v>0</v>
      </c>
      <c r="AN276" s="106">
        <v>0</v>
      </c>
      <c r="AO276" s="106">
        <v>0</v>
      </c>
      <c r="AP276" s="106">
        <v>0</v>
      </c>
      <c r="AQ276" s="106">
        <v>0</v>
      </c>
      <c r="AR276" s="106">
        <v>0</v>
      </c>
      <c r="AS276" s="106">
        <v>0</v>
      </c>
      <c r="AT276" s="106">
        <v>0</v>
      </c>
      <c r="AU276" s="106">
        <v>0</v>
      </c>
      <c r="AV276" s="106">
        <v>0</v>
      </c>
      <c r="AW276" s="106">
        <v>0</v>
      </c>
      <c r="AX276" s="106">
        <v>0</v>
      </c>
      <c r="AY276" s="106">
        <v>0</v>
      </c>
      <c r="AZ276" s="106">
        <v>0</v>
      </c>
      <c r="BA276" s="106">
        <v>0</v>
      </c>
      <c r="BB276" s="106">
        <v>0</v>
      </c>
      <c r="BC276" s="106">
        <v>0</v>
      </c>
      <c r="BD276" s="106">
        <v>0</v>
      </c>
      <c r="BE276" s="106">
        <v>0</v>
      </c>
      <c r="BF276" s="106">
        <v>0</v>
      </c>
      <c r="BG276" s="106">
        <v>0</v>
      </c>
      <c r="BH276" s="106">
        <v>0</v>
      </c>
      <c r="BI276" s="106">
        <v>0</v>
      </c>
      <c r="BJ276" s="106">
        <v>0</v>
      </c>
      <c r="BK276" s="106">
        <v>0</v>
      </c>
      <c r="BL276" s="106">
        <v>0</v>
      </c>
      <c r="BM276" s="106">
        <v>0</v>
      </c>
      <c r="BN276" s="106">
        <v>0</v>
      </c>
      <c r="BO276" s="106">
        <v>0</v>
      </c>
      <c r="BP276" s="106">
        <v>0</v>
      </c>
      <c r="BQ276" s="106">
        <v>0</v>
      </c>
      <c r="BR276" s="106">
        <v>0</v>
      </c>
      <c r="BS276" s="106">
        <v>0</v>
      </c>
      <c r="BT276" s="106">
        <v>0</v>
      </c>
      <c r="BU276" s="106">
        <v>0</v>
      </c>
      <c r="BV276" s="106">
        <v>0</v>
      </c>
      <c r="BW276" s="106">
        <v>0</v>
      </c>
      <c r="BX276" s="106">
        <v>0</v>
      </c>
      <c r="BY276" s="106">
        <v>0</v>
      </c>
      <c r="BZ276" s="106">
        <v>0</v>
      </c>
      <c r="CA276" s="106">
        <v>0</v>
      </c>
      <c r="CB276" s="106">
        <v>0</v>
      </c>
      <c r="CC276" s="106">
        <v>0</v>
      </c>
      <c r="CD276" s="106">
        <v>0</v>
      </c>
      <c r="CE276" s="106">
        <v>0</v>
      </c>
      <c r="CF276" s="106">
        <v>0</v>
      </c>
      <c r="CG276" s="106">
        <v>0</v>
      </c>
      <c r="CH276" s="106">
        <v>0</v>
      </c>
      <c r="CI276" s="106">
        <v>0</v>
      </c>
      <c r="CJ276" s="106">
        <v>0</v>
      </c>
      <c r="CK276" s="106">
        <v>0</v>
      </c>
      <c r="CL276" s="106">
        <v>0</v>
      </c>
      <c r="CM276" s="106">
        <v>0</v>
      </c>
      <c r="CN276" s="106">
        <v>0</v>
      </c>
      <c r="CO276" s="106">
        <v>0</v>
      </c>
      <c r="CP276" s="106">
        <v>0</v>
      </c>
      <c r="CQ276" s="106">
        <v>0</v>
      </c>
      <c r="CR276" s="106">
        <v>0</v>
      </c>
      <c r="CS276" s="106">
        <v>0</v>
      </c>
      <c r="CT276" s="106">
        <v>0</v>
      </c>
      <c r="CU276" s="106">
        <v>0</v>
      </c>
      <c r="CV276" s="106">
        <v>0</v>
      </c>
      <c r="CW276" s="106">
        <v>0</v>
      </c>
      <c r="CX276" s="106">
        <v>0</v>
      </c>
      <c r="CY276" s="106">
        <v>0</v>
      </c>
      <c r="CZ276" s="106">
        <v>0</v>
      </c>
      <c r="DA276" s="106">
        <v>0</v>
      </c>
      <c r="DB276" s="106">
        <v>0</v>
      </c>
      <c r="DC276" s="106">
        <v>0</v>
      </c>
      <c r="DD276" s="106">
        <v>0</v>
      </c>
      <c r="DE276" s="106">
        <v>0</v>
      </c>
      <c r="DF276" s="106">
        <v>0</v>
      </c>
      <c r="DG276" s="106">
        <v>0</v>
      </c>
      <c r="DH276" s="106">
        <v>0</v>
      </c>
      <c r="DI276" s="106">
        <v>0</v>
      </c>
      <c r="DJ276" s="106">
        <v>0</v>
      </c>
      <c r="DK276" s="106">
        <v>0</v>
      </c>
      <c r="DL276" s="106">
        <v>0</v>
      </c>
      <c r="DM276" s="106">
        <v>0</v>
      </c>
      <c r="DN276" s="106">
        <v>0</v>
      </c>
      <c r="DO276" s="106">
        <v>0</v>
      </c>
      <c r="DP276" s="106">
        <v>0</v>
      </c>
      <c r="DQ276" s="106">
        <v>0</v>
      </c>
      <c r="DR276" s="106">
        <v>0</v>
      </c>
      <c r="DS276" s="106">
        <v>0</v>
      </c>
      <c r="DT276" s="106">
        <v>0</v>
      </c>
      <c r="DU276" s="106">
        <v>0</v>
      </c>
      <c r="DV276" s="106">
        <v>0</v>
      </c>
      <c r="DW276" s="106">
        <v>0</v>
      </c>
      <c r="DX276" s="106">
        <v>0</v>
      </c>
      <c r="DY276" s="106">
        <v>0</v>
      </c>
      <c r="DZ276" s="106">
        <v>0</v>
      </c>
      <c r="EA276" s="106">
        <v>0</v>
      </c>
      <c r="EB276" s="106">
        <v>0</v>
      </c>
    </row>
    <row r="277" spans="1:132" hidden="1">
      <c r="A277" t="s">
        <v>272</v>
      </c>
      <c r="B277" t="s">
        <v>218</v>
      </c>
      <c r="C277" s="117">
        <v>45292</v>
      </c>
      <c r="D277" s="106">
        <v>0</v>
      </c>
      <c r="E277" s="106">
        <v>0</v>
      </c>
      <c r="F277" s="106">
        <v>0</v>
      </c>
      <c r="G277" s="106">
        <v>0</v>
      </c>
      <c r="H277" s="106">
        <v>0</v>
      </c>
      <c r="I277" s="106">
        <v>0</v>
      </c>
      <c r="J277" s="106">
        <v>0</v>
      </c>
      <c r="K277" s="106">
        <v>0</v>
      </c>
      <c r="L277" s="106">
        <v>0</v>
      </c>
      <c r="M277" s="106">
        <v>0</v>
      </c>
      <c r="N277" s="106">
        <v>0</v>
      </c>
      <c r="O277" s="106">
        <v>0</v>
      </c>
      <c r="P277" s="106">
        <v>0</v>
      </c>
      <c r="Q277" s="106">
        <v>0</v>
      </c>
      <c r="R277" s="106">
        <v>0</v>
      </c>
      <c r="S277" s="106">
        <v>0</v>
      </c>
      <c r="T277" s="106">
        <v>0</v>
      </c>
      <c r="U277" s="106">
        <v>0</v>
      </c>
      <c r="V277" s="106">
        <v>0</v>
      </c>
      <c r="W277" s="106">
        <v>0</v>
      </c>
      <c r="X277" s="106">
        <v>0</v>
      </c>
      <c r="Y277" s="106">
        <v>0</v>
      </c>
      <c r="Z277" s="106">
        <v>0</v>
      </c>
      <c r="AA277" s="106">
        <v>0</v>
      </c>
      <c r="AB277" s="106">
        <v>0</v>
      </c>
      <c r="AC277" s="106">
        <v>0</v>
      </c>
      <c r="AD277" s="106">
        <v>0</v>
      </c>
      <c r="AE277" s="106">
        <v>0</v>
      </c>
      <c r="AF277" s="106">
        <v>0</v>
      </c>
      <c r="AG277" s="106">
        <v>0</v>
      </c>
      <c r="AH277" s="106">
        <v>0</v>
      </c>
      <c r="AI277" s="106">
        <v>0</v>
      </c>
      <c r="AJ277" s="106">
        <v>0</v>
      </c>
      <c r="AK277" s="106">
        <v>0</v>
      </c>
      <c r="AL277" s="106">
        <v>0</v>
      </c>
      <c r="AM277" s="106">
        <v>0</v>
      </c>
      <c r="AN277" s="106">
        <v>0</v>
      </c>
      <c r="AO277" s="106">
        <v>0</v>
      </c>
      <c r="AP277" s="106">
        <v>0</v>
      </c>
      <c r="AQ277" s="106">
        <v>0</v>
      </c>
      <c r="AR277" s="106">
        <v>0</v>
      </c>
      <c r="AS277" s="106">
        <v>0</v>
      </c>
      <c r="AT277" s="106">
        <v>0</v>
      </c>
      <c r="AU277" s="106">
        <v>0</v>
      </c>
      <c r="AV277" s="106">
        <v>0</v>
      </c>
      <c r="AW277" s="106">
        <v>0</v>
      </c>
      <c r="AX277" s="106">
        <v>0</v>
      </c>
      <c r="AY277" s="106">
        <v>0</v>
      </c>
      <c r="AZ277" s="106">
        <v>0</v>
      </c>
      <c r="BA277" s="106">
        <v>0</v>
      </c>
      <c r="BB277" s="106">
        <v>0</v>
      </c>
      <c r="BC277" s="106">
        <v>0</v>
      </c>
      <c r="BD277" s="106">
        <v>0</v>
      </c>
      <c r="BE277" s="106">
        <v>0</v>
      </c>
      <c r="BF277" s="106">
        <v>0</v>
      </c>
      <c r="BG277" s="106">
        <v>0</v>
      </c>
      <c r="BH277" s="106">
        <v>0</v>
      </c>
      <c r="BI277" s="106">
        <v>0</v>
      </c>
      <c r="BJ277" s="106">
        <v>0</v>
      </c>
      <c r="BK277" s="106">
        <v>0</v>
      </c>
      <c r="BL277" s="106">
        <v>0</v>
      </c>
      <c r="BM277" s="106">
        <v>0</v>
      </c>
      <c r="BN277" s="106">
        <v>0</v>
      </c>
      <c r="BO277" s="106">
        <v>0</v>
      </c>
      <c r="BP277" s="106">
        <v>0</v>
      </c>
      <c r="BQ277" s="106">
        <v>0</v>
      </c>
      <c r="BR277" s="106">
        <v>0</v>
      </c>
      <c r="BS277" s="106">
        <v>0</v>
      </c>
      <c r="BT277" s="106">
        <v>0</v>
      </c>
      <c r="BU277" s="106">
        <v>0</v>
      </c>
      <c r="BV277" s="106">
        <v>0</v>
      </c>
      <c r="BW277" s="106">
        <v>0</v>
      </c>
      <c r="BX277" s="106">
        <v>0</v>
      </c>
      <c r="BY277" s="106">
        <v>0</v>
      </c>
      <c r="BZ277" s="106">
        <v>0</v>
      </c>
      <c r="CA277" s="106">
        <v>0</v>
      </c>
      <c r="CB277" s="106">
        <v>0</v>
      </c>
      <c r="CC277" s="106">
        <v>0</v>
      </c>
      <c r="CD277" s="106">
        <v>0</v>
      </c>
      <c r="CE277" s="106">
        <v>0</v>
      </c>
      <c r="CF277" s="106">
        <v>0</v>
      </c>
      <c r="CG277" s="106">
        <v>0</v>
      </c>
      <c r="CH277" s="106">
        <v>0</v>
      </c>
      <c r="CI277" s="106">
        <v>0</v>
      </c>
      <c r="CJ277" s="106">
        <v>0</v>
      </c>
      <c r="CK277" s="106">
        <v>0</v>
      </c>
      <c r="CL277" s="106">
        <v>0</v>
      </c>
      <c r="CM277" s="106">
        <v>0</v>
      </c>
      <c r="CN277" s="106">
        <v>0</v>
      </c>
      <c r="CO277" s="106">
        <v>0</v>
      </c>
      <c r="CP277" s="106">
        <v>0</v>
      </c>
      <c r="CQ277" s="106">
        <v>0</v>
      </c>
      <c r="CR277" s="106">
        <v>0</v>
      </c>
      <c r="CS277" s="106">
        <v>0</v>
      </c>
      <c r="CT277" s="106">
        <v>0</v>
      </c>
      <c r="CU277" s="106">
        <v>0</v>
      </c>
      <c r="CV277" s="106">
        <v>0</v>
      </c>
      <c r="CW277" s="106">
        <v>0</v>
      </c>
      <c r="CX277" s="106">
        <v>0</v>
      </c>
      <c r="CY277" s="106">
        <v>0</v>
      </c>
      <c r="CZ277" s="106">
        <v>0</v>
      </c>
      <c r="DA277" s="106">
        <v>0</v>
      </c>
      <c r="DB277" s="106">
        <v>0</v>
      </c>
      <c r="DC277" s="106">
        <v>0</v>
      </c>
      <c r="DD277" s="106">
        <v>0</v>
      </c>
      <c r="DE277" s="106">
        <v>0</v>
      </c>
      <c r="DF277" s="106">
        <v>0</v>
      </c>
      <c r="DG277" s="106">
        <v>0</v>
      </c>
      <c r="DH277" s="106">
        <v>0</v>
      </c>
      <c r="DI277" s="106">
        <v>0</v>
      </c>
      <c r="DJ277" s="106">
        <v>0</v>
      </c>
      <c r="DK277" s="106">
        <v>0</v>
      </c>
      <c r="DL277" s="106">
        <v>0</v>
      </c>
      <c r="DM277" s="106">
        <v>0</v>
      </c>
      <c r="DN277" s="106">
        <v>0</v>
      </c>
      <c r="DO277" s="106">
        <v>0</v>
      </c>
      <c r="DP277" s="106">
        <v>0</v>
      </c>
      <c r="DQ277" s="106">
        <v>0</v>
      </c>
      <c r="DR277" s="106">
        <v>0</v>
      </c>
      <c r="DS277" s="106">
        <v>0</v>
      </c>
      <c r="DT277" s="106">
        <v>0</v>
      </c>
      <c r="DU277" s="106">
        <v>0</v>
      </c>
      <c r="DV277" s="106">
        <v>0</v>
      </c>
      <c r="DW277" s="106">
        <v>0</v>
      </c>
      <c r="DX277" s="106">
        <v>0</v>
      </c>
      <c r="DY277" s="106">
        <v>0</v>
      </c>
      <c r="DZ277" s="106">
        <v>0</v>
      </c>
      <c r="EA277" s="106">
        <v>0</v>
      </c>
      <c r="EB277" s="106">
        <v>0</v>
      </c>
    </row>
    <row r="278" spans="1:132" hidden="1">
      <c r="A278" t="s">
        <v>272</v>
      </c>
      <c r="B278" t="s">
        <v>218</v>
      </c>
      <c r="C278" s="117">
        <v>45261</v>
      </c>
      <c r="D278" s="106">
        <v>0</v>
      </c>
      <c r="E278" s="106">
        <v>0</v>
      </c>
      <c r="F278" s="106">
        <v>0</v>
      </c>
      <c r="G278" s="106">
        <v>0</v>
      </c>
      <c r="H278" s="106">
        <v>0</v>
      </c>
      <c r="I278" s="106">
        <v>0</v>
      </c>
      <c r="J278" s="106">
        <v>0</v>
      </c>
      <c r="K278" s="106">
        <v>0</v>
      </c>
      <c r="L278" s="106">
        <v>0</v>
      </c>
      <c r="M278" s="106">
        <v>0</v>
      </c>
      <c r="N278" s="106">
        <v>0</v>
      </c>
      <c r="O278" s="106">
        <v>0</v>
      </c>
      <c r="P278" s="106">
        <v>0</v>
      </c>
      <c r="Q278" s="106">
        <v>0</v>
      </c>
      <c r="R278" s="106">
        <v>0</v>
      </c>
      <c r="S278" s="106">
        <v>0</v>
      </c>
      <c r="T278" s="106">
        <v>0</v>
      </c>
      <c r="U278" s="106">
        <v>0</v>
      </c>
      <c r="V278" s="106">
        <v>0</v>
      </c>
      <c r="W278" s="106">
        <v>0</v>
      </c>
      <c r="X278" s="106">
        <v>0</v>
      </c>
      <c r="Y278" s="106">
        <v>0</v>
      </c>
      <c r="Z278" s="106">
        <v>0</v>
      </c>
      <c r="AA278" s="106">
        <v>0</v>
      </c>
      <c r="AB278" s="106">
        <v>0</v>
      </c>
      <c r="AC278" s="106">
        <v>0</v>
      </c>
      <c r="AD278" s="106">
        <v>0</v>
      </c>
      <c r="AE278" s="106">
        <v>0</v>
      </c>
      <c r="AF278" s="106">
        <v>0</v>
      </c>
      <c r="AG278" s="106">
        <v>0</v>
      </c>
      <c r="AH278" s="106">
        <v>0</v>
      </c>
      <c r="AI278" s="106">
        <v>0</v>
      </c>
      <c r="AJ278" s="106">
        <v>0</v>
      </c>
      <c r="AK278" s="106">
        <v>0</v>
      </c>
      <c r="AL278" s="106">
        <v>0</v>
      </c>
      <c r="AM278" s="106">
        <v>0</v>
      </c>
      <c r="AN278" s="106">
        <v>0</v>
      </c>
      <c r="AO278" s="106">
        <v>0</v>
      </c>
      <c r="AP278" s="106">
        <v>0</v>
      </c>
      <c r="AQ278" s="106">
        <v>0</v>
      </c>
      <c r="AR278" s="106">
        <v>0</v>
      </c>
      <c r="AS278" s="106">
        <v>0</v>
      </c>
      <c r="AT278" s="106">
        <v>0</v>
      </c>
      <c r="AU278" s="106">
        <v>0</v>
      </c>
      <c r="AV278" s="106">
        <v>0</v>
      </c>
      <c r="AW278" s="106">
        <v>0</v>
      </c>
      <c r="AX278" s="106">
        <v>0</v>
      </c>
      <c r="AY278" s="106">
        <v>0</v>
      </c>
      <c r="AZ278" s="106">
        <v>0</v>
      </c>
      <c r="BA278" s="106">
        <v>0</v>
      </c>
      <c r="BB278" s="106">
        <v>0</v>
      </c>
      <c r="BC278" s="106">
        <v>0</v>
      </c>
      <c r="BD278" s="106">
        <v>0</v>
      </c>
      <c r="BE278" s="106">
        <v>0</v>
      </c>
      <c r="BF278" s="106">
        <v>0</v>
      </c>
      <c r="BG278" s="106">
        <v>0</v>
      </c>
      <c r="BH278" s="106">
        <v>0</v>
      </c>
      <c r="BI278" s="106">
        <v>0</v>
      </c>
      <c r="BJ278" s="106">
        <v>0</v>
      </c>
      <c r="BK278" s="106">
        <v>0</v>
      </c>
      <c r="BL278" s="106">
        <v>0</v>
      </c>
      <c r="BM278" s="106">
        <v>0</v>
      </c>
      <c r="BN278" s="106">
        <v>0</v>
      </c>
      <c r="BO278" s="106">
        <v>0</v>
      </c>
      <c r="BP278" s="106">
        <v>0</v>
      </c>
      <c r="BQ278" s="106">
        <v>0</v>
      </c>
      <c r="BR278" s="106">
        <v>0</v>
      </c>
      <c r="BS278" s="106">
        <v>0</v>
      </c>
      <c r="BT278" s="106">
        <v>0</v>
      </c>
      <c r="BU278" s="106">
        <v>0</v>
      </c>
      <c r="BV278" s="106">
        <v>0</v>
      </c>
      <c r="BW278" s="106">
        <v>0</v>
      </c>
      <c r="BX278" s="106">
        <v>0</v>
      </c>
      <c r="BY278" s="106">
        <v>0</v>
      </c>
      <c r="BZ278" s="106">
        <v>0</v>
      </c>
      <c r="CA278" s="106">
        <v>0</v>
      </c>
      <c r="CB278" s="106">
        <v>0</v>
      </c>
      <c r="CC278" s="106">
        <v>0</v>
      </c>
      <c r="CD278" s="106">
        <v>0</v>
      </c>
      <c r="CE278" s="106">
        <v>0</v>
      </c>
      <c r="CF278" s="106">
        <v>0</v>
      </c>
      <c r="CG278" s="106">
        <v>0</v>
      </c>
      <c r="CH278" s="106">
        <v>0</v>
      </c>
      <c r="CI278" s="106">
        <v>0</v>
      </c>
      <c r="CJ278" s="106">
        <v>0</v>
      </c>
      <c r="CK278" s="106">
        <v>0</v>
      </c>
      <c r="CL278" s="106">
        <v>0</v>
      </c>
      <c r="CM278" s="106">
        <v>0</v>
      </c>
      <c r="CN278" s="106">
        <v>0</v>
      </c>
      <c r="CO278" s="106">
        <v>0</v>
      </c>
      <c r="CP278" s="106">
        <v>0</v>
      </c>
      <c r="CQ278" s="106">
        <v>0</v>
      </c>
      <c r="CR278" s="106">
        <v>0</v>
      </c>
      <c r="CS278" s="106">
        <v>0</v>
      </c>
      <c r="CT278" s="106">
        <v>0</v>
      </c>
      <c r="CU278" s="106">
        <v>0</v>
      </c>
      <c r="CV278" s="106">
        <v>0</v>
      </c>
      <c r="CW278" s="106">
        <v>0</v>
      </c>
      <c r="CX278" s="106">
        <v>0</v>
      </c>
      <c r="CY278" s="106">
        <v>0</v>
      </c>
      <c r="CZ278" s="106">
        <v>0</v>
      </c>
      <c r="DA278" s="106">
        <v>0</v>
      </c>
      <c r="DB278" s="106">
        <v>0</v>
      </c>
      <c r="DC278" s="106">
        <v>0</v>
      </c>
      <c r="DD278" s="106">
        <v>0</v>
      </c>
      <c r="DE278" s="106">
        <v>0</v>
      </c>
      <c r="DF278" s="106">
        <v>0</v>
      </c>
      <c r="DG278" s="106">
        <v>0</v>
      </c>
      <c r="DH278" s="106">
        <v>0</v>
      </c>
      <c r="DI278" s="106">
        <v>0</v>
      </c>
      <c r="DJ278" s="106">
        <v>0</v>
      </c>
      <c r="DK278" s="106">
        <v>0</v>
      </c>
      <c r="DL278" s="106">
        <v>0</v>
      </c>
      <c r="DM278" s="106">
        <v>0</v>
      </c>
      <c r="DN278" s="106">
        <v>0</v>
      </c>
      <c r="DO278" s="106">
        <v>0</v>
      </c>
      <c r="DP278" s="106">
        <v>0</v>
      </c>
      <c r="DQ278" s="106">
        <v>0</v>
      </c>
      <c r="DR278" s="106">
        <v>0</v>
      </c>
      <c r="DS278" s="106">
        <v>0</v>
      </c>
      <c r="DT278" s="106">
        <v>0</v>
      </c>
      <c r="DU278" s="106">
        <v>0</v>
      </c>
      <c r="DV278" s="106">
        <v>0</v>
      </c>
      <c r="DW278" s="106">
        <v>0</v>
      </c>
      <c r="DX278" s="106">
        <v>0</v>
      </c>
      <c r="DY278" s="106">
        <v>0</v>
      </c>
      <c r="DZ278" s="106">
        <v>0</v>
      </c>
      <c r="EA278" s="106">
        <v>0</v>
      </c>
      <c r="EB278" s="106">
        <v>0</v>
      </c>
    </row>
    <row r="279" spans="1:132" hidden="1">
      <c r="A279" t="s">
        <v>272</v>
      </c>
      <c r="B279" t="s">
        <v>218</v>
      </c>
      <c r="C279" s="117">
        <v>45231</v>
      </c>
      <c r="D279" s="106">
        <v>0</v>
      </c>
      <c r="E279" s="106">
        <v>0</v>
      </c>
      <c r="F279" s="106">
        <v>0</v>
      </c>
      <c r="G279" s="106">
        <v>0</v>
      </c>
      <c r="H279" s="106">
        <v>0</v>
      </c>
      <c r="I279" s="106">
        <v>0</v>
      </c>
      <c r="J279" s="106">
        <v>0</v>
      </c>
      <c r="K279" s="106">
        <v>0</v>
      </c>
      <c r="L279" s="106">
        <v>0</v>
      </c>
      <c r="M279" s="106">
        <v>0</v>
      </c>
      <c r="N279" s="106">
        <v>0</v>
      </c>
      <c r="O279" s="106">
        <v>0</v>
      </c>
      <c r="P279" s="106">
        <v>0</v>
      </c>
      <c r="Q279" s="106">
        <v>0</v>
      </c>
      <c r="R279" s="106">
        <v>0</v>
      </c>
      <c r="S279" s="106">
        <v>0</v>
      </c>
      <c r="T279" s="106">
        <v>0</v>
      </c>
      <c r="U279" s="106">
        <v>0</v>
      </c>
      <c r="V279" s="106">
        <v>0</v>
      </c>
      <c r="W279" s="106">
        <v>0</v>
      </c>
      <c r="X279" s="106">
        <v>0</v>
      </c>
      <c r="Y279" s="106">
        <v>0</v>
      </c>
      <c r="Z279" s="106">
        <v>0</v>
      </c>
      <c r="AA279" s="106">
        <v>0</v>
      </c>
      <c r="AB279" s="106">
        <v>0</v>
      </c>
      <c r="AC279" s="106">
        <v>0</v>
      </c>
      <c r="AD279" s="106">
        <v>0</v>
      </c>
      <c r="AE279" s="106">
        <v>0</v>
      </c>
      <c r="AF279" s="106">
        <v>0</v>
      </c>
      <c r="AG279" s="106">
        <v>0</v>
      </c>
      <c r="AH279" s="106">
        <v>0</v>
      </c>
      <c r="AI279" s="106">
        <v>0</v>
      </c>
      <c r="AJ279" s="106">
        <v>0</v>
      </c>
      <c r="AK279" s="106">
        <v>0</v>
      </c>
      <c r="AL279" s="106">
        <v>0</v>
      </c>
      <c r="AM279" s="106">
        <v>0</v>
      </c>
      <c r="AN279" s="106">
        <v>0</v>
      </c>
      <c r="AO279" s="106">
        <v>0</v>
      </c>
      <c r="AP279" s="106">
        <v>0</v>
      </c>
      <c r="AQ279" s="106">
        <v>0</v>
      </c>
      <c r="AR279" s="106">
        <v>0</v>
      </c>
      <c r="AS279" s="106">
        <v>0</v>
      </c>
      <c r="AT279" s="106">
        <v>0</v>
      </c>
      <c r="AU279" s="106">
        <v>0</v>
      </c>
      <c r="AV279" s="106">
        <v>0</v>
      </c>
      <c r="AW279" s="106">
        <v>0</v>
      </c>
      <c r="AX279" s="106">
        <v>0</v>
      </c>
      <c r="AY279" s="106">
        <v>0</v>
      </c>
      <c r="AZ279" s="106">
        <v>0</v>
      </c>
      <c r="BA279" s="106">
        <v>0</v>
      </c>
      <c r="BB279" s="106">
        <v>0</v>
      </c>
      <c r="BC279" s="106">
        <v>0</v>
      </c>
      <c r="BD279" s="106">
        <v>0</v>
      </c>
      <c r="BE279" s="106">
        <v>0</v>
      </c>
      <c r="BF279" s="106">
        <v>0</v>
      </c>
      <c r="BG279" s="106">
        <v>0</v>
      </c>
      <c r="BH279" s="106">
        <v>0</v>
      </c>
      <c r="BI279" s="106">
        <v>0</v>
      </c>
      <c r="BJ279" s="106">
        <v>0</v>
      </c>
      <c r="BK279" s="106">
        <v>0</v>
      </c>
      <c r="BL279" s="106">
        <v>0</v>
      </c>
      <c r="BM279" s="106">
        <v>0</v>
      </c>
      <c r="BN279" s="106">
        <v>0</v>
      </c>
      <c r="BO279" s="106">
        <v>0</v>
      </c>
      <c r="BP279" s="106">
        <v>0</v>
      </c>
      <c r="BQ279" s="106">
        <v>0</v>
      </c>
      <c r="BR279" s="106">
        <v>0</v>
      </c>
      <c r="BS279" s="106">
        <v>0</v>
      </c>
      <c r="BT279" s="106">
        <v>0</v>
      </c>
      <c r="BU279" s="106">
        <v>0</v>
      </c>
      <c r="BV279" s="106">
        <v>0</v>
      </c>
      <c r="BW279" s="106">
        <v>0</v>
      </c>
      <c r="BX279" s="106">
        <v>0</v>
      </c>
      <c r="BY279" s="106">
        <v>0</v>
      </c>
      <c r="BZ279" s="106">
        <v>0</v>
      </c>
      <c r="CA279" s="106">
        <v>0</v>
      </c>
      <c r="CB279" s="106">
        <v>0</v>
      </c>
      <c r="CC279" s="106">
        <v>0</v>
      </c>
      <c r="CD279" s="106">
        <v>0</v>
      </c>
      <c r="CE279" s="106">
        <v>0</v>
      </c>
      <c r="CF279" s="106">
        <v>0</v>
      </c>
      <c r="CG279" s="106">
        <v>0</v>
      </c>
      <c r="CH279" s="106">
        <v>0</v>
      </c>
      <c r="CI279" s="106">
        <v>0</v>
      </c>
      <c r="CJ279" s="106">
        <v>0</v>
      </c>
      <c r="CK279" s="106">
        <v>0</v>
      </c>
      <c r="CL279" s="106">
        <v>0</v>
      </c>
      <c r="CM279" s="106">
        <v>0</v>
      </c>
      <c r="CN279" s="106">
        <v>0</v>
      </c>
      <c r="CO279" s="106">
        <v>0</v>
      </c>
      <c r="CP279" s="106">
        <v>0</v>
      </c>
      <c r="CQ279" s="106">
        <v>0</v>
      </c>
      <c r="CR279" s="106">
        <v>0</v>
      </c>
      <c r="CS279" s="106">
        <v>0</v>
      </c>
      <c r="CT279" s="106">
        <v>0</v>
      </c>
      <c r="CU279" s="106">
        <v>0</v>
      </c>
      <c r="CV279" s="106">
        <v>0</v>
      </c>
      <c r="CW279" s="106">
        <v>0</v>
      </c>
      <c r="CX279" s="106">
        <v>0</v>
      </c>
      <c r="CY279" s="106">
        <v>0</v>
      </c>
      <c r="CZ279" s="106">
        <v>0</v>
      </c>
      <c r="DA279" s="106">
        <v>0</v>
      </c>
      <c r="DB279" s="106">
        <v>0</v>
      </c>
      <c r="DC279" s="106">
        <v>0</v>
      </c>
      <c r="DD279" s="106">
        <v>0</v>
      </c>
      <c r="DE279" s="106">
        <v>0</v>
      </c>
      <c r="DF279" s="106">
        <v>0</v>
      </c>
      <c r="DG279" s="106">
        <v>0</v>
      </c>
      <c r="DH279" s="106">
        <v>0</v>
      </c>
      <c r="DI279" s="106">
        <v>0</v>
      </c>
      <c r="DJ279" s="106">
        <v>0</v>
      </c>
      <c r="DK279" s="106">
        <v>0</v>
      </c>
      <c r="DL279" s="106">
        <v>0</v>
      </c>
      <c r="DM279" s="106">
        <v>0</v>
      </c>
      <c r="DN279" s="106">
        <v>0</v>
      </c>
      <c r="DO279" s="106">
        <v>0</v>
      </c>
      <c r="DP279" s="106">
        <v>0</v>
      </c>
      <c r="DQ279" s="106">
        <v>0</v>
      </c>
      <c r="DR279" s="106">
        <v>0</v>
      </c>
      <c r="DS279" s="106">
        <v>0</v>
      </c>
      <c r="DT279" s="106">
        <v>0</v>
      </c>
      <c r="DU279" s="106">
        <v>0</v>
      </c>
      <c r="DV279" s="106">
        <v>0</v>
      </c>
      <c r="DW279" s="106">
        <v>0</v>
      </c>
      <c r="DX279" s="106">
        <v>0</v>
      </c>
      <c r="DY279" s="106">
        <v>0</v>
      </c>
      <c r="DZ279" s="106">
        <v>0</v>
      </c>
      <c r="EA279" s="106">
        <v>0</v>
      </c>
      <c r="EB279" s="106">
        <v>0</v>
      </c>
    </row>
    <row r="280" spans="1:132" hidden="1">
      <c r="A280" t="s">
        <v>272</v>
      </c>
      <c r="B280" t="s">
        <v>218</v>
      </c>
      <c r="C280" s="117">
        <v>45200</v>
      </c>
      <c r="D280" s="106">
        <v>0</v>
      </c>
      <c r="E280" s="106">
        <v>0</v>
      </c>
      <c r="F280" s="106">
        <v>0</v>
      </c>
      <c r="G280" s="106">
        <v>0</v>
      </c>
      <c r="H280" s="106">
        <v>0</v>
      </c>
      <c r="I280" s="106">
        <v>0</v>
      </c>
      <c r="J280" s="106">
        <v>0</v>
      </c>
      <c r="K280" s="106">
        <v>0</v>
      </c>
      <c r="L280" s="106">
        <v>0</v>
      </c>
      <c r="M280" s="106">
        <v>0</v>
      </c>
      <c r="N280" s="106">
        <v>0</v>
      </c>
      <c r="O280" s="106">
        <v>0</v>
      </c>
      <c r="P280" s="106">
        <v>0</v>
      </c>
      <c r="Q280" s="106">
        <v>0</v>
      </c>
      <c r="R280" s="106">
        <v>0</v>
      </c>
      <c r="S280" s="106">
        <v>0</v>
      </c>
      <c r="T280" s="106">
        <v>0</v>
      </c>
      <c r="U280" s="106">
        <v>0</v>
      </c>
      <c r="V280" s="106">
        <v>0</v>
      </c>
      <c r="W280" s="106">
        <v>0</v>
      </c>
      <c r="X280" s="106">
        <v>0</v>
      </c>
      <c r="Y280" s="106">
        <v>0</v>
      </c>
      <c r="Z280" s="106">
        <v>0</v>
      </c>
      <c r="AA280" s="106">
        <v>0</v>
      </c>
      <c r="AB280" s="106">
        <v>0</v>
      </c>
      <c r="AC280" s="106">
        <v>0</v>
      </c>
      <c r="AD280" s="106">
        <v>0</v>
      </c>
      <c r="AE280" s="106">
        <v>0</v>
      </c>
      <c r="AF280" s="106">
        <v>0</v>
      </c>
      <c r="AG280" s="106">
        <v>0</v>
      </c>
      <c r="AH280" s="106">
        <v>0</v>
      </c>
      <c r="AI280" s="106">
        <v>0</v>
      </c>
      <c r="AJ280" s="106">
        <v>0</v>
      </c>
      <c r="AK280" s="106">
        <v>0</v>
      </c>
      <c r="AL280" s="106">
        <v>0</v>
      </c>
      <c r="AM280" s="106">
        <v>0</v>
      </c>
      <c r="AN280" s="106">
        <v>0</v>
      </c>
      <c r="AO280" s="106">
        <v>0</v>
      </c>
      <c r="AP280" s="106">
        <v>0</v>
      </c>
      <c r="AQ280" s="106">
        <v>0</v>
      </c>
      <c r="AR280" s="106">
        <v>0</v>
      </c>
      <c r="AS280" s="106">
        <v>0</v>
      </c>
      <c r="AT280" s="106">
        <v>0</v>
      </c>
      <c r="AU280" s="106">
        <v>0</v>
      </c>
      <c r="AV280" s="106">
        <v>0</v>
      </c>
      <c r="AW280" s="106">
        <v>0</v>
      </c>
      <c r="AX280" s="106">
        <v>0</v>
      </c>
      <c r="AY280" s="106">
        <v>0</v>
      </c>
      <c r="AZ280" s="106">
        <v>0</v>
      </c>
      <c r="BA280" s="106">
        <v>0</v>
      </c>
      <c r="BB280" s="106">
        <v>0</v>
      </c>
      <c r="BC280" s="106">
        <v>0</v>
      </c>
      <c r="BD280" s="106">
        <v>0</v>
      </c>
      <c r="BE280" s="106">
        <v>0</v>
      </c>
      <c r="BF280" s="106">
        <v>0</v>
      </c>
      <c r="BG280" s="106">
        <v>0</v>
      </c>
      <c r="BH280" s="106">
        <v>0</v>
      </c>
      <c r="BI280" s="106">
        <v>0</v>
      </c>
      <c r="BJ280" s="106">
        <v>0</v>
      </c>
      <c r="BK280" s="106">
        <v>0</v>
      </c>
      <c r="BL280" s="106">
        <v>0</v>
      </c>
      <c r="BM280" s="106">
        <v>0</v>
      </c>
      <c r="BN280" s="106">
        <v>0</v>
      </c>
      <c r="BO280" s="106">
        <v>0</v>
      </c>
      <c r="BP280" s="106">
        <v>0</v>
      </c>
      <c r="BQ280" s="106">
        <v>0</v>
      </c>
      <c r="BR280" s="106">
        <v>0</v>
      </c>
      <c r="BS280" s="106">
        <v>0</v>
      </c>
      <c r="BT280" s="106">
        <v>0</v>
      </c>
      <c r="BU280" s="106">
        <v>0</v>
      </c>
      <c r="BV280" s="106">
        <v>0</v>
      </c>
      <c r="BW280" s="106">
        <v>0</v>
      </c>
      <c r="BX280" s="106">
        <v>0</v>
      </c>
      <c r="BY280" s="106">
        <v>0</v>
      </c>
      <c r="BZ280" s="106">
        <v>0</v>
      </c>
      <c r="CA280" s="106">
        <v>0</v>
      </c>
      <c r="CB280" s="106">
        <v>0</v>
      </c>
      <c r="CC280" s="106">
        <v>0</v>
      </c>
      <c r="CD280" s="106">
        <v>0</v>
      </c>
      <c r="CE280" s="106">
        <v>0</v>
      </c>
      <c r="CF280" s="106">
        <v>0</v>
      </c>
      <c r="CG280" s="106">
        <v>0</v>
      </c>
      <c r="CH280" s="106">
        <v>0</v>
      </c>
      <c r="CI280" s="106">
        <v>0</v>
      </c>
      <c r="CJ280" s="106">
        <v>0</v>
      </c>
      <c r="CK280" s="106">
        <v>0</v>
      </c>
      <c r="CL280" s="106">
        <v>0</v>
      </c>
      <c r="CM280" s="106">
        <v>0</v>
      </c>
      <c r="CN280" s="106">
        <v>0</v>
      </c>
      <c r="CO280" s="106">
        <v>0</v>
      </c>
      <c r="CP280" s="106">
        <v>0</v>
      </c>
      <c r="CQ280" s="106">
        <v>0</v>
      </c>
      <c r="CR280" s="106">
        <v>0</v>
      </c>
      <c r="CS280" s="106">
        <v>0</v>
      </c>
      <c r="CT280" s="106">
        <v>0</v>
      </c>
      <c r="CU280" s="106">
        <v>0</v>
      </c>
      <c r="CV280" s="106">
        <v>0</v>
      </c>
      <c r="CW280" s="106">
        <v>0</v>
      </c>
      <c r="CX280" s="106">
        <v>0</v>
      </c>
      <c r="CY280" s="106">
        <v>0</v>
      </c>
      <c r="CZ280" s="106">
        <v>0</v>
      </c>
      <c r="DA280" s="106">
        <v>0</v>
      </c>
      <c r="DB280" s="106">
        <v>0</v>
      </c>
      <c r="DC280" s="106">
        <v>0</v>
      </c>
      <c r="DD280" s="106">
        <v>0</v>
      </c>
      <c r="DE280" s="106">
        <v>0</v>
      </c>
      <c r="DF280" s="106">
        <v>0</v>
      </c>
      <c r="DG280" s="106">
        <v>0</v>
      </c>
      <c r="DH280" s="106">
        <v>0</v>
      </c>
      <c r="DI280" s="106">
        <v>0</v>
      </c>
      <c r="DJ280" s="106">
        <v>0</v>
      </c>
      <c r="DK280" s="106">
        <v>0</v>
      </c>
      <c r="DL280" s="106">
        <v>0</v>
      </c>
      <c r="DM280" s="106">
        <v>0</v>
      </c>
      <c r="DN280" s="106">
        <v>0</v>
      </c>
      <c r="DO280" s="106">
        <v>0</v>
      </c>
      <c r="DP280" s="106">
        <v>0</v>
      </c>
      <c r="DQ280" s="106">
        <v>0</v>
      </c>
      <c r="DR280" s="106">
        <v>0</v>
      </c>
      <c r="DS280" s="106">
        <v>0</v>
      </c>
      <c r="DT280" s="106">
        <v>0</v>
      </c>
      <c r="DU280" s="106">
        <v>0</v>
      </c>
      <c r="DV280" s="106">
        <v>0</v>
      </c>
      <c r="DW280" s="106">
        <v>0</v>
      </c>
      <c r="DX280" s="106">
        <v>0</v>
      </c>
      <c r="DY280" s="106">
        <v>0</v>
      </c>
      <c r="DZ280" s="106">
        <v>0</v>
      </c>
      <c r="EA280" s="106">
        <v>0</v>
      </c>
      <c r="EB280" s="106">
        <v>0</v>
      </c>
    </row>
    <row r="281" spans="1:132" hidden="1">
      <c r="A281" t="s">
        <v>272</v>
      </c>
      <c r="B281" t="s">
        <v>218</v>
      </c>
      <c r="C281" s="117">
        <v>45170</v>
      </c>
      <c r="D281" s="106">
        <v>0</v>
      </c>
      <c r="E281" s="106">
        <v>0</v>
      </c>
      <c r="F281" s="106">
        <v>0</v>
      </c>
      <c r="G281" s="106">
        <v>0</v>
      </c>
      <c r="H281" s="106">
        <v>0</v>
      </c>
      <c r="I281" s="106">
        <v>0</v>
      </c>
      <c r="J281" s="106">
        <v>0</v>
      </c>
      <c r="K281" s="106">
        <v>0</v>
      </c>
      <c r="L281" s="106">
        <v>0</v>
      </c>
      <c r="M281" s="106">
        <v>0</v>
      </c>
      <c r="N281" s="106">
        <v>0</v>
      </c>
      <c r="O281" s="106">
        <v>0</v>
      </c>
      <c r="P281" s="106">
        <v>0</v>
      </c>
      <c r="Q281" s="106">
        <v>0</v>
      </c>
      <c r="R281" s="106">
        <v>0</v>
      </c>
      <c r="S281" s="106">
        <v>0</v>
      </c>
      <c r="T281" s="106">
        <v>0</v>
      </c>
      <c r="U281" s="106">
        <v>0</v>
      </c>
      <c r="V281" s="106">
        <v>0</v>
      </c>
      <c r="W281" s="106">
        <v>0</v>
      </c>
      <c r="X281" s="106">
        <v>0</v>
      </c>
      <c r="Y281" s="106">
        <v>0</v>
      </c>
      <c r="Z281" s="106">
        <v>0</v>
      </c>
      <c r="AA281" s="106">
        <v>0</v>
      </c>
      <c r="AB281" s="106">
        <v>0</v>
      </c>
      <c r="AC281" s="106">
        <v>0</v>
      </c>
      <c r="AD281" s="106">
        <v>0</v>
      </c>
      <c r="AE281" s="106">
        <v>0</v>
      </c>
      <c r="AF281" s="106">
        <v>0</v>
      </c>
      <c r="AG281" s="106">
        <v>0</v>
      </c>
      <c r="AH281" s="106">
        <v>0</v>
      </c>
      <c r="AI281" s="106">
        <v>0</v>
      </c>
      <c r="AJ281" s="106">
        <v>0</v>
      </c>
      <c r="AK281" s="106">
        <v>0</v>
      </c>
      <c r="AL281" s="106">
        <v>0</v>
      </c>
      <c r="AM281" s="106">
        <v>0</v>
      </c>
      <c r="AN281" s="106">
        <v>0</v>
      </c>
      <c r="AO281" s="106">
        <v>0</v>
      </c>
      <c r="AP281" s="106">
        <v>0</v>
      </c>
      <c r="AQ281" s="106">
        <v>0</v>
      </c>
      <c r="AR281" s="106">
        <v>0</v>
      </c>
      <c r="AS281" s="106">
        <v>0</v>
      </c>
      <c r="AT281" s="106">
        <v>0</v>
      </c>
      <c r="AU281" s="106">
        <v>0</v>
      </c>
      <c r="AV281" s="106">
        <v>0</v>
      </c>
      <c r="AW281" s="106">
        <v>0</v>
      </c>
      <c r="AX281" s="106">
        <v>0</v>
      </c>
      <c r="AY281" s="106">
        <v>0</v>
      </c>
      <c r="AZ281" s="106">
        <v>0</v>
      </c>
      <c r="BA281" s="106">
        <v>0</v>
      </c>
      <c r="BB281" s="106">
        <v>0</v>
      </c>
      <c r="BC281" s="106">
        <v>0</v>
      </c>
      <c r="BD281" s="106">
        <v>0</v>
      </c>
      <c r="BE281" s="106">
        <v>0</v>
      </c>
      <c r="BF281" s="106">
        <v>0</v>
      </c>
      <c r="BG281" s="106">
        <v>0</v>
      </c>
      <c r="BH281" s="106">
        <v>0</v>
      </c>
      <c r="BI281" s="106">
        <v>0</v>
      </c>
      <c r="BJ281" s="106">
        <v>0</v>
      </c>
      <c r="BK281" s="106">
        <v>0</v>
      </c>
      <c r="BL281" s="106">
        <v>0</v>
      </c>
      <c r="BM281" s="106">
        <v>0</v>
      </c>
      <c r="BN281" s="106">
        <v>0</v>
      </c>
      <c r="BO281" s="106">
        <v>0</v>
      </c>
      <c r="BP281" s="106">
        <v>0</v>
      </c>
      <c r="BQ281" s="106">
        <v>0</v>
      </c>
      <c r="BR281" s="106">
        <v>0</v>
      </c>
      <c r="BS281" s="106">
        <v>0</v>
      </c>
      <c r="BT281" s="106">
        <v>0</v>
      </c>
      <c r="BU281" s="106">
        <v>0</v>
      </c>
      <c r="BV281" s="106">
        <v>0</v>
      </c>
      <c r="BW281" s="106">
        <v>0</v>
      </c>
      <c r="BX281" s="106">
        <v>0</v>
      </c>
      <c r="BY281" s="106">
        <v>0</v>
      </c>
      <c r="BZ281" s="106">
        <v>0</v>
      </c>
      <c r="CA281" s="106">
        <v>0</v>
      </c>
      <c r="CB281" s="106">
        <v>0</v>
      </c>
      <c r="CC281" s="106">
        <v>0</v>
      </c>
      <c r="CD281" s="106">
        <v>0</v>
      </c>
      <c r="CE281" s="106">
        <v>0</v>
      </c>
      <c r="CF281" s="106">
        <v>0</v>
      </c>
      <c r="CG281" s="106">
        <v>0</v>
      </c>
      <c r="CH281" s="106">
        <v>0</v>
      </c>
      <c r="CI281" s="106">
        <v>0</v>
      </c>
      <c r="CJ281" s="106">
        <v>0</v>
      </c>
      <c r="CK281" s="106">
        <v>0</v>
      </c>
      <c r="CL281" s="106">
        <v>0</v>
      </c>
      <c r="CM281" s="106">
        <v>0</v>
      </c>
      <c r="CN281" s="106">
        <v>0</v>
      </c>
      <c r="CO281" s="106">
        <v>0</v>
      </c>
      <c r="CP281" s="106">
        <v>0</v>
      </c>
      <c r="CQ281" s="106">
        <v>0</v>
      </c>
      <c r="CR281" s="106">
        <v>0</v>
      </c>
      <c r="CS281" s="106">
        <v>0</v>
      </c>
      <c r="CT281" s="106">
        <v>0</v>
      </c>
      <c r="CU281" s="106">
        <v>0</v>
      </c>
      <c r="CV281" s="106">
        <v>0</v>
      </c>
      <c r="CW281" s="106">
        <v>0</v>
      </c>
      <c r="CX281" s="106">
        <v>0</v>
      </c>
      <c r="CY281" s="106">
        <v>0</v>
      </c>
      <c r="CZ281" s="106">
        <v>0</v>
      </c>
      <c r="DA281" s="106">
        <v>0</v>
      </c>
      <c r="DB281" s="106">
        <v>0</v>
      </c>
      <c r="DC281" s="106">
        <v>0</v>
      </c>
      <c r="DD281" s="106">
        <v>0</v>
      </c>
      <c r="DE281" s="106">
        <v>0</v>
      </c>
      <c r="DF281" s="106">
        <v>0</v>
      </c>
      <c r="DG281" s="106">
        <v>0</v>
      </c>
      <c r="DH281" s="106">
        <v>0</v>
      </c>
      <c r="DI281" s="106">
        <v>0</v>
      </c>
      <c r="DJ281" s="106">
        <v>0</v>
      </c>
      <c r="DK281" s="106">
        <v>0</v>
      </c>
      <c r="DL281" s="106">
        <v>0</v>
      </c>
      <c r="DM281" s="106">
        <v>0</v>
      </c>
      <c r="DN281" s="106">
        <v>0</v>
      </c>
      <c r="DO281" s="106">
        <v>0</v>
      </c>
      <c r="DP281" s="106">
        <v>0</v>
      </c>
      <c r="DQ281" s="106">
        <v>0</v>
      </c>
      <c r="DR281" s="106">
        <v>0</v>
      </c>
      <c r="DS281" s="106">
        <v>0</v>
      </c>
      <c r="DT281" s="106">
        <v>0</v>
      </c>
      <c r="DU281" s="106">
        <v>0</v>
      </c>
      <c r="DV281" s="106">
        <v>0</v>
      </c>
      <c r="DW281" s="106">
        <v>0</v>
      </c>
      <c r="DX281" s="106">
        <v>0</v>
      </c>
      <c r="DY281" s="106">
        <v>0</v>
      </c>
      <c r="DZ281" s="106">
        <v>0</v>
      </c>
      <c r="EA281" s="106">
        <v>0</v>
      </c>
      <c r="EB281" s="106">
        <v>0</v>
      </c>
    </row>
    <row r="282" spans="1:132" hidden="1">
      <c r="A282" t="s">
        <v>272</v>
      </c>
      <c r="B282" t="s">
        <v>218</v>
      </c>
      <c r="C282" s="117">
        <v>45139</v>
      </c>
      <c r="D282" s="106">
        <v>0</v>
      </c>
      <c r="E282" s="106">
        <v>0</v>
      </c>
      <c r="F282" s="106">
        <v>0</v>
      </c>
      <c r="G282" s="106">
        <v>0</v>
      </c>
      <c r="H282" s="106">
        <v>0</v>
      </c>
      <c r="I282" s="106">
        <v>0</v>
      </c>
      <c r="J282" s="106">
        <v>0</v>
      </c>
      <c r="K282" s="106">
        <v>0</v>
      </c>
      <c r="L282" s="106">
        <v>0</v>
      </c>
      <c r="M282" s="106">
        <v>0</v>
      </c>
      <c r="N282" s="106">
        <v>0</v>
      </c>
      <c r="O282" s="106">
        <v>0</v>
      </c>
      <c r="P282" s="106">
        <v>0</v>
      </c>
      <c r="Q282" s="106">
        <v>0</v>
      </c>
      <c r="R282" s="106">
        <v>0</v>
      </c>
      <c r="S282" s="106">
        <v>0</v>
      </c>
      <c r="T282" s="106">
        <v>0</v>
      </c>
      <c r="U282" s="106">
        <v>0</v>
      </c>
      <c r="V282" s="106">
        <v>0</v>
      </c>
      <c r="W282" s="106">
        <v>0</v>
      </c>
      <c r="X282" s="106">
        <v>0</v>
      </c>
      <c r="Y282" s="106">
        <v>0</v>
      </c>
      <c r="Z282" s="106">
        <v>0</v>
      </c>
      <c r="AA282" s="106">
        <v>0</v>
      </c>
      <c r="AB282" s="106">
        <v>0</v>
      </c>
      <c r="AC282" s="106">
        <v>0</v>
      </c>
      <c r="AD282" s="106">
        <v>0</v>
      </c>
      <c r="AE282" s="106">
        <v>0</v>
      </c>
      <c r="AF282" s="106">
        <v>0</v>
      </c>
      <c r="AG282" s="106">
        <v>0</v>
      </c>
      <c r="AH282" s="106">
        <v>0</v>
      </c>
      <c r="AI282" s="106">
        <v>0</v>
      </c>
      <c r="AJ282" s="106">
        <v>0</v>
      </c>
      <c r="AK282" s="106">
        <v>0</v>
      </c>
      <c r="AL282" s="106">
        <v>0</v>
      </c>
      <c r="AM282" s="106">
        <v>0</v>
      </c>
      <c r="AN282" s="106">
        <v>0</v>
      </c>
      <c r="AO282" s="106">
        <v>0</v>
      </c>
      <c r="AP282" s="106">
        <v>0</v>
      </c>
      <c r="AQ282" s="106">
        <v>0</v>
      </c>
      <c r="AR282" s="106">
        <v>0</v>
      </c>
      <c r="AS282" s="106">
        <v>0</v>
      </c>
      <c r="AT282" s="106">
        <v>0</v>
      </c>
      <c r="AU282" s="106">
        <v>0</v>
      </c>
      <c r="AV282" s="106">
        <v>0</v>
      </c>
      <c r="AW282" s="106">
        <v>0</v>
      </c>
      <c r="AX282" s="106">
        <v>0</v>
      </c>
      <c r="AY282" s="106">
        <v>0</v>
      </c>
      <c r="AZ282" s="106">
        <v>0</v>
      </c>
      <c r="BA282" s="106">
        <v>0</v>
      </c>
      <c r="BB282" s="106">
        <v>0</v>
      </c>
      <c r="BC282" s="106">
        <v>0</v>
      </c>
      <c r="BD282" s="106">
        <v>0</v>
      </c>
      <c r="BE282" s="106">
        <v>0</v>
      </c>
      <c r="BF282" s="106">
        <v>0</v>
      </c>
      <c r="BG282" s="106">
        <v>0</v>
      </c>
      <c r="BH282" s="106">
        <v>0</v>
      </c>
      <c r="BI282" s="106">
        <v>0</v>
      </c>
      <c r="BJ282" s="106">
        <v>0</v>
      </c>
      <c r="BK282" s="106">
        <v>0</v>
      </c>
      <c r="BL282" s="106">
        <v>0</v>
      </c>
      <c r="BM282" s="106">
        <v>0</v>
      </c>
      <c r="BN282" s="106">
        <v>0</v>
      </c>
      <c r="BO282" s="106">
        <v>0</v>
      </c>
      <c r="BP282" s="106">
        <v>0</v>
      </c>
      <c r="BQ282" s="106">
        <v>0</v>
      </c>
      <c r="BR282" s="106">
        <v>0</v>
      </c>
      <c r="BS282" s="106">
        <v>0</v>
      </c>
      <c r="BT282" s="106">
        <v>0</v>
      </c>
      <c r="BU282" s="106">
        <v>0</v>
      </c>
      <c r="BV282" s="106">
        <v>0</v>
      </c>
      <c r="BW282" s="106">
        <v>0</v>
      </c>
      <c r="BX282" s="106">
        <v>0</v>
      </c>
      <c r="BY282" s="106">
        <v>0</v>
      </c>
      <c r="BZ282" s="106">
        <v>0</v>
      </c>
      <c r="CA282" s="106">
        <v>0</v>
      </c>
      <c r="CB282" s="106">
        <v>0</v>
      </c>
      <c r="CC282" s="106">
        <v>0</v>
      </c>
      <c r="CD282" s="106">
        <v>0</v>
      </c>
      <c r="CE282" s="106">
        <v>0</v>
      </c>
      <c r="CF282" s="106">
        <v>0</v>
      </c>
      <c r="CG282" s="106">
        <v>0</v>
      </c>
      <c r="CH282" s="106">
        <v>0</v>
      </c>
      <c r="CI282" s="106">
        <v>0</v>
      </c>
      <c r="CJ282" s="106">
        <v>0</v>
      </c>
      <c r="CK282" s="106">
        <v>0</v>
      </c>
      <c r="CL282" s="106">
        <v>0</v>
      </c>
      <c r="CM282" s="106">
        <v>0</v>
      </c>
      <c r="CN282" s="106">
        <v>0</v>
      </c>
      <c r="CO282" s="106">
        <v>0</v>
      </c>
      <c r="CP282" s="106">
        <v>0</v>
      </c>
      <c r="CQ282" s="106">
        <v>0</v>
      </c>
      <c r="CR282" s="106">
        <v>0</v>
      </c>
      <c r="CS282" s="106">
        <v>0</v>
      </c>
      <c r="CT282" s="106">
        <v>0</v>
      </c>
      <c r="CU282" s="106">
        <v>0</v>
      </c>
      <c r="CV282" s="106">
        <v>0</v>
      </c>
      <c r="CW282" s="106">
        <v>0</v>
      </c>
      <c r="CX282" s="106">
        <v>0</v>
      </c>
      <c r="CY282" s="106">
        <v>0</v>
      </c>
      <c r="CZ282" s="106">
        <v>0</v>
      </c>
      <c r="DA282" s="106">
        <v>0</v>
      </c>
      <c r="DB282" s="106">
        <v>0</v>
      </c>
      <c r="DC282" s="106">
        <v>0</v>
      </c>
      <c r="DD282" s="106">
        <v>0</v>
      </c>
      <c r="DE282" s="106">
        <v>0</v>
      </c>
      <c r="DF282" s="106">
        <v>0</v>
      </c>
      <c r="DG282" s="106">
        <v>0</v>
      </c>
      <c r="DH282" s="106">
        <v>0</v>
      </c>
      <c r="DI282" s="106">
        <v>0</v>
      </c>
      <c r="DJ282" s="106">
        <v>0</v>
      </c>
      <c r="DK282" s="106">
        <v>0</v>
      </c>
      <c r="DL282" s="106">
        <v>0</v>
      </c>
      <c r="DM282" s="106">
        <v>0</v>
      </c>
      <c r="DN282" s="106">
        <v>0</v>
      </c>
      <c r="DO282" s="106">
        <v>0</v>
      </c>
      <c r="DP282" s="106">
        <v>0</v>
      </c>
      <c r="DQ282" s="106">
        <v>0</v>
      </c>
      <c r="DR282" s="106">
        <v>0</v>
      </c>
      <c r="DS282" s="106">
        <v>0</v>
      </c>
      <c r="DT282" s="106">
        <v>0</v>
      </c>
      <c r="DU282" s="106">
        <v>0</v>
      </c>
      <c r="DV282" s="106">
        <v>0</v>
      </c>
      <c r="DW282" s="106">
        <v>0</v>
      </c>
      <c r="DX282" s="106">
        <v>0</v>
      </c>
      <c r="DY282" s="106">
        <v>0</v>
      </c>
      <c r="DZ282" s="106">
        <v>0</v>
      </c>
      <c r="EA282" s="106">
        <v>0</v>
      </c>
      <c r="EB282" s="106">
        <v>0</v>
      </c>
    </row>
    <row r="283" spans="1:132" hidden="1">
      <c r="A283" t="s">
        <v>272</v>
      </c>
      <c r="B283" t="s">
        <v>218</v>
      </c>
      <c r="C283" s="117">
        <v>45108</v>
      </c>
      <c r="D283" s="106">
        <v>0</v>
      </c>
      <c r="E283" s="106">
        <v>0</v>
      </c>
      <c r="F283" s="106">
        <v>0</v>
      </c>
      <c r="G283" s="106">
        <v>0</v>
      </c>
      <c r="H283" s="106">
        <v>0</v>
      </c>
      <c r="I283" s="106">
        <v>0</v>
      </c>
      <c r="J283" s="106">
        <v>0</v>
      </c>
      <c r="K283" s="106">
        <v>0</v>
      </c>
      <c r="L283" s="106">
        <v>0</v>
      </c>
      <c r="M283" s="106">
        <v>0</v>
      </c>
      <c r="N283" s="106">
        <v>0</v>
      </c>
      <c r="O283" s="106">
        <v>0</v>
      </c>
      <c r="P283" s="106">
        <v>0</v>
      </c>
      <c r="Q283" s="106">
        <v>0</v>
      </c>
      <c r="R283" s="106">
        <v>0</v>
      </c>
      <c r="S283" s="106">
        <v>0</v>
      </c>
      <c r="T283" s="106">
        <v>0</v>
      </c>
      <c r="U283" s="106">
        <v>0</v>
      </c>
      <c r="V283" s="106">
        <v>0</v>
      </c>
      <c r="W283" s="106">
        <v>0</v>
      </c>
      <c r="X283" s="106">
        <v>0</v>
      </c>
      <c r="Y283" s="106">
        <v>0</v>
      </c>
      <c r="Z283" s="106">
        <v>0</v>
      </c>
      <c r="AA283" s="106">
        <v>0</v>
      </c>
      <c r="AB283" s="106">
        <v>0</v>
      </c>
      <c r="AC283" s="106">
        <v>0</v>
      </c>
      <c r="AD283" s="106">
        <v>0</v>
      </c>
      <c r="AE283" s="106">
        <v>0</v>
      </c>
      <c r="AF283" s="106">
        <v>0</v>
      </c>
      <c r="AG283" s="106">
        <v>0</v>
      </c>
      <c r="AH283" s="106">
        <v>0</v>
      </c>
      <c r="AI283" s="106">
        <v>0</v>
      </c>
      <c r="AJ283" s="106">
        <v>0</v>
      </c>
      <c r="AK283" s="106">
        <v>0</v>
      </c>
      <c r="AL283" s="106">
        <v>0</v>
      </c>
      <c r="AM283" s="106">
        <v>0</v>
      </c>
      <c r="AN283" s="106">
        <v>0</v>
      </c>
      <c r="AO283" s="106">
        <v>0</v>
      </c>
      <c r="AP283" s="106">
        <v>0</v>
      </c>
      <c r="AQ283" s="106">
        <v>0</v>
      </c>
      <c r="AR283" s="106">
        <v>0</v>
      </c>
      <c r="AS283" s="106">
        <v>0</v>
      </c>
      <c r="AT283" s="106">
        <v>0</v>
      </c>
      <c r="AU283" s="106">
        <v>0</v>
      </c>
      <c r="AV283" s="106">
        <v>0</v>
      </c>
      <c r="AW283" s="106">
        <v>0</v>
      </c>
      <c r="AX283" s="106">
        <v>0</v>
      </c>
      <c r="AY283" s="106">
        <v>0</v>
      </c>
      <c r="AZ283" s="106">
        <v>0</v>
      </c>
      <c r="BA283" s="106">
        <v>0</v>
      </c>
      <c r="BB283" s="106">
        <v>0</v>
      </c>
      <c r="BC283" s="106">
        <v>0</v>
      </c>
      <c r="BD283" s="106">
        <v>0</v>
      </c>
      <c r="BE283" s="106">
        <v>0</v>
      </c>
      <c r="BF283" s="106">
        <v>0</v>
      </c>
      <c r="BG283" s="106">
        <v>0</v>
      </c>
      <c r="BH283" s="106">
        <v>0</v>
      </c>
      <c r="BI283" s="106">
        <v>0</v>
      </c>
      <c r="BJ283" s="106">
        <v>0</v>
      </c>
      <c r="BK283" s="106">
        <v>0</v>
      </c>
      <c r="BL283" s="106">
        <v>0</v>
      </c>
      <c r="BM283" s="106">
        <v>0</v>
      </c>
      <c r="BN283" s="106">
        <v>0</v>
      </c>
      <c r="BO283" s="106">
        <v>0</v>
      </c>
      <c r="BP283" s="106">
        <v>0</v>
      </c>
      <c r="BQ283" s="106">
        <v>0</v>
      </c>
      <c r="BR283" s="106">
        <v>0</v>
      </c>
      <c r="BS283" s="106">
        <v>0</v>
      </c>
      <c r="BT283" s="106">
        <v>0</v>
      </c>
      <c r="BU283" s="106">
        <v>0</v>
      </c>
      <c r="BV283" s="106">
        <v>0</v>
      </c>
      <c r="BW283" s="106">
        <v>0</v>
      </c>
      <c r="BX283" s="106">
        <v>0</v>
      </c>
      <c r="BY283" s="106">
        <v>0</v>
      </c>
      <c r="BZ283" s="106">
        <v>0</v>
      </c>
      <c r="CA283" s="106">
        <v>0</v>
      </c>
      <c r="CB283" s="106">
        <v>0</v>
      </c>
      <c r="CC283" s="106">
        <v>0</v>
      </c>
      <c r="CD283" s="106">
        <v>0</v>
      </c>
      <c r="CE283" s="106">
        <v>0</v>
      </c>
      <c r="CF283" s="106">
        <v>0</v>
      </c>
      <c r="CG283" s="106">
        <v>0</v>
      </c>
      <c r="CH283" s="106">
        <v>0</v>
      </c>
      <c r="CI283" s="106">
        <v>0</v>
      </c>
      <c r="CJ283" s="106">
        <v>0</v>
      </c>
      <c r="CK283" s="106">
        <v>0</v>
      </c>
      <c r="CL283" s="106">
        <v>0</v>
      </c>
      <c r="CM283" s="106">
        <v>0</v>
      </c>
      <c r="CN283" s="106">
        <v>0</v>
      </c>
      <c r="CO283" s="106">
        <v>0</v>
      </c>
      <c r="CP283" s="106">
        <v>0</v>
      </c>
      <c r="CQ283" s="106">
        <v>0</v>
      </c>
      <c r="CR283" s="106">
        <v>0</v>
      </c>
      <c r="CS283" s="106">
        <v>0</v>
      </c>
      <c r="CT283" s="106">
        <v>0</v>
      </c>
      <c r="CU283" s="106">
        <v>0</v>
      </c>
      <c r="CV283" s="106">
        <v>0</v>
      </c>
      <c r="CW283" s="106">
        <v>0</v>
      </c>
      <c r="CX283" s="106">
        <v>0</v>
      </c>
      <c r="CY283" s="106">
        <v>0</v>
      </c>
      <c r="CZ283" s="106">
        <v>0</v>
      </c>
      <c r="DA283" s="106">
        <v>0</v>
      </c>
      <c r="DB283" s="106">
        <v>0</v>
      </c>
      <c r="DC283" s="106">
        <v>0</v>
      </c>
      <c r="DD283" s="106">
        <v>0</v>
      </c>
      <c r="DE283" s="106">
        <v>0</v>
      </c>
      <c r="DF283" s="106">
        <v>0</v>
      </c>
      <c r="DG283" s="106">
        <v>0</v>
      </c>
      <c r="DH283" s="106">
        <v>0</v>
      </c>
      <c r="DI283" s="106">
        <v>0</v>
      </c>
      <c r="DJ283" s="106">
        <v>0</v>
      </c>
      <c r="DK283" s="106">
        <v>0</v>
      </c>
      <c r="DL283" s="106">
        <v>0</v>
      </c>
      <c r="DM283" s="106">
        <v>0</v>
      </c>
      <c r="DN283" s="106">
        <v>0</v>
      </c>
      <c r="DO283" s="106">
        <v>0</v>
      </c>
      <c r="DP283" s="106">
        <v>0</v>
      </c>
      <c r="DQ283" s="106">
        <v>0</v>
      </c>
      <c r="DR283" s="106">
        <v>0</v>
      </c>
      <c r="DS283" s="106">
        <v>0</v>
      </c>
      <c r="DT283" s="106">
        <v>0</v>
      </c>
      <c r="DU283" s="106">
        <v>0</v>
      </c>
      <c r="DV283" s="106">
        <v>0</v>
      </c>
      <c r="DW283" s="106">
        <v>0</v>
      </c>
      <c r="DX283" s="106">
        <v>0</v>
      </c>
      <c r="DY283" s="106">
        <v>0</v>
      </c>
      <c r="DZ283" s="106">
        <v>0</v>
      </c>
      <c r="EA283" s="106">
        <v>0</v>
      </c>
      <c r="EB283" s="106">
        <v>0</v>
      </c>
    </row>
    <row r="284" spans="1:132" hidden="1">
      <c r="A284" t="s">
        <v>272</v>
      </c>
      <c r="B284" t="s">
        <v>218</v>
      </c>
      <c r="C284" s="117">
        <v>45078</v>
      </c>
      <c r="D284" s="106">
        <v>0</v>
      </c>
      <c r="E284" s="106">
        <v>0</v>
      </c>
      <c r="F284" s="106">
        <v>0</v>
      </c>
      <c r="G284" s="106">
        <v>0</v>
      </c>
      <c r="H284" s="106">
        <v>0</v>
      </c>
      <c r="I284" s="106">
        <v>0</v>
      </c>
      <c r="J284" s="106">
        <v>0</v>
      </c>
      <c r="K284" s="106">
        <v>0</v>
      </c>
      <c r="L284" s="106">
        <v>0</v>
      </c>
      <c r="M284" s="106">
        <v>0</v>
      </c>
      <c r="N284" s="106">
        <v>0</v>
      </c>
      <c r="O284" s="106">
        <v>0</v>
      </c>
      <c r="P284" s="106">
        <v>0</v>
      </c>
      <c r="Q284" s="106">
        <v>0</v>
      </c>
      <c r="R284" s="106">
        <v>0</v>
      </c>
      <c r="S284" s="106">
        <v>0</v>
      </c>
      <c r="T284" s="106">
        <v>0</v>
      </c>
      <c r="U284" s="106">
        <v>0</v>
      </c>
      <c r="V284" s="106">
        <v>0</v>
      </c>
      <c r="W284" s="106">
        <v>0</v>
      </c>
      <c r="X284" s="106">
        <v>0</v>
      </c>
      <c r="Y284" s="106">
        <v>0</v>
      </c>
      <c r="Z284" s="106">
        <v>0</v>
      </c>
      <c r="AA284" s="106">
        <v>0</v>
      </c>
      <c r="AB284" s="106">
        <v>0</v>
      </c>
      <c r="AC284" s="106">
        <v>0</v>
      </c>
      <c r="AD284" s="106">
        <v>0</v>
      </c>
      <c r="AE284" s="106">
        <v>0</v>
      </c>
      <c r="AF284" s="106">
        <v>0</v>
      </c>
      <c r="AG284" s="106">
        <v>0</v>
      </c>
      <c r="AH284" s="106">
        <v>0</v>
      </c>
      <c r="AI284" s="106">
        <v>0</v>
      </c>
      <c r="AJ284" s="106">
        <v>0</v>
      </c>
      <c r="AK284" s="106">
        <v>0</v>
      </c>
      <c r="AL284" s="106">
        <v>0</v>
      </c>
      <c r="AM284" s="106">
        <v>0</v>
      </c>
      <c r="AN284" s="106">
        <v>0</v>
      </c>
      <c r="AO284" s="106">
        <v>0</v>
      </c>
      <c r="AP284" s="106">
        <v>0</v>
      </c>
      <c r="AQ284" s="106">
        <v>0</v>
      </c>
      <c r="AR284" s="106">
        <v>0</v>
      </c>
      <c r="AS284" s="106">
        <v>0</v>
      </c>
      <c r="AT284" s="106">
        <v>0</v>
      </c>
      <c r="AU284" s="106">
        <v>0</v>
      </c>
      <c r="AV284" s="106">
        <v>0</v>
      </c>
      <c r="AW284" s="106">
        <v>0</v>
      </c>
      <c r="AX284" s="106">
        <v>0</v>
      </c>
      <c r="AY284" s="106">
        <v>0</v>
      </c>
      <c r="AZ284" s="106">
        <v>0</v>
      </c>
      <c r="BA284" s="106">
        <v>0</v>
      </c>
      <c r="BB284" s="106">
        <v>0</v>
      </c>
      <c r="BC284" s="106">
        <v>0</v>
      </c>
      <c r="BD284" s="106">
        <v>0</v>
      </c>
      <c r="BE284" s="106">
        <v>0</v>
      </c>
      <c r="BF284" s="106">
        <v>0</v>
      </c>
      <c r="BG284" s="106">
        <v>0</v>
      </c>
      <c r="BH284" s="106">
        <v>0</v>
      </c>
      <c r="BI284" s="106">
        <v>0</v>
      </c>
      <c r="BJ284" s="106">
        <v>0</v>
      </c>
      <c r="BK284" s="106">
        <v>0</v>
      </c>
      <c r="BL284" s="106">
        <v>0</v>
      </c>
      <c r="BM284" s="106">
        <v>0</v>
      </c>
      <c r="BN284" s="106">
        <v>0</v>
      </c>
      <c r="BO284" s="106">
        <v>0</v>
      </c>
      <c r="BP284" s="106">
        <v>0</v>
      </c>
      <c r="BQ284" s="106">
        <v>0</v>
      </c>
      <c r="BR284" s="106">
        <v>0</v>
      </c>
      <c r="BS284" s="106">
        <v>0</v>
      </c>
      <c r="BT284" s="106">
        <v>0</v>
      </c>
      <c r="BU284" s="106">
        <v>0</v>
      </c>
      <c r="BV284" s="106">
        <v>0</v>
      </c>
      <c r="BW284" s="106">
        <v>0</v>
      </c>
      <c r="BX284" s="106">
        <v>0</v>
      </c>
      <c r="BY284" s="106">
        <v>0</v>
      </c>
      <c r="BZ284" s="106">
        <v>0</v>
      </c>
      <c r="CA284" s="106">
        <v>0</v>
      </c>
      <c r="CB284" s="106">
        <v>0</v>
      </c>
      <c r="CC284" s="106">
        <v>0</v>
      </c>
      <c r="CD284" s="106">
        <v>0</v>
      </c>
      <c r="CE284" s="106">
        <v>0</v>
      </c>
      <c r="CF284" s="106">
        <v>0</v>
      </c>
      <c r="CG284" s="106">
        <v>0</v>
      </c>
      <c r="CH284" s="106">
        <v>0</v>
      </c>
      <c r="CI284" s="106">
        <v>0</v>
      </c>
      <c r="CJ284" s="106">
        <v>0</v>
      </c>
      <c r="CK284" s="106">
        <v>0</v>
      </c>
      <c r="CL284" s="106">
        <v>0</v>
      </c>
      <c r="CM284" s="106">
        <v>0</v>
      </c>
      <c r="CN284" s="106">
        <v>0</v>
      </c>
      <c r="CO284" s="106">
        <v>0</v>
      </c>
      <c r="CP284" s="106">
        <v>0</v>
      </c>
      <c r="CQ284" s="106">
        <v>0</v>
      </c>
      <c r="CR284" s="106">
        <v>0</v>
      </c>
      <c r="CS284" s="106">
        <v>0</v>
      </c>
      <c r="CT284" s="106">
        <v>0</v>
      </c>
      <c r="CU284" s="106">
        <v>0</v>
      </c>
      <c r="CV284" s="106">
        <v>0</v>
      </c>
      <c r="CW284" s="106">
        <v>0</v>
      </c>
      <c r="CX284" s="106">
        <v>0</v>
      </c>
      <c r="CY284" s="106">
        <v>0</v>
      </c>
      <c r="CZ284" s="106">
        <v>0</v>
      </c>
      <c r="DA284" s="106">
        <v>0</v>
      </c>
      <c r="DB284" s="106">
        <v>0</v>
      </c>
      <c r="DC284" s="106">
        <v>0</v>
      </c>
      <c r="DD284" s="106">
        <v>0</v>
      </c>
      <c r="DE284" s="106">
        <v>0</v>
      </c>
      <c r="DF284" s="106">
        <v>0</v>
      </c>
      <c r="DG284" s="106">
        <v>0</v>
      </c>
      <c r="DH284" s="106">
        <v>0</v>
      </c>
      <c r="DI284" s="106">
        <v>0</v>
      </c>
      <c r="DJ284" s="106">
        <v>0</v>
      </c>
      <c r="DK284" s="106">
        <v>0</v>
      </c>
      <c r="DL284" s="106">
        <v>0</v>
      </c>
      <c r="DM284" s="106">
        <v>0</v>
      </c>
      <c r="DN284" s="106">
        <v>0</v>
      </c>
      <c r="DO284" s="106">
        <v>0</v>
      </c>
      <c r="DP284" s="106">
        <v>0</v>
      </c>
      <c r="DQ284" s="106">
        <v>0</v>
      </c>
      <c r="DR284" s="106">
        <v>0</v>
      </c>
      <c r="DS284" s="106">
        <v>0</v>
      </c>
      <c r="DT284" s="106">
        <v>0</v>
      </c>
      <c r="DU284" s="106">
        <v>0</v>
      </c>
      <c r="DV284" s="106">
        <v>0</v>
      </c>
      <c r="DW284" s="106">
        <v>0</v>
      </c>
      <c r="DX284" s="106">
        <v>0</v>
      </c>
      <c r="DY284" s="106">
        <v>0</v>
      </c>
      <c r="DZ284" s="106">
        <v>0</v>
      </c>
      <c r="EA284" s="106">
        <v>0</v>
      </c>
      <c r="EB284" s="106">
        <v>0</v>
      </c>
    </row>
    <row r="285" spans="1:132" hidden="1">
      <c r="A285" t="s">
        <v>272</v>
      </c>
      <c r="B285" t="s">
        <v>218</v>
      </c>
      <c r="C285" s="117">
        <v>45047</v>
      </c>
      <c r="D285" s="106">
        <v>0</v>
      </c>
      <c r="E285" s="106">
        <v>0</v>
      </c>
      <c r="F285" s="106">
        <v>0</v>
      </c>
      <c r="G285" s="106">
        <v>0</v>
      </c>
      <c r="H285" s="106">
        <v>0</v>
      </c>
      <c r="I285" s="106">
        <v>0</v>
      </c>
      <c r="J285" s="106">
        <v>0</v>
      </c>
      <c r="K285" s="106">
        <v>0</v>
      </c>
      <c r="L285" s="106">
        <v>0</v>
      </c>
      <c r="M285" s="106">
        <v>0</v>
      </c>
      <c r="N285" s="106">
        <v>0</v>
      </c>
      <c r="O285" s="106">
        <v>0</v>
      </c>
      <c r="P285" s="106">
        <v>0</v>
      </c>
      <c r="Q285" s="106">
        <v>0</v>
      </c>
      <c r="R285" s="106">
        <v>0</v>
      </c>
      <c r="S285" s="106">
        <v>0</v>
      </c>
      <c r="T285" s="106">
        <v>0</v>
      </c>
      <c r="U285" s="106">
        <v>0</v>
      </c>
      <c r="V285" s="106">
        <v>0</v>
      </c>
      <c r="W285" s="106">
        <v>0</v>
      </c>
      <c r="X285" s="106">
        <v>0</v>
      </c>
      <c r="Y285" s="106">
        <v>0</v>
      </c>
      <c r="Z285" s="106">
        <v>0</v>
      </c>
      <c r="AA285" s="106">
        <v>0</v>
      </c>
      <c r="AB285" s="106">
        <v>0</v>
      </c>
      <c r="AC285" s="106">
        <v>0</v>
      </c>
      <c r="AD285" s="106">
        <v>0</v>
      </c>
      <c r="AE285" s="106">
        <v>0</v>
      </c>
      <c r="AF285" s="106">
        <v>0</v>
      </c>
      <c r="AG285" s="106">
        <v>0</v>
      </c>
      <c r="AH285" s="106">
        <v>0</v>
      </c>
      <c r="AI285" s="106">
        <v>0</v>
      </c>
      <c r="AJ285" s="106">
        <v>0</v>
      </c>
      <c r="AK285" s="106">
        <v>0</v>
      </c>
      <c r="AL285" s="106">
        <v>0</v>
      </c>
      <c r="AM285" s="106">
        <v>0</v>
      </c>
      <c r="AN285" s="106">
        <v>0</v>
      </c>
      <c r="AO285" s="106">
        <v>0</v>
      </c>
      <c r="AP285" s="106">
        <v>0</v>
      </c>
      <c r="AQ285" s="106">
        <v>0</v>
      </c>
      <c r="AR285" s="106">
        <v>0</v>
      </c>
      <c r="AS285" s="106">
        <v>0</v>
      </c>
      <c r="AT285" s="106">
        <v>0</v>
      </c>
      <c r="AU285" s="106">
        <v>0</v>
      </c>
      <c r="AV285" s="106">
        <v>0</v>
      </c>
      <c r="AW285" s="106">
        <v>0</v>
      </c>
      <c r="AX285" s="106">
        <v>0</v>
      </c>
      <c r="AY285" s="106">
        <v>0</v>
      </c>
      <c r="AZ285" s="106">
        <v>0</v>
      </c>
      <c r="BA285" s="106">
        <v>0</v>
      </c>
      <c r="BB285" s="106">
        <v>0</v>
      </c>
      <c r="BC285" s="106">
        <v>0</v>
      </c>
      <c r="BD285" s="106">
        <v>0</v>
      </c>
      <c r="BE285" s="106">
        <v>0</v>
      </c>
      <c r="BF285" s="106">
        <v>0</v>
      </c>
      <c r="BG285" s="106">
        <v>0</v>
      </c>
      <c r="BH285" s="106">
        <v>0</v>
      </c>
      <c r="BI285" s="106">
        <v>0</v>
      </c>
      <c r="BJ285" s="106">
        <v>0</v>
      </c>
      <c r="BK285" s="106">
        <v>0</v>
      </c>
      <c r="BL285" s="106">
        <v>0</v>
      </c>
      <c r="BM285" s="106">
        <v>0</v>
      </c>
      <c r="BN285" s="106">
        <v>0</v>
      </c>
      <c r="BO285" s="106">
        <v>0</v>
      </c>
      <c r="BP285" s="106">
        <v>0</v>
      </c>
      <c r="BQ285" s="106">
        <v>0</v>
      </c>
      <c r="BR285" s="106">
        <v>0</v>
      </c>
      <c r="BS285" s="106">
        <v>0</v>
      </c>
      <c r="BT285" s="106">
        <v>0</v>
      </c>
      <c r="BU285" s="106">
        <v>0</v>
      </c>
      <c r="BV285" s="106">
        <v>0</v>
      </c>
      <c r="BW285" s="106">
        <v>0</v>
      </c>
      <c r="BX285" s="106">
        <v>0</v>
      </c>
      <c r="BY285" s="106">
        <v>0</v>
      </c>
      <c r="BZ285" s="106">
        <v>0</v>
      </c>
      <c r="CA285" s="106">
        <v>0</v>
      </c>
      <c r="CB285" s="106">
        <v>0</v>
      </c>
      <c r="CC285" s="106">
        <v>0</v>
      </c>
      <c r="CD285" s="106">
        <v>0</v>
      </c>
      <c r="CE285" s="106">
        <v>0</v>
      </c>
      <c r="CF285" s="106">
        <v>0</v>
      </c>
      <c r="CG285" s="106">
        <v>0</v>
      </c>
      <c r="CH285" s="106">
        <v>0</v>
      </c>
      <c r="CI285" s="106">
        <v>0</v>
      </c>
      <c r="CJ285" s="106">
        <v>0</v>
      </c>
      <c r="CK285" s="106">
        <v>0</v>
      </c>
      <c r="CL285" s="106">
        <v>0</v>
      </c>
      <c r="CM285" s="106">
        <v>0</v>
      </c>
      <c r="CN285" s="106">
        <v>0</v>
      </c>
      <c r="CO285" s="106">
        <v>0</v>
      </c>
      <c r="CP285" s="106">
        <v>0</v>
      </c>
      <c r="CQ285" s="106">
        <v>0</v>
      </c>
      <c r="CR285" s="106">
        <v>0</v>
      </c>
      <c r="CS285" s="106">
        <v>0</v>
      </c>
      <c r="CT285" s="106">
        <v>0</v>
      </c>
      <c r="CU285" s="106">
        <v>0</v>
      </c>
      <c r="CV285" s="106">
        <v>0</v>
      </c>
      <c r="CW285" s="106">
        <v>0</v>
      </c>
      <c r="CX285" s="106">
        <v>0</v>
      </c>
      <c r="CY285" s="106">
        <v>0</v>
      </c>
      <c r="CZ285" s="106">
        <v>0</v>
      </c>
      <c r="DA285" s="106">
        <v>0</v>
      </c>
      <c r="DB285" s="106">
        <v>0</v>
      </c>
      <c r="DC285" s="106">
        <v>0</v>
      </c>
      <c r="DD285" s="106">
        <v>0</v>
      </c>
      <c r="DE285" s="106">
        <v>0</v>
      </c>
      <c r="DF285" s="106">
        <v>0</v>
      </c>
      <c r="DG285" s="106">
        <v>0</v>
      </c>
      <c r="DH285" s="106">
        <v>0</v>
      </c>
      <c r="DI285" s="106">
        <v>0</v>
      </c>
      <c r="DJ285" s="106">
        <v>0</v>
      </c>
      <c r="DK285" s="106">
        <v>0</v>
      </c>
      <c r="DL285" s="106">
        <v>0</v>
      </c>
      <c r="DM285" s="106">
        <v>0</v>
      </c>
      <c r="DN285" s="106">
        <v>0</v>
      </c>
      <c r="DO285" s="106">
        <v>0</v>
      </c>
      <c r="DP285" s="106">
        <v>0</v>
      </c>
      <c r="DQ285" s="106">
        <v>0</v>
      </c>
      <c r="DR285" s="106">
        <v>0</v>
      </c>
      <c r="DS285" s="106">
        <v>0</v>
      </c>
      <c r="DT285" s="106">
        <v>0</v>
      </c>
      <c r="DU285" s="106">
        <v>0</v>
      </c>
      <c r="DV285" s="106">
        <v>0</v>
      </c>
      <c r="DW285" s="106">
        <v>0</v>
      </c>
      <c r="DX285" s="106">
        <v>0</v>
      </c>
      <c r="DY285" s="106">
        <v>0</v>
      </c>
      <c r="DZ285" s="106">
        <v>0</v>
      </c>
      <c r="EA285" s="106">
        <v>0</v>
      </c>
      <c r="EB285" s="106">
        <v>0</v>
      </c>
    </row>
    <row r="286" spans="1:132" hidden="1">
      <c r="A286" t="s">
        <v>272</v>
      </c>
      <c r="B286" t="s">
        <v>218</v>
      </c>
      <c r="C286" s="117">
        <v>45017</v>
      </c>
      <c r="D286" s="106">
        <v>0</v>
      </c>
      <c r="E286" s="106">
        <v>0</v>
      </c>
      <c r="F286" s="106">
        <v>0</v>
      </c>
      <c r="G286" s="106">
        <v>0</v>
      </c>
      <c r="H286" s="106">
        <v>0</v>
      </c>
      <c r="I286" s="106">
        <v>0</v>
      </c>
      <c r="J286" s="106">
        <v>0</v>
      </c>
      <c r="K286" s="106">
        <v>0</v>
      </c>
      <c r="L286" s="106">
        <v>0</v>
      </c>
      <c r="M286" s="106">
        <v>0</v>
      </c>
      <c r="N286" s="106">
        <v>0</v>
      </c>
      <c r="O286" s="106">
        <v>0</v>
      </c>
      <c r="P286" s="106">
        <v>0</v>
      </c>
      <c r="Q286" s="106">
        <v>0</v>
      </c>
      <c r="R286" s="106">
        <v>0</v>
      </c>
      <c r="S286" s="106">
        <v>0</v>
      </c>
      <c r="T286" s="106">
        <v>0</v>
      </c>
      <c r="U286" s="106">
        <v>0</v>
      </c>
      <c r="V286" s="106">
        <v>0</v>
      </c>
      <c r="W286" s="106">
        <v>0</v>
      </c>
      <c r="X286" s="106">
        <v>0</v>
      </c>
      <c r="Y286" s="106">
        <v>0</v>
      </c>
      <c r="Z286" s="106">
        <v>0</v>
      </c>
      <c r="AA286" s="106">
        <v>0</v>
      </c>
      <c r="AB286" s="106">
        <v>0</v>
      </c>
      <c r="AC286" s="106">
        <v>0</v>
      </c>
      <c r="AD286" s="106">
        <v>0</v>
      </c>
      <c r="AE286" s="106">
        <v>0</v>
      </c>
      <c r="AF286" s="106">
        <v>0</v>
      </c>
      <c r="AG286" s="106">
        <v>0</v>
      </c>
      <c r="AH286" s="106">
        <v>0</v>
      </c>
      <c r="AI286" s="106">
        <v>0</v>
      </c>
      <c r="AJ286" s="106">
        <v>0</v>
      </c>
      <c r="AK286" s="106">
        <v>0</v>
      </c>
      <c r="AL286" s="106">
        <v>0</v>
      </c>
      <c r="AM286" s="106">
        <v>0</v>
      </c>
      <c r="AN286" s="106">
        <v>0</v>
      </c>
      <c r="AO286" s="106">
        <v>0</v>
      </c>
      <c r="AP286" s="106">
        <v>0</v>
      </c>
      <c r="AQ286" s="106">
        <v>0</v>
      </c>
      <c r="AR286" s="106">
        <v>0</v>
      </c>
      <c r="AS286" s="106">
        <v>0</v>
      </c>
      <c r="AT286" s="106">
        <v>0</v>
      </c>
      <c r="AU286" s="106">
        <v>0</v>
      </c>
      <c r="AV286" s="106">
        <v>0</v>
      </c>
      <c r="AW286" s="106">
        <v>0</v>
      </c>
      <c r="AX286" s="106">
        <v>0</v>
      </c>
      <c r="AY286" s="106">
        <v>0</v>
      </c>
      <c r="AZ286" s="106">
        <v>0</v>
      </c>
      <c r="BA286" s="106">
        <v>0</v>
      </c>
      <c r="BB286" s="106">
        <v>0</v>
      </c>
      <c r="BC286" s="106">
        <v>0</v>
      </c>
      <c r="BD286" s="106">
        <v>0</v>
      </c>
      <c r="BE286" s="106">
        <v>0</v>
      </c>
      <c r="BF286" s="106">
        <v>0</v>
      </c>
      <c r="BG286" s="106">
        <v>0</v>
      </c>
      <c r="BH286" s="106">
        <v>0</v>
      </c>
      <c r="BI286" s="106">
        <v>0</v>
      </c>
      <c r="BJ286" s="106">
        <v>0</v>
      </c>
      <c r="BK286" s="106">
        <v>0</v>
      </c>
      <c r="BL286" s="106">
        <v>0</v>
      </c>
      <c r="BM286" s="106">
        <v>0</v>
      </c>
      <c r="BN286" s="106">
        <v>0</v>
      </c>
      <c r="BO286" s="106">
        <v>0</v>
      </c>
      <c r="BP286" s="106">
        <v>0</v>
      </c>
      <c r="BQ286" s="106">
        <v>0</v>
      </c>
      <c r="BR286" s="106">
        <v>0</v>
      </c>
      <c r="BS286" s="106">
        <v>0</v>
      </c>
      <c r="BT286" s="106">
        <v>0</v>
      </c>
      <c r="BU286" s="106">
        <v>0</v>
      </c>
      <c r="BV286" s="106">
        <v>0</v>
      </c>
      <c r="BW286" s="106">
        <v>0</v>
      </c>
      <c r="BX286" s="106">
        <v>0</v>
      </c>
      <c r="BY286" s="106">
        <v>0</v>
      </c>
      <c r="BZ286" s="106">
        <v>0</v>
      </c>
      <c r="CA286" s="106">
        <v>0</v>
      </c>
      <c r="CB286" s="106">
        <v>0</v>
      </c>
      <c r="CC286" s="106">
        <v>0</v>
      </c>
      <c r="CD286" s="106">
        <v>0</v>
      </c>
      <c r="CE286" s="106">
        <v>0</v>
      </c>
      <c r="CF286" s="106">
        <v>0</v>
      </c>
      <c r="CG286" s="106">
        <v>0</v>
      </c>
      <c r="CH286" s="106">
        <v>0</v>
      </c>
      <c r="CI286" s="106">
        <v>0</v>
      </c>
      <c r="CJ286" s="106">
        <v>0</v>
      </c>
      <c r="CK286" s="106">
        <v>0</v>
      </c>
      <c r="CL286" s="106">
        <v>0</v>
      </c>
      <c r="CM286" s="106">
        <v>0</v>
      </c>
      <c r="CN286" s="106">
        <v>0</v>
      </c>
      <c r="CO286" s="106">
        <v>0</v>
      </c>
      <c r="CP286" s="106">
        <v>0</v>
      </c>
      <c r="CQ286" s="106">
        <v>0</v>
      </c>
      <c r="CR286" s="106">
        <v>0</v>
      </c>
      <c r="CS286" s="106">
        <v>0</v>
      </c>
      <c r="CT286" s="106">
        <v>0</v>
      </c>
      <c r="CU286" s="106">
        <v>0</v>
      </c>
      <c r="CV286" s="106">
        <v>0</v>
      </c>
      <c r="CW286" s="106">
        <v>0</v>
      </c>
      <c r="CX286" s="106">
        <v>0</v>
      </c>
      <c r="CY286" s="106">
        <v>0</v>
      </c>
      <c r="CZ286" s="106">
        <v>0</v>
      </c>
      <c r="DA286" s="106">
        <v>0</v>
      </c>
      <c r="DB286" s="106">
        <v>0</v>
      </c>
      <c r="DC286" s="106">
        <v>0</v>
      </c>
      <c r="DD286" s="106">
        <v>0</v>
      </c>
      <c r="DE286" s="106">
        <v>0</v>
      </c>
      <c r="DF286" s="106">
        <v>0</v>
      </c>
      <c r="DG286" s="106">
        <v>0</v>
      </c>
      <c r="DH286" s="106">
        <v>0</v>
      </c>
      <c r="DI286" s="106">
        <v>0</v>
      </c>
      <c r="DJ286" s="106">
        <v>0</v>
      </c>
      <c r="DK286" s="106">
        <v>0</v>
      </c>
      <c r="DL286" s="106">
        <v>0</v>
      </c>
      <c r="DM286" s="106">
        <v>0</v>
      </c>
      <c r="DN286" s="106">
        <v>0</v>
      </c>
      <c r="DO286" s="106">
        <v>0</v>
      </c>
      <c r="DP286" s="106">
        <v>0</v>
      </c>
      <c r="DQ286" s="106">
        <v>0</v>
      </c>
      <c r="DR286" s="106">
        <v>0</v>
      </c>
      <c r="DS286" s="106">
        <v>0</v>
      </c>
      <c r="DT286" s="106">
        <v>0</v>
      </c>
      <c r="DU286" s="106">
        <v>0</v>
      </c>
      <c r="DV286" s="106">
        <v>0</v>
      </c>
      <c r="DW286" s="106">
        <v>0</v>
      </c>
      <c r="DX286" s="106">
        <v>0</v>
      </c>
      <c r="DY286" s="106">
        <v>0</v>
      </c>
      <c r="DZ286" s="106">
        <v>0</v>
      </c>
      <c r="EA286" s="106">
        <v>0</v>
      </c>
      <c r="EB286" s="106">
        <v>0</v>
      </c>
    </row>
    <row r="287" spans="1:132" hidden="1">
      <c r="A287" t="s">
        <v>272</v>
      </c>
      <c r="B287" t="s">
        <v>218</v>
      </c>
      <c r="C287" s="117">
        <v>44986</v>
      </c>
      <c r="D287" s="106">
        <v>0</v>
      </c>
      <c r="E287" s="106">
        <v>0</v>
      </c>
      <c r="F287" s="106">
        <v>0</v>
      </c>
      <c r="G287" s="106">
        <v>0</v>
      </c>
      <c r="H287" s="106">
        <v>0</v>
      </c>
      <c r="I287" s="106">
        <v>0</v>
      </c>
      <c r="J287" s="106">
        <v>0</v>
      </c>
      <c r="K287" s="106">
        <v>0</v>
      </c>
      <c r="L287" s="106">
        <v>0</v>
      </c>
      <c r="M287" s="106">
        <v>0</v>
      </c>
      <c r="N287" s="106">
        <v>0</v>
      </c>
      <c r="O287" s="106">
        <v>0</v>
      </c>
      <c r="P287" s="106">
        <v>0</v>
      </c>
      <c r="Q287" s="106">
        <v>0</v>
      </c>
      <c r="R287" s="106">
        <v>0</v>
      </c>
      <c r="S287" s="106">
        <v>0</v>
      </c>
      <c r="T287" s="106">
        <v>0</v>
      </c>
      <c r="U287" s="106">
        <v>0</v>
      </c>
      <c r="V287" s="106">
        <v>0</v>
      </c>
      <c r="W287" s="106">
        <v>0</v>
      </c>
      <c r="X287" s="106">
        <v>0</v>
      </c>
      <c r="Y287" s="106">
        <v>0</v>
      </c>
      <c r="Z287" s="106">
        <v>0</v>
      </c>
      <c r="AA287" s="106">
        <v>0</v>
      </c>
      <c r="AB287" s="106">
        <v>0</v>
      </c>
      <c r="AC287" s="106">
        <v>0</v>
      </c>
      <c r="AD287" s="106">
        <v>0</v>
      </c>
      <c r="AE287" s="106">
        <v>0</v>
      </c>
      <c r="AF287" s="106">
        <v>0</v>
      </c>
      <c r="AG287" s="106">
        <v>0</v>
      </c>
      <c r="AH287" s="106">
        <v>0</v>
      </c>
      <c r="AI287" s="106">
        <v>0</v>
      </c>
      <c r="AJ287" s="106">
        <v>0</v>
      </c>
      <c r="AK287" s="106">
        <v>0</v>
      </c>
      <c r="AL287" s="106">
        <v>0</v>
      </c>
      <c r="AM287" s="106">
        <v>0</v>
      </c>
      <c r="AN287" s="106">
        <v>0</v>
      </c>
      <c r="AO287" s="106">
        <v>0</v>
      </c>
      <c r="AP287" s="106">
        <v>0</v>
      </c>
      <c r="AQ287" s="106">
        <v>0</v>
      </c>
      <c r="AR287" s="106">
        <v>0</v>
      </c>
      <c r="AS287" s="106">
        <v>0</v>
      </c>
      <c r="AT287" s="106">
        <v>0</v>
      </c>
      <c r="AU287" s="106">
        <v>0</v>
      </c>
      <c r="AV287" s="106">
        <v>0</v>
      </c>
      <c r="AW287" s="106">
        <v>0</v>
      </c>
      <c r="AX287" s="106">
        <v>0</v>
      </c>
      <c r="AY287" s="106">
        <v>0</v>
      </c>
      <c r="AZ287" s="106">
        <v>0</v>
      </c>
      <c r="BA287" s="106">
        <v>0</v>
      </c>
      <c r="BB287" s="106">
        <v>0</v>
      </c>
      <c r="BC287" s="106">
        <v>0</v>
      </c>
      <c r="BD287" s="106">
        <v>0</v>
      </c>
      <c r="BE287" s="106">
        <v>0</v>
      </c>
      <c r="BF287" s="106">
        <v>0</v>
      </c>
      <c r="BG287" s="106">
        <v>0</v>
      </c>
      <c r="BH287" s="106">
        <v>0</v>
      </c>
      <c r="BI287" s="106">
        <v>0</v>
      </c>
      <c r="BJ287" s="106">
        <v>0</v>
      </c>
      <c r="BK287" s="106">
        <v>0</v>
      </c>
      <c r="BL287" s="106">
        <v>0</v>
      </c>
      <c r="BM287" s="106">
        <v>0</v>
      </c>
      <c r="BN287" s="106">
        <v>0</v>
      </c>
      <c r="BO287" s="106">
        <v>0</v>
      </c>
      <c r="BP287" s="106">
        <v>0</v>
      </c>
      <c r="BQ287" s="106">
        <v>0</v>
      </c>
      <c r="BR287" s="106">
        <v>0</v>
      </c>
      <c r="BS287" s="106">
        <v>0</v>
      </c>
      <c r="BT287" s="106">
        <v>0</v>
      </c>
      <c r="BU287" s="106">
        <v>0</v>
      </c>
      <c r="BV287" s="106">
        <v>0</v>
      </c>
      <c r="BW287" s="106">
        <v>0</v>
      </c>
      <c r="BX287" s="106">
        <v>0</v>
      </c>
      <c r="BY287" s="106">
        <v>0</v>
      </c>
      <c r="BZ287" s="106">
        <v>0</v>
      </c>
      <c r="CA287" s="106">
        <v>0</v>
      </c>
      <c r="CB287" s="106">
        <v>0</v>
      </c>
      <c r="CC287" s="106">
        <v>0</v>
      </c>
      <c r="CD287" s="106">
        <v>0</v>
      </c>
      <c r="CE287" s="106">
        <v>0</v>
      </c>
      <c r="CF287" s="106">
        <v>0</v>
      </c>
      <c r="CG287" s="106">
        <v>0</v>
      </c>
      <c r="CH287" s="106">
        <v>0</v>
      </c>
      <c r="CI287" s="106">
        <v>0</v>
      </c>
      <c r="CJ287" s="106">
        <v>0</v>
      </c>
      <c r="CK287" s="106">
        <v>0</v>
      </c>
      <c r="CL287" s="106">
        <v>0</v>
      </c>
      <c r="CM287" s="106">
        <v>0</v>
      </c>
      <c r="CN287" s="106">
        <v>0</v>
      </c>
      <c r="CO287" s="106">
        <v>0</v>
      </c>
      <c r="CP287" s="106">
        <v>0</v>
      </c>
      <c r="CQ287" s="106">
        <v>0</v>
      </c>
      <c r="CR287" s="106">
        <v>0</v>
      </c>
      <c r="CS287" s="106">
        <v>0</v>
      </c>
      <c r="CT287" s="106">
        <v>0</v>
      </c>
      <c r="CU287" s="106">
        <v>0</v>
      </c>
      <c r="CV287" s="106">
        <v>0</v>
      </c>
      <c r="CW287" s="106">
        <v>0</v>
      </c>
      <c r="CX287" s="106">
        <v>0</v>
      </c>
      <c r="CY287" s="106">
        <v>0</v>
      </c>
      <c r="CZ287" s="106">
        <v>0</v>
      </c>
      <c r="DA287" s="106">
        <v>0</v>
      </c>
      <c r="DB287" s="106">
        <v>0</v>
      </c>
      <c r="DC287" s="106">
        <v>0</v>
      </c>
      <c r="DD287" s="106">
        <v>0</v>
      </c>
      <c r="DE287" s="106">
        <v>0</v>
      </c>
      <c r="DF287" s="106">
        <v>0</v>
      </c>
      <c r="DG287" s="106">
        <v>0</v>
      </c>
      <c r="DH287" s="106">
        <v>0</v>
      </c>
      <c r="DI287" s="106">
        <v>0</v>
      </c>
      <c r="DJ287" s="106">
        <v>0</v>
      </c>
      <c r="DK287" s="106">
        <v>0</v>
      </c>
      <c r="DL287" s="106">
        <v>0</v>
      </c>
      <c r="DM287" s="106">
        <v>0</v>
      </c>
      <c r="DN287" s="106">
        <v>0</v>
      </c>
      <c r="DO287" s="106">
        <v>0</v>
      </c>
      <c r="DP287" s="106">
        <v>0</v>
      </c>
      <c r="DQ287" s="106">
        <v>0</v>
      </c>
      <c r="DR287" s="106">
        <v>0</v>
      </c>
      <c r="DS287" s="106">
        <v>0</v>
      </c>
      <c r="DT287" s="106">
        <v>0</v>
      </c>
      <c r="DU287" s="106">
        <v>0</v>
      </c>
      <c r="DV287" s="106">
        <v>0</v>
      </c>
      <c r="DW287" s="106">
        <v>0</v>
      </c>
      <c r="DX287" s="106">
        <v>0</v>
      </c>
      <c r="DY287" s="106">
        <v>0</v>
      </c>
      <c r="DZ287" s="106">
        <v>0</v>
      </c>
      <c r="EA287" s="106">
        <v>0</v>
      </c>
      <c r="EB287" s="106">
        <v>0</v>
      </c>
    </row>
    <row r="288" spans="1:132" hidden="1">
      <c r="A288" t="s">
        <v>272</v>
      </c>
      <c r="B288" t="s">
        <v>218</v>
      </c>
      <c r="C288" s="117">
        <v>44958</v>
      </c>
      <c r="D288" s="106">
        <v>0</v>
      </c>
      <c r="E288" s="106">
        <v>0</v>
      </c>
      <c r="F288" s="106">
        <v>0</v>
      </c>
      <c r="G288" s="106">
        <v>0</v>
      </c>
      <c r="H288" s="106">
        <v>0</v>
      </c>
      <c r="I288" s="106">
        <v>0</v>
      </c>
      <c r="J288" s="106">
        <v>0</v>
      </c>
      <c r="K288" s="106">
        <v>0</v>
      </c>
      <c r="L288" s="106">
        <v>0</v>
      </c>
      <c r="M288" s="106">
        <v>0</v>
      </c>
      <c r="N288" s="106">
        <v>0</v>
      </c>
      <c r="O288" s="106">
        <v>0</v>
      </c>
      <c r="P288" s="106">
        <v>0</v>
      </c>
      <c r="Q288" s="106">
        <v>0</v>
      </c>
      <c r="R288" s="106">
        <v>0</v>
      </c>
      <c r="S288" s="106">
        <v>0</v>
      </c>
      <c r="T288" s="106">
        <v>0</v>
      </c>
      <c r="U288" s="106">
        <v>0</v>
      </c>
      <c r="V288" s="106">
        <v>0</v>
      </c>
      <c r="W288" s="106">
        <v>0</v>
      </c>
      <c r="X288" s="106">
        <v>0</v>
      </c>
      <c r="Y288" s="106">
        <v>0</v>
      </c>
      <c r="Z288" s="106">
        <v>0</v>
      </c>
      <c r="AA288" s="106">
        <v>0</v>
      </c>
      <c r="AB288" s="106">
        <v>0</v>
      </c>
      <c r="AC288" s="106">
        <v>0</v>
      </c>
      <c r="AD288" s="106">
        <v>0</v>
      </c>
      <c r="AE288" s="106">
        <v>0</v>
      </c>
      <c r="AF288" s="106">
        <v>0</v>
      </c>
      <c r="AG288" s="106">
        <v>0</v>
      </c>
      <c r="AH288" s="106">
        <v>0</v>
      </c>
      <c r="AI288" s="106">
        <v>0</v>
      </c>
      <c r="AJ288" s="106">
        <v>0</v>
      </c>
      <c r="AK288" s="106">
        <v>0</v>
      </c>
      <c r="AL288" s="106">
        <v>0</v>
      </c>
      <c r="AM288" s="106">
        <v>0</v>
      </c>
      <c r="AN288" s="106">
        <v>0</v>
      </c>
      <c r="AO288" s="106">
        <v>0</v>
      </c>
      <c r="AP288" s="106">
        <v>0</v>
      </c>
      <c r="AQ288" s="106">
        <v>0</v>
      </c>
      <c r="AR288" s="106">
        <v>0</v>
      </c>
      <c r="AS288" s="106">
        <v>0</v>
      </c>
      <c r="AT288" s="106">
        <v>0</v>
      </c>
      <c r="AU288" s="106">
        <v>0</v>
      </c>
      <c r="AV288" s="106">
        <v>0</v>
      </c>
      <c r="AW288" s="106">
        <v>0</v>
      </c>
      <c r="AX288" s="106">
        <v>0</v>
      </c>
      <c r="AY288" s="106">
        <v>0</v>
      </c>
      <c r="AZ288" s="106">
        <v>0</v>
      </c>
      <c r="BA288" s="106">
        <v>0</v>
      </c>
      <c r="BB288" s="106">
        <v>0</v>
      </c>
      <c r="BC288" s="106">
        <v>0</v>
      </c>
      <c r="BD288" s="106">
        <v>0</v>
      </c>
      <c r="BE288" s="106">
        <v>0</v>
      </c>
      <c r="BF288" s="106">
        <v>0</v>
      </c>
      <c r="BG288" s="106">
        <v>0</v>
      </c>
      <c r="BH288" s="106">
        <v>0</v>
      </c>
      <c r="BI288" s="106">
        <v>0</v>
      </c>
      <c r="BJ288" s="106">
        <v>0</v>
      </c>
      <c r="BK288" s="106">
        <v>0</v>
      </c>
      <c r="BL288" s="106">
        <v>0</v>
      </c>
      <c r="BM288" s="106">
        <v>0</v>
      </c>
      <c r="BN288" s="106">
        <v>0</v>
      </c>
      <c r="BO288" s="106">
        <v>0</v>
      </c>
      <c r="BP288" s="106">
        <v>0</v>
      </c>
      <c r="BQ288" s="106">
        <v>0</v>
      </c>
      <c r="BR288" s="106">
        <v>0</v>
      </c>
      <c r="BS288" s="106">
        <v>0</v>
      </c>
      <c r="BT288" s="106">
        <v>0</v>
      </c>
      <c r="BU288" s="106">
        <v>0</v>
      </c>
      <c r="BV288" s="106">
        <v>0</v>
      </c>
      <c r="BW288" s="106">
        <v>0</v>
      </c>
      <c r="BX288" s="106">
        <v>0</v>
      </c>
      <c r="BY288" s="106">
        <v>0</v>
      </c>
      <c r="BZ288" s="106">
        <v>0</v>
      </c>
      <c r="CA288" s="106">
        <v>0</v>
      </c>
      <c r="CB288" s="106">
        <v>0</v>
      </c>
      <c r="CC288" s="106">
        <v>0</v>
      </c>
      <c r="CD288" s="106">
        <v>0</v>
      </c>
      <c r="CE288" s="106">
        <v>0</v>
      </c>
      <c r="CF288" s="106">
        <v>0</v>
      </c>
      <c r="CG288" s="106">
        <v>0</v>
      </c>
      <c r="CH288" s="106">
        <v>0</v>
      </c>
      <c r="CI288" s="106">
        <v>0</v>
      </c>
      <c r="CJ288" s="106">
        <v>0</v>
      </c>
      <c r="CK288" s="106">
        <v>0</v>
      </c>
      <c r="CL288" s="106">
        <v>0</v>
      </c>
      <c r="CM288" s="106">
        <v>0</v>
      </c>
      <c r="CN288" s="106">
        <v>0</v>
      </c>
      <c r="CO288" s="106">
        <v>0</v>
      </c>
      <c r="CP288" s="106">
        <v>0</v>
      </c>
      <c r="CQ288" s="106">
        <v>0</v>
      </c>
      <c r="CR288" s="106">
        <v>0</v>
      </c>
      <c r="CS288" s="106">
        <v>0</v>
      </c>
      <c r="CT288" s="106">
        <v>0</v>
      </c>
      <c r="CU288" s="106">
        <v>0</v>
      </c>
      <c r="CV288" s="106">
        <v>0</v>
      </c>
      <c r="CW288" s="106">
        <v>0</v>
      </c>
      <c r="CX288" s="106">
        <v>0</v>
      </c>
      <c r="CY288" s="106">
        <v>0</v>
      </c>
      <c r="CZ288" s="106">
        <v>0</v>
      </c>
      <c r="DA288" s="106">
        <v>0</v>
      </c>
      <c r="DB288" s="106">
        <v>0</v>
      </c>
      <c r="DC288" s="106">
        <v>0</v>
      </c>
      <c r="DD288" s="106">
        <v>0</v>
      </c>
      <c r="DE288" s="106">
        <v>0</v>
      </c>
      <c r="DF288" s="106">
        <v>0</v>
      </c>
      <c r="DG288" s="106">
        <v>0</v>
      </c>
      <c r="DH288" s="106">
        <v>0</v>
      </c>
      <c r="DI288" s="106">
        <v>0</v>
      </c>
      <c r="DJ288" s="106">
        <v>0</v>
      </c>
      <c r="DK288" s="106">
        <v>0</v>
      </c>
      <c r="DL288" s="106">
        <v>0</v>
      </c>
      <c r="DM288" s="106">
        <v>0</v>
      </c>
      <c r="DN288" s="106">
        <v>0</v>
      </c>
      <c r="DO288" s="106">
        <v>0</v>
      </c>
      <c r="DP288" s="106">
        <v>0</v>
      </c>
      <c r="DQ288" s="106">
        <v>0</v>
      </c>
      <c r="DR288" s="106">
        <v>0</v>
      </c>
      <c r="DS288" s="106">
        <v>0</v>
      </c>
      <c r="DT288" s="106">
        <v>0</v>
      </c>
      <c r="DU288" s="106">
        <v>0</v>
      </c>
      <c r="DV288" s="106">
        <v>0</v>
      </c>
      <c r="DW288" s="106">
        <v>0</v>
      </c>
      <c r="DX288" s="106">
        <v>0</v>
      </c>
      <c r="DY288" s="106">
        <v>0</v>
      </c>
      <c r="DZ288" s="106">
        <v>0</v>
      </c>
      <c r="EA288" s="106">
        <v>0</v>
      </c>
      <c r="EB288" s="106">
        <v>0</v>
      </c>
    </row>
    <row r="289" spans="1:132" hidden="1">
      <c r="A289" t="s">
        <v>272</v>
      </c>
      <c r="B289" t="s">
        <v>218</v>
      </c>
      <c r="C289" s="117">
        <v>44927</v>
      </c>
      <c r="D289" s="106">
        <v>0</v>
      </c>
      <c r="E289" s="106">
        <v>0</v>
      </c>
      <c r="F289" s="106">
        <v>0</v>
      </c>
      <c r="G289" s="106">
        <v>0</v>
      </c>
      <c r="H289" s="106">
        <v>0</v>
      </c>
      <c r="I289" s="106">
        <v>0</v>
      </c>
      <c r="J289" s="106">
        <v>0</v>
      </c>
      <c r="K289" s="106">
        <v>0</v>
      </c>
      <c r="L289" s="106">
        <v>0</v>
      </c>
      <c r="M289" s="106">
        <v>0</v>
      </c>
      <c r="N289" s="106">
        <v>0</v>
      </c>
      <c r="O289" s="106">
        <v>0</v>
      </c>
      <c r="P289" s="106">
        <v>0</v>
      </c>
      <c r="Q289" s="106">
        <v>0</v>
      </c>
      <c r="R289" s="106">
        <v>0</v>
      </c>
      <c r="S289" s="106">
        <v>0</v>
      </c>
      <c r="T289" s="106">
        <v>0</v>
      </c>
      <c r="U289" s="106">
        <v>0</v>
      </c>
      <c r="V289" s="106">
        <v>0</v>
      </c>
      <c r="W289" s="106">
        <v>0</v>
      </c>
      <c r="X289" s="106">
        <v>0</v>
      </c>
      <c r="Y289" s="106">
        <v>0</v>
      </c>
      <c r="Z289" s="106">
        <v>0</v>
      </c>
      <c r="AA289" s="106">
        <v>0</v>
      </c>
      <c r="AB289" s="106">
        <v>0</v>
      </c>
      <c r="AC289" s="106">
        <v>0</v>
      </c>
      <c r="AD289" s="106">
        <v>0</v>
      </c>
      <c r="AE289" s="106">
        <v>0</v>
      </c>
      <c r="AF289" s="106">
        <v>0</v>
      </c>
      <c r="AG289" s="106">
        <v>0</v>
      </c>
      <c r="AH289" s="106">
        <v>0</v>
      </c>
      <c r="AI289" s="106">
        <v>0</v>
      </c>
      <c r="AJ289" s="106">
        <v>0</v>
      </c>
      <c r="AK289" s="106">
        <v>0</v>
      </c>
      <c r="AL289" s="106">
        <v>0</v>
      </c>
      <c r="AM289" s="106">
        <v>0</v>
      </c>
      <c r="AN289" s="106">
        <v>0</v>
      </c>
      <c r="AO289" s="106">
        <v>0</v>
      </c>
      <c r="AP289" s="106">
        <v>0</v>
      </c>
      <c r="AQ289" s="106">
        <v>0</v>
      </c>
      <c r="AR289" s="106">
        <v>0</v>
      </c>
      <c r="AS289" s="106">
        <v>0</v>
      </c>
      <c r="AT289" s="106">
        <v>0</v>
      </c>
      <c r="AU289" s="106">
        <v>0</v>
      </c>
      <c r="AV289" s="106">
        <v>0</v>
      </c>
      <c r="AW289" s="106">
        <v>0</v>
      </c>
      <c r="AX289" s="106">
        <v>0</v>
      </c>
      <c r="AY289" s="106">
        <v>0</v>
      </c>
      <c r="AZ289" s="106">
        <v>0</v>
      </c>
      <c r="BA289" s="106">
        <v>0</v>
      </c>
      <c r="BB289" s="106">
        <v>0</v>
      </c>
      <c r="BC289" s="106">
        <v>0</v>
      </c>
      <c r="BD289" s="106">
        <v>0</v>
      </c>
      <c r="BE289" s="106">
        <v>0</v>
      </c>
      <c r="BF289" s="106">
        <v>0</v>
      </c>
      <c r="BG289" s="106">
        <v>0</v>
      </c>
      <c r="BH289" s="106">
        <v>0</v>
      </c>
      <c r="BI289" s="106">
        <v>0</v>
      </c>
      <c r="BJ289" s="106">
        <v>0</v>
      </c>
      <c r="BK289" s="106">
        <v>0</v>
      </c>
      <c r="BL289" s="106">
        <v>0</v>
      </c>
      <c r="BM289" s="106">
        <v>0</v>
      </c>
      <c r="BN289" s="106">
        <v>0</v>
      </c>
      <c r="BO289" s="106">
        <v>0</v>
      </c>
      <c r="BP289" s="106">
        <v>0</v>
      </c>
      <c r="BQ289" s="106">
        <v>0</v>
      </c>
      <c r="BR289" s="106">
        <v>0</v>
      </c>
      <c r="BS289" s="106">
        <v>0</v>
      </c>
      <c r="BT289" s="106">
        <v>0</v>
      </c>
      <c r="BU289" s="106">
        <v>0</v>
      </c>
      <c r="BV289" s="106">
        <v>0</v>
      </c>
      <c r="BW289" s="106">
        <v>0</v>
      </c>
      <c r="BX289" s="106">
        <v>0</v>
      </c>
      <c r="BY289" s="106">
        <v>0</v>
      </c>
      <c r="BZ289" s="106">
        <v>0</v>
      </c>
      <c r="CA289" s="106">
        <v>0</v>
      </c>
      <c r="CB289" s="106">
        <v>0</v>
      </c>
      <c r="CC289" s="106">
        <v>0</v>
      </c>
      <c r="CD289" s="106">
        <v>0</v>
      </c>
      <c r="CE289" s="106">
        <v>0</v>
      </c>
      <c r="CF289" s="106">
        <v>0</v>
      </c>
      <c r="CG289" s="106">
        <v>0</v>
      </c>
      <c r="CH289" s="106">
        <v>0</v>
      </c>
      <c r="CI289" s="106">
        <v>0</v>
      </c>
      <c r="CJ289" s="106">
        <v>0</v>
      </c>
      <c r="CK289" s="106">
        <v>0</v>
      </c>
      <c r="CL289" s="106">
        <v>0</v>
      </c>
      <c r="CM289" s="106">
        <v>0</v>
      </c>
      <c r="CN289" s="106">
        <v>0</v>
      </c>
      <c r="CO289" s="106">
        <v>0</v>
      </c>
      <c r="CP289" s="106">
        <v>0</v>
      </c>
      <c r="CQ289" s="106">
        <v>0</v>
      </c>
      <c r="CR289" s="106">
        <v>0</v>
      </c>
      <c r="CS289" s="106">
        <v>0</v>
      </c>
      <c r="CT289" s="106">
        <v>0</v>
      </c>
      <c r="CU289" s="106">
        <v>0</v>
      </c>
      <c r="CV289" s="106">
        <v>0</v>
      </c>
      <c r="CW289" s="106">
        <v>0</v>
      </c>
      <c r="CX289" s="106">
        <v>0</v>
      </c>
      <c r="CY289" s="106">
        <v>0</v>
      </c>
      <c r="CZ289" s="106">
        <v>0</v>
      </c>
      <c r="DA289" s="106">
        <v>0</v>
      </c>
      <c r="DB289" s="106">
        <v>0</v>
      </c>
      <c r="DC289" s="106">
        <v>0</v>
      </c>
      <c r="DD289" s="106">
        <v>0</v>
      </c>
      <c r="DE289" s="106">
        <v>0</v>
      </c>
      <c r="DF289" s="106">
        <v>0</v>
      </c>
      <c r="DG289" s="106">
        <v>0</v>
      </c>
      <c r="DH289" s="106">
        <v>0</v>
      </c>
      <c r="DI289" s="106">
        <v>0</v>
      </c>
      <c r="DJ289" s="106">
        <v>0</v>
      </c>
      <c r="DK289" s="106">
        <v>0</v>
      </c>
      <c r="DL289" s="106">
        <v>0</v>
      </c>
      <c r="DM289" s="106">
        <v>0</v>
      </c>
      <c r="DN289" s="106">
        <v>0</v>
      </c>
      <c r="DO289" s="106">
        <v>0</v>
      </c>
      <c r="DP289" s="106">
        <v>0</v>
      </c>
      <c r="DQ289" s="106">
        <v>0</v>
      </c>
      <c r="DR289" s="106">
        <v>0</v>
      </c>
      <c r="DS289" s="106">
        <v>0</v>
      </c>
      <c r="DT289" s="106">
        <v>0</v>
      </c>
      <c r="DU289" s="106">
        <v>0</v>
      </c>
      <c r="DV289" s="106">
        <v>0</v>
      </c>
      <c r="DW289" s="106">
        <v>0</v>
      </c>
      <c r="DX289" s="106">
        <v>0</v>
      </c>
      <c r="DY289" s="106">
        <v>0</v>
      </c>
      <c r="DZ289" s="106">
        <v>0</v>
      </c>
      <c r="EA289" s="106">
        <v>0</v>
      </c>
      <c r="EB289" s="106">
        <v>0</v>
      </c>
    </row>
    <row r="290" spans="1:132">
      <c r="A290" t="s">
        <v>269</v>
      </c>
      <c r="B290" t="s">
        <v>273</v>
      </c>
      <c r="C290" s="117">
        <v>45992</v>
      </c>
      <c r="D290" s="106">
        <f t="shared" si="5"/>
        <v>0</v>
      </c>
      <c r="E290" s="106">
        <f>+HLOOKUP(C290,ACCESS!$O$2:$AA$250,50,0)+HLOOKUP(C290,ACCESS!$O$2:$AA$250,51,0)+HLOOKUP(C290,ACCESS!$O$2:$AA$250,54,0)</f>
        <v>0</v>
      </c>
      <c r="F290" s="106">
        <f>+HLOOKUP(C290,ACCESS!$O$2:$AA$250,52,0)+HLOOKUP(C290,ACCESS!$O$2:$AA$250,56,0)</f>
        <v>0</v>
      </c>
      <c r="G290" s="106">
        <f>+HLOOKUP($C290,ACCESS!$O$2:$AA$250,76,0)</f>
        <v>0</v>
      </c>
      <c r="H290" s="106">
        <f>+HLOOKUP($C290,ACCESS!$O$2:$AA$250,77,0)</f>
        <v>0</v>
      </c>
      <c r="I290" s="106">
        <f>+HLOOKUP($C290,ACCESS!$O$2:$AA$250,78,0)</f>
        <v>0</v>
      </c>
      <c r="J290" s="106">
        <f>+HLOOKUP($C290,ACCESS!$O$2:$AA$250,79,0)</f>
        <v>0</v>
      </c>
      <c r="K290" s="106">
        <f>+HLOOKUP($C290,ACCESS!$O$2:$AA$250,80,0)</f>
        <v>0</v>
      </c>
      <c r="L290" s="106">
        <f>+HLOOKUP($C290,ACCESS!$O$2:$AA$250,81,0)</f>
        <v>0</v>
      </c>
      <c r="M290" s="106">
        <f>+HLOOKUP($C290,ACCESS!$O$2:$AA$250,82,0)</f>
        <v>0</v>
      </c>
      <c r="N290" s="106">
        <f>+HLOOKUP($C290,ACCESS!$O$2:$AA$250,83,0)</f>
        <v>0</v>
      </c>
      <c r="O290" s="106">
        <f>+HLOOKUP($C290,ACCESS!$O$2:$AA$250,84,0)</f>
        <v>0</v>
      </c>
      <c r="P290" s="106">
        <f>+HLOOKUP($C290,ACCESS!$O$2:$AA$250,85,0)</f>
        <v>0</v>
      </c>
      <c r="Q290" s="106">
        <f>+HLOOKUP($C290,ACCESS!$O$2:$AA$250,87,0)</f>
        <v>0</v>
      </c>
      <c r="R290" s="106">
        <f>+HLOOKUP($C290,ACCESS!$O$2:$AA$250,90,0)</f>
        <v>0</v>
      </c>
      <c r="S290" s="106">
        <f>+HLOOKUP($C290,ACCESS!$O$2:$AA$250,91,0)</f>
        <v>0</v>
      </c>
      <c r="T290" s="106">
        <f>+HLOOKUP($C290,ACCESS!$O$2:$AA$250,92,0)</f>
        <v>0</v>
      </c>
      <c r="U290" s="106">
        <f>+HLOOKUP($C290,ACCESS!$O$2:$AA$250,93,0)</f>
        <v>0</v>
      </c>
      <c r="V290" s="106">
        <f>+HLOOKUP($C290,ACCESS!$O$2:$AA$250,94,0)</f>
        <v>0</v>
      </c>
      <c r="W290" s="106">
        <f>+HLOOKUP($C290,ACCESS!$O$2:$AA$250,95,0)</f>
        <v>0</v>
      </c>
      <c r="X290" s="106">
        <f>+HLOOKUP($C290,ACCESS!$O$2:$AA$250,96,0)</f>
        <v>0</v>
      </c>
      <c r="Y290" s="106">
        <f>+HLOOKUP($C290,ACCESS!$O$2:$AA$250,97,0)</f>
        <v>0</v>
      </c>
      <c r="Z290" s="106">
        <f>+HLOOKUP($C290,ACCESS!$O$2:$AA$250,98,0)</f>
        <v>0</v>
      </c>
      <c r="AA290" s="106">
        <f>+HLOOKUP($C290,ACCESS!$O$2:$AA$250,99,0)</f>
        <v>0</v>
      </c>
      <c r="AB290" s="106">
        <f>+HLOOKUP($C290,ACCESS!$O$2:$AA$250,100,0)</f>
        <v>0</v>
      </c>
      <c r="AC290" s="106">
        <f>+HLOOKUP($C290,ACCESS!$O$2:$AA$250,101,0)</f>
        <v>0</v>
      </c>
      <c r="AD290" s="106">
        <f>+HLOOKUP($C290,ACCESS!$O$2:$AA$250,104,0)</f>
        <v>0</v>
      </c>
      <c r="AE290" s="106">
        <f>+HLOOKUP($C290,ACCESS!$O$2:$AA$250,105,0)</f>
        <v>0</v>
      </c>
      <c r="AF290" s="106">
        <f>+HLOOKUP($C290,ACCESS!$O$2:$AA$250,106,0)</f>
        <v>0</v>
      </c>
      <c r="AG290" s="106">
        <f>+HLOOKUP($C290,ACCESS!$O$2:$AA$250,107,0)</f>
        <v>0</v>
      </c>
      <c r="AH290" s="106">
        <f>+HLOOKUP($C290,ACCESS!$O$2:$AA$250,108,0)</f>
        <v>0</v>
      </c>
      <c r="AI290" s="106">
        <f>+HLOOKUP($C290,ACCESS!$O$2:$AA$250,109,0)</f>
        <v>0</v>
      </c>
      <c r="AJ290" s="106">
        <f>+HLOOKUP($C290,ACCESS!$O$2:$AA$250,110,0)</f>
        <v>0</v>
      </c>
      <c r="AK290" s="106">
        <f>+HLOOKUP($C290,ACCESS!$O$2:$AA$250,111,0)</f>
        <v>0</v>
      </c>
      <c r="AL290" s="106">
        <f>+HLOOKUP($C290,ACCESS!$O$2:$AA$250,112,0)</f>
        <v>0</v>
      </c>
      <c r="AM290" s="106">
        <f>+HLOOKUP($C290,ACCESS!$O$2:$AA$250,116,0)</f>
        <v>0</v>
      </c>
      <c r="AN290" s="106">
        <f>+HLOOKUP($C290,ACCESS!$O$2:$AA$250,117,0)</f>
        <v>0</v>
      </c>
      <c r="AO290" s="106">
        <f>+HLOOKUP($C290,ACCESS!$O$2:$AA$250,118,0)</f>
        <v>0</v>
      </c>
      <c r="AP290" s="106">
        <f>+HLOOKUP($C290,ACCESS!$O$2:$AA$250,119,0)</f>
        <v>0</v>
      </c>
      <c r="AQ290" s="106">
        <f>+HLOOKUP($C290,ACCESS!$O$2:$AA$250,120,0)</f>
        <v>0</v>
      </c>
      <c r="AR290" s="106">
        <f>+HLOOKUP($C290,ACCESS!$O$2:$AA$250,121,0)</f>
        <v>0</v>
      </c>
      <c r="AS290" s="106">
        <f>+HLOOKUP($C290,ACCESS!$O$2:$AA$250,122,0)</f>
        <v>0</v>
      </c>
      <c r="AT290" s="106">
        <f>+HLOOKUP($C290,ACCESS!$O$2:$AA$250,123,0)</f>
        <v>0</v>
      </c>
      <c r="AU290" s="106">
        <f>+HLOOKUP($C290,ACCESS!$O$2:$AA$250,124,0)</f>
        <v>0</v>
      </c>
      <c r="AV290" s="106">
        <f>+HLOOKUP($C290,ACCESS!$O$2:$AA$250,125,0)</f>
        <v>0</v>
      </c>
      <c r="AW290" s="106">
        <f>+HLOOKUP($C290,ACCESS!$O$2:$AA$250,126,0)</f>
        <v>0</v>
      </c>
      <c r="AX290" s="106">
        <f>+HLOOKUP($C290,ACCESS!$O$2:$AA$250,127,0)</f>
        <v>0</v>
      </c>
      <c r="AY290" s="106">
        <f>+HLOOKUP($C290,ACCESS!$O$2:$AA$250,129,0)</f>
        <v>0</v>
      </c>
      <c r="AZ290" s="106">
        <f>+HLOOKUP($C290,ACCESS!$O$2:$AA$250,130,0)</f>
        <v>0</v>
      </c>
      <c r="BA290" s="106">
        <f>+HLOOKUP($C290,ACCESS!$O$2:$AA$250,131,0)</f>
        <v>0</v>
      </c>
      <c r="BB290" s="106">
        <f>+HLOOKUP($C290,ACCESS!$O$2:$AA$250,133,0)</f>
        <v>0</v>
      </c>
      <c r="BC290" s="106">
        <f>+HLOOKUP($C290,ACCESS!$O$2:$AA$250,134,0)</f>
        <v>0</v>
      </c>
      <c r="BD290" s="106">
        <f>+HLOOKUP($C290,ACCESS!$O$2:$AA$250,135,0)</f>
        <v>0</v>
      </c>
      <c r="BE290" s="106">
        <f>+HLOOKUP($C290,ACCESS!$O$2:$AA$250,136,0)</f>
        <v>0</v>
      </c>
      <c r="BF290" s="106">
        <f>+HLOOKUP($C290,ACCESS!$O$2:$AA$250,138,0)</f>
        <v>0</v>
      </c>
      <c r="BG290" s="106">
        <f>+HLOOKUP($C290,ACCESS!$O$2:$AA$250,139,0)</f>
        <v>0</v>
      </c>
      <c r="BH290" s="106">
        <f>+HLOOKUP($C290,ACCESS!$O$2:$AA$250,140,0)</f>
        <v>0</v>
      </c>
      <c r="BI290" s="106">
        <f>+HLOOKUP($C290,ACCESS!$O$2:$AA$250,141,0)</f>
        <v>0</v>
      </c>
      <c r="BJ290" s="106">
        <f>+HLOOKUP($C290,ACCESS!$O$2:$AA$250,142,0)</f>
        <v>0</v>
      </c>
      <c r="BK290" s="106">
        <f>+HLOOKUP($C290,ACCESS!$O$2:$AA$250,143,0)</f>
        <v>0</v>
      </c>
      <c r="BL290" s="106">
        <f>+HLOOKUP($C290,ACCESS!$O$2:$AA$250,144,0)</f>
        <v>0</v>
      </c>
      <c r="BM290" s="106">
        <f>+HLOOKUP($C290,ACCESS!$O$2:$AA$250,146,0)</f>
        <v>0</v>
      </c>
      <c r="BN290" s="106">
        <f>+HLOOKUP($C290,ACCESS!$O$2:$AA$250,147,0)</f>
        <v>0</v>
      </c>
      <c r="BO290" s="106">
        <f>+HLOOKUP($C290,ACCESS!$O$2:$AA$250,148,0)</f>
        <v>0</v>
      </c>
      <c r="BP290" s="106">
        <f>+HLOOKUP($C290,ACCESS!$O$2:$AA$250,150,0)</f>
        <v>0</v>
      </c>
      <c r="BQ290" s="106">
        <f>+HLOOKUP($C290,ACCESS!$O$2:$AA$250,151,0)</f>
        <v>0</v>
      </c>
      <c r="BR290" s="106">
        <f>+HLOOKUP($C290,ACCESS!$O$2:$AA$250,152,0)</f>
        <v>0</v>
      </c>
      <c r="BS290" s="106">
        <f>+HLOOKUP($C290,ACCESS!$O$2:$AA$250,153,0)</f>
        <v>0</v>
      </c>
      <c r="BT290" s="106">
        <f>+HLOOKUP($C290,ACCESS!$O$2:$AA$250,157,0)</f>
        <v>0</v>
      </c>
      <c r="BU290" s="106">
        <f>+HLOOKUP($C290,ACCESS!$O$2:$AA$250,158,0)</f>
        <v>0</v>
      </c>
      <c r="BV290" s="106">
        <f>+HLOOKUP($C290,ACCESS!$O$2:$AA$250,159,0)</f>
        <v>0</v>
      </c>
      <c r="BW290" s="106">
        <f>+HLOOKUP($C290,ACCESS!$O$2:$AA$250,160,0)</f>
        <v>0</v>
      </c>
      <c r="BX290" s="106">
        <f>+HLOOKUP($C290,ACCESS!$O$2:$AA$250,161,0)</f>
        <v>0</v>
      </c>
      <c r="BY290" s="106">
        <f>+HLOOKUP($C290,ACCESS!$O$2:$AA$250,164,0)</f>
        <v>0</v>
      </c>
      <c r="BZ290" s="106">
        <f>+HLOOKUP($C290,ACCESS!$O$2:$AA$250,165,0)</f>
        <v>0</v>
      </c>
      <c r="CA290" s="106">
        <f>+HLOOKUP($C290,ACCESS!$O$2:$AA$250,166,0)</f>
        <v>0</v>
      </c>
      <c r="CB290" s="106">
        <f>+HLOOKUP($C290,ACCESS!$O$2:$AA$250,167,0)</f>
        <v>0</v>
      </c>
      <c r="CC290" s="106">
        <f>+HLOOKUP($C290,ACCESS!$O$2:$AA$250,168,0)</f>
        <v>0</v>
      </c>
      <c r="CD290" s="106">
        <f>+HLOOKUP($C290,ACCESS!$O$2:$AA$250,169,0)</f>
        <v>0</v>
      </c>
      <c r="CE290" s="106">
        <f>+HLOOKUP($C290,ACCESS!$O$2:$AA$250,170,0)</f>
        <v>0</v>
      </c>
      <c r="CF290" s="106">
        <f>+HLOOKUP($C290,ACCESS!$O$2:$AA$250,172,0)</f>
        <v>0</v>
      </c>
      <c r="CG290" s="106">
        <f>+HLOOKUP($C290,ACCESS!$O$2:$AA$250,173,0)</f>
        <v>0</v>
      </c>
      <c r="CH290" s="106">
        <f>+HLOOKUP($C290,ACCESS!$O$2:$AA$250,174,0)</f>
        <v>0</v>
      </c>
      <c r="CI290" s="106">
        <f>+HLOOKUP($C290,ACCESS!$O$2:$AA$250,175,0)</f>
        <v>0</v>
      </c>
      <c r="CJ290" s="106">
        <f>+HLOOKUP($C290,ACCESS!$O$2:$AA$250,176,0)</f>
        <v>0</v>
      </c>
      <c r="CK290" s="106">
        <f>+HLOOKUP($C290,ACCESS!$O$2:$AA$250,178,0)</f>
        <v>0</v>
      </c>
      <c r="CL290" s="106">
        <f>+HLOOKUP($C290,ACCESS!$O$2:$AA$250,179,0)</f>
        <v>0</v>
      </c>
      <c r="CM290" s="106">
        <f>+HLOOKUP($C290,ACCESS!$O$2:$AA$250,180,0)</f>
        <v>0</v>
      </c>
      <c r="CN290" s="106">
        <f>+HLOOKUP($C290,ACCESS!$O$2:$AA$250,182,0)</f>
        <v>0</v>
      </c>
      <c r="CO290" s="106">
        <f>+HLOOKUP($C290,ACCESS!$O$2:$AA$250,183,0)</f>
        <v>0</v>
      </c>
      <c r="CP290" s="106">
        <f>+HLOOKUP($C290,ACCESS!$O$2:$AA$250,184,0)</f>
        <v>0</v>
      </c>
      <c r="CQ290" s="106">
        <f>+HLOOKUP($C290,ACCESS!$O$2:$AA$250,185,0)</f>
        <v>0</v>
      </c>
      <c r="CR290" s="106">
        <f>+HLOOKUP($C290,ACCESS!$O$2:$AA$250,187,0)</f>
        <v>0</v>
      </c>
      <c r="CS290" s="106">
        <f>+HLOOKUP($C290,ACCESS!$O$2:$AA$250,188,0)</f>
        <v>0</v>
      </c>
      <c r="CT290" s="106">
        <f>+HLOOKUP($C290,ACCESS!$O$2:$AA$250,189,0)</f>
        <v>0</v>
      </c>
      <c r="CU290" s="106">
        <f>+HLOOKUP($C290,ACCESS!$O$2:$AA$250,190,0)</f>
        <v>0</v>
      </c>
      <c r="CV290" s="106">
        <f>+HLOOKUP($C290,ACCESS!$O$2:$AA$250,191,0)</f>
        <v>0</v>
      </c>
      <c r="CW290" s="106">
        <f>+HLOOKUP($C290,ACCESS!$O$2:$AA$250,193,0)</f>
        <v>0</v>
      </c>
      <c r="CX290" s="106">
        <f>+HLOOKUP($C290,ACCESS!$O$2:$AA$250,194,0)</f>
        <v>0</v>
      </c>
      <c r="CY290" s="106">
        <f>+HLOOKUP($C290,ACCESS!$O$2:$AA$250,195,0)</f>
        <v>0</v>
      </c>
      <c r="CZ290" s="106">
        <f>+HLOOKUP($C290,ACCESS!$O$2:$AA$250,196,0)</f>
        <v>0</v>
      </c>
      <c r="DA290" s="106">
        <f>+HLOOKUP($C290,ACCESS!$O$2:$AA$250,197,0)</f>
        <v>0</v>
      </c>
      <c r="DB290" s="106">
        <f>+HLOOKUP($C290,ACCESS!$O$2:$AA$250,198,0)</f>
        <v>0</v>
      </c>
      <c r="DC290" s="106">
        <f>+HLOOKUP($C290,ACCESS!$O$2:$AA$250,199,0)</f>
        <v>0</v>
      </c>
      <c r="DD290" s="106">
        <f>+HLOOKUP($C290,ACCESS!$O$2:$AA$250,200,0)</f>
        <v>0</v>
      </c>
      <c r="DE290" s="106">
        <f>+HLOOKUP($C290,ACCESS!$O$2:$AA$250,201,0)</f>
        <v>0</v>
      </c>
      <c r="DF290" s="106">
        <f>+HLOOKUP($C290,ACCESS!$O$2:$AA$250,202,0)</f>
        <v>0</v>
      </c>
      <c r="DG290" s="106">
        <f>+HLOOKUP($C290,ACCESS!$O$2:$AA$250,203,0)</f>
        <v>0</v>
      </c>
      <c r="DH290" s="106">
        <f>+HLOOKUP($C290,ACCESS!$O$2:$AA$250,205,0)</f>
        <v>0</v>
      </c>
      <c r="DI290" s="106">
        <f>+HLOOKUP($C290,ACCESS!$O$2:$AA$250,206,0)</f>
        <v>0</v>
      </c>
      <c r="DJ290" s="106">
        <f>+HLOOKUP($C290,ACCESS!$O$2:$AA$250,207,0)</f>
        <v>0</v>
      </c>
      <c r="DK290" s="106">
        <f>+HLOOKUP($C290,ACCESS!$O$2:$AA$250,209,0)</f>
        <v>0</v>
      </c>
      <c r="DL290" s="106">
        <f>+HLOOKUP($C290,ACCESS!$O$2:$AA$250,210,0)</f>
        <v>0</v>
      </c>
      <c r="DM290" s="106">
        <f>+HLOOKUP($C290,ACCESS!$O$2:$AA$250,211,0)</f>
        <v>0</v>
      </c>
      <c r="DN290" s="106">
        <f>+HLOOKUP($C290,ACCESS!$O$2:$AA$250,212,0)</f>
        <v>0</v>
      </c>
      <c r="DO290" s="106">
        <f>+HLOOKUP($C290,ACCESS!$O$2:$AA$250,214,0)</f>
        <v>0</v>
      </c>
      <c r="DP290" s="106">
        <f>+HLOOKUP($C290,ACCESS!$O$2:$AA$250,215,0)</f>
        <v>0</v>
      </c>
      <c r="DQ290" s="106">
        <f>+HLOOKUP($C290,ACCESS!$O$2:$AA$250,219,0)</f>
        <v>0</v>
      </c>
      <c r="DR290" s="106">
        <f>+HLOOKUP($C290,ACCESS!$O$2:$AA$250,220,0)</f>
        <v>0</v>
      </c>
      <c r="DS290" s="106">
        <f>+HLOOKUP($C290,ACCESS!$O$2:$AA$250,221,0)</f>
        <v>0</v>
      </c>
      <c r="DT290" s="106">
        <f>+HLOOKUP($C290,ACCESS!$O$2:$AA$250,223,0)</f>
        <v>0</v>
      </c>
      <c r="DU290" s="106">
        <f>+HLOOKUP($C290,ACCESS!$O$2:$AA$250,224,0)</f>
        <v>0</v>
      </c>
      <c r="DV290" s="106">
        <f>+HLOOKUP($C290,ACCESS!$O$2:$AA$250,225,0)</f>
        <v>0</v>
      </c>
      <c r="DW290" s="106">
        <f>+HLOOKUP($C290,ACCESS!$O$2:$AA$250,227,0)</f>
        <v>0</v>
      </c>
      <c r="DX290" s="106">
        <f>+HLOOKUP($C290,ACCESS!$O$2:$AA$250,228,0)</f>
        <v>0</v>
      </c>
      <c r="DY290" s="106">
        <f>+HLOOKUP($C290,ACCESS!$O$2:$AA$250,236,0)</f>
        <v>0</v>
      </c>
      <c r="DZ290" s="106">
        <f>+HLOOKUP($C290,ACCESS!$O$2:$AA$250,237,0)</f>
        <v>0</v>
      </c>
      <c r="EA290" s="106">
        <f>+HLOOKUP($C290,ACCESS!$O$2:$AA$250,238,0)</f>
        <v>0</v>
      </c>
      <c r="EB290" s="106">
        <f>+HLOOKUP($C290,ACCESS!$O$2:$AA$250,240,0)</f>
        <v>0</v>
      </c>
    </row>
    <row r="291" spans="1:132">
      <c r="A291" t="s">
        <v>269</v>
      </c>
      <c r="B291" t="s">
        <v>273</v>
      </c>
      <c r="C291" s="117">
        <v>45962</v>
      </c>
      <c r="D291" s="106">
        <f t="shared" si="5"/>
        <v>0</v>
      </c>
      <c r="E291" s="106">
        <f>+HLOOKUP(C291,ACCESS!$O$2:$AA$250,50,0)+HLOOKUP(C291,ACCESS!$O$2:$AA$250,51,0)+HLOOKUP(C291,ACCESS!$O$2:$AA$250,54,0)</f>
        <v>0</v>
      </c>
      <c r="F291" s="106">
        <f>+HLOOKUP(C291,ACCESS!$O$2:$AA$250,52,0)+HLOOKUP(C291,ACCESS!$O$2:$AA$250,56,0)</f>
        <v>0</v>
      </c>
      <c r="G291" s="106">
        <f>+HLOOKUP($C291,ACCESS!$O$2:$AA$250,76,0)</f>
        <v>0</v>
      </c>
      <c r="H291" s="106">
        <f>+HLOOKUP($C291,ACCESS!$O$2:$AA$250,77,0)</f>
        <v>0</v>
      </c>
      <c r="I291" s="106">
        <f>+HLOOKUP($C291,ACCESS!$O$2:$AA$250,78,0)</f>
        <v>0</v>
      </c>
      <c r="J291" s="106">
        <f>+HLOOKUP($C291,ACCESS!$O$2:$AA$250,79,0)</f>
        <v>0</v>
      </c>
      <c r="K291" s="106">
        <f>+HLOOKUP($C291,ACCESS!$O$2:$AA$250,80,0)</f>
        <v>0</v>
      </c>
      <c r="L291" s="106">
        <f>+HLOOKUP($C291,ACCESS!$O$2:$AA$250,81,0)</f>
        <v>0</v>
      </c>
      <c r="M291" s="106">
        <f>+HLOOKUP($C291,ACCESS!$O$2:$AA$250,82,0)</f>
        <v>0</v>
      </c>
      <c r="N291" s="106">
        <f>+HLOOKUP($C291,ACCESS!$O$2:$AA$250,83,0)</f>
        <v>0</v>
      </c>
      <c r="O291" s="106">
        <f>+HLOOKUP($C291,ACCESS!$O$2:$AA$250,84,0)</f>
        <v>0</v>
      </c>
      <c r="P291" s="106">
        <f>+HLOOKUP($C291,ACCESS!$O$2:$AA$250,85,0)</f>
        <v>0</v>
      </c>
      <c r="Q291" s="106">
        <f>+HLOOKUP($C291,ACCESS!$O$2:$AA$250,87,0)</f>
        <v>0</v>
      </c>
      <c r="R291" s="106">
        <f>+HLOOKUP($C291,ACCESS!$O$2:$AA$250,90,0)</f>
        <v>0</v>
      </c>
      <c r="S291" s="106">
        <f>+HLOOKUP($C291,ACCESS!$O$2:$AA$250,91,0)</f>
        <v>0</v>
      </c>
      <c r="T291" s="106">
        <f>+HLOOKUP($C291,ACCESS!$O$2:$AA$250,92,0)</f>
        <v>0</v>
      </c>
      <c r="U291" s="106">
        <f>+HLOOKUP($C291,ACCESS!$O$2:$AA$250,93,0)</f>
        <v>0</v>
      </c>
      <c r="V291" s="106">
        <f>+HLOOKUP($C291,ACCESS!$O$2:$AA$250,94,0)</f>
        <v>0</v>
      </c>
      <c r="W291" s="106">
        <f>+HLOOKUP($C291,ACCESS!$O$2:$AA$250,95,0)</f>
        <v>0</v>
      </c>
      <c r="X291" s="106">
        <f>+HLOOKUP($C291,ACCESS!$O$2:$AA$250,96,0)</f>
        <v>0</v>
      </c>
      <c r="Y291" s="106">
        <f>+HLOOKUP($C291,ACCESS!$O$2:$AA$250,97,0)</f>
        <v>0</v>
      </c>
      <c r="Z291" s="106">
        <f>+HLOOKUP($C291,ACCESS!$O$2:$AA$250,98,0)</f>
        <v>0</v>
      </c>
      <c r="AA291" s="106">
        <f>+HLOOKUP($C291,ACCESS!$O$2:$AA$250,99,0)</f>
        <v>0</v>
      </c>
      <c r="AB291" s="106">
        <f>+HLOOKUP($C291,ACCESS!$O$2:$AA$250,100,0)</f>
        <v>0</v>
      </c>
      <c r="AC291" s="106">
        <f>+HLOOKUP($C291,ACCESS!$O$2:$AA$250,101,0)</f>
        <v>0</v>
      </c>
      <c r="AD291" s="106">
        <f>+HLOOKUP($C291,ACCESS!$O$2:$AA$250,104,0)</f>
        <v>0</v>
      </c>
      <c r="AE291" s="106">
        <f>+HLOOKUP($C291,ACCESS!$O$2:$AA$250,105,0)</f>
        <v>0</v>
      </c>
      <c r="AF291" s="106">
        <f>+HLOOKUP($C291,ACCESS!$O$2:$AA$250,106,0)</f>
        <v>0</v>
      </c>
      <c r="AG291" s="106">
        <f>+HLOOKUP($C291,ACCESS!$O$2:$AA$250,107,0)</f>
        <v>0</v>
      </c>
      <c r="AH291" s="106">
        <f>+HLOOKUP($C291,ACCESS!$O$2:$AA$250,108,0)</f>
        <v>0</v>
      </c>
      <c r="AI291" s="106">
        <f>+HLOOKUP($C291,ACCESS!$O$2:$AA$250,109,0)</f>
        <v>0</v>
      </c>
      <c r="AJ291" s="106">
        <f>+HLOOKUP($C291,ACCESS!$O$2:$AA$250,110,0)</f>
        <v>0</v>
      </c>
      <c r="AK291" s="106">
        <f>+HLOOKUP($C291,ACCESS!$O$2:$AA$250,111,0)</f>
        <v>0</v>
      </c>
      <c r="AL291" s="106">
        <f>+HLOOKUP($C291,ACCESS!$O$2:$AA$250,112,0)</f>
        <v>0</v>
      </c>
      <c r="AM291" s="106">
        <f>+HLOOKUP($C291,ACCESS!$O$2:$AA$250,116,0)</f>
        <v>0</v>
      </c>
      <c r="AN291" s="106">
        <f>+HLOOKUP($C291,ACCESS!$O$2:$AA$250,117,0)</f>
        <v>0</v>
      </c>
      <c r="AO291" s="106">
        <f>+HLOOKUP($C291,ACCESS!$O$2:$AA$250,118,0)</f>
        <v>0</v>
      </c>
      <c r="AP291" s="106">
        <f>+HLOOKUP($C291,ACCESS!$O$2:$AA$250,119,0)</f>
        <v>0</v>
      </c>
      <c r="AQ291" s="106">
        <f>+HLOOKUP($C291,ACCESS!$O$2:$AA$250,120,0)</f>
        <v>0</v>
      </c>
      <c r="AR291" s="106">
        <f>+HLOOKUP($C291,ACCESS!$O$2:$AA$250,121,0)</f>
        <v>0</v>
      </c>
      <c r="AS291" s="106">
        <f>+HLOOKUP($C291,ACCESS!$O$2:$AA$250,122,0)</f>
        <v>0</v>
      </c>
      <c r="AT291" s="106">
        <f>+HLOOKUP($C291,ACCESS!$O$2:$AA$250,123,0)</f>
        <v>0</v>
      </c>
      <c r="AU291" s="106">
        <f>+HLOOKUP($C291,ACCESS!$O$2:$AA$250,124,0)</f>
        <v>0</v>
      </c>
      <c r="AV291" s="106">
        <f>+HLOOKUP($C291,ACCESS!$O$2:$AA$250,125,0)</f>
        <v>0</v>
      </c>
      <c r="AW291" s="106">
        <f>+HLOOKUP($C291,ACCESS!$O$2:$AA$250,126,0)</f>
        <v>0</v>
      </c>
      <c r="AX291" s="106">
        <f>+HLOOKUP($C291,ACCESS!$O$2:$AA$250,127,0)</f>
        <v>0</v>
      </c>
      <c r="AY291" s="106">
        <f>+HLOOKUP($C291,ACCESS!$O$2:$AA$250,129,0)</f>
        <v>0</v>
      </c>
      <c r="AZ291" s="106">
        <f>+HLOOKUP($C291,ACCESS!$O$2:$AA$250,130,0)</f>
        <v>0</v>
      </c>
      <c r="BA291" s="106">
        <f>+HLOOKUP($C291,ACCESS!$O$2:$AA$250,131,0)</f>
        <v>0</v>
      </c>
      <c r="BB291" s="106">
        <f>+HLOOKUP($C291,ACCESS!$O$2:$AA$250,133,0)</f>
        <v>0</v>
      </c>
      <c r="BC291" s="106">
        <f>+HLOOKUP($C291,ACCESS!$O$2:$AA$250,134,0)</f>
        <v>0</v>
      </c>
      <c r="BD291" s="106">
        <f>+HLOOKUP($C291,ACCESS!$O$2:$AA$250,135,0)</f>
        <v>0</v>
      </c>
      <c r="BE291" s="106">
        <f>+HLOOKUP($C291,ACCESS!$O$2:$AA$250,136,0)</f>
        <v>0</v>
      </c>
      <c r="BF291" s="106">
        <f>+HLOOKUP($C291,ACCESS!$O$2:$AA$250,138,0)</f>
        <v>0</v>
      </c>
      <c r="BG291" s="106">
        <f>+HLOOKUP($C291,ACCESS!$O$2:$AA$250,139,0)</f>
        <v>0</v>
      </c>
      <c r="BH291" s="106">
        <f>+HLOOKUP($C291,ACCESS!$O$2:$AA$250,140,0)</f>
        <v>0</v>
      </c>
      <c r="BI291" s="106">
        <f>+HLOOKUP($C291,ACCESS!$O$2:$AA$250,141,0)</f>
        <v>0</v>
      </c>
      <c r="BJ291" s="106">
        <f>+HLOOKUP($C291,ACCESS!$O$2:$AA$250,142,0)</f>
        <v>0</v>
      </c>
      <c r="BK291" s="106">
        <f>+HLOOKUP($C291,ACCESS!$O$2:$AA$250,143,0)</f>
        <v>0</v>
      </c>
      <c r="BL291" s="106">
        <f>+HLOOKUP($C291,ACCESS!$O$2:$AA$250,144,0)</f>
        <v>0</v>
      </c>
      <c r="BM291" s="106">
        <f>+HLOOKUP($C291,ACCESS!$O$2:$AA$250,146,0)</f>
        <v>0</v>
      </c>
      <c r="BN291" s="106">
        <f>+HLOOKUP($C291,ACCESS!$O$2:$AA$250,147,0)</f>
        <v>0</v>
      </c>
      <c r="BO291" s="106">
        <f>+HLOOKUP($C291,ACCESS!$O$2:$AA$250,148,0)</f>
        <v>0</v>
      </c>
      <c r="BP291" s="106">
        <f>+HLOOKUP($C291,ACCESS!$O$2:$AA$250,150,0)</f>
        <v>0</v>
      </c>
      <c r="BQ291" s="106">
        <f>+HLOOKUP($C291,ACCESS!$O$2:$AA$250,151,0)</f>
        <v>0</v>
      </c>
      <c r="BR291" s="106">
        <f>+HLOOKUP($C291,ACCESS!$O$2:$AA$250,152,0)</f>
        <v>0</v>
      </c>
      <c r="BS291" s="106">
        <f>+HLOOKUP($C291,ACCESS!$O$2:$AA$250,153,0)</f>
        <v>0</v>
      </c>
      <c r="BT291" s="106">
        <f>+HLOOKUP($C291,ACCESS!$O$2:$AA$250,157,0)</f>
        <v>0</v>
      </c>
      <c r="BU291" s="106">
        <f>+HLOOKUP($C291,ACCESS!$O$2:$AA$250,158,0)</f>
        <v>0</v>
      </c>
      <c r="BV291" s="106">
        <f>+HLOOKUP($C291,ACCESS!$O$2:$AA$250,159,0)</f>
        <v>0</v>
      </c>
      <c r="BW291" s="106">
        <f>+HLOOKUP($C291,ACCESS!$O$2:$AA$250,160,0)</f>
        <v>0</v>
      </c>
      <c r="BX291" s="106">
        <f>+HLOOKUP($C291,ACCESS!$O$2:$AA$250,161,0)</f>
        <v>0</v>
      </c>
      <c r="BY291" s="106">
        <f>+HLOOKUP($C291,ACCESS!$O$2:$AA$250,164,0)</f>
        <v>0</v>
      </c>
      <c r="BZ291" s="106">
        <f>+HLOOKUP($C291,ACCESS!$O$2:$AA$250,165,0)</f>
        <v>0</v>
      </c>
      <c r="CA291" s="106">
        <f>+HLOOKUP($C291,ACCESS!$O$2:$AA$250,166,0)</f>
        <v>0</v>
      </c>
      <c r="CB291" s="106">
        <f>+HLOOKUP($C291,ACCESS!$O$2:$AA$250,167,0)</f>
        <v>0</v>
      </c>
      <c r="CC291" s="106">
        <f>+HLOOKUP($C291,ACCESS!$O$2:$AA$250,168,0)</f>
        <v>0</v>
      </c>
      <c r="CD291" s="106">
        <f>+HLOOKUP($C291,ACCESS!$O$2:$AA$250,169,0)</f>
        <v>0</v>
      </c>
      <c r="CE291" s="106">
        <f>+HLOOKUP($C291,ACCESS!$O$2:$AA$250,170,0)</f>
        <v>0</v>
      </c>
      <c r="CF291" s="106">
        <f>+HLOOKUP($C291,ACCESS!$O$2:$AA$250,172,0)</f>
        <v>0</v>
      </c>
      <c r="CG291" s="106">
        <f>+HLOOKUP($C291,ACCESS!$O$2:$AA$250,173,0)</f>
        <v>0</v>
      </c>
      <c r="CH291" s="106">
        <f>+HLOOKUP($C291,ACCESS!$O$2:$AA$250,174,0)</f>
        <v>0</v>
      </c>
      <c r="CI291" s="106">
        <f>+HLOOKUP($C291,ACCESS!$O$2:$AA$250,175,0)</f>
        <v>0</v>
      </c>
      <c r="CJ291" s="106">
        <f>+HLOOKUP($C291,ACCESS!$O$2:$AA$250,176,0)</f>
        <v>0</v>
      </c>
      <c r="CK291" s="106">
        <f>+HLOOKUP($C291,ACCESS!$O$2:$AA$250,178,0)</f>
        <v>0</v>
      </c>
      <c r="CL291" s="106">
        <f>+HLOOKUP($C291,ACCESS!$O$2:$AA$250,179,0)</f>
        <v>0</v>
      </c>
      <c r="CM291" s="106">
        <f>+HLOOKUP($C291,ACCESS!$O$2:$AA$250,180,0)</f>
        <v>0</v>
      </c>
      <c r="CN291" s="106">
        <f>+HLOOKUP($C291,ACCESS!$O$2:$AA$250,182,0)</f>
        <v>0</v>
      </c>
      <c r="CO291" s="106">
        <f>+HLOOKUP($C291,ACCESS!$O$2:$AA$250,183,0)</f>
        <v>0</v>
      </c>
      <c r="CP291" s="106">
        <f>+HLOOKUP($C291,ACCESS!$O$2:$AA$250,184,0)</f>
        <v>0</v>
      </c>
      <c r="CQ291" s="106">
        <f>+HLOOKUP($C291,ACCESS!$O$2:$AA$250,185,0)</f>
        <v>0</v>
      </c>
      <c r="CR291" s="106">
        <f>+HLOOKUP($C291,ACCESS!$O$2:$AA$250,187,0)</f>
        <v>0</v>
      </c>
      <c r="CS291" s="106">
        <f>+HLOOKUP($C291,ACCESS!$O$2:$AA$250,188,0)</f>
        <v>0</v>
      </c>
      <c r="CT291" s="106">
        <f>+HLOOKUP($C291,ACCESS!$O$2:$AA$250,189,0)</f>
        <v>0</v>
      </c>
      <c r="CU291" s="106">
        <f>+HLOOKUP($C291,ACCESS!$O$2:$AA$250,190,0)</f>
        <v>0</v>
      </c>
      <c r="CV291" s="106">
        <f>+HLOOKUP($C291,ACCESS!$O$2:$AA$250,191,0)</f>
        <v>0</v>
      </c>
      <c r="CW291" s="106">
        <f>+HLOOKUP($C291,ACCESS!$O$2:$AA$250,193,0)</f>
        <v>0</v>
      </c>
      <c r="CX291" s="106">
        <f>+HLOOKUP($C291,ACCESS!$O$2:$AA$250,194,0)</f>
        <v>0</v>
      </c>
      <c r="CY291" s="106">
        <f>+HLOOKUP($C291,ACCESS!$O$2:$AA$250,195,0)</f>
        <v>0</v>
      </c>
      <c r="CZ291" s="106">
        <f>+HLOOKUP($C291,ACCESS!$O$2:$AA$250,196,0)</f>
        <v>0</v>
      </c>
      <c r="DA291" s="106">
        <f>+HLOOKUP($C291,ACCESS!$O$2:$AA$250,197,0)</f>
        <v>0</v>
      </c>
      <c r="DB291" s="106">
        <f>+HLOOKUP($C291,ACCESS!$O$2:$AA$250,198,0)</f>
        <v>0</v>
      </c>
      <c r="DC291" s="106">
        <f>+HLOOKUP($C291,ACCESS!$O$2:$AA$250,199,0)</f>
        <v>0</v>
      </c>
      <c r="DD291" s="106">
        <f>+HLOOKUP($C291,ACCESS!$O$2:$AA$250,200,0)</f>
        <v>0</v>
      </c>
      <c r="DE291" s="106">
        <f>+HLOOKUP($C291,ACCESS!$O$2:$AA$250,201,0)</f>
        <v>0</v>
      </c>
      <c r="DF291" s="106">
        <f>+HLOOKUP($C291,ACCESS!$O$2:$AA$250,202,0)</f>
        <v>0</v>
      </c>
      <c r="DG291" s="106">
        <f>+HLOOKUP($C291,ACCESS!$O$2:$AA$250,203,0)</f>
        <v>0</v>
      </c>
      <c r="DH291" s="106">
        <f>+HLOOKUP($C291,ACCESS!$O$2:$AA$250,205,0)</f>
        <v>0</v>
      </c>
      <c r="DI291" s="106">
        <f>+HLOOKUP($C291,ACCESS!$O$2:$AA$250,206,0)</f>
        <v>0</v>
      </c>
      <c r="DJ291" s="106">
        <f>+HLOOKUP($C291,ACCESS!$O$2:$AA$250,207,0)</f>
        <v>0</v>
      </c>
      <c r="DK291" s="106">
        <f>+HLOOKUP($C291,ACCESS!$O$2:$AA$250,209,0)</f>
        <v>0</v>
      </c>
      <c r="DL291" s="106">
        <f>+HLOOKUP($C291,ACCESS!$O$2:$AA$250,210,0)</f>
        <v>0</v>
      </c>
      <c r="DM291" s="106">
        <f>+HLOOKUP($C291,ACCESS!$O$2:$AA$250,211,0)</f>
        <v>0</v>
      </c>
      <c r="DN291" s="106">
        <f>+HLOOKUP($C291,ACCESS!$O$2:$AA$250,212,0)</f>
        <v>0</v>
      </c>
      <c r="DO291" s="106">
        <f>+HLOOKUP($C291,ACCESS!$O$2:$AA$250,214,0)</f>
        <v>0</v>
      </c>
      <c r="DP291" s="106">
        <f>+HLOOKUP($C291,ACCESS!$O$2:$AA$250,215,0)</f>
        <v>0</v>
      </c>
      <c r="DQ291" s="106">
        <f>+HLOOKUP($C291,ACCESS!$O$2:$AA$250,219,0)</f>
        <v>0</v>
      </c>
      <c r="DR291" s="106">
        <f>+HLOOKUP($C291,ACCESS!$O$2:$AA$250,220,0)</f>
        <v>0</v>
      </c>
      <c r="DS291" s="106">
        <f>+HLOOKUP($C291,ACCESS!$O$2:$AA$250,221,0)</f>
        <v>0</v>
      </c>
      <c r="DT291" s="106">
        <f>+HLOOKUP($C291,ACCESS!$O$2:$AA$250,223,0)</f>
        <v>0</v>
      </c>
      <c r="DU291" s="106">
        <f>+HLOOKUP($C291,ACCESS!$O$2:$AA$250,224,0)</f>
        <v>0</v>
      </c>
      <c r="DV291" s="106">
        <f>+HLOOKUP($C291,ACCESS!$O$2:$AA$250,225,0)</f>
        <v>0</v>
      </c>
      <c r="DW291" s="106">
        <f>+HLOOKUP($C291,ACCESS!$O$2:$AA$250,227,0)</f>
        <v>0</v>
      </c>
      <c r="DX291" s="106">
        <f>+HLOOKUP($C291,ACCESS!$O$2:$AA$250,228,0)</f>
        <v>0</v>
      </c>
      <c r="DY291" s="106">
        <f>+HLOOKUP($C291,ACCESS!$O$2:$AA$250,236,0)</f>
        <v>0</v>
      </c>
      <c r="DZ291" s="106">
        <f>+HLOOKUP($C291,ACCESS!$O$2:$AA$250,237,0)</f>
        <v>0</v>
      </c>
      <c r="EA291" s="106">
        <f>+HLOOKUP($C291,ACCESS!$O$2:$AA$250,238,0)</f>
        <v>0</v>
      </c>
      <c r="EB291" s="106">
        <f>+HLOOKUP($C291,ACCESS!$O$2:$AA$250,240,0)</f>
        <v>0</v>
      </c>
    </row>
    <row r="292" spans="1:132">
      <c r="A292" t="s">
        <v>269</v>
      </c>
      <c r="B292" t="s">
        <v>273</v>
      </c>
      <c r="C292" s="117">
        <v>45931</v>
      </c>
      <c r="D292" s="106">
        <f t="shared" si="5"/>
        <v>1827440.86</v>
      </c>
      <c r="E292" s="106">
        <f>+HLOOKUP(C292,ACCESS!$O$2:$AA$250,50,0)+HLOOKUP(C292,ACCESS!$O$2:$AA$250,51,0)+HLOOKUP(C292,ACCESS!$O$2:$AA$250,54,0)</f>
        <v>1827440.86</v>
      </c>
      <c r="F292" s="106">
        <f>+HLOOKUP(C292,ACCESS!$O$2:$AA$250,52,0)+HLOOKUP(C292,ACCESS!$O$2:$AA$250,56,0)</f>
        <v>1402311.4700000002</v>
      </c>
      <c r="G292" s="106">
        <f>+HLOOKUP($C292,ACCESS!$O$2:$AA$250,76,0)</f>
        <v>0</v>
      </c>
      <c r="H292" s="106">
        <f>+HLOOKUP($C292,ACCESS!$O$2:$AA$250,77,0)</f>
        <v>0</v>
      </c>
      <c r="I292" s="106">
        <f>+HLOOKUP($C292,ACCESS!$O$2:$AA$250,78,0)</f>
        <v>0</v>
      </c>
      <c r="J292" s="106">
        <f>+HLOOKUP($C292,ACCESS!$O$2:$AA$250,79,0)</f>
        <v>0</v>
      </c>
      <c r="K292" s="106">
        <f>+HLOOKUP($C292,ACCESS!$O$2:$AA$250,80,0)</f>
        <v>0</v>
      </c>
      <c r="L292" s="106">
        <f>+HLOOKUP($C292,ACCESS!$O$2:$AA$250,81,0)</f>
        <v>0</v>
      </c>
      <c r="M292" s="106">
        <f>+HLOOKUP($C292,ACCESS!$O$2:$AA$250,82,0)</f>
        <v>0</v>
      </c>
      <c r="N292" s="106">
        <f>+HLOOKUP($C292,ACCESS!$O$2:$AA$250,83,0)</f>
        <v>0</v>
      </c>
      <c r="O292" s="106">
        <f>+HLOOKUP($C292,ACCESS!$O$2:$AA$250,84,0)</f>
        <v>0</v>
      </c>
      <c r="P292" s="106">
        <f>+HLOOKUP($C292,ACCESS!$O$2:$AA$250,85,0)</f>
        <v>0</v>
      </c>
      <c r="Q292" s="106">
        <f>+HLOOKUP($C292,ACCESS!$O$2:$AA$250,87,0)</f>
        <v>3600</v>
      </c>
      <c r="R292" s="106">
        <f>+HLOOKUP($C292,ACCESS!$O$2:$AA$250,90,0)</f>
        <v>0</v>
      </c>
      <c r="S292" s="106">
        <f>+HLOOKUP($C292,ACCESS!$O$2:$AA$250,91,0)</f>
        <v>0</v>
      </c>
      <c r="T292" s="106">
        <f>+HLOOKUP($C292,ACCESS!$O$2:$AA$250,92,0)</f>
        <v>0</v>
      </c>
      <c r="U292" s="106">
        <f>+HLOOKUP($C292,ACCESS!$O$2:$AA$250,93,0)</f>
        <v>0</v>
      </c>
      <c r="V292" s="106">
        <f>+HLOOKUP($C292,ACCESS!$O$2:$AA$250,94,0)</f>
        <v>0</v>
      </c>
      <c r="W292" s="106">
        <f>+HLOOKUP($C292,ACCESS!$O$2:$AA$250,95,0)</f>
        <v>0</v>
      </c>
      <c r="X292" s="106">
        <f>+HLOOKUP($C292,ACCESS!$O$2:$AA$250,96,0)</f>
        <v>0</v>
      </c>
      <c r="Y292" s="106">
        <f>+HLOOKUP($C292,ACCESS!$O$2:$AA$250,97,0)</f>
        <v>0</v>
      </c>
      <c r="Z292" s="106">
        <f>+HLOOKUP($C292,ACCESS!$O$2:$AA$250,98,0)</f>
        <v>0</v>
      </c>
      <c r="AA292" s="106">
        <f>+HLOOKUP($C292,ACCESS!$O$2:$AA$250,99,0)</f>
        <v>0</v>
      </c>
      <c r="AB292" s="106">
        <f>+HLOOKUP($C292,ACCESS!$O$2:$AA$250,100,0)</f>
        <v>0</v>
      </c>
      <c r="AC292" s="106">
        <f>+HLOOKUP($C292,ACCESS!$O$2:$AA$250,101,0)</f>
        <v>0</v>
      </c>
      <c r="AD292" s="106">
        <f>+HLOOKUP($C292,ACCESS!$O$2:$AA$250,104,0)</f>
        <v>0</v>
      </c>
      <c r="AE292" s="106">
        <f>+HLOOKUP($C292,ACCESS!$O$2:$AA$250,105,0)</f>
        <v>0</v>
      </c>
      <c r="AF292" s="106">
        <f>+HLOOKUP($C292,ACCESS!$O$2:$AA$250,106,0)</f>
        <v>0</v>
      </c>
      <c r="AG292" s="106">
        <f>+HLOOKUP($C292,ACCESS!$O$2:$AA$250,107,0)</f>
        <v>0</v>
      </c>
      <c r="AH292" s="106">
        <f>+HLOOKUP($C292,ACCESS!$O$2:$AA$250,108,0)</f>
        <v>0</v>
      </c>
      <c r="AI292" s="106">
        <f>+HLOOKUP($C292,ACCESS!$O$2:$AA$250,109,0)</f>
        <v>0</v>
      </c>
      <c r="AJ292" s="106">
        <f>+HLOOKUP($C292,ACCESS!$O$2:$AA$250,110,0)</f>
        <v>0</v>
      </c>
      <c r="AK292" s="106">
        <f>+HLOOKUP($C292,ACCESS!$O$2:$AA$250,111,0)</f>
        <v>0</v>
      </c>
      <c r="AL292" s="106">
        <f>+HLOOKUP($C292,ACCESS!$O$2:$AA$250,112,0)</f>
        <v>0</v>
      </c>
      <c r="AM292" s="106">
        <f>+HLOOKUP($C292,ACCESS!$O$2:$AA$250,116,0)</f>
        <v>15000</v>
      </c>
      <c r="AN292" s="106">
        <f>+HLOOKUP($C292,ACCESS!$O$2:$AA$250,117,0)</f>
        <v>2500</v>
      </c>
      <c r="AO292" s="106">
        <f>+HLOOKUP($C292,ACCESS!$O$2:$AA$250,118,0)</f>
        <v>0</v>
      </c>
      <c r="AP292" s="106">
        <f>+HLOOKUP($C292,ACCESS!$O$2:$AA$250,119,0)</f>
        <v>4000</v>
      </c>
      <c r="AQ292" s="106">
        <f>+HLOOKUP($C292,ACCESS!$O$2:$AA$250,120,0)</f>
        <v>0</v>
      </c>
      <c r="AR292" s="106">
        <f>+HLOOKUP($C292,ACCESS!$O$2:$AA$250,121,0)</f>
        <v>500</v>
      </c>
      <c r="AS292" s="106">
        <f>+HLOOKUP($C292,ACCESS!$O$2:$AA$250,122,0)</f>
        <v>56500</v>
      </c>
      <c r="AT292" s="106">
        <f>+HLOOKUP($C292,ACCESS!$O$2:$AA$250,123,0)</f>
        <v>1949.9999999999998</v>
      </c>
      <c r="AU292" s="106">
        <f>+HLOOKUP($C292,ACCESS!$O$2:$AA$250,124,0)</f>
        <v>0</v>
      </c>
      <c r="AV292" s="106">
        <f>+HLOOKUP($C292,ACCESS!$O$2:$AA$250,125,0)</f>
        <v>0</v>
      </c>
      <c r="AW292" s="106">
        <f>+HLOOKUP($C292,ACCESS!$O$2:$AA$250,126,0)</f>
        <v>721.15384615384619</v>
      </c>
      <c r="AX292" s="106">
        <f>+HLOOKUP($C292,ACCESS!$O$2:$AA$250,127,0)</f>
        <v>1083.3333333333333</v>
      </c>
      <c r="AY292" s="106">
        <f>+HLOOKUP($C292,ACCESS!$O$2:$AA$250,129,0)</f>
        <v>0</v>
      </c>
      <c r="AZ292" s="106">
        <f>+HLOOKUP($C292,ACCESS!$O$2:$AA$250,130,0)</f>
        <v>0</v>
      </c>
      <c r="BA292" s="106">
        <f>+HLOOKUP($C292,ACCESS!$O$2:$AA$250,131,0)</f>
        <v>0</v>
      </c>
      <c r="BB292" s="106">
        <f>+HLOOKUP($C292,ACCESS!$O$2:$AA$250,133,0)</f>
        <v>0</v>
      </c>
      <c r="BC292" s="106">
        <f>+HLOOKUP($C292,ACCESS!$O$2:$AA$250,134,0)</f>
        <v>0</v>
      </c>
      <c r="BD292" s="106">
        <f>+HLOOKUP($C292,ACCESS!$O$2:$AA$250,135,0)</f>
        <v>0</v>
      </c>
      <c r="BE292" s="106">
        <f>+HLOOKUP($C292,ACCESS!$O$2:$AA$250,136,0)</f>
        <v>0</v>
      </c>
      <c r="BF292" s="106">
        <f>+HLOOKUP($C292,ACCESS!$O$2:$AA$250,138,0)</f>
        <v>0</v>
      </c>
      <c r="BG292" s="106">
        <f>+HLOOKUP($C292,ACCESS!$O$2:$AA$250,139,0)</f>
        <v>0</v>
      </c>
      <c r="BH292" s="106">
        <f>+HLOOKUP($C292,ACCESS!$O$2:$AA$250,140,0)</f>
        <v>0</v>
      </c>
      <c r="BI292" s="106">
        <f>+HLOOKUP($C292,ACCESS!$O$2:$AA$250,141,0)</f>
        <v>0</v>
      </c>
      <c r="BJ292" s="106">
        <f>+HLOOKUP($C292,ACCESS!$O$2:$AA$250,142,0)</f>
        <v>0</v>
      </c>
      <c r="BK292" s="106">
        <f>+HLOOKUP($C292,ACCESS!$O$2:$AA$250,143,0)</f>
        <v>0</v>
      </c>
      <c r="BL292" s="106">
        <f>+HLOOKUP($C292,ACCESS!$O$2:$AA$250,144,0)</f>
        <v>0</v>
      </c>
      <c r="BM292" s="106">
        <f>+HLOOKUP($C292,ACCESS!$O$2:$AA$250,146,0)</f>
        <v>0</v>
      </c>
      <c r="BN292" s="106">
        <f>+HLOOKUP($C292,ACCESS!$O$2:$AA$250,147,0)</f>
        <v>0</v>
      </c>
      <c r="BO292" s="106">
        <f>+HLOOKUP($C292,ACCESS!$O$2:$AA$250,148,0)</f>
        <v>0</v>
      </c>
      <c r="BP292" s="106">
        <f>+HLOOKUP($C292,ACCESS!$O$2:$AA$250,150,0)</f>
        <v>0</v>
      </c>
      <c r="BQ292" s="106">
        <f>+HLOOKUP($C292,ACCESS!$O$2:$AA$250,151,0)</f>
        <v>0</v>
      </c>
      <c r="BR292" s="106">
        <f>+HLOOKUP($C292,ACCESS!$O$2:$AA$250,152,0)</f>
        <v>0</v>
      </c>
      <c r="BS292" s="106">
        <f>+HLOOKUP($C292,ACCESS!$O$2:$AA$250,153,0)</f>
        <v>0</v>
      </c>
      <c r="BT292" s="106">
        <f>+HLOOKUP($C292,ACCESS!$O$2:$AA$250,157,0)</f>
        <v>0</v>
      </c>
      <c r="BU292" s="106">
        <f>+HLOOKUP($C292,ACCESS!$O$2:$AA$250,158,0)</f>
        <v>0</v>
      </c>
      <c r="BV292" s="106">
        <f>+HLOOKUP($C292,ACCESS!$O$2:$AA$250,159,0)</f>
        <v>0</v>
      </c>
      <c r="BW292" s="106">
        <f>+HLOOKUP($C292,ACCESS!$O$2:$AA$250,160,0)</f>
        <v>0</v>
      </c>
      <c r="BX292" s="106">
        <f>+HLOOKUP($C292,ACCESS!$O$2:$AA$250,161,0)</f>
        <v>0</v>
      </c>
      <c r="BY292" s="106">
        <f>+HLOOKUP($C292,ACCESS!$O$2:$AA$250,164,0)</f>
        <v>0</v>
      </c>
      <c r="BZ292" s="106">
        <f>+HLOOKUP($C292,ACCESS!$O$2:$AA$250,165,0)</f>
        <v>0</v>
      </c>
      <c r="CA292" s="106">
        <f>+HLOOKUP($C292,ACCESS!$O$2:$AA$250,166,0)</f>
        <v>0</v>
      </c>
      <c r="CB292" s="106">
        <f>+HLOOKUP($C292,ACCESS!$O$2:$AA$250,167,0)</f>
        <v>0</v>
      </c>
      <c r="CC292" s="106">
        <f>+HLOOKUP($C292,ACCESS!$O$2:$AA$250,168,0)</f>
        <v>0</v>
      </c>
      <c r="CD292" s="106">
        <f>+HLOOKUP($C292,ACCESS!$O$2:$AA$250,169,0)</f>
        <v>0</v>
      </c>
      <c r="CE292" s="106">
        <f>+HLOOKUP($C292,ACCESS!$O$2:$AA$250,170,0)</f>
        <v>0</v>
      </c>
      <c r="CF292" s="106">
        <f>+HLOOKUP($C292,ACCESS!$O$2:$AA$250,172,0)</f>
        <v>0</v>
      </c>
      <c r="CG292" s="106">
        <f>+HLOOKUP($C292,ACCESS!$O$2:$AA$250,173,0)</f>
        <v>0</v>
      </c>
      <c r="CH292" s="106">
        <f>+HLOOKUP($C292,ACCESS!$O$2:$AA$250,174,0)</f>
        <v>0</v>
      </c>
      <c r="CI292" s="106">
        <f>+HLOOKUP($C292,ACCESS!$O$2:$AA$250,175,0)</f>
        <v>0</v>
      </c>
      <c r="CJ292" s="106">
        <f>+HLOOKUP($C292,ACCESS!$O$2:$AA$250,176,0)</f>
        <v>0</v>
      </c>
      <c r="CK292" s="106">
        <f>+HLOOKUP($C292,ACCESS!$O$2:$AA$250,178,0)</f>
        <v>0</v>
      </c>
      <c r="CL292" s="106">
        <f>+HLOOKUP($C292,ACCESS!$O$2:$AA$250,179,0)</f>
        <v>0</v>
      </c>
      <c r="CM292" s="106">
        <f>+HLOOKUP($C292,ACCESS!$O$2:$AA$250,180,0)</f>
        <v>0</v>
      </c>
      <c r="CN292" s="106">
        <f>+HLOOKUP($C292,ACCESS!$O$2:$AA$250,182,0)</f>
        <v>0</v>
      </c>
      <c r="CO292" s="106">
        <f>+HLOOKUP($C292,ACCESS!$O$2:$AA$250,183,0)</f>
        <v>0</v>
      </c>
      <c r="CP292" s="106">
        <f>+HLOOKUP($C292,ACCESS!$O$2:$AA$250,184,0)</f>
        <v>0</v>
      </c>
      <c r="CQ292" s="106">
        <f>+HLOOKUP($C292,ACCESS!$O$2:$AA$250,185,0)</f>
        <v>0</v>
      </c>
      <c r="CR292" s="106">
        <f>+HLOOKUP($C292,ACCESS!$O$2:$AA$250,187,0)</f>
        <v>0</v>
      </c>
      <c r="CS292" s="106">
        <f>+HLOOKUP($C292,ACCESS!$O$2:$AA$250,188,0)</f>
        <v>0</v>
      </c>
      <c r="CT292" s="106">
        <f>+HLOOKUP($C292,ACCESS!$O$2:$AA$250,189,0)</f>
        <v>0</v>
      </c>
      <c r="CU292" s="106">
        <f>+HLOOKUP($C292,ACCESS!$O$2:$AA$250,190,0)</f>
        <v>0</v>
      </c>
      <c r="CV292" s="106">
        <f>+HLOOKUP($C292,ACCESS!$O$2:$AA$250,191,0)</f>
        <v>0</v>
      </c>
      <c r="CW292" s="106">
        <f>+HLOOKUP($C292,ACCESS!$O$2:$AA$250,193,0)</f>
        <v>0</v>
      </c>
      <c r="CX292" s="106">
        <f>+HLOOKUP($C292,ACCESS!$O$2:$AA$250,194,0)</f>
        <v>0</v>
      </c>
      <c r="CY292" s="106">
        <f>+HLOOKUP($C292,ACCESS!$O$2:$AA$250,195,0)</f>
        <v>0</v>
      </c>
      <c r="CZ292" s="106">
        <f>+HLOOKUP($C292,ACCESS!$O$2:$AA$250,196,0)</f>
        <v>0</v>
      </c>
      <c r="DA292" s="106">
        <f>+HLOOKUP($C292,ACCESS!$O$2:$AA$250,197,0)</f>
        <v>0</v>
      </c>
      <c r="DB292" s="106">
        <f>+HLOOKUP($C292,ACCESS!$O$2:$AA$250,198,0)</f>
        <v>0</v>
      </c>
      <c r="DC292" s="106">
        <f>+HLOOKUP($C292,ACCESS!$O$2:$AA$250,199,0)</f>
        <v>0</v>
      </c>
      <c r="DD292" s="106">
        <f>+HLOOKUP($C292,ACCESS!$O$2:$AA$250,200,0)</f>
        <v>0</v>
      </c>
      <c r="DE292" s="106">
        <f>+HLOOKUP($C292,ACCESS!$O$2:$AA$250,201,0)</f>
        <v>0</v>
      </c>
      <c r="DF292" s="106">
        <f>+HLOOKUP($C292,ACCESS!$O$2:$AA$250,202,0)</f>
        <v>0</v>
      </c>
      <c r="DG292" s="106">
        <f>+HLOOKUP($C292,ACCESS!$O$2:$AA$250,203,0)</f>
        <v>0</v>
      </c>
      <c r="DH292" s="106">
        <f>+HLOOKUP($C292,ACCESS!$O$2:$AA$250,205,0)</f>
        <v>0</v>
      </c>
      <c r="DI292" s="106">
        <f>+HLOOKUP($C292,ACCESS!$O$2:$AA$250,206,0)</f>
        <v>0</v>
      </c>
      <c r="DJ292" s="106">
        <f>+HLOOKUP($C292,ACCESS!$O$2:$AA$250,207,0)</f>
        <v>0</v>
      </c>
      <c r="DK292" s="106">
        <f>+HLOOKUP($C292,ACCESS!$O$2:$AA$250,209,0)</f>
        <v>0</v>
      </c>
      <c r="DL292" s="106">
        <f>+HLOOKUP($C292,ACCESS!$O$2:$AA$250,210,0)</f>
        <v>0</v>
      </c>
      <c r="DM292" s="106">
        <f>+HLOOKUP($C292,ACCESS!$O$2:$AA$250,211,0)</f>
        <v>0</v>
      </c>
      <c r="DN292" s="106">
        <f>+HLOOKUP($C292,ACCESS!$O$2:$AA$250,212,0)</f>
        <v>0</v>
      </c>
      <c r="DO292" s="106">
        <f>+HLOOKUP($C292,ACCESS!$O$2:$AA$250,214,0)</f>
        <v>0</v>
      </c>
      <c r="DP292" s="106">
        <f>+HLOOKUP($C292,ACCESS!$O$2:$AA$250,215,0)</f>
        <v>0</v>
      </c>
      <c r="DQ292" s="106">
        <f>+HLOOKUP($C292,ACCESS!$O$2:$AA$250,219,0)</f>
        <v>0</v>
      </c>
      <c r="DR292" s="106">
        <f>+HLOOKUP($C292,ACCESS!$O$2:$AA$250,220,0)</f>
        <v>0</v>
      </c>
      <c r="DS292" s="106">
        <f>+HLOOKUP($C292,ACCESS!$O$2:$AA$250,221,0)</f>
        <v>0</v>
      </c>
      <c r="DT292" s="106">
        <f>+HLOOKUP($C292,ACCESS!$O$2:$AA$250,223,0)</f>
        <v>0</v>
      </c>
      <c r="DU292" s="106">
        <f>+HLOOKUP($C292,ACCESS!$O$2:$AA$250,224,0)</f>
        <v>0</v>
      </c>
      <c r="DV292" s="106">
        <f>+HLOOKUP($C292,ACCESS!$O$2:$AA$250,225,0)</f>
        <v>0</v>
      </c>
      <c r="DW292" s="106">
        <f>+HLOOKUP($C292,ACCESS!$O$2:$AA$250,227,0)</f>
        <v>0</v>
      </c>
      <c r="DX292" s="106">
        <f>+HLOOKUP($C292,ACCESS!$O$2:$AA$250,228,0)</f>
        <v>0</v>
      </c>
      <c r="DY292" s="106">
        <f>+HLOOKUP($C292,ACCESS!$O$2:$AA$250,236,0)</f>
        <v>0</v>
      </c>
      <c r="DZ292" s="106">
        <f>+HLOOKUP($C292,ACCESS!$O$2:$AA$250,237,0)</f>
        <v>0</v>
      </c>
      <c r="EA292" s="106">
        <f>+HLOOKUP($C292,ACCESS!$O$2:$AA$250,238,0)</f>
        <v>0</v>
      </c>
      <c r="EB292" s="106">
        <f>+HLOOKUP($C292,ACCESS!$O$2:$AA$250,240,0)</f>
        <v>0</v>
      </c>
    </row>
    <row r="293" spans="1:132">
      <c r="A293" t="s">
        <v>269</v>
      </c>
      <c r="B293" t="s">
        <v>273</v>
      </c>
      <c r="C293" s="117">
        <v>45901</v>
      </c>
      <c r="D293" s="106">
        <f t="shared" si="5"/>
        <v>1474530.25</v>
      </c>
      <c r="E293" s="106">
        <f>+HLOOKUP(C293,ACCESS!$O$2:$AA$250,50,0)+HLOOKUP(C293,ACCESS!$O$2:$AA$250,51,0)+HLOOKUP(C293,ACCESS!$O$2:$AA$250,54,0)</f>
        <v>1474530.25</v>
      </c>
      <c r="F293" s="106">
        <f>+HLOOKUP(C293,ACCESS!$O$2:$AA$250,52,0)+HLOOKUP(C293,ACCESS!$O$2:$AA$250,56,0)</f>
        <v>1299941.5999999994</v>
      </c>
      <c r="G293" s="106">
        <f>+HLOOKUP($C293,ACCESS!$O$2:$AA$250,76,0)</f>
        <v>0</v>
      </c>
      <c r="H293" s="106">
        <f>+HLOOKUP($C293,ACCESS!$O$2:$AA$250,77,0)</f>
        <v>0</v>
      </c>
      <c r="I293" s="106">
        <f>+HLOOKUP($C293,ACCESS!$O$2:$AA$250,78,0)</f>
        <v>0</v>
      </c>
      <c r="J293" s="106">
        <f>+HLOOKUP($C293,ACCESS!$O$2:$AA$250,79,0)</f>
        <v>0</v>
      </c>
      <c r="K293" s="106">
        <f>+HLOOKUP($C293,ACCESS!$O$2:$AA$250,80,0)</f>
        <v>0</v>
      </c>
      <c r="L293" s="106">
        <f>+HLOOKUP($C293,ACCESS!$O$2:$AA$250,81,0)</f>
        <v>0</v>
      </c>
      <c r="M293" s="106">
        <f>+HLOOKUP($C293,ACCESS!$O$2:$AA$250,82,0)</f>
        <v>0</v>
      </c>
      <c r="N293" s="106">
        <f>+HLOOKUP($C293,ACCESS!$O$2:$AA$250,83,0)</f>
        <v>0</v>
      </c>
      <c r="O293" s="106">
        <f>+HLOOKUP($C293,ACCESS!$O$2:$AA$250,84,0)</f>
        <v>0</v>
      </c>
      <c r="P293" s="106">
        <f>+HLOOKUP($C293,ACCESS!$O$2:$AA$250,85,0)</f>
        <v>0</v>
      </c>
      <c r="Q293" s="106">
        <f>+HLOOKUP($C293,ACCESS!$O$2:$AA$250,87,0)</f>
        <v>8400</v>
      </c>
      <c r="R293" s="106">
        <f>+HLOOKUP($C293,ACCESS!$O$2:$AA$250,90,0)</f>
        <v>0</v>
      </c>
      <c r="S293" s="106">
        <f>+HLOOKUP($C293,ACCESS!$O$2:$AA$250,91,0)</f>
        <v>0</v>
      </c>
      <c r="T293" s="106">
        <f>+HLOOKUP($C293,ACCESS!$O$2:$AA$250,92,0)</f>
        <v>0</v>
      </c>
      <c r="U293" s="106">
        <f>+HLOOKUP($C293,ACCESS!$O$2:$AA$250,93,0)</f>
        <v>0</v>
      </c>
      <c r="V293" s="106">
        <f>+HLOOKUP($C293,ACCESS!$O$2:$AA$250,94,0)</f>
        <v>0</v>
      </c>
      <c r="W293" s="106">
        <f>+HLOOKUP($C293,ACCESS!$O$2:$AA$250,95,0)</f>
        <v>0</v>
      </c>
      <c r="X293" s="106">
        <f>+HLOOKUP($C293,ACCESS!$O$2:$AA$250,96,0)</f>
        <v>0</v>
      </c>
      <c r="Y293" s="106">
        <f>+HLOOKUP($C293,ACCESS!$O$2:$AA$250,97,0)</f>
        <v>0</v>
      </c>
      <c r="Z293" s="106">
        <f>+HLOOKUP($C293,ACCESS!$O$2:$AA$250,98,0)</f>
        <v>0</v>
      </c>
      <c r="AA293" s="106">
        <f>+HLOOKUP($C293,ACCESS!$O$2:$AA$250,99,0)</f>
        <v>0</v>
      </c>
      <c r="AB293" s="106">
        <f>+HLOOKUP($C293,ACCESS!$O$2:$AA$250,100,0)</f>
        <v>0</v>
      </c>
      <c r="AC293" s="106">
        <f>+HLOOKUP($C293,ACCESS!$O$2:$AA$250,101,0)</f>
        <v>0</v>
      </c>
      <c r="AD293" s="106">
        <f>+HLOOKUP($C293,ACCESS!$O$2:$AA$250,104,0)</f>
        <v>0</v>
      </c>
      <c r="AE293" s="106">
        <f>+HLOOKUP($C293,ACCESS!$O$2:$AA$250,105,0)</f>
        <v>0</v>
      </c>
      <c r="AF293" s="106">
        <f>+HLOOKUP($C293,ACCESS!$O$2:$AA$250,106,0)</f>
        <v>0</v>
      </c>
      <c r="AG293" s="106">
        <f>+HLOOKUP($C293,ACCESS!$O$2:$AA$250,107,0)</f>
        <v>0</v>
      </c>
      <c r="AH293" s="106">
        <f>+HLOOKUP($C293,ACCESS!$O$2:$AA$250,108,0)</f>
        <v>0</v>
      </c>
      <c r="AI293" s="106">
        <f>+HLOOKUP($C293,ACCESS!$O$2:$AA$250,109,0)</f>
        <v>0</v>
      </c>
      <c r="AJ293" s="106">
        <f>+HLOOKUP($C293,ACCESS!$O$2:$AA$250,110,0)</f>
        <v>0</v>
      </c>
      <c r="AK293" s="106">
        <f>+HLOOKUP($C293,ACCESS!$O$2:$AA$250,111,0)</f>
        <v>0</v>
      </c>
      <c r="AL293" s="106">
        <f>+HLOOKUP($C293,ACCESS!$O$2:$AA$250,112,0)</f>
        <v>0</v>
      </c>
      <c r="AM293" s="106">
        <f>+HLOOKUP($C293,ACCESS!$O$2:$AA$250,116,0)</f>
        <v>15000</v>
      </c>
      <c r="AN293" s="106">
        <f>+HLOOKUP($C293,ACCESS!$O$2:$AA$250,117,0)</f>
        <v>2500</v>
      </c>
      <c r="AO293" s="106">
        <f>+HLOOKUP($C293,ACCESS!$O$2:$AA$250,118,0)</f>
        <v>0</v>
      </c>
      <c r="AP293" s="106">
        <f>+HLOOKUP($C293,ACCESS!$O$2:$AA$250,119,0)</f>
        <v>4000</v>
      </c>
      <c r="AQ293" s="106">
        <f>+HLOOKUP($C293,ACCESS!$O$2:$AA$250,120,0)</f>
        <v>0</v>
      </c>
      <c r="AR293" s="106">
        <f>+HLOOKUP($C293,ACCESS!$O$2:$AA$250,121,0)</f>
        <v>500</v>
      </c>
      <c r="AS293" s="106">
        <f>+HLOOKUP($C293,ACCESS!$O$2:$AA$250,122,0)</f>
        <v>13000</v>
      </c>
      <c r="AT293" s="106">
        <f>+HLOOKUP($C293,ACCESS!$O$2:$AA$250,123,0)</f>
        <v>1949.9999999999998</v>
      </c>
      <c r="AU293" s="106">
        <f>+HLOOKUP($C293,ACCESS!$O$2:$AA$250,124,0)</f>
        <v>0</v>
      </c>
      <c r="AV293" s="106">
        <f>+HLOOKUP($C293,ACCESS!$O$2:$AA$250,125,0)</f>
        <v>0</v>
      </c>
      <c r="AW293" s="106">
        <f>+HLOOKUP($C293,ACCESS!$O$2:$AA$250,126,0)</f>
        <v>721.15384615384619</v>
      </c>
      <c r="AX293" s="106">
        <f>+HLOOKUP($C293,ACCESS!$O$2:$AA$250,127,0)</f>
        <v>1083.3333333333333</v>
      </c>
      <c r="AY293" s="106">
        <f>+HLOOKUP($C293,ACCESS!$O$2:$AA$250,129,0)</f>
        <v>0</v>
      </c>
      <c r="AZ293" s="106">
        <f>+HLOOKUP($C293,ACCESS!$O$2:$AA$250,130,0)</f>
        <v>0</v>
      </c>
      <c r="BA293" s="106">
        <f>+HLOOKUP($C293,ACCESS!$O$2:$AA$250,131,0)</f>
        <v>0</v>
      </c>
      <c r="BB293" s="106">
        <f>+HLOOKUP($C293,ACCESS!$O$2:$AA$250,133,0)</f>
        <v>0</v>
      </c>
      <c r="BC293" s="106">
        <f>+HLOOKUP($C293,ACCESS!$O$2:$AA$250,134,0)</f>
        <v>0</v>
      </c>
      <c r="BD293" s="106">
        <f>+HLOOKUP($C293,ACCESS!$O$2:$AA$250,135,0)</f>
        <v>0</v>
      </c>
      <c r="BE293" s="106">
        <f>+HLOOKUP($C293,ACCESS!$O$2:$AA$250,136,0)</f>
        <v>0</v>
      </c>
      <c r="BF293" s="106">
        <f>+HLOOKUP($C293,ACCESS!$O$2:$AA$250,138,0)</f>
        <v>0</v>
      </c>
      <c r="BG293" s="106">
        <f>+HLOOKUP($C293,ACCESS!$O$2:$AA$250,139,0)</f>
        <v>0</v>
      </c>
      <c r="BH293" s="106">
        <f>+HLOOKUP($C293,ACCESS!$O$2:$AA$250,140,0)</f>
        <v>0</v>
      </c>
      <c r="BI293" s="106">
        <f>+HLOOKUP($C293,ACCESS!$O$2:$AA$250,141,0)</f>
        <v>0</v>
      </c>
      <c r="BJ293" s="106">
        <f>+HLOOKUP($C293,ACCESS!$O$2:$AA$250,142,0)</f>
        <v>0</v>
      </c>
      <c r="BK293" s="106">
        <f>+HLOOKUP($C293,ACCESS!$O$2:$AA$250,143,0)</f>
        <v>0</v>
      </c>
      <c r="BL293" s="106">
        <f>+HLOOKUP($C293,ACCESS!$O$2:$AA$250,144,0)</f>
        <v>0</v>
      </c>
      <c r="BM293" s="106">
        <f>+HLOOKUP($C293,ACCESS!$O$2:$AA$250,146,0)</f>
        <v>0</v>
      </c>
      <c r="BN293" s="106">
        <f>+HLOOKUP($C293,ACCESS!$O$2:$AA$250,147,0)</f>
        <v>0</v>
      </c>
      <c r="BO293" s="106">
        <f>+HLOOKUP($C293,ACCESS!$O$2:$AA$250,148,0)</f>
        <v>0</v>
      </c>
      <c r="BP293" s="106">
        <f>+HLOOKUP($C293,ACCESS!$O$2:$AA$250,150,0)</f>
        <v>0</v>
      </c>
      <c r="BQ293" s="106">
        <f>+HLOOKUP($C293,ACCESS!$O$2:$AA$250,151,0)</f>
        <v>0</v>
      </c>
      <c r="BR293" s="106">
        <f>+HLOOKUP($C293,ACCESS!$O$2:$AA$250,152,0)</f>
        <v>0</v>
      </c>
      <c r="BS293" s="106">
        <f>+HLOOKUP($C293,ACCESS!$O$2:$AA$250,153,0)</f>
        <v>0</v>
      </c>
      <c r="BT293" s="106">
        <f>+HLOOKUP($C293,ACCESS!$O$2:$AA$250,157,0)</f>
        <v>0</v>
      </c>
      <c r="BU293" s="106">
        <f>+HLOOKUP($C293,ACCESS!$O$2:$AA$250,158,0)</f>
        <v>0</v>
      </c>
      <c r="BV293" s="106">
        <f>+HLOOKUP($C293,ACCESS!$O$2:$AA$250,159,0)</f>
        <v>0</v>
      </c>
      <c r="BW293" s="106">
        <f>+HLOOKUP($C293,ACCESS!$O$2:$AA$250,160,0)</f>
        <v>0</v>
      </c>
      <c r="BX293" s="106">
        <f>+HLOOKUP($C293,ACCESS!$O$2:$AA$250,161,0)</f>
        <v>0</v>
      </c>
      <c r="BY293" s="106">
        <f>+HLOOKUP($C293,ACCESS!$O$2:$AA$250,164,0)</f>
        <v>0</v>
      </c>
      <c r="BZ293" s="106">
        <f>+HLOOKUP($C293,ACCESS!$O$2:$AA$250,165,0)</f>
        <v>0</v>
      </c>
      <c r="CA293" s="106">
        <f>+HLOOKUP($C293,ACCESS!$O$2:$AA$250,166,0)</f>
        <v>0</v>
      </c>
      <c r="CB293" s="106">
        <f>+HLOOKUP($C293,ACCESS!$O$2:$AA$250,167,0)</f>
        <v>0</v>
      </c>
      <c r="CC293" s="106">
        <f>+HLOOKUP($C293,ACCESS!$O$2:$AA$250,168,0)</f>
        <v>0</v>
      </c>
      <c r="CD293" s="106">
        <f>+HLOOKUP($C293,ACCESS!$O$2:$AA$250,169,0)</f>
        <v>0</v>
      </c>
      <c r="CE293" s="106">
        <f>+HLOOKUP($C293,ACCESS!$O$2:$AA$250,170,0)</f>
        <v>0</v>
      </c>
      <c r="CF293" s="106">
        <f>+HLOOKUP($C293,ACCESS!$O$2:$AA$250,172,0)</f>
        <v>0</v>
      </c>
      <c r="CG293" s="106">
        <f>+HLOOKUP($C293,ACCESS!$O$2:$AA$250,173,0)</f>
        <v>0</v>
      </c>
      <c r="CH293" s="106">
        <f>+HLOOKUP($C293,ACCESS!$O$2:$AA$250,174,0)</f>
        <v>0</v>
      </c>
      <c r="CI293" s="106">
        <f>+HLOOKUP($C293,ACCESS!$O$2:$AA$250,175,0)</f>
        <v>0</v>
      </c>
      <c r="CJ293" s="106">
        <f>+HLOOKUP($C293,ACCESS!$O$2:$AA$250,176,0)</f>
        <v>0</v>
      </c>
      <c r="CK293" s="106">
        <f>+HLOOKUP($C293,ACCESS!$O$2:$AA$250,178,0)</f>
        <v>0</v>
      </c>
      <c r="CL293" s="106">
        <f>+HLOOKUP($C293,ACCESS!$O$2:$AA$250,179,0)</f>
        <v>0</v>
      </c>
      <c r="CM293" s="106">
        <f>+HLOOKUP($C293,ACCESS!$O$2:$AA$250,180,0)</f>
        <v>0</v>
      </c>
      <c r="CN293" s="106">
        <f>+HLOOKUP($C293,ACCESS!$O$2:$AA$250,182,0)</f>
        <v>0</v>
      </c>
      <c r="CO293" s="106">
        <f>+HLOOKUP($C293,ACCESS!$O$2:$AA$250,183,0)</f>
        <v>0</v>
      </c>
      <c r="CP293" s="106">
        <f>+HLOOKUP($C293,ACCESS!$O$2:$AA$250,184,0)</f>
        <v>0</v>
      </c>
      <c r="CQ293" s="106">
        <f>+HLOOKUP($C293,ACCESS!$O$2:$AA$250,185,0)</f>
        <v>0</v>
      </c>
      <c r="CR293" s="106">
        <f>+HLOOKUP($C293,ACCESS!$O$2:$AA$250,187,0)</f>
        <v>0</v>
      </c>
      <c r="CS293" s="106">
        <f>+HLOOKUP($C293,ACCESS!$O$2:$AA$250,188,0)</f>
        <v>0</v>
      </c>
      <c r="CT293" s="106">
        <f>+HLOOKUP($C293,ACCESS!$O$2:$AA$250,189,0)</f>
        <v>0</v>
      </c>
      <c r="CU293" s="106">
        <f>+HLOOKUP($C293,ACCESS!$O$2:$AA$250,190,0)</f>
        <v>0</v>
      </c>
      <c r="CV293" s="106">
        <f>+HLOOKUP($C293,ACCESS!$O$2:$AA$250,191,0)</f>
        <v>0</v>
      </c>
      <c r="CW293" s="106">
        <f>+HLOOKUP($C293,ACCESS!$O$2:$AA$250,193,0)</f>
        <v>0</v>
      </c>
      <c r="CX293" s="106">
        <f>+HLOOKUP($C293,ACCESS!$O$2:$AA$250,194,0)</f>
        <v>0</v>
      </c>
      <c r="CY293" s="106">
        <f>+HLOOKUP($C293,ACCESS!$O$2:$AA$250,195,0)</f>
        <v>0</v>
      </c>
      <c r="CZ293" s="106">
        <f>+HLOOKUP($C293,ACCESS!$O$2:$AA$250,196,0)</f>
        <v>0</v>
      </c>
      <c r="DA293" s="106">
        <f>+HLOOKUP($C293,ACCESS!$O$2:$AA$250,197,0)</f>
        <v>0</v>
      </c>
      <c r="DB293" s="106">
        <f>+HLOOKUP($C293,ACCESS!$O$2:$AA$250,198,0)</f>
        <v>0</v>
      </c>
      <c r="DC293" s="106">
        <f>+HLOOKUP($C293,ACCESS!$O$2:$AA$250,199,0)</f>
        <v>0</v>
      </c>
      <c r="DD293" s="106">
        <f>+HLOOKUP($C293,ACCESS!$O$2:$AA$250,200,0)</f>
        <v>0</v>
      </c>
      <c r="DE293" s="106">
        <f>+HLOOKUP($C293,ACCESS!$O$2:$AA$250,201,0)</f>
        <v>0</v>
      </c>
      <c r="DF293" s="106">
        <f>+HLOOKUP($C293,ACCESS!$O$2:$AA$250,202,0)</f>
        <v>0</v>
      </c>
      <c r="DG293" s="106">
        <f>+HLOOKUP($C293,ACCESS!$O$2:$AA$250,203,0)</f>
        <v>0</v>
      </c>
      <c r="DH293" s="106">
        <f>+HLOOKUP($C293,ACCESS!$O$2:$AA$250,205,0)</f>
        <v>0</v>
      </c>
      <c r="DI293" s="106">
        <f>+HLOOKUP($C293,ACCESS!$O$2:$AA$250,206,0)</f>
        <v>0</v>
      </c>
      <c r="DJ293" s="106">
        <f>+HLOOKUP($C293,ACCESS!$O$2:$AA$250,207,0)</f>
        <v>0</v>
      </c>
      <c r="DK293" s="106">
        <f>+HLOOKUP($C293,ACCESS!$O$2:$AA$250,209,0)</f>
        <v>0</v>
      </c>
      <c r="DL293" s="106">
        <f>+HLOOKUP($C293,ACCESS!$O$2:$AA$250,210,0)</f>
        <v>0</v>
      </c>
      <c r="DM293" s="106">
        <f>+HLOOKUP($C293,ACCESS!$O$2:$AA$250,211,0)</f>
        <v>0</v>
      </c>
      <c r="DN293" s="106">
        <f>+HLOOKUP($C293,ACCESS!$O$2:$AA$250,212,0)</f>
        <v>0</v>
      </c>
      <c r="DO293" s="106">
        <f>+HLOOKUP($C293,ACCESS!$O$2:$AA$250,214,0)</f>
        <v>0</v>
      </c>
      <c r="DP293" s="106">
        <f>+HLOOKUP($C293,ACCESS!$O$2:$AA$250,215,0)</f>
        <v>0</v>
      </c>
      <c r="DQ293" s="106">
        <f>+HLOOKUP($C293,ACCESS!$O$2:$AA$250,219,0)</f>
        <v>0</v>
      </c>
      <c r="DR293" s="106">
        <f>+HLOOKUP($C293,ACCESS!$O$2:$AA$250,220,0)</f>
        <v>0</v>
      </c>
      <c r="DS293" s="106">
        <f>+HLOOKUP($C293,ACCESS!$O$2:$AA$250,221,0)</f>
        <v>0</v>
      </c>
      <c r="DT293" s="106">
        <f>+HLOOKUP($C293,ACCESS!$O$2:$AA$250,223,0)</f>
        <v>0</v>
      </c>
      <c r="DU293" s="106">
        <f>+HLOOKUP($C293,ACCESS!$O$2:$AA$250,224,0)</f>
        <v>0</v>
      </c>
      <c r="DV293" s="106">
        <f>+HLOOKUP($C293,ACCESS!$O$2:$AA$250,225,0)</f>
        <v>0</v>
      </c>
      <c r="DW293" s="106">
        <f>+HLOOKUP($C293,ACCESS!$O$2:$AA$250,227,0)</f>
        <v>0</v>
      </c>
      <c r="DX293" s="106">
        <f>+HLOOKUP($C293,ACCESS!$O$2:$AA$250,228,0)</f>
        <v>0</v>
      </c>
      <c r="DY293" s="106">
        <f>+HLOOKUP($C293,ACCESS!$O$2:$AA$250,236,0)</f>
        <v>0</v>
      </c>
      <c r="DZ293" s="106">
        <f>+HLOOKUP($C293,ACCESS!$O$2:$AA$250,237,0)</f>
        <v>0</v>
      </c>
      <c r="EA293" s="106">
        <f>+HLOOKUP($C293,ACCESS!$O$2:$AA$250,238,0)</f>
        <v>0</v>
      </c>
      <c r="EB293" s="106">
        <f>+HLOOKUP($C293,ACCESS!$O$2:$AA$250,240,0)</f>
        <v>0</v>
      </c>
    </row>
    <row r="294" spans="1:132">
      <c r="A294" t="s">
        <v>269</v>
      </c>
      <c r="B294" t="s">
        <v>273</v>
      </c>
      <c r="C294" s="117">
        <v>45870</v>
      </c>
      <c r="D294" s="106">
        <f t="shared" si="5"/>
        <v>1631373.12</v>
      </c>
      <c r="E294" s="106">
        <f>+HLOOKUP(C294,ACCESS!$O$2:$AA$250,50,0)+HLOOKUP(C294,ACCESS!$O$2:$AA$250,51,0)+HLOOKUP(C294,ACCESS!$O$2:$AA$250,54,0)</f>
        <v>1631373.12</v>
      </c>
      <c r="F294" s="106">
        <f>+HLOOKUP(C294,ACCESS!$O$2:$AA$250,52,0)+HLOOKUP(C294,ACCESS!$O$2:$AA$250,56,0)</f>
        <v>1344287.5799999984</v>
      </c>
      <c r="G294" s="106">
        <f>+HLOOKUP($C294,ACCESS!$O$2:$AA$250,76,0)</f>
        <v>0</v>
      </c>
      <c r="H294" s="106">
        <f>+HLOOKUP($C294,ACCESS!$O$2:$AA$250,77,0)</f>
        <v>0</v>
      </c>
      <c r="I294" s="106">
        <f>+HLOOKUP($C294,ACCESS!$O$2:$AA$250,78,0)</f>
        <v>0</v>
      </c>
      <c r="J294" s="106">
        <f>+HLOOKUP($C294,ACCESS!$O$2:$AA$250,79,0)</f>
        <v>0</v>
      </c>
      <c r="K294" s="106">
        <f>+HLOOKUP($C294,ACCESS!$O$2:$AA$250,80,0)</f>
        <v>0</v>
      </c>
      <c r="L294" s="106">
        <f>+HLOOKUP($C294,ACCESS!$O$2:$AA$250,81,0)</f>
        <v>0</v>
      </c>
      <c r="M294" s="106">
        <f>+HLOOKUP($C294,ACCESS!$O$2:$AA$250,82,0)</f>
        <v>0</v>
      </c>
      <c r="N294" s="106">
        <f>+HLOOKUP($C294,ACCESS!$O$2:$AA$250,83,0)</f>
        <v>0</v>
      </c>
      <c r="O294" s="106">
        <f>+HLOOKUP($C294,ACCESS!$O$2:$AA$250,84,0)</f>
        <v>0</v>
      </c>
      <c r="P294" s="106">
        <f>+HLOOKUP($C294,ACCESS!$O$2:$AA$250,85,0)</f>
        <v>0</v>
      </c>
      <c r="Q294" s="106">
        <f>+HLOOKUP($C294,ACCESS!$O$2:$AA$250,87,0)</f>
        <v>9250</v>
      </c>
      <c r="R294" s="106">
        <f>+HLOOKUP($C294,ACCESS!$O$2:$AA$250,90,0)</f>
        <v>0</v>
      </c>
      <c r="S294" s="106">
        <f>+HLOOKUP($C294,ACCESS!$O$2:$AA$250,91,0)</f>
        <v>0</v>
      </c>
      <c r="T294" s="106">
        <f>+HLOOKUP($C294,ACCESS!$O$2:$AA$250,92,0)</f>
        <v>0</v>
      </c>
      <c r="U294" s="106">
        <f>+HLOOKUP($C294,ACCESS!$O$2:$AA$250,93,0)</f>
        <v>0</v>
      </c>
      <c r="V294" s="106">
        <f>+HLOOKUP($C294,ACCESS!$O$2:$AA$250,94,0)</f>
        <v>0</v>
      </c>
      <c r="W294" s="106">
        <f>+HLOOKUP($C294,ACCESS!$O$2:$AA$250,95,0)</f>
        <v>0</v>
      </c>
      <c r="X294" s="106">
        <f>+HLOOKUP($C294,ACCESS!$O$2:$AA$250,96,0)</f>
        <v>0</v>
      </c>
      <c r="Y294" s="106">
        <f>+HLOOKUP($C294,ACCESS!$O$2:$AA$250,97,0)</f>
        <v>0</v>
      </c>
      <c r="Z294" s="106">
        <f>+HLOOKUP($C294,ACCESS!$O$2:$AA$250,98,0)</f>
        <v>0</v>
      </c>
      <c r="AA294" s="106">
        <f>+HLOOKUP($C294,ACCESS!$O$2:$AA$250,99,0)</f>
        <v>0</v>
      </c>
      <c r="AB294" s="106">
        <f>+HLOOKUP($C294,ACCESS!$O$2:$AA$250,100,0)</f>
        <v>0</v>
      </c>
      <c r="AC294" s="106">
        <f>+HLOOKUP($C294,ACCESS!$O$2:$AA$250,101,0)</f>
        <v>0</v>
      </c>
      <c r="AD294" s="106">
        <f>+HLOOKUP($C294,ACCESS!$O$2:$AA$250,104,0)</f>
        <v>0</v>
      </c>
      <c r="AE294" s="106">
        <f>+HLOOKUP($C294,ACCESS!$O$2:$AA$250,105,0)</f>
        <v>0</v>
      </c>
      <c r="AF294" s="106">
        <f>+HLOOKUP($C294,ACCESS!$O$2:$AA$250,106,0)</f>
        <v>0</v>
      </c>
      <c r="AG294" s="106">
        <f>+HLOOKUP($C294,ACCESS!$O$2:$AA$250,107,0)</f>
        <v>0</v>
      </c>
      <c r="AH294" s="106">
        <f>+HLOOKUP($C294,ACCESS!$O$2:$AA$250,108,0)</f>
        <v>0</v>
      </c>
      <c r="AI294" s="106">
        <f>+HLOOKUP($C294,ACCESS!$O$2:$AA$250,109,0)</f>
        <v>0</v>
      </c>
      <c r="AJ294" s="106">
        <f>+HLOOKUP($C294,ACCESS!$O$2:$AA$250,110,0)</f>
        <v>0</v>
      </c>
      <c r="AK294" s="106">
        <f>+HLOOKUP($C294,ACCESS!$O$2:$AA$250,111,0)</f>
        <v>0</v>
      </c>
      <c r="AL294" s="106">
        <f>+HLOOKUP($C294,ACCESS!$O$2:$AA$250,112,0)</f>
        <v>0</v>
      </c>
      <c r="AM294" s="106">
        <f>+HLOOKUP($C294,ACCESS!$O$2:$AA$250,116,0)</f>
        <v>15000</v>
      </c>
      <c r="AN294" s="106">
        <f>+HLOOKUP($C294,ACCESS!$O$2:$AA$250,117,0)</f>
        <v>2500</v>
      </c>
      <c r="AO294" s="106">
        <f>+HLOOKUP($C294,ACCESS!$O$2:$AA$250,118,0)</f>
        <v>0</v>
      </c>
      <c r="AP294" s="106">
        <f>+HLOOKUP($C294,ACCESS!$O$2:$AA$250,119,0)</f>
        <v>4000</v>
      </c>
      <c r="AQ294" s="106">
        <f>+HLOOKUP($C294,ACCESS!$O$2:$AA$250,120,0)</f>
        <v>0</v>
      </c>
      <c r="AR294" s="106">
        <f>+HLOOKUP($C294,ACCESS!$O$2:$AA$250,121,0)</f>
        <v>500</v>
      </c>
      <c r="AS294" s="106">
        <f>+HLOOKUP($C294,ACCESS!$O$2:$AA$250,122,0)</f>
        <v>13000</v>
      </c>
      <c r="AT294" s="106">
        <f>+HLOOKUP($C294,ACCESS!$O$2:$AA$250,123,0)</f>
        <v>1949.9999999999998</v>
      </c>
      <c r="AU294" s="106">
        <f>+HLOOKUP($C294,ACCESS!$O$2:$AA$250,124,0)</f>
        <v>0</v>
      </c>
      <c r="AV294" s="106">
        <f>+HLOOKUP($C294,ACCESS!$O$2:$AA$250,125,0)</f>
        <v>0</v>
      </c>
      <c r="AW294" s="106">
        <f>+HLOOKUP($C294,ACCESS!$O$2:$AA$250,126,0)</f>
        <v>0</v>
      </c>
      <c r="AX294" s="106">
        <f>+HLOOKUP($C294,ACCESS!$O$2:$AA$250,127,0)</f>
        <v>0</v>
      </c>
      <c r="AY294" s="106">
        <f>+HLOOKUP($C294,ACCESS!$O$2:$AA$250,129,0)</f>
        <v>0</v>
      </c>
      <c r="AZ294" s="106">
        <f>+HLOOKUP($C294,ACCESS!$O$2:$AA$250,130,0)</f>
        <v>0</v>
      </c>
      <c r="BA294" s="106">
        <f>+HLOOKUP($C294,ACCESS!$O$2:$AA$250,131,0)</f>
        <v>0</v>
      </c>
      <c r="BB294" s="106">
        <f>+HLOOKUP($C294,ACCESS!$O$2:$AA$250,133,0)</f>
        <v>0</v>
      </c>
      <c r="BC294" s="106">
        <f>+HLOOKUP($C294,ACCESS!$O$2:$AA$250,134,0)</f>
        <v>0</v>
      </c>
      <c r="BD294" s="106">
        <f>+HLOOKUP($C294,ACCESS!$O$2:$AA$250,135,0)</f>
        <v>0</v>
      </c>
      <c r="BE294" s="106">
        <f>+HLOOKUP($C294,ACCESS!$O$2:$AA$250,136,0)</f>
        <v>0</v>
      </c>
      <c r="BF294" s="106">
        <f>+HLOOKUP($C294,ACCESS!$O$2:$AA$250,138,0)</f>
        <v>0</v>
      </c>
      <c r="BG294" s="106">
        <f>+HLOOKUP($C294,ACCESS!$O$2:$AA$250,139,0)</f>
        <v>0</v>
      </c>
      <c r="BH294" s="106">
        <f>+HLOOKUP($C294,ACCESS!$O$2:$AA$250,140,0)</f>
        <v>0</v>
      </c>
      <c r="BI294" s="106">
        <f>+HLOOKUP($C294,ACCESS!$O$2:$AA$250,141,0)</f>
        <v>0</v>
      </c>
      <c r="BJ294" s="106">
        <f>+HLOOKUP($C294,ACCESS!$O$2:$AA$250,142,0)</f>
        <v>0</v>
      </c>
      <c r="BK294" s="106">
        <f>+HLOOKUP($C294,ACCESS!$O$2:$AA$250,143,0)</f>
        <v>0</v>
      </c>
      <c r="BL294" s="106">
        <f>+HLOOKUP($C294,ACCESS!$O$2:$AA$250,144,0)</f>
        <v>0</v>
      </c>
      <c r="BM294" s="106">
        <f>+HLOOKUP($C294,ACCESS!$O$2:$AA$250,146,0)</f>
        <v>0</v>
      </c>
      <c r="BN294" s="106">
        <f>+HLOOKUP($C294,ACCESS!$O$2:$AA$250,147,0)</f>
        <v>0</v>
      </c>
      <c r="BO294" s="106">
        <f>+HLOOKUP($C294,ACCESS!$O$2:$AA$250,148,0)</f>
        <v>0</v>
      </c>
      <c r="BP294" s="106">
        <f>+HLOOKUP($C294,ACCESS!$O$2:$AA$250,150,0)</f>
        <v>0</v>
      </c>
      <c r="BQ294" s="106">
        <f>+HLOOKUP($C294,ACCESS!$O$2:$AA$250,151,0)</f>
        <v>0</v>
      </c>
      <c r="BR294" s="106">
        <f>+HLOOKUP($C294,ACCESS!$O$2:$AA$250,152,0)</f>
        <v>0</v>
      </c>
      <c r="BS294" s="106">
        <f>+HLOOKUP($C294,ACCESS!$O$2:$AA$250,153,0)</f>
        <v>0</v>
      </c>
      <c r="BT294" s="106">
        <f>+HLOOKUP($C294,ACCESS!$O$2:$AA$250,157,0)</f>
        <v>0</v>
      </c>
      <c r="BU294" s="106">
        <f>+HLOOKUP($C294,ACCESS!$O$2:$AA$250,158,0)</f>
        <v>0</v>
      </c>
      <c r="BV294" s="106">
        <f>+HLOOKUP($C294,ACCESS!$O$2:$AA$250,159,0)</f>
        <v>0</v>
      </c>
      <c r="BW294" s="106">
        <f>+HLOOKUP($C294,ACCESS!$O$2:$AA$250,160,0)</f>
        <v>0</v>
      </c>
      <c r="BX294" s="106">
        <f>+HLOOKUP($C294,ACCESS!$O$2:$AA$250,161,0)</f>
        <v>0</v>
      </c>
      <c r="BY294" s="106">
        <f>+HLOOKUP($C294,ACCESS!$O$2:$AA$250,164,0)</f>
        <v>0</v>
      </c>
      <c r="BZ294" s="106">
        <f>+HLOOKUP($C294,ACCESS!$O$2:$AA$250,165,0)</f>
        <v>0</v>
      </c>
      <c r="CA294" s="106">
        <f>+HLOOKUP($C294,ACCESS!$O$2:$AA$250,166,0)</f>
        <v>0</v>
      </c>
      <c r="CB294" s="106">
        <f>+HLOOKUP($C294,ACCESS!$O$2:$AA$250,167,0)</f>
        <v>0</v>
      </c>
      <c r="CC294" s="106">
        <f>+HLOOKUP($C294,ACCESS!$O$2:$AA$250,168,0)</f>
        <v>0</v>
      </c>
      <c r="CD294" s="106">
        <f>+HLOOKUP($C294,ACCESS!$O$2:$AA$250,169,0)</f>
        <v>0</v>
      </c>
      <c r="CE294" s="106">
        <f>+HLOOKUP($C294,ACCESS!$O$2:$AA$250,170,0)</f>
        <v>0</v>
      </c>
      <c r="CF294" s="106">
        <f>+HLOOKUP($C294,ACCESS!$O$2:$AA$250,172,0)</f>
        <v>0</v>
      </c>
      <c r="CG294" s="106">
        <f>+HLOOKUP($C294,ACCESS!$O$2:$AA$250,173,0)</f>
        <v>0</v>
      </c>
      <c r="CH294" s="106">
        <f>+HLOOKUP($C294,ACCESS!$O$2:$AA$250,174,0)</f>
        <v>0</v>
      </c>
      <c r="CI294" s="106">
        <f>+HLOOKUP($C294,ACCESS!$O$2:$AA$250,175,0)</f>
        <v>0</v>
      </c>
      <c r="CJ294" s="106">
        <f>+HLOOKUP($C294,ACCESS!$O$2:$AA$250,176,0)</f>
        <v>0</v>
      </c>
      <c r="CK294" s="106">
        <f>+HLOOKUP($C294,ACCESS!$O$2:$AA$250,178,0)</f>
        <v>0</v>
      </c>
      <c r="CL294" s="106">
        <f>+HLOOKUP($C294,ACCESS!$O$2:$AA$250,179,0)</f>
        <v>0</v>
      </c>
      <c r="CM294" s="106">
        <f>+HLOOKUP($C294,ACCESS!$O$2:$AA$250,180,0)</f>
        <v>0</v>
      </c>
      <c r="CN294" s="106">
        <f>+HLOOKUP($C294,ACCESS!$O$2:$AA$250,182,0)</f>
        <v>0</v>
      </c>
      <c r="CO294" s="106">
        <f>+HLOOKUP($C294,ACCESS!$O$2:$AA$250,183,0)</f>
        <v>0</v>
      </c>
      <c r="CP294" s="106">
        <f>+HLOOKUP($C294,ACCESS!$O$2:$AA$250,184,0)</f>
        <v>0</v>
      </c>
      <c r="CQ294" s="106">
        <f>+HLOOKUP($C294,ACCESS!$O$2:$AA$250,185,0)</f>
        <v>0</v>
      </c>
      <c r="CR294" s="106">
        <f>+HLOOKUP($C294,ACCESS!$O$2:$AA$250,187,0)</f>
        <v>0</v>
      </c>
      <c r="CS294" s="106">
        <f>+HLOOKUP($C294,ACCESS!$O$2:$AA$250,188,0)</f>
        <v>0</v>
      </c>
      <c r="CT294" s="106">
        <f>+HLOOKUP($C294,ACCESS!$O$2:$AA$250,189,0)</f>
        <v>0</v>
      </c>
      <c r="CU294" s="106">
        <f>+HLOOKUP($C294,ACCESS!$O$2:$AA$250,190,0)</f>
        <v>0</v>
      </c>
      <c r="CV294" s="106">
        <f>+HLOOKUP($C294,ACCESS!$O$2:$AA$250,191,0)</f>
        <v>0</v>
      </c>
      <c r="CW294" s="106">
        <f>+HLOOKUP($C294,ACCESS!$O$2:$AA$250,193,0)</f>
        <v>0</v>
      </c>
      <c r="CX294" s="106">
        <f>+HLOOKUP($C294,ACCESS!$O$2:$AA$250,194,0)</f>
        <v>0</v>
      </c>
      <c r="CY294" s="106">
        <f>+HLOOKUP($C294,ACCESS!$O$2:$AA$250,195,0)</f>
        <v>0</v>
      </c>
      <c r="CZ294" s="106">
        <f>+HLOOKUP($C294,ACCESS!$O$2:$AA$250,196,0)</f>
        <v>0</v>
      </c>
      <c r="DA294" s="106">
        <f>+HLOOKUP($C294,ACCESS!$O$2:$AA$250,197,0)</f>
        <v>0</v>
      </c>
      <c r="DB294" s="106">
        <f>+HLOOKUP($C294,ACCESS!$O$2:$AA$250,198,0)</f>
        <v>0</v>
      </c>
      <c r="DC294" s="106">
        <f>+HLOOKUP($C294,ACCESS!$O$2:$AA$250,199,0)</f>
        <v>0</v>
      </c>
      <c r="DD294" s="106">
        <f>+HLOOKUP($C294,ACCESS!$O$2:$AA$250,200,0)</f>
        <v>0</v>
      </c>
      <c r="DE294" s="106">
        <f>+HLOOKUP($C294,ACCESS!$O$2:$AA$250,201,0)</f>
        <v>0</v>
      </c>
      <c r="DF294" s="106">
        <f>+HLOOKUP($C294,ACCESS!$O$2:$AA$250,202,0)</f>
        <v>0</v>
      </c>
      <c r="DG294" s="106">
        <f>+HLOOKUP($C294,ACCESS!$O$2:$AA$250,203,0)</f>
        <v>0</v>
      </c>
      <c r="DH294" s="106">
        <f>+HLOOKUP($C294,ACCESS!$O$2:$AA$250,205,0)</f>
        <v>0</v>
      </c>
      <c r="DI294" s="106">
        <f>+HLOOKUP($C294,ACCESS!$O$2:$AA$250,206,0)</f>
        <v>0</v>
      </c>
      <c r="DJ294" s="106">
        <f>+HLOOKUP($C294,ACCESS!$O$2:$AA$250,207,0)</f>
        <v>0</v>
      </c>
      <c r="DK294" s="106">
        <f>+HLOOKUP($C294,ACCESS!$O$2:$AA$250,209,0)</f>
        <v>0</v>
      </c>
      <c r="DL294" s="106">
        <f>+HLOOKUP($C294,ACCESS!$O$2:$AA$250,210,0)</f>
        <v>0</v>
      </c>
      <c r="DM294" s="106">
        <f>+HLOOKUP($C294,ACCESS!$O$2:$AA$250,211,0)</f>
        <v>0</v>
      </c>
      <c r="DN294" s="106">
        <f>+HLOOKUP($C294,ACCESS!$O$2:$AA$250,212,0)</f>
        <v>0</v>
      </c>
      <c r="DO294" s="106">
        <f>+HLOOKUP($C294,ACCESS!$O$2:$AA$250,214,0)</f>
        <v>0</v>
      </c>
      <c r="DP294" s="106">
        <f>+HLOOKUP($C294,ACCESS!$O$2:$AA$250,215,0)</f>
        <v>0</v>
      </c>
      <c r="DQ294" s="106">
        <f>+HLOOKUP($C294,ACCESS!$O$2:$AA$250,219,0)</f>
        <v>0</v>
      </c>
      <c r="DR294" s="106">
        <f>+HLOOKUP($C294,ACCESS!$O$2:$AA$250,220,0)</f>
        <v>0</v>
      </c>
      <c r="DS294" s="106">
        <f>+HLOOKUP($C294,ACCESS!$O$2:$AA$250,221,0)</f>
        <v>0</v>
      </c>
      <c r="DT294" s="106">
        <f>+HLOOKUP($C294,ACCESS!$O$2:$AA$250,223,0)</f>
        <v>0</v>
      </c>
      <c r="DU294" s="106">
        <f>+HLOOKUP($C294,ACCESS!$O$2:$AA$250,224,0)</f>
        <v>0</v>
      </c>
      <c r="DV294" s="106">
        <f>+HLOOKUP($C294,ACCESS!$O$2:$AA$250,225,0)</f>
        <v>0</v>
      </c>
      <c r="DW294" s="106">
        <f>+HLOOKUP($C294,ACCESS!$O$2:$AA$250,227,0)</f>
        <v>0</v>
      </c>
      <c r="DX294" s="106">
        <f>+HLOOKUP($C294,ACCESS!$O$2:$AA$250,228,0)</f>
        <v>0</v>
      </c>
      <c r="DY294" s="106">
        <f>+HLOOKUP($C294,ACCESS!$O$2:$AA$250,236,0)</f>
        <v>0</v>
      </c>
      <c r="DZ294" s="106">
        <f>+HLOOKUP($C294,ACCESS!$O$2:$AA$250,237,0)</f>
        <v>0</v>
      </c>
      <c r="EA294" s="106">
        <f>+HLOOKUP($C294,ACCESS!$O$2:$AA$250,238,0)</f>
        <v>0</v>
      </c>
      <c r="EB294" s="106">
        <f>+HLOOKUP($C294,ACCESS!$O$2:$AA$250,240,0)</f>
        <v>0</v>
      </c>
    </row>
    <row r="295" spans="1:132">
      <c r="A295" t="s">
        <v>269</v>
      </c>
      <c r="B295" t="s">
        <v>273</v>
      </c>
      <c r="C295" s="117">
        <v>45839</v>
      </c>
      <c r="D295" s="106">
        <f t="shared" si="5"/>
        <v>1447913.05</v>
      </c>
      <c r="E295" s="106">
        <f>+HLOOKUP(C295,ACCESS!$O$2:$AA$250,50,0)+HLOOKUP(C295,ACCESS!$O$2:$AA$250,51,0)+HLOOKUP(C295,ACCESS!$O$2:$AA$250,54,0)</f>
        <v>1447913.05</v>
      </c>
      <c r="F295" s="106">
        <f>+HLOOKUP(C295,ACCESS!$O$2:$AA$250,52,0)+HLOOKUP(C295,ACCESS!$O$2:$AA$250,56,0)</f>
        <v>1038914.0400000002</v>
      </c>
      <c r="G295" s="106">
        <f>+HLOOKUP($C295,ACCESS!$O$2:$AA$250,76,0)</f>
        <v>0</v>
      </c>
      <c r="H295" s="106">
        <f>+HLOOKUP($C295,ACCESS!$O$2:$AA$250,77,0)</f>
        <v>0</v>
      </c>
      <c r="I295" s="106">
        <f>+HLOOKUP($C295,ACCESS!$O$2:$AA$250,78,0)</f>
        <v>0</v>
      </c>
      <c r="J295" s="106">
        <f>+HLOOKUP($C295,ACCESS!$O$2:$AA$250,79,0)</f>
        <v>0</v>
      </c>
      <c r="K295" s="106">
        <f>+HLOOKUP($C295,ACCESS!$O$2:$AA$250,80,0)</f>
        <v>0</v>
      </c>
      <c r="L295" s="106">
        <f>+HLOOKUP($C295,ACCESS!$O$2:$AA$250,81,0)</f>
        <v>0</v>
      </c>
      <c r="M295" s="106">
        <f>+HLOOKUP($C295,ACCESS!$O$2:$AA$250,82,0)</f>
        <v>0</v>
      </c>
      <c r="N295" s="106">
        <f>+HLOOKUP($C295,ACCESS!$O$2:$AA$250,83,0)</f>
        <v>0</v>
      </c>
      <c r="O295" s="106">
        <f>+HLOOKUP($C295,ACCESS!$O$2:$AA$250,84,0)</f>
        <v>0</v>
      </c>
      <c r="P295" s="106">
        <f>+HLOOKUP($C295,ACCESS!$O$2:$AA$250,85,0)</f>
        <v>0</v>
      </c>
      <c r="Q295" s="106">
        <f>+HLOOKUP($C295,ACCESS!$O$2:$AA$250,87,0)</f>
        <v>3800</v>
      </c>
      <c r="R295" s="106">
        <f>+HLOOKUP($C295,ACCESS!$O$2:$AA$250,90,0)</f>
        <v>0</v>
      </c>
      <c r="S295" s="106">
        <f>+HLOOKUP($C295,ACCESS!$O$2:$AA$250,91,0)</f>
        <v>0</v>
      </c>
      <c r="T295" s="106">
        <f>+HLOOKUP($C295,ACCESS!$O$2:$AA$250,92,0)</f>
        <v>0</v>
      </c>
      <c r="U295" s="106">
        <f>+HLOOKUP($C295,ACCESS!$O$2:$AA$250,93,0)</f>
        <v>0</v>
      </c>
      <c r="V295" s="106">
        <f>+HLOOKUP($C295,ACCESS!$O$2:$AA$250,94,0)</f>
        <v>0</v>
      </c>
      <c r="W295" s="106">
        <f>+HLOOKUP($C295,ACCESS!$O$2:$AA$250,95,0)</f>
        <v>0</v>
      </c>
      <c r="X295" s="106">
        <f>+HLOOKUP($C295,ACCESS!$O$2:$AA$250,96,0)</f>
        <v>0</v>
      </c>
      <c r="Y295" s="106">
        <f>+HLOOKUP($C295,ACCESS!$O$2:$AA$250,97,0)</f>
        <v>0</v>
      </c>
      <c r="Z295" s="106">
        <f>+HLOOKUP($C295,ACCESS!$O$2:$AA$250,98,0)</f>
        <v>0</v>
      </c>
      <c r="AA295" s="106">
        <f>+HLOOKUP($C295,ACCESS!$O$2:$AA$250,99,0)</f>
        <v>0</v>
      </c>
      <c r="AB295" s="106">
        <f>+HLOOKUP($C295,ACCESS!$O$2:$AA$250,100,0)</f>
        <v>0</v>
      </c>
      <c r="AC295" s="106">
        <f>+HLOOKUP($C295,ACCESS!$O$2:$AA$250,101,0)</f>
        <v>0</v>
      </c>
      <c r="AD295" s="106">
        <f>+HLOOKUP($C295,ACCESS!$O$2:$AA$250,104,0)</f>
        <v>0</v>
      </c>
      <c r="AE295" s="106">
        <f>+HLOOKUP($C295,ACCESS!$O$2:$AA$250,105,0)</f>
        <v>0</v>
      </c>
      <c r="AF295" s="106">
        <f>+HLOOKUP($C295,ACCESS!$O$2:$AA$250,106,0)</f>
        <v>0</v>
      </c>
      <c r="AG295" s="106">
        <f>+HLOOKUP($C295,ACCESS!$O$2:$AA$250,107,0)</f>
        <v>0</v>
      </c>
      <c r="AH295" s="106">
        <f>+HLOOKUP($C295,ACCESS!$O$2:$AA$250,108,0)</f>
        <v>0</v>
      </c>
      <c r="AI295" s="106">
        <f>+HLOOKUP($C295,ACCESS!$O$2:$AA$250,109,0)</f>
        <v>0</v>
      </c>
      <c r="AJ295" s="106">
        <f>+HLOOKUP($C295,ACCESS!$O$2:$AA$250,110,0)</f>
        <v>0</v>
      </c>
      <c r="AK295" s="106">
        <f>+HLOOKUP($C295,ACCESS!$O$2:$AA$250,111,0)</f>
        <v>0</v>
      </c>
      <c r="AL295" s="106">
        <f>+HLOOKUP($C295,ACCESS!$O$2:$AA$250,112,0)</f>
        <v>0</v>
      </c>
      <c r="AM295" s="106">
        <f>+HLOOKUP($C295,ACCESS!$O$2:$AA$250,116,0)</f>
        <v>15000</v>
      </c>
      <c r="AN295" s="106">
        <f>+HLOOKUP($C295,ACCESS!$O$2:$AA$250,117,0)</f>
        <v>2500</v>
      </c>
      <c r="AO295" s="106">
        <f>+HLOOKUP($C295,ACCESS!$O$2:$AA$250,118,0)</f>
        <v>0</v>
      </c>
      <c r="AP295" s="106">
        <f>+HLOOKUP($C295,ACCESS!$O$2:$AA$250,119,0)</f>
        <v>4000</v>
      </c>
      <c r="AQ295" s="106">
        <f>+HLOOKUP($C295,ACCESS!$O$2:$AA$250,120,0)</f>
        <v>0</v>
      </c>
      <c r="AR295" s="106">
        <f>+HLOOKUP($C295,ACCESS!$O$2:$AA$250,121,0)</f>
        <v>500</v>
      </c>
      <c r="AS295" s="106">
        <f>+HLOOKUP($C295,ACCESS!$O$2:$AA$250,122,0)</f>
        <v>13000</v>
      </c>
      <c r="AT295" s="106">
        <f>+HLOOKUP($C295,ACCESS!$O$2:$AA$250,123,0)</f>
        <v>1949.9999999999998</v>
      </c>
      <c r="AU295" s="106">
        <f>+HLOOKUP($C295,ACCESS!$O$2:$AA$250,124,0)</f>
        <v>0</v>
      </c>
      <c r="AV295" s="106">
        <f>+HLOOKUP($C295,ACCESS!$O$2:$AA$250,125,0)</f>
        <v>0</v>
      </c>
      <c r="AW295" s="106">
        <f>+HLOOKUP($C295,ACCESS!$O$2:$AA$250,126,0)</f>
        <v>0</v>
      </c>
      <c r="AX295" s="106">
        <f>+HLOOKUP($C295,ACCESS!$O$2:$AA$250,127,0)</f>
        <v>0</v>
      </c>
      <c r="AY295" s="106">
        <f>+HLOOKUP($C295,ACCESS!$O$2:$AA$250,129,0)</f>
        <v>0</v>
      </c>
      <c r="AZ295" s="106">
        <f>+HLOOKUP($C295,ACCESS!$O$2:$AA$250,130,0)</f>
        <v>0</v>
      </c>
      <c r="BA295" s="106">
        <f>+HLOOKUP($C295,ACCESS!$O$2:$AA$250,131,0)</f>
        <v>0</v>
      </c>
      <c r="BB295" s="106">
        <f>+HLOOKUP($C295,ACCESS!$O$2:$AA$250,133,0)</f>
        <v>0</v>
      </c>
      <c r="BC295" s="106">
        <f>+HLOOKUP($C295,ACCESS!$O$2:$AA$250,134,0)</f>
        <v>0</v>
      </c>
      <c r="BD295" s="106">
        <f>+HLOOKUP($C295,ACCESS!$O$2:$AA$250,135,0)</f>
        <v>0</v>
      </c>
      <c r="BE295" s="106">
        <f>+HLOOKUP($C295,ACCESS!$O$2:$AA$250,136,0)</f>
        <v>0</v>
      </c>
      <c r="BF295" s="106">
        <f>+HLOOKUP($C295,ACCESS!$O$2:$AA$250,138,0)</f>
        <v>0</v>
      </c>
      <c r="BG295" s="106">
        <f>+HLOOKUP($C295,ACCESS!$O$2:$AA$250,139,0)</f>
        <v>0</v>
      </c>
      <c r="BH295" s="106">
        <f>+HLOOKUP($C295,ACCESS!$O$2:$AA$250,140,0)</f>
        <v>0</v>
      </c>
      <c r="BI295" s="106">
        <f>+HLOOKUP($C295,ACCESS!$O$2:$AA$250,141,0)</f>
        <v>0</v>
      </c>
      <c r="BJ295" s="106">
        <f>+HLOOKUP($C295,ACCESS!$O$2:$AA$250,142,0)</f>
        <v>0</v>
      </c>
      <c r="BK295" s="106">
        <f>+HLOOKUP($C295,ACCESS!$O$2:$AA$250,143,0)</f>
        <v>0</v>
      </c>
      <c r="BL295" s="106">
        <f>+HLOOKUP($C295,ACCESS!$O$2:$AA$250,144,0)</f>
        <v>0</v>
      </c>
      <c r="BM295" s="106">
        <f>+HLOOKUP($C295,ACCESS!$O$2:$AA$250,146,0)</f>
        <v>0</v>
      </c>
      <c r="BN295" s="106">
        <f>+HLOOKUP($C295,ACCESS!$O$2:$AA$250,147,0)</f>
        <v>0</v>
      </c>
      <c r="BO295" s="106">
        <f>+HLOOKUP($C295,ACCESS!$O$2:$AA$250,148,0)</f>
        <v>0</v>
      </c>
      <c r="BP295" s="106">
        <f>+HLOOKUP($C295,ACCESS!$O$2:$AA$250,150,0)</f>
        <v>0</v>
      </c>
      <c r="BQ295" s="106">
        <f>+HLOOKUP($C295,ACCESS!$O$2:$AA$250,151,0)</f>
        <v>0</v>
      </c>
      <c r="BR295" s="106">
        <f>+HLOOKUP($C295,ACCESS!$O$2:$AA$250,152,0)</f>
        <v>0</v>
      </c>
      <c r="BS295" s="106">
        <f>+HLOOKUP($C295,ACCESS!$O$2:$AA$250,153,0)</f>
        <v>0</v>
      </c>
      <c r="BT295" s="106">
        <f>+HLOOKUP($C295,ACCESS!$O$2:$AA$250,157,0)</f>
        <v>0</v>
      </c>
      <c r="BU295" s="106">
        <f>+HLOOKUP($C295,ACCESS!$O$2:$AA$250,158,0)</f>
        <v>0</v>
      </c>
      <c r="BV295" s="106">
        <f>+HLOOKUP($C295,ACCESS!$O$2:$AA$250,159,0)</f>
        <v>0</v>
      </c>
      <c r="BW295" s="106">
        <f>+HLOOKUP($C295,ACCESS!$O$2:$AA$250,160,0)</f>
        <v>0</v>
      </c>
      <c r="BX295" s="106">
        <f>+HLOOKUP($C295,ACCESS!$O$2:$AA$250,161,0)</f>
        <v>0</v>
      </c>
      <c r="BY295" s="106">
        <f>+HLOOKUP($C295,ACCESS!$O$2:$AA$250,164,0)</f>
        <v>0</v>
      </c>
      <c r="BZ295" s="106">
        <f>+HLOOKUP($C295,ACCESS!$O$2:$AA$250,165,0)</f>
        <v>0</v>
      </c>
      <c r="CA295" s="106">
        <f>+HLOOKUP($C295,ACCESS!$O$2:$AA$250,166,0)</f>
        <v>0</v>
      </c>
      <c r="CB295" s="106">
        <f>+HLOOKUP($C295,ACCESS!$O$2:$AA$250,167,0)</f>
        <v>0</v>
      </c>
      <c r="CC295" s="106">
        <f>+HLOOKUP($C295,ACCESS!$O$2:$AA$250,168,0)</f>
        <v>0</v>
      </c>
      <c r="CD295" s="106">
        <f>+HLOOKUP($C295,ACCESS!$O$2:$AA$250,169,0)</f>
        <v>0</v>
      </c>
      <c r="CE295" s="106">
        <f>+HLOOKUP($C295,ACCESS!$O$2:$AA$250,170,0)</f>
        <v>0</v>
      </c>
      <c r="CF295" s="106">
        <f>+HLOOKUP($C295,ACCESS!$O$2:$AA$250,172,0)</f>
        <v>0</v>
      </c>
      <c r="CG295" s="106">
        <f>+HLOOKUP($C295,ACCESS!$O$2:$AA$250,173,0)</f>
        <v>0</v>
      </c>
      <c r="CH295" s="106">
        <f>+HLOOKUP($C295,ACCESS!$O$2:$AA$250,174,0)</f>
        <v>0</v>
      </c>
      <c r="CI295" s="106">
        <f>+HLOOKUP($C295,ACCESS!$O$2:$AA$250,175,0)</f>
        <v>0</v>
      </c>
      <c r="CJ295" s="106">
        <f>+HLOOKUP($C295,ACCESS!$O$2:$AA$250,176,0)</f>
        <v>0</v>
      </c>
      <c r="CK295" s="106">
        <f>+HLOOKUP($C295,ACCESS!$O$2:$AA$250,178,0)</f>
        <v>0</v>
      </c>
      <c r="CL295" s="106">
        <f>+HLOOKUP($C295,ACCESS!$O$2:$AA$250,179,0)</f>
        <v>0</v>
      </c>
      <c r="CM295" s="106">
        <f>+HLOOKUP($C295,ACCESS!$O$2:$AA$250,180,0)</f>
        <v>0</v>
      </c>
      <c r="CN295" s="106">
        <f>+HLOOKUP($C295,ACCESS!$O$2:$AA$250,182,0)</f>
        <v>0</v>
      </c>
      <c r="CO295" s="106">
        <f>+HLOOKUP($C295,ACCESS!$O$2:$AA$250,183,0)</f>
        <v>0</v>
      </c>
      <c r="CP295" s="106">
        <f>+HLOOKUP($C295,ACCESS!$O$2:$AA$250,184,0)</f>
        <v>0</v>
      </c>
      <c r="CQ295" s="106">
        <f>+HLOOKUP($C295,ACCESS!$O$2:$AA$250,185,0)</f>
        <v>0</v>
      </c>
      <c r="CR295" s="106">
        <f>+HLOOKUP($C295,ACCESS!$O$2:$AA$250,187,0)</f>
        <v>0</v>
      </c>
      <c r="CS295" s="106">
        <f>+HLOOKUP($C295,ACCESS!$O$2:$AA$250,188,0)</f>
        <v>0</v>
      </c>
      <c r="CT295" s="106">
        <f>+HLOOKUP($C295,ACCESS!$O$2:$AA$250,189,0)</f>
        <v>0</v>
      </c>
      <c r="CU295" s="106">
        <f>+HLOOKUP($C295,ACCESS!$O$2:$AA$250,190,0)</f>
        <v>0</v>
      </c>
      <c r="CV295" s="106">
        <f>+HLOOKUP($C295,ACCESS!$O$2:$AA$250,191,0)</f>
        <v>0</v>
      </c>
      <c r="CW295" s="106">
        <f>+HLOOKUP($C295,ACCESS!$O$2:$AA$250,193,0)</f>
        <v>0</v>
      </c>
      <c r="CX295" s="106">
        <f>+HLOOKUP($C295,ACCESS!$O$2:$AA$250,194,0)</f>
        <v>0</v>
      </c>
      <c r="CY295" s="106">
        <f>+HLOOKUP($C295,ACCESS!$O$2:$AA$250,195,0)</f>
        <v>0</v>
      </c>
      <c r="CZ295" s="106">
        <f>+HLOOKUP($C295,ACCESS!$O$2:$AA$250,196,0)</f>
        <v>0</v>
      </c>
      <c r="DA295" s="106">
        <f>+HLOOKUP($C295,ACCESS!$O$2:$AA$250,197,0)</f>
        <v>0</v>
      </c>
      <c r="DB295" s="106">
        <f>+HLOOKUP($C295,ACCESS!$O$2:$AA$250,198,0)</f>
        <v>0</v>
      </c>
      <c r="DC295" s="106">
        <f>+HLOOKUP($C295,ACCESS!$O$2:$AA$250,199,0)</f>
        <v>0</v>
      </c>
      <c r="DD295" s="106">
        <f>+HLOOKUP($C295,ACCESS!$O$2:$AA$250,200,0)</f>
        <v>0</v>
      </c>
      <c r="DE295" s="106">
        <f>+HLOOKUP($C295,ACCESS!$O$2:$AA$250,201,0)</f>
        <v>0</v>
      </c>
      <c r="DF295" s="106">
        <f>+HLOOKUP($C295,ACCESS!$O$2:$AA$250,202,0)</f>
        <v>0.02</v>
      </c>
      <c r="DG295" s="106">
        <f>+HLOOKUP($C295,ACCESS!$O$2:$AA$250,203,0)</f>
        <v>0</v>
      </c>
      <c r="DH295" s="106">
        <f>+HLOOKUP($C295,ACCESS!$O$2:$AA$250,205,0)</f>
        <v>0</v>
      </c>
      <c r="DI295" s="106">
        <f>+HLOOKUP($C295,ACCESS!$O$2:$AA$250,206,0)</f>
        <v>0</v>
      </c>
      <c r="DJ295" s="106">
        <f>+HLOOKUP($C295,ACCESS!$O$2:$AA$250,207,0)</f>
        <v>0</v>
      </c>
      <c r="DK295" s="106">
        <f>+HLOOKUP($C295,ACCESS!$O$2:$AA$250,209,0)</f>
        <v>0</v>
      </c>
      <c r="DL295" s="106">
        <f>+HLOOKUP($C295,ACCESS!$O$2:$AA$250,210,0)</f>
        <v>0</v>
      </c>
      <c r="DM295" s="106">
        <f>+HLOOKUP($C295,ACCESS!$O$2:$AA$250,211,0)</f>
        <v>0</v>
      </c>
      <c r="DN295" s="106">
        <f>+HLOOKUP($C295,ACCESS!$O$2:$AA$250,212,0)</f>
        <v>0</v>
      </c>
      <c r="DO295" s="106">
        <f>+HLOOKUP($C295,ACCESS!$O$2:$AA$250,214,0)</f>
        <v>0</v>
      </c>
      <c r="DP295" s="106">
        <f>+HLOOKUP($C295,ACCESS!$O$2:$AA$250,215,0)</f>
        <v>0</v>
      </c>
      <c r="DQ295" s="106">
        <f>+HLOOKUP($C295,ACCESS!$O$2:$AA$250,219,0)</f>
        <v>0</v>
      </c>
      <c r="DR295" s="106">
        <f>+HLOOKUP($C295,ACCESS!$O$2:$AA$250,220,0)</f>
        <v>0</v>
      </c>
      <c r="DS295" s="106">
        <f>+HLOOKUP($C295,ACCESS!$O$2:$AA$250,221,0)</f>
        <v>0</v>
      </c>
      <c r="DT295" s="106">
        <f>+HLOOKUP($C295,ACCESS!$O$2:$AA$250,223,0)</f>
        <v>0</v>
      </c>
      <c r="DU295" s="106">
        <f>+HLOOKUP($C295,ACCESS!$O$2:$AA$250,224,0)</f>
        <v>0</v>
      </c>
      <c r="DV295" s="106">
        <f>+HLOOKUP($C295,ACCESS!$O$2:$AA$250,225,0)</f>
        <v>0</v>
      </c>
      <c r="DW295" s="106">
        <f>+HLOOKUP($C295,ACCESS!$O$2:$AA$250,227,0)</f>
        <v>0</v>
      </c>
      <c r="DX295" s="106">
        <f>+HLOOKUP($C295,ACCESS!$O$2:$AA$250,228,0)</f>
        <v>0</v>
      </c>
      <c r="DY295" s="106">
        <f>+HLOOKUP($C295,ACCESS!$O$2:$AA$250,236,0)</f>
        <v>0</v>
      </c>
      <c r="DZ295" s="106">
        <f>+HLOOKUP($C295,ACCESS!$O$2:$AA$250,237,0)</f>
        <v>0</v>
      </c>
      <c r="EA295" s="106">
        <f>+HLOOKUP($C295,ACCESS!$O$2:$AA$250,238,0)</f>
        <v>0</v>
      </c>
      <c r="EB295" s="106">
        <f>+HLOOKUP($C295,ACCESS!$O$2:$AA$250,240,0)</f>
        <v>0</v>
      </c>
    </row>
    <row r="296" spans="1:132">
      <c r="A296" t="s">
        <v>269</v>
      </c>
      <c r="B296" t="s">
        <v>273</v>
      </c>
      <c r="C296" s="117">
        <v>45809</v>
      </c>
      <c r="D296" s="106">
        <f t="shared" si="5"/>
        <v>1045999.9700000001</v>
      </c>
      <c r="E296" s="106">
        <f>+HLOOKUP(C296,ACCESS!$O$2:$AA$250,50,0)+HLOOKUP(C296,ACCESS!$O$2:$AA$250,51,0)+HLOOKUP(C296,ACCESS!$O$2:$AA$250,54,0)</f>
        <v>1045999.9700000001</v>
      </c>
      <c r="F296" s="106">
        <f>+HLOOKUP(C296,ACCESS!$O$2:$AA$250,52,0)+HLOOKUP(C296,ACCESS!$O$2:$AA$250,56,0)</f>
        <v>644633.42000000016</v>
      </c>
      <c r="G296" s="106">
        <f>+HLOOKUP($C296,ACCESS!$O$2:$AA$250,76,0)</f>
        <v>0</v>
      </c>
      <c r="H296" s="106">
        <f>+HLOOKUP($C296,ACCESS!$O$2:$AA$250,77,0)</f>
        <v>0</v>
      </c>
      <c r="I296" s="106">
        <f>+HLOOKUP($C296,ACCESS!$O$2:$AA$250,78,0)</f>
        <v>0</v>
      </c>
      <c r="J296" s="106">
        <f>+HLOOKUP($C296,ACCESS!$O$2:$AA$250,79,0)</f>
        <v>0</v>
      </c>
      <c r="K296" s="106">
        <f>+HLOOKUP($C296,ACCESS!$O$2:$AA$250,80,0)</f>
        <v>0</v>
      </c>
      <c r="L296" s="106">
        <f>+HLOOKUP($C296,ACCESS!$O$2:$AA$250,81,0)</f>
        <v>0</v>
      </c>
      <c r="M296" s="106">
        <f>+HLOOKUP($C296,ACCESS!$O$2:$AA$250,82,0)</f>
        <v>0</v>
      </c>
      <c r="N296" s="106">
        <f>+HLOOKUP($C296,ACCESS!$O$2:$AA$250,83,0)</f>
        <v>0</v>
      </c>
      <c r="O296" s="106">
        <f>+HLOOKUP($C296,ACCESS!$O$2:$AA$250,84,0)</f>
        <v>0</v>
      </c>
      <c r="P296" s="106">
        <f>+HLOOKUP($C296,ACCESS!$O$2:$AA$250,85,0)</f>
        <v>0</v>
      </c>
      <c r="Q296" s="106">
        <f>+HLOOKUP($C296,ACCESS!$O$2:$AA$250,87,0)</f>
        <v>3200</v>
      </c>
      <c r="R296" s="106">
        <f>+HLOOKUP($C296,ACCESS!$O$2:$AA$250,90,0)</f>
        <v>0</v>
      </c>
      <c r="S296" s="106">
        <f>+HLOOKUP($C296,ACCESS!$O$2:$AA$250,91,0)</f>
        <v>0</v>
      </c>
      <c r="T296" s="106">
        <f>+HLOOKUP($C296,ACCESS!$O$2:$AA$250,92,0)</f>
        <v>0</v>
      </c>
      <c r="U296" s="106">
        <f>+HLOOKUP($C296,ACCESS!$O$2:$AA$250,93,0)</f>
        <v>0</v>
      </c>
      <c r="V296" s="106">
        <f>+HLOOKUP($C296,ACCESS!$O$2:$AA$250,94,0)</f>
        <v>0</v>
      </c>
      <c r="W296" s="106">
        <f>+HLOOKUP($C296,ACCESS!$O$2:$AA$250,95,0)</f>
        <v>0</v>
      </c>
      <c r="X296" s="106">
        <f>+HLOOKUP($C296,ACCESS!$O$2:$AA$250,96,0)</f>
        <v>0</v>
      </c>
      <c r="Y296" s="106">
        <f>+HLOOKUP($C296,ACCESS!$O$2:$AA$250,97,0)</f>
        <v>0</v>
      </c>
      <c r="Z296" s="106">
        <f>+HLOOKUP($C296,ACCESS!$O$2:$AA$250,98,0)</f>
        <v>0</v>
      </c>
      <c r="AA296" s="106">
        <f>+HLOOKUP($C296,ACCESS!$O$2:$AA$250,99,0)</f>
        <v>0</v>
      </c>
      <c r="AB296" s="106">
        <f>+HLOOKUP($C296,ACCESS!$O$2:$AA$250,100,0)</f>
        <v>0</v>
      </c>
      <c r="AC296" s="106">
        <f>+HLOOKUP($C296,ACCESS!$O$2:$AA$250,101,0)</f>
        <v>0</v>
      </c>
      <c r="AD296" s="106">
        <f>+HLOOKUP($C296,ACCESS!$O$2:$AA$250,104,0)</f>
        <v>0</v>
      </c>
      <c r="AE296" s="106">
        <f>+HLOOKUP($C296,ACCESS!$O$2:$AA$250,105,0)</f>
        <v>0</v>
      </c>
      <c r="AF296" s="106">
        <f>+HLOOKUP($C296,ACCESS!$O$2:$AA$250,106,0)</f>
        <v>0</v>
      </c>
      <c r="AG296" s="106">
        <f>+HLOOKUP($C296,ACCESS!$O$2:$AA$250,107,0)</f>
        <v>0</v>
      </c>
      <c r="AH296" s="106">
        <f>+HLOOKUP($C296,ACCESS!$O$2:$AA$250,108,0)</f>
        <v>0</v>
      </c>
      <c r="AI296" s="106">
        <f>+HLOOKUP($C296,ACCESS!$O$2:$AA$250,109,0)</f>
        <v>0</v>
      </c>
      <c r="AJ296" s="106">
        <f>+HLOOKUP($C296,ACCESS!$O$2:$AA$250,110,0)</f>
        <v>0</v>
      </c>
      <c r="AK296" s="106">
        <f>+HLOOKUP($C296,ACCESS!$O$2:$AA$250,111,0)</f>
        <v>0</v>
      </c>
      <c r="AL296" s="106">
        <f>+HLOOKUP($C296,ACCESS!$O$2:$AA$250,112,0)</f>
        <v>0</v>
      </c>
      <c r="AM296" s="106">
        <f>+HLOOKUP($C296,ACCESS!$O$2:$AA$250,116,0)</f>
        <v>15000</v>
      </c>
      <c r="AN296" s="106">
        <f>+HLOOKUP($C296,ACCESS!$O$2:$AA$250,117,0)</f>
        <v>2500</v>
      </c>
      <c r="AO296" s="106">
        <f>+HLOOKUP($C296,ACCESS!$O$2:$AA$250,118,0)</f>
        <v>0</v>
      </c>
      <c r="AP296" s="106">
        <f>+HLOOKUP($C296,ACCESS!$O$2:$AA$250,119,0)</f>
        <v>4000</v>
      </c>
      <c r="AQ296" s="106">
        <f>+HLOOKUP($C296,ACCESS!$O$2:$AA$250,120,0)</f>
        <v>0</v>
      </c>
      <c r="AR296" s="106">
        <f>+HLOOKUP($C296,ACCESS!$O$2:$AA$250,121,0)</f>
        <v>500</v>
      </c>
      <c r="AS296" s="106">
        <f>+HLOOKUP($C296,ACCESS!$O$2:$AA$250,122,0)</f>
        <v>13000</v>
      </c>
      <c r="AT296" s="106">
        <f>+HLOOKUP($C296,ACCESS!$O$2:$AA$250,123,0)</f>
        <v>1949.9999999999998</v>
      </c>
      <c r="AU296" s="106">
        <f>+HLOOKUP($C296,ACCESS!$O$2:$AA$250,124,0)</f>
        <v>0</v>
      </c>
      <c r="AV296" s="106">
        <f>+HLOOKUP($C296,ACCESS!$O$2:$AA$250,125,0)</f>
        <v>0</v>
      </c>
      <c r="AW296" s="106">
        <f>+HLOOKUP($C296,ACCESS!$O$2:$AA$250,126,0)</f>
        <v>0</v>
      </c>
      <c r="AX296" s="106">
        <f>+HLOOKUP($C296,ACCESS!$O$2:$AA$250,127,0)</f>
        <v>0</v>
      </c>
      <c r="AY296" s="106">
        <f>+HLOOKUP($C296,ACCESS!$O$2:$AA$250,129,0)</f>
        <v>0</v>
      </c>
      <c r="AZ296" s="106">
        <f>+HLOOKUP($C296,ACCESS!$O$2:$AA$250,130,0)</f>
        <v>0</v>
      </c>
      <c r="BA296" s="106">
        <f>+HLOOKUP($C296,ACCESS!$O$2:$AA$250,131,0)</f>
        <v>0</v>
      </c>
      <c r="BB296" s="106">
        <f>+HLOOKUP($C296,ACCESS!$O$2:$AA$250,133,0)</f>
        <v>0</v>
      </c>
      <c r="BC296" s="106">
        <f>+HLOOKUP($C296,ACCESS!$O$2:$AA$250,134,0)</f>
        <v>0</v>
      </c>
      <c r="BD296" s="106">
        <f>+HLOOKUP($C296,ACCESS!$O$2:$AA$250,135,0)</f>
        <v>0</v>
      </c>
      <c r="BE296" s="106">
        <f>+HLOOKUP($C296,ACCESS!$O$2:$AA$250,136,0)</f>
        <v>0</v>
      </c>
      <c r="BF296" s="106">
        <f>+HLOOKUP($C296,ACCESS!$O$2:$AA$250,138,0)</f>
        <v>0</v>
      </c>
      <c r="BG296" s="106">
        <f>+HLOOKUP($C296,ACCESS!$O$2:$AA$250,139,0)</f>
        <v>0</v>
      </c>
      <c r="BH296" s="106">
        <f>+HLOOKUP($C296,ACCESS!$O$2:$AA$250,140,0)</f>
        <v>0</v>
      </c>
      <c r="BI296" s="106">
        <f>+HLOOKUP($C296,ACCESS!$O$2:$AA$250,141,0)</f>
        <v>0</v>
      </c>
      <c r="BJ296" s="106">
        <f>+HLOOKUP($C296,ACCESS!$O$2:$AA$250,142,0)</f>
        <v>0</v>
      </c>
      <c r="BK296" s="106">
        <f>+HLOOKUP($C296,ACCESS!$O$2:$AA$250,143,0)</f>
        <v>0</v>
      </c>
      <c r="BL296" s="106">
        <f>+HLOOKUP($C296,ACCESS!$O$2:$AA$250,144,0)</f>
        <v>0</v>
      </c>
      <c r="BM296" s="106">
        <f>+HLOOKUP($C296,ACCESS!$O$2:$AA$250,146,0)</f>
        <v>0</v>
      </c>
      <c r="BN296" s="106">
        <f>+HLOOKUP($C296,ACCESS!$O$2:$AA$250,147,0)</f>
        <v>0</v>
      </c>
      <c r="BO296" s="106">
        <f>+HLOOKUP($C296,ACCESS!$O$2:$AA$250,148,0)</f>
        <v>0</v>
      </c>
      <c r="BP296" s="106">
        <f>+HLOOKUP($C296,ACCESS!$O$2:$AA$250,150,0)</f>
        <v>0</v>
      </c>
      <c r="BQ296" s="106">
        <f>+HLOOKUP($C296,ACCESS!$O$2:$AA$250,151,0)</f>
        <v>0</v>
      </c>
      <c r="BR296" s="106">
        <f>+HLOOKUP($C296,ACCESS!$O$2:$AA$250,152,0)</f>
        <v>0</v>
      </c>
      <c r="BS296" s="106">
        <f>+HLOOKUP($C296,ACCESS!$O$2:$AA$250,153,0)</f>
        <v>0</v>
      </c>
      <c r="BT296" s="106">
        <f>+HLOOKUP($C296,ACCESS!$O$2:$AA$250,157,0)</f>
        <v>0</v>
      </c>
      <c r="BU296" s="106">
        <f>+HLOOKUP($C296,ACCESS!$O$2:$AA$250,158,0)</f>
        <v>0</v>
      </c>
      <c r="BV296" s="106">
        <f>+HLOOKUP($C296,ACCESS!$O$2:$AA$250,159,0)</f>
        <v>0</v>
      </c>
      <c r="BW296" s="106">
        <f>+HLOOKUP($C296,ACCESS!$O$2:$AA$250,160,0)</f>
        <v>0</v>
      </c>
      <c r="BX296" s="106">
        <f>+HLOOKUP($C296,ACCESS!$O$2:$AA$250,161,0)</f>
        <v>0</v>
      </c>
      <c r="BY296" s="106">
        <f>+HLOOKUP($C296,ACCESS!$O$2:$AA$250,164,0)</f>
        <v>0</v>
      </c>
      <c r="BZ296" s="106">
        <f>+HLOOKUP($C296,ACCESS!$O$2:$AA$250,165,0)</f>
        <v>0</v>
      </c>
      <c r="CA296" s="106">
        <f>+HLOOKUP($C296,ACCESS!$O$2:$AA$250,166,0)</f>
        <v>0</v>
      </c>
      <c r="CB296" s="106">
        <f>+HLOOKUP($C296,ACCESS!$O$2:$AA$250,167,0)</f>
        <v>0</v>
      </c>
      <c r="CC296" s="106">
        <f>+HLOOKUP($C296,ACCESS!$O$2:$AA$250,168,0)</f>
        <v>0</v>
      </c>
      <c r="CD296" s="106">
        <f>+HLOOKUP($C296,ACCESS!$O$2:$AA$250,169,0)</f>
        <v>0</v>
      </c>
      <c r="CE296" s="106">
        <f>+HLOOKUP($C296,ACCESS!$O$2:$AA$250,170,0)</f>
        <v>0</v>
      </c>
      <c r="CF296" s="106">
        <f>+HLOOKUP($C296,ACCESS!$O$2:$AA$250,172,0)</f>
        <v>0</v>
      </c>
      <c r="CG296" s="106">
        <f>+HLOOKUP($C296,ACCESS!$O$2:$AA$250,173,0)</f>
        <v>0</v>
      </c>
      <c r="CH296" s="106">
        <f>+HLOOKUP($C296,ACCESS!$O$2:$AA$250,174,0)</f>
        <v>0</v>
      </c>
      <c r="CI296" s="106">
        <f>+HLOOKUP($C296,ACCESS!$O$2:$AA$250,175,0)</f>
        <v>0</v>
      </c>
      <c r="CJ296" s="106">
        <f>+HLOOKUP($C296,ACCESS!$O$2:$AA$250,176,0)</f>
        <v>0</v>
      </c>
      <c r="CK296" s="106">
        <f>+HLOOKUP($C296,ACCESS!$O$2:$AA$250,178,0)</f>
        <v>0</v>
      </c>
      <c r="CL296" s="106">
        <f>+HLOOKUP($C296,ACCESS!$O$2:$AA$250,179,0)</f>
        <v>0</v>
      </c>
      <c r="CM296" s="106">
        <f>+HLOOKUP($C296,ACCESS!$O$2:$AA$250,180,0)</f>
        <v>0</v>
      </c>
      <c r="CN296" s="106">
        <f>+HLOOKUP($C296,ACCESS!$O$2:$AA$250,182,0)</f>
        <v>0</v>
      </c>
      <c r="CO296" s="106">
        <f>+HLOOKUP($C296,ACCESS!$O$2:$AA$250,183,0)</f>
        <v>0</v>
      </c>
      <c r="CP296" s="106">
        <f>+HLOOKUP($C296,ACCESS!$O$2:$AA$250,184,0)</f>
        <v>0</v>
      </c>
      <c r="CQ296" s="106">
        <f>+HLOOKUP($C296,ACCESS!$O$2:$AA$250,185,0)</f>
        <v>0</v>
      </c>
      <c r="CR296" s="106">
        <f>+HLOOKUP($C296,ACCESS!$O$2:$AA$250,187,0)</f>
        <v>0</v>
      </c>
      <c r="CS296" s="106">
        <f>+HLOOKUP($C296,ACCESS!$O$2:$AA$250,188,0)</f>
        <v>0</v>
      </c>
      <c r="CT296" s="106">
        <f>+HLOOKUP($C296,ACCESS!$O$2:$AA$250,189,0)</f>
        <v>0</v>
      </c>
      <c r="CU296" s="106">
        <f>+HLOOKUP($C296,ACCESS!$O$2:$AA$250,190,0)</f>
        <v>0</v>
      </c>
      <c r="CV296" s="106">
        <f>+HLOOKUP($C296,ACCESS!$O$2:$AA$250,191,0)</f>
        <v>0</v>
      </c>
      <c r="CW296" s="106">
        <f>+HLOOKUP($C296,ACCESS!$O$2:$AA$250,193,0)</f>
        <v>0</v>
      </c>
      <c r="CX296" s="106">
        <f>+HLOOKUP($C296,ACCESS!$O$2:$AA$250,194,0)</f>
        <v>0</v>
      </c>
      <c r="CY296" s="106">
        <f>+HLOOKUP($C296,ACCESS!$O$2:$AA$250,195,0)</f>
        <v>0</v>
      </c>
      <c r="CZ296" s="106">
        <f>+HLOOKUP($C296,ACCESS!$O$2:$AA$250,196,0)</f>
        <v>0</v>
      </c>
      <c r="DA296" s="106">
        <f>+HLOOKUP($C296,ACCESS!$O$2:$AA$250,197,0)</f>
        <v>0</v>
      </c>
      <c r="DB296" s="106">
        <f>+HLOOKUP($C296,ACCESS!$O$2:$AA$250,198,0)</f>
        <v>0</v>
      </c>
      <c r="DC296" s="106">
        <f>+HLOOKUP($C296,ACCESS!$O$2:$AA$250,199,0)</f>
        <v>0</v>
      </c>
      <c r="DD296" s="106">
        <f>+HLOOKUP($C296,ACCESS!$O$2:$AA$250,200,0)</f>
        <v>0</v>
      </c>
      <c r="DE296" s="106">
        <f>+HLOOKUP($C296,ACCESS!$O$2:$AA$250,201,0)</f>
        <v>0</v>
      </c>
      <c r="DF296" s="106">
        <f>+HLOOKUP($C296,ACCESS!$O$2:$AA$250,202,0)</f>
        <v>0</v>
      </c>
      <c r="DG296" s="106">
        <f>+HLOOKUP($C296,ACCESS!$O$2:$AA$250,203,0)</f>
        <v>0</v>
      </c>
      <c r="DH296" s="106">
        <f>+HLOOKUP($C296,ACCESS!$O$2:$AA$250,205,0)</f>
        <v>0</v>
      </c>
      <c r="DI296" s="106">
        <f>+HLOOKUP($C296,ACCESS!$O$2:$AA$250,206,0)</f>
        <v>0</v>
      </c>
      <c r="DJ296" s="106">
        <f>+HLOOKUP($C296,ACCESS!$O$2:$AA$250,207,0)</f>
        <v>0</v>
      </c>
      <c r="DK296" s="106">
        <f>+HLOOKUP($C296,ACCESS!$O$2:$AA$250,209,0)</f>
        <v>0</v>
      </c>
      <c r="DL296" s="106">
        <f>+HLOOKUP($C296,ACCESS!$O$2:$AA$250,210,0)</f>
        <v>0</v>
      </c>
      <c r="DM296" s="106">
        <f>+HLOOKUP($C296,ACCESS!$O$2:$AA$250,211,0)</f>
        <v>0</v>
      </c>
      <c r="DN296" s="106">
        <f>+HLOOKUP($C296,ACCESS!$O$2:$AA$250,212,0)</f>
        <v>0</v>
      </c>
      <c r="DO296" s="106">
        <f>+HLOOKUP($C296,ACCESS!$O$2:$AA$250,214,0)</f>
        <v>0</v>
      </c>
      <c r="DP296" s="106">
        <f>+HLOOKUP($C296,ACCESS!$O$2:$AA$250,215,0)</f>
        <v>0</v>
      </c>
      <c r="DQ296" s="106">
        <f>+HLOOKUP($C296,ACCESS!$O$2:$AA$250,219,0)</f>
        <v>0</v>
      </c>
      <c r="DR296" s="106">
        <f>+HLOOKUP($C296,ACCESS!$O$2:$AA$250,220,0)</f>
        <v>0</v>
      </c>
      <c r="DS296" s="106">
        <f>+HLOOKUP($C296,ACCESS!$O$2:$AA$250,221,0)</f>
        <v>0</v>
      </c>
      <c r="DT296" s="106">
        <f>+HLOOKUP($C296,ACCESS!$O$2:$AA$250,223,0)</f>
        <v>0</v>
      </c>
      <c r="DU296" s="106">
        <f>+HLOOKUP($C296,ACCESS!$O$2:$AA$250,224,0)</f>
        <v>0</v>
      </c>
      <c r="DV296" s="106">
        <f>+HLOOKUP($C296,ACCESS!$O$2:$AA$250,225,0)</f>
        <v>0</v>
      </c>
      <c r="DW296" s="106">
        <f>+HLOOKUP($C296,ACCESS!$O$2:$AA$250,227,0)</f>
        <v>0</v>
      </c>
      <c r="DX296" s="106">
        <f>+HLOOKUP($C296,ACCESS!$O$2:$AA$250,228,0)</f>
        <v>0</v>
      </c>
      <c r="DY296" s="106">
        <f>+HLOOKUP($C296,ACCESS!$O$2:$AA$250,236,0)</f>
        <v>0</v>
      </c>
      <c r="DZ296" s="106">
        <f>+HLOOKUP($C296,ACCESS!$O$2:$AA$250,237,0)</f>
        <v>0</v>
      </c>
      <c r="EA296" s="106">
        <f>+HLOOKUP($C296,ACCESS!$O$2:$AA$250,238,0)</f>
        <v>0</v>
      </c>
      <c r="EB296" s="106">
        <f>+HLOOKUP($C296,ACCESS!$O$2:$AA$250,240,0)</f>
        <v>0</v>
      </c>
    </row>
    <row r="297" spans="1:132">
      <c r="A297" t="s">
        <v>269</v>
      </c>
      <c r="B297" t="s">
        <v>273</v>
      </c>
      <c r="C297" s="117">
        <v>45778</v>
      </c>
      <c r="D297" s="106">
        <f t="shared" si="5"/>
        <v>1419675.3500000003</v>
      </c>
      <c r="E297" s="106">
        <f>+HLOOKUP(C297,ACCESS!$O$2:$AA$250,50,0)+HLOOKUP(C297,ACCESS!$O$2:$AA$250,51,0)+HLOOKUP(C297,ACCESS!$O$2:$AA$250,54,0)</f>
        <v>1419675.3500000003</v>
      </c>
      <c r="F297" s="106">
        <f>+HLOOKUP(C297,ACCESS!$O$2:$AA$250,52,0)+HLOOKUP(C297,ACCESS!$O$2:$AA$250,56,0)</f>
        <v>1163759.1899999985</v>
      </c>
      <c r="G297" s="106">
        <f>+HLOOKUP($C297,ACCESS!$O$2:$AA$250,76,0)</f>
        <v>0</v>
      </c>
      <c r="H297" s="106">
        <f>+HLOOKUP($C297,ACCESS!$O$2:$AA$250,77,0)</f>
        <v>0</v>
      </c>
      <c r="I297" s="106">
        <f>+HLOOKUP($C297,ACCESS!$O$2:$AA$250,78,0)</f>
        <v>0</v>
      </c>
      <c r="J297" s="106">
        <f>+HLOOKUP($C297,ACCESS!$O$2:$AA$250,79,0)</f>
        <v>0</v>
      </c>
      <c r="K297" s="106">
        <f>+HLOOKUP($C297,ACCESS!$O$2:$AA$250,80,0)</f>
        <v>0</v>
      </c>
      <c r="L297" s="106">
        <f>+HLOOKUP($C297,ACCESS!$O$2:$AA$250,81,0)</f>
        <v>0</v>
      </c>
      <c r="M297" s="106">
        <f>+HLOOKUP($C297,ACCESS!$O$2:$AA$250,82,0)</f>
        <v>0</v>
      </c>
      <c r="N297" s="106">
        <f>+HLOOKUP($C297,ACCESS!$O$2:$AA$250,83,0)</f>
        <v>0</v>
      </c>
      <c r="O297" s="106">
        <f>+HLOOKUP($C297,ACCESS!$O$2:$AA$250,84,0)</f>
        <v>0</v>
      </c>
      <c r="P297" s="106">
        <f>+HLOOKUP($C297,ACCESS!$O$2:$AA$250,85,0)</f>
        <v>0</v>
      </c>
      <c r="Q297" s="106">
        <f>+HLOOKUP($C297,ACCESS!$O$2:$AA$250,87,0)</f>
        <v>5700</v>
      </c>
      <c r="R297" s="106">
        <f>+HLOOKUP($C297,ACCESS!$O$2:$AA$250,90,0)</f>
        <v>0</v>
      </c>
      <c r="S297" s="106">
        <f>+HLOOKUP($C297,ACCESS!$O$2:$AA$250,91,0)</f>
        <v>0</v>
      </c>
      <c r="T297" s="106">
        <f>+HLOOKUP($C297,ACCESS!$O$2:$AA$250,92,0)</f>
        <v>0</v>
      </c>
      <c r="U297" s="106">
        <f>+HLOOKUP($C297,ACCESS!$O$2:$AA$250,93,0)</f>
        <v>0</v>
      </c>
      <c r="V297" s="106">
        <f>+HLOOKUP($C297,ACCESS!$O$2:$AA$250,94,0)</f>
        <v>0</v>
      </c>
      <c r="W297" s="106">
        <f>+HLOOKUP($C297,ACCESS!$O$2:$AA$250,95,0)</f>
        <v>0</v>
      </c>
      <c r="X297" s="106">
        <f>+HLOOKUP($C297,ACCESS!$O$2:$AA$250,96,0)</f>
        <v>0</v>
      </c>
      <c r="Y297" s="106">
        <f>+HLOOKUP($C297,ACCESS!$O$2:$AA$250,97,0)</f>
        <v>0</v>
      </c>
      <c r="Z297" s="106">
        <f>+HLOOKUP($C297,ACCESS!$O$2:$AA$250,98,0)</f>
        <v>0</v>
      </c>
      <c r="AA297" s="106">
        <f>+HLOOKUP($C297,ACCESS!$O$2:$AA$250,99,0)</f>
        <v>0</v>
      </c>
      <c r="AB297" s="106">
        <f>+HLOOKUP($C297,ACCESS!$O$2:$AA$250,100,0)</f>
        <v>0</v>
      </c>
      <c r="AC297" s="106">
        <f>+HLOOKUP($C297,ACCESS!$O$2:$AA$250,101,0)</f>
        <v>0</v>
      </c>
      <c r="AD297" s="106">
        <f>+HLOOKUP($C297,ACCESS!$O$2:$AA$250,104,0)</f>
        <v>0</v>
      </c>
      <c r="AE297" s="106">
        <f>+HLOOKUP($C297,ACCESS!$O$2:$AA$250,105,0)</f>
        <v>0</v>
      </c>
      <c r="AF297" s="106">
        <f>+HLOOKUP($C297,ACCESS!$O$2:$AA$250,106,0)</f>
        <v>0</v>
      </c>
      <c r="AG297" s="106">
        <f>+HLOOKUP($C297,ACCESS!$O$2:$AA$250,107,0)</f>
        <v>0</v>
      </c>
      <c r="AH297" s="106">
        <f>+HLOOKUP($C297,ACCESS!$O$2:$AA$250,108,0)</f>
        <v>0</v>
      </c>
      <c r="AI297" s="106">
        <f>+HLOOKUP($C297,ACCESS!$O$2:$AA$250,109,0)</f>
        <v>0</v>
      </c>
      <c r="AJ297" s="106">
        <f>+HLOOKUP($C297,ACCESS!$O$2:$AA$250,110,0)</f>
        <v>0</v>
      </c>
      <c r="AK297" s="106">
        <f>+HLOOKUP($C297,ACCESS!$O$2:$AA$250,111,0)</f>
        <v>0</v>
      </c>
      <c r="AL297" s="106">
        <f>+HLOOKUP($C297,ACCESS!$O$2:$AA$250,112,0)</f>
        <v>0</v>
      </c>
      <c r="AM297" s="106">
        <f>+HLOOKUP($C297,ACCESS!$O$2:$AA$250,116,0)</f>
        <v>15000</v>
      </c>
      <c r="AN297" s="106">
        <f>+HLOOKUP($C297,ACCESS!$O$2:$AA$250,117,0)</f>
        <v>2500</v>
      </c>
      <c r="AO297" s="106">
        <f>+HLOOKUP($C297,ACCESS!$O$2:$AA$250,118,0)</f>
        <v>0</v>
      </c>
      <c r="AP297" s="106">
        <f>+HLOOKUP($C297,ACCESS!$O$2:$AA$250,119,0)</f>
        <v>4000</v>
      </c>
      <c r="AQ297" s="106">
        <f>+HLOOKUP($C297,ACCESS!$O$2:$AA$250,120,0)</f>
        <v>0</v>
      </c>
      <c r="AR297" s="106">
        <f>+HLOOKUP($C297,ACCESS!$O$2:$AA$250,121,0)</f>
        <v>500</v>
      </c>
      <c r="AS297" s="106">
        <f>+HLOOKUP($C297,ACCESS!$O$2:$AA$250,122,0)</f>
        <v>13000</v>
      </c>
      <c r="AT297" s="106">
        <f>+HLOOKUP($C297,ACCESS!$O$2:$AA$250,123,0)</f>
        <v>1949.9999999999998</v>
      </c>
      <c r="AU297" s="106">
        <f>+HLOOKUP($C297,ACCESS!$O$2:$AA$250,124,0)</f>
        <v>0</v>
      </c>
      <c r="AV297" s="106">
        <f>+HLOOKUP($C297,ACCESS!$O$2:$AA$250,125,0)</f>
        <v>0</v>
      </c>
      <c r="AW297" s="106">
        <f>+HLOOKUP($C297,ACCESS!$O$2:$AA$250,126,0)</f>
        <v>0</v>
      </c>
      <c r="AX297" s="106">
        <f>+HLOOKUP($C297,ACCESS!$O$2:$AA$250,127,0)</f>
        <v>0</v>
      </c>
      <c r="AY297" s="106">
        <f>+HLOOKUP($C297,ACCESS!$O$2:$AA$250,129,0)</f>
        <v>0</v>
      </c>
      <c r="AZ297" s="106">
        <f>+HLOOKUP($C297,ACCESS!$O$2:$AA$250,130,0)</f>
        <v>0</v>
      </c>
      <c r="BA297" s="106">
        <f>+HLOOKUP($C297,ACCESS!$O$2:$AA$250,131,0)</f>
        <v>0</v>
      </c>
      <c r="BB297" s="106">
        <f>+HLOOKUP($C297,ACCESS!$O$2:$AA$250,133,0)</f>
        <v>0</v>
      </c>
      <c r="BC297" s="106">
        <f>+HLOOKUP($C297,ACCESS!$O$2:$AA$250,134,0)</f>
        <v>0</v>
      </c>
      <c r="BD297" s="106">
        <f>+HLOOKUP($C297,ACCESS!$O$2:$AA$250,135,0)</f>
        <v>0</v>
      </c>
      <c r="BE297" s="106">
        <f>+HLOOKUP($C297,ACCESS!$O$2:$AA$250,136,0)</f>
        <v>0</v>
      </c>
      <c r="BF297" s="106">
        <f>+HLOOKUP($C297,ACCESS!$O$2:$AA$250,138,0)</f>
        <v>0</v>
      </c>
      <c r="BG297" s="106">
        <f>+HLOOKUP($C297,ACCESS!$O$2:$AA$250,139,0)</f>
        <v>0</v>
      </c>
      <c r="BH297" s="106">
        <f>+HLOOKUP($C297,ACCESS!$O$2:$AA$250,140,0)</f>
        <v>0</v>
      </c>
      <c r="BI297" s="106">
        <f>+HLOOKUP($C297,ACCESS!$O$2:$AA$250,141,0)</f>
        <v>0</v>
      </c>
      <c r="BJ297" s="106">
        <f>+HLOOKUP($C297,ACCESS!$O$2:$AA$250,142,0)</f>
        <v>0</v>
      </c>
      <c r="BK297" s="106">
        <f>+HLOOKUP($C297,ACCESS!$O$2:$AA$250,143,0)</f>
        <v>0</v>
      </c>
      <c r="BL297" s="106">
        <f>+HLOOKUP($C297,ACCESS!$O$2:$AA$250,144,0)</f>
        <v>0</v>
      </c>
      <c r="BM297" s="106">
        <f>+HLOOKUP($C297,ACCESS!$O$2:$AA$250,146,0)</f>
        <v>0</v>
      </c>
      <c r="BN297" s="106">
        <f>+HLOOKUP($C297,ACCESS!$O$2:$AA$250,147,0)</f>
        <v>0</v>
      </c>
      <c r="BO297" s="106">
        <f>+HLOOKUP($C297,ACCESS!$O$2:$AA$250,148,0)</f>
        <v>0</v>
      </c>
      <c r="BP297" s="106">
        <f>+HLOOKUP($C297,ACCESS!$O$2:$AA$250,150,0)</f>
        <v>0</v>
      </c>
      <c r="BQ297" s="106">
        <f>+HLOOKUP($C297,ACCESS!$O$2:$AA$250,151,0)</f>
        <v>0</v>
      </c>
      <c r="BR297" s="106">
        <f>+HLOOKUP($C297,ACCESS!$O$2:$AA$250,152,0)</f>
        <v>0</v>
      </c>
      <c r="BS297" s="106">
        <f>+HLOOKUP($C297,ACCESS!$O$2:$AA$250,153,0)</f>
        <v>0</v>
      </c>
      <c r="BT297" s="106">
        <f>+HLOOKUP($C297,ACCESS!$O$2:$AA$250,157,0)</f>
        <v>0</v>
      </c>
      <c r="BU297" s="106">
        <f>+HLOOKUP($C297,ACCESS!$O$2:$AA$250,158,0)</f>
        <v>0</v>
      </c>
      <c r="BV297" s="106">
        <f>+HLOOKUP($C297,ACCESS!$O$2:$AA$250,159,0)</f>
        <v>0</v>
      </c>
      <c r="BW297" s="106">
        <f>+HLOOKUP($C297,ACCESS!$O$2:$AA$250,160,0)</f>
        <v>0</v>
      </c>
      <c r="BX297" s="106">
        <f>+HLOOKUP($C297,ACCESS!$O$2:$AA$250,161,0)</f>
        <v>0</v>
      </c>
      <c r="BY297" s="106">
        <f>+HLOOKUP($C297,ACCESS!$O$2:$AA$250,164,0)</f>
        <v>0</v>
      </c>
      <c r="BZ297" s="106">
        <f>+HLOOKUP($C297,ACCESS!$O$2:$AA$250,165,0)</f>
        <v>0</v>
      </c>
      <c r="CA297" s="106">
        <f>+HLOOKUP($C297,ACCESS!$O$2:$AA$250,166,0)</f>
        <v>0</v>
      </c>
      <c r="CB297" s="106">
        <f>+HLOOKUP($C297,ACCESS!$O$2:$AA$250,167,0)</f>
        <v>0</v>
      </c>
      <c r="CC297" s="106">
        <f>+HLOOKUP($C297,ACCESS!$O$2:$AA$250,168,0)</f>
        <v>0</v>
      </c>
      <c r="CD297" s="106">
        <f>+HLOOKUP($C297,ACCESS!$O$2:$AA$250,169,0)</f>
        <v>0</v>
      </c>
      <c r="CE297" s="106">
        <f>+HLOOKUP($C297,ACCESS!$O$2:$AA$250,170,0)</f>
        <v>0</v>
      </c>
      <c r="CF297" s="106">
        <f>+HLOOKUP($C297,ACCESS!$O$2:$AA$250,172,0)</f>
        <v>0</v>
      </c>
      <c r="CG297" s="106">
        <f>+HLOOKUP($C297,ACCESS!$O$2:$AA$250,173,0)</f>
        <v>0</v>
      </c>
      <c r="CH297" s="106">
        <f>+HLOOKUP($C297,ACCESS!$O$2:$AA$250,174,0)</f>
        <v>0</v>
      </c>
      <c r="CI297" s="106">
        <f>+HLOOKUP($C297,ACCESS!$O$2:$AA$250,175,0)</f>
        <v>0</v>
      </c>
      <c r="CJ297" s="106">
        <f>+HLOOKUP($C297,ACCESS!$O$2:$AA$250,176,0)</f>
        <v>0</v>
      </c>
      <c r="CK297" s="106">
        <f>+HLOOKUP($C297,ACCESS!$O$2:$AA$250,178,0)</f>
        <v>0</v>
      </c>
      <c r="CL297" s="106">
        <f>+HLOOKUP($C297,ACCESS!$O$2:$AA$250,179,0)</f>
        <v>0</v>
      </c>
      <c r="CM297" s="106">
        <f>+HLOOKUP($C297,ACCESS!$O$2:$AA$250,180,0)</f>
        <v>0</v>
      </c>
      <c r="CN297" s="106">
        <f>+HLOOKUP($C297,ACCESS!$O$2:$AA$250,182,0)</f>
        <v>0</v>
      </c>
      <c r="CO297" s="106">
        <f>+HLOOKUP($C297,ACCESS!$O$2:$AA$250,183,0)</f>
        <v>0</v>
      </c>
      <c r="CP297" s="106">
        <f>+HLOOKUP($C297,ACCESS!$O$2:$AA$250,184,0)</f>
        <v>0</v>
      </c>
      <c r="CQ297" s="106">
        <f>+HLOOKUP($C297,ACCESS!$O$2:$AA$250,185,0)</f>
        <v>0</v>
      </c>
      <c r="CR297" s="106">
        <f>+HLOOKUP($C297,ACCESS!$O$2:$AA$250,187,0)</f>
        <v>0</v>
      </c>
      <c r="CS297" s="106">
        <f>+HLOOKUP($C297,ACCESS!$O$2:$AA$250,188,0)</f>
        <v>0</v>
      </c>
      <c r="CT297" s="106">
        <f>+HLOOKUP($C297,ACCESS!$O$2:$AA$250,189,0)</f>
        <v>0</v>
      </c>
      <c r="CU297" s="106">
        <f>+HLOOKUP($C297,ACCESS!$O$2:$AA$250,190,0)</f>
        <v>0</v>
      </c>
      <c r="CV297" s="106">
        <f>+HLOOKUP($C297,ACCESS!$O$2:$AA$250,191,0)</f>
        <v>0</v>
      </c>
      <c r="CW297" s="106">
        <f>+HLOOKUP($C297,ACCESS!$O$2:$AA$250,193,0)</f>
        <v>0</v>
      </c>
      <c r="CX297" s="106">
        <f>+HLOOKUP($C297,ACCESS!$O$2:$AA$250,194,0)</f>
        <v>0</v>
      </c>
      <c r="CY297" s="106">
        <f>+HLOOKUP($C297,ACCESS!$O$2:$AA$250,195,0)</f>
        <v>0</v>
      </c>
      <c r="CZ297" s="106">
        <f>+HLOOKUP($C297,ACCESS!$O$2:$AA$250,196,0)</f>
        <v>0</v>
      </c>
      <c r="DA297" s="106">
        <f>+HLOOKUP($C297,ACCESS!$O$2:$AA$250,197,0)</f>
        <v>0</v>
      </c>
      <c r="DB297" s="106">
        <f>+HLOOKUP($C297,ACCESS!$O$2:$AA$250,198,0)</f>
        <v>0</v>
      </c>
      <c r="DC297" s="106">
        <f>+HLOOKUP($C297,ACCESS!$O$2:$AA$250,199,0)</f>
        <v>0</v>
      </c>
      <c r="DD297" s="106">
        <f>+HLOOKUP($C297,ACCESS!$O$2:$AA$250,200,0)</f>
        <v>0</v>
      </c>
      <c r="DE297" s="106">
        <f>+HLOOKUP($C297,ACCESS!$O$2:$AA$250,201,0)</f>
        <v>0</v>
      </c>
      <c r="DF297" s="106">
        <f>+HLOOKUP($C297,ACCESS!$O$2:$AA$250,202,0)</f>
        <v>0</v>
      </c>
      <c r="DG297" s="106">
        <f>+HLOOKUP($C297,ACCESS!$O$2:$AA$250,203,0)</f>
        <v>0</v>
      </c>
      <c r="DH297" s="106">
        <f>+HLOOKUP($C297,ACCESS!$O$2:$AA$250,205,0)</f>
        <v>0</v>
      </c>
      <c r="DI297" s="106">
        <f>+HLOOKUP($C297,ACCESS!$O$2:$AA$250,206,0)</f>
        <v>0</v>
      </c>
      <c r="DJ297" s="106">
        <f>+HLOOKUP($C297,ACCESS!$O$2:$AA$250,207,0)</f>
        <v>0</v>
      </c>
      <c r="DK297" s="106">
        <f>+HLOOKUP($C297,ACCESS!$O$2:$AA$250,209,0)</f>
        <v>0</v>
      </c>
      <c r="DL297" s="106">
        <f>+HLOOKUP($C297,ACCESS!$O$2:$AA$250,210,0)</f>
        <v>0</v>
      </c>
      <c r="DM297" s="106">
        <f>+HLOOKUP($C297,ACCESS!$O$2:$AA$250,211,0)</f>
        <v>0</v>
      </c>
      <c r="DN297" s="106">
        <f>+HLOOKUP($C297,ACCESS!$O$2:$AA$250,212,0)</f>
        <v>0</v>
      </c>
      <c r="DO297" s="106">
        <f>+HLOOKUP($C297,ACCESS!$O$2:$AA$250,214,0)</f>
        <v>0</v>
      </c>
      <c r="DP297" s="106">
        <f>+HLOOKUP($C297,ACCESS!$O$2:$AA$250,215,0)</f>
        <v>0</v>
      </c>
      <c r="DQ297" s="106">
        <f>+HLOOKUP($C297,ACCESS!$O$2:$AA$250,219,0)</f>
        <v>0</v>
      </c>
      <c r="DR297" s="106">
        <f>+HLOOKUP($C297,ACCESS!$O$2:$AA$250,220,0)</f>
        <v>0</v>
      </c>
      <c r="DS297" s="106">
        <f>+HLOOKUP($C297,ACCESS!$O$2:$AA$250,221,0)</f>
        <v>0</v>
      </c>
      <c r="DT297" s="106">
        <f>+HLOOKUP($C297,ACCESS!$O$2:$AA$250,223,0)</f>
        <v>0</v>
      </c>
      <c r="DU297" s="106">
        <f>+HLOOKUP($C297,ACCESS!$O$2:$AA$250,224,0)</f>
        <v>0</v>
      </c>
      <c r="DV297" s="106">
        <f>+HLOOKUP($C297,ACCESS!$O$2:$AA$250,225,0)</f>
        <v>0</v>
      </c>
      <c r="DW297" s="106">
        <f>+HLOOKUP($C297,ACCESS!$O$2:$AA$250,227,0)</f>
        <v>0</v>
      </c>
      <c r="DX297" s="106">
        <f>+HLOOKUP($C297,ACCESS!$O$2:$AA$250,228,0)</f>
        <v>0</v>
      </c>
      <c r="DY297" s="106">
        <f>+HLOOKUP($C297,ACCESS!$O$2:$AA$250,236,0)</f>
        <v>0</v>
      </c>
      <c r="DZ297" s="106">
        <f>+HLOOKUP($C297,ACCESS!$O$2:$AA$250,237,0)</f>
        <v>0</v>
      </c>
      <c r="EA297" s="106">
        <f>+HLOOKUP($C297,ACCESS!$O$2:$AA$250,238,0)</f>
        <v>0</v>
      </c>
      <c r="EB297" s="106">
        <f>+HLOOKUP($C297,ACCESS!$O$2:$AA$250,240,0)</f>
        <v>0</v>
      </c>
    </row>
    <row r="298" spans="1:132">
      <c r="A298" t="s">
        <v>269</v>
      </c>
      <c r="B298" t="s">
        <v>273</v>
      </c>
      <c r="C298" s="117">
        <v>45748</v>
      </c>
      <c r="D298" s="106">
        <f t="shared" si="5"/>
        <v>1407079.8599999999</v>
      </c>
      <c r="E298" s="106">
        <f>+HLOOKUP(C298,ACCESS!$O$2:$AA$250,50,0)+HLOOKUP(C298,ACCESS!$O$2:$AA$250,51,0)+HLOOKUP(C298,ACCESS!$O$2:$AA$250,54,0)</f>
        <v>1407079.8599999999</v>
      </c>
      <c r="F298" s="106">
        <f>+HLOOKUP(C298,ACCESS!$O$2:$AA$250,52,0)+HLOOKUP(C298,ACCESS!$O$2:$AA$250,56,0)</f>
        <v>1124280.0599999996</v>
      </c>
      <c r="G298" s="106">
        <f>+HLOOKUP($C298,ACCESS!$O$2:$AA$250,76,0)</f>
        <v>0</v>
      </c>
      <c r="H298" s="106">
        <f>+HLOOKUP($C298,ACCESS!$O$2:$AA$250,77,0)</f>
        <v>0</v>
      </c>
      <c r="I298" s="106">
        <f>+HLOOKUP($C298,ACCESS!$O$2:$AA$250,78,0)</f>
        <v>0</v>
      </c>
      <c r="J298" s="106">
        <f>+HLOOKUP($C298,ACCESS!$O$2:$AA$250,79,0)</f>
        <v>0</v>
      </c>
      <c r="K298" s="106">
        <f>+HLOOKUP($C298,ACCESS!$O$2:$AA$250,80,0)</f>
        <v>0</v>
      </c>
      <c r="L298" s="106">
        <f>+HLOOKUP($C298,ACCESS!$O$2:$AA$250,81,0)</f>
        <v>0</v>
      </c>
      <c r="M298" s="106">
        <f>+HLOOKUP($C298,ACCESS!$O$2:$AA$250,82,0)</f>
        <v>0</v>
      </c>
      <c r="N298" s="106">
        <f>+HLOOKUP($C298,ACCESS!$O$2:$AA$250,83,0)</f>
        <v>0</v>
      </c>
      <c r="O298" s="106">
        <f>+HLOOKUP($C298,ACCESS!$O$2:$AA$250,84,0)</f>
        <v>0</v>
      </c>
      <c r="P298" s="106">
        <f>+HLOOKUP($C298,ACCESS!$O$2:$AA$250,85,0)</f>
        <v>0</v>
      </c>
      <c r="Q298" s="106">
        <f>+HLOOKUP($C298,ACCESS!$O$2:$AA$250,87,0)</f>
        <v>0</v>
      </c>
      <c r="R298" s="106">
        <f>+HLOOKUP($C298,ACCESS!$O$2:$AA$250,90,0)</f>
        <v>0</v>
      </c>
      <c r="S298" s="106">
        <f>+HLOOKUP($C298,ACCESS!$O$2:$AA$250,91,0)</f>
        <v>0</v>
      </c>
      <c r="T298" s="106">
        <f>+HLOOKUP($C298,ACCESS!$O$2:$AA$250,92,0)</f>
        <v>0</v>
      </c>
      <c r="U298" s="106">
        <f>+HLOOKUP($C298,ACCESS!$O$2:$AA$250,93,0)</f>
        <v>0</v>
      </c>
      <c r="V298" s="106">
        <f>+HLOOKUP($C298,ACCESS!$O$2:$AA$250,94,0)</f>
        <v>0</v>
      </c>
      <c r="W298" s="106">
        <f>+HLOOKUP($C298,ACCESS!$O$2:$AA$250,95,0)</f>
        <v>0</v>
      </c>
      <c r="X298" s="106">
        <f>+HLOOKUP($C298,ACCESS!$O$2:$AA$250,96,0)</f>
        <v>0</v>
      </c>
      <c r="Y298" s="106">
        <f>+HLOOKUP($C298,ACCESS!$O$2:$AA$250,97,0)</f>
        <v>0</v>
      </c>
      <c r="Z298" s="106">
        <f>+HLOOKUP($C298,ACCESS!$O$2:$AA$250,98,0)</f>
        <v>0</v>
      </c>
      <c r="AA298" s="106">
        <f>+HLOOKUP($C298,ACCESS!$O$2:$AA$250,99,0)</f>
        <v>0</v>
      </c>
      <c r="AB298" s="106">
        <f>+HLOOKUP($C298,ACCESS!$O$2:$AA$250,100,0)</f>
        <v>0</v>
      </c>
      <c r="AC298" s="106">
        <f>+HLOOKUP($C298,ACCESS!$O$2:$AA$250,101,0)</f>
        <v>0</v>
      </c>
      <c r="AD298" s="106">
        <f>+HLOOKUP($C298,ACCESS!$O$2:$AA$250,104,0)</f>
        <v>0</v>
      </c>
      <c r="AE298" s="106">
        <f>+HLOOKUP($C298,ACCESS!$O$2:$AA$250,105,0)</f>
        <v>0</v>
      </c>
      <c r="AF298" s="106">
        <f>+HLOOKUP($C298,ACCESS!$O$2:$AA$250,106,0)</f>
        <v>0</v>
      </c>
      <c r="AG298" s="106">
        <f>+HLOOKUP($C298,ACCESS!$O$2:$AA$250,107,0)</f>
        <v>0</v>
      </c>
      <c r="AH298" s="106">
        <f>+HLOOKUP($C298,ACCESS!$O$2:$AA$250,108,0)</f>
        <v>0</v>
      </c>
      <c r="AI298" s="106">
        <f>+HLOOKUP($C298,ACCESS!$O$2:$AA$250,109,0)</f>
        <v>0</v>
      </c>
      <c r="AJ298" s="106">
        <f>+HLOOKUP($C298,ACCESS!$O$2:$AA$250,110,0)</f>
        <v>0</v>
      </c>
      <c r="AK298" s="106">
        <f>+HLOOKUP($C298,ACCESS!$O$2:$AA$250,111,0)</f>
        <v>0</v>
      </c>
      <c r="AL298" s="106">
        <f>+HLOOKUP($C298,ACCESS!$O$2:$AA$250,112,0)</f>
        <v>0</v>
      </c>
      <c r="AM298" s="106">
        <f>+HLOOKUP($C298,ACCESS!$O$2:$AA$250,116,0)</f>
        <v>15000</v>
      </c>
      <c r="AN298" s="106">
        <f>+HLOOKUP($C298,ACCESS!$O$2:$AA$250,117,0)</f>
        <v>2500</v>
      </c>
      <c r="AO298" s="106">
        <f>+HLOOKUP($C298,ACCESS!$O$2:$AA$250,118,0)</f>
        <v>0</v>
      </c>
      <c r="AP298" s="106">
        <f>+HLOOKUP($C298,ACCESS!$O$2:$AA$250,119,0)</f>
        <v>4000</v>
      </c>
      <c r="AQ298" s="106">
        <f>+HLOOKUP($C298,ACCESS!$O$2:$AA$250,120,0)</f>
        <v>0</v>
      </c>
      <c r="AR298" s="106">
        <f>+HLOOKUP($C298,ACCESS!$O$2:$AA$250,121,0)</f>
        <v>500</v>
      </c>
      <c r="AS298" s="106">
        <f>+HLOOKUP($C298,ACCESS!$O$2:$AA$250,122,0)</f>
        <v>13000</v>
      </c>
      <c r="AT298" s="106">
        <f>+HLOOKUP($C298,ACCESS!$O$2:$AA$250,123,0)</f>
        <v>1950</v>
      </c>
      <c r="AU298" s="106">
        <f>+HLOOKUP($C298,ACCESS!$O$2:$AA$250,124,0)</f>
        <v>0</v>
      </c>
      <c r="AV298" s="106">
        <f>+HLOOKUP($C298,ACCESS!$O$2:$AA$250,125,0)</f>
        <v>0</v>
      </c>
      <c r="AW298" s="106">
        <f>+HLOOKUP($C298,ACCESS!$O$2:$AA$250,126,0)</f>
        <v>0</v>
      </c>
      <c r="AX298" s="106">
        <f>+HLOOKUP($C298,ACCESS!$O$2:$AA$250,127,0)</f>
        <v>0</v>
      </c>
      <c r="AY298" s="106">
        <f>+HLOOKUP($C298,ACCESS!$O$2:$AA$250,129,0)</f>
        <v>0</v>
      </c>
      <c r="AZ298" s="106">
        <f>+HLOOKUP($C298,ACCESS!$O$2:$AA$250,130,0)</f>
        <v>0</v>
      </c>
      <c r="BA298" s="106">
        <f>+HLOOKUP($C298,ACCESS!$O$2:$AA$250,131,0)</f>
        <v>0</v>
      </c>
      <c r="BB298" s="106">
        <f>+HLOOKUP($C298,ACCESS!$O$2:$AA$250,133,0)</f>
        <v>0</v>
      </c>
      <c r="BC298" s="106">
        <f>+HLOOKUP($C298,ACCESS!$O$2:$AA$250,134,0)</f>
        <v>0</v>
      </c>
      <c r="BD298" s="106">
        <f>+HLOOKUP($C298,ACCESS!$O$2:$AA$250,135,0)</f>
        <v>0</v>
      </c>
      <c r="BE298" s="106">
        <f>+HLOOKUP($C298,ACCESS!$O$2:$AA$250,136,0)</f>
        <v>0</v>
      </c>
      <c r="BF298" s="106">
        <f>+HLOOKUP($C298,ACCESS!$O$2:$AA$250,138,0)</f>
        <v>0</v>
      </c>
      <c r="BG298" s="106">
        <f>+HLOOKUP($C298,ACCESS!$O$2:$AA$250,139,0)</f>
        <v>0</v>
      </c>
      <c r="BH298" s="106">
        <f>+HLOOKUP($C298,ACCESS!$O$2:$AA$250,140,0)</f>
        <v>0</v>
      </c>
      <c r="BI298" s="106">
        <f>+HLOOKUP($C298,ACCESS!$O$2:$AA$250,141,0)</f>
        <v>0</v>
      </c>
      <c r="BJ298" s="106">
        <f>+HLOOKUP($C298,ACCESS!$O$2:$AA$250,142,0)</f>
        <v>0</v>
      </c>
      <c r="BK298" s="106">
        <f>+HLOOKUP($C298,ACCESS!$O$2:$AA$250,143,0)</f>
        <v>0</v>
      </c>
      <c r="BL298" s="106">
        <f>+HLOOKUP($C298,ACCESS!$O$2:$AA$250,144,0)</f>
        <v>0</v>
      </c>
      <c r="BM298" s="106">
        <f>+HLOOKUP($C298,ACCESS!$O$2:$AA$250,146,0)</f>
        <v>0</v>
      </c>
      <c r="BN298" s="106">
        <f>+HLOOKUP($C298,ACCESS!$O$2:$AA$250,147,0)</f>
        <v>0</v>
      </c>
      <c r="BO298" s="106">
        <f>+HLOOKUP($C298,ACCESS!$O$2:$AA$250,148,0)</f>
        <v>0</v>
      </c>
      <c r="BP298" s="106">
        <f>+HLOOKUP($C298,ACCESS!$O$2:$AA$250,150,0)</f>
        <v>0</v>
      </c>
      <c r="BQ298" s="106">
        <f>+HLOOKUP($C298,ACCESS!$O$2:$AA$250,151,0)</f>
        <v>0</v>
      </c>
      <c r="BR298" s="106">
        <f>+HLOOKUP($C298,ACCESS!$O$2:$AA$250,152,0)</f>
        <v>0</v>
      </c>
      <c r="BS298" s="106">
        <f>+HLOOKUP($C298,ACCESS!$O$2:$AA$250,153,0)</f>
        <v>0</v>
      </c>
      <c r="BT298" s="106">
        <f>+HLOOKUP($C298,ACCESS!$O$2:$AA$250,157,0)</f>
        <v>0</v>
      </c>
      <c r="BU298" s="106">
        <f>+HLOOKUP($C298,ACCESS!$O$2:$AA$250,158,0)</f>
        <v>0</v>
      </c>
      <c r="BV298" s="106">
        <f>+HLOOKUP($C298,ACCESS!$O$2:$AA$250,159,0)</f>
        <v>0</v>
      </c>
      <c r="BW298" s="106">
        <f>+HLOOKUP($C298,ACCESS!$O$2:$AA$250,160,0)</f>
        <v>0</v>
      </c>
      <c r="BX298" s="106">
        <f>+HLOOKUP($C298,ACCESS!$O$2:$AA$250,161,0)</f>
        <v>0</v>
      </c>
      <c r="BY298" s="106">
        <f>+HLOOKUP($C298,ACCESS!$O$2:$AA$250,164,0)</f>
        <v>0</v>
      </c>
      <c r="BZ298" s="106">
        <f>+HLOOKUP($C298,ACCESS!$O$2:$AA$250,165,0)</f>
        <v>0</v>
      </c>
      <c r="CA298" s="106">
        <f>+HLOOKUP($C298,ACCESS!$O$2:$AA$250,166,0)</f>
        <v>0</v>
      </c>
      <c r="CB298" s="106">
        <f>+HLOOKUP($C298,ACCESS!$O$2:$AA$250,167,0)</f>
        <v>0</v>
      </c>
      <c r="CC298" s="106">
        <f>+HLOOKUP($C298,ACCESS!$O$2:$AA$250,168,0)</f>
        <v>0</v>
      </c>
      <c r="CD298" s="106">
        <f>+HLOOKUP($C298,ACCESS!$O$2:$AA$250,169,0)</f>
        <v>0</v>
      </c>
      <c r="CE298" s="106">
        <f>+HLOOKUP($C298,ACCESS!$O$2:$AA$250,170,0)</f>
        <v>0</v>
      </c>
      <c r="CF298" s="106">
        <f>+HLOOKUP($C298,ACCESS!$O$2:$AA$250,172,0)</f>
        <v>0</v>
      </c>
      <c r="CG298" s="106">
        <f>+HLOOKUP($C298,ACCESS!$O$2:$AA$250,173,0)</f>
        <v>0</v>
      </c>
      <c r="CH298" s="106">
        <f>+HLOOKUP($C298,ACCESS!$O$2:$AA$250,174,0)</f>
        <v>0</v>
      </c>
      <c r="CI298" s="106">
        <f>+HLOOKUP($C298,ACCESS!$O$2:$AA$250,175,0)</f>
        <v>0</v>
      </c>
      <c r="CJ298" s="106">
        <f>+HLOOKUP($C298,ACCESS!$O$2:$AA$250,176,0)</f>
        <v>0</v>
      </c>
      <c r="CK298" s="106">
        <f>+HLOOKUP($C298,ACCESS!$O$2:$AA$250,178,0)</f>
        <v>0</v>
      </c>
      <c r="CL298" s="106">
        <f>+HLOOKUP($C298,ACCESS!$O$2:$AA$250,179,0)</f>
        <v>0</v>
      </c>
      <c r="CM298" s="106">
        <f>+HLOOKUP($C298,ACCESS!$O$2:$AA$250,180,0)</f>
        <v>0</v>
      </c>
      <c r="CN298" s="106">
        <f>+HLOOKUP($C298,ACCESS!$O$2:$AA$250,182,0)</f>
        <v>0</v>
      </c>
      <c r="CO298" s="106">
        <f>+HLOOKUP($C298,ACCESS!$O$2:$AA$250,183,0)</f>
        <v>0</v>
      </c>
      <c r="CP298" s="106">
        <f>+HLOOKUP($C298,ACCESS!$O$2:$AA$250,184,0)</f>
        <v>0</v>
      </c>
      <c r="CQ298" s="106">
        <f>+HLOOKUP($C298,ACCESS!$O$2:$AA$250,185,0)</f>
        <v>0</v>
      </c>
      <c r="CR298" s="106">
        <f>+HLOOKUP($C298,ACCESS!$O$2:$AA$250,187,0)</f>
        <v>0</v>
      </c>
      <c r="CS298" s="106">
        <f>+HLOOKUP($C298,ACCESS!$O$2:$AA$250,188,0)</f>
        <v>0</v>
      </c>
      <c r="CT298" s="106">
        <f>+HLOOKUP($C298,ACCESS!$O$2:$AA$250,189,0)</f>
        <v>0</v>
      </c>
      <c r="CU298" s="106">
        <f>+HLOOKUP($C298,ACCESS!$O$2:$AA$250,190,0)</f>
        <v>0</v>
      </c>
      <c r="CV298" s="106">
        <f>+HLOOKUP($C298,ACCESS!$O$2:$AA$250,191,0)</f>
        <v>0</v>
      </c>
      <c r="CW298" s="106">
        <f>+HLOOKUP($C298,ACCESS!$O$2:$AA$250,193,0)</f>
        <v>0</v>
      </c>
      <c r="CX298" s="106">
        <f>+HLOOKUP($C298,ACCESS!$O$2:$AA$250,194,0)</f>
        <v>0</v>
      </c>
      <c r="CY298" s="106">
        <f>+HLOOKUP($C298,ACCESS!$O$2:$AA$250,195,0)</f>
        <v>0</v>
      </c>
      <c r="CZ298" s="106">
        <f>+HLOOKUP($C298,ACCESS!$O$2:$AA$250,196,0)</f>
        <v>0</v>
      </c>
      <c r="DA298" s="106">
        <f>+HLOOKUP($C298,ACCESS!$O$2:$AA$250,197,0)</f>
        <v>0</v>
      </c>
      <c r="DB298" s="106">
        <f>+HLOOKUP($C298,ACCESS!$O$2:$AA$250,198,0)</f>
        <v>0</v>
      </c>
      <c r="DC298" s="106">
        <f>+HLOOKUP($C298,ACCESS!$O$2:$AA$250,199,0)</f>
        <v>0</v>
      </c>
      <c r="DD298" s="106">
        <f>+HLOOKUP($C298,ACCESS!$O$2:$AA$250,200,0)</f>
        <v>0</v>
      </c>
      <c r="DE298" s="106">
        <f>+HLOOKUP($C298,ACCESS!$O$2:$AA$250,201,0)</f>
        <v>0</v>
      </c>
      <c r="DF298" s="106">
        <f>+HLOOKUP($C298,ACCESS!$O$2:$AA$250,202,0)</f>
        <v>0.01</v>
      </c>
      <c r="DG298" s="106">
        <f>+HLOOKUP($C298,ACCESS!$O$2:$AA$250,203,0)</f>
        <v>0</v>
      </c>
      <c r="DH298" s="106">
        <f>+HLOOKUP($C298,ACCESS!$O$2:$AA$250,205,0)</f>
        <v>0</v>
      </c>
      <c r="DI298" s="106">
        <f>+HLOOKUP($C298,ACCESS!$O$2:$AA$250,206,0)</f>
        <v>0</v>
      </c>
      <c r="DJ298" s="106">
        <f>+HLOOKUP($C298,ACCESS!$O$2:$AA$250,207,0)</f>
        <v>0</v>
      </c>
      <c r="DK298" s="106">
        <f>+HLOOKUP($C298,ACCESS!$O$2:$AA$250,209,0)</f>
        <v>0</v>
      </c>
      <c r="DL298" s="106">
        <f>+HLOOKUP($C298,ACCESS!$O$2:$AA$250,210,0)</f>
        <v>0</v>
      </c>
      <c r="DM298" s="106">
        <f>+HLOOKUP($C298,ACCESS!$O$2:$AA$250,211,0)</f>
        <v>0</v>
      </c>
      <c r="DN298" s="106">
        <f>+HLOOKUP($C298,ACCESS!$O$2:$AA$250,212,0)</f>
        <v>0</v>
      </c>
      <c r="DO298" s="106">
        <f>+HLOOKUP($C298,ACCESS!$O$2:$AA$250,214,0)</f>
        <v>0</v>
      </c>
      <c r="DP298" s="106">
        <f>+HLOOKUP($C298,ACCESS!$O$2:$AA$250,215,0)</f>
        <v>0</v>
      </c>
      <c r="DQ298" s="106">
        <f>+HLOOKUP($C298,ACCESS!$O$2:$AA$250,219,0)</f>
        <v>0</v>
      </c>
      <c r="DR298" s="106">
        <f>+HLOOKUP($C298,ACCESS!$O$2:$AA$250,220,0)</f>
        <v>0</v>
      </c>
      <c r="DS298" s="106">
        <f>+HLOOKUP($C298,ACCESS!$O$2:$AA$250,221,0)</f>
        <v>0</v>
      </c>
      <c r="DT298" s="106">
        <f>+HLOOKUP($C298,ACCESS!$O$2:$AA$250,223,0)</f>
        <v>0</v>
      </c>
      <c r="DU298" s="106">
        <f>+HLOOKUP($C298,ACCESS!$O$2:$AA$250,224,0)</f>
        <v>0</v>
      </c>
      <c r="DV298" s="106">
        <f>+HLOOKUP($C298,ACCESS!$O$2:$AA$250,225,0)</f>
        <v>0</v>
      </c>
      <c r="DW298" s="106">
        <f>+HLOOKUP($C298,ACCESS!$O$2:$AA$250,227,0)</f>
        <v>0</v>
      </c>
      <c r="DX298" s="106">
        <f>+HLOOKUP($C298,ACCESS!$O$2:$AA$250,228,0)</f>
        <v>0</v>
      </c>
      <c r="DY298" s="106">
        <f>+HLOOKUP($C298,ACCESS!$O$2:$AA$250,236,0)</f>
        <v>0</v>
      </c>
      <c r="DZ298" s="106">
        <f>+HLOOKUP($C298,ACCESS!$O$2:$AA$250,237,0)</f>
        <v>0</v>
      </c>
      <c r="EA298" s="106">
        <f>+HLOOKUP($C298,ACCESS!$O$2:$AA$250,238,0)</f>
        <v>0</v>
      </c>
      <c r="EB298" s="106">
        <f>+HLOOKUP($C298,ACCESS!$O$2:$AA$250,240,0)</f>
        <v>0</v>
      </c>
    </row>
    <row r="299" spans="1:132">
      <c r="A299" t="s">
        <v>269</v>
      </c>
      <c r="B299" t="s">
        <v>273</v>
      </c>
      <c r="C299" s="117">
        <v>45717</v>
      </c>
      <c r="D299" s="106">
        <f t="shared" si="5"/>
        <v>804021.8600000001</v>
      </c>
      <c r="E299" s="106">
        <f>+HLOOKUP(C299,ACCESS!$O$2:$AA$250,50,0)+HLOOKUP(C299,ACCESS!$O$2:$AA$250,51,0)+HLOOKUP(C299,ACCESS!$O$2:$AA$250,54,0)</f>
        <v>804021.8600000001</v>
      </c>
      <c r="F299" s="106">
        <f>+HLOOKUP(C299,ACCESS!$O$2:$AA$250,52,0)+HLOOKUP(C299,ACCESS!$O$2:$AA$250,56,0)</f>
        <v>640021.45000000019</v>
      </c>
      <c r="G299" s="106">
        <f>+HLOOKUP($C299,ACCESS!$O$2:$AA$250,76,0)</f>
        <v>0</v>
      </c>
      <c r="H299" s="106">
        <f>+HLOOKUP($C299,ACCESS!$O$2:$AA$250,77,0)</f>
        <v>0</v>
      </c>
      <c r="I299" s="106">
        <f>+HLOOKUP($C299,ACCESS!$O$2:$AA$250,78,0)</f>
        <v>0</v>
      </c>
      <c r="J299" s="106">
        <f>+HLOOKUP($C299,ACCESS!$O$2:$AA$250,79,0)</f>
        <v>0</v>
      </c>
      <c r="K299" s="106">
        <f>+HLOOKUP($C299,ACCESS!$O$2:$AA$250,80,0)</f>
        <v>0</v>
      </c>
      <c r="L299" s="106">
        <f>+HLOOKUP($C299,ACCESS!$O$2:$AA$250,81,0)</f>
        <v>0</v>
      </c>
      <c r="M299" s="106">
        <f>+HLOOKUP($C299,ACCESS!$O$2:$AA$250,82,0)</f>
        <v>0</v>
      </c>
      <c r="N299" s="106">
        <f>+HLOOKUP($C299,ACCESS!$O$2:$AA$250,83,0)</f>
        <v>0</v>
      </c>
      <c r="O299" s="106">
        <f>+HLOOKUP($C299,ACCESS!$O$2:$AA$250,84,0)</f>
        <v>0</v>
      </c>
      <c r="P299" s="106">
        <f>+HLOOKUP($C299,ACCESS!$O$2:$AA$250,85,0)</f>
        <v>0</v>
      </c>
      <c r="Q299" s="106">
        <f>+HLOOKUP($C299,ACCESS!$O$2:$AA$250,87,0)</f>
        <v>16400</v>
      </c>
      <c r="R299" s="106">
        <f>+HLOOKUP($C299,ACCESS!$O$2:$AA$250,90,0)</f>
        <v>0</v>
      </c>
      <c r="S299" s="106">
        <f>+HLOOKUP($C299,ACCESS!$O$2:$AA$250,91,0)</f>
        <v>0</v>
      </c>
      <c r="T299" s="106">
        <f>+HLOOKUP($C299,ACCESS!$O$2:$AA$250,92,0)</f>
        <v>0</v>
      </c>
      <c r="U299" s="106">
        <f>+HLOOKUP($C299,ACCESS!$O$2:$AA$250,93,0)</f>
        <v>0</v>
      </c>
      <c r="V299" s="106">
        <f>+HLOOKUP($C299,ACCESS!$O$2:$AA$250,94,0)</f>
        <v>0</v>
      </c>
      <c r="W299" s="106">
        <f>+HLOOKUP($C299,ACCESS!$O$2:$AA$250,95,0)</f>
        <v>0</v>
      </c>
      <c r="X299" s="106">
        <f>+HLOOKUP($C299,ACCESS!$O$2:$AA$250,96,0)</f>
        <v>0</v>
      </c>
      <c r="Y299" s="106">
        <f>+HLOOKUP($C299,ACCESS!$O$2:$AA$250,97,0)</f>
        <v>0</v>
      </c>
      <c r="Z299" s="106">
        <f>+HLOOKUP($C299,ACCESS!$O$2:$AA$250,98,0)</f>
        <v>0</v>
      </c>
      <c r="AA299" s="106">
        <f>+HLOOKUP($C299,ACCESS!$O$2:$AA$250,99,0)</f>
        <v>0</v>
      </c>
      <c r="AB299" s="106">
        <f>+HLOOKUP($C299,ACCESS!$O$2:$AA$250,100,0)</f>
        <v>0</v>
      </c>
      <c r="AC299" s="106">
        <f>+HLOOKUP($C299,ACCESS!$O$2:$AA$250,101,0)</f>
        <v>0</v>
      </c>
      <c r="AD299" s="106">
        <f>+HLOOKUP($C299,ACCESS!$O$2:$AA$250,104,0)</f>
        <v>0</v>
      </c>
      <c r="AE299" s="106">
        <f>+HLOOKUP($C299,ACCESS!$O$2:$AA$250,105,0)</f>
        <v>0</v>
      </c>
      <c r="AF299" s="106">
        <f>+HLOOKUP($C299,ACCESS!$O$2:$AA$250,106,0)</f>
        <v>0</v>
      </c>
      <c r="AG299" s="106">
        <f>+HLOOKUP($C299,ACCESS!$O$2:$AA$250,107,0)</f>
        <v>0</v>
      </c>
      <c r="AH299" s="106">
        <f>+HLOOKUP($C299,ACCESS!$O$2:$AA$250,108,0)</f>
        <v>0</v>
      </c>
      <c r="AI299" s="106">
        <f>+HLOOKUP($C299,ACCESS!$O$2:$AA$250,109,0)</f>
        <v>0</v>
      </c>
      <c r="AJ299" s="106">
        <f>+HLOOKUP($C299,ACCESS!$O$2:$AA$250,110,0)</f>
        <v>0</v>
      </c>
      <c r="AK299" s="106">
        <f>+HLOOKUP($C299,ACCESS!$O$2:$AA$250,111,0)</f>
        <v>0</v>
      </c>
      <c r="AL299" s="106">
        <f>+HLOOKUP($C299,ACCESS!$O$2:$AA$250,112,0)</f>
        <v>0</v>
      </c>
      <c r="AM299" s="106">
        <f>+HLOOKUP($C299,ACCESS!$O$2:$AA$250,116,0)</f>
        <v>15000</v>
      </c>
      <c r="AN299" s="106">
        <f>+HLOOKUP($C299,ACCESS!$O$2:$AA$250,117,0)</f>
        <v>2500</v>
      </c>
      <c r="AO299" s="106">
        <f>+HLOOKUP($C299,ACCESS!$O$2:$AA$250,118,0)</f>
        <v>0</v>
      </c>
      <c r="AP299" s="106">
        <f>+HLOOKUP($C299,ACCESS!$O$2:$AA$250,119,0)</f>
        <v>4000</v>
      </c>
      <c r="AQ299" s="106">
        <f>+HLOOKUP($C299,ACCESS!$O$2:$AA$250,120,0)</f>
        <v>0</v>
      </c>
      <c r="AR299" s="106">
        <f>+HLOOKUP($C299,ACCESS!$O$2:$AA$250,121,0)</f>
        <v>500</v>
      </c>
      <c r="AS299" s="106">
        <f>+HLOOKUP($C299,ACCESS!$O$2:$AA$250,122,0)</f>
        <v>13000</v>
      </c>
      <c r="AT299" s="106">
        <f>+HLOOKUP($C299,ACCESS!$O$2:$AA$250,123,0)</f>
        <v>1950</v>
      </c>
      <c r="AU299" s="106">
        <f>+HLOOKUP($C299,ACCESS!$O$2:$AA$250,124,0)</f>
        <v>0</v>
      </c>
      <c r="AV299" s="106">
        <f>+HLOOKUP($C299,ACCESS!$O$2:$AA$250,125,0)</f>
        <v>0</v>
      </c>
      <c r="AW299" s="106">
        <f>+HLOOKUP($C299,ACCESS!$O$2:$AA$250,126,0)</f>
        <v>0</v>
      </c>
      <c r="AX299" s="106">
        <f>+HLOOKUP($C299,ACCESS!$O$2:$AA$250,127,0)</f>
        <v>0</v>
      </c>
      <c r="AY299" s="106">
        <f>+HLOOKUP($C299,ACCESS!$O$2:$AA$250,129,0)</f>
        <v>0</v>
      </c>
      <c r="AZ299" s="106">
        <f>+HLOOKUP($C299,ACCESS!$O$2:$AA$250,130,0)</f>
        <v>0</v>
      </c>
      <c r="BA299" s="106">
        <f>+HLOOKUP($C299,ACCESS!$O$2:$AA$250,131,0)</f>
        <v>0</v>
      </c>
      <c r="BB299" s="106">
        <f>+HLOOKUP($C299,ACCESS!$O$2:$AA$250,133,0)</f>
        <v>0</v>
      </c>
      <c r="BC299" s="106">
        <f>+HLOOKUP($C299,ACCESS!$O$2:$AA$250,134,0)</f>
        <v>0</v>
      </c>
      <c r="BD299" s="106">
        <f>+HLOOKUP($C299,ACCESS!$O$2:$AA$250,135,0)</f>
        <v>0</v>
      </c>
      <c r="BE299" s="106">
        <f>+HLOOKUP($C299,ACCESS!$O$2:$AA$250,136,0)</f>
        <v>0</v>
      </c>
      <c r="BF299" s="106">
        <f>+HLOOKUP($C299,ACCESS!$O$2:$AA$250,138,0)</f>
        <v>0</v>
      </c>
      <c r="BG299" s="106">
        <f>+HLOOKUP($C299,ACCESS!$O$2:$AA$250,139,0)</f>
        <v>0</v>
      </c>
      <c r="BH299" s="106">
        <f>+HLOOKUP($C299,ACCESS!$O$2:$AA$250,140,0)</f>
        <v>0</v>
      </c>
      <c r="BI299" s="106">
        <f>+HLOOKUP($C299,ACCESS!$O$2:$AA$250,141,0)</f>
        <v>0</v>
      </c>
      <c r="BJ299" s="106">
        <f>+HLOOKUP($C299,ACCESS!$O$2:$AA$250,142,0)</f>
        <v>0</v>
      </c>
      <c r="BK299" s="106">
        <f>+HLOOKUP($C299,ACCESS!$O$2:$AA$250,143,0)</f>
        <v>0</v>
      </c>
      <c r="BL299" s="106">
        <f>+HLOOKUP($C299,ACCESS!$O$2:$AA$250,144,0)</f>
        <v>0</v>
      </c>
      <c r="BM299" s="106">
        <f>+HLOOKUP($C299,ACCESS!$O$2:$AA$250,146,0)</f>
        <v>0</v>
      </c>
      <c r="BN299" s="106">
        <f>+HLOOKUP($C299,ACCESS!$O$2:$AA$250,147,0)</f>
        <v>0</v>
      </c>
      <c r="BO299" s="106">
        <f>+HLOOKUP($C299,ACCESS!$O$2:$AA$250,148,0)</f>
        <v>0</v>
      </c>
      <c r="BP299" s="106">
        <f>+HLOOKUP($C299,ACCESS!$O$2:$AA$250,150,0)</f>
        <v>0</v>
      </c>
      <c r="BQ299" s="106">
        <f>+HLOOKUP($C299,ACCESS!$O$2:$AA$250,151,0)</f>
        <v>0</v>
      </c>
      <c r="BR299" s="106">
        <f>+HLOOKUP($C299,ACCESS!$O$2:$AA$250,152,0)</f>
        <v>0</v>
      </c>
      <c r="BS299" s="106">
        <f>+HLOOKUP($C299,ACCESS!$O$2:$AA$250,153,0)</f>
        <v>0</v>
      </c>
      <c r="BT299" s="106">
        <f>+HLOOKUP($C299,ACCESS!$O$2:$AA$250,157,0)</f>
        <v>0</v>
      </c>
      <c r="BU299" s="106">
        <f>+HLOOKUP($C299,ACCESS!$O$2:$AA$250,158,0)</f>
        <v>0</v>
      </c>
      <c r="BV299" s="106">
        <f>+HLOOKUP($C299,ACCESS!$O$2:$AA$250,159,0)</f>
        <v>0</v>
      </c>
      <c r="BW299" s="106">
        <f>+HLOOKUP($C299,ACCESS!$O$2:$AA$250,160,0)</f>
        <v>0</v>
      </c>
      <c r="BX299" s="106">
        <f>+HLOOKUP($C299,ACCESS!$O$2:$AA$250,161,0)</f>
        <v>0</v>
      </c>
      <c r="BY299" s="106">
        <f>+HLOOKUP($C299,ACCESS!$O$2:$AA$250,164,0)</f>
        <v>0</v>
      </c>
      <c r="BZ299" s="106">
        <f>+HLOOKUP($C299,ACCESS!$O$2:$AA$250,165,0)</f>
        <v>0</v>
      </c>
      <c r="CA299" s="106">
        <f>+HLOOKUP($C299,ACCESS!$O$2:$AA$250,166,0)</f>
        <v>0</v>
      </c>
      <c r="CB299" s="106">
        <f>+HLOOKUP($C299,ACCESS!$O$2:$AA$250,167,0)</f>
        <v>0</v>
      </c>
      <c r="CC299" s="106">
        <f>+HLOOKUP($C299,ACCESS!$O$2:$AA$250,168,0)</f>
        <v>0</v>
      </c>
      <c r="CD299" s="106">
        <f>+HLOOKUP($C299,ACCESS!$O$2:$AA$250,169,0)</f>
        <v>0</v>
      </c>
      <c r="CE299" s="106">
        <f>+HLOOKUP($C299,ACCESS!$O$2:$AA$250,170,0)</f>
        <v>0</v>
      </c>
      <c r="CF299" s="106">
        <f>+HLOOKUP($C299,ACCESS!$O$2:$AA$250,172,0)</f>
        <v>0</v>
      </c>
      <c r="CG299" s="106">
        <f>+HLOOKUP($C299,ACCESS!$O$2:$AA$250,173,0)</f>
        <v>0</v>
      </c>
      <c r="CH299" s="106">
        <f>+HLOOKUP($C299,ACCESS!$O$2:$AA$250,174,0)</f>
        <v>0</v>
      </c>
      <c r="CI299" s="106">
        <f>+HLOOKUP($C299,ACCESS!$O$2:$AA$250,175,0)</f>
        <v>0</v>
      </c>
      <c r="CJ299" s="106">
        <f>+HLOOKUP($C299,ACCESS!$O$2:$AA$250,176,0)</f>
        <v>0</v>
      </c>
      <c r="CK299" s="106">
        <f>+HLOOKUP($C299,ACCESS!$O$2:$AA$250,178,0)</f>
        <v>0</v>
      </c>
      <c r="CL299" s="106">
        <f>+HLOOKUP($C299,ACCESS!$O$2:$AA$250,179,0)</f>
        <v>0</v>
      </c>
      <c r="CM299" s="106">
        <f>+HLOOKUP($C299,ACCESS!$O$2:$AA$250,180,0)</f>
        <v>0</v>
      </c>
      <c r="CN299" s="106">
        <f>+HLOOKUP($C299,ACCESS!$O$2:$AA$250,182,0)</f>
        <v>0</v>
      </c>
      <c r="CO299" s="106">
        <f>+HLOOKUP($C299,ACCESS!$O$2:$AA$250,183,0)</f>
        <v>0</v>
      </c>
      <c r="CP299" s="106">
        <f>+HLOOKUP($C299,ACCESS!$O$2:$AA$250,184,0)</f>
        <v>0</v>
      </c>
      <c r="CQ299" s="106">
        <f>+HLOOKUP($C299,ACCESS!$O$2:$AA$250,185,0)</f>
        <v>0</v>
      </c>
      <c r="CR299" s="106">
        <f>+HLOOKUP($C299,ACCESS!$O$2:$AA$250,187,0)</f>
        <v>0</v>
      </c>
      <c r="CS299" s="106">
        <f>+HLOOKUP($C299,ACCESS!$O$2:$AA$250,188,0)</f>
        <v>0</v>
      </c>
      <c r="CT299" s="106">
        <f>+HLOOKUP($C299,ACCESS!$O$2:$AA$250,189,0)</f>
        <v>0</v>
      </c>
      <c r="CU299" s="106">
        <f>+HLOOKUP($C299,ACCESS!$O$2:$AA$250,190,0)</f>
        <v>0</v>
      </c>
      <c r="CV299" s="106">
        <f>+HLOOKUP($C299,ACCESS!$O$2:$AA$250,191,0)</f>
        <v>0</v>
      </c>
      <c r="CW299" s="106">
        <f>+HLOOKUP($C299,ACCESS!$O$2:$AA$250,193,0)</f>
        <v>0</v>
      </c>
      <c r="CX299" s="106">
        <f>+HLOOKUP($C299,ACCESS!$O$2:$AA$250,194,0)</f>
        <v>0</v>
      </c>
      <c r="CY299" s="106">
        <f>+HLOOKUP($C299,ACCESS!$O$2:$AA$250,195,0)</f>
        <v>0</v>
      </c>
      <c r="CZ299" s="106">
        <f>+HLOOKUP($C299,ACCESS!$O$2:$AA$250,196,0)</f>
        <v>0</v>
      </c>
      <c r="DA299" s="106">
        <f>+HLOOKUP($C299,ACCESS!$O$2:$AA$250,197,0)</f>
        <v>0</v>
      </c>
      <c r="DB299" s="106">
        <f>+HLOOKUP($C299,ACCESS!$O$2:$AA$250,198,0)</f>
        <v>0</v>
      </c>
      <c r="DC299" s="106">
        <f>+HLOOKUP($C299,ACCESS!$O$2:$AA$250,199,0)</f>
        <v>0</v>
      </c>
      <c r="DD299" s="106">
        <f>+HLOOKUP($C299,ACCESS!$O$2:$AA$250,200,0)</f>
        <v>0</v>
      </c>
      <c r="DE299" s="106">
        <f>+HLOOKUP($C299,ACCESS!$O$2:$AA$250,201,0)</f>
        <v>0</v>
      </c>
      <c r="DF299" s="106">
        <f>+HLOOKUP($C299,ACCESS!$O$2:$AA$250,202,0)</f>
        <v>0.01</v>
      </c>
      <c r="DG299" s="106">
        <f>+HLOOKUP($C299,ACCESS!$O$2:$AA$250,203,0)</f>
        <v>0</v>
      </c>
      <c r="DH299" s="106">
        <f>+HLOOKUP($C299,ACCESS!$O$2:$AA$250,205,0)</f>
        <v>0</v>
      </c>
      <c r="DI299" s="106">
        <f>+HLOOKUP($C299,ACCESS!$O$2:$AA$250,206,0)</f>
        <v>0</v>
      </c>
      <c r="DJ299" s="106">
        <f>+HLOOKUP($C299,ACCESS!$O$2:$AA$250,207,0)</f>
        <v>0</v>
      </c>
      <c r="DK299" s="106">
        <f>+HLOOKUP($C299,ACCESS!$O$2:$AA$250,209,0)</f>
        <v>0</v>
      </c>
      <c r="DL299" s="106">
        <f>+HLOOKUP($C299,ACCESS!$O$2:$AA$250,210,0)</f>
        <v>0</v>
      </c>
      <c r="DM299" s="106">
        <f>+HLOOKUP($C299,ACCESS!$O$2:$AA$250,211,0)</f>
        <v>0</v>
      </c>
      <c r="DN299" s="106">
        <f>+HLOOKUP($C299,ACCESS!$O$2:$AA$250,212,0)</f>
        <v>0</v>
      </c>
      <c r="DO299" s="106">
        <f>+HLOOKUP($C299,ACCESS!$O$2:$AA$250,214,0)</f>
        <v>0</v>
      </c>
      <c r="DP299" s="106">
        <f>+HLOOKUP($C299,ACCESS!$O$2:$AA$250,215,0)</f>
        <v>0</v>
      </c>
      <c r="DQ299" s="106">
        <f>+HLOOKUP($C299,ACCESS!$O$2:$AA$250,219,0)</f>
        <v>0</v>
      </c>
      <c r="DR299" s="106">
        <f>+HLOOKUP($C299,ACCESS!$O$2:$AA$250,220,0)</f>
        <v>0</v>
      </c>
      <c r="DS299" s="106">
        <f>+HLOOKUP($C299,ACCESS!$O$2:$AA$250,221,0)</f>
        <v>0</v>
      </c>
      <c r="DT299" s="106">
        <f>+HLOOKUP($C299,ACCESS!$O$2:$AA$250,223,0)</f>
        <v>0</v>
      </c>
      <c r="DU299" s="106">
        <f>+HLOOKUP($C299,ACCESS!$O$2:$AA$250,224,0)</f>
        <v>0</v>
      </c>
      <c r="DV299" s="106">
        <f>+HLOOKUP($C299,ACCESS!$O$2:$AA$250,225,0)</f>
        <v>0</v>
      </c>
      <c r="DW299" s="106">
        <f>+HLOOKUP($C299,ACCESS!$O$2:$AA$250,227,0)</f>
        <v>0</v>
      </c>
      <c r="DX299" s="106">
        <f>+HLOOKUP($C299,ACCESS!$O$2:$AA$250,228,0)</f>
        <v>0</v>
      </c>
      <c r="DY299" s="106">
        <f>+HLOOKUP($C299,ACCESS!$O$2:$AA$250,236,0)</f>
        <v>0</v>
      </c>
      <c r="DZ299" s="106">
        <f>+HLOOKUP($C299,ACCESS!$O$2:$AA$250,237,0)</f>
        <v>0</v>
      </c>
      <c r="EA299" s="106">
        <f>+HLOOKUP($C299,ACCESS!$O$2:$AA$250,238,0)</f>
        <v>0</v>
      </c>
      <c r="EB299" s="106">
        <f>+HLOOKUP($C299,ACCESS!$O$2:$AA$250,240,0)</f>
        <v>0</v>
      </c>
    </row>
    <row r="300" spans="1:132">
      <c r="A300" t="s">
        <v>269</v>
      </c>
      <c r="B300" t="s">
        <v>273</v>
      </c>
      <c r="C300" s="117">
        <v>45689</v>
      </c>
      <c r="D300" s="106">
        <f t="shared" si="5"/>
        <v>651878.68999999994</v>
      </c>
      <c r="E300" s="106">
        <f>+HLOOKUP(C300,ACCESS!$O$2:$AA$250,50,0)+HLOOKUP(C300,ACCESS!$O$2:$AA$250,51,0)+HLOOKUP(C300,ACCESS!$O$2:$AA$250,54,0)</f>
        <v>651878.68999999994</v>
      </c>
      <c r="F300" s="106">
        <f>+HLOOKUP(C300,ACCESS!$O$2:$AA$250,52,0)+HLOOKUP(C300,ACCESS!$O$2:$AA$250,56,0)</f>
        <v>475921.71999999986</v>
      </c>
      <c r="G300" s="106">
        <f>+HLOOKUP($C300,ACCESS!$O$2:$AA$250,76,0)</f>
        <v>0</v>
      </c>
      <c r="H300" s="106">
        <f>+HLOOKUP($C300,ACCESS!$O$2:$AA$250,77,0)</f>
        <v>0</v>
      </c>
      <c r="I300" s="106">
        <f>+HLOOKUP($C300,ACCESS!$O$2:$AA$250,78,0)</f>
        <v>0</v>
      </c>
      <c r="J300" s="106">
        <f>+HLOOKUP($C300,ACCESS!$O$2:$AA$250,79,0)</f>
        <v>0</v>
      </c>
      <c r="K300" s="106">
        <f>+HLOOKUP($C300,ACCESS!$O$2:$AA$250,80,0)</f>
        <v>0</v>
      </c>
      <c r="L300" s="106">
        <f>+HLOOKUP($C300,ACCESS!$O$2:$AA$250,81,0)</f>
        <v>0</v>
      </c>
      <c r="M300" s="106">
        <f>+HLOOKUP($C300,ACCESS!$O$2:$AA$250,82,0)</f>
        <v>0</v>
      </c>
      <c r="N300" s="106">
        <f>+HLOOKUP($C300,ACCESS!$O$2:$AA$250,83,0)</f>
        <v>0</v>
      </c>
      <c r="O300" s="106">
        <f>+HLOOKUP($C300,ACCESS!$O$2:$AA$250,84,0)</f>
        <v>0</v>
      </c>
      <c r="P300" s="106">
        <f>+HLOOKUP($C300,ACCESS!$O$2:$AA$250,85,0)</f>
        <v>0</v>
      </c>
      <c r="Q300" s="106">
        <f>+HLOOKUP($C300,ACCESS!$O$2:$AA$250,87,0)</f>
        <v>0</v>
      </c>
      <c r="R300" s="106">
        <f>+HLOOKUP($C300,ACCESS!$O$2:$AA$250,90,0)</f>
        <v>0</v>
      </c>
      <c r="S300" s="106">
        <f>+HLOOKUP($C300,ACCESS!$O$2:$AA$250,91,0)</f>
        <v>0</v>
      </c>
      <c r="T300" s="106">
        <f>+HLOOKUP($C300,ACCESS!$O$2:$AA$250,92,0)</f>
        <v>0</v>
      </c>
      <c r="U300" s="106">
        <f>+HLOOKUP($C300,ACCESS!$O$2:$AA$250,93,0)</f>
        <v>0</v>
      </c>
      <c r="V300" s="106">
        <f>+HLOOKUP($C300,ACCESS!$O$2:$AA$250,94,0)</f>
        <v>0</v>
      </c>
      <c r="W300" s="106">
        <f>+HLOOKUP($C300,ACCESS!$O$2:$AA$250,95,0)</f>
        <v>0</v>
      </c>
      <c r="X300" s="106">
        <f>+HLOOKUP($C300,ACCESS!$O$2:$AA$250,96,0)</f>
        <v>0</v>
      </c>
      <c r="Y300" s="106">
        <f>+HLOOKUP($C300,ACCESS!$O$2:$AA$250,97,0)</f>
        <v>0</v>
      </c>
      <c r="Z300" s="106">
        <f>+HLOOKUP($C300,ACCESS!$O$2:$AA$250,98,0)</f>
        <v>0</v>
      </c>
      <c r="AA300" s="106">
        <f>+HLOOKUP($C300,ACCESS!$O$2:$AA$250,99,0)</f>
        <v>0</v>
      </c>
      <c r="AB300" s="106">
        <f>+HLOOKUP($C300,ACCESS!$O$2:$AA$250,100,0)</f>
        <v>0</v>
      </c>
      <c r="AC300" s="106">
        <f>+HLOOKUP($C300,ACCESS!$O$2:$AA$250,101,0)</f>
        <v>0</v>
      </c>
      <c r="AD300" s="106">
        <f>+HLOOKUP($C300,ACCESS!$O$2:$AA$250,104,0)</f>
        <v>0</v>
      </c>
      <c r="AE300" s="106">
        <f>+HLOOKUP($C300,ACCESS!$O$2:$AA$250,105,0)</f>
        <v>0</v>
      </c>
      <c r="AF300" s="106">
        <f>+HLOOKUP($C300,ACCESS!$O$2:$AA$250,106,0)</f>
        <v>0</v>
      </c>
      <c r="AG300" s="106">
        <f>+HLOOKUP($C300,ACCESS!$O$2:$AA$250,107,0)</f>
        <v>0</v>
      </c>
      <c r="AH300" s="106">
        <f>+HLOOKUP($C300,ACCESS!$O$2:$AA$250,108,0)</f>
        <v>0</v>
      </c>
      <c r="AI300" s="106">
        <f>+HLOOKUP($C300,ACCESS!$O$2:$AA$250,109,0)</f>
        <v>0</v>
      </c>
      <c r="AJ300" s="106">
        <f>+HLOOKUP($C300,ACCESS!$O$2:$AA$250,110,0)</f>
        <v>0</v>
      </c>
      <c r="AK300" s="106">
        <f>+HLOOKUP($C300,ACCESS!$O$2:$AA$250,111,0)</f>
        <v>0</v>
      </c>
      <c r="AL300" s="106">
        <f>+HLOOKUP($C300,ACCESS!$O$2:$AA$250,112,0)</f>
        <v>0</v>
      </c>
      <c r="AM300" s="106">
        <f>+HLOOKUP($C300,ACCESS!$O$2:$AA$250,116,0)</f>
        <v>16800</v>
      </c>
      <c r="AN300" s="106">
        <f>+HLOOKUP($C300,ACCESS!$O$2:$AA$250,117,0)</f>
        <v>1600</v>
      </c>
      <c r="AO300" s="106">
        <f>+HLOOKUP($C300,ACCESS!$O$2:$AA$250,118,0)</f>
        <v>0</v>
      </c>
      <c r="AP300" s="106">
        <f>+HLOOKUP($C300,ACCESS!$O$2:$AA$250,119,0)</f>
        <v>4000</v>
      </c>
      <c r="AQ300" s="106">
        <f>+HLOOKUP($C300,ACCESS!$O$2:$AA$250,120,0)</f>
        <v>0</v>
      </c>
      <c r="AR300" s="106">
        <f>+HLOOKUP($C300,ACCESS!$O$2:$AA$250,121,0)</f>
        <v>500</v>
      </c>
      <c r="AS300" s="106">
        <f>+HLOOKUP($C300,ACCESS!$O$2:$AA$250,122,0)</f>
        <v>12100</v>
      </c>
      <c r="AT300" s="106">
        <f>+HLOOKUP($C300,ACCESS!$O$2:$AA$250,123,0)</f>
        <v>1859</v>
      </c>
      <c r="AU300" s="106">
        <f>+HLOOKUP($C300,ACCESS!$O$2:$AA$250,124,0)</f>
        <v>0</v>
      </c>
      <c r="AV300" s="106">
        <f>+HLOOKUP($C300,ACCESS!$O$2:$AA$250,125,0)</f>
        <v>0</v>
      </c>
      <c r="AW300" s="106">
        <f>+HLOOKUP($C300,ACCESS!$O$2:$AA$250,126,0)</f>
        <v>0</v>
      </c>
      <c r="AX300" s="106">
        <f>+HLOOKUP($C300,ACCESS!$O$2:$AA$250,127,0)</f>
        <v>0</v>
      </c>
      <c r="AY300" s="106">
        <f>+HLOOKUP($C300,ACCESS!$O$2:$AA$250,129,0)</f>
        <v>0</v>
      </c>
      <c r="AZ300" s="106">
        <f>+HLOOKUP($C300,ACCESS!$O$2:$AA$250,130,0)</f>
        <v>0</v>
      </c>
      <c r="BA300" s="106">
        <f>+HLOOKUP($C300,ACCESS!$O$2:$AA$250,131,0)</f>
        <v>0</v>
      </c>
      <c r="BB300" s="106">
        <f>+HLOOKUP($C300,ACCESS!$O$2:$AA$250,133,0)</f>
        <v>0</v>
      </c>
      <c r="BC300" s="106">
        <f>+HLOOKUP($C300,ACCESS!$O$2:$AA$250,134,0)</f>
        <v>0</v>
      </c>
      <c r="BD300" s="106">
        <f>+HLOOKUP($C300,ACCESS!$O$2:$AA$250,135,0)</f>
        <v>0</v>
      </c>
      <c r="BE300" s="106">
        <f>+HLOOKUP($C300,ACCESS!$O$2:$AA$250,136,0)</f>
        <v>0</v>
      </c>
      <c r="BF300" s="106">
        <f>+HLOOKUP($C300,ACCESS!$O$2:$AA$250,138,0)</f>
        <v>0</v>
      </c>
      <c r="BG300" s="106">
        <f>+HLOOKUP($C300,ACCESS!$O$2:$AA$250,139,0)</f>
        <v>0</v>
      </c>
      <c r="BH300" s="106">
        <f>+HLOOKUP($C300,ACCESS!$O$2:$AA$250,140,0)</f>
        <v>0</v>
      </c>
      <c r="BI300" s="106">
        <f>+HLOOKUP($C300,ACCESS!$O$2:$AA$250,141,0)</f>
        <v>0</v>
      </c>
      <c r="BJ300" s="106">
        <f>+HLOOKUP($C300,ACCESS!$O$2:$AA$250,142,0)</f>
        <v>0</v>
      </c>
      <c r="BK300" s="106">
        <f>+HLOOKUP($C300,ACCESS!$O$2:$AA$250,143,0)</f>
        <v>0</v>
      </c>
      <c r="BL300" s="106">
        <f>+HLOOKUP($C300,ACCESS!$O$2:$AA$250,144,0)</f>
        <v>0</v>
      </c>
      <c r="BM300" s="106">
        <f>+HLOOKUP($C300,ACCESS!$O$2:$AA$250,146,0)</f>
        <v>0</v>
      </c>
      <c r="BN300" s="106">
        <f>+HLOOKUP($C300,ACCESS!$O$2:$AA$250,147,0)</f>
        <v>0</v>
      </c>
      <c r="BO300" s="106">
        <f>+HLOOKUP($C300,ACCESS!$O$2:$AA$250,148,0)</f>
        <v>0</v>
      </c>
      <c r="BP300" s="106">
        <f>+HLOOKUP($C300,ACCESS!$O$2:$AA$250,150,0)</f>
        <v>0</v>
      </c>
      <c r="BQ300" s="106">
        <f>+HLOOKUP($C300,ACCESS!$O$2:$AA$250,151,0)</f>
        <v>0</v>
      </c>
      <c r="BR300" s="106">
        <f>+HLOOKUP($C300,ACCESS!$O$2:$AA$250,152,0)</f>
        <v>0</v>
      </c>
      <c r="BS300" s="106">
        <f>+HLOOKUP($C300,ACCESS!$O$2:$AA$250,153,0)</f>
        <v>0</v>
      </c>
      <c r="BT300" s="106">
        <f>+HLOOKUP($C300,ACCESS!$O$2:$AA$250,157,0)</f>
        <v>0</v>
      </c>
      <c r="BU300" s="106">
        <f>+HLOOKUP($C300,ACCESS!$O$2:$AA$250,158,0)</f>
        <v>0</v>
      </c>
      <c r="BV300" s="106">
        <f>+HLOOKUP($C300,ACCESS!$O$2:$AA$250,159,0)</f>
        <v>0</v>
      </c>
      <c r="BW300" s="106">
        <f>+HLOOKUP($C300,ACCESS!$O$2:$AA$250,160,0)</f>
        <v>0</v>
      </c>
      <c r="BX300" s="106">
        <f>+HLOOKUP($C300,ACCESS!$O$2:$AA$250,161,0)</f>
        <v>0</v>
      </c>
      <c r="BY300" s="106">
        <f>+HLOOKUP($C300,ACCESS!$O$2:$AA$250,164,0)</f>
        <v>0</v>
      </c>
      <c r="BZ300" s="106">
        <f>+HLOOKUP($C300,ACCESS!$O$2:$AA$250,165,0)</f>
        <v>0</v>
      </c>
      <c r="CA300" s="106">
        <f>+HLOOKUP($C300,ACCESS!$O$2:$AA$250,166,0)</f>
        <v>0</v>
      </c>
      <c r="CB300" s="106">
        <f>+HLOOKUP($C300,ACCESS!$O$2:$AA$250,167,0)</f>
        <v>0</v>
      </c>
      <c r="CC300" s="106">
        <f>+HLOOKUP($C300,ACCESS!$O$2:$AA$250,168,0)</f>
        <v>0</v>
      </c>
      <c r="CD300" s="106">
        <f>+HLOOKUP($C300,ACCESS!$O$2:$AA$250,169,0)</f>
        <v>0</v>
      </c>
      <c r="CE300" s="106">
        <f>+HLOOKUP($C300,ACCESS!$O$2:$AA$250,170,0)</f>
        <v>0</v>
      </c>
      <c r="CF300" s="106">
        <f>+HLOOKUP($C300,ACCESS!$O$2:$AA$250,172,0)</f>
        <v>0</v>
      </c>
      <c r="CG300" s="106">
        <f>+HLOOKUP($C300,ACCESS!$O$2:$AA$250,173,0)</f>
        <v>0</v>
      </c>
      <c r="CH300" s="106">
        <f>+HLOOKUP($C300,ACCESS!$O$2:$AA$250,174,0)</f>
        <v>0</v>
      </c>
      <c r="CI300" s="106">
        <f>+HLOOKUP($C300,ACCESS!$O$2:$AA$250,175,0)</f>
        <v>0</v>
      </c>
      <c r="CJ300" s="106">
        <f>+HLOOKUP($C300,ACCESS!$O$2:$AA$250,176,0)</f>
        <v>0</v>
      </c>
      <c r="CK300" s="106">
        <f>+HLOOKUP($C300,ACCESS!$O$2:$AA$250,178,0)</f>
        <v>0</v>
      </c>
      <c r="CL300" s="106">
        <f>+HLOOKUP($C300,ACCESS!$O$2:$AA$250,179,0)</f>
        <v>0</v>
      </c>
      <c r="CM300" s="106">
        <f>+HLOOKUP($C300,ACCESS!$O$2:$AA$250,180,0)</f>
        <v>0</v>
      </c>
      <c r="CN300" s="106">
        <f>+HLOOKUP($C300,ACCESS!$O$2:$AA$250,182,0)</f>
        <v>0</v>
      </c>
      <c r="CO300" s="106">
        <f>+HLOOKUP($C300,ACCESS!$O$2:$AA$250,183,0)</f>
        <v>0</v>
      </c>
      <c r="CP300" s="106">
        <f>+HLOOKUP($C300,ACCESS!$O$2:$AA$250,184,0)</f>
        <v>0</v>
      </c>
      <c r="CQ300" s="106">
        <f>+HLOOKUP($C300,ACCESS!$O$2:$AA$250,185,0)</f>
        <v>0</v>
      </c>
      <c r="CR300" s="106">
        <f>+HLOOKUP($C300,ACCESS!$O$2:$AA$250,187,0)</f>
        <v>0</v>
      </c>
      <c r="CS300" s="106">
        <f>+HLOOKUP($C300,ACCESS!$O$2:$AA$250,188,0)</f>
        <v>0</v>
      </c>
      <c r="CT300" s="106">
        <f>+HLOOKUP($C300,ACCESS!$O$2:$AA$250,189,0)</f>
        <v>0</v>
      </c>
      <c r="CU300" s="106">
        <f>+HLOOKUP($C300,ACCESS!$O$2:$AA$250,190,0)</f>
        <v>0</v>
      </c>
      <c r="CV300" s="106">
        <f>+HLOOKUP($C300,ACCESS!$O$2:$AA$250,191,0)</f>
        <v>0</v>
      </c>
      <c r="CW300" s="106">
        <f>+HLOOKUP($C300,ACCESS!$O$2:$AA$250,193,0)</f>
        <v>0</v>
      </c>
      <c r="CX300" s="106">
        <f>+HLOOKUP($C300,ACCESS!$O$2:$AA$250,194,0)</f>
        <v>0</v>
      </c>
      <c r="CY300" s="106">
        <f>+HLOOKUP($C300,ACCESS!$O$2:$AA$250,195,0)</f>
        <v>0</v>
      </c>
      <c r="CZ300" s="106">
        <f>+HLOOKUP($C300,ACCESS!$O$2:$AA$250,196,0)</f>
        <v>0</v>
      </c>
      <c r="DA300" s="106">
        <f>+HLOOKUP($C300,ACCESS!$O$2:$AA$250,197,0)</f>
        <v>0</v>
      </c>
      <c r="DB300" s="106">
        <f>+HLOOKUP($C300,ACCESS!$O$2:$AA$250,198,0)</f>
        <v>0</v>
      </c>
      <c r="DC300" s="106">
        <f>+HLOOKUP($C300,ACCESS!$O$2:$AA$250,199,0)</f>
        <v>0</v>
      </c>
      <c r="DD300" s="106">
        <f>+HLOOKUP($C300,ACCESS!$O$2:$AA$250,200,0)</f>
        <v>0</v>
      </c>
      <c r="DE300" s="106">
        <f>+HLOOKUP($C300,ACCESS!$O$2:$AA$250,201,0)</f>
        <v>0</v>
      </c>
      <c r="DF300" s="106">
        <f>+HLOOKUP($C300,ACCESS!$O$2:$AA$250,202,0)</f>
        <v>0</v>
      </c>
      <c r="DG300" s="106">
        <f>+HLOOKUP($C300,ACCESS!$O$2:$AA$250,203,0)</f>
        <v>0</v>
      </c>
      <c r="DH300" s="106">
        <f>+HLOOKUP($C300,ACCESS!$O$2:$AA$250,205,0)</f>
        <v>0</v>
      </c>
      <c r="DI300" s="106">
        <f>+HLOOKUP($C300,ACCESS!$O$2:$AA$250,206,0)</f>
        <v>0</v>
      </c>
      <c r="DJ300" s="106">
        <f>+HLOOKUP($C300,ACCESS!$O$2:$AA$250,207,0)</f>
        <v>0</v>
      </c>
      <c r="DK300" s="106">
        <f>+HLOOKUP($C300,ACCESS!$O$2:$AA$250,209,0)</f>
        <v>0</v>
      </c>
      <c r="DL300" s="106">
        <f>+HLOOKUP($C300,ACCESS!$O$2:$AA$250,210,0)</f>
        <v>0</v>
      </c>
      <c r="DM300" s="106">
        <f>+HLOOKUP($C300,ACCESS!$O$2:$AA$250,211,0)</f>
        <v>0</v>
      </c>
      <c r="DN300" s="106">
        <f>+HLOOKUP($C300,ACCESS!$O$2:$AA$250,212,0)</f>
        <v>0</v>
      </c>
      <c r="DO300" s="106">
        <f>+HLOOKUP($C300,ACCESS!$O$2:$AA$250,214,0)</f>
        <v>0</v>
      </c>
      <c r="DP300" s="106">
        <f>+HLOOKUP($C300,ACCESS!$O$2:$AA$250,215,0)</f>
        <v>0</v>
      </c>
      <c r="DQ300" s="106">
        <f>+HLOOKUP($C300,ACCESS!$O$2:$AA$250,219,0)</f>
        <v>0</v>
      </c>
      <c r="DR300" s="106">
        <f>+HLOOKUP($C300,ACCESS!$O$2:$AA$250,220,0)</f>
        <v>0</v>
      </c>
      <c r="DS300" s="106">
        <f>+HLOOKUP($C300,ACCESS!$O$2:$AA$250,221,0)</f>
        <v>0</v>
      </c>
      <c r="DT300" s="106">
        <f>+HLOOKUP($C300,ACCESS!$O$2:$AA$250,223,0)</f>
        <v>0</v>
      </c>
      <c r="DU300" s="106">
        <f>+HLOOKUP($C300,ACCESS!$O$2:$AA$250,224,0)</f>
        <v>0</v>
      </c>
      <c r="DV300" s="106">
        <f>+HLOOKUP($C300,ACCESS!$O$2:$AA$250,225,0)</f>
        <v>0</v>
      </c>
      <c r="DW300" s="106">
        <f>+HLOOKUP($C300,ACCESS!$O$2:$AA$250,227,0)</f>
        <v>0</v>
      </c>
      <c r="DX300" s="106">
        <f>+HLOOKUP($C300,ACCESS!$O$2:$AA$250,228,0)</f>
        <v>0</v>
      </c>
      <c r="DY300" s="106">
        <f>+HLOOKUP($C300,ACCESS!$O$2:$AA$250,236,0)</f>
        <v>0</v>
      </c>
      <c r="DZ300" s="106">
        <f>+HLOOKUP($C300,ACCESS!$O$2:$AA$250,237,0)</f>
        <v>0</v>
      </c>
      <c r="EA300" s="106">
        <f>+HLOOKUP($C300,ACCESS!$O$2:$AA$250,238,0)</f>
        <v>0</v>
      </c>
      <c r="EB300" s="106">
        <f>+HLOOKUP($C300,ACCESS!$O$2:$AA$250,240,0)</f>
        <v>0</v>
      </c>
    </row>
    <row r="301" spans="1:132">
      <c r="A301" t="s">
        <v>269</v>
      </c>
      <c r="B301" t="s">
        <v>273</v>
      </c>
      <c r="C301" s="117">
        <v>45658</v>
      </c>
      <c r="D301" s="106">
        <f t="shared" si="5"/>
        <v>1617837.7999999998</v>
      </c>
      <c r="E301" s="106">
        <f>+HLOOKUP(C301,ACCESS!$O$2:$AA$250,50,0)+HLOOKUP(C301,ACCESS!$O$2:$AA$250,51,0)+HLOOKUP(C301,ACCESS!$O$2:$AA$250,54,0)</f>
        <v>1617837.7999999998</v>
      </c>
      <c r="F301" s="106">
        <f>+HLOOKUP(C301,ACCESS!$O$2:$AA$250,52,0)+HLOOKUP(C301,ACCESS!$O$2:$AA$250,56,0)</f>
        <v>1366224.9499999997</v>
      </c>
      <c r="G301" s="106">
        <f>+HLOOKUP($C301,ACCESS!$O$2:$AA$250,76,0)</f>
        <v>0</v>
      </c>
      <c r="H301" s="106">
        <f>+HLOOKUP($C301,ACCESS!$O$2:$AA$250,77,0)</f>
        <v>0</v>
      </c>
      <c r="I301" s="106">
        <f>+HLOOKUP($C301,ACCESS!$O$2:$AA$250,78,0)</f>
        <v>0</v>
      </c>
      <c r="J301" s="106">
        <f>+HLOOKUP($C301,ACCESS!$O$2:$AA$250,79,0)</f>
        <v>0</v>
      </c>
      <c r="K301" s="106">
        <f>+HLOOKUP($C301,ACCESS!$O$2:$AA$250,80,0)</f>
        <v>0</v>
      </c>
      <c r="L301" s="106">
        <f>+HLOOKUP($C301,ACCESS!$O$2:$AA$250,81,0)</f>
        <v>0</v>
      </c>
      <c r="M301" s="106">
        <f>+HLOOKUP($C301,ACCESS!$O$2:$AA$250,82,0)</f>
        <v>0</v>
      </c>
      <c r="N301" s="106">
        <f>+HLOOKUP($C301,ACCESS!$O$2:$AA$250,83,0)</f>
        <v>0</v>
      </c>
      <c r="O301" s="106">
        <f>+HLOOKUP($C301,ACCESS!$O$2:$AA$250,84,0)</f>
        <v>0</v>
      </c>
      <c r="P301" s="106">
        <f>+HLOOKUP($C301,ACCESS!$O$2:$AA$250,85,0)</f>
        <v>0</v>
      </c>
      <c r="Q301" s="106">
        <f>+HLOOKUP($C301,ACCESS!$O$2:$AA$250,87,0)</f>
        <v>8200</v>
      </c>
      <c r="R301" s="106">
        <f>+HLOOKUP($C301,ACCESS!$O$2:$AA$250,90,0)</f>
        <v>0</v>
      </c>
      <c r="S301" s="106">
        <f>+HLOOKUP($C301,ACCESS!$O$2:$AA$250,91,0)</f>
        <v>0</v>
      </c>
      <c r="T301" s="106">
        <f>+HLOOKUP($C301,ACCESS!$O$2:$AA$250,92,0)</f>
        <v>0</v>
      </c>
      <c r="U301" s="106">
        <f>+HLOOKUP($C301,ACCESS!$O$2:$AA$250,93,0)</f>
        <v>0</v>
      </c>
      <c r="V301" s="106">
        <f>+HLOOKUP($C301,ACCESS!$O$2:$AA$250,94,0)</f>
        <v>0</v>
      </c>
      <c r="W301" s="106">
        <f>+HLOOKUP($C301,ACCESS!$O$2:$AA$250,95,0)</f>
        <v>0</v>
      </c>
      <c r="X301" s="106">
        <f>+HLOOKUP($C301,ACCESS!$O$2:$AA$250,96,0)</f>
        <v>0</v>
      </c>
      <c r="Y301" s="106">
        <f>+HLOOKUP($C301,ACCESS!$O$2:$AA$250,97,0)</f>
        <v>0</v>
      </c>
      <c r="Z301" s="106">
        <f>+HLOOKUP($C301,ACCESS!$O$2:$AA$250,98,0)</f>
        <v>0</v>
      </c>
      <c r="AA301" s="106">
        <f>+HLOOKUP($C301,ACCESS!$O$2:$AA$250,99,0)</f>
        <v>0</v>
      </c>
      <c r="AB301" s="106">
        <f>+HLOOKUP($C301,ACCESS!$O$2:$AA$250,100,0)</f>
        <v>0</v>
      </c>
      <c r="AC301" s="106">
        <f>+HLOOKUP($C301,ACCESS!$O$2:$AA$250,101,0)</f>
        <v>0</v>
      </c>
      <c r="AD301" s="106">
        <f>+HLOOKUP($C301,ACCESS!$O$2:$AA$250,104,0)</f>
        <v>0</v>
      </c>
      <c r="AE301" s="106">
        <f>+HLOOKUP($C301,ACCESS!$O$2:$AA$250,105,0)</f>
        <v>0</v>
      </c>
      <c r="AF301" s="106">
        <f>+HLOOKUP($C301,ACCESS!$O$2:$AA$250,106,0)</f>
        <v>0</v>
      </c>
      <c r="AG301" s="106">
        <f>+HLOOKUP($C301,ACCESS!$O$2:$AA$250,107,0)</f>
        <v>0</v>
      </c>
      <c r="AH301" s="106">
        <f>+HLOOKUP($C301,ACCESS!$O$2:$AA$250,108,0)</f>
        <v>0</v>
      </c>
      <c r="AI301" s="106">
        <f>+HLOOKUP($C301,ACCESS!$O$2:$AA$250,109,0)</f>
        <v>0</v>
      </c>
      <c r="AJ301" s="106">
        <f>+HLOOKUP($C301,ACCESS!$O$2:$AA$250,110,0)</f>
        <v>0</v>
      </c>
      <c r="AK301" s="106">
        <f>+HLOOKUP($C301,ACCESS!$O$2:$AA$250,111,0)</f>
        <v>0</v>
      </c>
      <c r="AL301" s="106">
        <f>+HLOOKUP($C301,ACCESS!$O$2:$AA$250,112,0)</f>
        <v>0</v>
      </c>
      <c r="AM301" s="106">
        <f>+HLOOKUP($C301,ACCESS!$O$2:$AA$250,116,0)</f>
        <v>16800</v>
      </c>
      <c r="AN301" s="106">
        <f>+HLOOKUP($C301,ACCESS!$O$2:$AA$250,117,0)</f>
        <v>1600</v>
      </c>
      <c r="AO301" s="106">
        <f>+HLOOKUP($C301,ACCESS!$O$2:$AA$250,118,0)</f>
        <v>0</v>
      </c>
      <c r="AP301" s="106">
        <f>+HLOOKUP($C301,ACCESS!$O$2:$AA$250,119,0)</f>
        <v>4000</v>
      </c>
      <c r="AQ301" s="106">
        <f>+HLOOKUP($C301,ACCESS!$O$2:$AA$250,120,0)</f>
        <v>0</v>
      </c>
      <c r="AR301" s="106">
        <f>+HLOOKUP($C301,ACCESS!$O$2:$AA$250,121,0)</f>
        <v>500</v>
      </c>
      <c r="AS301" s="106">
        <f>+HLOOKUP($C301,ACCESS!$O$2:$AA$250,122,0)</f>
        <v>12100</v>
      </c>
      <c r="AT301" s="106">
        <f>+HLOOKUP($C301,ACCESS!$O$2:$AA$250,123,0)</f>
        <v>1859</v>
      </c>
      <c r="AU301" s="106">
        <f>+HLOOKUP($C301,ACCESS!$O$2:$AA$250,124,0)</f>
        <v>0</v>
      </c>
      <c r="AV301" s="106">
        <f>+HLOOKUP($C301,ACCESS!$O$2:$AA$250,125,0)</f>
        <v>0</v>
      </c>
      <c r="AW301" s="106">
        <f>+HLOOKUP($C301,ACCESS!$O$2:$AA$250,126,0)</f>
        <v>0</v>
      </c>
      <c r="AX301" s="106">
        <f>+HLOOKUP($C301,ACCESS!$O$2:$AA$250,127,0)</f>
        <v>0</v>
      </c>
      <c r="AY301" s="106">
        <f>+HLOOKUP($C301,ACCESS!$O$2:$AA$250,129,0)</f>
        <v>0</v>
      </c>
      <c r="AZ301" s="106">
        <f>+HLOOKUP($C301,ACCESS!$O$2:$AA$250,130,0)</f>
        <v>0</v>
      </c>
      <c r="BA301" s="106">
        <f>+HLOOKUP($C301,ACCESS!$O$2:$AA$250,131,0)</f>
        <v>0</v>
      </c>
      <c r="BB301" s="106">
        <f>+HLOOKUP($C301,ACCESS!$O$2:$AA$250,133,0)</f>
        <v>0</v>
      </c>
      <c r="BC301" s="106">
        <f>+HLOOKUP($C301,ACCESS!$O$2:$AA$250,134,0)</f>
        <v>0</v>
      </c>
      <c r="BD301" s="106">
        <f>+HLOOKUP($C301,ACCESS!$O$2:$AA$250,135,0)</f>
        <v>0</v>
      </c>
      <c r="BE301" s="106">
        <f>+HLOOKUP($C301,ACCESS!$O$2:$AA$250,136,0)</f>
        <v>0</v>
      </c>
      <c r="BF301" s="106">
        <f>+HLOOKUP($C301,ACCESS!$O$2:$AA$250,138,0)</f>
        <v>0</v>
      </c>
      <c r="BG301" s="106">
        <f>+HLOOKUP($C301,ACCESS!$O$2:$AA$250,139,0)</f>
        <v>0</v>
      </c>
      <c r="BH301" s="106">
        <f>+HLOOKUP($C301,ACCESS!$O$2:$AA$250,140,0)</f>
        <v>0</v>
      </c>
      <c r="BI301" s="106">
        <f>+HLOOKUP($C301,ACCESS!$O$2:$AA$250,141,0)</f>
        <v>0</v>
      </c>
      <c r="BJ301" s="106">
        <f>+HLOOKUP($C301,ACCESS!$O$2:$AA$250,142,0)</f>
        <v>0</v>
      </c>
      <c r="BK301" s="106">
        <f>+HLOOKUP($C301,ACCESS!$O$2:$AA$250,143,0)</f>
        <v>0</v>
      </c>
      <c r="BL301" s="106">
        <f>+HLOOKUP($C301,ACCESS!$O$2:$AA$250,144,0)</f>
        <v>0</v>
      </c>
      <c r="BM301" s="106">
        <f>+HLOOKUP($C301,ACCESS!$O$2:$AA$250,146,0)</f>
        <v>0</v>
      </c>
      <c r="BN301" s="106">
        <f>+HLOOKUP($C301,ACCESS!$O$2:$AA$250,147,0)</f>
        <v>0</v>
      </c>
      <c r="BO301" s="106">
        <f>+HLOOKUP($C301,ACCESS!$O$2:$AA$250,148,0)</f>
        <v>0</v>
      </c>
      <c r="BP301" s="106">
        <f>+HLOOKUP($C301,ACCESS!$O$2:$AA$250,150,0)</f>
        <v>0</v>
      </c>
      <c r="BQ301" s="106">
        <f>+HLOOKUP($C301,ACCESS!$O$2:$AA$250,151,0)</f>
        <v>0</v>
      </c>
      <c r="BR301" s="106">
        <f>+HLOOKUP($C301,ACCESS!$O$2:$AA$250,152,0)</f>
        <v>0</v>
      </c>
      <c r="BS301" s="106">
        <f>+HLOOKUP($C301,ACCESS!$O$2:$AA$250,153,0)</f>
        <v>0</v>
      </c>
      <c r="BT301" s="106">
        <f>+HLOOKUP($C301,ACCESS!$O$2:$AA$250,157,0)</f>
        <v>0</v>
      </c>
      <c r="BU301" s="106">
        <f>+HLOOKUP($C301,ACCESS!$O$2:$AA$250,158,0)</f>
        <v>0</v>
      </c>
      <c r="BV301" s="106">
        <f>+HLOOKUP($C301,ACCESS!$O$2:$AA$250,159,0)</f>
        <v>0</v>
      </c>
      <c r="BW301" s="106">
        <f>+HLOOKUP($C301,ACCESS!$O$2:$AA$250,160,0)</f>
        <v>0</v>
      </c>
      <c r="BX301" s="106">
        <f>+HLOOKUP($C301,ACCESS!$O$2:$AA$250,161,0)</f>
        <v>0</v>
      </c>
      <c r="BY301" s="106">
        <f>+HLOOKUP($C301,ACCESS!$O$2:$AA$250,164,0)</f>
        <v>0</v>
      </c>
      <c r="BZ301" s="106">
        <f>+HLOOKUP($C301,ACCESS!$O$2:$AA$250,165,0)</f>
        <v>0</v>
      </c>
      <c r="CA301" s="106">
        <f>+HLOOKUP($C301,ACCESS!$O$2:$AA$250,166,0)</f>
        <v>0</v>
      </c>
      <c r="CB301" s="106">
        <f>+HLOOKUP($C301,ACCESS!$O$2:$AA$250,167,0)</f>
        <v>0</v>
      </c>
      <c r="CC301" s="106">
        <f>+HLOOKUP($C301,ACCESS!$O$2:$AA$250,168,0)</f>
        <v>0</v>
      </c>
      <c r="CD301" s="106">
        <f>+HLOOKUP($C301,ACCESS!$O$2:$AA$250,169,0)</f>
        <v>0</v>
      </c>
      <c r="CE301" s="106">
        <f>+HLOOKUP($C301,ACCESS!$O$2:$AA$250,170,0)</f>
        <v>0</v>
      </c>
      <c r="CF301" s="106">
        <f>+HLOOKUP($C301,ACCESS!$O$2:$AA$250,172,0)</f>
        <v>0</v>
      </c>
      <c r="CG301" s="106">
        <f>+HLOOKUP($C301,ACCESS!$O$2:$AA$250,173,0)</f>
        <v>0</v>
      </c>
      <c r="CH301" s="106">
        <f>+HLOOKUP($C301,ACCESS!$O$2:$AA$250,174,0)</f>
        <v>0</v>
      </c>
      <c r="CI301" s="106">
        <f>+HLOOKUP($C301,ACCESS!$O$2:$AA$250,175,0)</f>
        <v>0</v>
      </c>
      <c r="CJ301" s="106">
        <f>+HLOOKUP($C301,ACCESS!$O$2:$AA$250,176,0)</f>
        <v>0</v>
      </c>
      <c r="CK301" s="106">
        <f>+HLOOKUP($C301,ACCESS!$O$2:$AA$250,178,0)</f>
        <v>0</v>
      </c>
      <c r="CL301" s="106">
        <f>+HLOOKUP($C301,ACCESS!$O$2:$AA$250,179,0)</f>
        <v>0</v>
      </c>
      <c r="CM301" s="106">
        <f>+HLOOKUP($C301,ACCESS!$O$2:$AA$250,180,0)</f>
        <v>0</v>
      </c>
      <c r="CN301" s="106">
        <f>+HLOOKUP($C301,ACCESS!$O$2:$AA$250,182,0)</f>
        <v>0</v>
      </c>
      <c r="CO301" s="106">
        <f>+HLOOKUP($C301,ACCESS!$O$2:$AA$250,183,0)</f>
        <v>0</v>
      </c>
      <c r="CP301" s="106">
        <f>+HLOOKUP($C301,ACCESS!$O$2:$AA$250,184,0)</f>
        <v>0</v>
      </c>
      <c r="CQ301" s="106">
        <f>+HLOOKUP($C301,ACCESS!$O$2:$AA$250,185,0)</f>
        <v>0</v>
      </c>
      <c r="CR301" s="106">
        <f>+HLOOKUP($C301,ACCESS!$O$2:$AA$250,187,0)</f>
        <v>0</v>
      </c>
      <c r="CS301" s="106">
        <f>+HLOOKUP($C301,ACCESS!$O$2:$AA$250,188,0)</f>
        <v>0</v>
      </c>
      <c r="CT301" s="106">
        <f>+HLOOKUP($C301,ACCESS!$O$2:$AA$250,189,0)</f>
        <v>0</v>
      </c>
      <c r="CU301" s="106">
        <f>+HLOOKUP($C301,ACCESS!$O$2:$AA$250,190,0)</f>
        <v>0</v>
      </c>
      <c r="CV301" s="106">
        <f>+HLOOKUP($C301,ACCESS!$O$2:$AA$250,191,0)</f>
        <v>0</v>
      </c>
      <c r="CW301" s="106">
        <f>+HLOOKUP($C301,ACCESS!$O$2:$AA$250,193,0)</f>
        <v>0</v>
      </c>
      <c r="CX301" s="106">
        <f>+HLOOKUP($C301,ACCESS!$O$2:$AA$250,194,0)</f>
        <v>0</v>
      </c>
      <c r="CY301" s="106">
        <f>+HLOOKUP($C301,ACCESS!$O$2:$AA$250,195,0)</f>
        <v>0</v>
      </c>
      <c r="CZ301" s="106">
        <f>+HLOOKUP($C301,ACCESS!$O$2:$AA$250,196,0)</f>
        <v>0</v>
      </c>
      <c r="DA301" s="106">
        <f>+HLOOKUP($C301,ACCESS!$O$2:$AA$250,197,0)</f>
        <v>0</v>
      </c>
      <c r="DB301" s="106">
        <f>+HLOOKUP($C301,ACCESS!$O$2:$AA$250,198,0)</f>
        <v>0</v>
      </c>
      <c r="DC301" s="106">
        <f>+HLOOKUP($C301,ACCESS!$O$2:$AA$250,199,0)</f>
        <v>0</v>
      </c>
      <c r="DD301" s="106">
        <f>+HLOOKUP($C301,ACCESS!$O$2:$AA$250,200,0)</f>
        <v>0</v>
      </c>
      <c r="DE301" s="106">
        <f>+HLOOKUP($C301,ACCESS!$O$2:$AA$250,201,0)</f>
        <v>0</v>
      </c>
      <c r="DF301" s="106">
        <f>+HLOOKUP($C301,ACCESS!$O$2:$AA$250,202,0)</f>
        <v>0.36000000000000004</v>
      </c>
      <c r="DG301" s="106">
        <f>+HLOOKUP($C301,ACCESS!$O$2:$AA$250,203,0)</f>
        <v>0</v>
      </c>
      <c r="DH301" s="106">
        <f>+HLOOKUP($C301,ACCESS!$O$2:$AA$250,205,0)</f>
        <v>0</v>
      </c>
      <c r="DI301" s="106">
        <f>+HLOOKUP($C301,ACCESS!$O$2:$AA$250,206,0)</f>
        <v>0</v>
      </c>
      <c r="DJ301" s="106">
        <f>+HLOOKUP($C301,ACCESS!$O$2:$AA$250,207,0)</f>
        <v>0</v>
      </c>
      <c r="DK301" s="106">
        <f>+HLOOKUP($C301,ACCESS!$O$2:$AA$250,209,0)</f>
        <v>0</v>
      </c>
      <c r="DL301" s="106">
        <f>+HLOOKUP($C301,ACCESS!$O$2:$AA$250,210,0)</f>
        <v>0</v>
      </c>
      <c r="DM301" s="106">
        <f>+HLOOKUP($C301,ACCESS!$O$2:$AA$250,211,0)</f>
        <v>0</v>
      </c>
      <c r="DN301" s="106">
        <f>+HLOOKUP($C301,ACCESS!$O$2:$AA$250,212,0)</f>
        <v>0</v>
      </c>
      <c r="DO301" s="106">
        <f>+HLOOKUP($C301,ACCESS!$O$2:$AA$250,214,0)</f>
        <v>0</v>
      </c>
      <c r="DP301" s="106">
        <f>+HLOOKUP($C301,ACCESS!$O$2:$AA$250,215,0)</f>
        <v>0</v>
      </c>
      <c r="DQ301" s="106">
        <f>+HLOOKUP($C301,ACCESS!$O$2:$AA$250,219,0)</f>
        <v>0</v>
      </c>
      <c r="DR301" s="106">
        <f>+HLOOKUP($C301,ACCESS!$O$2:$AA$250,220,0)</f>
        <v>0</v>
      </c>
      <c r="DS301" s="106">
        <f>+HLOOKUP($C301,ACCESS!$O$2:$AA$250,221,0)</f>
        <v>0</v>
      </c>
      <c r="DT301" s="106">
        <f>+HLOOKUP($C301,ACCESS!$O$2:$AA$250,223,0)</f>
        <v>0</v>
      </c>
      <c r="DU301" s="106">
        <f>+HLOOKUP($C301,ACCESS!$O$2:$AA$250,224,0)</f>
        <v>0</v>
      </c>
      <c r="DV301" s="106">
        <f>+HLOOKUP($C301,ACCESS!$O$2:$AA$250,225,0)</f>
        <v>0</v>
      </c>
      <c r="DW301" s="106">
        <f>+HLOOKUP($C301,ACCESS!$O$2:$AA$250,227,0)</f>
        <v>0</v>
      </c>
      <c r="DX301" s="106">
        <f>+HLOOKUP($C301,ACCESS!$O$2:$AA$250,228,0)</f>
        <v>0</v>
      </c>
      <c r="DY301" s="106">
        <f>+HLOOKUP($C301,ACCESS!$O$2:$AA$250,236,0)</f>
        <v>0</v>
      </c>
      <c r="DZ301" s="106">
        <f>+HLOOKUP($C301,ACCESS!$O$2:$AA$250,237,0)</f>
        <v>0</v>
      </c>
      <c r="EA301" s="106">
        <f>+HLOOKUP($C301,ACCESS!$O$2:$AA$250,238,0)</f>
        <v>0</v>
      </c>
      <c r="EB301" s="106">
        <f>+HLOOKUP($C301,ACCESS!$O$2:$AA$250,240,0)</f>
        <v>0</v>
      </c>
    </row>
    <row r="302" spans="1:132">
      <c r="A302" t="s">
        <v>269</v>
      </c>
      <c r="B302" t="s">
        <v>273</v>
      </c>
      <c r="C302" s="117">
        <v>45627</v>
      </c>
      <c r="D302" s="106">
        <f t="shared" ref="D302" si="10">+E302</f>
        <v>1579400.63</v>
      </c>
      <c r="E302" s="106">
        <f>+HLOOKUP(C302,ACCESS!$A$2:$M$250,50,0)+HLOOKUP(C302,ACCESS!$A$2:$M$250,51,0)+HLOOKUP(C302,ACCESS!$A$2:$M$250,54,0)</f>
        <v>1579400.63</v>
      </c>
      <c r="F302" s="106">
        <f>+HLOOKUP(C302,ACCESS!$A$2:$M$250,52,0)+HLOOKUP(C302,ACCESS!$A$2:$M$250,56,0)</f>
        <v>1461902.1800000004</v>
      </c>
      <c r="G302" s="106">
        <f>+HLOOKUP($C302,ACCESS!$A$2:$M$250,76,0)</f>
        <v>0</v>
      </c>
      <c r="H302" s="106">
        <f>+HLOOKUP($C302,ACCESS!$A$2:$M$250,77,0)</f>
        <v>0</v>
      </c>
      <c r="I302" s="106">
        <f>+HLOOKUP($C302,ACCESS!$A$2:$M$250,78,0)</f>
        <v>0</v>
      </c>
      <c r="J302" s="106">
        <f>+HLOOKUP($C302,ACCESS!$A$2:$M$250,79,0)</f>
        <v>0</v>
      </c>
      <c r="K302" s="106">
        <f>+HLOOKUP($C302,ACCESS!$A$2:$M$250,80,0)</f>
        <v>0</v>
      </c>
      <c r="L302" s="106">
        <f>+HLOOKUP($C302,ACCESS!$A$2:$M$250,81,0)</f>
        <v>0</v>
      </c>
      <c r="M302" s="106">
        <f>+HLOOKUP($C302,ACCESS!$A$2:$M$250,82,0)</f>
        <v>0</v>
      </c>
      <c r="N302" s="106">
        <f>+HLOOKUP($C302,ACCESS!$A$2:$M$250,83,0)</f>
        <v>0</v>
      </c>
      <c r="O302" s="106">
        <f>+HLOOKUP($C302,ACCESS!$A$2:$M$250,84,0)</f>
        <v>0</v>
      </c>
      <c r="P302" s="106">
        <f>+HLOOKUP($C302,ACCESS!$A$2:$M$250,85,0)</f>
        <v>0</v>
      </c>
      <c r="Q302" s="106">
        <f>+HLOOKUP($C302,ACCESS!$A$2:$M$250,87,0)</f>
        <v>2800</v>
      </c>
      <c r="R302" s="106">
        <f>+HLOOKUP($C302,ACCESS!$A$2:$M$250,90,0)</f>
        <v>0</v>
      </c>
      <c r="S302" s="106">
        <f>+HLOOKUP($C302,ACCESS!$A$2:$M$250,91,0)</f>
        <v>0</v>
      </c>
      <c r="T302" s="106">
        <f>+HLOOKUP($C302,ACCESS!$A$2:$M$250,92,0)</f>
        <v>0</v>
      </c>
      <c r="U302" s="106">
        <f>+HLOOKUP($C302,ACCESS!$A$2:$M$250,93,0)</f>
        <v>0</v>
      </c>
      <c r="V302" s="106">
        <f>+HLOOKUP($C302,ACCESS!$A$2:$M$250,94,0)</f>
        <v>0</v>
      </c>
      <c r="W302" s="106">
        <f>+HLOOKUP($C302,ACCESS!$A$2:$M$250,95,0)</f>
        <v>0</v>
      </c>
      <c r="X302" s="106">
        <f>+HLOOKUP($C302,ACCESS!$A$2:$M$250,96,0)</f>
        <v>0</v>
      </c>
      <c r="Y302" s="106">
        <f>+HLOOKUP($C302,ACCESS!$A$2:$M$250,97,0)</f>
        <v>0</v>
      </c>
      <c r="Z302" s="106">
        <f>+HLOOKUP($C302,ACCESS!$A$2:$M$250,98,0)</f>
        <v>0</v>
      </c>
      <c r="AA302" s="106">
        <f>+HLOOKUP($C302,ACCESS!$A$2:$M$250,99,0)</f>
        <v>0</v>
      </c>
      <c r="AB302" s="106">
        <f>+HLOOKUP($C302,ACCESS!$A$2:$M$250,100,0)</f>
        <v>0</v>
      </c>
      <c r="AC302" s="106">
        <f>+HLOOKUP($C302,ACCESS!$A$2:$M$250,101,0)</f>
        <v>0</v>
      </c>
      <c r="AD302" s="106">
        <f>+HLOOKUP($C302,ACCESS!$A$2:$M$250,104,0)</f>
        <v>0</v>
      </c>
      <c r="AE302" s="106">
        <f>+HLOOKUP($C302,ACCESS!$A$2:$M$250,105,0)</f>
        <v>0</v>
      </c>
      <c r="AF302" s="106">
        <f>+HLOOKUP($C302,ACCESS!$A$2:$M$250,106,0)</f>
        <v>0</v>
      </c>
      <c r="AG302" s="106">
        <f>+HLOOKUP($C302,ACCESS!$A$2:$M$250,107,0)</f>
        <v>0</v>
      </c>
      <c r="AH302" s="106">
        <f>+HLOOKUP($C302,ACCESS!$A$2:$M$250,108,0)</f>
        <v>0</v>
      </c>
      <c r="AI302" s="106">
        <f>+HLOOKUP($C302,ACCESS!$A$2:$M$250,109,0)</f>
        <v>0</v>
      </c>
      <c r="AJ302" s="106">
        <f>+HLOOKUP($C302,ACCESS!$A$2:$M$250,110,0)</f>
        <v>0</v>
      </c>
      <c r="AK302" s="106">
        <f>+HLOOKUP($C302,ACCESS!$A$2:$M$250,111,0)</f>
        <v>0</v>
      </c>
      <c r="AL302" s="106">
        <f>+HLOOKUP($C302,ACCESS!$A$2:$M$250,112,0)</f>
        <v>0</v>
      </c>
      <c r="AM302" s="106">
        <f>+HLOOKUP($C302,ACCESS!$A$2:$M$250,116,0)</f>
        <v>14300</v>
      </c>
      <c r="AN302" s="106">
        <f>+HLOOKUP($C302,ACCESS!$A$2:$M$250,117,0)</f>
        <v>1600</v>
      </c>
      <c r="AO302" s="106">
        <f>+HLOOKUP($C302,ACCESS!$A$2:$M$250,118,0)</f>
        <v>0</v>
      </c>
      <c r="AP302" s="106">
        <f>+HLOOKUP($C302,ACCESS!$A$2:$M$250,119,0)</f>
        <v>4000</v>
      </c>
      <c r="AQ302" s="106">
        <f>+HLOOKUP($C302,ACCESS!$A$2:$M$250,120,0)</f>
        <v>0</v>
      </c>
      <c r="AR302" s="106">
        <f>+HLOOKUP($C302,ACCESS!$A$2:$M$250,121,0)</f>
        <v>500</v>
      </c>
      <c r="AS302" s="106">
        <f>+HLOOKUP($C302,ACCESS!$A$2:$M$250,122,0)</f>
        <v>12100</v>
      </c>
      <c r="AT302" s="106">
        <f>+HLOOKUP($C302,ACCESS!$A$2:$M$250,123,0)</f>
        <v>0</v>
      </c>
      <c r="AU302" s="106">
        <f>+HLOOKUP($C302,ACCESS!$A$2:$M$250,124,0)</f>
        <v>0</v>
      </c>
      <c r="AV302" s="106">
        <f>+HLOOKUP($C302,ACCESS!$A$2:$M$250,125,0)</f>
        <v>0</v>
      </c>
      <c r="AW302" s="106">
        <f>+HLOOKUP($C302,ACCESS!$A$2:$M$250,126,0)</f>
        <v>607.01923076923083</v>
      </c>
      <c r="AX302" s="106">
        <f>+HLOOKUP($C302,ACCESS!$A$2:$M$250,127,0)</f>
        <v>1052.1666666666667</v>
      </c>
      <c r="AY302" s="106">
        <f>+HLOOKUP($C302,ACCESS!$A$2:$M$250,129,0)</f>
        <v>0</v>
      </c>
      <c r="AZ302" s="106">
        <f>+HLOOKUP($C302,ACCESS!$A$2:$M$250,130,0)</f>
        <v>0</v>
      </c>
      <c r="BA302" s="106">
        <f>+HLOOKUP($C302,ACCESS!$A$2:$M$250,131,0)</f>
        <v>0</v>
      </c>
      <c r="BB302" s="106">
        <f>+HLOOKUP($C302,ACCESS!$A$2:$M$250,133,0)</f>
        <v>0</v>
      </c>
      <c r="BC302" s="106">
        <f>+HLOOKUP($C302,ACCESS!$A$2:$M$250,134,0)</f>
        <v>0</v>
      </c>
      <c r="BD302" s="106">
        <f>+HLOOKUP($C302,ACCESS!$A$2:$M$250,135,0)</f>
        <v>0</v>
      </c>
      <c r="BE302" s="106">
        <f>+HLOOKUP($C302,ACCESS!$A$2:$M$250,136,0)</f>
        <v>0</v>
      </c>
      <c r="BF302" s="106">
        <f>+HLOOKUP($C302,ACCESS!$A$2:$M$250,138,0)</f>
        <v>0</v>
      </c>
      <c r="BG302" s="106">
        <f>+HLOOKUP($C302,ACCESS!$A$2:$M$250,139,0)</f>
        <v>0</v>
      </c>
      <c r="BH302" s="106">
        <f>+HLOOKUP($C302,ACCESS!$A$2:$M$250,140,0)</f>
        <v>0</v>
      </c>
      <c r="BI302" s="106">
        <f>+HLOOKUP($C302,ACCESS!$A$2:$M$250,141,0)</f>
        <v>0</v>
      </c>
      <c r="BJ302" s="106">
        <f>+HLOOKUP($C302,ACCESS!$A$2:$M$250,142,0)</f>
        <v>0</v>
      </c>
      <c r="BK302" s="106">
        <f>+HLOOKUP($C302,ACCESS!$A$2:$M$250,143,0)</f>
        <v>0</v>
      </c>
      <c r="BL302" s="106">
        <f>+HLOOKUP($C302,ACCESS!$A$2:$M$250,144,0)</f>
        <v>0</v>
      </c>
      <c r="BM302" s="106">
        <f>+HLOOKUP($C302,ACCESS!$A$2:$M$250,146,0)</f>
        <v>0</v>
      </c>
      <c r="BN302" s="106">
        <f>+HLOOKUP($C302,ACCESS!$A$2:$M$250,147,0)</f>
        <v>0</v>
      </c>
      <c r="BO302" s="106">
        <f>+HLOOKUP($C302,ACCESS!$A$2:$M$250,148,0)</f>
        <v>0</v>
      </c>
      <c r="BP302" s="106">
        <f>+HLOOKUP($C302,ACCESS!$A$2:$M$250,150,0)</f>
        <v>0</v>
      </c>
      <c r="BQ302" s="106">
        <f>+HLOOKUP($C302,ACCESS!$A$2:$M$250,151,0)</f>
        <v>0</v>
      </c>
      <c r="BR302" s="106">
        <f>+HLOOKUP($C302,ACCESS!$A$2:$M$250,152,0)</f>
        <v>0</v>
      </c>
      <c r="BS302" s="106">
        <f>+HLOOKUP($C302,ACCESS!$A$2:$M$250,153,0)</f>
        <v>0</v>
      </c>
      <c r="BT302" s="106">
        <f>+HLOOKUP($C302,ACCESS!$A$2:$M$250,157,0)</f>
        <v>0</v>
      </c>
      <c r="BU302" s="106">
        <f>+HLOOKUP($C302,ACCESS!$A$2:$M$250,158,0)</f>
        <v>0</v>
      </c>
      <c r="BV302" s="106">
        <f>+HLOOKUP($C302,ACCESS!$A$2:$M$250,159,0)</f>
        <v>0</v>
      </c>
      <c r="BW302" s="106">
        <f>+HLOOKUP($C302,ACCESS!$A$2:$M$250,160,0)</f>
        <v>0</v>
      </c>
      <c r="BX302" s="106">
        <f>+HLOOKUP($C302,ACCESS!$A$2:$M$250,161,0)</f>
        <v>0</v>
      </c>
      <c r="BY302" s="106">
        <f>+HLOOKUP($C302,ACCESS!$A$2:$M$250,164,0)</f>
        <v>0</v>
      </c>
      <c r="BZ302" s="106">
        <f>+HLOOKUP($C302,ACCESS!$A$2:$M$250,165,0)</f>
        <v>0</v>
      </c>
      <c r="CA302" s="106">
        <f>+HLOOKUP($C302,ACCESS!$A$2:$M$250,166,0)</f>
        <v>0</v>
      </c>
      <c r="CB302" s="106">
        <f>+HLOOKUP($C302,ACCESS!$A$2:$M$250,167,0)</f>
        <v>0</v>
      </c>
      <c r="CC302" s="106">
        <f>+HLOOKUP($C302,ACCESS!$A$2:$M$250,168,0)</f>
        <v>0</v>
      </c>
      <c r="CD302" s="106">
        <f>+HLOOKUP($C302,ACCESS!$A$2:$M$250,169,0)</f>
        <v>0</v>
      </c>
      <c r="CE302" s="106">
        <f>+HLOOKUP($C302,ACCESS!$A$2:$M$250,170,0)</f>
        <v>0</v>
      </c>
      <c r="CF302" s="106">
        <f>+HLOOKUP($C302,ACCESS!$A$2:$M$250,172,0)</f>
        <v>0</v>
      </c>
      <c r="CG302" s="106">
        <f>+HLOOKUP($C302,ACCESS!$A$2:$M$250,173,0)</f>
        <v>0</v>
      </c>
      <c r="CH302" s="106">
        <f>+HLOOKUP($C302,ACCESS!$A$2:$M$250,174,0)</f>
        <v>0</v>
      </c>
      <c r="CI302" s="106">
        <f>+HLOOKUP($C302,ACCESS!$A$2:$M$250,175,0)</f>
        <v>0</v>
      </c>
      <c r="CJ302" s="106">
        <f>+HLOOKUP($C302,ACCESS!$A$2:$M$250,176,0)</f>
        <v>0</v>
      </c>
      <c r="CK302" s="106">
        <f>+HLOOKUP($C302,ACCESS!$A$2:$M$250,178,0)</f>
        <v>0</v>
      </c>
      <c r="CL302" s="106">
        <f>+HLOOKUP($C302,ACCESS!$A$2:$M$250,179,0)</f>
        <v>0</v>
      </c>
      <c r="CM302" s="106">
        <f>+HLOOKUP($C302,ACCESS!$A$2:$M$250,180,0)</f>
        <v>0</v>
      </c>
      <c r="CN302" s="106">
        <f>+HLOOKUP($C302,ACCESS!$A$2:$M$250,182,0)</f>
        <v>0</v>
      </c>
      <c r="CO302" s="106">
        <f>+HLOOKUP($C302,ACCESS!$A$2:$M$250,183,0)</f>
        <v>0</v>
      </c>
      <c r="CP302" s="106">
        <f>+HLOOKUP($C302,ACCESS!$A$2:$M$250,184,0)</f>
        <v>0</v>
      </c>
      <c r="CQ302" s="106">
        <f>+HLOOKUP($C302,ACCESS!$A$2:$M$250,185,0)</f>
        <v>0</v>
      </c>
      <c r="CR302" s="106">
        <f>+HLOOKUP($C302,ACCESS!$A$2:$M$250,187,0)</f>
        <v>0</v>
      </c>
      <c r="CS302" s="106">
        <f>+HLOOKUP($C302,ACCESS!$A$2:$M$250,188,0)</f>
        <v>0</v>
      </c>
      <c r="CT302" s="106">
        <f>+HLOOKUP($C302,ACCESS!$A$2:$M$250,189,0)</f>
        <v>0</v>
      </c>
      <c r="CU302" s="106">
        <f>+HLOOKUP($C302,ACCESS!$A$2:$M$250,190,0)</f>
        <v>0</v>
      </c>
      <c r="CV302" s="106">
        <f>+HLOOKUP($C302,ACCESS!$A$2:$M$250,191,0)</f>
        <v>0</v>
      </c>
      <c r="CW302" s="106">
        <f>+HLOOKUP($C302,ACCESS!$A$2:$M$250,193,0)</f>
        <v>0</v>
      </c>
      <c r="CX302" s="106">
        <f>+HLOOKUP($C302,ACCESS!$A$2:$M$250,194,0)</f>
        <v>0</v>
      </c>
      <c r="CY302" s="106">
        <f>+HLOOKUP($C302,ACCESS!$A$2:$M$250,195,0)</f>
        <v>0</v>
      </c>
      <c r="CZ302" s="106">
        <f>+HLOOKUP($C302,ACCESS!$A$2:$M$250,196,0)</f>
        <v>0</v>
      </c>
      <c r="DA302" s="106">
        <f>+HLOOKUP($C302,ACCESS!$A$2:$M$250,197,0)</f>
        <v>0</v>
      </c>
      <c r="DB302" s="106">
        <f>+HLOOKUP($C302,ACCESS!$A$2:$M$250,198,0)</f>
        <v>0</v>
      </c>
      <c r="DC302" s="106">
        <f>+HLOOKUP($C302,ACCESS!$A$2:$M$250,199,0)</f>
        <v>0</v>
      </c>
      <c r="DD302" s="106">
        <f>+HLOOKUP($C302,ACCESS!$A$2:$M$250,200,0)</f>
        <v>0</v>
      </c>
      <c r="DE302" s="106">
        <f>+HLOOKUP($C302,ACCESS!$A$2:$M$250,201,0)</f>
        <v>0</v>
      </c>
      <c r="DF302" s="106">
        <f>+HLOOKUP($C302,ACCESS!$A$2:$M$250,202,0)</f>
        <v>0</v>
      </c>
      <c r="DG302" s="106">
        <f>+HLOOKUP($C302,ACCESS!$A$2:$M$250,203,0)</f>
        <v>0</v>
      </c>
      <c r="DH302" s="106">
        <f>+HLOOKUP($C302,ACCESS!$A$2:$M$250,205,0)</f>
        <v>0</v>
      </c>
      <c r="DI302" s="106">
        <f>+HLOOKUP($C302,ACCESS!$A$2:$M$250,206,0)</f>
        <v>0</v>
      </c>
      <c r="DJ302" s="106">
        <f>+HLOOKUP($C302,ACCESS!$A$2:$M$250,207,0)</f>
        <v>0</v>
      </c>
      <c r="DK302" s="106">
        <f>+HLOOKUP($C302,ACCESS!$A$2:$M$250,209,0)</f>
        <v>0</v>
      </c>
      <c r="DL302" s="106">
        <f>+HLOOKUP($C302,ACCESS!$A$2:$M$250,210,0)</f>
        <v>0</v>
      </c>
      <c r="DM302" s="106">
        <f>+HLOOKUP($C302,ACCESS!$A$2:$M$250,211,0)</f>
        <v>0</v>
      </c>
      <c r="DN302" s="106">
        <f>+HLOOKUP($C302,ACCESS!$A$2:$M$250,212,0)</f>
        <v>0</v>
      </c>
      <c r="DO302" s="106">
        <f>+HLOOKUP($C302,ACCESS!$A$2:$M$250,214,0)</f>
        <v>0</v>
      </c>
      <c r="DP302" s="106">
        <f>+HLOOKUP($C302,ACCESS!$A$2:$M$250,215,0)</f>
        <v>0</v>
      </c>
      <c r="DQ302" s="106">
        <f>+HLOOKUP($C302,ACCESS!$A$2:$M$250,219,0)</f>
        <v>0</v>
      </c>
      <c r="DR302" s="106">
        <f>+HLOOKUP($C302,ACCESS!$A$2:$M$250,220,0)</f>
        <v>0</v>
      </c>
      <c r="DS302" s="106">
        <f>+HLOOKUP($C302,ACCESS!$A$2:$M$250,221,0)</f>
        <v>0</v>
      </c>
      <c r="DT302" s="106">
        <f>+HLOOKUP($C302,ACCESS!$A$2:$M$250,223,0)</f>
        <v>0</v>
      </c>
      <c r="DU302" s="106">
        <f>+HLOOKUP($C302,ACCESS!$A$2:$M$250,224,0)</f>
        <v>0</v>
      </c>
      <c r="DV302" s="106">
        <f>+HLOOKUP($C302,ACCESS!$A$2:$M$250,225,0)</f>
        <v>0</v>
      </c>
      <c r="DW302" s="106">
        <f>+HLOOKUP($C302,ACCESS!$A$2:$M$250,227,0)</f>
        <v>0</v>
      </c>
      <c r="DX302" s="106">
        <f>+HLOOKUP($C302,ACCESS!$A$2:$M$250,228,0)</f>
        <v>0</v>
      </c>
      <c r="DY302" s="106">
        <f>+HLOOKUP($C302,ACCESS!$A$2:$M$250,236,0)</f>
        <v>0</v>
      </c>
      <c r="DZ302" s="106">
        <f>+HLOOKUP($C302,ACCESS!$A$2:$M$250,237,0)</f>
        <v>0</v>
      </c>
      <c r="EA302" s="106">
        <f>+HLOOKUP($C302,ACCESS!$A$2:$M$250,238,0)</f>
        <v>0</v>
      </c>
      <c r="EB302" s="106">
        <f>+HLOOKUP($C302,ACCESS!$A$2:$M$250,240,0)</f>
        <v>0</v>
      </c>
    </row>
    <row r="303" spans="1:132">
      <c r="A303" t="s">
        <v>269</v>
      </c>
      <c r="B303" t="s">
        <v>273</v>
      </c>
      <c r="C303" s="117">
        <v>45597</v>
      </c>
      <c r="D303" s="106">
        <f t="shared" ref="D303:D313" si="11">+E303</f>
        <v>1148596.58</v>
      </c>
      <c r="E303" s="106">
        <f>+HLOOKUP(C303,ACCESS!$A$2:$M$250,50,0)+HLOOKUP(C303,ACCESS!$A$2:$M$250,51,0)+HLOOKUP(C303,ACCESS!$A$2:$M$250,54,0)</f>
        <v>1148596.58</v>
      </c>
      <c r="F303" s="106">
        <f>+HLOOKUP(C303,ACCESS!$A$2:$M$250,52,0)+HLOOKUP(C303,ACCESS!$A$2:$M$250,56,0)</f>
        <v>958976.72000000009</v>
      </c>
      <c r="G303" s="106">
        <f>+HLOOKUP($C303,ACCESS!$A$2:$M$250,76,0)</f>
        <v>0</v>
      </c>
      <c r="H303" s="106">
        <f>+HLOOKUP($C303,ACCESS!$A$2:$M$250,77,0)</f>
        <v>0</v>
      </c>
      <c r="I303" s="106">
        <f>+HLOOKUP($C303,ACCESS!$A$2:$M$250,78,0)</f>
        <v>0</v>
      </c>
      <c r="J303" s="106">
        <f>+HLOOKUP($C303,ACCESS!$A$2:$M$250,79,0)</f>
        <v>0</v>
      </c>
      <c r="K303" s="106">
        <f>+HLOOKUP($C303,ACCESS!$A$2:$M$250,80,0)</f>
        <v>0</v>
      </c>
      <c r="L303" s="106">
        <f>+HLOOKUP($C303,ACCESS!$A$2:$M$250,81,0)</f>
        <v>0</v>
      </c>
      <c r="M303" s="106">
        <f>+HLOOKUP($C303,ACCESS!$A$2:$M$250,82,0)</f>
        <v>0</v>
      </c>
      <c r="N303" s="106">
        <f>+HLOOKUP($C303,ACCESS!$A$2:$M$250,83,0)</f>
        <v>0</v>
      </c>
      <c r="O303" s="106">
        <f>+HLOOKUP($C303,ACCESS!$A$2:$M$250,84,0)</f>
        <v>0</v>
      </c>
      <c r="P303" s="106">
        <f>+HLOOKUP($C303,ACCESS!$A$2:$M$250,85,0)</f>
        <v>0</v>
      </c>
      <c r="Q303" s="106">
        <f>+HLOOKUP($C303,ACCESS!$A$2:$M$250,87,0)</f>
        <v>0</v>
      </c>
      <c r="R303" s="106">
        <f>+HLOOKUP($C303,ACCESS!$A$2:$M$250,90,0)</f>
        <v>0</v>
      </c>
      <c r="S303" s="106">
        <f>+HLOOKUP($C303,ACCESS!$A$2:$M$250,91,0)</f>
        <v>0</v>
      </c>
      <c r="T303" s="106">
        <f>+HLOOKUP($C303,ACCESS!$A$2:$M$250,92,0)</f>
        <v>0</v>
      </c>
      <c r="U303" s="106">
        <f>+HLOOKUP($C303,ACCESS!$A$2:$M$250,93,0)</f>
        <v>0</v>
      </c>
      <c r="V303" s="106">
        <f>+HLOOKUP($C303,ACCESS!$A$2:$M$250,94,0)</f>
        <v>0</v>
      </c>
      <c r="W303" s="106">
        <f>+HLOOKUP($C303,ACCESS!$A$2:$M$250,95,0)</f>
        <v>0</v>
      </c>
      <c r="X303" s="106">
        <f>+HLOOKUP($C303,ACCESS!$A$2:$M$250,96,0)</f>
        <v>0</v>
      </c>
      <c r="Y303" s="106">
        <f>+HLOOKUP($C303,ACCESS!$A$2:$M$250,97,0)</f>
        <v>0</v>
      </c>
      <c r="Z303" s="106">
        <f>+HLOOKUP($C303,ACCESS!$A$2:$M$250,98,0)</f>
        <v>0</v>
      </c>
      <c r="AA303" s="106">
        <f>+HLOOKUP($C303,ACCESS!$A$2:$M$250,99,0)</f>
        <v>0</v>
      </c>
      <c r="AB303" s="106">
        <f>+HLOOKUP($C303,ACCESS!$A$2:$M$250,100,0)</f>
        <v>0</v>
      </c>
      <c r="AC303" s="106">
        <f>+HLOOKUP($C303,ACCESS!$A$2:$M$250,101,0)</f>
        <v>0</v>
      </c>
      <c r="AD303" s="106">
        <f>+HLOOKUP($C303,ACCESS!$A$2:$M$250,104,0)</f>
        <v>0</v>
      </c>
      <c r="AE303" s="106">
        <f>+HLOOKUP($C303,ACCESS!$A$2:$M$250,105,0)</f>
        <v>0</v>
      </c>
      <c r="AF303" s="106">
        <f>+HLOOKUP($C303,ACCESS!$A$2:$M$250,106,0)</f>
        <v>0</v>
      </c>
      <c r="AG303" s="106">
        <f>+HLOOKUP($C303,ACCESS!$A$2:$M$250,107,0)</f>
        <v>0</v>
      </c>
      <c r="AH303" s="106">
        <f>+HLOOKUP($C303,ACCESS!$A$2:$M$250,108,0)</f>
        <v>0</v>
      </c>
      <c r="AI303" s="106">
        <f>+HLOOKUP($C303,ACCESS!$A$2:$M$250,109,0)</f>
        <v>0</v>
      </c>
      <c r="AJ303" s="106">
        <f>+HLOOKUP($C303,ACCESS!$A$2:$M$250,110,0)</f>
        <v>0</v>
      </c>
      <c r="AK303" s="106">
        <f>+HLOOKUP($C303,ACCESS!$A$2:$M$250,111,0)</f>
        <v>0</v>
      </c>
      <c r="AL303" s="106">
        <f>+HLOOKUP($C303,ACCESS!$A$2:$M$250,112,0)</f>
        <v>0</v>
      </c>
      <c r="AM303" s="106">
        <f>+HLOOKUP($C303,ACCESS!$A$2:$M$250,116,0)</f>
        <v>14300</v>
      </c>
      <c r="AN303" s="106">
        <f>+HLOOKUP($C303,ACCESS!$A$2:$M$250,117,0)</f>
        <v>1600</v>
      </c>
      <c r="AO303" s="106">
        <f>+HLOOKUP($C303,ACCESS!$A$2:$M$250,118,0)</f>
        <v>0</v>
      </c>
      <c r="AP303" s="106">
        <f>+HLOOKUP($C303,ACCESS!$A$2:$M$250,119,0)</f>
        <v>4000</v>
      </c>
      <c r="AQ303" s="106">
        <f>+HLOOKUP($C303,ACCESS!$A$2:$M$250,120,0)</f>
        <v>0</v>
      </c>
      <c r="AR303" s="106">
        <f>+HLOOKUP($C303,ACCESS!$A$2:$M$250,121,0)</f>
        <v>500</v>
      </c>
      <c r="AS303" s="106">
        <f>+HLOOKUP($C303,ACCESS!$A$2:$M$250,122,0)</f>
        <v>12100</v>
      </c>
      <c r="AT303" s="106">
        <f>+HLOOKUP($C303,ACCESS!$A$2:$M$250,123,0)</f>
        <v>1641</v>
      </c>
      <c r="AU303" s="106">
        <f>+HLOOKUP($C303,ACCESS!$A$2:$M$250,124,0)</f>
        <v>0</v>
      </c>
      <c r="AV303" s="106">
        <f>+HLOOKUP($C303,ACCESS!$A$2:$M$250,125,0)</f>
        <v>0</v>
      </c>
      <c r="AW303" s="106">
        <f>+HLOOKUP($C303,ACCESS!$A$2:$M$250,126,0)</f>
        <v>607.01923076923083</v>
      </c>
      <c r="AX303" s="106">
        <f>+HLOOKUP($C303,ACCESS!$A$2:$M$250,127,0)</f>
        <v>1052.1666666666667</v>
      </c>
      <c r="AY303" s="106">
        <f>+HLOOKUP($C303,ACCESS!$A$2:$M$250,129,0)</f>
        <v>0</v>
      </c>
      <c r="AZ303" s="106">
        <f>+HLOOKUP($C303,ACCESS!$A$2:$M$250,130,0)</f>
        <v>0</v>
      </c>
      <c r="BA303" s="106">
        <f>+HLOOKUP($C303,ACCESS!$A$2:$M$250,131,0)</f>
        <v>0</v>
      </c>
      <c r="BB303" s="106">
        <f>+HLOOKUP($C303,ACCESS!$A$2:$M$250,133,0)</f>
        <v>0</v>
      </c>
      <c r="BC303" s="106">
        <f>+HLOOKUP($C303,ACCESS!$A$2:$M$250,134,0)</f>
        <v>0</v>
      </c>
      <c r="BD303" s="106">
        <f>+HLOOKUP($C303,ACCESS!$A$2:$M$250,135,0)</f>
        <v>0</v>
      </c>
      <c r="BE303" s="106">
        <f>+HLOOKUP($C303,ACCESS!$A$2:$M$250,136,0)</f>
        <v>0</v>
      </c>
      <c r="BF303" s="106">
        <f>+HLOOKUP($C303,ACCESS!$A$2:$M$250,138,0)</f>
        <v>0</v>
      </c>
      <c r="BG303" s="106">
        <f>+HLOOKUP($C303,ACCESS!$A$2:$M$250,139,0)</f>
        <v>0</v>
      </c>
      <c r="BH303" s="106">
        <f>+HLOOKUP($C303,ACCESS!$A$2:$M$250,140,0)</f>
        <v>0</v>
      </c>
      <c r="BI303" s="106">
        <f>+HLOOKUP($C303,ACCESS!$A$2:$M$250,141,0)</f>
        <v>0</v>
      </c>
      <c r="BJ303" s="106">
        <f>+HLOOKUP($C303,ACCESS!$A$2:$M$250,142,0)</f>
        <v>0</v>
      </c>
      <c r="BK303" s="106">
        <f>+HLOOKUP($C303,ACCESS!$A$2:$M$250,143,0)</f>
        <v>0</v>
      </c>
      <c r="BL303" s="106">
        <f>+HLOOKUP($C303,ACCESS!$A$2:$M$250,144,0)</f>
        <v>0</v>
      </c>
      <c r="BM303" s="106">
        <f>+HLOOKUP($C303,ACCESS!$A$2:$M$250,146,0)</f>
        <v>0</v>
      </c>
      <c r="BN303" s="106">
        <f>+HLOOKUP($C303,ACCESS!$A$2:$M$250,147,0)</f>
        <v>0</v>
      </c>
      <c r="BO303" s="106">
        <f>+HLOOKUP($C303,ACCESS!$A$2:$M$250,148,0)</f>
        <v>0</v>
      </c>
      <c r="BP303" s="106">
        <f>+HLOOKUP($C303,ACCESS!$A$2:$M$250,150,0)</f>
        <v>0</v>
      </c>
      <c r="BQ303" s="106">
        <f>+HLOOKUP($C303,ACCESS!$A$2:$M$250,151,0)</f>
        <v>0</v>
      </c>
      <c r="BR303" s="106">
        <f>+HLOOKUP($C303,ACCESS!$A$2:$M$250,152,0)</f>
        <v>0</v>
      </c>
      <c r="BS303" s="106">
        <f>+HLOOKUP($C303,ACCESS!$A$2:$M$250,153,0)</f>
        <v>0</v>
      </c>
      <c r="BT303" s="106">
        <f>+HLOOKUP($C303,ACCESS!$A$2:$M$250,157,0)</f>
        <v>0</v>
      </c>
      <c r="BU303" s="106">
        <f>+HLOOKUP($C303,ACCESS!$A$2:$M$250,158,0)</f>
        <v>0</v>
      </c>
      <c r="BV303" s="106">
        <f>+HLOOKUP($C303,ACCESS!$A$2:$M$250,159,0)</f>
        <v>0</v>
      </c>
      <c r="BW303" s="106">
        <f>+HLOOKUP($C303,ACCESS!$A$2:$M$250,160,0)</f>
        <v>0</v>
      </c>
      <c r="BX303" s="106">
        <f>+HLOOKUP($C303,ACCESS!$A$2:$M$250,161,0)</f>
        <v>0</v>
      </c>
      <c r="BY303" s="106">
        <f>+HLOOKUP($C303,ACCESS!$A$2:$M$250,164,0)</f>
        <v>0</v>
      </c>
      <c r="BZ303" s="106">
        <f>+HLOOKUP($C303,ACCESS!$A$2:$M$250,165,0)</f>
        <v>0</v>
      </c>
      <c r="CA303" s="106">
        <f>+HLOOKUP($C303,ACCESS!$A$2:$M$250,166,0)</f>
        <v>0</v>
      </c>
      <c r="CB303" s="106">
        <f>+HLOOKUP($C303,ACCESS!$A$2:$M$250,167,0)</f>
        <v>0</v>
      </c>
      <c r="CC303" s="106">
        <f>+HLOOKUP($C303,ACCESS!$A$2:$M$250,168,0)</f>
        <v>0</v>
      </c>
      <c r="CD303" s="106">
        <f>+HLOOKUP($C303,ACCESS!$A$2:$M$250,169,0)</f>
        <v>0</v>
      </c>
      <c r="CE303" s="106">
        <f>+HLOOKUP($C303,ACCESS!$A$2:$M$250,170,0)</f>
        <v>0</v>
      </c>
      <c r="CF303" s="106">
        <f>+HLOOKUP($C303,ACCESS!$A$2:$M$250,172,0)</f>
        <v>0</v>
      </c>
      <c r="CG303" s="106">
        <f>+HLOOKUP($C303,ACCESS!$A$2:$M$250,173,0)</f>
        <v>0</v>
      </c>
      <c r="CH303" s="106">
        <f>+HLOOKUP($C303,ACCESS!$A$2:$M$250,174,0)</f>
        <v>0</v>
      </c>
      <c r="CI303" s="106">
        <f>+HLOOKUP($C303,ACCESS!$A$2:$M$250,175,0)</f>
        <v>0</v>
      </c>
      <c r="CJ303" s="106">
        <f>+HLOOKUP($C303,ACCESS!$A$2:$M$250,176,0)</f>
        <v>0</v>
      </c>
      <c r="CK303" s="106">
        <f>+HLOOKUP($C303,ACCESS!$A$2:$M$250,178,0)</f>
        <v>0</v>
      </c>
      <c r="CL303" s="106">
        <f>+HLOOKUP($C303,ACCESS!$A$2:$M$250,179,0)</f>
        <v>0</v>
      </c>
      <c r="CM303" s="106">
        <f>+HLOOKUP($C303,ACCESS!$A$2:$M$250,180,0)</f>
        <v>0</v>
      </c>
      <c r="CN303" s="106">
        <f>+HLOOKUP($C303,ACCESS!$A$2:$M$250,182,0)</f>
        <v>0</v>
      </c>
      <c r="CO303" s="106">
        <f>+HLOOKUP($C303,ACCESS!$A$2:$M$250,183,0)</f>
        <v>0</v>
      </c>
      <c r="CP303" s="106">
        <f>+HLOOKUP($C303,ACCESS!$A$2:$M$250,184,0)</f>
        <v>0</v>
      </c>
      <c r="CQ303" s="106">
        <f>+HLOOKUP($C303,ACCESS!$A$2:$M$250,185,0)</f>
        <v>0</v>
      </c>
      <c r="CR303" s="106">
        <f>+HLOOKUP($C303,ACCESS!$A$2:$M$250,187,0)</f>
        <v>0</v>
      </c>
      <c r="CS303" s="106">
        <f>+HLOOKUP($C303,ACCESS!$A$2:$M$250,188,0)</f>
        <v>0</v>
      </c>
      <c r="CT303" s="106">
        <f>+HLOOKUP($C303,ACCESS!$A$2:$M$250,189,0)</f>
        <v>0</v>
      </c>
      <c r="CU303" s="106">
        <f>+HLOOKUP($C303,ACCESS!$A$2:$M$250,190,0)</f>
        <v>0</v>
      </c>
      <c r="CV303" s="106">
        <f>+HLOOKUP($C303,ACCESS!$A$2:$M$250,191,0)</f>
        <v>0</v>
      </c>
      <c r="CW303" s="106">
        <f>+HLOOKUP($C303,ACCESS!$A$2:$M$250,193,0)</f>
        <v>0</v>
      </c>
      <c r="CX303" s="106">
        <f>+HLOOKUP($C303,ACCESS!$A$2:$M$250,194,0)</f>
        <v>0</v>
      </c>
      <c r="CY303" s="106">
        <f>+HLOOKUP($C303,ACCESS!$A$2:$M$250,195,0)</f>
        <v>0</v>
      </c>
      <c r="CZ303" s="106">
        <f>+HLOOKUP($C303,ACCESS!$A$2:$M$250,196,0)</f>
        <v>0</v>
      </c>
      <c r="DA303" s="106">
        <f>+HLOOKUP($C303,ACCESS!$A$2:$M$250,197,0)</f>
        <v>0</v>
      </c>
      <c r="DB303" s="106">
        <f>+HLOOKUP($C303,ACCESS!$A$2:$M$250,198,0)</f>
        <v>0</v>
      </c>
      <c r="DC303" s="106">
        <f>+HLOOKUP($C303,ACCESS!$A$2:$M$250,199,0)</f>
        <v>0</v>
      </c>
      <c r="DD303" s="106">
        <f>+HLOOKUP($C303,ACCESS!$A$2:$M$250,200,0)</f>
        <v>0</v>
      </c>
      <c r="DE303" s="106">
        <f>+HLOOKUP($C303,ACCESS!$A$2:$M$250,201,0)</f>
        <v>0</v>
      </c>
      <c r="DF303" s="106">
        <f>+HLOOKUP($C303,ACCESS!$A$2:$M$250,202,0)</f>
        <v>0</v>
      </c>
      <c r="DG303" s="106">
        <f>+HLOOKUP($C303,ACCESS!$A$2:$M$250,203,0)</f>
        <v>0</v>
      </c>
      <c r="DH303" s="106">
        <f>+HLOOKUP($C303,ACCESS!$A$2:$M$250,205,0)</f>
        <v>0</v>
      </c>
      <c r="DI303" s="106">
        <f>+HLOOKUP($C303,ACCESS!$A$2:$M$250,206,0)</f>
        <v>0</v>
      </c>
      <c r="DJ303" s="106">
        <f>+HLOOKUP($C303,ACCESS!$A$2:$M$250,207,0)</f>
        <v>0</v>
      </c>
      <c r="DK303" s="106">
        <f>+HLOOKUP($C303,ACCESS!$A$2:$M$250,209,0)</f>
        <v>0</v>
      </c>
      <c r="DL303" s="106">
        <f>+HLOOKUP($C303,ACCESS!$A$2:$M$250,210,0)</f>
        <v>0</v>
      </c>
      <c r="DM303" s="106">
        <f>+HLOOKUP($C303,ACCESS!$A$2:$M$250,211,0)</f>
        <v>0</v>
      </c>
      <c r="DN303" s="106">
        <f>+HLOOKUP($C303,ACCESS!$A$2:$M$250,212,0)</f>
        <v>0</v>
      </c>
      <c r="DO303" s="106">
        <f>+HLOOKUP($C303,ACCESS!$A$2:$M$250,214,0)</f>
        <v>0</v>
      </c>
      <c r="DP303" s="106">
        <f>+HLOOKUP($C303,ACCESS!$A$2:$M$250,215,0)</f>
        <v>0</v>
      </c>
      <c r="DQ303" s="106">
        <f>+HLOOKUP($C303,ACCESS!$A$2:$M$250,219,0)</f>
        <v>0</v>
      </c>
      <c r="DR303" s="106">
        <f>+HLOOKUP($C303,ACCESS!$A$2:$M$250,220,0)</f>
        <v>0</v>
      </c>
      <c r="DS303" s="106">
        <f>+HLOOKUP($C303,ACCESS!$A$2:$M$250,221,0)</f>
        <v>0</v>
      </c>
      <c r="DT303" s="106">
        <f>+HLOOKUP($C303,ACCESS!$A$2:$M$250,223,0)</f>
        <v>0</v>
      </c>
      <c r="DU303" s="106">
        <f>+HLOOKUP($C303,ACCESS!$A$2:$M$250,224,0)</f>
        <v>0</v>
      </c>
      <c r="DV303" s="106">
        <f>+HLOOKUP($C303,ACCESS!$A$2:$M$250,225,0)</f>
        <v>0</v>
      </c>
      <c r="DW303" s="106">
        <f>+HLOOKUP($C303,ACCESS!$A$2:$M$250,227,0)</f>
        <v>0</v>
      </c>
      <c r="DX303" s="106">
        <f>+HLOOKUP($C303,ACCESS!$A$2:$M$250,228,0)</f>
        <v>0</v>
      </c>
      <c r="DY303" s="106">
        <f>+HLOOKUP($C303,ACCESS!$A$2:$M$250,236,0)</f>
        <v>0</v>
      </c>
      <c r="DZ303" s="106">
        <f>+HLOOKUP($C303,ACCESS!$A$2:$M$250,237,0)</f>
        <v>0</v>
      </c>
      <c r="EA303" s="106">
        <f>+HLOOKUP($C303,ACCESS!$A$2:$M$250,238,0)</f>
        <v>0</v>
      </c>
      <c r="EB303" s="106">
        <f>+HLOOKUP($C303,ACCESS!$A$2:$M$250,240,0)</f>
        <v>0</v>
      </c>
    </row>
    <row r="304" spans="1:132">
      <c r="A304" t="s">
        <v>269</v>
      </c>
      <c r="B304" t="s">
        <v>273</v>
      </c>
      <c r="C304" s="117">
        <v>45566</v>
      </c>
      <c r="D304" s="106">
        <f t="shared" si="11"/>
        <v>1120739.6200000001</v>
      </c>
      <c r="E304" s="106">
        <f>+HLOOKUP(C304,ACCESS!$A$2:$M$250,50,0)+HLOOKUP(C304,ACCESS!$A$2:$M$250,51,0)+HLOOKUP(C304,ACCESS!$A$2:$M$250,54,0)</f>
        <v>1120739.6200000001</v>
      </c>
      <c r="F304" s="106">
        <f>+HLOOKUP(C304,ACCESS!$A$2:$M$250,52,0)+HLOOKUP(C304,ACCESS!$A$2:$M$250,56,0)</f>
        <v>945190.87000000023</v>
      </c>
      <c r="G304" s="106">
        <f>+HLOOKUP($C304,ACCESS!$A$2:$M$250,76,0)</f>
        <v>0</v>
      </c>
      <c r="H304" s="106">
        <f>+HLOOKUP($C304,ACCESS!$A$2:$M$250,77,0)</f>
        <v>0</v>
      </c>
      <c r="I304" s="106">
        <f>+HLOOKUP($C304,ACCESS!$A$2:$M$250,78,0)</f>
        <v>0</v>
      </c>
      <c r="J304" s="106">
        <f>+HLOOKUP($C304,ACCESS!$A$2:$M$250,79,0)</f>
        <v>0</v>
      </c>
      <c r="K304" s="106">
        <f>+HLOOKUP($C304,ACCESS!$A$2:$M$250,80,0)</f>
        <v>0</v>
      </c>
      <c r="L304" s="106">
        <f>+HLOOKUP($C304,ACCESS!$A$2:$M$250,81,0)</f>
        <v>0</v>
      </c>
      <c r="M304" s="106">
        <f>+HLOOKUP($C304,ACCESS!$A$2:$M$250,82,0)</f>
        <v>0</v>
      </c>
      <c r="N304" s="106">
        <f>+HLOOKUP($C304,ACCESS!$A$2:$M$250,83,0)</f>
        <v>0</v>
      </c>
      <c r="O304" s="106">
        <f>+HLOOKUP($C304,ACCESS!$A$2:$M$250,84,0)</f>
        <v>0</v>
      </c>
      <c r="P304" s="106">
        <f>+HLOOKUP($C304,ACCESS!$A$2:$M$250,85,0)</f>
        <v>0</v>
      </c>
      <c r="Q304" s="106">
        <f>+HLOOKUP($C304,ACCESS!$A$2:$M$250,87,0)</f>
        <v>0</v>
      </c>
      <c r="R304" s="106">
        <f>+HLOOKUP($C304,ACCESS!$A$2:$M$250,90,0)</f>
        <v>0</v>
      </c>
      <c r="S304" s="106">
        <f>+HLOOKUP($C304,ACCESS!$A$2:$M$250,91,0)</f>
        <v>0</v>
      </c>
      <c r="T304" s="106">
        <f>+HLOOKUP($C304,ACCESS!$A$2:$M$250,92,0)</f>
        <v>0</v>
      </c>
      <c r="U304" s="106">
        <f>+HLOOKUP($C304,ACCESS!$A$2:$M$250,93,0)</f>
        <v>0</v>
      </c>
      <c r="V304" s="106">
        <f>+HLOOKUP($C304,ACCESS!$A$2:$M$250,94,0)</f>
        <v>0</v>
      </c>
      <c r="W304" s="106">
        <f>+HLOOKUP($C304,ACCESS!$A$2:$M$250,95,0)</f>
        <v>0</v>
      </c>
      <c r="X304" s="106">
        <f>+HLOOKUP($C304,ACCESS!$A$2:$M$250,96,0)</f>
        <v>0</v>
      </c>
      <c r="Y304" s="106">
        <f>+HLOOKUP($C304,ACCESS!$A$2:$M$250,97,0)</f>
        <v>0</v>
      </c>
      <c r="Z304" s="106">
        <f>+HLOOKUP($C304,ACCESS!$A$2:$M$250,98,0)</f>
        <v>0</v>
      </c>
      <c r="AA304" s="106">
        <f>+HLOOKUP($C304,ACCESS!$A$2:$M$250,99,0)</f>
        <v>0</v>
      </c>
      <c r="AB304" s="106">
        <f>+HLOOKUP($C304,ACCESS!$A$2:$M$250,100,0)</f>
        <v>0</v>
      </c>
      <c r="AC304" s="106">
        <f>+HLOOKUP($C304,ACCESS!$A$2:$M$250,101,0)</f>
        <v>0</v>
      </c>
      <c r="AD304" s="106">
        <f>+HLOOKUP($C304,ACCESS!$A$2:$M$250,104,0)</f>
        <v>0</v>
      </c>
      <c r="AE304" s="106">
        <f>+HLOOKUP($C304,ACCESS!$A$2:$M$250,105,0)</f>
        <v>0</v>
      </c>
      <c r="AF304" s="106">
        <f>+HLOOKUP($C304,ACCESS!$A$2:$M$250,106,0)</f>
        <v>0</v>
      </c>
      <c r="AG304" s="106">
        <f>+HLOOKUP($C304,ACCESS!$A$2:$M$250,107,0)</f>
        <v>0</v>
      </c>
      <c r="AH304" s="106">
        <f>+HLOOKUP($C304,ACCESS!$A$2:$M$250,108,0)</f>
        <v>0</v>
      </c>
      <c r="AI304" s="106">
        <f>+HLOOKUP($C304,ACCESS!$A$2:$M$250,109,0)</f>
        <v>0</v>
      </c>
      <c r="AJ304" s="106">
        <f>+HLOOKUP($C304,ACCESS!$A$2:$M$250,110,0)</f>
        <v>0</v>
      </c>
      <c r="AK304" s="106">
        <f>+HLOOKUP($C304,ACCESS!$A$2:$M$250,111,0)</f>
        <v>0</v>
      </c>
      <c r="AL304" s="106">
        <f>+HLOOKUP($C304,ACCESS!$A$2:$M$250,112,0)</f>
        <v>0</v>
      </c>
      <c r="AM304" s="106">
        <f>+HLOOKUP($C304,ACCESS!$A$2:$M$250,116,0)</f>
        <v>14300</v>
      </c>
      <c r="AN304" s="106">
        <f>+HLOOKUP($C304,ACCESS!$A$2:$M$250,117,0)</f>
        <v>1600</v>
      </c>
      <c r="AO304" s="106">
        <f>+HLOOKUP($C304,ACCESS!$A$2:$M$250,118,0)</f>
        <v>0</v>
      </c>
      <c r="AP304" s="106">
        <f>+HLOOKUP($C304,ACCESS!$A$2:$M$250,119,0)</f>
        <v>4000</v>
      </c>
      <c r="AQ304" s="106">
        <f>+HLOOKUP($C304,ACCESS!$A$2:$M$250,120,0)</f>
        <v>0</v>
      </c>
      <c r="AR304" s="106">
        <f>+HLOOKUP($C304,ACCESS!$A$2:$M$250,121,0)</f>
        <v>500</v>
      </c>
      <c r="AS304" s="106">
        <f>+HLOOKUP($C304,ACCESS!$A$2:$M$250,122,0)</f>
        <v>12100</v>
      </c>
      <c r="AT304" s="106">
        <f>+HLOOKUP($C304,ACCESS!$A$2:$M$250,123,0)</f>
        <v>1641</v>
      </c>
      <c r="AU304" s="106">
        <f>+HLOOKUP($C304,ACCESS!$A$2:$M$250,124,0)</f>
        <v>0</v>
      </c>
      <c r="AV304" s="106">
        <f>+HLOOKUP($C304,ACCESS!$A$2:$M$250,125,0)</f>
        <v>0</v>
      </c>
      <c r="AW304" s="106">
        <f>+HLOOKUP($C304,ACCESS!$A$2:$M$250,126,0)</f>
        <v>607.01923076923083</v>
      </c>
      <c r="AX304" s="106">
        <f>+HLOOKUP($C304,ACCESS!$A$2:$M$250,127,0)</f>
        <v>1052.1666666666667</v>
      </c>
      <c r="AY304" s="106">
        <f>+HLOOKUP($C304,ACCESS!$A$2:$M$250,129,0)</f>
        <v>0</v>
      </c>
      <c r="AZ304" s="106">
        <f>+HLOOKUP($C304,ACCESS!$A$2:$M$250,130,0)</f>
        <v>0</v>
      </c>
      <c r="BA304" s="106">
        <f>+HLOOKUP($C304,ACCESS!$A$2:$M$250,131,0)</f>
        <v>0</v>
      </c>
      <c r="BB304" s="106">
        <f>+HLOOKUP($C304,ACCESS!$A$2:$M$250,133,0)</f>
        <v>0</v>
      </c>
      <c r="BC304" s="106">
        <f>+HLOOKUP($C304,ACCESS!$A$2:$M$250,134,0)</f>
        <v>0</v>
      </c>
      <c r="BD304" s="106">
        <f>+HLOOKUP($C304,ACCESS!$A$2:$M$250,135,0)</f>
        <v>0</v>
      </c>
      <c r="BE304" s="106">
        <f>+HLOOKUP($C304,ACCESS!$A$2:$M$250,136,0)</f>
        <v>0</v>
      </c>
      <c r="BF304" s="106">
        <f>+HLOOKUP($C304,ACCESS!$A$2:$M$250,138,0)</f>
        <v>0</v>
      </c>
      <c r="BG304" s="106">
        <f>+HLOOKUP($C304,ACCESS!$A$2:$M$250,139,0)</f>
        <v>0</v>
      </c>
      <c r="BH304" s="106">
        <f>+HLOOKUP($C304,ACCESS!$A$2:$M$250,140,0)</f>
        <v>0</v>
      </c>
      <c r="BI304" s="106">
        <f>+HLOOKUP($C304,ACCESS!$A$2:$M$250,141,0)</f>
        <v>0</v>
      </c>
      <c r="BJ304" s="106">
        <f>+HLOOKUP($C304,ACCESS!$A$2:$M$250,142,0)</f>
        <v>0</v>
      </c>
      <c r="BK304" s="106">
        <f>+HLOOKUP($C304,ACCESS!$A$2:$M$250,143,0)</f>
        <v>0</v>
      </c>
      <c r="BL304" s="106">
        <f>+HLOOKUP($C304,ACCESS!$A$2:$M$250,144,0)</f>
        <v>0</v>
      </c>
      <c r="BM304" s="106">
        <f>+HLOOKUP($C304,ACCESS!$A$2:$M$250,146,0)</f>
        <v>0</v>
      </c>
      <c r="BN304" s="106">
        <f>+HLOOKUP($C304,ACCESS!$A$2:$M$250,147,0)</f>
        <v>0</v>
      </c>
      <c r="BO304" s="106">
        <f>+HLOOKUP($C304,ACCESS!$A$2:$M$250,148,0)</f>
        <v>0</v>
      </c>
      <c r="BP304" s="106">
        <f>+HLOOKUP($C304,ACCESS!$A$2:$M$250,150,0)</f>
        <v>0</v>
      </c>
      <c r="BQ304" s="106">
        <f>+HLOOKUP($C304,ACCESS!$A$2:$M$250,151,0)</f>
        <v>0</v>
      </c>
      <c r="BR304" s="106">
        <f>+HLOOKUP($C304,ACCESS!$A$2:$M$250,152,0)</f>
        <v>0</v>
      </c>
      <c r="BS304" s="106">
        <f>+HLOOKUP($C304,ACCESS!$A$2:$M$250,153,0)</f>
        <v>0</v>
      </c>
      <c r="BT304" s="106">
        <f>+HLOOKUP($C304,ACCESS!$A$2:$M$250,157,0)</f>
        <v>0</v>
      </c>
      <c r="BU304" s="106">
        <f>+HLOOKUP($C304,ACCESS!$A$2:$M$250,158,0)</f>
        <v>0</v>
      </c>
      <c r="BV304" s="106">
        <f>+HLOOKUP($C304,ACCESS!$A$2:$M$250,159,0)</f>
        <v>0</v>
      </c>
      <c r="BW304" s="106">
        <f>+HLOOKUP($C304,ACCESS!$A$2:$M$250,160,0)</f>
        <v>0</v>
      </c>
      <c r="BX304" s="106">
        <f>+HLOOKUP($C304,ACCESS!$A$2:$M$250,161,0)</f>
        <v>0</v>
      </c>
      <c r="BY304" s="106">
        <f>+HLOOKUP($C304,ACCESS!$A$2:$M$250,164,0)</f>
        <v>0</v>
      </c>
      <c r="BZ304" s="106">
        <f>+HLOOKUP($C304,ACCESS!$A$2:$M$250,165,0)</f>
        <v>0</v>
      </c>
      <c r="CA304" s="106">
        <f>+HLOOKUP($C304,ACCESS!$A$2:$M$250,166,0)</f>
        <v>0</v>
      </c>
      <c r="CB304" s="106">
        <f>+HLOOKUP($C304,ACCESS!$A$2:$M$250,167,0)</f>
        <v>0</v>
      </c>
      <c r="CC304" s="106">
        <f>+HLOOKUP($C304,ACCESS!$A$2:$M$250,168,0)</f>
        <v>0</v>
      </c>
      <c r="CD304" s="106">
        <f>+HLOOKUP($C304,ACCESS!$A$2:$M$250,169,0)</f>
        <v>0</v>
      </c>
      <c r="CE304" s="106">
        <f>+HLOOKUP($C304,ACCESS!$A$2:$M$250,170,0)</f>
        <v>0</v>
      </c>
      <c r="CF304" s="106">
        <f>+HLOOKUP($C304,ACCESS!$A$2:$M$250,172,0)</f>
        <v>0</v>
      </c>
      <c r="CG304" s="106">
        <f>+HLOOKUP($C304,ACCESS!$A$2:$M$250,173,0)</f>
        <v>0</v>
      </c>
      <c r="CH304" s="106">
        <f>+HLOOKUP($C304,ACCESS!$A$2:$M$250,174,0)</f>
        <v>0</v>
      </c>
      <c r="CI304" s="106">
        <f>+HLOOKUP($C304,ACCESS!$A$2:$M$250,175,0)</f>
        <v>0</v>
      </c>
      <c r="CJ304" s="106">
        <f>+HLOOKUP($C304,ACCESS!$A$2:$M$250,176,0)</f>
        <v>0</v>
      </c>
      <c r="CK304" s="106">
        <f>+HLOOKUP($C304,ACCESS!$A$2:$M$250,178,0)</f>
        <v>0</v>
      </c>
      <c r="CL304" s="106">
        <f>+HLOOKUP($C304,ACCESS!$A$2:$M$250,179,0)</f>
        <v>0</v>
      </c>
      <c r="CM304" s="106">
        <f>+HLOOKUP($C304,ACCESS!$A$2:$M$250,180,0)</f>
        <v>0</v>
      </c>
      <c r="CN304" s="106">
        <f>+HLOOKUP($C304,ACCESS!$A$2:$M$250,182,0)</f>
        <v>0</v>
      </c>
      <c r="CO304" s="106">
        <f>+HLOOKUP($C304,ACCESS!$A$2:$M$250,183,0)</f>
        <v>0</v>
      </c>
      <c r="CP304" s="106">
        <f>+HLOOKUP($C304,ACCESS!$A$2:$M$250,184,0)</f>
        <v>0</v>
      </c>
      <c r="CQ304" s="106">
        <f>+HLOOKUP($C304,ACCESS!$A$2:$M$250,185,0)</f>
        <v>0</v>
      </c>
      <c r="CR304" s="106">
        <f>+HLOOKUP($C304,ACCESS!$A$2:$M$250,187,0)</f>
        <v>0</v>
      </c>
      <c r="CS304" s="106">
        <f>+HLOOKUP($C304,ACCESS!$A$2:$M$250,188,0)</f>
        <v>0</v>
      </c>
      <c r="CT304" s="106">
        <f>+HLOOKUP($C304,ACCESS!$A$2:$M$250,189,0)</f>
        <v>0</v>
      </c>
      <c r="CU304" s="106">
        <f>+HLOOKUP($C304,ACCESS!$A$2:$M$250,190,0)</f>
        <v>0</v>
      </c>
      <c r="CV304" s="106">
        <f>+HLOOKUP($C304,ACCESS!$A$2:$M$250,191,0)</f>
        <v>0</v>
      </c>
      <c r="CW304" s="106">
        <f>+HLOOKUP($C304,ACCESS!$A$2:$M$250,193,0)</f>
        <v>0</v>
      </c>
      <c r="CX304" s="106">
        <f>+HLOOKUP($C304,ACCESS!$A$2:$M$250,194,0)</f>
        <v>0</v>
      </c>
      <c r="CY304" s="106">
        <f>+HLOOKUP($C304,ACCESS!$A$2:$M$250,195,0)</f>
        <v>0</v>
      </c>
      <c r="CZ304" s="106">
        <f>+HLOOKUP($C304,ACCESS!$A$2:$M$250,196,0)</f>
        <v>0</v>
      </c>
      <c r="DA304" s="106">
        <f>+HLOOKUP($C304,ACCESS!$A$2:$M$250,197,0)</f>
        <v>0</v>
      </c>
      <c r="DB304" s="106">
        <f>+HLOOKUP($C304,ACCESS!$A$2:$M$250,198,0)</f>
        <v>0</v>
      </c>
      <c r="DC304" s="106">
        <f>+HLOOKUP($C304,ACCESS!$A$2:$M$250,199,0)</f>
        <v>0</v>
      </c>
      <c r="DD304" s="106">
        <f>+HLOOKUP($C304,ACCESS!$A$2:$M$250,200,0)</f>
        <v>0</v>
      </c>
      <c r="DE304" s="106">
        <f>+HLOOKUP($C304,ACCESS!$A$2:$M$250,201,0)</f>
        <v>0</v>
      </c>
      <c r="DF304" s="106">
        <f>+HLOOKUP($C304,ACCESS!$A$2:$M$250,202,0)</f>
        <v>0</v>
      </c>
      <c r="DG304" s="106">
        <f>+HLOOKUP($C304,ACCESS!$A$2:$M$250,203,0)</f>
        <v>0</v>
      </c>
      <c r="DH304" s="106">
        <f>+HLOOKUP($C304,ACCESS!$A$2:$M$250,205,0)</f>
        <v>0</v>
      </c>
      <c r="DI304" s="106">
        <f>+HLOOKUP($C304,ACCESS!$A$2:$M$250,206,0)</f>
        <v>0</v>
      </c>
      <c r="DJ304" s="106">
        <f>+HLOOKUP($C304,ACCESS!$A$2:$M$250,207,0)</f>
        <v>0</v>
      </c>
      <c r="DK304" s="106">
        <f>+HLOOKUP($C304,ACCESS!$A$2:$M$250,209,0)</f>
        <v>0</v>
      </c>
      <c r="DL304" s="106">
        <f>+HLOOKUP($C304,ACCESS!$A$2:$M$250,210,0)</f>
        <v>0</v>
      </c>
      <c r="DM304" s="106">
        <f>+HLOOKUP($C304,ACCESS!$A$2:$M$250,211,0)</f>
        <v>0</v>
      </c>
      <c r="DN304" s="106">
        <f>+HLOOKUP($C304,ACCESS!$A$2:$M$250,212,0)</f>
        <v>0</v>
      </c>
      <c r="DO304" s="106">
        <f>+HLOOKUP($C304,ACCESS!$A$2:$M$250,214,0)</f>
        <v>0</v>
      </c>
      <c r="DP304" s="106">
        <f>+HLOOKUP($C304,ACCESS!$A$2:$M$250,215,0)</f>
        <v>0</v>
      </c>
      <c r="DQ304" s="106">
        <f>+HLOOKUP($C304,ACCESS!$A$2:$M$250,219,0)</f>
        <v>0</v>
      </c>
      <c r="DR304" s="106">
        <f>+HLOOKUP($C304,ACCESS!$A$2:$M$250,220,0)</f>
        <v>0</v>
      </c>
      <c r="DS304" s="106">
        <f>+HLOOKUP($C304,ACCESS!$A$2:$M$250,221,0)</f>
        <v>0</v>
      </c>
      <c r="DT304" s="106">
        <f>+HLOOKUP($C304,ACCESS!$A$2:$M$250,223,0)</f>
        <v>0</v>
      </c>
      <c r="DU304" s="106">
        <f>+HLOOKUP($C304,ACCESS!$A$2:$M$250,224,0)</f>
        <v>0</v>
      </c>
      <c r="DV304" s="106">
        <f>+HLOOKUP($C304,ACCESS!$A$2:$M$250,225,0)</f>
        <v>0</v>
      </c>
      <c r="DW304" s="106">
        <f>+HLOOKUP($C304,ACCESS!$A$2:$M$250,227,0)</f>
        <v>0</v>
      </c>
      <c r="DX304" s="106">
        <f>+HLOOKUP($C304,ACCESS!$A$2:$M$250,228,0)</f>
        <v>0</v>
      </c>
      <c r="DY304" s="106">
        <f>+HLOOKUP($C304,ACCESS!$A$2:$M$250,236,0)</f>
        <v>0</v>
      </c>
      <c r="DZ304" s="106">
        <f>+HLOOKUP($C304,ACCESS!$A$2:$M$250,237,0)</f>
        <v>0</v>
      </c>
      <c r="EA304" s="106">
        <f>+HLOOKUP($C304,ACCESS!$A$2:$M$250,238,0)</f>
        <v>0</v>
      </c>
      <c r="EB304" s="106">
        <f>+HLOOKUP($C304,ACCESS!$A$2:$M$250,240,0)</f>
        <v>0</v>
      </c>
    </row>
    <row r="305" spans="1:132">
      <c r="A305" t="s">
        <v>269</v>
      </c>
      <c r="B305" t="s">
        <v>273</v>
      </c>
      <c r="C305" s="117">
        <v>45536</v>
      </c>
      <c r="D305" s="106">
        <f t="shared" si="11"/>
        <v>352648.89</v>
      </c>
      <c r="E305" s="106">
        <f>+HLOOKUP(C305,ACCESS!$A$2:$M$250,50,0)+HLOOKUP(C305,ACCESS!$A$2:$M$250,51,0)+HLOOKUP(C305,ACCESS!$A$2:$M$250,54,0)</f>
        <v>352648.89</v>
      </c>
      <c r="F305" s="106">
        <f>+HLOOKUP(C305,ACCESS!$A$2:$M$250,52,0)+HLOOKUP(C305,ACCESS!$A$2:$M$250,56,0)</f>
        <v>278474.2300000001</v>
      </c>
      <c r="G305" s="106">
        <f>+HLOOKUP($C305,ACCESS!$A$2:$M$250,76,0)</f>
        <v>0</v>
      </c>
      <c r="H305" s="106">
        <f>+HLOOKUP($C305,ACCESS!$A$2:$M$250,77,0)</f>
        <v>0</v>
      </c>
      <c r="I305" s="106">
        <f>+HLOOKUP($C305,ACCESS!$A$2:$M$250,78,0)</f>
        <v>0</v>
      </c>
      <c r="J305" s="106">
        <f>+HLOOKUP($C305,ACCESS!$A$2:$M$250,79,0)</f>
        <v>0</v>
      </c>
      <c r="K305" s="106">
        <f>+HLOOKUP($C305,ACCESS!$A$2:$M$250,80,0)</f>
        <v>0</v>
      </c>
      <c r="L305" s="106">
        <f>+HLOOKUP($C305,ACCESS!$A$2:$M$250,81,0)</f>
        <v>0</v>
      </c>
      <c r="M305" s="106">
        <f>+HLOOKUP($C305,ACCESS!$A$2:$M$250,82,0)</f>
        <v>0</v>
      </c>
      <c r="N305" s="106">
        <f>+HLOOKUP($C305,ACCESS!$A$2:$M$250,83,0)</f>
        <v>0</v>
      </c>
      <c r="O305" s="106">
        <f>+HLOOKUP($C305,ACCESS!$A$2:$M$250,84,0)</f>
        <v>0</v>
      </c>
      <c r="P305" s="106">
        <f>+HLOOKUP($C305,ACCESS!$A$2:$M$250,85,0)</f>
        <v>0</v>
      </c>
      <c r="Q305" s="106">
        <f>+HLOOKUP($C305,ACCESS!$A$2:$M$250,87,0)</f>
        <v>2400</v>
      </c>
      <c r="R305" s="106">
        <f>+HLOOKUP($C305,ACCESS!$A$2:$M$250,90,0)</f>
        <v>0</v>
      </c>
      <c r="S305" s="106">
        <f>+HLOOKUP($C305,ACCESS!$A$2:$M$250,91,0)</f>
        <v>0</v>
      </c>
      <c r="T305" s="106">
        <f>+HLOOKUP($C305,ACCESS!$A$2:$M$250,92,0)</f>
        <v>0</v>
      </c>
      <c r="U305" s="106">
        <f>+HLOOKUP($C305,ACCESS!$A$2:$M$250,93,0)</f>
        <v>0</v>
      </c>
      <c r="V305" s="106">
        <f>+HLOOKUP($C305,ACCESS!$A$2:$M$250,94,0)</f>
        <v>0</v>
      </c>
      <c r="W305" s="106">
        <f>+HLOOKUP($C305,ACCESS!$A$2:$M$250,95,0)</f>
        <v>0</v>
      </c>
      <c r="X305" s="106">
        <f>+HLOOKUP($C305,ACCESS!$A$2:$M$250,96,0)</f>
        <v>0</v>
      </c>
      <c r="Y305" s="106">
        <f>+HLOOKUP($C305,ACCESS!$A$2:$M$250,97,0)</f>
        <v>0</v>
      </c>
      <c r="Z305" s="106">
        <f>+HLOOKUP($C305,ACCESS!$A$2:$M$250,98,0)</f>
        <v>0</v>
      </c>
      <c r="AA305" s="106">
        <f>+HLOOKUP($C305,ACCESS!$A$2:$M$250,99,0)</f>
        <v>0</v>
      </c>
      <c r="AB305" s="106">
        <f>+HLOOKUP($C305,ACCESS!$A$2:$M$250,100,0)</f>
        <v>0</v>
      </c>
      <c r="AC305" s="106">
        <f>+HLOOKUP($C305,ACCESS!$A$2:$M$250,101,0)</f>
        <v>0</v>
      </c>
      <c r="AD305" s="106">
        <f>+HLOOKUP($C305,ACCESS!$A$2:$M$250,104,0)</f>
        <v>0</v>
      </c>
      <c r="AE305" s="106">
        <f>+HLOOKUP($C305,ACCESS!$A$2:$M$250,105,0)</f>
        <v>0</v>
      </c>
      <c r="AF305" s="106">
        <f>+HLOOKUP($C305,ACCESS!$A$2:$M$250,106,0)</f>
        <v>0</v>
      </c>
      <c r="AG305" s="106">
        <f>+HLOOKUP($C305,ACCESS!$A$2:$M$250,107,0)</f>
        <v>0</v>
      </c>
      <c r="AH305" s="106">
        <f>+HLOOKUP($C305,ACCESS!$A$2:$M$250,108,0)</f>
        <v>0</v>
      </c>
      <c r="AI305" s="106">
        <f>+HLOOKUP($C305,ACCESS!$A$2:$M$250,109,0)</f>
        <v>0</v>
      </c>
      <c r="AJ305" s="106">
        <f>+HLOOKUP($C305,ACCESS!$A$2:$M$250,110,0)</f>
        <v>0</v>
      </c>
      <c r="AK305" s="106">
        <f>+HLOOKUP($C305,ACCESS!$A$2:$M$250,111,0)</f>
        <v>0</v>
      </c>
      <c r="AL305" s="106">
        <f>+HLOOKUP($C305,ACCESS!$A$2:$M$250,112,0)</f>
        <v>0</v>
      </c>
      <c r="AM305" s="106">
        <f>+HLOOKUP($C305,ACCESS!$A$2:$M$250,116,0)</f>
        <v>14300</v>
      </c>
      <c r="AN305" s="106">
        <f>+HLOOKUP($C305,ACCESS!$A$2:$M$250,117,0)</f>
        <v>1600</v>
      </c>
      <c r="AO305" s="106">
        <f>+HLOOKUP($C305,ACCESS!$A$2:$M$250,118,0)</f>
        <v>0</v>
      </c>
      <c r="AP305" s="106">
        <f>+HLOOKUP($C305,ACCESS!$A$2:$M$250,119,0)</f>
        <v>4000</v>
      </c>
      <c r="AQ305" s="106">
        <f>+HLOOKUP($C305,ACCESS!$A$2:$M$250,120,0)</f>
        <v>0</v>
      </c>
      <c r="AR305" s="106">
        <f>+HLOOKUP($C305,ACCESS!$A$2:$M$250,121,0)</f>
        <v>500</v>
      </c>
      <c r="AS305" s="106">
        <f>+HLOOKUP($C305,ACCESS!$A$2:$M$250,122,0)</f>
        <v>12100</v>
      </c>
      <c r="AT305" s="106">
        <f>+HLOOKUP($C305,ACCESS!$A$2:$M$250,123,0)</f>
        <v>1641</v>
      </c>
      <c r="AU305" s="106">
        <f>+HLOOKUP($C305,ACCESS!$A$2:$M$250,124,0)</f>
        <v>0</v>
      </c>
      <c r="AV305" s="106">
        <f>+HLOOKUP($C305,ACCESS!$A$2:$M$250,125,0)</f>
        <v>0</v>
      </c>
      <c r="AW305" s="106">
        <f>+HLOOKUP($C305,ACCESS!$A$2:$M$250,126,0)</f>
        <v>607.01923076923083</v>
      </c>
      <c r="AX305" s="106">
        <f>+HLOOKUP($C305,ACCESS!$A$2:$M$250,127,0)</f>
        <v>1052.1666666666667</v>
      </c>
      <c r="AY305" s="106">
        <f>+HLOOKUP($C305,ACCESS!$A$2:$M$250,129,0)</f>
        <v>0</v>
      </c>
      <c r="AZ305" s="106">
        <f>+HLOOKUP($C305,ACCESS!$A$2:$M$250,130,0)</f>
        <v>0</v>
      </c>
      <c r="BA305" s="106">
        <f>+HLOOKUP($C305,ACCESS!$A$2:$M$250,131,0)</f>
        <v>0</v>
      </c>
      <c r="BB305" s="106">
        <f>+HLOOKUP($C305,ACCESS!$A$2:$M$250,133,0)</f>
        <v>0</v>
      </c>
      <c r="BC305" s="106">
        <f>+HLOOKUP($C305,ACCESS!$A$2:$M$250,134,0)</f>
        <v>0</v>
      </c>
      <c r="BD305" s="106">
        <f>+HLOOKUP($C305,ACCESS!$A$2:$M$250,135,0)</f>
        <v>0</v>
      </c>
      <c r="BE305" s="106">
        <f>+HLOOKUP($C305,ACCESS!$A$2:$M$250,136,0)</f>
        <v>0</v>
      </c>
      <c r="BF305" s="106">
        <f>+HLOOKUP($C305,ACCESS!$A$2:$M$250,138,0)</f>
        <v>0</v>
      </c>
      <c r="BG305" s="106">
        <f>+HLOOKUP($C305,ACCESS!$A$2:$M$250,139,0)</f>
        <v>0</v>
      </c>
      <c r="BH305" s="106">
        <f>+HLOOKUP($C305,ACCESS!$A$2:$M$250,140,0)</f>
        <v>0</v>
      </c>
      <c r="BI305" s="106">
        <f>+HLOOKUP($C305,ACCESS!$A$2:$M$250,141,0)</f>
        <v>0</v>
      </c>
      <c r="BJ305" s="106">
        <f>+HLOOKUP($C305,ACCESS!$A$2:$M$250,142,0)</f>
        <v>0</v>
      </c>
      <c r="BK305" s="106">
        <f>+HLOOKUP($C305,ACCESS!$A$2:$M$250,143,0)</f>
        <v>0</v>
      </c>
      <c r="BL305" s="106">
        <f>+HLOOKUP($C305,ACCESS!$A$2:$M$250,144,0)</f>
        <v>0</v>
      </c>
      <c r="BM305" s="106">
        <f>+HLOOKUP($C305,ACCESS!$A$2:$M$250,146,0)</f>
        <v>0</v>
      </c>
      <c r="BN305" s="106">
        <f>+HLOOKUP($C305,ACCESS!$A$2:$M$250,147,0)</f>
        <v>0</v>
      </c>
      <c r="BO305" s="106">
        <f>+HLOOKUP($C305,ACCESS!$A$2:$M$250,148,0)</f>
        <v>0</v>
      </c>
      <c r="BP305" s="106">
        <f>+HLOOKUP($C305,ACCESS!$A$2:$M$250,150,0)</f>
        <v>0</v>
      </c>
      <c r="BQ305" s="106">
        <f>+HLOOKUP($C305,ACCESS!$A$2:$M$250,151,0)</f>
        <v>0</v>
      </c>
      <c r="BR305" s="106">
        <f>+HLOOKUP($C305,ACCESS!$A$2:$M$250,152,0)</f>
        <v>0</v>
      </c>
      <c r="BS305" s="106">
        <f>+HLOOKUP($C305,ACCESS!$A$2:$M$250,153,0)</f>
        <v>0</v>
      </c>
      <c r="BT305" s="106">
        <f>+HLOOKUP($C305,ACCESS!$A$2:$M$250,157,0)</f>
        <v>0</v>
      </c>
      <c r="BU305" s="106">
        <f>+HLOOKUP($C305,ACCESS!$A$2:$M$250,158,0)</f>
        <v>0</v>
      </c>
      <c r="BV305" s="106">
        <f>+HLOOKUP($C305,ACCESS!$A$2:$M$250,159,0)</f>
        <v>0</v>
      </c>
      <c r="BW305" s="106">
        <f>+HLOOKUP($C305,ACCESS!$A$2:$M$250,160,0)</f>
        <v>0</v>
      </c>
      <c r="BX305" s="106">
        <f>+HLOOKUP($C305,ACCESS!$A$2:$M$250,161,0)</f>
        <v>0</v>
      </c>
      <c r="BY305" s="106">
        <f>+HLOOKUP($C305,ACCESS!$A$2:$M$250,164,0)</f>
        <v>0</v>
      </c>
      <c r="BZ305" s="106">
        <f>+HLOOKUP($C305,ACCESS!$A$2:$M$250,165,0)</f>
        <v>0</v>
      </c>
      <c r="CA305" s="106">
        <f>+HLOOKUP($C305,ACCESS!$A$2:$M$250,166,0)</f>
        <v>0</v>
      </c>
      <c r="CB305" s="106">
        <f>+HLOOKUP($C305,ACCESS!$A$2:$M$250,167,0)</f>
        <v>0</v>
      </c>
      <c r="CC305" s="106">
        <f>+HLOOKUP($C305,ACCESS!$A$2:$M$250,168,0)</f>
        <v>0</v>
      </c>
      <c r="CD305" s="106">
        <f>+HLOOKUP($C305,ACCESS!$A$2:$M$250,169,0)</f>
        <v>0</v>
      </c>
      <c r="CE305" s="106">
        <f>+HLOOKUP($C305,ACCESS!$A$2:$M$250,170,0)</f>
        <v>0</v>
      </c>
      <c r="CF305" s="106">
        <f>+HLOOKUP($C305,ACCESS!$A$2:$M$250,172,0)</f>
        <v>0</v>
      </c>
      <c r="CG305" s="106">
        <f>+HLOOKUP($C305,ACCESS!$A$2:$M$250,173,0)</f>
        <v>0</v>
      </c>
      <c r="CH305" s="106">
        <f>+HLOOKUP($C305,ACCESS!$A$2:$M$250,174,0)</f>
        <v>0</v>
      </c>
      <c r="CI305" s="106">
        <f>+HLOOKUP($C305,ACCESS!$A$2:$M$250,175,0)</f>
        <v>0</v>
      </c>
      <c r="CJ305" s="106">
        <f>+HLOOKUP($C305,ACCESS!$A$2:$M$250,176,0)</f>
        <v>0</v>
      </c>
      <c r="CK305" s="106">
        <f>+HLOOKUP($C305,ACCESS!$A$2:$M$250,178,0)</f>
        <v>0</v>
      </c>
      <c r="CL305" s="106">
        <f>+HLOOKUP($C305,ACCESS!$A$2:$M$250,179,0)</f>
        <v>0</v>
      </c>
      <c r="CM305" s="106">
        <f>+HLOOKUP($C305,ACCESS!$A$2:$M$250,180,0)</f>
        <v>0</v>
      </c>
      <c r="CN305" s="106">
        <f>+HLOOKUP($C305,ACCESS!$A$2:$M$250,182,0)</f>
        <v>0</v>
      </c>
      <c r="CO305" s="106">
        <f>+HLOOKUP($C305,ACCESS!$A$2:$M$250,183,0)</f>
        <v>0</v>
      </c>
      <c r="CP305" s="106">
        <f>+HLOOKUP($C305,ACCESS!$A$2:$M$250,184,0)</f>
        <v>0</v>
      </c>
      <c r="CQ305" s="106">
        <f>+HLOOKUP($C305,ACCESS!$A$2:$M$250,185,0)</f>
        <v>0</v>
      </c>
      <c r="CR305" s="106">
        <f>+HLOOKUP($C305,ACCESS!$A$2:$M$250,187,0)</f>
        <v>0</v>
      </c>
      <c r="CS305" s="106">
        <f>+HLOOKUP($C305,ACCESS!$A$2:$M$250,188,0)</f>
        <v>0</v>
      </c>
      <c r="CT305" s="106">
        <f>+HLOOKUP($C305,ACCESS!$A$2:$M$250,189,0)</f>
        <v>0</v>
      </c>
      <c r="CU305" s="106">
        <f>+HLOOKUP($C305,ACCESS!$A$2:$M$250,190,0)</f>
        <v>0</v>
      </c>
      <c r="CV305" s="106">
        <f>+HLOOKUP($C305,ACCESS!$A$2:$M$250,191,0)</f>
        <v>0</v>
      </c>
      <c r="CW305" s="106">
        <f>+HLOOKUP($C305,ACCESS!$A$2:$M$250,193,0)</f>
        <v>0</v>
      </c>
      <c r="CX305" s="106">
        <f>+HLOOKUP($C305,ACCESS!$A$2:$M$250,194,0)</f>
        <v>0</v>
      </c>
      <c r="CY305" s="106">
        <f>+HLOOKUP($C305,ACCESS!$A$2:$M$250,195,0)</f>
        <v>0</v>
      </c>
      <c r="CZ305" s="106">
        <f>+HLOOKUP($C305,ACCESS!$A$2:$M$250,196,0)</f>
        <v>0</v>
      </c>
      <c r="DA305" s="106">
        <f>+HLOOKUP($C305,ACCESS!$A$2:$M$250,197,0)</f>
        <v>0</v>
      </c>
      <c r="DB305" s="106">
        <f>+HLOOKUP($C305,ACCESS!$A$2:$M$250,198,0)</f>
        <v>0</v>
      </c>
      <c r="DC305" s="106">
        <f>+HLOOKUP($C305,ACCESS!$A$2:$M$250,199,0)</f>
        <v>0</v>
      </c>
      <c r="DD305" s="106">
        <f>+HLOOKUP($C305,ACCESS!$A$2:$M$250,200,0)</f>
        <v>0</v>
      </c>
      <c r="DE305" s="106">
        <f>+HLOOKUP($C305,ACCESS!$A$2:$M$250,201,0)</f>
        <v>0</v>
      </c>
      <c r="DF305" s="106">
        <f>+HLOOKUP($C305,ACCESS!$A$2:$M$250,202,0)</f>
        <v>0</v>
      </c>
      <c r="DG305" s="106">
        <f>+HLOOKUP($C305,ACCESS!$A$2:$M$250,203,0)</f>
        <v>0</v>
      </c>
      <c r="DH305" s="106">
        <f>+HLOOKUP($C305,ACCESS!$A$2:$M$250,205,0)</f>
        <v>0</v>
      </c>
      <c r="DI305" s="106">
        <f>+HLOOKUP($C305,ACCESS!$A$2:$M$250,206,0)</f>
        <v>0</v>
      </c>
      <c r="DJ305" s="106">
        <f>+HLOOKUP($C305,ACCESS!$A$2:$M$250,207,0)</f>
        <v>0</v>
      </c>
      <c r="DK305" s="106">
        <f>+HLOOKUP($C305,ACCESS!$A$2:$M$250,209,0)</f>
        <v>0</v>
      </c>
      <c r="DL305" s="106">
        <f>+HLOOKUP($C305,ACCESS!$A$2:$M$250,210,0)</f>
        <v>0</v>
      </c>
      <c r="DM305" s="106">
        <f>+HLOOKUP($C305,ACCESS!$A$2:$M$250,211,0)</f>
        <v>0</v>
      </c>
      <c r="DN305" s="106">
        <f>+HLOOKUP($C305,ACCESS!$A$2:$M$250,212,0)</f>
        <v>0</v>
      </c>
      <c r="DO305" s="106">
        <f>+HLOOKUP($C305,ACCESS!$A$2:$M$250,214,0)</f>
        <v>0</v>
      </c>
      <c r="DP305" s="106">
        <f>+HLOOKUP($C305,ACCESS!$A$2:$M$250,215,0)</f>
        <v>0</v>
      </c>
      <c r="DQ305" s="106">
        <f>+HLOOKUP($C305,ACCESS!$A$2:$M$250,219,0)</f>
        <v>0</v>
      </c>
      <c r="DR305" s="106">
        <f>+HLOOKUP($C305,ACCESS!$A$2:$M$250,220,0)</f>
        <v>0</v>
      </c>
      <c r="DS305" s="106">
        <f>+HLOOKUP($C305,ACCESS!$A$2:$M$250,221,0)</f>
        <v>0</v>
      </c>
      <c r="DT305" s="106">
        <f>+HLOOKUP($C305,ACCESS!$A$2:$M$250,223,0)</f>
        <v>0</v>
      </c>
      <c r="DU305" s="106">
        <f>+HLOOKUP($C305,ACCESS!$A$2:$M$250,224,0)</f>
        <v>0</v>
      </c>
      <c r="DV305" s="106">
        <f>+HLOOKUP($C305,ACCESS!$A$2:$M$250,225,0)</f>
        <v>0</v>
      </c>
      <c r="DW305" s="106">
        <f>+HLOOKUP($C305,ACCESS!$A$2:$M$250,227,0)</f>
        <v>0</v>
      </c>
      <c r="DX305" s="106">
        <f>+HLOOKUP($C305,ACCESS!$A$2:$M$250,228,0)</f>
        <v>0</v>
      </c>
      <c r="DY305" s="106">
        <f>+HLOOKUP($C305,ACCESS!$A$2:$M$250,236,0)</f>
        <v>0</v>
      </c>
      <c r="DZ305" s="106">
        <f>+HLOOKUP($C305,ACCESS!$A$2:$M$250,237,0)</f>
        <v>0</v>
      </c>
      <c r="EA305" s="106">
        <f>+HLOOKUP($C305,ACCESS!$A$2:$M$250,238,0)</f>
        <v>0</v>
      </c>
      <c r="EB305" s="106">
        <f>+HLOOKUP($C305,ACCESS!$A$2:$M$250,240,0)</f>
        <v>0</v>
      </c>
    </row>
    <row r="306" spans="1:132">
      <c r="A306" t="s">
        <v>269</v>
      </c>
      <c r="B306" t="s">
        <v>273</v>
      </c>
      <c r="C306" s="117">
        <v>45505</v>
      </c>
      <c r="D306" s="106">
        <f t="shared" si="11"/>
        <v>1105477.6899999997</v>
      </c>
      <c r="E306" s="106">
        <f>+HLOOKUP(C306,ACCESS!$A$2:$M$250,50,0)+HLOOKUP(C306,ACCESS!$A$2:$M$250,51,0)+HLOOKUP(C306,ACCESS!$A$2:$M$250,54,0)</f>
        <v>1105477.6899999997</v>
      </c>
      <c r="F306" s="106">
        <f>+HLOOKUP(C306,ACCESS!$A$2:$M$250,52,0)+HLOOKUP(C306,ACCESS!$A$2:$M$250,56,0)</f>
        <v>880453.90000000014</v>
      </c>
      <c r="G306" s="106">
        <f>+HLOOKUP($C306,ACCESS!$A$2:$M$250,76,0)</f>
        <v>0</v>
      </c>
      <c r="H306" s="106">
        <f>+HLOOKUP($C306,ACCESS!$A$2:$M$250,77,0)</f>
        <v>0</v>
      </c>
      <c r="I306" s="106">
        <f>+HLOOKUP($C306,ACCESS!$A$2:$M$250,78,0)</f>
        <v>0</v>
      </c>
      <c r="J306" s="106">
        <f>+HLOOKUP($C306,ACCESS!$A$2:$M$250,79,0)</f>
        <v>0</v>
      </c>
      <c r="K306" s="106">
        <f>+HLOOKUP($C306,ACCESS!$A$2:$M$250,80,0)</f>
        <v>0</v>
      </c>
      <c r="L306" s="106">
        <f>+HLOOKUP($C306,ACCESS!$A$2:$M$250,81,0)</f>
        <v>0</v>
      </c>
      <c r="M306" s="106">
        <f>+HLOOKUP($C306,ACCESS!$A$2:$M$250,82,0)</f>
        <v>0</v>
      </c>
      <c r="N306" s="106">
        <f>+HLOOKUP($C306,ACCESS!$A$2:$M$250,83,0)</f>
        <v>0</v>
      </c>
      <c r="O306" s="106">
        <f>+HLOOKUP($C306,ACCESS!$A$2:$M$250,84,0)</f>
        <v>0</v>
      </c>
      <c r="P306" s="106">
        <f>+HLOOKUP($C306,ACCESS!$A$2:$M$250,85,0)</f>
        <v>0</v>
      </c>
      <c r="Q306" s="106">
        <f>+HLOOKUP($C306,ACCESS!$A$2:$M$250,87,0)</f>
        <v>0</v>
      </c>
      <c r="R306" s="106">
        <f>+HLOOKUP($C306,ACCESS!$A$2:$M$250,90,0)</f>
        <v>0</v>
      </c>
      <c r="S306" s="106">
        <f>+HLOOKUP($C306,ACCESS!$A$2:$M$250,91,0)</f>
        <v>0</v>
      </c>
      <c r="T306" s="106">
        <f>+HLOOKUP($C306,ACCESS!$A$2:$M$250,92,0)</f>
        <v>0</v>
      </c>
      <c r="U306" s="106">
        <f>+HLOOKUP($C306,ACCESS!$A$2:$M$250,93,0)</f>
        <v>0</v>
      </c>
      <c r="V306" s="106">
        <f>+HLOOKUP($C306,ACCESS!$A$2:$M$250,94,0)</f>
        <v>0</v>
      </c>
      <c r="W306" s="106">
        <f>+HLOOKUP($C306,ACCESS!$A$2:$M$250,95,0)</f>
        <v>0</v>
      </c>
      <c r="X306" s="106">
        <f>+HLOOKUP($C306,ACCESS!$A$2:$M$250,96,0)</f>
        <v>0</v>
      </c>
      <c r="Y306" s="106">
        <f>+HLOOKUP($C306,ACCESS!$A$2:$M$250,97,0)</f>
        <v>0</v>
      </c>
      <c r="Z306" s="106">
        <f>+HLOOKUP($C306,ACCESS!$A$2:$M$250,98,0)</f>
        <v>0</v>
      </c>
      <c r="AA306" s="106">
        <f>+HLOOKUP($C306,ACCESS!$A$2:$M$250,99,0)</f>
        <v>0</v>
      </c>
      <c r="AB306" s="106">
        <f>+HLOOKUP($C306,ACCESS!$A$2:$M$250,100,0)</f>
        <v>0</v>
      </c>
      <c r="AC306" s="106">
        <f>+HLOOKUP($C306,ACCESS!$A$2:$M$250,101,0)</f>
        <v>0</v>
      </c>
      <c r="AD306" s="106">
        <f>+HLOOKUP($C306,ACCESS!$A$2:$M$250,104,0)</f>
        <v>0</v>
      </c>
      <c r="AE306" s="106">
        <f>+HLOOKUP($C306,ACCESS!$A$2:$M$250,105,0)</f>
        <v>0</v>
      </c>
      <c r="AF306" s="106">
        <f>+HLOOKUP($C306,ACCESS!$A$2:$M$250,106,0)</f>
        <v>0</v>
      </c>
      <c r="AG306" s="106">
        <f>+HLOOKUP($C306,ACCESS!$A$2:$M$250,107,0)</f>
        <v>0</v>
      </c>
      <c r="AH306" s="106">
        <f>+HLOOKUP($C306,ACCESS!$A$2:$M$250,108,0)</f>
        <v>0</v>
      </c>
      <c r="AI306" s="106">
        <f>+HLOOKUP($C306,ACCESS!$A$2:$M$250,109,0)</f>
        <v>0</v>
      </c>
      <c r="AJ306" s="106">
        <f>+HLOOKUP($C306,ACCESS!$A$2:$M$250,110,0)</f>
        <v>0</v>
      </c>
      <c r="AK306" s="106">
        <f>+HLOOKUP($C306,ACCESS!$A$2:$M$250,111,0)</f>
        <v>0</v>
      </c>
      <c r="AL306" s="106">
        <f>+HLOOKUP($C306,ACCESS!$A$2:$M$250,112,0)</f>
        <v>0</v>
      </c>
      <c r="AM306" s="106">
        <f>+HLOOKUP($C306,ACCESS!$A$2:$M$250,116,0)</f>
        <v>14300</v>
      </c>
      <c r="AN306" s="106">
        <f>+HLOOKUP($C306,ACCESS!$A$2:$M$250,117,0)</f>
        <v>1600</v>
      </c>
      <c r="AO306" s="106">
        <f>+HLOOKUP($C306,ACCESS!$A$2:$M$250,118,0)</f>
        <v>0</v>
      </c>
      <c r="AP306" s="106">
        <f>+HLOOKUP($C306,ACCESS!$A$2:$M$250,119,0)</f>
        <v>4000</v>
      </c>
      <c r="AQ306" s="106">
        <f>+HLOOKUP($C306,ACCESS!$A$2:$M$250,120,0)</f>
        <v>0</v>
      </c>
      <c r="AR306" s="106">
        <f>+HLOOKUP($C306,ACCESS!$A$2:$M$250,121,0)</f>
        <v>500</v>
      </c>
      <c r="AS306" s="106">
        <f>+HLOOKUP($C306,ACCESS!$A$2:$M$250,122,0)</f>
        <v>12100</v>
      </c>
      <c r="AT306" s="106">
        <f>+HLOOKUP($C306,ACCESS!$A$2:$M$250,123,0)</f>
        <v>1641</v>
      </c>
      <c r="AU306" s="106">
        <f>+HLOOKUP($C306,ACCESS!$A$2:$M$250,124,0)</f>
        <v>0</v>
      </c>
      <c r="AV306" s="106">
        <f>+HLOOKUP($C306,ACCESS!$A$2:$M$250,125,0)</f>
        <v>0</v>
      </c>
      <c r="AW306" s="106">
        <f>+HLOOKUP($C306,ACCESS!$A$2:$M$250,126,0)</f>
        <v>607.01923076923083</v>
      </c>
      <c r="AX306" s="106">
        <f>+HLOOKUP($C306,ACCESS!$A$2:$M$250,127,0)</f>
        <v>1052.1666666666667</v>
      </c>
      <c r="AY306" s="106">
        <f>+HLOOKUP($C306,ACCESS!$A$2:$M$250,129,0)</f>
        <v>0</v>
      </c>
      <c r="AZ306" s="106">
        <f>+HLOOKUP($C306,ACCESS!$A$2:$M$250,130,0)</f>
        <v>0</v>
      </c>
      <c r="BA306" s="106">
        <f>+HLOOKUP($C306,ACCESS!$A$2:$M$250,131,0)</f>
        <v>0</v>
      </c>
      <c r="BB306" s="106">
        <f>+HLOOKUP($C306,ACCESS!$A$2:$M$250,133,0)</f>
        <v>0</v>
      </c>
      <c r="BC306" s="106">
        <f>+HLOOKUP($C306,ACCESS!$A$2:$M$250,134,0)</f>
        <v>0</v>
      </c>
      <c r="BD306" s="106">
        <f>+HLOOKUP($C306,ACCESS!$A$2:$M$250,135,0)</f>
        <v>0</v>
      </c>
      <c r="BE306" s="106">
        <f>+HLOOKUP($C306,ACCESS!$A$2:$M$250,136,0)</f>
        <v>0</v>
      </c>
      <c r="BF306" s="106">
        <f>+HLOOKUP($C306,ACCESS!$A$2:$M$250,138,0)</f>
        <v>0</v>
      </c>
      <c r="BG306" s="106">
        <f>+HLOOKUP($C306,ACCESS!$A$2:$M$250,139,0)</f>
        <v>0</v>
      </c>
      <c r="BH306" s="106">
        <f>+HLOOKUP($C306,ACCESS!$A$2:$M$250,140,0)</f>
        <v>0</v>
      </c>
      <c r="BI306" s="106">
        <f>+HLOOKUP($C306,ACCESS!$A$2:$M$250,141,0)</f>
        <v>0</v>
      </c>
      <c r="BJ306" s="106">
        <f>+HLOOKUP($C306,ACCESS!$A$2:$M$250,142,0)</f>
        <v>0</v>
      </c>
      <c r="BK306" s="106">
        <f>+HLOOKUP($C306,ACCESS!$A$2:$M$250,143,0)</f>
        <v>0</v>
      </c>
      <c r="BL306" s="106">
        <f>+HLOOKUP($C306,ACCESS!$A$2:$M$250,144,0)</f>
        <v>0</v>
      </c>
      <c r="BM306" s="106">
        <f>+HLOOKUP($C306,ACCESS!$A$2:$M$250,146,0)</f>
        <v>0</v>
      </c>
      <c r="BN306" s="106">
        <f>+HLOOKUP($C306,ACCESS!$A$2:$M$250,147,0)</f>
        <v>0</v>
      </c>
      <c r="BO306" s="106">
        <f>+HLOOKUP($C306,ACCESS!$A$2:$M$250,148,0)</f>
        <v>0</v>
      </c>
      <c r="BP306" s="106">
        <f>+HLOOKUP($C306,ACCESS!$A$2:$M$250,150,0)</f>
        <v>0</v>
      </c>
      <c r="BQ306" s="106">
        <f>+HLOOKUP($C306,ACCESS!$A$2:$M$250,151,0)</f>
        <v>0</v>
      </c>
      <c r="BR306" s="106">
        <f>+HLOOKUP($C306,ACCESS!$A$2:$M$250,152,0)</f>
        <v>0</v>
      </c>
      <c r="BS306" s="106">
        <f>+HLOOKUP($C306,ACCESS!$A$2:$M$250,153,0)</f>
        <v>0</v>
      </c>
      <c r="BT306" s="106">
        <f>+HLOOKUP($C306,ACCESS!$A$2:$M$250,157,0)</f>
        <v>0</v>
      </c>
      <c r="BU306" s="106">
        <f>+HLOOKUP($C306,ACCESS!$A$2:$M$250,158,0)</f>
        <v>0</v>
      </c>
      <c r="BV306" s="106">
        <f>+HLOOKUP($C306,ACCESS!$A$2:$M$250,159,0)</f>
        <v>0</v>
      </c>
      <c r="BW306" s="106">
        <f>+HLOOKUP($C306,ACCESS!$A$2:$M$250,160,0)</f>
        <v>0</v>
      </c>
      <c r="BX306" s="106">
        <f>+HLOOKUP($C306,ACCESS!$A$2:$M$250,161,0)</f>
        <v>0</v>
      </c>
      <c r="BY306" s="106">
        <f>+HLOOKUP($C306,ACCESS!$A$2:$M$250,164,0)</f>
        <v>0</v>
      </c>
      <c r="BZ306" s="106">
        <f>+HLOOKUP($C306,ACCESS!$A$2:$M$250,165,0)</f>
        <v>0</v>
      </c>
      <c r="CA306" s="106">
        <f>+HLOOKUP($C306,ACCESS!$A$2:$M$250,166,0)</f>
        <v>0</v>
      </c>
      <c r="CB306" s="106">
        <f>+HLOOKUP($C306,ACCESS!$A$2:$M$250,167,0)</f>
        <v>0</v>
      </c>
      <c r="CC306" s="106">
        <f>+HLOOKUP($C306,ACCESS!$A$2:$M$250,168,0)</f>
        <v>0</v>
      </c>
      <c r="CD306" s="106">
        <f>+HLOOKUP($C306,ACCESS!$A$2:$M$250,169,0)</f>
        <v>0</v>
      </c>
      <c r="CE306" s="106">
        <f>+HLOOKUP($C306,ACCESS!$A$2:$M$250,170,0)</f>
        <v>0</v>
      </c>
      <c r="CF306" s="106">
        <f>+HLOOKUP($C306,ACCESS!$A$2:$M$250,172,0)</f>
        <v>0</v>
      </c>
      <c r="CG306" s="106">
        <f>+HLOOKUP($C306,ACCESS!$A$2:$M$250,173,0)</f>
        <v>0</v>
      </c>
      <c r="CH306" s="106">
        <f>+HLOOKUP($C306,ACCESS!$A$2:$M$250,174,0)</f>
        <v>0</v>
      </c>
      <c r="CI306" s="106">
        <f>+HLOOKUP($C306,ACCESS!$A$2:$M$250,175,0)</f>
        <v>0</v>
      </c>
      <c r="CJ306" s="106">
        <f>+HLOOKUP($C306,ACCESS!$A$2:$M$250,176,0)</f>
        <v>0</v>
      </c>
      <c r="CK306" s="106">
        <f>+HLOOKUP($C306,ACCESS!$A$2:$M$250,178,0)</f>
        <v>0</v>
      </c>
      <c r="CL306" s="106">
        <f>+HLOOKUP($C306,ACCESS!$A$2:$M$250,179,0)</f>
        <v>0</v>
      </c>
      <c r="CM306" s="106">
        <f>+HLOOKUP($C306,ACCESS!$A$2:$M$250,180,0)</f>
        <v>0</v>
      </c>
      <c r="CN306" s="106">
        <f>+HLOOKUP($C306,ACCESS!$A$2:$M$250,182,0)</f>
        <v>0</v>
      </c>
      <c r="CO306" s="106">
        <f>+HLOOKUP($C306,ACCESS!$A$2:$M$250,183,0)</f>
        <v>0</v>
      </c>
      <c r="CP306" s="106">
        <f>+HLOOKUP($C306,ACCESS!$A$2:$M$250,184,0)</f>
        <v>0</v>
      </c>
      <c r="CQ306" s="106">
        <f>+HLOOKUP($C306,ACCESS!$A$2:$M$250,185,0)</f>
        <v>0</v>
      </c>
      <c r="CR306" s="106">
        <f>+HLOOKUP($C306,ACCESS!$A$2:$M$250,187,0)</f>
        <v>0</v>
      </c>
      <c r="CS306" s="106">
        <f>+HLOOKUP($C306,ACCESS!$A$2:$M$250,188,0)</f>
        <v>0</v>
      </c>
      <c r="CT306" s="106">
        <f>+HLOOKUP($C306,ACCESS!$A$2:$M$250,189,0)</f>
        <v>0</v>
      </c>
      <c r="CU306" s="106">
        <f>+HLOOKUP($C306,ACCESS!$A$2:$M$250,190,0)</f>
        <v>0</v>
      </c>
      <c r="CV306" s="106">
        <f>+HLOOKUP($C306,ACCESS!$A$2:$M$250,191,0)</f>
        <v>0</v>
      </c>
      <c r="CW306" s="106">
        <f>+HLOOKUP($C306,ACCESS!$A$2:$M$250,193,0)</f>
        <v>0</v>
      </c>
      <c r="CX306" s="106">
        <f>+HLOOKUP($C306,ACCESS!$A$2:$M$250,194,0)</f>
        <v>0</v>
      </c>
      <c r="CY306" s="106">
        <f>+HLOOKUP($C306,ACCESS!$A$2:$M$250,195,0)</f>
        <v>0</v>
      </c>
      <c r="CZ306" s="106">
        <f>+HLOOKUP($C306,ACCESS!$A$2:$M$250,196,0)</f>
        <v>0</v>
      </c>
      <c r="DA306" s="106">
        <f>+HLOOKUP($C306,ACCESS!$A$2:$M$250,197,0)</f>
        <v>0</v>
      </c>
      <c r="DB306" s="106">
        <f>+HLOOKUP($C306,ACCESS!$A$2:$M$250,198,0)</f>
        <v>0</v>
      </c>
      <c r="DC306" s="106">
        <f>+HLOOKUP($C306,ACCESS!$A$2:$M$250,199,0)</f>
        <v>0</v>
      </c>
      <c r="DD306" s="106">
        <f>+HLOOKUP($C306,ACCESS!$A$2:$M$250,200,0)</f>
        <v>0</v>
      </c>
      <c r="DE306" s="106">
        <f>+HLOOKUP($C306,ACCESS!$A$2:$M$250,201,0)</f>
        <v>0</v>
      </c>
      <c r="DF306" s="106">
        <f>+HLOOKUP($C306,ACCESS!$A$2:$M$250,202,0)</f>
        <v>0</v>
      </c>
      <c r="DG306" s="106">
        <f>+HLOOKUP($C306,ACCESS!$A$2:$M$250,203,0)</f>
        <v>0</v>
      </c>
      <c r="DH306" s="106">
        <f>+HLOOKUP($C306,ACCESS!$A$2:$M$250,205,0)</f>
        <v>0</v>
      </c>
      <c r="DI306" s="106">
        <f>+HLOOKUP($C306,ACCESS!$A$2:$M$250,206,0)</f>
        <v>0</v>
      </c>
      <c r="DJ306" s="106">
        <f>+HLOOKUP($C306,ACCESS!$A$2:$M$250,207,0)</f>
        <v>0</v>
      </c>
      <c r="DK306" s="106">
        <f>+HLOOKUP($C306,ACCESS!$A$2:$M$250,209,0)</f>
        <v>0</v>
      </c>
      <c r="DL306" s="106">
        <f>+HLOOKUP($C306,ACCESS!$A$2:$M$250,210,0)</f>
        <v>0</v>
      </c>
      <c r="DM306" s="106">
        <f>+HLOOKUP($C306,ACCESS!$A$2:$M$250,211,0)</f>
        <v>0</v>
      </c>
      <c r="DN306" s="106">
        <f>+HLOOKUP($C306,ACCESS!$A$2:$M$250,212,0)</f>
        <v>0</v>
      </c>
      <c r="DO306" s="106">
        <f>+HLOOKUP($C306,ACCESS!$A$2:$M$250,214,0)</f>
        <v>0</v>
      </c>
      <c r="DP306" s="106">
        <f>+HLOOKUP($C306,ACCESS!$A$2:$M$250,215,0)</f>
        <v>0</v>
      </c>
      <c r="DQ306" s="106">
        <f>+HLOOKUP($C306,ACCESS!$A$2:$M$250,219,0)</f>
        <v>0</v>
      </c>
      <c r="DR306" s="106">
        <f>+HLOOKUP($C306,ACCESS!$A$2:$M$250,220,0)</f>
        <v>0</v>
      </c>
      <c r="DS306" s="106">
        <f>+HLOOKUP($C306,ACCESS!$A$2:$M$250,221,0)</f>
        <v>0</v>
      </c>
      <c r="DT306" s="106">
        <f>+HLOOKUP($C306,ACCESS!$A$2:$M$250,223,0)</f>
        <v>0</v>
      </c>
      <c r="DU306" s="106">
        <f>+HLOOKUP($C306,ACCESS!$A$2:$M$250,224,0)</f>
        <v>0</v>
      </c>
      <c r="DV306" s="106">
        <f>+HLOOKUP($C306,ACCESS!$A$2:$M$250,225,0)</f>
        <v>0</v>
      </c>
      <c r="DW306" s="106">
        <f>+HLOOKUP($C306,ACCESS!$A$2:$M$250,227,0)</f>
        <v>0</v>
      </c>
      <c r="DX306" s="106">
        <f>+HLOOKUP($C306,ACCESS!$A$2:$M$250,228,0)</f>
        <v>0</v>
      </c>
      <c r="DY306" s="106">
        <f>+HLOOKUP($C306,ACCESS!$A$2:$M$250,236,0)</f>
        <v>0</v>
      </c>
      <c r="DZ306" s="106">
        <f>+HLOOKUP($C306,ACCESS!$A$2:$M$250,237,0)</f>
        <v>0</v>
      </c>
      <c r="EA306" s="106">
        <f>+HLOOKUP($C306,ACCESS!$A$2:$M$250,238,0)</f>
        <v>0</v>
      </c>
      <c r="EB306" s="106">
        <f>+HLOOKUP($C306,ACCESS!$A$2:$M$250,240,0)</f>
        <v>0</v>
      </c>
    </row>
    <row r="307" spans="1:132">
      <c r="A307" t="s">
        <v>269</v>
      </c>
      <c r="B307" t="s">
        <v>273</v>
      </c>
      <c r="C307" s="117">
        <v>45474</v>
      </c>
      <c r="D307" s="106">
        <f t="shared" si="11"/>
        <v>644183.87</v>
      </c>
      <c r="E307" s="106">
        <f>+HLOOKUP(C307,ACCESS!$A$2:$M$250,50,0)+HLOOKUP(C307,ACCESS!$A$2:$M$250,51,0)+HLOOKUP(C307,ACCESS!$A$2:$M$250,54,0)</f>
        <v>644183.87</v>
      </c>
      <c r="F307" s="106">
        <f>+HLOOKUP(C307,ACCESS!$A$2:$M$250,52,0)+HLOOKUP(C307,ACCESS!$A$2:$M$250,56,0)</f>
        <v>538324.72999999952</v>
      </c>
      <c r="G307" s="106">
        <f>+HLOOKUP($C307,ACCESS!$A$2:$M$250,76,0)</f>
        <v>0</v>
      </c>
      <c r="H307" s="106">
        <f>+HLOOKUP($C307,ACCESS!$A$2:$M$250,77,0)</f>
        <v>0</v>
      </c>
      <c r="I307" s="106">
        <f>+HLOOKUP($C307,ACCESS!$A$2:$M$250,78,0)</f>
        <v>0</v>
      </c>
      <c r="J307" s="106">
        <f>+HLOOKUP($C307,ACCESS!$A$2:$M$250,79,0)</f>
        <v>0</v>
      </c>
      <c r="K307" s="106">
        <f>+HLOOKUP($C307,ACCESS!$A$2:$M$250,80,0)</f>
        <v>0</v>
      </c>
      <c r="L307" s="106">
        <f>+HLOOKUP($C307,ACCESS!$A$2:$M$250,81,0)</f>
        <v>0</v>
      </c>
      <c r="M307" s="106">
        <f>+HLOOKUP($C307,ACCESS!$A$2:$M$250,82,0)</f>
        <v>0</v>
      </c>
      <c r="N307" s="106">
        <f>+HLOOKUP($C307,ACCESS!$A$2:$M$250,83,0)</f>
        <v>0</v>
      </c>
      <c r="O307" s="106">
        <f>+HLOOKUP($C307,ACCESS!$A$2:$M$250,84,0)</f>
        <v>0</v>
      </c>
      <c r="P307" s="106">
        <f>+HLOOKUP($C307,ACCESS!$A$2:$M$250,85,0)</f>
        <v>0</v>
      </c>
      <c r="Q307" s="106">
        <f>+HLOOKUP($C307,ACCESS!$A$2:$M$250,87,0)</f>
        <v>1200</v>
      </c>
      <c r="R307" s="106">
        <f>+HLOOKUP($C307,ACCESS!$A$2:$M$250,90,0)</f>
        <v>0</v>
      </c>
      <c r="S307" s="106">
        <f>+HLOOKUP($C307,ACCESS!$A$2:$M$250,91,0)</f>
        <v>0</v>
      </c>
      <c r="T307" s="106">
        <f>+HLOOKUP($C307,ACCESS!$A$2:$M$250,92,0)</f>
        <v>0</v>
      </c>
      <c r="U307" s="106">
        <f>+HLOOKUP($C307,ACCESS!$A$2:$M$250,93,0)</f>
        <v>0</v>
      </c>
      <c r="V307" s="106">
        <f>+HLOOKUP($C307,ACCESS!$A$2:$M$250,94,0)</f>
        <v>0</v>
      </c>
      <c r="W307" s="106">
        <f>+HLOOKUP($C307,ACCESS!$A$2:$M$250,95,0)</f>
        <v>0</v>
      </c>
      <c r="X307" s="106">
        <f>+HLOOKUP($C307,ACCESS!$A$2:$M$250,96,0)</f>
        <v>0</v>
      </c>
      <c r="Y307" s="106">
        <f>+HLOOKUP($C307,ACCESS!$A$2:$M$250,97,0)</f>
        <v>0</v>
      </c>
      <c r="Z307" s="106">
        <f>+HLOOKUP($C307,ACCESS!$A$2:$M$250,98,0)</f>
        <v>0</v>
      </c>
      <c r="AA307" s="106">
        <f>+HLOOKUP($C307,ACCESS!$A$2:$M$250,99,0)</f>
        <v>0</v>
      </c>
      <c r="AB307" s="106">
        <f>+HLOOKUP($C307,ACCESS!$A$2:$M$250,100,0)</f>
        <v>0</v>
      </c>
      <c r="AC307" s="106">
        <f>+HLOOKUP($C307,ACCESS!$A$2:$M$250,101,0)</f>
        <v>0</v>
      </c>
      <c r="AD307" s="106">
        <f>+HLOOKUP($C307,ACCESS!$A$2:$M$250,104,0)</f>
        <v>0</v>
      </c>
      <c r="AE307" s="106">
        <f>+HLOOKUP($C307,ACCESS!$A$2:$M$250,105,0)</f>
        <v>0</v>
      </c>
      <c r="AF307" s="106">
        <f>+HLOOKUP($C307,ACCESS!$A$2:$M$250,106,0)</f>
        <v>0</v>
      </c>
      <c r="AG307" s="106">
        <f>+HLOOKUP($C307,ACCESS!$A$2:$M$250,107,0)</f>
        <v>0</v>
      </c>
      <c r="AH307" s="106">
        <f>+HLOOKUP($C307,ACCESS!$A$2:$M$250,108,0)</f>
        <v>0</v>
      </c>
      <c r="AI307" s="106">
        <f>+HLOOKUP($C307,ACCESS!$A$2:$M$250,109,0)</f>
        <v>0</v>
      </c>
      <c r="AJ307" s="106">
        <f>+HLOOKUP($C307,ACCESS!$A$2:$M$250,110,0)</f>
        <v>0</v>
      </c>
      <c r="AK307" s="106">
        <f>+HLOOKUP($C307,ACCESS!$A$2:$M$250,111,0)</f>
        <v>0</v>
      </c>
      <c r="AL307" s="106">
        <f>+HLOOKUP($C307,ACCESS!$A$2:$M$250,112,0)</f>
        <v>0</v>
      </c>
      <c r="AM307" s="106">
        <f>+HLOOKUP($C307,ACCESS!$A$2:$M$250,116,0)</f>
        <v>14300</v>
      </c>
      <c r="AN307" s="106">
        <f>+HLOOKUP($C307,ACCESS!$A$2:$M$250,117,0)</f>
        <v>1600</v>
      </c>
      <c r="AO307" s="106">
        <f>+HLOOKUP($C307,ACCESS!$A$2:$M$250,118,0)</f>
        <v>0</v>
      </c>
      <c r="AP307" s="106">
        <f>+HLOOKUP($C307,ACCESS!$A$2:$M$250,119,0)</f>
        <v>4000</v>
      </c>
      <c r="AQ307" s="106">
        <f>+HLOOKUP($C307,ACCESS!$A$2:$M$250,120,0)</f>
        <v>0</v>
      </c>
      <c r="AR307" s="106">
        <f>+HLOOKUP($C307,ACCESS!$A$2:$M$250,121,0)</f>
        <v>500</v>
      </c>
      <c r="AS307" s="106">
        <f>+HLOOKUP($C307,ACCESS!$A$2:$M$250,122,0)</f>
        <v>12100</v>
      </c>
      <c r="AT307" s="106">
        <f>+HLOOKUP($C307,ACCESS!$A$2:$M$250,123,0)</f>
        <v>1641</v>
      </c>
      <c r="AU307" s="106">
        <f>+HLOOKUP($C307,ACCESS!$A$2:$M$250,124,0)</f>
        <v>0</v>
      </c>
      <c r="AV307" s="106">
        <f>+HLOOKUP($C307,ACCESS!$A$2:$M$250,125,0)</f>
        <v>0</v>
      </c>
      <c r="AW307" s="106">
        <f>+HLOOKUP($C307,ACCESS!$A$2:$M$250,126,0)</f>
        <v>607.01923076923083</v>
      </c>
      <c r="AX307" s="106">
        <f>+HLOOKUP($C307,ACCESS!$A$2:$M$250,127,0)</f>
        <v>1052.1666666666667</v>
      </c>
      <c r="AY307" s="106">
        <f>+HLOOKUP($C307,ACCESS!$A$2:$M$250,129,0)</f>
        <v>0</v>
      </c>
      <c r="AZ307" s="106">
        <f>+HLOOKUP($C307,ACCESS!$A$2:$M$250,130,0)</f>
        <v>0</v>
      </c>
      <c r="BA307" s="106">
        <f>+HLOOKUP($C307,ACCESS!$A$2:$M$250,131,0)</f>
        <v>0</v>
      </c>
      <c r="BB307" s="106">
        <f>+HLOOKUP($C307,ACCESS!$A$2:$M$250,133,0)</f>
        <v>0</v>
      </c>
      <c r="BC307" s="106">
        <f>+HLOOKUP($C307,ACCESS!$A$2:$M$250,134,0)</f>
        <v>0</v>
      </c>
      <c r="BD307" s="106">
        <f>+HLOOKUP($C307,ACCESS!$A$2:$M$250,135,0)</f>
        <v>0</v>
      </c>
      <c r="BE307" s="106">
        <f>+HLOOKUP($C307,ACCESS!$A$2:$M$250,136,0)</f>
        <v>0</v>
      </c>
      <c r="BF307" s="106">
        <f>+HLOOKUP($C307,ACCESS!$A$2:$M$250,138,0)</f>
        <v>0</v>
      </c>
      <c r="BG307" s="106">
        <f>+HLOOKUP($C307,ACCESS!$A$2:$M$250,139,0)</f>
        <v>0</v>
      </c>
      <c r="BH307" s="106">
        <f>+HLOOKUP($C307,ACCESS!$A$2:$M$250,140,0)</f>
        <v>0</v>
      </c>
      <c r="BI307" s="106">
        <f>+HLOOKUP($C307,ACCESS!$A$2:$M$250,141,0)</f>
        <v>0</v>
      </c>
      <c r="BJ307" s="106">
        <f>+HLOOKUP($C307,ACCESS!$A$2:$M$250,142,0)</f>
        <v>0</v>
      </c>
      <c r="BK307" s="106">
        <f>+HLOOKUP($C307,ACCESS!$A$2:$M$250,143,0)</f>
        <v>0</v>
      </c>
      <c r="BL307" s="106">
        <f>+HLOOKUP($C307,ACCESS!$A$2:$M$250,144,0)</f>
        <v>0</v>
      </c>
      <c r="BM307" s="106">
        <f>+HLOOKUP($C307,ACCESS!$A$2:$M$250,146,0)</f>
        <v>0</v>
      </c>
      <c r="BN307" s="106">
        <f>+HLOOKUP($C307,ACCESS!$A$2:$M$250,147,0)</f>
        <v>0</v>
      </c>
      <c r="BO307" s="106">
        <f>+HLOOKUP($C307,ACCESS!$A$2:$M$250,148,0)</f>
        <v>0</v>
      </c>
      <c r="BP307" s="106">
        <f>+HLOOKUP($C307,ACCESS!$A$2:$M$250,150,0)</f>
        <v>0</v>
      </c>
      <c r="BQ307" s="106">
        <f>+HLOOKUP($C307,ACCESS!$A$2:$M$250,151,0)</f>
        <v>0</v>
      </c>
      <c r="BR307" s="106">
        <f>+HLOOKUP($C307,ACCESS!$A$2:$M$250,152,0)</f>
        <v>0</v>
      </c>
      <c r="BS307" s="106">
        <f>+HLOOKUP($C307,ACCESS!$A$2:$M$250,153,0)</f>
        <v>0</v>
      </c>
      <c r="BT307" s="106">
        <f>+HLOOKUP($C307,ACCESS!$A$2:$M$250,157,0)</f>
        <v>0</v>
      </c>
      <c r="BU307" s="106">
        <f>+HLOOKUP($C307,ACCESS!$A$2:$M$250,158,0)</f>
        <v>0</v>
      </c>
      <c r="BV307" s="106">
        <f>+HLOOKUP($C307,ACCESS!$A$2:$M$250,159,0)</f>
        <v>0</v>
      </c>
      <c r="BW307" s="106">
        <f>+HLOOKUP($C307,ACCESS!$A$2:$M$250,160,0)</f>
        <v>0</v>
      </c>
      <c r="BX307" s="106">
        <f>+HLOOKUP($C307,ACCESS!$A$2:$M$250,161,0)</f>
        <v>0</v>
      </c>
      <c r="BY307" s="106">
        <f>+HLOOKUP($C307,ACCESS!$A$2:$M$250,164,0)</f>
        <v>0</v>
      </c>
      <c r="BZ307" s="106">
        <f>+HLOOKUP($C307,ACCESS!$A$2:$M$250,165,0)</f>
        <v>0</v>
      </c>
      <c r="CA307" s="106">
        <f>+HLOOKUP($C307,ACCESS!$A$2:$M$250,166,0)</f>
        <v>0</v>
      </c>
      <c r="CB307" s="106">
        <f>+HLOOKUP($C307,ACCESS!$A$2:$M$250,167,0)</f>
        <v>0</v>
      </c>
      <c r="CC307" s="106">
        <f>+HLOOKUP($C307,ACCESS!$A$2:$M$250,168,0)</f>
        <v>0</v>
      </c>
      <c r="CD307" s="106">
        <f>+HLOOKUP($C307,ACCESS!$A$2:$M$250,169,0)</f>
        <v>0</v>
      </c>
      <c r="CE307" s="106">
        <f>+HLOOKUP($C307,ACCESS!$A$2:$M$250,170,0)</f>
        <v>0</v>
      </c>
      <c r="CF307" s="106">
        <f>+HLOOKUP($C307,ACCESS!$A$2:$M$250,172,0)</f>
        <v>0</v>
      </c>
      <c r="CG307" s="106">
        <f>+HLOOKUP($C307,ACCESS!$A$2:$M$250,173,0)</f>
        <v>0</v>
      </c>
      <c r="CH307" s="106">
        <f>+HLOOKUP($C307,ACCESS!$A$2:$M$250,174,0)</f>
        <v>0</v>
      </c>
      <c r="CI307" s="106">
        <f>+HLOOKUP($C307,ACCESS!$A$2:$M$250,175,0)</f>
        <v>0</v>
      </c>
      <c r="CJ307" s="106">
        <f>+HLOOKUP($C307,ACCESS!$A$2:$M$250,176,0)</f>
        <v>0</v>
      </c>
      <c r="CK307" s="106">
        <f>+HLOOKUP($C307,ACCESS!$A$2:$M$250,178,0)</f>
        <v>0</v>
      </c>
      <c r="CL307" s="106">
        <f>+HLOOKUP($C307,ACCESS!$A$2:$M$250,179,0)</f>
        <v>0</v>
      </c>
      <c r="CM307" s="106">
        <f>+HLOOKUP($C307,ACCESS!$A$2:$M$250,180,0)</f>
        <v>0</v>
      </c>
      <c r="CN307" s="106">
        <f>+HLOOKUP($C307,ACCESS!$A$2:$M$250,182,0)</f>
        <v>0</v>
      </c>
      <c r="CO307" s="106">
        <f>+HLOOKUP($C307,ACCESS!$A$2:$M$250,183,0)</f>
        <v>0</v>
      </c>
      <c r="CP307" s="106">
        <f>+HLOOKUP($C307,ACCESS!$A$2:$M$250,184,0)</f>
        <v>0</v>
      </c>
      <c r="CQ307" s="106">
        <f>+HLOOKUP($C307,ACCESS!$A$2:$M$250,185,0)</f>
        <v>0</v>
      </c>
      <c r="CR307" s="106">
        <f>+HLOOKUP($C307,ACCESS!$A$2:$M$250,187,0)</f>
        <v>0</v>
      </c>
      <c r="CS307" s="106">
        <f>+HLOOKUP($C307,ACCESS!$A$2:$M$250,188,0)</f>
        <v>0</v>
      </c>
      <c r="CT307" s="106">
        <f>+HLOOKUP($C307,ACCESS!$A$2:$M$250,189,0)</f>
        <v>0</v>
      </c>
      <c r="CU307" s="106">
        <f>+HLOOKUP($C307,ACCESS!$A$2:$M$250,190,0)</f>
        <v>0</v>
      </c>
      <c r="CV307" s="106">
        <f>+HLOOKUP($C307,ACCESS!$A$2:$M$250,191,0)</f>
        <v>0</v>
      </c>
      <c r="CW307" s="106">
        <f>+HLOOKUP($C307,ACCESS!$A$2:$M$250,193,0)</f>
        <v>0</v>
      </c>
      <c r="CX307" s="106">
        <f>+HLOOKUP($C307,ACCESS!$A$2:$M$250,194,0)</f>
        <v>0</v>
      </c>
      <c r="CY307" s="106">
        <f>+HLOOKUP($C307,ACCESS!$A$2:$M$250,195,0)</f>
        <v>0</v>
      </c>
      <c r="CZ307" s="106">
        <f>+HLOOKUP($C307,ACCESS!$A$2:$M$250,196,0)</f>
        <v>0</v>
      </c>
      <c r="DA307" s="106">
        <f>+HLOOKUP($C307,ACCESS!$A$2:$M$250,197,0)</f>
        <v>0</v>
      </c>
      <c r="DB307" s="106">
        <f>+HLOOKUP($C307,ACCESS!$A$2:$M$250,198,0)</f>
        <v>0</v>
      </c>
      <c r="DC307" s="106">
        <f>+HLOOKUP($C307,ACCESS!$A$2:$M$250,199,0)</f>
        <v>0</v>
      </c>
      <c r="DD307" s="106">
        <f>+HLOOKUP($C307,ACCESS!$A$2:$M$250,200,0)</f>
        <v>0</v>
      </c>
      <c r="DE307" s="106">
        <f>+HLOOKUP($C307,ACCESS!$A$2:$M$250,201,0)</f>
        <v>0</v>
      </c>
      <c r="DF307" s="106">
        <f>+HLOOKUP($C307,ACCESS!$A$2:$M$250,202,0)</f>
        <v>0</v>
      </c>
      <c r="DG307" s="106">
        <f>+HLOOKUP($C307,ACCESS!$A$2:$M$250,203,0)</f>
        <v>0</v>
      </c>
      <c r="DH307" s="106">
        <f>+HLOOKUP($C307,ACCESS!$A$2:$M$250,205,0)</f>
        <v>0</v>
      </c>
      <c r="DI307" s="106">
        <f>+HLOOKUP($C307,ACCESS!$A$2:$M$250,206,0)</f>
        <v>0</v>
      </c>
      <c r="DJ307" s="106">
        <f>+HLOOKUP($C307,ACCESS!$A$2:$M$250,207,0)</f>
        <v>0</v>
      </c>
      <c r="DK307" s="106">
        <f>+HLOOKUP($C307,ACCESS!$A$2:$M$250,209,0)</f>
        <v>0</v>
      </c>
      <c r="DL307" s="106">
        <f>+HLOOKUP($C307,ACCESS!$A$2:$M$250,210,0)</f>
        <v>0</v>
      </c>
      <c r="DM307" s="106">
        <f>+HLOOKUP($C307,ACCESS!$A$2:$M$250,211,0)</f>
        <v>0</v>
      </c>
      <c r="DN307" s="106">
        <f>+HLOOKUP($C307,ACCESS!$A$2:$M$250,212,0)</f>
        <v>0</v>
      </c>
      <c r="DO307" s="106">
        <f>+HLOOKUP($C307,ACCESS!$A$2:$M$250,214,0)</f>
        <v>0</v>
      </c>
      <c r="DP307" s="106">
        <f>+HLOOKUP($C307,ACCESS!$A$2:$M$250,215,0)</f>
        <v>0</v>
      </c>
      <c r="DQ307" s="106">
        <f>+HLOOKUP($C307,ACCESS!$A$2:$M$250,219,0)</f>
        <v>0</v>
      </c>
      <c r="DR307" s="106">
        <f>+HLOOKUP($C307,ACCESS!$A$2:$M$250,220,0)</f>
        <v>0</v>
      </c>
      <c r="DS307" s="106">
        <f>+HLOOKUP($C307,ACCESS!$A$2:$M$250,221,0)</f>
        <v>0</v>
      </c>
      <c r="DT307" s="106">
        <f>+HLOOKUP($C307,ACCESS!$A$2:$M$250,223,0)</f>
        <v>0</v>
      </c>
      <c r="DU307" s="106">
        <f>+HLOOKUP($C307,ACCESS!$A$2:$M$250,224,0)</f>
        <v>0</v>
      </c>
      <c r="DV307" s="106">
        <f>+HLOOKUP($C307,ACCESS!$A$2:$M$250,225,0)</f>
        <v>0</v>
      </c>
      <c r="DW307" s="106">
        <f>+HLOOKUP($C307,ACCESS!$A$2:$M$250,227,0)</f>
        <v>0</v>
      </c>
      <c r="DX307" s="106">
        <f>+HLOOKUP($C307,ACCESS!$A$2:$M$250,228,0)</f>
        <v>0</v>
      </c>
      <c r="DY307" s="106">
        <f>+HLOOKUP($C307,ACCESS!$A$2:$M$250,236,0)</f>
        <v>0</v>
      </c>
      <c r="DZ307" s="106">
        <f>+HLOOKUP($C307,ACCESS!$A$2:$M$250,237,0)</f>
        <v>0</v>
      </c>
      <c r="EA307" s="106">
        <f>+HLOOKUP($C307,ACCESS!$A$2:$M$250,238,0)</f>
        <v>0</v>
      </c>
      <c r="EB307" s="106">
        <f>+HLOOKUP($C307,ACCESS!$A$2:$M$250,240,0)</f>
        <v>0</v>
      </c>
    </row>
    <row r="308" spans="1:132">
      <c r="A308" t="s">
        <v>269</v>
      </c>
      <c r="B308" t="s">
        <v>273</v>
      </c>
      <c r="C308" s="117">
        <v>45444</v>
      </c>
      <c r="D308" s="106">
        <f t="shared" si="11"/>
        <v>891911</v>
      </c>
      <c r="E308" s="106">
        <f>+HLOOKUP(C308,ACCESS!$A$2:$M$250,50,0)+HLOOKUP(C308,ACCESS!$A$2:$M$250,51,0)+HLOOKUP(C308,ACCESS!$A$2:$M$250,54,0)</f>
        <v>891911</v>
      </c>
      <c r="F308" s="106">
        <f>+HLOOKUP(C308,ACCESS!$A$2:$M$250,52,0)+HLOOKUP(C308,ACCESS!$A$2:$M$250,56,0)</f>
        <v>748035.37</v>
      </c>
      <c r="G308" s="106">
        <f>+HLOOKUP($C308,ACCESS!$A$2:$M$250,76,0)</f>
        <v>0</v>
      </c>
      <c r="H308" s="106">
        <f>+HLOOKUP($C308,ACCESS!$A$2:$M$250,77,0)</f>
        <v>0</v>
      </c>
      <c r="I308" s="106">
        <f>+HLOOKUP($C308,ACCESS!$A$2:$M$250,78,0)</f>
        <v>0</v>
      </c>
      <c r="J308" s="106">
        <f>+HLOOKUP($C308,ACCESS!$A$2:$M$250,79,0)</f>
        <v>0</v>
      </c>
      <c r="K308" s="106">
        <f>+HLOOKUP($C308,ACCESS!$A$2:$M$250,80,0)</f>
        <v>0</v>
      </c>
      <c r="L308" s="106">
        <f>+HLOOKUP($C308,ACCESS!$A$2:$M$250,81,0)</f>
        <v>0</v>
      </c>
      <c r="M308" s="106">
        <f>+HLOOKUP($C308,ACCESS!$A$2:$M$250,82,0)</f>
        <v>0</v>
      </c>
      <c r="N308" s="106">
        <f>+HLOOKUP($C308,ACCESS!$A$2:$M$250,83,0)</f>
        <v>0</v>
      </c>
      <c r="O308" s="106">
        <f>+HLOOKUP($C308,ACCESS!$A$2:$M$250,84,0)</f>
        <v>0</v>
      </c>
      <c r="P308" s="106">
        <f>+HLOOKUP($C308,ACCESS!$A$2:$M$250,85,0)</f>
        <v>0</v>
      </c>
      <c r="Q308" s="106">
        <f>+HLOOKUP($C308,ACCESS!$A$2:$M$250,87,0)</f>
        <v>0</v>
      </c>
      <c r="R308" s="106">
        <f>+HLOOKUP($C308,ACCESS!$A$2:$M$250,90,0)</f>
        <v>0</v>
      </c>
      <c r="S308" s="106">
        <f>+HLOOKUP($C308,ACCESS!$A$2:$M$250,91,0)</f>
        <v>0</v>
      </c>
      <c r="T308" s="106">
        <f>+HLOOKUP($C308,ACCESS!$A$2:$M$250,92,0)</f>
        <v>0</v>
      </c>
      <c r="U308" s="106">
        <f>+HLOOKUP($C308,ACCESS!$A$2:$M$250,93,0)</f>
        <v>0</v>
      </c>
      <c r="V308" s="106">
        <f>+HLOOKUP($C308,ACCESS!$A$2:$M$250,94,0)</f>
        <v>0</v>
      </c>
      <c r="W308" s="106">
        <f>+HLOOKUP($C308,ACCESS!$A$2:$M$250,95,0)</f>
        <v>0</v>
      </c>
      <c r="X308" s="106">
        <f>+HLOOKUP($C308,ACCESS!$A$2:$M$250,96,0)</f>
        <v>0</v>
      </c>
      <c r="Y308" s="106">
        <f>+HLOOKUP($C308,ACCESS!$A$2:$M$250,97,0)</f>
        <v>0</v>
      </c>
      <c r="Z308" s="106">
        <f>+HLOOKUP($C308,ACCESS!$A$2:$M$250,98,0)</f>
        <v>0</v>
      </c>
      <c r="AA308" s="106">
        <f>+HLOOKUP($C308,ACCESS!$A$2:$M$250,99,0)</f>
        <v>0</v>
      </c>
      <c r="AB308" s="106">
        <f>+HLOOKUP($C308,ACCESS!$A$2:$M$250,100,0)</f>
        <v>0</v>
      </c>
      <c r="AC308" s="106">
        <f>+HLOOKUP($C308,ACCESS!$A$2:$M$250,101,0)</f>
        <v>0</v>
      </c>
      <c r="AD308" s="106">
        <f>+HLOOKUP($C308,ACCESS!$A$2:$M$250,104,0)</f>
        <v>0</v>
      </c>
      <c r="AE308" s="106">
        <f>+HLOOKUP($C308,ACCESS!$A$2:$M$250,105,0)</f>
        <v>0</v>
      </c>
      <c r="AF308" s="106">
        <f>+HLOOKUP($C308,ACCESS!$A$2:$M$250,106,0)</f>
        <v>0</v>
      </c>
      <c r="AG308" s="106">
        <f>+HLOOKUP($C308,ACCESS!$A$2:$M$250,107,0)</f>
        <v>0</v>
      </c>
      <c r="AH308" s="106">
        <f>+HLOOKUP($C308,ACCESS!$A$2:$M$250,108,0)</f>
        <v>0</v>
      </c>
      <c r="AI308" s="106">
        <f>+HLOOKUP($C308,ACCESS!$A$2:$M$250,109,0)</f>
        <v>0</v>
      </c>
      <c r="AJ308" s="106">
        <f>+HLOOKUP($C308,ACCESS!$A$2:$M$250,110,0)</f>
        <v>0</v>
      </c>
      <c r="AK308" s="106">
        <f>+HLOOKUP($C308,ACCESS!$A$2:$M$250,111,0)</f>
        <v>0</v>
      </c>
      <c r="AL308" s="106">
        <f>+HLOOKUP($C308,ACCESS!$A$2:$M$250,112,0)</f>
        <v>0</v>
      </c>
      <c r="AM308" s="106">
        <f>+HLOOKUP($C308,ACCESS!$A$2:$M$250,116,0)</f>
        <v>14300</v>
      </c>
      <c r="AN308" s="106">
        <f>+HLOOKUP($C308,ACCESS!$A$2:$M$250,117,0)</f>
        <v>1600</v>
      </c>
      <c r="AO308" s="106">
        <f>+HLOOKUP($C308,ACCESS!$A$2:$M$250,118,0)</f>
        <v>0</v>
      </c>
      <c r="AP308" s="106">
        <f>+HLOOKUP($C308,ACCESS!$A$2:$M$250,119,0)</f>
        <v>4000</v>
      </c>
      <c r="AQ308" s="106">
        <f>+HLOOKUP($C308,ACCESS!$A$2:$M$250,120,0)</f>
        <v>0</v>
      </c>
      <c r="AR308" s="106">
        <f>+HLOOKUP($C308,ACCESS!$A$2:$M$250,121,0)</f>
        <v>500</v>
      </c>
      <c r="AS308" s="106">
        <f>+HLOOKUP($C308,ACCESS!$A$2:$M$250,122,0)</f>
        <v>12100</v>
      </c>
      <c r="AT308" s="106">
        <f>+HLOOKUP($C308,ACCESS!$A$2:$M$250,123,0)</f>
        <v>1641</v>
      </c>
      <c r="AU308" s="106">
        <f>+HLOOKUP($C308,ACCESS!$A$2:$M$250,124,0)</f>
        <v>0</v>
      </c>
      <c r="AV308" s="106">
        <f>+HLOOKUP($C308,ACCESS!$A$2:$M$250,125,0)</f>
        <v>0</v>
      </c>
      <c r="AW308" s="106">
        <f>+HLOOKUP($C308,ACCESS!$A$2:$M$250,126,0)</f>
        <v>607.01923076923083</v>
      </c>
      <c r="AX308" s="106">
        <f>+HLOOKUP($C308,ACCESS!$A$2:$M$250,127,0)</f>
        <v>1052.1666666666667</v>
      </c>
      <c r="AY308" s="106">
        <f>+HLOOKUP($C308,ACCESS!$A$2:$M$250,129,0)</f>
        <v>0</v>
      </c>
      <c r="AZ308" s="106">
        <f>+HLOOKUP($C308,ACCESS!$A$2:$M$250,130,0)</f>
        <v>0</v>
      </c>
      <c r="BA308" s="106">
        <f>+HLOOKUP($C308,ACCESS!$A$2:$M$250,131,0)</f>
        <v>0</v>
      </c>
      <c r="BB308" s="106">
        <f>+HLOOKUP($C308,ACCESS!$A$2:$M$250,133,0)</f>
        <v>0</v>
      </c>
      <c r="BC308" s="106">
        <f>+HLOOKUP($C308,ACCESS!$A$2:$M$250,134,0)</f>
        <v>0</v>
      </c>
      <c r="BD308" s="106">
        <f>+HLOOKUP($C308,ACCESS!$A$2:$M$250,135,0)</f>
        <v>0</v>
      </c>
      <c r="BE308" s="106">
        <f>+HLOOKUP($C308,ACCESS!$A$2:$M$250,136,0)</f>
        <v>0</v>
      </c>
      <c r="BF308" s="106">
        <f>+HLOOKUP($C308,ACCESS!$A$2:$M$250,138,0)</f>
        <v>0</v>
      </c>
      <c r="BG308" s="106">
        <f>+HLOOKUP($C308,ACCESS!$A$2:$M$250,139,0)</f>
        <v>0</v>
      </c>
      <c r="BH308" s="106">
        <f>+HLOOKUP($C308,ACCESS!$A$2:$M$250,140,0)</f>
        <v>0</v>
      </c>
      <c r="BI308" s="106">
        <f>+HLOOKUP($C308,ACCESS!$A$2:$M$250,141,0)</f>
        <v>0</v>
      </c>
      <c r="BJ308" s="106">
        <f>+HLOOKUP($C308,ACCESS!$A$2:$M$250,142,0)</f>
        <v>0</v>
      </c>
      <c r="BK308" s="106">
        <f>+HLOOKUP($C308,ACCESS!$A$2:$M$250,143,0)</f>
        <v>0</v>
      </c>
      <c r="BL308" s="106">
        <f>+HLOOKUP($C308,ACCESS!$A$2:$M$250,144,0)</f>
        <v>0</v>
      </c>
      <c r="BM308" s="106">
        <f>+HLOOKUP($C308,ACCESS!$A$2:$M$250,146,0)</f>
        <v>0</v>
      </c>
      <c r="BN308" s="106">
        <f>+HLOOKUP($C308,ACCESS!$A$2:$M$250,147,0)</f>
        <v>0</v>
      </c>
      <c r="BO308" s="106">
        <f>+HLOOKUP($C308,ACCESS!$A$2:$M$250,148,0)</f>
        <v>0</v>
      </c>
      <c r="BP308" s="106">
        <f>+HLOOKUP($C308,ACCESS!$A$2:$M$250,150,0)</f>
        <v>0</v>
      </c>
      <c r="BQ308" s="106">
        <f>+HLOOKUP($C308,ACCESS!$A$2:$M$250,151,0)</f>
        <v>0</v>
      </c>
      <c r="BR308" s="106">
        <f>+HLOOKUP($C308,ACCESS!$A$2:$M$250,152,0)</f>
        <v>0</v>
      </c>
      <c r="BS308" s="106">
        <f>+HLOOKUP($C308,ACCESS!$A$2:$M$250,153,0)</f>
        <v>0</v>
      </c>
      <c r="BT308" s="106">
        <f>+HLOOKUP($C308,ACCESS!$A$2:$M$250,157,0)</f>
        <v>0</v>
      </c>
      <c r="BU308" s="106">
        <f>+HLOOKUP($C308,ACCESS!$A$2:$M$250,158,0)</f>
        <v>0</v>
      </c>
      <c r="BV308" s="106">
        <f>+HLOOKUP($C308,ACCESS!$A$2:$M$250,159,0)</f>
        <v>0</v>
      </c>
      <c r="BW308" s="106">
        <f>+HLOOKUP($C308,ACCESS!$A$2:$M$250,160,0)</f>
        <v>0</v>
      </c>
      <c r="BX308" s="106">
        <f>+HLOOKUP($C308,ACCESS!$A$2:$M$250,161,0)</f>
        <v>0</v>
      </c>
      <c r="BY308" s="106">
        <f>+HLOOKUP($C308,ACCESS!$A$2:$M$250,164,0)</f>
        <v>0</v>
      </c>
      <c r="BZ308" s="106">
        <f>+HLOOKUP($C308,ACCESS!$A$2:$M$250,165,0)</f>
        <v>0</v>
      </c>
      <c r="CA308" s="106">
        <f>+HLOOKUP($C308,ACCESS!$A$2:$M$250,166,0)</f>
        <v>0</v>
      </c>
      <c r="CB308" s="106">
        <f>+HLOOKUP($C308,ACCESS!$A$2:$M$250,167,0)</f>
        <v>0</v>
      </c>
      <c r="CC308" s="106">
        <f>+HLOOKUP($C308,ACCESS!$A$2:$M$250,168,0)</f>
        <v>0</v>
      </c>
      <c r="CD308" s="106">
        <f>+HLOOKUP($C308,ACCESS!$A$2:$M$250,169,0)</f>
        <v>0</v>
      </c>
      <c r="CE308" s="106">
        <f>+HLOOKUP($C308,ACCESS!$A$2:$M$250,170,0)</f>
        <v>0</v>
      </c>
      <c r="CF308" s="106">
        <f>+HLOOKUP($C308,ACCESS!$A$2:$M$250,172,0)</f>
        <v>0</v>
      </c>
      <c r="CG308" s="106">
        <f>+HLOOKUP($C308,ACCESS!$A$2:$M$250,173,0)</f>
        <v>0</v>
      </c>
      <c r="CH308" s="106">
        <f>+HLOOKUP($C308,ACCESS!$A$2:$M$250,174,0)</f>
        <v>0</v>
      </c>
      <c r="CI308" s="106">
        <f>+HLOOKUP($C308,ACCESS!$A$2:$M$250,175,0)</f>
        <v>0</v>
      </c>
      <c r="CJ308" s="106">
        <f>+HLOOKUP($C308,ACCESS!$A$2:$M$250,176,0)</f>
        <v>0</v>
      </c>
      <c r="CK308" s="106">
        <f>+HLOOKUP($C308,ACCESS!$A$2:$M$250,178,0)</f>
        <v>0</v>
      </c>
      <c r="CL308" s="106">
        <f>+HLOOKUP($C308,ACCESS!$A$2:$M$250,179,0)</f>
        <v>0</v>
      </c>
      <c r="CM308" s="106">
        <f>+HLOOKUP($C308,ACCESS!$A$2:$M$250,180,0)</f>
        <v>0</v>
      </c>
      <c r="CN308" s="106">
        <f>+HLOOKUP($C308,ACCESS!$A$2:$M$250,182,0)</f>
        <v>0</v>
      </c>
      <c r="CO308" s="106">
        <f>+HLOOKUP($C308,ACCESS!$A$2:$M$250,183,0)</f>
        <v>0</v>
      </c>
      <c r="CP308" s="106">
        <f>+HLOOKUP($C308,ACCESS!$A$2:$M$250,184,0)</f>
        <v>0</v>
      </c>
      <c r="CQ308" s="106">
        <f>+HLOOKUP($C308,ACCESS!$A$2:$M$250,185,0)</f>
        <v>0</v>
      </c>
      <c r="CR308" s="106">
        <f>+HLOOKUP($C308,ACCESS!$A$2:$M$250,187,0)</f>
        <v>0</v>
      </c>
      <c r="CS308" s="106">
        <f>+HLOOKUP($C308,ACCESS!$A$2:$M$250,188,0)</f>
        <v>0</v>
      </c>
      <c r="CT308" s="106">
        <f>+HLOOKUP($C308,ACCESS!$A$2:$M$250,189,0)</f>
        <v>0</v>
      </c>
      <c r="CU308" s="106">
        <f>+HLOOKUP($C308,ACCESS!$A$2:$M$250,190,0)</f>
        <v>0</v>
      </c>
      <c r="CV308" s="106">
        <f>+HLOOKUP($C308,ACCESS!$A$2:$M$250,191,0)</f>
        <v>0</v>
      </c>
      <c r="CW308" s="106">
        <f>+HLOOKUP($C308,ACCESS!$A$2:$M$250,193,0)</f>
        <v>0</v>
      </c>
      <c r="CX308" s="106">
        <f>+HLOOKUP($C308,ACCESS!$A$2:$M$250,194,0)</f>
        <v>0</v>
      </c>
      <c r="CY308" s="106">
        <f>+HLOOKUP($C308,ACCESS!$A$2:$M$250,195,0)</f>
        <v>0</v>
      </c>
      <c r="CZ308" s="106">
        <f>+HLOOKUP($C308,ACCESS!$A$2:$M$250,196,0)</f>
        <v>0</v>
      </c>
      <c r="DA308" s="106">
        <f>+HLOOKUP($C308,ACCESS!$A$2:$M$250,197,0)</f>
        <v>0</v>
      </c>
      <c r="DB308" s="106">
        <f>+HLOOKUP($C308,ACCESS!$A$2:$M$250,198,0)</f>
        <v>0</v>
      </c>
      <c r="DC308" s="106">
        <f>+HLOOKUP($C308,ACCESS!$A$2:$M$250,199,0)</f>
        <v>0</v>
      </c>
      <c r="DD308" s="106">
        <f>+HLOOKUP($C308,ACCESS!$A$2:$M$250,200,0)</f>
        <v>0</v>
      </c>
      <c r="DE308" s="106">
        <f>+HLOOKUP($C308,ACCESS!$A$2:$M$250,201,0)</f>
        <v>0</v>
      </c>
      <c r="DF308" s="106">
        <f>+HLOOKUP($C308,ACCESS!$A$2:$M$250,202,0)</f>
        <v>0</v>
      </c>
      <c r="DG308" s="106">
        <f>+HLOOKUP($C308,ACCESS!$A$2:$M$250,203,0)</f>
        <v>0</v>
      </c>
      <c r="DH308" s="106">
        <f>+HLOOKUP($C308,ACCESS!$A$2:$M$250,205,0)</f>
        <v>0</v>
      </c>
      <c r="DI308" s="106">
        <f>+HLOOKUP($C308,ACCESS!$A$2:$M$250,206,0)</f>
        <v>0</v>
      </c>
      <c r="DJ308" s="106">
        <f>+HLOOKUP($C308,ACCESS!$A$2:$M$250,207,0)</f>
        <v>0</v>
      </c>
      <c r="DK308" s="106">
        <f>+HLOOKUP($C308,ACCESS!$A$2:$M$250,209,0)</f>
        <v>0</v>
      </c>
      <c r="DL308" s="106">
        <f>+HLOOKUP($C308,ACCESS!$A$2:$M$250,210,0)</f>
        <v>0</v>
      </c>
      <c r="DM308" s="106">
        <f>+HLOOKUP($C308,ACCESS!$A$2:$M$250,211,0)</f>
        <v>0</v>
      </c>
      <c r="DN308" s="106">
        <f>+HLOOKUP($C308,ACCESS!$A$2:$M$250,212,0)</f>
        <v>0</v>
      </c>
      <c r="DO308" s="106">
        <f>+HLOOKUP($C308,ACCESS!$A$2:$M$250,214,0)</f>
        <v>0</v>
      </c>
      <c r="DP308" s="106">
        <f>+HLOOKUP($C308,ACCESS!$A$2:$M$250,215,0)</f>
        <v>0</v>
      </c>
      <c r="DQ308" s="106">
        <f>+HLOOKUP($C308,ACCESS!$A$2:$M$250,219,0)</f>
        <v>0</v>
      </c>
      <c r="DR308" s="106">
        <f>+HLOOKUP($C308,ACCESS!$A$2:$M$250,220,0)</f>
        <v>0</v>
      </c>
      <c r="DS308" s="106">
        <f>+HLOOKUP($C308,ACCESS!$A$2:$M$250,221,0)</f>
        <v>0</v>
      </c>
      <c r="DT308" s="106">
        <f>+HLOOKUP($C308,ACCESS!$A$2:$M$250,223,0)</f>
        <v>0</v>
      </c>
      <c r="DU308" s="106">
        <f>+HLOOKUP($C308,ACCESS!$A$2:$M$250,224,0)</f>
        <v>0</v>
      </c>
      <c r="DV308" s="106">
        <f>+HLOOKUP($C308,ACCESS!$A$2:$M$250,225,0)</f>
        <v>0</v>
      </c>
      <c r="DW308" s="106">
        <f>+HLOOKUP($C308,ACCESS!$A$2:$M$250,227,0)</f>
        <v>0</v>
      </c>
      <c r="DX308" s="106">
        <f>+HLOOKUP($C308,ACCESS!$A$2:$M$250,228,0)</f>
        <v>0</v>
      </c>
      <c r="DY308" s="106">
        <f>+HLOOKUP($C308,ACCESS!$A$2:$M$250,236,0)</f>
        <v>0</v>
      </c>
      <c r="DZ308" s="106">
        <f>+HLOOKUP($C308,ACCESS!$A$2:$M$250,237,0)</f>
        <v>0</v>
      </c>
      <c r="EA308" s="106">
        <f>+HLOOKUP($C308,ACCESS!$A$2:$M$250,238,0)</f>
        <v>0</v>
      </c>
      <c r="EB308" s="106">
        <f>+HLOOKUP($C308,ACCESS!$A$2:$M$250,240,0)</f>
        <v>0</v>
      </c>
    </row>
    <row r="309" spans="1:132">
      <c r="A309" t="s">
        <v>269</v>
      </c>
      <c r="B309" t="s">
        <v>273</v>
      </c>
      <c r="C309" s="117">
        <v>45413</v>
      </c>
      <c r="D309" s="106">
        <f t="shared" si="11"/>
        <v>1086972.29</v>
      </c>
      <c r="E309" s="106">
        <f>+HLOOKUP(C309,ACCESS!$A$2:$M$250,50,0)+HLOOKUP(C309,ACCESS!$A$2:$M$250,51,0)+HLOOKUP(C309,ACCESS!$A$2:$M$250,54,0)</f>
        <v>1086972.29</v>
      </c>
      <c r="F309" s="106">
        <f>+HLOOKUP(C309,ACCESS!$A$2:$M$250,52,0)+HLOOKUP(C309,ACCESS!$A$2:$M$250,56,0)</f>
        <v>885408.04999999993</v>
      </c>
      <c r="G309" s="106">
        <f>+HLOOKUP($C309,ACCESS!$A$2:$M$250,76,0)</f>
        <v>0</v>
      </c>
      <c r="H309" s="106">
        <f>+HLOOKUP($C309,ACCESS!$A$2:$M$250,77,0)</f>
        <v>0</v>
      </c>
      <c r="I309" s="106">
        <f>+HLOOKUP($C309,ACCESS!$A$2:$M$250,78,0)</f>
        <v>0</v>
      </c>
      <c r="J309" s="106">
        <f>+HLOOKUP($C309,ACCESS!$A$2:$M$250,79,0)</f>
        <v>0</v>
      </c>
      <c r="K309" s="106">
        <f>+HLOOKUP($C309,ACCESS!$A$2:$M$250,80,0)</f>
        <v>0</v>
      </c>
      <c r="L309" s="106">
        <f>+HLOOKUP($C309,ACCESS!$A$2:$M$250,81,0)</f>
        <v>0</v>
      </c>
      <c r="M309" s="106">
        <f>+HLOOKUP($C309,ACCESS!$A$2:$M$250,82,0)</f>
        <v>0</v>
      </c>
      <c r="N309" s="106">
        <f>+HLOOKUP($C309,ACCESS!$A$2:$M$250,83,0)</f>
        <v>0</v>
      </c>
      <c r="O309" s="106">
        <f>+HLOOKUP($C309,ACCESS!$A$2:$M$250,84,0)</f>
        <v>0</v>
      </c>
      <c r="P309" s="106">
        <f>+HLOOKUP($C309,ACCESS!$A$2:$M$250,85,0)</f>
        <v>0</v>
      </c>
      <c r="Q309" s="106">
        <f>+HLOOKUP($C309,ACCESS!$A$2:$M$250,87,0)</f>
        <v>4000</v>
      </c>
      <c r="R309" s="106">
        <f>+HLOOKUP($C309,ACCESS!$A$2:$M$250,90,0)</f>
        <v>0</v>
      </c>
      <c r="S309" s="106">
        <f>+HLOOKUP($C309,ACCESS!$A$2:$M$250,91,0)</f>
        <v>0</v>
      </c>
      <c r="T309" s="106">
        <f>+HLOOKUP($C309,ACCESS!$A$2:$M$250,92,0)</f>
        <v>0</v>
      </c>
      <c r="U309" s="106">
        <f>+HLOOKUP($C309,ACCESS!$A$2:$M$250,93,0)</f>
        <v>0</v>
      </c>
      <c r="V309" s="106">
        <f>+HLOOKUP($C309,ACCESS!$A$2:$M$250,94,0)</f>
        <v>0</v>
      </c>
      <c r="W309" s="106">
        <f>+HLOOKUP($C309,ACCESS!$A$2:$M$250,95,0)</f>
        <v>0</v>
      </c>
      <c r="X309" s="106">
        <f>+HLOOKUP($C309,ACCESS!$A$2:$M$250,96,0)</f>
        <v>0</v>
      </c>
      <c r="Y309" s="106">
        <f>+HLOOKUP($C309,ACCESS!$A$2:$M$250,97,0)</f>
        <v>0</v>
      </c>
      <c r="Z309" s="106">
        <f>+HLOOKUP($C309,ACCESS!$A$2:$M$250,98,0)</f>
        <v>0</v>
      </c>
      <c r="AA309" s="106">
        <f>+HLOOKUP($C309,ACCESS!$A$2:$M$250,99,0)</f>
        <v>0</v>
      </c>
      <c r="AB309" s="106">
        <f>+HLOOKUP($C309,ACCESS!$A$2:$M$250,100,0)</f>
        <v>0</v>
      </c>
      <c r="AC309" s="106">
        <f>+HLOOKUP($C309,ACCESS!$A$2:$M$250,101,0)</f>
        <v>0</v>
      </c>
      <c r="AD309" s="106">
        <f>+HLOOKUP($C309,ACCESS!$A$2:$M$250,104,0)</f>
        <v>0</v>
      </c>
      <c r="AE309" s="106">
        <f>+HLOOKUP($C309,ACCESS!$A$2:$M$250,105,0)</f>
        <v>0</v>
      </c>
      <c r="AF309" s="106">
        <f>+HLOOKUP($C309,ACCESS!$A$2:$M$250,106,0)</f>
        <v>0</v>
      </c>
      <c r="AG309" s="106">
        <f>+HLOOKUP($C309,ACCESS!$A$2:$M$250,107,0)</f>
        <v>0</v>
      </c>
      <c r="AH309" s="106">
        <f>+HLOOKUP($C309,ACCESS!$A$2:$M$250,108,0)</f>
        <v>0</v>
      </c>
      <c r="AI309" s="106">
        <f>+HLOOKUP($C309,ACCESS!$A$2:$M$250,109,0)</f>
        <v>0</v>
      </c>
      <c r="AJ309" s="106">
        <f>+HLOOKUP($C309,ACCESS!$A$2:$M$250,110,0)</f>
        <v>0</v>
      </c>
      <c r="AK309" s="106">
        <f>+HLOOKUP($C309,ACCESS!$A$2:$M$250,111,0)</f>
        <v>0</v>
      </c>
      <c r="AL309" s="106">
        <f>+HLOOKUP($C309,ACCESS!$A$2:$M$250,112,0)</f>
        <v>0</v>
      </c>
      <c r="AM309" s="106">
        <f>+HLOOKUP($C309,ACCESS!$A$2:$M$250,116,0)</f>
        <v>14300</v>
      </c>
      <c r="AN309" s="106">
        <f>+HLOOKUP($C309,ACCESS!$A$2:$M$250,117,0)</f>
        <v>1600</v>
      </c>
      <c r="AO309" s="106">
        <f>+HLOOKUP($C309,ACCESS!$A$2:$M$250,118,0)</f>
        <v>0</v>
      </c>
      <c r="AP309" s="106">
        <f>+HLOOKUP($C309,ACCESS!$A$2:$M$250,119,0)</f>
        <v>4000</v>
      </c>
      <c r="AQ309" s="106">
        <f>+HLOOKUP($C309,ACCESS!$A$2:$M$250,120,0)</f>
        <v>0</v>
      </c>
      <c r="AR309" s="106">
        <f>+HLOOKUP($C309,ACCESS!$A$2:$M$250,121,0)</f>
        <v>500</v>
      </c>
      <c r="AS309" s="106">
        <f>+HLOOKUP($C309,ACCESS!$A$2:$M$250,122,0)</f>
        <v>12100</v>
      </c>
      <c r="AT309" s="106">
        <f>+HLOOKUP($C309,ACCESS!$A$2:$M$250,123,0)</f>
        <v>1641</v>
      </c>
      <c r="AU309" s="106">
        <f>+HLOOKUP($C309,ACCESS!$A$2:$M$250,124,0)</f>
        <v>0</v>
      </c>
      <c r="AV309" s="106">
        <f>+HLOOKUP($C309,ACCESS!$A$2:$M$250,125,0)</f>
        <v>0</v>
      </c>
      <c r="AW309" s="106">
        <f>+HLOOKUP($C309,ACCESS!$A$2:$M$250,126,0)</f>
        <v>607.01923076923083</v>
      </c>
      <c r="AX309" s="106">
        <f>+HLOOKUP($C309,ACCESS!$A$2:$M$250,127,0)</f>
        <v>1052.1666666666667</v>
      </c>
      <c r="AY309" s="106">
        <f>+HLOOKUP($C309,ACCESS!$A$2:$M$250,129,0)</f>
        <v>0</v>
      </c>
      <c r="AZ309" s="106">
        <f>+HLOOKUP($C309,ACCESS!$A$2:$M$250,130,0)</f>
        <v>0</v>
      </c>
      <c r="BA309" s="106">
        <f>+HLOOKUP($C309,ACCESS!$A$2:$M$250,131,0)</f>
        <v>0</v>
      </c>
      <c r="BB309" s="106">
        <f>+HLOOKUP($C309,ACCESS!$A$2:$M$250,133,0)</f>
        <v>0</v>
      </c>
      <c r="BC309" s="106">
        <f>+HLOOKUP($C309,ACCESS!$A$2:$M$250,134,0)</f>
        <v>0</v>
      </c>
      <c r="BD309" s="106">
        <f>+HLOOKUP($C309,ACCESS!$A$2:$M$250,135,0)</f>
        <v>0</v>
      </c>
      <c r="BE309" s="106">
        <f>+HLOOKUP($C309,ACCESS!$A$2:$M$250,136,0)</f>
        <v>0</v>
      </c>
      <c r="BF309" s="106">
        <f>+HLOOKUP($C309,ACCESS!$A$2:$M$250,138,0)</f>
        <v>0</v>
      </c>
      <c r="BG309" s="106">
        <f>+HLOOKUP($C309,ACCESS!$A$2:$M$250,139,0)</f>
        <v>0</v>
      </c>
      <c r="BH309" s="106">
        <f>+HLOOKUP($C309,ACCESS!$A$2:$M$250,140,0)</f>
        <v>0</v>
      </c>
      <c r="BI309" s="106">
        <f>+HLOOKUP($C309,ACCESS!$A$2:$M$250,141,0)</f>
        <v>0</v>
      </c>
      <c r="BJ309" s="106">
        <f>+HLOOKUP($C309,ACCESS!$A$2:$M$250,142,0)</f>
        <v>0</v>
      </c>
      <c r="BK309" s="106">
        <f>+HLOOKUP($C309,ACCESS!$A$2:$M$250,143,0)</f>
        <v>0</v>
      </c>
      <c r="BL309" s="106">
        <f>+HLOOKUP($C309,ACCESS!$A$2:$M$250,144,0)</f>
        <v>0</v>
      </c>
      <c r="BM309" s="106">
        <f>+HLOOKUP($C309,ACCESS!$A$2:$M$250,146,0)</f>
        <v>0</v>
      </c>
      <c r="BN309" s="106">
        <f>+HLOOKUP($C309,ACCESS!$A$2:$M$250,147,0)</f>
        <v>0</v>
      </c>
      <c r="BO309" s="106">
        <f>+HLOOKUP($C309,ACCESS!$A$2:$M$250,148,0)</f>
        <v>0</v>
      </c>
      <c r="BP309" s="106">
        <f>+HLOOKUP($C309,ACCESS!$A$2:$M$250,150,0)</f>
        <v>0</v>
      </c>
      <c r="BQ309" s="106">
        <f>+HLOOKUP($C309,ACCESS!$A$2:$M$250,151,0)</f>
        <v>0</v>
      </c>
      <c r="BR309" s="106">
        <f>+HLOOKUP($C309,ACCESS!$A$2:$M$250,152,0)</f>
        <v>0</v>
      </c>
      <c r="BS309" s="106">
        <f>+HLOOKUP($C309,ACCESS!$A$2:$M$250,153,0)</f>
        <v>0</v>
      </c>
      <c r="BT309" s="106">
        <f>+HLOOKUP($C309,ACCESS!$A$2:$M$250,157,0)</f>
        <v>0</v>
      </c>
      <c r="BU309" s="106">
        <f>+HLOOKUP($C309,ACCESS!$A$2:$M$250,158,0)</f>
        <v>0</v>
      </c>
      <c r="BV309" s="106">
        <f>+HLOOKUP($C309,ACCESS!$A$2:$M$250,159,0)</f>
        <v>0</v>
      </c>
      <c r="BW309" s="106">
        <f>+HLOOKUP($C309,ACCESS!$A$2:$M$250,160,0)</f>
        <v>0</v>
      </c>
      <c r="BX309" s="106">
        <f>+HLOOKUP($C309,ACCESS!$A$2:$M$250,161,0)</f>
        <v>0</v>
      </c>
      <c r="BY309" s="106">
        <f>+HLOOKUP($C309,ACCESS!$A$2:$M$250,164,0)</f>
        <v>0</v>
      </c>
      <c r="BZ309" s="106">
        <f>+HLOOKUP($C309,ACCESS!$A$2:$M$250,165,0)</f>
        <v>0</v>
      </c>
      <c r="CA309" s="106">
        <f>+HLOOKUP($C309,ACCESS!$A$2:$M$250,166,0)</f>
        <v>0</v>
      </c>
      <c r="CB309" s="106">
        <f>+HLOOKUP($C309,ACCESS!$A$2:$M$250,167,0)</f>
        <v>0</v>
      </c>
      <c r="CC309" s="106">
        <f>+HLOOKUP($C309,ACCESS!$A$2:$M$250,168,0)</f>
        <v>0</v>
      </c>
      <c r="CD309" s="106">
        <f>+HLOOKUP($C309,ACCESS!$A$2:$M$250,169,0)</f>
        <v>0</v>
      </c>
      <c r="CE309" s="106">
        <f>+HLOOKUP($C309,ACCESS!$A$2:$M$250,170,0)</f>
        <v>0</v>
      </c>
      <c r="CF309" s="106">
        <f>+HLOOKUP($C309,ACCESS!$A$2:$M$250,172,0)</f>
        <v>0</v>
      </c>
      <c r="CG309" s="106">
        <f>+HLOOKUP($C309,ACCESS!$A$2:$M$250,173,0)</f>
        <v>0</v>
      </c>
      <c r="CH309" s="106">
        <f>+HLOOKUP($C309,ACCESS!$A$2:$M$250,174,0)</f>
        <v>0</v>
      </c>
      <c r="CI309" s="106">
        <f>+HLOOKUP($C309,ACCESS!$A$2:$M$250,175,0)</f>
        <v>0</v>
      </c>
      <c r="CJ309" s="106">
        <f>+HLOOKUP($C309,ACCESS!$A$2:$M$250,176,0)</f>
        <v>0</v>
      </c>
      <c r="CK309" s="106">
        <f>+HLOOKUP($C309,ACCESS!$A$2:$M$250,178,0)</f>
        <v>0</v>
      </c>
      <c r="CL309" s="106">
        <f>+HLOOKUP($C309,ACCESS!$A$2:$M$250,179,0)</f>
        <v>0</v>
      </c>
      <c r="CM309" s="106">
        <f>+HLOOKUP($C309,ACCESS!$A$2:$M$250,180,0)</f>
        <v>0</v>
      </c>
      <c r="CN309" s="106">
        <f>+HLOOKUP($C309,ACCESS!$A$2:$M$250,182,0)</f>
        <v>0</v>
      </c>
      <c r="CO309" s="106">
        <f>+HLOOKUP($C309,ACCESS!$A$2:$M$250,183,0)</f>
        <v>0</v>
      </c>
      <c r="CP309" s="106">
        <f>+HLOOKUP($C309,ACCESS!$A$2:$M$250,184,0)</f>
        <v>0</v>
      </c>
      <c r="CQ309" s="106">
        <f>+HLOOKUP($C309,ACCESS!$A$2:$M$250,185,0)</f>
        <v>0</v>
      </c>
      <c r="CR309" s="106">
        <f>+HLOOKUP($C309,ACCESS!$A$2:$M$250,187,0)</f>
        <v>0</v>
      </c>
      <c r="CS309" s="106">
        <f>+HLOOKUP($C309,ACCESS!$A$2:$M$250,188,0)</f>
        <v>0</v>
      </c>
      <c r="CT309" s="106">
        <f>+HLOOKUP($C309,ACCESS!$A$2:$M$250,189,0)</f>
        <v>0</v>
      </c>
      <c r="CU309" s="106">
        <f>+HLOOKUP($C309,ACCESS!$A$2:$M$250,190,0)</f>
        <v>0</v>
      </c>
      <c r="CV309" s="106">
        <f>+HLOOKUP($C309,ACCESS!$A$2:$M$250,191,0)</f>
        <v>0</v>
      </c>
      <c r="CW309" s="106">
        <f>+HLOOKUP($C309,ACCESS!$A$2:$M$250,193,0)</f>
        <v>0</v>
      </c>
      <c r="CX309" s="106">
        <f>+HLOOKUP($C309,ACCESS!$A$2:$M$250,194,0)</f>
        <v>0</v>
      </c>
      <c r="CY309" s="106">
        <f>+HLOOKUP($C309,ACCESS!$A$2:$M$250,195,0)</f>
        <v>0</v>
      </c>
      <c r="CZ309" s="106">
        <f>+HLOOKUP($C309,ACCESS!$A$2:$M$250,196,0)</f>
        <v>0</v>
      </c>
      <c r="DA309" s="106">
        <f>+HLOOKUP($C309,ACCESS!$A$2:$M$250,197,0)</f>
        <v>0</v>
      </c>
      <c r="DB309" s="106">
        <f>+HLOOKUP($C309,ACCESS!$A$2:$M$250,198,0)</f>
        <v>0</v>
      </c>
      <c r="DC309" s="106">
        <f>+HLOOKUP($C309,ACCESS!$A$2:$M$250,199,0)</f>
        <v>0</v>
      </c>
      <c r="DD309" s="106">
        <f>+HLOOKUP($C309,ACCESS!$A$2:$M$250,200,0)</f>
        <v>0</v>
      </c>
      <c r="DE309" s="106">
        <f>+HLOOKUP($C309,ACCESS!$A$2:$M$250,201,0)</f>
        <v>0</v>
      </c>
      <c r="DF309" s="106">
        <f>+HLOOKUP($C309,ACCESS!$A$2:$M$250,202,0)</f>
        <v>0</v>
      </c>
      <c r="DG309" s="106">
        <f>+HLOOKUP($C309,ACCESS!$A$2:$M$250,203,0)</f>
        <v>0</v>
      </c>
      <c r="DH309" s="106">
        <f>+HLOOKUP($C309,ACCESS!$A$2:$M$250,205,0)</f>
        <v>0</v>
      </c>
      <c r="DI309" s="106">
        <f>+HLOOKUP($C309,ACCESS!$A$2:$M$250,206,0)</f>
        <v>0</v>
      </c>
      <c r="DJ309" s="106">
        <f>+HLOOKUP($C309,ACCESS!$A$2:$M$250,207,0)</f>
        <v>0</v>
      </c>
      <c r="DK309" s="106">
        <f>+HLOOKUP($C309,ACCESS!$A$2:$M$250,209,0)</f>
        <v>0</v>
      </c>
      <c r="DL309" s="106">
        <f>+HLOOKUP($C309,ACCESS!$A$2:$M$250,210,0)</f>
        <v>0</v>
      </c>
      <c r="DM309" s="106">
        <f>+HLOOKUP($C309,ACCESS!$A$2:$M$250,211,0)</f>
        <v>0</v>
      </c>
      <c r="DN309" s="106">
        <f>+HLOOKUP($C309,ACCESS!$A$2:$M$250,212,0)</f>
        <v>0</v>
      </c>
      <c r="DO309" s="106">
        <f>+HLOOKUP($C309,ACCESS!$A$2:$M$250,214,0)</f>
        <v>0</v>
      </c>
      <c r="DP309" s="106">
        <f>+HLOOKUP($C309,ACCESS!$A$2:$M$250,215,0)</f>
        <v>0</v>
      </c>
      <c r="DQ309" s="106">
        <f>+HLOOKUP($C309,ACCESS!$A$2:$M$250,219,0)</f>
        <v>0</v>
      </c>
      <c r="DR309" s="106">
        <f>+HLOOKUP($C309,ACCESS!$A$2:$M$250,220,0)</f>
        <v>0</v>
      </c>
      <c r="DS309" s="106">
        <f>+HLOOKUP($C309,ACCESS!$A$2:$M$250,221,0)</f>
        <v>0</v>
      </c>
      <c r="DT309" s="106">
        <f>+HLOOKUP($C309,ACCESS!$A$2:$M$250,223,0)</f>
        <v>0</v>
      </c>
      <c r="DU309" s="106">
        <f>+HLOOKUP($C309,ACCESS!$A$2:$M$250,224,0)</f>
        <v>0</v>
      </c>
      <c r="DV309" s="106">
        <f>+HLOOKUP($C309,ACCESS!$A$2:$M$250,225,0)</f>
        <v>0</v>
      </c>
      <c r="DW309" s="106">
        <f>+HLOOKUP($C309,ACCESS!$A$2:$M$250,227,0)</f>
        <v>0</v>
      </c>
      <c r="DX309" s="106">
        <f>+HLOOKUP($C309,ACCESS!$A$2:$M$250,228,0)</f>
        <v>0</v>
      </c>
      <c r="DY309" s="106">
        <f>+HLOOKUP($C309,ACCESS!$A$2:$M$250,236,0)</f>
        <v>0</v>
      </c>
      <c r="DZ309" s="106">
        <f>+HLOOKUP($C309,ACCESS!$A$2:$M$250,237,0)</f>
        <v>0</v>
      </c>
      <c r="EA309" s="106">
        <f>+HLOOKUP($C309,ACCESS!$A$2:$M$250,238,0)</f>
        <v>0</v>
      </c>
      <c r="EB309" s="106">
        <f>+HLOOKUP($C309,ACCESS!$A$2:$M$250,240,0)</f>
        <v>0</v>
      </c>
    </row>
    <row r="310" spans="1:132">
      <c r="A310" t="s">
        <v>269</v>
      </c>
      <c r="B310" t="s">
        <v>273</v>
      </c>
      <c r="C310" s="117">
        <v>45383</v>
      </c>
      <c r="D310" s="106">
        <f t="shared" si="11"/>
        <v>653222.66999999993</v>
      </c>
      <c r="E310" s="106">
        <f>+HLOOKUP(C310,ACCESS!$A$2:$M$250,50,0)+HLOOKUP(C310,ACCESS!$A$2:$M$250,51,0)+HLOOKUP(C310,ACCESS!$A$2:$M$250,54,0)</f>
        <v>653222.66999999993</v>
      </c>
      <c r="F310" s="106">
        <f>+HLOOKUP(C310,ACCESS!$A$2:$M$250,52,0)+HLOOKUP(C310,ACCESS!$A$2:$M$250,56,0)</f>
        <v>368866.75</v>
      </c>
      <c r="G310" s="106">
        <f>+HLOOKUP($C310,ACCESS!$A$2:$M$250,76,0)</f>
        <v>0</v>
      </c>
      <c r="H310" s="106">
        <f>+HLOOKUP($C310,ACCESS!$A$2:$M$250,77,0)</f>
        <v>0</v>
      </c>
      <c r="I310" s="106">
        <f>+HLOOKUP($C310,ACCESS!$A$2:$M$250,78,0)</f>
        <v>0</v>
      </c>
      <c r="J310" s="106">
        <f>+HLOOKUP($C310,ACCESS!$A$2:$M$250,79,0)</f>
        <v>0</v>
      </c>
      <c r="K310" s="106">
        <f>+HLOOKUP($C310,ACCESS!$A$2:$M$250,80,0)</f>
        <v>0</v>
      </c>
      <c r="L310" s="106">
        <f>+HLOOKUP($C310,ACCESS!$A$2:$M$250,81,0)</f>
        <v>0</v>
      </c>
      <c r="M310" s="106">
        <f>+HLOOKUP($C310,ACCESS!$A$2:$M$250,82,0)</f>
        <v>0</v>
      </c>
      <c r="N310" s="106">
        <f>+HLOOKUP($C310,ACCESS!$A$2:$M$250,83,0)</f>
        <v>0</v>
      </c>
      <c r="O310" s="106">
        <f>+HLOOKUP($C310,ACCESS!$A$2:$M$250,84,0)</f>
        <v>0</v>
      </c>
      <c r="P310" s="106">
        <f>+HLOOKUP($C310,ACCESS!$A$2:$M$250,85,0)</f>
        <v>0</v>
      </c>
      <c r="Q310" s="106">
        <f>+HLOOKUP($C310,ACCESS!$A$2:$M$250,87,0)</f>
        <v>3000</v>
      </c>
      <c r="R310" s="106">
        <f>+HLOOKUP($C310,ACCESS!$A$2:$M$250,90,0)</f>
        <v>0</v>
      </c>
      <c r="S310" s="106">
        <f>+HLOOKUP($C310,ACCESS!$A$2:$M$250,91,0)</f>
        <v>0</v>
      </c>
      <c r="T310" s="106">
        <f>+HLOOKUP($C310,ACCESS!$A$2:$M$250,92,0)</f>
        <v>0</v>
      </c>
      <c r="U310" s="106">
        <f>+HLOOKUP($C310,ACCESS!$A$2:$M$250,93,0)</f>
        <v>0</v>
      </c>
      <c r="V310" s="106">
        <f>+HLOOKUP($C310,ACCESS!$A$2:$M$250,94,0)</f>
        <v>0</v>
      </c>
      <c r="W310" s="106">
        <f>+HLOOKUP($C310,ACCESS!$A$2:$M$250,95,0)</f>
        <v>0</v>
      </c>
      <c r="X310" s="106">
        <f>+HLOOKUP($C310,ACCESS!$A$2:$M$250,96,0)</f>
        <v>0</v>
      </c>
      <c r="Y310" s="106">
        <f>+HLOOKUP($C310,ACCESS!$A$2:$M$250,97,0)</f>
        <v>0</v>
      </c>
      <c r="Z310" s="106">
        <f>+HLOOKUP($C310,ACCESS!$A$2:$M$250,98,0)</f>
        <v>0</v>
      </c>
      <c r="AA310" s="106">
        <f>+HLOOKUP($C310,ACCESS!$A$2:$M$250,99,0)</f>
        <v>0</v>
      </c>
      <c r="AB310" s="106">
        <f>+HLOOKUP($C310,ACCESS!$A$2:$M$250,100,0)</f>
        <v>0</v>
      </c>
      <c r="AC310" s="106">
        <f>+HLOOKUP($C310,ACCESS!$A$2:$M$250,101,0)</f>
        <v>0</v>
      </c>
      <c r="AD310" s="106">
        <f>+HLOOKUP($C310,ACCESS!$A$2:$M$250,104,0)</f>
        <v>0</v>
      </c>
      <c r="AE310" s="106">
        <f>+HLOOKUP($C310,ACCESS!$A$2:$M$250,105,0)</f>
        <v>0</v>
      </c>
      <c r="AF310" s="106">
        <f>+HLOOKUP($C310,ACCESS!$A$2:$M$250,106,0)</f>
        <v>0</v>
      </c>
      <c r="AG310" s="106">
        <f>+HLOOKUP($C310,ACCESS!$A$2:$M$250,107,0)</f>
        <v>0</v>
      </c>
      <c r="AH310" s="106">
        <f>+HLOOKUP($C310,ACCESS!$A$2:$M$250,108,0)</f>
        <v>0</v>
      </c>
      <c r="AI310" s="106">
        <f>+HLOOKUP($C310,ACCESS!$A$2:$M$250,109,0)</f>
        <v>0</v>
      </c>
      <c r="AJ310" s="106">
        <f>+HLOOKUP($C310,ACCESS!$A$2:$M$250,110,0)</f>
        <v>0</v>
      </c>
      <c r="AK310" s="106">
        <f>+HLOOKUP($C310,ACCESS!$A$2:$M$250,111,0)</f>
        <v>0</v>
      </c>
      <c r="AL310" s="106">
        <f>+HLOOKUP($C310,ACCESS!$A$2:$M$250,112,0)</f>
        <v>0</v>
      </c>
      <c r="AM310" s="106">
        <f>+HLOOKUP($C310,ACCESS!$A$2:$M$250,116,0)</f>
        <v>14300</v>
      </c>
      <c r="AN310" s="106">
        <f>+HLOOKUP($C310,ACCESS!$A$2:$M$250,117,0)</f>
        <v>1600</v>
      </c>
      <c r="AO310" s="106">
        <f>+HLOOKUP($C310,ACCESS!$A$2:$M$250,118,0)</f>
        <v>0</v>
      </c>
      <c r="AP310" s="106">
        <f>+HLOOKUP($C310,ACCESS!$A$2:$M$250,119,0)</f>
        <v>4000</v>
      </c>
      <c r="AQ310" s="106">
        <f>+HLOOKUP($C310,ACCESS!$A$2:$M$250,120,0)</f>
        <v>0</v>
      </c>
      <c r="AR310" s="106">
        <f>+HLOOKUP($C310,ACCESS!$A$2:$M$250,121,0)</f>
        <v>500</v>
      </c>
      <c r="AS310" s="106">
        <f>+HLOOKUP($C310,ACCESS!$A$2:$M$250,122,0)</f>
        <v>12100</v>
      </c>
      <c r="AT310" s="106">
        <f>+HLOOKUP($C310,ACCESS!$A$2:$M$250,123,0)</f>
        <v>0</v>
      </c>
      <c r="AU310" s="106">
        <f>+HLOOKUP($C310,ACCESS!$A$2:$M$250,124,0)</f>
        <v>0</v>
      </c>
      <c r="AV310" s="106">
        <f>+HLOOKUP($C310,ACCESS!$A$2:$M$250,125,0)</f>
        <v>0</v>
      </c>
      <c r="AW310" s="106">
        <f>+HLOOKUP($C310,ACCESS!$A$2:$M$250,126,0)</f>
        <v>607.01923076923083</v>
      </c>
      <c r="AX310" s="106">
        <f>+HLOOKUP($C310,ACCESS!$A$2:$M$250,127,0)</f>
        <v>1052.1666666666667</v>
      </c>
      <c r="AY310" s="106">
        <f>+HLOOKUP($C310,ACCESS!$A$2:$M$250,129,0)</f>
        <v>0</v>
      </c>
      <c r="AZ310" s="106">
        <f>+HLOOKUP($C310,ACCESS!$A$2:$M$250,130,0)</f>
        <v>0</v>
      </c>
      <c r="BA310" s="106">
        <f>+HLOOKUP($C310,ACCESS!$A$2:$M$250,131,0)</f>
        <v>0</v>
      </c>
      <c r="BB310" s="106">
        <f>+HLOOKUP($C310,ACCESS!$A$2:$M$250,133,0)</f>
        <v>0</v>
      </c>
      <c r="BC310" s="106">
        <f>+HLOOKUP($C310,ACCESS!$A$2:$M$250,134,0)</f>
        <v>0</v>
      </c>
      <c r="BD310" s="106">
        <f>+HLOOKUP($C310,ACCESS!$A$2:$M$250,135,0)</f>
        <v>0</v>
      </c>
      <c r="BE310" s="106">
        <f>+HLOOKUP($C310,ACCESS!$A$2:$M$250,136,0)</f>
        <v>0</v>
      </c>
      <c r="BF310" s="106">
        <f>+HLOOKUP($C310,ACCESS!$A$2:$M$250,138,0)</f>
        <v>0</v>
      </c>
      <c r="BG310" s="106">
        <f>+HLOOKUP($C310,ACCESS!$A$2:$M$250,139,0)</f>
        <v>0</v>
      </c>
      <c r="BH310" s="106">
        <f>+HLOOKUP($C310,ACCESS!$A$2:$M$250,140,0)</f>
        <v>0</v>
      </c>
      <c r="BI310" s="106">
        <f>+HLOOKUP($C310,ACCESS!$A$2:$M$250,141,0)</f>
        <v>0</v>
      </c>
      <c r="BJ310" s="106">
        <f>+HLOOKUP($C310,ACCESS!$A$2:$M$250,142,0)</f>
        <v>0</v>
      </c>
      <c r="BK310" s="106">
        <f>+HLOOKUP($C310,ACCESS!$A$2:$M$250,143,0)</f>
        <v>0</v>
      </c>
      <c r="BL310" s="106">
        <f>+HLOOKUP($C310,ACCESS!$A$2:$M$250,144,0)</f>
        <v>0</v>
      </c>
      <c r="BM310" s="106">
        <f>+HLOOKUP($C310,ACCESS!$A$2:$M$250,146,0)</f>
        <v>0</v>
      </c>
      <c r="BN310" s="106">
        <f>+HLOOKUP($C310,ACCESS!$A$2:$M$250,147,0)</f>
        <v>0</v>
      </c>
      <c r="BO310" s="106">
        <f>+HLOOKUP($C310,ACCESS!$A$2:$M$250,148,0)</f>
        <v>0</v>
      </c>
      <c r="BP310" s="106">
        <f>+HLOOKUP($C310,ACCESS!$A$2:$M$250,150,0)</f>
        <v>0</v>
      </c>
      <c r="BQ310" s="106">
        <f>+HLOOKUP($C310,ACCESS!$A$2:$M$250,151,0)</f>
        <v>0</v>
      </c>
      <c r="BR310" s="106">
        <f>+HLOOKUP($C310,ACCESS!$A$2:$M$250,152,0)</f>
        <v>0</v>
      </c>
      <c r="BS310" s="106">
        <f>+HLOOKUP($C310,ACCESS!$A$2:$M$250,153,0)</f>
        <v>0</v>
      </c>
      <c r="BT310" s="106">
        <f>+HLOOKUP($C310,ACCESS!$A$2:$M$250,157,0)</f>
        <v>0</v>
      </c>
      <c r="BU310" s="106">
        <f>+HLOOKUP($C310,ACCESS!$A$2:$M$250,158,0)</f>
        <v>0</v>
      </c>
      <c r="BV310" s="106">
        <f>+HLOOKUP($C310,ACCESS!$A$2:$M$250,159,0)</f>
        <v>0</v>
      </c>
      <c r="BW310" s="106">
        <f>+HLOOKUP($C310,ACCESS!$A$2:$M$250,160,0)</f>
        <v>0</v>
      </c>
      <c r="BX310" s="106">
        <f>+HLOOKUP($C310,ACCESS!$A$2:$M$250,161,0)</f>
        <v>0</v>
      </c>
      <c r="BY310" s="106">
        <f>+HLOOKUP($C310,ACCESS!$A$2:$M$250,164,0)</f>
        <v>0</v>
      </c>
      <c r="BZ310" s="106">
        <f>+HLOOKUP($C310,ACCESS!$A$2:$M$250,165,0)</f>
        <v>0</v>
      </c>
      <c r="CA310" s="106">
        <f>+HLOOKUP($C310,ACCESS!$A$2:$M$250,166,0)</f>
        <v>0</v>
      </c>
      <c r="CB310" s="106">
        <f>+HLOOKUP($C310,ACCESS!$A$2:$M$250,167,0)</f>
        <v>0</v>
      </c>
      <c r="CC310" s="106">
        <f>+HLOOKUP($C310,ACCESS!$A$2:$M$250,168,0)</f>
        <v>0</v>
      </c>
      <c r="CD310" s="106">
        <f>+HLOOKUP($C310,ACCESS!$A$2:$M$250,169,0)</f>
        <v>0</v>
      </c>
      <c r="CE310" s="106">
        <f>+HLOOKUP($C310,ACCESS!$A$2:$M$250,170,0)</f>
        <v>0</v>
      </c>
      <c r="CF310" s="106">
        <f>+HLOOKUP($C310,ACCESS!$A$2:$M$250,172,0)</f>
        <v>0</v>
      </c>
      <c r="CG310" s="106">
        <f>+HLOOKUP($C310,ACCESS!$A$2:$M$250,173,0)</f>
        <v>0</v>
      </c>
      <c r="CH310" s="106">
        <f>+HLOOKUP($C310,ACCESS!$A$2:$M$250,174,0)</f>
        <v>0</v>
      </c>
      <c r="CI310" s="106">
        <f>+HLOOKUP($C310,ACCESS!$A$2:$M$250,175,0)</f>
        <v>0</v>
      </c>
      <c r="CJ310" s="106">
        <f>+HLOOKUP($C310,ACCESS!$A$2:$M$250,176,0)</f>
        <v>0</v>
      </c>
      <c r="CK310" s="106">
        <f>+HLOOKUP($C310,ACCESS!$A$2:$M$250,178,0)</f>
        <v>0</v>
      </c>
      <c r="CL310" s="106">
        <f>+HLOOKUP($C310,ACCESS!$A$2:$M$250,179,0)</f>
        <v>0</v>
      </c>
      <c r="CM310" s="106">
        <f>+HLOOKUP($C310,ACCESS!$A$2:$M$250,180,0)</f>
        <v>0</v>
      </c>
      <c r="CN310" s="106">
        <f>+HLOOKUP($C310,ACCESS!$A$2:$M$250,182,0)</f>
        <v>0</v>
      </c>
      <c r="CO310" s="106">
        <f>+HLOOKUP($C310,ACCESS!$A$2:$M$250,183,0)</f>
        <v>0</v>
      </c>
      <c r="CP310" s="106">
        <f>+HLOOKUP($C310,ACCESS!$A$2:$M$250,184,0)</f>
        <v>0</v>
      </c>
      <c r="CQ310" s="106">
        <f>+HLOOKUP($C310,ACCESS!$A$2:$M$250,185,0)</f>
        <v>0</v>
      </c>
      <c r="CR310" s="106">
        <f>+HLOOKUP($C310,ACCESS!$A$2:$M$250,187,0)</f>
        <v>0</v>
      </c>
      <c r="CS310" s="106">
        <f>+HLOOKUP($C310,ACCESS!$A$2:$M$250,188,0)</f>
        <v>0</v>
      </c>
      <c r="CT310" s="106">
        <f>+HLOOKUP($C310,ACCESS!$A$2:$M$250,189,0)</f>
        <v>0</v>
      </c>
      <c r="CU310" s="106">
        <f>+HLOOKUP($C310,ACCESS!$A$2:$M$250,190,0)</f>
        <v>0</v>
      </c>
      <c r="CV310" s="106">
        <f>+HLOOKUP($C310,ACCESS!$A$2:$M$250,191,0)</f>
        <v>0</v>
      </c>
      <c r="CW310" s="106">
        <f>+HLOOKUP($C310,ACCESS!$A$2:$M$250,193,0)</f>
        <v>0</v>
      </c>
      <c r="CX310" s="106">
        <f>+HLOOKUP($C310,ACCESS!$A$2:$M$250,194,0)</f>
        <v>0</v>
      </c>
      <c r="CY310" s="106">
        <f>+HLOOKUP($C310,ACCESS!$A$2:$M$250,195,0)</f>
        <v>0</v>
      </c>
      <c r="CZ310" s="106">
        <f>+HLOOKUP($C310,ACCESS!$A$2:$M$250,196,0)</f>
        <v>0</v>
      </c>
      <c r="DA310" s="106">
        <f>+HLOOKUP($C310,ACCESS!$A$2:$M$250,197,0)</f>
        <v>0</v>
      </c>
      <c r="DB310" s="106">
        <f>+HLOOKUP($C310,ACCESS!$A$2:$M$250,198,0)</f>
        <v>0</v>
      </c>
      <c r="DC310" s="106">
        <f>+HLOOKUP($C310,ACCESS!$A$2:$M$250,199,0)</f>
        <v>0</v>
      </c>
      <c r="DD310" s="106">
        <f>+HLOOKUP($C310,ACCESS!$A$2:$M$250,200,0)</f>
        <v>0</v>
      </c>
      <c r="DE310" s="106">
        <f>+HLOOKUP($C310,ACCESS!$A$2:$M$250,201,0)</f>
        <v>0</v>
      </c>
      <c r="DF310" s="106">
        <f>+HLOOKUP($C310,ACCESS!$A$2:$M$250,202,0)</f>
        <v>0</v>
      </c>
      <c r="DG310" s="106">
        <f>+HLOOKUP($C310,ACCESS!$A$2:$M$250,203,0)</f>
        <v>0</v>
      </c>
      <c r="DH310" s="106">
        <f>+HLOOKUP($C310,ACCESS!$A$2:$M$250,205,0)</f>
        <v>0</v>
      </c>
      <c r="DI310" s="106">
        <f>+HLOOKUP($C310,ACCESS!$A$2:$M$250,206,0)</f>
        <v>0</v>
      </c>
      <c r="DJ310" s="106">
        <f>+HLOOKUP($C310,ACCESS!$A$2:$M$250,207,0)</f>
        <v>0</v>
      </c>
      <c r="DK310" s="106">
        <f>+HLOOKUP($C310,ACCESS!$A$2:$M$250,209,0)</f>
        <v>0</v>
      </c>
      <c r="DL310" s="106">
        <f>+HLOOKUP($C310,ACCESS!$A$2:$M$250,210,0)</f>
        <v>0</v>
      </c>
      <c r="DM310" s="106">
        <f>+HLOOKUP($C310,ACCESS!$A$2:$M$250,211,0)</f>
        <v>0</v>
      </c>
      <c r="DN310" s="106">
        <f>+HLOOKUP($C310,ACCESS!$A$2:$M$250,212,0)</f>
        <v>0</v>
      </c>
      <c r="DO310" s="106">
        <f>+HLOOKUP($C310,ACCESS!$A$2:$M$250,214,0)</f>
        <v>0</v>
      </c>
      <c r="DP310" s="106">
        <f>+HLOOKUP($C310,ACCESS!$A$2:$M$250,215,0)</f>
        <v>0</v>
      </c>
      <c r="DQ310" s="106">
        <f>+HLOOKUP($C310,ACCESS!$A$2:$M$250,219,0)</f>
        <v>0</v>
      </c>
      <c r="DR310" s="106">
        <f>+HLOOKUP($C310,ACCESS!$A$2:$M$250,220,0)</f>
        <v>0</v>
      </c>
      <c r="DS310" s="106">
        <f>+HLOOKUP($C310,ACCESS!$A$2:$M$250,221,0)</f>
        <v>0</v>
      </c>
      <c r="DT310" s="106">
        <f>+HLOOKUP($C310,ACCESS!$A$2:$M$250,223,0)</f>
        <v>0</v>
      </c>
      <c r="DU310" s="106">
        <f>+HLOOKUP($C310,ACCESS!$A$2:$M$250,224,0)</f>
        <v>0</v>
      </c>
      <c r="DV310" s="106">
        <f>+HLOOKUP($C310,ACCESS!$A$2:$M$250,225,0)</f>
        <v>0</v>
      </c>
      <c r="DW310" s="106">
        <f>+HLOOKUP($C310,ACCESS!$A$2:$M$250,227,0)</f>
        <v>0</v>
      </c>
      <c r="DX310" s="106">
        <f>+HLOOKUP($C310,ACCESS!$A$2:$M$250,228,0)</f>
        <v>0</v>
      </c>
      <c r="DY310" s="106">
        <f>+HLOOKUP($C310,ACCESS!$A$2:$M$250,236,0)</f>
        <v>0</v>
      </c>
      <c r="DZ310" s="106">
        <f>+HLOOKUP($C310,ACCESS!$A$2:$M$250,237,0)</f>
        <v>0</v>
      </c>
      <c r="EA310" s="106">
        <f>+HLOOKUP($C310,ACCESS!$A$2:$M$250,238,0)</f>
        <v>0</v>
      </c>
      <c r="EB310" s="106">
        <f>+HLOOKUP($C310,ACCESS!$A$2:$M$250,240,0)</f>
        <v>0</v>
      </c>
    </row>
    <row r="311" spans="1:132">
      <c r="A311" t="s">
        <v>269</v>
      </c>
      <c r="B311" t="s">
        <v>273</v>
      </c>
      <c r="C311" s="117">
        <v>45352</v>
      </c>
      <c r="D311" s="106">
        <f t="shared" si="11"/>
        <v>1749192.05</v>
      </c>
      <c r="E311" s="106">
        <f>+HLOOKUP(C311,ACCESS!$A$2:$M$250,50,0)+HLOOKUP(C311,ACCESS!$A$2:$M$250,51,0)+HLOOKUP(C311,ACCESS!$A$2:$M$250,54,0)</f>
        <v>1749192.05</v>
      </c>
      <c r="F311" s="106">
        <f>+HLOOKUP(C311,ACCESS!$A$2:$M$250,52,0)+HLOOKUP(C311,ACCESS!$A$2:$M$250,56,0)</f>
        <v>1288710.7099999997</v>
      </c>
      <c r="G311" s="106">
        <f>+HLOOKUP($C311,ACCESS!$A$2:$M$250,76,0)</f>
        <v>0</v>
      </c>
      <c r="H311" s="106">
        <f>+HLOOKUP($C311,ACCESS!$A$2:$M$250,77,0)</f>
        <v>0</v>
      </c>
      <c r="I311" s="106">
        <f>+HLOOKUP($C311,ACCESS!$A$2:$M$250,78,0)</f>
        <v>0</v>
      </c>
      <c r="J311" s="106">
        <f>+HLOOKUP($C311,ACCESS!$A$2:$M$250,79,0)</f>
        <v>0</v>
      </c>
      <c r="K311" s="106">
        <f>+HLOOKUP($C311,ACCESS!$A$2:$M$250,80,0)</f>
        <v>0</v>
      </c>
      <c r="L311" s="106">
        <f>+HLOOKUP($C311,ACCESS!$A$2:$M$250,81,0)</f>
        <v>0</v>
      </c>
      <c r="M311" s="106">
        <f>+HLOOKUP($C311,ACCESS!$A$2:$M$250,82,0)</f>
        <v>0</v>
      </c>
      <c r="N311" s="106">
        <f>+HLOOKUP($C311,ACCESS!$A$2:$M$250,83,0)</f>
        <v>0</v>
      </c>
      <c r="O311" s="106">
        <f>+HLOOKUP($C311,ACCESS!$A$2:$M$250,84,0)</f>
        <v>0</v>
      </c>
      <c r="P311" s="106">
        <f>+HLOOKUP($C311,ACCESS!$A$2:$M$250,85,0)</f>
        <v>0</v>
      </c>
      <c r="Q311" s="106">
        <f>+HLOOKUP($C311,ACCESS!$A$2:$M$250,87,0)</f>
        <v>3400</v>
      </c>
      <c r="R311" s="106">
        <f>+HLOOKUP($C311,ACCESS!$A$2:$M$250,90,0)</f>
        <v>0</v>
      </c>
      <c r="S311" s="106">
        <f>+HLOOKUP($C311,ACCESS!$A$2:$M$250,91,0)</f>
        <v>0</v>
      </c>
      <c r="T311" s="106">
        <f>+HLOOKUP($C311,ACCESS!$A$2:$M$250,92,0)</f>
        <v>0</v>
      </c>
      <c r="U311" s="106">
        <f>+HLOOKUP($C311,ACCESS!$A$2:$M$250,93,0)</f>
        <v>0</v>
      </c>
      <c r="V311" s="106">
        <f>+HLOOKUP($C311,ACCESS!$A$2:$M$250,94,0)</f>
        <v>0</v>
      </c>
      <c r="W311" s="106">
        <f>+HLOOKUP($C311,ACCESS!$A$2:$M$250,95,0)</f>
        <v>0</v>
      </c>
      <c r="X311" s="106">
        <f>+HLOOKUP($C311,ACCESS!$A$2:$M$250,96,0)</f>
        <v>0</v>
      </c>
      <c r="Y311" s="106">
        <f>+HLOOKUP($C311,ACCESS!$A$2:$M$250,97,0)</f>
        <v>0</v>
      </c>
      <c r="Z311" s="106">
        <f>+HLOOKUP($C311,ACCESS!$A$2:$M$250,98,0)</f>
        <v>0</v>
      </c>
      <c r="AA311" s="106">
        <f>+HLOOKUP($C311,ACCESS!$A$2:$M$250,99,0)</f>
        <v>0</v>
      </c>
      <c r="AB311" s="106">
        <f>+HLOOKUP($C311,ACCESS!$A$2:$M$250,100,0)</f>
        <v>0</v>
      </c>
      <c r="AC311" s="106">
        <f>+HLOOKUP($C311,ACCESS!$A$2:$M$250,101,0)</f>
        <v>0</v>
      </c>
      <c r="AD311" s="106">
        <f>+HLOOKUP($C311,ACCESS!$A$2:$M$250,104,0)</f>
        <v>0</v>
      </c>
      <c r="AE311" s="106">
        <f>+HLOOKUP($C311,ACCESS!$A$2:$M$250,105,0)</f>
        <v>10000</v>
      </c>
      <c r="AF311" s="106">
        <f>+HLOOKUP($C311,ACCESS!$A$2:$M$250,106,0)</f>
        <v>0</v>
      </c>
      <c r="AG311" s="106">
        <f>+HLOOKUP($C311,ACCESS!$A$2:$M$250,107,0)</f>
        <v>0</v>
      </c>
      <c r="AH311" s="106">
        <f>+HLOOKUP($C311,ACCESS!$A$2:$M$250,108,0)</f>
        <v>0</v>
      </c>
      <c r="AI311" s="106">
        <f>+HLOOKUP($C311,ACCESS!$A$2:$M$250,109,0)</f>
        <v>0</v>
      </c>
      <c r="AJ311" s="106">
        <f>+HLOOKUP($C311,ACCESS!$A$2:$M$250,110,0)</f>
        <v>0</v>
      </c>
      <c r="AK311" s="106">
        <f>+HLOOKUP($C311,ACCESS!$A$2:$M$250,111,0)</f>
        <v>0</v>
      </c>
      <c r="AL311" s="106">
        <f>+HLOOKUP($C311,ACCESS!$A$2:$M$250,112,0)</f>
        <v>0</v>
      </c>
      <c r="AM311" s="106">
        <f>+HLOOKUP($C311,ACCESS!$A$2:$M$250,116,0)</f>
        <v>14300</v>
      </c>
      <c r="AN311" s="106">
        <f>+HLOOKUP($C311,ACCESS!$A$2:$M$250,117,0)</f>
        <v>1600</v>
      </c>
      <c r="AO311" s="106">
        <f>+HLOOKUP($C311,ACCESS!$A$2:$M$250,118,0)</f>
        <v>0</v>
      </c>
      <c r="AP311" s="106">
        <f>+HLOOKUP($C311,ACCESS!$A$2:$M$250,119,0)</f>
        <v>4000</v>
      </c>
      <c r="AQ311" s="106">
        <f>+HLOOKUP($C311,ACCESS!$A$2:$M$250,120,0)</f>
        <v>0</v>
      </c>
      <c r="AR311" s="106">
        <f>+HLOOKUP($C311,ACCESS!$A$2:$M$250,121,0)</f>
        <v>500</v>
      </c>
      <c r="AS311" s="106">
        <f>+HLOOKUP($C311,ACCESS!$A$2:$M$250,122,0)</f>
        <v>12100</v>
      </c>
      <c r="AT311" s="106">
        <f>+HLOOKUP($C311,ACCESS!$A$2:$M$250,123,0)</f>
        <v>1859</v>
      </c>
      <c r="AU311" s="106">
        <f>+HLOOKUP($C311,ACCESS!$A$2:$M$250,124,0)</f>
        <v>0</v>
      </c>
      <c r="AV311" s="106">
        <f>+HLOOKUP($C311,ACCESS!$A$2:$M$250,125,0)</f>
        <v>0</v>
      </c>
      <c r="AW311" s="106">
        <f>+HLOOKUP($C311,ACCESS!$A$2:$M$250,126,0)</f>
        <v>607.01923076923083</v>
      </c>
      <c r="AX311" s="106">
        <f>+HLOOKUP($C311,ACCESS!$A$2:$M$250,127,0)</f>
        <v>1052.1666666666667</v>
      </c>
      <c r="AY311" s="106">
        <f>+HLOOKUP($C311,ACCESS!$A$2:$M$250,129,0)</f>
        <v>0</v>
      </c>
      <c r="AZ311" s="106">
        <f>+HLOOKUP($C311,ACCESS!$A$2:$M$250,130,0)</f>
        <v>0</v>
      </c>
      <c r="BA311" s="106">
        <f>+HLOOKUP($C311,ACCESS!$A$2:$M$250,131,0)</f>
        <v>0</v>
      </c>
      <c r="BB311" s="106">
        <f>+HLOOKUP($C311,ACCESS!$A$2:$M$250,133,0)</f>
        <v>0</v>
      </c>
      <c r="BC311" s="106">
        <f>+HLOOKUP($C311,ACCESS!$A$2:$M$250,134,0)</f>
        <v>0</v>
      </c>
      <c r="BD311" s="106">
        <f>+HLOOKUP($C311,ACCESS!$A$2:$M$250,135,0)</f>
        <v>0</v>
      </c>
      <c r="BE311" s="106">
        <f>+HLOOKUP($C311,ACCESS!$A$2:$M$250,136,0)</f>
        <v>0</v>
      </c>
      <c r="BF311" s="106">
        <f>+HLOOKUP($C311,ACCESS!$A$2:$M$250,138,0)</f>
        <v>0</v>
      </c>
      <c r="BG311" s="106">
        <f>+HLOOKUP($C311,ACCESS!$A$2:$M$250,139,0)</f>
        <v>0</v>
      </c>
      <c r="BH311" s="106">
        <f>+HLOOKUP($C311,ACCESS!$A$2:$M$250,140,0)</f>
        <v>0</v>
      </c>
      <c r="BI311" s="106">
        <f>+HLOOKUP($C311,ACCESS!$A$2:$M$250,141,0)</f>
        <v>0</v>
      </c>
      <c r="BJ311" s="106">
        <f>+HLOOKUP($C311,ACCESS!$A$2:$M$250,142,0)</f>
        <v>0</v>
      </c>
      <c r="BK311" s="106">
        <f>+HLOOKUP($C311,ACCESS!$A$2:$M$250,143,0)</f>
        <v>0</v>
      </c>
      <c r="BL311" s="106">
        <f>+HLOOKUP($C311,ACCESS!$A$2:$M$250,144,0)</f>
        <v>0</v>
      </c>
      <c r="BM311" s="106">
        <f>+HLOOKUP($C311,ACCESS!$A$2:$M$250,146,0)</f>
        <v>0</v>
      </c>
      <c r="BN311" s="106">
        <f>+HLOOKUP($C311,ACCESS!$A$2:$M$250,147,0)</f>
        <v>0</v>
      </c>
      <c r="BO311" s="106">
        <f>+HLOOKUP($C311,ACCESS!$A$2:$M$250,148,0)</f>
        <v>0</v>
      </c>
      <c r="BP311" s="106">
        <f>+HLOOKUP($C311,ACCESS!$A$2:$M$250,150,0)</f>
        <v>0</v>
      </c>
      <c r="BQ311" s="106">
        <f>+HLOOKUP($C311,ACCESS!$A$2:$M$250,151,0)</f>
        <v>0</v>
      </c>
      <c r="BR311" s="106">
        <f>+HLOOKUP($C311,ACCESS!$A$2:$M$250,152,0)</f>
        <v>0</v>
      </c>
      <c r="BS311" s="106">
        <f>+HLOOKUP($C311,ACCESS!$A$2:$M$250,153,0)</f>
        <v>0</v>
      </c>
      <c r="BT311" s="106">
        <f>+HLOOKUP($C311,ACCESS!$A$2:$M$250,157,0)</f>
        <v>0</v>
      </c>
      <c r="BU311" s="106">
        <f>+HLOOKUP($C311,ACCESS!$A$2:$M$250,158,0)</f>
        <v>0</v>
      </c>
      <c r="BV311" s="106">
        <f>+HLOOKUP($C311,ACCESS!$A$2:$M$250,159,0)</f>
        <v>0</v>
      </c>
      <c r="BW311" s="106">
        <f>+HLOOKUP($C311,ACCESS!$A$2:$M$250,160,0)</f>
        <v>0</v>
      </c>
      <c r="BX311" s="106">
        <f>+HLOOKUP($C311,ACCESS!$A$2:$M$250,161,0)</f>
        <v>0</v>
      </c>
      <c r="BY311" s="106">
        <f>+HLOOKUP($C311,ACCESS!$A$2:$M$250,164,0)</f>
        <v>0</v>
      </c>
      <c r="BZ311" s="106">
        <f>+HLOOKUP($C311,ACCESS!$A$2:$M$250,165,0)</f>
        <v>0</v>
      </c>
      <c r="CA311" s="106">
        <f>+HLOOKUP($C311,ACCESS!$A$2:$M$250,166,0)</f>
        <v>0</v>
      </c>
      <c r="CB311" s="106">
        <f>+HLOOKUP($C311,ACCESS!$A$2:$M$250,167,0)</f>
        <v>0</v>
      </c>
      <c r="CC311" s="106">
        <f>+HLOOKUP($C311,ACCESS!$A$2:$M$250,168,0)</f>
        <v>0</v>
      </c>
      <c r="CD311" s="106">
        <f>+HLOOKUP($C311,ACCESS!$A$2:$M$250,169,0)</f>
        <v>0</v>
      </c>
      <c r="CE311" s="106">
        <f>+HLOOKUP($C311,ACCESS!$A$2:$M$250,170,0)</f>
        <v>0</v>
      </c>
      <c r="CF311" s="106">
        <f>+HLOOKUP($C311,ACCESS!$A$2:$M$250,172,0)</f>
        <v>0</v>
      </c>
      <c r="CG311" s="106">
        <f>+HLOOKUP($C311,ACCESS!$A$2:$M$250,173,0)</f>
        <v>0</v>
      </c>
      <c r="CH311" s="106">
        <f>+HLOOKUP($C311,ACCESS!$A$2:$M$250,174,0)</f>
        <v>0</v>
      </c>
      <c r="CI311" s="106">
        <f>+HLOOKUP($C311,ACCESS!$A$2:$M$250,175,0)</f>
        <v>0</v>
      </c>
      <c r="CJ311" s="106">
        <f>+HLOOKUP($C311,ACCESS!$A$2:$M$250,176,0)</f>
        <v>0</v>
      </c>
      <c r="CK311" s="106">
        <f>+HLOOKUP($C311,ACCESS!$A$2:$M$250,178,0)</f>
        <v>0</v>
      </c>
      <c r="CL311" s="106">
        <f>+HLOOKUP($C311,ACCESS!$A$2:$M$250,179,0)</f>
        <v>0</v>
      </c>
      <c r="CM311" s="106">
        <f>+HLOOKUP($C311,ACCESS!$A$2:$M$250,180,0)</f>
        <v>0</v>
      </c>
      <c r="CN311" s="106">
        <f>+HLOOKUP($C311,ACCESS!$A$2:$M$250,182,0)</f>
        <v>0</v>
      </c>
      <c r="CO311" s="106">
        <f>+HLOOKUP($C311,ACCESS!$A$2:$M$250,183,0)</f>
        <v>0</v>
      </c>
      <c r="CP311" s="106">
        <f>+HLOOKUP($C311,ACCESS!$A$2:$M$250,184,0)</f>
        <v>0</v>
      </c>
      <c r="CQ311" s="106">
        <f>+HLOOKUP($C311,ACCESS!$A$2:$M$250,185,0)</f>
        <v>0</v>
      </c>
      <c r="CR311" s="106">
        <f>+HLOOKUP($C311,ACCESS!$A$2:$M$250,187,0)</f>
        <v>0</v>
      </c>
      <c r="CS311" s="106">
        <f>+HLOOKUP($C311,ACCESS!$A$2:$M$250,188,0)</f>
        <v>0</v>
      </c>
      <c r="CT311" s="106">
        <f>+HLOOKUP($C311,ACCESS!$A$2:$M$250,189,0)</f>
        <v>0</v>
      </c>
      <c r="CU311" s="106">
        <f>+HLOOKUP($C311,ACCESS!$A$2:$M$250,190,0)</f>
        <v>0</v>
      </c>
      <c r="CV311" s="106">
        <f>+HLOOKUP($C311,ACCESS!$A$2:$M$250,191,0)</f>
        <v>0</v>
      </c>
      <c r="CW311" s="106">
        <f>+HLOOKUP($C311,ACCESS!$A$2:$M$250,193,0)</f>
        <v>0</v>
      </c>
      <c r="CX311" s="106">
        <f>+HLOOKUP($C311,ACCESS!$A$2:$M$250,194,0)</f>
        <v>0</v>
      </c>
      <c r="CY311" s="106">
        <f>+HLOOKUP($C311,ACCESS!$A$2:$M$250,195,0)</f>
        <v>0</v>
      </c>
      <c r="CZ311" s="106">
        <f>+HLOOKUP($C311,ACCESS!$A$2:$M$250,196,0)</f>
        <v>0</v>
      </c>
      <c r="DA311" s="106">
        <f>+HLOOKUP($C311,ACCESS!$A$2:$M$250,197,0)</f>
        <v>0</v>
      </c>
      <c r="DB311" s="106">
        <f>+HLOOKUP($C311,ACCESS!$A$2:$M$250,198,0)</f>
        <v>0</v>
      </c>
      <c r="DC311" s="106">
        <f>+HLOOKUP($C311,ACCESS!$A$2:$M$250,199,0)</f>
        <v>0</v>
      </c>
      <c r="DD311" s="106">
        <f>+HLOOKUP($C311,ACCESS!$A$2:$M$250,200,0)</f>
        <v>0</v>
      </c>
      <c r="DE311" s="106">
        <f>+HLOOKUP($C311,ACCESS!$A$2:$M$250,201,0)</f>
        <v>0</v>
      </c>
      <c r="DF311" s="106">
        <f>+HLOOKUP($C311,ACCESS!$A$2:$M$250,202,0)</f>
        <v>0</v>
      </c>
      <c r="DG311" s="106">
        <f>+HLOOKUP($C311,ACCESS!$A$2:$M$250,203,0)</f>
        <v>0</v>
      </c>
      <c r="DH311" s="106">
        <f>+HLOOKUP($C311,ACCESS!$A$2:$M$250,205,0)</f>
        <v>0</v>
      </c>
      <c r="DI311" s="106">
        <f>+HLOOKUP($C311,ACCESS!$A$2:$M$250,206,0)</f>
        <v>0</v>
      </c>
      <c r="DJ311" s="106">
        <f>+HLOOKUP($C311,ACCESS!$A$2:$M$250,207,0)</f>
        <v>0</v>
      </c>
      <c r="DK311" s="106">
        <f>+HLOOKUP($C311,ACCESS!$A$2:$M$250,209,0)</f>
        <v>0</v>
      </c>
      <c r="DL311" s="106">
        <f>+HLOOKUP($C311,ACCESS!$A$2:$M$250,210,0)</f>
        <v>0</v>
      </c>
      <c r="DM311" s="106">
        <f>+HLOOKUP($C311,ACCESS!$A$2:$M$250,211,0)</f>
        <v>0</v>
      </c>
      <c r="DN311" s="106">
        <f>+HLOOKUP($C311,ACCESS!$A$2:$M$250,212,0)</f>
        <v>0</v>
      </c>
      <c r="DO311" s="106">
        <f>+HLOOKUP($C311,ACCESS!$A$2:$M$250,214,0)</f>
        <v>0</v>
      </c>
      <c r="DP311" s="106">
        <f>+HLOOKUP($C311,ACCESS!$A$2:$M$250,215,0)</f>
        <v>0</v>
      </c>
      <c r="DQ311" s="106">
        <f>+HLOOKUP($C311,ACCESS!$A$2:$M$250,219,0)</f>
        <v>0</v>
      </c>
      <c r="DR311" s="106">
        <f>+HLOOKUP($C311,ACCESS!$A$2:$M$250,220,0)</f>
        <v>0</v>
      </c>
      <c r="DS311" s="106">
        <f>+HLOOKUP($C311,ACCESS!$A$2:$M$250,221,0)</f>
        <v>0</v>
      </c>
      <c r="DT311" s="106">
        <f>+HLOOKUP($C311,ACCESS!$A$2:$M$250,223,0)</f>
        <v>0</v>
      </c>
      <c r="DU311" s="106">
        <f>+HLOOKUP($C311,ACCESS!$A$2:$M$250,224,0)</f>
        <v>0</v>
      </c>
      <c r="DV311" s="106">
        <f>+HLOOKUP($C311,ACCESS!$A$2:$M$250,225,0)</f>
        <v>0</v>
      </c>
      <c r="DW311" s="106">
        <f>+HLOOKUP($C311,ACCESS!$A$2:$M$250,227,0)</f>
        <v>0</v>
      </c>
      <c r="DX311" s="106">
        <f>+HLOOKUP($C311,ACCESS!$A$2:$M$250,228,0)</f>
        <v>0</v>
      </c>
      <c r="DY311" s="106">
        <f>+HLOOKUP($C311,ACCESS!$A$2:$M$250,236,0)</f>
        <v>0</v>
      </c>
      <c r="DZ311" s="106">
        <f>+HLOOKUP($C311,ACCESS!$A$2:$M$250,237,0)</f>
        <v>0</v>
      </c>
      <c r="EA311" s="106">
        <f>+HLOOKUP($C311,ACCESS!$A$2:$M$250,238,0)</f>
        <v>0</v>
      </c>
      <c r="EB311" s="106">
        <f>+HLOOKUP($C311,ACCESS!$A$2:$M$250,240,0)</f>
        <v>0</v>
      </c>
    </row>
    <row r="312" spans="1:132">
      <c r="A312" t="s">
        <v>269</v>
      </c>
      <c r="B312" t="s">
        <v>273</v>
      </c>
      <c r="C312" s="117">
        <v>45323</v>
      </c>
      <c r="D312" s="106">
        <f t="shared" si="11"/>
        <v>981792.40999999992</v>
      </c>
      <c r="E312" s="106">
        <f>+HLOOKUP(C312,ACCESS!$A$2:$M$250,50,0)+HLOOKUP(C312,ACCESS!$A$2:$M$250,51,0)+HLOOKUP(C312,ACCESS!$A$2:$M$250,54,0)</f>
        <v>981792.40999999992</v>
      </c>
      <c r="F312" s="106">
        <f>+HLOOKUP(C312,ACCESS!$A$2:$M$250,52,0)+HLOOKUP(C312,ACCESS!$A$2:$M$250,56,0)</f>
        <v>752998.25000000012</v>
      </c>
      <c r="G312" s="106">
        <f>+HLOOKUP($C312,ACCESS!$A$2:$M$250,76,0)</f>
        <v>0</v>
      </c>
      <c r="H312" s="106">
        <f>+HLOOKUP($C312,ACCESS!$A$2:$M$250,77,0)</f>
        <v>0</v>
      </c>
      <c r="I312" s="106">
        <f>+HLOOKUP($C312,ACCESS!$A$2:$M$250,78,0)</f>
        <v>0</v>
      </c>
      <c r="J312" s="106">
        <f>+HLOOKUP($C312,ACCESS!$A$2:$M$250,79,0)</f>
        <v>0</v>
      </c>
      <c r="K312" s="106">
        <f>+HLOOKUP($C312,ACCESS!$A$2:$M$250,80,0)</f>
        <v>0</v>
      </c>
      <c r="L312" s="106">
        <f>+HLOOKUP($C312,ACCESS!$A$2:$M$250,81,0)</f>
        <v>0</v>
      </c>
      <c r="M312" s="106">
        <f>+HLOOKUP($C312,ACCESS!$A$2:$M$250,82,0)</f>
        <v>0</v>
      </c>
      <c r="N312" s="106">
        <f>+HLOOKUP($C312,ACCESS!$A$2:$M$250,83,0)</f>
        <v>0</v>
      </c>
      <c r="O312" s="106">
        <f>+HLOOKUP($C312,ACCESS!$A$2:$M$250,84,0)</f>
        <v>0</v>
      </c>
      <c r="P312" s="106">
        <f>+HLOOKUP($C312,ACCESS!$A$2:$M$250,85,0)</f>
        <v>0</v>
      </c>
      <c r="Q312" s="106">
        <f>+HLOOKUP($C312,ACCESS!$A$2:$M$250,87,0)</f>
        <v>3000</v>
      </c>
      <c r="R312" s="106">
        <f>+HLOOKUP($C312,ACCESS!$A$2:$M$250,90,0)</f>
        <v>0</v>
      </c>
      <c r="S312" s="106">
        <f>+HLOOKUP($C312,ACCESS!$A$2:$M$250,91,0)</f>
        <v>0</v>
      </c>
      <c r="T312" s="106">
        <f>+HLOOKUP($C312,ACCESS!$A$2:$M$250,92,0)</f>
        <v>0</v>
      </c>
      <c r="U312" s="106">
        <f>+HLOOKUP($C312,ACCESS!$A$2:$M$250,93,0)</f>
        <v>0</v>
      </c>
      <c r="V312" s="106">
        <f>+HLOOKUP($C312,ACCESS!$A$2:$M$250,94,0)</f>
        <v>0</v>
      </c>
      <c r="W312" s="106">
        <f>+HLOOKUP($C312,ACCESS!$A$2:$M$250,95,0)</f>
        <v>0</v>
      </c>
      <c r="X312" s="106">
        <f>+HLOOKUP($C312,ACCESS!$A$2:$M$250,96,0)</f>
        <v>0</v>
      </c>
      <c r="Y312" s="106">
        <f>+HLOOKUP($C312,ACCESS!$A$2:$M$250,97,0)</f>
        <v>0</v>
      </c>
      <c r="Z312" s="106">
        <f>+HLOOKUP($C312,ACCESS!$A$2:$M$250,98,0)</f>
        <v>0</v>
      </c>
      <c r="AA312" s="106">
        <f>+HLOOKUP($C312,ACCESS!$A$2:$M$250,99,0)</f>
        <v>0</v>
      </c>
      <c r="AB312" s="106">
        <f>+HLOOKUP($C312,ACCESS!$A$2:$M$250,100,0)</f>
        <v>0</v>
      </c>
      <c r="AC312" s="106">
        <f>+HLOOKUP($C312,ACCESS!$A$2:$M$250,101,0)</f>
        <v>0</v>
      </c>
      <c r="AD312" s="106">
        <f>+HLOOKUP($C312,ACCESS!$A$2:$M$250,104,0)</f>
        <v>0</v>
      </c>
      <c r="AE312" s="106">
        <f>+HLOOKUP($C312,ACCESS!$A$2:$M$250,105,0)</f>
        <v>4000</v>
      </c>
      <c r="AF312" s="106">
        <f>+HLOOKUP($C312,ACCESS!$A$2:$M$250,106,0)</f>
        <v>0</v>
      </c>
      <c r="AG312" s="106">
        <f>+HLOOKUP($C312,ACCESS!$A$2:$M$250,107,0)</f>
        <v>0</v>
      </c>
      <c r="AH312" s="106">
        <f>+HLOOKUP($C312,ACCESS!$A$2:$M$250,108,0)</f>
        <v>0</v>
      </c>
      <c r="AI312" s="106">
        <f>+HLOOKUP($C312,ACCESS!$A$2:$M$250,109,0)</f>
        <v>0</v>
      </c>
      <c r="AJ312" s="106">
        <f>+HLOOKUP($C312,ACCESS!$A$2:$M$250,110,0)</f>
        <v>0</v>
      </c>
      <c r="AK312" s="106">
        <f>+HLOOKUP($C312,ACCESS!$A$2:$M$250,111,0)</f>
        <v>0</v>
      </c>
      <c r="AL312" s="106">
        <f>+HLOOKUP($C312,ACCESS!$A$2:$M$250,112,0)</f>
        <v>0</v>
      </c>
      <c r="AM312" s="106">
        <f>+HLOOKUP($C312,ACCESS!$A$2:$M$250,116,0)</f>
        <v>12862.000000000002</v>
      </c>
      <c r="AN312" s="106">
        <f>+HLOOKUP($C312,ACCESS!$A$2:$M$250,117,0)</f>
        <v>1744.0000000000002</v>
      </c>
      <c r="AO312" s="106">
        <f>+HLOOKUP($C312,ACCESS!$A$2:$M$250,118,0)</f>
        <v>0</v>
      </c>
      <c r="AP312" s="106">
        <f>+HLOOKUP($C312,ACCESS!$A$2:$M$250,119,0)</f>
        <v>4360</v>
      </c>
      <c r="AQ312" s="106">
        <f>+HLOOKUP($C312,ACCESS!$A$2:$M$250,120,0)</f>
        <v>0</v>
      </c>
      <c r="AR312" s="106">
        <f>+HLOOKUP($C312,ACCESS!$A$2:$M$250,121,0)</f>
        <v>545</v>
      </c>
      <c r="AS312" s="106">
        <f>+HLOOKUP($C312,ACCESS!$A$2:$M$250,122,0)</f>
        <v>13189.000000000002</v>
      </c>
      <c r="AT312" s="106">
        <f>+HLOOKUP($C312,ACCESS!$A$2:$M$250,123,0)</f>
        <v>1534</v>
      </c>
      <c r="AU312" s="106">
        <f>+HLOOKUP($C312,ACCESS!$A$2:$M$250,124,0)</f>
        <v>0</v>
      </c>
      <c r="AV312" s="106">
        <f>+HLOOKUP($C312,ACCESS!$A$2:$M$250,125,0)</f>
        <v>0</v>
      </c>
      <c r="AW312" s="106">
        <f>+HLOOKUP($C312,ACCESS!$A$2:$M$250,126,0)</f>
        <v>607.01923076923083</v>
      </c>
      <c r="AX312" s="106">
        <f>+HLOOKUP($C312,ACCESS!$A$2:$M$250,127,0)</f>
        <v>1052.1666666666667</v>
      </c>
      <c r="AY312" s="106">
        <f>+HLOOKUP($C312,ACCESS!$A$2:$M$250,129,0)</f>
        <v>0</v>
      </c>
      <c r="AZ312" s="106">
        <f>+HLOOKUP($C312,ACCESS!$A$2:$M$250,130,0)</f>
        <v>0</v>
      </c>
      <c r="BA312" s="106">
        <f>+HLOOKUP($C312,ACCESS!$A$2:$M$250,131,0)</f>
        <v>0</v>
      </c>
      <c r="BB312" s="106">
        <f>+HLOOKUP($C312,ACCESS!$A$2:$M$250,133,0)</f>
        <v>0</v>
      </c>
      <c r="BC312" s="106">
        <f>+HLOOKUP($C312,ACCESS!$A$2:$M$250,134,0)</f>
        <v>0</v>
      </c>
      <c r="BD312" s="106">
        <f>+HLOOKUP($C312,ACCESS!$A$2:$M$250,135,0)</f>
        <v>0</v>
      </c>
      <c r="BE312" s="106">
        <f>+HLOOKUP($C312,ACCESS!$A$2:$M$250,136,0)</f>
        <v>0</v>
      </c>
      <c r="BF312" s="106">
        <f>+HLOOKUP($C312,ACCESS!$A$2:$M$250,138,0)</f>
        <v>0</v>
      </c>
      <c r="BG312" s="106">
        <f>+HLOOKUP($C312,ACCESS!$A$2:$M$250,139,0)</f>
        <v>0</v>
      </c>
      <c r="BH312" s="106">
        <f>+HLOOKUP($C312,ACCESS!$A$2:$M$250,140,0)</f>
        <v>0</v>
      </c>
      <c r="BI312" s="106">
        <f>+HLOOKUP($C312,ACCESS!$A$2:$M$250,141,0)</f>
        <v>0</v>
      </c>
      <c r="BJ312" s="106">
        <f>+HLOOKUP($C312,ACCESS!$A$2:$M$250,142,0)</f>
        <v>0</v>
      </c>
      <c r="BK312" s="106">
        <f>+HLOOKUP($C312,ACCESS!$A$2:$M$250,143,0)</f>
        <v>0</v>
      </c>
      <c r="BL312" s="106">
        <f>+HLOOKUP($C312,ACCESS!$A$2:$M$250,144,0)</f>
        <v>0</v>
      </c>
      <c r="BM312" s="106">
        <f>+HLOOKUP($C312,ACCESS!$A$2:$M$250,146,0)</f>
        <v>0</v>
      </c>
      <c r="BN312" s="106">
        <f>+HLOOKUP($C312,ACCESS!$A$2:$M$250,147,0)</f>
        <v>0</v>
      </c>
      <c r="BO312" s="106">
        <f>+HLOOKUP($C312,ACCESS!$A$2:$M$250,148,0)</f>
        <v>0</v>
      </c>
      <c r="BP312" s="106">
        <f>+HLOOKUP($C312,ACCESS!$A$2:$M$250,150,0)</f>
        <v>0</v>
      </c>
      <c r="BQ312" s="106">
        <f>+HLOOKUP($C312,ACCESS!$A$2:$M$250,151,0)</f>
        <v>0</v>
      </c>
      <c r="BR312" s="106">
        <f>+HLOOKUP($C312,ACCESS!$A$2:$M$250,152,0)</f>
        <v>0</v>
      </c>
      <c r="BS312" s="106">
        <f>+HLOOKUP($C312,ACCESS!$A$2:$M$250,153,0)</f>
        <v>0</v>
      </c>
      <c r="BT312" s="106">
        <f>+HLOOKUP($C312,ACCESS!$A$2:$M$250,157,0)</f>
        <v>0</v>
      </c>
      <c r="BU312" s="106">
        <f>+HLOOKUP($C312,ACCESS!$A$2:$M$250,158,0)</f>
        <v>0</v>
      </c>
      <c r="BV312" s="106">
        <f>+HLOOKUP($C312,ACCESS!$A$2:$M$250,159,0)</f>
        <v>0</v>
      </c>
      <c r="BW312" s="106">
        <f>+HLOOKUP($C312,ACCESS!$A$2:$M$250,160,0)</f>
        <v>0</v>
      </c>
      <c r="BX312" s="106">
        <f>+HLOOKUP($C312,ACCESS!$A$2:$M$250,161,0)</f>
        <v>0</v>
      </c>
      <c r="BY312" s="106">
        <f>+HLOOKUP($C312,ACCESS!$A$2:$M$250,164,0)</f>
        <v>0</v>
      </c>
      <c r="BZ312" s="106">
        <f>+HLOOKUP($C312,ACCESS!$A$2:$M$250,165,0)</f>
        <v>0</v>
      </c>
      <c r="CA312" s="106">
        <f>+HLOOKUP($C312,ACCESS!$A$2:$M$250,166,0)</f>
        <v>0</v>
      </c>
      <c r="CB312" s="106">
        <f>+HLOOKUP($C312,ACCESS!$A$2:$M$250,167,0)</f>
        <v>0</v>
      </c>
      <c r="CC312" s="106">
        <f>+HLOOKUP($C312,ACCESS!$A$2:$M$250,168,0)</f>
        <v>0</v>
      </c>
      <c r="CD312" s="106">
        <f>+HLOOKUP($C312,ACCESS!$A$2:$M$250,169,0)</f>
        <v>0</v>
      </c>
      <c r="CE312" s="106">
        <f>+HLOOKUP($C312,ACCESS!$A$2:$M$250,170,0)</f>
        <v>0</v>
      </c>
      <c r="CF312" s="106">
        <f>+HLOOKUP($C312,ACCESS!$A$2:$M$250,172,0)</f>
        <v>0</v>
      </c>
      <c r="CG312" s="106">
        <f>+HLOOKUP($C312,ACCESS!$A$2:$M$250,173,0)</f>
        <v>0</v>
      </c>
      <c r="CH312" s="106">
        <f>+HLOOKUP($C312,ACCESS!$A$2:$M$250,174,0)</f>
        <v>0</v>
      </c>
      <c r="CI312" s="106">
        <f>+HLOOKUP($C312,ACCESS!$A$2:$M$250,175,0)</f>
        <v>0</v>
      </c>
      <c r="CJ312" s="106">
        <f>+HLOOKUP($C312,ACCESS!$A$2:$M$250,176,0)</f>
        <v>0</v>
      </c>
      <c r="CK312" s="106">
        <f>+HLOOKUP($C312,ACCESS!$A$2:$M$250,178,0)</f>
        <v>0</v>
      </c>
      <c r="CL312" s="106">
        <f>+HLOOKUP($C312,ACCESS!$A$2:$M$250,179,0)</f>
        <v>0</v>
      </c>
      <c r="CM312" s="106">
        <f>+HLOOKUP($C312,ACCESS!$A$2:$M$250,180,0)</f>
        <v>0</v>
      </c>
      <c r="CN312" s="106">
        <f>+HLOOKUP($C312,ACCESS!$A$2:$M$250,182,0)</f>
        <v>0</v>
      </c>
      <c r="CO312" s="106">
        <f>+HLOOKUP($C312,ACCESS!$A$2:$M$250,183,0)</f>
        <v>0</v>
      </c>
      <c r="CP312" s="106">
        <f>+HLOOKUP($C312,ACCESS!$A$2:$M$250,184,0)</f>
        <v>0</v>
      </c>
      <c r="CQ312" s="106">
        <f>+HLOOKUP($C312,ACCESS!$A$2:$M$250,185,0)</f>
        <v>0</v>
      </c>
      <c r="CR312" s="106">
        <f>+HLOOKUP($C312,ACCESS!$A$2:$M$250,187,0)</f>
        <v>0</v>
      </c>
      <c r="CS312" s="106">
        <f>+HLOOKUP($C312,ACCESS!$A$2:$M$250,188,0)</f>
        <v>0</v>
      </c>
      <c r="CT312" s="106">
        <f>+HLOOKUP($C312,ACCESS!$A$2:$M$250,189,0)</f>
        <v>0</v>
      </c>
      <c r="CU312" s="106">
        <f>+HLOOKUP($C312,ACCESS!$A$2:$M$250,190,0)</f>
        <v>0</v>
      </c>
      <c r="CV312" s="106">
        <f>+HLOOKUP($C312,ACCESS!$A$2:$M$250,191,0)</f>
        <v>0</v>
      </c>
      <c r="CW312" s="106">
        <f>+HLOOKUP($C312,ACCESS!$A$2:$M$250,193,0)</f>
        <v>0</v>
      </c>
      <c r="CX312" s="106">
        <f>+HLOOKUP($C312,ACCESS!$A$2:$M$250,194,0)</f>
        <v>0</v>
      </c>
      <c r="CY312" s="106">
        <f>+HLOOKUP($C312,ACCESS!$A$2:$M$250,195,0)</f>
        <v>0</v>
      </c>
      <c r="CZ312" s="106">
        <f>+HLOOKUP($C312,ACCESS!$A$2:$M$250,196,0)</f>
        <v>0</v>
      </c>
      <c r="DA312" s="106">
        <f>+HLOOKUP($C312,ACCESS!$A$2:$M$250,197,0)</f>
        <v>0</v>
      </c>
      <c r="DB312" s="106">
        <f>+HLOOKUP($C312,ACCESS!$A$2:$M$250,198,0)</f>
        <v>0</v>
      </c>
      <c r="DC312" s="106">
        <f>+HLOOKUP($C312,ACCESS!$A$2:$M$250,199,0)</f>
        <v>0</v>
      </c>
      <c r="DD312" s="106">
        <f>+HLOOKUP($C312,ACCESS!$A$2:$M$250,200,0)</f>
        <v>0</v>
      </c>
      <c r="DE312" s="106">
        <f>+HLOOKUP($C312,ACCESS!$A$2:$M$250,201,0)</f>
        <v>0</v>
      </c>
      <c r="DF312" s="106">
        <f>+HLOOKUP($C312,ACCESS!$A$2:$M$250,202,0)</f>
        <v>0</v>
      </c>
      <c r="DG312" s="106">
        <f>+HLOOKUP($C312,ACCESS!$A$2:$M$250,203,0)</f>
        <v>0</v>
      </c>
      <c r="DH312" s="106">
        <f>+HLOOKUP($C312,ACCESS!$A$2:$M$250,205,0)</f>
        <v>0</v>
      </c>
      <c r="DI312" s="106">
        <f>+HLOOKUP($C312,ACCESS!$A$2:$M$250,206,0)</f>
        <v>0</v>
      </c>
      <c r="DJ312" s="106">
        <f>+HLOOKUP($C312,ACCESS!$A$2:$M$250,207,0)</f>
        <v>0</v>
      </c>
      <c r="DK312" s="106">
        <f>+HLOOKUP($C312,ACCESS!$A$2:$M$250,209,0)</f>
        <v>0</v>
      </c>
      <c r="DL312" s="106">
        <f>+HLOOKUP($C312,ACCESS!$A$2:$M$250,210,0)</f>
        <v>0</v>
      </c>
      <c r="DM312" s="106">
        <f>+HLOOKUP($C312,ACCESS!$A$2:$M$250,211,0)</f>
        <v>0</v>
      </c>
      <c r="DN312" s="106">
        <f>+HLOOKUP($C312,ACCESS!$A$2:$M$250,212,0)</f>
        <v>0</v>
      </c>
      <c r="DO312" s="106">
        <f>+HLOOKUP($C312,ACCESS!$A$2:$M$250,214,0)</f>
        <v>0</v>
      </c>
      <c r="DP312" s="106">
        <f>+HLOOKUP($C312,ACCESS!$A$2:$M$250,215,0)</f>
        <v>0</v>
      </c>
      <c r="DQ312" s="106">
        <f>+HLOOKUP($C312,ACCESS!$A$2:$M$250,219,0)</f>
        <v>0</v>
      </c>
      <c r="DR312" s="106">
        <f>+HLOOKUP($C312,ACCESS!$A$2:$M$250,220,0)</f>
        <v>0</v>
      </c>
      <c r="DS312" s="106">
        <f>+HLOOKUP($C312,ACCESS!$A$2:$M$250,221,0)</f>
        <v>0</v>
      </c>
      <c r="DT312" s="106">
        <f>+HLOOKUP($C312,ACCESS!$A$2:$M$250,223,0)</f>
        <v>0</v>
      </c>
      <c r="DU312" s="106">
        <f>+HLOOKUP($C312,ACCESS!$A$2:$M$250,224,0)</f>
        <v>0</v>
      </c>
      <c r="DV312" s="106">
        <f>+HLOOKUP($C312,ACCESS!$A$2:$M$250,225,0)</f>
        <v>0</v>
      </c>
      <c r="DW312" s="106">
        <f>+HLOOKUP($C312,ACCESS!$A$2:$M$250,227,0)</f>
        <v>0</v>
      </c>
      <c r="DX312" s="106">
        <f>+HLOOKUP($C312,ACCESS!$A$2:$M$250,228,0)</f>
        <v>0</v>
      </c>
      <c r="DY312" s="106">
        <f>+HLOOKUP($C312,ACCESS!$A$2:$M$250,236,0)</f>
        <v>0</v>
      </c>
      <c r="DZ312" s="106">
        <f>+HLOOKUP($C312,ACCESS!$A$2:$M$250,237,0)</f>
        <v>0</v>
      </c>
      <c r="EA312" s="106">
        <f>+HLOOKUP($C312,ACCESS!$A$2:$M$250,238,0)</f>
        <v>0</v>
      </c>
      <c r="EB312" s="106">
        <f>+HLOOKUP($C312,ACCESS!$A$2:$M$250,240,0)</f>
        <v>0</v>
      </c>
    </row>
    <row r="313" spans="1:132">
      <c r="A313" t="s">
        <v>269</v>
      </c>
      <c r="B313" t="s">
        <v>273</v>
      </c>
      <c r="C313" s="117">
        <v>45292</v>
      </c>
      <c r="D313" s="106">
        <f t="shared" si="11"/>
        <v>775426.92</v>
      </c>
      <c r="E313" s="106">
        <f>+HLOOKUP(C313,ACCESS!$A$2:$M$250,50,0)+HLOOKUP(C313,ACCESS!$A$2:$M$250,51,0)+HLOOKUP(C313,ACCESS!$A$2:$M$250,54,0)</f>
        <v>775426.92</v>
      </c>
      <c r="F313" s="106">
        <f>+HLOOKUP(C313,ACCESS!$A$2:$M$250,52,0)+HLOOKUP(C313,ACCESS!$A$2:$M$250,56,0)</f>
        <v>626075.02000000014</v>
      </c>
      <c r="G313" s="106">
        <f>+HLOOKUP($C313,ACCESS!$A$2:$M$250,76,0)</f>
        <v>0</v>
      </c>
      <c r="H313" s="106">
        <f>+HLOOKUP($C313,ACCESS!$A$2:$M$250,77,0)</f>
        <v>0</v>
      </c>
      <c r="I313" s="106">
        <f>+HLOOKUP($C313,ACCESS!$A$2:$M$250,78,0)</f>
        <v>0</v>
      </c>
      <c r="J313" s="106">
        <f>+HLOOKUP($C313,ACCESS!$A$2:$M$250,79,0)</f>
        <v>0</v>
      </c>
      <c r="K313" s="106">
        <f>+HLOOKUP($C313,ACCESS!$A$2:$M$250,80,0)</f>
        <v>0</v>
      </c>
      <c r="L313" s="106">
        <f>+HLOOKUP($C313,ACCESS!$A$2:$M$250,81,0)</f>
        <v>0</v>
      </c>
      <c r="M313" s="106">
        <f>+HLOOKUP($C313,ACCESS!$A$2:$M$250,82,0)</f>
        <v>0</v>
      </c>
      <c r="N313" s="106">
        <f>+HLOOKUP($C313,ACCESS!$A$2:$M$250,83,0)</f>
        <v>0</v>
      </c>
      <c r="O313" s="106">
        <f>+HLOOKUP($C313,ACCESS!$A$2:$M$250,84,0)</f>
        <v>0</v>
      </c>
      <c r="P313" s="106">
        <f>+HLOOKUP($C313,ACCESS!$A$2:$M$250,85,0)</f>
        <v>0</v>
      </c>
      <c r="Q313" s="106">
        <f>+HLOOKUP($C313,ACCESS!$A$2:$M$250,87,0)</f>
        <v>2400</v>
      </c>
      <c r="R313" s="106">
        <f>+HLOOKUP($C313,ACCESS!$A$2:$M$250,90,0)</f>
        <v>0</v>
      </c>
      <c r="S313" s="106">
        <f>+HLOOKUP($C313,ACCESS!$A$2:$M$250,91,0)</f>
        <v>0</v>
      </c>
      <c r="T313" s="106">
        <f>+HLOOKUP($C313,ACCESS!$A$2:$M$250,92,0)</f>
        <v>0</v>
      </c>
      <c r="U313" s="106">
        <f>+HLOOKUP($C313,ACCESS!$A$2:$M$250,93,0)</f>
        <v>0</v>
      </c>
      <c r="V313" s="106">
        <f>+HLOOKUP($C313,ACCESS!$A$2:$M$250,94,0)</f>
        <v>0</v>
      </c>
      <c r="W313" s="106">
        <f>+HLOOKUP($C313,ACCESS!$A$2:$M$250,95,0)</f>
        <v>0</v>
      </c>
      <c r="X313" s="106">
        <f>+HLOOKUP($C313,ACCESS!$A$2:$M$250,96,0)</f>
        <v>0</v>
      </c>
      <c r="Y313" s="106">
        <f>+HLOOKUP($C313,ACCESS!$A$2:$M$250,97,0)</f>
        <v>0</v>
      </c>
      <c r="Z313" s="106">
        <f>+HLOOKUP($C313,ACCESS!$A$2:$M$250,98,0)</f>
        <v>0</v>
      </c>
      <c r="AA313" s="106">
        <f>+HLOOKUP($C313,ACCESS!$A$2:$M$250,99,0)</f>
        <v>0</v>
      </c>
      <c r="AB313" s="106">
        <f>+HLOOKUP($C313,ACCESS!$A$2:$M$250,100,0)</f>
        <v>0</v>
      </c>
      <c r="AC313" s="106">
        <f>+HLOOKUP($C313,ACCESS!$A$2:$M$250,101,0)</f>
        <v>0</v>
      </c>
      <c r="AD313" s="106">
        <f>+HLOOKUP($C313,ACCESS!$A$2:$M$250,104,0)</f>
        <v>0</v>
      </c>
      <c r="AE313" s="106">
        <f>+HLOOKUP($C313,ACCESS!$A$2:$M$250,105,0)</f>
        <v>0</v>
      </c>
      <c r="AF313" s="106">
        <f>+HLOOKUP($C313,ACCESS!$A$2:$M$250,106,0)</f>
        <v>0</v>
      </c>
      <c r="AG313" s="106">
        <f>+HLOOKUP($C313,ACCESS!$A$2:$M$250,107,0)</f>
        <v>0</v>
      </c>
      <c r="AH313" s="106">
        <f>+HLOOKUP($C313,ACCESS!$A$2:$M$250,108,0)</f>
        <v>0</v>
      </c>
      <c r="AI313" s="106">
        <f>+HLOOKUP($C313,ACCESS!$A$2:$M$250,109,0)</f>
        <v>0</v>
      </c>
      <c r="AJ313" s="106">
        <f>+HLOOKUP($C313,ACCESS!$A$2:$M$250,110,0)</f>
        <v>0</v>
      </c>
      <c r="AK313" s="106">
        <f>+HLOOKUP($C313,ACCESS!$A$2:$M$250,111,0)</f>
        <v>0</v>
      </c>
      <c r="AL313" s="106">
        <f>+HLOOKUP($C313,ACCESS!$A$2:$M$250,112,0)</f>
        <v>0</v>
      </c>
      <c r="AM313" s="106">
        <f>+HLOOKUP($C313,ACCESS!$A$2:$M$250,116,0)</f>
        <v>12862.000000000002</v>
      </c>
      <c r="AN313" s="106">
        <f>+HLOOKUP($C313,ACCESS!$A$2:$M$250,117,0)</f>
        <v>1744.0000000000002</v>
      </c>
      <c r="AO313" s="106">
        <f>+HLOOKUP($C313,ACCESS!$A$2:$M$250,118,0)</f>
        <v>0</v>
      </c>
      <c r="AP313" s="106">
        <f>+HLOOKUP($C313,ACCESS!$A$2:$M$250,119,0)</f>
        <v>4360</v>
      </c>
      <c r="AQ313" s="106">
        <f>+HLOOKUP($C313,ACCESS!$A$2:$M$250,120,0)</f>
        <v>0</v>
      </c>
      <c r="AR313" s="106">
        <f>+HLOOKUP($C313,ACCESS!$A$2:$M$250,121,0)</f>
        <v>545</v>
      </c>
      <c r="AS313" s="106">
        <f>+HLOOKUP($C313,ACCESS!$A$2:$M$250,122,0)</f>
        <v>13189.000000000002</v>
      </c>
      <c r="AT313" s="106">
        <f>+HLOOKUP($C313,ACCESS!$A$2:$M$250,123,0)</f>
        <v>1534</v>
      </c>
      <c r="AU313" s="106">
        <f>+HLOOKUP($C313,ACCESS!$A$2:$M$250,124,0)</f>
        <v>0</v>
      </c>
      <c r="AV313" s="106">
        <f>+HLOOKUP($C313,ACCESS!$A$2:$M$250,125,0)</f>
        <v>0</v>
      </c>
      <c r="AW313" s="106">
        <f>+HLOOKUP($C313,ACCESS!$A$2:$M$250,126,0)</f>
        <v>607.01923076923083</v>
      </c>
      <c r="AX313" s="106">
        <f>+HLOOKUP($C313,ACCESS!$A$2:$M$250,127,0)</f>
        <v>1052.1666666666667</v>
      </c>
      <c r="AY313" s="106">
        <f>+HLOOKUP($C313,ACCESS!$A$2:$M$250,129,0)</f>
        <v>0</v>
      </c>
      <c r="AZ313" s="106">
        <f>+HLOOKUP($C313,ACCESS!$A$2:$M$250,130,0)</f>
        <v>0</v>
      </c>
      <c r="BA313" s="106">
        <f>+HLOOKUP($C313,ACCESS!$A$2:$M$250,131,0)</f>
        <v>0</v>
      </c>
      <c r="BB313" s="106">
        <f>+HLOOKUP($C313,ACCESS!$A$2:$M$250,133,0)</f>
        <v>0</v>
      </c>
      <c r="BC313" s="106">
        <f>+HLOOKUP($C313,ACCESS!$A$2:$M$250,134,0)</f>
        <v>0</v>
      </c>
      <c r="BD313" s="106">
        <f>+HLOOKUP($C313,ACCESS!$A$2:$M$250,135,0)</f>
        <v>0</v>
      </c>
      <c r="BE313" s="106">
        <f>+HLOOKUP($C313,ACCESS!$A$2:$M$250,136,0)</f>
        <v>0</v>
      </c>
      <c r="BF313" s="106">
        <f>+HLOOKUP($C313,ACCESS!$A$2:$M$250,138,0)</f>
        <v>0</v>
      </c>
      <c r="BG313" s="106">
        <f>+HLOOKUP($C313,ACCESS!$A$2:$M$250,139,0)</f>
        <v>0</v>
      </c>
      <c r="BH313" s="106">
        <f>+HLOOKUP($C313,ACCESS!$A$2:$M$250,140,0)</f>
        <v>0</v>
      </c>
      <c r="BI313" s="106">
        <f>+HLOOKUP($C313,ACCESS!$A$2:$M$250,141,0)</f>
        <v>0</v>
      </c>
      <c r="BJ313" s="106">
        <f>+HLOOKUP($C313,ACCESS!$A$2:$M$250,142,0)</f>
        <v>0</v>
      </c>
      <c r="BK313" s="106">
        <f>+HLOOKUP($C313,ACCESS!$A$2:$M$250,143,0)</f>
        <v>0</v>
      </c>
      <c r="BL313" s="106">
        <f>+HLOOKUP($C313,ACCESS!$A$2:$M$250,144,0)</f>
        <v>0</v>
      </c>
      <c r="BM313" s="106">
        <f>+HLOOKUP($C313,ACCESS!$A$2:$M$250,146,0)</f>
        <v>0</v>
      </c>
      <c r="BN313" s="106">
        <f>+HLOOKUP($C313,ACCESS!$A$2:$M$250,147,0)</f>
        <v>0</v>
      </c>
      <c r="BO313" s="106">
        <f>+HLOOKUP($C313,ACCESS!$A$2:$M$250,148,0)</f>
        <v>0</v>
      </c>
      <c r="BP313" s="106">
        <f>+HLOOKUP($C313,ACCESS!$A$2:$M$250,150,0)</f>
        <v>0</v>
      </c>
      <c r="BQ313" s="106">
        <f>+HLOOKUP($C313,ACCESS!$A$2:$M$250,151,0)</f>
        <v>0</v>
      </c>
      <c r="BR313" s="106">
        <f>+HLOOKUP($C313,ACCESS!$A$2:$M$250,152,0)</f>
        <v>0</v>
      </c>
      <c r="BS313" s="106">
        <f>+HLOOKUP($C313,ACCESS!$A$2:$M$250,153,0)</f>
        <v>0</v>
      </c>
      <c r="BT313" s="106">
        <f>+HLOOKUP($C313,ACCESS!$A$2:$M$250,157,0)</f>
        <v>0</v>
      </c>
      <c r="BU313" s="106">
        <f>+HLOOKUP($C313,ACCESS!$A$2:$M$250,158,0)</f>
        <v>0</v>
      </c>
      <c r="BV313" s="106">
        <f>+HLOOKUP($C313,ACCESS!$A$2:$M$250,159,0)</f>
        <v>0</v>
      </c>
      <c r="BW313" s="106">
        <f>+HLOOKUP($C313,ACCESS!$A$2:$M$250,160,0)</f>
        <v>0</v>
      </c>
      <c r="BX313" s="106">
        <f>+HLOOKUP($C313,ACCESS!$A$2:$M$250,161,0)</f>
        <v>0</v>
      </c>
      <c r="BY313" s="106">
        <f>+HLOOKUP($C313,ACCESS!$A$2:$M$250,164,0)</f>
        <v>0</v>
      </c>
      <c r="BZ313" s="106">
        <f>+HLOOKUP($C313,ACCESS!$A$2:$M$250,165,0)</f>
        <v>0</v>
      </c>
      <c r="CA313" s="106">
        <f>+HLOOKUP($C313,ACCESS!$A$2:$M$250,166,0)</f>
        <v>0</v>
      </c>
      <c r="CB313" s="106">
        <f>+HLOOKUP($C313,ACCESS!$A$2:$M$250,167,0)</f>
        <v>0</v>
      </c>
      <c r="CC313" s="106">
        <f>+HLOOKUP($C313,ACCESS!$A$2:$M$250,168,0)</f>
        <v>0</v>
      </c>
      <c r="CD313" s="106">
        <f>+HLOOKUP($C313,ACCESS!$A$2:$M$250,169,0)</f>
        <v>0</v>
      </c>
      <c r="CE313" s="106">
        <f>+HLOOKUP($C313,ACCESS!$A$2:$M$250,170,0)</f>
        <v>0</v>
      </c>
      <c r="CF313" s="106">
        <f>+HLOOKUP($C313,ACCESS!$A$2:$M$250,172,0)</f>
        <v>0</v>
      </c>
      <c r="CG313" s="106">
        <f>+HLOOKUP($C313,ACCESS!$A$2:$M$250,173,0)</f>
        <v>0</v>
      </c>
      <c r="CH313" s="106">
        <f>+HLOOKUP($C313,ACCESS!$A$2:$M$250,174,0)</f>
        <v>0</v>
      </c>
      <c r="CI313" s="106">
        <f>+HLOOKUP($C313,ACCESS!$A$2:$M$250,175,0)</f>
        <v>0</v>
      </c>
      <c r="CJ313" s="106">
        <f>+HLOOKUP($C313,ACCESS!$A$2:$M$250,176,0)</f>
        <v>0</v>
      </c>
      <c r="CK313" s="106">
        <f>+HLOOKUP($C313,ACCESS!$A$2:$M$250,178,0)</f>
        <v>0</v>
      </c>
      <c r="CL313" s="106">
        <f>+HLOOKUP($C313,ACCESS!$A$2:$M$250,179,0)</f>
        <v>0</v>
      </c>
      <c r="CM313" s="106">
        <f>+HLOOKUP($C313,ACCESS!$A$2:$M$250,180,0)</f>
        <v>0</v>
      </c>
      <c r="CN313" s="106">
        <f>+HLOOKUP($C313,ACCESS!$A$2:$M$250,182,0)</f>
        <v>0</v>
      </c>
      <c r="CO313" s="106">
        <f>+HLOOKUP($C313,ACCESS!$A$2:$M$250,183,0)</f>
        <v>0</v>
      </c>
      <c r="CP313" s="106">
        <f>+HLOOKUP($C313,ACCESS!$A$2:$M$250,184,0)</f>
        <v>0</v>
      </c>
      <c r="CQ313" s="106">
        <f>+HLOOKUP($C313,ACCESS!$A$2:$M$250,185,0)</f>
        <v>0</v>
      </c>
      <c r="CR313" s="106">
        <f>+HLOOKUP($C313,ACCESS!$A$2:$M$250,187,0)</f>
        <v>0</v>
      </c>
      <c r="CS313" s="106">
        <f>+HLOOKUP($C313,ACCESS!$A$2:$M$250,188,0)</f>
        <v>0</v>
      </c>
      <c r="CT313" s="106">
        <f>+HLOOKUP($C313,ACCESS!$A$2:$M$250,189,0)</f>
        <v>0</v>
      </c>
      <c r="CU313" s="106">
        <f>+HLOOKUP($C313,ACCESS!$A$2:$M$250,190,0)</f>
        <v>0</v>
      </c>
      <c r="CV313" s="106">
        <f>+HLOOKUP($C313,ACCESS!$A$2:$M$250,191,0)</f>
        <v>0</v>
      </c>
      <c r="CW313" s="106">
        <f>+HLOOKUP($C313,ACCESS!$A$2:$M$250,193,0)</f>
        <v>0</v>
      </c>
      <c r="CX313" s="106">
        <f>+HLOOKUP($C313,ACCESS!$A$2:$M$250,194,0)</f>
        <v>0</v>
      </c>
      <c r="CY313" s="106">
        <f>+HLOOKUP($C313,ACCESS!$A$2:$M$250,195,0)</f>
        <v>0</v>
      </c>
      <c r="CZ313" s="106">
        <f>+HLOOKUP($C313,ACCESS!$A$2:$M$250,196,0)</f>
        <v>0</v>
      </c>
      <c r="DA313" s="106">
        <f>+HLOOKUP($C313,ACCESS!$A$2:$M$250,197,0)</f>
        <v>0</v>
      </c>
      <c r="DB313" s="106">
        <f>+HLOOKUP($C313,ACCESS!$A$2:$M$250,198,0)</f>
        <v>0</v>
      </c>
      <c r="DC313" s="106">
        <f>+HLOOKUP($C313,ACCESS!$A$2:$M$250,199,0)</f>
        <v>0</v>
      </c>
      <c r="DD313" s="106">
        <f>+HLOOKUP($C313,ACCESS!$A$2:$M$250,200,0)</f>
        <v>0</v>
      </c>
      <c r="DE313" s="106">
        <f>+HLOOKUP($C313,ACCESS!$A$2:$M$250,201,0)</f>
        <v>0</v>
      </c>
      <c r="DF313" s="106">
        <f>+HLOOKUP($C313,ACCESS!$A$2:$M$250,202,0)</f>
        <v>0</v>
      </c>
      <c r="DG313" s="106">
        <f>+HLOOKUP($C313,ACCESS!$A$2:$M$250,203,0)</f>
        <v>0</v>
      </c>
      <c r="DH313" s="106">
        <f>+HLOOKUP($C313,ACCESS!$A$2:$M$250,205,0)</f>
        <v>0</v>
      </c>
      <c r="DI313" s="106">
        <f>+HLOOKUP($C313,ACCESS!$A$2:$M$250,206,0)</f>
        <v>0</v>
      </c>
      <c r="DJ313" s="106">
        <f>+HLOOKUP($C313,ACCESS!$A$2:$M$250,207,0)</f>
        <v>0</v>
      </c>
      <c r="DK313" s="106">
        <f>+HLOOKUP($C313,ACCESS!$A$2:$M$250,209,0)</f>
        <v>0</v>
      </c>
      <c r="DL313" s="106">
        <f>+HLOOKUP($C313,ACCESS!$A$2:$M$250,210,0)</f>
        <v>0</v>
      </c>
      <c r="DM313" s="106">
        <f>+HLOOKUP($C313,ACCESS!$A$2:$M$250,211,0)</f>
        <v>0</v>
      </c>
      <c r="DN313" s="106">
        <f>+HLOOKUP($C313,ACCESS!$A$2:$M$250,212,0)</f>
        <v>0</v>
      </c>
      <c r="DO313" s="106">
        <f>+HLOOKUP($C313,ACCESS!$A$2:$M$250,214,0)</f>
        <v>0</v>
      </c>
      <c r="DP313" s="106">
        <f>+HLOOKUP($C313,ACCESS!$A$2:$M$250,215,0)</f>
        <v>0</v>
      </c>
      <c r="DQ313" s="106">
        <f>+HLOOKUP($C313,ACCESS!$A$2:$M$250,219,0)</f>
        <v>0</v>
      </c>
      <c r="DR313" s="106">
        <f>+HLOOKUP($C313,ACCESS!$A$2:$M$250,220,0)</f>
        <v>0</v>
      </c>
      <c r="DS313" s="106">
        <f>+HLOOKUP($C313,ACCESS!$A$2:$M$250,221,0)</f>
        <v>0</v>
      </c>
      <c r="DT313" s="106">
        <f>+HLOOKUP($C313,ACCESS!$A$2:$M$250,223,0)</f>
        <v>0</v>
      </c>
      <c r="DU313" s="106">
        <f>+HLOOKUP($C313,ACCESS!$A$2:$M$250,224,0)</f>
        <v>0</v>
      </c>
      <c r="DV313" s="106">
        <f>+HLOOKUP($C313,ACCESS!$A$2:$M$250,225,0)</f>
        <v>0</v>
      </c>
      <c r="DW313" s="106">
        <f>+HLOOKUP($C313,ACCESS!$A$2:$M$250,227,0)</f>
        <v>0</v>
      </c>
      <c r="DX313" s="106">
        <f>+HLOOKUP($C313,ACCESS!$A$2:$M$250,228,0)</f>
        <v>0</v>
      </c>
      <c r="DY313" s="106">
        <f>+HLOOKUP($C313,ACCESS!$A$2:$M$250,236,0)</f>
        <v>0</v>
      </c>
      <c r="DZ313" s="106">
        <f>+HLOOKUP($C313,ACCESS!$A$2:$M$250,237,0)</f>
        <v>0</v>
      </c>
      <c r="EA313" s="106">
        <f>+HLOOKUP($C313,ACCESS!$A$2:$M$250,238,0)</f>
        <v>0</v>
      </c>
      <c r="EB313" s="106">
        <f>+HLOOKUP($C313,ACCESS!$A$2:$M$250,240,0)</f>
        <v>0</v>
      </c>
    </row>
    <row r="314" spans="1:132">
      <c r="A314" t="s">
        <v>269</v>
      </c>
      <c r="B314" t="s">
        <v>273</v>
      </c>
      <c r="C314" s="117">
        <v>45261</v>
      </c>
    </row>
    <row r="315" spans="1:132">
      <c r="A315" t="s">
        <v>269</v>
      </c>
      <c r="B315" t="s">
        <v>273</v>
      </c>
      <c r="C315" s="117">
        <v>45231</v>
      </c>
    </row>
    <row r="316" spans="1:132">
      <c r="A316" t="s">
        <v>269</v>
      </c>
      <c r="B316" t="s">
        <v>273</v>
      </c>
      <c r="C316" s="117">
        <v>45200</v>
      </c>
    </row>
    <row r="317" spans="1:132">
      <c r="A317" t="s">
        <v>269</v>
      </c>
      <c r="B317" t="s">
        <v>273</v>
      </c>
      <c r="C317" s="117">
        <v>45170</v>
      </c>
    </row>
    <row r="318" spans="1:132">
      <c r="A318" t="s">
        <v>269</v>
      </c>
      <c r="B318" t="s">
        <v>273</v>
      </c>
      <c r="C318" s="117">
        <v>45139</v>
      </c>
    </row>
    <row r="319" spans="1:132">
      <c r="A319" t="s">
        <v>269</v>
      </c>
      <c r="B319" t="s">
        <v>273</v>
      </c>
      <c r="C319" s="117">
        <v>45108</v>
      </c>
    </row>
    <row r="320" spans="1:132">
      <c r="A320" t="s">
        <v>269</v>
      </c>
      <c r="B320" t="s">
        <v>273</v>
      </c>
      <c r="C320" s="117">
        <v>45078</v>
      </c>
    </row>
    <row r="321" spans="1:132">
      <c r="A321" t="s">
        <v>269</v>
      </c>
      <c r="B321" t="s">
        <v>273</v>
      </c>
      <c r="C321" s="117">
        <v>45047</v>
      </c>
    </row>
    <row r="322" spans="1:132">
      <c r="A322" t="s">
        <v>269</v>
      </c>
      <c r="B322" t="s">
        <v>273</v>
      </c>
      <c r="C322" s="117">
        <v>45017</v>
      </c>
    </row>
    <row r="323" spans="1:132">
      <c r="A323" t="s">
        <v>269</v>
      </c>
      <c r="B323" t="s">
        <v>273</v>
      </c>
      <c r="C323" s="117">
        <v>44986</v>
      </c>
    </row>
    <row r="324" spans="1:132">
      <c r="A324" t="s">
        <v>269</v>
      </c>
      <c r="B324" t="s">
        <v>273</v>
      </c>
      <c r="C324" s="117">
        <v>44958</v>
      </c>
    </row>
    <row r="325" spans="1:132">
      <c r="A325" t="s">
        <v>269</v>
      </c>
      <c r="B325" t="s">
        <v>273</v>
      </c>
      <c r="C325" s="117">
        <v>44927</v>
      </c>
    </row>
    <row r="326" spans="1:132"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  <c r="AA326" s="120"/>
      <c r="AB326" s="120"/>
      <c r="AC326" s="120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  <c r="AO326" s="120"/>
      <c r="AP326" s="120"/>
      <c r="AQ326" s="120"/>
      <c r="AR326" s="120"/>
      <c r="AS326" s="120"/>
      <c r="AT326" s="120"/>
      <c r="AU326" s="120"/>
      <c r="AV326" s="120"/>
      <c r="AW326" s="120"/>
      <c r="AX326" s="120"/>
      <c r="AY326" s="120"/>
      <c r="AZ326" s="120"/>
      <c r="BA326" s="120"/>
      <c r="BB326" s="120"/>
      <c r="BC326" s="120"/>
      <c r="BD326" s="120"/>
      <c r="BE326" s="120"/>
      <c r="BF326" s="120"/>
      <c r="BG326" s="120"/>
      <c r="BH326" s="120"/>
      <c r="BI326" s="120"/>
      <c r="BJ326" s="120"/>
      <c r="BK326" s="120"/>
      <c r="BL326" s="120"/>
      <c r="BM326" s="120"/>
      <c r="BN326" s="120"/>
      <c r="BO326" s="120"/>
      <c r="BP326" s="120"/>
      <c r="BQ326" s="120"/>
      <c r="BR326" s="120"/>
      <c r="BS326" s="120"/>
      <c r="BT326" s="120"/>
      <c r="BU326" s="120"/>
      <c r="BV326" s="120"/>
      <c r="BW326" s="120"/>
      <c r="BX326" s="120"/>
      <c r="BY326" s="120"/>
      <c r="BZ326" s="120"/>
      <c r="CA326" s="120"/>
      <c r="CB326" s="120"/>
      <c r="CC326" s="120"/>
      <c r="CD326" s="120"/>
      <c r="CE326" s="120"/>
      <c r="CF326" s="120"/>
      <c r="CG326" s="120"/>
      <c r="CH326" s="120"/>
      <c r="CI326" s="120"/>
      <c r="CJ326" s="120"/>
      <c r="CK326" s="120"/>
      <c r="CL326" s="120"/>
      <c r="CM326" s="120"/>
      <c r="CN326" s="120"/>
      <c r="CO326" s="120"/>
      <c r="CP326" s="120"/>
      <c r="CQ326" s="120"/>
      <c r="CR326" s="120"/>
      <c r="CS326" s="120"/>
      <c r="CT326" s="120"/>
      <c r="CU326" s="120"/>
      <c r="CV326" s="120"/>
      <c r="CW326" s="120"/>
      <c r="CX326" s="120"/>
      <c r="CY326" s="120"/>
      <c r="CZ326" s="120"/>
      <c r="DA326" s="120"/>
      <c r="DB326" s="120"/>
      <c r="DC326" s="120"/>
      <c r="DD326" s="120"/>
      <c r="DE326" s="120"/>
      <c r="DF326" s="120"/>
      <c r="DG326" s="120"/>
      <c r="DH326" s="120"/>
      <c r="DI326" s="120"/>
      <c r="DJ326" s="120"/>
      <c r="DK326" s="120"/>
      <c r="DL326" s="120"/>
      <c r="DM326" s="120"/>
      <c r="DN326" s="120"/>
      <c r="DO326" s="120"/>
      <c r="DP326" s="120"/>
      <c r="DQ326" s="120"/>
      <c r="DR326" s="120"/>
      <c r="DS326" s="120"/>
      <c r="DT326" s="120"/>
      <c r="DU326" s="120"/>
      <c r="DV326" s="120"/>
      <c r="DW326" s="120"/>
      <c r="DX326" s="120"/>
      <c r="DY326" s="120"/>
      <c r="DZ326" s="120"/>
      <c r="EA326" s="120"/>
      <c r="EB326" s="120"/>
    </row>
    <row r="327" spans="1:132"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  <c r="AA327" s="120"/>
      <c r="AB327" s="120"/>
      <c r="AC327" s="120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  <c r="AO327" s="120"/>
      <c r="AP327" s="120"/>
      <c r="AQ327" s="120"/>
      <c r="AR327" s="120"/>
      <c r="AS327" s="120"/>
      <c r="AT327" s="120"/>
      <c r="AU327" s="120"/>
      <c r="AV327" s="120"/>
      <c r="AW327" s="120"/>
      <c r="AX327" s="120"/>
      <c r="AY327" s="120"/>
      <c r="AZ327" s="120"/>
      <c r="BA327" s="120"/>
      <c r="BB327" s="120"/>
      <c r="BC327" s="120"/>
      <c r="BD327" s="120"/>
      <c r="BE327" s="120"/>
      <c r="BF327" s="120"/>
      <c r="BG327" s="120"/>
      <c r="BH327" s="120"/>
      <c r="BI327" s="120"/>
      <c r="BJ327" s="120"/>
      <c r="BK327" s="120"/>
      <c r="BL327" s="120"/>
      <c r="BM327" s="120"/>
      <c r="BN327" s="120"/>
      <c r="BO327" s="120"/>
      <c r="BP327" s="120"/>
      <c r="BQ327" s="120"/>
      <c r="BR327" s="120"/>
      <c r="BS327" s="120"/>
      <c r="BT327" s="120"/>
      <c r="BU327" s="120"/>
      <c r="BV327" s="120"/>
      <c r="BW327" s="120"/>
      <c r="BX327" s="120"/>
      <c r="BY327" s="120"/>
      <c r="BZ327" s="120"/>
      <c r="CA327" s="120"/>
      <c r="CB327" s="120"/>
      <c r="CC327" s="120"/>
      <c r="CD327" s="120"/>
      <c r="CE327" s="120"/>
      <c r="CF327" s="120"/>
      <c r="CG327" s="120"/>
      <c r="CH327" s="120"/>
      <c r="CI327" s="120"/>
      <c r="CJ327" s="120"/>
      <c r="CK327" s="120"/>
      <c r="CL327" s="120"/>
      <c r="CM327" s="120"/>
      <c r="CN327" s="120"/>
      <c r="CO327" s="120"/>
      <c r="CP327" s="120"/>
      <c r="CQ327" s="120"/>
      <c r="CR327" s="120"/>
      <c r="CS327" s="120"/>
      <c r="CT327" s="120"/>
      <c r="CU327" s="120"/>
      <c r="CV327" s="120"/>
      <c r="CW327" s="120"/>
      <c r="CX327" s="120"/>
      <c r="CY327" s="120"/>
      <c r="CZ327" s="120"/>
      <c r="DA327" s="120"/>
      <c r="DB327" s="120"/>
      <c r="DC327" s="120"/>
      <c r="DD327" s="120"/>
      <c r="DE327" s="120"/>
      <c r="DF327" s="120"/>
      <c r="DG327" s="120"/>
      <c r="DH327" s="120"/>
      <c r="DI327" s="120"/>
      <c r="DJ327" s="120"/>
      <c r="DK327" s="120"/>
      <c r="DL327" s="120"/>
      <c r="DM327" s="120"/>
      <c r="DN327" s="120"/>
      <c r="DO327" s="120"/>
      <c r="DP327" s="120"/>
      <c r="DQ327" s="120"/>
      <c r="DR327" s="120"/>
      <c r="DS327" s="120"/>
      <c r="DT327" s="120"/>
      <c r="DU327" s="120"/>
      <c r="DV327" s="120"/>
      <c r="DW327" s="120"/>
      <c r="DX327" s="120"/>
      <c r="DY327" s="120"/>
      <c r="DZ327" s="120"/>
      <c r="EA327" s="120"/>
      <c r="EB327" s="120"/>
    </row>
    <row r="328" spans="1:132"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  <c r="AA328" s="120"/>
      <c r="AB328" s="120"/>
      <c r="AC328" s="120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  <c r="AO328" s="120"/>
      <c r="AP328" s="120"/>
      <c r="AQ328" s="120"/>
      <c r="AR328" s="120"/>
      <c r="AS328" s="120"/>
      <c r="AT328" s="120"/>
      <c r="AU328" s="120"/>
      <c r="AV328" s="120"/>
      <c r="AW328" s="120"/>
      <c r="AX328" s="120"/>
      <c r="AY328" s="120"/>
      <c r="AZ328" s="120"/>
      <c r="BA328" s="120"/>
      <c r="BB328" s="120"/>
      <c r="BC328" s="120"/>
      <c r="BD328" s="120"/>
      <c r="BE328" s="120"/>
      <c r="BF328" s="120"/>
      <c r="BG328" s="120"/>
      <c r="BH328" s="120"/>
      <c r="BI328" s="120"/>
      <c r="BJ328" s="120"/>
      <c r="BK328" s="120"/>
      <c r="BL328" s="120"/>
      <c r="BM328" s="120"/>
      <c r="BN328" s="120"/>
      <c r="BO328" s="120"/>
      <c r="BP328" s="120"/>
      <c r="BQ328" s="120"/>
      <c r="BR328" s="120"/>
      <c r="BS328" s="120"/>
      <c r="BT328" s="120"/>
      <c r="BU328" s="120"/>
      <c r="BV328" s="120"/>
      <c r="BW328" s="120"/>
      <c r="BX328" s="120"/>
      <c r="BY328" s="120"/>
      <c r="BZ328" s="120"/>
      <c r="CA328" s="120"/>
      <c r="CB328" s="120"/>
      <c r="CC328" s="120"/>
      <c r="CD328" s="120"/>
      <c r="CE328" s="120"/>
      <c r="CF328" s="120"/>
      <c r="CG328" s="120"/>
      <c r="CH328" s="120"/>
      <c r="CI328" s="120"/>
      <c r="CJ328" s="120"/>
      <c r="CK328" s="120"/>
      <c r="CL328" s="120"/>
      <c r="CM328" s="120"/>
      <c r="CN328" s="120"/>
      <c r="CO328" s="120"/>
      <c r="CP328" s="120"/>
      <c r="CQ328" s="120"/>
      <c r="CR328" s="120"/>
      <c r="CS328" s="120"/>
      <c r="CT328" s="120"/>
      <c r="CU328" s="120"/>
      <c r="CV328" s="120"/>
      <c r="CW328" s="120"/>
      <c r="CX328" s="120"/>
      <c r="CY328" s="120"/>
      <c r="CZ328" s="120"/>
      <c r="DA328" s="120"/>
      <c r="DB328" s="120"/>
      <c r="DC328" s="120"/>
      <c r="DD328" s="120"/>
      <c r="DE328" s="120"/>
      <c r="DF328" s="120"/>
      <c r="DG328" s="120"/>
      <c r="DH328" s="120"/>
      <c r="DI328" s="120"/>
      <c r="DJ328" s="120"/>
      <c r="DK328" s="120"/>
      <c r="DL328" s="120"/>
      <c r="DM328" s="120"/>
      <c r="DN328" s="120"/>
      <c r="DO328" s="120"/>
      <c r="DP328" s="120"/>
      <c r="DQ328" s="120"/>
      <c r="DR328" s="120"/>
      <c r="DS328" s="120"/>
      <c r="DT328" s="120"/>
      <c r="DU328" s="120"/>
      <c r="DV328" s="120"/>
      <c r="DW328" s="120"/>
      <c r="DX328" s="120"/>
      <c r="DY328" s="120"/>
      <c r="DZ328" s="120"/>
      <c r="EA328" s="120"/>
      <c r="EB328" s="120"/>
    </row>
    <row r="329" spans="1:132"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  <c r="AA329" s="120"/>
      <c r="AB329" s="120"/>
      <c r="AC329" s="120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  <c r="AO329" s="120"/>
      <c r="AP329" s="120"/>
      <c r="AQ329" s="120"/>
      <c r="AR329" s="120"/>
      <c r="AS329" s="120"/>
      <c r="AT329" s="120"/>
      <c r="AU329" s="120"/>
      <c r="AV329" s="120"/>
      <c r="AW329" s="120"/>
      <c r="AX329" s="120"/>
      <c r="AY329" s="120"/>
      <c r="AZ329" s="120"/>
      <c r="BA329" s="120"/>
      <c r="BB329" s="120"/>
      <c r="BC329" s="120"/>
      <c r="BD329" s="120"/>
      <c r="BE329" s="120"/>
      <c r="BF329" s="120"/>
      <c r="BG329" s="120"/>
      <c r="BH329" s="120"/>
      <c r="BI329" s="120"/>
      <c r="BJ329" s="120"/>
      <c r="BK329" s="120"/>
      <c r="BL329" s="120"/>
      <c r="BM329" s="120"/>
      <c r="BN329" s="120"/>
      <c r="BO329" s="120"/>
      <c r="BP329" s="120"/>
      <c r="BQ329" s="120"/>
      <c r="BR329" s="120"/>
      <c r="BS329" s="120"/>
      <c r="BT329" s="120"/>
      <c r="BU329" s="120"/>
      <c r="BV329" s="120"/>
      <c r="BW329" s="120"/>
      <c r="BX329" s="120"/>
      <c r="BY329" s="120"/>
      <c r="BZ329" s="120"/>
      <c r="CA329" s="120"/>
      <c r="CB329" s="120"/>
      <c r="CC329" s="120"/>
      <c r="CD329" s="120"/>
      <c r="CE329" s="120"/>
      <c r="CF329" s="120"/>
      <c r="CG329" s="120"/>
      <c r="CH329" s="120"/>
      <c r="CI329" s="120"/>
      <c r="CJ329" s="120"/>
      <c r="CK329" s="120"/>
      <c r="CL329" s="120"/>
      <c r="CM329" s="120"/>
      <c r="CN329" s="120"/>
      <c r="CO329" s="120"/>
      <c r="CP329" s="120"/>
      <c r="CQ329" s="120"/>
      <c r="CR329" s="120"/>
      <c r="CS329" s="120"/>
      <c r="CT329" s="120"/>
      <c r="CU329" s="120"/>
      <c r="CV329" s="120"/>
      <c r="CW329" s="120"/>
      <c r="CX329" s="120"/>
      <c r="CY329" s="120"/>
      <c r="CZ329" s="120"/>
      <c r="DA329" s="120"/>
      <c r="DB329" s="120"/>
      <c r="DC329" s="120"/>
      <c r="DD329" s="120"/>
      <c r="DE329" s="120"/>
      <c r="DF329" s="120"/>
      <c r="DG329" s="120"/>
      <c r="DH329" s="120"/>
      <c r="DI329" s="120"/>
      <c r="DJ329" s="120"/>
      <c r="DK329" s="120"/>
      <c r="DL329" s="120"/>
      <c r="DM329" s="120"/>
      <c r="DN329" s="120"/>
      <c r="DO329" s="120"/>
      <c r="DP329" s="120"/>
      <c r="DQ329" s="120"/>
      <c r="DR329" s="120"/>
      <c r="DS329" s="120"/>
      <c r="DT329" s="120"/>
      <c r="DU329" s="120"/>
      <c r="DV329" s="120"/>
      <c r="DW329" s="120"/>
      <c r="DX329" s="120"/>
      <c r="DY329" s="120"/>
      <c r="DZ329" s="120"/>
      <c r="EA329" s="120"/>
      <c r="EB329" s="120"/>
    </row>
    <row r="330" spans="1:132"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  <c r="AB330" s="120"/>
      <c r="AC330" s="120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  <c r="AO330" s="120"/>
      <c r="AP330" s="120"/>
      <c r="AQ330" s="120"/>
      <c r="AR330" s="120"/>
      <c r="AS330" s="120"/>
      <c r="AT330" s="120"/>
      <c r="AU330" s="120"/>
      <c r="AV330" s="120"/>
      <c r="AW330" s="120"/>
      <c r="AX330" s="120"/>
      <c r="AY330" s="120"/>
      <c r="AZ330" s="120"/>
      <c r="BA330" s="120"/>
      <c r="BB330" s="120"/>
      <c r="BC330" s="120"/>
      <c r="BD330" s="120"/>
      <c r="BE330" s="120"/>
      <c r="BF330" s="120"/>
      <c r="BG330" s="120"/>
      <c r="BH330" s="120"/>
      <c r="BI330" s="120"/>
      <c r="BJ330" s="120"/>
      <c r="BK330" s="120"/>
      <c r="BL330" s="120"/>
      <c r="BM330" s="120"/>
      <c r="BN330" s="120"/>
      <c r="BO330" s="120"/>
      <c r="BP330" s="120"/>
      <c r="BQ330" s="120"/>
      <c r="BR330" s="120"/>
      <c r="BS330" s="120"/>
      <c r="BT330" s="120"/>
      <c r="BU330" s="120"/>
      <c r="BV330" s="120"/>
      <c r="BW330" s="120"/>
      <c r="BX330" s="120"/>
      <c r="BY330" s="120"/>
      <c r="BZ330" s="120"/>
      <c r="CA330" s="120"/>
      <c r="CB330" s="120"/>
      <c r="CC330" s="120"/>
      <c r="CD330" s="120"/>
      <c r="CE330" s="120"/>
      <c r="CF330" s="120"/>
      <c r="CG330" s="120"/>
      <c r="CH330" s="120"/>
      <c r="CI330" s="120"/>
      <c r="CJ330" s="120"/>
      <c r="CK330" s="120"/>
      <c r="CL330" s="120"/>
      <c r="CM330" s="120"/>
      <c r="CN330" s="120"/>
      <c r="CO330" s="120"/>
      <c r="CP330" s="120"/>
      <c r="CQ330" s="120"/>
      <c r="CR330" s="120"/>
      <c r="CS330" s="120"/>
      <c r="CT330" s="120"/>
      <c r="CU330" s="120"/>
      <c r="CV330" s="120"/>
      <c r="CW330" s="120"/>
      <c r="CX330" s="120"/>
      <c r="CY330" s="120"/>
      <c r="CZ330" s="120"/>
      <c r="DA330" s="120"/>
      <c r="DB330" s="120"/>
      <c r="DC330" s="120"/>
      <c r="DD330" s="120"/>
      <c r="DE330" s="120"/>
      <c r="DF330" s="120"/>
      <c r="DG330" s="120"/>
      <c r="DH330" s="120"/>
      <c r="DI330" s="120"/>
      <c r="DJ330" s="120"/>
      <c r="DK330" s="120"/>
      <c r="DL330" s="120"/>
      <c r="DM330" s="120"/>
      <c r="DN330" s="120"/>
      <c r="DO330" s="120"/>
      <c r="DP330" s="120"/>
      <c r="DQ330" s="120"/>
      <c r="DR330" s="120"/>
      <c r="DS330" s="120"/>
      <c r="DT330" s="120"/>
      <c r="DU330" s="120"/>
      <c r="DV330" s="120"/>
      <c r="DW330" s="120"/>
      <c r="DX330" s="120"/>
      <c r="DY330" s="120"/>
      <c r="DZ330" s="120"/>
      <c r="EA330" s="120"/>
      <c r="EB330" s="120"/>
    </row>
  </sheetData>
  <autoFilter ref="A1:EC325" xr:uid="{016D551B-ED9C-4004-92F7-20C9B755C2E3}">
    <filterColumn colId="0">
      <filters>
        <filter val="CL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696B-E67F-4204-AB88-8E3AB5D8F775}">
  <dimension ref="A1:EC109"/>
  <sheetViews>
    <sheetView workbookViewId="0">
      <selection activeCell="D2" sqref="D2:EB109"/>
    </sheetView>
  </sheetViews>
  <sheetFormatPr defaultRowHeight="15"/>
  <cols>
    <col min="4" max="4" width="15.42578125" bestFit="1" customWidth="1"/>
    <col min="5" max="6" width="14.42578125" bestFit="1" customWidth="1"/>
    <col min="7" max="8" width="11.7109375" bestFit="1" customWidth="1"/>
    <col min="9" max="9" width="9.5703125" bestFit="1" customWidth="1"/>
    <col min="10" max="10" width="11.7109375" bestFit="1" customWidth="1"/>
    <col min="11" max="12" width="10.140625" bestFit="1" customWidth="1"/>
    <col min="13" max="16" width="9.5703125" bestFit="1" customWidth="1"/>
    <col min="17" max="17" width="12.5703125" bestFit="1" customWidth="1"/>
    <col min="18" max="18" width="10.140625" bestFit="1" customWidth="1"/>
    <col min="19" max="19" width="9.5703125" bestFit="1" customWidth="1"/>
    <col min="20" max="20" width="11.7109375" bestFit="1" customWidth="1"/>
    <col min="21" max="21" width="10.140625" bestFit="1" customWidth="1"/>
    <col min="22" max="22" width="9.5703125" bestFit="1" customWidth="1"/>
    <col min="23" max="24" width="10.140625" bestFit="1" customWidth="1"/>
    <col min="25" max="25" width="11.7109375" bestFit="1" customWidth="1"/>
    <col min="26" max="27" width="9.5703125" bestFit="1" customWidth="1"/>
    <col min="28" max="30" width="10.140625" bestFit="1" customWidth="1"/>
    <col min="31" max="31" width="11.7109375" bestFit="1" customWidth="1"/>
    <col min="32" max="32" width="10.140625" bestFit="1" customWidth="1"/>
    <col min="33" max="33" width="11.7109375" bestFit="1" customWidth="1"/>
    <col min="34" max="34" width="9.5703125" bestFit="1" customWidth="1"/>
    <col min="35" max="36" width="11.7109375" bestFit="1" customWidth="1"/>
    <col min="37" max="38" width="9.5703125" bestFit="1" customWidth="1"/>
    <col min="39" max="39" width="12.7109375" bestFit="1" customWidth="1"/>
    <col min="40" max="40" width="11.7109375" bestFit="1" customWidth="1"/>
    <col min="41" max="41" width="10.140625" bestFit="1" customWidth="1"/>
    <col min="42" max="42" width="11.7109375" bestFit="1" customWidth="1"/>
    <col min="43" max="44" width="10.140625" bestFit="1" customWidth="1"/>
    <col min="45" max="46" width="11.7109375" bestFit="1" customWidth="1"/>
    <col min="47" max="47" width="9.5703125" bestFit="1" customWidth="1"/>
    <col min="48" max="48" width="11.7109375" bestFit="1" customWidth="1"/>
    <col min="49" max="50" width="10.140625" bestFit="1" customWidth="1"/>
    <col min="51" max="52" width="9.5703125" bestFit="1" customWidth="1"/>
    <col min="53" max="53" width="11.7109375" bestFit="1" customWidth="1"/>
    <col min="54" max="54" width="9.5703125" bestFit="1" customWidth="1"/>
    <col min="55" max="55" width="11.7109375" bestFit="1" customWidth="1"/>
    <col min="56" max="57" width="9.5703125" bestFit="1" customWidth="1"/>
    <col min="58" max="60" width="10.140625" bestFit="1" customWidth="1"/>
    <col min="61" max="62" width="9.5703125" bestFit="1" customWidth="1"/>
    <col min="63" max="63" width="10.140625" bestFit="1" customWidth="1"/>
    <col min="64" max="64" width="11.7109375" bestFit="1" customWidth="1"/>
    <col min="65" max="65" width="9.5703125" bestFit="1" customWidth="1"/>
    <col min="66" max="66" width="10.140625" bestFit="1" customWidth="1"/>
    <col min="67" max="67" width="9.5703125" bestFit="1" customWidth="1"/>
    <col min="68" max="68" width="10.140625" bestFit="1" customWidth="1"/>
    <col min="69" max="69" width="9.5703125" bestFit="1" customWidth="1"/>
    <col min="70" max="70" width="10.140625" bestFit="1" customWidth="1"/>
    <col min="71" max="71" width="9.5703125" bestFit="1" customWidth="1"/>
    <col min="72" max="72" width="10.140625" bestFit="1" customWidth="1"/>
    <col min="73" max="73" width="9.5703125" bestFit="1" customWidth="1"/>
    <col min="74" max="78" width="10.140625" bestFit="1" customWidth="1"/>
    <col min="79" max="79" width="9.5703125" bestFit="1" customWidth="1"/>
    <col min="80" max="80" width="11.7109375" bestFit="1" customWidth="1"/>
    <col min="81" max="81" width="9.5703125" bestFit="1" customWidth="1"/>
    <col min="82" max="82" width="10.140625" bestFit="1" customWidth="1"/>
    <col min="83" max="83" width="9.5703125" bestFit="1" customWidth="1"/>
    <col min="84" max="86" width="10.140625" bestFit="1" customWidth="1"/>
    <col min="87" max="87" width="9.5703125" bestFit="1" customWidth="1"/>
    <col min="88" max="88" width="10.140625" bestFit="1" customWidth="1"/>
    <col min="89" max="90" width="11.7109375" bestFit="1" customWidth="1"/>
    <col min="91" max="91" width="10.140625" bestFit="1" customWidth="1"/>
    <col min="92" max="92" width="9.5703125" bestFit="1" customWidth="1"/>
    <col min="93" max="94" width="10.140625" bestFit="1" customWidth="1"/>
    <col min="95" max="96" width="9.5703125" bestFit="1" customWidth="1"/>
    <col min="97" max="97" width="10.140625" bestFit="1" customWidth="1"/>
    <col min="98" max="100" width="9.5703125" bestFit="1" customWidth="1"/>
    <col min="101" max="101" width="10.140625" bestFit="1" customWidth="1"/>
    <col min="102" max="102" width="9.5703125" bestFit="1" customWidth="1"/>
    <col min="103" max="103" width="10.140625" bestFit="1" customWidth="1"/>
    <col min="104" max="104" width="9.5703125" bestFit="1" customWidth="1"/>
    <col min="105" max="106" width="10.140625" bestFit="1" customWidth="1"/>
    <col min="107" max="111" width="9.5703125" bestFit="1" customWidth="1"/>
    <col min="112" max="114" width="10.140625" bestFit="1" customWidth="1"/>
    <col min="115" max="117" width="11.7109375" bestFit="1" customWidth="1"/>
    <col min="118" max="118" width="10.140625" bestFit="1" customWidth="1"/>
    <col min="119" max="122" width="9.5703125" bestFit="1" customWidth="1"/>
    <col min="123" max="123" width="11.7109375" bestFit="1" customWidth="1"/>
    <col min="124" max="124" width="10.140625" bestFit="1" customWidth="1"/>
    <col min="125" max="128" width="9.5703125" bestFit="1" customWidth="1"/>
    <col min="129" max="130" width="11.7109375" bestFit="1" customWidth="1"/>
    <col min="131" max="131" width="10.140625" bestFit="1" customWidth="1"/>
    <col min="132" max="132" width="11.7109375" bestFit="1" customWidth="1"/>
  </cols>
  <sheetData>
    <row r="1" spans="1:133">
      <c r="A1" t="s">
        <v>255</v>
      </c>
      <c r="B1" t="s">
        <v>265</v>
      </c>
      <c r="C1" t="s">
        <v>266</v>
      </c>
      <c r="D1" t="s">
        <v>267</v>
      </c>
      <c r="E1" t="s">
        <v>274</v>
      </c>
      <c r="F1" t="s">
        <v>268</v>
      </c>
      <c r="G1" t="s">
        <v>61</v>
      </c>
      <c r="H1" t="s">
        <v>62</v>
      </c>
      <c r="I1" t="s">
        <v>63</v>
      </c>
      <c r="J1" t="s">
        <v>221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222</v>
      </c>
      <c r="R1" t="s">
        <v>224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85</v>
      </c>
      <c r="AE1" t="s">
        <v>86</v>
      </c>
      <c r="AF1" t="s">
        <v>87</v>
      </c>
      <c r="AG1" t="s">
        <v>88</v>
      </c>
      <c r="AH1" t="s">
        <v>89</v>
      </c>
      <c r="AI1" t="s">
        <v>90</v>
      </c>
      <c r="AJ1" t="s">
        <v>91</v>
      </c>
      <c r="AK1" t="s">
        <v>92</v>
      </c>
      <c r="AL1" t="s">
        <v>225</v>
      </c>
      <c r="AM1" t="s">
        <v>95</v>
      </c>
      <c r="AN1" t="s">
        <v>96</v>
      </c>
      <c r="AO1" t="s">
        <v>97</v>
      </c>
      <c r="AP1" t="s">
        <v>98</v>
      </c>
      <c r="AQ1" t="s">
        <v>99</v>
      </c>
      <c r="AR1" t="s">
        <v>100</v>
      </c>
      <c r="AS1" t="s">
        <v>101</v>
      </c>
      <c r="AT1" t="s">
        <v>102</v>
      </c>
      <c r="AU1" t="s">
        <v>103</v>
      </c>
      <c r="AV1" t="s">
        <v>104</v>
      </c>
      <c r="AW1" t="s">
        <v>105</v>
      </c>
      <c r="AX1" t="s">
        <v>226</v>
      </c>
      <c r="AY1" t="s">
        <v>107</v>
      </c>
      <c r="AZ1" t="s">
        <v>108</v>
      </c>
      <c r="BA1" t="s">
        <v>109</v>
      </c>
      <c r="BB1" t="s">
        <v>111</v>
      </c>
      <c r="BC1" t="s">
        <v>112</v>
      </c>
      <c r="BD1" t="s">
        <v>113</v>
      </c>
      <c r="BE1" t="s">
        <v>114</v>
      </c>
      <c r="BF1" t="s">
        <v>116</v>
      </c>
      <c r="BG1" t="s">
        <v>117</v>
      </c>
      <c r="BH1" t="s">
        <v>227</v>
      </c>
      <c r="BI1" t="s">
        <v>228</v>
      </c>
      <c r="BJ1" t="s">
        <v>118</v>
      </c>
      <c r="BK1" t="s">
        <v>119</v>
      </c>
      <c r="BL1" t="s">
        <v>120</v>
      </c>
      <c r="BM1" t="s">
        <v>122</v>
      </c>
      <c r="BN1" t="s">
        <v>123</v>
      </c>
      <c r="BO1" t="s">
        <v>124</v>
      </c>
      <c r="BP1" t="s">
        <v>126</v>
      </c>
      <c r="BQ1" t="s">
        <v>229</v>
      </c>
      <c r="BR1" t="s">
        <v>127</v>
      </c>
      <c r="BS1" t="s">
        <v>128</v>
      </c>
      <c r="BT1" t="s">
        <v>131</v>
      </c>
      <c r="BU1" t="s">
        <v>132</v>
      </c>
      <c r="BV1" t="s">
        <v>133</v>
      </c>
      <c r="BW1" t="s">
        <v>134</v>
      </c>
      <c r="BX1" t="s">
        <v>135</v>
      </c>
      <c r="BY1" t="s">
        <v>137</v>
      </c>
      <c r="BZ1" t="s">
        <v>138</v>
      </c>
      <c r="CA1" t="s">
        <v>139</v>
      </c>
      <c r="CB1" t="s">
        <v>140</v>
      </c>
      <c r="CC1" t="s">
        <v>141</v>
      </c>
      <c r="CD1" t="s">
        <v>142</v>
      </c>
      <c r="CE1" t="s">
        <v>143</v>
      </c>
      <c r="CF1" t="s">
        <v>145</v>
      </c>
      <c r="CG1" t="s">
        <v>146</v>
      </c>
      <c r="CH1" t="s">
        <v>230</v>
      </c>
      <c r="CI1" t="s">
        <v>231</v>
      </c>
      <c r="CJ1" t="s">
        <v>232</v>
      </c>
      <c r="CK1" t="s">
        <v>148</v>
      </c>
      <c r="CL1" t="s">
        <v>149</v>
      </c>
      <c r="CM1" t="s">
        <v>150</v>
      </c>
      <c r="CN1" t="s">
        <v>152</v>
      </c>
      <c r="CO1" t="s">
        <v>153</v>
      </c>
      <c r="CP1" t="s">
        <v>154</v>
      </c>
      <c r="CQ1" t="s">
        <v>155</v>
      </c>
      <c r="CR1" t="s">
        <v>157</v>
      </c>
      <c r="CS1" t="s">
        <v>158</v>
      </c>
      <c r="CT1" t="s">
        <v>159</v>
      </c>
      <c r="CU1" t="s">
        <v>160</v>
      </c>
      <c r="CV1" t="s">
        <v>161</v>
      </c>
      <c r="CW1" t="s">
        <v>163</v>
      </c>
      <c r="CX1" t="s">
        <v>164</v>
      </c>
      <c r="CY1" t="s">
        <v>233</v>
      </c>
      <c r="CZ1" t="s">
        <v>165</v>
      </c>
      <c r="DA1" t="s">
        <v>166</v>
      </c>
      <c r="DB1" t="s">
        <v>167</v>
      </c>
      <c r="DC1" t="s">
        <v>168</v>
      </c>
      <c r="DD1" t="s">
        <v>169</v>
      </c>
      <c r="DE1" t="s">
        <v>170</v>
      </c>
      <c r="DF1" t="s">
        <v>234</v>
      </c>
      <c r="DG1" t="s">
        <v>171</v>
      </c>
      <c r="DH1" t="s">
        <v>173</v>
      </c>
      <c r="DI1" t="s">
        <v>174</v>
      </c>
      <c r="DJ1" t="s">
        <v>235</v>
      </c>
      <c r="DK1" t="s">
        <v>176</v>
      </c>
      <c r="DL1" t="s">
        <v>177</v>
      </c>
      <c r="DM1" t="s">
        <v>178</v>
      </c>
      <c r="DN1" t="s">
        <v>179</v>
      </c>
      <c r="DO1" t="s">
        <v>181</v>
      </c>
      <c r="DP1" t="s">
        <v>182</v>
      </c>
      <c r="DQ1" t="s">
        <v>185</v>
      </c>
      <c r="DR1" t="s">
        <v>236</v>
      </c>
      <c r="DS1" t="s">
        <v>237</v>
      </c>
      <c r="DT1" t="s">
        <v>187</v>
      </c>
      <c r="DU1" t="s">
        <v>188</v>
      </c>
      <c r="DV1" t="s">
        <v>189</v>
      </c>
      <c r="DW1" t="s">
        <v>191</v>
      </c>
      <c r="DX1" t="s">
        <v>192</v>
      </c>
      <c r="DY1" t="s">
        <v>196</v>
      </c>
      <c r="DZ1" t="s">
        <v>197</v>
      </c>
      <c r="EA1" t="s">
        <v>198</v>
      </c>
      <c r="EB1" t="s">
        <v>199</v>
      </c>
      <c r="EC1" t="s">
        <v>275</v>
      </c>
    </row>
    <row r="2" spans="1:133">
      <c r="A2" t="s">
        <v>269</v>
      </c>
      <c r="B2" t="s">
        <v>270</v>
      </c>
      <c r="C2" s="117">
        <v>45992</v>
      </c>
      <c r="D2" s="106">
        <f>+HLOOKUP(C2,'NEW CAR'!$BS$2:$CE$250,6,0)/3.5%</f>
        <v>99994881.1964674</v>
      </c>
      <c r="E2" s="106">
        <f>+HLOOKUP(C2,'NEW CAR'!$BS$2:$CE$250,5,0)+HLOOKUP(C2,'NEW CAR'!$BS$2:$CE$250,26,0)+HLOOKUP(C2,'NEW CAR'!$BS$2:$CE$250,59,0)</f>
        <v>9492376.5255403183</v>
      </c>
      <c r="F2" s="106"/>
      <c r="G2" s="106">
        <f>+HLOOKUP($C2,'NEW CAR'!$BS$2:$CE$250,76,0)</f>
        <v>126000</v>
      </c>
      <c r="H2" s="106">
        <f>+HLOOKUP($C2,'NEW CAR'!$BS$2:$CE$250,77,0)</f>
        <v>504000</v>
      </c>
      <c r="I2" s="106">
        <f>+HLOOKUP($C2,'NEW CAR'!$BS$2:$CE$250,78,0)</f>
        <v>0</v>
      </c>
      <c r="J2" s="106">
        <f>+HLOOKUP($C2,'NEW CAR'!$BS$2:$CE$250,79,0)</f>
        <v>210000</v>
      </c>
      <c r="K2" s="106">
        <f>+HLOOKUP($C2,'NEW CAR'!$BS$2:$CE$250,80,0)</f>
        <v>0</v>
      </c>
      <c r="L2" s="106">
        <f>+HLOOKUP($C2,'NEW CAR'!$BS$2:$CE$250,81,0)</f>
        <v>0</v>
      </c>
      <c r="M2" s="106">
        <f>+HLOOKUP($C2,'NEW CAR'!$BS$2:$CE$250,82,0)</f>
        <v>0</v>
      </c>
      <c r="N2" s="106">
        <f>+HLOOKUP($C2,'NEW CAR'!$BS$2:$CE$250,83,0)</f>
        <v>0</v>
      </c>
      <c r="O2" s="106">
        <f>+HLOOKUP($C2,'NEW CAR'!$BS$2:$CE$250,84,0)</f>
        <v>0</v>
      </c>
      <c r="P2" s="106">
        <f>+HLOOKUP($C2,'NEW CAR'!$BS$2:$CE$250,85,0)</f>
        <v>0</v>
      </c>
      <c r="Q2" s="106">
        <f>+HLOOKUP($C2,'NEW CAR'!$BS$2:$CE$250,87,0)</f>
        <v>735000</v>
      </c>
      <c r="R2" s="106">
        <f>+HLOOKUP($C2,'NEW CAR'!$BS$2:$CE$250,90,0)</f>
        <v>12600</v>
      </c>
      <c r="S2" s="106">
        <f>+HLOOKUP($C2,'NEW CAR'!$BS$2:$CE$250,91,0)</f>
        <v>0</v>
      </c>
      <c r="T2" s="106">
        <f>+HLOOKUP($C2,'NEW CAR'!$BS$2:$CE$250,92,0)</f>
        <v>315000</v>
      </c>
      <c r="U2" s="106">
        <f>+HLOOKUP($C2,'NEW CAR'!$BS$2:$CE$250,93,0)</f>
        <v>10500</v>
      </c>
      <c r="V2" s="106">
        <f>+HLOOKUP($C2,'NEW CAR'!$BS$2:$CE$250,94,0)</f>
        <v>0</v>
      </c>
      <c r="W2" s="106">
        <f>+HLOOKUP($C2,'NEW CAR'!$BS$2:$CE$250,95,0)</f>
        <v>30000</v>
      </c>
      <c r="X2" s="106">
        <f>+HLOOKUP($C2,'NEW CAR'!$BS$2:$CE$250,96,0)</f>
        <v>45000</v>
      </c>
      <c r="Y2" s="106">
        <f>+HLOOKUP($C2,'NEW CAR'!$BS$2:$CE$250,97,0)</f>
        <v>105000</v>
      </c>
      <c r="Z2" s="106">
        <f>+HLOOKUP($C2,'NEW CAR'!$BS$2:$CE$250,98,0)</f>
        <v>0</v>
      </c>
      <c r="AA2" s="106">
        <f>+HLOOKUP($C2,'NEW CAR'!$BS$2:$CE$250,99,0)</f>
        <v>0</v>
      </c>
      <c r="AB2" s="106">
        <f>+HLOOKUP($C2,'NEW CAR'!$BS$2:$CE$250,100,0)</f>
        <v>42000</v>
      </c>
      <c r="AC2" s="106">
        <f>+HLOOKUP($C2,'NEW CAR'!$BS$2:$CE$250,101,0)</f>
        <v>12600</v>
      </c>
      <c r="AD2" s="106">
        <f>+HLOOKUP($C2,'NEW CAR'!$BS$2:$CE$250,104,0)</f>
        <v>21000</v>
      </c>
      <c r="AE2" s="106">
        <f>+HLOOKUP($C2,'NEW CAR'!$BS$2:$CE$250,105,0)</f>
        <v>174825</v>
      </c>
      <c r="AF2" s="106">
        <f>+HLOOKUP($C2,'NEW CAR'!$BS$2:$CE$250,106,0)</f>
        <v>69930</v>
      </c>
      <c r="AG2" s="106">
        <f>+HLOOKUP($C2,'NEW CAR'!$BS$2:$CE$250,107,0)</f>
        <v>244754.99999999997</v>
      </c>
      <c r="AH2" s="106">
        <f>+HLOOKUP($C2,'NEW CAR'!$BS$2:$CE$250,108,0)</f>
        <v>0</v>
      </c>
      <c r="AI2" s="106">
        <f>+HLOOKUP($C2,'NEW CAR'!$BS$2:$CE$250,109,0)</f>
        <v>209790</v>
      </c>
      <c r="AJ2" s="106">
        <f>+HLOOKUP($C2,'NEW CAR'!$BS$2:$CE$250,110,0)</f>
        <v>0</v>
      </c>
      <c r="AK2" s="106">
        <f>+HLOOKUP($C2,'NEW CAR'!$BS$2:$CE$250,111,0)</f>
        <v>0</v>
      </c>
      <c r="AL2" s="106">
        <f>+HLOOKUP($C2,'NEW CAR'!$BS$2:$CE$250,112,0)</f>
        <v>0</v>
      </c>
      <c r="AM2" s="106">
        <f>+HLOOKUP($C2,'NEW CAR'!$BS$2:$CE$250,116,0)</f>
        <v>1124400</v>
      </c>
      <c r="AN2" s="106">
        <f>+HLOOKUP($C2,'NEW CAR'!$BS$2:$CE$250,117,0)</f>
        <v>141925</v>
      </c>
      <c r="AO2" s="106">
        <f>+HLOOKUP($C2,'NEW CAR'!$BS$2:$CE$250,118,0)</f>
        <v>31500</v>
      </c>
      <c r="AP2" s="106">
        <f>+HLOOKUP($C2,'NEW CAR'!$BS$2:$CE$250,119,0)</f>
        <v>382600</v>
      </c>
      <c r="AQ2" s="106">
        <f>+HLOOKUP($C2,'NEW CAR'!$BS$2:$CE$250,120,0)</f>
        <v>81550</v>
      </c>
      <c r="AR2" s="106">
        <f>+HLOOKUP($C2,'NEW CAR'!$BS$2:$CE$250,121,0)</f>
        <v>47550</v>
      </c>
      <c r="AS2" s="106">
        <f>+HLOOKUP($C2,'NEW CAR'!$BS$2:$CE$250,122,0)</f>
        <v>600825</v>
      </c>
      <c r="AT2" s="106">
        <f>+HLOOKUP($C2,'NEW CAR'!$BS$2:$CE$250,123,0)</f>
        <v>107556.71915625001</v>
      </c>
      <c r="AU2" s="106">
        <f>+HLOOKUP($C2,'NEW CAR'!$BS$2:$CE$250,124,0)</f>
        <v>4821.25</v>
      </c>
      <c r="AV2" s="106">
        <f>+HLOOKUP($C2,'NEW CAR'!$BS$2:$CE$250,125,0)</f>
        <v>104600</v>
      </c>
      <c r="AW2" s="106">
        <f>+HLOOKUP($C2,'NEW CAR'!$BS$2:$CE$250,126,0)</f>
        <v>54057.692307692305</v>
      </c>
      <c r="AX2" s="106">
        <f>+HLOOKUP($C2,'NEW CAR'!$BS$2:$CE$250,127,0)</f>
        <v>60583.333333333343</v>
      </c>
      <c r="AY2" s="106">
        <f>+HLOOKUP($C2,'NEW CAR'!$BS$2:$CE$250,129,0)</f>
        <v>0</v>
      </c>
      <c r="AZ2" s="106">
        <f>+HLOOKUP($C2,'NEW CAR'!$BS$2:$CE$250,130,0)</f>
        <v>0</v>
      </c>
      <c r="BA2" s="106">
        <f>+HLOOKUP($C2,'NEW CAR'!$BS$2:$CE$250,131,0)</f>
        <v>144600</v>
      </c>
      <c r="BB2" s="106">
        <f>+HLOOKUP($C2,'NEW CAR'!$BS$2:$CE$250,133,0)</f>
        <v>0</v>
      </c>
      <c r="BC2" s="106">
        <f>+HLOOKUP($C2,'NEW CAR'!$BS$2:$CE$250,134,0)</f>
        <v>162236.5138333333</v>
      </c>
      <c r="BD2" s="106">
        <f>+HLOOKUP($C2,'NEW CAR'!$BS$2:$CE$250,135,0)</f>
        <v>0</v>
      </c>
      <c r="BE2" s="106">
        <f>+HLOOKUP($C2,'NEW CAR'!$BS$2:$CE$250,136,0)</f>
        <v>0</v>
      </c>
      <c r="BF2" s="106">
        <f>+HLOOKUP($C2,'NEW CAR'!$BS$2:$CE$250,138,0)</f>
        <v>25500</v>
      </c>
      <c r="BG2" s="106">
        <f>+HLOOKUP($C2,'NEW CAR'!$BS$2:$CE$250,139,0)</f>
        <v>20582.941666666666</v>
      </c>
      <c r="BH2" s="106">
        <f>+HLOOKUP($C2,'NEW CAR'!$BS$2:$CE$250,140,0)</f>
        <v>0</v>
      </c>
      <c r="BI2" s="106">
        <f>+HLOOKUP($C2,'NEW CAR'!$BS$2:$CE$250,141,0)</f>
        <v>0</v>
      </c>
      <c r="BJ2" s="106">
        <f>+HLOOKUP($C2,'NEW CAR'!$BS$2:$CE$250,142,0)</f>
        <v>0</v>
      </c>
      <c r="BK2" s="106">
        <f>+HLOOKUP($C2,'NEW CAR'!$BS$2:$CE$250,143,0)</f>
        <v>36529.25</v>
      </c>
      <c r="BL2" s="106">
        <f>+HLOOKUP($C2,'NEW CAR'!$BS$2:$CE$250,144,0)</f>
        <v>37989.583333333328</v>
      </c>
      <c r="BM2" s="106">
        <f>+HLOOKUP($C2,'NEW CAR'!$BS$2:$CE$250,146,0)</f>
        <v>0</v>
      </c>
      <c r="BN2" s="106">
        <f>+HLOOKUP($C2,'NEW CAR'!$BS$2:$CE$250,147,0)</f>
        <v>75878</v>
      </c>
      <c r="BO2" s="106">
        <f>+HLOOKUP($C2,'NEW CAR'!$BS$2:$CE$250,148,0)</f>
        <v>0</v>
      </c>
      <c r="BP2" s="106">
        <f>+HLOOKUP($C2,'NEW CAR'!$BS$2:$CE$250,150,0)</f>
        <v>67863.862500000003</v>
      </c>
      <c r="BQ2" s="106">
        <f>+HLOOKUP($C2,'NEW CAR'!$BS$2:$CE$250,151,0)</f>
        <v>4961</v>
      </c>
      <c r="BR2" s="106">
        <f>+HLOOKUP($C2,'NEW CAR'!$BS$2:$CE$250,152,0)</f>
        <v>47000</v>
      </c>
      <c r="BS2" s="106">
        <f>+HLOOKUP($C2,'NEW CAR'!$BS$2:$CE$250,153,0)</f>
        <v>6000</v>
      </c>
      <c r="BT2" s="106">
        <f>+HLOOKUP($C2,'NEW CAR'!$BS$2:$CE$250,157,0)</f>
        <v>64260</v>
      </c>
      <c r="BU2" s="106">
        <f>+HLOOKUP($C2,'NEW CAR'!$BS$2:$CE$250,158,0)</f>
        <v>5800</v>
      </c>
      <c r="BV2" s="106">
        <f>+HLOOKUP($C2,'NEW CAR'!$BS$2:$CE$250,159,0)</f>
        <v>999.72222222222217</v>
      </c>
      <c r="BW2" s="106">
        <f>+HLOOKUP($C2,'NEW CAR'!$BS$2:$CE$250,160,0)</f>
        <v>300</v>
      </c>
      <c r="BX2" s="106">
        <f>+HLOOKUP($C2,'NEW CAR'!$BS$2:$CE$250,161,0)</f>
        <v>18716.155062499965</v>
      </c>
      <c r="BY2" s="106">
        <f>+HLOOKUP($C2,'NEW CAR'!$BS$2:$CE$250,164,0)</f>
        <v>16000</v>
      </c>
      <c r="BZ2" s="106">
        <f>+HLOOKUP($C2,'NEW CAR'!$BS$2:$CE$250,165,0)</f>
        <v>0</v>
      </c>
      <c r="CA2" s="106">
        <f>+HLOOKUP($C2,'NEW CAR'!$BS$2:$CE$250,166,0)</f>
        <v>0</v>
      </c>
      <c r="CB2" s="106">
        <f>+HLOOKUP($C2,'NEW CAR'!$BS$2:$CE$250,167,0)</f>
        <v>0</v>
      </c>
      <c r="CC2" s="106">
        <f>+HLOOKUP($C2,'NEW CAR'!$BS$2:$CE$250,168,0)</f>
        <v>0</v>
      </c>
      <c r="CD2" s="106">
        <f>+HLOOKUP($C2,'NEW CAR'!$BS$2:$CE$250,169,0)</f>
        <v>1666.6666666666667</v>
      </c>
      <c r="CE2" s="106">
        <f>+HLOOKUP($C2,'NEW CAR'!$BS$2:$CE$250,170,0)</f>
        <v>0</v>
      </c>
      <c r="CF2" s="106">
        <f>+HLOOKUP($C2,'NEW CAR'!$BS$2:$CE$250,172,0)</f>
        <v>20150</v>
      </c>
      <c r="CG2" s="106">
        <f>+HLOOKUP($C2,'NEW CAR'!$BS$2:$CE$250,173,0)</f>
        <v>0</v>
      </c>
      <c r="CH2" s="106">
        <f>+HLOOKUP($C2,'NEW CAR'!$BS$2:$CE$250,174,0)</f>
        <v>0</v>
      </c>
      <c r="CI2" s="106">
        <f>+HLOOKUP($C2,'NEW CAR'!$BS$2:$CE$250,175,0)</f>
        <v>0</v>
      </c>
      <c r="CJ2" s="106">
        <f>+HLOOKUP($C2,'NEW CAR'!$BS$2:$CE$250,176,0)</f>
        <v>15800</v>
      </c>
      <c r="CK2" s="106">
        <f>+HLOOKUP($C2,'NEW CAR'!$BS$2:$CE$250,178,0)</f>
        <v>150000</v>
      </c>
      <c r="CL2" s="106">
        <f>+HLOOKUP($C2,'NEW CAR'!$BS$2:$CE$250,179,0)</f>
        <v>10000</v>
      </c>
      <c r="CM2" s="106">
        <f>+HLOOKUP($C2,'NEW CAR'!$BS$2:$CE$250,180,0)</f>
        <v>0</v>
      </c>
      <c r="CN2" s="106">
        <f>+HLOOKUP($C2,'NEW CAR'!$BS$2:$CE$250,182,0)</f>
        <v>1638</v>
      </c>
      <c r="CO2" s="106">
        <f>+HLOOKUP($C2,'NEW CAR'!$BS$2:$CE$250,183,0)</f>
        <v>19981</v>
      </c>
      <c r="CP2" s="106">
        <f>+HLOOKUP($C2,'NEW CAR'!$BS$2:$CE$250,184,0)</f>
        <v>14400</v>
      </c>
      <c r="CQ2" s="106">
        <f>+HLOOKUP($C2,'NEW CAR'!$BS$2:$CE$250,185,0)</f>
        <v>0</v>
      </c>
      <c r="CR2" s="106">
        <f>+HLOOKUP($C2,'NEW CAR'!$BS$2:$CE$250,187,0)</f>
        <v>8332.8000000000011</v>
      </c>
      <c r="CS2" s="106">
        <f>+HLOOKUP($C2,'NEW CAR'!$BS$2:$CE$250,188,0)</f>
        <v>10600</v>
      </c>
      <c r="CT2" s="106">
        <f>+HLOOKUP($C2,'NEW CAR'!$BS$2:$CE$250,189,0)</f>
        <v>6666.8</v>
      </c>
      <c r="CU2" s="106">
        <f>+HLOOKUP($C2,'NEW CAR'!$BS$2:$CE$250,190,0)</f>
        <v>6755.6</v>
      </c>
      <c r="CV2" s="106">
        <f>+HLOOKUP($C2,'NEW CAR'!$BS$2:$CE$250,191,0)</f>
        <v>0</v>
      </c>
      <c r="CW2" s="106">
        <f>+HLOOKUP($C2,'NEW CAR'!$BS$2:$CE$250,193,0)</f>
        <v>11831</v>
      </c>
      <c r="CX2" s="106">
        <f>+HLOOKUP($C2,'NEW CAR'!$BS$2:$CE$250,194,0)</f>
        <v>106</v>
      </c>
      <c r="CY2" s="106">
        <f>+HLOOKUP($C2,'NEW CAR'!$BS$2:$CE$250,195,0)</f>
        <v>7249.8819999999996</v>
      </c>
      <c r="CZ2" s="106">
        <f>+HLOOKUP($C2,'NEW CAR'!$BS$2:$CE$250,196,0)</f>
        <v>0</v>
      </c>
      <c r="DA2" s="106">
        <f>+HLOOKUP($C2,'NEW CAR'!$BS$2:$CE$250,197,0)</f>
        <v>43776</v>
      </c>
      <c r="DB2" s="106">
        <f>+HLOOKUP($C2,'NEW CAR'!$BS$2:$CE$250,198,0)</f>
        <v>13480</v>
      </c>
      <c r="DC2" s="106">
        <f>+HLOOKUP($C2,'NEW CAR'!$BS$2:$CE$250,199,0)</f>
        <v>2880</v>
      </c>
      <c r="DD2" s="106">
        <f>+HLOOKUP($C2,'NEW CAR'!$BS$2:$CE$250,200,0)</f>
        <v>1700</v>
      </c>
      <c r="DE2" s="106">
        <f>+HLOOKUP($C2,'NEW CAR'!$BS$2:$CE$250,201,0)</f>
        <v>198</v>
      </c>
      <c r="DF2" s="106">
        <f>+HLOOKUP($C2,'NEW CAR'!$BS$2:$CE$250,202,0)</f>
        <v>0</v>
      </c>
      <c r="DG2" s="106">
        <f>+HLOOKUP($C2,'NEW CAR'!$BS$2:$CE$250,203,0)</f>
        <v>0</v>
      </c>
      <c r="DH2" s="106">
        <f>+HLOOKUP($C2,'NEW CAR'!$BS$2:$CE$250,205,0)</f>
        <v>68123.915427272703</v>
      </c>
      <c r="DI2" s="106">
        <f>+HLOOKUP($C2,'NEW CAR'!$BS$2:$CE$250,206,0)</f>
        <v>16170</v>
      </c>
      <c r="DJ2" s="106">
        <f>+HLOOKUP($C2,'NEW CAR'!$BS$2:$CE$250,207,0)</f>
        <v>2067.8950833333338</v>
      </c>
      <c r="DK2" s="106">
        <f>+HLOOKUP($C2,'NEW CAR'!$BS$2:$CE$250,209,0)</f>
        <v>0</v>
      </c>
      <c r="DL2" s="106">
        <f>+HLOOKUP($C2,'NEW CAR'!$BS$2:$CE$250,210,0)</f>
        <v>0</v>
      </c>
      <c r="DM2" s="106">
        <f>+HLOOKUP($C2,'NEW CAR'!$BS$2:$CE$250,211,0)</f>
        <v>100567.85937499994</v>
      </c>
      <c r="DN2" s="106">
        <f>+HLOOKUP($C2,'NEW CAR'!$BS$2:$CE$250,212,0)</f>
        <v>73286.518331250001</v>
      </c>
      <c r="DO2" s="106">
        <f>+HLOOKUP($C2,'NEW CAR'!$BS$2:$CE$250,214,0)</f>
        <v>0</v>
      </c>
      <c r="DP2" s="106">
        <f>+HLOOKUP($C2,'NEW CAR'!$BS$2:$CE$250,215,0)</f>
        <v>2400</v>
      </c>
      <c r="DQ2" s="106">
        <f>+HLOOKUP($C2,'NEW CAR'!$BS$2:$CE$250,219,0)</f>
        <v>0</v>
      </c>
      <c r="DR2" s="106">
        <f>+HLOOKUP($C2,'NEW CAR'!$BS$2:$CE$250,220,0)</f>
        <v>0</v>
      </c>
      <c r="DS2" s="106">
        <f>+HLOOKUP($C2,'NEW CAR'!$BS$2:$CE$250,221,0)</f>
        <v>276000</v>
      </c>
      <c r="DT2" s="106">
        <f>+HLOOKUP($C2,'NEW CAR'!$BS$2:$CE$250,223,0)</f>
        <v>50000</v>
      </c>
      <c r="DU2" s="106">
        <f>+HLOOKUP($C2,'NEW CAR'!$BS$2:$CE$250,224,0)</f>
        <v>0</v>
      </c>
      <c r="DV2" s="106">
        <f>+HLOOKUP($C2,'NEW CAR'!$BS$2:$CE$250,225,0)</f>
        <v>0</v>
      </c>
      <c r="DW2" s="106">
        <f>+HLOOKUP($C2,'NEW CAR'!$BS$2:$CE$250,227,0)</f>
        <v>0</v>
      </c>
      <c r="DX2" s="106">
        <f>+HLOOKUP($C2,'NEW CAR'!$BS$2:$CE$250,228,0)</f>
        <v>0</v>
      </c>
      <c r="DY2" s="106">
        <f>+HLOOKUP($C2,'NEW CAR'!$BS$2:$CE$250,236,0)</f>
        <v>0</v>
      </c>
      <c r="DZ2" s="106">
        <f>+HLOOKUP($C2,'NEW CAR'!$BS$2:$CE$250,237,0)</f>
        <v>124229.12724246536</v>
      </c>
      <c r="EA2" s="106">
        <f>+HLOOKUP($C2,'NEW CAR'!$BS$2:$CE$250,238,0)</f>
        <v>0</v>
      </c>
      <c r="EB2" s="106">
        <f>+HLOOKUP($C2,'NEW CAR'!$BS$2:$CE$250,240,0)</f>
        <v>952163.96462113166</v>
      </c>
    </row>
    <row r="3" spans="1:133">
      <c r="A3" t="s">
        <v>269</v>
      </c>
      <c r="B3" t="s">
        <v>270</v>
      </c>
      <c r="C3" s="117">
        <v>45962</v>
      </c>
      <c r="D3" s="106">
        <f>+HLOOKUP(C3,'NEW CAR'!$BS$2:$CE$250,6,0)/3.5%</f>
        <v>70064045.045045033</v>
      </c>
      <c r="E3" s="106">
        <f>+HLOOKUP(C3,'NEW CAR'!$BS$2:$CE$250,5,0)+HLOOKUP(C3,'NEW CAR'!$BS$2:$CE$250,26,0)+HLOOKUP(C3,'NEW CAR'!$BS$2:$CE$250,59,0)</f>
        <v>3896883.018018018</v>
      </c>
      <c r="F3" s="106"/>
      <c r="G3" s="106">
        <f>+HLOOKUP($C3,'NEW CAR'!$BS$2:$CE$250,76,0)</f>
        <v>84000</v>
      </c>
      <c r="H3" s="106">
        <f>+HLOOKUP($C3,'NEW CAR'!$BS$2:$CE$250,77,0)</f>
        <v>336000</v>
      </c>
      <c r="I3" s="106">
        <f>+HLOOKUP($C3,'NEW CAR'!$BS$2:$CE$250,78,0)</f>
        <v>0</v>
      </c>
      <c r="J3" s="106">
        <f>+HLOOKUP($C3,'NEW CAR'!$BS$2:$CE$250,79,0)</f>
        <v>140000</v>
      </c>
      <c r="K3" s="106">
        <f>+HLOOKUP($C3,'NEW CAR'!$BS$2:$CE$250,80,0)</f>
        <v>0</v>
      </c>
      <c r="L3" s="106">
        <f>+HLOOKUP($C3,'NEW CAR'!$BS$2:$CE$250,81,0)</f>
        <v>0</v>
      </c>
      <c r="M3" s="106">
        <f>+HLOOKUP($C3,'NEW CAR'!$BS$2:$CE$250,82,0)</f>
        <v>0</v>
      </c>
      <c r="N3" s="106">
        <f>+HLOOKUP($C3,'NEW CAR'!$BS$2:$CE$250,83,0)</f>
        <v>0</v>
      </c>
      <c r="O3" s="106">
        <f>+HLOOKUP($C3,'NEW CAR'!$BS$2:$CE$250,84,0)</f>
        <v>0</v>
      </c>
      <c r="P3" s="106">
        <f>+HLOOKUP($C3,'NEW CAR'!$BS$2:$CE$250,85,0)</f>
        <v>0</v>
      </c>
      <c r="Q3" s="106">
        <f>+HLOOKUP($C3,'NEW CAR'!$BS$2:$CE$250,87,0)</f>
        <v>490000</v>
      </c>
      <c r="R3" s="106">
        <f>+HLOOKUP($C3,'NEW CAR'!$BS$2:$CE$250,90,0)</f>
        <v>8400</v>
      </c>
      <c r="S3" s="106">
        <f>+HLOOKUP($C3,'NEW CAR'!$BS$2:$CE$250,91,0)</f>
        <v>0</v>
      </c>
      <c r="T3" s="106">
        <f>+HLOOKUP($C3,'NEW CAR'!$BS$2:$CE$250,92,0)</f>
        <v>210000</v>
      </c>
      <c r="U3" s="106">
        <f>+HLOOKUP($C3,'NEW CAR'!$BS$2:$CE$250,93,0)</f>
        <v>7000</v>
      </c>
      <c r="V3" s="106">
        <f>+HLOOKUP($C3,'NEW CAR'!$BS$2:$CE$250,94,0)</f>
        <v>0</v>
      </c>
      <c r="W3" s="106">
        <f>+HLOOKUP($C3,'NEW CAR'!$BS$2:$CE$250,95,0)</f>
        <v>30000</v>
      </c>
      <c r="X3" s="106">
        <f>+HLOOKUP($C3,'NEW CAR'!$BS$2:$CE$250,96,0)</f>
        <v>45000</v>
      </c>
      <c r="Y3" s="106">
        <f>+HLOOKUP($C3,'NEW CAR'!$BS$2:$CE$250,97,0)</f>
        <v>70000</v>
      </c>
      <c r="Z3" s="106">
        <f>+HLOOKUP($C3,'NEW CAR'!$BS$2:$CE$250,98,0)</f>
        <v>0</v>
      </c>
      <c r="AA3" s="106">
        <f>+HLOOKUP($C3,'NEW CAR'!$BS$2:$CE$250,99,0)</f>
        <v>0</v>
      </c>
      <c r="AB3" s="106">
        <f>+HLOOKUP($C3,'NEW CAR'!$BS$2:$CE$250,100,0)</f>
        <v>28000</v>
      </c>
      <c r="AC3" s="106">
        <f>+HLOOKUP($C3,'NEW CAR'!$BS$2:$CE$250,101,0)</f>
        <v>8400</v>
      </c>
      <c r="AD3" s="106">
        <f>+HLOOKUP($C3,'NEW CAR'!$BS$2:$CE$250,104,0)</f>
        <v>14000</v>
      </c>
      <c r="AE3" s="106">
        <f>+HLOOKUP($C3,'NEW CAR'!$BS$2:$CE$250,105,0)</f>
        <v>116550</v>
      </c>
      <c r="AF3" s="106">
        <f>+HLOOKUP($C3,'NEW CAR'!$BS$2:$CE$250,106,0)</f>
        <v>46620</v>
      </c>
      <c r="AG3" s="106">
        <f>+HLOOKUP($C3,'NEW CAR'!$BS$2:$CE$250,107,0)</f>
        <v>163170</v>
      </c>
      <c r="AH3" s="106">
        <f>+HLOOKUP($C3,'NEW CAR'!$BS$2:$CE$250,108,0)</f>
        <v>0</v>
      </c>
      <c r="AI3" s="106">
        <f>+HLOOKUP($C3,'NEW CAR'!$BS$2:$CE$250,109,0)</f>
        <v>139860</v>
      </c>
      <c r="AJ3" s="106">
        <f>+HLOOKUP($C3,'NEW CAR'!$BS$2:$CE$250,110,0)</f>
        <v>0</v>
      </c>
      <c r="AK3" s="106">
        <f>+HLOOKUP($C3,'NEW CAR'!$BS$2:$CE$250,111,0)</f>
        <v>0</v>
      </c>
      <c r="AL3" s="106">
        <f>+HLOOKUP($C3,'NEW CAR'!$BS$2:$CE$250,112,0)</f>
        <v>0</v>
      </c>
      <c r="AM3" s="106">
        <f>+HLOOKUP($C3,'NEW CAR'!$BS$2:$CE$250,116,0)</f>
        <v>1124400</v>
      </c>
      <c r="AN3" s="106">
        <f>+HLOOKUP($C3,'NEW CAR'!$BS$2:$CE$250,117,0)</f>
        <v>141925</v>
      </c>
      <c r="AO3" s="106">
        <f>+HLOOKUP($C3,'NEW CAR'!$BS$2:$CE$250,118,0)</f>
        <v>31500</v>
      </c>
      <c r="AP3" s="106">
        <f>+HLOOKUP($C3,'NEW CAR'!$BS$2:$CE$250,119,0)</f>
        <v>382600</v>
      </c>
      <c r="AQ3" s="106">
        <f>+HLOOKUP($C3,'NEW CAR'!$BS$2:$CE$250,120,0)</f>
        <v>81550</v>
      </c>
      <c r="AR3" s="106">
        <f>+HLOOKUP($C3,'NEW CAR'!$BS$2:$CE$250,121,0)</f>
        <v>47550</v>
      </c>
      <c r="AS3" s="106">
        <f>+HLOOKUP($C3,'NEW CAR'!$BS$2:$CE$250,122,0)</f>
        <v>600825</v>
      </c>
      <c r="AT3" s="106">
        <f>+HLOOKUP($C3,'NEW CAR'!$BS$2:$CE$250,123,0)</f>
        <v>107556.71915625001</v>
      </c>
      <c r="AU3" s="106">
        <f>+HLOOKUP($C3,'NEW CAR'!$BS$2:$CE$250,124,0)</f>
        <v>4821.25</v>
      </c>
      <c r="AV3" s="106">
        <f>+HLOOKUP($C3,'NEW CAR'!$BS$2:$CE$250,125,0)</f>
        <v>104600</v>
      </c>
      <c r="AW3" s="106">
        <f>+HLOOKUP($C3,'NEW CAR'!$BS$2:$CE$250,126,0)</f>
        <v>54057.692307692305</v>
      </c>
      <c r="AX3" s="106">
        <f>+HLOOKUP($C3,'NEW CAR'!$BS$2:$CE$250,127,0)</f>
        <v>60583.333333333343</v>
      </c>
      <c r="AY3" s="106">
        <f>+HLOOKUP($C3,'NEW CAR'!$BS$2:$CE$250,129,0)</f>
        <v>0</v>
      </c>
      <c r="AZ3" s="106">
        <f>+HLOOKUP($C3,'NEW CAR'!$BS$2:$CE$250,130,0)</f>
        <v>0</v>
      </c>
      <c r="BA3" s="106">
        <f>+HLOOKUP($C3,'NEW CAR'!$BS$2:$CE$250,131,0)</f>
        <v>144600</v>
      </c>
      <c r="BB3" s="106">
        <f>+HLOOKUP($C3,'NEW CAR'!$BS$2:$CE$250,133,0)</f>
        <v>0</v>
      </c>
      <c r="BC3" s="106">
        <f>+HLOOKUP($C3,'NEW CAR'!$BS$2:$CE$250,134,0)</f>
        <v>162236.5138333333</v>
      </c>
      <c r="BD3" s="106">
        <f>+HLOOKUP($C3,'NEW CAR'!$BS$2:$CE$250,135,0)</f>
        <v>0</v>
      </c>
      <c r="BE3" s="106">
        <f>+HLOOKUP($C3,'NEW CAR'!$BS$2:$CE$250,136,0)</f>
        <v>0</v>
      </c>
      <c r="BF3" s="106">
        <f>+HLOOKUP($C3,'NEW CAR'!$BS$2:$CE$250,138,0)</f>
        <v>25500</v>
      </c>
      <c r="BG3" s="106">
        <f>+HLOOKUP($C3,'NEW CAR'!$BS$2:$CE$250,139,0)</f>
        <v>20582.941666666666</v>
      </c>
      <c r="BH3" s="106">
        <f>+HLOOKUP($C3,'NEW CAR'!$BS$2:$CE$250,140,0)</f>
        <v>0</v>
      </c>
      <c r="BI3" s="106">
        <f>+HLOOKUP($C3,'NEW CAR'!$BS$2:$CE$250,141,0)</f>
        <v>0</v>
      </c>
      <c r="BJ3" s="106">
        <f>+HLOOKUP($C3,'NEW CAR'!$BS$2:$CE$250,142,0)</f>
        <v>0</v>
      </c>
      <c r="BK3" s="106">
        <f>+HLOOKUP($C3,'NEW CAR'!$BS$2:$CE$250,143,0)</f>
        <v>36529.25</v>
      </c>
      <c r="BL3" s="106">
        <f>+HLOOKUP($C3,'NEW CAR'!$BS$2:$CE$250,144,0)</f>
        <v>5281.25</v>
      </c>
      <c r="BM3" s="106">
        <f>+HLOOKUP($C3,'NEW CAR'!$BS$2:$CE$250,146,0)</f>
        <v>0</v>
      </c>
      <c r="BN3" s="106">
        <f>+HLOOKUP($C3,'NEW CAR'!$BS$2:$CE$250,147,0)</f>
        <v>75878</v>
      </c>
      <c r="BO3" s="106">
        <f>+HLOOKUP($C3,'NEW CAR'!$BS$2:$CE$250,148,0)</f>
        <v>0</v>
      </c>
      <c r="BP3" s="106">
        <f>+HLOOKUP($C3,'NEW CAR'!$BS$2:$CE$250,150,0)</f>
        <v>67863.862500000003</v>
      </c>
      <c r="BQ3" s="106">
        <f>+HLOOKUP($C3,'NEW CAR'!$BS$2:$CE$250,151,0)</f>
        <v>4961</v>
      </c>
      <c r="BR3" s="106">
        <f>+HLOOKUP($C3,'NEW CAR'!$BS$2:$CE$250,152,0)</f>
        <v>47000</v>
      </c>
      <c r="BS3" s="106">
        <f>+HLOOKUP($C3,'NEW CAR'!$BS$2:$CE$250,153,0)</f>
        <v>6000</v>
      </c>
      <c r="BT3" s="106">
        <f>+HLOOKUP($C3,'NEW CAR'!$BS$2:$CE$250,157,0)</f>
        <v>64260</v>
      </c>
      <c r="BU3" s="106">
        <f>+HLOOKUP($C3,'NEW CAR'!$BS$2:$CE$250,158,0)</f>
        <v>5800</v>
      </c>
      <c r="BV3" s="106">
        <f>+HLOOKUP($C3,'NEW CAR'!$BS$2:$CE$250,159,0)</f>
        <v>999.72222222222217</v>
      </c>
      <c r="BW3" s="106">
        <f>+HLOOKUP($C3,'NEW CAR'!$BS$2:$CE$250,160,0)</f>
        <v>300</v>
      </c>
      <c r="BX3" s="106">
        <f>+HLOOKUP($C3,'NEW CAR'!$BS$2:$CE$250,161,0)</f>
        <v>18716.155062499965</v>
      </c>
      <c r="BY3" s="106">
        <f>+HLOOKUP($C3,'NEW CAR'!$BS$2:$CE$250,164,0)</f>
        <v>16000</v>
      </c>
      <c r="BZ3" s="106">
        <f>+HLOOKUP($C3,'NEW CAR'!$BS$2:$CE$250,165,0)</f>
        <v>0</v>
      </c>
      <c r="CA3" s="106">
        <f>+HLOOKUP($C3,'NEW CAR'!$BS$2:$CE$250,166,0)</f>
        <v>0</v>
      </c>
      <c r="CB3" s="106">
        <f>+HLOOKUP($C3,'NEW CAR'!$BS$2:$CE$250,167,0)</f>
        <v>0</v>
      </c>
      <c r="CC3" s="106">
        <f>+HLOOKUP($C3,'NEW CAR'!$BS$2:$CE$250,168,0)</f>
        <v>0</v>
      </c>
      <c r="CD3" s="106">
        <f>+HLOOKUP($C3,'NEW CAR'!$BS$2:$CE$250,169,0)</f>
        <v>1666.6666666666667</v>
      </c>
      <c r="CE3" s="106">
        <f>+HLOOKUP($C3,'NEW CAR'!$BS$2:$CE$250,170,0)</f>
        <v>0</v>
      </c>
      <c r="CF3" s="106">
        <f>+HLOOKUP($C3,'NEW CAR'!$BS$2:$CE$250,172,0)</f>
        <v>20150</v>
      </c>
      <c r="CG3" s="106">
        <f>+HLOOKUP($C3,'NEW CAR'!$BS$2:$CE$250,173,0)</f>
        <v>0</v>
      </c>
      <c r="CH3" s="106">
        <f>+HLOOKUP($C3,'NEW CAR'!$BS$2:$CE$250,174,0)</f>
        <v>0</v>
      </c>
      <c r="CI3" s="106">
        <f>+HLOOKUP($C3,'NEW CAR'!$BS$2:$CE$250,175,0)</f>
        <v>0</v>
      </c>
      <c r="CJ3" s="106">
        <f>+HLOOKUP($C3,'NEW CAR'!$BS$2:$CE$250,176,0)</f>
        <v>15800</v>
      </c>
      <c r="CK3" s="106">
        <f>+HLOOKUP($C3,'NEW CAR'!$BS$2:$CE$250,178,0)</f>
        <v>150000</v>
      </c>
      <c r="CL3" s="106">
        <f>+HLOOKUP($C3,'NEW CAR'!$BS$2:$CE$250,179,0)</f>
        <v>10000</v>
      </c>
      <c r="CM3" s="106">
        <f>+HLOOKUP($C3,'NEW CAR'!$BS$2:$CE$250,180,0)</f>
        <v>0</v>
      </c>
      <c r="CN3" s="106">
        <f>+HLOOKUP($C3,'NEW CAR'!$BS$2:$CE$250,182,0)</f>
        <v>1638</v>
      </c>
      <c r="CO3" s="106">
        <f>+HLOOKUP($C3,'NEW CAR'!$BS$2:$CE$250,183,0)</f>
        <v>19981</v>
      </c>
      <c r="CP3" s="106">
        <f>+HLOOKUP($C3,'NEW CAR'!$BS$2:$CE$250,184,0)</f>
        <v>14400</v>
      </c>
      <c r="CQ3" s="106">
        <f>+HLOOKUP($C3,'NEW CAR'!$BS$2:$CE$250,185,0)</f>
        <v>0</v>
      </c>
      <c r="CR3" s="106">
        <f>+HLOOKUP($C3,'NEW CAR'!$BS$2:$CE$250,187,0)</f>
        <v>8332.8000000000011</v>
      </c>
      <c r="CS3" s="106">
        <f>+HLOOKUP($C3,'NEW CAR'!$BS$2:$CE$250,188,0)</f>
        <v>10600</v>
      </c>
      <c r="CT3" s="106">
        <f>+HLOOKUP($C3,'NEW CAR'!$BS$2:$CE$250,189,0)</f>
        <v>6666.8</v>
      </c>
      <c r="CU3" s="106">
        <f>+HLOOKUP($C3,'NEW CAR'!$BS$2:$CE$250,190,0)</f>
        <v>6755.6</v>
      </c>
      <c r="CV3" s="106">
        <f>+HLOOKUP($C3,'NEW CAR'!$BS$2:$CE$250,191,0)</f>
        <v>0</v>
      </c>
      <c r="CW3" s="106">
        <f>+HLOOKUP($C3,'NEW CAR'!$BS$2:$CE$250,193,0)</f>
        <v>11831</v>
      </c>
      <c r="CX3" s="106">
        <f>+HLOOKUP($C3,'NEW CAR'!$BS$2:$CE$250,194,0)</f>
        <v>106</v>
      </c>
      <c r="CY3" s="106">
        <f>+HLOOKUP($C3,'NEW CAR'!$BS$2:$CE$250,195,0)</f>
        <v>7249.8819999999996</v>
      </c>
      <c r="CZ3" s="106">
        <f>+HLOOKUP($C3,'NEW CAR'!$BS$2:$CE$250,196,0)</f>
        <v>0</v>
      </c>
      <c r="DA3" s="106">
        <f>+HLOOKUP($C3,'NEW CAR'!$BS$2:$CE$250,197,0)</f>
        <v>43776</v>
      </c>
      <c r="DB3" s="106">
        <f>+HLOOKUP($C3,'NEW CAR'!$BS$2:$CE$250,198,0)</f>
        <v>13480</v>
      </c>
      <c r="DC3" s="106">
        <f>+HLOOKUP($C3,'NEW CAR'!$BS$2:$CE$250,199,0)</f>
        <v>2880</v>
      </c>
      <c r="DD3" s="106">
        <f>+HLOOKUP($C3,'NEW CAR'!$BS$2:$CE$250,200,0)</f>
        <v>1700</v>
      </c>
      <c r="DE3" s="106">
        <f>+HLOOKUP($C3,'NEW CAR'!$BS$2:$CE$250,201,0)</f>
        <v>198</v>
      </c>
      <c r="DF3" s="106">
        <f>+HLOOKUP($C3,'NEW CAR'!$BS$2:$CE$250,202,0)</f>
        <v>0</v>
      </c>
      <c r="DG3" s="106">
        <f>+HLOOKUP($C3,'NEW CAR'!$BS$2:$CE$250,203,0)</f>
        <v>0</v>
      </c>
      <c r="DH3" s="106">
        <f>+HLOOKUP($C3,'NEW CAR'!$BS$2:$CE$250,205,0)</f>
        <v>68123.915427272703</v>
      </c>
      <c r="DI3" s="106">
        <f>+HLOOKUP($C3,'NEW CAR'!$BS$2:$CE$250,206,0)</f>
        <v>16170</v>
      </c>
      <c r="DJ3" s="106">
        <f>+HLOOKUP($C3,'NEW CAR'!$BS$2:$CE$250,207,0)</f>
        <v>2067.8950833333338</v>
      </c>
      <c r="DK3" s="106">
        <f>+HLOOKUP($C3,'NEW CAR'!$BS$2:$CE$250,209,0)</f>
        <v>0</v>
      </c>
      <c r="DL3" s="106">
        <f>+HLOOKUP($C3,'NEW CAR'!$BS$2:$CE$250,210,0)</f>
        <v>0</v>
      </c>
      <c r="DM3" s="106">
        <f>+HLOOKUP($C3,'NEW CAR'!$BS$2:$CE$250,211,0)</f>
        <v>100567.85937499994</v>
      </c>
      <c r="DN3" s="106">
        <f>+HLOOKUP($C3,'NEW CAR'!$BS$2:$CE$250,212,0)</f>
        <v>73286.518331250001</v>
      </c>
      <c r="DO3" s="106">
        <f>+HLOOKUP($C3,'NEW CAR'!$BS$2:$CE$250,214,0)</f>
        <v>0</v>
      </c>
      <c r="DP3" s="106">
        <f>+HLOOKUP($C3,'NEW CAR'!$BS$2:$CE$250,215,0)</f>
        <v>2400</v>
      </c>
      <c r="DQ3" s="106">
        <f>+HLOOKUP($C3,'NEW CAR'!$BS$2:$CE$250,219,0)</f>
        <v>0</v>
      </c>
      <c r="DR3" s="106">
        <f>+HLOOKUP($C3,'NEW CAR'!$BS$2:$CE$250,220,0)</f>
        <v>0</v>
      </c>
      <c r="DS3" s="106">
        <f>+HLOOKUP($C3,'NEW CAR'!$BS$2:$CE$250,221,0)</f>
        <v>276000</v>
      </c>
      <c r="DT3" s="106">
        <f>+HLOOKUP($C3,'NEW CAR'!$BS$2:$CE$250,223,0)</f>
        <v>50000</v>
      </c>
      <c r="DU3" s="106">
        <f>+HLOOKUP($C3,'NEW CAR'!$BS$2:$CE$250,224,0)</f>
        <v>0</v>
      </c>
      <c r="DV3" s="106">
        <f>+HLOOKUP($C3,'NEW CAR'!$BS$2:$CE$250,225,0)</f>
        <v>0</v>
      </c>
      <c r="DW3" s="106">
        <f>+HLOOKUP($C3,'NEW CAR'!$BS$2:$CE$250,227,0)</f>
        <v>0</v>
      </c>
      <c r="DX3" s="106">
        <f>+HLOOKUP($C3,'NEW CAR'!$BS$2:$CE$250,228,0)</f>
        <v>0</v>
      </c>
      <c r="DY3" s="106">
        <f>+HLOOKUP($C3,'NEW CAR'!$BS$2:$CE$250,236,0)</f>
        <v>0</v>
      </c>
      <c r="DZ3" s="106">
        <f>+HLOOKUP($C3,'NEW CAR'!$BS$2:$CE$250,237,0)</f>
        <v>121939.18936915031</v>
      </c>
      <c r="EA3" s="106">
        <f>+HLOOKUP($C3,'NEW CAR'!$BS$2:$CE$250,238,0)</f>
        <v>0</v>
      </c>
      <c r="EB3" s="106">
        <f>+HLOOKUP($C3,'NEW CAR'!$BS$2:$CE$250,240,0)</f>
        <v>952163.96462113166</v>
      </c>
    </row>
    <row r="4" spans="1:133">
      <c r="A4" t="s">
        <v>269</v>
      </c>
      <c r="B4" t="s">
        <v>270</v>
      </c>
      <c r="C4" s="117">
        <v>45931</v>
      </c>
      <c r="D4" s="106">
        <f>+HLOOKUP(C4,'NEW CAR'!$BS$2:$CE$250,6,0)/3.5%</f>
        <v>82975697.443749174</v>
      </c>
      <c r="E4" s="106">
        <f>+HLOOKUP(C4,'NEW CAR'!$BS$2:$CE$250,5,0)+HLOOKUP(C4,'NEW CAR'!$BS$2:$CE$250,26,0)+HLOOKUP(C4,'NEW CAR'!$BS$2:$CE$250,59,0)</f>
        <v>4572241.7484356286</v>
      </c>
      <c r="F4" s="106"/>
      <c r="G4" s="106">
        <f>+HLOOKUP($C4,'NEW CAR'!$BS$2:$CE$250,76,0)</f>
        <v>96000</v>
      </c>
      <c r="H4" s="106">
        <f>+HLOOKUP($C4,'NEW CAR'!$BS$2:$CE$250,77,0)</f>
        <v>384000</v>
      </c>
      <c r="I4" s="106">
        <f>+HLOOKUP($C4,'NEW CAR'!$BS$2:$CE$250,78,0)</f>
        <v>0</v>
      </c>
      <c r="J4" s="106">
        <f>+HLOOKUP($C4,'NEW CAR'!$BS$2:$CE$250,79,0)</f>
        <v>160000</v>
      </c>
      <c r="K4" s="106">
        <f>+HLOOKUP($C4,'NEW CAR'!$BS$2:$CE$250,80,0)</f>
        <v>0</v>
      </c>
      <c r="L4" s="106">
        <f>+HLOOKUP($C4,'NEW CAR'!$BS$2:$CE$250,81,0)</f>
        <v>0</v>
      </c>
      <c r="M4" s="106">
        <f>+HLOOKUP($C4,'NEW CAR'!$BS$2:$CE$250,82,0)</f>
        <v>0</v>
      </c>
      <c r="N4" s="106">
        <f>+HLOOKUP($C4,'NEW CAR'!$BS$2:$CE$250,83,0)</f>
        <v>0</v>
      </c>
      <c r="O4" s="106">
        <f>+HLOOKUP($C4,'NEW CAR'!$BS$2:$CE$250,84,0)</f>
        <v>0</v>
      </c>
      <c r="P4" s="106">
        <f>+HLOOKUP($C4,'NEW CAR'!$BS$2:$CE$250,85,0)</f>
        <v>0</v>
      </c>
      <c r="Q4" s="106">
        <f>+HLOOKUP($C4,'NEW CAR'!$BS$2:$CE$250,87,0)</f>
        <v>560000</v>
      </c>
      <c r="R4" s="106">
        <f>+HLOOKUP($C4,'NEW CAR'!$BS$2:$CE$250,90,0)</f>
        <v>9600</v>
      </c>
      <c r="S4" s="106">
        <f>+HLOOKUP($C4,'NEW CAR'!$BS$2:$CE$250,91,0)</f>
        <v>0</v>
      </c>
      <c r="T4" s="106">
        <f>+HLOOKUP($C4,'NEW CAR'!$BS$2:$CE$250,92,0)</f>
        <v>240000</v>
      </c>
      <c r="U4" s="106">
        <f>+HLOOKUP($C4,'NEW CAR'!$BS$2:$CE$250,93,0)</f>
        <v>8000</v>
      </c>
      <c r="V4" s="106">
        <f>+HLOOKUP($C4,'NEW CAR'!$BS$2:$CE$250,94,0)</f>
        <v>0</v>
      </c>
      <c r="W4" s="106">
        <f>+HLOOKUP($C4,'NEW CAR'!$BS$2:$CE$250,95,0)</f>
        <v>30000</v>
      </c>
      <c r="X4" s="106">
        <f>+HLOOKUP($C4,'NEW CAR'!$BS$2:$CE$250,96,0)</f>
        <v>45000</v>
      </c>
      <c r="Y4" s="106">
        <f>+HLOOKUP($C4,'NEW CAR'!$BS$2:$CE$250,97,0)</f>
        <v>80000</v>
      </c>
      <c r="Z4" s="106">
        <f>+HLOOKUP($C4,'NEW CAR'!$BS$2:$CE$250,98,0)</f>
        <v>0</v>
      </c>
      <c r="AA4" s="106">
        <f>+HLOOKUP($C4,'NEW CAR'!$BS$2:$CE$250,99,0)</f>
        <v>0</v>
      </c>
      <c r="AB4" s="106">
        <f>+HLOOKUP($C4,'NEW CAR'!$BS$2:$CE$250,100,0)</f>
        <v>32000</v>
      </c>
      <c r="AC4" s="106">
        <f>+HLOOKUP($C4,'NEW CAR'!$BS$2:$CE$250,101,0)</f>
        <v>9600</v>
      </c>
      <c r="AD4" s="106">
        <f>+HLOOKUP($C4,'NEW CAR'!$BS$2:$CE$250,104,0)</f>
        <v>16000</v>
      </c>
      <c r="AE4" s="106">
        <f>+HLOOKUP($C4,'NEW CAR'!$BS$2:$CE$250,105,0)</f>
        <v>133200</v>
      </c>
      <c r="AF4" s="106">
        <f>+HLOOKUP($C4,'NEW CAR'!$BS$2:$CE$250,106,0)</f>
        <v>53280</v>
      </c>
      <c r="AG4" s="106">
        <f>+HLOOKUP($C4,'NEW CAR'!$BS$2:$CE$250,107,0)</f>
        <v>186480</v>
      </c>
      <c r="AH4" s="106">
        <f>+HLOOKUP($C4,'NEW CAR'!$BS$2:$CE$250,108,0)</f>
        <v>0</v>
      </c>
      <c r="AI4" s="106">
        <f>+HLOOKUP($C4,'NEW CAR'!$BS$2:$CE$250,109,0)</f>
        <v>159840</v>
      </c>
      <c r="AJ4" s="106">
        <f>+HLOOKUP($C4,'NEW CAR'!$BS$2:$CE$250,110,0)</f>
        <v>0</v>
      </c>
      <c r="AK4" s="106">
        <f>+HLOOKUP($C4,'NEW CAR'!$BS$2:$CE$250,111,0)</f>
        <v>0</v>
      </c>
      <c r="AL4" s="106">
        <f>+HLOOKUP($C4,'NEW CAR'!$BS$2:$CE$250,112,0)</f>
        <v>0</v>
      </c>
      <c r="AM4" s="106">
        <f>+HLOOKUP($C4,'NEW CAR'!$BS$2:$CE$250,116,0)</f>
        <v>1124400</v>
      </c>
      <c r="AN4" s="106">
        <f>+HLOOKUP($C4,'NEW CAR'!$BS$2:$CE$250,117,0)</f>
        <v>141925</v>
      </c>
      <c r="AO4" s="106">
        <f>+HLOOKUP($C4,'NEW CAR'!$BS$2:$CE$250,118,0)</f>
        <v>31500</v>
      </c>
      <c r="AP4" s="106">
        <f>+HLOOKUP($C4,'NEW CAR'!$BS$2:$CE$250,119,0)</f>
        <v>382600</v>
      </c>
      <c r="AQ4" s="106">
        <f>+HLOOKUP($C4,'NEW CAR'!$BS$2:$CE$250,120,0)</f>
        <v>81550</v>
      </c>
      <c r="AR4" s="106">
        <f>+HLOOKUP($C4,'NEW CAR'!$BS$2:$CE$250,121,0)</f>
        <v>47550</v>
      </c>
      <c r="AS4" s="106">
        <f>+HLOOKUP($C4,'NEW CAR'!$BS$2:$CE$250,122,0)</f>
        <v>600825</v>
      </c>
      <c r="AT4" s="106">
        <f>+HLOOKUP($C4,'NEW CAR'!$BS$2:$CE$250,123,0)</f>
        <v>107556.71915625001</v>
      </c>
      <c r="AU4" s="106">
        <f>+HLOOKUP($C4,'NEW CAR'!$BS$2:$CE$250,124,0)</f>
        <v>4821.25</v>
      </c>
      <c r="AV4" s="106">
        <f>+HLOOKUP($C4,'NEW CAR'!$BS$2:$CE$250,125,0)</f>
        <v>104600</v>
      </c>
      <c r="AW4" s="106">
        <f>+HLOOKUP($C4,'NEW CAR'!$BS$2:$CE$250,126,0)</f>
        <v>54057.692307692305</v>
      </c>
      <c r="AX4" s="106">
        <f>+HLOOKUP($C4,'NEW CAR'!$BS$2:$CE$250,127,0)</f>
        <v>60583.333333333343</v>
      </c>
      <c r="AY4" s="106">
        <f>+HLOOKUP($C4,'NEW CAR'!$BS$2:$CE$250,129,0)</f>
        <v>0</v>
      </c>
      <c r="AZ4" s="106">
        <f>+HLOOKUP($C4,'NEW CAR'!$BS$2:$CE$250,130,0)</f>
        <v>0</v>
      </c>
      <c r="BA4" s="106">
        <f>+HLOOKUP($C4,'NEW CAR'!$BS$2:$CE$250,131,0)</f>
        <v>144600</v>
      </c>
      <c r="BB4" s="106">
        <f>+HLOOKUP($C4,'NEW CAR'!$BS$2:$CE$250,133,0)</f>
        <v>0</v>
      </c>
      <c r="BC4" s="106">
        <f>+HLOOKUP($C4,'NEW CAR'!$BS$2:$CE$250,134,0)</f>
        <v>162236.5138333333</v>
      </c>
      <c r="BD4" s="106">
        <f>+HLOOKUP($C4,'NEW CAR'!$BS$2:$CE$250,135,0)</f>
        <v>0</v>
      </c>
      <c r="BE4" s="106">
        <f>+HLOOKUP($C4,'NEW CAR'!$BS$2:$CE$250,136,0)</f>
        <v>0</v>
      </c>
      <c r="BF4" s="106">
        <f>+HLOOKUP($C4,'NEW CAR'!$BS$2:$CE$250,138,0)</f>
        <v>25500</v>
      </c>
      <c r="BG4" s="106">
        <f>+HLOOKUP($C4,'NEW CAR'!$BS$2:$CE$250,139,0)</f>
        <v>20582.941666666666</v>
      </c>
      <c r="BH4" s="106">
        <f>+HLOOKUP($C4,'NEW CAR'!$BS$2:$CE$250,140,0)</f>
        <v>0</v>
      </c>
      <c r="BI4" s="106">
        <f>+HLOOKUP($C4,'NEW CAR'!$BS$2:$CE$250,141,0)</f>
        <v>0</v>
      </c>
      <c r="BJ4" s="106">
        <f>+HLOOKUP($C4,'NEW CAR'!$BS$2:$CE$250,142,0)</f>
        <v>0</v>
      </c>
      <c r="BK4" s="106">
        <f>+HLOOKUP($C4,'NEW CAR'!$BS$2:$CE$250,143,0)</f>
        <v>36529.25</v>
      </c>
      <c r="BL4" s="106">
        <f>+HLOOKUP($C4,'NEW CAR'!$BS$2:$CE$250,144,0)</f>
        <v>213822.91666666669</v>
      </c>
      <c r="BM4" s="106">
        <f>+HLOOKUP($C4,'NEW CAR'!$BS$2:$CE$250,146,0)</f>
        <v>0</v>
      </c>
      <c r="BN4" s="106">
        <f>+HLOOKUP($C4,'NEW CAR'!$BS$2:$CE$250,147,0)</f>
        <v>75878</v>
      </c>
      <c r="BO4" s="106">
        <f>+HLOOKUP($C4,'NEW CAR'!$BS$2:$CE$250,148,0)</f>
        <v>0</v>
      </c>
      <c r="BP4" s="106">
        <f>+HLOOKUP($C4,'NEW CAR'!$BS$2:$CE$250,150,0)</f>
        <v>67863.862500000003</v>
      </c>
      <c r="BQ4" s="106">
        <f>+HLOOKUP($C4,'NEW CAR'!$BS$2:$CE$250,151,0)</f>
        <v>4961</v>
      </c>
      <c r="BR4" s="106">
        <f>+HLOOKUP($C4,'NEW CAR'!$BS$2:$CE$250,152,0)</f>
        <v>47000</v>
      </c>
      <c r="BS4" s="106">
        <f>+HLOOKUP($C4,'NEW CAR'!$BS$2:$CE$250,153,0)</f>
        <v>6000</v>
      </c>
      <c r="BT4" s="106">
        <f>+HLOOKUP($C4,'NEW CAR'!$BS$2:$CE$250,157,0)</f>
        <v>64260</v>
      </c>
      <c r="BU4" s="106">
        <f>+HLOOKUP($C4,'NEW CAR'!$BS$2:$CE$250,158,0)</f>
        <v>5800</v>
      </c>
      <c r="BV4" s="106">
        <f>+HLOOKUP($C4,'NEW CAR'!$BS$2:$CE$250,159,0)</f>
        <v>999.72222222222217</v>
      </c>
      <c r="BW4" s="106">
        <f>+HLOOKUP($C4,'NEW CAR'!$BS$2:$CE$250,160,0)</f>
        <v>300</v>
      </c>
      <c r="BX4" s="106">
        <f>+HLOOKUP($C4,'NEW CAR'!$BS$2:$CE$250,161,0)</f>
        <v>18716.155062499965</v>
      </c>
      <c r="BY4" s="106">
        <f>+HLOOKUP($C4,'NEW CAR'!$BS$2:$CE$250,164,0)</f>
        <v>16000</v>
      </c>
      <c r="BZ4" s="106">
        <f>+HLOOKUP($C4,'NEW CAR'!$BS$2:$CE$250,165,0)</f>
        <v>0</v>
      </c>
      <c r="CA4" s="106">
        <f>+HLOOKUP($C4,'NEW CAR'!$BS$2:$CE$250,166,0)</f>
        <v>0</v>
      </c>
      <c r="CB4" s="106">
        <f>+HLOOKUP($C4,'NEW CAR'!$BS$2:$CE$250,167,0)</f>
        <v>0</v>
      </c>
      <c r="CC4" s="106">
        <f>+HLOOKUP($C4,'NEW CAR'!$BS$2:$CE$250,168,0)</f>
        <v>0</v>
      </c>
      <c r="CD4" s="106">
        <f>+HLOOKUP($C4,'NEW CAR'!$BS$2:$CE$250,169,0)</f>
        <v>10666.666666666666</v>
      </c>
      <c r="CE4" s="106">
        <f>+HLOOKUP($C4,'NEW CAR'!$BS$2:$CE$250,170,0)</f>
        <v>0</v>
      </c>
      <c r="CF4" s="106">
        <f>+HLOOKUP($C4,'NEW CAR'!$BS$2:$CE$250,172,0)</f>
        <v>20150</v>
      </c>
      <c r="CG4" s="106">
        <f>+HLOOKUP($C4,'NEW CAR'!$BS$2:$CE$250,173,0)</f>
        <v>0</v>
      </c>
      <c r="CH4" s="106">
        <f>+HLOOKUP($C4,'NEW CAR'!$BS$2:$CE$250,174,0)</f>
        <v>0</v>
      </c>
      <c r="CI4" s="106">
        <f>+HLOOKUP($C4,'NEW CAR'!$BS$2:$CE$250,175,0)</f>
        <v>0</v>
      </c>
      <c r="CJ4" s="106">
        <f>+HLOOKUP($C4,'NEW CAR'!$BS$2:$CE$250,176,0)</f>
        <v>15800</v>
      </c>
      <c r="CK4" s="106">
        <f>+HLOOKUP($C4,'NEW CAR'!$BS$2:$CE$250,178,0)</f>
        <v>150000</v>
      </c>
      <c r="CL4" s="106">
        <f>+HLOOKUP($C4,'NEW CAR'!$BS$2:$CE$250,179,0)</f>
        <v>10000</v>
      </c>
      <c r="CM4" s="106">
        <f>+HLOOKUP($C4,'NEW CAR'!$BS$2:$CE$250,180,0)</f>
        <v>0</v>
      </c>
      <c r="CN4" s="106">
        <f>+HLOOKUP($C4,'NEW CAR'!$BS$2:$CE$250,182,0)</f>
        <v>1638</v>
      </c>
      <c r="CO4" s="106">
        <f>+HLOOKUP($C4,'NEW CAR'!$BS$2:$CE$250,183,0)</f>
        <v>19981</v>
      </c>
      <c r="CP4" s="106">
        <f>+HLOOKUP($C4,'NEW CAR'!$BS$2:$CE$250,184,0)</f>
        <v>14400</v>
      </c>
      <c r="CQ4" s="106">
        <f>+HLOOKUP($C4,'NEW CAR'!$BS$2:$CE$250,185,0)</f>
        <v>0</v>
      </c>
      <c r="CR4" s="106">
        <f>+HLOOKUP($C4,'NEW CAR'!$BS$2:$CE$250,187,0)</f>
        <v>8332.8000000000011</v>
      </c>
      <c r="CS4" s="106">
        <f>+HLOOKUP($C4,'NEW CAR'!$BS$2:$CE$250,188,0)</f>
        <v>10600</v>
      </c>
      <c r="CT4" s="106">
        <f>+HLOOKUP($C4,'NEW CAR'!$BS$2:$CE$250,189,0)</f>
        <v>6666.8</v>
      </c>
      <c r="CU4" s="106">
        <f>+HLOOKUP($C4,'NEW CAR'!$BS$2:$CE$250,190,0)</f>
        <v>6755.6</v>
      </c>
      <c r="CV4" s="106">
        <f>+HLOOKUP($C4,'NEW CAR'!$BS$2:$CE$250,191,0)</f>
        <v>0</v>
      </c>
      <c r="CW4" s="106">
        <f>+HLOOKUP($C4,'NEW CAR'!$BS$2:$CE$250,193,0)</f>
        <v>11831</v>
      </c>
      <c r="CX4" s="106">
        <f>+HLOOKUP($C4,'NEW CAR'!$BS$2:$CE$250,194,0)</f>
        <v>106</v>
      </c>
      <c r="CY4" s="106">
        <f>+HLOOKUP($C4,'NEW CAR'!$BS$2:$CE$250,195,0)</f>
        <v>7249.8819999999996</v>
      </c>
      <c r="CZ4" s="106">
        <f>+HLOOKUP($C4,'NEW CAR'!$BS$2:$CE$250,196,0)</f>
        <v>0</v>
      </c>
      <c r="DA4" s="106">
        <f>+HLOOKUP($C4,'NEW CAR'!$BS$2:$CE$250,197,0)</f>
        <v>43776</v>
      </c>
      <c r="DB4" s="106">
        <f>+HLOOKUP($C4,'NEW CAR'!$BS$2:$CE$250,198,0)</f>
        <v>13480</v>
      </c>
      <c r="DC4" s="106">
        <f>+HLOOKUP($C4,'NEW CAR'!$BS$2:$CE$250,199,0)</f>
        <v>2880</v>
      </c>
      <c r="DD4" s="106">
        <f>+HLOOKUP($C4,'NEW CAR'!$BS$2:$CE$250,200,0)</f>
        <v>1700</v>
      </c>
      <c r="DE4" s="106">
        <f>+HLOOKUP($C4,'NEW CAR'!$BS$2:$CE$250,201,0)</f>
        <v>198</v>
      </c>
      <c r="DF4" s="106">
        <f>+HLOOKUP($C4,'NEW CAR'!$BS$2:$CE$250,202,0)</f>
        <v>0</v>
      </c>
      <c r="DG4" s="106">
        <f>+HLOOKUP($C4,'NEW CAR'!$BS$2:$CE$250,203,0)</f>
        <v>0</v>
      </c>
      <c r="DH4" s="106">
        <f>+HLOOKUP($C4,'NEW CAR'!$BS$2:$CE$250,205,0)</f>
        <v>68123.915427272703</v>
      </c>
      <c r="DI4" s="106">
        <f>+HLOOKUP($C4,'NEW CAR'!$BS$2:$CE$250,206,0)</f>
        <v>16170</v>
      </c>
      <c r="DJ4" s="106">
        <f>+HLOOKUP($C4,'NEW CAR'!$BS$2:$CE$250,207,0)</f>
        <v>2067.8950833333338</v>
      </c>
      <c r="DK4" s="106">
        <f>+HLOOKUP($C4,'NEW CAR'!$BS$2:$CE$250,209,0)</f>
        <v>0</v>
      </c>
      <c r="DL4" s="106">
        <f>+HLOOKUP($C4,'NEW CAR'!$BS$2:$CE$250,210,0)</f>
        <v>0</v>
      </c>
      <c r="DM4" s="106">
        <f>+HLOOKUP($C4,'NEW CAR'!$BS$2:$CE$250,211,0)</f>
        <v>100567.85937499994</v>
      </c>
      <c r="DN4" s="106">
        <f>+HLOOKUP($C4,'NEW CAR'!$BS$2:$CE$250,212,0)</f>
        <v>73286.518331250001</v>
      </c>
      <c r="DO4" s="106">
        <f>+HLOOKUP($C4,'NEW CAR'!$BS$2:$CE$250,214,0)</f>
        <v>0</v>
      </c>
      <c r="DP4" s="106">
        <f>+HLOOKUP($C4,'NEW CAR'!$BS$2:$CE$250,215,0)</f>
        <v>2400</v>
      </c>
      <c r="DQ4" s="106">
        <f>+HLOOKUP($C4,'NEW CAR'!$BS$2:$CE$250,219,0)</f>
        <v>0</v>
      </c>
      <c r="DR4" s="106">
        <f>+HLOOKUP($C4,'NEW CAR'!$BS$2:$CE$250,220,0)</f>
        <v>0</v>
      </c>
      <c r="DS4" s="106">
        <f>+HLOOKUP($C4,'NEW CAR'!$BS$2:$CE$250,221,0)</f>
        <v>276000</v>
      </c>
      <c r="DT4" s="106">
        <f>+HLOOKUP($C4,'NEW CAR'!$BS$2:$CE$250,223,0)</f>
        <v>50000</v>
      </c>
      <c r="DU4" s="106">
        <f>+HLOOKUP($C4,'NEW CAR'!$BS$2:$CE$250,224,0)</f>
        <v>0</v>
      </c>
      <c r="DV4" s="106">
        <f>+HLOOKUP($C4,'NEW CAR'!$BS$2:$CE$250,225,0)</f>
        <v>0</v>
      </c>
      <c r="DW4" s="106">
        <f>+HLOOKUP($C4,'NEW CAR'!$BS$2:$CE$250,227,0)</f>
        <v>0</v>
      </c>
      <c r="DX4" s="106">
        <f>+HLOOKUP($C4,'NEW CAR'!$BS$2:$CE$250,228,0)</f>
        <v>0</v>
      </c>
      <c r="DY4" s="106">
        <f>+HLOOKUP($C4,'NEW CAR'!$BS$2:$CE$250,236,0)</f>
        <v>0</v>
      </c>
      <c r="DZ4" s="106">
        <f>+HLOOKUP($C4,'NEW CAR'!$BS$2:$CE$250,237,0)</f>
        <v>127778.53078711193</v>
      </c>
      <c r="EA4" s="106">
        <f>+HLOOKUP($C4,'NEW CAR'!$BS$2:$CE$250,238,0)</f>
        <v>0</v>
      </c>
      <c r="EB4" s="106">
        <f>+HLOOKUP($C4,'NEW CAR'!$BS$2:$CE$250,240,0)</f>
        <v>952163.96462113166</v>
      </c>
    </row>
    <row r="5" spans="1:133">
      <c r="A5" t="s">
        <v>269</v>
      </c>
      <c r="B5" t="s">
        <v>270</v>
      </c>
      <c r="C5" s="117">
        <v>45901</v>
      </c>
      <c r="D5" s="106">
        <f>+HLOOKUP(C5,'NEW CAR'!$BS$2:$CE$250,6,0)/3.5%</f>
        <v>96028153.796653792</v>
      </c>
      <c r="E5" s="106">
        <f>+HLOOKUP(C5,'NEW CAR'!$BS$2:$CE$250,5,0)+HLOOKUP(C5,'NEW CAR'!$BS$2:$CE$250,26,0)+HLOOKUP(C5,'NEW CAR'!$BS$2:$CE$250,59,0)</f>
        <v>6309349.8616473619</v>
      </c>
      <c r="F5" s="106"/>
      <c r="G5" s="106">
        <f>+HLOOKUP($C5,'NEW CAR'!$BS$2:$CE$250,76,0)</f>
        <v>102000</v>
      </c>
      <c r="H5" s="106">
        <f>+HLOOKUP($C5,'NEW CAR'!$BS$2:$CE$250,77,0)</f>
        <v>408000</v>
      </c>
      <c r="I5" s="106">
        <f>+HLOOKUP($C5,'NEW CAR'!$BS$2:$CE$250,78,0)</f>
        <v>0</v>
      </c>
      <c r="J5" s="106">
        <f>+HLOOKUP($C5,'NEW CAR'!$BS$2:$CE$250,79,0)</f>
        <v>170000</v>
      </c>
      <c r="K5" s="106">
        <f>+HLOOKUP($C5,'NEW CAR'!$BS$2:$CE$250,80,0)</f>
        <v>0</v>
      </c>
      <c r="L5" s="106">
        <f>+HLOOKUP($C5,'NEW CAR'!$BS$2:$CE$250,81,0)</f>
        <v>0</v>
      </c>
      <c r="M5" s="106">
        <f>+HLOOKUP($C5,'NEW CAR'!$BS$2:$CE$250,82,0)</f>
        <v>0</v>
      </c>
      <c r="N5" s="106">
        <f>+HLOOKUP($C5,'NEW CAR'!$BS$2:$CE$250,83,0)</f>
        <v>0</v>
      </c>
      <c r="O5" s="106">
        <f>+HLOOKUP($C5,'NEW CAR'!$BS$2:$CE$250,84,0)</f>
        <v>0</v>
      </c>
      <c r="P5" s="106">
        <f>+HLOOKUP($C5,'NEW CAR'!$BS$2:$CE$250,85,0)</f>
        <v>0</v>
      </c>
      <c r="Q5" s="106">
        <f>+HLOOKUP($C5,'NEW CAR'!$BS$2:$CE$250,87,0)</f>
        <v>595000</v>
      </c>
      <c r="R5" s="106">
        <f>+HLOOKUP($C5,'NEW CAR'!$BS$2:$CE$250,90,0)</f>
        <v>10200</v>
      </c>
      <c r="S5" s="106">
        <f>+HLOOKUP($C5,'NEW CAR'!$BS$2:$CE$250,91,0)</f>
        <v>0</v>
      </c>
      <c r="T5" s="106">
        <f>+HLOOKUP($C5,'NEW CAR'!$BS$2:$CE$250,92,0)</f>
        <v>255000</v>
      </c>
      <c r="U5" s="106">
        <f>+HLOOKUP($C5,'NEW CAR'!$BS$2:$CE$250,93,0)</f>
        <v>8500</v>
      </c>
      <c r="V5" s="106">
        <f>+HLOOKUP($C5,'NEW CAR'!$BS$2:$CE$250,94,0)</f>
        <v>0</v>
      </c>
      <c r="W5" s="106">
        <f>+HLOOKUP($C5,'NEW CAR'!$BS$2:$CE$250,95,0)</f>
        <v>30000</v>
      </c>
      <c r="X5" s="106">
        <f>+HLOOKUP($C5,'NEW CAR'!$BS$2:$CE$250,96,0)</f>
        <v>45000</v>
      </c>
      <c r="Y5" s="106">
        <f>+HLOOKUP($C5,'NEW CAR'!$BS$2:$CE$250,97,0)</f>
        <v>85000</v>
      </c>
      <c r="Z5" s="106">
        <f>+HLOOKUP($C5,'NEW CAR'!$BS$2:$CE$250,98,0)</f>
        <v>0</v>
      </c>
      <c r="AA5" s="106">
        <f>+HLOOKUP($C5,'NEW CAR'!$BS$2:$CE$250,99,0)</f>
        <v>0</v>
      </c>
      <c r="AB5" s="106">
        <f>+HLOOKUP($C5,'NEW CAR'!$BS$2:$CE$250,100,0)</f>
        <v>34000</v>
      </c>
      <c r="AC5" s="106">
        <f>+HLOOKUP($C5,'NEW CAR'!$BS$2:$CE$250,101,0)</f>
        <v>10200</v>
      </c>
      <c r="AD5" s="106">
        <f>+HLOOKUP($C5,'NEW CAR'!$BS$2:$CE$250,104,0)</f>
        <v>17000</v>
      </c>
      <c r="AE5" s="106">
        <f>+HLOOKUP($C5,'NEW CAR'!$BS$2:$CE$250,105,0)</f>
        <v>141525</v>
      </c>
      <c r="AF5" s="106">
        <f>+HLOOKUP($C5,'NEW CAR'!$BS$2:$CE$250,106,0)</f>
        <v>56610</v>
      </c>
      <c r="AG5" s="106">
        <f>+HLOOKUP($C5,'NEW CAR'!$BS$2:$CE$250,107,0)</f>
        <v>198135</v>
      </c>
      <c r="AH5" s="106">
        <f>+HLOOKUP($C5,'NEW CAR'!$BS$2:$CE$250,108,0)</f>
        <v>0</v>
      </c>
      <c r="AI5" s="106">
        <f>+HLOOKUP($C5,'NEW CAR'!$BS$2:$CE$250,109,0)</f>
        <v>169830</v>
      </c>
      <c r="AJ5" s="106">
        <f>+HLOOKUP($C5,'NEW CAR'!$BS$2:$CE$250,110,0)</f>
        <v>0</v>
      </c>
      <c r="AK5" s="106">
        <f>+HLOOKUP($C5,'NEW CAR'!$BS$2:$CE$250,111,0)</f>
        <v>0</v>
      </c>
      <c r="AL5" s="106">
        <f>+HLOOKUP($C5,'NEW CAR'!$BS$2:$CE$250,112,0)</f>
        <v>0</v>
      </c>
      <c r="AM5" s="106">
        <f>+HLOOKUP($C5,'NEW CAR'!$BS$2:$CE$250,116,0)</f>
        <v>1124400</v>
      </c>
      <c r="AN5" s="106">
        <f>+HLOOKUP($C5,'NEW CAR'!$BS$2:$CE$250,117,0)</f>
        <v>141925</v>
      </c>
      <c r="AO5" s="106">
        <f>+HLOOKUP($C5,'NEW CAR'!$BS$2:$CE$250,118,0)</f>
        <v>31500</v>
      </c>
      <c r="AP5" s="106">
        <f>+HLOOKUP($C5,'NEW CAR'!$BS$2:$CE$250,119,0)</f>
        <v>382600</v>
      </c>
      <c r="AQ5" s="106">
        <f>+HLOOKUP($C5,'NEW CAR'!$BS$2:$CE$250,120,0)</f>
        <v>81550</v>
      </c>
      <c r="AR5" s="106">
        <f>+HLOOKUP($C5,'NEW CAR'!$BS$2:$CE$250,121,0)</f>
        <v>47550</v>
      </c>
      <c r="AS5" s="106">
        <f>+HLOOKUP($C5,'NEW CAR'!$BS$2:$CE$250,122,0)</f>
        <v>600825</v>
      </c>
      <c r="AT5" s="106">
        <f>+HLOOKUP($C5,'NEW CAR'!$BS$2:$CE$250,123,0)</f>
        <v>107556.71915625001</v>
      </c>
      <c r="AU5" s="106">
        <f>+HLOOKUP($C5,'NEW CAR'!$BS$2:$CE$250,124,0)</f>
        <v>4821.25</v>
      </c>
      <c r="AV5" s="106">
        <f>+HLOOKUP($C5,'NEW CAR'!$BS$2:$CE$250,125,0)</f>
        <v>104600</v>
      </c>
      <c r="AW5" s="106">
        <f>+HLOOKUP($C5,'NEW CAR'!$BS$2:$CE$250,126,0)</f>
        <v>54057.692307692305</v>
      </c>
      <c r="AX5" s="106">
        <f>+HLOOKUP($C5,'NEW CAR'!$BS$2:$CE$250,127,0)</f>
        <v>60583.333333333343</v>
      </c>
      <c r="AY5" s="106">
        <f>+HLOOKUP($C5,'NEW CAR'!$BS$2:$CE$250,129,0)</f>
        <v>0</v>
      </c>
      <c r="AZ5" s="106">
        <f>+HLOOKUP($C5,'NEW CAR'!$BS$2:$CE$250,130,0)</f>
        <v>0</v>
      </c>
      <c r="BA5" s="106">
        <f>+HLOOKUP($C5,'NEW CAR'!$BS$2:$CE$250,131,0)</f>
        <v>144600</v>
      </c>
      <c r="BB5" s="106">
        <f>+HLOOKUP($C5,'NEW CAR'!$BS$2:$CE$250,133,0)</f>
        <v>0</v>
      </c>
      <c r="BC5" s="106">
        <f>+HLOOKUP($C5,'NEW CAR'!$BS$2:$CE$250,134,0)</f>
        <v>162236.5138333333</v>
      </c>
      <c r="BD5" s="106">
        <f>+HLOOKUP($C5,'NEW CAR'!$BS$2:$CE$250,135,0)</f>
        <v>0</v>
      </c>
      <c r="BE5" s="106">
        <f>+HLOOKUP($C5,'NEW CAR'!$BS$2:$CE$250,136,0)</f>
        <v>0</v>
      </c>
      <c r="BF5" s="106">
        <f>+HLOOKUP($C5,'NEW CAR'!$BS$2:$CE$250,138,0)</f>
        <v>25500</v>
      </c>
      <c r="BG5" s="106">
        <f>+HLOOKUP($C5,'NEW CAR'!$BS$2:$CE$250,139,0)</f>
        <v>20582.941666666666</v>
      </c>
      <c r="BH5" s="106">
        <f>+HLOOKUP($C5,'NEW CAR'!$BS$2:$CE$250,140,0)</f>
        <v>0</v>
      </c>
      <c r="BI5" s="106">
        <f>+HLOOKUP($C5,'NEW CAR'!$BS$2:$CE$250,141,0)</f>
        <v>0</v>
      </c>
      <c r="BJ5" s="106">
        <f>+HLOOKUP($C5,'NEW CAR'!$BS$2:$CE$250,142,0)</f>
        <v>0</v>
      </c>
      <c r="BK5" s="106">
        <f>+HLOOKUP($C5,'NEW CAR'!$BS$2:$CE$250,143,0)</f>
        <v>36529.25</v>
      </c>
      <c r="BL5" s="106">
        <f>+HLOOKUP($C5,'NEW CAR'!$BS$2:$CE$250,144,0)</f>
        <v>21531.25</v>
      </c>
      <c r="BM5" s="106">
        <f>+HLOOKUP($C5,'NEW CAR'!$BS$2:$CE$250,146,0)</f>
        <v>0</v>
      </c>
      <c r="BN5" s="106">
        <f>+HLOOKUP($C5,'NEW CAR'!$BS$2:$CE$250,147,0)</f>
        <v>75878</v>
      </c>
      <c r="BO5" s="106">
        <f>+HLOOKUP($C5,'NEW CAR'!$BS$2:$CE$250,148,0)</f>
        <v>0</v>
      </c>
      <c r="BP5" s="106">
        <f>+HLOOKUP($C5,'NEW CAR'!$BS$2:$CE$250,150,0)</f>
        <v>67863.862500000003</v>
      </c>
      <c r="BQ5" s="106">
        <f>+HLOOKUP($C5,'NEW CAR'!$BS$2:$CE$250,151,0)</f>
        <v>4961</v>
      </c>
      <c r="BR5" s="106">
        <f>+HLOOKUP($C5,'NEW CAR'!$BS$2:$CE$250,152,0)</f>
        <v>47000</v>
      </c>
      <c r="BS5" s="106">
        <f>+HLOOKUP($C5,'NEW CAR'!$BS$2:$CE$250,153,0)</f>
        <v>6000</v>
      </c>
      <c r="BT5" s="106">
        <f>+HLOOKUP($C5,'NEW CAR'!$BS$2:$CE$250,157,0)</f>
        <v>64260</v>
      </c>
      <c r="BU5" s="106">
        <f>+HLOOKUP($C5,'NEW CAR'!$BS$2:$CE$250,158,0)</f>
        <v>5800</v>
      </c>
      <c r="BV5" s="106">
        <f>+HLOOKUP($C5,'NEW CAR'!$BS$2:$CE$250,159,0)</f>
        <v>999.72222222222217</v>
      </c>
      <c r="BW5" s="106">
        <f>+HLOOKUP($C5,'NEW CAR'!$BS$2:$CE$250,160,0)</f>
        <v>300</v>
      </c>
      <c r="BX5" s="106">
        <f>+HLOOKUP($C5,'NEW CAR'!$BS$2:$CE$250,161,0)</f>
        <v>17824.909583333334</v>
      </c>
      <c r="BY5" s="106">
        <f>+HLOOKUP($C5,'NEW CAR'!$BS$2:$CE$250,164,0)</f>
        <v>16000</v>
      </c>
      <c r="BZ5" s="106">
        <f>+HLOOKUP($C5,'NEW CAR'!$BS$2:$CE$250,165,0)</f>
        <v>0</v>
      </c>
      <c r="CA5" s="106">
        <f>+HLOOKUP($C5,'NEW CAR'!$BS$2:$CE$250,166,0)</f>
        <v>0</v>
      </c>
      <c r="CB5" s="106">
        <f>+HLOOKUP($C5,'NEW CAR'!$BS$2:$CE$250,167,0)</f>
        <v>0</v>
      </c>
      <c r="CC5" s="106">
        <f>+HLOOKUP($C5,'NEW CAR'!$BS$2:$CE$250,168,0)</f>
        <v>0</v>
      </c>
      <c r="CD5" s="106">
        <f>+HLOOKUP($C5,'NEW CAR'!$BS$2:$CE$250,169,0)</f>
        <v>1666.6666666666667</v>
      </c>
      <c r="CE5" s="106">
        <f>+HLOOKUP($C5,'NEW CAR'!$BS$2:$CE$250,170,0)</f>
        <v>0</v>
      </c>
      <c r="CF5" s="106">
        <f>+HLOOKUP($C5,'NEW CAR'!$BS$2:$CE$250,172,0)</f>
        <v>20150</v>
      </c>
      <c r="CG5" s="106">
        <f>+HLOOKUP($C5,'NEW CAR'!$BS$2:$CE$250,173,0)</f>
        <v>0</v>
      </c>
      <c r="CH5" s="106">
        <f>+HLOOKUP($C5,'NEW CAR'!$BS$2:$CE$250,174,0)</f>
        <v>0</v>
      </c>
      <c r="CI5" s="106">
        <f>+HLOOKUP($C5,'NEW CAR'!$BS$2:$CE$250,175,0)</f>
        <v>0</v>
      </c>
      <c r="CJ5" s="106">
        <f>+HLOOKUP($C5,'NEW CAR'!$BS$2:$CE$250,176,0)</f>
        <v>15800</v>
      </c>
      <c r="CK5" s="106">
        <f>+HLOOKUP($C5,'NEW CAR'!$BS$2:$CE$250,178,0)</f>
        <v>150000</v>
      </c>
      <c r="CL5" s="106">
        <f>+HLOOKUP($C5,'NEW CAR'!$BS$2:$CE$250,179,0)</f>
        <v>10000</v>
      </c>
      <c r="CM5" s="106">
        <f>+HLOOKUP($C5,'NEW CAR'!$BS$2:$CE$250,180,0)</f>
        <v>0</v>
      </c>
      <c r="CN5" s="106">
        <f>+HLOOKUP($C5,'NEW CAR'!$BS$2:$CE$250,182,0)</f>
        <v>1638</v>
      </c>
      <c r="CO5" s="106">
        <f>+HLOOKUP($C5,'NEW CAR'!$BS$2:$CE$250,183,0)</f>
        <v>19981</v>
      </c>
      <c r="CP5" s="106">
        <f>+HLOOKUP($C5,'NEW CAR'!$BS$2:$CE$250,184,0)</f>
        <v>14400</v>
      </c>
      <c r="CQ5" s="106">
        <f>+HLOOKUP($C5,'NEW CAR'!$BS$2:$CE$250,185,0)</f>
        <v>0</v>
      </c>
      <c r="CR5" s="106">
        <f>+HLOOKUP($C5,'NEW CAR'!$BS$2:$CE$250,187,0)</f>
        <v>8332.8000000000011</v>
      </c>
      <c r="CS5" s="106">
        <f>+HLOOKUP($C5,'NEW CAR'!$BS$2:$CE$250,188,0)</f>
        <v>10600</v>
      </c>
      <c r="CT5" s="106">
        <f>+HLOOKUP($C5,'NEW CAR'!$BS$2:$CE$250,189,0)</f>
        <v>6666.8</v>
      </c>
      <c r="CU5" s="106">
        <f>+HLOOKUP($C5,'NEW CAR'!$BS$2:$CE$250,190,0)</f>
        <v>6755.6</v>
      </c>
      <c r="CV5" s="106">
        <f>+HLOOKUP($C5,'NEW CAR'!$BS$2:$CE$250,191,0)</f>
        <v>0</v>
      </c>
      <c r="CW5" s="106">
        <f>+HLOOKUP($C5,'NEW CAR'!$BS$2:$CE$250,193,0)</f>
        <v>11831</v>
      </c>
      <c r="CX5" s="106">
        <f>+HLOOKUP($C5,'NEW CAR'!$BS$2:$CE$250,194,0)</f>
        <v>106</v>
      </c>
      <c r="CY5" s="106">
        <f>+HLOOKUP($C5,'NEW CAR'!$BS$2:$CE$250,195,0)</f>
        <v>7249.8819999999996</v>
      </c>
      <c r="CZ5" s="106">
        <f>+HLOOKUP($C5,'NEW CAR'!$BS$2:$CE$250,196,0)</f>
        <v>0</v>
      </c>
      <c r="DA5" s="106">
        <f>+HLOOKUP($C5,'NEW CAR'!$BS$2:$CE$250,197,0)</f>
        <v>43776</v>
      </c>
      <c r="DB5" s="106">
        <f>+HLOOKUP($C5,'NEW CAR'!$BS$2:$CE$250,198,0)</f>
        <v>13480</v>
      </c>
      <c r="DC5" s="106">
        <f>+HLOOKUP($C5,'NEW CAR'!$BS$2:$CE$250,199,0)</f>
        <v>2880</v>
      </c>
      <c r="DD5" s="106">
        <f>+HLOOKUP($C5,'NEW CAR'!$BS$2:$CE$250,200,0)</f>
        <v>1700</v>
      </c>
      <c r="DE5" s="106">
        <f>+HLOOKUP($C5,'NEW CAR'!$BS$2:$CE$250,201,0)</f>
        <v>198</v>
      </c>
      <c r="DF5" s="106">
        <f>+HLOOKUP($C5,'NEW CAR'!$BS$2:$CE$250,202,0)</f>
        <v>0</v>
      </c>
      <c r="DG5" s="106">
        <f>+HLOOKUP($C5,'NEW CAR'!$BS$2:$CE$250,203,0)</f>
        <v>0</v>
      </c>
      <c r="DH5" s="106">
        <f>+HLOOKUP($C5,'NEW CAR'!$BS$2:$CE$250,205,0)</f>
        <v>68123.915427272703</v>
      </c>
      <c r="DI5" s="106">
        <f>+HLOOKUP($C5,'NEW CAR'!$BS$2:$CE$250,206,0)</f>
        <v>16170</v>
      </c>
      <c r="DJ5" s="106">
        <f>+HLOOKUP($C5,'NEW CAR'!$BS$2:$CE$250,207,0)</f>
        <v>2166.19</v>
      </c>
      <c r="DK5" s="106">
        <f>+HLOOKUP($C5,'NEW CAR'!$BS$2:$CE$250,209,0)</f>
        <v>0</v>
      </c>
      <c r="DL5" s="106">
        <f>+HLOOKUP($C5,'NEW CAR'!$BS$2:$CE$250,210,0)</f>
        <v>0</v>
      </c>
      <c r="DM5" s="106">
        <f>+HLOOKUP($C5,'NEW CAR'!$BS$2:$CE$250,211,0)</f>
        <v>87450.312499999956</v>
      </c>
      <c r="DN5" s="106">
        <f>+HLOOKUP($C5,'NEW CAR'!$BS$2:$CE$250,212,0)</f>
        <v>73286.518331250001</v>
      </c>
      <c r="DO5" s="106">
        <f>+HLOOKUP($C5,'NEW CAR'!$BS$2:$CE$250,214,0)</f>
        <v>0</v>
      </c>
      <c r="DP5" s="106">
        <f>+HLOOKUP($C5,'NEW CAR'!$BS$2:$CE$250,215,0)</f>
        <v>2400</v>
      </c>
      <c r="DQ5" s="106">
        <f>+HLOOKUP($C5,'NEW CAR'!$BS$2:$CE$250,219,0)</f>
        <v>0</v>
      </c>
      <c r="DR5" s="106">
        <f>+HLOOKUP($C5,'NEW CAR'!$BS$2:$CE$250,220,0)</f>
        <v>0</v>
      </c>
      <c r="DS5" s="106">
        <f>+HLOOKUP($C5,'NEW CAR'!$BS$2:$CE$250,221,0)</f>
        <v>276000</v>
      </c>
      <c r="DT5" s="106">
        <f>+HLOOKUP($C5,'NEW CAR'!$BS$2:$CE$250,223,0)</f>
        <v>50000</v>
      </c>
      <c r="DU5" s="106">
        <f>+HLOOKUP($C5,'NEW CAR'!$BS$2:$CE$250,224,0)</f>
        <v>0</v>
      </c>
      <c r="DV5" s="106">
        <f>+HLOOKUP($C5,'NEW CAR'!$BS$2:$CE$250,225,0)</f>
        <v>0</v>
      </c>
      <c r="DW5" s="106">
        <f>+HLOOKUP($C5,'NEW CAR'!$BS$2:$CE$250,227,0)</f>
        <v>0</v>
      </c>
      <c r="DX5" s="106">
        <f>+HLOOKUP($C5,'NEW CAR'!$BS$2:$CE$250,228,0)</f>
        <v>0</v>
      </c>
      <c r="DY5" s="106">
        <f>+HLOOKUP($C5,'NEW CAR'!$BS$2:$CE$250,236,0)</f>
        <v>0</v>
      </c>
      <c r="DZ5" s="106">
        <f>+HLOOKUP($C5,'NEW CAR'!$BS$2:$CE$250,237,0)</f>
        <v>125374.09602525987</v>
      </c>
      <c r="EA5" s="106">
        <f>+HLOOKUP($C5,'NEW CAR'!$BS$2:$CE$250,238,0)</f>
        <v>0</v>
      </c>
      <c r="EB5" s="106">
        <f>+HLOOKUP($C5,'NEW CAR'!$BS$2:$CE$250,240,0)</f>
        <v>952163.96462113166</v>
      </c>
    </row>
    <row r="6" spans="1:133">
      <c r="A6" t="s">
        <v>269</v>
      </c>
      <c r="B6" t="s">
        <v>270</v>
      </c>
      <c r="C6" s="117">
        <v>45870</v>
      </c>
      <c r="D6" s="106">
        <f>+HLOOKUP(C6,'NEW CAR'!$BS$2:$CE$250,6,0)/3.5%</f>
        <v>105764411.33004925</v>
      </c>
      <c r="E6" s="106">
        <f>+HLOOKUP(C6,'NEW CAR'!$BS$2:$CE$250,5,0)+HLOOKUP(C6,'NEW CAR'!$BS$2:$CE$250,26,0)+HLOOKUP(C6,'NEW CAR'!$BS$2:$CE$250,59,0)</f>
        <v>7043185.1847290648</v>
      </c>
      <c r="F6" s="106"/>
      <c r="G6" s="106">
        <f>+HLOOKUP($C6,'NEW CAR'!$BS$2:$CE$250,76,0)</f>
        <v>120000</v>
      </c>
      <c r="H6" s="106">
        <f>+HLOOKUP($C6,'NEW CAR'!$BS$2:$CE$250,77,0)</f>
        <v>480000</v>
      </c>
      <c r="I6" s="106">
        <f>+HLOOKUP($C6,'NEW CAR'!$BS$2:$CE$250,78,0)</f>
        <v>0</v>
      </c>
      <c r="J6" s="106">
        <f>+HLOOKUP($C6,'NEW CAR'!$BS$2:$CE$250,79,0)</f>
        <v>200000</v>
      </c>
      <c r="K6" s="106">
        <f>+HLOOKUP($C6,'NEW CAR'!$BS$2:$CE$250,80,0)</f>
        <v>0</v>
      </c>
      <c r="L6" s="106">
        <f>+HLOOKUP($C6,'NEW CAR'!$BS$2:$CE$250,81,0)</f>
        <v>0</v>
      </c>
      <c r="M6" s="106">
        <f>+HLOOKUP($C6,'NEW CAR'!$BS$2:$CE$250,82,0)</f>
        <v>0</v>
      </c>
      <c r="N6" s="106">
        <f>+HLOOKUP($C6,'NEW CAR'!$BS$2:$CE$250,83,0)</f>
        <v>0</v>
      </c>
      <c r="O6" s="106">
        <f>+HLOOKUP($C6,'NEW CAR'!$BS$2:$CE$250,84,0)</f>
        <v>0</v>
      </c>
      <c r="P6" s="106">
        <f>+HLOOKUP($C6,'NEW CAR'!$BS$2:$CE$250,85,0)</f>
        <v>0</v>
      </c>
      <c r="Q6" s="106">
        <f>+HLOOKUP($C6,'NEW CAR'!$BS$2:$CE$250,87,0)</f>
        <v>700000</v>
      </c>
      <c r="R6" s="106">
        <f>+HLOOKUP($C6,'NEW CAR'!$BS$2:$CE$250,90,0)</f>
        <v>12000</v>
      </c>
      <c r="S6" s="106">
        <f>+HLOOKUP($C6,'NEW CAR'!$BS$2:$CE$250,91,0)</f>
        <v>0</v>
      </c>
      <c r="T6" s="106">
        <f>+HLOOKUP($C6,'NEW CAR'!$BS$2:$CE$250,92,0)</f>
        <v>300000</v>
      </c>
      <c r="U6" s="106">
        <f>+HLOOKUP($C6,'NEW CAR'!$BS$2:$CE$250,93,0)</f>
        <v>10000</v>
      </c>
      <c r="V6" s="106">
        <f>+HLOOKUP($C6,'NEW CAR'!$BS$2:$CE$250,94,0)</f>
        <v>0</v>
      </c>
      <c r="W6" s="106">
        <f>+HLOOKUP($C6,'NEW CAR'!$BS$2:$CE$250,95,0)</f>
        <v>30000</v>
      </c>
      <c r="X6" s="106">
        <f>+HLOOKUP($C6,'NEW CAR'!$BS$2:$CE$250,96,0)</f>
        <v>45000</v>
      </c>
      <c r="Y6" s="106">
        <f>+HLOOKUP($C6,'NEW CAR'!$BS$2:$CE$250,97,0)</f>
        <v>100000</v>
      </c>
      <c r="Z6" s="106">
        <f>+HLOOKUP($C6,'NEW CAR'!$BS$2:$CE$250,98,0)</f>
        <v>0</v>
      </c>
      <c r="AA6" s="106">
        <f>+HLOOKUP($C6,'NEW CAR'!$BS$2:$CE$250,99,0)</f>
        <v>0</v>
      </c>
      <c r="AB6" s="106">
        <f>+HLOOKUP($C6,'NEW CAR'!$BS$2:$CE$250,100,0)</f>
        <v>40000</v>
      </c>
      <c r="AC6" s="106">
        <f>+HLOOKUP($C6,'NEW CAR'!$BS$2:$CE$250,101,0)</f>
        <v>12000</v>
      </c>
      <c r="AD6" s="106">
        <f>+HLOOKUP($C6,'NEW CAR'!$BS$2:$CE$250,104,0)</f>
        <v>20000</v>
      </c>
      <c r="AE6" s="106">
        <f>+HLOOKUP($C6,'NEW CAR'!$BS$2:$CE$250,105,0)</f>
        <v>166500</v>
      </c>
      <c r="AF6" s="106">
        <f>+HLOOKUP($C6,'NEW CAR'!$BS$2:$CE$250,106,0)</f>
        <v>66600</v>
      </c>
      <c r="AG6" s="106">
        <f>+HLOOKUP($C6,'NEW CAR'!$BS$2:$CE$250,107,0)</f>
        <v>233099.99999999997</v>
      </c>
      <c r="AH6" s="106">
        <f>+HLOOKUP($C6,'NEW CAR'!$BS$2:$CE$250,108,0)</f>
        <v>0</v>
      </c>
      <c r="AI6" s="106">
        <f>+HLOOKUP($C6,'NEW CAR'!$BS$2:$CE$250,109,0)</f>
        <v>199800</v>
      </c>
      <c r="AJ6" s="106">
        <f>+HLOOKUP($C6,'NEW CAR'!$BS$2:$CE$250,110,0)</f>
        <v>0</v>
      </c>
      <c r="AK6" s="106">
        <f>+HLOOKUP($C6,'NEW CAR'!$BS$2:$CE$250,111,0)</f>
        <v>0</v>
      </c>
      <c r="AL6" s="106">
        <f>+HLOOKUP($C6,'NEW CAR'!$BS$2:$CE$250,112,0)</f>
        <v>0</v>
      </c>
      <c r="AM6" s="106">
        <f>+HLOOKUP($C6,'NEW CAR'!$BS$2:$CE$250,116,0)</f>
        <v>1124400</v>
      </c>
      <c r="AN6" s="106">
        <f>+HLOOKUP($C6,'NEW CAR'!$BS$2:$CE$250,117,0)</f>
        <v>141925</v>
      </c>
      <c r="AO6" s="106">
        <f>+HLOOKUP($C6,'NEW CAR'!$BS$2:$CE$250,118,0)</f>
        <v>31500</v>
      </c>
      <c r="AP6" s="106">
        <f>+HLOOKUP($C6,'NEW CAR'!$BS$2:$CE$250,119,0)</f>
        <v>382600</v>
      </c>
      <c r="AQ6" s="106">
        <f>+HLOOKUP($C6,'NEW CAR'!$BS$2:$CE$250,120,0)</f>
        <v>81550</v>
      </c>
      <c r="AR6" s="106">
        <f>+HLOOKUP($C6,'NEW CAR'!$BS$2:$CE$250,121,0)</f>
        <v>47550</v>
      </c>
      <c r="AS6" s="106">
        <f>+HLOOKUP($C6,'NEW CAR'!$BS$2:$CE$250,122,0)</f>
        <v>600825</v>
      </c>
      <c r="AT6" s="106">
        <f>+HLOOKUP($C6,'NEW CAR'!$BS$2:$CE$250,123,0)</f>
        <v>107556.71915625001</v>
      </c>
      <c r="AU6" s="106">
        <f>+HLOOKUP($C6,'NEW CAR'!$BS$2:$CE$250,124,0)</f>
        <v>4821.25</v>
      </c>
      <c r="AV6" s="106">
        <f>+HLOOKUP($C6,'NEW CAR'!$BS$2:$CE$250,125,0)</f>
        <v>104600</v>
      </c>
      <c r="AW6" s="106">
        <f>+HLOOKUP($C6,'NEW CAR'!$BS$2:$CE$250,126,0)</f>
        <v>54057.692307692305</v>
      </c>
      <c r="AX6" s="106">
        <f>+HLOOKUP($C6,'NEW CAR'!$BS$2:$CE$250,127,0)</f>
        <v>60583.333333333343</v>
      </c>
      <c r="AY6" s="106">
        <f>+HLOOKUP($C6,'NEW CAR'!$BS$2:$CE$250,129,0)</f>
        <v>0</v>
      </c>
      <c r="AZ6" s="106">
        <f>+HLOOKUP($C6,'NEW CAR'!$BS$2:$CE$250,130,0)</f>
        <v>0</v>
      </c>
      <c r="BA6" s="106">
        <f>+HLOOKUP($C6,'NEW CAR'!$BS$2:$CE$250,131,0)</f>
        <v>144600</v>
      </c>
      <c r="BB6" s="106">
        <f>+HLOOKUP($C6,'NEW CAR'!$BS$2:$CE$250,133,0)</f>
        <v>0</v>
      </c>
      <c r="BC6" s="106">
        <f>+HLOOKUP($C6,'NEW CAR'!$BS$2:$CE$250,134,0)</f>
        <v>162236.5138333333</v>
      </c>
      <c r="BD6" s="106">
        <f>+HLOOKUP($C6,'NEW CAR'!$BS$2:$CE$250,135,0)</f>
        <v>0</v>
      </c>
      <c r="BE6" s="106">
        <f>+HLOOKUP($C6,'NEW CAR'!$BS$2:$CE$250,136,0)</f>
        <v>0</v>
      </c>
      <c r="BF6" s="106">
        <f>+HLOOKUP($C6,'NEW CAR'!$BS$2:$CE$250,138,0)</f>
        <v>25500</v>
      </c>
      <c r="BG6" s="106">
        <f>+HLOOKUP($C6,'NEW CAR'!$BS$2:$CE$250,139,0)</f>
        <v>20582.941666666666</v>
      </c>
      <c r="BH6" s="106">
        <f>+HLOOKUP($C6,'NEW CAR'!$BS$2:$CE$250,140,0)</f>
        <v>0</v>
      </c>
      <c r="BI6" s="106">
        <f>+HLOOKUP($C6,'NEW CAR'!$BS$2:$CE$250,141,0)</f>
        <v>0</v>
      </c>
      <c r="BJ6" s="106">
        <f>+HLOOKUP($C6,'NEW CAR'!$BS$2:$CE$250,142,0)</f>
        <v>0</v>
      </c>
      <c r="BK6" s="106">
        <f>+HLOOKUP($C6,'NEW CAR'!$BS$2:$CE$250,143,0)</f>
        <v>36529.25</v>
      </c>
      <c r="BL6" s="106">
        <f>+HLOOKUP($C6,'NEW CAR'!$BS$2:$CE$250,144,0)</f>
        <v>5281.25</v>
      </c>
      <c r="BM6" s="106">
        <f>+HLOOKUP($C6,'NEW CAR'!$BS$2:$CE$250,146,0)</f>
        <v>0</v>
      </c>
      <c r="BN6" s="106">
        <f>+HLOOKUP($C6,'NEW CAR'!$BS$2:$CE$250,147,0)</f>
        <v>75878</v>
      </c>
      <c r="BO6" s="106">
        <f>+HLOOKUP($C6,'NEW CAR'!$BS$2:$CE$250,148,0)</f>
        <v>0</v>
      </c>
      <c r="BP6" s="106">
        <f>+HLOOKUP($C6,'NEW CAR'!$BS$2:$CE$250,150,0)</f>
        <v>67863.862500000003</v>
      </c>
      <c r="BQ6" s="106">
        <f>+HLOOKUP($C6,'NEW CAR'!$BS$2:$CE$250,151,0)</f>
        <v>4961</v>
      </c>
      <c r="BR6" s="106">
        <f>+HLOOKUP($C6,'NEW CAR'!$BS$2:$CE$250,152,0)</f>
        <v>47000</v>
      </c>
      <c r="BS6" s="106">
        <f>+HLOOKUP($C6,'NEW CAR'!$BS$2:$CE$250,153,0)</f>
        <v>6000</v>
      </c>
      <c r="BT6" s="106">
        <f>+HLOOKUP($C6,'NEW CAR'!$BS$2:$CE$250,157,0)</f>
        <v>64260</v>
      </c>
      <c r="BU6" s="106">
        <f>+HLOOKUP($C6,'NEW CAR'!$BS$2:$CE$250,158,0)</f>
        <v>5800</v>
      </c>
      <c r="BV6" s="106">
        <f>+HLOOKUP($C6,'NEW CAR'!$BS$2:$CE$250,159,0)</f>
        <v>999.72222222222217</v>
      </c>
      <c r="BW6" s="106">
        <f>+HLOOKUP($C6,'NEW CAR'!$BS$2:$CE$250,160,0)</f>
        <v>300</v>
      </c>
      <c r="BX6" s="106">
        <f>+HLOOKUP($C6,'NEW CAR'!$BS$2:$CE$250,161,0)</f>
        <v>17824.909583333334</v>
      </c>
      <c r="BY6" s="106">
        <f>+HLOOKUP($C6,'NEW CAR'!$BS$2:$CE$250,164,0)</f>
        <v>16000</v>
      </c>
      <c r="BZ6" s="106">
        <f>+HLOOKUP($C6,'NEW CAR'!$BS$2:$CE$250,165,0)</f>
        <v>0</v>
      </c>
      <c r="CA6" s="106">
        <f>+HLOOKUP($C6,'NEW CAR'!$BS$2:$CE$250,166,0)</f>
        <v>0</v>
      </c>
      <c r="CB6" s="106">
        <f>+HLOOKUP($C6,'NEW CAR'!$BS$2:$CE$250,167,0)</f>
        <v>0</v>
      </c>
      <c r="CC6" s="106">
        <f>+HLOOKUP($C6,'NEW CAR'!$BS$2:$CE$250,168,0)</f>
        <v>0</v>
      </c>
      <c r="CD6" s="106">
        <f>+HLOOKUP($C6,'NEW CAR'!$BS$2:$CE$250,169,0)</f>
        <v>1666.6666666666667</v>
      </c>
      <c r="CE6" s="106">
        <f>+HLOOKUP($C6,'NEW CAR'!$BS$2:$CE$250,170,0)</f>
        <v>0</v>
      </c>
      <c r="CF6" s="106">
        <f>+HLOOKUP($C6,'NEW CAR'!$BS$2:$CE$250,172,0)</f>
        <v>20150</v>
      </c>
      <c r="CG6" s="106">
        <f>+HLOOKUP($C6,'NEW CAR'!$BS$2:$CE$250,173,0)</f>
        <v>0</v>
      </c>
      <c r="CH6" s="106">
        <f>+HLOOKUP($C6,'NEW CAR'!$BS$2:$CE$250,174,0)</f>
        <v>0</v>
      </c>
      <c r="CI6" s="106">
        <f>+HLOOKUP($C6,'NEW CAR'!$BS$2:$CE$250,175,0)</f>
        <v>0</v>
      </c>
      <c r="CJ6" s="106">
        <f>+HLOOKUP($C6,'NEW CAR'!$BS$2:$CE$250,176,0)</f>
        <v>15800</v>
      </c>
      <c r="CK6" s="106">
        <f>+HLOOKUP($C6,'NEW CAR'!$BS$2:$CE$250,178,0)</f>
        <v>150000</v>
      </c>
      <c r="CL6" s="106">
        <f>+HLOOKUP($C6,'NEW CAR'!$BS$2:$CE$250,179,0)</f>
        <v>10000</v>
      </c>
      <c r="CM6" s="106">
        <f>+HLOOKUP($C6,'NEW CAR'!$BS$2:$CE$250,180,0)</f>
        <v>0</v>
      </c>
      <c r="CN6" s="106">
        <f>+HLOOKUP($C6,'NEW CAR'!$BS$2:$CE$250,182,0)</f>
        <v>1638</v>
      </c>
      <c r="CO6" s="106">
        <f>+HLOOKUP($C6,'NEW CAR'!$BS$2:$CE$250,183,0)</f>
        <v>19981</v>
      </c>
      <c r="CP6" s="106">
        <f>+HLOOKUP($C6,'NEW CAR'!$BS$2:$CE$250,184,0)</f>
        <v>14400</v>
      </c>
      <c r="CQ6" s="106">
        <f>+HLOOKUP($C6,'NEW CAR'!$BS$2:$CE$250,185,0)</f>
        <v>0</v>
      </c>
      <c r="CR6" s="106">
        <f>+HLOOKUP($C6,'NEW CAR'!$BS$2:$CE$250,187,0)</f>
        <v>8332.8000000000011</v>
      </c>
      <c r="CS6" s="106">
        <f>+HLOOKUP($C6,'NEW CAR'!$BS$2:$CE$250,188,0)</f>
        <v>10600</v>
      </c>
      <c r="CT6" s="106">
        <f>+HLOOKUP($C6,'NEW CAR'!$BS$2:$CE$250,189,0)</f>
        <v>6666.8</v>
      </c>
      <c r="CU6" s="106">
        <f>+HLOOKUP($C6,'NEW CAR'!$BS$2:$CE$250,190,0)</f>
        <v>6755.6</v>
      </c>
      <c r="CV6" s="106">
        <f>+HLOOKUP($C6,'NEW CAR'!$BS$2:$CE$250,191,0)</f>
        <v>0</v>
      </c>
      <c r="CW6" s="106">
        <f>+HLOOKUP($C6,'NEW CAR'!$BS$2:$CE$250,193,0)</f>
        <v>11831</v>
      </c>
      <c r="CX6" s="106">
        <f>+HLOOKUP($C6,'NEW CAR'!$BS$2:$CE$250,194,0)</f>
        <v>106</v>
      </c>
      <c r="CY6" s="106">
        <f>+HLOOKUP($C6,'NEW CAR'!$BS$2:$CE$250,195,0)</f>
        <v>7249.8819999999996</v>
      </c>
      <c r="CZ6" s="106">
        <f>+HLOOKUP($C6,'NEW CAR'!$BS$2:$CE$250,196,0)</f>
        <v>0</v>
      </c>
      <c r="DA6" s="106">
        <f>+HLOOKUP($C6,'NEW CAR'!$BS$2:$CE$250,197,0)</f>
        <v>43776</v>
      </c>
      <c r="DB6" s="106">
        <f>+HLOOKUP($C6,'NEW CAR'!$BS$2:$CE$250,198,0)</f>
        <v>13480</v>
      </c>
      <c r="DC6" s="106">
        <f>+HLOOKUP($C6,'NEW CAR'!$BS$2:$CE$250,199,0)</f>
        <v>2880</v>
      </c>
      <c r="DD6" s="106">
        <f>+HLOOKUP($C6,'NEW CAR'!$BS$2:$CE$250,200,0)</f>
        <v>1700</v>
      </c>
      <c r="DE6" s="106">
        <f>+HLOOKUP($C6,'NEW CAR'!$BS$2:$CE$250,201,0)</f>
        <v>198</v>
      </c>
      <c r="DF6" s="106">
        <f>+HLOOKUP($C6,'NEW CAR'!$BS$2:$CE$250,202,0)</f>
        <v>0</v>
      </c>
      <c r="DG6" s="106">
        <f>+HLOOKUP($C6,'NEW CAR'!$BS$2:$CE$250,203,0)</f>
        <v>0</v>
      </c>
      <c r="DH6" s="106">
        <f>+HLOOKUP($C6,'NEW CAR'!$BS$2:$CE$250,205,0)</f>
        <v>68123.915427272703</v>
      </c>
      <c r="DI6" s="106">
        <f>+HLOOKUP($C6,'NEW CAR'!$BS$2:$CE$250,206,0)</f>
        <v>16170</v>
      </c>
      <c r="DJ6" s="106">
        <f>+HLOOKUP($C6,'NEW CAR'!$BS$2:$CE$250,207,0)</f>
        <v>2166.19</v>
      </c>
      <c r="DK6" s="106">
        <f>+HLOOKUP($C6,'NEW CAR'!$BS$2:$CE$250,209,0)</f>
        <v>0</v>
      </c>
      <c r="DL6" s="106">
        <f>+HLOOKUP($C6,'NEW CAR'!$BS$2:$CE$250,210,0)</f>
        <v>0</v>
      </c>
      <c r="DM6" s="106">
        <f>+HLOOKUP($C6,'NEW CAR'!$BS$2:$CE$250,211,0)</f>
        <v>87450.312499999956</v>
      </c>
      <c r="DN6" s="106">
        <f>+HLOOKUP($C6,'NEW CAR'!$BS$2:$CE$250,212,0)</f>
        <v>73286.518331250001</v>
      </c>
      <c r="DO6" s="106">
        <f>+HLOOKUP($C6,'NEW CAR'!$BS$2:$CE$250,214,0)</f>
        <v>0</v>
      </c>
      <c r="DP6" s="106">
        <f>+HLOOKUP($C6,'NEW CAR'!$BS$2:$CE$250,215,0)</f>
        <v>2400</v>
      </c>
      <c r="DQ6" s="106">
        <f>+HLOOKUP($C6,'NEW CAR'!$BS$2:$CE$250,219,0)</f>
        <v>0</v>
      </c>
      <c r="DR6" s="106">
        <f>+HLOOKUP($C6,'NEW CAR'!$BS$2:$CE$250,220,0)</f>
        <v>0</v>
      </c>
      <c r="DS6" s="106">
        <f>+HLOOKUP($C6,'NEW CAR'!$BS$2:$CE$250,221,0)</f>
        <v>276000</v>
      </c>
      <c r="DT6" s="106">
        <f>+HLOOKUP($C6,'NEW CAR'!$BS$2:$CE$250,223,0)</f>
        <v>50000</v>
      </c>
      <c r="DU6" s="106">
        <f>+HLOOKUP($C6,'NEW CAR'!$BS$2:$CE$250,224,0)</f>
        <v>0</v>
      </c>
      <c r="DV6" s="106">
        <f>+HLOOKUP($C6,'NEW CAR'!$BS$2:$CE$250,225,0)</f>
        <v>0</v>
      </c>
      <c r="DW6" s="106">
        <f>+HLOOKUP($C6,'NEW CAR'!$BS$2:$CE$250,227,0)</f>
        <v>0</v>
      </c>
      <c r="DX6" s="106">
        <f>+HLOOKUP($C6,'NEW CAR'!$BS$2:$CE$250,228,0)</f>
        <v>0</v>
      </c>
      <c r="DY6" s="106">
        <f>+HLOOKUP($C6,'NEW CAR'!$BS$2:$CE$250,236,0)</f>
        <v>0</v>
      </c>
      <c r="DZ6" s="106">
        <f>+HLOOKUP($C6,'NEW CAR'!$BS$2:$CE$250,237,0)</f>
        <v>131327.9343317585</v>
      </c>
      <c r="EA6" s="106">
        <f>+HLOOKUP($C6,'NEW CAR'!$BS$2:$CE$250,238,0)</f>
        <v>0</v>
      </c>
      <c r="EB6" s="106">
        <f>+HLOOKUP($C6,'NEW CAR'!$BS$2:$CE$250,240,0)</f>
        <v>952163.96462113166</v>
      </c>
    </row>
    <row r="7" spans="1:133">
      <c r="A7" t="s">
        <v>269</v>
      </c>
      <c r="B7" t="s">
        <v>270</v>
      </c>
      <c r="C7" s="117">
        <v>45839</v>
      </c>
      <c r="D7" s="106">
        <f>+HLOOKUP(C7,'NEW CAR'!$BS$2:$CE$250,6,0)/3.5%</f>
        <v>95772060.600008875</v>
      </c>
      <c r="E7" s="106">
        <f>+HLOOKUP(C7,'NEW CAR'!$BS$2:$CE$250,5,0)+HLOOKUP(C7,'NEW CAR'!$BS$2:$CE$250,26,0)+HLOOKUP(C7,'NEW CAR'!$BS$2:$CE$250,59,0)</f>
        <v>5169137.1833533049</v>
      </c>
      <c r="F7" s="106"/>
      <c r="G7" s="106">
        <f>+HLOOKUP($C7,'NEW CAR'!$BS$2:$CE$250,76,0)</f>
        <v>102000</v>
      </c>
      <c r="H7" s="106">
        <f>+HLOOKUP($C7,'NEW CAR'!$BS$2:$CE$250,77,0)</f>
        <v>408000</v>
      </c>
      <c r="I7" s="106">
        <f>+HLOOKUP($C7,'NEW CAR'!$BS$2:$CE$250,78,0)</f>
        <v>0</v>
      </c>
      <c r="J7" s="106">
        <f>+HLOOKUP($C7,'NEW CAR'!$BS$2:$CE$250,79,0)</f>
        <v>170000</v>
      </c>
      <c r="K7" s="106">
        <f>+HLOOKUP($C7,'NEW CAR'!$BS$2:$CE$250,80,0)</f>
        <v>0</v>
      </c>
      <c r="L7" s="106">
        <f>+HLOOKUP($C7,'NEW CAR'!$BS$2:$CE$250,81,0)</f>
        <v>0</v>
      </c>
      <c r="M7" s="106">
        <f>+HLOOKUP($C7,'NEW CAR'!$BS$2:$CE$250,82,0)</f>
        <v>0</v>
      </c>
      <c r="N7" s="106">
        <f>+HLOOKUP($C7,'NEW CAR'!$BS$2:$CE$250,83,0)</f>
        <v>0</v>
      </c>
      <c r="O7" s="106">
        <f>+HLOOKUP($C7,'NEW CAR'!$BS$2:$CE$250,84,0)</f>
        <v>0</v>
      </c>
      <c r="P7" s="106">
        <f>+HLOOKUP($C7,'NEW CAR'!$BS$2:$CE$250,85,0)</f>
        <v>0</v>
      </c>
      <c r="Q7" s="106">
        <f>+HLOOKUP($C7,'NEW CAR'!$BS$2:$CE$250,87,0)</f>
        <v>595000</v>
      </c>
      <c r="R7" s="106">
        <f>+HLOOKUP($C7,'NEW CAR'!$BS$2:$CE$250,90,0)</f>
        <v>10200</v>
      </c>
      <c r="S7" s="106">
        <f>+HLOOKUP($C7,'NEW CAR'!$BS$2:$CE$250,91,0)</f>
        <v>0</v>
      </c>
      <c r="T7" s="106">
        <f>+HLOOKUP($C7,'NEW CAR'!$BS$2:$CE$250,92,0)</f>
        <v>255000</v>
      </c>
      <c r="U7" s="106">
        <f>+HLOOKUP($C7,'NEW CAR'!$BS$2:$CE$250,93,0)</f>
        <v>8500</v>
      </c>
      <c r="V7" s="106">
        <f>+HLOOKUP($C7,'NEW CAR'!$BS$2:$CE$250,94,0)</f>
        <v>0</v>
      </c>
      <c r="W7" s="106">
        <f>+HLOOKUP($C7,'NEW CAR'!$BS$2:$CE$250,95,0)</f>
        <v>30000</v>
      </c>
      <c r="X7" s="106">
        <f>+HLOOKUP($C7,'NEW CAR'!$BS$2:$CE$250,96,0)</f>
        <v>45000</v>
      </c>
      <c r="Y7" s="106">
        <f>+HLOOKUP($C7,'NEW CAR'!$BS$2:$CE$250,97,0)</f>
        <v>85000</v>
      </c>
      <c r="Z7" s="106">
        <f>+HLOOKUP($C7,'NEW CAR'!$BS$2:$CE$250,98,0)</f>
        <v>0</v>
      </c>
      <c r="AA7" s="106">
        <f>+HLOOKUP($C7,'NEW CAR'!$BS$2:$CE$250,99,0)</f>
        <v>0</v>
      </c>
      <c r="AB7" s="106">
        <f>+HLOOKUP($C7,'NEW CAR'!$BS$2:$CE$250,100,0)</f>
        <v>34000</v>
      </c>
      <c r="AC7" s="106">
        <f>+HLOOKUP($C7,'NEW CAR'!$BS$2:$CE$250,101,0)</f>
        <v>10200</v>
      </c>
      <c r="AD7" s="106">
        <f>+HLOOKUP($C7,'NEW CAR'!$BS$2:$CE$250,104,0)</f>
        <v>17000</v>
      </c>
      <c r="AE7" s="106">
        <f>+HLOOKUP($C7,'NEW CAR'!$BS$2:$CE$250,105,0)</f>
        <v>141525</v>
      </c>
      <c r="AF7" s="106">
        <f>+HLOOKUP($C7,'NEW CAR'!$BS$2:$CE$250,106,0)</f>
        <v>56610</v>
      </c>
      <c r="AG7" s="106">
        <f>+HLOOKUP($C7,'NEW CAR'!$BS$2:$CE$250,107,0)</f>
        <v>198135</v>
      </c>
      <c r="AH7" s="106">
        <f>+HLOOKUP($C7,'NEW CAR'!$BS$2:$CE$250,108,0)</f>
        <v>0</v>
      </c>
      <c r="AI7" s="106">
        <f>+HLOOKUP($C7,'NEW CAR'!$BS$2:$CE$250,109,0)</f>
        <v>169830</v>
      </c>
      <c r="AJ7" s="106">
        <f>+HLOOKUP($C7,'NEW CAR'!$BS$2:$CE$250,110,0)</f>
        <v>0</v>
      </c>
      <c r="AK7" s="106">
        <f>+HLOOKUP($C7,'NEW CAR'!$BS$2:$CE$250,111,0)</f>
        <v>0</v>
      </c>
      <c r="AL7" s="106">
        <f>+HLOOKUP($C7,'NEW CAR'!$BS$2:$CE$250,112,0)</f>
        <v>0</v>
      </c>
      <c r="AM7" s="106">
        <f>+HLOOKUP($C7,'NEW CAR'!$BS$2:$CE$250,116,0)</f>
        <v>1124400</v>
      </c>
      <c r="AN7" s="106">
        <f>+HLOOKUP($C7,'NEW CAR'!$BS$2:$CE$250,117,0)</f>
        <v>141925</v>
      </c>
      <c r="AO7" s="106">
        <f>+HLOOKUP($C7,'NEW CAR'!$BS$2:$CE$250,118,0)</f>
        <v>31500</v>
      </c>
      <c r="AP7" s="106">
        <f>+HLOOKUP($C7,'NEW CAR'!$BS$2:$CE$250,119,0)</f>
        <v>382600</v>
      </c>
      <c r="AQ7" s="106">
        <f>+HLOOKUP($C7,'NEW CAR'!$BS$2:$CE$250,120,0)</f>
        <v>81550</v>
      </c>
      <c r="AR7" s="106">
        <f>+HLOOKUP($C7,'NEW CAR'!$BS$2:$CE$250,121,0)</f>
        <v>47550</v>
      </c>
      <c r="AS7" s="106">
        <f>+HLOOKUP($C7,'NEW CAR'!$BS$2:$CE$250,122,0)</f>
        <v>600825</v>
      </c>
      <c r="AT7" s="106">
        <f>+HLOOKUP($C7,'NEW CAR'!$BS$2:$CE$250,123,0)</f>
        <v>107556.71915625001</v>
      </c>
      <c r="AU7" s="106">
        <f>+HLOOKUP($C7,'NEW CAR'!$BS$2:$CE$250,124,0)</f>
        <v>4821.25</v>
      </c>
      <c r="AV7" s="106">
        <f>+HLOOKUP($C7,'NEW CAR'!$BS$2:$CE$250,125,0)</f>
        <v>104600</v>
      </c>
      <c r="AW7" s="106">
        <f>+HLOOKUP($C7,'NEW CAR'!$BS$2:$CE$250,126,0)</f>
        <v>54057.692307692305</v>
      </c>
      <c r="AX7" s="106">
        <f>+HLOOKUP($C7,'NEW CAR'!$BS$2:$CE$250,127,0)</f>
        <v>60583.333333333343</v>
      </c>
      <c r="AY7" s="106">
        <f>+HLOOKUP($C7,'NEW CAR'!$BS$2:$CE$250,129,0)</f>
        <v>0</v>
      </c>
      <c r="AZ7" s="106">
        <f>+HLOOKUP($C7,'NEW CAR'!$BS$2:$CE$250,130,0)</f>
        <v>0</v>
      </c>
      <c r="BA7" s="106">
        <f>+HLOOKUP($C7,'NEW CAR'!$BS$2:$CE$250,131,0)</f>
        <v>144600</v>
      </c>
      <c r="BB7" s="106">
        <f>+HLOOKUP($C7,'NEW CAR'!$BS$2:$CE$250,133,0)</f>
        <v>0</v>
      </c>
      <c r="BC7" s="106">
        <f>+HLOOKUP($C7,'NEW CAR'!$BS$2:$CE$250,134,0)</f>
        <v>162236.5138333333</v>
      </c>
      <c r="BD7" s="106">
        <f>+HLOOKUP($C7,'NEW CAR'!$BS$2:$CE$250,135,0)</f>
        <v>0</v>
      </c>
      <c r="BE7" s="106">
        <f>+HLOOKUP($C7,'NEW CAR'!$BS$2:$CE$250,136,0)</f>
        <v>0</v>
      </c>
      <c r="BF7" s="106">
        <f>+HLOOKUP($C7,'NEW CAR'!$BS$2:$CE$250,138,0)</f>
        <v>25500</v>
      </c>
      <c r="BG7" s="106">
        <f>+HLOOKUP($C7,'NEW CAR'!$BS$2:$CE$250,139,0)</f>
        <v>20582.941666666666</v>
      </c>
      <c r="BH7" s="106">
        <f>+HLOOKUP($C7,'NEW CAR'!$BS$2:$CE$250,140,0)</f>
        <v>0</v>
      </c>
      <c r="BI7" s="106">
        <f>+HLOOKUP($C7,'NEW CAR'!$BS$2:$CE$250,141,0)</f>
        <v>0</v>
      </c>
      <c r="BJ7" s="106">
        <f>+HLOOKUP($C7,'NEW CAR'!$BS$2:$CE$250,142,0)</f>
        <v>0</v>
      </c>
      <c r="BK7" s="106">
        <f>+HLOOKUP($C7,'NEW CAR'!$BS$2:$CE$250,143,0)</f>
        <v>36529.25</v>
      </c>
      <c r="BL7" s="106">
        <f>+HLOOKUP($C7,'NEW CAR'!$BS$2:$CE$250,144,0)</f>
        <v>5281.25</v>
      </c>
      <c r="BM7" s="106">
        <f>+HLOOKUP($C7,'NEW CAR'!$BS$2:$CE$250,146,0)</f>
        <v>0</v>
      </c>
      <c r="BN7" s="106">
        <f>+HLOOKUP($C7,'NEW CAR'!$BS$2:$CE$250,147,0)</f>
        <v>75878</v>
      </c>
      <c r="BO7" s="106">
        <f>+HLOOKUP($C7,'NEW CAR'!$BS$2:$CE$250,148,0)</f>
        <v>0</v>
      </c>
      <c r="BP7" s="106">
        <f>+HLOOKUP($C7,'NEW CAR'!$BS$2:$CE$250,150,0)</f>
        <v>67863.862500000003</v>
      </c>
      <c r="BQ7" s="106">
        <f>+HLOOKUP($C7,'NEW CAR'!$BS$2:$CE$250,151,0)</f>
        <v>4961</v>
      </c>
      <c r="BR7" s="106">
        <f>+HLOOKUP($C7,'NEW CAR'!$BS$2:$CE$250,152,0)</f>
        <v>47000</v>
      </c>
      <c r="BS7" s="106">
        <f>+HLOOKUP($C7,'NEW CAR'!$BS$2:$CE$250,153,0)</f>
        <v>6000</v>
      </c>
      <c r="BT7" s="106">
        <f>+HLOOKUP($C7,'NEW CAR'!$BS$2:$CE$250,157,0)</f>
        <v>64260</v>
      </c>
      <c r="BU7" s="106">
        <f>+HLOOKUP($C7,'NEW CAR'!$BS$2:$CE$250,158,0)</f>
        <v>5800</v>
      </c>
      <c r="BV7" s="106">
        <f>+HLOOKUP($C7,'NEW CAR'!$BS$2:$CE$250,159,0)</f>
        <v>25999.722222222223</v>
      </c>
      <c r="BW7" s="106">
        <f>+HLOOKUP($C7,'NEW CAR'!$BS$2:$CE$250,160,0)</f>
        <v>300</v>
      </c>
      <c r="BX7" s="106">
        <f>+HLOOKUP($C7,'NEW CAR'!$BS$2:$CE$250,161,0)</f>
        <v>17824.909583333334</v>
      </c>
      <c r="BY7" s="106">
        <f>+HLOOKUP($C7,'NEW CAR'!$BS$2:$CE$250,164,0)</f>
        <v>16000</v>
      </c>
      <c r="BZ7" s="106">
        <f>+HLOOKUP($C7,'NEW CAR'!$BS$2:$CE$250,165,0)</f>
        <v>0</v>
      </c>
      <c r="CA7" s="106">
        <f>+HLOOKUP($C7,'NEW CAR'!$BS$2:$CE$250,166,0)</f>
        <v>0</v>
      </c>
      <c r="CB7" s="106">
        <f>+HLOOKUP($C7,'NEW CAR'!$BS$2:$CE$250,167,0)</f>
        <v>0</v>
      </c>
      <c r="CC7" s="106">
        <f>+HLOOKUP($C7,'NEW CAR'!$BS$2:$CE$250,168,0)</f>
        <v>0</v>
      </c>
      <c r="CD7" s="106">
        <f>+HLOOKUP($C7,'NEW CAR'!$BS$2:$CE$250,169,0)</f>
        <v>1666.6666666666667</v>
      </c>
      <c r="CE7" s="106">
        <f>+HLOOKUP($C7,'NEW CAR'!$BS$2:$CE$250,170,0)</f>
        <v>0</v>
      </c>
      <c r="CF7" s="106">
        <f>+HLOOKUP($C7,'NEW CAR'!$BS$2:$CE$250,172,0)</f>
        <v>20150</v>
      </c>
      <c r="CG7" s="106">
        <f>+HLOOKUP($C7,'NEW CAR'!$BS$2:$CE$250,173,0)</f>
        <v>0</v>
      </c>
      <c r="CH7" s="106">
        <f>+HLOOKUP($C7,'NEW CAR'!$BS$2:$CE$250,174,0)</f>
        <v>0</v>
      </c>
      <c r="CI7" s="106">
        <f>+HLOOKUP($C7,'NEW CAR'!$BS$2:$CE$250,175,0)</f>
        <v>0</v>
      </c>
      <c r="CJ7" s="106">
        <f>+HLOOKUP($C7,'NEW CAR'!$BS$2:$CE$250,176,0)</f>
        <v>15800</v>
      </c>
      <c r="CK7" s="106">
        <f>+HLOOKUP($C7,'NEW CAR'!$BS$2:$CE$250,178,0)</f>
        <v>150000</v>
      </c>
      <c r="CL7" s="106">
        <f>+HLOOKUP($C7,'NEW CAR'!$BS$2:$CE$250,179,0)</f>
        <v>10000</v>
      </c>
      <c r="CM7" s="106">
        <f>+HLOOKUP($C7,'NEW CAR'!$BS$2:$CE$250,180,0)</f>
        <v>0</v>
      </c>
      <c r="CN7" s="106">
        <f>+HLOOKUP($C7,'NEW CAR'!$BS$2:$CE$250,182,0)</f>
        <v>1638</v>
      </c>
      <c r="CO7" s="106">
        <f>+HLOOKUP($C7,'NEW CAR'!$BS$2:$CE$250,183,0)</f>
        <v>19981</v>
      </c>
      <c r="CP7" s="106">
        <f>+HLOOKUP($C7,'NEW CAR'!$BS$2:$CE$250,184,0)</f>
        <v>14400</v>
      </c>
      <c r="CQ7" s="106">
        <f>+HLOOKUP($C7,'NEW CAR'!$BS$2:$CE$250,185,0)</f>
        <v>0</v>
      </c>
      <c r="CR7" s="106">
        <f>+HLOOKUP($C7,'NEW CAR'!$BS$2:$CE$250,187,0)</f>
        <v>8332.8000000000011</v>
      </c>
      <c r="CS7" s="106">
        <f>+HLOOKUP($C7,'NEW CAR'!$BS$2:$CE$250,188,0)</f>
        <v>10600</v>
      </c>
      <c r="CT7" s="106">
        <f>+HLOOKUP($C7,'NEW CAR'!$BS$2:$CE$250,189,0)</f>
        <v>6666.8</v>
      </c>
      <c r="CU7" s="106">
        <f>+HLOOKUP($C7,'NEW CAR'!$BS$2:$CE$250,190,0)</f>
        <v>6755.6</v>
      </c>
      <c r="CV7" s="106">
        <f>+HLOOKUP($C7,'NEW CAR'!$BS$2:$CE$250,191,0)</f>
        <v>0</v>
      </c>
      <c r="CW7" s="106">
        <f>+HLOOKUP($C7,'NEW CAR'!$BS$2:$CE$250,193,0)</f>
        <v>11831</v>
      </c>
      <c r="CX7" s="106">
        <f>+HLOOKUP($C7,'NEW CAR'!$BS$2:$CE$250,194,0)</f>
        <v>106</v>
      </c>
      <c r="CY7" s="106">
        <f>+HLOOKUP($C7,'NEW CAR'!$BS$2:$CE$250,195,0)</f>
        <v>7249.8819999999996</v>
      </c>
      <c r="CZ7" s="106">
        <f>+HLOOKUP($C7,'NEW CAR'!$BS$2:$CE$250,196,0)</f>
        <v>0</v>
      </c>
      <c r="DA7" s="106">
        <f>+HLOOKUP($C7,'NEW CAR'!$BS$2:$CE$250,197,0)</f>
        <v>43776</v>
      </c>
      <c r="DB7" s="106">
        <f>+HLOOKUP($C7,'NEW CAR'!$BS$2:$CE$250,198,0)</f>
        <v>13480</v>
      </c>
      <c r="DC7" s="106">
        <f>+HLOOKUP($C7,'NEW CAR'!$BS$2:$CE$250,199,0)</f>
        <v>2880</v>
      </c>
      <c r="DD7" s="106">
        <f>+HLOOKUP($C7,'NEW CAR'!$BS$2:$CE$250,200,0)</f>
        <v>1700</v>
      </c>
      <c r="DE7" s="106">
        <f>+HLOOKUP($C7,'NEW CAR'!$BS$2:$CE$250,201,0)</f>
        <v>198</v>
      </c>
      <c r="DF7" s="106">
        <f>+HLOOKUP($C7,'NEW CAR'!$BS$2:$CE$250,202,0)</f>
        <v>0</v>
      </c>
      <c r="DG7" s="106">
        <f>+HLOOKUP($C7,'NEW CAR'!$BS$2:$CE$250,203,0)</f>
        <v>0</v>
      </c>
      <c r="DH7" s="106">
        <f>+HLOOKUP($C7,'NEW CAR'!$BS$2:$CE$250,205,0)</f>
        <v>68123.915427272703</v>
      </c>
      <c r="DI7" s="106">
        <f>+HLOOKUP($C7,'NEW CAR'!$BS$2:$CE$250,206,0)</f>
        <v>16170</v>
      </c>
      <c r="DJ7" s="106">
        <f>+HLOOKUP($C7,'NEW CAR'!$BS$2:$CE$250,207,0)</f>
        <v>2166.19</v>
      </c>
      <c r="DK7" s="106">
        <f>+HLOOKUP($C7,'NEW CAR'!$BS$2:$CE$250,209,0)</f>
        <v>0</v>
      </c>
      <c r="DL7" s="106">
        <f>+HLOOKUP($C7,'NEW CAR'!$BS$2:$CE$250,210,0)</f>
        <v>0</v>
      </c>
      <c r="DM7" s="106">
        <f>+HLOOKUP($C7,'NEW CAR'!$BS$2:$CE$250,211,0)</f>
        <v>87450.312499999956</v>
      </c>
      <c r="DN7" s="106">
        <f>+HLOOKUP($C7,'NEW CAR'!$BS$2:$CE$250,212,0)</f>
        <v>73286.518331250001</v>
      </c>
      <c r="DO7" s="106">
        <f>+HLOOKUP($C7,'NEW CAR'!$BS$2:$CE$250,214,0)</f>
        <v>0</v>
      </c>
      <c r="DP7" s="106">
        <f>+HLOOKUP($C7,'NEW CAR'!$BS$2:$CE$250,215,0)</f>
        <v>2400</v>
      </c>
      <c r="DQ7" s="106">
        <f>+HLOOKUP($C7,'NEW CAR'!$BS$2:$CE$250,219,0)</f>
        <v>0</v>
      </c>
      <c r="DR7" s="106">
        <f>+HLOOKUP($C7,'NEW CAR'!$BS$2:$CE$250,220,0)</f>
        <v>0</v>
      </c>
      <c r="DS7" s="106">
        <f>+HLOOKUP($C7,'NEW CAR'!$BS$2:$CE$250,221,0)</f>
        <v>276000</v>
      </c>
      <c r="DT7" s="106">
        <f>+HLOOKUP($C7,'NEW CAR'!$BS$2:$CE$250,223,0)</f>
        <v>50000</v>
      </c>
      <c r="DU7" s="106">
        <f>+HLOOKUP($C7,'NEW CAR'!$BS$2:$CE$250,224,0)</f>
        <v>0</v>
      </c>
      <c r="DV7" s="106">
        <f>+HLOOKUP($C7,'NEW CAR'!$BS$2:$CE$250,225,0)</f>
        <v>0</v>
      </c>
      <c r="DW7" s="106">
        <f>+HLOOKUP($C7,'NEW CAR'!$BS$2:$CE$250,227,0)</f>
        <v>0</v>
      </c>
      <c r="DX7" s="106">
        <f>+HLOOKUP($C7,'NEW CAR'!$BS$2:$CE$250,228,0)</f>
        <v>0</v>
      </c>
      <c r="DY7" s="106">
        <f>+HLOOKUP($C7,'NEW CAR'!$BS$2:$CE$250,236,0)</f>
        <v>0</v>
      </c>
      <c r="DZ7" s="106">
        <f>+HLOOKUP($C7,'NEW CAR'!$BS$2:$CE$250,237,0)</f>
        <v>133102.63610408176</v>
      </c>
      <c r="EA7" s="106">
        <f>+HLOOKUP($C7,'NEW CAR'!$BS$2:$CE$250,238,0)</f>
        <v>0</v>
      </c>
      <c r="EB7" s="106">
        <f>+HLOOKUP($C7,'NEW CAR'!$BS$2:$CE$250,240,0)</f>
        <v>952163.96462113166</v>
      </c>
    </row>
    <row r="8" spans="1:133">
      <c r="A8" t="s">
        <v>269</v>
      </c>
      <c r="B8" t="s">
        <v>270</v>
      </c>
      <c r="C8" s="117">
        <v>45809</v>
      </c>
      <c r="D8" s="106">
        <f>+HLOOKUP(C8,'NEW CAR'!$BS$2:$CE$250,6,0)/3.5%</f>
        <v>72035186.859273061</v>
      </c>
      <c r="E8" s="106">
        <f>+HLOOKUP(C8,'NEW CAR'!$BS$2:$CE$250,5,0)+HLOOKUP(C8,'NEW CAR'!$BS$2:$CE$250,26,0)+HLOOKUP(C8,'NEW CAR'!$BS$2:$CE$250,59,0)</f>
        <v>4898690.7199440822</v>
      </c>
      <c r="F8" s="106"/>
      <c r="G8" s="106">
        <f>+HLOOKUP($C8,'NEW CAR'!$BS$2:$CE$250,76,0)</f>
        <v>90000</v>
      </c>
      <c r="H8" s="106">
        <f>+HLOOKUP($C8,'NEW CAR'!$BS$2:$CE$250,77,0)</f>
        <v>360000</v>
      </c>
      <c r="I8" s="106">
        <f>+HLOOKUP($C8,'NEW CAR'!$BS$2:$CE$250,78,0)</f>
        <v>0</v>
      </c>
      <c r="J8" s="106">
        <f>+HLOOKUP($C8,'NEW CAR'!$BS$2:$CE$250,79,0)</f>
        <v>150000</v>
      </c>
      <c r="K8" s="106">
        <f>+HLOOKUP($C8,'NEW CAR'!$BS$2:$CE$250,80,0)</f>
        <v>0</v>
      </c>
      <c r="L8" s="106">
        <f>+HLOOKUP($C8,'NEW CAR'!$BS$2:$CE$250,81,0)</f>
        <v>0</v>
      </c>
      <c r="M8" s="106">
        <f>+HLOOKUP($C8,'NEW CAR'!$BS$2:$CE$250,82,0)</f>
        <v>0</v>
      </c>
      <c r="N8" s="106">
        <f>+HLOOKUP($C8,'NEW CAR'!$BS$2:$CE$250,83,0)</f>
        <v>0</v>
      </c>
      <c r="O8" s="106">
        <f>+HLOOKUP($C8,'NEW CAR'!$BS$2:$CE$250,84,0)</f>
        <v>0</v>
      </c>
      <c r="P8" s="106">
        <f>+HLOOKUP($C8,'NEW CAR'!$BS$2:$CE$250,85,0)</f>
        <v>0</v>
      </c>
      <c r="Q8" s="106">
        <f>+HLOOKUP($C8,'NEW CAR'!$BS$2:$CE$250,87,0)</f>
        <v>525000</v>
      </c>
      <c r="R8" s="106">
        <f>+HLOOKUP($C8,'NEW CAR'!$BS$2:$CE$250,90,0)</f>
        <v>9000</v>
      </c>
      <c r="S8" s="106">
        <f>+HLOOKUP($C8,'NEW CAR'!$BS$2:$CE$250,91,0)</f>
        <v>0</v>
      </c>
      <c r="T8" s="106">
        <f>+HLOOKUP($C8,'NEW CAR'!$BS$2:$CE$250,92,0)</f>
        <v>225000</v>
      </c>
      <c r="U8" s="106">
        <f>+HLOOKUP($C8,'NEW CAR'!$BS$2:$CE$250,93,0)</f>
        <v>7500</v>
      </c>
      <c r="V8" s="106">
        <f>+HLOOKUP($C8,'NEW CAR'!$BS$2:$CE$250,94,0)</f>
        <v>0</v>
      </c>
      <c r="W8" s="106">
        <f>+HLOOKUP($C8,'NEW CAR'!$BS$2:$CE$250,95,0)</f>
        <v>30000</v>
      </c>
      <c r="X8" s="106">
        <f>+HLOOKUP($C8,'NEW CAR'!$BS$2:$CE$250,96,0)</f>
        <v>45000</v>
      </c>
      <c r="Y8" s="106">
        <f>+HLOOKUP($C8,'NEW CAR'!$BS$2:$CE$250,97,0)</f>
        <v>75000</v>
      </c>
      <c r="Z8" s="106">
        <f>+HLOOKUP($C8,'NEW CAR'!$BS$2:$CE$250,98,0)</f>
        <v>0</v>
      </c>
      <c r="AA8" s="106">
        <f>+HLOOKUP($C8,'NEW CAR'!$BS$2:$CE$250,99,0)</f>
        <v>0</v>
      </c>
      <c r="AB8" s="106">
        <f>+HLOOKUP($C8,'NEW CAR'!$BS$2:$CE$250,100,0)</f>
        <v>30000</v>
      </c>
      <c r="AC8" s="106">
        <f>+HLOOKUP($C8,'NEW CAR'!$BS$2:$CE$250,101,0)</f>
        <v>9000</v>
      </c>
      <c r="AD8" s="106">
        <f>+HLOOKUP($C8,'NEW CAR'!$BS$2:$CE$250,104,0)</f>
        <v>15000</v>
      </c>
      <c r="AE8" s="106">
        <f>+HLOOKUP($C8,'NEW CAR'!$BS$2:$CE$250,105,0)</f>
        <v>124875</v>
      </c>
      <c r="AF8" s="106">
        <f>+HLOOKUP($C8,'NEW CAR'!$BS$2:$CE$250,106,0)</f>
        <v>49950</v>
      </c>
      <c r="AG8" s="106">
        <f>+HLOOKUP($C8,'NEW CAR'!$BS$2:$CE$250,107,0)</f>
        <v>174825</v>
      </c>
      <c r="AH8" s="106">
        <f>+HLOOKUP($C8,'NEW CAR'!$BS$2:$CE$250,108,0)</f>
        <v>0</v>
      </c>
      <c r="AI8" s="106">
        <f>+HLOOKUP($C8,'NEW CAR'!$BS$2:$CE$250,109,0)</f>
        <v>149850</v>
      </c>
      <c r="AJ8" s="106">
        <f>+HLOOKUP($C8,'NEW CAR'!$BS$2:$CE$250,110,0)</f>
        <v>0</v>
      </c>
      <c r="AK8" s="106">
        <f>+HLOOKUP($C8,'NEW CAR'!$BS$2:$CE$250,111,0)</f>
        <v>0</v>
      </c>
      <c r="AL8" s="106">
        <f>+HLOOKUP($C8,'NEW CAR'!$BS$2:$CE$250,112,0)</f>
        <v>0</v>
      </c>
      <c r="AM8" s="106">
        <f>+HLOOKUP($C8,'NEW CAR'!$BS$2:$CE$250,116,0)</f>
        <v>1124400</v>
      </c>
      <c r="AN8" s="106">
        <f>+HLOOKUP($C8,'NEW CAR'!$BS$2:$CE$250,117,0)</f>
        <v>141925</v>
      </c>
      <c r="AO8" s="106">
        <f>+HLOOKUP($C8,'NEW CAR'!$BS$2:$CE$250,118,0)</f>
        <v>31500</v>
      </c>
      <c r="AP8" s="106">
        <f>+HLOOKUP($C8,'NEW CAR'!$BS$2:$CE$250,119,0)</f>
        <v>382600</v>
      </c>
      <c r="AQ8" s="106">
        <f>+HLOOKUP($C8,'NEW CAR'!$BS$2:$CE$250,120,0)</f>
        <v>81550</v>
      </c>
      <c r="AR8" s="106">
        <f>+HLOOKUP($C8,'NEW CAR'!$BS$2:$CE$250,121,0)</f>
        <v>47550</v>
      </c>
      <c r="AS8" s="106">
        <f>+HLOOKUP($C8,'NEW CAR'!$BS$2:$CE$250,122,0)</f>
        <v>600825</v>
      </c>
      <c r="AT8" s="106">
        <f>+HLOOKUP($C8,'NEW CAR'!$BS$2:$CE$250,123,0)</f>
        <v>107556.71915625001</v>
      </c>
      <c r="AU8" s="106">
        <f>+HLOOKUP($C8,'NEW CAR'!$BS$2:$CE$250,124,0)</f>
        <v>4821.25</v>
      </c>
      <c r="AV8" s="106">
        <f>+HLOOKUP($C8,'NEW CAR'!$BS$2:$CE$250,125,0)</f>
        <v>104600</v>
      </c>
      <c r="AW8" s="106">
        <f>+HLOOKUP($C8,'NEW CAR'!$BS$2:$CE$250,126,0)</f>
        <v>54057.692307692305</v>
      </c>
      <c r="AX8" s="106">
        <f>+HLOOKUP($C8,'NEW CAR'!$BS$2:$CE$250,127,0)</f>
        <v>60583.333333333343</v>
      </c>
      <c r="AY8" s="106">
        <f>+HLOOKUP($C8,'NEW CAR'!$BS$2:$CE$250,129,0)</f>
        <v>0</v>
      </c>
      <c r="AZ8" s="106">
        <f>+HLOOKUP($C8,'NEW CAR'!$BS$2:$CE$250,130,0)</f>
        <v>0</v>
      </c>
      <c r="BA8" s="106">
        <f>+HLOOKUP($C8,'NEW CAR'!$BS$2:$CE$250,131,0)</f>
        <v>144600</v>
      </c>
      <c r="BB8" s="106">
        <f>+HLOOKUP($C8,'NEW CAR'!$BS$2:$CE$250,133,0)</f>
        <v>0</v>
      </c>
      <c r="BC8" s="106">
        <f>+HLOOKUP($C8,'NEW CAR'!$BS$2:$CE$250,134,0)</f>
        <v>162236.5138333333</v>
      </c>
      <c r="BD8" s="106">
        <f>+HLOOKUP($C8,'NEW CAR'!$BS$2:$CE$250,135,0)</f>
        <v>0</v>
      </c>
      <c r="BE8" s="106">
        <f>+HLOOKUP($C8,'NEW CAR'!$BS$2:$CE$250,136,0)</f>
        <v>0</v>
      </c>
      <c r="BF8" s="106">
        <f>+HLOOKUP($C8,'NEW CAR'!$BS$2:$CE$250,138,0)</f>
        <v>25500</v>
      </c>
      <c r="BG8" s="106">
        <f>+HLOOKUP($C8,'NEW CAR'!$BS$2:$CE$250,139,0)</f>
        <v>20582.941666666666</v>
      </c>
      <c r="BH8" s="106">
        <f>+HLOOKUP($C8,'NEW CAR'!$BS$2:$CE$250,140,0)</f>
        <v>0</v>
      </c>
      <c r="BI8" s="106">
        <f>+HLOOKUP($C8,'NEW CAR'!$BS$2:$CE$250,141,0)</f>
        <v>0</v>
      </c>
      <c r="BJ8" s="106">
        <f>+HLOOKUP($C8,'NEW CAR'!$BS$2:$CE$250,142,0)</f>
        <v>0</v>
      </c>
      <c r="BK8" s="106">
        <f>+HLOOKUP($C8,'NEW CAR'!$BS$2:$CE$250,143,0)</f>
        <v>36529.25</v>
      </c>
      <c r="BL8" s="106">
        <f>+HLOOKUP($C8,'NEW CAR'!$BS$2:$CE$250,144,0)</f>
        <v>7989.583333333333</v>
      </c>
      <c r="BM8" s="106">
        <f>+HLOOKUP($C8,'NEW CAR'!$BS$2:$CE$250,146,0)</f>
        <v>0</v>
      </c>
      <c r="BN8" s="106">
        <f>+HLOOKUP($C8,'NEW CAR'!$BS$2:$CE$250,147,0)</f>
        <v>75878</v>
      </c>
      <c r="BO8" s="106">
        <f>+HLOOKUP($C8,'NEW CAR'!$BS$2:$CE$250,148,0)</f>
        <v>0</v>
      </c>
      <c r="BP8" s="106">
        <f>+HLOOKUP($C8,'NEW CAR'!$BS$2:$CE$250,150,0)</f>
        <v>67863.862500000003</v>
      </c>
      <c r="BQ8" s="106">
        <f>+HLOOKUP($C8,'NEW CAR'!$BS$2:$CE$250,151,0)</f>
        <v>4961</v>
      </c>
      <c r="BR8" s="106">
        <f>+HLOOKUP($C8,'NEW CAR'!$BS$2:$CE$250,152,0)</f>
        <v>47000</v>
      </c>
      <c r="BS8" s="106">
        <f>+HLOOKUP($C8,'NEW CAR'!$BS$2:$CE$250,153,0)</f>
        <v>6000</v>
      </c>
      <c r="BT8" s="106">
        <f>+HLOOKUP($C8,'NEW CAR'!$BS$2:$CE$250,157,0)</f>
        <v>64260</v>
      </c>
      <c r="BU8" s="106">
        <f>+HLOOKUP($C8,'NEW CAR'!$BS$2:$CE$250,158,0)</f>
        <v>5800</v>
      </c>
      <c r="BV8" s="106">
        <f>+HLOOKUP($C8,'NEW CAR'!$BS$2:$CE$250,159,0)</f>
        <v>999.72222222222194</v>
      </c>
      <c r="BW8" s="106">
        <f>+HLOOKUP($C8,'NEW CAR'!$BS$2:$CE$250,160,0)</f>
        <v>300</v>
      </c>
      <c r="BX8" s="106">
        <f>+HLOOKUP($C8,'NEW CAR'!$BS$2:$CE$250,161,0)</f>
        <v>17824.909583333334</v>
      </c>
      <c r="BY8" s="106">
        <f>+HLOOKUP($C8,'NEW CAR'!$BS$2:$CE$250,164,0)</f>
        <v>16000</v>
      </c>
      <c r="BZ8" s="106">
        <f>+HLOOKUP($C8,'NEW CAR'!$BS$2:$CE$250,165,0)</f>
        <v>0</v>
      </c>
      <c r="CA8" s="106">
        <f>+HLOOKUP($C8,'NEW CAR'!$BS$2:$CE$250,166,0)</f>
        <v>0</v>
      </c>
      <c r="CB8" s="106">
        <f>+HLOOKUP($C8,'NEW CAR'!$BS$2:$CE$250,167,0)</f>
        <v>0</v>
      </c>
      <c r="CC8" s="106">
        <f>+HLOOKUP($C8,'NEW CAR'!$BS$2:$CE$250,168,0)</f>
        <v>0</v>
      </c>
      <c r="CD8" s="106">
        <f>+HLOOKUP($C8,'NEW CAR'!$BS$2:$CE$250,169,0)</f>
        <v>1666.6666666666667</v>
      </c>
      <c r="CE8" s="106">
        <f>+HLOOKUP($C8,'NEW CAR'!$BS$2:$CE$250,170,0)</f>
        <v>0</v>
      </c>
      <c r="CF8" s="106">
        <f>+HLOOKUP($C8,'NEW CAR'!$BS$2:$CE$250,172,0)</f>
        <v>20150</v>
      </c>
      <c r="CG8" s="106">
        <f>+HLOOKUP($C8,'NEW CAR'!$BS$2:$CE$250,173,0)</f>
        <v>0</v>
      </c>
      <c r="CH8" s="106">
        <f>+HLOOKUP($C8,'NEW CAR'!$BS$2:$CE$250,174,0)</f>
        <v>0</v>
      </c>
      <c r="CI8" s="106">
        <f>+HLOOKUP($C8,'NEW CAR'!$BS$2:$CE$250,175,0)</f>
        <v>0</v>
      </c>
      <c r="CJ8" s="106">
        <f>+HLOOKUP($C8,'NEW CAR'!$BS$2:$CE$250,176,0)</f>
        <v>15800</v>
      </c>
      <c r="CK8" s="106">
        <f>+HLOOKUP($C8,'NEW CAR'!$BS$2:$CE$250,178,0)</f>
        <v>150000</v>
      </c>
      <c r="CL8" s="106">
        <f>+HLOOKUP($C8,'NEW CAR'!$BS$2:$CE$250,179,0)</f>
        <v>10000</v>
      </c>
      <c r="CM8" s="106">
        <f>+HLOOKUP($C8,'NEW CAR'!$BS$2:$CE$250,180,0)</f>
        <v>0</v>
      </c>
      <c r="CN8" s="106">
        <f>+HLOOKUP($C8,'NEW CAR'!$BS$2:$CE$250,182,0)</f>
        <v>1638</v>
      </c>
      <c r="CO8" s="106">
        <f>+HLOOKUP($C8,'NEW CAR'!$BS$2:$CE$250,183,0)</f>
        <v>19981</v>
      </c>
      <c r="CP8" s="106">
        <f>+HLOOKUP($C8,'NEW CAR'!$BS$2:$CE$250,184,0)</f>
        <v>14400</v>
      </c>
      <c r="CQ8" s="106">
        <f>+HLOOKUP($C8,'NEW CAR'!$BS$2:$CE$250,185,0)</f>
        <v>0</v>
      </c>
      <c r="CR8" s="106">
        <f>+HLOOKUP($C8,'NEW CAR'!$BS$2:$CE$250,187,0)</f>
        <v>8332.8000000000011</v>
      </c>
      <c r="CS8" s="106">
        <f>+HLOOKUP($C8,'NEW CAR'!$BS$2:$CE$250,188,0)</f>
        <v>10600</v>
      </c>
      <c r="CT8" s="106">
        <f>+HLOOKUP($C8,'NEW CAR'!$BS$2:$CE$250,189,0)</f>
        <v>6666.8</v>
      </c>
      <c r="CU8" s="106">
        <f>+HLOOKUP($C8,'NEW CAR'!$BS$2:$CE$250,190,0)</f>
        <v>6755.6</v>
      </c>
      <c r="CV8" s="106">
        <f>+HLOOKUP($C8,'NEW CAR'!$BS$2:$CE$250,191,0)</f>
        <v>0</v>
      </c>
      <c r="CW8" s="106">
        <f>+HLOOKUP($C8,'NEW CAR'!$BS$2:$CE$250,193,0)</f>
        <v>11831</v>
      </c>
      <c r="CX8" s="106">
        <f>+HLOOKUP($C8,'NEW CAR'!$BS$2:$CE$250,194,0)</f>
        <v>106</v>
      </c>
      <c r="CY8" s="106">
        <f>+HLOOKUP($C8,'NEW CAR'!$BS$2:$CE$250,195,0)</f>
        <v>7249.8819999999996</v>
      </c>
      <c r="CZ8" s="106">
        <f>+HLOOKUP($C8,'NEW CAR'!$BS$2:$CE$250,196,0)</f>
        <v>0</v>
      </c>
      <c r="DA8" s="106">
        <f>+HLOOKUP($C8,'NEW CAR'!$BS$2:$CE$250,197,0)</f>
        <v>43776</v>
      </c>
      <c r="DB8" s="106">
        <f>+HLOOKUP($C8,'NEW CAR'!$BS$2:$CE$250,198,0)</f>
        <v>13480</v>
      </c>
      <c r="DC8" s="106">
        <f>+HLOOKUP($C8,'NEW CAR'!$BS$2:$CE$250,199,0)</f>
        <v>2880</v>
      </c>
      <c r="DD8" s="106">
        <f>+HLOOKUP($C8,'NEW CAR'!$BS$2:$CE$250,200,0)</f>
        <v>1700</v>
      </c>
      <c r="DE8" s="106">
        <f>+HLOOKUP($C8,'NEW CAR'!$BS$2:$CE$250,201,0)</f>
        <v>198</v>
      </c>
      <c r="DF8" s="106">
        <f>+HLOOKUP($C8,'NEW CAR'!$BS$2:$CE$250,202,0)</f>
        <v>0</v>
      </c>
      <c r="DG8" s="106">
        <f>+HLOOKUP($C8,'NEW CAR'!$BS$2:$CE$250,203,0)</f>
        <v>0</v>
      </c>
      <c r="DH8" s="106">
        <f>+HLOOKUP($C8,'NEW CAR'!$BS$2:$CE$250,205,0)</f>
        <v>68123.915427272703</v>
      </c>
      <c r="DI8" s="106">
        <f>+HLOOKUP($C8,'NEW CAR'!$BS$2:$CE$250,206,0)</f>
        <v>16170</v>
      </c>
      <c r="DJ8" s="106">
        <f>+HLOOKUP($C8,'NEW CAR'!$BS$2:$CE$250,207,0)</f>
        <v>2166.19</v>
      </c>
      <c r="DK8" s="106">
        <f>+HLOOKUP($C8,'NEW CAR'!$BS$2:$CE$250,209,0)</f>
        <v>0</v>
      </c>
      <c r="DL8" s="106">
        <f>+HLOOKUP($C8,'NEW CAR'!$BS$2:$CE$250,210,0)</f>
        <v>0</v>
      </c>
      <c r="DM8" s="106">
        <f>+HLOOKUP($C8,'NEW CAR'!$BS$2:$CE$250,211,0)</f>
        <v>87450.312499999956</v>
      </c>
      <c r="DN8" s="106">
        <f>+HLOOKUP($C8,'NEW CAR'!$BS$2:$CE$250,212,0)</f>
        <v>73286.518331250001</v>
      </c>
      <c r="DO8" s="106">
        <f>+HLOOKUP($C8,'NEW CAR'!$BS$2:$CE$250,214,0)</f>
        <v>0</v>
      </c>
      <c r="DP8" s="106">
        <f>+HLOOKUP($C8,'NEW CAR'!$BS$2:$CE$250,215,0)</f>
        <v>2400</v>
      </c>
      <c r="DQ8" s="106">
        <f>+HLOOKUP($C8,'NEW CAR'!$BS$2:$CE$250,219,0)</f>
        <v>0</v>
      </c>
      <c r="DR8" s="106">
        <f>+HLOOKUP($C8,'NEW CAR'!$BS$2:$CE$250,220,0)</f>
        <v>0</v>
      </c>
      <c r="DS8" s="106">
        <f>+HLOOKUP($C8,'NEW CAR'!$BS$2:$CE$250,221,0)</f>
        <v>276000</v>
      </c>
      <c r="DT8" s="106">
        <f>+HLOOKUP($C8,'NEW CAR'!$BS$2:$CE$250,223,0)</f>
        <v>50000</v>
      </c>
      <c r="DU8" s="106">
        <f>+HLOOKUP($C8,'NEW CAR'!$BS$2:$CE$250,224,0)</f>
        <v>0</v>
      </c>
      <c r="DV8" s="106">
        <f>+HLOOKUP($C8,'NEW CAR'!$BS$2:$CE$250,225,0)</f>
        <v>0</v>
      </c>
      <c r="DW8" s="106">
        <f>+HLOOKUP($C8,'NEW CAR'!$BS$2:$CE$250,227,0)</f>
        <v>0</v>
      </c>
      <c r="DX8" s="106">
        <f>+HLOOKUP($C8,'NEW CAR'!$BS$2:$CE$250,228,0)</f>
        <v>0</v>
      </c>
      <c r="DY8" s="106">
        <f>+HLOOKUP($C8,'NEW CAR'!$BS$2:$CE$250,236,0)</f>
        <v>0</v>
      </c>
      <c r="DZ8" s="106">
        <f>+HLOOKUP($C8,'NEW CAR'!$BS$2:$CE$250,237,0)</f>
        <v>130526.45600942425</v>
      </c>
      <c r="EA8" s="106">
        <f>+HLOOKUP($C8,'NEW CAR'!$BS$2:$CE$250,238,0)</f>
        <v>0</v>
      </c>
      <c r="EB8" s="106">
        <f>+HLOOKUP($C8,'NEW CAR'!$BS$2:$CE$250,240,0)</f>
        <v>952163.96462113166</v>
      </c>
    </row>
    <row r="9" spans="1:133">
      <c r="A9" t="s">
        <v>269</v>
      </c>
      <c r="B9" t="s">
        <v>270</v>
      </c>
      <c r="C9" s="117">
        <v>45778</v>
      </c>
      <c r="D9" s="106">
        <f>+HLOOKUP(C9,'NEW CAR'!$BS$2:$CE$250,6,0)/3.5%</f>
        <v>94100118.748058394</v>
      </c>
      <c r="E9" s="106">
        <f>+HLOOKUP(C9,'NEW CAR'!$BS$2:$CE$250,5,0)+HLOOKUP(C9,'NEW CAR'!$BS$2:$CE$250,26,0)+HLOOKUP(C9,'NEW CAR'!$BS$2:$CE$250,59,0)</f>
        <v>5174534.266464741</v>
      </c>
      <c r="F9" s="106"/>
      <c r="G9" s="106">
        <f>+HLOOKUP($C9,'NEW CAR'!$BS$2:$CE$250,76,0)</f>
        <v>108000</v>
      </c>
      <c r="H9" s="106">
        <f>+HLOOKUP($C9,'NEW CAR'!$BS$2:$CE$250,77,0)</f>
        <v>432000</v>
      </c>
      <c r="I9" s="106">
        <f>+HLOOKUP($C9,'NEW CAR'!$BS$2:$CE$250,78,0)</f>
        <v>0</v>
      </c>
      <c r="J9" s="106">
        <f>+HLOOKUP($C9,'NEW CAR'!$BS$2:$CE$250,79,0)</f>
        <v>180000</v>
      </c>
      <c r="K9" s="106">
        <f>+HLOOKUP($C9,'NEW CAR'!$BS$2:$CE$250,80,0)</f>
        <v>0</v>
      </c>
      <c r="L9" s="106">
        <f>+HLOOKUP($C9,'NEW CAR'!$BS$2:$CE$250,81,0)</f>
        <v>0</v>
      </c>
      <c r="M9" s="106">
        <f>+HLOOKUP($C9,'NEW CAR'!$BS$2:$CE$250,82,0)</f>
        <v>0</v>
      </c>
      <c r="N9" s="106">
        <f>+HLOOKUP($C9,'NEW CAR'!$BS$2:$CE$250,83,0)</f>
        <v>0</v>
      </c>
      <c r="O9" s="106">
        <f>+HLOOKUP($C9,'NEW CAR'!$BS$2:$CE$250,84,0)</f>
        <v>0</v>
      </c>
      <c r="P9" s="106">
        <f>+HLOOKUP($C9,'NEW CAR'!$BS$2:$CE$250,85,0)</f>
        <v>0</v>
      </c>
      <c r="Q9" s="106">
        <f>+HLOOKUP($C9,'NEW CAR'!$BS$2:$CE$250,87,0)</f>
        <v>630000</v>
      </c>
      <c r="R9" s="106">
        <f>+HLOOKUP($C9,'NEW CAR'!$BS$2:$CE$250,90,0)</f>
        <v>10800</v>
      </c>
      <c r="S9" s="106">
        <f>+HLOOKUP($C9,'NEW CAR'!$BS$2:$CE$250,91,0)</f>
        <v>0</v>
      </c>
      <c r="T9" s="106">
        <f>+HLOOKUP($C9,'NEW CAR'!$BS$2:$CE$250,92,0)</f>
        <v>270000</v>
      </c>
      <c r="U9" s="106">
        <f>+HLOOKUP($C9,'NEW CAR'!$BS$2:$CE$250,93,0)</f>
        <v>9000</v>
      </c>
      <c r="V9" s="106">
        <f>+HLOOKUP($C9,'NEW CAR'!$BS$2:$CE$250,94,0)</f>
        <v>0</v>
      </c>
      <c r="W9" s="106">
        <f>+HLOOKUP($C9,'NEW CAR'!$BS$2:$CE$250,95,0)</f>
        <v>30000</v>
      </c>
      <c r="X9" s="106">
        <f>+HLOOKUP($C9,'NEW CAR'!$BS$2:$CE$250,96,0)</f>
        <v>45000</v>
      </c>
      <c r="Y9" s="106">
        <f>+HLOOKUP($C9,'NEW CAR'!$BS$2:$CE$250,97,0)</f>
        <v>90000</v>
      </c>
      <c r="Z9" s="106">
        <f>+HLOOKUP($C9,'NEW CAR'!$BS$2:$CE$250,98,0)</f>
        <v>0</v>
      </c>
      <c r="AA9" s="106">
        <f>+HLOOKUP($C9,'NEW CAR'!$BS$2:$CE$250,99,0)</f>
        <v>0</v>
      </c>
      <c r="AB9" s="106">
        <f>+HLOOKUP($C9,'NEW CAR'!$BS$2:$CE$250,100,0)</f>
        <v>36000</v>
      </c>
      <c r="AC9" s="106">
        <f>+HLOOKUP($C9,'NEW CAR'!$BS$2:$CE$250,101,0)</f>
        <v>10800</v>
      </c>
      <c r="AD9" s="106">
        <f>+HLOOKUP($C9,'NEW CAR'!$BS$2:$CE$250,104,0)</f>
        <v>18000</v>
      </c>
      <c r="AE9" s="106">
        <f>+HLOOKUP($C9,'NEW CAR'!$BS$2:$CE$250,105,0)</f>
        <v>149850</v>
      </c>
      <c r="AF9" s="106">
        <f>+HLOOKUP($C9,'NEW CAR'!$BS$2:$CE$250,106,0)</f>
        <v>59940</v>
      </c>
      <c r="AG9" s="106">
        <f>+HLOOKUP($C9,'NEW CAR'!$BS$2:$CE$250,107,0)</f>
        <v>209790</v>
      </c>
      <c r="AH9" s="106">
        <f>+HLOOKUP($C9,'NEW CAR'!$BS$2:$CE$250,108,0)</f>
        <v>0</v>
      </c>
      <c r="AI9" s="106">
        <f>+HLOOKUP($C9,'NEW CAR'!$BS$2:$CE$250,109,0)</f>
        <v>179820</v>
      </c>
      <c r="AJ9" s="106">
        <f>+HLOOKUP($C9,'NEW CAR'!$BS$2:$CE$250,110,0)</f>
        <v>0</v>
      </c>
      <c r="AK9" s="106">
        <f>+HLOOKUP($C9,'NEW CAR'!$BS$2:$CE$250,111,0)</f>
        <v>0</v>
      </c>
      <c r="AL9" s="106">
        <f>+HLOOKUP($C9,'NEW CAR'!$BS$2:$CE$250,112,0)</f>
        <v>0</v>
      </c>
      <c r="AM9" s="106">
        <f>+HLOOKUP($C9,'NEW CAR'!$BS$2:$CE$250,116,0)</f>
        <v>1124400</v>
      </c>
      <c r="AN9" s="106">
        <f>+HLOOKUP($C9,'NEW CAR'!$BS$2:$CE$250,117,0)</f>
        <v>141925</v>
      </c>
      <c r="AO9" s="106">
        <f>+HLOOKUP($C9,'NEW CAR'!$BS$2:$CE$250,118,0)</f>
        <v>31500</v>
      </c>
      <c r="AP9" s="106">
        <f>+HLOOKUP($C9,'NEW CAR'!$BS$2:$CE$250,119,0)</f>
        <v>382600</v>
      </c>
      <c r="AQ9" s="106">
        <f>+HLOOKUP($C9,'NEW CAR'!$BS$2:$CE$250,120,0)</f>
        <v>81550</v>
      </c>
      <c r="AR9" s="106">
        <f>+HLOOKUP($C9,'NEW CAR'!$BS$2:$CE$250,121,0)</f>
        <v>47550</v>
      </c>
      <c r="AS9" s="106">
        <f>+HLOOKUP($C9,'NEW CAR'!$BS$2:$CE$250,122,0)</f>
        <v>600825</v>
      </c>
      <c r="AT9" s="106">
        <f>+HLOOKUP($C9,'NEW CAR'!$BS$2:$CE$250,123,0)</f>
        <v>107556.71915625001</v>
      </c>
      <c r="AU9" s="106">
        <f>+HLOOKUP($C9,'NEW CAR'!$BS$2:$CE$250,124,0)</f>
        <v>4821.25</v>
      </c>
      <c r="AV9" s="106">
        <f>+HLOOKUP($C9,'NEW CAR'!$BS$2:$CE$250,125,0)</f>
        <v>104600</v>
      </c>
      <c r="AW9" s="106">
        <f>+HLOOKUP($C9,'NEW CAR'!$BS$2:$CE$250,126,0)</f>
        <v>54057.692307692305</v>
      </c>
      <c r="AX9" s="106">
        <f>+HLOOKUP($C9,'NEW CAR'!$BS$2:$CE$250,127,0)</f>
        <v>60583.333333333343</v>
      </c>
      <c r="AY9" s="106">
        <f>+HLOOKUP($C9,'NEW CAR'!$BS$2:$CE$250,129,0)</f>
        <v>0</v>
      </c>
      <c r="AZ9" s="106">
        <f>+HLOOKUP($C9,'NEW CAR'!$BS$2:$CE$250,130,0)</f>
        <v>0</v>
      </c>
      <c r="BA9" s="106">
        <f>+HLOOKUP($C9,'NEW CAR'!$BS$2:$CE$250,131,0)</f>
        <v>144600</v>
      </c>
      <c r="BB9" s="106">
        <f>+HLOOKUP($C9,'NEW CAR'!$BS$2:$CE$250,133,0)</f>
        <v>0</v>
      </c>
      <c r="BC9" s="106">
        <f>+HLOOKUP($C9,'NEW CAR'!$BS$2:$CE$250,134,0)</f>
        <v>162236.5138333333</v>
      </c>
      <c r="BD9" s="106">
        <f>+HLOOKUP($C9,'NEW CAR'!$BS$2:$CE$250,135,0)</f>
        <v>0</v>
      </c>
      <c r="BE9" s="106">
        <f>+HLOOKUP($C9,'NEW CAR'!$BS$2:$CE$250,136,0)</f>
        <v>0</v>
      </c>
      <c r="BF9" s="106">
        <f>+HLOOKUP($C9,'NEW CAR'!$BS$2:$CE$250,138,0)</f>
        <v>25500</v>
      </c>
      <c r="BG9" s="106">
        <f>+HLOOKUP($C9,'NEW CAR'!$BS$2:$CE$250,139,0)</f>
        <v>20582.941666666666</v>
      </c>
      <c r="BH9" s="106">
        <f>+HLOOKUP($C9,'NEW CAR'!$BS$2:$CE$250,140,0)</f>
        <v>0</v>
      </c>
      <c r="BI9" s="106">
        <f>+HLOOKUP($C9,'NEW CAR'!$BS$2:$CE$250,141,0)</f>
        <v>0</v>
      </c>
      <c r="BJ9" s="106">
        <f>+HLOOKUP($C9,'NEW CAR'!$BS$2:$CE$250,142,0)</f>
        <v>0</v>
      </c>
      <c r="BK9" s="106">
        <f>+HLOOKUP($C9,'NEW CAR'!$BS$2:$CE$250,143,0)</f>
        <v>36529.25</v>
      </c>
      <c r="BL9" s="106">
        <f>+HLOOKUP($C9,'NEW CAR'!$BS$2:$CE$250,144,0)</f>
        <v>5281.25</v>
      </c>
      <c r="BM9" s="106">
        <f>+HLOOKUP($C9,'NEW CAR'!$BS$2:$CE$250,146,0)</f>
        <v>0</v>
      </c>
      <c r="BN9" s="106">
        <f>+HLOOKUP($C9,'NEW CAR'!$BS$2:$CE$250,147,0)</f>
        <v>75878</v>
      </c>
      <c r="BO9" s="106">
        <f>+HLOOKUP($C9,'NEW CAR'!$BS$2:$CE$250,148,0)</f>
        <v>0</v>
      </c>
      <c r="BP9" s="106">
        <f>+HLOOKUP($C9,'NEW CAR'!$BS$2:$CE$250,150,0)</f>
        <v>67863.862500000003</v>
      </c>
      <c r="BQ9" s="106">
        <f>+HLOOKUP($C9,'NEW CAR'!$BS$2:$CE$250,151,0)</f>
        <v>4961</v>
      </c>
      <c r="BR9" s="106">
        <f>+HLOOKUP($C9,'NEW CAR'!$BS$2:$CE$250,152,0)</f>
        <v>47000</v>
      </c>
      <c r="BS9" s="106">
        <f>+HLOOKUP($C9,'NEW CAR'!$BS$2:$CE$250,153,0)</f>
        <v>6000</v>
      </c>
      <c r="BT9" s="106">
        <f>+HLOOKUP($C9,'NEW CAR'!$BS$2:$CE$250,157,0)</f>
        <v>64260</v>
      </c>
      <c r="BU9" s="106">
        <f>+HLOOKUP($C9,'NEW CAR'!$BS$2:$CE$250,158,0)</f>
        <v>5800</v>
      </c>
      <c r="BV9" s="106">
        <f>+HLOOKUP($C9,'NEW CAR'!$BS$2:$CE$250,159,0)</f>
        <v>999.72222222222217</v>
      </c>
      <c r="BW9" s="106">
        <f>+HLOOKUP($C9,'NEW CAR'!$BS$2:$CE$250,160,0)</f>
        <v>300</v>
      </c>
      <c r="BX9" s="106">
        <f>+HLOOKUP($C9,'NEW CAR'!$BS$2:$CE$250,161,0)</f>
        <v>17824.909583333334</v>
      </c>
      <c r="BY9" s="106">
        <f>+HLOOKUP($C9,'NEW CAR'!$BS$2:$CE$250,164,0)</f>
        <v>16000</v>
      </c>
      <c r="BZ9" s="106">
        <f>+HLOOKUP($C9,'NEW CAR'!$BS$2:$CE$250,165,0)</f>
        <v>0</v>
      </c>
      <c r="CA9" s="106">
        <f>+HLOOKUP($C9,'NEW CAR'!$BS$2:$CE$250,166,0)</f>
        <v>0</v>
      </c>
      <c r="CB9" s="106">
        <f>+HLOOKUP($C9,'NEW CAR'!$BS$2:$CE$250,167,0)</f>
        <v>0</v>
      </c>
      <c r="CC9" s="106">
        <f>+HLOOKUP($C9,'NEW CAR'!$BS$2:$CE$250,168,0)</f>
        <v>0</v>
      </c>
      <c r="CD9" s="106">
        <f>+HLOOKUP($C9,'NEW CAR'!$BS$2:$CE$250,169,0)</f>
        <v>1666.6666666666667</v>
      </c>
      <c r="CE9" s="106">
        <f>+HLOOKUP($C9,'NEW CAR'!$BS$2:$CE$250,170,0)</f>
        <v>0</v>
      </c>
      <c r="CF9" s="106">
        <f>+HLOOKUP($C9,'NEW CAR'!$BS$2:$CE$250,172,0)</f>
        <v>20150</v>
      </c>
      <c r="CG9" s="106">
        <f>+HLOOKUP($C9,'NEW CAR'!$BS$2:$CE$250,173,0)</f>
        <v>0</v>
      </c>
      <c r="CH9" s="106">
        <f>+HLOOKUP($C9,'NEW CAR'!$BS$2:$CE$250,174,0)</f>
        <v>0</v>
      </c>
      <c r="CI9" s="106">
        <f>+HLOOKUP($C9,'NEW CAR'!$BS$2:$CE$250,175,0)</f>
        <v>0</v>
      </c>
      <c r="CJ9" s="106">
        <f>+HLOOKUP($C9,'NEW CAR'!$BS$2:$CE$250,176,0)</f>
        <v>15800</v>
      </c>
      <c r="CK9" s="106">
        <f>+HLOOKUP($C9,'NEW CAR'!$BS$2:$CE$250,178,0)</f>
        <v>150000</v>
      </c>
      <c r="CL9" s="106">
        <f>+HLOOKUP($C9,'NEW CAR'!$BS$2:$CE$250,179,0)</f>
        <v>10000</v>
      </c>
      <c r="CM9" s="106">
        <f>+HLOOKUP($C9,'NEW CAR'!$BS$2:$CE$250,180,0)</f>
        <v>0</v>
      </c>
      <c r="CN9" s="106">
        <f>+HLOOKUP($C9,'NEW CAR'!$BS$2:$CE$250,182,0)</f>
        <v>1638</v>
      </c>
      <c r="CO9" s="106">
        <f>+HLOOKUP($C9,'NEW CAR'!$BS$2:$CE$250,183,0)</f>
        <v>19981</v>
      </c>
      <c r="CP9" s="106">
        <f>+HLOOKUP($C9,'NEW CAR'!$BS$2:$CE$250,184,0)</f>
        <v>14400</v>
      </c>
      <c r="CQ9" s="106">
        <f>+HLOOKUP($C9,'NEW CAR'!$BS$2:$CE$250,185,0)</f>
        <v>0</v>
      </c>
      <c r="CR9" s="106">
        <f>+HLOOKUP($C9,'NEW CAR'!$BS$2:$CE$250,187,0)</f>
        <v>8332.8000000000011</v>
      </c>
      <c r="CS9" s="106">
        <f>+HLOOKUP($C9,'NEW CAR'!$BS$2:$CE$250,188,0)</f>
        <v>10600</v>
      </c>
      <c r="CT9" s="106">
        <f>+HLOOKUP($C9,'NEW CAR'!$BS$2:$CE$250,189,0)</f>
        <v>6666.8</v>
      </c>
      <c r="CU9" s="106">
        <f>+HLOOKUP($C9,'NEW CAR'!$BS$2:$CE$250,190,0)</f>
        <v>6755.6</v>
      </c>
      <c r="CV9" s="106">
        <f>+HLOOKUP($C9,'NEW CAR'!$BS$2:$CE$250,191,0)</f>
        <v>0</v>
      </c>
      <c r="CW9" s="106">
        <f>+HLOOKUP($C9,'NEW CAR'!$BS$2:$CE$250,193,0)</f>
        <v>11831</v>
      </c>
      <c r="CX9" s="106">
        <f>+HLOOKUP($C9,'NEW CAR'!$BS$2:$CE$250,194,0)</f>
        <v>106</v>
      </c>
      <c r="CY9" s="106">
        <f>+HLOOKUP($C9,'NEW CAR'!$BS$2:$CE$250,195,0)</f>
        <v>7249.8819999999996</v>
      </c>
      <c r="CZ9" s="106">
        <f>+HLOOKUP($C9,'NEW CAR'!$BS$2:$CE$250,196,0)</f>
        <v>0</v>
      </c>
      <c r="DA9" s="106">
        <f>+HLOOKUP($C9,'NEW CAR'!$BS$2:$CE$250,197,0)</f>
        <v>43776</v>
      </c>
      <c r="DB9" s="106">
        <f>+HLOOKUP($C9,'NEW CAR'!$BS$2:$CE$250,198,0)</f>
        <v>13480</v>
      </c>
      <c r="DC9" s="106">
        <f>+HLOOKUP($C9,'NEW CAR'!$BS$2:$CE$250,199,0)</f>
        <v>2880</v>
      </c>
      <c r="DD9" s="106">
        <f>+HLOOKUP($C9,'NEW CAR'!$BS$2:$CE$250,200,0)</f>
        <v>1700</v>
      </c>
      <c r="DE9" s="106">
        <f>+HLOOKUP($C9,'NEW CAR'!$BS$2:$CE$250,201,0)</f>
        <v>198</v>
      </c>
      <c r="DF9" s="106">
        <f>+HLOOKUP($C9,'NEW CAR'!$BS$2:$CE$250,202,0)</f>
        <v>0</v>
      </c>
      <c r="DG9" s="106">
        <f>+HLOOKUP($C9,'NEW CAR'!$BS$2:$CE$250,203,0)</f>
        <v>0</v>
      </c>
      <c r="DH9" s="106">
        <f>+HLOOKUP($C9,'NEW CAR'!$BS$2:$CE$250,205,0)</f>
        <v>68123.915427272703</v>
      </c>
      <c r="DI9" s="106">
        <f>+HLOOKUP($C9,'NEW CAR'!$BS$2:$CE$250,206,0)</f>
        <v>16170</v>
      </c>
      <c r="DJ9" s="106">
        <f>+HLOOKUP($C9,'NEW CAR'!$BS$2:$CE$250,207,0)</f>
        <v>2176.7316666666666</v>
      </c>
      <c r="DK9" s="106">
        <f>+HLOOKUP($C9,'NEW CAR'!$BS$2:$CE$250,209,0)</f>
        <v>0</v>
      </c>
      <c r="DL9" s="106">
        <f>+HLOOKUP($C9,'NEW CAR'!$BS$2:$CE$250,210,0)</f>
        <v>0</v>
      </c>
      <c r="DM9" s="106">
        <f>+HLOOKUP($C9,'NEW CAR'!$BS$2:$CE$250,211,0)</f>
        <v>87450.312499999956</v>
      </c>
      <c r="DN9" s="106">
        <f>+HLOOKUP($C9,'NEW CAR'!$BS$2:$CE$250,212,0)</f>
        <v>73286.518331250001</v>
      </c>
      <c r="DO9" s="106">
        <f>+HLOOKUP($C9,'NEW CAR'!$BS$2:$CE$250,214,0)</f>
        <v>0</v>
      </c>
      <c r="DP9" s="106">
        <f>+HLOOKUP($C9,'NEW CAR'!$BS$2:$CE$250,215,0)</f>
        <v>2400</v>
      </c>
      <c r="DQ9" s="106">
        <f>+HLOOKUP($C9,'NEW CAR'!$BS$2:$CE$250,219,0)</f>
        <v>0</v>
      </c>
      <c r="DR9" s="106">
        <f>+HLOOKUP($C9,'NEW CAR'!$BS$2:$CE$250,220,0)</f>
        <v>0</v>
      </c>
      <c r="DS9" s="106">
        <f>+HLOOKUP($C9,'NEW CAR'!$BS$2:$CE$250,221,0)</f>
        <v>276000</v>
      </c>
      <c r="DT9" s="106">
        <f>+HLOOKUP($C9,'NEW CAR'!$BS$2:$CE$250,223,0)</f>
        <v>50000</v>
      </c>
      <c r="DU9" s="106">
        <f>+HLOOKUP($C9,'NEW CAR'!$BS$2:$CE$250,224,0)</f>
        <v>0</v>
      </c>
      <c r="DV9" s="106">
        <f>+HLOOKUP($C9,'NEW CAR'!$BS$2:$CE$250,225,0)</f>
        <v>0</v>
      </c>
      <c r="DW9" s="106">
        <f>+HLOOKUP($C9,'NEW CAR'!$BS$2:$CE$250,227,0)</f>
        <v>0</v>
      </c>
      <c r="DX9" s="106">
        <f>+HLOOKUP($C9,'NEW CAR'!$BS$2:$CE$250,228,0)</f>
        <v>0</v>
      </c>
      <c r="DY9" s="106">
        <f>+HLOOKUP($C9,'NEW CAR'!$BS$2:$CE$250,236,0)</f>
        <v>0</v>
      </c>
      <c r="DZ9" s="106">
        <f>+HLOOKUP($C9,'NEW CAR'!$BS$2:$CE$250,237,0)</f>
        <v>136652.03964872836</v>
      </c>
      <c r="EA9" s="106">
        <f>+HLOOKUP($C9,'NEW CAR'!$BS$2:$CE$250,238,0)</f>
        <v>0</v>
      </c>
      <c r="EB9" s="106">
        <f>+HLOOKUP($C9,'NEW CAR'!$BS$2:$CE$250,240,0)</f>
        <v>952163.96462113166</v>
      </c>
    </row>
    <row r="10" spans="1:133">
      <c r="A10" t="s">
        <v>269</v>
      </c>
      <c r="B10" t="s">
        <v>270</v>
      </c>
      <c r="C10" s="117">
        <v>45748</v>
      </c>
      <c r="D10" s="106">
        <f>+HLOOKUP(C10,'NEW CAR'!$BS$2:$CE$250,6,0)/3.5%</f>
        <v>67952692.839391112</v>
      </c>
      <c r="E10" s="106">
        <f>+HLOOKUP(C10,'NEW CAR'!$BS$2:$CE$250,5,0)+HLOOKUP(C10,'NEW CAR'!$BS$2:$CE$250,26,0)+HLOOKUP(C10,'NEW CAR'!$BS$2:$CE$250,59,0)</f>
        <v>3884315.9719633427</v>
      </c>
      <c r="F10" s="106"/>
      <c r="G10" s="106">
        <f>+HLOOKUP($C10,'NEW CAR'!$BS$2:$CE$250,76,0)</f>
        <v>90000</v>
      </c>
      <c r="H10" s="106">
        <f>+HLOOKUP($C10,'NEW CAR'!$BS$2:$CE$250,77,0)</f>
        <v>360000</v>
      </c>
      <c r="I10" s="106">
        <f>+HLOOKUP($C10,'NEW CAR'!$BS$2:$CE$250,78,0)</f>
        <v>0</v>
      </c>
      <c r="J10" s="106">
        <f>+HLOOKUP($C10,'NEW CAR'!$BS$2:$CE$250,79,0)</f>
        <v>150000</v>
      </c>
      <c r="K10" s="106">
        <f>+HLOOKUP($C10,'NEW CAR'!$BS$2:$CE$250,80,0)</f>
        <v>0</v>
      </c>
      <c r="L10" s="106">
        <f>+HLOOKUP($C10,'NEW CAR'!$BS$2:$CE$250,81,0)</f>
        <v>0</v>
      </c>
      <c r="M10" s="106">
        <f>+HLOOKUP($C10,'NEW CAR'!$BS$2:$CE$250,82,0)</f>
        <v>0</v>
      </c>
      <c r="N10" s="106">
        <f>+HLOOKUP($C10,'NEW CAR'!$BS$2:$CE$250,83,0)</f>
        <v>0</v>
      </c>
      <c r="O10" s="106">
        <f>+HLOOKUP($C10,'NEW CAR'!$BS$2:$CE$250,84,0)</f>
        <v>0</v>
      </c>
      <c r="P10" s="106">
        <f>+HLOOKUP($C10,'NEW CAR'!$BS$2:$CE$250,85,0)</f>
        <v>0</v>
      </c>
      <c r="Q10" s="106">
        <f>+HLOOKUP($C10,'NEW CAR'!$BS$2:$CE$250,87,0)</f>
        <v>525000</v>
      </c>
      <c r="R10" s="106">
        <f>+HLOOKUP($C10,'NEW CAR'!$BS$2:$CE$250,90,0)</f>
        <v>9000</v>
      </c>
      <c r="S10" s="106">
        <f>+HLOOKUP($C10,'NEW CAR'!$BS$2:$CE$250,91,0)</f>
        <v>0</v>
      </c>
      <c r="T10" s="106">
        <f>+HLOOKUP($C10,'NEW CAR'!$BS$2:$CE$250,92,0)</f>
        <v>225000</v>
      </c>
      <c r="U10" s="106">
        <f>+HLOOKUP($C10,'NEW CAR'!$BS$2:$CE$250,93,0)</f>
        <v>7500</v>
      </c>
      <c r="V10" s="106">
        <f>+HLOOKUP($C10,'NEW CAR'!$BS$2:$CE$250,94,0)</f>
        <v>0</v>
      </c>
      <c r="W10" s="106">
        <f>+HLOOKUP($C10,'NEW CAR'!$BS$2:$CE$250,95,0)</f>
        <v>30000</v>
      </c>
      <c r="X10" s="106">
        <f>+HLOOKUP($C10,'NEW CAR'!$BS$2:$CE$250,96,0)</f>
        <v>45000</v>
      </c>
      <c r="Y10" s="106">
        <f>+HLOOKUP($C10,'NEW CAR'!$BS$2:$CE$250,97,0)</f>
        <v>75000</v>
      </c>
      <c r="Z10" s="106">
        <f>+HLOOKUP($C10,'NEW CAR'!$BS$2:$CE$250,98,0)</f>
        <v>0</v>
      </c>
      <c r="AA10" s="106">
        <f>+HLOOKUP($C10,'NEW CAR'!$BS$2:$CE$250,99,0)</f>
        <v>0</v>
      </c>
      <c r="AB10" s="106">
        <f>+HLOOKUP($C10,'NEW CAR'!$BS$2:$CE$250,100,0)</f>
        <v>30000</v>
      </c>
      <c r="AC10" s="106">
        <f>+HLOOKUP($C10,'NEW CAR'!$BS$2:$CE$250,101,0)</f>
        <v>9000</v>
      </c>
      <c r="AD10" s="106">
        <f>+HLOOKUP($C10,'NEW CAR'!$BS$2:$CE$250,104,0)</f>
        <v>15000</v>
      </c>
      <c r="AE10" s="106">
        <f>+HLOOKUP($C10,'NEW CAR'!$BS$2:$CE$250,105,0)</f>
        <v>124875</v>
      </c>
      <c r="AF10" s="106">
        <f>+HLOOKUP($C10,'NEW CAR'!$BS$2:$CE$250,106,0)</f>
        <v>49950</v>
      </c>
      <c r="AG10" s="106">
        <f>+HLOOKUP($C10,'NEW CAR'!$BS$2:$CE$250,107,0)</f>
        <v>174825</v>
      </c>
      <c r="AH10" s="106">
        <f>+HLOOKUP($C10,'NEW CAR'!$BS$2:$CE$250,108,0)</f>
        <v>0</v>
      </c>
      <c r="AI10" s="106">
        <f>+HLOOKUP($C10,'NEW CAR'!$BS$2:$CE$250,109,0)</f>
        <v>149850</v>
      </c>
      <c r="AJ10" s="106">
        <f>+HLOOKUP($C10,'NEW CAR'!$BS$2:$CE$250,110,0)</f>
        <v>0</v>
      </c>
      <c r="AK10" s="106">
        <f>+HLOOKUP($C10,'NEW CAR'!$BS$2:$CE$250,111,0)</f>
        <v>0</v>
      </c>
      <c r="AL10" s="106">
        <f>+HLOOKUP($C10,'NEW CAR'!$BS$2:$CE$250,112,0)</f>
        <v>0</v>
      </c>
      <c r="AM10" s="106">
        <f>+HLOOKUP($C10,'NEW CAR'!$BS$2:$CE$250,116,0)</f>
        <v>1124400</v>
      </c>
      <c r="AN10" s="106">
        <f>+HLOOKUP($C10,'NEW CAR'!$BS$2:$CE$250,117,0)</f>
        <v>141925</v>
      </c>
      <c r="AO10" s="106">
        <f>+HLOOKUP($C10,'NEW CAR'!$BS$2:$CE$250,118,0)</f>
        <v>31500</v>
      </c>
      <c r="AP10" s="106">
        <f>+HLOOKUP($C10,'NEW CAR'!$BS$2:$CE$250,119,0)</f>
        <v>382600</v>
      </c>
      <c r="AQ10" s="106">
        <f>+HLOOKUP($C10,'NEW CAR'!$BS$2:$CE$250,120,0)</f>
        <v>81550</v>
      </c>
      <c r="AR10" s="106">
        <f>+HLOOKUP($C10,'NEW CAR'!$BS$2:$CE$250,121,0)</f>
        <v>47550</v>
      </c>
      <c r="AS10" s="106">
        <f>+HLOOKUP($C10,'NEW CAR'!$BS$2:$CE$250,122,0)</f>
        <v>600825</v>
      </c>
      <c r="AT10" s="106">
        <f>+HLOOKUP($C10,'NEW CAR'!$BS$2:$CE$250,123,0)</f>
        <v>107556.71915625001</v>
      </c>
      <c r="AU10" s="106">
        <f>+HLOOKUP($C10,'NEW CAR'!$BS$2:$CE$250,124,0)</f>
        <v>4821.25</v>
      </c>
      <c r="AV10" s="106">
        <f>+HLOOKUP($C10,'NEW CAR'!$BS$2:$CE$250,125,0)</f>
        <v>104600</v>
      </c>
      <c r="AW10" s="106">
        <f>+HLOOKUP($C10,'NEW CAR'!$BS$2:$CE$250,126,0)</f>
        <v>54057.692307692305</v>
      </c>
      <c r="AX10" s="106">
        <f>+HLOOKUP($C10,'NEW CAR'!$BS$2:$CE$250,127,0)</f>
        <v>60583.333333333343</v>
      </c>
      <c r="AY10" s="106">
        <f>+HLOOKUP($C10,'NEW CAR'!$BS$2:$CE$250,129,0)</f>
        <v>0</v>
      </c>
      <c r="AZ10" s="106">
        <f>+HLOOKUP($C10,'NEW CAR'!$BS$2:$CE$250,130,0)</f>
        <v>0</v>
      </c>
      <c r="BA10" s="106">
        <f>+HLOOKUP($C10,'NEW CAR'!$BS$2:$CE$250,131,0)</f>
        <v>144600</v>
      </c>
      <c r="BB10" s="106">
        <f>+HLOOKUP($C10,'NEW CAR'!$BS$2:$CE$250,133,0)</f>
        <v>0</v>
      </c>
      <c r="BC10" s="106">
        <f>+HLOOKUP($C10,'NEW CAR'!$BS$2:$CE$250,134,0)</f>
        <v>162236.5138333333</v>
      </c>
      <c r="BD10" s="106">
        <f>+HLOOKUP($C10,'NEW CAR'!$BS$2:$CE$250,135,0)</f>
        <v>0</v>
      </c>
      <c r="BE10" s="106">
        <f>+HLOOKUP($C10,'NEW CAR'!$BS$2:$CE$250,136,0)</f>
        <v>0</v>
      </c>
      <c r="BF10" s="106">
        <f>+HLOOKUP($C10,'NEW CAR'!$BS$2:$CE$250,138,0)</f>
        <v>25500</v>
      </c>
      <c r="BG10" s="106">
        <f>+HLOOKUP($C10,'NEW CAR'!$BS$2:$CE$250,139,0)</f>
        <v>20582.941666666666</v>
      </c>
      <c r="BH10" s="106">
        <f>+HLOOKUP($C10,'NEW CAR'!$BS$2:$CE$250,140,0)</f>
        <v>0</v>
      </c>
      <c r="BI10" s="106">
        <f>+HLOOKUP($C10,'NEW CAR'!$BS$2:$CE$250,141,0)</f>
        <v>0</v>
      </c>
      <c r="BJ10" s="106">
        <f>+HLOOKUP($C10,'NEW CAR'!$BS$2:$CE$250,142,0)</f>
        <v>0</v>
      </c>
      <c r="BK10" s="106">
        <f>+HLOOKUP($C10,'NEW CAR'!$BS$2:$CE$250,143,0)</f>
        <v>36529.25</v>
      </c>
      <c r="BL10" s="106">
        <f>+HLOOKUP($C10,'NEW CAR'!$BS$2:$CE$250,144,0)</f>
        <v>43197.916666666672</v>
      </c>
      <c r="BM10" s="106">
        <f>+HLOOKUP($C10,'NEW CAR'!$BS$2:$CE$250,146,0)</f>
        <v>0</v>
      </c>
      <c r="BN10" s="106">
        <f>+HLOOKUP($C10,'NEW CAR'!$BS$2:$CE$250,147,0)</f>
        <v>75878</v>
      </c>
      <c r="BO10" s="106">
        <f>+HLOOKUP($C10,'NEW CAR'!$BS$2:$CE$250,148,0)</f>
        <v>0</v>
      </c>
      <c r="BP10" s="106">
        <f>+HLOOKUP($C10,'NEW CAR'!$BS$2:$CE$250,150,0)</f>
        <v>67863.862500000003</v>
      </c>
      <c r="BQ10" s="106">
        <f>+HLOOKUP($C10,'NEW CAR'!$BS$2:$CE$250,151,0)</f>
        <v>4961</v>
      </c>
      <c r="BR10" s="106">
        <f>+HLOOKUP($C10,'NEW CAR'!$BS$2:$CE$250,152,0)</f>
        <v>47000</v>
      </c>
      <c r="BS10" s="106">
        <f>+HLOOKUP($C10,'NEW CAR'!$BS$2:$CE$250,153,0)</f>
        <v>6000</v>
      </c>
      <c r="BT10" s="106">
        <f>+HLOOKUP($C10,'NEW CAR'!$BS$2:$CE$250,157,0)</f>
        <v>64260</v>
      </c>
      <c r="BU10" s="106">
        <f>+HLOOKUP($C10,'NEW CAR'!$BS$2:$CE$250,158,0)</f>
        <v>5800</v>
      </c>
      <c r="BV10" s="106">
        <f>+HLOOKUP($C10,'NEW CAR'!$BS$2:$CE$250,159,0)</f>
        <v>999.72222222222217</v>
      </c>
      <c r="BW10" s="106">
        <f>+HLOOKUP($C10,'NEW CAR'!$BS$2:$CE$250,160,0)</f>
        <v>300</v>
      </c>
      <c r="BX10" s="106">
        <f>+HLOOKUP($C10,'NEW CAR'!$BS$2:$CE$250,161,0)</f>
        <v>17824.909583333334</v>
      </c>
      <c r="BY10" s="106">
        <f>+HLOOKUP($C10,'NEW CAR'!$BS$2:$CE$250,164,0)</f>
        <v>16000</v>
      </c>
      <c r="BZ10" s="106">
        <f>+HLOOKUP($C10,'NEW CAR'!$BS$2:$CE$250,165,0)</f>
        <v>0</v>
      </c>
      <c r="CA10" s="106">
        <f>+HLOOKUP($C10,'NEW CAR'!$BS$2:$CE$250,166,0)</f>
        <v>0</v>
      </c>
      <c r="CB10" s="106">
        <f>+HLOOKUP($C10,'NEW CAR'!$BS$2:$CE$250,167,0)</f>
        <v>0</v>
      </c>
      <c r="CC10" s="106">
        <f>+HLOOKUP($C10,'NEW CAR'!$BS$2:$CE$250,168,0)</f>
        <v>0</v>
      </c>
      <c r="CD10" s="106">
        <f>+HLOOKUP($C10,'NEW CAR'!$BS$2:$CE$250,169,0)</f>
        <v>1666.6666666666667</v>
      </c>
      <c r="CE10" s="106">
        <f>+HLOOKUP($C10,'NEW CAR'!$BS$2:$CE$250,170,0)</f>
        <v>0</v>
      </c>
      <c r="CF10" s="106">
        <f>+HLOOKUP($C10,'NEW CAR'!$BS$2:$CE$250,172,0)</f>
        <v>20150</v>
      </c>
      <c r="CG10" s="106">
        <f>+HLOOKUP($C10,'NEW CAR'!$BS$2:$CE$250,173,0)</f>
        <v>0</v>
      </c>
      <c r="CH10" s="106">
        <f>+HLOOKUP($C10,'NEW CAR'!$BS$2:$CE$250,174,0)</f>
        <v>0</v>
      </c>
      <c r="CI10" s="106">
        <f>+HLOOKUP($C10,'NEW CAR'!$BS$2:$CE$250,175,0)</f>
        <v>0</v>
      </c>
      <c r="CJ10" s="106">
        <f>+HLOOKUP($C10,'NEW CAR'!$BS$2:$CE$250,176,0)</f>
        <v>15800</v>
      </c>
      <c r="CK10" s="106">
        <f>+HLOOKUP($C10,'NEW CAR'!$BS$2:$CE$250,178,0)</f>
        <v>150000</v>
      </c>
      <c r="CL10" s="106">
        <f>+HLOOKUP($C10,'NEW CAR'!$BS$2:$CE$250,179,0)</f>
        <v>10000</v>
      </c>
      <c r="CM10" s="106">
        <f>+HLOOKUP($C10,'NEW CAR'!$BS$2:$CE$250,180,0)</f>
        <v>0</v>
      </c>
      <c r="CN10" s="106">
        <f>+HLOOKUP($C10,'NEW CAR'!$BS$2:$CE$250,182,0)</f>
        <v>1638</v>
      </c>
      <c r="CO10" s="106">
        <f>+HLOOKUP($C10,'NEW CAR'!$BS$2:$CE$250,183,0)</f>
        <v>19981</v>
      </c>
      <c r="CP10" s="106">
        <f>+HLOOKUP($C10,'NEW CAR'!$BS$2:$CE$250,184,0)</f>
        <v>14400</v>
      </c>
      <c r="CQ10" s="106">
        <f>+HLOOKUP($C10,'NEW CAR'!$BS$2:$CE$250,185,0)</f>
        <v>0</v>
      </c>
      <c r="CR10" s="106">
        <f>+HLOOKUP($C10,'NEW CAR'!$BS$2:$CE$250,187,0)</f>
        <v>8332.8000000000011</v>
      </c>
      <c r="CS10" s="106">
        <f>+HLOOKUP($C10,'NEW CAR'!$BS$2:$CE$250,188,0)</f>
        <v>10600</v>
      </c>
      <c r="CT10" s="106">
        <f>+HLOOKUP($C10,'NEW CAR'!$BS$2:$CE$250,189,0)</f>
        <v>6666.8</v>
      </c>
      <c r="CU10" s="106">
        <f>+HLOOKUP($C10,'NEW CAR'!$BS$2:$CE$250,190,0)</f>
        <v>6755.6</v>
      </c>
      <c r="CV10" s="106">
        <f>+HLOOKUP($C10,'NEW CAR'!$BS$2:$CE$250,191,0)</f>
        <v>0</v>
      </c>
      <c r="CW10" s="106">
        <f>+HLOOKUP($C10,'NEW CAR'!$BS$2:$CE$250,193,0)</f>
        <v>11831</v>
      </c>
      <c r="CX10" s="106">
        <f>+HLOOKUP($C10,'NEW CAR'!$BS$2:$CE$250,194,0)</f>
        <v>106</v>
      </c>
      <c r="CY10" s="106">
        <f>+HLOOKUP($C10,'NEW CAR'!$BS$2:$CE$250,195,0)</f>
        <v>7249.8819999999996</v>
      </c>
      <c r="CZ10" s="106">
        <f>+HLOOKUP($C10,'NEW CAR'!$BS$2:$CE$250,196,0)</f>
        <v>0</v>
      </c>
      <c r="DA10" s="106">
        <f>+HLOOKUP($C10,'NEW CAR'!$BS$2:$CE$250,197,0)</f>
        <v>43776</v>
      </c>
      <c r="DB10" s="106">
        <f>+HLOOKUP($C10,'NEW CAR'!$BS$2:$CE$250,198,0)</f>
        <v>13480</v>
      </c>
      <c r="DC10" s="106">
        <f>+HLOOKUP($C10,'NEW CAR'!$BS$2:$CE$250,199,0)</f>
        <v>2880</v>
      </c>
      <c r="DD10" s="106">
        <f>+HLOOKUP($C10,'NEW CAR'!$BS$2:$CE$250,200,0)</f>
        <v>1700</v>
      </c>
      <c r="DE10" s="106">
        <f>+HLOOKUP($C10,'NEW CAR'!$BS$2:$CE$250,201,0)</f>
        <v>198</v>
      </c>
      <c r="DF10" s="106">
        <f>+HLOOKUP($C10,'NEW CAR'!$BS$2:$CE$250,202,0)</f>
        <v>0</v>
      </c>
      <c r="DG10" s="106">
        <f>+HLOOKUP($C10,'NEW CAR'!$BS$2:$CE$250,203,0)</f>
        <v>0</v>
      </c>
      <c r="DH10" s="106">
        <f>+HLOOKUP($C10,'NEW CAR'!$BS$2:$CE$250,205,0)</f>
        <v>68123.915427272703</v>
      </c>
      <c r="DI10" s="106">
        <f>+HLOOKUP($C10,'NEW CAR'!$BS$2:$CE$250,206,0)</f>
        <v>16170</v>
      </c>
      <c r="DJ10" s="106">
        <f>+HLOOKUP($C10,'NEW CAR'!$BS$2:$CE$250,207,0)</f>
        <v>2176.7316666666666</v>
      </c>
      <c r="DK10" s="106">
        <f>+HLOOKUP($C10,'NEW CAR'!$BS$2:$CE$250,209,0)</f>
        <v>0</v>
      </c>
      <c r="DL10" s="106">
        <f>+HLOOKUP($C10,'NEW CAR'!$BS$2:$CE$250,210,0)</f>
        <v>0</v>
      </c>
      <c r="DM10" s="106">
        <f>+HLOOKUP($C10,'NEW CAR'!$BS$2:$CE$250,211,0)</f>
        <v>87450.312499999956</v>
      </c>
      <c r="DN10" s="106">
        <f>+HLOOKUP($C10,'NEW CAR'!$BS$2:$CE$250,212,0)</f>
        <v>73286.518331250001</v>
      </c>
      <c r="DO10" s="106">
        <f>+HLOOKUP($C10,'NEW CAR'!$BS$2:$CE$250,214,0)</f>
        <v>0</v>
      </c>
      <c r="DP10" s="106">
        <f>+HLOOKUP($C10,'NEW CAR'!$BS$2:$CE$250,215,0)</f>
        <v>2400</v>
      </c>
      <c r="DQ10" s="106">
        <f>+HLOOKUP($C10,'NEW CAR'!$BS$2:$CE$250,219,0)</f>
        <v>0</v>
      </c>
      <c r="DR10" s="106">
        <f>+HLOOKUP($C10,'NEW CAR'!$BS$2:$CE$250,220,0)</f>
        <v>0</v>
      </c>
      <c r="DS10" s="106">
        <f>+HLOOKUP($C10,'NEW CAR'!$BS$2:$CE$250,221,0)</f>
        <v>276000</v>
      </c>
      <c r="DT10" s="106">
        <f>+HLOOKUP($C10,'NEW CAR'!$BS$2:$CE$250,223,0)</f>
        <v>50000</v>
      </c>
      <c r="DU10" s="106">
        <f>+HLOOKUP($C10,'NEW CAR'!$BS$2:$CE$250,224,0)</f>
        <v>0</v>
      </c>
      <c r="DV10" s="106">
        <f>+HLOOKUP($C10,'NEW CAR'!$BS$2:$CE$250,225,0)</f>
        <v>0</v>
      </c>
      <c r="DW10" s="106">
        <f>+HLOOKUP($C10,'NEW CAR'!$BS$2:$CE$250,227,0)</f>
        <v>0</v>
      </c>
      <c r="DX10" s="106">
        <f>+HLOOKUP($C10,'NEW CAR'!$BS$2:$CE$250,228,0)</f>
        <v>0</v>
      </c>
      <c r="DY10" s="106">
        <f>+HLOOKUP($C10,'NEW CAR'!$BS$2:$CE$250,236,0)</f>
        <v>0</v>
      </c>
      <c r="DZ10" s="106">
        <f>+HLOOKUP($C10,'NEW CAR'!$BS$2:$CE$250,237,0)</f>
        <v>133961.36266553384</v>
      </c>
      <c r="EA10" s="106">
        <f>+HLOOKUP($C10,'NEW CAR'!$BS$2:$CE$250,238,0)</f>
        <v>0</v>
      </c>
      <c r="EB10" s="106">
        <f>+HLOOKUP($C10,'NEW CAR'!$BS$2:$CE$250,240,0)</f>
        <v>952163.96462113166</v>
      </c>
    </row>
    <row r="11" spans="1:133">
      <c r="A11" t="s">
        <v>269</v>
      </c>
      <c r="B11" t="s">
        <v>270</v>
      </c>
      <c r="C11" s="117">
        <v>45717</v>
      </c>
      <c r="D11" s="106">
        <f>+HLOOKUP(C11,'NEW CAR'!$BS$2:$CE$250,6,0)/3.5%</f>
        <v>127086273.16602315</v>
      </c>
      <c r="E11" s="106">
        <f>+HLOOKUP(C11,'NEW CAR'!$BS$2:$CE$250,5,0)+HLOOKUP(C11,'NEW CAR'!$BS$2:$CE$250,26,0)+HLOOKUP(C11,'NEW CAR'!$BS$2:$CE$250,59,0)</f>
        <v>11314798.132239383</v>
      </c>
      <c r="F11" s="106"/>
      <c r="G11" s="106">
        <f>+HLOOKUP($C11,'NEW CAR'!$BS$2:$CE$250,76,0)</f>
        <v>132000</v>
      </c>
      <c r="H11" s="106">
        <f>+HLOOKUP($C11,'NEW CAR'!$BS$2:$CE$250,77,0)</f>
        <v>528000</v>
      </c>
      <c r="I11" s="106">
        <f>+HLOOKUP($C11,'NEW CAR'!$BS$2:$CE$250,78,0)</f>
        <v>0</v>
      </c>
      <c r="J11" s="106">
        <f>+HLOOKUP($C11,'NEW CAR'!$BS$2:$CE$250,79,0)</f>
        <v>220000</v>
      </c>
      <c r="K11" s="106">
        <f>+HLOOKUP($C11,'NEW CAR'!$BS$2:$CE$250,80,0)</f>
        <v>0</v>
      </c>
      <c r="L11" s="106">
        <f>+HLOOKUP($C11,'NEW CAR'!$BS$2:$CE$250,81,0)</f>
        <v>0</v>
      </c>
      <c r="M11" s="106">
        <f>+HLOOKUP($C11,'NEW CAR'!$BS$2:$CE$250,82,0)</f>
        <v>0</v>
      </c>
      <c r="N11" s="106">
        <f>+HLOOKUP($C11,'NEW CAR'!$BS$2:$CE$250,83,0)</f>
        <v>0</v>
      </c>
      <c r="O11" s="106">
        <f>+HLOOKUP($C11,'NEW CAR'!$BS$2:$CE$250,84,0)</f>
        <v>0</v>
      </c>
      <c r="P11" s="106">
        <f>+HLOOKUP($C11,'NEW CAR'!$BS$2:$CE$250,85,0)</f>
        <v>0</v>
      </c>
      <c r="Q11" s="106">
        <f>+HLOOKUP($C11,'NEW CAR'!$BS$2:$CE$250,87,0)</f>
        <v>770000</v>
      </c>
      <c r="R11" s="106">
        <f>+HLOOKUP($C11,'NEW CAR'!$BS$2:$CE$250,90,0)</f>
        <v>13200</v>
      </c>
      <c r="S11" s="106">
        <f>+HLOOKUP($C11,'NEW CAR'!$BS$2:$CE$250,91,0)</f>
        <v>0</v>
      </c>
      <c r="T11" s="106">
        <f>+HLOOKUP($C11,'NEW CAR'!$BS$2:$CE$250,92,0)</f>
        <v>330000</v>
      </c>
      <c r="U11" s="106">
        <f>+HLOOKUP($C11,'NEW CAR'!$BS$2:$CE$250,93,0)</f>
        <v>11000</v>
      </c>
      <c r="V11" s="106">
        <f>+HLOOKUP($C11,'NEW CAR'!$BS$2:$CE$250,94,0)</f>
        <v>0</v>
      </c>
      <c r="W11" s="106">
        <f>+HLOOKUP($C11,'NEW CAR'!$BS$2:$CE$250,95,0)</f>
        <v>30000</v>
      </c>
      <c r="X11" s="106">
        <f>+HLOOKUP($C11,'NEW CAR'!$BS$2:$CE$250,96,0)</f>
        <v>45000</v>
      </c>
      <c r="Y11" s="106">
        <f>+HLOOKUP($C11,'NEW CAR'!$BS$2:$CE$250,97,0)</f>
        <v>110000</v>
      </c>
      <c r="Z11" s="106">
        <f>+HLOOKUP($C11,'NEW CAR'!$BS$2:$CE$250,98,0)</f>
        <v>0</v>
      </c>
      <c r="AA11" s="106">
        <f>+HLOOKUP($C11,'NEW CAR'!$BS$2:$CE$250,99,0)</f>
        <v>0</v>
      </c>
      <c r="AB11" s="106">
        <f>+HLOOKUP($C11,'NEW CAR'!$BS$2:$CE$250,100,0)</f>
        <v>44000</v>
      </c>
      <c r="AC11" s="106">
        <f>+HLOOKUP($C11,'NEW CAR'!$BS$2:$CE$250,101,0)</f>
        <v>13200</v>
      </c>
      <c r="AD11" s="106">
        <f>+HLOOKUP($C11,'NEW CAR'!$BS$2:$CE$250,104,0)</f>
        <v>22000</v>
      </c>
      <c r="AE11" s="106">
        <f>+HLOOKUP($C11,'NEW CAR'!$BS$2:$CE$250,105,0)</f>
        <v>183150</v>
      </c>
      <c r="AF11" s="106">
        <f>+HLOOKUP($C11,'NEW CAR'!$BS$2:$CE$250,106,0)</f>
        <v>73260</v>
      </c>
      <c r="AG11" s="106">
        <f>+HLOOKUP($C11,'NEW CAR'!$BS$2:$CE$250,107,0)</f>
        <v>256409.99999999997</v>
      </c>
      <c r="AH11" s="106">
        <f>+HLOOKUP($C11,'NEW CAR'!$BS$2:$CE$250,108,0)</f>
        <v>0</v>
      </c>
      <c r="AI11" s="106">
        <f>+HLOOKUP($C11,'NEW CAR'!$BS$2:$CE$250,109,0)</f>
        <v>219780</v>
      </c>
      <c r="AJ11" s="106">
        <f>+HLOOKUP($C11,'NEW CAR'!$BS$2:$CE$250,110,0)</f>
        <v>0</v>
      </c>
      <c r="AK11" s="106">
        <f>+HLOOKUP($C11,'NEW CAR'!$BS$2:$CE$250,111,0)</f>
        <v>0</v>
      </c>
      <c r="AL11" s="106">
        <f>+HLOOKUP($C11,'NEW CAR'!$BS$2:$CE$250,112,0)</f>
        <v>0</v>
      </c>
      <c r="AM11" s="106">
        <f>+HLOOKUP($C11,'NEW CAR'!$BS$2:$CE$250,116,0)</f>
        <v>1124400</v>
      </c>
      <c r="AN11" s="106">
        <f>+HLOOKUP($C11,'NEW CAR'!$BS$2:$CE$250,117,0)</f>
        <v>141925</v>
      </c>
      <c r="AO11" s="106">
        <f>+HLOOKUP($C11,'NEW CAR'!$BS$2:$CE$250,118,0)</f>
        <v>31500</v>
      </c>
      <c r="AP11" s="106">
        <f>+HLOOKUP($C11,'NEW CAR'!$BS$2:$CE$250,119,0)</f>
        <v>382600</v>
      </c>
      <c r="AQ11" s="106">
        <f>+HLOOKUP($C11,'NEW CAR'!$BS$2:$CE$250,120,0)</f>
        <v>81550</v>
      </c>
      <c r="AR11" s="106">
        <f>+HLOOKUP($C11,'NEW CAR'!$BS$2:$CE$250,121,0)</f>
        <v>47550</v>
      </c>
      <c r="AS11" s="106">
        <f>+HLOOKUP($C11,'NEW CAR'!$BS$2:$CE$250,122,0)</f>
        <v>600825</v>
      </c>
      <c r="AT11" s="106">
        <f>+HLOOKUP($C11,'NEW CAR'!$BS$2:$CE$250,123,0)</f>
        <v>107556.71915625001</v>
      </c>
      <c r="AU11" s="106">
        <f>+HLOOKUP($C11,'NEW CAR'!$BS$2:$CE$250,124,0)</f>
        <v>4821.25</v>
      </c>
      <c r="AV11" s="106">
        <f>+HLOOKUP($C11,'NEW CAR'!$BS$2:$CE$250,125,0)</f>
        <v>104600</v>
      </c>
      <c r="AW11" s="106">
        <f>+HLOOKUP($C11,'NEW CAR'!$BS$2:$CE$250,126,0)</f>
        <v>54057.692307692305</v>
      </c>
      <c r="AX11" s="106">
        <f>+HLOOKUP($C11,'NEW CAR'!$BS$2:$CE$250,127,0)</f>
        <v>60583.333333333343</v>
      </c>
      <c r="AY11" s="106">
        <f>+HLOOKUP($C11,'NEW CAR'!$BS$2:$CE$250,129,0)</f>
        <v>0</v>
      </c>
      <c r="AZ11" s="106">
        <f>+HLOOKUP($C11,'NEW CAR'!$BS$2:$CE$250,130,0)</f>
        <v>0</v>
      </c>
      <c r="BA11" s="106">
        <f>+HLOOKUP($C11,'NEW CAR'!$BS$2:$CE$250,131,0)</f>
        <v>144600</v>
      </c>
      <c r="BB11" s="106">
        <f>+HLOOKUP($C11,'NEW CAR'!$BS$2:$CE$250,133,0)</f>
        <v>0</v>
      </c>
      <c r="BC11" s="106">
        <f>+HLOOKUP($C11,'NEW CAR'!$BS$2:$CE$250,134,0)</f>
        <v>162236.5138333333</v>
      </c>
      <c r="BD11" s="106">
        <f>+HLOOKUP($C11,'NEW CAR'!$BS$2:$CE$250,135,0)</f>
        <v>0</v>
      </c>
      <c r="BE11" s="106">
        <f>+HLOOKUP($C11,'NEW CAR'!$BS$2:$CE$250,136,0)</f>
        <v>0</v>
      </c>
      <c r="BF11" s="106">
        <f>+HLOOKUP($C11,'NEW CAR'!$BS$2:$CE$250,138,0)</f>
        <v>25500</v>
      </c>
      <c r="BG11" s="106">
        <f>+HLOOKUP($C11,'NEW CAR'!$BS$2:$CE$250,139,0)</f>
        <v>20582.941666666666</v>
      </c>
      <c r="BH11" s="106">
        <f>+HLOOKUP($C11,'NEW CAR'!$BS$2:$CE$250,140,0)</f>
        <v>0</v>
      </c>
      <c r="BI11" s="106">
        <f>+HLOOKUP($C11,'NEW CAR'!$BS$2:$CE$250,141,0)</f>
        <v>0</v>
      </c>
      <c r="BJ11" s="106">
        <f>+HLOOKUP($C11,'NEW CAR'!$BS$2:$CE$250,142,0)</f>
        <v>0</v>
      </c>
      <c r="BK11" s="106">
        <f>+HLOOKUP($C11,'NEW CAR'!$BS$2:$CE$250,143,0)</f>
        <v>36529.25</v>
      </c>
      <c r="BL11" s="106">
        <f>+HLOOKUP($C11,'NEW CAR'!$BS$2:$CE$250,144,0)</f>
        <v>21531.25</v>
      </c>
      <c r="BM11" s="106">
        <f>+HLOOKUP($C11,'NEW CAR'!$BS$2:$CE$250,146,0)</f>
        <v>0</v>
      </c>
      <c r="BN11" s="106">
        <f>+HLOOKUP($C11,'NEW CAR'!$BS$2:$CE$250,147,0)</f>
        <v>75878</v>
      </c>
      <c r="BO11" s="106">
        <f>+HLOOKUP($C11,'NEW CAR'!$BS$2:$CE$250,148,0)</f>
        <v>0</v>
      </c>
      <c r="BP11" s="106">
        <f>+HLOOKUP($C11,'NEW CAR'!$BS$2:$CE$250,150,0)</f>
        <v>67863.862500000003</v>
      </c>
      <c r="BQ11" s="106">
        <f>+HLOOKUP($C11,'NEW CAR'!$BS$2:$CE$250,151,0)</f>
        <v>4961</v>
      </c>
      <c r="BR11" s="106">
        <f>+HLOOKUP($C11,'NEW CAR'!$BS$2:$CE$250,152,0)</f>
        <v>47000</v>
      </c>
      <c r="BS11" s="106">
        <f>+HLOOKUP($C11,'NEW CAR'!$BS$2:$CE$250,153,0)</f>
        <v>6000</v>
      </c>
      <c r="BT11" s="106">
        <f>+HLOOKUP($C11,'NEW CAR'!$BS$2:$CE$250,157,0)</f>
        <v>64260</v>
      </c>
      <c r="BU11" s="106">
        <f>+HLOOKUP($C11,'NEW CAR'!$BS$2:$CE$250,158,0)</f>
        <v>5800</v>
      </c>
      <c r="BV11" s="106">
        <f>+HLOOKUP($C11,'NEW CAR'!$BS$2:$CE$250,159,0)</f>
        <v>999.72222222222217</v>
      </c>
      <c r="BW11" s="106">
        <f>+HLOOKUP($C11,'NEW CAR'!$BS$2:$CE$250,160,0)</f>
        <v>300</v>
      </c>
      <c r="BX11" s="106">
        <f>+HLOOKUP($C11,'NEW CAR'!$BS$2:$CE$250,161,0)</f>
        <v>17824.909583333334</v>
      </c>
      <c r="BY11" s="106">
        <f>+HLOOKUP($C11,'NEW CAR'!$BS$2:$CE$250,164,0)</f>
        <v>16000</v>
      </c>
      <c r="BZ11" s="106">
        <f>+HLOOKUP($C11,'NEW CAR'!$BS$2:$CE$250,165,0)</f>
        <v>0</v>
      </c>
      <c r="CA11" s="106">
        <f>+HLOOKUP($C11,'NEW CAR'!$BS$2:$CE$250,166,0)</f>
        <v>0</v>
      </c>
      <c r="CB11" s="106">
        <f>+HLOOKUP($C11,'NEW CAR'!$BS$2:$CE$250,167,0)</f>
        <v>0</v>
      </c>
      <c r="CC11" s="106">
        <f>+HLOOKUP($C11,'NEW CAR'!$BS$2:$CE$250,168,0)</f>
        <v>0</v>
      </c>
      <c r="CD11" s="106">
        <f>+HLOOKUP($C11,'NEW CAR'!$BS$2:$CE$250,169,0)</f>
        <v>1666.6666666666667</v>
      </c>
      <c r="CE11" s="106">
        <f>+HLOOKUP($C11,'NEW CAR'!$BS$2:$CE$250,170,0)</f>
        <v>0</v>
      </c>
      <c r="CF11" s="106">
        <f>+HLOOKUP($C11,'NEW CAR'!$BS$2:$CE$250,172,0)</f>
        <v>20150</v>
      </c>
      <c r="CG11" s="106">
        <f>+HLOOKUP($C11,'NEW CAR'!$BS$2:$CE$250,173,0)</f>
        <v>0</v>
      </c>
      <c r="CH11" s="106">
        <f>+HLOOKUP($C11,'NEW CAR'!$BS$2:$CE$250,174,0)</f>
        <v>0</v>
      </c>
      <c r="CI11" s="106">
        <f>+HLOOKUP($C11,'NEW CAR'!$BS$2:$CE$250,175,0)</f>
        <v>0</v>
      </c>
      <c r="CJ11" s="106">
        <f>+HLOOKUP($C11,'NEW CAR'!$BS$2:$CE$250,176,0)</f>
        <v>15800</v>
      </c>
      <c r="CK11" s="106">
        <f>+HLOOKUP($C11,'NEW CAR'!$BS$2:$CE$250,178,0)</f>
        <v>150000</v>
      </c>
      <c r="CL11" s="106">
        <f>+HLOOKUP($C11,'NEW CAR'!$BS$2:$CE$250,179,0)</f>
        <v>10000</v>
      </c>
      <c r="CM11" s="106">
        <f>+HLOOKUP($C11,'NEW CAR'!$BS$2:$CE$250,180,0)</f>
        <v>0</v>
      </c>
      <c r="CN11" s="106">
        <f>+HLOOKUP($C11,'NEW CAR'!$BS$2:$CE$250,182,0)</f>
        <v>1638</v>
      </c>
      <c r="CO11" s="106">
        <f>+HLOOKUP($C11,'NEW CAR'!$BS$2:$CE$250,183,0)</f>
        <v>19981</v>
      </c>
      <c r="CP11" s="106">
        <f>+HLOOKUP($C11,'NEW CAR'!$BS$2:$CE$250,184,0)</f>
        <v>14400</v>
      </c>
      <c r="CQ11" s="106">
        <f>+HLOOKUP($C11,'NEW CAR'!$BS$2:$CE$250,185,0)</f>
        <v>0</v>
      </c>
      <c r="CR11" s="106">
        <f>+HLOOKUP($C11,'NEW CAR'!$BS$2:$CE$250,187,0)</f>
        <v>8332.8000000000011</v>
      </c>
      <c r="CS11" s="106">
        <f>+HLOOKUP($C11,'NEW CAR'!$BS$2:$CE$250,188,0)</f>
        <v>10600</v>
      </c>
      <c r="CT11" s="106">
        <f>+HLOOKUP($C11,'NEW CAR'!$BS$2:$CE$250,189,0)</f>
        <v>6666.8</v>
      </c>
      <c r="CU11" s="106">
        <f>+HLOOKUP($C11,'NEW CAR'!$BS$2:$CE$250,190,0)</f>
        <v>6755.6</v>
      </c>
      <c r="CV11" s="106">
        <f>+HLOOKUP($C11,'NEW CAR'!$BS$2:$CE$250,191,0)</f>
        <v>0</v>
      </c>
      <c r="CW11" s="106">
        <f>+HLOOKUP($C11,'NEW CAR'!$BS$2:$CE$250,193,0)</f>
        <v>11831</v>
      </c>
      <c r="CX11" s="106">
        <f>+HLOOKUP($C11,'NEW CAR'!$BS$2:$CE$250,194,0)</f>
        <v>106</v>
      </c>
      <c r="CY11" s="106">
        <f>+HLOOKUP($C11,'NEW CAR'!$BS$2:$CE$250,195,0)</f>
        <v>7249.8819999999996</v>
      </c>
      <c r="CZ11" s="106">
        <f>+HLOOKUP($C11,'NEW CAR'!$BS$2:$CE$250,196,0)</f>
        <v>0</v>
      </c>
      <c r="DA11" s="106">
        <f>+HLOOKUP($C11,'NEW CAR'!$BS$2:$CE$250,197,0)</f>
        <v>43776</v>
      </c>
      <c r="DB11" s="106">
        <f>+HLOOKUP($C11,'NEW CAR'!$BS$2:$CE$250,198,0)</f>
        <v>13480</v>
      </c>
      <c r="DC11" s="106">
        <f>+HLOOKUP($C11,'NEW CAR'!$BS$2:$CE$250,199,0)</f>
        <v>2880</v>
      </c>
      <c r="DD11" s="106">
        <f>+HLOOKUP($C11,'NEW CAR'!$BS$2:$CE$250,200,0)</f>
        <v>1700</v>
      </c>
      <c r="DE11" s="106">
        <f>+HLOOKUP($C11,'NEW CAR'!$BS$2:$CE$250,201,0)</f>
        <v>198</v>
      </c>
      <c r="DF11" s="106">
        <f>+HLOOKUP($C11,'NEW CAR'!$BS$2:$CE$250,202,0)</f>
        <v>0</v>
      </c>
      <c r="DG11" s="106">
        <f>+HLOOKUP($C11,'NEW CAR'!$BS$2:$CE$250,203,0)</f>
        <v>0</v>
      </c>
      <c r="DH11" s="106">
        <f>+HLOOKUP($C11,'NEW CAR'!$BS$2:$CE$250,205,0)</f>
        <v>68123.915427272703</v>
      </c>
      <c r="DI11" s="106">
        <f>+HLOOKUP($C11,'NEW CAR'!$BS$2:$CE$250,206,0)</f>
        <v>16170</v>
      </c>
      <c r="DJ11" s="106">
        <f>+HLOOKUP($C11,'NEW CAR'!$BS$2:$CE$250,207,0)</f>
        <v>2176.7316666666666</v>
      </c>
      <c r="DK11" s="106">
        <f>+HLOOKUP($C11,'NEW CAR'!$BS$2:$CE$250,209,0)</f>
        <v>0</v>
      </c>
      <c r="DL11" s="106">
        <f>+HLOOKUP($C11,'NEW CAR'!$BS$2:$CE$250,210,0)</f>
        <v>0</v>
      </c>
      <c r="DM11" s="106">
        <f>+HLOOKUP($C11,'NEW CAR'!$BS$2:$CE$250,211,0)</f>
        <v>87450.312499999956</v>
      </c>
      <c r="DN11" s="106">
        <f>+HLOOKUP($C11,'NEW CAR'!$BS$2:$CE$250,212,0)</f>
        <v>73286.518331250001</v>
      </c>
      <c r="DO11" s="106">
        <f>+HLOOKUP($C11,'NEW CAR'!$BS$2:$CE$250,214,0)</f>
        <v>0</v>
      </c>
      <c r="DP11" s="106">
        <f>+HLOOKUP($C11,'NEW CAR'!$BS$2:$CE$250,215,0)</f>
        <v>2400</v>
      </c>
      <c r="DQ11" s="106">
        <f>+HLOOKUP($C11,'NEW CAR'!$BS$2:$CE$250,219,0)</f>
        <v>0</v>
      </c>
      <c r="DR11" s="106">
        <f>+HLOOKUP($C11,'NEW CAR'!$BS$2:$CE$250,220,0)</f>
        <v>0</v>
      </c>
      <c r="DS11" s="106">
        <f>+HLOOKUP($C11,'NEW CAR'!$BS$2:$CE$250,221,0)</f>
        <v>276000</v>
      </c>
      <c r="DT11" s="106">
        <f>+HLOOKUP($C11,'NEW CAR'!$BS$2:$CE$250,223,0)</f>
        <v>50000</v>
      </c>
      <c r="DU11" s="106">
        <f>+HLOOKUP($C11,'NEW CAR'!$BS$2:$CE$250,224,0)</f>
        <v>0</v>
      </c>
      <c r="DV11" s="106">
        <f>+HLOOKUP($C11,'NEW CAR'!$BS$2:$CE$250,225,0)</f>
        <v>0</v>
      </c>
      <c r="DW11" s="106">
        <f>+HLOOKUP($C11,'NEW CAR'!$BS$2:$CE$250,227,0)</f>
        <v>0</v>
      </c>
      <c r="DX11" s="106">
        <f>+HLOOKUP($C11,'NEW CAR'!$BS$2:$CE$250,228,0)</f>
        <v>0</v>
      </c>
      <c r="DY11" s="106">
        <f>+HLOOKUP($C11,'NEW CAR'!$BS$2:$CE$250,236,0)</f>
        <v>0</v>
      </c>
      <c r="DZ11" s="106">
        <f>+HLOOKUP($C11,'NEW CAR'!$BS$2:$CE$250,237,0)</f>
        <v>140201.44319337496</v>
      </c>
      <c r="EA11" s="106">
        <f>+HLOOKUP($C11,'NEW CAR'!$BS$2:$CE$250,238,0)</f>
        <v>0</v>
      </c>
      <c r="EB11" s="106">
        <f>+HLOOKUP($C11,'NEW CAR'!$BS$2:$CE$250,240,0)</f>
        <v>952163.96462113166</v>
      </c>
    </row>
    <row r="12" spans="1:133">
      <c r="A12" t="s">
        <v>269</v>
      </c>
      <c r="B12" t="s">
        <v>270</v>
      </c>
      <c r="C12" s="117">
        <v>45689</v>
      </c>
      <c r="D12" s="106">
        <f>+HLOOKUP(C12,'NEW CAR'!$BS$2:$CE$250,6,0)/3.5%</f>
        <v>81595235.088536814</v>
      </c>
      <c r="E12" s="106">
        <f>+HLOOKUP(C12,'NEW CAR'!$BS$2:$CE$250,5,0)+HLOOKUP(C12,'NEW CAR'!$BS$2:$CE$250,26,0)+HLOOKUP(C12,'NEW CAR'!$BS$2:$CE$250,59,0)</f>
        <v>4442055.1992078293</v>
      </c>
      <c r="F12" s="106"/>
      <c r="G12" s="106">
        <f>+HLOOKUP($C12,'NEW CAR'!$BS$2:$CE$250,76,0)</f>
        <v>90000</v>
      </c>
      <c r="H12" s="106">
        <f>+HLOOKUP($C12,'NEW CAR'!$BS$2:$CE$250,77,0)</f>
        <v>360000</v>
      </c>
      <c r="I12" s="106">
        <f>+HLOOKUP($C12,'NEW CAR'!$BS$2:$CE$250,78,0)</f>
        <v>0</v>
      </c>
      <c r="J12" s="106">
        <f>+HLOOKUP($C12,'NEW CAR'!$BS$2:$CE$250,79,0)</f>
        <v>150000</v>
      </c>
      <c r="K12" s="106">
        <f>+HLOOKUP($C12,'NEW CAR'!$BS$2:$CE$250,80,0)</f>
        <v>0</v>
      </c>
      <c r="L12" s="106">
        <f>+HLOOKUP($C12,'NEW CAR'!$BS$2:$CE$250,81,0)</f>
        <v>0</v>
      </c>
      <c r="M12" s="106">
        <f>+HLOOKUP($C12,'NEW CAR'!$BS$2:$CE$250,82,0)</f>
        <v>0</v>
      </c>
      <c r="N12" s="106">
        <f>+HLOOKUP($C12,'NEW CAR'!$BS$2:$CE$250,83,0)</f>
        <v>0</v>
      </c>
      <c r="O12" s="106">
        <f>+HLOOKUP($C12,'NEW CAR'!$BS$2:$CE$250,84,0)</f>
        <v>0</v>
      </c>
      <c r="P12" s="106">
        <f>+HLOOKUP($C12,'NEW CAR'!$BS$2:$CE$250,85,0)</f>
        <v>0</v>
      </c>
      <c r="Q12" s="106">
        <f>+HLOOKUP($C12,'NEW CAR'!$BS$2:$CE$250,87,0)</f>
        <v>525000</v>
      </c>
      <c r="R12" s="106">
        <f>+HLOOKUP($C12,'NEW CAR'!$BS$2:$CE$250,90,0)</f>
        <v>9000</v>
      </c>
      <c r="S12" s="106">
        <f>+HLOOKUP($C12,'NEW CAR'!$BS$2:$CE$250,91,0)</f>
        <v>0</v>
      </c>
      <c r="T12" s="106">
        <f>+HLOOKUP($C12,'NEW CAR'!$BS$2:$CE$250,92,0)</f>
        <v>225000</v>
      </c>
      <c r="U12" s="106">
        <f>+HLOOKUP($C12,'NEW CAR'!$BS$2:$CE$250,93,0)</f>
        <v>7500</v>
      </c>
      <c r="V12" s="106">
        <f>+HLOOKUP($C12,'NEW CAR'!$BS$2:$CE$250,94,0)</f>
        <v>0</v>
      </c>
      <c r="W12" s="106">
        <f>+HLOOKUP($C12,'NEW CAR'!$BS$2:$CE$250,95,0)</f>
        <v>30000</v>
      </c>
      <c r="X12" s="106">
        <f>+HLOOKUP($C12,'NEW CAR'!$BS$2:$CE$250,96,0)</f>
        <v>45000</v>
      </c>
      <c r="Y12" s="106">
        <f>+HLOOKUP($C12,'NEW CAR'!$BS$2:$CE$250,97,0)</f>
        <v>75000</v>
      </c>
      <c r="Z12" s="106">
        <f>+HLOOKUP($C12,'NEW CAR'!$BS$2:$CE$250,98,0)</f>
        <v>0</v>
      </c>
      <c r="AA12" s="106">
        <f>+HLOOKUP($C12,'NEW CAR'!$BS$2:$CE$250,99,0)</f>
        <v>0</v>
      </c>
      <c r="AB12" s="106">
        <f>+HLOOKUP($C12,'NEW CAR'!$BS$2:$CE$250,100,0)</f>
        <v>30000</v>
      </c>
      <c r="AC12" s="106">
        <f>+HLOOKUP($C12,'NEW CAR'!$BS$2:$CE$250,101,0)</f>
        <v>9000</v>
      </c>
      <c r="AD12" s="106">
        <f>+HLOOKUP($C12,'NEW CAR'!$BS$2:$CE$250,104,0)</f>
        <v>15000</v>
      </c>
      <c r="AE12" s="106">
        <f>+HLOOKUP($C12,'NEW CAR'!$BS$2:$CE$250,105,0)</f>
        <v>124875</v>
      </c>
      <c r="AF12" s="106">
        <f>+HLOOKUP($C12,'NEW CAR'!$BS$2:$CE$250,106,0)</f>
        <v>49950</v>
      </c>
      <c r="AG12" s="106">
        <f>+HLOOKUP($C12,'NEW CAR'!$BS$2:$CE$250,107,0)</f>
        <v>174825</v>
      </c>
      <c r="AH12" s="106">
        <f>+HLOOKUP($C12,'NEW CAR'!$BS$2:$CE$250,108,0)</f>
        <v>0</v>
      </c>
      <c r="AI12" s="106">
        <f>+HLOOKUP($C12,'NEW CAR'!$BS$2:$CE$250,109,0)</f>
        <v>149850</v>
      </c>
      <c r="AJ12" s="106">
        <f>+HLOOKUP($C12,'NEW CAR'!$BS$2:$CE$250,110,0)</f>
        <v>0</v>
      </c>
      <c r="AK12" s="106">
        <f>+HLOOKUP($C12,'NEW CAR'!$BS$2:$CE$250,111,0)</f>
        <v>0</v>
      </c>
      <c r="AL12" s="106">
        <f>+HLOOKUP($C12,'NEW CAR'!$BS$2:$CE$250,112,0)</f>
        <v>0</v>
      </c>
      <c r="AM12" s="106">
        <f>+HLOOKUP($C12,'NEW CAR'!$BS$2:$CE$250,116,0)</f>
        <v>1124400</v>
      </c>
      <c r="AN12" s="106">
        <f>+HLOOKUP($C12,'NEW CAR'!$BS$2:$CE$250,117,0)</f>
        <v>141925</v>
      </c>
      <c r="AO12" s="106">
        <f>+HLOOKUP($C12,'NEW CAR'!$BS$2:$CE$250,118,0)</f>
        <v>31500</v>
      </c>
      <c r="AP12" s="106">
        <f>+HLOOKUP($C12,'NEW CAR'!$BS$2:$CE$250,119,0)</f>
        <v>382600</v>
      </c>
      <c r="AQ12" s="106">
        <f>+HLOOKUP($C12,'NEW CAR'!$BS$2:$CE$250,120,0)</f>
        <v>81550</v>
      </c>
      <c r="AR12" s="106">
        <f>+HLOOKUP($C12,'NEW CAR'!$BS$2:$CE$250,121,0)</f>
        <v>47550</v>
      </c>
      <c r="AS12" s="106">
        <f>+HLOOKUP($C12,'NEW CAR'!$BS$2:$CE$250,122,0)</f>
        <v>600825</v>
      </c>
      <c r="AT12" s="106">
        <f>+HLOOKUP($C12,'NEW CAR'!$BS$2:$CE$250,123,0)</f>
        <v>107556.71915625001</v>
      </c>
      <c r="AU12" s="106">
        <f>+HLOOKUP($C12,'NEW CAR'!$BS$2:$CE$250,124,0)</f>
        <v>4821.25</v>
      </c>
      <c r="AV12" s="106">
        <f>+HLOOKUP($C12,'NEW CAR'!$BS$2:$CE$250,125,0)</f>
        <v>104600</v>
      </c>
      <c r="AW12" s="106">
        <f>+HLOOKUP($C12,'NEW CAR'!$BS$2:$CE$250,126,0)</f>
        <v>54057.692307692305</v>
      </c>
      <c r="AX12" s="106">
        <f>+HLOOKUP($C12,'NEW CAR'!$BS$2:$CE$250,127,0)</f>
        <v>60583.333333333343</v>
      </c>
      <c r="AY12" s="106">
        <f>+HLOOKUP($C12,'NEW CAR'!$BS$2:$CE$250,129,0)</f>
        <v>0</v>
      </c>
      <c r="AZ12" s="106">
        <f>+HLOOKUP($C12,'NEW CAR'!$BS$2:$CE$250,130,0)</f>
        <v>0</v>
      </c>
      <c r="BA12" s="106">
        <f>+HLOOKUP($C12,'NEW CAR'!$BS$2:$CE$250,131,0)</f>
        <v>144600</v>
      </c>
      <c r="BB12" s="106">
        <f>+HLOOKUP($C12,'NEW CAR'!$BS$2:$CE$250,133,0)</f>
        <v>0</v>
      </c>
      <c r="BC12" s="106">
        <f>+HLOOKUP($C12,'NEW CAR'!$BS$2:$CE$250,134,0)</f>
        <v>162236.5138333333</v>
      </c>
      <c r="BD12" s="106">
        <f>+HLOOKUP($C12,'NEW CAR'!$BS$2:$CE$250,135,0)</f>
        <v>0</v>
      </c>
      <c r="BE12" s="106">
        <f>+HLOOKUP($C12,'NEW CAR'!$BS$2:$CE$250,136,0)</f>
        <v>0</v>
      </c>
      <c r="BF12" s="106">
        <f>+HLOOKUP($C12,'NEW CAR'!$BS$2:$CE$250,138,0)</f>
        <v>25500</v>
      </c>
      <c r="BG12" s="106">
        <f>+HLOOKUP($C12,'NEW CAR'!$BS$2:$CE$250,139,0)</f>
        <v>20582.941666666666</v>
      </c>
      <c r="BH12" s="106">
        <f>+HLOOKUP($C12,'NEW CAR'!$BS$2:$CE$250,140,0)</f>
        <v>0</v>
      </c>
      <c r="BI12" s="106">
        <f>+HLOOKUP($C12,'NEW CAR'!$BS$2:$CE$250,141,0)</f>
        <v>0</v>
      </c>
      <c r="BJ12" s="106">
        <f>+HLOOKUP($C12,'NEW CAR'!$BS$2:$CE$250,142,0)</f>
        <v>0</v>
      </c>
      <c r="BK12" s="106">
        <f>+HLOOKUP($C12,'NEW CAR'!$BS$2:$CE$250,143,0)</f>
        <v>36529.25</v>
      </c>
      <c r="BL12" s="106">
        <f>+HLOOKUP($C12,'NEW CAR'!$BS$2:$CE$250,144,0)</f>
        <v>5281.25</v>
      </c>
      <c r="BM12" s="106">
        <f>+HLOOKUP($C12,'NEW CAR'!$BS$2:$CE$250,146,0)</f>
        <v>0</v>
      </c>
      <c r="BN12" s="106">
        <f>+HLOOKUP($C12,'NEW CAR'!$BS$2:$CE$250,147,0)</f>
        <v>75878</v>
      </c>
      <c r="BO12" s="106">
        <f>+HLOOKUP($C12,'NEW CAR'!$BS$2:$CE$250,148,0)</f>
        <v>0</v>
      </c>
      <c r="BP12" s="106">
        <f>+HLOOKUP($C12,'NEW CAR'!$BS$2:$CE$250,150,0)</f>
        <v>67863.862500000003</v>
      </c>
      <c r="BQ12" s="106">
        <f>+HLOOKUP($C12,'NEW CAR'!$BS$2:$CE$250,151,0)</f>
        <v>4961</v>
      </c>
      <c r="BR12" s="106">
        <f>+HLOOKUP($C12,'NEW CAR'!$BS$2:$CE$250,152,0)</f>
        <v>47000</v>
      </c>
      <c r="BS12" s="106">
        <f>+HLOOKUP($C12,'NEW CAR'!$BS$2:$CE$250,153,0)</f>
        <v>6000</v>
      </c>
      <c r="BT12" s="106">
        <f>+HLOOKUP($C12,'NEW CAR'!$BS$2:$CE$250,157,0)</f>
        <v>64260</v>
      </c>
      <c r="BU12" s="106">
        <f>+HLOOKUP($C12,'NEW CAR'!$BS$2:$CE$250,158,0)</f>
        <v>5800</v>
      </c>
      <c r="BV12" s="106">
        <f>+HLOOKUP($C12,'NEW CAR'!$BS$2:$CE$250,159,0)</f>
        <v>999.72222222222217</v>
      </c>
      <c r="BW12" s="106">
        <f>+HLOOKUP($C12,'NEW CAR'!$BS$2:$CE$250,160,0)</f>
        <v>300</v>
      </c>
      <c r="BX12" s="106">
        <f>+HLOOKUP($C12,'NEW CAR'!$BS$2:$CE$250,161,0)</f>
        <v>17824.909583333334</v>
      </c>
      <c r="BY12" s="106">
        <f>+HLOOKUP($C12,'NEW CAR'!$BS$2:$CE$250,164,0)</f>
        <v>16000</v>
      </c>
      <c r="BZ12" s="106">
        <f>+HLOOKUP($C12,'NEW CAR'!$BS$2:$CE$250,165,0)</f>
        <v>0</v>
      </c>
      <c r="CA12" s="106">
        <f>+HLOOKUP($C12,'NEW CAR'!$BS$2:$CE$250,166,0)</f>
        <v>0</v>
      </c>
      <c r="CB12" s="106">
        <f>+HLOOKUP($C12,'NEW CAR'!$BS$2:$CE$250,167,0)</f>
        <v>0</v>
      </c>
      <c r="CC12" s="106">
        <f>+HLOOKUP($C12,'NEW CAR'!$BS$2:$CE$250,168,0)</f>
        <v>0</v>
      </c>
      <c r="CD12" s="106">
        <f>+HLOOKUP($C12,'NEW CAR'!$BS$2:$CE$250,169,0)</f>
        <v>1666.6666666666667</v>
      </c>
      <c r="CE12" s="106">
        <f>+HLOOKUP($C12,'NEW CAR'!$BS$2:$CE$250,170,0)</f>
        <v>0</v>
      </c>
      <c r="CF12" s="106">
        <f>+HLOOKUP($C12,'NEW CAR'!$BS$2:$CE$250,172,0)</f>
        <v>20150</v>
      </c>
      <c r="CG12" s="106">
        <f>+HLOOKUP($C12,'NEW CAR'!$BS$2:$CE$250,173,0)</f>
        <v>0</v>
      </c>
      <c r="CH12" s="106">
        <f>+HLOOKUP($C12,'NEW CAR'!$BS$2:$CE$250,174,0)</f>
        <v>0</v>
      </c>
      <c r="CI12" s="106">
        <f>+HLOOKUP($C12,'NEW CAR'!$BS$2:$CE$250,175,0)</f>
        <v>0</v>
      </c>
      <c r="CJ12" s="106">
        <f>+HLOOKUP($C12,'NEW CAR'!$BS$2:$CE$250,176,0)</f>
        <v>15800</v>
      </c>
      <c r="CK12" s="106">
        <f>+HLOOKUP($C12,'NEW CAR'!$BS$2:$CE$250,178,0)</f>
        <v>204372.99254545456</v>
      </c>
      <c r="CL12" s="106">
        <f>+HLOOKUP($C12,'NEW CAR'!$BS$2:$CE$250,179,0)</f>
        <v>10000</v>
      </c>
      <c r="CM12" s="106">
        <f>+HLOOKUP($C12,'NEW CAR'!$BS$2:$CE$250,180,0)</f>
        <v>0</v>
      </c>
      <c r="CN12" s="106">
        <f>+HLOOKUP($C12,'NEW CAR'!$BS$2:$CE$250,182,0)</f>
        <v>1638</v>
      </c>
      <c r="CO12" s="106">
        <f>+HLOOKUP($C12,'NEW CAR'!$BS$2:$CE$250,183,0)</f>
        <v>19981</v>
      </c>
      <c r="CP12" s="106">
        <f>+HLOOKUP($C12,'NEW CAR'!$BS$2:$CE$250,184,0)</f>
        <v>14400</v>
      </c>
      <c r="CQ12" s="106">
        <f>+HLOOKUP($C12,'NEW CAR'!$BS$2:$CE$250,185,0)</f>
        <v>0</v>
      </c>
      <c r="CR12" s="106">
        <f>+HLOOKUP($C12,'NEW CAR'!$BS$2:$CE$250,187,0)</f>
        <v>8332.8000000000011</v>
      </c>
      <c r="CS12" s="106">
        <f>+HLOOKUP($C12,'NEW CAR'!$BS$2:$CE$250,188,0)</f>
        <v>10600</v>
      </c>
      <c r="CT12" s="106">
        <f>+HLOOKUP($C12,'NEW CAR'!$BS$2:$CE$250,189,0)</f>
        <v>6666.8</v>
      </c>
      <c r="CU12" s="106">
        <f>+HLOOKUP($C12,'NEW CAR'!$BS$2:$CE$250,190,0)</f>
        <v>6755.6</v>
      </c>
      <c r="CV12" s="106">
        <f>+HLOOKUP($C12,'NEW CAR'!$BS$2:$CE$250,191,0)</f>
        <v>0</v>
      </c>
      <c r="CW12" s="106">
        <f>+HLOOKUP($C12,'NEW CAR'!$BS$2:$CE$250,193,0)</f>
        <v>11831</v>
      </c>
      <c r="CX12" s="106">
        <f>+HLOOKUP($C12,'NEW CAR'!$BS$2:$CE$250,194,0)</f>
        <v>106</v>
      </c>
      <c r="CY12" s="106">
        <f>+HLOOKUP($C12,'NEW CAR'!$BS$2:$CE$250,195,0)</f>
        <v>7249.8819999999996</v>
      </c>
      <c r="CZ12" s="106">
        <f>+HLOOKUP($C12,'NEW CAR'!$BS$2:$CE$250,196,0)</f>
        <v>0</v>
      </c>
      <c r="DA12" s="106">
        <f>+HLOOKUP($C12,'NEW CAR'!$BS$2:$CE$250,197,0)</f>
        <v>43776</v>
      </c>
      <c r="DB12" s="106">
        <f>+HLOOKUP($C12,'NEW CAR'!$BS$2:$CE$250,198,0)</f>
        <v>13480</v>
      </c>
      <c r="DC12" s="106">
        <f>+HLOOKUP($C12,'NEW CAR'!$BS$2:$CE$250,199,0)</f>
        <v>2880</v>
      </c>
      <c r="DD12" s="106">
        <f>+HLOOKUP($C12,'NEW CAR'!$BS$2:$CE$250,200,0)</f>
        <v>1700</v>
      </c>
      <c r="DE12" s="106">
        <f>+HLOOKUP($C12,'NEW CAR'!$BS$2:$CE$250,201,0)</f>
        <v>198</v>
      </c>
      <c r="DF12" s="106">
        <f>+HLOOKUP($C12,'NEW CAR'!$BS$2:$CE$250,202,0)</f>
        <v>0</v>
      </c>
      <c r="DG12" s="106">
        <f>+HLOOKUP($C12,'NEW CAR'!$BS$2:$CE$250,203,0)</f>
        <v>0</v>
      </c>
      <c r="DH12" s="106">
        <f>+HLOOKUP($C12,'NEW CAR'!$BS$2:$CE$250,205,0)</f>
        <v>68123.915427272703</v>
      </c>
      <c r="DI12" s="106">
        <f>+HLOOKUP($C12,'NEW CAR'!$BS$2:$CE$250,206,0)</f>
        <v>16170</v>
      </c>
      <c r="DJ12" s="106">
        <f>+HLOOKUP($C12,'NEW CAR'!$BS$2:$CE$250,207,0)</f>
        <v>2176.7316666666666</v>
      </c>
      <c r="DK12" s="106">
        <f>+HLOOKUP($C12,'NEW CAR'!$BS$2:$CE$250,209,0)</f>
        <v>0</v>
      </c>
      <c r="DL12" s="106">
        <f>+HLOOKUP($C12,'NEW CAR'!$BS$2:$CE$250,210,0)</f>
        <v>0</v>
      </c>
      <c r="DM12" s="106">
        <f>+HLOOKUP($C12,'NEW CAR'!$BS$2:$CE$250,211,0)</f>
        <v>87450.312499999956</v>
      </c>
      <c r="DN12" s="106">
        <f>+HLOOKUP($C12,'NEW CAR'!$BS$2:$CE$250,212,0)</f>
        <v>73286.518331250001</v>
      </c>
      <c r="DO12" s="106">
        <f>+HLOOKUP($C12,'NEW CAR'!$BS$2:$CE$250,214,0)</f>
        <v>0</v>
      </c>
      <c r="DP12" s="106">
        <f>+HLOOKUP($C12,'NEW CAR'!$BS$2:$CE$250,215,0)</f>
        <v>2400</v>
      </c>
      <c r="DQ12" s="106">
        <f>+HLOOKUP($C12,'NEW CAR'!$BS$2:$CE$250,219,0)</f>
        <v>0</v>
      </c>
      <c r="DR12" s="106">
        <f>+HLOOKUP($C12,'NEW CAR'!$BS$2:$CE$250,220,0)</f>
        <v>0</v>
      </c>
      <c r="DS12" s="106">
        <f>+HLOOKUP($C12,'NEW CAR'!$BS$2:$CE$250,221,0)</f>
        <v>276000</v>
      </c>
      <c r="DT12" s="106">
        <f>+HLOOKUP($C12,'NEW CAR'!$BS$2:$CE$250,223,0)</f>
        <v>50000</v>
      </c>
      <c r="DU12" s="106">
        <f>+HLOOKUP($C12,'NEW CAR'!$BS$2:$CE$250,224,0)</f>
        <v>0</v>
      </c>
      <c r="DV12" s="106">
        <f>+HLOOKUP($C12,'NEW CAR'!$BS$2:$CE$250,225,0)</f>
        <v>0</v>
      </c>
      <c r="DW12" s="106">
        <f>+HLOOKUP($C12,'NEW CAR'!$BS$2:$CE$250,227,0)</f>
        <v>0</v>
      </c>
      <c r="DX12" s="106">
        <f>+HLOOKUP($C12,'NEW CAR'!$BS$2:$CE$250,228,0)</f>
        <v>0</v>
      </c>
      <c r="DY12" s="106">
        <f>+HLOOKUP($C12,'NEW CAR'!$BS$2:$CE$250,236,0)</f>
        <v>0</v>
      </c>
      <c r="DZ12" s="106">
        <f>+HLOOKUP($C12,'NEW CAR'!$BS$2:$CE$250,237,0)</f>
        <v>128236.51803353391</v>
      </c>
      <c r="EA12" s="106">
        <f>+HLOOKUP($C12,'NEW CAR'!$BS$2:$CE$250,238,0)</f>
        <v>0</v>
      </c>
      <c r="EB12" s="106">
        <f>+HLOOKUP($C12,'NEW CAR'!$BS$2:$CE$250,240,0)</f>
        <v>952163.96462113166</v>
      </c>
    </row>
    <row r="13" spans="1:133">
      <c r="A13" t="s">
        <v>269</v>
      </c>
      <c r="B13" t="s">
        <v>270</v>
      </c>
      <c r="C13" s="117">
        <v>45658</v>
      </c>
      <c r="D13" s="106">
        <f>+HLOOKUP(C13,'NEW CAR'!$BS$2:$CE$250,6,0)/3.5%</f>
        <v>74801012.659210935</v>
      </c>
      <c r="E13" s="106">
        <f>+HLOOKUP(C13,'NEW CAR'!$BS$2:$CE$250,5,0)+HLOOKUP(C13,'NEW CAR'!$BS$2:$CE$250,26,0)+HLOOKUP(C13,'NEW CAR'!$BS$2:$CE$250,59,0)</f>
        <v>5118053.3135290463</v>
      </c>
      <c r="F13" s="106"/>
      <c r="G13" s="106">
        <f>+HLOOKUP($C13,'NEW CAR'!$BS$2:$CE$250,76,0)</f>
        <v>96000</v>
      </c>
      <c r="H13" s="106">
        <f>+HLOOKUP($C13,'NEW CAR'!$BS$2:$CE$250,77,0)</f>
        <v>384000</v>
      </c>
      <c r="I13" s="106">
        <f>+HLOOKUP($C13,'NEW CAR'!$BS$2:$CE$250,78,0)</f>
        <v>0</v>
      </c>
      <c r="J13" s="106">
        <f>+HLOOKUP($C13,'NEW CAR'!$BS$2:$CE$250,79,0)</f>
        <v>160000</v>
      </c>
      <c r="K13" s="106">
        <f>+HLOOKUP($C13,'NEW CAR'!$BS$2:$CE$250,80,0)</f>
        <v>0</v>
      </c>
      <c r="L13" s="106">
        <f>+HLOOKUP($C13,'NEW CAR'!$BS$2:$CE$250,81,0)</f>
        <v>0</v>
      </c>
      <c r="M13" s="106">
        <f>+HLOOKUP($C13,'NEW CAR'!$BS$2:$CE$250,82,0)</f>
        <v>0</v>
      </c>
      <c r="N13" s="106">
        <f>+HLOOKUP($C13,'NEW CAR'!$BS$2:$CE$250,83,0)</f>
        <v>0</v>
      </c>
      <c r="O13" s="106">
        <f>+HLOOKUP($C13,'NEW CAR'!$BS$2:$CE$250,84,0)</f>
        <v>0</v>
      </c>
      <c r="P13" s="106">
        <f>+HLOOKUP($C13,'NEW CAR'!$BS$2:$CE$250,85,0)</f>
        <v>0</v>
      </c>
      <c r="Q13" s="106">
        <f>+HLOOKUP($C13,'NEW CAR'!$BS$2:$CE$250,87,0)</f>
        <v>560000</v>
      </c>
      <c r="R13" s="106">
        <f>+HLOOKUP($C13,'NEW CAR'!$BS$2:$CE$250,90,0)</f>
        <v>9600</v>
      </c>
      <c r="S13" s="106">
        <f>+HLOOKUP($C13,'NEW CAR'!$BS$2:$CE$250,91,0)</f>
        <v>0</v>
      </c>
      <c r="T13" s="106">
        <f>+HLOOKUP($C13,'NEW CAR'!$BS$2:$CE$250,92,0)</f>
        <v>240000</v>
      </c>
      <c r="U13" s="106">
        <f>+HLOOKUP($C13,'NEW CAR'!$BS$2:$CE$250,93,0)</f>
        <v>8000</v>
      </c>
      <c r="V13" s="106">
        <f>+HLOOKUP($C13,'NEW CAR'!$BS$2:$CE$250,94,0)</f>
        <v>0</v>
      </c>
      <c r="W13" s="106">
        <f>+HLOOKUP($C13,'NEW CAR'!$BS$2:$CE$250,95,0)</f>
        <v>30000</v>
      </c>
      <c r="X13" s="106">
        <f>+HLOOKUP($C13,'NEW CAR'!$BS$2:$CE$250,96,0)</f>
        <v>45000</v>
      </c>
      <c r="Y13" s="106">
        <f>+HLOOKUP($C13,'NEW CAR'!$BS$2:$CE$250,97,0)</f>
        <v>80000</v>
      </c>
      <c r="Z13" s="106">
        <f>+HLOOKUP($C13,'NEW CAR'!$BS$2:$CE$250,98,0)</f>
        <v>0</v>
      </c>
      <c r="AA13" s="106">
        <f>+HLOOKUP($C13,'NEW CAR'!$BS$2:$CE$250,99,0)</f>
        <v>0</v>
      </c>
      <c r="AB13" s="106">
        <f>+HLOOKUP($C13,'NEW CAR'!$BS$2:$CE$250,100,0)</f>
        <v>32000</v>
      </c>
      <c r="AC13" s="106">
        <f>+HLOOKUP($C13,'NEW CAR'!$BS$2:$CE$250,101,0)</f>
        <v>9600</v>
      </c>
      <c r="AD13" s="106">
        <f>+HLOOKUP($C13,'NEW CAR'!$BS$2:$CE$250,104,0)</f>
        <v>16000</v>
      </c>
      <c r="AE13" s="106">
        <f>+HLOOKUP($C13,'NEW CAR'!$BS$2:$CE$250,105,0)</f>
        <v>133200</v>
      </c>
      <c r="AF13" s="106">
        <f>+HLOOKUP($C13,'NEW CAR'!$BS$2:$CE$250,106,0)</f>
        <v>53280</v>
      </c>
      <c r="AG13" s="106">
        <f>+HLOOKUP($C13,'NEW CAR'!$BS$2:$CE$250,107,0)</f>
        <v>186480</v>
      </c>
      <c r="AH13" s="106">
        <f>+HLOOKUP($C13,'NEW CAR'!$BS$2:$CE$250,108,0)</f>
        <v>0</v>
      </c>
      <c r="AI13" s="106">
        <f>+HLOOKUP($C13,'NEW CAR'!$BS$2:$CE$250,109,0)</f>
        <v>159840</v>
      </c>
      <c r="AJ13" s="106">
        <f>+HLOOKUP($C13,'NEW CAR'!$BS$2:$CE$250,110,0)</f>
        <v>0</v>
      </c>
      <c r="AK13" s="106">
        <f>+HLOOKUP($C13,'NEW CAR'!$BS$2:$CE$250,111,0)</f>
        <v>0</v>
      </c>
      <c r="AL13" s="106">
        <f>+HLOOKUP($C13,'NEW CAR'!$BS$2:$CE$250,112,0)</f>
        <v>0</v>
      </c>
      <c r="AM13" s="106">
        <f>+HLOOKUP($C13,'NEW CAR'!$BS$2:$CE$250,116,0)</f>
        <v>1124400</v>
      </c>
      <c r="AN13" s="106">
        <f>+HLOOKUP($C13,'NEW CAR'!$BS$2:$CE$250,117,0)</f>
        <v>141925</v>
      </c>
      <c r="AO13" s="106">
        <f>+HLOOKUP($C13,'NEW CAR'!$BS$2:$CE$250,118,0)</f>
        <v>31500</v>
      </c>
      <c r="AP13" s="106">
        <f>+HLOOKUP($C13,'NEW CAR'!$BS$2:$CE$250,119,0)</f>
        <v>382600</v>
      </c>
      <c r="AQ13" s="106">
        <f>+HLOOKUP($C13,'NEW CAR'!$BS$2:$CE$250,120,0)</f>
        <v>81550</v>
      </c>
      <c r="AR13" s="106">
        <f>+HLOOKUP($C13,'NEW CAR'!$BS$2:$CE$250,121,0)</f>
        <v>47550</v>
      </c>
      <c r="AS13" s="106">
        <f>+HLOOKUP($C13,'NEW CAR'!$BS$2:$CE$250,122,0)</f>
        <v>600825</v>
      </c>
      <c r="AT13" s="106">
        <f>+HLOOKUP($C13,'NEW CAR'!$BS$2:$CE$250,123,0)</f>
        <v>107556.71915625001</v>
      </c>
      <c r="AU13" s="106">
        <f>+HLOOKUP($C13,'NEW CAR'!$BS$2:$CE$250,124,0)</f>
        <v>4821.25</v>
      </c>
      <c r="AV13" s="106">
        <f>+HLOOKUP($C13,'NEW CAR'!$BS$2:$CE$250,125,0)</f>
        <v>104600</v>
      </c>
      <c r="AW13" s="106">
        <f>+HLOOKUP($C13,'NEW CAR'!$BS$2:$CE$250,126,0)</f>
        <v>54057.692307692305</v>
      </c>
      <c r="AX13" s="106">
        <f>+HLOOKUP($C13,'NEW CAR'!$BS$2:$CE$250,127,0)</f>
        <v>60583.333333333343</v>
      </c>
      <c r="AY13" s="106">
        <f>+HLOOKUP($C13,'NEW CAR'!$BS$2:$CE$250,129,0)</f>
        <v>0</v>
      </c>
      <c r="AZ13" s="106">
        <f>+HLOOKUP($C13,'NEW CAR'!$BS$2:$CE$250,130,0)</f>
        <v>0</v>
      </c>
      <c r="BA13" s="106">
        <f>+HLOOKUP($C13,'NEW CAR'!$BS$2:$CE$250,131,0)</f>
        <v>144600</v>
      </c>
      <c r="BB13" s="106">
        <f>+HLOOKUP($C13,'NEW CAR'!$BS$2:$CE$250,133,0)</f>
        <v>0</v>
      </c>
      <c r="BC13" s="106">
        <f>+HLOOKUP($C13,'NEW CAR'!$BS$2:$CE$250,134,0)</f>
        <v>162236.5138333333</v>
      </c>
      <c r="BD13" s="106">
        <f>+HLOOKUP($C13,'NEW CAR'!$BS$2:$CE$250,135,0)</f>
        <v>0</v>
      </c>
      <c r="BE13" s="106">
        <f>+HLOOKUP($C13,'NEW CAR'!$BS$2:$CE$250,136,0)</f>
        <v>0</v>
      </c>
      <c r="BF13" s="106">
        <f>+HLOOKUP($C13,'NEW CAR'!$BS$2:$CE$250,138,0)</f>
        <v>25500</v>
      </c>
      <c r="BG13" s="106">
        <f>+HLOOKUP($C13,'NEW CAR'!$BS$2:$CE$250,139,0)</f>
        <v>20582.941666666666</v>
      </c>
      <c r="BH13" s="106">
        <f>+HLOOKUP($C13,'NEW CAR'!$BS$2:$CE$250,140,0)</f>
        <v>0</v>
      </c>
      <c r="BI13" s="106">
        <f>+HLOOKUP($C13,'NEW CAR'!$BS$2:$CE$250,141,0)</f>
        <v>0</v>
      </c>
      <c r="BJ13" s="106">
        <f>+HLOOKUP($C13,'NEW CAR'!$BS$2:$CE$250,142,0)</f>
        <v>0</v>
      </c>
      <c r="BK13" s="106">
        <f>+HLOOKUP($C13,'NEW CAR'!$BS$2:$CE$250,143,0)</f>
        <v>36529.25</v>
      </c>
      <c r="BL13" s="106">
        <f>+HLOOKUP($C13,'NEW CAR'!$BS$2:$CE$250,144,0)</f>
        <v>5281.25</v>
      </c>
      <c r="BM13" s="106">
        <f>+HLOOKUP($C13,'NEW CAR'!$BS$2:$CE$250,146,0)</f>
        <v>0</v>
      </c>
      <c r="BN13" s="106">
        <f>+HLOOKUP($C13,'NEW CAR'!$BS$2:$CE$250,147,0)</f>
        <v>75878</v>
      </c>
      <c r="BO13" s="106">
        <f>+HLOOKUP($C13,'NEW CAR'!$BS$2:$CE$250,148,0)</f>
        <v>0</v>
      </c>
      <c r="BP13" s="106">
        <f>+HLOOKUP($C13,'NEW CAR'!$BS$2:$CE$250,150,0)</f>
        <v>67863.862500000003</v>
      </c>
      <c r="BQ13" s="106">
        <f>+HLOOKUP($C13,'NEW CAR'!$BS$2:$CE$250,151,0)</f>
        <v>4961</v>
      </c>
      <c r="BR13" s="106">
        <f>+HLOOKUP($C13,'NEW CAR'!$BS$2:$CE$250,152,0)</f>
        <v>47000</v>
      </c>
      <c r="BS13" s="106">
        <f>+HLOOKUP($C13,'NEW CAR'!$BS$2:$CE$250,153,0)</f>
        <v>6000</v>
      </c>
      <c r="BT13" s="106">
        <f>+HLOOKUP($C13,'NEW CAR'!$BS$2:$CE$250,157,0)</f>
        <v>64260</v>
      </c>
      <c r="BU13" s="106">
        <f>+HLOOKUP($C13,'NEW CAR'!$BS$2:$CE$250,158,0)</f>
        <v>5800</v>
      </c>
      <c r="BV13" s="106">
        <f>+HLOOKUP($C13,'NEW CAR'!$BS$2:$CE$250,159,0)</f>
        <v>40999.722222222219</v>
      </c>
      <c r="BW13" s="106">
        <f>+HLOOKUP($C13,'NEW CAR'!$BS$2:$CE$250,160,0)</f>
        <v>300</v>
      </c>
      <c r="BX13" s="106">
        <f>+HLOOKUP($C13,'NEW CAR'!$BS$2:$CE$250,161,0)</f>
        <v>17824.909583333334</v>
      </c>
      <c r="BY13" s="106">
        <f>+HLOOKUP($C13,'NEW CAR'!$BS$2:$CE$250,164,0)</f>
        <v>16000</v>
      </c>
      <c r="BZ13" s="106">
        <f>+HLOOKUP($C13,'NEW CAR'!$BS$2:$CE$250,165,0)</f>
        <v>0</v>
      </c>
      <c r="CA13" s="106">
        <f>+HLOOKUP($C13,'NEW CAR'!$BS$2:$CE$250,166,0)</f>
        <v>0</v>
      </c>
      <c r="CB13" s="106">
        <f>+HLOOKUP($C13,'NEW CAR'!$BS$2:$CE$250,167,0)</f>
        <v>0</v>
      </c>
      <c r="CC13" s="106">
        <f>+HLOOKUP($C13,'NEW CAR'!$BS$2:$CE$250,168,0)</f>
        <v>0</v>
      </c>
      <c r="CD13" s="106">
        <f>+HLOOKUP($C13,'NEW CAR'!$BS$2:$CE$250,169,0)</f>
        <v>1666.6666666666667</v>
      </c>
      <c r="CE13" s="106">
        <f>+HLOOKUP($C13,'NEW CAR'!$BS$2:$CE$250,170,0)</f>
        <v>0</v>
      </c>
      <c r="CF13" s="106">
        <f>+HLOOKUP($C13,'NEW CAR'!$BS$2:$CE$250,172,0)</f>
        <v>20150</v>
      </c>
      <c r="CG13" s="106">
        <f>+HLOOKUP($C13,'NEW CAR'!$BS$2:$CE$250,173,0)</f>
        <v>0</v>
      </c>
      <c r="CH13" s="106">
        <f>+HLOOKUP($C13,'NEW CAR'!$BS$2:$CE$250,174,0)</f>
        <v>0</v>
      </c>
      <c r="CI13" s="106">
        <f>+HLOOKUP($C13,'NEW CAR'!$BS$2:$CE$250,175,0)</f>
        <v>0</v>
      </c>
      <c r="CJ13" s="106">
        <f>+HLOOKUP($C13,'NEW CAR'!$BS$2:$CE$250,176,0)</f>
        <v>15800</v>
      </c>
      <c r="CK13" s="106">
        <f>+HLOOKUP($C13,'NEW CAR'!$BS$2:$CE$250,178,0)</f>
        <v>204372.99254545456</v>
      </c>
      <c r="CL13" s="106">
        <f>+HLOOKUP($C13,'NEW CAR'!$BS$2:$CE$250,179,0)</f>
        <v>10000</v>
      </c>
      <c r="CM13" s="106">
        <f>+HLOOKUP($C13,'NEW CAR'!$BS$2:$CE$250,180,0)</f>
        <v>0</v>
      </c>
      <c r="CN13" s="106">
        <f>+HLOOKUP($C13,'NEW CAR'!$BS$2:$CE$250,182,0)</f>
        <v>1638</v>
      </c>
      <c r="CO13" s="106">
        <f>+HLOOKUP($C13,'NEW CAR'!$BS$2:$CE$250,183,0)</f>
        <v>19981</v>
      </c>
      <c r="CP13" s="106">
        <f>+HLOOKUP($C13,'NEW CAR'!$BS$2:$CE$250,184,0)</f>
        <v>14400</v>
      </c>
      <c r="CQ13" s="106">
        <f>+HLOOKUP($C13,'NEW CAR'!$BS$2:$CE$250,185,0)</f>
        <v>0</v>
      </c>
      <c r="CR13" s="106">
        <f>+HLOOKUP($C13,'NEW CAR'!$BS$2:$CE$250,187,0)</f>
        <v>8332.8000000000011</v>
      </c>
      <c r="CS13" s="106">
        <f>+HLOOKUP($C13,'NEW CAR'!$BS$2:$CE$250,188,0)</f>
        <v>10600</v>
      </c>
      <c r="CT13" s="106">
        <f>+HLOOKUP($C13,'NEW CAR'!$BS$2:$CE$250,189,0)</f>
        <v>6666.8</v>
      </c>
      <c r="CU13" s="106">
        <f>+HLOOKUP($C13,'NEW CAR'!$BS$2:$CE$250,190,0)</f>
        <v>6755.6</v>
      </c>
      <c r="CV13" s="106">
        <f>+HLOOKUP($C13,'NEW CAR'!$BS$2:$CE$250,191,0)</f>
        <v>0</v>
      </c>
      <c r="CW13" s="106">
        <f>+HLOOKUP($C13,'NEW CAR'!$BS$2:$CE$250,193,0)</f>
        <v>11831</v>
      </c>
      <c r="CX13" s="106">
        <f>+HLOOKUP($C13,'NEW CAR'!$BS$2:$CE$250,194,0)</f>
        <v>106</v>
      </c>
      <c r="CY13" s="106">
        <f>+HLOOKUP($C13,'NEW CAR'!$BS$2:$CE$250,195,0)</f>
        <v>7249.8819999999996</v>
      </c>
      <c r="CZ13" s="106">
        <f>+HLOOKUP($C13,'NEW CAR'!$BS$2:$CE$250,196,0)</f>
        <v>0</v>
      </c>
      <c r="DA13" s="106">
        <f>+HLOOKUP($C13,'NEW CAR'!$BS$2:$CE$250,197,0)</f>
        <v>43776</v>
      </c>
      <c r="DB13" s="106">
        <f>+HLOOKUP($C13,'NEW CAR'!$BS$2:$CE$250,198,0)</f>
        <v>13480</v>
      </c>
      <c r="DC13" s="106">
        <f>+HLOOKUP($C13,'NEW CAR'!$BS$2:$CE$250,199,0)</f>
        <v>2880</v>
      </c>
      <c r="DD13" s="106">
        <f>+HLOOKUP($C13,'NEW CAR'!$BS$2:$CE$250,200,0)</f>
        <v>1700</v>
      </c>
      <c r="DE13" s="106">
        <f>+HLOOKUP($C13,'NEW CAR'!$BS$2:$CE$250,201,0)</f>
        <v>198</v>
      </c>
      <c r="DF13" s="106">
        <f>+HLOOKUP($C13,'NEW CAR'!$BS$2:$CE$250,202,0)</f>
        <v>0</v>
      </c>
      <c r="DG13" s="106">
        <f>+HLOOKUP($C13,'NEW CAR'!$BS$2:$CE$250,203,0)</f>
        <v>0</v>
      </c>
      <c r="DH13" s="106">
        <f>+HLOOKUP($C13,'NEW CAR'!$BS$2:$CE$250,205,0)</f>
        <v>68123.915427272703</v>
      </c>
      <c r="DI13" s="106">
        <f>+HLOOKUP($C13,'NEW CAR'!$BS$2:$CE$250,206,0)</f>
        <v>16170</v>
      </c>
      <c r="DJ13" s="106">
        <f>+HLOOKUP($C13,'NEW CAR'!$BS$2:$CE$250,207,0)</f>
        <v>2176.7316666666666</v>
      </c>
      <c r="DK13" s="106">
        <f>+HLOOKUP($C13,'NEW CAR'!$BS$2:$CE$250,209,0)</f>
        <v>0</v>
      </c>
      <c r="DL13" s="106">
        <f>+HLOOKUP($C13,'NEW CAR'!$BS$2:$CE$250,210,0)</f>
        <v>0</v>
      </c>
      <c r="DM13" s="106">
        <f>+HLOOKUP($C13,'NEW CAR'!$BS$2:$CE$250,211,0)</f>
        <v>87450.312499999956</v>
      </c>
      <c r="DN13" s="106">
        <f>+HLOOKUP($C13,'NEW CAR'!$BS$2:$CE$250,212,0)</f>
        <v>73286.518331250001</v>
      </c>
      <c r="DO13" s="106">
        <f>+HLOOKUP($C13,'NEW CAR'!$BS$2:$CE$250,214,0)</f>
        <v>0</v>
      </c>
      <c r="DP13" s="106">
        <f>+HLOOKUP($C13,'NEW CAR'!$BS$2:$CE$250,215,0)</f>
        <v>2400</v>
      </c>
      <c r="DQ13" s="106">
        <f>+HLOOKUP($C13,'NEW CAR'!$BS$2:$CE$250,219,0)</f>
        <v>0</v>
      </c>
      <c r="DR13" s="106">
        <f>+HLOOKUP($C13,'NEW CAR'!$BS$2:$CE$250,220,0)</f>
        <v>0</v>
      </c>
      <c r="DS13" s="106">
        <f>+HLOOKUP($C13,'NEW CAR'!$BS$2:$CE$250,221,0)</f>
        <v>276000</v>
      </c>
      <c r="DT13" s="106">
        <f>+HLOOKUP($C13,'NEW CAR'!$BS$2:$CE$250,223,0)</f>
        <v>50000</v>
      </c>
      <c r="DU13" s="106">
        <f>+HLOOKUP($C13,'NEW CAR'!$BS$2:$CE$250,224,0)</f>
        <v>0</v>
      </c>
      <c r="DV13" s="106">
        <f>+HLOOKUP($C13,'NEW CAR'!$BS$2:$CE$250,225,0)</f>
        <v>0</v>
      </c>
      <c r="DW13" s="106">
        <f>+HLOOKUP($C13,'NEW CAR'!$BS$2:$CE$250,227,0)</f>
        <v>0</v>
      </c>
      <c r="DX13" s="106">
        <f>+HLOOKUP($C13,'NEW CAR'!$BS$2:$CE$250,228,0)</f>
        <v>0</v>
      </c>
      <c r="DY13" s="106">
        <f>+HLOOKUP($C13,'NEW CAR'!$BS$2:$CE$250,236,0)</f>
        <v>0</v>
      </c>
      <c r="DZ13" s="106">
        <f>+HLOOKUP($C13,'NEW CAR'!$BS$2:$CE$250,237,0)</f>
        <v>143750.84673802156</v>
      </c>
      <c r="EA13" s="106">
        <f>+HLOOKUP($C13,'NEW CAR'!$BS$2:$CE$250,238,0)</f>
        <v>0</v>
      </c>
      <c r="EB13" s="106">
        <f>+HLOOKUP($C13,'NEW CAR'!$BS$2:$CE$250,240,0)</f>
        <v>952163.96462113166</v>
      </c>
    </row>
    <row r="14" spans="1:133">
      <c r="A14" t="s">
        <v>271</v>
      </c>
      <c r="B14" t="s">
        <v>270</v>
      </c>
      <c r="C14" s="117">
        <v>45992</v>
      </c>
      <c r="D14" s="106">
        <f>+HLOOKUP(C14,'NEW CAR'!$DI$2:$DU$250,6,0)/3.5%</f>
        <v>88596572.072072074</v>
      </c>
      <c r="E14" s="106">
        <f>+HLOOKUP(C14,'NEW CAR'!$DI$2:$DU$250,5,0)+HLOOKUP(C14,'NEW CAR'!$DI$2:$DU$250,26,0)+HLOOKUP(C14,'NEW CAR'!$DI$2:$DU$250,59,0)</f>
        <v>8085392.5155327758</v>
      </c>
      <c r="F14" s="106"/>
      <c r="G14" s="106">
        <f>+HLOOKUP($C14,'NEW CAR'!$DI$2:$DU$250,76,0)</f>
        <v>96000</v>
      </c>
      <c r="H14" s="106">
        <f>+HLOOKUP($C14,'NEW CAR'!$DI$2:$DU$250,77,0)</f>
        <v>384000</v>
      </c>
      <c r="I14" s="106">
        <f>+HLOOKUP($C14,'NEW CAR'!$DI$2:$DU$250,78,0)</f>
        <v>0</v>
      </c>
      <c r="J14" s="106">
        <f>+HLOOKUP($C14,'NEW CAR'!$DI$2:$DU$250,79,0)</f>
        <v>160000</v>
      </c>
      <c r="K14" s="106">
        <f>+HLOOKUP($C14,'NEW CAR'!$DI$2:$DU$250,80,0)</f>
        <v>0</v>
      </c>
      <c r="L14" s="106">
        <f>+HLOOKUP($C14,'NEW CAR'!$DI$2:$DU$250,81,0)</f>
        <v>0</v>
      </c>
      <c r="M14" s="106">
        <f>+HLOOKUP($C14,'NEW CAR'!$DI$2:$DU$250,82,0)</f>
        <v>0</v>
      </c>
      <c r="N14" s="106">
        <f>+HLOOKUP($C14,'NEW CAR'!$DI$2:$DU$250,83,0)</f>
        <v>0</v>
      </c>
      <c r="O14" s="106">
        <f>+HLOOKUP($C14,'NEW CAR'!$DI$2:$DU$250,84,0)</f>
        <v>0</v>
      </c>
      <c r="P14" s="106">
        <f>+HLOOKUP($C14,'NEW CAR'!$DI$2:$DU$250,85,0)</f>
        <v>0</v>
      </c>
      <c r="Q14" s="106">
        <f>+HLOOKUP($C14,'NEW CAR'!$DI$2:$DU$250,87,0)</f>
        <v>560000</v>
      </c>
      <c r="R14" s="106">
        <f>+HLOOKUP($C14,'NEW CAR'!$DI$2:$DU$250,90,0)</f>
        <v>9600</v>
      </c>
      <c r="S14" s="106">
        <f>+HLOOKUP($C14,'NEW CAR'!$DI$2:$DU$250,91,0)</f>
        <v>0</v>
      </c>
      <c r="T14" s="106">
        <f>+HLOOKUP($C14,'NEW CAR'!$DI$2:$DU$250,92,0)</f>
        <v>240000</v>
      </c>
      <c r="U14" s="106">
        <f>+HLOOKUP($C14,'NEW CAR'!$DI$2:$DU$250,93,0)</f>
        <v>8000</v>
      </c>
      <c r="V14" s="106">
        <f>+HLOOKUP($C14,'NEW CAR'!$DI$2:$DU$250,94,0)</f>
        <v>0</v>
      </c>
      <c r="W14" s="106">
        <f>+HLOOKUP($C14,'NEW CAR'!$DI$2:$DU$250,95,0)</f>
        <v>20000</v>
      </c>
      <c r="X14" s="106">
        <f>+HLOOKUP($C14,'NEW CAR'!$DI$2:$DU$250,96,0)</f>
        <v>30000</v>
      </c>
      <c r="Y14" s="106">
        <f>+HLOOKUP($C14,'NEW CAR'!$DI$2:$DU$250,97,0)</f>
        <v>80000</v>
      </c>
      <c r="Z14" s="106">
        <f>+HLOOKUP($C14,'NEW CAR'!$DI$2:$DU$250,98,0)</f>
        <v>0</v>
      </c>
      <c r="AA14" s="106">
        <f>+HLOOKUP($C14,'NEW CAR'!$DI$2:$DU$250,99,0)</f>
        <v>0</v>
      </c>
      <c r="AB14" s="106">
        <f>+HLOOKUP($C14,'NEW CAR'!$DI$2:$DU$250,100,0)</f>
        <v>32000</v>
      </c>
      <c r="AC14" s="106">
        <f>+HLOOKUP($C14,'NEW CAR'!$DI$2:$DU$250,101,0)</f>
        <v>9600</v>
      </c>
      <c r="AD14" s="106">
        <f>+HLOOKUP($C14,'NEW CAR'!$DI$2:$DU$250,104,0)</f>
        <v>16000</v>
      </c>
      <c r="AE14" s="106">
        <f>+HLOOKUP($C14,'NEW CAR'!$DI$2:$DU$250,105,0)</f>
        <v>133200</v>
      </c>
      <c r="AF14" s="106">
        <f>+HLOOKUP($C14,'NEW CAR'!$DI$2:$DU$250,106,0)</f>
        <v>53280</v>
      </c>
      <c r="AG14" s="106">
        <f>+HLOOKUP($C14,'NEW CAR'!$DI$2:$DU$250,107,0)</f>
        <v>186480</v>
      </c>
      <c r="AH14" s="106">
        <f>+HLOOKUP($C14,'NEW CAR'!$DI$2:$DU$250,108,0)</f>
        <v>0</v>
      </c>
      <c r="AI14" s="106">
        <f>+HLOOKUP($C14,'NEW CAR'!$DI$2:$DU$250,109,0)</f>
        <v>159840</v>
      </c>
      <c r="AJ14" s="106">
        <f>+HLOOKUP($C14,'NEW CAR'!$DI$2:$DU$250,110,0)</f>
        <v>0</v>
      </c>
      <c r="AK14" s="106">
        <f>+HLOOKUP($C14,'NEW CAR'!$DI$2:$DU$250,111,0)</f>
        <v>0</v>
      </c>
      <c r="AL14" s="106">
        <f>+HLOOKUP($C14,'NEW CAR'!$DI$2:$DU$250,112,0)</f>
        <v>0</v>
      </c>
      <c r="AM14" s="106">
        <f>+HLOOKUP($C14,'NEW CAR'!$DI$2:$DU$250,116,0)</f>
        <v>390400</v>
      </c>
      <c r="AN14" s="106">
        <f>+HLOOKUP($C14,'NEW CAR'!$DI$2:$DU$250,117,0)</f>
        <v>59650</v>
      </c>
      <c r="AO14" s="106">
        <f>+HLOOKUP($C14,'NEW CAR'!$DI$2:$DU$250,118,0)</f>
        <v>9000</v>
      </c>
      <c r="AP14" s="106">
        <f>+HLOOKUP($C14,'NEW CAR'!$DI$2:$DU$250,119,0)</f>
        <v>131200</v>
      </c>
      <c r="AQ14" s="106">
        <f>+HLOOKUP($C14,'NEW CAR'!$DI$2:$DU$250,120,0)</f>
        <v>34500</v>
      </c>
      <c r="AR14" s="106">
        <f>+HLOOKUP($C14,'NEW CAR'!$DI$2:$DU$250,121,0)</f>
        <v>10350</v>
      </c>
      <c r="AS14" s="106">
        <f>+HLOOKUP($C14,'NEW CAR'!$DI$2:$DU$250,122,0)</f>
        <v>183900</v>
      </c>
      <c r="AT14" s="106">
        <f>+HLOOKUP($C14,'NEW CAR'!$DI$2:$DU$250,123,0)</f>
        <v>43454.504708333327</v>
      </c>
      <c r="AU14" s="106">
        <f>+HLOOKUP($C14,'NEW CAR'!$DI$2:$DU$250,124,0)</f>
        <v>2066.25</v>
      </c>
      <c r="AV14" s="106">
        <f>+HLOOKUP($C14,'NEW CAR'!$DI$2:$DU$250,125,0)</f>
        <v>39225</v>
      </c>
      <c r="AW14" s="106">
        <f>+HLOOKUP($C14,'NEW CAR'!$DI$2:$DU$250,126,0)</f>
        <v>18769.230769230773</v>
      </c>
      <c r="AX14" s="106">
        <f>+HLOOKUP($C14,'NEW CAR'!$DI$2:$DU$250,127,0)</f>
        <v>24574.999999999996</v>
      </c>
      <c r="AY14" s="106">
        <f>+HLOOKUP($C14,'NEW CAR'!$DI$2:$DU$250,129,0)</f>
        <v>0</v>
      </c>
      <c r="AZ14" s="106">
        <f>+HLOOKUP($C14,'NEW CAR'!$DI$2:$DU$250,130,0)</f>
        <v>0</v>
      </c>
      <c r="BA14" s="106">
        <f>+HLOOKUP($C14,'NEW CAR'!$DI$2:$DU$250,131,0)</f>
        <v>96400</v>
      </c>
      <c r="BB14" s="106">
        <f>+HLOOKUP($C14,'NEW CAR'!$DI$2:$DU$250,133,0)</f>
        <v>0</v>
      </c>
      <c r="BC14" s="106">
        <f>+HLOOKUP($C14,'NEW CAR'!$DI$2:$DU$250,134,0)</f>
        <v>63508.417999999983</v>
      </c>
      <c r="BD14" s="106">
        <f>+HLOOKUP($C14,'NEW CAR'!$DI$2:$DU$250,135,0)</f>
        <v>0</v>
      </c>
      <c r="BE14" s="106">
        <f>+HLOOKUP($C14,'NEW CAR'!$DI$2:$DU$250,136,0)</f>
        <v>0</v>
      </c>
      <c r="BF14" s="106">
        <f>+HLOOKUP($C14,'NEW CAR'!$DI$2:$DU$250,138,0)</f>
        <v>10250</v>
      </c>
      <c r="BG14" s="106">
        <f>+HLOOKUP($C14,'NEW CAR'!$DI$2:$DU$250,139,0)</f>
        <v>14139.976249999998</v>
      </c>
      <c r="BH14" s="106">
        <f>+HLOOKUP($C14,'NEW CAR'!$DI$2:$DU$250,140,0)</f>
        <v>0</v>
      </c>
      <c r="BI14" s="106">
        <f>+HLOOKUP($C14,'NEW CAR'!$DI$2:$DU$250,141,0)</f>
        <v>0</v>
      </c>
      <c r="BJ14" s="106">
        <f>+HLOOKUP($C14,'NEW CAR'!$DI$2:$DU$250,142,0)</f>
        <v>0</v>
      </c>
      <c r="BK14" s="106">
        <f>+HLOOKUP($C14,'NEW CAR'!$DI$2:$DU$250,143,0)</f>
        <v>26971.833333333332</v>
      </c>
      <c r="BL14" s="106">
        <f>+HLOOKUP($C14,'NEW CAR'!$DI$2:$DU$250,144,0)</f>
        <v>23364.583333333332</v>
      </c>
      <c r="BM14" s="106">
        <f>+HLOOKUP($C14,'NEW CAR'!$DI$2:$DU$250,146,0)</f>
        <v>0</v>
      </c>
      <c r="BN14" s="106">
        <f>+HLOOKUP($C14,'NEW CAR'!$DI$2:$DU$250,147,0)</f>
        <v>35000</v>
      </c>
      <c r="BO14" s="106">
        <f>+HLOOKUP($C14,'NEW CAR'!$DI$2:$DU$250,148,0)</f>
        <v>0</v>
      </c>
      <c r="BP14" s="106">
        <f>+HLOOKUP($C14,'NEW CAR'!$DI$2:$DU$250,150,0)</f>
        <v>32219.599999999999</v>
      </c>
      <c r="BQ14" s="106">
        <f>+HLOOKUP($C14,'NEW CAR'!$DI$2:$DU$250,151,0)</f>
        <v>2480.5</v>
      </c>
      <c r="BR14" s="106">
        <f>+HLOOKUP($C14,'NEW CAR'!$DI$2:$DU$250,152,0)</f>
        <v>16000</v>
      </c>
      <c r="BS14" s="106">
        <f>+HLOOKUP($C14,'NEW CAR'!$DI$2:$DU$250,153,0)</f>
        <v>3000</v>
      </c>
      <c r="BT14" s="106">
        <f>+HLOOKUP($C14,'NEW CAR'!$DI$2:$DU$250,157,0)</f>
        <v>10600</v>
      </c>
      <c r="BU14" s="106">
        <f>+HLOOKUP($C14,'NEW CAR'!$DI$2:$DU$250,158,0)</f>
        <v>2175</v>
      </c>
      <c r="BV14" s="106">
        <f>+HLOOKUP($C14,'NEW CAR'!$DI$2:$DU$250,159,0)</f>
        <v>0</v>
      </c>
      <c r="BW14" s="106">
        <f>+HLOOKUP($C14,'NEW CAR'!$DI$2:$DU$250,160,0)</f>
        <v>11000</v>
      </c>
      <c r="BX14" s="106">
        <f>+HLOOKUP($C14,'NEW CAR'!$DI$2:$DU$250,161,0)</f>
        <v>7572.9163125000005</v>
      </c>
      <c r="BY14" s="106">
        <f>+HLOOKUP($C14,'NEW CAR'!$DI$2:$DU$250,164,0)</f>
        <v>0</v>
      </c>
      <c r="BZ14" s="106">
        <f>+HLOOKUP($C14,'NEW CAR'!$DI$2:$DU$250,165,0)</f>
        <v>0</v>
      </c>
      <c r="CA14" s="106">
        <f>+HLOOKUP($C14,'NEW CAR'!$DI$2:$DU$250,166,0)</f>
        <v>0</v>
      </c>
      <c r="CB14" s="106">
        <f>+HLOOKUP($C14,'NEW CAR'!$DI$2:$DU$250,167,0)</f>
        <v>0</v>
      </c>
      <c r="CC14" s="106">
        <f>+HLOOKUP($C14,'NEW CAR'!$DI$2:$DU$250,168,0)</f>
        <v>0</v>
      </c>
      <c r="CD14" s="106">
        <f>+HLOOKUP($C14,'NEW CAR'!$DI$2:$DU$250,169,0)</f>
        <v>0</v>
      </c>
      <c r="CE14" s="106">
        <f>+HLOOKUP($C14,'NEW CAR'!$DI$2:$DU$250,170,0)</f>
        <v>0</v>
      </c>
      <c r="CF14" s="106">
        <f>+HLOOKUP($C14,'NEW CAR'!$DI$2:$DU$250,172,0)</f>
        <v>18000</v>
      </c>
      <c r="CG14" s="106">
        <f>+HLOOKUP($C14,'NEW CAR'!$DI$2:$DU$250,173,0)</f>
        <v>0</v>
      </c>
      <c r="CH14" s="106">
        <f>+HLOOKUP($C14,'NEW CAR'!$DI$2:$DU$250,174,0)</f>
        <v>0</v>
      </c>
      <c r="CI14" s="106">
        <f>+HLOOKUP($C14,'NEW CAR'!$DI$2:$DU$250,175,0)</f>
        <v>0</v>
      </c>
      <c r="CJ14" s="106">
        <f>+HLOOKUP($C14,'NEW CAR'!$DI$2:$DU$250,176,0)</f>
        <v>5925</v>
      </c>
      <c r="CK14" s="106">
        <f>+HLOOKUP($C14,'NEW CAR'!$DI$2:$DU$250,178,0)</f>
        <v>60000</v>
      </c>
      <c r="CL14" s="106">
        <f>+HLOOKUP($C14,'NEW CAR'!$DI$2:$DU$250,179,0)</f>
        <v>0</v>
      </c>
      <c r="CM14" s="106">
        <f>+HLOOKUP($C14,'NEW CAR'!$DI$2:$DU$250,180,0)</f>
        <v>14700</v>
      </c>
      <c r="CN14" s="106">
        <f>+HLOOKUP($C14,'NEW CAR'!$DI$2:$DU$250,182,0)</f>
        <v>614.25</v>
      </c>
      <c r="CO14" s="106">
        <f>+HLOOKUP($C14,'NEW CAR'!$DI$2:$DU$250,183,0)</f>
        <v>11725.5</v>
      </c>
      <c r="CP14" s="106">
        <f>+HLOOKUP($C14,'NEW CAR'!$DI$2:$DU$250,184,0)</f>
        <v>5400</v>
      </c>
      <c r="CQ14" s="106">
        <f>+HLOOKUP($C14,'NEW CAR'!$DI$2:$DU$250,185,0)</f>
        <v>0</v>
      </c>
      <c r="CR14" s="106">
        <f>+HLOOKUP($C14,'NEW CAR'!$DI$2:$DU$250,187,0)</f>
        <v>3124.7999999999997</v>
      </c>
      <c r="CS14" s="106">
        <f>+HLOOKUP($C14,'NEW CAR'!$DI$2:$DU$250,188,0)</f>
        <v>3975</v>
      </c>
      <c r="CT14" s="106">
        <f>+HLOOKUP($C14,'NEW CAR'!$DI$2:$DU$250,189,0)</f>
        <v>2500.0499999999997</v>
      </c>
      <c r="CU14" s="106">
        <f>+HLOOKUP($C14,'NEW CAR'!$DI$2:$DU$250,190,0)</f>
        <v>2533.35</v>
      </c>
      <c r="CV14" s="106">
        <f>+HLOOKUP($C14,'NEW CAR'!$DI$2:$DU$250,191,0)</f>
        <v>0</v>
      </c>
      <c r="CW14" s="106">
        <f>+HLOOKUP($C14,'NEW CAR'!$DI$2:$DU$250,193,0)</f>
        <v>6177.166666666667</v>
      </c>
      <c r="CX14" s="106">
        <f>+HLOOKUP($C14,'NEW CAR'!$DI$2:$DU$250,194,0)</f>
        <v>591.83333333333337</v>
      </c>
      <c r="CY14" s="106">
        <f>+HLOOKUP($C14,'NEW CAR'!$DI$2:$DU$250,195,0)</f>
        <v>1375.059</v>
      </c>
      <c r="CZ14" s="106">
        <f>+HLOOKUP($C14,'NEW CAR'!$DI$2:$DU$250,196,0)</f>
        <v>0</v>
      </c>
      <c r="DA14" s="106">
        <f>+HLOOKUP($C14,'NEW CAR'!$DI$2:$DU$250,197,0)</f>
        <v>16416</v>
      </c>
      <c r="DB14" s="106">
        <f>+HLOOKUP($C14,'NEW CAR'!$DI$2:$DU$250,198,0)</f>
        <v>5055</v>
      </c>
      <c r="DC14" s="106">
        <f>+HLOOKUP($C14,'NEW CAR'!$DI$2:$DU$250,199,0)</f>
        <v>1080</v>
      </c>
      <c r="DD14" s="106">
        <f>+HLOOKUP($C14,'NEW CAR'!$DI$2:$DU$250,200,0)</f>
        <v>350</v>
      </c>
      <c r="DE14" s="106">
        <f>+HLOOKUP($C14,'NEW CAR'!$DI$2:$DU$250,201,0)</f>
        <v>74.25</v>
      </c>
      <c r="DF14" s="106">
        <f>+HLOOKUP($C14,'NEW CAR'!$DI$2:$DU$250,202,0)</f>
        <v>0</v>
      </c>
      <c r="DG14" s="106">
        <f>+HLOOKUP($C14,'NEW CAR'!$DI$2:$DU$250,203,0)</f>
        <v>0</v>
      </c>
      <c r="DH14" s="106">
        <f>+HLOOKUP($C14,'NEW CAR'!$DI$2:$DU$250,205,0)</f>
        <v>45415.943618181802</v>
      </c>
      <c r="DI14" s="106">
        <f>+HLOOKUP($C14,'NEW CAR'!$DI$2:$DU$250,206,0)</f>
        <v>4687.2888872727272</v>
      </c>
      <c r="DJ14" s="106">
        <f>+HLOOKUP($C14,'NEW CAR'!$DI$2:$DU$250,207,0)</f>
        <v>367.27237499999995</v>
      </c>
      <c r="DK14" s="106">
        <f>+HLOOKUP($C14,'NEW CAR'!$DI$2:$DU$250,209,0)</f>
        <v>0</v>
      </c>
      <c r="DL14" s="106">
        <f>+HLOOKUP($C14,'NEW CAR'!$DI$2:$DU$250,210,0)</f>
        <v>0</v>
      </c>
      <c r="DM14" s="106">
        <f>+HLOOKUP($C14,'NEW CAR'!$DI$2:$DU$250,211,0)</f>
        <v>122842.10039062503</v>
      </c>
      <c r="DN14" s="106">
        <f>+HLOOKUP($C14,'NEW CAR'!$DI$2:$DU$250,212,0)</f>
        <v>0</v>
      </c>
      <c r="DO14" s="106">
        <f>+HLOOKUP($C14,'NEW CAR'!$DI$2:$DU$250,214,0)</f>
        <v>0</v>
      </c>
      <c r="DP14" s="106">
        <f>+HLOOKUP($C14,'NEW CAR'!$DI$2:$DU$250,215,0)</f>
        <v>900</v>
      </c>
      <c r="DQ14" s="106">
        <f>+HLOOKUP($C14,'NEW CAR'!$DI$2:$DU$250,219,0)</f>
        <v>0</v>
      </c>
      <c r="DR14" s="106">
        <f>+HLOOKUP($C14,'NEW CAR'!$DI$2:$DU$250,220,0)</f>
        <v>0</v>
      </c>
      <c r="DS14" s="106">
        <f>+HLOOKUP($C14,'NEW CAR'!$DI$2:$DU$250,221,0)</f>
        <v>184000</v>
      </c>
      <c r="DT14" s="106">
        <f>+HLOOKUP($C14,'NEW CAR'!$DI$2:$DU$250,223,0)</f>
        <v>18750</v>
      </c>
      <c r="DU14" s="106">
        <f>+HLOOKUP($C14,'NEW CAR'!$DI$2:$DU$250,224,0)</f>
        <v>0</v>
      </c>
      <c r="DV14" s="106">
        <f>+HLOOKUP($C14,'NEW CAR'!$DI$2:$DU$250,225,0)</f>
        <v>0</v>
      </c>
      <c r="DW14" s="106">
        <f>+HLOOKUP($C14,'NEW CAR'!$DI$2:$DU$250,227,0)</f>
        <v>0</v>
      </c>
      <c r="DX14" s="106">
        <f>+HLOOKUP($C14,'NEW CAR'!$DI$2:$DU$250,228,0)</f>
        <v>0</v>
      </c>
      <c r="DY14" s="106">
        <f>+HLOOKUP($C14,'NEW CAR'!$DI$2:$DU$250,236,0)</f>
        <v>0</v>
      </c>
      <c r="DZ14" s="106">
        <f>+HLOOKUP($C14,'NEW CAR'!$DI$2:$DU$250,237,0)</f>
        <v>150508.36569760225</v>
      </c>
      <c r="EA14" s="106">
        <f>+HLOOKUP($C14,'NEW CAR'!$DI$2:$DU$250,238,0)</f>
        <v>0</v>
      </c>
      <c r="EB14" s="106">
        <f>+HLOOKUP($C14,'NEW CAR'!$DI$2:$DU$250,240,0)</f>
        <v>433516.25836428563</v>
      </c>
    </row>
    <row r="15" spans="1:133">
      <c r="A15" t="s">
        <v>271</v>
      </c>
      <c r="B15" t="s">
        <v>270</v>
      </c>
      <c r="C15" s="117">
        <v>45962</v>
      </c>
      <c r="D15" s="106">
        <f>+HLOOKUP(C15,'NEW CAR'!$DI$2:$DU$250,6,0)/3.5%</f>
        <v>57844509.474992238</v>
      </c>
      <c r="E15" s="106">
        <f>+HLOOKUP(C15,'NEW CAR'!$DI$2:$DU$250,5,0)+HLOOKUP(C15,'NEW CAR'!$DI$2:$DU$250,26,0)+HLOOKUP(C15,'NEW CAR'!$DI$2:$DU$250,59,0)</f>
        <v>3397319.6520658592</v>
      </c>
      <c r="F15" s="106"/>
      <c r="G15" s="106">
        <f>+HLOOKUP($C15,'NEW CAR'!$DI$2:$DU$250,76,0)</f>
        <v>84000</v>
      </c>
      <c r="H15" s="106">
        <f>+HLOOKUP($C15,'NEW CAR'!$DI$2:$DU$250,77,0)</f>
        <v>336000</v>
      </c>
      <c r="I15" s="106">
        <f>+HLOOKUP($C15,'NEW CAR'!$DI$2:$DU$250,78,0)</f>
        <v>0</v>
      </c>
      <c r="J15" s="106">
        <f>+HLOOKUP($C15,'NEW CAR'!$DI$2:$DU$250,79,0)</f>
        <v>140000</v>
      </c>
      <c r="K15" s="106">
        <f>+HLOOKUP($C15,'NEW CAR'!$DI$2:$DU$250,80,0)</f>
        <v>0</v>
      </c>
      <c r="L15" s="106">
        <f>+HLOOKUP($C15,'NEW CAR'!$DI$2:$DU$250,81,0)</f>
        <v>0</v>
      </c>
      <c r="M15" s="106">
        <f>+HLOOKUP($C15,'NEW CAR'!$DI$2:$DU$250,82,0)</f>
        <v>0</v>
      </c>
      <c r="N15" s="106">
        <f>+HLOOKUP($C15,'NEW CAR'!$DI$2:$DU$250,83,0)</f>
        <v>0</v>
      </c>
      <c r="O15" s="106">
        <f>+HLOOKUP($C15,'NEW CAR'!$DI$2:$DU$250,84,0)</f>
        <v>0</v>
      </c>
      <c r="P15" s="106">
        <f>+HLOOKUP($C15,'NEW CAR'!$DI$2:$DU$250,85,0)</f>
        <v>0</v>
      </c>
      <c r="Q15" s="106">
        <f>+HLOOKUP($C15,'NEW CAR'!$DI$2:$DU$250,87,0)</f>
        <v>490000</v>
      </c>
      <c r="R15" s="106">
        <f>+HLOOKUP($C15,'NEW CAR'!$DI$2:$DU$250,90,0)</f>
        <v>8400</v>
      </c>
      <c r="S15" s="106">
        <f>+HLOOKUP($C15,'NEW CAR'!$DI$2:$DU$250,91,0)</f>
        <v>0</v>
      </c>
      <c r="T15" s="106">
        <f>+HLOOKUP($C15,'NEW CAR'!$DI$2:$DU$250,92,0)</f>
        <v>210000</v>
      </c>
      <c r="U15" s="106">
        <f>+HLOOKUP($C15,'NEW CAR'!$DI$2:$DU$250,93,0)</f>
        <v>7000</v>
      </c>
      <c r="V15" s="106">
        <f>+HLOOKUP($C15,'NEW CAR'!$DI$2:$DU$250,94,0)</f>
        <v>0</v>
      </c>
      <c r="W15" s="106">
        <f>+HLOOKUP($C15,'NEW CAR'!$DI$2:$DU$250,95,0)</f>
        <v>20000</v>
      </c>
      <c r="X15" s="106">
        <f>+HLOOKUP($C15,'NEW CAR'!$DI$2:$DU$250,96,0)</f>
        <v>30000</v>
      </c>
      <c r="Y15" s="106">
        <f>+HLOOKUP($C15,'NEW CAR'!$DI$2:$DU$250,97,0)</f>
        <v>70000</v>
      </c>
      <c r="Z15" s="106">
        <f>+HLOOKUP($C15,'NEW CAR'!$DI$2:$DU$250,98,0)</f>
        <v>0</v>
      </c>
      <c r="AA15" s="106">
        <f>+HLOOKUP($C15,'NEW CAR'!$DI$2:$DU$250,99,0)</f>
        <v>0</v>
      </c>
      <c r="AB15" s="106">
        <f>+HLOOKUP($C15,'NEW CAR'!$DI$2:$DU$250,100,0)</f>
        <v>28000</v>
      </c>
      <c r="AC15" s="106">
        <f>+HLOOKUP($C15,'NEW CAR'!$DI$2:$DU$250,101,0)</f>
        <v>8400</v>
      </c>
      <c r="AD15" s="106">
        <f>+HLOOKUP($C15,'NEW CAR'!$DI$2:$DU$250,104,0)</f>
        <v>14000</v>
      </c>
      <c r="AE15" s="106">
        <f>+HLOOKUP($C15,'NEW CAR'!$DI$2:$DU$250,105,0)</f>
        <v>116550</v>
      </c>
      <c r="AF15" s="106">
        <f>+HLOOKUP($C15,'NEW CAR'!$DI$2:$DU$250,106,0)</f>
        <v>46620</v>
      </c>
      <c r="AG15" s="106">
        <f>+HLOOKUP($C15,'NEW CAR'!$DI$2:$DU$250,107,0)</f>
        <v>163170</v>
      </c>
      <c r="AH15" s="106">
        <f>+HLOOKUP($C15,'NEW CAR'!$DI$2:$DU$250,108,0)</f>
        <v>0</v>
      </c>
      <c r="AI15" s="106">
        <f>+HLOOKUP($C15,'NEW CAR'!$DI$2:$DU$250,109,0)</f>
        <v>139860</v>
      </c>
      <c r="AJ15" s="106">
        <f>+HLOOKUP($C15,'NEW CAR'!$DI$2:$DU$250,110,0)</f>
        <v>0</v>
      </c>
      <c r="AK15" s="106">
        <f>+HLOOKUP($C15,'NEW CAR'!$DI$2:$DU$250,111,0)</f>
        <v>0</v>
      </c>
      <c r="AL15" s="106">
        <f>+HLOOKUP($C15,'NEW CAR'!$DI$2:$DU$250,112,0)</f>
        <v>0</v>
      </c>
      <c r="AM15" s="106">
        <f>+HLOOKUP($C15,'NEW CAR'!$DI$2:$DU$250,116,0)</f>
        <v>390400</v>
      </c>
      <c r="AN15" s="106">
        <f>+HLOOKUP($C15,'NEW CAR'!$DI$2:$DU$250,117,0)</f>
        <v>59650</v>
      </c>
      <c r="AO15" s="106">
        <f>+HLOOKUP($C15,'NEW CAR'!$DI$2:$DU$250,118,0)</f>
        <v>9000</v>
      </c>
      <c r="AP15" s="106">
        <f>+HLOOKUP($C15,'NEW CAR'!$DI$2:$DU$250,119,0)</f>
        <v>131200</v>
      </c>
      <c r="AQ15" s="106">
        <f>+HLOOKUP($C15,'NEW CAR'!$DI$2:$DU$250,120,0)</f>
        <v>34500</v>
      </c>
      <c r="AR15" s="106">
        <f>+HLOOKUP($C15,'NEW CAR'!$DI$2:$DU$250,121,0)</f>
        <v>10350</v>
      </c>
      <c r="AS15" s="106">
        <f>+HLOOKUP($C15,'NEW CAR'!$DI$2:$DU$250,122,0)</f>
        <v>183900</v>
      </c>
      <c r="AT15" s="106">
        <f>+HLOOKUP($C15,'NEW CAR'!$DI$2:$DU$250,123,0)</f>
        <v>43454.504708333327</v>
      </c>
      <c r="AU15" s="106">
        <f>+HLOOKUP($C15,'NEW CAR'!$DI$2:$DU$250,124,0)</f>
        <v>2066.25</v>
      </c>
      <c r="AV15" s="106">
        <f>+HLOOKUP($C15,'NEW CAR'!$DI$2:$DU$250,125,0)</f>
        <v>39225</v>
      </c>
      <c r="AW15" s="106">
        <f>+HLOOKUP($C15,'NEW CAR'!$DI$2:$DU$250,126,0)</f>
        <v>18769.230769230773</v>
      </c>
      <c r="AX15" s="106">
        <f>+HLOOKUP($C15,'NEW CAR'!$DI$2:$DU$250,127,0)</f>
        <v>24574.999999999996</v>
      </c>
      <c r="AY15" s="106">
        <f>+HLOOKUP($C15,'NEW CAR'!$DI$2:$DU$250,129,0)</f>
        <v>0</v>
      </c>
      <c r="AZ15" s="106">
        <f>+HLOOKUP($C15,'NEW CAR'!$DI$2:$DU$250,130,0)</f>
        <v>0</v>
      </c>
      <c r="BA15" s="106">
        <f>+HLOOKUP($C15,'NEW CAR'!$DI$2:$DU$250,131,0)</f>
        <v>96400</v>
      </c>
      <c r="BB15" s="106">
        <f>+HLOOKUP($C15,'NEW CAR'!$DI$2:$DU$250,133,0)</f>
        <v>0</v>
      </c>
      <c r="BC15" s="106">
        <f>+HLOOKUP($C15,'NEW CAR'!$DI$2:$DU$250,134,0)</f>
        <v>63508.417999999983</v>
      </c>
      <c r="BD15" s="106">
        <f>+HLOOKUP($C15,'NEW CAR'!$DI$2:$DU$250,135,0)</f>
        <v>0</v>
      </c>
      <c r="BE15" s="106">
        <f>+HLOOKUP($C15,'NEW CAR'!$DI$2:$DU$250,136,0)</f>
        <v>0</v>
      </c>
      <c r="BF15" s="106">
        <f>+HLOOKUP($C15,'NEW CAR'!$DI$2:$DU$250,138,0)</f>
        <v>10250</v>
      </c>
      <c r="BG15" s="106">
        <f>+HLOOKUP($C15,'NEW CAR'!$DI$2:$DU$250,139,0)</f>
        <v>14139.976249999998</v>
      </c>
      <c r="BH15" s="106">
        <f>+HLOOKUP($C15,'NEW CAR'!$DI$2:$DU$250,140,0)</f>
        <v>0</v>
      </c>
      <c r="BI15" s="106">
        <f>+HLOOKUP($C15,'NEW CAR'!$DI$2:$DU$250,141,0)</f>
        <v>0</v>
      </c>
      <c r="BJ15" s="106">
        <f>+HLOOKUP($C15,'NEW CAR'!$DI$2:$DU$250,142,0)</f>
        <v>0</v>
      </c>
      <c r="BK15" s="106">
        <f>+HLOOKUP($C15,'NEW CAR'!$DI$2:$DU$250,143,0)</f>
        <v>26971.833333333332</v>
      </c>
      <c r="BL15" s="106">
        <f>+HLOOKUP($C15,'NEW CAR'!$DI$2:$DU$250,144,0)</f>
        <v>2239.5833333333335</v>
      </c>
      <c r="BM15" s="106">
        <f>+HLOOKUP($C15,'NEW CAR'!$DI$2:$DU$250,146,0)</f>
        <v>0</v>
      </c>
      <c r="BN15" s="106">
        <f>+HLOOKUP($C15,'NEW CAR'!$DI$2:$DU$250,147,0)</f>
        <v>35000</v>
      </c>
      <c r="BO15" s="106">
        <f>+HLOOKUP($C15,'NEW CAR'!$DI$2:$DU$250,148,0)</f>
        <v>0</v>
      </c>
      <c r="BP15" s="106">
        <f>+HLOOKUP($C15,'NEW CAR'!$DI$2:$DU$250,150,0)</f>
        <v>32219.599999999999</v>
      </c>
      <c r="BQ15" s="106">
        <f>+HLOOKUP($C15,'NEW CAR'!$DI$2:$DU$250,151,0)</f>
        <v>2480.5</v>
      </c>
      <c r="BR15" s="106">
        <f>+HLOOKUP($C15,'NEW CAR'!$DI$2:$DU$250,152,0)</f>
        <v>16000</v>
      </c>
      <c r="BS15" s="106">
        <f>+HLOOKUP($C15,'NEW CAR'!$DI$2:$DU$250,153,0)</f>
        <v>3000</v>
      </c>
      <c r="BT15" s="106">
        <f>+HLOOKUP($C15,'NEW CAR'!$DI$2:$DU$250,157,0)</f>
        <v>10600</v>
      </c>
      <c r="BU15" s="106">
        <f>+HLOOKUP($C15,'NEW CAR'!$DI$2:$DU$250,158,0)</f>
        <v>2175</v>
      </c>
      <c r="BV15" s="106">
        <f>+HLOOKUP($C15,'NEW CAR'!$DI$2:$DU$250,159,0)</f>
        <v>0</v>
      </c>
      <c r="BW15" s="106">
        <f>+HLOOKUP($C15,'NEW CAR'!$DI$2:$DU$250,160,0)</f>
        <v>11000</v>
      </c>
      <c r="BX15" s="106">
        <f>+HLOOKUP($C15,'NEW CAR'!$DI$2:$DU$250,161,0)</f>
        <v>7572.9163125000005</v>
      </c>
      <c r="BY15" s="106">
        <f>+HLOOKUP($C15,'NEW CAR'!$DI$2:$DU$250,164,0)</f>
        <v>0</v>
      </c>
      <c r="BZ15" s="106">
        <f>+HLOOKUP($C15,'NEW CAR'!$DI$2:$DU$250,165,0)</f>
        <v>0</v>
      </c>
      <c r="CA15" s="106">
        <f>+HLOOKUP($C15,'NEW CAR'!$DI$2:$DU$250,166,0)</f>
        <v>0</v>
      </c>
      <c r="CB15" s="106">
        <f>+HLOOKUP($C15,'NEW CAR'!$DI$2:$DU$250,167,0)</f>
        <v>0</v>
      </c>
      <c r="CC15" s="106">
        <f>+HLOOKUP($C15,'NEW CAR'!$DI$2:$DU$250,168,0)</f>
        <v>0</v>
      </c>
      <c r="CD15" s="106">
        <f>+HLOOKUP($C15,'NEW CAR'!$DI$2:$DU$250,169,0)</f>
        <v>0</v>
      </c>
      <c r="CE15" s="106">
        <f>+HLOOKUP($C15,'NEW CAR'!$DI$2:$DU$250,170,0)</f>
        <v>0</v>
      </c>
      <c r="CF15" s="106">
        <f>+HLOOKUP($C15,'NEW CAR'!$DI$2:$DU$250,172,0)</f>
        <v>18000</v>
      </c>
      <c r="CG15" s="106">
        <f>+HLOOKUP($C15,'NEW CAR'!$DI$2:$DU$250,173,0)</f>
        <v>0</v>
      </c>
      <c r="CH15" s="106">
        <f>+HLOOKUP($C15,'NEW CAR'!$DI$2:$DU$250,174,0)</f>
        <v>0</v>
      </c>
      <c r="CI15" s="106">
        <f>+HLOOKUP($C15,'NEW CAR'!$DI$2:$DU$250,175,0)</f>
        <v>0</v>
      </c>
      <c r="CJ15" s="106">
        <f>+HLOOKUP($C15,'NEW CAR'!$DI$2:$DU$250,176,0)</f>
        <v>5925</v>
      </c>
      <c r="CK15" s="106">
        <f>+HLOOKUP($C15,'NEW CAR'!$DI$2:$DU$250,178,0)</f>
        <v>60000</v>
      </c>
      <c r="CL15" s="106">
        <f>+HLOOKUP($C15,'NEW CAR'!$DI$2:$DU$250,179,0)</f>
        <v>0</v>
      </c>
      <c r="CM15" s="106">
        <f>+HLOOKUP($C15,'NEW CAR'!$DI$2:$DU$250,180,0)</f>
        <v>14700</v>
      </c>
      <c r="CN15" s="106">
        <f>+HLOOKUP($C15,'NEW CAR'!$DI$2:$DU$250,182,0)</f>
        <v>614.25</v>
      </c>
      <c r="CO15" s="106">
        <f>+HLOOKUP($C15,'NEW CAR'!$DI$2:$DU$250,183,0)</f>
        <v>11725.5</v>
      </c>
      <c r="CP15" s="106">
        <f>+HLOOKUP($C15,'NEW CAR'!$DI$2:$DU$250,184,0)</f>
        <v>5400</v>
      </c>
      <c r="CQ15" s="106">
        <f>+HLOOKUP($C15,'NEW CAR'!$DI$2:$DU$250,185,0)</f>
        <v>0</v>
      </c>
      <c r="CR15" s="106">
        <f>+HLOOKUP($C15,'NEW CAR'!$DI$2:$DU$250,187,0)</f>
        <v>3124.7999999999997</v>
      </c>
      <c r="CS15" s="106">
        <f>+HLOOKUP($C15,'NEW CAR'!$DI$2:$DU$250,188,0)</f>
        <v>3975</v>
      </c>
      <c r="CT15" s="106">
        <f>+HLOOKUP($C15,'NEW CAR'!$DI$2:$DU$250,189,0)</f>
        <v>2500.0499999999997</v>
      </c>
      <c r="CU15" s="106">
        <f>+HLOOKUP($C15,'NEW CAR'!$DI$2:$DU$250,190,0)</f>
        <v>2533.35</v>
      </c>
      <c r="CV15" s="106">
        <f>+HLOOKUP($C15,'NEW CAR'!$DI$2:$DU$250,191,0)</f>
        <v>0</v>
      </c>
      <c r="CW15" s="106">
        <f>+HLOOKUP($C15,'NEW CAR'!$DI$2:$DU$250,193,0)</f>
        <v>6177.166666666667</v>
      </c>
      <c r="CX15" s="106">
        <f>+HLOOKUP($C15,'NEW CAR'!$DI$2:$DU$250,194,0)</f>
        <v>591.83333333333337</v>
      </c>
      <c r="CY15" s="106">
        <f>+HLOOKUP($C15,'NEW CAR'!$DI$2:$DU$250,195,0)</f>
        <v>1375.059</v>
      </c>
      <c r="CZ15" s="106">
        <f>+HLOOKUP($C15,'NEW CAR'!$DI$2:$DU$250,196,0)</f>
        <v>0</v>
      </c>
      <c r="DA15" s="106">
        <f>+HLOOKUP($C15,'NEW CAR'!$DI$2:$DU$250,197,0)</f>
        <v>16416</v>
      </c>
      <c r="DB15" s="106">
        <f>+HLOOKUP($C15,'NEW CAR'!$DI$2:$DU$250,198,0)</f>
        <v>5055</v>
      </c>
      <c r="DC15" s="106">
        <f>+HLOOKUP($C15,'NEW CAR'!$DI$2:$DU$250,199,0)</f>
        <v>1080</v>
      </c>
      <c r="DD15" s="106">
        <f>+HLOOKUP($C15,'NEW CAR'!$DI$2:$DU$250,200,0)</f>
        <v>350</v>
      </c>
      <c r="DE15" s="106">
        <f>+HLOOKUP($C15,'NEW CAR'!$DI$2:$DU$250,201,0)</f>
        <v>74.25</v>
      </c>
      <c r="DF15" s="106">
        <f>+HLOOKUP($C15,'NEW CAR'!$DI$2:$DU$250,202,0)</f>
        <v>0</v>
      </c>
      <c r="DG15" s="106">
        <f>+HLOOKUP($C15,'NEW CAR'!$DI$2:$DU$250,203,0)</f>
        <v>0</v>
      </c>
      <c r="DH15" s="106">
        <f>+HLOOKUP($C15,'NEW CAR'!$DI$2:$DU$250,205,0)</f>
        <v>45415.943618181802</v>
      </c>
      <c r="DI15" s="106">
        <f>+HLOOKUP($C15,'NEW CAR'!$DI$2:$DU$250,206,0)</f>
        <v>4687.2888872727272</v>
      </c>
      <c r="DJ15" s="106">
        <f>+HLOOKUP($C15,'NEW CAR'!$DI$2:$DU$250,207,0)</f>
        <v>367.27237499999995</v>
      </c>
      <c r="DK15" s="106">
        <f>+HLOOKUP($C15,'NEW CAR'!$DI$2:$DU$250,209,0)</f>
        <v>0</v>
      </c>
      <c r="DL15" s="106">
        <f>+HLOOKUP($C15,'NEW CAR'!$DI$2:$DU$250,210,0)</f>
        <v>0</v>
      </c>
      <c r="DM15" s="106">
        <f>+HLOOKUP($C15,'NEW CAR'!$DI$2:$DU$250,211,0)</f>
        <v>122842.10039062503</v>
      </c>
      <c r="DN15" s="106">
        <f>+HLOOKUP($C15,'NEW CAR'!$DI$2:$DU$250,212,0)</f>
        <v>0</v>
      </c>
      <c r="DO15" s="106">
        <f>+HLOOKUP($C15,'NEW CAR'!$DI$2:$DU$250,214,0)</f>
        <v>0</v>
      </c>
      <c r="DP15" s="106">
        <f>+HLOOKUP($C15,'NEW CAR'!$DI$2:$DU$250,215,0)</f>
        <v>900</v>
      </c>
      <c r="DQ15" s="106">
        <f>+HLOOKUP($C15,'NEW CAR'!$DI$2:$DU$250,219,0)</f>
        <v>0</v>
      </c>
      <c r="DR15" s="106">
        <f>+HLOOKUP($C15,'NEW CAR'!$DI$2:$DU$250,220,0)</f>
        <v>0</v>
      </c>
      <c r="DS15" s="106">
        <f>+HLOOKUP($C15,'NEW CAR'!$DI$2:$DU$250,221,0)</f>
        <v>184000</v>
      </c>
      <c r="DT15" s="106">
        <f>+HLOOKUP($C15,'NEW CAR'!$DI$2:$DU$250,223,0)</f>
        <v>18750</v>
      </c>
      <c r="DU15" s="106">
        <f>+HLOOKUP($C15,'NEW CAR'!$DI$2:$DU$250,224,0)</f>
        <v>0</v>
      </c>
      <c r="DV15" s="106">
        <f>+HLOOKUP($C15,'NEW CAR'!$DI$2:$DU$250,225,0)</f>
        <v>0</v>
      </c>
      <c r="DW15" s="106">
        <f>+HLOOKUP($C15,'NEW CAR'!$DI$2:$DU$250,227,0)</f>
        <v>0</v>
      </c>
      <c r="DX15" s="106">
        <f>+HLOOKUP($C15,'NEW CAR'!$DI$2:$DU$250,228,0)</f>
        <v>0</v>
      </c>
      <c r="DY15" s="106">
        <f>+HLOOKUP($C15,'NEW CAR'!$DI$2:$DU$250,236,0)</f>
        <v>0</v>
      </c>
      <c r="DZ15" s="106">
        <f>+HLOOKUP($C15,'NEW CAR'!$DI$2:$DU$250,237,0)</f>
        <v>147734.01788954748</v>
      </c>
      <c r="EA15" s="106">
        <f>+HLOOKUP($C15,'NEW CAR'!$DI$2:$DU$250,238,0)</f>
        <v>0</v>
      </c>
      <c r="EB15" s="106">
        <f>+HLOOKUP($C15,'NEW CAR'!$DI$2:$DU$250,240,0)</f>
        <v>433516.25836428563</v>
      </c>
    </row>
    <row r="16" spans="1:133">
      <c r="A16" t="s">
        <v>271</v>
      </c>
      <c r="B16" t="s">
        <v>270</v>
      </c>
      <c r="C16" s="117">
        <v>45931</v>
      </c>
      <c r="D16" s="106">
        <f>+HLOOKUP(C16,'NEW CAR'!$DI$2:$DU$250,6,0)/3.5%</f>
        <v>65213033.783783786</v>
      </c>
      <c r="E16" s="106">
        <f>+HLOOKUP(C16,'NEW CAR'!$DI$2:$DU$250,5,0)+HLOOKUP(C16,'NEW CAR'!$DI$2:$DU$250,26,0)+HLOOKUP(C16,'NEW CAR'!$DI$2:$DU$250,59,0)</f>
        <v>3698562.2635135138</v>
      </c>
      <c r="F16" s="106"/>
      <c r="G16" s="106">
        <f>+HLOOKUP($C16,'NEW CAR'!$DI$2:$DU$250,76,0)</f>
        <v>84000</v>
      </c>
      <c r="H16" s="106">
        <f>+HLOOKUP($C16,'NEW CAR'!$DI$2:$DU$250,77,0)</f>
        <v>336000</v>
      </c>
      <c r="I16" s="106">
        <f>+HLOOKUP($C16,'NEW CAR'!$DI$2:$DU$250,78,0)</f>
        <v>0</v>
      </c>
      <c r="J16" s="106">
        <f>+HLOOKUP($C16,'NEW CAR'!$DI$2:$DU$250,79,0)</f>
        <v>140000</v>
      </c>
      <c r="K16" s="106">
        <f>+HLOOKUP($C16,'NEW CAR'!$DI$2:$DU$250,80,0)</f>
        <v>0</v>
      </c>
      <c r="L16" s="106">
        <f>+HLOOKUP($C16,'NEW CAR'!$DI$2:$DU$250,81,0)</f>
        <v>0</v>
      </c>
      <c r="M16" s="106">
        <f>+HLOOKUP($C16,'NEW CAR'!$DI$2:$DU$250,82,0)</f>
        <v>0</v>
      </c>
      <c r="N16" s="106">
        <f>+HLOOKUP($C16,'NEW CAR'!$DI$2:$DU$250,83,0)</f>
        <v>0</v>
      </c>
      <c r="O16" s="106">
        <f>+HLOOKUP($C16,'NEW CAR'!$DI$2:$DU$250,84,0)</f>
        <v>0</v>
      </c>
      <c r="P16" s="106">
        <f>+HLOOKUP($C16,'NEW CAR'!$DI$2:$DU$250,85,0)</f>
        <v>0</v>
      </c>
      <c r="Q16" s="106">
        <f>+HLOOKUP($C16,'NEW CAR'!$DI$2:$DU$250,87,0)</f>
        <v>490000</v>
      </c>
      <c r="R16" s="106">
        <f>+HLOOKUP($C16,'NEW CAR'!$DI$2:$DU$250,90,0)</f>
        <v>8400</v>
      </c>
      <c r="S16" s="106">
        <f>+HLOOKUP($C16,'NEW CAR'!$DI$2:$DU$250,91,0)</f>
        <v>0</v>
      </c>
      <c r="T16" s="106">
        <f>+HLOOKUP($C16,'NEW CAR'!$DI$2:$DU$250,92,0)</f>
        <v>210000</v>
      </c>
      <c r="U16" s="106">
        <f>+HLOOKUP($C16,'NEW CAR'!$DI$2:$DU$250,93,0)</f>
        <v>7000</v>
      </c>
      <c r="V16" s="106">
        <f>+HLOOKUP($C16,'NEW CAR'!$DI$2:$DU$250,94,0)</f>
        <v>0</v>
      </c>
      <c r="W16" s="106">
        <f>+HLOOKUP($C16,'NEW CAR'!$DI$2:$DU$250,95,0)</f>
        <v>20000</v>
      </c>
      <c r="X16" s="106">
        <f>+HLOOKUP($C16,'NEW CAR'!$DI$2:$DU$250,96,0)</f>
        <v>30000</v>
      </c>
      <c r="Y16" s="106">
        <f>+HLOOKUP($C16,'NEW CAR'!$DI$2:$DU$250,97,0)</f>
        <v>70000</v>
      </c>
      <c r="Z16" s="106">
        <f>+HLOOKUP($C16,'NEW CAR'!$DI$2:$DU$250,98,0)</f>
        <v>0</v>
      </c>
      <c r="AA16" s="106">
        <f>+HLOOKUP($C16,'NEW CAR'!$DI$2:$DU$250,99,0)</f>
        <v>0</v>
      </c>
      <c r="AB16" s="106">
        <f>+HLOOKUP($C16,'NEW CAR'!$DI$2:$DU$250,100,0)</f>
        <v>28000</v>
      </c>
      <c r="AC16" s="106">
        <f>+HLOOKUP($C16,'NEW CAR'!$DI$2:$DU$250,101,0)</f>
        <v>8400</v>
      </c>
      <c r="AD16" s="106">
        <f>+HLOOKUP($C16,'NEW CAR'!$DI$2:$DU$250,104,0)</f>
        <v>14000</v>
      </c>
      <c r="AE16" s="106">
        <f>+HLOOKUP($C16,'NEW CAR'!$DI$2:$DU$250,105,0)</f>
        <v>116550</v>
      </c>
      <c r="AF16" s="106">
        <f>+HLOOKUP($C16,'NEW CAR'!$DI$2:$DU$250,106,0)</f>
        <v>46620</v>
      </c>
      <c r="AG16" s="106">
        <f>+HLOOKUP($C16,'NEW CAR'!$DI$2:$DU$250,107,0)</f>
        <v>163170</v>
      </c>
      <c r="AH16" s="106">
        <f>+HLOOKUP($C16,'NEW CAR'!$DI$2:$DU$250,108,0)</f>
        <v>0</v>
      </c>
      <c r="AI16" s="106">
        <f>+HLOOKUP($C16,'NEW CAR'!$DI$2:$DU$250,109,0)</f>
        <v>139860</v>
      </c>
      <c r="AJ16" s="106">
        <f>+HLOOKUP($C16,'NEW CAR'!$DI$2:$DU$250,110,0)</f>
        <v>0</v>
      </c>
      <c r="AK16" s="106">
        <f>+HLOOKUP($C16,'NEW CAR'!$DI$2:$DU$250,111,0)</f>
        <v>0</v>
      </c>
      <c r="AL16" s="106">
        <f>+HLOOKUP($C16,'NEW CAR'!$DI$2:$DU$250,112,0)</f>
        <v>0</v>
      </c>
      <c r="AM16" s="106">
        <f>+HLOOKUP($C16,'NEW CAR'!$DI$2:$DU$250,116,0)</f>
        <v>390400</v>
      </c>
      <c r="AN16" s="106">
        <f>+HLOOKUP($C16,'NEW CAR'!$DI$2:$DU$250,117,0)</f>
        <v>59650</v>
      </c>
      <c r="AO16" s="106">
        <f>+HLOOKUP($C16,'NEW CAR'!$DI$2:$DU$250,118,0)</f>
        <v>9000</v>
      </c>
      <c r="AP16" s="106">
        <f>+HLOOKUP($C16,'NEW CAR'!$DI$2:$DU$250,119,0)</f>
        <v>131200</v>
      </c>
      <c r="AQ16" s="106">
        <f>+HLOOKUP($C16,'NEW CAR'!$DI$2:$DU$250,120,0)</f>
        <v>34500</v>
      </c>
      <c r="AR16" s="106">
        <f>+HLOOKUP($C16,'NEW CAR'!$DI$2:$DU$250,121,0)</f>
        <v>10350</v>
      </c>
      <c r="AS16" s="106">
        <f>+HLOOKUP($C16,'NEW CAR'!$DI$2:$DU$250,122,0)</f>
        <v>183900</v>
      </c>
      <c r="AT16" s="106">
        <f>+HLOOKUP($C16,'NEW CAR'!$DI$2:$DU$250,123,0)</f>
        <v>43454.504708333327</v>
      </c>
      <c r="AU16" s="106">
        <f>+HLOOKUP($C16,'NEW CAR'!$DI$2:$DU$250,124,0)</f>
        <v>2066.25</v>
      </c>
      <c r="AV16" s="106">
        <f>+HLOOKUP($C16,'NEW CAR'!$DI$2:$DU$250,125,0)</f>
        <v>39225</v>
      </c>
      <c r="AW16" s="106">
        <f>+HLOOKUP($C16,'NEW CAR'!$DI$2:$DU$250,126,0)</f>
        <v>18769.230769230773</v>
      </c>
      <c r="AX16" s="106">
        <f>+HLOOKUP($C16,'NEW CAR'!$DI$2:$DU$250,127,0)</f>
        <v>24574.999999999996</v>
      </c>
      <c r="AY16" s="106">
        <f>+HLOOKUP($C16,'NEW CAR'!$DI$2:$DU$250,129,0)</f>
        <v>0</v>
      </c>
      <c r="AZ16" s="106">
        <f>+HLOOKUP($C16,'NEW CAR'!$DI$2:$DU$250,130,0)</f>
        <v>0</v>
      </c>
      <c r="BA16" s="106">
        <f>+HLOOKUP($C16,'NEW CAR'!$DI$2:$DU$250,131,0)</f>
        <v>96400</v>
      </c>
      <c r="BB16" s="106">
        <f>+HLOOKUP($C16,'NEW CAR'!$DI$2:$DU$250,133,0)</f>
        <v>0</v>
      </c>
      <c r="BC16" s="106">
        <f>+HLOOKUP($C16,'NEW CAR'!$DI$2:$DU$250,134,0)</f>
        <v>63508.417999999983</v>
      </c>
      <c r="BD16" s="106">
        <f>+HLOOKUP($C16,'NEW CAR'!$DI$2:$DU$250,135,0)</f>
        <v>0</v>
      </c>
      <c r="BE16" s="106">
        <f>+HLOOKUP($C16,'NEW CAR'!$DI$2:$DU$250,136,0)</f>
        <v>0</v>
      </c>
      <c r="BF16" s="106">
        <f>+HLOOKUP($C16,'NEW CAR'!$DI$2:$DU$250,138,0)</f>
        <v>10250</v>
      </c>
      <c r="BG16" s="106">
        <f>+HLOOKUP($C16,'NEW CAR'!$DI$2:$DU$250,139,0)</f>
        <v>14139.976249999998</v>
      </c>
      <c r="BH16" s="106">
        <f>+HLOOKUP($C16,'NEW CAR'!$DI$2:$DU$250,140,0)</f>
        <v>0</v>
      </c>
      <c r="BI16" s="106">
        <f>+HLOOKUP($C16,'NEW CAR'!$DI$2:$DU$250,141,0)</f>
        <v>0</v>
      </c>
      <c r="BJ16" s="106">
        <f>+HLOOKUP($C16,'NEW CAR'!$DI$2:$DU$250,142,0)</f>
        <v>0</v>
      </c>
      <c r="BK16" s="106">
        <f>+HLOOKUP($C16,'NEW CAR'!$DI$2:$DU$250,143,0)</f>
        <v>26971.833333333332</v>
      </c>
      <c r="BL16" s="106">
        <f>+HLOOKUP($C16,'NEW CAR'!$DI$2:$DU$250,144,0)</f>
        <v>88864.583333333328</v>
      </c>
      <c r="BM16" s="106">
        <f>+HLOOKUP($C16,'NEW CAR'!$DI$2:$DU$250,146,0)</f>
        <v>0</v>
      </c>
      <c r="BN16" s="106">
        <f>+HLOOKUP($C16,'NEW CAR'!$DI$2:$DU$250,147,0)</f>
        <v>35000</v>
      </c>
      <c r="BO16" s="106">
        <f>+HLOOKUP($C16,'NEW CAR'!$DI$2:$DU$250,148,0)</f>
        <v>0</v>
      </c>
      <c r="BP16" s="106">
        <f>+HLOOKUP($C16,'NEW CAR'!$DI$2:$DU$250,150,0)</f>
        <v>32219.599999999999</v>
      </c>
      <c r="BQ16" s="106">
        <f>+HLOOKUP($C16,'NEW CAR'!$DI$2:$DU$250,151,0)</f>
        <v>2480.5</v>
      </c>
      <c r="BR16" s="106">
        <f>+HLOOKUP($C16,'NEW CAR'!$DI$2:$DU$250,152,0)</f>
        <v>16000</v>
      </c>
      <c r="BS16" s="106">
        <f>+HLOOKUP($C16,'NEW CAR'!$DI$2:$DU$250,153,0)</f>
        <v>3000</v>
      </c>
      <c r="BT16" s="106">
        <f>+HLOOKUP($C16,'NEW CAR'!$DI$2:$DU$250,157,0)</f>
        <v>10600</v>
      </c>
      <c r="BU16" s="106">
        <f>+HLOOKUP($C16,'NEW CAR'!$DI$2:$DU$250,158,0)</f>
        <v>2175</v>
      </c>
      <c r="BV16" s="106">
        <f>+HLOOKUP($C16,'NEW CAR'!$DI$2:$DU$250,159,0)</f>
        <v>0</v>
      </c>
      <c r="BW16" s="106">
        <f>+HLOOKUP($C16,'NEW CAR'!$DI$2:$DU$250,160,0)</f>
        <v>11000</v>
      </c>
      <c r="BX16" s="106">
        <f>+HLOOKUP($C16,'NEW CAR'!$DI$2:$DU$250,161,0)</f>
        <v>7572.9163125000005</v>
      </c>
      <c r="BY16" s="106">
        <f>+HLOOKUP($C16,'NEW CAR'!$DI$2:$DU$250,164,0)</f>
        <v>0</v>
      </c>
      <c r="BZ16" s="106">
        <f>+HLOOKUP($C16,'NEW CAR'!$DI$2:$DU$250,165,0)</f>
        <v>0</v>
      </c>
      <c r="CA16" s="106">
        <f>+HLOOKUP($C16,'NEW CAR'!$DI$2:$DU$250,166,0)</f>
        <v>0</v>
      </c>
      <c r="CB16" s="106">
        <f>+HLOOKUP($C16,'NEW CAR'!$DI$2:$DU$250,167,0)</f>
        <v>0</v>
      </c>
      <c r="CC16" s="106">
        <f>+HLOOKUP($C16,'NEW CAR'!$DI$2:$DU$250,168,0)</f>
        <v>0</v>
      </c>
      <c r="CD16" s="106">
        <f>+HLOOKUP($C16,'NEW CAR'!$DI$2:$DU$250,169,0)</f>
        <v>0</v>
      </c>
      <c r="CE16" s="106">
        <f>+HLOOKUP($C16,'NEW CAR'!$DI$2:$DU$250,170,0)</f>
        <v>0</v>
      </c>
      <c r="CF16" s="106">
        <f>+HLOOKUP($C16,'NEW CAR'!$DI$2:$DU$250,172,0)</f>
        <v>18000</v>
      </c>
      <c r="CG16" s="106">
        <f>+HLOOKUP($C16,'NEW CAR'!$DI$2:$DU$250,173,0)</f>
        <v>0</v>
      </c>
      <c r="CH16" s="106">
        <f>+HLOOKUP($C16,'NEW CAR'!$DI$2:$DU$250,174,0)</f>
        <v>0</v>
      </c>
      <c r="CI16" s="106">
        <f>+HLOOKUP($C16,'NEW CAR'!$DI$2:$DU$250,175,0)</f>
        <v>0</v>
      </c>
      <c r="CJ16" s="106">
        <f>+HLOOKUP($C16,'NEW CAR'!$DI$2:$DU$250,176,0)</f>
        <v>5925</v>
      </c>
      <c r="CK16" s="106">
        <f>+HLOOKUP($C16,'NEW CAR'!$DI$2:$DU$250,178,0)</f>
        <v>60000</v>
      </c>
      <c r="CL16" s="106">
        <f>+HLOOKUP($C16,'NEW CAR'!$DI$2:$DU$250,179,0)</f>
        <v>0</v>
      </c>
      <c r="CM16" s="106">
        <f>+HLOOKUP($C16,'NEW CAR'!$DI$2:$DU$250,180,0)</f>
        <v>14700</v>
      </c>
      <c r="CN16" s="106">
        <f>+HLOOKUP($C16,'NEW CAR'!$DI$2:$DU$250,182,0)</f>
        <v>614.25</v>
      </c>
      <c r="CO16" s="106">
        <f>+HLOOKUP($C16,'NEW CAR'!$DI$2:$DU$250,183,0)</f>
        <v>11725.5</v>
      </c>
      <c r="CP16" s="106">
        <f>+HLOOKUP($C16,'NEW CAR'!$DI$2:$DU$250,184,0)</f>
        <v>5400</v>
      </c>
      <c r="CQ16" s="106">
        <f>+HLOOKUP($C16,'NEW CAR'!$DI$2:$DU$250,185,0)</f>
        <v>0</v>
      </c>
      <c r="CR16" s="106">
        <f>+HLOOKUP($C16,'NEW CAR'!$DI$2:$DU$250,187,0)</f>
        <v>3124.7999999999997</v>
      </c>
      <c r="CS16" s="106">
        <f>+HLOOKUP($C16,'NEW CAR'!$DI$2:$DU$250,188,0)</f>
        <v>3975</v>
      </c>
      <c r="CT16" s="106">
        <f>+HLOOKUP($C16,'NEW CAR'!$DI$2:$DU$250,189,0)</f>
        <v>2500.0499999999997</v>
      </c>
      <c r="CU16" s="106">
        <f>+HLOOKUP($C16,'NEW CAR'!$DI$2:$DU$250,190,0)</f>
        <v>2533.35</v>
      </c>
      <c r="CV16" s="106">
        <f>+HLOOKUP($C16,'NEW CAR'!$DI$2:$DU$250,191,0)</f>
        <v>0</v>
      </c>
      <c r="CW16" s="106">
        <f>+HLOOKUP($C16,'NEW CAR'!$DI$2:$DU$250,193,0)</f>
        <v>6177.166666666667</v>
      </c>
      <c r="CX16" s="106">
        <f>+HLOOKUP($C16,'NEW CAR'!$DI$2:$DU$250,194,0)</f>
        <v>591.83333333333337</v>
      </c>
      <c r="CY16" s="106">
        <f>+HLOOKUP($C16,'NEW CAR'!$DI$2:$DU$250,195,0)</f>
        <v>1375.059</v>
      </c>
      <c r="CZ16" s="106">
        <f>+HLOOKUP($C16,'NEW CAR'!$DI$2:$DU$250,196,0)</f>
        <v>0</v>
      </c>
      <c r="DA16" s="106">
        <f>+HLOOKUP($C16,'NEW CAR'!$DI$2:$DU$250,197,0)</f>
        <v>16416</v>
      </c>
      <c r="DB16" s="106">
        <f>+HLOOKUP($C16,'NEW CAR'!$DI$2:$DU$250,198,0)</f>
        <v>5055</v>
      </c>
      <c r="DC16" s="106">
        <f>+HLOOKUP($C16,'NEW CAR'!$DI$2:$DU$250,199,0)</f>
        <v>1080</v>
      </c>
      <c r="DD16" s="106">
        <f>+HLOOKUP($C16,'NEW CAR'!$DI$2:$DU$250,200,0)</f>
        <v>350</v>
      </c>
      <c r="DE16" s="106">
        <f>+HLOOKUP($C16,'NEW CAR'!$DI$2:$DU$250,201,0)</f>
        <v>74.25</v>
      </c>
      <c r="DF16" s="106">
        <f>+HLOOKUP($C16,'NEW CAR'!$DI$2:$DU$250,202,0)</f>
        <v>0</v>
      </c>
      <c r="DG16" s="106">
        <f>+HLOOKUP($C16,'NEW CAR'!$DI$2:$DU$250,203,0)</f>
        <v>0</v>
      </c>
      <c r="DH16" s="106">
        <f>+HLOOKUP($C16,'NEW CAR'!$DI$2:$DU$250,205,0)</f>
        <v>45415.943618181802</v>
      </c>
      <c r="DI16" s="106">
        <f>+HLOOKUP($C16,'NEW CAR'!$DI$2:$DU$250,206,0)</f>
        <v>4687.2888872727272</v>
      </c>
      <c r="DJ16" s="106">
        <f>+HLOOKUP($C16,'NEW CAR'!$DI$2:$DU$250,207,0)</f>
        <v>367.27237499999995</v>
      </c>
      <c r="DK16" s="106">
        <f>+HLOOKUP($C16,'NEW CAR'!$DI$2:$DU$250,209,0)</f>
        <v>0</v>
      </c>
      <c r="DL16" s="106">
        <f>+HLOOKUP($C16,'NEW CAR'!$DI$2:$DU$250,210,0)</f>
        <v>0</v>
      </c>
      <c r="DM16" s="106">
        <f>+HLOOKUP($C16,'NEW CAR'!$DI$2:$DU$250,211,0)</f>
        <v>122842.10039062503</v>
      </c>
      <c r="DN16" s="106">
        <f>+HLOOKUP($C16,'NEW CAR'!$DI$2:$DU$250,212,0)</f>
        <v>0</v>
      </c>
      <c r="DO16" s="106">
        <f>+HLOOKUP($C16,'NEW CAR'!$DI$2:$DU$250,214,0)</f>
        <v>0</v>
      </c>
      <c r="DP16" s="106">
        <f>+HLOOKUP($C16,'NEW CAR'!$DI$2:$DU$250,215,0)</f>
        <v>900</v>
      </c>
      <c r="DQ16" s="106">
        <f>+HLOOKUP($C16,'NEW CAR'!$DI$2:$DU$250,219,0)</f>
        <v>0</v>
      </c>
      <c r="DR16" s="106">
        <f>+HLOOKUP($C16,'NEW CAR'!$DI$2:$DU$250,220,0)</f>
        <v>0</v>
      </c>
      <c r="DS16" s="106">
        <f>+HLOOKUP($C16,'NEW CAR'!$DI$2:$DU$250,221,0)</f>
        <v>184000</v>
      </c>
      <c r="DT16" s="106">
        <f>+HLOOKUP($C16,'NEW CAR'!$DI$2:$DU$250,223,0)</f>
        <v>18750</v>
      </c>
      <c r="DU16" s="106">
        <f>+HLOOKUP($C16,'NEW CAR'!$DI$2:$DU$250,224,0)</f>
        <v>0</v>
      </c>
      <c r="DV16" s="106">
        <f>+HLOOKUP($C16,'NEW CAR'!$DI$2:$DU$250,225,0)</f>
        <v>0</v>
      </c>
      <c r="DW16" s="106">
        <f>+HLOOKUP($C16,'NEW CAR'!$DI$2:$DU$250,227,0)</f>
        <v>0</v>
      </c>
      <c r="DX16" s="106">
        <f>+HLOOKUP($C16,'NEW CAR'!$DI$2:$DU$250,228,0)</f>
        <v>0</v>
      </c>
      <c r="DY16" s="106">
        <f>+HLOOKUP($C16,'NEW CAR'!$DI$2:$DU$250,236,0)</f>
        <v>0</v>
      </c>
      <c r="DZ16" s="106">
        <f>+HLOOKUP($C16,'NEW CAR'!$DI$2:$DU$250,237,0)</f>
        <v>154808.60460746253</v>
      </c>
      <c r="EA16" s="106">
        <f>+HLOOKUP($C16,'NEW CAR'!$DI$2:$DU$250,238,0)</f>
        <v>0</v>
      </c>
      <c r="EB16" s="106">
        <f>+HLOOKUP($C16,'NEW CAR'!$DI$2:$DU$250,240,0)</f>
        <v>433516.25836428563</v>
      </c>
    </row>
    <row r="17" spans="1:132">
      <c r="A17" t="s">
        <v>271</v>
      </c>
      <c r="B17" t="s">
        <v>270</v>
      </c>
      <c r="C17" s="117">
        <v>45901</v>
      </c>
      <c r="D17" s="106">
        <f>+HLOOKUP(C17,'NEW CAR'!$DI$2:$DU$250,6,0)/3.5%</f>
        <v>89054773.299161226</v>
      </c>
      <c r="E17" s="106">
        <f>+HLOOKUP(C17,'NEW CAR'!$DI$2:$DU$250,5,0)+HLOOKUP(C17,'NEW CAR'!$DI$2:$DU$250,26,0)+HLOOKUP(C17,'NEW CAR'!$DI$2:$DU$250,59,0)</f>
        <v>5942221.8883970184</v>
      </c>
      <c r="F17" s="106"/>
      <c r="G17" s="106">
        <f>+HLOOKUP($C17,'NEW CAR'!$DI$2:$DU$250,76,0)</f>
        <v>102000</v>
      </c>
      <c r="H17" s="106">
        <f>+HLOOKUP($C17,'NEW CAR'!$DI$2:$DU$250,77,0)</f>
        <v>408000</v>
      </c>
      <c r="I17" s="106">
        <f>+HLOOKUP($C17,'NEW CAR'!$DI$2:$DU$250,78,0)</f>
        <v>0</v>
      </c>
      <c r="J17" s="106">
        <f>+HLOOKUP($C17,'NEW CAR'!$DI$2:$DU$250,79,0)</f>
        <v>170000</v>
      </c>
      <c r="K17" s="106">
        <f>+HLOOKUP($C17,'NEW CAR'!$DI$2:$DU$250,80,0)</f>
        <v>0</v>
      </c>
      <c r="L17" s="106">
        <f>+HLOOKUP($C17,'NEW CAR'!$DI$2:$DU$250,81,0)</f>
        <v>0</v>
      </c>
      <c r="M17" s="106">
        <f>+HLOOKUP($C17,'NEW CAR'!$DI$2:$DU$250,82,0)</f>
        <v>0</v>
      </c>
      <c r="N17" s="106">
        <f>+HLOOKUP($C17,'NEW CAR'!$DI$2:$DU$250,83,0)</f>
        <v>0</v>
      </c>
      <c r="O17" s="106">
        <f>+HLOOKUP($C17,'NEW CAR'!$DI$2:$DU$250,84,0)</f>
        <v>0</v>
      </c>
      <c r="P17" s="106">
        <f>+HLOOKUP($C17,'NEW CAR'!$DI$2:$DU$250,85,0)</f>
        <v>0</v>
      </c>
      <c r="Q17" s="106">
        <f>+HLOOKUP($C17,'NEW CAR'!$DI$2:$DU$250,87,0)</f>
        <v>595000</v>
      </c>
      <c r="R17" s="106">
        <f>+HLOOKUP($C17,'NEW CAR'!$DI$2:$DU$250,90,0)</f>
        <v>10200</v>
      </c>
      <c r="S17" s="106">
        <f>+HLOOKUP($C17,'NEW CAR'!$DI$2:$DU$250,91,0)</f>
        <v>0</v>
      </c>
      <c r="T17" s="106">
        <f>+HLOOKUP($C17,'NEW CAR'!$DI$2:$DU$250,92,0)</f>
        <v>255000</v>
      </c>
      <c r="U17" s="106">
        <f>+HLOOKUP($C17,'NEW CAR'!$DI$2:$DU$250,93,0)</f>
        <v>8500</v>
      </c>
      <c r="V17" s="106">
        <f>+HLOOKUP($C17,'NEW CAR'!$DI$2:$DU$250,94,0)</f>
        <v>0</v>
      </c>
      <c r="W17" s="106">
        <f>+HLOOKUP($C17,'NEW CAR'!$DI$2:$DU$250,95,0)</f>
        <v>20000</v>
      </c>
      <c r="X17" s="106">
        <f>+HLOOKUP($C17,'NEW CAR'!$DI$2:$DU$250,96,0)</f>
        <v>30000</v>
      </c>
      <c r="Y17" s="106">
        <f>+HLOOKUP($C17,'NEW CAR'!$DI$2:$DU$250,97,0)</f>
        <v>85000</v>
      </c>
      <c r="Z17" s="106">
        <f>+HLOOKUP($C17,'NEW CAR'!$DI$2:$DU$250,98,0)</f>
        <v>0</v>
      </c>
      <c r="AA17" s="106">
        <f>+HLOOKUP($C17,'NEW CAR'!$DI$2:$DU$250,99,0)</f>
        <v>0</v>
      </c>
      <c r="AB17" s="106">
        <f>+HLOOKUP($C17,'NEW CAR'!$DI$2:$DU$250,100,0)</f>
        <v>34000</v>
      </c>
      <c r="AC17" s="106">
        <f>+HLOOKUP($C17,'NEW CAR'!$DI$2:$DU$250,101,0)</f>
        <v>10200</v>
      </c>
      <c r="AD17" s="106">
        <f>+HLOOKUP($C17,'NEW CAR'!$DI$2:$DU$250,104,0)</f>
        <v>17000</v>
      </c>
      <c r="AE17" s="106">
        <f>+HLOOKUP($C17,'NEW CAR'!$DI$2:$DU$250,105,0)</f>
        <v>141525</v>
      </c>
      <c r="AF17" s="106">
        <f>+HLOOKUP($C17,'NEW CAR'!$DI$2:$DU$250,106,0)</f>
        <v>56610</v>
      </c>
      <c r="AG17" s="106">
        <f>+HLOOKUP($C17,'NEW CAR'!$DI$2:$DU$250,107,0)</f>
        <v>198135</v>
      </c>
      <c r="AH17" s="106">
        <f>+HLOOKUP($C17,'NEW CAR'!$DI$2:$DU$250,108,0)</f>
        <v>0</v>
      </c>
      <c r="AI17" s="106">
        <f>+HLOOKUP($C17,'NEW CAR'!$DI$2:$DU$250,109,0)</f>
        <v>169830</v>
      </c>
      <c r="AJ17" s="106">
        <f>+HLOOKUP($C17,'NEW CAR'!$DI$2:$DU$250,110,0)</f>
        <v>0</v>
      </c>
      <c r="AK17" s="106">
        <f>+HLOOKUP($C17,'NEW CAR'!$DI$2:$DU$250,111,0)</f>
        <v>0</v>
      </c>
      <c r="AL17" s="106">
        <f>+HLOOKUP($C17,'NEW CAR'!$DI$2:$DU$250,112,0)</f>
        <v>0</v>
      </c>
      <c r="AM17" s="106">
        <f>+HLOOKUP($C17,'NEW CAR'!$DI$2:$DU$250,116,0)</f>
        <v>390400</v>
      </c>
      <c r="AN17" s="106">
        <f>+HLOOKUP($C17,'NEW CAR'!$DI$2:$DU$250,117,0)</f>
        <v>59650</v>
      </c>
      <c r="AO17" s="106">
        <f>+HLOOKUP($C17,'NEW CAR'!$DI$2:$DU$250,118,0)</f>
        <v>9000</v>
      </c>
      <c r="AP17" s="106">
        <f>+HLOOKUP($C17,'NEW CAR'!$DI$2:$DU$250,119,0)</f>
        <v>131200</v>
      </c>
      <c r="AQ17" s="106">
        <f>+HLOOKUP($C17,'NEW CAR'!$DI$2:$DU$250,120,0)</f>
        <v>34500</v>
      </c>
      <c r="AR17" s="106">
        <f>+HLOOKUP($C17,'NEW CAR'!$DI$2:$DU$250,121,0)</f>
        <v>10350</v>
      </c>
      <c r="AS17" s="106">
        <f>+HLOOKUP($C17,'NEW CAR'!$DI$2:$DU$250,122,0)</f>
        <v>183900</v>
      </c>
      <c r="AT17" s="106">
        <f>+HLOOKUP($C17,'NEW CAR'!$DI$2:$DU$250,123,0)</f>
        <v>43454.504708333327</v>
      </c>
      <c r="AU17" s="106">
        <f>+HLOOKUP($C17,'NEW CAR'!$DI$2:$DU$250,124,0)</f>
        <v>2066.25</v>
      </c>
      <c r="AV17" s="106">
        <f>+HLOOKUP($C17,'NEW CAR'!$DI$2:$DU$250,125,0)</f>
        <v>39225</v>
      </c>
      <c r="AW17" s="106">
        <f>+HLOOKUP($C17,'NEW CAR'!$DI$2:$DU$250,126,0)</f>
        <v>18769.230769230773</v>
      </c>
      <c r="AX17" s="106">
        <f>+HLOOKUP($C17,'NEW CAR'!$DI$2:$DU$250,127,0)</f>
        <v>24574.999999999996</v>
      </c>
      <c r="AY17" s="106">
        <f>+HLOOKUP($C17,'NEW CAR'!$DI$2:$DU$250,129,0)</f>
        <v>0</v>
      </c>
      <c r="AZ17" s="106">
        <f>+HLOOKUP($C17,'NEW CAR'!$DI$2:$DU$250,130,0)</f>
        <v>0</v>
      </c>
      <c r="BA17" s="106">
        <f>+HLOOKUP($C17,'NEW CAR'!$DI$2:$DU$250,131,0)</f>
        <v>96400</v>
      </c>
      <c r="BB17" s="106">
        <f>+HLOOKUP($C17,'NEW CAR'!$DI$2:$DU$250,133,0)</f>
        <v>0</v>
      </c>
      <c r="BC17" s="106">
        <f>+HLOOKUP($C17,'NEW CAR'!$DI$2:$DU$250,134,0)</f>
        <v>63508.417999999983</v>
      </c>
      <c r="BD17" s="106">
        <f>+HLOOKUP($C17,'NEW CAR'!$DI$2:$DU$250,135,0)</f>
        <v>0</v>
      </c>
      <c r="BE17" s="106">
        <f>+HLOOKUP($C17,'NEW CAR'!$DI$2:$DU$250,136,0)</f>
        <v>0</v>
      </c>
      <c r="BF17" s="106">
        <f>+HLOOKUP($C17,'NEW CAR'!$DI$2:$DU$250,138,0)</f>
        <v>10250</v>
      </c>
      <c r="BG17" s="106">
        <f>+HLOOKUP($C17,'NEW CAR'!$DI$2:$DU$250,139,0)</f>
        <v>14139.976249999998</v>
      </c>
      <c r="BH17" s="106">
        <f>+HLOOKUP($C17,'NEW CAR'!$DI$2:$DU$250,140,0)</f>
        <v>0</v>
      </c>
      <c r="BI17" s="106">
        <f>+HLOOKUP($C17,'NEW CAR'!$DI$2:$DU$250,141,0)</f>
        <v>0</v>
      </c>
      <c r="BJ17" s="106">
        <f>+HLOOKUP($C17,'NEW CAR'!$DI$2:$DU$250,142,0)</f>
        <v>0</v>
      </c>
      <c r="BK17" s="106">
        <f>+HLOOKUP($C17,'NEW CAR'!$DI$2:$DU$250,143,0)</f>
        <v>26971.833333333332</v>
      </c>
      <c r="BL17" s="106">
        <f>+HLOOKUP($C17,'NEW CAR'!$DI$2:$DU$250,144,0)</f>
        <v>8989.5833333333339</v>
      </c>
      <c r="BM17" s="106">
        <f>+HLOOKUP($C17,'NEW CAR'!$DI$2:$DU$250,146,0)</f>
        <v>0</v>
      </c>
      <c r="BN17" s="106">
        <f>+HLOOKUP($C17,'NEW CAR'!$DI$2:$DU$250,147,0)</f>
        <v>35000</v>
      </c>
      <c r="BO17" s="106">
        <f>+HLOOKUP($C17,'NEW CAR'!$DI$2:$DU$250,148,0)</f>
        <v>0</v>
      </c>
      <c r="BP17" s="106">
        <f>+HLOOKUP($C17,'NEW CAR'!$DI$2:$DU$250,150,0)</f>
        <v>32219.599999999999</v>
      </c>
      <c r="BQ17" s="106">
        <f>+HLOOKUP($C17,'NEW CAR'!$DI$2:$DU$250,151,0)</f>
        <v>2480.5</v>
      </c>
      <c r="BR17" s="106">
        <f>+HLOOKUP($C17,'NEW CAR'!$DI$2:$DU$250,152,0)</f>
        <v>16000</v>
      </c>
      <c r="BS17" s="106">
        <f>+HLOOKUP($C17,'NEW CAR'!$DI$2:$DU$250,153,0)</f>
        <v>3000</v>
      </c>
      <c r="BT17" s="106">
        <f>+HLOOKUP($C17,'NEW CAR'!$DI$2:$DU$250,157,0)</f>
        <v>10600</v>
      </c>
      <c r="BU17" s="106">
        <f>+HLOOKUP($C17,'NEW CAR'!$DI$2:$DU$250,158,0)</f>
        <v>2175</v>
      </c>
      <c r="BV17" s="106">
        <f>+HLOOKUP($C17,'NEW CAR'!$DI$2:$DU$250,159,0)</f>
        <v>0</v>
      </c>
      <c r="BW17" s="106">
        <f>+HLOOKUP($C17,'NEW CAR'!$DI$2:$DU$250,160,0)</f>
        <v>11000</v>
      </c>
      <c r="BX17" s="106">
        <f>+HLOOKUP($C17,'NEW CAR'!$DI$2:$DU$250,161,0)</f>
        <v>7572.9163125000005</v>
      </c>
      <c r="BY17" s="106">
        <f>+HLOOKUP($C17,'NEW CAR'!$DI$2:$DU$250,164,0)</f>
        <v>0</v>
      </c>
      <c r="BZ17" s="106">
        <f>+HLOOKUP($C17,'NEW CAR'!$DI$2:$DU$250,165,0)</f>
        <v>0</v>
      </c>
      <c r="CA17" s="106">
        <f>+HLOOKUP($C17,'NEW CAR'!$DI$2:$DU$250,166,0)</f>
        <v>0</v>
      </c>
      <c r="CB17" s="106">
        <f>+HLOOKUP($C17,'NEW CAR'!$DI$2:$DU$250,167,0)</f>
        <v>0</v>
      </c>
      <c r="CC17" s="106">
        <f>+HLOOKUP($C17,'NEW CAR'!$DI$2:$DU$250,168,0)</f>
        <v>0</v>
      </c>
      <c r="CD17" s="106">
        <f>+HLOOKUP($C17,'NEW CAR'!$DI$2:$DU$250,169,0)</f>
        <v>0</v>
      </c>
      <c r="CE17" s="106">
        <f>+HLOOKUP($C17,'NEW CAR'!$DI$2:$DU$250,170,0)</f>
        <v>0</v>
      </c>
      <c r="CF17" s="106">
        <f>+HLOOKUP($C17,'NEW CAR'!$DI$2:$DU$250,172,0)</f>
        <v>18000</v>
      </c>
      <c r="CG17" s="106">
        <f>+HLOOKUP($C17,'NEW CAR'!$DI$2:$DU$250,173,0)</f>
        <v>0</v>
      </c>
      <c r="CH17" s="106">
        <f>+HLOOKUP($C17,'NEW CAR'!$DI$2:$DU$250,174,0)</f>
        <v>0</v>
      </c>
      <c r="CI17" s="106">
        <f>+HLOOKUP($C17,'NEW CAR'!$DI$2:$DU$250,175,0)</f>
        <v>0</v>
      </c>
      <c r="CJ17" s="106">
        <f>+HLOOKUP($C17,'NEW CAR'!$DI$2:$DU$250,176,0)</f>
        <v>5925</v>
      </c>
      <c r="CK17" s="106">
        <f>+HLOOKUP($C17,'NEW CAR'!$DI$2:$DU$250,178,0)</f>
        <v>60000</v>
      </c>
      <c r="CL17" s="106">
        <f>+HLOOKUP($C17,'NEW CAR'!$DI$2:$DU$250,179,0)</f>
        <v>0</v>
      </c>
      <c r="CM17" s="106">
        <f>+HLOOKUP($C17,'NEW CAR'!$DI$2:$DU$250,180,0)</f>
        <v>14700</v>
      </c>
      <c r="CN17" s="106">
        <f>+HLOOKUP($C17,'NEW CAR'!$DI$2:$DU$250,182,0)</f>
        <v>614.25</v>
      </c>
      <c r="CO17" s="106">
        <f>+HLOOKUP($C17,'NEW CAR'!$DI$2:$DU$250,183,0)</f>
        <v>11725.5</v>
      </c>
      <c r="CP17" s="106">
        <f>+HLOOKUP($C17,'NEW CAR'!$DI$2:$DU$250,184,0)</f>
        <v>5400</v>
      </c>
      <c r="CQ17" s="106">
        <f>+HLOOKUP($C17,'NEW CAR'!$DI$2:$DU$250,185,0)</f>
        <v>0</v>
      </c>
      <c r="CR17" s="106">
        <f>+HLOOKUP($C17,'NEW CAR'!$DI$2:$DU$250,187,0)</f>
        <v>3124.7999999999997</v>
      </c>
      <c r="CS17" s="106">
        <f>+HLOOKUP($C17,'NEW CAR'!$DI$2:$DU$250,188,0)</f>
        <v>3975</v>
      </c>
      <c r="CT17" s="106">
        <f>+HLOOKUP($C17,'NEW CAR'!$DI$2:$DU$250,189,0)</f>
        <v>2500.0499999999997</v>
      </c>
      <c r="CU17" s="106">
        <f>+HLOOKUP($C17,'NEW CAR'!$DI$2:$DU$250,190,0)</f>
        <v>2533.35</v>
      </c>
      <c r="CV17" s="106">
        <f>+HLOOKUP($C17,'NEW CAR'!$DI$2:$DU$250,191,0)</f>
        <v>0</v>
      </c>
      <c r="CW17" s="106">
        <f>+HLOOKUP($C17,'NEW CAR'!$DI$2:$DU$250,193,0)</f>
        <v>6177.166666666667</v>
      </c>
      <c r="CX17" s="106">
        <f>+HLOOKUP($C17,'NEW CAR'!$DI$2:$DU$250,194,0)</f>
        <v>591.83333333333337</v>
      </c>
      <c r="CY17" s="106">
        <f>+HLOOKUP($C17,'NEW CAR'!$DI$2:$DU$250,195,0)</f>
        <v>1375.059</v>
      </c>
      <c r="CZ17" s="106">
        <f>+HLOOKUP($C17,'NEW CAR'!$DI$2:$DU$250,196,0)</f>
        <v>0</v>
      </c>
      <c r="DA17" s="106">
        <f>+HLOOKUP($C17,'NEW CAR'!$DI$2:$DU$250,197,0)</f>
        <v>16416</v>
      </c>
      <c r="DB17" s="106">
        <f>+HLOOKUP($C17,'NEW CAR'!$DI$2:$DU$250,198,0)</f>
        <v>5055</v>
      </c>
      <c r="DC17" s="106">
        <f>+HLOOKUP($C17,'NEW CAR'!$DI$2:$DU$250,199,0)</f>
        <v>1080</v>
      </c>
      <c r="DD17" s="106">
        <f>+HLOOKUP($C17,'NEW CAR'!$DI$2:$DU$250,200,0)</f>
        <v>350</v>
      </c>
      <c r="DE17" s="106">
        <f>+HLOOKUP($C17,'NEW CAR'!$DI$2:$DU$250,201,0)</f>
        <v>74.25</v>
      </c>
      <c r="DF17" s="106">
        <f>+HLOOKUP($C17,'NEW CAR'!$DI$2:$DU$250,202,0)</f>
        <v>0</v>
      </c>
      <c r="DG17" s="106">
        <f>+HLOOKUP($C17,'NEW CAR'!$DI$2:$DU$250,203,0)</f>
        <v>0</v>
      </c>
      <c r="DH17" s="106">
        <f>+HLOOKUP($C17,'NEW CAR'!$DI$2:$DU$250,205,0)</f>
        <v>45415.943618181802</v>
      </c>
      <c r="DI17" s="106">
        <f>+HLOOKUP($C17,'NEW CAR'!$DI$2:$DU$250,206,0)</f>
        <v>4687.2888872727272</v>
      </c>
      <c r="DJ17" s="106">
        <f>+HLOOKUP($C17,'NEW CAR'!$DI$2:$DU$250,207,0)</f>
        <v>386.60249999999996</v>
      </c>
      <c r="DK17" s="106">
        <f>+HLOOKUP($C17,'NEW CAR'!$DI$2:$DU$250,209,0)</f>
        <v>0</v>
      </c>
      <c r="DL17" s="106">
        <f>+HLOOKUP($C17,'NEW CAR'!$DI$2:$DU$250,210,0)</f>
        <v>0</v>
      </c>
      <c r="DM17" s="106">
        <f>+HLOOKUP($C17,'NEW CAR'!$DI$2:$DU$250,211,0)</f>
        <v>122842.10039062503</v>
      </c>
      <c r="DN17" s="106">
        <f>+HLOOKUP($C17,'NEW CAR'!$DI$2:$DU$250,212,0)</f>
        <v>0</v>
      </c>
      <c r="DO17" s="106">
        <f>+HLOOKUP($C17,'NEW CAR'!$DI$2:$DU$250,214,0)</f>
        <v>0</v>
      </c>
      <c r="DP17" s="106">
        <f>+HLOOKUP($C17,'NEW CAR'!$DI$2:$DU$250,215,0)</f>
        <v>900</v>
      </c>
      <c r="DQ17" s="106">
        <f>+HLOOKUP($C17,'NEW CAR'!$DI$2:$DU$250,219,0)</f>
        <v>0</v>
      </c>
      <c r="DR17" s="106">
        <f>+HLOOKUP($C17,'NEW CAR'!$DI$2:$DU$250,220,0)</f>
        <v>0</v>
      </c>
      <c r="DS17" s="106">
        <f>+HLOOKUP($C17,'NEW CAR'!$DI$2:$DU$250,221,0)</f>
        <v>184000</v>
      </c>
      <c r="DT17" s="106">
        <f>+HLOOKUP($C17,'NEW CAR'!$DI$2:$DU$250,223,0)</f>
        <v>18750</v>
      </c>
      <c r="DU17" s="106">
        <f>+HLOOKUP($C17,'NEW CAR'!$DI$2:$DU$250,224,0)</f>
        <v>0</v>
      </c>
      <c r="DV17" s="106">
        <f>+HLOOKUP($C17,'NEW CAR'!$DI$2:$DU$250,225,0)</f>
        <v>0</v>
      </c>
      <c r="DW17" s="106">
        <f>+HLOOKUP($C17,'NEW CAR'!$DI$2:$DU$250,227,0)</f>
        <v>0</v>
      </c>
      <c r="DX17" s="106">
        <f>+HLOOKUP($C17,'NEW CAR'!$DI$2:$DU$250,228,0)</f>
        <v>0</v>
      </c>
      <c r="DY17" s="106">
        <f>+HLOOKUP($C17,'NEW CAR'!$DI$2:$DU$250,236,0)</f>
        <v>0</v>
      </c>
      <c r="DZ17" s="106">
        <f>+HLOOKUP($C17,'NEW CAR'!$DI$2:$DU$250,237,0)</f>
        <v>151895.53941521869</v>
      </c>
      <c r="EA17" s="106">
        <f>+HLOOKUP($C17,'NEW CAR'!$DI$2:$DU$250,238,0)</f>
        <v>0</v>
      </c>
      <c r="EB17" s="106">
        <f>+HLOOKUP($C17,'NEW CAR'!$DI$2:$DU$250,240,0)</f>
        <v>433516.25836428563</v>
      </c>
    </row>
    <row r="18" spans="1:132">
      <c r="A18" t="s">
        <v>271</v>
      </c>
      <c r="B18" t="s">
        <v>270</v>
      </c>
      <c r="C18" s="117">
        <v>45870</v>
      </c>
      <c r="D18" s="106">
        <f>+HLOOKUP(C18,'NEW CAR'!$DI$2:$DU$250,6,0)/3.5%</f>
        <v>60685099.0990991</v>
      </c>
      <c r="E18" s="106">
        <f>+HLOOKUP(C18,'NEW CAR'!$DI$2:$DU$250,5,0)+HLOOKUP(C18,'NEW CAR'!$DI$2:$DU$250,26,0)+HLOOKUP(C18,'NEW CAR'!$DI$2:$DU$250,59,0)</f>
        <v>4227391.9819819815</v>
      </c>
      <c r="F18" s="106"/>
      <c r="G18" s="106">
        <f>+HLOOKUP($C18,'NEW CAR'!$DI$2:$DU$250,76,0)</f>
        <v>84000</v>
      </c>
      <c r="H18" s="106">
        <f>+HLOOKUP($C18,'NEW CAR'!$DI$2:$DU$250,77,0)</f>
        <v>336000</v>
      </c>
      <c r="I18" s="106">
        <f>+HLOOKUP($C18,'NEW CAR'!$DI$2:$DU$250,78,0)</f>
        <v>0</v>
      </c>
      <c r="J18" s="106">
        <f>+HLOOKUP($C18,'NEW CAR'!$DI$2:$DU$250,79,0)</f>
        <v>140000</v>
      </c>
      <c r="K18" s="106">
        <f>+HLOOKUP($C18,'NEW CAR'!$DI$2:$DU$250,80,0)</f>
        <v>0</v>
      </c>
      <c r="L18" s="106">
        <f>+HLOOKUP($C18,'NEW CAR'!$DI$2:$DU$250,81,0)</f>
        <v>0</v>
      </c>
      <c r="M18" s="106">
        <f>+HLOOKUP($C18,'NEW CAR'!$DI$2:$DU$250,82,0)</f>
        <v>0</v>
      </c>
      <c r="N18" s="106">
        <f>+HLOOKUP($C18,'NEW CAR'!$DI$2:$DU$250,83,0)</f>
        <v>0</v>
      </c>
      <c r="O18" s="106">
        <f>+HLOOKUP($C18,'NEW CAR'!$DI$2:$DU$250,84,0)</f>
        <v>0</v>
      </c>
      <c r="P18" s="106">
        <f>+HLOOKUP($C18,'NEW CAR'!$DI$2:$DU$250,85,0)</f>
        <v>0</v>
      </c>
      <c r="Q18" s="106">
        <f>+HLOOKUP($C18,'NEW CAR'!$DI$2:$DU$250,87,0)</f>
        <v>490000</v>
      </c>
      <c r="R18" s="106">
        <f>+HLOOKUP($C18,'NEW CAR'!$DI$2:$DU$250,90,0)</f>
        <v>8400</v>
      </c>
      <c r="S18" s="106">
        <f>+HLOOKUP($C18,'NEW CAR'!$DI$2:$DU$250,91,0)</f>
        <v>0</v>
      </c>
      <c r="T18" s="106">
        <f>+HLOOKUP($C18,'NEW CAR'!$DI$2:$DU$250,92,0)</f>
        <v>210000</v>
      </c>
      <c r="U18" s="106">
        <f>+HLOOKUP($C18,'NEW CAR'!$DI$2:$DU$250,93,0)</f>
        <v>7000</v>
      </c>
      <c r="V18" s="106">
        <f>+HLOOKUP($C18,'NEW CAR'!$DI$2:$DU$250,94,0)</f>
        <v>0</v>
      </c>
      <c r="W18" s="106">
        <f>+HLOOKUP($C18,'NEW CAR'!$DI$2:$DU$250,95,0)</f>
        <v>20000</v>
      </c>
      <c r="X18" s="106">
        <f>+HLOOKUP($C18,'NEW CAR'!$DI$2:$DU$250,96,0)</f>
        <v>30000</v>
      </c>
      <c r="Y18" s="106">
        <f>+HLOOKUP($C18,'NEW CAR'!$DI$2:$DU$250,97,0)</f>
        <v>70000</v>
      </c>
      <c r="Z18" s="106">
        <f>+HLOOKUP($C18,'NEW CAR'!$DI$2:$DU$250,98,0)</f>
        <v>0</v>
      </c>
      <c r="AA18" s="106">
        <f>+HLOOKUP($C18,'NEW CAR'!$DI$2:$DU$250,99,0)</f>
        <v>0</v>
      </c>
      <c r="AB18" s="106">
        <f>+HLOOKUP($C18,'NEW CAR'!$DI$2:$DU$250,100,0)</f>
        <v>28000</v>
      </c>
      <c r="AC18" s="106">
        <f>+HLOOKUP($C18,'NEW CAR'!$DI$2:$DU$250,101,0)</f>
        <v>8400</v>
      </c>
      <c r="AD18" s="106">
        <f>+HLOOKUP($C18,'NEW CAR'!$DI$2:$DU$250,104,0)</f>
        <v>14000</v>
      </c>
      <c r="AE18" s="106">
        <f>+HLOOKUP($C18,'NEW CAR'!$DI$2:$DU$250,105,0)</f>
        <v>116550</v>
      </c>
      <c r="AF18" s="106">
        <f>+HLOOKUP($C18,'NEW CAR'!$DI$2:$DU$250,106,0)</f>
        <v>46620</v>
      </c>
      <c r="AG18" s="106">
        <f>+HLOOKUP($C18,'NEW CAR'!$DI$2:$DU$250,107,0)</f>
        <v>163170</v>
      </c>
      <c r="AH18" s="106">
        <f>+HLOOKUP($C18,'NEW CAR'!$DI$2:$DU$250,108,0)</f>
        <v>0</v>
      </c>
      <c r="AI18" s="106">
        <f>+HLOOKUP($C18,'NEW CAR'!$DI$2:$DU$250,109,0)</f>
        <v>139860</v>
      </c>
      <c r="AJ18" s="106">
        <f>+HLOOKUP($C18,'NEW CAR'!$DI$2:$DU$250,110,0)</f>
        <v>0</v>
      </c>
      <c r="AK18" s="106">
        <f>+HLOOKUP($C18,'NEW CAR'!$DI$2:$DU$250,111,0)</f>
        <v>0</v>
      </c>
      <c r="AL18" s="106">
        <f>+HLOOKUP($C18,'NEW CAR'!$DI$2:$DU$250,112,0)</f>
        <v>0</v>
      </c>
      <c r="AM18" s="106">
        <f>+HLOOKUP($C18,'NEW CAR'!$DI$2:$DU$250,116,0)</f>
        <v>390400</v>
      </c>
      <c r="AN18" s="106">
        <f>+HLOOKUP($C18,'NEW CAR'!$DI$2:$DU$250,117,0)</f>
        <v>59650</v>
      </c>
      <c r="AO18" s="106">
        <f>+HLOOKUP($C18,'NEW CAR'!$DI$2:$DU$250,118,0)</f>
        <v>9000</v>
      </c>
      <c r="AP18" s="106">
        <f>+HLOOKUP($C18,'NEW CAR'!$DI$2:$DU$250,119,0)</f>
        <v>131200</v>
      </c>
      <c r="AQ18" s="106">
        <f>+HLOOKUP($C18,'NEW CAR'!$DI$2:$DU$250,120,0)</f>
        <v>34500</v>
      </c>
      <c r="AR18" s="106">
        <f>+HLOOKUP($C18,'NEW CAR'!$DI$2:$DU$250,121,0)</f>
        <v>10350</v>
      </c>
      <c r="AS18" s="106">
        <f>+HLOOKUP($C18,'NEW CAR'!$DI$2:$DU$250,122,0)</f>
        <v>183900</v>
      </c>
      <c r="AT18" s="106">
        <f>+HLOOKUP($C18,'NEW CAR'!$DI$2:$DU$250,123,0)</f>
        <v>43454.504708333327</v>
      </c>
      <c r="AU18" s="106">
        <f>+HLOOKUP($C18,'NEW CAR'!$DI$2:$DU$250,124,0)</f>
        <v>2066.25</v>
      </c>
      <c r="AV18" s="106">
        <f>+HLOOKUP($C18,'NEW CAR'!$DI$2:$DU$250,125,0)</f>
        <v>39225</v>
      </c>
      <c r="AW18" s="106">
        <f>+HLOOKUP($C18,'NEW CAR'!$DI$2:$DU$250,126,0)</f>
        <v>18769.230769230773</v>
      </c>
      <c r="AX18" s="106">
        <f>+HLOOKUP($C18,'NEW CAR'!$DI$2:$DU$250,127,0)</f>
        <v>24574.999999999996</v>
      </c>
      <c r="AY18" s="106">
        <f>+HLOOKUP($C18,'NEW CAR'!$DI$2:$DU$250,129,0)</f>
        <v>0</v>
      </c>
      <c r="AZ18" s="106">
        <f>+HLOOKUP($C18,'NEW CAR'!$DI$2:$DU$250,130,0)</f>
        <v>0</v>
      </c>
      <c r="BA18" s="106">
        <f>+HLOOKUP($C18,'NEW CAR'!$DI$2:$DU$250,131,0)</f>
        <v>96400</v>
      </c>
      <c r="BB18" s="106">
        <f>+HLOOKUP($C18,'NEW CAR'!$DI$2:$DU$250,133,0)</f>
        <v>0</v>
      </c>
      <c r="BC18" s="106">
        <f>+HLOOKUP($C18,'NEW CAR'!$DI$2:$DU$250,134,0)</f>
        <v>63508.417999999983</v>
      </c>
      <c r="BD18" s="106">
        <f>+HLOOKUP($C18,'NEW CAR'!$DI$2:$DU$250,135,0)</f>
        <v>0</v>
      </c>
      <c r="BE18" s="106">
        <f>+HLOOKUP($C18,'NEW CAR'!$DI$2:$DU$250,136,0)</f>
        <v>0</v>
      </c>
      <c r="BF18" s="106">
        <f>+HLOOKUP($C18,'NEW CAR'!$DI$2:$DU$250,138,0)</f>
        <v>10250</v>
      </c>
      <c r="BG18" s="106">
        <f>+HLOOKUP($C18,'NEW CAR'!$DI$2:$DU$250,139,0)</f>
        <v>14139.976249999998</v>
      </c>
      <c r="BH18" s="106">
        <f>+HLOOKUP($C18,'NEW CAR'!$DI$2:$DU$250,140,0)</f>
        <v>0</v>
      </c>
      <c r="BI18" s="106">
        <f>+HLOOKUP($C18,'NEW CAR'!$DI$2:$DU$250,141,0)</f>
        <v>0</v>
      </c>
      <c r="BJ18" s="106">
        <f>+HLOOKUP($C18,'NEW CAR'!$DI$2:$DU$250,142,0)</f>
        <v>0</v>
      </c>
      <c r="BK18" s="106">
        <f>+HLOOKUP($C18,'NEW CAR'!$DI$2:$DU$250,143,0)</f>
        <v>26971.833333333332</v>
      </c>
      <c r="BL18" s="106">
        <f>+HLOOKUP($C18,'NEW CAR'!$DI$2:$DU$250,144,0)</f>
        <v>2239.5833333333335</v>
      </c>
      <c r="BM18" s="106">
        <f>+HLOOKUP($C18,'NEW CAR'!$DI$2:$DU$250,146,0)</f>
        <v>0</v>
      </c>
      <c r="BN18" s="106">
        <f>+HLOOKUP($C18,'NEW CAR'!$DI$2:$DU$250,147,0)</f>
        <v>35000</v>
      </c>
      <c r="BO18" s="106">
        <f>+HLOOKUP($C18,'NEW CAR'!$DI$2:$DU$250,148,0)</f>
        <v>0</v>
      </c>
      <c r="BP18" s="106">
        <f>+HLOOKUP($C18,'NEW CAR'!$DI$2:$DU$250,150,0)</f>
        <v>32219.599999999999</v>
      </c>
      <c r="BQ18" s="106">
        <f>+HLOOKUP($C18,'NEW CAR'!$DI$2:$DU$250,151,0)</f>
        <v>2480.5</v>
      </c>
      <c r="BR18" s="106">
        <f>+HLOOKUP($C18,'NEW CAR'!$DI$2:$DU$250,152,0)</f>
        <v>16000</v>
      </c>
      <c r="BS18" s="106">
        <f>+HLOOKUP($C18,'NEW CAR'!$DI$2:$DU$250,153,0)</f>
        <v>3000</v>
      </c>
      <c r="BT18" s="106">
        <f>+HLOOKUP($C18,'NEW CAR'!$DI$2:$DU$250,157,0)</f>
        <v>10600</v>
      </c>
      <c r="BU18" s="106">
        <f>+HLOOKUP($C18,'NEW CAR'!$DI$2:$DU$250,158,0)</f>
        <v>2175</v>
      </c>
      <c r="BV18" s="106">
        <f>+HLOOKUP($C18,'NEW CAR'!$DI$2:$DU$250,159,0)</f>
        <v>0</v>
      </c>
      <c r="BW18" s="106">
        <f>+HLOOKUP($C18,'NEW CAR'!$DI$2:$DU$250,160,0)</f>
        <v>11000</v>
      </c>
      <c r="BX18" s="106">
        <f>+HLOOKUP($C18,'NEW CAR'!$DI$2:$DU$250,161,0)</f>
        <v>12212.30128</v>
      </c>
      <c r="BY18" s="106">
        <f>+HLOOKUP($C18,'NEW CAR'!$DI$2:$DU$250,164,0)</f>
        <v>0</v>
      </c>
      <c r="BZ18" s="106">
        <f>+HLOOKUP($C18,'NEW CAR'!$DI$2:$DU$250,165,0)</f>
        <v>0</v>
      </c>
      <c r="CA18" s="106">
        <f>+HLOOKUP($C18,'NEW CAR'!$DI$2:$DU$250,166,0)</f>
        <v>0</v>
      </c>
      <c r="CB18" s="106">
        <f>+HLOOKUP($C18,'NEW CAR'!$DI$2:$DU$250,167,0)</f>
        <v>0</v>
      </c>
      <c r="CC18" s="106">
        <f>+HLOOKUP($C18,'NEW CAR'!$DI$2:$DU$250,168,0)</f>
        <v>0</v>
      </c>
      <c r="CD18" s="106">
        <f>+HLOOKUP($C18,'NEW CAR'!$DI$2:$DU$250,169,0)</f>
        <v>0</v>
      </c>
      <c r="CE18" s="106">
        <f>+HLOOKUP($C18,'NEW CAR'!$DI$2:$DU$250,170,0)</f>
        <v>0</v>
      </c>
      <c r="CF18" s="106">
        <f>+HLOOKUP($C18,'NEW CAR'!$DI$2:$DU$250,172,0)</f>
        <v>18000</v>
      </c>
      <c r="CG18" s="106">
        <f>+HLOOKUP($C18,'NEW CAR'!$DI$2:$DU$250,173,0)</f>
        <v>0</v>
      </c>
      <c r="CH18" s="106">
        <f>+HLOOKUP($C18,'NEW CAR'!$DI$2:$DU$250,174,0)</f>
        <v>0</v>
      </c>
      <c r="CI18" s="106">
        <f>+HLOOKUP($C18,'NEW CAR'!$DI$2:$DU$250,175,0)</f>
        <v>0</v>
      </c>
      <c r="CJ18" s="106">
        <f>+HLOOKUP($C18,'NEW CAR'!$DI$2:$DU$250,176,0)</f>
        <v>5925</v>
      </c>
      <c r="CK18" s="106">
        <f>+HLOOKUP($C18,'NEW CAR'!$DI$2:$DU$250,178,0)</f>
        <v>60000</v>
      </c>
      <c r="CL18" s="106">
        <f>+HLOOKUP($C18,'NEW CAR'!$DI$2:$DU$250,179,0)</f>
        <v>0</v>
      </c>
      <c r="CM18" s="106">
        <f>+HLOOKUP($C18,'NEW CAR'!$DI$2:$DU$250,180,0)</f>
        <v>14700</v>
      </c>
      <c r="CN18" s="106">
        <f>+HLOOKUP($C18,'NEW CAR'!$DI$2:$DU$250,182,0)</f>
        <v>614.25</v>
      </c>
      <c r="CO18" s="106">
        <f>+HLOOKUP($C18,'NEW CAR'!$DI$2:$DU$250,183,0)</f>
        <v>11725.5</v>
      </c>
      <c r="CP18" s="106">
        <f>+HLOOKUP($C18,'NEW CAR'!$DI$2:$DU$250,184,0)</f>
        <v>5400</v>
      </c>
      <c r="CQ18" s="106">
        <f>+HLOOKUP($C18,'NEW CAR'!$DI$2:$DU$250,185,0)</f>
        <v>0</v>
      </c>
      <c r="CR18" s="106">
        <f>+HLOOKUP($C18,'NEW CAR'!$DI$2:$DU$250,187,0)</f>
        <v>3124.7999999999997</v>
      </c>
      <c r="CS18" s="106">
        <f>+HLOOKUP($C18,'NEW CAR'!$DI$2:$DU$250,188,0)</f>
        <v>3975</v>
      </c>
      <c r="CT18" s="106">
        <f>+HLOOKUP($C18,'NEW CAR'!$DI$2:$DU$250,189,0)</f>
        <v>2500.0499999999997</v>
      </c>
      <c r="CU18" s="106">
        <f>+HLOOKUP($C18,'NEW CAR'!$DI$2:$DU$250,190,0)</f>
        <v>2533.35</v>
      </c>
      <c r="CV18" s="106">
        <f>+HLOOKUP($C18,'NEW CAR'!$DI$2:$DU$250,191,0)</f>
        <v>0</v>
      </c>
      <c r="CW18" s="106">
        <f>+HLOOKUP($C18,'NEW CAR'!$DI$2:$DU$250,193,0)</f>
        <v>6177.166666666667</v>
      </c>
      <c r="CX18" s="106">
        <f>+HLOOKUP($C18,'NEW CAR'!$DI$2:$DU$250,194,0)</f>
        <v>591.83333333333337</v>
      </c>
      <c r="CY18" s="106">
        <f>+HLOOKUP($C18,'NEW CAR'!$DI$2:$DU$250,195,0)</f>
        <v>1375.059</v>
      </c>
      <c r="CZ18" s="106">
        <f>+HLOOKUP($C18,'NEW CAR'!$DI$2:$DU$250,196,0)</f>
        <v>0</v>
      </c>
      <c r="DA18" s="106">
        <f>+HLOOKUP($C18,'NEW CAR'!$DI$2:$DU$250,197,0)</f>
        <v>16416</v>
      </c>
      <c r="DB18" s="106">
        <f>+HLOOKUP($C18,'NEW CAR'!$DI$2:$DU$250,198,0)</f>
        <v>5055</v>
      </c>
      <c r="DC18" s="106">
        <f>+HLOOKUP($C18,'NEW CAR'!$DI$2:$DU$250,199,0)</f>
        <v>1080</v>
      </c>
      <c r="DD18" s="106">
        <f>+HLOOKUP($C18,'NEW CAR'!$DI$2:$DU$250,200,0)</f>
        <v>350</v>
      </c>
      <c r="DE18" s="106">
        <f>+HLOOKUP($C18,'NEW CAR'!$DI$2:$DU$250,201,0)</f>
        <v>74.25</v>
      </c>
      <c r="DF18" s="106">
        <f>+HLOOKUP($C18,'NEW CAR'!$DI$2:$DU$250,202,0)</f>
        <v>0</v>
      </c>
      <c r="DG18" s="106">
        <f>+HLOOKUP($C18,'NEW CAR'!$DI$2:$DU$250,203,0)</f>
        <v>0</v>
      </c>
      <c r="DH18" s="106">
        <f>+HLOOKUP($C18,'NEW CAR'!$DI$2:$DU$250,205,0)</f>
        <v>45415.943618181802</v>
      </c>
      <c r="DI18" s="106">
        <f>+HLOOKUP($C18,'NEW CAR'!$DI$2:$DU$250,206,0)</f>
        <v>4687.2888872727272</v>
      </c>
      <c r="DJ18" s="106">
        <f>+HLOOKUP($C18,'NEW CAR'!$DI$2:$DU$250,207,0)</f>
        <v>386.60249999999996</v>
      </c>
      <c r="DK18" s="106">
        <f>+HLOOKUP($C18,'NEW CAR'!$DI$2:$DU$250,209,0)</f>
        <v>0</v>
      </c>
      <c r="DL18" s="106">
        <f>+HLOOKUP($C18,'NEW CAR'!$DI$2:$DU$250,210,0)</f>
        <v>0</v>
      </c>
      <c r="DM18" s="106">
        <f>+HLOOKUP($C18,'NEW CAR'!$DI$2:$DU$250,211,0)</f>
        <v>116992.47656250001</v>
      </c>
      <c r="DN18" s="106">
        <f>+HLOOKUP($C18,'NEW CAR'!$DI$2:$DU$250,212,0)</f>
        <v>0</v>
      </c>
      <c r="DO18" s="106">
        <f>+HLOOKUP($C18,'NEW CAR'!$DI$2:$DU$250,214,0)</f>
        <v>0</v>
      </c>
      <c r="DP18" s="106">
        <f>+HLOOKUP($C18,'NEW CAR'!$DI$2:$DU$250,215,0)</f>
        <v>900</v>
      </c>
      <c r="DQ18" s="106">
        <f>+HLOOKUP($C18,'NEW CAR'!$DI$2:$DU$250,219,0)</f>
        <v>0</v>
      </c>
      <c r="DR18" s="106">
        <f>+HLOOKUP($C18,'NEW CAR'!$DI$2:$DU$250,220,0)</f>
        <v>0</v>
      </c>
      <c r="DS18" s="106">
        <f>+HLOOKUP($C18,'NEW CAR'!$DI$2:$DU$250,221,0)</f>
        <v>184000</v>
      </c>
      <c r="DT18" s="106">
        <f>+HLOOKUP($C18,'NEW CAR'!$DI$2:$DU$250,223,0)</f>
        <v>18750</v>
      </c>
      <c r="DU18" s="106">
        <f>+HLOOKUP($C18,'NEW CAR'!$DI$2:$DU$250,224,0)</f>
        <v>0</v>
      </c>
      <c r="DV18" s="106">
        <f>+HLOOKUP($C18,'NEW CAR'!$DI$2:$DU$250,225,0)</f>
        <v>0</v>
      </c>
      <c r="DW18" s="106">
        <f>+HLOOKUP($C18,'NEW CAR'!$DI$2:$DU$250,227,0)</f>
        <v>0</v>
      </c>
      <c r="DX18" s="106">
        <f>+HLOOKUP($C18,'NEW CAR'!$DI$2:$DU$250,228,0)</f>
        <v>0</v>
      </c>
      <c r="DY18" s="106">
        <f>+HLOOKUP($C18,'NEW CAR'!$DI$2:$DU$250,236,0)</f>
        <v>0</v>
      </c>
      <c r="DZ18" s="106">
        <f>+HLOOKUP($C18,'NEW CAR'!$DI$2:$DU$250,237,0)</f>
        <v>159108.84351732279</v>
      </c>
      <c r="EA18" s="106">
        <f>+HLOOKUP($C18,'NEW CAR'!$DI$2:$DU$250,238,0)</f>
        <v>0</v>
      </c>
      <c r="EB18" s="106">
        <f>+HLOOKUP($C18,'NEW CAR'!$DI$2:$DU$250,240,0)</f>
        <v>433516.25836428563</v>
      </c>
    </row>
    <row r="19" spans="1:132">
      <c r="A19" t="s">
        <v>271</v>
      </c>
      <c r="B19" t="s">
        <v>270</v>
      </c>
      <c r="C19" s="117">
        <v>45839</v>
      </c>
      <c r="D19" s="106">
        <f>+HLOOKUP(C19,'NEW CAR'!$DI$2:$DU$250,6,0)/3.5%</f>
        <v>53501226.001863927</v>
      </c>
      <c r="E19" s="106">
        <f>+HLOOKUP(C19,'NEW CAR'!$DI$2:$DU$250,5,0)+HLOOKUP(C19,'NEW CAR'!$DI$2:$DU$250,26,0)+HLOOKUP(C19,'NEW CAR'!$DI$2:$DU$250,59,0)</f>
        <v>3072256.0041938489</v>
      </c>
      <c r="F19" s="106"/>
      <c r="G19" s="106">
        <f>+HLOOKUP($C19,'NEW CAR'!$DI$2:$DU$250,76,0)</f>
        <v>72000</v>
      </c>
      <c r="H19" s="106">
        <f>+HLOOKUP($C19,'NEW CAR'!$DI$2:$DU$250,77,0)</f>
        <v>288000</v>
      </c>
      <c r="I19" s="106">
        <f>+HLOOKUP($C19,'NEW CAR'!$DI$2:$DU$250,78,0)</f>
        <v>0</v>
      </c>
      <c r="J19" s="106">
        <f>+HLOOKUP($C19,'NEW CAR'!$DI$2:$DU$250,79,0)</f>
        <v>120000</v>
      </c>
      <c r="K19" s="106">
        <f>+HLOOKUP($C19,'NEW CAR'!$DI$2:$DU$250,80,0)</f>
        <v>0</v>
      </c>
      <c r="L19" s="106">
        <f>+HLOOKUP($C19,'NEW CAR'!$DI$2:$DU$250,81,0)</f>
        <v>0</v>
      </c>
      <c r="M19" s="106">
        <f>+HLOOKUP($C19,'NEW CAR'!$DI$2:$DU$250,82,0)</f>
        <v>0</v>
      </c>
      <c r="N19" s="106">
        <f>+HLOOKUP($C19,'NEW CAR'!$DI$2:$DU$250,83,0)</f>
        <v>0</v>
      </c>
      <c r="O19" s="106">
        <f>+HLOOKUP($C19,'NEW CAR'!$DI$2:$DU$250,84,0)</f>
        <v>0</v>
      </c>
      <c r="P19" s="106">
        <f>+HLOOKUP($C19,'NEW CAR'!$DI$2:$DU$250,85,0)</f>
        <v>0</v>
      </c>
      <c r="Q19" s="106">
        <f>+HLOOKUP($C19,'NEW CAR'!$DI$2:$DU$250,87,0)</f>
        <v>420000</v>
      </c>
      <c r="R19" s="106">
        <f>+HLOOKUP($C19,'NEW CAR'!$DI$2:$DU$250,90,0)</f>
        <v>7200</v>
      </c>
      <c r="S19" s="106">
        <f>+HLOOKUP($C19,'NEW CAR'!$DI$2:$DU$250,91,0)</f>
        <v>0</v>
      </c>
      <c r="T19" s="106">
        <f>+HLOOKUP($C19,'NEW CAR'!$DI$2:$DU$250,92,0)</f>
        <v>180000</v>
      </c>
      <c r="U19" s="106">
        <f>+HLOOKUP($C19,'NEW CAR'!$DI$2:$DU$250,93,0)</f>
        <v>6000</v>
      </c>
      <c r="V19" s="106">
        <f>+HLOOKUP($C19,'NEW CAR'!$DI$2:$DU$250,94,0)</f>
        <v>0</v>
      </c>
      <c r="W19" s="106">
        <f>+HLOOKUP($C19,'NEW CAR'!$DI$2:$DU$250,95,0)</f>
        <v>20000</v>
      </c>
      <c r="X19" s="106">
        <f>+HLOOKUP($C19,'NEW CAR'!$DI$2:$DU$250,96,0)</f>
        <v>30000</v>
      </c>
      <c r="Y19" s="106">
        <f>+HLOOKUP($C19,'NEW CAR'!$DI$2:$DU$250,97,0)</f>
        <v>60000</v>
      </c>
      <c r="Z19" s="106">
        <f>+HLOOKUP($C19,'NEW CAR'!$DI$2:$DU$250,98,0)</f>
        <v>0</v>
      </c>
      <c r="AA19" s="106">
        <f>+HLOOKUP($C19,'NEW CAR'!$DI$2:$DU$250,99,0)</f>
        <v>0</v>
      </c>
      <c r="AB19" s="106">
        <f>+HLOOKUP($C19,'NEW CAR'!$DI$2:$DU$250,100,0)</f>
        <v>24000</v>
      </c>
      <c r="AC19" s="106">
        <f>+HLOOKUP($C19,'NEW CAR'!$DI$2:$DU$250,101,0)</f>
        <v>7200</v>
      </c>
      <c r="AD19" s="106">
        <f>+HLOOKUP($C19,'NEW CAR'!$DI$2:$DU$250,104,0)</f>
        <v>12000</v>
      </c>
      <c r="AE19" s="106">
        <f>+HLOOKUP($C19,'NEW CAR'!$DI$2:$DU$250,105,0)</f>
        <v>99900</v>
      </c>
      <c r="AF19" s="106">
        <f>+HLOOKUP($C19,'NEW CAR'!$DI$2:$DU$250,106,0)</f>
        <v>39960</v>
      </c>
      <c r="AG19" s="106">
        <f>+HLOOKUP($C19,'NEW CAR'!$DI$2:$DU$250,107,0)</f>
        <v>139860</v>
      </c>
      <c r="AH19" s="106">
        <f>+HLOOKUP($C19,'NEW CAR'!$DI$2:$DU$250,108,0)</f>
        <v>0</v>
      </c>
      <c r="AI19" s="106">
        <f>+HLOOKUP($C19,'NEW CAR'!$DI$2:$DU$250,109,0)</f>
        <v>119880</v>
      </c>
      <c r="AJ19" s="106">
        <f>+HLOOKUP($C19,'NEW CAR'!$DI$2:$DU$250,110,0)</f>
        <v>0</v>
      </c>
      <c r="AK19" s="106">
        <f>+HLOOKUP($C19,'NEW CAR'!$DI$2:$DU$250,111,0)</f>
        <v>0</v>
      </c>
      <c r="AL19" s="106">
        <f>+HLOOKUP($C19,'NEW CAR'!$DI$2:$DU$250,112,0)</f>
        <v>0</v>
      </c>
      <c r="AM19" s="106">
        <f>+HLOOKUP($C19,'NEW CAR'!$DI$2:$DU$250,116,0)</f>
        <v>390400</v>
      </c>
      <c r="AN19" s="106">
        <f>+HLOOKUP($C19,'NEW CAR'!$DI$2:$DU$250,117,0)</f>
        <v>59650</v>
      </c>
      <c r="AO19" s="106">
        <f>+HLOOKUP($C19,'NEW CAR'!$DI$2:$DU$250,118,0)</f>
        <v>9000</v>
      </c>
      <c r="AP19" s="106">
        <f>+HLOOKUP($C19,'NEW CAR'!$DI$2:$DU$250,119,0)</f>
        <v>131200</v>
      </c>
      <c r="AQ19" s="106">
        <f>+HLOOKUP($C19,'NEW CAR'!$DI$2:$DU$250,120,0)</f>
        <v>34500</v>
      </c>
      <c r="AR19" s="106">
        <f>+HLOOKUP($C19,'NEW CAR'!$DI$2:$DU$250,121,0)</f>
        <v>10350</v>
      </c>
      <c r="AS19" s="106">
        <f>+HLOOKUP($C19,'NEW CAR'!$DI$2:$DU$250,122,0)</f>
        <v>183900</v>
      </c>
      <c r="AT19" s="106">
        <f>+HLOOKUP($C19,'NEW CAR'!$DI$2:$DU$250,123,0)</f>
        <v>43454.504708333327</v>
      </c>
      <c r="AU19" s="106">
        <f>+HLOOKUP($C19,'NEW CAR'!$DI$2:$DU$250,124,0)</f>
        <v>2066.25</v>
      </c>
      <c r="AV19" s="106">
        <f>+HLOOKUP($C19,'NEW CAR'!$DI$2:$DU$250,125,0)</f>
        <v>39225</v>
      </c>
      <c r="AW19" s="106">
        <f>+HLOOKUP($C19,'NEW CAR'!$DI$2:$DU$250,126,0)</f>
        <v>18769.230769230773</v>
      </c>
      <c r="AX19" s="106">
        <f>+HLOOKUP($C19,'NEW CAR'!$DI$2:$DU$250,127,0)</f>
        <v>24574.999999999996</v>
      </c>
      <c r="AY19" s="106">
        <f>+HLOOKUP($C19,'NEW CAR'!$DI$2:$DU$250,129,0)</f>
        <v>0</v>
      </c>
      <c r="AZ19" s="106">
        <f>+HLOOKUP($C19,'NEW CAR'!$DI$2:$DU$250,130,0)</f>
        <v>0</v>
      </c>
      <c r="BA19" s="106">
        <f>+HLOOKUP($C19,'NEW CAR'!$DI$2:$DU$250,131,0)</f>
        <v>96400</v>
      </c>
      <c r="BB19" s="106">
        <f>+HLOOKUP($C19,'NEW CAR'!$DI$2:$DU$250,133,0)</f>
        <v>0</v>
      </c>
      <c r="BC19" s="106">
        <f>+HLOOKUP($C19,'NEW CAR'!$DI$2:$DU$250,134,0)</f>
        <v>63508.417999999983</v>
      </c>
      <c r="BD19" s="106">
        <f>+HLOOKUP($C19,'NEW CAR'!$DI$2:$DU$250,135,0)</f>
        <v>0</v>
      </c>
      <c r="BE19" s="106">
        <f>+HLOOKUP($C19,'NEW CAR'!$DI$2:$DU$250,136,0)</f>
        <v>0</v>
      </c>
      <c r="BF19" s="106">
        <f>+HLOOKUP($C19,'NEW CAR'!$DI$2:$DU$250,138,0)</f>
        <v>10250</v>
      </c>
      <c r="BG19" s="106">
        <f>+HLOOKUP($C19,'NEW CAR'!$DI$2:$DU$250,139,0)</f>
        <v>14139.976249999998</v>
      </c>
      <c r="BH19" s="106">
        <f>+HLOOKUP($C19,'NEW CAR'!$DI$2:$DU$250,140,0)</f>
        <v>0</v>
      </c>
      <c r="BI19" s="106">
        <f>+HLOOKUP($C19,'NEW CAR'!$DI$2:$DU$250,141,0)</f>
        <v>0</v>
      </c>
      <c r="BJ19" s="106">
        <f>+HLOOKUP($C19,'NEW CAR'!$DI$2:$DU$250,142,0)</f>
        <v>0</v>
      </c>
      <c r="BK19" s="106">
        <f>+HLOOKUP($C19,'NEW CAR'!$DI$2:$DU$250,143,0)</f>
        <v>26971.833333333332</v>
      </c>
      <c r="BL19" s="106">
        <f>+HLOOKUP($C19,'NEW CAR'!$DI$2:$DU$250,144,0)</f>
        <v>2239.5833333333335</v>
      </c>
      <c r="BM19" s="106">
        <f>+HLOOKUP($C19,'NEW CAR'!$DI$2:$DU$250,146,0)</f>
        <v>0</v>
      </c>
      <c r="BN19" s="106">
        <f>+HLOOKUP($C19,'NEW CAR'!$DI$2:$DU$250,147,0)</f>
        <v>35000</v>
      </c>
      <c r="BO19" s="106">
        <f>+HLOOKUP($C19,'NEW CAR'!$DI$2:$DU$250,148,0)</f>
        <v>0</v>
      </c>
      <c r="BP19" s="106">
        <f>+HLOOKUP($C19,'NEW CAR'!$DI$2:$DU$250,150,0)</f>
        <v>32219.599999999999</v>
      </c>
      <c r="BQ19" s="106">
        <f>+HLOOKUP($C19,'NEW CAR'!$DI$2:$DU$250,151,0)</f>
        <v>2480.5</v>
      </c>
      <c r="BR19" s="106">
        <f>+HLOOKUP($C19,'NEW CAR'!$DI$2:$DU$250,152,0)</f>
        <v>16000</v>
      </c>
      <c r="BS19" s="106">
        <f>+HLOOKUP($C19,'NEW CAR'!$DI$2:$DU$250,153,0)</f>
        <v>3000</v>
      </c>
      <c r="BT19" s="106">
        <f>+HLOOKUP($C19,'NEW CAR'!$DI$2:$DU$250,157,0)</f>
        <v>10600</v>
      </c>
      <c r="BU19" s="106">
        <f>+HLOOKUP($C19,'NEW CAR'!$DI$2:$DU$250,158,0)</f>
        <v>2175</v>
      </c>
      <c r="BV19" s="106">
        <f>+HLOOKUP($C19,'NEW CAR'!$DI$2:$DU$250,159,0)</f>
        <v>0</v>
      </c>
      <c r="BW19" s="106">
        <f>+HLOOKUP($C19,'NEW CAR'!$DI$2:$DU$250,160,0)</f>
        <v>11000</v>
      </c>
      <c r="BX19" s="106">
        <f>+HLOOKUP($C19,'NEW CAR'!$DI$2:$DU$250,161,0)</f>
        <v>12212.30128</v>
      </c>
      <c r="BY19" s="106">
        <f>+HLOOKUP($C19,'NEW CAR'!$DI$2:$DU$250,164,0)</f>
        <v>0</v>
      </c>
      <c r="BZ19" s="106">
        <f>+HLOOKUP($C19,'NEW CAR'!$DI$2:$DU$250,165,0)</f>
        <v>0</v>
      </c>
      <c r="CA19" s="106">
        <f>+HLOOKUP($C19,'NEW CAR'!$DI$2:$DU$250,166,0)</f>
        <v>0</v>
      </c>
      <c r="CB19" s="106">
        <f>+HLOOKUP($C19,'NEW CAR'!$DI$2:$DU$250,167,0)</f>
        <v>0</v>
      </c>
      <c r="CC19" s="106">
        <f>+HLOOKUP($C19,'NEW CAR'!$DI$2:$DU$250,168,0)</f>
        <v>0</v>
      </c>
      <c r="CD19" s="106">
        <f>+HLOOKUP($C19,'NEW CAR'!$DI$2:$DU$250,169,0)</f>
        <v>0</v>
      </c>
      <c r="CE19" s="106">
        <f>+HLOOKUP($C19,'NEW CAR'!$DI$2:$DU$250,170,0)</f>
        <v>0</v>
      </c>
      <c r="CF19" s="106">
        <f>+HLOOKUP($C19,'NEW CAR'!$DI$2:$DU$250,172,0)</f>
        <v>18000</v>
      </c>
      <c r="CG19" s="106">
        <f>+HLOOKUP($C19,'NEW CAR'!$DI$2:$DU$250,173,0)</f>
        <v>0</v>
      </c>
      <c r="CH19" s="106">
        <f>+HLOOKUP($C19,'NEW CAR'!$DI$2:$DU$250,174,0)</f>
        <v>0</v>
      </c>
      <c r="CI19" s="106">
        <f>+HLOOKUP($C19,'NEW CAR'!$DI$2:$DU$250,175,0)</f>
        <v>0</v>
      </c>
      <c r="CJ19" s="106">
        <f>+HLOOKUP($C19,'NEW CAR'!$DI$2:$DU$250,176,0)</f>
        <v>5925</v>
      </c>
      <c r="CK19" s="106">
        <f>+HLOOKUP($C19,'NEW CAR'!$DI$2:$DU$250,178,0)</f>
        <v>60000</v>
      </c>
      <c r="CL19" s="106">
        <f>+HLOOKUP($C19,'NEW CAR'!$DI$2:$DU$250,179,0)</f>
        <v>0</v>
      </c>
      <c r="CM19" s="106">
        <f>+HLOOKUP($C19,'NEW CAR'!$DI$2:$DU$250,180,0)</f>
        <v>14700</v>
      </c>
      <c r="CN19" s="106">
        <f>+HLOOKUP($C19,'NEW CAR'!$DI$2:$DU$250,182,0)</f>
        <v>614.25</v>
      </c>
      <c r="CO19" s="106">
        <f>+HLOOKUP($C19,'NEW CAR'!$DI$2:$DU$250,183,0)</f>
        <v>11725.5</v>
      </c>
      <c r="CP19" s="106">
        <f>+HLOOKUP($C19,'NEW CAR'!$DI$2:$DU$250,184,0)</f>
        <v>5400</v>
      </c>
      <c r="CQ19" s="106">
        <f>+HLOOKUP($C19,'NEW CAR'!$DI$2:$DU$250,185,0)</f>
        <v>0</v>
      </c>
      <c r="CR19" s="106">
        <f>+HLOOKUP($C19,'NEW CAR'!$DI$2:$DU$250,187,0)</f>
        <v>3124.7999999999997</v>
      </c>
      <c r="CS19" s="106">
        <f>+HLOOKUP($C19,'NEW CAR'!$DI$2:$DU$250,188,0)</f>
        <v>3975</v>
      </c>
      <c r="CT19" s="106">
        <f>+HLOOKUP($C19,'NEW CAR'!$DI$2:$DU$250,189,0)</f>
        <v>2500.0499999999997</v>
      </c>
      <c r="CU19" s="106">
        <f>+HLOOKUP($C19,'NEW CAR'!$DI$2:$DU$250,190,0)</f>
        <v>2533.35</v>
      </c>
      <c r="CV19" s="106">
        <f>+HLOOKUP($C19,'NEW CAR'!$DI$2:$DU$250,191,0)</f>
        <v>0</v>
      </c>
      <c r="CW19" s="106">
        <f>+HLOOKUP($C19,'NEW CAR'!$DI$2:$DU$250,193,0)</f>
        <v>6177.166666666667</v>
      </c>
      <c r="CX19" s="106">
        <f>+HLOOKUP($C19,'NEW CAR'!$DI$2:$DU$250,194,0)</f>
        <v>591.83333333333337</v>
      </c>
      <c r="CY19" s="106">
        <f>+HLOOKUP($C19,'NEW CAR'!$DI$2:$DU$250,195,0)</f>
        <v>1375.059</v>
      </c>
      <c r="CZ19" s="106">
        <f>+HLOOKUP($C19,'NEW CAR'!$DI$2:$DU$250,196,0)</f>
        <v>0</v>
      </c>
      <c r="DA19" s="106">
        <f>+HLOOKUP($C19,'NEW CAR'!$DI$2:$DU$250,197,0)</f>
        <v>16416</v>
      </c>
      <c r="DB19" s="106">
        <f>+HLOOKUP($C19,'NEW CAR'!$DI$2:$DU$250,198,0)</f>
        <v>5055</v>
      </c>
      <c r="DC19" s="106">
        <f>+HLOOKUP($C19,'NEW CAR'!$DI$2:$DU$250,199,0)</f>
        <v>1080</v>
      </c>
      <c r="DD19" s="106">
        <f>+HLOOKUP($C19,'NEW CAR'!$DI$2:$DU$250,200,0)</f>
        <v>350</v>
      </c>
      <c r="DE19" s="106">
        <f>+HLOOKUP($C19,'NEW CAR'!$DI$2:$DU$250,201,0)</f>
        <v>74.25</v>
      </c>
      <c r="DF19" s="106">
        <f>+HLOOKUP($C19,'NEW CAR'!$DI$2:$DU$250,202,0)</f>
        <v>0</v>
      </c>
      <c r="DG19" s="106">
        <f>+HLOOKUP($C19,'NEW CAR'!$DI$2:$DU$250,203,0)</f>
        <v>0</v>
      </c>
      <c r="DH19" s="106">
        <f>+HLOOKUP($C19,'NEW CAR'!$DI$2:$DU$250,205,0)</f>
        <v>45415.943618181802</v>
      </c>
      <c r="DI19" s="106">
        <f>+HLOOKUP($C19,'NEW CAR'!$DI$2:$DU$250,206,0)</f>
        <v>4687.2888872727272</v>
      </c>
      <c r="DJ19" s="106">
        <f>+HLOOKUP($C19,'NEW CAR'!$DI$2:$DU$250,207,0)</f>
        <v>386.60249999999996</v>
      </c>
      <c r="DK19" s="106">
        <f>+HLOOKUP($C19,'NEW CAR'!$DI$2:$DU$250,209,0)</f>
        <v>0</v>
      </c>
      <c r="DL19" s="106">
        <f>+HLOOKUP($C19,'NEW CAR'!$DI$2:$DU$250,210,0)</f>
        <v>0</v>
      </c>
      <c r="DM19" s="106">
        <f>+HLOOKUP($C19,'NEW CAR'!$DI$2:$DU$250,211,0)</f>
        <v>116992.47656250001</v>
      </c>
      <c r="DN19" s="106">
        <f>+HLOOKUP($C19,'NEW CAR'!$DI$2:$DU$250,212,0)</f>
        <v>0</v>
      </c>
      <c r="DO19" s="106">
        <f>+HLOOKUP($C19,'NEW CAR'!$DI$2:$DU$250,214,0)</f>
        <v>0</v>
      </c>
      <c r="DP19" s="106">
        <f>+HLOOKUP($C19,'NEW CAR'!$DI$2:$DU$250,215,0)</f>
        <v>900</v>
      </c>
      <c r="DQ19" s="106">
        <f>+HLOOKUP($C19,'NEW CAR'!$DI$2:$DU$250,219,0)</f>
        <v>0</v>
      </c>
      <c r="DR19" s="106">
        <f>+HLOOKUP($C19,'NEW CAR'!$DI$2:$DU$250,220,0)</f>
        <v>0</v>
      </c>
      <c r="DS19" s="106">
        <f>+HLOOKUP($C19,'NEW CAR'!$DI$2:$DU$250,221,0)</f>
        <v>184000</v>
      </c>
      <c r="DT19" s="106">
        <f>+HLOOKUP($C19,'NEW CAR'!$DI$2:$DU$250,223,0)</f>
        <v>18750</v>
      </c>
      <c r="DU19" s="106">
        <f>+HLOOKUP($C19,'NEW CAR'!$DI$2:$DU$250,224,0)</f>
        <v>0</v>
      </c>
      <c r="DV19" s="106">
        <f>+HLOOKUP($C19,'NEW CAR'!$DI$2:$DU$250,225,0)</f>
        <v>0</v>
      </c>
      <c r="DW19" s="106">
        <f>+HLOOKUP($C19,'NEW CAR'!$DI$2:$DU$250,227,0)</f>
        <v>0</v>
      </c>
      <c r="DX19" s="106">
        <f>+HLOOKUP($C19,'NEW CAR'!$DI$2:$DU$250,228,0)</f>
        <v>0</v>
      </c>
      <c r="DY19" s="106">
        <f>+HLOOKUP($C19,'NEW CAR'!$DI$2:$DU$250,236,0)</f>
        <v>0</v>
      </c>
      <c r="DZ19" s="106">
        <f>+HLOOKUP($C19,'NEW CAR'!$DI$2:$DU$250,237,0)</f>
        <v>161258.96297225292</v>
      </c>
      <c r="EA19" s="106">
        <f>+HLOOKUP($C19,'NEW CAR'!$DI$2:$DU$250,238,0)</f>
        <v>0</v>
      </c>
      <c r="EB19" s="106">
        <f>+HLOOKUP($C19,'NEW CAR'!$DI$2:$DU$250,240,0)</f>
        <v>433516.25836428563</v>
      </c>
    </row>
    <row r="20" spans="1:132">
      <c r="A20" t="s">
        <v>271</v>
      </c>
      <c r="B20" t="s">
        <v>270</v>
      </c>
      <c r="C20" s="117">
        <v>45809</v>
      </c>
      <c r="D20" s="106">
        <f>+HLOOKUP(C20,'NEW CAR'!$DI$2:$DU$250,6,0)/3.5%</f>
        <v>54482340.944392659</v>
      </c>
      <c r="E20" s="106">
        <f>+HLOOKUP(C20,'NEW CAR'!$DI$2:$DU$250,5,0)+HLOOKUP(C20,'NEW CAR'!$DI$2:$DU$250,26,0)+HLOOKUP(C20,'NEW CAR'!$DI$2:$DU$250,59,0)</f>
        <v>3827085.0085430257</v>
      </c>
      <c r="F20" s="106"/>
      <c r="G20" s="106">
        <f>+HLOOKUP($C20,'NEW CAR'!$DI$2:$DU$250,76,0)</f>
        <v>78000</v>
      </c>
      <c r="H20" s="106">
        <f>+HLOOKUP($C20,'NEW CAR'!$DI$2:$DU$250,77,0)</f>
        <v>312000</v>
      </c>
      <c r="I20" s="106">
        <f>+HLOOKUP($C20,'NEW CAR'!$DI$2:$DU$250,78,0)</f>
        <v>0</v>
      </c>
      <c r="J20" s="106">
        <f>+HLOOKUP($C20,'NEW CAR'!$DI$2:$DU$250,79,0)</f>
        <v>130000</v>
      </c>
      <c r="K20" s="106">
        <f>+HLOOKUP($C20,'NEW CAR'!$DI$2:$DU$250,80,0)</f>
        <v>0</v>
      </c>
      <c r="L20" s="106">
        <f>+HLOOKUP($C20,'NEW CAR'!$DI$2:$DU$250,81,0)</f>
        <v>0</v>
      </c>
      <c r="M20" s="106">
        <f>+HLOOKUP($C20,'NEW CAR'!$DI$2:$DU$250,82,0)</f>
        <v>0</v>
      </c>
      <c r="N20" s="106">
        <f>+HLOOKUP($C20,'NEW CAR'!$DI$2:$DU$250,83,0)</f>
        <v>0</v>
      </c>
      <c r="O20" s="106">
        <f>+HLOOKUP($C20,'NEW CAR'!$DI$2:$DU$250,84,0)</f>
        <v>0</v>
      </c>
      <c r="P20" s="106">
        <f>+HLOOKUP($C20,'NEW CAR'!$DI$2:$DU$250,85,0)</f>
        <v>0</v>
      </c>
      <c r="Q20" s="106">
        <f>+HLOOKUP($C20,'NEW CAR'!$DI$2:$DU$250,87,0)</f>
        <v>455000</v>
      </c>
      <c r="R20" s="106">
        <f>+HLOOKUP($C20,'NEW CAR'!$DI$2:$DU$250,90,0)</f>
        <v>7800</v>
      </c>
      <c r="S20" s="106">
        <f>+HLOOKUP($C20,'NEW CAR'!$DI$2:$DU$250,91,0)</f>
        <v>0</v>
      </c>
      <c r="T20" s="106">
        <f>+HLOOKUP($C20,'NEW CAR'!$DI$2:$DU$250,92,0)</f>
        <v>195000</v>
      </c>
      <c r="U20" s="106">
        <f>+HLOOKUP($C20,'NEW CAR'!$DI$2:$DU$250,93,0)</f>
        <v>6500</v>
      </c>
      <c r="V20" s="106">
        <f>+HLOOKUP($C20,'NEW CAR'!$DI$2:$DU$250,94,0)</f>
        <v>0</v>
      </c>
      <c r="W20" s="106">
        <f>+HLOOKUP($C20,'NEW CAR'!$DI$2:$DU$250,95,0)</f>
        <v>20000</v>
      </c>
      <c r="X20" s="106">
        <f>+HLOOKUP($C20,'NEW CAR'!$DI$2:$DU$250,96,0)</f>
        <v>30000</v>
      </c>
      <c r="Y20" s="106">
        <f>+HLOOKUP($C20,'NEW CAR'!$DI$2:$DU$250,97,0)</f>
        <v>65000</v>
      </c>
      <c r="Z20" s="106">
        <f>+HLOOKUP($C20,'NEW CAR'!$DI$2:$DU$250,98,0)</f>
        <v>0</v>
      </c>
      <c r="AA20" s="106">
        <f>+HLOOKUP($C20,'NEW CAR'!$DI$2:$DU$250,99,0)</f>
        <v>0</v>
      </c>
      <c r="AB20" s="106">
        <f>+HLOOKUP($C20,'NEW CAR'!$DI$2:$DU$250,100,0)</f>
        <v>26000</v>
      </c>
      <c r="AC20" s="106">
        <f>+HLOOKUP($C20,'NEW CAR'!$DI$2:$DU$250,101,0)</f>
        <v>7800</v>
      </c>
      <c r="AD20" s="106">
        <f>+HLOOKUP($C20,'NEW CAR'!$DI$2:$DU$250,104,0)</f>
        <v>13000</v>
      </c>
      <c r="AE20" s="106">
        <f>+HLOOKUP($C20,'NEW CAR'!$DI$2:$DU$250,105,0)</f>
        <v>108225</v>
      </c>
      <c r="AF20" s="106">
        <f>+HLOOKUP($C20,'NEW CAR'!$DI$2:$DU$250,106,0)</f>
        <v>43290</v>
      </c>
      <c r="AG20" s="106">
        <f>+HLOOKUP($C20,'NEW CAR'!$DI$2:$DU$250,107,0)</f>
        <v>151515</v>
      </c>
      <c r="AH20" s="106">
        <f>+HLOOKUP($C20,'NEW CAR'!$DI$2:$DU$250,108,0)</f>
        <v>0</v>
      </c>
      <c r="AI20" s="106">
        <f>+HLOOKUP($C20,'NEW CAR'!$DI$2:$DU$250,109,0)</f>
        <v>129870</v>
      </c>
      <c r="AJ20" s="106">
        <f>+HLOOKUP($C20,'NEW CAR'!$DI$2:$DU$250,110,0)</f>
        <v>0</v>
      </c>
      <c r="AK20" s="106">
        <f>+HLOOKUP($C20,'NEW CAR'!$DI$2:$DU$250,111,0)</f>
        <v>0</v>
      </c>
      <c r="AL20" s="106">
        <f>+HLOOKUP($C20,'NEW CAR'!$DI$2:$DU$250,112,0)</f>
        <v>0</v>
      </c>
      <c r="AM20" s="106">
        <f>+HLOOKUP($C20,'NEW CAR'!$DI$2:$DU$250,116,0)</f>
        <v>390400</v>
      </c>
      <c r="AN20" s="106">
        <f>+HLOOKUP($C20,'NEW CAR'!$DI$2:$DU$250,117,0)</f>
        <v>59650</v>
      </c>
      <c r="AO20" s="106">
        <f>+HLOOKUP($C20,'NEW CAR'!$DI$2:$DU$250,118,0)</f>
        <v>9000</v>
      </c>
      <c r="AP20" s="106">
        <f>+HLOOKUP($C20,'NEW CAR'!$DI$2:$DU$250,119,0)</f>
        <v>131200</v>
      </c>
      <c r="AQ20" s="106">
        <f>+HLOOKUP($C20,'NEW CAR'!$DI$2:$DU$250,120,0)</f>
        <v>34500</v>
      </c>
      <c r="AR20" s="106">
        <f>+HLOOKUP($C20,'NEW CAR'!$DI$2:$DU$250,121,0)</f>
        <v>10350</v>
      </c>
      <c r="AS20" s="106">
        <f>+HLOOKUP($C20,'NEW CAR'!$DI$2:$DU$250,122,0)</f>
        <v>183900</v>
      </c>
      <c r="AT20" s="106">
        <f>+HLOOKUP($C20,'NEW CAR'!$DI$2:$DU$250,123,0)</f>
        <v>43454.504708333327</v>
      </c>
      <c r="AU20" s="106">
        <f>+HLOOKUP($C20,'NEW CAR'!$DI$2:$DU$250,124,0)</f>
        <v>2066.25</v>
      </c>
      <c r="AV20" s="106">
        <f>+HLOOKUP($C20,'NEW CAR'!$DI$2:$DU$250,125,0)</f>
        <v>39225</v>
      </c>
      <c r="AW20" s="106">
        <f>+HLOOKUP($C20,'NEW CAR'!$DI$2:$DU$250,126,0)</f>
        <v>18769.230769230773</v>
      </c>
      <c r="AX20" s="106">
        <f>+HLOOKUP($C20,'NEW CAR'!$DI$2:$DU$250,127,0)</f>
        <v>24574.999999999996</v>
      </c>
      <c r="AY20" s="106">
        <f>+HLOOKUP($C20,'NEW CAR'!$DI$2:$DU$250,129,0)</f>
        <v>0</v>
      </c>
      <c r="AZ20" s="106">
        <f>+HLOOKUP($C20,'NEW CAR'!$DI$2:$DU$250,130,0)</f>
        <v>0</v>
      </c>
      <c r="BA20" s="106">
        <f>+HLOOKUP($C20,'NEW CAR'!$DI$2:$DU$250,131,0)</f>
        <v>96400</v>
      </c>
      <c r="BB20" s="106">
        <f>+HLOOKUP($C20,'NEW CAR'!$DI$2:$DU$250,133,0)</f>
        <v>0</v>
      </c>
      <c r="BC20" s="106">
        <f>+HLOOKUP($C20,'NEW CAR'!$DI$2:$DU$250,134,0)</f>
        <v>63508.417999999983</v>
      </c>
      <c r="BD20" s="106">
        <f>+HLOOKUP($C20,'NEW CAR'!$DI$2:$DU$250,135,0)</f>
        <v>0</v>
      </c>
      <c r="BE20" s="106">
        <f>+HLOOKUP($C20,'NEW CAR'!$DI$2:$DU$250,136,0)</f>
        <v>0</v>
      </c>
      <c r="BF20" s="106">
        <f>+HLOOKUP($C20,'NEW CAR'!$DI$2:$DU$250,138,0)</f>
        <v>10250</v>
      </c>
      <c r="BG20" s="106">
        <f>+HLOOKUP($C20,'NEW CAR'!$DI$2:$DU$250,139,0)</f>
        <v>14139.976249999998</v>
      </c>
      <c r="BH20" s="106">
        <f>+HLOOKUP($C20,'NEW CAR'!$DI$2:$DU$250,140,0)</f>
        <v>0</v>
      </c>
      <c r="BI20" s="106">
        <f>+HLOOKUP($C20,'NEW CAR'!$DI$2:$DU$250,141,0)</f>
        <v>0</v>
      </c>
      <c r="BJ20" s="106">
        <f>+HLOOKUP($C20,'NEW CAR'!$DI$2:$DU$250,142,0)</f>
        <v>0</v>
      </c>
      <c r="BK20" s="106">
        <f>+HLOOKUP($C20,'NEW CAR'!$DI$2:$DU$250,143,0)</f>
        <v>26971.833333333332</v>
      </c>
      <c r="BL20" s="106">
        <f>+HLOOKUP($C20,'NEW CAR'!$DI$2:$DU$250,144,0)</f>
        <v>3364.5833333333335</v>
      </c>
      <c r="BM20" s="106">
        <f>+HLOOKUP($C20,'NEW CAR'!$DI$2:$DU$250,146,0)</f>
        <v>0</v>
      </c>
      <c r="BN20" s="106">
        <f>+HLOOKUP($C20,'NEW CAR'!$DI$2:$DU$250,147,0)</f>
        <v>35000</v>
      </c>
      <c r="BO20" s="106">
        <f>+HLOOKUP($C20,'NEW CAR'!$DI$2:$DU$250,148,0)</f>
        <v>0</v>
      </c>
      <c r="BP20" s="106">
        <f>+HLOOKUP($C20,'NEW CAR'!$DI$2:$DU$250,150,0)</f>
        <v>32219.599999999999</v>
      </c>
      <c r="BQ20" s="106">
        <f>+HLOOKUP($C20,'NEW CAR'!$DI$2:$DU$250,151,0)</f>
        <v>2480.5</v>
      </c>
      <c r="BR20" s="106">
        <f>+HLOOKUP($C20,'NEW CAR'!$DI$2:$DU$250,152,0)</f>
        <v>16000</v>
      </c>
      <c r="BS20" s="106">
        <f>+HLOOKUP($C20,'NEW CAR'!$DI$2:$DU$250,153,0)</f>
        <v>3000</v>
      </c>
      <c r="BT20" s="106">
        <f>+HLOOKUP($C20,'NEW CAR'!$DI$2:$DU$250,157,0)</f>
        <v>10600</v>
      </c>
      <c r="BU20" s="106">
        <f>+HLOOKUP($C20,'NEW CAR'!$DI$2:$DU$250,158,0)</f>
        <v>2175</v>
      </c>
      <c r="BV20" s="106">
        <f>+HLOOKUP($C20,'NEW CAR'!$DI$2:$DU$250,159,0)</f>
        <v>0</v>
      </c>
      <c r="BW20" s="106">
        <f>+HLOOKUP($C20,'NEW CAR'!$DI$2:$DU$250,160,0)</f>
        <v>11000</v>
      </c>
      <c r="BX20" s="106">
        <f>+HLOOKUP($C20,'NEW CAR'!$DI$2:$DU$250,161,0)</f>
        <v>12212.30128</v>
      </c>
      <c r="BY20" s="106">
        <f>+HLOOKUP($C20,'NEW CAR'!$DI$2:$DU$250,164,0)</f>
        <v>0</v>
      </c>
      <c r="BZ20" s="106">
        <f>+HLOOKUP($C20,'NEW CAR'!$DI$2:$DU$250,165,0)</f>
        <v>0</v>
      </c>
      <c r="CA20" s="106">
        <f>+HLOOKUP($C20,'NEW CAR'!$DI$2:$DU$250,166,0)</f>
        <v>0</v>
      </c>
      <c r="CB20" s="106">
        <f>+HLOOKUP($C20,'NEW CAR'!$DI$2:$DU$250,167,0)</f>
        <v>0</v>
      </c>
      <c r="CC20" s="106">
        <f>+HLOOKUP($C20,'NEW CAR'!$DI$2:$DU$250,168,0)</f>
        <v>0</v>
      </c>
      <c r="CD20" s="106">
        <f>+HLOOKUP($C20,'NEW CAR'!$DI$2:$DU$250,169,0)</f>
        <v>0</v>
      </c>
      <c r="CE20" s="106">
        <f>+HLOOKUP($C20,'NEW CAR'!$DI$2:$DU$250,170,0)</f>
        <v>0</v>
      </c>
      <c r="CF20" s="106">
        <f>+HLOOKUP($C20,'NEW CAR'!$DI$2:$DU$250,172,0)</f>
        <v>18000</v>
      </c>
      <c r="CG20" s="106">
        <f>+HLOOKUP($C20,'NEW CAR'!$DI$2:$DU$250,173,0)</f>
        <v>0</v>
      </c>
      <c r="CH20" s="106">
        <f>+HLOOKUP($C20,'NEW CAR'!$DI$2:$DU$250,174,0)</f>
        <v>0</v>
      </c>
      <c r="CI20" s="106">
        <f>+HLOOKUP($C20,'NEW CAR'!$DI$2:$DU$250,175,0)</f>
        <v>0</v>
      </c>
      <c r="CJ20" s="106">
        <f>+HLOOKUP($C20,'NEW CAR'!$DI$2:$DU$250,176,0)</f>
        <v>5925</v>
      </c>
      <c r="CK20" s="106">
        <f>+HLOOKUP($C20,'NEW CAR'!$DI$2:$DU$250,178,0)</f>
        <v>60000</v>
      </c>
      <c r="CL20" s="106">
        <f>+HLOOKUP($C20,'NEW CAR'!$DI$2:$DU$250,179,0)</f>
        <v>0</v>
      </c>
      <c r="CM20" s="106">
        <f>+HLOOKUP($C20,'NEW CAR'!$DI$2:$DU$250,180,0)</f>
        <v>14700</v>
      </c>
      <c r="CN20" s="106">
        <f>+HLOOKUP($C20,'NEW CAR'!$DI$2:$DU$250,182,0)</f>
        <v>614.25</v>
      </c>
      <c r="CO20" s="106">
        <f>+HLOOKUP($C20,'NEW CAR'!$DI$2:$DU$250,183,0)</f>
        <v>11725.5</v>
      </c>
      <c r="CP20" s="106">
        <f>+HLOOKUP($C20,'NEW CAR'!$DI$2:$DU$250,184,0)</f>
        <v>5400</v>
      </c>
      <c r="CQ20" s="106">
        <f>+HLOOKUP($C20,'NEW CAR'!$DI$2:$DU$250,185,0)</f>
        <v>0</v>
      </c>
      <c r="CR20" s="106">
        <f>+HLOOKUP($C20,'NEW CAR'!$DI$2:$DU$250,187,0)</f>
        <v>3124.7999999999997</v>
      </c>
      <c r="CS20" s="106">
        <f>+HLOOKUP($C20,'NEW CAR'!$DI$2:$DU$250,188,0)</f>
        <v>3975</v>
      </c>
      <c r="CT20" s="106">
        <f>+HLOOKUP($C20,'NEW CAR'!$DI$2:$DU$250,189,0)</f>
        <v>2500.0499999999997</v>
      </c>
      <c r="CU20" s="106">
        <f>+HLOOKUP($C20,'NEW CAR'!$DI$2:$DU$250,190,0)</f>
        <v>2533.35</v>
      </c>
      <c r="CV20" s="106">
        <f>+HLOOKUP($C20,'NEW CAR'!$DI$2:$DU$250,191,0)</f>
        <v>0</v>
      </c>
      <c r="CW20" s="106">
        <f>+HLOOKUP($C20,'NEW CAR'!$DI$2:$DU$250,193,0)</f>
        <v>6177.166666666667</v>
      </c>
      <c r="CX20" s="106">
        <f>+HLOOKUP($C20,'NEW CAR'!$DI$2:$DU$250,194,0)</f>
        <v>591.83333333333337</v>
      </c>
      <c r="CY20" s="106">
        <f>+HLOOKUP($C20,'NEW CAR'!$DI$2:$DU$250,195,0)</f>
        <v>1375.059</v>
      </c>
      <c r="CZ20" s="106">
        <f>+HLOOKUP($C20,'NEW CAR'!$DI$2:$DU$250,196,0)</f>
        <v>0</v>
      </c>
      <c r="DA20" s="106">
        <f>+HLOOKUP($C20,'NEW CAR'!$DI$2:$DU$250,197,0)</f>
        <v>16416</v>
      </c>
      <c r="DB20" s="106">
        <f>+HLOOKUP($C20,'NEW CAR'!$DI$2:$DU$250,198,0)</f>
        <v>5055</v>
      </c>
      <c r="DC20" s="106">
        <f>+HLOOKUP($C20,'NEW CAR'!$DI$2:$DU$250,199,0)</f>
        <v>1080</v>
      </c>
      <c r="DD20" s="106">
        <f>+HLOOKUP($C20,'NEW CAR'!$DI$2:$DU$250,200,0)</f>
        <v>350</v>
      </c>
      <c r="DE20" s="106">
        <f>+HLOOKUP($C20,'NEW CAR'!$DI$2:$DU$250,201,0)</f>
        <v>74.25</v>
      </c>
      <c r="DF20" s="106">
        <f>+HLOOKUP($C20,'NEW CAR'!$DI$2:$DU$250,202,0)</f>
        <v>0</v>
      </c>
      <c r="DG20" s="106">
        <f>+HLOOKUP($C20,'NEW CAR'!$DI$2:$DU$250,203,0)</f>
        <v>0</v>
      </c>
      <c r="DH20" s="106">
        <f>+HLOOKUP($C20,'NEW CAR'!$DI$2:$DU$250,205,0)</f>
        <v>45415.943618181802</v>
      </c>
      <c r="DI20" s="106">
        <f>+HLOOKUP($C20,'NEW CAR'!$DI$2:$DU$250,206,0)</f>
        <v>4687.2888872727272</v>
      </c>
      <c r="DJ20" s="106">
        <f>+HLOOKUP($C20,'NEW CAR'!$DI$2:$DU$250,207,0)</f>
        <v>386.60249999999996</v>
      </c>
      <c r="DK20" s="106">
        <f>+HLOOKUP($C20,'NEW CAR'!$DI$2:$DU$250,209,0)</f>
        <v>0</v>
      </c>
      <c r="DL20" s="106">
        <f>+HLOOKUP($C20,'NEW CAR'!$DI$2:$DU$250,210,0)</f>
        <v>0</v>
      </c>
      <c r="DM20" s="106">
        <f>+HLOOKUP($C20,'NEW CAR'!$DI$2:$DU$250,211,0)</f>
        <v>116992.47656250001</v>
      </c>
      <c r="DN20" s="106">
        <f>+HLOOKUP($C20,'NEW CAR'!$DI$2:$DU$250,212,0)</f>
        <v>0</v>
      </c>
      <c r="DO20" s="106">
        <f>+HLOOKUP($C20,'NEW CAR'!$DI$2:$DU$250,214,0)</f>
        <v>0</v>
      </c>
      <c r="DP20" s="106">
        <f>+HLOOKUP($C20,'NEW CAR'!$DI$2:$DU$250,215,0)</f>
        <v>900</v>
      </c>
      <c r="DQ20" s="106">
        <f>+HLOOKUP($C20,'NEW CAR'!$DI$2:$DU$250,219,0)</f>
        <v>0</v>
      </c>
      <c r="DR20" s="106">
        <f>+HLOOKUP($C20,'NEW CAR'!$DI$2:$DU$250,220,0)</f>
        <v>0</v>
      </c>
      <c r="DS20" s="106">
        <f>+HLOOKUP($C20,'NEW CAR'!$DI$2:$DU$250,221,0)</f>
        <v>184000</v>
      </c>
      <c r="DT20" s="106">
        <f>+HLOOKUP($C20,'NEW CAR'!$DI$2:$DU$250,223,0)</f>
        <v>18750</v>
      </c>
      <c r="DU20" s="106">
        <f>+HLOOKUP($C20,'NEW CAR'!$DI$2:$DU$250,224,0)</f>
        <v>0</v>
      </c>
      <c r="DV20" s="106">
        <f>+HLOOKUP($C20,'NEW CAR'!$DI$2:$DU$250,225,0)</f>
        <v>0</v>
      </c>
      <c r="DW20" s="106">
        <f>+HLOOKUP($C20,'NEW CAR'!$DI$2:$DU$250,227,0)</f>
        <v>0</v>
      </c>
      <c r="DX20" s="106">
        <f>+HLOOKUP($C20,'NEW CAR'!$DI$2:$DU$250,228,0)</f>
        <v>0</v>
      </c>
      <c r="DY20" s="106">
        <f>+HLOOKUP($C20,'NEW CAR'!$DI$2:$DU$250,236,0)</f>
        <v>0</v>
      </c>
      <c r="DZ20" s="106">
        <f>+HLOOKUP($C20,'NEW CAR'!$DI$2:$DU$250,237,0)</f>
        <v>158137.82170372552</v>
      </c>
      <c r="EA20" s="106">
        <f>+HLOOKUP($C20,'NEW CAR'!$DI$2:$DU$250,238,0)</f>
        <v>0</v>
      </c>
      <c r="EB20" s="106">
        <f>+HLOOKUP($C20,'NEW CAR'!$DI$2:$DU$250,240,0)</f>
        <v>433516.25836428563</v>
      </c>
    </row>
    <row r="21" spans="1:132">
      <c r="A21" t="s">
        <v>271</v>
      </c>
      <c r="B21" t="s">
        <v>270</v>
      </c>
      <c r="C21" s="117">
        <v>45778</v>
      </c>
      <c r="D21" s="106">
        <f>+HLOOKUP(C21,'NEW CAR'!$DI$2:$DU$250,6,0)/3.5%</f>
        <v>77418076.576576561</v>
      </c>
      <c r="E21" s="106">
        <f>+HLOOKUP(C21,'NEW CAR'!$DI$2:$DU$250,5,0)+HLOOKUP(C21,'NEW CAR'!$DI$2:$DU$250,26,0)+HLOOKUP(C21,'NEW CAR'!$DI$2:$DU$250,59,0)</f>
        <v>4197533.130630631</v>
      </c>
      <c r="F21" s="106"/>
      <c r="G21" s="106">
        <f>+HLOOKUP($C21,'NEW CAR'!$DI$2:$DU$250,76,0)</f>
        <v>84000</v>
      </c>
      <c r="H21" s="106">
        <f>+HLOOKUP($C21,'NEW CAR'!$DI$2:$DU$250,77,0)</f>
        <v>336000</v>
      </c>
      <c r="I21" s="106">
        <f>+HLOOKUP($C21,'NEW CAR'!$DI$2:$DU$250,78,0)</f>
        <v>0</v>
      </c>
      <c r="J21" s="106">
        <f>+HLOOKUP($C21,'NEW CAR'!$DI$2:$DU$250,79,0)</f>
        <v>140000</v>
      </c>
      <c r="K21" s="106">
        <f>+HLOOKUP($C21,'NEW CAR'!$DI$2:$DU$250,80,0)</f>
        <v>0</v>
      </c>
      <c r="L21" s="106">
        <f>+HLOOKUP($C21,'NEW CAR'!$DI$2:$DU$250,81,0)</f>
        <v>0</v>
      </c>
      <c r="M21" s="106">
        <f>+HLOOKUP($C21,'NEW CAR'!$DI$2:$DU$250,82,0)</f>
        <v>0</v>
      </c>
      <c r="N21" s="106">
        <f>+HLOOKUP($C21,'NEW CAR'!$DI$2:$DU$250,83,0)</f>
        <v>0</v>
      </c>
      <c r="O21" s="106">
        <f>+HLOOKUP($C21,'NEW CAR'!$DI$2:$DU$250,84,0)</f>
        <v>0</v>
      </c>
      <c r="P21" s="106">
        <f>+HLOOKUP($C21,'NEW CAR'!$DI$2:$DU$250,85,0)</f>
        <v>0</v>
      </c>
      <c r="Q21" s="106">
        <f>+HLOOKUP($C21,'NEW CAR'!$DI$2:$DU$250,87,0)</f>
        <v>490000</v>
      </c>
      <c r="R21" s="106">
        <f>+HLOOKUP($C21,'NEW CAR'!$DI$2:$DU$250,90,0)</f>
        <v>8400</v>
      </c>
      <c r="S21" s="106">
        <f>+HLOOKUP($C21,'NEW CAR'!$DI$2:$DU$250,91,0)</f>
        <v>0</v>
      </c>
      <c r="T21" s="106">
        <f>+HLOOKUP($C21,'NEW CAR'!$DI$2:$DU$250,92,0)</f>
        <v>210000</v>
      </c>
      <c r="U21" s="106">
        <f>+HLOOKUP($C21,'NEW CAR'!$DI$2:$DU$250,93,0)</f>
        <v>7000</v>
      </c>
      <c r="V21" s="106">
        <f>+HLOOKUP($C21,'NEW CAR'!$DI$2:$DU$250,94,0)</f>
        <v>0</v>
      </c>
      <c r="W21" s="106">
        <f>+HLOOKUP($C21,'NEW CAR'!$DI$2:$DU$250,95,0)</f>
        <v>20000</v>
      </c>
      <c r="X21" s="106">
        <f>+HLOOKUP($C21,'NEW CAR'!$DI$2:$DU$250,96,0)</f>
        <v>30000</v>
      </c>
      <c r="Y21" s="106">
        <f>+HLOOKUP($C21,'NEW CAR'!$DI$2:$DU$250,97,0)</f>
        <v>70000</v>
      </c>
      <c r="Z21" s="106">
        <f>+HLOOKUP($C21,'NEW CAR'!$DI$2:$DU$250,98,0)</f>
        <v>0</v>
      </c>
      <c r="AA21" s="106">
        <f>+HLOOKUP($C21,'NEW CAR'!$DI$2:$DU$250,99,0)</f>
        <v>0</v>
      </c>
      <c r="AB21" s="106">
        <f>+HLOOKUP($C21,'NEW CAR'!$DI$2:$DU$250,100,0)</f>
        <v>28000</v>
      </c>
      <c r="AC21" s="106">
        <f>+HLOOKUP($C21,'NEW CAR'!$DI$2:$DU$250,101,0)</f>
        <v>8400</v>
      </c>
      <c r="AD21" s="106">
        <f>+HLOOKUP($C21,'NEW CAR'!$DI$2:$DU$250,104,0)</f>
        <v>14000</v>
      </c>
      <c r="AE21" s="106">
        <f>+HLOOKUP($C21,'NEW CAR'!$DI$2:$DU$250,105,0)</f>
        <v>116550</v>
      </c>
      <c r="AF21" s="106">
        <f>+HLOOKUP($C21,'NEW CAR'!$DI$2:$DU$250,106,0)</f>
        <v>46620</v>
      </c>
      <c r="AG21" s="106">
        <f>+HLOOKUP($C21,'NEW CAR'!$DI$2:$DU$250,107,0)</f>
        <v>163170</v>
      </c>
      <c r="AH21" s="106">
        <f>+HLOOKUP($C21,'NEW CAR'!$DI$2:$DU$250,108,0)</f>
        <v>0</v>
      </c>
      <c r="AI21" s="106">
        <f>+HLOOKUP($C21,'NEW CAR'!$DI$2:$DU$250,109,0)</f>
        <v>139860</v>
      </c>
      <c r="AJ21" s="106">
        <f>+HLOOKUP($C21,'NEW CAR'!$DI$2:$DU$250,110,0)</f>
        <v>0</v>
      </c>
      <c r="AK21" s="106">
        <f>+HLOOKUP($C21,'NEW CAR'!$DI$2:$DU$250,111,0)</f>
        <v>0</v>
      </c>
      <c r="AL21" s="106">
        <f>+HLOOKUP($C21,'NEW CAR'!$DI$2:$DU$250,112,0)</f>
        <v>0</v>
      </c>
      <c r="AM21" s="106">
        <f>+HLOOKUP($C21,'NEW CAR'!$DI$2:$DU$250,116,0)</f>
        <v>390400</v>
      </c>
      <c r="AN21" s="106">
        <f>+HLOOKUP($C21,'NEW CAR'!$DI$2:$DU$250,117,0)</f>
        <v>59650</v>
      </c>
      <c r="AO21" s="106">
        <f>+HLOOKUP($C21,'NEW CAR'!$DI$2:$DU$250,118,0)</f>
        <v>9000</v>
      </c>
      <c r="AP21" s="106">
        <f>+HLOOKUP($C21,'NEW CAR'!$DI$2:$DU$250,119,0)</f>
        <v>131200</v>
      </c>
      <c r="AQ21" s="106">
        <f>+HLOOKUP($C21,'NEW CAR'!$DI$2:$DU$250,120,0)</f>
        <v>34500</v>
      </c>
      <c r="AR21" s="106">
        <f>+HLOOKUP($C21,'NEW CAR'!$DI$2:$DU$250,121,0)</f>
        <v>10350</v>
      </c>
      <c r="AS21" s="106">
        <f>+HLOOKUP($C21,'NEW CAR'!$DI$2:$DU$250,122,0)</f>
        <v>183900</v>
      </c>
      <c r="AT21" s="106">
        <f>+HLOOKUP($C21,'NEW CAR'!$DI$2:$DU$250,123,0)</f>
        <v>43454.504708333327</v>
      </c>
      <c r="AU21" s="106">
        <f>+HLOOKUP($C21,'NEW CAR'!$DI$2:$DU$250,124,0)</f>
        <v>2066.25</v>
      </c>
      <c r="AV21" s="106">
        <f>+HLOOKUP($C21,'NEW CAR'!$DI$2:$DU$250,125,0)</f>
        <v>39225</v>
      </c>
      <c r="AW21" s="106">
        <f>+HLOOKUP($C21,'NEW CAR'!$DI$2:$DU$250,126,0)</f>
        <v>18769.230769230773</v>
      </c>
      <c r="AX21" s="106">
        <f>+HLOOKUP($C21,'NEW CAR'!$DI$2:$DU$250,127,0)</f>
        <v>24574.999999999996</v>
      </c>
      <c r="AY21" s="106">
        <f>+HLOOKUP($C21,'NEW CAR'!$DI$2:$DU$250,129,0)</f>
        <v>0</v>
      </c>
      <c r="AZ21" s="106">
        <f>+HLOOKUP($C21,'NEW CAR'!$DI$2:$DU$250,130,0)</f>
        <v>0</v>
      </c>
      <c r="BA21" s="106">
        <f>+HLOOKUP($C21,'NEW CAR'!$DI$2:$DU$250,131,0)</f>
        <v>96400</v>
      </c>
      <c r="BB21" s="106">
        <f>+HLOOKUP($C21,'NEW CAR'!$DI$2:$DU$250,133,0)</f>
        <v>0</v>
      </c>
      <c r="BC21" s="106">
        <f>+HLOOKUP($C21,'NEW CAR'!$DI$2:$DU$250,134,0)</f>
        <v>63508.417999999983</v>
      </c>
      <c r="BD21" s="106">
        <f>+HLOOKUP($C21,'NEW CAR'!$DI$2:$DU$250,135,0)</f>
        <v>0</v>
      </c>
      <c r="BE21" s="106">
        <f>+HLOOKUP($C21,'NEW CAR'!$DI$2:$DU$250,136,0)</f>
        <v>0</v>
      </c>
      <c r="BF21" s="106">
        <f>+HLOOKUP($C21,'NEW CAR'!$DI$2:$DU$250,138,0)</f>
        <v>10250</v>
      </c>
      <c r="BG21" s="106">
        <f>+HLOOKUP($C21,'NEW CAR'!$DI$2:$DU$250,139,0)</f>
        <v>14139.976249999998</v>
      </c>
      <c r="BH21" s="106">
        <f>+HLOOKUP($C21,'NEW CAR'!$DI$2:$DU$250,140,0)</f>
        <v>0</v>
      </c>
      <c r="BI21" s="106">
        <f>+HLOOKUP($C21,'NEW CAR'!$DI$2:$DU$250,141,0)</f>
        <v>0</v>
      </c>
      <c r="BJ21" s="106">
        <f>+HLOOKUP($C21,'NEW CAR'!$DI$2:$DU$250,142,0)</f>
        <v>0</v>
      </c>
      <c r="BK21" s="106">
        <f>+HLOOKUP($C21,'NEW CAR'!$DI$2:$DU$250,143,0)</f>
        <v>26971.833333333332</v>
      </c>
      <c r="BL21" s="106">
        <f>+HLOOKUP($C21,'NEW CAR'!$DI$2:$DU$250,144,0)</f>
        <v>2239.5833333333335</v>
      </c>
      <c r="BM21" s="106">
        <f>+HLOOKUP($C21,'NEW CAR'!$DI$2:$DU$250,146,0)</f>
        <v>0</v>
      </c>
      <c r="BN21" s="106">
        <f>+HLOOKUP($C21,'NEW CAR'!$DI$2:$DU$250,147,0)</f>
        <v>35000</v>
      </c>
      <c r="BO21" s="106">
        <f>+HLOOKUP($C21,'NEW CAR'!$DI$2:$DU$250,148,0)</f>
        <v>0</v>
      </c>
      <c r="BP21" s="106">
        <f>+HLOOKUP($C21,'NEW CAR'!$DI$2:$DU$250,150,0)</f>
        <v>32219.599999999999</v>
      </c>
      <c r="BQ21" s="106">
        <f>+HLOOKUP($C21,'NEW CAR'!$DI$2:$DU$250,151,0)</f>
        <v>2480.5</v>
      </c>
      <c r="BR21" s="106">
        <f>+HLOOKUP($C21,'NEW CAR'!$DI$2:$DU$250,152,0)</f>
        <v>16000</v>
      </c>
      <c r="BS21" s="106">
        <f>+HLOOKUP($C21,'NEW CAR'!$DI$2:$DU$250,153,0)</f>
        <v>3000</v>
      </c>
      <c r="BT21" s="106">
        <f>+HLOOKUP($C21,'NEW CAR'!$DI$2:$DU$250,157,0)</f>
        <v>10600</v>
      </c>
      <c r="BU21" s="106">
        <f>+HLOOKUP($C21,'NEW CAR'!$DI$2:$DU$250,158,0)</f>
        <v>2175</v>
      </c>
      <c r="BV21" s="106">
        <f>+HLOOKUP($C21,'NEW CAR'!$DI$2:$DU$250,159,0)</f>
        <v>0</v>
      </c>
      <c r="BW21" s="106">
        <f>+HLOOKUP($C21,'NEW CAR'!$DI$2:$DU$250,160,0)</f>
        <v>11000</v>
      </c>
      <c r="BX21" s="106">
        <f>+HLOOKUP($C21,'NEW CAR'!$DI$2:$DU$250,161,0)</f>
        <v>12212.30128</v>
      </c>
      <c r="BY21" s="106">
        <f>+HLOOKUP($C21,'NEW CAR'!$DI$2:$DU$250,164,0)</f>
        <v>0</v>
      </c>
      <c r="BZ21" s="106">
        <f>+HLOOKUP($C21,'NEW CAR'!$DI$2:$DU$250,165,0)</f>
        <v>0</v>
      </c>
      <c r="CA21" s="106">
        <f>+HLOOKUP($C21,'NEW CAR'!$DI$2:$DU$250,166,0)</f>
        <v>0</v>
      </c>
      <c r="CB21" s="106">
        <f>+HLOOKUP($C21,'NEW CAR'!$DI$2:$DU$250,167,0)</f>
        <v>0</v>
      </c>
      <c r="CC21" s="106">
        <f>+HLOOKUP($C21,'NEW CAR'!$DI$2:$DU$250,168,0)</f>
        <v>0</v>
      </c>
      <c r="CD21" s="106">
        <f>+HLOOKUP($C21,'NEW CAR'!$DI$2:$DU$250,169,0)</f>
        <v>0</v>
      </c>
      <c r="CE21" s="106">
        <f>+HLOOKUP($C21,'NEW CAR'!$DI$2:$DU$250,170,0)</f>
        <v>0</v>
      </c>
      <c r="CF21" s="106">
        <f>+HLOOKUP($C21,'NEW CAR'!$DI$2:$DU$250,172,0)</f>
        <v>18000</v>
      </c>
      <c r="CG21" s="106">
        <f>+HLOOKUP($C21,'NEW CAR'!$DI$2:$DU$250,173,0)</f>
        <v>0</v>
      </c>
      <c r="CH21" s="106">
        <f>+HLOOKUP($C21,'NEW CAR'!$DI$2:$DU$250,174,0)</f>
        <v>0</v>
      </c>
      <c r="CI21" s="106">
        <f>+HLOOKUP($C21,'NEW CAR'!$DI$2:$DU$250,175,0)</f>
        <v>0</v>
      </c>
      <c r="CJ21" s="106">
        <f>+HLOOKUP($C21,'NEW CAR'!$DI$2:$DU$250,176,0)</f>
        <v>5925</v>
      </c>
      <c r="CK21" s="106">
        <f>+HLOOKUP($C21,'NEW CAR'!$DI$2:$DU$250,178,0)</f>
        <v>60000</v>
      </c>
      <c r="CL21" s="106">
        <f>+HLOOKUP($C21,'NEW CAR'!$DI$2:$DU$250,179,0)</f>
        <v>0</v>
      </c>
      <c r="CM21" s="106">
        <f>+HLOOKUP($C21,'NEW CAR'!$DI$2:$DU$250,180,0)</f>
        <v>14700</v>
      </c>
      <c r="CN21" s="106">
        <f>+HLOOKUP($C21,'NEW CAR'!$DI$2:$DU$250,182,0)</f>
        <v>614.25</v>
      </c>
      <c r="CO21" s="106">
        <f>+HLOOKUP($C21,'NEW CAR'!$DI$2:$DU$250,183,0)</f>
        <v>11725.5</v>
      </c>
      <c r="CP21" s="106">
        <f>+HLOOKUP($C21,'NEW CAR'!$DI$2:$DU$250,184,0)</f>
        <v>5400</v>
      </c>
      <c r="CQ21" s="106">
        <f>+HLOOKUP($C21,'NEW CAR'!$DI$2:$DU$250,185,0)</f>
        <v>0</v>
      </c>
      <c r="CR21" s="106">
        <f>+HLOOKUP($C21,'NEW CAR'!$DI$2:$DU$250,187,0)</f>
        <v>3124.7999999999997</v>
      </c>
      <c r="CS21" s="106">
        <f>+HLOOKUP($C21,'NEW CAR'!$DI$2:$DU$250,188,0)</f>
        <v>3975</v>
      </c>
      <c r="CT21" s="106">
        <f>+HLOOKUP($C21,'NEW CAR'!$DI$2:$DU$250,189,0)</f>
        <v>2500.0499999999997</v>
      </c>
      <c r="CU21" s="106">
        <f>+HLOOKUP($C21,'NEW CAR'!$DI$2:$DU$250,190,0)</f>
        <v>2533.35</v>
      </c>
      <c r="CV21" s="106">
        <f>+HLOOKUP($C21,'NEW CAR'!$DI$2:$DU$250,191,0)</f>
        <v>0</v>
      </c>
      <c r="CW21" s="106">
        <f>+HLOOKUP($C21,'NEW CAR'!$DI$2:$DU$250,193,0)</f>
        <v>6177.166666666667</v>
      </c>
      <c r="CX21" s="106">
        <f>+HLOOKUP($C21,'NEW CAR'!$DI$2:$DU$250,194,0)</f>
        <v>591.83333333333337</v>
      </c>
      <c r="CY21" s="106">
        <f>+HLOOKUP($C21,'NEW CAR'!$DI$2:$DU$250,195,0)</f>
        <v>1375.059</v>
      </c>
      <c r="CZ21" s="106">
        <f>+HLOOKUP($C21,'NEW CAR'!$DI$2:$DU$250,196,0)</f>
        <v>0</v>
      </c>
      <c r="DA21" s="106">
        <f>+HLOOKUP($C21,'NEW CAR'!$DI$2:$DU$250,197,0)</f>
        <v>16416</v>
      </c>
      <c r="DB21" s="106">
        <f>+HLOOKUP($C21,'NEW CAR'!$DI$2:$DU$250,198,0)</f>
        <v>5055</v>
      </c>
      <c r="DC21" s="106">
        <f>+HLOOKUP($C21,'NEW CAR'!$DI$2:$DU$250,199,0)</f>
        <v>1080</v>
      </c>
      <c r="DD21" s="106">
        <f>+HLOOKUP($C21,'NEW CAR'!$DI$2:$DU$250,200,0)</f>
        <v>350</v>
      </c>
      <c r="DE21" s="106">
        <f>+HLOOKUP($C21,'NEW CAR'!$DI$2:$DU$250,201,0)</f>
        <v>74.25</v>
      </c>
      <c r="DF21" s="106">
        <f>+HLOOKUP($C21,'NEW CAR'!$DI$2:$DU$250,202,0)</f>
        <v>0</v>
      </c>
      <c r="DG21" s="106">
        <f>+HLOOKUP($C21,'NEW CAR'!$DI$2:$DU$250,203,0)</f>
        <v>0</v>
      </c>
      <c r="DH21" s="106">
        <f>+HLOOKUP($C21,'NEW CAR'!$DI$2:$DU$250,205,0)</f>
        <v>45415.943618181802</v>
      </c>
      <c r="DI21" s="106">
        <f>+HLOOKUP($C21,'NEW CAR'!$DI$2:$DU$250,206,0)</f>
        <v>4687.2888872727272</v>
      </c>
      <c r="DJ21" s="106">
        <f>+HLOOKUP($C21,'NEW CAR'!$DI$2:$DU$250,207,0)</f>
        <v>386.60249999999996</v>
      </c>
      <c r="DK21" s="106">
        <f>+HLOOKUP($C21,'NEW CAR'!$DI$2:$DU$250,209,0)</f>
        <v>0</v>
      </c>
      <c r="DL21" s="106">
        <f>+HLOOKUP($C21,'NEW CAR'!$DI$2:$DU$250,210,0)</f>
        <v>0</v>
      </c>
      <c r="DM21" s="106">
        <f>+HLOOKUP($C21,'NEW CAR'!$DI$2:$DU$250,211,0)</f>
        <v>116992.47656250001</v>
      </c>
      <c r="DN21" s="106">
        <f>+HLOOKUP($C21,'NEW CAR'!$DI$2:$DU$250,212,0)</f>
        <v>0</v>
      </c>
      <c r="DO21" s="106">
        <f>+HLOOKUP($C21,'NEW CAR'!$DI$2:$DU$250,214,0)</f>
        <v>0</v>
      </c>
      <c r="DP21" s="106">
        <f>+HLOOKUP($C21,'NEW CAR'!$DI$2:$DU$250,215,0)</f>
        <v>900</v>
      </c>
      <c r="DQ21" s="106">
        <f>+HLOOKUP($C21,'NEW CAR'!$DI$2:$DU$250,219,0)</f>
        <v>0</v>
      </c>
      <c r="DR21" s="106">
        <f>+HLOOKUP($C21,'NEW CAR'!$DI$2:$DU$250,220,0)</f>
        <v>0</v>
      </c>
      <c r="DS21" s="106">
        <f>+HLOOKUP($C21,'NEW CAR'!$DI$2:$DU$250,221,0)</f>
        <v>184000</v>
      </c>
      <c r="DT21" s="106">
        <f>+HLOOKUP($C21,'NEW CAR'!$DI$2:$DU$250,223,0)</f>
        <v>18750</v>
      </c>
      <c r="DU21" s="106">
        <f>+HLOOKUP($C21,'NEW CAR'!$DI$2:$DU$250,224,0)</f>
        <v>0</v>
      </c>
      <c r="DV21" s="106">
        <f>+HLOOKUP($C21,'NEW CAR'!$DI$2:$DU$250,225,0)</f>
        <v>0</v>
      </c>
      <c r="DW21" s="106">
        <f>+HLOOKUP($C21,'NEW CAR'!$DI$2:$DU$250,227,0)</f>
        <v>0</v>
      </c>
      <c r="DX21" s="106">
        <f>+HLOOKUP($C21,'NEW CAR'!$DI$2:$DU$250,228,0)</f>
        <v>0</v>
      </c>
      <c r="DY21" s="106">
        <f>+HLOOKUP($C21,'NEW CAR'!$DI$2:$DU$250,236,0)</f>
        <v>0</v>
      </c>
      <c r="DZ21" s="106">
        <f>+HLOOKUP($C21,'NEW CAR'!$DI$2:$DU$250,237,0)</f>
        <v>165559.20188211318</v>
      </c>
      <c r="EA21" s="106">
        <f>+HLOOKUP($C21,'NEW CAR'!$DI$2:$DU$250,238,0)</f>
        <v>0</v>
      </c>
      <c r="EB21" s="106">
        <f>+HLOOKUP($C21,'NEW CAR'!$DI$2:$DU$250,240,0)</f>
        <v>433516.25836428563</v>
      </c>
    </row>
    <row r="22" spans="1:132">
      <c r="A22" t="s">
        <v>271</v>
      </c>
      <c r="B22" t="s">
        <v>270</v>
      </c>
      <c r="C22" s="117">
        <v>45748</v>
      </c>
      <c r="D22" s="106">
        <f>+HLOOKUP(C22,'NEW CAR'!$DI$2:$DU$250,6,0)/3.5%</f>
        <v>63673592.985842995</v>
      </c>
      <c r="E22" s="106">
        <f>+HLOOKUP(C22,'NEW CAR'!$DI$2:$DU$250,5,0)+HLOOKUP(C22,'NEW CAR'!$DI$2:$DU$250,26,0)+HLOOKUP(C22,'NEW CAR'!$DI$2:$DU$250,59,0)</f>
        <v>3709376.3014800521</v>
      </c>
      <c r="F22" s="106"/>
      <c r="G22" s="106">
        <f>+HLOOKUP($C22,'NEW CAR'!$DI$2:$DU$250,76,0)</f>
        <v>90000</v>
      </c>
      <c r="H22" s="106">
        <f>+HLOOKUP($C22,'NEW CAR'!$DI$2:$DU$250,77,0)</f>
        <v>360000</v>
      </c>
      <c r="I22" s="106">
        <f>+HLOOKUP($C22,'NEW CAR'!$DI$2:$DU$250,78,0)</f>
        <v>0</v>
      </c>
      <c r="J22" s="106">
        <f>+HLOOKUP($C22,'NEW CAR'!$DI$2:$DU$250,79,0)</f>
        <v>150000</v>
      </c>
      <c r="K22" s="106">
        <f>+HLOOKUP($C22,'NEW CAR'!$DI$2:$DU$250,80,0)</f>
        <v>0</v>
      </c>
      <c r="L22" s="106">
        <f>+HLOOKUP($C22,'NEW CAR'!$DI$2:$DU$250,81,0)</f>
        <v>0</v>
      </c>
      <c r="M22" s="106">
        <f>+HLOOKUP($C22,'NEW CAR'!$DI$2:$DU$250,82,0)</f>
        <v>0</v>
      </c>
      <c r="N22" s="106">
        <f>+HLOOKUP($C22,'NEW CAR'!$DI$2:$DU$250,83,0)</f>
        <v>0</v>
      </c>
      <c r="O22" s="106">
        <f>+HLOOKUP($C22,'NEW CAR'!$DI$2:$DU$250,84,0)</f>
        <v>0</v>
      </c>
      <c r="P22" s="106">
        <f>+HLOOKUP($C22,'NEW CAR'!$DI$2:$DU$250,85,0)</f>
        <v>0</v>
      </c>
      <c r="Q22" s="106">
        <f>+HLOOKUP($C22,'NEW CAR'!$DI$2:$DU$250,87,0)</f>
        <v>525000</v>
      </c>
      <c r="R22" s="106">
        <f>+HLOOKUP($C22,'NEW CAR'!$DI$2:$DU$250,90,0)</f>
        <v>9000</v>
      </c>
      <c r="S22" s="106">
        <f>+HLOOKUP($C22,'NEW CAR'!$DI$2:$DU$250,91,0)</f>
        <v>0</v>
      </c>
      <c r="T22" s="106">
        <f>+HLOOKUP($C22,'NEW CAR'!$DI$2:$DU$250,92,0)</f>
        <v>225000</v>
      </c>
      <c r="U22" s="106">
        <f>+HLOOKUP($C22,'NEW CAR'!$DI$2:$DU$250,93,0)</f>
        <v>7500</v>
      </c>
      <c r="V22" s="106">
        <f>+HLOOKUP($C22,'NEW CAR'!$DI$2:$DU$250,94,0)</f>
        <v>0</v>
      </c>
      <c r="W22" s="106">
        <f>+HLOOKUP($C22,'NEW CAR'!$DI$2:$DU$250,95,0)</f>
        <v>20000</v>
      </c>
      <c r="X22" s="106">
        <f>+HLOOKUP($C22,'NEW CAR'!$DI$2:$DU$250,96,0)</f>
        <v>30000</v>
      </c>
      <c r="Y22" s="106">
        <f>+HLOOKUP($C22,'NEW CAR'!$DI$2:$DU$250,97,0)</f>
        <v>75000</v>
      </c>
      <c r="Z22" s="106">
        <f>+HLOOKUP($C22,'NEW CAR'!$DI$2:$DU$250,98,0)</f>
        <v>0</v>
      </c>
      <c r="AA22" s="106">
        <f>+HLOOKUP($C22,'NEW CAR'!$DI$2:$DU$250,99,0)</f>
        <v>0</v>
      </c>
      <c r="AB22" s="106">
        <f>+HLOOKUP($C22,'NEW CAR'!$DI$2:$DU$250,100,0)</f>
        <v>30000</v>
      </c>
      <c r="AC22" s="106">
        <f>+HLOOKUP($C22,'NEW CAR'!$DI$2:$DU$250,101,0)</f>
        <v>9000</v>
      </c>
      <c r="AD22" s="106">
        <f>+HLOOKUP($C22,'NEW CAR'!$DI$2:$DU$250,104,0)</f>
        <v>15000</v>
      </c>
      <c r="AE22" s="106">
        <f>+HLOOKUP($C22,'NEW CAR'!$DI$2:$DU$250,105,0)</f>
        <v>124875</v>
      </c>
      <c r="AF22" s="106">
        <f>+HLOOKUP($C22,'NEW CAR'!$DI$2:$DU$250,106,0)</f>
        <v>49950</v>
      </c>
      <c r="AG22" s="106">
        <f>+HLOOKUP($C22,'NEW CAR'!$DI$2:$DU$250,107,0)</f>
        <v>174825</v>
      </c>
      <c r="AH22" s="106">
        <f>+HLOOKUP($C22,'NEW CAR'!$DI$2:$DU$250,108,0)</f>
        <v>0</v>
      </c>
      <c r="AI22" s="106">
        <f>+HLOOKUP($C22,'NEW CAR'!$DI$2:$DU$250,109,0)</f>
        <v>149850</v>
      </c>
      <c r="AJ22" s="106">
        <f>+HLOOKUP($C22,'NEW CAR'!$DI$2:$DU$250,110,0)</f>
        <v>0</v>
      </c>
      <c r="AK22" s="106">
        <f>+HLOOKUP($C22,'NEW CAR'!$DI$2:$DU$250,111,0)</f>
        <v>0</v>
      </c>
      <c r="AL22" s="106">
        <f>+HLOOKUP($C22,'NEW CAR'!$DI$2:$DU$250,112,0)</f>
        <v>0</v>
      </c>
      <c r="AM22" s="106">
        <f>+HLOOKUP($C22,'NEW CAR'!$DI$2:$DU$250,116,0)</f>
        <v>390400</v>
      </c>
      <c r="AN22" s="106">
        <f>+HLOOKUP($C22,'NEW CAR'!$DI$2:$DU$250,117,0)</f>
        <v>59650</v>
      </c>
      <c r="AO22" s="106">
        <f>+HLOOKUP($C22,'NEW CAR'!$DI$2:$DU$250,118,0)</f>
        <v>9000</v>
      </c>
      <c r="AP22" s="106">
        <f>+HLOOKUP($C22,'NEW CAR'!$DI$2:$DU$250,119,0)</f>
        <v>131200</v>
      </c>
      <c r="AQ22" s="106">
        <f>+HLOOKUP($C22,'NEW CAR'!$DI$2:$DU$250,120,0)</f>
        <v>34500</v>
      </c>
      <c r="AR22" s="106">
        <f>+HLOOKUP($C22,'NEW CAR'!$DI$2:$DU$250,121,0)</f>
        <v>10350</v>
      </c>
      <c r="AS22" s="106">
        <f>+HLOOKUP($C22,'NEW CAR'!$DI$2:$DU$250,122,0)</f>
        <v>183900</v>
      </c>
      <c r="AT22" s="106">
        <f>+HLOOKUP($C22,'NEW CAR'!$DI$2:$DU$250,123,0)</f>
        <v>43454.504708333327</v>
      </c>
      <c r="AU22" s="106">
        <f>+HLOOKUP($C22,'NEW CAR'!$DI$2:$DU$250,124,0)</f>
        <v>2066.25</v>
      </c>
      <c r="AV22" s="106">
        <f>+HLOOKUP($C22,'NEW CAR'!$DI$2:$DU$250,125,0)</f>
        <v>39225</v>
      </c>
      <c r="AW22" s="106">
        <f>+HLOOKUP($C22,'NEW CAR'!$DI$2:$DU$250,126,0)</f>
        <v>18769.230769230773</v>
      </c>
      <c r="AX22" s="106">
        <f>+HLOOKUP($C22,'NEW CAR'!$DI$2:$DU$250,127,0)</f>
        <v>24574.999999999996</v>
      </c>
      <c r="AY22" s="106">
        <f>+HLOOKUP($C22,'NEW CAR'!$DI$2:$DU$250,129,0)</f>
        <v>0</v>
      </c>
      <c r="AZ22" s="106">
        <f>+HLOOKUP($C22,'NEW CAR'!$DI$2:$DU$250,130,0)</f>
        <v>0</v>
      </c>
      <c r="BA22" s="106">
        <f>+HLOOKUP($C22,'NEW CAR'!$DI$2:$DU$250,131,0)</f>
        <v>96400</v>
      </c>
      <c r="BB22" s="106">
        <f>+HLOOKUP($C22,'NEW CAR'!$DI$2:$DU$250,133,0)</f>
        <v>0</v>
      </c>
      <c r="BC22" s="106">
        <f>+HLOOKUP($C22,'NEW CAR'!$DI$2:$DU$250,134,0)</f>
        <v>63508.417999999983</v>
      </c>
      <c r="BD22" s="106">
        <f>+HLOOKUP($C22,'NEW CAR'!$DI$2:$DU$250,135,0)</f>
        <v>0</v>
      </c>
      <c r="BE22" s="106">
        <f>+HLOOKUP($C22,'NEW CAR'!$DI$2:$DU$250,136,0)</f>
        <v>0</v>
      </c>
      <c r="BF22" s="106">
        <f>+HLOOKUP($C22,'NEW CAR'!$DI$2:$DU$250,138,0)</f>
        <v>10250</v>
      </c>
      <c r="BG22" s="106">
        <f>+HLOOKUP($C22,'NEW CAR'!$DI$2:$DU$250,139,0)</f>
        <v>14139.976249999998</v>
      </c>
      <c r="BH22" s="106">
        <f>+HLOOKUP($C22,'NEW CAR'!$DI$2:$DU$250,140,0)</f>
        <v>0</v>
      </c>
      <c r="BI22" s="106">
        <f>+HLOOKUP($C22,'NEW CAR'!$DI$2:$DU$250,141,0)</f>
        <v>0</v>
      </c>
      <c r="BJ22" s="106">
        <f>+HLOOKUP($C22,'NEW CAR'!$DI$2:$DU$250,142,0)</f>
        <v>0</v>
      </c>
      <c r="BK22" s="106">
        <f>+HLOOKUP($C22,'NEW CAR'!$DI$2:$DU$250,143,0)</f>
        <v>26971.833333333332</v>
      </c>
      <c r="BL22" s="106">
        <f>+HLOOKUP($C22,'NEW CAR'!$DI$2:$DU$250,144,0)</f>
        <v>17989.583333333336</v>
      </c>
      <c r="BM22" s="106">
        <f>+HLOOKUP($C22,'NEW CAR'!$DI$2:$DU$250,146,0)</f>
        <v>0</v>
      </c>
      <c r="BN22" s="106">
        <f>+HLOOKUP($C22,'NEW CAR'!$DI$2:$DU$250,147,0)</f>
        <v>35000</v>
      </c>
      <c r="BO22" s="106">
        <f>+HLOOKUP($C22,'NEW CAR'!$DI$2:$DU$250,148,0)</f>
        <v>0</v>
      </c>
      <c r="BP22" s="106">
        <f>+HLOOKUP($C22,'NEW CAR'!$DI$2:$DU$250,150,0)</f>
        <v>32219.599999999999</v>
      </c>
      <c r="BQ22" s="106">
        <f>+HLOOKUP($C22,'NEW CAR'!$DI$2:$DU$250,151,0)</f>
        <v>2480.5</v>
      </c>
      <c r="BR22" s="106">
        <f>+HLOOKUP($C22,'NEW CAR'!$DI$2:$DU$250,152,0)</f>
        <v>16000</v>
      </c>
      <c r="BS22" s="106">
        <f>+HLOOKUP($C22,'NEW CAR'!$DI$2:$DU$250,153,0)</f>
        <v>3000</v>
      </c>
      <c r="BT22" s="106">
        <f>+HLOOKUP($C22,'NEW CAR'!$DI$2:$DU$250,157,0)</f>
        <v>10600</v>
      </c>
      <c r="BU22" s="106">
        <f>+HLOOKUP($C22,'NEW CAR'!$DI$2:$DU$250,158,0)</f>
        <v>2175</v>
      </c>
      <c r="BV22" s="106">
        <f>+HLOOKUP($C22,'NEW CAR'!$DI$2:$DU$250,159,0)</f>
        <v>0</v>
      </c>
      <c r="BW22" s="106">
        <f>+HLOOKUP($C22,'NEW CAR'!$DI$2:$DU$250,160,0)</f>
        <v>11000</v>
      </c>
      <c r="BX22" s="106">
        <f>+HLOOKUP($C22,'NEW CAR'!$DI$2:$DU$250,161,0)</f>
        <v>12212.30128</v>
      </c>
      <c r="BY22" s="106">
        <f>+HLOOKUP($C22,'NEW CAR'!$DI$2:$DU$250,164,0)</f>
        <v>0</v>
      </c>
      <c r="BZ22" s="106">
        <f>+HLOOKUP($C22,'NEW CAR'!$DI$2:$DU$250,165,0)</f>
        <v>0</v>
      </c>
      <c r="CA22" s="106">
        <f>+HLOOKUP($C22,'NEW CAR'!$DI$2:$DU$250,166,0)</f>
        <v>0</v>
      </c>
      <c r="CB22" s="106">
        <f>+HLOOKUP($C22,'NEW CAR'!$DI$2:$DU$250,167,0)</f>
        <v>0</v>
      </c>
      <c r="CC22" s="106">
        <f>+HLOOKUP($C22,'NEW CAR'!$DI$2:$DU$250,168,0)</f>
        <v>0</v>
      </c>
      <c r="CD22" s="106">
        <f>+HLOOKUP($C22,'NEW CAR'!$DI$2:$DU$250,169,0)</f>
        <v>0</v>
      </c>
      <c r="CE22" s="106">
        <f>+HLOOKUP($C22,'NEW CAR'!$DI$2:$DU$250,170,0)</f>
        <v>0</v>
      </c>
      <c r="CF22" s="106">
        <f>+HLOOKUP($C22,'NEW CAR'!$DI$2:$DU$250,172,0)</f>
        <v>18000</v>
      </c>
      <c r="CG22" s="106">
        <f>+HLOOKUP($C22,'NEW CAR'!$DI$2:$DU$250,173,0)</f>
        <v>0</v>
      </c>
      <c r="CH22" s="106">
        <f>+HLOOKUP($C22,'NEW CAR'!$DI$2:$DU$250,174,0)</f>
        <v>0</v>
      </c>
      <c r="CI22" s="106">
        <f>+HLOOKUP($C22,'NEW CAR'!$DI$2:$DU$250,175,0)</f>
        <v>0</v>
      </c>
      <c r="CJ22" s="106">
        <f>+HLOOKUP($C22,'NEW CAR'!$DI$2:$DU$250,176,0)</f>
        <v>5925</v>
      </c>
      <c r="CK22" s="106">
        <f>+HLOOKUP($C22,'NEW CAR'!$DI$2:$DU$250,178,0)</f>
        <v>60000</v>
      </c>
      <c r="CL22" s="106">
        <f>+HLOOKUP($C22,'NEW CAR'!$DI$2:$DU$250,179,0)</f>
        <v>0</v>
      </c>
      <c r="CM22" s="106">
        <f>+HLOOKUP($C22,'NEW CAR'!$DI$2:$DU$250,180,0)</f>
        <v>14700</v>
      </c>
      <c r="CN22" s="106">
        <f>+HLOOKUP($C22,'NEW CAR'!$DI$2:$DU$250,182,0)</f>
        <v>614.25</v>
      </c>
      <c r="CO22" s="106">
        <f>+HLOOKUP($C22,'NEW CAR'!$DI$2:$DU$250,183,0)</f>
        <v>11725.5</v>
      </c>
      <c r="CP22" s="106">
        <f>+HLOOKUP($C22,'NEW CAR'!$DI$2:$DU$250,184,0)</f>
        <v>5400</v>
      </c>
      <c r="CQ22" s="106">
        <f>+HLOOKUP($C22,'NEW CAR'!$DI$2:$DU$250,185,0)</f>
        <v>0</v>
      </c>
      <c r="CR22" s="106">
        <f>+HLOOKUP($C22,'NEW CAR'!$DI$2:$DU$250,187,0)</f>
        <v>3124.7999999999997</v>
      </c>
      <c r="CS22" s="106">
        <f>+HLOOKUP($C22,'NEW CAR'!$DI$2:$DU$250,188,0)</f>
        <v>3975</v>
      </c>
      <c r="CT22" s="106">
        <f>+HLOOKUP($C22,'NEW CAR'!$DI$2:$DU$250,189,0)</f>
        <v>2500.0499999999997</v>
      </c>
      <c r="CU22" s="106">
        <f>+HLOOKUP($C22,'NEW CAR'!$DI$2:$DU$250,190,0)</f>
        <v>2533.35</v>
      </c>
      <c r="CV22" s="106">
        <f>+HLOOKUP($C22,'NEW CAR'!$DI$2:$DU$250,191,0)</f>
        <v>0</v>
      </c>
      <c r="CW22" s="106">
        <f>+HLOOKUP($C22,'NEW CAR'!$DI$2:$DU$250,193,0)</f>
        <v>6177.166666666667</v>
      </c>
      <c r="CX22" s="106">
        <f>+HLOOKUP($C22,'NEW CAR'!$DI$2:$DU$250,194,0)</f>
        <v>591.83333333333337</v>
      </c>
      <c r="CY22" s="106">
        <f>+HLOOKUP($C22,'NEW CAR'!$DI$2:$DU$250,195,0)</f>
        <v>1375.059</v>
      </c>
      <c r="CZ22" s="106">
        <f>+HLOOKUP($C22,'NEW CAR'!$DI$2:$DU$250,196,0)</f>
        <v>0</v>
      </c>
      <c r="DA22" s="106">
        <f>+HLOOKUP($C22,'NEW CAR'!$DI$2:$DU$250,197,0)</f>
        <v>16416</v>
      </c>
      <c r="DB22" s="106">
        <f>+HLOOKUP($C22,'NEW CAR'!$DI$2:$DU$250,198,0)</f>
        <v>5055</v>
      </c>
      <c r="DC22" s="106">
        <f>+HLOOKUP($C22,'NEW CAR'!$DI$2:$DU$250,199,0)</f>
        <v>1080</v>
      </c>
      <c r="DD22" s="106">
        <f>+HLOOKUP($C22,'NEW CAR'!$DI$2:$DU$250,200,0)</f>
        <v>350</v>
      </c>
      <c r="DE22" s="106">
        <f>+HLOOKUP($C22,'NEW CAR'!$DI$2:$DU$250,201,0)</f>
        <v>74.25</v>
      </c>
      <c r="DF22" s="106">
        <f>+HLOOKUP($C22,'NEW CAR'!$DI$2:$DU$250,202,0)</f>
        <v>0</v>
      </c>
      <c r="DG22" s="106">
        <f>+HLOOKUP($C22,'NEW CAR'!$DI$2:$DU$250,203,0)</f>
        <v>0</v>
      </c>
      <c r="DH22" s="106">
        <f>+HLOOKUP($C22,'NEW CAR'!$DI$2:$DU$250,205,0)</f>
        <v>45415.943618181802</v>
      </c>
      <c r="DI22" s="106">
        <f>+HLOOKUP($C22,'NEW CAR'!$DI$2:$DU$250,206,0)</f>
        <v>4687.2888872727272</v>
      </c>
      <c r="DJ22" s="106">
        <f>+HLOOKUP($C22,'NEW CAR'!$DI$2:$DU$250,207,0)</f>
        <v>386.60249999999996</v>
      </c>
      <c r="DK22" s="106">
        <f>+HLOOKUP($C22,'NEW CAR'!$DI$2:$DU$250,209,0)</f>
        <v>0</v>
      </c>
      <c r="DL22" s="106">
        <f>+HLOOKUP($C22,'NEW CAR'!$DI$2:$DU$250,210,0)</f>
        <v>0</v>
      </c>
      <c r="DM22" s="106">
        <f>+HLOOKUP($C22,'NEW CAR'!$DI$2:$DU$250,211,0)</f>
        <v>116992.47656250001</v>
      </c>
      <c r="DN22" s="106">
        <f>+HLOOKUP($C22,'NEW CAR'!$DI$2:$DU$250,212,0)</f>
        <v>0</v>
      </c>
      <c r="DO22" s="106">
        <f>+HLOOKUP($C22,'NEW CAR'!$DI$2:$DU$250,214,0)</f>
        <v>0</v>
      </c>
      <c r="DP22" s="106">
        <f>+HLOOKUP($C22,'NEW CAR'!$DI$2:$DU$250,215,0)</f>
        <v>900</v>
      </c>
      <c r="DQ22" s="106">
        <f>+HLOOKUP($C22,'NEW CAR'!$DI$2:$DU$250,219,0)</f>
        <v>0</v>
      </c>
      <c r="DR22" s="106">
        <f>+HLOOKUP($C22,'NEW CAR'!$DI$2:$DU$250,220,0)</f>
        <v>0</v>
      </c>
      <c r="DS22" s="106">
        <f>+HLOOKUP($C22,'NEW CAR'!$DI$2:$DU$250,221,0)</f>
        <v>184000</v>
      </c>
      <c r="DT22" s="106">
        <f>+HLOOKUP($C22,'NEW CAR'!$DI$2:$DU$250,223,0)</f>
        <v>18750</v>
      </c>
      <c r="DU22" s="106">
        <f>+HLOOKUP($C22,'NEW CAR'!$DI$2:$DU$250,224,0)</f>
        <v>0</v>
      </c>
      <c r="DV22" s="106">
        <f>+HLOOKUP($C22,'NEW CAR'!$DI$2:$DU$250,225,0)</f>
        <v>0</v>
      </c>
      <c r="DW22" s="106">
        <f>+HLOOKUP($C22,'NEW CAR'!$DI$2:$DU$250,227,0)</f>
        <v>0</v>
      </c>
      <c r="DX22" s="106">
        <f>+HLOOKUP($C22,'NEW CAR'!$DI$2:$DU$250,228,0)</f>
        <v>0</v>
      </c>
      <c r="DY22" s="106">
        <f>+HLOOKUP($C22,'NEW CAR'!$DI$2:$DU$250,236,0)</f>
        <v>0</v>
      </c>
      <c r="DZ22" s="106">
        <f>+HLOOKUP($C22,'NEW CAR'!$DI$2:$DU$250,237,0)</f>
        <v>162299.34322939679</v>
      </c>
      <c r="EA22" s="106">
        <f>+HLOOKUP($C22,'NEW CAR'!$DI$2:$DU$250,238,0)</f>
        <v>0</v>
      </c>
      <c r="EB22" s="106">
        <f>+HLOOKUP($C22,'NEW CAR'!$DI$2:$DU$250,240,0)</f>
        <v>433516.25836428563</v>
      </c>
    </row>
    <row r="23" spans="1:132">
      <c r="A23" t="s">
        <v>271</v>
      </c>
      <c r="B23" t="s">
        <v>270</v>
      </c>
      <c r="C23" s="117">
        <v>45717</v>
      </c>
      <c r="D23" s="106">
        <f>+HLOOKUP(C23,'NEW CAR'!$DI$2:$DU$250,6,0)/3.5%</f>
        <v>65320093.118981041</v>
      </c>
      <c r="E23" s="106">
        <f>+HLOOKUP(C23,'NEW CAR'!$DI$2:$DU$250,5,0)+HLOOKUP(C23,'NEW CAR'!$DI$2:$DU$250,26,0)+HLOOKUP(C23,'NEW CAR'!$DI$2:$DU$250,59,0)</f>
        <v>6754725.0764989126</v>
      </c>
      <c r="F23" s="106"/>
      <c r="G23" s="106">
        <f>+HLOOKUP($C23,'NEW CAR'!$DI$2:$DU$250,76,0)</f>
        <v>90000</v>
      </c>
      <c r="H23" s="106">
        <f>+HLOOKUP($C23,'NEW CAR'!$DI$2:$DU$250,77,0)</f>
        <v>360000</v>
      </c>
      <c r="I23" s="106">
        <f>+HLOOKUP($C23,'NEW CAR'!$DI$2:$DU$250,78,0)</f>
        <v>0</v>
      </c>
      <c r="J23" s="106">
        <f>+HLOOKUP($C23,'NEW CAR'!$DI$2:$DU$250,79,0)</f>
        <v>150000</v>
      </c>
      <c r="K23" s="106">
        <f>+HLOOKUP($C23,'NEW CAR'!$DI$2:$DU$250,80,0)</f>
        <v>0</v>
      </c>
      <c r="L23" s="106">
        <f>+HLOOKUP($C23,'NEW CAR'!$DI$2:$DU$250,81,0)</f>
        <v>0</v>
      </c>
      <c r="M23" s="106">
        <f>+HLOOKUP($C23,'NEW CAR'!$DI$2:$DU$250,82,0)</f>
        <v>0</v>
      </c>
      <c r="N23" s="106">
        <f>+HLOOKUP($C23,'NEW CAR'!$DI$2:$DU$250,83,0)</f>
        <v>0</v>
      </c>
      <c r="O23" s="106">
        <f>+HLOOKUP($C23,'NEW CAR'!$DI$2:$DU$250,84,0)</f>
        <v>0</v>
      </c>
      <c r="P23" s="106">
        <f>+HLOOKUP($C23,'NEW CAR'!$DI$2:$DU$250,85,0)</f>
        <v>0</v>
      </c>
      <c r="Q23" s="106">
        <f>+HLOOKUP($C23,'NEW CAR'!$DI$2:$DU$250,87,0)</f>
        <v>525000</v>
      </c>
      <c r="R23" s="106">
        <f>+HLOOKUP($C23,'NEW CAR'!$DI$2:$DU$250,90,0)</f>
        <v>9000</v>
      </c>
      <c r="S23" s="106">
        <f>+HLOOKUP($C23,'NEW CAR'!$DI$2:$DU$250,91,0)</f>
        <v>0</v>
      </c>
      <c r="T23" s="106">
        <f>+HLOOKUP($C23,'NEW CAR'!$DI$2:$DU$250,92,0)</f>
        <v>225000</v>
      </c>
      <c r="U23" s="106">
        <f>+HLOOKUP($C23,'NEW CAR'!$DI$2:$DU$250,93,0)</f>
        <v>7500</v>
      </c>
      <c r="V23" s="106">
        <f>+HLOOKUP($C23,'NEW CAR'!$DI$2:$DU$250,94,0)</f>
        <v>0</v>
      </c>
      <c r="W23" s="106">
        <f>+HLOOKUP($C23,'NEW CAR'!$DI$2:$DU$250,95,0)</f>
        <v>20000</v>
      </c>
      <c r="X23" s="106">
        <f>+HLOOKUP($C23,'NEW CAR'!$DI$2:$DU$250,96,0)</f>
        <v>30000</v>
      </c>
      <c r="Y23" s="106">
        <f>+HLOOKUP($C23,'NEW CAR'!$DI$2:$DU$250,97,0)</f>
        <v>75000</v>
      </c>
      <c r="Z23" s="106">
        <f>+HLOOKUP($C23,'NEW CAR'!$DI$2:$DU$250,98,0)</f>
        <v>0</v>
      </c>
      <c r="AA23" s="106">
        <f>+HLOOKUP($C23,'NEW CAR'!$DI$2:$DU$250,99,0)</f>
        <v>0</v>
      </c>
      <c r="AB23" s="106">
        <f>+HLOOKUP($C23,'NEW CAR'!$DI$2:$DU$250,100,0)</f>
        <v>30000</v>
      </c>
      <c r="AC23" s="106">
        <f>+HLOOKUP($C23,'NEW CAR'!$DI$2:$DU$250,101,0)</f>
        <v>9000</v>
      </c>
      <c r="AD23" s="106">
        <f>+HLOOKUP($C23,'NEW CAR'!$DI$2:$DU$250,104,0)</f>
        <v>15000</v>
      </c>
      <c r="AE23" s="106">
        <f>+HLOOKUP($C23,'NEW CAR'!$DI$2:$DU$250,105,0)</f>
        <v>124875</v>
      </c>
      <c r="AF23" s="106">
        <f>+HLOOKUP($C23,'NEW CAR'!$DI$2:$DU$250,106,0)</f>
        <v>49950</v>
      </c>
      <c r="AG23" s="106">
        <f>+HLOOKUP($C23,'NEW CAR'!$DI$2:$DU$250,107,0)</f>
        <v>174825</v>
      </c>
      <c r="AH23" s="106">
        <f>+HLOOKUP($C23,'NEW CAR'!$DI$2:$DU$250,108,0)</f>
        <v>0</v>
      </c>
      <c r="AI23" s="106">
        <f>+HLOOKUP($C23,'NEW CAR'!$DI$2:$DU$250,109,0)</f>
        <v>149850</v>
      </c>
      <c r="AJ23" s="106">
        <f>+HLOOKUP($C23,'NEW CAR'!$DI$2:$DU$250,110,0)</f>
        <v>0</v>
      </c>
      <c r="AK23" s="106">
        <f>+HLOOKUP($C23,'NEW CAR'!$DI$2:$DU$250,111,0)</f>
        <v>0</v>
      </c>
      <c r="AL23" s="106">
        <f>+HLOOKUP($C23,'NEW CAR'!$DI$2:$DU$250,112,0)</f>
        <v>0</v>
      </c>
      <c r="AM23" s="106">
        <f>+HLOOKUP($C23,'NEW CAR'!$DI$2:$DU$250,116,0)</f>
        <v>390400</v>
      </c>
      <c r="AN23" s="106">
        <f>+HLOOKUP($C23,'NEW CAR'!$DI$2:$DU$250,117,0)</f>
        <v>59650</v>
      </c>
      <c r="AO23" s="106">
        <f>+HLOOKUP($C23,'NEW CAR'!$DI$2:$DU$250,118,0)</f>
        <v>9000</v>
      </c>
      <c r="AP23" s="106">
        <f>+HLOOKUP($C23,'NEW CAR'!$DI$2:$DU$250,119,0)</f>
        <v>131200</v>
      </c>
      <c r="AQ23" s="106">
        <f>+HLOOKUP($C23,'NEW CAR'!$DI$2:$DU$250,120,0)</f>
        <v>34500</v>
      </c>
      <c r="AR23" s="106">
        <f>+HLOOKUP($C23,'NEW CAR'!$DI$2:$DU$250,121,0)</f>
        <v>10350</v>
      </c>
      <c r="AS23" s="106">
        <f>+HLOOKUP($C23,'NEW CAR'!$DI$2:$DU$250,122,0)</f>
        <v>183900</v>
      </c>
      <c r="AT23" s="106">
        <f>+HLOOKUP($C23,'NEW CAR'!$DI$2:$DU$250,123,0)</f>
        <v>43454.504708333327</v>
      </c>
      <c r="AU23" s="106">
        <f>+HLOOKUP($C23,'NEW CAR'!$DI$2:$DU$250,124,0)</f>
        <v>2066.25</v>
      </c>
      <c r="AV23" s="106">
        <f>+HLOOKUP($C23,'NEW CAR'!$DI$2:$DU$250,125,0)</f>
        <v>39225</v>
      </c>
      <c r="AW23" s="106">
        <f>+HLOOKUP($C23,'NEW CAR'!$DI$2:$DU$250,126,0)</f>
        <v>18769.230769230773</v>
      </c>
      <c r="AX23" s="106">
        <f>+HLOOKUP($C23,'NEW CAR'!$DI$2:$DU$250,127,0)</f>
        <v>24574.999999999996</v>
      </c>
      <c r="AY23" s="106">
        <f>+HLOOKUP($C23,'NEW CAR'!$DI$2:$DU$250,129,0)</f>
        <v>0</v>
      </c>
      <c r="AZ23" s="106">
        <f>+HLOOKUP($C23,'NEW CAR'!$DI$2:$DU$250,130,0)</f>
        <v>0</v>
      </c>
      <c r="BA23" s="106">
        <f>+HLOOKUP($C23,'NEW CAR'!$DI$2:$DU$250,131,0)</f>
        <v>96400</v>
      </c>
      <c r="BB23" s="106">
        <f>+HLOOKUP($C23,'NEW CAR'!$DI$2:$DU$250,133,0)</f>
        <v>0</v>
      </c>
      <c r="BC23" s="106">
        <f>+HLOOKUP($C23,'NEW CAR'!$DI$2:$DU$250,134,0)</f>
        <v>63508.417999999983</v>
      </c>
      <c r="BD23" s="106">
        <f>+HLOOKUP($C23,'NEW CAR'!$DI$2:$DU$250,135,0)</f>
        <v>0</v>
      </c>
      <c r="BE23" s="106">
        <f>+HLOOKUP($C23,'NEW CAR'!$DI$2:$DU$250,136,0)</f>
        <v>0</v>
      </c>
      <c r="BF23" s="106">
        <f>+HLOOKUP($C23,'NEW CAR'!$DI$2:$DU$250,138,0)</f>
        <v>10250</v>
      </c>
      <c r="BG23" s="106">
        <f>+HLOOKUP($C23,'NEW CAR'!$DI$2:$DU$250,139,0)</f>
        <v>14139.976249999998</v>
      </c>
      <c r="BH23" s="106">
        <f>+HLOOKUP($C23,'NEW CAR'!$DI$2:$DU$250,140,0)</f>
        <v>0</v>
      </c>
      <c r="BI23" s="106">
        <f>+HLOOKUP($C23,'NEW CAR'!$DI$2:$DU$250,141,0)</f>
        <v>0</v>
      </c>
      <c r="BJ23" s="106">
        <f>+HLOOKUP($C23,'NEW CAR'!$DI$2:$DU$250,142,0)</f>
        <v>0</v>
      </c>
      <c r="BK23" s="106">
        <f>+HLOOKUP($C23,'NEW CAR'!$DI$2:$DU$250,143,0)</f>
        <v>26971.833333333332</v>
      </c>
      <c r="BL23" s="106">
        <f>+HLOOKUP($C23,'NEW CAR'!$DI$2:$DU$250,144,0)</f>
        <v>8989.5833333333339</v>
      </c>
      <c r="BM23" s="106">
        <f>+HLOOKUP($C23,'NEW CAR'!$DI$2:$DU$250,146,0)</f>
        <v>0</v>
      </c>
      <c r="BN23" s="106">
        <f>+HLOOKUP($C23,'NEW CAR'!$DI$2:$DU$250,147,0)</f>
        <v>35000</v>
      </c>
      <c r="BO23" s="106">
        <f>+HLOOKUP($C23,'NEW CAR'!$DI$2:$DU$250,148,0)</f>
        <v>0</v>
      </c>
      <c r="BP23" s="106">
        <f>+HLOOKUP($C23,'NEW CAR'!$DI$2:$DU$250,150,0)</f>
        <v>32219.599999999999</v>
      </c>
      <c r="BQ23" s="106">
        <f>+HLOOKUP($C23,'NEW CAR'!$DI$2:$DU$250,151,0)</f>
        <v>2480.5</v>
      </c>
      <c r="BR23" s="106">
        <f>+HLOOKUP($C23,'NEW CAR'!$DI$2:$DU$250,152,0)</f>
        <v>16000</v>
      </c>
      <c r="BS23" s="106">
        <f>+HLOOKUP($C23,'NEW CAR'!$DI$2:$DU$250,153,0)</f>
        <v>3000</v>
      </c>
      <c r="BT23" s="106">
        <f>+HLOOKUP($C23,'NEW CAR'!$DI$2:$DU$250,157,0)</f>
        <v>10600</v>
      </c>
      <c r="BU23" s="106">
        <f>+HLOOKUP($C23,'NEW CAR'!$DI$2:$DU$250,158,0)</f>
        <v>2175</v>
      </c>
      <c r="BV23" s="106">
        <f>+HLOOKUP($C23,'NEW CAR'!$DI$2:$DU$250,159,0)</f>
        <v>0</v>
      </c>
      <c r="BW23" s="106">
        <f>+HLOOKUP($C23,'NEW CAR'!$DI$2:$DU$250,160,0)</f>
        <v>11000</v>
      </c>
      <c r="BX23" s="106">
        <f>+HLOOKUP($C23,'NEW CAR'!$DI$2:$DU$250,161,0)</f>
        <v>12212.30128</v>
      </c>
      <c r="BY23" s="106">
        <f>+HLOOKUP($C23,'NEW CAR'!$DI$2:$DU$250,164,0)</f>
        <v>0</v>
      </c>
      <c r="BZ23" s="106">
        <f>+HLOOKUP($C23,'NEW CAR'!$DI$2:$DU$250,165,0)</f>
        <v>0</v>
      </c>
      <c r="CA23" s="106">
        <f>+HLOOKUP($C23,'NEW CAR'!$DI$2:$DU$250,166,0)</f>
        <v>0</v>
      </c>
      <c r="CB23" s="106">
        <f>+HLOOKUP($C23,'NEW CAR'!$DI$2:$DU$250,167,0)</f>
        <v>0</v>
      </c>
      <c r="CC23" s="106">
        <f>+HLOOKUP($C23,'NEW CAR'!$DI$2:$DU$250,168,0)</f>
        <v>0</v>
      </c>
      <c r="CD23" s="106">
        <f>+HLOOKUP($C23,'NEW CAR'!$DI$2:$DU$250,169,0)</f>
        <v>0</v>
      </c>
      <c r="CE23" s="106">
        <f>+HLOOKUP($C23,'NEW CAR'!$DI$2:$DU$250,170,0)</f>
        <v>0</v>
      </c>
      <c r="CF23" s="106">
        <f>+HLOOKUP($C23,'NEW CAR'!$DI$2:$DU$250,172,0)</f>
        <v>18000</v>
      </c>
      <c r="CG23" s="106">
        <f>+HLOOKUP($C23,'NEW CAR'!$DI$2:$DU$250,173,0)</f>
        <v>0</v>
      </c>
      <c r="CH23" s="106">
        <f>+HLOOKUP($C23,'NEW CAR'!$DI$2:$DU$250,174,0)</f>
        <v>0</v>
      </c>
      <c r="CI23" s="106">
        <f>+HLOOKUP($C23,'NEW CAR'!$DI$2:$DU$250,175,0)</f>
        <v>0</v>
      </c>
      <c r="CJ23" s="106">
        <f>+HLOOKUP($C23,'NEW CAR'!$DI$2:$DU$250,176,0)</f>
        <v>5925</v>
      </c>
      <c r="CK23" s="106">
        <f>+HLOOKUP($C23,'NEW CAR'!$DI$2:$DU$250,178,0)</f>
        <v>60000</v>
      </c>
      <c r="CL23" s="106">
        <f>+HLOOKUP($C23,'NEW CAR'!$DI$2:$DU$250,179,0)</f>
        <v>0</v>
      </c>
      <c r="CM23" s="106">
        <f>+HLOOKUP($C23,'NEW CAR'!$DI$2:$DU$250,180,0)</f>
        <v>14700</v>
      </c>
      <c r="CN23" s="106">
        <f>+HLOOKUP($C23,'NEW CAR'!$DI$2:$DU$250,182,0)</f>
        <v>614.25</v>
      </c>
      <c r="CO23" s="106">
        <f>+HLOOKUP($C23,'NEW CAR'!$DI$2:$DU$250,183,0)</f>
        <v>11725.5</v>
      </c>
      <c r="CP23" s="106">
        <f>+HLOOKUP($C23,'NEW CAR'!$DI$2:$DU$250,184,0)</f>
        <v>5400</v>
      </c>
      <c r="CQ23" s="106">
        <f>+HLOOKUP($C23,'NEW CAR'!$DI$2:$DU$250,185,0)</f>
        <v>0</v>
      </c>
      <c r="CR23" s="106">
        <f>+HLOOKUP($C23,'NEW CAR'!$DI$2:$DU$250,187,0)</f>
        <v>3124.7999999999997</v>
      </c>
      <c r="CS23" s="106">
        <f>+HLOOKUP($C23,'NEW CAR'!$DI$2:$DU$250,188,0)</f>
        <v>3975</v>
      </c>
      <c r="CT23" s="106">
        <f>+HLOOKUP($C23,'NEW CAR'!$DI$2:$DU$250,189,0)</f>
        <v>2500.0499999999997</v>
      </c>
      <c r="CU23" s="106">
        <f>+HLOOKUP($C23,'NEW CAR'!$DI$2:$DU$250,190,0)</f>
        <v>2533.35</v>
      </c>
      <c r="CV23" s="106">
        <f>+HLOOKUP($C23,'NEW CAR'!$DI$2:$DU$250,191,0)</f>
        <v>0</v>
      </c>
      <c r="CW23" s="106">
        <f>+HLOOKUP($C23,'NEW CAR'!$DI$2:$DU$250,193,0)</f>
        <v>6177.166666666667</v>
      </c>
      <c r="CX23" s="106">
        <f>+HLOOKUP($C23,'NEW CAR'!$DI$2:$DU$250,194,0)</f>
        <v>591.83333333333337</v>
      </c>
      <c r="CY23" s="106">
        <f>+HLOOKUP($C23,'NEW CAR'!$DI$2:$DU$250,195,0)</f>
        <v>1375.059</v>
      </c>
      <c r="CZ23" s="106">
        <f>+HLOOKUP($C23,'NEW CAR'!$DI$2:$DU$250,196,0)</f>
        <v>0</v>
      </c>
      <c r="DA23" s="106">
        <f>+HLOOKUP($C23,'NEW CAR'!$DI$2:$DU$250,197,0)</f>
        <v>16416</v>
      </c>
      <c r="DB23" s="106">
        <f>+HLOOKUP($C23,'NEW CAR'!$DI$2:$DU$250,198,0)</f>
        <v>5055</v>
      </c>
      <c r="DC23" s="106">
        <f>+HLOOKUP($C23,'NEW CAR'!$DI$2:$DU$250,199,0)</f>
        <v>1080</v>
      </c>
      <c r="DD23" s="106">
        <f>+HLOOKUP($C23,'NEW CAR'!$DI$2:$DU$250,200,0)</f>
        <v>350</v>
      </c>
      <c r="DE23" s="106">
        <f>+HLOOKUP($C23,'NEW CAR'!$DI$2:$DU$250,201,0)</f>
        <v>74.25</v>
      </c>
      <c r="DF23" s="106">
        <f>+HLOOKUP($C23,'NEW CAR'!$DI$2:$DU$250,202,0)</f>
        <v>0</v>
      </c>
      <c r="DG23" s="106">
        <f>+HLOOKUP($C23,'NEW CAR'!$DI$2:$DU$250,203,0)</f>
        <v>0</v>
      </c>
      <c r="DH23" s="106">
        <f>+HLOOKUP($C23,'NEW CAR'!$DI$2:$DU$250,205,0)</f>
        <v>45415.943618181802</v>
      </c>
      <c r="DI23" s="106">
        <f>+HLOOKUP($C23,'NEW CAR'!$DI$2:$DU$250,206,0)</f>
        <v>4687.2888872727272</v>
      </c>
      <c r="DJ23" s="106">
        <f>+HLOOKUP($C23,'NEW CAR'!$DI$2:$DU$250,207,0)</f>
        <v>386.60249999999996</v>
      </c>
      <c r="DK23" s="106">
        <f>+HLOOKUP($C23,'NEW CAR'!$DI$2:$DU$250,209,0)</f>
        <v>0</v>
      </c>
      <c r="DL23" s="106">
        <f>+HLOOKUP($C23,'NEW CAR'!$DI$2:$DU$250,210,0)</f>
        <v>0</v>
      </c>
      <c r="DM23" s="106">
        <f>+HLOOKUP($C23,'NEW CAR'!$DI$2:$DU$250,211,0)</f>
        <v>116992.47656250001</v>
      </c>
      <c r="DN23" s="106">
        <f>+HLOOKUP($C23,'NEW CAR'!$DI$2:$DU$250,212,0)</f>
        <v>0</v>
      </c>
      <c r="DO23" s="106">
        <f>+HLOOKUP($C23,'NEW CAR'!$DI$2:$DU$250,214,0)</f>
        <v>0</v>
      </c>
      <c r="DP23" s="106">
        <f>+HLOOKUP($C23,'NEW CAR'!$DI$2:$DU$250,215,0)</f>
        <v>900</v>
      </c>
      <c r="DQ23" s="106">
        <f>+HLOOKUP($C23,'NEW CAR'!$DI$2:$DU$250,219,0)</f>
        <v>0</v>
      </c>
      <c r="DR23" s="106">
        <f>+HLOOKUP($C23,'NEW CAR'!$DI$2:$DU$250,220,0)</f>
        <v>0</v>
      </c>
      <c r="DS23" s="106">
        <f>+HLOOKUP($C23,'NEW CAR'!$DI$2:$DU$250,221,0)</f>
        <v>184000</v>
      </c>
      <c r="DT23" s="106">
        <f>+HLOOKUP($C23,'NEW CAR'!$DI$2:$DU$250,223,0)</f>
        <v>18750</v>
      </c>
      <c r="DU23" s="106">
        <f>+HLOOKUP($C23,'NEW CAR'!$DI$2:$DU$250,224,0)</f>
        <v>0</v>
      </c>
      <c r="DV23" s="106">
        <f>+HLOOKUP($C23,'NEW CAR'!$DI$2:$DU$250,225,0)</f>
        <v>0</v>
      </c>
      <c r="DW23" s="106">
        <f>+HLOOKUP($C23,'NEW CAR'!$DI$2:$DU$250,227,0)</f>
        <v>0</v>
      </c>
      <c r="DX23" s="106">
        <f>+HLOOKUP($C23,'NEW CAR'!$DI$2:$DU$250,228,0)</f>
        <v>0</v>
      </c>
      <c r="DY23" s="106">
        <f>+HLOOKUP($C23,'NEW CAR'!$DI$2:$DU$250,236,0)</f>
        <v>0</v>
      </c>
      <c r="DZ23" s="106">
        <f>+HLOOKUP($C23,'NEW CAR'!$DI$2:$DU$250,237,0)</f>
        <v>169859.44079197352</v>
      </c>
      <c r="EA23" s="106">
        <f>+HLOOKUP($C23,'NEW CAR'!$DI$2:$DU$250,238,0)</f>
        <v>0</v>
      </c>
      <c r="EB23" s="106">
        <f>+HLOOKUP($C23,'NEW CAR'!$DI$2:$DU$250,240,0)</f>
        <v>433516.25836428563</v>
      </c>
    </row>
    <row r="24" spans="1:132">
      <c r="A24" t="s">
        <v>271</v>
      </c>
      <c r="B24" t="s">
        <v>270</v>
      </c>
      <c r="C24" s="117">
        <v>45689</v>
      </c>
      <c r="D24" s="106">
        <f>+HLOOKUP(C24,'NEW CAR'!$DI$2:$DU$250,6,0)/3.5%</f>
        <v>73541442.839391112</v>
      </c>
      <c r="E24" s="106">
        <f>+HLOOKUP(C24,'NEW CAR'!$DI$2:$DU$250,5,0)+HLOOKUP(C24,'NEW CAR'!$DI$2:$DU$250,26,0)+HLOOKUP(C24,'NEW CAR'!$DI$2:$DU$250,59,0)</f>
        <v>4039047.2219633427</v>
      </c>
      <c r="F24" s="106"/>
      <c r="G24" s="106">
        <f>+HLOOKUP($C24,'NEW CAR'!$DI$2:$DU$250,76,0)</f>
        <v>84000</v>
      </c>
      <c r="H24" s="106">
        <f>+HLOOKUP($C24,'NEW CAR'!$DI$2:$DU$250,77,0)</f>
        <v>336000</v>
      </c>
      <c r="I24" s="106">
        <f>+HLOOKUP($C24,'NEW CAR'!$DI$2:$DU$250,78,0)</f>
        <v>0</v>
      </c>
      <c r="J24" s="106">
        <f>+HLOOKUP($C24,'NEW CAR'!$DI$2:$DU$250,79,0)</f>
        <v>140000</v>
      </c>
      <c r="K24" s="106">
        <f>+HLOOKUP($C24,'NEW CAR'!$DI$2:$DU$250,80,0)</f>
        <v>0</v>
      </c>
      <c r="L24" s="106">
        <f>+HLOOKUP($C24,'NEW CAR'!$DI$2:$DU$250,81,0)</f>
        <v>0</v>
      </c>
      <c r="M24" s="106">
        <f>+HLOOKUP($C24,'NEW CAR'!$DI$2:$DU$250,82,0)</f>
        <v>0</v>
      </c>
      <c r="N24" s="106">
        <f>+HLOOKUP($C24,'NEW CAR'!$DI$2:$DU$250,83,0)</f>
        <v>0</v>
      </c>
      <c r="O24" s="106">
        <f>+HLOOKUP($C24,'NEW CAR'!$DI$2:$DU$250,84,0)</f>
        <v>0</v>
      </c>
      <c r="P24" s="106">
        <f>+HLOOKUP($C24,'NEW CAR'!$DI$2:$DU$250,85,0)</f>
        <v>0</v>
      </c>
      <c r="Q24" s="106">
        <f>+HLOOKUP($C24,'NEW CAR'!$DI$2:$DU$250,87,0)</f>
        <v>490000</v>
      </c>
      <c r="R24" s="106">
        <f>+HLOOKUP($C24,'NEW CAR'!$DI$2:$DU$250,90,0)</f>
        <v>8400</v>
      </c>
      <c r="S24" s="106">
        <f>+HLOOKUP($C24,'NEW CAR'!$DI$2:$DU$250,91,0)</f>
        <v>0</v>
      </c>
      <c r="T24" s="106">
        <f>+HLOOKUP($C24,'NEW CAR'!$DI$2:$DU$250,92,0)</f>
        <v>210000</v>
      </c>
      <c r="U24" s="106">
        <f>+HLOOKUP($C24,'NEW CAR'!$DI$2:$DU$250,93,0)</f>
        <v>7000</v>
      </c>
      <c r="V24" s="106">
        <f>+HLOOKUP($C24,'NEW CAR'!$DI$2:$DU$250,94,0)</f>
        <v>0</v>
      </c>
      <c r="W24" s="106">
        <f>+HLOOKUP($C24,'NEW CAR'!$DI$2:$DU$250,95,0)</f>
        <v>20000</v>
      </c>
      <c r="X24" s="106">
        <f>+HLOOKUP($C24,'NEW CAR'!$DI$2:$DU$250,96,0)</f>
        <v>30000</v>
      </c>
      <c r="Y24" s="106">
        <f>+HLOOKUP($C24,'NEW CAR'!$DI$2:$DU$250,97,0)</f>
        <v>70000</v>
      </c>
      <c r="Z24" s="106">
        <f>+HLOOKUP($C24,'NEW CAR'!$DI$2:$DU$250,98,0)</f>
        <v>0</v>
      </c>
      <c r="AA24" s="106">
        <f>+HLOOKUP($C24,'NEW CAR'!$DI$2:$DU$250,99,0)</f>
        <v>0</v>
      </c>
      <c r="AB24" s="106">
        <f>+HLOOKUP($C24,'NEW CAR'!$DI$2:$DU$250,100,0)</f>
        <v>28000</v>
      </c>
      <c r="AC24" s="106">
        <f>+HLOOKUP($C24,'NEW CAR'!$DI$2:$DU$250,101,0)</f>
        <v>8400</v>
      </c>
      <c r="AD24" s="106">
        <f>+HLOOKUP($C24,'NEW CAR'!$DI$2:$DU$250,104,0)</f>
        <v>14000</v>
      </c>
      <c r="AE24" s="106">
        <f>+HLOOKUP($C24,'NEW CAR'!$DI$2:$DU$250,105,0)</f>
        <v>116550</v>
      </c>
      <c r="AF24" s="106">
        <f>+HLOOKUP($C24,'NEW CAR'!$DI$2:$DU$250,106,0)</f>
        <v>46620</v>
      </c>
      <c r="AG24" s="106">
        <f>+HLOOKUP($C24,'NEW CAR'!$DI$2:$DU$250,107,0)</f>
        <v>163170</v>
      </c>
      <c r="AH24" s="106">
        <f>+HLOOKUP($C24,'NEW CAR'!$DI$2:$DU$250,108,0)</f>
        <v>0</v>
      </c>
      <c r="AI24" s="106">
        <f>+HLOOKUP($C24,'NEW CAR'!$DI$2:$DU$250,109,0)</f>
        <v>139860</v>
      </c>
      <c r="AJ24" s="106">
        <f>+HLOOKUP($C24,'NEW CAR'!$DI$2:$DU$250,110,0)</f>
        <v>0</v>
      </c>
      <c r="AK24" s="106">
        <f>+HLOOKUP($C24,'NEW CAR'!$DI$2:$DU$250,111,0)</f>
        <v>0</v>
      </c>
      <c r="AL24" s="106">
        <f>+HLOOKUP($C24,'NEW CAR'!$DI$2:$DU$250,112,0)</f>
        <v>0</v>
      </c>
      <c r="AM24" s="106">
        <f>+HLOOKUP($C24,'NEW CAR'!$DI$2:$DU$250,116,0)</f>
        <v>390400</v>
      </c>
      <c r="AN24" s="106">
        <f>+HLOOKUP($C24,'NEW CAR'!$DI$2:$DU$250,117,0)</f>
        <v>59650</v>
      </c>
      <c r="AO24" s="106">
        <f>+HLOOKUP($C24,'NEW CAR'!$DI$2:$DU$250,118,0)</f>
        <v>9000</v>
      </c>
      <c r="AP24" s="106">
        <f>+HLOOKUP($C24,'NEW CAR'!$DI$2:$DU$250,119,0)</f>
        <v>131200</v>
      </c>
      <c r="AQ24" s="106">
        <f>+HLOOKUP($C24,'NEW CAR'!$DI$2:$DU$250,120,0)</f>
        <v>34500</v>
      </c>
      <c r="AR24" s="106">
        <f>+HLOOKUP($C24,'NEW CAR'!$DI$2:$DU$250,121,0)</f>
        <v>10350</v>
      </c>
      <c r="AS24" s="106">
        <f>+HLOOKUP($C24,'NEW CAR'!$DI$2:$DU$250,122,0)</f>
        <v>183900</v>
      </c>
      <c r="AT24" s="106">
        <f>+HLOOKUP($C24,'NEW CAR'!$DI$2:$DU$250,123,0)</f>
        <v>43454.504708333327</v>
      </c>
      <c r="AU24" s="106">
        <f>+HLOOKUP($C24,'NEW CAR'!$DI$2:$DU$250,124,0)</f>
        <v>2066.25</v>
      </c>
      <c r="AV24" s="106">
        <f>+HLOOKUP($C24,'NEW CAR'!$DI$2:$DU$250,125,0)</f>
        <v>39225</v>
      </c>
      <c r="AW24" s="106">
        <f>+HLOOKUP($C24,'NEW CAR'!$DI$2:$DU$250,126,0)</f>
        <v>18769.230769230773</v>
      </c>
      <c r="AX24" s="106">
        <f>+HLOOKUP($C24,'NEW CAR'!$DI$2:$DU$250,127,0)</f>
        <v>24574.999999999996</v>
      </c>
      <c r="AY24" s="106">
        <f>+HLOOKUP($C24,'NEW CAR'!$DI$2:$DU$250,129,0)</f>
        <v>0</v>
      </c>
      <c r="AZ24" s="106">
        <f>+HLOOKUP($C24,'NEW CAR'!$DI$2:$DU$250,130,0)</f>
        <v>0</v>
      </c>
      <c r="BA24" s="106">
        <f>+HLOOKUP($C24,'NEW CAR'!$DI$2:$DU$250,131,0)</f>
        <v>96400</v>
      </c>
      <c r="BB24" s="106">
        <f>+HLOOKUP($C24,'NEW CAR'!$DI$2:$DU$250,133,0)</f>
        <v>0</v>
      </c>
      <c r="BC24" s="106">
        <f>+HLOOKUP($C24,'NEW CAR'!$DI$2:$DU$250,134,0)</f>
        <v>63508.417999999983</v>
      </c>
      <c r="BD24" s="106">
        <f>+HLOOKUP($C24,'NEW CAR'!$DI$2:$DU$250,135,0)</f>
        <v>0</v>
      </c>
      <c r="BE24" s="106">
        <f>+HLOOKUP($C24,'NEW CAR'!$DI$2:$DU$250,136,0)</f>
        <v>0</v>
      </c>
      <c r="BF24" s="106">
        <f>+HLOOKUP($C24,'NEW CAR'!$DI$2:$DU$250,138,0)</f>
        <v>10250</v>
      </c>
      <c r="BG24" s="106">
        <f>+HLOOKUP($C24,'NEW CAR'!$DI$2:$DU$250,139,0)</f>
        <v>14139.976249999998</v>
      </c>
      <c r="BH24" s="106">
        <f>+HLOOKUP($C24,'NEW CAR'!$DI$2:$DU$250,140,0)</f>
        <v>0</v>
      </c>
      <c r="BI24" s="106">
        <f>+HLOOKUP($C24,'NEW CAR'!$DI$2:$DU$250,141,0)</f>
        <v>0</v>
      </c>
      <c r="BJ24" s="106">
        <f>+HLOOKUP($C24,'NEW CAR'!$DI$2:$DU$250,142,0)</f>
        <v>0</v>
      </c>
      <c r="BK24" s="106">
        <f>+HLOOKUP($C24,'NEW CAR'!$DI$2:$DU$250,143,0)</f>
        <v>26971.833333333332</v>
      </c>
      <c r="BL24" s="106">
        <f>+HLOOKUP($C24,'NEW CAR'!$DI$2:$DU$250,144,0)</f>
        <v>2239.5833333333335</v>
      </c>
      <c r="BM24" s="106">
        <f>+HLOOKUP($C24,'NEW CAR'!$DI$2:$DU$250,146,0)</f>
        <v>0</v>
      </c>
      <c r="BN24" s="106">
        <f>+HLOOKUP($C24,'NEW CAR'!$DI$2:$DU$250,147,0)</f>
        <v>35000</v>
      </c>
      <c r="BO24" s="106">
        <f>+HLOOKUP($C24,'NEW CAR'!$DI$2:$DU$250,148,0)</f>
        <v>0</v>
      </c>
      <c r="BP24" s="106">
        <f>+HLOOKUP($C24,'NEW CAR'!$DI$2:$DU$250,150,0)</f>
        <v>32219.599999999999</v>
      </c>
      <c r="BQ24" s="106">
        <f>+HLOOKUP($C24,'NEW CAR'!$DI$2:$DU$250,151,0)</f>
        <v>2480.5</v>
      </c>
      <c r="BR24" s="106">
        <f>+HLOOKUP($C24,'NEW CAR'!$DI$2:$DU$250,152,0)</f>
        <v>16000</v>
      </c>
      <c r="BS24" s="106">
        <f>+HLOOKUP($C24,'NEW CAR'!$DI$2:$DU$250,153,0)</f>
        <v>3000</v>
      </c>
      <c r="BT24" s="106">
        <f>+HLOOKUP($C24,'NEW CAR'!$DI$2:$DU$250,157,0)</f>
        <v>10600</v>
      </c>
      <c r="BU24" s="106">
        <f>+HLOOKUP($C24,'NEW CAR'!$DI$2:$DU$250,158,0)</f>
        <v>2175</v>
      </c>
      <c r="BV24" s="106">
        <f>+HLOOKUP($C24,'NEW CAR'!$DI$2:$DU$250,159,0)</f>
        <v>0</v>
      </c>
      <c r="BW24" s="106">
        <f>+HLOOKUP($C24,'NEW CAR'!$DI$2:$DU$250,160,0)</f>
        <v>11000</v>
      </c>
      <c r="BX24" s="106">
        <f>+HLOOKUP($C24,'NEW CAR'!$DI$2:$DU$250,161,0)</f>
        <v>12212.30128</v>
      </c>
      <c r="BY24" s="106">
        <f>+HLOOKUP($C24,'NEW CAR'!$DI$2:$DU$250,164,0)</f>
        <v>0</v>
      </c>
      <c r="BZ24" s="106">
        <f>+HLOOKUP($C24,'NEW CAR'!$DI$2:$DU$250,165,0)</f>
        <v>0</v>
      </c>
      <c r="CA24" s="106">
        <f>+HLOOKUP($C24,'NEW CAR'!$DI$2:$DU$250,166,0)</f>
        <v>0</v>
      </c>
      <c r="CB24" s="106">
        <f>+HLOOKUP($C24,'NEW CAR'!$DI$2:$DU$250,167,0)</f>
        <v>0</v>
      </c>
      <c r="CC24" s="106">
        <f>+HLOOKUP($C24,'NEW CAR'!$DI$2:$DU$250,168,0)</f>
        <v>0</v>
      </c>
      <c r="CD24" s="106">
        <f>+HLOOKUP($C24,'NEW CAR'!$DI$2:$DU$250,169,0)</f>
        <v>0</v>
      </c>
      <c r="CE24" s="106">
        <f>+HLOOKUP($C24,'NEW CAR'!$DI$2:$DU$250,170,0)</f>
        <v>0</v>
      </c>
      <c r="CF24" s="106">
        <f>+HLOOKUP($C24,'NEW CAR'!$DI$2:$DU$250,172,0)</f>
        <v>18000</v>
      </c>
      <c r="CG24" s="106">
        <f>+HLOOKUP($C24,'NEW CAR'!$DI$2:$DU$250,173,0)</f>
        <v>0</v>
      </c>
      <c r="CH24" s="106">
        <f>+HLOOKUP($C24,'NEW CAR'!$DI$2:$DU$250,174,0)</f>
        <v>0</v>
      </c>
      <c r="CI24" s="106">
        <f>+HLOOKUP($C24,'NEW CAR'!$DI$2:$DU$250,175,0)</f>
        <v>0</v>
      </c>
      <c r="CJ24" s="106">
        <f>+HLOOKUP($C24,'NEW CAR'!$DI$2:$DU$250,176,0)</f>
        <v>5925</v>
      </c>
      <c r="CK24" s="106">
        <f>+HLOOKUP($C24,'NEW CAR'!$DI$2:$DU$250,178,0)</f>
        <v>60000</v>
      </c>
      <c r="CL24" s="106">
        <f>+HLOOKUP($C24,'NEW CAR'!$DI$2:$DU$250,179,0)</f>
        <v>0</v>
      </c>
      <c r="CM24" s="106">
        <f>+HLOOKUP($C24,'NEW CAR'!$DI$2:$DU$250,180,0)</f>
        <v>14700</v>
      </c>
      <c r="CN24" s="106">
        <f>+HLOOKUP($C24,'NEW CAR'!$DI$2:$DU$250,182,0)</f>
        <v>614.25</v>
      </c>
      <c r="CO24" s="106">
        <f>+HLOOKUP($C24,'NEW CAR'!$DI$2:$DU$250,183,0)</f>
        <v>11725.5</v>
      </c>
      <c r="CP24" s="106">
        <f>+HLOOKUP($C24,'NEW CAR'!$DI$2:$DU$250,184,0)</f>
        <v>5400</v>
      </c>
      <c r="CQ24" s="106">
        <f>+HLOOKUP($C24,'NEW CAR'!$DI$2:$DU$250,185,0)</f>
        <v>0</v>
      </c>
      <c r="CR24" s="106">
        <f>+HLOOKUP($C24,'NEW CAR'!$DI$2:$DU$250,187,0)</f>
        <v>3124.7999999999997</v>
      </c>
      <c r="CS24" s="106">
        <f>+HLOOKUP($C24,'NEW CAR'!$DI$2:$DU$250,188,0)</f>
        <v>3975</v>
      </c>
      <c r="CT24" s="106">
        <f>+HLOOKUP($C24,'NEW CAR'!$DI$2:$DU$250,189,0)</f>
        <v>2500.0499999999997</v>
      </c>
      <c r="CU24" s="106">
        <f>+HLOOKUP($C24,'NEW CAR'!$DI$2:$DU$250,190,0)</f>
        <v>2533.35</v>
      </c>
      <c r="CV24" s="106">
        <f>+HLOOKUP($C24,'NEW CAR'!$DI$2:$DU$250,191,0)</f>
        <v>0</v>
      </c>
      <c r="CW24" s="106">
        <f>+HLOOKUP($C24,'NEW CAR'!$DI$2:$DU$250,193,0)</f>
        <v>6177.166666666667</v>
      </c>
      <c r="CX24" s="106">
        <f>+HLOOKUP($C24,'NEW CAR'!$DI$2:$DU$250,194,0)</f>
        <v>591.83333333333337</v>
      </c>
      <c r="CY24" s="106">
        <f>+HLOOKUP($C24,'NEW CAR'!$DI$2:$DU$250,195,0)</f>
        <v>1375.059</v>
      </c>
      <c r="CZ24" s="106">
        <f>+HLOOKUP($C24,'NEW CAR'!$DI$2:$DU$250,196,0)</f>
        <v>0</v>
      </c>
      <c r="DA24" s="106">
        <f>+HLOOKUP($C24,'NEW CAR'!$DI$2:$DU$250,197,0)</f>
        <v>16416</v>
      </c>
      <c r="DB24" s="106">
        <f>+HLOOKUP($C24,'NEW CAR'!$DI$2:$DU$250,198,0)</f>
        <v>5055</v>
      </c>
      <c r="DC24" s="106">
        <f>+HLOOKUP($C24,'NEW CAR'!$DI$2:$DU$250,199,0)</f>
        <v>1080</v>
      </c>
      <c r="DD24" s="106">
        <f>+HLOOKUP($C24,'NEW CAR'!$DI$2:$DU$250,200,0)</f>
        <v>350</v>
      </c>
      <c r="DE24" s="106">
        <f>+HLOOKUP($C24,'NEW CAR'!$DI$2:$DU$250,201,0)</f>
        <v>74.25</v>
      </c>
      <c r="DF24" s="106">
        <f>+HLOOKUP($C24,'NEW CAR'!$DI$2:$DU$250,202,0)</f>
        <v>0</v>
      </c>
      <c r="DG24" s="106">
        <f>+HLOOKUP($C24,'NEW CAR'!$DI$2:$DU$250,203,0)</f>
        <v>0</v>
      </c>
      <c r="DH24" s="106">
        <f>+HLOOKUP($C24,'NEW CAR'!$DI$2:$DU$250,205,0)</f>
        <v>45415.943618181802</v>
      </c>
      <c r="DI24" s="106">
        <f>+HLOOKUP($C24,'NEW CAR'!$DI$2:$DU$250,206,0)</f>
        <v>4687.2888872727272</v>
      </c>
      <c r="DJ24" s="106">
        <f>+HLOOKUP($C24,'NEW CAR'!$DI$2:$DU$250,207,0)</f>
        <v>386.60249999999996</v>
      </c>
      <c r="DK24" s="106">
        <f>+HLOOKUP($C24,'NEW CAR'!$DI$2:$DU$250,209,0)</f>
        <v>0</v>
      </c>
      <c r="DL24" s="106">
        <f>+HLOOKUP($C24,'NEW CAR'!$DI$2:$DU$250,210,0)</f>
        <v>0</v>
      </c>
      <c r="DM24" s="106">
        <f>+HLOOKUP($C24,'NEW CAR'!$DI$2:$DU$250,211,0)</f>
        <v>116992.47656250001</v>
      </c>
      <c r="DN24" s="106">
        <f>+HLOOKUP($C24,'NEW CAR'!$DI$2:$DU$250,212,0)</f>
        <v>0</v>
      </c>
      <c r="DO24" s="106">
        <f>+HLOOKUP($C24,'NEW CAR'!$DI$2:$DU$250,214,0)</f>
        <v>0</v>
      </c>
      <c r="DP24" s="106">
        <f>+HLOOKUP($C24,'NEW CAR'!$DI$2:$DU$250,215,0)</f>
        <v>900</v>
      </c>
      <c r="DQ24" s="106">
        <f>+HLOOKUP($C24,'NEW CAR'!$DI$2:$DU$250,219,0)</f>
        <v>0</v>
      </c>
      <c r="DR24" s="106">
        <f>+HLOOKUP($C24,'NEW CAR'!$DI$2:$DU$250,220,0)</f>
        <v>0</v>
      </c>
      <c r="DS24" s="106">
        <f>+HLOOKUP($C24,'NEW CAR'!$DI$2:$DU$250,221,0)</f>
        <v>184000</v>
      </c>
      <c r="DT24" s="106">
        <f>+HLOOKUP($C24,'NEW CAR'!$DI$2:$DU$250,223,0)</f>
        <v>18750</v>
      </c>
      <c r="DU24" s="106">
        <f>+HLOOKUP($C24,'NEW CAR'!$DI$2:$DU$250,224,0)</f>
        <v>0</v>
      </c>
      <c r="DV24" s="106">
        <f>+HLOOKUP($C24,'NEW CAR'!$DI$2:$DU$250,225,0)</f>
        <v>0</v>
      </c>
      <c r="DW24" s="106">
        <f>+HLOOKUP($C24,'NEW CAR'!$DI$2:$DU$250,227,0)</f>
        <v>0</v>
      </c>
      <c r="DX24" s="106">
        <f>+HLOOKUP($C24,'NEW CAR'!$DI$2:$DU$250,228,0)</f>
        <v>0</v>
      </c>
      <c r="DY24" s="106">
        <f>+HLOOKUP($C24,'NEW CAR'!$DI$2:$DU$250,236,0)</f>
        <v>0</v>
      </c>
      <c r="DZ24" s="106">
        <f>+HLOOKUP($C24,'NEW CAR'!$DI$2:$DU$250,237,0)</f>
        <v>155363.47377139685</v>
      </c>
      <c r="EA24" s="106">
        <f>+HLOOKUP($C24,'NEW CAR'!$DI$2:$DU$250,238,0)</f>
        <v>0</v>
      </c>
      <c r="EB24" s="106">
        <f>+HLOOKUP($C24,'NEW CAR'!$DI$2:$DU$250,240,0)</f>
        <v>433516.25836428563</v>
      </c>
    </row>
    <row r="25" spans="1:132">
      <c r="A25" t="s">
        <v>271</v>
      </c>
      <c r="B25" t="s">
        <v>270</v>
      </c>
      <c r="C25" s="117">
        <v>45658</v>
      </c>
      <c r="D25" s="106">
        <f>+HLOOKUP(C25,'NEW CAR'!$DI$2:$DU$250,6,0)/3.5%</f>
        <v>69819536.036036044</v>
      </c>
      <c r="E25" s="106">
        <f>+HLOOKUP(C25,'NEW CAR'!$DI$2:$DU$250,5,0)+HLOOKUP(C25,'NEW CAR'!$DI$2:$DU$250,26,0)+HLOOKUP(C25,'NEW CAR'!$DI$2:$DU$250,59,0)</f>
        <v>4634543.2207207214</v>
      </c>
      <c r="F25" s="106"/>
      <c r="G25" s="106">
        <f>+HLOOKUP($C25,'NEW CAR'!$DI$2:$DU$250,76,0)</f>
        <v>78000</v>
      </c>
      <c r="H25" s="106">
        <f>+HLOOKUP($C25,'NEW CAR'!$DI$2:$DU$250,77,0)</f>
        <v>312000</v>
      </c>
      <c r="I25" s="106">
        <f>+HLOOKUP($C25,'NEW CAR'!$DI$2:$DU$250,78,0)</f>
        <v>0</v>
      </c>
      <c r="J25" s="106">
        <f>+HLOOKUP($C25,'NEW CAR'!$DI$2:$DU$250,79,0)</f>
        <v>130000</v>
      </c>
      <c r="K25" s="106">
        <f>+HLOOKUP($C25,'NEW CAR'!$DI$2:$DU$250,80,0)</f>
        <v>0</v>
      </c>
      <c r="L25" s="106">
        <f>+HLOOKUP($C25,'NEW CAR'!$DI$2:$DU$250,81,0)</f>
        <v>0</v>
      </c>
      <c r="M25" s="106">
        <f>+HLOOKUP($C25,'NEW CAR'!$DI$2:$DU$250,82,0)</f>
        <v>0</v>
      </c>
      <c r="N25" s="106">
        <f>+HLOOKUP($C25,'NEW CAR'!$DI$2:$DU$250,83,0)</f>
        <v>0</v>
      </c>
      <c r="O25" s="106">
        <f>+HLOOKUP($C25,'NEW CAR'!$DI$2:$DU$250,84,0)</f>
        <v>0</v>
      </c>
      <c r="P25" s="106">
        <f>+HLOOKUP($C25,'NEW CAR'!$DI$2:$DU$250,85,0)</f>
        <v>0</v>
      </c>
      <c r="Q25" s="106">
        <f>+HLOOKUP($C25,'NEW CAR'!$DI$2:$DU$250,87,0)</f>
        <v>455000</v>
      </c>
      <c r="R25" s="106">
        <f>+HLOOKUP($C25,'NEW CAR'!$DI$2:$DU$250,90,0)</f>
        <v>7800</v>
      </c>
      <c r="S25" s="106">
        <f>+HLOOKUP($C25,'NEW CAR'!$DI$2:$DU$250,91,0)</f>
        <v>0</v>
      </c>
      <c r="T25" s="106">
        <f>+HLOOKUP($C25,'NEW CAR'!$DI$2:$DU$250,92,0)</f>
        <v>195000</v>
      </c>
      <c r="U25" s="106">
        <f>+HLOOKUP($C25,'NEW CAR'!$DI$2:$DU$250,93,0)</f>
        <v>6500</v>
      </c>
      <c r="V25" s="106">
        <f>+HLOOKUP($C25,'NEW CAR'!$DI$2:$DU$250,94,0)</f>
        <v>0</v>
      </c>
      <c r="W25" s="106">
        <f>+HLOOKUP($C25,'NEW CAR'!$DI$2:$DU$250,95,0)</f>
        <v>20000</v>
      </c>
      <c r="X25" s="106">
        <f>+HLOOKUP($C25,'NEW CAR'!$DI$2:$DU$250,96,0)</f>
        <v>30000</v>
      </c>
      <c r="Y25" s="106">
        <f>+HLOOKUP($C25,'NEW CAR'!$DI$2:$DU$250,97,0)</f>
        <v>65000</v>
      </c>
      <c r="Z25" s="106">
        <f>+HLOOKUP($C25,'NEW CAR'!$DI$2:$DU$250,98,0)</f>
        <v>0</v>
      </c>
      <c r="AA25" s="106">
        <f>+HLOOKUP($C25,'NEW CAR'!$DI$2:$DU$250,99,0)</f>
        <v>0</v>
      </c>
      <c r="AB25" s="106">
        <f>+HLOOKUP($C25,'NEW CAR'!$DI$2:$DU$250,100,0)</f>
        <v>26000</v>
      </c>
      <c r="AC25" s="106">
        <f>+HLOOKUP($C25,'NEW CAR'!$DI$2:$DU$250,101,0)</f>
        <v>7800</v>
      </c>
      <c r="AD25" s="106">
        <f>+HLOOKUP($C25,'NEW CAR'!$DI$2:$DU$250,104,0)</f>
        <v>13000</v>
      </c>
      <c r="AE25" s="106">
        <f>+HLOOKUP($C25,'NEW CAR'!$DI$2:$DU$250,105,0)</f>
        <v>108225</v>
      </c>
      <c r="AF25" s="106">
        <f>+HLOOKUP($C25,'NEW CAR'!$DI$2:$DU$250,106,0)</f>
        <v>43290</v>
      </c>
      <c r="AG25" s="106">
        <f>+HLOOKUP($C25,'NEW CAR'!$DI$2:$DU$250,107,0)</f>
        <v>151515</v>
      </c>
      <c r="AH25" s="106">
        <f>+HLOOKUP($C25,'NEW CAR'!$DI$2:$DU$250,108,0)</f>
        <v>0</v>
      </c>
      <c r="AI25" s="106">
        <f>+HLOOKUP($C25,'NEW CAR'!$DI$2:$DU$250,109,0)</f>
        <v>129870</v>
      </c>
      <c r="AJ25" s="106">
        <f>+HLOOKUP($C25,'NEW CAR'!$DI$2:$DU$250,110,0)</f>
        <v>0</v>
      </c>
      <c r="AK25" s="106">
        <f>+HLOOKUP($C25,'NEW CAR'!$DI$2:$DU$250,111,0)</f>
        <v>0</v>
      </c>
      <c r="AL25" s="106">
        <f>+HLOOKUP($C25,'NEW CAR'!$DI$2:$DU$250,112,0)</f>
        <v>0</v>
      </c>
      <c r="AM25" s="106">
        <f>+HLOOKUP($C25,'NEW CAR'!$DI$2:$DU$250,116,0)</f>
        <v>390400</v>
      </c>
      <c r="AN25" s="106">
        <f>+HLOOKUP($C25,'NEW CAR'!$DI$2:$DU$250,117,0)</f>
        <v>59650</v>
      </c>
      <c r="AO25" s="106">
        <f>+HLOOKUP($C25,'NEW CAR'!$DI$2:$DU$250,118,0)</f>
        <v>9000</v>
      </c>
      <c r="AP25" s="106">
        <f>+HLOOKUP($C25,'NEW CAR'!$DI$2:$DU$250,119,0)</f>
        <v>131200</v>
      </c>
      <c r="AQ25" s="106">
        <f>+HLOOKUP($C25,'NEW CAR'!$DI$2:$DU$250,120,0)</f>
        <v>34500</v>
      </c>
      <c r="AR25" s="106">
        <f>+HLOOKUP($C25,'NEW CAR'!$DI$2:$DU$250,121,0)</f>
        <v>10350</v>
      </c>
      <c r="AS25" s="106">
        <f>+HLOOKUP($C25,'NEW CAR'!$DI$2:$DU$250,122,0)</f>
        <v>183900</v>
      </c>
      <c r="AT25" s="106">
        <f>+HLOOKUP($C25,'NEW CAR'!$DI$2:$DU$250,123,0)</f>
        <v>43454.504708333327</v>
      </c>
      <c r="AU25" s="106">
        <f>+HLOOKUP($C25,'NEW CAR'!$DI$2:$DU$250,124,0)</f>
        <v>2066.25</v>
      </c>
      <c r="AV25" s="106">
        <f>+HLOOKUP($C25,'NEW CAR'!$DI$2:$DU$250,125,0)</f>
        <v>39225</v>
      </c>
      <c r="AW25" s="106">
        <f>+HLOOKUP($C25,'NEW CAR'!$DI$2:$DU$250,126,0)</f>
        <v>18769.230769230773</v>
      </c>
      <c r="AX25" s="106">
        <f>+HLOOKUP($C25,'NEW CAR'!$DI$2:$DU$250,127,0)</f>
        <v>24574.999999999996</v>
      </c>
      <c r="AY25" s="106">
        <f>+HLOOKUP($C25,'NEW CAR'!$DI$2:$DU$250,129,0)</f>
        <v>0</v>
      </c>
      <c r="AZ25" s="106">
        <f>+HLOOKUP($C25,'NEW CAR'!$DI$2:$DU$250,130,0)</f>
        <v>0</v>
      </c>
      <c r="BA25" s="106">
        <f>+HLOOKUP($C25,'NEW CAR'!$DI$2:$DU$250,131,0)</f>
        <v>96400</v>
      </c>
      <c r="BB25" s="106">
        <f>+HLOOKUP($C25,'NEW CAR'!$DI$2:$DU$250,133,0)</f>
        <v>0</v>
      </c>
      <c r="BC25" s="106">
        <f>+HLOOKUP($C25,'NEW CAR'!$DI$2:$DU$250,134,0)</f>
        <v>63508.417999999983</v>
      </c>
      <c r="BD25" s="106">
        <f>+HLOOKUP($C25,'NEW CAR'!$DI$2:$DU$250,135,0)</f>
        <v>0</v>
      </c>
      <c r="BE25" s="106">
        <f>+HLOOKUP($C25,'NEW CAR'!$DI$2:$DU$250,136,0)</f>
        <v>0</v>
      </c>
      <c r="BF25" s="106">
        <f>+HLOOKUP($C25,'NEW CAR'!$DI$2:$DU$250,138,0)</f>
        <v>10250</v>
      </c>
      <c r="BG25" s="106">
        <f>+HLOOKUP($C25,'NEW CAR'!$DI$2:$DU$250,139,0)</f>
        <v>14139.976249999998</v>
      </c>
      <c r="BH25" s="106">
        <f>+HLOOKUP($C25,'NEW CAR'!$DI$2:$DU$250,140,0)</f>
        <v>0</v>
      </c>
      <c r="BI25" s="106">
        <f>+HLOOKUP($C25,'NEW CAR'!$DI$2:$DU$250,141,0)</f>
        <v>0</v>
      </c>
      <c r="BJ25" s="106">
        <f>+HLOOKUP($C25,'NEW CAR'!$DI$2:$DU$250,142,0)</f>
        <v>0</v>
      </c>
      <c r="BK25" s="106">
        <f>+HLOOKUP($C25,'NEW CAR'!$DI$2:$DU$250,143,0)</f>
        <v>26971.833333333332</v>
      </c>
      <c r="BL25" s="106">
        <f>+HLOOKUP($C25,'NEW CAR'!$DI$2:$DU$250,144,0)</f>
        <v>2239.5833333333335</v>
      </c>
      <c r="BM25" s="106">
        <f>+HLOOKUP($C25,'NEW CAR'!$DI$2:$DU$250,146,0)</f>
        <v>0</v>
      </c>
      <c r="BN25" s="106">
        <f>+HLOOKUP($C25,'NEW CAR'!$DI$2:$DU$250,147,0)</f>
        <v>35000</v>
      </c>
      <c r="BO25" s="106">
        <f>+HLOOKUP($C25,'NEW CAR'!$DI$2:$DU$250,148,0)</f>
        <v>0</v>
      </c>
      <c r="BP25" s="106">
        <f>+HLOOKUP($C25,'NEW CAR'!$DI$2:$DU$250,150,0)</f>
        <v>32219.599999999999</v>
      </c>
      <c r="BQ25" s="106">
        <f>+HLOOKUP($C25,'NEW CAR'!$DI$2:$DU$250,151,0)</f>
        <v>2480.5</v>
      </c>
      <c r="BR25" s="106">
        <f>+HLOOKUP($C25,'NEW CAR'!$DI$2:$DU$250,152,0)</f>
        <v>16000</v>
      </c>
      <c r="BS25" s="106">
        <f>+HLOOKUP($C25,'NEW CAR'!$DI$2:$DU$250,153,0)</f>
        <v>3000</v>
      </c>
      <c r="BT25" s="106">
        <f>+HLOOKUP($C25,'NEW CAR'!$DI$2:$DU$250,157,0)</f>
        <v>10600</v>
      </c>
      <c r="BU25" s="106">
        <f>+HLOOKUP($C25,'NEW CAR'!$DI$2:$DU$250,158,0)</f>
        <v>2175</v>
      </c>
      <c r="BV25" s="106">
        <f>+HLOOKUP($C25,'NEW CAR'!$DI$2:$DU$250,159,0)</f>
        <v>0</v>
      </c>
      <c r="BW25" s="106">
        <f>+HLOOKUP($C25,'NEW CAR'!$DI$2:$DU$250,160,0)</f>
        <v>11000</v>
      </c>
      <c r="BX25" s="106">
        <f>+HLOOKUP($C25,'NEW CAR'!$DI$2:$DU$250,161,0)</f>
        <v>12212.30128</v>
      </c>
      <c r="BY25" s="106">
        <f>+HLOOKUP($C25,'NEW CAR'!$DI$2:$DU$250,164,0)</f>
        <v>0</v>
      </c>
      <c r="BZ25" s="106">
        <f>+HLOOKUP($C25,'NEW CAR'!$DI$2:$DU$250,165,0)</f>
        <v>0</v>
      </c>
      <c r="CA25" s="106">
        <f>+HLOOKUP($C25,'NEW CAR'!$DI$2:$DU$250,166,0)</f>
        <v>0</v>
      </c>
      <c r="CB25" s="106">
        <f>+HLOOKUP($C25,'NEW CAR'!$DI$2:$DU$250,167,0)</f>
        <v>0</v>
      </c>
      <c r="CC25" s="106">
        <f>+HLOOKUP($C25,'NEW CAR'!$DI$2:$DU$250,168,0)</f>
        <v>0</v>
      </c>
      <c r="CD25" s="106">
        <f>+HLOOKUP($C25,'NEW CAR'!$DI$2:$DU$250,169,0)</f>
        <v>0</v>
      </c>
      <c r="CE25" s="106">
        <f>+HLOOKUP($C25,'NEW CAR'!$DI$2:$DU$250,170,0)</f>
        <v>0</v>
      </c>
      <c r="CF25" s="106">
        <f>+HLOOKUP($C25,'NEW CAR'!$DI$2:$DU$250,172,0)</f>
        <v>18000</v>
      </c>
      <c r="CG25" s="106">
        <f>+HLOOKUP($C25,'NEW CAR'!$DI$2:$DU$250,173,0)</f>
        <v>0</v>
      </c>
      <c r="CH25" s="106">
        <f>+HLOOKUP($C25,'NEW CAR'!$DI$2:$DU$250,174,0)</f>
        <v>0</v>
      </c>
      <c r="CI25" s="106">
        <f>+HLOOKUP($C25,'NEW CAR'!$DI$2:$DU$250,175,0)</f>
        <v>0</v>
      </c>
      <c r="CJ25" s="106">
        <f>+HLOOKUP($C25,'NEW CAR'!$DI$2:$DU$250,176,0)</f>
        <v>5925</v>
      </c>
      <c r="CK25" s="106">
        <f>+HLOOKUP($C25,'NEW CAR'!$DI$2:$DU$250,178,0)</f>
        <v>60000</v>
      </c>
      <c r="CL25" s="106">
        <f>+HLOOKUP($C25,'NEW CAR'!$DI$2:$DU$250,179,0)</f>
        <v>0</v>
      </c>
      <c r="CM25" s="106">
        <f>+HLOOKUP($C25,'NEW CAR'!$DI$2:$DU$250,180,0)</f>
        <v>14700</v>
      </c>
      <c r="CN25" s="106">
        <f>+HLOOKUP($C25,'NEW CAR'!$DI$2:$DU$250,182,0)</f>
        <v>614.25</v>
      </c>
      <c r="CO25" s="106">
        <f>+HLOOKUP($C25,'NEW CAR'!$DI$2:$DU$250,183,0)</f>
        <v>11725.5</v>
      </c>
      <c r="CP25" s="106">
        <f>+HLOOKUP($C25,'NEW CAR'!$DI$2:$DU$250,184,0)</f>
        <v>5400</v>
      </c>
      <c r="CQ25" s="106">
        <f>+HLOOKUP($C25,'NEW CAR'!$DI$2:$DU$250,185,0)</f>
        <v>0</v>
      </c>
      <c r="CR25" s="106">
        <f>+HLOOKUP($C25,'NEW CAR'!$DI$2:$DU$250,187,0)</f>
        <v>3124.7999999999997</v>
      </c>
      <c r="CS25" s="106">
        <f>+HLOOKUP($C25,'NEW CAR'!$DI$2:$DU$250,188,0)</f>
        <v>3975</v>
      </c>
      <c r="CT25" s="106">
        <f>+HLOOKUP($C25,'NEW CAR'!$DI$2:$DU$250,189,0)</f>
        <v>2500.0499999999997</v>
      </c>
      <c r="CU25" s="106">
        <f>+HLOOKUP($C25,'NEW CAR'!$DI$2:$DU$250,190,0)</f>
        <v>2533.35</v>
      </c>
      <c r="CV25" s="106">
        <f>+HLOOKUP($C25,'NEW CAR'!$DI$2:$DU$250,191,0)</f>
        <v>0</v>
      </c>
      <c r="CW25" s="106">
        <f>+HLOOKUP($C25,'NEW CAR'!$DI$2:$DU$250,193,0)</f>
        <v>6177.166666666667</v>
      </c>
      <c r="CX25" s="106">
        <f>+HLOOKUP($C25,'NEW CAR'!$DI$2:$DU$250,194,0)</f>
        <v>591.83333333333337</v>
      </c>
      <c r="CY25" s="106">
        <f>+HLOOKUP($C25,'NEW CAR'!$DI$2:$DU$250,195,0)</f>
        <v>1375.059</v>
      </c>
      <c r="CZ25" s="106">
        <f>+HLOOKUP($C25,'NEW CAR'!$DI$2:$DU$250,196,0)</f>
        <v>0</v>
      </c>
      <c r="DA25" s="106">
        <f>+HLOOKUP($C25,'NEW CAR'!$DI$2:$DU$250,197,0)</f>
        <v>16416</v>
      </c>
      <c r="DB25" s="106">
        <f>+HLOOKUP($C25,'NEW CAR'!$DI$2:$DU$250,198,0)</f>
        <v>5055</v>
      </c>
      <c r="DC25" s="106">
        <f>+HLOOKUP($C25,'NEW CAR'!$DI$2:$DU$250,199,0)</f>
        <v>1080</v>
      </c>
      <c r="DD25" s="106">
        <f>+HLOOKUP($C25,'NEW CAR'!$DI$2:$DU$250,200,0)</f>
        <v>350</v>
      </c>
      <c r="DE25" s="106">
        <f>+HLOOKUP($C25,'NEW CAR'!$DI$2:$DU$250,201,0)</f>
        <v>74.25</v>
      </c>
      <c r="DF25" s="106">
        <f>+HLOOKUP($C25,'NEW CAR'!$DI$2:$DU$250,202,0)</f>
        <v>0</v>
      </c>
      <c r="DG25" s="106">
        <f>+HLOOKUP($C25,'NEW CAR'!$DI$2:$DU$250,203,0)</f>
        <v>0</v>
      </c>
      <c r="DH25" s="106">
        <f>+HLOOKUP($C25,'NEW CAR'!$DI$2:$DU$250,205,0)</f>
        <v>45415.943618181802</v>
      </c>
      <c r="DI25" s="106">
        <f>+HLOOKUP($C25,'NEW CAR'!$DI$2:$DU$250,206,0)</f>
        <v>4687.2888872727272</v>
      </c>
      <c r="DJ25" s="106">
        <f>+HLOOKUP($C25,'NEW CAR'!$DI$2:$DU$250,207,0)</f>
        <v>386.60249999999996</v>
      </c>
      <c r="DK25" s="106">
        <f>+HLOOKUP($C25,'NEW CAR'!$DI$2:$DU$250,209,0)</f>
        <v>0</v>
      </c>
      <c r="DL25" s="106">
        <f>+HLOOKUP($C25,'NEW CAR'!$DI$2:$DU$250,210,0)</f>
        <v>0</v>
      </c>
      <c r="DM25" s="106">
        <f>+HLOOKUP($C25,'NEW CAR'!$DI$2:$DU$250,211,0)</f>
        <v>116992.47656250001</v>
      </c>
      <c r="DN25" s="106">
        <f>+HLOOKUP($C25,'NEW CAR'!$DI$2:$DU$250,212,0)</f>
        <v>0</v>
      </c>
      <c r="DO25" s="106">
        <f>+HLOOKUP($C25,'NEW CAR'!$DI$2:$DU$250,214,0)</f>
        <v>0</v>
      </c>
      <c r="DP25" s="106">
        <f>+HLOOKUP($C25,'NEW CAR'!$DI$2:$DU$250,215,0)</f>
        <v>900</v>
      </c>
      <c r="DQ25" s="106">
        <f>+HLOOKUP($C25,'NEW CAR'!$DI$2:$DU$250,219,0)</f>
        <v>0</v>
      </c>
      <c r="DR25" s="106">
        <f>+HLOOKUP($C25,'NEW CAR'!$DI$2:$DU$250,220,0)</f>
        <v>0</v>
      </c>
      <c r="DS25" s="106">
        <f>+HLOOKUP($C25,'NEW CAR'!$DI$2:$DU$250,221,0)</f>
        <v>184000</v>
      </c>
      <c r="DT25" s="106">
        <f>+HLOOKUP($C25,'NEW CAR'!$DI$2:$DU$250,223,0)</f>
        <v>18750</v>
      </c>
      <c r="DU25" s="106">
        <f>+HLOOKUP($C25,'NEW CAR'!$DI$2:$DU$250,224,0)</f>
        <v>0</v>
      </c>
      <c r="DV25" s="106">
        <f>+HLOOKUP($C25,'NEW CAR'!$DI$2:$DU$250,225,0)</f>
        <v>0</v>
      </c>
      <c r="DW25" s="106">
        <f>+HLOOKUP($C25,'NEW CAR'!$DI$2:$DU$250,227,0)</f>
        <v>0</v>
      </c>
      <c r="DX25" s="106">
        <f>+HLOOKUP($C25,'NEW CAR'!$DI$2:$DU$250,228,0)</f>
        <v>0</v>
      </c>
      <c r="DY25" s="106">
        <f>+HLOOKUP($C25,'NEW CAR'!$DI$2:$DU$250,236,0)</f>
        <v>0</v>
      </c>
      <c r="DZ25" s="106">
        <f>+HLOOKUP($C25,'NEW CAR'!$DI$2:$DU$250,237,0)</f>
        <v>174159.67970183381</v>
      </c>
      <c r="EA25" s="106">
        <f>+HLOOKUP($C25,'NEW CAR'!$DI$2:$DU$250,238,0)</f>
        <v>0</v>
      </c>
      <c r="EB25" s="106">
        <f>+HLOOKUP($C25,'NEW CAR'!$DI$2:$DU$250,240,0)</f>
        <v>433516.25836428563</v>
      </c>
    </row>
    <row r="26" spans="1:132">
      <c r="A26" t="s">
        <v>269</v>
      </c>
      <c r="B26" t="s">
        <v>217</v>
      </c>
      <c r="C26" s="117">
        <v>45992</v>
      </c>
      <c r="D26" s="106">
        <f>+E26</f>
        <v>20629359.897501521</v>
      </c>
      <c r="E26" s="106">
        <f>+HLOOKUP(C26,PMGR!$BS$2:$CE$250,28,0)+HLOOKUP(C26,PMGR!$BS$2:$CE$250,43,0)+HLOOKUP(C26,PMGR!$BS$2:$CE$250,44,0)+HLOOKUP(C26,PMGR!$BS$2:$CE$250,45,0)+HLOOKUP(C26,PMGR!$BS$2:$CE$250,54,0)+HLOOKUP(C26,PMGR!$BS$2:$CE$250,59,0)</f>
        <v>20629359.897501521</v>
      </c>
      <c r="F26" s="106">
        <f>+HLOOKUP(C26,PMGR!$BS$2:$CE$250,37,0)+HLOOKUP(C26,PMGR!$BS$2:$CE$250,55,0)</f>
        <v>11224754.158763004</v>
      </c>
      <c r="G26" s="106">
        <f>+HLOOKUP($C26,PMGR!$BS$2:$CE$250,76,0)</f>
        <v>0</v>
      </c>
      <c r="H26" s="106">
        <f>+HLOOKUP($C26,PMGR!$BS$2:$CE$250,77,0)</f>
        <v>0</v>
      </c>
      <c r="I26" s="106">
        <f>+HLOOKUP($C26,PMGR!$BS$2:$CE$250,78,0)</f>
        <v>0</v>
      </c>
      <c r="J26" s="106">
        <f>+HLOOKUP($C26,PMGR!$BS$2:$CE$250,79,0)</f>
        <v>0</v>
      </c>
      <c r="K26" s="106">
        <f>+HLOOKUP($C26,PMGR!$BS$2:$CE$250,80,0)</f>
        <v>10000</v>
      </c>
      <c r="L26" s="106">
        <f>+HLOOKUP($C26,PMGR!$BS$2:$CE$250,81,0)</f>
        <v>0</v>
      </c>
      <c r="M26" s="106">
        <f>+HLOOKUP($C26,PMGR!$BS$2:$CE$250,82,0)</f>
        <v>0</v>
      </c>
      <c r="N26" s="106">
        <f>+HLOOKUP($C26,PMGR!$BS$2:$CE$250,83,0)</f>
        <v>0</v>
      </c>
      <c r="O26" s="106">
        <f>+HLOOKUP($C26,PMGR!$BS$2:$CE$250,84,0)</f>
        <v>0</v>
      </c>
      <c r="P26" s="106">
        <f>+HLOOKUP($C26,PMGR!$BS$2:$CE$250,85,0)</f>
        <v>0</v>
      </c>
      <c r="Q26" s="106">
        <f>+HLOOKUP($C26,PMGR!$BS$2:$CE$250,87,0)</f>
        <v>365440.39231999993</v>
      </c>
      <c r="R26" s="106">
        <f>+HLOOKUP($C26,PMGR!$BS$2:$CE$250,90,0)</f>
        <v>0</v>
      </c>
      <c r="S26" s="106">
        <f>+HLOOKUP($C26,PMGR!$BS$2:$CE$250,91,0)</f>
        <v>1000</v>
      </c>
      <c r="T26" s="106">
        <f>+HLOOKUP($C26,PMGR!$BS$2:$CE$250,92,0)</f>
        <v>0</v>
      </c>
      <c r="U26" s="106">
        <f>+HLOOKUP($C26,PMGR!$BS$2:$CE$250,93,0)</f>
        <v>0</v>
      </c>
      <c r="V26" s="106">
        <f>+HLOOKUP($C26,PMGR!$BS$2:$CE$250,94,0)</f>
        <v>0</v>
      </c>
      <c r="W26" s="106">
        <f>+HLOOKUP($C26,PMGR!$BS$2:$CE$250,95,0)</f>
        <v>0</v>
      </c>
      <c r="X26" s="106">
        <f>+HLOOKUP($C26,PMGR!$BS$2:$CE$250,96,0)</f>
        <v>0</v>
      </c>
      <c r="Y26" s="106">
        <f>+HLOOKUP($C26,PMGR!$BS$2:$CE$250,97,0)</f>
        <v>0</v>
      </c>
      <c r="Z26" s="106">
        <f>+HLOOKUP($C26,PMGR!$BS$2:$CE$250,98,0)</f>
        <v>0</v>
      </c>
      <c r="AA26" s="106">
        <f>+HLOOKUP($C26,PMGR!$BS$2:$CE$250,99,0)</f>
        <v>0</v>
      </c>
      <c r="AB26" s="106">
        <f>+HLOOKUP($C26,PMGR!$BS$2:$CE$250,100,0)</f>
        <v>0</v>
      </c>
      <c r="AC26" s="106">
        <f>+HLOOKUP($C26,PMGR!$BS$2:$CE$250,101,0)</f>
        <v>10000</v>
      </c>
      <c r="AD26" s="106">
        <f>+HLOOKUP($C26,PMGR!$BS$2:$CE$250,104,0)</f>
        <v>0</v>
      </c>
      <c r="AE26" s="106">
        <f>+HLOOKUP($C26,PMGR!$BS$2:$CE$250,105,0)</f>
        <v>53136.943199999994</v>
      </c>
      <c r="AF26" s="106">
        <f>+HLOOKUP($C26,PMGR!$BS$2:$CE$250,106,0)</f>
        <v>0</v>
      </c>
      <c r="AG26" s="106">
        <f>+HLOOKUP($C26,PMGR!$BS$2:$CE$250,107,0)</f>
        <v>0</v>
      </c>
      <c r="AH26" s="106">
        <f>+HLOOKUP($C26,PMGR!$BS$2:$CE$250,108,0)</f>
        <v>0</v>
      </c>
      <c r="AI26" s="106">
        <f>+HLOOKUP($C26,PMGR!$BS$2:$CE$250,109,0)</f>
        <v>0</v>
      </c>
      <c r="AJ26" s="106">
        <f>+HLOOKUP($C26,PMGR!$BS$2:$CE$250,110,0)</f>
        <v>0</v>
      </c>
      <c r="AK26" s="106">
        <f>+HLOOKUP($C26,PMGR!$BS$2:$CE$250,111,0)</f>
        <v>3976.5756038400004</v>
      </c>
      <c r="AL26" s="106">
        <f>+HLOOKUP($C26,PMGR!$BS$2:$CE$250,112,0)</f>
        <v>0</v>
      </c>
      <c r="AM26" s="106">
        <f>+HLOOKUP($C26,PMGR!$BS$2:$CE$250,116,0)</f>
        <v>591500</v>
      </c>
      <c r="AN26" s="106">
        <f>+HLOOKUP($C26,PMGR!$BS$2:$CE$250,117,0)</f>
        <v>90030</v>
      </c>
      <c r="AO26" s="106">
        <f>+HLOOKUP($C26,PMGR!$BS$2:$CE$250,118,0)</f>
        <v>1500</v>
      </c>
      <c r="AP26" s="106">
        <f>+HLOOKUP($C26,PMGR!$BS$2:$CE$250,119,0)</f>
        <v>205830</v>
      </c>
      <c r="AQ26" s="106">
        <f>+HLOOKUP($C26,PMGR!$BS$2:$CE$250,120,0)</f>
        <v>35100</v>
      </c>
      <c r="AR26" s="106">
        <f>+HLOOKUP($C26,PMGR!$BS$2:$CE$250,121,0)</f>
        <v>19050</v>
      </c>
      <c r="AS26" s="106">
        <f>+HLOOKUP($C26,PMGR!$BS$2:$CE$250,122,0)</f>
        <v>290490</v>
      </c>
      <c r="AT26" s="106">
        <f>+HLOOKUP($C26,PMGR!$BS$2:$CE$250,123,0)</f>
        <v>74658.494586180561</v>
      </c>
      <c r="AU26" s="106">
        <f>+HLOOKUP($C26,PMGR!$BS$2:$CE$250,124,0)</f>
        <v>6992</v>
      </c>
      <c r="AV26" s="106">
        <f>+HLOOKUP($C26,PMGR!$BS$2:$CE$250,125,0)</f>
        <v>122670</v>
      </c>
      <c r="AW26" s="106">
        <f>+HLOOKUP($C26,PMGR!$BS$2:$CE$250,126,0)</f>
        <v>28437.499999999996</v>
      </c>
      <c r="AX26" s="106">
        <f>+HLOOKUP($C26,PMGR!$BS$2:$CE$250,127,0)</f>
        <v>42233.333333333328</v>
      </c>
      <c r="AY26" s="106">
        <f>+HLOOKUP($C26,PMGR!$BS$2:$CE$250,129,0)</f>
        <v>0</v>
      </c>
      <c r="AZ26" s="106">
        <f>+HLOOKUP($C26,PMGR!$BS$2:$CE$250,130,0)</f>
        <v>0</v>
      </c>
      <c r="BA26" s="106">
        <f>+HLOOKUP($C26,PMGR!$BS$2:$CE$250,131,0)</f>
        <v>25000</v>
      </c>
      <c r="BB26" s="106">
        <f>+HLOOKUP($C26,PMGR!$BS$2:$CE$250,133,0)</f>
        <v>0</v>
      </c>
      <c r="BC26" s="106">
        <f>+HLOOKUP($C26,PMGR!$BS$2:$CE$250,134,0)</f>
        <v>95808.887266666672</v>
      </c>
      <c r="BD26" s="106">
        <f>+HLOOKUP($C26,PMGR!$BS$2:$CE$250,135,0)</f>
        <v>0</v>
      </c>
      <c r="BE26" s="106">
        <f>+HLOOKUP($C26,PMGR!$BS$2:$CE$250,136,0)</f>
        <v>0</v>
      </c>
      <c r="BF26" s="106">
        <f>+HLOOKUP($C26,PMGR!$BS$2:$CE$250,138,0)</f>
        <v>16000</v>
      </c>
      <c r="BG26" s="106">
        <f>+HLOOKUP($C26,PMGR!$BS$2:$CE$250,139,0)</f>
        <v>39596.021666666675</v>
      </c>
      <c r="BH26" s="106">
        <f>+HLOOKUP($C26,PMGR!$BS$2:$CE$250,140,0)</f>
        <v>29491.199999999997</v>
      </c>
      <c r="BI26" s="106">
        <f>+HLOOKUP($C26,PMGR!$BS$2:$CE$250,141,0)</f>
        <v>0</v>
      </c>
      <c r="BJ26" s="106">
        <f>+HLOOKUP($C26,PMGR!$BS$2:$CE$250,142,0)</f>
        <v>0</v>
      </c>
      <c r="BK26" s="106">
        <f>+HLOOKUP($C26,PMGR!$BS$2:$CE$250,143,0)</f>
        <v>49201.416666666664</v>
      </c>
      <c r="BL26" s="106">
        <f>+HLOOKUP($C26,PMGR!$BS$2:$CE$250,144,0)</f>
        <v>26864.583333333336</v>
      </c>
      <c r="BM26" s="106">
        <f>+HLOOKUP($C26,PMGR!$BS$2:$CE$250,146,0)</f>
        <v>0</v>
      </c>
      <c r="BN26" s="106">
        <f>+HLOOKUP($C26,PMGR!$BS$2:$CE$250,147,0)</f>
        <v>59519.862500000003</v>
      </c>
      <c r="BO26" s="106">
        <f>+HLOOKUP($C26,PMGR!$BS$2:$CE$250,148,0)</f>
        <v>0</v>
      </c>
      <c r="BP26" s="106">
        <f>+HLOOKUP($C26,PMGR!$BS$2:$CE$250,150,0)</f>
        <v>48678.682499999995</v>
      </c>
      <c r="BQ26" s="106">
        <f>+HLOOKUP($C26,PMGR!$BS$2:$CE$250,151,0)</f>
        <v>9922</v>
      </c>
      <c r="BR26" s="106">
        <f>+HLOOKUP($C26,PMGR!$BS$2:$CE$250,152,0)</f>
        <v>19200</v>
      </c>
      <c r="BS26" s="106">
        <f>+HLOOKUP($C26,PMGR!$BS$2:$CE$250,153,0)</f>
        <v>3600</v>
      </c>
      <c r="BT26" s="106">
        <f>+HLOOKUP($C26,PMGR!$BS$2:$CE$250,157,0)</f>
        <v>10980</v>
      </c>
      <c r="BU26" s="106">
        <f>+HLOOKUP($C26,PMGR!$BS$2:$CE$250,158,0)</f>
        <v>2610</v>
      </c>
      <c r="BV26" s="106">
        <f>+HLOOKUP($C26,PMGR!$BS$2:$CE$250,159,0)</f>
        <v>40999.722222222219</v>
      </c>
      <c r="BW26" s="106">
        <f>+HLOOKUP($C26,PMGR!$BS$2:$CE$250,160,0)</f>
        <v>21530.500000000004</v>
      </c>
      <c r="BX26" s="106">
        <f>+HLOOKUP($C26,PMGR!$BS$2:$CE$250,161,0)</f>
        <v>11229.693037499979</v>
      </c>
      <c r="BY26" s="106">
        <f>+HLOOKUP($C26,PMGR!$BS$2:$CE$250,164,0)</f>
        <v>5800</v>
      </c>
      <c r="BZ26" s="106">
        <f>+HLOOKUP($C26,PMGR!$BS$2:$CE$250,165,0)</f>
        <v>38293.333333333336</v>
      </c>
      <c r="CA26" s="106">
        <f>+HLOOKUP($C26,PMGR!$BS$2:$CE$250,166,0)</f>
        <v>0</v>
      </c>
      <c r="CB26" s="106">
        <f>+HLOOKUP($C26,PMGR!$BS$2:$CE$250,167,0)</f>
        <v>22500</v>
      </c>
      <c r="CC26" s="106">
        <f>+HLOOKUP($C26,PMGR!$BS$2:$CE$250,168,0)</f>
        <v>0</v>
      </c>
      <c r="CD26" s="106">
        <f>+HLOOKUP($C26,PMGR!$BS$2:$CE$250,169,0)</f>
        <v>0</v>
      </c>
      <c r="CE26" s="106">
        <f>+HLOOKUP($C26,PMGR!$BS$2:$CE$250,170,0)</f>
        <v>0</v>
      </c>
      <c r="CF26" s="106">
        <f>+HLOOKUP($C26,PMGR!$BS$2:$CE$250,172,0)</f>
        <v>32700</v>
      </c>
      <c r="CG26" s="106">
        <f>+HLOOKUP($C26,PMGR!$BS$2:$CE$250,173,0)</f>
        <v>36000</v>
      </c>
      <c r="CH26" s="106">
        <f>+HLOOKUP($C26,PMGR!$BS$2:$CE$250,174,0)</f>
        <v>86400</v>
      </c>
      <c r="CI26" s="106">
        <f>+HLOOKUP($C26,PMGR!$BS$2:$CE$250,175,0)</f>
        <v>6690</v>
      </c>
      <c r="CJ26" s="106">
        <f>+HLOOKUP($C26,PMGR!$BS$2:$CE$250,176,0)</f>
        <v>7110</v>
      </c>
      <c r="CK26" s="106">
        <f>+HLOOKUP($C26,PMGR!$BS$2:$CE$250,178,0)</f>
        <v>94077.832145454551</v>
      </c>
      <c r="CL26" s="106">
        <f>+HLOOKUP($C26,PMGR!$BS$2:$CE$250,179,0)</f>
        <v>0</v>
      </c>
      <c r="CM26" s="106">
        <f>+HLOOKUP($C26,PMGR!$BS$2:$CE$250,180,0)</f>
        <v>0</v>
      </c>
      <c r="CN26" s="106">
        <f>+HLOOKUP($C26,PMGR!$BS$2:$CE$250,182,0)</f>
        <v>737.1</v>
      </c>
      <c r="CO26" s="106">
        <f>+HLOOKUP($C26,PMGR!$BS$2:$CE$250,183,0)</f>
        <v>13115.4</v>
      </c>
      <c r="CP26" s="106">
        <f>+HLOOKUP($C26,PMGR!$BS$2:$CE$250,184,0)</f>
        <v>6480</v>
      </c>
      <c r="CQ26" s="106">
        <f>+HLOOKUP($C26,PMGR!$BS$2:$CE$250,185,0)</f>
        <v>0</v>
      </c>
      <c r="CR26" s="106">
        <f>+HLOOKUP($C26,PMGR!$BS$2:$CE$250,187,0)</f>
        <v>3749.7599999999993</v>
      </c>
      <c r="CS26" s="106">
        <f>+HLOOKUP($C26,PMGR!$BS$2:$CE$250,188,0)</f>
        <v>4770</v>
      </c>
      <c r="CT26" s="106">
        <f>+HLOOKUP($C26,PMGR!$BS$2:$CE$250,189,0)</f>
        <v>3000.0599999999995</v>
      </c>
      <c r="CU26" s="106">
        <f>+HLOOKUP($C26,PMGR!$BS$2:$CE$250,190,0)</f>
        <v>3040.02</v>
      </c>
      <c r="CV26" s="106">
        <f>+HLOOKUP($C26,PMGR!$BS$2:$CE$250,191,0)</f>
        <v>0</v>
      </c>
      <c r="CW26" s="106">
        <f>+HLOOKUP($C26,PMGR!$BS$2:$CE$250,193,0)</f>
        <v>16684.3</v>
      </c>
      <c r="CX26" s="106">
        <f>+HLOOKUP($C26,PMGR!$BS$2:$CE$250,194,0)</f>
        <v>47.699999999999996</v>
      </c>
      <c r="CY26" s="106">
        <f>+HLOOKUP($C26,PMGR!$BS$2:$CE$250,195,0)</f>
        <v>0</v>
      </c>
      <c r="CZ26" s="106">
        <f>+HLOOKUP($C26,PMGR!$BS$2:$CE$250,196,0)</f>
        <v>0</v>
      </c>
      <c r="DA26" s="106">
        <f>+HLOOKUP($C26,PMGR!$BS$2:$CE$250,197,0)</f>
        <v>8755.1999999999989</v>
      </c>
      <c r="DB26" s="106">
        <f>+HLOOKUP($C26,PMGR!$BS$2:$CE$250,198,0)</f>
        <v>6066</v>
      </c>
      <c r="DC26" s="106">
        <f>+HLOOKUP($C26,PMGR!$BS$2:$CE$250,199,0)</f>
        <v>1296</v>
      </c>
      <c r="DD26" s="106">
        <f>+HLOOKUP($C26,PMGR!$BS$2:$CE$250,200,0)</f>
        <v>348</v>
      </c>
      <c r="DE26" s="106">
        <f>+HLOOKUP($C26,PMGR!$BS$2:$CE$250,201,0)</f>
        <v>89.1</v>
      </c>
      <c r="DF26" s="106">
        <f>+HLOOKUP($C26,PMGR!$BS$2:$CE$250,202,0)</f>
        <v>0</v>
      </c>
      <c r="DG26" s="106">
        <f>+HLOOKUP($C26,PMGR!$BS$2:$CE$250,203,0)</f>
        <v>0</v>
      </c>
      <c r="DH26" s="106">
        <f>+HLOOKUP($C26,PMGR!$BS$2:$CE$250,205,0)</f>
        <v>0</v>
      </c>
      <c r="DI26" s="106">
        <f>+HLOOKUP($C26,PMGR!$BS$2:$CE$250,206,0)</f>
        <v>6984</v>
      </c>
      <c r="DJ26" s="106">
        <f>+HLOOKUP($C26,PMGR!$BS$2:$CE$250,207,0)</f>
        <v>39814.273933333337</v>
      </c>
      <c r="DK26" s="106">
        <f>+HLOOKUP($C26,PMGR!$BS$2:$CE$250,209,0)</f>
        <v>0</v>
      </c>
      <c r="DL26" s="106">
        <f>+HLOOKUP($C26,PMGR!$BS$2:$CE$250,210,0)</f>
        <v>195467.11591050003</v>
      </c>
      <c r="DM26" s="106">
        <f>+HLOOKUP($C26,PMGR!$BS$2:$CE$250,211,0)</f>
        <v>0</v>
      </c>
      <c r="DN26" s="106">
        <f>+HLOOKUP($C26,PMGR!$BS$2:$CE$250,212,0)</f>
        <v>0</v>
      </c>
      <c r="DO26" s="106">
        <f>+HLOOKUP($C26,PMGR!$BS$2:$CE$250,214,0)</f>
        <v>0</v>
      </c>
      <c r="DP26" s="106">
        <f>+HLOOKUP($C26,PMGR!$BS$2:$CE$250,215,0)</f>
        <v>1080</v>
      </c>
      <c r="DQ26" s="106">
        <f>+HLOOKUP($C26,PMGR!$BS$2:$CE$250,219,0)</f>
        <v>0</v>
      </c>
      <c r="DR26" s="106">
        <f>+HLOOKUP($C26,PMGR!$BS$2:$CE$250,220,0)</f>
        <v>0</v>
      </c>
      <c r="DS26" s="106">
        <f>+HLOOKUP($C26,PMGR!$BS$2:$CE$250,221,0)</f>
        <v>0</v>
      </c>
      <c r="DT26" s="106">
        <f>+HLOOKUP($C26,PMGR!$BS$2:$CE$250,223,0)</f>
        <v>22500</v>
      </c>
      <c r="DU26" s="106">
        <f>+HLOOKUP($C26,PMGR!$BS$2:$CE$250,224,0)</f>
        <v>7500</v>
      </c>
      <c r="DV26" s="106">
        <f>+HLOOKUP($C26,PMGR!$BS$2:$CE$250,225,0)</f>
        <v>0</v>
      </c>
      <c r="DW26" s="106">
        <f>+HLOOKUP($C26,PMGR!$BS$2:$CE$250,227,0)</f>
        <v>0</v>
      </c>
      <c r="DX26" s="106">
        <f>+HLOOKUP($C26,PMGR!$BS$2:$CE$250,228,0)</f>
        <v>0</v>
      </c>
      <c r="DY26" s="106">
        <f>+HLOOKUP($C26,PMGR!$BS$2:$CE$250,236,0)</f>
        <v>195781.43999999997</v>
      </c>
      <c r="DZ26" s="106">
        <f>+HLOOKUP($C26,PMGR!$BS$2:$CE$250,237,0)</f>
        <v>31535.086146164278</v>
      </c>
      <c r="EA26" s="106">
        <f>+HLOOKUP($C26,PMGR!$BS$2:$CE$250,238,0)</f>
        <v>17361.599999999999</v>
      </c>
      <c r="EB26" s="106">
        <f>+HLOOKUP($C26,PMGR!$BS$2:$CE$250,240,0)</f>
        <v>675475.61596874997</v>
      </c>
    </row>
    <row r="27" spans="1:132">
      <c r="A27" t="s">
        <v>269</v>
      </c>
      <c r="B27" t="s">
        <v>217</v>
      </c>
      <c r="C27" s="117">
        <v>45962</v>
      </c>
      <c r="D27" s="106">
        <f t="shared" ref="D27:D61" si="0">+E27</f>
        <v>12917884.475882161</v>
      </c>
      <c r="E27" s="106">
        <f>+HLOOKUP(C27,PMGR!$BS$2:$CE$250,28,0)+HLOOKUP(C27,PMGR!$BS$2:$CE$250,43,0)+HLOOKUP(C27,PMGR!$BS$2:$CE$250,44,0)+HLOOKUP(C27,PMGR!$BS$2:$CE$250,45,0)+HLOOKUP(C27,PMGR!$BS$2:$CE$250,54,0)+HLOOKUP(C27,PMGR!$BS$2:$CE$250,59,0)</f>
        <v>12917884.475882161</v>
      </c>
      <c r="F27" s="106">
        <f>+HLOOKUP(C27,PMGR!$BS$2:$CE$250,37,0)+HLOOKUP(C27,PMGR!$BS$2:$CE$250,55,0)</f>
        <v>8696301.7608990073</v>
      </c>
      <c r="G27" s="106">
        <f>+HLOOKUP($C27,PMGR!$BS$2:$CE$250,76,0)</f>
        <v>0</v>
      </c>
      <c r="H27" s="106">
        <f>+HLOOKUP($C27,PMGR!$BS$2:$CE$250,77,0)</f>
        <v>0</v>
      </c>
      <c r="I27" s="106">
        <f>+HLOOKUP($C27,PMGR!$BS$2:$CE$250,78,0)</f>
        <v>0</v>
      </c>
      <c r="J27" s="106">
        <f>+HLOOKUP($C27,PMGR!$BS$2:$CE$250,79,0)</f>
        <v>0</v>
      </c>
      <c r="K27" s="106">
        <f>+HLOOKUP($C27,PMGR!$BS$2:$CE$250,80,0)</f>
        <v>10000</v>
      </c>
      <c r="L27" s="106">
        <f>+HLOOKUP($C27,PMGR!$BS$2:$CE$250,81,0)</f>
        <v>0</v>
      </c>
      <c r="M27" s="106">
        <f>+HLOOKUP($C27,PMGR!$BS$2:$CE$250,82,0)</f>
        <v>0</v>
      </c>
      <c r="N27" s="106">
        <f>+HLOOKUP($C27,PMGR!$BS$2:$CE$250,83,0)</f>
        <v>0</v>
      </c>
      <c r="O27" s="106">
        <f>+HLOOKUP($C27,PMGR!$BS$2:$CE$250,84,0)</f>
        <v>0</v>
      </c>
      <c r="P27" s="106">
        <f>+HLOOKUP($C27,PMGR!$BS$2:$CE$250,85,0)</f>
        <v>0</v>
      </c>
      <c r="Q27" s="106">
        <f>+HLOOKUP($C27,PMGR!$BS$2:$CE$250,87,0)</f>
        <v>276549.48608</v>
      </c>
      <c r="R27" s="106">
        <f>+HLOOKUP($C27,PMGR!$BS$2:$CE$250,90,0)</f>
        <v>0</v>
      </c>
      <c r="S27" s="106">
        <f>+HLOOKUP($C27,PMGR!$BS$2:$CE$250,91,0)</f>
        <v>1000</v>
      </c>
      <c r="T27" s="106">
        <f>+HLOOKUP($C27,PMGR!$BS$2:$CE$250,92,0)</f>
        <v>0</v>
      </c>
      <c r="U27" s="106">
        <f>+HLOOKUP($C27,PMGR!$BS$2:$CE$250,93,0)</f>
        <v>0</v>
      </c>
      <c r="V27" s="106">
        <f>+HLOOKUP($C27,PMGR!$BS$2:$CE$250,94,0)</f>
        <v>0</v>
      </c>
      <c r="W27" s="106">
        <f>+HLOOKUP($C27,PMGR!$BS$2:$CE$250,95,0)</f>
        <v>0</v>
      </c>
      <c r="X27" s="106">
        <f>+HLOOKUP($C27,PMGR!$BS$2:$CE$250,96,0)</f>
        <v>0</v>
      </c>
      <c r="Y27" s="106">
        <f>+HLOOKUP($C27,PMGR!$BS$2:$CE$250,97,0)</f>
        <v>0</v>
      </c>
      <c r="Z27" s="106">
        <f>+HLOOKUP($C27,PMGR!$BS$2:$CE$250,98,0)</f>
        <v>0</v>
      </c>
      <c r="AA27" s="106">
        <f>+HLOOKUP($C27,PMGR!$BS$2:$CE$250,99,0)</f>
        <v>0</v>
      </c>
      <c r="AB27" s="106">
        <f>+HLOOKUP($C27,PMGR!$BS$2:$CE$250,100,0)</f>
        <v>0</v>
      </c>
      <c r="AC27" s="106">
        <f>+HLOOKUP($C27,PMGR!$BS$2:$CE$250,101,0)</f>
        <v>10000</v>
      </c>
      <c r="AD27" s="106">
        <f>+HLOOKUP($C27,PMGR!$BS$2:$CE$250,104,0)</f>
        <v>0</v>
      </c>
      <c r="AE27" s="106">
        <f>+HLOOKUP($C27,PMGR!$BS$2:$CE$250,105,0)</f>
        <v>40211.7408</v>
      </c>
      <c r="AF27" s="106">
        <f>+HLOOKUP($C27,PMGR!$BS$2:$CE$250,106,0)</f>
        <v>0</v>
      </c>
      <c r="AG27" s="106">
        <f>+HLOOKUP($C27,PMGR!$BS$2:$CE$250,107,0)</f>
        <v>0</v>
      </c>
      <c r="AH27" s="106">
        <f>+HLOOKUP($C27,PMGR!$BS$2:$CE$250,108,0)</f>
        <v>0</v>
      </c>
      <c r="AI27" s="106">
        <f>+HLOOKUP($C27,PMGR!$BS$2:$CE$250,109,0)</f>
        <v>0</v>
      </c>
      <c r="AJ27" s="106">
        <f>+HLOOKUP($C27,PMGR!$BS$2:$CE$250,110,0)</f>
        <v>0</v>
      </c>
      <c r="AK27" s="106">
        <f>+HLOOKUP($C27,PMGR!$BS$2:$CE$250,111,0)</f>
        <v>3009.3004569600007</v>
      </c>
      <c r="AL27" s="106">
        <f>+HLOOKUP($C27,PMGR!$BS$2:$CE$250,112,0)</f>
        <v>0</v>
      </c>
      <c r="AM27" s="106">
        <f>+HLOOKUP($C27,PMGR!$BS$2:$CE$250,116,0)</f>
        <v>591500</v>
      </c>
      <c r="AN27" s="106">
        <f>+HLOOKUP($C27,PMGR!$BS$2:$CE$250,117,0)</f>
        <v>90030</v>
      </c>
      <c r="AO27" s="106">
        <f>+HLOOKUP($C27,PMGR!$BS$2:$CE$250,118,0)</f>
        <v>1500</v>
      </c>
      <c r="AP27" s="106">
        <f>+HLOOKUP($C27,PMGR!$BS$2:$CE$250,119,0)</f>
        <v>205830</v>
      </c>
      <c r="AQ27" s="106">
        <f>+HLOOKUP($C27,PMGR!$BS$2:$CE$250,120,0)</f>
        <v>35100</v>
      </c>
      <c r="AR27" s="106">
        <f>+HLOOKUP($C27,PMGR!$BS$2:$CE$250,121,0)</f>
        <v>19050</v>
      </c>
      <c r="AS27" s="106">
        <f>+HLOOKUP($C27,PMGR!$BS$2:$CE$250,122,0)</f>
        <v>290490</v>
      </c>
      <c r="AT27" s="106">
        <f>+HLOOKUP($C27,PMGR!$BS$2:$CE$250,123,0)</f>
        <v>74658.494586180561</v>
      </c>
      <c r="AU27" s="106">
        <f>+HLOOKUP($C27,PMGR!$BS$2:$CE$250,124,0)</f>
        <v>6992</v>
      </c>
      <c r="AV27" s="106">
        <f>+HLOOKUP($C27,PMGR!$BS$2:$CE$250,125,0)</f>
        <v>122670</v>
      </c>
      <c r="AW27" s="106">
        <f>+HLOOKUP($C27,PMGR!$BS$2:$CE$250,126,0)</f>
        <v>28437.499999999996</v>
      </c>
      <c r="AX27" s="106">
        <f>+HLOOKUP($C27,PMGR!$BS$2:$CE$250,127,0)</f>
        <v>42233.333333333328</v>
      </c>
      <c r="AY27" s="106">
        <f>+HLOOKUP($C27,PMGR!$BS$2:$CE$250,129,0)</f>
        <v>0</v>
      </c>
      <c r="AZ27" s="106">
        <f>+HLOOKUP($C27,PMGR!$BS$2:$CE$250,130,0)</f>
        <v>0</v>
      </c>
      <c r="BA27" s="106">
        <f>+HLOOKUP($C27,PMGR!$BS$2:$CE$250,131,0)</f>
        <v>25000</v>
      </c>
      <c r="BB27" s="106">
        <f>+HLOOKUP($C27,PMGR!$BS$2:$CE$250,133,0)</f>
        <v>0</v>
      </c>
      <c r="BC27" s="106">
        <f>+HLOOKUP($C27,PMGR!$BS$2:$CE$250,134,0)</f>
        <v>95808.887266666672</v>
      </c>
      <c r="BD27" s="106">
        <f>+HLOOKUP($C27,PMGR!$BS$2:$CE$250,135,0)</f>
        <v>0</v>
      </c>
      <c r="BE27" s="106">
        <f>+HLOOKUP($C27,PMGR!$BS$2:$CE$250,136,0)</f>
        <v>0</v>
      </c>
      <c r="BF27" s="106">
        <f>+HLOOKUP($C27,PMGR!$BS$2:$CE$250,138,0)</f>
        <v>16000</v>
      </c>
      <c r="BG27" s="106">
        <f>+HLOOKUP($C27,PMGR!$BS$2:$CE$250,139,0)</f>
        <v>39596.021666666675</v>
      </c>
      <c r="BH27" s="106">
        <f>+HLOOKUP($C27,PMGR!$BS$2:$CE$250,140,0)</f>
        <v>29491.199999999997</v>
      </c>
      <c r="BI27" s="106">
        <f>+HLOOKUP($C27,PMGR!$BS$2:$CE$250,141,0)</f>
        <v>0</v>
      </c>
      <c r="BJ27" s="106">
        <f>+HLOOKUP($C27,PMGR!$BS$2:$CE$250,142,0)</f>
        <v>0</v>
      </c>
      <c r="BK27" s="106">
        <f>+HLOOKUP($C27,PMGR!$BS$2:$CE$250,143,0)</f>
        <v>49201.416666666664</v>
      </c>
      <c r="BL27" s="106">
        <f>+HLOOKUP($C27,PMGR!$BS$2:$CE$250,144,0)</f>
        <v>3989.5833333333335</v>
      </c>
      <c r="BM27" s="106">
        <f>+HLOOKUP($C27,PMGR!$BS$2:$CE$250,146,0)</f>
        <v>0</v>
      </c>
      <c r="BN27" s="106">
        <f>+HLOOKUP($C27,PMGR!$BS$2:$CE$250,147,0)</f>
        <v>59519.862500000003</v>
      </c>
      <c r="BO27" s="106">
        <f>+HLOOKUP($C27,PMGR!$BS$2:$CE$250,148,0)</f>
        <v>0</v>
      </c>
      <c r="BP27" s="106">
        <f>+HLOOKUP($C27,PMGR!$BS$2:$CE$250,150,0)</f>
        <v>48678.682499999995</v>
      </c>
      <c r="BQ27" s="106">
        <f>+HLOOKUP($C27,PMGR!$BS$2:$CE$250,151,0)</f>
        <v>9922</v>
      </c>
      <c r="BR27" s="106">
        <f>+HLOOKUP($C27,PMGR!$BS$2:$CE$250,152,0)</f>
        <v>19200</v>
      </c>
      <c r="BS27" s="106">
        <f>+HLOOKUP($C27,PMGR!$BS$2:$CE$250,153,0)</f>
        <v>3600</v>
      </c>
      <c r="BT27" s="106">
        <f>+HLOOKUP($C27,PMGR!$BS$2:$CE$250,157,0)</f>
        <v>10980</v>
      </c>
      <c r="BU27" s="106">
        <f>+HLOOKUP($C27,PMGR!$BS$2:$CE$250,158,0)</f>
        <v>2610</v>
      </c>
      <c r="BV27" s="106">
        <f>+HLOOKUP($C27,PMGR!$BS$2:$CE$250,159,0)</f>
        <v>999.72222222222217</v>
      </c>
      <c r="BW27" s="106">
        <f>+HLOOKUP($C27,PMGR!$BS$2:$CE$250,160,0)</f>
        <v>21530.500000000004</v>
      </c>
      <c r="BX27" s="106">
        <f>+HLOOKUP($C27,PMGR!$BS$2:$CE$250,161,0)</f>
        <v>11229.693037499979</v>
      </c>
      <c r="BY27" s="106">
        <f>+HLOOKUP($C27,PMGR!$BS$2:$CE$250,164,0)</f>
        <v>5800</v>
      </c>
      <c r="BZ27" s="106">
        <f>+HLOOKUP($C27,PMGR!$BS$2:$CE$250,165,0)</f>
        <v>38293.333333333336</v>
      </c>
      <c r="CA27" s="106">
        <f>+HLOOKUP($C27,PMGR!$BS$2:$CE$250,166,0)</f>
        <v>0</v>
      </c>
      <c r="CB27" s="106">
        <f>+HLOOKUP($C27,PMGR!$BS$2:$CE$250,167,0)</f>
        <v>22500</v>
      </c>
      <c r="CC27" s="106">
        <f>+HLOOKUP($C27,PMGR!$BS$2:$CE$250,168,0)</f>
        <v>0</v>
      </c>
      <c r="CD27" s="106">
        <f>+HLOOKUP($C27,PMGR!$BS$2:$CE$250,169,0)</f>
        <v>0</v>
      </c>
      <c r="CE27" s="106">
        <f>+HLOOKUP($C27,PMGR!$BS$2:$CE$250,170,0)</f>
        <v>0</v>
      </c>
      <c r="CF27" s="106">
        <f>+HLOOKUP($C27,PMGR!$BS$2:$CE$250,172,0)</f>
        <v>32700</v>
      </c>
      <c r="CG27" s="106">
        <f>+HLOOKUP($C27,PMGR!$BS$2:$CE$250,173,0)</f>
        <v>36000</v>
      </c>
      <c r="CH27" s="106">
        <f>+HLOOKUP($C27,PMGR!$BS$2:$CE$250,174,0)</f>
        <v>86400</v>
      </c>
      <c r="CI27" s="106">
        <f>+HLOOKUP($C27,PMGR!$BS$2:$CE$250,175,0)</f>
        <v>6690</v>
      </c>
      <c r="CJ27" s="106">
        <f>+HLOOKUP($C27,PMGR!$BS$2:$CE$250,176,0)</f>
        <v>7110</v>
      </c>
      <c r="CK27" s="106">
        <f>+HLOOKUP($C27,PMGR!$BS$2:$CE$250,178,0)</f>
        <v>94077.832145454551</v>
      </c>
      <c r="CL27" s="106">
        <f>+HLOOKUP($C27,PMGR!$BS$2:$CE$250,179,0)</f>
        <v>0</v>
      </c>
      <c r="CM27" s="106">
        <f>+HLOOKUP($C27,PMGR!$BS$2:$CE$250,180,0)</f>
        <v>0</v>
      </c>
      <c r="CN27" s="106">
        <f>+HLOOKUP($C27,PMGR!$BS$2:$CE$250,182,0)</f>
        <v>737.1</v>
      </c>
      <c r="CO27" s="106">
        <f>+HLOOKUP($C27,PMGR!$BS$2:$CE$250,183,0)</f>
        <v>13115.4</v>
      </c>
      <c r="CP27" s="106">
        <f>+HLOOKUP($C27,PMGR!$BS$2:$CE$250,184,0)</f>
        <v>6480</v>
      </c>
      <c r="CQ27" s="106">
        <f>+HLOOKUP($C27,PMGR!$BS$2:$CE$250,185,0)</f>
        <v>0</v>
      </c>
      <c r="CR27" s="106">
        <f>+HLOOKUP($C27,PMGR!$BS$2:$CE$250,187,0)</f>
        <v>3749.7599999999993</v>
      </c>
      <c r="CS27" s="106">
        <f>+HLOOKUP($C27,PMGR!$BS$2:$CE$250,188,0)</f>
        <v>4770</v>
      </c>
      <c r="CT27" s="106">
        <f>+HLOOKUP($C27,PMGR!$BS$2:$CE$250,189,0)</f>
        <v>3000.0599999999995</v>
      </c>
      <c r="CU27" s="106">
        <f>+HLOOKUP($C27,PMGR!$BS$2:$CE$250,190,0)</f>
        <v>3040.02</v>
      </c>
      <c r="CV27" s="106">
        <f>+HLOOKUP($C27,PMGR!$BS$2:$CE$250,191,0)</f>
        <v>0</v>
      </c>
      <c r="CW27" s="106">
        <f>+HLOOKUP($C27,PMGR!$BS$2:$CE$250,193,0)</f>
        <v>16684.3</v>
      </c>
      <c r="CX27" s="106">
        <f>+HLOOKUP($C27,PMGR!$BS$2:$CE$250,194,0)</f>
        <v>47.699999999999996</v>
      </c>
      <c r="CY27" s="106">
        <f>+HLOOKUP($C27,PMGR!$BS$2:$CE$250,195,0)</f>
        <v>0</v>
      </c>
      <c r="CZ27" s="106">
        <f>+HLOOKUP($C27,PMGR!$BS$2:$CE$250,196,0)</f>
        <v>0</v>
      </c>
      <c r="DA27" s="106">
        <f>+HLOOKUP($C27,PMGR!$BS$2:$CE$250,197,0)</f>
        <v>8755.1999999999989</v>
      </c>
      <c r="DB27" s="106">
        <f>+HLOOKUP($C27,PMGR!$BS$2:$CE$250,198,0)</f>
        <v>6066</v>
      </c>
      <c r="DC27" s="106">
        <f>+HLOOKUP($C27,PMGR!$BS$2:$CE$250,199,0)</f>
        <v>1296</v>
      </c>
      <c r="DD27" s="106">
        <f>+HLOOKUP($C27,PMGR!$BS$2:$CE$250,200,0)</f>
        <v>348</v>
      </c>
      <c r="DE27" s="106">
        <f>+HLOOKUP($C27,PMGR!$BS$2:$CE$250,201,0)</f>
        <v>89.1</v>
      </c>
      <c r="DF27" s="106">
        <f>+HLOOKUP($C27,PMGR!$BS$2:$CE$250,202,0)</f>
        <v>0</v>
      </c>
      <c r="DG27" s="106">
        <f>+HLOOKUP($C27,PMGR!$BS$2:$CE$250,203,0)</f>
        <v>0</v>
      </c>
      <c r="DH27" s="106">
        <f>+HLOOKUP($C27,PMGR!$BS$2:$CE$250,205,0)</f>
        <v>0</v>
      </c>
      <c r="DI27" s="106">
        <f>+HLOOKUP($C27,PMGR!$BS$2:$CE$250,206,0)</f>
        <v>6984</v>
      </c>
      <c r="DJ27" s="106">
        <f>+HLOOKUP($C27,PMGR!$BS$2:$CE$250,207,0)</f>
        <v>39814.273933333337</v>
      </c>
      <c r="DK27" s="106">
        <f>+HLOOKUP($C27,PMGR!$BS$2:$CE$250,209,0)</f>
        <v>0</v>
      </c>
      <c r="DL27" s="106">
        <f>+HLOOKUP($C27,PMGR!$BS$2:$CE$250,210,0)</f>
        <v>195467.11591050003</v>
      </c>
      <c r="DM27" s="106">
        <f>+HLOOKUP($C27,PMGR!$BS$2:$CE$250,211,0)</f>
        <v>0</v>
      </c>
      <c r="DN27" s="106">
        <f>+HLOOKUP($C27,PMGR!$BS$2:$CE$250,212,0)</f>
        <v>0</v>
      </c>
      <c r="DO27" s="106">
        <f>+HLOOKUP($C27,PMGR!$BS$2:$CE$250,214,0)</f>
        <v>0</v>
      </c>
      <c r="DP27" s="106">
        <f>+HLOOKUP($C27,PMGR!$BS$2:$CE$250,215,0)</f>
        <v>1080</v>
      </c>
      <c r="DQ27" s="106">
        <f>+HLOOKUP($C27,PMGR!$BS$2:$CE$250,219,0)</f>
        <v>0</v>
      </c>
      <c r="DR27" s="106">
        <f>+HLOOKUP($C27,PMGR!$BS$2:$CE$250,220,0)</f>
        <v>0</v>
      </c>
      <c r="DS27" s="106">
        <f>+HLOOKUP($C27,PMGR!$BS$2:$CE$250,221,0)</f>
        <v>0</v>
      </c>
      <c r="DT27" s="106">
        <f>+HLOOKUP($C27,PMGR!$BS$2:$CE$250,223,0)</f>
        <v>22500</v>
      </c>
      <c r="DU27" s="106">
        <f>+HLOOKUP($C27,PMGR!$BS$2:$CE$250,224,0)</f>
        <v>7500</v>
      </c>
      <c r="DV27" s="106">
        <f>+HLOOKUP($C27,PMGR!$BS$2:$CE$250,225,0)</f>
        <v>0</v>
      </c>
      <c r="DW27" s="106">
        <f>+HLOOKUP($C27,PMGR!$BS$2:$CE$250,227,0)</f>
        <v>0</v>
      </c>
      <c r="DX27" s="106">
        <f>+HLOOKUP($C27,PMGR!$BS$2:$CE$250,228,0)</f>
        <v>0</v>
      </c>
      <c r="DY27" s="106">
        <f>+HLOOKUP($C27,PMGR!$BS$2:$CE$250,236,0)</f>
        <v>202382.01</v>
      </c>
      <c r="DZ27" s="106">
        <f>+HLOOKUP($C27,PMGR!$BS$2:$CE$250,237,0)</f>
        <v>30953.794224476613</v>
      </c>
      <c r="EA27" s="106">
        <f>+HLOOKUP($C27,PMGR!$BS$2:$CE$250,238,0)</f>
        <v>20182.2</v>
      </c>
      <c r="EB27" s="106">
        <f>+HLOOKUP($C27,PMGR!$BS$2:$CE$250,240,0)</f>
        <v>675475.61596874997</v>
      </c>
    </row>
    <row r="28" spans="1:132">
      <c r="A28" t="s">
        <v>269</v>
      </c>
      <c r="B28" t="s">
        <v>217</v>
      </c>
      <c r="C28" s="117">
        <v>45931</v>
      </c>
      <c r="D28" s="106">
        <f t="shared" si="0"/>
        <v>15951519.223678814</v>
      </c>
      <c r="E28" s="106">
        <f>+HLOOKUP(C28,PMGR!$BS$2:$CE$250,28,0)+HLOOKUP(C28,PMGR!$BS$2:$CE$250,43,0)+HLOOKUP(C28,PMGR!$BS$2:$CE$250,44,0)+HLOOKUP(C28,PMGR!$BS$2:$CE$250,45,0)+HLOOKUP(C28,PMGR!$BS$2:$CE$250,54,0)+HLOOKUP(C28,PMGR!$BS$2:$CE$250,59,0)</f>
        <v>15951519.223678814</v>
      </c>
      <c r="F28" s="106">
        <f>+HLOOKUP(C28,PMGR!$BS$2:$CE$250,37,0)+HLOOKUP(C28,PMGR!$BS$2:$CE$250,55,0)</f>
        <v>10647070.292571004</v>
      </c>
      <c r="G28" s="106">
        <f>+HLOOKUP($C28,PMGR!$BS$2:$CE$250,76,0)</f>
        <v>0</v>
      </c>
      <c r="H28" s="106">
        <f>+HLOOKUP($C28,PMGR!$BS$2:$CE$250,77,0)</f>
        <v>0</v>
      </c>
      <c r="I28" s="106">
        <f>+HLOOKUP($C28,PMGR!$BS$2:$CE$250,78,0)</f>
        <v>0</v>
      </c>
      <c r="J28" s="106">
        <f>+HLOOKUP($C28,PMGR!$BS$2:$CE$250,79,0)</f>
        <v>0</v>
      </c>
      <c r="K28" s="106">
        <f>+HLOOKUP($C28,PMGR!$BS$2:$CE$250,80,0)</f>
        <v>10000</v>
      </c>
      <c r="L28" s="106">
        <f>+HLOOKUP($C28,PMGR!$BS$2:$CE$250,81,0)</f>
        <v>0</v>
      </c>
      <c r="M28" s="106">
        <f>+HLOOKUP($C28,PMGR!$BS$2:$CE$250,82,0)</f>
        <v>0</v>
      </c>
      <c r="N28" s="106">
        <f>+HLOOKUP($C28,PMGR!$BS$2:$CE$250,83,0)</f>
        <v>0</v>
      </c>
      <c r="O28" s="106">
        <f>+HLOOKUP($C28,PMGR!$BS$2:$CE$250,84,0)</f>
        <v>0</v>
      </c>
      <c r="P28" s="106">
        <f>+HLOOKUP($C28,PMGR!$BS$2:$CE$250,85,0)</f>
        <v>0</v>
      </c>
      <c r="Q28" s="106">
        <f>+HLOOKUP($C28,PMGR!$BS$2:$CE$250,87,0)</f>
        <v>345686.85759999999</v>
      </c>
      <c r="R28" s="106">
        <f>+HLOOKUP($C28,PMGR!$BS$2:$CE$250,90,0)</f>
        <v>0</v>
      </c>
      <c r="S28" s="106">
        <f>+HLOOKUP($C28,PMGR!$BS$2:$CE$250,91,0)</f>
        <v>1000</v>
      </c>
      <c r="T28" s="106">
        <f>+HLOOKUP($C28,PMGR!$BS$2:$CE$250,92,0)</f>
        <v>0</v>
      </c>
      <c r="U28" s="106">
        <f>+HLOOKUP($C28,PMGR!$BS$2:$CE$250,93,0)</f>
        <v>0</v>
      </c>
      <c r="V28" s="106">
        <f>+HLOOKUP($C28,PMGR!$BS$2:$CE$250,94,0)</f>
        <v>0</v>
      </c>
      <c r="W28" s="106">
        <f>+HLOOKUP($C28,PMGR!$BS$2:$CE$250,95,0)</f>
        <v>0</v>
      </c>
      <c r="X28" s="106">
        <f>+HLOOKUP($C28,PMGR!$BS$2:$CE$250,96,0)</f>
        <v>0</v>
      </c>
      <c r="Y28" s="106">
        <f>+HLOOKUP($C28,PMGR!$BS$2:$CE$250,97,0)</f>
        <v>0</v>
      </c>
      <c r="Z28" s="106">
        <f>+HLOOKUP($C28,PMGR!$BS$2:$CE$250,98,0)</f>
        <v>0</v>
      </c>
      <c r="AA28" s="106">
        <f>+HLOOKUP($C28,PMGR!$BS$2:$CE$250,99,0)</f>
        <v>0</v>
      </c>
      <c r="AB28" s="106">
        <f>+HLOOKUP($C28,PMGR!$BS$2:$CE$250,100,0)</f>
        <v>0</v>
      </c>
      <c r="AC28" s="106">
        <f>+HLOOKUP($C28,PMGR!$BS$2:$CE$250,101,0)</f>
        <v>10000</v>
      </c>
      <c r="AD28" s="106">
        <f>+HLOOKUP($C28,PMGR!$BS$2:$CE$250,104,0)</f>
        <v>0</v>
      </c>
      <c r="AE28" s="106">
        <f>+HLOOKUP($C28,PMGR!$BS$2:$CE$250,105,0)</f>
        <v>50264.676000000007</v>
      </c>
      <c r="AF28" s="106">
        <f>+HLOOKUP($C28,PMGR!$BS$2:$CE$250,106,0)</f>
        <v>0</v>
      </c>
      <c r="AG28" s="106">
        <f>+HLOOKUP($C28,PMGR!$BS$2:$CE$250,107,0)</f>
        <v>0</v>
      </c>
      <c r="AH28" s="106">
        <f>+HLOOKUP($C28,PMGR!$BS$2:$CE$250,108,0)</f>
        <v>0</v>
      </c>
      <c r="AI28" s="106">
        <f>+HLOOKUP($C28,PMGR!$BS$2:$CE$250,109,0)</f>
        <v>0</v>
      </c>
      <c r="AJ28" s="106">
        <f>+HLOOKUP($C28,PMGR!$BS$2:$CE$250,110,0)</f>
        <v>0</v>
      </c>
      <c r="AK28" s="106">
        <f>+HLOOKUP($C28,PMGR!$BS$2:$CE$250,111,0)</f>
        <v>3761.6255712000006</v>
      </c>
      <c r="AL28" s="106">
        <f>+HLOOKUP($C28,PMGR!$BS$2:$CE$250,112,0)</f>
        <v>0</v>
      </c>
      <c r="AM28" s="106">
        <f>+HLOOKUP($C28,PMGR!$BS$2:$CE$250,116,0)</f>
        <v>591500</v>
      </c>
      <c r="AN28" s="106">
        <f>+HLOOKUP($C28,PMGR!$BS$2:$CE$250,117,0)</f>
        <v>90030</v>
      </c>
      <c r="AO28" s="106">
        <f>+HLOOKUP($C28,PMGR!$BS$2:$CE$250,118,0)</f>
        <v>1500</v>
      </c>
      <c r="AP28" s="106">
        <f>+HLOOKUP($C28,PMGR!$BS$2:$CE$250,119,0)</f>
        <v>205830</v>
      </c>
      <c r="AQ28" s="106">
        <f>+HLOOKUP($C28,PMGR!$BS$2:$CE$250,120,0)</f>
        <v>35100</v>
      </c>
      <c r="AR28" s="106">
        <f>+HLOOKUP($C28,PMGR!$BS$2:$CE$250,121,0)</f>
        <v>19050</v>
      </c>
      <c r="AS28" s="106">
        <f>+HLOOKUP($C28,PMGR!$BS$2:$CE$250,122,0)</f>
        <v>290490</v>
      </c>
      <c r="AT28" s="106">
        <f>+HLOOKUP($C28,PMGR!$BS$2:$CE$250,123,0)</f>
        <v>74658.494586180561</v>
      </c>
      <c r="AU28" s="106">
        <f>+HLOOKUP($C28,PMGR!$BS$2:$CE$250,124,0)</f>
        <v>6992</v>
      </c>
      <c r="AV28" s="106">
        <f>+HLOOKUP($C28,PMGR!$BS$2:$CE$250,125,0)</f>
        <v>122670</v>
      </c>
      <c r="AW28" s="106">
        <f>+HLOOKUP($C28,PMGR!$BS$2:$CE$250,126,0)</f>
        <v>28437.499999999996</v>
      </c>
      <c r="AX28" s="106">
        <f>+HLOOKUP($C28,PMGR!$BS$2:$CE$250,127,0)</f>
        <v>42233.333333333328</v>
      </c>
      <c r="AY28" s="106">
        <f>+HLOOKUP($C28,PMGR!$BS$2:$CE$250,129,0)</f>
        <v>0</v>
      </c>
      <c r="AZ28" s="106">
        <f>+HLOOKUP($C28,PMGR!$BS$2:$CE$250,130,0)</f>
        <v>0</v>
      </c>
      <c r="BA28" s="106">
        <f>+HLOOKUP($C28,PMGR!$BS$2:$CE$250,131,0)</f>
        <v>25000</v>
      </c>
      <c r="BB28" s="106">
        <f>+HLOOKUP($C28,PMGR!$BS$2:$CE$250,133,0)</f>
        <v>0</v>
      </c>
      <c r="BC28" s="106">
        <f>+HLOOKUP($C28,PMGR!$BS$2:$CE$250,134,0)</f>
        <v>95808.887266666672</v>
      </c>
      <c r="BD28" s="106">
        <f>+HLOOKUP($C28,PMGR!$BS$2:$CE$250,135,0)</f>
        <v>0</v>
      </c>
      <c r="BE28" s="106">
        <f>+HLOOKUP($C28,PMGR!$BS$2:$CE$250,136,0)</f>
        <v>0</v>
      </c>
      <c r="BF28" s="106">
        <f>+HLOOKUP($C28,PMGR!$BS$2:$CE$250,138,0)</f>
        <v>16000</v>
      </c>
      <c r="BG28" s="106">
        <f>+HLOOKUP($C28,PMGR!$BS$2:$CE$250,139,0)</f>
        <v>39596.021666666675</v>
      </c>
      <c r="BH28" s="106">
        <f>+HLOOKUP($C28,PMGR!$BS$2:$CE$250,140,0)</f>
        <v>29491.199999999997</v>
      </c>
      <c r="BI28" s="106">
        <f>+HLOOKUP($C28,PMGR!$BS$2:$CE$250,141,0)</f>
        <v>0</v>
      </c>
      <c r="BJ28" s="106">
        <f>+HLOOKUP($C28,PMGR!$BS$2:$CE$250,142,0)</f>
        <v>0</v>
      </c>
      <c r="BK28" s="106">
        <f>+HLOOKUP($C28,PMGR!$BS$2:$CE$250,143,0)</f>
        <v>49201.416666666664</v>
      </c>
      <c r="BL28" s="106">
        <f>+HLOOKUP($C28,PMGR!$BS$2:$CE$250,144,0)</f>
        <v>225364.58333333334</v>
      </c>
      <c r="BM28" s="106">
        <f>+HLOOKUP($C28,PMGR!$BS$2:$CE$250,146,0)</f>
        <v>0</v>
      </c>
      <c r="BN28" s="106">
        <f>+HLOOKUP($C28,PMGR!$BS$2:$CE$250,147,0)</f>
        <v>59519.862500000003</v>
      </c>
      <c r="BO28" s="106">
        <f>+HLOOKUP($C28,PMGR!$BS$2:$CE$250,148,0)</f>
        <v>0</v>
      </c>
      <c r="BP28" s="106">
        <f>+HLOOKUP($C28,PMGR!$BS$2:$CE$250,150,0)</f>
        <v>48678.682499999995</v>
      </c>
      <c r="BQ28" s="106">
        <f>+HLOOKUP($C28,PMGR!$BS$2:$CE$250,151,0)</f>
        <v>9922</v>
      </c>
      <c r="BR28" s="106">
        <f>+HLOOKUP($C28,PMGR!$BS$2:$CE$250,152,0)</f>
        <v>19200</v>
      </c>
      <c r="BS28" s="106">
        <f>+HLOOKUP($C28,PMGR!$BS$2:$CE$250,153,0)</f>
        <v>3600</v>
      </c>
      <c r="BT28" s="106">
        <f>+HLOOKUP($C28,PMGR!$BS$2:$CE$250,157,0)</f>
        <v>10980</v>
      </c>
      <c r="BU28" s="106">
        <f>+HLOOKUP($C28,PMGR!$BS$2:$CE$250,158,0)</f>
        <v>2610</v>
      </c>
      <c r="BV28" s="106">
        <f>+HLOOKUP($C28,PMGR!$BS$2:$CE$250,159,0)</f>
        <v>999.72222222222217</v>
      </c>
      <c r="BW28" s="106">
        <f>+HLOOKUP($C28,PMGR!$BS$2:$CE$250,160,0)</f>
        <v>21530.500000000004</v>
      </c>
      <c r="BX28" s="106">
        <f>+HLOOKUP($C28,PMGR!$BS$2:$CE$250,161,0)</f>
        <v>11229.693037499979</v>
      </c>
      <c r="BY28" s="106">
        <f>+HLOOKUP($C28,PMGR!$BS$2:$CE$250,164,0)</f>
        <v>5800</v>
      </c>
      <c r="BZ28" s="106">
        <f>+HLOOKUP($C28,PMGR!$BS$2:$CE$250,165,0)</f>
        <v>38293.333333333336</v>
      </c>
      <c r="CA28" s="106">
        <f>+HLOOKUP($C28,PMGR!$BS$2:$CE$250,166,0)</f>
        <v>0</v>
      </c>
      <c r="CB28" s="106">
        <f>+HLOOKUP($C28,PMGR!$BS$2:$CE$250,167,0)</f>
        <v>22500</v>
      </c>
      <c r="CC28" s="106">
        <f>+HLOOKUP($C28,PMGR!$BS$2:$CE$250,168,0)</f>
        <v>0</v>
      </c>
      <c r="CD28" s="106">
        <f>+HLOOKUP($C28,PMGR!$BS$2:$CE$250,169,0)</f>
        <v>0</v>
      </c>
      <c r="CE28" s="106">
        <f>+HLOOKUP($C28,PMGR!$BS$2:$CE$250,170,0)</f>
        <v>0</v>
      </c>
      <c r="CF28" s="106">
        <f>+HLOOKUP($C28,PMGR!$BS$2:$CE$250,172,0)</f>
        <v>32700</v>
      </c>
      <c r="CG28" s="106">
        <f>+HLOOKUP($C28,PMGR!$BS$2:$CE$250,173,0)</f>
        <v>36000</v>
      </c>
      <c r="CH28" s="106">
        <f>+HLOOKUP($C28,PMGR!$BS$2:$CE$250,174,0)</f>
        <v>86400</v>
      </c>
      <c r="CI28" s="106">
        <f>+HLOOKUP($C28,PMGR!$BS$2:$CE$250,175,0)</f>
        <v>6690</v>
      </c>
      <c r="CJ28" s="106">
        <f>+HLOOKUP($C28,PMGR!$BS$2:$CE$250,176,0)</f>
        <v>7110</v>
      </c>
      <c r="CK28" s="106">
        <f>+HLOOKUP($C28,PMGR!$BS$2:$CE$250,178,0)</f>
        <v>94077.832145454551</v>
      </c>
      <c r="CL28" s="106">
        <f>+HLOOKUP($C28,PMGR!$BS$2:$CE$250,179,0)</f>
        <v>0</v>
      </c>
      <c r="CM28" s="106">
        <f>+HLOOKUP($C28,PMGR!$BS$2:$CE$250,180,0)</f>
        <v>0</v>
      </c>
      <c r="CN28" s="106">
        <f>+HLOOKUP($C28,PMGR!$BS$2:$CE$250,182,0)</f>
        <v>737.1</v>
      </c>
      <c r="CO28" s="106">
        <f>+HLOOKUP($C28,PMGR!$BS$2:$CE$250,183,0)</f>
        <v>13115.4</v>
      </c>
      <c r="CP28" s="106">
        <f>+HLOOKUP($C28,PMGR!$BS$2:$CE$250,184,0)</f>
        <v>6480</v>
      </c>
      <c r="CQ28" s="106">
        <f>+HLOOKUP($C28,PMGR!$BS$2:$CE$250,185,0)</f>
        <v>0</v>
      </c>
      <c r="CR28" s="106">
        <f>+HLOOKUP($C28,PMGR!$BS$2:$CE$250,187,0)</f>
        <v>3749.7599999999993</v>
      </c>
      <c r="CS28" s="106">
        <f>+HLOOKUP($C28,PMGR!$BS$2:$CE$250,188,0)</f>
        <v>4770</v>
      </c>
      <c r="CT28" s="106">
        <f>+HLOOKUP($C28,PMGR!$BS$2:$CE$250,189,0)</f>
        <v>3000.0599999999995</v>
      </c>
      <c r="CU28" s="106">
        <f>+HLOOKUP($C28,PMGR!$BS$2:$CE$250,190,0)</f>
        <v>3040.02</v>
      </c>
      <c r="CV28" s="106">
        <f>+HLOOKUP($C28,PMGR!$BS$2:$CE$250,191,0)</f>
        <v>0</v>
      </c>
      <c r="CW28" s="106">
        <f>+HLOOKUP($C28,PMGR!$BS$2:$CE$250,193,0)</f>
        <v>16684.3</v>
      </c>
      <c r="CX28" s="106">
        <f>+HLOOKUP($C28,PMGR!$BS$2:$CE$250,194,0)</f>
        <v>47.699999999999996</v>
      </c>
      <c r="CY28" s="106">
        <f>+HLOOKUP($C28,PMGR!$BS$2:$CE$250,195,0)</f>
        <v>0</v>
      </c>
      <c r="CZ28" s="106">
        <f>+HLOOKUP($C28,PMGR!$BS$2:$CE$250,196,0)</f>
        <v>0</v>
      </c>
      <c r="DA28" s="106">
        <f>+HLOOKUP($C28,PMGR!$BS$2:$CE$250,197,0)</f>
        <v>8755.1999999999989</v>
      </c>
      <c r="DB28" s="106">
        <f>+HLOOKUP($C28,PMGR!$BS$2:$CE$250,198,0)</f>
        <v>6066</v>
      </c>
      <c r="DC28" s="106">
        <f>+HLOOKUP($C28,PMGR!$BS$2:$CE$250,199,0)</f>
        <v>1296</v>
      </c>
      <c r="DD28" s="106">
        <f>+HLOOKUP($C28,PMGR!$BS$2:$CE$250,200,0)</f>
        <v>348</v>
      </c>
      <c r="DE28" s="106">
        <f>+HLOOKUP($C28,PMGR!$BS$2:$CE$250,201,0)</f>
        <v>89.1</v>
      </c>
      <c r="DF28" s="106">
        <f>+HLOOKUP($C28,PMGR!$BS$2:$CE$250,202,0)</f>
        <v>0</v>
      </c>
      <c r="DG28" s="106">
        <f>+HLOOKUP($C28,PMGR!$BS$2:$CE$250,203,0)</f>
        <v>0</v>
      </c>
      <c r="DH28" s="106">
        <f>+HLOOKUP($C28,PMGR!$BS$2:$CE$250,205,0)</f>
        <v>0</v>
      </c>
      <c r="DI28" s="106">
        <f>+HLOOKUP($C28,PMGR!$BS$2:$CE$250,206,0)</f>
        <v>6984</v>
      </c>
      <c r="DJ28" s="106">
        <f>+HLOOKUP($C28,PMGR!$BS$2:$CE$250,207,0)</f>
        <v>39814.273933333337</v>
      </c>
      <c r="DK28" s="106">
        <f>+HLOOKUP($C28,PMGR!$BS$2:$CE$250,209,0)</f>
        <v>0</v>
      </c>
      <c r="DL28" s="106">
        <f>+HLOOKUP($C28,PMGR!$BS$2:$CE$250,210,0)</f>
        <v>195467.11591050003</v>
      </c>
      <c r="DM28" s="106">
        <f>+HLOOKUP($C28,PMGR!$BS$2:$CE$250,211,0)</f>
        <v>0</v>
      </c>
      <c r="DN28" s="106">
        <f>+HLOOKUP($C28,PMGR!$BS$2:$CE$250,212,0)</f>
        <v>0</v>
      </c>
      <c r="DO28" s="106">
        <f>+HLOOKUP($C28,PMGR!$BS$2:$CE$250,214,0)</f>
        <v>0</v>
      </c>
      <c r="DP28" s="106">
        <f>+HLOOKUP($C28,PMGR!$BS$2:$CE$250,215,0)</f>
        <v>1080</v>
      </c>
      <c r="DQ28" s="106">
        <f>+HLOOKUP($C28,PMGR!$BS$2:$CE$250,219,0)</f>
        <v>0</v>
      </c>
      <c r="DR28" s="106">
        <f>+HLOOKUP($C28,PMGR!$BS$2:$CE$250,220,0)</f>
        <v>0</v>
      </c>
      <c r="DS28" s="106">
        <f>+HLOOKUP($C28,PMGR!$BS$2:$CE$250,221,0)</f>
        <v>0</v>
      </c>
      <c r="DT28" s="106">
        <f>+HLOOKUP($C28,PMGR!$BS$2:$CE$250,223,0)</f>
        <v>22500</v>
      </c>
      <c r="DU28" s="106">
        <f>+HLOOKUP($C28,PMGR!$BS$2:$CE$250,224,0)</f>
        <v>7500</v>
      </c>
      <c r="DV28" s="106">
        <f>+HLOOKUP($C28,PMGR!$BS$2:$CE$250,225,0)</f>
        <v>0</v>
      </c>
      <c r="DW28" s="106">
        <f>+HLOOKUP($C28,PMGR!$BS$2:$CE$250,227,0)</f>
        <v>0</v>
      </c>
      <c r="DX28" s="106">
        <f>+HLOOKUP($C28,PMGR!$BS$2:$CE$250,228,0)</f>
        <v>0</v>
      </c>
      <c r="DY28" s="106">
        <f>+HLOOKUP($C28,PMGR!$BS$2:$CE$250,236,0)</f>
        <v>208933.77</v>
      </c>
      <c r="DZ28" s="106">
        <f>+HLOOKUP($C28,PMGR!$BS$2:$CE$250,237,0)</f>
        <v>32436.088584420719</v>
      </c>
      <c r="EA28" s="106">
        <f>+HLOOKUP($C28,PMGR!$BS$2:$CE$250,238,0)</f>
        <v>22982.399999999998</v>
      </c>
      <c r="EB28" s="106">
        <f>+HLOOKUP($C28,PMGR!$BS$2:$CE$250,240,0)</f>
        <v>675475.61596874997</v>
      </c>
    </row>
    <row r="29" spans="1:132">
      <c r="A29" t="s">
        <v>269</v>
      </c>
      <c r="B29" t="s">
        <v>217</v>
      </c>
      <c r="C29" s="117">
        <v>45901</v>
      </c>
      <c r="D29" s="106">
        <f t="shared" si="0"/>
        <v>22232230.792539105</v>
      </c>
      <c r="E29" s="106">
        <f>+HLOOKUP(C29,PMGR!$BS$2:$CE$250,28,0)+HLOOKUP(C29,PMGR!$BS$2:$CE$250,43,0)+HLOOKUP(C29,PMGR!$BS$2:$CE$250,44,0)+HLOOKUP(C29,PMGR!$BS$2:$CE$250,45,0)+HLOOKUP(C29,PMGR!$BS$2:$CE$250,54,0)+HLOOKUP(C29,PMGR!$BS$2:$CE$250,59,0)</f>
        <v>22232230.792539105</v>
      </c>
      <c r="F29" s="106">
        <f>+HLOOKUP(C29,PMGR!$BS$2:$CE$250,37,0)+HLOOKUP(C29,PMGR!$BS$2:$CE$250,55,0)</f>
        <v>12116980.660941007</v>
      </c>
      <c r="G29" s="106">
        <f>+HLOOKUP($C29,PMGR!$BS$2:$CE$250,76,0)</f>
        <v>0</v>
      </c>
      <c r="H29" s="106">
        <f>+HLOOKUP($C29,PMGR!$BS$2:$CE$250,77,0)</f>
        <v>0</v>
      </c>
      <c r="I29" s="106">
        <f>+HLOOKUP($C29,PMGR!$BS$2:$CE$250,78,0)</f>
        <v>0</v>
      </c>
      <c r="J29" s="106">
        <f>+HLOOKUP($C29,PMGR!$BS$2:$CE$250,79,0)</f>
        <v>0</v>
      </c>
      <c r="K29" s="106">
        <f>+HLOOKUP($C29,PMGR!$BS$2:$CE$250,80,0)</f>
        <v>10000</v>
      </c>
      <c r="L29" s="106">
        <f>+HLOOKUP($C29,PMGR!$BS$2:$CE$250,81,0)</f>
        <v>0</v>
      </c>
      <c r="M29" s="106">
        <f>+HLOOKUP($C29,PMGR!$BS$2:$CE$250,82,0)</f>
        <v>0</v>
      </c>
      <c r="N29" s="106">
        <f>+HLOOKUP($C29,PMGR!$BS$2:$CE$250,83,0)</f>
        <v>0</v>
      </c>
      <c r="O29" s="106">
        <f>+HLOOKUP($C29,PMGR!$BS$2:$CE$250,84,0)</f>
        <v>0</v>
      </c>
      <c r="P29" s="106">
        <f>+HLOOKUP($C29,PMGR!$BS$2:$CE$250,85,0)</f>
        <v>0</v>
      </c>
      <c r="Q29" s="106">
        <f>+HLOOKUP($C29,PMGR!$BS$2:$CE$250,87,0)</f>
        <v>400416.09180000005</v>
      </c>
      <c r="R29" s="106">
        <f>+HLOOKUP($C29,PMGR!$BS$2:$CE$250,90,0)</f>
        <v>0</v>
      </c>
      <c r="S29" s="106">
        <f>+HLOOKUP($C29,PMGR!$BS$2:$CE$250,91,0)</f>
        <v>1000</v>
      </c>
      <c r="T29" s="106">
        <f>+HLOOKUP($C29,PMGR!$BS$2:$CE$250,92,0)</f>
        <v>0</v>
      </c>
      <c r="U29" s="106">
        <f>+HLOOKUP($C29,PMGR!$BS$2:$CE$250,93,0)</f>
        <v>0</v>
      </c>
      <c r="V29" s="106">
        <f>+HLOOKUP($C29,PMGR!$BS$2:$CE$250,94,0)</f>
        <v>0</v>
      </c>
      <c r="W29" s="106">
        <f>+HLOOKUP($C29,PMGR!$BS$2:$CE$250,95,0)</f>
        <v>0</v>
      </c>
      <c r="X29" s="106">
        <f>+HLOOKUP($C29,PMGR!$BS$2:$CE$250,96,0)</f>
        <v>0</v>
      </c>
      <c r="Y29" s="106">
        <f>+HLOOKUP($C29,PMGR!$BS$2:$CE$250,97,0)</f>
        <v>0</v>
      </c>
      <c r="Z29" s="106">
        <f>+HLOOKUP($C29,PMGR!$BS$2:$CE$250,98,0)</f>
        <v>0</v>
      </c>
      <c r="AA29" s="106">
        <f>+HLOOKUP($C29,PMGR!$BS$2:$CE$250,99,0)</f>
        <v>0</v>
      </c>
      <c r="AB29" s="106">
        <f>+HLOOKUP($C29,PMGR!$BS$2:$CE$250,100,0)</f>
        <v>0</v>
      </c>
      <c r="AC29" s="106">
        <f>+HLOOKUP($C29,PMGR!$BS$2:$CE$250,101,0)</f>
        <v>10000</v>
      </c>
      <c r="AD29" s="106">
        <f>+HLOOKUP($C29,PMGR!$BS$2:$CE$250,104,0)</f>
        <v>0</v>
      </c>
      <c r="AE29" s="106">
        <f>+HLOOKUP($C29,PMGR!$BS$2:$CE$250,105,0)</f>
        <v>57715.713000000011</v>
      </c>
      <c r="AF29" s="106">
        <f>+HLOOKUP($C29,PMGR!$BS$2:$CE$250,106,0)</f>
        <v>0</v>
      </c>
      <c r="AG29" s="106">
        <f>+HLOOKUP($C29,PMGR!$BS$2:$CE$250,107,0)</f>
        <v>0</v>
      </c>
      <c r="AH29" s="106">
        <f>+HLOOKUP($C29,PMGR!$BS$2:$CE$250,108,0)</f>
        <v>0</v>
      </c>
      <c r="AI29" s="106">
        <f>+HLOOKUP($C29,PMGR!$BS$2:$CE$250,109,0)</f>
        <v>0</v>
      </c>
      <c r="AJ29" s="106">
        <f>+HLOOKUP($C29,PMGR!$BS$2:$CE$250,110,0)</f>
        <v>0</v>
      </c>
      <c r="AK29" s="106">
        <f>+HLOOKUP($C29,PMGR!$BS$2:$CE$250,111,0)</f>
        <v>4319.234085600001</v>
      </c>
      <c r="AL29" s="106">
        <f>+HLOOKUP($C29,PMGR!$BS$2:$CE$250,112,0)</f>
        <v>0</v>
      </c>
      <c r="AM29" s="106">
        <f>+HLOOKUP($C29,PMGR!$BS$2:$CE$250,116,0)</f>
        <v>591500</v>
      </c>
      <c r="AN29" s="106">
        <f>+HLOOKUP($C29,PMGR!$BS$2:$CE$250,117,0)</f>
        <v>90030</v>
      </c>
      <c r="AO29" s="106">
        <f>+HLOOKUP($C29,PMGR!$BS$2:$CE$250,118,0)</f>
        <v>1500</v>
      </c>
      <c r="AP29" s="106">
        <f>+HLOOKUP($C29,PMGR!$BS$2:$CE$250,119,0)</f>
        <v>205830</v>
      </c>
      <c r="AQ29" s="106">
        <f>+HLOOKUP($C29,PMGR!$BS$2:$CE$250,120,0)</f>
        <v>35100</v>
      </c>
      <c r="AR29" s="106">
        <f>+HLOOKUP($C29,PMGR!$BS$2:$CE$250,121,0)</f>
        <v>19050</v>
      </c>
      <c r="AS29" s="106">
        <f>+HLOOKUP($C29,PMGR!$BS$2:$CE$250,122,0)</f>
        <v>290490</v>
      </c>
      <c r="AT29" s="106">
        <f>+HLOOKUP($C29,PMGR!$BS$2:$CE$250,123,0)</f>
        <v>74658.494586180561</v>
      </c>
      <c r="AU29" s="106">
        <f>+HLOOKUP($C29,PMGR!$BS$2:$CE$250,124,0)</f>
        <v>6992</v>
      </c>
      <c r="AV29" s="106">
        <f>+HLOOKUP($C29,PMGR!$BS$2:$CE$250,125,0)</f>
        <v>122670</v>
      </c>
      <c r="AW29" s="106">
        <f>+HLOOKUP($C29,PMGR!$BS$2:$CE$250,126,0)</f>
        <v>28437.499999999996</v>
      </c>
      <c r="AX29" s="106">
        <f>+HLOOKUP($C29,PMGR!$BS$2:$CE$250,127,0)</f>
        <v>42233.333333333328</v>
      </c>
      <c r="AY29" s="106">
        <f>+HLOOKUP($C29,PMGR!$BS$2:$CE$250,129,0)</f>
        <v>0</v>
      </c>
      <c r="AZ29" s="106">
        <f>+HLOOKUP($C29,PMGR!$BS$2:$CE$250,130,0)</f>
        <v>0</v>
      </c>
      <c r="BA29" s="106">
        <f>+HLOOKUP($C29,PMGR!$BS$2:$CE$250,131,0)</f>
        <v>25000</v>
      </c>
      <c r="BB29" s="106">
        <f>+HLOOKUP($C29,PMGR!$BS$2:$CE$250,133,0)</f>
        <v>0</v>
      </c>
      <c r="BC29" s="106">
        <f>+HLOOKUP($C29,PMGR!$BS$2:$CE$250,134,0)</f>
        <v>95808.887266666672</v>
      </c>
      <c r="BD29" s="106">
        <f>+HLOOKUP($C29,PMGR!$BS$2:$CE$250,135,0)</f>
        <v>0</v>
      </c>
      <c r="BE29" s="106">
        <f>+HLOOKUP($C29,PMGR!$BS$2:$CE$250,136,0)</f>
        <v>0</v>
      </c>
      <c r="BF29" s="106">
        <f>+HLOOKUP($C29,PMGR!$BS$2:$CE$250,138,0)</f>
        <v>16000</v>
      </c>
      <c r="BG29" s="106">
        <f>+HLOOKUP($C29,PMGR!$BS$2:$CE$250,139,0)</f>
        <v>39596.021666666675</v>
      </c>
      <c r="BH29" s="106">
        <f>+HLOOKUP($C29,PMGR!$BS$2:$CE$250,140,0)</f>
        <v>29491.199999999997</v>
      </c>
      <c r="BI29" s="106">
        <f>+HLOOKUP($C29,PMGR!$BS$2:$CE$250,141,0)</f>
        <v>0</v>
      </c>
      <c r="BJ29" s="106">
        <f>+HLOOKUP($C29,PMGR!$BS$2:$CE$250,142,0)</f>
        <v>0</v>
      </c>
      <c r="BK29" s="106">
        <f>+HLOOKUP($C29,PMGR!$BS$2:$CE$250,143,0)</f>
        <v>49201.416666666664</v>
      </c>
      <c r="BL29" s="106">
        <f>+HLOOKUP($C29,PMGR!$BS$2:$CE$250,144,0)</f>
        <v>21239.583333333332</v>
      </c>
      <c r="BM29" s="106">
        <f>+HLOOKUP($C29,PMGR!$BS$2:$CE$250,146,0)</f>
        <v>0</v>
      </c>
      <c r="BN29" s="106">
        <f>+HLOOKUP($C29,PMGR!$BS$2:$CE$250,147,0)</f>
        <v>59519.862500000003</v>
      </c>
      <c r="BO29" s="106">
        <f>+HLOOKUP($C29,PMGR!$BS$2:$CE$250,148,0)</f>
        <v>0</v>
      </c>
      <c r="BP29" s="106">
        <f>+HLOOKUP($C29,PMGR!$BS$2:$CE$250,150,0)</f>
        <v>48678.682499999995</v>
      </c>
      <c r="BQ29" s="106">
        <f>+HLOOKUP($C29,PMGR!$BS$2:$CE$250,151,0)</f>
        <v>9922</v>
      </c>
      <c r="BR29" s="106">
        <f>+HLOOKUP($C29,PMGR!$BS$2:$CE$250,152,0)</f>
        <v>19200</v>
      </c>
      <c r="BS29" s="106">
        <f>+HLOOKUP($C29,PMGR!$BS$2:$CE$250,153,0)</f>
        <v>3600</v>
      </c>
      <c r="BT29" s="106">
        <f>+HLOOKUP($C29,PMGR!$BS$2:$CE$250,157,0)</f>
        <v>10980</v>
      </c>
      <c r="BU29" s="106">
        <f>+HLOOKUP($C29,PMGR!$BS$2:$CE$250,158,0)</f>
        <v>2610</v>
      </c>
      <c r="BV29" s="106">
        <f>+HLOOKUP($C29,PMGR!$BS$2:$CE$250,159,0)</f>
        <v>999.72222222222217</v>
      </c>
      <c r="BW29" s="106">
        <f>+HLOOKUP($C29,PMGR!$BS$2:$CE$250,160,0)</f>
        <v>21530.500000000004</v>
      </c>
      <c r="BX29" s="106">
        <f>+HLOOKUP($C29,PMGR!$BS$2:$CE$250,161,0)</f>
        <v>10694.945750000001</v>
      </c>
      <c r="BY29" s="106">
        <f>+HLOOKUP($C29,PMGR!$BS$2:$CE$250,164,0)</f>
        <v>5800</v>
      </c>
      <c r="BZ29" s="106">
        <f>+HLOOKUP($C29,PMGR!$BS$2:$CE$250,165,0)</f>
        <v>38293.333333333336</v>
      </c>
      <c r="CA29" s="106">
        <f>+HLOOKUP($C29,PMGR!$BS$2:$CE$250,166,0)</f>
        <v>0</v>
      </c>
      <c r="CB29" s="106">
        <f>+HLOOKUP($C29,PMGR!$BS$2:$CE$250,167,0)</f>
        <v>57500</v>
      </c>
      <c r="CC29" s="106">
        <f>+HLOOKUP($C29,PMGR!$BS$2:$CE$250,168,0)</f>
        <v>0</v>
      </c>
      <c r="CD29" s="106">
        <f>+HLOOKUP($C29,PMGR!$BS$2:$CE$250,169,0)</f>
        <v>5400</v>
      </c>
      <c r="CE29" s="106">
        <f>+HLOOKUP($C29,PMGR!$BS$2:$CE$250,170,0)</f>
        <v>0</v>
      </c>
      <c r="CF29" s="106">
        <f>+HLOOKUP($C29,PMGR!$BS$2:$CE$250,172,0)</f>
        <v>32700</v>
      </c>
      <c r="CG29" s="106">
        <f>+HLOOKUP($C29,PMGR!$BS$2:$CE$250,173,0)</f>
        <v>36000</v>
      </c>
      <c r="CH29" s="106">
        <f>+HLOOKUP($C29,PMGR!$BS$2:$CE$250,174,0)</f>
        <v>86400</v>
      </c>
      <c r="CI29" s="106">
        <f>+HLOOKUP($C29,PMGR!$BS$2:$CE$250,175,0)</f>
        <v>6690</v>
      </c>
      <c r="CJ29" s="106">
        <f>+HLOOKUP($C29,PMGR!$BS$2:$CE$250,176,0)</f>
        <v>7110</v>
      </c>
      <c r="CK29" s="106">
        <f>+HLOOKUP($C29,PMGR!$BS$2:$CE$250,178,0)</f>
        <v>94077.832145454551</v>
      </c>
      <c r="CL29" s="106">
        <f>+HLOOKUP($C29,PMGR!$BS$2:$CE$250,179,0)</f>
        <v>0</v>
      </c>
      <c r="CM29" s="106">
        <f>+HLOOKUP($C29,PMGR!$BS$2:$CE$250,180,0)</f>
        <v>0</v>
      </c>
      <c r="CN29" s="106">
        <f>+HLOOKUP($C29,PMGR!$BS$2:$CE$250,182,0)</f>
        <v>737.1</v>
      </c>
      <c r="CO29" s="106">
        <f>+HLOOKUP($C29,PMGR!$BS$2:$CE$250,183,0)</f>
        <v>13115.4</v>
      </c>
      <c r="CP29" s="106">
        <f>+HLOOKUP($C29,PMGR!$BS$2:$CE$250,184,0)</f>
        <v>6480</v>
      </c>
      <c r="CQ29" s="106">
        <f>+HLOOKUP($C29,PMGR!$BS$2:$CE$250,185,0)</f>
        <v>0</v>
      </c>
      <c r="CR29" s="106">
        <f>+HLOOKUP($C29,PMGR!$BS$2:$CE$250,187,0)</f>
        <v>3749.7599999999993</v>
      </c>
      <c r="CS29" s="106">
        <f>+HLOOKUP($C29,PMGR!$BS$2:$CE$250,188,0)</f>
        <v>4770</v>
      </c>
      <c r="CT29" s="106">
        <f>+HLOOKUP($C29,PMGR!$BS$2:$CE$250,189,0)</f>
        <v>3000.0599999999995</v>
      </c>
      <c r="CU29" s="106">
        <f>+HLOOKUP($C29,PMGR!$BS$2:$CE$250,190,0)</f>
        <v>3040.02</v>
      </c>
      <c r="CV29" s="106">
        <f>+HLOOKUP($C29,PMGR!$BS$2:$CE$250,191,0)</f>
        <v>0</v>
      </c>
      <c r="CW29" s="106">
        <f>+HLOOKUP($C29,PMGR!$BS$2:$CE$250,193,0)</f>
        <v>16684.3</v>
      </c>
      <c r="CX29" s="106">
        <f>+HLOOKUP($C29,PMGR!$BS$2:$CE$250,194,0)</f>
        <v>47.699999999999996</v>
      </c>
      <c r="CY29" s="106">
        <f>+HLOOKUP($C29,PMGR!$BS$2:$CE$250,195,0)</f>
        <v>0</v>
      </c>
      <c r="CZ29" s="106">
        <f>+HLOOKUP($C29,PMGR!$BS$2:$CE$250,196,0)</f>
        <v>0</v>
      </c>
      <c r="DA29" s="106">
        <f>+HLOOKUP($C29,PMGR!$BS$2:$CE$250,197,0)</f>
        <v>8755.1999999999989</v>
      </c>
      <c r="DB29" s="106">
        <f>+HLOOKUP($C29,PMGR!$BS$2:$CE$250,198,0)</f>
        <v>6066</v>
      </c>
      <c r="DC29" s="106">
        <f>+HLOOKUP($C29,PMGR!$BS$2:$CE$250,199,0)</f>
        <v>1296</v>
      </c>
      <c r="DD29" s="106">
        <f>+HLOOKUP($C29,PMGR!$BS$2:$CE$250,200,0)</f>
        <v>348</v>
      </c>
      <c r="DE29" s="106">
        <f>+HLOOKUP($C29,PMGR!$BS$2:$CE$250,201,0)</f>
        <v>89.1</v>
      </c>
      <c r="DF29" s="106">
        <f>+HLOOKUP($C29,PMGR!$BS$2:$CE$250,202,0)</f>
        <v>0</v>
      </c>
      <c r="DG29" s="106">
        <f>+HLOOKUP($C29,PMGR!$BS$2:$CE$250,203,0)</f>
        <v>0</v>
      </c>
      <c r="DH29" s="106">
        <f>+HLOOKUP($C29,PMGR!$BS$2:$CE$250,205,0)</f>
        <v>0</v>
      </c>
      <c r="DI29" s="106">
        <f>+HLOOKUP($C29,PMGR!$BS$2:$CE$250,206,0)</f>
        <v>6984</v>
      </c>
      <c r="DJ29" s="106">
        <f>+HLOOKUP($C29,PMGR!$BS$2:$CE$250,207,0)</f>
        <v>39865.518833333335</v>
      </c>
      <c r="DK29" s="106">
        <f>+HLOOKUP($C29,PMGR!$BS$2:$CE$250,209,0)</f>
        <v>0</v>
      </c>
      <c r="DL29" s="106">
        <f>+HLOOKUP($C29,PMGR!$BS$2:$CE$250,210,0)</f>
        <v>195467.11591050003</v>
      </c>
      <c r="DM29" s="106">
        <f>+HLOOKUP($C29,PMGR!$BS$2:$CE$250,211,0)</f>
        <v>0</v>
      </c>
      <c r="DN29" s="106">
        <f>+HLOOKUP($C29,PMGR!$BS$2:$CE$250,212,0)</f>
        <v>0</v>
      </c>
      <c r="DO29" s="106">
        <f>+HLOOKUP($C29,PMGR!$BS$2:$CE$250,214,0)</f>
        <v>0</v>
      </c>
      <c r="DP29" s="106">
        <f>+HLOOKUP($C29,PMGR!$BS$2:$CE$250,215,0)</f>
        <v>1080</v>
      </c>
      <c r="DQ29" s="106">
        <f>+HLOOKUP($C29,PMGR!$BS$2:$CE$250,219,0)</f>
        <v>0</v>
      </c>
      <c r="DR29" s="106">
        <f>+HLOOKUP($C29,PMGR!$BS$2:$CE$250,220,0)</f>
        <v>0</v>
      </c>
      <c r="DS29" s="106">
        <f>+HLOOKUP($C29,PMGR!$BS$2:$CE$250,221,0)</f>
        <v>0</v>
      </c>
      <c r="DT29" s="106">
        <f>+HLOOKUP($C29,PMGR!$BS$2:$CE$250,223,0)</f>
        <v>22500</v>
      </c>
      <c r="DU29" s="106">
        <f>+HLOOKUP($C29,PMGR!$BS$2:$CE$250,224,0)</f>
        <v>7500</v>
      </c>
      <c r="DV29" s="106">
        <f>+HLOOKUP($C29,PMGR!$BS$2:$CE$250,225,0)</f>
        <v>0</v>
      </c>
      <c r="DW29" s="106">
        <f>+HLOOKUP($C29,PMGR!$BS$2:$CE$250,227,0)</f>
        <v>0</v>
      </c>
      <c r="DX29" s="106">
        <f>+HLOOKUP($C29,PMGR!$BS$2:$CE$250,228,0)</f>
        <v>0</v>
      </c>
      <c r="DY29" s="106">
        <f>+HLOOKUP($C29,PMGR!$BS$2:$CE$250,236,0)</f>
        <v>215437.08599999998</v>
      </c>
      <c r="DZ29" s="106">
        <f>+HLOOKUP($C29,PMGR!$BS$2:$CE$250,237,0)</f>
        <v>31825.732067950579</v>
      </c>
      <c r="EA29" s="106">
        <f>+HLOOKUP($C29,PMGR!$BS$2:$CE$250,238,0)</f>
        <v>25762.799999999999</v>
      </c>
      <c r="EB29" s="106">
        <f>+HLOOKUP($C29,PMGR!$BS$2:$CE$250,240,0)</f>
        <v>675475.61596874997</v>
      </c>
    </row>
    <row r="30" spans="1:132">
      <c r="A30" t="s">
        <v>269</v>
      </c>
      <c r="B30" t="s">
        <v>217</v>
      </c>
      <c r="C30" s="117">
        <v>45870</v>
      </c>
      <c r="D30" s="106">
        <f t="shared" si="0"/>
        <v>17300269.209573794</v>
      </c>
      <c r="E30" s="106">
        <f>+HLOOKUP(C30,PMGR!$BS$2:$CE$250,28,0)+HLOOKUP(C30,PMGR!$BS$2:$CE$250,43,0)+HLOOKUP(C30,PMGR!$BS$2:$CE$250,44,0)+HLOOKUP(C30,PMGR!$BS$2:$CE$250,45,0)+HLOOKUP(C30,PMGR!$BS$2:$CE$250,54,0)+HLOOKUP(C30,PMGR!$BS$2:$CE$250,59,0)</f>
        <v>17300269.209573794</v>
      </c>
      <c r="F30" s="106">
        <f>+HLOOKUP(C30,PMGR!$BS$2:$CE$250,37,0)+HLOOKUP(C30,PMGR!$BS$2:$CE$250,55,0)</f>
        <v>11473347.45992101</v>
      </c>
      <c r="G30" s="106">
        <f>+HLOOKUP($C30,PMGR!$BS$2:$CE$250,76,0)</f>
        <v>0</v>
      </c>
      <c r="H30" s="106">
        <f>+HLOOKUP($C30,PMGR!$BS$2:$CE$250,77,0)</f>
        <v>0</v>
      </c>
      <c r="I30" s="106">
        <f>+HLOOKUP($C30,PMGR!$BS$2:$CE$250,78,0)</f>
        <v>0</v>
      </c>
      <c r="J30" s="106">
        <f>+HLOOKUP($C30,PMGR!$BS$2:$CE$250,79,0)</f>
        <v>0</v>
      </c>
      <c r="K30" s="106">
        <f>+HLOOKUP($C30,PMGR!$BS$2:$CE$250,80,0)</f>
        <v>10000</v>
      </c>
      <c r="L30" s="106">
        <f>+HLOOKUP($C30,PMGR!$BS$2:$CE$250,81,0)</f>
        <v>0</v>
      </c>
      <c r="M30" s="106">
        <f>+HLOOKUP($C30,PMGR!$BS$2:$CE$250,82,0)</f>
        <v>0</v>
      </c>
      <c r="N30" s="106">
        <f>+HLOOKUP($C30,PMGR!$BS$2:$CE$250,83,0)</f>
        <v>0</v>
      </c>
      <c r="O30" s="106">
        <f>+HLOOKUP($C30,PMGR!$BS$2:$CE$250,84,0)</f>
        <v>0</v>
      </c>
      <c r="P30" s="106">
        <f>+HLOOKUP($C30,PMGR!$BS$2:$CE$250,85,0)</f>
        <v>0</v>
      </c>
      <c r="Q30" s="106">
        <f>+HLOOKUP($C30,PMGR!$BS$2:$CE$250,87,0)</f>
        <v>377697.18900000007</v>
      </c>
      <c r="R30" s="106">
        <f>+HLOOKUP($C30,PMGR!$BS$2:$CE$250,90,0)</f>
        <v>0</v>
      </c>
      <c r="S30" s="106">
        <f>+HLOOKUP($C30,PMGR!$BS$2:$CE$250,91,0)</f>
        <v>1000</v>
      </c>
      <c r="T30" s="106">
        <f>+HLOOKUP($C30,PMGR!$BS$2:$CE$250,92,0)</f>
        <v>0</v>
      </c>
      <c r="U30" s="106">
        <f>+HLOOKUP($C30,PMGR!$BS$2:$CE$250,93,0)</f>
        <v>0</v>
      </c>
      <c r="V30" s="106">
        <f>+HLOOKUP($C30,PMGR!$BS$2:$CE$250,94,0)</f>
        <v>0</v>
      </c>
      <c r="W30" s="106">
        <f>+HLOOKUP($C30,PMGR!$BS$2:$CE$250,95,0)</f>
        <v>0</v>
      </c>
      <c r="X30" s="106">
        <f>+HLOOKUP($C30,PMGR!$BS$2:$CE$250,96,0)</f>
        <v>0</v>
      </c>
      <c r="Y30" s="106">
        <f>+HLOOKUP($C30,PMGR!$BS$2:$CE$250,97,0)</f>
        <v>0</v>
      </c>
      <c r="Z30" s="106">
        <f>+HLOOKUP($C30,PMGR!$BS$2:$CE$250,98,0)</f>
        <v>0</v>
      </c>
      <c r="AA30" s="106">
        <f>+HLOOKUP($C30,PMGR!$BS$2:$CE$250,99,0)</f>
        <v>0</v>
      </c>
      <c r="AB30" s="106">
        <f>+HLOOKUP($C30,PMGR!$BS$2:$CE$250,100,0)</f>
        <v>0</v>
      </c>
      <c r="AC30" s="106">
        <f>+HLOOKUP($C30,PMGR!$BS$2:$CE$250,101,0)</f>
        <v>10000</v>
      </c>
      <c r="AD30" s="106">
        <f>+HLOOKUP($C30,PMGR!$BS$2:$CE$250,104,0)</f>
        <v>0</v>
      </c>
      <c r="AE30" s="106">
        <f>+HLOOKUP($C30,PMGR!$BS$2:$CE$250,105,0)</f>
        <v>54434.100600000027</v>
      </c>
      <c r="AF30" s="106">
        <f>+HLOOKUP($C30,PMGR!$BS$2:$CE$250,106,0)</f>
        <v>0</v>
      </c>
      <c r="AG30" s="106">
        <f>+HLOOKUP($C30,PMGR!$BS$2:$CE$250,107,0)</f>
        <v>0</v>
      </c>
      <c r="AH30" s="106">
        <f>+HLOOKUP($C30,PMGR!$BS$2:$CE$250,108,0)</f>
        <v>0</v>
      </c>
      <c r="AI30" s="106">
        <f>+HLOOKUP($C30,PMGR!$BS$2:$CE$250,109,0)</f>
        <v>0</v>
      </c>
      <c r="AJ30" s="106">
        <f>+HLOOKUP($C30,PMGR!$BS$2:$CE$250,110,0)</f>
        <v>0</v>
      </c>
      <c r="AK30" s="106">
        <f>+HLOOKUP($C30,PMGR!$BS$2:$CE$250,111,0)</f>
        <v>4073.6501467200019</v>
      </c>
      <c r="AL30" s="106">
        <f>+HLOOKUP($C30,PMGR!$BS$2:$CE$250,112,0)</f>
        <v>0</v>
      </c>
      <c r="AM30" s="106">
        <f>+HLOOKUP($C30,PMGR!$BS$2:$CE$250,116,0)</f>
        <v>591500</v>
      </c>
      <c r="AN30" s="106">
        <f>+HLOOKUP($C30,PMGR!$BS$2:$CE$250,117,0)</f>
        <v>90030</v>
      </c>
      <c r="AO30" s="106">
        <f>+HLOOKUP($C30,PMGR!$BS$2:$CE$250,118,0)</f>
        <v>1500</v>
      </c>
      <c r="AP30" s="106">
        <f>+HLOOKUP($C30,PMGR!$BS$2:$CE$250,119,0)</f>
        <v>205830</v>
      </c>
      <c r="AQ30" s="106">
        <f>+HLOOKUP($C30,PMGR!$BS$2:$CE$250,120,0)</f>
        <v>35100</v>
      </c>
      <c r="AR30" s="106">
        <f>+HLOOKUP($C30,PMGR!$BS$2:$CE$250,121,0)</f>
        <v>19050</v>
      </c>
      <c r="AS30" s="106">
        <f>+HLOOKUP($C30,PMGR!$BS$2:$CE$250,122,0)</f>
        <v>290490</v>
      </c>
      <c r="AT30" s="106">
        <f>+HLOOKUP($C30,PMGR!$BS$2:$CE$250,123,0)</f>
        <v>74658.494586180561</v>
      </c>
      <c r="AU30" s="106">
        <f>+HLOOKUP($C30,PMGR!$BS$2:$CE$250,124,0)</f>
        <v>6992</v>
      </c>
      <c r="AV30" s="106">
        <f>+HLOOKUP($C30,PMGR!$BS$2:$CE$250,125,0)</f>
        <v>122670</v>
      </c>
      <c r="AW30" s="106">
        <f>+HLOOKUP($C30,PMGR!$BS$2:$CE$250,126,0)</f>
        <v>28437.499999999996</v>
      </c>
      <c r="AX30" s="106">
        <f>+HLOOKUP($C30,PMGR!$BS$2:$CE$250,127,0)</f>
        <v>42233.333333333328</v>
      </c>
      <c r="AY30" s="106">
        <f>+HLOOKUP($C30,PMGR!$BS$2:$CE$250,129,0)</f>
        <v>0</v>
      </c>
      <c r="AZ30" s="106">
        <f>+HLOOKUP($C30,PMGR!$BS$2:$CE$250,130,0)</f>
        <v>0</v>
      </c>
      <c r="BA30" s="106">
        <f>+HLOOKUP($C30,PMGR!$BS$2:$CE$250,131,0)</f>
        <v>25000</v>
      </c>
      <c r="BB30" s="106">
        <f>+HLOOKUP($C30,PMGR!$BS$2:$CE$250,133,0)</f>
        <v>0</v>
      </c>
      <c r="BC30" s="106">
        <f>+HLOOKUP($C30,PMGR!$BS$2:$CE$250,134,0)</f>
        <v>95808.887266666672</v>
      </c>
      <c r="BD30" s="106">
        <f>+HLOOKUP($C30,PMGR!$BS$2:$CE$250,135,0)</f>
        <v>0</v>
      </c>
      <c r="BE30" s="106">
        <f>+HLOOKUP($C30,PMGR!$BS$2:$CE$250,136,0)</f>
        <v>0</v>
      </c>
      <c r="BF30" s="106">
        <f>+HLOOKUP($C30,PMGR!$BS$2:$CE$250,138,0)</f>
        <v>16000</v>
      </c>
      <c r="BG30" s="106">
        <f>+HLOOKUP($C30,PMGR!$BS$2:$CE$250,139,0)</f>
        <v>39596.021666666675</v>
      </c>
      <c r="BH30" s="106">
        <f>+HLOOKUP($C30,PMGR!$BS$2:$CE$250,140,0)</f>
        <v>29491.199999999997</v>
      </c>
      <c r="BI30" s="106">
        <f>+HLOOKUP($C30,PMGR!$BS$2:$CE$250,141,0)</f>
        <v>0</v>
      </c>
      <c r="BJ30" s="106">
        <f>+HLOOKUP($C30,PMGR!$BS$2:$CE$250,142,0)</f>
        <v>0</v>
      </c>
      <c r="BK30" s="106">
        <f>+HLOOKUP($C30,PMGR!$BS$2:$CE$250,143,0)</f>
        <v>49201.416666666664</v>
      </c>
      <c r="BL30" s="106">
        <f>+HLOOKUP($C30,PMGR!$BS$2:$CE$250,144,0)</f>
        <v>3989.5833333333335</v>
      </c>
      <c r="BM30" s="106">
        <f>+HLOOKUP($C30,PMGR!$BS$2:$CE$250,146,0)</f>
        <v>0</v>
      </c>
      <c r="BN30" s="106">
        <f>+HLOOKUP($C30,PMGR!$BS$2:$CE$250,147,0)</f>
        <v>59519.862500000003</v>
      </c>
      <c r="BO30" s="106">
        <f>+HLOOKUP($C30,PMGR!$BS$2:$CE$250,148,0)</f>
        <v>0</v>
      </c>
      <c r="BP30" s="106">
        <f>+HLOOKUP($C30,PMGR!$BS$2:$CE$250,150,0)</f>
        <v>48678.682499999995</v>
      </c>
      <c r="BQ30" s="106">
        <f>+HLOOKUP($C30,PMGR!$BS$2:$CE$250,151,0)</f>
        <v>9922</v>
      </c>
      <c r="BR30" s="106">
        <f>+HLOOKUP($C30,PMGR!$BS$2:$CE$250,152,0)</f>
        <v>19200</v>
      </c>
      <c r="BS30" s="106">
        <f>+HLOOKUP($C30,PMGR!$BS$2:$CE$250,153,0)</f>
        <v>3600</v>
      </c>
      <c r="BT30" s="106">
        <f>+HLOOKUP($C30,PMGR!$BS$2:$CE$250,157,0)</f>
        <v>10980</v>
      </c>
      <c r="BU30" s="106">
        <f>+HLOOKUP($C30,PMGR!$BS$2:$CE$250,158,0)</f>
        <v>2610</v>
      </c>
      <c r="BV30" s="106">
        <f>+HLOOKUP($C30,PMGR!$BS$2:$CE$250,159,0)</f>
        <v>999.72222222222217</v>
      </c>
      <c r="BW30" s="106">
        <f>+HLOOKUP($C30,PMGR!$BS$2:$CE$250,160,0)</f>
        <v>21530.500000000004</v>
      </c>
      <c r="BX30" s="106">
        <f>+HLOOKUP($C30,PMGR!$BS$2:$CE$250,161,0)</f>
        <v>10694.945750000001</v>
      </c>
      <c r="BY30" s="106">
        <f>+HLOOKUP($C30,PMGR!$BS$2:$CE$250,164,0)</f>
        <v>5800</v>
      </c>
      <c r="BZ30" s="106">
        <f>+HLOOKUP($C30,PMGR!$BS$2:$CE$250,165,0)</f>
        <v>38293.333333333336</v>
      </c>
      <c r="CA30" s="106">
        <f>+HLOOKUP($C30,PMGR!$BS$2:$CE$250,166,0)</f>
        <v>0</v>
      </c>
      <c r="CB30" s="106">
        <f>+HLOOKUP($C30,PMGR!$BS$2:$CE$250,167,0)</f>
        <v>22500</v>
      </c>
      <c r="CC30" s="106">
        <f>+HLOOKUP($C30,PMGR!$BS$2:$CE$250,168,0)</f>
        <v>0</v>
      </c>
      <c r="CD30" s="106">
        <f>+HLOOKUP($C30,PMGR!$BS$2:$CE$250,169,0)</f>
        <v>2000</v>
      </c>
      <c r="CE30" s="106">
        <f>+HLOOKUP($C30,PMGR!$BS$2:$CE$250,170,0)</f>
        <v>0</v>
      </c>
      <c r="CF30" s="106">
        <f>+HLOOKUP($C30,PMGR!$BS$2:$CE$250,172,0)</f>
        <v>32700</v>
      </c>
      <c r="CG30" s="106">
        <f>+HLOOKUP($C30,PMGR!$BS$2:$CE$250,173,0)</f>
        <v>36000</v>
      </c>
      <c r="CH30" s="106">
        <f>+HLOOKUP($C30,PMGR!$BS$2:$CE$250,174,0)</f>
        <v>86400</v>
      </c>
      <c r="CI30" s="106">
        <f>+HLOOKUP($C30,PMGR!$BS$2:$CE$250,175,0)</f>
        <v>6690</v>
      </c>
      <c r="CJ30" s="106">
        <f>+HLOOKUP($C30,PMGR!$BS$2:$CE$250,176,0)</f>
        <v>7110</v>
      </c>
      <c r="CK30" s="106">
        <f>+HLOOKUP($C30,PMGR!$BS$2:$CE$250,178,0)</f>
        <v>94077.832145454551</v>
      </c>
      <c r="CL30" s="106">
        <f>+HLOOKUP($C30,PMGR!$BS$2:$CE$250,179,0)</f>
        <v>0</v>
      </c>
      <c r="CM30" s="106">
        <f>+HLOOKUP($C30,PMGR!$BS$2:$CE$250,180,0)</f>
        <v>0</v>
      </c>
      <c r="CN30" s="106">
        <f>+HLOOKUP($C30,PMGR!$BS$2:$CE$250,182,0)</f>
        <v>737.1</v>
      </c>
      <c r="CO30" s="106">
        <f>+HLOOKUP($C30,PMGR!$BS$2:$CE$250,183,0)</f>
        <v>13115.4</v>
      </c>
      <c r="CP30" s="106">
        <f>+HLOOKUP($C30,PMGR!$BS$2:$CE$250,184,0)</f>
        <v>6480</v>
      </c>
      <c r="CQ30" s="106">
        <f>+HLOOKUP($C30,PMGR!$BS$2:$CE$250,185,0)</f>
        <v>0</v>
      </c>
      <c r="CR30" s="106">
        <f>+HLOOKUP($C30,PMGR!$BS$2:$CE$250,187,0)</f>
        <v>3749.7599999999993</v>
      </c>
      <c r="CS30" s="106">
        <f>+HLOOKUP($C30,PMGR!$BS$2:$CE$250,188,0)</f>
        <v>4770</v>
      </c>
      <c r="CT30" s="106">
        <f>+HLOOKUP($C30,PMGR!$BS$2:$CE$250,189,0)</f>
        <v>3000.0599999999995</v>
      </c>
      <c r="CU30" s="106">
        <f>+HLOOKUP($C30,PMGR!$BS$2:$CE$250,190,0)</f>
        <v>3040.02</v>
      </c>
      <c r="CV30" s="106">
        <f>+HLOOKUP($C30,PMGR!$BS$2:$CE$250,191,0)</f>
        <v>0</v>
      </c>
      <c r="CW30" s="106">
        <f>+HLOOKUP($C30,PMGR!$BS$2:$CE$250,193,0)</f>
        <v>16684.3</v>
      </c>
      <c r="CX30" s="106">
        <f>+HLOOKUP($C30,PMGR!$BS$2:$CE$250,194,0)</f>
        <v>47.699999999999996</v>
      </c>
      <c r="CY30" s="106">
        <f>+HLOOKUP($C30,PMGR!$BS$2:$CE$250,195,0)</f>
        <v>0</v>
      </c>
      <c r="CZ30" s="106">
        <f>+HLOOKUP($C30,PMGR!$BS$2:$CE$250,196,0)</f>
        <v>0</v>
      </c>
      <c r="DA30" s="106">
        <f>+HLOOKUP($C30,PMGR!$BS$2:$CE$250,197,0)</f>
        <v>8755.1999999999989</v>
      </c>
      <c r="DB30" s="106">
        <f>+HLOOKUP($C30,PMGR!$BS$2:$CE$250,198,0)</f>
        <v>6066</v>
      </c>
      <c r="DC30" s="106">
        <f>+HLOOKUP($C30,PMGR!$BS$2:$CE$250,199,0)</f>
        <v>1296</v>
      </c>
      <c r="DD30" s="106">
        <f>+HLOOKUP($C30,PMGR!$BS$2:$CE$250,200,0)</f>
        <v>348</v>
      </c>
      <c r="DE30" s="106">
        <f>+HLOOKUP($C30,PMGR!$BS$2:$CE$250,201,0)</f>
        <v>89.1</v>
      </c>
      <c r="DF30" s="106">
        <f>+HLOOKUP($C30,PMGR!$BS$2:$CE$250,202,0)</f>
        <v>0</v>
      </c>
      <c r="DG30" s="106">
        <f>+HLOOKUP($C30,PMGR!$BS$2:$CE$250,203,0)</f>
        <v>0</v>
      </c>
      <c r="DH30" s="106">
        <f>+HLOOKUP($C30,PMGR!$BS$2:$CE$250,205,0)</f>
        <v>0</v>
      </c>
      <c r="DI30" s="106">
        <f>+HLOOKUP($C30,PMGR!$BS$2:$CE$250,206,0)</f>
        <v>6984</v>
      </c>
      <c r="DJ30" s="106">
        <f>+HLOOKUP($C30,PMGR!$BS$2:$CE$250,207,0)</f>
        <v>39865.518833333335</v>
      </c>
      <c r="DK30" s="106">
        <f>+HLOOKUP($C30,PMGR!$BS$2:$CE$250,209,0)</f>
        <v>0</v>
      </c>
      <c r="DL30" s="106">
        <f>+HLOOKUP($C30,PMGR!$BS$2:$CE$250,210,0)</f>
        <v>195467.11591050003</v>
      </c>
      <c r="DM30" s="106">
        <f>+HLOOKUP($C30,PMGR!$BS$2:$CE$250,211,0)</f>
        <v>0</v>
      </c>
      <c r="DN30" s="106">
        <f>+HLOOKUP($C30,PMGR!$BS$2:$CE$250,212,0)</f>
        <v>0</v>
      </c>
      <c r="DO30" s="106">
        <f>+HLOOKUP($C30,PMGR!$BS$2:$CE$250,214,0)</f>
        <v>0</v>
      </c>
      <c r="DP30" s="106">
        <f>+HLOOKUP($C30,PMGR!$BS$2:$CE$250,215,0)</f>
        <v>1080</v>
      </c>
      <c r="DQ30" s="106">
        <f>+HLOOKUP($C30,PMGR!$BS$2:$CE$250,219,0)</f>
        <v>0</v>
      </c>
      <c r="DR30" s="106">
        <f>+HLOOKUP($C30,PMGR!$BS$2:$CE$250,220,0)</f>
        <v>0</v>
      </c>
      <c r="DS30" s="106">
        <f>+HLOOKUP($C30,PMGR!$BS$2:$CE$250,221,0)</f>
        <v>0</v>
      </c>
      <c r="DT30" s="106">
        <f>+HLOOKUP($C30,PMGR!$BS$2:$CE$250,223,0)</f>
        <v>22500</v>
      </c>
      <c r="DU30" s="106">
        <f>+HLOOKUP($C30,PMGR!$BS$2:$CE$250,224,0)</f>
        <v>7500</v>
      </c>
      <c r="DV30" s="106">
        <f>+HLOOKUP($C30,PMGR!$BS$2:$CE$250,225,0)</f>
        <v>0</v>
      </c>
      <c r="DW30" s="106">
        <f>+HLOOKUP($C30,PMGR!$BS$2:$CE$250,227,0)</f>
        <v>0</v>
      </c>
      <c r="DX30" s="106">
        <f>+HLOOKUP($C30,PMGR!$BS$2:$CE$250,228,0)</f>
        <v>0</v>
      </c>
      <c r="DY30" s="106">
        <f>+HLOOKUP($C30,PMGR!$BS$2:$CE$250,236,0)</f>
        <v>221892.29399999999</v>
      </c>
      <c r="DZ30" s="106">
        <f>+HLOOKUP($C30,PMGR!$BS$2:$CE$250,237,0)</f>
        <v>33337.091022677152</v>
      </c>
      <c r="EA30" s="106">
        <f>+HLOOKUP($C30,PMGR!$BS$2:$CE$250,238,0)</f>
        <v>28522.2</v>
      </c>
      <c r="EB30" s="106">
        <f>+HLOOKUP($C30,PMGR!$BS$2:$CE$250,240,0)</f>
        <v>675475.61596874997</v>
      </c>
    </row>
    <row r="31" spans="1:132">
      <c r="A31" t="s">
        <v>269</v>
      </c>
      <c r="B31" t="s">
        <v>217</v>
      </c>
      <c r="C31" s="117">
        <v>45839</v>
      </c>
      <c r="D31" s="106">
        <f t="shared" si="0"/>
        <v>16553652.404872114</v>
      </c>
      <c r="E31" s="106">
        <f>+HLOOKUP(C31,PMGR!$BS$2:$CE$250,28,0)+HLOOKUP(C31,PMGR!$BS$2:$CE$250,43,0)+HLOOKUP(C31,PMGR!$BS$2:$CE$250,44,0)+HLOOKUP(C31,PMGR!$BS$2:$CE$250,45,0)+HLOOKUP(C31,PMGR!$BS$2:$CE$250,54,0)+HLOOKUP(C31,PMGR!$BS$2:$CE$250,59,0)</f>
        <v>16553652.404872114</v>
      </c>
      <c r="F31" s="106">
        <f>+HLOOKUP(C31,PMGR!$BS$2:$CE$250,37,0)+HLOOKUP(C31,PMGR!$BS$2:$CE$250,55,0)</f>
        <v>10996864.832771005</v>
      </c>
      <c r="G31" s="106">
        <f>+HLOOKUP($C31,PMGR!$BS$2:$CE$250,76,0)</f>
        <v>0</v>
      </c>
      <c r="H31" s="106">
        <f>+HLOOKUP($C31,PMGR!$BS$2:$CE$250,77,0)</f>
        <v>0</v>
      </c>
      <c r="I31" s="106">
        <f>+HLOOKUP($C31,PMGR!$BS$2:$CE$250,78,0)</f>
        <v>0</v>
      </c>
      <c r="J31" s="106">
        <f>+HLOOKUP($C31,PMGR!$BS$2:$CE$250,79,0)</f>
        <v>0</v>
      </c>
      <c r="K31" s="106">
        <f>+HLOOKUP($C31,PMGR!$BS$2:$CE$250,80,0)</f>
        <v>10000</v>
      </c>
      <c r="L31" s="106">
        <f>+HLOOKUP($C31,PMGR!$BS$2:$CE$250,81,0)</f>
        <v>0</v>
      </c>
      <c r="M31" s="106">
        <f>+HLOOKUP($C31,PMGR!$BS$2:$CE$250,82,0)</f>
        <v>0</v>
      </c>
      <c r="N31" s="106">
        <f>+HLOOKUP($C31,PMGR!$BS$2:$CE$250,83,0)</f>
        <v>0</v>
      </c>
      <c r="O31" s="106">
        <f>+HLOOKUP($C31,PMGR!$BS$2:$CE$250,84,0)</f>
        <v>0</v>
      </c>
      <c r="P31" s="106">
        <f>+HLOOKUP($C31,PMGR!$BS$2:$CE$250,85,0)</f>
        <v>0</v>
      </c>
      <c r="Q31" s="106">
        <f>+HLOOKUP($C31,PMGR!$BS$2:$CE$250,87,0)</f>
        <v>357831.85920000006</v>
      </c>
      <c r="R31" s="106">
        <f>+HLOOKUP($C31,PMGR!$BS$2:$CE$250,90,0)</f>
        <v>0</v>
      </c>
      <c r="S31" s="106">
        <f>+HLOOKUP($C31,PMGR!$BS$2:$CE$250,91,0)</f>
        <v>1000</v>
      </c>
      <c r="T31" s="106">
        <f>+HLOOKUP($C31,PMGR!$BS$2:$CE$250,92,0)</f>
        <v>0</v>
      </c>
      <c r="U31" s="106">
        <f>+HLOOKUP($C31,PMGR!$BS$2:$CE$250,93,0)</f>
        <v>0</v>
      </c>
      <c r="V31" s="106">
        <f>+HLOOKUP($C31,PMGR!$BS$2:$CE$250,94,0)</f>
        <v>0</v>
      </c>
      <c r="W31" s="106">
        <f>+HLOOKUP($C31,PMGR!$BS$2:$CE$250,95,0)</f>
        <v>0</v>
      </c>
      <c r="X31" s="106">
        <f>+HLOOKUP($C31,PMGR!$BS$2:$CE$250,96,0)</f>
        <v>0</v>
      </c>
      <c r="Y31" s="106">
        <f>+HLOOKUP($C31,PMGR!$BS$2:$CE$250,97,0)</f>
        <v>0</v>
      </c>
      <c r="Z31" s="106">
        <f>+HLOOKUP($C31,PMGR!$BS$2:$CE$250,98,0)</f>
        <v>0</v>
      </c>
      <c r="AA31" s="106">
        <f>+HLOOKUP($C31,PMGR!$BS$2:$CE$250,99,0)</f>
        <v>0</v>
      </c>
      <c r="AB31" s="106">
        <f>+HLOOKUP($C31,PMGR!$BS$2:$CE$250,100,0)</f>
        <v>0</v>
      </c>
      <c r="AC31" s="106">
        <f>+HLOOKUP($C31,PMGR!$BS$2:$CE$250,101,0)</f>
        <v>10000</v>
      </c>
      <c r="AD31" s="106">
        <f>+HLOOKUP($C31,PMGR!$BS$2:$CE$250,104,0)</f>
        <v>0</v>
      </c>
      <c r="AE31" s="106">
        <f>+HLOOKUP($C31,PMGR!$BS$2:$CE$250,105,0)</f>
        <v>51930.806400000009</v>
      </c>
      <c r="AF31" s="106">
        <f>+HLOOKUP($C31,PMGR!$BS$2:$CE$250,106,0)</f>
        <v>0</v>
      </c>
      <c r="AG31" s="106">
        <f>+HLOOKUP($C31,PMGR!$BS$2:$CE$250,107,0)</f>
        <v>0</v>
      </c>
      <c r="AH31" s="106">
        <f>+HLOOKUP($C31,PMGR!$BS$2:$CE$250,108,0)</f>
        <v>0</v>
      </c>
      <c r="AI31" s="106">
        <f>+HLOOKUP($C31,PMGR!$BS$2:$CE$250,109,0)</f>
        <v>0</v>
      </c>
      <c r="AJ31" s="106">
        <f>+HLOOKUP($C31,PMGR!$BS$2:$CE$250,110,0)</f>
        <v>0</v>
      </c>
      <c r="AK31" s="106">
        <f>+HLOOKUP($C31,PMGR!$BS$2:$CE$250,111,0)</f>
        <v>3886.3127116800006</v>
      </c>
      <c r="AL31" s="106">
        <f>+HLOOKUP($C31,PMGR!$BS$2:$CE$250,112,0)</f>
        <v>0</v>
      </c>
      <c r="AM31" s="106">
        <f>+HLOOKUP($C31,PMGR!$BS$2:$CE$250,116,0)</f>
        <v>591500</v>
      </c>
      <c r="AN31" s="106">
        <f>+HLOOKUP($C31,PMGR!$BS$2:$CE$250,117,0)</f>
        <v>90030</v>
      </c>
      <c r="AO31" s="106">
        <f>+HLOOKUP($C31,PMGR!$BS$2:$CE$250,118,0)</f>
        <v>1500</v>
      </c>
      <c r="AP31" s="106">
        <f>+HLOOKUP($C31,PMGR!$BS$2:$CE$250,119,0)</f>
        <v>205830</v>
      </c>
      <c r="AQ31" s="106">
        <f>+HLOOKUP($C31,PMGR!$BS$2:$CE$250,120,0)</f>
        <v>35100</v>
      </c>
      <c r="AR31" s="106">
        <f>+HLOOKUP($C31,PMGR!$BS$2:$CE$250,121,0)</f>
        <v>19050</v>
      </c>
      <c r="AS31" s="106">
        <f>+HLOOKUP($C31,PMGR!$BS$2:$CE$250,122,0)</f>
        <v>290490</v>
      </c>
      <c r="AT31" s="106">
        <f>+HLOOKUP($C31,PMGR!$BS$2:$CE$250,123,0)</f>
        <v>74658.494586180561</v>
      </c>
      <c r="AU31" s="106">
        <f>+HLOOKUP($C31,PMGR!$BS$2:$CE$250,124,0)</f>
        <v>6992</v>
      </c>
      <c r="AV31" s="106">
        <f>+HLOOKUP($C31,PMGR!$BS$2:$CE$250,125,0)</f>
        <v>122670</v>
      </c>
      <c r="AW31" s="106">
        <f>+HLOOKUP($C31,PMGR!$BS$2:$CE$250,126,0)</f>
        <v>28437.499999999996</v>
      </c>
      <c r="AX31" s="106">
        <f>+HLOOKUP($C31,PMGR!$BS$2:$CE$250,127,0)</f>
        <v>42233.333333333328</v>
      </c>
      <c r="AY31" s="106">
        <f>+HLOOKUP($C31,PMGR!$BS$2:$CE$250,129,0)</f>
        <v>0</v>
      </c>
      <c r="AZ31" s="106">
        <f>+HLOOKUP($C31,PMGR!$BS$2:$CE$250,130,0)</f>
        <v>0</v>
      </c>
      <c r="BA31" s="106">
        <f>+HLOOKUP($C31,PMGR!$BS$2:$CE$250,131,0)</f>
        <v>25000</v>
      </c>
      <c r="BB31" s="106">
        <f>+HLOOKUP($C31,PMGR!$BS$2:$CE$250,133,0)</f>
        <v>0</v>
      </c>
      <c r="BC31" s="106">
        <f>+HLOOKUP($C31,PMGR!$BS$2:$CE$250,134,0)</f>
        <v>95808.887266666672</v>
      </c>
      <c r="BD31" s="106">
        <f>+HLOOKUP($C31,PMGR!$BS$2:$CE$250,135,0)</f>
        <v>0</v>
      </c>
      <c r="BE31" s="106">
        <f>+HLOOKUP($C31,PMGR!$BS$2:$CE$250,136,0)</f>
        <v>0</v>
      </c>
      <c r="BF31" s="106">
        <f>+HLOOKUP($C31,PMGR!$BS$2:$CE$250,138,0)</f>
        <v>16000</v>
      </c>
      <c r="BG31" s="106">
        <f>+HLOOKUP($C31,PMGR!$BS$2:$CE$250,139,0)</f>
        <v>39596.021666666675</v>
      </c>
      <c r="BH31" s="106">
        <f>+HLOOKUP($C31,PMGR!$BS$2:$CE$250,140,0)</f>
        <v>29491.199999999997</v>
      </c>
      <c r="BI31" s="106">
        <f>+HLOOKUP($C31,PMGR!$BS$2:$CE$250,141,0)</f>
        <v>0</v>
      </c>
      <c r="BJ31" s="106">
        <f>+HLOOKUP($C31,PMGR!$BS$2:$CE$250,142,0)</f>
        <v>0</v>
      </c>
      <c r="BK31" s="106">
        <f>+HLOOKUP($C31,PMGR!$BS$2:$CE$250,143,0)</f>
        <v>49201.416666666664</v>
      </c>
      <c r="BL31" s="106">
        <f>+HLOOKUP($C31,PMGR!$BS$2:$CE$250,144,0)</f>
        <v>3989.5833333333335</v>
      </c>
      <c r="BM31" s="106">
        <f>+HLOOKUP($C31,PMGR!$BS$2:$CE$250,146,0)</f>
        <v>0</v>
      </c>
      <c r="BN31" s="106">
        <f>+HLOOKUP($C31,PMGR!$BS$2:$CE$250,147,0)</f>
        <v>59519.862500000003</v>
      </c>
      <c r="BO31" s="106">
        <f>+HLOOKUP($C31,PMGR!$BS$2:$CE$250,148,0)</f>
        <v>0</v>
      </c>
      <c r="BP31" s="106">
        <f>+HLOOKUP($C31,PMGR!$BS$2:$CE$250,150,0)</f>
        <v>48678.682499999995</v>
      </c>
      <c r="BQ31" s="106">
        <f>+HLOOKUP($C31,PMGR!$BS$2:$CE$250,151,0)</f>
        <v>9922</v>
      </c>
      <c r="BR31" s="106">
        <f>+HLOOKUP($C31,PMGR!$BS$2:$CE$250,152,0)</f>
        <v>19200</v>
      </c>
      <c r="BS31" s="106">
        <f>+HLOOKUP($C31,PMGR!$BS$2:$CE$250,153,0)</f>
        <v>3600</v>
      </c>
      <c r="BT31" s="106">
        <f>+HLOOKUP($C31,PMGR!$BS$2:$CE$250,157,0)</f>
        <v>10980</v>
      </c>
      <c r="BU31" s="106">
        <f>+HLOOKUP($C31,PMGR!$BS$2:$CE$250,158,0)</f>
        <v>2610</v>
      </c>
      <c r="BV31" s="106">
        <f>+HLOOKUP($C31,PMGR!$BS$2:$CE$250,159,0)</f>
        <v>999.72222222222217</v>
      </c>
      <c r="BW31" s="106">
        <f>+HLOOKUP($C31,PMGR!$BS$2:$CE$250,160,0)</f>
        <v>21530.500000000004</v>
      </c>
      <c r="BX31" s="106">
        <f>+HLOOKUP($C31,PMGR!$BS$2:$CE$250,161,0)</f>
        <v>10694.945750000001</v>
      </c>
      <c r="BY31" s="106">
        <f>+HLOOKUP($C31,PMGR!$BS$2:$CE$250,164,0)</f>
        <v>5800</v>
      </c>
      <c r="BZ31" s="106">
        <f>+HLOOKUP($C31,PMGR!$BS$2:$CE$250,165,0)</f>
        <v>38293.333333333336</v>
      </c>
      <c r="CA31" s="106">
        <f>+HLOOKUP($C31,PMGR!$BS$2:$CE$250,166,0)</f>
        <v>0</v>
      </c>
      <c r="CB31" s="106">
        <f>+HLOOKUP($C31,PMGR!$BS$2:$CE$250,167,0)</f>
        <v>22500</v>
      </c>
      <c r="CC31" s="106">
        <f>+HLOOKUP($C31,PMGR!$BS$2:$CE$250,168,0)</f>
        <v>0</v>
      </c>
      <c r="CD31" s="106">
        <f>+HLOOKUP($C31,PMGR!$BS$2:$CE$250,169,0)</f>
        <v>0</v>
      </c>
      <c r="CE31" s="106">
        <f>+HLOOKUP($C31,PMGR!$BS$2:$CE$250,170,0)</f>
        <v>0</v>
      </c>
      <c r="CF31" s="106">
        <f>+HLOOKUP($C31,PMGR!$BS$2:$CE$250,172,0)</f>
        <v>32700</v>
      </c>
      <c r="CG31" s="106">
        <f>+HLOOKUP($C31,PMGR!$BS$2:$CE$250,173,0)</f>
        <v>36000</v>
      </c>
      <c r="CH31" s="106">
        <f>+HLOOKUP($C31,PMGR!$BS$2:$CE$250,174,0)</f>
        <v>86400</v>
      </c>
      <c r="CI31" s="106">
        <f>+HLOOKUP($C31,PMGR!$BS$2:$CE$250,175,0)</f>
        <v>6690</v>
      </c>
      <c r="CJ31" s="106">
        <f>+HLOOKUP($C31,PMGR!$BS$2:$CE$250,176,0)</f>
        <v>7110</v>
      </c>
      <c r="CK31" s="106">
        <f>+HLOOKUP($C31,PMGR!$BS$2:$CE$250,178,0)</f>
        <v>94077.832145454551</v>
      </c>
      <c r="CL31" s="106">
        <f>+HLOOKUP($C31,PMGR!$BS$2:$CE$250,179,0)</f>
        <v>0</v>
      </c>
      <c r="CM31" s="106">
        <f>+HLOOKUP($C31,PMGR!$BS$2:$CE$250,180,0)</f>
        <v>0</v>
      </c>
      <c r="CN31" s="106">
        <f>+HLOOKUP($C31,PMGR!$BS$2:$CE$250,182,0)</f>
        <v>737.1</v>
      </c>
      <c r="CO31" s="106">
        <f>+HLOOKUP($C31,PMGR!$BS$2:$CE$250,183,0)</f>
        <v>13115.4</v>
      </c>
      <c r="CP31" s="106">
        <f>+HLOOKUP($C31,PMGR!$BS$2:$CE$250,184,0)</f>
        <v>6480</v>
      </c>
      <c r="CQ31" s="106">
        <f>+HLOOKUP($C31,PMGR!$BS$2:$CE$250,185,0)</f>
        <v>0</v>
      </c>
      <c r="CR31" s="106">
        <f>+HLOOKUP($C31,PMGR!$BS$2:$CE$250,187,0)</f>
        <v>3749.7599999999993</v>
      </c>
      <c r="CS31" s="106">
        <f>+HLOOKUP($C31,PMGR!$BS$2:$CE$250,188,0)</f>
        <v>4770</v>
      </c>
      <c r="CT31" s="106">
        <f>+HLOOKUP($C31,PMGR!$BS$2:$CE$250,189,0)</f>
        <v>3000.0599999999995</v>
      </c>
      <c r="CU31" s="106">
        <f>+HLOOKUP($C31,PMGR!$BS$2:$CE$250,190,0)</f>
        <v>3040.02</v>
      </c>
      <c r="CV31" s="106">
        <f>+HLOOKUP($C31,PMGR!$BS$2:$CE$250,191,0)</f>
        <v>0</v>
      </c>
      <c r="CW31" s="106">
        <f>+HLOOKUP($C31,PMGR!$BS$2:$CE$250,193,0)</f>
        <v>16684.3</v>
      </c>
      <c r="CX31" s="106">
        <f>+HLOOKUP($C31,PMGR!$BS$2:$CE$250,194,0)</f>
        <v>47.699999999999996</v>
      </c>
      <c r="CY31" s="106">
        <f>+HLOOKUP($C31,PMGR!$BS$2:$CE$250,195,0)</f>
        <v>0</v>
      </c>
      <c r="CZ31" s="106">
        <f>+HLOOKUP($C31,PMGR!$BS$2:$CE$250,196,0)</f>
        <v>0</v>
      </c>
      <c r="DA31" s="106">
        <f>+HLOOKUP($C31,PMGR!$BS$2:$CE$250,197,0)</f>
        <v>8755.1999999999989</v>
      </c>
      <c r="DB31" s="106">
        <f>+HLOOKUP($C31,PMGR!$BS$2:$CE$250,198,0)</f>
        <v>6066</v>
      </c>
      <c r="DC31" s="106">
        <f>+HLOOKUP($C31,PMGR!$BS$2:$CE$250,199,0)</f>
        <v>1296</v>
      </c>
      <c r="DD31" s="106">
        <f>+HLOOKUP($C31,PMGR!$BS$2:$CE$250,200,0)</f>
        <v>348</v>
      </c>
      <c r="DE31" s="106">
        <f>+HLOOKUP($C31,PMGR!$BS$2:$CE$250,201,0)</f>
        <v>89.1</v>
      </c>
      <c r="DF31" s="106">
        <f>+HLOOKUP($C31,PMGR!$BS$2:$CE$250,202,0)</f>
        <v>0</v>
      </c>
      <c r="DG31" s="106">
        <f>+HLOOKUP($C31,PMGR!$BS$2:$CE$250,203,0)</f>
        <v>0</v>
      </c>
      <c r="DH31" s="106">
        <f>+HLOOKUP($C31,PMGR!$BS$2:$CE$250,205,0)</f>
        <v>0</v>
      </c>
      <c r="DI31" s="106">
        <f>+HLOOKUP($C31,PMGR!$BS$2:$CE$250,206,0)</f>
        <v>6984</v>
      </c>
      <c r="DJ31" s="106">
        <f>+HLOOKUP($C31,PMGR!$BS$2:$CE$250,207,0)</f>
        <v>39865.518833333335</v>
      </c>
      <c r="DK31" s="106">
        <f>+HLOOKUP($C31,PMGR!$BS$2:$CE$250,209,0)</f>
        <v>0</v>
      </c>
      <c r="DL31" s="106">
        <f>+HLOOKUP($C31,PMGR!$BS$2:$CE$250,210,0)</f>
        <v>195467.11591050003</v>
      </c>
      <c r="DM31" s="106">
        <f>+HLOOKUP($C31,PMGR!$BS$2:$CE$250,211,0)</f>
        <v>0</v>
      </c>
      <c r="DN31" s="106">
        <f>+HLOOKUP($C31,PMGR!$BS$2:$CE$250,212,0)</f>
        <v>0</v>
      </c>
      <c r="DO31" s="106">
        <f>+HLOOKUP($C31,PMGR!$BS$2:$CE$250,214,0)</f>
        <v>0</v>
      </c>
      <c r="DP31" s="106">
        <f>+HLOOKUP($C31,PMGR!$BS$2:$CE$250,215,0)</f>
        <v>1080</v>
      </c>
      <c r="DQ31" s="106">
        <f>+HLOOKUP($C31,PMGR!$BS$2:$CE$250,219,0)</f>
        <v>0</v>
      </c>
      <c r="DR31" s="106">
        <f>+HLOOKUP($C31,PMGR!$BS$2:$CE$250,220,0)</f>
        <v>0</v>
      </c>
      <c r="DS31" s="106">
        <f>+HLOOKUP($C31,PMGR!$BS$2:$CE$250,221,0)</f>
        <v>0</v>
      </c>
      <c r="DT31" s="106">
        <f>+HLOOKUP($C31,PMGR!$BS$2:$CE$250,223,0)</f>
        <v>22500</v>
      </c>
      <c r="DU31" s="106">
        <f>+HLOOKUP($C31,PMGR!$BS$2:$CE$250,224,0)</f>
        <v>7500</v>
      </c>
      <c r="DV31" s="106">
        <f>+HLOOKUP($C31,PMGR!$BS$2:$CE$250,225,0)</f>
        <v>0</v>
      </c>
      <c r="DW31" s="106">
        <f>+HLOOKUP($C31,PMGR!$BS$2:$CE$250,227,0)</f>
        <v>0</v>
      </c>
      <c r="DX31" s="106">
        <f>+HLOOKUP($C31,PMGR!$BS$2:$CE$250,228,0)</f>
        <v>0</v>
      </c>
      <c r="DY31" s="106">
        <f>+HLOOKUP($C31,PMGR!$BS$2:$CE$250,236,0)</f>
        <v>228299.75999999998</v>
      </c>
      <c r="DZ31" s="106">
        <f>+HLOOKUP($C31,PMGR!$BS$2:$CE$250,237,0)</f>
        <v>33787.592241805367</v>
      </c>
      <c r="EA31" s="106">
        <f>+HLOOKUP($C31,PMGR!$BS$2:$CE$250,238,0)</f>
        <v>31262.399999999998</v>
      </c>
      <c r="EB31" s="106">
        <f>+HLOOKUP($C31,PMGR!$BS$2:$CE$250,240,0)</f>
        <v>675475.61596874997</v>
      </c>
    </row>
    <row r="32" spans="1:132">
      <c r="A32" t="s">
        <v>269</v>
      </c>
      <c r="B32" t="s">
        <v>217</v>
      </c>
      <c r="C32" s="117">
        <v>45809</v>
      </c>
      <c r="D32" s="106">
        <f t="shared" si="0"/>
        <v>19809808.137820974</v>
      </c>
      <c r="E32" s="106">
        <f>+HLOOKUP(C32,PMGR!$BS$2:$CE$250,28,0)+HLOOKUP(C32,PMGR!$BS$2:$CE$250,43,0)+HLOOKUP(C32,PMGR!$BS$2:$CE$250,44,0)+HLOOKUP(C32,PMGR!$BS$2:$CE$250,45,0)+HLOOKUP(C32,PMGR!$BS$2:$CE$250,54,0)+HLOOKUP(C32,PMGR!$BS$2:$CE$250,59,0)</f>
        <v>19809808.137820974</v>
      </c>
      <c r="F32" s="106">
        <f>+HLOOKUP(C32,PMGR!$BS$2:$CE$250,37,0)+HLOOKUP(C32,PMGR!$BS$2:$CE$250,55,0)</f>
        <v>10771502.308851004</v>
      </c>
      <c r="G32" s="106">
        <f>+HLOOKUP($C32,PMGR!$BS$2:$CE$250,76,0)</f>
        <v>0</v>
      </c>
      <c r="H32" s="106">
        <f>+HLOOKUP($C32,PMGR!$BS$2:$CE$250,77,0)</f>
        <v>0</v>
      </c>
      <c r="I32" s="106">
        <f>+HLOOKUP($C32,PMGR!$BS$2:$CE$250,78,0)</f>
        <v>0</v>
      </c>
      <c r="J32" s="106">
        <f>+HLOOKUP($C32,PMGR!$BS$2:$CE$250,79,0)</f>
        <v>0</v>
      </c>
      <c r="K32" s="106">
        <f>+HLOOKUP($C32,PMGR!$BS$2:$CE$250,80,0)</f>
        <v>10000</v>
      </c>
      <c r="L32" s="106">
        <f>+HLOOKUP($C32,PMGR!$BS$2:$CE$250,81,0)</f>
        <v>0</v>
      </c>
      <c r="M32" s="106">
        <f>+HLOOKUP($C32,PMGR!$BS$2:$CE$250,82,0)</f>
        <v>0</v>
      </c>
      <c r="N32" s="106">
        <f>+HLOOKUP($C32,PMGR!$BS$2:$CE$250,83,0)</f>
        <v>0</v>
      </c>
      <c r="O32" s="106">
        <f>+HLOOKUP($C32,PMGR!$BS$2:$CE$250,84,0)</f>
        <v>0</v>
      </c>
      <c r="P32" s="106">
        <f>+HLOOKUP($C32,PMGR!$BS$2:$CE$250,85,0)</f>
        <v>0</v>
      </c>
      <c r="Q32" s="106">
        <f>+HLOOKUP($C32,PMGR!$BS$2:$CE$250,87,0)</f>
        <v>350884.89439999999</v>
      </c>
      <c r="R32" s="106">
        <f>+HLOOKUP($C32,PMGR!$BS$2:$CE$250,90,0)</f>
        <v>0</v>
      </c>
      <c r="S32" s="106">
        <f>+HLOOKUP($C32,PMGR!$BS$2:$CE$250,91,0)</f>
        <v>1000</v>
      </c>
      <c r="T32" s="106">
        <f>+HLOOKUP($C32,PMGR!$BS$2:$CE$250,92,0)</f>
        <v>0</v>
      </c>
      <c r="U32" s="106">
        <f>+HLOOKUP($C32,PMGR!$BS$2:$CE$250,93,0)</f>
        <v>0</v>
      </c>
      <c r="V32" s="106">
        <f>+HLOOKUP($C32,PMGR!$BS$2:$CE$250,94,0)</f>
        <v>0</v>
      </c>
      <c r="W32" s="106">
        <f>+HLOOKUP($C32,PMGR!$BS$2:$CE$250,95,0)</f>
        <v>0</v>
      </c>
      <c r="X32" s="106">
        <f>+HLOOKUP($C32,PMGR!$BS$2:$CE$250,96,0)</f>
        <v>0</v>
      </c>
      <c r="Y32" s="106">
        <f>+HLOOKUP($C32,PMGR!$BS$2:$CE$250,97,0)</f>
        <v>0</v>
      </c>
      <c r="Z32" s="106">
        <f>+HLOOKUP($C32,PMGR!$BS$2:$CE$250,98,0)</f>
        <v>0</v>
      </c>
      <c r="AA32" s="106">
        <f>+HLOOKUP($C32,PMGR!$BS$2:$CE$250,99,0)</f>
        <v>0</v>
      </c>
      <c r="AB32" s="106">
        <f>+HLOOKUP($C32,PMGR!$BS$2:$CE$250,100,0)</f>
        <v>0</v>
      </c>
      <c r="AC32" s="106">
        <f>+HLOOKUP($C32,PMGR!$BS$2:$CE$250,101,0)</f>
        <v>10000</v>
      </c>
      <c r="AD32" s="106">
        <f>+HLOOKUP($C32,PMGR!$BS$2:$CE$250,104,0)</f>
        <v>0</v>
      </c>
      <c r="AE32" s="106">
        <f>+HLOOKUP($C32,PMGR!$BS$2:$CE$250,105,0)</f>
        <v>50791.752</v>
      </c>
      <c r="AF32" s="106">
        <f>+HLOOKUP($C32,PMGR!$BS$2:$CE$250,106,0)</f>
        <v>0</v>
      </c>
      <c r="AG32" s="106">
        <f>+HLOOKUP($C32,PMGR!$BS$2:$CE$250,107,0)</f>
        <v>0</v>
      </c>
      <c r="AH32" s="106">
        <f>+HLOOKUP($C32,PMGR!$BS$2:$CE$250,108,0)</f>
        <v>0</v>
      </c>
      <c r="AI32" s="106">
        <f>+HLOOKUP($C32,PMGR!$BS$2:$CE$250,109,0)</f>
        <v>0</v>
      </c>
      <c r="AJ32" s="106">
        <f>+HLOOKUP($C32,PMGR!$BS$2:$CE$250,110,0)</f>
        <v>0</v>
      </c>
      <c r="AK32" s="106">
        <f>+HLOOKUP($C32,PMGR!$BS$2:$CE$250,111,0)</f>
        <v>3801.0700224000002</v>
      </c>
      <c r="AL32" s="106">
        <f>+HLOOKUP($C32,PMGR!$BS$2:$CE$250,112,0)</f>
        <v>0</v>
      </c>
      <c r="AM32" s="106">
        <f>+HLOOKUP($C32,PMGR!$BS$2:$CE$250,116,0)</f>
        <v>591500</v>
      </c>
      <c r="AN32" s="106">
        <f>+HLOOKUP($C32,PMGR!$BS$2:$CE$250,117,0)</f>
        <v>90030</v>
      </c>
      <c r="AO32" s="106">
        <f>+HLOOKUP($C32,PMGR!$BS$2:$CE$250,118,0)</f>
        <v>1500</v>
      </c>
      <c r="AP32" s="106">
        <f>+HLOOKUP($C32,PMGR!$BS$2:$CE$250,119,0)</f>
        <v>205830</v>
      </c>
      <c r="AQ32" s="106">
        <f>+HLOOKUP($C32,PMGR!$BS$2:$CE$250,120,0)</f>
        <v>35100</v>
      </c>
      <c r="AR32" s="106">
        <f>+HLOOKUP($C32,PMGR!$BS$2:$CE$250,121,0)</f>
        <v>19050</v>
      </c>
      <c r="AS32" s="106">
        <f>+HLOOKUP($C32,PMGR!$BS$2:$CE$250,122,0)</f>
        <v>290490</v>
      </c>
      <c r="AT32" s="106">
        <f>+HLOOKUP($C32,PMGR!$BS$2:$CE$250,123,0)</f>
        <v>74658.494586180561</v>
      </c>
      <c r="AU32" s="106">
        <f>+HLOOKUP($C32,PMGR!$BS$2:$CE$250,124,0)</f>
        <v>6992</v>
      </c>
      <c r="AV32" s="106">
        <f>+HLOOKUP($C32,PMGR!$BS$2:$CE$250,125,0)</f>
        <v>122670</v>
      </c>
      <c r="AW32" s="106">
        <f>+HLOOKUP($C32,PMGR!$BS$2:$CE$250,126,0)</f>
        <v>28437.499999999996</v>
      </c>
      <c r="AX32" s="106">
        <f>+HLOOKUP($C32,PMGR!$BS$2:$CE$250,127,0)</f>
        <v>42233.333333333328</v>
      </c>
      <c r="AY32" s="106">
        <f>+HLOOKUP($C32,PMGR!$BS$2:$CE$250,129,0)</f>
        <v>0</v>
      </c>
      <c r="AZ32" s="106">
        <f>+HLOOKUP($C32,PMGR!$BS$2:$CE$250,130,0)</f>
        <v>0</v>
      </c>
      <c r="BA32" s="106">
        <f>+HLOOKUP($C32,PMGR!$BS$2:$CE$250,131,0)</f>
        <v>25000</v>
      </c>
      <c r="BB32" s="106">
        <f>+HLOOKUP($C32,PMGR!$BS$2:$CE$250,133,0)</f>
        <v>0</v>
      </c>
      <c r="BC32" s="106">
        <f>+HLOOKUP($C32,PMGR!$BS$2:$CE$250,134,0)</f>
        <v>95808.887266666672</v>
      </c>
      <c r="BD32" s="106">
        <f>+HLOOKUP($C32,PMGR!$BS$2:$CE$250,135,0)</f>
        <v>0</v>
      </c>
      <c r="BE32" s="106">
        <f>+HLOOKUP($C32,PMGR!$BS$2:$CE$250,136,0)</f>
        <v>0</v>
      </c>
      <c r="BF32" s="106">
        <f>+HLOOKUP($C32,PMGR!$BS$2:$CE$250,138,0)</f>
        <v>16000</v>
      </c>
      <c r="BG32" s="106">
        <f>+HLOOKUP($C32,PMGR!$BS$2:$CE$250,139,0)</f>
        <v>39596.021666666675</v>
      </c>
      <c r="BH32" s="106">
        <f>+HLOOKUP($C32,PMGR!$BS$2:$CE$250,140,0)</f>
        <v>29491.199999999997</v>
      </c>
      <c r="BI32" s="106">
        <f>+HLOOKUP($C32,PMGR!$BS$2:$CE$250,141,0)</f>
        <v>0</v>
      </c>
      <c r="BJ32" s="106">
        <f>+HLOOKUP($C32,PMGR!$BS$2:$CE$250,142,0)</f>
        <v>0</v>
      </c>
      <c r="BK32" s="106">
        <f>+HLOOKUP($C32,PMGR!$BS$2:$CE$250,143,0)</f>
        <v>49201.416666666664</v>
      </c>
      <c r="BL32" s="106">
        <f>+HLOOKUP($C32,PMGR!$BS$2:$CE$250,144,0)</f>
        <v>6864.5833333333339</v>
      </c>
      <c r="BM32" s="106">
        <f>+HLOOKUP($C32,PMGR!$BS$2:$CE$250,146,0)</f>
        <v>0</v>
      </c>
      <c r="BN32" s="106">
        <f>+HLOOKUP($C32,PMGR!$BS$2:$CE$250,147,0)</f>
        <v>59519.862500000003</v>
      </c>
      <c r="BO32" s="106">
        <f>+HLOOKUP($C32,PMGR!$BS$2:$CE$250,148,0)</f>
        <v>0</v>
      </c>
      <c r="BP32" s="106">
        <f>+HLOOKUP($C32,PMGR!$BS$2:$CE$250,150,0)</f>
        <v>48678.682499999995</v>
      </c>
      <c r="BQ32" s="106">
        <f>+HLOOKUP($C32,PMGR!$BS$2:$CE$250,151,0)</f>
        <v>9922</v>
      </c>
      <c r="BR32" s="106">
        <f>+HLOOKUP($C32,PMGR!$BS$2:$CE$250,152,0)</f>
        <v>19200</v>
      </c>
      <c r="BS32" s="106">
        <f>+HLOOKUP($C32,PMGR!$BS$2:$CE$250,153,0)</f>
        <v>3600</v>
      </c>
      <c r="BT32" s="106">
        <f>+HLOOKUP($C32,PMGR!$BS$2:$CE$250,157,0)</f>
        <v>10980</v>
      </c>
      <c r="BU32" s="106">
        <f>+HLOOKUP($C32,PMGR!$BS$2:$CE$250,158,0)</f>
        <v>2610</v>
      </c>
      <c r="BV32" s="106">
        <f>+HLOOKUP($C32,PMGR!$BS$2:$CE$250,159,0)</f>
        <v>999.72222222222217</v>
      </c>
      <c r="BW32" s="106">
        <f>+HLOOKUP($C32,PMGR!$BS$2:$CE$250,160,0)</f>
        <v>21530.500000000004</v>
      </c>
      <c r="BX32" s="106">
        <f>+HLOOKUP($C32,PMGR!$BS$2:$CE$250,161,0)</f>
        <v>10694.945750000001</v>
      </c>
      <c r="BY32" s="106">
        <f>+HLOOKUP($C32,PMGR!$BS$2:$CE$250,164,0)</f>
        <v>5800</v>
      </c>
      <c r="BZ32" s="106">
        <f>+HLOOKUP($C32,PMGR!$BS$2:$CE$250,165,0)</f>
        <v>38293.333333333336</v>
      </c>
      <c r="CA32" s="106">
        <f>+HLOOKUP($C32,PMGR!$BS$2:$CE$250,166,0)</f>
        <v>0</v>
      </c>
      <c r="CB32" s="106">
        <f>+HLOOKUP($C32,PMGR!$BS$2:$CE$250,167,0)</f>
        <v>22500</v>
      </c>
      <c r="CC32" s="106">
        <f>+HLOOKUP($C32,PMGR!$BS$2:$CE$250,168,0)</f>
        <v>0</v>
      </c>
      <c r="CD32" s="106">
        <f>+HLOOKUP($C32,PMGR!$BS$2:$CE$250,169,0)</f>
        <v>0</v>
      </c>
      <c r="CE32" s="106">
        <f>+HLOOKUP($C32,PMGR!$BS$2:$CE$250,170,0)</f>
        <v>0</v>
      </c>
      <c r="CF32" s="106">
        <f>+HLOOKUP($C32,PMGR!$BS$2:$CE$250,172,0)</f>
        <v>32700</v>
      </c>
      <c r="CG32" s="106">
        <f>+HLOOKUP($C32,PMGR!$BS$2:$CE$250,173,0)</f>
        <v>36000</v>
      </c>
      <c r="CH32" s="106">
        <f>+HLOOKUP($C32,PMGR!$BS$2:$CE$250,174,0)</f>
        <v>86400</v>
      </c>
      <c r="CI32" s="106">
        <f>+HLOOKUP($C32,PMGR!$BS$2:$CE$250,175,0)</f>
        <v>6690</v>
      </c>
      <c r="CJ32" s="106">
        <f>+HLOOKUP($C32,PMGR!$BS$2:$CE$250,176,0)</f>
        <v>7110</v>
      </c>
      <c r="CK32" s="106">
        <f>+HLOOKUP($C32,PMGR!$BS$2:$CE$250,178,0)</f>
        <v>94077.832145454551</v>
      </c>
      <c r="CL32" s="106">
        <f>+HLOOKUP($C32,PMGR!$BS$2:$CE$250,179,0)</f>
        <v>0</v>
      </c>
      <c r="CM32" s="106">
        <f>+HLOOKUP($C32,PMGR!$BS$2:$CE$250,180,0)</f>
        <v>0</v>
      </c>
      <c r="CN32" s="106">
        <f>+HLOOKUP($C32,PMGR!$BS$2:$CE$250,182,0)</f>
        <v>737.1</v>
      </c>
      <c r="CO32" s="106">
        <f>+HLOOKUP($C32,PMGR!$BS$2:$CE$250,183,0)</f>
        <v>13115.4</v>
      </c>
      <c r="CP32" s="106">
        <f>+HLOOKUP($C32,PMGR!$BS$2:$CE$250,184,0)</f>
        <v>6480</v>
      </c>
      <c r="CQ32" s="106">
        <f>+HLOOKUP($C32,PMGR!$BS$2:$CE$250,185,0)</f>
        <v>0</v>
      </c>
      <c r="CR32" s="106">
        <f>+HLOOKUP($C32,PMGR!$BS$2:$CE$250,187,0)</f>
        <v>3749.7599999999993</v>
      </c>
      <c r="CS32" s="106">
        <f>+HLOOKUP($C32,PMGR!$BS$2:$CE$250,188,0)</f>
        <v>4770</v>
      </c>
      <c r="CT32" s="106">
        <f>+HLOOKUP($C32,PMGR!$BS$2:$CE$250,189,0)</f>
        <v>3000.0599999999995</v>
      </c>
      <c r="CU32" s="106">
        <f>+HLOOKUP($C32,PMGR!$BS$2:$CE$250,190,0)</f>
        <v>3040.02</v>
      </c>
      <c r="CV32" s="106">
        <f>+HLOOKUP($C32,PMGR!$BS$2:$CE$250,191,0)</f>
        <v>0</v>
      </c>
      <c r="CW32" s="106">
        <f>+HLOOKUP($C32,PMGR!$BS$2:$CE$250,193,0)</f>
        <v>16684.3</v>
      </c>
      <c r="CX32" s="106">
        <f>+HLOOKUP($C32,PMGR!$BS$2:$CE$250,194,0)</f>
        <v>47.699999999999996</v>
      </c>
      <c r="CY32" s="106">
        <f>+HLOOKUP($C32,PMGR!$BS$2:$CE$250,195,0)</f>
        <v>0</v>
      </c>
      <c r="CZ32" s="106">
        <f>+HLOOKUP($C32,PMGR!$BS$2:$CE$250,196,0)</f>
        <v>0</v>
      </c>
      <c r="DA32" s="106">
        <f>+HLOOKUP($C32,PMGR!$BS$2:$CE$250,197,0)</f>
        <v>8755.1999999999989</v>
      </c>
      <c r="DB32" s="106">
        <f>+HLOOKUP($C32,PMGR!$BS$2:$CE$250,198,0)</f>
        <v>6066</v>
      </c>
      <c r="DC32" s="106">
        <f>+HLOOKUP($C32,PMGR!$BS$2:$CE$250,199,0)</f>
        <v>1296</v>
      </c>
      <c r="DD32" s="106">
        <f>+HLOOKUP($C32,PMGR!$BS$2:$CE$250,200,0)</f>
        <v>348</v>
      </c>
      <c r="DE32" s="106">
        <f>+HLOOKUP($C32,PMGR!$BS$2:$CE$250,201,0)</f>
        <v>89.1</v>
      </c>
      <c r="DF32" s="106">
        <f>+HLOOKUP($C32,PMGR!$BS$2:$CE$250,202,0)</f>
        <v>0</v>
      </c>
      <c r="DG32" s="106">
        <f>+HLOOKUP($C32,PMGR!$BS$2:$CE$250,203,0)</f>
        <v>0</v>
      </c>
      <c r="DH32" s="106">
        <f>+HLOOKUP($C32,PMGR!$BS$2:$CE$250,205,0)</f>
        <v>0</v>
      </c>
      <c r="DI32" s="106">
        <f>+HLOOKUP($C32,PMGR!$BS$2:$CE$250,206,0)</f>
        <v>6984</v>
      </c>
      <c r="DJ32" s="106">
        <f>+HLOOKUP($C32,PMGR!$BS$2:$CE$250,207,0)</f>
        <v>40263.243833333334</v>
      </c>
      <c r="DK32" s="106">
        <f>+HLOOKUP($C32,PMGR!$BS$2:$CE$250,209,0)</f>
        <v>0</v>
      </c>
      <c r="DL32" s="106">
        <f>+HLOOKUP($C32,PMGR!$BS$2:$CE$250,210,0)</f>
        <v>195467.11591050003</v>
      </c>
      <c r="DM32" s="106">
        <f>+HLOOKUP($C32,PMGR!$BS$2:$CE$250,211,0)</f>
        <v>0</v>
      </c>
      <c r="DN32" s="106">
        <f>+HLOOKUP($C32,PMGR!$BS$2:$CE$250,212,0)</f>
        <v>0</v>
      </c>
      <c r="DO32" s="106">
        <f>+HLOOKUP($C32,PMGR!$BS$2:$CE$250,214,0)</f>
        <v>0</v>
      </c>
      <c r="DP32" s="106">
        <f>+HLOOKUP($C32,PMGR!$BS$2:$CE$250,215,0)</f>
        <v>1080</v>
      </c>
      <c r="DQ32" s="106">
        <f>+HLOOKUP($C32,PMGR!$BS$2:$CE$250,219,0)</f>
        <v>0</v>
      </c>
      <c r="DR32" s="106">
        <f>+HLOOKUP($C32,PMGR!$BS$2:$CE$250,220,0)</f>
        <v>0</v>
      </c>
      <c r="DS32" s="106">
        <f>+HLOOKUP($C32,PMGR!$BS$2:$CE$250,221,0)</f>
        <v>0</v>
      </c>
      <c r="DT32" s="106">
        <f>+HLOOKUP($C32,PMGR!$BS$2:$CE$250,223,0)</f>
        <v>22500</v>
      </c>
      <c r="DU32" s="106">
        <f>+HLOOKUP($C32,PMGR!$BS$2:$CE$250,224,0)</f>
        <v>7500</v>
      </c>
      <c r="DV32" s="106">
        <f>+HLOOKUP($C32,PMGR!$BS$2:$CE$250,225,0)</f>
        <v>0</v>
      </c>
      <c r="DW32" s="106">
        <f>+HLOOKUP($C32,PMGR!$BS$2:$CE$250,227,0)</f>
        <v>0</v>
      </c>
      <c r="DX32" s="106">
        <f>+HLOOKUP($C32,PMGR!$BS$2:$CE$250,228,0)</f>
        <v>0</v>
      </c>
      <c r="DY32" s="106">
        <f>+HLOOKUP($C32,PMGR!$BS$2:$CE$250,236,0)</f>
        <v>234659.84399999998</v>
      </c>
      <c r="DZ32" s="106">
        <f>+HLOOKUP($C32,PMGR!$BS$2:$CE$250,237,0)</f>
        <v>33133.638833161538</v>
      </c>
      <c r="EA32" s="106">
        <f>+HLOOKUP($C32,PMGR!$BS$2:$CE$250,238,0)</f>
        <v>33982.199999999997</v>
      </c>
      <c r="EB32" s="106">
        <f>+HLOOKUP($C32,PMGR!$BS$2:$CE$250,240,0)</f>
        <v>675475.61596874997</v>
      </c>
    </row>
    <row r="33" spans="1:132">
      <c r="A33" t="s">
        <v>269</v>
      </c>
      <c r="B33" t="s">
        <v>217</v>
      </c>
      <c r="C33" s="117">
        <v>45778</v>
      </c>
      <c r="D33" s="106">
        <f t="shared" si="0"/>
        <v>15553223.48452965</v>
      </c>
      <c r="E33" s="106">
        <f>+HLOOKUP(C33,PMGR!$BS$2:$CE$250,28,0)+HLOOKUP(C33,PMGR!$BS$2:$CE$250,43,0)+HLOOKUP(C33,PMGR!$BS$2:$CE$250,44,0)+HLOOKUP(C33,PMGR!$BS$2:$CE$250,45,0)+HLOOKUP(C33,PMGR!$BS$2:$CE$250,54,0)+HLOOKUP(C33,PMGR!$BS$2:$CE$250,59,0)</f>
        <v>15553223.48452965</v>
      </c>
      <c r="F33" s="106">
        <f>+HLOOKUP(C33,PMGR!$BS$2:$CE$250,37,0)+HLOOKUP(C33,PMGR!$BS$2:$CE$250,55,0)</f>
        <v>10390209.762731005</v>
      </c>
      <c r="G33" s="106">
        <f>+HLOOKUP($C33,PMGR!$BS$2:$CE$250,76,0)</f>
        <v>0</v>
      </c>
      <c r="H33" s="106">
        <f>+HLOOKUP($C33,PMGR!$BS$2:$CE$250,77,0)</f>
        <v>0</v>
      </c>
      <c r="I33" s="106">
        <f>+HLOOKUP($C33,PMGR!$BS$2:$CE$250,78,0)</f>
        <v>0</v>
      </c>
      <c r="J33" s="106">
        <f>+HLOOKUP($C33,PMGR!$BS$2:$CE$250,79,0)</f>
        <v>0</v>
      </c>
      <c r="K33" s="106">
        <f>+HLOOKUP($C33,PMGR!$BS$2:$CE$250,80,0)</f>
        <v>10000</v>
      </c>
      <c r="L33" s="106">
        <f>+HLOOKUP($C33,PMGR!$BS$2:$CE$250,81,0)</f>
        <v>0</v>
      </c>
      <c r="M33" s="106">
        <f>+HLOOKUP($C33,PMGR!$BS$2:$CE$250,82,0)</f>
        <v>0</v>
      </c>
      <c r="N33" s="106">
        <f>+HLOOKUP($C33,PMGR!$BS$2:$CE$250,83,0)</f>
        <v>0</v>
      </c>
      <c r="O33" s="106">
        <f>+HLOOKUP($C33,PMGR!$BS$2:$CE$250,84,0)</f>
        <v>0</v>
      </c>
      <c r="P33" s="106">
        <f>+HLOOKUP($C33,PMGR!$BS$2:$CE$250,85,0)</f>
        <v>0</v>
      </c>
      <c r="Q33" s="106">
        <f>+HLOOKUP($C33,PMGR!$BS$2:$CE$250,87,0)</f>
        <v>336849.69760000007</v>
      </c>
      <c r="R33" s="106">
        <f>+HLOOKUP($C33,PMGR!$BS$2:$CE$250,90,0)</f>
        <v>0</v>
      </c>
      <c r="S33" s="106">
        <f>+HLOOKUP($C33,PMGR!$BS$2:$CE$250,91,0)</f>
        <v>1000</v>
      </c>
      <c r="T33" s="106">
        <f>+HLOOKUP($C33,PMGR!$BS$2:$CE$250,92,0)</f>
        <v>0</v>
      </c>
      <c r="U33" s="106">
        <f>+HLOOKUP($C33,PMGR!$BS$2:$CE$250,93,0)</f>
        <v>0</v>
      </c>
      <c r="V33" s="106">
        <f>+HLOOKUP($C33,PMGR!$BS$2:$CE$250,94,0)</f>
        <v>0</v>
      </c>
      <c r="W33" s="106">
        <f>+HLOOKUP($C33,PMGR!$BS$2:$CE$250,95,0)</f>
        <v>0</v>
      </c>
      <c r="X33" s="106">
        <f>+HLOOKUP($C33,PMGR!$BS$2:$CE$250,96,0)</f>
        <v>0</v>
      </c>
      <c r="Y33" s="106">
        <f>+HLOOKUP($C33,PMGR!$BS$2:$CE$250,97,0)</f>
        <v>0</v>
      </c>
      <c r="Z33" s="106">
        <f>+HLOOKUP($C33,PMGR!$BS$2:$CE$250,98,0)</f>
        <v>0</v>
      </c>
      <c r="AA33" s="106">
        <f>+HLOOKUP($C33,PMGR!$BS$2:$CE$250,99,0)</f>
        <v>0</v>
      </c>
      <c r="AB33" s="106">
        <f>+HLOOKUP($C33,PMGR!$BS$2:$CE$250,100,0)</f>
        <v>0</v>
      </c>
      <c r="AC33" s="106">
        <f>+HLOOKUP($C33,PMGR!$BS$2:$CE$250,101,0)</f>
        <v>10000</v>
      </c>
      <c r="AD33" s="106">
        <f>+HLOOKUP($C33,PMGR!$BS$2:$CE$250,104,0)</f>
        <v>0</v>
      </c>
      <c r="AE33" s="106">
        <f>+HLOOKUP($C33,PMGR!$BS$2:$CE$250,105,0)</f>
        <v>48933.957600000002</v>
      </c>
      <c r="AF33" s="106">
        <f>+HLOOKUP($C33,PMGR!$BS$2:$CE$250,106,0)</f>
        <v>0</v>
      </c>
      <c r="AG33" s="106">
        <f>+HLOOKUP($C33,PMGR!$BS$2:$CE$250,107,0)</f>
        <v>0</v>
      </c>
      <c r="AH33" s="106">
        <f>+HLOOKUP($C33,PMGR!$BS$2:$CE$250,108,0)</f>
        <v>0</v>
      </c>
      <c r="AI33" s="106">
        <f>+HLOOKUP($C33,PMGR!$BS$2:$CE$250,109,0)</f>
        <v>0</v>
      </c>
      <c r="AJ33" s="106">
        <f>+HLOOKUP($C33,PMGR!$BS$2:$CE$250,110,0)</f>
        <v>0</v>
      </c>
      <c r="AK33" s="106">
        <f>+HLOOKUP($C33,PMGR!$BS$2:$CE$250,111,0)</f>
        <v>3662.0394451200004</v>
      </c>
      <c r="AL33" s="106">
        <f>+HLOOKUP($C33,PMGR!$BS$2:$CE$250,112,0)</f>
        <v>0</v>
      </c>
      <c r="AM33" s="106">
        <f>+HLOOKUP($C33,PMGR!$BS$2:$CE$250,116,0)</f>
        <v>591500</v>
      </c>
      <c r="AN33" s="106">
        <f>+HLOOKUP($C33,PMGR!$BS$2:$CE$250,117,0)</f>
        <v>90030</v>
      </c>
      <c r="AO33" s="106">
        <f>+HLOOKUP($C33,PMGR!$BS$2:$CE$250,118,0)</f>
        <v>1500</v>
      </c>
      <c r="AP33" s="106">
        <f>+HLOOKUP($C33,PMGR!$BS$2:$CE$250,119,0)</f>
        <v>205830</v>
      </c>
      <c r="AQ33" s="106">
        <f>+HLOOKUP($C33,PMGR!$BS$2:$CE$250,120,0)</f>
        <v>35100</v>
      </c>
      <c r="AR33" s="106">
        <f>+HLOOKUP($C33,PMGR!$BS$2:$CE$250,121,0)</f>
        <v>19050</v>
      </c>
      <c r="AS33" s="106">
        <f>+HLOOKUP($C33,PMGR!$BS$2:$CE$250,122,0)</f>
        <v>290490</v>
      </c>
      <c r="AT33" s="106">
        <f>+HLOOKUP($C33,PMGR!$BS$2:$CE$250,123,0)</f>
        <v>74658.494586180561</v>
      </c>
      <c r="AU33" s="106">
        <f>+HLOOKUP($C33,PMGR!$BS$2:$CE$250,124,0)</f>
        <v>6992</v>
      </c>
      <c r="AV33" s="106">
        <f>+HLOOKUP($C33,PMGR!$BS$2:$CE$250,125,0)</f>
        <v>122670</v>
      </c>
      <c r="AW33" s="106">
        <f>+HLOOKUP($C33,PMGR!$BS$2:$CE$250,126,0)</f>
        <v>28437.499999999996</v>
      </c>
      <c r="AX33" s="106">
        <f>+HLOOKUP($C33,PMGR!$BS$2:$CE$250,127,0)</f>
        <v>42233.333333333328</v>
      </c>
      <c r="AY33" s="106">
        <f>+HLOOKUP($C33,PMGR!$BS$2:$CE$250,129,0)</f>
        <v>0</v>
      </c>
      <c r="AZ33" s="106">
        <f>+HLOOKUP($C33,PMGR!$BS$2:$CE$250,130,0)</f>
        <v>0</v>
      </c>
      <c r="BA33" s="106">
        <f>+HLOOKUP($C33,PMGR!$BS$2:$CE$250,131,0)</f>
        <v>25000</v>
      </c>
      <c r="BB33" s="106">
        <f>+HLOOKUP($C33,PMGR!$BS$2:$CE$250,133,0)</f>
        <v>0</v>
      </c>
      <c r="BC33" s="106">
        <f>+HLOOKUP($C33,PMGR!$BS$2:$CE$250,134,0)</f>
        <v>95808.887266666672</v>
      </c>
      <c r="BD33" s="106">
        <f>+HLOOKUP($C33,PMGR!$BS$2:$CE$250,135,0)</f>
        <v>0</v>
      </c>
      <c r="BE33" s="106">
        <f>+HLOOKUP($C33,PMGR!$BS$2:$CE$250,136,0)</f>
        <v>0</v>
      </c>
      <c r="BF33" s="106">
        <f>+HLOOKUP($C33,PMGR!$BS$2:$CE$250,138,0)</f>
        <v>16000</v>
      </c>
      <c r="BG33" s="106">
        <f>+HLOOKUP($C33,PMGR!$BS$2:$CE$250,139,0)</f>
        <v>39596.021666666675</v>
      </c>
      <c r="BH33" s="106">
        <f>+HLOOKUP($C33,PMGR!$BS$2:$CE$250,140,0)</f>
        <v>29491.199999999997</v>
      </c>
      <c r="BI33" s="106">
        <f>+HLOOKUP($C33,PMGR!$BS$2:$CE$250,141,0)</f>
        <v>0</v>
      </c>
      <c r="BJ33" s="106">
        <f>+HLOOKUP($C33,PMGR!$BS$2:$CE$250,142,0)</f>
        <v>0</v>
      </c>
      <c r="BK33" s="106">
        <f>+HLOOKUP($C33,PMGR!$BS$2:$CE$250,143,0)</f>
        <v>49201.416666666664</v>
      </c>
      <c r="BL33" s="106">
        <f>+HLOOKUP($C33,PMGR!$BS$2:$CE$250,144,0)</f>
        <v>3989.5833333333335</v>
      </c>
      <c r="BM33" s="106">
        <f>+HLOOKUP($C33,PMGR!$BS$2:$CE$250,146,0)</f>
        <v>0</v>
      </c>
      <c r="BN33" s="106">
        <f>+HLOOKUP($C33,PMGR!$BS$2:$CE$250,147,0)</f>
        <v>59519.862500000003</v>
      </c>
      <c r="BO33" s="106">
        <f>+HLOOKUP($C33,PMGR!$BS$2:$CE$250,148,0)</f>
        <v>0</v>
      </c>
      <c r="BP33" s="106">
        <f>+HLOOKUP($C33,PMGR!$BS$2:$CE$250,150,0)</f>
        <v>48678.682499999995</v>
      </c>
      <c r="BQ33" s="106">
        <f>+HLOOKUP($C33,PMGR!$BS$2:$CE$250,151,0)</f>
        <v>9922</v>
      </c>
      <c r="BR33" s="106">
        <f>+HLOOKUP($C33,PMGR!$BS$2:$CE$250,152,0)</f>
        <v>19200</v>
      </c>
      <c r="BS33" s="106">
        <f>+HLOOKUP($C33,PMGR!$BS$2:$CE$250,153,0)</f>
        <v>3600</v>
      </c>
      <c r="BT33" s="106">
        <f>+HLOOKUP($C33,PMGR!$BS$2:$CE$250,157,0)</f>
        <v>10980</v>
      </c>
      <c r="BU33" s="106">
        <f>+HLOOKUP($C33,PMGR!$BS$2:$CE$250,158,0)</f>
        <v>2610</v>
      </c>
      <c r="BV33" s="106">
        <f>+HLOOKUP($C33,PMGR!$BS$2:$CE$250,159,0)</f>
        <v>999.72222222222217</v>
      </c>
      <c r="BW33" s="106">
        <f>+HLOOKUP($C33,PMGR!$BS$2:$CE$250,160,0)</f>
        <v>21530.500000000004</v>
      </c>
      <c r="BX33" s="106">
        <f>+HLOOKUP($C33,PMGR!$BS$2:$CE$250,161,0)</f>
        <v>10694.945750000001</v>
      </c>
      <c r="BY33" s="106">
        <f>+HLOOKUP($C33,PMGR!$BS$2:$CE$250,164,0)</f>
        <v>5800</v>
      </c>
      <c r="BZ33" s="106">
        <f>+HLOOKUP($C33,PMGR!$BS$2:$CE$250,165,0)</f>
        <v>38293.333333333336</v>
      </c>
      <c r="CA33" s="106">
        <f>+HLOOKUP($C33,PMGR!$BS$2:$CE$250,166,0)</f>
        <v>0</v>
      </c>
      <c r="CB33" s="106">
        <f>+HLOOKUP($C33,PMGR!$BS$2:$CE$250,167,0)</f>
        <v>82500</v>
      </c>
      <c r="CC33" s="106">
        <f>+HLOOKUP($C33,PMGR!$BS$2:$CE$250,168,0)</f>
        <v>0</v>
      </c>
      <c r="CD33" s="106">
        <f>+HLOOKUP($C33,PMGR!$BS$2:$CE$250,169,0)</f>
        <v>0</v>
      </c>
      <c r="CE33" s="106">
        <f>+HLOOKUP($C33,PMGR!$BS$2:$CE$250,170,0)</f>
        <v>0</v>
      </c>
      <c r="CF33" s="106">
        <f>+HLOOKUP($C33,PMGR!$BS$2:$CE$250,172,0)</f>
        <v>32700</v>
      </c>
      <c r="CG33" s="106">
        <f>+HLOOKUP($C33,PMGR!$BS$2:$CE$250,173,0)</f>
        <v>36000</v>
      </c>
      <c r="CH33" s="106">
        <f>+HLOOKUP($C33,PMGR!$BS$2:$CE$250,174,0)</f>
        <v>86400</v>
      </c>
      <c r="CI33" s="106">
        <f>+HLOOKUP($C33,PMGR!$BS$2:$CE$250,175,0)</f>
        <v>6690</v>
      </c>
      <c r="CJ33" s="106">
        <f>+HLOOKUP($C33,PMGR!$BS$2:$CE$250,176,0)</f>
        <v>7110</v>
      </c>
      <c r="CK33" s="106">
        <f>+HLOOKUP($C33,PMGR!$BS$2:$CE$250,178,0)</f>
        <v>94077.832145454551</v>
      </c>
      <c r="CL33" s="106">
        <f>+HLOOKUP($C33,PMGR!$BS$2:$CE$250,179,0)</f>
        <v>0</v>
      </c>
      <c r="CM33" s="106">
        <f>+HLOOKUP($C33,PMGR!$BS$2:$CE$250,180,0)</f>
        <v>0</v>
      </c>
      <c r="CN33" s="106">
        <f>+HLOOKUP($C33,PMGR!$BS$2:$CE$250,182,0)</f>
        <v>737.1</v>
      </c>
      <c r="CO33" s="106">
        <f>+HLOOKUP($C33,PMGR!$BS$2:$CE$250,183,0)</f>
        <v>13115.4</v>
      </c>
      <c r="CP33" s="106">
        <f>+HLOOKUP($C33,PMGR!$BS$2:$CE$250,184,0)</f>
        <v>6480</v>
      </c>
      <c r="CQ33" s="106">
        <f>+HLOOKUP($C33,PMGR!$BS$2:$CE$250,185,0)</f>
        <v>0</v>
      </c>
      <c r="CR33" s="106">
        <f>+HLOOKUP($C33,PMGR!$BS$2:$CE$250,187,0)</f>
        <v>3749.7599999999993</v>
      </c>
      <c r="CS33" s="106">
        <f>+HLOOKUP($C33,PMGR!$BS$2:$CE$250,188,0)</f>
        <v>4770</v>
      </c>
      <c r="CT33" s="106">
        <f>+HLOOKUP($C33,PMGR!$BS$2:$CE$250,189,0)</f>
        <v>3000.0599999999995</v>
      </c>
      <c r="CU33" s="106">
        <f>+HLOOKUP($C33,PMGR!$BS$2:$CE$250,190,0)</f>
        <v>3040.02</v>
      </c>
      <c r="CV33" s="106">
        <f>+HLOOKUP($C33,PMGR!$BS$2:$CE$250,191,0)</f>
        <v>0</v>
      </c>
      <c r="CW33" s="106">
        <f>+HLOOKUP($C33,PMGR!$BS$2:$CE$250,193,0)</f>
        <v>16684.3</v>
      </c>
      <c r="CX33" s="106">
        <f>+HLOOKUP($C33,PMGR!$BS$2:$CE$250,194,0)</f>
        <v>47.699999999999996</v>
      </c>
      <c r="CY33" s="106">
        <f>+HLOOKUP($C33,PMGR!$BS$2:$CE$250,195,0)</f>
        <v>0</v>
      </c>
      <c r="CZ33" s="106">
        <f>+HLOOKUP($C33,PMGR!$BS$2:$CE$250,196,0)</f>
        <v>0</v>
      </c>
      <c r="DA33" s="106">
        <f>+HLOOKUP($C33,PMGR!$BS$2:$CE$250,197,0)</f>
        <v>8755.1999999999989</v>
      </c>
      <c r="DB33" s="106">
        <f>+HLOOKUP($C33,PMGR!$BS$2:$CE$250,198,0)</f>
        <v>6066</v>
      </c>
      <c r="DC33" s="106">
        <f>+HLOOKUP($C33,PMGR!$BS$2:$CE$250,199,0)</f>
        <v>1296</v>
      </c>
      <c r="DD33" s="106">
        <f>+HLOOKUP($C33,PMGR!$BS$2:$CE$250,200,0)</f>
        <v>348</v>
      </c>
      <c r="DE33" s="106">
        <f>+HLOOKUP($C33,PMGR!$BS$2:$CE$250,201,0)</f>
        <v>89.1</v>
      </c>
      <c r="DF33" s="106">
        <f>+HLOOKUP($C33,PMGR!$BS$2:$CE$250,202,0)</f>
        <v>0</v>
      </c>
      <c r="DG33" s="106">
        <f>+HLOOKUP($C33,PMGR!$BS$2:$CE$250,203,0)</f>
        <v>0</v>
      </c>
      <c r="DH33" s="106">
        <f>+HLOOKUP($C33,PMGR!$BS$2:$CE$250,205,0)</f>
        <v>0</v>
      </c>
      <c r="DI33" s="106">
        <f>+HLOOKUP($C33,PMGR!$BS$2:$CE$250,206,0)</f>
        <v>6984</v>
      </c>
      <c r="DJ33" s="106">
        <f>+HLOOKUP($C33,PMGR!$BS$2:$CE$250,207,0)</f>
        <v>40263.243833333334</v>
      </c>
      <c r="DK33" s="106">
        <f>+HLOOKUP($C33,PMGR!$BS$2:$CE$250,209,0)</f>
        <v>0</v>
      </c>
      <c r="DL33" s="106">
        <f>+HLOOKUP($C33,PMGR!$BS$2:$CE$250,210,0)</f>
        <v>186159.15801000001</v>
      </c>
      <c r="DM33" s="106">
        <f>+HLOOKUP($C33,PMGR!$BS$2:$CE$250,211,0)</f>
        <v>0</v>
      </c>
      <c r="DN33" s="106">
        <f>+HLOOKUP($C33,PMGR!$BS$2:$CE$250,212,0)</f>
        <v>0</v>
      </c>
      <c r="DO33" s="106">
        <f>+HLOOKUP($C33,PMGR!$BS$2:$CE$250,214,0)</f>
        <v>0</v>
      </c>
      <c r="DP33" s="106">
        <f>+HLOOKUP($C33,PMGR!$BS$2:$CE$250,215,0)</f>
        <v>1080</v>
      </c>
      <c r="DQ33" s="106">
        <f>+HLOOKUP($C33,PMGR!$BS$2:$CE$250,219,0)</f>
        <v>0</v>
      </c>
      <c r="DR33" s="106">
        <f>+HLOOKUP($C33,PMGR!$BS$2:$CE$250,220,0)</f>
        <v>0</v>
      </c>
      <c r="DS33" s="106">
        <f>+HLOOKUP($C33,PMGR!$BS$2:$CE$250,221,0)</f>
        <v>0</v>
      </c>
      <c r="DT33" s="106">
        <f>+HLOOKUP($C33,PMGR!$BS$2:$CE$250,223,0)</f>
        <v>22500</v>
      </c>
      <c r="DU33" s="106">
        <f>+HLOOKUP($C33,PMGR!$BS$2:$CE$250,224,0)</f>
        <v>7500</v>
      </c>
      <c r="DV33" s="106">
        <f>+HLOOKUP($C33,PMGR!$BS$2:$CE$250,225,0)</f>
        <v>0</v>
      </c>
      <c r="DW33" s="106">
        <f>+HLOOKUP($C33,PMGR!$BS$2:$CE$250,227,0)</f>
        <v>0</v>
      </c>
      <c r="DX33" s="106">
        <f>+HLOOKUP($C33,PMGR!$BS$2:$CE$250,228,0)</f>
        <v>0</v>
      </c>
      <c r="DY33" s="106">
        <f>+HLOOKUP($C33,PMGR!$BS$2:$CE$250,236,0)</f>
        <v>240972.90599999999</v>
      </c>
      <c r="DZ33" s="106">
        <f>+HLOOKUP($C33,PMGR!$BS$2:$CE$250,237,0)</f>
        <v>34688.594680061811</v>
      </c>
      <c r="EA33" s="106">
        <f>+HLOOKUP($C33,PMGR!$BS$2:$CE$250,238,0)</f>
        <v>36682.799999999996</v>
      </c>
      <c r="EB33" s="106">
        <f>+HLOOKUP($C33,PMGR!$BS$2:$CE$250,240,0)</f>
        <v>675475.61596874997</v>
      </c>
    </row>
    <row r="34" spans="1:132">
      <c r="A34" t="s">
        <v>269</v>
      </c>
      <c r="B34" t="s">
        <v>217</v>
      </c>
      <c r="C34" s="117">
        <v>45748</v>
      </c>
      <c r="D34" s="106">
        <f t="shared" si="0"/>
        <v>14044609.429241374</v>
      </c>
      <c r="E34" s="106">
        <f>+HLOOKUP(C34,PMGR!$BS$2:$CE$250,28,0)+HLOOKUP(C34,PMGR!$BS$2:$CE$250,43,0)+HLOOKUP(C34,PMGR!$BS$2:$CE$250,44,0)+HLOOKUP(C34,PMGR!$BS$2:$CE$250,45,0)+HLOOKUP(C34,PMGR!$BS$2:$CE$250,54,0)+HLOOKUP(C34,PMGR!$BS$2:$CE$250,59,0)</f>
        <v>14044609.429241374</v>
      </c>
      <c r="F34" s="106">
        <f>+HLOOKUP(C34,PMGR!$BS$2:$CE$250,37,0)+HLOOKUP(C34,PMGR!$BS$2:$CE$250,55,0)</f>
        <v>9473356.2466190029</v>
      </c>
      <c r="G34" s="106">
        <f>+HLOOKUP($C34,PMGR!$BS$2:$CE$250,76,0)</f>
        <v>0</v>
      </c>
      <c r="H34" s="106">
        <f>+HLOOKUP($C34,PMGR!$BS$2:$CE$250,77,0)</f>
        <v>0</v>
      </c>
      <c r="I34" s="106">
        <f>+HLOOKUP($C34,PMGR!$BS$2:$CE$250,78,0)</f>
        <v>0</v>
      </c>
      <c r="J34" s="106">
        <f>+HLOOKUP($C34,PMGR!$BS$2:$CE$250,79,0)</f>
        <v>0</v>
      </c>
      <c r="K34" s="106">
        <f>+HLOOKUP($C34,PMGR!$BS$2:$CE$250,80,0)</f>
        <v>10000</v>
      </c>
      <c r="L34" s="106">
        <f>+HLOOKUP($C34,PMGR!$BS$2:$CE$250,81,0)</f>
        <v>0</v>
      </c>
      <c r="M34" s="106">
        <f>+HLOOKUP($C34,PMGR!$BS$2:$CE$250,82,0)</f>
        <v>0</v>
      </c>
      <c r="N34" s="106">
        <f>+HLOOKUP($C34,PMGR!$BS$2:$CE$250,83,0)</f>
        <v>0</v>
      </c>
      <c r="O34" s="106">
        <f>+HLOOKUP($C34,PMGR!$BS$2:$CE$250,84,0)</f>
        <v>0</v>
      </c>
      <c r="P34" s="106">
        <f>+HLOOKUP($C34,PMGR!$BS$2:$CE$250,85,0)</f>
        <v>0</v>
      </c>
      <c r="Q34" s="106">
        <f>+HLOOKUP($C34,PMGR!$BS$2:$CE$250,87,0)</f>
        <v>301709.57600000006</v>
      </c>
      <c r="R34" s="106">
        <f>+HLOOKUP($C34,PMGR!$BS$2:$CE$250,90,0)</f>
        <v>0</v>
      </c>
      <c r="S34" s="106">
        <f>+HLOOKUP($C34,PMGR!$BS$2:$CE$250,91,0)</f>
        <v>1000</v>
      </c>
      <c r="T34" s="106">
        <f>+HLOOKUP($C34,PMGR!$BS$2:$CE$250,92,0)</f>
        <v>0</v>
      </c>
      <c r="U34" s="106">
        <f>+HLOOKUP($C34,PMGR!$BS$2:$CE$250,93,0)</f>
        <v>0</v>
      </c>
      <c r="V34" s="106">
        <f>+HLOOKUP($C34,PMGR!$BS$2:$CE$250,94,0)</f>
        <v>0</v>
      </c>
      <c r="W34" s="106">
        <f>+HLOOKUP($C34,PMGR!$BS$2:$CE$250,95,0)</f>
        <v>0</v>
      </c>
      <c r="X34" s="106">
        <f>+HLOOKUP($C34,PMGR!$BS$2:$CE$250,96,0)</f>
        <v>0</v>
      </c>
      <c r="Y34" s="106">
        <f>+HLOOKUP($C34,PMGR!$BS$2:$CE$250,97,0)</f>
        <v>0</v>
      </c>
      <c r="Z34" s="106">
        <f>+HLOOKUP($C34,PMGR!$BS$2:$CE$250,98,0)</f>
        <v>0</v>
      </c>
      <c r="AA34" s="106">
        <f>+HLOOKUP($C34,PMGR!$BS$2:$CE$250,99,0)</f>
        <v>0</v>
      </c>
      <c r="AB34" s="106">
        <f>+HLOOKUP($C34,PMGR!$BS$2:$CE$250,100,0)</f>
        <v>0</v>
      </c>
      <c r="AC34" s="106">
        <f>+HLOOKUP($C34,PMGR!$BS$2:$CE$250,101,0)</f>
        <v>10000</v>
      </c>
      <c r="AD34" s="106">
        <f>+HLOOKUP($C34,PMGR!$BS$2:$CE$250,104,0)</f>
        <v>0</v>
      </c>
      <c r="AE34" s="106">
        <f>+HLOOKUP($C34,PMGR!$BS$2:$CE$250,105,0)</f>
        <v>44153.79408</v>
      </c>
      <c r="AF34" s="106">
        <f>+HLOOKUP($C34,PMGR!$BS$2:$CE$250,106,0)</f>
        <v>0</v>
      </c>
      <c r="AG34" s="106">
        <f>+HLOOKUP($C34,PMGR!$BS$2:$CE$250,107,0)</f>
        <v>0</v>
      </c>
      <c r="AH34" s="106">
        <f>+HLOOKUP($C34,PMGR!$BS$2:$CE$250,108,0)</f>
        <v>0</v>
      </c>
      <c r="AI34" s="106">
        <f>+HLOOKUP($C34,PMGR!$BS$2:$CE$250,109,0)</f>
        <v>0</v>
      </c>
      <c r="AJ34" s="106">
        <f>+HLOOKUP($C34,PMGR!$BS$2:$CE$250,110,0)</f>
        <v>0</v>
      </c>
      <c r="AK34" s="106">
        <f>+HLOOKUP($C34,PMGR!$BS$2:$CE$250,111,0)</f>
        <v>3304.3093896959999</v>
      </c>
      <c r="AL34" s="106">
        <f>+HLOOKUP($C34,PMGR!$BS$2:$CE$250,112,0)</f>
        <v>0</v>
      </c>
      <c r="AM34" s="106">
        <f>+HLOOKUP($C34,PMGR!$BS$2:$CE$250,116,0)</f>
        <v>591500</v>
      </c>
      <c r="AN34" s="106">
        <f>+HLOOKUP($C34,PMGR!$BS$2:$CE$250,117,0)</f>
        <v>90030</v>
      </c>
      <c r="AO34" s="106">
        <f>+HLOOKUP($C34,PMGR!$BS$2:$CE$250,118,0)</f>
        <v>1500</v>
      </c>
      <c r="AP34" s="106">
        <f>+HLOOKUP($C34,PMGR!$BS$2:$CE$250,119,0)</f>
        <v>205830</v>
      </c>
      <c r="AQ34" s="106">
        <f>+HLOOKUP($C34,PMGR!$BS$2:$CE$250,120,0)</f>
        <v>35100</v>
      </c>
      <c r="AR34" s="106">
        <f>+HLOOKUP($C34,PMGR!$BS$2:$CE$250,121,0)</f>
        <v>19050</v>
      </c>
      <c r="AS34" s="106">
        <f>+HLOOKUP($C34,PMGR!$BS$2:$CE$250,122,0)</f>
        <v>290490</v>
      </c>
      <c r="AT34" s="106">
        <f>+HLOOKUP($C34,PMGR!$BS$2:$CE$250,123,0)</f>
        <v>74658.494586180561</v>
      </c>
      <c r="AU34" s="106">
        <f>+HLOOKUP($C34,PMGR!$BS$2:$CE$250,124,0)</f>
        <v>6992</v>
      </c>
      <c r="AV34" s="106">
        <f>+HLOOKUP($C34,PMGR!$BS$2:$CE$250,125,0)</f>
        <v>122670</v>
      </c>
      <c r="AW34" s="106">
        <f>+HLOOKUP($C34,PMGR!$BS$2:$CE$250,126,0)</f>
        <v>28437.499999999996</v>
      </c>
      <c r="AX34" s="106">
        <f>+HLOOKUP($C34,PMGR!$BS$2:$CE$250,127,0)</f>
        <v>42233.333333333328</v>
      </c>
      <c r="AY34" s="106">
        <f>+HLOOKUP($C34,PMGR!$BS$2:$CE$250,129,0)</f>
        <v>0</v>
      </c>
      <c r="AZ34" s="106">
        <f>+HLOOKUP($C34,PMGR!$BS$2:$CE$250,130,0)</f>
        <v>0</v>
      </c>
      <c r="BA34" s="106">
        <f>+HLOOKUP($C34,PMGR!$BS$2:$CE$250,131,0)</f>
        <v>25000</v>
      </c>
      <c r="BB34" s="106">
        <f>+HLOOKUP($C34,PMGR!$BS$2:$CE$250,133,0)</f>
        <v>0</v>
      </c>
      <c r="BC34" s="106">
        <f>+HLOOKUP($C34,PMGR!$BS$2:$CE$250,134,0)</f>
        <v>95808.887266666672</v>
      </c>
      <c r="BD34" s="106">
        <f>+HLOOKUP($C34,PMGR!$BS$2:$CE$250,135,0)</f>
        <v>0</v>
      </c>
      <c r="BE34" s="106">
        <f>+HLOOKUP($C34,PMGR!$BS$2:$CE$250,136,0)</f>
        <v>0</v>
      </c>
      <c r="BF34" s="106">
        <f>+HLOOKUP($C34,PMGR!$BS$2:$CE$250,138,0)</f>
        <v>16000</v>
      </c>
      <c r="BG34" s="106">
        <f>+HLOOKUP($C34,PMGR!$BS$2:$CE$250,139,0)</f>
        <v>39596.021666666675</v>
      </c>
      <c r="BH34" s="106">
        <f>+HLOOKUP($C34,PMGR!$BS$2:$CE$250,140,0)</f>
        <v>29491.199999999997</v>
      </c>
      <c r="BI34" s="106">
        <f>+HLOOKUP($C34,PMGR!$BS$2:$CE$250,141,0)</f>
        <v>0</v>
      </c>
      <c r="BJ34" s="106">
        <f>+HLOOKUP($C34,PMGR!$BS$2:$CE$250,142,0)</f>
        <v>0</v>
      </c>
      <c r="BK34" s="106">
        <f>+HLOOKUP($C34,PMGR!$BS$2:$CE$250,143,0)</f>
        <v>49201.416666666664</v>
      </c>
      <c r="BL34" s="106">
        <f>+HLOOKUP($C34,PMGR!$BS$2:$CE$250,144,0)</f>
        <v>44239.583333333336</v>
      </c>
      <c r="BM34" s="106">
        <f>+HLOOKUP($C34,PMGR!$BS$2:$CE$250,146,0)</f>
        <v>0</v>
      </c>
      <c r="BN34" s="106">
        <f>+HLOOKUP($C34,PMGR!$BS$2:$CE$250,147,0)</f>
        <v>59519.862500000003</v>
      </c>
      <c r="BO34" s="106">
        <f>+HLOOKUP($C34,PMGR!$BS$2:$CE$250,148,0)</f>
        <v>0</v>
      </c>
      <c r="BP34" s="106">
        <f>+HLOOKUP($C34,PMGR!$BS$2:$CE$250,150,0)</f>
        <v>48678.682499999995</v>
      </c>
      <c r="BQ34" s="106">
        <f>+HLOOKUP($C34,PMGR!$BS$2:$CE$250,151,0)</f>
        <v>9922</v>
      </c>
      <c r="BR34" s="106">
        <f>+HLOOKUP($C34,PMGR!$BS$2:$CE$250,152,0)</f>
        <v>19200</v>
      </c>
      <c r="BS34" s="106">
        <f>+HLOOKUP($C34,PMGR!$BS$2:$CE$250,153,0)</f>
        <v>3600</v>
      </c>
      <c r="BT34" s="106">
        <f>+HLOOKUP($C34,PMGR!$BS$2:$CE$250,157,0)</f>
        <v>10980</v>
      </c>
      <c r="BU34" s="106">
        <f>+HLOOKUP($C34,PMGR!$BS$2:$CE$250,158,0)</f>
        <v>2610</v>
      </c>
      <c r="BV34" s="106">
        <f>+HLOOKUP($C34,PMGR!$BS$2:$CE$250,159,0)</f>
        <v>999.72222222222217</v>
      </c>
      <c r="BW34" s="106">
        <f>+HLOOKUP($C34,PMGR!$BS$2:$CE$250,160,0)</f>
        <v>21530.500000000004</v>
      </c>
      <c r="BX34" s="106">
        <f>+HLOOKUP($C34,PMGR!$BS$2:$CE$250,161,0)</f>
        <v>10694.945750000001</v>
      </c>
      <c r="BY34" s="106">
        <f>+HLOOKUP($C34,PMGR!$BS$2:$CE$250,164,0)</f>
        <v>5800</v>
      </c>
      <c r="BZ34" s="106">
        <f>+HLOOKUP($C34,PMGR!$BS$2:$CE$250,165,0)</f>
        <v>38293.333333333336</v>
      </c>
      <c r="CA34" s="106">
        <f>+HLOOKUP($C34,PMGR!$BS$2:$CE$250,166,0)</f>
        <v>0</v>
      </c>
      <c r="CB34" s="106">
        <f>+HLOOKUP($C34,PMGR!$BS$2:$CE$250,167,0)</f>
        <v>22500</v>
      </c>
      <c r="CC34" s="106">
        <f>+HLOOKUP($C34,PMGR!$BS$2:$CE$250,168,0)</f>
        <v>0</v>
      </c>
      <c r="CD34" s="106">
        <f>+HLOOKUP($C34,PMGR!$BS$2:$CE$250,169,0)</f>
        <v>0</v>
      </c>
      <c r="CE34" s="106">
        <f>+HLOOKUP($C34,PMGR!$BS$2:$CE$250,170,0)</f>
        <v>0</v>
      </c>
      <c r="CF34" s="106">
        <f>+HLOOKUP($C34,PMGR!$BS$2:$CE$250,172,0)</f>
        <v>32700</v>
      </c>
      <c r="CG34" s="106">
        <f>+HLOOKUP($C34,PMGR!$BS$2:$CE$250,173,0)</f>
        <v>36000</v>
      </c>
      <c r="CH34" s="106">
        <f>+HLOOKUP($C34,PMGR!$BS$2:$CE$250,174,0)</f>
        <v>86400</v>
      </c>
      <c r="CI34" s="106">
        <f>+HLOOKUP($C34,PMGR!$BS$2:$CE$250,175,0)</f>
        <v>6690</v>
      </c>
      <c r="CJ34" s="106">
        <f>+HLOOKUP($C34,PMGR!$BS$2:$CE$250,176,0)</f>
        <v>7110</v>
      </c>
      <c r="CK34" s="106">
        <f>+HLOOKUP($C34,PMGR!$BS$2:$CE$250,178,0)</f>
        <v>94077.832145454551</v>
      </c>
      <c r="CL34" s="106">
        <f>+HLOOKUP($C34,PMGR!$BS$2:$CE$250,179,0)</f>
        <v>0</v>
      </c>
      <c r="CM34" s="106">
        <f>+HLOOKUP($C34,PMGR!$BS$2:$CE$250,180,0)</f>
        <v>0</v>
      </c>
      <c r="CN34" s="106">
        <f>+HLOOKUP($C34,PMGR!$BS$2:$CE$250,182,0)</f>
        <v>737.1</v>
      </c>
      <c r="CO34" s="106">
        <f>+HLOOKUP($C34,PMGR!$BS$2:$CE$250,183,0)</f>
        <v>13115.4</v>
      </c>
      <c r="CP34" s="106">
        <f>+HLOOKUP($C34,PMGR!$BS$2:$CE$250,184,0)</f>
        <v>6480</v>
      </c>
      <c r="CQ34" s="106">
        <f>+HLOOKUP($C34,PMGR!$BS$2:$CE$250,185,0)</f>
        <v>0</v>
      </c>
      <c r="CR34" s="106">
        <f>+HLOOKUP($C34,PMGR!$BS$2:$CE$250,187,0)</f>
        <v>3749.7599999999993</v>
      </c>
      <c r="CS34" s="106">
        <f>+HLOOKUP($C34,PMGR!$BS$2:$CE$250,188,0)</f>
        <v>4770</v>
      </c>
      <c r="CT34" s="106">
        <f>+HLOOKUP($C34,PMGR!$BS$2:$CE$250,189,0)</f>
        <v>3000.0599999999995</v>
      </c>
      <c r="CU34" s="106">
        <f>+HLOOKUP($C34,PMGR!$BS$2:$CE$250,190,0)</f>
        <v>3040.02</v>
      </c>
      <c r="CV34" s="106">
        <f>+HLOOKUP($C34,PMGR!$BS$2:$CE$250,191,0)</f>
        <v>0</v>
      </c>
      <c r="CW34" s="106">
        <f>+HLOOKUP($C34,PMGR!$BS$2:$CE$250,193,0)</f>
        <v>16684.3</v>
      </c>
      <c r="CX34" s="106">
        <f>+HLOOKUP($C34,PMGR!$BS$2:$CE$250,194,0)</f>
        <v>47.699999999999996</v>
      </c>
      <c r="CY34" s="106">
        <f>+HLOOKUP($C34,PMGR!$BS$2:$CE$250,195,0)</f>
        <v>0</v>
      </c>
      <c r="CZ34" s="106">
        <f>+HLOOKUP($C34,PMGR!$BS$2:$CE$250,196,0)</f>
        <v>0</v>
      </c>
      <c r="DA34" s="106">
        <f>+HLOOKUP($C34,PMGR!$BS$2:$CE$250,197,0)</f>
        <v>8755.1999999999989</v>
      </c>
      <c r="DB34" s="106">
        <f>+HLOOKUP($C34,PMGR!$BS$2:$CE$250,198,0)</f>
        <v>6066</v>
      </c>
      <c r="DC34" s="106">
        <f>+HLOOKUP($C34,PMGR!$BS$2:$CE$250,199,0)</f>
        <v>1296</v>
      </c>
      <c r="DD34" s="106">
        <f>+HLOOKUP($C34,PMGR!$BS$2:$CE$250,200,0)</f>
        <v>348</v>
      </c>
      <c r="DE34" s="106">
        <f>+HLOOKUP($C34,PMGR!$BS$2:$CE$250,201,0)</f>
        <v>89.1</v>
      </c>
      <c r="DF34" s="106">
        <f>+HLOOKUP($C34,PMGR!$BS$2:$CE$250,202,0)</f>
        <v>0</v>
      </c>
      <c r="DG34" s="106">
        <f>+HLOOKUP($C34,PMGR!$BS$2:$CE$250,203,0)</f>
        <v>0</v>
      </c>
      <c r="DH34" s="106">
        <f>+HLOOKUP($C34,PMGR!$BS$2:$CE$250,205,0)</f>
        <v>0</v>
      </c>
      <c r="DI34" s="106">
        <f>+HLOOKUP($C34,PMGR!$BS$2:$CE$250,206,0)</f>
        <v>6984</v>
      </c>
      <c r="DJ34" s="106">
        <f>+HLOOKUP($C34,PMGR!$BS$2:$CE$250,207,0)</f>
        <v>40263.243833333334</v>
      </c>
      <c r="DK34" s="106">
        <f>+HLOOKUP($C34,PMGR!$BS$2:$CE$250,209,0)</f>
        <v>0</v>
      </c>
      <c r="DL34" s="106">
        <f>+HLOOKUP($C34,PMGR!$BS$2:$CE$250,210,0)</f>
        <v>186159.15801000001</v>
      </c>
      <c r="DM34" s="106">
        <f>+HLOOKUP($C34,PMGR!$BS$2:$CE$250,211,0)</f>
        <v>0</v>
      </c>
      <c r="DN34" s="106">
        <f>+HLOOKUP($C34,PMGR!$BS$2:$CE$250,212,0)</f>
        <v>0</v>
      </c>
      <c r="DO34" s="106">
        <f>+HLOOKUP($C34,PMGR!$BS$2:$CE$250,214,0)</f>
        <v>0</v>
      </c>
      <c r="DP34" s="106">
        <f>+HLOOKUP($C34,PMGR!$BS$2:$CE$250,215,0)</f>
        <v>1080</v>
      </c>
      <c r="DQ34" s="106">
        <f>+HLOOKUP($C34,PMGR!$BS$2:$CE$250,219,0)</f>
        <v>0</v>
      </c>
      <c r="DR34" s="106">
        <f>+HLOOKUP($C34,PMGR!$BS$2:$CE$250,220,0)</f>
        <v>0</v>
      </c>
      <c r="DS34" s="106">
        <f>+HLOOKUP($C34,PMGR!$BS$2:$CE$250,221,0)</f>
        <v>0</v>
      </c>
      <c r="DT34" s="106">
        <f>+HLOOKUP($C34,PMGR!$BS$2:$CE$250,223,0)</f>
        <v>22500</v>
      </c>
      <c r="DU34" s="106">
        <f>+HLOOKUP($C34,PMGR!$BS$2:$CE$250,224,0)</f>
        <v>7500</v>
      </c>
      <c r="DV34" s="106">
        <f>+HLOOKUP($C34,PMGR!$BS$2:$CE$250,225,0)</f>
        <v>0</v>
      </c>
      <c r="DW34" s="106">
        <f>+HLOOKUP($C34,PMGR!$BS$2:$CE$250,227,0)</f>
        <v>0</v>
      </c>
      <c r="DX34" s="106">
        <f>+HLOOKUP($C34,PMGR!$BS$2:$CE$250,228,0)</f>
        <v>0</v>
      </c>
      <c r="DY34" s="106">
        <f>+HLOOKUP($C34,PMGR!$BS$2:$CE$250,236,0)</f>
        <v>247239.26399999997</v>
      </c>
      <c r="DZ34" s="106">
        <f>+HLOOKUP($C34,PMGR!$BS$2:$CE$250,237,0)</f>
        <v>34005.576676635515</v>
      </c>
      <c r="EA34" s="106">
        <f>+HLOOKUP($C34,PMGR!$BS$2:$CE$250,238,0)</f>
        <v>39363.599999999999</v>
      </c>
      <c r="EB34" s="106">
        <f>+HLOOKUP($C34,PMGR!$BS$2:$CE$250,240,0)</f>
        <v>675475.61596874997</v>
      </c>
    </row>
    <row r="35" spans="1:132">
      <c r="A35" t="s">
        <v>269</v>
      </c>
      <c r="B35" t="s">
        <v>217</v>
      </c>
      <c r="C35" s="117">
        <v>45717</v>
      </c>
      <c r="D35" s="106">
        <f t="shared" si="0"/>
        <v>19083572.297749851</v>
      </c>
      <c r="E35" s="106">
        <f>+HLOOKUP(C35,PMGR!$BS$2:$CE$250,28,0)+HLOOKUP(C35,PMGR!$BS$2:$CE$250,43,0)+HLOOKUP(C35,PMGR!$BS$2:$CE$250,44,0)+HLOOKUP(C35,PMGR!$BS$2:$CE$250,45,0)+HLOOKUP(C35,PMGR!$BS$2:$CE$250,54,0)+HLOOKUP(C35,PMGR!$BS$2:$CE$250,59,0)</f>
        <v>19083572.297749851</v>
      </c>
      <c r="F35" s="106">
        <f>+HLOOKUP(C35,PMGR!$BS$2:$CE$250,37,0)+HLOOKUP(C35,PMGR!$BS$2:$CE$250,55,0)</f>
        <v>10175983.823185004</v>
      </c>
      <c r="G35" s="106">
        <f>+HLOOKUP($C35,PMGR!$BS$2:$CE$250,76,0)</f>
        <v>0</v>
      </c>
      <c r="H35" s="106">
        <f>+HLOOKUP($C35,PMGR!$BS$2:$CE$250,77,0)</f>
        <v>0</v>
      </c>
      <c r="I35" s="106">
        <f>+HLOOKUP($C35,PMGR!$BS$2:$CE$250,78,0)</f>
        <v>0</v>
      </c>
      <c r="J35" s="106">
        <f>+HLOOKUP($C35,PMGR!$BS$2:$CE$250,79,0)</f>
        <v>0</v>
      </c>
      <c r="K35" s="106">
        <f>+HLOOKUP($C35,PMGR!$BS$2:$CE$250,80,0)</f>
        <v>10000</v>
      </c>
      <c r="L35" s="106">
        <f>+HLOOKUP($C35,PMGR!$BS$2:$CE$250,81,0)</f>
        <v>0</v>
      </c>
      <c r="M35" s="106">
        <f>+HLOOKUP($C35,PMGR!$BS$2:$CE$250,82,0)</f>
        <v>0</v>
      </c>
      <c r="N35" s="106">
        <f>+HLOOKUP($C35,PMGR!$BS$2:$CE$250,83,0)</f>
        <v>0</v>
      </c>
      <c r="O35" s="106">
        <f>+HLOOKUP($C35,PMGR!$BS$2:$CE$250,84,0)</f>
        <v>0</v>
      </c>
      <c r="P35" s="106">
        <f>+HLOOKUP($C35,PMGR!$BS$2:$CE$250,85,0)</f>
        <v>0</v>
      </c>
      <c r="Q35" s="106">
        <f>+HLOOKUP($C35,PMGR!$BS$2:$CE$250,87,0)</f>
        <v>332054.44644000003</v>
      </c>
      <c r="R35" s="106">
        <f>+HLOOKUP($C35,PMGR!$BS$2:$CE$250,90,0)</f>
        <v>0</v>
      </c>
      <c r="S35" s="106">
        <f>+HLOOKUP($C35,PMGR!$BS$2:$CE$250,91,0)</f>
        <v>1000</v>
      </c>
      <c r="T35" s="106">
        <f>+HLOOKUP($C35,PMGR!$BS$2:$CE$250,92,0)</f>
        <v>0</v>
      </c>
      <c r="U35" s="106">
        <f>+HLOOKUP($C35,PMGR!$BS$2:$CE$250,93,0)</f>
        <v>0</v>
      </c>
      <c r="V35" s="106">
        <f>+HLOOKUP($C35,PMGR!$BS$2:$CE$250,94,0)</f>
        <v>0</v>
      </c>
      <c r="W35" s="106">
        <f>+HLOOKUP($C35,PMGR!$BS$2:$CE$250,95,0)</f>
        <v>0</v>
      </c>
      <c r="X35" s="106">
        <f>+HLOOKUP($C35,PMGR!$BS$2:$CE$250,96,0)</f>
        <v>0</v>
      </c>
      <c r="Y35" s="106">
        <f>+HLOOKUP($C35,PMGR!$BS$2:$CE$250,97,0)</f>
        <v>0</v>
      </c>
      <c r="Z35" s="106">
        <f>+HLOOKUP($C35,PMGR!$BS$2:$CE$250,98,0)</f>
        <v>0</v>
      </c>
      <c r="AA35" s="106">
        <f>+HLOOKUP($C35,PMGR!$BS$2:$CE$250,99,0)</f>
        <v>0</v>
      </c>
      <c r="AB35" s="106">
        <f>+HLOOKUP($C35,PMGR!$BS$2:$CE$250,100,0)</f>
        <v>0</v>
      </c>
      <c r="AC35" s="106">
        <f>+HLOOKUP($C35,PMGR!$BS$2:$CE$250,101,0)</f>
        <v>10000</v>
      </c>
      <c r="AD35" s="106">
        <f>+HLOOKUP($C35,PMGR!$BS$2:$CE$250,104,0)</f>
        <v>0</v>
      </c>
      <c r="AE35" s="106">
        <f>+HLOOKUP($C35,PMGR!$BS$2:$CE$250,105,0)</f>
        <v>47705.215799999998</v>
      </c>
      <c r="AF35" s="106">
        <f>+HLOOKUP($C35,PMGR!$BS$2:$CE$250,106,0)</f>
        <v>0</v>
      </c>
      <c r="AG35" s="106">
        <f>+HLOOKUP($C35,PMGR!$BS$2:$CE$250,107,0)</f>
        <v>0</v>
      </c>
      <c r="AH35" s="106">
        <f>+HLOOKUP($C35,PMGR!$BS$2:$CE$250,108,0)</f>
        <v>0</v>
      </c>
      <c r="AI35" s="106">
        <f>+HLOOKUP($C35,PMGR!$BS$2:$CE$250,109,0)</f>
        <v>0</v>
      </c>
      <c r="AJ35" s="106">
        <f>+HLOOKUP($C35,PMGR!$BS$2:$CE$250,110,0)</f>
        <v>0</v>
      </c>
      <c r="AK35" s="106">
        <f>+HLOOKUP($C35,PMGR!$BS$2:$CE$250,111,0)</f>
        <v>3570.0848769600002</v>
      </c>
      <c r="AL35" s="106">
        <f>+HLOOKUP($C35,PMGR!$BS$2:$CE$250,112,0)</f>
        <v>0</v>
      </c>
      <c r="AM35" s="106">
        <f>+HLOOKUP($C35,PMGR!$BS$2:$CE$250,116,0)</f>
        <v>591500</v>
      </c>
      <c r="AN35" s="106">
        <f>+HLOOKUP($C35,PMGR!$BS$2:$CE$250,117,0)</f>
        <v>90030</v>
      </c>
      <c r="AO35" s="106">
        <f>+HLOOKUP($C35,PMGR!$BS$2:$CE$250,118,0)</f>
        <v>1500</v>
      </c>
      <c r="AP35" s="106">
        <f>+HLOOKUP($C35,PMGR!$BS$2:$CE$250,119,0)</f>
        <v>205830</v>
      </c>
      <c r="AQ35" s="106">
        <f>+HLOOKUP($C35,PMGR!$BS$2:$CE$250,120,0)</f>
        <v>35100</v>
      </c>
      <c r="AR35" s="106">
        <f>+HLOOKUP($C35,PMGR!$BS$2:$CE$250,121,0)</f>
        <v>19050</v>
      </c>
      <c r="AS35" s="106">
        <f>+HLOOKUP($C35,PMGR!$BS$2:$CE$250,122,0)</f>
        <v>290490</v>
      </c>
      <c r="AT35" s="106">
        <f>+HLOOKUP($C35,PMGR!$BS$2:$CE$250,123,0)</f>
        <v>74658.494586180561</v>
      </c>
      <c r="AU35" s="106">
        <f>+HLOOKUP($C35,PMGR!$BS$2:$CE$250,124,0)</f>
        <v>6992</v>
      </c>
      <c r="AV35" s="106">
        <f>+HLOOKUP($C35,PMGR!$BS$2:$CE$250,125,0)</f>
        <v>122670</v>
      </c>
      <c r="AW35" s="106">
        <f>+HLOOKUP($C35,PMGR!$BS$2:$CE$250,126,0)</f>
        <v>28437.499999999996</v>
      </c>
      <c r="AX35" s="106">
        <f>+HLOOKUP($C35,PMGR!$BS$2:$CE$250,127,0)</f>
        <v>42233.333333333328</v>
      </c>
      <c r="AY35" s="106">
        <f>+HLOOKUP($C35,PMGR!$BS$2:$CE$250,129,0)</f>
        <v>0</v>
      </c>
      <c r="AZ35" s="106">
        <f>+HLOOKUP($C35,PMGR!$BS$2:$CE$250,130,0)</f>
        <v>0</v>
      </c>
      <c r="BA35" s="106">
        <f>+HLOOKUP($C35,PMGR!$BS$2:$CE$250,131,0)</f>
        <v>25000</v>
      </c>
      <c r="BB35" s="106">
        <f>+HLOOKUP($C35,PMGR!$BS$2:$CE$250,133,0)</f>
        <v>0</v>
      </c>
      <c r="BC35" s="106">
        <f>+HLOOKUP($C35,PMGR!$BS$2:$CE$250,134,0)</f>
        <v>95808.887266666672</v>
      </c>
      <c r="BD35" s="106">
        <f>+HLOOKUP($C35,PMGR!$BS$2:$CE$250,135,0)</f>
        <v>0</v>
      </c>
      <c r="BE35" s="106">
        <f>+HLOOKUP($C35,PMGR!$BS$2:$CE$250,136,0)</f>
        <v>0</v>
      </c>
      <c r="BF35" s="106">
        <f>+HLOOKUP($C35,PMGR!$BS$2:$CE$250,138,0)</f>
        <v>16000</v>
      </c>
      <c r="BG35" s="106">
        <f>+HLOOKUP($C35,PMGR!$BS$2:$CE$250,139,0)</f>
        <v>39596.021666666675</v>
      </c>
      <c r="BH35" s="106">
        <f>+HLOOKUP($C35,PMGR!$BS$2:$CE$250,140,0)</f>
        <v>29491.199999999997</v>
      </c>
      <c r="BI35" s="106">
        <f>+HLOOKUP($C35,PMGR!$BS$2:$CE$250,141,0)</f>
        <v>0</v>
      </c>
      <c r="BJ35" s="106">
        <f>+HLOOKUP($C35,PMGR!$BS$2:$CE$250,142,0)</f>
        <v>0</v>
      </c>
      <c r="BK35" s="106">
        <f>+HLOOKUP($C35,PMGR!$BS$2:$CE$250,143,0)</f>
        <v>49201.416666666664</v>
      </c>
      <c r="BL35" s="106">
        <f>+HLOOKUP($C35,PMGR!$BS$2:$CE$250,144,0)</f>
        <v>21239.583333333332</v>
      </c>
      <c r="BM35" s="106">
        <f>+HLOOKUP($C35,PMGR!$BS$2:$CE$250,146,0)</f>
        <v>0</v>
      </c>
      <c r="BN35" s="106">
        <f>+HLOOKUP($C35,PMGR!$BS$2:$CE$250,147,0)</f>
        <v>59519.862500000003</v>
      </c>
      <c r="BO35" s="106">
        <f>+HLOOKUP($C35,PMGR!$BS$2:$CE$250,148,0)</f>
        <v>0</v>
      </c>
      <c r="BP35" s="106">
        <f>+HLOOKUP($C35,PMGR!$BS$2:$CE$250,150,0)</f>
        <v>48678.682499999995</v>
      </c>
      <c r="BQ35" s="106">
        <f>+HLOOKUP($C35,PMGR!$BS$2:$CE$250,151,0)</f>
        <v>9922</v>
      </c>
      <c r="BR35" s="106">
        <f>+HLOOKUP($C35,PMGR!$BS$2:$CE$250,152,0)</f>
        <v>19200</v>
      </c>
      <c r="BS35" s="106">
        <f>+HLOOKUP($C35,PMGR!$BS$2:$CE$250,153,0)</f>
        <v>3600</v>
      </c>
      <c r="BT35" s="106">
        <f>+HLOOKUP($C35,PMGR!$BS$2:$CE$250,157,0)</f>
        <v>10980</v>
      </c>
      <c r="BU35" s="106">
        <f>+HLOOKUP($C35,PMGR!$BS$2:$CE$250,158,0)</f>
        <v>2610</v>
      </c>
      <c r="BV35" s="106">
        <f>+HLOOKUP($C35,PMGR!$BS$2:$CE$250,159,0)</f>
        <v>999.72222222222217</v>
      </c>
      <c r="BW35" s="106">
        <f>+HLOOKUP($C35,PMGR!$BS$2:$CE$250,160,0)</f>
        <v>20995.000000000004</v>
      </c>
      <c r="BX35" s="106">
        <f>+HLOOKUP($C35,PMGR!$BS$2:$CE$250,161,0)</f>
        <v>10694.945750000001</v>
      </c>
      <c r="BY35" s="106">
        <f>+HLOOKUP($C35,PMGR!$BS$2:$CE$250,164,0)</f>
        <v>5800</v>
      </c>
      <c r="BZ35" s="106">
        <f>+HLOOKUP($C35,PMGR!$BS$2:$CE$250,165,0)</f>
        <v>38293.333333333336</v>
      </c>
      <c r="CA35" s="106">
        <f>+HLOOKUP($C35,PMGR!$BS$2:$CE$250,166,0)</f>
        <v>0</v>
      </c>
      <c r="CB35" s="106">
        <f>+HLOOKUP($C35,PMGR!$BS$2:$CE$250,167,0)</f>
        <v>22500</v>
      </c>
      <c r="CC35" s="106">
        <f>+HLOOKUP($C35,PMGR!$BS$2:$CE$250,168,0)</f>
        <v>0</v>
      </c>
      <c r="CD35" s="106">
        <f>+HLOOKUP($C35,PMGR!$BS$2:$CE$250,169,0)</f>
        <v>0</v>
      </c>
      <c r="CE35" s="106">
        <f>+HLOOKUP($C35,PMGR!$BS$2:$CE$250,170,0)</f>
        <v>0</v>
      </c>
      <c r="CF35" s="106">
        <f>+HLOOKUP($C35,PMGR!$BS$2:$CE$250,172,0)</f>
        <v>32700</v>
      </c>
      <c r="CG35" s="106">
        <f>+HLOOKUP($C35,PMGR!$BS$2:$CE$250,173,0)</f>
        <v>36000</v>
      </c>
      <c r="CH35" s="106">
        <f>+HLOOKUP($C35,PMGR!$BS$2:$CE$250,174,0)</f>
        <v>86400</v>
      </c>
      <c r="CI35" s="106">
        <f>+HLOOKUP($C35,PMGR!$BS$2:$CE$250,175,0)</f>
        <v>6690</v>
      </c>
      <c r="CJ35" s="106">
        <f>+HLOOKUP($C35,PMGR!$BS$2:$CE$250,176,0)</f>
        <v>7110</v>
      </c>
      <c r="CK35" s="106">
        <f>+HLOOKUP($C35,PMGR!$BS$2:$CE$250,178,0)</f>
        <v>94077.832145454551</v>
      </c>
      <c r="CL35" s="106">
        <f>+HLOOKUP($C35,PMGR!$BS$2:$CE$250,179,0)</f>
        <v>0</v>
      </c>
      <c r="CM35" s="106">
        <f>+HLOOKUP($C35,PMGR!$BS$2:$CE$250,180,0)</f>
        <v>0</v>
      </c>
      <c r="CN35" s="106">
        <f>+HLOOKUP($C35,PMGR!$BS$2:$CE$250,182,0)</f>
        <v>737.1</v>
      </c>
      <c r="CO35" s="106">
        <f>+HLOOKUP($C35,PMGR!$BS$2:$CE$250,183,0)</f>
        <v>13115.4</v>
      </c>
      <c r="CP35" s="106">
        <f>+HLOOKUP($C35,PMGR!$BS$2:$CE$250,184,0)</f>
        <v>6480</v>
      </c>
      <c r="CQ35" s="106">
        <f>+HLOOKUP($C35,PMGR!$BS$2:$CE$250,185,0)</f>
        <v>0</v>
      </c>
      <c r="CR35" s="106">
        <f>+HLOOKUP($C35,PMGR!$BS$2:$CE$250,187,0)</f>
        <v>3749.7599999999993</v>
      </c>
      <c r="CS35" s="106">
        <f>+HLOOKUP($C35,PMGR!$BS$2:$CE$250,188,0)</f>
        <v>4770</v>
      </c>
      <c r="CT35" s="106">
        <f>+HLOOKUP($C35,PMGR!$BS$2:$CE$250,189,0)</f>
        <v>3000.0599999999995</v>
      </c>
      <c r="CU35" s="106">
        <f>+HLOOKUP($C35,PMGR!$BS$2:$CE$250,190,0)</f>
        <v>3040.02</v>
      </c>
      <c r="CV35" s="106">
        <f>+HLOOKUP($C35,PMGR!$BS$2:$CE$250,191,0)</f>
        <v>0</v>
      </c>
      <c r="CW35" s="106">
        <f>+HLOOKUP($C35,PMGR!$BS$2:$CE$250,193,0)</f>
        <v>16684.3</v>
      </c>
      <c r="CX35" s="106">
        <f>+HLOOKUP($C35,PMGR!$BS$2:$CE$250,194,0)</f>
        <v>47.699999999999996</v>
      </c>
      <c r="CY35" s="106">
        <f>+HLOOKUP($C35,PMGR!$BS$2:$CE$250,195,0)</f>
        <v>0</v>
      </c>
      <c r="CZ35" s="106">
        <f>+HLOOKUP($C35,PMGR!$BS$2:$CE$250,196,0)</f>
        <v>0</v>
      </c>
      <c r="DA35" s="106">
        <f>+HLOOKUP($C35,PMGR!$BS$2:$CE$250,197,0)</f>
        <v>8755.1999999999989</v>
      </c>
      <c r="DB35" s="106">
        <f>+HLOOKUP($C35,PMGR!$BS$2:$CE$250,198,0)</f>
        <v>6066</v>
      </c>
      <c r="DC35" s="106">
        <f>+HLOOKUP($C35,PMGR!$BS$2:$CE$250,199,0)</f>
        <v>1296</v>
      </c>
      <c r="DD35" s="106">
        <f>+HLOOKUP($C35,PMGR!$BS$2:$CE$250,200,0)</f>
        <v>348</v>
      </c>
      <c r="DE35" s="106">
        <f>+HLOOKUP($C35,PMGR!$BS$2:$CE$250,201,0)</f>
        <v>89.1</v>
      </c>
      <c r="DF35" s="106">
        <f>+HLOOKUP($C35,PMGR!$BS$2:$CE$250,202,0)</f>
        <v>0</v>
      </c>
      <c r="DG35" s="106">
        <f>+HLOOKUP($C35,PMGR!$BS$2:$CE$250,203,0)</f>
        <v>0</v>
      </c>
      <c r="DH35" s="106">
        <f>+HLOOKUP($C35,PMGR!$BS$2:$CE$250,205,0)</f>
        <v>0</v>
      </c>
      <c r="DI35" s="106">
        <f>+HLOOKUP($C35,PMGR!$BS$2:$CE$250,206,0)</f>
        <v>6984</v>
      </c>
      <c r="DJ35" s="106">
        <f>+HLOOKUP($C35,PMGR!$BS$2:$CE$250,207,0)</f>
        <v>40263.243833333334</v>
      </c>
      <c r="DK35" s="106">
        <f>+HLOOKUP($C35,PMGR!$BS$2:$CE$250,209,0)</f>
        <v>0</v>
      </c>
      <c r="DL35" s="106">
        <f>+HLOOKUP($C35,PMGR!$BS$2:$CE$250,210,0)</f>
        <v>186159.15801000001</v>
      </c>
      <c r="DM35" s="106">
        <f>+HLOOKUP($C35,PMGR!$BS$2:$CE$250,211,0)</f>
        <v>0</v>
      </c>
      <c r="DN35" s="106">
        <f>+HLOOKUP($C35,PMGR!$BS$2:$CE$250,212,0)</f>
        <v>0</v>
      </c>
      <c r="DO35" s="106">
        <f>+HLOOKUP($C35,PMGR!$BS$2:$CE$250,214,0)</f>
        <v>0</v>
      </c>
      <c r="DP35" s="106">
        <f>+HLOOKUP($C35,PMGR!$BS$2:$CE$250,215,0)</f>
        <v>1080</v>
      </c>
      <c r="DQ35" s="106">
        <f>+HLOOKUP($C35,PMGR!$BS$2:$CE$250,219,0)</f>
        <v>0</v>
      </c>
      <c r="DR35" s="106">
        <f>+HLOOKUP($C35,PMGR!$BS$2:$CE$250,220,0)</f>
        <v>0</v>
      </c>
      <c r="DS35" s="106">
        <f>+HLOOKUP($C35,PMGR!$BS$2:$CE$250,221,0)</f>
        <v>0</v>
      </c>
      <c r="DT35" s="106">
        <f>+HLOOKUP($C35,PMGR!$BS$2:$CE$250,223,0)</f>
        <v>22500</v>
      </c>
      <c r="DU35" s="106">
        <f>+HLOOKUP($C35,PMGR!$BS$2:$CE$250,224,0)</f>
        <v>7500</v>
      </c>
      <c r="DV35" s="106">
        <f>+HLOOKUP($C35,PMGR!$BS$2:$CE$250,225,0)</f>
        <v>0</v>
      </c>
      <c r="DW35" s="106">
        <f>+HLOOKUP($C35,PMGR!$BS$2:$CE$250,227,0)</f>
        <v>0</v>
      </c>
      <c r="DX35" s="106">
        <f>+HLOOKUP($C35,PMGR!$BS$2:$CE$250,228,0)</f>
        <v>0</v>
      </c>
      <c r="DY35" s="106">
        <f>+HLOOKUP($C35,PMGR!$BS$2:$CE$250,236,0)</f>
        <v>253459.29</v>
      </c>
      <c r="DZ35" s="106">
        <f>+HLOOKUP($C35,PMGR!$BS$2:$CE$250,237,0)</f>
        <v>35589.597118318263</v>
      </c>
      <c r="EA35" s="106">
        <f>+HLOOKUP($C35,PMGR!$BS$2:$CE$250,238,0)</f>
        <v>42024.6</v>
      </c>
      <c r="EB35" s="106">
        <f>+HLOOKUP($C35,PMGR!$BS$2:$CE$250,240,0)</f>
        <v>675475.61596874997</v>
      </c>
    </row>
    <row r="36" spans="1:132">
      <c r="A36" t="s">
        <v>269</v>
      </c>
      <c r="B36" t="s">
        <v>217</v>
      </c>
      <c r="C36" s="117">
        <v>45689</v>
      </c>
      <c r="D36" s="106">
        <f t="shared" si="0"/>
        <v>16228441.240980493</v>
      </c>
      <c r="E36" s="106">
        <f>+HLOOKUP(C36,PMGR!$BS$2:$CE$250,28,0)+HLOOKUP(C36,PMGR!$BS$2:$CE$250,43,0)+HLOOKUP(C36,PMGR!$BS$2:$CE$250,44,0)+HLOOKUP(C36,PMGR!$BS$2:$CE$250,45,0)+HLOOKUP(C36,PMGR!$BS$2:$CE$250,54,0)+HLOOKUP(C36,PMGR!$BS$2:$CE$250,59,0)</f>
        <v>16228441.240980493</v>
      </c>
      <c r="F36" s="106">
        <f>+HLOOKUP(C36,PMGR!$BS$2:$CE$250,37,0)+HLOOKUP(C36,PMGR!$BS$2:$CE$250,55,0)</f>
        <v>10824908.255847007</v>
      </c>
      <c r="G36" s="106">
        <f>+HLOOKUP($C36,PMGR!$BS$2:$CE$250,76,0)</f>
        <v>0</v>
      </c>
      <c r="H36" s="106">
        <f>+HLOOKUP($C36,PMGR!$BS$2:$CE$250,77,0)</f>
        <v>0</v>
      </c>
      <c r="I36" s="106">
        <f>+HLOOKUP($C36,PMGR!$BS$2:$CE$250,78,0)</f>
        <v>0</v>
      </c>
      <c r="J36" s="106">
        <f>+HLOOKUP($C36,PMGR!$BS$2:$CE$250,79,0)</f>
        <v>0</v>
      </c>
      <c r="K36" s="106">
        <f>+HLOOKUP($C36,PMGR!$BS$2:$CE$250,80,0)</f>
        <v>10000</v>
      </c>
      <c r="L36" s="106">
        <f>+HLOOKUP($C36,PMGR!$BS$2:$CE$250,81,0)</f>
        <v>0</v>
      </c>
      <c r="M36" s="106">
        <f>+HLOOKUP($C36,PMGR!$BS$2:$CE$250,82,0)</f>
        <v>0</v>
      </c>
      <c r="N36" s="106">
        <f>+HLOOKUP($C36,PMGR!$BS$2:$CE$250,83,0)</f>
        <v>0</v>
      </c>
      <c r="O36" s="106">
        <f>+HLOOKUP($C36,PMGR!$BS$2:$CE$250,84,0)</f>
        <v>0</v>
      </c>
      <c r="P36" s="106">
        <f>+HLOOKUP($C36,PMGR!$BS$2:$CE$250,85,0)</f>
        <v>0</v>
      </c>
      <c r="Q36" s="106">
        <f>+HLOOKUP($C36,PMGR!$BS$2:$CE$250,87,0)</f>
        <v>352298.81016000005</v>
      </c>
      <c r="R36" s="106">
        <f>+HLOOKUP($C36,PMGR!$BS$2:$CE$250,90,0)</f>
        <v>0</v>
      </c>
      <c r="S36" s="106">
        <f>+HLOOKUP($C36,PMGR!$BS$2:$CE$250,91,0)</f>
        <v>1000</v>
      </c>
      <c r="T36" s="106">
        <f>+HLOOKUP($C36,PMGR!$BS$2:$CE$250,92,0)</f>
        <v>0</v>
      </c>
      <c r="U36" s="106">
        <f>+HLOOKUP($C36,PMGR!$BS$2:$CE$250,93,0)</f>
        <v>0</v>
      </c>
      <c r="V36" s="106">
        <f>+HLOOKUP($C36,PMGR!$BS$2:$CE$250,94,0)</f>
        <v>0</v>
      </c>
      <c r="W36" s="106">
        <f>+HLOOKUP($C36,PMGR!$BS$2:$CE$250,95,0)</f>
        <v>0</v>
      </c>
      <c r="X36" s="106">
        <f>+HLOOKUP($C36,PMGR!$BS$2:$CE$250,96,0)</f>
        <v>0</v>
      </c>
      <c r="Y36" s="106">
        <f>+HLOOKUP($C36,PMGR!$BS$2:$CE$250,97,0)</f>
        <v>0</v>
      </c>
      <c r="Z36" s="106">
        <f>+HLOOKUP($C36,PMGR!$BS$2:$CE$250,98,0)</f>
        <v>0</v>
      </c>
      <c r="AA36" s="106">
        <f>+HLOOKUP($C36,PMGR!$BS$2:$CE$250,99,0)</f>
        <v>0</v>
      </c>
      <c r="AB36" s="106">
        <f>+HLOOKUP($C36,PMGR!$BS$2:$CE$250,100,0)</f>
        <v>0</v>
      </c>
      <c r="AC36" s="106">
        <f>+HLOOKUP($C36,PMGR!$BS$2:$CE$250,101,0)</f>
        <v>10000</v>
      </c>
      <c r="AD36" s="106">
        <f>+HLOOKUP($C36,PMGR!$BS$2:$CE$250,104,0)</f>
        <v>0</v>
      </c>
      <c r="AE36" s="106">
        <f>+HLOOKUP($C36,PMGR!$BS$2:$CE$250,105,0)</f>
        <v>51116.221200000022</v>
      </c>
      <c r="AF36" s="106">
        <f>+HLOOKUP($C36,PMGR!$BS$2:$CE$250,106,0)</f>
        <v>0</v>
      </c>
      <c r="AG36" s="106">
        <f>+HLOOKUP($C36,PMGR!$BS$2:$CE$250,107,0)</f>
        <v>0</v>
      </c>
      <c r="AH36" s="106">
        <f>+HLOOKUP($C36,PMGR!$BS$2:$CE$250,108,0)</f>
        <v>0</v>
      </c>
      <c r="AI36" s="106">
        <f>+HLOOKUP($C36,PMGR!$BS$2:$CE$250,109,0)</f>
        <v>0</v>
      </c>
      <c r="AJ36" s="106">
        <f>+HLOOKUP($C36,PMGR!$BS$2:$CE$250,110,0)</f>
        <v>0</v>
      </c>
      <c r="AK36" s="106">
        <f>+HLOOKUP($C36,PMGR!$BS$2:$CE$250,111,0)</f>
        <v>3825.3521174400021</v>
      </c>
      <c r="AL36" s="106">
        <f>+HLOOKUP($C36,PMGR!$BS$2:$CE$250,112,0)</f>
        <v>0</v>
      </c>
      <c r="AM36" s="106">
        <f>+HLOOKUP($C36,PMGR!$BS$2:$CE$250,116,0)</f>
        <v>591500</v>
      </c>
      <c r="AN36" s="106">
        <f>+HLOOKUP($C36,PMGR!$BS$2:$CE$250,117,0)</f>
        <v>90030</v>
      </c>
      <c r="AO36" s="106">
        <f>+HLOOKUP($C36,PMGR!$BS$2:$CE$250,118,0)</f>
        <v>1500</v>
      </c>
      <c r="AP36" s="106">
        <f>+HLOOKUP($C36,PMGR!$BS$2:$CE$250,119,0)</f>
        <v>205830</v>
      </c>
      <c r="AQ36" s="106">
        <f>+HLOOKUP($C36,PMGR!$BS$2:$CE$250,120,0)</f>
        <v>35100</v>
      </c>
      <c r="AR36" s="106">
        <f>+HLOOKUP($C36,PMGR!$BS$2:$CE$250,121,0)</f>
        <v>19050</v>
      </c>
      <c r="AS36" s="106">
        <f>+HLOOKUP($C36,PMGR!$BS$2:$CE$250,122,0)</f>
        <v>290490</v>
      </c>
      <c r="AT36" s="106">
        <f>+HLOOKUP($C36,PMGR!$BS$2:$CE$250,123,0)</f>
        <v>74658.494586180561</v>
      </c>
      <c r="AU36" s="106">
        <f>+HLOOKUP($C36,PMGR!$BS$2:$CE$250,124,0)</f>
        <v>6992</v>
      </c>
      <c r="AV36" s="106">
        <f>+HLOOKUP($C36,PMGR!$BS$2:$CE$250,125,0)</f>
        <v>122670</v>
      </c>
      <c r="AW36" s="106">
        <f>+HLOOKUP($C36,PMGR!$BS$2:$CE$250,126,0)</f>
        <v>28437.499999999996</v>
      </c>
      <c r="AX36" s="106">
        <f>+HLOOKUP($C36,PMGR!$BS$2:$CE$250,127,0)</f>
        <v>42233.333333333328</v>
      </c>
      <c r="AY36" s="106">
        <f>+HLOOKUP($C36,PMGR!$BS$2:$CE$250,129,0)</f>
        <v>0</v>
      </c>
      <c r="AZ36" s="106">
        <f>+HLOOKUP($C36,PMGR!$BS$2:$CE$250,130,0)</f>
        <v>0</v>
      </c>
      <c r="BA36" s="106">
        <f>+HLOOKUP($C36,PMGR!$BS$2:$CE$250,131,0)</f>
        <v>25000</v>
      </c>
      <c r="BB36" s="106">
        <f>+HLOOKUP($C36,PMGR!$BS$2:$CE$250,133,0)</f>
        <v>0</v>
      </c>
      <c r="BC36" s="106">
        <f>+HLOOKUP($C36,PMGR!$BS$2:$CE$250,134,0)</f>
        <v>95808.887266666672</v>
      </c>
      <c r="BD36" s="106">
        <f>+HLOOKUP($C36,PMGR!$BS$2:$CE$250,135,0)</f>
        <v>0</v>
      </c>
      <c r="BE36" s="106">
        <f>+HLOOKUP($C36,PMGR!$BS$2:$CE$250,136,0)</f>
        <v>0</v>
      </c>
      <c r="BF36" s="106">
        <f>+HLOOKUP($C36,PMGR!$BS$2:$CE$250,138,0)</f>
        <v>16000</v>
      </c>
      <c r="BG36" s="106">
        <f>+HLOOKUP($C36,PMGR!$BS$2:$CE$250,139,0)</f>
        <v>39596.021666666675</v>
      </c>
      <c r="BH36" s="106">
        <f>+HLOOKUP($C36,PMGR!$BS$2:$CE$250,140,0)</f>
        <v>29491.199999999997</v>
      </c>
      <c r="BI36" s="106">
        <f>+HLOOKUP($C36,PMGR!$BS$2:$CE$250,141,0)</f>
        <v>0</v>
      </c>
      <c r="BJ36" s="106">
        <f>+HLOOKUP($C36,PMGR!$BS$2:$CE$250,142,0)</f>
        <v>0</v>
      </c>
      <c r="BK36" s="106">
        <f>+HLOOKUP($C36,PMGR!$BS$2:$CE$250,143,0)</f>
        <v>49201.416666666664</v>
      </c>
      <c r="BL36" s="106">
        <f>+HLOOKUP($C36,PMGR!$BS$2:$CE$250,144,0)</f>
        <v>3989.5833333333335</v>
      </c>
      <c r="BM36" s="106">
        <f>+HLOOKUP($C36,PMGR!$BS$2:$CE$250,146,0)</f>
        <v>0</v>
      </c>
      <c r="BN36" s="106">
        <f>+HLOOKUP($C36,PMGR!$BS$2:$CE$250,147,0)</f>
        <v>59519.862500000003</v>
      </c>
      <c r="BO36" s="106">
        <f>+HLOOKUP($C36,PMGR!$BS$2:$CE$250,148,0)</f>
        <v>0</v>
      </c>
      <c r="BP36" s="106">
        <f>+HLOOKUP($C36,PMGR!$BS$2:$CE$250,150,0)</f>
        <v>48678.682499999995</v>
      </c>
      <c r="BQ36" s="106">
        <f>+HLOOKUP($C36,PMGR!$BS$2:$CE$250,151,0)</f>
        <v>9922</v>
      </c>
      <c r="BR36" s="106">
        <f>+HLOOKUP($C36,PMGR!$BS$2:$CE$250,152,0)</f>
        <v>19200</v>
      </c>
      <c r="BS36" s="106">
        <f>+HLOOKUP($C36,PMGR!$BS$2:$CE$250,153,0)</f>
        <v>3600</v>
      </c>
      <c r="BT36" s="106">
        <f>+HLOOKUP($C36,PMGR!$BS$2:$CE$250,157,0)</f>
        <v>10980</v>
      </c>
      <c r="BU36" s="106">
        <f>+HLOOKUP($C36,PMGR!$BS$2:$CE$250,158,0)</f>
        <v>2610</v>
      </c>
      <c r="BV36" s="106">
        <f>+HLOOKUP($C36,PMGR!$BS$2:$CE$250,159,0)</f>
        <v>999.72222222222217</v>
      </c>
      <c r="BW36" s="106">
        <f>+HLOOKUP($C36,PMGR!$BS$2:$CE$250,160,0)</f>
        <v>20995.000000000004</v>
      </c>
      <c r="BX36" s="106">
        <f>+HLOOKUP($C36,PMGR!$BS$2:$CE$250,161,0)</f>
        <v>10694.945750000001</v>
      </c>
      <c r="BY36" s="106">
        <f>+HLOOKUP($C36,PMGR!$BS$2:$CE$250,164,0)</f>
        <v>5800</v>
      </c>
      <c r="BZ36" s="106">
        <f>+HLOOKUP($C36,PMGR!$BS$2:$CE$250,165,0)</f>
        <v>38293.333333333336</v>
      </c>
      <c r="CA36" s="106">
        <f>+HLOOKUP($C36,PMGR!$BS$2:$CE$250,166,0)</f>
        <v>0</v>
      </c>
      <c r="CB36" s="106">
        <f>+HLOOKUP($C36,PMGR!$BS$2:$CE$250,167,0)</f>
        <v>22500</v>
      </c>
      <c r="CC36" s="106">
        <f>+HLOOKUP($C36,PMGR!$BS$2:$CE$250,168,0)</f>
        <v>0</v>
      </c>
      <c r="CD36" s="106">
        <f>+HLOOKUP($C36,PMGR!$BS$2:$CE$250,169,0)</f>
        <v>0</v>
      </c>
      <c r="CE36" s="106">
        <f>+HLOOKUP($C36,PMGR!$BS$2:$CE$250,170,0)</f>
        <v>0</v>
      </c>
      <c r="CF36" s="106">
        <f>+HLOOKUP($C36,PMGR!$BS$2:$CE$250,172,0)</f>
        <v>32700</v>
      </c>
      <c r="CG36" s="106">
        <f>+HLOOKUP($C36,PMGR!$BS$2:$CE$250,173,0)</f>
        <v>36000</v>
      </c>
      <c r="CH36" s="106">
        <f>+HLOOKUP($C36,PMGR!$BS$2:$CE$250,174,0)</f>
        <v>86400</v>
      </c>
      <c r="CI36" s="106">
        <f>+HLOOKUP($C36,PMGR!$BS$2:$CE$250,175,0)</f>
        <v>6690</v>
      </c>
      <c r="CJ36" s="106">
        <f>+HLOOKUP($C36,PMGR!$BS$2:$CE$250,176,0)</f>
        <v>7110</v>
      </c>
      <c r="CK36" s="106">
        <f>+HLOOKUP($C36,PMGR!$BS$2:$CE$250,178,0)</f>
        <v>94077.832145454551</v>
      </c>
      <c r="CL36" s="106">
        <f>+HLOOKUP($C36,PMGR!$BS$2:$CE$250,179,0)</f>
        <v>0</v>
      </c>
      <c r="CM36" s="106">
        <f>+HLOOKUP($C36,PMGR!$BS$2:$CE$250,180,0)</f>
        <v>0</v>
      </c>
      <c r="CN36" s="106">
        <f>+HLOOKUP($C36,PMGR!$BS$2:$CE$250,182,0)</f>
        <v>737.1</v>
      </c>
      <c r="CO36" s="106">
        <f>+HLOOKUP($C36,PMGR!$BS$2:$CE$250,183,0)</f>
        <v>13115.4</v>
      </c>
      <c r="CP36" s="106">
        <f>+HLOOKUP($C36,PMGR!$BS$2:$CE$250,184,0)</f>
        <v>6480</v>
      </c>
      <c r="CQ36" s="106">
        <f>+HLOOKUP($C36,PMGR!$BS$2:$CE$250,185,0)</f>
        <v>0</v>
      </c>
      <c r="CR36" s="106">
        <f>+HLOOKUP($C36,PMGR!$BS$2:$CE$250,187,0)</f>
        <v>3749.7599999999993</v>
      </c>
      <c r="CS36" s="106">
        <f>+HLOOKUP($C36,PMGR!$BS$2:$CE$250,188,0)</f>
        <v>4770</v>
      </c>
      <c r="CT36" s="106">
        <f>+HLOOKUP($C36,PMGR!$BS$2:$CE$250,189,0)</f>
        <v>3000.0599999999995</v>
      </c>
      <c r="CU36" s="106">
        <f>+HLOOKUP($C36,PMGR!$BS$2:$CE$250,190,0)</f>
        <v>3040.02</v>
      </c>
      <c r="CV36" s="106">
        <f>+HLOOKUP($C36,PMGR!$BS$2:$CE$250,191,0)</f>
        <v>0</v>
      </c>
      <c r="CW36" s="106">
        <f>+HLOOKUP($C36,PMGR!$BS$2:$CE$250,193,0)</f>
        <v>16684.3</v>
      </c>
      <c r="CX36" s="106">
        <f>+HLOOKUP($C36,PMGR!$BS$2:$CE$250,194,0)</f>
        <v>47.699999999999996</v>
      </c>
      <c r="CY36" s="106">
        <f>+HLOOKUP($C36,PMGR!$BS$2:$CE$250,195,0)</f>
        <v>0</v>
      </c>
      <c r="CZ36" s="106">
        <f>+HLOOKUP($C36,PMGR!$BS$2:$CE$250,196,0)</f>
        <v>0</v>
      </c>
      <c r="DA36" s="106">
        <f>+HLOOKUP($C36,PMGR!$BS$2:$CE$250,197,0)</f>
        <v>8755.1999999999989</v>
      </c>
      <c r="DB36" s="106">
        <f>+HLOOKUP($C36,PMGR!$BS$2:$CE$250,198,0)</f>
        <v>6066</v>
      </c>
      <c r="DC36" s="106">
        <f>+HLOOKUP($C36,PMGR!$BS$2:$CE$250,199,0)</f>
        <v>1296</v>
      </c>
      <c r="DD36" s="106">
        <f>+HLOOKUP($C36,PMGR!$BS$2:$CE$250,200,0)</f>
        <v>348</v>
      </c>
      <c r="DE36" s="106">
        <f>+HLOOKUP($C36,PMGR!$BS$2:$CE$250,201,0)</f>
        <v>89.1</v>
      </c>
      <c r="DF36" s="106">
        <f>+HLOOKUP($C36,PMGR!$BS$2:$CE$250,202,0)</f>
        <v>0</v>
      </c>
      <c r="DG36" s="106">
        <f>+HLOOKUP($C36,PMGR!$BS$2:$CE$250,203,0)</f>
        <v>0</v>
      </c>
      <c r="DH36" s="106">
        <f>+HLOOKUP($C36,PMGR!$BS$2:$CE$250,205,0)</f>
        <v>0</v>
      </c>
      <c r="DI36" s="106">
        <f>+HLOOKUP($C36,PMGR!$BS$2:$CE$250,206,0)</f>
        <v>6984</v>
      </c>
      <c r="DJ36" s="106">
        <f>+HLOOKUP($C36,PMGR!$BS$2:$CE$250,207,0)</f>
        <v>40263.243833333334</v>
      </c>
      <c r="DK36" s="106">
        <f>+HLOOKUP($C36,PMGR!$BS$2:$CE$250,209,0)</f>
        <v>0</v>
      </c>
      <c r="DL36" s="106">
        <f>+HLOOKUP($C36,PMGR!$BS$2:$CE$250,210,0)</f>
        <v>186159.15801000001</v>
      </c>
      <c r="DM36" s="106">
        <f>+HLOOKUP($C36,PMGR!$BS$2:$CE$250,211,0)</f>
        <v>0</v>
      </c>
      <c r="DN36" s="106">
        <f>+HLOOKUP($C36,PMGR!$BS$2:$CE$250,212,0)</f>
        <v>0</v>
      </c>
      <c r="DO36" s="106">
        <f>+HLOOKUP($C36,PMGR!$BS$2:$CE$250,214,0)</f>
        <v>0</v>
      </c>
      <c r="DP36" s="106">
        <f>+HLOOKUP($C36,PMGR!$BS$2:$CE$250,215,0)</f>
        <v>1080</v>
      </c>
      <c r="DQ36" s="106">
        <f>+HLOOKUP($C36,PMGR!$BS$2:$CE$250,219,0)</f>
        <v>0</v>
      </c>
      <c r="DR36" s="106">
        <f>+HLOOKUP($C36,PMGR!$BS$2:$CE$250,220,0)</f>
        <v>0</v>
      </c>
      <c r="DS36" s="106">
        <f>+HLOOKUP($C36,PMGR!$BS$2:$CE$250,221,0)</f>
        <v>0</v>
      </c>
      <c r="DT36" s="106">
        <f>+HLOOKUP($C36,PMGR!$BS$2:$CE$250,223,0)</f>
        <v>22500</v>
      </c>
      <c r="DU36" s="106">
        <f>+HLOOKUP($C36,PMGR!$BS$2:$CE$250,224,0)</f>
        <v>7500</v>
      </c>
      <c r="DV36" s="106">
        <f>+HLOOKUP($C36,PMGR!$BS$2:$CE$250,225,0)</f>
        <v>0</v>
      </c>
      <c r="DW36" s="106">
        <f>+HLOOKUP($C36,PMGR!$BS$2:$CE$250,227,0)</f>
        <v>0</v>
      </c>
      <c r="DX36" s="106">
        <f>+HLOOKUP($C36,PMGR!$BS$2:$CE$250,228,0)</f>
        <v>0</v>
      </c>
      <c r="DY36" s="106">
        <f>+HLOOKUP($C36,PMGR!$BS$2:$CE$250,236,0)</f>
        <v>259633.32599999997</v>
      </c>
      <c r="DZ36" s="106">
        <f>+HLOOKUP($C36,PMGR!$BS$2:$CE$250,237,0)</f>
        <v>32552.346885435527</v>
      </c>
      <c r="EA36" s="106">
        <f>+HLOOKUP($C36,PMGR!$BS$2:$CE$250,238,0)</f>
        <v>44667</v>
      </c>
      <c r="EB36" s="106">
        <f>+HLOOKUP($C36,PMGR!$BS$2:$CE$250,240,0)</f>
        <v>675475.61596874997</v>
      </c>
    </row>
    <row r="37" spans="1:132">
      <c r="A37" t="s">
        <v>269</v>
      </c>
      <c r="B37" t="s">
        <v>217</v>
      </c>
      <c r="C37" s="117">
        <v>45658</v>
      </c>
      <c r="D37" s="106">
        <f t="shared" si="0"/>
        <v>16582807.246082162</v>
      </c>
      <c r="E37" s="106">
        <f>+HLOOKUP(C37,PMGR!$BS$2:$CE$250,28,0)+HLOOKUP(C37,PMGR!$BS$2:$CE$250,43,0)+HLOOKUP(C37,PMGR!$BS$2:$CE$250,44,0)+HLOOKUP(C37,PMGR!$BS$2:$CE$250,45,0)+HLOOKUP(C37,PMGR!$BS$2:$CE$250,54,0)+HLOOKUP(C37,PMGR!$BS$2:$CE$250,59,0)</f>
        <v>16582807.246082162</v>
      </c>
      <c r="F37" s="106">
        <f>+HLOOKUP(C37,PMGR!$BS$2:$CE$250,37,0)+HLOOKUP(C37,PMGR!$BS$2:$CE$250,55,0)</f>
        <v>10977544.459401006</v>
      </c>
      <c r="G37" s="106">
        <f>+HLOOKUP($C37,PMGR!$BS$2:$CE$250,76,0)</f>
        <v>0</v>
      </c>
      <c r="H37" s="106">
        <f>+HLOOKUP($C37,PMGR!$BS$2:$CE$250,77,0)</f>
        <v>0</v>
      </c>
      <c r="I37" s="106">
        <f>+HLOOKUP($C37,PMGR!$BS$2:$CE$250,78,0)</f>
        <v>0</v>
      </c>
      <c r="J37" s="106">
        <f>+HLOOKUP($C37,PMGR!$BS$2:$CE$250,79,0)</f>
        <v>0</v>
      </c>
      <c r="K37" s="106">
        <f>+HLOOKUP($C37,PMGR!$BS$2:$CE$250,80,0)</f>
        <v>10000</v>
      </c>
      <c r="L37" s="106">
        <f>+HLOOKUP($C37,PMGR!$BS$2:$CE$250,81,0)</f>
        <v>0</v>
      </c>
      <c r="M37" s="106">
        <f>+HLOOKUP($C37,PMGR!$BS$2:$CE$250,82,0)</f>
        <v>0</v>
      </c>
      <c r="N37" s="106">
        <f>+HLOOKUP($C37,PMGR!$BS$2:$CE$250,83,0)</f>
        <v>0</v>
      </c>
      <c r="O37" s="106">
        <f>+HLOOKUP($C37,PMGR!$BS$2:$CE$250,84,0)</f>
        <v>0</v>
      </c>
      <c r="P37" s="106">
        <f>+HLOOKUP($C37,PMGR!$BS$2:$CE$250,85,0)</f>
        <v>0</v>
      </c>
      <c r="Q37" s="106">
        <f>+HLOOKUP($C37,PMGR!$BS$2:$CE$250,87,0)</f>
        <v>359046.93140000006</v>
      </c>
      <c r="R37" s="106">
        <f>+HLOOKUP($C37,PMGR!$BS$2:$CE$250,90,0)</f>
        <v>0</v>
      </c>
      <c r="S37" s="106">
        <f>+HLOOKUP($C37,PMGR!$BS$2:$CE$250,91,0)</f>
        <v>1000</v>
      </c>
      <c r="T37" s="106">
        <f>+HLOOKUP($C37,PMGR!$BS$2:$CE$250,92,0)</f>
        <v>0</v>
      </c>
      <c r="U37" s="106">
        <f>+HLOOKUP($C37,PMGR!$BS$2:$CE$250,93,0)</f>
        <v>0</v>
      </c>
      <c r="V37" s="106">
        <f>+HLOOKUP($C37,PMGR!$BS$2:$CE$250,94,0)</f>
        <v>0</v>
      </c>
      <c r="W37" s="106">
        <f>+HLOOKUP($C37,PMGR!$BS$2:$CE$250,95,0)</f>
        <v>0</v>
      </c>
      <c r="X37" s="106">
        <f>+HLOOKUP($C37,PMGR!$BS$2:$CE$250,96,0)</f>
        <v>0</v>
      </c>
      <c r="Y37" s="106">
        <f>+HLOOKUP($C37,PMGR!$BS$2:$CE$250,97,0)</f>
        <v>0</v>
      </c>
      <c r="Z37" s="106">
        <f>+HLOOKUP($C37,PMGR!$BS$2:$CE$250,98,0)</f>
        <v>0</v>
      </c>
      <c r="AA37" s="106">
        <f>+HLOOKUP($C37,PMGR!$BS$2:$CE$250,99,0)</f>
        <v>0</v>
      </c>
      <c r="AB37" s="106">
        <f>+HLOOKUP($C37,PMGR!$BS$2:$CE$250,100,0)</f>
        <v>0</v>
      </c>
      <c r="AC37" s="106">
        <f>+HLOOKUP($C37,PMGR!$BS$2:$CE$250,101,0)</f>
        <v>10000</v>
      </c>
      <c r="AD37" s="106">
        <f>+HLOOKUP($C37,PMGR!$BS$2:$CE$250,104,0)</f>
        <v>0</v>
      </c>
      <c r="AE37" s="106">
        <f>+HLOOKUP($C37,PMGR!$BS$2:$CE$250,105,0)</f>
        <v>52253.223000000005</v>
      </c>
      <c r="AF37" s="106">
        <f>+HLOOKUP($C37,PMGR!$BS$2:$CE$250,106,0)</f>
        <v>0</v>
      </c>
      <c r="AG37" s="106">
        <f>+HLOOKUP($C37,PMGR!$BS$2:$CE$250,107,0)</f>
        <v>0</v>
      </c>
      <c r="AH37" s="106">
        <f>+HLOOKUP($C37,PMGR!$BS$2:$CE$250,108,0)</f>
        <v>0</v>
      </c>
      <c r="AI37" s="106">
        <f>+HLOOKUP($C37,PMGR!$BS$2:$CE$250,109,0)</f>
        <v>0</v>
      </c>
      <c r="AJ37" s="106">
        <f>+HLOOKUP($C37,PMGR!$BS$2:$CE$250,110,0)</f>
        <v>0</v>
      </c>
      <c r="AK37" s="106">
        <f>+HLOOKUP($C37,PMGR!$BS$2:$CE$250,111,0)</f>
        <v>3876.2390880000016</v>
      </c>
      <c r="AL37" s="106">
        <f>+HLOOKUP($C37,PMGR!$BS$2:$CE$250,112,0)</f>
        <v>0</v>
      </c>
      <c r="AM37" s="106">
        <f>+HLOOKUP($C37,PMGR!$BS$2:$CE$250,116,0)</f>
        <v>591500</v>
      </c>
      <c r="AN37" s="106">
        <f>+HLOOKUP($C37,PMGR!$BS$2:$CE$250,117,0)</f>
        <v>90030</v>
      </c>
      <c r="AO37" s="106">
        <f>+HLOOKUP($C37,PMGR!$BS$2:$CE$250,118,0)</f>
        <v>1500</v>
      </c>
      <c r="AP37" s="106">
        <f>+HLOOKUP($C37,PMGR!$BS$2:$CE$250,119,0)</f>
        <v>205830</v>
      </c>
      <c r="AQ37" s="106">
        <f>+HLOOKUP($C37,PMGR!$BS$2:$CE$250,120,0)</f>
        <v>35100</v>
      </c>
      <c r="AR37" s="106">
        <f>+HLOOKUP($C37,PMGR!$BS$2:$CE$250,121,0)</f>
        <v>19050</v>
      </c>
      <c r="AS37" s="106">
        <f>+HLOOKUP($C37,PMGR!$BS$2:$CE$250,122,0)</f>
        <v>290490</v>
      </c>
      <c r="AT37" s="106">
        <f>+HLOOKUP($C37,PMGR!$BS$2:$CE$250,123,0)</f>
        <v>74658.494586180561</v>
      </c>
      <c r="AU37" s="106">
        <f>+HLOOKUP($C37,PMGR!$BS$2:$CE$250,124,0)</f>
        <v>6992</v>
      </c>
      <c r="AV37" s="106">
        <f>+HLOOKUP($C37,PMGR!$BS$2:$CE$250,125,0)</f>
        <v>122670</v>
      </c>
      <c r="AW37" s="106">
        <f>+HLOOKUP($C37,PMGR!$BS$2:$CE$250,126,0)</f>
        <v>28437.499999999996</v>
      </c>
      <c r="AX37" s="106">
        <f>+HLOOKUP($C37,PMGR!$BS$2:$CE$250,127,0)</f>
        <v>42233.333333333328</v>
      </c>
      <c r="AY37" s="106">
        <f>+HLOOKUP($C37,PMGR!$BS$2:$CE$250,129,0)</f>
        <v>0</v>
      </c>
      <c r="AZ37" s="106">
        <f>+HLOOKUP($C37,PMGR!$BS$2:$CE$250,130,0)</f>
        <v>0</v>
      </c>
      <c r="BA37" s="106">
        <f>+HLOOKUP($C37,PMGR!$BS$2:$CE$250,131,0)</f>
        <v>25000</v>
      </c>
      <c r="BB37" s="106">
        <f>+HLOOKUP($C37,PMGR!$BS$2:$CE$250,133,0)</f>
        <v>0</v>
      </c>
      <c r="BC37" s="106">
        <f>+HLOOKUP($C37,PMGR!$BS$2:$CE$250,134,0)</f>
        <v>95808.887266666672</v>
      </c>
      <c r="BD37" s="106">
        <f>+HLOOKUP($C37,PMGR!$BS$2:$CE$250,135,0)</f>
        <v>0</v>
      </c>
      <c r="BE37" s="106">
        <f>+HLOOKUP($C37,PMGR!$BS$2:$CE$250,136,0)</f>
        <v>0</v>
      </c>
      <c r="BF37" s="106">
        <f>+HLOOKUP($C37,PMGR!$BS$2:$CE$250,138,0)</f>
        <v>16000</v>
      </c>
      <c r="BG37" s="106">
        <f>+HLOOKUP($C37,PMGR!$BS$2:$CE$250,139,0)</f>
        <v>39596.021666666675</v>
      </c>
      <c r="BH37" s="106">
        <f>+HLOOKUP($C37,PMGR!$BS$2:$CE$250,140,0)</f>
        <v>29491.199999999997</v>
      </c>
      <c r="BI37" s="106">
        <f>+HLOOKUP($C37,PMGR!$BS$2:$CE$250,141,0)</f>
        <v>0</v>
      </c>
      <c r="BJ37" s="106">
        <f>+HLOOKUP($C37,PMGR!$BS$2:$CE$250,142,0)</f>
        <v>0</v>
      </c>
      <c r="BK37" s="106">
        <f>+HLOOKUP($C37,PMGR!$BS$2:$CE$250,143,0)</f>
        <v>49201.416666666664</v>
      </c>
      <c r="BL37" s="106">
        <f>+HLOOKUP($C37,PMGR!$BS$2:$CE$250,144,0)</f>
        <v>3989.5833333333335</v>
      </c>
      <c r="BM37" s="106">
        <f>+HLOOKUP($C37,PMGR!$BS$2:$CE$250,146,0)</f>
        <v>0</v>
      </c>
      <c r="BN37" s="106">
        <f>+HLOOKUP($C37,PMGR!$BS$2:$CE$250,147,0)</f>
        <v>59519.862500000003</v>
      </c>
      <c r="BO37" s="106">
        <f>+HLOOKUP($C37,PMGR!$BS$2:$CE$250,148,0)</f>
        <v>0</v>
      </c>
      <c r="BP37" s="106">
        <f>+HLOOKUP($C37,PMGR!$BS$2:$CE$250,150,0)</f>
        <v>48678.682499999995</v>
      </c>
      <c r="BQ37" s="106">
        <f>+HLOOKUP($C37,PMGR!$BS$2:$CE$250,151,0)</f>
        <v>9922</v>
      </c>
      <c r="BR37" s="106">
        <f>+HLOOKUP($C37,PMGR!$BS$2:$CE$250,152,0)</f>
        <v>19200</v>
      </c>
      <c r="BS37" s="106">
        <f>+HLOOKUP($C37,PMGR!$BS$2:$CE$250,153,0)</f>
        <v>3600</v>
      </c>
      <c r="BT37" s="106">
        <f>+HLOOKUP($C37,PMGR!$BS$2:$CE$250,157,0)</f>
        <v>10980</v>
      </c>
      <c r="BU37" s="106">
        <f>+HLOOKUP($C37,PMGR!$BS$2:$CE$250,158,0)</f>
        <v>2610</v>
      </c>
      <c r="BV37" s="106">
        <f>+HLOOKUP($C37,PMGR!$BS$2:$CE$250,159,0)</f>
        <v>999.72222222222217</v>
      </c>
      <c r="BW37" s="106">
        <f>+HLOOKUP($C37,PMGR!$BS$2:$CE$250,160,0)</f>
        <v>20995.000000000004</v>
      </c>
      <c r="BX37" s="106">
        <f>+HLOOKUP($C37,PMGR!$BS$2:$CE$250,161,0)</f>
        <v>10694.945750000001</v>
      </c>
      <c r="BY37" s="106">
        <f>+HLOOKUP($C37,PMGR!$BS$2:$CE$250,164,0)</f>
        <v>5800</v>
      </c>
      <c r="BZ37" s="106">
        <f>+HLOOKUP($C37,PMGR!$BS$2:$CE$250,165,0)</f>
        <v>38293.333333333336</v>
      </c>
      <c r="CA37" s="106">
        <f>+HLOOKUP($C37,PMGR!$BS$2:$CE$250,166,0)</f>
        <v>0</v>
      </c>
      <c r="CB37" s="106">
        <f>+HLOOKUP($C37,PMGR!$BS$2:$CE$250,167,0)</f>
        <v>172500</v>
      </c>
      <c r="CC37" s="106">
        <f>+HLOOKUP($C37,PMGR!$BS$2:$CE$250,168,0)</f>
        <v>0</v>
      </c>
      <c r="CD37" s="106">
        <f>+HLOOKUP($C37,PMGR!$BS$2:$CE$250,169,0)</f>
        <v>0</v>
      </c>
      <c r="CE37" s="106">
        <f>+HLOOKUP($C37,PMGR!$BS$2:$CE$250,170,0)</f>
        <v>0</v>
      </c>
      <c r="CF37" s="106">
        <f>+HLOOKUP($C37,PMGR!$BS$2:$CE$250,172,0)</f>
        <v>32700</v>
      </c>
      <c r="CG37" s="106">
        <f>+HLOOKUP($C37,PMGR!$BS$2:$CE$250,173,0)</f>
        <v>36000</v>
      </c>
      <c r="CH37" s="106">
        <f>+HLOOKUP($C37,PMGR!$BS$2:$CE$250,174,0)</f>
        <v>86400</v>
      </c>
      <c r="CI37" s="106">
        <f>+HLOOKUP($C37,PMGR!$BS$2:$CE$250,175,0)</f>
        <v>6690</v>
      </c>
      <c r="CJ37" s="106">
        <f>+HLOOKUP($C37,PMGR!$BS$2:$CE$250,176,0)</f>
        <v>7110</v>
      </c>
      <c r="CK37" s="106">
        <f>+HLOOKUP($C37,PMGR!$BS$2:$CE$250,178,0)</f>
        <v>94077.832145454551</v>
      </c>
      <c r="CL37" s="106">
        <f>+HLOOKUP($C37,PMGR!$BS$2:$CE$250,179,0)</f>
        <v>0</v>
      </c>
      <c r="CM37" s="106">
        <f>+HLOOKUP($C37,PMGR!$BS$2:$CE$250,180,0)</f>
        <v>0</v>
      </c>
      <c r="CN37" s="106">
        <f>+HLOOKUP($C37,PMGR!$BS$2:$CE$250,182,0)</f>
        <v>737.1</v>
      </c>
      <c r="CO37" s="106">
        <f>+HLOOKUP($C37,PMGR!$BS$2:$CE$250,183,0)</f>
        <v>13115.4</v>
      </c>
      <c r="CP37" s="106">
        <f>+HLOOKUP($C37,PMGR!$BS$2:$CE$250,184,0)</f>
        <v>6480</v>
      </c>
      <c r="CQ37" s="106">
        <f>+HLOOKUP($C37,PMGR!$BS$2:$CE$250,185,0)</f>
        <v>0</v>
      </c>
      <c r="CR37" s="106">
        <f>+HLOOKUP($C37,PMGR!$BS$2:$CE$250,187,0)</f>
        <v>3749.7599999999993</v>
      </c>
      <c r="CS37" s="106">
        <f>+HLOOKUP($C37,PMGR!$BS$2:$CE$250,188,0)</f>
        <v>4770</v>
      </c>
      <c r="CT37" s="106">
        <f>+HLOOKUP($C37,PMGR!$BS$2:$CE$250,189,0)</f>
        <v>3000.0599999999995</v>
      </c>
      <c r="CU37" s="106">
        <f>+HLOOKUP($C37,PMGR!$BS$2:$CE$250,190,0)</f>
        <v>3040.02</v>
      </c>
      <c r="CV37" s="106">
        <f>+HLOOKUP($C37,PMGR!$BS$2:$CE$250,191,0)</f>
        <v>0</v>
      </c>
      <c r="CW37" s="106">
        <f>+HLOOKUP($C37,PMGR!$BS$2:$CE$250,193,0)</f>
        <v>16684.3</v>
      </c>
      <c r="CX37" s="106">
        <f>+HLOOKUP($C37,PMGR!$BS$2:$CE$250,194,0)</f>
        <v>47.699999999999996</v>
      </c>
      <c r="CY37" s="106">
        <f>+HLOOKUP($C37,PMGR!$BS$2:$CE$250,195,0)</f>
        <v>0</v>
      </c>
      <c r="CZ37" s="106">
        <f>+HLOOKUP($C37,PMGR!$BS$2:$CE$250,196,0)</f>
        <v>0</v>
      </c>
      <c r="DA37" s="106">
        <f>+HLOOKUP($C37,PMGR!$BS$2:$CE$250,197,0)</f>
        <v>8755.1999999999989</v>
      </c>
      <c r="DB37" s="106">
        <f>+HLOOKUP($C37,PMGR!$BS$2:$CE$250,198,0)</f>
        <v>6066</v>
      </c>
      <c r="DC37" s="106">
        <f>+HLOOKUP($C37,PMGR!$BS$2:$CE$250,199,0)</f>
        <v>1296</v>
      </c>
      <c r="DD37" s="106">
        <f>+HLOOKUP($C37,PMGR!$BS$2:$CE$250,200,0)</f>
        <v>348</v>
      </c>
      <c r="DE37" s="106">
        <f>+HLOOKUP($C37,PMGR!$BS$2:$CE$250,201,0)</f>
        <v>89.1</v>
      </c>
      <c r="DF37" s="106">
        <f>+HLOOKUP($C37,PMGR!$BS$2:$CE$250,202,0)</f>
        <v>0</v>
      </c>
      <c r="DG37" s="106">
        <f>+HLOOKUP($C37,PMGR!$BS$2:$CE$250,203,0)</f>
        <v>0</v>
      </c>
      <c r="DH37" s="106">
        <f>+HLOOKUP($C37,PMGR!$BS$2:$CE$250,205,0)</f>
        <v>0</v>
      </c>
      <c r="DI37" s="106">
        <f>+HLOOKUP($C37,PMGR!$BS$2:$CE$250,206,0)</f>
        <v>6984</v>
      </c>
      <c r="DJ37" s="106">
        <f>+HLOOKUP($C37,PMGR!$BS$2:$CE$250,207,0)</f>
        <v>40263.243833333334</v>
      </c>
      <c r="DK37" s="106">
        <f>+HLOOKUP($C37,PMGR!$BS$2:$CE$250,209,0)</f>
        <v>0</v>
      </c>
      <c r="DL37" s="106">
        <f>+HLOOKUP($C37,PMGR!$BS$2:$CE$250,210,0)</f>
        <v>186159.15801000001</v>
      </c>
      <c r="DM37" s="106">
        <f>+HLOOKUP($C37,PMGR!$BS$2:$CE$250,211,0)</f>
        <v>0</v>
      </c>
      <c r="DN37" s="106">
        <f>+HLOOKUP($C37,PMGR!$BS$2:$CE$250,212,0)</f>
        <v>0</v>
      </c>
      <c r="DO37" s="106">
        <f>+HLOOKUP($C37,PMGR!$BS$2:$CE$250,214,0)</f>
        <v>0</v>
      </c>
      <c r="DP37" s="106">
        <f>+HLOOKUP($C37,PMGR!$BS$2:$CE$250,215,0)</f>
        <v>1080</v>
      </c>
      <c r="DQ37" s="106">
        <f>+HLOOKUP($C37,PMGR!$BS$2:$CE$250,219,0)</f>
        <v>0</v>
      </c>
      <c r="DR37" s="106">
        <f>+HLOOKUP($C37,PMGR!$BS$2:$CE$250,220,0)</f>
        <v>0</v>
      </c>
      <c r="DS37" s="106">
        <f>+HLOOKUP($C37,PMGR!$BS$2:$CE$250,221,0)</f>
        <v>0</v>
      </c>
      <c r="DT37" s="106">
        <f>+HLOOKUP($C37,PMGR!$BS$2:$CE$250,223,0)</f>
        <v>22500</v>
      </c>
      <c r="DU37" s="106">
        <f>+HLOOKUP($C37,PMGR!$BS$2:$CE$250,224,0)</f>
        <v>7500</v>
      </c>
      <c r="DV37" s="106">
        <f>+HLOOKUP($C37,PMGR!$BS$2:$CE$250,225,0)</f>
        <v>0</v>
      </c>
      <c r="DW37" s="106">
        <f>+HLOOKUP($C37,PMGR!$BS$2:$CE$250,227,0)</f>
        <v>0</v>
      </c>
      <c r="DX37" s="106">
        <f>+HLOOKUP($C37,PMGR!$BS$2:$CE$250,228,0)</f>
        <v>0</v>
      </c>
      <c r="DY37" s="106">
        <f>+HLOOKUP($C37,PMGR!$BS$2:$CE$250,236,0)</f>
        <v>265761.70199999993</v>
      </c>
      <c r="DZ37" s="106">
        <f>+HLOOKUP($C37,PMGR!$BS$2:$CE$250,237,0)</f>
        <v>36490.5995565747</v>
      </c>
      <c r="EA37" s="106">
        <f>+HLOOKUP($C37,PMGR!$BS$2:$CE$250,238,0)</f>
        <v>47290.2</v>
      </c>
      <c r="EB37" s="106">
        <f>+HLOOKUP($C37,PMGR!$BS$2:$CE$250,240,0)</f>
        <v>675475.61596874997</v>
      </c>
    </row>
    <row r="38" spans="1:132">
      <c r="A38" t="s">
        <v>271</v>
      </c>
      <c r="B38" t="s">
        <v>217</v>
      </c>
      <c r="C38" s="117">
        <v>45992</v>
      </c>
      <c r="D38" s="106">
        <f t="shared" si="0"/>
        <v>15074974.638546424</v>
      </c>
      <c r="E38" s="106">
        <f>+HLOOKUP(C38,PMGR!$DI$2:$DU$250,28,0)+HLOOKUP(C38,PMGR!$DI$2:$DU$250,43,0)+HLOOKUP(C38,PMGR!$DI$2:$DU$250,44,0)+HLOOKUP(C38,PMGR!$DI$2:$DU$250,45,0)+HLOOKUP(C38,PMGR!$DI$2:$DU$250,54,0)+HLOOKUP(C38,PMGR!$DI$2:$DU$250,59,0)</f>
        <v>15074974.638546424</v>
      </c>
      <c r="F38" s="106">
        <f>+HLOOKUP(C38,PMGR!$DI$2:$DU$250,37,0)+HLOOKUP(C38,PMGR!$DI$2:$DU$250,55,0)</f>
        <v>8490198.45334634</v>
      </c>
      <c r="G38" s="106">
        <f>+HLOOKUP($C38,PMGR!$DI$2:$DU$250,76,0)</f>
        <v>0</v>
      </c>
      <c r="H38" s="106">
        <f>+HLOOKUP($C38,PMGR!$DI$2:$DU$250,77,0)</f>
        <v>0</v>
      </c>
      <c r="I38" s="106">
        <f>+HLOOKUP($C38,PMGR!$DI$2:$DU$250,78,0)</f>
        <v>0</v>
      </c>
      <c r="J38" s="106">
        <f>+HLOOKUP($C38,PMGR!$DI$2:$DU$250,79,0)</f>
        <v>0</v>
      </c>
      <c r="K38" s="106">
        <f>+HLOOKUP($C38,PMGR!$DI$2:$DU$250,80,0)</f>
        <v>5000</v>
      </c>
      <c r="L38" s="106">
        <f>+HLOOKUP($C38,PMGR!$DI$2:$DU$250,81,0)</f>
        <v>0</v>
      </c>
      <c r="M38" s="106">
        <f>+HLOOKUP($C38,PMGR!$DI$2:$DU$250,82,0)</f>
        <v>0</v>
      </c>
      <c r="N38" s="106">
        <f>+HLOOKUP($C38,PMGR!$DI$2:$DU$250,83,0)</f>
        <v>0</v>
      </c>
      <c r="O38" s="106">
        <f>+HLOOKUP($C38,PMGR!$DI$2:$DU$250,84,0)</f>
        <v>0</v>
      </c>
      <c r="P38" s="106">
        <f>+HLOOKUP($C38,PMGR!$DI$2:$DU$250,85,0)</f>
        <v>0</v>
      </c>
      <c r="Q38" s="106">
        <f>+HLOOKUP($C38,PMGR!$DI$2:$DU$250,87,0)</f>
        <v>258399.00722000003</v>
      </c>
      <c r="R38" s="106">
        <f>+HLOOKUP($C38,PMGR!$DI$2:$DU$250,90,0)</f>
        <v>0</v>
      </c>
      <c r="S38" s="106">
        <f>+HLOOKUP($C38,PMGR!$DI$2:$DU$250,91,0)</f>
        <v>1250</v>
      </c>
      <c r="T38" s="106">
        <f>+HLOOKUP($C38,PMGR!$DI$2:$DU$250,92,0)</f>
        <v>0</v>
      </c>
      <c r="U38" s="106">
        <f>+HLOOKUP($C38,PMGR!$DI$2:$DU$250,93,0)</f>
        <v>0</v>
      </c>
      <c r="V38" s="106">
        <f>+HLOOKUP($C38,PMGR!$DI$2:$DU$250,94,0)</f>
        <v>0</v>
      </c>
      <c r="W38" s="106">
        <f>+HLOOKUP($C38,PMGR!$DI$2:$DU$250,95,0)</f>
        <v>0</v>
      </c>
      <c r="X38" s="106">
        <f>+HLOOKUP($C38,PMGR!$DI$2:$DU$250,96,0)</f>
        <v>0</v>
      </c>
      <c r="Y38" s="106">
        <f>+HLOOKUP($C38,PMGR!$DI$2:$DU$250,97,0)</f>
        <v>0</v>
      </c>
      <c r="Z38" s="106">
        <f>+HLOOKUP($C38,PMGR!$DI$2:$DU$250,98,0)</f>
        <v>0</v>
      </c>
      <c r="AA38" s="106">
        <f>+HLOOKUP($C38,PMGR!$DI$2:$DU$250,99,0)</f>
        <v>0</v>
      </c>
      <c r="AB38" s="106">
        <f>+HLOOKUP($C38,PMGR!$DI$2:$DU$250,100,0)</f>
        <v>0</v>
      </c>
      <c r="AC38" s="106">
        <f>+HLOOKUP($C38,PMGR!$DI$2:$DU$250,101,0)</f>
        <v>10000</v>
      </c>
      <c r="AD38" s="106">
        <f>+HLOOKUP($C38,PMGR!$DI$2:$DU$250,104,0)</f>
        <v>0</v>
      </c>
      <c r="AE38" s="106">
        <f>+HLOOKUP($C38,PMGR!$DI$2:$DU$250,105,0)</f>
        <v>41039.493219999997</v>
      </c>
      <c r="AF38" s="106">
        <f>+HLOOKUP($C38,PMGR!$DI$2:$DU$250,106,0)</f>
        <v>0</v>
      </c>
      <c r="AG38" s="106">
        <f>+HLOOKUP($C38,PMGR!$DI$2:$DU$250,107,0)</f>
        <v>0</v>
      </c>
      <c r="AH38" s="106">
        <f>+HLOOKUP($C38,PMGR!$DI$2:$DU$250,108,0)</f>
        <v>0</v>
      </c>
      <c r="AI38" s="106">
        <f>+HLOOKUP($C38,PMGR!$DI$2:$DU$250,109,0)</f>
        <v>0</v>
      </c>
      <c r="AJ38" s="106">
        <f>+HLOOKUP($C38,PMGR!$DI$2:$DU$250,110,0)</f>
        <v>0</v>
      </c>
      <c r="AK38" s="106">
        <f>+HLOOKUP($C38,PMGR!$DI$2:$DU$250,111,0)</f>
        <v>3014.5373201599996</v>
      </c>
      <c r="AL38" s="106">
        <f>+HLOOKUP($C38,PMGR!$DI$2:$DU$250,112,0)</f>
        <v>0</v>
      </c>
      <c r="AM38" s="106">
        <f>+HLOOKUP($C38,PMGR!$DI$2:$DU$250,116,0)</f>
        <v>306100</v>
      </c>
      <c r="AN38" s="106">
        <f>+HLOOKUP($C38,PMGR!$DI$2:$DU$250,117,0)</f>
        <v>49980</v>
      </c>
      <c r="AO38" s="106">
        <f>+HLOOKUP($C38,PMGR!$DI$2:$DU$250,118,0)</f>
        <v>3000</v>
      </c>
      <c r="AP38" s="106">
        <f>+HLOOKUP($C38,PMGR!$DI$2:$DU$250,119,0)</f>
        <v>113020</v>
      </c>
      <c r="AQ38" s="106">
        <f>+HLOOKUP($C38,PMGR!$DI$2:$DU$250,120,0)</f>
        <v>26500</v>
      </c>
      <c r="AR38" s="106">
        <f>+HLOOKUP($C38,PMGR!$DI$2:$DU$250,121,0)</f>
        <v>16000</v>
      </c>
      <c r="AS38" s="106">
        <f>+HLOOKUP($C38,PMGR!$DI$2:$DU$250,122,0)</f>
        <v>131250</v>
      </c>
      <c r="AT38" s="106">
        <f>+HLOOKUP($C38,PMGR!$DI$2:$DU$250,123,0)</f>
        <v>35293.217528472225</v>
      </c>
      <c r="AU38" s="106">
        <f>+HLOOKUP($C38,PMGR!$DI$2:$DU$250,124,0)</f>
        <v>3752.5</v>
      </c>
      <c r="AV38" s="106">
        <f>+HLOOKUP($C38,PMGR!$DI$2:$DU$250,125,0)</f>
        <v>23535</v>
      </c>
      <c r="AW38" s="106">
        <f>+HLOOKUP($C38,PMGR!$DI$2:$DU$250,126,0)</f>
        <v>14716.346153846156</v>
      </c>
      <c r="AX38" s="106">
        <f>+HLOOKUP($C38,PMGR!$DI$2:$DU$250,127,0)</f>
        <v>20216.666666666664</v>
      </c>
      <c r="AY38" s="106">
        <f>+HLOOKUP($C38,PMGR!$DI$2:$DU$250,129,0)</f>
        <v>0</v>
      </c>
      <c r="AZ38" s="106">
        <f>+HLOOKUP($C38,PMGR!$DI$2:$DU$250,130,0)</f>
        <v>0</v>
      </c>
      <c r="BA38" s="106">
        <f>+HLOOKUP($C38,PMGR!$DI$2:$DU$250,131,0)</f>
        <v>35000</v>
      </c>
      <c r="BB38" s="106">
        <f>+HLOOKUP($C38,PMGR!$DI$2:$DU$250,133,0)</f>
        <v>0</v>
      </c>
      <c r="BC38" s="106">
        <f>+HLOOKUP($C38,PMGR!$DI$2:$DU$250,134,0)</f>
        <v>29680.886966666669</v>
      </c>
      <c r="BD38" s="106">
        <f>+HLOOKUP($C38,PMGR!$DI$2:$DU$250,135,0)</f>
        <v>0</v>
      </c>
      <c r="BE38" s="106">
        <f>+HLOOKUP($C38,PMGR!$DI$2:$DU$250,136,0)</f>
        <v>0</v>
      </c>
      <c r="BF38" s="106">
        <f>+HLOOKUP($C38,PMGR!$DI$2:$DU$250,138,0)</f>
        <v>7150</v>
      </c>
      <c r="BG38" s="106">
        <f>+HLOOKUP($C38,PMGR!$DI$2:$DU$250,139,0)</f>
        <v>9280.9624166666672</v>
      </c>
      <c r="BH38" s="106">
        <f>+HLOOKUP($C38,PMGR!$DI$2:$DU$250,140,0)</f>
        <v>27000</v>
      </c>
      <c r="BI38" s="106">
        <f>+HLOOKUP($C38,PMGR!$DI$2:$DU$250,141,0)</f>
        <v>0</v>
      </c>
      <c r="BJ38" s="106">
        <f>+HLOOKUP($C38,PMGR!$DI$2:$DU$250,142,0)</f>
        <v>0</v>
      </c>
      <c r="BK38" s="106">
        <f>+HLOOKUP($C38,PMGR!$DI$2:$DU$250,143,0)</f>
        <v>14452.166666666666</v>
      </c>
      <c r="BL38" s="106">
        <f>+HLOOKUP($C38,PMGR!$DI$2:$DU$250,144,0)</f>
        <v>13729.166666666668</v>
      </c>
      <c r="BM38" s="106">
        <f>+HLOOKUP($C38,PMGR!$DI$2:$DU$250,146,0)</f>
        <v>0</v>
      </c>
      <c r="BN38" s="106">
        <f>+HLOOKUP($C38,PMGR!$DI$2:$DU$250,147,0)</f>
        <v>59554.775000000001</v>
      </c>
      <c r="BO38" s="106">
        <f>+HLOOKUP($C38,PMGR!$DI$2:$DU$250,148,0)</f>
        <v>0</v>
      </c>
      <c r="BP38" s="106">
        <f>+HLOOKUP($C38,PMGR!$DI$2:$DU$250,150,0)</f>
        <v>19331.760000000002</v>
      </c>
      <c r="BQ38" s="106">
        <f>+HLOOKUP($C38,PMGR!$DI$2:$DU$250,151,0)</f>
        <v>1488.3</v>
      </c>
      <c r="BR38" s="106">
        <f>+HLOOKUP($C38,PMGR!$DI$2:$DU$250,152,0)</f>
        <v>9600</v>
      </c>
      <c r="BS38" s="106">
        <f>+HLOOKUP($C38,PMGR!$DI$2:$DU$250,153,0)</f>
        <v>1800</v>
      </c>
      <c r="BT38" s="106">
        <f>+HLOOKUP($C38,PMGR!$DI$2:$DU$250,157,0)</f>
        <v>6360</v>
      </c>
      <c r="BU38" s="106">
        <f>+HLOOKUP($C38,PMGR!$DI$2:$DU$250,158,0)</f>
        <v>1305</v>
      </c>
      <c r="BV38" s="106">
        <f>+HLOOKUP($C38,PMGR!$DI$2:$DU$250,159,0)</f>
        <v>0</v>
      </c>
      <c r="BW38" s="106">
        <f>+HLOOKUP($C38,PMGR!$DI$2:$DU$250,160,0)</f>
        <v>6600</v>
      </c>
      <c r="BX38" s="106">
        <f>+HLOOKUP($C38,PMGR!$DI$2:$DU$250,161,0)</f>
        <v>4543.7497874999999</v>
      </c>
      <c r="BY38" s="106">
        <f>+HLOOKUP($C38,PMGR!$DI$2:$DU$250,164,0)</f>
        <v>1000</v>
      </c>
      <c r="BZ38" s="106">
        <f>+HLOOKUP($C38,PMGR!$DI$2:$DU$250,165,0)</f>
        <v>25626.666666666664</v>
      </c>
      <c r="CA38" s="106">
        <f>+HLOOKUP($C38,PMGR!$DI$2:$DU$250,166,0)</f>
        <v>0</v>
      </c>
      <c r="CB38" s="106">
        <f>+HLOOKUP($C38,PMGR!$DI$2:$DU$250,167,0)</f>
        <v>12500</v>
      </c>
      <c r="CC38" s="106">
        <f>+HLOOKUP($C38,PMGR!$DI$2:$DU$250,168,0)</f>
        <v>0</v>
      </c>
      <c r="CD38" s="106">
        <f>+HLOOKUP($C38,PMGR!$DI$2:$DU$250,169,0)</f>
        <v>0</v>
      </c>
      <c r="CE38" s="106">
        <f>+HLOOKUP($C38,PMGR!$DI$2:$DU$250,170,0)</f>
        <v>0</v>
      </c>
      <c r="CF38" s="106">
        <f>+HLOOKUP($C38,PMGR!$DI$2:$DU$250,172,0)</f>
        <v>10800</v>
      </c>
      <c r="CG38" s="106">
        <f>+HLOOKUP($C38,PMGR!$DI$2:$DU$250,173,0)</f>
        <v>10800</v>
      </c>
      <c r="CH38" s="106">
        <f>+HLOOKUP($C38,PMGR!$DI$2:$DU$250,174,0)</f>
        <v>57600</v>
      </c>
      <c r="CI38" s="106">
        <f>+HLOOKUP($C38,PMGR!$DI$2:$DU$250,175,0)</f>
        <v>4458</v>
      </c>
      <c r="CJ38" s="106">
        <f>+HLOOKUP($C38,PMGR!$DI$2:$DU$250,176,0)</f>
        <v>3555</v>
      </c>
      <c r="CK38" s="106">
        <f>+HLOOKUP($C38,PMGR!$DI$2:$DU$250,178,0)</f>
        <v>36000</v>
      </c>
      <c r="CL38" s="106">
        <f>+HLOOKUP($C38,PMGR!$DI$2:$DU$250,179,0)</f>
        <v>0</v>
      </c>
      <c r="CM38" s="106">
        <f>+HLOOKUP($C38,PMGR!$DI$2:$DU$250,180,0)</f>
        <v>8820</v>
      </c>
      <c r="CN38" s="106">
        <f>+HLOOKUP($C38,PMGR!$DI$2:$DU$250,182,0)</f>
        <v>368.55</v>
      </c>
      <c r="CO38" s="106">
        <f>+HLOOKUP($C38,PMGR!$DI$2:$DU$250,183,0)</f>
        <v>7035.3</v>
      </c>
      <c r="CP38" s="106">
        <f>+HLOOKUP($C38,PMGR!$DI$2:$DU$250,184,0)</f>
        <v>3240</v>
      </c>
      <c r="CQ38" s="106">
        <f>+HLOOKUP($C38,PMGR!$DI$2:$DU$250,185,0)</f>
        <v>0</v>
      </c>
      <c r="CR38" s="106">
        <f>+HLOOKUP($C38,PMGR!$DI$2:$DU$250,187,0)</f>
        <v>1874.8799999999997</v>
      </c>
      <c r="CS38" s="106">
        <f>+HLOOKUP($C38,PMGR!$DI$2:$DU$250,188,0)</f>
        <v>2385</v>
      </c>
      <c r="CT38" s="106">
        <f>+HLOOKUP($C38,PMGR!$DI$2:$DU$250,189,0)</f>
        <v>1500.0299999999997</v>
      </c>
      <c r="CU38" s="106">
        <f>+HLOOKUP($C38,PMGR!$DI$2:$DU$250,190,0)</f>
        <v>1520.01</v>
      </c>
      <c r="CV38" s="106">
        <f>+HLOOKUP($C38,PMGR!$DI$2:$DU$250,191,0)</f>
        <v>0</v>
      </c>
      <c r="CW38" s="106">
        <f>+HLOOKUP($C38,PMGR!$DI$2:$DU$250,193,0)</f>
        <v>3706.3</v>
      </c>
      <c r="CX38" s="106">
        <f>+HLOOKUP($C38,PMGR!$DI$2:$DU$250,194,0)</f>
        <v>355.1</v>
      </c>
      <c r="CY38" s="106">
        <f>+HLOOKUP($C38,PMGR!$DI$2:$DU$250,195,0)</f>
        <v>825.03539999999998</v>
      </c>
      <c r="CZ38" s="106">
        <f>+HLOOKUP($C38,PMGR!$DI$2:$DU$250,196,0)</f>
        <v>0</v>
      </c>
      <c r="DA38" s="106">
        <f>+HLOOKUP($C38,PMGR!$DI$2:$DU$250,197,0)</f>
        <v>9849.6</v>
      </c>
      <c r="DB38" s="106">
        <f>+HLOOKUP($C38,PMGR!$DI$2:$DU$250,198,0)</f>
        <v>3033</v>
      </c>
      <c r="DC38" s="106">
        <f>+HLOOKUP($C38,PMGR!$DI$2:$DU$250,199,0)</f>
        <v>648</v>
      </c>
      <c r="DD38" s="106">
        <f>+HLOOKUP($C38,PMGR!$DI$2:$DU$250,200,0)</f>
        <v>210</v>
      </c>
      <c r="DE38" s="106">
        <f>+HLOOKUP($C38,PMGR!$DI$2:$DU$250,201,0)</f>
        <v>44.55</v>
      </c>
      <c r="DF38" s="106">
        <f>+HLOOKUP($C38,PMGR!$DI$2:$DU$250,202,0)</f>
        <v>0</v>
      </c>
      <c r="DG38" s="106">
        <f>+HLOOKUP($C38,PMGR!$DI$2:$DU$250,203,0)</f>
        <v>0</v>
      </c>
      <c r="DH38" s="106">
        <f>+HLOOKUP($C38,PMGR!$DI$2:$DU$250,205,0)</f>
        <v>0</v>
      </c>
      <c r="DI38" s="106">
        <f>+HLOOKUP($C38,PMGR!$DI$2:$DU$250,206,0)</f>
        <v>2812.3733323636361</v>
      </c>
      <c r="DJ38" s="106">
        <f>+HLOOKUP($C38,PMGR!$DI$2:$DU$250,207,0)</f>
        <v>22524.125091666661</v>
      </c>
      <c r="DK38" s="106">
        <f>+HLOOKUP($C38,PMGR!$DI$2:$DU$250,209,0)</f>
        <v>0</v>
      </c>
      <c r="DL38" s="106">
        <f>+HLOOKUP($C38,PMGR!$DI$2:$DU$250,210,0)</f>
        <v>73705.260234375019</v>
      </c>
      <c r="DM38" s="106">
        <f>+HLOOKUP($C38,PMGR!$DI$2:$DU$250,211,0)</f>
        <v>0</v>
      </c>
      <c r="DN38" s="106">
        <f>+HLOOKUP($C38,PMGR!$DI$2:$DU$250,212,0)</f>
        <v>48000</v>
      </c>
      <c r="DO38" s="106">
        <f>+HLOOKUP($C38,PMGR!$DI$2:$DU$250,214,0)</f>
        <v>0</v>
      </c>
      <c r="DP38" s="106">
        <f>+HLOOKUP($C38,PMGR!$DI$2:$DU$250,215,0)</f>
        <v>540</v>
      </c>
      <c r="DQ38" s="106">
        <f>+HLOOKUP($C38,PMGR!$DI$2:$DU$250,219,0)</f>
        <v>0</v>
      </c>
      <c r="DR38" s="106">
        <f>+HLOOKUP($C38,PMGR!$DI$2:$DU$250,220,0)</f>
        <v>0</v>
      </c>
      <c r="DS38" s="106">
        <f>+HLOOKUP($C38,PMGR!$DI$2:$DU$250,221,0)</f>
        <v>0</v>
      </c>
      <c r="DT38" s="106">
        <f>+HLOOKUP($C38,PMGR!$DI$2:$DU$250,223,0)</f>
        <v>11250</v>
      </c>
      <c r="DU38" s="106">
        <f>+HLOOKUP($C38,PMGR!$DI$2:$DU$250,224,0)</f>
        <v>5000</v>
      </c>
      <c r="DV38" s="106">
        <f>+HLOOKUP($C38,PMGR!$DI$2:$DU$250,225,0)</f>
        <v>0</v>
      </c>
      <c r="DW38" s="106">
        <f>+HLOOKUP($C38,PMGR!$DI$2:$DU$250,227,0)</f>
        <v>0</v>
      </c>
      <c r="DX38" s="106">
        <f>+HLOOKUP($C38,PMGR!$DI$2:$DU$250,228,0)</f>
        <v>0</v>
      </c>
      <c r="DY38" s="106">
        <f>+HLOOKUP($C38,PMGR!$DI$2:$DU$250,236,0)</f>
        <v>130520.95999999999</v>
      </c>
      <c r="DZ38" s="106">
        <f>+HLOOKUP($C38,PMGR!$DI$2:$DU$250,237,0)</f>
        <v>90305.019418561351</v>
      </c>
      <c r="EA38" s="106">
        <f>+HLOOKUP($C38,PMGR!$DI$2:$DU$250,238,0)</f>
        <v>11574.400000000001</v>
      </c>
      <c r="EB38" s="106">
        <f>+HLOOKUP($C38,PMGR!$DI$2:$DU$250,240,0)</f>
        <v>241812.14353571442</v>
      </c>
    </row>
    <row r="39" spans="1:132">
      <c r="A39" t="s">
        <v>271</v>
      </c>
      <c r="B39" t="s">
        <v>217</v>
      </c>
      <c r="C39" s="117">
        <v>45962</v>
      </c>
      <c r="D39" s="106">
        <f t="shared" si="0"/>
        <v>11826187.377925012</v>
      </c>
      <c r="E39" s="106">
        <f>+HLOOKUP(C39,PMGR!$DI$2:$DU$250,28,0)+HLOOKUP(C39,PMGR!$DI$2:$DU$250,43,0)+HLOOKUP(C39,PMGR!$DI$2:$DU$250,44,0)+HLOOKUP(C39,PMGR!$DI$2:$DU$250,45,0)+HLOOKUP(C39,PMGR!$DI$2:$DU$250,54,0)+HLOOKUP(C39,PMGR!$DI$2:$DU$250,59,0)</f>
        <v>11826187.377925012</v>
      </c>
      <c r="F39" s="106">
        <f>+HLOOKUP(C39,PMGR!$DI$2:$DU$250,37,0)+HLOOKUP(C39,PMGR!$DI$2:$DU$250,55,0)</f>
        <v>7952579.93503334</v>
      </c>
      <c r="G39" s="106">
        <f>+HLOOKUP($C39,PMGR!$DI$2:$DU$250,76,0)</f>
        <v>0</v>
      </c>
      <c r="H39" s="106">
        <f>+HLOOKUP($C39,PMGR!$DI$2:$DU$250,77,0)</f>
        <v>0</v>
      </c>
      <c r="I39" s="106">
        <f>+HLOOKUP($C39,PMGR!$DI$2:$DU$250,78,0)</f>
        <v>0</v>
      </c>
      <c r="J39" s="106">
        <f>+HLOOKUP($C39,PMGR!$DI$2:$DU$250,79,0)</f>
        <v>0</v>
      </c>
      <c r="K39" s="106">
        <f>+HLOOKUP($C39,PMGR!$DI$2:$DU$250,80,0)</f>
        <v>5000</v>
      </c>
      <c r="L39" s="106">
        <f>+HLOOKUP($C39,PMGR!$DI$2:$DU$250,81,0)</f>
        <v>0</v>
      </c>
      <c r="M39" s="106">
        <f>+HLOOKUP($C39,PMGR!$DI$2:$DU$250,82,0)</f>
        <v>0</v>
      </c>
      <c r="N39" s="106">
        <f>+HLOOKUP($C39,PMGR!$DI$2:$DU$250,83,0)</f>
        <v>0</v>
      </c>
      <c r="O39" s="106">
        <f>+HLOOKUP($C39,PMGR!$DI$2:$DU$250,84,0)</f>
        <v>0</v>
      </c>
      <c r="P39" s="106">
        <f>+HLOOKUP($C39,PMGR!$DI$2:$DU$250,85,0)</f>
        <v>0</v>
      </c>
      <c r="Q39" s="106">
        <f>+HLOOKUP($C39,PMGR!$DI$2:$DU$250,87,0)</f>
        <v>240509.72168000002</v>
      </c>
      <c r="R39" s="106">
        <f>+HLOOKUP($C39,PMGR!$DI$2:$DU$250,90,0)</f>
        <v>0</v>
      </c>
      <c r="S39" s="106">
        <f>+HLOOKUP($C39,PMGR!$DI$2:$DU$250,91,0)</f>
        <v>1250</v>
      </c>
      <c r="T39" s="106">
        <f>+HLOOKUP($C39,PMGR!$DI$2:$DU$250,92,0)</f>
        <v>0</v>
      </c>
      <c r="U39" s="106">
        <f>+HLOOKUP($C39,PMGR!$DI$2:$DU$250,93,0)</f>
        <v>0</v>
      </c>
      <c r="V39" s="106">
        <f>+HLOOKUP($C39,PMGR!$DI$2:$DU$250,94,0)</f>
        <v>0</v>
      </c>
      <c r="W39" s="106">
        <f>+HLOOKUP($C39,PMGR!$DI$2:$DU$250,95,0)</f>
        <v>0</v>
      </c>
      <c r="X39" s="106">
        <f>+HLOOKUP($C39,PMGR!$DI$2:$DU$250,96,0)</f>
        <v>0</v>
      </c>
      <c r="Y39" s="106">
        <f>+HLOOKUP($C39,PMGR!$DI$2:$DU$250,97,0)</f>
        <v>0</v>
      </c>
      <c r="Z39" s="106">
        <f>+HLOOKUP($C39,PMGR!$DI$2:$DU$250,98,0)</f>
        <v>0</v>
      </c>
      <c r="AA39" s="106">
        <f>+HLOOKUP($C39,PMGR!$DI$2:$DU$250,99,0)</f>
        <v>0</v>
      </c>
      <c r="AB39" s="106">
        <f>+HLOOKUP($C39,PMGR!$DI$2:$DU$250,100,0)</f>
        <v>0</v>
      </c>
      <c r="AC39" s="106">
        <f>+HLOOKUP($C39,PMGR!$DI$2:$DU$250,101,0)</f>
        <v>10000</v>
      </c>
      <c r="AD39" s="106">
        <f>+HLOOKUP($C39,PMGR!$DI$2:$DU$250,104,0)</f>
        <v>0</v>
      </c>
      <c r="AE39" s="106">
        <f>+HLOOKUP($C39,PMGR!$DI$2:$DU$250,105,0)</f>
        <v>38228.045680000003</v>
      </c>
      <c r="AF39" s="106">
        <f>+HLOOKUP($C39,PMGR!$DI$2:$DU$250,106,0)</f>
        <v>0</v>
      </c>
      <c r="AG39" s="106">
        <f>+HLOOKUP($C39,PMGR!$DI$2:$DU$250,107,0)</f>
        <v>0</v>
      </c>
      <c r="AH39" s="106">
        <f>+HLOOKUP($C39,PMGR!$DI$2:$DU$250,108,0)</f>
        <v>0</v>
      </c>
      <c r="AI39" s="106">
        <f>+HLOOKUP($C39,PMGR!$DI$2:$DU$250,109,0)</f>
        <v>0</v>
      </c>
      <c r="AJ39" s="106">
        <f>+HLOOKUP($C39,PMGR!$DI$2:$DU$250,110,0)</f>
        <v>0</v>
      </c>
      <c r="AK39" s="106">
        <f>+HLOOKUP($C39,PMGR!$DI$2:$DU$250,111,0)</f>
        <v>2808.0237190400003</v>
      </c>
      <c r="AL39" s="106">
        <f>+HLOOKUP($C39,PMGR!$DI$2:$DU$250,112,0)</f>
        <v>0</v>
      </c>
      <c r="AM39" s="106">
        <f>+HLOOKUP($C39,PMGR!$DI$2:$DU$250,116,0)</f>
        <v>306100</v>
      </c>
      <c r="AN39" s="106">
        <f>+HLOOKUP($C39,PMGR!$DI$2:$DU$250,117,0)</f>
        <v>49980</v>
      </c>
      <c r="AO39" s="106">
        <f>+HLOOKUP($C39,PMGR!$DI$2:$DU$250,118,0)</f>
        <v>3000</v>
      </c>
      <c r="AP39" s="106">
        <f>+HLOOKUP($C39,PMGR!$DI$2:$DU$250,119,0)</f>
        <v>113020</v>
      </c>
      <c r="AQ39" s="106">
        <f>+HLOOKUP($C39,PMGR!$DI$2:$DU$250,120,0)</f>
        <v>26500</v>
      </c>
      <c r="AR39" s="106">
        <f>+HLOOKUP($C39,PMGR!$DI$2:$DU$250,121,0)</f>
        <v>16000</v>
      </c>
      <c r="AS39" s="106">
        <f>+HLOOKUP($C39,PMGR!$DI$2:$DU$250,122,0)</f>
        <v>131250</v>
      </c>
      <c r="AT39" s="106">
        <f>+HLOOKUP($C39,PMGR!$DI$2:$DU$250,123,0)</f>
        <v>35293.217528472225</v>
      </c>
      <c r="AU39" s="106">
        <f>+HLOOKUP($C39,PMGR!$DI$2:$DU$250,124,0)</f>
        <v>3752.5</v>
      </c>
      <c r="AV39" s="106">
        <f>+HLOOKUP($C39,PMGR!$DI$2:$DU$250,125,0)</f>
        <v>23535</v>
      </c>
      <c r="AW39" s="106">
        <f>+HLOOKUP($C39,PMGR!$DI$2:$DU$250,126,0)</f>
        <v>14716.346153846156</v>
      </c>
      <c r="AX39" s="106">
        <f>+HLOOKUP($C39,PMGR!$DI$2:$DU$250,127,0)</f>
        <v>20216.666666666664</v>
      </c>
      <c r="AY39" s="106">
        <f>+HLOOKUP($C39,PMGR!$DI$2:$DU$250,129,0)</f>
        <v>0</v>
      </c>
      <c r="AZ39" s="106">
        <f>+HLOOKUP($C39,PMGR!$DI$2:$DU$250,130,0)</f>
        <v>0</v>
      </c>
      <c r="BA39" s="106">
        <f>+HLOOKUP($C39,PMGR!$DI$2:$DU$250,131,0)</f>
        <v>35000</v>
      </c>
      <c r="BB39" s="106">
        <f>+HLOOKUP($C39,PMGR!$DI$2:$DU$250,133,0)</f>
        <v>0</v>
      </c>
      <c r="BC39" s="106">
        <f>+HLOOKUP($C39,PMGR!$DI$2:$DU$250,134,0)</f>
        <v>29680.886966666669</v>
      </c>
      <c r="BD39" s="106">
        <f>+HLOOKUP($C39,PMGR!$DI$2:$DU$250,135,0)</f>
        <v>0</v>
      </c>
      <c r="BE39" s="106">
        <f>+HLOOKUP($C39,PMGR!$DI$2:$DU$250,136,0)</f>
        <v>0</v>
      </c>
      <c r="BF39" s="106">
        <f>+HLOOKUP($C39,PMGR!$DI$2:$DU$250,138,0)</f>
        <v>7150</v>
      </c>
      <c r="BG39" s="106">
        <f>+HLOOKUP($C39,PMGR!$DI$2:$DU$250,139,0)</f>
        <v>9280.9624166666672</v>
      </c>
      <c r="BH39" s="106">
        <f>+HLOOKUP($C39,PMGR!$DI$2:$DU$250,140,0)</f>
        <v>27000</v>
      </c>
      <c r="BI39" s="106">
        <f>+HLOOKUP($C39,PMGR!$DI$2:$DU$250,141,0)</f>
        <v>0</v>
      </c>
      <c r="BJ39" s="106">
        <f>+HLOOKUP($C39,PMGR!$DI$2:$DU$250,142,0)</f>
        <v>0</v>
      </c>
      <c r="BK39" s="106">
        <f>+HLOOKUP($C39,PMGR!$DI$2:$DU$250,143,0)</f>
        <v>14452.166666666666</v>
      </c>
      <c r="BL39" s="106">
        <f>+HLOOKUP($C39,PMGR!$DI$2:$DU$250,144,0)</f>
        <v>2145.8333333333335</v>
      </c>
      <c r="BM39" s="106">
        <f>+HLOOKUP($C39,PMGR!$DI$2:$DU$250,146,0)</f>
        <v>0</v>
      </c>
      <c r="BN39" s="106">
        <f>+HLOOKUP($C39,PMGR!$DI$2:$DU$250,147,0)</f>
        <v>59554.775000000001</v>
      </c>
      <c r="BO39" s="106">
        <f>+HLOOKUP($C39,PMGR!$DI$2:$DU$250,148,0)</f>
        <v>0</v>
      </c>
      <c r="BP39" s="106">
        <f>+HLOOKUP($C39,PMGR!$DI$2:$DU$250,150,0)</f>
        <v>19331.760000000002</v>
      </c>
      <c r="BQ39" s="106">
        <f>+HLOOKUP($C39,PMGR!$DI$2:$DU$250,151,0)</f>
        <v>1488.3</v>
      </c>
      <c r="BR39" s="106">
        <f>+HLOOKUP($C39,PMGR!$DI$2:$DU$250,152,0)</f>
        <v>9600</v>
      </c>
      <c r="BS39" s="106">
        <f>+HLOOKUP($C39,PMGR!$DI$2:$DU$250,153,0)</f>
        <v>1800</v>
      </c>
      <c r="BT39" s="106">
        <f>+HLOOKUP($C39,PMGR!$DI$2:$DU$250,157,0)</f>
        <v>6360</v>
      </c>
      <c r="BU39" s="106">
        <f>+HLOOKUP($C39,PMGR!$DI$2:$DU$250,158,0)</f>
        <v>1305</v>
      </c>
      <c r="BV39" s="106">
        <f>+HLOOKUP($C39,PMGR!$DI$2:$DU$250,159,0)</f>
        <v>0</v>
      </c>
      <c r="BW39" s="106">
        <f>+HLOOKUP($C39,PMGR!$DI$2:$DU$250,160,0)</f>
        <v>6600</v>
      </c>
      <c r="BX39" s="106">
        <f>+HLOOKUP($C39,PMGR!$DI$2:$DU$250,161,0)</f>
        <v>4543.7497874999999</v>
      </c>
      <c r="BY39" s="106">
        <f>+HLOOKUP($C39,PMGR!$DI$2:$DU$250,164,0)</f>
        <v>1000</v>
      </c>
      <c r="BZ39" s="106">
        <f>+HLOOKUP($C39,PMGR!$DI$2:$DU$250,165,0)</f>
        <v>25626.666666666664</v>
      </c>
      <c r="CA39" s="106">
        <f>+HLOOKUP($C39,PMGR!$DI$2:$DU$250,166,0)</f>
        <v>0</v>
      </c>
      <c r="CB39" s="106">
        <f>+HLOOKUP($C39,PMGR!$DI$2:$DU$250,167,0)</f>
        <v>12500</v>
      </c>
      <c r="CC39" s="106">
        <f>+HLOOKUP($C39,PMGR!$DI$2:$DU$250,168,0)</f>
        <v>0</v>
      </c>
      <c r="CD39" s="106">
        <f>+HLOOKUP($C39,PMGR!$DI$2:$DU$250,169,0)</f>
        <v>0</v>
      </c>
      <c r="CE39" s="106">
        <f>+HLOOKUP($C39,PMGR!$DI$2:$DU$250,170,0)</f>
        <v>0</v>
      </c>
      <c r="CF39" s="106">
        <f>+HLOOKUP($C39,PMGR!$DI$2:$DU$250,172,0)</f>
        <v>10800</v>
      </c>
      <c r="CG39" s="106">
        <f>+HLOOKUP($C39,PMGR!$DI$2:$DU$250,173,0)</f>
        <v>10800</v>
      </c>
      <c r="CH39" s="106">
        <f>+HLOOKUP($C39,PMGR!$DI$2:$DU$250,174,0)</f>
        <v>57600</v>
      </c>
      <c r="CI39" s="106">
        <f>+HLOOKUP($C39,PMGR!$DI$2:$DU$250,175,0)</f>
        <v>4458</v>
      </c>
      <c r="CJ39" s="106">
        <f>+HLOOKUP($C39,PMGR!$DI$2:$DU$250,176,0)</f>
        <v>3555</v>
      </c>
      <c r="CK39" s="106">
        <f>+HLOOKUP($C39,PMGR!$DI$2:$DU$250,178,0)</f>
        <v>36000</v>
      </c>
      <c r="CL39" s="106">
        <f>+HLOOKUP($C39,PMGR!$DI$2:$DU$250,179,0)</f>
        <v>0</v>
      </c>
      <c r="CM39" s="106">
        <f>+HLOOKUP($C39,PMGR!$DI$2:$DU$250,180,0)</f>
        <v>8820</v>
      </c>
      <c r="CN39" s="106">
        <f>+HLOOKUP($C39,PMGR!$DI$2:$DU$250,182,0)</f>
        <v>368.55</v>
      </c>
      <c r="CO39" s="106">
        <f>+HLOOKUP($C39,PMGR!$DI$2:$DU$250,183,0)</f>
        <v>7035.3</v>
      </c>
      <c r="CP39" s="106">
        <f>+HLOOKUP($C39,PMGR!$DI$2:$DU$250,184,0)</f>
        <v>3240</v>
      </c>
      <c r="CQ39" s="106">
        <f>+HLOOKUP($C39,PMGR!$DI$2:$DU$250,185,0)</f>
        <v>0</v>
      </c>
      <c r="CR39" s="106">
        <f>+HLOOKUP($C39,PMGR!$DI$2:$DU$250,187,0)</f>
        <v>1874.8799999999997</v>
      </c>
      <c r="CS39" s="106">
        <f>+HLOOKUP($C39,PMGR!$DI$2:$DU$250,188,0)</f>
        <v>2385</v>
      </c>
      <c r="CT39" s="106">
        <f>+HLOOKUP($C39,PMGR!$DI$2:$DU$250,189,0)</f>
        <v>1500.0299999999997</v>
      </c>
      <c r="CU39" s="106">
        <f>+HLOOKUP($C39,PMGR!$DI$2:$DU$250,190,0)</f>
        <v>1520.01</v>
      </c>
      <c r="CV39" s="106">
        <f>+HLOOKUP($C39,PMGR!$DI$2:$DU$250,191,0)</f>
        <v>0</v>
      </c>
      <c r="CW39" s="106">
        <f>+HLOOKUP($C39,PMGR!$DI$2:$DU$250,193,0)</f>
        <v>3706.3</v>
      </c>
      <c r="CX39" s="106">
        <f>+HLOOKUP($C39,PMGR!$DI$2:$DU$250,194,0)</f>
        <v>355.1</v>
      </c>
      <c r="CY39" s="106">
        <f>+HLOOKUP($C39,PMGR!$DI$2:$DU$250,195,0)</f>
        <v>825.03539999999998</v>
      </c>
      <c r="CZ39" s="106">
        <f>+HLOOKUP($C39,PMGR!$DI$2:$DU$250,196,0)</f>
        <v>0</v>
      </c>
      <c r="DA39" s="106">
        <f>+HLOOKUP($C39,PMGR!$DI$2:$DU$250,197,0)</f>
        <v>9849.6</v>
      </c>
      <c r="DB39" s="106">
        <f>+HLOOKUP($C39,PMGR!$DI$2:$DU$250,198,0)</f>
        <v>3033</v>
      </c>
      <c r="DC39" s="106">
        <f>+HLOOKUP($C39,PMGR!$DI$2:$DU$250,199,0)</f>
        <v>648</v>
      </c>
      <c r="DD39" s="106">
        <f>+HLOOKUP($C39,PMGR!$DI$2:$DU$250,200,0)</f>
        <v>210</v>
      </c>
      <c r="DE39" s="106">
        <f>+HLOOKUP($C39,PMGR!$DI$2:$DU$250,201,0)</f>
        <v>44.55</v>
      </c>
      <c r="DF39" s="106">
        <f>+HLOOKUP($C39,PMGR!$DI$2:$DU$250,202,0)</f>
        <v>0</v>
      </c>
      <c r="DG39" s="106">
        <f>+HLOOKUP($C39,PMGR!$DI$2:$DU$250,203,0)</f>
        <v>0</v>
      </c>
      <c r="DH39" s="106">
        <f>+HLOOKUP($C39,PMGR!$DI$2:$DU$250,205,0)</f>
        <v>0</v>
      </c>
      <c r="DI39" s="106">
        <f>+HLOOKUP($C39,PMGR!$DI$2:$DU$250,206,0)</f>
        <v>2812.3733323636361</v>
      </c>
      <c r="DJ39" s="106">
        <f>+HLOOKUP($C39,PMGR!$DI$2:$DU$250,207,0)</f>
        <v>22524.125091666661</v>
      </c>
      <c r="DK39" s="106">
        <f>+HLOOKUP($C39,PMGR!$DI$2:$DU$250,209,0)</f>
        <v>0</v>
      </c>
      <c r="DL39" s="106">
        <f>+HLOOKUP($C39,PMGR!$DI$2:$DU$250,210,0)</f>
        <v>73705.260234375019</v>
      </c>
      <c r="DM39" s="106">
        <f>+HLOOKUP($C39,PMGR!$DI$2:$DU$250,211,0)</f>
        <v>0</v>
      </c>
      <c r="DN39" s="106">
        <f>+HLOOKUP($C39,PMGR!$DI$2:$DU$250,212,0)</f>
        <v>48000</v>
      </c>
      <c r="DO39" s="106">
        <f>+HLOOKUP($C39,PMGR!$DI$2:$DU$250,214,0)</f>
        <v>0</v>
      </c>
      <c r="DP39" s="106">
        <f>+HLOOKUP($C39,PMGR!$DI$2:$DU$250,215,0)</f>
        <v>540</v>
      </c>
      <c r="DQ39" s="106">
        <f>+HLOOKUP($C39,PMGR!$DI$2:$DU$250,219,0)</f>
        <v>0</v>
      </c>
      <c r="DR39" s="106">
        <f>+HLOOKUP($C39,PMGR!$DI$2:$DU$250,220,0)</f>
        <v>0</v>
      </c>
      <c r="DS39" s="106">
        <f>+HLOOKUP($C39,PMGR!$DI$2:$DU$250,221,0)</f>
        <v>0</v>
      </c>
      <c r="DT39" s="106">
        <f>+HLOOKUP($C39,PMGR!$DI$2:$DU$250,223,0)</f>
        <v>11250</v>
      </c>
      <c r="DU39" s="106">
        <f>+HLOOKUP($C39,PMGR!$DI$2:$DU$250,224,0)</f>
        <v>5000</v>
      </c>
      <c r="DV39" s="106">
        <f>+HLOOKUP($C39,PMGR!$DI$2:$DU$250,225,0)</f>
        <v>0</v>
      </c>
      <c r="DW39" s="106">
        <f>+HLOOKUP($C39,PMGR!$DI$2:$DU$250,227,0)</f>
        <v>0</v>
      </c>
      <c r="DX39" s="106">
        <f>+HLOOKUP($C39,PMGR!$DI$2:$DU$250,228,0)</f>
        <v>0</v>
      </c>
      <c r="DY39" s="106">
        <f>+HLOOKUP($C39,PMGR!$DI$2:$DU$250,236,0)</f>
        <v>134921.34000000003</v>
      </c>
      <c r="DZ39" s="106">
        <f>+HLOOKUP($C39,PMGR!$DI$2:$DU$250,237,0)</f>
        <v>88640.41073372848</v>
      </c>
      <c r="EA39" s="106">
        <f>+HLOOKUP($C39,PMGR!$DI$2:$DU$250,238,0)</f>
        <v>13454.800000000001</v>
      </c>
      <c r="EB39" s="106">
        <f>+HLOOKUP($C39,PMGR!$DI$2:$DU$250,240,0)</f>
        <v>241812.14353571442</v>
      </c>
    </row>
    <row r="40" spans="1:132">
      <c r="A40" t="s">
        <v>271</v>
      </c>
      <c r="B40" t="s">
        <v>217</v>
      </c>
      <c r="C40" s="117">
        <v>45931</v>
      </c>
      <c r="D40" s="106">
        <f t="shared" si="0"/>
        <v>10712545.009841062</v>
      </c>
      <c r="E40" s="106">
        <f>+HLOOKUP(C40,PMGR!$DI$2:$DU$250,28,0)+HLOOKUP(C40,PMGR!$DI$2:$DU$250,43,0)+HLOOKUP(C40,PMGR!$DI$2:$DU$250,44,0)+HLOOKUP(C40,PMGR!$DI$2:$DU$250,45,0)+HLOOKUP(C40,PMGR!$DI$2:$DU$250,54,0)+HLOOKUP(C40,PMGR!$DI$2:$DU$250,59,0)</f>
        <v>10712545.009841062</v>
      </c>
      <c r="F40" s="106">
        <f>+HLOOKUP(C40,PMGR!$DI$2:$DU$250,37,0)+HLOOKUP(C40,PMGR!$DI$2:$DU$250,55,0)</f>
        <v>7225544.9704323402</v>
      </c>
      <c r="G40" s="106">
        <f>+HLOOKUP($C40,PMGR!$DI$2:$DU$250,76,0)</f>
        <v>0</v>
      </c>
      <c r="H40" s="106">
        <f>+HLOOKUP($C40,PMGR!$DI$2:$DU$250,77,0)</f>
        <v>0</v>
      </c>
      <c r="I40" s="106">
        <f>+HLOOKUP($C40,PMGR!$DI$2:$DU$250,78,0)</f>
        <v>0</v>
      </c>
      <c r="J40" s="106">
        <f>+HLOOKUP($C40,PMGR!$DI$2:$DU$250,79,0)</f>
        <v>0</v>
      </c>
      <c r="K40" s="106">
        <f>+HLOOKUP($C40,PMGR!$DI$2:$DU$250,80,0)</f>
        <v>5000</v>
      </c>
      <c r="L40" s="106">
        <f>+HLOOKUP($C40,PMGR!$DI$2:$DU$250,81,0)</f>
        <v>0</v>
      </c>
      <c r="M40" s="106">
        <f>+HLOOKUP($C40,PMGR!$DI$2:$DU$250,82,0)</f>
        <v>0</v>
      </c>
      <c r="N40" s="106">
        <f>+HLOOKUP($C40,PMGR!$DI$2:$DU$250,83,0)</f>
        <v>0</v>
      </c>
      <c r="O40" s="106">
        <f>+HLOOKUP($C40,PMGR!$DI$2:$DU$250,84,0)</f>
        <v>0</v>
      </c>
      <c r="P40" s="106">
        <f>+HLOOKUP($C40,PMGR!$DI$2:$DU$250,85,0)</f>
        <v>0</v>
      </c>
      <c r="Q40" s="106">
        <f>+HLOOKUP($C40,PMGR!$DI$2:$DU$250,87,0)</f>
        <v>217452.77709999998</v>
      </c>
      <c r="R40" s="106">
        <f>+HLOOKUP($C40,PMGR!$DI$2:$DU$250,90,0)</f>
        <v>0</v>
      </c>
      <c r="S40" s="106">
        <f>+HLOOKUP($C40,PMGR!$DI$2:$DU$250,91,0)</f>
        <v>1250</v>
      </c>
      <c r="T40" s="106">
        <f>+HLOOKUP($C40,PMGR!$DI$2:$DU$250,92,0)</f>
        <v>0</v>
      </c>
      <c r="U40" s="106">
        <f>+HLOOKUP($C40,PMGR!$DI$2:$DU$250,93,0)</f>
        <v>0</v>
      </c>
      <c r="V40" s="106">
        <f>+HLOOKUP($C40,PMGR!$DI$2:$DU$250,94,0)</f>
        <v>0</v>
      </c>
      <c r="W40" s="106">
        <f>+HLOOKUP($C40,PMGR!$DI$2:$DU$250,95,0)</f>
        <v>0</v>
      </c>
      <c r="X40" s="106">
        <f>+HLOOKUP($C40,PMGR!$DI$2:$DU$250,96,0)</f>
        <v>0</v>
      </c>
      <c r="Y40" s="106">
        <f>+HLOOKUP($C40,PMGR!$DI$2:$DU$250,97,0)</f>
        <v>0</v>
      </c>
      <c r="Z40" s="106">
        <f>+HLOOKUP($C40,PMGR!$DI$2:$DU$250,98,0)</f>
        <v>0</v>
      </c>
      <c r="AA40" s="106">
        <f>+HLOOKUP($C40,PMGR!$DI$2:$DU$250,99,0)</f>
        <v>0</v>
      </c>
      <c r="AB40" s="106">
        <f>+HLOOKUP($C40,PMGR!$DI$2:$DU$250,100,0)</f>
        <v>0</v>
      </c>
      <c r="AC40" s="106">
        <f>+HLOOKUP($C40,PMGR!$DI$2:$DU$250,101,0)</f>
        <v>10000</v>
      </c>
      <c r="AD40" s="106">
        <f>+HLOOKUP($C40,PMGR!$DI$2:$DU$250,104,0)</f>
        <v>0</v>
      </c>
      <c r="AE40" s="106">
        <f>+HLOOKUP($C40,PMGR!$DI$2:$DU$250,105,0)</f>
        <v>34518.463100000001</v>
      </c>
      <c r="AF40" s="106">
        <f>+HLOOKUP($C40,PMGR!$DI$2:$DU$250,106,0)</f>
        <v>0</v>
      </c>
      <c r="AG40" s="106">
        <f>+HLOOKUP($C40,PMGR!$DI$2:$DU$250,107,0)</f>
        <v>0</v>
      </c>
      <c r="AH40" s="106">
        <f>+HLOOKUP($C40,PMGR!$DI$2:$DU$250,108,0)</f>
        <v>0</v>
      </c>
      <c r="AI40" s="106">
        <f>+HLOOKUP($C40,PMGR!$DI$2:$DU$250,109,0)</f>
        <v>0</v>
      </c>
      <c r="AJ40" s="106">
        <f>+HLOOKUP($C40,PMGR!$DI$2:$DU$250,110,0)</f>
        <v>0</v>
      </c>
      <c r="AK40" s="106">
        <f>+HLOOKUP($C40,PMGR!$DI$2:$DU$250,111,0)</f>
        <v>2535.5380168000006</v>
      </c>
      <c r="AL40" s="106">
        <f>+HLOOKUP($C40,PMGR!$DI$2:$DU$250,112,0)</f>
        <v>0</v>
      </c>
      <c r="AM40" s="106">
        <f>+HLOOKUP($C40,PMGR!$DI$2:$DU$250,116,0)</f>
        <v>306100</v>
      </c>
      <c r="AN40" s="106">
        <f>+HLOOKUP($C40,PMGR!$DI$2:$DU$250,117,0)</f>
        <v>49980</v>
      </c>
      <c r="AO40" s="106">
        <f>+HLOOKUP($C40,PMGR!$DI$2:$DU$250,118,0)</f>
        <v>3000</v>
      </c>
      <c r="AP40" s="106">
        <f>+HLOOKUP($C40,PMGR!$DI$2:$DU$250,119,0)</f>
        <v>113020</v>
      </c>
      <c r="AQ40" s="106">
        <f>+HLOOKUP($C40,PMGR!$DI$2:$DU$250,120,0)</f>
        <v>26500</v>
      </c>
      <c r="AR40" s="106">
        <f>+HLOOKUP($C40,PMGR!$DI$2:$DU$250,121,0)</f>
        <v>16000</v>
      </c>
      <c r="AS40" s="106">
        <f>+HLOOKUP($C40,PMGR!$DI$2:$DU$250,122,0)</f>
        <v>131250</v>
      </c>
      <c r="AT40" s="106">
        <f>+HLOOKUP($C40,PMGR!$DI$2:$DU$250,123,0)</f>
        <v>35293.217528472225</v>
      </c>
      <c r="AU40" s="106">
        <f>+HLOOKUP($C40,PMGR!$DI$2:$DU$250,124,0)</f>
        <v>3752.5</v>
      </c>
      <c r="AV40" s="106">
        <f>+HLOOKUP($C40,PMGR!$DI$2:$DU$250,125,0)</f>
        <v>23535</v>
      </c>
      <c r="AW40" s="106">
        <f>+HLOOKUP($C40,PMGR!$DI$2:$DU$250,126,0)</f>
        <v>14716.346153846156</v>
      </c>
      <c r="AX40" s="106">
        <f>+HLOOKUP($C40,PMGR!$DI$2:$DU$250,127,0)</f>
        <v>20216.666666666664</v>
      </c>
      <c r="AY40" s="106">
        <f>+HLOOKUP($C40,PMGR!$DI$2:$DU$250,129,0)</f>
        <v>0</v>
      </c>
      <c r="AZ40" s="106">
        <f>+HLOOKUP($C40,PMGR!$DI$2:$DU$250,130,0)</f>
        <v>0</v>
      </c>
      <c r="BA40" s="106">
        <f>+HLOOKUP($C40,PMGR!$DI$2:$DU$250,131,0)</f>
        <v>35000</v>
      </c>
      <c r="BB40" s="106">
        <f>+HLOOKUP($C40,PMGR!$DI$2:$DU$250,133,0)</f>
        <v>0</v>
      </c>
      <c r="BC40" s="106">
        <f>+HLOOKUP($C40,PMGR!$DI$2:$DU$250,134,0)</f>
        <v>29680.886966666669</v>
      </c>
      <c r="BD40" s="106">
        <f>+HLOOKUP($C40,PMGR!$DI$2:$DU$250,135,0)</f>
        <v>0</v>
      </c>
      <c r="BE40" s="106">
        <f>+HLOOKUP($C40,PMGR!$DI$2:$DU$250,136,0)</f>
        <v>0</v>
      </c>
      <c r="BF40" s="106">
        <f>+HLOOKUP($C40,PMGR!$DI$2:$DU$250,138,0)</f>
        <v>7150</v>
      </c>
      <c r="BG40" s="106">
        <f>+HLOOKUP($C40,PMGR!$DI$2:$DU$250,139,0)</f>
        <v>9280.9624166666672</v>
      </c>
      <c r="BH40" s="106">
        <f>+HLOOKUP($C40,PMGR!$DI$2:$DU$250,140,0)</f>
        <v>27000</v>
      </c>
      <c r="BI40" s="106">
        <f>+HLOOKUP($C40,PMGR!$DI$2:$DU$250,141,0)</f>
        <v>0</v>
      </c>
      <c r="BJ40" s="106">
        <f>+HLOOKUP($C40,PMGR!$DI$2:$DU$250,142,0)</f>
        <v>0</v>
      </c>
      <c r="BK40" s="106">
        <f>+HLOOKUP($C40,PMGR!$DI$2:$DU$250,143,0)</f>
        <v>14452.166666666666</v>
      </c>
      <c r="BL40" s="106">
        <f>+HLOOKUP($C40,PMGR!$DI$2:$DU$250,144,0)</f>
        <v>124062.5</v>
      </c>
      <c r="BM40" s="106">
        <f>+HLOOKUP($C40,PMGR!$DI$2:$DU$250,146,0)</f>
        <v>0</v>
      </c>
      <c r="BN40" s="106">
        <f>+HLOOKUP($C40,PMGR!$DI$2:$DU$250,147,0)</f>
        <v>59554.775000000001</v>
      </c>
      <c r="BO40" s="106">
        <f>+HLOOKUP($C40,PMGR!$DI$2:$DU$250,148,0)</f>
        <v>0</v>
      </c>
      <c r="BP40" s="106">
        <f>+HLOOKUP($C40,PMGR!$DI$2:$DU$250,150,0)</f>
        <v>19331.760000000002</v>
      </c>
      <c r="BQ40" s="106">
        <f>+HLOOKUP($C40,PMGR!$DI$2:$DU$250,151,0)</f>
        <v>1488.3</v>
      </c>
      <c r="BR40" s="106">
        <f>+HLOOKUP($C40,PMGR!$DI$2:$DU$250,152,0)</f>
        <v>9600</v>
      </c>
      <c r="BS40" s="106">
        <f>+HLOOKUP($C40,PMGR!$DI$2:$DU$250,153,0)</f>
        <v>1800</v>
      </c>
      <c r="BT40" s="106">
        <f>+HLOOKUP($C40,PMGR!$DI$2:$DU$250,157,0)</f>
        <v>6360</v>
      </c>
      <c r="BU40" s="106">
        <f>+HLOOKUP($C40,PMGR!$DI$2:$DU$250,158,0)</f>
        <v>1305</v>
      </c>
      <c r="BV40" s="106">
        <f>+HLOOKUP($C40,PMGR!$DI$2:$DU$250,159,0)</f>
        <v>0</v>
      </c>
      <c r="BW40" s="106">
        <f>+HLOOKUP($C40,PMGR!$DI$2:$DU$250,160,0)</f>
        <v>6600</v>
      </c>
      <c r="BX40" s="106">
        <f>+HLOOKUP($C40,PMGR!$DI$2:$DU$250,161,0)</f>
        <v>4543.7497874999999</v>
      </c>
      <c r="BY40" s="106">
        <f>+HLOOKUP($C40,PMGR!$DI$2:$DU$250,164,0)</f>
        <v>1000</v>
      </c>
      <c r="BZ40" s="106">
        <f>+HLOOKUP($C40,PMGR!$DI$2:$DU$250,165,0)</f>
        <v>25626.666666666664</v>
      </c>
      <c r="CA40" s="106">
        <f>+HLOOKUP($C40,PMGR!$DI$2:$DU$250,166,0)</f>
        <v>0</v>
      </c>
      <c r="CB40" s="106">
        <f>+HLOOKUP($C40,PMGR!$DI$2:$DU$250,167,0)</f>
        <v>72500</v>
      </c>
      <c r="CC40" s="106">
        <f>+HLOOKUP($C40,PMGR!$DI$2:$DU$250,168,0)</f>
        <v>0</v>
      </c>
      <c r="CD40" s="106">
        <f>+HLOOKUP($C40,PMGR!$DI$2:$DU$250,169,0)</f>
        <v>0</v>
      </c>
      <c r="CE40" s="106">
        <f>+HLOOKUP($C40,PMGR!$DI$2:$DU$250,170,0)</f>
        <v>0</v>
      </c>
      <c r="CF40" s="106">
        <f>+HLOOKUP($C40,PMGR!$DI$2:$DU$250,172,0)</f>
        <v>10800</v>
      </c>
      <c r="CG40" s="106">
        <f>+HLOOKUP($C40,PMGR!$DI$2:$DU$250,173,0)</f>
        <v>10800</v>
      </c>
      <c r="CH40" s="106">
        <f>+HLOOKUP($C40,PMGR!$DI$2:$DU$250,174,0)</f>
        <v>57600</v>
      </c>
      <c r="CI40" s="106">
        <f>+HLOOKUP($C40,PMGR!$DI$2:$DU$250,175,0)</f>
        <v>4458</v>
      </c>
      <c r="CJ40" s="106">
        <f>+HLOOKUP($C40,PMGR!$DI$2:$DU$250,176,0)</f>
        <v>3555</v>
      </c>
      <c r="CK40" s="106">
        <f>+HLOOKUP($C40,PMGR!$DI$2:$DU$250,178,0)</f>
        <v>36000</v>
      </c>
      <c r="CL40" s="106">
        <f>+HLOOKUP($C40,PMGR!$DI$2:$DU$250,179,0)</f>
        <v>0</v>
      </c>
      <c r="CM40" s="106">
        <f>+HLOOKUP($C40,PMGR!$DI$2:$DU$250,180,0)</f>
        <v>8820</v>
      </c>
      <c r="CN40" s="106">
        <f>+HLOOKUP($C40,PMGR!$DI$2:$DU$250,182,0)</f>
        <v>368.55</v>
      </c>
      <c r="CO40" s="106">
        <f>+HLOOKUP($C40,PMGR!$DI$2:$DU$250,183,0)</f>
        <v>7035.3</v>
      </c>
      <c r="CP40" s="106">
        <f>+HLOOKUP($C40,PMGR!$DI$2:$DU$250,184,0)</f>
        <v>3240</v>
      </c>
      <c r="CQ40" s="106">
        <f>+HLOOKUP($C40,PMGR!$DI$2:$DU$250,185,0)</f>
        <v>0</v>
      </c>
      <c r="CR40" s="106">
        <f>+HLOOKUP($C40,PMGR!$DI$2:$DU$250,187,0)</f>
        <v>1874.8799999999997</v>
      </c>
      <c r="CS40" s="106">
        <f>+HLOOKUP($C40,PMGR!$DI$2:$DU$250,188,0)</f>
        <v>2385</v>
      </c>
      <c r="CT40" s="106">
        <f>+HLOOKUP($C40,PMGR!$DI$2:$DU$250,189,0)</f>
        <v>1500.0299999999997</v>
      </c>
      <c r="CU40" s="106">
        <f>+HLOOKUP($C40,PMGR!$DI$2:$DU$250,190,0)</f>
        <v>1520.01</v>
      </c>
      <c r="CV40" s="106">
        <f>+HLOOKUP($C40,PMGR!$DI$2:$DU$250,191,0)</f>
        <v>0</v>
      </c>
      <c r="CW40" s="106">
        <f>+HLOOKUP($C40,PMGR!$DI$2:$DU$250,193,0)</f>
        <v>3706.3</v>
      </c>
      <c r="CX40" s="106">
        <f>+HLOOKUP($C40,PMGR!$DI$2:$DU$250,194,0)</f>
        <v>355.1</v>
      </c>
      <c r="CY40" s="106">
        <f>+HLOOKUP($C40,PMGR!$DI$2:$DU$250,195,0)</f>
        <v>825.03539999999998</v>
      </c>
      <c r="CZ40" s="106">
        <f>+HLOOKUP($C40,PMGR!$DI$2:$DU$250,196,0)</f>
        <v>0</v>
      </c>
      <c r="DA40" s="106">
        <f>+HLOOKUP($C40,PMGR!$DI$2:$DU$250,197,0)</f>
        <v>9849.6</v>
      </c>
      <c r="DB40" s="106">
        <f>+HLOOKUP($C40,PMGR!$DI$2:$DU$250,198,0)</f>
        <v>3033</v>
      </c>
      <c r="DC40" s="106">
        <f>+HLOOKUP($C40,PMGR!$DI$2:$DU$250,199,0)</f>
        <v>648</v>
      </c>
      <c r="DD40" s="106">
        <f>+HLOOKUP($C40,PMGR!$DI$2:$DU$250,200,0)</f>
        <v>210</v>
      </c>
      <c r="DE40" s="106">
        <f>+HLOOKUP($C40,PMGR!$DI$2:$DU$250,201,0)</f>
        <v>44.55</v>
      </c>
      <c r="DF40" s="106">
        <f>+HLOOKUP($C40,PMGR!$DI$2:$DU$250,202,0)</f>
        <v>0</v>
      </c>
      <c r="DG40" s="106">
        <f>+HLOOKUP($C40,PMGR!$DI$2:$DU$250,203,0)</f>
        <v>0</v>
      </c>
      <c r="DH40" s="106">
        <f>+HLOOKUP($C40,PMGR!$DI$2:$DU$250,205,0)</f>
        <v>0</v>
      </c>
      <c r="DI40" s="106">
        <f>+HLOOKUP($C40,PMGR!$DI$2:$DU$250,206,0)</f>
        <v>2812.3733323636361</v>
      </c>
      <c r="DJ40" s="106">
        <f>+HLOOKUP($C40,PMGR!$DI$2:$DU$250,207,0)</f>
        <v>22524.125091666661</v>
      </c>
      <c r="DK40" s="106">
        <f>+HLOOKUP($C40,PMGR!$DI$2:$DU$250,209,0)</f>
        <v>0</v>
      </c>
      <c r="DL40" s="106">
        <f>+HLOOKUP($C40,PMGR!$DI$2:$DU$250,210,0)</f>
        <v>73705.260234375019</v>
      </c>
      <c r="DM40" s="106">
        <f>+HLOOKUP($C40,PMGR!$DI$2:$DU$250,211,0)</f>
        <v>0</v>
      </c>
      <c r="DN40" s="106">
        <f>+HLOOKUP($C40,PMGR!$DI$2:$DU$250,212,0)</f>
        <v>48000</v>
      </c>
      <c r="DO40" s="106">
        <f>+HLOOKUP($C40,PMGR!$DI$2:$DU$250,214,0)</f>
        <v>0</v>
      </c>
      <c r="DP40" s="106">
        <f>+HLOOKUP($C40,PMGR!$DI$2:$DU$250,215,0)</f>
        <v>540</v>
      </c>
      <c r="DQ40" s="106">
        <f>+HLOOKUP($C40,PMGR!$DI$2:$DU$250,219,0)</f>
        <v>0</v>
      </c>
      <c r="DR40" s="106">
        <f>+HLOOKUP($C40,PMGR!$DI$2:$DU$250,220,0)</f>
        <v>0</v>
      </c>
      <c r="DS40" s="106">
        <f>+HLOOKUP($C40,PMGR!$DI$2:$DU$250,221,0)</f>
        <v>0</v>
      </c>
      <c r="DT40" s="106">
        <f>+HLOOKUP($C40,PMGR!$DI$2:$DU$250,223,0)</f>
        <v>11250</v>
      </c>
      <c r="DU40" s="106">
        <f>+HLOOKUP($C40,PMGR!$DI$2:$DU$250,224,0)</f>
        <v>5000</v>
      </c>
      <c r="DV40" s="106">
        <f>+HLOOKUP($C40,PMGR!$DI$2:$DU$250,225,0)</f>
        <v>0</v>
      </c>
      <c r="DW40" s="106">
        <f>+HLOOKUP($C40,PMGR!$DI$2:$DU$250,227,0)</f>
        <v>0</v>
      </c>
      <c r="DX40" s="106">
        <f>+HLOOKUP($C40,PMGR!$DI$2:$DU$250,228,0)</f>
        <v>0</v>
      </c>
      <c r="DY40" s="106">
        <f>+HLOOKUP($C40,PMGR!$DI$2:$DU$250,236,0)</f>
        <v>139289.18000000002</v>
      </c>
      <c r="DZ40" s="106">
        <f>+HLOOKUP($C40,PMGR!$DI$2:$DU$250,237,0)</f>
        <v>92885.162764477514</v>
      </c>
      <c r="EA40" s="106">
        <f>+HLOOKUP($C40,PMGR!$DI$2:$DU$250,238,0)</f>
        <v>15321.6</v>
      </c>
      <c r="EB40" s="106">
        <f>+HLOOKUP($C40,PMGR!$DI$2:$DU$250,240,0)</f>
        <v>241812.14353571442</v>
      </c>
    </row>
    <row r="41" spans="1:132">
      <c r="A41" t="s">
        <v>271</v>
      </c>
      <c r="B41" t="s">
        <v>217</v>
      </c>
      <c r="C41" s="117">
        <v>45901</v>
      </c>
      <c r="D41" s="106">
        <f t="shared" si="0"/>
        <v>15077291.859806702</v>
      </c>
      <c r="E41" s="106">
        <f>+HLOOKUP(C41,PMGR!$DI$2:$DU$250,28,0)+HLOOKUP(C41,PMGR!$DI$2:$DU$250,43,0)+HLOOKUP(C41,PMGR!$DI$2:$DU$250,44,0)+HLOOKUP(C41,PMGR!$DI$2:$DU$250,45,0)+HLOOKUP(C41,PMGR!$DI$2:$DU$250,54,0)+HLOOKUP(C41,PMGR!$DI$2:$DU$250,59,0)</f>
        <v>15077291.859806702</v>
      </c>
      <c r="F41" s="106">
        <f>+HLOOKUP(C41,PMGR!$DI$2:$DU$250,37,0)+HLOOKUP(C41,PMGR!$DI$2:$DU$250,55,0)</f>
        <v>8412315.5383983403</v>
      </c>
      <c r="G41" s="106">
        <f>+HLOOKUP($C41,PMGR!$DI$2:$DU$250,76,0)</f>
        <v>0</v>
      </c>
      <c r="H41" s="106">
        <f>+HLOOKUP($C41,PMGR!$DI$2:$DU$250,77,0)</f>
        <v>0</v>
      </c>
      <c r="I41" s="106">
        <f>+HLOOKUP($C41,PMGR!$DI$2:$DU$250,78,0)</f>
        <v>0</v>
      </c>
      <c r="J41" s="106">
        <f>+HLOOKUP($C41,PMGR!$DI$2:$DU$250,79,0)</f>
        <v>0</v>
      </c>
      <c r="K41" s="106">
        <f>+HLOOKUP($C41,PMGR!$DI$2:$DU$250,80,0)</f>
        <v>5000</v>
      </c>
      <c r="L41" s="106">
        <f>+HLOOKUP($C41,PMGR!$DI$2:$DU$250,81,0)</f>
        <v>0</v>
      </c>
      <c r="M41" s="106">
        <f>+HLOOKUP($C41,PMGR!$DI$2:$DU$250,82,0)</f>
        <v>0</v>
      </c>
      <c r="N41" s="106">
        <f>+HLOOKUP($C41,PMGR!$DI$2:$DU$250,83,0)</f>
        <v>0</v>
      </c>
      <c r="O41" s="106">
        <f>+HLOOKUP($C41,PMGR!$DI$2:$DU$250,84,0)</f>
        <v>0</v>
      </c>
      <c r="P41" s="106">
        <f>+HLOOKUP($C41,PMGR!$DI$2:$DU$250,85,0)</f>
        <v>0</v>
      </c>
      <c r="Q41" s="106">
        <f>+HLOOKUP($C41,PMGR!$DI$2:$DU$250,87,0)</f>
        <v>256372.55530000004</v>
      </c>
      <c r="R41" s="106">
        <f>+HLOOKUP($C41,PMGR!$DI$2:$DU$250,90,0)</f>
        <v>0</v>
      </c>
      <c r="S41" s="106">
        <f>+HLOOKUP($C41,PMGR!$DI$2:$DU$250,91,0)</f>
        <v>1250</v>
      </c>
      <c r="T41" s="106">
        <f>+HLOOKUP($C41,PMGR!$DI$2:$DU$250,92,0)</f>
        <v>0</v>
      </c>
      <c r="U41" s="106">
        <f>+HLOOKUP($C41,PMGR!$DI$2:$DU$250,93,0)</f>
        <v>0</v>
      </c>
      <c r="V41" s="106">
        <f>+HLOOKUP($C41,PMGR!$DI$2:$DU$250,94,0)</f>
        <v>0</v>
      </c>
      <c r="W41" s="106">
        <f>+HLOOKUP($C41,PMGR!$DI$2:$DU$250,95,0)</f>
        <v>0</v>
      </c>
      <c r="X41" s="106">
        <f>+HLOOKUP($C41,PMGR!$DI$2:$DU$250,96,0)</f>
        <v>0</v>
      </c>
      <c r="Y41" s="106">
        <f>+HLOOKUP($C41,PMGR!$DI$2:$DU$250,97,0)</f>
        <v>0</v>
      </c>
      <c r="Z41" s="106">
        <f>+HLOOKUP($C41,PMGR!$DI$2:$DU$250,98,0)</f>
        <v>0</v>
      </c>
      <c r="AA41" s="106">
        <f>+HLOOKUP($C41,PMGR!$DI$2:$DU$250,99,0)</f>
        <v>0</v>
      </c>
      <c r="AB41" s="106">
        <f>+HLOOKUP($C41,PMGR!$DI$2:$DU$250,100,0)</f>
        <v>0</v>
      </c>
      <c r="AC41" s="106">
        <f>+HLOOKUP($C41,PMGR!$DI$2:$DU$250,101,0)</f>
        <v>10000</v>
      </c>
      <c r="AD41" s="106">
        <f>+HLOOKUP($C41,PMGR!$DI$2:$DU$250,104,0)</f>
        <v>0</v>
      </c>
      <c r="AE41" s="106">
        <f>+HLOOKUP($C41,PMGR!$DI$2:$DU$250,105,0)</f>
        <v>40654.099860000009</v>
      </c>
      <c r="AF41" s="106">
        <f>+HLOOKUP($C41,PMGR!$DI$2:$DU$250,106,0)</f>
        <v>0</v>
      </c>
      <c r="AG41" s="106">
        <f>+HLOOKUP($C41,PMGR!$DI$2:$DU$250,107,0)</f>
        <v>0</v>
      </c>
      <c r="AH41" s="106">
        <f>+HLOOKUP($C41,PMGR!$DI$2:$DU$250,108,0)</f>
        <v>0</v>
      </c>
      <c r="AI41" s="106">
        <f>+HLOOKUP($C41,PMGR!$DI$2:$DU$250,109,0)</f>
        <v>0</v>
      </c>
      <c r="AJ41" s="106">
        <f>+HLOOKUP($C41,PMGR!$DI$2:$DU$250,110,0)</f>
        <v>0</v>
      </c>
      <c r="AK41" s="106">
        <f>+HLOOKUP($C41,PMGR!$DI$2:$DU$250,111,0)</f>
        <v>2986.2284260800006</v>
      </c>
      <c r="AL41" s="106">
        <f>+HLOOKUP($C41,PMGR!$DI$2:$DU$250,112,0)</f>
        <v>0</v>
      </c>
      <c r="AM41" s="106">
        <f>+HLOOKUP($C41,PMGR!$DI$2:$DU$250,116,0)</f>
        <v>306100</v>
      </c>
      <c r="AN41" s="106">
        <f>+HLOOKUP($C41,PMGR!$DI$2:$DU$250,117,0)</f>
        <v>49980</v>
      </c>
      <c r="AO41" s="106">
        <f>+HLOOKUP($C41,PMGR!$DI$2:$DU$250,118,0)</f>
        <v>3000</v>
      </c>
      <c r="AP41" s="106">
        <f>+HLOOKUP($C41,PMGR!$DI$2:$DU$250,119,0)</f>
        <v>113020</v>
      </c>
      <c r="AQ41" s="106">
        <f>+HLOOKUP($C41,PMGR!$DI$2:$DU$250,120,0)</f>
        <v>26500</v>
      </c>
      <c r="AR41" s="106">
        <f>+HLOOKUP($C41,PMGR!$DI$2:$DU$250,121,0)</f>
        <v>16000</v>
      </c>
      <c r="AS41" s="106">
        <f>+HLOOKUP($C41,PMGR!$DI$2:$DU$250,122,0)</f>
        <v>131250</v>
      </c>
      <c r="AT41" s="106">
        <f>+HLOOKUP($C41,PMGR!$DI$2:$DU$250,123,0)</f>
        <v>35293.217528472225</v>
      </c>
      <c r="AU41" s="106">
        <f>+HLOOKUP($C41,PMGR!$DI$2:$DU$250,124,0)</f>
        <v>3752.5</v>
      </c>
      <c r="AV41" s="106">
        <f>+HLOOKUP($C41,PMGR!$DI$2:$DU$250,125,0)</f>
        <v>23535</v>
      </c>
      <c r="AW41" s="106">
        <f>+HLOOKUP($C41,PMGR!$DI$2:$DU$250,126,0)</f>
        <v>14716.346153846156</v>
      </c>
      <c r="AX41" s="106">
        <f>+HLOOKUP($C41,PMGR!$DI$2:$DU$250,127,0)</f>
        <v>20216.666666666664</v>
      </c>
      <c r="AY41" s="106">
        <f>+HLOOKUP($C41,PMGR!$DI$2:$DU$250,129,0)</f>
        <v>0</v>
      </c>
      <c r="AZ41" s="106">
        <f>+HLOOKUP($C41,PMGR!$DI$2:$DU$250,130,0)</f>
        <v>0</v>
      </c>
      <c r="BA41" s="106">
        <f>+HLOOKUP($C41,PMGR!$DI$2:$DU$250,131,0)</f>
        <v>35000</v>
      </c>
      <c r="BB41" s="106">
        <f>+HLOOKUP($C41,PMGR!$DI$2:$DU$250,133,0)</f>
        <v>0</v>
      </c>
      <c r="BC41" s="106">
        <f>+HLOOKUP($C41,PMGR!$DI$2:$DU$250,134,0)</f>
        <v>29680.886966666669</v>
      </c>
      <c r="BD41" s="106">
        <f>+HLOOKUP($C41,PMGR!$DI$2:$DU$250,135,0)</f>
        <v>0</v>
      </c>
      <c r="BE41" s="106">
        <f>+HLOOKUP($C41,PMGR!$DI$2:$DU$250,136,0)</f>
        <v>0</v>
      </c>
      <c r="BF41" s="106">
        <f>+HLOOKUP($C41,PMGR!$DI$2:$DU$250,138,0)</f>
        <v>7150</v>
      </c>
      <c r="BG41" s="106">
        <f>+HLOOKUP($C41,PMGR!$DI$2:$DU$250,139,0)</f>
        <v>9280.9624166666672</v>
      </c>
      <c r="BH41" s="106">
        <f>+HLOOKUP($C41,PMGR!$DI$2:$DU$250,140,0)</f>
        <v>27000</v>
      </c>
      <c r="BI41" s="106">
        <f>+HLOOKUP($C41,PMGR!$DI$2:$DU$250,141,0)</f>
        <v>0</v>
      </c>
      <c r="BJ41" s="106">
        <f>+HLOOKUP($C41,PMGR!$DI$2:$DU$250,142,0)</f>
        <v>0</v>
      </c>
      <c r="BK41" s="106">
        <f>+HLOOKUP($C41,PMGR!$DI$2:$DU$250,143,0)</f>
        <v>14452.166666666666</v>
      </c>
      <c r="BL41" s="106">
        <f>+HLOOKUP($C41,PMGR!$DI$2:$DU$250,144,0)</f>
        <v>11645.833333333334</v>
      </c>
      <c r="BM41" s="106">
        <f>+HLOOKUP($C41,PMGR!$DI$2:$DU$250,146,0)</f>
        <v>0</v>
      </c>
      <c r="BN41" s="106">
        <f>+HLOOKUP($C41,PMGR!$DI$2:$DU$250,147,0)</f>
        <v>59554.775000000001</v>
      </c>
      <c r="BO41" s="106">
        <f>+HLOOKUP($C41,PMGR!$DI$2:$DU$250,148,0)</f>
        <v>0</v>
      </c>
      <c r="BP41" s="106">
        <f>+HLOOKUP($C41,PMGR!$DI$2:$DU$250,150,0)</f>
        <v>19331.760000000002</v>
      </c>
      <c r="BQ41" s="106">
        <f>+HLOOKUP($C41,PMGR!$DI$2:$DU$250,151,0)</f>
        <v>1488.3</v>
      </c>
      <c r="BR41" s="106">
        <f>+HLOOKUP($C41,PMGR!$DI$2:$DU$250,152,0)</f>
        <v>9600</v>
      </c>
      <c r="BS41" s="106">
        <f>+HLOOKUP($C41,PMGR!$DI$2:$DU$250,153,0)</f>
        <v>1800</v>
      </c>
      <c r="BT41" s="106">
        <f>+HLOOKUP($C41,PMGR!$DI$2:$DU$250,157,0)</f>
        <v>6360</v>
      </c>
      <c r="BU41" s="106">
        <f>+HLOOKUP($C41,PMGR!$DI$2:$DU$250,158,0)</f>
        <v>1305</v>
      </c>
      <c r="BV41" s="106">
        <f>+HLOOKUP($C41,PMGR!$DI$2:$DU$250,159,0)</f>
        <v>0</v>
      </c>
      <c r="BW41" s="106">
        <f>+HLOOKUP($C41,PMGR!$DI$2:$DU$250,160,0)</f>
        <v>6600</v>
      </c>
      <c r="BX41" s="106">
        <f>+HLOOKUP($C41,PMGR!$DI$2:$DU$250,161,0)</f>
        <v>4543.7497874999999</v>
      </c>
      <c r="BY41" s="106">
        <f>+HLOOKUP($C41,PMGR!$DI$2:$DU$250,164,0)</f>
        <v>1000</v>
      </c>
      <c r="BZ41" s="106">
        <f>+HLOOKUP($C41,PMGR!$DI$2:$DU$250,165,0)</f>
        <v>25626.666666666664</v>
      </c>
      <c r="CA41" s="106">
        <f>+HLOOKUP($C41,PMGR!$DI$2:$DU$250,166,0)</f>
        <v>0</v>
      </c>
      <c r="CB41" s="106">
        <f>+HLOOKUP($C41,PMGR!$DI$2:$DU$250,167,0)</f>
        <v>12500</v>
      </c>
      <c r="CC41" s="106">
        <f>+HLOOKUP($C41,PMGR!$DI$2:$DU$250,168,0)</f>
        <v>0</v>
      </c>
      <c r="CD41" s="106">
        <f>+HLOOKUP($C41,PMGR!$DI$2:$DU$250,169,0)</f>
        <v>0</v>
      </c>
      <c r="CE41" s="106">
        <f>+HLOOKUP($C41,PMGR!$DI$2:$DU$250,170,0)</f>
        <v>0</v>
      </c>
      <c r="CF41" s="106">
        <f>+HLOOKUP($C41,PMGR!$DI$2:$DU$250,172,0)</f>
        <v>10800</v>
      </c>
      <c r="CG41" s="106">
        <f>+HLOOKUP($C41,PMGR!$DI$2:$DU$250,173,0)</f>
        <v>10800</v>
      </c>
      <c r="CH41" s="106">
        <f>+HLOOKUP($C41,PMGR!$DI$2:$DU$250,174,0)</f>
        <v>57600</v>
      </c>
      <c r="CI41" s="106">
        <f>+HLOOKUP($C41,PMGR!$DI$2:$DU$250,175,0)</f>
        <v>4458</v>
      </c>
      <c r="CJ41" s="106">
        <f>+HLOOKUP($C41,PMGR!$DI$2:$DU$250,176,0)</f>
        <v>3555</v>
      </c>
      <c r="CK41" s="106">
        <f>+HLOOKUP($C41,PMGR!$DI$2:$DU$250,178,0)</f>
        <v>36000</v>
      </c>
      <c r="CL41" s="106">
        <f>+HLOOKUP($C41,PMGR!$DI$2:$DU$250,179,0)</f>
        <v>0</v>
      </c>
      <c r="CM41" s="106">
        <f>+HLOOKUP($C41,PMGR!$DI$2:$DU$250,180,0)</f>
        <v>8820</v>
      </c>
      <c r="CN41" s="106">
        <f>+HLOOKUP($C41,PMGR!$DI$2:$DU$250,182,0)</f>
        <v>368.55</v>
      </c>
      <c r="CO41" s="106">
        <f>+HLOOKUP($C41,PMGR!$DI$2:$DU$250,183,0)</f>
        <v>7035.3</v>
      </c>
      <c r="CP41" s="106">
        <f>+HLOOKUP($C41,PMGR!$DI$2:$DU$250,184,0)</f>
        <v>3240</v>
      </c>
      <c r="CQ41" s="106">
        <f>+HLOOKUP($C41,PMGR!$DI$2:$DU$250,185,0)</f>
        <v>0</v>
      </c>
      <c r="CR41" s="106">
        <f>+HLOOKUP($C41,PMGR!$DI$2:$DU$250,187,0)</f>
        <v>1874.8799999999997</v>
      </c>
      <c r="CS41" s="106">
        <f>+HLOOKUP($C41,PMGR!$DI$2:$DU$250,188,0)</f>
        <v>2385</v>
      </c>
      <c r="CT41" s="106">
        <f>+HLOOKUP($C41,PMGR!$DI$2:$DU$250,189,0)</f>
        <v>1500.0299999999997</v>
      </c>
      <c r="CU41" s="106">
        <f>+HLOOKUP($C41,PMGR!$DI$2:$DU$250,190,0)</f>
        <v>1520.01</v>
      </c>
      <c r="CV41" s="106">
        <f>+HLOOKUP($C41,PMGR!$DI$2:$DU$250,191,0)</f>
        <v>0</v>
      </c>
      <c r="CW41" s="106">
        <f>+HLOOKUP($C41,PMGR!$DI$2:$DU$250,193,0)</f>
        <v>3706.3</v>
      </c>
      <c r="CX41" s="106">
        <f>+HLOOKUP($C41,PMGR!$DI$2:$DU$250,194,0)</f>
        <v>355.1</v>
      </c>
      <c r="CY41" s="106">
        <f>+HLOOKUP($C41,PMGR!$DI$2:$DU$250,195,0)</f>
        <v>825.03539999999998</v>
      </c>
      <c r="CZ41" s="106">
        <f>+HLOOKUP($C41,PMGR!$DI$2:$DU$250,196,0)</f>
        <v>0</v>
      </c>
      <c r="DA41" s="106">
        <f>+HLOOKUP($C41,PMGR!$DI$2:$DU$250,197,0)</f>
        <v>9849.6</v>
      </c>
      <c r="DB41" s="106">
        <f>+HLOOKUP($C41,PMGR!$DI$2:$DU$250,198,0)</f>
        <v>3033</v>
      </c>
      <c r="DC41" s="106">
        <f>+HLOOKUP($C41,PMGR!$DI$2:$DU$250,199,0)</f>
        <v>648</v>
      </c>
      <c r="DD41" s="106">
        <f>+HLOOKUP($C41,PMGR!$DI$2:$DU$250,200,0)</f>
        <v>210</v>
      </c>
      <c r="DE41" s="106">
        <f>+HLOOKUP($C41,PMGR!$DI$2:$DU$250,201,0)</f>
        <v>44.55</v>
      </c>
      <c r="DF41" s="106">
        <f>+HLOOKUP($C41,PMGR!$DI$2:$DU$250,202,0)</f>
        <v>0</v>
      </c>
      <c r="DG41" s="106">
        <f>+HLOOKUP($C41,PMGR!$DI$2:$DU$250,203,0)</f>
        <v>0</v>
      </c>
      <c r="DH41" s="106">
        <f>+HLOOKUP($C41,PMGR!$DI$2:$DU$250,205,0)</f>
        <v>0</v>
      </c>
      <c r="DI41" s="106">
        <f>+HLOOKUP($C41,PMGR!$DI$2:$DU$250,206,0)</f>
        <v>2812.3733323636361</v>
      </c>
      <c r="DJ41" s="106">
        <f>+HLOOKUP($C41,PMGR!$DI$2:$DU$250,207,0)</f>
        <v>22535.723166666663</v>
      </c>
      <c r="DK41" s="106">
        <f>+HLOOKUP($C41,PMGR!$DI$2:$DU$250,209,0)</f>
        <v>0</v>
      </c>
      <c r="DL41" s="106">
        <f>+HLOOKUP($C41,PMGR!$DI$2:$DU$250,210,0)</f>
        <v>73705.260234375019</v>
      </c>
      <c r="DM41" s="106">
        <f>+HLOOKUP($C41,PMGR!$DI$2:$DU$250,211,0)</f>
        <v>0</v>
      </c>
      <c r="DN41" s="106">
        <f>+HLOOKUP($C41,PMGR!$DI$2:$DU$250,212,0)</f>
        <v>48000</v>
      </c>
      <c r="DO41" s="106">
        <f>+HLOOKUP($C41,PMGR!$DI$2:$DU$250,214,0)</f>
        <v>0</v>
      </c>
      <c r="DP41" s="106">
        <f>+HLOOKUP($C41,PMGR!$DI$2:$DU$250,215,0)</f>
        <v>540</v>
      </c>
      <c r="DQ41" s="106">
        <f>+HLOOKUP($C41,PMGR!$DI$2:$DU$250,219,0)</f>
        <v>0</v>
      </c>
      <c r="DR41" s="106">
        <f>+HLOOKUP($C41,PMGR!$DI$2:$DU$250,220,0)</f>
        <v>0</v>
      </c>
      <c r="DS41" s="106">
        <f>+HLOOKUP($C41,PMGR!$DI$2:$DU$250,221,0)</f>
        <v>0</v>
      </c>
      <c r="DT41" s="106">
        <f>+HLOOKUP($C41,PMGR!$DI$2:$DU$250,223,0)</f>
        <v>11250</v>
      </c>
      <c r="DU41" s="106">
        <f>+HLOOKUP($C41,PMGR!$DI$2:$DU$250,224,0)</f>
        <v>5000</v>
      </c>
      <c r="DV41" s="106">
        <f>+HLOOKUP($C41,PMGR!$DI$2:$DU$250,225,0)</f>
        <v>0</v>
      </c>
      <c r="DW41" s="106">
        <f>+HLOOKUP($C41,PMGR!$DI$2:$DU$250,227,0)</f>
        <v>0</v>
      </c>
      <c r="DX41" s="106">
        <f>+HLOOKUP($C41,PMGR!$DI$2:$DU$250,228,0)</f>
        <v>0</v>
      </c>
      <c r="DY41" s="106">
        <f>+HLOOKUP($C41,PMGR!$DI$2:$DU$250,236,0)</f>
        <v>143624.72400000002</v>
      </c>
      <c r="DZ41" s="106">
        <f>+HLOOKUP($C41,PMGR!$DI$2:$DU$250,237,0)</f>
        <v>91137.323649131213</v>
      </c>
      <c r="EA41" s="106">
        <f>+HLOOKUP($C41,PMGR!$DI$2:$DU$250,238,0)</f>
        <v>17175.2</v>
      </c>
      <c r="EB41" s="106">
        <f>+HLOOKUP($C41,PMGR!$DI$2:$DU$250,240,0)</f>
        <v>241812.14353571442</v>
      </c>
    </row>
    <row r="42" spans="1:132">
      <c r="A42" t="s">
        <v>271</v>
      </c>
      <c r="B42" t="s">
        <v>217</v>
      </c>
      <c r="C42" s="117">
        <v>45870</v>
      </c>
      <c r="D42" s="106">
        <f t="shared" si="0"/>
        <v>12853456.81626514</v>
      </c>
      <c r="E42" s="106">
        <f>+HLOOKUP(C42,PMGR!$DI$2:$DU$250,28,0)+HLOOKUP(C42,PMGR!$DI$2:$DU$250,43,0)+HLOOKUP(C42,PMGR!$DI$2:$DU$250,44,0)+HLOOKUP(C42,PMGR!$DI$2:$DU$250,45,0)+HLOOKUP(C42,PMGR!$DI$2:$DU$250,54,0)+HLOOKUP(C42,PMGR!$DI$2:$DU$250,59,0)</f>
        <v>12853456.81626514</v>
      </c>
      <c r="F42" s="106">
        <f>+HLOOKUP(C42,PMGR!$DI$2:$DU$250,37,0)+HLOOKUP(C42,PMGR!$DI$2:$DU$250,55,0)</f>
        <v>8593565.7799763419</v>
      </c>
      <c r="G42" s="106">
        <f>+HLOOKUP($C42,PMGR!$DI$2:$DU$250,76,0)</f>
        <v>0</v>
      </c>
      <c r="H42" s="106">
        <f>+HLOOKUP($C42,PMGR!$DI$2:$DU$250,77,0)</f>
        <v>0</v>
      </c>
      <c r="I42" s="106">
        <f>+HLOOKUP($C42,PMGR!$DI$2:$DU$250,78,0)</f>
        <v>0</v>
      </c>
      <c r="J42" s="106">
        <f>+HLOOKUP($C42,PMGR!$DI$2:$DU$250,79,0)</f>
        <v>0</v>
      </c>
      <c r="K42" s="106">
        <f>+HLOOKUP($C42,PMGR!$DI$2:$DU$250,80,0)</f>
        <v>5000</v>
      </c>
      <c r="L42" s="106">
        <f>+HLOOKUP($C42,PMGR!$DI$2:$DU$250,81,0)</f>
        <v>0</v>
      </c>
      <c r="M42" s="106">
        <f>+HLOOKUP($C42,PMGR!$DI$2:$DU$250,82,0)</f>
        <v>0</v>
      </c>
      <c r="N42" s="106">
        <f>+HLOOKUP($C42,PMGR!$DI$2:$DU$250,83,0)</f>
        <v>0</v>
      </c>
      <c r="O42" s="106">
        <f>+HLOOKUP($C42,PMGR!$DI$2:$DU$250,84,0)</f>
        <v>0</v>
      </c>
      <c r="P42" s="106">
        <f>+HLOOKUP($C42,PMGR!$DI$2:$DU$250,85,0)</f>
        <v>0</v>
      </c>
      <c r="Q42" s="106">
        <f>+HLOOKUP($C42,PMGR!$DI$2:$DU$250,87,0)</f>
        <v>262194.054</v>
      </c>
      <c r="R42" s="106">
        <f>+HLOOKUP($C42,PMGR!$DI$2:$DU$250,90,0)</f>
        <v>0</v>
      </c>
      <c r="S42" s="106">
        <f>+HLOOKUP($C42,PMGR!$DI$2:$DU$250,91,0)</f>
        <v>1250</v>
      </c>
      <c r="T42" s="106">
        <f>+HLOOKUP($C42,PMGR!$DI$2:$DU$250,92,0)</f>
        <v>0</v>
      </c>
      <c r="U42" s="106">
        <f>+HLOOKUP($C42,PMGR!$DI$2:$DU$250,93,0)</f>
        <v>0</v>
      </c>
      <c r="V42" s="106">
        <f>+HLOOKUP($C42,PMGR!$DI$2:$DU$250,94,0)</f>
        <v>0</v>
      </c>
      <c r="W42" s="106">
        <f>+HLOOKUP($C42,PMGR!$DI$2:$DU$250,95,0)</f>
        <v>0</v>
      </c>
      <c r="X42" s="106">
        <f>+HLOOKUP($C42,PMGR!$DI$2:$DU$250,96,0)</f>
        <v>0</v>
      </c>
      <c r="Y42" s="106">
        <f>+HLOOKUP($C42,PMGR!$DI$2:$DU$250,97,0)</f>
        <v>0</v>
      </c>
      <c r="Z42" s="106">
        <f>+HLOOKUP($C42,PMGR!$DI$2:$DU$250,98,0)</f>
        <v>0</v>
      </c>
      <c r="AA42" s="106">
        <f>+HLOOKUP($C42,PMGR!$DI$2:$DU$250,99,0)</f>
        <v>0</v>
      </c>
      <c r="AB42" s="106">
        <f>+HLOOKUP($C42,PMGR!$DI$2:$DU$250,100,0)</f>
        <v>0</v>
      </c>
      <c r="AC42" s="106">
        <f>+HLOOKUP($C42,PMGR!$DI$2:$DU$250,101,0)</f>
        <v>10000</v>
      </c>
      <c r="AD42" s="106">
        <f>+HLOOKUP($C42,PMGR!$DI$2:$DU$250,104,0)</f>
        <v>0</v>
      </c>
      <c r="AE42" s="106">
        <f>+HLOOKUP($C42,PMGR!$DI$2:$DU$250,105,0)</f>
        <v>41595.146340000014</v>
      </c>
      <c r="AF42" s="106">
        <f>+HLOOKUP($C42,PMGR!$DI$2:$DU$250,106,0)</f>
        <v>0</v>
      </c>
      <c r="AG42" s="106">
        <f>+HLOOKUP($C42,PMGR!$DI$2:$DU$250,107,0)</f>
        <v>0</v>
      </c>
      <c r="AH42" s="106">
        <f>+HLOOKUP($C42,PMGR!$DI$2:$DU$250,108,0)</f>
        <v>0</v>
      </c>
      <c r="AI42" s="106">
        <f>+HLOOKUP($C42,PMGR!$DI$2:$DU$250,109,0)</f>
        <v>0</v>
      </c>
      <c r="AJ42" s="106">
        <f>+HLOOKUP($C42,PMGR!$DI$2:$DU$250,110,0)</f>
        <v>0</v>
      </c>
      <c r="AK42" s="106">
        <f>+HLOOKUP($C42,PMGR!$DI$2:$DU$250,111,0)</f>
        <v>3055.3525675200012</v>
      </c>
      <c r="AL42" s="106">
        <f>+HLOOKUP($C42,PMGR!$DI$2:$DU$250,112,0)</f>
        <v>0</v>
      </c>
      <c r="AM42" s="106">
        <f>+HLOOKUP($C42,PMGR!$DI$2:$DU$250,116,0)</f>
        <v>306100</v>
      </c>
      <c r="AN42" s="106">
        <f>+HLOOKUP($C42,PMGR!$DI$2:$DU$250,117,0)</f>
        <v>49980</v>
      </c>
      <c r="AO42" s="106">
        <f>+HLOOKUP($C42,PMGR!$DI$2:$DU$250,118,0)</f>
        <v>3000</v>
      </c>
      <c r="AP42" s="106">
        <f>+HLOOKUP($C42,PMGR!$DI$2:$DU$250,119,0)</f>
        <v>113020</v>
      </c>
      <c r="AQ42" s="106">
        <f>+HLOOKUP($C42,PMGR!$DI$2:$DU$250,120,0)</f>
        <v>26500</v>
      </c>
      <c r="AR42" s="106">
        <f>+HLOOKUP($C42,PMGR!$DI$2:$DU$250,121,0)</f>
        <v>16000</v>
      </c>
      <c r="AS42" s="106">
        <f>+HLOOKUP($C42,PMGR!$DI$2:$DU$250,122,0)</f>
        <v>131250</v>
      </c>
      <c r="AT42" s="106">
        <f>+HLOOKUP($C42,PMGR!$DI$2:$DU$250,123,0)</f>
        <v>35293.217528472225</v>
      </c>
      <c r="AU42" s="106">
        <f>+HLOOKUP($C42,PMGR!$DI$2:$DU$250,124,0)</f>
        <v>3752.5</v>
      </c>
      <c r="AV42" s="106">
        <f>+HLOOKUP($C42,PMGR!$DI$2:$DU$250,125,0)</f>
        <v>23535</v>
      </c>
      <c r="AW42" s="106">
        <f>+HLOOKUP($C42,PMGR!$DI$2:$DU$250,126,0)</f>
        <v>14716.346153846156</v>
      </c>
      <c r="AX42" s="106">
        <f>+HLOOKUP($C42,PMGR!$DI$2:$DU$250,127,0)</f>
        <v>20216.666666666664</v>
      </c>
      <c r="AY42" s="106">
        <f>+HLOOKUP($C42,PMGR!$DI$2:$DU$250,129,0)</f>
        <v>0</v>
      </c>
      <c r="AZ42" s="106">
        <f>+HLOOKUP($C42,PMGR!$DI$2:$DU$250,130,0)</f>
        <v>0</v>
      </c>
      <c r="BA42" s="106">
        <f>+HLOOKUP($C42,PMGR!$DI$2:$DU$250,131,0)</f>
        <v>35000</v>
      </c>
      <c r="BB42" s="106">
        <f>+HLOOKUP($C42,PMGR!$DI$2:$DU$250,133,0)</f>
        <v>0</v>
      </c>
      <c r="BC42" s="106">
        <f>+HLOOKUP($C42,PMGR!$DI$2:$DU$250,134,0)</f>
        <v>29680.886966666669</v>
      </c>
      <c r="BD42" s="106">
        <f>+HLOOKUP($C42,PMGR!$DI$2:$DU$250,135,0)</f>
        <v>0</v>
      </c>
      <c r="BE42" s="106">
        <f>+HLOOKUP($C42,PMGR!$DI$2:$DU$250,136,0)</f>
        <v>0</v>
      </c>
      <c r="BF42" s="106">
        <f>+HLOOKUP($C42,PMGR!$DI$2:$DU$250,138,0)</f>
        <v>7150</v>
      </c>
      <c r="BG42" s="106">
        <f>+HLOOKUP($C42,PMGR!$DI$2:$DU$250,139,0)</f>
        <v>9280.9624166666672</v>
      </c>
      <c r="BH42" s="106">
        <f>+HLOOKUP($C42,PMGR!$DI$2:$DU$250,140,0)</f>
        <v>27000</v>
      </c>
      <c r="BI42" s="106">
        <f>+HLOOKUP($C42,PMGR!$DI$2:$DU$250,141,0)</f>
        <v>0</v>
      </c>
      <c r="BJ42" s="106">
        <f>+HLOOKUP($C42,PMGR!$DI$2:$DU$250,142,0)</f>
        <v>0</v>
      </c>
      <c r="BK42" s="106">
        <f>+HLOOKUP($C42,PMGR!$DI$2:$DU$250,143,0)</f>
        <v>14452.166666666666</v>
      </c>
      <c r="BL42" s="106">
        <f>+HLOOKUP($C42,PMGR!$DI$2:$DU$250,144,0)</f>
        <v>2145.8333333333335</v>
      </c>
      <c r="BM42" s="106">
        <f>+HLOOKUP($C42,PMGR!$DI$2:$DU$250,146,0)</f>
        <v>0</v>
      </c>
      <c r="BN42" s="106">
        <f>+HLOOKUP($C42,PMGR!$DI$2:$DU$250,147,0)</f>
        <v>59554.775000000001</v>
      </c>
      <c r="BO42" s="106">
        <f>+HLOOKUP($C42,PMGR!$DI$2:$DU$250,148,0)</f>
        <v>0</v>
      </c>
      <c r="BP42" s="106">
        <f>+HLOOKUP($C42,PMGR!$DI$2:$DU$250,150,0)</f>
        <v>19331.760000000002</v>
      </c>
      <c r="BQ42" s="106">
        <f>+HLOOKUP($C42,PMGR!$DI$2:$DU$250,151,0)</f>
        <v>1488.3</v>
      </c>
      <c r="BR42" s="106">
        <f>+HLOOKUP($C42,PMGR!$DI$2:$DU$250,152,0)</f>
        <v>9600</v>
      </c>
      <c r="BS42" s="106">
        <f>+HLOOKUP($C42,PMGR!$DI$2:$DU$250,153,0)</f>
        <v>1800</v>
      </c>
      <c r="BT42" s="106">
        <f>+HLOOKUP($C42,PMGR!$DI$2:$DU$250,157,0)</f>
        <v>6360</v>
      </c>
      <c r="BU42" s="106">
        <f>+HLOOKUP($C42,PMGR!$DI$2:$DU$250,158,0)</f>
        <v>1305</v>
      </c>
      <c r="BV42" s="106">
        <f>+HLOOKUP($C42,PMGR!$DI$2:$DU$250,159,0)</f>
        <v>0</v>
      </c>
      <c r="BW42" s="106">
        <f>+HLOOKUP($C42,PMGR!$DI$2:$DU$250,160,0)</f>
        <v>6600</v>
      </c>
      <c r="BX42" s="106">
        <f>+HLOOKUP($C42,PMGR!$DI$2:$DU$250,161,0)</f>
        <v>7327.380768</v>
      </c>
      <c r="BY42" s="106">
        <f>+HLOOKUP($C42,PMGR!$DI$2:$DU$250,164,0)</f>
        <v>1000</v>
      </c>
      <c r="BZ42" s="106">
        <f>+HLOOKUP($C42,PMGR!$DI$2:$DU$250,165,0)</f>
        <v>25626.666666666664</v>
      </c>
      <c r="CA42" s="106">
        <f>+HLOOKUP($C42,PMGR!$DI$2:$DU$250,166,0)</f>
        <v>0</v>
      </c>
      <c r="CB42" s="106">
        <f>+HLOOKUP($C42,PMGR!$DI$2:$DU$250,167,0)</f>
        <v>12500</v>
      </c>
      <c r="CC42" s="106">
        <f>+HLOOKUP($C42,PMGR!$DI$2:$DU$250,168,0)</f>
        <v>0</v>
      </c>
      <c r="CD42" s="106">
        <f>+HLOOKUP($C42,PMGR!$DI$2:$DU$250,169,0)</f>
        <v>2000</v>
      </c>
      <c r="CE42" s="106">
        <f>+HLOOKUP($C42,PMGR!$DI$2:$DU$250,170,0)</f>
        <v>0</v>
      </c>
      <c r="CF42" s="106">
        <f>+HLOOKUP($C42,PMGR!$DI$2:$DU$250,172,0)</f>
        <v>10800</v>
      </c>
      <c r="CG42" s="106">
        <f>+HLOOKUP($C42,PMGR!$DI$2:$DU$250,173,0)</f>
        <v>10800</v>
      </c>
      <c r="CH42" s="106">
        <f>+HLOOKUP($C42,PMGR!$DI$2:$DU$250,174,0)</f>
        <v>57600</v>
      </c>
      <c r="CI42" s="106">
        <f>+HLOOKUP($C42,PMGR!$DI$2:$DU$250,175,0)</f>
        <v>4458</v>
      </c>
      <c r="CJ42" s="106">
        <f>+HLOOKUP($C42,PMGR!$DI$2:$DU$250,176,0)</f>
        <v>3555</v>
      </c>
      <c r="CK42" s="106">
        <f>+HLOOKUP($C42,PMGR!$DI$2:$DU$250,178,0)</f>
        <v>36000</v>
      </c>
      <c r="CL42" s="106">
        <f>+HLOOKUP($C42,PMGR!$DI$2:$DU$250,179,0)</f>
        <v>0</v>
      </c>
      <c r="CM42" s="106">
        <f>+HLOOKUP($C42,PMGR!$DI$2:$DU$250,180,0)</f>
        <v>8820</v>
      </c>
      <c r="CN42" s="106">
        <f>+HLOOKUP($C42,PMGR!$DI$2:$DU$250,182,0)</f>
        <v>368.55</v>
      </c>
      <c r="CO42" s="106">
        <f>+HLOOKUP($C42,PMGR!$DI$2:$DU$250,183,0)</f>
        <v>7035.3</v>
      </c>
      <c r="CP42" s="106">
        <f>+HLOOKUP($C42,PMGR!$DI$2:$DU$250,184,0)</f>
        <v>3240</v>
      </c>
      <c r="CQ42" s="106">
        <f>+HLOOKUP($C42,PMGR!$DI$2:$DU$250,185,0)</f>
        <v>0</v>
      </c>
      <c r="CR42" s="106">
        <f>+HLOOKUP($C42,PMGR!$DI$2:$DU$250,187,0)</f>
        <v>1874.8799999999997</v>
      </c>
      <c r="CS42" s="106">
        <f>+HLOOKUP($C42,PMGR!$DI$2:$DU$250,188,0)</f>
        <v>2385</v>
      </c>
      <c r="CT42" s="106">
        <f>+HLOOKUP($C42,PMGR!$DI$2:$DU$250,189,0)</f>
        <v>1500.0299999999997</v>
      </c>
      <c r="CU42" s="106">
        <f>+HLOOKUP($C42,PMGR!$DI$2:$DU$250,190,0)</f>
        <v>1520.01</v>
      </c>
      <c r="CV42" s="106">
        <f>+HLOOKUP($C42,PMGR!$DI$2:$DU$250,191,0)</f>
        <v>0</v>
      </c>
      <c r="CW42" s="106">
        <f>+HLOOKUP($C42,PMGR!$DI$2:$DU$250,193,0)</f>
        <v>3706.3</v>
      </c>
      <c r="CX42" s="106">
        <f>+HLOOKUP($C42,PMGR!$DI$2:$DU$250,194,0)</f>
        <v>355.1</v>
      </c>
      <c r="CY42" s="106">
        <f>+HLOOKUP($C42,PMGR!$DI$2:$DU$250,195,0)</f>
        <v>825.03539999999998</v>
      </c>
      <c r="CZ42" s="106">
        <f>+HLOOKUP($C42,PMGR!$DI$2:$DU$250,196,0)</f>
        <v>0</v>
      </c>
      <c r="DA42" s="106">
        <f>+HLOOKUP($C42,PMGR!$DI$2:$DU$250,197,0)</f>
        <v>9849.6</v>
      </c>
      <c r="DB42" s="106">
        <f>+HLOOKUP($C42,PMGR!$DI$2:$DU$250,198,0)</f>
        <v>3033</v>
      </c>
      <c r="DC42" s="106">
        <f>+HLOOKUP($C42,PMGR!$DI$2:$DU$250,199,0)</f>
        <v>648</v>
      </c>
      <c r="DD42" s="106">
        <f>+HLOOKUP($C42,PMGR!$DI$2:$DU$250,200,0)</f>
        <v>210</v>
      </c>
      <c r="DE42" s="106">
        <f>+HLOOKUP($C42,PMGR!$DI$2:$DU$250,201,0)</f>
        <v>44.55</v>
      </c>
      <c r="DF42" s="106">
        <f>+HLOOKUP($C42,PMGR!$DI$2:$DU$250,202,0)</f>
        <v>0</v>
      </c>
      <c r="DG42" s="106">
        <f>+HLOOKUP($C42,PMGR!$DI$2:$DU$250,203,0)</f>
        <v>0</v>
      </c>
      <c r="DH42" s="106">
        <f>+HLOOKUP($C42,PMGR!$DI$2:$DU$250,205,0)</f>
        <v>0</v>
      </c>
      <c r="DI42" s="106">
        <f>+HLOOKUP($C42,PMGR!$DI$2:$DU$250,206,0)</f>
        <v>2812.3733323636361</v>
      </c>
      <c r="DJ42" s="106">
        <f>+HLOOKUP($C42,PMGR!$DI$2:$DU$250,207,0)</f>
        <v>22535.723166666663</v>
      </c>
      <c r="DK42" s="106">
        <f>+HLOOKUP($C42,PMGR!$DI$2:$DU$250,209,0)</f>
        <v>0</v>
      </c>
      <c r="DL42" s="106">
        <f>+HLOOKUP($C42,PMGR!$DI$2:$DU$250,210,0)</f>
        <v>70195.485937500009</v>
      </c>
      <c r="DM42" s="106">
        <f>+HLOOKUP($C42,PMGR!$DI$2:$DU$250,211,0)</f>
        <v>0</v>
      </c>
      <c r="DN42" s="106">
        <f>+HLOOKUP($C42,PMGR!$DI$2:$DU$250,212,0)</f>
        <v>48000</v>
      </c>
      <c r="DO42" s="106">
        <f>+HLOOKUP($C42,PMGR!$DI$2:$DU$250,214,0)</f>
        <v>0</v>
      </c>
      <c r="DP42" s="106">
        <f>+HLOOKUP($C42,PMGR!$DI$2:$DU$250,215,0)</f>
        <v>540</v>
      </c>
      <c r="DQ42" s="106">
        <f>+HLOOKUP($C42,PMGR!$DI$2:$DU$250,219,0)</f>
        <v>0</v>
      </c>
      <c r="DR42" s="106">
        <f>+HLOOKUP($C42,PMGR!$DI$2:$DU$250,220,0)</f>
        <v>0</v>
      </c>
      <c r="DS42" s="106">
        <f>+HLOOKUP($C42,PMGR!$DI$2:$DU$250,221,0)</f>
        <v>0</v>
      </c>
      <c r="DT42" s="106">
        <f>+HLOOKUP($C42,PMGR!$DI$2:$DU$250,223,0)</f>
        <v>11250</v>
      </c>
      <c r="DU42" s="106">
        <f>+HLOOKUP($C42,PMGR!$DI$2:$DU$250,224,0)</f>
        <v>5000</v>
      </c>
      <c r="DV42" s="106">
        <f>+HLOOKUP($C42,PMGR!$DI$2:$DU$250,225,0)</f>
        <v>0</v>
      </c>
      <c r="DW42" s="106">
        <f>+HLOOKUP($C42,PMGR!$DI$2:$DU$250,227,0)</f>
        <v>0</v>
      </c>
      <c r="DX42" s="106">
        <f>+HLOOKUP($C42,PMGR!$DI$2:$DU$250,228,0)</f>
        <v>0</v>
      </c>
      <c r="DY42" s="106">
        <f>+HLOOKUP($C42,PMGR!$DI$2:$DU$250,236,0)</f>
        <v>147928.196</v>
      </c>
      <c r="DZ42" s="106">
        <f>+HLOOKUP($C42,PMGR!$DI$2:$DU$250,237,0)</f>
        <v>95465.306110393678</v>
      </c>
      <c r="EA42" s="106">
        <f>+HLOOKUP($C42,PMGR!$DI$2:$DU$250,238,0)</f>
        <v>19014.8</v>
      </c>
      <c r="EB42" s="106">
        <f>+HLOOKUP($C42,PMGR!$DI$2:$DU$250,240,0)</f>
        <v>241812.14353571442</v>
      </c>
    </row>
    <row r="43" spans="1:132">
      <c r="A43" t="s">
        <v>271</v>
      </c>
      <c r="B43" t="s">
        <v>217</v>
      </c>
      <c r="C43" s="117">
        <v>45839</v>
      </c>
      <c r="D43" s="106">
        <f t="shared" si="0"/>
        <v>13342365.358373161</v>
      </c>
      <c r="E43" s="106">
        <f>+HLOOKUP(C43,PMGR!$DI$2:$DU$250,28,0)+HLOOKUP(C43,PMGR!$DI$2:$DU$250,43,0)+HLOOKUP(C43,PMGR!$DI$2:$DU$250,44,0)+HLOOKUP(C43,PMGR!$DI$2:$DU$250,45,0)+HLOOKUP(C43,PMGR!$DI$2:$DU$250,54,0)+HLOOKUP(C43,PMGR!$DI$2:$DU$250,59,0)</f>
        <v>13342365.358373161</v>
      </c>
      <c r="F43" s="106">
        <f>+HLOOKUP(C43,PMGR!$DI$2:$DU$250,37,0)+HLOOKUP(C43,PMGR!$DI$2:$DU$250,55,0)</f>
        <v>8904599.5604373384</v>
      </c>
      <c r="G43" s="106">
        <f>+HLOOKUP($C43,PMGR!$DI$2:$DU$250,76,0)</f>
        <v>0</v>
      </c>
      <c r="H43" s="106">
        <f>+HLOOKUP($C43,PMGR!$DI$2:$DU$250,77,0)</f>
        <v>0</v>
      </c>
      <c r="I43" s="106">
        <f>+HLOOKUP($C43,PMGR!$DI$2:$DU$250,78,0)</f>
        <v>0</v>
      </c>
      <c r="J43" s="106">
        <f>+HLOOKUP($C43,PMGR!$DI$2:$DU$250,79,0)</f>
        <v>0</v>
      </c>
      <c r="K43" s="106">
        <f>+HLOOKUP($C43,PMGR!$DI$2:$DU$250,80,0)</f>
        <v>5000</v>
      </c>
      <c r="L43" s="106">
        <f>+HLOOKUP($C43,PMGR!$DI$2:$DU$250,81,0)</f>
        <v>0</v>
      </c>
      <c r="M43" s="106">
        <f>+HLOOKUP($C43,PMGR!$DI$2:$DU$250,82,0)</f>
        <v>0</v>
      </c>
      <c r="N43" s="106">
        <f>+HLOOKUP($C43,PMGR!$DI$2:$DU$250,83,0)</f>
        <v>0</v>
      </c>
      <c r="O43" s="106">
        <f>+HLOOKUP($C43,PMGR!$DI$2:$DU$250,84,0)</f>
        <v>0</v>
      </c>
      <c r="P43" s="106">
        <f>+HLOOKUP($C43,PMGR!$DI$2:$DU$250,85,0)</f>
        <v>0</v>
      </c>
      <c r="Q43" s="106">
        <f>+HLOOKUP($C43,PMGR!$DI$2:$DU$250,87,0)</f>
        <v>271755.33069999999</v>
      </c>
      <c r="R43" s="106">
        <f>+HLOOKUP($C43,PMGR!$DI$2:$DU$250,90,0)</f>
        <v>0</v>
      </c>
      <c r="S43" s="106">
        <f>+HLOOKUP($C43,PMGR!$DI$2:$DU$250,91,0)</f>
        <v>1250</v>
      </c>
      <c r="T43" s="106">
        <f>+HLOOKUP($C43,PMGR!$DI$2:$DU$250,92,0)</f>
        <v>0</v>
      </c>
      <c r="U43" s="106">
        <f>+HLOOKUP($C43,PMGR!$DI$2:$DU$250,93,0)</f>
        <v>0</v>
      </c>
      <c r="V43" s="106">
        <f>+HLOOKUP($C43,PMGR!$DI$2:$DU$250,94,0)</f>
        <v>0</v>
      </c>
      <c r="W43" s="106">
        <f>+HLOOKUP($C43,PMGR!$DI$2:$DU$250,95,0)</f>
        <v>0</v>
      </c>
      <c r="X43" s="106">
        <f>+HLOOKUP($C43,PMGR!$DI$2:$DU$250,96,0)</f>
        <v>0</v>
      </c>
      <c r="Y43" s="106">
        <f>+HLOOKUP($C43,PMGR!$DI$2:$DU$250,97,0)</f>
        <v>0</v>
      </c>
      <c r="Z43" s="106">
        <f>+HLOOKUP($C43,PMGR!$DI$2:$DU$250,98,0)</f>
        <v>0</v>
      </c>
      <c r="AA43" s="106">
        <f>+HLOOKUP($C43,PMGR!$DI$2:$DU$250,99,0)</f>
        <v>0</v>
      </c>
      <c r="AB43" s="106">
        <f>+HLOOKUP($C43,PMGR!$DI$2:$DU$250,100,0)</f>
        <v>0</v>
      </c>
      <c r="AC43" s="106">
        <f>+HLOOKUP($C43,PMGR!$DI$2:$DU$250,101,0)</f>
        <v>10000</v>
      </c>
      <c r="AD43" s="106">
        <f>+HLOOKUP($C43,PMGR!$DI$2:$DU$250,104,0)</f>
        <v>0</v>
      </c>
      <c r="AE43" s="106">
        <f>+HLOOKUP($C43,PMGR!$DI$2:$DU$250,105,0)</f>
        <v>43164.1518</v>
      </c>
      <c r="AF43" s="106">
        <f>+HLOOKUP($C43,PMGR!$DI$2:$DU$250,106,0)</f>
        <v>0</v>
      </c>
      <c r="AG43" s="106">
        <f>+HLOOKUP($C43,PMGR!$DI$2:$DU$250,107,0)</f>
        <v>0</v>
      </c>
      <c r="AH43" s="106">
        <f>+HLOOKUP($C43,PMGR!$DI$2:$DU$250,108,0)</f>
        <v>0</v>
      </c>
      <c r="AI43" s="106">
        <f>+HLOOKUP($C43,PMGR!$DI$2:$DU$250,109,0)</f>
        <v>0</v>
      </c>
      <c r="AJ43" s="106">
        <f>+HLOOKUP($C43,PMGR!$DI$2:$DU$250,110,0)</f>
        <v>0</v>
      </c>
      <c r="AK43" s="106">
        <f>+HLOOKUP($C43,PMGR!$DI$2:$DU$250,111,0)</f>
        <v>3170.6031504000002</v>
      </c>
      <c r="AL43" s="106">
        <f>+HLOOKUP($C43,PMGR!$DI$2:$DU$250,112,0)</f>
        <v>0</v>
      </c>
      <c r="AM43" s="106">
        <f>+HLOOKUP($C43,PMGR!$DI$2:$DU$250,116,0)</f>
        <v>306100</v>
      </c>
      <c r="AN43" s="106">
        <f>+HLOOKUP($C43,PMGR!$DI$2:$DU$250,117,0)</f>
        <v>49980</v>
      </c>
      <c r="AO43" s="106">
        <f>+HLOOKUP($C43,PMGR!$DI$2:$DU$250,118,0)</f>
        <v>3000</v>
      </c>
      <c r="AP43" s="106">
        <f>+HLOOKUP($C43,PMGR!$DI$2:$DU$250,119,0)</f>
        <v>113020</v>
      </c>
      <c r="AQ43" s="106">
        <f>+HLOOKUP($C43,PMGR!$DI$2:$DU$250,120,0)</f>
        <v>26500</v>
      </c>
      <c r="AR43" s="106">
        <f>+HLOOKUP($C43,PMGR!$DI$2:$DU$250,121,0)</f>
        <v>16000</v>
      </c>
      <c r="AS43" s="106">
        <f>+HLOOKUP($C43,PMGR!$DI$2:$DU$250,122,0)</f>
        <v>131250</v>
      </c>
      <c r="AT43" s="106">
        <f>+HLOOKUP($C43,PMGR!$DI$2:$DU$250,123,0)</f>
        <v>35293.217528472225</v>
      </c>
      <c r="AU43" s="106">
        <f>+HLOOKUP($C43,PMGR!$DI$2:$DU$250,124,0)</f>
        <v>3752.5</v>
      </c>
      <c r="AV43" s="106">
        <f>+HLOOKUP($C43,PMGR!$DI$2:$DU$250,125,0)</f>
        <v>23535</v>
      </c>
      <c r="AW43" s="106">
        <f>+HLOOKUP($C43,PMGR!$DI$2:$DU$250,126,0)</f>
        <v>14716.346153846156</v>
      </c>
      <c r="AX43" s="106">
        <f>+HLOOKUP($C43,PMGR!$DI$2:$DU$250,127,0)</f>
        <v>20216.666666666664</v>
      </c>
      <c r="AY43" s="106">
        <f>+HLOOKUP($C43,PMGR!$DI$2:$DU$250,129,0)</f>
        <v>0</v>
      </c>
      <c r="AZ43" s="106">
        <f>+HLOOKUP($C43,PMGR!$DI$2:$DU$250,130,0)</f>
        <v>0</v>
      </c>
      <c r="BA43" s="106">
        <f>+HLOOKUP($C43,PMGR!$DI$2:$DU$250,131,0)</f>
        <v>35000</v>
      </c>
      <c r="BB43" s="106">
        <f>+HLOOKUP($C43,PMGR!$DI$2:$DU$250,133,0)</f>
        <v>0</v>
      </c>
      <c r="BC43" s="106">
        <f>+HLOOKUP($C43,PMGR!$DI$2:$DU$250,134,0)</f>
        <v>29680.886966666669</v>
      </c>
      <c r="BD43" s="106">
        <f>+HLOOKUP($C43,PMGR!$DI$2:$DU$250,135,0)</f>
        <v>0</v>
      </c>
      <c r="BE43" s="106">
        <f>+HLOOKUP($C43,PMGR!$DI$2:$DU$250,136,0)</f>
        <v>0</v>
      </c>
      <c r="BF43" s="106">
        <f>+HLOOKUP($C43,PMGR!$DI$2:$DU$250,138,0)</f>
        <v>7150</v>
      </c>
      <c r="BG43" s="106">
        <f>+HLOOKUP($C43,PMGR!$DI$2:$DU$250,139,0)</f>
        <v>9280.9624166666672</v>
      </c>
      <c r="BH43" s="106">
        <f>+HLOOKUP($C43,PMGR!$DI$2:$DU$250,140,0)</f>
        <v>27000</v>
      </c>
      <c r="BI43" s="106">
        <f>+HLOOKUP($C43,PMGR!$DI$2:$DU$250,141,0)</f>
        <v>0</v>
      </c>
      <c r="BJ43" s="106">
        <f>+HLOOKUP($C43,PMGR!$DI$2:$DU$250,142,0)</f>
        <v>0</v>
      </c>
      <c r="BK43" s="106">
        <f>+HLOOKUP($C43,PMGR!$DI$2:$DU$250,143,0)</f>
        <v>14452.166666666666</v>
      </c>
      <c r="BL43" s="106">
        <f>+HLOOKUP($C43,PMGR!$DI$2:$DU$250,144,0)</f>
        <v>2145.8333333333335</v>
      </c>
      <c r="BM43" s="106">
        <f>+HLOOKUP($C43,PMGR!$DI$2:$DU$250,146,0)</f>
        <v>0</v>
      </c>
      <c r="BN43" s="106">
        <f>+HLOOKUP($C43,PMGR!$DI$2:$DU$250,147,0)</f>
        <v>59554.775000000001</v>
      </c>
      <c r="BO43" s="106">
        <f>+HLOOKUP($C43,PMGR!$DI$2:$DU$250,148,0)</f>
        <v>0</v>
      </c>
      <c r="BP43" s="106">
        <f>+HLOOKUP($C43,PMGR!$DI$2:$DU$250,150,0)</f>
        <v>19331.760000000002</v>
      </c>
      <c r="BQ43" s="106">
        <f>+HLOOKUP($C43,PMGR!$DI$2:$DU$250,151,0)</f>
        <v>1488.3</v>
      </c>
      <c r="BR43" s="106">
        <f>+HLOOKUP($C43,PMGR!$DI$2:$DU$250,152,0)</f>
        <v>9600</v>
      </c>
      <c r="BS43" s="106">
        <f>+HLOOKUP($C43,PMGR!$DI$2:$DU$250,153,0)</f>
        <v>1800</v>
      </c>
      <c r="BT43" s="106">
        <f>+HLOOKUP($C43,PMGR!$DI$2:$DU$250,157,0)</f>
        <v>6360</v>
      </c>
      <c r="BU43" s="106">
        <f>+HLOOKUP($C43,PMGR!$DI$2:$DU$250,158,0)</f>
        <v>1305</v>
      </c>
      <c r="BV43" s="106">
        <f>+HLOOKUP($C43,PMGR!$DI$2:$DU$250,159,0)</f>
        <v>0</v>
      </c>
      <c r="BW43" s="106">
        <f>+HLOOKUP($C43,PMGR!$DI$2:$DU$250,160,0)</f>
        <v>6600</v>
      </c>
      <c r="BX43" s="106">
        <f>+HLOOKUP($C43,PMGR!$DI$2:$DU$250,161,0)</f>
        <v>7327.380768</v>
      </c>
      <c r="BY43" s="106">
        <f>+HLOOKUP($C43,PMGR!$DI$2:$DU$250,164,0)</f>
        <v>1000</v>
      </c>
      <c r="BZ43" s="106">
        <f>+HLOOKUP($C43,PMGR!$DI$2:$DU$250,165,0)</f>
        <v>25626.666666666664</v>
      </c>
      <c r="CA43" s="106">
        <f>+HLOOKUP($C43,PMGR!$DI$2:$DU$250,166,0)</f>
        <v>0</v>
      </c>
      <c r="CB43" s="106">
        <f>+HLOOKUP($C43,PMGR!$DI$2:$DU$250,167,0)</f>
        <v>12500</v>
      </c>
      <c r="CC43" s="106">
        <f>+HLOOKUP($C43,PMGR!$DI$2:$DU$250,168,0)</f>
        <v>0</v>
      </c>
      <c r="CD43" s="106">
        <f>+HLOOKUP($C43,PMGR!$DI$2:$DU$250,169,0)</f>
        <v>0</v>
      </c>
      <c r="CE43" s="106">
        <f>+HLOOKUP($C43,PMGR!$DI$2:$DU$250,170,0)</f>
        <v>0</v>
      </c>
      <c r="CF43" s="106">
        <f>+HLOOKUP($C43,PMGR!$DI$2:$DU$250,172,0)</f>
        <v>10800</v>
      </c>
      <c r="CG43" s="106">
        <f>+HLOOKUP($C43,PMGR!$DI$2:$DU$250,173,0)</f>
        <v>10800</v>
      </c>
      <c r="CH43" s="106">
        <f>+HLOOKUP($C43,PMGR!$DI$2:$DU$250,174,0)</f>
        <v>57600</v>
      </c>
      <c r="CI43" s="106">
        <f>+HLOOKUP($C43,PMGR!$DI$2:$DU$250,175,0)</f>
        <v>4458</v>
      </c>
      <c r="CJ43" s="106">
        <f>+HLOOKUP($C43,PMGR!$DI$2:$DU$250,176,0)</f>
        <v>3555</v>
      </c>
      <c r="CK43" s="106">
        <f>+HLOOKUP($C43,PMGR!$DI$2:$DU$250,178,0)</f>
        <v>36000</v>
      </c>
      <c r="CL43" s="106">
        <f>+HLOOKUP($C43,PMGR!$DI$2:$DU$250,179,0)</f>
        <v>0</v>
      </c>
      <c r="CM43" s="106">
        <f>+HLOOKUP($C43,PMGR!$DI$2:$DU$250,180,0)</f>
        <v>8820</v>
      </c>
      <c r="CN43" s="106">
        <f>+HLOOKUP($C43,PMGR!$DI$2:$DU$250,182,0)</f>
        <v>368.55</v>
      </c>
      <c r="CO43" s="106">
        <f>+HLOOKUP($C43,PMGR!$DI$2:$DU$250,183,0)</f>
        <v>7035.3</v>
      </c>
      <c r="CP43" s="106">
        <f>+HLOOKUP($C43,PMGR!$DI$2:$DU$250,184,0)</f>
        <v>3240</v>
      </c>
      <c r="CQ43" s="106">
        <f>+HLOOKUP($C43,PMGR!$DI$2:$DU$250,185,0)</f>
        <v>0</v>
      </c>
      <c r="CR43" s="106">
        <f>+HLOOKUP($C43,PMGR!$DI$2:$DU$250,187,0)</f>
        <v>1874.8799999999997</v>
      </c>
      <c r="CS43" s="106">
        <f>+HLOOKUP($C43,PMGR!$DI$2:$DU$250,188,0)</f>
        <v>2385</v>
      </c>
      <c r="CT43" s="106">
        <f>+HLOOKUP($C43,PMGR!$DI$2:$DU$250,189,0)</f>
        <v>1500.0299999999997</v>
      </c>
      <c r="CU43" s="106">
        <f>+HLOOKUP($C43,PMGR!$DI$2:$DU$250,190,0)</f>
        <v>1520.01</v>
      </c>
      <c r="CV43" s="106">
        <f>+HLOOKUP($C43,PMGR!$DI$2:$DU$250,191,0)</f>
        <v>0</v>
      </c>
      <c r="CW43" s="106">
        <f>+HLOOKUP($C43,PMGR!$DI$2:$DU$250,193,0)</f>
        <v>3706.3</v>
      </c>
      <c r="CX43" s="106">
        <f>+HLOOKUP($C43,PMGR!$DI$2:$DU$250,194,0)</f>
        <v>355.1</v>
      </c>
      <c r="CY43" s="106">
        <f>+HLOOKUP($C43,PMGR!$DI$2:$DU$250,195,0)</f>
        <v>825.03539999999998</v>
      </c>
      <c r="CZ43" s="106">
        <f>+HLOOKUP($C43,PMGR!$DI$2:$DU$250,196,0)</f>
        <v>0</v>
      </c>
      <c r="DA43" s="106">
        <f>+HLOOKUP($C43,PMGR!$DI$2:$DU$250,197,0)</f>
        <v>9849.6</v>
      </c>
      <c r="DB43" s="106">
        <f>+HLOOKUP($C43,PMGR!$DI$2:$DU$250,198,0)</f>
        <v>3033</v>
      </c>
      <c r="DC43" s="106">
        <f>+HLOOKUP($C43,PMGR!$DI$2:$DU$250,199,0)</f>
        <v>648</v>
      </c>
      <c r="DD43" s="106">
        <f>+HLOOKUP($C43,PMGR!$DI$2:$DU$250,200,0)</f>
        <v>210</v>
      </c>
      <c r="DE43" s="106">
        <f>+HLOOKUP($C43,PMGR!$DI$2:$DU$250,201,0)</f>
        <v>44.55</v>
      </c>
      <c r="DF43" s="106">
        <f>+HLOOKUP($C43,PMGR!$DI$2:$DU$250,202,0)</f>
        <v>0</v>
      </c>
      <c r="DG43" s="106">
        <f>+HLOOKUP($C43,PMGR!$DI$2:$DU$250,203,0)</f>
        <v>0</v>
      </c>
      <c r="DH43" s="106">
        <f>+HLOOKUP($C43,PMGR!$DI$2:$DU$250,205,0)</f>
        <v>0</v>
      </c>
      <c r="DI43" s="106">
        <f>+HLOOKUP($C43,PMGR!$DI$2:$DU$250,206,0)</f>
        <v>2812.3733323636361</v>
      </c>
      <c r="DJ43" s="106">
        <f>+HLOOKUP($C43,PMGR!$DI$2:$DU$250,207,0)</f>
        <v>22535.723166666663</v>
      </c>
      <c r="DK43" s="106">
        <f>+HLOOKUP($C43,PMGR!$DI$2:$DU$250,209,0)</f>
        <v>0</v>
      </c>
      <c r="DL43" s="106">
        <f>+HLOOKUP($C43,PMGR!$DI$2:$DU$250,210,0)</f>
        <v>70195.485937500009</v>
      </c>
      <c r="DM43" s="106">
        <f>+HLOOKUP($C43,PMGR!$DI$2:$DU$250,211,0)</f>
        <v>0</v>
      </c>
      <c r="DN43" s="106">
        <f>+HLOOKUP($C43,PMGR!$DI$2:$DU$250,212,0)</f>
        <v>48000</v>
      </c>
      <c r="DO43" s="106">
        <f>+HLOOKUP($C43,PMGR!$DI$2:$DU$250,214,0)</f>
        <v>0</v>
      </c>
      <c r="DP43" s="106">
        <f>+HLOOKUP($C43,PMGR!$DI$2:$DU$250,215,0)</f>
        <v>540</v>
      </c>
      <c r="DQ43" s="106">
        <f>+HLOOKUP($C43,PMGR!$DI$2:$DU$250,219,0)</f>
        <v>0</v>
      </c>
      <c r="DR43" s="106">
        <f>+HLOOKUP($C43,PMGR!$DI$2:$DU$250,220,0)</f>
        <v>0</v>
      </c>
      <c r="DS43" s="106">
        <f>+HLOOKUP($C43,PMGR!$DI$2:$DU$250,221,0)</f>
        <v>0</v>
      </c>
      <c r="DT43" s="106">
        <f>+HLOOKUP($C43,PMGR!$DI$2:$DU$250,223,0)</f>
        <v>11250</v>
      </c>
      <c r="DU43" s="106">
        <f>+HLOOKUP($C43,PMGR!$DI$2:$DU$250,224,0)</f>
        <v>5000</v>
      </c>
      <c r="DV43" s="106">
        <f>+HLOOKUP($C43,PMGR!$DI$2:$DU$250,225,0)</f>
        <v>0</v>
      </c>
      <c r="DW43" s="106">
        <f>+HLOOKUP($C43,PMGR!$DI$2:$DU$250,227,0)</f>
        <v>0</v>
      </c>
      <c r="DX43" s="106">
        <f>+HLOOKUP($C43,PMGR!$DI$2:$DU$250,228,0)</f>
        <v>0</v>
      </c>
      <c r="DY43" s="106">
        <f>+HLOOKUP($C43,PMGR!$DI$2:$DU$250,236,0)</f>
        <v>152199.84</v>
      </c>
      <c r="DZ43" s="106">
        <f>+HLOOKUP($C43,PMGR!$DI$2:$DU$250,237,0)</f>
        <v>96755.377783351752</v>
      </c>
      <c r="EA43" s="106">
        <f>+HLOOKUP($C43,PMGR!$DI$2:$DU$250,238,0)</f>
        <v>20841.600000000002</v>
      </c>
      <c r="EB43" s="106">
        <f>+HLOOKUP($C43,PMGR!$DI$2:$DU$250,240,0)</f>
        <v>241812.14353571442</v>
      </c>
    </row>
    <row r="44" spans="1:132">
      <c r="A44" t="s">
        <v>271</v>
      </c>
      <c r="B44" t="s">
        <v>217</v>
      </c>
      <c r="C44" s="117">
        <v>45809</v>
      </c>
      <c r="D44" s="106">
        <f t="shared" si="0"/>
        <v>15065525.281086074</v>
      </c>
      <c r="E44" s="106">
        <f>+HLOOKUP(C44,PMGR!$DI$2:$DU$250,28,0)+HLOOKUP(C44,PMGR!$DI$2:$DU$250,43,0)+HLOOKUP(C44,PMGR!$DI$2:$DU$250,44,0)+HLOOKUP(C44,PMGR!$DI$2:$DU$250,45,0)+HLOOKUP(C44,PMGR!$DI$2:$DU$250,54,0)+HLOOKUP(C44,PMGR!$DI$2:$DU$250,59,0)</f>
        <v>15065525.281086074</v>
      </c>
      <c r="F44" s="106">
        <f>+HLOOKUP(C44,PMGR!$DI$2:$DU$250,37,0)+HLOOKUP(C44,PMGR!$DI$2:$DU$250,55,0)</f>
        <v>8538360.7019893397</v>
      </c>
      <c r="G44" s="106">
        <f>+HLOOKUP($C44,PMGR!$DI$2:$DU$250,76,0)</f>
        <v>0</v>
      </c>
      <c r="H44" s="106">
        <f>+HLOOKUP($C44,PMGR!$DI$2:$DU$250,77,0)</f>
        <v>0</v>
      </c>
      <c r="I44" s="106">
        <f>+HLOOKUP($C44,PMGR!$DI$2:$DU$250,78,0)</f>
        <v>0</v>
      </c>
      <c r="J44" s="106">
        <f>+HLOOKUP($C44,PMGR!$DI$2:$DU$250,79,0)</f>
        <v>0</v>
      </c>
      <c r="K44" s="106">
        <f>+HLOOKUP($C44,PMGR!$DI$2:$DU$250,80,0)</f>
        <v>5000</v>
      </c>
      <c r="L44" s="106">
        <f>+HLOOKUP($C44,PMGR!$DI$2:$DU$250,81,0)</f>
        <v>0</v>
      </c>
      <c r="M44" s="106">
        <f>+HLOOKUP($C44,PMGR!$DI$2:$DU$250,82,0)</f>
        <v>0</v>
      </c>
      <c r="N44" s="106">
        <f>+HLOOKUP($C44,PMGR!$DI$2:$DU$250,83,0)</f>
        <v>0</v>
      </c>
      <c r="O44" s="106">
        <f>+HLOOKUP($C44,PMGR!$DI$2:$DU$250,84,0)</f>
        <v>0</v>
      </c>
      <c r="P44" s="106">
        <f>+HLOOKUP($C44,PMGR!$DI$2:$DU$250,85,0)</f>
        <v>0</v>
      </c>
      <c r="Q44" s="106">
        <f>+HLOOKUP($C44,PMGR!$DI$2:$DU$250,87,0)</f>
        <v>259925.60240000003</v>
      </c>
      <c r="R44" s="106">
        <f>+HLOOKUP($C44,PMGR!$DI$2:$DU$250,90,0)</f>
        <v>0</v>
      </c>
      <c r="S44" s="106">
        <f>+HLOOKUP($C44,PMGR!$DI$2:$DU$250,91,0)</f>
        <v>1250</v>
      </c>
      <c r="T44" s="106">
        <f>+HLOOKUP($C44,PMGR!$DI$2:$DU$250,92,0)</f>
        <v>0</v>
      </c>
      <c r="U44" s="106">
        <f>+HLOOKUP($C44,PMGR!$DI$2:$DU$250,93,0)</f>
        <v>0</v>
      </c>
      <c r="V44" s="106">
        <f>+HLOOKUP($C44,PMGR!$DI$2:$DU$250,94,0)</f>
        <v>0</v>
      </c>
      <c r="W44" s="106">
        <f>+HLOOKUP($C44,PMGR!$DI$2:$DU$250,95,0)</f>
        <v>0</v>
      </c>
      <c r="X44" s="106">
        <f>+HLOOKUP($C44,PMGR!$DI$2:$DU$250,96,0)</f>
        <v>0</v>
      </c>
      <c r="Y44" s="106">
        <f>+HLOOKUP($C44,PMGR!$DI$2:$DU$250,97,0)</f>
        <v>0</v>
      </c>
      <c r="Z44" s="106">
        <f>+HLOOKUP($C44,PMGR!$DI$2:$DU$250,98,0)</f>
        <v>0</v>
      </c>
      <c r="AA44" s="106">
        <f>+HLOOKUP($C44,PMGR!$DI$2:$DU$250,99,0)</f>
        <v>0</v>
      </c>
      <c r="AB44" s="106">
        <f>+HLOOKUP($C44,PMGR!$DI$2:$DU$250,100,0)</f>
        <v>0</v>
      </c>
      <c r="AC44" s="106">
        <f>+HLOOKUP($C44,PMGR!$DI$2:$DU$250,101,0)</f>
        <v>10000</v>
      </c>
      <c r="AD44" s="106">
        <f>+HLOOKUP($C44,PMGR!$DI$2:$DU$250,104,0)</f>
        <v>0</v>
      </c>
      <c r="AE44" s="106">
        <f>+HLOOKUP($C44,PMGR!$DI$2:$DU$250,105,0)</f>
        <v>41269.09072</v>
      </c>
      <c r="AF44" s="106">
        <f>+HLOOKUP($C44,PMGR!$DI$2:$DU$250,106,0)</f>
        <v>0</v>
      </c>
      <c r="AG44" s="106">
        <f>+HLOOKUP($C44,PMGR!$DI$2:$DU$250,107,0)</f>
        <v>0</v>
      </c>
      <c r="AH44" s="106">
        <f>+HLOOKUP($C44,PMGR!$DI$2:$DU$250,108,0)</f>
        <v>0</v>
      </c>
      <c r="AI44" s="106">
        <f>+HLOOKUP($C44,PMGR!$DI$2:$DU$250,109,0)</f>
        <v>0</v>
      </c>
      <c r="AJ44" s="106">
        <f>+HLOOKUP($C44,PMGR!$DI$2:$DU$250,110,0)</f>
        <v>0</v>
      </c>
      <c r="AK44" s="106">
        <f>+HLOOKUP($C44,PMGR!$DI$2:$DU$250,111,0)</f>
        <v>3031.4023001599999</v>
      </c>
      <c r="AL44" s="106">
        <f>+HLOOKUP($C44,PMGR!$DI$2:$DU$250,112,0)</f>
        <v>0</v>
      </c>
      <c r="AM44" s="106">
        <f>+HLOOKUP($C44,PMGR!$DI$2:$DU$250,116,0)</f>
        <v>306100</v>
      </c>
      <c r="AN44" s="106">
        <f>+HLOOKUP($C44,PMGR!$DI$2:$DU$250,117,0)</f>
        <v>49980</v>
      </c>
      <c r="AO44" s="106">
        <f>+HLOOKUP($C44,PMGR!$DI$2:$DU$250,118,0)</f>
        <v>3000</v>
      </c>
      <c r="AP44" s="106">
        <f>+HLOOKUP($C44,PMGR!$DI$2:$DU$250,119,0)</f>
        <v>113020</v>
      </c>
      <c r="AQ44" s="106">
        <f>+HLOOKUP($C44,PMGR!$DI$2:$DU$250,120,0)</f>
        <v>26500</v>
      </c>
      <c r="AR44" s="106">
        <f>+HLOOKUP($C44,PMGR!$DI$2:$DU$250,121,0)</f>
        <v>16000</v>
      </c>
      <c r="AS44" s="106">
        <f>+HLOOKUP($C44,PMGR!$DI$2:$DU$250,122,0)</f>
        <v>131250</v>
      </c>
      <c r="AT44" s="106">
        <f>+HLOOKUP($C44,PMGR!$DI$2:$DU$250,123,0)</f>
        <v>35293.217528472225</v>
      </c>
      <c r="AU44" s="106">
        <f>+HLOOKUP($C44,PMGR!$DI$2:$DU$250,124,0)</f>
        <v>3752.5</v>
      </c>
      <c r="AV44" s="106">
        <f>+HLOOKUP($C44,PMGR!$DI$2:$DU$250,125,0)</f>
        <v>23535</v>
      </c>
      <c r="AW44" s="106">
        <f>+HLOOKUP($C44,PMGR!$DI$2:$DU$250,126,0)</f>
        <v>14716.346153846156</v>
      </c>
      <c r="AX44" s="106">
        <f>+HLOOKUP($C44,PMGR!$DI$2:$DU$250,127,0)</f>
        <v>20216.666666666664</v>
      </c>
      <c r="AY44" s="106">
        <f>+HLOOKUP($C44,PMGR!$DI$2:$DU$250,129,0)</f>
        <v>0</v>
      </c>
      <c r="AZ44" s="106">
        <f>+HLOOKUP($C44,PMGR!$DI$2:$DU$250,130,0)</f>
        <v>0</v>
      </c>
      <c r="BA44" s="106">
        <f>+HLOOKUP($C44,PMGR!$DI$2:$DU$250,131,0)</f>
        <v>35000</v>
      </c>
      <c r="BB44" s="106">
        <f>+HLOOKUP($C44,PMGR!$DI$2:$DU$250,133,0)</f>
        <v>0</v>
      </c>
      <c r="BC44" s="106">
        <f>+HLOOKUP($C44,PMGR!$DI$2:$DU$250,134,0)</f>
        <v>29680.886966666669</v>
      </c>
      <c r="BD44" s="106">
        <f>+HLOOKUP($C44,PMGR!$DI$2:$DU$250,135,0)</f>
        <v>0</v>
      </c>
      <c r="BE44" s="106">
        <f>+HLOOKUP($C44,PMGR!$DI$2:$DU$250,136,0)</f>
        <v>0</v>
      </c>
      <c r="BF44" s="106">
        <f>+HLOOKUP($C44,PMGR!$DI$2:$DU$250,138,0)</f>
        <v>7150</v>
      </c>
      <c r="BG44" s="106">
        <f>+HLOOKUP($C44,PMGR!$DI$2:$DU$250,139,0)</f>
        <v>9280.9624166666672</v>
      </c>
      <c r="BH44" s="106">
        <f>+HLOOKUP($C44,PMGR!$DI$2:$DU$250,140,0)</f>
        <v>27000</v>
      </c>
      <c r="BI44" s="106">
        <f>+HLOOKUP($C44,PMGR!$DI$2:$DU$250,141,0)</f>
        <v>0</v>
      </c>
      <c r="BJ44" s="106">
        <f>+HLOOKUP($C44,PMGR!$DI$2:$DU$250,142,0)</f>
        <v>0</v>
      </c>
      <c r="BK44" s="106">
        <f>+HLOOKUP($C44,PMGR!$DI$2:$DU$250,143,0)</f>
        <v>14452.166666666666</v>
      </c>
      <c r="BL44" s="106">
        <f>+HLOOKUP($C44,PMGR!$DI$2:$DU$250,144,0)</f>
        <v>3729.166666666667</v>
      </c>
      <c r="BM44" s="106">
        <f>+HLOOKUP($C44,PMGR!$DI$2:$DU$250,146,0)</f>
        <v>0</v>
      </c>
      <c r="BN44" s="106">
        <f>+HLOOKUP($C44,PMGR!$DI$2:$DU$250,147,0)</f>
        <v>59554.775000000001</v>
      </c>
      <c r="BO44" s="106">
        <f>+HLOOKUP($C44,PMGR!$DI$2:$DU$250,148,0)</f>
        <v>0</v>
      </c>
      <c r="BP44" s="106">
        <f>+HLOOKUP($C44,PMGR!$DI$2:$DU$250,150,0)</f>
        <v>19331.760000000002</v>
      </c>
      <c r="BQ44" s="106">
        <f>+HLOOKUP($C44,PMGR!$DI$2:$DU$250,151,0)</f>
        <v>1488.3</v>
      </c>
      <c r="BR44" s="106">
        <f>+HLOOKUP($C44,PMGR!$DI$2:$DU$250,152,0)</f>
        <v>9600</v>
      </c>
      <c r="BS44" s="106">
        <f>+HLOOKUP($C44,PMGR!$DI$2:$DU$250,153,0)</f>
        <v>1800</v>
      </c>
      <c r="BT44" s="106">
        <f>+HLOOKUP($C44,PMGR!$DI$2:$DU$250,157,0)</f>
        <v>6360</v>
      </c>
      <c r="BU44" s="106">
        <f>+HLOOKUP($C44,PMGR!$DI$2:$DU$250,158,0)</f>
        <v>1305</v>
      </c>
      <c r="BV44" s="106">
        <f>+HLOOKUP($C44,PMGR!$DI$2:$DU$250,159,0)</f>
        <v>0</v>
      </c>
      <c r="BW44" s="106">
        <f>+HLOOKUP($C44,PMGR!$DI$2:$DU$250,160,0)</f>
        <v>6600</v>
      </c>
      <c r="BX44" s="106">
        <f>+HLOOKUP($C44,PMGR!$DI$2:$DU$250,161,0)</f>
        <v>7327.380768</v>
      </c>
      <c r="BY44" s="106">
        <f>+HLOOKUP($C44,PMGR!$DI$2:$DU$250,164,0)</f>
        <v>1000</v>
      </c>
      <c r="BZ44" s="106">
        <f>+HLOOKUP($C44,PMGR!$DI$2:$DU$250,165,0)</f>
        <v>25626.666666666664</v>
      </c>
      <c r="CA44" s="106">
        <f>+HLOOKUP($C44,PMGR!$DI$2:$DU$250,166,0)</f>
        <v>0</v>
      </c>
      <c r="CB44" s="106">
        <f>+HLOOKUP($C44,PMGR!$DI$2:$DU$250,167,0)</f>
        <v>12500</v>
      </c>
      <c r="CC44" s="106">
        <f>+HLOOKUP($C44,PMGR!$DI$2:$DU$250,168,0)</f>
        <v>0</v>
      </c>
      <c r="CD44" s="106">
        <f>+HLOOKUP($C44,PMGR!$DI$2:$DU$250,169,0)</f>
        <v>0</v>
      </c>
      <c r="CE44" s="106">
        <f>+HLOOKUP($C44,PMGR!$DI$2:$DU$250,170,0)</f>
        <v>0</v>
      </c>
      <c r="CF44" s="106">
        <f>+HLOOKUP($C44,PMGR!$DI$2:$DU$250,172,0)</f>
        <v>10800</v>
      </c>
      <c r="CG44" s="106">
        <f>+HLOOKUP($C44,PMGR!$DI$2:$DU$250,173,0)</f>
        <v>10800</v>
      </c>
      <c r="CH44" s="106">
        <f>+HLOOKUP($C44,PMGR!$DI$2:$DU$250,174,0)</f>
        <v>57600</v>
      </c>
      <c r="CI44" s="106">
        <f>+HLOOKUP($C44,PMGR!$DI$2:$DU$250,175,0)</f>
        <v>4458</v>
      </c>
      <c r="CJ44" s="106">
        <f>+HLOOKUP($C44,PMGR!$DI$2:$DU$250,176,0)</f>
        <v>3555</v>
      </c>
      <c r="CK44" s="106">
        <f>+HLOOKUP($C44,PMGR!$DI$2:$DU$250,178,0)</f>
        <v>36000</v>
      </c>
      <c r="CL44" s="106">
        <f>+HLOOKUP($C44,PMGR!$DI$2:$DU$250,179,0)</f>
        <v>0</v>
      </c>
      <c r="CM44" s="106">
        <f>+HLOOKUP($C44,PMGR!$DI$2:$DU$250,180,0)</f>
        <v>8820</v>
      </c>
      <c r="CN44" s="106">
        <f>+HLOOKUP($C44,PMGR!$DI$2:$DU$250,182,0)</f>
        <v>368.55</v>
      </c>
      <c r="CO44" s="106">
        <f>+HLOOKUP($C44,PMGR!$DI$2:$DU$250,183,0)</f>
        <v>7035.3</v>
      </c>
      <c r="CP44" s="106">
        <f>+HLOOKUP($C44,PMGR!$DI$2:$DU$250,184,0)</f>
        <v>3240</v>
      </c>
      <c r="CQ44" s="106">
        <f>+HLOOKUP($C44,PMGR!$DI$2:$DU$250,185,0)</f>
        <v>0</v>
      </c>
      <c r="CR44" s="106">
        <f>+HLOOKUP($C44,PMGR!$DI$2:$DU$250,187,0)</f>
        <v>1874.8799999999997</v>
      </c>
      <c r="CS44" s="106">
        <f>+HLOOKUP($C44,PMGR!$DI$2:$DU$250,188,0)</f>
        <v>2385</v>
      </c>
      <c r="CT44" s="106">
        <f>+HLOOKUP($C44,PMGR!$DI$2:$DU$250,189,0)</f>
        <v>1500.0299999999997</v>
      </c>
      <c r="CU44" s="106">
        <f>+HLOOKUP($C44,PMGR!$DI$2:$DU$250,190,0)</f>
        <v>1520.01</v>
      </c>
      <c r="CV44" s="106">
        <f>+HLOOKUP($C44,PMGR!$DI$2:$DU$250,191,0)</f>
        <v>0</v>
      </c>
      <c r="CW44" s="106">
        <f>+HLOOKUP($C44,PMGR!$DI$2:$DU$250,193,0)</f>
        <v>3706.3</v>
      </c>
      <c r="CX44" s="106">
        <f>+HLOOKUP($C44,PMGR!$DI$2:$DU$250,194,0)</f>
        <v>355.1</v>
      </c>
      <c r="CY44" s="106">
        <f>+HLOOKUP($C44,PMGR!$DI$2:$DU$250,195,0)</f>
        <v>825.03539999999998</v>
      </c>
      <c r="CZ44" s="106">
        <f>+HLOOKUP($C44,PMGR!$DI$2:$DU$250,196,0)</f>
        <v>0</v>
      </c>
      <c r="DA44" s="106">
        <f>+HLOOKUP($C44,PMGR!$DI$2:$DU$250,197,0)</f>
        <v>9849.6</v>
      </c>
      <c r="DB44" s="106">
        <f>+HLOOKUP($C44,PMGR!$DI$2:$DU$250,198,0)</f>
        <v>3033</v>
      </c>
      <c r="DC44" s="106">
        <f>+HLOOKUP($C44,PMGR!$DI$2:$DU$250,199,0)</f>
        <v>648</v>
      </c>
      <c r="DD44" s="106">
        <f>+HLOOKUP($C44,PMGR!$DI$2:$DU$250,200,0)</f>
        <v>210</v>
      </c>
      <c r="DE44" s="106">
        <f>+HLOOKUP($C44,PMGR!$DI$2:$DU$250,201,0)</f>
        <v>44.55</v>
      </c>
      <c r="DF44" s="106">
        <f>+HLOOKUP($C44,PMGR!$DI$2:$DU$250,202,0)</f>
        <v>0</v>
      </c>
      <c r="DG44" s="106">
        <f>+HLOOKUP($C44,PMGR!$DI$2:$DU$250,203,0)</f>
        <v>0</v>
      </c>
      <c r="DH44" s="106">
        <f>+HLOOKUP($C44,PMGR!$DI$2:$DU$250,205,0)</f>
        <v>0</v>
      </c>
      <c r="DI44" s="106">
        <f>+HLOOKUP($C44,PMGR!$DI$2:$DU$250,206,0)</f>
        <v>2812.3733323636361</v>
      </c>
      <c r="DJ44" s="106">
        <f>+HLOOKUP($C44,PMGR!$DI$2:$DU$250,207,0)</f>
        <v>22535.723166666663</v>
      </c>
      <c r="DK44" s="106">
        <f>+HLOOKUP($C44,PMGR!$DI$2:$DU$250,209,0)</f>
        <v>0</v>
      </c>
      <c r="DL44" s="106">
        <f>+HLOOKUP($C44,PMGR!$DI$2:$DU$250,210,0)</f>
        <v>70195.485937500009</v>
      </c>
      <c r="DM44" s="106">
        <f>+HLOOKUP($C44,PMGR!$DI$2:$DU$250,211,0)</f>
        <v>0</v>
      </c>
      <c r="DN44" s="106">
        <f>+HLOOKUP($C44,PMGR!$DI$2:$DU$250,212,0)</f>
        <v>48000</v>
      </c>
      <c r="DO44" s="106">
        <f>+HLOOKUP($C44,PMGR!$DI$2:$DU$250,214,0)</f>
        <v>0</v>
      </c>
      <c r="DP44" s="106">
        <f>+HLOOKUP($C44,PMGR!$DI$2:$DU$250,215,0)</f>
        <v>540</v>
      </c>
      <c r="DQ44" s="106">
        <f>+HLOOKUP($C44,PMGR!$DI$2:$DU$250,219,0)</f>
        <v>0</v>
      </c>
      <c r="DR44" s="106">
        <f>+HLOOKUP($C44,PMGR!$DI$2:$DU$250,220,0)</f>
        <v>0</v>
      </c>
      <c r="DS44" s="106">
        <f>+HLOOKUP($C44,PMGR!$DI$2:$DU$250,221,0)</f>
        <v>0</v>
      </c>
      <c r="DT44" s="106">
        <f>+HLOOKUP($C44,PMGR!$DI$2:$DU$250,223,0)</f>
        <v>11250</v>
      </c>
      <c r="DU44" s="106">
        <f>+HLOOKUP($C44,PMGR!$DI$2:$DU$250,224,0)</f>
        <v>5000</v>
      </c>
      <c r="DV44" s="106">
        <f>+HLOOKUP($C44,PMGR!$DI$2:$DU$250,225,0)</f>
        <v>0</v>
      </c>
      <c r="DW44" s="106">
        <f>+HLOOKUP($C44,PMGR!$DI$2:$DU$250,227,0)</f>
        <v>0</v>
      </c>
      <c r="DX44" s="106">
        <f>+HLOOKUP($C44,PMGR!$DI$2:$DU$250,228,0)</f>
        <v>0</v>
      </c>
      <c r="DY44" s="106">
        <f>+HLOOKUP($C44,PMGR!$DI$2:$DU$250,236,0)</f>
        <v>156439.89600000001</v>
      </c>
      <c r="DZ44" s="106">
        <f>+HLOOKUP($C44,PMGR!$DI$2:$DU$250,237,0)</f>
        <v>94882.693022235311</v>
      </c>
      <c r="EA44" s="106">
        <f>+HLOOKUP($C44,PMGR!$DI$2:$DU$250,238,0)</f>
        <v>22654.800000000003</v>
      </c>
      <c r="EB44" s="106">
        <f>+HLOOKUP($C44,PMGR!$DI$2:$DU$250,240,0)</f>
        <v>241812.14353571442</v>
      </c>
    </row>
    <row r="45" spans="1:132">
      <c r="A45" t="s">
        <v>271</v>
      </c>
      <c r="B45" t="s">
        <v>217</v>
      </c>
      <c r="C45" s="117">
        <v>45778</v>
      </c>
      <c r="D45" s="106">
        <f t="shared" si="0"/>
        <v>11977863.13263705</v>
      </c>
      <c r="E45" s="106">
        <f>+HLOOKUP(C45,PMGR!$DI$2:$DU$250,28,0)+HLOOKUP(C45,PMGR!$DI$2:$DU$250,43,0)+HLOOKUP(C45,PMGR!$DI$2:$DU$250,44,0)+HLOOKUP(C45,PMGR!$DI$2:$DU$250,45,0)+HLOOKUP(C45,PMGR!$DI$2:$DU$250,54,0)+HLOOKUP(C45,PMGR!$DI$2:$DU$250,59,0)</f>
        <v>11977863.13263705</v>
      </c>
      <c r="F45" s="106">
        <f>+HLOOKUP(C45,PMGR!$DI$2:$DU$250,37,0)+HLOOKUP(C45,PMGR!$DI$2:$DU$250,55,0)</f>
        <v>8045708.5152003402</v>
      </c>
      <c r="G45" s="106">
        <f>+HLOOKUP($C45,PMGR!$DI$2:$DU$250,76,0)</f>
        <v>0</v>
      </c>
      <c r="H45" s="106">
        <f>+HLOOKUP($C45,PMGR!$DI$2:$DU$250,77,0)</f>
        <v>0</v>
      </c>
      <c r="I45" s="106">
        <f>+HLOOKUP($C45,PMGR!$DI$2:$DU$250,78,0)</f>
        <v>0</v>
      </c>
      <c r="J45" s="106">
        <f>+HLOOKUP($C45,PMGR!$DI$2:$DU$250,79,0)</f>
        <v>0</v>
      </c>
      <c r="K45" s="106">
        <f>+HLOOKUP($C45,PMGR!$DI$2:$DU$250,80,0)</f>
        <v>5000</v>
      </c>
      <c r="L45" s="106">
        <f>+HLOOKUP($C45,PMGR!$DI$2:$DU$250,81,0)</f>
        <v>0</v>
      </c>
      <c r="M45" s="106">
        <f>+HLOOKUP($C45,PMGR!$DI$2:$DU$250,82,0)</f>
        <v>0</v>
      </c>
      <c r="N45" s="106">
        <f>+HLOOKUP($C45,PMGR!$DI$2:$DU$250,83,0)</f>
        <v>0</v>
      </c>
      <c r="O45" s="106">
        <f>+HLOOKUP($C45,PMGR!$DI$2:$DU$250,84,0)</f>
        <v>0</v>
      </c>
      <c r="P45" s="106">
        <f>+HLOOKUP($C45,PMGR!$DI$2:$DU$250,85,0)</f>
        <v>0</v>
      </c>
      <c r="Q45" s="106">
        <f>+HLOOKUP($C45,PMGR!$DI$2:$DU$250,87,0)</f>
        <v>244071.77709999998</v>
      </c>
      <c r="R45" s="106">
        <f>+HLOOKUP($C45,PMGR!$DI$2:$DU$250,90,0)</f>
        <v>0</v>
      </c>
      <c r="S45" s="106">
        <f>+HLOOKUP($C45,PMGR!$DI$2:$DU$250,91,0)</f>
        <v>1250</v>
      </c>
      <c r="T45" s="106">
        <f>+HLOOKUP($C45,PMGR!$DI$2:$DU$250,92,0)</f>
        <v>0</v>
      </c>
      <c r="U45" s="106">
        <f>+HLOOKUP($C45,PMGR!$DI$2:$DU$250,93,0)</f>
        <v>0</v>
      </c>
      <c r="V45" s="106">
        <f>+HLOOKUP($C45,PMGR!$DI$2:$DU$250,94,0)</f>
        <v>0</v>
      </c>
      <c r="W45" s="106">
        <f>+HLOOKUP($C45,PMGR!$DI$2:$DU$250,95,0)</f>
        <v>0</v>
      </c>
      <c r="X45" s="106">
        <f>+HLOOKUP($C45,PMGR!$DI$2:$DU$250,96,0)</f>
        <v>0</v>
      </c>
      <c r="Y45" s="106">
        <f>+HLOOKUP($C45,PMGR!$DI$2:$DU$250,97,0)</f>
        <v>0</v>
      </c>
      <c r="Z45" s="106">
        <f>+HLOOKUP($C45,PMGR!$DI$2:$DU$250,98,0)</f>
        <v>0</v>
      </c>
      <c r="AA45" s="106">
        <f>+HLOOKUP($C45,PMGR!$DI$2:$DU$250,99,0)</f>
        <v>0</v>
      </c>
      <c r="AB45" s="106">
        <f>+HLOOKUP($C45,PMGR!$DI$2:$DU$250,100,0)</f>
        <v>0</v>
      </c>
      <c r="AC45" s="106">
        <f>+HLOOKUP($C45,PMGR!$DI$2:$DU$250,101,0)</f>
        <v>10000</v>
      </c>
      <c r="AD45" s="106">
        <f>+HLOOKUP($C45,PMGR!$DI$2:$DU$250,104,0)</f>
        <v>0</v>
      </c>
      <c r="AE45" s="106">
        <f>+HLOOKUP($C45,PMGR!$DI$2:$DU$250,105,0)</f>
        <v>38763.773180000004</v>
      </c>
      <c r="AF45" s="106">
        <f>+HLOOKUP($C45,PMGR!$DI$2:$DU$250,106,0)</f>
        <v>0</v>
      </c>
      <c r="AG45" s="106">
        <f>+HLOOKUP($C45,PMGR!$DI$2:$DU$250,107,0)</f>
        <v>0</v>
      </c>
      <c r="AH45" s="106">
        <f>+HLOOKUP($C45,PMGR!$DI$2:$DU$250,108,0)</f>
        <v>0</v>
      </c>
      <c r="AI45" s="106">
        <f>+HLOOKUP($C45,PMGR!$DI$2:$DU$250,109,0)</f>
        <v>0</v>
      </c>
      <c r="AJ45" s="106">
        <f>+HLOOKUP($C45,PMGR!$DI$2:$DU$250,110,0)</f>
        <v>0</v>
      </c>
      <c r="AK45" s="106">
        <f>+HLOOKUP($C45,PMGR!$DI$2:$DU$250,111,0)</f>
        <v>2847.3753390400002</v>
      </c>
      <c r="AL45" s="106">
        <f>+HLOOKUP($C45,PMGR!$DI$2:$DU$250,112,0)</f>
        <v>0</v>
      </c>
      <c r="AM45" s="106">
        <f>+HLOOKUP($C45,PMGR!$DI$2:$DU$250,116,0)</f>
        <v>306100</v>
      </c>
      <c r="AN45" s="106">
        <f>+HLOOKUP($C45,PMGR!$DI$2:$DU$250,117,0)</f>
        <v>49980</v>
      </c>
      <c r="AO45" s="106">
        <f>+HLOOKUP($C45,PMGR!$DI$2:$DU$250,118,0)</f>
        <v>3000</v>
      </c>
      <c r="AP45" s="106">
        <f>+HLOOKUP($C45,PMGR!$DI$2:$DU$250,119,0)</f>
        <v>113020</v>
      </c>
      <c r="AQ45" s="106">
        <f>+HLOOKUP($C45,PMGR!$DI$2:$DU$250,120,0)</f>
        <v>26500</v>
      </c>
      <c r="AR45" s="106">
        <f>+HLOOKUP($C45,PMGR!$DI$2:$DU$250,121,0)</f>
        <v>16000</v>
      </c>
      <c r="AS45" s="106">
        <f>+HLOOKUP($C45,PMGR!$DI$2:$DU$250,122,0)</f>
        <v>131250</v>
      </c>
      <c r="AT45" s="106">
        <f>+HLOOKUP($C45,PMGR!$DI$2:$DU$250,123,0)</f>
        <v>35293.217528472225</v>
      </c>
      <c r="AU45" s="106">
        <f>+HLOOKUP($C45,PMGR!$DI$2:$DU$250,124,0)</f>
        <v>3752.5</v>
      </c>
      <c r="AV45" s="106">
        <f>+HLOOKUP($C45,PMGR!$DI$2:$DU$250,125,0)</f>
        <v>23535</v>
      </c>
      <c r="AW45" s="106">
        <f>+HLOOKUP($C45,PMGR!$DI$2:$DU$250,126,0)</f>
        <v>14716.346153846156</v>
      </c>
      <c r="AX45" s="106">
        <f>+HLOOKUP($C45,PMGR!$DI$2:$DU$250,127,0)</f>
        <v>20216.666666666664</v>
      </c>
      <c r="AY45" s="106">
        <f>+HLOOKUP($C45,PMGR!$DI$2:$DU$250,129,0)</f>
        <v>0</v>
      </c>
      <c r="AZ45" s="106">
        <f>+HLOOKUP($C45,PMGR!$DI$2:$DU$250,130,0)</f>
        <v>0</v>
      </c>
      <c r="BA45" s="106">
        <f>+HLOOKUP($C45,PMGR!$DI$2:$DU$250,131,0)</f>
        <v>35000</v>
      </c>
      <c r="BB45" s="106">
        <f>+HLOOKUP($C45,PMGR!$DI$2:$DU$250,133,0)</f>
        <v>0</v>
      </c>
      <c r="BC45" s="106">
        <f>+HLOOKUP($C45,PMGR!$DI$2:$DU$250,134,0)</f>
        <v>29680.886966666669</v>
      </c>
      <c r="BD45" s="106">
        <f>+HLOOKUP($C45,PMGR!$DI$2:$DU$250,135,0)</f>
        <v>0</v>
      </c>
      <c r="BE45" s="106">
        <f>+HLOOKUP($C45,PMGR!$DI$2:$DU$250,136,0)</f>
        <v>0</v>
      </c>
      <c r="BF45" s="106">
        <f>+HLOOKUP($C45,PMGR!$DI$2:$DU$250,138,0)</f>
        <v>7150</v>
      </c>
      <c r="BG45" s="106">
        <f>+HLOOKUP($C45,PMGR!$DI$2:$DU$250,139,0)</f>
        <v>9280.9624166666672</v>
      </c>
      <c r="BH45" s="106">
        <f>+HLOOKUP($C45,PMGR!$DI$2:$DU$250,140,0)</f>
        <v>27000</v>
      </c>
      <c r="BI45" s="106">
        <f>+HLOOKUP($C45,PMGR!$DI$2:$DU$250,141,0)</f>
        <v>0</v>
      </c>
      <c r="BJ45" s="106">
        <f>+HLOOKUP($C45,PMGR!$DI$2:$DU$250,142,0)</f>
        <v>0</v>
      </c>
      <c r="BK45" s="106">
        <f>+HLOOKUP($C45,PMGR!$DI$2:$DU$250,143,0)</f>
        <v>14452.166666666666</v>
      </c>
      <c r="BL45" s="106">
        <f>+HLOOKUP($C45,PMGR!$DI$2:$DU$250,144,0)</f>
        <v>2145.8333333333335</v>
      </c>
      <c r="BM45" s="106">
        <f>+HLOOKUP($C45,PMGR!$DI$2:$DU$250,146,0)</f>
        <v>0</v>
      </c>
      <c r="BN45" s="106">
        <f>+HLOOKUP($C45,PMGR!$DI$2:$DU$250,147,0)</f>
        <v>59554.775000000001</v>
      </c>
      <c r="BO45" s="106">
        <f>+HLOOKUP($C45,PMGR!$DI$2:$DU$250,148,0)</f>
        <v>0</v>
      </c>
      <c r="BP45" s="106">
        <f>+HLOOKUP($C45,PMGR!$DI$2:$DU$250,150,0)</f>
        <v>19331.760000000002</v>
      </c>
      <c r="BQ45" s="106">
        <f>+HLOOKUP($C45,PMGR!$DI$2:$DU$250,151,0)</f>
        <v>1488.3</v>
      </c>
      <c r="BR45" s="106">
        <f>+HLOOKUP($C45,PMGR!$DI$2:$DU$250,152,0)</f>
        <v>9600</v>
      </c>
      <c r="BS45" s="106">
        <f>+HLOOKUP($C45,PMGR!$DI$2:$DU$250,153,0)</f>
        <v>1800</v>
      </c>
      <c r="BT45" s="106">
        <f>+HLOOKUP($C45,PMGR!$DI$2:$DU$250,157,0)</f>
        <v>6360</v>
      </c>
      <c r="BU45" s="106">
        <f>+HLOOKUP($C45,PMGR!$DI$2:$DU$250,158,0)</f>
        <v>1305</v>
      </c>
      <c r="BV45" s="106">
        <f>+HLOOKUP($C45,PMGR!$DI$2:$DU$250,159,0)</f>
        <v>0</v>
      </c>
      <c r="BW45" s="106">
        <f>+HLOOKUP($C45,PMGR!$DI$2:$DU$250,160,0)</f>
        <v>6600</v>
      </c>
      <c r="BX45" s="106">
        <f>+HLOOKUP($C45,PMGR!$DI$2:$DU$250,161,0)</f>
        <v>7327.380768</v>
      </c>
      <c r="BY45" s="106">
        <f>+HLOOKUP($C45,PMGR!$DI$2:$DU$250,164,0)</f>
        <v>1000</v>
      </c>
      <c r="BZ45" s="106">
        <f>+HLOOKUP($C45,PMGR!$DI$2:$DU$250,165,0)</f>
        <v>25626.666666666664</v>
      </c>
      <c r="CA45" s="106">
        <f>+HLOOKUP($C45,PMGR!$DI$2:$DU$250,166,0)</f>
        <v>0</v>
      </c>
      <c r="CB45" s="106">
        <f>+HLOOKUP($C45,PMGR!$DI$2:$DU$250,167,0)</f>
        <v>12500</v>
      </c>
      <c r="CC45" s="106">
        <f>+HLOOKUP($C45,PMGR!$DI$2:$DU$250,168,0)</f>
        <v>0</v>
      </c>
      <c r="CD45" s="106">
        <f>+HLOOKUP($C45,PMGR!$DI$2:$DU$250,169,0)</f>
        <v>0</v>
      </c>
      <c r="CE45" s="106">
        <f>+HLOOKUP($C45,PMGR!$DI$2:$DU$250,170,0)</f>
        <v>0</v>
      </c>
      <c r="CF45" s="106">
        <f>+HLOOKUP($C45,PMGR!$DI$2:$DU$250,172,0)</f>
        <v>10800</v>
      </c>
      <c r="CG45" s="106">
        <f>+HLOOKUP($C45,PMGR!$DI$2:$DU$250,173,0)</f>
        <v>10800</v>
      </c>
      <c r="CH45" s="106">
        <f>+HLOOKUP($C45,PMGR!$DI$2:$DU$250,174,0)</f>
        <v>57600</v>
      </c>
      <c r="CI45" s="106">
        <f>+HLOOKUP($C45,PMGR!$DI$2:$DU$250,175,0)</f>
        <v>4458</v>
      </c>
      <c r="CJ45" s="106">
        <f>+HLOOKUP($C45,PMGR!$DI$2:$DU$250,176,0)</f>
        <v>3555</v>
      </c>
      <c r="CK45" s="106">
        <f>+HLOOKUP($C45,PMGR!$DI$2:$DU$250,178,0)</f>
        <v>36000</v>
      </c>
      <c r="CL45" s="106">
        <f>+HLOOKUP($C45,PMGR!$DI$2:$DU$250,179,0)</f>
        <v>0</v>
      </c>
      <c r="CM45" s="106">
        <f>+HLOOKUP($C45,PMGR!$DI$2:$DU$250,180,0)</f>
        <v>8820</v>
      </c>
      <c r="CN45" s="106">
        <f>+HLOOKUP($C45,PMGR!$DI$2:$DU$250,182,0)</f>
        <v>368.55</v>
      </c>
      <c r="CO45" s="106">
        <f>+HLOOKUP($C45,PMGR!$DI$2:$DU$250,183,0)</f>
        <v>7035.3</v>
      </c>
      <c r="CP45" s="106">
        <f>+HLOOKUP($C45,PMGR!$DI$2:$DU$250,184,0)</f>
        <v>3240</v>
      </c>
      <c r="CQ45" s="106">
        <f>+HLOOKUP($C45,PMGR!$DI$2:$DU$250,185,0)</f>
        <v>0</v>
      </c>
      <c r="CR45" s="106">
        <f>+HLOOKUP($C45,PMGR!$DI$2:$DU$250,187,0)</f>
        <v>1874.8799999999997</v>
      </c>
      <c r="CS45" s="106">
        <f>+HLOOKUP($C45,PMGR!$DI$2:$DU$250,188,0)</f>
        <v>2385</v>
      </c>
      <c r="CT45" s="106">
        <f>+HLOOKUP($C45,PMGR!$DI$2:$DU$250,189,0)</f>
        <v>1500.0299999999997</v>
      </c>
      <c r="CU45" s="106">
        <f>+HLOOKUP($C45,PMGR!$DI$2:$DU$250,190,0)</f>
        <v>1520.01</v>
      </c>
      <c r="CV45" s="106">
        <f>+HLOOKUP($C45,PMGR!$DI$2:$DU$250,191,0)</f>
        <v>0</v>
      </c>
      <c r="CW45" s="106">
        <f>+HLOOKUP($C45,PMGR!$DI$2:$DU$250,193,0)</f>
        <v>3706.3</v>
      </c>
      <c r="CX45" s="106">
        <f>+HLOOKUP($C45,PMGR!$DI$2:$DU$250,194,0)</f>
        <v>355.1</v>
      </c>
      <c r="CY45" s="106">
        <f>+HLOOKUP($C45,PMGR!$DI$2:$DU$250,195,0)</f>
        <v>825.03539999999998</v>
      </c>
      <c r="CZ45" s="106">
        <f>+HLOOKUP($C45,PMGR!$DI$2:$DU$250,196,0)</f>
        <v>0</v>
      </c>
      <c r="DA45" s="106">
        <f>+HLOOKUP($C45,PMGR!$DI$2:$DU$250,197,0)</f>
        <v>9849.6</v>
      </c>
      <c r="DB45" s="106">
        <f>+HLOOKUP($C45,PMGR!$DI$2:$DU$250,198,0)</f>
        <v>3033</v>
      </c>
      <c r="DC45" s="106">
        <f>+HLOOKUP($C45,PMGR!$DI$2:$DU$250,199,0)</f>
        <v>648</v>
      </c>
      <c r="DD45" s="106">
        <f>+HLOOKUP($C45,PMGR!$DI$2:$DU$250,200,0)</f>
        <v>210</v>
      </c>
      <c r="DE45" s="106">
        <f>+HLOOKUP($C45,PMGR!$DI$2:$DU$250,201,0)</f>
        <v>44.55</v>
      </c>
      <c r="DF45" s="106">
        <f>+HLOOKUP($C45,PMGR!$DI$2:$DU$250,202,0)</f>
        <v>0</v>
      </c>
      <c r="DG45" s="106">
        <f>+HLOOKUP($C45,PMGR!$DI$2:$DU$250,203,0)</f>
        <v>0</v>
      </c>
      <c r="DH45" s="106">
        <f>+HLOOKUP($C45,PMGR!$DI$2:$DU$250,205,0)</f>
        <v>0</v>
      </c>
      <c r="DI45" s="106">
        <f>+HLOOKUP($C45,PMGR!$DI$2:$DU$250,206,0)</f>
        <v>2812.3733323636361</v>
      </c>
      <c r="DJ45" s="106">
        <f>+HLOOKUP($C45,PMGR!$DI$2:$DU$250,207,0)</f>
        <v>22535.723166666663</v>
      </c>
      <c r="DK45" s="106">
        <f>+HLOOKUP($C45,PMGR!$DI$2:$DU$250,209,0)</f>
        <v>0</v>
      </c>
      <c r="DL45" s="106">
        <f>+HLOOKUP($C45,PMGR!$DI$2:$DU$250,210,0)</f>
        <v>70195.485937500009</v>
      </c>
      <c r="DM45" s="106">
        <f>+HLOOKUP($C45,PMGR!$DI$2:$DU$250,211,0)</f>
        <v>0</v>
      </c>
      <c r="DN45" s="106">
        <f>+HLOOKUP($C45,PMGR!$DI$2:$DU$250,212,0)</f>
        <v>48000</v>
      </c>
      <c r="DO45" s="106">
        <f>+HLOOKUP($C45,PMGR!$DI$2:$DU$250,214,0)</f>
        <v>0</v>
      </c>
      <c r="DP45" s="106">
        <f>+HLOOKUP($C45,PMGR!$DI$2:$DU$250,215,0)</f>
        <v>540</v>
      </c>
      <c r="DQ45" s="106">
        <f>+HLOOKUP($C45,PMGR!$DI$2:$DU$250,219,0)</f>
        <v>0</v>
      </c>
      <c r="DR45" s="106">
        <f>+HLOOKUP($C45,PMGR!$DI$2:$DU$250,220,0)</f>
        <v>0</v>
      </c>
      <c r="DS45" s="106">
        <f>+HLOOKUP($C45,PMGR!$DI$2:$DU$250,221,0)</f>
        <v>0</v>
      </c>
      <c r="DT45" s="106">
        <f>+HLOOKUP($C45,PMGR!$DI$2:$DU$250,223,0)</f>
        <v>11250</v>
      </c>
      <c r="DU45" s="106">
        <f>+HLOOKUP($C45,PMGR!$DI$2:$DU$250,224,0)</f>
        <v>5000</v>
      </c>
      <c r="DV45" s="106">
        <f>+HLOOKUP($C45,PMGR!$DI$2:$DU$250,225,0)</f>
        <v>0</v>
      </c>
      <c r="DW45" s="106">
        <f>+HLOOKUP($C45,PMGR!$DI$2:$DU$250,227,0)</f>
        <v>0</v>
      </c>
      <c r="DX45" s="106">
        <f>+HLOOKUP($C45,PMGR!$DI$2:$DU$250,228,0)</f>
        <v>0</v>
      </c>
      <c r="DY45" s="106">
        <f>+HLOOKUP($C45,PMGR!$DI$2:$DU$250,236,0)</f>
        <v>160648.60400000002</v>
      </c>
      <c r="DZ45" s="106">
        <f>+HLOOKUP($C45,PMGR!$DI$2:$DU$250,237,0)</f>
        <v>99335.521129267901</v>
      </c>
      <c r="EA45" s="106">
        <f>+HLOOKUP($C45,PMGR!$DI$2:$DU$250,238,0)</f>
        <v>24455.199999999997</v>
      </c>
      <c r="EB45" s="106">
        <f>+HLOOKUP($C45,PMGR!$DI$2:$DU$250,240,0)</f>
        <v>241812.14353571442</v>
      </c>
    </row>
    <row r="46" spans="1:132">
      <c r="A46" t="s">
        <v>271</v>
      </c>
      <c r="B46" t="s">
        <v>217</v>
      </c>
      <c r="C46" s="117">
        <v>45748</v>
      </c>
      <c r="D46" s="106">
        <f t="shared" si="0"/>
        <v>10460210.938780874</v>
      </c>
      <c r="E46" s="106">
        <f>+HLOOKUP(C46,PMGR!$DI$2:$DU$250,28,0)+HLOOKUP(C46,PMGR!$DI$2:$DU$250,43,0)+HLOOKUP(C46,PMGR!$DI$2:$DU$250,44,0)+HLOOKUP(C46,PMGR!$DI$2:$DU$250,45,0)+HLOOKUP(C46,PMGR!$DI$2:$DU$250,54,0)+HLOOKUP(C46,PMGR!$DI$2:$DU$250,59,0)</f>
        <v>10460210.938780874</v>
      </c>
      <c r="F46" s="106">
        <f>+HLOOKUP(C46,PMGR!$DI$2:$DU$250,37,0)+HLOOKUP(C46,PMGR!$DI$2:$DU$250,55,0)</f>
        <v>7093104.1416223403</v>
      </c>
      <c r="G46" s="106">
        <f>+HLOOKUP($C46,PMGR!$DI$2:$DU$250,76,0)</f>
        <v>0</v>
      </c>
      <c r="H46" s="106">
        <f>+HLOOKUP($C46,PMGR!$DI$2:$DU$250,77,0)</f>
        <v>0</v>
      </c>
      <c r="I46" s="106">
        <f>+HLOOKUP($C46,PMGR!$DI$2:$DU$250,78,0)</f>
        <v>0</v>
      </c>
      <c r="J46" s="106">
        <f>+HLOOKUP($C46,PMGR!$DI$2:$DU$250,79,0)</f>
        <v>0</v>
      </c>
      <c r="K46" s="106">
        <f>+HLOOKUP($C46,PMGR!$DI$2:$DU$250,80,0)</f>
        <v>5000</v>
      </c>
      <c r="L46" s="106">
        <f>+HLOOKUP($C46,PMGR!$DI$2:$DU$250,81,0)</f>
        <v>0</v>
      </c>
      <c r="M46" s="106">
        <f>+HLOOKUP($C46,PMGR!$DI$2:$DU$250,82,0)</f>
        <v>0</v>
      </c>
      <c r="N46" s="106">
        <f>+HLOOKUP($C46,PMGR!$DI$2:$DU$250,83,0)</f>
        <v>0</v>
      </c>
      <c r="O46" s="106">
        <f>+HLOOKUP($C46,PMGR!$DI$2:$DU$250,84,0)</f>
        <v>0</v>
      </c>
      <c r="P46" s="106">
        <f>+HLOOKUP($C46,PMGR!$DI$2:$DU$250,85,0)</f>
        <v>0</v>
      </c>
      <c r="Q46" s="106">
        <f>+HLOOKUP($C46,PMGR!$DI$2:$DU$250,87,0)</f>
        <v>212364.12650000001</v>
      </c>
      <c r="R46" s="106">
        <f>+HLOOKUP($C46,PMGR!$DI$2:$DU$250,90,0)</f>
        <v>0</v>
      </c>
      <c r="S46" s="106">
        <f>+HLOOKUP($C46,PMGR!$DI$2:$DU$250,91,0)</f>
        <v>1250</v>
      </c>
      <c r="T46" s="106">
        <f>+HLOOKUP($C46,PMGR!$DI$2:$DU$250,92,0)</f>
        <v>0</v>
      </c>
      <c r="U46" s="106">
        <f>+HLOOKUP($C46,PMGR!$DI$2:$DU$250,93,0)</f>
        <v>0</v>
      </c>
      <c r="V46" s="106">
        <f>+HLOOKUP($C46,PMGR!$DI$2:$DU$250,94,0)</f>
        <v>0</v>
      </c>
      <c r="W46" s="106">
        <f>+HLOOKUP($C46,PMGR!$DI$2:$DU$250,95,0)</f>
        <v>0</v>
      </c>
      <c r="X46" s="106">
        <f>+HLOOKUP($C46,PMGR!$DI$2:$DU$250,96,0)</f>
        <v>0</v>
      </c>
      <c r="Y46" s="106">
        <f>+HLOOKUP($C46,PMGR!$DI$2:$DU$250,97,0)</f>
        <v>0</v>
      </c>
      <c r="Z46" s="106">
        <f>+HLOOKUP($C46,PMGR!$DI$2:$DU$250,98,0)</f>
        <v>0</v>
      </c>
      <c r="AA46" s="106">
        <f>+HLOOKUP($C46,PMGR!$DI$2:$DU$250,99,0)</f>
        <v>0</v>
      </c>
      <c r="AB46" s="106">
        <f>+HLOOKUP($C46,PMGR!$DI$2:$DU$250,100,0)</f>
        <v>0</v>
      </c>
      <c r="AC46" s="106">
        <f>+HLOOKUP($C46,PMGR!$DI$2:$DU$250,101,0)</f>
        <v>10000</v>
      </c>
      <c r="AD46" s="106">
        <f>+HLOOKUP($C46,PMGR!$DI$2:$DU$250,104,0)</f>
        <v>0</v>
      </c>
      <c r="AE46" s="106">
        <f>+HLOOKUP($C46,PMGR!$DI$2:$DU$250,105,0)</f>
        <v>33753.138100000004</v>
      </c>
      <c r="AF46" s="106">
        <f>+HLOOKUP($C46,PMGR!$DI$2:$DU$250,106,0)</f>
        <v>0</v>
      </c>
      <c r="AG46" s="106">
        <f>+HLOOKUP($C46,PMGR!$DI$2:$DU$250,107,0)</f>
        <v>0</v>
      </c>
      <c r="AH46" s="106">
        <f>+HLOOKUP($C46,PMGR!$DI$2:$DU$250,108,0)</f>
        <v>0</v>
      </c>
      <c r="AI46" s="106">
        <f>+HLOOKUP($C46,PMGR!$DI$2:$DU$250,109,0)</f>
        <v>0</v>
      </c>
      <c r="AJ46" s="106">
        <f>+HLOOKUP($C46,PMGR!$DI$2:$DU$250,110,0)</f>
        <v>0</v>
      </c>
      <c r="AK46" s="106">
        <f>+HLOOKUP($C46,PMGR!$DI$2:$DU$250,111,0)</f>
        <v>2479.3214168000004</v>
      </c>
      <c r="AL46" s="106">
        <f>+HLOOKUP($C46,PMGR!$DI$2:$DU$250,112,0)</f>
        <v>0</v>
      </c>
      <c r="AM46" s="106">
        <f>+HLOOKUP($C46,PMGR!$DI$2:$DU$250,116,0)</f>
        <v>306100</v>
      </c>
      <c r="AN46" s="106">
        <f>+HLOOKUP($C46,PMGR!$DI$2:$DU$250,117,0)</f>
        <v>49980</v>
      </c>
      <c r="AO46" s="106">
        <f>+HLOOKUP($C46,PMGR!$DI$2:$DU$250,118,0)</f>
        <v>3000</v>
      </c>
      <c r="AP46" s="106">
        <f>+HLOOKUP($C46,PMGR!$DI$2:$DU$250,119,0)</f>
        <v>113020</v>
      </c>
      <c r="AQ46" s="106">
        <f>+HLOOKUP($C46,PMGR!$DI$2:$DU$250,120,0)</f>
        <v>26500</v>
      </c>
      <c r="AR46" s="106">
        <f>+HLOOKUP($C46,PMGR!$DI$2:$DU$250,121,0)</f>
        <v>16000</v>
      </c>
      <c r="AS46" s="106">
        <f>+HLOOKUP($C46,PMGR!$DI$2:$DU$250,122,0)</f>
        <v>131250</v>
      </c>
      <c r="AT46" s="106">
        <f>+HLOOKUP($C46,PMGR!$DI$2:$DU$250,123,0)</f>
        <v>35293.217528472225</v>
      </c>
      <c r="AU46" s="106">
        <f>+HLOOKUP($C46,PMGR!$DI$2:$DU$250,124,0)</f>
        <v>3752.5</v>
      </c>
      <c r="AV46" s="106">
        <f>+HLOOKUP($C46,PMGR!$DI$2:$DU$250,125,0)</f>
        <v>23535</v>
      </c>
      <c r="AW46" s="106">
        <f>+HLOOKUP($C46,PMGR!$DI$2:$DU$250,126,0)</f>
        <v>14716.346153846156</v>
      </c>
      <c r="AX46" s="106">
        <f>+HLOOKUP($C46,PMGR!$DI$2:$DU$250,127,0)</f>
        <v>20216.666666666664</v>
      </c>
      <c r="AY46" s="106">
        <f>+HLOOKUP($C46,PMGR!$DI$2:$DU$250,129,0)</f>
        <v>0</v>
      </c>
      <c r="AZ46" s="106">
        <f>+HLOOKUP($C46,PMGR!$DI$2:$DU$250,130,0)</f>
        <v>0</v>
      </c>
      <c r="BA46" s="106">
        <f>+HLOOKUP($C46,PMGR!$DI$2:$DU$250,131,0)</f>
        <v>35000</v>
      </c>
      <c r="BB46" s="106">
        <f>+HLOOKUP($C46,PMGR!$DI$2:$DU$250,133,0)</f>
        <v>0</v>
      </c>
      <c r="BC46" s="106">
        <f>+HLOOKUP($C46,PMGR!$DI$2:$DU$250,134,0)</f>
        <v>29680.886966666669</v>
      </c>
      <c r="BD46" s="106">
        <f>+HLOOKUP($C46,PMGR!$DI$2:$DU$250,135,0)</f>
        <v>0</v>
      </c>
      <c r="BE46" s="106">
        <f>+HLOOKUP($C46,PMGR!$DI$2:$DU$250,136,0)</f>
        <v>0</v>
      </c>
      <c r="BF46" s="106">
        <f>+HLOOKUP($C46,PMGR!$DI$2:$DU$250,138,0)</f>
        <v>7150</v>
      </c>
      <c r="BG46" s="106">
        <f>+HLOOKUP($C46,PMGR!$DI$2:$DU$250,139,0)</f>
        <v>9280.9624166666672</v>
      </c>
      <c r="BH46" s="106">
        <f>+HLOOKUP($C46,PMGR!$DI$2:$DU$250,140,0)</f>
        <v>27000</v>
      </c>
      <c r="BI46" s="106">
        <f>+HLOOKUP($C46,PMGR!$DI$2:$DU$250,141,0)</f>
        <v>0</v>
      </c>
      <c r="BJ46" s="106">
        <f>+HLOOKUP($C46,PMGR!$DI$2:$DU$250,142,0)</f>
        <v>0</v>
      </c>
      <c r="BK46" s="106">
        <f>+HLOOKUP($C46,PMGR!$DI$2:$DU$250,143,0)</f>
        <v>14452.166666666666</v>
      </c>
      <c r="BL46" s="106">
        <f>+HLOOKUP($C46,PMGR!$DI$2:$DU$250,144,0)</f>
        <v>24312.5</v>
      </c>
      <c r="BM46" s="106">
        <f>+HLOOKUP($C46,PMGR!$DI$2:$DU$250,146,0)</f>
        <v>0</v>
      </c>
      <c r="BN46" s="106">
        <f>+HLOOKUP($C46,PMGR!$DI$2:$DU$250,147,0)</f>
        <v>59554.775000000001</v>
      </c>
      <c r="BO46" s="106">
        <f>+HLOOKUP($C46,PMGR!$DI$2:$DU$250,148,0)</f>
        <v>0</v>
      </c>
      <c r="BP46" s="106">
        <f>+HLOOKUP($C46,PMGR!$DI$2:$DU$250,150,0)</f>
        <v>19331.760000000002</v>
      </c>
      <c r="BQ46" s="106">
        <f>+HLOOKUP($C46,PMGR!$DI$2:$DU$250,151,0)</f>
        <v>1488.3</v>
      </c>
      <c r="BR46" s="106">
        <f>+HLOOKUP($C46,PMGR!$DI$2:$DU$250,152,0)</f>
        <v>9600</v>
      </c>
      <c r="BS46" s="106">
        <f>+HLOOKUP($C46,PMGR!$DI$2:$DU$250,153,0)</f>
        <v>1800</v>
      </c>
      <c r="BT46" s="106">
        <f>+HLOOKUP($C46,PMGR!$DI$2:$DU$250,157,0)</f>
        <v>6360</v>
      </c>
      <c r="BU46" s="106">
        <f>+HLOOKUP($C46,PMGR!$DI$2:$DU$250,158,0)</f>
        <v>1305</v>
      </c>
      <c r="BV46" s="106">
        <f>+HLOOKUP($C46,PMGR!$DI$2:$DU$250,159,0)</f>
        <v>0</v>
      </c>
      <c r="BW46" s="106">
        <f>+HLOOKUP($C46,PMGR!$DI$2:$DU$250,160,0)</f>
        <v>6600</v>
      </c>
      <c r="BX46" s="106">
        <f>+HLOOKUP($C46,PMGR!$DI$2:$DU$250,161,0)</f>
        <v>7327.380768</v>
      </c>
      <c r="BY46" s="106">
        <f>+HLOOKUP($C46,PMGR!$DI$2:$DU$250,164,0)</f>
        <v>1000</v>
      </c>
      <c r="BZ46" s="106">
        <f>+HLOOKUP($C46,PMGR!$DI$2:$DU$250,165,0)</f>
        <v>25626.666666666664</v>
      </c>
      <c r="CA46" s="106">
        <f>+HLOOKUP($C46,PMGR!$DI$2:$DU$250,166,0)</f>
        <v>0</v>
      </c>
      <c r="CB46" s="106">
        <f>+HLOOKUP($C46,PMGR!$DI$2:$DU$250,167,0)</f>
        <v>12500</v>
      </c>
      <c r="CC46" s="106">
        <f>+HLOOKUP($C46,PMGR!$DI$2:$DU$250,168,0)</f>
        <v>0</v>
      </c>
      <c r="CD46" s="106">
        <f>+HLOOKUP($C46,PMGR!$DI$2:$DU$250,169,0)</f>
        <v>0</v>
      </c>
      <c r="CE46" s="106">
        <f>+HLOOKUP($C46,PMGR!$DI$2:$DU$250,170,0)</f>
        <v>0</v>
      </c>
      <c r="CF46" s="106">
        <f>+HLOOKUP($C46,PMGR!$DI$2:$DU$250,172,0)</f>
        <v>10800</v>
      </c>
      <c r="CG46" s="106">
        <f>+HLOOKUP($C46,PMGR!$DI$2:$DU$250,173,0)</f>
        <v>10800</v>
      </c>
      <c r="CH46" s="106">
        <f>+HLOOKUP($C46,PMGR!$DI$2:$DU$250,174,0)</f>
        <v>57600</v>
      </c>
      <c r="CI46" s="106">
        <f>+HLOOKUP($C46,PMGR!$DI$2:$DU$250,175,0)</f>
        <v>4458</v>
      </c>
      <c r="CJ46" s="106">
        <f>+HLOOKUP($C46,PMGR!$DI$2:$DU$250,176,0)</f>
        <v>3555</v>
      </c>
      <c r="CK46" s="106">
        <f>+HLOOKUP($C46,PMGR!$DI$2:$DU$250,178,0)</f>
        <v>36000</v>
      </c>
      <c r="CL46" s="106">
        <f>+HLOOKUP($C46,PMGR!$DI$2:$DU$250,179,0)</f>
        <v>0</v>
      </c>
      <c r="CM46" s="106">
        <f>+HLOOKUP($C46,PMGR!$DI$2:$DU$250,180,0)</f>
        <v>8820</v>
      </c>
      <c r="CN46" s="106">
        <f>+HLOOKUP($C46,PMGR!$DI$2:$DU$250,182,0)</f>
        <v>368.55</v>
      </c>
      <c r="CO46" s="106">
        <f>+HLOOKUP($C46,PMGR!$DI$2:$DU$250,183,0)</f>
        <v>7035.3</v>
      </c>
      <c r="CP46" s="106">
        <f>+HLOOKUP($C46,PMGR!$DI$2:$DU$250,184,0)</f>
        <v>3240</v>
      </c>
      <c r="CQ46" s="106">
        <f>+HLOOKUP($C46,PMGR!$DI$2:$DU$250,185,0)</f>
        <v>0</v>
      </c>
      <c r="CR46" s="106">
        <f>+HLOOKUP($C46,PMGR!$DI$2:$DU$250,187,0)</f>
        <v>1874.8799999999997</v>
      </c>
      <c r="CS46" s="106">
        <f>+HLOOKUP($C46,PMGR!$DI$2:$DU$250,188,0)</f>
        <v>2385</v>
      </c>
      <c r="CT46" s="106">
        <f>+HLOOKUP($C46,PMGR!$DI$2:$DU$250,189,0)</f>
        <v>1500.0299999999997</v>
      </c>
      <c r="CU46" s="106">
        <f>+HLOOKUP($C46,PMGR!$DI$2:$DU$250,190,0)</f>
        <v>1520.01</v>
      </c>
      <c r="CV46" s="106">
        <f>+HLOOKUP($C46,PMGR!$DI$2:$DU$250,191,0)</f>
        <v>0</v>
      </c>
      <c r="CW46" s="106">
        <f>+HLOOKUP($C46,PMGR!$DI$2:$DU$250,193,0)</f>
        <v>3706.3</v>
      </c>
      <c r="CX46" s="106">
        <f>+HLOOKUP($C46,PMGR!$DI$2:$DU$250,194,0)</f>
        <v>355.1</v>
      </c>
      <c r="CY46" s="106">
        <f>+HLOOKUP($C46,PMGR!$DI$2:$DU$250,195,0)</f>
        <v>825.03539999999998</v>
      </c>
      <c r="CZ46" s="106">
        <f>+HLOOKUP($C46,PMGR!$DI$2:$DU$250,196,0)</f>
        <v>0</v>
      </c>
      <c r="DA46" s="106">
        <f>+HLOOKUP($C46,PMGR!$DI$2:$DU$250,197,0)</f>
        <v>9849.6</v>
      </c>
      <c r="DB46" s="106">
        <f>+HLOOKUP($C46,PMGR!$DI$2:$DU$250,198,0)</f>
        <v>3033</v>
      </c>
      <c r="DC46" s="106">
        <f>+HLOOKUP($C46,PMGR!$DI$2:$DU$250,199,0)</f>
        <v>648</v>
      </c>
      <c r="DD46" s="106">
        <f>+HLOOKUP($C46,PMGR!$DI$2:$DU$250,200,0)</f>
        <v>210</v>
      </c>
      <c r="DE46" s="106">
        <f>+HLOOKUP($C46,PMGR!$DI$2:$DU$250,201,0)</f>
        <v>44.55</v>
      </c>
      <c r="DF46" s="106">
        <f>+HLOOKUP($C46,PMGR!$DI$2:$DU$250,202,0)</f>
        <v>0</v>
      </c>
      <c r="DG46" s="106">
        <f>+HLOOKUP($C46,PMGR!$DI$2:$DU$250,203,0)</f>
        <v>0</v>
      </c>
      <c r="DH46" s="106">
        <f>+HLOOKUP($C46,PMGR!$DI$2:$DU$250,205,0)</f>
        <v>0</v>
      </c>
      <c r="DI46" s="106">
        <f>+HLOOKUP($C46,PMGR!$DI$2:$DU$250,206,0)</f>
        <v>2812.3733323636361</v>
      </c>
      <c r="DJ46" s="106">
        <f>+HLOOKUP($C46,PMGR!$DI$2:$DU$250,207,0)</f>
        <v>22535.723166666663</v>
      </c>
      <c r="DK46" s="106">
        <f>+HLOOKUP($C46,PMGR!$DI$2:$DU$250,209,0)</f>
        <v>0</v>
      </c>
      <c r="DL46" s="106">
        <f>+HLOOKUP($C46,PMGR!$DI$2:$DU$250,210,0)</f>
        <v>70195.485937500009</v>
      </c>
      <c r="DM46" s="106">
        <f>+HLOOKUP($C46,PMGR!$DI$2:$DU$250,211,0)</f>
        <v>0</v>
      </c>
      <c r="DN46" s="106">
        <f>+HLOOKUP($C46,PMGR!$DI$2:$DU$250,212,0)</f>
        <v>48000</v>
      </c>
      <c r="DO46" s="106">
        <f>+HLOOKUP($C46,PMGR!$DI$2:$DU$250,214,0)</f>
        <v>0</v>
      </c>
      <c r="DP46" s="106">
        <f>+HLOOKUP($C46,PMGR!$DI$2:$DU$250,215,0)</f>
        <v>540</v>
      </c>
      <c r="DQ46" s="106">
        <f>+HLOOKUP($C46,PMGR!$DI$2:$DU$250,219,0)</f>
        <v>0</v>
      </c>
      <c r="DR46" s="106">
        <f>+HLOOKUP($C46,PMGR!$DI$2:$DU$250,220,0)</f>
        <v>0</v>
      </c>
      <c r="DS46" s="106">
        <f>+HLOOKUP($C46,PMGR!$DI$2:$DU$250,221,0)</f>
        <v>0</v>
      </c>
      <c r="DT46" s="106">
        <f>+HLOOKUP($C46,PMGR!$DI$2:$DU$250,223,0)</f>
        <v>11250</v>
      </c>
      <c r="DU46" s="106">
        <f>+HLOOKUP($C46,PMGR!$DI$2:$DU$250,224,0)</f>
        <v>5000</v>
      </c>
      <c r="DV46" s="106">
        <f>+HLOOKUP($C46,PMGR!$DI$2:$DU$250,225,0)</f>
        <v>0</v>
      </c>
      <c r="DW46" s="106">
        <f>+HLOOKUP($C46,PMGR!$DI$2:$DU$250,227,0)</f>
        <v>0</v>
      </c>
      <c r="DX46" s="106">
        <f>+HLOOKUP($C46,PMGR!$DI$2:$DU$250,228,0)</f>
        <v>0</v>
      </c>
      <c r="DY46" s="106">
        <f>+HLOOKUP($C46,PMGR!$DI$2:$DU$250,236,0)</f>
        <v>164826.17599999998</v>
      </c>
      <c r="DZ46" s="106">
        <f>+HLOOKUP($C46,PMGR!$DI$2:$DU$250,237,0)</f>
        <v>97379.605937638073</v>
      </c>
      <c r="EA46" s="106">
        <f>+HLOOKUP($C46,PMGR!$DI$2:$DU$250,238,0)</f>
        <v>26242.400000000001</v>
      </c>
      <c r="EB46" s="106">
        <f>+HLOOKUP($C46,PMGR!$DI$2:$DU$250,240,0)</f>
        <v>241812.14353571442</v>
      </c>
    </row>
    <row r="47" spans="1:132">
      <c r="A47" t="s">
        <v>271</v>
      </c>
      <c r="B47" t="s">
        <v>217</v>
      </c>
      <c r="C47" s="117">
        <v>45717</v>
      </c>
      <c r="D47" s="106">
        <f t="shared" si="0"/>
        <v>15902944.903804448</v>
      </c>
      <c r="E47" s="106">
        <f>+HLOOKUP(C47,PMGR!$DI$2:$DU$250,28,0)+HLOOKUP(C47,PMGR!$DI$2:$DU$250,43,0)+HLOOKUP(C47,PMGR!$DI$2:$DU$250,44,0)+HLOOKUP(C47,PMGR!$DI$2:$DU$250,45,0)+HLOOKUP(C47,PMGR!$DI$2:$DU$250,54,0)+HLOOKUP(C47,PMGR!$DI$2:$DU$250,59,0)</f>
        <v>15902944.903804448</v>
      </c>
      <c r="F47" s="106">
        <f>+HLOOKUP(C47,PMGR!$DI$2:$DU$250,37,0)+HLOOKUP(C47,PMGR!$DI$2:$DU$250,55,0)</f>
        <v>9008317.0270913374</v>
      </c>
      <c r="G47" s="106">
        <f>+HLOOKUP($C47,PMGR!$DI$2:$DU$250,76,0)</f>
        <v>0</v>
      </c>
      <c r="H47" s="106">
        <f>+HLOOKUP($C47,PMGR!$DI$2:$DU$250,77,0)</f>
        <v>0</v>
      </c>
      <c r="I47" s="106">
        <f>+HLOOKUP($C47,PMGR!$DI$2:$DU$250,78,0)</f>
        <v>0</v>
      </c>
      <c r="J47" s="106">
        <f>+HLOOKUP($C47,PMGR!$DI$2:$DU$250,79,0)</f>
        <v>0</v>
      </c>
      <c r="K47" s="106">
        <f>+HLOOKUP($C47,PMGR!$DI$2:$DU$250,80,0)</f>
        <v>5000</v>
      </c>
      <c r="L47" s="106">
        <f>+HLOOKUP($C47,PMGR!$DI$2:$DU$250,81,0)</f>
        <v>0</v>
      </c>
      <c r="M47" s="106">
        <f>+HLOOKUP($C47,PMGR!$DI$2:$DU$250,82,0)</f>
        <v>0</v>
      </c>
      <c r="N47" s="106">
        <f>+HLOOKUP($C47,PMGR!$DI$2:$DU$250,83,0)</f>
        <v>0</v>
      </c>
      <c r="O47" s="106">
        <f>+HLOOKUP($C47,PMGR!$DI$2:$DU$250,84,0)</f>
        <v>0</v>
      </c>
      <c r="P47" s="106">
        <f>+HLOOKUP($C47,PMGR!$DI$2:$DU$250,85,0)</f>
        <v>0</v>
      </c>
      <c r="Q47" s="106">
        <f>+HLOOKUP($C47,PMGR!$DI$2:$DU$250,87,0)</f>
        <v>275178.60473999998</v>
      </c>
      <c r="R47" s="106">
        <f>+HLOOKUP($C47,PMGR!$DI$2:$DU$250,90,0)</f>
        <v>0</v>
      </c>
      <c r="S47" s="106">
        <f>+HLOOKUP($C47,PMGR!$DI$2:$DU$250,91,0)</f>
        <v>1250</v>
      </c>
      <c r="T47" s="106">
        <f>+HLOOKUP($C47,PMGR!$DI$2:$DU$250,92,0)</f>
        <v>0</v>
      </c>
      <c r="U47" s="106">
        <f>+HLOOKUP($C47,PMGR!$DI$2:$DU$250,93,0)</f>
        <v>0</v>
      </c>
      <c r="V47" s="106">
        <f>+HLOOKUP($C47,PMGR!$DI$2:$DU$250,94,0)</f>
        <v>0</v>
      </c>
      <c r="W47" s="106">
        <f>+HLOOKUP($C47,PMGR!$DI$2:$DU$250,95,0)</f>
        <v>0</v>
      </c>
      <c r="X47" s="106">
        <f>+HLOOKUP($C47,PMGR!$DI$2:$DU$250,96,0)</f>
        <v>0</v>
      </c>
      <c r="Y47" s="106">
        <f>+HLOOKUP($C47,PMGR!$DI$2:$DU$250,97,0)</f>
        <v>0</v>
      </c>
      <c r="Z47" s="106">
        <f>+HLOOKUP($C47,PMGR!$DI$2:$DU$250,98,0)</f>
        <v>0</v>
      </c>
      <c r="AA47" s="106">
        <f>+HLOOKUP($C47,PMGR!$DI$2:$DU$250,99,0)</f>
        <v>0</v>
      </c>
      <c r="AB47" s="106">
        <f>+HLOOKUP($C47,PMGR!$DI$2:$DU$250,100,0)</f>
        <v>0</v>
      </c>
      <c r="AC47" s="106">
        <f>+HLOOKUP($C47,PMGR!$DI$2:$DU$250,101,0)</f>
        <v>10000</v>
      </c>
      <c r="AD47" s="106">
        <f>+HLOOKUP($C47,PMGR!$DI$2:$DU$250,104,0)</f>
        <v>0</v>
      </c>
      <c r="AE47" s="106">
        <f>+HLOOKUP($C47,PMGR!$DI$2:$DU$250,105,0)</f>
        <v>43679.006799999996</v>
      </c>
      <c r="AF47" s="106">
        <f>+HLOOKUP($C47,PMGR!$DI$2:$DU$250,106,0)</f>
        <v>0</v>
      </c>
      <c r="AG47" s="106">
        <f>+HLOOKUP($C47,PMGR!$DI$2:$DU$250,107,0)</f>
        <v>0</v>
      </c>
      <c r="AH47" s="106">
        <f>+HLOOKUP($C47,PMGR!$DI$2:$DU$250,108,0)</f>
        <v>0</v>
      </c>
      <c r="AI47" s="106">
        <f>+HLOOKUP($C47,PMGR!$DI$2:$DU$250,109,0)</f>
        <v>0</v>
      </c>
      <c r="AJ47" s="106">
        <f>+HLOOKUP($C47,PMGR!$DI$2:$DU$250,110,0)</f>
        <v>0</v>
      </c>
      <c r="AK47" s="106">
        <f>+HLOOKUP($C47,PMGR!$DI$2:$DU$250,111,0)</f>
        <v>3208.4215903999998</v>
      </c>
      <c r="AL47" s="106">
        <f>+HLOOKUP($C47,PMGR!$DI$2:$DU$250,112,0)</f>
        <v>0</v>
      </c>
      <c r="AM47" s="106">
        <f>+HLOOKUP($C47,PMGR!$DI$2:$DU$250,116,0)</f>
        <v>306100</v>
      </c>
      <c r="AN47" s="106">
        <f>+HLOOKUP($C47,PMGR!$DI$2:$DU$250,117,0)</f>
        <v>49980</v>
      </c>
      <c r="AO47" s="106">
        <f>+HLOOKUP($C47,PMGR!$DI$2:$DU$250,118,0)</f>
        <v>3000</v>
      </c>
      <c r="AP47" s="106">
        <f>+HLOOKUP($C47,PMGR!$DI$2:$DU$250,119,0)</f>
        <v>113020</v>
      </c>
      <c r="AQ47" s="106">
        <f>+HLOOKUP($C47,PMGR!$DI$2:$DU$250,120,0)</f>
        <v>26500</v>
      </c>
      <c r="AR47" s="106">
        <f>+HLOOKUP($C47,PMGR!$DI$2:$DU$250,121,0)</f>
        <v>16000</v>
      </c>
      <c r="AS47" s="106">
        <f>+HLOOKUP($C47,PMGR!$DI$2:$DU$250,122,0)</f>
        <v>131250</v>
      </c>
      <c r="AT47" s="106">
        <f>+HLOOKUP($C47,PMGR!$DI$2:$DU$250,123,0)</f>
        <v>35293.217528472225</v>
      </c>
      <c r="AU47" s="106">
        <f>+HLOOKUP($C47,PMGR!$DI$2:$DU$250,124,0)</f>
        <v>3752.5</v>
      </c>
      <c r="AV47" s="106">
        <f>+HLOOKUP($C47,PMGR!$DI$2:$DU$250,125,0)</f>
        <v>23535</v>
      </c>
      <c r="AW47" s="106">
        <f>+HLOOKUP($C47,PMGR!$DI$2:$DU$250,126,0)</f>
        <v>14716.346153846156</v>
      </c>
      <c r="AX47" s="106">
        <f>+HLOOKUP($C47,PMGR!$DI$2:$DU$250,127,0)</f>
        <v>20216.666666666664</v>
      </c>
      <c r="AY47" s="106">
        <f>+HLOOKUP($C47,PMGR!$DI$2:$DU$250,129,0)</f>
        <v>0</v>
      </c>
      <c r="AZ47" s="106">
        <f>+HLOOKUP($C47,PMGR!$DI$2:$DU$250,130,0)</f>
        <v>0</v>
      </c>
      <c r="BA47" s="106">
        <f>+HLOOKUP($C47,PMGR!$DI$2:$DU$250,131,0)</f>
        <v>35000</v>
      </c>
      <c r="BB47" s="106">
        <f>+HLOOKUP($C47,PMGR!$DI$2:$DU$250,133,0)</f>
        <v>0</v>
      </c>
      <c r="BC47" s="106">
        <f>+HLOOKUP($C47,PMGR!$DI$2:$DU$250,134,0)</f>
        <v>29680.886966666669</v>
      </c>
      <c r="BD47" s="106">
        <f>+HLOOKUP($C47,PMGR!$DI$2:$DU$250,135,0)</f>
        <v>0</v>
      </c>
      <c r="BE47" s="106">
        <f>+HLOOKUP($C47,PMGR!$DI$2:$DU$250,136,0)</f>
        <v>0</v>
      </c>
      <c r="BF47" s="106">
        <f>+HLOOKUP($C47,PMGR!$DI$2:$DU$250,138,0)</f>
        <v>7150</v>
      </c>
      <c r="BG47" s="106">
        <f>+HLOOKUP($C47,PMGR!$DI$2:$DU$250,139,0)</f>
        <v>9280.9624166666672</v>
      </c>
      <c r="BH47" s="106">
        <f>+HLOOKUP($C47,PMGR!$DI$2:$DU$250,140,0)</f>
        <v>27000</v>
      </c>
      <c r="BI47" s="106">
        <f>+HLOOKUP($C47,PMGR!$DI$2:$DU$250,141,0)</f>
        <v>0</v>
      </c>
      <c r="BJ47" s="106">
        <f>+HLOOKUP($C47,PMGR!$DI$2:$DU$250,142,0)</f>
        <v>0</v>
      </c>
      <c r="BK47" s="106">
        <f>+HLOOKUP($C47,PMGR!$DI$2:$DU$250,143,0)</f>
        <v>14452.166666666666</v>
      </c>
      <c r="BL47" s="106">
        <f>+HLOOKUP($C47,PMGR!$DI$2:$DU$250,144,0)</f>
        <v>11645.833333333334</v>
      </c>
      <c r="BM47" s="106">
        <f>+HLOOKUP($C47,PMGR!$DI$2:$DU$250,146,0)</f>
        <v>0</v>
      </c>
      <c r="BN47" s="106">
        <f>+HLOOKUP($C47,PMGR!$DI$2:$DU$250,147,0)</f>
        <v>59554.775000000001</v>
      </c>
      <c r="BO47" s="106">
        <f>+HLOOKUP($C47,PMGR!$DI$2:$DU$250,148,0)</f>
        <v>0</v>
      </c>
      <c r="BP47" s="106">
        <f>+HLOOKUP($C47,PMGR!$DI$2:$DU$250,150,0)</f>
        <v>19331.760000000002</v>
      </c>
      <c r="BQ47" s="106">
        <f>+HLOOKUP($C47,PMGR!$DI$2:$DU$250,151,0)</f>
        <v>1488.3</v>
      </c>
      <c r="BR47" s="106">
        <f>+HLOOKUP($C47,PMGR!$DI$2:$DU$250,152,0)</f>
        <v>9600</v>
      </c>
      <c r="BS47" s="106">
        <f>+HLOOKUP($C47,PMGR!$DI$2:$DU$250,153,0)</f>
        <v>1800</v>
      </c>
      <c r="BT47" s="106">
        <f>+HLOOKUP($C47,PMGR!$DI$2:$DU$250,157,0)</f>
        <v>6360</v>
      </c>
      <c r="BU47" s="106">
        <f>+HLOOKUP($C47,PMGR!$DI$2:$DU$250,158,0)</f>
        <v>1305</v>
      </c>
      <c r="BV47" s="106">
        <f>+HLOOKUP($C47,PMGR!$DI$2:$DU$250,159,0)</f>
        <v>0</v>
      </c>
      <c r="BW47" s="106">
        <f>+HLOOKUP($C47,PMGR!$DI$2:$DU$250,160,0)</f>
        <v>6600</v>
      </c>
      <c r="BX47" s="106">
        <f>+HLOOKUP($C47,PMGR!$DI$2:$DU$250,161,0)</f>
        <v>7327.380768</v>
      </c>
      <c r="BY47" s="106">
        <f>+HLOOKUP($C47,PMGR!$DI$2:$DU$250,164,0)</f>
        <v>1000</v>
      </c>
      <c r="BZ47" s="106">
        <f>+HLOOKUP($C47,PMGR!$DI$2:$DU$250,165,0)</f>
        <v>25626.666666666664</v>
      </c>
      <c r="CA47" s="106">
        <f>+HLOOKUP($C47,PMGR!$DI$2:$DU$250,166,0)</f>
        <v>0</v>
      </c>
      <c r="CB47" s="106">
        <f>+HLOOKUP($C47,PMGR!$DI$2:$DU$250,167,0)</f>
        <v>12500</v>
      </c>
      <c r="CC47" s="106">
        <f>+HLOOKUP($C47,PMGR!$DI$2:$DU$250,168,0)</f>
        <v>0</v>
      </c>
      <c r="CD47" s="106">
        <f>+HLOOKUP($C47,PMGR!$DI$2:$DU$250,169,0)</f>
        <v>0</v>
      </c>
      <c r="CE47" s="106">
        <f>+HLOOKUP($C47,PMGR!$DI$2:$DU$250,170,0)</f>
        <v>0</v>
      </c>
      <c r="CF47" s="106">
        <f>+HLOOKUP($C47,PMGR!$DI$2:$DU$250,172,0)</f>
        <v>10800</v>
      </c>
      <c r="CG47" s="106">
        <f>+HLOOKUP($C47,PMGR!$DI$2:$DU$250,173,0)</f>
        <v>10800</v>
      </c>
      <c r="CH47" s="106">
        <f>+HLOOKUP($C47,PMGR!$DI$2:$DU$250,174,0)</f>
        <v>57600</v>
      </c>
      <c r="CI47" s="106">
        <f>+HLOOKUP($C47,PMGR!$DI$2:$DU$250,175,0)</f>
        <v>4458</v>
      </c>
      <c r="CJ47" s="106">
        <f>+HLOOKUP($C47,PMGR!$DI$2:$DU$250,176,0)</f>
        <v>3555</v>
      </c>
      <c r="CK47" s="106">
        <f>+HLOOKUP($C47,PMGR!$DI$2:$DU$250,178,0)</f>
        <v>36000</v>
      </c>
      <c r="CL47" s="106">
        <f>+HLOOKUP($C47,PMGR!$DI$2:$DU$250,179,0)</f>
        <v>0</v>
      </c>
      <c r="CM47" s="106">
        <f>+HLOOKUP($C47,PMGR!$DI$2:$DU$250,180,0)</f>
        <v>8820</v>
      </c>
      <c r="CN47" s="106">
        <f>+HLOOKUP($C47,PMGR!$DI$2:$DU$250,182,0)</f>
        <v>368.55</v>
      </c>
      <c r="CO47" s="106">
        <f>+HLOOKUP($C47,PMGR!$DI$2:$DU$250,183,0)</f>
        <v>7035.3</v>
      </c>
      <c r="CP47" s="106">
        <f>+HLOOKUP($C47,PMGR!$DI$2:$DU$250,184,0)</f>
        <v>3240</v>
      </c>
      <c r="CQ47" s="106">
        <f>+HLOOKUP($C47,PMGR!$DI$2:$DU$250,185,0)</f>
        <v>0</v>
      </c>
      <c r="CR47" s="106">
        <f>+HLOOKUP($C47,PMGR!$DI$2:$DU$250,187,0)</f>
        <v>1874.8799999999997</v>
      </c>
      <c r="CS47" s="106">
        <f>+HLOOKUP($C47,PMGR!$DI$2:$DU$250,188,0)</f>
        <v>2385</v>
      </c>
      <c r="CT47" s="106">
        <f>+HLOOKUP($C47,PMGR!$DI$2:$DU$250,189,0)</f>
        <v>1500.0299999999997</v>
      </c>
      <c r="CU47" s="106">
        <f>+HLOOKUP($C47,PMGR!$DI$2:$DU$250,190,0)</f>
        <v>1520.01</v>
      </c>
      <c r="CV47" s="106">
        <f>+HLOOKUP($C47,PMGR!$DI$2:$DU$250,191,0)</f>
        <v>0</v>
      </c>
      <c r="CW47" s="106">
        <f>+HLOOKUP($C47,PMGR!$DI$2:$DU$250,193,0)</f>
        <v>3706.3</v>
      </c>
      <c r="CX47" s="106">
        <f>+HLOOKUP($C47,PMGR!$DI$2:$DU$250,194,0)</f>
        <v>355.1</v>
      </c>
      <c r="CY47" s="106">
        <f>+HLOOKUP($C47,PMGR!$DI$2:$DU$250,195,0)</f>
        <v>825.03539999999998</v>
      </c>
      <c r="CZ47" s="106">
        <f>+HLOOKUP($C47,PMGR!$DI$2:$DU$250,196,0)</f>
        <v>0</v>
      </c>
      <c r="DA47" s="106">
        <f>+HLOOKUP($C47,PMGR!$DI$2:$DU$250,197,0)</f>
        <v>9849.6</v>
      </c>
      <c r="DB47" s="106">
        <f>+HLOOKUP($C47,PMGR!$DI$2:$DU$250,198,0)</f>
        <v>3033</v>
      </c>
      <c r="DC47" s="106">
        <f>+HLOOKUP($C47,PMGR!$DI$2:$DU$250,199,0)</f>
        <v>648</v>
      </c>
      <c r="DD47" s="106">
        <f>+HLOOKUP($C47,PMGR!$DI$2:$DU$250,200,0)</f>
        <v>210</v>
      </c>
      <c r="DE47" s="106">
        <f>+HLOOKUP($C47,PMGR!$DI$2:$DU$250,201,0)</f>
        <v>44.55</v>
      </c>
      <c r="DF47" s="106">
        <f>+HLOOKUP($C47,PMGR!$DI$2:$DU$250,202,0)</f>
        <v>0</v>
      </c>
      <c r="DG47" s="106">
        <f>+HLOOKUP($C47,PMGR!$DI$2:$DU$250,203,0)</f>
        <v>0</v>
      </c>
      <c r="DH47" s="106">
        <f>+HLOOKUP($C47,PMGR!$DI$2:$DU$250,205,0)</f>
        <v>0</v>
      </c>
      <c r="DI47" s="106">
        <f>+HLOOKUP($C47,PMGR!$DI$2:$DU$250,206,0)</f>
        <v>2812.3733323636361</v>
      </c>
      <c r="DJ47" s="106">
        <f>+HLOOKUP($C47,PMGR!$DI$2:$DU$250,207,0)</f>
        <v>22535.723166666663</v>
      </c>
      <c r="DK47" s="106">
        <f>+HLOOKUP($C47,PMGR!$DI$2:$DU$250,209,0)</f>
        <v>0</v>
      </c>
      <c r="DL47" s="106">
        <f>+HLOOKUP($C47,PMGR!$DI$2:$DU$250,210,0)</f>
        <v>70195.485937500009</v>
      </c>
      <c r="DM47" s="106">
        <f>+HLOOKUP($C47,PMGR!$DI$2:$DU$250,211,0)</f>
        <v>0</v>
      </c>
      <c r="DN47" s="106">
        <f>+HLOOKUP($C47,PMGR!$DI$2:$DU$250,212,0)</f>
        <v>48000</v>
      </c>
      <c r="DO47" s="106">
        <f>+HLOOKUP($C47,PMGR!$DI$2:$DU$250,214,0)</f>
        <v>0</v>
      </c>
      <c r="DP47" s="106">
        <f>+HLOOKUP($C47,PMGR!$DI$2:$DU$250,215,0)</f>
        <v>540</v>
      </c>
      <c r="DQ47" s="106">
        <f>+HLOOKUP($C47,PMGR!$DI$2:$DU$250,219,0)</f>
        <v>0</v>
      </c>
      <c r="DR47" s="106">
        <f>+HLOOKUP($C47,PMGR!$DI$2:$DU$250,220,0)</f>
        <v>0</v>
      </c>
      <c r="DS47" s="106">
        <f>+HLOOKUP($C47,PMGR!$DI$2:$DU$250,221,0)</f>
        <v>0</v>
      </c>
      <c r="DT47" s="106">
        <f>+HLOOKUP($C47,PMGR!$DI$2:$DU$250,223,0)</f>
        <v>11250</v>
      </c>
      <c r="DU47" s="106">
        <f>+HLOOKUP($C47,PMGR!$DI$2:$DU$250,224,0)</f>
        <v>5000</v>
      </c>
      <c r="DV47" s="106">
        <f>+HLOOKUP($C47,PMGR!$DI$2:$DU$250,225,0)</f>
        <v>0</v>
      </c>
      <c r="DW47" s="106">
        <f>+HLOOKUP($C47,PMGR!$DI$2:$DU$250,227,0)</f>
        <v>0</v>
      </c>
      <c r="DX47" s="106">
        <f>+HLOOKUP($C47,PMGR!$DI$2:$DU$250,228,0)</f>
        <v>0</v>
      </c>
      <c r="DY47" s="106">
        <f>+HLOOKUP($C47,PMGR!$DI$2:$DU$250,236,0)</f>
        <v>168972.86000000002</v>
      </c>
      <c r="DZ47" s="106">
        <f>+HLOOKUP($C47,PMGR!$DI$2:$DU$250,237,0)</f>
        <v>101915.66447518411</v>
      </c>
      <c r="EA47" s="106">
        <f>+HLOOKUP($C47,PMGR!$DI$2:$DU$250,238,0)</f>
        <v>28016.400000000001</v>
      </c>
      <c r="EB47" s="106">
        <f>+HLOOKUP($C47,PMGR!$DI$2:$DU$250,240,0)</f>
        <v>241812.14353571442</v>
      </c>
    </row>
    <row r="48" spans="1:132">
      <c r="A48" t="s">
        <v>271</v>
      </c>
      <c r="B48" t="s">
        <v>217</v>
      </c>
      <c r="C48" s="117">
        <v>45689</v>
      </c>
      <c r="D48" s="106">
        <f t="shared" si="0"/>
        <v>12258069.161533039</v>
      </c>
      <c r="E48" s="106">
        <f>+HLOOKUP(C48,PMGR!$DI$2:$DU$250,28,0)+HLOOKUP(C48,PMGR!$DI$2:$DU$250,43,0)+HLOOKUP(C48,PMGR!$DI$2:$DU$250,44,0)+HLOOKUP(C48,PMGR!$DI$2:$DU$250,45,0)+HLOOKUP(C48,PMGR!$DI$2:$DU$250,54,0)+HLOOKUP(C48,PMGR!$DI$2:$DU$250,59,0)</f>
        <v>12258069.161533039</v>
      </c>
      <c r="F48" s="106">
        <f>+HLOOKUP(C48,PMGR!$DI$2:$DU$250,37,0)+HLOOKUP(C48,PMGR!$DI$2:$DU$250,55,0)</f>
        <v>8227533.9456293415</v>
      </c>
      <c r="G48" s="106">
        <f>+HLOOKUP($C48,PMGR!$DI$2:$DU$250,76,0)</f>
        <v>0</v>
      </c>
      <c r="H48" s="106">
        <f>+HLOOKUP($C48,PMGR!$DI$2:$DU$250,77,0)</f>
        <v>0</v>
      </c>
      <c r="I48" s="106">
        <f>+HLOOKUP($C48,PMGR!$DI$2:$DU$250,78,0)</f>
        <v>0</v>
      </c>
      <c r="J48" s="106">
        <f>+HLOOKUP($C48,PMGR!$DI$2:$DU$250,79,0)</f>
        <v>0</v>
      </c>
      <c r="K48" s="106">
        <f>+HLOOKUP($C48,PMGR!$DI$2:$DU$250,80,0)</f>
        <v>5000</v>
      </c>
      <c r="L48" s="106">
        <f>+HLOOKUP($C48,PMGR!$DI$2:$DU$250,81,0)</f>
        <v>0</v>
      </c>
      <c r="M48" s="106">
        <f>+HLOOKUP($C48,PMGR!$DI$2:$DU$250,82,0)</f>
        <v>0</v>
      </c>
      <c r="N48" s="106">
        <f>+HLOOKUP($C48,PMGR!$DI$2:$DU$250,83,0)</f>
        <v>0</v>
      </c>
      <c r="O48" s="106">
        <f>+HLOOKUP($C48,PMGR!$DI$2:$DU$250,84,0)</f>
        <v>0</v>
      </c>
      <c r="P48" s="106">
        <f>+HLOOKUP($C48,PMGR!$DI$2:$DU$250,85,0)</f>
        <v>0</v>
      </c>
      <c r="Q48" s="106">
        <f>+HLOOKUP($C48,PMGR!$DI$2:$DU$250,87,0)</f>
        <v>249942.35136000003</v>
      </c>
      <c r="R48" s="106">
        <f>+HLOOKUP($C48,PMGR!$DI$2:$DU$250,90,0)</f>
        <v>0</v>
      </c>
      <c r="S48" s="106">
        <f>+HLOOKUP($C48,PMGR!$DI$2:$DU$250,91,0)</f>
        <v>1250</v>
      </c>
      <c r="T48" s="106">
        <f>+HLOOKUP($C48,PMGR!$DI$2:$DU$250,92,0)</f>
        <v>0</v>
      </c>
      <c r="U48" s="106">
        <f>+HLOOKUP($C48,PMGR!$DI$2:$DU$250,93,0)</f>
        <v>0</v>
      </c>
      <c r="V48" s="106">
        <f>+HLOOKUP($C48,PMGR!$DI$2:$DU$250,94,0)</f>
        <v>0</v>
      </c>
      <c r="W48" s="106">
        <f>+HLOOKUP($C48,PMGR!$DI$2:$DU$250,95,0)</f>
        <v>0</v>
      </c>
      <c r="X48" s="106">
        <f>+HLOOKUP($C48,PMGR!$DI$2:$DU$250,96,0)</f>
        <v>0</v>
      </c>
      <c r="Y48" s="106">
        <f>+HLOOKUP($C48,PMGR!$DI$2:$DU$250,97,0)</f>
        <v>0</v>
      </c>
      <c r="Z48" s="106">
        <f>+HLOOKUP($C48,PMGR!$DI$2:$DU$250,98,0)</f>
        <v>0</v>
      </c>
      <c r="AA48" s="106">
        <f>+HLOOKUP($C48,PMGR!$DI$2:$DU$250,99,0)</f>
        <v>0</v>
      </c>
      <c r="AB48" s="106">
        <f>+HLOOKUP($C48,PMGR!$DI$2:$DU$250,100,0)</f>
        <v>0</v>
      </c>
      <c r="AC48" s="106">
        <f>+HLOOKUP($C48,PMGR!$DI$2:$DU$250,101,0)</f>
        <v>10000</v>
      </c>
      <c r="AD48" s="106">
        <f>+HLOOKUP($C48,PMGR!$DI$2:$DU$250,104,0)</f>
        <v>0</v>
      </c>
      <c r="AE48" s="106">
        <f>+HLOOKUP($C48,PMGR!$DI$2:$DU$250,105,0)</f>
        <v>39687.007360000003</v>
      </c>
      <c r="AF48" s="106">
        <f>+HLOOKUP($C48,PMGR!$DI$2:$DU$250,106,0)</f>
        <v>0</v>
      </c>
      <c r="AG48" s="106">
        <f>+HLOOKUP($C48,PMGR!$DI$2:$DU$250,107,0)</f>
        <v>0</v>
      </c>
      <c r="AH48" s="106">
        <f>+HLOOKUP($C48,PMGR!$DI$2:$DU$250,108,0)</f>
        <v>0</v>
      </c>
      <c r="AI48" s="106">
        <f>+HLOOKUP($C48,PMGR!$DI$2:$DU$250,109,0)</f>
        <v>0</v>
      </c>
      <c r="AJ48" s="106">
        <f>+HLOOKUP($C48,PMGR!$DI$2:$DU$250,110,0)</f>
        <v>0</v>
      </c>
      <c r="AK48" s="106">
        <f>+HLOOKUP($C48,PMGR!$DI$2:$DU$250,111,0)</f>
        <v>2915.1910860800008</v>
      </c>
      <c r="AL48" s="106">
        <f>+HLOOKUP($C48,PMGR!$DI$2:$DU$250,112,0)</f>
        <v>0</v>
      </c>
      <c r="AM48" s="106">
        <f>+HLOOKUP($C48,PMGR!$DI$2:$DU$250,116,0)</f>
        <v>306100</v>
      </c>
      <c r="AN48" s="106">
        <f>+HLOOKUP($C48,PMGR!$DI$2:$DU$250,117,0)</f>
        <v>49980</v>
      </c>
      <c r="AO48" s="106">
        <f>+HLOOKUP($C48,PMGR!$DI$2:$DU$250,118,0)</f>
        <v>3000</v>
      </c>
      <c r="AP48" s="106">
        <f>+HLOOKUP($C48,PMGR!$DI$2:$DU$250,119,0)</f>
        <v>113020</v>
      </c>
      <c r="AQ48" s="106">
        <f>+HLOOKUP($C48,PMGR!$DI$2:$DU$250,120,0)</f>
        <v>26500</v>
      </c>
      <c r="AR48" s="106">
        <f>+HLOOKUP($C48,PMGR!$DI$2:$DU$250,121,0)</f>
        <v>16000</v>
      </c>
      <c r="AS48" s="106">
        <f>+HLOOKUP($C48,PMGR!$DI$2:$DU$250,122,0)</f>
        <v>131250</v>
      </c>
      <c r="AT48" s="106">
        <f>+HLOOKUP($C48,PMGR!$DI$2:$DU$250,123,0)</f>
        <v>35293.217528472225</v>
      </c>
      <c r="AU48" s="106">
        <f>+HLOOKUP($C48,PMGR!$DI$2:$DU$250,124,0)</f>
        <v>3752.5</v>
      </c>
      <c r="AV48" s="106">
        <f>+HLOOKUP($C48,PMGR!$DI$2:$DU$250,125,0)</f>
        <v>23535</v>
      </c>
      <c r="AW48" s="106">
        <f>+HLOOKUP($C48,PMGR!$DI$2:$DU$250,126,0)</f>
        <v>14716.346153846156</v>
      </c>
      <c r="AX48" s="106">
        <f>+HLOOKUP($C48,PMGR!$DI$2:$DU$250,127,0)</f>
        <v>20216.666666666664</v>
      </c>
      <c r="AY48" s="106">
        <f>+HLOOKUP($C48,PMGR!$DI$2:$DU$250,129,0)</f>
        <v>0</v>
      </c>
      <c r="AZ48" s="106">
        <f>+HLOOKUP($C48,PMGR!$DI$2:$DU$250,130,0)</f>
        <v>0</v>
      </c>
      <c r="BA48" s="106">
        <f>+HLOOKUP($C48,PMGR!$DI$2:$DU$250,131,0)</f>
        <v>35000</v>
      </c>
      <c r="BB48" s="106">
        <f>+HLOOKUP($C48,PMGR!$DI$2:$DU$250,133,0)</f>
        <v>0</v>
      </c>
      <c r="BC48" s="106">
        <f>+HLOOKUP($C48,PMGR!$DI$2:$DU$250,134,0)</f>
        <v>29680.886966666669</v>
      </c>
      <c r="BD48" s="106">
        <f>+HLOOKUP($C48,PMGR!$DI$2:$DU$250,135,0)</f>
        <v>0</v>
      </c>
      <c r="BE48" s="106">
        <f>+HLOOKUP($C48,PMGR!$DI$2:$DU$250,136,0)</f>
        <v>0</v>
      </c>
      <c r="BF48" s="106">
        <f>+HLOOKUP($C48,PMGR!$DI$2:$DU$250,138,0)</f>
        <v>7150</v>
      </c>
      <c r="BG48" s="106">
        <f>+HLOOKUP($C48,PMGR!$DI$2:$DU$250,139,0)</f>
        <v>9280.9624166666672</v>
      </c>
      <c r="BH48" s="106">
        <f>+HLOOKUP($C48,PMGR!$DI$2:$DU$250,140,0)</f>
        <v>27000</v>
      </c>
      <c r="BI48" s="106">
        <f>+HLOOKUP($C48,PMGR!$DI$2:$DU$250,141,0)</f>
        <v>0</v>
      </c>
      <c r="BJ48" s="106">
        <f>+HLOOKUP($C48,PMGR!$DI$2:$DU$250,142,0)</f>
        <v>0</v>
      </c>
      <c r="BK48" s="106">
        <f>+HLOOKUP($C48,PMGR!$DI$2:$DU$250,143,0)</f>
        <v>14452.166666666666</v>
      </c>
      <c r="BL48" s="106">
        <f>+HLOOKUP($C48,PMGR!$DI$2:$DU$250,144,0)</f>
        <v>2145.8333333333335</v>
      </c>
      <c r="BM48" s="106">
        <f>+HLOOKUP($C48,PMGR!$DI$2:$DU$250,146,0)</f>
        <v>0</v>
      </c>
      <c r="BN48" s="106">
        <f>+HLOOKUP($C48,PMGR!$DI$2:$DU$250,147,0)</f>
        <v>59554.775000000001</v>
      </c>
      <c r="BO48" s="106">
        <f>+HLOOKUP($C48,PMGR!$DI$2:$DU$250,148,0)</f>
        <v>0</v>
      </c>
      <c r="BP48" s="106">
        <f>+HLOOKUP($C48,PMGR!$DI$2:$DU$250,150,0)</f>
        <v>19331.760000000002</v>
      </c>
      <c r="BQ48" s="106">
        <f>+HLOOKUP($C48,PMGR!$DI$2:$DU$250,151,0)</f>
        <v>1488.3</v>
      </c>
      <c r="BR48" s="106">
        <f>+HLOOKUP($C48,PMGR!$DI$2:$DU$250,152,0)</f>
        <v>9600</v>
      </c>
      <c r="BS48" s="106">
        <f>+HLOOKUP($C48,PMGR!$DI$2:$DU$250,153,0)</f>
        <v>1800</v>
      </c>
      <c r="BT48" s="106">
        <f>+HLOOKUP($C48,PMGR!$DI$2:$DU$250,157,0)</f>
        <v>6360</v>
      </c>
      <c r="BU48" s="106">
        <f>+HLOOKUP($C48,PMGR!$DI$2:$DU$250,158,0)</f>
        <v>1305</v>
      </c>
      <c r="BV48" s="106">
        <f>+HLOOKUP($C48,PMGR!$DI$2:$DU$250,159,0)</f>
        <v>0</v>
      </c>
      <c r="BW48" s="106">
        <f>+HLOOKUP($C48,PMGR!$DI$2:$DU$250,160,0)</f>
        <v>6600</v>
      </c>
      <c r="BX48" s="106">
        <f>+HLOOKUP($C48,PMGR!$DI$2:$DU$250,161,0)</f>
        <v>7327.380768</v>
      </c>
      <c r="BY48" s="106">
        <f>+HLOOKUP($C48,PMGR!$DI$2:$DU$250,164,0)</f>
        <v>1000</v>
      </c>
      <c r="BZ48" s="106">
        <f>+HLOOKUP($C48,PMGR!$DI$2:$DU$250,165,0)</f>
        <v>25626.666666666664</v>
      </c>
      <c r="CA48" s="106">
        <f>+HLOOKUP($C48,PMGR!$DI$2:$DU$250,166,0)</f>
        <v>0</v>
      </c>
      <c r="CB48" s="106">
        <f>+HLOOKUP($C48,PMGR!$DI$2:$DU$250,167,0)</f>
        <v>12500</v>
      </c>
      <c r="CC48" s="106">
        <f>+HLOOKUP($C48,PMGR!$DI$2:$DU$250,168,0)</f>
        <v>0</v>
      </c>
      <c r="CD48" s="106">
        <f>+HLOOKUP($C48,PMGR!$DI$2:$DU$250,169,0)</f>
        <v>0</v>
      </c>
      <c r="CE48" s="106">
        <f>+HLOOKUP($C48,PMGR!$DI$2:$DU$250,170,0)</f>
        <v>0</v>
      </c>
      <c r="CF48" s="106">
        <f>+HLOOKUP($C48,PMGR!$DI$2:$DU$250,172,0)</f>
        <v>10800</v>
      </c>
      <c r="CG48" s="106">
        <f>+HLOOKUP($C48,PMGR!$DI$2:$DU$250,173,0)</f>
        <v>10800</v>
      </c>
      <c r="CH48" s="106">
        <f>+HLOOKUP($C48,PMGR!$DI$2:$DU$250,174,0)</f>
        <v>57600</v>
      </c>
      <c r="CI48" s="106">
        <f>+HLOOKUP($C48,PMGR!$DI$2:$DU$250,175,0)</f>
        <v>4458</v>
      </c>
      <c r="CJ48" s="106">
        <f>+HLOOKUP($C48,PMGR!$DI$2:$DU$250,176,0)</f>
        <v>3555</v>
      </c>
      <c r="CK48" s="106">
        <f>+HLOOKUP($C48,PMGR!$DI$2:$DU$250,178,0)</f>
        <v>36000</v>
      </c>
      <c r="CL48" s="106">
        <f>+HLOOKUP($C48,PMGR!$DI$2:$DU$250,179,0)</f>
        <v>0</v>
      </c>
      <c r="CM48" s="106">
        <f>+HLOOKUP($C48,PMGR!$DI$2:$DU$250,180,0)</f>
        <v>8820</v>
      </c>
      <c r="CN48" s="106">
        <f>+HLOOKUP($C48,PMGR!$DI$2:$DU$250,182,0)</f>
        <v>368.55</v>
      </c>
      <c r="CO48" s="106">
        <f>+HLOOKUP($C48,PMGR!$DI$2:$DU$250,183,0)</f>
        <v>7035.3</v>
      </c>
      <c r="CP48" s="106">
        <f>+HLOOKUP($C48,PMGR!$DI$2:$DU$250,184,0)</f>
        <v>3240</v>
      </c>
      <c r="CQ48" s="106">
        <f>+HLOOKUP($C48,PMGR!$DI$2:$DU$250,185,0)</f>
        <v>0</v>
      </c>
      <c r="CR48" s="106">
        <f>+HLOOKUP($C48,PMGR!$DI$2:$DU$250,187,0)</f>
        <v>1874.8799999999997</v>
      </c>
      <c r="CS48" s="106">
        <f>+HLOOKUP($C48,PMGR!$DI$2:$DU$250,188,0)</f>
        <v>2385</v>
      </c>
      <c r="CT48" s="106">
        <f>+HLOOKUP($C48,PMGR!$DI$2:$DU$250,189,0)</f>
        <v>1500.0299999999997</v>
      </c>
      <c r="CU48" s="106">
        <f>+HLOOKUP($C48,PMGR!$DI$2:$DU$250,190,0)</f>
        <v>1520.01</v>
      </c>
      <c r="CV48" s="106">
        <f>+HLOOKUP($C48,PMGR!$DI$2:$DU$250,191,0)</f>
        <v>0</v>
      </c>
      <c r="CW48" s="106">
        <f>+HLOOKUP($C48,PMGR!$DI$2:$DU$250,193,0)</f>
        <v>3706.3</v>
      </c>
      <c r="CX48" s="106">
        <f>+HLOOKUP($C48,PMGR!$DI$2:$DU$250,194,0)</f>
        <v>355.1</v>
      </c>
      <c r="CY48" s="106">
        <f>+HLOOKUP($C48,PMGR!$DI$2:$DU$250,195,0)</f>
        <v>825.03539999999998</v>
      </c>
      <c r="CZ48" s="106">
        <f>+HLOOKUP($C48,PMGR!$DI$2:$DU$250,196,0)</f>
        <v>0</v>
      </c>
      <c r="DA48" s="106">
        <f>+HLOOKUP($C48,PMGR!$DI$2:$DU$250,197,0)</f>
        <v>9849.6</v>
      </c>
      <c r="DB48" s="106">
        <f>+HLOOKUP($C48,PMGR!$DI$2:$DU$250,198,0)</f>
        <v>3033</v>
      </c>
      <c r="DC48" s="106">
        <f>+HLOOKUP($C48,PMGR!$DI$2:$DU$250,199,0)</f>
        <v>648</v>
      </c>
      <c r="DD48" s="106">
        <f>+HLOOKUP($C48,PMGR!$DI$2:$DU$250,200,0)</f>
        <v>210</v>
      </c>
      <c r="DE48" s="106">
        <f>+HLOOKUP($C48,PMGR!$DI$2:$DU$250,201,0)</f>
        <v>44.55</v>
      </c>
      <c r="DF48" s="106">
        <f>+HLOOKUP($C48,PMGR!$DI$2:$DU$250,202,0)</f>
        <v>0</v>
      </c>
      <c r="DG48" s="106">
        <f>+HLOOKUP($C48,PMGR!$DI$2:$DU$250,203,0)</f>
        <v>0</v>
      </c>
      <c r="DH48" s="106">
        <f>+HLOOKUP($C48,PMGR!$DI$2:$DU$250,205,0)</f>
        <v>0</v>
      </c>
      <c r="DI48" s="106">
        <f>+HLOOKUP($C48,PMGR!$DI$2:$DU$250,206,0)</f>
        <v>2812.3733323636361</v>
      </c>
      <c r="DJ48" s="106">
        <f>+HLOOKUP($C48,PMGR!$DI$2:$DU$250,207,0)</f>
        <v>22535.723166666663</v>
      </c>
      <c r="DK48" s="106">
        <f>+HLOOKUP($C48,PMGR!$DI$2:$DU$250,209,0)</f>
        <v>0</v>
      </c>
      <c r="DL48" s="106">
        <f>+HLOOKUP($C48,PMGR!$DI$2:$DU$250,210,0)</f>
        <v>70195.485937500009</v>
      </c>
      <c r="DM48" s="106">
        <f>+HLOOKUP($C48,PMGR!$DI$2:$DU$250,211,0)</f>
        <v>0</v>
      </c>
      <c r="DN48" s="106">
        <f>+HLOOKUP($C48,PMGR!$DI$2:$DU$250,212,0)</f>
        <v>48000</v>
      </c>
      <c r="DO48" s="106">
        <f>+HLOOKUP($C48,PMGR!$DI$2:$DU$250,214,0)</f>
        <v>0</v>
      </c>
      <c r="DP48" s="106">
        <f>+HLOOKUP($C48,PMGR!$DI$2:$DU$250,215,0)</f>
        <v>540</v>
      </c>
      <c r="DQ48" s="106">
        <f>+HLOOKUP($C48,PMGR!$DI$2:$DU$250,219,0)</f>
        <v>0</v>
      </c>
      <c r="DR48" s="106">
        <f>+HLOOKUP($C48,PMGR!$DI$2:$DU$250,220,0)</f>
        <v>0</v>
      </c>
      <c r="DS48" s="106">
        <f>+HLOOKUP($C48,PMGR!$DI$2:$DU$250,221,0)</f>
        <v>0</v>
      </c>
      <c r="DT48" s="106">
        <f>+HLOOKUP($C48,PMGR!$DI$2:$DU$250,223,0)</f>
        <v>11250</v>
      </c>
      <c r="DU48" s="106">
        <f>+HLOOKUP($C48,PMGR!$DI$2:$DU$250,224,0)</f>
        <v>5000</v>
      </c>
      <c r="DV48" s="106">
        <f>+HLOOKUP($C48,PMGR!$DI$2:$DU$250,225,0)</f>
        <v>0</v>
      </c>
      <c r="DW48" s="106">
        <f>+HLOOKUP($C48,PMGR!$DI$2:$DU$250,227,0)</f>
        <v>0</v>
      </c>
      <c r="DX48" s="106">
        <f>+HLOOKUP($C48,PMGR!$DI$2:$DU$250,228,0)</f>
        <v>0</v>
      </c>
      <c r="DY48" s="106">
        <f>+HLOOKUP($C48,PMGR!$DI$2:$DU$250,236,0)</f>
        <v>173088.88399999999</v>
      </c>
      <c r="DZ48" s="106">
        <f>+HLOOKUP($C48,PMGR!$DI$2:$DU$250,237,0)</f>
        <v>93218.084262838107</v>
      </c>
      <c r="EA48" s="106">
        <f>+HLOOKUP($C48,PMGR!$DI$2:$DU$250,238,0)</f>
        <v>29778</v>
      </c>
      <c r="EB48" s="106">
        <f>+HLOOKUP($C48,PMGR!$DI$2:$DU$250,240,0)</f>
        <v>241812.14353571442</v>
      </c>
    </row>
    <row r="49" spans="1:132">
      <c r="A49" t="s">
        <v>271</v>
      </c>
      <c r="B49" t="s">
        <v>217</v>
      </c>
      <c r="C49" s="117">
        <v>45658</v>
      </c>
      <c r="D49" s="106">
        <f t="shared" si="0"/>
        <v>12557241.047725014</v>
      </c>
      <c r="E49" s="106">
        <f>+HLOOKUP(C49,PMGR!$DI$2:$DU$250,28,0)+HLOOKUP(C49,PMGR!$DI$2:$DU$250,43,0)+HLOOKUP(C49,PMGR!$DI$2:$DU$250,44,0)+HLOOKUP(C49,PMGR!$DI$2:$DU$250,45,0)+HLOOKUP(C49,PMGR!$DI$2:$DU$250,54,0)+HLOOKUP(C49,PMGR!$DI$2:$DU$250,59,0)</f>
        <v>12557241.047725014</v>
      </c>
      <c r="F49" s="106">
        <f>+HLOOKUP(C49,PMGR!$DI$2:$DU$250,37,0)+HLOOKUP(C49,PMGR!$DI$2:$DU$250,55,0)</f>
        <v>8423295.6718913428</v>
      </c>
      <c r="G49" s="106">
        <f>+HLOOKUP($C49,PMGR!$DI$2:$DU$250,76,0)</f>
        <v>0</v>
      </c>
      <c r="H49" s="106">
        <f>+HLOOKUP($C49,PMGR!$DI$2:$DU$250,77,0)</f>
        <v>0</v>
      </c>
      <c r="I49" s="106">
        <f>+HLOOKUP($C49,PMGR!$DI$2:$DU$250,78,0)</f>
        <v>0</v>
      </c>
      <c r="J49" s="106">
        <f>+HLOOKUP($C49,PMGR!$DI$2:$DU$250,79,0)</f>
        <v>0</v>
      </c>
      <c r="K49" s="106">
        <f>+HLOOKUP($C49,PMGR!$DI$2:$DU$250,80,0)</f>
        <v>5000</v>
      </c>
      <c r="L49" s="106">
        <f>+HLOOKUP($C49,PMGR!$DI$2:$DU$250,81,0)</f>
        <v>0</v>
      </c>
      <c r="M49" s="106">
        <f>+HLOOKUP($C49,PMGR!$DI$2:$DU$250,82,0)</f>
        <v>0</v>
      </c>
      <c r="N49" s="106">
        <f>+HLOOKUP($C49,PMGR!$DI$2:$DU$250,83,0)</f>
        <v>0</v>
      </c>
      <c r="O49" s="106">
        <f>+HLOOKUP($C49,PMGR!$DI$2:$DU$250,84,0)</f>
        <v>0</v>
      </c>
      <c r="P49" s="106">
        <f>+HLOOKUP($C49,PMGR!$DI$2:$DU$250,85,0)</f>
        <v>0</v>
      </c>
      <c r="Q49" s="106">
        <f>+HLOOKUP($C49,PMGR!$DI$2:$DU$250,87,0)</f>
        <v>255948.89190000005</v>
      </c>
      <c r="R49" s="106">
        <f>+HLOOKUP($C49,PMGR!$DI$2:$DU$250,90,0)</f>
        <v>0</v>
      </c>
      <c r="S49" s="106">
        <f>+HLOOKUP($C49,PMGR!$DI$2:$DU$250,91,0)</f>
        <v>1250</v>
      </c>
      <c r="T49" s="106">
        <f>+HLOOKUP($C49,PMGR!$DI$2:$DU$250,92,0)</f>
        <v>0</v>
      </c>
      <c r="U49" s="106">
        <f>+HLOOKUP($C49,PMGR!$DI$2:$DU$250,93,0)</f>
        <v>0</v>
      </c>
      <c r="V49" s="106">
        <f>+HLOOKUP($C49,PMGR!$DI$2:$DU$250,94,0)</f>
        <v>0</v>
      </c>
      <c r="W49" s="106">
        <f>+HLOOKUP($C49,PMGR!$DI$2:$DU$250,95,0)</f>
        <v>0</v>
      </c>
      <c r="X49" s="106">
        <f>+HLOOKUP($C49,PMGR!$DI$2:$DU$250,96,0)</f>
        <v>0</v>
      </c>
      <c r="Y49" s="106">
        <f>+HLOOKUP($C49,PMGR!$DI$2:$DU$250,97,0)</f>
        <v>0</v>
      </c>
      <c r="Z49" s="106">
        <f>+HLOOKUP($C49,PMGR!$DI$2:$DU$250,98,0)</f>
        <v>0</v>
      </c>
      <c r="AA49" s="106">
        <f>+HLOOKUP($C49,PMGR!$DI$2:$DU$250,99,0)</f>
        <v>0</v>
      </c>
      <c r="AB49" s="106">
        <f>+HLOOKUP($C49,PMGR!$DI$2:$DU$250,100,0)</f>
        <v>0</v>
      </c>
      <c r="AC49" s="106">
        <f>+HLOOKUP($C49,PMGR!$DI$2:$DU$250,101,0)</f>
        <v>10000</v>
      </c>
      <c r="AD49" s="106">
        <f>+HLOOKUP($C49,PMGR!$DI$2:$DU$250,104,0)</f>
        <v>0</v>
      </c>
      <c r="AE49" s="106">
        <f>+HLOOKUP($C49,PMGR!$DI$2:$DU$250,105,0)</f>
        <v>40655.88384000001</v>
      </c>
      <c r="AF49" s="106">
        <f>+HLOOKUP($C49,PMGR!$DI$2:$DU$250,106,0)</f>
        <v>0</v>
      </c>
      <c r="AG49" s="106">
        <f>+HLOOKUP($C49,PMGR!$DI$2:$DU$250,107,0)</f>
        <v>0</v>
      </c>
      <c r="AH49" s="106">
        <f>+HLOOKUP($C49,PMGR!$DI$2:$DU$250,108,0)</f>
        <v>0</v>
      </c>
      <c r="AI49" s="106">
        <f>+HLOOKUP($C49,PMGR!$DI$2:$DU$250,109,0)</f>
        <v>0</v>
      </c>
      <c r="AJ49" s="106">
        <f>+HLOOKUP($C49,PMGR!$DI$2:$DU$250,110,0)</f>
        <v>0</v>
      </c>
      <c r="AK49" s="106">
        <f>+HLOOKUP($C49,PMGR!$DI$2:$DU$250,111,0)</f>
        <v>2986.3594675200011</v>
      </c>
      <c r="AL49" s="106">
        <f>+HLOOKUP($C49,PMGR!$DI$2:$DU$250,112,0)</f>
        <v>0</v>
      </c>
      <c r="AM49" s="106">
        <f>+HLOOKUP($C49,PMGR!$DI$2:$DU$250,116,0)</f>
        <v>306100</v>
      </c>
      <c r="AN49" s="106">
        <f>+HLOOKUP($C49,PMGR!$DI$2:$DU$250,117,0)</f>
        <v>49980</v>
      </c>
      <c r="AO49" s="106">
        <f>+HLOOKUP($C49,PMGR!$DI$2:$DU$250,118,0)</f>
        <v>3000</v>
      </c>
      <c r="AP49" s="106">
        <f>+HLOOKUP($C49,PMGR!$DI$2:$DU$250,119,0)</f>
        <v>113020</v>
      </c>
      <c r="AQ49" s="106">
        <f>+HLOOKUP($C49,PMGR!$DI$2:$DU$250,120,0)</f>
        <v>26500</v>
      </c>
      <c r="AR49" s="106">
        <f>+HLOOKUP($C49,PMGR!$DI$2:$DU$250,121,0)</f>
        <v>16000</v>
      </c>
      <c r="AS49" s="106">
        <f>+HLOOKUP($C49,PMGR!$DI$2:$DU$250,122,0)</f>
        <v>131250</v>
      </c>
      <c r="AT49" s="106">
        <f>+HLOOKUP($C49,PMGR!$DI$2:$DU$250,123,0)</f>
        <v>35293.217528472225</v>
      </c>
      <c r="AU49" s="106">
        <f>+HLOOKUP($C49,PMGR!$DI$2:$DU$250,124,0)</f>
        <v>3752.5</v>
      </c>
      <c r="AV49" s="106">
        <f>+HLOOKUP($C49,PMGR!$DI$2:$DU$250,125,0)</f>
        <v>23535</v>
      </c>
      <c r="AW49" s="106">
        <f>+HLOOKUP($C49,PMGR!$DI$2:$DU$250,126,0)</f>
        <v>14716.346153846156</v>
      </c>
      <c r="AX49" s="106">
        <f>+HLOOKUP($C49,PMGR!$DI$2:$DU$250,127,0)</f>
        <v>20216.666666666664</v>
      </c>
      <c r="AY49" s="106">
        <f>+HLOOKUP($C49,PMGR!$DI$2:$DU$250,129,0)</f>
        <v>0</v>
      </c>
      <c r="AZ49" s="106">
        <f>+HLOOKUP($C49,PMGR!$DI$2:$DU$250,130,0)</f>
        <v>0</v>
      </c>
      <c r="BA49" s="106">
        <f>+HLOOKUP($C49,PMGR!$DI$2:$DU$250,131,0)</f>
        <v>35000</v>
      </c>
      <c r="BB49" s="106">
        <f>+HLOOKUP($C49,PMGR!$DI$2:$DU$250,133,0)</f>
        <v>0</v>
      </c>
      <c r="BC49" s="106">
        <f>+HLOOKUP($C49,PMGR!$DI$2:$DU$250,134,0)</f>
        <v>29680.886966666669</v>
      </c>
      <c r="BD49" s="106">
        <f>+HLOOKUP($C49,PMGR!$DI$2:$DU$250,135,0)</f>
        <v>0</v>
      </c>
      <c r="BE49" s="106">
        <f>+HLOOKUP($C49,PMGR!$DI$2:$DU$250,136,0)</f>
        <v>0</v>
      </c>
      <c r="BF49" s="106">
        <f>+HLOOKUP($C49,PMGR!$DI$2:$DU$250,138,0)</f>
        <v>7150</v>
      </c>
      <c r="BG49" s="106">
        <f>+HLOOKUP($C49,PMGR!$DI$2:$DU$250,139,0)</f>
        <v>9280.9624166666672</v>
      </c>
      <c r="BH49" s="106">
        <f>+HLOOKUP($C49,PMGR!$DI$2:$DU$250,140,0)</f>
        <v>27000</v>
      </c>
      <c r="BI49" s="106">
        <f>+HLOOKUP($C49,PMGR!$DI$2:$DU$250,141,0)</f>
        <v>0</v>
      </c>
      <c r="BJ49" s="106">
        <f>+HLOOKUP($C49,PMGR!$DI$2:$DU$250,142,0)</f>
        <v>0</v>
      </c>
      <c r="BK49" s="106">
        <f>+HLOOKUP($C49,PMGR!$DI$2:$DU$250,143,0)</f>
        <v>14452.166666666666</v>
      </c>
      <c r="BL49" s="106">
        <f>+HLOOKUP($C49,PMGR!$DI$2:$DU$250,144,0)</f>
        <v>2145.8333333333335</v>
      </c>
      <c r="BM49" s="106">
        <f>+HLOOKUP($C49,PMGR!$DI$2:$DU$250,146,0)</f>
        <v>0</v>
      </c>
      <c r="BN49" s="106">
        <f>+HLOOKUP($C49,PMGR!$DI$2:$DU$250,147,0)</f>
        <v>59554.775000000001</v>
      </c>
      <c r="BO49" s="106">
        <f>+HLOOKUP($C49,PMGR!$DI$2:$DU$250,148,0)</f>
        <v>0</v>
      </c>
      <c r="BP49" s="106">
        <f>+HLOOKUP($C49,PMGR!$DI$2:$DU$250,150,0)</f>
        <v>19331.760000000002</v>
      </c>
      <c r="BQ49" s="106">
        <f>+HLOOKUP($C49,PMGR!$DI$2:$DU$250,151,0)</f>
        <v>1488.3</v>
      </c>
      <c r="BR49" s="106">
        <f>+HLOOKUP($C49,PMGR!$DI$2:$DU$250,152,0)</f>
        <v>9600</v>
      </c>
      <c r="BS49" s="106">
        <f>+HLOOKUP($C49,PMGR!$DI$2:$DU$250,153,0)</f>
        <v>1800</v>
      </c>
      <c r="BT49" s="106">
        <f>+HLOOKUP($C49,PMGR!$DI$2:$DU$250,157,0)</f>
        <v>6360</v>
      </c>
      <c r="BU49" s="106">
        <f>+HLOOKUP($C49,PMGR!$DI$2:$DU$250,158,0)</f>
        <v>1305</v>
      </c>
      <c r="BV49" s="106">
        <f>+HLOOKUP($C49,PMGR!$DI$2:$DU$250,159,0)</f>
        <v>0</v>
      </c>
      <c r="BW49" s="106">
        <f>+HLOOKUP($C49,PMGR!$DI$2:$DU$250,160,0)</f>
        <v>6600</v>
      </c>
      <c r="BX49" s="106">
        <f>+HLOOKUP($C49,PMGR!$DI$2:$DU$250,161,0)</f>
        <v>7327.380768</v>
      </c>
      <c r="BY49" s="106">
        <f>+HLOOKUP($C49,PMGR!$DI$2:$DU$250,164,0)</f>
        <v>1000</v>
      </c>
      <c r="BZ49" s="106">
        <f>+HLOOKUP($C49,PMGR!$DI$2:$DU$250,165,0)</f>
        <v>25626.666666666664</v>
      </c>
      <c r="CA49" s="106">
        <f>+HLOOKUP($C49,PMGR!$DI$2:$DU$250,166,0)</f>
        <v>0</v>
      </c>
      <c r="CB49" s="106">
        <f>+HLOOKUP($C49,PMGR!$DI$2:$DU$250,167,0)</f>
        <v>12500</v>
      </c>
      <c r="CC49" s="106">
        <f>+HLOOKUP($C49,PMGR!$DI$2:$DU$250,168,0)</f>
        <v>0</v>
      </c>
      <c r="CD49" s="106">
        <f>+HLOOKUP($C49,PMGR!$DI$2:$DU$250,169,0)</f>
        <v>0</v>
      </c>
      <c r="CE49" s="106">
        <f>+HLOOKUP($C49,PMGR!$DI$2:$DU$250,170,0)</f>
        <v>0</v>
      </c>
      <c r="CF49" s="106">
        <f>+HLOOKUP($C49,PMGR!$DI$2:$DU$250,172,0)</f>
        <v>10800</v>
      </c>
      <c r="CG49" s="106">
        <f>+HLOOKUP($C49,PMGR!$DI$2:$DU$250,173,0)</f>
        <v>10800</v>
      </c>
      <c r="CH49" s="106">
        <f>+HLOOKUP($C49,PMGR!$DI$2:$DU$250,174,0)</f>
        <v>57600</v>
      </c>
      <c r="CI49" s="106">
        <f>+HLOOKUP($C49,PMGR!$DI$2:$DU$250,175,0)</f>
        <v>4458</v>
      </c>
      <c r="CJ49" s="106">
        <f>+HLOOKUP($C49,PMGR!$DI$2:$DU$250,176,0)</f>
        <v>3555</v>
      </c>
      <c r="CK49" s="106">
        <f>+HLOOKUP($C49,PMGR!$DI$2:$DU$250,178,0)</f>
        <v>36000</v>
      </c>
      <c r="CL49" s="106">
        <f>+HLOOKUP($C49,PMGR!$DI$2:$DU$250,179,0)</f>
        <v>0</v>
      </c>
      <c r="CM49" s="106">
        <f>+HLOOKUP($C49,PMGR!$DI$2:$DU$250,180,0)</f>
        <v>8820</v>
      </c>
      <c r="CN49" s="106">
        <f>+HLOOKUP($C49,PMGR!$DI$2:$DU$250,182,0)</f>
        <v>368.55</v>
      </c>
      <c r="CO49" s="106">
        <f>+HLOOKUP($C49,PMGR!$DI$2:$DU$250,183,0)</f>
        <v>7035.3</v>
      </c>
      <c r="CP49" s="106">
        <f>+HLOOKUP($C49,PMGR!$DI$2:$DU$250,184,0)</f>
        <v>3240</v>
      </c>
      <c r="CQ49" s="106">
        <f>+HLOOKUP($C49,PMGR!$DI$2:$DU$250,185,0)</f>
        <v>0</v>
      </c>
      <c r="CR49" s="106">
        <f>+HLOOKUP($C49,PMGR!$DI$2:$DU$250,187,0)</f>
        <v>1874.8799999999997</v>
      </c>
      <c r="CS49" s="106">
        <f>+HLOOKUP($C49,PMGR!$DI$2:$DU$250,188,0)</f>
        <v>2385</v>
      </c>
      <c r="CT49" s="106">
        <f>+HLOOKUP($C49,PMGR!$DI$2:$DU$250,189,0)</f>
        <v>1500.0299999999997</v>
      </c>
      <c r="CU49" s="106">
        <f>+HLOOKUP($C49,PMGR!$DI$2:$DU$250,190,0)</f>
        <v>1520.01</v>
      </c>
      <c r="CV49" s="106">
        <f>+HLOOKUP($C49,PMGR!$DI$2:$DU$250,191,0)</f>
        <v>0</v>
      </c>
      <c r="CW49" s="106">
        <f>+HLOOKUP($C49,PMGR!$DI$2:$DU$250,193,0)</f>
        <v>3706.3</v>
      </c>
      <c r="CX49" s="106">
        <f>+HLOOKUP($C49,PMGR!$DI$2:$DU$250,194,0)</f>
        <v>355.1</v>
      </c>
      <c r="CY49" s="106">
        <f>+HLOOKUP($C49,PMGR!$DI$2:$DU$250,195,0)</f>
        <v>825.03539999999998</v>
      </c>
      <c r="CZ49" s="106">
        <f>+HLOOKUP($C49,PMGR!$DI$2:$DU$250,196,0)</f>
        <v>0</v>
      </c>
      <c r="DA49" s="106">
        <f>+HLOOKUP($C49,PMGR!$DI$2:$DU$250,197,0)</f>
        <v>9849.6</v>
      </c>
      <c r="DB49" s="106">
        <f>+HLOOKUP($C49,PMGR!$DI$2:$DU$250,198,0)</f>
        <v>3033</v>
      </c>
      <c r="DC49" s="106">
        <f>+HLOOKUP($C49,PMGR!$DI$2:$DU$250,199,0)</f>
        <v>648</v>
      </c>
      <c r="DD49" s="106">
        <f>+HLOOKUP($C49,PMGR!$DI$2:$DU$250,200,0)</f>
        <v>210</v>
      </c>
      <c r="DE49" s="106">
        <f>+HLOOKUP($C49,PMGR!$DI$2:$DU$250,201,0)</f>
        <v>44.55</v>
      </c>
      <c r="DF49" s="106">
        <f>+HLOOKUP($C49,PMGR!$DI$2:$DU$250,202,0)</f>
        <v>0</v>
      </c>
      <c r="DG49" s="106">
        <f>+HLOOKUP($C49,PMGR!$DI$2:$DU$250,203,0)</f>
        <v>0</v>
      </c>
      <c r="DH49" s="106">
        <f>+HLOOKUP($C49,PMGR!$DI$2:$DU$250,205,0)</f>
        <v>0</v>
      </c>
      <c r="DI49" s="106">
        <f>+HLOOKUP($C49,PMGR!$DI$2:$DU$250,206,0)</f>
        <v>2812.3733323636361</v>
      </c>
      <c r="DJ49" s="106">
        <f>+HLOOKUP($C49,PMGR!$DI$2:$DU$250,207,0)</f>
        <v>22535.723166666663</v>
      </c>
      <c r="DK49" s="106">
        <f>+HLOOKUP($C49,PMGR!$DI$2:$DU$250,209,0)</f>
        <v>0</v>
      </c>
      <c r="DL49" s="106">
        <f>+HLOOKUP($C49,PMGR!$DI$2:$DU$250,210,0)</f>
        <v>70195.485937500009</v>
      </c>
      <c r="DM49" s="106">
        <f>+HLOOKUP($C49,PMGR!$DI$2:$DU$250,211,0)</f>
        <v>0</v>
      </c>
      <c r="DN49" s="106">
        <f>+HLOOKUP($C49,PMGR!$DI$2:$DU$250,212,0)</f>
        <v>48000</v>
      </c>
      <c r="DO49" s="106">
        <f>+HLOOKUP($C49,PMGR!$DI$2:$DU$250,214,0)</f>
        <v>0</v>
      </c>
      <c r="DP49" s="106">
        <f>+HLOOKUP($C49,PMGR!$DI$2:$DU$250,215,0)</f>
        <v>540</v>
      </c>
      <c r="DQ49" s="106">
        <f>+HLOOKUP($C49,PMGR!$DI$2:$DU$250,219,0)</f>
        <v>0</v>
      </c>
      <c r="DR49" s="106">
        <f>+HLOOKUP($C49,PMGR!$DI$2:$DU$250,220,0)</f>
        <v>0</v>
      </c>
      <c r="DS49" s="106">
        <f>+HLOOKUP($C49,PMGR!$DI$2:$DU$250,221,0)</f>
        <v>0</v>
      </c>
      <c r="DT49" s="106">
        <f>+HLOOKUP($C49,PMGR!$DI$2:$DU$250,223,0)</f>
        <v>11250</v>
      </c>
      <c r="DU49" s="106">
        <f>+HLOOKUP($C49,PMGR!$DI$2:$DU$250,224,0)</f>
        <v>5000</v>
      </c>
      <c r="DV49" s="106">
        <f>+HLOOKUP($C49,PMGR!$DI$2:$DU$250,225,0)</f>
        <v>0</v>
      </c>
      <c r="DW49" s="106">
        <f>+HLOOKUP($C49,PMGR!$DI$2:$DU$250,227,0)</f>
        <v>0</v>
      </c>
      <c r="DX49" s="106">
        <f>+HLOOKUP($C49,PMGR!$DI$2:$DU$250,228,0)</f>
        <v>0</v>
      </c>
      <c r="DY49" s="106">
        <f>+HLOOKUP($C49,PMGR!$DI$2:$DU$250,236,0)</f>
        <v>177174.46799999999</v>
      </c>
      <c r="DZ49" s="106">
        <f>+HLOOKUP($C49,PMGR!$DI$2:$DU$250,237,0)</f>
        <v>104495.80782110029</v>
      </c>
      <c r="EA49" s="106">
        <f>+HLOOKUP($C49,PMGR!$DI$2:$DU$250,238,0)</f>
        <v>31526.800000000003</v>
      </c>
      <c r="EB49" s="106">
        <f>+HLOOKUP($C49,PMGR!$DI$2:$DU$250,240,0)</f>
        <v>241812.14353571442</v>
      </c>
    </row>
    <row r="50" spans="1:132">
      <c r="A50" t="s">
        <v>272</v>
      </c>
      <c r="B50" t="s">
        <v>217</v>
      </c>
      <c r="C50" s="117">
        <v>45992</v>
      </c>
      <c r="D50" s="106">
        <f t="shared" si="0"/>
        <v>4419361.213751792</v>
      </c>
      <c r="E50" s="106">
        <f>+HLOOKUP(C50,PMGR!$EY$2:$FK$250,28,0)+HLOOKUP(C50,PMGR!$EY$2:$FK$250,43,0)+HLOOKUP(C50,PMGR!$EY$2:$FK$250,44,0)+HLOOKUP(C50,PMGR!$EY$2:$FK$250,45,0)+HLOOKUP(C50,PMGR!$EY$2:$FK$250,54,0)+HLOOKUP(C50,PMGR!$EY$2:$FK$250,59,0)</f>
        <v>4419361.213751792</v>
      </c>
      <c r="F50" s="106">
        <f>+HLOOKUP(C50,PMGR!$EY$2:$FK$250,37,0)+HLOOKUP(C50,PMGR!$EY$2:$FK$250,55,0)</f>
        <v>2301510.6554871793</v>
      </c>
      <c r="G50" s="106">
        <f>+HLOOKUP($C50,PMGR!$EY$2:$FK$250,76,0)</f>
        <v>0</v>
      </c>
      <c r="H50" s="106">
        <f>+HLOOKUP($C50,PMGR!$EY$2:$FK$250,77,0)</f>
        <v>0</v>
      </c>
      <c r="I50" s="106">
        <f>+HLOOKUP($C50,PMGR!$EY$2:$FK$250,78,0)</f>
        <v>0</v>
      </c>
      <c r="J50" s="106">
        <f>+HLOOKUP($C50,PMGR!$EY$2:$FK$250,79,0)</f>
        <v>0</v>
      </c>
      <c r="K50" s="106">
        <f>+HLOOKUP($C50,PMGR!$EY$2:$FK$250,80,0)</f>
        <v>0</v>
      </c>
      <c r="L50" s="106">
        <f>+HLOOKUP($C50,PMGR!$EY$2:$FK$250,81,0)</f>
        <v>0</v>
      </c>
      <c r="M50" s="106">
        <f>+HLOOKUP($C50,PMGR!$EY$2:$FK$250,82,0)</f>
        <v>0</v>
      </c>
      <c r="N50" s="106">
        <f>+HLOOKUP($C50,PMGR!$EY$2:$FK$250,83,0)</f>
        <v>0</v>
      </c>
      <c r="O50" s="106">
        <f>+HLOOKUP($C50,PMGR!$EY$2:$FK$250,84,0)</f>
        <v>0</v>
      </c>
      <c r="P50" s="106">
        <f>+HLOOKUP($C50,PMGR!$EY$2:$FK$250,85,0)</f>
        <v>0</v>
      </c>
      <c r="Q50" s="106">
        <f>+HLOOKUP($C50,PMGR!$EY$2:$FK$250,87,0)</f>
        <v>94276.668242424246</v>
      </c>
      <c r="R50" s="106">
        <f>+HLOOKUP($C50,PMGR!$EY$2:$FK$250,90,0)</f>
        <v>0</v>
      </c>
      <c r="S50" s="106">
        <f>+HLOOKUP($C50,PMGR!$EY$2:$FK$250,91,0)</f>
        <v>500</v>
      </c>
      <c r="T50" s="106">
        <f>+HLOOKUP($C50,PMGR!$EY$2:$FK$250,92,0)</f>
        <v>0</v>
      </c>
      <c r="U50" s="106">
        <f>+HLOOKUP($C50,PMGR!$EY$2:$FK$250,93,0)</f>
        <v>0</v>
      </c>
      <c r="V50" s="106">
        <f>+HLOOKUP($C50,PMGR!$EY$2:$FK$250,94,0)</f>
        <v>0</v>
      </c>
      <c r="W50" s="106">
        <f>+HLOOKUP($C50,PMGR!$EY$2:$FK$250,95,0)</f>
        <v>0</v>
      </c>
      <c r="X50" s="106">
        <f>+HLOOKUP($C50,PMGR!$EY$2:$FK$250,96,0)</f>
        <v>0</v>
      </c>
      <c r="Y50" s="106">
        <f>+HLOOKUP($C50,PMGR!$EY$2:$FK$250,97,0)</f>
        <v>0</v>
      </c>
      <c r="Z50" s="106">
        <f>+HLOOKUP($C50,PMGR!$EY$2:$FK$250,98,0)</f>
        <v>0</v>
      </c>
      <c r="AA50" s="106">
        <f>+HLOOKUP($C50,PMGR!$EY$2:$FK$250,99,0)</f>
        <v>0</v>
      </c>
      <c r="AB50" s="106">
        <f>+HLOOKUP($C50,PMGR!$EY$2:$FK$250,100,0)</f>
        <v>0</v>
      </c>
      <c r="AC50" s="106">
        <f>+HLOOKUP($C50,PMGR!$EY$2:$FK$250,101,0)</f>
        <v>0</v>
      </c>
      <c r="AD50" s="106">
        <f>+HLOOKUP($C50,PMGR!$EY$2:$FK$250,104,0)</f>
        <v>0</v>
      </c>
      <c r="AE50" s="106">
        <f>+HLOOKUP($C50,PMGR!$EY$2:$FK$250,105,0)</f>
        <v>0</v>
      </c>
      <c r="AF50" s="106">
        <f>+HLOOKUP($C50,PMGR!$EY$2:$FK$250,106,0)</f>
        <v>0</v>
      </c>
      <c r="AG50" s="106">
        <f>+HLOOKUP($C50,PMGR!$EY$2:$FK$250,107,0)</f>
        <v>0</v>
      </c>
      <c r="AH50" s="106">
        <f>+HLOOKUP($C50,PMGR!$EY$2:$FK$250,108,0)</f>
        <v>0</v>
      </c>
      <c r="AI50" s="106">
        <f>+HLOOKUP($C50,PMGR!$EY$2:$FK$250,109,0)</f>
        <v>0</v>
      </c>
      <c r="AJ50" s="106">
        <f>+HLOOKUP($C50,PMGR!$EY$2:$FK$250,110,0)</f>
        <v>0</v>
      </c>
      <c r="AK50" s="106">
        <f>+HLOOKUP($C50,PMGR!$EY$2:$FK$250,111,0)</f>
        <v>1301.04</v>
      </c>
      <c r="AL50" s="106">
        <f>+HLOOKUP($C50,PMGR!$EY$2:$FK$250,112,0)</f>
        <v>0</v>
      </c>
      <c r="AM50" s="106">
        <f>+HLOOKUP($C50,PMGR!$EY$2:$FK$250,116,0)</f>
        <v>159000</v>
      </c>
      <c r="AN50" s="106">
        <f>+HLOOKUP($C50,PMGR!$EY$2:$FK$250,117,0)</f>
        <v>22750</v>
      </c>
      <c r="AO50" s="106">
        <f>+HLOOKUP($C50,PMGR!$EY$2:$FK$250,118,0)</f>
        <v>0</v>
      </c>
      <c r="AP50" s="106">
        <f>+HLOOKUP($C50,PMGR!$EY$2:$FK$250,119,0)</f>
        <v>62300</v>
      </c>
      <c r="AQ50" s="106">
        <f>+HLOOKUP($C50,PMGR!$EY$2:$FK$250,120,0)</f>
        <v>13400</v>
      </c>
      <c r="AR50" s="106">
        <f>+HLOOKUP($C50,PMGR!$EY$2:$FK$250,121,0)</f>
        <v>2500</v>
      </c>
      <c r="AS50" s="106">
        <f>+HLOOKUP($C50,PMGR!$EY$2:$FK$250,122,0)</f>
        <v>54050</v>
      </c>
      <c r="AT50" s="106">
        <f>+HLOOKUP($C50,PMGR!$EY$2:$FK$250,123,0)</f>
        <v>18806.666666666668</v>
      </c>
      <c r="AU50" s="106">
        <f>+HLOOKUP($C50,PMGR!$EY$2:$FK$250,124,0)</f>
        <v>807.5</v>
      </c>
      <c r="AV50" s="106">
        <f>+HLOOKUP($C50,PMGR!$EY$2:$FK$250,125,0)</f>
        <v>0</v>
      </c>
      <c r="AW50" s="106">
        <f>+HLOOKUP($C50,PMGR!$EY$2:$FK$250,126,0)</f>
        <v>7644.2307692307695</v>
      </c>
      <c r="AX50" s="106">
        <f>+HLOOKUP($C50,PMGR!$EY$2:$FK$250,127,0)</f>
        <v>10916.666666666664</v>
      </c>
      <c r="AY50" s="106">
        <f>+HLOOKUP($C50,PMGR!$EY$2:$FK$250,129,0)</f>
        <v>0</v>
      </c>
      <c r="AZ50" s="106">
        <f>+HLOOKUP($C50,PMGR!$EY$2:$FK$250,130,0)</f>
        <v>0</v>
      </c>
      <c r="BA50" s="106">
        <f>+HLOOKUP($C50,PMGR!$EY$2:$FK$250,131,0)</f>
        <v>25000</v>
      </c>
      <c r="BB50" s="106">
        <f>+HLOOKUP($C50,PMGR!$EY$2:$FK$250,133,0)</f>
        <v>0</v>
      </c>
      <c r="BC50" s="106">
        <f>+HLOOKUP($C50,PMGR!$EY$2:$FK$250,134,0)</f>
        <v>0</v>
      </c>
      <c r="BD50" s="106">
        <f>+HLOOKUP($C50,PMGR!$EY$2:$FK$250,135,0)</f>
        <v>0</v>
      </c>
      <c r="BE50" s="106">
        <f>+HLOOKUP($C50,PMGR!$EY$2:$FK$250,136,0)</f>
        <v>0</v>
      </c>
      <c r="BF50" s="106">
        <f>+HLOOKUP($C50,PMGR!$EY$2:$FK$250,138,0)</f>
        <v>5000</v>
      </c>
      <c r="BG50" s="106">
        <f>+HLOOKUP($C50,PMGR!$EY$2:$FK$250,139,0)</f>
        <v>10000</v>
      </c>
      <c r="BH50" s="106">
        <f>+HLOOKUP($C50,PMGR!$EY$2:$FK$250,140,0)</f>
        <v>20100</v>
      </c>
      <c r="BI50" s="106">
        <f>+HLOOKUP($C50,PMGR!$EY$2:$FK$250,141,0)</f>
        <v>0</v>
      </c>
      <c r="BJ50" s="106">
        <f>+HLOOKUP($C50,PMGR!$EY$2:$FK$250,142,0)</f>
        <v>0</v>
      </c>
      <c r="BK50" s="106">
        <f>+HLOOKUP($C50,PMGR!$EY$2:$FK$250,143,0)</f>
        <v>14000</v>
      </c>
      <c r="BL50" s="106">
        <f>+HLOOKUP($C50,PMGR!$EY$2:$FK$250,144,0)</f>
        <v>11927.083333333332</v>
      </c>
      <c r="BM50" s="106">
        <f>+HLOOKUP($C50,PMGR!$EY$2:$FK$250,146,0)</f>
        <v>0</v>
      </c>
      <c r="BN50" s="106">
        <f>+HLOOKUP($C50,PMGR!$EY$2:$FK$250,147,0)</f>
        <v>0</v>
      </c>
      <c r="BO50" s="106">
        <f>+HLOOKUP($C50,PMGR!$EY$2:$FK$250,148,0)</f>
        <v>0</v>
      </c>
      <c r="BP50" s="106">
        <f>+HLOOKUP($C50,PMGR!$EY$2:$FK$250,150,0)</f>
        <v>39000</v>
      </c>
      <c r="BQ50" s="106">
        <f>+HLOOKUP($C50,PMGR!$EY$2:$FK$250,151,0)</f>
        <v>2976.6</v>
      </c>
      <c r="BR50" s="106">
        <f>+HLOOKUP($C50,PMGR!$EY$2:$FK$250,152,0)</f>
        <v>19200</v>
      </c>
      <c r="BS50" s="106">
        <f>+HLOOKUP($C50,PMGR!$EY$2:$FK$250,153,0)</f>
        <v>4500</v>
      </c>
      <c r="BT50" s="106">
        <f>+HLOOKUP($C50,PMGR!$EY$2:$FK$250,157,0)</f>
        <v>5000</v>
      </c>
      <c r="BU50" s="106">
        <f>+HLOOKUP($C50,PMGR!$EY$2:$FK$250,158,0)</f>
        <v>500</v>
      </c>
      <c r="BV50" s="106">
        <f>+HLOOKUP($C50,PMGR!$EY$2:$FK$250,159,0)</f>
        <v>1500</v>
      </c>
      <c r="BW50" s="106">
        <f>+HLOOKUP($C50,PMGR!$EY$2:$FK$250,160,0)</f>
        <v>0</v>
      </c>
      <c r="BX50" s="106">
        <f>+HLOOKUP($C50,PMGR!$EY$2:$FK$250,161,0)</f>
        <v>2500</v>
      </c>
      <c r="BY50" s="106">
        <f>+HLOOKUP($C50,PMGR!$EY$2:$FK$250,164,0)</f>
        <v>0</v>
      </c>
      <c r="BZ50" s="106">
        <f>+HLOOKUP($C50,PMGR!$EY$2:$FK$250,165,0)</f>
        <v>0</v>
      </c>
      <c r="CA50" s="106">
        <f>+HLOOKUP($C50,PMGR!$EY$2:$FK$250,166,0)</f>
        <v>0</v>
      </c>
      <c r="CB50" s="106">
        <f>+HLOOKUP($C50,PMGR!$EY$2:$FK$250,167,0)</f>
        <v>0</v>
      </c>
      <c r="CC50" s="106">
        <f>+HLOOKUP($C50,PMGR!$EY$2:$FK$250,168,0)</f>
        <v>0</v>
      </c>
      <c r="CD50" s="106">
        <f>+HLOOKUP($C50,PMGR!$EY$2:$FK$250,169,0)</f>
        <v>0</v>
      </c>
      <c r="CE50" s="106">
        <f>+HLOOKUP($C50,PMGR!$EY$2:$FK$250,170,0)</f>
        <v>500</v>
      </c>
      <c r="CF50" s="106">
        <f>+HLOOKUP($C50,PMGR!$EY$2:$FK$250,172,0)</f>
        <v>0</v>
      </c>
      <c r="CG50" s="106">
        <f>+HLOOKUP($C50,PMGR!$EY$2:$FK$250,173,0)</f>
        <v>7200</v>
      </c>
      <c r="CH50" s="106">
        <f>+HLOOKUP($C50,PMGR!$EY$2:$FK$250,174,0)</f>
        <v>50000</v>
      </c>
      <c r="CI50" s="106">
        <f>+HLOOKUP($C50,PMGR!$EY$2:$FK$250,175,0)</f>
        <v>5000</v>
      </c>
      <c r="CJ50" s="106">
        <f>+HLOOKUP($C50,PMGR!$EY$2:$FK$250,176,0)</f>
        <v>8000</v>
      </c>
      <c r="CK50" s="106">
        <f>+HLOOKUP($C50,PMGR!$EY$2:$FK$250,178,0)</f>
        <v>48000</v>
      </c>
      <c r="CL50" s="106">
        <f>+HLOOKUP($C50,PMGR!$EY$2:$FK$250,179,0)</f>
        <v>180000</v>
      </c>
      <c r="CM50" s="106">
        <f>+HLOOKUP($C50,PMGR!$EY$2:$FK$250,180,0)</f>
        <v>2880</v>
      </c>
      <c r="CN50" s="106">
        <f>+HLOOKUP($C50,PMGR!$EY$2:$FK$250,182,0)</f>
        <v>4200</v>
      </c>
      <c r="CO50" s="106">
        <f>+HLOOKUP($C50,PMGR!$EY$2:$FK$250,183,0)</f>
        <v>12000</v>
      </c>
      <c r="CP50" s="106">
        <f>+HLOOKUP($C50,PMGR!$EY$2:$FK$250,184,0)</f>
        <v>972</v>
      </c>
      <c r="CQ50" s="106">
        <f>+HLOOKUP($C50,PMGR!$EY$2:$FK$250,185,0)</f>
        <v>0</v>
      </c>
      <c r="CR50" s="106">
        <f>+HLOOKUP($C50,PMGR!$EY$2:$FK$250,187,0)</f>
        <v>1874.9999999999995</v>
      </c>
      <c r="CS50" s="106">
        <f>+HLOOKUP($C50,PMGR!$EY$2:$FK$250,188,0)</f>
        <v>0</v>
      </c>
      <c r="CT50" s="106">
        <f>+HLOOKUP($C50,PMGR!$EY$2:$FK$250,189,0)</f>
        <v>0</v>
      </c>
      <c r="CU50" s="106">
        <f>+HLOOKUP($C50,PMGR!$EY$2:$FK$250,190,0)</f>
        <v>0</v>
      </c>
      <c r="CV50" s="106">
        <f>+HLOOKUP($C50,PMGR!$EY$2:$FK$250,191,0)</f>
        <v>0</v>
      </c>
      <c r="CW50" s="106">
        <f>+HLOOKUP($C50,PMGR!$EY$2:$FK$250,193,0)</f>
        <v>0</v>
      </c>
      <c r="CX50" s="106">
        <f>+HLOOKUP($C50,PMGR!$EY$2:$FK$250,194,0)</f>
        <v>200</v>
      </c>
      <c r="CY50" s="106">
        <f>+HLOOKUP($C50,PMGR!$EY$2:$FK$250,195,0)</f>
        <v>15000</v>
      </c>
      <c r="CZ50" s="106">
        <f>+HLOOKUP($C50,PMGR!$EY$2:$FK$250,196,0)</f>
        <v>0</v>
      </c>
      <c r="DA50" s="106">
        <f>+HLOOKUP($C50,PMGR!$EY$2:$FK$250,197,0)</f>
        <v>10000</v>
      </c>
      <c r="DB50" s="106">
        <f>+HLOOKUP($C50,PMGR!$EY$2:$FK$250,198,0)</f>
        <v>6000</v>
      </c>
      <c r="DC50" s="106">
        <f>+HLOOKUP($C50,PMGR!$EY$2:$FK$250,199,0)</f>
        <v>2000</v>
      </c>
      <c r="DD50" s="106">
        <f>+HLOOKUP($C50,PMGR!$EY$2:$FK$250,200,0)</f>
        <v>1000</v>
      </c>
      <c r="DE50" s="106">
        <f>+HLOOKUP($C50,PMGR!$EY$2:$FK$250,201,0)</f>
        <v>250</v>
      </c>
      <c r="DF50" s="106">
        <f>+HLOOKUP($C50,PMGR!$EY$2:$FK$250,202,0)</f>
        <v>0</v>
      </c>
      <c r="DG50" s="106">
        <f>+HLOOKUP($C50,PMGR!$EY$2:$FK$250,203,0)</f>
        <v>0</v>
      </c>
      <c r="DH50" s="106">
        <f>+HLOOKUP($C50,PMGR!$EY$2:$FK$250,205,0)</f>
        <v>0</v>
      </c>
      <c r="DI50" s="106">
        <f>+HLOOKUP($C50,PMGR!$EY$2:$FK$250,206,0)</f>
        <v>15000</v>
      </c>
      <c r="DJ50" s="106">
        <f>+HLOOKUP($C50,PMGR!$EY$2:$FK$250,207,0)</f>
        <v>0</v>
      </c>
      <c r="DK50" s="106">
        <f>+HLOOKUP($C50,PMGR!$EY$2:$FK$250,209,0)</f>
        <v>0</v>
      </c>
      <c r="DL50" s="106">
        <f>+HLOOKUP($C50,PMGR!$EY$2:$FK$250,210,0)</f>
        <v>270000</v>
      </c>
      <c r="DM50" s="106">
        <f>+HLOOKUP($C50,PMGR!$EY$2:$FK$250,211,0)</f>
        <v>0</v>
      </c>
      <c r="DN50" s="106">
        <f>+HLOOKUP($C50,PMGR!$EY$2:$FK$250,212,0)</f>
        <v>0</v>
      </c>
      <c r="DO50" s="106">
        <f>+HLOOKUP($C50,PMGR!$EY$2:$FK$250,214,0)</f>
        <v>0</v>
      </c>
      <c r="DP50" s="106">
        <f>+HLOOKUP($C50,PMGR!$EY$2:$FK$250,215,0)</f>
        <v>0</v>
      </c>
      <c r="DQ50" s="106">
        <f>+HLOOKUP($C50,PMGR!$EY$2:$FK$250,219,0)</f>
        <v>0</v>
      </c>
      <c r="DR50" s="106">
        <f>+HLOOKUP($C50,PMGR!$EY$2:$FK$250,220,0)</f>
        <v>0</v>
      </c>
      <c r="DS50" s="106">
        <f>+HLOOKUP($C50,PMGR!$EY$2:$FK$250,221,0)</f>
        <v>0</v>
      </c>
      <c r="DT50" s="106">
        <f>+HLOOKUP($C50,PMGR!$EY$2:$FK$250,223,0)</f>
        <v>5000</v>
      </c>
      <c r="DU50" s="106">
        <f>+HLOOKUP($C50,PMGR!$EY$2:$FK$250,224,0)</f>
        <v>3000</v>
      </c>
      <c r="DV50" s="106">
        <f>+HLOOKUP($C50,PMGR!$EY$2:$FK$250,225,0)</f>
        <v>5000</v>
      </c>
      <c r="DW50" s="106">
        <f>+HLOOKUP($C50,PMGR!$EY$2:$FK$250,227,0)</f>
        <v>0</v>
      </c>
      <c r="DX50" s="106">
        <f>+HLOOKUP($C50,PMGR!$EY$2:$FK$250,228,0)</f>
        <v>0</v>
      </c>
      <c r="DY50" s="106">
        <f>+HLOOKUP($C50,PMGR!$EY$2:$FK$250,236,0)</f>
        <v>0</v>
      </c>
      <c r="DZ50" s="106">
        <f>+HLOOKUP($C50,PMGR!$EY$2:$FK$250,237,0)</f>
        <v>0</v>
      </c>
      <c r="EA50" s="106">
        <f>+HLOOKUP($C50,PMGR!$EY$2:$FK$250,238,0)</f>
        <v>0</v>
      </c>
      <c r="EB50" s="106">
        <f>+HLOOKUP($C50,PMGR!$EY$2:$FK$250,240,0)</f>
        <v>702927.25199999998</v>
      </c>
    </row>
    <row r="51" spans="1:132">
      <c r="A51" t="s">
        <v>272</v>
      </c>
      <c r="B51" t="s">
        <v>217</v>
      </c>
      <c r="C51" s="117">
        <v>45962</v>
      </c>
      <c r="D51" s="106">
        <f t="shared" si="0"/>
        <v>3576061.1503785755</v>
      </c>
      <c r="E51" s="106">
        <f>+HLOOKUP(C51,PMGR!$EY$2:$FK$250,28,0)+HLOOKUP(C51,PMGR!$EY$2:$FK$250,43,0)+HLOOKUP(C51,PMGR!$EY$2:$FK$250,44,0)+HLOOKUP(C51,PMGR!$EY$2:$FK$250,45,0)+HLOOKUP(C51,PMGR!$EY$2:$FK$250,54,0)+HLOOKUP(C51,PMGR!$EY$2:$FK$250,59,0)</f>
        <v>3576061.1503785755</v>
      </c>
      <c r="F51" s="106">
        <f>+HLOOKUP(C51,PMGR!$EY$2:$FK$250,37,0)+HLOOKUP(C51,PMGR!$EY$2:$FK$250,55,0)</f>
        <v>2215504.9061538465</v>
      </c>
      <c r="G51" s="106">
        <f>+HLOOKUP($C51,PMGR!$EY$2:$FK$250,76,0)</f>
        <v>0</v>
      </c>
      <c r="H51" s="106">
        <f>+HLOOKUP($C51,PMGR!$EY$2:$FK$250,77,0)</f>
        <v>0</v>
      </c>
      <c r="I51" s="106">
        <f>+HLOOKUP($C51,PMGR!$EY$2:$FK$250,78,0)</f>
        <v>0</v>
      </c>
      <c r="J51" s="106">
        <f>+HLOOKUP($C51,PMGR!$EY$2:$FK$250,79,0)</f>
        <v>0</v>
      </c>
      <c r="K51" s="106">
        <f>+HLOOKUP($C51,PMGR!$EY$2:$FK$250,80,0)</f>
        <v>0</v>
      </c>
      <c r="L51" s="106">
        <f>+HLOOKUP($C51,PMGR!$EY$2:$FK$250,81,0)</f>
        <v>0</v>
      </c>
      <c r="M51" s="106">
        <f>+HLOOKUP($C51,PMGR!$EY$2:$FK$250,82,0)</f>
        <v>0</v>
      </c>
      <c r="N51" s="106">
        <f>+HLOOKUP($C51,PMGR!$EY$2:$FK$250,83,0)</f>
        <v>0</v>
      </c>
      <c r="O51" s="106">
        <f>+HLOOKUP($C51,PMGR!$EY$2:$FK$250,84,0)</f>
        <v>0</v>
      </c>
      <c r="P51" s="106">
        <f>+HLOOKUP($C51,PMGR!$EY$2:$FK$250,85,0)</f>
        <v>0</v>
      </c>
      <c r="Q51" s="106">
        <f>+HLOOKUP($C51,PMGR!$EY$2:$FK$250,87,0)</f>
        <v>89843.915555555577</v>
      </c>
      <c r="R51" s="106">
        <f>+HLOOKUP($C51,PMGR!$EY$2:$FK$250,90,0)</f>
        <v>0</v>
      </c>
      <c r="S51" s="106">
        <f>+HLOOKUP($C51,PMGR!$EY$2:$FK$250,91,0)</f>
        <v>500</v>
      </c>
      <c r="T51" s="106">
        <f>+HLOOKUP($C51,PMGR!$EY$2:$FK$250,92,0)</f>
        <v>0</v>
      </c>
      <c r="U51" s="106">
        <f>+HLOOKUP($C51,PMGR!$EY$2:$FK$250,93,0)</f>
        <v>0</v>
      </c>
      <c r="V51" s="106">
        <f>+HLOOKUP($C51,PMGR!$EY$2:$FK$250,94,0)</f>
        <v>0</v>
      </c>
      <c r="W51" s="106">
        <f>+HLOOKUP($C51,PMGR!$EY$2:$FK$250,95,0)</f>
        <v>0</v>
      </c>
      <c r="X51" s="106">
        <f>+HLOOKUP($C51,PMGR!$EY$2:$FK$250,96,0)</f>
        <v>0</v>
      </c>
      <c r="Y51" s="106">
        <f>+HLOOKUP($C51,PMGR!$EY$2:$FK$250,97,0)</f>
        <v>0</v>
      </c>
      <c r="Z51" s="106">
        <f>+HLOOKUP($C51,PMGR!$EY$2:$FK$250,98,0)</f>
        <v>0</v>
      </c>
      <c r="AA51" s="106">
        <f>+HLOOKUP($C51,PMGR!$EY$2:$FK$250,99,0)</f>
        <v>0</v>
      </c>
      <c r="AB51" s="106">
        <f>+HLOOKUP($C51,PMGR!$EY$2:$FK$250,100,0)</f>
        <v>0</v>
      </c>
      <c r="AC51" s="106">
        <f>+HLOOKUP($C51,PMGR!$EY$2:$FK$250,101,0)</f>
        <v>0</v>
      </c>
      <c r="AD51" s="106">
        <f>+HLOOKUP($C51,PMGR!$EY$2:$FK$250,104,0)</f>
        <v>0</v>
      </c>
      <c r="AE51" s="106">
        <f>+HLOOKUP($C51,PMGR!$EY$2:$FK$250,105,0)</f>
        <v>0</v>
      </c>
      <c r="AF51" s="106">
        <f>+HLOOKUP($C51,PMGR!$EY$2:$FK$250,106,0)</f>
        <v>0</v>
      </c>
      <c r="AG51" s="106">
        <f>+HLOOKUP($C51,PMGR!$EY$2:$FK$250,107,0)</f>
        <v>0</v>
      </c>
      <c r="AH51" s="106">
        <f>+HLOOKUP($C51,PMGR!$EY$2:$FK$250,108,0)</f>
        <v>0</v>
      </c>
      <c r="AI51" s="106">
        <f>+HLOOKUP($C51,PMGR!$EY$2:$FK$250,109,0)</f>
        <v>0</v>
      </c>
      <c r="AJ51" s="106">
        <f>+HLOOKUP($C51,PMGR!$EY$2:$FK$250,110,0)</f>
        <v>0</v>
      </c>
      <c r="AK51" s="106">
        <f>+HLOOKUP($C51,PMGR!$EY$2:$FK$250,111,0)</f>
        <v>1209.3</v>
      </c>
      <c r="AL51" s="106">
        <f>+HLOOKUP($C51,PMGR!$EY$2:$FK$250,112,0)</f>
        <v>0</v>
      </c>
      <c r="AM51" s="106">
        <f>+HLOOKUP($C51,PMGR!$EY$2:$FK$250,116,0)</f>
        <v>159000</v>
      </c>
      <c r="AN51" s="106">
        <f>+HLOOKUP($C51,PMGR!$EY$2:$FK$250,117,0)</f>
        <v>22750</v>
      </c>
      <c r="AO51" s="106">
        <f>+HLOOKUP($C51,PMGR!$EY$2:$FK$250,118,0)</f>
        <v>0</v>
      </c>
      <c r="AP51" s="106">
        <f>+HLOOKUP($C51,PMGR!$EY$2:$FK$250,119,0)</f>
        <v>62300</v>
      </c>
      <c r="AQ51" s="106">
        <f>+HLOOKUP($C51,PMGR!$EY$2:$FK$250,120,0)</f>
        <v>13400</v>
      </c>
      <c r="AR51" s="106">
        <f>+HLOOKUP($C51,PMGR!$EY$2:$FK$250,121,0)</f>
        <v>2500</v>
      </c>
      <c r="AS51" s="106">
        <f>+HLOOKUP($C51,PMGR!$EY$2:$FK$250,122,0)</f>
        <v>54050</v>
      </c>
      <c r="AT51" s="106">
        <f>+HLOOKUP($C51,PMGR!$EY$2:$FK$250,123,0)</f>
        <v>18806.666666666668</v>
      </c>
      <c r="AU51" s="106">
        <f>+HLOOKUP($C51,PMGR!$EY$2:$FK$250,124,0)</f>
        <v>807.5</v>
      </c>
      <c r="AV51" s="106">
        <f>+HLOOKUP($C51,PMGR!$EY$2:$FK$250,125,0)</f>
        <v>0</v>
      </c>
      <c r="AW51" s="106">
        <f>+HLOOKUP($C51,PMGR!$EY$2:$FK$250,126,0)</f>
        <v>7644.2307692307695</v>
      </c>
      <c r="AX51" s="106">
        <f>+HLOOKUP($C51,PMGR!$EY$2:$FK$250,127,0)</f>
        <v>10916.666666666664</v>
      </c>
      <c r="AY51" s="106">
        <f>+HLOOKUP($C51,PMGR!$EY$2:$FK$250,129,0)</f>
        <v>0</v>
      </c>
      <c r="AZ51" s="106">
        <f>+HLOOKUP($C51,PMGR!$EY$2:$FK$250,130,0)</f>
        <v>0</v>
      </c>
      <c r="BA51" s="106">
        <f>+HLOOKUP($C51,PMGR!$EY$2:$FK$250,131,0)</f>
        <v>25000</v>
      </c>
      <c r="BB51" s="106">
        <f>+HLOOKUP($C51,PMGR!$EY$2:$FK$250,133,0)</f>
        <v>0</v>
      </c>
      <c r="BC51" s="106">
        <f>+HLOOKUP($C51,PMGR!$EY$2:$FK$250,134,0)</f>
        <v>0</v>
      </c>
      <c r="BD51" s="106">
        <f>+HLOOKUP($C51,PMGR!$EY$2:$FK$250,135,0)</f>
        <v>0</v>
      </c>
      <c r="BE51" s="106">
        <f>+HLOOKUP($C51,PMGR!$EY$2:$FK$250,136,0)</f>
        <v>0</v>
      </c>
      <c r="BF51" s="106">
        <f>+HLOOKUP($C51,PMGR!$EY$2:$FK$250,138,0)</f>
        <v>5000</v>
      </c>
      <c r="BG51" s="106">
        <f>+HLOOKUP($C51,PMGR!$EY$2:$FK$250,139,0)</f>
        <v>10000</v>
      </c>
      <c r="BH51" s="106">
        <f>+HLOOKUP($C51,PMGR!$EY$2:$FK$250,140,0)</f>
        <v>20100</v>
      </c>
      <c r="BI51" s="106">
        <f>+HLOOKUP($C51,PMGR!$EY$2:$FK$250,141,0)</f>
        <v>0</v>
      </c>
      <c r="BJ51" s="106">
        <f>+HLOOKUP($C51,PMGR!$EY$2:$FK$250,142,0)</f>
        <v>0</v>
      </c>
      <c r="BK51" s="106">
        <f>+HLOOKUP($C51,PMGR!$EY$2:$FK$250,143,0)</f>
        <v>14000</v>
      </c>
      <c r="BL51" s="106">
        <f>+HLOOKUP($C51,PMGR!$EY$2:$FK$250,144,0)</f>
        <v>1135.4166666666667</v>
      </c>
      <c r="BM51" s="106">
        <f>+HLOOKUP($C51,PMGR!$EY$2:$FK$250,146,0)</f>
        <v>0</v>
      </c>
      <c r="BN51" s="106">
        <f>+HLOOKUP($C51,PMGR!$EY$2:$FK$250,147,0)</f>
        <v>0</v>
      </c>
      <c r="BO51" s="106">
        <f>+HLOOKUP($C51,PMGR!$EY$2:$FK$250,148,0)</f>
        <v>0</v>
      </c>
      <c r="BP51" s="106">
        <f>+HLOOKUP($C51,PMGR!$EY$2:$FK$250,150,0)</f>
        <v>39000</v>
      </c>
      <c r="BQ51" s="106">
        <f>+HLOOKUP($C51,PMGR!$EY$2:$FK$250,151,0)</f>
        <v>2976.6</v>
      </c>
      <c r="BR51" s="106">
        <f>+HLOOKUP($C51,PMGR!$EY$2:$FK$250,152,0)</f>
        <v>19200</v>
      </c>
      <c r="BS51" s="106">
        <f>+HLOOKUP($C51,PMGR!$EY$2:$FK$250,153,0)</f>
        <v>4500</v>
      </c>
      <c r="BT51" s="106">
        <f>+HLOOKUP($C51,PMGR!$EY$2:$FK$250,157,0)</f>
        <v>5000</v>
      </c>
      <c r="BU51" s="106">
        <f>+HLOOKUP($C51,PMGR!$EY$2:$FK$250,158,0)</f>
        <v>500</v>
      </c>
      <c r="BV51" s="106">
        <f>+HLOOKUP($C51,PMGR!$EY$2:$FK$250,159,0)</f>
        <v>1500</v>
      </c>
      <c r="BW51" s="106">
        <f>+HLOOKUP($C51,PMGR!$EY$2:$FK$250,160,0)</f>
        <v>0</v>
      </c>
      <c r="BX51" s="106">
        <f>+HLOOKUP($C51,PMGR!$EY$2:$FK$250,161,0)</f>
        <v>2500</v>
      </c>
      <c r="BY51" s="106">
        <f>+HLOOKUP($C51,PMGR!$EY$2:$FK$250,164,0)</f>
        <v>0</v>
      </c>
      <c r="BZ51" s="106">
        <f>+HLOOKUP($C51,PMGR!$EY$2:$FK$250,165,0)</f>
        <v>0</v>
      </c>
      <c r="CA51" s="106">
        <f>+HLOOKUP($C51,PMGR!$EY$2:$FK$250,166,0)</f>
        <v>0</v>
      </c>
      <c r="CB51" s="106">
        <f>+HLOOKUP($C51,PMGR!$EY$2:$FK$250,167,0)</f>
        <v>0</v>
      </c>
      <c r="CC51" s="106">
        <f>+HLOOKUP($C51,PMGR!$EY$2:$FK$250,168,0)</f>
        <v>0</v>
      </c>
      <c r="CD51" s="106">
        <f>+HLOOKUP($C51,PMGR!$EY$2:$FK$250,169,0)</f>
        <v>0</v>
      </c>
      <c r="CE51" s="106">
        <f>+HLOOKUP($C51,PMGR!$EY$2:$FK$250,170,0)</f>
        <v>500</v>
      </c>
      <c r="CF51" s="106">
        <f>+HLOOKUP($C51,PMGR!$EY$2:$FK$250,172,0)</f>
        <v>0</v>
      </c>
      <c r="CG51" s="106">
        <f>+HLOOKUP($C51,PMGR!$EY$2:$FK$250,173,0)</f>
        <v>7200</v>
      </c>
      <c r="CH51" s="106">
        <f>+HLOOKUP($C51,PMGR!$EY$2:$FK$250,174,0)</f>
        <v>50000</v>
      </c>
      <c r="CI51" s="106">
        <f>+HLOOKUP($C51,PMGR!$EY$2:$FK$250,175,0)</f>
        <v>5000</v>
      </c>
      <c r="CJ51" s="106">
        <f>+HLOOKUP($C51,PMGR!$EY$2:$FK$250,176,0)</f>
        <v>8000</v>
      </c>
      <c r="CK51" s="106">
        <f>+HLOOKUP($C51,PMGR!$EY$2:$FK$250,178,0)</f>
        <v>48000</v>
      </c>
      <c r="CL51" s="106">
        <f>+HLOOKUP($C51,PMGR!$EY$2:$FK$250,179,0)</f>
        <v>180000</v>
      </c>
      <c r="CM51" s="106">
        <f>+HLOOKUP($C51,PMGR!$EY$2:$FK$250,180,0)</f>
        <v>2880</v>
      </c>
      <c r="CN51" s="106">
        <f>+HLOOKUP($C51,PMGR!$EY$2:$FK$250,182,0)</f>
        <v>4200</v>
      </c>
      <c r="CO51" s="106">
        <f>+HLOOKUP($C51,PMGR!$EY$2:$FK$250,183,0)</f>
        <v>12000</v>
      </c>
      <c r="CP51" s="106">
        <f>+HLOOKUP($C51,PMGR!$EY$2:$FK$250,184,0)</f>
        <v>972</v>
      </c>
      <c r="CQ51" s="106">
        <f>+HLOOKUP($C51,PMGR!$EY$2:$FK$250,185,0)</f>
        <v>0</v>
      </c>
      <c r="CR51" s="106">
        <f>+HLOOKUP($C51,PMGR!$EY$2:$FK$250,187,0)</f>
        <v>1874.9999999999995</v>
      </c>
      <c r="CS51" s="106">
        <f>+HLOOKUP($C51,PMGR!$EY$2:$FK$250,188,0)</f>
        <v>0</v>
      </c>
      <c r="CT51" s="106">
        <f>+HLOOKUP($C51,PMGR!$EY$2:$FK$250,189,0)</f>
        <v>0</v>
      </c>
      <c r="CU51" s="106">
        <f>+HLOOKUP($C51,PMGR!$EY$2:$FK$250,190,0)</f>
        <v>0</v>
      </c>
      <c r="CV51" s="106">
        <f>+HLOOKUP($C51,PMGR!$EY$2:$FK$250,191,0)</f>
        <v>0</v>
      </c>
      <c r="CW51" s="106">
        <f>+HLOOKUP($C51,PMGR!$EY$2:$FK$250,193,0)</f>
        <v>0</v>
      </c>
      <c r="CX51" s="106">
        <f>+HLOOKUP($C51,PMGR!$EY$2:$FK$250,194,0)</f>
        <v>200</v>
      </c>
      <c r="CY51" s="106">
        <f>+HLOOKUP($C51,PMGR!$EY$2:$FK$250,195,0)</f>
        <v>15000</v>
      </c>
      <c r="CZ51" s="106">
        <f>+HLOOKUP($C51,PMGR!$EY$2:$FK$250,196,0)</f>
        <v>0</v>
      </c>
      <c r="DA51" s="106">
        <f>+HLOOKUP($C51,PMGR!$EY$2:$FK$250,197,0)</f>
        <v>10000</v>
      </c>
      <c r="DB51" s="106">
        <f>+HLOOKUP($C51,PMGR!$EY$2:$FK$250,198,0)</f>
        <v>6000</v>
      </c>
      <c r="DC51" s="106">
        <f>+HLOOKUP($C51,PMGR!$EY$2:$FK$250,199,0)</f>
        <v>2000</v>
      </c>
      <c r="DD51" s="106">
        <f>+HLOOKUP($C51,PMGR!$EY$2:$FK$250,200,0)</f>
        <v>1000</v>
      </c>
      <c r="DE51" s="106">
        <f>+HLOOKUP($C51,PMGR!$EY$2:$FK$250,201,0)</f>
        <v>250</v>
      </c>
      <c r="DF51" s="106">
        <f>+HLOOKUP($C51,PMGR!$EY$2:$FK$250,202,0)</f>
        <v>0</v>
      </c>
      <c r="DG51" s="106">
        <f>+HLOOKUP($C51,PMGR!$EY$2:$FK$250,203,0)</f>
        <v>0</v>
      </c>
      <c r="DH51" s="106">
        <f>+HLOOKUP($C51,PMGR!$EY$2:$FK$250,205,0)</f>
        <v>0</v>
      </c>
      <c r="DI51" s="106">
        <f>+HLOOKUP($C51,PMGR!$EY$2:$FK$250,206,0)</f>
        <v>15000</v>
      </c>
      <c r="DJ51" s="106">
        <f>+HLOOKUP($C51,PMGR!$EY$2:$FK$250,207,0)</f>
        <v>0</v>
      </c>
      <c r="DK51" s="106">
        <f>+HLOOKUP($C51,PMGR!$EY$2:$FK$250,209,0)</f>
        <v>0</v>
      </c>
      <c r="DL51" s="106">
        <f>+HLOOKUP($C51,PMGR!$EY$2:$FK$250,210,0)</f>
        <v>270000</v>
      </c>
      <c r="DM51" s="106">
        <f>+HLOOKUP($C51,PMGR!$EY$2:$FK$250,211,0)</f>
        <v>0</v>
      </c>
      <c r="DN51" s="106">
        <f>+HLOOKUP($C51,PMGR!$EY$2:$FK$250,212,0)</f>
        <v>0</v>
      </c>
      <c r="DO51" s="106">
        <f>+HLOOKUP($C51,PMGR!$EY$2:$FK$250,214,0)</f>
        <v>0</v>
      </c>
      <c r="DP51" s="106">
        <f>+HLOOKUP($C51,PMGR!$EY$2:$FK$250,215,0)</f>
        <v>0</v>
      </c>
      <c r="DQ51" s="106">
        <f>+HLOOKUP($C51,PMGR!$EY$2:$FK$250,219,0)</f>
        <v>0</v>
      </c>
      <c r="DR51" s="106">
        <f>+HLOOKUP($C51,PMGR!$EY$2:$FK$250,220,0)</f>
        <v>0</v>
      </c>
      <c r="DS51" s="106">
        <f>+HLOOKUP($C51,PMGR!$EY$2:$FK$250,221,0)</f>
        <v>0</v>
      </c>
      <c r="DT51" s="106">
        <f>+HLOOKUP($C51,PMGR!$EY$2:$FK$250,223,0)</f>
        <v>5000</v>
      </c>
      <c r="DU51" s="106">
        <f>+HLOOKUP($C51,PMGR!$EY$2:$FK$250,224,0)</f>
        <v>3000</v>
      </c>
      <c r="DV51" s="106">
        <f>+HLOOKUP($C51,PMGR!$EY$2:$FK$250,225,0)</f>
        <v>5000</v>
      </c>
      <c r="DW51" s="106">
        <f>+HLOOKUP($C51,PMGR!$EY$2:$FK$250,227,0)</f>
        <v>0</v>
      </c>
      <c r="DX51" s="106">
        <f>+HLOOKUP($C51,PMGR!$EY$2:$FK$250,228,0)</f>
        <v>0</v>
      </c>
      <c r="DY51" s="106">
        <f>+HLOOKUP($C51,PMGR!$EY$2:$FK$250,236,0)</f>
        <v>0</v>
      </c>
      <c r="DZ51" s="106">
        <f>+HLOOKUP($C51,PMGR!$EY$2:$FK$250,237,0)</f>
        <v>0</v>
      </c>
      <c r="EA51" s="106">
        <f>+HLOOKUP($C51,PMGR!$EY$2:$FK$250,238,0)</f>
        <v>0</v>
      </c>
      <c r="EB51" s="106">
        <f>+HLOOKUP($C51,PMGR!$EY$2:$FK$250,240,0)</f>
        <v>702927.25199999998</v>
      </c>
    </row>
    <row r="52" spans="1:132">
      <c r="A52" t="s">
        <v>272</v>
      </c>
      <c r="B52" t="s">
        <v>217</v>
      </c>
      <c r="C52" s="117">
        <v>45931</v>
      </c>
      <c r="D52" s="106">
        <f t="shared" si="0"/>
        <v>3431836.688668875</v>
      </c>
      <c r="E52" s="106">
        <f>+HLOOKUP(C52,PMGR!$EY$2:$FK$250,28,0)+HLOOKUP(C52,PMGR!$EY$2:$FK$250,43,0)+HLOOKUP(C52,PMGR!$EY$2:$FK$250,44,0)+HLOOKUP(C52,PMGR!$EY$2:$FK$250,45,0)+HLOOKUP(C52,PMGR!$EY$2:$FK$250,54,0)+HLOOKUP(C52,PMGR!$EY$2:$FK$250,59,0)</f>
        <v>3431836.688668875</v>
      </c>
      <c r="F52" s="106">
        <f>+HLOOKUP(C52,PMGR!$EY$2:$FK$250,37,0)+HLOOKUP(C52,PMGR!$EY$2:$FK$250,55,0)</f>
        <v>2134512.346153846</v>
      </c>
      <c r="G52" s="106">
        <f>+HLOOKUP($C52,PMGR!$EY$2:$FK$250,76,0)</f>
        <v>0</v>
      </c>
      <c r="H52" s="106">
        <f>+HLOOKUP($C52,PMGR!$EY$2:$FK$250,77,0)</f>
        <v>0</v>
      </c>
      <c r="I52" s="106">
        <f>+HLOOKUP($C52,PMGR!$EY$2:$FK$250,78,0)</f>
        <v>0</v>
      </c>
      <c r="J52" s="106">
        <f>+HLOOKUP($C52,PMGR!$EY$2:$FK$250,79,0)</f>
        <v>0</v>
      </c>
      <c r="K52" s="106">
        <f>+HLOOKUP($C52,PMGR!$EY$2:$FK$250,80,0)</f>
        <v>0</v>
      </c>
      <c r="L52" s="106">
        <f>+HLOOKUP($C52,PMGR!$EY$2:$FK$250,81,0)</f>
        <v>0</v>
      </c>
      <c r="M52" s="106">
        <f>+HLOOKUP($C52,PMGR!$EY$2:$FK$250,82,0)</f>
        <v>0</v>
      </c>
      <c r="N52" s="106">
        <f>+HLOOKUP($C52,PMGR!$EY$2:$FK$250,83,0)</f>
        <v>0</v>
      </c>
      <c r="O52" s="106">
        <f>+HLOOKUP($C52,PMGR!$EY$2:$FK$250,84,0)</f>
        <v>0</v>
      </c>
      <c r="P52" s="106">
        <f>+HLOOKUP($C52,PMGR!$EY$2:$FK$250,85,0)</f>
        <v>0</v>
      </c>
      <c r="Q52" s="106">
        <f>+HLOOKUP($C52,PMGR!$EY$2:$FK$250,87,0)</f>
        <v>86012.222222222234</v>
      </c>
      <c r="R52" s="106">
        <f>+HLOOKUP($C52,PMGR!$EY$2:$FK$250,90,0)</f>
        <v>0</v>
      </c>
      <c r="S52" s="106">
        <f>+HLOOKUP($C52,PMGR!$EY$2:$FK$250,91,0)</f>
        <v>500</v>
      </c>
      <c r="T52" s="106">
        <f>+HLOOKUP($C52,PMGR!$EY$2:$FK$250,92,0)</f>
        <v>0</v>
      </c>
      <c r="U52" s="106">
        <f>+HLOOKUP($C52,PMGR!$EY$2:$FK$250,93,0)</f>
        <v>0</v>
      </c>
      <c r="V52" s="106">
        <f>+HLOOKUP($C52,PMGR!$EY$2:$FK$250,94,0)</f>
        <v>0</v>
      </c>
      <c r="W52" s="106">
        <f>+HLOOKUP($C52,PMGR!$EY$2:$FK$250,95,0)</f>
        <v>0</v>
      </c>
      <c r="X52" s="106">
        <f>+HLOOKUP($C52,PMGR!$EY$2:$FK$250,96,0)</f>
        <v>0</v>
      </c>
      <c r="Y52" s="106">
        <f>+HLOOKUP($C52,PMGR!$EY$2:$FK$250,97,0)</f>
        <v>0</v>
      </c>
      <c r="Z52" s="106">
        <f>+HLOOKUP($C52,PMGR!$EY$2:$FK$250,98,0)</f>
        <v>0</v>
      </c>
      <c r="AA52" s="106">
        <f>+HLOOKUP($C52,PMGR!$EY$2:$FK$250,99,0)</f>
        <v>0</v>
      </c>
      <c r="AB52" s="106">
        <f>+HLOOKUP($C52,PMGR!$EY$2:$FK$250,100,0)</f>
        <v>0</v>
      </c>
      <c r="AC52" s="106">
        <f>+HLOOKUP($C52,PMGR!$EY$2:$FK$250,101,0)</f>
        <v>0</v>
      </c>
      <c r="AD52" s="106">
        <f>+HLOOKUP($C52,PMGR!$EY$2:$FK$250,104,0)</f>
        <v>0</v>
      </c>
      <c r="AE52" s="106">
        <f>+HLOOKUP($C52,PMGR!$EY$2:$FK$250,105,0)</f>
        <v>0</v>
      </c>
      <c r="AF52" s="106">
        <f>+HLOOKUP($C52,PMGR!$EY$2:$FK$250,106,0)</f>
        <v>0</v>
      </c>
      <c r="AG52" s="106">
        <f>+HLOOKUP($C52,PMGR!$EY$2:$FK$250,107,0)</f>
        <v>0</v>
      </c>
      <c r="AH52" s="106">
        <f>+HLOOKUP($C52,PMGR!$EY$2:$FK$250,108,0)</f>
        <v>0</v>
      </c>
      <c r="AI52" s="106">
        <f>+HLOOKUP($C52,PMGR!$EY$2:$FK$250,109,0)</f>
        <v>0</v>
      </c>
      <c r="AJ52" s="106">
        <f>+HLOOKUP($C52,PMGR!$EY$2:$FK$250,110,0)</f>
        <v>0</v>
      </c>
      <c r="AK52" s="106">
        <f>+HLOOKUP($C52,PMGR!$EY$2:$FK$250,111,0)</f>
        <v>1167.6000000000001</v>
      </c>
      <c r="AL52" s="106">
        <f>+HLOOKUP($C52,PMGR!$EY$2:$FK$250,112,0)</f>
        <v>0</v>
      </c>
      <c r="AM52" s="106">
        <f>+HLOOKUP($C52,PMGR!$EY$2:$FK$250,116,0)</f>
        <v>159000</v>
      </c>
      <c r="AN52" s="106">
        <f>+HLOOKUP($C52,PMGR!$EY$2:$FK$250,117,0)</f>
        <v>22750</v>
      </c>
      <c r="AO52" s="106">
        <f>+HLOOKUP($C52,PMGR!$EY$2:$FK$250,118,0)</f>
        <v>0</v>
      </c>
      <c r="AP52" s="106">
        <f>+HLOOKUP($C52,PMGR!$EY$2:$FK$250,119,0)</f>
        <v>62300</v>
      </c>
      <c r="AQ52" s="106">
        <f>+HLOOKUP($C52,PMGR!$EY$2:$FK$250,120,0)</f>
        <v>13400</v>
      </c>
      <c r="AR52" s="106">
        <f>+HLOOKUP($C52,PMGR!$EY$2:$FK$250,121,0)</f>
        <v>2500</v>
      </c>
      <c r="AS52" s="106">
        <f>+HLOOKUP($C52,PMGR!$EY$2:$FK$250,122,0)</f>
        <v>54050</v>
      </c>
      <c r="AT52" s="106">
        <f>+HLOOKUP($C52,PMGR!$EY$2:$FK$250,123,0)</f>
        <v>18806.666666666668</v>
      </c>
      <c r="AU52" s="106">
        <f>+HLOOKUP($C52,PMGR!$EY$2:$FK$250,124,0)</f>
        <v>807.5</v>
      </c>
      <c r="AV52" s="106">
        <f>+HLOOKUP($C52,PMGR!$EY$2:$FK$250,125,0)</f>
        <v>0</v>
      </c>
      <c r="AW52" s="106">
        <f>+HLOOKUP($C52,PMGR!$EY$2:$FK$250,126,0)</f>
        <v>7644.2307692307695</v>
      </c>
      <c r="AX52" s="106">
        <f>+HLOOKUP($C52,PMGR!$EY$2:$FK$250,127,0)</f>
        <v>10916.666666666664</v>
      </c>
      <c r="AY52" s="106">
        <f>+HLOOKUP($C52,PMGR!$EY$2:$FK$250,129,0)</f>
        <v>0</v>
      </c>
      <c r="AZ52" s="106">
        <f>+HLOOKUP($C52,PMGR!$EY$2:$FK$250,130,0)</f>
        <v>0</v>
      </c>
      <c r="BA52" s="106">
        <f>+HLOOKUP($C52,PMGR!$EY$2:$FK$250,131,0)</f>
        <v>25000</v>
      </c>
      <c r="BB52" s="106">
        <f>+HLOOKUP($C52,PMGR!$EY$2:$FK$250,133,0)</f>
        <v>0</v>
      </c>
      <c r="BC52" s="106">
        <f>+HLOOKUP($C52,PMGR!$EY$2:$FK$250,134,0)</f>
        <v>0</v>
      </c>
      <c r="BD52" s="106">
        <f>+HLOOKUP($C52,PMGR!$EY$2:$FK$250,135,0)</f>
        <v>0</v>
      </c>
      <c r="BE52" s="106">
        <f>+HLOOKUP($C52,PMGR!$EY$2:$FK$250,136,0)</f>
        <v>0</v>
      </c>
      <c r="BF52" s="106">
        <f>+HLOOKUP($C52,PMGR!$EY$2:$FK$250,138,0)</f>
        <v>5000</v>
      </c>
      <c r="BG52" s="106">
        <f>+HLOOKUP($C52,PMGR!$EY$2:$FK$250,139,0)</f>
        <v>10000</v>
      </c>
      <c r="BH52" s="106">
        <f>+HLOOKUP($C52,PMGR!$EY$2:$FK$250,140,0)</f>
        <v>20100</v>
      </c>
      <c r="BI52" s="106">
        <f>+HLOOKUP($C52,PMGR!$EY$2:$FK$250,141,0)</f>
        <v>0</v>
      </c>
      <c r="BJ52" s="106">
        <f>+HLOOKUP($C52,PMGR!$EY$2:$FK$250,142,0)</f>
        <v>0</v>
      </c>
      <c r="BK52" s="106">
        <f>+HLOOKUP($C52,PMGR!$EY$2:$FK$250,143,0)</f>
        <v>14000</v>
      </c>
      <c r="BL52" s="106">
        <f>+HLOOKUP($C52,PMGR!$EY$2:$FK$250,144,0)</f>
        <v>62093.75</v>
      </c>
      <c r="BM52" s="106">
        <f>+HLOOKUP($C52,PMGR!$EY$2:$FK$250,146,0)</f>
        <v>0</v>
      </c>
      <c r="BN52" s="106">
        <f>+HLOOKUP($C52,PMGR!$EY$2:$FK$250,147,0)</f>
        <v>0</v>
      </c>
      <c r="BO52" s="106">
        <f>+HLOOKUP($C52,PMGR!$EY$2:$FK$250,148,0)</f>
        <v>0</v>
      </c>
      <c r="BP52" s="106">
        <f>+HLOOKUP($C52,PMGR!$EY$2:$FK$250,150,0)</f>
        <v>39000</v>
      </c>
      <c r="BQ52" s="106">
        <f>+HLOOKUP($C52,PMGR!$EY$2:$FK$250,151,0)</f>
        <v>2976.6</v>
      </c>
      <c r="BR52" s="106">
        <f>+HLOOKUP($C52,PMGR!$EY$2:$FK$250,152,0)</f>
        <v>19200</v>
      </c>
      <c r="BS52" s="106">
        <f>+HLOOKUP($C52,PMGR!$EY$2:$FK$250,153,0)</f>
        <v>4500</v>
      </c>
      <c r="BT52" s="106">
        <f>+HLOOKUP($C52,PMGR!$EY$2:$FK$250,157,0)</f>
        <v>5000</v>
      </c>
      <c r="BU52" s="106">
        <f>+HLOOKUP($C52,PMGR!$EY$2:$FK$250,158,0)</f>
        <v>500</v>
      </c>
      <c r="BV52" s="106">
        <f>+HLOOKUP($C52,PMGR!$EY$2:$FK$250,159,0)</f>
        <v>1500</v>
      </c>
      <c r="BW52" s="106">
        <f>+HLOOKUP($C52,PMGR!$EY$2:$FK$250,160,0)</f>
        <v>0</v>
      </c>
      <c r="BX52" s="106">
        <f>+HLOOKUP($C52,PMGR!$EY$2:$FK$250,161,0)</f>
        <v>2500</v>
      </c>
      <c r="BY52" s="106">
        <f>+HLOOKUP($C52,PMGR!$EY$2:$FK$250,164,0)</f>
        <v>0</v>
      </c>
      <c r="BZ52" s="106">
        <f>+HLOOKUP($C52,PMGR!$EY$2:$FK$250,165,0)</f>
        <v>0</v>
      </c>
      <c r="CA52" s="106">
        <f>+HLOOKUP($C52,PMGR!$EY$2:$FK$250,166,0)</f>
        <v>0</v>
      </c>
      <c r="CB52" s="106">
        <f>+HLOOKUP($C52,PMGR!$EY$2:$FK$250,167,0)</f>
        <v>0</v>
      </c>
      <c r="CC52" s="106">
        <f>+HLOOKUP($C52,PMGR!$EY$2:$FK$250,168,0)</f>
        <v>0</v>
      </c>
      <c r="CD52" s="106">
        <f>+HLOOKUP($C52,PMGR!$EY$2:$FK$250,169,0)</f>
        <v>0</v>
      </c>
      <c r="CE52" s="106">
        <f>+HLOOKUP($C52,PMGR!$EY$2:$FK$250,170,0)</f>
        <v>500</v>
      </c>
      <c r="CF52" s="106">
        <f>+HLOOKUP($C52,PMGR!$EY$2:$FK$250,172,0)</f>
        <v>0</v>
      </c>
      <c r="CG52" s="106">
        <f>+HLOOKUP($C52,PMGR!$EY$2:$FK$250,173,0)</f>
        <v>7200</v>
      </c>
      <c r="CH52" s="106">
        <f>+HLOOKUP($C52,PMGR!$EY$2:$FK$250,174,0)</f>
        <v>50000</v>
      </c>
      <c r="CI52" s="106">
        <f>+HLOOKUP($C52,PMGR!$EY$2:$FK$250,175,0)</f>
        <v>5000</v>
      </c>
      <c r="CJ52" s="106">
        <f>+HLOOKUP($C52,PMGR!$EY$2:$FK$250,176,0)</f>
        <v>8000</v>
      </c>
      <c r="CK52" s="106">
        <f>+HLOOKUP($C52,PMGR!$EY$2:$FK$250,178,0)</f>
        <v>48000</v>
      </c>
      <c r="CL52" s="106">
        <f>+HLOOKUP($C52,PMGR!$EY$2:$FK$250,179,0)</f>
        <v>180000</v>
      </c>
      <c r="CM52" s="106">
        <f>+HLOOKUP($C52,PMGR!$EY$2:$FK$250,180,0)</f>
        <v>2880</v>
      </c>
      <c r="CN52" s="106">
        <f>+HLOOKUP($C52,PMGR!$EY$2:$FK$250,182,0)</f>
        <v>4200</v>
      </c>
      <c r="CO52" s="106">
        <f>+HLOOKUP($C52,PMGR!$EY$2:$FK$250,183,0)</f>
        <v>12000</v>
      </c>
      <c r="CP52" s="106">
        <f>+HLOOKUP($C52,PMGR!$EY$2:$FK$250,184,0)</f>
        <v>972</v>
      </c>
      <c r="CQ52" s="106">
        <f>+HLOOKUP($C52,PMGR!$EY$2:$FK$250,185,0)</f>
        <v>0</v>
      </c>
      <c r="CR52" s="106">
        <f>+HLOOKUP($C52,PMGR!$EY$2:$FK$250,187,0)</f>
        <v>1874.9999999999995</v>
      </c>
      <c r="CS52" s="106">
        <f>+HLOOKUP($C52,PMGR!$EY$2:$FK$250,188,0)</f>
        <v>0</v>
      </c>
      <c r="CT52" s="106">
        <f>+HLOOKUP($C52,PMGR!$EY$2:$FK$250,189,0)</f>
        <v>0</v>
      </c>
      <c r="CU52" s="106">
        <f>+HLOOKUP($C52,PMGR!$EY$2:$FK$250,190,0)</f>
        <v>0</v>
      </c>
      <c r="CV52" s="106">
        <f>+HLOOKUP($C52,PMGR!$EY$2:$FK$250,191,0)</f>
        <v>0</v>
      </c>
      <c r="CW52" s="106">
        <f>+HLOOKUP($C52,PMGR!$EY$2:$FK$250,193,0)</f>
        <v>0</v>
      </c>
      <c r="CX52" s="106">
        <f>+HLOOKUP($C52,PMGR!$EY$2:$FK$250,194,0)</f>
        <v>200</v>
      </c>
      <c r="CY52" s="106">
        <f>+HLOOKUP($C52,PMGR!$EY$2:$FK$250,195,0)</f>
        <v>15000</v>
      </c>
      <c r="CZ52" s="106">
        <f>+HLOOKUP($C52,PMGR!$EY$2:$FK$250,196,0)</f>
        <v>0</v>
      </c>
      <c r="DA52" s="106">
        <f>+HLOOKUP($C52,PMGR!$EY$2:$FK$250,197,0)</f>
        <v>10000</v>
      </c>
      <c r="DB52" s="106">
        <f>+HLOOKUP($C52,PMGR!$EY$2:$FK$250,198,0)</f>
        <v>6000</v>
      </c>
      <c r="DC52" s="106">
        <f>+HLOOKUP($C52,PMGR!$EY$2:$FK$250,199,0)</f>
        <v>2000</v>
      </c>
      <c r="DD52" s="106">
        <f>+HLOOKUP($C52,PMGR!$EY$2:$FK$250,200,0)</f>
        <v>1000</v>
      </c>
      <c r="DE52" s="106">
        <f>+HLOOKUP($C52,PMGR!$EY$2:$FK$250,201,0)</f>
        <v>250</v>
      </c>
      <c r="DF52" s="106">
        <f>+HLOOKUP($C52,PMGR!$EY$2:$FK$250,202,0)</f>
        <v>0</v>
      </c>
      <c r="DG52" s="106">
        <f>+HLOOKUP($C52,PMGR!$EY$2:$FK$250,203,0)</f>
        <v>0</v>
      </c>
      <c r="DH52" s="106">
        <f>+HLOOKUP($C52,PMGR!$EY$2:$FK$250,205,0)</f>
        <v>0</v>
      </c>
      <c r="DI52" s="106">
        <f>+HLOOKUP($C52,PMGR!$EY$2:$FK$250,206,0)</f>
        <v>15000</v>
      </c>
      <c r="DJ52" s="106">
        <f>+HLOOKUP($C52,PMGR!$EY$2:$FK$250,207,0)</f>
        <v>0</v>
      </c>
      <c r="DK52" s="106">
        <f>+HLOOKUP($C52,PMGR!$EY$2:$FK$250,209,0)</f>
        <v>0</v>
      </c>
      <c r="DL52" s="106">
        <f>+HLOOKUP($C52,PMGR!$EY$2:$FK$250,210,0)</f>
        <v>270000</v>
      </c>
      <c r="DM52" s="106">
        <f>+HLOOKUP($C52,PMGR!$EY$2:$FK$250,211,0)</f>
        <v>0</v>
      </c>
      <c r="DN52" s="106">
        <f>+HLOOKUP($C52,PMGR!$EY$2:$FK$250,212,0)</f>
        <v>0</v>
      </c>
      <c r="DO52" s="106">
        <f>+HLOOKUP($C52,PMGR!$EY$2:$FK$250,214,0)</f>
        <v>0</v>
      </c>
      <c r="DP52" s="106">
        <f>+HLOOKUP($C52,PMGR!$EY$2:$FK$250,215,0)</f>
        <v>0</v>
      </c>
      <c r="DQ52" s="106">
        <f>+HLOOKUP($C52,PMGR!$EY$2:$FK$250,219,0)</f>
        <v>0</v>
      </c>
      <c r="DR52" s="106">
        <f>+HLOOKUP($C52,PMGR!$EY$2:$FK$250,220,0)</f>
        <v>0</v>
      </c>
      <c r="DS52" s="106">
        <f>+HLOOKUP($C52,PMGR!$EY$2:$FK$250,221,0)</f>
        <v>0</v>
      </c>
      <c r="DT52" s="106">
        <f>+HLOOKUP($C52,PMGR!$EY$2:$FK$250,223,0)</f>
        <v>5000</v>
      </c>
      <c r="DU52" s="106">
        <f>+HLOOKUP($C52,PMGR!$EY$2:$FK$250,224,0)</f>
        <v>3000</v>
      </c>
      <c r="DV52" s="106">
        <f>+HLOOKUP($C52,PMGR!$EY$2:$FK$250,225,0)</f>
        <v>5000</v>
      </c>
      <c r="DW52" s="106">
        <f>+HLOOKUP($C52,PMGR!$EY$2:$FK$250,227,0)</f>
        <v>0</v>
      </c>
      <c r="DX52" s="106">
        <f>+HLOOKUP($C52,PMGR!$EY$2:$FK$250,228,0)</f>
        <v>0</v>
      </c>
      <c r="DY52" s="106">
        <f>+HLOOKUP($C52,PMGR!$EY$2:$FK$250,236,0)</f>
        <v>0</v>
      </c>
      <c r="DZ52" s="106">
        <f>+HLOOKUP($C52,PMGR!$EY$2:$FK$250,237,0)</f>
        <v>0</v>
      </c>
      <c r="EA52" s="106">
        <f>+HLOOKUP($C52,PMGR!$EY$2:$FK$250,238,0)</f>
        <v>0</v>
      </c>
      <c r="EB52" s="106">
        <f>+HLOOKUP($C52,PMGR!$EY$2:$FK$250,240,0)</f>
        <v>702927.25199999998</v>
      </c>
    </row>
    <row r="53" spans="1:132">
      <c r="A53" t="s">
        <v>272</v>
      </c>
      <c r="B53" t="s">
        <v>217</v>
      </c>
      <c r="C53" s="117">
        <v>45901</v>
      </c>
      <c r="D53" s="106">
        <f t="shared" si="0"/>
        <v>5372691.4099161997</v>
      </c>
      <c r="E53" s="106">
        <f>+HLOOKUP(C53,PMGR!$EY$2:$FK$250,28,0)+HLOOKUP(C53,PMGR!$EY$2:$FK$250,43,0)+HLOOKUP(C53,PMGR!$EY$2:$FK$250,44,0)+HLOOKUP(C53,PMGR!$EY$2:$FK$250,45,0)+HLOOKUP(C53,PMGR!$EY$2:$FK$250,54,0)+HLOOKUP(C53,PMGR!$EY$2:$FK$250,59,0)</f>
        <v>5372691.4099161997</v>
      </c>
      <c r="F53" s="106">
        <f>+HLOOKUP(C53,PMGR!$EY$2:$FK$250,37,0)+HLOOKUP(C53,PMGR!$EY$2:$FK$250,55,0)</f>
        <v>2959742.4794871793</v>
      </c>
      <c r="G53" s="106">
        <f>+HLOOKUP($C53,PMGR!$EY$2:$FK$250,76,0)</f>
        <v>0</v>
      </c>
      <c r="H53" s="106">
        <f>+HLOOKUP($C53,PMGR!$EY$2:$FK$250,77,0)</f>
        <v>0</v>
      </c>
      <c r="I53" s="106">
        <f>+HLOOKUP($C53,PMGR!$EY$2:$FK$250,78,0)</f>
        <v>0</v>
      </c>
      <c r="J53" s="106">
        <f>+HLOOKUP($C53,PMGR!$EY$2:$FK$250,79,0)</f>
        <v>0</v>
      </c>
      <c r="K53" s="106">
        <f>+HLOOKUP($C53,PMGR!$EY$2:$FK$250,80,0)</f>
        <v>0</v>
      </c>
      <c r="L53" s="106">
        <f>+HLOOKUP($C53,PMGR!$EY$2:$FK$250,81,0)</f>
        <v>0</v>
      </c>
      <c r="M53" s="106">
        <f>+HLOOKUP($C53,PMGR!$EY$2:$FK$250,82,0)</f>
        <v>0</v>
      </c>
      <c r="N53" s="106">
        <f>+HLOOKUP($C53,PMGR!$EY$2:$FK$250,83,0)</f>
        <v>0</v>
      </c>
      <c r="O53" s="106">
        <f>+HLOOKUP($C53,PMGR!$EY$2:$FK$250,84,0)</f>
        <v>0</v>
      </c>
      <c r="P53" s="106">
        <f>+HLOOKUP($C53,PMGR!$EY$2:$FK$250,85,0)</f>
        <v>0</v>
      </c>
      <c r="Q53" s="106">
        <f>+HLOOKUP($C53,PMGR!$EY$2:$FK$250,87,0)</f>
        <v>101953.91700000002</v>
      </c>
      <c r="R53" s="106">
        <f>+HLOOKUP($C53,PMGR!$EY$2:$FK$250,90,0)</f>
        <v>0</v>
      </c>
      <c r="S53" s="106">
        <f>+HLOOKUP($C53,PMGR!$EY$2:$FK$250,91,0)</f>
        <v>500</v>
      </c>
      <c r="T53" s="106">
        <f>+HLOOKUP($C53,PMGR!$EY$2:$FK$250,92,0)</f>
        <v>0</v>
      </c>
      <c r="U53" s="106">
        <f>+HLOOKUP($C53,PMGR!$EY$2:$FK$250,93,0)</f>
        <v>0</v>
      </c>
      <c r="V53" s="106">
        <f>+HLOOKUP($C53,PMGR!$EY$2:$FK$250,94,0)</f>
        <v>0</v>
      </c>
      <c r="W53" s="106">
        <f>+HLOOKUP($C53,PMGR!$EY$2:$FK$250,95,0)</f>
        <v>0</v>
      </c>
      <c r="X53" s="106">
        <f>+HLOOKUP($C53,PMGR!$EY$2:$FK$250,96,0)</f>
        <v>0</v>
      </c>
      <c r="Y53" s="106">
        <f>+HLOOKUP($C53,PMGR!$EY$2:$FK$250,97,0)</f>
        <v>0</v>
      </c>
      <c r="Z53" s="106">
        <f>+HLOOKUP($C53,PMGR!$EY$2:$FK$250,98,0)</f>
        <v>0</v>
      </c>
      <c r="AA53" s="106">
        <f>+HLOOKUP($C53,PMGR!$EY$2:$FK$250,99,0)</f>
        <v>0</v>
      </c>
      <c r="AB53" s="106">
        <f>+HLOOKUP($C53,PMGR!$EY$2:$FK$250,100,0)</f>
        <v>0</v>
      </c>
      <c r="AC53" s="106">
        <f>+HLOOKUP($C53,PMGR!$EY$2:$FK$250,101,0)</f>
        <v>0</v>
      </c>
      <c r="AD53" s="106">
        <f>+HLOOKUP($C53,PMGR!$EY$2:$FK$250,104,0)</f>
        <v>0</v>
      </c>
      <c r="AE53" s="106">
        <f>+HLOOKUP($C53,PMGR!$EY$2:$FK$250,105,0)</f>
        <v>0</v>
      </c>
      <c r="AF53" s="106">
        <f>+HLOOKUP($C53,PMGR!$EY$2:$FK$250,106,0)</f>
        <v>0</v>
      </c>
      <c r="AG53" s="106">
        <f>+HLOOKUP($C53,PMGR!$EY$2:$FK$250,107,0)</f>
        <v>0</v>
      </c>
      <c r="AH53" s="106">
        <f>+HLOOKUP($C53,PMGR!$EY$2:$FK$250,108,0)</f>
        <v>0</v>
      </c>
      <c r="AI53" s="106">
        <f>+HLOOKUP($C53,PMGR!$EY$2:$FK$250,109,0)</f>
        <v>0</v>
      </c>
      <c r="AJ53" s="106">
        <f>+HLOOKUP($C53,PMGR!$EY$2:$FK$250,110,0)</f>
        <v>0</v>
      </c>
      <c r="AK53" s="106">
        <f>+HLOOKUP($C53,PMGR!$EY$2:$FK$250,111,0)</f>
        <v>1035.8280000000002</v>
      </c>
      <c r="AL53" s="106">
        <f>+HLOOKUP($C53,PMGR!$EY$2:$FK$250,112,0)</f>
        <v>0</v>
      </c>
      <c r="AM53" s="106">
        <f>+HLOOKUP($C53,PMGR!$EY$2:$FK$250,116,0)</f>
        <v>159000</v>
      </c>
      <c r="AN53" s="106">
        <f>+HLOOKUP($C53,PMGR!$EY$2:$FK$250,117,0)</f>
        <v>22750</v>
      </c>
      <c r="AO53" s="106">
        <f>+HLOOKUP($C53,PMGR!$EY$2:$FK$250,118,0)</f>
        <v>0</v>
      </c>
      <c r="AP53" s="106">
        <f>+HLOOKUP($C53,PMGR!$EY$2:$FK$250,119,0)</f>
        <v>62300</v>
      </c>
      <c r="AQ53" s="106">
        <f>+HLOOKUP($C53,PMGR!$EY$2:$FK$250,120,0)</f>
        <v>13400</v>
      </c>
      <c r="AR53" s="106">
        <f>+HLOOKUP($C53,PMGR!$EY$2:$FK$250,121,0)</f>
        <v>2500</v>
      </c>
      <c r="AS53" s="106">
        <f>+HLOOKUP($C53,PMGR!$EY$2:$FK$250,122,0)</f>
        <v>54050</v>
      </c>
      <c r="AT53" s="106">
        <f>+HLOOKUP($C53,PMGR!$EY$2:$FK$250,123,0)</f>
        <v>18806.666666666668</v>
      </c>
      <c r="AU53" s="106">
        <f>+HLOOKUP($C53,PMGR!$EY$2:$FK$250,124,0)</f>
        <v>807.5</v>
      </c>
      <c r="AV53" s="106">
        <f>+HLOOKUP($C53,PMGR!$EY$2:$FK$250,125,0)</f>
        <v>0</v>
      </c>
      <c r="AW53" s="106">
        <f>+HLOOKUP($C53,PMGR!$EY$2:$FK$250,126,0)</f>
        <v>7644.2307692307695</v>
      </c>
      <c r="AX53" s="106">
        <f>+HLOOKUP($C53,PMGR!$EY$2:$FK$250,127,0)</f>
        <v>10916.666666666664</v>
      </c>
      <c r="AY53" s="106">
        <f>+HLOOKUP($C53,PMGR!$EY$2:$FK$250,129,0)</f>
        <v>0</v>
      </c>
      <c r="AZ53" s="106">
        <f>+HLOOKUP($C53,PMGR!$EY$2:$FK$250,130,0)</f>
        <v>0</v>
      </c>
      <c r="BA53" s="106">
        <f>+HLOOKUP($C53,PMGR!$EY$2:$FK$250,131,0)</f>
        <v>25000</v>
      </c>
      <c r="BB53" s="106">
        <f>+HLOOKUP($C53,PMGR!$EY$2:$FK$250,133,0)</f>
        <v>0</v>
      </c>
      <c r="BC53" s="106">
        <f>+HLOOKUP($C53,PMGR!$EY$2:$FK$250,134,0)</f>
        <v>0</v>
      </c>
      <c r="BD53" s="106">
        <f>+HLOOKUP($C53,PMGR!$EY$2:$FK$250,135,0)</f>
        <v>0</v>
      </c>
      <c r="BE53" s="106">
        <f>+HLOOKUP($C53,PMGR!$EY$2:$FK$250,136,0)</f>
        <v>0</v>
      </c>
      <c r="BF53" s="106">
        <f>+HLOOKUP($C53,PMGR!$EY$2:$FK$250,138,0)</f>
        <v>5000</v>
      </c>
      <c r="BG53" s="106">
        <f>+HLOOKUP($C53,PMGR!$EY$2:$FK$250,139,0)</f>
        <v>10000</v>
      </c>
      <c r="BH53" s="106">
        <f>+HLOOKUP($C53,PMGR!$EY$2:$FK$250,140,0)</f>
        <v>20100</v>
      </c>
      <c r="BI53" s="106">
        <f>+HLOOKUP($C53,PMGR!$EY$2:$FK$250,141,0)</f>
        <v>0</v>
      </c>
      <c r="BJ53" s="106">
        <f>+HLOOKUP($C53,PMGR!$EY$2:$FK$250,142,0)</f>
        <v>0</v>
      </c>
      <c r="BK53" s="106">
        <f>+HLOOKUP($C53,PMGR!$EY$2:$FK$250,143,0)</f>
        <v>14000</v>
      </c>
      <c r="BL53" s="106">
        <f>+HLOOKUP($C53,PMGR!$EY$2:$FK$250,144,0)</f>
        <v>5885.416666666667</v>
      </c>
      <c r="BM53" s="106">
        <f>+HLOOKUP($C53,PMGR!$EY$2:$FK$250,146,0)</f>
        <v>0</v>
      </c>
      <c r="BN53" s="106">
        <f>+HLOOKUP($C53,PMGR!$EY$2:$FK$250,147,0)</f>
        <v>0</v>
      </c>
      <c r="BO53" s="106">
        <f>+HLOOKUP($C53,PMGR!$EY$2:$FK$250,148,0)</f>
        <v>0</v>
      </c>
      <c r="BP53" s="106">
        <f>+HLOOKUP($C53,PMGR!$EY$2:$FK$250,150,0)</f>
        <v>39000</v>
      </c>
      <c r="BQ53" s="106">
        <f>+HLOOKUP($C53,PMGR!$EY$2:$FK$250,151,0)</f>
        <v>2976.6</v>
      </c>
      <c r="BR53" s="106">
        <f>+HLOOKUP($C53,PMGR!$EY$2:$FK$250,152,0)</f>
        <v>19200</v>
      </c>
      <c r="BS53" s="106">
        <f>+HLOOKUP($C53,PMGR!$EY$2:$FK$250,153,0)</f>
        <v>4500</v>
      </c>
      <c r="BT53" s="106">
        <f>+HLOOKUP($C53,PMGR!$EY$2:$FK$250,157,0)</f>
        <v>5000</v>
      </c>
      <c r="BU53" s="106">
        <f>+HLOOKUP($C53,PMGR!$EY$2:$FK$250,158,0)</f>
        <v>500</v>
      </c>
      <c r="BV53" s="106">
        <f>+HLOOKUP($C53,PMGR!$EY$2:$FK$250,159,0)</f>
        <v>1500</v>
      </c>
      <c r="BW53" s="106">
        <f>+HLOOKUP($C53,PMGR!$EY$2:$FK$250,160,0)</f>
        <v>0</v>
      </c>
      <c r="BX53" s="106">
        <f>+HLOOKUP($C53,PMGR!$EY$2:$FK$250,161,0)</f>
        <v>2500</v>
      </c>
      <c r="BY53" s="106">
        <f>+HLOOKUP($C53,PMGR!$EY$2:$FK$250,164,0)</f>
        <v>0</v>
      </c>
      <c r="BZ53" s="106">
        <f>+HLOOKUP($C53,PMGR!$EY$2:$FK$250,165,0)</f>
        <v>0</v>
      </c>
      <c r="CA53" s="106">
        <f>+HLOOKUP($C53,PMGR!$EY$2:$FK$250,166,0)</f>
        <v>0</v>
      </c>
      <c r="CB53" s="106">
        <f>+HLOOKUP($C53,PMGR!$EY$2:$FK$250,167,0)</f>
        <v>0</v>
      </c>
      <c r="CC53" s="106">
        <f>+HLOOKUP($C53,PMGR!$EY$2:$FK$250,168,0)</f>
        <v>0</v>
      </c>
      <c r="CD53" s="106">
        <f>+HLOOKUP($C53,PMGR!$EY$2:$FK$250,169,0)</f>
        <v>0</v>
      </c>
      <c r="CE53" s="106">
        <f>+HLOOKUP($C53,PMGR!$EY$2:$FK$250,170,0)</f>
        <v>500</v>
      </c>
      <c r="CF53" s="106">
        <f>+HLOOKUP($C53,PMGR!$EY$2:$FK$250,172,0)</f>
        <v>0</v>
      </c>
      <c r="CG53" s="106">
        <f>+HLOOKUP($C53,PMGR!$EY$2:$FK$250,173,0)</f>
        <v>7200</v>
      </c>
      <c r="CH53" s="106">
        <f>+HLOOKUP($C53,PMGR!$EY$2:$FK$250,174,0)</f>
        <v>50000</v>
      </c>
      <c r="CI53" s="106">
        <f>+HLOOKUP($C53,PMGR!$EY$2:$FK$250,175,0)</f>
        <v>5000</v>
      </c>
      <c r="CJ53" s="106">
        <f>+HLOOKUP($C53,PMGR!$EY$2:$FK$250,176,0)</f>
        <v>8000</v>
      </c>
      <c r="CK53" s="106">
        <f>+HLOOKUP($C53,PMGR!$EY$2:$FK$250,178,0)</f>
        <v>48000</v>
      </c>
      <c r="CL53" s="106">
        <f>+HLOOKUP($C53,PMGR!$EY$2:$FK$250,179,0)</f>
        <v>180000</v>
      </c>
      <c r="CM53" s="106">
        <f>+HLOOKUP($C53,PMGR!$EY$2:$FK$250,180,0)</f>
        <v>2880</v>
      </c>
      <c r="CN53" s="106">
        <f>+HLOOKUP($C53,PMGR!$EY$2:$FK$250,182,0)</f>
        <v>4200</v>
      </c>
      <c r="CO53" s="106">
        <f>+HLOOKUP($C53,PMGR!$EY$2:$FK$250,183,0)</f>
        <v>12000</v>
      </c>
      <c r="CP53" s="106">
        <f>+HLOOKUP($C53,PMGR!$EY$2:$FK$250,184,0)</f>
        <v>972</v>
      </c>
      <c r="CQ53" s="106">
        <f>+HLOOKUP($C53,PMGR!$EY$2:$FK$250,185,0)</f>
        <v>0</v>
      </c>
      <c r="CR53" s="106">
        <f>+HLOOKUP($C53,PMGR!$EY$2:$FK$250,187,0)</f>
        <v>1874.9999999999995</v>
      </c>
      <c r="CS53" s="106">
        <f>+HLOOKUP($C53,PMGR!$EY$2:$FK$250,188,0)</f>
        <v>0</v>
      </c>
      <c r="CT53" s="106">
        <f>+HLOOKUP($C53,PMGR!$EY$2:$FK$250,189,0)</f>
        <v>0</v>
      </c>
      <c r="CU53" s="106">
        <f>+HLOOKUP($C53,PMGR!$EY$2:$FK$250,190,0)</f>
        <v>0</v>
      </c>
      <c r="CV53" s="106">
        <f>+HLOOKUP($C53,PMGR!$EY$2:$FK$250,191,0)</f>
        <v>0</v>
      </c>
      <c r="CW53" s="106">
        <f>+HLOOKUP($C53,PMGR!$EY$2:$FK$250,193,0)</f>
        <v>0</v>
      </c>
      <c r="CX53" s="106">
        <f>+HLOOKUP($C53,PMGR!$EY$2:$FK$250,194,0)</f>
        <v>200</v>
      </c>
      <c r="CY53" s="106">
        <f>+HLOOKUP($C53,PMGR!$EY$2:$FK$250,195,0)</f>
        <v>15000</v>
      </c>
      <c r="CZ53" s="106">
        <f>+HLOOKUP($C53,PMGR!$EY$2:$FK$250,196,0)</f>
        <v>0</v>
      </c>
      <c r="DA53" s="106">
        <f>+HLOOKUP($C53,PMGR!$EY$2:$FK$250,197,0)</f>
        <v>10000</v>
      </c>
      <c r="DB53" s="106">
        <f>+HLOOKUP($C53,PMGR!$EY$2:$FK$250,198,0)</f>
        <v>6000</v>
      </c>
      <c r="DC53" s="106">
        <f>+HLOOKUP($C53,PMGR!$EY$2:$FK$250,199,0)</f>
        <v>2000</v>
      </c>
      <c r="DD53" s="106">
        <f>+HLOOKUP($C53,PMGR!$EY$2:$FK$250,200,0)</f>
        <v>1000</v>
      </c>
      <c r="DE53" s="106">
        <f>+HLOOKUP($C53,PMGR!$EY$2:$FK$250,201,0)</f>
        <v>250</v>
      </c>
      <c r="DF53" s="106">
        <f>+HLOOKUP($C53,PMGR!$EY$2:$FK$250,202,0)</f>
        <v>0</v>
      </c>
      <c r="DG53" s="106">
        <f>+HLOOKUP($C53,PMGR!$EY$2:$FK$250,203,0)</f>
        <v>0</v>
      </c>
      <c r="DH53" s="106">
        <f>+HLOOKUP($C53,PMGR!$EY$2:$FK$250,205,0)</f>
        <v>0</v>
      </c>
      <c r="DI53" s="106">
        <f>+HLOOKUP($C53,PMGR!$EY$2:$FK$250,206,0)</f>
        <v>15000</v>
      </c>
      <c r="DJ53" s="106">
        <f>+HLOOKUP($C53,PMGR!$EY$2:$FK$250,207,0)</f>
        <v>0</v>
      </c>
      <c r="DK53" s="106">
        <f>+HLOOKUP($C53,PMGR!$EY$2:$FK$250,209,0)</f>
        <v>0</v>
      </c>
      <c r="DL53" s="106">
        <f>+HLOOKUP($C53,PMGR!$EY$2:$FK$250,210,0)</f>
        <v>270000</v>
      </c>
      <c r="DM53" s="106">
        <f>+HLOOKUP($C53,PMGR!$EY$2:$FK$250,211,0)</f>
        <v>0</v>
      </c>
      <c r="DN53" s="106">
        <f>+HLOOKUP($C53,PMGR!$EY$2:$FK$250,212,0)</f>
        <v>0</v>
      </c>
      <c r="DO53" s="106">
        <f>+HLOOKUP($C53,PMGR!$EY$2:$FK$250,214,0)</f>
        <v>0</v>
      </c>
      <c r="DP53" s="106">
        <f>+HLOOKUP($C53,PMGR!$EY$2:$FK$250,215,0)</f>
        <v>0</v>
      </c>
      <c r="DQ53" s="106">
        <f>+HLOOKUP($C53,PMGR!$EY$2:$FK$250,219,0)</f>
        <v>0</v>
      </c>
      <c r="DR53" s="106">
        <f>+HLOOKUP($C53,PMGR!$EY$2:$FK$250,220,0)</f>
        <v>0</v>
      </c>
      <c r="DS53" s="106">
        <f>+HLOOKUP($C53,PMGR!$EY$2:$FK$250,221,0)</f>
        <v>0</v>
      </c>
      <c r="DT53" s="106">
        <f>+HLOOKUP($C53,PMGR!$EY$2:$FK$250,223,0)</f>
        <v>5000</v>
      </c>
      <c r="DU53" s="106">
        <f>+HLOOKUP($C53,PMGR!$EY$2:$FK$250,224,0)</f>
        <v>3000</v>
      </c>
      <c r="DV53" s="106">
        <f>+HLOOKUP($C53,PMGR!$EY$2:$FK$250,225,0)</f>
        <v>5000</v>
      </c>
      <c r="DW53" s="106">
        <f>+HLOOKUP($C53,PMGR!$EY$2:$FK$250,227,0)</f>
        <v>0</v>
      </c>
      <c r="DX53" s="106">
        <f>+HLOOKUP($C53,PMGR!$EY$2:$FK$250,228,0)</f>
        <v>0</v>
      </c>
      <c r="DY53" s="106">
        <f>+HLOOKUP($C53,PMGR!$EY$2:$FK$250,236,0)</f>
        <v>0</v>
      </c>
      <c r="DZ53" s="106">
        <f>+HLOOKUP($C53,PMGR!$EY$2:$FK$250,237,0)</f>
        <v>0</v>
      </c>
      <c r="EA53" s="106">
        <f>+HLOOKUP($C53,PMGR!$EY$2:$FK$250,238,0)</f>
        <v>0</v>
      </c>
      <c r="EB53" s="106">
        <f>+HLOOKUP($C53,PMGR!$EY$2:$FK$250,240,0)</f>
        <v>702927.25199999998</v>
      </c>
    </row>
    <row r="54" spans="1:132">
      <c r="A54" t="s">
        <v>272</v>
      </c>
      <c r="B54" t="s">
        <v>217</v>
      </c>
      <c r="C54" s="117">
        <v>45870</v>
      </c>
      <c r="D54" s="106">
        <f t="shared" si="0"/>
        <v>4866343.8961043246</v>
      </c>
      <c r="E54" s="106">
        <f>+HLOOKUP(C54,PMGR!$EY$2:$FK$250,28,0)+HLOOKUP(C54,PMGR!$EY$2:$FK$250,43,0)+HLOOKUP(C54,PMGR!$EY$2:$FK$250,44,0)+HLOOKUP(C54,PMGR!$EY$2:$FK$250,45,0)+HLOOKUP(C54,PMGR!$EY$2:$FK$250,54,0)+HLOOKUP(C54,PMGR!$EY$2:$FK$250,59,0)</f>
        <v>4866343.8961043246</v>
      </c>
      <c r="F54" s="106">
        <f>+HLOOKUP(C54,PMGR!$EY$2:$FK$250,37,0)+HLOOKUP(C54,PMGR!$EY$2:$FK$250,55,0)</f>
        <v>3085509.6794871795</v>
      </c>
      <c r="G54" s="106">
        <f>+HLOOKUP($C54,PMGR!$EY$2:$FK$250,76,0)</f>
        <v>0</v>
      </c>
      <c r="H54" s="106">
        <f>+HLOOKUP($C54,PMGR!$EY$2:$FK$250,77,0)</f>
        <v>0</v>
      </c>
      <c r="I54" s="106">
        <f>+HLOOKUP($C54,PMGR!$EY$2:$FK$250,78,0)</f>
        <v>0</v>
      </c>
      <c r="J54" s="106">
        <f>+HLOOKUP($C54,PMGR!$EY$2:$FK$250,79,0)</f>
        <v>0</v>
      </c>
      <c r="K54" s="106">
        <f>+HLOOKUP($C54,PMGR!$EY$2:$FK$250,80,0)</f>
        <v>0</v>
      </c>
      <c r="L54" s="106">
        <f>+HLOOKUP($C54,PMGR!$EY$2:$FK$250,81,0)</f>
        <v>0</v>
      </c>
      <c r="M54" s="106">
        <f>+HLOOKUP($C54,PMGR!$EY$2:$FK$250,82,0)</f>
        <v>0</v>
      </c>
      <c r="N54" s="106">
        <f>+HLOOKUP($C54,PMGR!$EY$2:$FK$250,83,0)</f>
        <v>0</v>
      </c>
      <c r="O54" s="106">
        <f>+HLOOKUP($C54,PMGR!$EY$2:$FK$250,84,0)</f>
        <v>0</v>
      </c>
      <c r="P54" s="106">
        <f>+HLOOKUP($C54,PMGR!$EY$2:$FK$250,85,0)</f>
        <v>0</v>
      </c>
      <c r="Q54" s="106">
        <f>+HLOOKUP($C54,PMGR!$EY$2:$FK$250,87,0)</f>
        <v>106715.05</v>
      </c>
      <c r="R54" s="106">
        <f>+HLOOKUP($C54,PMGR!$EY$2:$FK$250,90,0)</f>
        <v>0</v>
      </c>
      <c r="S54" s="106">
        <f>+HLOOKUP($C54,PMGR!$EY$2:$FK$250,91,0)</f>
        <v>500</v>
      </c>
      <c r="T54" s="106">
        <f>+HLOOKUP($C54,PMGR!$EY$2:$FK$250,92,0)</f>
        <v>0</v>
      </c>
      <c r="U54" s="106">
        <f>+HLOOKUP($C54,PMGR!$EY$2:$FK$250,93,0)</f>
        <v>0</v>
      </c>
      <c r="V54" s="106">
        <f>+HLOOKUP($C54,PMGR!$EY$2:$FK$250,94,0)</f>
        <v>0</v>
      </c>
      <c r="W54" s="106">
        <f>+HLOOKUP($C54,PMGR!$EY$2:$FK$250,95,0)</f>
        <v>0</v>
      </c>
      <c r="X54" s="106">
        <f>+HLOOKUP($C54,PMGR!$EY$2:$FK$250,96,0)</f>
        <v>0</v>
      </c>
      <c r="Y54" s="106">
        <f>+HLOOKUP($C54,PMGR!$EY$2:$FK$250,97,0)</f>
        <v>0</v>
      </c>
      <c r="Z54" s="106">
        <f>+HLOOKUP($C54,PMGR!$EY$2:$FK$250,98,0)</f>
        <v>0</v>
      </c>
      <c r="AA54" s="106">
        <f>+HLOOKUP($C54,PMGR!$EY$2:$FK$250,99,0)</f>
        <v>0</v>
      </c>
      <c r="AB54" s="106">
        <f>+HLOOKUP($C54,PMGR!$EY$2:$FK$250,100,0)</f>
        <v>0</v>
      </c>
      <c r="AC54" s="106">
        <f>+HLOOKUP($C54,PMGR!$EY$2:$FK$250,101,0)</f>
        <v>0</v>
      </c>
      <c r="AD54" s="106">
        <f>+HLOOKUP($C54,PMGR!$EY$2:$FK$250,104,0)</f>
        <v>0</v>
      </c>
      <c r="AE54" s="106">
        <f>+HLOOKUP($C54,PMGR!$EY$2:$FK$250,105,0)</f>
        <v>0</v>
      </c>
      <c r="AF54" s="106">
        <f>+HLOOKUP($C54,PMGR!$EY$2:$FK$250,106,0)</f>
        <v>0</v>
      </c>
      <c r="AG54" s="106">
        <f>+HLOOKUP($C54,PMGR!$EY$2:$FK$250,107,0)</f>
        <v>0</v>
      </c>
      <c r="AH54" s="106">
        <f>+HLOOKUP($C54,PMGR!$EY$2:$FK$250,108,0)</f>
        <v>0</v>
      </c>
      <c r="AI54" s="106">
        <f>+HLOOKUP($C54,PMGR!$EY$2:$FK$250,109,0)</f>
        <v>0</v>
      </c>
      <c r="AJ54" s="106">
        <f>+HLOOKUP($C54,PMGR!$EY$2:$FK$250,110,0)</f>
        <v>0</v>
      </c>
      <c r="AK54" s="106">
        <f>+HLOOKUP($C54,PMGR!$EY$2:$FK$250,111,0)</f>
        <v>1084.2</v>
      </c>
      <c r="AL54" s="106">
        <f>+HLOOKUP($C54,PMGR!$EY$2:$FK$250,112,0)</f>
        <v>0</v>
      </c>
      <c r="AM54" s="106">
        <f>+HLOOKUP($C54,PMGR!$EY$2:$FK$250,116,0)</f>
        <v>159000</v>
      </c>
      <c r="AN54" s="106">
        <f>+HLOOKUP($C54,PMGR!$EY$2:$FK$250,117,0)</f>
        <v>22750</v>
      </c>
      <c r="AO54" s="106">
        <f>+HLOOKUP($C54,PMGR!$EY$2:$FK$250,118,0)</f>
        <v>0</v>
      </c>
      <c r="AP54" s="106">
        <f>+HLOOKUP($C54,PMGR!$EY$2:$FK$250,119,0)</f>
        <v>62300</v>
      </c>
      <c r="AQ54" s="106">
        <f>+HLOOKUP($C54,PMGR!$EY$2:$FK$250,120,0)</f>
        <v>13400</v>
      </c>
      <c r="AR54" s="106">
        <f>+HLOOKUP($C54,PMGR!$EY$2:$FK$250,121,0)</f>
        <v>2500</v>
      </c>
      <c r="AS54" s="106">
        <f>+HLOOKUP($C54,PMGR!$EY$2:$FK$250,122,0)</f>
        <v>54050</v>
      </c>
      <c r="AT54" s="106">
        <f>+HLOOKUP($C54,PMGR!$EY$2:$FK$250,123,0)</f>
        <v>18806.666666666668</v>
      </c>
      <c r="AU54" s="106">
        <f>+HLOOKUP($C54,PMGR!$EY$2:$FK$250,124,0)</f>
        <v>807.5</v>
      </c>
      <c r="AV54" s="106">
        <f>+HLOOKUP($C54,PMGR!$EY$2:$FK$250,125,0)</f>
        <v>0</v>
      </c>
      <c r="AW54" s="106">
        <f>+HLOOKUP($C54,PMGR!$EY$2:$FK$250,126,0)</f>
        <v>7644.2307692307695</v>
      </c>
      <c r="AX54" s="106">
        <f>+HLOOKUP($C54,PMGR!$EY$2:$FK$250,127,0)</f>
        <v>10916.666666666664</v>
      </c>
      <c r="AY54" s="106">
        <f>+HLOOKUP($C54,PMGR!$EY$2:$FK$250,129,0)</f>
        <v>0</v>
      </c>
      <c r="AZ54" s="106">
        <f>+HLOOKUP($C54,PMGR!$EY$2:$FK$250,130,0)</f>
        <v>0</v>
      </c>
      <c r="BA54" s="106">
        <f>+HLOOKUP($C54,PMGR!$EY$2:$FK$250,131,0)</f>
        <v>25000</v>
      </c>
      <c r="BB54" s="106">
        <f>+HLOOKUP($C54,PMGR!$EY$2:$FK$250,133,0)</f>
        <v>0</v>
      </c>
      <c r="BC54" s="106">
        <f>+HLOOKUP($C54,PMGR!$EY$2:$FK$250,134,0)</f>
        <v>0</v>
      </c>
      <c r="BD54" s="106">
        <f>+HLOOKUP($C54,PMGR!$EY$2:$FK$250,135,0)</f>
        <v>0</v>
      </c>
      <c r="BE54" s="106">
        <f>+HLOOKUP($C54,PMGR!$EY$2:$FK$250,136,0)</f>
        <v>0</v>
      </c>
      <c r="BF54" s="106">
        <f>+HLOOKUP($C54,PMGR!$EY$2:$FK$250,138,0)</f>
        <v>5000</v>
      </c>
      <c r="BG54" s="106">
        <f>+HLOOKUP($C54,PMGR!$EY$2:$FK$250,139,0)</f>
        <v>10000</v>
      </c>
      <c r="BH54" s="106">
        <f>+HLOOKUP($C54,PMGR!$EY$2:$FK$250,140,0)</f>
        <v>20100</v>
      </c>
      <c r="BI54" s="106">
        <f>+HLOOKUP($C54,PMGR!$EY$2:$FK$250,141,0)</f>
        <v>0</v>
      </c>
      <c r="BJ54" s="106">
        <f>+HLOOKUP($C54,PMGR!$EY$2:$FK$250,142,0)</f>
        <v>0</v>
      </c>
      <c r="BK54" s="106">
        <f>+HLOOKUP($C54,PMGR!$EY$2:$FK$250,143,0)</f>
        <v>14000</v>
      </c>
      <c r="BL54" s="106">
        <f>+HLOOKUP($C54,PMGR!$EY$2:$FK$250,144,0)</f>
        <v>1135.4166666666667</v>
      </c>
      <c r="BM54" s="106">
        <f>+HLOOKUP($C54,PMGR!$EY$2:$FK$250,146,0)</f>
        <v>0</v>
      </c>
      <c r="BN54" s="106">
        <f>+HLOOKUP($C54,PMGR!$EY$2:$FK$250,147,0)</f>
        <v>0</v>
      </c>
      <c r="BO54" s="106">
        <f>+HLOOKUP($C54,PMGR!$EY$2:$FK$250,148,0)</f>
        <v>0</v>
      </c>
      <c r="BP54" s="106">
        <f>+HLOOKUP($C54,PMGR!$EY$2:$FK$250,150,0)</f>
        <v>39000</v>
      </c>
      <c r="BQ54" s="106">
        <f>+HLOOKUP($C54,PMGR!$EY$2:$FK$250,151,0)</f>
        <v>2976.6</v>
      </c>
      <c r="BR54" s="106">
        <f>+HLOOKUP($C54,PMGR!$EY$2:$FK$250,152,0)</f>
        <v>19200</v>
      </c>
      <c r="BS54" s="106">
        <f>+HLOOKUP($C54,PMGR!$EY$2:$FK$250,153,0)</f>
        <v>4500</v>
      </c>
      <c r="BT54" s="106">
        <f>+HLOOKUP($C54,PMGR!$EY$2:$FK$250,157,0)</f>
        <v>5000</v>
      </c>
      <c r="BU54" s="106">
        <f>+HLOOKUP($C54,PMGR!$EY$2:$FK$250,158,0)</f>
        <v>500</v>
      </c>
      <c r="BV54" s="106">
        <f>+HLOOKUP($C54,PMGR!$EY$2:$FK$250,159,0)</f>
        <v>1500</v>
      </c>
      <c r="BW54" s="106">
        <f>+HLOOKUP($C54,PMGR!$EY$2:$FK$250,160,0)</f>
        <v>0</v>
      </c>
      <c r="BX54" s="106">
        <f>+HLOOKUP($C54,PMGR!$EY$2:$FK$250,161,0)</f>
        <v>2500</v>
      </c>
      <c r="BY54" s="106">
        <f>+HLOOKUP($C54,PMGR!$EY$2:$FK$250,164,0)</f>
        <v>0</v>
      </c>
      <c r="BZ54" s="106">
        <f>+HLOOKUP($C54,PMGR!$EY$2:$FK$250,165,0)</f>
        <v>0</v>
      </c>
      <c r="CA54" s="106">
        <f>+HLOOKUP($C54,PMGR!$EY$2:$FK$250,166,0)</f>
        <v>0</v>
      </c>
      <c r="CB54" s="106">
        <f>+HLOOKUP($C54,PMGR!$EY$2:$FK$250,167,0)</f>
        <v>0</v>
      </c>
      <c r="CC54" s="106">
        <f>+HLOOKUP($C54,PMGR!$EY$2:$FK$250,168,0)</f>
        <v>0</v>
      </c>
      <c r="CD54" s="106">
        <f>+HLOOKUP($C54,PMGR!$EY$2:$FK$250,169,0)</f>
        <v>0</v>
      </c>
      <c r="CE54" s="106">
        <f>+HLOOKUP($C54,PMGR!$EY$2:$FK$250,170,0)</f>
        <v>500</v>
      </c>
      <c r="CF54" s="106">
        <f>+HLOOKUP($C54,PMGR!$EY$2:$FK$250,172,0)</f>
        <v>0</v>
      </c>
      <c r="CG54" s="106">
        <f>+HLOOKUP($C54,PMGR!$EY$2:$FK$250,173,0)</f>
        <v>7200</v>
      </c>
      <c r="CH54" s="106">
        <f>+HLOOKUP($C54,PMGR!$EY$2:$FK$250,174,0)</f>
        <v>50000</v>
      </c>
      <c r="CI54" s="106">
        <f>+HLOOKUP($C54,PMGR!$EY$2:$FK$250,175,0)</f>
        <v>5000</v>
      </c>
      <c r="CJ54" s="106">
        <f>+HLOOKUP($C54,PMGR!$EY$2:$FK$250,176,0)</f>
        <v>8000</v>
      </c>
      <c r="CK54" s="106">
        <f>+HLOOKUP($C54,PMGR!$EY$2:$FK$250,178,0)</f>
        <v>48000</v>
      </c>
      <c r="CL54" s="106">
        <f>+HLOOKUP($C54,PMGR!$EY$2:$FK$250,179,0)</f>
        <v>180000</v>
      </c>
      <c r="CM54" s="106">
        <f>+HLOOKUP($C54,PMGR!$EY$2:$FK$250,180,0)</f>
        <v>2880</v>
      </c>
      <c r="CN54" s="106">
        <f>+HLOOKUP($C54,PMGR!$EY$2:$FK$250,182,0)</f>
        <v>4200</v>
      </c>
      <c r="CO54" s="106">
        <f>+HLOOKUP($C54,PMGR!$EY$2:$FK$250,183,0)</f>
        <v>12000</v>
      </c>
      <c r="CP54" s="106">
        <f>+HLOOKUP($C54,PMGR!$EY$2:$FK$250,184,0)</f>
        <v>972</v>
      </c>
      <c r="CQ54" s="106">
        <f>+HLOOKUP($C54,PMGR!$EY$2:$FK$250,185,0)</f>
        <v>0</v>
      </c>
      <c r="CR54" s="106">
        <f>+HLOOKUP($C54,PMGR!$EY$2:$FK$250,187,0)</f>
        <v>1874.9999999999995</v>
      </c>
      <c r="CS54" s="106">
        <f>+HLOOKUP($C54,PMGR!$EY$2:$FK$250,188,0)</f>
        <v>0</v>
      </c>
      <c r="CT54" s="106">
        <f>+HLOOKUP($C54,PMGR!$EY$2:$FK$250,189,0)</f>
        <v>0</v>
      </c>
      <c r="CU54" s="106">
        <f>+HLOOKUP($C54,PMGR!$EY$2:$FK$250,190,0)</f>
        <v>0</v>
      </c>
      <c r="CV54" s="106">
        <f>+HLOOKUP($C54,PMGR!$EY$2:$FK$250,191,0)</f>
        <v>0</v>
      </c>
      <c r="CW54" s="106">
        <f>+HLOOKUP($C54,PMGR!$EY$2:$FK$250,193,0)</f>
        <v>0</v>
      </c>
      <c r="CX54" s="106">
        <f>+HLOOKUP($C54,PMGR!$EY$2:$FK$250,194,0)</f>
        <v>200</v>
      </c>
      <c r="CY54" s="106">
        <f>+HLOOKUP($C54,PMGR!$EY$2:$FK$250,195,0)</f>
        <v>15000</v>
      </c>
      <c r="CZ54" s="106">
        <f>+HLOOKUP($C54,PMGR!$EY$2:$FK$250,196,0)</f>
        <v>0</v>
      </c>
      <c r="DA54" s="106">
        <f>+HLOOKUP($C54,PMGR!$EY$2:$FK$250,197,0)</f>
        <v>10000</v>
      </c>
      <c r="DB54" s="106">
        <f>+HLOOKUP($C54,PMGR!$EY$2:$FK$250,198,0)</f>
        <v>6000</v>
      </c>
      <c r="DC54" s="106">
        <f>+HLOOKUP($C54,PMGR!$EY$2:$FK$250,199,0)</f>
        <v>2000</v>
      </c>
      <c r="DD54" s="106">
        <f>+HLOOKUP($C54,PMGR!$EY$2:$FK$250,200,0)</f>
        <v>1000</v>
      </c>
      <c r="DE54" s="106">
        <f>+HLOOKUP($C54,PMGR!$EY$2:$FK$250,201,0)</f>
        <v>250</v>
      </c>
      <c r="DF54" s="106">
        <f>+HLOOKUP($C54,PMGR!$EY$2:$FK$250,202,0)</f>
        <v>0</v>
      </c>
      <c r="DG54" s="106">
        <f>+HLOOKUP($C54,PMGR!$EY$2:$FK$250,203,0)</f>
        <v>0</v>
      </c>
      <c r="DH54" s="106">
        <f>+HLOOKUP($C54,PMGR!$EY$2:$FK$250,205,0)</f>
        <v>0</v>
      </c>
      <c r="DI54" s="106">
        <f>+HLOOKUP($C54,PMGR!$EY$2:$FK$250,206,0)</f>
        <v>15000</v>
      </c>
      <c r="DJ54" s="106">
        <f>+HLOOKUP($C54,PMGR!$EY$2:$FK$250,207,0)</f>
        <v>0</v>
      </c>
      <c r="DK54" s="106">
        <f>+HLOOKUP($C54,PMGR!$EY$2:$FK$250,209,0)</f>
        <v>0</v>
      </c>
      <c r="DL54" s="106">
        <f>+HLOOKUP($C54,PMGR!$EY$2:$FK$250,210,0)</f>
        <v>270000</v>
      </c>
      <c r="DM54" s="106">
        <f>+HLOOKUP($C54,PMGR!$EY$2:$FK$250,211,0)</f>
        <v>0</v>
      </c>
      <c r="DN54" s="106">
        <f>+HLOOKUP($C54,PMGR!$EY$2:$FK$250,212,0)</f>
        <v>0</v>
      </c>
      <c r="DO54" s="106">
        <f>+HLOOKUP($C54,PMGR!$EY$2:$FK$250,214,0)</f>
        <v>0</v>
      </c>
      <c r="DP54" s="106">
        <f>+HLOOKUP($C54,PMGR!$EY$2:$FK$250,215,0)</f>
        <v>0</v>
      </c>
      <c r="DQ54" s="106">
        <f>+HLOOKUP($C54,PMGR!$EY$2:$FK$250,219,0)</f>
        <v>0</v>
      </c>
      <c r="DR54" s="106">
        <f>+HLOOKUP($C54,PMGR!$EY$2:$FK$250,220,0)</f>
        <v>0</v>
      </c>
      <c r="DS54" s="106">
        <f>+HLOOKUP($C54,PMGR!$EY$2:$FK$250,221,0)</f>
        <v>0</v>
      </c>
      <c r="DT54" s="106">
        <f>+HLOOKUP($C54,PMGR!$EY$2:$FK$250,223,0)</f>
        <v>5000</v>
      </c>
      <c r="DU54" s="106">
        <f>+HLOOKUP($C54,PMGR!$EY$2:$FK$250,224,0)</f>
        <v>3000</v>
      </c>
      <c r="DV54" s="106">
        <f>+HLOOKUP($C54,PMGR!$EY$2:$FK$250,225,0)</f>
        <v>5000</v>
      </c>
      <c r="DW54" s="106">
        <f>+HLOOKUP($C54,PMGR!$EY$2:$FK$250,227,0)</f>
        <v>0</v>
      </c>
      <c r="DX54" s="106">
        <f>+HLOOKUP($C54,PMGR!$EY$2:$FK$250,228,0)</f>
        <v>0</v>
      </c>
      <c r="DY54" s="106">
        <f>+HLOOKUP($C54,PMGR!$EY$2:$FK$250,236,0)</f>
        <v>0</v>
      </c>
      <c r="DZ54" s="106">
        <f>+HLOOKUP($C54,PMGR!$EY$2:$FK$250,237,0)</f>
        <v>0</v>
      </c>
      <c r="EA54" s="106">
        <f>+HLOOKUP($C54,PMGR!$EY$2:$FK$250,238,0)</f>
        <v>0</v>
      </c>
      <c r="EB54" s="106">
        <f>+HLOOKUP($C54,PMGR!$EY$2:$FK$250,240,0)</f>
        <v>702927.25199999998</v>
      </c>
    </row>
    <row r="55" spans="1:132">
      <c r="A55" t="s">
        <v>272</v>
      </c>
      <c r="B55" t="s">
        <v>217</v>
      </c>
      <c r="C55" s="117">
        <v>45839</v>
      </c>
      <c r="D55" s="106">
        <f t="shared" si="0"/>
        <v>5060153.7152494751</v>
      </c>
      <c r="E55" s="106">
        <f>+HLOOKUP(C55,PMGR!$EY$2:$FK$250,28,0)+HLOOKUP(C55,PMGR!$EY$2:$FK$250,43,0)+HLOOKUP(C55,PMGR!$EY$2:$FK$250,44,0)+HLOOKUP(C55,PMGR!$EY$2:$FK$250,45,0)+HLOOKUP(C55,PMGR!$EY$2:$FK$250,54,0)+HLOOKUP(C55,PMGR!$EY$2:$FK$250,59,0)</f>
        <v>5060153.7152494751</v>
      </c>
      <c r="F55" s="106">
        <f>+HLOOKUP(C55,PMGR!$EY$2:$FK$250,37,0)+HLOOKUP(C55,PMGR!$EY$2:$FK$250,55,0)</f>
        <v>3199829.6794871795</v>
      </c>
      <c r="G55" s="106">
        <f>+HLOOKUP($C55,PMGR!$EY$2:$FK$250,76,0)</f>
        <v>0</v>
      </c>
      <c r="H55" s="106">
        <f>+HLOOKUP($C55,PMGR!$EY$2:$FK$250,77,0)</f>
        <v>0</v>
      </c>
      <c r="I55" s="106">
        <f>+HLOOKUP($C55,PMGR!$EY$2:$FK$250,78,0)</f>
        <v>0</v>
      </c>
      <c r="J55" s="106">
        <f>+HLOOKUP($C55,PMGR!$EY$2:$FK$250,79,0)</f>
        <v>0</v>
      </c>
      <c r="K55" s="106">
        <f>+HLOOKUP($C55,PMGR!$EY$2:$FK$250,80,0)</f>
        <v>0</v>
      </c>
      <c r="L55" s="106">
        <f>+HLOOKUP($C55,PMGR!$EY$2:$FK$250,81,0)</f>
        <v>0</v>
      </c>
      <c r="M55" s="106">
        <f>+HLOOKUP($C55,PMGR!$EY$2:$FK$250,82,0)</f>
        <v>0</v>
      </c>
      <c r="N55" s="106">
        <f>+HLOOKUP($C55,PMGR!$EY$2:$FK$250,83,0)</f>
        <v>0</v>
      </c>
      <c r="O55" s="106">
        <f>+HLOOKUP($C55,PMGR!$EY$2:$FK$250,84,0)</f>
        <v>0</v>
      </c>
      <c r="P55" s="106">
        <f>+HLOOKUP($C55,PMGR!$EY$2:$FK$250,85,0)</f>
        <v>0</v>
      </c>
      <c r="Q55" s="106">
        <f>+HLOOKUP($C55,PMGR!$EY$2:$FK$250,87,0)</f>
        <v>110819.47500000001</v>
      </c>
      <c r="R55" s="106">
        <f>+HLOOKUP($C55,PMGR!$EY$2:$FK$250,90,0)</f>
        <v>0</v>
      </c>
      <c r="S55" s="106">
        <f>+HLOOKUP($C55,PMGR!$EY$2:$FK$250,91,0)</f>
        <v>500</v>
      </c>
      <c r="T55" s="106">
        <f>+HLOOKUP($C55,PMGR!$EY$2:$FK$250,92,0)</f>
        <v>0</v>
      </c>
      <c r="U55" s="106">
        <f>+HLOOKUP($C55,PMGR!$EY$2:$FK$250,93,0)</f>
        <v>0</v>
      </c>
      <c r="V55" s="106">
        <f>+HLOOKUP($C55,PMGR!$EY$2:$FK$250,94,0)</f>
        <v>0</v>
      </c>
      <c r="W55" s="106">
        <f>+HLOOKUP($C55,PMGR!$EY$2:$FK$250,95,0)</f>
        <v>0</v>
      </c>
      <c r="X55" s="106">
        <f>+HLOOKUP($C55,PMGR!$EY$2:$FK$250,96,0)</f>
        <v>0</v>
      </c>
      <c r="Y55" s="106">
        <f>+HLOOKUP($C55,PMGR!$EY$2:$FK$250,97,0)</f>
        <v>0</v>
      </c>
      <c r="Z55" s="106">
        <f>+HLOOKUP($C55,PMGR!$EY$2:$FK$250,98,0)</f>
        <v>0</v>
      </c>
      <c r="AA55" s="106">
        <f>+HLOOKUP($C55,PMGR!$EY$2:$FK$250,99,0)</f>
        <v>0</v>
      </c>
      <c r="AB55" s="106">
        <f>+HLOOKUP($C55,PMGR!$EY$2:$FK$250,100,0)</f>
        <v>0</v>
      </c>
      <c r="AC55" s="106">
        <f>+HLOOKUP($C55,PMGR!$EY$2:$FK$250,101,0)</f>
        <v>0</v>
      </c>
      <c r="AD55" s="106">
        <f>+HLOOKUP($C55,PMGR!$EY$2:$FK$250,104,0)</f>
        <v>0</v>
      </c>
      <c r="AE55" s="106">
        <f>+HLOOKUP($C55,PMGR!$EY$2:$FK$250,105,0)</f>
        <v>0</v>
      </c>
      <c r="AF55" s="106">
        <f>+HLOOKUP($C55,PMGR!$EY$2:$FK$250,106,0)</f>
        <v>0</v>
      </c>
      <c r="AG55" s="106">
        <f>+HLOOKUP($C55,PMGR!$EY$2:$FK$250,107,0)</f>
        <v>0</v>
      </c>
      <c r="AH55" s="106">
        <f>+HLOOKUP($C55,PMGR!$EY$2:$FK$250,108,0)</f>
        <v>0</v>
      </c>
      <c r="AI55" s="106">
        <f>+HLOOKUP($C55,PMGR!$EY$2:$FK$250,109,0)</f>
        <v>0</v>
      </c>
      <c r="AJ55" s="106">
        <f>+HLOOKUP($C55,PMGR!$EY$2:$FK$250,110,0)</f>
        <v>0</v>
      </c>
      <c r="AK55" s="106">
        <f>+HLOOKUP($C55,PMGR!$EY$2:$FK$250,111,0)</f>
        <v>1125.9000000000001</v>
      </c>
      <c r="AL55" s="106">
        <f>+HLOOKUP($C55,PMGR!$EY$2:$FK$250,112,0)</f>
        <v>0</v>
      </c>
      <c r="AM55" s="106">
        <f>+HLOOKUP($C55,PMGR!$EY$2:$FK$250,116,0)</f>
        <v>159000</v>
      </c>
      <c r="AN55" s="106">
        <f>+HLOOKUP($C55,PMGR!$EY$2:$FK$250,117,0)</f>
        <v>22750</v>
      </c>
      <c r="AO55" s="106">
        <f>+HLOOKUP($C55,PMGR!$EY$2:$FK$250,118,0)</f>
        <v>0</v>
      </c>
      <c r="AP55" s="106">
        <f>+HLOOKUP($C55,PMGR!$EY$2:$FK$250,119,0)</f>
        <v>62300</v>
      </c>
      <c r="AQ55" s="106">
        <f>+HLOOKUP($C55,PMGR!$EY$2:$FK$250,120,0)</f>
        <v>13400</v>
      </c>
      <c r="AR55" s="106">
        <f>+HLOOKUP($C55,PMGR!$EY$2:$FK$250,121,0)</f>
        <v>2500</v>
      </c>
      <c r="AS55" s="106">
        <f>+HLOOKUP($C55,PMGR!$EY$2:$FK$250,122,0)</f>
        <v>54050</v>
      </c>
      <c r="AT55" s="106">
        <f>+HLOOKUP($C55,PMGR!$EY$2:$FK$250,123,0)</f>
        <v>18806.666666666668</v>
      </c>
      <c r="AU55" s="106">
        <f>+HLOOKUP($C55,PMGR!$EY$2:$FK$250,124,0)</f>
        <v>807.5</v>
      </c>
      <c r="AV55" s="106">
        <f>+HLOOKUP($C55,PMGR!$EY$2:$FK$250,125,0)</f>
        <v>0</v>
      </c>
      <c r="AW55" s="106">
        <f>+HLOOKUP($C55,PMGR!$EY$2:$FK$250,126,0)</f>
        <v>7644.2307692307695</v>
      </c>
      <c r="AX55" s="106">
        <f>+HLOOKUP($C55,PMGR!$EY$2:$FK$250,127,0)</f>
        <v>10916.666666666664</v>
      </c>
      <c r="AY55" s="106">
        <f>+HLOOKUP($C55,PMGR!$EY$2:$FK$250,129,0)</f>
        <v>0</v>
      </c>
      <c r="AZ55" s="106">
        <f>+HLOOKUP($C55,PMGR!$EY$2:$FK$250,130,0)</f>
        <v>0</v>
      </c>
      <c r="BA55" s="106">
        <f>+HLOOKUP($C55,PMGR!$EY$2:$FK$250,131,0)</f>
        <v>25000</v>
      </c>
      <c r="BB55" s="106">
        <f>+HLOOKUP($C55,PMGR!$EY$2:$FK$250,133,0)</f>
        <v>0</v>
      </c>
      <c r="BC55" s="106">
        <f>+HLOOKUP($C55,PMGR!$EY$2:$FK$250,134,0)</f>
        <v>0</v>
      </c>
      <c r="BD55" s="106">
        <f>+HLOOKUP($C55,PMGR!$EY$2:$FK$250,135,0)</f>
        <v>0</v>
      </c>
      <c r="BE55" s="106">
        <f>+HLOOKUP($C55,PMGR!$EY$2:$FK$250,136,0)</f>
        <v>0</v>
      </c>
      <c r="BF55" s="106">
        <f>+HLOOKUP($C55,PMGR!$EY$2:$FK$250,138,0)</f>
        <v>5000</v>
      </c>
      <c r="BG55" s="106">
        <f>+HLOOKUP($C55,PMGR!$EY$2:$FK$250,139,0)</f>
        <v>10000</v>
      </c>
      <c r="BH55" s="106">
        <f>+HLOOKUP($C55,PMGR!$EY$2:$FK$250,140,0)</f>
        <v>20100</v>
      </c>
      <c r="BI55" s="106">
        <f>+HLOOKUP($C55,PMGR!$EY$2:$FK$250,141,0)</f>
        <v>0</v>
      </c>
      <c r="BJ55" s="106">
        <f>+HLOOKUP($C55,PMGR!$EY$2:$FK$250,142,0)</f>
        <v>0</v>
      </c>
      <c r="BK55" s="106">
        <f>+HLOOKUP($C55,PMGR!$EY$2:$FK$250,143,0)</f>
        <v>14000</v>
      </c>
      <c r="BL55" s="106">
        <f>+HLOOKUP($C55,PMGR!$EY$2:$FK$250,144,0)</f>
        <v>1135.4166666666667</v>
      </c>
      <c r="BM55" s="106">
        <f>+HLOOKUP($C55,PMGR!$EY$2:$FK$250,146,0)</f>
        <v>0</v>
      </c>
      <c r="BN55" s="106">
        <f>+HLOOKUP($C55,PMGR!$EY$2:$FK$250,147,0)</f>
        <v>0</v>
      </c>
      <c r="BO55" s="106">
        <f>+HLOOKUP($C55,PMGR!$EY$2:$FK$250,148,0)</f>
        <v>0</v>
      </c>
      <c r="BP55" s="106">
        <f>+HLOOKUP($C55,PMGR!$EY$2:$FK$250,150,0)</f>
        <v>39000</v>
      </c>
      <c r="BQ55" s="106">
        <f>+HLOOKUP($C55,PMGR!$EY$2:$FK$250,151,0)</f>
        <v>2976.6</v>
      </c>
      <c r="BR55" s="106">
        <f>+HLOOKUP($C55,PMGR!$EY$2:$FK$250,152,0)</f>
        <v>19200</v>
      </c>
      <c r="BS55" s="106">
        <f>+HLOOKUP($C55,PMGR!$EY$2:$FK$250,153,0)</f>
        <v>4500</v>
      </c>
      <c r="BT55" s="106">
        <f>+HLOOKUP($C55,PMGR!$EY$2:$FK$250,157,0)</f>
        <v>5000</v>
      </c>
      <c r="BU55" s="106">
        <f>+HLOOKUP($C55,PMGR!$EY$2:$FK$250,158,0)</f>
        <v>500</v>
      </c>
      <c r="BV55" s="106">
        <f>+HLOOKUP($C55,PMGR!$EY$2:$FK$250,159,0)</f>
        <v>1500</v>
      </c>
      <c r="BW55" s="106">
        <f>+HLOOKUP($C55,PMGR!$EY$2:$FK$250,160,0)</f>
        <v>0</v>
      </c>
      <c r="BX55" s="106">
        <f>+HLOOKUP($C55,PMGR!$EY$2:$FK$250,161,0)</f>
        <v>2500</v>
      </c>
      <c r="BY55" s="106">
        <f>+HLOOKUP($C55,PMGR!$EY$2:$FK$250,164,0)</f>
        <v>0</v>
      </c>
      <c r="BZ55" s="106">
        <f>+HLOOKUP($C55,PMGR!$EY$2:$FK$250,165,0)</f>
        <v>0</v>
      </c>
      <c r="CA55" s="106">
        <f>+HLOOKUP($C55,PMGR!$EY$2:$FK$250,166,0)</f>
        <v>0</v>
      </c>
      <c r="CB55" s="106">
        <f>+HLOOKUP($C55,PMGR!$EY$2:$FK$250,167,0)</f>
        <v>0</v>
      </c>
      <c r="CC55" s="106">
        <f>+HLOOKUP($C55,PMGR!$EY$2:$FK$250,168,0)</f>
        <v>0</v>
      </c>
      <c r="CD55" s="106">
        <f>+HLOOKUP($C55,PMGR!$EY$2:$FK$250,169,0)</f>
        <v>0</v>
      </c>
      <c r="CE55" s="106">
        <f>+HLOOKUP($C55,PMGR!$EY$2:$FK$250,170,0)</f>
        <v>500</v>
      </c>
      <c r="CF55" s="106">
        <f>+HLOOKUP($C55,PMGR!$EY$2:$FK$250,172,0)</f>
        <v>0</v>
      </c>
      <c r="CG55" s="106">
        <f>+HLOOKUP($C55,PMGR!$EY$2:$FK$250,173,0)</f>
        <v>7200</v>
      </c>
      <c r="CH55" s="106">
        <f>+HLOOKUP($C55,PMGR!$EY$2:$FK$250,174,0)</f>
        <v>50000</v>
      </c>
      <c r="CI55" s="106">
        <f>+HLOOKUP($C55,PMGR!$EY$2:$FK$250,175,0)</f>
        <v>5000</v>
      </c>
      <c r="CJ55" s="106">
        <f>+HLOOKUP($C55,PMGR!$EY$2:$FK$250,176,0)</f>
        <v>8000</v>
      </c>
      <c r="CK55" s="106">
        <f>+HLOOKUP($C55,PMGR!$EY$2:$FK$250,178,0)</f>
        <v>48000</v>
      </c>
      <c r="CL55" s="106">
        <f>+HLOOKUP($C55,PMGR!$EY$2:$FK$250,179,0)</f>
        <v>180000</v>
      </c>
      <c r="CM55" s="106">
        <f>+HLOOKUP($C55,PMGR!$EY$2:$FK$250,180,0)</f>
        <v>2880</v>
      </c>
      <c r="CN55" s="106">
        <f>+HLOOKUP($C55,PMGR!$EY$2:$FK$250,182,0)</f>
        <v>4200</v>
      </c>
      <c r="CO55" s="106">
        <f>+HLOOKUP($C55,PMGR!$EY$2:$FK$250,183,0)</f>
        <v>12000</v>
      </c>
      <c r="CP55" s="106">
        <f>+HLOOKUP($C55,PMGR!$EY$2:$FK$250,184,0)</f>
        <v>972</v>
      </c>
      <c r="CQ55" s="106">
        <f>+HLOOKUP($C55,PMGR!$EY$2:$FK$250,185,0)</f>
        <v>0</v>
      </c>
      <c r="CR55" s="106">
        <f>+HLOOKUP($C55,PMGR!$EY$2:$FK$250,187,0)</f>
        <v>1874.9999999999995</v>
      </c>
      <c r="CS55" s="106">
        <f>+HLOOKUP($C55,PMGR!$EY$2:$FK$250,188,0)</f>
        <v>0</v>
      </c>
      <c r="CT55" s="106">
        <f>+HLOOKUP($C55,PMGR!$EY$2:$FK$250,189,0)</f>
        <v>0</v>
      </c>
      <c r="CU55" s="106">
        <f>+HLOOKUP($C55,PMGR!$EY$2:$FK$250,190,0)</f>
        <v>0</v>
      </c>
      <c r="CV55" s="106">
        <f>+HLOOKUP($C55,PMGR!$EY$2:$FK$250,191,0)</f>
        <v>0</v>
      </c>
      <c r="CW55" s="106">
        <f>+HLOOKUP($C55,PMGR!$EY$2:$FK$250,193,0)</f>
        <v>0</v>
      </c>
      <c r="CX55" s="106">
        <f>+HLOOKUP($C55,PMGR!$EY$2:$FK$250,194,0)</f>
        <v>200</v>
      </c>
      <c r="CY55" s="106">
        <f>+HLOOKUP($C55,PMGR!$EY$2:$FK$250,195,0)</f>
        <v>15000</v>
      </c>
      <c r="CZ55" s="106">
        <f>+HLOOKUP($C55,PMGR!$EY$2:$FK$250,196,0)</f>
        <v>0</v>
      </c>
      <c r="DA55" s="106">
        <f>+HLOOKUP($C55,PMGR!$EY$2:$FK$250,197,0)</f>
        <v>10000</v>
      </c>
      <c r="DB55" s="106">
        <f>+HLOOKUP($C55,PMGR!$EY$2:$FK$250,198,0)</f>
        <v>6000</v>
      </c>
      <c r="DC55" s="106">
        <f>+HLOOKUP($C55,PMGR!$EY$2:$FK$250,199,0)</f>
        <v>2000</v>
      </c>
      <c r="DD55" s="106">
        <f>+HLOOKUP($C55,PMGR!$EY$2:$FK$250,200,0)</f>
        <v>1000</v>
      </c>
      <c r="DE55" s="106">
        <f>+HLOOKUP($C55,PMGR!$EY$2:$FK$250,201,0)</f>
        <v>250</v>
      </c>
      <c r="DF55" s="106">
        <f>+HLOOKUP($C55,PMGR!$EY$2:$FK$250,202,0)</f>
        <v>0</v>
      </c>
      <c r="DG55" s="106">
        <f>+HLOOKUP($C55,PMGR!$EY$2:$FK$250,203,0)</f>
        <v>0</v>
      </c>
      <c r="DH55" s="106">
        <f>+HLOOKUP($C55,PMGR!$EY$2:$FK$250,205,0)</f>
        <v>0</v>
      </c>
      <c r="DI55" s="106">
        <f>+HLOOKUP($C55,PMGR!$EY$2:$FK$250,206,0)</f>
        <v>15000</v>
      </c>
      <c r="DJ55" s="106">
        <f>+HLOOKUP($C55,PMGR!$EY$2:$FK$250,207,0)</f>
        <v>0</v>
      </c>
      <c r="DK55" s="106">
        <f>+HLOOKUP($C55,PMGR!$EY$2:$FK$250,209,0)</f>
        <v>0</v>
      </c>
      <c r="DL55" s="106">
        <f>+HLOOKUP($C55,PMGR!$EY$2:$FK$250,210,0)</f>
        <v>270000</v>
      </c>
      <c r="DM55" s="106">
        <f>+HLOOKUP($C55,PMGR!$EY$2:$FK$250,211,0)</f>
        <v>0</v>
      </c>
      <c r="DN55" s="106">
        <f>+HLOOKUP($C55,PMGR!$EY$2:$FK$250,212,0)</f>
        <v>0</v>
      </c>
      <c r="DO55" s="106">
        <f>+HLOOKUP($C55,PMGR!$EY$2:$FK$250,214,0)</f>
        <v>0</v>
      </c>
      <c r="DP55" s="106">
        <f>+HLOOKUP($C55,PMGR!$EY$2:$FK$250,215,0)</f>
        <v>0</v>
      </c>
      <c r="DQ55" s="106">
        <f>+HLOOKUP($C55,PMGR!$EY$2:$FK$250,219,0)</f>
        <v>0</v>
      </c>
      <c r="DR55" s="106">
        <f>+HLOOKUP($C55,PMGR!$EY$2:$FK$250,220,0)</f>
        <v>0</v>
      </c>
      <c r="DS55" s="106">
        <f>+HLOOKUP($C55,PMGR!$EY$2:$FK$250,221,0)</f>
        <v>0</v>
      </c>
      <c r="DT55" s="106">
        <f>+HLOOKUP($C55,PMGR!$EY$2:$FK$250,223,0)</f>
        <v>5000</v>
      </c>
      <c r="DU55" s="106">
        <f>+HLOOKUP($C55,PMGR!$EY$2:$FK$250,224,0)</f>
        <v>3000</v>
      </c>
      <c r="DV55" s="106">
        <f>+HLOOKUP($C55,PMGR!$EY$2:$FK$250,225,0)</f>
        <v>5000</v>
      </c>
      <c r="DW55" s="106">
        <f>+HLOOKUP($C55,PMGR!$EY$2:$FK$250,227,0)</f>
        <v>0</v>
      </c>
      <c r="DX55" s="106">
        <f>+HLOOKUP($C55,PMGR!$EY$2:$FK$250,228,0)</f>
        <v>0</v>
      </c>
      <c r="DY55" s="106">
        <f>+HLOOKUP($C55,PMGR!$EY$2:$FK$250,236,0)</f>
        <v>0</v>
      </c>
      <c r="DZ55" s="106">
        <f>+HLOOKUP($C55,PMGR!$EY$2:$FK$250,237,0)</f>
        <v>0</v>
      </c>
      <c r="EA55" s="106">
        <f>+HLOOKUP($C55,PMGR!$EY$2:$FK$250,238,0)</f>
        <v>0</v>
      </c>
      <c r="EB55" s="106">
        <f>+HLOOKUP($C55,PMGR!$EY$2:$FK$250,240,0)</f>
        <v>702927.25199999998</v>
      </c>
    </row>
    <row r="56" spans="1:132">
      <c r="A56" t="s">
        <v>272</v>
      </c>
      <c r="B56" t="s">
        <v>217</v>
      </c>
      <c r="C56" s="117">
        <v>45809</v>
      </c>
      <c r="D56" s="106">
        <f t="shared" si="0"/>
        <v>5172454.2679674504</v>
      </c>
      <c r="E56" s="106">
        <f>+HLOOKUP(C56,PMGR!$EY$2:$FK$250,28,0)+HLOOKUP(C56,PMGR!$EY$2:$FK$250,43,0)+HLOOKUP(C56,PMGR!$EY$2:$FK$250,44,0)+HLOOKUP(C56,PMGR!$EY$2:$FK$250,45,0)+HLOOKUP(C56,PMGR!$EY$2:$FK$250,54,0)+HLOOKUP(C56,PMGR!$EY$2:$FK$250,59,0)</f>
        <v>5172454.2679674504</v>
      </c>
      <c r="F56" s="106">
        <f>+HLOOKUP(C56,PMGR!$EY$2:$FK$250,37,0)+HLOOKUP(C56,PMGR!$EY$2:$FK$250,55,0)</f>
        <v>2873749.6794871795</v>
      </c>
      <c r="G56" s="106">
        <f>+HLOOKUP($C56,PMGR!$EY$2:$FK$250,76,0)</f>
        <v>0</v>
      </c>
      <c r="H56" s="106">
        <f>+HLOOKUP($C56,PMGR!$EY$2:$FK$250,77,0)</f>
        <v>0</v>
      </c>
      <c r="I56" s="106">
        <f>+HLOOKUP($C56,PMGR!$EY$2:$FK$250,78,0)</f>
        <v>0</v>
      </c>
      <c r="J56" s="106">
        <f>+HLOOKUP($C56,PMGR!$EY$2:$FK$250,79,0)</f>
        <v>0</v>
      </c>
      <c r="K56" s="106">
        <f>+HLOOKUP($C56,PMGR!$EY$2:$FK$250,80,0)</f>
        <v>0</v>
      </c>
      <c r="L56" s="106">
        <f>+HLOOKUP($C56,PMGR!$EY$2:$FK$250,81,0)</f>
        <v>0</v>
      </c>
      <c r="M56" s="106">
        <f>+HLOOKUP($C56,PMGR!$EY$2:$FK$250,82,0)</f>
        <v>0</v>
      </c>
      <c r="N56" s="106">
        <f>+HLOOKUP($C56,PMGR!$EY$2:$FK$250,83,0)</f>
        <v>0</v>
      </c>
      <c r="O56" s="106">
        <f>+HLOOKUP($C56,PMGR!$EY$2:$FK$250,84,0)</f>
        <v>0</v>
      </c>
      <c r="P56" s="106">
        <f>+HLOOKUP($C56,PMGR!$EY$2:$FK$250,85,0)</f>
        <v>0</v>
      </c>
      <c r="Q56" s="106">
        <f>+HLOOKUP($C56,PMGR!$EY$2:$FK$250,87,0)</f>
        <v>98506.200000000012</v>
      </c>
      <c r="R56" s="106">
        <f>+HLOOKUP($C56,PMGR!$EY$2:$FK$250,90,0)</f>
        <v>0</v>
      </c>
      <c r="S56" s="106">
        <f>+HLOOKUP($C56,PMGR!$EY$2:$FK$250,91,0)</f>
        <v>500</v>
      </c>
      <c r="T56" s="106">
        <f>+HLOOKUP($C56,PMGR!$EY$2:$FK$250,92,0)</f>
        <v>0</v>
      </c>
      <c r="U56" s="106">
        <f>+HLOOKUP($C56,PMGR!$EY$2:$FK$250,93,0)</f>
        <v>0</v>
      </c>
      <c r="V56" s="106">
        <f>+HLOOKUP($C56,PMGR!$EY$2:$FK$250,94,0)</f>
        <v>0</v>
      </c>
      <c r="W56" s="106">
        <f>+HLOOKUP($C56,PMGR!$EY$2:$FK$250,95,0)</f>
        <v>0</v>
      </c>
      <c r="X56" s="106">
        <f>+HLOOKUP($C56,PMGR!$EY$2:$FK$250,96,0)</f>
        <v>0</v>
      </c>
      <c r="Y56" s="106">
        <f>+HLOOKUP($C56,PMGR!$EY$2:$FK$250,97,0)</f>
        <v>0</v>
      </c>
      <c r="Z56" s="106">
        <f>+HLOOKUP($C56,PMGR!$EY$2:$FK$250,98,0)</f>
        <v>0</v>
      </c>
      <c r="AA56" s="106">
        <f>+HLOOKUP($C56,PMGR!$EY$2:$FK$250,99,0)</f>
        <v>0</v>
      </c>
      <c r="AB56" s="106">
        <f>+HLOOKUP($C56,PMGR!$EY$2:$FK$250,100,0)</f>
        <v>0</v>
      </c>
      <c r="AC56" s="106">
        <f>+HLOOKUP($C56,PMGR!$EY$2:$FK$250,101,0)</f>
        <v>0</v>
      </c>
      <c r="AD56" s="106">
        <f>+HLOOKUP($C56,PMGR!$EY$2:$FK$250,104,0)</f>
        <v>0</v>
      </c>
      <c r="AE56" s="106">
        <f>+HLOOKUP($C56,PMGR!$EY$2:$FK$250,105,0)</f>
        <v>0</v>
      </c>
      <c r="AF56" s="106">
        <f>+HLOOKUP($C56,PMGR!$EY$2:$FK$250,106,0)</f>
        <v>0</v>
      </c>
      <c r="AG56" s="106">
        <f>+HLOOKUP($C56,PMGR!$EY$2:$FK$250,107,0)</f>
        <v>0</v>
      </c>
      <c r="AH56" s="106">
        <f>+HLOOKUP($C56,PMGR!$EY$2:$FK$250,108,0)</f>
        <v>0</v>
      </c>
      <c r="AI56" s="106">
        <f>+HLOOKUP($C56,PMGR!$EY$2:$FK$250,109,0)</f>
        <v>0</v>
      </c>
      <c r="AJ56" s="106">
        <f>+HLOOKUP($C56,PMGR!$EY$2:$FK$250,110,0)</f>
        <v>0</v>
      </c>
      <c r="AK56" s="106">
        <f>+HLOOKUP($C56,PMGR!$EY$2:$FK$250,111,0)</f>
        <v>1000.8000000000001</v>
      </c>
      <c r="AL56" s="106">
        <f>+HLOOKUP($C56,PMGR!$EY$2:$FK$250,112,0)</f>
        <v>0</v>
      </c>
      <c r="AM56" s="106">
        <f>+HLOOKUP($C56,PMGR!$EY$2:$FK$250,116,0)</f>
        <v>159000</v>
      </c>
      <c r="AN56" s="106">
        <f>+HLOOKUP($C56,PMGR!$EY$2:$FK$250,117,0)</f>
        <v>22750</v>
      </c>
      <c r="AO56" s="106">
        <f>+HLOOKUP($C56,PMGR!$EY$2:$FK$250,118,0)</f>
        <v>0</v>
      </c>
      <c r="AP56" s="106">
        <f>+HLOOKUP($C56,PMGR!$EY$2:$FK$250,119,0)</f>
        <v>62300</v>
      </c>
      <c r="AQ56" s="106">
        <f>+HLOOKUP($C56,PMGR!$EY$2:$FK$250,120,0)</f>
        <v>13400</v>
      </c>
      <c r="AR56" s="106">
        <f>+HLOOKUP($C56,PMGR!$EY$2:$FK$250,121,0)</f>
        <v>2500</v>
      </c>
      <c r="AS56" s="106">
        <f>+HLOOKUP($C56,PMGR!$EY$2:$FK$250,122,0)</f>
        <v>54050</v>
      </c>
      <c r="AT56" s="106">
        <f>+HLOOKUP($C56,PMGR!$EY$2:$FK$250,123,0)</f>
        <v>18806.666666666668</v>
      </c>
      <c r="AU56" s="106">
        <f>+HLOOKUP($C56,PMGR!$EY$2:$FK$250,124,0)</f>
        <v>807.5</v>
      </c>
      <c r="AV56" s="106">
        <f>+HLOOKUP($C56,PMGR!$EY$2:$FK$250,125,0)</f>
        <v>0</v>
      </c>
      <c r="AW56" s="106">
        <f>+HLOOKUP($C56,PMGR!$EY$2:$FK$250,126,0)</f>
        <v>7644.2307692307695</v>
      </c>
      <c r="AX56" s="106">
        <f>+HLOOKUP($C56,PMGR!$EY$2:$FK$250,127,0)</f>
        <v>10916.666666666664</v>
      </c>
      <c r="AY56" s="106">
        <f>+HLOOKUP($C56,PMGR!$EY$2:$FK$250,129,0)</f>
        <v>0</v>
      </c>
      <c r="AZ56" s="106">
        <f>+HLOOKUP($C56,PMGR!$EY$2:$FK$250,130,0)</f>
        <v>0</v>
      </c>
      <c r="BA56" s="106">
        <f>+HLOOKUP($C56,PMGR!$EY$2:$FK$250,131,0)</f>
        <v>25000</v>
      </c>
      <c r="BB56" s="106">
        <f>+HLOOKUP($C56,PMGR!$EY$2:$FK$250,133,0)</f>
        <v>0</v>
      </c>
      <c r="BC56" s="106">
        <f>+HLOOKUP($C56,PMGR!$EY$2:$FK$250,134,0)</f>
        <v>0</v>
      </c>
      <c r="BD56" s="106">
        <f>+HLOOKUP($C56,PMGR!$EY$2:$FK$250,135,0)</f>
        <v>0</v>
      </c>
      <c r="BE56" s="106">
        <f>+HLOOKUP($C56,PMGR!$EY$2:$FK$250,136,0)</f>
        <v>0</v>
      </c>
      <c r="BF56" s="106">
        <f>+HLOOKUP($C56,PMGR!$EY$2:$FK$250,138,0)</f>
        <v>5000</v>
      </c>
      <c r="BG56" s="106">
        <f>+HLOOKUP($C56,PMGR!$EY$2:$FK$250,139,0)</f>
        <v>10000</v>
      </c>
      <c r="BH56" s="106">
        <f>+HLOOKUP($C56,PMGR!$EY$2:$FK$250,140,0)</f>
        <v>20100</v>
      </c>
      <c r="BI56" s="106">
        <f>+HLOOKUP($C56,PMGR!$EY$2:$FK$250,141,0)</f>
        <v>0</v>
      </c>
      <c r="BJ56" s="106">
        <f>+HLOOKUP($C56,PMGR!$EY$2:$FK$250,142,0)</f>
        <v>0</v>
      </c>
      <c r="BK56" s="106">
        <f>+HLOOKUP($C56,PMGR!$EY$2:$FK$250,143,0)</f>
        <v>14000</v>
      </c>
      <c r="BL56" s="106">
        <f>+HLOOKUP($C56,PMGR!$EY$2:$FK$250,144,0)</f>
        <v>1927.0833333333335</v>
      </c>
      <c r="BM56" s="106">
        <f>+HLOOKUP($C56,PMGR!$EY$2:$FK$250,146,0)</f>
        <v>0</v>
      </c>
      <c r="BN56" s="106">
        <f>+HLOOKUP($C56,PMGR!$EY$2:$FK$250,147,0)</f>
        <v>0</v>
      </c>
      <c r="BO56" s="106">
        <f>+HLOOKUP($C56,PMGR!$EY$2:$FK$250,148,0)</f>
        <v>0</v>
      </c>
      <c r="BP56" s="106">
        <f>+HLOOKUP($C56,PMGR!$EY$2:$FK$250,150,0)</f>
        <v>39000</v>
      </c>
      <c r="BQ56" s="106">
        <f>+HLOOKUP($C56,PMGR!$EY$2:$FK$250,151,0)</f>
        <v>2976.6</v>
      </c>
      <c r="BR56" s="106">
        <f>+HLOOKUP($C56,PMGR!$EY$2:$FK$250,152,0)</f>
        <v>19200</v>
      </c>
      <c r="BS56" s="106">
        <f>+HLOOKUP($C56,PMGR!$EY$2:$FK$250,153,0)</f>
        <v>4500</v>
      </c>
      <c r="BT56" s="106">
        <f>+HLOOKUP($C56,PMGR!$EY$2:$FK$250,157,0)</f>
        <v>5000</v>
      </c>
      <c r="BU56" s="106">
        <f>+HLOOKUP($C56,PMGR!$EY$2:$FK$250,158,0)</f>
        <v>500</v>
      </c>
      <c r="BV56" s="106">
        <f>+HLOOKUP($C56,PMGR!$EY$2:$FK$250,159,0)</f>
        <v>1500</v>
      </c>
      <c r="BW56" s="106">
        <f>+HLOOKUP($C56,PMGR!$EY$2:$FK$250,160,0)</f>
        <v>0</v>
      </c>
      <c r="BX56" s="106">
        <f>+HLOOKUP($C56,PMGR!$EY$2:$FK$250,161,0)</f>
        <v>2500</v>
      </c>
      <c r="BY56" s="106">
        <f>+HLOOKUP($C56,PMGR!$EY$2:$FK$250,164,0)</f>
        <v>0</v>
      </c>
      <c r="BZ56" s="106">
        <f>+HLOOKUP($C56,PMGR!$EY$2:$FK$250,165,0)</f>
        <v>0</v>
      </c>
      <c r="CA56" s="106">
        <f>+HLOOKUP($C56,PMGR!$EY$2:$FK$250,166,0)</f>
        <v>0</v>
      </c>
      <c r="CB56" s="106">
        <f>+HLOOKUP($C56,PMGR!$EY$2:$FK$250,167,0)</f>
        <v>0</v>
      </c>
      <c r="CC56" s="106">
        <f>+HLOOKUP($C56,PMGR!$EY$2:$FK$250,168,0)</f>
        <v>0</v>
      </c>
      <c r="CD56" s="106">
        <f>+HLOOKUP($C56,PMGR!$EY$2:$FK$250,169,0)</f>
        <v>0</v>
      </c>
      <c r="CE56" s="106">
        <f>+HLOOKUP($C56,PMGR!$EY$2:$FK$250,170,0)</f>
        <v>500</v>
      </c>
      <c r="CF56" s="106">
        <f>+HLOOKUP($C56,PMGR!$EY$2:$FK$250,172,0)</f>
        <v>0</v>
      </c>
      <c r="CG56" s="106">
        <f>+HLOOKUP($C56,PMGR!$EY$2:$FK$250,173,0)</f>
        <v>7200</v>
      </c>
      <c r="CH56" s="106">
        <f>+HLOOKUP($C56,PMGR!$EY$2:$FK$250,174,0)</f>
        <v>50000</v>
      </c>
      <c r="CI56" s="106">
        <f>+HLOOKUP($C56,PMGR!$EY$2:$FK$250,175,0)</f>
        <v>5000</v>
      </c>
      <c r="CJ56" s="106">
        <f>+HLOOKUP($C56,PMGR!$EY$2:$FK$250,176,0)</f>
        <v>8000</v>
      </c>
      <c r="CK56" s="106">
        <f>+HLOOKUP($C56,PMGR!$EY$2:$FK$250,178,0)</f>
        <v>48000</v>
      </c>
      <c r="CL56" s="106">
        <f>+HLOOKUP($C56,PMGR!$EY$2:$FK$250,179,0)</f>
        <v>180000</v>
      </c>
      <c r="CM56" s="106">
        <f>+HLOOKUP($C56,PMGR!$EY$2:$FK$250,180,0)</f>
        <v>2880</v>
      </c>
      <c r="CN56" s="106">
        <f>+HLOOKUP($C56,PMGR!$EY$2:$FK$250,182,0)</f>
        <v>4200</v>
      </c>
      <c r="CO56" s="106">
        <f>+HLOOKUP($C56,PMGR!$EY$2:$FK$250,183,0)</f>
        <v>12000</v>
      </c>
      <c r="CP56" s="106">
        <f>+HLOOKUP($C56,PMGR!$EY$2:$FK$250,184,0)</f>
        <v>972</v>
      </c>
      <c r="CQ56" s="106">
        <f>+HLOOKUP($C56,PMGR!$EY$2:$FK$250,185,0)</f>
        <v>0</v>
      </c>
      <c r="CR56" s="106">
        <f>+HLOOKUP($C56,PMGR!$EY$2:$FK$250,187,0)</f>
        <v>1874.9999999999995</v>
      </c>
      <c r="CS56" s="106">
        <f>+HLOOKUP($C56,PMGR!$EY$2:$FK$250,188,0)</f>
        <v>0</v>
      </c>
      <c r="CT56" s="106">
        <f>+HLOOKUP($C56,PMGR!$EY$2:$FK$250,189,0)</f>
        <v>0</v>
      </c>
      <c r="CU56" s="106">
        <f>+HLOOKUP($C56,PMGR!$EY$2:$FK$250,190,0)</f>
        <v>0</v>
      </c>
      <c r="CV56" s="106">
        <f>+HLOOKUP($C56,PMGR!$EY$2:$FK$250,191,0)</f>
        <v>0</v>
      </c>
      <c r="CW56" s="106">
        <f>+HLOOKUP($C56,PMGR!$EY$2:$FK$250,193,0)</f>
        <v>0</v>
      </c>
      <c r="CX56" s="106">
        <f>+HLOOKUP($C56,PMGR!$EY$2:$FK$250,194,0)</f>
        <v>200</v>
      </c>
      <c r="CY56" s="106">
        <f>+HLOOKUP($C56,PMGR!$EY$2:$FK$250,195,0)</f>
        <v>15000</v>
      </c>
      <c r="CZ56" s="106">
        <f>+HLOOKUP($C56,PMGR!$EY$2:$FK$250,196,0)</f>
        <v>0</v>
      </c>
      <c r="DA56" s="106">
        <f>+HLOOKUP($C56,PMGR!$EY$2:$FK$250,197,0)</f>
        <v>10000</v>
      </c>
      <c r="DB56" s="106">
        <f>+HLOOKUP($C56,PMGR!$EY$2:$FK$250,198,0)</f>
        <v>6000</v>
      </c>
      <c r="DC56" s="106">
        <f>+HLOOKUP($C56,PMGR!$EY$2:$FK$250,199,0)</f>
        <v>2000</v>
      </c>
      <c r="DD56" s="106">
        <f>+HLOOKUP($C56,PMGR!$EY$2:$FK$250,200,0)</f>
        <v>1000</v>
      </c>
      <c r="DE56" s="106">
        <f>+HLOOKUP($C56,PMGR!$EY$2:$FK$250,201,0)</f>
        <v>250</v>
      </c>
      <c r="DF56" s="106">
        <f>+HLOOKUP($C56,PMGR!$EY$2:$FK$250,202,0)</f>
        <v>0</v>
      </c>
      <c r="DG56" s="106">
        <f>+HLOOKUP($C56,PMGR!$EY$2:$FK$250,203,0)</f>
        <v>0</v>
      </c>
      <c r="DH56" s="106">
        <f>+HLOOKUP($C56,PMGR!$EY$2:$FK$250,205,0)</f>
        <v>0</v>
      </c>
      <c r="DI56" s="106">
        <f>+HLOOKUP($C56,PMGR!$EY$2:$FK$250,206,0)</f>
        <v>15000</v>
      </c>
      <c r="DJ56" s="106">
        <f>+HLOOKUP($C56,PMGR!$EY$2:$FK$250,207,0)</f>
        <v>0</v>
      </c>
      <c r="DK56" s="106">
        <f>+HLOOKUP($C56,PMGR!$EY$2:$FK$250,209,0)</f>
        <v>0</v>
      </c>
      <c r="DL56" s="106">
        <f>+HLOOKUP($C56,PMGR!$EY$2:$FK$250,210,0)</f>
        <v>270000</v>
      </c>
      <c r="DM56" s="106">
        <f>+HLOOKUP($C56,PMGR!$EY$2:$FK$250,211,0)</f>
        <v>0</v>
      </c>
      <c r="DN56" s="106">
        <f>+HLOOKUP($C56,PMGR!$EY$2:$FK$250,212,0)</f>
        <v>0</v>
      </c>
      <c r="DO56" s="106">
        <f>+HLOOKUP($C56,PMGR!$EY$2:$FK$250,214,0)</f>
        <v>0</v>
      </c>
      <c r="DP56" s="106">
        <f>+HLOOKUP($C56,PMGR!$EY$2:$FK$250,215,0)</f>
        <v>0</v>
      </c>
      <c r="DQ56" s="106">
        <f>+HLOOKUP($C56,PMGR!$EY$2:$FK$250,219,0)</f>
        <v>0</v>
      </c>
      <c r="DR56" s="106">
        <f>+HLOOKUP($C56,PMGR!$EY$2:$FK$250,220,0)</f>
        <v>0</v>
      </c>
      <c r="DS56" s="106">
        <f>+HLOOKUP($C56,PMGR!$EY$2:$FK$250,221,0)</f>
        <v>0</v>
      </c>
      <c r="DT56" s="106">
        <f>+HLOOKUP($C56,PMGR!$EY$2:$FK$250,223,0)</f>
        <v>5000</v>
      </c>
      <c r="DU56" s="106">
        <f>+HLOOKUP($C56,PMGR!$EY$2:$FK$250,224,0)</f>
        <v>3000</v>
      </c>
      <c r="DV56" s="106">
        <f>+HLOOKUP($C56,PMGR!$EY$2:$FK$250,225,0)</f>
        <v>5000</v>
      </c>
      <c r="DW56" s="106">
        <f>+HLOOKUP($C56,PMGR!$EY$2:$FK$250,227,0)</f>
        <v>0</v>
      </c>
      <c r="DX56" s="106">
        <f>+HLOOKUP($C56,PMGR!$EY$2:$FK$250,228,0)</f>
        <v>0</v>
      </c>
      <c r="DY56" s="106">
        <f>+HLOOKUP($C56,PMGR!$EY$2:$FK$250,236,0)</f>
        <v>0</v>
      </c>
      <c r="DZ56" s="106">
        <f>+HLOOKUP($C56,PMGR!$EY$2:$FK$250,237,0)</f>
        <v>0</v>
      </c>
      <c r="EA56" s="106">
        <f>+HLOOKUP($C56,PMGR!$EY$2:$FK$250,238,0)</f>
        <v>0</v>
      </c>
      <c r="EB56" s="106">
        <f>+HLOOKUP($C56,PMGR!$EY$2:$FK$250,240,0)</f>
        <v>702927.25199999998</v>
      </c>
    </row>
    <row r="57" spans="1:132">
      <c r="A57" t="s">
        <v>272</v>
      </c>
      <c r="B57" t="s">
        <v>217</v>
      </c>
      <c r="C57" s="117">
        <v>45778</v>
      </c>
      <c r="D57" s="106">
        <f t="shared" si="0"/>
        <v>4496095.9040962998</v>
      </c>
      <c r="E57" s="106">
        <f>+HLOOKUP(C57,PMGR!$EY$2:$FK$250,28,0)+HLOOKUP(C57,PMGR!$EY$2:$FK$250,43,0)+HLOOKUP(C57,PMGR!$EY$2:$FK$250,44,0)+HLOOKUP(C57,PMGR!$EY$2:$FK$250,45,0)+HLOOKUP(C57,PMGR!$EY$2:$FK$250,54,0)+HLOOKUP(C57,PMGR!$EY$2:$FK$250,59,0)</f>
        <v>4496095.9040962998</v>
      </c>
      <c r="F57" s="106">
        <f>+HLOOKUP(C57,PMGR!$EY$2:$FK$250,37,0)+HLOOKUP(C57,PMGR!$EY$2:$FK$250,55,0)</f>
        <v>2867029.6794871795</v>
      </c>
      <c r="G57" s="106">
        <f>+HLOOKUP($C57,PMGR!$EY$2:$FK$250,76,0)</f>
        <v>0</v>
      </c>
      <c r="H57" s="106">
        <f>+HLOOKUP($C57,PMGR!$EY$2:$FK$250,77,0)</f>
        <v>0</v>
      </c>
      <c r="I57" s="106">
        <f>+HLOOKUP($C57,PMGR!$EY$2:$FK$250,78,0)</f>
        <v>0</v>
      </c>
      <c r="J57" s="106">
        <f>+HLOOKUP($C57,PMGR!$EY$2:$FK$250,79,0)</f>
        <v>0</v>
      </c>
      <c r="K57" s="106">
        <f>+HLOOKUP($C57,PMGR!$EY$2:$FK$250,80,0)</f>
        <v>0</v>
      </c>
      <c r="L57" s="106">
        <f>+HLOOKUP($C57,PMGR!$EY$2:$FK$250,81,0)</f>
        <v>0</v>
      </c>
      <c r="M57" s="106">
        <f>+HLOOKUP($C57,PMGR!$EY$2:$FK$250,82,0)</f>
        <v>0</v>
      </c>
      <c r="N57" s="106">
        <f>+HLOOKUP($C57,PMGR!$EY$2:$FK$250,83,0)</f>
        <v>0</v>
      </c>
      <c r="O57" s="106">
        <f>+HLOOKUP($C57,PMGR!$EY$2:$FK$250,84,0)</f>
        <v>0</v>
      </c>
      <c r="P57" s="106">
        <f>+HLOOKUP($C57,PMGR!$EY$2:$FK$250,85,0)</f>
        <v>0</v>
      </c>
      <c r="Q57" s="106">
        <f>+HLOOKUP($C57,PMGR!$EY$2:$FK$250,87,0)</f>
        <v>98506.200000000012</v>
      </c>
      <c r="R57" s="106">
        <f>+HLOOKUP($C57,PMGR!$EY$2:$FK$250,90,0)</f>
        <v>0</v>
      </c>
      <c r="S57" s="106">
        <f>+HLOOKUP($C57,PMGR!$EY$2:$FK$250,91,0)</f>
        <v>500</v>
      </c>
      <c r="T57" s="106">
        <f>+HLOOKUP($C57,PMGR!$EY$2:$FK$250,92,0)</f>
        <v>0</v>
      </c>
      <c r="U57" s="106">
        <f>+HLOOKUP($C57,PMGR!$EY$2:$FK$250,93,0)</f>
        <v>0</v>
      </c>
      <c r="V57" s="106">
        <f>+HLOOKUP($C57,PMGR!$EY$2:$FK$250,94,0)</f>
        <v>0</v>
      </c>
      <c r="W57" s="106">
        <f>+HLOOKUP($C57,PMGR!$EY$2:$FK$250,95,0)</f>
        <v>0</v>
      </c>
      <c r="X57" s="106">
        <f>+HLOOKUP($C57,PMGR!$EY$2:$FK$250,96,0)</f>
        <v>0</v>
      </c>
      <c r="Y57" s="106">
        <f>+HLOOKUP($C57,PMGR!$EY$2:$FK$250,97,0)</f>
        <v>0</v>
      </c>
      <c r="Z57" s="106">
        <f>+HLOOKUP($C57,PMGR!$EY$2:$FK$250,98,0)</f>
        <v>0</v>
      </c>
      <c r="AA57" s="106">
        <f>+HLOOKUP($C57,PMGR!$EY$2:$FK$250,99,0)</f>
        <v>0</v>
      </c>
      <c r="AB57" s="106">
        <f>+HLOOKUP($C57,PMGR!$EY$2:$FK$250,100,0)</f>
        <v>0</v>
      </c>
      <c r="AC57" s="106">
        <f>+HLOOKUP($C57,PMGR!$EY$2:$FK$250,101,0)</f>
        <v>0</v>
      </c>
      <c r="AD57" s="106">
        <f>+HLOOKUP($C57,PMGR!$EY$2:$FK$250,104,0)</f>
        <v>0</v>
      </c>
      <c r="AE57" s="106">
        <f>+HLOOKUP($C57,PMGR!$EY$2:$FK$250,105,0)</f>
        <v>0</v>
      </c>
      <c r="AF57" s="106">
        <f>+HLOOKUP($C57,PMGR!$EY$2:$FK$250,106,0)</f>
        <v>0</v>
      </c>
      <c r="AG57" s="106">
        <f>+HLOOKUP($C57,PMGR!$EY$2:$FK$250,107,0)</f>
        <v>0</v>
      </c>
      <c r="AH57" s="106">
        <f>+HLOOKUP($C57,PMGR!$EY$2:$FK$250,108,0)</f>
        <v>0</v>
      </c>
      <c r="AI57" s="106">
        <f>+HLOOKUP($C57,PMGR!$EY$2:$FK$250,109,0)</f>
        <v>0</v>
      </c>
      <c r="AJ57" s="106">
        <f>+HLOOKUP($C57,PMGR!$EY$2:$FK$250,110,0)</f>
        <v>0</v>
      </c>
      <c r="AK57" s="106">
        <f>+HLOOKUP($C57,PMGR!$EY$2:$FK$250,111,0)</f>
        <v>1000.8000000000001</v>
      </c>
      <c r="AL57" s="106">
        <f>+HLOOKUP($C57,PMGR!$EY$2:$FK$250,112,0)</f>
        <v>0</v>
      </c>
      <c r="AM57" s="106">
        <f>+HLOOKUP($C57,PMGR!$EY$2:$FK$250,116,0)</f>
        <v>159000</v>
      </c>
      <c r="AN57" s="106">
        <f>+HLOOKUP($C57,PMGR!$EY$2:$FK$250,117,0)</f>
        <v>22750</v>
      </c>
      <c r="AO57" s="106">
        <f>+HLOOKUP($C57,PMGR!$EY$2:$FK$250,118,0)</f>
        <v>0</v>
      </c>
      <c r="AP57" s="106">
        <f>+HLOOKUP($C57,PMGR!$EY$2:$FK$250,119,0)</f>
        <v>62300</v>
      </c>
      <c r="AQ57" s="106">
        <f>+HLOOKUP($C57,PMGR!$EY$2:$FK$250,120,0)</f>
        <v>13400</v>
      </c>
      <c r="AR57" s="106">
        <f>+HLOOKUP($C57,PMGR!$EY$2:$FK$250,121,0)</f>
        <v>2500</v>
      </c>
      <c r="AS57" s="106">
        <f>+HLOOKUP($C57,PMGR!$EY$2:$FK$250,122,0)</f>
        <v>54050</v>
      </c>
      <c r="AT57" s="106">
        <f>+HLOOKUP($C57,PMGR!$EY$2:$FK$250,123,0)</f>
        <v>18806.666666666668</v>
      </c>
      <c r="AU57" s="106">
        <f>+HLOOKUP($C57,PMGR!$EY$2:$FK$250,124,0)</f>
        <v>807.5</v>
      </c>
      <c r="AV57" s="106">
        <f>+HLOOKUP($C57,PMGR!$EY$2:$FK$250,125,0)</f>
        <v>0</v>
      </c>
      <c r="AW57" s="106">
        <f>+HLOOKUP($C57,PMGR!$EY$2:$FK$250,126,0)</f>
        <v>7644.2307692307695</v>
      </c>
      <c r="AX57" s="106">
        <f>+HLOOKUP($C57,PMGR!$EY$2:$FK$250,127,0)</f>
        <v>10916.666666666664</v>
      </c>
      <c r="AY57" s="106">
        <f>+HLOOKUP($C57,PMGR!$EY$2:$FK$250,129,0)</f>
        <v>0</v>
      </c>
      <c r="AZ57" s="106">
        <f>+HLOOKUP($C57,PMGR!$EY$2:$FK$250,130,0)</f>
        <v>0</v>
      </c>
      <c r="BA57" s="106">
        <f>+HLOOKUP($C57,PMGR!$EY$2:$FK$250,131,0)</f>
        <v>25000</v>
      </c>
      <c r="BB57" s="106">
        <f>+HLOOKUP($C57,PMGR!$EY$2:$FK$250,133,0)</f>
        <v>0</v>
      </c>
      <c r="BC57" s="106">
        <f>+HLOOKUP($C57,PMGR!$EY$2:$FK$250,134,0)</f>
        <v>0</v>
      </c>
      <c r="BD57" s="106">
        <f>+HLOOKUP($C57,PMGR!$EY$2:$FK$250,135,0)</f>
        <v>0</v>
      </c>
      <c r="BE57" s="106">
        <f>+HLOOKUP($C57,PMGR!$EY$2:$FK$250,136,0)</f>
        <v>0</v>
      </c>
      <c r="BF57" s="106">
        <f>+HLOOKUP($C57,PMGR!$EY$2:$FK$250,138,0)</f>
        <v>5000</v>
      </c>
      <c r="BG57" s="106">
        <f>+HLOOKUP($C57,PMGR!$EY$2:$FK$250,139,0)</f>
        <v>10000</v>
      </c>
      <c r="BH57" s="106">
        <f>+HLOOKUP($C57,PMGR!$EY$2:$FK$250,140,0)</f>
        <v>20100</v>
      </c>
      <c r="BI57" s="106">
        <f>+HLOOKUP($C57,PMGR!$EY$2:$FK$250,141,0)</f>
        <v>0</v>
      </c>
      <c r="BJ57" s="106">
        <f>+HLOOKUP($C57,PMGR!$EY$2:$FK$250,142,0)</f>
        <v>0</v>
      </c>
      <c r="BK57" s="106">
        <f>+HLOOKUP($C57,PMGR!$EY$2:$FK$250,143,0)</f>
        <v>14000</v>
      </c>
      <c r="BL57" s="106">
        <f>+HLOOKUP($C57,PMGR!$EY$2:$FK$250,144,0)</f>
        <v>1135.4166666666667</v>
      </c>
      <c r="BM57" s="106">
        <f>+HLOOKUP($C57,PMGR!$EY$2:$FK$250,146,0)</f>
        <v>0</v>
      </c>
      <c r="BN57" s="106">
        <f>+HLOOKUP($C57,PMGR!$EY$2:$FK$250,147,0)</f>
        <v>0</v>
      </c>
      <c r="BO57" s="106">
        <f>+HLOOKUP($C57,PMGR!$EY$2:$FK$250,148,0)</f>
        <v>0</v>
      </c>
      <c r="BP57" s="106">
        <f>+HLOOKUP($C57,PMGR!$EY$2:$FK$250,150,0)</f>
        <v>39000</v>
      </c>
      <c r="BQ57" s="106">
        <f>+HLOOKUP($C57,PMGR!$EY$2:$FK$250,151,0)</f>
        <v>2976.6</v>
      </c>
      <c r="BR57" s="106">
        <f>+HLOOKUP($C57,PMGR!$EY$2:$FK$250,152,0)</f>
        <v>19200</v>
      </c>
      <c r="BS57" s="106">
        <f>+HLOOKUP($C57,PMGR!$EY$2:$FK$250,153,0)</f>
        <v>4500</v>
      </c>
      <c r="BT57" s="106">
        <f>+HLOOKUP($C57,PMGR!$EY$2:$FK$250,157,0)</f>
        <v>5000</v>
      </c>
      <c r="BU57" s="106">
        <f>+HLOOKUP($C57,PMGR!$EY$2:$FK$250,158,0)</f>
        <v>500</v>
      </c>
      <c r="BV57" s="106">
        <f>+HLOOKUP($C57,PMGR!$EY$2:$FK$250,159,0)</f>
        <v>1500</v>
      </c>
      <c r="BW57" s="106">
        <f>+HLOOKUP($C57,PMGR!$EY$2:$FK$250,160,0)</f>
        <v>0</v>
      </c>
      <c r="BX57" s="106">
        <f>+HLOOKUP($C57,PMGR!$EY$2:$FK$250,161,0)</f>
        <v>2500</v>
      </c>
      <c r="BY57" s="106">
        <f>+HLOOKUP($C57,PMGR!$EY$2:$FK$250,164,0)</f>
        <v>0</v>
      </c>
      <c r="BZ57" s="106">
        <f>+HLOOKUP($C57,PMGR!$EY$2:$FK$250,165,0)</f>
        <v>0</v>
      </c>
      <c r="CA57" s="106">
        <f>+HLOOKUP($C57,PMGR!$EY$2:$FK$250,166,0)</f>
        <v>0</v>
      </c>
      <c r="CB57" s="106">
        <f>+HLOOKUP($C57,PMGR!$EY$2:$FK$250,167,0)</f>
        <v>0</v>
      </c>
      <c r="CC57" s="106">
        <f>+HLOOKUP($C57,PMGR!$EY$2:$FK$250,168,0)</f>
        <v>0</v>
      </c>
      <c r="CD57" s="106">
        <f>+HLOOKUP($C57,PMGR!$EY$2:$FK$250,169,0)</f>
        <v>0</v>
      </c>
      <c r="CE57" s="106">
        <f>+HLOOKUP($C57,PMGR!$EY$2:$FK$250,170,0)</f>
        <v>500</v>
      </c>
      <c r="CF57" s="106">
        <f>+HLOOKUP($C57,PMGR!$EY$2:$FK$250,172,0)</f>
        <v>0</v>
      </c>
      <c r="CG57" s="106">
        <f>+HLOOKUP($C57,PMGR!$EY$2:$FK$250,173,0)</f>
        <v>7200</v>
      </c>
      <c r="CH57" s="106">
        <f>+HLOOKUP($C57,PMGR!$EY$2:$FK$250,174,0)</f>
        <v>50000</v>
      </c>
      <c r="CI57" s="106">
        <f>+HLOOKUP($C57,PMGR!$EY$2:$FK$250,175,0)</f>
        <v>5000</v>
      </c>
      <c r="CJ57" s="106">
        <f>+HLOOKUP($C57,PMGR!$EY$2:$FK$250,176,0)</f>
        <v>8000</v>
      </c>
      <c r="CK57" s="106">
        <f>+HLOOKUP($C57,PMGR!$EY$2:$FK$250,178,0)</f>
        <v>48000</v>
      </c>
      <c r="CL57" s="106">
        <f>+HLOOKUP($C57,PMGR!$EY$2:$FK$250,179,0)</f>
        <v>180000</v>
      </c>
      <c r="CM57" s="106">
        <f>+HLOOKUP($C57,PMGR!$EY$2:$FK$250,180,0)</f>
        <v>2880</v>
      </c>
      <c r="CN57" s="106">
        <f>+HLOOKUP($C57,PMGR!$EY$2:$FK$250,182,0)</f>
        <v>4200</v>
      </c>
      <c r="CO57" s="106">
        <f>+HLOOKUP($C57,PMGR!$EY$2:$FK$250,183,0)</f>
        <v>12000</v>
      </c>
      <c r="CP57" s="106">
        <f>+HLOOKUP($C57,PMGR!$EY$2:$FK$250,184,0)</f>
        <v>972</v>
      </c>
      <c r="CQ57" s="106">
        <f>+HLOOKUP($C57,PMGR!$EY$2:$FK$250,185,0)</f>
        <v>0</v>
      </c>
      <c r="CR57" s="106">
        <f>+HLOOKUP($C57,PMGR!$EY$2:$FK$250,187,0)</f>
        <v>1874.9999999999995</v>
      </c>
      <c r="CS57" s="106">
        <f>+HLOOKUP($C57,PMGR!$EY$2:$FK$250,188,0)</f>
        <v>0</v>
      </c>
      <c r="CT57" s="106">
        <f>+HLOOKUP($C57,PMGR!$EY$2:$FK$250,189,0)</f>
        <v>0</v>
      </c>
      <c r="CU57" s="106">
        <f>+HLOOKUP($C57,PMGR!$EY$2:$FK$250,190,0)</f>
        <v>0</v>
      </c>
      <c r="CV57" s="106">
        <f>+HLOOKUP($C57,PMGR!$EY$2:$FK$250,191,0)</f>
        <v>0</v>
      </c>
      <c r="CW57" s="106">
        <f>+HLOOKUP($C57,PMGR!$EY$2:$FK$250,193,0)</f>
        <v>0</v>
      </c>
      <c r="CX57" s="106">
        <f>+HLOOKUP($C57,PMGR!$EY$2:$FK$250,194,0)</f>
        <v>200</v>
      </c>
      <c r="CY57" s="106">
        <f>+HLOOKUP($C57,PMGR!$EY$2:$FK$250,195,0)</f>
        <v>15000</v>
      </c>
      <c r="CZ57" s="106">
        <f>+HLOOKUP($C57,PMGR!$EY$2:$FK$250,196,0)</f>
        <v>0</v>
      </c>
      <c r="DA57" s="106">
        <f>+HLOOKUP($C57,PMGR!$EY$2:$FK$250,197,0)</f>
        <v>10000</v>
      </c>
      <c r="DB57" s="106">
        <f>+HLOOKUP($C57,PMGR!$EY$2:$FK$250,198,0)</f>
        <v>6000</v>
      </c>
      <c r="DC57" s="106">
        <f>+HLOOKUP($C57,PMGR!$EY$2:$FK$250,199,0)</f>
        <v>2000</v>
      </c>
      <c r="DD57" s="106">
        <f>+HLOOKUP($C57,PMGR!$EY$2:$FK$250,200,0)</f>
        <v>1000</v>
      </c>
      <c r="DE57" s="106">
        <f>+HLOOKUP($C57,PMGR!$EY$2:$FK$250,201,0)</f>
        <v>250</v>
      </c>
      <c r="DF57" s="106">
        <f>+HLOOKUP($C57,PMGR!$EY$2:$FK$250,202,0)</f>
        <v>0</v>
      </c>
      <c r="DG57" s="106">
        <f>+HLOOKUP($C57,PMGR!$EY$2:$FK$250,203,0)</f>
        <v>0</v>
      </c>
      <c r="DH57" s="106">
        <f>+HLOOKUP($C57,PMGR!$EY$2:$FK$250,205,0)</f>
        <v>0</v>
      </c>
      <c r="DI57" s="106">
        <f>+HLOOKUP($C57,PMGR!$EY$2:$FK$250,206,0)</f>
        <v>15000</v>
      </c>
      <c r="DJ57" s="106">
        <f>+HLOOKUP($C57,PMGR!$EY$2:$FK$250,207,0)</f>
        <v>0</v>
      </c>
      <c r="DK57" s="106">
        <f>+HLOOKUP($C57,PMGR!$EY$2:$FK$250,209,0)</f>
        <v>0</v>
      </c>
      <c r="DL57" s="106">
        <f>+HLOOKUP($C57,PMGR!$EY$2:$FK$250,210,0)</f>
        <v>270000</v>
      </c>
      <c r="DM57" s="106">
        <f>+HLOOKUP($C57,PMGR!$EY$2:$FK$250,211,0)</f>
        <v>0</v>
      </c>
      <c r="DN57" s="106">
        <f>+HLOOKUP($C57,PMGR!$EY$2:$FK$250,212,0)</f>
        <v>0</v>
      </c>
      <c r="DO57" s="106">
        <f>+HLOOKUP($C57,PMGR!$EY$2:$FK$250,214,0)</f>
        <v>0</v>
      </c>
      <c r="DP57" s="106">
        <f>+HLOOKUP($C57,PMGR!$EY$2:$FK$250,215,0)</f>
        <v>0</v>
      </c>
      <c r="DQ57" s="106">
        <f>+HLOOKUP($C57,PMGR!$EY$2:$FK$250,219,0)</f>
        <v>0</v>
      </c>
      <c r="DR57" s="106">
        <f>+HLOOKUP($C57,PMGR!$EY$2:$FK$250,220,0)</f>
        <v>0</v>
      </c>
      <c r="DS57" s="106">
        <f>+HLOOKUP($C57,PMGR!$EY$2:$FK$250,221,0)</f>
        <v>0</v>
      </c>
      <c r="DT57" s="106">
        <f>+HLOOKUP($C57,PMGR!$EY$2:$FK$250,223,0)</f>
        <v>5000</v>
      </c>
      <c r="DU57" s="106">
        <f>+HLOOKUP($C57,PMGR!$EY$2:$FK$250,224,0)</f>
        <v>3000</v>
      </c>
      <c r="DV57" s="106">
        <f>+HLOOKUP($C57,PMGR!$EY$2:$FK$250,225,0)</f>
        <v>5000</v>
      </c>
      <c r="DW57" s="106">
        <f>+HLOOKUP($C57,PMGR!$EY$2:$FK$250,227,0)</f>
        <v>0</v>
      </c>
      <c r="DX57" s="106">
        <f>+HLOOKUP($C57,PMGR!$EY$2:$FK$250,228,0)</f>
        <v>0</v>
      </c>
      <c r="DY57" s="106">
        <f>+HLOOKUP($C57,PMGR!$EY$2:$FK$250,236,0)</f>
        <v>0</v>
      </c>
      <c r="DZ57" s="106">
        <f>+HLOOKUP($C57,PMGR!$EY$2:$FK$250,237,0)</f>
        <v>0</v>
      </c>
      <c r="EA57" s="106">
        <f>+HLOOKUP($C57,PMGR!$EY$2:$FK$250,238,0)</f>
        <v>0</v>
      </c>
      <c r="EB57" s="106">
        <f>+HLOOKUP($C57,PMGR!$EY$2:$FK$250,240,0)</f>
        <v>702927.25199999998</v>
      </c>
    </row>
    <row r="58" spans="1:132">
      <c r="A58" t="s">
        <v>272</v>
      </c>
      <c r="B58" t="s">
        <v>217</v>
      </c>
      <c r="C58" s="117">
        <v>45748</v>
      </c>
      <c r="D58" s="106">
        <f t="shared" si="0"/>
        <v>3807687.0000802502</v>
      </c>
      <c r="E58" s="106">
        <f>+HLOOKUP(C58,PMGR!$EY$2:$FK$250,28,0)+HLOOKUP(C58,PMGR!$EY$2:$FK$250,43,0)+HLOOKUP(C58,PMGR!$EY$2:$FK$250,44,0)+HLOOKUP(C58,PMGR!$EY$2:$FK$250,45,0)+HLOOKUP(C58,PMGR!$EY$2:$FK$250,54,0)+HLOOKUP(C58,PMGR!$EY$2:$FK$250,59,0)</f>
        <v>3807687.0000802502</v>
      </c>
      <c r="F58" s="106">
        <f>+HLOOKUP(C58,PMGR!$EY$2:$FK$250,37,0)+HLOOKUP(C58,PMGR!$EY$2:$FK$250,55,0)</f>
        <v>2459056.8794871797</v>
      </c>
      <c r="G58" s="106">
        <f>+HLOOKUP($C58,PMGR!$EY$2:$FK$250,76,0)</f>
        <v>0</v>
      </c>
      <c r="H58" s="106">
        <f>+HLOOKUP($C58,PMGR!$EY$2:$FK$250,77,0)</f>
        <v>0</v>
      </c>
      <c r="I58" s="106">
        <f>+HLOOKUP($C58,PMGR!$EY$2:$FK$250,78,0)</f>
        <v>0</v>
      </c>
      <c r="J58" s="106">
        <f>+HLOOKUP($C58,PMGR!$EY$2:$FK$250,79,0)</f>
        <v>0</v>
      </c>
      <c r="K58" s="106">
        <f>+HLOOKUP($C58,PMGR!$EY$2:$FK$250,80,0)</f>
        <v>0</v>
      </c>
      <c r="L58" s="106">
        <f>+HLOOKUP($C58,PMGR!$EY$2:$FK$250,81,0)</f>
        <v>0</v>
      </c>
      <c r="M58" s="106">
        <f>+HLOOKUP($C58,PMGR!$EY$2:$FK$250,82,0)</f>
        <v>0</v>
      </c>
      <c r="N58" s="106">
        <f>+HLOOKUP($C58,PMGR!$EY$2:$FK$250,83,0)</f>
        <v>0</v>
      </c>
      <c r="O58" s="106">
        <f>+HLOOKUP($C58,PMGR!$EY$2:$FK$250,84,0)</f>
        <v>0</v>
      </c>
      <c r="P58" s="106">
        <f>+HLOOKUP($C58,PMGR!$EY$2:$FK$250,85,0)</f>
        <v>0</v>
      </c>
      <c r="Q58" s="106">
        <f>+HLOOKUP($C58,PMGR!$EY$2:$FK$250,87,0)</f>
        <v>82745.207999999999</v>
      </c>
      <c r="R58" s="106">
        <f>+HLOOKUP($C58,PMGR!$EY$2:$FK$250,90,0)</f>
        <v>0</v>
      </c>
      <c r="S58" s="106">
        <f>+HLOOKUP($C58,PMGR!$EY$2:$FK$250,91,0)</f>
        <v>500</v>
      </c>
      <c r="T58" s="106">
        <f>+HLOOKUP($C58,PMGR!$EY$2:$FK$250,92,0)</f>
        <v>0</v>
      </c>
      <c r="U58" s="106">
        <f>+HLOOKUP($C58,PMGR!$EY$2:$FK$250,93,0)</f>
        <v>0</v>
      </c>
      <c r="V58" s="106">
        <f>+HLOOKUP($C58,PMGR!$EY$2:$FK$250,94,0)</f>
        <v>0</v>
      </c>
      <c r="W58" s="106">
        <f>+HLOOKUP($C58,PMGR!$EY$2:$FK$250,95,0)</f>
        <v>0</v>
      </c>
      <c r="X58" s="106">
        <f>+HLOOKUP($C58,PMGR!$EY$2:$FK$250,96,0)</f>
        <v>0</v>
      </c>
      <c r="Y58" s="106">
        <f>+HLOOKUP($C58,PMGR!$EY$2:$FK$250,97,0)</f>
        <v>0</v>
      </c>
      <c r="Z58" s="106">
        <f>+HLOOKUP($C58,PMGR!$EY$2:$FK$250,98,0)</f>
        <v>0</v>
      </c>
      <c r="AA58" s="106">
        <f>+HLOOKUP($C58,PMGR!$EY$2:$FK$250,99,0)</f>
        <v>0</v>
      </c>
      <c r="AB58" s="106">
        <f>+HLOOKUP($C58,PMGR!$EY$2:$FK$250,100,0)</f>
        <v>0</v>
      </c>
      <c r="AC58" s="106">
        <f>+HLOOKUP($C58,PMGR!$EY$2:$FK$250,101,0)</f>
        <v>0</v>
      </c>
      <c r="AD58" s="106">
        <f>+HLOOKUP($C58,PMGR!$EY$2:$FK$250,104,0)</f>
        <v>0</v>
      </c>
      <c r="AE58" s="106">
        <f>+HLOOKUP($C58,PMGR!$EY$2:$FK$250,105,0)</f>
        <v>0</v>
      </c>
      <c r="AF58" s="106">
        <f>+HLOOKUP($C58,PMGR!$EY$2:$FK$250,106,0)</f>
        <v>0</v>
      </c>
      <c r="AG58" s="106">
        <f>+HLOOKUP($C58,PMGR!$EY$2:$FK$250,107,0)</f>
        <v>0</v>
      </c>
      <c r="AH58" s="106">
        <f>+HLOOKUP($C58,PMGR!$EY$2:$FK$250,108,0)</f>
        <v>0</v>
      </c>
      <c r="AI58" s="106">
        <f>+HLOOKUP($C58,PMGR!$EY$2:$FK$250,109,0)</f>
        <v>0</v>
      </c>
      <c r="AJ58" s="106">
        <f>+HLOOKUP($C58,PMGR!$EY$2:$FK$250,110,0)</f>
        <v>0</v>
      </c>
      <c r="AK58" s="106">
        <f>+HLOOKUP($C58,PMGR!$EY$2:$FK$250,111,0)</f>
        <v>840.67200000000003</v>
      </c>
      <c r="AL58" s="106">
        <f>+HLOOKUP($C58,PMGR!$EY$2:$FK$250,112,0)</f>
        <v>0</v>
      </c>
      <c r="AM58" s="106">
        <f>+HLOOKUP($C58,PMGR!$EY$2:$FK$250,116,0)</f>
        <v>159000</v>
      </c>
      <c r="AN58" s="106">
        <f>+HLOOKUP($C58,PMGR!$EY$2:$FK$250,117,0)</f>
        <v>22750</v>
      </c>
      <c r="AO58" s="106">
        <f>+HLOOKUP($C58,PMGR!$EY$2:$FK$250,118,0)</f>
        <v>0</v>
      </c>
      <c r="AP58" s="106">
        <f>+HLOOKUP($C58,PMGR!$EY$2:$FK$250,119,0)</f>
        <v>62300</v>
      </c>
      <c r="AQ58" s="106">
        <f>+HLOOKUP($C58,PMGR!$EY$2:$FK$250,120,0)</f>
        <v>13400</v>
      </c>
      <c r="AR58" s="106">
        <f>+HLOOKUP($C58,PMGR!$EY$2:$FK$250,121,0)</f>
        <v>2500</v>
      </c>
      <c r="AS58" s="106">
        <f>+HLOOKUP($C58,PMGR!$EY$2:$FK$250,122,0)</f>
        <v>54050</v>
      </c>
      <c r="AT58" s="106">
        <f>+HLOOKUP($C58,PMGR!$EY$2:$FK$250,123,0)</f>
        <v>18806.666666666668</v>
      </c>
      <c r="AU58" s="106">
        <f>+HLOOKUP($C58,PMGR!$EY$2:$FK$250,124,0)</f>
        <v>807.5</v>
      </c>
      <c r="AV58" s="106">
        <f>+HLOOKUP($C58,PMGR!$EY$2:$FK$250,125,0)</f>
        <v>0</v>
      </c>
      <c r="AW58" s="106">
        <f>+HLOOKUP($C58,PMGR!$EY$2:$FK$250,126,0)</f>
        <v>7644.2307692307695</v>
      </c>
      <c r="AX58" s="106">
        <f>+HLOOKUP($C58,PMGR!$EY$2:$FK$250,127,0)</f>
        <v>10916.666666666664</v>
      </c>
      <c r="AY58" s="106">
        <f>+HLOOKUP($C58,PMGR!$EY$2:$FK$250,129,0)</f>
        <v>0</v>
      </c>
      <c r="AZ58" s="106">
        <f>+HLOOKUP($C58,PMGR!$EY$2:$FK$250,130,0)</f>
        <v>0</v>
      </c>
      <c r="BA58" s="106">
        <f>+HLOOKUP($C58,PMGR!$EY$2:$FK$250,131,0)</f>
        <v>25000</v>
      </c>
      <c r="BB58" s="106">
        <f>+HLOOKUP($C58,PMGR!$EY$2:$FK$250,133,0)</f>
        <v>0</v>
      </c>
      <c r="BC58" s="106">
        <f>+HLOOKUP($C58,PMGR!$EY$2:$FK$250,134,0)</f>
        <v>0</v>
      </c>
      <c r="BD58" s="106">
        <f>+HLOOKUP($C58,PMGR!$EY$2:$FK$250,135,0)</f>
        <v>0</v>
      </c>
      <c r="BE58" s="106">
        <f>+HLOOKUP($C58,PMGR!$EY$2:$FK$250,136,0)</f>
        <v>0</v>
      </c>
      <c r="BF58" s="106">
        <f>+HLOOKUP($C58,PMGR!$EY$2:$FK$250,138,0)</f>
        <v>5000</v>
      </c>
      <c r="BG58" s="106">
        <f>+HLOOKUP($C58,PMGR!$EY$2:$FK$250,139,0)</f>
        <v>10000</v>
      </c>
      <c r="BH58" s="106">
        <f>+HLOOKUP($C58,PMGR!$EY$2:$FK$250,140,0)</f>
        <v>20100</v>
      </c>
      <c r="BI58" s="106">
        <f>+HLOOKUP($C58,PMGR!$EY$2:$FK$250,141,0)</f>
        <v>0</v>
      </c>
      <c r="BJ58" s="106">
        <f>+HLOOKUP($C58,PMGR!$EY$2:$FK$250,142,0)</f>
        <v>0</v>
      </c>
      <c r="BK58" s="106">
        <f>+HLOOKUP($C58,PMGR!$EY$2:$FK$250,143,0)</f>
        <v>14000</v>
      </c>
      <c r="BL58" s="106">
        <f>+HLOOKUP($C58,PMGR!$EY$2:$FK$250,144,0)</f>
        <v>12218.75</v>
      </c>
      <c r="BM58" s="106">
        <f>+HLOOKUP($C58,PMGR!$EY$2:$FK$250,146,0)</f>
        <v>0</v>
      </c>
      <c r="BN58" s="106">
        <f>+HLOOKUP($C58,PMGR!$EY$2:$FK$250,147,0)</f>
        <v>0</v>
      </c>
      <c r="BO58" s="106">
        <f>+HLOOKUP($C58,PMGR!$EY$2:$FK$250,148,0)</f>
        <v>0</v>
      </c>
      <c r="BP58" s="106">
        <f>+HLOOKUP($C58,PMGR!$EY$2:$FK$250,150,0)</f>
        <v>39000</v>
      </c>
      <c r="BQ58" s="106">
        <f>+HLOOKUP($C58,PMGR!$EY$2:$FK$250,151,0)</f>
        <v>2976.6</v>
      </c>
      <c r="BR58" s="106">
        <f>+HLOOKUP($C58,PMGR!$EY$2:$FK$250,152,0)</f>
        <v>19200</v>
      </c>
      <c r="BS58" s="106">
        <f>+HLOOKUP($C58,PMGR!$EY$2:$FK$250,153,0)</f>
        <v>4500</v>
      </c>
      <c r="BT58" s="106">
        <f>+HLOOKUP($C58,PMGR!$EY$2:$FK$250,157,0)</f>
        <v>5000</v>
      </c>
      <c r="BU58" s="106">
        <f>+HLOOKUP($C58,PMGR!$EY$2:$FK$250,158,0)</f>
        <v>500</v>
      </c>
      <c r="BV58" s="106">
        <f>+HLOOKUP($C58,PMGR!$EY$2:$FK$250,159,0)</f>
        <v>1500</v>
      </c>
      <c r="BW58" s="106">
        <f>+HLOOKUP($C58,PMGR!$EY$2:$FK$250,160,0)</f>
        <v>0</v>
      </c>
      <c r="BX58" s="106">
        <f>+HLOOKUP($C58,PMGR!$EY$2:$FK$250,161,0)</f>
        <v>2500</v>
      </c>
      <c r="BY58" s="106">
        <f>+HLOOKUP($C58,PMGR!$EY$2:$FK$250,164,0)</f>
        <v>0</v>
      </c>
      <c r="BZ58" s="106">
        <f>+HLOOKUP($C58,PMGR!$EY$2:$FK$250,165,0)</f>
        <v>0</v>
      </c>
      <c r="CA58" s="106">
        <f>+HLOOKUP($C58,PMGR!$EY$2:$FK$250,166,0)</f>
        <v>0</v>
      </c>
      <c r="CB58" s="106">
        <f>+HLOOKUP($C58,PMGR!$EY$2:$FK$250,167,0)</f>
        <v>0</v>
      </c>
      <c r="CC58" s="106">
        <f>+HLOOKUP($C58,PMGR!$EY$2:$FK$250,168,0)</f>
        <v>0</v>
      </c>
      <c r="CD58" s="106">
        <f>+HLOOKUP($C58,PMGR!$EY$2:$FK$250,169,0)</f>
        <v>0</v>
      </c>
      <c r="CE58" s="106">
        <f>+HLOOKUP($C58,PMGR!$EY$2:$FK$250,170,0)</f>
        <v>500</v>
      </c>
      <c r="CF58" s="106">
        <f>+HLOOKUP($C58,PMGR!$EY$2:$FK$250,172,0)</f>
        <v>0</v>
      </c>
      <c r="CG58" s="106">
        <f>+HLOOKUP($C58,PMGR!$EY$2:$FK$250,173,0)</f>
        <v>7200</v>
      </c>
      <c r="CH58" s="106">
        <f>+HLOOKUP($C58,PMGR!$EY$2:$FK$250,174,0)</f>
        <v>50000</v>
      </c>
      <c r="CI58" s="106">
        <f>+HLOOKUP($C58,PMGR!$EY$2:$FK$250,175,0)</f>
        <v>5000</v>
      </c>
      <c r="CJ58" s="106">
        <f>+HLOOKUP($C58,PMGR!$EY$2:$FK$250,176,0)</f>
        <v>8000</v>
      </c>
      <c r="CK58" s="106">
        <f>+HLOOKUP($C58,PMGR!$EY$2:$FK$250,178,0)</f>
        <v>48000</v>
      </c>
      <c r="CL58" s="106">
        <f>+HLOOKUP($C58,PMGR!$EY$2:$FK$250,179,0)</f>
        <v>180000</v>
      </c>
      <c r="CM58" s="106">
        <f>+HLOOKUP($C58,PMGR!$EY$2:$FK$250,180,0)</f>
        <v>2880</v>
      </c>
      <c r="CN58" s="106">
        <f>+HLOOKUP($C58,PMGR!$EY$2:$FK$250,182,0)</f>
        <v>4200</v>
      </c>
      <c r="CO58" s="106">
        <f>+HLOOKUP($C58,PMGR!$EY$2:$FK$250,183,0)</f>
        <v>12000</v>
      </c>
      <c r="CP58" s="106">
        <f>+HLOOKUP($C58,PMGR!$EY$2:$FK$250,184,0)</f>
        <v>972</v>
      </c>
      <c r="CQ58" s="106">
        <f>+HLOOKUP($C58,PMGR!$EY$2:$FK$250,185,0)</f>
        <v>0</v>
      </c>
      <c r="CR58" s="106">
        <f>+HLOOKUP($C58,PMGR!$EY$2:$FK$250,187,0)</f>
        <v>1874.9999999999995</v>
      </c>
      <c r="CS58" s="106">
        <f>+HLOOKUP($C58,PMGR!$EY$2:$FK$250,188,0)</f>
        <v>0</v>
      </c>
      <c r="CT58" s="106">
        <f>+HLOOKUP($C58,PMGR!$EY$2:$FK$250,189,0)</f>
        <v>0</v>
      </c>
      <c r="CU58" s="106">
        <f>+HLOOKUP($C58,PMGR!$EY$2:$FK$250,190,0)</f>
        <v>0</v>
      </c>
      <c r="CV58" s="106">
        <f>+HLOOKUP($C58,PMGR!$EY$2:$FK$250,191,0)</f>
        <v>0</v>
      </c>
      <c r="CW58" s="106">
        <f>+HLOOKUP($C58,PMGR!$EY$2:$FK$250,193,0)</f>
        <v>0</v>
      </c>
      <c r="CX58" s="106">
        <f>+HLOOKUP($C58,PMGR!$EY$2:$FK$250,194,0)</f>
        <v>200</v>
      </c>
      <c r="CY58" s="106">
        <f>+HLOOKUP($C58,PMGR!$EY$2:$FK$250,195,0)</f>
        <v>15000</v>
      </c>
      <c r="CZ58" s="106">
        <f>+HLOOKUP($C58,PMGR!$EY$2:$FK$250,196,0)</f>
        <v>0</v>
      </c>
      <c r="DA58" s="106">
        <f>+HLOOKUP($C58,PMGR!$EY$2:$FK$250,197,0)</f>
        <v>10000</v>
      </c>
      <c r="DB58" s="106">
        <f>+HLOOKUP($C58,PMGR!$EY$2:$FK$250,198,0)</f>
        <v>6000</v>
      </c>
      <c r="DC58" s="106">
        <f>+HLOOKUP($C58,PMGR!$EY$2:$FK$250,199,0)</f>
        <v>2000</v>
      </c>
      <c r="DD58" s="106">
        <f>+HLOOKUP($C58,PMGR!$EY$2:$FK$250,200,0)</f>
        <v>1000</v>
      </c>
      <c r="DE58" s="106">
        <f>+HLOOKUP($C58,PMGR!$EY$2:$FK$250,201,0)</f>
        <v>250</v>
      </c>
      <c r="DF58" s="106">
        <f>+HLOOKUP($C58,PMGR!$EY$2:$FK$250,202,0)</f>
        <v>0</v>
      </c>
      <c r="DG58" s="106">
        <f>+HLOOKUP($C58,PMGR!$EY$2:$FK$250,203,0)</f>
        <v>0</v>
      </c>
      <c r="DH58" s="106">
        <f>+HLOOKUP($C58,PMGR!$EY$2:$FK$250,205,0)</f>
        <v>0</v>
      </c>
      <c r="DI58" s="106">
        <f>+HLOOKUP($C58,PMGR!$EY$2:$FK$250,206,0)</f>
        <v>15000</v>
      </c>
      <c r="DJ58" s="106">
        <f>+HLOOKUP($C58,PMGR!$EY$2:$FK$250,207,0)</f>
        <v>0</v>
      </c>
      <c r="DK58" s="106">
        <f>+HLOOKUP($C58,PMGR!$EY$2:$FK$250,209,0)</f>
        <v>0</v>
      </c>
      <c r="DL58" s="106">
        <f>+HLOOKUP($C58,PMGR!$EY$2:$FK$250,210,0)</f>
        <v>270000</v>
      </c>
      <c r="DM58" s="106">
        <f>+HLOOKUP($C58,PMGR!$EY$2:$FK$250,211,0)</f>
        <v>0</v>
      </c>
      <c r="DN58" s="106">
        <f>+HLOOKUP($C58,PMGR!$EY$2:$FK$250,212,0)</f>
        <v>0</v>
      </c>
      <c r="DO58" s="106">
        <f>+HLOOKUP($C58,PMGR!$EY$2:$FK$250,214,0)</f>
        <v>0</v>
      </c>
      <c r="DP58" s="106">
        <f>+HLOOKUP($C58,PMGR!$EY$2:$FK$250,215,0)</f>
        <v>0</v>
      </c>
      <c r="DQ58" s="106">
        <f>+HLOOKUP($C58,PMGR!$EY$2:$FK$250,219,0)</f>
        <v>0</v>
      </c>
      <c r="DR58" s="106">
        <f>+HLOOKUP($C58,PMGR!$EY$2:$FK$250,220,0)</f>
        <v>0</v>
      </c>
      <c r="DS58" s="106">
        <f>+HLOOKUP($C58,PMGR!$EY$2:$FK$250,221,0)</f>
        <v>0</v>
      </c>
      <c r="DT58" s="106">
        <f>+HLOOKUP($C58,PMGR!$EY$2:$FK$250,223,0)</f>
        <v>5000</v>
      </c>
      <c r="DU58" s="106">
        <f>+HLOOKUP($C58,PMGR!$EY$2:$FK$250,224,0)</f>
        <v>3000</v>
      </c>
      <c r="DV58" s="106">
        <f>+HLOOKUP($C58,PMGR!$EY$2:$FK$250,225,0)</f>
        <v>5000</v>
      </c>
      <c r="DW58" s="106">
        <f>+HLOOKUP($C58,PMGR!$EY$2:$FK$250,227,0)</f>
        <v>0</v>
      </c>
      <c r="DX58" s="106">
        <f>+HLOOKUP($C58,PMGR!$EY$2:$FK$250,228,0)</f>
        <v>0</v>
      </c>
      <c r="DY58" s="106">
        <f>+HLOOKUP($C58,PMGR!$EY$2:$FK$250,236,0)</f>
        <v>0</v>
      </c>
      <c r="DZ58" s="106">
        <f>+HLOOKUP($C58,PMGR!$EY$2:$FK$250,237,0)</f>
        <v>0</v>
      </c>
      <c r="EA58" s="106">
        <f>+HLOOKUP($C58,PMGR!$EY$2:$FK$250,238,0)</f>
        <v>0</v>
      </c>
      <c r="EB58" s="106">
        <f>+HLOOKUP($C58,PMGR!$EY$2:$FK$250,240,0)</f>
        <v>702927.25199999998</v>
      </c>
    </row>
    <row r="59" spans="1:132">
      <c r="A59" t="s">
        <v>272</v>
      </c>
      <c r="B59" t="s">
        <v>217</v>
      </c>
      <c r="C59" s="117">
        <v>45717</v>
      </c>
      <c r="D59" s="106">
        <f t="shared" si="0"/>
        <v>4940650.5559727</v>
      </c>
      <c r="E59" s="106">
        <f>+HLOOKUP(C59,PMGR!$EY$2:$FK$250,28,0)+HLOOKUP(C59,PMGR!$EY$2:$FK$250,43,0)+HLOOKUP(C59,PMGR!$EY$2:$FK$250,44,0)+HLOOKUP(C59,PMGR!$EY$2:$FK$250,45,0)+HLOOKUP(C59,PMGR!$EY$2:$FK$250,54,0)+HLOOKUP(C59,PMGR!$EY$2:$FK$250,59,0)</f>
        <v>4940650.5559727</v>
      </c>
      <c r="F59" s="106">
        <f>+HLOOKUP(C59,PMGR!$EY$2:$FK$250,37,0)+HLOOKUP(C59,PMGR!$EY$2:$FK$250,55,0)</f>
        <v>2714959.6794871795</v>
      </c>
      <c r="G59" s="106">
        <f>+HLOOKUP($C59,PMGR!$EY$2:$FK$250,76,0)</f>
        <v>0</v>
      </c>
      <c r="H59" s="106">
        <f>+HLOOKUP($C59,PMGR!$EY$2:$FK$250,77,0)</f>
        <v>0</v>
      </c>
      <c r="I59" s="106">
        <f>+HLOOKUP($C59,PMGR!$EY$2:$FK$250,78,0)</f>
        <v>0</v>
      </c>
      <c r="J59" s="106">
        <f>+HLOOKUP($C59,PMGR!$EY$2:$FK$250,79,0)</f>
        <v>0</v>
      </c>
      <c r="K59" s="106">
        <f>+HLOOKUP($C59,PMGR!$EY$2:$FK$250,80,0)</f>
        <v>0</v>
      </c>
      <c r="L59" s="106">
        <f>+HLOOKUP($C59,PMGR!$EY$2:$FK$250,81,0)</f>
        <v>0</v>
      </c>
      <c r="M59" s="106">
        <f>+HLOOKUP($C59,PMGR!$EY$2:$FK$250,82,0)</f>
        <v>0</v>
      </c>
      <c r="N59" s="106">
        <f>+HLOOKUP($C59,PMGR!$EY$2:$FK$250,83,0)</f>
        <v>0</v>
      </c>
      <c r="O59" s="106">
        <f>+HLOOKUP($C59,PMGR!$EY$2:$FK$250,84,0)</f>
        <v>0</v>
      </c>
      <c r="P59" s="106">
        <f>+HLOOKUP($C59,PMGR!$EY$2:$FK$250,85,0)</f>
        <v>0</v>
      </c>
      <c r="Q59" s="106">
        <f>+HLOOKUP($C59,PMGR!$EY$2:$FK$250,87,0)</f>
        <v>92349.5625</v>
      </c>
      <c r="R59" s="106">
        <f>+HLOOKUP($C59,PMGR!$EY$2:$FK$250,90,0)</f>
        <v>0</v>
      </c>
      <c r="S59" s="106">
        <f>+HLOOKUP($C59,PMGR!$EY$2:$FK$250,91,0)</f>
        <v>500</v>
      </c>
      <c r="T59" s="106">
        <f>+HLOOKUP($C59,PMGR!$EY$2:$FK$250,92,0)</f>
        <v>0</v>
      </c>
      <c r="U59" s="106">
        <f>+HLOOKUP($C59,PMGR!$EY$2:$FK$250,93,0)</f>
        <v>0</v>
      </c>
      <c r="V59" s="106">
        <f>+HLOOKUP($C59,PMGR!$EY$2:$FK$250,94,0)</f>
        <v>0</v>
      </c>
      <c r="W59" s="106">
        <f>+HLOOKUP($C59,PMGR!$EY$2:$FK$250,95,0)</f>
        <v>0</v>
      </c>
      <c r="X59" s="106">
        <f>+HLOOKUP($C59,PMGR!$EY$2:$FK$250,96,0)</f>
        <v>0</v>
      </c>
      <c r="Y59" s="106">
        <f>+HLOOKUP($C59,PMGR!$EY$2:$FK$250,97,0)</f>
        <v>0</v>
      </c>
      <c r="Z59" s="106">
        <f>+HLOOKUP($C59,PMGR!$EY$2:$FK$250,98,0)</f>
        <v>0</v>
      </c>
      <c r="AA59" s="106">
        <f>+HLOOKUP($C59,PMGR!$EY$2:$FK$250,99,0)</f>
        <v>0</v>
      </c>
      <c r="AB59" s="106">
        <f>+HLOOKUP($C59,PMGR!$EY$2:$FK$250,100,0)</f>
        <v>0</v>
      </c>
      <c r="AC59" s="106">
        <f>+HLOOKUP($C59,PMGR!$EY$2:$FK$250,101,0)</f>
        <v>0</v>
      </c>
      <c r="AD59" s="106">
        <f>+HLOOKUP($C59,PMGR!$EY$2:$FK$250,104,0)</f>
        <v>0</v>
      </c>
      <c r="AE59" s="106">
        <f>+HLOOKUP($C59,PMGR!$EY$2:$FK$250,105,0)</f>
        <v>0</v>
      </c>
      <c r="AF59" s="106">
        <f>+HLOOKUP($C59,PMGR!$EY$2:$FK$250,106,0)</f>
        <v>0</v>
      </c>
      <c r="AG59" s="106">
        <f>+HLOOKUP($C59,PMGR!$EY$2:$FK$250,107,0)</f>
        <v>0</v>
      </c>
      <c r="AH59" s="106">
        <f>+HLOOKUP($C59,PMGR!$EY$2:$FK$250,108,0)</f>
        <v>0</v>
      </c>
      <c r="AI59" s="106">
        <f>+HLOOKUP($C59,PMGR!$EY$2:$FK$250,109,0)</f>
        <v>0</v>
      </c>
      <c r="AJ59" s="106">
        <f>+HLOOKUP($C59,PMGR!$EY$2:$FK$250,110,0)</f>
        <v>0</v>
      </c>
      <c r="AK59" s="106">
        <f>+HLOOKUP($C59,PMGR!$EY$2:$FK$250,111,0)</f>
        <v>938.25</v>
      </c>
      <c r="AL59" s="106">
        <f>+HLOOKUP($C59,PMGR!$EY$2:$FK$250,112,0)</f>
        <v>0</v>
      </c>
      <c r="AM59" s="106">
        <f>+HLOOKUP($C59,PMGR!$EY$2:$FK$250,116,0)</f>
        <v>159000</v>
      </c>
      <c r="AN59" s="106">
        <f>+HLOOKUP($C59,PMGR!$EY$2:$FK$250,117,0)</f>
        <v>22750</v>
      </c>
      <c r="AO59" s="106">
        <f>+HLOOKUP($C59,PMGR!$EY$2:$FK$250,118,0)</f>
        <v>0</v>
      </c>
      <c r="AP59" s="106">
        <f>+HLOOKUP($C59,PMGR!$EY$2:$FK$250,119,0)</f>
        <v>62300</v>
      </c>
      <c r="AQ59" s="106">
        <f>+HLOOKUP($C59,PMGR!$EY$2:$FK$250,120,0)</f>
        <v>13400</v>
      </c>
      <c r="AR59" s="106">
        <f>+HLOOKUP($C59,PMGR!$EY$2:$FK$250,121,0)</f>
        <v>2500</v>
      </c>
      <c r="AS59" s="106">
        <f>+HLOOKUP($C59,PMGR!$EY$2:$FK$250,122,0)</f>
        <v>54050</v>
      </c>
      <c r="AT59" s="106">
        <f>+HLOOKUP($C59,PMGR!$EY$2:$FK$250,123,0)</f>
        <v>18806.666666666668</v>
      </c>
      <c r="AU59" s="106">
        <f>+HLOOKUP($C59,PMGR!$EY$2:$FK$250,124,0)</f>
        <v>807.5</v>
      </c>
      <c r="AV59" s="106">
        <f>+HLOOKUP($C59,PMGR!$EY$2:$FK$250,125,0)</f>
        <v>0</v>
      </c>
      <c r="AW59" s="106">
        <f>+HLOOKUP($C59,PMGR!$EY$2:$FK$250,126,0)</f>
        <v>7644.2307692307695</v>
      </c>
      <c r="AX59" s="106">
        <f>+HLOOKUP($C59,PMGR!$EY$2:$FK$250,127,0)</f>
        <v>10916.666666666664</v>
      </c>
      <c r="AY59" s="106">
        <f>+HLOOKUP($C59,PMGR!$EY$2:$FK$250,129,0)</f>
        <v>0</v>
      </c>
      <c r="AZ59" s="106">
        <f>+HLOOKUP($C59,PMGR!$EY$2:$FK$250,130,0)</f>
        <v>0</v>
      </c>
      <c r="BA59" s="106">
        <f>+HLOOKUP($C59,PMGR!$EY$2:$FK$250,131,0)</f>
        <v>25000</v>
      </c>
      <c r="BB59" s="106">
        <f>+HLOOKUP($C59,PMGR!$EY$2:$FK$250,133,0)</f>
        <v>0</v>
      </c>
      <c r="BC59" s="106">
        <f>+HLOOKUP($C59,PMGR!$EY$2:$FK$250,134,0)</f>
        <v>0</v>
      </c>
      <c r="BD59" s="106">
        <f>+HLOOKUP($C59,PMGR!$EY$2:$FK$250,135,0)</f>
        <v>0</v>
      </c>
      <c r="BE59" s="106">
        <f>+HLOOKUP($C59,PMGR!$EY$2:$FK$250,136,0)</f>
        <v>0</v>
      </c>
      <c r="BF59" s="106">
        <f>+HLOOKUP($C59,PMGR!$EY$2:$FK$250,138,0)</f>
        <v>5000</v>
      </c>
      <c r="BG59" s="106">
        <f>+HLOOKUP($C59,PMGR!$EY$2:$FK$250,139,0)</f>
        <v>10000</v>
      </c>
      <c r="BH59" s="106">
        <f>+HLOOKUP($C59,PMGR!$EY$2:$FK$250,140,0)</f>
        <v>20100</v>
      </c>
      <c r="BI59" s="106">
        <f>+HLOOKUP($C59,PMGR!$EY$2:$FK$250,141,0)</f>
        <v>0</v>
      </c>
      <c r="BJ59" s="106">
        <f>+HLOOKUP($C59,PMGR!$EY$2:$FK$250,142,0)</f>
        <v>0</v>
      </c>
      <c r="BK59" s="106">
        <f>+HLOOKUP($C59,PMGR!$EY$2:$FK$250,143,0)</f>
        <v>14000</v>
      </c>
      <c r="BL59" s="106">
        <f>+HLOOKUP($C59,PMGR!$EY$2:$FK$250,144,0)</f>
        <v>5885.416666666667</v>
      </c>
      <c r="BM59" s="106">
        <f>+HLOOKUP($C59,PMGR!$EY$2:$FK$250,146,0)</f>
        <v>0</v>
      </c>
      <c r="BN59" s="106">
        <f>+HLOOKUP($C59,PMGR!$EY$2:$FK$250,147,0)</f>
        <v>0</v>
      </c>
      <c r="BO59" s="106">
        <f>+HLOOKUP($C59,PMGR!$EY$2:$FK$250,148,0)</f>
        <v>0</v>
      </c>
      <c r="BP59" s="106">
        <f>+HLOOKUP($C59,PMGR!$EY$2:$FK$250,150,0)</f>
        <v>39000</v>
      </c>
      <c r="BQ59" s="106">
        <f>+HLOOKUP($C59,PMGR!$EY$2:$FK$250,151,0)</f>
        <v>2976.6</v>
      </c>
      <c r="BR59" s="106">
        <f>+HLOOKUP($C59,PMGR!$EY$2:$FK$250,152,0)</f>
        <v>19200</v>
      </c>
      <c r="BS59" s="106">
        <f>+HLOOKUP($C59,PMGR!$EY$2:$FK$250,153,0)</f>
        <v>4500</v>
      </c>
      <c r="BT59" s="106">
        <f>+HLOOKUP($C59,PMGR!$EY$2:$FK$250,157,0)</f>
        <v>5000</v>
      </c>
      <c r="BU59" s="106">
        <f>+HLOOKUP($C59,PMGR!$EY$2:$FK$250,158,0)</f>
        <v>500</v>
      </c>
      <c r="BV59" s="106">
        <f>+HLOOKUP($C59,PMGR!$EY$2:$FK$250,159,0)</f>
        <v>1500</v>
      </c>
      <c r="BW59" s="106">
        <f>+HLOOKUP($C59,PMGR!$EY$2:$FK$250,160,0)</f>
        <v>0</v>
      </c>
      <c r="BX59" s="106">
        <f>+HLOOKUP($C59,PMGR!$EY$2:$FK$250,161,0)</f>
        <v>2500</v>
      </c>
      <c r="BY59" s="106">
        <f>+HLOOKUP($C59,PMGR!$EY$2:$FK$250,164,0)</f>
        <v>0</v>
      </c>
      <c r="BZ59" s="106">
        <f>+HLOOKUP($C59,PMGR!$EY$2:$FK$250,165,0)</f>
        <v>0</v>
      </c>
      <c r="CA59" s="106">
        <f>+HLOOKUP($C59,PMGR!$EY$2:$FK$250,166,0)</f>
        <v>0</v>
      </c>
      <c r="CB59" s="106">
        <f>+HLOOKUP($C59,PMGR!$EY$2:$FK$250,167,0)</f>
        <v>0</v>
      </c>
      <c r="CC59" s="106">
        <f>+HLOOKUP($C59,PMGR!$EY$2:$FK$250,168,0)</f>
        <v>0</v>
      </c>
      <c r="CD59" s="106">
        <f>+HLOOKUP($C59,PMGR!$EY$2:$FK$250,169,0)</f>
        <v>0</v>
      </c>
      <c r="CE59" s="106">
        <f>+HLOOKUP($C59,PMGR!$EY$2:$FK$250,170,0)</f>
        <v>500</v>
      </c>
      <c r="CF59" s="106">
        <f>+HLOOKUP($C59,PMGR!$EY$2:$FK$250,172,0)</f>
        <v>0</v>
      </c>
      <c r="CG59" s="106">
        <f>+HLOOKUP($C59,PMGR!$EY$2:$FK$250,173,0)</f>
        <v>7200</v>
      </c>
      <c r="CH59" s="106">
        <f>+HLOOKUP($C59,PMGR!$EY$2:$FK$250,174,0)</f>
        <v>50000</v>
      </c>
      <c r="CI59" s="106">
        <f>+HLOOKUP($C59,PMGR!$EY$2:$FK$250,175,0)</f>
        <v>5000</v>
      </c>
      <c r="CJ59" s="106">
        <f>+HLOOKUP($C59,PMGR!$EY$2:$FK$250,176,0)</f>
        <v>8000</v>
      </c>
      <c r="CK59" s="106">
        <f>+HLOOKUP($C59,PMGR!$EY$2:$FK$250,178,0)</f>
        <v>48000</v>
      </c>
      <c r="CL59" s="106">
        <f>+HLOOKUP($C59,PMGR!$EY$2:$FK$250,179,0)</f>
        <v>180000</v>
      </c>
      <c r="CM59" s="106">
        <f>+HLOOKUP($C59,PMGR!$EY$2:$FK$250,180,0)</f>
        <v>2880</v>
      </c>
      <c r="CN59" s="106">
        <f>+HLOOKUP($C59,PMGR!$EY$2:$FK$250,182,0)</f>
        <v>4200</v>
      </c>
      <c r="CO59" s="106">
        <f>+HLOOKUP($C59,PMGR!$EY$2:$FK$250,183,0)</f>
        <v>12000</v>
      </c>
      <c r="CP59" s="106">
        <f>+HLOOKUP($C59,PMGR!$EY$2:$FK$250,184,0)</f>
        <v>972</v>
      </c>
      <c r="CQ59" s="106">
        <f>+HLOOKUP($C59,PMGR!$EY$2:$FK$250,185,0)</f>
        <v>0</v>
      </c>
      <c r="CR59" s="106">
        <f>+HLOOKUP($C59,PMGR!$EY$2:$FK$250,187,0)</f>
        <v>1874.9999999999995</v>
      </c>
      <c r="CS59" s="106">
        <f>+HLOOKUP($C59,PMGR!$EY$2:$FK$250,188,0)</f>
        <v>0</v>
      </c>
      <c r="CT59" s="106">
        <f>+HLOOKUP($C59,PMGR!$EY$2:$FK$250,189,0)</f>
        <v>0</v>
      </c>
      <c r="CU59" s="106">
        <f>+HLOOKUP($C59,PMGR!$EY$2:$FK$250,190,0)</f>
        <v>0</v>
      </c>
      <c r="CV59" s="106">
        <f>+HLOOKUP($C59,PMGR!$EY$2:$FK$250,191,0)</f>
        <v>0</v>
      </c>
      <c r="CW59" s="106">
        <f>+HLOOKUP($C59,PMGR!$EY$2:$FK$250,193,0)</f>
        <v>0</v>
      </c>
      <c r="CX59" s="106">
        <f>+HLOOKUP($C59,PMGR!$EY$2:$FK$250,194,0)</f>
        <v>200</v>
      </c>
      <c r="CY59" s="106">
        <f>+HLOOKUP($C59,PMGR!$EY$2:$FK$250,195,0)</f>
        <v>15000</v>
      </c>
      <c r="CZ59" s="106">
        <f>+HLOOKUP($C59,PMGR!$EY$2:$FK$250,196,0)</f>
        <v>0</v>
      </c>
      <c r="DA59" s="106">
        <f>+HLOOKUP($C59,PMGR!$EY$2:$FK$250,197,0)</f>
        <v>10000</v>
      </c>
      <c r="DB59" s="106">
        <f>+HLOOKUP($C59,PMGR!$EY$2:$FK$250,198,0)</f>
        <v>6000</v>
      </c>
      <c r="DC59" s="106">
        <f>+HLOOKUP($C59,PMGR!$EY$2:$FK$250,199,0)</f>
        <v>2000</v>
      </c>
      <c r="DD59" s="106">
        <f>+HLOOKUP($C59,PMGR!$EY$2:$FK$250,200,0)</f>
        <v>1000</v>
      </c>
      <c r="DE59" s="106">
        <f>+HLOOKUP($C59,PMGR!$EY$2:$FK$250,201,0)</f>
        <v>250</v>
      </c>
      <c r="DF59" s="106">
        <f>+HLOOKUP($C59,PMGR!$EY$2:$FK$250,202,0)</f>
        <v>0</v>
      </c>
      <c r="DG59" s="106">
        <f>+HLOOKUP($C59,PMGR!$EY$2:$FK$250,203,0)</f>
        <v>0</v>
      </c>
      <c r="DH59" s="106">
        <f>+HLOOKUP($C59,PMGR!$EY$2:$FK$250,205,0)</f>
        <v>0</v>
      </c>
      <c r="DI59" s="106">
        <f>+HLOOKUP($C59,PMGR!$EY$2:$FK$250,206,0)</f>
        <v>15000</v>
      </c>
      <c r="DJ59" s="106">
        <f>+HLOOKUP($C59,PMGR!$EY$2:$FK$250,207,0)</f>
        <v>0</v>
      </c>
      <c r="DK59" s="106">
        <f>+HLOOKUP($C59,PMGR!$EY$2:$FK$250,209,0)</f>
        <v>0</v>
      </c>
      <c r="DL59" s="106">
        <f>+HLOOKUP($C59,PMGR!$EY$2:$FK$250,210,0)</f>
        <v>270000</v>
      </c>
      <c r="DM59" s="106">
        <f>+HLOOKUP($C59,PMGR!$EY$2:$FK$250,211,0)</f>
        <v>0</v>
      </c>
      <c r="DN59" s="106">
        <f>+HLOOKUP($C59,PMGR!$EY$2:$FK$250,212,0)</f>
        <v>0</v>
      </c>
      <c r="DO59" s="106">
        <f>+HLOOKUP($C59,PMGR!$EY$2:$FK$250,214,0)</f>
        <v>0</v>
      </c>
      <c r="DP59" s="106">
        <f>+HLOOKUP($C59,PMGR!$EY$2:$FK$250,215,0)</f>
        <v>0</v>
      </c>
      <c r="DQ59" s="106">
        <f>+HLOOKUP($C59,PMGR!$EY$2:$FK$250,219,0)</f>
        <v>0</v>
      </c>
      <c r="DR59" s="106">
        <f>+HLOOKUP($C59,PMGR!$EY$2:$FK$250,220,0)</f>
        <v>0</v>
      </c>
      <c r="DS59" s="106">
        <f>+HLOOKUP($C59,PMGR!$EY$2:$FK$250,221,0)</f>
        <v>0</v>
      </c>
      <c r="DT59" s="106">
        <f>+HLOOKUP($C59,PMGR!$EY$2:$FK$250,223,0)</f>
        <v>5000</v>
      </c>
      <c r="DU59" s="106">
        <f>+HLOOKUP($C59,PMGR!$EY$2:$FK$250,224,0)</f>
        <v>3000</v>
      </c>
      <c r="DV59" s="106">
        <f>+HLOOKUP($C59,PMGR!$EY$2:$FK$250,225,0)</f>
        <v>5000</v>
      </c>
      <c r="DW59" s="106">
        <f>+HLOOKUP($C59,PMGR!$EY$2:$FK$250,227,0)</f>
        <v>0</v>
      </c>
      <c r="DX59" s="106">
        <f>+HLOOKUP($C59,PMGR!$EY$2:$FK$250,228,0)</f>
        <v>0</v>
      </c>
      <c r="DY59" s="106">
        <f>+HLOOKUP($C59,PMGR!$EY$2:$FK$250,236,0)</f>
        <v>0</v>
      </c>
      <c r="DZ59" s="106">
        <f>+HLOOKUP($C59,PMGR!$EY$2:$FK$250,237,0)</f>
        <v>0</v>
      </c>
      <c r="EA59" s="106">
        <f>+HLOOKUP($C59,PMGR!$EY$2:$FK$250,238,0)</f>
        <v>0</v>
      </c>
      <c r="EB59" s="106">
        <f>+HLOOKUP($C59,PMGR!$EY$2:$FK$250,240,0)</f>
        <v>702927.25199999998</v>
      </c>
    </row>
    <row r="60" spans="1:132">
      <c r="A60" t="s">
        <v>272</v>
      </c>
      <c r="B60" t="s">
        <v>217</v>
      </c>
      <c r="C60" s="117">
        <v>45689</v>
      </c>
      <c r="D60" s="106">
        <f t="shared" si="0"/>
        <v>3809063.1995237251</v>
      </c>
      <c r="E60" s="106">
        <f>+HLOOKUP(C60,PMGR!$EY$2:$FK$250,28,0)+HLOOKUP(C60,PMGR!$EY$2:$FK$250,43,0)+HLOOKUP(C60,PMGR!$EY$2:$FK$250,44,0)+HLOOKUP(C60,PMGR!$EY$2:$FK$250,45,0)+HLOOKUP(C60,PMGR!$EY$2:$FK$250,54,0)+HLOOKUP(C60,PMGR!$EY$2:$FK$250,59,0)</f>
        <v>3809063.1995237251</v>
      </c>
      <c r="F60" s="106">
        <f>+HLOOKUP(C60,PMGR!$EY$2:$FK$250,37,0)+HLOOKUP(C60,PMGR!$EY$2:$FK$250,55,0)</f>
        <v>2453356.8794871797</v>
      </c>
      <c r="G60" s="106">
        <f>+HLOOKUP($C60,PMGR!$EY$2:$FK$250,76,0)</f>
        <v>0</v>
      </c>
      <c r="H60" s="106">
        <f>+HLOOKUP($C60,PMGR!$EY$2:$FK$250,77,0)</f>
        <v>0</v>
      </c>
      <c r="I60" s="106">
        <f>+HLOOKUP($C60,PMGR!$EY$2:$FK$250,78,0)</f>
        <v>0</v>
      </c>
      <c r="J60" s="106">
        <f>+HLOOKUP($C60,PMGR!$EY$2:$FK$250,79,0)</f>
        <v>0</v>
      </c>
      <c r="K60" s="106">
        <f>+HLOOKUP($C60,PMGR!$EY$2:$FK$250,80,0)</f>
        <v>0</v>
      </c>
      <c r="L60" s="106">
        <f>+HLOOKUP($C60,PMGR!$EY$2:$FK$250,81,0)</f>
        <v>0</v>
      </c>
      <c r="M60" s="106">
        <f>+HLOOKUP($C60,PMGR!$EY$2:$FK$250,82,0)</f>
        <v>0</v>
      </c>
      <c r="N60" s="106">
        <f>+HLOOKUP($C60,PMGR!$EY$2:$FK$250,83,0)</f>
        <v>0</v>
      </c>
      <c r="O60" s="106">
        <f>+HLOOKUP($C60,PMGR!$EY$2:$FK$250,84,0)</f>
        <v>0</v>
      </c>
      <c r="P60" s="106">
        <f>+HLOOKUP($C60,PMGR!$EY$2:$FK$250,85,0)</f>
        <v>0</v>
      </c>
      <c r="Q60" s="106">
        <f>+HLOOKUP($C60,PMGR!$EY$2:$FK$250,87,0)</f>
        <v>82745.207999999999</v>
      </c>
      <c r="R60" s="106">
        <f>+HLOOKUP($C60,PMGR!$EY$2:$FK$250,90,0)</f>
        <v>0</v>
      </c>
      <c r="S60" s="106">
        <f>+HLOOKUP($C60,PMGR!$EY$2:$FK$250,91,0)</f>
        <v>500</v>
      </c>
      <c r="T60" s="106">
        <f>+HLOOKUP($C60,PMGR!$EY$2:$FK$250,92,0)</f>
        <v>0</v>
      </c>
      <c r="U60" s="106">
        <f>+HLOOKUP($C60,PMGR!$EY$2:$FK$250,93,0)</f>
        <v>0</v>
      </c>
      <c r="V60" s="106">
        <f>+HLOOKUP($C60,PMGR!$EY$2:$FK$250,94,0)</f>
        <v>0</v>
      </c>
      <c r="W60" s="106">
        <f>+HLOOKUP($C60,PMGR!$EY$2:$FK$250,95,0)</f>
        <v>0</v>
      </c>
      <c r="X60" s="106">
        <f>+HLOOKUP($C60,PMGR!$EY$2:$FK$250,96,0)</f>
        <v>0</v>
      </c>
      <c r="Y60" s="106">
        <f>+HLOOKUP($C60,PMGR!$EY$2:$FK$250,97,0)</f>
        <v>0</v>
      </c>
      <c r="Z60" s="106">
        <f>+HLOOKUP($C60,PMGR!$EY$2:$FK$250,98,0)</f>
        <v>0</v>
      </c>
      <c r="AA60" s="106">
        <f>+HLOOKUP($C60,PMGR!$EY$2:$FK$250,99,0)</f>
        <v>0</v>
      </c>
      <c r="AB60" s="106">
        <f>+HLOOKUP($C60,PMGR!$EY$2:$FK$250,100,0)</f>
        <v>0</v>
      </c>
      <c r="AC60" s="106">
        <f>+HLOOKUP($C60,PMGR!$EY$2:$FK$250,101,0)</f>
        <v>0</v>
      </c>
      <c r="AD60" s="106">
        <f>+HLOOKUP($C60,PMGR!$EY$2:$FK$250,104,0)</f>
        <v>0</v>
      </c>
      <c r="AE60" s="106">
        <f>+HLOOKUP($C60,PMGR!$EY$2:$FK$250,105,0)</f>
        <v>0</v>
      </c>
      <c r="AF60" s="106">
        <f>+HLOOKUP($C60,PMGR!$EY$2:$FK$250,106,0)</f>
        <v>0</v>
      </c>
      <c r="AG60" s="106">
        <f>+HLOOKUP($C60,PMGR!$EY$2:$FK$250,107,0)</f>
        <v>0</v>
      </c>
      <c r="AH60" s="106">
        <f>+HLOOKUP($C60,PMGR!$EY$2:$FK$250,108,0)</f>
        <v>0</v>
      </c>
      <c r="AI60" s="106">
        <f>+HLOOKUP($C60,PMGR!$EY$2:$FK$250,109,0)</f>
        <v>0</v>
      </c>
      <c r="AJ60" s="106">
        <f>+HLOOKUP($C60,PMGR!$EY$2:$FK$250,110,0)</f>
        <v>0</v>
      </c>
      <c r="AK60" s="106">
        <f>+HLOOKUP($C60,PMGR!$EY$2:$FK$250,111,0)</f>
        <v>840.67200000000003</v>
      </c>
      <c r="AL60" s="106">
        <f>+HLOOKUP($C60,PMGR!$EY$2:$FK$250,112,0)</f>
        <v>0</v>
      </c>
      <c r="AM60" s="106">
        <f>+HLOOKUP($C60,PMGR!$EY$2:$FK$250,116,0)</f>
        <v>159000</v>
      </c>
      <c r="AN60" s="106">
        <f>+HLOOKUP($C60,PMGR!$EY$2:$FK$250,117,0)</f>
        <v>22750</v>
      </c>
      <c r="AO60" s="106">
        <f>+HLOOKUP($C60,PMGR!$EY$2:$FK$250,118,0)</f>
        <v>0</v>
      </c>
      <c r="AP60" s="106">
        <f>+HLOOKUP($C60,PMGR!$EY$2:$FK$250,119,0)</f>
        <v>62300</v>
      </c>
      <c r="AQ60" s="106">
        <f>+HLOOKUP($C60,PMGR!$EY$2:$FK$250,120,0)</f>
        <v>13400</v>
      </c>
      <c r="AR60" s="106">
        <f>+HLOOKUP($C60,PMGR!$EY$2:$FK$250,121,0)</f>
        <v>2500</v>
      </c>
      <c r="AS60" s="106">
        <f>+HLOOKUP($C60,PMGR!$EY$2:$FK$250,122,0)</f>
        <v>54050</v>
      </c>
      <c r="AT60" s="106">
        <f>+HLOOKUP($C60,PMGR!$EY$2:$FK$250,123,0)</f>
        <v>18806.666666666668</v>
      </c>
      <c r="AU60" s="106">
        <f>+HLOOKUP($C60,PMGR!$EY$2:$FK$250,124,0)</f>
        <v>807.5</v>
      </c>
      <c r="AV60" s="106">
        <f>+HLOOKUP($C60,PMGR!$EY$2:$FK$250,125,0)</f>
        <v>0</v>
      </c>
      <c r="AW60" s="106">
        <f>+HLOOKUP($C60,PMGR!$EY$2:$FK$250,126,0)</f>
        <v>7644.2307692307695</v>
      </c>
      <c r="AX60" s="106">
        <f>+HLOOKUP($C60,PMGR!$EY$2:$FK$250,127,0)</f>
        <v>10916.666666666664</v>
      </c>
      <c r="AY60" s="106">
        <f>+HLOOKUP($C60,PMGR!$EY$2:$FK$250,129,0)</f>
        <v>0</v>
      </c>
      <c r="AZ60" s="106">
        <f>+HLOOKUP($C60,PMGR!$EY$2:$FK$250,130,0)</f>
        <v>0</v>
      </c>
      <c r="BA60" s="106">
        <f>+HLOOKUP($C60,PMGR!$EY$2:$FK$250,131,0)</f>
        <v>25000</v>
      </c>
      <c r="BB60" s="106">
        <f>+HLOOKUP($C60,PMGR!$EY$2:$FK$250,133,0)</f>
        <v>0</v>
      </c>
      <c r="BC60" s="106">
        <f>+HLOOKUP($C60,PMGR!$EY$2:$FK$250,134,0)</f>
        <v>0</v>
      </c>
      <c r="BD60" s="106">
        <f>+HLOOKUP($C60,PMGR!$EY$2:$FK$250,135,0)</f>
        <v>0</v>
      </c>
      <c r="BE60" s="106">
        <f>+HLOOKUP($C60,PMGR!$EY$2:$FK$250,136,0)</f>
        <v>0</v>
      </c>
      <c r="BF60" s="106">
        <f>+HLOOKUP($C60,PMGR!$EY$2:$FK$250,138,0)</f>
        <v>5000</v>
      </c>
      <c r="BG60" s="106">
        <f>+HLOOKUP($C60,PMGR!$EY$2:$FK$250,139,0)</f>
        <v>10000</v>
      </c>
      <c r="BH60" s="106">
        <f>+HLOOKUP($C60,PMGR!$EY$2:$FK$250,140,0)</f>
        <v>20100</v>
      </c>
      <c r="BI60" s="106">
        <f>+HLOOKUP($C60,PMGR!$EY$2:$FK$250,141,0)</f>
        <v>0</v>
      </c>
      <c r="BJ60" s="106">
        <f>+HLOOKUP($C60,PMGR!$EY$2:$FK$250,142,0)</f>
        <v>0</v>
      </c>
      <c r="BK60" s="106">
        <f>+HLOOKUP($C60,PMGR!$EY$2:$FK$250,143,0)</f>
        <v>14000</v>
      </c>
      <c r="BL60" s="106">
        <f>+HLOOKUP($C60,PMGR!$EY$2:$FK$250,144,0)</f>
        <v>1135.4166666666667</v>
      </c>
      <c r="BM60" s="106">
        <f>+HLOOKUP($C60,PMGR!$EY$2:$FK$250,146,0)</f>
        <v>0</v>
      </c>
      <c r="BN60" s="106">
        <f>+HLOOKUP($C60,PMGR!$EY$2:$FK$250,147,0)</f>
        <v>0</v>
      </c>
      <c r="BO60" s="106">
        <f>+HLOOKUP($C60,PMGR!$EY$2:$FK$250,148,0)</f>
        <v>0</v>
      </c>
      <c r="BP60" s="106">
        <f>+HLOOKUP($C60,PMGR!$EY$2:$FK$250,150,0)</f>
        <v>39000</v>
      </c>
      <c r="BQ60" s="106">
        <f>+HLOOKUP($C60,PMGR!$EY$2:$FK$250,151,0)</f>
        <v>2976.6</v>
      </c>
      <c r="BR60" s="106">
        <f>+HLOOKUP($C60,PMGR!$EY$2:$FK$250,152,0)</f>
        <v>19200</v>
      </c>
      <c r="BS60" s="106">
        <f>+HLOOKUP($C60,PMGR!$EY$2:$FK$250,153,0)</f>
        <v>4500</v>
      </c>
      <c r="BT60" s="106">
        <f>+HLOOKUP($C60,PMGR!$EY$2:$FK$250,157,0)</f>
        <v>5000</v>
      </c>
      <c r="BU60" s="106">
        <f>+HLOOKUP($C60,PMGR!$EY$2:$FK$250,158,0)</f>
        <v>500</v>
      </c>
      <c r="BV60" s="106">
        <f>+HLOOKUP($C60,PMGR!$EY$2:$FK$250,159,0)</f>
        <v>1500</v>
      </c>
      <c r="BW60" s="106">
        <f>+HLOOKUP($C60,PMGR!$EY$2:$FK$250,160,0)</f>
        <v>0</v>
      </c>
      <c r="BX60" s="106">
        <f>+HLOOKUP($C60,PMGR!$EY$2:$FK$250,161,0)</f>
        <v>2500</v>
      </c>
      <c r="BY60" s="106">
        <f>+HLOOKUP($C60,PMGR!$EY$2:$FK$250,164,0)</f>
        <v>0</v>
      </c>
      <c r="BZ60" s="106">
        <f>+HLOOKUP($C60,PMGR!$EY$2:$FK$250,165,0)</f>
        <v>0</v>
      </c>
      <c r="CA60" s="106">
        <f>+HLOOKUP($C60,PMGR!$EY$2:$FK$250,166,0)</f>
        <v>0</v>
      </c>
      <c r="CB60" s="106">
        <f>+HLOOKUP($C60,PMGR!$EY$2:$FK$250,167,0)</f>
        <v>0</v>
      </c>
      <c r="CC60" s="106">
        <f>+HLOOKUP($C60,PMGR!$EY$2:$FK$250,168,0)</f>
        <v>0</v>
      </c>
      <c r="CD60" s="106">
        <f>+HLOOKUP($C60,PMGR!$EY$2:$FK$250,169,0)</f>
        <v>0</v>
      </c>
      <c r="CE60" s="106">
        <f>+HLOOKUP($C60,PMGR!$EY$2:$FK$250,170,0)</f>
        <v>500</v>
      </c>
      <c r="CF60" s="106">
        <f>+HLOOKUP($C60,PMGR!$EY$2:$FK$250,172,0)</f>
        <v>0</v>
      </c>
      <c r="CG60" s="106">
        <f>+HLOOKUP($C60,PMGR!$EY$2:$FK$250,173,0)</f>
        <v>7200</v>
      </c>
      <c r="CH60" s="106">
        <f>+HLOOKUP($C60,PMGR!$EY$2:$FK$250,174,0)</f>
        <v>50000</v>
      </c>
      <c r="CI60" s="106">
        <f>+HLOOKUP($C60,PMGR!$EY$2:$FK$250,175,0)</f>
        <v>5000</v>
      </c>
      <c r="CJ60" s="106">
        <f>+HLOOKUP($C60,PMGR!$EY$2:$FK$250,176,0)</f>
        <v>8000</v>
      </c>
      <c r="CK60" s="106">
        <f>+HLOOKUP($C60,PMGR!$EY$2:$FK$250,178,0)</f>
        <v>48000</v>
      </c>
      <c r="CL60" s="106">
        <f>+HLOOKUP($C60,PMGR!$EY$2:$FK$250,179,0)</f>
        <v>180000</v>
      </c>
      <c r="CM60" s="106">
        <f>+HLOOKUP($C60,PMGR!$EY$2:$FK$250,180,0)</f>
        <v>2880</v>
      </c>
      <c r="CN60" s="106">
        <f>+HLOOKUP($C60,PMGR!$EY$2:$FK$250,182,0)</f>
        <v>4200</v>
      </c>
      <c r="CO60" s="106">
        <f>+HLOOKUP($C60,PMGR!$EY$2:$FK$250,183,0)</f>
        <v>12000</v>
      </c>
      <c r="CP60" s="106">
        <f>+HLOOKUP($C60,PMGR!$EY$2:$FK$250,184,0)</f>
        <v>972</v>
      </c>
      <c r="CQ60" s="106">
        <f>+HLOOKUP($C60,PMGR!$EY$2:$FK$250,185,0)</f>
        <v>0</v>
      </c>
      <c r="CR60" s="106">
        <f>+HLOOKUP($C60,PMGR!$EY$2:$FK$250,187,0)</f>
        <v>1874.9999999999995</v>
      </c>
      <c r="CS60" s="106">
        <f>+HLOOKUP($C60,PMGR!$EY$2:$FK$250,188,0)</f>
        <v>0</v>
      </c>
      <c r="CT60" s="106">
        <f>+HLOOKUP($C60,PMGR!$EY$2:$FK$250,189,0)</f>
        <v>0</v>
      </c>
      <c r="CU60" s="106">
        <f>+HLOOKUP($C60,PMGR!$EY$2:$FK$250,190,0)</f>
        <v>0</v>
      </c>
      <c r="CV60" s="106">
        <f>+HLOOKUP($C60,PMGR!$EY$2:$FK$250,191,0)</f>
        <v>0</v>
      </c>
      <c r="CW60" s="106">
        <f>+HLOOKUP($C60,PMGR!$EY$2:$FK$250,193,0)</f>
        <v>0</v>
      </c>
      <c r="CX60" s="106">
        <f>+HLOOKUP($C60,PMGR!$EY$2:$FK$250,194,0)</f>
        <v>200</v>
      </c>
      <c r="CY60" s="106">
        <f>+HLOOKUP($C60,PMGR!$EY$2:$FK$250,195,0)</f>
        <v>15000</v>
      </c>
      <c r="CZ60" s="106">
        <f>+HLOOKUP($C60,PMGR!$EY$2:$FK$250,196,0)</f>
        <v>0</v>
      </c>
      <c r="DA60" s="106">
        <f>+HLOOKUP($C60,PMGR!$EY$2:$FK$250,197,0)</f>
        <v>10000</v>
      </c>
      <c r="DB60" s="106">
        <f>+HLOOKUP($C60,PMGR!$EY$2:$FK$250,198,0)</f>
        <v>6000</v>
      </c>
      <c r="DC60" s="106">
        <f>+HLOOKUP($C60,PMGR!$EY$2:$FK$250,199,0)</f>
        <v>2000</v>
      </c>
      <c r="DD60" s="106">
        <f>+HLOOKUP($C60,PMGR!$EY$2:$FK$250,200,0)</f>
        <v>1000</v>
      </c>
      <c r="DE60" s="106">
        <f>+HLOOKUP($C60,PMGR!$EY$2:$FK$250,201,0)</f>
        <v>250</v>
      </c>
      <c r="DF60" s="106">
        <f>+HLOOKUP($C60,PMGR!$EY$2:$FK$250,202,0)</f>
        <v>0</v>
      </c>
      <c r="DG60" s="106">
        <f>+HLOOKUP($C60,PMGR!$EY$2:$FK$250,203,0)</f>
        <v>0</v>
      </c>
      <c r="DH60" s="106">
        <f>+HLOOKUP($C60,PMGR!$EY$2:$FK$250,205,0)</f>
        <v>0</v>
      </c>
      <c r="DI60" s="106">
        <f>+HLOOKUP($C60,PMGR!$EY$2:$FK$250,206,0)</f>
        <v>15000</v>
      </c>
      <c r="DJ60" s="106">
        <f>+HLOOKUP($C60,PMGR!$EY$2:$FK$250,207,0)</f>
        <v>0</v>
      </c>
      <c r="DK60" s="106">
        <f>+HLOOKUP($C60,PMGR!$EY$2:$FK$250,209,0)</f>
        <v>0</v>
      </c>
      <c r="DL60" s="106">
        <f>+HLOOKUP($C60,PMGR!$EY$2:$FK$250,210,0)</f>
        <v>270000</v>
      </c>
      <c r="DM60" s="106">
        <f>+HLOOKUP($C60,PMGR!$EY$2:$FK$250,211,0)</f>
        <v>0</v>
      </c>
      <c r="DN60" s="106">
        <f>+HLOOKUP($C60,PMGR!$EY$2:$FK$250,212,0)</f>
        <v>0</v>
      </c>
      <c r="DO60" s="106">
        <f>+HLOOKUP($C60,PMGR!$EY$2:$FK$250,214,0)</f>
        <v>0</v>
      </c>
      <c r="DP60" s="106">
        <f>+HLOOKUP($C60,PMGR!$EY$2:$FK$250,215,0)</f>
        <v>0</v>
      </c>
      <c r="DQ60" s="106">
        <f>+HLOOKUP($C60,PMGR!$EY$2:$FK$250,219,0)</f>
        <v>0</v>
      </c>
      <c r="DR60" s="106">
        <f>+HLOOKUP($C60,PMGR!$EY$2:$FK$250,220,0)</f>
        <v>0</v>
      </c>
      <c r="DS60" s="106">
        <f>+HLOOKUP($C60,PMGR!$EY$2:$FK$250,221,0)</f>
        <v>0</v>
      </c>
      <c r="DT60" s="106">
        <f>+HLOOKUP($C60,PMGR!$EY$2:$FK$250,223,0)</f>
        <v>5000</v>
      </c>
      <c r="DU60" s="106">
        <f>+HLOOKUP($C60,PMGR!$EY$2:$FK$250,224,0)</f>
        <v>3000</v>
      </c>
      <c r="DV60" s="106">
        <f>+HLOOKUP($C60,PMGR!$EY$2:$FK$250,225,0)</f>
        <v>5000</v>
      </c>
      <c r="DW60" s="106">
        <f>+HLOOKUP($C60,PMGR!$EY$2:$FK$250,227,0)</f>
        <v>0</v>
      </c>
      <c r="DX60" s="106">
        <f>+HLOOKUP($C60,PMGR!$EY$2:$FK$250,228,0)</f>
        <v>0</v>
      </c>
      <c r="DY60" s="106">
        <f>+HLOOKUP($C60,PMGR!$EY$2:$FK$250,236,0)</f>
        <v>0</v>
      </c>
      <c r="DZ60" s="106">
        <f>+HLOOKUP($C60,PMGR!$EY$2:$FK$250,237,0)</f>
        <v>0</v>
      </c>
      <c r="EA60" s="106">
        <f>+HLOOKUP($C60,PMGR!$EY$2:$FK$250,238,0)</f>
        <v>0</v>
      </c>
      <c r="EB60" s="106">
        <f>+HLOOKUP($C60,PMGR!$EY$2:$FK$250,240,0)</f>
        <v>702927.25199999998</v>
      </c>
    </row>
    <row r="61" spans="1:132">
      <c r="A61" t="s">
        <v>272</v>
      </c>
      <c r="B61" t="s">
        <v>217</v>
      </c>
      <c r="C61" s="117">
        <v>45658</v>
      </c>
      <c r="D61" s="106">
        <f t="shared" si="0"/>
        <v>4078561.3503785748</v>
      </c>
      <c r="E61" s="106">
        <f>+HLOOKUP(C61,PMGR!$EY$2:$FK$250,28,0)+HLOOKUP(C61,PMGR!$EY$2:$FK$250,43,0)+HLOOKUP(C61,PMGR!$EY$2:$FK$250,44,0)+HLOOKUP(C61,PMGR!$EY$2:$FK$250,45,0)+HLOOKUP(C61,PMGR!$EY$2:$FK$250,54,0)+HLOOKUP(C61,PMGR!$EY$2:$FK$250,59,0)</f>
        <v>4078561.3503785748</v>
      </c>
      <c r="F61" s="106">
        <f>+HLOOKUP(C61,PMGR!$EY$2:$FK$250,37,0)+HLOOKUP(C61,PMGR!$EY$2:$FK$250,55,0)</f>
        <v>2615581.6794871795</v>
      </c>
      <c r="G61" s="106">
        <f>+HLOOKUP($C61,PMGR!$EY$2:$FK$250,76,0)</f>
        <v>0</v>
      </c>
      <c r="H61" s="106">
        <f>+HLOOKUP($C61,PMGR!$EY$2:$FK$250,77,0)</f>
        <v>0</v>
      </c>
      <c r="I61" s="106">
        <f>+HLOOKUP($C61,PMGR!$EY$2:$FK$250,78,0)</f>
        <v>0</v>
      </c>
      <c r="J61" s="106">
        <f>+HLOOKUP($C61,PMGR!$EY$2:$FK$250,79,0)</f>
        <v>0</v>
      </c>
      <c r="K61" s="106">
        <f>+HLOOKUP($C61,PMGR!$EY$2:$FK$250,80,0)</f>
        <v>0</v>
      </c>
      <c r="L61" s="106">
        <f>+HLOOKUP($C61,PMGR!$EY$2:$FK$250,81,0)</f>
        <v>0</v>
      </c>
      <c r="M61" s="106">
        <f>+HLOOKUP($C61,PMGR!$EY$2:$FK$250,82,0)</f>
        <v>0</v>
      </c>
      <c r="N61" s="106">
        <f>+HLOOKUP($C61,PMGR!$EY$2:$FK$250,83,0)</f>
        <v>0</v>
      </c>
      <c r="O61" s="106">
        <f>+HLOOKUP($C61,PMGR!$EY$2:$FK$250,84,0)</f>
        <v>0</v>
      </c>
      <c r="P61" s="106">
        <f>+HLOOKUP($C61,PMGR!$EY$2:$FK$250,85,0)</f>
        <v>0</v>
      </c>
      <c r="Q61" s="106">
        <f>+HLOOKUP($C61,PMGR!$EY$2:$FK$250,87,0)</f>
        <v>88655.580000000016</v>
      </c>
      <c r="R61" s="106">
        <f>+HLOOKUP($C61,PMGR!$EY$2:$FK$250,90,0)</f>
        <v>0</v>
      </c>
      <c r="S61" s="106">
        <f>+HLOOKUP($C61,PMGR!$EY$2:$FK$250,91,0)</f>
        <v>500</v>
      </c>
      <c r="T61" s="106">
        <f>+HLOOKUP($C61,PMGR!$EY$2:$FK$250,92,0)</f>
        <v>0</v>
      </c>
      <c r="U61" s="106">
        <f>+HLOOKUP($C61,PMGR!$EY$2:$FK$250,93,0)</f>
        <v>0</v>
      </c>
      <c r="V61" s="106">
        <f>+HLOOKUP($C61,PMGR!$EY$2:$FK$250,94,0)</f>
        <v>0</v>
      </c>
      <c r="W61" s="106">
        <f>+HLOOKUP($C61,PMGR!$EY$2:$FK$250,95,0)</f>
        <v>0</v>
      </c>
      <c r="X61" s="106">
        <f>+HLOOKUP($C61,PMGR!$EY$2:$FK$250,96,0)</f>
        <v>0</v>
      </c>
      <c r="Y61" s="106">
        <f>+HLOOKUP($C61,PMGR!$EY$2:$FK$250,97,0)</f>
        <v>0</v>
      </c>
      <c r="Z61" s="106">
        <f>+HLOOKUP($C61,PMGR!$EY$2:$FK$250,98,0)</f>
        <v>0</v>
      </c>
      <c r="AA61" s="106">
        <f>+HLOOKUP($C61,PMGR!$EY$2:$FK$250,99,0)</f>
        <v>0</v>
      </c>
      <c r="AB61" s="106">
        <f>+HLOOKUP($C61,PMGR!$EY$2:$FK$250,100,0)</f>
        <v>0</v>
      </c>
      <c r="AC61" s="106">
        <f>+HLOOKUP($C61,PMGR!$EY$2:$FK$250,101,0)</f>
        <v>0</v>
      </c>
      <c r="AD61" s="106">
        <f>+HLOOKUP($C61,PMGR!$EY$2:$FK$250,104,0)</f>
        <v>0</v>
      </c>
      <c r="AE61" s="106">
        <f>+HLOOKUP($C61,PMGR!$EY$2:$FK$250,105,0)</f>
        <v>0</v>
      </c>
      <c r="AF61" s="106">
        <f>+HLOOKUP($C61,PMGR!$EY$2:$FK$250,106,0)</f>
        <v>0</v>
      </c>
      <c r="AG61" s="106">
        <f>+HLOOKUP($C61,PMGR!$EY$2:$FK$250,107,0)</f>
        <v>0</v>
      </c>
      <c r="AH61" s="106">
        <f>+HLOOKUP($C61,PMGR!$EY$2:$FK$250,108,0)</f>
        <v>0</v>
      </c>
      <c r="AI61" s="106">
        <f>+HLOOKUP($C61,PMGR!$EY$2:$FK$250,109,0)</f>
        <v>0</v>
      </c>
      <c r="AJ61" s="106">
        <f>+HLOOKUP($C61,PMGR!$EY$2:$FK$250,110,0)</f>
        <v>0</v>
      </c>
      <c r="AK61" s="106">
        <f>+HLOOKUP($C61,PMGR!$EY$2:$FK$250,111,0)</f>
        <v>900.72000000000014</v>
      </c>
      <c r="AL61" s="106">
        <f>+HLOOKUP($C61,PMGR!$EY$2:$FK$250,112,0)</f>
        <v>0</v>
      </c>
      <c r="AM61" s="106">
        <f>+HLOOKUP($C61,PMGR!$EY$2:$FK$250,116,0)</f>
        <v>159000</v>
      </c>
      <c r="AN61" s="106">
        <f>+HLOOKUP($C61,PMGR!$EY$2:$FK$250,117,0)</f>
        <v>22750</v>
      </c>
      <c r="AO61" s="106">
        <f>+HLOOKUP($C61,PMGR!$EY$2:$FK$250,118,0)</f>
        <v>0</v>
      </c>
      <c r="AP61" s="106">
        <f>+HLOOKUP($C61,PMGR!$EY$2:$FK$250,119,0)</f>
        <v>62300</v>
      </c>
      <c r="AQ61" s="106">
        <f>+HLOOKUP($C61,PMGR!$EY$2:$FK$250,120,0)</f>
        <v>13400</v>
      </c>
      <c r="AR61" s="106">
        <f>+HLOOKUP($C61,PMGR!$EY$2:$FK$250,121,0)</f>
        <v>2500</v>
      </c>
      <c r="AS61" s="106">
        <f>+HLOOKUP($C61,PMGR!$EY$2:$FK$250,122,0)</f>
        <v>54050</v>
      </c>
      <c r="AT61" s="106">
        <f>+HLOOKUP($C61,PMGR!$EY$2:$FK$250,123,0)</f>
        <v>18806.666666666668</v>
      </c>
      <c r="AU61" s="106">
        <f>+HLOOKUP($C61,PMGR!$EY$2:$FK$250,124,0)</f>
        <v>807.5</v>
      </c>
      <c r="AV61" s="106">
        <f>+HLOOKUP($C61,PMGR!$EY$2:$FK$250,125,0)</f>
        <v>0</v>
      </c>
      <c r="AW61" s="106">
        <f>+HLOOKUP($C61,PMGR!$EY$2:$FK$250,126,0)</f>
        <v>7644.2307692307695</v>
      </c>
      <c r="AX61" s="106">
        <f>+HLOOKUP($C61,PMGR!$EY$2:$FK$250,127,0)</f>
        <v>10916.666666666664</v>
      </c>
      <c r="AY61" s="106">
        <f>+HLOOKUP($C61,PMGR!$EY$2:$FK$250,129,0)</f>
        <v>0</v>
      </c>
      <c r="AZ61" s="106">
        <f>+HLOOKUP($C61,PMGR!$EY$2:$FK$250,130,0)</f>
        <v>0</v>
      </c>
      <c r="BA61" s="106">
        <f>+HLOOKUP($C61,PMGR!$EY$2:$FK$250,131,0)</f>
        <v>25000</v>
      </c>
      <c r="BB61" s="106">
        <f>+HLOOKUP($C61,PMGR!$EY$2:$FK$250,133,0)</f>
        <v>0</v>
      </c>
      <c r="BC61" s="106">
        <f>+HLOOKUP($C61,PMGR!$EY$2:$FK$250,134,0)</f>
        <v>0</v>
      </c>
      <c r="BD61" s="106">
        <f>+HLOOKUP($C61,PMGR!$EY$2:$FK$250,135,0)</f>
        <v>0</v>
      </c>
      <c r="BE61" s="106">
        <f>+HLOOKUP($C61,PMGR!$EY$2:$FK$250,136,0)</f>
        <v>0</v>
      </c>
      <c r="BF61" s="106">
        <f>+HLOOKUP($C61,PMGR!$EY$2:$FK$250,138,0)</f>
        <v>5000</v>
      </c>
      <c r="BG61" s="106">
        <f>+HLOOKUP($C61,PMGR!$EY$2:$FK$250,139,0)</f>
        <v>10000</v>
      </c>
      <c r="BH61" s="106">
        <f>+HLOOKUP($C61,PMGR!$EY$2:$FK$250,140,0)</f>
        <v>20100</v>
      </c>
      <c r="BI61" s="106">
        <f>+HLOOKUP($C61,PMGR!$EY$2:$FK$250,141,0)</f>
        <v>0</v>
      </c>
      <c r="BJ61" s="106">
        <f>+HLOOKUP($C61,PMGR!$EY$2:$FK$250,142,0)</f>
        <v>0</v>
      </c>
      <c r="BK61" s="106">
        <f>+HLOOKUP($C61,PMGR!$EY$2:$FK$250,143,0)</f>
        <v>14000</v>
      </c>
      <c r="BL61" s="106">
        <f>+HLOOKUP($C61,PMGR!$EY$2:$FK$250,144,0)</f>
        <v>1135.4166666666667</v>
      </c>
      <c r="BM61" s="106">
        <f>+HLOOKUP($C61,PMGR!$EY$2:$FK$250,146,0)</f>
        <v>0</v>
      </c>
      <c r="BN61" s="106">
        <f>+HLOOKUP($C61,PMGR!$EY$2:$FK$250,147,0)</f>
        <v>0</v>
      </c>
      <c r="BO61" s="106">
        <f>+HLOOKUP($C61,PMGR!$EY$2:$FK$250,148,0)</f>
        <v>0</v>
      </c>
      <c r="BP61" s="106">
        <f>+HLOOKUP($C61,PMGR!$EY$2:$FK$250,150,0)</f>
        <v>39000</v>
      </c>
      <c r="BQ61" s="106">
        <f>+HLOOKUP($C61,PMGR!$EY$2:$FK$250,151,0)</f>
        <v>2976.6</v>
      </c>
      <c r="BR61" s="106">
        <f>+HLOOKUP($C61,PMGR!$EY$2:$FK$250,152,0)</f>
        <v>19200</v>
      </c>
      <c r="BS61" s="106">
        <f>+HLOOKUP($C61,PMGR!$EY$2:$FK$250,153,0)</f>
        <v>4500</v>
      </c>
      <c r="BT61" s="106">
        <f>+HLOOKUP($C61,PMGR!$EY$2:$FK$250,157,0)</f>
        <v>5000</v>
      </c>
      <c r="BU61" s="106">
        <f>+HLOOKUP($C61,PMGR!$EY$2:$FK$250,158,0)</f>
        <v>500</v>
      </c>
      <c r="BV61" s="106">
        <f>+HLOOKUP($C61,PMGR!$EY$2:$FK$250,159,0)</f>
        <v>1500</v>
      </c>
      <c r="BW61" s="106">
        <f>+HLOOKUP($C61,PMGR!$EY$2:$FK$250,160,0)</f>
        <v>0</v>
      </c>
      <c r="BX61" s="106">
        <f>+HLOOKUP($C61,PMGR!$EY$2:$FK$250,161,0)</f>
        <v>2500</v>
      </c>
      <c r="BY61" s="106">
        <f>+HLOOKUP($C61,PMGR!$EY$2:$FK$250,164,0)</f>
        <v>0</v>
      </c>
      <c r="BZ61" s="106">
        <f>+HLOOKUP($C61,PMGR!$EY$2:$FK$250,165,0)</f>
        <v>0</v>
      </c>
      <c r="CA61" s="106">
        <f>+HLOOKUP($C61,PMGR!$EY$2:$FK$250,166,0)</f>
        <v>0</v>
      </c>
      <c r="CB61" s="106">
        <f>+HLOOKUP($C61,PMGR!$EY$2:$FK$250,167,0)</f>
        <v>0</v>
      </c>
      <c r="CC61" s="106">
        <f>+HLOOKUP($C61,PMGR!$EY$2:$FK$250,168,0)</f>
        <v>0</v>
      </c>
      <c r="CD61" s="106">
        <f>+HLOOKUP($C61,PMGR!$EY$2:$FK$250,169,0)</f>
        <v>0</v>
      </c>
      <c r="CE61" s="106">
        <f>+HLOOKUP($C61,PMGR!$EY$2:$FK$250,170,0)</f>
        <v>500</v>
      </c>
      <c r="CF61" s="106">
        <f>+HLOOKUP($C61,PMGR!$EY$2:$FK$250,172,0)</f>
        <v>0</v>
      </c>
      <c r="CG61" s="106">
        <f>+HLOOKUP($C61,PMGR!$EY$2:$FK$250,173,0)</f>
        <v>7200</v>
      </c>
      <c r="CH61" s="106">
        <f>+HLOOKUP($C61,PMGR!$EY$2:$FK$250,174,0)</f>
        <v>50000</v>
      </c>
      <c r="CI61" s="106">
        <f>+HLOOKUP($C61,PMGR!$EY$2:$FK$250,175,0)</f>
        <v>5000</v>
      </c>
      <c r="CJ61" s="106">
        <f>+HLOOKUP($C61,PMGR!$EY$2:$FK$250,176,0)</f>
        <v>8000</v>
      </c>
      <c r="CK61" s="106">
        <f>+HLOOKUP($C61,PMGR!$EY$2:$FK$250,178,0)</f>
        <v>48000</v>
      </c>
      <c r="CL61" s="106">
        <f>+HLOOKUP($C61,PMGR!$EY$2:$FK$250,179,0)</f>
        <v>180000</v>
      </c>
      <c r="CM61" s="106">
        <f>+HLOOKUP($C61,PMGR!$EY$2:$FK$250,180,0)</f>
        <v>2880</v>
      </c>
      <c r="CN61" s="106">
        <f>+HLOOKUP($C61,PMGR!$EY$2:$FK$250,182,0)</f>
        <v>4200</v>
      </c>
      <c r="CO61" s="106">
        <f>+HLOOKUP($C61,PMGR!$EY$2:$FK$250,183,0)</f>
        <v>12000</v>
      </c>
      <c r="CP61" s="106">
        <f>+HLOOKUP($C61,PMGR!$EY$2:$FK$250,184,0)</f>
        <v>972</v>
      </c>
      <c r="CQ61" s="106">
        <f>+HLOOKUP($C61,PMGR!$EY$2:$FK$250,185,0)</f>
        <v>0</v>
      </c>
      <c r="CR61" s="106">
        <f>+HLOOKUP($C61,PMGR!$EY$2:$FK$250,187,0)</f>
        <v>1874.9999999999995</v>
      </c>
      <c r="CS61" s="106">
        <f>+HLOOKUP($C61,PMGR!$EY$2:$FK$250,188,0)</f>
        <v>0</v>
      </c>
      <c r="CT61" s="106">
        <f>+HLOOKUP($C61,PMGR!$EY$2:$FK$250,189,0)</f>
        <v>0</v>
      </c>
      <c r="CU61" s="106">
        <f>+HLOOKUP($C61,PMGR!$EY$2:$FK$250,190,0)</f>
        <v>0</v>
      </c>
      <c r="CV61" s="106">
        <f>+HLOOKUP($C61,PMGR!$EY$2:$FK$250,191,0)</f>
        <v>0</v>
      </c>
      <c r="CW61" s="106">
        <f>+HLOOKUP($C61,PMGR!$EY$2:$FK$250,193,0)</f>
        <v>0</v>
      </c>
      <c r="CX61" s="106">
        <f>+HLOOKUP($C61,PMGR!$EY$2:$FK$250,194,0)</f>
        <v>200</v>
      </c>
      <c r="CY61" s="106">
        <f>+HLOOKUP($C61,PMGR!$EY$2:$FK$250,195,0)</f>
        <v>15000</v>
      </c>
      <c r="CZ61" s="106">
        <f>+HLOOKUP($C61,PMGR!$EY$2:$FK$250,196,0)</f>
        <v>0</v>
      </c>
      <c r="DA61" s="106">
        <f>+HLOOKUP($C61,PMGR!$EY$2:$FK$250,197,0)</f>
        <v>10000</v>
      </c>
      <c r="DB61" s="106">
        <f>+HLOOKUP($C61,PMGR!$EY$2:$FK$250,198,0)</f>
        <v>6000</v>
      </c>
      <c r="DC61" s="106">
        <f>+HLOOKUP($C61,PMGR!$EY$2:$FK$250,199,0)</f>
        <v>2000</v>
      </c>
      <c r="DD61" s="106">
        <f>+HLOOKUP($C61,PMGR!$EY$2:$FK$250,200,0)</f>
        <v>1000</v>
      </c>
      <c r="DE61" s="106">
        <f>+HLOOKUP($C61,PMGR!$EY$2:$FK$250,201,0)</f>
        <v>250</v>
      </c>
      <c r="DF61" s="106">
        <f>+HLOOKUP($C61,PMGR!$EY$2:$FK$250,202,0)</f>
        <v>0</v>
      </c>
      <c r="DG61" s="106">
        <f>+HLOOKUP($C61,PMGR!$EY$2:$FK$250,203,0)</f>
        <v>0</v>
      </c>
      <c r="DH61" s="106">
        <f>+HLOOKUP($C61,PMGR!$EY$2:$FK$250,205,0)</f>
        <v>0</v>
      </c>
      <c r="DI61" s="106">
        <f>+HLOOKUP($C61,PMGR!$EY$2:$FK$250,206,0)</f>
        <v>15000</v>
      </c>
      <c r="DJ61" s="106">
        <f>+HLOOKUP($C61,PMGR!$EY$2:$FK$250,207,0)</f>
        <v>0</v>
      </c>
      <c r="DK61" s="106">
        <f>+HLOOKUP($C61,PMGR!$EY$2:$FK$250,209,0)</f>
        <v>0</v>
      </c>
      <c r="DL61" s="106">
        <f>+HLOOKUP($C61,PMGR!$EY$2:$FK$250,210,0)</f>
        <v>270000</v>
      </c>
      <c r="DM61" s="106">
        <f>+HLOOKUP($C61,PMGR!$EY$2:$FK$250,211,0)</f>
        <v>0</v>
      </c>
      <c r="DN61" s="106">
        <f>+HLOOKUP($C61,PMGR!$EY$2:$FK$250,212,0)</f>
        <v>0</v>
      </c>
      <c r="DO61" s="106">
        <f>+HLOOKUP($C61,PMGR!$EY$2:$FK$250,214,0)</f>
        <v>0</v>
      </c>
      <c r="DP61" s="106">
        <f>+HLOOKUP($C61,PMGR!$EY$2:$FK$250,215,0)</f>
        <v>0</v>
      </c>
      <c r="DQ61" s="106">
        <f>+HLOOKUP($C61,PMGR!$EY$2:$FK$250,219,0)</f>
        <v>0</v>
      </c>
      <c r="DR61" s="106">
        <f>+HLOOKUP($C61,PMGR!$EY$2:$FK$250,220,0)</f>
        <v>0</v>
      </c>
      <c r="DS61" s="106">
        <f>+HLOOKUP($C61,PMGR!$EY$2:$FK$250,221,0)</f>
        <v>0</v>
      </c>
      <c r="DT61" s="106">
        <f>+HLOOKUP($C61,PMGR!$EY$2:$FK$250,223,0)</f>
        <v>5000</v>
      </c>
      <c r="DU61" s="106">
        <f>+HLOOKUP($C61,PMGR!$EY$2:$FK$250,224,0)</f>
        <v>3000</v>
      </c>
      <c r="DV61" s="106">
        <f>+HLOOKUP($C61,PMGR!$EY$2:$FK$250,225,0)</f>
        <v>5000</v>
      </c>
      <c r="DW61" s="106">
        <f>+HLOOKUP($C61,PMGR!$EY$2:$FK$250,227,0)</f>
        <v>0</v>
      </c>
      <c r="DX61" s="106">
        <f>+HLOOKUP($C61,PMGR!$EY$2:$FK$250,228,0)</f>
        <v>0</v>
      </c>
      <c r="DY61" s="106">
        <f>+HLOOKUP($C61,PMGR!$EY$2:$FK$250,236,0)</f>
        <v>0</v>
      </c>
      <c r="DZ61" s="106">
        <f>+HLOOKUP($C61,PMGR!$EY$2:$FK$250,237,0)</f>
        <v>0</v>
      </c>
      <c r="EA61" s="106">
        <f>+HLOOKUP($C61,PMGR!$EY$2:$FK$250,238,0)</f>
        <v>0</v>
      </c>
      <c r="EB61" s="106">
        <f>+HLOOKUP($C61,PMGR!$EY$2:$FK$250,240,0)</f>
        <v>702927.25199999998</v>
      </c>
    </row>
    <row r="62" spans="1:132">
      <c r="A62" t="s">
        <v>269</v>
      </c>
      <c r="B62" t="s">
        <v>218</v>
      </c>
      <c r="C62" s="117">
        <v>45992</v>
      </c>
      <c r="D62" s="106">
        <f>+E62</f>
        <v>9020120.4199999999</v>
      </c>
      <c r="E62" s="106">
        <f>+HLOOKUP(C62,BP!$BS$2:$CE$250,28,0)+HLOOKUP(C62,BP!$BS$2:$CE$250,43,0)+HLOOKUP(C62,BP!$BS$2:$CE$250,44,0)+HLOOKUP(C62,BP!$BS$2:$CE$250,45,0)+HLOOKUP(C62,BP!$BS$2:$CE$250,54,0)+HLOOKUP(C62,BP!$BS$2:$CE$250,59,0)</f>
        <v>9020120.4199999999</v>
      </c>
      <c r="F62" s="106">
        <f>+HLOOKUP(C62,BP!$BS$2:$CE$250,37,0)+HLOOKUP(C62,BP!$BS$2:$CE$250,55,0)</f>
        <v>5503543.9175753733</v>
      </c>
      <c r="G62" s="106">
        <f>+HLOOKUP($C62,BP!$BS$2:$CE$250,76,0)</f>
        <v>0</v>
      </c>
      <c r="H62" s="106">
        <f>+HLOOKUP($C62,BP!$BS$2:$CE$250,77,0)</f>
        <v>0</v>
      </c>
      <c r="I62" s="106">
        <f>+HLOOKUP($C62,BP!$BS$2:$CE$250,78,0)</f>
        <v>0</v>
      </c>
      <c r="J62" s="106">
        <f>+HLOOKUP($C62,BP!$BS$2:$CE$250,79,0)</f>
        <v>0</v>
      </c>
      <c r="K62" s="106">
        <f>+HLOOKUP($C62,BP!$BS$2:$CE$250,80,0)</f>
        <v>0</v>
      </c>
      <c r="L62" s="106">
        <f>+HLOOKUP($C62,BP!$BS$2:$CE$250,81,0)</f>
        <v>15000</v>
      </c>
      <c r="M62" s="106">
        <f>+HLOOKUP($C62,BP!$BS$2:$CE$250,82,0)</f>
        <v>0</v>
      </c>
      <c r="N62" s="106">
        <f>+HLOOKUP($C62,BP!$BS$2:$CE$250,83,0)</f>
        <v>0</v>
      </c>
      <c r="O62" s="106">
        <f>+HLOOKUP($C62,BP!$BS$2:$CE$250,84,0)</f>
        <v>0</v>
      </c>
      <c r="P62" s="106">
        <f>+HLOOKUP($C62,BP!$BS$2:$CE$250,85,0)</f>
        <v>0</v>
      </c>
      <c r="Q62" s="106">
        <f>+HLOOKUP($C62,BP!$BS$2:$CE$250,87,0)</f>
        <v>145263.924</v>
      </c>
      <c r="R62" s="106">
        <f>+HLOOKUP($C62,BP!$BS$2:$CE$250,90,0)</f>
        <v>0</v>
      </c>
      <c r="S62" s="106">
        <f>+HLOOKUP($C62,BP!$BS$2:$CE$250,91,0)</f>
        <v>0</v>
      </c>
      <c r="T62" s="106">
        <f>+HLOOKUP($C62,BP!$BS$2:$CE$250,92,0)</f>
        <v>0</v>
      </c>
      <c r="U62" s="106">
        <f>+HLOOKUP($C62,BP!$BS$2:$CE$250,93,0)</f>
        <v>0</v>
      </c>
      <c r="V62" s="106">
        <f>+HLOOKUP($C62,BP!$BS$2:$CE$250,94,0)</f>
        <v>0</v>
      </c>
      <c r="W62" s="106">
        <f>+HLOOKUP($C62,BP!$BS$2:$CE$250,95,0)</f>
        <v>0</v>
      </c>
      <c r="X62" s="106">
        <f>+HLOOKUP($C62,BP!$BS$2:$CE$250,96,0)</f>
        <v>0</v>
      </c>
      <c r="Y62" s="106">
        <f>+HLOOKUP($C62,BP!$BS$2:$CE$250,97,0)</f>
        <v>0</v>
      </c>
      <c r="Z62" s="106">
        <f>+HLOOKUP($C62,BP!$BS$2:$CE$250,98,0)</f>
        <v>0</v>
      </c>
      <c r="AA62" s="106">
        <f>+HLOOKUP($C62,BP!$BS$2:$CE$250,99,0)</f>
        <v>0</v>
      </c>
      <c r="AB62" s="106">
        <f>+HLOOKUP($C62,BP!$BS$2:$CE$250,100,0)</f>
        <v>0</v>
      </c>
      <c r="AC62" s="106">
        <f>+HLOOKUP($C62,BP!$BS$2:$CE$250,101,0)</f>
        <v>0</v>
      </c>
      <c r="AD62" s="106">
        <f>+HLOOKUP($C62,BP!$BS$2:$CE$250,104,0)</f>
        <v>11198.4811092</v>
      </c>
      <c r="AE62" s="106">
        <f>+HLOOKUP($C62,BP!$BS$2:$CE$250,105,0)</f>
        <v>32318.8488</v>
      </c>
      <c r="AF62" s="106">
        <f>+HLOOKUP($C62,BP!$BS$2:$CE$250,106,0)</f>
        <v>0</v>
      </c>
      <c r="AG62" s="106">
        <f>+HLOOKUP($C62,BP!$BS$2:$CE$250,107,0)</f>
        <v>0</v>
      </c>
      <c r="AH62" s="106">
        <f>+HLOOKUP($C62,BP!$BS$2:$CE$250,108,0)</f>
        <v>0</v>
      </c>
      <c r="AI62" s="106">
        <f>+HLOOKUP($C62,BP!$BS$2:$CE$250,109,0)</f>
        <v>0</v>
      </c>
      <c r="AJ62" s="106">
        <f>+HLOOKUP($C62,BP!$BS$2:$CE$250,110,0)</f>
        <v>0</v>
      </c>
      <c r="AK62" s="106">
        <f>+HLOOKUP($C62,BP!$BS$2:$CE$250,111,0)</f>
        <v>1990.84108608</v>
      </c>
      <c r="AL62" s="106">
        <f>+HLOOKUP($C62,BP!$BS$2:$CE$250,112,0)</f>
        <v>0</v>
      </c>
      <c r="AM62" s="106">
        <f>+HLOOKUP($C62,BP!$BS$2:$CE$250,116,0)</f>
        <v>106300</v>
      </c>
      <c r="AN62" s="106">
        <f>+HLOOKUP($C62,BP!$BS$2:$CE$250,117,0)</f>
        <v>19120</v>
      </c>
      <c r="AO62" s="106">
        <f>+HLOOKUP($C62,BP!$BS$2:$CE$250,118,0)</f>
        <v>2500</v>
      </c>
      <c r="AP62" s="106">
        <f>+HLOOKUP($C62,BP!$BS$2:$CE$250,119,0)</f>
        <v>37120</v>
      </c>
      <c r="AQ62" s="106">
        <f>+HLOOKUP($C62,BP!$BS$2:$CE$250,120,0)</f>
        <v>5200</v>
      </c>
      <c r="AR62" s="106">
        <f>+HLOOKUP($C62,BP!$BS$2:$CE$250,121,0)</f>
        <v>2000</v>
      </c>
      <c r="AS62" s="106">
        <f>+HLOOKUP($C62,BP!$BS$2:$CE$250,122,0)</f>
        <v>56560</v>
      </c>
      <c r="AT62" s="106">
        <f>+HLOOKUP($C62,BP!$BS$2:$CE$250,123,0)</f>
        <v>14646.494290277777</v>
      </c>
      <c r="AU62" s="106">
        <f>+HLOOKUP($C62,BP!$BS$2:$CE$250,124,0)</f>
        <v>1866.75</v>
      </c>
      <c r="AV62" s="106">
        <f>+HLOOKUP($C62,BP!$BS$2:$CE$250,125,0)</f>
        <v>81780</v>
      </c>
      <c r="AW62" s="106">
        <f>+HLOOKUP($C62,BP!$BS$2:$CE$250,126,0)</f>
        <v>5110.5769230769229</v>
      </c>
      <c r="AX62" s="106">
        <f>+HLOOKUP($C62,BP!$BS$2:$CE$250,127,0)</f>
        <v>8274.9999999999982</v>
      </c>
      <c r="AY62" s="106">
        <f>+HLOOKUP($C62,BP!$BS$2:$CE$250,129,0)</f>
        <v>0</v>
      </c>
      <c r="AZ62" s="106">
        <f>+HLOOKUP($C62,BP!$BS$2:$CE$250,130,0)</f>
        <v>0</v>
      </c>
      <c r="BA62" s="106">
        <f>+HLOOKUP($C62,BP!$BS$2:$CE$250,131,0)</f>
        <v>10000</v>
      </c>
      <c r="BB62" s="106">
        <f>+HLOOKUP($C62,BP!$BS$2:$CE$250,133,0)</f>
        <v>0</v>
      </c>
      <c r="BC62" s="106">
        <f>+HLOOKUP($C62,BP!$BS$2:$CE$250,134,0)</f>
        <v>37156.738675000001</v>
      </c>
      <c r="BD62" s="106">
        <f>+HLOOKUP($C62,BP!$BS$2:$CE$250,135,0)</f>
        <v>0</v>
      </c>
      <c r="BE62" s="106">
        <f>+HLOOKUP($C62,BP!$BS$2:$CE$250,136,0)</f>
        <v>0</v>
      </c>
      <c r="BF62" s="106">
        <f>+HLOOKUP($C62,BP!$BS$2:$CE$250,138,0)</f>
        <v>3000</v>
      </c>
      <c r="BG62" s="106">
        <f>+HLOOKUP($C62,BP!$BS$2:$CE$250,139,0)</f>
        <v>2651.4425000000001</v>
      </c>
      <c r="BH62" s="106">
        <f>+HLOOKUP($C62,BP!$BS$2:$CE$250,140,0)</f>
        <v>19660.800000000003</v>
      </c>
      <c r="BI62" s="106">
        <f>+HLOOKUP($C62,BP!$BS$2:$CE$250,141,0)</f>
        <v>0</v>
      </c>
      <c r="BJ62" s="106">
        <f>+HLOOKUP($C62,BP!$BS$2:$CE$250,142,0)</f>
        <v>0</v>
      </c>
      <c r="BK62" s="106">
        <f>+HLOOKUP($C62,BP!$BS$2:$CE$250,143,0)</f>
        <v>10681.75</v>
      </c>
      <c r="BL62" s="106">
        <f>+HLOOKUP($C62,BP!$BS$2:$CE$250,144,0)</f>
        <v>3114.583333333333</v>
      </c>
      <c r="BM62" s="106">
        <f>+HLOOKUP($C62,BP!$BS$2:$CE$250,146,0)</f>
        <v>0</v>
      </c>
      <c r="BN62" s="106">
        <f>+HLOOKUP($C62,BP!$BS$2:$CE$250,147,0)</f>
        <v>0</v>
      </c>
      <c r="BO62" s="106">
        <f>+HLOOKUP($C62,BP!$BS$2:$CE$250,148,0)</f>
        <v>0</v>
      </c>
      <c r="BP62" s="106">
        <f>+HLOOKUP($C62,BP!$BS$2:$CE$250,150,0)</f>
        <v>32452.455000000002</v>
      </c>
      <c r="BQ62" s="106">
        <f>+HLOOKUP($C62,BP!$BS$2:$CE$250,151,0)</f>
        <v>0</v>
      </c>
      <c r="BR62" s="106">
        <f>+HLOOKUP($C62,BP!$BS$2:$CE$250,152,0)</f>
        <v>12800</v>
      </c>
      <c r="BS62" s="106">
        <f>+HLOOKUP($C62,BP!$BS$2:$CE$250,153,0)</f>
        <v>2400</v>
      </c>
      <c r="BT62" s="106">
        <f>+HLOOKUP($C62,BP!$BS$2:$CE$250,157,0)</f>
        <v>7320</v>
      </c>
      <c r="BU62" s="106">
        <f>+HLOOKUP($C62,BP!$BS$2:$CE$250,158,0)</f>
        <v>1740</v>
      </c>
      <c r="BV62" s="106">
        <f>+HLOOKUP($C62,BP!$BS$2:$CE$250,159,0)</f>
        <v>0</v>
      </c>
      <c r="BW62" s="106">
        <f>+HLOOKUP($C62,BP!$BS$2:$CE$250,160,0)</f>
        <v>14353.66666666667</v>
      </c>
      <c r="BX62" s="106">
        <f>+HLOOKUP($C62,BP!$BS$2:$CE$250,161,0)</f>
        <v>7486.4620249999862</v>
      </c>
      <c r="BY62" s="106">
        <f>+HLOOKUP($C62,BP!$BS$2:$CE$250,164,0)</f>
        <v>3200</v>
      </c>
      <c r="BZ62" s="106">
        <f>+HLOOKUP($C62,BP!$BS$2:$CE$250,165,0)</f>
        <v>0</v>
      </c>
      <c r="CA62" s="106">
        <f>+HLOOKUP($C62,BP!$BS$2:$CE$250,166,0)</f>
        <v>0</v>
      </c>
      <c r="CB62" s="106">
        <f>+HLOOKUP($C62,BP!$BS$2:$CE$250,167,0)</f>
        <v>0</v>
      </c>
      <c r="CC62" s="106">
        <f>+HLOOKUP($C62,BP!$BS$2:$CE$250,168,0)</f>
        <v>0</v>
      </c>
      <c r="CD62" s="106">
        <f>+HLOOKUP($C62,BP!$BS$2:$CE$250,169,0)</f>
        <v>0</v>
      </c>
      <c r="CE62" s="106">
        <f>+HLOOKUP($C62,BP!$BS$2:$CE$250,170,0)</f>
        <v>0</v>
      </c>
      <c r="CF62" s="106">
        <f>+HLOOKUP($C62,BP!$BS$2:$CE$250,172,0)</f>
        <v>21800</v>
      </c>
      <c r="CG62" s="106">
        <f>+HLOOKUP($C62,BP!$BS$2:$CE$250,173,0)</f>
        <v>12000</v>
      </c>
      <c r="CH62" s="106">
        <f>+HLOOKUP($C62,BP!$BS$2:$CE$250,174,0)</f>
        <v>57600</v>
      </c>
      <c r="CI62" s="106">
        <f>+HLOOKUP($C62,BP!$BS$2:$CE$250,175,0)</f>
        <v>4460</v>
      </c>
      <c r="CJ62" s="106">
        <f>+HLOOKUP($C62,BP!$BS$2:$CE$250,176,0)</f>
        <v>4740</v>
      </c>
      <c r="CK62" s="106">
        <f>+HLOOKUP($C62,BP!$BS$2:$CE$250,178,0)</f>
        <v>62718.55476363637</v>
      </c>
      <c r="CL62" s="106">
        <f>+HLOOKUP($C62,BP!$BS$2:$CE$250,179,0)</f>
        <v>0</v>
      </c>
      <c r="CM62" s="106">
        <f>+HLOOKUP($C62,BP!$BS$2:$CE$250,180,0)</f>
        <v>0</v>
      </c>
      <c r="CN62" s="106">
        <f>+HLOOKUP($C62,BP!$BS$2:$CE$250,182,0)</f>
        <v>491.40000000000003</v>
      </c>
      <c r="CO62" s="106">
        <f>+HLOOKUP($C62,BP!$BS$2:$CE$250,183,0)</f>
        <v>8743.6</v>
      </c>
      <c r="CP62" s="106">
        <f>+HLOOKUP($C62,BP!$BS$2:$CE$250,184,0)</f>
        <v>4320</v>
      </c>
      <c r="CQ62" s="106">
        <f>+HLOOKUP($C62,BP!$BS$2:$CE$250,185,0)</f>
        <v>0</v>
      </c>
      <c r="CR62" s="106">
        <f>+HLOOKUP($C62,BP!$BS$2:$CE$250,187,0)</f>
        <v>2499.84</v>
      </c>
      <c r="CS62" s="106">
        <f>+HLOOKUP($C62,BP!$BS$2:$CE$250,188,0)</f>
        <v>3180</v>
      </c>
      <c r="CT62" s="106">
        <f>+HLOOKUP($C62,BP!$BS$2:$CE$250,189,0)</f>
        <v>2000.04</v>
      </c>
      <c r="CU62" s="106">
        <f>+HLOOKUP($C62,BP!$BS$2:$CE$250,190,0)</f>
        <v>2026.68</v>
      </c>
      <c r="CV62" s="106">
        <f>+HLOOKUP($C62,BP!$BS$2:$CE$250,191,0)</f>
        <v>0</v>
      </c>
      <c r="CW62" s="106">
        <f>+HLOOKUP($C62,BP!$BS$2:$CE$250,193,0)</f>
        <v>11122.866666666669</v>
      </c>
      <c r="CX62" s="106">
        <f>+HLOOKUP($C62,BP!$BS$2:$CE$250,194,0)</f>
        <v>31.8</v>
      </c>
      <c r="CY62" s="106">
        <f>+HLOOKUP($C62,BP!$BS$2:$CE$250,195,0)</f>
        <v>0</v>
      </c>
      <c r="CZ62" s="106">
        <f>+HLOOKUP($C62,BP!$BS$2:$CE$250,196,0)</f>
        <v>0</v>
      </c>
      <c r="DA62" s="106">
        <f>+HLOOKUP($C62,BP!$BS$2:$CE$250,197,0)</f>
        <v>5836.8</v>
      </c>
      <c r="DB62" s="106">
        <f>+HLOOKUP($C62,BP!$BS$2:$CE$250,198,0)</f>
        <v>4044</v>
      </c>
      <c r="DC62" s="106">
        <f>+HLOOKUP($C62,BP!$BS$2:$CE$250,199,0)</f>
        <v>864</v>
      </c>
      <c r="DD62" s="106">
        <f>+HLOOKUP($C62,BP!$BS$2:$CE$250,200,0)</f>
        <v>232</v>
      </c>
      <c r="DE62" s="106">
        <f>+HLOOKUP($C62,BP!$BS$2:$CE$250,201,0)</f>
        <v>59.400000000000006</v>
      </c>
      <c r="DF62" s="106">
        <f>+HLOOKUP($C62,BP!$BS$2:$CE$250,202,0)</f>
        <v>0</v>
      </c>
      <c r="DG62" s="106">
        <f>+HLOOKUP($C62,BP!$BS$2:$CE$250,203,0)</f>
        <v>0</v>
      </c>
      <c r="DH62" s="106">
        <f>+HLOOKUP($C62,BP!$BS$2:$CE$250,205,0)</f>
        <v>0</v>
      </c>
      <c r="DI62" s="106">
        <f>+HLOOKUP($C62,BP!$BS$2:$CE$250,206,0)</f>
        <v>4656</v>
      </c>
      <c r="DJ62" s="106">
        <f>+HLOOKUP($C62,BP!$BS$2:$CE$250,207,0)</f>
        <v>676.33540000000028</v>
      </c>
      <c r="DK62" s="106">
        <f>+HLOOKUP($C62,BP!$BS$2:$CE$250,209,0)</f>
        <v>100000</v>
      </c>
      <c r="DL62" s="106">
        <f>+HLOOKUP($C62,BP!$BS$2:$CE$250,210,0)</f>
        <v>130311.41060700003</v>
      </c>
      <c r="DM62" s="106">
        <f>+HLOOKUP($C62,BP!$BS$2:$CE$250,211,0)</f>
        <v>0</v>
      </c>
      <c r="DN62" s="106">
        <f>+HLOOKUP($C62,BP!$BS$2:$CE$250,212,0)</f>
        <v>0</v>
      </c>
      <c r="DO62" s="106">
        <f>+HLOOKUP($C62,BP!$BS$2:$CE$250,214,0)</f>
        <v>0</v>
      </c>
      <c r="DP62" s="106">
        <f>+HLOOKUP($C62,BP!$BS$2:$CE$250,215,0)</f>
        <v>720</v>
      </c>
      <c r="DQ62" s="106">
        <f>+HLOOKUP($C62,BP!$BS$2:$CE$250,219,0)</f>
        <v>0</v>
      </c>
      <c r="DR62" s="106">
        <f>+HLOOKUP($C62,BP!$BS$2:$CE$250,220,0)</f>
        <v>0</v>
      </c>
      <c r="DS62" s="106">
        <f>+HLOOKUP($C62,BP!$BS$2:$CE$250,221,0)</f>
        <v>0</v>
      </c>
      <c r="DT62" s="106">
        <f>+HLOOKUP($C62,BP!$BS$2:$CE$250,223,0)</f>
        <v>15000</v>
      </c>
      <c r="DU62" s="106">
        <f>+HLOOKUP($C62,BP!$BS$2:$CE$250,224,0)</f>
        <v>0</v>
      </c>
      <c r="DV62" s="106">
        <f>+HLOOKUP($C62,BP!$BS$2:$CE$250,225,0)</f>
        <v>0</v>
      </c>
      <c r="DW62" s="106">
        <f>+HLOOKUP($C62,BP!$BS$2:$CE$250,227,0)</f>
        <v>0</v>
      </c>
      <c r="DX62" s="106">
        <f>+HLOOKUP($C62,BP!$BS$2:$CE$250,228,0)</f>
        <v>0</v>
      </c>
      <c r="DY62" s="106">
        <f>+HLOOKUP($C62,BP!$BS$2:$CE$250,236,0)</f>
        <v>0</v>
      </c>
      <c r="DZ62" s="106">
        <f>+HLOOKUP($C62,BP!$BS$2:$CE$250,237,0)</f>
        <v>21023.390764109521</v>
      </c>
      <c r="EA62" s="106">
        <f>+HLOOKUP($C62,BP!$BS$2:$CE$250,238,0)</f>
        <v>0</v>
      </c>
      <c r="EB62" s="106">
        <f>+HLOOKUP($C62,BP!$BS$2:$CE$250,240,0)</f>
        <v>386326.71292708302</v>
      </c>
    </row>
    <row r="63" spans="1:132">
      <c r="A63" t="s">
        <v>269</v>
      </c>
      <c r="B63" t="s">
        <v>218</v>
      </c>
      <c r="C63" s="117">
        <v>45962</v>
      </c>
      <c r="D63" s="106">
        <f t="shared" ref="D63:D109" si="1">+E63</f>
        <v>6859462.6600000001</v>
      </c>
      <c r="E63" s="106">
        <f>+HLOOKUP(C63,BP!$BS$2:$CE$250,28,0)+HLOOKUP(C63,BP!$BS$2:$CE$250,43,0)+HLOOKUP(C63,BP!$BS$2:$CE$250,44,0)+HLOOKUP(C63,BP!$BS$2:$CE$250,45,0)+HLOOKUP(C63,BP!$BS$2:$CE$250,54,0)+HLOOKUP(C63,BP!$BS$2:$CE$250,59,0)</f>
        <v>6859462.6600000001</v>
      </c>
      <c r="F63" s="106">
        <f>+HLOOKUP(C63,BP!$BS$2:$CE$250,37,0)+HLOOKUP(C63,BP!$BS$2:$CE$250,55,0)</f>
        <v>4214283.8951753741</v>
      </c>
      <c r="G63" s="106">
        <f>+HLOOKUP($C63,BP!$BS$2:$CE$250,76,0)</f>
        <v>0</v>
      </c>
      <c r="H63" s="106">
        <f>+HLOOKUP($C63,BP!$BS$2:$CE$250,77,0)</f>
        <v>0</v>
      </c>
      <c r="I63" s="106">
        <f>+HLOOKUP($C63,BP!$BS$2:$CE$250,78,0)</f>
        <v>0</v>
      </c>
      <c r="J63" s="106">
        <f>+HLOOKUP($C63,BP!$BS$2:$CE$250,79,0)</f>
        <v>0</v>
      </c>
      <c r="K63" s="106">
        <f>+HLOOKUP($C63,BP!$BS$2:$CE$250,80,0)</f>
        <v>0</v>
      </c>
      <c r="L63" s="106">
        <f>+HLOOKUP($C63,BP!$BS$2:$CE$250,81,0)</f>
        <v>15000</v>
      </c>
      <c r="M63" s="106">
        <f>+HLOOKUP($C63,BP!$BS$2:$CE$250,82,0)</f>
        <v>0</v>
      </c>
      <c r="N63" s="106">
        <f>+HLOOKUP($C63,BP!$BS$2:$CE$250,83,0)</f>
        <v>0</v>
      </c>
      <c r="O63" s="106">
        <f>+HLOOKUP($C63,BP!$BS$2:$CE$250,84,0)</f>
        <v>0</v>
      </c>
      <c r="P63" s="106">
        <f>+HLOOKUP($C63,BP!$BS$2:$CE$250,85,0)</f>
        <v>0</v>
      </c>
      <c r="Q63" s="106">
        <f>+HLOOKUP($C63,BP!$BS$2:$CE$250,87,0)</f>
        <v>109929.45600000001</v>
      </c>
      <c r="R63" s="106">
        <f>+HLOOKUP($C63,BP!$BS$2:$CE$250,90,0)</f>
        <v>0</v>
      </c>
      <c r="S63" s="106">
        <f>+HLOOKUP($C63,BP!$BS$2:$CE$250,91,0)</f>
        <v>0</v>
      </c>
      <c r="T63" s="106">
        <f>+HLOOKUP($C63,BP!$BS$2:$CE$250,92,0)</f>
        <v>0</v>
      </c>
      <c r="U63" s="106">
        <f>+HLOOKUP($C63,BP!$BS$2:$CE$250,93,0)</f>
        <v>0</v>
      </c>
      <c r="V63" s="106">
        <f>+HLOOKUP($C63,BP!$BS$2:$CE$250,94,0)</f>
        <v>0</v>
      </c>
      <c r="W63" s="106">
        <f>+HLOOKUP($C63,BP!$BS$2:$CE$250,95,0)</f>
        <v>0</v>
      </c>
      <c r="X63" s="106">
        <f>+HLOOKUP($C63,BP!$BS$2:$CE$250,96,0)</f>
        <v>0</v>
      </c>
      <c r="Y63" s="106">
        <f>+HLOOKUP($C63,BP!$BS$2:$CE$250,97,0)</f>
        <v>0</v>
      </c>
      <c r="Z63" s="106">
        <f>+HLOOKUP($C63,BP!$BS$2:$CE$250,98,0)</f>
        <v>0</v>
      </c>
      <c r="AA63" s="106">
        <f>+HLOOKUP($C63,BP!$BS$2:$CE$250,99,0)</f>
        <v>0</v>
      </c>
      <c r="AB63" s="106">
        <f>+HLOOKUP($C63,BP!$BS$2:$CE$250,100,0)</f>
        <v>0</v>
      </c>
      <c r="AC63" s="106">
        <f>+HLOOKUP($C63,BP!$BS$2:$CE$250,101,0)</f>
        <v>0</v>
      </c>
      <c r="AD63" s="106">
        <f>+HLOOKUP($C63,BP!$BS$2:$CE$250,104,0)</f>
        <v>8474.526244800003</v>
      </c>
      <c r="AE63" s="106">
        <f>+HLOOKUP($C63,BP!$BS$2:$CE$250,105,0)</f>
        <v>24457.507200000004</v>
      </c>
      <c r="AF63" s="106">
        <f>+HLOOKUP($C63,BP!$BS$2:$CE$250,106,0)</f>
        <v>0</v>
      </c>
      <c r="AG63" s="106">
        <f>+HLOOKUP($C63,BP!$BS$2:$CE$250,107,0)</f>
        <v>0</v>
      </c>
      <c r="AH63" s="106">
        <f>+HLOOKUP($C63,BP!$BS$2:$CE$250,108,0)</f>
        <v>0</v>
      </c>
      <c r="AI63" s="106">
        <f>+HLOOKUP($C63,BP!$BS$2:$CE$250,109,0)</f>
        <v>0</v>
      </c>
      <c r="AJ63" s="106">
        <f>+HLOOKUP($C63,BP!$BS$2:$CE$250,110,0)</f>
        <v>0</v>
      </c>
      <c r="AK63" s="106">
        <f>+HLOOKUP($C63,BP!$BS$2:$CE$250,111,0)</f>
        <v>1506.5824435200002</v>
      </c>
      <c r="AL63" s="106">
        <f>+HLOOKUP($C63,BP!$BS$2:$CE$250,112,0)</f>
        <v>0</v>
      </c>
      <c r="AM63" s="106">
        <f>+HLOOKUP($C63,BP!$BS$2:$CE$250,116,0)</f>
        <v>106300</v>
      </c>
      <c r="AN63" s="106">
        <f>+HLOOKUP($C63,BP!$BS$2:$CE$250,117,0)</f>
        <v>19120</v>
      </c>
      <c r="AO63" s="106">
        <f>+HLOOKUP($C63,BP!$BS$2:$CE$250,118,0)</f>
        <v>2500</v>
      </c>
      <c r="AP63" s="106">
        <f>+HLOOKUP($C63,BP!$BS$2:$CE$250,119,0)</f>
        <v>37120</v>
      </c>
      <c r="AQ63" s="106">
        <f>+HLOOKUP($C63,BP!$BS$2:$CE$250,120,0)</f>
        <v>5200</v>
      </c>
      <c r="AR63" s="106">
        <f>+HLOOKUP($C63,BP!$BS$2:$CE$250,121,0)</f>
        <v>2000</v>
      </c>
      <c r="AS63" s="106">
        <f>+HLOOKUP($C63,BP!$BS$2:$CE$250,122,0)</f>
        <v>56560</v>
      </c>
      <c r="AT63" s="106">
        <f>+HLOOKUP($C63,BP!$BS$2:$CE$250,123,0)</f>
        <v>14646.494290277777</v>
      </c>
      <c r="AU63" s="106">
        <f>+HLOOKUP($C63,BP!$BS$2:$CE$250,124,0)</f>
        <v>1866.75</v>
      </c>
      <c r="AV63" s="106">
        <f>+HLOOKUP($C63,BP!$BS$2:$CE$250,125,0)</f>
        <v>81780</v>
      </c>
      <c r="AW63" s="106">
        <f>+HLOOKUP($C63,BP!$BS$2:$CE$250,126,0)</f>
        <v>5110.5769230769229</v>
      </c>
      <c r="AX63" s="106">
        <f>+HLOOKUP($C63,BP!$BS$2:$CE$250,127,0)</f>
        <v>8274.9999999999982</v>
      </c>
      <c r="AY63" s="106">
        <f>+HLOOKUP($C63,BP!$BS$2:$CE$250,129,0)</f>
        <v>0</v>
      </c>
      <c r="AZ63" s="106">
        <f>+HLOOKUP($C63,BP!$BS$2:$CE$250,130,0)</f>
        <v>0</v>
      </c>
      <c r="BA63" s="106">
        <f>+HLOOKUP($C63,BP!$BS$2:$CE$250,131,0)</f>
        <v>10000</v>
      </c>
      <c r="BB63" s="106">
        <f>+HLOOKUP($C63,BP!$BS$2:$CE$250,133,0)</f>
        <v>0</v>
      </c>
      <c r="BC63" s="106">
        <f>+HLOOKUP($C63,BP!$BS$2:$CE$250,134,0)</f>
        <v>37156.738675000001</v>
      </c>
      <c r="BD63" s="106">
        <f>+HLOOKUP($C63,BP!$BS$2:$CE$250,135,0)</f>
        <v>0</v>
      </c>
      <c r="BE63" s="106">
        <f>+HLOOKUP($C63,BP!$BS$2:$CE$250,136,0)</f>
        <v>0</v>
      </c>
      <c r="BF63" s="106">
        <f>+HLOOKUP($C63,BP!$BS$2:$CE$250,138,0)</f>
        <v>3000</v>
      </c>
      <c r="BG63" s="106">
        <f>+HLOOKUP($C63,BP!$BS$2:$CE$250,139,0)</f>
        <v>2651.4425000000001</v>
      </c>
      <c r="BH63" s="106">
        <f>+HLOOKUP($C63,BP!$BS$2:$CE$250,140,0)</f>
        <v>19660.800000000003</v>
      </c>
      <c r="BI63" s="106">
        <f>+HLOOKUP($C63,BP!$BS$2:$CE$250,141,0)</f>
        <v>0</v>
      </c>
      <c r="BJ63" s="106">
        <f>+HLOOKUP($C63,BP!$BS$2:$CE$250,142,0)</f>
        <v>0</v>
      </c>
      <c r="BK63" s="106">
        <f>+HLOOKUP($C63,BP!$BS$2:$CE$250,143,0)</f>
        <v>10681.75</v>
      </c>
      <c r="BL63" s="106">
        <f>+HLOOKUP($C63,BP!$BS$2:$CE$250,144,0)</f>
        <v>2572.9166666666665</v>
      </c>
      <c r="BM63" s="106">
        <f>+HLOOKUP($C63,BP!$BS$2:$CE$250,146,0)</f>
        <v>0</v>
      </c>
      <c r="BN63" s="106">
        <f>+HLOOKUP($C63,BP!$BS$2:$CE$250,147,0)</f>
        <v>0</v>
      </c>
      <c r="BO63" s="106">
        <f>+HLOOKUP($C63,BP!$BS$2:$CE$250,148,0)</f>
        <v>0</v>
      </c>
      <c r="BP63" s="106">
        <f>+HLOOKUP($C63,BP!$BS$2:$CE$250,150,0)</f>
        <v>32452.455000000002</v>
      </c>
      <c r="BQ63" s="106">
        <f>+HLOOKUP($C63,BP!$BS$2:$CE$250,151,0)</f>
        <v>0</v>
      </c>
      <c r="BR63" s="106">
        <f>+HLOOKUP($C63,BP!$BS$2:$CE$250,152,0)</f>
        <v>12800</v>
      </c>
      <c r="BS63" s="106">
        <f>+HLOOKUP($C63,BP!$BS$2:$CE$250,153,0)</f>
        <v>2400</v>
      </c>
      <c r="BT63" s="106">
        <f>+HLOOKUP($C63,BP!$BS$2:$CE$250,157,0)</f>
        <v>7320</v>
      </c>
      <c r="BU63" s="106">
        <f>+HLOOKUP($C63,BP!$BS$2:$CE$250,158,0)</f>
        <v>1740</v>
      </c>
      <c r="BV63" s="106">
        <f>+HLOOKUP($C63,BP!$BS$2:$CE$250,159,0)</f>
        <v>0</v>
      </c>
      <c r="BW63" s="106">
        <f>+HLOOKUP($C63,BP!$BS$2:$CE$250,160,0)</f>
        <v>14353.66666666667</v>
      </c>
      <c r="BX63" s="106">
        <f>+HLOOKUP($C63,BP!$BS$2:$CE$250,161,0)</f>
        <v>7486.4620249999862</v>
      </c>
      <c r="BY63" s="106">
        <f>+HLOOKUP($C63,BP!$BS$2:$CE$250,164,0)</f>
        <v>3200</v>
      </c>
      <c r="BZ63" s="106">
        <f>+HLOOKUP($C63,BP!$BS$2:$CE$250,165,0)</f>
        <v>0</v>
      </c>
      <c r="CA63" s="106">
        <f>+HLOOKUP($C63,BP!$BS$2:$CE$250,166,0)</f>
        <v>0</v>
      </c>
      <c r="CB63" s="106">
        <f>+HLOOKUP($C63,BP!$BS$2:$CE$250,167,0)</f>
        <v>0</v>
      </c>
      <c r="CC63" s="106">
        <f>+HLOOKUP($C63,BP!$BS$2:$CE$250,168,0)</f>
        <v>0</v>
      </c>
      <c r="CD63" s="106">
        <f>+HLOOKUP($C63,BP!$BS$2:$CE$250,169,0)</f>
        <v>0</v>
      </c>
      <c r="CE63" s="106">
        <f>+HLOOKUP($C63,BP!$BS$2:$CE$250,170,0)</f>
        <v>0</v>
      </c>
      <c r="CF63" s="106">
        <f>+HLOOKUP($C63,BP!$BS$2:$CE$250,172,0)</f>
        <v>21800</v>
      </c>
      <c r="CG63" s="106">
        <f>+HLOOKUP($C63,BP!$BS$2:$CE$250,173,0)</f>
        <v>12000</v>
      </c>
      <c r="CH63" s="106">
        <f>+HLOOKUP($C63,BP!$BS$2:$CE$250,174,0)</f>
        <v>57600</v>
      </c>
      <c r="CI63" s="106">
        <f>+HLOOKUP($C63,BP!$BS$2:$CE$250,175,0)</f>
        <v>4460</v>
      </c>
      <c r="CJ63" s="106">
        <f>+HLOOKUP($C63,BP!$BS$2:$CE$250,176,0)</f>
        <v>4740</v>
      </c>
      <c r="CK63" s="106">
        <f>+HLOOKUP($C63,BP!$BS$2:$CE$250,178,0)</f>
        <v>62718.55476363637</v>
      </c>
      <c r="CL63" s="106">
        <f>+HLOOKUP($C63,BP!$BS$2:$CE$250,179,0)</f>
        <v>0</v>
      </c>
      <c r="CM63" s="106">
        <f>+HLOOKUP($C63,BP!$BS$2:$CE$250,180,0)</f>
        <v>0</v>
      </c>
      <c r="CN63" s="106">
        <f>+HLOOKUP($C63,BP!$BS$2:$CE$250,182,0)</f>
        <v>491.40000000000003</v>
      </c>
      <c r="CO63" s="106">
        <f>+HLOOKUP($C63,BP!$BS$2:$CE$250,183,0)</f>
        <v>8743.6</v>
      </c>
      <c r="CP63" s="106">
        <f>+HLOOKUP($C63,BP!$BS$2:$CE$250,184,0)</f>
        <v>4320</v>
      </c>
      <c r="CQ63" s="106">
        <f>+HLOOKUP($C63,BP!$BS$2:$CE$250,185,0)</f>
        <v>0</v>
      </c>
      <c r="CR63" s="106">
        <f>+HLOOKUP($C63,BP!$BS$2:$CE$250,187,0)</f>
        <v>2499.84</v>
      </c>
      <c r="CS63" s="106">
        <f>+HLOOKUP($C63,BP!$BS$2:$CE$250,188,0)</f>
        <v>3180</v>
      </c>
      <c r="CT63" s="106">
        <f>+HLOOKUP($C63,BP!$BS$2:$CE$250,189,0)</f>
        <v>2000.04</v>
      </c>
      <c r="CU63" s="106">
        <f>+HLOOKUP($C63,BP!$BS$2:$CE$250,190,0)</f>
        <v>2026.68</v>
      </c>
      <c r="CV63" s="106">
        <f>+HLOOKUP($C63,BP!$BS$2:$CE$250,191,0)</f>
        <v>0</v>
      </c>
      <c r="CW63" s="106">
        <f>+HLOOKUP($C63,BP!$BS$2:$CE$250,193,0)</f>
        <v>11122.866666666669</v>
      </c>
      <c r="CX63" s="106">
        <f>+HLOOKUP($C63,BP!$BS$2:$CE$250,194,0)</f>
        <v>31.8</v>
      </c>
      <c r="CY63" s="106">
        <f>+HLOOKUP($C63,BP!$BS$2:$CE$250,195,0)</f>
        <v>0</v>
      </c>
      <c r="CZ63" s="106">
        <f>+HLOOKUP($C63,BP!$BS$2:$CE$250,196,0)</f>
        <v>0</v>
      </c>
      <c r="DA63" s="106">
        <f>+HLOOKUP($C63,BP!$BS$2:$CE$250,197,0)</f>
        <v>5836.8</v>
      </c>
      <c r="DB63" s="106">
        <f>+HLOOKUP($C63,BP!$BS$2:$CE$250,198,0)</f>
        <v>4044</v>
      </c>
      <c r="DC63" s="106">
        <f>+HLOOKUP($C63,BP!$BS$2:$CE$250,199,0)</f>
        <v>864</v>
      </c>
      <c r="DD63" s="106">
        <f>+HLOOKUP($C63,BP!$BS$2:$CE$250,200,0)</f>
        <v>232</v>
      </c>
      <c r="DE63" s="106">
        <f>+HLOOKUP($C63,BP!$BS$2:$CE$250,201,0)</f>
        <v>59.400000000000006</v>
      </c>
      <c r="DF63" s="106">
        <f>+HLOOKUP($C63,BP!$BS$2:$CE$250,202,0)</f>
        <v>0</v>
      </c>
      <c r="DG63" s="106">
        <f>+HLOOKUP($C63,BP!$BS$2:$CE$250,203,0)</f>
        <v>0</v>
      </c>
      <c r="DH63" s="106">
        <f>+HLOOKUP($C63,BP!$BS$2:$CE$250,205,0)</f>
        <v>0</v>
      </c>
      <c r="DI63" s="106">
        <f>+HLOOKUP($C63,BP!$BS$2:$CE$250,206,0)</f>
        <v>4656</v>
      </c>
      <c r="DJ63" s="106">
        <f>+HLOOKUP($C63,BP!$BS$2:$CE$250,207,0)</f>
        <v>676.33540000000028</v>
      </c>
      <c r="DK63" s="106">
        <f>+HLOOKUP($C63,BP!$BS$2:$CE$250,209,0)</f>
        <v>100000</v>
      </c>
      <c r="DL63" s="106">
        <f>+HLOOKUP($C63,BP!$BS$2:$CE$250,210,0)</f>
        <v>130311.41060700003</v>
      </c>
      <c r="DM63" s="106">
        <f>+HLOOKUP($C63,BP!$BS$2:$CE$250,211,0)</f>
        <v>0</v>
      </c>
      <c r="DN63" s="106">
        <f>+HLOOKUP($C63,BP!$BS$2:$CE$250,212,0)</f>
        <v>0</v>
      </c>
      <c r="DO63" s="106">
        <f>+HLOOKUP($C63,BP!$BS$2:$CE$250,214,0)</f>
        <v>0</v>
      </c>
      <c r="DP63" s="106">
        <f>+HLOOKUP($C63,BP!$BS$2:$CE$250,215,0)</f>
        <v>720</v>
      </c>
      <c r="DQ63" s="106">
        <f>+HLOOKUP($C63,BP!$BS$2:$CE$250,219,0)</f>
        <v>0</v>
      </c>
      <c r="DR63" s="106">
        <f>+HLOOKUP($C63,BP!$BS$2:$CE$250,220,0)</f>
        <v>0</v>
      </c>
      <c r="DS63" s="106">
        <f>+HLOOKUP($C63,BP!$BS$2:$CE$250,221,0)</f>
        <v>0</v>
      </c>
      <c r="DT63" s="106">
        <f>+HLOOKUP($C63,BP!$BS$2:$CE$250,223,0)</f>
        <v>15000</v>
      </c>
      <c r="DU63" s="106">
        <f>+HLOOKUP($C63,BP!$BS$2:$CE$250,224,0)</f>
        <v>0</v>
      </c>
      <c r="DV63" s="106">
        <f>+HLOOKUP($C63,BP!$BS$2:$CE$250,225,0)</f>
        <v>0</v>
      </c>
      <c r="DW63" s="106">
        <f>+HLOOKUP($C63,BP!$BS$2:$CE$250,227,0)</f>
        <v>0</v>
      </c>
      <c r="DX63" s="106">
        <f>+HLOOKUP($C63,BP!$BS$2:$CE$250,228,0)</f>
        <v>0</v>
      </c>
      <c r="DY63" s="106">
        <f>+HLOOKUP($C63,BP!$BS$2:$CE$250,236,0)</f>
        <v>0</v>
      </c>
      <c r="DZ63" s="106">
        <f>+HLOOKUP($C63,BP!$BS$2:$CE$250,237,0)</f>
        <v>20635.862816317745</v>
      </c>
      <c r="EA63" s="106">
        <f>+HLOOKUP($C63,BP!$BS$2:$CE$250,238,0)</f>
        <v>0</v>
      </c>
      <c r="EB63" s="106">
        <f>+HLOOKUP($C63,BP!$BS$2:$CE$250,240,0)</f>
        <v>386326.71292708302</v>
      </c>
    </row>
    <row r="64" spans="1:132">
      <c r="A64" t="s">
        <v>269</v>
      </c>
      <c r="B64" t="s">
        <v>218</v>
      </c>
      <c r="C64" s="117">
        <v>45931</v>
      </c>
      <c r="D64" s="106">
        <f t="shared" si="1"/>
        <v>8432163.3099999987</v>
      </c>
      <c r="E64" s="106">
        <f>+HLOOKUP(C64,BP!$BS$2:$CE$250,28,0)+HLOOKUP(C64,BP!$BS$2:$CE$250,43,0)+HLOOKUP(C64,BP!$BS$2:$CE$250,44,0)+HLOOKUP(C64,BP!$BS$2:$CE$250,45,0)+HLOOKUP(C64,BP!$BS$2:$CE$250,54,0)+HLOOKUP(C64,BP!$BS$2:$CE$250,59,0)</f>
        <v>8432163.3099999987</v>
      </c>
      <c r="F64" s="106">
        <f>+HLOOKUP(C64,BP!$BS$2:$CE$250,37,0)+HLOOKUP(C64,BP!$BS$2:$CE$250,55,0)</f>
        <v>5217041.6903753728</v>
      </c>
      <c r="G64" s="106">
        <f>+HLOOKUP($C64,BP!$BS$2:$CE$250,76,0)</f>
        <v>0</v>
      </c>
      <c r="H64" s="106">
        <f>+HLOOKUP($C64,BP!$BS$2:$CE$250,77,0)</f>
        <v>0</v>
      </c>
      <c r="I64" s="106">
        <f>+HLOOKUP($C64,BP!$BS$2:$CE$250,78,0)</f>
        <v>0</v>
      </c>
      <c r="J64" s="106">
        <f>+HLOOKUP($C64,BP!$BS$2:$CE$250,79,0)</f>
        <v>0</v>
      </c>
      <c r="K64" s="106">
        <f>+HLOOKUP($C64,BP!$BS$2:$CE$250,80,0)</f>
        <v>0</v>
      </c>
      <c r="L64" s="106">
        <f>+HLOOKUP($C64,BP!$BS$2:$CE$250,81,0)</f>
        <v>15000</v>
      </c>
      <c r="M64" s="106">
        <f>+HLOOKUP($C64,BP!$BS$2:$CE$250,82,0)</f>
        <v>0</v>
      </c>
      <c r="N64" s="106">
        <f>+HLOOKUP($C64,BP!$BS$2:$CE$250,83,0)</f>
        <v>0</v>
      </c>
      <c r="O64" s="106">
        <f>+HLOOKUP($C64,BP!$BS$2:$CE$250,84,0)</f>
        <v>0</v>
      </c>
      <c r="P64" s="106">
        <f>+HLOOKUP($C64,BP!$BS$2:$CE$250,85,0)</f>
        <v>0</v>
      </c>
      <c r="Q64" s="106">
        <f>+HLOOKUP($C64,BP!$BS$2:$CE$250,87,0)</f>
        <v>137411.82</v>
      </c>
      <c r="R64" s="106">
        <f>+HLOOKUP($C64,BP!$BS$2:$CE$250,90,0)</f>
        <v>0</v>
      </c>
      <c r="S64" s="106">
        <f>+HLOOKUP($C64,BP!$BS$2:$CE$250,91,0)</f>
        <v>0</v>
      </c>
      <c r="T64" s="106">
        <f>+HLOOKUP($C64,BP!$BS$2:$CE$250,92,0)</f>
        <v>0</v>
      </c>
      <c r="U64" s="106">
        <f>+HLOOKUP($C64,BP!$BS$2:$CE$250,93,0)</f>
        <v>0</v>
      </c>
      <c r="V64" s="106">
        <f>+HLOOKUP($C64,BP!$BS$2:$CE$250,94,0)</f>
        <v>0</v>
      </c>
      <c r="W64" s="106">
        <f>+HLOOKUP($C64,BP!$BS$2:$CE$250,95,0)</f>
        <v>0</v>
      </c>
      <c r="X64" s="106">
        <f>+HLOOKUP($C64,BP!$BS$2:$CE$250,96,0)</f>
        <v>0</v>
      </c>
      <c r="Y64" s="106">
        <f>+HLOOKUP($C64,BP!$BS$2:$CE$250,97,0)</f>
        <v>0</v>
      </c>
      <c r="Z64" s="106">
        <f>+HLOOKUP($C64,BP!$BS$2:$CE$250,98,0)</f>
        <v>0</v>
      </c>
      <c r="AA64" s="106">
        <f>+HLOOKUP($C64,BP!$BS$2:$CE$250,99,0)</f>
        <v>0</v>
      </c>
      <c r="AB64" s="106">
        <f>+HLOOKUP($C64,BP!$BS$2:$CE$250,100,0)</f>
        <v>0</v>
      </c>
      <c r="AC64" s="106">
        <f>+HLOOKUP($C64,BP!$BS$2:$CE$250,101,0)</f>
        <v>0</v>
      </c>
      <c r="AD64" s="106">
        <f>+HLOOKUP($C64,BP!$BS$2:$CE$250,104,0)</f>
        <v>10593.157805999999</v>
      </c>
      <c r="AE64" s="106">
        <f>+HLOOKUP($C64,BP!$BS$2:$CE$250,105,0)</f>
        <v>30571.883999999995</v>
      </c>
      <c r="AF64" s="106">
        <f>+HLOOKUP($C64,BP!$BS$2:$CE$250,106,0)</f>
        <v>0</v>
      </c>
      <c r="AG64" s="106">
        <f>+HLOOKUP($C64,BP!$BS$2:$CE$250,107,0)</f>
        <v>0</v>
      </c>
      <c r="AH64" s="106">
        <f>+HLOOKUP($C64,BP!$BS$2:$CE$250,108,0)</f>
        <v>0</v>
      </c>
      <c r="AI64" s="106">
        <f>+HLOOKUP($C64,BP!$BS$2:$CE$250,109,0)</f>
        <v>0</v>
      </c>
      <c r="AJ64" s="106">
        <f>+HLOOKUP($C64,BP!$BS$2:$CE$250,110,0)</f>
        <v>0</v>
      </c>
      <c r="AK64" s="106">
        <f>+HLOOKUP($C64,BP!$BS$2:$CE$250,111,0)</f>
        <v>1883.2280543999998</v>
      </c>
      <c r="AL64" s="106">
        <f>+HLOOKUP($C64,BP!$BS$2:$CE$250,112,0)</f>
        <v>0</v>
      </c>
      <c r="AM64" s="106">
        <f>+HLOOKUP($C64,BP!$BS$2:$CE$250,116,0)</f>
        <v>106300</v>
      </c>
      <c r="AN64" s="106">
        <f>+HLOOKUP($C64,BP!$BS$2:$CE$250,117,0)</f>
        <v>19120</v>
      </c>
      <c r="AO64" s="106">
        <f>+HLOOKUP($C64,BP!$BS$2:$CE$250,118,0)</f>
        <v>2500</v>
      </c>
      <c r="AP64" s="106">
        <f>+HLOOKUP($C64,BP!$BS$2:$CE$250,119,0)</f>
        <v>37120</v>
      </c>
      <c r="AQ64" s="106">
        <f>+HLOOKUP($C64,BP!$BS$2:$CE$250,120,0)</f>
        <v>5200</v>
      </c>
      <c r="AR64" s="106">
        <f>+HLOOKUP($C64,BP!$BS$2:$CE$250,121,0)</f>
        <v>2000</v>
      </c>
      <c r="AS64" s="106">
        <f>+HLOOKUP($C64,BP!$BS$2:$CE$250,122,0)</f>
        <v>56560</v>
      </c>
      <c r="AT64" s="106">
        <f>+HLOOKUP($C64,BP!$BS$2:$CE$250,123,0)</f>
        <v>14646.494290277777</v>
      </c>
      <c r="AU64" s="106">
        <f>+HLOOKUP($C64,BP!$BS$2:$CE$250,124,0)</f>
        <v>1866.75</v>
      </c>
      <c r="AV64" s="106">
        <f>+HLOOKUP($C64,BP!$BS$2:$CE$250,125,0)</f>
        <v>81780</v>
      </c>
      <c r="AW64" s="106">
        <f>+HLOOKUP($C64,BP!$BS$2:$CE$250,126,0)</f>
        <v>5110.5769230769229</v>
      </c>
      <c r="AX64" s="106">
        <f>+HLOOKUP($C64,BP!$BS$2:$CE$250,127,0)</f>
        <v>8274.9999999999982</v>
      </c>
      <c r="AY64" s="106">
        <f>+HLOOKUP($C64,BP!$BS$2:$CE$250,129,0)</f>
        <v>0</v>
      </c>
      <c r="AZ64" s="106">
        <f>+HLOOKUP($C64,BP!$BS$2:$CE$250,130,0)</f>
        <v>0</v>
      </c>
      <c r="BA64" s="106">
        <f>+HLOOKUP($C64,BP!$BS$2:$CE$250,131,0)</f>
        <v>10000</v>
      </c>
      <c r="BB64" s="106">
        <f>+HLOOKUP($C64,BP!$BS$2:$CE$250,133,0)</f>
        <v>0</v>
      </c>
      <c r="BC64" s="106">
        <f>+HLOOKUP($C64,BP!$BS$2:$CE$250,134,0)</f>
        <v>37156.738675000001</v>
      </c>
      <c r="BD64" s="106">
        <f>+HLOOKUP($C64,BP!$BS$2:$CE$250,135,0)</f>
        <v>0</v>
      </c>
      <c r="BE64" s="106">
        <f>+HLOOKUP($C64,BP!$BS$2:$CE$250,136,0)</f>
        <v>0</v>
      </c>
      <c r="BF64" s="106">
        <f>+HLOOKUP($C64,BP!$BS$2:$CE$250,138,0)</f>
        <v>3000</v>
      </c>
      <c r="BG64" s="106">
        <f>+HLOOKUP($C64,BP!$BS$2:$CE$250,139,0)</f>
        <v>2651.4425000000001</v>
      </c>
      <c r="BH64" s="106">
        <f>+HLOOKUP($C64,BP!$BS$2:$CE$250,140,0)</f>
        <v>19660.800000000003</v>
      </c>
      <c r="BI64" s="106">
        <f>+HLOOKUP($C64,BP!$BS$2:$CE$250,141,0)</f>
        <v>0</v>
      </c>
      <c r="BJ64" s="106">
        <f>+HLOOKUP($C64,BP!$BS$2:$CE$250,142,0)</f>
        <v>0</v>
      </c>
      <c r="BK64" s="106">
        <f>+HLOOKUP($C64,BP!$BS$2:$CE$250,143,0)</f>
        <v>10681.75</v>
      </c>
      <c r="BL64" s="106">
        <f>+HLOOKUP($C64,BP!$BS$2:$CE$250,144,0)</f>
        <v>44281.25</v>
      </c>
      <c r="BM64" s="106">
        <f>+HLOOKUP($C64,BP!$BS$2:$CE$250,146,0)</f>
        <v>0</v>
      </c>
      <c r="BN64" s="106">
        <f>+HLOOKUP($C64,BP!$BS$2:$CE$250,147,0)</f>
        <v>0</v>
      </c>
      <c r="BO64" s="106">
        <f>+HLOOKUP($C64,BP!$BS$2:$CE$250,148,0)</f>
        <v>0</v>
      </c>
      <c r="BP64" s="106">
        <f>+HLOOKUP($C64,BP!$BS$2:$CE$250,150,0)</f>
        <v>32452.455000000002</v>
      </c>
      <c r="BQ64" s="106">
        <f>+HLOOKUP($C64,BP!$BS$2:$CE$250,151,0)</f>
        <v>0</v>
      </c>
      <c r="BR64" s="106">
        <f>+HLOOKUP($C64,BP!$BS$2:$CE$250,152,0)</f>
        <v>12800</v>
      </c>
      <c r="BS64" s="106">
        <f>+HLOOKUP($C64,BP!$BS$2:$CE$250,153,0)</f>
        <v>2400</v>
      </c>
      <c r="BT64" s="106">
        <f>+HLOOKUP($C64,BP!$BS$2:$CE$250,157,0)</f>
        <v>7320</v>
      </c>
      <c r="BU64" s="106">
        <f>+HLOOKUP($C64,BP!$BS$2:$CE$250,158,0)</f>
        <v>1740</v>
      </c>
      <c r="BV64" s="106">
        <f>+HLOOKUP($C64,BP!$BS$2:$CE$250,159,0)</f>
        <v>0</v>
      </c>
      <c r="BW64" s="106">
        <f>+HLOOKUP($C64,BP!$BS$2:$CE$250,160,0)</f>
        <v>14353.66666666667</v>
      </c>
      <c r="BX64" s="106">
        <f>+HLOOKUP($C64,BP!$BS$2:$CE$250,161,0)</f>
        <v>7486.4620249999862</v>
      </c>
      <c r="BY64" s="106">
        <f>+HLOOKUP($C64,BP!$BS$2:$CE$250,164,0)</f>
        <v>3200</v>
      </c>
      <c r="BZ64" s="106">
        <f>+HLOOKUP($C64,BP!$BS$2:$CE$250,165,0)</f>
        <v>0</v>
      </c>
      <c r="CA64" s="106">
        <f>+HLOOKUP($C64,BP!$BS$2:$CE$250,166,0)</f>
        <v>0</v>
      </c>
      <c r="CB64" s="106">
        <f>+HLOOKUP($C64,BP!$BS$2:$CE$250,167,0)</f>
        <v>0</v>
      </c>
      <c r="CC64" s="106">
        <f>+HLOOKUP($C64,BP!$BS$2:$CE$250,168,0)</f>
        <v>0</v>
      </c>
      <c r="CD64" s="106">
        <f>+HLOOKUP($C64,BP!$BS$2:$CE$250,169,0)</f>
        <v>0</v>
      </c>
      <c r="CE64" s="106">
        <f>+HLOOKUP($C64,BP!$BS$2:$CE$250,170,0)</f>
        <v>0</v>
      </c>
      <c r="CF64" s="106">
        <f>+HLOOKUP($C64,BP!$BS$2:$CE$250,172,0)</f>
        <v>21800</v>
      </c>
      <c r="CG64" s="106">
        <f>+HLOOKUP($C64,BP!$BS$2:$CE$250,173,0)</f>
        <v>12000</v>
      </c>
      <c r="CH64" s="106">
        <f>+HLOOKUP($C64,BP!$BS$2:$CE$250,174,0)</f>
        <v>57600</v>
      </c>
      <c r="CI64" s="106">
        <f>+HLOOKUP($C64,BP!$BS$2:$CE$250,175,0)</f>
        <v>4460</v>
      </c>
      <c r="CJ64" s="106">
        <f>+HLOOKUP($C64,BP!$BS$2:$CE$250,176,0)</f>
        <v>4740</v>
      </c>
      <c r="CK64" s="106">
        <f>+HLOOKUP($C64,BP!$BS$2:$CE$250,178,0)</f>
        <v>62718.55476363637</v>
      </c>
      <c r="CL64" s="106">
        <f>+HLOOKUP($C64,BP!$BS$2:$CE$250,179,0)</f>
        <v>0</v>
      </c>
      <c r="CM64" s="106">
        <f>+HLOOKUP($C64,BP!$BS$2:$CE$250,180,0)</f>
        <v>0</v>
      </c>
      <c r="CN64" s="106">
        <f>+HLOOKUP($C64,BP!$BS$2:$CE$250,182,0)</f>
        <v>491.40000000000003</v>
      </c>
      <c r="CO64" s="106">
        <f>+HLOOKUP($C64,BP!$BS$2:$CE$250,183,0)</f>
        <v>8743.6</v>
      </c>
      <c r="CP64" s="106">
        <f>+HLOOKUP($C64,BP!$BS$2:$CE$250,184,0)</f>
        <v>4320</v>
      </c>
      <c r="CQ64" s="106">
        <f>+HLOOKUP($C64,BP!$BS$2:$CE$250,185,0)</f>
        <v>0</v>
      </c>
      <c r="CR64" s="106">
        <f>+HLOOKUP($C64,BP!$BS$2:$CE$250,187,0)</f>
        <v>2499.84</v>
      </c>
      <c r="CS64" s="106">
        <f>+HLOOKUP($C64,BP!$BS$2:$CE$250,188,0)</f>
        <v>3180</v>
      </c>
      <c r="CT64" s="106">
        <f>+HLOOKUP($C64,BP!$BS$2:$CE$250,189,0)</f>
        <v>2000.04</v>
      </c>
      <c r="CU64" s="106">
        <f>+HLOOKUP($C64,BP!$BS$2:$CE$250,190,0)</f>
        <v>2026.68</v>
      </c>
      <c r="CV64" s="106">
        <f>+HLOOKUP($C64,BP!$BS$2:$CE$250,191,0)</f>
        <v>0</v>
      </c>
      <c r="CW64" s="106">
        <f>+HLOOKUP($C64,BP!$BS$2:$CE$250,193,0)</f>
        <v>11122.866666666669</v>
      </c>
      <c r="CX64" s="106">
        <f>+HLOOKUP($C64,BP!$BS$2:$CE$250,194,0)</f>
        <v>31.8</v>
      </c>
      <c r="CY64" s="106">
        <f>+HLOOKUP($C64,BP!$BS$2:$CE$250,195,0)</f>
        <v>0</v>
      </c>
      <c r="CZ64" s="106">
        <f>+HLOOKUP($C64,BP!$BS$2:$CE$250,196,0)</f>
        <v>0</v>
      </c>
      <c r="DA64" s="106">
        <f>+HLOOKUP($C64,BP!$BS$2:$CE$250,197,0)</f>
        <v>5836.8</v>
      </c>
      <c r="DB64" s="106">
        <f>+HLOOKUP($C64,BP!$BS$2:$CE$250,198,0)</f>
        <v>4044</v>
      </c>
      <c r="DC64" s="106">
        <f>+HLOOKUP($C64,BP!$BS$2:$CE$250,199,0)</f>
        <v>864</v>
      </c>
      <c r="DD64" s="106">
        <f>+HLOOKUP($C64,BP!$BS$2:$CE$250,200,0)</f>
        <v>232</v>
      </c>
      <c r="DE64" s="106">
        <f>+HLOOKUP($C64,BP!$BS$2:$CE$250,201,0)</f>
        <v>59.400000000000006</v>
      </c>
      <c r="DF64" s="106">
        <f>+HLOOKUP($C64,BP!$BS$2:$CE$250,202,0)</f>
        <v>0</v>
      </c>
      <c r="DG64" s="106">
        <f>+HLOOKUP($C64,BP!$BS$2:$CE$250,203,0)</f>
        <v>0</v>
      </c>
      <c r="DH64" s="106">
        <f>+HLOOKUP($C64,BP!$BS$2:$CE$250,205,0)</f>
        <v>0</v>
      </c>
      <c r="DI64" s="106">
        <f>+HLOOKUP($C64,BP!$BS$2:$CE$250,206,0)</f>
        <v>4656</v>
      </c>
      <c r="DJ64" s="106">
        <f>+HLOOKUP($C64,BP!$BS$2:$CE$250,207,0)</f>
        <v>676.33540000000028</v>
      </c>
      <c r="DK64" s="106">
        <f>+HLOOKUP($C64,BP!$BS$2:$CE$250,209,0)</f>
        <v>100000</v>
      </c>
      <c r="DL64" s="106">
        <f>+HLOOKUP($C64,BP!$BS$2:$CE$250,210,0)</f>
        <v>130311.41060700003</v>
      </c>
      <c r="DM64" s="106">
        <f>+HLOOKUP($C64,BP!$BS$2:$CE$250,211,0)</f>
        <v>0</v>
      </c>
      <c r="DN64" s="106">
        <f>+HLOOKUP($C64,BP!$BS$2:$CE$250,212,0)</f>
        <v>0</v>
      </c>
      <c r="DO64" s="106">
        <f>+HLOOKUP($C64,BP!$BS$2:$CE$250,214,0)</f>
        <v>0</v>
      </c>
      <c r="DP64" s="106">
        <f>+HLOOKUP($C64,BP!$BS$2:$CE$250,215,0)</f>
        <v>720</v>
      </c>
      <c r="DQ64" s="106">
        <f>+HLOOKUP($C64,BP!$BS$2:$CE$250,219,0)</f>
        <v>0</v>
      </c>
      <c r="DR64" s="106">
        <f>+HLOOKUP($C64,BP!$BS$2:$CE$250,220,0)</f>
        <v>0</v>
      </c>
      <c r="DS64" s="106">
        <f>+HLOOKUP($C64,BP!$BS$2:$CE$250,221,0)</f>
        <v>0</v>
      </c>
      <c r="DT64" s="106">
        <f>+HLOOKUP($C64,BP!$BS$2:$CE$250,223,0)</f>
        <v>15000</v>
      </c>
      <c r="DU64" s="106">
        <f>+HLOOKUP($C64,BP!$BS$2:$CE$250,224,0)</f>
        <v>0</v>
      </c>
      <c r="DV64" s="106">
        <f>+HLOOKUP($C64,BP!$BS$2:$CE$250,225,0)</f>
        <v>0</v>
      </c>
      <c r="DW64" s="106">
        <f>+HLOOKUP($C64,BP!$BS$2:$CE$250,227,0)</f>
        <v>0</v>
      </c>
      <c r="DX64" s="106">
        <f>+HLOOKUP($C64,BP!$BS$2:$CE$250,228,0)</f>
        <v>0</v>
      </c>
      <c r="DY64" s="106">
        <f>+HLOOKUP($C64,BP!$BS$2:$CE$250,236,0)</f>
        <v>0</v>
      </c>
      <c r="DZ64" s="106">
        <f>+HLOOKUP($C64,BP!$BS$2:$CE$250,237,0)</f>
        <v>21624.059056280483</v>
      </c>
      <c r="EA64" s="106">
        <f>+HLOOKUP($C64,BP!$BS$2:$CE$250,238,0)</f>
        <v>0</v>
      </c>
      <c r="EB64" s="106">
        <f>+HLOOKUP($C64,BP!$BS$2:$CE$250,240,0)</f>
        <v>386326.71292708302</v>
      </c>
    </row>
    <row r="65" spans="1:132">
      <c r="A65" t="s">
        <v>269</v>
      </c>
      <c r="B65" t="s">
        <v>218</v>
      </c>
      <c r="C65" s="117">
        <v>45901</v>
      </c>
      <c r="D65" s="106">
        <f t="shared" si="1"/>
        <v>9407738.1449999996</v>
      </c>
      <c r="E65" s="106">
        <f>+HLOOKUP(C65,BP!$BS$2:$CE$250,28,0)+HLOOKUP(C65,BP!$BS$2:$CE$250,43,0)+HLOOKUP(C65,BP!$BS$2:$CE$250,44,0)+HLOOKUP(C65,BP!$BS$2:$CE$250,45,0)+HLOOKUP(C65,BP!$BS$2:$CE$250,54,0)+HLOOKUP(C65,BP!$BS$2:$CE$250,59,0)</f>
        <v>9407738.1449999996</v>
      </c>
      <c r="F65" s="106">
        <f>+HLOOKUP(C65,BP!$BS$2:$CE$250,37,0)+HLOOKUP(C65,BP!$BS$2:$CE$250,55,0)</f>
        <v>5843765.3123753741</v>
      </c>
      <c r="G65" s="106">
        <f>+HLOOKUP($C65,BP!$BS$2:$CE$250,76,0)</f>
        <v>0</v>
      </c>
      <c r="H65" s="106">
        <f>+HLOOKUP($C65,BP!$BS$2:$CE$250,77,0)</f>
        <v>0</v>
      </c>
      <c r="I65" s="106">
        <f>+HLOOKUP($C65,BP!$BS$2:$CE$250,78,0)</f>
        <v>0</v>
      </c>
      <c r="J65" s="106">
        <f>+HLOOKUP($C65,BP!$BS$2:$CE$250,79,0)</f>
        <v>0</v>
      </c>
      <c r="K65" s="106">
        <f>+HLOOKUP($C65,BP!$BS$2:$CE$250,80,0)</f>
        <v>0</v>
      </c>
      <c r="L65" s="106">
        <f>+HLOOKUP($C65,BP!$BS$2:$CE$250,81,0)</f>
        <v>15000</v>
      </c>
      <c r="M65" s="106">
        <f>+HLOOKUP($C65,BP!$BS$2:$CE$250,82,0)</f>
        <v>0</v>
      </c>
      <c r="N65" s="106">
        <f>+HLOOKUP($C65,BP!$BS$2:$CE$250,83,0)</f>
        <v>0</v>
      </c>
      <c r="O65" s="106">
        <f>+HLOOKUP($C65,BP!$BS$2:$CE$250,84,0)</f>
        <v>0</v>
      </c>
      <c r="P65" s="106">
        <f>+HLOOKUP($C65,BP!$BS$2:$CE$250,85,0)</f>
        <v>0</v>
      </c>
      <c r="Q65" s="106">
        <f>+HLOOKUP($C65,BP!$BS$2:$CE$250,87,0)</f>
        <v>154588.29749999999</v>
      </c>
      <c r="R65" s="106">
        <f>+HLOOKUP($C65,BP!$BS$2:$CE$250,90,0)</f>
        <v>0</v>
      </c>
      <c r="S65" s="106">
        <f>+HLOOKUP($C65,BP!$BS$2:$CE$250,91,0)</f>
        <v>0</v>
      </c>
      <c r="T65" s="106">
        <f>+HLOOKUP($C65,BP!$BS$2:$CE$250,92,0)</f>
        <v>0</v>
      </c>
      <c r="U65" s="106">
        <f>+HLOOKUP($C65,BP!$BS$2:$CE$250,93,0)</f>
        <v>0</v>
      </c>
      <c r="V65" s="106">
        <f>+HLOOKUP($C65,BP!$BS$2:$CE$250,94,0)</f>
        <v>0</v>
      </c>
      <c r="W65" s="106">
        <f>+HLOOKUP($C65,BP!$BS$2:$CE$250,95,0)</f>
        <v>0</v>
      </c>
      <c r="X65" s="106">
        <f>+HLOOKUP($C65,BP!$BS$2:$CE$250,96,0)</f>
        <v>0</v>
      </c>
      <c r="Y65" s="106">
        <f>+HLOOKUP($C65,BP!$BS$2:$CE$250,97,0)</f>
        <v>0</v>
      </c>
      <c r="Z65" s="106">
        <f>+HLOOKUP($C65,BP!$BS$2:$CE$250,98,0)</f>
        <v>0</v>
      </c>
      <c r="AA65" s="106">
        <f>+HLOOKUP($C65,BP!$BS$2:$CE$250,99,0)</f>
        <v>0</v>
      </c>
      <c r="AB65" s="106">
        <f>+HLOOKUP($C65,BP!$BS$2:$CE$250,100,0)</f>
        <v>0</v>
      </c>
      <c r="AC65" s="106">
        <f>+HLOOKUP($C65,BP!$BS$2:$CE$250,101,0)</f>
        <v>0</v>
      </c>
      <c r="AD65" s="106">
        <f>+HLOOKUP($C65,BP!$BS$2:$CE$250,104,0)</f>
        <v>11917.302531750001</v>
      </c>
      <c r="AE65" s="106">
        <f>+HLOOKUP($C65,BP!$BS$2:$CE$250,105,0)</f>
        <v>34393.369500000001</v>
      </c>
      <c r="AF65" s="106">
        <f>+HLOOKUP($C65,BP!$BS$2:$CE$250,106,0)</f>
        <v>0</v>
      </c>
      <c r="AG65" s="106">
        <f>+HLOOKUP($C65,BP!$BS$2:$CE$250,107,0)</f>
        <v>0</v>
      </c>
      <c r="AH65" s="106">
        <f>+HLOOKUP($C65,BP!$BS$2:$CE$250,108,0)</f>
        <v>0</v>
      </c>
      <c r="AI65" s="106">
        <f>+HLOOKUP($C65,BP!$BS$2:$CE$250,109,0)</f>
        <v>0</v>
      </c>
      <c r="AJ65" s="106">
        <f>+HLOOKUP($C65,BP!$BS$2:$CE$250,110,0)</f>
        <v>0</v>
      </c>
      <c r="AK65" s="106">
        <f>+HLOOKUP($C65,BP!$BS$2:$CE$250,111,0)</f>
        <v>2118.6315611999999</v>
      </c>
      <c r="AL65" s="106">
        <f>+HLOOKUP($C65,BP!$BS$2:$CE$250,112,0)</f>
        <v>0</v>
      </c>
      <c r="AM65" s="106">
        <f>+HLOOKUP($C65,BP!$BS$2:$CE$250,116,0)</f>
        <v>106300</v>
      </c>
      <c r="AN65" s="106">
        <f>+HLOOKUP($C65,BP!$BS$2:$CE$250,117,0)</f>
        <v>19120</v>
      </c>
      <c r="AO65" s="106">
        <f>+HLOOKUP($C65,BP!$BS$2:$CE$250,118,0)</f>
        <v>2500</v>
      </c>
      <c r="AP65" s="106">
        <f>+HLOOKUP($C65,BP!$BS$2:$CE$250,119,0)</f>
        <v>37120</v>
      </c>
      <c r="AQ65" s="106">
        <f>+HLOOKUP($C65,BP!$BS$2:$CE$250,120,0)</f>
        <v>5200</v>
      </c>
      <c r="AR65" s="106">
        <f>+HLOOKUP($C65,BP!$BS$2:$CE$250,121,0)</f>
        <v>2000</v>
      </c>
      <c r="AS65" s="106">
        <f>+HLOOKUP($C65,BP!$BS$2:$CE$250,122,0)</f>
        <v>56560</v>
      </c>
      <c r="AT65" s="106">
        <f>+HLOOKUP($C65,BP!$BS$2:$CE$250,123,0)</f>
        <v>14646.494290277777</v>
      </c>
      <c r="AU65" s="106">
        <f>+HLOOKUP($C65,BP!$BS$2:$CE$250,124,0)</f>
        <v>1866.75</v>
      </c>
      <c r="AV65" s="106">
        <f>+HLOOKUP($C65,BP!$BS$2:$CE$250,125,0)</f>
        <v>81780</v>
      </c>
      <c r="AW65" s="106">
        <f>+HLOOKUP($C65,BP!$BS$2:$CE$250,126,0)</f>
        <v>5110.5769230769229</v>
      </c>
      <c r="AX65" s="106">
        <f>+HLOOKUP($C65,BP!$BS$2:$CE$250,127,0)</f>
        <v>8274.9999999999982</v>
      </c>
      <c r="AY65" s="106">
        <f>+HLOOKUP($C65,BP!$BS$2:$CE$250,129,0)</f>
        <v>0</v>
      </c>
      <c r="AZ65" s="106">
        <f>+HLOOKUP($C65,BP!$BS$2:$CE$250,130,0)</f>
        <v>0</v>
      </c>
      <c r="BA65" s="106">
        <f>+HLOOKUP($C65,BP!$BS$2:$CE$250,131,0)</f>
        <v>10000</v>
      </c>
      <c r="BB65" s="106">
        <f>+HLOOKUP($C65,BP!$BS$2:$CE$250,133,0)</f>
        <v>0</v>
      </c>
      <c r="BC65" s="106">
        <f>+HLOOKUP($C65,BP!$BS$2:$CE$250,134,0)</f>
        <v>37156.738675000001</v>
      </c>
      <c r="BD65" s="106">
        <f>+HLOOKUP($C65,BP!$BS$2:$CE$250,135,0)</f>
        <v>0</v>
      </c>
      <c r="BE65" s="106">
        <f>+HLOOKUP($C65,BP!$BS$2:$CE$250,136,0)</f>
        <v>0</v>
      </c>
      <c r="BF65" s="106">
        <f>+HLOOKUP($C65,BP!$BS$2:$CE$250,138,0)</f>
        <v>3000</v>
      </c>
      <c r="BG65" s="106">
        <f>+HLOOKUP($C65,BP!$BS$2:$CE$250,139,0)</f>
        <v>2651.4425000000001</v>
      </c>
      <c r="BH65" s="106">
        <f>+HLOOKUP($C65,BP!$BS$2:$CE$250,140,0)</f>
        <v>19660.800000000003</v>
      </c>
      <c r="BI65" s="106">
        <f>+HLOOKUP($C65,BP!$BS$2:$CE$250,141,0)</f>
        <v>0</v>
      </c>
      <c r="BJ65" s="106">
        <f>+HLOOKUP($C65,BP!$BS$2:$CE$250,142,0)</f>
        <v>0</v>
      </c>
      <c r="BK65" s="106">
        <f>+HLOOKUP($C65,BP!$BS$2:$CE$250,143,0)</f>
        <v>10681.75</v>
      </c>
      <c r="BL65" s="106">
        <f>+HLOOKUP($C65,BP!$BS$2:$CE$250,144,0)</f>
        <v>5822.9166666666661</v>
      </c>
      <c r="BM65" s="106">
        <f>+HLOOKUP($C65,BP!$BS$2:$CE$250,146,0)</f>
        <v>0</v>
      </c>
      <c r="BN65" s="106">
        <f>+HLOOKUP($C65,BP!$BS$2:$CE$250,147,0)</f>
        <v>0</v>
      </c>
      <c r="BO65" s="106">
        <f>+HLOOKUP($C65,BP!$BS$2:$CE$250,148,0)</f>
        <v>0</v>
      </c>
      <c r="BP65" s="106">
        <f>+HLOOKUP($C65,BP!$BS$2:$CE$250,150,0)</f>
        <v>32452.455000000002</v>
      </c>
      <c r="BQ65" s="106">
        <f>+HLOOKUP($C65,BP!$BS$2:$CE$250,151,0)</f>
        <v>0</v>
      </c>
      <c r="BR65" s="106">
        <f>+HLOOKUP($C65,BP!$BS$2:$CE$250,152,0)</f>
        <v>12800</v>
      </c>
      <c r="BS65" s="106">
        <f>+HLOOKUP($C65,BP!$BS$2:$CE$250,153,0)</f>
        <v>2400</v>
      </c>
      <c r="BT65" s="106">
        <f>+HLOOKUP($C65,BP!$BS$2:$CE$250,157,0)</f>
        <v>7320</v>
      </c>
      <c r="BU65" s="106">
        <f>+HLOOKUP($C65,BP!$BS$2:$CE$250,158,0)</f>
        <v>1740</v>
      </c>
      <c r="BV65" s="106">
        <f>+HLOOKUP($C65,BP!$BS$2:$CE$250,159,0)</f>
        <v>0</v>
      </c>
      <c r="BW65" s="106">
        <f>+HLOOKUP($C65,BP!$BS$2:$CE$250,160,0)</f>
        <v>14353.66666666667</v>
      </c>
      <c r="BX65" s="106">
        <f>+HLOOKUP($C65,BP!$BS$2:$CE$250,161,0)</f>
        <v>7129.9638333333342</v>
      </c>
      <c r="BY65" s="106">
        <f>+HLOOKUP($C65,BP!$BS$2:$CE$250,164,0)</f>
        <v>3200</v>
      </c>
      <c r="BZ65" s="106">
        <f>+HLOOKUP($C65,BP!$BS$2:$CE$250,165,0)</f>
        <v>0</v>
      </c>
      <c r="CA65" s="106">
        <f>+HLOOKUP($C65,BP!$BS$2:$CE$250,166,0)</f>
        <v>0</v>
      </c>
      <c r="CB65" s="106">
        <f>+HLOOKUP($C65,BP!$BS$2:$CE$250,167,0)</f>
        <v>0</v>
      </c>
      <c r="CC65" s="106">
        <f>+HLOOKUP($C65,BP!$BS$2:$CE$250,168,0)</f>
        <v>0</v>
      </c>
      <c r="CD65" s="106">
        <f>+HLOOKUP($C65,BP!$BS$2:$CE$250,169,0)</f>
        <v>3600</v>
      </c>
      <c r="CE65" s="106">
        <f>+HLOOKUP($C65,BP!$BS$2:$CE$250,170,0)</f>
        <v>0</v>
      </c>
      <c r="CF65" s="106">
        <f>+HLOOKUP($C65,BP!$BS$2:$CE$250,172,0)</f>
        <v>21800</v>
      </c>
      <c r="CG65" s="106">
        <f>+HLOOKUP($C65,BP!$BS$2:$CE$250,173,0)</f>
        <v>12000</v>
      </c>
      <c r="CH65" s="106">
        <f>+HLOOKUP($C65,BP!$BS$2:$CE$250,174,0)</f>
        <v>57600</v>
      </c>
      <c r="CI65" s="106">
        <f>+HLOOKUP($C65,BP!$BS$2:$CE$250,175,0)</f>
        <v>4460</v>
      </c>
      <c r="CJ65" s="106">
        <f>+HLOOKUP($C65,BP!$BS$2:$CE$250,176,0)</f>
        <v>4740</v>
      </c>
      <c r="CK65" s="106">
        <f>+HLOOKUP($C65,BP!$BS$2:$CE$250,178,0)</f>
        <v>62718.55476363637</v>
      </c>
      <c r="CL65" s="106">
        <f>+HLOOKUP($C65,BP!$BS$2:$CE$250,179,0)</f>
        <v>0</v>
      </c>
      <c r="CM65" s="106">
        <f>+HLOOKUP($C65,BP!$BS$2:$CE$250,180,0)</f>
        <v>0</v>
      </c>
      <c r="CN65" s="106">
        <f>+HLOOKUP($C65,BP!$BS$2:$CE$250,182,0)</f>
        <v>491.40000000000003</v>
      </c>
      <c r="CO65" s="106">
        <f>+HLOOKUP($C65,BP!$BS$2:$CE$250,183,0)</f>
        <v>8743.6</v>
      </c>
      <c r="CP65" s="106">
        <f>+HLOOKUP($C65,BP!$BS$2:$CE$250,184,0)</f>
        <v>4320</v>
      </c>
      <c r="CQ65" s="106">
        <f>+HLOOKUP($C65,BP!$BS$2:$CE$250,185,0)</f>
        <v>0</v>
      </c>
      <c r="CR65" s="106">
        <f>+HLOOKUP($C65,BP!$BS$2:$CE$250,187,0)</f>
        <v>2499.84</v>
      </c>
      <c r="CS65" s="106">
        <f>+HLOOKUP($C65,BP!$BS$2:$CE$250,188,0)</f>
        <v>3180</v>
      </c>
      <c r="CT65" s="106">
        <f>+HLOOKUP($C65,BP!$BS$2:$CE$250,189,0)</f>
        <v>2000.04</v>
      </c>
      <c r="CU65" s="106">
        <f>+HLOOKUP($C65,BP!$BS$2:$CE$250,190,0)</f>
        <v>2026.68</v>
      </c>
      <c r="CV65" s="106">
        <f>+HLOOKUP($C65,BP!$BS$2:$CE$250,191,0)</f>
        <v>0</v>
      </c>
      <c r="CW65" s="106">
        <f>+HLOOKUP($C65,BP!$BS$2:$CE$250,193,0)</f>
        <v>11122.866666666669</v>
      </c>
      <c r="CX65" s="106">
        <f>+HLOOKUP($C65,BP!$BS$2:$CE$250,194,0)</f>
        <v>31.8</v>
      </c>
      <c r="CY65" s="106">
        <f>+HLOOKUP($C65,BP!$BS$2:$CE$250,195,0)</f>
        <v>0</v>
      </c>
      <c r="CZ65" s="106">
        <f>+HLOOKUP($C65,BP!$BS$2:$CE$250,196,0)</f>
        <v>0</v>
      </c>
      <c r="DA65" s="106">
        <f>+HLOOKUP($C65,BP!$BS$2:$CE$250,197,0)</f>
        <v>5836.8</v>
      </c>
      <c r="DB65" s="106">
        <f>+HLOOKUP($C65,BP!$BS$2:$CE$250,198,0)</f>
        <v>4044</v>
      </c>
      <c r="DC65" s="106">
        <f>+HLOOKUP($C65,BP!$BS$2:$CE$250,199,0)</f>
        <v>864</v>
      </c>
      <c r="DD65" s="106">
        <f>+HLOOKUP($C65,BP!$BS$2:$CE$250,200,0)</f>
        <v>232</v>
      </c>
      <c r="DE65" s="106">
        <f>+HLOOKUP($C65,BP!$BS$2:$CE$250,201,0)</f>
        <v>59.400000000000006</v>
      </c>
      <c r="DF65" s="106">
        <f>+HLOOKUP($C65,BP!$BS$2:$CE$250,202,0)</f>
        <v>0</v>
      </c>
      <c r="DG65" s="106">
        <f>+HLOOKUP($C65,BP!$BS$2:$CE$250,203,0)</f>
        <v>0</v>
      </c>
      <c r="DH65" s="106">
        <f>+HLOOKUP($C65,BP!$BS$2:$CE$250,205,0)</f>
        <v>0</v>
      </c>
      <c r="DI65" s="106">
        <f>+HLOOKUP($C65,BP!$BS$2:$CE$250,206,0)</f>
        <v>4656</v>
      </c>
      <c r="DJ65" s="106">
        <f>+HLOOKUP($C65,BP!$BS$2:$CE$250,207,0)</f>
        <v>710.49866666666685</v>
      </c>
      <c r="DK65" s="106">
        <f>+HLOOKUP($C65,BP!$BS$2:$CE$250,209,0)</f>
        <v>100000</v>
      </c>
      <c r="DL65" s="106">
        <f>+HLOOKUP($C65,BP!$BS$2:$CE$250,210,0)</f>
        <v>130311.41060700003</v>
      </c>
      <c r="DM65" s="106">
        <f>+HLOOKUP($C65,BP!$BS$2:$CE$250,211,0)</f>
        <v>0</v>
      </c>
      <c r="DN65" s="106">
        <f>+HLOOKUP($C65,BP!$BS$2:$CE$250,212,0)</f>
        <v>0</v>
      </c>
      <c r="DO65" s="106">
        <f>+HLOOKUP($C65,BP!$BS$2:$CE$250,214,0)</f>
        <v>0</v>
      </c>
      <c r="DP65" s="106">
        <f>+HLOOKUP($C65,BP!$BS$2:$CE$250,215,0)</f>
        <v>720</v>
      </c>
      <c r="DQ65" s="106">
        <f>+HLOOKUP($C65,BP!$BS$2:$CE$250,219,0)</f>
        <v>0</v>
      </c>
      <c r="DR65" s="106">
        <f>+HLOOKUP($C65,BP!$BS$2:$CE$250,220,0)</f>
        <v>0</v>
      </c>
      <c r="DS65" s="106">
        <f>+HLOOKUP($C65,BP!$BS$2:$CE$250,221,0)</f>
        <v>0</v>
      </c>
      <c r="DT65" s="106">
        <f>+HLOOKUP($C65,BP!$BS$2:$CE$250,223,0)</f>
        <v>15000</v>
      </c>
      <c r="DU65" s="106">
        <f>+HLOOKUP($C65,BP!$BS$2:$CE$250,224,0)</f>
        <v>0</v>
      </c>
      <c r="DV65" s="106">
        <f>+HLOOKUP($C65,BP!$BS$2:$CE$250,225,0)</f>
        <v>0</v>
      </c>
      <c r="DW65" s="106">
        <f>+HLOOKUP($C65,BP!$BS$2:$CE$250,227,0)</f>
        <v>0</v>
      </c>
      <c r="DX65" s="106">
        <f>+HLOOKUP($C65,BP!$BS$2:$CE$250,228,0)</f>
        <v>0</v>
      </c>
      <c r="DY65" s="106">
        <f>+HLOOKUP($C65,BP!$BS$2:$CE$250,236,0)</f>
        <v>0</v>
      </c>
      <c r="DZ65" s="106">
        <f>+HLOOKUP($C65,BP!$BS$2:$CE$250,237,0)</f>
        <v>21217.154711967058</v>
      </c>
      <c r="EA65" s="106">
        <f>+HLOOKUP($C65,BP!$BS$2:$CE$250,238,0)</f>
        <v>0</v>
      </c>
      <c r="EB65" s="106">
        <f>+HLOOKUP($C65,BP!$BS$2:$CE$250,240,0)</f>
        <v>386326.71292708302</v>
      </c>
    </row>
    <row r="66" spans="1:132">
      <c r="A66" t="s">
        <v>269</v>
      </c>
      <c r="B66" t="s">
        <v>218</v>
      </c>
      <c r="C66" s="117">
        <v>45870</v>
      </c>
      <c r="D66" s="106">
        <f t="shared" si="1"/>
        <v>8930726.1750000007</v>
      </c>
      <c r="E66" s="106">
        <f>+HLOOKUP(C66,BP!$BS$2:$CE$250,28,0)+HLOOKUP(C66,BP!$BS$2:$CE$250,43,0)+HLOOKUP(C66,BP!$BS$2:$CE$250,44,0)+HLOOKUP(C66,BP!$BS$2:$CE$250,45,0)+HLOOKUP(C66,BP!$BS$2:$CE$250,54,0)+HLOOKUP(C66,BP!$BS$2:$CE$250,59,0)</f>
        <v>8930726.1750000007</v>
      </c>
      <c r="F66" s="106">
        <f>+HLOOKUP(C66,BP!$BS$2:$CE$250,37,0)+HLOOKUP(C66,BP!$BS$2:$CE$250,55,0)</f>
        <v>5521450.3067753743</v>
      </c>
      <c r="G66" s="106">
        <f>+HLOOKUP($C66,BP!$BS$2:$CE$250,76,0)</f>
        <v>0</v>
      </c>
      <c r="H66" s="106">
        <f>+HLOOKUP($C66,BP!$BS$2:$CE$250,77,0)</f>
        <v>0</v>
      </c>
      <c r="I66" s="106">
        <f>+HLOOKUP($C66,BP!$BS$2:$CE$250,78,0)</f>
        <v>0</v>
      </c>
      <c r="J66" s="106">
        <f>+HLOOKUP($C66,BP!$BS$2:$CE$250,79,0)</f>
        <v>0</v>
      </c>
      <c r="K66" s="106">
        <f>+HLOOKUP($C66,BP!$BS$2:$CE$250,80,0)</f>
        <v>0</v>
      </c>
      <c r="L66" s="106">
        <f>+HLOOKUP($C66,BP!$BS$2:$CE$250,81,0)</f>
        <v>15000</v>
      </c>
      <c r="M66" s="106">
        <f>+HLOOKUP($C66,BP!$BS$2:$CE$250,82,0)</f>
        <v>0</v>
      </c>
      <c r="N66" s="106">
        <f>+HLOOKUP($C66,BP!$BS$2:$CE$250,83,0)</f>
        <v>0</v>
      </c>
      <c r="O66" s="106">
        <f>+HLOOKUP($C66,BP!$BS$2:$CE$250,84,0)</f>
        <v>0</v>
      </c>
      <c r="P66" s="106">
        <f>+HLOOKUP($C66,BP!$BS$2:$CE$250,85,0)</f>
        <v>0</v>
      </c>
      <c r="Q66" s="106">
        <f>+HLOOKUP($C66,BP!$BS$2:$CE$250,87,0)</f>
        <v>145754.68050000002</v>
      </c>
      <c r="R66" s="106">
        <f>+HLOOKUP($C66,BP!$BS$2:$CE$250,90,0)</f>
        <v>0</v>
      </c>
      <c r="S66" s="106">
        <f>+HLOOKUP($C66,BP!$BS$2:$CE$250,91,0)</f>
        <v>0</v>
      </c>
      <c r="T66" s="106">
        <f>+HLOOKUP($C66,BP!$BS$2:$CE$250,92,0)</f>
        <v>0</v>
      </c>
      <c r="U66" s="106">
        <f>+HLOOKUP($C66,BP!$BS$2:$CE$250,93,0)</f>
        <v>0</v>
      </c>
      <c r="V66" s="106">
        <f>+HLOOKUP($C66,BP!$BS$2:$CE$250,94,0)</f>
        <v>0</v>
      </c>
      <c r="W66" s="106">
        <f>+HLOOKUP($C66,BP!$BS$2:$CE$250,95,0)</f>
        <v>0</v>
      </c>
      <c r="X66" s="106">
        <f>+HLOOKUP($C66,BP!$BS$2:$CE$250,96,0)</f>
        <v>0</v>
      </c>
      <c r="Y66" s="106">
        <f>+HLOOKUP($C66,BP!$BS$2:$CE$250,97,0)</f>
        <v>0</v>
      </c>
      <c r="Z66" s="106">
        <f>+HLOOKUP($C66,BP!$BS$2:$CE$250,98,0)</f>
        <v>0</v>
      </c>
      <c r="AA66" s="106">
        <f>+HLOOKUP($C66,BP!$BS$2:$CE$250,99,0)</f>
        <v>0</v>
      </c>
      <c r="AB66" s="106">
        <f>+HLOOKUP($C66,BP!$BS$2:$CE$250,100,0)</f>
        <v>0</v>
      </c>
      <c r="AC66" s="106">
        <f>+HLOOKUP($C66,BP!$BS$2:$CE$250,101,0)</f>
        <v>0</v>
      </c>
      <c r="AD66" s="106">
        <f>+HLOOKUP($C66,BP!$BS$2:$CE$250,104,0)</f>
        <v>11236.313815650003</v>
      </c>
      <c r="AE66" s="106">
        <f>+HLOOKUP($C66,BP!$BS$2:$CE$250,105,0)</f>
        <v>32428.034100000001</v>
      </c>
      <c r="AF66" s="106">
        <f>+HLOOKUP($C66,BP!$BS$2:$CE$250,106,0)</f>
        <v>0</v>
      </c>
      <c r="AG66" s="106">
        <f>+HLOOKUP($C66,BP!$BS$2:$CE$250,107,0)</f>
        <v>0</v>
      </c>
      <c r="AH66" s="106">
        <f>+HLOOKUP($C66,BP!$BS$2:$CE$250,108,0)</f>
        <v>0</v>
      </c>
      <c r="AI66" s="106">
        <f>+HLOOKUP($C66,BP!$BS$2:$CE$250,109,0)</f>
        <v>0</v>
      </c>
      <c r="AJ66" s="106">
        <f>+HLOOKUP($C66,BP!$BS$2:$CE$250,110,0)</f>
        <v>0</v>
      </c>
      <c r="AK66" s="106">
        <f>+HLOOKUP($C66,BP!$BS$2:$CE$250,111,0)</f>
        <v>1997.5669005600002</v>
      </c>
      <c r="AL66" s="106">
        <f>+HLOOKUP($C66,BP!$BS$2:$CE$250,112,0)</f>
        <v>0</v>
      </c>
      <c r="AM66" s="106">
        <f>+HLOOKUP($C66,BP!$BS$2:$CE$250,116,0)</f>
        <v>106300</v>
      </c>
      <c r="AN66" s="106">
        <f>+HLOOKUP($C66,BP!$BS$2:$CE$250,117,0)</f>
        <v>19120</v>
      </c>
      <c r="AO66" s="106">
        <f>+HLOOKUP($C66,BP!$BS$2:$CE$250,118,0)</f>
        <v>2500</v>
      </c>
      <c r="AP66" s="106">
        <f>+HLOOKUP($C66,BP!$BS$2:$CE$250,119,0)</f>
        <v>37120</v>
      </c>
      <c r="AQ66" s="106">
        <f>+HLOOKUP($C66,BP!$BS$2:$CE$250,120,0)</f>
        <v>5200</v>
      </c>
      <c r="AR66" s="106">
        <f>+HLOOKUP($C66,BP!$BS$2:$CE$250,121,0)</f>
        <v>2000</v>
      </c>
      <c r="AS66" s="106">
        <f>+HLOOKUP($C66,BP!$BS$2:$CE$250,122,0)</f>
        <v>56560</v>
      </c>
      <c r="AT66" s="106">
        <f>+HLOOKUP($C66,BP!$BS$2:$CE$250,123,0)</f>
        <v>14646.494290277777</v>
      </c>
      <c r="AU66" s="106">
        <f>+HLOOKUP($C66,BP!$BS$2:$CE$250,124,0)</f>
        <v>1866.75</v>
      </c>
      <c r="AV66" s="106">
        <f>+HLOOKUP($C66,BP!$BS$2:$CE$250,125,0)</f>
        <v>81780</v>
      </c>
      <c r="AW66" s="106">
        <f>+HLOOKUP($C66,BP!$BS$2:$CE$250,126,0)</f>
        <v>5110.5769230769229</v>
      </c>
      <c r="AX66" s="106">
        <f>+HLOOKUP($C66,BP!$BS$2:$CE$250,127,0)</f>
        <v>8274.9999999999982</v>
      </c>
      <c r="AY66" s="106">
        <f>+HLOOKUP($C66,BP!$BS$2:$CE$250,129,0)</f>
        <v>0</v>
      </c>
      <c r="AZ66" s="106">
        <f>+HLOOKUP($C66,BP!$BS$2:$CE$250,130,0)</f>
        <v>0</v>
      </c>
      <c r="BA66" s="106">
        <f>+HLOOKUP($C66,BP!$BS$2:$CE$250,131,0)</f>
        <v>10000</v>
      </c>
      <c r="BB66" s="106">
        <f>+HLOOKUP($C66,BP!$BS$2:$CE$250,133,0)</f>
        <v>0</v>
      </c>
      <c r="BC66" s="106">
        <f>+HLOOKUP($C66,BP!$BS$2:$CE$250,134,0)</f>
        <v>37156.738675000001</v>
      </c>
      <c r="BD66" s="106">
        <f>+HLOOKUP($C66,BP!$BS$2:$CE$250,135,0)</f>
        <v>0</v>
      </c>
      <c r="BE66" s="106">
        <f>+HLOOKUP($C66,BP!$BS$2:$CE$250,136,0)</f>
        <v>0</v>
      </c>
      <c r="BF66" s="106">
        <f>+HLOOKUP($C66,BP!$BS$2:$CE$250,138,0)</f>
        <v>3000</v>
      </c>
      <c r="BG66" s="106">
        <f>+HLOOKUP($C66,BP!$BS$2:$CE$250,139,0)</f>
        <v>2651.4425000000001</v>
      </c>
      <c r="BH66" s="106">
        <f>+HLOOKUP($C66,BP!$BS$2:$CE$250,140,0)</f>
        <v>19660.800000000003</v>
      </c>
      <c r="BI66" s="106">
        <f>+HLOOKUP($C66,BP!$BS$2:$CE$250,141,0)</f>
        <v>0</v>
      </c>
      <c r="BJ66" s="106">
        <f>+HLOOKUP($C66,BP!$BS$2:$CE$250,142,0)</f>
        <v>0</v>
      </c>
      <c r="BK66" s="106">
        <f>+HLOOKUP($C66,BP!$BS$2:$CE$250,143,0)</f>
        <v>10681.75</v>
      </c>
      <c r="BL66" s="106">
        <f>+HLOOKUP($C66,BP!$BS$2:$CE$250,144,0)</f>
        <v>2572.9166666666665</v>
      </c>
      <c r="BM66" s="106">
        <f>+HLOOKUP($C66,BP!$BS$2:$CE$250,146,0)</f>
        <v>0</v>
      </c>
      <c r="BN66" s="106">
        <f>+HLOOKUP($C66,BP!$BS$2:$CE$250,147,0)</f>
        <v>0</v>
      </c>
      <c r="BO66" s="106">
        <f>+HLOOKUP($C66,BP!$BS$2:$CE$250,148,0)</f>
        <v>0</v>
      </c>
      <c r="BP66" s="106">
        <f>+HLOOKUP($C66,BP!$BS$2:$CE$250,150,0)</f>
        <v>32452.455000000002</v>
      </c>
      <c r="BQ66" s="106">
        <f>+HLOOKUP($C66,BP!$BS$2:$CE$250,151,0)</f>
        <v>0</v>
      </c>
      <c r="BR66" s="106">
        <f>+HLOOKUP($C66,BP!$BS$2:$CE$250,152,0)</f>
        <v>12800</v>
      </c>
      <c r="BS66" s="106">
        <f>+HLOOKUP($C66,BP!$BS$2:$CE$250,153,0)</f>
        <v>2400</v>
      </c>
      <c r="BT66" s="106">
        <f>+HLOOKUP($C66,BP!$BS$2:$CE$250,157,0)</f>
        <v>7320</v>
      </c>
      <c r="BU66" s="106">
        <f>+HLOOKUP($C66,BP!$BS$2:$CE$250,158,0)</f>
        <v>1740</v>
      </c>
      <c r="BV66" s="106">
        <f>+HLOOKUP($C66,BP!$BS$2:$CE$250,159,0)</f>
        <v>0</v>
      </c>
      <c r="BW66" s="106">
        <f>+HLOOKUP($C66,BP!$BS$2:$CE$250,160,0)</f>
        <v>14353.66666666667</v>
      </c>
      <c r="BX66" s="106">
        <f>+HLOOKUP($C66,BP!$BS$2:$CE$250,161,0)</f>
        <v>7129.9638333333342</v>
      </c>
      <c r="BY66" s="106">
        <f>+HLOOKUP($C66,BP!$BS$2:$CE$250,164,0)</f>
        <v>3200</v>
      </c>
      <c r="BZ66" s="106">
        <f>+HLOOKUP($C66,BP!$BS$2:$CE$250,165,0)</f>
        <v>0</v>
      </c>
      <c r="CA66" s="106">
        <f>+HLOOKUP($C66,BP!$BS$2:$CE$250,166,0)</f>
        <v>0</v>
      </c>
      <c r="CB66" s="106">
        <f>+HLOOKUP($C66,BP!$BS$2:$CE$250,167,0)</f>
        <v>0</v>
      </c>
      <c r="CC66" s="106">
        <f>+HLOOKUP($C66,BP!$BS$2:$CE$250,168,0)</f>
        <v>0</v>
      </c>
      <c r="CD66" s="106">
        <f>+HLOOKUP($C66,BP!$BS$2:$CE$250,169,0)</f>
        <v>0</v>
      </c>
      <c r="CE66" s="106">
        <f>+HLOOKUP($C66,BP!$BS$2:$CE$250,170,0)</f>
        <v>0</v>
      </c>
      <c r="CF66" s="106">
        <f>+HLOOKUP($C66,BP!$BS$2:$CE$250,172,0)</f>
        <v>21800</v>
      </c>
      <c r="CG66" s="106">
        <f>+HLOOKUP($C66,BP!$BS$2:$CE$250,173,0)</f>
        <v>12000</v>
      </c>
      <c r="CH66" s="106">
        <f>+HLOOKUP($C66,BP!$BS$2:$CE$250,174,0)</f>
        <v>57600</v>
      </c>
      <c r="CI66" s="106">
        <f>+HLOOKUP($C66,BP!$BS$2:$CE$250,175,0)</f>
        <v>4460</v>
      </c>
      <c r="CJ66" s="106">
        <f>+HLOOKUP($C66,BP!$BS$2:$CE$250,176,0)</f>
        <v>4740</v>
      </c>
      <c r="CK66" s="106">
        <f>+HLOOKUP($C66,BP!$BS$2:$CE$250,178,0)</f>
        <v>62718.55476363637</v>
      </c>
      <c r="CL66" s="106">
        <f>+HLOOKUP($C66,BP!$BS$2:$CE$250,179,0)</f>
        <v>0</v>
      </c>
      <c r="CM66" s="106">
        <f>+HLOOKUP($C66,BP!$BS$2:$CE$250,180,0)</f>
        <v>0</v>
      </c>
      <c r="CN66" s="106">
        <f>+HLOOKUP($C66,BP!$BS$2:$CE$250,182,0)</f>
        <v>491.40000000000003</v>
      </c>
      <c r="CO66" s="106">
        <f>+HLOOKUP($C66,BP!$BS$2:$CE$250,183,0)</f>
        <v>8743.6</v>
      </c>
      <c r="CP66" s="106">
        <f>+HLOOKUP($C66,BP!$BS$2:$CE$250,184,0)</f>
        <v>4320</v>
      </c>
      <c r="CQ66" s="106">
        <f>+HLOOKUP($C66,BP!$BS$2:$CE$250,185,0)</f>
        <v>0</v>
      </c>
      <c r="CR66" s="106">
        <f>+HLOOKUP($C66,BP!$BS$2:$CE$250,187,0)</f>
        <v>2499.84</v>
      </c>
      <c r="CS66" s="106">
        <f>+HLOOKUP($C66,BP!$BS$2:$CE$250,188,0)</f>
        <v>3180</v>
      </c>
      <c r="CT66" s="106">
        <f>+HLOOKUP($C66,BP!$BS$2:$CE$250,189,0)</f>
        <v>2000.04</v>
      </c>
      <c r="CU66" s="106">
        <f>+HLOOKUP($C66,BP!$BS$2:$CE$250,190,0)</f>
        <v>2026.68</v>
      </c>
      <c r="CV66" s="106">
        <f>+HLOOKUP($C66,BP!$BS$2:$CE$250,191,0)</f>
        <v>0</v>
      </c>
      <c r="CW66" s="106">
        <f>+HLOOKUP($C66,BP!$BS$2:$CE$250,193,0)</f>
        <v>11122.866666666669</v>
      </c>
      <c r="CX66" s="106">
        <f>+HLOOKUP($C66,BP!$BS$2:$CE$250,194,0)</f>
        <v>31.8</v>
      </c>
      <c r="CY66" s="106">
        <f>+HLOOKUP($C66,BP!$BS$2:$CE$250,195,0)</f>
        <v>0</v>
      </c>
      <c r="CZ66" s="106">
        <f>+HLOOKUP($C66,BP!$BS$2:$CE$250,196,0)</f>
        <v>0</v>
      </c>
      <c r="DA66" s="106">
        <f>+HLOOKUP($C66,BP!$BS$2:$CE$250,197,0)</f>
        <v>5836.8</v>
      </c>
      <c r="DB66" s="106">
        <f>+HLOOKUP($C66,BP!$BS$2:$CE$250,198,0)</f>
        <v>4044</v>
      </c>
      <c r="DC66" s="106">
        <f>+HLOOKUP($C66,BP!$BS$2:$CE$250,199,0)</f>
        <v>864</v>
      </c>
      <c r="DD66" s="106">
        <f>+HLOOKUP($C66,BP!$BS$2:$CE$250,200,0)</f>
        <v>232</v>
      </c>
      <c r="DE66" s="106">
        <f>+HLOOKUP($C66,BP!$BS$2:$CE$250,201,0)</f>
        <v>59.400000000000006</v>
      </c>
      <c r="DF66" s="106">
        <f>+HLOOKUP($C66,BP!$BS$2:$CE$250,202,0)</f>
        <v>0</v>
      </c>
      <c r="DG66" s="106">
        <f>+HLOOKUP($C66,BP!$BS$2:$CE$250,203,0)</f>
        <v>0</v>
      </c>
      <c r="DH66" s="106">
        <f>+HLOOKUP($C66,BP!$BS$2:$CE$250,205,0)</f>
        <v>0</v>
      </c>
      <c r="DI66" s="106">
        <f>+HLOOKUP($C66,BP!$BS$2:$CE$250,206,0)</f>
        <v>4656</v>
      </c>
      <c r="DJ66" s="106">
        <f>+HLOOKUP($C66,BP!$BS$2:$CE$250,207,0)</f>
        <v>710.49866666666685</v>
      </c>
      <c r="DK66" s="106">
        <f>+HLOOKUP($C66,BP!$BS$2:$CE$250,209,0)</f>
        <v>100000</v>
      </c>
      <c r="DL66" s="106">
        <f>+HLOOKUP($C66,BP!$BS$2:$CE$250,210,0)</f>
        <v>130311.41060700003</v>
      </c>
      <c r="DM66" s="106">
        <f>+HLOOKUP($C66,BP!$BS$2:$CE$250,211,0)</f>
        <v>0</v>
      </c>
      <c r="DN66" s="106">
        <f>+HLOOKUP($C66,BP!$BS$2:$CE$250,212,0)</f>
        <v>0</v>
      </c>
      <c r="DO66" s="106">
        <f>+HLOOKUP($C66,BP!$BS$2:$CE$250,214,0)</f>
        <v>0</v>
      </c>
      <c r="DP66" s="106">
        <f>+HLOOKUP($C66,BP!$BS$2:$CE$250,215,0)</f>
        <v>720</v>
      </c>
      <c r="DQ66" s="106">
        <f>+HLOOKUP($C66,BP!$BS$2:$CE$250,219,0)</f>
        <v>0</v>
      </c>
      <c r="DR66" s="106">
        <f>+HLOOKUP($C66,BP!$BS$2:$CE$250,220,0)</f>
        <v>0</v>
      </c>
      <c r="DS66" s="106">
        <f>+HLOOKUP($C66,BP!$BS$2:$CE$250,221,0)</f>
        <v>0</v>
      </c>
      <c r="DT66" s="106">
        <f>+HLOOKUP($C66,BP!$BS$2:$CE$250,223,0)</f>
        <v>15000</v>
      </c>
      <c r="DU66" s="106">
        <f>+HLOOKUP($C66,BP!$BS$2:$CE$250,224,0)</f>
        <v>0</v>
      </c>
      <c r="DV66" s="106">
        <f>+HLOOKUP($C66,BP!$BS$2:$CE$250,225,0)</f>
        <v>0</v>
      </c>
      <c r="DW66" s="106">
        <f>+HLOOKUP($C66,BP!$BS$2:$CE$250,227,0)</f>
        <v>0</v>
      </c>
      <c r="DX66" s="106">
        <f>+HLOOKUP($C66,BP!$BS$2:$CE$250,228,0)</f>
        <v>0</v>
      </c>
      <c r="DY66" s="106">
        <f>+HLOOKUP($C66,BP!$BS$2:$CE$250,236,0)</f>
        <v>0</v>
      </c>
      <c r="DZ66" s="106">
        <f>+HLOOKUP($C66,BP!$BS$2:$CE$250,237,0)</f>
        <v>22224.727348451437</v>
      </c>
      <c r="EA66" s="106">
        <f>+HLOOKUP($C66,BP!$BS$2:$CE$250,238,0)</f>
        <v>0</v>
      </c>
      <c r="EB66" s="106">
        <f>+HLOOKUP($C66,BP!$BS$2:$CE$250,240,0)</f>
        <v>386326.71292708302</v>
      </c>
    </row>
    <row r="67" spans="1:132">
      <c r="A67" t="s">
        <v>269</v>
      </c>
      <c r="B67" t="s">
        <v>218</v>
      </c>
      <c r="C67" s="117">
        <v>45839</v>
      </c>
      <c r="D67" s="106">
        <f t="shared" si="1"/>
        <v>8955564.3100000005</v>
      </c>
      <c r="E67" s="106">
        <f>+HLOOKUP(C67,BP!$BS$2:$CE$250,28,0)+HLOOKUP(C67,BP!$BS$2:$CE$250,43,0)+HLOOKUP(C67,BP!$BS$2:$CE$250,44,0)+HLOOKUP(C67,BP!$BS$2:$CE$250,45,0)+HLOOKUP(C67,BP!$BS$2:$CE$250,54,0)+HLOOKUP(C67,BP!$BS$2:$CE$250,59,0)</f>
        <v>8955564.3100000005</v>
      </c>
      <c r="F67" s="106">
        <f>+HLOOKUP(C67,BP!$BS$2:$CE$250,37,0)+HLOOKUP(C67,BP!$BS$2:$CE$250,55,0)</f>
        <v>5360292.8039753744</v>
      </c>
      <c r="G67" s="106">
        <f>+HLOOKUP($C67,BP!$BS$2:$CE$250,76,0)</f>
        <v>0</v>
      </c>
      <c r="H67" s="106">
        <f>+HLOOKUP($C67,BP!$BS$2:$CE$250,77,0)</f>
        <v>0</v>
      </c>
      <c r="I67" s="106">
        <f>+HLOOKUP($C67,BP!$BS$2:$CE$250,78,0)</f>
        <v>0</v>
      </c>
      <c r="J67" s="106">
        <f>+HLOOKUP($C67,BP!$BS$2:$CE$250,79,0)</f>
        <v>0</v>
      </c>
      <c r="K67" s="106">
        <f>+HLOOKUP($C67,BP!$BS$2:$CE$250,80,0)</f>
        <v>0</v>
      </c>
      <c r="L67" s="106">
        <f>+HLOOKUP($C67,BP!$BS$2:$CE$250,81,0)</f>
        <v>15000</v>
      </c>
      <c r="M67" s="106">
        <f>+HLOOKUP($C67,BP!$BS$2:$CE$250,82,0)</f>
        <v>0</v>
      </c>
      <c r="N67" s="106">
        <f>+HLOOKUP($C67,BP!$BS$2:$CE$250,83,0)</f>
        <v>0</v>
      </c>
      <c r="O67" s="106">
        <f>+HLOOKUP($C67,BP!$BS$2:$CE$250,84,0)</f>
        <v>0</v>
      </c>
      <c r="P67" s="106">
        <f>+HLOOKUP($C67,BP!$BS$2:$CE$250,85,0)</f>
        <v>0</v>
      </c>
      <c r="Q67" s="106">
        <f>+HLOOKUP($C67,BP!$BS$2:$CE$250,87,0)</f>
        <v>141337.87200000003</v>
      </c>
      <c r="R67" s="106">
        <f>+HLOOKUP($C67,BP!$BS$2:$CE$250,90,0)</f>
        <v>0</v>
      </c>
      <c r="S67" s="106">
        <f>+HLOOKUP($C67,BP!$BS$2:$CE$250,91,0)</f>
        <v>0</v>
      </c>
      <c r="T67" s="106">
        <f>+HLOOKUP($C67,BP!$BS$2:$CE$250,92,0)</f>
        <v>0</v>
      </c>
      <c r="U67" s="106">
        <f>+HLOOKUP($C67,BP!$BS$2:$CE$250,93,0)</f>
        <v>0</v>
      </c>
      <c r="V67" s="106">
        <f>+HLOOKUP($C67,BP!$BS$2:$CE$250,94,0)</f>
        <v>0</v>
      </c>
      <c r="W67" s="106">
        <f>+HLOOKUP($C67,BP!$BS$2:$CE$250,95,0)</f>
        <v>0</v>
      </c>
      <c r="X67" s="106">
        <f>+HLOOKUP($C67,BP!$BS$2:$CE$250,96,0)</f>
        <v>0</v>
      </c>
      <c r="Y67" s="106">
        <f>+HLOOKUP($C67,BP!$BS$2:$CE$250,97,0)</f>
        <v>0</v>
      </c>
      <c r="Z67" s="106">
        <f>+HLOOKUP($C67,BP!$BS$2:$CE$250,98,0)</f>
        <v>0</v>
      </c>
      <c r="AA67" s="106">
        <f>+HLOOKUP($C67,BP!$BS$2:$CE$250,99,0)</f>
        <v>0</v>
      </c>
      <c r="AB67" s="106">
        <f>+HLOOKUP($C67,BP!$BS$2:$CE$250,100,0)</f>
        <v>0</v>
      </c>
      <c r="AC67" s="106">
        <f>+HLOOKUP($C67,BP!$BS$2:$CE$250,101,0)</f>
        <v>0</v>
      </c>
      <c r="AD67" s="106">
        <f>+HLOOKUP($C67,BP!$BS$2:$CE$250,104,0)</f>
        <v>10895.819457600002</v>
      </c>
      <c r="AE67" s="106">
        <f>+HLOOKUP($C67,BP!$BS$2:$CE$250,105,0)</f>
        <v>31445.366400000003</v>
      </c>
      <c r="AF67" s="106">
        <f>+HLOOKUP($C67,BP!$BS$2:$CE$250,106,0)</f>
        <v>0</v>
      </c>
      <c r="AG67" s="106">
        <f>+HLOOKUP($C67,BP!$BS$2:$CE$250,107,0)</f>
        <v>0</v>
      </c>
      <c r="AH67" s="106">
        <f>+HLOOKUP($C67,BP!$BS$2:$CE$250,108,0)</f>
        <v>0</v>
      </c>
      <c r="AI67" s="106">
        <f>+HLOOKUP($C67,BP!$BS$2:$CE$250,109,0)</f>
        <v>0</v>
      </c>
      <c r="AJ67" s="106">
        <f>+HLOOKUP($C67,BP!$BS$2:$CE$250,110,0)</f>
        <v>0</v>
      </c>
      <c r="AK67" s="106">
        <f>+HLOOKUP($C67,BP!$BS$2:$CE$250,111,0)</f>
        <v>1937.0345702400002</v>
      </c>
      <c r="AL67" s="106">
        <f>+HLOOKUP($C67,BP!$BS$2:$CE$250,112,0)</f>
        <v>0</v>
      </c>
      <c r="AM67" s="106">
        <f>+HLOOKUP($C67,BP!$BS$2:$CE$250,116,0)</f>
        <v>106300</v>
      </c>
      <c r="AN67" s="106">
        <f>+HLOOKUP($C67,BP!$BS$2:$CE$250,117,0)</f>
        <v>19120</v>
      </c>
      <c r="AO67" s="106">
        <f>+HLOOKUP($C67,BP!$BS$2:$CE$250,118,0)</f>
        <v>2500</v>
      </c>
      <c r="AP67" s="106">
        <f>+HLOOKUP($C67,BP!$BS$2:$CE$250,119,0)</f>
        <v>37120</v>
      </c>
      <c r="AQ67" s="106">
        <f>+HLOOKUP($C67,BP!$BS$2:$CE$250,120,0)</f>
        <v>5200</v>
      </c>
      <c r="AR67" s="106">
        <f>+HLOOKUP($C67,BP!$BS$2:$CE$250,121,0)</f>
        <v>2000</v>
      </c>
      <c r="AS67" s="106">
        <f>+HLOOKUP($C67,BP!$BS$2:$CE$250,122,0)</f>
        <v>56560</v>
      </c>
      <c r="AT67" s="106">
        <f>+HLOOKUP($C67,BP!$BS$2:$CE$250,123,0)</f>
        <v>14646.494290277777</v>
      </c>
      <c r="AU67" s="106">
        <f>+HLOOKUP($C67,BP!$BS$2:$CE$250,124,0)</f>
        <v>1866.75</v>
      </c>
      <c r="AV67" s="106">
        <f>+HLOOKUP($C67,BP!$BS$2:$CE$250,125,0)</f>
        <v>81780</v>
      </c>
      <c r="AW67" s="106">
        <f>+HLOOKUP($C67,BP!$BS$2:$CE$250,126,0)</f>
        <v>5110.5769230769229</v>
      </c>
      <c r="AX67" s="106">
        <f>+HLOOKUP($C67,BP!$BS$2:$CE$250,127,0)</f>
        <v>8274.9999999999982</v>
      </c>
      <c r="AY67" s="106">
        <f>+HLOOKUP($C67,BP!$BS$2:$CE$250,129,0)</f>
        <v>0</v>
      </c>
      <c r="AZ67" s="106">
        <f>+HLOOKUP($C67,BP!$BS$2:$CE$250,130,0)</f>
        <v>0</v>
      </c>
      <c r="BA67" s="106">
        <f>+HLOOKUP($C67,BP!$BS$2:$CE$250,131,0)</f>
        <v>10000</v>
      </c>
      <c r="BB67" s="106">
        <f>+HLOOKUP($C67,BP!$BS$2:$CE$250,133,0)</f>
        <v>0</v>
      </c>
      <c r="BC67" s="106">
        <f>+HLOOKUP($C67,BP!$BS$2:$CE$250,134,0)</f>
        <v>37156.738675000001</v>
      </c>
      <c r="BD67" s="106">
        <f>+HLOOKUP($C67,BP!$BS$2:$CE$250,135,0)</f>
        <v>0</v>
      </c>
      <c r="BE67" s="106">
        <f>+HLOOKUP($C67,BP!$BS$2:$CE$250,136,0)</f>
        <v>0</v>
      </c>
      <c r="BF67" s="106">
        <f>+HLOOKUP($C67,BP!$BS$2:$CE$250,138,0)</f>
        <v>3000</v>
      </c>
      <c r="BG67" s="106">
        <f>+HLOOKUP($C67,BP!$BS$2:$CE$250,139,0)</f>
        <v>2651.4425000000001</v>
      </c>
      <c r="BH67" s="106">
        <f>+HLOOKUP($C67,BP!$BS$2:$CE$250,140,0)</f>
        <v>19660.800000000003</v>
      </c>
      <c r="BI67" s="106">
        <f>+HLOOKUP($C67,BP!$BS$2:$CE$250,141,0)</f>
        <v>0</v>
      </c>
      <c r="BJ67" s="106">
        <f>+HLOOKUP($C67,BP!$BS$2:$CE$250,142,0)</f>
        <v>0</v>
      </c>
      <c r="BK67" s="106">
        <f>+HLOOKUP($C67,BP!$BS$2:$CE$250,143,0)</f>
        <v>10681.75</v>
      </c>
      <c r="BL67" s="106">
        <f>+HLOOKUP($C67,BP!$BS$2:$CE$250,144,0)</f>
        <v>2572.9166666666665</v>
      </c>
      <c r="BM67" s="106">
        <f>+HLOOKUP($C67,BP!$BS$2:$CE$250,146,0)</f>
        <v>0</v>
      </c>
      <c r="BN67" s="106">
        <f>+HLOOKUP($C67,BP!$BS$2:$CE$250,147,0)</f>
        <v>0</v>
      </c>
      <c r="BO67" s="106">
        <f>+HLOOKUP($C67,BP!$BS$2:$CE$250,148,0)</f>
        <v>0</v>
      </c>
      <c r="BP67" s="106">
        <f>+HLOOKUP($C67,BP!$BS$2:$CE$250,150,0)</f>
        <v>32452.455000000002</v>
      </c>
      <c r="BQ67" s="106">
        <f>+HLOOKUP($C67,BP!$BS$2:$CE$250,151,0)</f>
        <v>0</v>
      </c>
      <c r="BR67" s="106">
        <f>+HLOOKUP($C67,BP!$BS$2:$CE$250,152,0)</f>
        <v>12800</v>
      </c>
      <c r="BS67" s="106">
        <f>+HLOOKUP($C67,BP!$BS$2:$CE$250,153,0)</f>
        <v>2400</v>
      </c>
      <c r="BT67" s="106">
        <f>+HLOOKUP($C67,BP!$BS$2:$CE$250,157,0)</f>
        <v>7320</v>
      </c>
      <c r="BU67" s="106">
        <f>+HLOOKUP($C67,BP!$BS$2:$CE$250,158,0)</f>
        <v>1740</v>
      </c>
      <c r="BV67" s="106">
        <f>+HLOOKUP($C67,BP!$BS$2:$CE$250,159,0)</f>
        <v>0</v>
      </c>
      <c r="BW67" s="106">
        <f>+HLOOKUP($C67,BP!$BS$2:$CE$250,160,0)</f>
        <v>14353.66666666667</v>
      </c>
      <c r="BX67" s="106">
        <f>+HLOOKUP($C67,BP!$BS$2:$CE$250,161,0)</f>
        <v>7129.9638333333342</v>
      </c>
      <c r="BY67" s="106">
        <f>+HLOOKUP($C67,BP!$BS$2:$CE$250,164,0)</f>
        <v>3200</v>
      </c>
      <c r="BZ67" s="106">
        <f>+HLOOKUP($C67,BP!$BS$2:$CE$250,165,0)</f>
        <v>0</v>
      </c>
      <c r="CA67" s="106">
        <f>+HLOOKUP($C67,BP!$BS$2:$CE$250,166,0)</f>
        <v>0</v>
      </c>
      <c r="CB67" s="106">
        <f>+HLOOKUP($C67,BP!$BS$2:$CE$250,167,0)</f>
        <v>0</v>
      </c>
      <c r="CC67" s="106">
        <f>+HLOOKUP($C67,BP!$BS$2:$CE$250,168,0)</f>
        <v>0</v>
      </c>
      <c r="CD67" s="106">
        <f>+HLOOKUP($C67,BP!$BS$2:$CE$250,169,0)</f>
        <v>0</v>
      </c>
      <c r="CE67" s="106">
        <f>+HLOOKUP($C67,BP!$BS$2:$CE$250,170,0)</f>
        <v>0</v>
      </c>
      <c r="CF67" s="106">
        <f>+HLOOKUP($C67,BP!$BS$2:$CE$250,172,0)</f>
        <v>21800</v>
      </c>
      <c r="CG67" s="106">
        <f>+HLOOKUP($C67,BP!$BS$2:$CE$250,173,0)</f>
        <v>12000</v>
      </c>
      <c r="CH67" s="106">
        <f>+HLOOKUP($C67,BP!$BS$2:$CE$250,174,0)</f>
        <v>57600</v>
      </c>
      <c r="CI67" s="106">
        <f>+HLOOKUP($C67,BP!$BS$2:$CE$250,175,0)</f>
        <v>4460</v>
      </c>
      <c r="CJ67" s="106">
        <f>+HLOOKUP($C67,BP!$BS$2:$CE$250,176,0)</f>
        <v>4740</v>
      </c>
      <c r="CK67" s="106">
        <f>+HLOOKUP($C67,BP!$BS$2:$CE$250,178,0)</f>
        <v>62718.55476363637</v>
      </c>
      <c r="CL67" s="106">
        <f>+HLOOKUP($C67,BP!$BS$2:$CE$250,179,0)</f>
        <v>0</v>
      </c>
      <c r="CM67" s="106">
        <f>+HLOOKUP($C67,BP!$BS$2:$CE$250,180,0)</f>
        <v>0</v>
      </c>
      <c r="CN67" s="106">
        <f>+HLOOKUP($C67,BP!$BS$2:$CE$250,182,0)</f>
        <v>491.40000000000003</v>
      </c>
      <c r="CO67" s="106">
        <f>+HLOOKUP($C67,BP!$BS$2:$CE$250,183,0)</f>
        <v>8743.6</v>
      </c>
      <c r="CP67" s="106">
        <f>+HLOOKUP($C67,BP!$BS$2:$CE$250,184,0)</f>
        <v>4320</v>
      </c>
      <c r="CQ67" s="106">
        <f>+HLOOKUP($C67,BP!$BS$2:$CE$250,185,0)</f>
        <v>0</v>
      </c>
      <c r="CR67" s="106">
        <f>+HLOOKUP($C67,BP!$BS$2:$CE$250,187,0)</f>
        <v>2499.84</v>
      </c>
      <c r="CS67" s="106">
        <f>+HLOOKUP($C67,BP!$BS$2:$CE$250,188,0)</f>
        <v>3180</v>
      </c>
      <c r="CT67" s="106">
        <f>+HLOOKUP($C67,BP!$BS$2:$CE$250,189,0)</f>
        <v>2000.04</v>
      </c>
      <c r="CU67" s="106">
        <f>+HLOOKUP($C67,BP!$BS$2:$CE$250,190,0)</f>
        <v>2026.68</v>
      </c>
      <c r="CV67" s="106">
        <f>+HLOOKUP($C67,BP!$BS$2:$CE$250,191,0)</f>
        <v>0</v>
      </c>
      <c r="CW67" s="106">
        <f>+HLOOKUP($C67,BP!$BS$2:$CE$250,193,0)</f>
        <v>11122.866666666669</v>
      </c>
      <c r="CX67" s="106">
        <f>+HLOOKUP($C67,BP!$BS$2:$CE$250,194,0)</f>
        <v>31.8</v>
      </c>
      <c r="CY67" s="106">
        <f>+HLOOKUP($C67,BP!$BS$2:$CE$250,195,0)</f>
        <v>0</v>
      </c>
      <c r="CZ67" s="106">
        <f>+HLOOKUP($C67,BP!$BS$2:$CE$250,196,0)</f>
        <v>0</v>
      </c>
      <c r="DA67" s="106">
        <f>+HLOOKUP($C67,BP!$BS$2:$CE$250,197,0)</f>
        <v>5836.8</v>
      </c>
      <c r="DB67" s="106">
        <f>+HLOOKUP($C67,BP!$BS$2:$CE$250,198,0)</f>
        <v>4044</v>
      </c>
      <c r="DC67" s="106">
        <f>+HLOOKUP($C67,BP!$BS$2:$CE$250,199,0)</f>
        <v>864</v>
      </c>
      <c r="DD67" s="106">
        <f>+HLOOKUP($C67,BP!$BS$2:$CE$250,200,0)</f>
        <v>232</v>
      </c>
      <c r="DE67" s="106">
        <f>+HLOOKUP($C67,BP!$BS$2:$CE$250,201,0)</f>
        <v>59.400000000000006</v>
      </c>
      <c r="DF67" s="106">
        <f>+HLOOKUP($C67,BP!$BS$2:$CE$250,202,0)</f>
        <v>0</v>
      </c>
      <c r="DG67" s="106">
        <f>+HLOOKUP($C67,BP!$BS$2:$CE$250,203,0)</f>
        <v>0</v>
      </c>
      <c r="DH67" s="106">
        <f>+HLOOKUP($C67,BP!$BS$2:$CE$250,205,0)</f>
        <v>0</v>
      </c>
      <c r="DI67" s="106">
        <f>+HLOOKUP($C67,BP!$BS$2:$CE$250,206,0)</f>
        <v>4656</v>
      </c>
      <c r="DJ67" s="106">
        <f>+HLOOKUP($C67,BP!$BS$2:$CE$250,207,0)</f>
        <v>710.49866666666685</v>
      </c>
      <c r="DK67" s="106">
        <f>+HLOOKUP($C67,BP!$BS$2:$CE$250,209,0)</f>
        <v>100000</v>
      </c>
      <c r="DL67" s="106">
        <f>+HLOOKUP($C67,BP!$BS$2:$CE$250,210,0)</f>
        <v>130311.41060700003</v>
      </c>
      <c r="DM67" s="106">
        <f>+HLOOKUP($C67,BP!$BS$2:$CE$250,211,0)</f>
        <v>0</v>
      </c>
      <c r="DN67" s="106">
        <f>+HLOOKUP($C67,BP!$BS$2:$CE$250,212,0)</f>
        <v>0</v>
      </c>
      <c r="DO67" s="106">
        <f>+HLOOKUP($C67,BP!$BS$2:$CE$250,214,0)</f>
        <v>0</v>
      </c>
      <c r="DP67" s="106">
        <f>+HLOOKUP($C67,BP!$BS$2:$CE$250,215,0)</f>
        <v>720</v>
      </c>
      <c r="DQ67" s="106">
        <f>+HLOOKUP($C67,BP!$BS$2:$CE$250,219,0)</f>
        <v>0</v>
      </c>
      <c r="DR67" s="106">
        <f>+HLOOKUP($C67,BP!$BS$2:$CE$250,220,0)</f>
        <v>0</v>
      </c>
      <c r="DS67" s="106">
        <f>+HLOOKUP($C67,BP!$BS$2:$CE$250,221,0)</f>
        <v>0</v>
      </c>
      <c r="DT67" s="106">
        <f>+HLOOKUP($C67,BP!$BS$2:$CE$250,223,0)</f>
        <v>15000</v>
      </c>
      <c r="DU67" s="106">
        <f>+HLOOKUP($C67,BP!$BS$2:$CE$250,224,0)</f>
        <v>0</v>
      </c>
      <c r="DV67" s="106">
        <f>+HLOOKUP($C67,BP!$BS$2:$CE$250,225,0)</f>
        <v>0</v>
      </c>
      <c r="DW67" s="106">
        <f>+HLOOKUP($C67,BP!$BS$2:$CE$250,227,0)</f>
        <v>0</v>
      </c>
      <c r="DX67" s="106">
        <f>+HLOOKUP($C67,BP!$BS$2:$CE$250,228,0)</f>
        <v>0</v>
      </c>
      <c r="DY67" s="106">
        <f>+HLOOKUP($C67,BP!$BS$2:$CE$250,236,0)</f>
        <v>0</v>
      </c>
      <c r="DZ67" s="106">
        <f>+HLOOKUP($C67,BP!$BS$2:$CE$250,237,0)</f>
        <v>22525.061494536916</v>
      </c>
      <c r="EA67" s="106">
        <f>+HLOOKUP($C67,BP!$BS$2:$CE$250,238,0)</f>
        <v>0</v>
      </c>
      <c r="EB67" s="106">
        <f>+HLOOKUP($C67,BP!$BS$2:$CE$250,240,0)</f>
        <v>386326.71292708302</v>
      </c>
    </row>
    <row r="68" spans="1:132">
      <c r="A68" t="s">
        <v>269</v>
      </c>
      <c r="B68" t="s">
        <v>218</v>
      </c>
      <c r="C68" s="117">
        <v>45809</v>
      </c>
      <c r="D68" s="106">
        <f t="shared" si="1"/>
        <v>8464466.6099999994</v>
      </c>
      <c r="E68" s="106">
        <f>+HLOOKUP(C68,BP!$BS$2:$CE$250,28,0)+HLOOKUP(C68,BP!$BS$2:$CE$250,43,0)+HLOOKUP(C68,BP!$BS$2:$CE$250,44,0)+HLOOKUP(C68,BP!$BS$2:$CE$250,45,0)+HLOOKUP(C68,BP!$BS$2:$CE$250,54,0)+HLOOKUP(C68,BP!$BS$2:$CE$250,59,0)</f>
        <v>8464466.6099999994</v>
      </c>
      <c r="F68" s="106">
        <f>+HLOOKUP(C68,BP!$BS$2:$CE$250,37,0)+HLOOKUP(C68,BP!$BS$2:$CE$250,55,0)</f>
        <v>5217041.6903753728</v>
      </c>
      <c r="G68" s="106">
        <f>+HLOOKUP($C68,BP!$BS$2:$CE$250,76,0)</f>
        <v>0</v>
      </c>
      <c r="H68" s="106">
        <f>+HLOOKUP($C68,BP!$BS$2:$CE$250,77,0)</f>
        <v>0</v>
      </c>
      <c r="I68" s="106">
        <f>+HLOOKUP($C68,BP!$BS$2:$CE$250,78,0)</f>
        <v>0</v>
      </c>
      <c r="J68" s="106">
        <f>+HLOOKUP($C68,BP!$BS$2:$CE$250,79,0)</f>
        <v>0</v>
      </c>
      <c r="K68" s="106">
        <f>+HLOOKUP($C68,BP!$BS$2:$CE$250,80,0)</f>
        <v>0</v>
      </c>
      <c r="L68" s="106">
        <f>+HLOOKUP($C68,BP!$BS$2:$CE$250,81,0)</f>
        <v>15000</v>
      </c>
      <c r="M68" s="106">
        <f>+HLOOKUP($C68,BP!$BS$2:$CE$250,82,0)</f>
        <v>0</v>
      </c>
      <c r="N68" s="106">
        <f>+HLOOKUP($C68,BP!$BS$2:$CE$250,83,0)</f>
        <v>0</v>
      </c>
      <c r="O68" s="106">
        <f>+HLOOKUP($C68,BP!$BS$2:$CE$250,84,0)</f>
        <v>0</v>
      </c>
      <c r="P68" s="106">
        <f>+HLOOKUP($C68,BP!$BS$2:$CE$250,85,0)</f>
        <v>0</v>
      </c>
      <c r="Q68" s="106">
        <f>+HLOOKUP($C68,BP!$BS$2:$CE$250,87,0)</f>
        <v>137411.82</v>
      </c>
      <c r="R68" s="106">
        <f>+HLOOKUP($C68,BP!$BS$2:$CE$250,90,0)</f>
        <v>0</v>
      </c>
      <c r="S68" s="106">
        <f>+HLOOKUP($C68,BP!$BS$2:$CE$250,91,0)</f>
        <v>0</v>
      </c>
      <c r="T68" s="106">
        <f>+HLOOKUP($C68,BP!$BS$2:$CE$250,92,0)</f>
        <v>0</v>
      </c>
      <c r="U68" s="106">
        <f>+HLOOKUP($C68,BP!$BS$2:$CE$250,93,0)</f>
        <v>0</v>
      </c>
      <c r="V68" s="106">
        <f>+HLOOKUP($C68,BP!$BS$2:$CE$250,94,0)</f>
        <v>0</v>
      </c>
      <c r="W68" s="106">
        <f>+HLOOKUP($C68,BP!$BS$2:$CE$250,95,0)</f>
        <v>0</v>
      </c>
      <c r="X68" s="106">
        <f>+HLOOKUP($C68,BP!$BS$2:$CE$250,96,0)</f>
        <v>0</v>
      </c>
      <c r="Y68" s="106">
        <f>+HLOOKUP($C68,BP!$BS$2:$CE$250,97,0)</f>
        <v>0</v>
      </c>
      <c r="Z68" s="106">
        <f>+HLOOKUP($C68,BP!$BS$2:$CE$250,98,0)</f>
        <v>0</v>
      </c>
      <c r="AA68" s="106">
        <f>+HLOOKUP($C68,BP!$BS$2:$CE$250,99,0)</f>
        <v>0</v>
      </c>
      <c r="AB68" s="106">
        <f>+HLOOKUP($C68,BP!$BS$2:$CE$250,100,0)</f>
        <v>0</v>
      </c>
      <c r="AC68" s="106">
        <f>+HLOOKUP($C68,BP!$BS$2:$CE$250,101,0)</f>
        <v>0</v>
      </c>
      <c r="AD68" s="106">
        <f>+HLOOKUP($C68,BP!$BS$2:$CE$250,104,0)</f>
        <v>10593.157805999999</v>
      </c>
      <c r="AE68" s="106">
        <f>+HLOOKUP($C68,BP!$BS$2:$CE$250,105,0)</f>
        <v>30571.883999999995</v>
      </c>
      <c r="AF68" s="106">
        <f>+HLOOKUP($C68,BP!$BS$2:$CE$250,106,0)</f>
        <v>0</v>
      </c>
      <c r="AG68" s="106">
        <f>+HLOOKUP($C68,BP!$BS$2:$CE$250,107,0)</f>
        <v>0</v>
      </c>
      <c r="AH68" s="106">
        <f>+HLOOKUP($C68,BP!$BS$2:$CE$250,108,0)</f>
        <v>0</v>
      </c>
      <c r="AI68" s="106">
        <f>+HLOOKUP($C68,BP!$BS$2:$CE$250,109,0)</f>
        <v>0</v>
      </c>
      <c r="AJ68" s="106">
        <f>+HLOOKUP($C68,BP!$BS$2:$CE$250,110,0)</f>
        <v>0</v>
      </c>
      <c r="AK68" s="106">
        <f>+HLOOKUP($C68,BP!$BS$2:$CE$250,111,0)</f>
        <v>1883.2280543999998</v>
      </c>
      <c r="AL68" s="106">
        <f>+HLOOKUP($C68,BP!$BS$2:$CE$250,112,0)</f>
        <v>0</v>
      </c>
      <c r="AM68" s="106">
        <f>+HLOOKUP($C68,BP!$BS$2:$CE$250,116,0)</f>
        <v>106300</v>
      </c>
      <c r="AN68" s="106">
        <f>+HLOOKUP($C68,BP!$BS$2:$CE$250,117,0)</f>
        <v>19120</v>
      </c>
      <c r="AO68" s="106">
        <f>+HLOOKUP($C68,BP!$BS$2:$CE$250,118,0)</f>
        <v>2500</v>
      </c>
      <c r="AP68" s="106">
        <f>+HLOOKUP($C68,BP!$BS$2:$CE$250,119,0)</f>
        <v>37120</v>
      </c>
      <c r="AQ68" s="106">
        <f>+HLOOKUP($C68,BP!$BS$2:$CE$250,120,0)</f>
        <v>5200</v>
      </c>
      <c r="AR68" s="106">
        <f>+HLOOKUP($C68,BP!$BS$2:$CE$250,121,0)</f>
        <v>2000</v>
      </c>
      <c r="AS68" s="106">
        <f>+HLOOKUP($C68,BP!$BS$2:$CE$250,122,0)</f>
        <v>56560</v>
      </c>
      <c r="AT68" s="106">
        <f>+HLOOKUP($C68,BP!$BS$2:$CE$250,123,0)</f>
        <v>14646.494290277777</v>
      </c>
      <c r="AU68" s="106">
        <f>+HLOOKUP($C68,BP!$BS$2:$CE$250,124,0)</f>
        <v>1866.75</v>
      </c>
      <c r="AV68" s="106">
        <f>+HLOOKUP($C68,BP!$BS$2:$CE$250,125,0)</f>
        <v>81780</v>
      </c>
      <c r="AW68" s="106">
        <f>+HLOOKUP($C68,BP!$BS$2:$CE$250,126,0)</f>
        <v>5110.5769230769229</v>
      </c>
      <c r="AX68" s="106">
        <f>+HLOOKUP($C68,BP!$BS$2:$CE$250,127,0)</f>
        <v>8274.9999999999982</v>
      </c>
      <c r="AY68" s="106">
        <f>+HLOOKUP($C68,BP!$BS$2:$CE$250,129,0)</f>
        <v>0</v>
      </c>
      <c r="AZ68" s="106">
        <f>+HLOOKUP($C68,BP!$BS$2:$CE$250,130,0)</f>
        <v>0</v>
      </c>
      <c r="BA68" s="106">
        <f>+HLOOKUP($C68,BP!$BS$2:$CE$250,131,0)</f>
        <v>10000</v>
      </c>
      <c r="BB68" s="106">
        <f>+HLOOKUP($C68,BP!$BS$2:$CE$250,133,0)</f>
        <v>0</v>
      </c>
      <c r="BC68" s="106">
        <f>+HLOOKUP($C68,BP!$BS$2:$CE$250,134,0)</f>
        <v>37156.738675000001</v>
      </c>
      <c r="BD68" s="106">
        <f>+HLOOKUP($C68,BP!$BS$2:$CE$250,135,0)</f>
        <v>0</v>
      </c>
      <c r="BE68" s="106">
        <f>+HLOOKUP($C68,BP!$BS$2:$CE$250,136,0)</f>
        <v>0</v>
      </c>
      <c r="BF68" s="106">
        <f>+HLOOKUP($C68,BP!$BS$2:$CE$250,138,0)</f>
        <v>3000</v>
      </c>
      <c r="BG68" s="106">
        <f>+HLOOKUP($C68,BP!$BS$2:$CE$250,139,0)</f>
        <v>2651.4425000000001</v>
      </c>
      <c r="BH68" s="106">
        <f>+HLOOKUP($C68,BP!$BS$2:$CE$250,140,0)</f>
        <v>19660.800000000003</v>
      </c>
      <c r="BI68" s="106">
        <f>+HLOOKUP($C68,BP!$BS$2:$CE$250,141,0)</f>
        <v>0</v>
      </c>
      <c r="BJ68" s="106">
        <f>+HLOOKUP($C68,BP!$BS$2:$CE$250,142,0)</f>
        <v>0</v>
      </c>
      <c r="BK68" s="106">
        <f>+HLOOKUP($C68,BP!$BS$2:$CE$250,143,0)</f>
        <v>10681.75</v>
      </c>
      <c r="BL68" s="106">
        <f>+HLOOKUP($C68,BP!$BS$2:$CE$250,144,0)</f>
        <v>3114.583333333333</v>
      </c>
      <c r="BM68" s="106">
        <f>+HLOOKUP($C68,BP!$BS$2:$CE$250,146,0)</f>
        <v>0</v>
      </c>
      <c r="BN68" s="106">
        <f>+HLOOKUP($C68,BP!$BS$2:$CE$250,147,0)</f>
        <v>0</v>
      </c>
      <c r="BO68" s="106">
        <f>+HLOOKUP($C68,BP!$BS$2:$CE$250,148,0)</f>
        <v>0</v>
      </c>
      <c r="BP68" s="106">
        <f>+HLOOKUP($C68,BP!$BS$2:$CE$250,150,0)</f>
        <v>32452.455000000002</v>
      </c>
      <c r="BQ68" s="106">
        <f>+HLOOKUP($C68,BP!$BS$2:$CE$250,151,0)</f>
        <v>0</v>
      </c>
      <c r="BR68" s="106">
        <f>+HLOOKUP($C68,BP!$BS$2:$CE$250,152,0)</f>
        <v>12800</v>
      </c>
      <c r="BS68" s="106">
        <f>+HLOOKUP($C68,BP!$BS$2:$CE$250,153,0)</f>
        <v>2400</v>
      </c>
      <c r="BT68" s="106">
        <f>+HLOOKUP($C68,BP!$BS$2:$CE$250,157,0)</f>
        <v>7320</v>
      </c>
      <c r="BU68" s="106">
        <f>+HLOOKUP($C68,BP!$BS$2:$CE$250,158,0)</f>
        <v>1740</v>
      </c>
      <c r="BV68" s="106">
        <f>+HLOOKUP($C68,BP!$BS$2:$CE$250,159,0)</f>
        <v>0</v>
      </c>
      <c r="BW68" s="106">
        <f>+HLOOKUP($C68,BP!$BS$2:$CE$250,160,0)</f>
        <v>14353.66666666667</v>
      </c>
      <c r="BX68" s="106">
        <f>+HLOOKUP($C68,BP!$BS$2:$CE$250,161,0)</f>
        <v>7129.9638333333342</v>
      </c>
      <c r="BY68" s="106">
        <f>+HLOOKUP($C68,BP!$BS$2:$CE$250,164,0)</f>
        <v>3200</v>
      </c>
      <c r="BZ68" s="106">
        <f>+HLOOKUP($C68,BP!$BS$2:$CE$250,165,0)</f>
        <v>0</v>
      </c>
      <c r="CA68" s="106">
        <f>+HLOOKUP($C68,BP!$BS$2:$CE$250,166,0)</f>
        <v>0</v>
      </c>
      <c r="CB68" s="106">
        <f>+HLOOKUP($C68,BP!$BS$2:$CE$250,167,0)</f>
        <v>0</v>
      </c>
      <c r="CC68" s="106">
        <f>+HLOOKUP($C68,BP!$BS$2:$CE$250,168,0)</f>
        <v>0</v>
      </c>
      <c r="CD68" s="106">
        <f>+HLOOKUP($C68,BP!$BS$2:$CE$250,169,0)</f>
        <v>0</v>
      </c>
      <c r="CE68" s="106">
        <f>+HLOOKUP($C68,BP!$BS$2:$CE$250,170,0)</f>
        <v>0</v>
      </c>
      <c r="CF68" s="106">
        <f>+HLOOKUP($C68,BP!$BS$2:$CE$250,172,0)</f>
        <v>21800</v>
      </c>
      <c r="CG68" s="106">
        <f>+HLOOKUP($C68,BP!$BS$2:$CE$250,173,0)</f>
        <v>12000</v>
      </c>
      <c r="CH68" s="106">
        <f>+HLOOKUP($C68,BP!$BS$2:$CE$250,174,0)</f>
        <v>57600</v>
      </c>
      <c r="CI68" s="106">
        <f>+HLOOKUP($C68,BP!$BS$2:$CE$250,175,0)</f>
        <v>4460</v>
      </c>
      <c r="CJ68" s="106">
        <f>+HLOOKUP($C68,BP!$BS$2:$CE$250,176,0)</f>
        <v>4740</v>
      </c>
      <c r="CK68" s="106">
        <f>+HLOOKUP($C68,BP!$BS$2:$CE$250,178,0)</f>
        <v>62718.55476363637</v>
      </c>
      <c r="CL68" s="106">
        <f>+HLOOKUP($C68,BP!$BS$2:$CE$250,179,0)</f>
        <v>0</v>
      </c>
      <c r="CM68" s="106">
        <f>+HLOOKUP($C68,BP!$BS$2:$CE$250,180,0)</f>
        <v>0</v>
      </c>
      <c r="CN68" s="106">
        <f>+HLOOKUP($C68,BP!$BS$2:$CE$250,182,0)</f>
        <v>491.40000000000003</v>
      </c>
      <c r="CO68" s="106">
        <f>+HLOOKUP($C68,BP!$BS$2:$CE$250,183,0)</f>
        <v>8743.6</v>
      </c>
      <c r="CP68" s="106">
        <f>+HLOOKUP($C68,BP!$BS$2:$CE$250,184,0)</f>
        <v>4320</v>
      </c>
      <c r="CQ68" s="106">
        <f>+HLOOKUP($C68,BP!$BS$2:$CE$250,185,0)</f>
        <v>0</v>
      </c>
      <c r="CR68" s="106">
        <f>+HLOOKUP($C68,BP!$BS$2:$CE$250,187,0)</f>
        <v>2499.84</v>
      </c>
      <c r="CS68" s="106">
        <f>+HLOOKUP($C68,BP!$BS$2:$CE$250,188,0)</f>
        <v>3180</v>
      </c>
      <c r="CT68" s="106">
        <f>+HLOOKUP($C68,BP!$BS$2:$CE$250,189,0)</f>
        <v>2000.04</v>
      </c>
      <c r="CU68" s="106">
        <f>+HLOOKUP($C68,BP!$BS$2:$CE$250,190,0)</f>
        <v>2026.68</v>
      </c>
      <c r="CV68" s="106">
        <f>+HLOOKUP($C68,BP!$BS$2:$CE$250,191,0)</f>
        <v>0</v>
      </c>
      <c r="CW68" s="106">
        <f>+HLOOKUP($C68,BP!$BS$2:$CE$250,193,0)</f>
        <v>11122.866666666669</v>
      </c>
      <c r="CX68" s="106">
        <f>+HLOOKUP($C68,BP!$BS$2:$CE$250,194,0)</f>
        <v>31.8</v>
      </c>
      <c r="CY68" s="106">
        <f>+HLOOKUP($C68,BP!$BS$2:$CE$250,195,0)</f>
        <v>0</v>
      </c>
      <c r="CZ68" s="106">
        <f>+HLOOKUP($C68,BP!$BS$2:$CE$250,196,0)</f>
        <v>0</v>
      </c>
      <c r="DA68" s="106">
        <f>+HLOOKUP($C68,BP!$BS$2:$CE$250,197,0)</f>
        <v>5836.8</v>
      </c>
      <c r="DB68" s="106">
        <f>+HLOOKUP($C68,BP!$BS$2:$CE$250,198,0)</f>
        <v>4044</v>
      </c>
      <c r="DC68" s="106">
        <f>+HLOOKUP($C68,BP!$BS$2:$CE$250,199,0)</f>
        <v>864</v>
      </c>
      <c r="DD68" s="106">
        <f>+HLOOKUP($C68,BP!$BS$2:$CE$250,200,0)</f>
        <v>232</v>
      </c>
      <c r="DE68" s="106">
        <f>+HLOOKUP($C68,BP!$BS$2:$CE$250,201,0)</f>
        <v>59.400000000000006</v>
      </c>
      <c r="DF68" s="106">
        <f>+HLOOKUP($C68,BP!$BS$2:$CE$250,202,0)</f>
        <v>0</v>
      </c>
      <c r="DG68" s="106">
        <f>+HLOOKUP($C68,BP!$BS$2:$CE$250,203,0)</f>
        <v>0</v>
      </c>
      <c r="DH68" s="106">
        <f>+HLOOKUP($C68,BP!$BS$2:$CE$250,205,0)</f>
        <v>0</v>
      </c>
      <c r="DI68" s="106">
        <f>+HLOOKUP($C68,BP!$BS$2:$CE$250,206,0)</f>
        <v>4656</v>
      </c>
      <c r="DJ68" s="106">
        <f>+HLOOKUP($C68,BP!$BS$2:$CE$250,207,0)</f>
        <v>710.49866666666685</v>
      </c>
      <c r="DK68" s="106">
        <f>+HLOOKUP($C68,BP!$BS$2:$CE$250,209,0)</f>
        <v>100000</v>
      </c>
      <c r="DL68" s="106">
        <f>+HLOOKUP($C68,BP!$BS$2:$CE$250,210,0)</f>
        <v>130311.41060700003</v>
      </c>
      <c r="DM68" s="106">
        <f>+HLOOKUP($C68,BP!$BS$2:$CE$250,211,0)</f>
        <v>0</v>
      </c>
      <c r="DN68" s="106">
        <f>+HLOOKUP($C68,BP!$BS$2:$CE$250,212,0)</f>
        <v>0</v>
      </c>
      <c r="DO68" s="106">
        <f>+HLOOKUP($C68,BP!$BS$2:$CE$250,214,0)</f>
        <v>0</v>
      </c>
      <c r="DP68" s="106">
        <f>+HLOOKUP($C68,BP!$BS$2:$CE$250,215,0)</f>
        <v>720</v>
      </c>
      <c r="DQ68" s="106">
        <f>+HLOOKUP($C68,BP!$BS$2:$CE$250,219,0)</f>
        <v>0</v>
      </c>
      <c r="DR68" s="106">
        <f>+HLOOKUP($C68,BP!$BS$2:$CE$250,220,0)</f>
        <v>0</v>
      </c>
      <c r="DS68" s="106">
        <f>+HLOOKUP($C68,BP!$BS$2:$CE$250,221,0)</f>
        <v>0</v>
      </c>
      <c r="DT68" s="106">
        <f>+HLOOKUP($C68,BP!$BS$2:$CE$250,223,0)</f>
        <v>15000</v>
      </c>
      <c r="DU68" s="106">
        <f>+HLOOKUP($C68,BP!$BS$2:$CE$250,224,0)</f>
        <v>0</v>
      </c>
      <c r="DV68" s="106">
        <f>+HLOOKUP($C68,BP!$BS$2:$CE$250,225,0)</f>
        <v>0</v>
      </c>
      <c r="DW68" s="106">
        <f>+HLOOKUP($C68,BP!$BS$2:$CE$250,227,0)</f>
        <v>0</v>
      </c>
      <c r="DX68" s="106">
        <f>+HLOOKUP($C68,BP!$BS$2:$CE$250,228,0)</f>
        <v>0</v>
      </c>
      <c r="DY68" s="106">
        <f>+HLOOKUP($C68,BP!$BS$2:$CE$250,236,0)</f>
        <v>0</v>
      </c>
      <c r="DZ68" s="106">
        <f>+HLOOKUP($C68,BP!$BS$2:$CE$250,237,0)</f>
        <v>22089.092555441028</v>
      </c>
      <c r="EA68" s="106">
        <f>+HLOOKUP($C68,BP!$BS$2:$CE$250,238,0)</f>
        <v>0</v>
      </c>
      <c r="EB68" s="106">
        <f>+HLOOKUP($C68,BP!$BS$2:$CE$250,240,0)</f>
        <v>386326.71292708302</v>
      </c>
    </row>
    <row r="69" spans="1:132">
      <c r="A69" t="s">
        <v>269</v>
      </c>
      <c r="B69" t="s">
        <v>218</v>
      </c>
      <c r="C69" s="117">
        <v>45778</v>
      </c>
      <c r="D69" s="106">
        <f t="shared" si="1"/>
        <v>7791209.9699999997</v>
      </c>
      <c r="E69" s="106">
        <f>+HLOOKUP(C69,BP!$BS$2:$CE$250,28,0)+HLOOKUP(C69,BP!$BS$2:$CE$250,43,0)+HLOOKUP(C69,BP!$BS$2:$CE$250,44,0)+HLOOKUP(C69,BP!$BS$2:$CE$250,45,0)+HLOOKUP(C69,BP!$BS$2:$CE$250,54,0)+HLOOKUP(C69,BP!$BS$2:$CE$250,59,0)</f>
        <v>7791209.9699999997</v>
      </c>
      <c r="F69" s="106">
        <f>+HLOOKUP(C69,BP!$BS$2:$CE$250,37,0)+HLOOKUP(C69,BP!$BS$2:$CE$250,55,0)</f>
        <v>5073790.5767753739</v>
      </c>
      <c r="G69" s="106">
        <f>+HLOOKUP($C69,BP!$BS$2:$CE$250,76,0)</f>
        <v>0</v>
      </c>
      <c r="H69" s="106">
        <f>+HLOOKUP($C69,BP!$BS$2:$CE$250,77,0)</f>
        <v>0</v>
      </c>
      <c r="I69" s="106">
        <f>+HLOOKUP($C69,BP!$BS$2:$CE$250,78,0)</f>
        <v>0</v>
      </c>
      <c r="J69" s="106">
        <f>+HLOOKUP($C69,BP!$BS$2:$CE$250,79,0)</f>
        <v>0</v>
      </c>
      <c r="K69" s="106">
        <f>+HLOOKUP($C69,BP!$BS$2:$CE$250,80,0)</f>
        <v>0</v>
      </c>
      <c r="L69" s="106">
        <f>+HLOOKUP($C69,BP!$BS$2:$CE$250,81,0)</f>
        <v>15000</v>
      </c>
      <c r="M69" s="106">
        <f>+HLOOKUP($C69,BP!$BS$2:$CE$250,82,0)</f>
        <v>0</v>
      </c>
      <c r="N69" s="106">
        <f>+HLOOKUP($C69,BP!$BS$2:$CE$250,83,0)</f>
        <v>0</v>
      </c>
      <c r="O69" s="106">
        <f>+HLOOKUP($C69,BP!$BS$2:$CE$250,84,0)</f>
        <v>0</v>
      </c>
      <c r="P69" s="106">
        <f>+HLOOKUP($C69,BP!$BS$2:$CE$250,85,0)</f>
        <v>0</v>
      </c>
      <c r="Q69" s="106">
        <f>+HLOOKUP($C69,BP!$BS$2:$CE$250,87,0)</f>
        <v>133485.76800000001</v>
      </c>
      <c r="R69" s="106">
        <f>+HLOOKUP($C69,BP!$BS$2:$CE$250,90,0)</f>
        <v>0</v>
      </c>
      <c r="S69" s="106">
        <f>+HLOOKUP($C69,BP!$BS$2:$CE$250,91,0)</f>
        <v>0</v>
      </c>
      <c r="T69" s="106">
        <f>+HLOOKUP($C69,BP!$BS$2:$CE$250,92,0)</f>
        <v>0</v>
      </c>
      <c r="U69" s="106">
        <f>+HLOOKUP($C69,BP!$BS$2:$CE$250,93,0)</f>
        <v>0</v>
      </c>
      <c r="V69" s="106">
        <f>+HLOOKUP($C69,BP!$BS$2:$CE$250,94,0)</f>
        <v>0</v>
      </c>
      <c r="W69" s="106">
        <f>+HLOOKUP($C69,BP!$BS$2:$CE$250,95,0)</f>
        <v>0</v>
      </c>
      <c r="X69" s="106">
        <f>+HLOOKUP($C69,BP!$BS$2:$CE$250,96,0)</f>
        <v>0</v>
      </c>
      <c r="Y69" s="106">
        <f>+HLOOKUP($C69,BP!$BS$2:$CE$250,97,0)</f>
        <v>0</v>
      </c>
      <c r="Z69" s="106">
        <f>+HLOOKUP($C69,BP!$BS$2:$CE$250,98,0)</f>
        <v>0</v>
      </c>
      <c r="AA69" s="106">
        <f>+HLOOKUP($C69,BP!$BS$2:$CE$250,99,0)</f>
        <v>0</v>
      </c>
      <c r="AB69" s="106">
        <f>+HLOOKUP($C69,BP!$BS$2:$CE$250,100,0)</f>
        <v>0</v>
      </c>
      <c r="AC69" s="106">
        <f>+HLOOKUP($C69,BP!$BS$2:$CE$250,101,0)</f>
        <v>0</v>
      </c>
      <c r="AD69" s="106">
        <f>+HLOOKUP($C69,BP!$BS$2:$CE$250,104,0)</f>
        <v>10290.496154400002</v>
      </c>
      <c r="AE69" s="106">
        <f>+HLOOKUP($C69,BP!$BS$2:$CE$250,105,0)</f>
        <v>29698.401600000001</v>
      </c>
      <c r="AF69" s="106">
        <f>+HLOOKUP($C69,BP!$BS$2:$CE$250,106,0)</f>
        <v>0</v>
      </c>
      <c r="AG69" s="106">
        <f>+HLOOKUP($C69,BP!$BS$2:$CE$250,107,0)</f>
        <v>0</v>
      </c>
      <c r="AH69" s="106">
        <f>+HLOOKUP($C69,BP!$BS$2:$CE$250,108,0)</f>
        <v>0</v>
      </c>
      <c r="AI69" s="106">
        <f>+HLOOKUP($C69,BP!$BS$2:$CE$250,109,0)</f>
        <v>0</v>
      </c>
      <c r="AJ69" s="106">
        <f>+HLOOKUP($C69,BP!$BS$2:$CE$250,110,0)</f>
        <v>0</v>
      </c>
      <c r="AK69" s="106">
        <f>+HLOOKUP($C69,BP!$BS$2:$CE$250,111,0)</f>
        <v>1829.42153856</v>
      </c>
      <c r="AL69" s="106">
        <f>+HLOOKUP($C69,BP!$BS$2:$CE$250,112,0)</f>
        <v>0</v>
      </c>
      <c r="AM69" s="106">
        <f>+HLOOKUP($C69,BP!$BS$2:$CE$250,116,0)</f>
        <v>106300</v>
      </c>
      <c r="AN69" s="106">
        <f>+HLOOKUP($C69,BP!$BS$2:$CE$250,117,0)</f>
        <v>19120</v>
      </c>
      <c r="AO69" s="106">
        <f>+HLOOKUP($C69,BP!$BS$2:$CE$250,118,0)</f>
        <v>2500</v>
      </c>
      <c r="AP69" s="106">
        <f>+HLOOKUP($C69,BP!$BS$2:$CE$250,119,0)</f>
        <v>37120</v>
      </c>
      <c r="AQ69" s="106">
        <f>+HLOOKUP($C69,BP!$BS$2:$CE$250,120,0)</f>
        <v>5200</v>
      </c>
      <c r="AR69" s="106">
        <f>+HLOOKUP($C69,BP!$BS$2:$CE$250,121,0)</f>
        <v>2000</v>
      </c>
      <c r="AS69" s="106">
        <f>+HLOOKUP($C69,BP!$BS$2:$CE$250,122,0)</f>
        <v>56560</v>
      </c>
      <c r="AT69" s="106">
        <f>+HLOOKUP($C69,BP!$BS$2:$CE$250,123,0)</f>
        <v>14646.494290277777</v>
      </c>
      <c r="AU69" s="106">
        <f>+HLOOKUP($C69,BP!$BS$2:$CE$250,124,0)</f>
        <v>1866.75</v>
      </c>
      <c r="AV69" s="106">
        <f>+HLOOKUP($C69,BP!$BS$2:$CE$250,125,0)</f>
        <v>81780</v>
      </c>
      <c r="AW69" s="106">
        <f>+HLOOKUP($C69,BP!$BS$2:$CE$250,126,0)</f>
        <v>5110.5769230769229</v>
      </c>
      <c r="AX69" s="106">
        <f>+HLOOKUP($C69,BP!$BS$2:$CE$250,127,0)</f>
        <v>8274.9999999999982</v>
      </c>
      <c r="AY69" s="106">
        <f>+HLOOKUP($C69,BP!$BS$2:$CE$250,129,0)</f>
        <v>0</v>
      </c>
      <c r="AZ69" s="106">
        <f>+HLOOKUP($C69,BP!$BS$2:$CE$250,130,0)</f>
        <v>0</v>
      </c>
      <c r="BA69" s="106">
        <f>+HLOOKUP($C69,BP!$BS$2:$CE$250,131,0)</f>
        <v>10000</v>
      </c>
      <c r="BB69" s="106">
        <f>+HLOOKUP($C69,BP!$BS$2:$CE$250,133,0)</f>
        <v>0</v>
      </c>
      <c r="BC69" s="106">
        <f>+HLOOKUP($C69,BP!$BS$2:$CE$250,134,0)</f>
        <v>37156.738675000001</v>
      </c>
      <c r="BD69" s="106">
        <f>+HLOOKUP($C69,BP!$BS$2:$CE$250,135,0)</f>
        <v>0</v>
      </c>
      <c r="BE69" s="106">
        <f>+HLOOKUP($C69,BP!$BS$2:$CE$250,136,0)</f>
        <v>0</v>
      </c>
      <c r="BF69" s="106">
        <f>+HLOOKUP($C69,BP!$BS$2:$CE$250,138,0)</f>
        <v>3000</v>
      </c>
      <c r="BG69" s="106">
        <f>+HLOOKUP($C69,BP!$BS$2:$CE$250,139,0)</f>
        <v>2651.4425000000001</v>
      </c>
      <c r="BH69" s="106">
        <f>+HLOOKUP($C69,BP!$BS$2:$CE$250,140,0)</f>
        <v>19660.800000000003</v>
      </c>
      <c r="BI69" s="106">
        <f>+HLOOKUP($C69,BP!$BS$2:$CE$250,141,0)</f>
        <v>0</v>
      </c>
      <c r="BJ69" s="106">
        <f>+HLOOKUP($C69,BP!$BS$2:$CE$250,142,0)</f>
        <v>0</v>
      </c>
      <c r="BK69" s="106">
        <f>+HLOOKUP($C69,BP!$BS$2:$CE$250,143,0)</f>
        <v>10681.75</v>
      </c>
      <c r="BL69" s="106">
        <f>+HLOOKUP($C69,BP!$BS$2:$CE$250,144,0)</f>
        <v>2572.9166666666665</v>
      </c>
      <c r="BM69" s="106">
        <f>+HLOOKUP($C69,BP!$BS$2:$CE$250,146,0)</f>
        <v>0</v>
      </c>
      <c r="BN69" s="106">
        <f>+HLOOKUP($C69,BP!$BS$2:$CE$250,147,0)</f>
        <v>0</v>
      </c>
      <c r="BO69" s="106">
        <f>+HLOOKUP($C69,BP!$BS$2:$CE$250,148,0)</f>
        <v>0</v>
      </c>
      <c r="BP69" s="106">
        <f>+HLOOKUP($C69,BP!$BS$2:$CE$250,150,0)</f>
        <v>32452.455000000002</v>
      </c>
      <c r="BQ69" s="106">
        <f>+HLOOKUP($C69,BP!$BS$2:$CE$250,151,0)</f>
        <v>0</v>
      </c>
      <c r="BR69" s="106">
        <f>+HLOOKUP($C69,BP!$BS$2:$CE$250,152,0)</f>
        <v>12800</v>
      </c>
      <c r="BS69" s="106">
        <f>+HLOOKUP($C69,BP!$BS$2:$CE$250,153,0)</f>
        <v>2400</v>
      </c>
      <c r="BT69" s="106">
        <f>+HLOOKUP($C69,BP!$BS$2:$CE$250,157,0)</f>
        <v>7320</v>
      </c>
      <c r="BU69" s="106">
        <f>+HLOOKUP($C69,BP!$BS$2:$CE$250,158,0)</f>
        <v>1740</v>
      </c>
      <c r="BV69" s="106">
        <f>+HLOOKUP($C69,BP!$BS$2:$CE$250,159,0)</f>
        <v>0</v>
      </c>
      <c r="BW69" s="106">
        <f>+HLOOKUP($C69,BP!$BS$2:$CE$250,160,0)</f>
        <v>14353.66666666667</v>
      </c>
      <c r="BX69" s="106">
        <f>+HLOOKUP($C69,BP!$BS$2:$CE$250,161,0)</f>
        <v>7129.9638333333342</v>
      </c>
      <c r="BY69" s="106">
        <f>+HLOOKUP($C69,BP!$BS$2:$CE$250,164,0)</f>
        <v>3200</v>
      </c>
      <c r="BZ69" s="106">
        <f>+HLOOKUP($C69,BP!$BS$2:$CE$250,165,0)</f>
        <v>0</v>
      </c>
      <c r="CA69" s="106">
        <f>+HLOOKUP($C69,BP!$BS$2:$CE$250,166,0)</f>
        <v>0</v>
      </c>
      <c r="CB69" s="106">
        <f>+HLOOKUP($C69,BP!$BS$2:$CE$250,167,0)</f>
        <v>0</v>
      </c>
      <c r="CC69" s="106">
        <f>+HLOOKUP($C69,BP!$BS$2:$CE$250,168,0)</f>
        <v>0</v>
      </c>
      <c r="CD69" s="106">
        <f>+HLOOKUP($C69,BP!$BS$2:$CE$250,169,0)</f>
        <v>0</v>
      </c>
      <c r="CE69" s="106">
        <f>+HLOOKUP($C69,BP!$BS$2:$CE$250,170,0)</f>
        <v>0</v>
      </c>
      <c r="CF69" s="106">
        <f>+HLOOKUP($C69,BP!$BS$2:$CE$250,172,0)</f>
        <v>21800</v>
      </c>
      <c r="CG69" s="106">
        <f>+HLOOKUP($C69,BP!$BS$2:$CE$250,173,0)</f>
        <v>12000</v>
      </c>
      <c r="CH69" s="106">
        <f>+HLOOKUP($C69,BP!$BS$2:$CE$250,174,0)</f>
        <v>57600</v>
      </c>
      <c r="CI69" s="106">
        <f>+HLOOKUP($C69,BP!$BS$2:$CE$250,175,0)</f>
        <v>4460</v>
      </c>
      <c r="CJ69" s="106">
        <f>+HLOOKUP($C69,BP!$BS$2:$CE$250,176,0)</f>
        <v>4740</v>
      </c>
      <c r="CK69" s="106">
        <f>+HLOOKUP($C69,BP!$BS$2:$CE$250,178,0)</f>
        <v>62718.55476363637</v>
      </c>
      <c r="CL69" s="106">
        <f>+HLOOKUP($C69,BP!$BS$2:$CE$250,179,0)</f>
        <v>0</v>
      </c>
      <c r="CM69" s="106">
        <f>+HLOOKUP($C69,BP!$BS$2:$CE$250,180,0)</f>
        <v>0</v>
      </c>
      <c r="CN69" s="106">
        <f>+HLOOKUP($C69,BP!$BS$2:$CE$250,182,0)</f>
        <v>491.40000000000003</v>
      </c>
      <c r="CO69" s="106">
        <f>+HLOOKUP($C69,BP!$BS$2:$CE$250,183,0)</f>
        <v>8743.6</v>
      </c>
      <c r="CP69" s="106">
        <f>+HLOOKUP($C69,BP!$BS$2:$CE$250,184,0)</f>
        <v>4320</v>
      </c>
      <c r="CQ69" s="106">
        <f>+HLOOKUP($C69,BP!$BS$2:$CE$250,185,0)</f>
        <v>0</v>
      </c>
      <c r="CR69" s="106">
        <f>+HLOOKUP($C69,BP!$BS$2:$CE$250,187,0)</f>
        <v>2499.84</v>
      </c>
      <c r="CS69" s="106">
        <f>+HLOOKUP($C69,BP!$BS$2:$CE$250,188,0)</f>
        <v>3180</v>
      </c>
      <c r="CT69" s="106">
        <f>+HLOOKUP($C69,BP!$BS$2:$CE$250,189,0)</f>
        <v>2000.04</v>
      </c>
      <c r="CU69" s="106">
        <f>+HLOOKUP($C69,BP!$BS$2:$CE$250,190,0)</f>
        <v>2026.68</v>
      </c>
      <c r="CV69" s="106">
        <f>+HLOOKUP($C69,BP!$BS$2:$CE$250,191,0)</f>
        <v>0</v>
      </c>
      <c r="CW69" s="106">
        <f>+HLOOKUP($C69,BP!$BS$2:$CE$250,193,0)</f>
        <v>11122.866666666669</v>
      </c>
      <c r="CX69" s="106">
        <f>+HLOOKUP($C69,BP!$BS$2:$CE$250,194,0)</f>
        <v>31.8</v>
      </c>
      <c r="CY69" s="106">
        <f>+HLOOKUP($C69,BP!$BS$2:$CE$250,195,0)</f>
        <v>0</v>
      </c>
      <c r="CZ69" s="106">
        <f>+HLOOKUP($C69,BP!$BS$2:$CE$250,196,0)</f>
        <v>0</v>
      </c>
      <c r="DA69" s="106">
        <f>+HLOOKUP($C69,BP!$BS$2:$CE$250,197,0)</f>
        <v>5836.8</v>
      </c>
      <c r="DB69" s="106">
        <f>+HLOOKUP($C69,BP!$BS$2:$CE$250,198,0)</f>
        <v>4044</v>
      </c>
      <c r="DC69" s="106">
        <f>+HLOOKUP($C69,BP!$BS$2:$CE$250,199,0)</f>
        <v>864</v>
      </c>
      <c r="DD69" s="106">
        <f>+HLOOKUP($C69,BP!$BS$2:$CE$250,200,0)</f>
        <v>232</v>
      </c>
      <c r="DE69" s="106">
        <f>+HLOOKUP($C69,BP!$BS$2:$CE$250,201,0)</f>
        <v>59.400000000000006</v>
      </c>
      <c r="DF69" s="106">
        <f>+HLOOKUP($C69,BP!$BS$2:$CE$250,202,0)</f>
        <v>0</v>
      </c>
      <c r="DG69" s="106">
        <f>+HLOOKUP($C69,BP!$BS$2:$CE$250,203,0)</f>
        <v>0</v>
      </c>
      <c r="DH69" s="106">
        <f>+HLOOKUP($C69,BP!$BS$2:$CE$250,205,0)</f>
        <v>0</v>
      </c>
      <c r="DI69" s="106">
        <f>+HLOOKUP($C69,BP!$BS$2:$CE$250,206,0)</f>
        <v>4656</v>
      </c>
      <c r="DJ69" s="106">
        <f>+HLOOKUP($C69,BP!$BS$2:$CE$250,207,0)</f>
        <v>710.49866666666685</v>
      </c>
      <c r="DK69" s="106">
        <f>+HLOOKUP($C69,BP!$BS$2:$CE$250,209,0)</f>
        <v>100000</v>
      </c>
      <c r="DL69" s="106">
        <f>+HLOOKUP($C69,BP!$BS$2:$CE$250,210,0)</f>
        <v>124106.10534000001</v>
      </c>
      <c r="DM69" s="106">
        <f>+HLOOKUP($C69,BP!$BS$2:$CE$250,211,0)</f>
        <v>0</v>
      </c>
      <c r="DN69" s="106">
        <f>+HLOOKUP($C69,BP!$BS$2:$CE$250,212,0)</f>
        <v>0</v>
      </c>
      <c r="DO69" s="106">
        <f>+HLOOKUP($C69,BP!$BS$2:$CE$250,214,0)</f>
        <v>0</v>
      </c>
      <c r="DP69" s="106">
        <f>+HLOOKUP($C69,BP!$BS$2:$CE$250,215,0)</f>
        <v>720</v>
      </c>
      <c r="DQ69" s="106">
        <f>+HLOOKUP($C69,BP!$BS$2:$CE$250,219,0)</f>
        <v>0</v>
      </c>
      <c r="DR69" s="106">
        <f>+HLOOKUP($C69,BP!$BS$2:$CE$250,220,0)</f>
        <v>0</v>
      </c>
      <c r="DS69" s="106">
        <f>+HLOOKUP($C69,BP!$BS$2:$CE$250,221,0)</f>
        <v>0</v>
      </c>
      <c r="DT69" s="106">
        <f>+HLOOKUP($C69,BP!$BS$2:$CE$250,223,0)</f>
        <v>15000</v>
      </c>
      <c r="DU69" s="106">
        <f>+HLOOKUP($C69,BP!$BS$2:$CE$250,224,0)</f>
        <v>0</v>
      </c>
      <c r="DV69" s="106">
        <f>+HLOOKUP($C69,BP!$BS$2:$CE$250,225,0)</f>
        <v>0</v>
      </c>
      <c r="DW69" s="106">
        <f>+HLOOKUP($C69,BP!$BS$2:$CE$250,227,0)</f>
        <v>0</v>
      </c>
      <c r="DX69" s="106">
        <f>+HLOOKUP($C69,BP!$BS$2:$CE$250,228,0)</f>
        <v>0</v>
      </c>
      <c r="DY69" s="106">
        <f>+HLOOKUP($C69,BP!$BS$2:$CE$250,236,0)</f>
        <v>0</v>
      </c>
      <c r="DZ69" s="106">
        <f>+HLOOKUP($C69,BP!$BS$2:$CE$250,237,0)</f>
        <v>23125.729786707874</v>
      </c>
      <c r="EA69" s="106">
        <f>+HLOOKUP($C69,BP!$BS$2:$CE$250,238,0)</f>
        <v>0</v>
      </c>
      <c r="EB69" s="106">
        <f>+HLOOKUP($C69,BP!$BS$2:$CE$250,240,0)</f>
        <v>386326.71292708302</v>
      </c>
    </row>
    <row r="70" spans="1:132">
      <c r="A70" t="s">
        <v>269</v>
      </c>
      <c r="B70" t="s">
        <v>218</v>
      </c>
      <c r="C70" s="117">
        <v>45748</v>
      </c>
      <c r="D70" s="106">
        <f t="shared" si="1"/>
        <v>7351223.3200000003</v>
      </c>
      <c r="E70" s="106">
        <f>+HLOOKUP(C70,BP!$BS$2:$CE$250,28,0)+HLOOKUP(C70,BP!$BS$2:$CE$250,43,0)+HLOOKUP(C70,BP!$BS$2:$CE$250,44,0)+HLOOKUP(C70,BP!$BS$2:$CE$250,45,0)+HLOOKUP(C70,BP!$BS$2:$CE$250,54,0)+HLOOKUP(C70,BP!$BS$2:$CE$250,59,0)</f>
        <v>7351223.3200000003</v>
      </c>
      <c r="F70" s="106">
        <f>+HLOOKUP(C70,BP!$BS$2:$CE$250,37,0)+HLOOKUP(C70,BP!$BS$2:$CE$250,55,0)</f>
        <v>4672687.4586953735</v>
      </c>
      <c r="G70" s="106">
        <f>+HLOOKUP($C70,BP!$BS$2:$CE$250,76,0)</f>
        <v>0</v>
      </c>
      <c r="H70" s="106">
        <f>+HLOOKUP($C70,BP!$BS$2:$CE$250,77,0)</f>
        <v>0</v>
      </c>
      <c r="I70" s="106">
        <f>+HLOOKUP($C70,BP!$BS$2:$CE$250,78,0)</f>
        <v>0</v>
      </c>
      <c r="J70" s="106">
        <f>+HLOOKUP($C70,BP!$BS$2:$CE$250,79,0)</f>
        <v>0</v>
      </c>
      <c r="K70" s="106">
        <f>+HLOOKUP($C70,BP!$BS$2:$CE$250,80,0)</f>
        <v>0</v>
      </c>
      <c r="L70" s="106">
        <f>+HLOOKUP($C70,BP!$BS$2:$CE$250,81,0)</f>
        <v>15000</v>
      </c>
      <c r="M70" s="106">
        <f>+HLOOKUP($C70,BP!$BS$2:$CE$250,82,0)</f>
        <v>0</v>
      </c>
      <c r="N70" s="106">
        <f>+HLOOKUP($C70,BP!$BS$2:$CE$250,83,0)</f>
        <v>0</v>
      </c>
      <c r="O70" s="106">
        <f>+HLOOKUP($C70,BP!$BS$2:$CE$250,84,0)</f>
        <v>0</v>
      </c>
      <c r="P70" s="106">
        <f>+HLOOKUP($C70,BP!$BS$2:$CE$250,85,0)</f>
        <v>0</v>
      </c>
      <c r="Q70" s="106">
        <f>+HLOOKUP($C70,BP!$BS$2:$CE$250,87,0)</f>
        <v>122492.8224</v>
      </c>
      <c r="R70" s="106">
        <f>+HLOOKUP($C70,BP!$BS$2:$CE$250,90,0)</f>
        <v>0</v>
      </c>
      <c r="S70" s="106">
        <f>+HLOOKUP($C70,BP!$BS$2:$CE$250,91,0)</f>
        <v>0</v>
      </c>
      <c r="T70" s="106">
        <f>+HLOOKUP($C70,BP!$BS$2:$CE$250,92,0)</f>
        <v>0</v>
      </c>
      <c r="U70" s="106">
        <f>+HLOOKUP($C70,BP!$BS$2:$CE$250,93,0)</f>
        <v>0</v>
      </c>
      <c r="V70" s="106">
        <f>+HLOOKUP($C70,BP!$BS$2:$CE$250,94,0)</f>
        <v>0</v>
      </c>
      <c r="W70" s="106">
        <f>+HLOOKUP($C70,BP!$BS$2:$CE$250,95,0)</f>
        <v>0</v>
      </c>
      <c r="X70" s="106">
        <f>+HLOOKUP($C70,BP!$BS$2:$CE$250,96,0)</f>
        <v>0</v>
      </c>
      <c r="Y70" s="106">
        <f>+HLOOKUP($C70,BP!$BS$2:$CE$250,97,0)</f>
        <v>0</v>
      </c>
      <c r="Z70" s="106">
        <f>+HLOOKUP($C70,BP!$BS$2:$CE$250,98,0)</f>
        <v>0</v>
      </c>
      <c r="AA70" s="106">
        <f>+HLOOKUP($C70,BP!$BS$2:$CE$250,99,0)</f>
        <v>0</v>
      </c>
      <c r="AB70" s="106">
        <f>+HLOOKUP($C70,BP!$BS$2:$CE$250,100,0)</f>
        <v>0</v>
      </c>
      <c r="AC70" s="106">
        <f>+HLOOKUP($C70,BP!$BS$2:$CE$250,101,0)</f>
        <v>0</v>
      </c>
      <c r="AD70" s="106">
        <f>+HLOOKUP($C70,BP!$BS$2:$CE$250,104,0)</f>
        <v>9443.0435299199999</v>
      </c>
      <c r="AE70" s="106">
        <f>+HLOOKUP($C70,BP!$BS$2:$CE$250,105,0)</f>
        <v>27252.650880000001</v>
      </c>
      <c r="AF70" s="106">
        <f>+HLOOKUP($C70,BP!$BS$2:$CE$250,106,0)</f>
        <v>0</v>
      </c>
      <c r="AG70" s="106">
        <f>+HLOOKUP($C70,BP!$BS$2:$CE$250,107,0)</f>
        <v>0</v>
      </c>
      <c r="AH70" s="106">
        <f>+HLOOKUP($C70,BP!$BS$2:$CE$250,108,0)</f>
        <v>0</v>
      </c>
      <c r="AI70" s="106">
        <f>+HLOOKUP($C70,BP!$BS$2:$CE$250,109,0)</f>
        <v>0</v>
      </c>
      <c r="AJ70" s="106">
        <f>+HLOOKUP($C70,BP!$BS$2:$CE$250,110,0)</f>
        <v>0</v>
      </c>
      <c r="AK70" s="106">
        <f>+HLOOKUP($C70,BP!$BS$2:$CE$250,111,0)</f>
        <v>1678.7632942079999</v>
      </c>
      <c r="AL70" s="106">
        <f>+HLOOKUP($C70,BP!$BS$2:$CE$250,112,0)</f>
        <v>0</v>
      </c>
      <c r="AM70" s="106">
        <f>+HLOOKUP($C70,BP!$BS$2:$CE$250,116,0)</f>
        <v>106300</v>
      </c>
      <c r="AN70" s="106">
        <f>+HLOOKUP($C70,BP!$BS$2:$CE$250,117,0)</f>
        <v>19120</v>
      </c>
      <c r="AO70" s="106">
        <f>+HLOOKUP($C70,BP!$BS$2:$CE$250,118,0)</f>
        <v>2500</v>
      </c>
      <c r="AP70" s="106">
        <f>+HLOOKUP($C70,BP!$BS$2:$CE$250,119,0)</f>
        <v>37120</v>
      </c>
      <c r="AQ70" s="106">
        <f>+HLOOKUP($C70,BP!$BS$2:$CE$250,120,0)</f>
        <v>5200</v>
      </c>
      <c r="AR70" s="106">
        <f>+HLOOKUP($C70,BP!$BS$2:$CE$250,121,0)</f>
        <v>2000</v>
      </c>
      <c r="AS70" s="106">
        <f>+HLOOKUP($C70,BP!$BS$2:$CE$250,122,0)</f>
        <v>56560</v>
      </c>
      <c r="AT70" s="106">
        <f>+HLOOKUP($C70,BP!$BS$2:$CE$250,123,0)</f>
        <v>14646.494290277777</v>
      </c>
      <c r="AU70" s="106">
        <f>+HLOOKUP($C70,BP!$BS$2:$CE$250,124,0)</f>
        <v>1866.75</v>
      </c>
      <c r="AV70" s="106">
        <f>+HLOOKUP($C70,BP!$BS$2:$CE$250,125,0)</f>
        <v>81780</v>
      </c>
      <c r="AW70" s="106">
        <f>+HLOOKUP($C70,BP!$BS$2:$CE$250,126,0)</f>
        <v>5110.5769230769229</v>
      </c>
      <c r="AX70" s="106">
        <f>+HLOOKUP($C70,BP!$BS$2:$CE$250,127,0)</f>
        <v>8274.9999999999982</v>
      </c>
      <c r="AY70" s="106">
        <f>+HLOOKUP($C70,BP!$BS$2:$CE$250,129,0)</f>
        <v>0</v>
      </c>
      <c r="AZ70" s="106">
        <f>+HLOOKUP($C70,BP!$BS$2:$CE$250,130,0)</f>
        <v>0</v>
      </c>
      <c r="BA70" s="106">
        <f>+HLOOKUP($C70,BP!$BS$2:$CE$250,131,0)</f>
        <v>10000</v>
      </c>
      <c r="BB70" s="106">
        <f>+HLOOKUP($C70,BP!$BS$2:$CE$250,133,0)</f>
        <v>0</v>
      </c>
      <c r="BC70" s="106">
        <f>+HLOOKUP($C70,BP!$BS$2:$CE$250,134,0)</f>
        <v>37156.738675000001</v>
      </c>
      <c r="BD70" s="106">
        <f>+HLOOKUP($C70,BP!$BS$2:$CE$250,135,0)</f>
        <v>0</v>
      </c>
      <c r="BE70" s="106">
        <f>+HLOOKUP($C70,BP!$BS$2:$CE$250,136,0)</f>
        <v>0</v>
      </c>
      <c r="BF70" s="106">
        <f>+HLOOKUP($C70,BP!$BS$2:$CE$250,138,0)</f>
        <v>3000</v>
      </c>
      <c r="BG70" s="106">
        <f>+HLOOKUP($C70,BP!$BS$2:$CE$250,139,0)</f>
        <v>2651.4425000000001</v>
      </c>
      <c r="BH70" s="106">
        <f>+HLOOKUP($C70,BP!$BS$2:$CE$250,140,0)</f>
        <v>19660.800000000003</v>
      </c>
      <c r="BI70" s="106">
        <f>+HLOOKUP($C70,BP!$BS$2:$CE$250,141,0)</f>
        <v>0</v>
      </c>
      <c r="BJ70" s="106">
        <f>+HLOOKUP($C70,BP!$BS$2:$CE$250,142,0)</f>
        <v>0</v>
      </c>
      <c r="BK70" s="106">
        <f>+HLOOKUP($C70,BP!$BS$2:$CE$250,143,0)</f>
        <v>10681.75</v>
      </c>
      <c r="BL70" s="106">
        <f>+HLOOKUP($C70,BP!$BS$2:$CE$250,144,0)</f>
        <v>10156.25</v>
      </c>
      <c r="BM70" s="106">
        <f>+HLOOKUP($C70,BP!$BS$2:$CE$250,146,0)</f>
        <v>0</v>
      </c>
      <c r="BN70" s="106">
        <f>+HLOOKUP($C70,BP!$BS$2:$CE$250,147,0)</f>
        <v>0</v>
      </c>
      <c r="BO70" s="106">
        <f>+HLOOKUP($C70,BP!$BS$2:$CE$250,148,0)</f>
        <v>0</v>
      </c>
      <c r="BP70" s="106">
        <f>+HLOOKUP($C70,BP!$BS$2:$CE$250,150,0)</f>
        <v>32452.455000000002</v>
      </c>
      <c r="BQ70" s="106">
        <f>+HLOOKUP($C70,BP!$BS$2:$CE$250,151,0)</f>
        <v>0</v>
      </c>
      <c r="BR70" s="106">
        <f>+HLOOKUP($C70,BP!$BS$2:$CE$250,152,0)</f>
        <v>12800</v>
      </c>
      <c r="BS70" s="106">
        <f>+HLOOKUP($C70,BP!$BS$2:$CE$250,153,0)</f>
        <v>2400</v>
      </c>
      <c r="BT70" s="106">
        <f>+HLOOKUP($C70,BP!$BS$2:$CE$250,157,0)</f>
        <v>7320</v>
      </c>
      <c r="BU70" s="106">
        <f>+HLOOKUP($C70,BP!$BS$2:$CE$250,158,0)</f>
        <v>1740</v>
      </c>
      <c r="BV70" s="106">
        <f>+HLOOKUP($C70,BP!$BS$2:$CE$250,159,0)</f>
        <v>0</v>
      </c>
      <c r="BW70" s="106">
        <f>+HLOOKUP($C70,BP!$BS$2:$CE$250,160,0)</f>
        <v>14353.66666666667</v>
      </c>
      <c r="BX70" s="106">
        <f>+HLOOKUP($C70,BP!$BS$2:$CE$250,161,0)</f>
        <v>7129.9638333333342</v>
      </c>
      <c r="BY70" s="106">
        <f>+HLOOKUP($C70,BP!$BS$2:$CE$250,164,0)</f>
        <v>3200</v>
      </c>
      <c r="BZ70" s="106">
        <f>+HLOOKUP($C70,BP!$BS$2:$CE$250,165,0)</f>
        <v>0</v>
      </c>
      <c r="CA70" s="106">
        <f>+HLOOKUP($C70,BP!$BS$2:$CE$250,166,0)</f>
        <v>0</v>
      </c>
      <c r="CB70" s="106">
        <f>+HLOOKUP($C70,BP!$BS$2:$CE$250,167,0)</f>
        <v>0</v>
      </c>
      <c r="CC70" s="106">
        <f>+HLOOKUP($C70,BP!$BS$2:$CE$250,168,0)</f>
        <v>0</v>
      </c>
      <c r="CD70" s="106">
        <f>+HLOOKUP($C70,BP!$BS$2:$CE$250,169,0)</f>
        <v>0</v>
      </c>
      <c r="CE70" s="106">
        <f>+HLOOKUP($C70,BP!$BS$2:$CE$250,170,0)</f>
        <v>0</v>
      </c>
      <c r="CF70" s="106">
        <f>+HLOOKUP($C70,BP!$BS$2:$CE$250,172,0)</f>
        <v>21800</v>
      </c>
      <c r="CG70" s="106">
        <f>+HLOOKUP($C70,BP!$BS$2:$CE$250,173,0)</f>
        <v>12000</v>
      </c>
      <c r="CH70" s="106">
        <f>+HLOOKUP($C70,BP!$BS$2:$CE$250,174,0)</f>
        <v>57600</v>
      </c>
      <c r="CI70" s="106">
        <f>+HLOOKUP($C70,BP!$BS$2:$CE$250,175,0)</f>
        <v>4460</v>
      </c>
      <c r="CJ70" s="106">
        <f>+HLOOKUP($C70,BP!$BS$2:$CE$250,176,0)</f>
        <v>4740</v>
      </c>
      <c r="CK70" s="106">
        <f>+HLOOKUP($C70,BP!$BS$2:$CE$250,178,0)</f>
        <v>62718.55476363637</v>
      </c>
      <c r="CL70" s="106">
        <f>+HLOOKUP($C70,BP!$BS$2:$CE$250,179,0)</f>
        <v>0</v>
      </c>
      <c r="CM70" s="106">
        <f>+HLOOKUP($C70,BP!$BS$2:$CE$250,180,0)</f>
        <v>0</v>
      </c>
      <c r="CN70" s="106">
        <f>+HLOOKUP($C70,BP!$BS$2:$CE$250,182,0)</f>
        <v>491.40000000000003</v>
      </c>
      <c r="CO70" s="106">
        <f>+HLOOKUP($C70,BP!$BS$2:$CE$250,183,0)</f>
        <v>8743.6</v>
      </c>
      <c r="CP70" s="106">
        <f>+HLOOKUP($C70,BP!$BS$2:$CE$250,184,0)</f>
        <v>4320</v>
      </c>
      <c r="CQ70" s="106">
        <f>+HLOOKUP($C70,BP!$BS$2:$CE$250,185,0)</f>
        <v>0</v>
      </c>
      <c r="CR70" s="106">
        <f>+HLOOKUP($C70,BP!$BS$2:$CE$250,187,0)</f>
        <v>2499.84</v>
      </c>
      <c r="CS70" s="106">
        <f>+HLOOKUP($C70,BP!$BS$2:$CE$250,188,0)</f>
        <v>3180</v>
      </c>
      <c r="CT70" s="106">
        <f>+HLOOKUP($C70,BP!$BS$2:$CE$250,189,0)</f>
        <v>2000.04</v>
      </c>
      <c r="CU70" s="106">
        <f>+HLOOKUP($C70,BP!$BS$2:$CE$250,190,0)</f>
        <v>2026.68</v>
      </c>
      <c r="CV70" s="106">
        <f>+HLOOKUP($C70,BP!$BS$2:$CE$250,191,0)</f>
        <v>0</v>
      </c>
      <c r="CW70" s="106">
        <f>+HLOOKUP($C70,BP!$BS$2:$CE$250,193,0)</f>
        <v>11122.866666666669</v>
      </c>
      <c r="CX70" s="106">
        <f>+HLOOKUP($C70,BP!$BS$2:$CE$250,194,0)</f>
        <v>31.8</v>
      </c>
      <c r="CY70" s="106">
        <f>+HLOOKUP($C70,BP!$BS$2:$CE$250,195,0)</f>
        <v>0</v>
      </c>
      <c r="CZ70" s="106">
        <f>+HLOOKUP($C70,BP!$BS$2:$CE$250,196,0)</f>
        <v>0</v>
      </c>
      <c r="DA70" s="106">
        <f>+HLOOKUP($C70,BP!$BS$2:$CE$250,197,0)</f>
        <v>5836.8</v>
      </c>
      <c r="DB70" s="106">
        <f>+HLOOKUP($C70,BP!$BS$2:$CE$250,198,0)</f>
        <v>4044</v>
      </c>
      <c r="DC70" s="106">
        <f>+HLOOKUP($C70,BP!$BS$2:$CE$250,199,0)</f>
        <v>864</v>
      </c>
      <c r="DD70" s="106">
        <f>+HLOOKUP($C70,BP!$BS$2:$CE$250,200,0)</f>
        <v>232</v>
      </c>
      <c r="DE70" s="106">
        <f>+HLOOKUP($C70,BP!$BS$2:$CE$250,201,0)</f>
        <v>59.400000000000006</v>
      </c>
      <c r="DF70" s="106">
        <f>+HLOOKUP($C70,BP!$BS$2:$CE$250,202,0)</f>
        <v>0</v>
      </c>
      <c r="DG70" s="106">
        <f>+HLOOKUP($C70,BP!$BS$2:$CE$250,203,0)</f>
        <v>0</v>
      </c>
      <c r="DH70" s="106">
        <f>+HLOOKUP($C70,BP!$BS$2:$CE$250,205,0)</f>
        <v>0</v>
      </c>
      <c r="DI70" s="106">
        <f>+HLOOKUP($C70,BP!$BS$2:$CE$250,206,0)</f>
        <v>4656</v>
      </c>
      <c r="DJ70" s="106">
        <f>+HLOOKUP($C70,BP!$BS$2:$CE$250,207,0)</f>
        <v>710.49866666666685</v>
      </c>
      <c r="DK70" s="106">
        <f>+HLOOKUP($C70,BP!$BS$2:$CE$250,209,0)</f>
        <v>100000</v>
      </c>
      <c r="DL70" s="106">
        <f>+HLOOKUP($C70,BP!$BS$2:$CE$250,210,0)</f>
        <v>124106.10534000001</v>
      </c>
      <c r="DM70" s="106">
        <f>+HLOOKUP($C70,BP!$BS$2:$CE$250,211,0)</f>
        <v>0</v>
      </c>
      <c r="DN70" s="106">
        <f>+HLOOKUP($C70,BP!$BS$2:$CE$250,212,0)</f>
        <v>0</v>
      </c>
      <c r="DO70" s="106">
        <f>+HLOOKUP($C70,BP!$BS$2:$CE$250,214,0)</f>
        <v>0</v>
      </c>
      <c r="DP70" s="106">
        <f>+HLOOKUP($C70,BP!$BS$2:$CE$250,215,0)</f>
        <v>720</v>
      </c>
      <c r="DQ70" s="106">
        <f>+HLOOKUP($C70,BP!$BS$2:$CE$250,219,0)</f>
        <v>0</v>
      </c>
      <c r="DR70" s="106">
        <f>+HLOOKUP($C70,BP!$BS$2:$CE$250,220,0)</f>
        <v>0</v>
      </c>
      <c r="DS70" s="106">
        <f>+HLOOKUP($C70,BP!$BS$2:$CE$250,221,0)</f>
        <v>0</v>
      </c>
      <c r="DT70" s="106">
        <f>+HLOOKUP($C70,BP!$BS$2:$CE$250,223,0)</f>
        <v>15000</v>
      </c>
      <c r="DU70" s="106">
        <f>+HLOOKUP($C70,BP!$BS$2:$CE$250,224,0)</f>
        <v>0</v>
      </c>
      <c r="DV70" s="106">
        <f>+HLOOKUP($C70,BP!$BS$2:$CE$250,225,0)</f>
        <v>0</v>
      </c>
      <c r="DW70" s="106">
        <f>+HLOOKUP($C70,BP!$BS$2:$CE$250,227,0)</f>
        <v>0</v>
      </c>
      <c r="DX70" s="106">
        <f>+HLOOKUP($C70,BP!$BS$2:$CE$250,228,0)</f>
        <v>0</v>
      </c>
      <c r="DY70" s="106">
        <f>+HLOOKUP($C70,BP!$BS$2:$CE$250,236,0)</f>
        <v>0</v>
      </c>
      <c r="DZ70" s="106">
        <f>+HLOOKUP($C70,BP!$BS$2:$CE$250,237,0)</f>
        <v>22670.384451090344</v>
      </c>
      <c r="EA70" s="106">
        <f>+HLOOKUP($C70,BP!$BS$2:$CE$250,238,0)</f>
        <v>0</v>
      </c>
      <c r="EB70" s="106">
        <f>+HLOOKUP($C70,BP!$BS$2:$CE$250,240,0)</f>
        <v>386326.71292708302</v>
      </c>
    </row>
    <row r="71" spans="1:132">
      <c r="A71" t="s">
        <v>269</v>
      </c>
      <c r="B71" t="s">
        <v>218</v>
      </c>
      <c r="C71" s="117">
        <v>45717</v>
      </c>
      <c r="D71" s="106">
        <f t="shared" si="1"/>
        <v>7941607.0149999997</v>
      </c>
      <c r="E71" s="106">
        <f>+HLOOKUP(C71,BP!$BS$2:$CE$250,28,0)+HLOOKUP(C71,BP!$BS$2:$CE$250,43,0)+HLOOKUP(C71,BP!$BS$2:$CE$250,44,0)+HLOOKUP(C71,BP!$BS$2:$CE$250,45,0)+HLOOKUP(C71,BP!$BS$2:$CE$250,54,0)+HLOOKUP(C71,BP!$BS$2:$CE$250,59,0)</f>
        <v>7941607.0149999997</v>
      </c>
      <c r="F71" s="106">
        <f>+HLOOKUP(C71,BP!$BS$2:$CE$250,37,0)+HLOOKUP(C71,BP!$BS$2:$CE$250,55,0)</f>
        <v>4829069.9243753748</v>
      </c>
      <c r="G71" s="106">
        <f>+HLOOKUP($C71,BP!$BS$2:$CE$250,76,0)</f>
        <v>0</v>
      </c>
      <c r="H71" s="106">
        <f>+HLOOKUP($C71,BP!$BS$2:$CE$250,77,0)</f>
        <v>0</v>
      </c>
      <c r="I71" s="106">
        <f>+HLOOKUP($C71,BP!$BS$2:$CE$250,78,0)</f>
        <v>0</v>
      </c>
      <c r="J71" s="106">
        <f>+HLOOKUP($C71,BP!$BS$2:$CE$250,79,0)</f>
        <v>0</v>
      </c>
      <c r="K71" s="106">
        <f>+HLOOKUP($C71,BP!$BS$2:$CE$250,80,0)</f>
        <v>0</v>
      </c>
      <c r="L71" s="106">
        <f>+HLOOKUP($C71,BP!$BS$2:$CE$250,81,0)</f>
        <v>15000</v>
      </c>
      <c r="M71" s="106">
        <f>+HLOOKUP($C71,BP!$BS$2:$CE$250,82,0)</f>
        <v>0</v>
      </c>
      <c r="N71" s="106">
        <f>+HLOOKUP($C71,BP!$BS$2:$CE$250,83,0)</f>
        <v>0</v>
      </c>
      <c r="O71" s="106">
        <f>+HLOOKUP($C71,BP!$BS$2:$CE$250,84,0)</f>
        <v>0</v>
      </c>
      <c r="P71" s="106">
        <f>+HLOOKUP($C71,BP!$BS$2:$CE$250,85,0)</f>
        <v>0</v>
      </c>
      <c r="Q71" s="106">
        <f>+HLOOKUP($C71,BP!$BS$2:$CE$250,87,0)</f>
        <v>126778.76250000001</v>
      </c>
      <c r="R71" s="106">
        <f>+HLOOKUP($C71,BP!$BS$2:$CE$250,90,0)</f>
        <v>0</v>
      </c>
      <c r="S71" s="106">
        <f>+HLOOKUP($C71,BP!$BS$2:$CE$250,91,0)</f>
        <v>0</v>
      </c>
      <c r="T71" s="106">
        <f>+HLOOKUP($C71,BP!$BS$2:$CE$250,92,0)</f>
        <v>0</v>
      </c>
      <c r="U71" s="106">
        <f>+HLOOKUP($C71,BP!$BS$2:$CE$250,93,0)</f>
        <v>0</v>
      </c>
      <c r="V71" s="106">
        <f>+HLOOKUP($C71,BP!$BS$2:$CE$250,94,0)</f>
        <v>0</v>
      </c>
      <c r="W71" s="106">
        <f>+HLOOKUP($C71,BP!$BS$2:$CE$250,95,0)</f>
        <v>0</v>
      </c>
      <c r="X71" s="106">
        <f>+HLOOKUP($C71,BP!$BS$2:$CE$250,96,0)</f>
        <v>0</v>
      </c>
      <c r="Y71" s="106">
        <f>+HLOOKUP($C71,BP!$BS$2:$CE$250,97,0)</f>
        <v>0</v>
      </c>
      <c r="Z71" s="106">
        <f>+HLOOKUP($C71,BP!$BS$2:$CE$250,98,0)</f>
        <v>0</v>
      </c>
      <c r="AA71" s="106">
        <f>+HLOOKUP($C71,BP!$BS$2:$CE$250,99,0)</f>
        <v>0</v>
      </c>
      <c r="AB71" s="106">
        <f>+HLOOKUP($C71,BP!$BS$2:$CE$250,100,0)</f>
        <v>0</v>
      </c>
      <c r="AC71" s="106">
        <f>+HLOOKUP($C71,BP!$BS$2:$CE$250,101,0)</f>
        <v>0</v>
      </c>
      <c r="AD71" s="106">
        <f>+HLOOKUP($C71,BP!$BS$2:$CE$250,104,0)</f>
        <v>9773.4491662500022</v>
      </c>
      <c r="AE71" s="106">
        <f>+HLOOKUP($C71,BP!$BS$2:$CE$250,105,0)</f>
        <v>28206.202499999999</v>
      </c>
      <c r="AF71" s="106">
        <f>+HLOOKUP($C71,BP!$BS$2:$CE$250,106,0)</f>
        <v>0</v>
      </c>
      <c r="AG71" s="106">
        <f>+HLOOKUP($C71,BP!$BS$2:$CE$250,107,0)</f>
        <v>0</v>
      </c>
      <c r="AH71" s="106">
        <f>+HLOOKUP($C71,BP!$BS$2:$CE$250,108,0)</f>
        <v>0</v>
      </c>
      <c r="AI71" s="106">
        <f>+HLOOKUP($C71,BP!$BS$2:$CE$250,109,0)</f>
        <v>0</v>
      </c>
      <c r="AJ71" s="106">
        <f>+HLOOKUP($C71,BP!$BS$2:$CE$250,110,0)</f>
        <v>0</v>
      </c>
      <c r="AK71" s="106">
        <f>+HLOOKUP($C71,BP!$BS$2:$CE$250,111,0)</f>
        <v>1737.5020740000004</v>
      </c>
      <c r="AL71" s="106">
        <f>+HLOOKUP($C71,BP!$BS$2:$CE$250,112,0)</f>
        <v>0</v>
      </c>
      <c r="AM71" s="106">
        <f>+HLOOKUP($C71,BP!$BS$2:$CE$250,116,0)</f>
        <v>106300</v>
      </c>
      <c r="AN71" s="106">
        <f>+HLOOKUP($C71,BP!$BS$2:$CE$250,117,0)</f>
        <v>19120</v>
      </c>
      <c r="AO71" s="106">
        <f>+HLOOKUP($C71,BP!$BS$2:$CE$250,118,0)</f>
        <v>2500</v>
      </c>
      <c r="AP71" s="106">
        <f>+HLOOKUP($C71,BP!$BS$2:$CE$250,119,0)</f>
        <v>37120</v>
      </c>
      <c r="AQ71" s="106">
        <f>+HLOOKUP($C71,BP!$BS$2:$CE$250,120,0)</f>
        <v>5200</v>
      </c>
      <c r="AR71" s="106">
        <f>+HLOOKUP($C71,BP!$BS$2:$CE$250,121,0)</f>
        <v>2000</v>
      </c>
      <c r="AS71" s="106">
        <f>+HLOOKUP($C71,BP!$BS$2:$CE$250,122,0)</f>
        <v>56560</v>
      </c>
      <c r="AT71" s="106">
        <f>+HLOOKUP($C71,BP!$BS$2:$CE$250,123,0)</f>
        <v>14646.494290277777</v>
      </c>
      <c r="AU71" s="106">
        <f>+HLOOKUP($C71,BP!$BS$2:$CE$250,124,0)</f>
        <v>1866.75</v>
      </c>
      <c r="AV71" s="106">
        <f>+HLOOKUP($C71,BP!$BS$2:$CE$250,125,0)</f>
        <v>81780</v>
      </c>
      <c r="AW71" s="106">
        <f>+HLOOKUP($C71,BP!$BS$2:$CE$250,126,0)</f>
        <v>5110.5769230769229</v>
      </c>
      <c r="AX71" s="106">
        <f>+HLOOKUP($C71,BP!$BS$2:$CE$250,127,0)</f>
        <v>8274.9999999999982</v>
      </c>
      <c r="AY71" s="106">
        <f>+HLOOKUP($C71,BP!$BS$2:$CE$250,129,0)</f>
        <v>0</v>
      </c>
      <c r="AZ71" s="106">
        <f>+HLOOKUP($C71,BP!$BS$2:$CE$250,130,0)</f>
        <v>0</v>
      </c>
      <c r="BA71" s="106">
        <f>+HLOOKUP($C71,BP!$BS$2:$CE$250,131,0)</f>
        <v>10000</v>
      </c>
      <c r="BB71" s="106">
        <f>+HLOOKUP($C71,BP!$BS$2:$CE$250,133,0)</f>
        <v>0</v>
      </c>
      <c r="BC71" s="106">
        <f>+HLOOKUP($C71,BP!$BS$2:$CE$250,134,0)</f>
        <v>37156.738675000001</v>
      </c>
      <c r="BD71" s="106">
        <f>+HLOOKUP($C71,BP!$BS$2:$CE$250,135,0)</f>
        <v>0</v>
      </c>
      <c r="BE71" s="106">
        <f>+HLOOKUP($C71,BP!$BS$2:$CE$250,136,0)</f>
        <v>0</v>
      </c>
      <c r="BF71" s="106">
        <f>+HLOOKUP($C71,BP!$BS$2:$CE$250,138,0)</f>
        <v>3000</v>
      </c>
      <c r="BG71" s="106">
        <f>+HLOOKUP($C71,BP!$BS$2:$CE$250,139,0)</f>
        <v>2651.4425000000001</v>
      </c>
      <c r="BH71" s="106">
        <f>+HLOOKUP($C71,BP!$BS$2:$CE$250,140,0)</f>
        <v>19660.800000000003</v>
      </c>
      <c r="BI71" s="106">
        <f>+HLOOKUP($C71,BP!$BS$2:$CE$250,141,0)</f>
        <v>0</v>
      </c>
      <c r="BJ71" s="106">
        <f>+HLOOKUP($C71,BP!$BS$2:$CE$250,142,0)</f>
        <v>0</v>
      </c>
      <c r="BK71" s="106">
        <f>+HLOOKUP($C71,BP!$BS$2:$CE$250,143,0)</f>
        <v>10681.75</v>
      </c>
      <c r="BL71" s="106">
        <f>+HLOOKUP($C71,BP!$BS$2:$CE$250,144,0)</f>
        <v>5822.9166666666661</v>
      </c>
      <c r="BM71" s="106">
        <f>+HLOOKUP($C71,BP!$BS$2:$CE$250,146,0)</f>
        <v>0</v>
      </c>
      <c r="BN71" s="106">
        <f>+HLOOKUP($C71,BP!$BS$2:$CE$250,147,0)</f>
        <v>0</v>
      </c>
      <c r="BO71" s="106">
        <f>+HLOOKUP($C71,BP!$BS$2:$CE$250,148,0)</f>
        <v>0</v>
      </c>
      <c r="BP71" s="106">
        <f>+HLOOKUP($C71,BP!$BS$2:$CE$250,150,0)</f>
        <v>32452.455000000002</v>
      </c>
      <c r="BQ71" s="106">
        <f>+HLOOKUP($C71,BP!$BS$2:$CE$250,151,0)</f>
        <v>0</v>
      </c>
      <c r="BR71" s="106">
        <f>+HLOOKUP($C71,BP!$BS$2:$CE$250,152,0)</f>
        <v>12800</v>
      </c>
      <c r="BS71" s="106">
        <f>+HLOOKUP($C71,BP!$BS$2:$CE$250,153,0)</f>
        <v>2400</v>
      </c>
      <c r="BT71" s="106">
        <f>+HLOOKUP($C71,BP!$BS$2:$CE$250,157,0)</f>
        <v>7320</v>
      </c>
      <c r="BU71" s="106">
        <f>+HLOOKUP($C71,BP!$BS$2:$CE$250,158,0)</f>
        <v>1740</v>
      </c>
      <c r="BV71" s="106">
        <f>+HLOOKUP($C71,BP!$BS$2:$CE$250,159,0)</f>
        <v>0</v>
      </c>
      <c r="BW71" s="106">
        <f>+HLOOKUP($C71,BP!$BS$2:$CE$250,160,0)</f>
        <v>13996.66666666667</v>
      </c>
      <c r="BX71" s="106">
        <f>+HLOOKUP($C71,BP!$BS$2:$CE$250,161,0)</f>
        <v>7129.9638333333342</v>
      </c>
      <c r="BY71" s="106">
        <f>+HLOOKUP($C71,BP!$BS$2:$CE$250,164,0)</f>
        <v>3200</v>
      </c>
      <c r="BZ71" s="106">
        <f>+HLOOKUP($C71,BP!$BS$2:$CE$250,165,0)</f>
        <v>0</v>
      </c>
      <c r="CA71" s="106">
        <f>+HLOOKUP($C71,BP!$BS$2:$CE$250,166,0)</f>
        <v>0</v>
      </c>
      <c r="CB71" s="106">
        <f>+HLOOKUP($C71,BP!$BS$2:$CE$250,167,0)</f>
        <v>0</v>
      </c>
      <c r="CC71" s="106">
        <f>+HLOOKUP($C71,BP!$BS$2:$CE$250,168,0)</f>
        <v>0</v>
      </c>
      <c r="CD71" s="106">
        <f>+HLOOKUP($C71,BP!$BS$2:$CE$250,169,0)</f>
        <v>0</v>
      </c>
      <c r="CE71" s="106">
        <f>+HLOOKUP($C71,BP!$BS$2:$CE$250,170,0)</f>
        <v>0</v>
      </c>
      <c r="CF71" s="106">
        <f>+HLOOKUP($C71,BP!$BS$2:$CE$250,172,0)</f>
        <v>21800</v>
      </c>
      <c r="CG71" s="106">
        <f>+HLOOKUP($C71,BP!$BS$2:$CE$250,173,0)</f>
        <v>12000</v>
      </c>
      <c r="CH71" s="106">
        <f>+HLOOKUP($C71,BP!$BS$2:$CE$250,174,0)</f>
        <v>57600</v>
      </c>
      <c r="CI71" s="106">
        <f>+HLOOKUP($C71,BP!$BS$2:$CE$250,175,0)</f>
        <v>4460</v>
      </c>
      <c r="CJ71" s="106">
        <f>+HLOOKUP($C71,BP!$BS$2:$CE$250,176,0)</f>
        <v>4740</v>
      </c>
      <c r="CK71" s="106">
        <f>+HLOOKUP($C71,BP!$BS$2:$CE$250,178,0)</f>
        <v>62718.55476363637</v>
      </c>
      <c r="CL71" s="106">
        <f>+HLOOKUP($C71,BP!$BS$2:$CE$250,179,0)</f>
        <v>0</v>
      </c>
      <c r="CM71" s="106">
        <f>+HLOOKUP($C71,BP!$BS$2:$CE$250,180,0)</f>
        <v>0</v>
      </c>
      <c r="CN71" s="106">
        <f>+HLOOKUP($C71,BP!$BS$2:$CE$250,182,0)</f>
        <v>491.40000000000003</v>
      </c>
      <c r="CO71" s="106">
        <f>+HLOOKUP($C71,BP!$BS$2:$CE$250,183,0)</f>
        <v>8743.6</v>
      </c>
      <c r="CP71" s="106">
        <f>+HLOOKUP($C71,BP!$BS$2:$CE$250,184,0)</f>
        <v>4320</v>
      </c>
      <c r="CQ71" s="106">
        <f>+HLOOKUP($C71,BP!$BS$2:$CE$250,185,0)</f>
        <v>0</v>
      </c>
      <c r="CR71" s="106">
        <f>+HLOOKUP($C71,BP!$BS$2:$CE$250,187,0)</f>
        <v>2499.84</v>
      </c>
      <c r="CS71" s="106">
        <f>+HLOOKUP($C71,BP!$BS$2:$CE$250,188,0)</f>
        <v>3180</v>
      </c>
      <c r="CT71" s="106">
        <f>+HLOOKUP($C71,BP!$BS$2:$CE$250,189,0)</f>
        <v>2000.04</v>
      </c>
      <c r="CU71" s="106">
        <f>+HLOOKUP($C71,BP!$BS$2:$CE$250,190,0)</f>
        <v>2026.68</v>
      </c>
      <c r="CV71" s="106">
        <f>+HLOOKUP($C71,BP!$BS$2:$CE$250,191,0)</f>
        <v>0</v>
      </c>
      <c r="CW71" s="106">
        <f>+HLOOKUP($C71,BP!$BS$2:$CE$250,193,0)</f>
        <v>11122.866666666669</v>
      </c>
      <c r="CX71" s="106">
        <f>+HLOOKUP($C71,BP!$BS$2:$CE$250,194,0)</f>
        <v>31.8</v>
      </c>
      <c r="CY71" s="106">
        <f>+HLOOKUP($C71,BP!$BS$2:$CE$250,195,0)</f>
        <v>0</v>
      </c>
      <c r="CZ71" s="106">
        <f>+HLOOKUP($C71,BP!$BS$2:$CE$250,196,0)</f>
        <v>0</v>
      </c>
      <c r="DA71" s="106">
        <f>+HLOOKUP($C71,BP!$BS$2:$CE$250,197,0)</f>
        <v>5836.8</v>
      </c>
      <c r="DB71" s="106">
        <f>+HLOOKUP($C71,BP!$BS$2:$CE$250,198,0)</f>
        <v>4044</v>
      </c>
      <c r="DC71" s="106">
        <f>+HLOOKUP($C71,BP!$BS$2:$CE$250,199,0)</f>
        <v>864</v>
      </c>
      <c r="DD71" s="106">
        <f>+HLOOKUP($C71,BP!$BS$2:$CE$250,200,0)</f>
        <v>232</v>
      </c>
      <c r="DE71" s="106">
        <f>+HLOOKUP($C71,BP!$BS$2:$CE$250,201,0)</f>
        <v>59.400000000000006</v>
      </c>
      <c r="DF71" s="106">
        <f>+HLOOKUP($C71,BP!$BS$2:$CE$250,202,0)</f>
        <v>0</v>
      </c>
      <c r="DG71" s="106">
        <f>+HLOOKUP($C71,BP!$BS$2:$CE$250,203,0)</f>
        <v>0</v>
      </c>
      <c r="DH71" s="106">
        <f>+HLOOKUP($C71,BP!$BS$2:$CE$250,205,0)</f>
        <v>0</v>
      </c>
      <c r="DI71" s="106">
        <f>+HLOOKUP($C71,BP!$BS$2:$CE$250,206,0)</f>
        <v>4656</v>
      </c>
      <c r="DJ71" s="106">
        <f>+HLOOKUP($C71,BP!$BS$2:$CE$250,207,0)</f>
        <v>710.49866666666685</v>
      </c>
      <c r="DK71" s="106">
        <f>+HLOOKUP($C71,BP!$BS$2:$CE$250,209,0)</f>
        <v>100000</v>
      </c>
      <c r="DL71" s="106">
        <f>+HLOOKUP($C71,BP!$BS$2:$CE$250,210,0)</f>
        <v>124106.10534000001</v>
      </c>
      <c r="DM71" s="106">
        <f>+HLOOKUP($C71,BP!$BS$2:$CE$250,211,0)</f>
        <v>0</v>
      </c>
      <c r="DN71" s="106">
        <f>+HLOOKUP($C71,BP!$BS$2:$CE$250,212,0)</f>
        <v>0</v>
      </c>
      <c r="DO71" s="106">
        <f>+HLOOKUP($C71,BP!$BS$2:$CE$250,214,0)</f>
        <v>0</v>
      </c>
      <c r="DP71" s="106">
        <f>+HLOOKUP($C71,BP!$BS$2:$CE$250,215,0)</f>
        <v>720</v>
      </c>
      <c r="DQ71" s="106">
        <f>+HLOOKUP($C71,BP!$BS$2:$CE$250,219,0)</f>
        <v>0</v>
      </c>
      <c r="DR71" s="106">
        <f>+HLOOKUP($C71,BP!$BS$2:$CE$250,220,0)</f>
        <v>0</v>
      </c>
      <c r="DS71" s="106">
        <f>+HLOOKUP($C71,BP!$BS$2:$CE$250,221,0)</f>
        <v>0</v>
      </c>
      <c r="DT71" s="106">
        <f>+HLOOKUP($C71,BP!$BS$2:$CE$250,223,0)</f>
        <v>15000</v>
      </c>
      <c r="DU71" s="106">
        <f>+HLOOKUP($C71,BP!$BS$2:$CE$250,224,0)</f>
        <v>0</v>
      </c>
      <c r="DV71" s="106">
        <f>+HLOOKUP($C71,BP!$BS$2:$CE$250,225,0)</f>
        <v>0</v>
      </c>
      <c r="DW71" s="106">
        <f>+HLOOKUP($C71,BP!$BS$2:$CE$250,227,0)</f>
        <v>0</v>
      </c>
      <c r="DX71" s="106">
        <f>+HLOOKUP($C71,BP!$BS$2:$CE$250,228,0)</f>
        <v>0</v>
      </c>
      <c r="DY71" s="106">
        <f>+HLOOKUP($C71,BP!$BS$2:$CE$250,236,0)</f>
        <v>0</v>
      </c>
      <c r="DZ71" s="106">
        <f>+HLOOKUP($C71,BP!$BS$2:$CE$250,237,0)</f>
        <v>23726.398078878843</v>
      </c>
      <c r="EA71" s="106">
        <f>+HLOOKUP($C71,BP!$BS$2:$CE$250,238,0)</f>
        <v>0</v>
      </c>
      <c r="EB71" s="106">
        <f>+HLOOKUP($C71,BP!$BS$2:$CE$250,240,0)</f>
        <v>386326.71292708302</v>
      </c>
    </row>
    <row r="72" spans="1:132">
      <c r="A72" t="s">
        <v>269</v>
      </c>
      <c r="B72" t="s">
        <v>218</v>
      </c>
      <c r="C72" s="117">
        <v>45689</v>
      </c>
      <c r="D72" s="106">
        <f t="shared" si="1"/>
        <v>8418115.9100000001</v>
      </c>
      <c r="E72" s="106">
        <f>+HLOOKUP(C72,BP!$BS$2:$CE$250,28,0)+HLOOKUP(C72,BP!$BS$2:$CE$250,43,0)+HLOOKUP(C72,BP!$BS$2:$CE$250,44,0)+HLOOKUP(C72,BP!$BS$2:$CE$250,45,0)+HLOOKUP(C72,BP!$BS$2:$CE$250,54,0)+HLOOKUP(C72,BP!$BS$2:$CE$250,59,0)</f>
        <v>8418115.9100000001</v>
      </c>
      <c r="F72" s="106">
        <f>+HLOOKUP(C72,BP!$BS$2:$CE$250,37,0)+HLOOKUP(C72,BP!$BS$2:$CE$250,55,0)</f>
        <v>5276729.6543753734</v>
      </c>
      <c r="G72" s="106">
        <f>+HLOOKUP($C72,BP!$BS$2:$CE$250,76,0)</f>
        <v>0</v>
      </c>
      <c r="H72" s="106">
        <f>+HLOOKUP($C72,BP!$BS$2:$CE$250,77,0)</f>
        <v>0</v>
      </c>
      <c r="I72" s="106">
        <f>+HLOOKUP($C72,BP!$BS$2:$CE$250,78,0)</f>
        <v>0</v>
      </c>
      <c r="J72" s="106">
        <f>+HLOOKUP($C72,BP!$BS$2:$CE$250,79,0)</f>
        <v>0</v>
      </c>
      <c r="K72" s="106">
        <f>+HLOOKUP($C72,BP!$BS$2:$CE$250,80,0)</f>
        <v>0</v>
      </c>
      <c r="L72" s="106">
        <f>+HLOOKUP($C72,BP!$BS$2:$CE$250,81,0)</f>
        <v>15000</v>
      </c>
      <c r="M72" s="106">
        <f>+HLOOKUP($C72,BP!$BS$2:$CE$250,82,0)</f>
        <v>0</v>
      </c>
      <c r="N72" s="106">
        <f>+HLOOKUP($C72,BP!$BS$2:$CE$250,83,0)</f>
        <v>0</v>
      </c>
      <c r="O72" s="106">
        <f>+HLOOKUP($C72,BP!$BS$2:$CE$250,84,0)</f>
        <v>0</v>
      </c>
      <c r="P72" s="106">
        <f>+HLOOKUP($C72,BP!$BS$2:$CE$250,85,0)</f>
        <v>0</v>
      </c>
      <c r="Q72" s="106">
        <f>+HLOOKUP($C72,BP!$BS$2:$CE$250,87,0)</f>
        <v>139047.67500000002</v>
      </c>
      <c r="R72" s="106">
        <f>+HLOOKUP($C72,BP!$BS$2:$CE$250,90,0)</f>
        <v>0</v>
      </c>
      <c r="S72" s="106">
        <f>+HLOOKUP($C72,BP!$BS$2:$CE$250,91,0)</f>
        <v>0</v>
      </c>
      <c r="T72" s="106">
        <f>+HLOOKUP($C72,BP!$BS$2:$CE$250,92,0)</f>
        <v>0</v>
      </c>
      <c r="U72" s="106">
        <f>+HLOOKUP($C72,BP!$BS$2:$CE$250,93,0)</f>
        <v>0</v>
      </c>
      <c r="V72" s="106">
        <f>+HLOOKUP($C72,BP!$BS$2:$CE$250,94,0)</f>
        <v>0</v>
      </c>
      <c r="W72" s="106">
        <f>+HLOOKUP($C72,BP!$BS$2:$CE$250,95,0)</f>
        <v>0</v>
      </c>
      <c r="X72" s="106">
        <f>+HLOOKUP($C72,BP!$BS$2:$CE$250,96,0)</f>
        <v>0</v>
      </c>
      <c r="Y72" s="106">
        <f>+HLOOKUP($C72,BP!$BS$2:$CE$250,97,0)</f>
        <v>0</v>
      </c>
      <c r="Z72" s="106">
        <f>+HLOOKUP($C72,BP!$BS$2:$CE$250,98,0)</f>
        <v>0</v>
      </c>
      <c r="AA72" s="106">
        <f>+HLOOKUP($C72,BP!$BS$2:$CE$250,99,0)</f>
        <v>0</v>
      </c>
      <c r="AB72" s="106">
        <f>+HLOOKUP($C72,BP!$BS$2:$CE$250,100,0)</f>
        <v>0</v>
      </c>
      <c r="AC72" s="106">
        <f>+HLOOKUP($C72,BP!$BS$2:$CE$250,101,0)</f>
        <v>0</v>
      </c>
      <c r="AD72" s="106">
        <f>+HLOOKUP($C72,BP!$BS$2:$CE$250,104,0)</f>
        <v>10719.266827500001</v>
      </c>
      <c r="AE72" s="106">
        <f>+HLOOKUP($C72,BP!$BS$2:$CE$250,105,0)</f>
        <v>30935.834999999999</v>
      </c>
      <c r="AF72" s="106">
        <f>+HLOOKUP($C72,BP!$BS$2:$CE$250,106,0)</f>
        <v>0</v>
      </c>
      <c r="AG72" s="106">
        <f>+HLOOKUP($C72,BP!$BS$2:$CE$250,107,0)</f>
        <v>0</v>
      </c>
      <c r="AH72" s="106">
        <f>+HLOOKUP($C72,BP!$BS$2:$CE$250,108,0)</f>
        <v>0</v>
      </c>
      <c r="AI72" s="106">
        <f>+HLOOKUP($C72,BP!$BS$2:$CE$250,109,0)</f>
        <v>0</v>
      </c>
      <c r="AJ72" s="106">
        <f>+HLOOKUP($C72,BP!$BS$2:$CE$250,110,0)</f>
        <v>0</v>
      </c>
      <c r="AK72" s="106">
        <f>+HLOOKUP($C72,BP!$BS$2:$CE$250,111,0)</f>
        <v>1905.6474360000002</v>
      </c>
      <c r="AL72" s="106">
        <f>+HLOOKUP($C72,BP!$BS$2:$CE$250,112,0)</f>
        <v>0</v>
      </c>
      <c r="AM72" s="106">
        <f>+HLOOKUP($C72,BP!$BS$2:$CE$250,116,0)</f>
        <v>106300</v>
      </c>
      <c r="AN72" s="106">
        <f>+HLOOKUP($C72,BP!$BS$2:$CE$250,117,0)</f>
        <v>19120</v>
      </c>
      <c r="AO72" s="106">
        <f>+HLOOKUP($C72,BP!$BS$2:$CE$250,118,0)</f>
        <v>2500</v>
      </c>
      <c r="AP72" s="106">
        <f>+HLOOKUP($C72,BP!$BS$2:$CE$250,119,0)</f>
        <v>37120</v>
      </c>
      <c r="AQ72" s="106">
        <f>+HLOOKUP($C72,BP!$BS$2:$CE$250,120,0)</f>
        <v>5200</v>
      </c>
      <c r="AR72" s="106">
        <f>+HLOOKUP($C72,BP!$BS$2:$CE$250,121,0)</f>
        <v>2000</v>
      </c>
      <c r="AS72" s="106">
        <f>+HLOOKUP($C72,BP!$BS$2:$CE$250,122,0)</f>
        <v>56560</v>
      </c>
      <c r="AT72" s="106">
        <f>+HLOOKUP($C72,BP!$BS$2:$CE$250,123,0)</f>
        <v>14646.494290277777</v>
      </c>
      <c r="AU72" s="106">
        <f>+HLOOKUP($C72,BP!$BS$2:$CE$250,124,0)</f>
        <v>1866.75</v>
      </c>
      <c r="AV72" s="106">
        <f>+HLOOKUP($C72,BP!$BS$2:$CE$250,125,0)</f>
        <v>81780</v>
      </c>
      <c r="AW72" s="106">
        <f>+HLOOKUP($C72,BP!$BS$2:$CE$250,126,0)</f>
        <v>5110.5769230769229</v>
      </c>
      <c r="AX72" s="106">
        <f>+HLOOKUP($C72,BP!$BS$2:$CE$250,127,0)</f>
        <v>8274.9999999999982</v>
      </c>
      <c r="AY72" s="106">
        <f>+HLOOKUP($C72,BP!$BS$2:$CE$250,129,0)</f>
        <v>0</v>
      </c>
      <c r="AZ72" s="106">
        <f>+HLOOKUP($C72,BP!$BS$2:$CE$250,130,0)</f>
        <v>0</v>
      </c>
      <c r="BA72" s="106">
        <f>+HLOOKUP($C72,BP!$BS$2:$CE$250,131,0)</f>
        <v>10000</v>
      </c>
      <c r="BB72" s="106">
        <f>+HLOOKUP($C72,BP!$BS$2:$CE$250,133,0)</f>
        <v>0</v>
      </c>
      <c r="BC72" s="106">
        <f>+HLOOKUP($C72,BP!$BS$2:$CE$250,134,0)</f>
        <v>37156.738675000001</v>
      </c>
      <c r="BD72" s="106">
        <f>+HLOOKUP($C72,BP!$BS$2:$CE$250,135,0)</f>
        <v>0</v>
      </c>
      <c r="BE72" s="106">
        <f>+HLOOKUP($C72,BP!$BS$2:$CE$250,136,0)</f>
        <v>0</v>
      </c>
      <c r="BF72" s="106">
        <f>+HLOOKUP($C72,BP!$BS$2:$CE$250,138,0)</f>
        <v>3000</v>
      </c>
      <c r="BG72" s="106">
        <f>+HLOOKUP($C72,BP!$BS$2:$CE$250,139,0)</f>
        <v>2651.4425000000001</v>
      </c>
      <c r="BH72" s="106">
        <f>+HLOOKUP($C72,BP!$BS$2:$CE$250,140,0)</f>
        <v>19660.800000000003</v>
      </c>
      <c r="BI72" s="106">
        <f>+HLOOKUP($C72,BP!$BS$2:$CE$250,141,0)</f>
        <v>0</v>
      </c>
      <c r="BJ72" s="106">
        <f>+HLOOKUP($C72,BP!$BS$2:$CE$250,142,0)</f>
        <v>0</v>
      </c>
      <c r="BK72" s="106">
        <f>+HLOOKUP($C72,BP!$BS$2:$CE$250,143,0)</f>
        <v>10681.75</v>
      </c>
      <c r="BL72" s="106">
        <f>+HLOOKUP($C72,BP!$BS$2:$CE$250,144,0)</f>
        <v>2572.9166666666665</v>
      </c>
      <c r="BM72" s="106">
        <f>+HLOOKUP($C72,BP!$BS$2:$CE$250,146,0)</f>
        <v>0</v>
      </c>
      <c r="BN72" s="106">
        <f>+HLOOKUP($C72,BP!$BS$2:$CE$250,147,0)</f>
        <v>0</v>
      </c>
      <c r="BO72" s="106">
        <f>+HLOOKUP($C72,BP!$BS$2:$CE$250,148,0)</f>
        <v>0</v>
      </c>
      <c r="BP72" s="106">
        <f>+HLOOKUP($C72,BP!$BS$2:$CE$250,150,0)</f>
        <v>32452.455000000002</v>
      </c>
      <c r="BQ72" s="106">
        <f>+HLOOKUP($C72,BP!$BS$2:$CE$250,151,0)</f>
        <v>0</v>
      </c>
      <c r="BR72" s="106">
        <f>+HLOOKUP($C72,BP!$BS$2:$CE$250,152,0)</f>
        <v>12800</v>
      </c>
      <c r="BS72" s="106">
        <f>+HLOOKUP($C72,BP!$BS$2:$CE$250,153,0)</f>
        <v>2400</v>
      </c>
      <c r="BT72" s="106">
        <f>+HLOOKUP($C72,BP!$BS$2:$CE$250,157,0)</f>
        <v>7320</v>
      </c>
      <c r="BU72" s="106">
        <f>+HLOOKUP($C72,BP!$BS$2:$CE$250,158,0)</f>
        <v>1740</v>
      </c>
      <c r="BV72" s="106">
        <f>+HLOOKUP($C72,BP!$BS$2:$CE$250,159,0)</f>
        <v>0</v>
      </c>
      <c r="BW72" s="106">
        <f>+HLOOKUP($C72,BP!$BS$2:$CE$250,160,0)</f>
        <v>13996.66666666667</v>
      </c>
      <c r="BX72" s="106">
        <f>+HLOOKUP($C72,BP!$BS$2:$CE$250,161,0)</f>
        <v>7129.9638333333342</v>
      </c>
      <c r="BY72" s="106">
        <f>+HLOOKUP($C72,BP!$BS$2:$CE$250,164,0)</f>
        <v>3200</v>
      </c>
      <c r="BZ72" s="106">
        <f>+HLOOKUP($C72,BP!$BS$2:$CE$250,165,0)</f>
        <v>0</v>
      </c>
      <c r="CA72" s="106">
        <f>+HLOOKUP($C72,BP!$BS$2:$CE$250,166,0)</f>
        <v>0</v>
      </c>
      <c r="CB72" s="106">
        <f>+HLOOKUP($C72,BP!$BS$2:$CE$250,167,0)</f>
        <v>0</v>
      </c>
      <c r="CC72" s="106">
        <f>+HLOOKUP($C72,BP!$BS$2:$CE$250,168,0)</f>
        <v>0</v>
      </c>
      <c r="CD72" s="106">
        <f>+HLOOKUP($C72,BP!$BS$2:$CE$250,169,0)</f>
        <v>0</v>
      </c>
      <c r="CE72" s="106">
        <f>+HLOOKUP($C72,BP!$BS$2:$CE$250,170,0)</f>
        <v>0</v>
      </c>
      <c r="CF72" s="106">
        <f>+HLOOKUP($C72,BP!$BS$2:$CE$250,172,0)</f>
        <v>21800</v>
      </c>
      <c r="CG72" s="106">
        <f>+HLOOKUP($C72,BP!$BS$2:$CE$250,173,0)</f>
        <v>12000</v>
      </c>
      <c r="CH72" s="106">
        <f>+HLOOKUP($C72,BP!$BS$2:$CE$250,174,0)</f>
        <v>57600</v>
      </c>
      <c r="CI72" s="106">
        <f>+HLOOKUP($C72,BP!$BS$2:$CE$250,175,0)</f>
        <v>4460</v>
      </c>
      <c r="CJ72" s="106">
        <f>+HLOOKUP($C72,BP!$BS$2:$CE$250,176,0)</f>
        <v>4740</v>
      </c>
      <c r="CK72" s="106">
        <f>+HLOOKUP($C72,BP!$BS$2:$CE$250,178,0)</f>
        <v>62718.55476363637</v>
      </c>
      <c r="CL72" s="106">
        <f>+HLOOKUP($C72,BP!$BS$2:$CE$250,179,0)</f>
        <v>0</v>
      </c>
      <c r="CM72" s="106">
        <f>+HLOOKUP($C72,BP!$BS$2:$CE$250,180,0)</f>
        <v>0</v>
      </c>
      <c r="CN72" s="106">
        <f>+HLOOKUP($C72,BP!$BS$2:$CE$250,182,0)</f>
        <v>491.40000000000003</v>
      </c>
      <c r="CO72" s="106">
        <f>+HLOOKUP($C72,BP!$BS$2:$CE$250,183,0)</f>
        <v>8743.6</v>
      </c>
      <c r="CP72" s="106">
        <f>+HLOOKUP($C72,BP!$BS$2:$CE$250,184,0)</f>
        <v>4320</v>
      </c>
      <c r="CQ72" s="106">
        <f>+HLOOKUP($C72,BP!$BS$2:$CE$250,185,0)</f>
        <v>0</v>
      </c>
      <c r="CR72" s="106">
        <f>+HLOOKUP($C72,BP!$BS$2:$CE$250,187,0)</f>
        <v>2499.84</v>
      </c>
      <c r="CS72" s="106">
        <f>+HLOOKUP($C72,BP!$BS$2:$CE$250,188,0)</f>
        <v>3180</v>
      </c>
      <c r="CT72" s="106">
        <f>+HLOOKUP($C72,BP!$BS$2:$CE$250,189,0)</f>
        <v>2000.04</v>
      </c>
      <c r="CU72" s="106">
        <f>+HLOOKUP($C72,BP!$BS$2:$CE$250,190,0)</f>
        <v>2026.68</v>
      </c>
      <c r="CV72" s="106">
        <f>+HLOOKUP($C72,BP!$BS$2:$CE$250,191,0)</f>
        <v>0</v>
      </c>
      <c r="CW72" s="106">
        <f>+HLOOKUP($C72,BP!$BS$2:$CE$250,193,0)</f>
        <v>11122.866666666669</v>
      </c>
      <c r="CX72" s="106">
        <f>+HLOOKUP($C72,BP!$BS$2:$CE$250,194,0)</f>
        <v>31.8</v>
      </c>
      <c r="CY72" s="106">
        <f>+HLOOKUP($C72,BP!$BS$2:$CE$250,195,0)</f>
        <v>0</v>
      </c>
      <c r="CZ72" s="106">
        <f>+HLOOKUP($C72,BP!$BS$2:$CE$250,196,0)</f>
        <v>0</v>
      </c>
      <c r="DA72" s="106">
        <f>+HLOOKUP($C72,BP!$BS$2:$CE$250,197,0)</f>
        <v>5836.8</v>
      </c>
      <c r="DB72" s="106">
        <f>+HLOOKUP($C72,BP!$BS$2:$CE$250,198,0)</f>
        <v>4044</v>
      </c>
      <c r="DC72" s="106">
        <f>+HLOOKUP($C72,BP!$BS$2:$CE$250,199,0)</f>
        <v>864</v>
      </c>
      <c r="DD72" s="106">
        <f>+HLOOKUP($C72,BP!$BS$2:$CE$250,200,0)</f>
        <v>232</v>
      </c>
      <c r="DE72" s="106">
        <f>+HLOOKUP($C72,BP!$BS$2:$CE$250,201,0)</f>
        <v>59.400000000000006</v>
      </c>
      <c r="DF72" s="106">
        <f>+HLOOKUP($C72,BP!$BS$2:$CE$250,202,0)</f>
        <v>0</v>
      </c>
      <c r="DG72" s="106">
        <f>+HLOOKUP($C72,BP!$BS$2:$CE$250,203,0)</f>
        <v>0</v>
      </c>
      <c r="DH72" s="106">
        <f>+HLOOKUP($C72,BP!$BS$2:$CE$250,205,0)</f>
        <v>0</v>
      </c>
      <c r="DI72" s="106">
        <f>+HLOOKUP($C72,BP!$BS$2:$CE$250,206,0)</f>
        <v>4656</v>
      </c>
      <c r="DJ72" s="106">
        <f>+HLOOKUP($C72,BP!$BS$2:$CE$250,207,0)</f>
        <v>710.49866666666685</v>
      </c>
      <c r="DK72" s="106">
        <f>+HLOOKUP($C72,BP!$BS$2:$CE$250,209,0)</f>
        <v>100000</v>
      </c>
      <c r="DL72" s="106">
        <f>+HLOOKUP($C72,BP!$BS$2:$CE$250,210,0)</f>
        <v>124106.10534000001</v>
      </c>
      <c r="DM72" s="106">
        <f>+HLOOKUP($C72,BP!$BS$2:$CE$250,211,0)</f>
        <v>0</v>
      </c>
      <c r="DN72" s="106">
        <f>+HLOOKUP($C72,BP!$BS$2:$CE$250,212,0)</f>
        <v>0</v>
      </c>
      <c r="DO72" s="106">
        <f>+HLOOKUP($C72,BP!$BS$2:$CE$250,214,0)</f>
        <v>0</v>
      </c>
      <c r="DP72" s="106">
        <f>+HLOOKUP($C72,BP!$BS$2:$CE$250,215,0)</f>
        <v>720</v>
      </c>
      <c r="DQ72" s="106">
        <f>+HLOOKUP($C72,BP!$BS$2:$CE$250,219,0)</f>
        <v>0</v>
      </c>
      <c r="DR72" s="106">
        <f>+HLOOKUP($C72,BP!$BS$2:$CE$250,220,0)</f>
        <v>0</v>
      </c>
      <c r="DS72" s="106">
        <f>+HLOOKUP($C72,BP!$BS$2:$CE$250,221,0)</f>
        <v>0</v>
      </c>
      <c r="DT72" s="106">
        <f>+HLOOKUP($C72,BP!$BS$2:$CE$250,223,0)</f>
        <v>15000</v>
      </c>
      <c r="DU72" s="106">
        <f>+HLOOKUP($C72,BP!$BS$2:$CE$250,224,0)</f>
        <v>0</v>
      </c>
      <c r="DV72" s="106">
        <f>+HLOOKUP($C72,BP!$BS$2:$CE$250,225,0)</f>
        <v>0</v>
      </c>
      <c r="DW72" s="106">
        <f>+HLOOKUP($C72,BP!$BS$2:$CE$250,227,0)</f>
        <v>0</v>
      </c>
      <c r="DX72" s="106">
        <f>+HLOOKUP($C72,BP!$BS$2:$CE$250,228,0)</f>
        <v>0</v>
      </c>
      <c r="DY72" s="106">
        <f>+HLOOKUP($C72,BP!$BS$2:$CE$250,236,0)</f>
        <v>0</v>
      </c>
      <c r="DZ72" s="106">
        <f>+HLOOKUP($C72,BP!$BS$2:$CE$250,237,0)</f>
        <v>21701.564590290352</v>
      </c>
      <c r="EA72" s="106">
        <f>+HLOOKUP($C72,BP!$BS$2:$CE$250,238,0)</f>
        <v>0</v>
      </c>
      <c r="EB72" s="106">
        <f>+HLOOKUP($C72,BP!$BS$2:$CE$250,240,0)</f>
        <v>386326.71292708302</v>
      </c>
    </row>
    <row r="73" spans="1:132">
      <c r="A73" t="s">
        <v>269</v>
      </c>
      <c r="B73" t="s">
        <v>218</v>
      </c>
      <c r="C73" s="117">
        <v>45658</v>
      </c>
      <c r="D73" s="106">
        <f t="shared" si="1"/>
        <v>8770282.3049999997</v>
      </c>
      <c r="E73" s="106">
        <f>+HLOOKUP(C73,BP!$BS$2:$CE$250,28,0)+HLOOKUP(C73,BP!$BS$2:$CE$250,43,0)+HLOOKUP(C73,BP!$BS$2:$CE$250,44,0)+HLOOKUP(C73,BP!$BS$2:$CE$250,45,0)+HLOOKUP(C73,BP!$BS$2:$CE$250,54,0)+HLOOKUP(C73,BP!$BS$2:$CE$250,59,0)</f>
        <v>8770282.3049999997</v>
      </c>
      <c r="F73" s="106">
        <f>+HLOOKUP(C73,BP!$BS$2:$CE$250,37,0)+HLOOKUP(C73,BP!$BS$2:$CE$250,55,0)</f>
        <v>5425949.5643753745</v>
      </c>
      <c r="G73" s="106">
        <f>+HLOOKUP($C73,BP!$BS$2:$CE$250,76,0)</f>
        <v>0</v>
      </c>
      <c r="H73" s="106">
        <f>+HLOOKUP($C73,BP!$BS$2:$CE$250,77,0)</f>
        <v>0</v>
      </c>
      <c r="I73" s="106">
        <f>+HLOOKUP($C73,BP!$BS$2:$CE$250,78,0)</f>
        <v>0</v>
      </c>
      <c r="J73" s="106">
        <f>+HLOOKUP($C73,BP!$BS$2:$CE$250,79,0)</f>
        <v>0</v>
      </c>
      <c r="K73" s="106">
        <f>+HLOOKUP($C73,BP!$BS$2:$CE$250,80,0)</f>
        <v>0</v>
      </c>
      <c r="L73" s="106">
        <f>+HLOOKUP($C73,BP!$BS$2:$CE$250,81,0)</f>
        <v>15000</v>
      </c>
      <c r="M73" s="106">
        <f>+HLOOKUP($C73,BP!$BS$2:$CE$250,82,0)</f>
        <v>0</v>
      </c>
      <c r="N73" s="106">
        <f>+HLOOKUP($C73,BP!$BS$2:$CE$250,83,0)</f>
        <v>0</v>
      </c>
      <c r="O73" s="106">
        <f>+HLOOKUP($C73,BP!$BS$2:$CE$250,84,0)</f>
        <v>0</v>
      </c>
      <c r="P73" s="106">
        <f>+HLOOKUP($C73,BP!$BS$2:$CE$250,85,0)</f>
        <v>0</v>
      </c>
      <c r="Q73" s="106">
        <f>+HLOOKUP($C73,BP!$BS$2:$CE$250,87,0)</f>
        <v>143137.3125</v>
      </c>
      <c r="R73" s="106">
        <f>+HLOOKUP($C73,BP!$BS$2:$CE$250,90,0)</f>
        <v>0</v>
      </c>
      <c r="S73" s="106">
        <f>+HLOOKUP($C73,BP!$BS$2:$CE$250,91,0)</f>
        <v>0</v>
      </c>
      <c r="T73" s="106">
        <f>+HLOOKUP($C73,BP!$BS$2:$CE$250,92,0)</f>
        <v>0</v>
      </c>
      <c r="U73" s="106">
        <f>+HLOOKUP($C73,BP!$BS$2:$CE$250,93,0)</f>
        <v>0</v>
      </c>
      <c r="V73" s="106">
        <f>+HLOOKUP($C73,BP!$BS$2:$CE$250,94,0)</f>
        <v>0</v>
      </c>
      <c r="W73" s="106">
        <f>+HLOOKUP($C73,BP!$BS$2:$CE$250,95,0)</f>
        <v>0</v>
      </c>
      <c r="X73" s="106">
        <f>+HLOOKUP($C73,BP!$BS$2:$CE$250,96,0)</f>
        <v>0</v>
      </c>
      <c r="Y73" s="106">
        <f>+HLOOKUP($C73,BP!$BS$2:$CE$250,97,0)</f>
        <v>0</v>
      </c>
      <c r="Z73" s="106">
        <f>+HLOOKUP($C73,BP!$BS$2:$CE$250,98,0)</f>
        <v>0</v>
      </c>
      <c r="AA73" s="106">
        <f>+HLOOKUP($C73,BP!$BS$2:$CE$250,99,0)</f>
        <v>0</v>
      </c>
      <c r="AB73" s="106">
        <f>+HLOOKUP($C73,BP!$BS$2:$CE$250,100,0)</f>
        <v>0</v>
      </c>
      <c r="AC73" s="106">
        <f>+HLOOKUP($C73,BP!$BS$2:$CE$250,101,0)</f>
        <v>0</v>
      </c>
      <c r="AD73" s="106">
        <f>+HLOOKUP($C73,BP!$BS$2:$CE$250,104,0)</f>
        <v>11034.539381250002</v>
      </c>
      <c r="AE73" s="106">
        <f>+HLOOKUP($C73,BP!$BS$2:$CE$250,105,0)</f>
        <v>31845.712500000001</v>
      </c>
      <c r="AF73" s="106">
        <f>+HLOOKUP($C73,BP!$BS$2:$CE$250,106,0)</f>
        <v>0</v>
      </c>
      <c r="AG73" s="106">
        <f>+HLOOKUP($C73,BP!$BS$2:$CE$250,107,0)</f>
        <v>0</v>
      </c>
      <c r="AH73" s="106">
        <f>+HLOOKUP($C73,BP!$BS$2:$CE$250,108,0)</f>
        <v>0</v>
      </c>
      <c r="AI73" s="106">
        <f>+HLOOKUP($C73,BP!$BS$2:$CE$250,109,0)</f>
        <v>0</v>
      </c>
      <c r="AJ73" s="106">
        <f>+HLOOKUP($C73,BP!$BS$2:$CE$250,110,0)</f>
        <v>0</v>
      </c>
      <c r="AK73" s="106">
        <f>+HLOOKUP($C73,BP!$BS$2:$CE$250,111,0)</f>
        <v>1961.6958900000002</v>
      </c>
      <c r="AL73" s="106">
        <f>+HLOOKUP($C73,BP!$BS$2:$CE$250,112,0)</f>
        <v>0</v>
      </c>
      <c r="AM73" s="106">
        <f>+HLOOKUP($C73,BP!$BS$2:$CE$250,116,0)</f>
        <v>106300</v>
      </c>
      <c r="AN73" s="106">
        <f>+HLOOKUP($C73,BP!$BS$2:$CE$250,117,0)</f>
        <v>19120</v>
      </c>
      <c r="AO73" s="106">
        <f>+HLOOKUP($C73,BP!$BS$2:$CE$250,118,0)</f>
        <v>2500</v>
      </c>
      <c r="AP73" s="106">
        <f>+HLOOKUP($C73,BP!$BS$2:$CE$250,119,0)</f>
        <v>37120</v>
      </c>
      <c r="AQ73" s="106">
        <f>+HLOOKUP($C73,BP!$BS$2:$CE$250,120,0)</f>
        <v>5200</v>
      </c>
      <c r="AR73" s="106">
        <f>+HLOOKUP($C73,BP!$BS$2:$CE$250,121,0)</f>
        <v>2000</v>
      </c>
      <c r="AS73" s="106">
        <f>+HLOOKUP($C73,BP!$BS$2:$CE$250,122,0)</f>
        <v>56560</v>
      </c>
      <c r="AT73" s="106">
        <f>+HLOOKUP($C73,BP!$BS$2:$CE$250,123,0)</f>
        <v>14646.494290277777</v>
      </c>
      <c r="AU73" s="106">
        <f>+HLOOKUP($C73,BP!$BS$2:$CE$250,124,0)</f>
        <v>1866.75</v>
      </c>
      <c r="AV73" s="106">
        <f>+HLOOKUP($C73,BP!$BS$2:$CE$250,125,0)</f>
        <v>81780</v>
      </c>
      <c r="AW73" s="106">
        <f>+HLOOKUP($C73,BP!$BS$2:$CE$250,126,0)</f>
        <v>5110.5769230769229</v>
      </c>
      <c r="AX73" s="106">
        <f>+HLOOKUP($C73,BP!$BS$2:$CE$250,127,0)</f>
        <v>8274.9999999999982</v>
      </c>
      <c r="AY73" s="106">
        <f>+HLOOKUP($C73,BP!$BS$2:$CE$250,129,0)</f>
        <v>0</v>
      </c>
      <c r="AZ73" s="106">
        <f>+HLOOKUP($C73,BP!$BS$2:$CE$250,130,0)</f>
        <v>0</v>
      </c>
      <c r="BA73" s="106">
        <f>+HLOOKUP($C73,BP!$BS$2:$CE$250,131,0)</f>
        <v>10000</v>
      </c>
      <c r="BB73" s="106">
        <f>+HLOOKUP($C73,BP!$BS$2:$CE$250,133,0)</f>
        <v>0</v>
      </c>
      <c r="BC73" s="106">
        <f>+HLOOKUP($C73,BP!$BS$2:$CE$250,134,0)</f>
        <v>37156.738675000001</v>
      </c>
      <c r="BD73" s="106">
        <f>+HLOOKUP($C73,BP!$BS$2:$CE$250,135,0)</f>
        <v>0</v>
      </c>
      <c r="BE73" s="106">
        <f>+HLOOKUP($C73,BP!$BS$2:$CE$250,136,0)</f>
        <v>0</v>
      </c>
      <c r="BF73" s="106">
        <f>+HLOOKUP($C73,BP!$BS$2:$CE$250,138,0)</f>
        <v>3000</v>
      </c>
      <c r="BG73" s="106">
        <f>+HLOOKUP($C73,BP!$BS$2:$CE$250,139,0)</f>
        <v>2651.4425000000001</v>
      </c>
      <c r="BH73" s="106">
        <f>+HLOOKUP($C73,BP!$BS$2:$CE$250,140,0)</f>
        <v>19660.800000000003</v>
      </c>
      <c r="BI73" s="106">
        <f>+HLOOKUP($C73,BP!$BS$2:$CE$250,141,0)</f>
        <v>0</v>
      </c>
      <c r="BJ73" s="106">
        <f>+HLOOKUP($C73,BP!$BS$2:$CE$250,142,0)</f>
        <v>0</v>
      </c>
      <c r="BK73" s="106">
        <f>+HLOOKUP($C73,BP!$BS$2:$CE$250,143,0)</f>
        <v>10681.75</v>
      </c>
      <c r="BL73" s="106">
        <f>+HLOOKUP($C73,BP!$BS$2:$CE$250,144,0)</f>
        <v>2572.9166666666665</v>
      </c>
      <c r="BM73" s="106">
        <f>+HLOOKUP($C73,BP!$BS$2:$CE$250,146,0)</f>
        <v>0</v>
      </c>
      <c r="BN73" s="106">
        <f>+HLOOKUP($C73,BP!$BS$2:$CE$250,147,0)</f>
        <v>0</v>
      </c>
      <c r="BO73" s="106">
        <f>+HLOOKUP($C73,BP!$BS$2:$CE$250,148,0)</f>
        <v>0</v>
      </c>
      <c r="BP73" s="106">
        <f>+HLOOKUP($C73,BP!$BS$2:$CE$250,150,0)</f>
        <v>32452.455000000002</v>
      </c>
      <c r="BQ73" s="106">
        <f>+HLOOKUP($C73,BP!$BS$2:$CE$250,151,0)</f>
        <v>0</v>
      </c>
      <c r="BR73" s="106">
        <f>+HLOOKUP($C73,BP!$BS$2:$CE$250,152,0)</f>
        <v>12800</v>
      </c>
      <c r="BS73" s="106">
        <f>+HLOOKUP($C73,BP!$BS$2:$CE$250,153,0)</f>
        <v>2400</v>
      </c>
      <c r="BT73" s="106">
        <f>+HLOOKUP($C73,BP!$BS$2:$CE$250,157,0)</f>
        <v>7320</v>
      </c>
      <c r="BU73" s="106">
        <f>+HLOOKUP($C73,BP!$BS$2:$CE$250,158,0)</f>
        <v>1740</v>
      </c>
      <c r="BV73" s="106">
        <f>+HLOOKUP($C73,BP!$BS$2:$CE$250,159,0)</f>
        <v>0</v>
      </c>
      <c r="BW73" s="106">
        <f>+HLOOKUP($C73,BP!$BS$2:$CE$250,160,0)</f>
        <v>13996.66666666667</v>
      </c>
      <c r="BX73" s="106">
        <f>+HLOOKUP($C73,BP!$BS$2:$CE$250,161,0)</f>
        <v>7129.9638333333342</v>
      </c>
      <c r="BY73" s="106">
        <f>+HLOOKUP($C73,BP!$BS$2:$CE$250,164,0)</f>
        <v>3200</v>
      </c>
      <c r="BZ73" s="106">
        <f>+HLOOKUP($C73,BP!$BS$2:$CE$250,165,0)</f>
        <v>0</v>
      </c>
      <c r="CA73" s="106">
        <f>+HLOOKUP($C73,BP!$BS$2:$CE$250,166,0)</f>
        <v>0</v>
      </c>
      <c r="CB73" s="106">
        <f>+HLOOKUP($C73,BP!$BS$2:$CE$250,167,0)</f>
        <v>0</v>
      </c>
      <c r="CC73" s="106">
        <f>+HLOOKUP($C73,BP!$BS$2:$CE$250,168,0)</f>
        <v>0</v>
      </c>
      <c r="CD73" s="106">
        <f>+HLOOKUP($C73,BP!$BS$2:$CE$250,169,0)</f>
        <v>0</v>
      </c>
      <c r="CE73" s="106">
        <f>+HLOOKUP($C73,BP!$BS$2:$CE$250,170,0)</f>
        <v>0</v>
      </c>
      <c r="CF73" s="106">
        <f>+HLOOKUP($C73,BP!$BS$2:$CE$250,172,0)</f>
        <v>21800</v>
      </c>
      <c r="CG73" s="106">
        <f>+HLOOKUP($C73,BP!$BS$2:$CE$250,173,0)</f>
        <v>12000</v>
      </c>
      <c r="CH73" s="106">
        <f>+HLOOKUP($C73,BP!$BS$2:$CE$250,174,0)</f>
        <v>57600</v>
      </c>
      <c r="CI73" s="106">
        <f>+HLOOKUP($C73,BP!$BS$2:$CE$250,175,0)</f>
        <v>4460</v>
      </c>
      <c r="CJ73" s="106">
        <f>+HLOOKUP($C73,BP!$BS$2:$CE$250,176,0)</f>
        <v>4740</v>
      </c>
      <c r="CK73" s="106">
        <f>+HLOOKUP($C73,BP!$BS$2:$CE$250,178,0)</f>
        <v>62718.55476363637</v>
      </c>
      <c r="CL73" s="106">
        <f>+HLOOKUP($C73,BP!$BS$2:$CE$250,179,0)</f>
        <v>0</v>
      </c>
      <c r="CM73" s="106">
        <f>+HLOOKUP($C73,BP!$BS$2:$CE$250,180,0)</f>
        <v>0</v>
      </c>
      <c r="CN73" s="106">
        <f>+HLOOKUP($C73,BP!$BS$2:$CE$250,182,0)</f>
        <v>491.40000000000003</v>
      </c>
      <c r="CO73" s="106">
        <f>+HLOOKUP($C73,BP!$BS$2:$CE$250,183,0)</f>
        <v>8743.6</v>
      </c>
      <c r="CP73" s="106">
        <f>+HLOOKUP($C73,BP!$BS$2:$CE$250,184,0)</f>
        <v>4320</v>
      </c>
      <c r="CQ73" s="106">
        <f>+HLOOKUP($C73,BP!$BS$2:$CE$250,185,0)</f>
        <v>0</v>
      </c>
      <c r="CR73" s="106">
        <f>+HLOOKUP($C73,BP!$BS$2:$CE$250,187,0)</f>
        <v>2499.84</v>
      </c>
      <c r="CS73" s="106">
        <f>+HLOOKUP($C73,BP!$BS$2:$CE$250,188,0)</f>
        <v>3180</v>
      </c>
      <c r="CT73" s="106">
        <f>+HLOOKUP($C73,BP!$BS$2:$CE$250,189,0)</f>
        <v>2000.04</v>
      </c>
      <c r="CU73" s="106">
        <f>+HLOOKUP($C73,BP!$BS$2:$CE$250,190,0)</f>
        <v>2026.68</v>
      </c>
      <c r="CV73" s="106">
        <f>+HLOOKUP($C73,BP!$BS$2:$CE$250,191,0)</f>
        <v>0</v>
      </c>
      <c r="CW73" s="106">
        <f>+HLOOKUP($C73,BP!$BS$2:$CE$250,193,0)</f>
        <v>11122.866666666669</v>
      </c>
      <c r="CX73" s="106">
        <f>+HLOOKUP($C73,BP!$BS$2:$CE$250,194,0)</f>
        <v>31.8</v>
      </c>
      <c r="CY73" s="106">
        <f>+HLOOKUP($C73,BP!$BS$2:$CE$250,195,0)</f>
        <v>0</v>
      </c>
      <c r="CZ73" s="106">
        <f>+HLOOKUP($C73,BP!$BS$2:$CE$250,196,0)</f>
        <v>0</v>
      </c>
      <c r="DA73" s="106">
        <f>+HLOOKUP($C73,BP!$BS$2:$CE$250,197,0)</f>
        <v>5836.8</v>
      </c>
      <c r="DB73" s="106">
        <f>+HLOOKUP($C73,BP!$BS$2:$CE$250,198,0)</f>
        <v>4044</v>
      </c>
      <c r="DC73" s="106">
        <f>+HLOOKUP($C73,BP!$BS$2:$CE$250,199,0)</f>
        <v>864</v>
      </c>
      <c r="DD73" s="106">
        <f>+HLOOKUP($C73,BP!$BS$2:$CE$250,200,0)</f>
        <v>232</v>
      </c>
      <c r="DE73" s="106">
        <f>+HLOOKUP($C73,BP!$BS$2:$CE$250,201,0)</f>
        <v>59.400000000000006</v>
      </c>
      <c r="DF73" s="106">
        <f>+HLOOKUP($C73,BP!$BS$2:$CE$250,202,0)</f>
        <v>0</v>
      </c>
      <c r="DG73" s="106">
        <f>+HLOOKUP($C73,BP!$BS$2:$CE$250,203,0)</f>
        <v>0</v>
      </c>
      <c r="DH73" s="106">
        <f>+HLOOKUP($C73,BP!$BS$2:$CE$250,205,0)</f>
        <v>0</v>
      </c>
      <c r="DI73" s="106">
        <f>+HLOOKUP($C73,BP!$BS$2:$CE$250,206,0)</f>
        <v>4656</v>
      </c>
      <c r="DJ73" s="106">
        <f>+HLOOKUP($C73,BP!$BS$2:$CE$250,207,0)</f>
        <v>710.49866666666685</v>
      </c>
      <c r="DK73" s="106">
        <f>+HLOOKUP($C73,BP!$BS$2:$CE$250,209,0)</f>
        <v>100000</v>
      </c>
      <c r="DL73" s="106">
        <f>+HLOOKUP($C73,BP!$BS$2:$CE$250,210,0)</f>
        <v>124106.10534000001</v>
      </c>
      <c r="DM73" s="106">
        <f>+HLOOKUP($C73,BP!$BS$2:$CE$250,211,0)</f>
        <v>0</v>
      </c>
      <c r="DN73" s="106">
        <f>+HLOOKUP($C73,BP!$BS$2:$CE$250,212,0)</f>
        <v>0</v>
      </c>
      <c r="DO73" s="106">
        <f>+HLOOKUP($C73,BP!$BS$2:$CE$250,214,0)</f>
        <v>0</v>
      </c>
      <c r="DP73" s="106">
        <f>+HLOOKUP($C73,BP!$BS$2:$CE$250,215,0)</f>
        <v>720</v>
      </c>
      <c r="DQ73" s="106">
        <f>+HLOOKUP($C73,BP!$BS$2:$CE$250,219,0)</f>
        <v>0</v>
      </c>
      <c r="DR73" s="106">
        <f>+HLOOKUP($C73,BP!$BS$2:$CE$250,220,0)</f>
        <v>0</v>
      </c>
      <c r="DS73" s="106">
        <f>+HLOOKUP($C73,BP!$BS$2:$CE$250,221,0)</f>
        <v>0</v>
      </c>
      <c r="DT73" s="106">
        <f>+HLOOKUP($C73,BP!$BS$2:$CE$250,223,0)</f>
        <v>15000</v>
      </c>
      <c r="DU73" s="106">
        <f>+HLOOKUP($C73,BP!$BS$2:$CE$250,224,0)</f>
        <v>0</v>
      </c>
      <c r="DV73" s="106">
        <f>+HLOOKUP($C73,BP!$BS$2:$CE$250,225,0)</f>
        <v>0</v>
      </c>
      <c r="DW73" s="106">
        <f>+HLOOKUP($C73,BP!$BS$2:$CE$250,227,0)</f>
        <v>0</v>
      </c>
      <c r="DX73" s="106">
        <f>+HLOOKUP($C73,BP!$BS$2:$CE$250,228,0)</f>
        <v>0</v>
      </c>
      <c r="DY73" s="106">
        <f>+HLOOKUP($C73,BP!$BS$2:$CE$250,236,0)</f>
        <v>0</v>
      </c>
      <c r="DZ73" s="106">
        <f>+HLOOKUP($C73,BP!$BS$2:$CE$250,237,0)</f>
        <v>24327.066371049805</v>
      </c>
      <c r="EA73" s="106">
        <f>+HLOOKUP($C73,BP!$BS$2:$CE$250,238,0)</f>
        <v>0</v>
      </c>
      <c r="EB73" s="106">
        <f>+HLOOKUP($C73,BP!$BS$2:$CE$250,240,0)</f>
        <v>386326.71292708302</v>
      </c>
    </row>
    <row r="74" spans="1:132">
      <c r="A74" t="s">
        <v>271</v>
      </c>
      <c r="B74" t="s">
        <v>218</v>
      </c>
      <c r="C74" s="117">
        <v>45992</v>
      </c>
      <c r="D74" s="106">
        <f t="shared" si="1"/>
        <v>3175902.4</v>
      </c>
      <c r="E74" s="106">
        <f>+HLOOKUP(C74,BP!$DI$2:$DU$250,28,0)+HLOOKUP(C74,BP!$DI$2:$DU$250,43,0)+HLOOKUP(C74,BP!$DI$2:$DU$250,44,0)+HLOOKUP(C74,BP!$DI$2:$DU$250,45,0)+HLOOKUP(C74,BP!$DI$2:$DU$250,54,0)+HLOOKUP(C74,BP!$DI$2:$DU$250,59,0)</f>
        <v>3175902.4</v>
      </c>
      <c r="F74" s="106">
        <f>+HLOOKUP(C74,BP!$DI$2:$DU$250,37,0)+HLOOKUP(C74,BP!$DI$2:$DU$250,55,0)</f>
        <v>2092582.6196006944</v>
      </c>
      <c r="G74" s="106">
        <f>+HLOOKUP($C74,BP!$DI$2:$DU$250,76,0)</f>
        <v>0</v>
      </c>
      <c r="H74" s="106">
        <f>+HLOOKUP($C74,BP!$DI$2:$DU$250,77,0)</f>
        <v>0</v>
      </c>
      <c r="I74" s="106">
        <f>+HLOOKUP($C74,BP!$DI$2:$DU$250,78,0)</f>
        <v>0</v>
      </c>
      <c r="J74" s="106">
        <f>+HLOOKUP($C74,BP!$DI$2:$DU$250,79,0)</f>
        <v>0</v>
      </c>
      <c r="K74" s="106">
        <f>+HLOOKUP($C74,BP!$DI$2:$DU$250,80,0)</f>
        <v>0</v>
      </c>
      <c r="L74" s="106">
        <f>+HLOOKUP($C74,BP!$DI$2:$DU$250,81,0)</f>
        <v>0</v>
      </c>
      <c r="M74" s="106">
        <f>+HLOOKUP($C74,BP!$DI$2:$DU$250,82,0)</f>
        <v>0</v>
      </c>
      <c r="N74" s="106">
        <f>+HLOOKUP($C74,BP!$DI$2:$DU$250,83,0)</f>
        <v>0</v>
      </c>
      <c r="O74" s="106">
        <f>+HLOOKUP($C74,BP!$DI$2:$DU$250,84,0)</f>
        <v>0</v>
      </c>
      <c r="P74" s="106">
        <f>+HLOOKUP($C74,BP!$DI$2:$DU$250,85,0)</f>
        <v>0</v>
      </c>
      <c r="Q74" s="106">
        <f>+HLOOKUP($C74,BP!$DI$2:$DU$250,87,0)</f>
        <v>68402.047999999995</v>
      </c>
      <c r="R74" s="106">
        <f>+HLOOKUP($C74,BP!$DI$2:$DU$250,90,0)</f>
        <v>0</v>
      </c>
      <c r="S74" s="106">
        <f>+HLOOKUP($C74,BP!$DI$2:$DU$250,91,0)</f>
        <v>0</v>
      </c>
      <c r="T74" s="106">
        <f>+HLOOKUP($C74,BP!$DI$2:$DU$250,92,0)</f>
        <v>0</v>
      </c>
      <c r="U74" s="106">
        <f>+HLOOKUP($C74,BP!$DI$2:$DU$250,93,0)</f>
        <v>0</v>
      </c>
      <c r="V74" s="106">
        <f>+HLOOKUP($C74,BP!$DI$2:$DU$250,94,0)</f>
        <v>0</v>
      </c>
      <c r="W74" s="106">
        <f>+HLOOKUP($C74,BP!$DI$2:$DU$250,95,0)</f>
        <v>0</v>
      </c>
      <c r="X74" s="106">
        <f>+HLOOKUP($C74,BP!$DI$2:$DU$250,96,0)</f>
        <v>0</v>
      </c>
      <c r="Y74" s="106">
        <f>+HLOOKUP($C74,BP!$DI$2:$DU$250,97,0)</f>
        <v>0</v>
      </c>
      <c r="Z74" s="106">
        <f>+HLOOKUP($C74,BP!$DI$2:$DU$250,98,0)</f>
        <v>0</v>
      </c>
      <c r="AA74" s="106">
        <f>+HLOOKUP($C74,BP!$DI$2:$DU$250,99,0)</f>
        <v>0</v>
      </c>
      <c r="AB74" s="106">
        <f>+HLOOKUP($C74,BP!$DI$2:$DU$250,100,0)</f>
        <v>0</v>
      </c>
      <c r="AC74" s="106">
        <f>+HLOOKUP($C74,BP!$DI$2:$DU$250,101,0)</f>
        <v>0</v>
      </c>
      <c r="AD74" s="106">
        <f>+HLOOKUP($C74,BP!$DI$2:$DU$250,104,0)</f>
        <v>3737.8228800000002</v>
      </c>
      <c r="AE74" s="106">
        <f>+HLOOKUP($C74,BP!$DI$2:$DU$250,105,0)</f>
        <v>12459.409599999999</v>
      </c>
      <c r="AF74" s="106">
        <f>+HLOOKUP($C74,BP!$DI$2:$DU$250,106,0)</f>
        <v>0</v>
      </c>
      <c r="AG74" s="106">
        <f>+HLOOKUP($C74,BP!$DI$2:$DU$250,107,0)</f>
        <v>0</v>
      </c>
      <c r="AH74" s="106">
        <f>+HLOOKUP($C74,BP!$DI$2:$DU$250,108,0)</f>
        <v>0</v>
      </c>
      <c r="AI74" s="106">
        <f>+HLOOKUP($C74,BP!$DI$2:$DU$250,109,0)</f>
        <v>0</v>
      </c>
      <c r="AJ74" s="106">
        <f>+HLOOKUP($C74,BP!$DI$2:$DU$250,110,0)</f>
        <v>76082</v>
      </c>
      <c r="AK74" s="106">
        <f>+HLOOKUP($C74,BP!$DI$2:$DU$250,111,0)</f>
        <v>747.5645760000001</v>
      </c>
      <c r="AL74" s="106">
        <f>+HLOOKUP($C74,BP!$DI$2:$DU$250,112,0)</f>
        <v>0</v>
      </c>
      <c r="AM74" s="106">
        <f>+HLOOKUP($C74,BP!$DI$2:$DU$250,116,0)</f>
        <v>17400</v>
      </c>
      <c r="AN74" s="106">
        <f>+HLOOKUP($C74,BP!$DI$2:$DU$250,117,0)</f>
        <v>2620</v>
      </c>
      <c r="AO74" s="106">
        <f>+HLOOKUP($C74,BP!$DI$2:$DU$250,118,0)</f>
        <v>0</v>
      </c>
      <c r="AP74" s="106">
        <f>+HLOOKUP($C74,BP!$DI$2:$DU$250,119,0)</f>
        <v>5680</v>
      </c>
      <c r="AQ74" s="106">
        <f>+HLOOKUP($C74,BP!$DI$2:$DU$250,120,0)</f>
        <v>2400</v>
      </c>
      <c r="AR74" s="106">
        <f>+HLOOKUP($C74,BP!$DI$2:$DU$250,121,0)</f>
        <v>1500</v>
      </c>
      <c r="AS74" s="106">
        <f>+HLOOKUP($C74,BP!$DI$2:$DU$250,122,0)</f>
        <v>7400</v>
      </c>
      <c r="AT74" s="106">
        <f>+HLOOKUP($C74,BP!$DI$2:$DU$250,123,0)</f>
        <v>2286.8210263888886</v>
      </c>
      <c r="AU74" s="106">
        <f>+HLOOKUP($C74,BP!$DI$2:$DU$250,124,0)</f>
        <v>0</v>
      </c>
      <c r="AV74" s="106">
        <f>+HLOOKUP($C74,BP!$DI$2:$DU$250,125,0)</f>
        <v>15690</v>
      </c>
      <c r="AW74" s="106">
        <f>+HLOOKUP($C74,BP!$DI$2:$DU$250,126,0)</f>
        <v>836.53846153846155</v>
      </c>
      <c r="AX74" s="106">
        <f>+HLOOKUP($C74,BP!$DI$2:$DU$250,127,0)</f>
        <v>1283.3333333333333</v>
      </c>
      <c r="AY74" s="106">
        <f>+HLOOKUP($C74,BP!$DI$2:$DU$250,129,0)</f>
        <v>0</v>
      </c>
      <c r="AZ74" s="106">
        <f>+HLOOKUP($C74,BP!$DI$2:$DU$250,130,0)</f>
        <v>0</v>
      </c>
      <c r="BA74" s="106">
        <f>+HLOOKUP($C74,BP!$DI$2:$DU$250,131,0)</f>
        <v>10000</v>
      </c>
      <c r="BB74" s="106">
        <f>+HLOOKUP($C74,BP!$DI$2:$DU$250,133,0)</f>
        <v>0</v>
      </c>
      <c r="BC74" s="106">
        <f>+HLOOKUP($C74,BP!$DI$2:$DU$250,134,0)</f>
        <v>3155.5342874999997</v>
      </c>
      <c r="BD74" s="106">
        <f>+HLOOKUP($C74,BP!$DI$2:$DU$250,135,0)</f>
        <v>0</v>
      </c>
      <c r="BE74" s="106">
        <f>+HLOOKUP($C74,BP!$DI$2:$DU$250,136,0)</f>
        <v>0</v>
      </c>
      <c r="BF74" s="106">
        <f>+HLOOKUP($C74,BP!$DI$2:$DU$250,138,0)</f>
        <v>600</v>
      </c>
      <c r="BG74" s="106">
        <f>+HLOOKUP($C74,BP!$DI$2:$DU$250,139,0)</f>
        <v>3953.1971666666673</v>
      </c>
      <c r="BH74" s="106">
        <f>+HLOOKUP($C74,BP!$DI$2:$DU$250,140,0)</f>
        <v>18000</v>
      </c>
      <c r="BI74" s="106">
        <f>+HLOOKUP($C74,BP!$DI$2:$DU$250,141,0)</f>
        <v>0</v>
      </c>
      <c r="BJ74" s="106">
        <f>+HLOOKUP($C74,BP!$DI$2:$DU$250,142,0)</f>
        <v>0</v>
      </c>
      <c r="BK74" s="106">
        <f>+HLOOKUP($C74,BP!$DI$2:$DU$250,143,0)</f>
        <v>2465</v>
      </c>
      <c r="BL74" s="106">
        <f>+HLOOKUP($C74,BP!$DI$2:$DU$250,144,0)</f>
        <v>11611.111111111111</v>
      </c>
      <c r="BM74" s="106">
        <f>+HLOOKUP($C74,BP!$DI$2:$DU$250,146,0)</f>
        <v>0</v>
      </c>
      <c r="BN74" s="106">
        <f>+HLOOKUP($C74,BP!$DI$2:$DU$250,147,0)</f>
        <v>0</v>
      </c>
      <c r="BO74" s="106">
        <f>+HLOOKUP($C74,BP!$DI$2:$DU$250,148,0)</f>
        <v>0</v>
      </c>
      <c r="BP74" s="106">
        <f>+HLOOKUP($C74,BP!$DI$2:$DU$250,150,0)</f>
        <v>12887.84</v>
      </c>
      <c r="BQ74" s="106">
        <f>+HLOOKUP($C74,BP!$DI$2:$DU$250,151,0)</f>
        <v>992.2</v>
      </c>
      <c r="BR74" s="106">
        <f>+HLOOKUP($C74,BP!$DI$2:$DU$250,152,0)</f>
        <v>6400</v>
      </c>
      <c r="BS74" s="106">
        <f>+HLOOKUP($C74,BP!$DI$2:$DU$250,153,0)</f>
        <v>1200</v>
      </c>
      <c r="BT74" s="106">
        <f>+HLOOKUP($C74,BP!$DI$2:$DU$250,157,0)</f>
        <v>4240</v>
      </c>
      <c r="BU74" s="106">
        <f>+HLOOKUP($C74,BP!$DI$2:$DU$250,158,0)</f>
        <v>870</v>
      </c>
      <c r="BV74" s="106">
        <f>+HLOOKUP($C74,BP!$DI$2:$DU$250,159,0)</f>
        <v>0</v>
      </c>
      <c r="BW74" s="106">
        <f>+HLOOKUP($C74,BP!$DI$2:$DU$250,160,0)</f>
        <v>4400</v>
      </c>
      <c r="BX74" s="106">
        <f>+HLOOKUP($C74,BP!$DI$2:$DU$250,161,0)</f>
        <v>3029.1665250000005</v>
      </c>
      <c r="BY74" s="106">
        <f>+HLOOKUP($C74,BP!$DI$2:$DU$250,164,0)</f>
        <v>0</v>
      </c>
      <c r="BZ74" s="106">
        <f>+HLOOKUP($C74,BP!$DI$2:$DU$250,165,0)</f>
        <v>0</v>
      </c>
      <c r="CA74" s="106">
        <f>+HLOOKUP($C74,BP!$DI$2:$DU$250,166,0)</f>
        <v>0</v>
      </c>
      <c r="CB74" s="106">
        <f>+HLOOKUP($C74,BP!$DI$2:$DU$250,167,0)</f>
        <v>0</v>
      </c>
      <c r="CC74" s="106">
        <f>+HLOOKUP($C74,BP!$DI$2:$DU$250,168,0)</f>
        <v>0</v>
      </c>
      <c r="CD74" s="106">
        <f>+HLOOKUP($C74,BP!$DI$2:$DU$250,169,0)</f>
        <v>0</v>
      </c>
      <c r="CE74" s="106">
        <f>+HLOOKUP($C74,BP!$DI$2:$DU$250,170,0)</f>
        <v>0</v>
      </c>
      <c r="CF74" s="106">
        <f>+HLOOKUP($C74,BP!$DI$2:$DU$250,172,0)</f>
        <v>7200</v>
      </c>
      <c r="CG74" s="106">
        <f>+HLOOKUP($C74,BP!$DI$2:$DU$250,173,0)</f>
        <v>7200</v>
      </c>
      <c r="CH74" s="106">
        <f>+HLOOKUP($C74,BP!$DI$2:$DU$250,174,0)</f>
        <v>38400</v>
      </c>
      <c r="CI74" s="106">
        <f>+HLOOKUP($C74,BP!$DI$2:$DU$250,175,0)</f>
        <v>2972</v>
      </c>
      <c r="CJ74" s="106">
        <f>+HLOOKUP($C74,BP!$DI$2:$DU$250,176,0)</f>
        <v>2370</v>
      </c>
      <c r="CK74" s="106">
        <f>+HLOOKUP($C74,BP!$DI$2:$DU$250,178,0)</f>
        <v>24000</v>
      </c>
      <c r="CL74" s="106">
        <f>+HLOOKUP($C74,BP!$DI$2:$DU$250,179,0)</f>
        <v>0</v>
      </c>
      <c r="CM74" s="106">
        <f>+HLOOKUP($C74,BP!$DI$2:$DU$250,180,0)</f>
        <v>5880</v>
      </c>
      <c r="CN74" s="106">
        <f>+HLOOKUP($C74,BP!$DI$2:$DU$250,182,0)</f>
        <v>245.70000000000002</v>
      </c>
      <c r="CO74" s="106">
        <f>+HLOOKUP($C74,BP!$DI$2:$DU$250,183,0)</f>
        <v>4690.2</v>
      </c>
      <c r="CP74" s="106">
        <f>+HLOOKUP($C74,BP!$DI$2:$DU$250,184,0)</f>
        <v>2160</v>
      </c>
      <c r="CQ74" s="106">
        <f>+HLOOKUP($C74,BP!$DI$2:$DU$250,185,0)</f>
        <v>0</v>
      </c>
      <c r="CR74" s="106">
        <f>+HLOOKUP($C74,BP!$DI$2:$DU$250,187,0)</f>
        <v>1249.92</v>
      </c>
      <c r="CS74" s="106">
        <f>+HLOOKUP($C74,BP!$DI$2:$DU$250,188,0)</f>
        <v>1590</v>
      </c>
      <c r="CT74" s="106">
        <f>+HLOOKUP($C74,BP!$DI$2:$DU$250,189,0)</f>
        <v>1000.02</v>
      </c>
      <c r="CU74" s="106">
        <f>+HLOOKUP($C74,BP!$DI$2:$DU$250,190,0)</f>
        <v>1013.34</v>
      </c>
      <c r="CV74" s="106">
        <f>+HLOOKUP($C74,BP!$DI$2:$DU$250,191,0)</f>
        <v>0</v>
      </c>
      <c r="CW74" s="106">
        <f>+HLOOKUP($C74,BP!$DI$2:$DU$250,193,0)</f>
        <v>2470.8666666666668</v>
      </c>
      <c r="CX74" s="106">
        <f>+HLOOKUP($C74,BP!$DI$2:$DU$250,194,0)</f>
        <v>236.73333333333338</v>
      </c>
      <c r="CY74" s="106">
        <f>+HLOOKUP($C74,BP!$DI$2:$DU$250,195,0)</f>
        <v>550.02359999999999</v>
      </c>
      <c r="CZ74" s="106">
        <f>+HLOOKUP($C74,BP!$DI$2:$DU$250,196,0)</f>
        <v>0</v>
      </c>
      <c r="DA74" s="106">
        <f>+HLOOKUP($C74,BP!$DI$2:$DU$250,197,0)</f>
        <v>6566.4000000000005</v>
      </c>
      <c r="DB74" s="106">
        <f>+HLOOKUP($C74,BP!$DI$2:$DU$250,198,0)</f>
        <v>2022</v>
      </c>
      <c r="DC74" s="106">
        <f>+HLOOKUP($C74,BP!$DI$2:$DU$250,199,0)</f>
        <v>432</v>
      </c>
      <c r="DD74" s="106">
        <f>+HLOOKUP($C74,BP!$DI$2:$DU$250,200,0)</f>
        <v>140</v>
      </c>
      <c r="DE74" s="106">
        <f>+HLOOKUP($C74,BP!$DI$2:$DU$250,201,0)</f>
        <v>29.700000000000003</v>
      </c>
      <c r="DF74" s="106">
        <f>+HLOOKUP($C74,BP!$DI$2:$DU$250,202,0)</f>
        <v>0</v>
      </c>
      <c r="DG74" s="106">
        <f>+HLOOKUP($C74,BP!$DI$2:$DU$250,203,0)</f>
        <v>0</v>
      </c>
      <c r="DH74" s="106">
        <f>+HLOOKUP($C74,BP!$DI$2:$DU$250,205,0)</f>
        <v>0</v>
      </c>
      <c r="DI74" s="106">
        <f>+HLOOKUP($C74,BP!$DI$2:$DU$250,206,0)</f>
        <v>1874.915554909091</v>
      </c>
      <c r="DJ74" s="106">
        <f>+HLOOKUP($C74,BP!$DI$2:$DU$250,207,0)</f>
        <v>146.90894999999998</v>
      </c>
      <c r="DK74" s="106">
        <f>+HLOOKUP($C74,BP!$DI$2:$DU$250,209,0)</f>
        <v>0</v>
      </c>
      <c r="DL74" s="106">
        <f>+HLOOKUP($C74,BP!$DI$2:$DU$250,210,0)</f>
        <v>49136.840156250015</v>
      </c>
      <c r="DM74" s="106">
        <f>+HLOOKUP($C74,BP!$DI$2:$DU$250,211,0)</f>
        <v>0</v>
      </c>
      <c r="DN74" s="106">
        <f>+HLOOKUP($C74,BP!$DI$2:$DU$250,212,0)</f>
        <v>0</v>
      </c>
      <c r="DO74" s="106">
        <f>+HLOOKUP($C74,BP!$DI$2:$DU$250,214,0)</f>
        <v>0</v>
      </c>
      <c r="DP74" s="106">
        <f>+HLOOKUP($C74,BP!$DI$2:$DU$250,215,0)</f>
        <v>360</v>
      </c>
      <c r="DQ74" s="106">
        <f>+HLOOKUP($C74,BP!$DI$2:$DU$250,219,0)</f>
        <v>0</v>
      </c>
      <c r="DR74" s="106">
        <f>+HLOOKUP($C74,BP!$DI$2:$DU$250,220,0)</f>
        <v>0</v>
      </c>
      <c r="DS74" s="106">
        <f>+HLOOKUP($C74,BP!$DI$2:$DU$250,221,0)</f>
        <v>0</v>
      </c>
      <c r="DT74" s="106">
        <f>+HLOOKUP($C74,BP!$DI$2:$DU$250,223,0)</f>
        <v>7500</v>
      </c>
      <c r="DU74" s="106">
        <f>+HLOOKUP($C74,BP!$DI$2:$DU$250,224,0)</f>
        <v>0</v>
      </c>
      <c r="DV74" s="106">
        <f>+HLOOKUP($C74,BP!$DI$2:$DU$250,225,0)</f>
        <v>0</v>
      </c>
      <c r="DW74" s="106">
        <f>+HLOOKUP($C74,BP!$DI$2:$DU$250,227,0)</f>
        <v>0</v>
      </c>
      <c r="DX74" s="106">
        <f>+HLOOKUP($C74,BP!$DI$2:$DU$250,228,0)</f>
        <v>0</v>
      </c>
      <c r="DY74" s="106">
        <f>+HLOOKUP($C74,BP!$DI$2:$DU$250,236,0)</f>
        <v>0</v>
      </c>
      <c r="DZ74" s="106">
        <f>+HLOOKUP($C74,BP!$DI$2:$DU$250,237,0)</f>
        <v>60203.346279040903</v>
      </c>
      <c r="EA74" s="106">
        <f>+HLOOKUP($C74,BP!$DI$2:$DU$250,238,0)</f>
        <v>0</v>
      </c>
      <c r="EB74" s="106">
        <f>+HLOOKUP($C74,BP!$DI$2:$DU$250,240,0)</f>
        <v>155829.26235714319</v>
      </c>
    </row>
    <row r="75" spans="1:132">
      <c r="A75" t="s">
        <v>271</v>
      </c>
      <c r="B75" t="s">
        <v>218</v>
      </c>
      <c r="C75" s="117">
        <v>45962</v>
      </c>
      <c r="D75" s="106">
        <f t="shared" si="1"/>
        <v>2403385.6</v>
      </c>
      <c r="E75" s="106">
        <f>+HLOOKUP(C75,BP!$DI$2:$DU$250,28,0)+HLOOKUP(C75,BP!$DI$2:$DU$250,43,0)+HLOOKUP(C75,BP!$DI$2:$DU$250,44,0)+HLOOKUP(C75,BP!$DI$2:$DU$250,45,0)+HLOOKUP(C75,BP!$DI$2:$DU$250,54,0)+HLOOKUP(C75,BP!$DI$2:$DU$250,59,0)</f>
        <v>2403385.6</v>
      </c>
      <c r="F75" s="106">
        <f>+HLOOKUP(C75,BP!$DI$2:$DU$250,37,0)+HLOOKUP(C75,BP!$DI$2:$DU$250,55,0)</f>
        <v>1607675.8676006948</v>
      </c>
      <c r="G75" s="106">
        <f>+HLOOKUP($C75,BP!$DI$2:$DU$250,76,0)</f>
        <v>0</v>
      </c>
      <c r="H75" s="106">
        <f>+HLOOKUP($C75,BP!$DI$2:$DU$250,77,0)</f>
        <v>0</v>
      </c>
      <c r="I75" s="106">
        <f>+HLOOKUP($C75,BP!$DI$2:$DU$250,78,0)</f>
        <v>0</v>
      </c>
      <c r="J75" s="106">
        <f>+HLOOKUP($C75,BP!$DI$2:$DU$250,79,0)</f>
        <v>0</v>
      </c>
      <c r="K75" s="106">
        <f>+HLOOKUP($C75,BP!$DI$2:$DU$250,80,0)</f>
        <v>0</v>
      </c>
      <c r="L75" s="106">
        <f>+HLOOKUP($C75,BP!$DI$2:$DU$250,81,0)</f>
        <v>0</v>
      </c>
      <c r="M75" s="106">
        <f>+HLOOKUP($C75,BP!$DI$2:$DU$250,82,0)</f>
        <v>0</v>
      </c>
      <c r="N75" s="106">
        <f>+HLOOKUP($C75,BP!$DI$2:$DU$250,83,0)</f>
        <v>0</v>
      </c>
      <c r="O75" s="106">
        <f>+HLOOKUP($C75,BP!$DI$2:$DU$250,84,0)</f>
        <v>0</v>
      </c>
      <c r="P75" s="106">
        <f>+HLOOKUP($C75,BP!$DI$2:$DU$250,85,0)</f>
        <v>0</v>
      </c>
      <c r="Q75" s="106">
        <f>+HLOOKUP($C75,BP!$DI$2:$DU$250,87,0)</f>
        <v>51763.712000000007</v>
      </c>
      <c r="R75" s="106">
        <f>+HLOOKUP($C75,BP!$DI$2:$DU$250,90,0)</f>
        <v>0</v>
      </c>
      <c r="S75" s="106">
        <f>+HLOOKUP($C75,BP!$DI$2:$DU$250,91,0)</f>
        <v>0</v>
      </c>
      <c r="T75" s="106">
        <f>+HLOOKUP($C75,BP!$DI$2:$DU$250,92,0)</f>
        <v>0</v>
      </c>
      <c r="U75" s="106">
        <f>+HLOOKUP($C75,BP!$DI$2:$DU$250,93,0)</f>
        <v>0</v>
      </c>
      <c r="V75" s="106">
        <f>+HLOOKUP($C75,BP!$DI$2:$DU$250,94,0)</f>
        <v>0</v>
      </c>
      <c r="W75" s="106">
        <f>+HLOOKUP($C75,BP!$DI$2:$DU$250,95,0)</f>
        <v>0</v>
      </c>
      <c r="X75" s="106">
        <f>+HLOOKUP($C75,BP!$DI$2:$DU$250,96,0)</f>
        <v>0</v>
      </c>
      <c r="Y75" s="106">
        <f>+HLOOKUP($C75,BP!$DI$2:$DU$250,97,0)</f>
        <v>0</v>
      </c>
      <c r="Z75" s="106">
        <f>+HLOOKUP($C75,BP!$DI$2:$DU$250,98,0)</f>
        <v>0</v>
      </c>
      <c r="AA75" s="106">
        <f>+HLOOKUP($C75,BP!$DI$2:$DU$250,99,0)</f>
        <v>0</v>
      </c>
      <c r="AB75" s="106">
        <f>+HLOOKUP($C75,BP!$DI$2:$DU$250,100,0)</f>
        <v>0</v>
      </c>
      <c r="AC75" s="106">
        <f>+HLOOKUP($C75,BP!$DI$2:$DU$250,101,0)</f>
        <v>0</v>
      </c>
      <c r="AD75" s="106">
        <f>+HLOOKUP($C75,BP!$DI$2:$DU$250,104,0)</f>
        <v>2828.6227200000003</v>
      </c>
      <c r="AE75" s="106">
        <f>+HLOOKUP($C75,BP!$DI$2:$DU$250,105,0)</f>
        <v>9428.742400000001</v>
      </c>
      <c r="AF75" s="106">
        <f>+HLOOKUP($C75,BP!$DI$2:$DU$250,106,0)</f>
        <v>0</v>
      </c>
      <c r="AG75" s="106">
        <f>+HLOOKUP($C75,BP!$DI$2:$DU$250,107,0)</f>
        <v>0</v>
      </c>
      <c r="AH75" s="106">
        <f>+HLOOKUP($C75,BP!$DI$2:$DU$250,108,0)</f>
        <v>0</v>
      </c>
      <c r="AI75" s="106">
        <f>+HLOOKUP($C75,BP!$DI$2:$DU$250,109,0)</f>
        <v>0</v>
      </c>
      <c r="AJ75" s="106">
        <f>+HLOOKUP($C75,BP!$DI$2:$DU$250,110,0)</f>
        <v>100000</v>
      </c>
      <c r="AK75" s="106">
        <f>+HLOOKUP($C75,BP!$DI$2:$DU$250,111,0)</f>
        <v>565.72454400000004</v>
      </c>
      <c r="AL75" s="106">
        <f>+HLOOKUP($C75,BP!$DI$2:$DU$250,112,0)</f>
        <v>0</v>
      </c>
      <c r="AM75" s="106">
        <f>+HLOOKUP($C75,BP!$DI$2:$DU$250,116,0)</f>
        <v>17400</v>
      </c>
      <c r="AN75" s="106">
        <f>+HLOOKUP($C75,BP!$DI$2:$DU$250,117,0)</f>
        <v>2620</v>
      </c>
      <c r="AO75" s="106">
        <f>+HLOOKUP($C75,BP!$DI$2:$DU$250,118,0)</f>
        <v>0</v>
      </c>
      <c r="AP75" s="106">
        <f>+HLOOKUP($C75,BP!$DI$2:$DU$250,119,0)</f>
        <v>5680</v>
      </c>
      <c r="AQ75" s="106">
        <f>+HLOOKUP($C75,BP!$DI$2:$DU$250,120,0)</f>
        <v>2400</v>
      </c>
      <c r="AR75" s="106">
        <f>+HLOOKUP($C75,BP!$DI$2:$DU$250,121,0)</f>
        <v>1500</v>
      </c>
      <c r="AS75" s="106">
        <f>+HLOOKUP($C75,BP!$DI$2:$DU$250,122,0)</f>
        <v>7400</v>
      </c>
      <c r="AT75" s="106">
        <f>+HLOOKUP($C75,BP!$DI$2:$DU$250,123,0)</f>
        <v>2286.8210263888886</v>
      </c>
      <c r="AU75" s="106">
        <f>+HLOOKUP($C75,BP!$DI$2:$DU$250,124,0)</f>
        <v>0</v>
      </c>
      <c r="AV75" s="106">
        <f>+HLOOKUP($C75,BP!$DI$2:$DU$250,125,0)</f>
        <v>15690</v>
      </c>
      <c r="AW75" s="106">
        <f>+HLOOKUP($C75,BP!$DI$2:$DU$250,126,0)</f>
        <v>836.53846153846155</v>
      </c>
      <c r="AX75" s="106">
        <f>+HLOOKUP($C75,BP!$DI$2:$DU$250,127,0)</f>
        <v>1283.3333333333333</v>
      </c>
      <c r="AY75" s="106">
        <f>+HLOOKUP($C75,BP!$DI$2:$DU$250,129,0)</f>
        <v>0</v>
      </c>
      <c r="AZ75" s="106">
        <f>+HLOOKUP($C75,BP!$DI$2:$DU$250,130,0)</f>
        <v>0</v>
      </c>
      <c r="BA75" s="106">
        <f>+HLOOKUP($C75,BP!$DI$2:$DU$250,131,0)</f>
        <v>10000</v>
      </c>
      <c r="BB75" s="106">
        <f>+HLOOKUP($C75,BP!$DI$2:$DU$250,133,0)</f>
        <v>0</v>
      </c>
      <c r="BC75" s="106">
        <f>+HLOOKUP($C75,BP!$DI$2:$DU$250,134,0)</f>
        <v>3155.5342874999997</v>
      </c>
      <c r="BD75" s="106">
        <f>+HLOOKUP($C75,BP!$DI$2:$DU$250,135,0)</f>
        <v>0</v>
      </c>
      <c r="BE75" s="106">
        <f>+HLOOKUP($C75,BP!$DI$2:$DU$250,136,0)</f>
        <v>0</v>
      </c>
      <c r="BF75" s="106">
        <f>+HLOOKUP($C75,BP!$DI$2:$DU$250,138,0)</f>
        <v>600</v>
      </c>
      <c r="BG75" s="106">
        <f>+HLOOKUP($C75,BP!$DI$2:$DU$250,139,0)</f>
        <v>3953.1971666666673</v>
      </c>
      <c r="BH75" s="106">
        <f>+HLOOKUP($C75,BP!$DI$2:$DU$250,140,0)</f>
        <v>18000</v>
      </c>
      <c r="BI75" s="106">
        <f>+HLOOKUP($C75,BP!$DI$2:$DU$250,141,0)</f>
        <v>0</v>
      </c>
      <c r="BJ75" s="106">
        <f>+HLOOKUP($C75,BP!$DI$2:$DU$250,142,0)</f>
        <v>0</v>
      </c>
      <c r="BK75" s="106">
        <f>+HLOOKUP($C75,BP!$DI$2:$DU$250,143,0)</f>
        <v>2465</v>
      </c>
      <c r="BL75" s="106">
        <f>+HLOOKUP($C75,BP!$DI$2:$DU$250,144,0)</f>
        <v>1444.4444444444446</v>
      </c>
      <c r="BM75" s="106">
        <f>+HLOOKUP($C75,BP!$DI$2:$DU$250,146,0)</f>
        <v>0</v>
      </c>
      <c r="BN75" s="106">
        <f>+HLOOKUP($C75,BP!$DI$2:$DU$250,147,0)</f>
        <v>0</v>
      </c>
      <c r="BO75" s="106">
        <f>+HLOOKUP($C75,BP!$DI$2:$DU$250,148,0)</f>
        <v>0</v>
      </c>
      <c r="BP75" s="106">
        <f>+HLOOKUP($C75,BP!$DI$2:$DU$250,150,0)</f>
        <v>12887.84</v>
      </c>
      <c r="BQ75" s="106">
        <f>+HLOOKUP($C75,BP!$DI$2:$DU$250,151,0)</f>
        <v>992.2</v>
      </c>
      <c r="BR75" s="106">
        <f>+HLOOKUP($C75,BP!$DI$2:$DU$250,152,0)</f>
        <v>6400</v>
      </c>
      <c r="BS75" s="106">
        <f>+HLOOKUP($C75,BP!$DI$2:$DU$250,153,0)</f>
        <v>1200</v>
      </c>
      <c r="BT75" s="106">
        <f>+HLOOKUP($C75,BP!$DI$2:$DU$250,157,0)</f>
        <v>4240</v>
      </c>
      <c r="BU75" s="106">
        <f>+HLOOKUP($C75,BP!$DI$2:$DU$250,158,0)</f>
        <v>870</v>
      </c>
      <c r="BV75" s="106">
        <f>+HLOOKUP($C75,BP!$DI$2:$DU$250,159,0)</f>
        <v>0</v>
      </c>
      <c r="BW75" s="106">
        <f>+HLOOKUP($C75,BP!$DI$2:$DU$250,160,0)</f>
        <v>4400</v>
      </c>
      <c r="BX75" s="106">
        <f>+HLOOKUP($C75,BP!$DI$2:$DU$250,161,0)</f>
        <v>3029.1665250000005</v>
      </c>
      <c r="BY75" s="106">
        <f>+HLOOKUP($C75,BP!$DI$2:$DU$250,164,0)</f>
        <v>0</v>
      </c>
      <c r="BZ75" s="106">
        <f>+HLOOKUP($C75,BP!$DI$2:$DU$250,165,0)</f>
        <v>0</v>
      </c>
      <c r="CA75" s="106">
        <f>+HLOOKUP($C75,BP!$DI$2:$DU$250,166,0)</f>
        <v>0</v>
      </c>
      <c r="CB75" s="106">
        <f>+HLOOKUP($C75,BP!$DI$2:$DU$250,167,0)</f>
        <v>0</v>
      </c>
      <c r="CC75" s="106">
        <f>+HLOOKUP($C75,BP!$DI$2:$DU$250,168,0)</f>
        <v>0</v>
      </c>
      <c r="CD75" s="106">
        <f>+HLOOKUP($C75,BP!$DI$2:$DU$250,169,0)</f>
        <v>0</v>
      </c>
      <c r="CE75" s="106">
        <f>+HLOOKUP($C75,BP!$DI$2:$DU$250,170,0)</f>
        <v>0</v>
      </c>
      <c r="CF75" s="106">
        <f>+HLOOKUP($C75,BP!$DI$2:$DU$250,172,0)</f>
        <v>7200</v>
      </c>
      <c r="CG75" s="106">
        <f>+HLOOKUP($C75,BP!$DI$2:$DU$250,173,0)</f>
        <v>7200</v>
      </c>
      <c r="CH75" s="106">
        <f>+HLOOKUP($C75,BP!$DI$2:$DU$250,174,0)</f>
        <v>38400</v>
      </c>
      <c r="CI75" s="106">
        <f>+HLOOKUP($C75,BP!$DI$2:$DU$250,175,0)</f>
        <v>2972</v>
      </c>
      <c r="CJ75" s="106">
        <f>+HLOOKUP($C75,BP!$DI$2:$DU$250,176,0)</f>
        <v>2370</v>
      </c>
      <c r="CK75" s="106">
        <f>+HLOOKUP($C75,BP!$DI$2:$DU$250,178,0)</f>
        <v>24000</v>
      </c>
      <c r="CL75" s="106">
        <f>+HLOOKUP($C75,BP!$DI$2:$DU$250,179,0)</f>
        <v>0</v>
      </c>
      <c r="CM75" s="106">
        <f>+HLOOKUP($C75,BP!$DI$2:$DU$250,180,0)</f>
        <v>5880</v>
      </c>
      <c r="CN75" s="106">
        <f>+HLOOKUP($C75,BP!$DI$2:$DU$250,182,0)</f>
        <v>245.70000000000002</v>
      </c>
      <c r="CO75" s="106">
        <f>+HLOOKUP($C75,BP!$DI$2:$DU$250,183,0)</f>
        <v>4690.2</v>
      </c>
      <c r="CP75" s="106">
        <f>+HLOOKUP($C75,BP!$DI$2:$DU$250,184,0)</f>
        <v>2160</v>
      </c>
      <c r="CQ75" s="106">
        <f>+HLOOKUP($C75,BP!$DI$2:$DU$250,185,0)</f>
        <v>0</v>
      </c>
      <c r="CR75" s="106">
        <f>+HLOOKUP($C75,BP!$DI$2:$DU$250,187,0)</f>
        <v>1249.92</v>
      </c>
      <c r="CS75" s="106">
        <f>+HLOOKUP($C75,BP!$DI$2:$DU$250,188,0)</f>
        <v>1590</v>
      </c>
      <c r="CT75" s="106">
        <f>+HLOOKUP($C75,BP!$DI$2:$DU$250,189,0)</f>
        <v>1000.02</v>
      </c>
      <c r="CU75" s="106">
        <f>+HLOOKUP($C75,BP!$DI$2:$DU$250,190,0)</f>
        <v>1013.34</v>
      </c>
      <c r="CV75" s="106">
        <f>+HLOOKUP($C75,BP!$DI$2:$DU$250,191,0)</f>
        <v>0</v>
      </c>
      <c r="CW75" s="106">
        <f>+HLOOKUP($C75,BP!$DI$2:$DU$250,193,0)</f>
        <v>2470.8666666666668</v>
      </c>
      <c r="CX75" s="106">
        <f>+HLOOKUP($C75,BP!$DI$2:$DU$250,194,0)</f>
        <v>236.73333333333338</v>
      </c>
      <c r="CY75" s="106">
        <f>+HLOOKUP($C75,BP!$DI$2:$DU$250,195,0)</f>
        <v>550.02359999999999</v>
      </c>
      <c r="CZ75" s="106">
        <f>+HLOOKUP($C75,BP!$DI$2:$DU$250,196,0)</f>
        <v>0</v>
      </c>
      <c r="DA75" s="106">
        <f>+HLOOKUP($C75,BP!$DI$2:$DU$250,197,0)</f>
        <v>6566.4000000000005</v>
      </c>
      <c r="DB75" s="106">
        <f>+HLOOKUP($C75,BP!$DI$2:$DU$250,198,0)</f>
        <v>2022</v>
      </c>
      <c r="DC75" s="106">
        <f>+HLOOKUP($C75,BP!$DI$2:$DU$250,199,0)</f>
        <v>432</v>
      </c>
      <c r="DD75" s="106">
        <f>+HLOOKUP($C75,BP!$DI$2:$DU$250,200,0)</f>
        <v>140</v>
      </c>
      <c r="DE75" s="106">
        <f>+HLOOKUP($C75,BP!$DI$2:$DU$250,201,0)</f>
        <v>29.700000000000003</v>
      </c>
      <c r="DF75" s="106">
        <f>+HLOOKUP($C75,BP!$DI$2:$DU$250,202,0)</f>
        <v>0</v>
      </c>
      <c r="DG75" s="106">
        <f>+HLOOKUP($C75,BP!$DI$2:$DU$250,203,0)</f>
        <v>0</v>
      </c>
      <c r="DH75" s="106">
        <f>+HLOOKUP($C75,BP!$DI$2:$DU$250,205,0)</f>
        <v>0</v>
      </c>
      <c r="DI75" s="106">
        <f>+HLOOKUP($C75,BP!$DI$2:$DU$250,206,0)</f>
        <v>1874.915554909091</v>
      </c>
      <c r="DJ75" s="106">
        <f>+HLOOKUP($C75,BP!$DI$2:$DU$250,207,0)</f>
        <v>146.90894999999998</v>
      </c>
      <c r="DK75" s="106">
        <f>+HLOOKUP($C75,BP!$DI$2:$DU$250,209,0)</f>
        <v>0</v>
      </c>
      <c r="DL75" s="106">
        <f>+HLOOKUP($C75,BP!$DI$2:$DU$250,210,0)</f>
        <v>49136.840156250015</v>
      </c>
      <c r="DM75" s="106">
        <f>+HLOOKUP($C75,BP!$DI$2:$DU$250,211,0)</f>
        <v>0</v>
      </c>
      <c r="DN75" s="106">
        <f>+HLOOKUP($C75,BP!$DI$2:$DU$250,212,0)</f>
        <v>0</v>
      </c>
      <c r="DO75" s="106">
        <f>+HLOOKUP($C75,BP!$DI$2:$DU$250,214,0)</f>
        <v>0</v>
      </c>
      <c r="DP75" s="106">
        <f>+HLOOKUP($C75,BP!$DI$2:$DU$250,215,0)</f>
        <v>360</v>
      </c>
      <c r="DQ75" s="106">
        <f>+HLOOKUP($C75,BP!$DI$2:$DU$250,219,0)</f>
        <v>0</v>
      </c>
      <c r="DR75" s="106">
        <f>+HLOOKUP($C75,BP!$DI$2:$DU$250,220,0)</f>
        <v>0</v>
      </c>
      <c r="DS75" s="106">
        <f>+HLOOKUP($C75,BP!$DI$2:$DU$250,221,0)</f>
        <v>0</v>
      </c>
      <c r="DT75" s="106">
        <f>+HLOOKUP($C75,BP!$DI$2:$DU$250,223,0)</f>
        <v>7500</v>
      </c>
      <c r="DU75" s="106">
        <f>+HLOOKUP($C75,BP!$DI$2:$DU$250,224,0)</f>
        <v>0</v>
      </c>
      <c r="DV75" s="106">
        <f>+HLOOKUP($C75,BP!$DI$2:$DU$250,225,0)</f>
        <v>0</v>
      </c>
      <c r="DW75" s="106">
        <f>+HLOOKUP($C75,BP!$DI$2:$DU$250,227,0)</f>
        <v>0</v>
      </c>
      <c r="DX75" s="106">
        <f>+HLOOKUP($C75,BP!$DI$2:$DU$250,228,0)</f>
        <v>0</v>
      </c>
      <c r="DY75" s="106">
        <f>+HLOOKUP($C75,BP!$DI$2:$DU$250,236,0)</f>
        <v>0</v>
      </c>
      <c r="DZ75" s="106">
        <f>+HLOOKUP($C75,BP!$DI$2:$DU$250,237,0)</f>
        <v>59093.607155818994</v>
      </c>
      <c r="EA75" s="106">
        <f>+HLOOKUP($C75,BP!$DI$2:$DU$250,238,0)</f>
        <v>0</v>
      </c>
      <c r="EB75" s="106">
        <f>+HLOOKUP($C75,BP!$DI$2:$DU$250,240,0)</f>
        <v>155829.26235714319</v>
      </c>
    </row>
    <row r="76" spans="1:132">
      <c r="A76" t="s">
        <v>271</v>
      </c>
      <c r="B76" t="s">
        <v>218</v>
      </c>
      <c r="C76" s="117">
        <v>45931</v>
      </c>
      <c r="D76" s="106">
        <f t="shared" si="1"/>
        <v>3004232</v>
      </c>
      <c r="E76" s="106">
        <f>+HLOOKUP(C76,BP!$DI$2:$DU$250,28,0)+HLOOKUP(C76,BP!$DI$2:$DU$250,43,0)+HLOOKUP(C76,BP!$DI$2:$DU$250,44,0)+HLOOKUP(C76,BP!$DI$2:$DU$250,45,0)+HLOOKUP(C76,BP!$DI$2:$DU$250,54,0)+HLOOKUP(C76,BP!$DI$2:$DU$250,59,0)</f>
        <v>3004232</v>
      </c>
      <c r="F76" s="106">
        <f>+HLOOKUP(C76,BP!$DI$2:$DU$250,37,0)+HLOOKUP(C76,BP!$DI$2:$DU$250,55,0)</f>
        <v>1984825.5636006948</v>
      </c>
      <c r="G76" s="106">
        <f>+HLOOKUP($C76,BP!$DI$2:$DU$250,76,0)</f>
        <v>0</v>
      </c>
      <c r="H76" s="106">
        <f>+HLOOKUP($C76,BP!$DI$2:$DU$250,77,0)</f>
        <v>0</v>
      </c>
      <c r="I76" s="106">
        <f>+HLOOKUP($C76,BP!$DI$2:$DU$250,78,0)</f>
        <v>0</v>
      </c>
      <c r="J76" s="106">
        <f>+HLOOKUP($C76,BP!$DI$2:$DU$250,79,0)</f>
        <v>0</v>
      </c>
      <c r="K76" s="106">
        <f>+HLOOKUP($C76,BP!$DI$2:$DU$250,80,0)</f>
        <v>0</v>
      </c>
      <c r="L76" s="106">
        <f>+HLOOKUP($C76,BP!$DI$2:$DU$250,81,0)</f>
        <v>0</v>
      </c>
      <c r="M76" s="106">
        <f>+HLOOKUP($C76,BP!$DI$2:$DU$250,82,0)</f>
        <v>0</v>
      </c>
      <c r="N76" s="106">
        <f>+HLOOKUP($C76,BP!$DI$2:$DU$250,83,0)</f>
        <v>0</v>
      </c>
      <c r="O76" s="106">
        <f>+HLOOKUP($C76,BP!$DI$2:$DU$250,84,0)</f>
        <v>0</v>
      </c>
      <c r="P76" s="106">
        <f>+HLOOKUP($C76,BP!$DI$2:$DU$250,85,0)</f>
        <v>0</v>
      </c>
      <c r="Q76" s="106">
        <f>+HLOOKUP($C76,BP!$DI$2:$DU$250,87,0)</f>
        <v>64704.640000000007</v>
      </c>
      <c r="R76" s="106">
        <f>+HLOOKUP($C76,BP!$DI$2:$DU$250,90,0)</f>
        <v>0</v>
      </c>
      <c r="S76" s="106">
        <f>+HLOOKUP($C76,BP!$DI$2:$DU$250,91,0)</f>
        <v>0</v>
      </c>
      <c r="T76" s="106">
        <f>+HLOOKUP($C76,BP!$DI$2:$DU$250,92,0)</f>
        <v>0</v>
      </c>
      <c r="U76" s="106">
        <f>+HLOOKUP($C76,BP!$DI$2:$DU$250,93,0)</f>
        <v>0</v>
      </c>
      <c r="V76" s="106">
        <f>+HLOOKUP($C76,BP!$DI$2:$DU$250,94,0)</f>
        <v>0</v>
      </c>
      <c r="W76" s="106">
        <f>+HLOOKUP($C76,BP!$DI$2:$DU$250,95,0)</f>
        <v>0</v>
      </c>
      <c r="X76" s="106">
        <f>+HLOOKUP($C76,BP!$DI$2:$DU$250,96,0)</f>
        <v>0</v>
      </c>
      <c r="Y76" s="106">
        <f>+HLOOKUP($C76,BP!$DI$2:$DU$250,97,0)</f>
        <v>0</v>
      </c>
      <c r="Z76" s="106">
        <f>+HLOOKUP($C76,BP!$DI$2:$DU$250,98,0)</f>
        <v>0</v>
      </c>
      <c r="AA76" s="106">
        <f>+HLOOKUP($C76,BP!$DI$2:$DU$250,99,0)</f>
        <v>0</v>
      </c>
      <c r="AB76" s="106">
        <f>+HLOOKUP($C76,BP!$DI$2:$DU$250,100,0)</f>
        <v>0</v>
      </c>
      <c r="AC76" s="106">
        <f>+HLOOKUP($C76,BP!$DI$2:$DU$250,101,0)</f>
        <v>0</v>
      </c>
      <c r="AD76" s="106">
        <f>+HLOOKUP($C76,BP!$DI$2:$DU$250,104,0)</f>
        <v>3535.7784000000006</v>
      </c>
      <c r="AE76" s="106">
        <f>+HLOOKUP($C76,BP!$DI$2:$DU$250,105,0)</f>
        <v>11785.928</v>
      </c>
      <c r="AF76" s="106">
        <f>+HLOOKUP($C76,BP!$DI$2:$DU$250,106,0)</f>
        <v>0</v>
      </c>
      <c r="AG76" s="106">
        <f>+HLOOKUP($C76,BP!$DI$2:$DU$250,107,0)</f>
        <v>0</v>
      </c>
      <c r="AH76" s="106">
        <f>+HLOOKUP($C76,BP!$DI$2:$DU$250,108,0)</f>
        <v>0</v>
      </c>
      <c r="AI76" s="106">
        <f>+HLOOKUP($C76,BP!$DI$2:$DU$250,109,0)</f>
        <v>0</v>
      </c>
      <c r="AJ76" s="106">
        <f>+HLOOKUP($C76,BP!$DI$2:$DU$250,110,0)</f>
        <v>90005</v>
      </c>
      <c r="AK76" s="106">
        <f>+HLOOKUP($C76,BP!$DI$2:$DU$250,111,0)</f>
        <v>707.15568000000019</v>
      </c>
      <c r="AL76" s="106">
        <f>+HLOOKUP($C76,BP!$DI$2:$DU$250,112,0)</f>
        <v>0</v>
      </c>
      <c r="AM76" s="106">
        <f>+HLOOKUP($C76,BP!$DI$2:$DU$250,116,0)</f>
        <v>17400</v>
      </c>
      <c r="AN76" s="106">
        <f>+HLOOKUP($C76,BP!$DI$2:$DU$250,117,0)</f>
        <v>2620</v>
      </c>
      <c r="AO76" s="106">
        <f>+HLOOKUP($C76,BP!$DI$2:$DU$250,118,0)</f>
        <v>0</v>
      </c>
      <c r="AP76" s="106">
        <f>+HLOOKUP($C76,BP!$DI$2:$DU$250,119,0)</f>
        <v>5680</v>
      </c>
      <c r="AQ76" s="106">
        <f>+HLOOKUP($C76,BP!$DI$2:$DU$250,120,0)</f>
        <v>2400</v>
      </c>
      <c r="AR76" s="106">
        <f>+HLOOKUP($C76,BP!$DI$2:$DU$250,121,0)</f>
        <v>1500</v>
      </c>
      <c r="AS76" s="106">
        <f>+HLOOKUP($C76,BP!$DI$2:$DU$250,122,0)</f>
        <v>7400</v>
      </c>
      <c r="AT76" s="106">
        <f>+HLOOKUP($C76,BP!$DI$2:$DU$250,123,0)</f>
        <v>2286.8210263888886</v>
      </c>
      <c r="AU76" s="106">
        <f>+HLOOKUP($C76,BP!$DI$2:$DU$250,124,0)</f>
        <v>0</v>
      </c>
      <c r="AV76" s="106">
        <f>+HLOOKUP($C76,BP!$DI$2:$DU$250,125,0)</f>
        <v>15690</v>
      </c>
      <c r="AW76" s="106">
        <f>+HLOOKUP($C76,BP!$DI$2:$DU$250,126,0)</f>
        <v>836.53846153846155</v>
      </c>
      <c r="AX76" s="106">
        <f>+HLOOKUP($C76,BP!$DI$2:$DU$250,127,0)</f>
        <v>1283.3333333333333</v>
      </c>
      <c r="AY76" s="106">
        <f>+HLOOKUP($C76,BP!$DI$2:$DU$250,129,0)</f>
        <v>0</v>
      </c>
      <c r="AZ76" s="106">
        <f>+HLOOKUP($C76,BP!$DI$2:$DU$250,130,0)</f>
        <v>0</v>
      </c>
      <c r="BA76" s="106">
        <f>+HLOOKUP($C76,BP!$DI$2:$DU$250,131,0)</f>
        <v>10000</v>
      </c>
      <c r="BB76" s="106">
        <f>+HLOOKUP($C76,BP!$DI$2:$DU$250,133,0)</f>
        <v>0</v>
      </c>
      <c r="BC76" s="106">
        <f>+HLOOKUP($C76,BP!$DI$2:$DU$250,134,0)</f>
        <v>3155.5342874999997</v>
      </c>
      <c r="BD76" s="106">
        <f>+HLOOKUP($C76,BP!$DI$2:$DU$250,135,0)</f>
        <v>0</v>
      </c>
      <c r="BE76" s="106">
        <f>+HLOOKUP($C76,BP!$DI$2:$DU$250,136,0)</f>
        <v>0</v>
      </c>
      <c r="BF76" s="106">
        <f>+HLOOKUP($C76,BP!$DI$2:$DU$250,138,0)</f>
        <v>600</v>
      </c>
      <c r="BG76" s="106">
        <f>+HLOOKUP($C76,BP!$DI$2:$DU$250,139,0)</f>
        <v>3953.1971666666673</v>
      </c>
      <c r="BH76" s="106">
        <f>+HLOOKUP($C76,BP!$DI$2:$DU$250,140,0)</f>
        <v>18000</v>
      </c>
      <c r="BI76" s="106">
        <f>+HLOOKUP($C76,BP!$DI$2:$DU$250,141,0)</f>
        <v>0</v>
      </c>
      <c r="BJ76" s="106">
        <f>+HLOOKUP($C76,BP!$DI$2:$DU$250,142,0)</f>
        <v>0</v>
      </c>
      <c r="BK76" s="106">
        <f>+HLOOKUP($C76,BP!$DI$2:$DU$250,143,0)</f>
        <v>2465</v>
      </c>
      <c r="BL76" s="106">
        <f>+HLOOKUP($C76,BP!$DI$2:$DU$250,144,0)</f>
        <v>1444.4444444444446</v>
      </c>
      <c r="BM76" s="106">
        <f>+HLOOKUP($C76,BP!$DI$2:$DU$250,146,0)</f>
        <v>0</v>
      </c>
      <c r="BN76" s="106">
        <f>+HLOOKUP($C76,BP!$DI$2:$DU$250,147,0)</f>
        <v>0</v>
      </c>
      <c r="BO76" s="106">
        <f>+HLOOKUP($C76,BP!$DI$2:$DU$250,148,0)</f>
        <v>0</v>
      </c>
      <c r="BP76" s="106">
        <f>+HLOOKUP($C76,BP!$DI$2:$DU$250,150,0)</f>
        <v>12887.84</v>
      </c>
      <c r="BQ76" s="106">
        <f>+HLOOKUP($C76,BP!$DI$2:$DU$250,151,0)</f>
        <v>992.2</v>
      </c>
      <c r="BR76" s="106">
        <f>+HLOOKUP($C76,BP!$DI$2:$DU$250,152,0)</f>
        <v>6400</v>
      </c>
      <c r="BS76" s="106">
        <f>+HLOOKUP($C76,BP!$DI$2:$DU$250,153,0)</f>
        <v>1200</v>
      </c>
      <c r="BT76" s="106">
        <f>+HLOOKUP($C76,BP!$DI$2:$DU$250,157,0)</f>
        <v>4240</v>
      </c>
      <c r="BU76" s="106">
        <f>+HLOOKUP($C76,BP!$DI$2:$DU$250,158,0)</f>
        <v>870</v>
      </c>
      <c r="BV76" s="106">
        <f>+HLOOKUP($C76,BP!$DI$2:$DU$250,159,0)</f>
        <v>0</v>
      </c>
      <c r="BW76" s="106">
        <f>+HLOOKUP($C76,BP!$DI$2:$DU$250,160,0)</f>
        <v>4400</v>
      </c>
      <c r="BX76" s="106">
        <f>+HLOOKUP($C76,BP!$DI$2:$DU$250,161,0)</f>
        <v>3029.1665250000005</v>
      </c>
      <c r="BY76" s="106">
        <f>+HLOOKUP($C76,BP!$DI$2:$DU$250,164,0)</f>
        <v>0</v>
      </c>
      <c r="BZ76" s="106">
        <f>+HLOOKUP($C76,BP!$DI$2:$DU$250,165,0)</f>
        <v>0</v>
      </c>
      <c r="CA76" s="106">
        <f>+HLOOKUP($C76,BP!$DI$2:$DU$250,166,0)</f>
        <v>0</v>
      </c>
      <c r="CB76" s="106">
        <f>+HLOOKUP($C76,BP!$DI$2:$DU$250,167,0)</f>
        <v>0</v>
      </c>
      <c r="CC76" s="106">
        <f>+HLOOKUP($C76,BP!$DI$2:$DU$250,168,0)</f>
        <v>0</v>
      </c>
      <c r="CD76" s="106">
        <f>+HLOOKUP($C76,BP!$DI$2:$DU$250,169,0)</f>
        <v>0</v>
      </c>
      <c r="CE76" s="106">
        <f>+HLOOKUP($C76,BP!$DI$2:$DU$250,170,0)</f>
        <v>0</v>
      </c>
      <c r="CF76" s="106">
        <f>+HLOOKUP($C76,BP!$DI$2:$DU$250,172,0)</f>
        <v>7200</v>
      </c>
      <c r="CG76" s="106">
        <f>+HLOOKUP($C76,BP!$DI$2:$DU$250,173,0)</f>
        <v>7200</v>
      </c>
      <c r="CH76" s="106">
        <f>+HLOOKUP($C76,BP!$DI$2:$DU$250,174,0)</f>
        <v>38400</v>
      </c>
      <c r="CI76" s="106">
        <f>+HLOOKUP($C76,BP!$DI$2:$DU$250,175,0)</f>
        <v>2972</v>
      </c>
      <c r="CJ76" s="106">
        <f>+HLOOKUP($C76,BP!$DI$2:$DU$250,176,0)</f>
        <v>2370</v>
      </c>
      <c r="CK76" s="106">
        <f>+HLOOKUP($C76,BP!$DI$2:$DU$250,178,0)</f>
        <v>24000</v>
      </c>
      <c r="CL76" s="106">
        <f>+HLOOKUP($C76,BP!$DI$2:$DU$250,179,0)</f>
        <v>0</v>
      </c>
      <c r="CM76" s="106">
        <f>+HLOOKUP($C76,BP!$DI$2:$DU$250,180,0)</f>
        <v>5880</v>
      </c>
      <c r="CN76" s="106">
        <f>+HLOOKUP($C76,BP!$DI$2:$DU$250,182,0)</f>
        <v>245.70000000000002</v>
      </c>
      <c r="CO76" s="106">
        <f>+HLOOKUP($C76,BP!$DI$2:$DU$250,183,0)</f>
        <v>4690.2</v>
      </c>
      <c r="CP76" s="106">
        <f>+HLOOKUP($C76,BP!$DI$2:$DU$250,184,0)</f>
        <v>2160</v>
      </c>
      <c r="CQ76" s="106">
        <f>+HLOOKUP($C76,BP!$DI$2:$DU$250,185,0)</f>
        <v>0</v>
      </c>
      <c r="CR76" s="106">
        <f>+HLOOKUP($C76,BP!$DI$2:$DU$250,187,0)</f>
        <v>1249.92</v>
      </c>
      <c r="CS76" s="106">
        <f>+HLOOKUP($C76,BP!$DI$2:$DU$250,188,0)</f>
        <v>1590</v>
      </c>
      <c r="CT76" s="106">
        <f>+HLOOKUP($C76,BP!$DI$2:$DU$250,189,0)</f>
        <v>1000.02</v>
      </c>
      <c r="CU76" s="106">
        <f>+HLOOKUP($C76,BP!$DI$2:$DU$250,190,0)</f>
        <v>1013.34</v>
      </c>
      <c r="CV76" s="106">
        <f>+HLOOKUP($C76,BP!$DI$2:$DU$250,191,0)</f>
        <v>0</v>
      </c>
      <c r="CW76" s="106">
        <f>+HLOOKUP($C76,BP!$DI$2:$DU$250,193,0)</f>
        <v>2470.8666666666668</v>
      </c>
      <c r="CX76" s="106">
        <f>+HLOOKUP($C76,BP!$DI$2:$DU$250,194,0)</f>
        <v>236.73333333333338</v>
      </c>
      <c r="CY76" s="106">
        <f>+HLOOKUP($C76,BP!$DI$2:$DU$250,195,0)</f>
        <v>550.02359999999999</v>
      </c>
      <c r="CZ76" s="106">
        <f>+HLOOKUP($C76,BP!$DI$2:$DU$250,196,0)</f>
        <v>0</v>
      </c>
      <c r="DA76" s="106">
        <f>+HLOOKUP($C76,BP!$DI$2:$DU$250,197,0)</f>
        <v>6566.4000000000005</v>
      </c>
      <c r="DB76" s="106">
        <f>+HLOOKUP($C76,BP!$DI$2:$DU$250,198,0)</f>
        <v>2022</v>
      </c>
      <c r="DC76" s="106">
        <f>+HLOOKUP($C76,BP!$DI$2:$DU$250,199,0)</f>
        <v>432</v>
      </c>
      <c r="DD76" s="106">
        <f>+HLOOKUP($C76,BP!$DI$2:$DU$250,200,0)</f>
        <v>140</v>
      </c>
      <c r="DE76" s="106">
        <f>+HLOOKUP($C76,BP!$DI$2:$DU$250,201,0)</f>
        <v>29.700000000000003</v>
      </c>
      <c r="DF76" s="106">
        <f>+HLOOKUP($C76,BP!$DI$2:$DU$250,202,0)</f>
        <v>0</v>
      </c>
      <c r="DG76" s="106">
        <f>+HLOOKUP($C76,BP!$DI$2:$DU$250,203,0)</f>
        <v>0</v>
      </c>
      <c r="DH76" s="106">
        <f>+HLOOKUP($C76,BP!$DI$2:$DU$250,205,0)</f>
        <v>0</v>
      </c>
      <c r="DI76" s="106">
        <f>+HLOOKUP($C76,BP!$DI$2:$DU$250,206,0)</f>
        <v>1874.915554909091</v>
      </c>
      <c r="DJ76" s="106">
        <f>+HLOOKUP($C76,BP!$DI$2:$DU$250,207,0)</f>
        <v>146.90894999999998</v>
      </c>
      <c r="DK76" s="106">
        <f>+HLOOKUP($C76,BP!$DI$2:$DU$250,209,0)</f>
        <v>0</v>
      </c>
      <c r="DL76" s="106">
        <f>+HLOOKUP($C76,BP!$DI$2:$DU$250,210,0)</f>
        <v>49136.840156250015</v>
      </c>
      <c r="DM76" s="106">
        <f>+HLOOKUP($C76,BP!$DI$2:$DU$250,211,0)</f>
        <v>0</v>
      </c>
      <c r="DN76" s="106">
        <f>+HLOOKUP($C76,BP!$DI$2:$DU$250,212,0)</f>
        <v>0</v>
      </c>
      <c r="DO76" s="106">
        <f>+HLOOKUP($C76,BP!$DI$2:$DU$250,214,0)</f>
        <v>0</v>
      </c>
      <c r="DP76" s="106">
        <f>+HLOOKUP($C76,BP!$DI$2:$DU$250,215,0)</f>
        <v>360</v>
      </c>
      <c r="DQ76" s="106">
        <f>+HLOOKUP($C76,BP!$DI$2:$DU$250,219,0)</f>
        <v>0</v>
      </c>
      <c r="DR76" s="106">
        <f>+HLOOKUP($C76,BP!$DI$2:$DU$250,220,0)</f>
        <v>0</v>
      </c>
      <c r="DS76" s="106">
        <f>+HLOOKUP($C76,BP!$DI$2:$DU$250,221,0)</f>
        <v>0</v>
      </c>
      <c r="DT76" s="106">
        <f>+HLOOKUP($C76,BP!$DI$2:$DU$250,223,0)</f>
        <v>7500</v>
      </c>
      <c r="DU76" s="106">
        <f>+HLOOKUP($C76,BP!$DI$2:$DU$250,224,0)</f>
        <v>0</v>
      </c>
      <c r="DV76" s="106">
        <f>+HLOOKUP($C76,BP!$DI$2:$DU$250,225,0)</f>
        <v>0</v>
      </c>
      <c r="DW76" s="106">
        <f>+HLOOKUP($C76,BP!$DI$2:$DU$250,227,0)</f>
        <v>0</v>
      </c>
      <c r="DX76" s="106">
        <f>+HLOOKUP($C76,BP!$DI$2:$DU$250,228,0)</f>
        <v>0</v>
      </c>
      <c r="DY76" s="106">
        <f>+HLOOKUP($C76,BP!$DI$2:$DU$250,236,0)</f>
        <v>0</v>
      </c>
      <c r="DZ76" s="106">
        <f>+HLOOKUP($C76,BP!$DI$2:$DU$250,237,0)</f>
        <v>61923.441842985019</v>
      </c>
      <c r="EA76" s="106">
        <f>+HLOOKUP($C76,BP!$DI$2:$DU$250,238,0)</f>
        <v>0</v>
      </c>
      <c r="EB76" s="106">
        <f>+HLOOKUP($C76,BP!$DI$2:$DU$250,240,0)</f>
        <v>155829.26235714319</v>
      </c>
    </row>
    <row r="77" spans="1:132">
      <c r="A77" t="s">
        <v>271</v>
      </c>
      <c r="B77" t="s">
        <v>218</v>
      </c>
      <c r="C77" s="117">
        <v>45901</v>
      </c>
      <c r="D77" s="106">
        <f t="shared" si="1"/>
        <v>4330776</v>
      </c>
      <c r="E77" s="106">
        <f>+HLOOKUP(C77,BP!$DI$2:$DU$250,28,0)+HLOOKUP(C77,BP!$DI$2:$DU$250,43,0)+HLOOKUP(C77,BP!$DI$2:$DU$250,44,0)+HLOOKUP(C77,BP!$DI$2:$DU$250,45,0)+HLOOKUP(C77,BP!$DI$2:$DU$250,54,0)+HLOOKUP(C77,BP!$DI$2:$DU$250,59,0)</f>
        <v>4330776</v>
      </c>
      <c r="F77" s="106">
        <f>+HLOOKUP(C77,BP!$DI$2:$DU$250,37,0)+HLOOKUP(C77,BP!$DI$2:$DU$250,55,0)</f>
        <v>2817493.723600694</v>
      </c>
      <c r="G77" s="106">
        <f>+HLOOKUP($C77,BP!$DI$2:$DU$250,76,0)</f>
        <v>0</v>
      </c>
      <c r="H77" s="106">
        <f>+HLOOKUP($C77,BP!$DI$2:$DU$250,77,0)</f>
        <v>0</v>
      </c>
      <c r="I77" s="106">
        <f>+HLOOKUP($C77,BP!$DI$2:$DU$250,78,0)</f>
        <v>0</v>
      </c>
      <c r="J77" s="106">
        <f>+HLOOKUP($C77,BP!$DI$2:$DU$250,79,0)</f>
        <v>0</v>
      </c>
      <c r="K77" s="106">
        <f>+HLOOKUP($C77,BP!$DI$2:$DU$250,80,0)</f>
        <v>0</v>
      </c>
      <c r="L77" s="106">
        <f>+HLOOKUP($C77,BP!$DI$2:$DU$250,81,0)</f>
        <v>0</v>
      </c>
      <c r="M77" s="106">
        <f>+HLOOKUP($C77,BP!$DI$2:$DU$250,82,0)</f>
        <v>0</v>
      </c>
      <c r="N77" s="106">
        <f>+HLOOKUP($C77,BP!$DI$2:$DU$250,83,0)</f>
        <v>0</v>
      </c>
      <c r="O77" s="106">
        <f>+HLOOKUP($C77,BP!$DI$2:$DU$250,84,0)</f>
        <v>0</v>
      </c>
      <c r="P77" s="106">
        <f>+HLOOKUP($C77,BP!$DI$2:$DU$250,85,0)</f>
        <v>0</v>
      </c>
      <c r="Q77" s="106">
        <f>+HLOOKUP($C77,BP!$DI$2:$DU$250,87,0)</f>
        <v>93275.520000000004</v>
      </c>
      <c r="R77" s="106">
        <f>+HLOOKUP($C77,BP!$DI$2:$DU$250,90,0)</f>
        <v>0</v>
      </c>
      <c r="S77" s="106">
        <f>+HLOOKUP($C77,BP!$DI$2:$DU$250,91,0)</f>
        <v>0</v>
      </c>
      <c r="T77" s="106">
        <f>+HLOOKUP($C77,BP!$DI$2:$DU$250,92,0)</f>
        <v>0</v>
      </c>
      <c r="U77" s="106">
        <f>+HLOOKUP($C77,BP!$DI$2:$DU$250,93,0)</f>
        <v>0</v>
      </c>
      <c r="V77" s="106">
        <f>+HLOOKUP($C77,BP!$DI$2:$DU$250,94,0)</f>
        <v>0</v>
      </c>
      <c r="W77" s="106">
        <f>+HLOOKUP($C77,BP!$DI$2:$DU$250,95,0)</f>
        <v>0</v>
      </c>
      <c r="X77" s="106">
        <f>+HLOOKUP($C77,BP!$DI$2:$DU$250,96,0)</f>
        <v>0</v>
      </c>
      <c r="Y77" s="106">
        <f>+HLOOKUP($C77,BP!$DI$2:$DU$250,97,0)</f>
        <v>0</v>
      </c>
      <c r="Z77" s="106">
        <f>+HLOOKUP($C77,BP!$DI$2:$DU$250,98,0)</f>
        <v>0</v>
      </c>
      <c r="AA77" s="106">
        <f>+HLOOKUP($C77,BP!$DI$2:$DU$250,99,0)</f>
        <v>0</v>
      </c>
      <c r="AB77" s="106">
        <f>+HLOOKUP($C77,BP!$DI$2:$DU$250,100,0)</f>
        <v>0</v>
      </c>
      <c r="AC77" s="106">
        <f>+HLOOKUP($C77,BP!$DI$2:$DU$250,101,0)</f>
        <v>0</v>
      </c>
      <c r="AD77" s="106">
        <f>+HLOOKUP($C77,BP!$DI$2:$DU$250,104,0)</f>
        <v>5097.0311999999994</v>
      </c>
      <c r="AE77" s="106">
        <f>+HLOOKUP($C77,BP!$DI$2:$DU$250,105,0)</f>
        <v>16990.103999999999</v>
      </c>
      <c r="AF77" s="106">
        <f>+HLOOKUP($C77,BP!$DI$2:$DU$250,106,0)</f>
        <v>0</v>
      </c>
      <c r="AG77" s="106">
        <f>+HLOOKUP($C77,BP!$DI$2:$DU$250,107,0)</f>
        <v>0</v>
      </c>
      <c r="AH77" s="106">
        <f>+HLOOKUP($C77,BP!$DI$2:$DU$250,108,0)</f>
        <v>0</v>
      </c>
      <c r="AI77" s="106">
        <f>+HLOOKUP($C77,BP!$DI$2:$DU$250,109,0)</f>
        <v>0</v>
      </c>
      <c r="AJ77" s="106">
        <f>+HLOOKUP($C77,BP!$DI$2:$DU$250,110,0)</f>
        <v>125340</v>
      </c>
      <c r="AK77" s="106">
        <f>+HLOOKUP($C77,BP!$DI$2:$DU$250,111,0)</f>
        <v>1019.4062399999999</v>
      </c>
      <c r="AL77" s="106">
        <f>+HLOOKUP($C77,BP!$DI$2:$DU$250,112,0)</f>
        <v>0</v>
      </c>
      <c r="AM77" s="106">
        <f>+HLOOKUP($C77,BP!$DI$2:$DU$250,116,0)</f>
        <v>17400</v>
      </c>
      <c r="AN77" s="106">
        <f>+HLOOKUP($C77,BP!$DI$2:$DU$250,117,0)</f>
        <v>2620</v>
      </c>
      <c r="AO77" s="106">
        <f>+HLOOKUP($C77,BP!$DI$2:$DU$250,118,0)</f>
        <v>0</v>
      </c>
      <c r="AP77" s="106">
        <f>+HLOOKUP($C77,BP!$DI$2:$DU$250,119,0)</f>
        <v>5680</v>
      </c>
      <c r="AQ77" s="106">
        <f>+HLOOKUP($C77,BP!$DI$2:$DU$250,120,0)</f>
        <v>2400</v>
      </c>
      <c r="AR77" s="106">
        <f>+HLOOKUP($C77,BP!$DI$2:$DU$250,121,0)</f>
        <v>1500</v>
      </c>
      <c r="AS77" s="106">
        <f>+HLOOKUP($C77,BP!$DI$2:$DU$250,122,0)</f>
        <v>7400</v>
      </c>
      <c r="AT77" s="106">
        <f>+HLOOKUP($C77,BP!$DI$2:$DU$250,123,0)</f>
        <v>2286.8210263888886</v>
      </c>
      <c r="AU77" s="106">
        <f>+HLOOKUP($C77,BP!$DI$2:$DU$250,124,0)</f>
        <v>0</v>
      </c>
      <c r="AV77" s="106">
        <f>+HLOOKUP($C77,BP!$DI$2:$DU$250,125,0)</f>
        <v>15690</v>
      </c>
      <c r="AW77" s="106">
        <f>+HLOOKUP($C77,BP!$DI$2:$DU$250,126,0)</f>
        <v>836.53846153846155</v>
      </c>
      <c r="AX77" s="106">
        <f>+HLOOKUP($C77,BP!$DI$2:$DU$250,127,0)</f>
        <v>1283.3333333333333</v>
      </c>
      <c r="AY77" s="106">
        <f>+HLOOKUP($C77,BP!$DI$2:$DU$250,129,0)</f>
        <v>0</v>
      </c>
      <c r="AZ77" s="106">
        <f>+HLOOKUP($C77,BP!$DI$2:$DU$250,130,0)</f>
        <v>0</v>
      </c>
      <c r="BA77" s="106">
        <f>+HLOOKUP($C77,BP!$DI$2:$DU$250,131,0)</f>
        <v>10000</v>
      </c>
      <c r="BB77" s="106">
        <f>+HLOOKUP($C77,BP!$DI$2:$DU$250,133,0)</f>
        <v>0</v>
      </c>
      <c r="BC77" s="106">
        <f>+HLOOKUP($C77,BP!$DI$2:$DU$250,134,0)</f>
        <v>3155.5342874999997</v>
      </c>
      <c r="BD77" s="106">
        <f>+HLOOKUP($C77,BP!$DI$2:$DU$250,135,0)</f>
        <v>0</v>
      </c>
      <c r="BE77" s="106">
        <f>+HLOOKUP($C77,BP!$DI$2:$DU$250,136,0)</f>
        <v>0</v>
      </c>
      <c r="BF77" s="106">
        <f>+HLOOKUP($C77,BP!$DI$2:$DU$250,138,0)</f>
        <v>600</v>
      </c>
      <c r="BG77" s="106">
        <f>+HLOOKUP($C77,BP!$DI$2:$DU$250,139,0)</f>
        <v>3953.1971666666673</v>
      </c>
      <c r="BH77" s="106">
        <f>+HLOOKUP($C77,BP!$DI$2:$DU$250,140,0)</f>
        <v>18000</v>
      </c>
      <c r="BI77" s="106">
        <f>+HLOOKUP($C77,BP!$DI$2:$DU$250,141,0)</f>
        <v>0</v>
      </c>
      <c r="BJ77" s="106">
        <f>+HLOOKUP($C77,BP!$DI$2:$DU$250,142,0)</f>
        <v>0</v>
      </c>
      <c r="BK77" s="106">
        <f>+HLOOKUP($C77,BP!$DI$2:$DU$250,143,0)</f>
        <v>2465</v>
      </c>
      <c r="BL77" s="106">
        <f>+HLOOKUP($C77,BP!$DI$2:$DU$250,144,0)</f>
        <v>2444.4444444444443</v>
      </c>
      <c r="BM77" s="106">
        <f>+HLOOKUP($C77,BP!$DI$2:$DU$250,146,0)</f>
        <v>0</v>
      </c>
      <c r="BN77" s="106">
        <f>+HLOOKUP($C77,BP!$DI$2:$DU$250,147,0)</f>
        <v>0</v>
      </c>
      <c r="BO77" s="106">
        <f>+HLOOKUP($C77,BP!$DI$2:$DU$250,148,0)</f>
        <v>0</v>
      </c>
      <c r="BP77" s="106">
        <f>+HLOOKUP($C77,BP!$DI$2:$DU$250,150,0)</f>
        <v>12887.84</v>
      </c>
      <c r="BQ77" s="106">
        <f>+HLOOKUP($C77,BP!$DI$2:$DU$250,151,0)</f>
        <v>992.2</v>
      </c>
      <c r="BR77" s="106">
        <f>+HLOOKUP($C77,BP!$DI$2:$DU$250,152,0)</f>
        <v>6400</v>
      </c>
      <c r="BS77" s="106">
        <f>+HLOOKUP($C77,BP!$DI$2:$DU$250,153,0)</f>
        <v>1200</v>
      </c>
      <c r="BT77" s="106">
        <f>+HLOOKUP($C77,BP!$DI$2:$DU$250,157,0)</f>
        <v>4240</v>
      </c>
      <c r="BU77" s="106">
        <f>+HLOOKUP($C77,BP!$DI$2:$DU$250,158,0)</f>
        <v>870</v>
      </c>
      <c r="BV77" s="106">
        <f>+HLOOKUP($C77,BP!$DI$2:$DU$250,159,0)</f>
        <v>0</v>
      </c>
      <c r="BW77" s="106">
        <f>+HLOOKUP($C77,BP!$DI$2:$DU$250,160,0)</f>
        <v>4400</v>
      </c>
      <c r="BX77" s="106">
        <f>+HLOOKUP($C77,BP!$DI$2:$DU$250,161,0)</f>
        <v>3029.1665250000005</v>
      </c>
      <c r="BY77" s="106">
        <f>+HLOOKUP($C77,BP!$DI$2:$DU$250,164,0)</f>
        <v>0</v>
      </c>
      <c r="BZ77" s="106">
        <f>+HLOOKUP($C77,BP!$DI$2:$DU$250,165,0)</f>
        <v>0</v>
      </c>
      <c r="CA77" s="106">
        <f>+HLOOKUP($C77,BP!$DI$2:$DU$250,166,0)</f>
        <v>0</v>
      </c>
      <c r="CB77" s="106">
        <f>+HLOOKUP($C77,BP!$DI$2:$DU$250,167,0)</f>
        <v>0</v>
      </c>
      <c r="CC77" s="106">
        <f>+HLOOKUP($C77,BP!$DI$2:$DU$250,168,0)</f>
        <v>0</v>
      </c>
      <c r="CD77" s="106">
        <f>+HLOOKUP($C77,BP!$DI$2:$DU$250,169,0)</f>
        <v>0</v>
      </c>
      <c r="CE77" s="106">
        <f>+HLOOKUP($C77,BP!$DI$2:$DU$250,170,0)</f>
        <v>0</v>
      </c>
      <c r="CF77" s="106">
        <f>+HLOOKUP($C77,BP!$DI$2:$DU$250,172,0)</f>
        <v>7200</v>
      </c>
      <c r="CG77" s="106">
        <f>+HLOOKUP($C77,BP!$DI$2:$DU$250,173,0)</f>
        <v>7200</v>
      </c>
      <c r="CH77" s="106">
        <f>+HLOOKUP($C77,BP!$DI$2:$DU$250,174,0)</f>
        <v>38400</v>
      </c>
      <c r="CI77" s="106">
        <f>+HLOOKUP($C77,BP!$DI$2:$DU$250,175,0)</f>
        <v>2972</v>
      </c>
      <c r="CJ77" s="106">
        <f>+HLOOKUP($C77,BP!$DI$2:$DU$250,176,0)</f>
        <v>2370</v>
      </c>
      <c r="CK77" s="106">
        <f>+HLOOKUP($C77,BP!$DI$2:$DU$250,178,0)</f>
        <v>24000</v>
      </c>
      <c r="CL77" s="106">
        <f>+HLOOKUP($C77,BP!$DI$2:$DU$250,179,0)</f>
        <v>0</v>
      </c>
      <c r="CM77" s="106">
        <f>+HLOOKUP($C77,BP!$DI$2:$DU$250,180,0)</f>
        <v>5880</v>
      </c>
      <c r="CN77" s="106">
        <f>+HLOOKUP($C77,BP!$DI$2:$DU$250,182,0)</f>
        <v>245.70000000000002</v>
      </c>
      <c r="CO77" s="106">
        <f>+HLOOKUP($C77,BP!$DI$2:$DU$250,183,0)</f>
        <v>4690.2</v>
      </c>
      <c r="CP77" s="106">
        <f>+HLOOKUP($C77,BP!$DI$2:$DU$250,184,0)</f>
        <v>2160</v>
      </c>
      <c r="CQ77" s="106">
        <f>+HLOOKUP($C77,BP!$DI$2:$DU$250,185,0)</f>
        <v>0</v>
      </c>
      <c r="CR77" s="106">
        <f>+HLOOKUP($C77,BP!$DI$2:$DU$250,187,0)</f>
        <v>1249.92</v>
      </c>
      <c r="CS77" s="106">
        <f>+HLOOKUP($C77,BP!$DI$2:$DU$250,188,0)</f>
        <v>1590</v>
      </c>
      <c r="CT77" s="106">
        <f>+HLOOKUP($C77,BP!$DI$2:$DU$250,189,0)</f>
        <v>1000.02</v>
      </c>
      <c r="CU77" s="106">
        <f>+HLOOKUP($C77,BP!$DI$2:$DU$250,190,0)</f>
        <v>1013.34</v>
      </c>
      <c r="CV77" s="106">
        <f>+HLOOKUP($C77,BP!$DI$2:$DU$250,191,0)</f>
        <v>0</v>
      </c>
      <c r="CW77" s="106">
        <f>+HLOOKUP($C77,BP!$DI$2:$DU$250,193,0)</f>
        <v>2470.8666666666668</v>
      </c>
      <c r="CX77" s="106">
        <f>+HLOOKUP($C77,BP!$DI$2:$DU$250,194,0)</f>
        <v>236.73333333333338</v>
      </c>
      <c r="CY77" s="106">
        <f>+HLOOKUP($C77,BP!$DI$2:$DU$250,195,0)</f>
        <v>550.02359999999999</v>
      </c>
      <c r="CZ77" s="106">
        <f>+HLOOKUP($C77,BP!$DI$2:$DU$250,196,0)</f>
        <v>0</v>
      </c>
      <c r="DA77" s="106">
        <f>+HLOOKUP($C77,BP!$DI$2:$DU$250,197,0)</f>
        <v>6566.4000000000005</v>
      </c>
      <c r="DB77" s="106">
        <f>+HLOOKUP($C77,BP!$DI$2:$DU$250,198,0)</f>
        <v>2022</v>
      </c>
      <c r="DC77" s="106">
        <f>+HLOOKUP($C77,BP!$DI$2:$DU$250,199,0)</f>
        <v>432</v>
      </c>
      <c r="DD77" s="106">
        <f>+HLOOKUP($C77,BP!$DI$2:$DU$250,200,0)</f>
        <v>140</v>
      </c>
      <c r="DE77" s="106">
        <f>+HLOOKUP($C77,BP!$DI$2:$DU$250,201,0)</f>
        <v>29.700000000000003</v>
      </c>
      <c r="DF77" s="106">
        <f>+HLOOKUP($C77,BP!$DI$2:$DU$250,202,0)</f>
        <v>0</v>
      </c>
      <c r="DG77" s="106">
        <f>+HLOOKUP($C77,BP!$DI$2:$DU$250,203,0)</f>
        <v>0</v>
      </c>
      <c r="DH77" s="106">
        <f>+HLOOKUP($C77,BP!$DI$2:$DU$250,205,0)</f>
        <v>0</v>
      </c>
      <c r="DI77" s="106">
        <f>+HLOOKUP($C77,BP!$DI$2:$DU$250,206,0)</f>
        <v>1874.915554909091</v>
      </c>
      <c r="DJ77" s="106">
        <f>+HLOOKUP($C77,BP!$DI$2:$DU$250,207,0)</f>
        <v>154.64099999999999</v>
      </c>
      <c r="DK77" s="106">
        <f>+HLOOKUP($C77,BP!$DI$2:$DU$250,209,0)</f>
        <v>0</v>
      </c>
      <c r="DL77" s="106">
        <f>+HLOOKUP($C77,BP!$DI$2:$DU$250,210,0)</f>
        <v>49136.840156250015</v>
      </c>
      <c r="DM77" s="106">
        <f>+HLOOKUP($C77,BP!$DI$2:$DU$250,211,0)</f>
        <v>0</v>
      </c>
      <c r="DN77" s="106">
        <f>+HLOOKUP($C77,BP!$DI$2:$DU$250,212,0)</f>
        <v>0</v>
      </c>
      <c r="DO77" s="106">
        <f>+HLOOKUP($C77,BP!$DI$2:$DU$250,214,0)</f>
        <v>0</v>
      </c>
      <c r="DP77" s="106">
        <f>+HLOOKUP($C77,BP!$DI$2:$DU$250,215,0)</f>
        <v>360</v>
      </c>
      <c r="DQ77" s="106">
        <f>+HLOOKUP($C77,BP!$DI$2:$DU$250,219,0)</f>
        <v>0</v>
      </c>
      <c r="DR77" s="106">
        <f>+HLOOKUP($C77,BP!$DI$2:$DU$250,220,0)</f>
        <v>0</v>
      </c>
      <c r="DS77" s="106">
        <f>+HLOOKUP($C77,BP!$DI$2:$DU$250,221,0)</f>
        <v>0</v>
      </c>
      <c r="DT77" s="106">
        <f>+HLOOKUP($C77,BP!$DI$2:$DU$250,223,0)</f>
        <v>7500</v>
      </c>
      <c r="DU77" s="106">
        <f>+HLOOKUP($C77,BP!$DI$2:$DU$250,224,0)</f>
        <v>0</v>
      </c>
      <c r="DV77" s="106">
        <f>+HLOOKUP($C77,BP!$DI$2:$DU$250,225,0)</f>
        <v>0</v>
      </c>
      <c r="DW77" s="106">
        <f>+HLOOKUP($C77,BP!$DI$2:$DU$250,227,0)</f>
        <v>0</v>
      </c>
      <c r="DX77" s="106">
        <f>+HLOOKUP($C77,BP!$DI$2:$DU$250,228,0)</f>
        <v>0</v>
      </c>
      <c r="DY77" s="106">
        <f>+HLOOKUP($C77,BP!$DI$2:$DU$250,236,0)</f>
        <v>0</v>
      </c>
      <c r="DZ77" s="106">
        <f>+HLOOKUP($C77,BP!$DI$2:$DU$250,237,0)</f>
        <v>60758.21576608748</v>
      </c>
      <c r="EA77" s="106">
        <f>+HLOOKUP($C77,BP!$DI$2:$DU$250,238,0)</f>
        <v>0</v>
      </c>
      <c r="EB77" s="106">
        <f>+HLOOKUP($C77,BP!$DI$2:$DU$250,240,0)</f>
        <v>155829.26235714319</v>
      </c>
    </row>
    <row r="78" spans="1:132">
      <c r="A78" t="s">
        <v>271</v>
      </c>
      <c r="B78" t="s">
        <v>218</v>
      </c>
      <c r="C78" s="117">
        <v>45870</v>
      </c>
      <c r="D78" s="106">
        <f t="shared" si="1"/>
        <v>4096679.9999999991</v>
      </c>
      <c r="E78" s="106">
        <f>+HLOOKUP(C78,BP!$DI$2:$DU$250,28,0)+HLOOKUP(C78,BP!$DI$2:$DU$250,43,0)+HLOOKUP(C78,BP!$DI$2:$DU$250,44,0)+HLOOKUP(C78,BP!$DI$2:$DU$250,45,0)+HLOOKUP(C78,BP!$DI$2:$DU$250,54,0)+HLOOKUP(C78,BP!$DI$2:$DU$250,59,0)</f>
        <v>4096679.9999999991</v>
      </c>
      <c r="F78" s="106">
        <f>+HLOOKUP(C78,BP!$DI$2:$DU$250,37,0)+HLOOKUP(C78,BP!$DI$2:$DU$250,55,0)</f>
        <v>2670552.283600694</v>
      </c>
      <c r="G78" s="106">
        <f>+HLOOKUP($C78,BP!$DI$2:$DU$250,76,0)</f>
        <v>0</v>
      </c>
      <c r="H78" s="106">
        <f>+HLOOKUP($C78,BP!$DI$2:$DU$250,77,0)</f>
        <v>0</v>
      </c>
      <c r="I78" s="106">
        <f>+HLOOKUP($C78,BP!$DI$2:$DU$250,78,0)</f>
        <v>0</v>
      </c>
      <c r="J78" s="106">
        <f>+HLOOKUP($C78,BP!$DI$2:$DU$250,79,0)</f>
        <v>0</v>
      </c>
      <c r="K78" s="106">
        <f>+HLOOKUP($C78,BP!$DI$2:$DU$250,80,0)</f>
        <v>0</v>
      </c>
      <c r="L78" s="106">
        <f>+HLOOKUP($C78,BP!$DI$2:$DU$250,81,0)</f>
        <v>0</v>
      </c>
      <c r="M78" s="106">
        <f>+HLOOKUP($C78,BP!$DI$2:$DU$250,82,0)</f>
        <v>0</v>
      </c>
      <c r="N78" s="106">
        <f>+HLOOKUP($C78,BP!$DI$2:$DU$250,83,0)</f>
        <v>0</v>
      </c>
      <c r="O78" s="106">
        <f>+HLOOKUP($C78,BP!$DI$2:$DU$250,84,0)</f>
        <v>0</v>
      </c>
      <c r="P78" s="106">
        <f>+HLOOKUP($C78,BP!$DI$2:$DU$250,85,0)</f>
        <v>0</v>
      </c>
      <c r="Q78" s="106">
        <f>+HLOOKUP($C78,BP!$DI$2:$DU$250,87,0)</f>
        <v>88233.599999999977</v>
      </c>
      <c r="R78" s="106">
        <f>+HLOOKUP($C78,BP!$DI$2:$DU$250,90,0)</f>
        <v>0</v>
      </c>
      <c r="S78" s="106">
        <f>+HLOOKUP($C78,BP!$DI$2:$DU$250,91,0)</f>
        <v>0</v>
      </c>
      <c r="T78" s="106">
        <f>+HLOOKUP($C78,BP!$DI$2:$DU$250,92,0)</f>
        <v>0</v>
      </c>
      <c r="U78" s="106">
        <f>+HLOOKUP($C78,BP!$DI$2:$DU$250,93,0)</f>
        <v>0</v>
      </c>
      <c r="V78" s="106">
        <f>+HLOOKUP($C78,BP!$DI$2:$DU$250,94,0)</f>
        <v>0</v>
      </c>
      <c r="W78" s="106">
        <f>+HLOOKUP($C78,BP!$DI$2:$DU$250,95,0)</f>
        <v>0</v>
      </c>
      <c r="X78" s="106">
        <f>+HLOOKUP($C78,BP!$DI$2:$DU$250,96,0)</f>
        <v>0</v>
      </c>
      <c r="Y78" s="106">
        <f>+HLOOKUP($C78,BP!$DI$2:$DU$250,97,0)</f>
        <v>0</v>
      </c>
      <c r="Z78" s="106">
        <f>+HLOOKUP($C78,BP!$DI$2:$DU$250,98,0)</f>
        <v>0</v>
      </c>
      <c r="AA78" s="106">
        <f>+HLOOKUP($C78,BP!$DI$2:$DU$250,99,0)</f>
        <v>0</v>
      </c>
      <c r="AB78" s="106">
        <f>+HLOOKUP($C78,BP!$DI$2:$DU$250,100,0)</f>
        <v>0</v>
      </c>
      <c r="AC78" s="106">
        <f>+HLOOKUP($C78,BP!$DI$2:$DU$250,101,0)</f>
        <v>0</v>
      </c>
      <c r="AD78" s="106">
        <f>+HLOOKUP($C78,BP!$DI$2:$DU$250,104,0)</f>
        <v>4821.5159999999996</v>
      </c>
      <c r="AE78" s="106">
        <f>+HLOOKUP($C78,BP!$DI$2:$DU$250,105,0)</f>
        <v>16071.719999999998</v>
      </c>
      <c r="AF78" s="106">
        <f>+HLOOKUP($C78,BP!$DI$2:$DU$250,106,0)</f>
        <v>0</v>
      </c>
      <c r="AG78" s="106">
        <f>+HLOOKUP($C78,BP!$DI$2:$DU$250,107,0)</f>
        <v>0</v>
      </c>
      <c r="AH78" s="106">
        <f>+HLOOKUP($C78,BP!$DI$2:$DU$250,108,0)</f>
        <v>0</v>
      </c>
      <c r="AI78" s="106">
        <f>+HLOOKUP($C78,BP!$DI$2:$DU$250,109,0)</f>
        <v>0</v>
      </c>
      <c r="AJ78" s="106">
        <f>+HLOOKUP($C78,BP!$DI$2:$DU$250,110,0)</f>
        <v>109530</v>
      </c>
      <c r="AK78" s="106">
        <f>+HLOOKUP($C78,BP!$DI$2:$DU$250,111,0)</f>
        <v>964.30319999999995</v>
      </c>
      <c r="AL78" s="106">
        <f>+HLOOKUP($C78,BP!$DI$2:$DU$250,112,0)</f>
        <v>0</v>
      </c>
      <c r="AM78" s="106">
        <f>+HLOOKUP($C78,BP!$DI$2:$DU$250,116,0)</f>
        <v>17400</v>
      </c>
      <c r="AN78" s="106">
        <f>+HLOOKUP($C78,BP!$DI$2:$DU$250,117,0)</f>
        <v>2620</v>
      </c>
      <c r="AO78" s="106">
        <f>+HLOOKUP($C78,BP!$DI$2:$DU$250,118,0)</f>
        <v>0</v>
      </c>
      <c r="AP78" s="106">
        <f>+HLOOKUP($C78,BP!$DI$2:$DU$250,119,0)</f>
        <v>5680</v>
      </c>
      <c r="AQ78" s="106">
        <f>+HLOOKUP($C78,BP!$DI$2:$DU$250,120,0)</f>
        <v>2400</v>
      </c>
      <c r="AR78" s="106">
        <f>+HLOOKUP($C78,BP!$DI$2:$DU$250,121,0)</f>
        <v>1500</v>
      </c>
      <c r="AS78" s="106">
        <f>+HLOOKUP($C78,BP!$DI$2:$DU$250,122,0)</f>
        <v>7400</v>
      </c>
      <c r="AT78" s="106">
        <f>+HLOOKUP($C78,BP!$DI$2:$DU$250,123,0)</f>
        <v>2286.8210263888886</v>
      </c>
      <c r="AU78" s="106">
        <f>+HLOOKUP($C78,BP!$DI$2:$DU$250,124,0)</f>
        <v>0</v>
      </c>
      <c r="AV78" s="106">
        <f>+HLOOKUP($C78,BP!$DI$2:$DU$250,125,0)</f>
        <v>15690</v>
      </c>
      <c r="AW78" s="106">
        <f>+HLOOKUP($C78,BP!$DI$2:$DU$250,126,0)</f>
        <v>836.53846153846155</v>
      </c>
      <c r="AX78" s="106">
        <f>+HLOOKUP($C78,BP!$DI$2:$DU$250,127,0)</f>
        <v>1283.3333333333333</v>
      </c>
      <c r="AY78" s="106">
        <f>+HLOOKUP($C78,BP!$DI$2:$DU$250,129,0)</f>
        <v>0</v>
      </c>
      <c r="AZ78" s="106">
        <f>+HLOOKUP($C78,BP!$DI$2:$DU$250,130,0)</f>
        <v>0</v>
      </c>
      <c r="BA78" s="106">
        <f>+HLOOKUP($C78,BP!$DI$2:$DU$250,131,0)</f>
        <v>10000</v>
      </c>
      <c r="BB78" s="106">
        <f>+HLOOKUP($C78,BP!$DI$2:$DU$250,133,0)</f>
        <v>0</v>
      </c>
      <c r="BC78" s="106">
        <f>+HLOOKUP($C78,BP!$DI$2:$DU$250,134,0)</f>
        <v>3155.5342874999997</v>
      </c>
      <c r="BD78" s="106">
        <f>+HLOOKUP($C78,BP!$DI$2:$DU$250,135,0)</f>
        <v>0</v>
      </c>
      <c r="BE78" s="106">
        <f>+HLOOKUP($C78,BP!$DI$2:$DU$250,136,0)</f>
        <v>0</v>
      </c>
      <c r="BF78" s="106">
        <f>+HLOOKUP($C78,BP!$DI$2:$DU$250,138,0)</f>
        <v>600</v>
      </c>
      <c r="BG78" s="106">
        <f>+HLOOKUP($C78,BP!$DI$2:$DU$250,139,0)</f>
        <v>3953.1971666666673</v>
      </c>
      <c r="BH78" s="106">
        <f>+HLOOKUP($C78,BP!$DI$2:$DU$250,140,0)</f>
        <v>18000</v>
      </c>
      <c r="BI78" s="106">
        <f>+HLOOKUP($C78,BP!$DI$2:$DU$250,141,0)</f>
        <v>0</v>
      </c>
      <c r="BJ78" s="106">
        <f>+HLOOKUP($C78,BP!$DI$2:$DU$250,142,0)</f>
        <v>0</v>
      </c>
      <c r="BK78" s="106">
        <f>+HLOOKUP($C78,BP!$DI$2:$DU$250,143,0)</f>
        <v>2465</v>
      </c>
      <c r="BL78" s="106">
        <f>+HLOOKUP($C78,BP!$DI$2:$DU$250,144,0)</f>
        <v>1444.4444444444446</v>
      </c>
      <c r="BM78" s="106">
        <f>+HLOOKUP($C78,BP!$DI$2:$DU$250,146,0)</f>
        <v>0</v>
      </c>
      <c r="BN78" s="106">
        <f>+HLOOKUP($C78,BP!$DI$2:$DU$250,147,0)</f>
        <v>0</v>
      </c>
      <c r="BO78" s="106">
        <f>+HLOOKUP($C78,BP!$DI$2:$DU$250,148,0)</f>
        <v>0</v>
      </c>
      <c r="BP78" s="106">
        <f>+HLOOKUP($C78,BP!$DI$2:$DU$250,150,0)</f>
        <v>12887.84</v>
      </c>
      <c r="BQ78" s="106">
        <f>+HLOOKUP($C78,BP!$DI$2:$DU$250,151,0)</f>
        <v>992.2</v>
      </c>
      <c r="BR78" s="106">
        <f>+HLOOKUP($C78,BP!$DI$2:$DU$250,152,0)</f>
        <v>6400</v>
      </c>
      <c r="BS78" s="106">
        <f>+HLOOKUP($C78,BP!$DI$2:$DU$250,153,0)</f>
        <v>1200</v>
      </c>
      <c r="BT78" s="106">
        <f>+HLOOKUP($C78,BP!$DI$2:$DU$250,157,0)</f>
        <v>4240</v>
      </c>
      <c r="BU78" s="106">
        <f>+HLOOKUP($C78,BP!$DI$2:$DU$250,158,0)</f>
        <v>870</v>
      </c>
      <c r="BV78" s="106">
        <f>+HLOOKUP($C78,BP!$DI$2:$DU$250,159,0)</f>
        <v>0</v>
      </c>
      <c r="BW78" s="106">
        <f>+HLOOKUP($C78,BP!$DI$2:$DU$250,160,0)</f>
        <v>4400</v>
      </c>
      <c r="BX78" s="106">
        <f>+HLOOKUP($C78,BP!$DI$2:$DU$250,161,0)</f>
        <v>4884.9205119999997</v>
      </c>
      <c r="BY78" s="106">
        <f>+HLOOKUP($C78,BP!$DI$2:$DU$250,164,0)</f>
        <v>0</v>
      </c>
      <c r="BZ78" s="106">
        <f>+HLOOKUP($C78,BP!$DI$2:$DU$250,165,0)</f>
        <v>0</v>
      </c>
      <c r="CA78" s="106">
        <f>+HLOOKUP($C78,BP!$DI$2:$DU$250,166,0)</f>
        <v>0</v>
      </c>
      <c r="CB78" s="106">
        <f>+HLOOKUP($C78,BP!$DI$2:$DU$250,167,0)</f>
        <v>0</v>
      </c>
      <c r="CC78" s="106">
        <f>+HLOOKUP($C78,BP!$DI$2:$DU$250,168,0)</f>
        <v>0</v>
      </c>
      <c r="CD78" s="106">
        <f>+HLOOKUP($C78,BP!$DI$2:$DU$250,169,0)</f>
        <v>0</v>
      </c>
      <c r="CE78" s="106">
        <f>+HLOOKUP($C78,BP!$DI$2:$DU$250,170,0)</f>
        <v>0</v>
      </c>
      <c r="CF78" s="106">
        <f>+HLOOKUP($C78,BP!$DI$2:$DU$250,172,0)</f>
        <v>7200</v>
      </c>
      <c r="CG78" s="106">
        <f>+HLOOKUP($C78,BP!$DI$2:$DU$250,173,0)</f>
        <v>7200</v>
      </c>
      <c r="CH78" s="106">
        <f>+HLOOKUP($C78,BP!$DI$2:$DU$250,174,0)</f>
        <v>38400</v>
      </c>
      <c r="CI78" s="106">
        <f>+HLOOKUP($C78,BP!$DI$2:$DU$250,175,0)</f>
        <v>2972</v>
      </c>
      <c r="CJ78" s="106">
        <f>+HLOOKUP($C78,BP!$DI$2:$DU$250,176,0)</f>
        <v>2370</v>
      </c>
      <c r="CK78" s="106">
        <f>+HLOOKUP($C78,BP!$DI$2:$DU$250,178,0)</f>
        <v>24000</v>
      </c>
      <c r="CL78" s="106">
        <f>+HLOOKUP($C78,BP!$DI$2:$DU$250,179,0)</f>
        <v>0</v>
      </c>
      <c r="CM78" s="106">
        <f>+HLOOKUP($C78,BP!$DI$2:$DU$250,180,0)</f>
        <v>5880</v>
      </c>
      <c r="CN78" s="106">
        <f>+HLOOKUP($C78,BP!$DI$2:$DU$250,182,0)</f>
        <v>245.70000000000002</v>
      </c>
      <c r="CO78" s="106">
        <f>+HLOOKUP($C78,BP!$DI$2:$DU$250,183,0)</f>
        <v>4690.2</v>
      </c>
      <c r="CP78" s="106">
        <f>+HLOOKUP($C78,BP!$DI$2:$DU$250,184,0)</f>
        <v>2160</v>
      </c>
      <c r="CQ78" s="106">
        <f>+HLOOKUP($C78,BP!$DI$2:$DU$250,185,0)</f>
        <v>0</v>
      </c>
      <c r="CR78" s="106">
        <f>+HLOOKUP($C78,BP!$DI$2:$DU$250,187,0)</f>
        <v>1249.92</v>
      </c>
      <c r="CS78" s="106">
        <f>+HLOOKUP($C78,BP!$DI$2:$DU$250,188,0)</f>
        <v>1590</v>
      </c>
      <c r="CT78" s="106">
        <f>+HLOOKUP($C78,BP!$DI$2:$DU$250,189,0)</f>
        <v>1000.02</v>
      </c>
      <c r="CU78" s="106">
        <f>+HLOOKUP($C78,BP!$DI$2:$DU$250,190,0)</f>
        <v>1013.34</v>
      </c>
      <c r="CV78" s="106">
        <f>+HLOOKUP($C78,BP!$DI$2:$DU$250,191,0)</f>
        <v>0</v>
      </c>
      <c r="CW78" s="106">
        <f>+HLOOKUP($C78,BP!$DI$2:$DU$250,193,0)</f>
        <v>2470.8666666666668</v>
      </c>
      <c r="CX78" s="106">
        <f>+HLOOKUP($C78,BP!$DI$2:$DU$250,194,0)</f>
        <v>236.73333333333338</v>
      </c>
      <c r="CY78" s="106">
        <f>+HLOOKUP($C78,BP!$DI$2:$DU$250,195,0)</f>
        <v>550.02359999999999</v>
      </c>
      <c r="CZ78" s="106">
        <f>+HLOOKUP($C78,BP!$DI$2:$DU$250,196,0)</f>
        <v>0</v>
      </c>
      <c r="DA78" s="106">
        <f>+HLOOKUP($C78,BP!$DI$2:$DU$250,197,0)</f>
        <v>6566.4000000000005</v>
      </c>
      <c r="DB78" s="106">
        <f>+HLOOKUP($C78,BP!$DI$2:$DU$250,198,0)</f>
        <v>2022</v>
      </c>
      <c r="DC78" s="106">
        <f>+HLOOKUP($C78,BP!$DI$2:$DU$250,199,0)</f>
        <v>432</v>
      </c>
      <c r="DD78" s="106">
        <f>+HLOOKUP($C78,BP!$DI$2:$DU$250,200,0)</f>
        <v>140</v>
      </c>
      <c r="DE78" s="106">
        <f>+HLOOKUP($C78,BP!$DI$2:$DU$250,201,0)</f>
        <v>29.700000000000003</v>
      </c>
      <c r="DF78" s="106">
        <f>+HLOOKUP($C78,BP!$DI$2:$DU$250,202,0)</f>
        <v>0</v>
      </c>
      <c r="DG78" s="106">
        <f>+HLOOKUP($C78,BP!$DI$2:$DU$250,203,0)</f>
        <v>0</v>
      </c>
      <c r="DH78" s="106">
        <f>+HLOOKUP($C78,BP!$DI$2:$DU$250,205,0)</f>
        <v>0</v>
      </c>
      <c r="DI78" s="106">
        <f>+HLOOKUP($C78,BP!$DI$2:$DU$250,206,0)</f>
        <v>1874.915554909091</v>
      </c>
      <c r="DJ78" s="106">
        <f>+HLOOKUP($C78,BP!$DI$2:$DU$250,207,0)</f>
        <v>154.64099999999999</v>
      </c>
      <c r="DK78" s="106">
        <f>+HLOOKUP($C78,BP!$DI$2:$DU$250,209,0)</f>
        <v>0</v>
      </c>
      <c r="DL78" s="106">
        <f>+HLOOKUP($C78,BP!$DI$2:$DU$250,210,0)</f>
        <v>46796.990625000006</v>
      </c>
      <c r="DM78" s="106">
        <f>+HLOOKUP($C78,BP!$DI$2:$DU$250,211,0)</f>
        <v>0</v>
      </c>
      <c r="DN78" s="106">
        <f>+HLOOKUP($C78,BP!$DI$2:$DU$250,212,0)</f>
        <v>0</v>
      </c>
      <c r="DO78" s="106">
        <f>+HLOOKUP($C78,BP!$DI$2:$DU$250,214,0)</f>
        <v>0</v>
      </c>
      <c r="DP78" s="106">
        <f>+HLOOKUP($C78,BP!$DI$2:$DU$250,215,0)</f>
        <v>360</v>
      </c>
      <c r="DQ78" s="106">
        <f>+HLOOKUP($C78,BP!$DI$2:$DU$250,219,0)</f>
        <v>0</v>
      </c>
      <c r="DR78" s="106">
        <f>+HLOOKUP($C78,BP!$DI$2:$DU$250,220,0)</f>
        <v>0</v>
      </c>
      <c r="DS78" s="106">
        <f>+HLOOKUP($C78,BP!$DI$2:$DU$250,221,0)</f>
        <v>0</v>
      </c>
      <c r="DT78" s="106">
        <f>+HLOOKUP($C78,BP!$DI$2:$DU$250,223,0)</f>
        <v>7500</v>
      </c>
      <c r="DU78" s="106">
        <f>+HLOOKUP($C78,BP!$DI$2:$DU$250,224,0)</f>
        <v>0</v>
      </c>
      <c r="DV78" s="106">
        <f>+HLOOKUP($C78,BP!$DI$2:$DU$250,225,0)</f>
        <v>0</v>
      </c>
      <c r="DW78" s="106">
        <f>+HLOOKUP($C78,BP!$DI$2:$DU$250,227,0)</f>
        <v>0</v>
      </c>
      <c r="DX78" s="106">
        <f>+HLOOKUP($C78,BP!$DI$2:$DU$250,228,0)</f>
        <v>0</v>
      </c>
      <c r="DY78" s="106">
        <f>+HLOOKUP($C78,BP!$DI$2:$DU$250,236,0)</f>
        <v>0</v>
      </c>
      <c r="DZ78" s="106">
        <f>+HLOOKUP($C78,BP!$DI$2:$DU$250,237,0)</f>
        <v>63643.537406929121</v>
      </c>
      <c r="EA78" s="106">
        <f>+HLOOKUP($C78,BP!$DI$2:$DU$250,238,0)</f>
        <v>0</v>
      </c>
      <c r="EB78" s="106">
        <f>+HLOOKUP($C78,BP!$DI$2:$DU$250,240,0)</f>
        <v>155829.26235714319</v>
      </c>
    </row>
    <row r="79" spans="1:132">
      <c r="A79" t="s">
        <v>271</v>
      </c>
      <c r="B79" t="s">
        <v>218</v>
      </c>
      <c r="C79" s="117">
        <v>45839</v>
      </c>
      <c r="D79" s="106">
        <f t="shared" si="1"/>
        <v>3277344</v>
      </c>
      <c r="E79" s="106">
        <f>+HLOOKUP(C79,BP!$DI$2:$DU$250,28,0)+HLOOKUP(C79,BP!$DI$2:$DU$250,43,0)+HLOOKUP(C79,BP!$DI$2:$DU$250,44,0)+HLOOKUP(C79,BP!$DI$2:$DU$250,45,0)+HLOOKUP(C79,BP!$DI$2:$DU$250,54,0)+HLOOKUP(C79,BP!$DI$2:$DU$250,59,0)</f>
        <v>3277344</v>
      </c>
      <c r="F79" s="106">
        <f>+HLOOKUP(C79,BP!$DI$2:$DU$250,37,0)+HLOOKUP(C79,BP!$DI$2:$DU$250,55,0)</f>
        <v>2156257.2436006945</v>
      </c>
      <c r="G79" s="106">
        <f>+HLOOKUP($C79,BP!$DI$2:$DU$250,76,0)</f>
        <v>0</v>
      </c>
      <c r="H79" s="106">
        <f>+HLOOKUP($C79,BP!$DI$2:$DU$250,77,0)</f>
        <v>0</v>
      </c>
      <c r="I79" s="106">
        <f>+HLOOKUP($C79,BP!$DI$2:$DU$250,78,0)</f>
        <v>0</v>
      </c>
      <c r="J79" s="106">
        <f>+HLOOKUP($C79,BP!$DI$2:$DU$250,79,0)</f>
        <v>0</v>
      </c>
      <c r="K79" s="106">
        <f>+HLOOKUP($C79,BP!$DI$2:$DU$250,80,0)</f>
        <v>0</v>
      </c>
      <c r="L79" s="106">
        <f>+HLOOKUP($C79,BP!$DI$2:$DU$250,81,0)</f>
        <v>0</v>
      </c>
      <c r="M79" s="106">
        <f>+HLOOKUP($C79,BP!$DI$2:$DU$250,82,0)</f>
        <v>0</v>
      </c>
      <c r="N79" s="106">
        <f>+HLOOKUP($C79,BP!$DI$2:$DU$250,83,0)</f>
        <v>0</v>
      </c>
      <c r="O79" s="106">
        <f>+HLOOKUP($C79,BP!$DI$2:$DU$250,84,0)</f>
        <v>0</v>
      </c>
      <c r="P79" s="106">
        <f>+HLOOKUP($C79,BP!$DI$2:$DU$250,85,0)</f>
        <v>0</v>
      </c>
      <c r="Q79" s="106">
        <f>+HLOOKUP($C79,BP!$DI$2:$DU$250,87,0)</f>
        <v>70586.880000000005</v>
      </c>
      <c r="R79" s="106">
        <f>+HLOOKUP($C79,BP!$DI$2:$DU$250,90,0)</f>
        <v>0</v>
      </c>
      <c r="S79" s="106">
        <f>+HLOOKUP($C79,BP!$DI$2:$DU$250,91,0)</f>
        <v>0</v>
      </c>
      <c r="T79" s="106">
        <f>+HLOOKUP($C79,BP!$DI$2:$DU$250,92,0)</f>
        <v>0</v>
      </c>
      <c r="U79" s="106">
        <f>+HLOOKUP($C79,BP!$DI$2:$DU$250,93,0)</f>
        <v>0</v>
      </c>
      <c r="V79" s="106">
        <f>+HLOOKUP($C79,BP!$DI$2:$DU$250,94,0)</f>
        <v>0</v>
      </c>
      <c r="W79" s="106">
        <f>+HLOOKUP($C79,BP!$DI$2:$DU$250,95,0)</f>
        <v>0</v>
      </c>
      <c r="X79" s="106">
        <f>+HLOOKUP($C79,BP!$DI$2:$DU$250,96,0)</f>
        <v>0</v>
      </c>
      <c r="Y79" s="106">
        <f>+HLOOKUP($C79,BP!$DI$2:$DU$250,97,0)</f>
        <v>0</v>
      </c>
      <c r="Z79" s="106">
        <f>+HLOOKUP($C79,BP!$DI$2:$DU$250,98,0)</f>
        <v>0</v>
      </c>
      <c r="AA79" s="106">
        <f>+HLOOKUP($C79,BP!$DI$2:$DU$250,99,0)</f>
        <v>0</v>
      </c>
      <c r="AB79" s="106">
        <f>+HLOOKUP($C79,BP!$DI$2:$DU$250,100,0)</f>
        <v>0</v>
      </c>
      <c r="AC79" s="106">
        <f>+HLOOKUP($C79,BP!$DI$2:$DU$250,101,0)</f>
        <v>0</v>
      </c>
      <c r="AD79" s="106">
        <f>+HLOOKUP($C79,BP!$DI$2:$DU$250,104,0)</f>
        <v>3857.2128000000002</v>
      </c>
      <c r="AE79" s="106">
        <f>+HLOOKUP($C79,BP!$DI$2:$DU$250,105,0)</f>
        <v>12857.376000000002</v>
      </c>
      <c r="AF79" s="106">
        <f>+HLOOKUP($C79,BP!$DI$2:$DU$250,106,0)</f>
        <v>0</v>
      </c>
      <c r="AG79" s="106">
        <f>+HLOOKUP($C79,BP!$DI$2:$DU$250,107,0)</f>
        <v>0</v>
      </c>
      <c r="AH79" s="106">
        <f>+HLOOKUP($C79,BP!$DI$2:$DU$250,108,0)</f>
        <v>0</v>
      </c>
      <c r="AI79" s="106">
        <f>+HLOOKUP($C79,BP!$DI$2:$DU$250,109,0)</f>
        <v>0</v>
      </c>
      <c r="AJ79" s="106">
        <f>+HLOOKUP($C79,BP!$DI$2:$DU$250,110,0)</f>
        <v>105729</v>
      </c>
      <c r="AK79" s="106">
        <f>+HLOOKUP($C79,BP!$DI$2:$DU$250,111,0)</f>
        <v>771.44256000000007</v>
      </c>
      <c r="AL79" s="106">
        <f>+HLOOKUP($C79,BP!$DI$2:$DU$250,112,0)</f>
        <v>0</v>
      </c>
      <c r="AM79" s="106">
        <f>+HLOOKUP($C79,BP!$DI$2:$DU$250,116,0)</f>
        <v>17400</v>
      </c>
      <c r="AN79" s="106">
        <f>+HLOOKUP($C79,BP!$DI$2:$DU$250,117,0)</f>
        <v>2620</v>
      </c>
      <c r="AO79" s="106">
        <f>+HLOOKUP($C79,BP!$DI$2:$DU$250,118,0)</f>
        <v>0</v>
      </c>
      <c r="AP79" s="106">
        <f>+HLOOKUP($C79,BP!$DI$2:$DU$250,119,0)</f>
        <v>5680</v>
      </c>
      <c r="AQ79" s="106">
        <f>+HLOOKUP($C79,BP!$DI$2:$DU$250,120,0)</f>
        <v>2400</v>
      </c>
      <c r="AR79" s="106">
        <f>+HLOOKUP($C79,BP!$DI$2:$DU$250,121,0)</f>
        <v>1500</v>
      </c>
      <c r="AS79" s="106">
        <f>+HLOOKUP($C79,BP!$DI$2:$DU$250,122,0)</f>
        <v>7400</v>
      </c>
      <c r="AT79" s="106">
        <f>+HLOOKUP($C79,BP!$DI$2:$DU$250,123,0)</f>
        <v>2286.8210263888886</v>
      </c>
      <c r="AU79" s="106">
        <f>+HLOOKUP($C79,BP!$DI$2:$DU$250,124,0)</f>
        <v>0</v>
      </c>
      <c r="AV79" s="106">
        <f>+HLOOKUP($C79,BP!$DI$2:$DU$250,125,0)</f>
        <v>15690</v>
      </c>
      <c r="AW79" s="106">
        <f>+HLOOKUP($C79,BP!$DI$2:$DU$250,126,0)</f>
        <v>836.53846153846155</v>
      </c>
      <c r="AX79" s="106">
        <f>+HLOOKUP($C79,BP!$DI$2:$DU$250,127,0)</f>
        <v>1283.3333333333333</v>
      </c>
      <c r="AY79" s="106">
        <f>+HLOOKUP($C79,BP!$DI$2:$DU$250,129,0)</f>
        <v>0</v>
      </c>
      <c r="AZ79" s="106">
        <f>+HLOOKUP($C79,BP!$DI$2:$DU$250,130,0)</f>
        <v>0</v>
      </c>
      <c r="BA79" s="106">
        <f>+HLOOKUP($C79,BP!$DI$2:$DU$250,131,0)</f>
        <v>10000</v>
      </c>
      <c r="BB79" s="106">
        <f>+HLOOKUP($C79,BP!$DI$2:$DU$250,133,0)</f>
        <v>0</v>
      </c>
      <c r="BC79" s="106">
        <f>+HLOOKUP($C79,BP!$DI$2:$DU$250,134,0)</f>
        <v>3155.5342874999997</v>
      </c>
      <c r="BD79" s="106">
        <f>+HLOOKUP($C79,BP!$DI$2:$DU$250,135,0)</f>
        <v>0</v>
      </c>
      <c r="BE79" s="106">
        <f>+HLOOKUP($C79,BP!$DI$2:$DU$250,136,0)</f>
        <v>0</v>
      </c>
      <c r="BF79" s="106">
        <f>+HLOOKUP($C79,BP!$DI$2:$DU$250,138,0)</f>
        <v>600</v>
      </c>
      <c r="BG79" s="106">
        <f>+HLOOKUP($C79,BP!$DI$2:$DU$250,139,0)</f>
        <v>3953.1971666666673</v>
      </c>
      <c r="BH79" s="106">
        <f>+HLOOKUP($C79,BP!$DI$2:$DU$250,140,0)</f>
        <v>18000</v>
      </c>
      <c r="BI79" s="106">
        <f>+HLOOKUP($C79,BP!$DI$2:$DU$250,141,0)</f>
        <v>0</v>
      </c>
      <c r="BJ79" s="106">
        <f>+HLOOKUP($C79,BP!$DI$2:$DU$250,142,0)</f>
        <v>0</v>
      </c>
      <c r="BK79" s="106">
        <f>+HLOOKUP($C79,BP!$DI$2:$DU$250,143,0)</f>
        <v>2465</v>
      </c>
      <c r="BL79" s="106">
        <f>+HLOOKUP($C79,BP!$DI$2:$DU$250,144,0)</f>
        <v>1444.4444444444446</v>
      </c>
      <c r="BM79" s="106">
        <f>+HLOOKUP($C79,BP!$DI$2:$DU$250,146,0)</f>
        <v>0</v>
      </c>
      <c r="BN79" s="106">
        <f>+HLOOKUP($C79,BP!$DI$2:$DU$250,147,0)</f>
        <v>0</v>
      </c>
      <c r="BO79" s="106">
        <f>+HLOOKUP($C79,BP!$DI$2:$DU$250,148,0)</f>
        <v>0</v>
      </c>
      <c r="BP79" s="106">
        <f>+HLOOKUP($C79,BP!$DI$2:$DU$250,150,0)</f>
        <v>12887.84</v>
      </c>
      <c r="BQ79" s="106">
        <f>+HLOOKUP($C79,BP!$DI$2:$DU$250,151,0)</f>
        <v>992.2</v>
      </c>
      <c r="BR79" s="106">
        <f>+HLOOKUP($C79,BP!$DI$2:$DU$250,152,0)</f>
        <v>6400</v>
      </c>
      <c r="BS79" s="106">
        <f>+HLOOKUP($C79,BP!$DI$2:$DU$250,153,0)</f>
        <v>1200</v>
      </c>
      <c r="BT79" s="106">
        <f>+HLOOKUP($C79,BP!$DI$2:$DU$250,157,0)</f>
        <v>4240</v>
      </c>
      <c r="BU79" s="106">
        <f>+HLOOKUP($C79,BP!$DI$2:$DU$250,158,0)</f>
        <v>870</v>
      </c>
      <c r="BV79" s="106">
        <f>+HLOOKUP($C79,BP!$DI$2:$DU$250,159,0)</f>
        <v>0</v>
      </c>
      <c r="BW79" s="106">
        <f>+HLOOKUP($C79,BP!$DI$2:$DU$250,160,0)</f>
        <v>4400</v>
      </c>
      <c r="BX79" s="106">
        <f>+HLOOKUP($C79,BP!$DI$2:$DU$250,161,0)</f>
        <v>4884.9205119999997</v>
      </c>
      <c r="BY79" s="106">
        <f>+HLOOKUP($C79,BP!$DI$2:$DU$250,164,0)</f>
        <v>0</v>
      </c>
      <c r="BZ79" s="106">
        <f>+HLOOKUP($C79,BP!$DI$2:$DU$250,165,0)</f>
        <v>0</v>
      </c>
      <c r="CA79" s="106">
        <f>+HLOOKUP($C79,BP!$DI$2:$DU$250,166,0)</f>
        <v>0</v>
      </c>
      <c r="CB79" s="106">
        <f>+HLOOKUP($C79,BP!$DI$2:$DU$250,167,0)</f>
        <v>0</v>
      </c>
      <c r="CC79" s="106">
        <f>+HLOOKUP($C79,BP!$DI$2:$DU$250,168,0)</f>
        <v>0</v>
      </c>
      <c r="CD79" s="106">
        <f>+HLOOKUP($C79,BP!$DI$2:$DU$250,169,0)</f>
        <v>0</v>
      </c>
      <c r="CE79" s="106">
        <f>+HLOOKUP($C79,BP!$DI$2:$DU$250,170,0)</f>
        <v>0</v>
      </c>
      <c r="CF79" s="106">
        <f>+HLOOKUP($C79,BP!$DI$2:$DU$250,172,0)</f>
        <v>7200</v>
      </c>
      <c r="CG79" s="106">
        <f>+HLOOKUP($C79,BP!$DI$2:$DU$250,173,0)</f>
        <v>7200</v>
      </c>
      <c r="CH79" s="106">
        <f>+HLOOKUP($C79,BP!$DI$2:$DU$250,174,0)</f>
        <v>38400</v>
      </c>
      <c r="CI79" s="106">
        <f>+HLOOKUP($C79,BP!$DI$2:$DU$250,175,0)</f>
        <v>2972</v>
      </c>
      <c r="CJ79" s="106">
        <f>+HLOOKUP($C79,BP!$DI$2:$DU$250,176,0)</f>
        <v>2370</v>
      </c>
      <c r="CK79" s="106">
        <f>+HLOOKUP($C79,BP!$DI$2:$DU$250,178,0)</f>
        <v>24000</v>
      </c>
      <c r="CL79" s="106">
        <f>+HLOOKUP($C79,BP!$DI$2:$DU$250,179,0)</f>
        <v>0</v>
      </c>
      <c r="CM79" s="106">
        <f>+HLOOKUP($C79,BP!$DI$2:$DU$250,180,0)</f>
        <v>5880</v>
      </c>
      <c r="CN79" s="106">
        <f>+HLOOKUP($C79,BP!$DI$2:$DU$250,182,0)</f>
        <v>245.70000000000002</v>
      </c>
      <c r="CO79" s="106">
        <f>+HLOOKUP($C79,BP!$DI$2:$DU$250,183,0)</f>
        <v>4690.2</v>
      </c>
      <c r="CP79" s="106">
        <f>+HLOOKUP($C79,BP!$DI$2:$DU$250,184,0)</f>
        <v>2160</v>
      </c>
      <c r="CQ79" s="106">
        <f>+HLOOKUP($C79,BP!$DI$2:$DU$250,185,0)</f>
        <v>0</v>
      </c>
      <c r="CR79" s="106">
        <f>+HLOOKUP($C79,BP!$DI$2:$DU$250,187,0)</f>
        <v>1249.92</v>
      </c>
      <c r="CS79" s="106">
        <f>+HLOOKUP($C79,BP!$DI$2:$DU$250,188,0)</f>
        <v>1590</v>
      </c>
      <c r="CT79" s="106">
        <f>+HLOOKUP($C79,BP!$DI$2:$DU$250,189,0)</f>
        <v>1000.02</v>
      </c>
      <c r="CU79" s="106">
        <f>+HLOOKUP($C79,BP!$DI$2:$DU$250,190,0)</f>
        <v>1013.34</v>
      </c>
      <c r="CV79" s="106">
        <f>+HLOOKUP($C79,BP!$DI$2:$DU$250,191,0)</f>
        <v>0</v>
      </c>
      <c r="CW79" s="106">
        <f>+HLOOKUP($C79,BP!$DI$2:$DU$250,193,0)</f>
        <v>2470.8666666666668</v>
      </c>
      <c r="CX79" s="106">
        <f>+HLOOKUP($C79,BP!$DI$2:$DU$250,194,0)</f>
        <v>236.73333333333338</v>
      </c>
      <c r="CY79" s="106">
        <f>+HLOOKUP($C79,BP!$DI$2:$DU$250,195,0)</f>
        <v>550.02359999999999</v>
      </c>
      <c r="CZ79" s="106">
        <f>+HLOOKUP($C79,BP!$DI$2:$DU$250,196,0)</f>
        <v>0</v>
      </c>
      <c r="DA79" s="106">
        <f>+HLOOKUP($C79,BP!$DI$2:$DU$250,197,0)</f>
        <v>6566.4000000000005</v>
      </c>
      <c r="DB79" s="106">
        <f>+HLOOKUP($C79,BP!$DI$2:$DU$250,198,0)</f>
        <v>2022</v>
      </c>
      <c r="DC79" s="106">
        <f>+HLOOKUP($C79,BP!$DI$2:$DU$250,199,0)</f>
        <v>432</v>
      </c>
      <c r="DD79" s="106">
        <f>+HLOOKUP($C79,BP!$DI$2:$DU$250,200,0)</f>
        <v>140</v>
      </c>
      <c r="DE79" s="106">
        <f>+HLOOKUP($C79,BP!$DI$2:$DU$250,201,0)</f>
        <v>29.700000000000003</v>
      </c>
      <c r="DF79" s="106">
        <f>+HLOOKUP($C79,BP!$DI$2:$DU$250,202,0)</f>
        <v>0</v>
      </c>
      <c r="DG79" s="106">
        <f>+HLOOKUP($C79,BP!$DI$2:$DU$250,203,0)</f>
        <v>0</v>
      </c>
      <c r="DH79" s="106">
        <f>+HLOOKUP($C79,BP!$DI$2:$DU$250,205,0)</f>
        <v>0</v>
      </c>
      <c r="DI79" s="106">
        <f>+HLOOKUP($C79,BP!$DI$2:$DU$250,206,0)</f>
        <v>1874.915554909091</v>
      </c>
      <c r="DJ79" s="106">
        <f>+HLOOKUP($C79,BP!$DI$2:$DU$250,207,0)</f>
        <v>154.64099999999999</v>
      </c>
      <c r="DK79" s="106">
        <f>+HLOOKUP($C79,BP!$DI$2:$DU$250,209,0)</f>
        <v>0</v>
      </c>
      <c r="DL79" s="106">
        <f>+HLOOKUP($C79,BP!$DI$2:$DU$250,210,0)</f>
        <v>46796.990625000006</v>
      </c>
      <c r="DM79" s="106">
        <f>+HLOOKUP($C79,BP!$DI$2:$DU$250,211,0)</f>
        <v>0</v>
      </c>
      <c r="DN79" s="106">
        <f>+HLOOKUP($C79,BP!$DI$2:$DU$250,212,0)</f>
        <v>0</v>
      </c>
      <c r="DO79" s="106">
        <f>+HLOOKUP($C79,BP!$DI$2:$DU$250,214,0)</f>
        <v>0</v>
      </c>
      <c r="DP79" s="106">
        <f>+HLOOKUP($C79,BP!$DI$2:$DU$250,215,0)</f>
        <v>360</v>
      </c>
      <c r="DQ79" s="106">
        <f>+HLOOKUP($C79,BP!$DI$2:$DU$250,219,0)</f>
        <v>0</v>
      </c>
      <c r="DR79" s="106">
        <f>+HLOOKUP($C79,BP!$DI$2:$DU$250,220,0)</f>
        <v>0</v>
      </c>
      <c r="DS79" s="106">
        <f>+HLOOKUP($C79,BP!$DI$2:$DU$250,221,0)</f>
        <v>0</v>
      </c>
      <c r="DT79" s="106">
        <f>+HLOOKUP($C79,BP!$DI$2:$DU$250,223,0)</f>
        <v>7500</v>
      </c>
      <c r="DU79" s="106">
        <f>+HLOOKUP($C79,BP!$DI$2:$DU$250,224,0)</f>
        <v>0</v>
      </c>
      <c r="DV79" s="106">
        <f>+HLOOKUP($C79,BP!$DI$2:$DU$250,225,0)</f>
        <v>0</v>
      </c>
      <c r="DW79" s="106">
        <f>+HLOOKUP($C79,BP!$DI$2:$DU$250,227,0)</f>
        <v>0</v>
      </c>
      <c r="DX79" s="106">
        <f>+HLOOKUP($C79,BP!$DI$2:$DU$250,228,0)</f>
        <v>0</v>
      </c>
      <c r="DY79" s="106">
        <f>+HLOOKUP($C79,BP!$DI$2:$DU$250,236,0)</f>
        <v>0</v>
      </c>
      <c r="DZ79" s="106">
        <f>+HLOOKUP($C79,BP!$DI$2:$DU$250,237,0)</f>
        <v>64503.585188901168</v>
      </c>
      <c r="EA79" s="106">
        <f>+HLOOKUP($C79,BP!$DI$2:$DU$250,238,0)</f>
        <v>0</v>
      </c>
      <c r="EB79" s="106">
        <f>+HLOOKUP($C79,BP!$DI$2:$DU$250,240,0)</f>
        <v>155829.26235714319</v>
      </c>
    </row>
    <row r="80" spans="1:132">
      <c r="A80" t="s">
        <v>271</v>
      </c>
      <c r="B80" t="s">
        <v>218</v>
      </c>
      <c r="C80" s="117">
        <v>45809</v>
      </c>
      <c r="D80" s="106">
        <f t="shared" si="1"/>
        <v>3433408.0000000005</v>
      </c>
      <c r="E80" s="106">
        <f>+HLOOKUP(C80,BP!$DI$2:$DU$250,28,0)+HLOOKUP(C80,BP!$DI$2:$DU$250,43,0)+HLOOKUP(C80,BP!$DI$2:$DU$250,44,0)+HLOOKUP(C80,BP!$DI$2:$DU$250,45,0)+HLOOKUP(C80,BP!$DI$2:$DU$250,54,0)+HLOOKUP(C80,BP!$DI$2:$DU$250,59,0)</f>
        <v>3433408.0000000005</v>
      </c>
      <c r="F80" s="106">
        <f>+HLOOKUP(C80,BP!$DI$2:$DU$250,37,0)+HLOOKUP(C80,BP!$DI$2:$DU$250,55,0)</f>
        <v>2254218.2036006944</v>
      </c>
      <c r="G80" s="106">
        <f>+HLOOKUP($C80,BP!$DI$2:$DU$250,76,0)</f>
        <v>0</v>
      </c>
      <c r="H80" s="106">
        <f>+HLOOKUP($C80,BP!$DI$2:$DU$250,77,0)</f>
        <v>0</v>
      </c>
      <c r="I80" s="106">
        <f>+HLOOKUP($C80,BP!$DI$2:$DU$250,78,0)</f>
        <v>0</v>
      </c>
      <c r="J80" s="106">
        <f>+HLOOKUP($C80,BP!$DI$2:$DU$250,79,0)</f>
        <v>0</v>
      </c>
      <c r="K80" s="106">
        <f>+HLOOKUP($C80,BP!$DI$2:$DU$250,80,0)</f>
        <v>0</v>
      </c>
      <c r="L80" s="106">
        <f>+HLOOKUP($C80,BP!$DI$2:$DU$250,81,0)</f>
        <v>0</v>
      </c>
      <c r="M80" s="106">
        <f>+HLOOKUP($C80,BP!$DI$2:$DU$250,82,0)</f>
        <v>0</v>
      </c>
      <c r="N80" s="106">
        <f>+HLOOKUP($C80,BP!$DI$2:$DU$250,83,0)</f>
        <v>0</v>
      </c>
      <c r="O80" s="106">
        <f>+HLOOKUP($C80,BP!$DI$2:$DU$250,84,0)</f>
        <v>0</v>
      </c>
      <c r="P80" s="106">
        <f>+HLOOKUP($C80,BP!$DI$2:$DU$250,85,0)</f>
        <v>0</v>
      </c>
      <c r="Q80" s="106">
        <f>+HLOOKUP($C80,BP!$DI$2:$DU$250,87,0)</f>
        <v>73948.160000000018</v>
      </c>
      <c r="R80" s="106">
        <f>+HLOOKUP($C80,BP!$DI$2:$DU$250,90,0)</f>
        <v>0</v>
      </c>
      <c r="S80" s="106">
        <f>+HLOOKUP($C80,BP!$DI$2:$DU$250,91,0)</f>
        <v>0</v>
      </c>
      <c r="T80" s="106">
        <f>+HLOOKUP($C80,BP!$DI$2:$DU$250,92,0)</f>
        <v>0</v>
      </c>
      <c r="U80" s="106">
        <f>+HLOOKUP($C80,BP!$DI$2:$DU$250,93,0)</f>
        <v>0</v>
      </c>
      <c r="V80" s="106">
        <f>+HLOOKUP($C80,BP!$DI$2:$DU$250,94,0)</f>
        <v>0</v>
      </c>
      <c r="W80" s="106">
        <f>+HLOOKUP($C80,BP!$DI$2:$DU$250,95,0)</f>
        <v>0</v>
      </c>
      <c r="X80" s="106">
        <f>+HLOOKUP($C80,BP!$DI$2:$DU$250,96,0)</f>
        <v>0</v>
      </c>
      <c r="Y80" s="106">
        <f>+HLOOKUP($C80,BP!$DI$2:$DU$250,97,0)</f>
        <v>0</v>
      </c>
      <c r="Z80" s="106">
        <f>+HLOOKUP($C80,BP!$DI$2:$DU$250,98,0)</f>
        <v>0</v>
      </c>
      <c r="AA80" s="106">
        <f>+HLOOKUP($C80,BP!$DI$2:$DU$250,99,0)</f>
        <v>0</v>
      </c>
      <c r="AB80" s="106">
        <f>+HLOOKUP($C80,BP!$DI$2:$DU$250,100,0)</f>
        <v>0</v>
      </c>
      <c r="AC80" s="106">
        <f>+HLOOKUP($C80,BP!$DI$2:$DU$250,101,0)</f>
        <v>0</v>
      </c>
      <c r="AD80" s="106">
        <f>+HLOOKUP($C80,BP!$DI$2:$DU$250,104,0)</f>
        <v>4040.8896000000004</v>
      </c>
      <c r="AE80" s="106">
        <f>+HLOOKUP($C80,BP!$DI$2:$DU$250,105,0)</f>
        <v>13469.632000000001</v>
      </c>
      <c r="AF80" s="106">
        <f>+HLOOKUP($C80,BP!$DI$2:$DU$250,106,0)</f>
        <v>0</v>
      </c>
      <c r="AG80" s="106">
        <f>+HLOOKUP($C80,BP!$DI$2:$DU$250,107,0)</f>
        <v>0</v>
      </c>
      <c r="AH80" s="106">
        <f>+HLOOKUP($C80,BP!$DI$2:$DU$250,108,0)</f>
        <v>0</v>
      </c>
      <c r="AI80" s="106">
        <f>+HLOOKUP($C80,BP!$DI$2:$DU$250,109,0)</f>
        <v>0</v>
      </c>
      <c r="AJ80" s="106">
        <f>+HLOOKUP($C80,BP!$DI$2:$DU$250,110,0)</f>
        <v>106119.00000000001</v>
      </c>
      <c r="AK80" s="106">
        <f>+HLOOKUP($C80,BP!$DI$2:$DU$250,111,0)</f>
        <v>808.17792000000009</v>
      </c>
      <c r="AL80" s="106">
        <f>+HLOOKUP($C80,BP!$DI$2:$DU$250,112,0)</f>
        <v>0</v>
      </c>
      <c r="AM80" s="106">
        <f>+HLOOKUP($C80,BP!$DI$2:$DU$250,116,0)</f>
        <v>17400</v>
      </c>
      <c r="AN80" s="106">
        <f>+HLOOKUP($C80,BP!$DI$2:$DU$250,117,0)</f>
        <v>2620</v>
      </c>
      <c r="AO80" s="106">
        <f>+HLOOKUP($C80,BP!$DI$2:$DU$250,118,0)</f>
        <v>0</v>
      </c>
      <c r="AP80" s="106">
        <f>+HLOOKUP($C80,BP!$DI$2:$DU$250,119,0)</f>
        <v>5680</v>
      </c>
      <c r="AQ80" s="106">
        <f>+HLOOKUP($C80,BP!$DI$2:$DU$250,120,0)</f>
        <v>2400</v>
      </c>
      <c r="AR80" s="106">
        <f>+HLOOKUP($C80,BP!$DI$2:$DU$250,121,0)</f>
        <v>1500</v>
      </c>
      <c r="AS80" s="106">
        <f>+HLOOKUP($C80,BP!$DI$2:$DU$250,122,0)</f>
        <v>7400</v>
      </c>
      <c r="AT80" s="106">
        <f>+HLOOKUP($C80,BP!$DI$2:$DU$250,123,0)</f>
        <v>2286.8210263888886</v>
      </c>
      <c r="AU80" s="106">
        <f>+HLOOKUP($C80,BP!$DI$2:$DU$250,124,0)</f>
        <v>0</v>
      </c>
      <c r="AV80" s="106">
        <f>+HLOOKUP($C80,BP!$DI$2:$DU$250,125,0)</f>
        <v>15690</v>
      </c>
      <c r="AW80" s="106">
        <f>+HLOOKUP($C80,BP!$DI$2:$DU$250,126,0)</f>
        <v>836.53846153846155</v>
      </c>
      <c r="AX80" s="106">
        <f>+HLOOKUP($C80,BP!$DI$2:$DU$250,127,0)</f>
        <v>1283.3333333333333</v>
      </c>
      <c r="AY80" s="106">
        <f>+HLOOKUP($C80,BP!$DI$2:$DU$250,129,0)</f>
        <v>0</v>
      </c>
      <c r="AZ80" s="106">
        <f>+HLOOKUP($C80,BP!$DI$2:$DU$250,130,0)</f>
        <v>0</v>
      </c>
      <c r="BA80" s="106">
        <f>+HLOOKUP($C80,BP!$DI$2:$DU$250,131,0)</f>
        <v>10000</v>
      </c>
      <c r="BB80" s="106">
        <f>+HLOOKUP($C80,BP!$DI$2:$DU$250,133,0)</f>
        <v>0</v>
      </c>
      <c r="BC80" s="106">
        <f>+HLOOKUP($C80,BP!$DI$2:$DU$250,134,0)</f>
        <v>3155.5342874999997</v>
      </c>
      <c r="BD80" s="106">
        <f>+HLOOKUP($C80,BP!$DI$2:$DU$250,135,0)</f>
        <v>0</v>
      </c>
      <c r="BE80" s="106">
        <f>+HLOOKUP($C80,BP!$DI$2:$DU$250,136,0)</f>
        <v>0</v>
      </c>
      <c r="BF80" s="106">
        <f>+HLOOKUP($C80,BP!$DI$2:$DU$250,138,0)</f>
        <v>600</v>
      </c>
      <c r="BG80" s="106">
        <f>+HLOOKUP($C80,BP!$DI$2:$DU$250,139,0)</f>
        <v>3953.1971666666673</v>
      </c>
      <c r="BH80" s="106">
        <f>+HLOOKUP($C80,BP!$DI$2:$DU$250,140,0)</f>
        <v>18000</v>
      </c>
      <c r="BI80" s="106">
        <f>+HLOOKUP($C80,BP!$DI$2:$DU$250,141,0)</f>
        <v>0</v>
      </c>
      <c r="BJ80" s="106">
        <f>+HLOOKUP($C80,BP!$DI$2:$DU$250,142,0)</f>
        <v>0</v>
      </c>
      <c r="BK80" s="106">
        <f>+HLOOKUP($C80,BP!$DI$2:$DU$250,143,0)</f>
        <v>2465</v>
      </c>
      <c r="BL80" s="106">
        <f>+HLOOKUP($C80,BP!$DI$2:$DU$250,144,0)</f>
        <v>1611.1111111111113</v>
      </c>
      <c r="BM80" s="106">
        <f>+HLOOKUP($C80,BP!$DI$2:$DU$250,146,0)</f>
        <v>0</v>
      </c>
      <c r="BN80" s="106">
        <f>+HLOOKUP($C80,BP!$DI$2:$DU$250,147,0)</f>
        <v>0</v>
      </c>
      <c r="BO80" s="106">
        <f>+HLOOKUP($C80,BP!$DI$2:$DU$250,148,0)</f>
        <v>0</v>
      </c>
      <c r="BP80" s="106">
        <f>+HLOOKUP($C80,BP!$DI$2:$DU$250,150,0)</f>
        <v>12887.84</v>
      </c>
      <c r="BQ80" s="106">
        <f>+HLOOKUP($C80,BP!$DI$2:$DU$250,151,0)</f>
        <v>992.2</v>
      </c>
      <c r="BR80" s="106">
        <f>+HLOOKUP($C80,BP!$DI$2:$DU$250,152,0)</f>
        <v>6400</v>
      </c>
      <c r="BS80" s="106">
        <f>+HLOOKUP($C80,BP!$DI$2:$DU$250,153,0)</f>
        <v>1200</v>
      </c>
      <c r="BT80" s="106">
        <f>+HLOOKUP($C80,BP!$DI$2:$DU$250,157,0)</f>
        <v>4240</v>
      </c>
      <c r="BU80" s="106">
        <f>+HLOOKUP($C80,BP!$DI$2:$DU$250,158,0)</f>
        <v>870</v>
      </c>
      <c r="BV80" s="106">
        <f>+HLOOKUP($C80,BP!$DI$2:$DU$250,159,0)</f>
        <v>0</v>
      </c>
      <c r="BW80" s="106">
        <f>+HLOOKUP($C80,BP!$DI$2:$DU$250,160,0)</f>
        <v>4400</v>
      </c>
      <c r="BX80" s="106">
        <f>+HLOOKUP($C80,BP!$DI$2:$DU$250,161,0)</f>
        <v>4884.9205119999997</v>
      </c>
      <c r="BY80" s="106">
        <f>+HLOOKUP($C80,BP!$DI$2:$DU$250,164,0)</f>
        <v>0</v>
      </c>
      <c r="BZ80" s="106">
        <f>+HLOOKUP($C80,BP!$DI$2:$DU$250,165,0)</f>
        <v>0</v>
      </c>
      <c r="CA80" s="106">
        <f>+HLOOKUP($C80,BP!$DI$2:$DU$250,166,0)</f>
        <v>0</v>
      </c>
      <c r="CB80" s="106">
        <f>+HLOOKUP($C80,BP!$DI$2:$DU$250,167,0)</f>
        <v>0</v>
      </c>
      <c r="CC80" s="106">
        <f>+HLOOKUP($C80,BP!$DI$2:$DU$250,168,0)</f>
        <v>0</v>
      </c>
      <c r="CD80" s="106">
        <f>+HLOOKUP($C80,BP!$DI$2:$DU$250,169,0)</f>
        <v>0</v>
      </c>
      <c r="CE80" s="106">
        <f>+HLOOKUP($C80,BP!$DI$2:$DU$250,170,0)</f>
        <v>0</v>
      </c>
      <c r="CF80" s="106">
        <f>+HLOOKUP($C80,BP!$DI$2:$DU$250,172,0)</f>
        <v>7200</v>
      </c>
      <c r="CG80" s="106">
        <f>+HLOOKUP($C80,BP!$DI$2:$DU$250,173,0)</f>
        <v>7200</v>
      </c>
      <c r="CH80" s="106">
        <f>+HLOOKUP($C80,BP!$DI$2:$DU$250,174,0)</f>
        <v>38400</v>
      </c>
      <c r="CI80" s="106">
        <f>+HLOOKUP($C80,BP!$DI$2:$DU$250,175,0)</f>
        <v>2972</v>
      </c>
      <c r="CJ80" s="106">
        <f>+HLOOKUP($C80,BP!$DI$2:$DU$250,176,0)</f>
        <v>2370</v>
      </c>
      <c r="CK80" s="106">
        <f>+HLOOKUP($C80,BP!$DI$2:$DU$250,178,0)</f>
        <v>24000</v>
      </c>
      <c r="CL80" s="106">
        <f>+HLOOKUP($C80,BP!$DI$2:$DU$250,179,0)</f>
        <v>0</v>
      </c>
      <c r="CM80" s="106">
        <f>+HLOOKUP($C80,BP!$DI$2:$DU$250,180,0)</f>
        <v>5880</v>
      </c>
      <c r="CN80" s="106">
        <f>+HLOOKUP($C80,BP!$DI$2:$DU$250,182,0)</f>
        <v>245.70000000000002</v>
      </c>
      <c r="CO80" s="106">
        <f>+HLOOKUP($C80,BP!$DI$2:$DU$250,183,0)</f>
        <v>4690.2</v>
      </c>
      <c r="CP80" s="106">
        <f>+HLOOKUP($C80,BP!$DI$2:$DU$250,184,0)</f>
        <v>2160</v>
      </c>
      <c r="CQ80" s="106">
        <f>+HLOOKUP($C80,BP!$DI$2:$DU$250,185,0)</f>
        <v>0</v>
      </c>
      <c r="CR80" s="106">
        <f>+HLOOKUP($C80,BP!$DI$2:$DU$250,187,0)</f>
        <v>1249.92</v>
      </c>
      <c r="CS80" s="106">
        <f>+HLOOKUP($C80,BP!$DI$2:$DU$250,188,0)</f>
        <v>1590</v>
      </c>
      <c r="CT80" s="106">
        <f>+HLOOKUP($C80,BP!$DI$2:$DU$250,189,0)</f>
        <v>1000.02</v>
      </c>
      <c r="CU80" s="106">
        <f>+HLOOKUP($C80,BP!$DI$2:$DU$250,190,0)</f>
        <v>1013.34</v>
      </c>
      <c r="CV80" s="106">
        <f>+HLOOKUP($C80,BP!$DI$2:$DU$250,191,0)</f>
        <v>0</v>
      </c>
      <c r="CW80" s="106">
        <f>+HLOOKUP($C80,BP!$DI$2:$DU$250,193,0)</f>
        <v>2470.8666666666668</v>
      </c>
      <c r="CX80" s="106">
        <f>+HLOOKUP($C80,BP!$DI$2:$DU$250,194,0)</f>
        <v>236.73333333333338</v>
      </c>
      <c r="CY80" s="106">
        <f>+HLOOKUP($C80,BP!$DI$2:$DU$250,195,0)</f>
        <v>550.02359999999999</v>
      </c>
      <c r="CZ80" s="106">
        <f>+HLOOKUP($C80,BP!$DI$2:$DU$250,196,0)</f>
        <v>0</v>
      </c>
      <c r="DA80" s="106">
        <f>+HLOOKUP($C80,BP!$DI$2:$DU$250,197,0)</f>
        <v>6566.4000000000005</v>
      </c>
      <c r="DB80" s="106">
        <f>+HLOOKUP($C80,BP!$DI$2:$DU$250,198,0)</f>
        <v>2022</v>
      </c>
      <c r="DC80" s="106">
        <f>+HLOOKUP($C80,BP!$DI$2:$DU$250,199,0)</f>
        <v>432</v>
      </c>
      <c r="DD80" s="106">
        <f>+HLOOKUP($C80,BP!$DI$2:$DU$250,200,0)</f>
        <v>140</v>
      </c>
      <c r="DE80" s="106">
        <f>+HLOOKUP($C80,BP!$DI$2:$DU$250,201,0)</f>
        <v>29.700000000000003</v>
      </c>
      <c r="DF80" s="106">
        <f>+HLOOKUP($C80,BP!$DI$2:$DU$250,202,0)</f>
        <v>0</v>
      </c>
      <c r="DG80" s="106">
        <f>+HLOOKUP($C80,BP!$DI$2:$DU$250,203,0)</f>
        <v>0</v>
      </c>
      <c r="DH80" s="106">
        <f>+HLOOKUP($C80,BP!$DI$2:$DU$250,205,0)</f>
        <v>0</v>
      </c>
      <c r="DI80" s="106">
        <f>+HLOOKUP($C80,BP!$DI$2:$DU$250,206,0)</f>
        <v>1874.915554909091</v>
      </c>
      <c r="DJ80" s="106">
        <f>+HLOOKUP($C80,BP!$DI$2:$DU$250,207,0)</f>
        <v>154.64099999999999</v>
      </c>
      <c r="DK80" s="106">
        <f>+HLOOKUP($C80,BP!$DI$2:$DU$250,209,0)</f>
        <v>0</v>
      </c>
      <c r="DL80" s="106">
        <f>+HLOOKUP($C80,BP!$DI$2:$DU$250,210,0)</f>
        <v>46796.990625000006</v>
      </c>
      <c r="DM80" s="106">
        <f>+HLOOKUP($C80,BP!$DI$2:$DU$250,211,0)</f>
        <v>0</v>
      </c>
      <c r="DN80" s="106">
        <f>+HLOOKUP($C80,BP!$DI$2:$DU$250,212,0)</f>
        <v>0</v>
      </c>
      <c r="DO80" s="106">
        <f>+HLOOKUP($C80,BP!$DI$2:$DU$250,214,0)</f>
        <v>0</v>
      </c>
      <c r="DP80" s="106">
        <f>+HLOOKUP($C80,BP!$DI$2:$DU$250,215,0)</f>
        <v>360</v>
      </c>
      <c r="DQ80" s="106">
        <f>+HLOOKUP($C80,BP!$DI$2:$DU$250,219,0)</f>
        <v>0</v>
      </c>
      <c r="DR80" s="106">
        <f>+HLOOKUP($C80,BP!$DI$2:$DU$250,220,0)</f>
        <v>0</v>
      </c>
      <c r="DS80" s="106">
        <f>+HLOOKUP($C80,BP!$DI$2:$DU$250,221,0)</f>
        <v>0</v>
      </c>
      <c r="DT80" s="106">
        <f>+HLOOKUP($C80,BP!$DI$2:$DU$250,223,0)</f>
        <v>7500</v>
      </c>
      <c r="DU80" s="106">
        <f>+HLOOKUP($C80,BP!$DI$2:$DU$250,224,0)</f>
        <v>0</v>
      </c>
      <c r="DV80" s="106">
        <f>+HLOOKUP($C80,BP!$DI$2:$DU$250,225,0)</f>
        <v>0</v>
      </c>
      <c r="DW80" s="106">
        <f>+HLOOKUP($C80,BP!$DI$2:$DU$250,227,0)</f>
        <v>0</v>
      </c>
      <c r="DX80" s="106">
        <f>+HLOOKUP($C80,BP!$DI$2:$DU$250,228,0)</f>
        <v>0</v>
      </c>
      <c r="DY80" s="106">
        <f>+HLOOKUP($C80,BP!$DI$2:$DU$250,236,0)</f>
        <v>0</v>
      </c>
      <c r="DZ80" s="106">
        <f>+HLOOKUP($C80,BP!$DI$2:$DU$250,237,0)</f>
        <v>63255.128681490212</v>
      </c>
      <c r="EA80" s="106">
        <f>+HLOOKUP($C80,BP!$DI$2:$DU$250,238,0)</f>
        <v>0</v>
      </c>
      <c r="EB80" s="106">
        <f>+HLOOKUP($C80,BP!$DI$2:$DU$250,240,0)</f>
        <v>155829.26235714319</v>
      </c>
    </row>
    <row r="81" spans="1:132">
      <c r="A81" t="s">
        <v>271</v>
      </c>
      <c r="B81" t="s">
        <v>218</v>
      </c>
      <c r="C81" s="117">
        <v>45778</v>
      </c>
      <c r="D81" s="106">
        <f t="shared" si="1"/>
        <v>3004232</v>
      </c>
      <c r="E81" s="106">
        <f>+HLOOKUP(C81,BP!$DI$2:$DU$250,28,0)+HLOOKUP(C81,BP!$DI$2:$DU$250,43,0)+HLOOKUP(C81,BP!$DI$2:$DU$250,44,0)+HLOOKUP(C81,BP!$DI$2:$DU$250,45,0)+HLOOKUP(C81,BP!$DI$2:$DU$250,54,0)+HLOOKUP(C81,BP!$DI$2:$DU$250,59,0)</f>
        <v>3004232</v>
      </c>
      <c r="F81" s="106">
        <f>+HLOOKUP(C81,BP!$DI$2:$DU$250,37,0)+HLOOKUP(C81,BP!$DI$2:$DU$250,55,0)</f>
        <v>1984825.5636006948</v>
      </c>
      <c r="G81" s="106">
        <f>+HLOOKUP($C81,BP!$DI$2:$DU$250,76,0)</f>
        <v>0</v>
      </c>
      <c r="H81" s="106">
        <f>+HLOOKUP($C81,BP!$DI$2:$DU$250,77,0)</f>
        <v>0</v>
      </c>
      <c r="I81" s="106">
        <f>+HLOOKUP($C81,BP!$DI$2:$DU$250,78,0)</f>
        <v>0</v>
      </c>
      <c r="J81" s="106">
        <f>+HLOOKUP($C81,BP!$DI$2:$DU$250,79,0)</f>
        <v>0</v>
      </c>
      <c r="K81" s="106">
        <f>+HLOOKUP($C81,BP!$DI$2:$DU$250,80,0)</f>
        <v>0</v>
      </c>
      <c r="L81" s="106">
        <f>+HLOOKUP($C81,BP!$DI$2:$DU$250,81,0)</f>
        <v>0</v>
      </c>
      <c r="M81" s="106">
        <f>+HLOOKUP($C81,BP!$DI$2:$DU$250,82,0)</f>
        <v>0</v>
      </c>
      <c r="N81" s="106">
        <f>+HLOOKUP($C81,BP!$DI$2:$DU$250,83,0)</f>
        <v>0</v>
      </c>
      <c r="O81" s="106">
        <f>+HLOOKUP($C81,BP!$DI$2:$DU$250,84,0)</f>
        <v>0</v>
      </c>
      <c r="P81" s="106">
        <f>+HLOOKUP($C81,BP!$DI$2:$DU$250,85,0)</f>
        <v>0</v>
      </c>
      <c r="Q81" s="106">
        <f>+HLOOKUP($C81,BP!$DI$2:$DU$250,87,0)</f>
        <v>64704.640000000007</v>
      </c>
      <c r="R81" s="106">
        <f>+HLOOKUP($C81,BP!$DI$2:$DU$250,90,0)</f>
        <v>0</v>
      </c>
      <c r="S81" s="106">
        <f>+HLOOKUP($C81,BP!$DI$2:$DU$250,91,0)</f>
        <v>0</v>
      </c>
      <c r="T81" s="106">
        <f>+HLOOKUP($C81,BP!$DI$2:$DU$250,92,0)</f>
        <v>0</v>
      </c>
      <c r="U81" s="106">
        <f>+HLOOKUP($C81,BP!$DI$2:$DU$250,93,0)</f>
        <v>0</v>
      </c>
      <c r="V81" s="106">
        <f>+HLOOKUP($C81,BP!$DI$2:$DU$250,94,0)</f>
        <v>0</v>
      </c>
      <c r="W81" s="106">
        <f>+HLOOKUP($C81,BP!$DI$2:$DU$250,95,0)</f>
        <v>0</v>
      </c>
      <c r="X81" s="106">
        <f>+HLOOKUP($C81,BP!$DI$2:$DU$250,96,0)</f>
        <v>0</v>
      </c>
      <c r="Y81" s="106">
        <f>+HLOOKUP($C81,BP!$DI$2:$DU$250,97,0)</f>
        <v>0</v>
      </c>
      <c r="Z81" s="106">
        <f>+HLOOKUP($C81,BP!$DI$2:$DU$250,98,0)</f>
        <v>0</v>
      </c>
      <c r="AA81" s="106">
        <f>+HLOOKUP($C81,BP!$DI$2:$DU$250,99,0)</f>
        <v>0</v>
      </c>
      <c r="AB81" s="106">
        <f>+HLOOKUP($C81,BP!$DI$2:$DU$250,100,0)</f>
        <v>0</v>
      </c>
      <c r="AC81" s="106">
        <f>+HLOOKUP($C81,BP!$DI$2:$DU$250,101,0)</f>
        <v>0</v>
      </c>
      <c r="AD81" s="106">
        <f>+HLOOKUP($C81,BP!$DI$2:$DU$250,104,0)</f>
        <v>3535.7784000000006</v>
      </c>
      <c r="AE81" s="106">
        <f>+HLOOKUP($C81,BP!$DI$2:$DU$250,105,0)</f>
        <v>11785.928</v>
      </c>
      <c r="AF81" s="106">
        <f>+HLOOKUP($C81,BP!$DI$2:$DU$250,106,0)</f>
        <v>0</v>
      </c>
      <c r="AG81" s="106">
        <f>+HLOOKUP($C81,BP!$DI$2:$DU$250,107,0)</f>
        <v>0</v>
      </c>
      <c r="AH81" s="106">
        <f>+HLOOKUP($C81,BP!$DI$2:$DU$250,108,0)</f>
        <v>0</v>
      </c>
      <c r="AI81" s="106">
        <f>+HLOOKUP($C81,BP!$DI$2:$DU$250,109,0)</f>
        <v>0</v>
      </c>
      <c r="AJ81" s="106">
        <f>+HLOOKUP($C81,BP!$DI$2:$DU$250,110,0)</f>
        <v>155270</v>
      </c>
      <c r="AK81" s="106">
        <f>+HLOOKUP($C81,BP!$DI$2:$DU$250,111,0)</f>
        <v>707.15568000000019</v>
      </c>
      <c r="AL81" s="106">
        <f>+HLOOKUP($C81,BP!$DI$2:$DU$250,112,0)</f>
        <v>0</v>
      </c>
      <c r="AM81" s="106">
        <f>+HLOOKUP($C81,BP!$DI$2:$DU$250,116,0)</f>
        <v>17400</v>
      </c>
      <c r="AN81" s="106">
        <f>+HLOOKUP($C81,BP!$DI$2:$DU$250,117,0)</f>
        <v>2620</v>
      </c>
      <c r="AO81" s="106">
        <f>+HLOOKUP($C81,BP!$DI$2:$DU$250,118,0)</f>
        <v>0</v>
      </c>
      <c r="AP81" s="106">
        <f>+HLOOKUP($C81,BP!$DI$2:$DU$250,119,0)</f>
        <v>5680</v>
      </c>
      <c r="AQ81" s="106">
        <f>+HLOOKUP($C81,BP!$DI$2:$DU$250,120,0)</f>
        <v>2400</v>
      </c>
      <c r="AR81" s="106">
        <f>+HLOOKUP($C81,BP!$DI$2:$DU$250,121,0)</f>
        <v>1500</v>
      </c>
      <c r="AS81" s="106">
        <f>+HLOOKUP($C81,BP!$DI$2:$DU$250,122,0)</f>
        <v>7400</v>
      </c>
      <c r="AT81" s="106">
        <f>+HLOOKUP($C81,BP!$DI$2:$DU$250,123,0)</f>
        <v>2286.8210263888886</v>
      </c>
      <c r="AU81" s="106">
        <f>+HLOOKUP($C81,BP!$DI$2:$DU$250,124,0)</f>
        <v>0</v>
      </c>
      <c r="AV81" s="106">
        <f>+HLOOKUP($C81,BP!$DI$2:$DU$250,125,0)</f>
        <v>15690</v>
      </c>
      <c r="AW81" s="106">
        <f>+HLOOKUP($C81,BP!$DI$2:$DU$250,126,0)</f>
        <v>836.53846153846155</v>
      </c>
      <c r="AX81" s="106">
        <f>+HLOOKUP($C81,BP!$DI$2:$DU$250,127,0)</f>
        <v>1283.3333333333333</v>
      </c>
      <c r="AY81" s="106">
        <f>+HLOOKUP($C81,BP!$DI$2:$DU$250,129,0)</f>
        <v>0</v>
      </c>
      <c r="AZ81" s="106">
        <f>+HLOOKUP($C81,BP!$DI$2:$DU$250,130,0)</f>
        <v>0</v>
      </c>
      <c r="BA81" s="106">
        <f>+HLOOKUP($C81,BP!$DI$2:$DU$250,131,0)</f>
        <v>10000</v>
      </c>
      <c r="BB81" s="106">
        <f>+HLOOKUP($C81,BP!$DI$2:$DU$250,133,0)</f>
        <v>0</v>
      </c>
      <c r="BC81" s="106">
        <f>+HLOOKUP($C81,BP!$DI$2:$DU$250,134,0)</f>
        <v>3155.5342874999997</v>
      </c>
      <c r="BD81" s="106">
        <f>+HLOOKUP($C81,BP!$DI$2:$DU$250,135,0)</f>
        <v>0</v>
      </c>
      <c r="BE81" s="106">
        <f>+HLOOKUP($C81,BP!$DI$2:$DU$250,136,0)</f>
        <v>0</v>
      </c>
      <c r="BF81" s="106">
        <f>+HLOOKUP($C81,BP!$DI$2:$DU$250,138,0)</f>
        <v>600</v>
      </c>
      <c r="BG81" s="106">
        <f>+HLOOKUP($C81,BP!$DI$2:$DU$250,139,0)</f>
        <v>3953.1971666666673</v>
      </c>
      <c r="BH81" s="106">
        <f>+HLOOKUP($C81,BP!$DI$2:$DU$250,140,0)</f>
        <v>18000</v>
      </c>
      <c r="BI81" s="106">
        <f>+HLOOKUP($C81,BP!$DI$2:$DU$250,141,0)</f>
        <v>0</v>
      </c>
      <c r="BJ81" s="106">
        <f>+HLOOKUP($C81,BP!$DI$2:$DU$250,142,0)</f>
        <v>0</v>
      </c>
      <c r="BK81" s="106">
        <f>+HLOOKUP($C81,BP!$DI$2:$DU$250,143,0)</f>
        <v>2465</v>
      </c>
      <c r="BL81" s="106">
        <f>+HLOOKUP($C81,BP!$DI$2:$DU$250,144,0)</f>
        <v>1444.4444444444446</v>
      </c>
      <c r="BM81" s="106">
        <f>+HLOOKUP($C81,BP!$DI$2:$DU$250,146,0)</f>
        <v>0</v>
      </c>
      <c r="BN81" s="106">
        <f>+HLOOKUP($C81,BP!$DI$2:$DU$250,147,0)</f>
        <v>0</v>
      </c>
      <c r="BO81" s="106">
        <f>+HLOOKUP($C81,BP!$DI$2:$DU$250,148,0)</f>
        <v>0</v>
      </c>
      <c r="BP81" s="106">
        <f>+HLOOKUP($C81,BP!$DI$2:$DU$250,150,0)</f>
        <v>12887.84</v>
      </c>
      <c r="BQ81" s="106">
        <f>+HLOOKUP($C81,BP!$DI$2:$DU$250,151,0)</f>
        <v>992.2</v>
      </c>
      <c r="BR81" s="106">
        <f>+HLOOKUP($C81,BP!$DI$2:$DU$250,152,0)</f>
        <v>6400</v>
      </c>
      <c r="BS81" s="106">
        <f>+HLOOKUP($C81,BP!$DI$2:$DU$250,153,0)</f>
        <v>1200</v>
      </c>
      <c r="BT81" s="106">
        <f>+HLOOKUP($C81,BP!$DI$2:$DU$250,157,0)</f>
        <v>4240</v>
      </c>
      <c r="BU81" s="106">
        <f>+HLOOKUP($C81,BP!$DI$2:$DU$250,158,0)</f>
        <v>870</v>
      </c>
      <c r="BV81" s="106">
        <f>+HLOOKUP($C81,BP!$DI$2:$DU$250,159,0)</f>
        <v>0</v>
      </c>
      <c r="BW81" s="106">
        <f>+HLOOKUP($C81,BP!$DI$2:$DU$250,160,0)</f>
        <v>4400</v>
      </c>
      <c r="BX81" s="106">
        <f>+HLOOKUP($C81,BP!$DI$2:$DU$250,161,0)</f>
        <v>4884.9205119999997</v>
      </c>
      <c r="BY81" s="106">
        <f>+HLOOKUP($C81,BP!$DI$2:$DU$250,164,0)</f>
        <v>0</v>
      </c>
      <c r="BZ81" s="106">
        <f>+HLOOKUP($C81,BP!$DI$2:$DU$250,165,0)</f>
        <v>0</v>
      </c>
      <c r="CA81" s="106">
        <f>+HLOOKUP($C81,BP!$DI$2:$DU$250,166,0)</f>
        <v>0</v>
      </c>
      <c r="CB81" s="106">
        <f>+HLOOKUP($C81,BP!$DI$2:$DU$250,167,0)</f>
        <v>0</v>
      </c>
      <c r="CC81" s="106">
        <f>+HLOOKUP($C81,BP!$DI$2:$DU$250,168,0)</f>
        <v>0</v>
      </c>
      <c r="CD81" s="106">
        <f>+HLOOKUP($C81,BP!$DI$2:$DU$250,169,0)</f>
        <v>0</v>
      </c>
      <c r="CE81" s="106">
        <f>+HLOOKUP($C81,BP!$DI$2:$DU$250,170,0)</f>
        <v>0</v>
      </c>
      <c r="CF81" s="106">
        <f>+HLOOKUP($C81,BP!$DI$2:$DU$250,172,0)</f>
        <v>7200</v>
      </c>
      <c r="CG81" s="106">
        <f>+HLOOKUP($C81,BP!$DI$2:$DU$250,173,0)</f>
        <v>7200</v>
      </c>
      <c r="CH81" s="106">
        <f>+HLOOKUP($C81,BP!$DI$2:$DU$250,174,0)</f>
        <v>38400</v>
      </c>
      <c r="CI81" s="106">
        <f>+HLOOKUP($C81,BP!$DI$2:$DU$250,175,0)</f>
        <v>2972</v>
      </c>
      <c r="CJ81" s="106">
        <f>+HLOOKUP($C81,BP!$DI$2:$DU$250,176,0)</f>
        <v>2370</v>
      </c>
      <c r="CK81" s="106">
        <f>+HLOOKUP($C81,BP!$DI$2:$DU$250,178,0)</f>
        <v>24000</v>
      </c>
      <c r="CL81" s="106">
        <f>+HLOOKUP($C81,BP!$DI$2:$DU$250,179,0)</f>
        <v>0</v>
      </c>
      <c r="CM81" s="106">
        <f>+HLOOKUP($C81,BP!$DI$2:$DU$250,180,0)</f>
        <v>5880</v>
      </c>
      <c r="CN81" s="106">
        <f>+HLOOKUP($C81,BP!$DI$2:$DU$250,182,0)</f>
        <v>245.70000000000002</v>
      </c>
      <c r="CO81" s="106">
        <f>+HLOOKUP($C81,BP!$DI$2:$DU$250,183,0)</f>
        <v>4690.2</v>
      </c>
      <c r="CP81" s="106">
        <f>+HLOOKUP($C81,BP!$DI$2:$DU$250,184,0)</f>
        <v>2160</v>
      </c>
      <c r="CQ81" s="106">
        <f>+HLOOKUP($C81,BP!$DI$2:$DU$250,185,0)</f>
        <v>0</v>
      </c>
      <c r="CR81" s="106">
        <f>+HLOOKUP($C81,BP!$DI$2:$DU$250,187,0)</f>
        <v>1249.92</v>
      </c>
      <c r="CS81" s="106">
        <f>+HLOOKUP($C81,BP!$DI$2:$DU$250,188,0)</f>
        <v>1590</v>
      </c>
      <c r="CT81" s="106">
        <f>+HLOOKUP($C81,BP!$DI$2:$DU$250,189,0)</f>
        <v>1000.02</v>
      </c>
      <c r="CU81" s="106">
        <f>+HLOOKUP($C81,BP!$DI$2:$DU$250,190,0)</f>
        <v>1013.34</v>
      </c>
      <c r="CV81" s="106">
        <f>+HLOOKUP($C81,BP!$DI$2:$DU$250,191,0)</f>
        <v>0</v>
      </c>
      <c r="CW81" s="106">
        <f>+HLOOKUP($C81,BP!$DI$2:$DU$250,193,0)</f>
        <v>2470.8666666666668</v>
      </c>
      <c r="CX81" s="106">
        <f>+HLOOKUP($C81,BP!$DI$2:$DU$250,194,0)</f>
        <v>236.73333333333338</v>
      </c>
      <c r="CY81" s="106">
        <f>+HLOOKUP($C81,BP!$DI$2:$DU$250,195,0)</f>
        <v>550.02359999999999</v>
      </c>
      <c r="CZ81" s="106">
        <f>+HLOOKUP($C81,BP!$DI$2:$DU$250,196,0)</f>
        <v>0</v>
      </c>
      <c r="DA81" s="106">
        <f>+HLOOKUP($C81,BP!$DI$2:$DU$250,197,0)</f>
        <v>6566.4000000000005</v>
      </c>
      <c r="DB81" s="106">
        <f>+HLOOKUP($C81,BP!$DI$2:$DU$250,198,0)</f>
        <v>2022</v>
      </c>
      <c r="DC81" s="106">
        <f>+HLOOKUP($C81,BP!$DI$2:$DU$250,199,0)</f>
        <v>432</v>
      </c>
      <c r="DD81" s="106">
        <f>+HLOOKUP($C81,BP!$DI$2:$DU$250,200,0)</f>
        <v>140</v>
      </c>
      <c r="DE81" s="106">
        <f>+HLOOKUP($C81,BP!$DI$2:$DU$250,201,0)</f>
        <v>29.700000000000003</v>
      </c>
      <c r="DF81" s="106">
        <f>+HLOOKUP($C81,BP!$DI$2:$DU$250,202,0)</f>
        <v>0</v>
      </c>
      <c r="DG81" s="106">
        <f>+HLOOKUP($C81,BP!$DI$2:$DU$250,203,0)</f>
        <v>0</v>
      </c>
      <c r="DH81" s="106">
        <f>+HLOOKUP($C81,BP!$DI$2:$DU$250,205,0)</f>
        <v>0</v>
      </c>
      <c r="DI81" s="106">
        <f>+HLOOKUP($C81,BP!$DI$2:$DU$250,206,0)</f>
        <v>1874.915554909091</v>
      </c>
      <c r="DJ81" s="106">
        <f>+HLOOKUP($C81,BP!$DI$2:$DU$250,207,0)</f>
        <v>154.64099999999999</v>
      </c>
      <c r="DK81" s="106">
        <f>+HLOOKUP($C81,BP!$DI$2:$DU$250,209,0)</f>
        <v>0</v>
      </c>
      <c r="DL81" s="106">
        <f>+HLOOKUP($C81,BP!$DI$2:$DU$250,210,0)</f>
        <v>46796.990625000006</v>
      </c>
      <c r="DM81" s="106">
        <f>+HLOOKUP($C81,BP!$DI$2:$DU$250,211,0)</f>
        <v>0</v>
      </c>
      <c r="DN81" s="106">
        <f>+HLOOKUP($C81,BP!$DI$2:$DU$250,212,0)</f>
        <v>0</v>
      </c>
      <c r="DO81" s="106">
        <f>+HLOOKUP($C81,BP!$DI$2:$DU$250,214,0)</f>
        <v>0</v>
      </c>
      <c r="DP81" s="106">
        <f>+HLOOKUP($C81,BP!$DI$2:$DU$250,215,0)</f>
        <v>360</v>
      </c>
      <c r="DQ81" s="106">
        <f>+HLOOKUP($C81,BP!$DI$2:$DU$250,219,0)</f>
        <v>0</v>
      </c>
      <c r="DR81" s="106">
        <f>+HLOOKUP($C81,BP!$DI$2:$DU$250,220,0)</f>
        <v>0</v>
      </c>
      <c r="DS81" s="106">
        <f>+HLOOKUP($C81,BP!$DI$2:$DU$250,221,0)</f>
        <v>0</v>
      </c>
      <c r="DT81" s="106">
        <f>+HLOOKUP($C81,BP!$DI$2:$DU$250,223,0)</f>
        <v>7500</v>
      </c>
      <c r="DU81" s="106">
        <f>+HLOOKUP($C81,BP!$DI$2:$DU$250,224,0)</f>
        <v>0</v>
      </c>
      <c r="DV81" s="106">
        <f>+HLOOKUP($C81,BP!$DI$2:$DU$250,225,0)</f>
        <v>0</v>
      </c>
      <c r="DW81" s="106">
        <f>+HLOOKUP($C81,BP!$DI$2:$DU$250,227,0)</f>
        <v>0</v>
      </c>
      <c r="DX81" s="106">
        <f>+HLOOKUP($C81,BP!$DI$2:$DU$250,228,0)</f>
        <v>0</v>
      </c>
      <c r="DY81" s="106">
        <f>+HLOOKUP($C81,BP!$DI$2:$DU$250,236,0)</f>
        <v>0</v>
      </c>
      <c r="DZ81" s="106">
        <f>+HLOOKUP($C81,BP!$DI$2:$DU$250,237,0)</f>
        <v>66223.680752845277</v>
      </c>
      <c r="EA81" s="106">
        <f>+HLOOKUP($C81,BP!$DI$2:$DU$250,238,0)</f>
        <v>0</v>
      </c>
      <c r="EB81" s="106">
        <f>+HLOOKUP($C81,BP!$DI$2:$DU$250,240,0)</f>
        <v>155829.26235714319</v>
      </c>
    </row>
    <row r="82" spans="1:132">
      <c r="A82" t="s">
        <v>271</v>
      </c>
      <c r="B82" t="s">
        <v>218</v>
      </c>
      <c r="C82" s="117">
        <v>45748</v>
      </c>
      <c r="D82" s="106">
        <f t="shared" si="1"/>
        <v>2145880.0000000005</v>
      </c>
      <c r="E82" s="106">
        <f>+HLOOKUP(C82,BP!$DI$2:$DU$250,28,0)+HLOOKUP(C82,BP!$DI$2:$DU$250,43,0)+HLOOKUP(C82,BP!$DI$2:$DU$250,44,0)+HLOOKUP(C82,BP!$DI$2:$DU$250,45,0)+HLOOKUP(C82,BP!$DI$2:$DU$250,54,0)+HLOOKUP(C82,BP!$DI$2:$DU$250,59,0)</f>
        <v>2145880.0000000005</v>
      </c>
      <c r="F82" s="106">
        <f>+HLOOKUP(C82,BP!$DI$2:$DU$250,37,0)+HLOOKUP(C82,BP!$DI$2:$DU$250,55,0)</f>
        <v>1446040.2836006947</v>
      </c>
      <c r="G82" s="106">
        <f>+HLOOKUP($C82,BP!$DI$2:$DU$250,76,0)</f>
        <v>0</v>
      </c>
      <c r="H82" s="106">
        <f>+HLOOKUP($C82,BP!$DI$2:$DU$250,77,0)</f>
        <v>0</v>
      </c>
      <c r="I82" s="106">
        <f>+HLOOKUP($C82,BP!$DI$2:$DU$250,78,0)</f>
        <v>0</v>
      </c>
      <c r="J82" s="106">
        <f>+HLOOKUP($C82,BP!$DI$2:$DU$250,79,0)</f>
        <v>0</v>
      </c>
      <c r="K82" s="106">
        <f>+HLOOKUP($C82,BP!$DI$2:$DU$250,80,0)</f>
        <v>0</v>
      </c>
      <c r="L82" s="106">
        <f>+HLOOKUP($C82,BP!$DI$2:$DU$250,81,0)</f>
        <v>0</v>
      </c>
      <c r="M82" s="106">
        <f>+HLOOKUP($C82,BP!$DI$2:$DU$250,82,0)</f>
        <v>0</v>
      </c>
      <c r="N82" s="106">
        <f>+HLOOKUP($C82,BP!$DI$2:$DU$250,83,0)</f>
        <v>0</v>
      </c>
      <c r="O82" s="106">
        <f>+HLOOKUP($C82,BP!$DI$2:$DU$250,84,0)</f>
        <v>0</v>
      </c>
      <c r="P82" s="106">
        <f>+HLOOKUP($C82,BP!$DI$2:$DU$250,85,0)</f>
        <v>0</v>
      </c>
      <c r="Q82" s="106">
        <f>+HLOOKUP($C82,BP!$DI$2:$DU$250,87,0)</f>
        <v>46217.600000000006</v>
      </c>
      <c r="R82" s="106">
        <f>+HLOOKUP($C82,BP!$DI$2:$DU$250,90,0)</f>
        <v>0</v>
      </c>
      <c r="S82" s="106">
        <f>+HLOOKUP($C82,BP!$DI$2:$DU$250,91,0)</f>
        <v>0</v>
      </c>
      <c r="T82" s="106">
        <f>+HLOOKUP($C82,BP!$DI$2:$DU$250,92,0)</f>
        <v>0</v>
      </c>
      <c r="U82" s="106">
        <f>+HLOOKUP($C82,BP!$DI$2:$DU$250,93,0)</f>
        <v>0</v>
      </c>
      <c r="V82" s="106">
        <f>+HLOOKUP($C82,BP!$DI$2:$DU$250,94,0)</f>
        <v>0</v>
      </c>
      <c r="W82" s="106">
        <f>+HLOOKUP($C82,BP!$DI$2:$DU$250,95,0)</f>
        <v>0</v>
      </c>
      <c r="X82" s="106">
        <f>+HLOOKUP($C82,BP!$DI$2:$DU$250,96,0)</f>
        <v>0</v>
      </c>
      <c r="Y82" s="106">
        <f>+HLOOKUP($C82,BP!$DI$2:$DU$250,97,0)</f>
        <v>0</v>
      </c>
      <c r="Z82" s="106">
        <f>+HLOOKUP($C82,BP!$DI$2:$DU$250,98,0)</f>
        <v>0</v>
      </c>
      <c r="AA82" s="106">
        <f>+HLOOKUP($C82,BP!$DI$2:$DU$250,99,0)</f>
        <v>0</v>
      </c>
      <c r="AB82" s="106">
        <f>+HLOOKUP($C82,BP!$DI$2:$DU$250,100,0)</f>
        <v>0</v>
      </c>
      <c r="AC82" s="106">
        <f>+HLOOKUP($C82,BP!$DI$2:$DU$250,101,0)</f>
        <v>0</v>
      </c>
      <c r="AD82" s="106">
        <f>+HLOOKUP($C82,BP!$DI$2:$DU$250,104,0)</f>
        <v>2525.5560000000005</v>
      </c>
      <c r="AE82" s="106">
        <f>+HLOOKUP($C82,BP!$DI$2:$DU$250,105,0)</f>
        <v>8418.52</v>
      </c>
      <c r="AF82" s="106">
        <f>+HLOOKUP($C82,BP!$DI$2:$DU$250,106,0)</f>
        <v>0</v>
      </c>
      <c r="AG82" s="106">
        <f>+HLOOKUP($C82,BP!$DI$2:$DU$250,107,0)</f>
        <v>0</v>
      </c>
      <c r="AH82" s="106">
        <f>+HLOOKUP($C82,BP!$DI$2:$DU$250,108,0)</f>
        <v>0</v>
      </c>
      <c r="AI82" s="106">
        <f>+HLOOKUP($C82,BP!$DI$2:$DU$250,109,0)</f>
        <v>0</v>
      </c>
      <c r="AJ82" s="106">
        <f>+HLOOKUP($C82,BP!$DI$2:$DU$250,110,0)</f>
        <v>0</v>
      </c>
      <c r="AK82" s="106">
        <f>+HLOOKUP($C82,BP!$DI$2:$DU$250,111,0)</f>
        <v>505.11120000000011</v>
      </c>
      <c r="AL82" s="106">
        <f>+HLOOKUP($C82,BP!$DI$2:$DU$250,112,0)</f>
        <v>0</v>
      </c>
      <c r="AM82" s="106">
        <f>+HLOOKUP($C82,BP!$DI$2:$DU$250,116,0)</f>
        <v>17400</v>
      </c>
      <c r="AN82" s="106">
        <f>+HLOOKUP($C82,BP!$DI$2:$DU$250,117,0)</f>
        <v>2620</v>
      </c>
      <c r="AO82" s="106">
        <f>+HLOOKUP($C82,BP!$DI$2:$DU$250,118,0)</f>
        <v>0</v>
      </c>
      <c r="AP82" s="106">
        <f>+HLOOKUP($C82,BP!$DI$2:$DU$250,119,0)</f>
        <v>5680</v>
      </c>
      <c r="AQ82" s="106">
        <f>+HLOOKUP($C82,BP!$DI$2:$DU$250,120,0)</f>
        <v>2400</v>
      </c>
      <c r="AR82" s="106">
        <f>+HLOOKUP($C82,BP!$DI$2:$DU$250,121,0)</f>
        <v>1500</v>
      </c>
      <c r="AS82" s="106">
        <f>+HLOOKUP($C82,BP!$DI$2:$DU$250,122,0)</f>
        <v>7400</v>
      </c>
      <c r="AT82" s="106">
        <f>+HLOOKUP($C82,BP!$DI$2:$DU$250,123,0)</f>
        <v>2286.8210263888886</v>
      </c>
      <c r="AU82" s="106">
        <f>+HLOOKUP($C82,BP!$DI$2:$DU$250,124,0)</f>
        <v>0</v>
      </c>
      <c r="AV82" s="106">
        <f>+HLOOKUP($C82,BP!$DI$2:$DU$250,125,0)</f>
        <v>15690</v>
      </c>
      <c r="AW82" s="106">
        <f>+HLOOKUP($C82,BP!$DI$2:$DU$250,126,0)</f>
        <v>836.53846153846155</v>
      </c>
      <c r="AX82" s="106">
        <f>+HLOOKUP($C82,BP!$DI$2:$DU$250,127,0)</f>
        <v>1283.3333333333333</v>
      </c>
      <c r="AY82" s="106">
        <f>+HLOOKUP($C82,BP!$DI$2:$DU$250,129,0)</f>
        <v>0</v>
      </c>
      <c r="AZ82" s="106">
        <f>+HLOOKUP($C82,BP!$DI$2:$DU$250,130,0)</f>
        <v>0</v>
      </c>
      <c r="BA82" s="106">
        <f>+HLOOKUP($C82,BP!$DI$2:$DU$250,131,0)</f>
        <v>10000</v>
      </c>
      <c r="BB82" s="106">
        <f>+HLOOKUP($C82,BP!$DI$2:$DU$250,133,0)</f>
        <v>0</v>
      </c>
      <c r="BC82" s="106">
        <f>+HLOOKUP($C82,BP!$DI$2:$DU$250,134,0)</f>
        <v>3155.5342874999997</v>
      </c>
      <c r="BD82" s="106">
        <f>+HLOOKUP($C82,BP!$DI$2:$DU$250,135,0)</f>
        <v>0</v>
      </c>
      <c r="BE82" s="106">
        <f>+HLOOKUP($C82,BP!$DI$2:$DU$250,136,0)</f>
        <v>0</v>
      </c>
      <c r="BF82" s="106">
        <f>+HLOOKUP($C82,BP!$DI$2:$DU$250,138,0)</f>
        <v>600</v>
      </c>
      <c r="BG82" s="106">
        <f>+HLOOKUP($C82,BP!$DI$2:$DU$250,139,0)</f>
        <v>3953.1971666666673</v>
      </c>
      <c r="BH82" s="106">
        <f>+HLOOKUP($C82,BP!$DI$2:$DU$250,140,0)</f>
        <v>18000</v>
      </c>
      <c r="BI82" s="106">
        <f>+HLOOKUP($C82,BP!$DI$2:$DU$250,141,0)</f>
        <v>0</v>
      </c>
      <c r="BJ82" s="106">
        <f>+HLOOKUP($C82,BP!$DI$2:$DU$250,142,0)</f>
        <v>0</v>
      </c>
      <c r="BK82" s="106">
        <f>+HLOOKUP($C82,BP!$DI$2:$DU$250,143,0)</f>
        <v>2465</v>
      </c>
      <c r="BL82" s="106">
        <f>+HLOOKUP($C82,BP!$DI$2:$DU$250,144,0)</f>
        <v>3777.7777777777783</v>
      </c>
      <c r="BM82" s="106">
        <f>+HLOOKUP($C82,BP!$DI$2:$DU$250,146,0)</f>
        <v>0</v>
      </c>
      <c r="BN82" s="106">
        <f>+HLOOKUP($C82,BP!$DI$2:$DU$250,147,0)</f>
        <v>0</v>
      </c>
      <c r="BO82" s="106">
        <f>+HLOOKUP($C82,BP!$DI$2:$DU$250,148,0)</f>
        <v>0</v>
      </c>
      <c r="BP82" s="106">
        <f>+HLOOKUP($C82,BP!$DI$2:$DU$250,150,0)</f>
        <v>12887.84</v>
      </c>
      <c r="BQ82" s="106">
        <f>+HLOOKUP($C82,BP!$DI$2:$DU$250,151,0)</f>
        <v>992.2</v>
      </c>
      <c r="BR82" s="106">
        <f>+HLOOKUP($C82,BP!$DI$2:$DU$250,152,0)</f>
        <v>6400</v>
      </c>
      <c r="BS82" s="106">
        <f>+HLOOKUP($C82,BP!$DI$2:$DU$250,153,0)</f>
        <v>1200</v>
      </c>
      <c r="BT82" s="106">
        <f>+HLOOKUP($C82,BP!$DI$2:$DU$250,157,0)</f>
        <v>4240</v>
      </c>
      <c r="BU82" s="106">
        <f>+HLOOKUP($C82,BP!$DI$2:$DU$250,158,0)</f>
        <v>870</v>
      </c>
      <c r="BV82" s="106">
        <f>+HLOOKUP($C82,BP!$DI$2:$DU$250,159,0)</f>
        <v>0</v>
      </c>
      <c r="BW82" s="106">
        <f>+HLOOKUP($C82,BP!$DI$2:$DU$250,160,0)</f>
        <v>4400</v>
      </c>
      <c r="BX82" s="106">
        <f>+HLOOKUP($C82,BP!$DI$2:$DU$250,161,0)</f>
        <v>4884.9205119999997</v>
      </c>
      <c r="BY82" s="106">
        <f>+HLOOKUP($C82,BP!$DI$2:$DU$250,164,0)</f>
        <v>0</v>
      </c>
      <c r="BZ82" s="106">
        <f>+HLOOKUP($C82,BP!$DI$2:$DU$250,165,0)</f>
        <v>0</v>
      </c>
      <c r="CA82" s="106">
        <f>+HLOOKUP($C82,BP!$DI$2:$DU$250,166,0)</f>
        <v>0</v>
      </c>
      <c r="CB82" s="106">
        <f>+HLOOKUP($C82,BP!$DI$2:$DU$250,167,0)</f>
        <v>0</v>
      </c>
      <c r="CC82" s="106">
        <f>+HLOOKUP($C82,BP!$DI$2:$DU$250,168,0)</f>
        <v>0</v>
      </c>
      <c r="CD82" s="106">
        <f>+HLOOKUP($C82,BP!$DI$2:$DU$250,169,0)</f>
        <v>0</v>
      </c>
      <c r="CE82" s="106">
        <f>+HLOOKUP($C82,BP!$DI$2:$DU$250,170,0)</f>
        <v>0</v>
      </c>
      <c r="CF82" s="106">
        <f>+HLOOKUP($C82,BP!$DI$2:$DU$250,172,0)</f>
        <v>7200</v>
      </c>
      <c r="CG82" s="106">
        <f>+HLOOKUP($C82,BP!$DI$2:$DU$250,173,0)</f>
        <v>7200</v>
      </c>
      <c r="CH82" s="106">
        <f>+HLOOKUP($C82,BP!$DI$2:$DU$250,174,0)</f>
        <v>38400</v>
      </c>
      <c r="CI82" s="106">
        <f>+HLOOKUP($C82,BP!$DI$2:$DU$250,175,0)</f>
        <v>2972</v>
      </c>
      <c r="CJ82" s="106">
        <f>+HLOOKUP($C82,BP!$DI$2:$DU$250,176,0)</f>
        <v>2370</v>
      </c>
      <c r="CK82" s="106">
        <f>+HLOOKUP($C82,BP!$DI$2:$DU$250,178,0)</f>
        <v>24000</v>
      </c>
      <c r="CL82" s="106">
        <f>+HLOOKUP($C82,BP!$DI$2:$DU$250,179,0)</f>
        <v>0</v>
      </c>
      <c r="CM82" s="106">
        <f>+HLOOKUP($C82,BP!$DI$2:$DU$250,180,0)</f>
        <v>5880</v>
      </c>
      <c r="CN82" s="106">
        <f>+HLOOKUP($C82,BP!$DI$2:$DU$250,182,0)</f>
        <v>245.70000000000002</v>
      </c>
      <c r="CO82" s="106">
        <f>+HLOOKUP($C82,BP!$DI$2:$DU$250,183,0)</f>
        <v>4690.2</v>
      </c>
      <c r="CP82" s="106">
        <f>+HLOOKUP($C82,BP!$DI$2:$DU$250,184,0)</f>
        <v>2160</v>
      </c>
      <c r="CQ82" s="106">
        <f>+HLOOKUP($C82,BP!$DI$2:$DU$250,185,0)</f>
        <v>0</v>
      </c>
      <c r="CR82" s="106">
        <f>+HLOOKUP($C82,BP!$DI$2:$DU$250,187,0)</f>
        <v>1249.92</v>
      </c>
      <c r="CS82" s="106">
        <f>+HLOOKUP($C82,BP!$DI$2:$DU$250,188,0)</f>
        <v>1590</v>
      </c>
      <c r="CT82" s="106">
        <f>+HLOOKUP($C82,BP!$DI$2:$DU$250,189,0)</f>
        <v>1000.02</v>
      </c>
      <c r="CU82" s="106">
        <f>+HLOOKUP($C82,BP!$DI$2:$DU$250,190,0)</f>
        <v>1013.34</v>
      </c>
      <c r="CV82" s="106">
        <f>+HLOOKUP($C82,BP!$DI$2:$DU$250,191,0)</f>
        <v>0</v>
      </c>
      <c r="CW82" s="106">
        <f>+HLOOKUP($C82,BP!$DI$2:$DU$250,193,0)</f>
        <v>2470.8666666666668</v>
      </c>
      <c r="CX82" s="106">
        <f>+HLOOKUP($C82,BP!$DI$2:$DU$250,194,0)</f>
        <v>236.73333333333338</v>
      </c>
      <c r="CY82" s="106">
        <f>+HLOOKUP($C82,BP!$DI$2:$DU$250,195,0)</f>
        <v>550.02359999999999</v>
      </c>
      <c r="CZ82" s="106">
        <f>+HLOOKUP($C82,BP!$DI$2:$DU$250,196,0)</f>
        <v>0</v>
      </c>
      <c r="DA82" s="106">
        <f>+HLOOKUP($C82,BP!$DI$2:$DU$250,197,0)</f>
        <v>6566.4000000000005</v>
      </c>
      <c r="DB82" s="106">
        <f>+HLOOKUP($C82,BP!$DI$2:$DU$250,198,0)</f>
        <v>2022</v>
      </c>
      <c r="DC82" s="106">
        <f>+HLOOKUP($C82,BP!$DI$2:$DU$250,199,0)</f>
        <v>432</v>
      </c>
      <c r="DD82" s="106">
        <f>+HLOOKUP($C82,BP!$DI$2:$DU$250,200,0)</f>
        <v>140</v>
      </c>
      <c r="DE82" s="106">
        <f>+HLOOKUP($C82,BP!$DI$2:$DU$250,201,0)</f>
        <v>29.700000000000003</v>
      </c>
      <c r="DF82" s="106">
        <f>+HLOOKUP($C82,BP!$DI$2:$DU$250,202,0)</f>
        <v>0</v>
      </c>
      <c r="DG82" s="106">
        <f>+HLOOKUP($C82,BP!$DI$2:$DU$250,203,0)</f>
        <v>0</v>
      </c>
      <c r="DH82" s="106">
        <f>+HLOOKUP($C82,BP!$DI$2:$DU$250,205,0)</f>
        <v>0</v>
      </c>
      <c r="DI82" s="106">
        <f>+HLOOKUP($C82,BP!$DI$2:$DU$250,206,0)</f>
        <v>1874.915554909091</v>
      </c>
      <c r="DJ82" s="106">
        <f>+HLOOKUP($C82,BP!$DI$2:$DU$250,207,0)</f>
        <v>154.64099999999999</v>
      </c>
      <c r="DK82" s="106">
        <f>+HLOOKUP($C82,BP!$DI$2:$DU$250,209,0)</f>
        <v>0</v>
      </c>
      <c r="DL82" s="106">
        <f>+HLOOKUP($C82,BP!$DI$2:$DU$250,210,0)</f>
        <v>46796.990625000006</v>
      </c>
      <c r="DM82" s="106">
        <f>+HLOOKUP($C82,BP!$DI$2:$DU$250,211,0)</f>
        <v>0</v>
      </c>
      <c r="DN82" s="106">
        <f>+HLOOKUP($C82,BP!$DI$2:$DU$250,212,0)</f>
        <v>0</v>
      </c>
      <c r="DO82" s="106">
        <f>+HLOOKUP($C82,BP!$DI$2:$DU$250,214,0)</f>
        <v>0</v>
      </c>
      <c r="DP82" s="106">
        <f>+HLOOKUP($C82,BP!$DI$2:$DU$250,215,0)</f>
        <v>360</v>
      </c>
      <c r="DQ82" s="106">
        <f>+HLOOKUP($C82,BP!$DI$2:$DU$250,219,0)</f>
        <v>0</v>
      </c>
      <c r="DR82" s="106">
        <f>+HLOOKUP($C82,BP!$DI$2:$DU$250,220,0)</f>
        <v>0</v>
      </c>
      <c r="DS82" s="106">
        <f>+HLOOKUP($C82,BP!$DI$2:$DU$250,221,0)</f>
        <v>0</v>
      </c>
      <c r="DT82" s="106">
        <f>+HLOOKUP($C82,BP!$DI$2:$DU$250,223,0)</f>
        <v>7500</v>
      </c>
      <c r="DU82" s="106">
        <f>+HLOOKUP($C82,BP!$DI$2:$DU$250,224,0)</f>
        <v>0</v>
      </c>
      <c r="DV82" s="106">
        <f>+HLOOKUP($C82,BP!$DI$2:$DU$250,225,0)</f>
        <v>0</v>
      </c>
      <c r="DW82" s="106">
        <f>+HLOOKUP($C82,BP!$DI$2:$DU$250,227,0)</f>
        <v>0</v>
      </c>
      <c r="DX82" s="106">
        <f>+HLOOKUP($C82,BP!$DI$2:$DU$250,228,0)</f>
        <v>0</v>
      </c>
      <c r="DY82" s="106">
        <f>+HLOOKUP($C82,BP!$DI$2:$DU$250,236,0)</f>
        <v>0</v>
      </c>
      <c r="DZ82" s="106">
        <f>+HLOOKUP($C82,BP!$DI$2:$DU$250,237,0)</f>
        <v>64919.73729175872</v>
      </c>
      <c r="EA82" s="106">
        <f>+HLOOKUP($C82,BP!$DI$2:$DU$250,238,0)</f>
        <v>0</v>
      </c>
      <c r="EB82" s="106">
        <f>+HLOOKUP($C82,BP!$DI$2:$DU$250,240,0)</f>
        <v>155829.26235714319</v>
      </c>
    </row>
    <row r="83" spans="1:132">
      <c r="A83" t="s">
        <v>271</v>
      </c>
      <c r="B83" t="s">
        <v>218</v>
      </c>
      <c r="C83" s="117">
        <v>45717</v>
      </c>
      <c r="D83" s="106">
        <f t="shared" si="1"/>
        <v>3854780.8000000007</v>
      </c>
      <c r="E83" s="106">
        <f>+HLOOKUP(C83,BP!$DI$2:$DU$250,28,0)+HLOOKUP(C83,BP!$DI$2:$DU$250,43,0)+HLOOKUP(C83,BP!$DI$2:$DU$250,44,0)+HLOOKUP(C83,BP!$DI$2:$DU$250,45,0)+HLOOKUP(C83,BP!$DI$2:$DU$250,54,0)+HLOOKUP(C83,BP!$DI$2:$DU$250,59,0)</f>
        <v>3854780.8000000007</v>
      </c>
      <c r="F83" s="106">
        <f>+HLOOKUP(C83,BP!$DI$2:$DU$250,37,0)+HLOOKUP(C83,BP!$DI$2:$DU$250,55,0)</f>
        <v>2518712.7956006946</v>
      </c>
      <c r="G83" s="106">
        <f>+HLOOKUP($C83,BP!$DI$2:$DU$250,76,0)</f>
        <v>0</v>
      </c>
      <c r="H83" s="106">
        <f>+HLOOKUP($C83,BP!$DI$2:$DU$250,77,0)</f>
        <v>0</v>
      </c>
      <c r="I83" s="106">
        <f>+HLOOKUP($C83,BP!$DI$2:$DU$250,78,0)</f>
        <v>0</v>
      </c>
      <c r="J83" s="106">
        <f>+HLOOKUP($C83,BP!$DI$2:$DU$250,79,0)</f>
        <v>0</v>
      </c>
      <c r="K83" s="106">
        <f>+HLOOKUP($C83,BP!$DI$2:$DU$250,80,0)</f>
        <v>0</v>
      </c>
      <c r="L83" s="106">
        <f>+HLOOKUP($C83,BP!$DI$2:$DU$250,81,0)</f>
        <v>0</v>
      </c>
      <c r="M83" s="106">
        <f>+HLOOKUP($C83,BP!$DI$2:$DU$250,82,0)</f>
        <v>0</v>
      </c>
      <c r="N83" s="106">
        <f>+HLOOKUP($C83,BP!$DI$2:$DU$250,83,0)</f>
        <v>0</v>
      </c>
      <c r="O83" s="106">
        <f>+HLOOKUP($C83,BP!$DI$2:$DU$250,84,0)</f>
        <v>0</v>
      </c>
      <c r="P83" s="106">
        <f>+HLOOKUP($C83,BP!$DI$2:$DU$250,85,0)</f>
        <v>0</v>
      </c>
      <c r="Q83" s="106">
        <f>+HLOOKUP($C83,BP!$DI$2:$DU$250,87,0)</f>
        <v>83023.616000000024</v>
      </c>
      <c r="R83" s="106">
        <f>+HLOOKUP($C83,BP!$DI$2:$DU$250,90,0)</f>
        <v>0</v>
      </c>
      <c r="S83" s="106">
        <f>+HLOOKUP($C83,BP!$DI$2:$DU$250,91,0)</f>
        <v>0</v>
      </c>
      <c r="T83" s="106">
        <f>+HLOOKUP($C83,BP!$DI$2:$DU$250,92,0)</f>
        <v>0</v>
      </c>
      <c r="U83" s="106">
        <f>+HLOOKUP($C83,BP!$DI$2:$DU$250,93,0)</f>
        <v>0</v>
      </c>
      <c r="V83" s="106">
        <f>+HLOOKUP($C83,BP!$DI$2:$DU$250,94,0)</f>
        <v>0</v>
      </c>
      <c r="W83" s="106">
        <f>+HLOOKUP($C83,BP!$DI$2:$DU$250,95,0)</f>
        <v>0</v>
      </c>
      <c r="X83" s="106">
        <f>+HLOOKUP($C83,BP!$DI$2:$DU$250,96,0)</f>
        <v>0</v>
      </c>
      <c r="Y83" s="106">
        <f>+HLOOKUP($C83,BP!$DI$2:$DU$250,97,0)</f>
        <v>0</v>
      </c>
      <c r="Z83" s="106">
        <f>+HLOOKUP($C83,BP!$DI$2:$DU$250,98,0)</f>
        <v>0</v>
      </c>
      <c r="AA83" s="106">
        <f>+HLOOKUP($C83,BP!$DI$2:$DU$250,99,0)</f>
        <v>0</v>
      </c>
      <c r="AB83" s="106">
        <f>+HLOOKUP($C83,BP!$DI$2:$DU$250,100,0)</f>
        <v>0</v>
      </c>
      <c r="AC83" s="106">
        <f>+HLOOKUP($C83,BP!$DI$2:$DU$250,101,0)</f>
        <v>0</v>
      </c>
      <c r="AD83" s="106">
        <f>+HLOOKUP($C83,BP!$DI$2:$DU$250,104,0)</f>
        <v>4536.816960000001</v>
      </c>
      <c r="AE83" s="106">
        <f>+HLOOKUP($C83,BP!$DI$2:$DU$250,105,0)</f>
        <v>15122.723200000004</v>
      </c>
      <c r="AF83" s="106">
        <f>+HLOOKUP($C83,BP!$DI$2:$DU$250,106,0)</f>
        <v>0</v>
      </c>
      <c r="AG83" s="106">
        <f>+HLOOKUP($C83,BP!$DI$2:$DU$250,107,0)</f>
        <v>0</v>
      </c>
      <c r="AH83" s="106">
        <f>+HLOOKUP($C83,BP!$DI$2:$DU$250,108,0)</f>
        <v>0</v>
      </c>
      <c r="AI83" s="106">
        <f>+HLOOKUP($C83,BP!$DI$2:$DU$250,109,0)</f>
        <v>0</v>
      </c>
      <c r="AJ83" s="106">
        <f>+HLOOKUP($C83,BP!$DI$2:$DU$250,110,0)</f>
        <v>0</v>
      </c>
      <c r="AK83" s="106">
        <f>+HLOOKUP($C83,BP!$DI$2:$DU$250,111,0)</f>
        <v>907.3633920000002</v>
      </c>
      <c r="AL83" s="106">
        <f>+HLOOKUP($C83,BP!$DI$2:$DU$250,112,0)</f>
        <v>0</v>
      </c>
      <c r="AM83" s="106">
        <f>+HLOOKUP($C83,BP!$DI$2:$DU$250,116,0)</f>
        <v>17400</v>
      </c>
      <c r="AN83" s="106">
        <f>+HLOOKUP($C83,BP!$DI$2:$DU$250,117,0)</f>
        <v>2620</v>
      </c>
      <c r="AO83" s="106">
        <f>+HLOOKUP($C83,BP!$DI$2:$DU$250,118,0)</f>
        <v>0</v>
      </c>
      <c r="AP83" s="106">
        <f>+HLOOKUP($C83,BP!$DI$2:$DU$250,119,0)</f>
        <v>5680</v>
      </c>
      <c r="AQ83" s="106">
        <f>+HLOOKUP($C83,BP!$DI$2:$DU$250,120,0)</f>
        <v>2400</v>
      </c>
      <c r="AR83" s="106">
        <f>+HLOOKUP($C83,BP!$DI$2:$DU$250,121,0)</f>
        <v>1500</v>
      </c>
      <c r="AS83" s="106">
        <f>+HLOOKUP($C83,BP!$DI$2:$DU$250,122,0)</f>
        <v>7400</v>
      </c>
      <c r="AT83" s="106">
        <f>+HLOOKUP($C83,BP!$DI$2:$DU$250,123,0)</f>
        <v>2286.8210263888886</v>
      </c>
      <c r="AU83" s="106">
        <f>+HLOOKUP($C83,BP!$DI$2:$DU$250,124,0)</f>
        <v>0</v>
      </c>
      <c r="AV83" s="106">
        <f>+HLOOKUP($C83,BP!$DI$2:$DU$250,125,0)</f>
        <v>15690</v>
      </c>
      <c r="AW83" s="106">
        <f>+HLOOKUP($C83,BP!$DI$2:$DU$250,126,0)</f>
        <v>836.53846153846155</v>
      </c>
      <c r="AX83" s="106">
        <f>+HLOOKUP($C83,BP!$DI$2:$DU$250,127,0)</f>
        <v>1283.3333333333333</v>
      </c>
      <c r="AY83" s="106">
        <f>+HLOOKUP($C83,BP!$DI$2:$DU$250,129,0)</f>
        <v>0</v>
      </c>
      <c r="AZ83" s="106">
        <f>+HLOOKUP($C83,BP!$DI$2:$DU$250,130,0)</f>
        <v>0</v>
      </c>
      <c r="BA83" s="106">
        <f>+HLOOKUP($C83,BP!$DI$2:$DU$250,131,0)</f>
        <v>10000</v>
      </c>
      <c r="BB83" s="106">
        <f>+HLOOKUP($C83,BP!$DI$2:$DU$250,133,0)</f>
        <v>0</v>
      </c>
      <c r="BC83" s="106">
        <f>+HLOOKUP($C83,BP!$DI$2:$DU$250,134,0)</f>
        <v>3155.5342874999997</v>
      </c>
      <c r="BD83" s="106">
        <f>+HLOOKUP($C83,BP!$DI$2:$DU$250,135,0)</f>
        <v>0</v>
      </c>
      <c r="BE83" s="106">
        <f>+HLOOKUP($C83,BP!$DI$2:$DU$250,136,0)</f>
        <v>0</v>
      </c>
      <c r="BF83" s="106">
        <f>+HLOOKUP($C83,BP!$DI$2:$DU$250,138,0)</f>
        <v>600</v>
      </c>
      <c r="BG83" s="106">
        <f>+HLOOKUP($C83,BP!$DI$2:$DU$250,139,0)</f>
        <v>3953.1971666666673</v>
      </c>
      <c r="BH83" s="106">
        <f>+HLOOKUP($C83,BP!$DI$2:$DU$250,140,0)</f>
        <v>18000</v>
      </c>
      <c r="BI83" s="106">
        <f>+HLOOKUP($C83,BP!$DI$2:$DU$250,141,0)</f>
        <v>0</v>
      </c>
      <c r="BJ83" s="106">
        <f>+HLOOKUP($C83,BP!$DI$2:$DU$250,142,0)</f>
        <v>0</v>
      </c>
      <c r="BK83" s="106">
        <f>+HLOOKUP($C83,BP!$DI$2:$DU$250,143,0)</f>
        <v>2465</v>
      </c>
      <c r="BL83" s="106">
        <f>+HLOOKUP($C83,BP!$DI$2:$DU$250,144,0)</f>
        <v>2444.4444444444443</v>
      </c>
      <c r="BM83" s="106">
        <f>+HLOOKUP($C83,BP!$DI$2:$DU$250,146,0)</f>
        <v>0</v>
      </c>
      <c r="BN83" s="106">
        <f>+HLOOKUP($C83,BP!$DI$2:$DU$250,147,0)</f>
        <v>0</v>
      </c>
      <c r="BO83" s="106">
        <f>+HLOOKUP($C83,BP!$DI$2:$DU$250,148,0)</f>
        <v>0</v>
      </c>
      <c r="BP83" s="106">
        <f>+HLOOKUP($C83,BP!$DI$2:$DU$250,150,0)</f>
        <v>12887.84</v>
      </c>
      <c r="BQ83" s="106">
        <f>+HLOOKUP($C83,BP!$DI$2:$DU$250,151,0)</f>
        <v>992.2</v>
      </c>
      <c r="BR83" s="106">
        <f>+HLOOKUP($C83,BP!$DI$2:$DU$250,152,0)</f>
        <v>6400</v>
      </c>
      <c r="BS83" s="106">
        <f>+HLOOKUP($C83,BP!$DI$2:$DU$250,153,0)</f>
        <v>1200</v>
      </c>
      <c r="BT83" s="106">
        <f>+HLOOKUP($C83,BP!$DI$2:$DU$250,157,0)</f>
        <v>4240</v>
      </c>
      <c r="BU83" s="106">
        <f>+HLOOKUP($C83,BP!$DI$2:$DU$250,158,0)</f>
        <v>870</v>
      </c>
      <c r="BV83" s="106">
        <f>+HLOOKUP($C83,BP!$DI$2:$DU$250,159,0)</f>
        <v>0</v>
      </c>
      <c r="BW83" s="106">
        <f>+HLOOKUP($C83,BP!$DI$2:$DU$250,160,0)</f>
        <v>4400</v>
      </c>
      <c r="BX83" s="106">
        <f>+HLOOKUP($C83,BP!$DI$2:$DU$250,161,0)</f>
        <v>4884.9205119999997</v>
      </c>
      <c r="BY83" s="106">
        <f>+HLOOKUP($C83,BP!$DI$2:$DU$250,164,0)</f>
        <v>0</v>
      </c>
      <c r="BZ83" s="106">
        <f>+HLOOKUP($C83,BP!$DI$2:$DU$250,165,0)</f>
        <v>0</v>
      </c>
      <c r="CA83" s="106">
        <f>+HLOOKUP($C83,BP!$DI$2:$DU$250,166,0)</f>
        <v>0</v>
      </c>
      <c r="CB83" s="106">
        <f>+HLOOKUP($C83,BP!$DI$2:$DU$250,167,0)</f>
        <v>0</v>
      </c>
      <c r="CC83" s="106">
        <f>+HLOOKUP($C83,BP!$DI$2:$DU$250,168,0)</f>
        <v>0</v>
      </c>
      <c r="CD83" s="106">
        <f>+HLOOKUP($C83,BP!$DI$2:$DU$250,169,0)</f>
        <v>0</v>
      </c>
      <c r="CE83" s="106">
        <f>+HLOOKUP($C83,BP!$DI$2:$DU$250,170,0)</f>
        <v>0</v>
      </c>
      <c r="CF83" s="106">
        <f>+HLOOKUP($C83,BP!$DI$2:$DU$250,172,0)</f>
        <v>7200</v>
      </c>
      <c r="CG83" s="106">
        <f>+HLOOKUP($C83,BP!$DI$2:$DU$250,173,0)</f>
        <v>7200</v>
      </c>
      <c r="CH83" s="106">
        <f>+HLOOKUP($C83,BP!$DI$2:$DU$250,174,0)</f>
        <v>38400</v>
      </c>
      <c r="CI83" s="106">
        <f>+HLOOKUP($C83,BP!$DI$2:$DU$250,175,0)</f>
        <v>2972</v>
      </c>
      <c r="CJ83" s="106">
        <f>+HLOOKUP($C83,BP!$DI$2:$DU$250,176,0)</f>
        <v>2370</v>
      </c>
      <c r="CK83" s="106">
        <f>+HLOOKUP($C83,BP!$DI$2:$DU$250,178,0)</f>
        <v>24000</v>
      </c>
      <c r="CL83" s="106">
        <f>+HLOOKUP($C83,BP!$DI$2:$DU$250,179,0)</f>
        <v>0</v>
      </c>
      <c r="CM83" s="106">
        <f>+HLOOKUP($C83,BP!$DI$2:$DU$250,180,0)</f>
        <v>5880</v>
      </c>
      <c r="CN83" s="106">
        <f>+HLOOKUP($C83,BP!$DI$2:$DU$250,182,0)</f>
        <v>245.70000000000002</v>
      </c>
      <c r="CO83" s="106">
        <f>+HLOOKUP($C83,BP!$DI$2:$DU$250,183,0)</f>
        <v>4690.2</v>
      </c>
      <c r="CP83" s="106">
        <f>+HLOOKUP($C83,BP!$DI$2:$DU$250,184,0)</f>
        <v>2160</v>
      </c>
      <c r="CQ83" s="106">
        <f>+HLOOKUP($C83,BP!$DI$2:$DU$250,185,0)</f>
        <v>0</v>
      </c>
      <c r="CR83" s="106">
        <f>+HLOOKUP($C83,BP!$DI$2:$DU$250,187,0)</f>
        <v>1249.92</v>
      </c>
      <c r="CS83" s="106">
        <f>+HLOOKUP($C83,BP!$DI$2:$DU$250,188,0)</f>
        <v>1590</v>
      </c>
      <c r="CT83" s="106">
        <f>+HLOOKUP($C83,BP!$DI$2:$DU$250,189,0)</f>
        <v>1000.02</v>
      </c>
      <c r="CU83" s="106">
        <f>+HLOOKUP($C83,BP!$DI$2:$DU$250,190,0)</f>
        <v>1013.34</v>
      </c>
      <c r="CV83" s="106">
        <f>+HLOOKUP($C83,BP!$DI$2:$DU$250,191,0)</f>
        <v>0</v>
      </c>
      <c r="CW83" s="106">
        <f>+HLOOKUP($C83,BP!$DI$2:$DU$250,193,0)</f>
        <v>2470.8666666666668</v>
      </c>
      <c r="CX83" s="106">
        <f>+HLOOKUP($C83,BP!$DI$2:$DU$250,194,0)</f>
        <v>236.73333333333338</v>
      </c>
      <c r="CY83" s="106">
        <f>+HLOOKUP($C83,BP!$DI$2:$DU$250,195,0)</f>
        <v>550.02359999999999</v>
      </c>
      <c r="CZ83" s="106">
        <f>+HLOOKUP($C83,BP!$DI$2:$DU$250,196,0)</f>
        <v>0</v>
      </c>
      <c r="DA83" s="106">
        <f>+HLOOKUP($C83,BP!$DI$2:$DU$250,197,0)</f>
        <v>6566.4000000000005</v>
      </c>
      <c r="DB83" s="106">
        <f>+HLOOKUP($C83,BP!$DI$2:$DU$250,198,0)</f>
        <v>2022</v>
      </c>
      <c r="DC83" s="106">
        <f>+HLOOKUP($C83,BP!$DI$2:$DU$250,199,0)</f>
        <v>432</v>
      </c>
      <c r="DD83" s="106">
        <f>+HLOOKUP($C83,BP!$DI$2:$DU$250,200,0)</f>
        <v>140</v>
      </c>
      <c r="DE83" s="106">
        <f>+HLOOKUP($C83,BP!$DI$2:$DU$250,201,0)</f>
        <v>29.700000000000003</v>
      </c>
      <c r="DF83" s="106">
        <f>+HLOOKUP($C83,BP!$DI$2:$DU$250,202,0)</f>
        <v>0</v>
      </c>
      <c r="DG83" s="106">
        <f>+HLOOKUP($C83,BP!$DI$2:$DU$250,203,0)</f>
        <v>0</v>
      </c>
      <c r="DH83" s="106">
        <f>+HLOOKUP($C83,BP!$DI$2:$DU$250,205,0)</f>
        <v>0</v>
      </c>
      <c r="DI83" s="106">
        <f>+HLOOKUP($C83,BP!$DI$2:$DU$250,206,0)</f>
        <v>1874.915554909091</v>
      </c>
      <c r="DJ83" s="106">
        <f>+HLOOKUP($C83,BP!$DI$2:$DU$250,207,0)</f>
        <v>154.64099999999999</v>
      </c>
      <c r="DK83" s="106">
        <f>+HLOOKUP($C83,BP!$DI$2:$DU$250,209,0)</f>
        <v>0</v>
      </c>
      <c r="DL83" s="106">
        <f>+HLOOKUP($C83,BP!$DI$2:$DU$250,210,0)</f>
        <v>46796.990625000006</v>
      </c>
      <c r="DM83" s="106">
        <f>+HLOOKUP($C83,BP!$DI$2:$DU$250,211,0)</f>
        <v>0</v>
      </c>
      <c r="DN83" s="106">
        <f>+HLOOKUP($C83,BP!$DI$2:$DU$250,212,0)</f>
        <v>0</v>
      </c>
      <c r="DO83" s="106">
        <f>+HLOOKUP($C83,BP!$DI$2:$DU$250,214,0)</f>
        <v>0</v>
      </c>
      <c r="DP83" s="106">
        <f>+HLOOKUP($C83,BP!$DI$2:$DU$250,215,0)</f>
        <v>360</v>
      </c>
      <c r="DQ83" s="106">
        <f>+HLOOKUP($C83,BP!$DI$2:$DU$250,219,0)</f>
        <v>0</v>
      </c>
      <c r="DR83" s="106">
        <f>+HLOOKUP($C83,BP!$DI$2:$DU$250,220,0)</f>
        <v>0</v>
      </c>
      <c r="DS83" s="106">
        <f>+HLOOKUP($C83,BP!$DI$2:$DU$250,221,0)</f>
        <v>0</v>
      </c>
      <c r="DT83" s="106">
        <f>+HLOOKUP($C83,BP!$DI$2:$DU$250,223,0)</f>
        <v>7500</v>
      </c>
      <c r="DU83" s="106">
        <f>+HLOOKUP($C83,BP!$DI$2:$DU$250,224,0)</f>
        <v>0</v>
      </c>
      <c r="DV83" s="106">
        <f>+HLOOKUP($C83,BP!$DI$2:$DU$250,225,0)</f>
        <v>0</v>
      </c>
      <c r="DW83" s="106">
        <f>+HLOOKUP($C83,BP!$DI$2:$DU$250,227,0)</f>
        <v>0</v>
      </c>
      <c r="DX83" s="106">
        <f>+HLOOKUP($C83,BP!$DI$2:$DU$250,228,0)</f>
        <v>0</v>
      </c>
      <c r="DY83" s="106">
        <f>+HLOOKUP($C83,BP!$DI$2:$DU$250,236,0)</f>
        <v>0</v>
      </c>
      <c r="DZ83" s="106">
        <f>+HLOOKUP($C83,BP!$DI$2:$DU$250,237,0)</f>
        <v>67943.776316789415</v>
      </c>
      <c r="EA83" s="106">
        <f>+HLOOKUP($C83,BP!$DI$2:$DU$250,238,0)</f>
        <v>0</v>
      </c>
      <c r="EB83" s="106">
        <f>+HLOOKUP($C83,BP!$DI$2:$DU$250,240,0)</f>
        <v>155829.26235714319</v>
      </c>
    </row>
    <row r="84" spans="1:132">
      <c r="A84" t="s">
        <v>271</v>
      </c>
      <c r="B84" t="s">
        <v>218</v>
      </c>
      <c r="C84" s="117">
        <v>45689</v>
      </c>
      <c r="D84" s="106">
        <f t="shared" si="1"/>
        <v>3246131.2000000007</v>
      </c>
      <c r="E84" s="106">
        <f>+HLOOKUP(C84,BP!$DI$2:$DU$250,28,0)+HLOOKUP(C84,BP!$DI$2:$DU$250,43,0)+HLOOKUP(C84,BP!$DI$2:$DU$250,44,0)+HLOOKUP(C84,BP!$DI$2:$DU$250,45,0)+HLOOKUP(C84,BP!$DI$2:$DU$250,54,0)+HLOOKUP(C84,BP!$DI$2:$DU$250,59,0)</f>
        <v>3246131.2000000007</v>
      </c>
      <c r="F84" s="106">
        <f>+HLOOKUP(C84,BP!$DI$2:$DU$250,37,0)+HLOOKUP(C84,BP!$DI$2:$DU$250,55,0)</f>
        <v>2136665.0516006947</v>
      </c>
      <c r="G84" s="106">
        <f>+HLOOKUP($C84,BP!$DI$2:$DU$250,76,0)</f>
        <v>0</v>
      </c>
      <c r="H84" s="106">
        <f>+HLOOKUP($C84,BP!$DI$2:$DU$250,77,0)</f>
        <v>0</v>
      </c>
      <c r="I84" s="106">
        <f>+HLOOKUP($C84,BP!$DI$2:$DU$250,78,0)</f>
        <v>0</v>
      </c>
      <c r="J84" s="106">
        <f>+HLOOKUP($C84,BP!$DI$2:$DU$250,79,0)</f>
        <v>0</v>
      </c>
      <c r="K84" s="106">
        <f>+HLOOKUP($C84,BP!$DI$2:$DU$250,80,0)</f>
        <v>0</v>
      </c>
      <c r="L84" s="106">
        <f>+HLOOKUP($C84,BP!$DI$2:$DU$250,81,0)</f>
        <v>0</v>
      </c>
      <c r="M84" s="106">
        <f>+HLOOKUP($C84,BP!$DI$2:$DU$250,82,0)</f>
        <v>0</v>
      </c>
      <c r="N84" s="106">
        <f>+HLOOKUP($C84,BP!$DI$2:$DU$250,83,0)</f>
        <v>0</v>
      </c>
      <c r="O84" s="106">
        <f>+HLOOKUP($C84,BP!$DI$2:$DU$250,84,0)</f>
        <v>0</v>
      </c>
      <c r="P84" s="106">
        <f>+HLOOKUP($C84,BP!$DI$2:$DU$250,85,0)</f>
        <v>0</v>
      </c>
      <c r="Q84" s="106">
        <f>+HLOOKUP($C84,BP!$DI$2:$DU$250,87,0)</f>
        <v>69914.624000000011</v>
      </c>
      <c r="R84" s="106">
        <f>+HLOOKUP($C84,BP!$DI$2:$DU$250,90,0)</f>
        <v>0</v>
      </c>
      <c r="S84" s="106">
        <f>+HLOOKUP($C84,BP!$DI$2:$DU$250,91,0)</f>
        <v>0</v>
      </c>
      <c r="T84" s="106">
        <f>+HLOOKUP($C84,BP!$DI$2:$DU$250,92,0)</f>
        <v>0</v>
      </c>
      <c r="U84" s="106">
        <f>+HLOOKUP($C84,BP!$DI$2:$DU$250,93,0)</f>
        <v>0</v>
      </c>
      <c r="V84" s="106">
        <f>+HLOOKUP($C84,BP!$DI$2:$DU$250,94,0)</f>
        <v>0</v>
      </c>
      <c r="W84" s="106">
        <f>+HLOOKUP($C84,BP!$DI$2:$DU$250,95,0)</f>
        <v>0</v>
      </c>
      <c r="X84" s="106">
        <f>+HLOOKUP($C84,BP!$DI$2:$DU$250,96,0)</f>
        <v>0</v>
      </c>
      <c r="Y84" s="106">
        <f>+HLOOKUP($C84,BP!$DI$2:$DU$250,97,0)</f>
        <v>0</v>
      </c>
      <c r="Z84" s="106">
        <f>+HLOOKUP($C84,BP!$DI$2:$DU$250,98,0)</f>
        <v>0</v>
      </c>
      <c r="AA84" s="106">
        <f>+HLOOKUP($C84,BP!$DI$2:$DU$250,99,0)</f>
        <v>0</v>
      </c>
      <c r="AB84" s="106">
        <f>+HLOOKUP($C84,BP!$DI$2:$DU$250,100,0)</f>
        <v>0</v>
      </c>
      <c r="AC84" s="106">
        <f>+HLOOKUP($C84,BP!$DI$2:$DU$250,101,0)</f>
        <v>0</v>
      </c>
      <c r="AD84" s="106">
        <f>+HLOOKUP($C84,BP!$DI$2:$DU$250,104,0)</f>
        <v>3820.4774400000006</v>
      </c>
      <c r="AE84" s="106">
        <f>+HLOOKUP($C84,BP!$DI$2:$DU$250,105,0)</f>
        <v>12734.924800000003</v>
      </c>
      <c r="AF84" s="106">
        <f>+HLOOKUP($C84,BP!$DI$2:$DU$250,106,0)</f>
        <v>0</v>
      </c>
      <c r="AG84" s="106">
        <f>+HLOOKUP($C84,BP!$DI$2:$DU$250,107,0)</f>
        <v>0</v>
      </c>
      <c r="AH84" s="106">
        <f>+HLOOKUP($C84,BP!$DI$2:$DU$250,108,0)</f>
        <v>0</v>
      </c>
      <c r="AI84" s="106">
        <f>+HLOOKUP($C84,BP!$DI$2:$DU$250,109,0)</f>
        <v>0</v>
      </c>
      <c r="AJ84" s="106">
        <f>+HLOOKUP($C84,BP!$DI$2:$DU$250,110,0)</f>
        <v>0</v>
      </c>
      <c r="AK84" s="106">
        <f>+HLOOKUP($C84,BP!$DI$2:$DU$250,111,0)</f>
        <v>764.09548800000016</v>
      </c>
      <c r="AL84" s="106">
        <f>+HLOOKUP($C84,BP!$DI$2:$DU$250,112,0)</f>
        <v>0</v>
      </c>
      <c r="AM84" s="106">
        <f>+HLOOKUP($C84,BP!$DI$2:$DU$250,116,0)</f>
        <v>17400</v>
      </c>
      <c r="AN84" s="106">
        <f>+HLOOKUP($C84,BP!$DI$2:$DU$250,117,0)</f>
        <v>2620</v>
      </c>
      <c r="AO84" s="106">
        <f>+HLOOKUP($C84,BP!$DI$2:$DU$250,118,0)</f>
        <v>0</v>
      </c>
      <c r="AP84" s="106">
        <f>+HLOOKUP($C84,BP!$DI$2:$DU$250,119,0)</f>
        <v>5680</v>
      </c>
      <c r="AQ84" s="106">
        <f>+HLOOKUP($C84,BP!$DI$2:$DU$250,120,0)</f>
        <v>2400</v>
      </c>
      <c r="AR84" s="106">
        <f>+HLOOKUP($C84,BP!$DI$2:$DU$250,121,0)</f>
        <v>1500</v>
      </c>
      <c r="AS84" s="106">
        <f>+HLOOKUP($C84,BP!$DI$2:$DU$250,122,0)</f>
        <v>7400</v>
      </c>
      <c r="AT84" s="106">
        <f>+HLOOKUP($C84,BP!$DI$2:$DU$250,123,0)</f>
        <v>2286.8210263888886</v>
      </c>
      <c r="AU84" s="106">
        <f>+HLOOKUP($C84,BP!$DI$2:$DU$250,124,0)</f>
        <v>0</v>
      </c>
      <c r="AV84" s="106">
        <f>+HLOOKUP($C84,BP!$DI$2:$DU$250,125,0)</f>
        <v>15690</v>
      </c>
      <c r="AW84" s="106">
        <f>+HLOOKUP($C84,BP!$DI$2:$DU$250,126,0)</f>
        <v>836.53846153846155</v>
      </c>
      <c r="AX84" s="106">
        <f>+HLOOKUP($C84,BP!$DI$2:$DU$250,127,0)</f>
        <v>1283.3333333333333</v>
      </c>
      <c r="AY84" s="106">
        <f>+HLOOKUP($C84,BP!$DI$2:$DU$250,129,0)</f>
        <v>0</v>
      </c>
      <c r="AZ84" s="106">
        <f>+HLOOKUP($C84,BP!$DI$2:$DU$250,130,0)</f>
        <v>0</v>
      </c>
      <c r="BA84" s="106">
        <f>+HLOOKUP($C84,BP!$DI$2:$DU$250,131,0)</f>
        <v>10000</v>
      </c>
      <c r="BB84" s="106">
        <f>+HLOOKUP($C84,BP!$DI$2:$DU$250,133,0)</f>
        <v>0</v>
      </c>
      <c r="BC84" s="106">
        <f>+HLOOKUP($C84,BP!$DI$2:$DU$250,134,0)</f>
        <v>3155.5342874999997</v>
      </c>
      <c r="BD84" s="106">
        <f>+HLOOKUP($C84,BP!$DI$2:$DU$250,135,0)</f>
        <v>0</v>
      </c>
      <c r="BE84" s="106">
        <f>+HLOOKUP($C84,BP!$DI$2:$DU$250,136,0)</f>
        <v>0</v>
      </c>
      <c r="BF84" s="106">
        <f>+HLOOKUP($C84,BP!$DI$2:$DU$250,138,0)</f>
        <v>600</v>
      </c>
      <c r="BG84" s="106">
        <f>+HLOOKUP($C84,BP!$DI$2:$DU$250,139,0)</f>
        <v>3953.1971666666673</v>
      </c>
      <c r="BH84" s="106">
        <f>+HLOOKUP($C84,BP!$DI$2:$DU$250,140,0)</f>
        <v>18000</v>
      </c>
      <c r="BI84" s="106">
        <f>+HLOOKUP($C84,BP!$DI$2:$DU$250,141,0)</f>
        <v>0</v>
      </c>
      <c r="BJ84" s="106">
        <f>+HLOOKUP($C84,BP!$DI$2:$DU$250,142,0)</f>
        <v>0</v>
      </c>
      <c r="BK84" s="106">
        <f>+HLOOKUP($C84,BP!$DI$2:$DU$250,143,0)</f>
        <v>2465</v>
      </c>
      <c r="BL84" s="106">
        <f>+HLOOKUP($C84,BP!$DI$2:$DU$250,144,0)</f>
        <v>1444.4444444444446</v>
      </c>
      <c r="BM84" s="106">
        <f>+HLOOKUP($C84,BP!$DI$2:$DU$250,146,0)</f>
        <v>0</v>
      </c>
      <c r="BN84" s="106">
        <f>+HLOOKUP($C84,BP!$DI$2:$DU$250,147,0)</f>
        <v>0</v>
      </c>
      <c r="BO84" s="106">
        <f>+HLOOKUP($C84,BP!$DI$2:$DU$250,148,0)</f>
        <v>0</v>
      </c>
      <c r="BP84" s="106">
        <f>+HLOOKUP($C84,BP!$DI$2:$DU$250,150,0)</f>
        <v>12887.84</v>
      </c>
      <c r="BQ84" s="106">
        <f>+HLOOKUP($C84,BP!$DI$2:$DU$250,151,0)</f>
        <v>992.2</v>
      </c>
      <c r="BR84" s="106">
        <f>+HLOOKUP($C84,BP!$DI$2:$DU$250,152,0)</f>
        <v>6400</v>
      </c>
      <c r="BS84" s="106">
        <f>+HLOOKUP($C84,BP!$DI$2:$DU$250,153,0)</f>
        <v>1200</v>
      </c>
      <c r="BT84" s="106">
        <f>+HLOOKUP($C84,BP!$DI$2:$DU$250,157,0)</f>
        <v>4240</v>
      </c>
      <c r="BU84" s="106">
        <f>+HLOOKUP($C84,BP!$DI$2:$DU$250,158,0)</f>
        <v>870</v>
      </c>
      <c r="BV84" s="106">
        <f>+HLOOKUP($C84,BP!$DI$2:$DU$250,159,0)</f>
        <v>0</v>
      </c>
      <c r="BW84" s="106">
        <f>+HLOOKUP($C84,BP!$DI$2:$DU$250,160,0)</f>
        <v>4400</v>
      </c>
      <c r="BX84" s="106">
        <f>+HLOOKUP($C84,BP!$DI$2:$DU$250,161,0)</f>
        <v>4884.9205119999997</v>
      </c>
      <c r="BY84" s="106">
        <f>+HLOOKUP($C84,BP!$DI$2:$DU$250,164,0)</f>
        <v>0</v>
      </c>
      <c r="BZ84" s="106">
        <f>+HLOOKUP($C84,BP!$DI$2:$DU$250,165,0)</f>
        <v>0</v>
      </c>
      <c r="CA84" s="106">
        <f>+HLOOKUP($C84,BP!$DI$2:$DU$250,166,0)</f>
        <v>0</v>
      </c>
      <c r="CB84" s="106">
        <f>+HLOOKUP($C84,BP!$DI$2:$DU$250,167,0)</f>
        <v>0</v>
      </c>
      <c r="CC84" s="106">
        <f>+HLOOKUP($C84,BP!$DI$2:$DU$250,168,0)</f>
        <v>0</v>
      </c>
      <c r="CD84" s="106">
        <f>+HLOOKUP($C84,BP!$DI$2:$DU$250,169,0)</f>
        <v>0</v>
      </c>
      <c r="CE84" s="106">
        <f>+HLOOKUP($C84,BP!$DI$2:$DU$250,170,0)</f>
        <v>0</v>
      </c>
      <c r="CF84" s="106">
        <f>+HLOOKUP($C84,BP!$DI$2:$DU$250,172,0)</f>
        <v>7200</v>
      </c>
      <c r="CG84" s="106">
        <f>+HLOOKUP($C84,BP!$DI$2:$DU$250,173,0)</f>
        <v>7200</v>
      </c>
      <c r="CH84" s="106">
        <f>+HLOOKUP($C84,BP!$DI$2:$DU$250,174,0)</f>
        <v>38400</v>
      </c>
      <c r="CI84" s="106">
        <f>+HLOOKUP($C84,BP!$DI$2:$DU$250,175,0)</f>
        <v>2972</v>
      </c>
      <c r="CJ84" s="106">
        <f>+HLOOKUP($C84,BP!$DI$2:$DU$250,176,0)</f>
        <v>2370</v>
      </c>
      <c r="CK84" s="106">
        <f>+HLOOKUP($C84,BP!$DI$2:$DU$250,178,0)</f>
        <v>24000</v>
      </c>
      <c r="CL84" s="106">
        <f>+HLOOKUP($C84,BP!$DI$2:$DU$250,179,0)</f>
        <v>0</v>
      </c>
      <c r="CM84" s="106">
        <f>+HLOOKUP($C84,BP!$DI$2:$DU$250,180,0)</f>
        <v>5880</v>
      </c>
      <c r="CN84" s="106">
        <f>+HLOOKUP($C84,BP!$DI$2:$DU$250,182,0)</f>
        <v>245.70000000000002</v>
      </c>
      <c r="CO84" s="106">
        <f>+HLOOKUP($C84,BP!$DI$2:$DU$250,183,0)</f>
        <v>4690.2</v>
      </c>
      <c r="CP84" s="106">
        <f>+HLOOKUP($C84,BP!$DI$2:$DU$250,184,0)</f>
        <v>2160</v>
      </c>
      <c r="CQ84" s="106">
        <f>+HLOOKUP($C84,BP!$DI$2:$DU$250,185,0)</f>
        <v>0</v>
      </c>
      <c r="CR84" s="106">
        <f>+HLOOKUP($C84,BP!$DI$2:$DU$250,187,0)</f>
        <v>1249.92</v>
      </c>
      <c r="CS84" s="106">
        <f>+HLOOKUP($C84,BP!$DI$2:$DU$250,188,0)</f>
        <v>1590</v>
      </c>
      <c r="CT84" s="106">
        <f>+HLOOKUP($C84,BP!$DI$2:$DU$250,189,0)</f>
        <v>1000.02</v>
      </c>
      <c r="CU84" s="106">
        <f>+HLOOKUP($C84,BP!$DI$2:$DU$250,190,0)</f>
        <v>1013.34</v>
      </c>
      <c r="CV84" s="106">
        <f>+HLOOKUP($C84,BP!$DI$2:$DU$250,191,0)</f>
        <v>0</v>
      </c>
      <c r="CW84" s="106">
        <f>+HLOOKUP($C84,BP!$DI$2:$DU$250,193,0)</f>
        <v>2470.8666666666668</v>
      </c>
      <c r="CX84" s="106">
        <f>+HLOOKUP($C84,BP!$DI$2:$DU$250,194,0)</f>
        <v>236.73333333333338</v>
      </c>
      <c r="CY84" s="106">
        <f>+HLOOKUP($C84,BP!$DI$2:$DU$250,195,0)</f>
        <v>550.02359999999999</v>
      </c>
      <c r="CZ84" s="106">
        <f>+HLOOKUP($C84,BP!$DI$2:$DU$250,196,0)</f>
        <v>0</v>
      </c>
      <c r="DA84" s="106">
        <f>+HLOOKUP($C84,BP!$DI$2:$DU$250,197,0)</f>
        <v>6566.4000000000005</v>
      </c>
      <c r="DB84" s="106">
        <f>+HLOOKUP($C84,BP!$DI$2:$DU$250,198,0)</f>
        <v>2022</v>
      </c>
      <c r="DC84" s="106">
        <f>+HLOOKUP($C84,BP!$DI$2:$DU$250,199,0)</f>
        <v>432</v>
      </c>
      <c r="DD84" s="106">
        <f>+HLOOKUP($C84,BP!$DI$2:$DU$250,200,0)</f>
        <v>140</v>
      </c>
      <c r="DE84" s="106">
        <f>+HLOOKUP($C84,BP!$DI$2:$DU$250,201,0)</f>
        <v>29.700000000000003</v>
      </c>
      <c r="DF84" s="106">
        <f>+HLOOKUP($C84,BP!$DI$2:$DU$250,202,0)</f>
        <v>0</v>
      </c>
      <c r="DG84" s="106">
        <f>+HLOOKUP($C84,BP!$DI$2:$DU$250,203,0)</f>
        <v>0</v>
      </c>
      <c r="DH84" s="106">
        <f>+HLOOKUP($C84,BP!$DI$2:$DU$250,205,0)</f>
        <v>0</v>
      </c>
      <c r="DI84" s="106">
        <f>+HLOOKUP($C84,BP!$DI$2:$DU$250,206,0)</f>
        <v>1874.915554909091</v>
      </c>
      <c r="DJ84" s="106">
        <f>+HLOOKUP($C84,BP!$DI$2:$DU$250,207,0)</f>
        <v>154.64099999999999</v>
      </c>
      <c r="DK84" s="106">
        <f>+HLOOKUP($C84,BP!$DI$2:$DU$250,209,0)</f>
        <v>0</v>
      </c>
      <c r="DL84" s="106">
        <f>+HLOOKUP($C84,BP!$DI$2:$DU$250,210,0)</f>
        <v>46796.990625000006</v>
      </c>
      <c r="DM84" s="106">
        <f>+HLOOKUP($C84,BP!$DI$2:$DU$250,211,0)</f>
        <v>0</v>
      </c>
      <c r="DN84" s="106">
        <f>+HLOOKUP($C84,BP!$DI$2:$DU$250,212,0)</f>
        <v>0</v>
      </c>
      <c r="DO84" s="106">
        <f>+HLOOKUP($C84,BP!$DI$2:$DU$250,214,0)</f>
        <v>0</v>
      </c>
      <c r="DP84" s="106">
        <f>+HLOOKUP($C84,BP!$DI$2:$DU$250,215,0)</f>
        <v>360</v>
      </c>
      <c r="DQ84" s="106">
        <f>+HLOOKUP($C84,BP!$DI$2:$DU$250,219,0)</f>
        <v>0</v>
      </c>
      <c r="DR84" s="106">
        <f>+HLOOKUP($C84,BP!$DI$2:$DU$250,220,0)</f>
        <v>0</v>
      </c>
      <c r="DS84" s="106">
        <f>+HLOOKUP($C84,BP!$DI$2:$DU$250,221,0)</f>
        <v>0</v>
      </c>
      <c r="DT84" s="106">
        <f>+HLOOKUP($C84,BP!$DI$2:$DU$250,223,0)</f>
        <v>7500</v>
      </c>
      <c r="DU84" s="106">
        <f>+HLOOKUP($C84,BP!$DI$2:$DU$250,224,0)</f>
        <v>0</v>
      </c>
      <c r="DV84" s="106">
        <f>+HLOOKUP($C84,BP!$DI$2:$DU$250,225,0)</f>
        <v>0</v>
      </c>
      <c r="DW84" s="106">
        <f>+HLOOKUP($C84,BP!$DI$2:$DU$250,227,0)</f>
        <v>0</v>
      </c>
      <c r="DX84" s="106">
        <f>+HLOOKUP($C84,BP!$DI$2:$DU$250,228,0)</f>
        <v>0</v>
      </c>
      <c r="DY84" s="106">
        <f>+HLOOKUP($C84,BP!$DI$2:$DU$250,236,0)</f>
        <v>0</v>
      </c>
      <c r="DZ84" s="106">
        <f>+HLOOKUP($C84,BP!$DI$2:$DU$250,237,0)</f>
        <v>62145.389508558743</v>
      </c>
      <c r="EA84" s="106">
        <f>+HLOOKUP($C84,BP!$DI$2:$DU$250,238,0)</f>
        <v>0</v>
      </c>
      <c r="EB84" s="106">
        <f>+HLOOKUP($C84,BP!$DI$2:$DU$250,240,0)</f>
        <v>155829.26235714319</v>
      </c>
    </row>
    <row r="85" spans="1:132">
      <c r="A85" t="s">
        <v>271</v>
      </c>
      <c r="B85" t="s">
        <v>218</v>
      </c>
      <c r="C85" s="117">
        <v>45658</v>
      </c>
      <c r="D85" s="106">
        <f t="shared" si="1"/>
        <v>3043248.0000000005</v>
      </c>
      <c r="E85" s="106">
        <f>+HLOOKUP(C85,BP!$DI$2:$DU$250,28,0)+HLOOKUP(C85,BP!$DI$2:$DU$250,43,0)+HLOOKUP(C85,BP!$DI$2:$DU$250,44,0)+HLOOKUP(C85,BP!$DI$2:$DU$250,45,0)+HLOOKUP(C85,BP!$DI$2:$DU$250,54,0)+HLOOKUP(C85,BP!$DI$2:$DU$250,59,0)</f>
        <v>3043248.0000000005</v>
      </c>
      <c r="F85" s="106">
        <f>+HLOOKUP(C85,BP!$DI$2:$DU$250,37,0)+HLOOKUP(C85,BP!$DI$2:$DU$250,55,0)</f>
        <v>2009315.8036006948</v>
      </c>
      <c r="G85" s="106">
        <f>+HLOOKUP($C85,BP!$DI$2:$DU$250,76,0)</f>
        <v>0</v>
      </c>
      <c r="H85" s="106">
        <f>+HLOOKUP($C85,BP!$DI$2:$DU$250,77,0)</f>
        <v>0</v>
      </c>
      <c r="I85" s="106">
        <f>+HLOOKUP($C85,BP!$DI$2:$DU$250,78,0)</f>
        <v>0</v>
      </c>
      <c r="J85" s="106">
        <f>+HLOOKUP($C85,BP!$DI$2:$DU$250,79,0)</f>
        <v>0</v>
      </c>
      <c r="K85" s="106">
        <f>+HLOOKUP($C85,BP!$DI$2:$DU$250,80,0)</f>
        <v>0</v>
      </c>
      <c r="L85" s="106">
        <f>+HLOOKUP($C85,BP!$DI$2:$DU$250,81,0)</f>
        <v>0</v>
      </c>
      <c r="M85" s="106">
        <f>+HLOOKUP($C85,BP!$DI$2:$DU$250,82,0)</f>
        <v>0</v>
      </c>
      <c r="N85" s="106">
        <f>+HLOOKUP($C85,BP!$DI$2:$DU$250,83,0)</f>
        <v>0</v>
      </c>
      <c r="O85" s="106">
        <f>+HLOOKUP($C85,BP!$DI$2:$DU$250,84,0)</f>
        <v>0</v>
      </c>
      <c r="P85" s="106">
        <f>+HLOOKUP($C85,BP!$DI$2:$DU$250,85,0)</f>
        <v>0</v>
      </c>
      <c r="Q85" s="106">
        <f>+HLOOKUP($C85,BP!$DI$2:$DU$250,87,0)</f>
        <v>65544.960000000006</v>
      </c>
      <c r="R85" s="106">
        <f>+HLOOKUP($C85,BP!$DI$2:$DU$250,90,0)</f>
        <v>0</v>
      </c>
      <c r="S85" s="106">
        <f>+HLOOKUP($C85,BP!$DI$2:$DU$250,91,0)</f>
        <v>0</v>
      </c>
      <c r="T85" s="106">
        <f>+HLOOKUP($C85,BP!$DI$2:$DU$250,92,0)</f>
        <v>0</v>
      </c>
      <c r="U85" s="106">
        <f>+HLOOKUP($C85,BP!$DI$2:$DU$250,93,0)</f>
        <v>0</v>
      </c>
      <c r="V85" s="106">
        <f>+HLOOKUP($C85,BP!$DI$2:$DU$250,94,0)</f>
        <v>0</v>
      </c>
      <c r="W85" s="106">
        <f>+HLOOKUP($C85,BP!$DI$2:$DU$250,95,0)</f>
        <v>0</v>
      </c>
      <c r="X85" s="106">
        <f>+HLOOKUP($C85,BP!$DI$2:$DU$250,96,0)</f>
        <v>0</v>
      </c>
      <c r="Y85" s="106">
        <f>+HLOOKUP($C85,BP!$DI$2:$DU$250,97,0)</f>
        <v>0</v>
      </c>
      <c r="Z85" s="106">
        <f>+HLOOKUP($C85,BP!$DI$2:$DU$250,98,0)</f>
        <v>0</v>
      </c>
      <c r="AA85" s="106">
        <f>+HLOOKUP($C85,BP!$DI$2:$DU$250,99,0)</f>
        <v>0</v>
      </c>
      <c r="AB85" s="106">
        <f>+HLOOKUP($C85,BP!$DI$2:$DU$250,100,0)</f>
        <v>0</v>
      </c>
      <c r="AC85" s="106">
        <f>+HLOOKUP($C85,BP!$DI$2:$DU$250,101,0)</f>
        <v>0</v>
      </c>
      <c r="AD85" s="106">
        <f>+HLOOKUP($C85,BP!$DI$2:$DU$250,104,0)</f>
        <v>3581.6976000000004</v>
      </c>
      <c r="AE85" s="106">
        <f>+HLOOKUP($C85,BP!$DI$2:$DU$250,105,0)</f>
        <v>11938.992000000002</v>
      </c>
      <c r="AF85" s="106">
        <f>+HLOOKUP($C85,BP!$DI$2:$DU$250,106,0)</f>
        <v>0</v>
      </c>
      <c r="AG85" s="106">
        <f>+HLOOKUP($C85,BP!$DI$2:$DU$250,107,0)</f>
        <v>0</v>
      </c>
      <c r="AH85" s="106">
        <f>+HLOOKUP($C85,BP!$DI$2:$DU$250,108,0)</f>
        <v>0</v>
      </c>
      <c r="AI85" s="106">
        <f>+HLOOKUP($C85,BP!$DI$2:$DU$250,109,0)</f>
        <v>0</v>
      </c>
      <c r="AJ85" s="106">
        <f>+HLOOKUP($C85,BP!$DI$2:$DU$250,110,0)</f>
        <v>0</v>
      </c>
      <c r="AK85" s="106">
        <f>+HLOOKUP($C85,BP!$DI$2:$DU$250,111,0)</f>
        <v>716.33952000000011</v>
      </c>
      <c r="AL85" s="106">
        <f>+HLOOKUP($C85,BP!$DI$2:$DU$250,112,0)</f>
        <v>0</v>
      </c>
      <c r="AM85" s="106">
        <f>+HLOOKUP($C85,BP!$DI$2:$DU$250,116,0)</f>
        <v>17400</v>
      </c>
      <c r="AN85" s="106">
        <f>+HLOOKUP($C85,BP!$DI$2:$DU$250,117,0)</f>
        <v>2620</v>
      </c>
      <c r="AO85" s="106">
        <f>+HLOOKUP($C85,BP!$DI$2:$DU$250,118,0)</f>
        <v>0</v>
      </c>
      <c r="AP85" s="106">
        <f>+HLOOKUP($C85,BP!$DI$2:$DU$250,119,0)</f>
        <v>5680</v>
      </c>
      <c r="AQ85" s="106">
        <f>+HLOOKUP($C85,BP!$DI$2:$DU$250,120,0)</f>
        <v>2400</v>
      </c>
      <c r="AR85" s="106">
        <f>+HLOOKUP($C85,BP!$DI$2:$DU$250,121,0)</f>
        <v>1500</v>
      </c>
      <c r="AS85" s="106">
        <f>+HLOOKUP($C85,BP!$DI$2:$DU$250,122,0)</f>
        <v>7400</v>
      </c>
      <c r="AT85" s="106">
        <f>+HLOOKUP($C85,BP!$DI$2:$DU$250,123,0)</f>
        <v>2286.8210263888886</v>
      </c>
      <c r="AU85" s="106">
        <f>+HLOOKUP($C85,BP!$DI$2:$DU$250,124,0)</f>
        <v>0</v>
      </c>
      <c r="AV85" s="106">
        <f>+HLOOKUP($C85,BP!$DI$2:$DU$250,125,0)</f>
        <v>15690</v>
      </c>
      <c r="AW85" s="106">
        <f>+HLOOKUP($C85,BP!$DI$2:$DU$250,126,0)</f>
        <v>836.53846153846155</v>
      </c>
      <c r="AX85" s="106">
        <f>+HLOOKUP($C85,BP!$DI$2:$DU$250,127,0)</f>
        <v>1283.3333333333333</v>
      </c>
      <c r="AY85" s="106">
        <f>+HLOOKUP($C85,BP!$DI$2:$DU$250,129,0)</f>
        <v>0</v>
      </c>
      <c r="AZ85" s="106">
        <f>+HLOOKUP($C85,BP!$DI$2:$DU$250,130,0)</f>
        <v>0</v>
      </c>
      <c r="BA85" s="106">
        <f>+HLOOKUP($C85,BP!$DI$2:$DU$250,131,0)</f>
        <v>10000</v>
      </c>
      <c r="BB85" s="106">
        <f>+HLOOKUP($C85,BP!$DI$2:$DU$250,133,0)</f>
        <v>0</v>
      </c>
      <c r="BC85" s="106">
        <f>+HLOOKUP($C85,BP!$DI$2:$DU$250,134,0)</f>
        <v>3155.5342874999997</v>
      </c>
      <c r="BD85" s="106">
        <f>+HLOOKUP($C85,BP!$DI$2:$DU$250,135,0)</f>
        <v>0</v>
      </c>
      <c r="BE85" s="106">
        <f>+HLOOKUP($C85,BP!$DI$2:$DU$250,136,0)</f>
        <v>0</v>
      </c>
      <c r="BF85" s="106">
        <f>+HLOOKUP($C85,BP!$DI$2:$DU$250,138,0)</f>
        <v>600</v>
      </c>
      <c r="BG85" s="106">
        <f>+HLOOKUP($C85,BP!$DI$2:$DU$250,139,0)</f>
        <v>3953.1971666666673</v>
      </c>
      <c r="BH85" s="106">
        <f>+HLOOKUP($C85,BP!$DI$2:$DU$250,140,0)</f>
        <v>18000</v>
      </c>
      <c r="BI85" s="106">
        <f>+HLOOKUP($C85,BP!$DI$2:$DU$250,141,0)</f>
        <v>0</v>
      </c>
      <c r="BJ85" s="106">
        <f>+HLOOKUP($C85,BP!$DI$2:$DU$250,142,0)</f>
        <v>0</v>
      </c>
      <c r="BK85" s="106">
        <f>+HLOOKUP($C85,BP!$DI$2:$DU$250,143,0)</f>
        <v>2465</v>
      </c>
      <c r="BL85" s="106">
        <f>+HLOOKUP($C85,BP!$DI$2:$DU$250,144,0)</f>
        <v>1444.4444444444446</v>
      </c>
      <c r="BM85" s="106">
        <f>+HLOOKUP($C85,BP!$DI$2:$DU$250,146,0)</f>
        <v>0</v>
      </c>
      <c r="BN85" s="106">
        <f>+HLOOKUP($C85,BP!$DI$2:$DU$250,147,0)</f>
        <v>0</v>
      </c>
      <c r="BO85" s="106">
        <f>+HLOOKUP($C85,BP!$DI$2:$DU$250,148,0)</f>
        <v>0</v>
      </c>
      <c r="BP85" s="106">
        <f>+HLOOKUP($C85,BP!$DI$2:$DU$250,150,0)</f>
        <v>12887.84</v>
      </c>
      <c r="BQ85" s="106">
        <f>+HLOOKUP($C85,BP!$DI$2:$DU$250,151,0)</f>
        <v>992.2</v>
      </c>
      <c r="BR85" s="106">
        <f>+HLOOKUP($C85,BP!$DI$2:$DU$250,152,0)</f>
        <v>6400</v>
      </c>
      <c r="BS85" s="106">
        <f>+HLOOKUP($C85,BP!$DI$2:$DU$250,153,0)</f>
        <v>1200</v>
      </c>
      <c r="BT85" s="106">
        <f>+HLOOKUP($C85,BP!$DI$2:$DU$250,157,0)</f>
        <v>4240</v>
      </c>
      <c r="BU85" s="106">
        <f>+HLOOKUP($C85,BP!$DI$2:$DU$250,158,0)</f>
        <v>870</v>
      </c>
      <c r="BV85" s="106">
        <f>+HLOOKUP($C85,BP!$DI$2:$DU$250,159,0)</f>
        <v>0</v>
      </c>
      <c r="BW85" s="106">
        <f>+HLOOKUP($C85,BP!$DI$2:$DU$250,160,0)</f>
        <v>4400</v>
      </c>
      <c r="BX85" s="106">
        <f>+HLOOKUP($C85,BP!$DI$2:$DU$250,161,0)</f>
        <v>4884.9205119999997</v>
      </c>
      <c r="BY85" s="106">
        <f>+HLOOKUP($C85,BP!$DI$2:$DU$250,164,0)</f>
        <v>0</v>
      </c>
      <c r="BZ85" s="106">
        <f>+HLOOKUP($C85,BP!$DI$2:$DU$250,165,0)</f>
        <v>0</v>
      </c>
      <c r="CA85" s="106">
        <f>+HLOOKUP($C85,BP!$DI$2:$DU$250,166,0)</f>
        <v>0</v>
      </c>
      <c r="CB85" s="106">
        <f>+HLOOKUP($C85,BP!$DI$2:$DU$250,167,0)</f>
        <v>0</v>
      </c>
      <c r="CC85" s="106">
        <f>+HLOOKUP($C85,BP!$DI$2:$DU$250,168,0)</f>
        <v>0</v>
      </c>
      <c r="CD85" s="106">
        <f>+HLOOKUP($C85,BP!$DI$2:$DU$250,169,0)</f>
        <v>0</v>
      </c>
      <c r="CE85" s="106">
        <f>+HLOOKUP($C85,BP!$DI$2:$DU$250,170,0)</f>
        <v>0</v>
      </c>
      <c r="CF85" s="106">
        <f>+HLOOKUP($C85,BP!$DI$2:$DU$250,172,0)</f>
        <v>7200</v>
      </c>
      <c r="CG85" s="106">
        <f>+HLOOKUP($C85,BP!$DI$2:$DU$250,173,0)</f>
        <v>7200</v>
      </c>
      <c r="CH85" s="106">
        <f>+HLOOKUP($C85,BP!$DI$2:$DU$250,174,0)</f>
        <v>38400</v>
      </c>
      <c r="CI85" s="106">
        <f>+HLOOKUP($C85,BP!$DI$2:$DU$250,175,0)</f>
        <v>2972</v>
      </c>
      <c r="CJ85" s="106">
        <f>+HLOOKUP($C85,BP!$DI$2:$DU$250,176,0)</f>
        <v>2370</v>
      </c>
      <c r="CK85" s="106">
        <f>+HLOOKUP($C85,BP!$DI$2:$DU$250,178,0)</f>
        <v>24000</v>
      </c>
      <c r="CL85" s="106">
        <f>+HLOOKUP($C85,BP!$DI$2:$DU$250,179,0)</f>
        <v>0</v>
      </c>
      <c r="CM85" s="106">
        <f>+HLOOKUP($C85,BP!$DI$2:$DU$250,180,0)</f>
        <v>5880</v>
      </c>
      <c r="CN85" s="106">
        <f>+HLOOKUP($C85,BP!$DI$2:$DU$250,182,0)</f>
        <v>245.70000000000002</v>
      </c>
      <c r="CO85" s="106">
        <f>+HLOOKUP($C85,BP!$DI$2:$DU$250,183,0)</f>
        <v>4690.2</v>
      </c>
      <c r="CP85" s="106">
        <f>+HLOOKUP($C85,BP!$DI$2:$DU$250,184,0)</f>
        <v>2160</v>
      </c>
      <c r="CQ85" s="106">
        <f>+HLOOKUP($C85,BP!$DI$2:$DU$250,185,0)</f>
        <v>0</v>
      </c>
      <c r="CR85" s="106">
        <f>+HLOOKUP($C85,BP!$DI$2:$DU$250,187,0)</f>
        <v>1249.92</v>
      </c>
      <c r="CS85" s="106">
        <f>+HLOOKUP($C85,BP!$DI$2:$DU$250,188,0)</f>
        <v>1590</v>
      </c>
      <c r="CT85" s="106">
        <f>+HLOOKUP($C85,BP!$DI$2:$DU$250,189,0)</f>
        <v>1000.02</v>
      </c>
      <c r="CU85" s="106">
        <f>+HLOOKUP($C85,BP!$DI$2:$DU$250,190,0)</f>
        <v>1013.34</v>
      </c>
      <c r="CV85" s="106">
        <f>+HLOOKUP($C85,BP!$DI$2:$DU$250,191,0)</f>
        <v>0</v>
      </c>
      <c r="CW85" s="106">
        <f>+HLOOKUP($C85,BP!$DI$2:$DU$250,193,0)</f>
        <v>2470.8666666666668</v>
      </c>
      <c r="CX85" s="106">
        <f>+HLOOKUP($C85,BP!$DI$2:$DU$250,194,0)</f>
        <v>236.73333333333338</v>
      </c>
      <c r="CY85" s="106">
        <f>+HLOOKUP($C85,BP!$DI$2:$DU$250,195,0)</f>
        <v>550.02359999999999</v>
      </c>
      <c r="CZ85" s="106">
        <f>+HLOOKUP($C85,BP!$DI$2:$DU$250,196,0)</f>
        <v>0</v>
      </c>
      <c r="DA85" s="106">
        <f>+HLOOKUP($C85,BP!$DI$2:$DU$250,197,0)</f>
        <v>6566.4000000000005</v>
      </c>
      <c r="DB85" s="106">
        <f>+HLOOKUP($C85,BP!$DI$2:$DU$250,198,0)</f>
        <v>2022</v>
      </c>
      <c r="DC85" s="106">
        <f>+HLOOKUP($C85,BP!$DI$2:$DU$250,199,0)</f>
        <v>432</v>
      </c>
      <c r="DD85" s="106">
        <f>+HLOOKUP($C85,BP!$DI$2:$DU$250,200,0)</f>
        <v>140</v>
      </c>
      <c r="DE85" s="106">
        <f>+HLOOKUP($C85,BP!$DI$2:$DU$250,201,0)</f>
        <v>29.700000000000003</v>
      </c>
      <c r="DF85" s="106">
        <f>+HLOOKUP($C85,BP!$DI$2:$DU$250,202,0)</f>
        <v>0</v>
      </c>
      <c r="DG85" s="106">
        <f>+HLOOKUP($C85,BP!$DI$2:$DU$250,203,0)</f>
        <v>0</v>
      </c>
      <c r="DH85" s="106">
        <f>+HLOOKUP($C85,BP!$DI$2:$DU$250,205,0)</f>
        <v>0</v>
      </c>
      <c r="DI85" s="106">
        <f>+HLOOKUP($C85,BP!$DI$2:$DU$250,206,0)</f>
        <v>1874.915554909091</v>
      </c>
      <c r="DJ85" s="106">
        <f>+HLOOKUP($C85,BP!$DI$2:$DU$250,207,0)</f>
        <v>154.64099999999999</v>
      </c>
      <c r="DK85" s="106">
        <f>+HLOOKUP($C85,BP!$DI$2:$DU$250,209,0)</f>
        <v>0</v>
      </c>
      <c r="DL85" s="106">
        <f>+HLOOKUP($C85,BP!$DI$2:$DU$250,210,0)</f>
        <v>46796.990625000006</v>
      </c>
      <c r="DM85" s="106">
        <f>+HLOOKUP($C85,BP!$DI$2:$DU$250,211,0)</f>
        <v>0</v>
      </c>
      <c r="DN85" s="106">
        <f>+HLOOKUP($C85,BP!$DI$2:$DU$250,212,0)</f>
        <v>0</v>
      </c>
      <c r="DO85" s="106">
        <f>+HLOOKUP($C85,BP!$DI$2:$DU$250,214,0)</f>
        <v>0</v>
      </c>
      <c r="DP85" s="106">
        <f>+HLOOKUP($C85,BP!$DI$2:$DU$250,215,0)</f>
        <v>360</v>
      </c>
      <c r="DQ85" s="106">
        <f>+HLOOKUP($C85,BP!$DI$2:$DU$250,219,0)</f>
        <v>0</v>
      </c>
      <c r="DR85" s="106">
        <f>+HLOOKUP($C85,BP!$DI$2:$DU$250,220,0)</f>
        <v>0</v>
      </c>
      <c r="DS85" s="106">
        <f>+HLOOKUP($C85,BP!$DI$2:$DU$250,221,0)</f>
        <v>0</v>
      </c>
      <c r="DT85" s="106">
        <f>+HLOOKUP($C85,BP!$DI$2:$DU$250,223,0)</f>
        <v>7500</v>
      </c>
      <c r="DU85" s="106">
        <f>+HLOOKUP($C85,BP!$DI$2:$DU$250,224,0)</f>
        <v>0</v>
      </c>
      <c r="DV85" s="106">
        <f>+HLOOKUP($C85,BP!$DI$2:$DU$250,225,0)</f>
        <v>0</v>
      </c>
      <c r="DW85" s="106">
        <f>+HLOOKUP($C85,BP!$DI$2:$DU$250,227,0)</f>
        <v>0</v>
      </c>
      <c r="DX85" s="106">
        <f>+HLOOKUP($C85,BP!$DI$2:$DU$250,228,0)</f>
        <v>0</v>
      </c>
      <c r="DY85" s="106">
        <f>+HLOOKUP($C85,BP!$DI$2:$DU$250,236,0)</f>
        <v>0</v>
      </c>
      <c r="DZ85" s="106">
        <f>+HLOOKUP($C85,BP!$DI$2:$DU$250,237,0)</f>
        <v>69663.871880733524</v>
      </c>
      <c r="EA85" s="106">
        <f>+HLOOKUP($C85,BP!$DI$2:$DU$250,238,0)</f>
        <v>0</v>
      </c>
      <c r="EB85" s="106">
        <f>+HLOOKUP($C85,BP!$DI$2:$DU$250,240,0)</f>
        <v>155829.26235714319</v>
      </c>
    </row>
    <row r="86" spans="1:132">
      <c r="A86" t="s">
        <v>272</v>
      </c>
      <c r="B86" t="s">
        <v>218</v>
      </c>
      <c r="C86" s="117">
        <v>45992</v>
      </c>
      <c r="D86" s="106">
        <f t="shared" si="1"/>
        <v>1141555.0505050505</v>
      </c>
      <c r="E86" s="106">
        <f>+HLOOKUP(C86,BP!$EY$2:$FK$250,28,0)+HLOOKUP(C86,BP!$EY$2:$FK$250,43,0)+HLOOKUP(C86,BP!$EY$2:$FK$250,44,0)+HLOOKUP(C86,BP!$EY$2:$FK$250,45,0)+HLOOKUP(C86,BP!$EY$2:$FK$250,54,0)+HLOOKUP(C86,BP!$EY$2:$FK$250,59,0)</f>
        <v>1141555.0505050505</v>
      </c>
      <c r="F86" s="106">
        <f>+HLOOKUP(C86,BP!$EY$2:$FK$250,37,0)+HLOOKUP(C86,BP!$EY$2:$FK$250,55,0)</f>
        <v>764849.71950271947</v>
      </c>
      <c r="G86" s="106">
        <f>+HLOOKUP($C86,BP!$EY$2:$FK$250,76,0)</f>
        <v>0</v>
      </c>
      <c r="H86" s="106">
        <f>+HLOOKUP($C86,BP!$EY$2:$FK$250,77,0)</f>
        <v>0</v>
      </c>
      <c r="I86" s="106">
        <f>+HLOOKUP($C86,BP!$EY$2:$FK$250,78,0)</f>
        <v>0</v>
      </c>
      <c r="J86" s="106">
        <f>+HLOOKUP($C86,BP!$EY$2:$FK$250,79,0)</f>
        <v>0</v>
      </c>
      <c r="K86" s="106">
        <f>+HLOOKUP($C86,BP!$EY$2:$FK$250,80,0)</f>
        <v>0</v>
      </c>
      <c r="L86" s="106">
        <f>+HLOOKUP($C86,BP!$EY$2:$FK$250,81,0)</f>
        <v>0</v>
      </c>
      <c r="M86" s="106">
        <f>+HLOOKUP($C86,BP!$EY$2:$FK$250,82,0)</f>
        <v>0</v>
      </c>
      <c r="N86" s="106">
        <f>+HLOOKUP($C86,BP!$EY$2:$FK$250,83,0)</f>
        <v>0</v>
      </c>
      <c r="O86" s="106">
        <f>+HLOOKUP($C86,BP!$EY$2:$FK$250,84,0)</f>
        <v>0</v>
      </c>
      <c r="P86" s="106">
        <f>+HLOOKUP($C86,BP!$EY$2:$FK$250,85,0)</f>
        <v>0</v>
      </c>
      <c r="Q86" s="106">
        <f>+HLOOKUP($C86,BP!$EY$2:$FK$250,87,0)</f>
        <v>65520.000000000007</v>
      </c>
      <c r="R86" s="106">
        <f>+HLOOKUP($C86,BP!$EY$2:$FK$250,90,0)</f>
        <v>0</v>
      </c>
      <c r="S86" s="106">
        <f>+HLOOKUP($C86,BP!$EY$2:$FK$250,91,0)</f>
        <v>0</v>
      </c>
      <c r="T86" s="106">
        <f>+HLOOKUP($C86,BP!$EY$2:$FK$250,92,0)</f>
        <v>0</v>
      </c>
      <c r="U86" s="106">
        <f>+HLOOKUP($C86,BP!$EY$2:$FK$250,93,0)</f>
        <v>0</v>
      </c>
      <c r="V86" s="106">
        <f>+HLOOKUP($C86,BP!$EY$2:$FK$250,94,0)</f>
        <v>0</v>
      </c>
      <c r="W86" s="106">
        <f>+HLOOKUP($C86,BP!$EY$2:$FK$250,95,0)</f>
        <v>0</v>
      </c>
      <c r="X86" s="106">
        <f>+HLOOKUP($C86,BP!$EY$2:$FK$250,96,0)</f>
        <v>0</v>
      </c>
      <c r="Y86" s="106">
        <f>+HLOOKUP($C86,BP!$EY$2:$FK$250,97,0)</f>
        <v>0</v>
      </c>
      <c r="Z86" s="106">
        <f>+HLOOKUP($C86,BP!$EY$2:$FK$250,98,0)</f>
        <v>0</v>
      </c>
      <c r="AA86" s="106">
        <f>+HLOOKUP($C86,BP!$EY$2:$FK$250,99,0)</f>
        <v>0</v>
      </c>
      <c r="AB86" s="106">
        <f>+HLOOKUP($C86,BP!$EY$2:$FK$250,100,0)</f>
        <v>0</v>
      </c>
      <c r="AC86" s="106">
        <f>+HLOOKUP($C86,BP!$EY$2:$FK$250,101,0)</f>
        <v>0</v>
      </c>
      <c r="AD86" s="106">
        <f>+HLOOKUP($C86,BP!$EY$2:$FK$250,104,0)</f>
        <v>2522.5200000000004</v>
      </c>
      <c r="AE86" s="106">
        <f>+HLOOKUP($C86,BP!$EY$2:$FK$250,105,0)</f>
        <v>8190.0000000000009</v>
      </c>
      <c r="AF86" s="106">
        <f>+HLOOKUP($C86,BP!$EY$2:$FK$250,106,0)</f>
        <v>0</v>
      </c>
      <c r="AG86" s="106">
        <f>+HLOOKUP($C86,BP!$EY$2:$FK$250,107,0)</f>
        <v>0</v>
      </c>
      <c r="AH86" s="106">
        <f>+HLOOKUP($C86,BP!$EY$2:$FK$250,108,0)</f>
        <v>0</v>
      </c>
      <c r="AI86" s="106">
        <f>+HLOOKUP($C86,BP!$EY$2:$FK$250,109,0)</f>
        <v>0</v>
      </c>
      <c r="AJ86" s="106">
        <f>+HLOOKUP($C86,BP!$EY$2:$FK$250,110,0)</f>
        <v>0</v>
      </c>
      <c r="AK86" s="106">
        <f>+HLOOKUP($C86,BP!$EY$2:$FK$250,111,0)</f>
        <v>504.50400000000013</v>
      </c>
      <c r="AL86" s="106">
        <f>+HLOOKUP($C86,BP!$EY$2:$FK$250,112,0)</f>
        <v>0</v>
      </c>
      <c r="AM86" s="106">
        <f>+HLOOKUP($C86,BP!$EY$2:$FK$250,116,0)</f>
        <v>41250</v>
      </c>
      <c r="AN86" s="106">
        <f>+HLOOKUP($C86,BP!$EY$2:$FK$250,117,0)</f>
        <v>6150</v>
      </c>
      <c r="AO86" s="106">
        <f>+HLOOKUP($C86,BP!$EY$2:$FK$250,118,0)</f>
        <v>0</v>
      </c>
      <c r="AP86" s="106">
        <f>+HLOOKUP($C86,BP!$EY$2:$FK$250,119,0)</f>
        <v>16500</v>
      </c>
      <c r="AQ86" s="106">
        <f>+HLOOKUP($C86,BP!$EY$2:$FK$250,120,0)</f>
        <v>0</v>
      </c>
      <c r="AR86" s="106">
        <f>+HLOOKUP($C86,BP!$EY$2:$FK$250,121,0)</f>
        <v>0</v>
      </c>
      <c r="AS86" s="106">
        <f>+HLOOKUP($C86,BP!$EY$2:$FK$250,122,0)</f>
        <v>18600</v>
      </c>
      <c r="AT86" s="106">
        <f>+HLOOKUP($C86,BP!$EY$2:$FK$250,123,0)</f>
        <v>5646.875</v>
      </c>
      <c r="AU86" s="106">
        <f>+HLOOKUP($C86,BP!$EY$2:$FK$250,124,0)</f>
        <v>0</v>
      </c>
      <c r="AV86" s="106">
        <f>+HLOOKUP($C86,BP!$EY$2:$FK$250,125,0)</f>
        <v>0</v>
      </c>
      <c r="AW86" s="106">
        <f>+HLOOKUP($C86,BP!$EY$2:$FK$250,126,0)</f>
        <v>1983.1730769230771</v>
      </c>
      <c r="AX86" s="106">
        <f>+HLOOKUP($C86,BP!$EY$2:$FK$250,127,0)</f>
        <v>3250</v>
      </c>
      <c r="AY86" s="106">
        <f>+HLOOKUP($C86,BP!$EY$2:$FK$250,129,0)</f>
        <v>0</v>
      </c>
      <c r="AZ86" s="106">
        <f>+HLOOKUP($C86,BP!$EY$2:$FK$250,130,0)</f>
        <v>0</v>
      </c>
      <c r="BA86" s="106">
        <f>+HLOOKUP($C86,BP!$EY$2:$FK$250,131,0)</f>
        <v>7500</v>
      </c>
      <c r="BB86" s="106">
        <f>+HLOOKUP($C86,BP!$EY$2:$FK$250,133,0)</f>
        <v>0</v>
      </c>
      <c r="BC86" s="106">
        <f>+HLOOKUP($C86,BP!$EY$2:$FK$250,134,0)</f>
        <v>0</v>
      </c>
      <c r="BD86" s="106">
        <f>+HLOOKUP($C86,BP!$EY$2:$FK$250,135,0)</f>
        <v>0</v>
      </c>
      <c r="BE86" s="106">
        <f>+HLOOKUP($C86,BP!$EY$2:$FK$250,136,0)</f>
        <v>0</v>
      </c>
      <c r="BF86" s="106">
        <f>+HLOOKUP($C86,BP!$EY$2:$FK$250,138,0)</f>
        <v>1500</v>
      </c>
      <c r="BG86" s="106">
        <f>+HLOOKUP($C86,BP!$EY$2:$FK$250,139,0)</f>
        <v>6666.6666666666661</v>
      </c>
      <c r="BH86" s="106">
        <f>+HLOOKUP($C86,BP!$EY$2:$FK$250,140,0)</f>
        <v>13400</v>
      </c>
      <c r="BI86" s="106">
        <f>+HLOOKUP($C86,BP!$EY$2:$FK$250,141,0)</f>
        <v>0</v>
      </c>
      <c r="BJ86" s="106">
        <f>+HLOOKUP($C86,BP!$EY$2:$FK$250,142,0)</f>
        <v>0</v>
      </c>
      <c r="BK86" s="106">
        <f>+HLOOKUP($C86,BP!$EY$2:$FK$250,143,0)</f>
        <v>3000</v>
      </c>
      <c r="BL86" s="106">
        <f>+HLOOKUP($C86,BP!$EY$2:$FK$250,144,0)</f>
        <v>458.33333333333337</v>
      </c>
      <c r="BM86" s="106">
        <f>+HLOOKUP($C86,BP!$EY$2:$FK$250,146,0)</f>
        <v>0</v>
      </c>
      <c r="BN86" s="106">
        <f>+HLOOKUP($C86,BP!$EY$2:$FK$250,147,0)</f>
        <v>0</v>
      </c>
      <c r="BO86" s="106">
        <f>+HLOOKUP($C86,BP!$EY$2:$FK$250,148,0)</f>
        <v>0</v>
      </c>
      <c r="BP86" s="106">
        <f>+HLOOKUP($C86,BP!$EY$2:$FK$250,150,0)</f>
        <v>26000</v>
      </c>
      <c r="BQ86" s="106">
        <f>+HLOOKUP($C86,BP!$EY$2:$FK$250,151,0)</f>
        <v>1984.4</v>
      </c>
      <c r="BR86" s="106">
        <f>+HLOOKUP($C86,BP!$EY$2:$FK$250,152,0)</f>
        <v>12800</v>
      </c>
      <c r="BS86" s="106">
        <f>+HLOOKUP($C86,BP!$EY$2:$FK$250,153,0)</f>
        <v>3000</v>
      </c>
      <c r="BT86" s="106">
        <f>+HLOOKUP($C86,BP!$EY$2:$FK$250,157,0)</f>
        <v>0</v>
      </c>
      <c r="BU86" s="106">
        <f>+HLOOKUP($C86,BP!$EY$2:$FK$250,158,0)</f>
        <v>0</v>
      </c>
      <c r="BV86" s="106">
        <f>+HLOOKUP($C86,BP!$EY$2:$FK$250,159,0)</f>
        <v>0</v>
      </c>
      <c r="BW86" s="106">
        <f>+HLOOKUP($C86,BP!$EY$2:$FK$250,160,0)</f>
        <v>0</v>
      </c>
      <c r="BX86" s="106">
        <f>+HLOOKUP($C86,BP!$EY$2:$FK$250,161,0)</f>
        <v>0</v>
      </c>
      <c r="BY86" s="106">
        <f>+HLOOKUP($C86,BP!$EY$2:$FK$250,164,0)</f>
        <v>0</v>
      </c>
      <c r="BZ86" s="106">
        <f>+HLOOKUP($C86,BP!$EY$2:$FK$250,165,0)</f>
        <v>0</v>
      </c>
      <c r="CA86" s="106">
        <f>+HLOOKUP($C86,BP!$EY$2:$FK$250,166,0)</f>
        <v>0</v>
      </c>
      <c r="CB86" s="106">
        <f>+HLOOKUP($C86,BP!$EY$2:$FK$250,167,0)</f>
        <v>0</v>
      </c>
      <c r="CC86" s="106">
        <f>+HLOOKUP($C86,BP!$EY$2:$FK$250,168,0)</f>
        <v>0</v>
      </c>
      <c r="CD86" s="106">
        <f>+HLOOKUP($C86,BP!$EY$2:$FK$250,169,0)</f>
        <v>0</v>
      </c>
      <c r="CE86" s="106">
        <f>+HLOOKUP($C86,BP!$EY$2:$FK$250,170,0)</f>
        <v>0</v>
      </c>
      <c r="CF86" s="106">
        <f>+HLOOKUP($C86,BP!$EY$2:$FK$250,172,0)</f>
        <v>0</v>
      </c>
      <c r="CG86" s="106">
        <f>+HLOOKUP($C86,BP!$EY$2:$FK$250,173,0)</f>
        <v>4800</v>
      </c>
      <c r="CH86" s="106">
        <f>+HLOOKUP($C86,BP!$EY$2:$FK$250,174,0)</f>
        <v>0</v>
      </c>
      <c r="CI86" s="106">
        <f>+HLOOKUP($C86,BP!$EY$2:$FK$250,175,0)</f>
        <v>0</v>
      </c>
      <c r="CJ86" s="106">
        <f>+HLOOKUP($C86,BP!$EY$2:$FK$250,176,0)</f>
        <v>0</v>
      </c>
      <c r="CK86" s="106">
        <f>+HLOOKUP($C86,BP!$EY$2:$FK$250,178,0)</f>
        <v>18600</v>
      </c>
      <c r="CL86" s="106">
        <f>+HLOOKUP($C86,BP!$EY$2:$FK$250,179,0)</f>
        <v>120000.00000000006</v>
      </c>
      <c r="CM86" s="106">
        <f>+HLOOKUP($C86,BP!$EY$2:$FK$250,180,0)</f>
        <v>1920</v>
      </c>
      <c r="CN86" s="106">
        <f>+HLOOKUP($C86,BP!$EY$2:$FK$250,182,0)</f>
        <v>2800</v>
      </c>
      <c r="CO86" s="106">
        <f>+HLOOKUP($C86,BP!$EY$2:$FK$250,183,0)</f>
        <v>800</v>
      </c>
      <c r="CP86" s="106">
        <f>+HLOOKUP($C86,BP!$EY$2:$FK$250,184,0)</f>
        <v>648</v>
      </c>
      <c r="CQ86" s="106">
        <f>+HLOOKUP($C86,BP!$EY$2:$FK$250,185,0)</f>
        <v>0</v>
      </c>
      <c r="CR86" s="106">
        <f>+HLOOKUP($C86,BP!$EY$2:$FK$250,187,0)</f>
        <v>1250</v>
      </c>
      <c r="CS86" s="106">
        <f>+HLOOKUP($C86,BP!$EY$2:$FK$250,188,0)</f>
        <v>0</v>
      </c>
      <c r="CT86" s="106">
        <f>+HLOOKUP($C86,BP!$EY$2:$FK$250,189,0)</f>
        <v>0</v>
      </c>
      <c r="CU86" s="106">
        <f>+HLOOKUP($C86,BP!$EY$2:$FK$250,190,0)</f>
        <v>0</v>
      </c>
      <c r="CV86" s="106">
        <f>+HLOOKUP($C86,BP!$EY$2:$FK$250,191,0)</f>
        <v>0</v>
      </c>
      <c r="CW86" s="106">
        <f>+HLOOKUP($C86,BP!$EY$2:$FK$250,193,0)</f>
        <v>0</v>
      </c>
      <c r="CX86" s="106">
        <f>+HLOOKUP($C86,BP!$EY$2:$FK$250,194,0)</f>
        <v>0</v>
      </c>
      <c r="CY86" s="106">
        <f>+HLOOKUP($C86,BP!$EY$2:$FK$250,195,0)</f>
        <v>10000</v>
      </c>
      <c r="CZ86" s="106">
        <f>+HLOOKUP($C86,BP!$EY$2:$FK$250,196,0)</f>
        <v>0</v>
      </c>
      <c r="DA86" s="106">
        <f>+HLOOKUP($C86,BP!$EY$2:$FK$250,197,0)</f>
        <v>6666.6666666666661</v>
      </c>
      <c r="DB86" s="106">
        <f>+HLOOKUP($C86,BP!$EY$2:$FK$250,198,0)</f>
        <v>4000</v>
      </c>
      <c r="DC86" s="106">
        <f>+HLOOKUP($C86,BP!$EY$2:$FK$250,199,0)</f>
        <v>1333.3333333333333</v>
      </c>
      <c r="DD86" s="106">
        <f>+HLOOKUP($C86,BP!$EY$2:$FK$250,200,0)</f>
        <v>666.66666666666663</v>
      </c>
      <c r="DE86" s="106">
        <f>+HLOOKUP($C86,BP!$EY$2:$FK$250,201,0)</f>
        <v>166.66666666666666</v>
      </c>
      <c r="DF86" s="106">
        <f>+HLOOKUP($C86,BP!$EY$2:$FK$250,202,0)</f>
        <v>0</v>
      </c>
      <c r="DG86" s="106">
        <f>+HLOOKUP($C86,BP!$EY$2:$FK$250,203,0)</f>
        <v>0</v>
      </c>
      <c r="DH86" s="106">
        <f>+HLOOKUP($C86,BP!$EY$2:$FK$250,205,0)</f>
        <v>0</v>
      </c>
      <c r="DI86" s="106">
        <f>+HLOOKUP($C86,BP!$EY$2:$FK$250,206,0)</f>
        <v>10000</v>
      </c>
      <c r="DJ86" s="106">
        <f>+HLOOKUP($C86,BP!$EY$2:$FK$250,207,0)</f>
        <v>0</v>
      </c>
      <c r="DK86" s="106">
        <f>+HLOOKUP($C86,BP!$EY$2:$FK$250,209,0)</f>
        <v>0</v>
      </c>
      <c r="DL86" s="106">
        <f>+HLOOKUP($C86,BP!$EY$2:$FK$250,210,0)</f>
        <v>180000</v>
      </c>
      <c r="DM86" s="106">
        <f>+HLOOKUP($C86,BP!$EY$2:$FK$250,211,0)</f>
        <v>0</v>
      </c>
      <c r="DN86" s="106">
        <f>+HLOOKUP($C86,BP!$EY$2:$FK$250,212,0)</f>
        <v>0</v>
      </c>
      <c r="DO86" s="106">
        <f>+HLOOKUP($C86,BP!$EY$2:$FK$250,214,0)</f>
        <v>0</v>
      </c>
      <c r="DP86" s="106">
        <f>+HLOOKUP($C86,BP!$EY$2:$FK$250,215,0)</f>
        <v>0</v>
      </c>
      <c r="DQ86" s="106">
        <f>+HLOOKUP($C86,BP!$EY$2:$FK$250,219,0)</f>
        <v>0</v>
      </c>
      <c r="DR86" s="106">
        <f>+HLOOKUP($C86,BP!$EY$2:$FK$250,220,0)</f>
        <v>0</v>
      </c>
      <c r="DS86" s="106">
        <f>+HLOOKUP($C86,BP!$EY$2:$FK$250,221,0)</f>
        <v>0</v>
      </c>
      <c r="DT86" s="106">
        <f>+HLOOKUP($C86,BP!$EY$2:$FK$250,223,0)</f>
        <v>3333.333333333333</v>
      </c>
      <c r="DU86" s="106">
        <f>+HLOOKUP($C86,BP!$EY$2:$FK$250,224,0)</f>
        <v>2000</v>
      </c>
      <c r="DV86" s="106">
        <f>+HLOOKUP($C86,BP!$EY$2:$FK$250,225,0)</f>
        <v>3333.333333333333</v>
      </c>
      <c r="DW86" s="106">
        <f>+HLOOKUP($C86,BP!$EY$2:$FK$250,227,0)</f>
        <v>0</v>
      </c>
      <c r="DX86" s="106">
        <f>+HLOOKUP($C86,BP!$EY$2:$FK$250,228,0)</f>
        <v>0</v>
      </c>
      <c r="DY86" s="106">
        <f>+HLOOKUP($C86,BP!$EY$2:$FK$250,236,0)</f>
        <v>0</v>
      </c>
      <c r="DZ86" s="106">
        <f>+HLOOKUP($C86,BP!$EY$2:$FK$250,237,0)</f>
        <v>0</v>
      </c>
      <c r="EA86" s="106">
        <f>+HLOOKUP($C86,BP!$EY$2:$FK$250,238,0)</f>
        <v>0</v>
      </c>
      <c r="EB86" s="106">
        <f>+HLOOKUP($C86,BP!$EY$2:$FK$250,240,0)</f>
        <v>468618.16800000001</v>
      </c>
    </row>
    <row r="87" spans="1:132">
      <c r="A87" t="s">
        <v>272</v>
      </c>
      <c r="B87" t="s">
        <v>218</v>
      </c>
      <c r="C87" s="117">
        <v>45962</v>
      </c>
      <c r="D87" s="106">
        <f t="shared" si="1"/>
        <v>1099777.777777778</v>
      </c>
      <c r="E87" s="106">
        <f>+HLOOKUP(C87,BP!$EY$2:$FK$250,28,0)+HLOOKUP(C87,BP!$EY$2:$FK$250,43,0)+HLOOKUP(C87,BP!$EY$2:$FK$250,44,0)+HLOOKUP(C87,BP!$EY$2:$FK$250,45,0)+HLOOKUP(C87,BP!$EY$2:$FK$250,54,0)+HLOOKUP(C87,BP!$EY$2:$FK$250,59,0)</f>
        <v>1099777.777777778</v>
      </c>
      <c r="F87" s="106">
        <f>+HLOOKUP(C87,BP!$EY$2:$FK$250,37,0)+HLOOKUP(C87,BP!$EY$2:$FK$250,55,0)</f>
        <v>738112.264957265</v>
      </c>
      <c r="G87" s="106">
        <f>+HLOOKUP($C87,BP!$EY$2:$FK$250,76,0)</f>
        <v>0</v>
      </c>
      <c r="H87" s="106">
        <f>+HLOOKUP($C87,BP!$EY$2:$FK$250,77,0)</f>
        <v>0</v>
      </c>
      <c r="I87" s="106">
        <f>+HLOOKUP($C87,BP!$EY$2:$FK$250,78,0)</f>
        <v>0</v>
      </c>
      <c r="J87" s="106">
        <f>+HLOOKUP($C87,BP!$EY$2:$FK$250,79,0)</f>
        <v>0</v>
      </c>
      <c r="K87" s="106">
        <f>+HLOOKUP($C87,BP!$EY$2:$FK$250,80,0)</f>
        <v>0</v>
      </c>
      <c r="L87" s="106">
        <f>+HLOOKUP($C87,BP!$EY$2:$FK$250,81,0)</f>
        <v>0</v>
      </c>
      <c r="M87" s="106">
        <f>+HLOOKUP($C87,BP!$EY$2:$FK$250,82,0)</f>
        <v>0</v>
      </c>
      <c r="N87" s="106">
        <f>+HLOOKUP($C87,BP!$EY$2:$FK$250,83,0)</f>
        <v>0</v>
      </c>
      <c r="O87" s="106">
        <f>+HLOOKUP($C87,BP!$EY$2:$FK$250,84,0)</f>
        <v>0</v>
      </c>
      <c r="P87" s="106">
        <f>+HLOOKUP($C87,BP!$EY$2:$FK$250,85,0)</f>
        <v>0</v>
      </c>
      <c r="Q87" s="106">
        <f>+HLOOKUP($C87,BP!$EY$2:$FK$250,87,0)</f>
        <v>60900</v>
      </c>
      <c r="R87" s="106">
        <f>+HLOOKUP($C87,BP!$EY$2:$FK$250,90,0)</f>
        <v>0</v>
      </c>
      <c r="S87" s="106">
        <f>+HLOOKUP($C87,BP!$EY$2:$FK$250,91,0)</f>
        <v>0</v>
      </c>
      <c r="T87" s="106">
        <f>+HLOOKUP($C87,BP!$EY$2:$FK$250,92,0)</f>
        <v>0</v>
      </c>
      <c r="U87" s="106">
        <f>+HLOOKUP($C87,BP!$EY$2:$FK$250,93,0)</f>
        <v>0</v>
      </c>
      <c r="V87" s="106">
        <f>+HLOOKUP($C87,BP!$EY$2:$FK$250,94,0)</f>
        <v>0</v>
      </c>
      <c r="W87" s="106">
        <f>+HLOOKUP($C87,BP!$EY$2:$FK$250,95,0)</f>
        <v>0</v>
      </c>
      <c r="X87" s="106">
        <f>+HLOOKUP($C87,BP!$EY$2:$FK$250,96,0)</f>
        <v>0</v>
      </c>
      <c r="Y87" s="106">
        <f>+HLOOKUP($C87,BP!$EY$2:$FK$250,97,0)</f>
        <v>0</v>
      </c>
      <c r="Z87" s="106">
        <f>+HLOOKUP($C87,BP!$EY$2:$FK$250,98,0)</f>
        <v>0</v>
      </c>
      <c r="AA87" s="106">
        <f>+HLOOKUP($C87,BP!$EY$2:$FK$250,99,0)</f>
        <v>0</v>
      </c>
      <c r="AB87" s="106">
        <f>+HLOOKUP($C87,BP!$EY$2:$FK$250,100,0)</f>
        <v>0</v>
      </c>
      <c r="AC87" s="106">
        <f>+HLOOKUP($C87,BP!$EY$2:$FK$250,101,0)</f>
        <v>0</v>
      </c>
      <c r="AD87" s="106">
        <f>+HLOOKUP($C87,BP!$EY$2:$FK$250,104,0)</f>
        <v>2344.65</v>
      </c>
      <c r="AE87" s="106">
        <f>+HLOOKUP($C87,BP!$EY$2:$FK$250,105,0)</f>
        <v>7612.5</v>
      </c>
      <c r="AF87" s="106">
        <f>+HLOOKUP($C87,BP!$EY$2:$FK$250,106,0)</f>
        <v>0</v>
      </c>
      <c r="AG87" s="106">
        <f>+HLOOKUP($C87,BP!$EY$2:$FK$250,107,0)</f>
        <v>0</v>
      </c>
      <c r="AH87" s="106">
        <f>+HLOOKUP($C87,BP!$EY$2:$FK$250,108,0)</f>
        <v>0</v>
      </c>
      <c r="AI87" s="106">
        <f>+HLOOKUP($C87,BP!$EY$2:$FK$250,109,0)</f>
        <v>0</v>
      </c>
      <c r="AJ87" s="106">
        <f>+HLOOKUP($C87,BP!$EY$2:$FK$250,110,0)</f>
        <v>0</v>
      </c>
      <c r="AK87" s="106">
        <f>+HLOOKUP($C87,BP!$EY$2:$FK$250,111,0)</f>
        <v>468.93000000000006</v>
      </c>
      <c r="AL87" s="106">
        <f>+HLOOKUP($C87,BP!$EY$2:$FK$250,112,0)</f>
        <v>0</v>
      </c>
      <c r="AM87" s="106">
        <f>+HLOOKUP($C87,BP!$EY$2:$FK$250,116,0)</f>
        <v>41250</v>
      </c>
      <c r="AN87" s="106">
        <f>+HLOOKUP($C87,BP!$EY$2:$FK$250,117,0)</f>
        <v>6150</v>
      </c>
      <c r="AO87" s="106">
        <f>+HLOOKUP($C87,BP!$EY$2:$FK$250,118,0)</f>
        <v>0</v>
      </c>
      <c r="AP87" s="106">
        <f>+HLOOKUP($C87,BP!$EY$2:$FK$250,119,0)</f>
        <v>16500</v>
      </c>
      <c r="AQ87" s="106">
        <f>+HLOOKUP($C87,BP!$EY$2:$FK$250,120,0)</f>
        <v>0</v>
      </c>
      <c r="AR87" s="106">
        <f>+HLOOKUP($C87,BP!$EY$2:$FK$250,121,0)</f>
        <v>0</v>
      </c>
      <c r="AS87" s="106">
        <f>+HLOOKUP($C87,BP!$EY$2:$FK$250,122,0)</f>
        <v>18600</v>
      </c>
      <c r="AT87" s="106">
        <f>+HLOOKUP($C87,BP!$EY$2:$FK$250,123,0)</f>
        <v>5646.875</v>
      </c>
      <c r="AU87" s="106">
        <f>+HLOOKUP($C87,BP!$EY$2:$FK$250,124,0)</f>
        <v>0</v>
      </c>
      <c r="AV87" s="106">
        <f>+HLOOKUP($C87,BP!$EY$2:$FK$250,125,0)</f>
        <v>0</v>
      </c>
      <c r="AW87" s="106">
        <f>+HLOOKUP($C87,BP!$EY$2:$FK$250,126,0)</f>
        <v>1983.1730769230771</v>
      </c>
      <c r="AX87" s="106">
        <f>+HLOOKUP($C87,BP!$EY$2:$FK$250,127,0)</f>
        <v>3250</v>
      </c>
      <c r="AY87" s="106">
        <f>+HLOOKUP($C87,BP!$EY$2:$FK$250,129,0)</f>
        <v>0</v>
      </c>
      <c r="AZ87" s="106">
        <f>+HLOOKUP($C87,BP!$EY$2:$FK$250,130,0)</f>
        <v>0</v>
      </c>
      <c r="BA87" s="106">
        <f>+HLOOKUP($C87,BP!$EY$2:$FK$250,131,0)</f>
        <v>7500</v>
      </c>
      <c r="BB87" s="106">
        <f>+HLOOKUP($C87,BP!$EY$2:$FK$250,133,0)</f>
        <v>0</v>
      </c>
      <c r="BC87" s="106">
        <f>+HLOOKUP($C87,BP!$EY$2:$FK$250,134,0)</f>
        <v>0</v>
      </c>
      <c r="BD87" s="106">
        <f>+HLOOKUP($C87,BP!$EY$2:$FK$250,135,0)</f>
        <v>0</v>
      </c>
      <c r="BE87" s="106">
        <f>+HLOOKUP($C87,BP!$EY$2:$FK$250,136,0)</f>
        <v>0</v>
      </c>
      <c r="BF87" s="106">
        <f>+HLOOKUP($C87,BP!$EY$2:$FK$250,138,0)</f>
        <v>1500</v>
      </c>
      <c r="BG87" s="106">
        <f>+HLOOKUP($C87,BP!$EY$2:$FK$250,139,0)</f>
        <v>6666.6666666666661</v>
      </c>
      <c r="BH87" s="106">
        <f>+HLOOKUP($C87,BP!$EY$2:$FK$250,140,0)</f>
        <v>13400</v>
      </c>
      <c r="BI87" s="106">
        <f>+HLOOKUP($C87,BP!$EY$2:$FK$250,141,0)</f>
        <v>0</v>
      </c>
      <c r="BJ87" s="106">
        <f>+HLOOKUP($C87,BP!$EY$2:$FK$250,142,0)</f>
        <v>0</v>
      </c>
      <c r="BK87" s="106">
        <f>+HLOOKUP($C87,BP!$EY$2:$FK$250,143,0)</f>
        <v>3000</v>
      </c>
      <c r="BL87" s="106">
        <f>+HLOOKUP($C87,BP!$EY$2:$FK$250,144,0)</f>
        <v>291.66666666666669</v>
      </c>
      <c r="BM87" s="106">
        <f>+HLOOKUP($C87,BP!$EY$2:$FK$250,146,0)</f>
        <v>0</v>
      </c>
      <c r="BN87" s="106">
        <f>+HLOOKUP($C87,BP!$EY$2:$FK$250,147,0)</f>
        <v>0</v>
      </c>
      <c r="BO87" s="106">
        <f>+HLOOKUP($C87,BP!$EY$2:$FK$250,148,0)</f>
        <v>0</v>
      </c>
      <c r="BP87" s="106">
        <f>+HLOOKUP($C87,BP!$EY$2:$FK$250,150,0)</f>
        <v>26000</v>
      </c>
      <c r="BQ87" s="106">
        <f>+HLOOKUP($C87,BP!$EY$2:$FK$250,151,0)</f>
        <v>1984.4</v>
      </c>
      <c r="BR87" s="106">
        <f>+HLOOKUP($C87,BP!$EY$2:$FK$250,152,0)</f>
        <v>12800</v>
      </c>
      <c r="BS87" s="106">
        <f>+HLOOKUP($C87,BP!$EY$2:$FK$250,153,0)</f>
        <v>3000</v>
      </c>
      <c r="BT87" s="106">
        <f>+HLOOKUP($C87,BP!$EY$2:$FK$250,157,0)</f>
        <v>0</v>
      </c>
      <c r="BU87" s="106">
        <f>+HLOOKUP($C87,BP!$EY$2:$FK$250,158,0)</f>
        <v>0</v>
      </c>
      <c r="BV87" s="106">
        <f>+HLOOKUP($C87,BP!$EY$2:$FK$250,159,0)</f>
        <v>0</v>
      </c>
      <c r="BW87" s="106">
        <f>+HLOOKUP($C87,BP!$EY$2:$FK$250,160,0)</f>
        <v>0</v>
      </c>
      <c r="BX87" s="106">
        <f>+HLOOKUP($C87,BP!$EY$2:$FK$250,161,0)</f>
        <v>0</v>
      </c>
      <c r="BY87" s="106">
        <f>+HLOOKUP($C87,BP!$EY$2:$FK$250,164,0)</f>
        <v>0</v>
      </c>
      <c r="BZ87" s="106">
        <f>+HLOOKUP($C87,BP!$EY$2:$FK$250,165,0)</f>
        <v>0</v>
      </c>
      <c r="CA87" s="106">
        <f>+HLOOKUP($C87,BP!$EY$2:$FK$250,166,0)</f>
        <v>0</v>
      </c>
      <c r="CB87" s="106">
        <f>+HLOOKUP($C87,BP!$EY$2:$FK$250,167,0)</f>
        <v>0</v>
      </c>
      <c r="CC87" s="106">
        <f>+HLOOKUP($C87,BP!$EY$2:$FK$250,168,0)</f>
        <v>0</v>
      </c>
      <c r="CD87" s="106">
        <f>+HLOOKUP($C87,BP!$EY$2:$FK$250,169,0)</f>
        <v>0</v>
      </c>
      <c r="CE87" s="106">
        <f>+HLOOKUP($C87,BP!$EY$2:$FK$250,170,0)</f>
        <v>0</v>
      </c>
      <c r="CF87" s="106">
        <f>+HLOOKUP($C87,BP!$EY$2:$FK$250,172,0)</f>
        <v>0</v>
      </c>
      <c r="CG87" s="106">
        <f>+HLOOKUP($C87,BP!$EY$2:$FK$250,173,0)</f>
        <v>4800</v>
      </c>
      <c r="CH87" s="106">
        <f>+HLOOKUP($C87,BP!$EY$2:$FK$250,174,0)</f>
        <v>0</v>
      </c>
      <c r="CI87" s="106">
        <f>+HLOOKUP($C87,BP!$EY$2:$FK$250,175,0)</f>
        <v>0</v>
      </c>
      <c r="CJ87" s="106">
        <f>+HLOOKUP($C87,BP!$EY$2:$FK$250,176,0)</f>
        <v>0</v>
      </c>
      <c r="CK87" s="106">
        <f>+HLOOKUP($C87,BP!$EY$2:$FK$250,178,0)</f>
        <v>18600</v>
      </c>
      <c r="CL87" s="106">
        <f>+HLOOKUP($C87,BP!$EY$2:$FK$250,179,0)</f>
        <v>120000.00000000006</v>
      </c>
      <c r="CM87" s="106">
        <f>+HLOOKUP($C87,BP!$EY$2:$FK$250,180,0)</f>
        <v>1920</v>
      </c>
      <c r="CN87" s="106">
        <f>+HLOOKUP($C87,BP!$EY$2:$FK$250,182,0)</f>
        <v>2800</v>
      </c>
      <c r="CO87" s="106">
        <f>+HLOOKUP($C87,BP!$EY$2:$FK$250,183,0)</f>
        <v>800</v>
      </c>
      <c r="CP87" s="106">
        <f>+HLOOKUP($C87,BP!$EY$2:$FK$250,184,0)</f>
        <v>648</v>
      </c>
      <c r="CQ87" s="106">
        <f>+HLOOKUP($C87,BP!$EY$2:$FK$250,185,0)</f>
        <v>0</v>
      </c>
      <c r="CR87" s="106">
        <f>+HLOOKUP($C87,BP!$EY$2:$FK$250,187,0)</f>
        <v>1250</v>
      </c>
      <c r="CS87" s="106">
        <f>+HLOOKUP($C87,BP!$EY$2:$FK$250,188,0)</f>
        <v>0</v>
      </c>
      <c r="CT87" s="106">
        <f>+HLOOKUP($C87,BP!$EY$2:$FK$250,189,0)</f>
        <v>0</v>
      </c>
      <c r="CU87" s="106">
        <f>+HLOOKUP($C87,BP!$EY$2:$FK$250,190,0)</f>
        <v>0</v>
      </c>
      <c r="CV87" s="106">
        <f>+HLOOKUP($C87,BP!$EY$2:$FK$250,191,0)</f>
        <v>0</v>
      </c>
      <c r="CW87" s="106">
        <f>+HLOOKUP($C87,BP!$EY$2:$FK$250,193,0)</f>
        <v>0</v>
      </c>
      <c r="CX87" s="106">
        <f>+HLOOKUP($C87,BP!$EY$2:$FK$250,194,0)</f>
        <v>0</v>
      </c>
      <c r="CY87" s="106">
        <f>+HLOOKUP($C87,BP!$EY$2:$FK$250,195,0)</f>
        <v>10000</v>
      </c>
      <c r="CZ87" s="106">
        <f>+HLOOKUP($C87,BP!$EY$2:$FK$250,196,0)</f>
        <v>0</v>
      </c>
      <c r="DA87" s="106">
        <f>+HLOOKUP($C87,BP!$EY$2:$FK$250,197,0)</f>
        <v>6666.6666666666661</v>
      </c>
      <c r="DB87" s="106">
        <f>+HLOOKUP($C87,BP!$EY$2:$FK$250,198,0)</f>
        <v>4000</v>
      </c>
      <c r="DC87" s="106">
        <f>+HLOOKUP($C87,BP!$EY$2:$FK$250,199,0)</f>
        <v>1333.3333333333333</v>
      </c>
      <c r="DD87" s="106">
        <f>+HLOOKUP($C87,BP!$EY$2:$FK$250,200,0)</f>
        <v>666.66666666666663</v>
      </c>
      <c r="DE87" s="106">
        <f>+HLOOKUP($C87,BP!$EY$2:$FK$250,201,0)</f>
        <v>166.66666666666666</v>
      </c>
      <c r="DF87" s="106">
        <f>+HLOOKUP($C87,BP!$EY$2:$FK$250,202,0)</f>
        <v>0</v>
      </c>
      <c r="DG87" s="106">
        <f>+HLOOKUP($C87,BP!$EY$2:$FK$250,203,0)</f>
        <v>0</v>
      </c>
      <c r="DH87" s="106">
        <f>+HLOOKUP($C87,BP!$EY$2:$FK$250,205,0)</f>
        <v>0</v>
      </c>
      <c r="DI87" s="106">
        <f>+HLOOKUP($C87,BP!$EY$2:$FK$250,206,0)</f>
        <v>10000</v>
      </c>
      <c r="DJ87" s="106">
        <f>+HLOOKUP($C87,BP!$EY$2:$FK$250,207,0)</f>
        <v>0</v>
      </c>
      <c r="DK87" s="106">
        <f>+HLOOKUP($C87,BP!$EY$2:$FK$250,209,0)</f>
        <v>0</v>
      </c>
      <c r="DL87" s="106">
        <f>+HLOOKUP($C87,BP!$EY$2:$FK$250,210,0)</f>
        <v>180000</v>
      </c>
      <c r="DM87" s="106">
        <f>+HLOOKUP($C87,BP!$EY$2:$FK$250,211,0)</f>
        <v>0</v>
      </c>
      <c r="DN87" s="106">
        <f>+HLOOKUP($C87,BP!$EY$2:$FK$250,212,0)</f>
        <v>0</v>
      </c>
      <c r="DO87" s="106">
        <f>+HLOOKUP($C87,BP!$EY$2:$FK$250,214,0)</f>
        <v>0</v>
      </c>
      <c r="DP87" s="106">
        <f>+HLOOKUP($C87,BP!$EY$2:$FK$250,215,0)</f>
        <v>0</v>
      </c>
      <c r="DQ87" s="106">
        <f>+HLOOKUP($C87,BP!$EY$2:$FK$250,219,0)</f>
        <v>0</v>
      </c>
      <c r="DR87" s="106">
        <f>+HLOOKUP($C87,BP!$EY$2:$FK$250,220,0)</f>
        <v>0</v>
      </c>
      <c r="DS87" s="106">
        <f>+HLOOKUP($C87,BP!$EY$2:$FK$250,221,0)</f>
        <v>0</v>
      </c>
      <c r="DT87" s="106">
        <f>+HLOOKUP($C87,BP!$EY$2:$FK$250,223,0)</f>
        <v>3333.333333333333</v>
      </c>
      <c r="DU87" s="106">
        <f>+HLOOKUP($C87,BP!$EY$2:$FK$250,224,0)</f>
        <v>2000</v>
      </c>
      <c r="DV87" s="106">
        <f>+HLOOKUP($C87,BP!$EY$2:$FK$250,225,0)</f>
        <v>3333.333333333333</v>
      </c>
      <c r="DW87" s="106">
        <f>+HLOOKUP($C87,BP!$EY$2:$FK$250,227,0)</f>
        <v>0</v>
      </c>
      <c r="DX87" s="106">
        <f>+HLOOKUP($C87,BP!$EY$2:$FK$250,228,0)</f>
        <v>0</v>
      </c>
      <c r="DY87" s="106">
        <f>+HLOOKUP($C87,BP!$EY$2:$FK$250,236,0)</f>
        <v>0</v>
      </c>
      <c r="DZ87" s="106">
        <f>+HLOOKUP($C87,BP!$EY$2:$FK$250,237,0)</f>
        <v>0</v>
      </c>
      <c r="EA87" s="106">
        <f>+HLOOKUP($C87,BP!$EY$2:$FK$250,238,0)</f>
        <v>0</v>
      </c>
      <c r="EB87" s="106">
        <f>+HLOOKUP($C87,BP!$EY$2:$FK$250,240,0)</f>
        <v>468618.16800000001</v>
      </c>
    </row>
    <row r="88" spans="1:132">
      <c r="A88" t="s">
        <v>272</v>
      </c>
      <c r="B88" t="s">
        <v>218</v>
      </c>
      <c r="C88" s="117">
        <v>45931</v>
      </c>
      <c r="D88" s="106">
        <f t="shared" si="1"/>
        <v>1069444.4444444445</v>
      </c>
      <c r="E88" s="106">
        <f>+HLOOKUP(C88,BP!$EY$2:$FK$250,28,0)+HLOOKUP(C88,BP!$EY$2:$FK$250,43,0)+HLOOKUP(C88,BP!$EY$2:$FK$250,44,0)+HLOOKUP(C88,BP!$EY$2:$FK$250,45,0)+HLOOKUP(C88,BP!$EY$2:$FK$250,54,0)+HLOOKUP(C88,BP!$EY$2:$FK$250,59,0)</f>
        <v>1069444.4444444445</v>
      </c>
      <c r="F88" s="106">
        <f>+HLOOKUP(C88,BP!$EY$2:$FK$250,37,0)+HLOOKUP(C88,BP!$EY$2:$FK$250,55,0)</f>
        <v>718698.93162393151</v>
      </c>
      <c r="G88" s="106">
        <f>+HLOOKUP($C88,BP!$EY$2:$FK$250,76,0)</f>
        <v>0</v>
      </c>
      <c r="H88" s="106">
        <f>+HLOOKUP($C88,BP!$EY$2:$FK$250,77,0)</f>
        <v>0</v>
      </c>
      <c r="I88" s="106">
        <f>+HLOOKUP($C88,BP!$EY$2:$FK$250,78,0)</f>
        <v>0</v>
      </c>
      <c r="J88" s="106">
        <f>+HLOOKUP($C88,BP!$EY$2:$FK$250,79,0)</f>
        <v>0</v>
      </c>
      <c r="K88" s="106">
        <f>+HLOOKUP($C88,BP!$EY$2:$FK$250,80,0)</f>
        <v>0</v>
      </c>
      <c r="L88" s="106">
        <f>+HLOOKUP($C88,BP!$EY$2:$FK$250,81,0)</f>
        <v>0</v>
      </c>
      <c r="M88" s="106">
        <f>+HLOOKUP($C88,BP!$EY$2:$FK$250,82,0)</f>
        <v>0</v>
      </c>
      <c r="N88" s="106">
        <f>+HLOOKUP($C88,BP!$EY$2:$FK$250,83,0)</f>
        <v>0</v>
      </c>
      <c r="O88" s="106">
        <f>+HLOOKUP($C88,BP!$EY$2:$FK$250,84,0)</f>
        <v>0</v>
      </c>
      <c r="P88" s="106">
        <f>+HLOOKUP($C88,BP!$EY$2:$FK$250,85,0)</f>
        <v>0</v>
      </c>
      <c r="Q88" s="106">
        <f>+HLOOKUP($C88,BP!$EY$2:$FK$250,87,0)</f>
        <v>58800</v>
      </c>
      <c r="R88" s="106">
        <f>+HLOOKUP($C88,BP!$EY$2:$FK$250,90,0)</f>
        <v>0</v>
      </c>
      <c r="S88" s="106">
        <f>+HLOOKUP($C88,BP!$EY$2:$FK$250,91,0)</f>
        <v>0</v>
      </c>
      <c r="T88" s="106">
        <f>+HLOOKUP($C88,BP!$EY$2:$FK$250,92,0)</f>
        <v>0</v>
      </c>
      <c r="U88" s="106">
        <f>+HLOOKUP($C88,BP!$EY$2:$FK$250,93,0)</f>
        <v>0</v>
      </c>
      <c r="V88" s="106">
        <f>+HLOOKUP($C88,BP!$EY$2:$FK$250,94,0)</f>
        <v>0</v>
      </c>
      <c r="W88" s="106">
        <f>+HLOOKUP($C88,BP!$EY$2:$FK$250,95,0)</f>
        <v>0</v>
      </c>
      <c r="X88" s="106">
        <f>+HLOOKUP($C88,BP!$EY$2:$FK$250,96,0)</f>
        <v>0</v>
      </c>
      <c r="Y88" s="106">
        <f>+HLOOKUP($C88,BP!$EY$2:$FK$250,97,0)</f>
        <v>0</v>
      </c>
      <c r="Z88" s="106">
        <f>+HLOOKUP($C88,BP!$EY$2:$FK$250,98,0)</f>
        <v>0</v>
      </c>
      <c r="AA88" s="106">
        <f>+HLOOKUP($C88,BP!$EY$2:$FK$250,99,0)</f>
        <v>0</v>
      </c>
      <c r="AB88" s="106">
        <f>+HLOOKUP($C88,BP!$EY$2:$FK$250,100,0)</f>
        <v>0</v>
      </c>
      <c r="AC88" s="106">
        <f>+HLOOKUP($C88,BP!$EY$2:$FK$250,101,0)</f>
        <v>0</v>
      </c>
      <c r="AD88" s="106">
        <f>+HLOOKUP($C88,BP!$EY$2:$FK$250,104,0)</f>
        <v>2263.8000000000002</v>
      </c>
      <c r="AE88" s="106">
        <f>+HLOOKUP($C88,BP!$EY$2:$FK$250,105,0)</f>
        <v>7350</v>
      </c>
      <c r="AF88" s="106">
        <f>+HLOOKUP($C88,BP!$EY$2:$FK$250,106,0)</f>
        <v>0</v>
      </c>
      <c r="AG88" s="106">
        <f>+HLOOKUP($C88,BP!$EY$2:$FK$250,107,0)</f>
        <v>0</v>
      </c>
      <c r="AH88" s="106">
        <f>+HLOOKUP($C88,BP!$EY$2:$FK$250,108,0)</f>
        <v>0</v>
      </c>
      <c r="AI88" s="106">
        <f>+HLOOKUP($C88,BP!$EY$2:$FK$250,109,0)</f>
        <v>0</v>
      </c>
      <c r="AJ88" s="106">
        <f>+HLOOKUP($C88,BP!$EY$2:$FK$250,110,0)</f>
        <v>0</v>
      </c>
      <c r="AK88" s="106">
        <f>+HLOOKUP($C88,BP!$EY$2:$FK$250,111,0)</f>
        <v>452.76000000000005</v>
      </c>
      <c r="AL88" s="106">
        <f>+HLOOKUP($C88,BP!$EY$2:$FK$250,112,0)</f>
        <v>0</v>
      </c>
      <c r="AM88" s="106">
        <f>+HLOOKUP($C88,BP!$EY$2:$FK$250,116,0)</f>
        <v>41250</v>
      </c>
      <c r="AN88" s="106">
        <f>+HLOOKUP($C88,BP!$EY$2:$FK$250,117,0)</f>
        <v>6150</v>
      </c>
      <c r="AO88" s="106">
        <f>+HLOOKUP($C88,BP!$EY$2:$FK$250,118,0)</f>
        <v>0</v>
      </c>
      <c r="AP88" s="106">
        <f>+HLOOKUP($C88,BP!$EY$2:$FK$250,119,0)</f>
        <v>16500</v>
      </c>
      <c r="AQ88" s="106">
        <f>+HLOOKUP($C88,BP!$EY$2:$FK$250,120,0)</f>
        <v>0</v>
      </c>
      <c r="AR88" s="106">
        <f>+HLOOKUP($C88,BP!$EY$2:$FK$250,121,0)</f>
        <v>0</v>
      </c>
      <c r="AS88" s="106">
        <f>+HLOOKUP($C88,BP!$EY$2:$FK$250,122,0)</f>
        <v>18600</v>
      </c>
      <c r="AT88" s="106">
        <f>+HLOOKUP($C88,BP!$EY$2:$FK$250,123,0)</f>
        <v>5646.875</v>
      </c>
      <c r="AU88" s="106">
        <f>+HLOOKUP($C88,BP!$EY$2:$FK$250,124,0)</f>
        <v>0</v>
      </c>
      <c r="AV88" s="106">
        <f>+HLOOKUP($C88,BP!$EY$2:$FK$250,125,0)</f>
        <v>0</v>
      </c>
      <c r="AW88" s="106">
        <f>+HLOOKUP($C88,BP!$EY$2:$FK$250,126,0)</f>
        <v>1983.1730769230771</v>
      </c>
      <c r="AX88" s="106">
        <f>+HLOOKUP($C88,BP!$EY$2:$FK$250,127,0)</f>
        <v>3250</v>
      </c>
      <c r="AY88" s="106">
        <f>+HLOOKUP($C88,BP!$EY$2:$FK$250,129,0)</f>
        <v>0</v>
      </c>
      <c r="AZ88" s="106">
        <f>+HLOOKUP($C88,BP!$EY$2:$FK$250,130,0)</f>
        <v>0</v>
      </c>
      <c r="BA88" s="106">
        <f>+HLOOKUP($C88,BP!$EY$2:$FK$250,131,0)</f>
        <v>7500</v>
      </c>
      <c r="BB88" s="106">
        <f>+HLOOKUP($C88,BP!$EY$2:$FK$250,133,0)</f>
        <v>0</v>
      </c>
      <c r="BC88" s="106">
        <f>+HLOOKUP($C88,BP!$EY$2:$FK$250,134,0)</f>
        <v>0</v>
      </c>
      <c r="BD88" s="106">
        <f>+HLOOKUP($C88,BP!$EY$2:$FK$250,135,0)</f>
        <v>0</v>
      </c>
      <c r="BE88" s="106">
        <f>+HLOOKUP($C88,BP!$EY$2:$FK$250,136,0)</f>
        <v>0</v>
      </c>
      <c r="BF88" s="106">
        <f>+HLOOKUP($C88,BP!$EY$2:$FK$250,138,0)</f>
        <v>1500</v>
      </c>
      <c r="BG88" s="106">
        <f>+HLOOKUP($C88,BP!$EY$2:$FK$250,139,0)</f>
        <v>6666.6666666666661</v>
      </c>
      <c r="BH88" s="106">
        <f>+HLOOKUP($C88,BP!$EY$2:$FK$250,140,0)</f>
        <v>13400</v>
      </c>
      <c r="BI88" s="106">
        <f>+HLOOKUP($C88,BP!$EY$2:$FK$250,141,0)</f>
        <v>0</v>
      </c>
      <c r="BJ88" s="106">
        <f>+HLOOKUP($C88,BP!$EY$2:$FK$250,142,0)</f>
        <v>0</v>
      </c>
      <c r="BK88" s="106">
        <f>+HLOOKUP($C88,BP!$EY$2:$FK$250,143,0)</f>
        <v>3000</v>
      </c>
      <c r="BL88" s="106">
        <f>+HLOOKUP($C88,BP!$EY$2:$FK$250,144,0)</f>
        <v>13125</v>
      </c>
      <c r="BM88" s="106">
        <f>+HLOOKUP($C88,BP!$EY$2:$FK$250,146,0)</f>
        <v>0</v>
      </c>
      <c r="BN88" s="106">
        <f>+HLOOKUP($C88,BP!$EY$2:$FK$250,147,0)</f>
        <v>0</v>
      </c>
      <c r="BO88" s="106">
        <f>+HLOOKUP($C88,BP!$EY$2:$FK$250,148,0)</f>
        <v>0</v>
      </c>
      <c r="BP88" s="106">
        <f>+HLOOKUP($C88,BP!$EY$2:$FK$250,150,0)</f>
        <v>26000</v>
      </c>
      <c r="BQ88" s="106">
        <f>+HLOOKUP($C88,BP!$EY$2:$FK$250,151,0)</f>
        <v>1984.4</v>
      </c>
      <c r="BR88" s="106">
        <f>+HLOOKUP($C88,BP!$EY$2:$FK$250,152,0)</f>
        <v>12800</v>
      </c>
      <c r="BS88" s="106">
        <f>+HLOOKUP($C88,BP!$EY$2:$FK$250,153,0)</f>
        <v>3000</v>
      </c>
      <c r="BT88" s="106">
        <f>+HLOOKUP($C88,BP!$EY$2:$FK$250,157,0)</f>
        <v>0</v>
      </c>
      <c r="BU88" s="106">
        <f>+HLOOKUP($C88,BP!$EY$2:$FK$250,158,0)</f>
        <v>0</v>
      </c>
      <c r="BV88" s="106">
        <f>+HLOOKUP($C88,BP!$EY$2:$FK$250,159,0)</f>
        <v>0</v>
      </c>
      <c r="BW88" s="106">
        <f>+HLOOKUP($C88,BP!$EY$2:$FK$250,160,0)</f>
        <v>0</v>
      </c>
      <c r="BX88" s="106">
        <f>+HLOOKUP($C88,BP!$EY$2:$FK$250,161,0)</f>
        <v>0</v>
      </c>
      <c r="BY88" s="106">
        <f>+HLOOKUP($C88,BP!$EY$2:$FK$250,164,0)</f>
        <v>0</v>
      </c>
      <c r="BZ88" s="106">
        <f>+HLOOKUP($C88,BP!$EY$2:$FK$250,165,0)</f>
        <v>0</v>
      </c>
      <c r="CA88" s="106">
        <f>+HLOOKUP($C88,BP!$EY$2:$FK$250,166,0)</f>
        <v>0</v>
      </c>
      <c r="CB88" s="106">
        <f>+HLOOKUP($C88,BP!$EY$2:$FK$250,167,0)</f>
        <v>0</v>
      </c>
      <c r="CC88" s="106">
        <f>+HLOOKUP($C88,BP!$EY$2:$FK$250,168,0)</f>
        <v>0</v>
      </c>
      <c r="CD88" s="106">
        <f>+HLOOKUP($C88,BP!$EY$2:$FK$250,169,0)</f>
        <v>0</v>
      </c>
      <c r="CE88" s="106">
        <f>+HLOOKUP($C88,BP!$EY$2:$FK$250,170,0)</f>
        <v>0</v>
      </c>
      <c r="CF88" s="106">
        <f>+HLOOKUP($C88,BP!$EY$2:$FK$250,172,0)</f>
        <v>0</v>
      </c>
      <c r="CG88" s="106">
        <f>+HLOOKUP($C88,BP!$EY$2:$FK$250,173,0)</f>
        <v>4800</v>
      </c>
      <c r="CH88" s="106">
        <f>+HLOOKUP($C88,BP!$EY$2:$FK$250,174,0)</f>
        <v>0</v>
      </c>
      <c r="CI88" s="106">
        <f>+HLOOKUP($C88,BP!$EY$2:$FK$250,175,0)</f>
        <v>0</v>
      </c>
      <c r="CJ88" s="106">
        <f>+HLOOKUP($C88,BP!$EY$2:$FK$250,176,0)</f>
        <v>0</v>
      </c>
      <c r="CK88" s="106">
        <f>+HLOOKUP($C88,BP!$EY$2:$FK$250,178,0)</f>
        <v>18600</v>
      </c>
      <c r="CL88" s="106">
        <f>+HLOOKUP($C88,BP!$EY$2:$FK$250,179,0)</f>
        <v>120000.00000000006</v>
      </c>
      <c r="CM88" s="106">
        <f>+HLOOKUP($C88,BP!$EY$2:$FK$250,180,0)</f>
        <v>1920</v>
      </c>
      <c r="CN88" s="106">
        <f>+HLOOKUP($C88,BP!$EY$2:$FK$250,182,0)</f>
        <v>2800</v>
      </c>
      <c r="CO88" s="106">
        <f>+HLOOKUP($C88,BP!$EY$2:$FK$250,183,0)</f>
        <v>800</v>
      </c>
      <c r="CP88" s="106">
        <f>+HLOOKUP($C88,BP!$EY$2:$FK$250,184,0)</f>
        <v>648</v>
      </c>
      <c r="CQ88" s="106">
        <f>+HLOOKUP($C88,BP!$EY$2:$FK$250,185,0)</f>
        <v>0</v>
      </c>
      <c r="CR88" s="106">
        <f>+HLOOKUP($C88,BP!$EY$2:$FK$250,187,0)</f>
        <v>1250</v>
      </c>
      <c r="CS88" s="106">
        <f>+HLOOKUP($C88,BP!$EY$2:$FK$250,188,0)</f>
        <v>0</v>
      </c>
      <c r="CT88" s="106">
        <f>+HLOOKUP($C88,BP!$EY$2:$FK$250,189,0)</f>
        <v>0</v>
      </c>
      <c r="CU88" s="106">
        <f>+HLOOKUP($C88,BP!$EY$2:$FK$250,190,0)</f>
        <v>0</v>
      </c>
      <c r="CV88" s="106">
        <f>+HLOOKUP($C88,BP!$EY$2:$FK$250,191,0)</f>
        <v>0</v>
      </c>
      <c r="CW88" s="106">
        <f>+HLOOKUP($C88,BP!$EY$2:$FK$250,193,0)</f>
        <v>0</v>
      </c>
      <c r="CX88" s="106">
        <f>+HLOOKUP($C88,BP!$EY$2:$FK$250,194,0)</f>
        <v>0</v>
      </c>
      <c r="CY88" s="106">
        <f>+HLOOKUP($C88,BP!$EY$2:$FK$250,195,0)</f>
        <v>10000</v>
      </c>
      <c r="CZ88" s="106">
        <f>+HLOOKUP($C88,BP!$EY$2:$FK$250,196,0)</f>
        <v>0</v>
      </c>
      <c r="DA88" s="106">
        <f>+HLOOKUP($C88,BP!$EY$2:$FK$250,197,0)</f>
        <v>6666.6666666666661</v>
      </c>
      <c r="DB88" s="106">
        <f>+HLOOKUP($C88,BP!$EY$2:$FK$250,198,0)</f>
        <v>4000</v>
      </c>
      <c r="DC88" s="106">
        <f>+HLOOKUP($C88,BP!$EY$2:$FK$250,199,0)</f>
        <v>1333.3333333333333</v>
      </c>
      <c r="DD88" s="106">
        <f>+HLOOKUP($C88,BP!$EY$2:$FK$250,200,0)</f>
        <v>666.66666666666663</v>
      </c>
      <c r="DE88" s="106">
        <f>+HLOOKUP($C88,BP!$EY$2:$FK$250,201,0)</f>
        <v>166.66666666666666</v>
      </c>
      <c r="DF88" s="106">
        <f>+HLOOKUP($C88,BP!$EY$2:$FK$250,202,0)</f>
        <v>0</v>
      </c>
      <c r="DG88" s="106">
        <f>+HLOOKUP($C88,BP!$EY$2:$FK$250,203,0)</f>
        <v>0</v>
      </c>
      <c r="DH88" s="106">
        <f>+HLOOKUP($C88,BP!$EY$2:$FK$250,205,0)</f>
        <v>0</v>
      </c>
      <c r="DI88" s="106">
        <f>+HLOOKUP($C88,BP!$EY$2:$FK$250,206,0)</f>
        <v>10000</v>
      </c>
      <c r="DJ88" s="106">
        <f>+HLOOKUP($C88,BP!$EY$2:$FK$250,207,0)</f>
        <v>0</v>
      </c>
      <c r="DK88" s="106">
        <f>+HLOOKUP($C88,BP!$EY$2:$FK$250,209,0)</f>
        <v>0</v>
      </c>
      <c r="DL88" s="106">
        <f>+HLOOKUP($C88,BP!$EY$2:$FK$250,210,0)</f>
        <v>180000</v>
      </c>
      <c r="DM88" s="106">
        <f>+HLOOKUP($C88,BP!$EY$2:$FK$250,211,0)</f>
        <v>0</v>
      </c>
      <c r="DN88" s="106">
        <f>+HLOOKUP($C88,BP!$EY$2:$FK$250,212,0)</f>
        <v>0</v>
      </c>
      <c r="DO88" s="106">
        <f>+HLOOKUP($C88,BP!$EY$2:$FK$250,214,0)</f>
        <v>0</v>
      </c>
      <c r="DP88" s="106">
        <f>+HLOOKUP($C88,BP!$EY$2:$FK$250,215,0)</f>
        <v>0</v>
      </c>
      <c r="DQ88" s="106">
        <f>+HLOOKUP($C88,BP!$EY$2:$FK$250,219,0)</f>
        <v>0</v>
      </c>
      <c r="DR88" s="106">
        <f>+HLOOKUP($C88,BP!$EY$2:$FK$250,220,0)</f>
        <v>0</v>
      </c>
      <c r="DS88" s="106">
        <f>+HLOOKUP($C88,BP!$EY$2:$FK$250,221,0)</f>
        <v>0</v>
      </c>
      <c r="DT88" s="106">
        <f>+HLOOKUP($C88,BP!$EY$2:$FK$250,223,0)</f>
        <v>3333.333333333333</v>
      </c>
      <c r="DU88" s="106">
        <f>+HLOOKUP($C88,BP!$EY$2:$FK$250,224,0)</f>
        <v>2000</v>
      </c>
      <c r="DV88" s="106">
        <f>+HLOOKUP($C88,BP!$EY$2:$FK$250,225,0)</f>
        <v>3333.333333333333</v>
      </c>
      <c r="DW88" s="106">
        <f>+HLOOKUP($C88,BP!$EY$2:$FK$250,227,0)</f>
        <v>0</v>
      </c>
      <c r="DX88" s="106">
        <f>+HLOOKUP($C88,BP!$EY$2:$FK$250,228,0)</f>
        <v>0</v>
      </c>
      <c r="DY88" s="106">
        <f>+HLOOKUP($C88,BP!$EY$2:$FK$250,236,0)</f>
        <v>0</v>
      </c>
      <c r="DZ88" s="106">
        <f>+HLOOKUP($C88,BP!$EY$2:$FK$250,237,0)</f>
        <v>0</v>
      </c>
      <c r="EA88" s="106">
        <f>+HLOOKUP($C88,BP!$EY$2:$FK$250,238,0)</f>
        <v>0</v>
      </c>
      <c r="EB88" s="106">
        <f>+HLOOKUP($C88,BP!$EY$2:$FK$250,240,0)</f>
        <v>468618.16800000001</v>
      </c>
    </row>
    <row r="89" spans="1:132">
      <c r="A89" t="s">
        <v>272</v>
      </c>
      <c r="B89" t="s">
        <v>218</v>
      </c>
      <c r="C89" s="117">
        <v>45901</v>
      </c>
      <c r="D89" s="106">
        <f t="shared" si="1"/>
        <v>1670490.0000000002</v>
      </c>
      <c r="E89" s="106">
        <f>+HLOOKUP(C89,BP!$EY$2:$FK$250,28,0)+HLOOKUP(C89,BP!$EY$2:$FK$250,43,0)+HLOOKUP(C89,BP!$EY$2:$FK$250,44,0)+HLOOKUP(C89,BP!$EY$2:$FK$250,45,0)+HLOOKUP(C89,BP!$EY$2:$FK$250,54,0)+HLOOKUP(C89,BP!$EY$2:$FK$250,59,0)</f>
        <v>1670490.0000000002</v>
      </c>
      <c r="F89" s="106">
        <f>+HLOOKUP(C89,BP!$EY$2:$FK$250,37,0)+HLOOKUP(C89,BP!$EY$2:$FK$250,55,0)</f>
        <v>1103616.4871794875</v>
      </c>
      <c r="G89" s="106">
        <f>+HLOOKUP($C89,BP!$EY$2:$FK$250,76,0)</f>
        <v>0</v>
      </c>
      <c r="H89" s="106">
        <f>+HLOOKUP($C89,BP!$EY$2:$FK$250,77,0)</f>
        <v>0</v>
      </c>
      <c r="I89" s="106">
        <f>+HLOOKUP($C89,BP!$EY$2:$FK$250,78,0)</f>
        <v>0</v>
      </c>
      <c r="J89" s="106">
        <f>+HLOOKUP($C89,BP!$EY$2:$FK$250,79,0)</f>
        <v>0</v>
      </c>
      <c r="K89" s="106">
        <f>+HLOOKUP($C89,BP!$EY$2:$FK$250,80,0)</f>
        <v>0</v>
      </c>
      <c r="L89" s="106">
        <f>+HLOOKUP($C89,BP!$EY$2:$FK$250,81,0)</f>
        <v>0</v>
      </c>
      <c r="M89" s="106">
        <f>+HLOOKUP($C89,BP!$EY$2:$FK$250,82,0)</f>
        <v>0</v>
      </c>
      <c r="N89" s="106">
        <f>+HLOOKUP($C89,BP!$EY$2:$FK$250,83,0)</f>
        <v>0</v>
      </c>
      <c r="O89" s="106">
        <f>+HLOOKUP($C89,BP!$EY$2:$FK$250,84,0)</f>
        <v>0</v>
      </c>
      <c r="P89" s="106">
        <f>+HLOOKUP($C89,BP!$EY$2:$FK$250,85,0)</f>
        <v>0</v>
      </c>
      <c r="Q89" s="106">
        <f>+HLOOKUP($C89,BP!$EY$2:$FK$250,87,0)</f>
        <v>52164.000000000007</v>
      </c>
      <c r="R89" s="106">
        <f>+HLOOKUP($C89,BP!$EY$2:$FK$250,90,0)</f>
        <v>0</v>
      </c>
      <c r="S89" s="106">
        <f>+HLOOKUP($C89,BP!$EY$2:$FK$250,91,0)</f>
        <v>0</v>
      </c>
      <c r="T89" s="106">
        <f>+HLOOKUP($C89,BP!$EY$2:$FK$250,92,0)</f>
        <v>0</v>
      </c>
      <c r="U89" s="106">
        <f>+HLOOKUP($C89,BP!$EY$2:$FK$250,93,0)</f>
        <v>0</v>
      </c>
      <c r="V89" s="106">
        <f>+HLOOKUP($C89,BP!$EY$2:$FK$250,94,0)</f>
        <v>0</v>
      </c>
      <c r="W89" s="106">
        <f>+HLOOKUP($C89,BP!$EY$2:$FK$250,95,0)</f>
        <v>0</v>
      </c>
      <c r="X89" s="106">
        <f>+HLOOKUP($C89,BP!$EY$2:$FK$250,96,0)</f>
        <v>0</v>
      </c>
      <c r="Y89" s="106">
        <f>+HLOOKUP($C89,BP!$EY$2:$FK$250,97,0)</f>
        <v>0</v>
      </c>
      <c r="Z89" s="106">
        <f>+HLOOKUP($C89,BP!$EY$2:$FK$250,98,0)</f>
        <v>0</v>
      </c>
      <c r="AA89" s="106">
        <f>+HLOOKUP($C89,BP!$EY$2:$FK$250,99,0)</f>
        <v>0</v>
      </c>
      <c r="AB89" s="106">
        <f>+HLOOKUP($C89,BP!$EY$2:$FK$250,100,0)</f>
        <v>0</v>
      </c>
      <c r="AC89" s="106">
        <f>+HLOOKUP($C89,BP!$EY$2:$FK$250,101,0)</f>
        <v>0</v>
      </c>
      <c r="AD89" s="106">
        <f>+HLOOKUP($C89,BP!$EY$2:$FK$250,104,0)</f>
        <v>2008.3140000000005</v>
      </c>
      <c r="AE89" s="106">
        <f>+HLOOKUP($C89,BP!$EY$2:$FK$250,105,0)</f>
        <v>6520.5000000000009</v>
      </c>
      <c r="AF89" s="106">
        <f>+HLOOKUP($C89,BP!$EY$2:$FK$250,106,0)</f>
        <v>0</v>
      </c>
      <c r="AG89" s="106">
        <f>+HLOOKUP($C89,BP!$EY$2:$FK$250,107,0)</f>
        <v>0</v>
      </c>
      <c r="AH89" s="106">
        <f>+HLOOKUP($C89,BP!$EY$2:$FK$250,108,0)</f>
        <v>0</v>
      </c>
      <c r="AI89" s="106">
        <f>+HLOOKUP($C89,BP!$EY$2:$FK$250,109,0)</f>
        <v>0</v>
      </c>
      <c r="AJ89" s="106">
        <f>+HLOOKUP($C89,BP!$EY$2:$FK$250,110,0)</f>
        <v>0</v>
      </c>
      <c r="AK89" s="106">
        <f>+HLOOKUP($C89,BP!$EY$2:$FK$250,111,0)</f>
        <v>401.66280000000012</v>
      </c>
      <c r="AL89" s="106">
        <f>+HLOOKUP($C89,BP!$EY$2:$FK$250,112,0)</f>
        <v>0</v>
      </c>
      <c r="AM89" s="106">
        <f>+HLOOKUP($C89,BP!$EY$2:$FK$250,116,0)</f>
        <v>41250</v>
      </c>
      <c r="AN89" s="106">
        <f>+HLOOKUP($C89,BP!$EY$2:$FK$250,117,0)</f>
        <v>6150</v>
      </c>
      <c r="AO89" s="106">
        <f>+HLOOKUP($C89,BP!$EY$2:$FK$250,118,0)</f>
        <v>0</v>
      </c>
      <c r="AP89" s="106">
        <f>+HLOOKUP($C89,BP!$EY$2:$FK$250,119,0)</f>
        <v>16500</v>
      </c>
      <c r="AQ89" s="106">
        <f>+HLOOKUP($C89,BP!$EY$2:$FK$250,120,0)</f>
        <v>0</v>
      </c>
      <c r="AR89" s="106">
        <f>+HLOOKUP($C89,BP!$EY$2:$FK$250,121,0)</f>
        <v>0</v>
      </c>
      <c r="AS89" s="106">
        <f>+HLOOKUP($C89,BP!$EY$2:$FK$250,122,0)</f>
        <v>18600</v>
      </c>
      <c r="AT89" s="106">
        <f>+HLOOKUP($C89,BP!$EY$2:$FK$250,123,0)</f>
        <v>5646.875</v>
      </c>
      <c r="AU89" s="106">
        <f>+HLOOKUP($C89,BP!$EY$2:$FK$250,124,0)</f>
        <v>0</v>
      </c>
      <c r="AV89" s="106">
        <f>+HLOOKUP($C89,BP!$EY$2:$FK$250,125,0)</f>
        <v>0</v>
      </c>
      <c r="AW89" s="106">
        <f>+HLOOKUP($C89,BP!$EY$2:$FK$250,126,0)</f>
        <v>1983.1730769230771</v>
      </c>
      <c r="AX89" s="106">
        <f>+HLOOKUP($C89,BP!$EY$2:$FK$250,127,0)</f>
        <v>3250</v>
      </c>
      <c r="AY89" s="106">
        <f>+HLOOKUP($C89,BP!$EY$2:$FK$250,129,0)</f>
        <v>0</v>
      </c>
      <c r="AZ89" s="106">
        <f>+HLOOKUP($C89,BP!$EY$2:$FK$250,130,0)</f>
        <v>0</v>
      </c>
      <c r="BA89" s="106">
        <f>+HLOOKUP($C89,BP!$EY$2:$FK$250,131,0)</f>
        <v>7500</v>
      </c>
      <c r="BB89" s="106">
        <f>+HLOOKUP($C89,BP!$EY$2:$FK$250,133,0)</f>
        <v>0</v>
      </c>
      <c r="BC89" s="106">
        <f>+HLOOKUP($C89,BP!$EY$2:$FK$250,134,0)</f>
        <v>0</v>
      </c>
      <c r="BD89" s="106">
        <f>+HLOOKUP($C89,BP!$EY$2:$FK$250,135,0)</f>
        <v>0</v>
      </c>
      <c r="BE89" s="106">
        <f>+HLOOKUP($C89,BP!$EY$2:$FK$250,136,0)</f>
        <v>0</v>
      </c>
      <c r="BF89" s="106">
        <f>+HLOOKUP($C89,BP!$EY$2:$FK$250,138,0)</f>
        <v>1500</v>
      </c>
      <c r="BG89" s="106">
        <f>+HLOOKUP($C89,BP!$EY$2:$FK$250,139,0)</f>
        <v>6666.6666666666661</v>
      </c>
      <c r="BH89" s="106">
        <f>+HLOOKUP($C89,BP!$EY$2:$FK$250,140,0)</f>
        <v>13400</v>
      </c>
      <c r="BI89" s="106">
        <f>+HLOOKUP($C89,BP!$EY$2:$FK$250,141,0)</f>
        <v>0</v>
      </c>
      <c r="BJ89" s="106">
        <f>+HLOOKUP($C89,BP!$EY$2:$FK$250,142,0)</f>
        <v>0</v>
      </c>
      <c r="BK89" s="106">
        <f>+HLOOKUP($C89,BP!$EY$2:$FK$250,143,0)</f>
        <v>3000</v>
      </c>
      <c r="BL89" s="106">
        <f>+HLOOKUP($C89,BP!$EY$2:$FK$250,144,0)</f>
        <v>1291.6666666666667</v>
      </c>
      <c r="BM89" s="106">
        <f>+HLOOKUP($C89,BP!$EY$2:$FK$250,146,0)</f>
        <v>0</v>
      </c>
      <c r="BN89" s="106">
        <f>+HLOOKUP($C89,BP!$EY$2:$FK$250,147,0)</f>
        <v>0</v>
      </c>
      <c r="BO89" s="106">
        <f>+HLOOKUP($C89,BP!$EY$2:$FK$250,148,0)</f>
        <v>0</v>
      </c>
      <c r="BP89" s="106">
        <f>+HLOOKUP($C89,BP!$EY$2:$FK$250,150,0)</f>
        <v>26000</v>
      </c>
      <c r="BQ89" s="106">
        <f>+HLOOKUP($C89,BP!$EY$2:$FK$250,151,0)</f>
        <v>1984.4</v>
      </c>
      <c r="BR89" s="106">
        <f>+HLOOKUP($C89,BP!$EY$2:$FK$250,152,0)</f>
        <v>12800</v>
      </c>
      <c r="BS89" s="106">
        <f>+HLOOKUP($C89,BP!$EY$2:$FK$250,153,0)</f>
        <v>3000</v>
      </c>
      <c r="BT89" s="106">
        <f>+HLOOKUP($C89,BP!$EY$2:$FK$250,157,0)</f>
        <v>0</v>
      </c>
      <c r="BU89" s="106">
        <f>+HLOOKUP($C89,BP!$EY$2:$FK$250,158,0)</f>
        <v>0</v>
      </c>
      <c r="BV89" s="106">
        <f>+HLOOKUP($C89,BP!$EY$2:$FK$250,159,0)</f>
        <v>0</v>
      </c>
      <c r="BW89" s="106">
        <f>+HLOOKUP($C89,BP!$EY$2:$FK$250,160,0)</f>
        <v>0</v>
      </c>
      <c r="BX89" s="106">
        <f>+HLOOKUP($C89,BP!$EY$2:$FK$250,161,0)</f>
        <v>0</v>
      </c>
      <c r="BY89" s="106">
        <f>+HLOOKUP($C89,BP!$EY$2:$FK$250,164,0)</f>
        <v>0</v>
      </c>
      <c r="BZ89" s="106">
        <f>+HLOOKUP($C89,BP!$EY$2:$FK$250,165,0)</f>
        <v>0</v>
      </c>
      <c r="CA89" s="106">
        <f>+HLOOKUP($C89,BP!$EY$2:$FK$250,166,0)</f>
        <v>0</v>
      </c>
      <c r="CB89" s="106">
        <f>+HLOOKUP($C89,BP!$EY$2:$FK$250,167,0)</f>
        <v>0</v>
      </c>
      <c r="CC89" s="106">
        <f>+HLOOKUP($C89,BP!$EY$2:$FK$250,168,0)</f>
        <v>0</v>
      </c>
      <c r="CD89" s="106">
        <f>+HLOOKUP($C89,BP!$EY$2:$FK$250,169,0)</f>
        <v>0</v>
      </c>
      <c r="CE89" s="106">
        <f>+HLOOKUP($C89,BP!$EY$2:$FK$250,170,0)</f>
        <v>0</v>
      </c>
      <c r="CF89" s="106">
        <f>+HLOOKUP($C89,BP!$EY$2:$FK$250,172,0)</f>
        <v>0</v>
      </c>
      <c r="CG89" s="106">
        <f>+HLOOKUP($C89,BP!$EY$2:$FK$250,173,0)</f>
        <v>4800</v>
      </c>
      <c r="CH89" s="106">
        <f>+HLOOKUP($C89,BP!$EY$2:$FK$250,174,0)</f>
        <v>0</v>
      </c>
      <c r="CI89" s="106">
        <f>+HLOOKUP($C89,BP!$EY$2:$FK$250,175,0)</f>
        <v>0</v>
      </c>
      <c r="CJ89" s="106">
        <f>+HLOOKUP($C89,BP!$EY$2:$FK$250,176,0)</f>
        <v>0</v>
      </c>
      <c r="CK89" s="106">
        <f>+HLOOKUP($C89,BP!$EY$2:$FK$250,178,0)</f>
        <v>18600</v>
      </c>
      <c r="CL89" s="106">
        <f>+HLOOKUP($C89,BP!$EY$2:$FK$250,179,0)</f>
        <v>120000.00000000006</v>
      </c>
      <c r="CM89" s="106">
        <f>+HLOOKUP($C89,BP!$EY$2:$FK$250,180,0)</f>
        <v>1920</v>
      </c>
      <c r="CN89" s="106">
        <f>+HLOOKUP($C89,BP!$EY$2:$FK$250,182,0)</f>
        <v>2800</v>
      </c>
      <c r="CO89" s="106">
        <f>+HLOOKUP($C89,BP!$EY$2:$FK$250,183,0)</f>
        <v>800</v>
      </c>
      <c r="CP89" s="106">
        <f>+HLOOKUP($C89,BP!$EY$2:$FK$250,184,0)</f>
        <v>648</v>
      </c>
      <c r="CQ89" s="106">
        <f>+HLOOKUP($C89,BP!$EY$2:$FK$250,185,0)</f>
        <v>0</v>
      </c>
      <c r="CR89" s="106">
        <f>+HLOOKUP($C89,BP!$EY$2:$FK$250,187,0)</f>
        <v>1250</v>
      </c>
      <c r="CS89" s="106">
        <f>+HLOOKUP($C89,BP!$EY$2:$FK$250,188,0)</f>
        <v>0</v>
      </c>
      <c r="CT89" s="106">
        <f>+HLOOKUP($C89,BP!$EY$2:$FK$250,189,0)</f>
        <v>0</v>
      </c>
      <c r="CU89" s="106">
        <f>+HLOOKUP($C89,BP!$EY$2:$FK$250,190,0)</f>
        <v>0</v>
      </c>
      <c r="CV89" s="106">
        <f>+HLOOKUP($C89,BP!$EY$2:$FK$250,191,0)</f>
        <v>0</v>
      </c>
      <c r="CW89" s="106">
        <f>+HLOOKUP($C89,BP!$EY$2:$FK$250,193,0)</f>
        <v>0</v>
      </c>
      <c r="CX89" s="106">
        <f>+HLOOKUP($C89,BP!$EY$2:$FK$250,194,0)</f>
        <v>0</v>
      </c>
      <c r="CY89" s="106">
        <f>+HLOOKUP($C89,BP!$EY$2:$FK$250,195,0)</f>
        <v>10000</v>
      </c>
      <c r="CZ89" s="106">
        <f>+HLOOKUP($C89,BP!$EY$2:$FK$250,196,0)</f>
        <v>0</v>
      </c>
      <c r="DA89" s="106">
        <f>+HLOOKUP($C89,BP!$EY$2:$FK$250,197,0)</f>
        <v>6666.6666666666661</v>
      </c>
      <c r="DB89" s="106">
        <f>+HLOOKUP($C89,BP!$EY$2:$FK$250,198,0)</f>
        <v>4000</v>
      </c>
      <c r="DC89" s="106">
        <f>+HLOOKUP($C89,BP!$EY$2:$FK$250,199,0)</f>
        <v>1333.3333333333333</v>
      </c>
      <c r="DD89" s="106">
        <f>+HLOOKUP($C89,BP!$EY$2:$FK$250,200,0)</f>
        <v>666.66666666666663</v>
      </c>
      <c r="DE89" s="106">
        <f>+HLOOKUP($C89,BP!$EY$2:$FK$250,201,0)</f>
        <v>166.66666666666666</v>
      </c>
      <c r="DF89" s="106">
        <f>+HLOOKUP($C89,BP!$EY$2:$FK$250,202,0)</f>
        <v>0</v>
      </c>
      <c r="DG89" s="106">
        <f>+HLOOKUP($C89,BP!$EY$2:$FK$250,203,0)</f>
        <v>0</v>
      </c>
      <c r="DH89" s="106">
        <f>+HLOOKUP($C89,BP!$EY$2:$FK$250,205,0)</f>
        <v>0</v>
      </c>
      <c r="DI89" s="106">
        <f>+HLOOKUP($C89,BP!$EY$2:$FK$250,206,0)</f>
        <v>10000</v>
      </c>
      <c r="DJ89" s="106">
        <f>+HLOOKUP($C89,BP!$EY$2:$FK$250,207,0)</f>
        <v>0</v>
      </c>
      <c r="DK89" s="106">
        <f>+HLOOKUP($C89,BP!$EY$2:$FK$250,209,0)</f>
        <v>0</v>
      </c>
      <c r="DL89" s="106">
        <f>+HLOOKUP($C89,BP!$EY$2:$FK$250,210,0)</f>
        <v>180000</v>
      </c>
      <c r="DM89" s="106">
        <f>+HLOOKUP($C89,BP!$EY$2:$FK$250,211,0)</f>
        <v>0</v>
      </c>
      <c r="DN89" s="106">
        <f>+HLOOKUP($C89,BP!$EY$2:$FK$250,212,0)</f>
        <v>0</v>
      </c>
      <c r="DO89" s="106">
        <f>+HLOOKUP($C89,BP!$EY$2:$FK$250,214,0)</f>
        <v>0</v>
      </c>
      <c r="DP89" s="106">
        <f>+HLOOKUP($C89,BP!$EY$2:$FK$250,215,0)</f>
        <v>0</v>
      </c>
      <c r="DQ89" s="106">
        <f>+HLOOKUP($C89,BP!$EY$2:$FK$250,219,0)</f>
        <v>0</v>
      </c>
      <c r="DR89" s="106">
        <f>+HLOOKUP($C89,BP!$EY$2:$FK$250,220,0)</f>
        <v>0</v>
      </c>
      <c r="DS89" s="106">
        <f>+HLOOKUP($C89,BP!$EY$2:$FK$250,221,0)</f>
        <v>0</v>
      </c>
      <c r="DT89" s="106">
        <f>+HLOOKUP($C89,BP!$EY$2:$FK$250,223,0)</f>
        <v>3333.333333333333</v>
      </c>
      <c r="DU89" s="106">
        <f>+HLOOKUP($C89,BP!$EY$2:$FK$250,224,0)</f>
        <v>2000</v>
      </c>
      <c r="DV89" s="106">
        <f>+HLOOKUP($C89,BP!$EY$2:$FK$250,225,0)</f>
        <v>3333.333333333333</v>
      </c>
      <c r="DW89" s="106">
        <f>+HLOOKUP($C89,BP!$EY$2:$FK$250,227,0)</f>
        <v>0</v>
      </c>
      <c r="DX89" s="106">
        <f>+HLOOKUP($C89,BP!$EY$2:$FK$250,228,0)</f>
        <v>0</v>
      </c>
      <c r="DY89" s="106">
        <f>+HLOOKUP($C89,BP!$EY$2:$FK$250,236,0)</f>
        <v>0</v>
      </c>
      <c r="DZ89" s="106">
        <f>+HLOOKUP($C89,BP!$EY$2:$FK$250,237,0)</f>
        <v>0</v>
      </c>
      <c r="EA89" s="106">
        <f>+HLOOKUP($C89,BP!$EY$2:$FK$250,238,0)</f>
        <v>0</v>
      </c>
      <c r="EB89" s="106">
        <f>+HLOOKUP($C89,BP!$EY$2:$FK$250,240,0)</f>
        <v>468618.16800000001</v>
      </c>
    </row>
    <row r="90" spans="1:132">
      <c r="A90" t="s">
        <v>272</v>
      </c>
      <c r="B90" t="s">
        <v>218</v>
      </c>
      <c r="C90" s="117">
        <v>45870</v>
      </c>
      <c r="D90" s="106">
        <f t="shared" si="1"/>
        <v>1748500.0000000002</v>
      </c>
      <c r="E90" s="106">
        <f>+HLOOKUP(C90,BP!$EY$2:$FK$250,28,0)+HLOOKUP(C90,BP!$EY$2:$FK$250,43,0)+HLOOKUP(C90,BP!$EY$2:$FK$250,44,0)+HLOOKUP(C90,BP!$EY$2:$FK$250,45,0)+HLOOKUP(C90,BP!$EY$2:$FK$250,54,0)+HLOOKUP(C90,BP!$EY$2:$FK$250,59,0)</f>
        <v>1748500.0000000002</v>
      </c>
      <c r="F90" s="106">
        <f>+HLOOKUP(C90,BP!$EY$2:$FK$250,37,0)+HLOOKUP(C90,BP!$EY$2:$FK$250,55,0)</f>
        <v>1153554.4871794875</v>
      </c>
      <c r="G90" s="106">
        <f>+HLOOKUP($C90,BP!$EY$2:$FK$250,76,0)</f>
        <v>0</v>
      </c>
      <c r="H90" s="106">
        <f>+HLOOKUP($C90,BP!$EY$2:$FK$250,77,0)</f>
        <v>0</v>
      </c>
      <c r="I90" s="106">
        <f>+HLOOKUP($C90,BP!$EY$2:$FK$250,78,0)</f>
        <v>0</v>
      </c>
      <c r="J90" s="106">
        <f>+HLOOKUP($C90,BP!$EY$2:$FK$250,79,0)</f>
        <v>0</v>
      </c>
      <c r="K90" s="106">
        <f>+HLOOKUP($C90,BP!$EY$2:$FK$250,80,0)</f>
        <v>0</v>
      </c>
      <c r="L90" s="106">
        <f>+HLOOKUP($C90,BP!$EY$2:$FK$250,81,0)</f>
        <v>0</v>
      </c>
      <c r="M90" s="106">
        <f>+HLOOKUP($C90,BP!$EY$2:$FK$250,82,0)</f>
        <v>0</v>
      </c>
      <c r="N90" s="106">
        <f>+HLOOKUP($C90,BP!$EY$2:$FK$250,83,0)</f>
        <v>0</v>
      </c>
      <c r="O90" s="106">
        <f>+HLOOKUP($C90,BP!$EY$2:$FK$250,84,0)</f>
        <v>0</v>
      </c>
      <c r="P90" s="106">
        <f>+HLOOKUP($C90,BP!$EY$2:$FK$250,85,0)</f>
        <v>0</v>
      </c>
      <c r="Q90" s="106">
        <f>+HLOOKUP($C90,BP!$EY$2:$FK$250,87,0)</f>
        <v>54600.000000000007</v>
      </c>
      <c r="R90" s="106">
        <f>+HLOOKUP($C90,BP!$EY$2:$FK$250,90,0)</f>
        <v>0</v>
      </c>
      <c r="S90" s="106">
        <f>+HLOOKUP($C90,BP!$EY$2:$FK$250,91,0)</f>
        <v>0</v>
      </c>
      <c r="T90" s="106">
        <f>+HLOOKUP($C90,BP!$EY$2:$FK$250,92,0)</f>
        <v>0</v>
      </c>
      <c r="U90" s="106">
        <f>+HLOOKUP($C90,BP!$EY$2:$FK$250,93,0)</f>
        <v>0</v>
      </c>
      <c r="V90" s="106">
        <f>+HLOOKUP($C90,BP!$EY$2:$FK$250,94,0)</f>
        <v>0</v>
      </c>
      <c r="W90" s="106">
        <f>+HLOOKUP($C90,BP!$EY$2:$FK$250,95,0)</f>
        <v>0</v>
      </c>
      <c r="X90" s="106">
        <f>+HLOOKUP($C90,BP!$EY$2:$FK$250,96,0)</f>
        <v>0</v>
      </c>
      <c r="Y90" s="106">
        <f>+HLOOKUP($C90,BP!$EY$2:$FK$250,97,0)</f>
        <v>0</v>
      </c>
      <c r="Z90" s="106">
        <f>+HLOOKUP($C90,BP!$EY$2:$FK$250,98,0)</f>
        <v>0</v>
      </c>
      <c r="AA90" s="106">
        <f>+HLOOKUP($C90,BP!$EY$2:$FK$250,99,0)</f>
        <v>0</v>
      </c>
      <c r="AB90" s="106">
        <f>+HLOOKUP($C90,BP!$EY$2:$FK$250,100,0)</f>
        <v>0</v>
      </c>
      <c r="AC90" s="106">
        <f>+HLOOKUP($C90,BP!$EY$2:$FK$250,101,0)</f>
        <v>0</v>
      </c>
      <c r="AD90" s="106">
        <f>+HLOOKUP($C90,BP!$EY$2:$FK$250,104,0)</f>
        <v>2102.1000000000004</v>
      </c>
      <c r="AE90" s="106">
        <f>+HLOOKUP($C90,BP!$EY$2:$FK$250,105,0)</f>
        <v>6825.0000000000009</v>
      </c>
      <c r="AF90" s="106">
        <f>+HLOOKUP($C90,BP!$EY$2:$FK$250,106,0)</f>
        <v>0</v>
      </c>
      <c r="AG90" s="106">
        <f>+HLOOKUP($C90,BP!$EY$2:$FK$250,107,0)</f>
        <v>0</v>
      </c>
      <c r="AH90" s="106">
        <f>+HLOOKUP($C90,BP!$EY$2:$FK$250,108,0)</f>
        <v>0</v>
      </c>
      <c r="AI90" s="106">
        <f>+HLOOKUP($C90,BP!$EY$2:$FK$250,109,0)</f>
        <v>0</v>
      </c>
      <c r="AJ90" s="106">
        <f>+HLOOKUP($C90,BP!$EY$2:$FK$250,110,0)</f>
        <v>0</v>
      </c>
      <c r="AK90" s="106">
        <f>+HLOOKUP($C90,BP!$EY$2:$FK$250,111,0)</f>
        <v>420.42000000000007</v>
      </c>
      <c r="AL90" s="106">
        <f>+HLOOKUP($C90,BP!$EY$2:$FK$250,112,0)</f>
        <v>0</v>
      </c>
      <c r="AM90" s="106">
        <f>+HLOOKUP($C90,BP!$EY$2:$FK$250,116,0)</f>
        <v>41250</v>
      </c>
      <c r="AN90" s="106">
        <f>+HLOOKUP($C90,BP!$EY$2:$FK$250,117,0)</f>
        <v>6150</v>
      </c>
      <c r="AO90" s="106">
        <f>+HLOOKUP($C90,BP!$EY$2:$FK$250,118,0)</f>
        <v>0</v>
      </c>
      <c r="AP90" s="106">
        <f>+HLOOKUP($C90,BP!$EY$2:$FK$250,119,0)</f>
        <v>16500</v>
      </c>
      <c r="AQ90" s="106">
        <f>+HLOOKUP($C90,BP!$EY$2:$FK$250,120,0)</f>
        <v>0</v>
      </c>
      <c r="AR90" s="106">
        <f>+HLOOKUP($C90,BP!$EY$2:$FK$250,121,0)</f>
        <v>0</v>
      </c>
      <c r="AS90" s="106">
        <f>+HLOOKUP($C90,BP!$EY$2:$FK$250,122,0)</f>
        <v>18600</v>
      </c>
      <c r="AT90" s="106">
        <f>+HLOOKUP($C90,BP!$EY$2:$FK$250,123,0)</f>
        <v>5646.875</v>
      </c>
      <c r="AU90" s="106">
        <f>+HLOOKUP($C90,BP!$EY$2:$FK$250,124,0)</f>
        <v>0</v>
      </c>
      <c r="AV90" s="106">
        <f>+HLOOKUP($C90,BP!$EY$2:$FK$250,125,0)</f>
        <v>0</v>
      </c>
      <c r="AW90" s="106">
        <f>+HLOOKUP($C90,BP!$EY$2:$FK$250,126,0)</f>
        <v>1983.1730769230771</v>
      </c>
      <c r="AX90" s="106">
        <f>+HLOOKUP($C90,BP!$EY$2:$FK$250,127,0)</f>
        <v>3250</v>
      </c>
      <c r="AY90" s="106">
        <f>+HLOOKUP($C90,BP!$EY$2:$FK$250,129,0)</f>
        <v>0</v>
      </c>
      <c r="AZ90" s="106">
        <f>+HLOOKUP($C90,BP!$EY$2:$FK$250,130,0)</f>
        <v>0</v>
      </c>
      <c r="BA90" s="106">
        <f>+HLOOKUP($C90,BP!$EY$2:$FK$250,131,0)</f>
        <v>7500</v>
      </c>
      <c r="BB90" s="106">
        <f>+HLOOKUP($C90,BP!$EY$2:$FK$250,133,0)</f>
        <v>0</v>
      </c>
      <c r="BC90" s="106">
        <f>+HLOOKUP($C90,BP!$EY$2:$FK$250,134,0)</f>
        <v>0</v>
      </c>
      <c r="BD90" s="106">
        <f>+HLOOKUP($C90,BP!$EY$2:$FK$250,135,0)</f>
        <v>0</v>
      </c>
      <c r="BE90" s="106">
        <f>+HLOOKUP($C90,BP!$EY$2:$FK$250,136,0)</f>
        <v>0</v>
      </c>
      <c r="BF90" s="106">
        <f>+HLOOKUP($C90,BP!$EY$2:$FK$250,138,0)</f>
        <v>1500</v>
      </c>
      <c r="BG90" s="106">
        <f>+HLOOKUP($C90,BP!$EY$2:$FK$250,139,0)</f>
        <v>6666.6666666666661</v>
      </c>
      <c r="BH90" s="106">
        <f>+HLOOKUP($C90,BP!$EY$2:$FK$250,140,0)</f>
        <v>13400</v>
      </c>
      <c r="BI90" s="106">
        <f>+HLOOKUP($C90,BP!$EY$2:$FK$250,141,0)</f>
        <v>0</v>
      </c>
      <c r="BJ90" s="106">
        <f>+HLOOKUP($C90,BP!$EY$2:$FK$250,142,0)</f>
        <v>0</v>
      </c>
      <c r="BK90" s="106">
        <f>+HLOOKUP($C90,BP!$EY$2:$FK$250,143,0)</f>
        <v>3000</v>
      </c>
      <c r="BL90" s="106">
        <f>+HLOOKUP($C90,BP!$EY$2:$FK$250,144,0)</f>
        <v>291.66666666666669</v>
      </c>
      <c r="BM90" s="106">
        <f>+HLOOKUP($C90,BP!$EY$2:$FK$250,146,0)</f>
        <v>0</v>
      </c>
      <c r="BN90" s="106">
        <f>+HLOOKUP($C90,BP!$EY$2:$FK$250,147,0)</f>
        <v>0</v>
      </c>
      <c r="BO90" s="106">
        <f>+HLOOKUP($C90,BP!$EY$2:$FK$250,148,0)</f>
        <v>0</v>
      </c>
      <c r="BP90" s="106">
        <f>+HLOOKUP($C90,BP!$EY$2:$FK$250,150,0)</f>
        <v>26000</v>
      </c>
      <c r="BQ90" s="106">
        <f>+HLOOKUP($C90,BP!$EY$2:$FK$250,151,0)</f>
        <v>1984.4</v>
      </c>
      <c r="BR90" s="106">
        <f>+HLOOKUP($C90,BP!$EY$2:$FK$250,152,0)</f>
        <v>12800</v>
      </c>
      <c r="BS90" s="106">
        <f>+HLOOKUP($C90,BP!$EY$2:$FK$250,153,0)</f>
        <v>3000</v>
      </c>
      <c r="BT90" s="106">
        <f>+HLOOKUP($C90,BP!$EY$2:$FK$250,157,0)</f>
        <v>0</v>
      </c>
      <c r="BU90" s="106">
        <f>+HLOOKUP($C90,BP!$EY$2:$FK$250,158,0)</f>
        <v>0</v>
      </c>
      <c r="BV90" s="106">
        <f>+HLOOKUP($C90,BP!$EY$2:$FK$250,159,0)</f>
        <v>0</v>
      </c>
      <c r="BW90" s="106">
        <f>+HLOOKUP($C90,BP!$EY$2:$FK$250,160,0)</f>
        <v>0</v>
      </c>
      <c r="BX90" s="106">
        <f>+HLOOKUP($C90,BP!$EY$2:$FK$250,161,0)</f>
        <v>0</v>
      </c>
      <c r="BY90" s="106">
        <f>+HLOOKUP($C90,BP!$EY$2:$FK$250,164,0)</f>
        <v>0</v>
      </c>
      <c r="BZ90" s="106">
        <f>+HLOOKUP($C90,BP!$EY$2:$FK$250,165,0)</f>
        <v>0</v>
      </c>
      <c r="CA90" s="106">
        <f>+HLOOKUP($C90,BP!$EY$2:$FK$250,166,0)</f>
        <v>0</v>
      </c>
      <c r="CB90" s="106">
        <f>+HLOOKUP($C90,BP!$EY$2:$FK$250,167,0)</f>
        <v>0</v>
      </c>
      <c r="CC90" s="106">
        <f>+HLOOKUP($C90,BP!$EY$2:$FK$250,168,0)</f>
        <v>0</v>
      </c>
      <c r="CD90" s="106">
        <f>+HLOOKUP($C90,BP!$EY$2:$FK$250,169,0)</f>
        <v>0</v>
      </c>
      <c r="CE90" s="106">
        <f>+HLOOKUP($C90,BP!$EY$2:$FK$250,170,0)</f>
        <v>0</v>
      </c>
      <c r="CF90" s="106">
        <f>+HLOOKUP($C90,BP!$EY$2:$FK$250,172,0)</f>
        <v>0</v>
      </c>
      <c r="CG90" s="106">
        <f>+HLOOKUP($C90,BP!$EY$2:$FK$250,173,0)</f>
        <v>4800</v>
      </c>
      <c r="CH90" s="106">
        <f>+HLOOKUP($C90,BP!$EY$2:$FK$250,174,0)</f>
        <v>0</v>
      </c>
      <c r="CI90" s="106">
        <f>+HLOOKUP($C90,BP!$EY$2:$FK$250,175,0)</f>
        <v>0</v>
      </c>
      <c r="CJ90" s="106">
        <f>+HLOOKUP($C90,BP!$EY$2:$FK$250,176,0)</f>
        <v>0</v>
      </c>
      <c r="CK90" s="106">
        <f>+HLOOKUP($C90,BP!$EY$2:$FK$250,178,0)</f>
        <v>18600</v>
      </c>
      <c r="CL90" s="106">
        <f>+HLOOKUP($C90,BP!$EY$2:$FK$250,179,0)</f>
        <v>120000.00000000006</v>
      </c>
      <c r="CM90" s="106">
        <f>+HLOOKUP($C90,BP!$EY$2:$FK$250,180,0)</f>
        <v>1920</v>
      </c>
      <c r="CN90" s="106">
        <f>+HLOOKUP($C90,BP!$EY$2:$FK$250,182,0)</f>
        <v>2800</v>
      </c>
      <c r="CO90" s="106">
        <f>+HLOOKUP($C90,BP!$EY$2:$FK$250,183,0)</f>
        <v>800</v>
      </c>
      <c r="CP90" s="106">
        <f>+HLOOKUP($C90,BP!$EY$2:$FK$250,184,0)</f>
        <v>648</v>
      </c>
      <c r="CQ90" s="106">
        <f>+HLOOKUP($C90,BP!$EY$2:$FK$250,185,0)</f>
        <v>0</v>
      </c>
      <c r="CR90" s="106">
        <f>+HLOOKUP($C90,BP!$EY$2:$FK$250,187,0)</f>
        <v>1250</v>
      </c>
      <c r="CS90" s="106">
        <f>+HLOOKUP($C90,BP!$EY$2:$FK$250,188,0)</f>
        <v>0</v>
      </c>
      <c r="CT90" s="106">
        <f>+HLOOKUP($C90,BP!$EY$2:$FK$250,189,0)</f>
        <v>0</v>
      </c>
      <c r="CU90" s="106">
        <f>+HLOOKUP($C90,BP!$EY$2:$FK$250,190,0)</f>
        <v>0</v>
      </c>
      <c r="CV90" s="106">
        <f>+HLOOKUP($C90,BP!$EY$2:$FK$250,191,0)</f>
        <v>0</v>
      </c>
      <c r="CW90" s="106">
        <f>+HLOOKUP($C90,BP!$EY$2:$FK$250,193,0)</f>
        <v>0</v>
      </c>
      <c r="CX90" s="106">
        <f>+HLOOKUP($C90,BP!$EY$2:$FK$250,194,0)</f>
        <v>0</v>
      </c>
      <c r="CY90" s="106">
        <f>+HLOOKUP($C90,BP!$EY$2:$FK$250,195,0)</f>
        <v>10000</v>
      </c>
      <c r="CZ90" s="106">
        <f>+HLOOKUP($C90,BP!$EY$2:$FK$250,196,0)</f>
        <v>0</v>
      </c>
      <c r="DA90" s="106">
        <f>+HLOOKUP($C90,BP!$EY$2:$FK$250,197,0)</f>
        <v>6666.6666666666661</v>
      </c>
      <c r="DB90" s="106">
        <f>+HLOOKUP($C90,BP!$EY$2:$FK$250,198,0)</f>
        <v>4000</v>
      </c>
      <c r="DC90" s="106">
        <f>+HLOOKUP($C90,BP!$EY$2:$FK$250,199,0)</f>
        <v>1333.3333333333333</v>
      </c>
      <c r="DD90" s="106">
        <f>+HLOOKUP($C90,BP!$EY$2:$FK$250,200,0)</f>
        <v>666.66666666666663</v>
      </c>
      <c r="DE90" s="106">
        <f>+HLOOKUP($C90,BP!$EY$2:$FK$250,201,0)</f>
        <v>166.66666666666666</v>
      </c>
      <c r="DF90" s="106">
        <f>+HLOOKUP($C90,BP!$EY$2:$FK$250,202,0)</f>
        <v>0</v>
      </c>
      <c r="DG90" s="106">
        <f>+HLOOKUP($C90,BP!$EY$2:$FK$250,203,0)</f>
        <v>0</v>
      </c>
      <c r="DH90" s="106">
        <f>+HLOOKUP($C90,BP!$EY$2:$FK$250,205,0)</f>
        <v>0</v>
      </c>
      <c r="DI90" s="106">
        <f>+HLOOKUP($C90,BP!$EY$2:$FK$250,206,0)</f>
        <v>10000</v>
      </c>
      <c r="DJ90" s="106">
        <f>+HLOOKUP($C90,BP!$EY$2:$FK$250,207,0)</f>
        <v>0</v>
      </c>
      <c r="DK90" s="106">
        <f>+HLOOKUP($C90,BP!$EY$2:$FK$250,209,0)</f>
        <v>0</v>
      </c>
      <c r="DL90" s="106">
        <f>+HLOOKUP($C90,BP!$EY$2:$FK$250,210,0)</f>
        <v>180000</v>
      </c>
      <c r="DM90" s="106">
        <f>+HLOOKUP($C90,BP!$EY$2:$FK$250,211,0)</f>
        <v>0</v>
      </c>
      <c r="DN90" s="106">
        <f>+HLOOKUP($C90,BP!$EY$2:$FK$250,212,0)</f>
        <v>0</v>
      </c>
      <c r="DO90" s="106">
        <f>+HLOOKUP($C90,BP!$EY$2:$FK$250,214,0)</f>
        <v>0</v>
      </c>
      <c r="DP90" s="106">
        <f>+HLOOKUP($C90,BP!$EY$2:$FK$250,215,0)</f>
        <v>0</v>
      </c>
      <c r="DQ90" s="106">
        <f>+HLOOKUP($C90,BP!$EY$2:$FK$250,219,0)</f>
        <v>0</v>
      </c>
      <c r="DR90" s="106">
        <f>+HLOOKUP($C90,BP!$EY$2:$FK$250,220,0)</f>
        <v>0</v>
      </c>
      <c r="DS90" s="106">
        <f>+HLOOKUP($C90,BP!$EY$2:$FK$250,221,0)</f>
        <v>0</v>
      </c>
      <c r="DT90" s="106">
        <f>+HLOOKUP($C90,BP!$EY$2:$FK$250,223,0)</f>
        <v>3333.333333333333</v>
      </c>
      <c r="DU90" s="106">
        <f>+HLOOKUP($C90,BP!$EY$2:$FK$250,224,0)</f>
        <v>2000</v>
      </c>
      <c r="DV90" s="106">
        <f>+HLOOKUP($C90,BP!$EY$2:$FK$250,225,0)</f>
        <v>3333.333333333333</v>
      </c>
      <c r="DW90" s="106">
        <f>+HLOOKUP($C90,BP!$EY$2:$FK$250,227,0)</f>
        <v>0</v>
      </c>
      <c r="DX90" s="106">
        <f>+HLOOKUP($C90,BP!$EY$2:$FK$250,228,0)</f>
        <v>0</v>
      </c>
      <c r="DY90" s="106">
        <f>+HLOOKUP($C90,BP!$EY$2:$FK$250,236,0)</f>
        <v>0</v>
      </c>
      <c r="DZ90" s="106">
        <f>+HLOOKUP($C90,BP!$EY$2:$FK$250,237,0)</f>
        <v>0</v>
      </c>
      <c r="EA90" s="106">
        <f>+HLOOKUP($C90,BP!$EY$2:$FK$250,238,0)</f>
        <v>0</v>
      </c>
      <c r="EB90" s="106">
        <f>+HLOOKUP($C90,BP!$EY$2:$FK$250,240,0)</f>
        <v>468618.16800000001</v>
      </c>
    </row>
    <row r="91" spans="1:132">
      <c r="A91" t="s">
        <v>272</v>
      </c>
      <c r="B91" t="s">
        <v>218</v>
      </c>
      <c r="C91" s="117">
        <v>45839</v>
      </c>
      <c r="D91" s="106">
        <f t="shared" si="1"/>
        <v>1815750.0000000002</v>
      </c>
      <c r="E91" s="106">
        <f>+HLOOKUP(C91,BP!$EY$2:$FK$250,28,0)+HLOOKUP(C91,BP!$EY$2:$FK$250,43,0)+HLOOKUP(C91,BP!$EY$2:$FK$250,44,0)+HLOOKUP(C91,BP!$EY$2:$FK$250,45,0)+HLOOKUP(C91,BP!$EY$2:$FK$250,54,0)+HLOOKUP(C91,BP!$EY$2:$FK$250,59,0)</f>
        <v>1815750.0000000002</v>
      </c>
      <c r="F91" s="106">
        <f>+HLOOKUP(C91,BP!$EY$2:$FK$250,37,0)+HLOOKUP(C91,BP!$EY$2:$FK$250,55,0)</f>
        <v>1196604.4871794875</v>
      </c>
      <c r="G91" s="106">
        <f>+HLOOKUP($C91,BP!$EY$2:$FK$250,76,0)</f>
        <v>0</v>
      </c>
      <c r="H91" s="106">
        <f>+HLOOKUP($C91,BP!$EY$2:$FK$250,77,0)</f>
        <v>0</v>
      </c>
      <c r="I91" s="106">
        <f>+HLOOKUP($C91,BP!$EY$2:$FK$250,78,0)</f>
        <v>0</v>
      </c>
      <c r="J91" s="106">
        <f>+HLOOKUP($C91,BP!$EY$2:$FK$250,79,0)</f>
        <v>0</v>
      </c>
      <c r="K91" s="106">
        <f>+HLOOKUP($C91,BP!$EY$2:$FK$250,80,0)</f>
        <v>0</v>
      </c>
      <c r="L91" s="106">
        <f>+HLOOKUP($C91,BP!$EY$2:$FK$250,81,0)</f>
        <v>0</v>
      </c>
      <c r="M91" s="106">
        <f>+HLOOKUP($C91,BP!$EY$2:$FK$250,82,0)</f>
        <v>0</v>
      </c>
      <c r="N91" s="106">
        <f>+HLOOKUP($C91,BP!$EY$2:$FK$250,83,0)</f>
        <v>0</v>
      </c>
      <c r="O91" s="106">
        <f>+HLOOKUP($C91,BP!$EY$2:$FK$250,84,0)</f>
        <v>0</v>
      </c>
      <c r="P91" s="106">
        <f>+HLOOKUP($C91,BP!$EY$2:$FK$250,85,0)</f>
        <v>0</v>
      </c>
      <c r="Q91" s="106">
        <f>+HLOOKUP($C91,BP!$EY$2:$FK$250,87,0)</f>
        <v>56700.000000000007</v>
      </c>
      <c r="R91" s="106">
        <f>+HLOOKUP($C91,BP!$EY$2:$FK$250,90,0)</f>
        <v>0</v>
      </c>
      <c r="S91" s="106">
        <f>+HLOOKUP($C91,BP!$EY$2:$FK$250,91,0)</f>
        <v>0</v>
      </c>
      <c r="T91" s="106">
        <f>+HLOOKUP($C91,BP!$EY$2:$FK$250,92,0)</f>
        <v>0</v>
      </c>
      <c r="U91" s="106">
        <f>+HLOOKUP($C91,BP!$EY$2:$FK$250,93,0)</f>
        <v>0</v>
      </c>
      <c r="V91" s="106">
        <f>+HLOOKUP($C91,BP!$EY$2:$FK$250,94,0)</f>
        <v>0</v>
      </c>
      <c r="W91" s="106">
        <f>+HLOOKUP($C91,BP!$EY$2:$FK$250,95,0)</f>
        <v>0</v>
      </c>
      <c r="X91" s="106">
        <f>+HLOOKUP($C91,BP!$EY$2:$FK$250,96,0)</f>
        <v>0</v>
      </c>
      <c r="Y91" s="106">
        <f>+HLOOKUP($C91,BP!$EY$2:$FK$250,97,0)</f>
        <v>0</v>
      </c>
      <c r="Z91" s="106">
        <f>+HLOOKUP($C91,BP!$EY$2:$FK$250,98,0)</f>
        <v>0</v>
      </c>
      <c r="AA91" s="106">
        <f>+HLOOKUP($C91,BP!$EY$2:$FK$250,99,0)</f>
        <v>0</v>
      </c>
      <c r="AB91" s="106">
        <f>+HLOOKUP($C91,BP!$EY$2:$FK$250,100,0)</f>
        <v>0</v>
      </c>
      <c r="AC91" s="106">
        <f>+HLOOKUP($C91,BP!$EY$2:$FK$250,101,0)</f>
        <v>0</v>
      </c>
      <c r="AD91" s="106">
        <f>+HLOOKUP($C91,BP!$EY$2:$FK$250,104,0)</f>
        <v>2182.9500000000007</v>
      </c>
      <c r="AE91" s="106">
        <f>+HLOOKUP($C91,BP!$EY$2:$FK$250,105,0)</f>
        <v>7087.5000000000009</v>
      </c>
      <c r="AF91" s="106">
        <f>+HLOOKUP($C91,BP!$EY$2:$FK$250,106,0)</f>
        <v>0</v>
      </c>
      <c r="AG91" s="106">
        <f>+HLOOKUP($C91,BP!$EY$2:$FK$250,107,0)</f>
        <v>0</v>
      </c>
      <c r="AH91" s="106">
        <f>+HLOOKUP($C91,BP!$EY$2:$FK$250,108,0)</f>
        <v>0</v>
      </c>
      <c r="AI91" s="106">
        <f>+HLOOKUP($C91,BP!$EY$2:$FK$250,109,0)</f>
        <v>0</v>
      </c>
      <c r="AJ91" s="106">
        <f>+HLOOKUP($C91,BP!$EY$2:$FK$250,110,0)</f>
        <v>0</v>
      </c>
      <c r="AK91" s="106">
        <f>+HLOOKUP($C91,BP!$EY$2:$FK$250,111,0)</f>
        <v>436.59000000000015</v>
      </c>
      <c r="AL91" s="106">
        <f>+HLOOKUP($C91,BP!$EY$2:$FK$250,112,0)</f>
        <v>0</v>
      </c>
      <c r="AM91" s="106">
        <f>+HLOOKUP($C91,BP!$EY$2:$FK$250,116,0)</f>
        <v>41250</v>
      </c>
      <c r="AN91" s="106">
        <f>+HLOOKUP($C91,BP!$EY$2:$FK$250,117,0)</f>
        <v>6150</v>
      </c>
      <c r="AO91" s="106">
        <f>+HLOOKUP($C91,BP!$EY$2:$FK$250,118,0)</f>
        <v>0</v>
      </c>
      <c r="AP91" s="106">
        <f>+HLOOKUP($C91,BP!$EY$2:$FK$250,119,0)</f>
        <v>16500</v>
      </c>
      <c r="AQ91" s="106">
        <f>+HLOOKUP($C91,BP!$EY$2:$FK$250,120,0)</f>
        <v>0</v>
      </c>
      <c r="AR91" s="106">
        <f>+HLOOKUP($C91,BP!$EY$2:$FK$250,121,0)</f>
        <v>0</v>
      </c>
      <c r="AS91" s="106">
        <f>+HLOOKUP($C91,BP!$EY$2:$FK$250,122,0)</f>
        <v>18600</v>
      </c>
      <c r="AT91" s="106">
        <f>+HLOOKUP($C91,BP!$EY$2:$FK$250,123,0)</f>
        <v>5646.875</v>
      </c>
      <c r="AU91" s="106">
        <f>+HLOOKUP($C91,BP!$EY$2:$FK$250,124,0)</f>
        <v>0</v>
      </c>
      <c r="AV91" s="106">
        <f>+HLOOKUP($C91,BP!$EY$2:$FK$250,125,0)</f>
        <v>0</v>
      </c>
      <c r="AW91" s="106">
        <f>+HLOOKUP($C91,BP!$EY$2:$FK$250,126,0)</f>
        <v>1983.1730769230771</v>
      </c>
      <c r="AX91" s="106">
        <f>+HLOOKUP($C91,BP!$EY$2:$FK$250,127,0)</f>
        <v>3250</v>
      </c>
      <c r="AY91" s="106">
        <f>+HLOOKUP($C91,BP!$EY$2:$FK$250,129,0)</f>
        <v>0</v>
      </c>
      <c r="AZ91" s="106">
        <f>+HLOOKUP($C91,BP!$EY$2:$FK$250,130,0)</f>
        <v>0</v>
      </c>
      <c r="BA91" s="106">
        <f>+HLOOKUP($C91,BP!$EY$2:$FK$250,131,0)</f>
        <v>7500</v>
      </c>
      <c r="BB91" s="106">
        <f>+HLOOKUP($C91,BP!$EY$2:$FK$250,133,0)</f>
        <v>0</v>
      </c>
      <c r="BC91" s="106">
        <f>+HLOOKUP($C91,BP!$EY$2:$FK$250,134,0)</f>
        <v>0</v>
      </c>
      <c r="BD91" s="106">
        <f>+HLOOKUP($C91,BP!$EY$2:$FK$250,135,0)</f>
        <v>0</v>
      </c>
      <c r="BE91" s="106">
        <f>+HLOOKUP($C91,BP!$EY$2:$FK$250,136,0)</f>
        <v>0</v>
      </c>
      <c r="BF91" s="106">
        <f>+HLOOKUP($C91,BP!$EY$2:$FK$250,138,0)</f>
        <v>1500</v>
      </c>
      <c r="BG91" s="106">
        <f>+HLOOKUP($C91,BP!$EY$2:$FK$250,139,0)</f>
        <v>6666.6666666666661</v>
      </c>
      <c r="BH91" s="106">
        <f>+HLOOKUP($C91,BP!$EY$2:$FK$250,140,0)</f>
        <v>13400</v>
      </c>
      <c r="BI91" s="106">
        <f>+HLOOKUP($C91,BP!$EY$2:$FK$250,141,0)</f>
        <v>0</v>
      </c>
      <c r="BJ91" s="106">
        <f>+HLOOKUP($C91,BP!$EY$2:$FK$250,142,0)</f>
        <v>0</v>
      </c>
      <c r="BK91" s="106">
        <f>+HLOOKUP($C91,BP!$EY$2:$FK$250,143,0)</f>
        <v>3000</v>
      </c>
      <c r="BL91" s="106">
        <f>+HLOOKUP($C91,BP!$EY$2:$FK$250,144,0)</f>
        <v>291.66666666666669</v>
      </c>
      <c r="BM91" s="106">
        <f>+HLOOKUP($C91,BP!$EY$2:$FK$250,146,0)</f>
        <v>0</v>
      </c>
      <c r="BN91" s="106">
        <f>+HLOOKUP($C91,BP!$EY$2:$FK$250,147,0)</f>
        <v>0</v>
      </c>
      <c r="BO91" s="106">
        <f>+HLOOKUP($C91,BP!$EY$2:$FK$250,148,0)</f>
        <v>0</v>
      </c>
      <c r="BP91" s="106">
        <f>+HLOOKUP($C91,BP!$EY$2:$FK$250,150,0)</f>
        <v>26000</v>
      </c>
      <c r="BQ91" s="106">
        <f>+HLOOKUP($C91,BP!$EY$2:$FK$250,151,0)</f>
        <v>1984.4</v>
      </c>
      <c r="BR91" s="106">
        <f>+HLOOKUP($C91,BP!$EY$2:$FK$250,152,0)</f>
        <v>12800</v>
      </c>
      <c r="BS91" s="106">
        <f>+HLOOKUP($C91,BP!$EY$2:$FK$250,153,0)</f>
        <v>3000</v>
      </c>
      <c r="BT91" s="106">
        <f>+HLOOKUP($C91,BP!$EY$2:$FK$250,157,0)</f>
        <v>0</v>
      </c>
      <c r="BU91" s="106">
        <f>+HLOOKUP($C91,BP!$EY$2:$FK$250,158,0)</f>
        <v>0</v>
      </c>
      <c r="BV91" s="106">
        <f>+HLOOKUP($C91,BP!$EY$2:$FK$250,159,0)</f>
        <v>0</v>
      </c>
      <c r="BW91" s="106">
        <f>+HLOOKUP($C91,BP!$EY$2:$FK$250,160,0)</f>
        <v>0</v>
      </c>
      <c r="BX91" s="106">
        <f>+HLOOKUP($C91,BP!$EY$2:$FK$250,161,0)</f>
        <v>0</v>
      </c>
      <c r="BY91" s="106">
        <f>+HLOOKUP($C91,BP!$EY$2:$FK$250,164,0)</f>
        <v>0</v>
      </c>
      <c r="BZ91" s="106">
        <f>+HLOOKUP($C91,BP!$EY$2:$FK$250,165,0)</f>
        <v>0</v>
      </c>
      <c r="CA91" s="106">
        <f>+HLOOKUP($C91,BP!$EY$2:$FK$250,166,0)</f>
        <v>0</v>
      </c>
      <c r="CB91" s="106">
        <f>+HLOOKUP($C91,BP!$EY$2:$FK$250,167,0)</f>
        <v>0</v>
      </c>
      <c r="CC91" s="106">
        <f>+HLOOKUP($C91,BP!$EY$2:$FK$250,168,0)</f>
        <v>0</v>
      </c>
      <c r="CD91" s="106">
        <f>+HLOOKUP($C91,BP!$EY$2:$FK$250,169,0)</f>
        <v>0</v>
      </c>
      <c r="CE91" s="106">
        <f>+HLOOKUP($C91,BP!$EY$2:$FK$250,170,0)</f>
        <v>0</v>
      </c>
      <c r="CF91" s="106">
        <f>+HLOOKUP($C91,BP!$EY$2:$FK$250,172,0)</f>
        <v>0</v>
      </c>
      <c r="CG91" s="106">
        <f>+HLOOKUP($C91,BP!$EY$2:$FK$250,173,0)</f>
        <v>4800</v>
      </c>
      <c r="CH91" s="106">
        <f>+HLOOKUP($C91,BP!$EY$2:$FK$250,174,0)</f>
        <v>0</v>
      </c>
      <c r="CI91" s="106">
        <f>+HLOOKUP($C91,BP!$EY$2:$FK$250,175,0)</f>
        <v>0</v>
      </c>
      <c r="CJ91" s="106">
        <f>+HLOOKUP($C91,BP!$EY$2:$FK$250,176,0)</f>
        <v>0</v>
      </c>
      <c r="CK91" s="106">
        <f>+HLOOKUP($C91,BP!$EY$2:$FK$250,178,0)</f>
        <v>18600</v>
      </c>
      <c r="CL91" s="106">
        <f>+HLOOKUP($C91,BP!$EY$2:$FK$250,179,0)</f>
        <v>120000.00000000006</v>
      </c>
      <c r="CM91" s="106">
        <f>+HLOOKUP($C91,BP!$EY$2:$FK$250,180,0)</f>
        <v>1920</v>
      </c>
      <c r="CN91" s="106">
        <f>+HLOOKUP($C91,BP!$EY$2:$FK$250,182,0)</f>
        <v>2800</v>
      </c>
      <c r="CO91" s="106">
        <f>+HLOOKUP($C91,BP!$EY$2:$FK$250,183,0)</f>
        <v>800</v>
      </c>
      <c r="CP91" s="106">
        <f>+HLOOKUP($C91,BP!$EY$2:$FK$250,184,0)</f>
        <v>648</v>
      </c>
      <c r="CQ91" s="106">
        <f>+HLOOKUP($C91,BP!$EY$2:$FK$250,185,0)</f>
        <v>0</v>
      </c>
      <c r="CR91" s="106">
        <f>+HLOOKUP($C91,BP!$EY$2:$FK$250,187,0)</f>
        <v>1250</v>
      </c>
      <c r="CS91" s="106">
        <f>+HLOOKUP($C91,BP!$EY$2:$FK$250,188,0)</f>
        <v>0</v>
      </c>
      <c r="CT91" s="106">
        <f>+HLOOKUP($C91,BP!$EY$2:$FK$250,189,0)</f>
        <v>0</v>
      </c>
      <c r="CU91" s="106">
        <f>+HLOOKUP($C91,BP!$EY$2:$FK$250,190,0)</f>
        <v>0</v>
      </c>
      <c r="CV91" s="106">
        <f>+HLOOKUP($C91,BP!$EY$2:$FK$250,191,0)</f>
        <v>0</v>
      </c>
      <c r="CW91" s="106">
        <f>+HLOOKUP($C91,BP!$EY$2:$FK$250,193,0)</f>
        <v>0</v>
      </c>
      <c r="CX91" s="106">
        <f>+HLOOKUP($C91,BP!$EY$2:$FK$250,194,0)</f>
        <v>0</v>
      </c>
      <c r="CY91" s="106">
        <f>+HLOOKUP($C91,BP!$EY$2:$FK$250,195,0)</f>
        <v>10000</v>
      </c>
      <c r="CZ91" s="106">
        <f>+HLOOKUP($C91,BP!$EY$2:$FK$250,196,0)</f>
        <v>0</v>
      </c>
      <c r="DA91" s="106">
        <f>+HLOOKUP($C91,BP!$EY$2:$FK$250,197,0)</f>
        <v>6666.6666666666661</v>
      </c>
      <c r="DB91" s="106">
        <f>+HLOOKUP($C91,BP!$EY$2:$FK$250,198,0)</f>
        <v>4000</v>
      </c>
      <c r="DC91" s="106">
        <f>+HLOOKUP($C91,BP!$EY$2:$FK$250,199,0)</f>
        <v>1333.3333333333333</v>
      </c>
      <c r="DD91" s="106">
        <f>+HLOOKUP($C91,BP!$EY$2:$FK$250,200,0)</f>
        <v>666.66666666666663</v>
      </c>
      <c r="DE91" s="106">
        <f>+HLOOKUP($C91,BP!$EY$2:$FK$250,201,0)</f>
        <v>166.66666666666666</v>
      </c>
      <c r="DF91" s="106">
        <f>+HLOOKUP($C91,BP!$EY$2:$FK$250,202,0)</f>
        <v>0</v>
      </c>
      <c r="DG91" s="106">
        <f>+HLOOKUP($C91,BP!$EY$2:$FK$250,203,0)</f>
        <v>0</v>
      </c>
      <c r="DH91" s="106">
        <f>+HLOOKUP($C91,BP!$EY$2:$FK$250,205,0)</f>
        <v>0</v>
      </c>
      <c r="DI91" s="106">
        <f>+HLOOKUP($C91,BP!$EY$2:$FK$250,206,0)</f>
        <v>10000</v>
      </c>
      <c r="DJ91" s="106">
        <f>+HLOOKUP($C91,BP!$EY$2:$FK$250,207,0)</f>
        <v>0</v>
      </c>
      <c r="DK91" s="106">
        <f>+HLOOKUP($C91,BP!$EY$2:$FK$250,209,0)</f>
        <v>0</v>
      </c>
      <c r="DL91" s="106">
        <f>+HLOOKUP($C91,BP!$EY$2:$FK$250,210,0)</f>
        <v>180000</v>
      </c>
      <c r="DM91" s="106">
        <f>+HLOOKUP($C91,BP!$EY$2:$FK$250,211,0)</f>
        <v>0</v>
      </c>
      <c r="DN91" s="106">
        <f>+HLOOKUP($C91,BP!$EY$2:$FK$250,212,0)</f>
        <v>0</v>
      </c>
      <c r="DO91" s="106">
        <f>+HLOOKUP($C91,BP!$EY$2:$FK$250,214,0)</f>
        <v>0</v>
      </c>
      <c r="DP91" s="106">
        <f>+HLOOKUP($C91,BP!$EY$2:$FK$250,215,0)</f>
        <v>0</v>
      </c>
      <c r="DQ91" s="106">
        <f>+HLOOKUP($C91,BP!$EY$2:$FK$250,219,0)</f>
        <v>0</v>
      </c>
      <c r="DR91" s="106">
        <f>+HLOOKUP($C91,BP!$EY$2:$FK$250,220,0)</f>
        <v>0</v>
      </c>
      <c r="DS91" s="106">
        <f>+HLOOKUP($C91,BP!$EY$2:$FK$250,221,0)</f>
        <v>0</v>
      </c>
      <c r="DT91" s="106">
        <f>+HLOOKUP($C91,BP!$EY$2:$FK$250,223,0)</f>
        <v>3333.333333333333</v>
      </c>
      <c r="DU91" s="106">
        <f>+HLOOKUP($C91,BP!$EY$2:$FK$250,224,0)</f>
        <v>2000</v>
      </c>
      <c r="DV91" s="106">
        <f>+HLOOKUP($C91,BP!$EY$2:$FK$250,225,0)</f>
        <v>3333.333333333333</v>
      </c>
      <c r="DW91" s="106">
        <f>+HLOOKUP($C91,BP!$EY$2:$FK$250,227,0)</f>
        <v>0</v>
      </c>
      <c r="DX91" s="106">
        <f>+HLOOKUP($C91,BP!$EY$2:$FK$250,228,0)</f>
        <v>0</v>
      </c>
      <c r="DY91" s="106">
        <f>+HLOOKUP($C91,BP!$EY$2:$FK$250,236,0)</f>
        <v>0</v>
      </c>
      <c r="DZ91" s="106">
        <f>+HLOOKUP($C91,BP!$EY$2:$FK$250,237,0)</f>
        <v>0</v>
      </c>
      <c r="EA91" s="106">
        <f>+HLOOKUP($C91,BP!$EY$2:$FK$250,238,0)</f>
        <v>0</v>
      </c>
      <c r="EB91" s="106">
        <f>+HLOOKUP($C91,BP!$EY$2:$FK$250,240,0)</f>
        <v>468618.16800000001</v>
      </c>
    </row>
    <row r="92" spans="1:132">
      <c r="A92" t="s">
        <v>272</v>
      </c>
      <c r="B92" t="s">
        <v>218</v>
      </c>
      <c r="C92" s="117">
        <v>45809</v>
      </c>
      <c r="D92" s="106">
        <f t="shared" si="1"/>
        <v>1614000</v>
      </c>
      <c r="E92" s="106">
        <f>+HLOOKUP(C92,BP!$EY$2:$FK$250,28,0)+HLOOKUP(C92,BP!$EY$2:$FK$250,43,0)+HLOOKUP(C92,BP!$EY$2:$FK$250,44,0)+HLOOKUP(C92,BP!$EY$2:$FK$250,45,0)+HLOOKUP(C92,BP!$EY$2:$FK$250,54,0)+HLOOKUP(C92,BP!$EY$2:$FK$250,59,0)</f>
        <v>1614000</v>
      </c>
      <c r="F92" s="106">
        <f>+HLOOKUP(C92,BP!$EY$2:$FK$250,37,0)+HLOOKUP(C92,BP!$EY$2:$FK$250,55,0)</f>
        <v>1067454.487179487</v>
      </c>
      <c r="G92" s="106">
        <f>+HLOOKUP($C92,BP!$EY$2:$FK$250,76,0)</f>
        <v>0</v>
      </c>
      <c r="H92" s="106">
        <f>+HLOOKUP($C92,BP!$EY$2:$FK$250,77,0)</f>
        <v>0</v>
      </c>
      <c r="I92" s="106">
        <f>+HLOOKUP($C92,BP!$EY$2:$FK$250,78,0)</f>
        <v>0</v>
      </c>
      <c r="J92" s="106">
        <f>+HLOOKUP($C92,BP!$EY$2:$FK$250,79,0)</f>
        <v>0</v>
      </c>
      <c r="K92" s="106">
        <f>+HLOOKUP($C92,BP!$EY$2:$FK$250,80,0)</f>
        <v>0</v>
      </c>
      <c r="L92" s="106">
        <f>+HLOOKUP($C92,BP!$EY$2:$FK$250,81,0)</f>
        <v>0</v>
      </c>
      <c r="M92" s="106">
        <f>+HLOOKUP($C92,BP!$EY$2:$FK$250,82,0)</f>
        <v>0</v>
      </c>
      <c r="N92" s="106">
        <f>+HLOOKUP($C92,BP!$EY$2:$FK$250,83,0)</f>
        <v>0</v>
      </c>
      <c r="O92" s="106">
        <f>+HLOOKUP($C92,BP!$EY$2:$FK$250,84,0)</f>
        <v>0</v>
      </c>
      <c r="P92" s="106">
        <f>+HLOOKUP($C92,BP!$EY$2:$FK$250,85,0)</f>
        <v>0</v>
      </c>
      <c r="Q92" s="106">
        <f>+HLOOKUP($C92,BP!$EY$2:$FK$250,87,0)</f>
        <v>50400</v>
      </c>
      <c r="R92" s="106">
        <f>+HLOOKUP($C92,BP!$EY$2:$FK$250,90,0)</f>
        <v>0</v>
      </c>
      <c r="S92" s="106">
        <f>+HLOOKUP($C92,BP!$EY$2:$FK$250,91,0)</f>
        <v>0</v>
      </c>
      <c r="T92" s="106">
        <f>+HLOOKUP($C92,BP!$EY$2:$FK$250,92,0)</f>
        <v>0</v>
      </c>
      <c r="U92" s="106">
        <f>+HLOOKUP($C92,BP!$EY$2:$FK$250,93,0)</f>
        <v>0</v>
      </c>
      <c r="V92" s="106">
        <f>+HLOOKUP($C92,BP!$EY$2:$FK$250,94,0)</f>
        <v>0</v>
      </c>
      <c r="W92" s="106">
        <f>+HLOOKUP($C92,BP!$EY$2:$FK$250,95,0)</f>
        <v>0</v>
      </c>
      <c r="X92" s="106">
        <f>+HLOOKUP($C92,BP!$EY$2:$FK$250,96,0)</f>
        <v>0</v>
      </c>
      <c r="Y92" s="106">
        <f>+HLOOKUP($C92,BP!$EY$2:$FK$250,97,0)</f>
        <v>0</v>
      </c>
      <c r="Z92" s="106">
        <f>+HLOOKUP($C92,BP!$EY$2:$FK$250,98,0)</f>
        <v>0</v>
      </c>
      <c r="AA92" s="106">
        <f>+HLOOKUP($C92,BP!$EY$2:$FK$250,99,0)</f>
        <v>0</v>
      </c>
      <c r="AB92" s="106">
        <f>+HLOOKUP($C92,BP!$EY$2:$FK$250,100,0)</f>
        <v>0</v>
      </c>
      <c r="AC92" s="106">
        <f>+HLOOKUP($C92,BP!$EY$2:$FK$250,101,0)</f>
        <v>0</v>
      </c>
      <c r="AD92" s="106">
        <f>+HLOOKUP($C92,BP!$EY$2:$FK$250,104,0)</f>
        <v>1940.4</v>
      </c>
      <c r="AE92" s="106">
        <f>+HLOOKUP($C92,BP!$EY$2:$FK$250,105,0)</f>
        <v>6300</v>
      </c>
      <c r="AF92" s="106">
        <f>+HLOOKUP($C92,BP!$EY$2:$FK$250,106,0)</f>
        <v>0</v>
      </c>
      <c r="AG92" s="106">
        <f>+HLOOKUP($C92,BP!$EY$2:$FK$250,107,0)</f>
        <v>0</v>
      </c>
      <c r="AH92" s="106">
        <f>+HLOOKUP($C92,BP!$EY$2:$FK$250,108,0)</f>
        <v>0</v>
      </c>
      <c r="AI92" s="106">
        <f>+HLOOKUP($C92,BP!$EY$2:$FK$250,109,0)</f>
        <v>0</v>
      </c>
      <c r="AJ92" s="106">
        <f>+HLOOKUP($C92,BP!$EY$2:$FK$250,110,0)</f>
        <v>0</v>
      </c>
      <c r="AK92" s="106">
        <f>+HLOOKUP($C92,BP!$EY$2:$FK$250,111,0)</f>
        <v>388.08000000000004</v>
      </c>
      <c r="AL92" s="106">
        <f>+HLOOKUP($C92,BP!$EY$2:$FK$250,112,0)</f>
        <v>0</v>
      </c>
      <c r="AM92" s="106">
        <f>+HLOOKUP($C92,BP!$EY$2:$FK$250,116,0)</f>
        <v>41250</v>
      </c>
      <c r="AN92" s="106">
        <f>+HLOOKUP($C92,BP!$EY$2:$FK$250,117,0)</f>
        <v>6150</v>
      </c>
      <c r="AO92" s="106">
        <f>+HLOOKUP($C92,BP!$EY$2:$FK$250,118,0)</f>
        <v>0</v>
      </c>
      <c r="AP92" s="106">
        <f>+HLOOKUP($C92,BP!$EY$2:$FK$250,119,0)</f>
        <v>16500</v>
      </c>
      <c r="AQ92" s="106">
        <f>+HLOOKUP($C92,BP!$EY$2:$FK$250,120,0)</f>
        <v>0</v>
      </c>
      <c r="AR92" s="106">
        <f>+HLOOKUP($C92,BP!$EY$2:$FK$250,121,0)</f>
        <v>0</v>
      </c>
      <c r="AS92" s="106">
        <f>+HLOOKUP($C92,BP!$EY$2:$FK$250,122,0)</f>
        <v>18600</v>
      </c>
      <c r="AT92" s="106">
        <f>+HLOOKUP($C92,BP!$EY$2:$FK$250,123,0)</f>
        <v>5646.875</v>
      </c>
      <c r="AU92" s="106">
        <f>+HLOOKUP($C92,BP!$EY$2:$FK$250,124,0)</f>
        <v>0</v>
      </c>
      <c r="AV92" s="106">
        <f>+HLOOKUP($C92,BP!$EY$2:$FK$250,125,0)</f>
        <v>0</v>
      </c>
      <c r="AW92" s="106">
        <f>+HLOOKUP($C92,BP!$EY$2:$FK$250,126,0)</f>
        <v>1983.1730769230771</v>
      </c>
      <c r="AX92" s="106">
        <f>+HLOOKUP($C92,BP!$EY$2:$FK$250,127,0)</f>
        <v>3250</v>
      </c>
      <c r="AY92" s="106">
        <f>+HLOOKUP($C92,BP!$EY$2:$FK$250,129,0)</f>
        <v>0</v>
      </c>
      <c r="AZ92" s="106">
        <f>+HLOOKUP($C92,BP!$EY$2:$FK$250,130,0)</f>
        <v>0</v>
      </c>
      <c r="BA92" s="106">
        <f>+HLOOKUP($C92,BP!$EY$2:$FK$250,131,0)</f>
        <v>7500</v>
      </c>
      <c r="BB92" s="106">
        <f>+HLOOKUP($C92,BP!$EY$2:$FK$250,133,0)</f>
        <v>0</v>
      </c>
      <c r="BC92" s="106">
        <f>+HLOOKUP($C92,BP!$EY$2:$FK$250,134,0)</f>
        <v>0</v>
      </c>
      <c r="BD92" s="106">
        <f>+HLOOKUP($C92,BP!$EY$2:$FK$250,135,0)</f>
        <v>0</v>
      </c>
      <c r="BE92" s="106">
        <f>+HLOOKUP($C92,BP!$EY$2:$FK$250,136,0)</f>
        <v>0</v>
      </c>
      <c r="BF92" s="106">
        <f>+HLOOKUP($C92,BP!$EY$2:$FK$250,138,0)</f>
        <v>1500</v>
      </c>
      <c r="BG92" s="106">
        <f>+HLOOKUP($C92,BP!$EY$2:$FK$250,139,0)</f>
        <v>6666.6666666666661</v>
      </c>
      <c r="BH92" s="106">
        <f>+HLOOKUP($C92,BP!$EY$2:$FK$250,140,0)</f>
        <v>13400</v>
      </c>
      <c r="BI92" s="106">
        <f>+HLOOKUP($C92,BP!$EY$2:$FK$250,141,0)</f>
        <v>0</v>
      </c>
      <c r="BJ92" s="106">
        <f>+HLOOKUP($C92,BP!$EY$2:$FK$250,142,0)</f>
        <v>0</v>
      </c>
      <c r="BK92" s="106">
        <f>+HLOOKUP($C92,BP!$EY$2:$FK$250,143,0)</f>
        <v>3000</v>
      </c>
      <c r="BL92" s="106">
        <f>+HLOOKUP($C92,BP!$EY$2:$FK$250,144,0)</f>
        <v>458.33333333333337</v>
      </c>
      <c r="BM92" s="106">
        <f>+HLOOKUP($C92,BP!$EY$2:$FK$250,146,0)</f>
        <v>0</v>
      </c>
      <c r="BN92" s="106">
        <f>+HLOOKUP($C92,BP!$EY$2:$FK$250,147,0)</f>
        <v>0</v>
      </c>
      <c r="BO92" s="106">
        <f>+HLOOKUP($C92,BP!$EY$2:$FK$250,148,0)</f>
        <v>0</v>
      </c>
      <c r="BP92" s="106">
        <f>+HLOOKUP($C92,BP!$EY$2:$FK$250,150,0)</f>
        <v>26000</v>
      </c>
      <c r="BQ92" s="106">
        <f>+HLOOKUP($C92,BP!$EY$2:$FK$250,151,0)</f>
        <v>1984.4</v>
      </c>
      <c r="BR92" s="106">
        <f>+HLOOKUP($C92,BP!$EY$2:$FK$250,152,0)</f>
        <v>12800</v>
      </c>
      <c r="BS92" s="106">
        <f>+HLOOKUP($C92,BP!$EY$2:$FK$250,153,0)</f>
        <v>3000</v>
      </c>
      <c r="BT92" s="106">
        <f>+HLOOKUP($C92,BP!$EY$2:$FK$250,157,0)</f>
        <v>0</v>
      </c>
      <c r="BU92" s="106">
        <f>+HLOOKUP($C92,BP!$EY$2:$FK$250,158,0)</f>
        <v>0</v>
      </c>
      <c r="BV92" s="106">
        <f>+HLOOKUP($C92,BP!$EY$2:$FK$250,159,0)</f>
        <v>0</v>
      </c>
      <c r="BW92" s="106">
        <f>+HLOOKUP($C92,BP!$EY$2:$FK$250,160,0)</f>
        <v>0</v>
      </c>
      <c r="BX92" s="106">
        <f>+HLOOKUP($C92,BP!$EY$2:$FK$250,161,0)</f>
        <v>0</v>
      </c>
      <c r="BY92" s="106">
        <f>+HLOOKUP($C92,BP!$EY$2:$FK$250,164,0)</f>
        <v>0</v>
      </c>
      <c r="BZ92" s="106">
        <f>+HLOOKUP($C92,BP!$EY$2:$FK$250,165,0)</f>
        <v>0</v>
      </c>
      <c r="CA92" s="106">
        <f>+HLOOKUP($C92,BP!$EY$2:$FK$250,166,0)</f>
        <v>0</v>
      </c>
      <c r="CB92" s="106">
        <f>+HLOOKUP($C92,BP!$EY$2:$FK$250,167,0)</f>
        <v>0</v>
      </c>
      <c r="CC92" s="106">
        <f>+HLOOKUP($C92,BP!$EY$2:$FK$250,168,0)</f>
        <v>0</v>
      </c>
      <c r="CD92" s="106">
        <f>+HLOOKUP($C92,BP!$EY$2:$FK$250,169,0)</f>
        <v>0</v>
      </c>
      <c r="CE92" s="106">
        <f>+HLOOKUP($C92,BP!$EY$2:$FK$250,170,0)</f>
        <v>0</v>
      </c>
      <c r="CF92" s="106">
        <f>+HLOOKUP($C92,BP!$EY$2:$FK$250,172,0)</f>
        <v>0</v>
      </c>
      <c r="CG92" s="106">
        <f>+HLOOKUP($C92,BP!$EY$2:$FK$250,173,0)</f>
        <v>4800</v>
      </c>
      <c r="CH92" s="106">
        <f>+HLOOKUP($C92,BP!$EY$2:$FK$250,174,0)</f>
        <v>0</v>
      </c>
      <c r="CI92" s="106">
        <f>+HLOOKUP($C92,BP!$EY$2:$FK$250,175,0)</f>
        <v>0</v>
      </c>
      <c r="CJ92" s="106">
        <f>+HLOOKUP($C92,BP!$EY$2:$FK$250,176,0)</f>
        <v>0</v>
      </c>
      <c r="CK92" s="106">
        <f>+HLOOKUP($C92,BP!$EY$2:$FK$250,178,0)</f>
        <v>18600</v>
      </c>
      <c r="CL92" s="106">
        <f>+HLOOKUP($C92,BP!$EY$2:$FK$250,179,0)</f>
        <v>120000.00000000006</v>
      </c>
      <c r="CM92" s="106">
        <f>+HLOOKUP($C92,BP!$EY$2:$FK$250,180,0)</f>
        <v>1920</v>
      </c>
      <c r="CN92" s="106">
        <f>+HLOOKUP($C92,BP!$EY$2:$FK$250,182,0)</f>
        <v>2800</v>
      </c>
      <c r="CO92" s="106">
        <f>+HLOOKUP($C92,BP!$EY$2:$FK$250,183,0)</f>
        <v>800</v>
      </c>
      <c r="CP92" s="106">
        <f>+HLOOKUP($C92,BP!$EY$2:$FK$250,184,0)</f>
        <v>648</v>
      </c>
      <c r="CQ92" s="106">
        <f>+HLOOKUP($C92,BP!$EY$2:$FK$250,185,0)</f>
        <v>0</v>
      </c>
      <c r="CR92" s="106">
        <f>+HLOOKUP($C92,BP!$EY$2:$FK$250,187,0)</f>
        <v>1250</v>
      </c>
      <c r="CS92" s="106">
        <f>+HLOOKUP($C92,BP!$EY$2:$FK$250,188,0)</f>
        <v>0</v>
      </c>
      <c r="CT92" s="106">
        <f>+HLOOKUP($C92,BP!$EY$2:$FK$250,189,0)</f>
        <v>0</v>
      </c>
      <c r="CU92" s="106">
        <f>+HLOOKUP($C92,BP!$EY$2:$FK$250,190,0)</f>
        <v>0</v>
      </c>
      <c r="CV92" s="106">
        <f>+HLOOKUP($C92,BP!$EY$2:$FK$250,191,0)</f>
        <v>0</v>
      </c>
      <c r="CW92" s="106">
        <f>+HLOOKUP($C92,BP!$EY$2:$FK$250,193,0)</f>
        <v>0</v>
      </c>
      <c r="CX92" s="106">
        <f>+HLOOKUP($C92,BP!$EY$2:$FK$250,194,0)</f>
        <v>0</v>
      </c>
      <c r="CY92" s="106">
        <f>+HLOOKUP($C92,BP!$EY$2:$FK$250,195,0)</f>
        <v>10000</v>
      </c>
      <c r="CZ92" s="106">
        <f>+HLOOKUP($C92,BP!$EY$2:$FK$250,196,0)</f>
        <v>0</v>
      </c>
      <c r="DA92" s="106">
        <f>+HLOOKUP($C92,BP!$EY$2:$FK$250,197,0)</f>
        <v>6666.6666666666661</v>
      </c>
      <c r="DB92" s="106">
        <f>+HLOOKUP($C92,BP!$EY$2:$FK$250,198,0)</f>
        <v>4000</v>
      </c>
      <c r="DC92" s="106">
        <f>+HLOOKUP($C92,BP!$EY$2:$FK$250,199,0)</f>
        <v>1333.3333333333333</v>
      </c>
      <c r="DD92" s="106">
        <f>+HLOOKUP($C92,BP!$EY$2:$FK$250,200,0)</f>
        <v>666.66666666666663</v>
      </c>
      <c r="DE92" s="106">
        <f>+HLOOKUP($C92,BP!$EY$2:$FK$250,201,0)</f>
        <v>166.66666666666666</v>
      </c>
      <c r="DF92" s="106">
        <f>+HLOOKUP($C92,BP!$EY$2:$FK$250,202,0)</f>
        <v>0</v>
      </c>
      <c r="DG92" s="106">
        <f>+HLOOKUP($C92,BP!$EY$2:$FK$250,203,0)</f>
        <v>0</v>
      </c>
      <c r="DH92" s="106">
        <f>+HLOOKUP($C92,BP!$EY$2:$FK$250,205,0)</f>
        <v>0</v>
      </c>
      <c r="DI92" s="106">
        <f>+HLOOKUP($C92,BP!$EY$2:$FK$250,206,0)</f>
        <v>10000</v>
      </c>
      <c r="DJ92" s="106">
        <f>+HLOOKUP($C92,BP!$EY$2:$FK$250,207,0)</f>
        <v>0</v>
      </c>
      <c r="DK92" s="106">
        <f>+HLOOKUP($C92,BP!$EY$2:$FK$250,209,0)</f>
        <v>0</v>
      </c>
      <c r="DL92" s="106">
        <f>+HLOOKUP($C92,BP!$EY$2:$FK$250,210,0)</f>
        <v>180000</v>
      </c>
      <c r="DM92" s="106">
        <f>+HLOOKUP($C92,BP!$EY$2:$FK$250,211,0)</f>
        <v>0</v>
      </c>
      <c r="DN92" s="106">
        <f>+HLOOKUP($C92,BP!$EY$2:$FK$250,212,0)</f>
        <v>0</v>
      </c>
      <c r="DO92" s="106">
        <f>+HLOOKUP($C92,BP!$EY$2:$FK$250,214,0)</f>
        <v>0</v>
      </c>
      <c r="DP92" s="106">
        <f>+HLOOKUP($C92,BP!$EY$2:$FK$250,215,0)</f>
        <v>0</v>
      </c>
      <c r="DQ92" s="106">
        <f>+HLOOKUP($C92,BP!$EY$2:$FK$250,219,0)</f>
        <v>0</v>
      </c>
      <c r="DR92" s="106">
        <f>+HLOOKUP($C92,BP!$EY$2:$FK$250,220,0)</f>
        <v>0</v>
      </c>
      <c r="DS92" s="106">
        <f>+HLOOKUP($C92,BP!$EY$2:$FK$250,221,0)</f>
        <v>0</v>
      </c>
      <c r="DT92" s="106">
        <f>+HLOOKUP($C92,BP!$EY$2:$FK$250,223,0)</f>
        <v>3333.333333333333</v>
      </c>
      <c r="DU92" s="106">
        <f>+HLOOKUP($C92,BP!$EY$2:$FK$250,224,0)</f>
        <v>2000</v>
      </c>
      <c r="DV92" s="106">
        <f>+HLOOKUP($C92,BP!$EY$2:$FK$250,225,0)</f>
        <v>3333.333333333333</v>
      </c>
      <c r="DW92" s="106">
        <f>+HLOOKUP($C92,BP!$EY$2:$FK$250,227,0)</f>
        <v>0</v>
      </c>
      <c r="DX92" s="106">
        <f>+HLOOKUP($C92,BP!$EY$2:$FK$250,228,0)</f>
        <v>0</v>
      </c>
      <c r="DY92" s="106">
        <f>+HLOOKUP($C92,BP!$EY$2:$FK$250,236,0)</f>
        <v>0</v>
      </c>
      <c r="DZ92" s="106">
        <f>+HLOOKUP($C92,BP!$EY$2:$FK$250,237,0)</f>
        <v>0</v>
      </c>
      <c r="EA92" s="106">
        <f>+HLOOKUP($C92,BP!$EY$2:$FK$250,238,0)</f>
        <v>0</v>
      </c>
      <c r="EB92" s="106">
        <f>+HLOOKUP($C92,BP!$EY$2:$FK$250,240,0)</f>
        <v>468618.16800000001</v>
      </c>
    </row>
    <row r="93" spans="1:132">
      <c r="A93" t="s">
        <v>272</v>
      </c>
      <c r="B93" t="s">
        <v>218</v>
      </c>
      <c r="C93" s="117">
        <v>45778</v>
      </c>
      <c r="D93" s="106">
        <f t="shared" si="1"/>
        <v>1614000</v>
      </c>
      <c r="E93" s="106">
        <f>+HLOOKUP(C93,BP!$EY$2:$FK$250,28,0)+HLOOKUP(C93,BP!$EY$2:$FK$250,43,0)+HLOOKUP(C93,BP!$EY$2:$FK$250,44,0)+HLOOKUP(C93,BP!$EY$2:$FK$250,45,0)+HLOOKUP(C93,BP!$EY$2:$FK$250,54,0)+HLOOKUP(C93,BP!$EY$2:$FK$250,59,0)</f>
        <v>1614000</v>
      </c>
      <c r="F93" s="106">
        <f>+HLOOKUP(C93,BP!$EY$2:$FK$250,37,0)+HLOOKUP(C93,BP!$EY$2:$FK$250,55,0)</f>
        <v>1067454.487179487</v>
      </c>
      <c r="G93" s="106">
        <f>+HLOOKUP($C93,BP!$EY$2:$FK$250,76,0)</f>
        <v>0</v>
      </c>
      <c r="H93" s="106">
        <f>+HLOOKUP($C93,BP!$EY$2:$FK$250,77,0)</f>
        <v>0</v>
      </c>
      <c r="I93" s="106">
        <f>+HLOOKUP($C93,BP!$EY$2:$FK$250,78,0)</f>
        <v>0</v>
      </c>
      <c r="J93" s="106">
        <f>+HLOOKUP($C93,BP!$EY$2:$FK$250,79,0)</f>
        <v>0</v>
      </c>
      <c r="K93" s="106">
        <f>+HLOOKUP($C93,BP!$EY$2:$FK$250,80,0)</f>
        <v>0</v>
      </c>
      <c r="L93" s="106">
        <f>+HLOOKUP($C93,BP!$EY$2:$FK$250,81,0)</f>
        <v>0</v>
      </c>
      <c r="M93" s="106">
        <f>+HLOOKUP($C93,BP!$EY$2:$FK$250,82,0)</f>
        <v>0</v>
      </c>
      <c r="N93" s="106">
        <f>+HLOOKUP($C93,BP!$EY$2:$FK$250,83,0)</f>
        <v>0</v>
      </c>
      <c r="O93" s="106">
        <f>+HLOOKUP($C93,BP!$EY$2:$FK$250,84,0)</f>
        <v>0</v>
      </c>
      <c r="P93" s="106">
        <f>+HLOOKUP($C93,BP!$EY$2:$FK$250,85,0)</f>
        <v>0</v>
      </c>
      <c r="Q93" s="106">
        <f>+HLOOKUP($C93,BP!$EY$2:$FK$250,87,0)</f>
        <v>50400</v>
      </c>
      <c r="R93" s="106">
        <f>+HLOOKUP($C93,BP!$EY$2:$FK$250,90,0)</f>
        <v>0</v>
      </c>
      <c r="S93" s="106">
        <f>+HLOOKUP($C93,BP!$EY$2:$FK$250,91,0)</f>
        <v>0</v>
      </c>
      <c r="T93" s="106">
        <f>+HLOOKUP($C93,BP!$EY$2:$FK$250,92,0)</f>
        <v>0</v>
      </c>
      <c r="U93" s="106">
        <f>+HLOOKUP($C93,BP!$EY$2:$FK$250,93,0)</f>
        <v>0</v>
      </c>
      <c r="V93" s="106">
        <f>+HLOOKUP($C93,BP!$EY$2:$FK$250,94,0)</f>
        <v>0</v>
      </c>
      <c r="W93" s="106">
        <f>+HLOOKUP($C93,BP!$EY$2:$FK$250,95,0)</f>
        <v>0</v>
      </c>
      <c r="X93" s="106">
        <f>+HLOOKUP($C93,BP!$EY$2:$FK$250,96,0)</f>
        <v>0</v>
      </c>
      <c r="Y93" s="106">
        <f>+HLOOKUP($C93,BP!$EY$2:$FK$250,97,0)</f>
        <v>0</v>
      </c>
      <c r="Z93" s="106">
        <f>+HLOOKUP($C93,BP!$EY$2:$FK$250,98,0)</f>
        <v>0</v>
      </c>
      <c r="AA93" s="106">
        <f>+HLOOKUP($C93,BP!$EY$2:$FK$250,99,0)</f>
        <v>0</v>
      </c>
      <c r="AB93" s="106">
        <f>+HLOOKUP($C93,BP!$EY$2:$FK$250,100,0)</f>
        <v>0</v>
      </c>
      <c r="AC93" s="106">
        <f>+HLOOKUP($C93,BP!$EY$2:$FK$250,101,0)</f>
        <v>0</v>
      </c>
      <c r="AD93" s="106">
        <f>+HLOOKUP($C93,BP!$EY$2:$FK$250,104,0)</f>
        <v>1940.4</v>
      </c>
      <c r="AE93" s="106">
        <f>+HLOOKUP($C93,BP!$EY$2:$FK$250,105,0)</f>
        <v>6300</v>
      </c>
      <c r="AF93" s="106">
        <f>+HLOOKUP($C93,BP!$EY$2:$FK$250,106,0)</f>
        <v>0</v>
      </c>
      <c r="AG93" s="106">
        <f>+HLOOKUP($C93,BP!$EY$2:$FK$250,107,0)</f>
        <v>0</v>
      </c>
      <c r="AH93" s="106">
        <f>+HLOOKUP($C93,BP!$EY$2:$FK$250,108,0)</f>
        <v>0</v>
      </c>
      <c r="AI93" s="106">
        <f>+HLOOKUP($C93,BP!$EY$2:$FK$250,109,0)</f>
        <v>0</v>
      </c>
      <c r="AJ93" s="106">
        <f>+HLOOKUP($C93,BP!$EY$2:$FK$250,110,0)</f>
        <v>0</v>
      </c>
      <c r="AK93" s="106">
        <f>+HLOOKUP($C93,BP!$EY$2:$FK$250,111,0)</f>
        <v>388.08000000000004</v>
      </c>
      <c r="AL93" s="106">
        <f>+HLOOKUP($C93,BP!$EY$2:$FK$250,112,0)</f>
        <v>0</v>
      </c>
      <c r="AM93" s="106">
        <f>+HLOOKUP($C93,BP!$EY$2:$FK$250,116,0)</f>
        <v>41250</v>
      </c>
      <c r="AN93" s="106">
        <f>+HLOOKUP($C93,BP!$EY$2:$FK$250,117,0)</f>
        <v>6150</v>
      </c>
      <c r="AO93" s="106">
        <f>+HLOOKUP($C93,BP!$EY$2:$FK$250,118,0)</f>
        <v>0</v>
      </c>
      <c r="AP93" s="106">
        <f>+HLOOKUP($C93,BP!$EY$2:$FK$250,119,0)</f>
        <v>16500</v>
      </c>
      <c r="AQ93" s="106">
        <f>+HLOOKUP($C93,BP!$EY$2:$FK$250,120,0)</f>
        <v>0</v>
      </c>
      <c r="AR93" s="106">
        <f>+HLOOKUP($C93,BP!$EY$2:$FK$250,121,0)</f>
        <v>0</v>
      </c>
      <c r="AS93" s="106">
        <f>+HLOOKUP($C93,BP!$EY$2:$FK$250,122,0)</f>
        <v>18600</v>
      </c>
      <c r="AT93" s="106">
        <f>+HLOOKUP($C93,BP!$EY$2:$FK$250,123,0)</f>
        <v>5646.875</v>
      </c>
      <c r="AU93" s="106">
        <f>+HLOOKUP($C93,BP!$EY$2:$FK$250,124,0)</f>
        <v>0</v>
      </c>
      <c r="AV93" s="106">
        <f>+HLOOKUP($C93,BP!$EY$2:$FK$250,125,0)</f>
        <v>0</v>
      </c>
      <c r="AW93" s="106">
        <f>+HLOOKUP($C93,BP!$EY$2:$FK$250,126,0)</f>
        <v>1983.1730769230771</v>
      </c>
      <c r="AX93" s="106">
        <f>+HLOOKUP($C93,BP!$EY$2:$FK$250,127,0)</f>
        <v>3250</v>
      </c>
      <c r="AY93" s="106">
        <f>+HLOOKUP($C93,BP!$EY$2:$FK$250,129,0)</f>
        <v>0</v>
      </c>
      <c r="AZ93" s="106">
        <f>+HLOOKUP($C93,BP!$EY$2:$FK$250,130,0)</f>
        <v>0</v>
      </c>
      <c r="BA93" s="106">
        <f>+HLOOKUP($C93,BP!$EY$2:$FK$250,131,0)</f>
        <v>7500</v>
      </c>
      <c r="BB93" s="106">
        <f>+HLOOKUP($C93,BP!$EY$2:$FK$250,133,0)</f>
        <v>0</v>
      </c>
      <c r="BC93" s="106">
        <f>+HLOOKUP($C93,BP!$EY$2:$FK$250,134,0)</f>
        <v>0</v>
      </c>
      <c r="BD93" s="106">
        <f>+HLOOKUP($C93,BP!$EY$2:$FK$250,135,0)</f>
        <v>0</v>
      </c>
      <c r="BE93" s="106">
        <f>+HLOOKUP($C93,BP!$EY$2:$FK$250,136,0)</f>
        <v>0</v>
      </c>
      <c r="BF93" s="106">
        <f>+HLOOKUP($C93,BP!$EY$2:$FK$250,138,0)</f>
        <v>1500</v>
      </c>
      <c r="BG93" s="106">
        <f>+HLOOKUP($C93,BP!$EY$2:$FK$250,139,0)</f>
        <v>6666.6666666666661</v>
      </c>
      <c r="BH93" s="106">
        <f>+HLOOKUP($C93,BP!$EY$2:$FK$250,140,0)</f>
        <v>13400</v>
      </c>
      <c r="BI93" s="106">
        <f>+HLOOKUP($C93,BP!$EY$2:$FK$250,141,0)</f>
        <v>0</v>
      </c>
      <c r="BJ93" s="106">
        <f>+HLOOKUP($C93,BP!$EY$2:$FK$250,142,0)</f>
        <v>0</v>
      </c>
      <c r="BK93" s="106">
        <f>+HLOOKUP($C93,BP!$EY$2:$FK$250,143,0)</f>
        <v>3000</v>
      </c>
      <c r="BL93" s="106">
        <f>+HLOOKUP($C93,BP!$EY$2:$FK$250,144,0)</f>
        <v>291.66666666666669</v>
      </c>
      <c r="BM93" s="106">
        <f>+HLOOKUP($C93,BP!$EY$2:$FK$250,146,0)</f>
        <v>0</v>
      </c>
      <c r="BN93" s="106">
        <f>+HLOOKUP($C93,BP!$EY$2:$FK$250,147,0)</f>
        <v>0</v>
      </c>
      <c r="BO93" s="106">
        <f>+HLOOKUP($C93,BP!$EY$2:$FK$250,148,0)</f>
        <v>0</v>
      </c>
      <c r="BP93" s="106">
        <f>+HLOOKUP($C93,BP!$EY$2:$FK$250,150,0)</f>
        <v>26000</v>
      </c>
      <c r="BQ93" s="106">
        <f>+HLOOKUP($C93,BP!$EY$2:$FK$250,151,0)</f>
        <v>1984.4</v>
      </c>
      <c r="BR93" s="106">
        <f>+HLOOKUP($C93,BP!$EY$2:$FK$250,152,0)</f>
        <v>12800</v>
      </c>
      <c r="BS93" s="106">
        <f>+HLOOKUP($C93,BP!$EY$2:$FK$250,153,0)</f>
        <v>3000</v>
      </c>
      <c r="BT93" s="106">
        <f>+HLOOKUP($C93,BP!$EY$2:$FK$250,157,0)</f>
        <v>0</v>
      </c>
      <c r="BU93" s="106">
        <f>+HLOOKUP($C93,BP!$EY$2:$FK$250,158,0)</f>
        <v>0</v>
      </c>
      <c r="BV93" s="106">
        <f>+HLOOKUP($C93,BP!$EY$2:$FK$250,159,0)</f>
        <v>0</v>
      </c>
      <c r="BW93" s="106">
        <f>+HLOOKUP($C93,BP!$EY$2:$FK$250,160,0)</f>
        <v>0</v>
      </c>
      <c r="BX93" s="106">
        <f>+HLOOKUP($C93,BP!$EY$2:$FK$250,161,0)</f>
        <v>0</v>
      </c>
      <c r="BY93" s="106">
        <f>+HLOOKUP($C93,BP!$EY$2:$FK$250,164,0)</f>
        <v>0</v>
      </c>
      <c r="BZ93" s="106">
        <f>+HLOOKUP($C93,BP!$EY$2:$FK$250,165,0)</f>
        <v>0</v>
      </c>
      <c r="CA93" s="106">
        <f>+HLOOKUP($C93,BP!$EY$2:$FK$250,166,0)</f>
        <v>0</v>
      </c>
      <c r="CB93" s="106">
        <f>+HLOOKUP($C93,BP!$EY$2:$FK$250,167,0)</f>
        <v>0</v>
      </c>
      <c r="CC93" s="106">
        <f>+HLOOKUP($C93,BP!$EY$2:$FK$250,168,0)</f>
        <v>0</v>
      </c>
      <c r="CD93" s="106">
        <f>+HLOOKUP($C93,BP!$EY$2:$FK$250,169,0)</f>
        <v>0</v>
      </c>
      <c r="CE93" s="106">
        <f>+HLOOKUP($C93,BP!$EY$2:$FK$250,170,0)</f>
        <v>0</v>
      </c>
      <c r="CF93" s="106">
        <f>+HLOOKUP($C93,BP!$EY$2:$FK$250,172,0)</f>
        <v>0</v>
      </c>
      <c r="CG93" s="106">
        <f>+HLOOKUP($C93,BP!$EY$2:$FK$250,173,0)</f>
        <v>4800</v>
      </c>
      <c r="CH93" s="106">
        <f>+HLOOKUP($C93,BP!$EY$2:$FK$250,174,0)</f>
        <v>0</v>
      </c>
      <c r="CI93" s="106">
        <f>+HLOOKUP($C93,BP!$EY$2:$FK$250,175,0)</f>
        <v>0</v>
      </c>
      <c r="CJ93" s="106">
        <f>+HLOOKUP($C93,BP!$EY$2:$FK$250,176,0)</f>
        <v>0</v>
      </c>
      <c r="CK93" s="106">
        <f>+HLOOKUP($C93,BP!$EY$2:$FK$250,178,0)</f>
        <v>18600</v>
      </c>
      <c r="CL93" s="106">
        <f>+HLOOKUP($C93,BP!$EY$2:$FK$250,179,0)</f>
        <v>120000.00000000006</v>
      </c>
      <c r="CM93" s="106">
        <f>+HLOOKUP($C93,BP!$EY$2:$FK$250,180,0)</f>
        <v>1920</v>
      </c>
      <c r="CN93" s="106">
        <f>+HLOOKUP($C93,BP!$EY$2:$FK$250,182,0)</f>
        <v>2800</v>
      </c>
      <c r="CO93" s="106">
        <f>+HLOOKUP($C93,BP!$EY$2:$FK$250,183,0)</f>
        <v>800</v>
      </c>
      <c r="CP93" s="106">
        <f>+HLOOKUP($C93,BP!$EY$2:$FK$250,184,0)</f>
        <v>648</v>
      </c>
      <c r="CQ93" s="106">
        <f>+HLOOKUP($C93,BP!$EY$2:$FK$250,185,0)</f>
        <v>0</v>
      </c>
      <c r="CR93" s="106">
        <f>+HLOOKUP($C93,BP!$EY$2:$FK$250,187,0)</f>
        <v>1250</v>
      </c>
      <c r="CS93" s="106">
        <f>+HLOOKUP($C93,BP!$EY$2:$FK$250,188,0)</f>
        <v>0</v>
      </c>
      <c r="CT93" s="106">
        <f>+HLOOKUP($C93,BP!$EY$2:$FK$250,189,0)</f>
        <v>0</v>
      </c>
      <c r="CU93" s="106">
        <f>+HLOOKUP($C93,BP!$EY$2:$FK$250,190,0)</f>
        <v>0</v>
      </c>
      <c r="CV93" s="106">
        <f>+HLOOKUP($C93,BP!$EY$2:$FK$250,191,0)</f>
        <v>0</v>
      </c>
      <c r="CW93" s="106">
        <f>+HLOOKUP($C93,BP!$EY$2:$FK$250,193,0)</f>
        <v>0</v>
      </c>
      <c r="CX93" s="106">
        <f>+HLOOKUP($C93,BP!$EY$2:$FK$250,194,0)</f>
        <v>0</v>
      </c>
      <c r="CY93" s="106">
        <f>+HLOOKUP($C93,BP!$EY$2:$FK$250,195,0)</f>
        <v>10000</v>
      </c>
      <c r="CZ93" s="106">
        <f>+HLOOKUP($C93,BP!$EY$2:$FK$250,196,0)</f>
        <v>0</v>
      </c>
      <c r="DA93" s="106">
        <f>+HLOOKUP($C93,BP!$EY$2:$FK$250,197,0)</f>
        <v>6666.6666666666661</v>
      </c>
      <c r="DB93" s="106">
        <f>+HLOOKUP($C93,BP!$EY$2:$FK$250,198,0)</f>
        <v>4000</v>
      </c>
      <c r="DC93" s="106">
        <f>+HLOOKUP($C93,BP!$EY$2:$FK$250,199,0)</f>
        <v>1333.3333333333333</v>
      </c>
      <c r="DD93" s="106">
        <f>+HLOOKUP($C93,BP!$EY$2:$FK$250,200,0)</f>
        <v>666.66666666666663</v>
      </c>
      <c r="DE93" s="106">
        <f>+HLOOKUP($C93,BP!$EY$2:$FK$250,201,0)</f>
        <v>166.66666666666666</v>
      </c>
      <c r="DF93" s="106">
        <f>+HLOOKUP($C93,BP!$EY$2:$FK$250,202,0)</f>
        <v>0</v>
      </c>
      <c r="DG93" s="106">
        <f>+HLOOKUP($C93,BP!$EY$2:$FK$250,203,0)</f>
        <v>0</v>
      </c>
      <c r="DH93" s="106">
        <f>+HLOOKUP($C93,BP!$EY$2:$FK$250,205,0)</f>
        <v>0</v>
      </c>
      <c r="DI93" s="106">
        <f>+HLOOKUP($C93,BP!$EY$2:$FK$250,206,0)</f>
        <v>10000</v>
      </c>
      <c r="DJ93" s="106">
        <f>+HLOOKUP($C93,BP!$EY$2:$FK$250,207,0)</f>
        <v>0</v>
      </c>
      <c r="DK93" s="106">
        <f>+HLOOKUP($C93,BP!$EY$2:$FK$250,209,0)</f>
        <v>0</v>
      </c>
      <c r="DL93" s="106">
        <f>+HLOOKUP($C93,BP!$EY$2:$FK$250,210,0)</f>
        <v>180000</v>
      </c>
      <c r="DM93" s="106">
        <f>+HLOOKUP($C93,BP!$EY$2:$FK$250,211,0)</f>
        <v>0</v>
      </c>
      <c r="DN93" s="106">
        <f>+HLOOKUP($C93,BP!$EY$2:$FK$250,212,0)</f>
        <v>0</v>
      </c>
      <c r="DO93" s="106">
        <f>+HLOOKUP($C93,BP!$EY$2:$FK$250,214,0)</f>
        <v>0</v>
      </c>
      <c r="DP93" s="106">
        <f>+HLOOKUP($C93,BP!$EY$2:$FK$250,215,0)</f>
        <v>0</v>
      </c>
      <c r="DQ93" s="106">
        <f>+HLOOKUP($C93,BP!$EY$2:$FK$250,219,0)</f>
        <v>0</v>
      </c>
      <c r="DR93" s="106">
        <f>+HLOOKUP($C93,BP!$EY$2:$FK$250,220,0)</f>
        <v>0</v>
      </c>
      <c r="DS93" s="106">
        <f>+HLOOKUP($C93,BP!$EY$2:$FK$250,221,0)</f>
        <v>0</v>
      </c>
      <c r="DT93" s="106">
        <f>+HLOOKUP($C93,BP!$EY$2:$FK$250,223,0)</f>
        <v>3333.333333333333</v>
      </c>
      <c r="DU93" s="106">
        <f>+HLOOKUP($C93,BP!$EY$2:$FK$250,224,0)</f>
        <v>2000</v>
      </c>
      <c r="DV93" s="106">
        <f>+HLOOKUP($C93,BP!$EY$2:$FK$250,225,0)</f>
        <v>3333.333333333333</v>
      </c>
      <c r="DW93" s="106">
        <f>+HLOOKUP($C93,BP!$EY$2:$FK$250,227,0)</f>
        <v>0</v>
      </c>
      <c r="DX93" s="106">
        <f>+HLOOKUP($C93,BP!$EY$2:$FK$250,228,0)</f>
        <v>0</v>
      </c>
      <c r="DY93" s="106">
        <f>+HLOOKUP($C93,BP!$EY$2:$FK$250,236,0)</f>
        <v>0</v>
      </c>
      <c r="DZ93" s="106">
        <f>+HLOOKUP($C93,BP!$EY$2:$FK$250,237,0)</f>
        <v>0</v>
      </c>
      <c r="EA93" s="106">
        <f>+HLOOKUP($C93,BP!$EY$2:$FK$250,238,0)</f>
        <v>0</v>
      </c>
      <c r="EB93" s="106">
        <f>+HLOOKUP($C93,BP!$EY$2:$FK$250,240,0)</f>
        <v>468618.16800000001</v>
      </c>
    </row>
    <row r="94" spans="1:132">
      <c r="A94" t="s">
        <v>272</v>
      </c>
      <c r="B94" t="s">
        <v>218</v>
      </c>
      <c r="C94" s="117">
        <v>45748</v>
      </c>
      <c r="D94" s="106">
        <f t="shared" si="1"/>
        <v>1355760.0000000002</v>
      </c>
      <c r="E94" s="106">
        <f>+HLOOKUP(C94,BP!$EY$2:$FK$250,28,0)+HLOOKUP(C94,BP!$EY$2:$FK$250,43,0)+HLOOKUP(C94,BP!$EY$2:$FK$250,44,0)+HLOOKUP(C94,BP!$EY$2:$FK$250,45,0)+HLOOKUP(C94,BP!$EY$2:$FK$250,54,0)+HLOOKUP(C94,BP!$EY$2:$FK$250,59,0)</f>
        <v>1355760.0000000002</v>
      </c>
      <c r="F94" s="106">
        <f>+HLOOKUP(C94,BP!$EY$2:$FK$250,37,0)+HLOOKUP(C94,BP!$EY$2:$FK$250,55,0)</f>
        <v>902142.48717948736</v>
      </c>
      <c r="G94" s="106">
        <f>+HLOOKUP($C94,BP!$EY$2:$FK$250,76,0)</f>
        <v>0</v>
      </c>
      <c r="H94" s="106">
        <f>+HLOOKUP($C94,BP!$EY$2:$FK$250,77,0)</f>
        <v>0</v>
      </c>
      <c r="I94" s="106">
        <f>+HLOOKUP($C94,BP!$EY$2:$FK$250,78,0)</f>
        <v>0</v>
      </c>
      <c r="J94" s="106">
        <f>+HLOOKUP($C94,BP!$EY$2:$FK$250,79,0)</f>
        <v>0</v>
      </c>
      <c r="K94" s="106">
        <f>+HLOOKUP($C94,BP!$EY$2:$FK$250,80,0)</f>
        <v>0</v>
      </c>
      <c r="L94" s="106">
        <f>+HLOOKUP($C94,BP!$EY$2:$FK$250,81,0)</f>
        <v>0</v>
      </c>
      <c r="M94" s="106">
        <f>+HLOOKUP($C94,BP!$EY$2:$FK$250,82,0)</f>
        <v>0</v>
      </c>
      <c r="N94" s="106">
        <f>+HLOOKUP($C94,BP!$EY$2:$FK$250,83,0)</f>
        <v>0</v>
      </c>
      <c r="O94" s="106">
        <f>+HLOOKUP($C94,BP!$EY$2:$FK$250,84,0)</f>
        <v>0</v>
      </c>
      <c r="P94" s="106">
        <f>+HLOOKUP($C94,BP!$EY$2:$FK$250,85,0)</f>
        <v>0</v>
      </c>
      <c r="Q94" s="106">
        <f>+HLOOKUP($C94,BP!$EY$2:$FK$250,87,0)</f>
        <v>42336.000000000007</v>
      </c>
      <c r="R94" s="106">
        <f>+HLOOKUP($C94,BP!$EY$2:$FK$250,90,0)</f>
        <v>0</v>
      </c>
      <c r="S94" s="106">
        <f>+HLOOKUP($C94,BP!$EY$2:$FK$250,91,0)</f>
        <v>0</v>
      </c>
      <c r="T94" s="106">
        <f>+HLOOKUP($C94,BP!$EY$2:$FK$250,92,0)</f>
        <v>0</v>
      </c>
      <c r="U94" s="106">
        <f>+HLOOKUP($C94,BP!$EY$2:$FK$250,93,0)</f>
        <v>0</v>
      </c>
      <c r="V94" s="106">
        <f>+HLOOKUP($C94,BP!$EY$2:$FK$250,94,0)</f>
        <v>0</v>
      </c>
      <c r="W94" s="106">
        <f>+HLOOKUP($C94,BP!$EY$2:$FK$250,95,0)</f>
        <v>0</v>
      </c>
      <c r="X94" s="106">
        <f>+HLOOKUP($C94,BP!$EY$2:$FK$250,96,0)</f>
        <v>0</v>
      </c>
      <c r="Y94" s="106">
        <f>+HLOOKUP($C94,BP!$EY$2:$FK$250,97,0)</f>
        <v>0</v>
      </c>
      <c r="Z94" s="106">
        <f>+HLOOKUP($C94,BP!$EY$2:$FK$250,98,0)</f>
        <v>0</v>
      </c>
      <c r="AA94" s="106">
        <f>+HLOOKUP($C94,BP!$EY$2:$FK$250,99,0)</f>
        <v>0</v>
      </c>
      <c r="AB94" s="106">
        <f>+HLOOKUP($C94,BP!$EY$2:$FK$250,100,0)</f>
        <v>0</v>
      </c>
      <c r="AC94" s="106">
        <f>+HLOOKUP($C94,BP!$EY$2:$FK$250,101,0)</f>
        <v>0</v>
      </c>
      <c r="AD94" s="106">
        <f>+HLOOKUP($C94,BP!$EY$2:$FK$250,104,0)</f>
        <v>1629.9360000000006</v>
      </c>
      <c r="AE94" s="106">
        <f>+HLOOKUP($C94,BP!$EY$2:$FK$250,105,0)</f>
        <v>5292.0000000000009</v>
      </c>
      <c r="AF94" s="106">
        <f>+HLOOKUP($C94,BP!$EY$2:$FK$250,106,0)</f>
        <v>0</v>
      </c>
      <c r="AG94" s="106">
        <f>+HLOOKUP($C94,BP!$EY$2:$FK$250,107,0)</f>
        <v>0</v>
      </c>
      <c r="AH94" s="106">
        <f>+HLOOKUP($C94,BP!$EY$2:$FK$250,108,0)</f>
        <v>0</v>
      </c>
      <c r="AI94" s="106">
        <f>+HLOOKUP($C94,BP!$EY$2:$FK$250,109,0)</f>
        <v>0</v>
      </c>
      <c r="AJ94" s="106">
        <f>+HLOOKUP($C94,BP!$EY$2:$FK$250,110,0)</f>
        <v>0</v>
      </c>
      <c r="AK94" s="106">
        <f>+HLOOKUP($C94,BP!$EY$2:$FK$250,111,0)</f>
        <v>325.98720000000014</v>
      </c>
      <c r="AL94" s="106">
        <f>+HLOOKUP($C94,BP!$EY$2:$FK$250,112,0)</f>
        <v>0</v>
      </c>
      <c r="AM94" s="106">
        <f>+HLOOKUP($C94,BP!$EY$2:$FK$250,116,0)</f>
        <v>41250</v>
      </c>
      <c r="AN94" s="106">
        <f>+HLOOKUP($C94,BP!$EY$2:$FK$250,117,0)</f>
        <v>6150</v>
      </c>
      <c r="AO94" s="106">
        <f>+HLOOKUP($C94,BP!$EY$2:$FK$250,118,0)</f>
        <v>0</v>
      </c>
      <c r="AP94" s="106">
        <f>+HLOOKUP($C94,BP!$EY$2:$FK$250,119,0)</f>
        <v>16500</v>
      </c>
      <c r="AQ94" s="106">
        <f>+HLOOKUP($C94,BP!$EY$2:$FK$250,120,0)</f>
        <v>0</v>
      </c>
      <c r="AR94" s="106">
        <f>+HLOOKUP($C94,BP!$EY$2:$FK$250,121,0)</f>
        <v>0</v>
      </c>
      <c r="AS94" s="106">
        <f>+HLOOKUP($C94,BP!$EY$2:$FK$250,122,0)</f>
        <v>18600</v>
      </c>
      <c r="AT94" s="106">
        <f>+HLOOKUP($C94,BP!$EY$2:$FK$250,123,0)</f>
        <v>5646.875</v>
      </c>
      <c r="AU94" s="106">
        <f>+HLOOKUP($C94,BP!$EY$2:$FK$250,124,0)</f>
        <v>0</v>
      </c>
      <c r="AV94" s="106">
        <f>+HLOOKUP($C94,BP!$EY$2:$FK$250,125,0)</f>
        <v>0</v>
      </c>
      <c r="AW94" s="106">
        <f>+HLOOKUP($C94,BP!$EY$2:$FK$250,126,0)</f>
        <v>1983.1730769230771</v>
      </c>
      <c r="AX94" s="106">
        <f>+HLOOKUP($C94,BP!$EY$2:$FK$250,127,0)</f>
        <v>3250</v>
      </c>
      <c r="AY94" s="106">
        <f>+HLOOKUP($C94,BP!$EY$2:$FK$250,129,0)</f>
        <v>0</v>
      </c>
      <c r="AZ94" s="106">
        <f>+HLOOKUP($C94,BP!$EY$2:$FK$250,130,0)</f>
        <v>0</v>
      </c>
      <c r="BA94" s="106">
        <f>+HLOOKUP($C94,BP!$EY$2:$FK$250,131,0)</f>
        <v>7500</v>
      </c>
      <c r="BB94" s="106">
        <f>+HLOOKUP($C94,BP!$EY$2:$FK$250,133,0)</f>
        <v>0</v>
      </c>
      <c r="BC94" s="106">
        <f>+HLOOKUP($C94,BP!$EY$2:$FK$250,134,0)</f>
        <v>0</v>
      </c>
      <c r="BD94" s="106">
        <f>+HLOOKUP($C94,BP!$EY$2:$FK$250,135,0)</f>
        <v>0</v>
      </c>
      <c r="BE94" s="106">
        <f>+HLOOKUP($C94,BP!$EY$2:$FK$250,136,0)</f>
        <v>0</v>
      </c>
      <c r="BF94" s="106">
        <f>+HLOOKUP($C94,BP!$EY$2:$FK$250,138,0)</f>
        <v>1500</v>
      </c>
      <c r="BG94" s="106">
        <f>+HLOOKUP($C94,BP!$EY$2:$FK$250,139,0)</f>
        <v>6666.6666666666661</v>
      </c>
      <c r="BH94" s="106">
        <f>+HLOOKUP($C94,BP!$EY$2:$FK$250,140,0)</f>
        <v>13400</v>
      </c>
      <c r="BI94" s="106">
        <f>+HLOOKUP($C94,BP!$EY$2:$FK$250,141,0)</f>
        <v>0</v>
      </c>
      <c r="BJ94" s="106">
        <f>+HLOOKUP($C94,BP!$EY$2:$FK$250,142,0)</f>
        <v>0</v>
      </c>
      <c r="BK94" s="106">
        <f>+HLOOKUP($C94,BP!$EY$2:$FK$250,143,0)</f>
        <v>3000</v>
      </c>
      <c r="BL94" s="106">
        <f>+HLOOKUP($C94,BP!$EY$2:$FK$250,144,0)</f>
        <v>2625</v>
      </c>
      <c r="BM94" s="106">
        <f>+HLOOKUP($C94,BP!$EY$2:$FK$250,146,0)</f>
        <v>0</v>
      </c>
      <c r="BN94" s="106">
        <f>+HLOOKUP($C94,BP!$EY$2:$FK$250,147,0)</f>
        <v>0</v>
      </c>
      <c r="BO94" s="106">
        <f>+HLOOKUP($C94,BP!$EY$2:$FK$250,148,0)</f>
        <v>0</v>
      </c>
      <c r="BP94" s="106">
        <f>+HLOOKUP($C94,BP!$EY$2:$FK$250,150,0)</f>
        <v>26000</v>
      </c>
      <c r="BQ94" s="106">
        <f>+HLOOKUP($C94,BP!$EY$2:$FK$250,151,0)</f>
        <v>1984.4</v>
      </c>
      <c r="BR94" s="106">
        <f>+HLOOKUP($C94,BP!$EY$2:$FK$250,152,0)</f>
        <v>12800</v>
      </c>
      <c r="BS94" s="106">
        <f>+HLOOKUP($C94,BP!$EY$2:$FK$250,153,0)</f>
        <v>3000</v>
      </c>
      <c r="BT94" s="106">
        <f>+HLOOKUP($C94,BP!$EY$2:$FK$250,157,0)</f>
        <v>0</v>
      </c>
      <c r="BU94" s="106">
        <f>+HLOOKUP($C94,BP!$EY$2:$FK$250,158,0)</f>
        <v>0</v>
      </c>
      <c r="BV94" s="106">
        <f>+HLOOKUP($C94,BP!$EY$2:$FK$250,159,0)</f>
        <v>0</v>
      </c>
      <c r="BW94" s="106">
        <f>+HLOOKUP($C94,BP!$EY$2:$FK$250,160,0)</f>
        <v>0</v>
      </c>
      <c r="BX94" s="106">
        <f>+HLOOKUP($C94,BP!$EY$2:$FK$250,161,0)</f>
        <v>0</v>
      </c>
      <c r="BY94" s="106">
        <f>+HLOOKUP($C94,BP!$EY$2:$FK$250,164,0)</f>
        <v>0</v>
      </c>
      <c r="BZ94" s="106">
        <f>+HLOOKUP($C94,BP!$EY$2:$FK$250,165,0)</f>
        <v>0</v>
      </c>
      <c r="CA94" s="106">
        <f>+HLOOKUP($C94,BP!$EY$2:$FK$250,166,0)</f>
        <v>0</v>
      </c>
      <c r="CB94" s="106">
        <f>+HLOOKUP($C94,BP!$EY$2:$FK$250,167,0)</f>
        <v>0</v>
      </c>
      <c r="CC94" s="106">
        <f>+HLOOKUP($C94,BP!$EY$2:$FK$250,168,0)</f>
        <v>0</v>
      </c>
      <c r="CD94" s="106">
        <f>+HLOOKUP($C94,BP!$EY$2:$FK$250,169,0)</f>
        <v>0</v>
      </c>
      <c r="CE94" s="106">
        <f>+HLOOKUP($C94,BP!$EY$2:$FK$250,170,0)</f>
        <v>0</v>
      </c>
      <c r="CF94" s="106">
        <f>+HLOOKUP($C94,BP!$EY$2:$FK$250,172,0)</f>
        <v>0</v>
      </c>
      <c r="CG94" s="106">
        <f>+HLOOKUP($C94,BP!$EY$2:$FK$250,173,0)</f>
        <v>4800</v>
      </c>
      <c r="CH94" s="106">
        <f>+HLOOKUP($C94,BP!$EY$2:$FK$250,174,0)</f>
        <v>0</v>
      </c>
      <c r="CI94" s="106">
        <f>+HLOOKUP($C94,BP!$EY$2:$FK$250,175,0)</f>
        <v>0</v>
      </c>
      <c r="CJ94" s="106">
        <f>+HLOOKUP($C94,BP!$EY$2:$FK$250,176,0)</f>
        <v>0</v>
      </c>
      <c r="CK94" s="106">
        <f>+HLOOKUP($C94,BP!$EY$2:$FK$250,178,0)</f>
        <v>18600</v>
      </c>
      <c r="CL94" s="106">
        <f>+HLOOKUP($C94,BP!$EY$2:$FK$250,179,0)</f>
        <v>120000.00000000006</v>
      </c>
      <c r="CM94" s="106">
        <f>+HLOOKUP($C94,BP!$EY$2:$FK$250,180,0)</f>
        <v>1920</v>
      </c>
      <c r="CN94" s="106">
        <f>+HLOOKUP($C94,BP!$EY$2:$FK$250,182,0)</f>
        <v>2800</v>
      </c>
      <c r="CO94" s="106">
        <f>+HLOOKUP($C94,BP!$EY$2:$FK$250,183,0)</f>
        <v>800</v>
      </c>
      <c r="CP94" s="106">
        <f>+HLOOKUP($C94,BP!$EY$2:$FK$250,184,0)</f>
        <v>648</v>
      </c>
      <c r="CQ94" s="106">
        <f>+HLOOKUP($C94,BP!$EY$2:$FK$250,185,0)</f>
        <v>0</v>
      </c>
      <c r="CR94" s="106">
        <f>+HLOOKUP($C94,BP!$EY$2:$FK$250,187,0)</f>
        <v>1250</v>
      </c>
      <c r="CS94" s="106">
        <f>+HLOOKUP($C94,BP!$EY$2:$FK$250,188,0)</f>
        <v>0</v>
      </c>
      <c r="CT94" s="106">
        <f>+HLOOKUP($C94,BP!$EY$2:$FK$250,189,0)</f>
        <v>0</v>
      </c>
      <c r="CU94" s="106">
        <f>+HLOOKUP($C94,BP!$EY$2:$FK$250,190,0)</f>
        <v>0</v>
      </c>
      <c r="CV94" s="106">
        <f>+HLOOKUP($C94,BP!$EY$2:$FK$250,191,0)</f>
        <v>0</v>
      </c>
      <c r="CW94" s="106">
        <f>+HLOOKUP($C94,BP!$EY$2:$FK$250,193,0)</f>
        <v>0</v>
      </c>
      <c r="CX94" s="106">
        <f>+HLOOKUP($C94,BP!$EY$2:$FK$250,194,0)</f>
        <v>0</v>
      </c>
      <c r="CY94" s="106">
        <f>+HLOOKUP($C94,BP!$EY$2:$FK$250,195,0)</f>
        <v>10000</v>
      </c>
      <c r="CZ94" s="106">
        <f>+HLOOKUP($C94,BP!$EY$2:$FK$250,196,0)</f>
        <v>0</v>
      </c>
      <c r="DA94" s="106">
        <f>+HLOOKUP($C94,BP!$EY$2:$FK$250,197,0)</f>
        <v>6666.6666666666661</v>
      </c>
      <c r="DB94" s="106">
        <f>+HLOOKUP($C94,BP!$EY$2:$FK$250,198,0)</f>
        <v>4000</v>
      </c>
      <c r="DC94" s="106">
        <f>+HLOOKUP($C94,BP!$EY$2:$FK$250,199,0)</f>
        <v>1333.3333333333333</v>
      </c>
      <c r="DD94" s="106">
        <f>+HLOOKUP($C94,BP!$EY$2:$FK$250,200,0)</f>
        <v>666.66666666666663</v>
      </c>
      <c r="DE94" s="106">
        <f>+HLOOKUP($C94,BP!$EY$2:$FK$250,201,0)</f>
        <v>166.66666666666666</v>
      </c>
      <c r="DF94" s="106">
        <f>+HLOOKUP($C94,BP!$EY$2:$FK$250,202,0)</f>
        <v>0</v>
      </c>
      <c r="DG94" s="106">
        <f>+HLOOKUP($C94,BP!$EY$2:$FK$250,203,0)</f>
        <v>0</v>
      </c>
      <c r="DH94" s="106">
        <f>+HLOOKUP($C94,BP!$EY$2:$FK$250,205,0)</f>
        <v>0</v>
      </c>
      <c r="DI94" s="106">
        <f>+HLOOKUP($C94,BP!$EY$2:$FK$250,206,0)</f>
        <v>10000</v>
      </c>
      <c r="DJ94" s="106">
        <f>+HLOOKUP($C94,BP!$EY$2:$FK$250,207,0)</f>
        <v>0</v>
      </c>
      <c r="DK94" s="106">
        <f>+HLOOKUP($C94,BP!$EY$2:$FK$250,209,0)</f>
        <v>0</v>
      </c>
      <c r="DL94" s="106">
        <f>+HLOOKUP($C94,BP!$EY$2:$FK$250,210,0)</f>
        <v>180000</v>
      </c>
      <c r="DM94" s="106">
        <f>+HLOOKUP($C94,BP!$EY$2:$FK$250,211,0)</f>
        <v>0</v>
      </c>
      <c r="DN94" s="106">
        <f>+HLOOKUP($C94,BP!$EY$2:$FK$250,212,0)</f>
        <v>0</v>
      </c>
      <c r="DO94" s="106">
        <f>+HLOOKUP($C94,BP!$EY$2:$FK$250,214,0)</f>
        <v>0</v>
      </c>
      <c r="DP94" s="106">
        <f>+HLOOKUP($C94,BP!$EY$2:$FK$250,215,0)</f>
        <v>0</v>
      </c>
      <c r="DQ94" s="106">
        <f>+HLOOKUP($C94,BP!$EY$2:$FK$250,219,0)</f>
        <v>0</v>
      </c>
      <c r="DR94" s="106">
        <f>+HLOOKUP($C94,BP!$EY$2:$FK$250,220,0)</f>
        <v>0</v>
      </c>
      <c r="DS94" s="106">
        <f>+HLOOKUP($C94,BP!$EY$2:$FK$250,221,0)</f>
        <v>0</v>
      </c>
      <c r="DT94" s="106">
        <f>+HLOOKUP($C94,BP!$EY$2:$FK$250,223,0)</f>
        <v>3333.333333333333</v>
      </c>
      <c r="DU94" s="106">
        <f>+HLOOKUP($C94,BP!$EY$2:$FK$250,224,0)</f>
        <v>2000</v>
      </c>
      <c r="DV94" s="106">
        <f>+HLOOKUP($C94,BP!$EY$2:$FK$250,225,0)</f>
        <v>3333.333333333333</v>
      </c>
      <c r="DW94" s="106">
        <f>+HLOOKUP($C94,BP!$EY$2:$FK$250,227,0)</f>
        <v>0</v>
      </c>
      <c r="DX94" s="106">
        <f>+HLOOKUP($C94,BP!$EY$2:$FK$250,228,0)</f>
        <v>0</v>
      </c>
      <c r="DY94" s="106">
        <f>+HLOOKUP($C94,BP!$EY$2:$FK$250,236,0)</f>
        <v>0</v>
      </c>
      <c r="DZ94" s="106">
        <f>+HLOOKUP($C94,BP!$EY$2:$FK$250,237,0)</f>
        <v>0</v>
      </c>
      <c r="EA94" s="106">
        <f>+HLOOKUP($C94,BP!$EY$2:$FK$250,238,0)</f>
        <v>0</v>
      </c>
      <c r="EB94" s="106">
        <f>+HLOOKUP($C94,BP!$EY$2:$FK$250,240,0)</f>
        <v>468618.16800000001</v>
      </c>
    </row>
    <row r="95" spans="1:132">
      <c r="A95" t="s">
        <v>272</v>
      </c>
      <c r="B95" t="s">
        <v>218</v>
      </c>
      <c r="C95" s="117">
        <v>45717</v>
      </c>
      <c r="D95" s="106">
        <f t="shared" si="1"/>
        <v>1513125.0000000002</v>
      </c>
      <c r="E95" s="106">
        <f>+HLOOKUP(C95,BP!$EY$2:$FK$250,28,0)+HLOOKUP(C95,BP!$EY$2:$FK$250,43,0)+HLOOKUP(C95,BP!$EY$2:$FK$250,44,0)+HLOOKUP(C95,BP!$EY$2:$FK$250,45,0)+HLOOKUP(C95,BP!$EY$2:$FK$250,54,0)+HLOOKUP(C95,BP!$EY$2:$FK$250,59,0)</f>
        <v>1513125.0000000002</v>
      </c>
      <c r="F95" s="106">
        <f>+HLOOKUP(C95,BP!$EY$2:$FK$250,37,0)+HLOOKUP(C95,BP!$EY$2:$FK$250,55,0)</f>
        <v>1002879.4871794874</v>
      </c>
      <c r="G95" s="106">
        <f>+HLOOKUP($C95,BP!$EY$2:$FK$250,76,0)</f>
        <v>0</v>
      </c>
      <c r="H95" s="106">
        <f>+HLOOKUP($C95,BP!$EY$2:$FK$250,77,0)</f>
        <v>0</v>
      </c>
      <c r="I95" s="106">
        <f>+HLOOKUP($C95,BP!$EY$2:$FK$250,78,0)</f>
        <v>0</v>
      </c>
      <c r="J95" s="106">
        <f>+HLOOKUP($C95,BP!$EY$2:$FK$250,79,0)</f>
        <v>0</v>
      </c>
      <c r="K95" s="106">
        <f>+HLOOKUP($C95,BP!$EY$2:$FK$250,80,0)</f>
        <v>0</v>
      </c>
      <c r="L95" s="106">
        <f>+HLOOKUP($C95,BP!$EY$2:$FK$250,81,0)</f>
        <v>0</v>
      </c>
      <c r="M95" s="106">
        <f>+HLOOKUP($C95,BP!$EY$2:$FK$250,82,0)</f>
        <v>0</v>
      </c>
      <c r="N95" s="106">
        <f>+HLOOKUP($C95,BP!$EY$2:$FK$250,83,0)</f>
        <v>0</v>
      </c>
      <c r="O95" s="106">
        <f>+HLOOKUP($C95,BP!$EY$2:$FK$250,84,0)</f>
        <v>0</v>
      </c>
      <c r="P95" s="106">
        <f>+HLOOKUP($C95,BP!$EY$2:$FK$250,85,0)</f>
        <v>0</v>
      </c>
      <c r="Q95" s="106">
        <f>+HLOOKUP($C95,BP!$EY$2:$FK$250,87,0)</f>
        <v>47250.000000000007</v>
      </c>
      <c r="R95" s="106">
        <f>+HLOOKUP($C95,BP!$EY$2:$FK$250,90,0)</f>
        <v>0</v>
      </c>
      <c r="S95" s="106">
        <f>+HLOOKUP($C95,BP!$EY$2:$FK$250,91,0)</f>
        <v>0</v>
      </c>
      <c r="T95" s="106">
        <f>+HLOOKUP($C95,BP!$EY$2:$FK$250,92,0)</f>
        <v>0</v>
      </c>
      <c r="U95" s="106">
        <f>+HLOOKUP($C95,BP!$EY$2:$FK$250,93,0)</f>
        <v>0</v>
      </c>
      <c r="V95" s="106">
        <f>+HLOOKUP($C95,BP!$EY$2:$FK$250,94,0)</f>
        <v>0</v>
      </c>
      <c r="W95" s="106">
        <f>+HLOOKUP($C95,BP!$EY$2:$FK$250,95,0)</f>
        <v>0</v>
      </c>
      <c r="X95" s="106">
        <f>+HLOOKUP($C95,BP!$EY$2:$FK$250,96,0)</f>
        <v>0</v>
      </c>
      <c r="Y95" s="106">
        <f>+HLOOKUP($C95,BP!$EY$2:$FK$250,97,0)</f>
        <v>0</v>
      </c>
      <c r="Z95" s="106">
        <f>+HLOOKUP($C95,BP!$EY$2:$FK$250,98,0)</f>
        <v>0</v>
      </c>
      <c r="AA95" s="106">
        <f>+HLOOKUP($C95,BP!$EY$2:$FK$250,99,0)</f>
        <v>0</v>
      </c>
      <c r="AB95" s="106">
        <f>+HLOOKUP($C95,BP!$EY$2:$FK$250,100,0)</f>
        <v>0</v>
      </c>
      <c r="AC95" s="106">
        <f>+HLOOKUP($C95,BP!$EY$2:$FK$250,101,0)</f>
        <v>0</v>
      </c>
      <c r="AD95" s="106">
        <f>+HLOOKUP($C95,BP!$EY$2:$FK$250,104,0)</f>
        <v>1819.1250000000005</v>
      </c>
      <c r="AE95" s="106">
        <f>+HLOOKUP($C95,BP!$EY$2:$FK$250,105,0)</f>
        <v>5906.2500000000009</v>
      </c>
      <c r="AF95" s="106">
        <f>+HLOOKUP($C95,BP!$EY$2:$FK$250,106,0)</f>
        <v>0</v>
      </c>
      <c r="AG95" s="106">
        <f>+HLOOKUP($C95,BP!$EY$2:$FK$250,107,0)</f>
        <v>0</v>
      </c>
      <c r="AH95" s="106">
        <f>+HLOOKUP($C95,BP!$EY$2:$FK$250,108,0)</f>
        <v>0</v>
      </c>
      <c r="AI95" s="106">
        <f>+HLOOKUP($C95,BP!$EY$2:$FK$250,109,0)</f>
        <v>0</v>
      </c>
      <c r="AJ95" s="106">
        <f>+HLOOKUP($C95,BP!$EY$2:$FK$250,110,0)</f>
        <v>0</v>
      </c>
      <c r="AK95" s="106">
        <f>+HLOOKUP($C95,BP!$EY$2:$FK$250,111,0)</f>
        <v>363.8250000000001</v>
      </c>
      <c r="AL95" s="106">
        <f>+HLOOKUP($C95,BP!$EY$2:$FK$250,112,0)</f>
        <v>0</v>
      </c>
      <c r="AM95" s="106">
        <f>+HLOOKUP($C95,BP!$EY$2:$FK$250,116,0)</f>
        <v>41250</v>
      </c>
      <c r="AN95" s="106">
        <f>+HLOOKUP($C95,BP!$EY$2:$FK$250,117,0)</f>
        <v>6150</v>
      </c>
      <c r="AO95" s="106">
        <f>+HLOOKUP($C95,BP!$EY$2:$FK$250,118,0)</f>
        <v>0</v>
      </c>
      <c r="AP95" s="106">
        <f>+HLOOKUP($C95,BP!$EY$2:$FK$250,119,0)</f>
        <v>16500</v>
      </c>
      <c r="AQ95" s="106">
        <f>+HLOOKUP($C95,BP!$EY$2:$FK$250,120,0)</f>
        <v>0</v>
      </c>
      <c r="AR95" s="106">
        <f>+HLOOKUP($C95,BP!$EY$2:$FK$250,121,0)</f>
        <v>0</v>
      </c>
      <c r="AS95" s="106">
        <f>+HLOOKUP($C95,BP!$EY$2:$FK$250,122,0)</f>
        <v>18600</v>
      </c>
      <c r="AT95" s="106">
        <f>+HLOOKUP($C95,BP!$EY$2:$FK$250,123,0)</f>
        <v>5646.875</v>
      </c>
      <c r="AU95" s="106">
        <f>+HLOOKUP($C95,BP!$EY$2:$FK$250,124,0)</f>
        <v>0</v>
      </c>
      <c r="AV95" s="106">
        <f>+HLOOKUP($C95,BP!$EY$2:$FK$250,125,0)</f>
        <v>0</v>
      </c>
      <c r="AW95" s="106">
        <f>+HLOOKUP($C95,BP!$EY$2:$FK$250,126,0)</f>
        <v>1983.1730769230771</v>
      </c>
      <c r="AX95" s="106">
        <f>+HLOOKUP($C95,BP!$EY$2:$FK$250,127,0)</f>
        <v>3250</v>
      </c>
      <c r="AY95" s="106">
        <f>+HLOOKUP($C95,BP!$EY$2:$FK$250,129,0)</f>
        <v>0</v>
      </c>
      <c r="AZ95" s="106">
        <f>+HLOOKUP($C95,BP!$EY$2:$FK$250,130,0)</f>
        <v>0</v>
      </c>
      <c r="BA95" s="106">
        <f>+HLOOKUP($C95,BP!$EY$2:$FK$250,131,0)</f>
        <v>7500</v>
      </c>
      <c r="BB95" s="106">
        <f>+HLOOKUP($C95,BP!$EY$2:$FK$250,133,0)</f>
        <v>0</v>
      </c>
      <c r="BC95" s="106">
        <f>+HLOOKUP($C95,BP!$EY$2:$FK$250,134,0)</f>
        <v>0</v>
      </c>
      <c r="BD95" s="106">
        <f>+HLOOKUP($C95,BP!$EY$2:$FK$250,135,0)</f>
        <v>0</v>
      </c>
      <c r="BE95" s="106">
        <f>+HLOOKUP($C95,BP!$EY$2:$FK$250,136,0)</f>
        <v>0</v>
      </c>
      <c r="BF95" s="106">
        <f>+HLOOKUP($C95,BP!$EY$2:$FK$250,138,0)</f>
        <v>1500</v>
      </c>
      <c r="BG95" s="106">
        <f>+HLOOKUP($C95,BP!$EY$2:$FK$250,139,0)</f>
        <v>6666.6666666666661</v>
      </c>
      <c r="BH95" s="106">
        <f>+HLOOKUP($C95,BP!$EY$2:$FK$250,140,0)</f>
        <v>13400</v>
      </c>
      <c r="BI95" s="106">
        <f>+HLOOKUP($C95,BP!$EY$2:$FK$250,141,0)</f>
        <v>0</v>
      </c>
      <c r="BJ95" s="106">
        <f>+HLOOKUP($C95,BP!$EY$2:$FK$250,142,0)</f>
        <v>0</v>
      </c>
      <c r="BK95" s="106">
        <f>+HLOOKUP($C95,BP!$EY$2:$FK$250,143,0)</f>
        <v>3000</v>
      </c>
      <c r="BL95" s="106">
        <f>+HLOOKUP($C95,BP!$EY$2:$FK$250,144,0)</f>
        <v>1291.6666666666667</v>
      </c>
      <c r="BM95" s="106">
        <f>+HLOOKUP($C95,BP!$EY$2:$FK$250,146,0)</f>
        <v>0</v>
      </c>
      <c r="BN95" s="106">
        <f>+HLOOKUP($C95,BP!$EY$2:$FK$250,147,0)</f>
        <v>0</v>
      </c>
      <c r="BO95" s="106">
        <f>+HLOOKUP($C95,BP!$EY$2:$FK$250,148,0)</f>
        <v>0</v>
      </c>
      <c r="BP95" s="106">
        <f>+HLOOKUP($C95,BP!$EY$2:$FK$250,150,0)</f>
        <v>26000</v>
      </c>
      <c r="BQ95" s="106">
        <f>+HLOOKUP($C95,BP!$EY$2:$FK$250,151,0)</f>
        <v>1984.4</v>
      </c>
      <c r="BR95" s="106">
        <f>+HLOOKUP($C95,BP!$EY$2:$FK$250,152,0)</f>
        <v>12800</v>
      </c>
      <c r="BS95" s="106">
        <f>+HLOOKUP($C95,BP!$EY$2:$FK$250,153,0)</f>
        <v>3000</v>
      </c>
      <c r="BT95" s="106">
        <f>+HLOOKUP($C95,BP!$EY$2:$FK$250,157,0)</f>
        <v>0</v>
      </c>
      <c r="BU95" s="106">
        <f>+HLOOKUP($C95,BP!$EY$2:$FK$250,158,0)</f>
        <v>0</v>
      </c>
      <c r="BV95" s="106">
        <f>+HLOOKUP($C95,BP!$EY$2:$FK$250,159,0)</f>
        <v>0</v>
      </c>
      <c r="BW95" s="106">
        <f>+HLOOKUP($C95,BP!$EY$2:$FK$250,160,0)</f>
        <v>0</v>
      </c>
      <c r="BX95" s="106">
        <f>+HLOOKUP($C95,BP!$EY$2:$FK$250,161,0)</f>
        <v>0</v>
      </c>
      <c r="BY95" s="106">
        <f>+HLOOKUP($C95,BP!$EY$2:$FK$250,164,0)</f>
        <v>0</v>
      </c>
      <c r="BZ95" s="106">
        <f>+HLOOKUP($C95,BP!$EY$2:$FK$250,165,0)</f>
        <v>0</v>
      </c>
      <c r="CA95" s="106">
        <f>+HLOOKUP($C95,BP!$EY$2:$FK$250,166,0)</f>
        <v>0</v>
      </c>
      <c r="CB95" s="106">
        <f>+HLOOKUP($C95,BP!$EY$2:$FK$250,167,0)</f>
        <v>0</v>
      </c>
      <c r="CC95" s="106">
        <f>+HLOOKUP($C95,BP!$EY$2:$FK$250,168,0)</f>
        <v>0</v>
      </c>
      <c r="CD95" s="106">
        <f>+HLOOKUP($C95,BP!$EY$2:$FK$250,169,0)</f>
        <v>0</v>
      </c>
      <c r="CE95" s="106">
        <f>+HLOOKUP($C95,BP!$EY$2:$FK$250,170,0)</f>
        <v>0</v>
      </c>
      <c r="CF95" s="106">
        <f>+HLOOKUP($C95,BP!$EY$2:$FK$250,172,0)</f>
        <v>0</v>
      </c>
      <c r="CG95" s="106">
        <f>+HLOOKUP($C95,BP!$EY$2:$FK$250,173,0)</f>
        <v>4800</v>
      </c>
      <c r="CH95" s="106">
        <f>+HLOOKUP($C95,BP!$EY$2:$FK$250,174,0)</f>
        <v>0</v>
      </c>
      <c r="CI95" s="106">
        <f>+HLOOKUP($C95,BP!$EY$2:$FK$250,175,0)</f>
        <v>0</v>
      </c>
      <c r="CJ95" s="106">
        <f>+HLOOKUP($C95,BP!$EY$2:$FK$250,176,0)</f>
        <v>0</v>
      </c>
      <c r="CK95" s="106">
        <f>+HLOOKUP($C95,BP!$EY$2:$FK$250,178,0)</f>
        <v>18600</v>
      </c>
      <c r="CL95" s="106">
        <f>+HLOOKUP($C95,BP!$EY$2:$FK$250,179,0)</f>
        <v>120000.00000000006</v>
      </c>
      <c r="CM95" s="106">
        <f>+HLOOKUP($C95,BP!$EY$2:$FK$250,180,0)</f>
        <v>1920</v>
      </c>
      <c r="CN95" s="106">
        <f>+HLOOKUP($C95,BP!$EY$2:$FK$250,182,0)</f>
        <v>2800</v>
      </c>
      <c r="CO95" s="106">
        <f>+HLOOKUP($C95,BP!$EY$2:$FK$250,183,0)</f>
        <v>800</v>
      </c>
      <c r="CP95" s="106">
        <f>+HLOOKUP($C95,BP!$EY$2:$FK$250,184,0)</f>
        <v>648</v>
      </c>
      <c r="CQ95" s="106">
        <f>+HLOOKUP($C95,BP!$EY$2:$FK$250,185,0)</f>
        <v>0</v>
      </c>
      <c r="CR95" s="106">
        <f>+HLOOKUP($C95,BP!$EY$2:$FK$250,187,0)</f>
        <v>1250</v>
      </c>
      <c r="CS95" s="106">
        <f>+HLOOKUP($C95,BP!$EY$2:$FK$250,188,0)</f>
        <v>0</v>
      </c>
      <c r="CT95" s="106">
        <f>+HLOOKUP($C95,BP!$EY$2:$FK$250,189,0)</f>
        <v>0</v>
      </c>
      <c r="CU95" s="106">
        <f>+HLOOKUP($C95,BP!$EY$2:$FK$250,190,0)</f>
        <v>0</v>
      </c>
      <c r="CV95" s="106">
        <f>+HLOOKUP($C95,BP!$EY$2:$FK$250,191,0)</f>
        <v>0</v>
      </c>
      <c r="CW95" s="106">
        <f>+HLOOKUP($C95,BP!$EY$2:$FK$250,193,0)</f>
        <v>0</v>
      </c>
      <c r="CX95" s="106">
        <f>+HLOOKUP($C95,BP!$EY$2:$FK$250,194,0)</f>
        <v>0</v>
      </c>
      <c r="CY95" s="106">
        <f>+HLOOKUP($C95,BP!$EY$2:$FK$250,195,0)</f>
        <v>10000</v>
      </c>
      <c r="CZ95" s="106">
        <f>+HLOOKUP($C95,BP!$EY$2:$FK$250,196,0)</f>
        <v>0</v>
      </c>
      <c r="DA95" s="106">
        <f>+HLOOKUP($C95,BP!$EY$2:$FK$250,197,0)</f>
        <v>6666.6666666666661</v>
      </c>
      <c r="DB95" s="106">
        <f>+HLOOKUP($C95,BP!$EY$2:$FK$250,198,0)</f>
        <v>4000</v>
      </c>
      <c r="DC95" s="106">
        <f>+HLOOKUP($C95,BP!$EY$2:$FK$250,199,0)</f>
        <v>1333.3333333333333</v>
      </c>
      <c r="DD95" s="106">
        <f>+HLOOKUP($C95,BP!$EY$2:$FK$250,200,0)</f>
        <v>666.66666666666663</v>
      </c>
      <c r="DE95" s="106">
        <f>+HLOOKUP($C95,BP!$EY$2:$FK$250,201,0)</f>
        <v>166.66666666666666</v>
      </c>
      <c r="DF95" s="106">
        <f>+HLOOKUP($C95,BP!$EY$2:$FK$250,202,0)</f>
        <v>0</v>
      </c>
      <c r="DG95" s="106">
        <f>+HLOOKUP($C95,BP!$EY$2:$FK$250,203,0)</f>
        <v>0</v>
      </c>
      <c r="DH95" s="106">
        <f>+HLOOKUP($C95,BP!$EY$2:$FK$250,205,0)</f>
        <v>0</v>
      </c>
      <c r="DI95" s="106">
        <f>+HLOOKUP($C95,BP!$EY$2:$FK$250,206,0)</f>
        <v>10000</v>
      </c>
      <c r="DJ95" s="106">
        <f>+HLOOKUP($C95,BP!$EY$2:$FK$250,207,0)</f>
        <v>0</v>
      </c>
      <c r="DK95" s="106">
        <f>+HLOOKUP($C95,BP!$EY$2:$FK$250,209,0)</f>
        <v>0</v>
      </c>
      <c r="DL95" s="106">
        <f>+HLOOKUP($C95,BP!$EY$2:$FK$250,210,0)</f>
        <v>180000</v>
      </c>
      <c r="DM95" s="106">
        <f>+HLOOKUP($C95,BP!$EY$2:$FK$250,211,0)</f>
        <v>0</v>
      </c>
      <c r="DN95" s="106">
        <f>+HLOOKUP($C95,BP!$EY$2:$FK$250,212,0)</f>
        <v>0</v>
      </c>
      <c r="DO95" s="106">
        <f>+HLOOKUP($C95,BP!$EY$2:$FK$250,214,0)</f>
        <v>0</v>
      </c>
      <c r="DP95" s="106">
        <f>+HLOOKUP($C95,BP!$EY$2:$FK$250,215,0)</f>
        <v>0</v>
      </c>
      <c r="DQ95" s="106">
        <f>+HLOOKUP($C95,BP!$EY$2:$FK$250,219,0)</f>
        <v>0</v>
      </c>
      <c r="DR95" s="106">
        <f>+HLOOKUP($C95,BP!$EY$2:$FK$250,220,0)</f>
        <v>0</v>
      </c>
      <c r="DS95" s="106">
        <f>+HLOOKUP($C95,BP!$EY$2:$FK$250,221,0)</f>
        <v>0</v>
      </c>
      <c r="DT95" s="106">
        <f>+HLOOKUP($C95,BP!$EY$2:$FK$250,223,0)</f>
        <v>3333.333333333333</v>
      </c>
      <c r="DU95" s="106">
        <f>+HLOOKUP($C95,BP!$EY$2:$FK$250,224,0)</f>
        <v>2000</v>
      </c>
      <c r="DV95" s="106">
        <f>+HLOOKUP($C95,BP!$EY$2:$FK$250,225,0)</f>
        <v>3333.333333333333</v>
      </c>
      <c r="DW95" s="106">
        <f>+HLOOKUP($C95,BP!$EY$2:$FK$250,227,0)</f>
        <v>0</v>
      </c>
      <c r="DX95" s="106">
        <f>+HLOOKUP($C95,BP!$EY$2:$FK$250,228,0)</f>
        <v>0</v>
      </c>
      <c r="DY95" s="106">
        <f>+HLOOKUP($C95,BP!$EY$2:$FK$250,236,0)</f>
        <v>0</v>
      </c>
      <c r="DZ95" s="106">
        <f>+HLOOKUP($C95,BP!$EY$2:$FK$250,237,0)</f>
        <v>0</v>
      </c>
      <c r="EA95" s="106">
        <f>+HLOOKUP($C95,BP!$EY$2:$FK$250,238,0)</f>
        <v>0</v>
      </c>
      <c r="EB95" s="106">
        <f>+HLOOKUP($C95,BP!$EY$2:$FK$250,240,0)</f>
        <v>468618.16800000001</v>
      </c>
    </row>
    <row r="96" spans="1:132">
      <c r="A96" t="s">
        <v>272</v>
      </c>
      <c r="B96" t="s">
        <v>218</v>
      </c>
      <c r="C96" s="117">
        <v>45689</v>
      </c>
      <c r="D96" s="106">
        <f t="shared" si="1"/>
        <v>1355760.0000000002</v>
      </c>
      <c r="E96" s="106">
        <f>+HLOOKUP(C96,BP!$EY$2:$FK$250,28,0)+HLOOKUP(C96,BP!$EY$2:$FK$250,43,0)+HLOOKUP(C96,BP!$EY$2:$FK$250,44,0)+HLOOKUP(C96,BP!$EY$2:$FK$250,45,0)+HLOOKUP(C96,BP!$EY$2:$FK$250,54,0)+HLOOKUP(C96,BP!$EY$2:$FK$250,59,0)</f>
        <v>1355760.0000000002</v>
      </c>
      <c r="F96" s="106">
        <f>+HLOOKUP(C96,BP!$EY$2:$FK$250,37,0)+HLOOKUP(C96,BP!$EY$2:$FK$250,55,0)</f>
        <v>902142.48717948736</v>
      </c>
      <c r="G96" s="106">
        <f>+HLOOKUP($C96,BP!$EY$2:$FK$250,76,0)</f>
        <v>0</v>
      </c>
      <c r="H96" s="106">
        <f>+HLOOKUP($C96,BP!$EY$2:$FK$250,77,0)</f>
        <v>0</v>
      </c>
      <c r="I96" s="106">
        <f>+HLOOKUP($C96,BP!$EY$2:$FK$250,78,0)</f>
        <v>0</v>
      </c>
      <c r="J96" s="106">
        <f>+HLOOKUP($C96,BP!$EY$2:$FK$250,79,0)</f>
        <v>0</v>
      </c>
      <c r="K96" s="106">
        <f>+HLOOKUP($C96,BP!$EY$2:$FK$250,80,0)</f>
        <v>0</v>
      </c>
      <c r="L96" s="106">
        <f>+HLOOKUP($C96,BP!$EY$2:$FK$250,81,0)</f>
        <v>0</v>
      </c>
      <c r="M96" s="106">
        <f>+HLOOKUP($C96,BP!$EY$2:$FK$250,82,0)</f>
        <v>0</v>
      </c>
      <c r="N96" s="106">
        <f>+HLOOKUP($C96,BP!$EY$2:$FK$250,83,0)</f>
        <v>0</v>
      </c>
      <c r="O96" s="106">
        <f>+HLOOKUP($C96,BP!$EY$2:$FK$250,84,0)</f>
        <v>0</v>
      </c>
      <c r="P96" s="106">
        <f>+HLOOKUP($C96,BP!$EY$2:$FK$250,85,0)</f>
        <v>0</v>
      </c>
      <c r="Q96" s="106">
        <f>+HLOOKUP($C96,BP!$EY$2:$FK$250,87,0)</f>
        <v>42336.000000000007</v>
      </c>
      <c r="R96" s="106">
        <f>+HLOOKUP($C96,BP!$EY$2:$FK$250,90,0)</f>
        <v>0</v>
      </c>
      <c r="S96" s="106">
        <f>+HLOOKUP($C96,BP!$EY$2:$FK$250,91,0)</f>
        <v>0</v>
      </c>
      <c r="T96" s="106">
        <f>+HLOOKUP($C96,BP!$EY$2:$FK$250,92,0)</f>
        <v>0</v>
      </c>
      <c r="U96" s="106">
        <f>+HLOOKUP($C96,BP!$EY$2:$FK$250,93,0)</f>
        <v>0</v>
      </c>
      <c r="V96" s="106">
        <f>+HLOOKUP($C96,BP!$EY$2:$FK$250,94,0)</f>
        <v>0</v>
      </c>
      <c r="W96" s="106">
        <f>+HLOOKUP($C96,BP!$EY$2:$FK$250,95,0)</f>
        <v>0</v>
      </c>
      <c r="X96" s="106">
        <f>+HLOOKUP($C96,BP!$EY$2:$FK$250,96,0)</f>
        <v>0</v>
      </c>
      <c r="Y96" s="106">
        <f>+HLOOKUP($C96,BP!$EY$2:$FK$250,97,0)</f>
        <v>0</v>
      </c>
      <c r="Z96" s="106">
        <f>+HLOOKUP($C96,BP!$EY$2:$FK$250,98,0)</f>
        <v>0</v>
      </c>
      <c r="AA96" s="106">
        <f>+HLOOKUP($C96,BP!$EY$2:$FK$250,99,0)</f>
        <v>0</v>
      </c>
      <c r="AB96" s="106">
        <f>+HLOOKUP($C96,BP!$EY$2:$FK$250,100,0)</f>
        <v>0</v>
      </c>
      <c r="AC96" s="106">
        <f>+HLOOKUP($C96,BP!$EY$2:$FK$250,101,0)</f>
        <v>0</v>
      </c>
      <c r="AD96" s="106">
        <f>+HLOOKUP($C96,BP!$EY$2:$FK$250,104,0)</f>
        <v>1629.9360000000006</v>
      </c>
      <c r="AE96" s="106">
        <f>+HLOOKUP($C96,BP!$EY$2:$FK$250,105,0)</f>
        <v>5292.0000000000009</v>
      </c>
      <c r="AF96" s="106">
        <f>+HLOOKUP($C96,BP!$EY$2:$FK$250,106,0)</f>
        <v>0</v>
      </c>
      <c r="AG96" s="106">
        <f>+HLOOKUP($C96,BP!$EY$2:$FK$250,107,0)</f>
        <v>0</v>
      </c>
      <c r="AH96" s="106">
        <f>+HLOOKUP($C96,BP!$EY$2:$FK$250,108,0)</f>
        <v>0</v>
      </c>
      <c r="AI96" s="106">
        <f>+HLOOKUP($C96,BP!$EY$2:$FK$250,109,0)</f>
        <v>0</v>
      </c>
      <c r="AJ96" s="106">
        <f>+HLOOKUP($C96,BP!$EY$2:$FK$250,110,0)</f>
        <v>0</v>
      </c>
      <c r="AK96" s="106">
        <f>+HLOOKUP($C96,BP!$EY$2:$FK$250,111,0)</f>
        <v>325.98720000000014</v>
      </c>
      <c r="AL96" s="106">
        <f>+HLOOKUP($C96,BP!$EY$2:$FK$250,112,0)</f>
        <v>0</v>
      </c>
      <c r="AM96" s="106">
        <f>+HLOOKUP($C96,BP!$EY$2:$FK$250,116,0)</f>
        <v>41250</v>
      </c>
      <c r="AN96" s="106">
        <f>+HLOOKUP($C96,BP!$EY$2:$FK$250,117,0)</f>
        <v>6150</v>
      </c>
      <c r="AO96" s="106">
        <f>+HLOOKUP($C96,BP!$EY$2:$FK$250,118,0)</f>
        <v>0</v>
      </c>
      <c r="AP96" s="106">
        <f>+HLOOKUP($C96,BP!$EY$2:$FK$250,119,0)</f>
        <v>16500</v>
      </c>
      <c r="AQ96" s="106">
        <f>+HLOOKUP($C96,BP!$EY$2:$FK$250,120,0)</f>
        <v>0</v>
      </c>
      <c r="AR96" s="106">
        <f>+HLOOKUP($C96,BP!$EY$2:$FK$250,121,0)</f>
        <v>0</v>
      </c>
      <c r="AS96" s="106">
        <f>+HLOOKUP($C96,BP!$EY$2:$FK$250,122,0)</f>
        <v>18600</v>
      </c>
      <c r="AT96" s="106">
        <f>+HLOOKUP($C96,BP!$EY$2:$FK$250,123,0)</f>
        <v>5646.875</v>
      </c>
      <c r="AU96" s="106">
        <f>+HLOOKUP($C96,BP!$EY$2:$FK$250,124,0)</f>
        <v>0</v>
      </c>
      <c r="AV96" s="106">
        <f>+HLOOKUP($C96,BP!$EY$2:$FK$250,125,0)</f>
        <v>0</v>
      </c>
      <c r="AW96" s="106">
        <f>+HLOOKUP($C96,BP!$EY$2:$FK$250,126,0)</f>
        <v>1983.1730769230771</v>
      </c>
      <c r="AX96" s="106">
        <f>+HLOOKUP($C96,BP!$EY$2:$FK$250,127,0)</f>
        <v>3250</v>
      </c>
      <c r="AY96" s="106">
        <f>+HLOOKUP($C96,BP!$EY$2:$FK$250,129,0)</f>
        <v>0</v>
      </c>
      <c r="AZ96" s="106">
        <f>+HLOOKUP($C96,BP!$EY$2:$FK$250,130,0)</f>
        <v>0</v>
      </c>
      <c r="BA96" s="106">
        <f>+HLOOKUP($C96,BP!$EY$2:$FK$250,131,0)</f>
        <v>7500</v>
      </c>
      <c r="BB96" s="106">
        <f>+HLOOKUP($C96,BP!$EY$2:$FK$250,133,0)</f>
        <v>0</v>
      </c>
      <c r="BC96" s="106">
        <f>+HLOOKUP($C96,BP!$EY$2:$FK$250,134,0)</f>
        <v>0</v>
      </c>
      <c r="BD96" s="106">
        <f>+HLOOKUP($C96,BP!$EY$2:$FK$250,135,0)</f>
        <v>0</v>
      </c>
      <c r="BE96" s="106">
        <f>+HLOOKUP($C96,BP!$EY$2:$FK$250,136,0)</f>
        <v>0</v>
      </c>
      <c r="BF96" s="106">
        <f>+HLOOKUP($C96,BP!$EY$2:$FK$250,138,0)</f>
        <v>1500</v>
      </c>
      <c r="BG96" s="106">
        <f>+HLOOKUP($C96,BP!$EY$2:$FK$250,139,0)</f>
        <v>6666.6666666666661</v>
      </c>
      <c r="BH96" s="106">
        <f>+HLOOKUP($C96,BP!$EY$2:$FK$250,140,0)</f>
        <v>13400</v>
      </c>
      <c r="BI96" s="106">
        <f>+HLOOKUP($C96,BP!$EY$2:$FK$250,141,0)</f>
        <v>0</v>
      </c>
      <c r="BJ96" s="106">
        <f>+HLOOKUP($C96,BP!$EY$2:$FK$250,142,0)</f>
        <v>0</v>
      </c>
      <c r="BK96" s="106">
        <f>+HLOOKUP($C96,BP!$EY$2:$FK$250,143,0)</f>
        <v>3000</v>
      </c>
      <c r="BL96" s="106">
        <f>+HLOOKUP($C96,BP!$EY$2:$FK$250,144,0)</f>
        <v>291.66666666666669</v>
      </c>
      <c r="BM96" s="106">
        <f>+HLOOKUP($C96,BP!$EY$2:$FK$250,146,0)</f>
        <v>0</v>
      </c>
      <c r="BN96" s="106">
        <f>+HLOOKUP($C96,BP!$EY$2:$FK$250,147,0)</f>
        <v>0</v>
      </c>
      <c r="BO96" s="106">
        <f>+HLOOKUP($C96,BP!$EY$2:$FK$250,148,0)</f>
        <v>0</v>
      </c>
      <c r="BP96" s="106">
        <f>+HLOOKUP($C96,BP!$EY$2:$FK$250,150,0)</f>
        <v>26000</v>
      </c>
      <c r="BQ96" s="106">
        <f>+HLOOKUP($C96,BP!$EY$2:$FK$250,151,0)</f>
        <v>1984.4</v>
      </c>
      <c r="BR96" s="106">
        <f>+HLOOKUP($C96,BP!$EY$2:$FK$250,152,0)</f>
        <v>12800</v>
      </c>
      <c r="BS96" s="106">
        <f>+HLOOKUP($C96,BP!$EY$2:$FK$250,153,0)</f>
        <v>3000</v>
      </c>
      <c r="BT96" s="106">
        <f>+HLOOKUP($C96,BP!$EY$2:$FK$250,157,0)</f>
        <v>0</v>
      </c>
      <c r="BU96" s="106">
        <f>+HLOOKUP($C96,BP!$EY$2:$FK$250,158,0)</f>
        <v>0</v>
      </c>
      <c r="BV96" s="106">
        <f>+HLOOKUP($C96,BP!$EY$2:$FK$250,159,0)</f>
        <v>0</v>
      </c>
      <c r="BW96" s="106">
        <f>+HLOOKUP($C96,BP!$EY$2:$FK$250,160,0)</f>
        <v>0</v>
      </c>
      <c r="BX96" s="106">
        <f>+HLOOKUP($C96,BP!$EY$2:$FK$250,161,0)</f>
        <v>0</v>
      </c>
      <c r="BY96" s="106">
        <f>+HLOOKUP($C96,BP!$EY$2:$FK$250,164,0)</f>
        <v>0</v>
      </c>
      <c r="BZ96" s="106">
        <f>+HLOOKUP($C96,BP!$EY$2:$FK$250,165,0)</f>
        <v>0</v>
      </c>
      <c r="CA96" s="106">
        <f>+HLOOKUP($C96,BP!$EY$2:$FK$250,166,0)</f>
        <v>0</v>
      </c>
      <c r="CB96" s="106">
        <f>+HLOOKUP($C96,BP!$EY$2:$FK$250,167,0)</f>
        <v>0</v>
      </c>
      <c r="CC96" s="106">
        <f>+HLOOKUP($C96,BP!$EY$2:$FK$250,168,0)</f>
        <v>0</v>
      </c>
      <c r="CD96" s="106">
        <f>+HLOOKUP($C96,BP!$EY$2:$FK$250,169,0)</f>
        <v>0</v>
      </c>
      <c r="CE96" s="106">
        <f>+HLOOKUP($C96,BP!$EY$2:$FK$250,170,0)</f>
        <v>0</v>
      </c>
      <c r="CF96" s="106">
        <f>+HLOOKUP($C96,BP!$EY$2:$FK$250,172,0)</f>
        <v>0</v>
      </c>
      <c r="CG96" s="106">
        <f>+HLOOKUP($C96,BP!$EY$2:$FK$250,173,0)</f>
        <v>4800</v>
      </c>
      <c r="CH96" s="106">
        <f>+HLOOKUP($C96,BP!$EY$2:$FK$250,174,0)</f>
        <v>0</v>
      </c>
      <c r="CI96" s="106">
        <f>+HLOOKUP($C96,BP!$EY$2:$FK$250,175,0)</f>
        <v>0</v>
      </c>
      <c r="CJ96" s="106">
        <f>+HLOOKUP($C96,BP!$EY$2:$FK$250,176,0)</f>
        <v>0</v>
      </c>
      <c r="CK96" s="106">
        <f>+HLOOKUP($C96,BP!$EY$2:$FK$250,178,0)</f>
        <v>18600</v>
      </c>
      <c r="CL96" s="106">
        <f>+HLOOKUP($C96,BP!$EY$2:$FK$250,179,0)</f>
        <v>120000.00000000006</v>
      </c>
      <c r="CM96" s="106">
        <f>+HLOOKUP($C96,BP!$EY$2:$FK$250,180,0)</f>
        <v>1920</v>
      </c>
      <c r="CN96" s="106">
        <f>+HLOOKUP($C96,BP!$EY$2:$FK$250,182,0)</f>
        <v>2800</v>
      </c>
      <c r="CO96" s="106">
        <f>+HLOOKUP($C96,BP!$EY$2:$FK$250,183,0)</f>
        <v>800</v>
      </c>
      <c r="CP96" s="106">
        <f>+HLOOKUP($C96,BP!$EY$2:$FK$250,184,0)</f>
        <v>648</v>
      </c>
      <c r="CQ96" s="106">
        <f>+HLOOKUP($C96,BP!$EY$2:$FK$250,185,0)</f>
        <v>0</v>
      </c>
      <c r="CR96" s="106">
        <f>+HLOOKUP($C96,BP!$EY$2:$FK$250,187,0)</f>
        <v>1250</v>
      </c>
      <c r="CS96" s="106">
        <f>+HLOOKUP($C96,BP!$EY$2:$FK$250,188,0)</f>
        <v>0</v>
      </c>
      <c r="CT96" s="106">
        <f>+HLOOKUP($C96,BP!$EY$2:$FK$250,189,0)</f>
        <v>0</v>
      </c>
      <c r="CU96" s="106">
        <f>+HLOOKUP($C96,BP!$EY$2:$FK$250,190,0)</f>
        <v>0</v>
      </c>
      <c r="CV96" s="106">
        <f>+HLOOKUP($C96,BP!$EY$2:$FK$250,191,0)</f>
        <v>0</v>
      </c>
      <c r="CW96" s="106">
        <f>+HLOOKUP($C96,BP!$EY$2:$FK$250,193,0)</f>
        <v>0</v>
      </c>
      <c r="CX96" s="106">
        <f>+HLOOKUP($C96,BP!$EY$2:$FK$250,194,0)</f>
        <v>0</v>
      </c>
      <c r="CY96" s="106">
        <f>+HLOOKUP($C96,BP!$EY$2:$FK$250,195,0)</f>
        <v>10000</v>
      </c>
      <c r="CZ96" s="106">
        <f>+HLOOKUP($C96,BP!$EY$2:$FK$250,196,0)</f>
        <v>0</v>
      </c>
      <c r="DA96" s="106">
        <f>+HLOOKUP($C96,BP!$EY$2:$FK$250,197,0)</f>
        <v>6666.6666666666661</v>
      </c>
      <c r="DB96" s="106">
        <f>+HLOOKUP($C96,BP!$EY$2:$FK$250,198,0)</f>
        <v>4000</v>
      </c>
      <c r="DC96" s="106">
        <f>+HLOOKUP($C96,BP!$EY$2:$FK$250,199,0)</f>
        <v>1333.3333333333333</v>
      </c>
      <c r="DD96" s="106">
        <f>+HLOOKUP($C96,BP!$EY$2:$FK$250,200,0)</f>
        <v>666.66666666666663</v>
      </c>
      <c r="DE96" s="106">
        <f>+HLOOKUP($C96,BP!$EY$2:$FK$250,201,0)</f>
        <v>166.66666666666666</v>
      </c>
      <c r="DF96" s="106">
        <f>+HLOOKUP($C96,BP!$EY$2:$FK$250,202,0)</f>
        <v>0</v>
      </c>
      <c r="DG96" s="106">
        <f>+HLOOKUP($C96,BP!$EY$2:$FK$250,203,0)</f>
        <v>0</v>
      </c>
      <c r="DH96" s="106">
        <f>+HLOOKUP($C96,BP!$EY$2:$FK$250,205,0)</f>
        <v>0</v>
      </c>
      <c r="DI96" s="106">
        <f>+HLOOKUP($C96,BP!$EY$2:$FK$250,206,0)</f>
        <v>10000</v>
      </c>
      <c r="DJ96" s="106">
        <f>+HLOOKUP($C96,BP!$EY$2:$FK$250,207,0)</f>
        <v>0</v>
      </c>
      <c r="DK96" s="106">
        <f>+HLOOKUP($C96,BP!$EY$2:$FK$250,209,0)</f>
        <v>0</v>
      </c>
      <c r="DL96" s="106">
        <f>+HLOOKUP($C96,BP!$EY$2:$FK$250,210,0)</f>
        <v>180000</v>
      </c>
      <c r="DM96" s="106">
        <f>+HLOOKUP($C96,BP!$EY$2:$FK$250,211,0)</f>
        <v>0</v>
      </c>
      <c r="DN96" s="106">
        <f>+HLOOKUP($C96,BP!$EY$2:$FK$250,212,0)</f>
        <v>0</v>
      </c>
      <c r="DO96" s="106">
        <f>+HLOOKUP($C96,BP!$EY$2:$FK$250,214,0)</f>
        <v>0</v>
      </c>
      <c r="DP96" s="106">
        <f>+HLOOKUP($C96,BP!$EY$2:$FK$250,215,0)</f>
        <v>0</v>
      </c>
      <c r="DQ96" s="106">
        <f>+HLOOKUP($C96,BP!$EY$2:$FK$250,219,0)</f>
        <v>0</v>
      </c>
      <c r="DR96" s="106">
        <f>+HLOOKUP($C96,BP!$EY$2:$FK$250,220,0)</f>
        <v>0</v>
      </c>
      <c r="DS96" s="106">
        <f>+HLOOKUP($C96,BP!$EY$2:$FK$250,221,0)</f>
        <v>0</v>
      </c>
      <c r="DT96" s="106">
        <f>+HLOOKUP($C96,BP!$EY$2:$FK$250,223,0)</f>
        <v>3333.333333333333</v>
      </c>
      <c r="DU96" s="106">
        <f>+HLOOKUP($C96,BP!$EY$2:$FK$250,224,0)</f>
        <v>2000</v>
      </c>
      <c r="DV96" s="106">
        <f>+HLOOKUP($C96,BP!$EY$2:$FK$250,225,0)</f>
        <v>3333.333333333333</v>
      </c>
      <c r="DW96" s="106">
        <f>+HLOOKUP($C96,BP!$EY$2:$FK$250,227,0)</f>
        <v>0</v>
      </c>
      <c r="DX96" s="106">
        <f>+HLOOKUP($C96,BP!$EY$2:$FK$250,228,0)</f>
        <v>0</v>
      </c>
      <c r="DY96" s="106">
        <f>+HLOOKUP($C96,BP!$EY$2:$FK$250,236,0)</f>
        <v>0</v>
      </c>
      <c r="DZ96" s="106">
        <f>+HLOOKUP($C96,BP!$EY$2:$FK$250,237,0)</f>
        <v>0</v>
      </c>
      <c r="EA96" s="106">
        <f>+HLOOKUP($C96,BP!$EY$2:$FK$250,238,0)</f>
        <v>0</v>
      </c>
      <c r="EB96" s="106">
        <f>+HLOOKUP($C96,BP!$EY$2:$FK$250,240,0)</f>
        <v>468618.16800000001</v>
      </c>
    </row>
    <row r="97" spans="1:132">
      <c r="A97" t="s">
        <v>272</v>
      </c>
      <c r="B97" t="s">
        <v>218</v>
      </c>
      <c r="C97" s="117">
        <v>45658</v>
      </c>
      <c r="D97" s="106">
        <f t="shared" si="1"/>
        <v>1452600</v>
      </c>
      <c r="E97" s="106">
        <f>+HLOOKUP(C97,BP!$EY$2:$FK$250,28,0)+HLOOKUP(C97,BP!$EY$2:$FK$250,43,0)+HLOOKUP(C97,BP!$EY$2:$FK$250,44,0)+HLOOKUP(C97,BP!$EY$2:$FK$250,45,0)+HLOOKUP(C97,BP!$EY$2:$FK$250,54,0)+HLOOKUP(C97,BP!$EY$2:$FK$250,59,0)</f>
        <v>1452600</v>
      </c>
      <c r="F97" s="106">
        <f>+HLOOKUP(C97,BP!$EY$2:$FK$250,37,0)+HLOOKUP(C97,BP!$EY$2:$FK$250,55,0)</f>
        <v>964134.48717948713</v>
      </c>
      <c r="G97" s="106">
        <f>+HLOOKUP($C97,BP!$EY$2:$FK$250,76,0)</f>
        <v>0</v>
      </c>
      <c r="H97" s="106">
        <f>+HLOOKUP($C97,BP!$EY$2:$FK$250,77,0)</f>
        <v>0</v>
      </c>
      <c r="I97" s="106">
        <f>+HLOOKUP($C97,BP!$EY$2:$FK$250,78,0)</f>
        <v>0</v>
      </c>
      <c r="J97" s="106">
        <f>+HLOOKUP($C97,BP!$EY$2:$FK$250,79,0)</f>
        <v>0</v>
      </c>
      <c r="K97" s="106">
        <f>+HLOOKUP($C97,BP!$EY$2:$FK$250,80,0)</f>
        <v>0</v>
      </c>
      <c r="L97" s="106">
        <f>+HLOOKUP($C97,BP!$EY$2:$FK$250,81,0)</f>
        <v>0</v>
      </c>
      <c r="M97" s="106">
        <f>+HLOOKUP($C97,BP!$EY$2:$FK$250,82,0)</f>
        <v>0</v>
      </c>
      <c r="N97" s="106">
        <f>+HLOOKUP($C97,BP!$EY$2:$FK$250,83,0)</f>
        <v>0</v>
      </c>
      <c r="O97" s="106">
        <f>+HLOOKUP($C97,BP!$EY$2:$FK$250,84,0)</f>
        <v>0</v>
      </c>
      <c r="P97" s="106">
        <f>+HLOOKUP($C97,BP!$EY$2:$FK$250,85,0)</f>
        <v>0</v>
      </c>
      <c r="Q97" s="106">
        <f>+HLOOKUP($C97,BP!$EY$2:$FK$250,87,0)</f>
        <v>45360</v>
      </c>
      <c r="R97" s="106">
        <f>+HLOOKUP($C97,BP!$EY$2:$FK$250,90,0)</f>
        <v>0</v>
      </c>
      <c r="S97" s="106">
        <f>+HLOOKUP($C97,BP!$EY$2:$FK$250,91,0)</f>
        <v>0</v>
      </c>
      <c r="T97" s="106">
        <f>+HLOOKUP($C97,BP!$EY$2:$FK$250,92,0)</f>
        <v>0</v>
      </c>
      <c r="U97" s="106">
        <f>+HLOOKUP($C97,BP!$EY$2:$FK$250,93,0)</f>
        <v>0</v>
      </c>
      <c r="V97" s="106">
        <f>+HLOOKUP($C97,BP!$EY$2:$FK$250,94,0)</f>
        <v>0</v>
      </c>
      <c r="W97" s="106">
        <f>+HLOOKUP($C97,BP!$EY$2:$FK$250,95,0)</f>
        <v>0</v>
      </c>
      <c r="X97" s="106">
        <f>+HLOOKUP($C97,BP!$EY$2:$FK$250,96,0)</f>
        <v>0</v>
      </c>
      <c r="Y97" s="106">
        <f>+HLOOKUP($C97,BP!$EY$2:$FK$250,97,0)</f>
        <v>0</v>
      </c>
      <c r="Z97" s="106">
        <f>+HLOOKUP($C97,BP!$EY$2:$FK$250,98,0)</f>
        <v>0</v>
      </c>
      <c r="AA97" s="106">
        <f>+HLOOKUP($C97,BP!$EY$2:$FK$250,99,0)</f>
        <v>0</v>
      </c>
      <c r="AB97" s="106">
        <f>+HLOOKUP($C97,BP!$EY$2:$FK$250,100,0)</f>
        <v>0</v>
      </c>
      <c r="AC97" s="106">
        <f>+HLOOKUP($C97,BP!$EY$2:$FK$250,101,0)</f>
        <v>0</v>
      </c>
      <c r="AD97" s="106">
        <f>+HLOOKUP($C97,BP!$EY$2:$FK$250,104,0)</f>
        <v>1746.3600000000001</v>
      </c>
      <c r="AE97" s="106">
        <f>+HLOOKUP($C97,BP!$EY$2:$FK$250,105,0)</f>
        <v>5670</v>
      </c>
      <c r="AF97" s="106">
        <f>+HLOOKUP($C97,BP!$EY$2:$FK$250,106,0)</f>
        <v>0</v>
      </c>
      <c r="AG97" s="106">
        <f>+HLOOKUP($C97,BP!$EY$2:$FK$250,107,0)</f>
        <v>0</v>
      </c>
      <c r="AH97" s="106">
        <f>+HLOOKUP($C97,BP!$EY$2:$FK$250,108,0)</f>
        <v>0</v>
      </c>
      <c r="AI97" s="106">
        <f>+HLOOKUP($C97,BP!$EY$2:$FK$250,109,0)</f>
        <v>0</v>
      </c>
      <c r="AJ97" s="106">
        <f>+HLOOKUP($C97,BP!$EY$2:$FK$250,110,0)</f>
        <v>0</v>
      </c>
      <c r="AK97" s="106">
        <f>+HLOOKUP($C97,BP!$EY$2:$FK$250,111,0)</f>
        <v>349.27200000000005</v>
      </c>
      <c r="AL97" s="106">
        <f>+HLOOKUP($C97,BP!$EY$2:$FK$250,112,0)</f>
        <v>0</v>
      </c>
      <c r="AM97" s="106">
        <f>+HLOOKUP($C97,BP!$EY$2:$FK$250,116,0)</f>
        <v>41250</v>
      </c>
      <c r="AN97" s="106">
        <f>+HLOOKUP($C97,BP!$EY$2:$FK$250,117,0)</f>
        <v>6150</v>
      </c>
      <c r="AO97" s="106">
        <f>+HLOOKUP($C97,BP!$EY$2:$FK$250,118,0)</f>
        <v>0</v>
      </c>
      <c r="AP97" s="106">
        <f>+HLOOKUP($C97,BP!$EY$2:$FK$250,119,0)</f>
        <v>16500</v>
      </c>
      <c r="AQ97" s="106">
        <f>+HLOOKUP($C97,BP!$EY$2:$FK$250,120,0)</f>
        <v>0</v>
      </c>
      <c r="AR97" s="106">
        <f>+HLOOKUP($C97,BP!$EY$2:$FK$250,121,0)</f>
        <v>0</v>
      </c>
      <c r="AS97" s="106">
        <f>+HLOOKUP($C97,BP!$EY$2:$FK$250,122,0)</f>
        <v>18600</v>
      </c>
      <c r="AT97" s="106">
        <f>+HLOOKUP($C97,BP!$EY$2:$FK$250,123,0)</f>
        <v>5646.875</v>
      </c>
      <c r="AU97" s="106">
        <f>+HLOOKUP($C97,BP!$EY$2:$FK$250,124,0)</f>
        <v>0</v>
      </c>
      <c r="AV97" s="106">
        <f>+HLOOKUP($C97,BP!$EY$2:$FK$250,125,0)</f>
        <v>0</v>
      </c>
      <c r="AW97" s="106">
        <f>+HLOOKUP($C97,BP!$EY$2:$FK$250,126,0)</f>
        <v>1983.1730769230771</v>
      </c>
      <c r="AX97" s="106">
        <f>+HLOOKUP($C97,BP!$EY$2:$FK$250,127,0)</f>
        <v>3250</v>
      </c>
      <c r="AY97" s="106">
        <f>+HLOOKUP($C97,BP!$EY$2:$FK$250,129,0)</f>
        <v>0</v>
      </c>
      <c r="AZ97" s="106">
        <f>+HLOOKUP($C97,BP!$EY$2:$FK$250,130,0)</f>
        <v>0</v>
      </c>
      <c r="BA97" s="106">
        <f>+HLOOKUP($C97,BP!$EY$2:$FK$250,131,0)</f>
        <v>7500</v>
      </c>
      <c r="BB97" s="106">
        <f>+HLOOKUP($C97,BP!$EY$2:$FK$250,133,0)</f>
        <v>0</v>
      </c>
      <c r="BC97" s="106">
        <f>+HLOOKUP($C97,BP!$EY$2:$FK$250,134,0)</f>
        <v>0</v>
      </c>
      <c r="BD97" s="106">
        <f>+HLOOKUP($C97,BP!$EY$2:$FK$250,135,0)</f>
        <v>0</v>
      </c>
      <c r="BE97" s="106">
        <f>+HLOOKUP($C97,BP!$EY$2:$FK$250,136,0)</f>
        <v>0</v>
      </c>
      <c r="BF97" s="106">
        <f>+HLOOKUP($C97,BP!$EY$2:$FK$250,138,0)</f>
        <v>1500</v>
      </c>
      <c r="BG97" s="106">
        <f>+HLOOKUP($C97,BP!$EY$2:$FK$250,139,0)</f>
        <v>6666.6666666666661</v>
      </c>
      <c r="BH97" s="106">
        <f>+HLOOKUP($C97,BP!$EY$2:$FK$250,140,0)</f>
        <v>13400</v>
      </c>
      <c r="BI97" s="106">
        <f>+HLOOKUP($C97,BP!$EY$2:$FK$250,141,0)</f>
        <v>0</v>
      </c>
      <c r="BJ97" s="106">
        <f>+HLOOKUP($C97,BP!$EY$2:$FK$250,142,0)</f>
        <v>0</v>
      </c>
      <c r="BK97" s="106">
        <f>+HLOOKUP($C97,BP!$EY$2:$FK$250,143,0)</f>
        <v>3000</v>
      </c>
      <c r="BL97" s="106">
        <f>+HLOOKUP($C97,BP!$EY$2:$FK$250,144,0)</f>
        <v>291.66666666666669</v>
      </c>
      <c r="BM97" s="106">
        <f>+HLOOKUP($C97,BP!$EY$2:$FK$250,146,0)</f>
        <v>0</v>
      </c>
      <c r="BN97" s="106">
        <f>+HLOOKUP($C97,BP!$EY$2:$FK$250,147,0)</f>
        <v>0</v>
      </c>
      <c r="BO97" s="106">
        <f>+HLOOKUP($C97,BP!$EY$2:$FK$250,148,0)</f>
        <v>0</v>
      </c>
      <c r="BP97" s="106">
        <f>+HLOOKUP($C97,BP!$EY$2:$FK$250,150,0)</f>
        <v>26000</v>
      </c>
      <c r="BQ97" s="106">
        <f>+HLOOKUP($C97,BP!$EY$2:$FK$250,151,0)</f>
        <v>1984.4</v>
      </c>
      <c r="BR97" s="106">
        <f>+HLOOKUP($C97,BP!$EY$2:$FK$250,152,0)</f>
        <v>12800</v>
      </c>
      <c r="BS97" s="106">
        <f>+HLOOKUP($C97,BP!$EY$2:$FK$250,153,0)</f>
        <v>3000</v>
      </c>
      <c r="BT97" s="106">
        <f>+HLOOKUP($C97,BP!$EY$2:$FK$250,157,0)</f>
        <v>0</v>
      </c>
      <c r="BU97" s="106">
        <f>+HLOOKUP($C97,BP!$EY$2:$FK$250,158,0)</f>
        <v>0</v>
      </c>
      <c r="BV97" s="106">
        <f>+HLOOKUP($C97,BP!$EY$2:$FK$250,159,0)</f>
        <v>0</v>
      </c>
      <c r="BW97" s="106">
        <f>+HLOOKUP($C97,BP!$EY$2:$FK$250,160,0)</f>
        <v>0</v>
      </c>
      <c r="BX97" s="106">
        <f>+HLOOKUP($C97,BP!$EY$2:$FK$250,161,0)</f>
        <v>0</v>
      </c>
      <c r="BY97" s="106">
        <f>+HLOOKUP($C97,BP!$EY$2:$FK$250,164,0)</f>
        <v>0</v>
      </c>
      <c r="BZ97" s="106">
        <f>+HLOOKUP($C97,BP!$EY$2:$FK$250,165,0)</f>
        <v>0</v>
      </c>
      <c r="CA97" s="106">
        <f>+HLOOKUP($C97,BP!$EY$2:$FK$250,166,0)</f>
        <v>0</v>
      </c>
      <c r="CB97" s="106">
        <f>+HLOOKUP($C97,BP!$EY$2:$FK$250,167,0)</f>
        <v>0</v>
      </c>
      <c r="CC97" s="106">
        <f>+HLOOKUP($C97,BP!$EY$2:$FK$250,168,0)</f>
        <v>0</v>
      </c>
      <c r="CD97" s="106">
        <f>+HLOOKUP($C97,BP!$EY$2:$FK$250,169,0)</f>
        <v>0</v>
      </c>
      <c r="CE97" s="106">
        <f>+HLOOKUP($C97,BP!$EY$2:$FK$250,170,0)</f>
        <v>0</v>
      </c>
      <c r="CF97" s="106">
        <f>+HLOOKUP($C97,BP!$EY$2:$FK$250,172,0)</f>
        <v>0</v>
      </c>
      <c r="CG97" s="106">
        <f>+HLOOKUP($C97,BP!$EY$2:$FK$250,173,0)</f>
        <v>4800</v>
      </c>
      <c r="CH97" s="106">
        <f>+HLOOKUP($C97,BP!$EY$2:$FK$250,174,0)</f>
        <v>0</v>
      </c>
      <c r="CI97" s="106">
        <f>+HLOOKUP($C97,BP!$EY$2:$FK$250,175,0)</f>
        <v>0</v>
      </c>
      <c r="CJ97" s="106">
        <f>+HLOOKUP($C97,BP!$EY$2:$FK$250,176,0)</f>
        <v>0</v>
      </c>
      <c r="CK97" s="106">
        <f>+HLOOKUP($C97,BP!$EY$2:$FK$250,178,0)</f>
        <v>18600</v>
      </c>
      <c r="CL97" s="106">
        <f>+HLOOKUP($C97,BP!$EY$2:$FK$250,179,0)</f>
        <v>120000.00000000006</v>
      </c>
      <c r="CM97" s="106">
        <f>+HLOOKUP($C97,BP!$EY$2:$FK$250,180,0)</f>
        <v>1920</v>
      </c>
      <c r="CN97" s="106">
        <f>+HLOOKUP($C97,BP!$EY$2:$FK$250,182,0)</f>
        <v>2800</v>
      </c>
      <c r="CO97" s="106">
        <f>+HLOOKUP($C97,BP!$EY$2:$FK$250,183,0)</f>
        <v>800</v>
      </c>
      <c r="CP97" s="106">
        <f>+HLOOKUP($C97,BP!$EY$2:$FK$250,184,0)</f>
        <v>648</v>
      </c>
      <c r="CQ97" s="106">
        <f>+HLOOKUP($C97,BP!$EY$2:$FK$250,185,0)</f>
        <v>0</v>
      </c>
      <c r="CR97" s="106">
        <f>+HLOOKUP($C97,BP!$EY$2:$FK$250,187,0)</f>
        <v>1250</v>
      </c>
      <c r="CS97" s="106">
        <f>+HLOOKUP($C97,BP!$EY$2:$FK$250,188,0)</f>
        <v>0</v>
      </c>
      <c r="CT97" s="106">
        <f>+HLOOKUP($C97,BP!$EY$2:$FK$250,189,0)</f>
        <v>0</v>
      </c>
      <c r="CU97" s="106">
        <f>+HLOOKUP($C97,BP!$EY$2:$FK$250,190,0)</f>
        <v>0</v>
      </c>
      <c r="CV97" s="106">
        <f>+HLOOKUP($C97,BP!$EY$2:$FK$250,191,0)</f>
        <v>0</v>
      </c>
      <c r="CW97" s="106">
        <f>+HLOOKUP($C97,BP!$EY$2:$FK$250,193,0)</f>
        <v>0</v>
      </c>
      <c r="CX97" s="106">
        <f>+HLOOKUP($C97,BP!$EY$2:$FK$250,194,0)</f>
        <v>0</v>
      </c>
      <c r="CY97" s="106">
        <f>+HLOOKUP($C97,BP!$EY$2:$FK$250,195,0)</f>
        <v>10000.000000000004</v>
      </c>
      <c r="CZ97" s="106">
        <f>+HLOOKUP($C97,BP!$EY$2:$FK$250,196,0)</f>
        <v>0</v>
      </c>
      <c r="DA97" s="106">
        <f>+HLOOKUP($C97,BP!$EY$2:$FK$250,197,0)</f>
        <v>6666.6666666666661</v>
      </c>
      <c r="DB97" s="106">
        <f>+HLOOKUP($C97,BP!$EY$2:$FK$250,198,0)</f>
        <v>4000</v>
      </c>
      <c r="DC97" s="106">
        <f>+HLOOKUP($C97,BP!$EY$2:$FK$250,199,0)</f>
        <v>1333.3333333333333</v>
      </c>
      <c r="DD97" s="106">
        <f>+HLOOKUP($C97,BP!$EY$2:$FK$250,200,0)</f>
        <v>666.66666666666663</v>
      </c>
      <c r="DE97" s="106">
        <f>+HLOOKUP($C97,BP!$EY$2:$FK$250,201,0)</f>
        <v>166.66666666666666</v>
      </c>
      <c r="DF97" s="106">
        <f>+HLOOKUP($C97,BP!$EY$2:$FK$250,202,0)</f>
        <v>0</v>
      </c>
      <c r="DG97" s="106">
        <f>+HLOOKUP($C97,BP!$EY$2:$FK$250,203,0)</f>
        <v>0</v>
      </c>
      <c r="DH97" s="106">
        <f>+HLOOKUP($C97,BP!$EY$2:$FK$250,205,0)</f>
        <v>0</v>
      </c>
      <c r="DI97" s="106">
        <f>+HLOOKUP($C97,BP!$EY$2:$FK$250,206,0)</f>
        <v>10000.000000000004</v>
      </c>
      <c r="DJ97" s="106">
        <f>+HLOOKUP($C97,BP!$EY$2:$FK$250,207,0)</f>
        <v>0</v>
      </c>
      <c r="DK97" s="106">
        <f>+HLOOKUP($C97,BP!$EY$2:$FK$250,209,0)</f>
        <v>0</v>
      </c>
      <c r="DL97" s="106">
        <f>+HLOOKUP($C97,BP!$EY$2:$FK$250,210,0)</f>
        <v>180000.00000000009</v>
      </c>
      <c r="DM97" s="106">
        <f>+HLOOKUP($C97,BP!$EY$2:$FK$250,211,0)</f>
        <v>0</v>
      </c>
      <c r="DN97" s="106">
        <f>+HLOOKUP($C97,BP!$EY$2:$FK$250,212,0)</f>
        <v>0</v>
      </c>
      <c r="DO97" s="106">
        <f>+HLOOKUP($C97,BP!$EY$2:$FK$250,214,0)</f>
        <v>0</v>
      </c>
      <c r="DP97" s="106">
        <f>+HLOOKUP($C97,BP!$EY$2:$FK$250,215,0)</f>
        <v>0</v>
      </c>
      <c r="DQ97" s="106">
        <f>+HLOOKUP($C97,BP!$EY$2:$FK$250,219,0)</f>
        <v>0</v>
      </c>
      <c r="DR97" s="106">
        <f>+HLOOKUP($C97,BP!$EY$2:$FK$250,220,0)</f>
        <v>0</v>
      </c>
      <c r="DS97" s="106">
        <f>+HLOOKUP($C97,BP!$EY$2:$FK$250,221,0)</f>
        <v>0</v>
      </c>
      <c r="DT97" s="106">
        <f>+HLOOKUP($C97,BP!$EY$2:$FK$250,223,0)</f>
        <v>3333.333333333333</v>
      </c>
      <c r="DU97" s="106">
        <f>+HLOOKUP($C97,BP!$EY$2:$FK$250,224,0)</f>
        <v>2000</v>
      </c>
      <c r="DV97" s="106">
        <f>+HLOOKUP($C97,BP!$EY$2:$FK$250,225,0)</f>
        <v>3333.333333333333</v>
      </c>
      <c r="DW97" s="106">
        <f>+HLOOKUP($C97,BP!$EY$2:$FK$250,227,0)</f>
        <v>0</v>
      </c>
      <c r="DX97" s="106">
        <f>+HLOOKUP($C97,BP!$EY$2:$FK$250,228,0)</f>
        <v>0</v>
      </c>
      <c r="DY97" s="106">
        <f>+HLOOKUP($C97,BP!$EY$2:$FK$250,236,0)</f>
        <v>0</v>
      </c>
      <c r="DZ97" s="106">
        <f>+HLOOKUP($C97,BP!$EY$2:$FK$250,237,0)</f>
        <v>0</v>
      </c>
      <c r="EA97" s="106">
        <f>+HLOOKUP($C97,BP!$EY$2:$FK$250,238,0)</f>
        <v>0</v>
      </c>
      <c r="EB97" s="106">
        <f>+HLOOKUP($C97,BP!$EY$2:$FK$250,240,0)</f>
        <v>468618.16800000001</v>
      </c>
    </row>
    <row r="98" spans="1:132">
      <c r="A98" t="s">
        <v>269</v>
      </c>
      <c r="B98" t="s">
        <v>273</v>
      </c>
      <c r="C98" s="117">
        <v>45992</v>
      </c>
      <c r="D98" s="106">
        <f t="shared" si="1"/>
        <v>1141555.0505050505</v>
      </c>
      <c r="E98" s="106">
        <f>+HLOOKUP(C98,BP!$EY$2:$FK$250,28,0)+HLOOKUP(C98,BP!$EY$2:$FK$250,43,0)+HLOOKUP(C98,BP!$EY$2:$FK$250,44,0)+HLOOKUP(C98,BP!$EY$2:$FK$250,45,0)+HLOOKUP(C98,BP!$EY$2:$FK$250,54,0)+HLOOKUP(C98,BP!$EY$2:$FK$250,59,0)</f>
        <v>1141555.0505050505</v>
      </c>
      <c r="F98" s="106">
        <f>+HLOOKUP(C98,BP!$EY$2:$FK$250,37,0)+HLOOKUP(C98,BP!$EY$2:$FK$250,55,0)</f>
        <v>764849.71950271947</v>
      </c>
      <c r="G98" s="106">
        <f>+HLOOKUP($C98,BP!$EY$2:$FK$250,76,0)</f>
        <v>0</v>
      </c>
      <c r="H98" s="106">
        <f>+HLOOKUP($C98,BP!$EY$2:$FK$250,77,0)</f>
        <v>0</v>
      </c>
      <c r="I98" s="106">
        <f>+HLOOKUP($C98,BP!$EY$2:$FK$250,78,0)</f>
        <v>0</v>
      </c>
      <c r="J98" s="106">
        <f>+HLOOKUP($C98,BP!$EY$2:$FK$250,79,0)</f>
        <v>0</v>
      </c>
      <c r="K98" s="106">
        <f>+HLOOKUP($C98,BP!$EY$2:$FK$250,80,0)</f>
        <v>0</v>
      </c>
      <c r="L98" s="106">
        <f>+HLOOKUP($C98,BP!$EY$2:$FK$250,81,0)</f>
        <v>0</v>
      </c>
      <c r="M98" s="106">
        <f>+HLOOKUP($C98,BP!$EY$2:$FK$250,82,0)</f>
        <v>0</v>
      </c>
      <c r="N98" s="106">
        <f>+HLOOKUP($C98,BP!$EY$2:$FK$250,83,0)</f>
        <v>0</v>
      </c>
      <c r="O98" s="106">
        <f>+HLOOKUP($C98,BP!$EY$2:$FK$250,84,0)</f>
        <v>0</v>
      </c>
      <c r="P98" s="106">
        <f>+HLOOKUP($C98,BP!$EY$2:$FK$250,85,0)</f>
        <v>0</v>
      </c>
      <c r="Q98" s="106">
        <f>+HLOOKUP($C98,BP!$EY$2:$FK$250,87,0)</f>
        <v>65520.000000000007</v>
      </c>
      <c r="R98" s="106">
        <f>+HLOOKUP($C98,BP!$EY$2:$FK$250,90,0)</f>
        <v>0</v>
      </c>
      <c r="S98" s="106">
        <f>+HLOOKUP($C98,BP!$EY$2:$FK$250,91,0)</f>
        <v>0</v>
      </c>
      <c r="T98" s="106">
        <f>+HLOOKUP($C98,BP!$EY$2:$FK$250,92,0)</f>
        <v>0</v>
      </c>
      <c r="U98" s="106">
        <f>+HLOOKUP($C98,BP!$EY$2:$FK$250,93,0)</f>
        <v>0</v>
      </c>
      <c r="V98" s="106">
        <f>+HLOOKUP($C98,BP!$EY$2:$FK$250,94,0)</f>
        <v>0</v>
      </c>
      <c r="W98" s="106">
        <f>+HLOOKUP($C98,BP!$EY$2:$FK$250,95,0)</f>
        <v>0</v>
      </c>
      <c r="X98" s="106">
        <f>+HLOOKUP($C98,BP!$EY$2:$FK$250,96,0)</f>
        <v>0</v>
      </c>
      <c r="Y98" s="106">
        <f>+HLOOKUP($C98,BP!$EY$2:$FK$250,97,0)</f>
        <v>0</v>
      </c>
      <c r="Z98" s="106">
        <f>+HLOOKUP($C98,BP!$EY$2:$FK$250,98,0)</f>
        <v>0</v>
      </c>
      <c r="AA98" s="106">
        <f>+HLOOKUP($C98,BP!$EY$2:$FK$250,99,0)</f>
        <v>0</v>
      </c>
      <c r="AB98" s="106">
        <f>+HLOOKUP($C98,BP!$EY$2:$FK$250,100,0)</f>
        <v>0</v>
      </c>
      <c r="AC98" s="106">
        <f>+HLOOKUP($C98,BP!$EY$2:$FK$250,101,0)</f>
        <v>0</v>
      </c>
      <c r="AD98" s="106">
        <f>+HLOOKUP($C98,BP!$EY$2:$FK$250,104,0)</f>
        <v>2522.5200000000004</v>
      </c>
      <c r="AE98" s="106">
        <f>+HLOOKUP($C98,BP!$EY$2:$FK$250,105,0)</f>
        <v>8190.0000000000009</v>
      </c>
      <c r="AF98" s="106">
        <f>+HLOOKUP($C98,BP!$EY$2:$FK$250,106,0)</f>
        <v>0</v>
      </c>
      <c r="AG98" s="106">
        <f>+HLOOKUP($C98,BP!$EY$2:$FK$250,107,0)</f>
        <v>0</v>
      </c>
      <c r="AH98" s="106">
        <f>+HLOOKUP($C98,BP!$EY$2:$FK$250,108,0)</f>
        <v>0</v>
      </c>
      <c r="AI98" s="106">
        <f>+HLOOKUP($C98,BP!$EY$2:$FK$250,109,0)</f>
        <v>0</v>
      </c>
      <c r="AJ98" s="106">
        <f>+HLOOKUP($C98,BP!$EY$2:$FK$250,110,0)</f>
        <v>0</v>
      </c>
      <c r="AK98" s="106">
        <f>+HLOOKUP($C98,BP!$EY$2:$FK$250,111,0)</f>
        <v>504.50400000000013</v>
      </c>
      <c r="AL98" s="106">
        <f>+HLOOKUP($C98,BP!$EY$2:$FK$250,112,0)</f>
        <v>0</v>
      </c>
      <c r="AM98" s="106">
        <f>+HLOOKUP($C98,BP!$EY$2:$FK$250,116,0)</f>
        <v>41250</v>
      </c>
      <c r="AN98" s="106">
        <f>+HLOOKUP($C98,BP!$EY$2:$FK$250,117,0)</f>
        <v>6150</v>
      </c>
      <c r="AO98" s="106">
        <f>+HLOOKUP($C98,BP!$EY$2:$FK$250,118,0)</f>
        <v>0</v>
      </c>
      <c r="AP98" s="106">
        <f>+HLOOKUP($C98,BP!$EY$2:$FK$250,119,0)</f>
        <v>16500</v>
      </c>
      <c r="AQ98" s="106">
        <f>+HLOOKUP($C98,BP!$EY$2:$FK$250,120,0)</f>
        <v>0</v>
      </c>
      <c r="AR98" s="106">
        <f>+HLOOKUP($C98,BP!$EY$2:$FK$250,121,0)</f>
        <v>0</v>
      </c>
      <c r="AS98" s="106">
        <f>+HLOOKUP($C98,BP!$EY$2:$FK$250,122,0)</f>
        <v>18600</v>
      </c>
      <c r="AT98" s="106">
        <f>+HLOOKUP($C98,BP!$EY$2:$FK$250,123,0)</f>
        <v>5646.875</v>
      </c>
      <c r="AU98" s="106">
        <f>+HLOOKUP($C98,BP!$EY$2:$FK$250,124,0)</f>
        <v>0</v>
      </c>
      <c r="AV98" s="106">
        <f>+HLOOKUP($C98,BP!$EY$2:$FK$250,125,0)</f>
        <v>0</v>
      </c>
      <c r="AW98" s="106">
        <f>+HLOOKUP($C98,BP!$EY$2:$FK$250,126,0)</f>
        <v>1983.1730769230771</v>
      </c>
      <c r="AX98" s="106">
        <f>+HLOOKUP($C98,BP!$EY$2:$FK$250,127,0)</f>
        <v>3250</v>
      </c>
      <c r="AY98" s="106">
        <f>+HLOOKUP($C98,BP!$EY$2:$FK$250,129,0)</f>
        <v>0</v>
      </c>
      <c r="AZ98" s="106">
        <f>+HLOOKUP($C98,BP!$EY$2:$FK$250,130,0)</f>
        <v>0</v>
      </c>
      <c r="BA98" s="106">
        <f>+HLOOKUP($C98,BP!$EY$2:$FK$250,131,0)</f>
        <v>7500</v>
      </c>
      <c r="BB98" s="106">
        <f>+HLOOKUP($C98,BP!$EY$2:$FK$250,133,0)</f>
        <v>0</v>
      </c>
      <c r="BC98" s="106">
        <f>+HLOOKUP($C98,BP!$EY$2:$FK$250,134,0)</f>
        <v>0</v>
      </c>
      <c r="BD98" s="106">
        <f>+HLOOKUP($C98,BP!$EY$2:$FK$250,135,0)</f>
        <v>0</v>
      </c>
      <c r="BE98" s="106">
        <f>+HLOOKUP($C98,BP!$EY$2:$FK$250,136,0)</f>
        <v>0</v>
      </c>
      <c r="BF98" s="106">
        <f>+HLOOKUP($C98,BP!$EY$2:$FK$250,138,0)</f>
        <v>1500</v>
      </c>
      <c r="BG98" s="106">
        <f>+HLOOKUP($C98,BP!$EY$2:$FK$250,139,0)</f>
        <v>6666.6666666666661</v>
      </c>
      <c r="BH98" s="106">
        <f>+HLOOKUP($C98,BP!$EY$2:$FK$250,140,0)</f>
        <v>13400</v>
      </c>
      <c r="BI98" s="106">
        <f>+HLOOKUP($C98,BP!$EY$2:$FK$250,141,0)</f>
        <v>0</v>
      </c>
      <c r="BJ98" s="106">
        <f>+HLOOKUP($C98,BP!$EY$2:$FK$250,142,0)</f>
        <v>0</v>
      </c>
      <c r="BK98" s="106">
        <f>+HLOOKUP($C98,BP!$EY$2:$FK$250,143,0)</f>
        <v>3000</v>
      </c>
      <c r="BL98" s="106">
        <f>+HLOOKUP($C98,BP!$EY$2:$FK$250,144,0)</f>
        <v>458.33333333333337</v>
      </c>
      <c r="BM98" s="106">
        <f>+HLOOKUP($C98,BP!$EY$2:$FK$250,146,0)</f>
        <v>0</v>
      </c>
      <c r="BN98" s="106">
        <f>+HLOOKUP($C98,BP!$EY$2:$FK$250,147,0)</f>
        <v>0</v>
      </c>
      <c r="BO98" s="106">
        <f>+HLOOKUP($C98,BP!$EY$2:$FK$250,148,0)</f>
        <v>0</v>
      </c>
      <c r="BP98" s="106">
        <f>+HLOOKUP($C98,BP!$EY$2:$FK$250,150,0)</f>
        <v>26000</v>
      </c>
      <c r="BQ98" s="106">
        <f>+HLOOKUP($C98,BP!$EY$2:$FK$250,151,0)</f>
        <v>1984.4</v>
      </c>
      <c r="BR98" s="106">
        <f>+HLOOKUP($C98,BP!$EY$2:$FK$250,152,0)</f>
        <v>12800</v>
      </c>
      <c r="BS98" s="106">
        <f>+HLOOKUP($C98,BP!$EY$2:$FK$250,153,0)</f>
        <v>3000</v>
      </c>
      <c r="BT98" s="106">
        <f>+HLOOKUP($C98,BP!$EY$2:$FK$250,157,0)</f>
        <v>0</v>
      </c>
      <c r="BU98" s="106">
        <f>+HLOOKUP($C98,BP!$EY$2:$FK$250,158,0)</f>
        <v>0</v>
      </c>
      <c r="BV98" s="106">
        <f>+HLOOKUP($C98,BP!$EY$2:$FK$250,159,0)</f>
        <v>0</v>
      </c>
      <c r="BW98" s="106">
        <f>+HLOOKUP($C98,BP!$EY$2:$FK$250,160,0)</f>
        <v>0</v>
      </c>
      <c r="BX98" s="106">
        <f>+HLOOKUP($C98,BP!$EY$2:$FK$250,161,0)</f>
        <v>0</v>
      </c>
      <c r="BY98" s="106">
        <f>+HLOOKUP($C98,BP!$EY$2:$FK$250,164,0)</f>
        <v>0</v>
      </c>
      <c r="BZ98" s="106">
        <f>+HLOOKUP($C98,BP!$EY$2:$FK$250,165,0)</f>
        <v>0</v>
      </c>
      <c r="CA98" s="106">
        <f>+HLOOKUP($C98,BP!$EY$2:$FK$250,166,0)</f>
        <v>0</v>
      </c>
      <c r="CB98" s="106">
        <f>+HLOOKUP($C98,BP!$EY$2:$FK$250,167,0)</f>
        <v>0</v>
      </c>
      <c r="CC98" s="106">
        <f>+HLOOKUP($C98,BP!$EY$2:$FK$250,168,0)</f>
        <v>0</v>
      </c>
      <c r="CD98" s="106">
        <f>+HLOOKUP($C98,BP!$EY$2:$FK$250,169,0)</f>
        <v>0</v>
      </c>
      <c r="CE98" s="106">
        <f>+HLOOKUP($C98,BP!$EY$2:$FK$250,170,0)</f>
        <v>0</v>
      </c>
      <c r="CF98" s="106">
        <f>+HLOOKUP($C98,BP!$EY$2:$FK$250,172,0)</f>
        <v>0</v>
      </c>
      <c r="CG98" s="106">
        <f>+HLOOKUP($C98,BP!$EY$2:$FK$250,173,0)</f>
        <v>4800</v>
      </c>
      <c r="CH98" s="106">
        <f>+HLOOKUP($C98,BP!$EY$2:$FK$250,174,0)</f>
        <v>0</v>
      </c>
      <c r="CI98" s="106">
        <f>+HLOOKUP($C98,BP!$EY$2:$FK$250,175,0)</f>
        <v>0</v>
      </c>
      <c r="CJ98" s="106">
        <f>+HLOOKUP($C98,BP!$EY$2:$FK$250,176,0)</f>
        <v>0</v>
      </c>
      <c r="CK98" s="106">
        <f>+HLOOKUP($C98,BP!$EY$2:$FK$250,178,0)</f>
        <v>18600</v>
      </c>
      <c r="CL98" s="106">
        <f>+HLOOKUP($C98,BP!$EY$2:$FK$250,179,0)</f>
        <v>120000.00000000006</v>
      </c>
      <c r="CM98" s="106">
        <f>+HLOOKUP($C98,BP!$EY$2:$FK$250,180,0)</f>
        <v>1920</v>
      </c>
      <c r="CN98" s="106">
        <f>+HLOOKUP($C98,BP!$EY$2:$FK$250,182,0)</f>
        <v>2800</v>
      </c>
      <c r="CO98" s="106">
        <f>+HLOOKUP($C98,BP!$EY$2:$FK$250,183,0)</f>
        <v>800</v>
      </c>
      <c r="CP98" s="106">
        <f>+HLOOKUP($C98,BP!$EY$2:$FK$250,184,0)</f>
        <v>648</v>
      </c>
      <c r="CQ98" s="106">
        <f>+HLOOKUP($C98,BP!$EY$2:$FK$250,185,0)</f>
        <v>0</v>
      </c>
      <c r="CR98" s="106">
        <f>+HLOOKUP($C98,BP!$EY$2:$FK$250,187,0)</f>
        <v>1250</v>
      </c>
      <c r="CS98" s="106">
        <f>+HLOOKUP($C98,BP!$EY$2:$FK$250,188,0)</f>
        <v>0</v>
      </c>
      <c r="CT98" s="106">
        <f>+HLOOKUP($C98,BP!$EY$2:$FK$250,189,0)</f>
        <v>0</v>
      </c>
      <c r="CU98" s="106">
        <f>+HLOOKUP($C98,BP!$EY$2:$FK$250,190,0)</f>
        <v>0</v>
      </c>
      <c r="CV98" s="106">
        <f>+HLOOKUP($C98,BP!$EY$2:$FK$250,191,0)</f>
        <v>0</v>
      </c>
      <c r="CW98" s="106">
        <f>+HLOOKUP($C98,BP!$EY$2:$FK$250,193,0)</f>
        <v>0</v>
      </c>
      <c r="CX98" s="106">
        <f>+HLOOKUP($C98,BP!$EY$2:$FK$250,194,0)</f>
        <v>0</v>
      </c>
      <c r="CY98" s="106">
        <f>+HLOOKUP($C98,BP!$EY$2:$FK$250,195,0)</f>
        <v>10000</v>
      </c>
      <c r="CZ98" s="106">
        <f>+HLOOKUP($C98,BP!$EY$2:$FK$250,196,0)</f>
        <v>0</v>
      </c>
      <c r="DA98" s="106">
        <f>+HLOOKUP($C98,BP!$EY$2:$FK$250,197,0)</f>
        <v>6666.6666666666661</v>
      </c>
      <c r="DB98" s="106">
        <f>+HLOOKUP($C98,BP!$EY$2:$FK$250,198,0)</f>
        <v>4000</v>
      </c>
      <c r="DC98" s="106">
        <f>+HLOOKUP($C98,BP!$EY$2:$FK$250,199,0)</f>
        <v>1333.3333333333333</v>
      </c>
      <c r="DD98" s="106">
        <f>+HLOOKUP($C98,BP!$EY$2:$FK$250,200,0)</f>
        <v>666.66666666666663</v>
      </c>
      <c r="DE98" s="106">
        <f>+HLOOKUP($C98,BP!$EY$2:$FK$250,201,0)</f>
        <v>166.66666666666666</v>
      </c>
      <c r="DF98" s="106">
        <f>+HLOOKUP($C98,BP!$EY$2:$FK$250,202,0)</f>
        <v>0</v>
      </c>
      <c r="DG98" s="106">
        <f>+HLOOKUP($C98,BP!$EY$2:$FK$250,203,0)</f>
        <v>0</v>
      </c>
      <c r="DH98" s="106">
        <f>+HLOOKUP($C98,BP!$EY$2:$FK$250,205,0)</f>
        <v>0</v>
      </c>
      <c r="DI98" s="106">
        <f>+HLOOKUP($C98,BP!$EY$2:$FK$250,206,0)</f>
        <v>10000</v>
      </c>
      <c r="DJ98" s="106">
        <f>+HLOOKUP($C98,BP!$EY$2:$FK$250,207,0)</f>
        <v>0</v>
      </c>
      <c r="DK98" s="106">
        <f>+HLOOKUP($C98,BP!$EY$2:$FK$250,209,0)</f>
        <v>0</v>
      </c>
      <c r="DL98" s="106">
        <f>+HLOOKUP($C98,BP!$EY$2:$FK$250,210,0)</f>
        <v>180000</v>
      </c>
      <c r="DM98" s="106">
        <f>+HLOOKUP($C98,BP!$EY$2:$FK$250,211,0)</f>
        <v>0</v>
      </c>
      <c r="DN98" s="106">
        <f>+HLOOKUP($C98,BP!$EY$2:$FK$250,212,0)</f>
        <v>0</v>
      </c>
      <c r="DO98" s="106">
        <f>+HLOOKUP($C98,BP!$EY$2:$FK$250,214,0)</f>
        <v>0</v>
      </c>
      <c r="DP98" s="106">
        <f>+HLOOKUP($C98,BP!$EY$2:$FK$250,215,0)</f>
        <v>0</v>
      </c>
      <c r="DQ98" s="106">
        <f>+HLOOKUP($C98,BP!$EY$2:$FK$250,219,0)</f>
        <v>0</v>
      </c>
      <c r="DR98" s="106">
        <f>+HLOOKUP($C98,BP!$EY$2:$FK$250,220,0)</f>
        <v>0</v>
      </c>
      <c r="DS98" s="106">
        <f>+HLOOKUP($C98,BP!$EY$2:$FK$250,221,0)</f>
        <v>0</v>
      </c>
      <c r="DT98" s="106">
        <f>+HLOOKUP($C98,BP!$EY$2:$FK$250,223,0)</f>
        <v>3333.333333333333</v>
      </c>
      <c r="DU98" s="106">
        <f>+HLOOKUP($C98,BP!$EY$2:$FK$250,224,0)</f>
        <v>2000</v>
      </c>
      <c r="DV98" s="106">
        <f>+HLOOKUP($C98,BP!$EY$2:$FK$250,225,0)</f>
        <v>3333.333333333333</v>
      </c>
      <c r="DW98" s="106">
        <f>+HLOOKUP($C98,BP!$EY$2:$FK$250,227,0)</f>
        <v>0</v>
      </c>
      <c r="DX98" s="106">
        <f>+HLOOKUP($C98,BP!$EY$2:$FK$250,228,0)</f>
        <v>0</v>
      </c>
      <c r="DY98" s="106">
        <f>+HLOOKUP($C98,BP!$EY$2:$FK$250,236,0)</f>
        <v>0</v>
      </c>
      <c r="DZ98" s="106">
        <f>+HLOOKUP($C98,BP!$EY$2:$FK$250,237,0)</f>
        <v>0</v>
      </c>
      <c r="EA98" s="106">
        <f>+HLOOKUP($C98,BP!$EY$2:$FK$250,238,0)</f>
        <v>0</v>
      </c>
      <c r="EB98" s="106">
        <f>+HLOOKUP($C98,BP!$EY$2:$FK$250,240,0)</f>
        <v>468618.16800000001</v>
      </c>
    </row>
    <row r="99" spans="1:132">
      <c r="A99" t="s">
        <v>269</v>
      </c>
      <c r="B99" t="s">
        <v>273</v>
      </c>
      <c r="C99" s="117">
        <v>45962</v>
      </c>
      <c r="D99" s="106">
        <f t="shared" si="1"/>
        <v>1099777.777777778</v>
      </c>
      <c r="E99" s="106">
        <f>+HLOOKUP(C99,BP!$EY$2:$FK$250,28,0)+HLOOKUP(C99,BP!$EY$2:$FK$250,43,0)+HLOOKUP(C99,BP!$EY$2:$FK$250,44,0)+HLOOKUP(C99,BP!$EY$2:$FK$250,45,0)+HLOOKUP(C99,BP!$EY$2:$FK$250,54,0)+HLOOKUP(C99,BP!$EY$2:$FK$250,59,0)</f>
        <v>1099777.777777778</v>
      </c>
      <c r="F99" s="106">
        <f>+HLOOKUP(C99,BP!$EY$2:$FK$250,37,0)+HLOOKUP(C99,BP!$EY$2:$FK$250,55,0)</f>
        <v>738112.264957265</v>
      </c>
      <c r="G99" s="106">
        <f>+HLOOKUP($C99,BP!$EY$2:$FK$250,76,0)</f>
        <v>0</v>
      </c>
      <c r="H99" s="106">
        <f>+HLOOKUP($C99,BP!$EY$2:$FK$250,77,0)</f>
        <v>0</v>
      </c>
      <c r="I99" s="106">
        <f>+HLOOKUP($C99,BP!$EY$2:$FK$250,78,0)</f>
        <v>0</v>
      </c>
      <c r="J99" s="106">
        <f>+HLOOKUP($C99,BP!$EY$2:$FK$250,79,0)</f>
        <v>0</v>
      </c>
      <c r="K99" s="106">
        <f>+HLOOKUP($C99,BP!$EY$2:$FK$250,80,0)</f>
        <v>0</v>
      </c>
      <c r="L99" s="106">
        <f>+HLOOKUP($C99,BP!$EY$2:$FK$250,81,0)</f>
        <v>0</v>
      </c>
      <c r="M99" s="106">
        <f>+HLOOKUP($C99,BP!$EY$2:$FK$250,82,0)</f>
        <v>0</v>
      </c>
      <c r="N99" s="106">
        <f>+HLOOKUP($C99,BP!$EY$2:$FK$250,83,0)</f>
        <v>0</v>
      </c>
      <c r="O99" s="106">
        <f>+HLOOKUP($C99,BP!$EY$2:$FK$250,84,0)</f>
        <v>0</v>
      </c>
      <c r="P99" s="106">
        <f>+HLOOKUP($C99,BP!$EY$2:$FK$250,85,0)</f>
        <v>0</v>
      </c>
      <c r="Q99" s="106">
        <f>+HLOOKUP($C99,BP!$EY$2:$FK$250,87,0)</f>
        <v>60900</v>
      </c>
      <c r="R99" s="106">
        <f>+HLOOKUP($C99,BP!$EY$2:$FK$250,90,0)</f>
        <v>0</v>
      </c>
      <c r="S99" s="106">
        <f>+HLOOKUP($C99,BP!$EY$2:$FK$250,91,0)</f>
        <v>0</v>
      </c>
      <c r="T99" s="106">
        <f>+HLOOKUP($C99,BP!$EY$2:$FK$250,92,0)</f>
        <v>0</v>
      </c>
      <c r="U99" s="106">
        <f>+HLOOKUP($C99,BP!$EY$2:$FK$250,93,0)</f>
        <v>0</v>
      </c>
      <c r="V99" s="106">
        <f>+HLOOKUP($C99,BP!$EY$2:$FK$250,94,0)</f>
        <v>0</v>
      </c>
      <c r="W99" s="106">
        <f>+HLOOKUP($C99,BP!$EY$2:$FK$250,95,0)</f>
        <v>0</v>
      </c>
      <c r="X99" s="106">
        <f>+HLOOKUP($C99,BP!$EY$2:$FK$250,96,0)</f>
        <v>0</v>
      </c>
      <c r="Y99" s="106">
        <f>+HLOOKUP($C99,BP!$EY$2:$FK$250,97,0)</f>
        <v>0</v>
      </c>
      <c r="Z99" s="106">
        <f>+HLOOKUP($C99,BP!$EY$2:$FK$250,98,0)</f>
        <v>0</v>
      </c>
      <c r="AA99" s="106">
        <f>+HLOOKUP($C99,BP!$EY$2:$FK$250,99,0)</f>
        <v>0</v>
      </c>
      <c r="AB99" s="106">
        <f>+HLOOKUP($C99,BP!$EY$2:$FK$250,100,0)</f>
        <v>0</v>
      </c>
      <c r="AC99" s="106">
        <f>+HLOOKUP($C99,BP!$EY$2:$FK$250,101,0)</f>
        <v>0</v>
      </c>
      <c r="AD99" s="106">
        <f>+HLOOKUP($C99,BP!$EY$2:$FK$250,104,0)</f>
        <v>2344.65</v>
      </c>
      <c r="AE99" s="106">
        <f>+HLOOKUP($C99,BP!$EY$2:$FK$250,105,0)</f>
        <v>7612.5</v>
      </c>
      <c r="AF99" s="106">
        <f>+HLOOKUP($C99,BP!$EY$2:$FK$250,106,0)</f>
        <v>0</v>
      </c>
      <c r="AG99" s="106">
        <f>+HLOOKUP($C99,BP!$EY$2:$FK$250,107,0)</f>
        <v>0</v>
      </c>
      <c r="AH99" s="106">
        <f>+HLOOKUP($C99,BP!$EY$2:$FK$250,108,0)</f>
        <v>0</v>
      </c>
      <c r="AI99" s="106">
        <f>+HLOOKUP($C99,BP!$EY$2:$FK$250,109,0)</f>
        <v>0</v>
      </c>
      <c r="AJ99" s="106">
        <f>+HLOOKUP($C99,BP!$EY$2:$FK$250,110,0)</f>
        <v>0</v>
      </c>
      <c r="AK99" s="106">
        <f>+HLOOKUP($C99,BP!$EY$2:$FK$250,111,0)</f>
        <v>468.93000000000006</v>
      </c>
      <c r="AL99" s="106">
        <f>+HLOOKUP($C99,BP!$EY$2:$FK$250,112,0)</f>
        <v>0</v>
      </c>
      <c r="AM99" s="106">
        <f>+HLOOKUP($C99,BP!$EY$2:$FK$250,116,0)</f>
        <v>41250</v>
      </c>
      <c r="AN99" s="106">
        <f>+HLOOKUP($C99,BP!$EY$2:$FK$250,117,0)</f>
        <v>6150</v>
      </c>
      <c r="AO99" s="106">
        <f>+HLOOKUP($C99,BP!$EY$2:$FK$250,118,0)</f>
        <v>0</v>
      </c>
      <c r="AP99" s="106">
        <f>+HLOOKUP($C99,BP!$EY$2:$FK$250,119,0)</f>
        <v>16500</v>
      </c>
      <c r="AQ99" s="106">
        <f>+HLOOKUP($C99,BP!$EY$2:$FK$250,120,0)</f>
        <v>0</v>
      </c>
      <c r="AR99" s="106">
        <f>+HLOOKUP($C99,BP!$EY$2:$FK$250,121,0)</f>
        <v>0</v>
      </c>
      <c r="AS99" s="106">
        <f>+HLOOKUP($C99,BP!$EY$2:$FK$250,122,0)</f>
        <v>18600</v>
      </c>
      <c r="AT99" s="106">
        <f>+HLOOKUP($C99,BP!$EY$2:$FK$250,123,0)</f>
        <v>5646.875</v>
      </c>
      <c r="AU99" s="106">
        <f>+HLOOKUP($C99,BP!$EY$2:$FK$250,124,0)</f>
        <v>0</v>
      </c>
      <c r="AV99" s="106">
        <f>+HLOOKUP($C99,BP!$EY$2:$FK$250,125,0)</f>
        <v>0</v>
      </c>
      <c r="AW99" s="106">
        <f>+HLOOKUP($C99,BP!$EY$2:$FK$250,126,0)</f>
        <v>1983.1730769230771</v>
      </c>
      <c r="AX99" s="106">
        <f>+HLOOKUP($C99,BP!$EY$2:$FK$250,127,0)</f>
        <v>3250</v>
      </c>
      <c r="AY99" s="106">
        <f>+HLOOKUP($C99,BP!$EY$2:$FK$250,129,0)</f>
        <v>0</v>
      </c>
      <c r="AZ99" s="106">
        <f>+HLOOKUP($C99,BP!$EY$2:$FK$250,130,0)</f>
        <v>0</v>
      </c>
      <c r="BA99" s="106">
        <f>+HLOOKUP($C99,BP!$EY$2:$FK$250,131,0)</f>
        <v>7500</v>
      </c>
      <c r="BB99" s="106">
        <f>+HLOOKUP($C99,BP!$EY$2:$FK$250,133,0)</f>
        <v>0</v>
      </c>
      <c r="BC99" s="106">
        <f>+HLOOKUP($C99,BP!$EY$2:$FK$250,134,0)</f>
        <v>0</v>
      </c>
      <c r="BD99" s="106">
        <f>+HLOOKUP($C99,BP!$EY$2:$FK$250,135,0)</f>
        <v>0</v>
      </c>
      <c r="BE99" s="106">
        <f>+HLOOKUP($C99,BP!$EY$2:$FK$250,136,0)</f>
        <v>0</v>
      </c>
      <c r="BF99" s="106">
        <f>+HLOOKUP($C99,BP!$EY$2:$FK$250,138,0)</f>
        <v>1500</v>
      </c>
      <c r="BG99" s="106">
        <f>+HLOOKUP($C99,BP!$EY$2:$FK$250,139,0)</f>
        <v>6666.6666666666661</v>
      </c>
      <c r="BH99" s="106">
        <f>+HLOOKUP($C99,BP!$EY$2:$FK$250,140,0)</f>
        <v>13400</v>
      </c>
      <c r="BI99" s="106">
        <f>+HLOOKUP($C99,BP!$EY$2:$FK$250,141,0)</f>
        <v>0</v>
      </c>
      <c r="BJ99" s="106">
        <f>+HLOOKUP($C99,BP!$EY$2:$FK$250,142,0)</f>
        <v>0</v>
      </c>
      <c r="BK99" s="106">
        <f>+HLOOKUP($C99,BP!$EY$2:$FK$250,143,0)</f>
        <v>3000</v>
      </c>
      <c r="BL99" s="106">
        <f>+HLOOKUP($C99,BP!$EY$2:$FK$250,144,0)</f>
        <v>291.66666666666669</v>
      </c>
      <c r="BM99" s="106">
        <f>+HLOOKUP($C99,BP!$EY$2:$FK$250,146,0)</f>
        <v>0</v>
      </c>
      <c r="BN99" s="106">
        <f>+HLOOKUP($C99,BP!$EY$2:$FK$250,147,0)</f>
        <v>0</v>
      </c>
      <c r="BO99" s="106">
        <f>+HLOOKUP($C99,BP!$EY$2:$FK$250,148,0)</f>
        <v>0</v>
      </c>
      <c r="BP99" s="106">
        <f>+HLOOKUP($C99,BP!$EY$2:$FK$250,150,0)</f>
        <v>26000</v>
      </c>
      <c r="BQ99" s="106">
        <f>+HLOOKUP($C99,BP!$EY$2:$FK$250,151,0)</f>
        <v>1984.4</v>
      </c>
      <c r="BR99" s="106">
        <f>+HLOOKUP($C99,BP!$EY$2:$FK$250,152,0)</f>
        <v>12800</v>
      </c>
      <c r="BS99" s="106">
        <f>+HLOOKUP($C99,BP!$EY$2:$FK$250,153,0)</f>
        <v>3000</v>
      </c>
      <c r="BT99" s="106">
        <f>+HLOOKUP($C99,BP!$EY$2:$FK$250,157,0)</f>
        <v>0</v>
      </c>
      <c r="BU99" s="106">
        <f>+HLOOKUP($C99,BP!$EY$2:$FK$250,158,0)</f>
        <v>0</v>
      </c>
      <c r="BV99" s="106">
        <f>+HLOOKUP($C99,BP!$EY$2:$FK$250,159,0)</f>
        <v>0</v>
      </c>
      <c r="BW99" s="106">
        <f>+HLOOKUP($C99,BP!$EY$2:$FK$250,160,0)</f>
        <v>0</v>
      </c>
      <c r="BX99" s="106">
        <f>+HLOOKUP($C99,BP!$EY$2:$FK$250,161,0)</f>
        <v>0</v>
      </c>
      <c r="BY99" s="106">
        <f>+HLOOKUP($C99,BP!$EY$2:$FK$250,164,0)</f>
        <v>0</v>
      </c>
      <c r="BZ99" s="106">
        <f>+HLOOKUP($C99,BP!$EY$2:$FK$250,165,0)</f>
        <v>0</v>
      </c>
      <c r="CA99" s="106">
        <f>+HLOOKUP($C99,BP!$EY$2:$FK$250,166,0)</f>
        <v>0</v>
      </c>
      <c r="CB99" s="106">
        <f>+HLOOKUP($C99,BP!$EY$2:$FK$250,167,0)</f>
        <v>0</v>
      </c>
      <c r="CC99" s="106">
        <f>+HLOOKUP($C99,BP!$EY$2:$FK$250,168,0)</f>
        <v>0</v>
      </c>
      <c r="CD99" s="106">
        <f>+HLOOKUP($C99,BP!$EY$2:$FK$250,169,0)</f>
        <v>0</v>
      </c>
      <c r="CE99" s="106">
        <f>+HLOOKUP($C99,BP!$EY$2:$FK$250,170,0)</f>
        <v>0</v>
      </c>
      <c r="CF99" s="106">
        <f>+HLOOKUP($C99,BP!$EY$2:$FK$250,172,0)</f>
        <v>0</v>
      </c>
      <c r="CG99" s="106">
        <f>+HLOOKUP($C99,BP!$EY$2:$FK$250,173,0)</f>
        <v>4800</v>
      </c>
      <c r="CH99" s="106">
        <f>+HLOOKUP($C99,BP!$EY$2:$FK$250,174,0)</f>
        <v>0</v>
      </c>
      <c r="CI99" s="106">
        <f>+HLOOKUP($C99,BP!$EY$2:$FK$250,175,0)</f>
        <v>0</v>
      </c>
      <c r="CJ99" s="106">
        <f>+HLOOKUP($C99,BP!$EY$2:$FK$250,176,0)</f>
        <v>0</v>
      </c>
      <c r="CK99" s="106">
        <f>+HLOOKUP($C99,BP!$EY$2:$FK$250,178,0)</f>
        <v>18600</v>
      </c>
      <c r="CL99" s="106">
        <f>+HLOOKUP($C99,BP!$EY$2:$FK$250,179,0)</f>
        <v>120000.00000000006</v>
      </c>
      <c r="CM99" s="106">
        <f>+HLOOKUP($C99,BP!$EY$2:$FK$250,180,0)</f>
        <v>1920</v>
      </c>
      <c r="CN99" s="106">
        <f>+HLOOKUP($C99,BP!$EY$2:$FK$250,182,0)</f>
        <v>2800</v>
      </c>
      <c r="CO99" s="106">
        <f>+HLOOKUP($C99,BP!$EY$2:$FK$250,183,0)</f>
        <v>800</v>
      </c>
      <c r="CP99" s="106">
        <f>+HLOOKUP($C99,BP!$EY$2:$FK$250,184,0)</f>
        <v>648</v>
      </c>
      <c r="CQ99" s="106">
        <f>+HLOOKUP($C99,BP!$EY$2:$FK$250,185,0)</f>
        <v>0</v>
      </c>
      <c r="CR99" s="106">
        <f>+HLOOKUP($C99,BP!$EY$2:$FK$250,187,0)</f>
        <v>1250</v>
      </c>
      <c r="CS99" s="106">
        <f>+HLOOKUP($C99,BP!$EY$2:$FK$250,188,0)</f>
        <v>0</v>
      </c>
      <c r="CT99" s="106">
        <f>+HLOOKUP($C99,BP!$EY$2:$FK$250,189,0)</f>
        <v>0</v>
      </c>
      <c r="CU99" s="106">
        <f>+HLOOKUP($C99,BP!$EY$2:$FK$250,190,0)</f>
        <v>0</v>
      </c>
      <c r="CV99" s="106">
        <f>+HLOOKUP($C99,BP!$EY$2:$FK$250,191,0)</f>
        <v>0</v>
      </c>
      <c r="CW99" s="106">
        <f>+HLOOKUP($C99,BP!$EY$2:$FK$250,193,0)</f>
        <v>0</v>
      </c>
      <c r="CX99" s="106">
        <f>+HLOOKUP($C99,BP!$EY$2:$FK$250,194,0)</f>
        <v>0</v>
      </c>
      <c r="CY99" s="106">
        <f>+HLOOKUP($C99,BP!$EY$2:$FK$250,195,0)</f>
        <v>10000</v>
      </c>
      <c r="CZ99" s="106">
        <f>+HLOOKUP($C99,BP!$EY$2:$FK$250,196,0)</f>
        <v>0</v>
      </c>
      <c r="DA99" s="106">
        <f>+HLOOKUP($C99,BP!$EY$2:$FK$250,197,0)</f>
        <v>6666.6666666666661</v>
      </c>
      <c r="DB99" s="106">
        <f>+HLOOKUP($C99,BP!$EY$2:$FK$250,198,0)</f>
        <v>4000</v>
      </c>
      <c r="DC99" s="106">
        <f>+HLOOKUP($C99,BP!$EY$2:$FK$250,199,0)</f>
        <v>1333.3333333333333</v>
      </c>
      <c r="DD99" s="106">
        <f>+HLOOKUP($C99,BP!$EY$2:$FK$250,200,0)</f>
        <v>666.66666666666663</v>
      </c>
      <c r="DE99" s="106">
        <f>+HLOOKUP($C99,BP!$EY$2:$FK$250,201,0)</f>
        <v>166.66666666666666</v>
      </c>
      <c r="DF99" s="106">
        <f>+HLOOKUP($C99,BP!$EY$2:$FK$250,202,0)</f>
        <v>0</v>
      </c>
      <c r="DG99" s="106">
        <f>+HLOOKUP($C99,BP!$EY$2:$FK$250,203,0)</f>
        <v>0</v>
      </c>
      <c r="DH99" s="106">
        <f>+HLOOKUP($C99,BP!$EY$2:$FK$250,205,0)</f>
        <v>0</v>
      </c>
      <c r="DI99" s="106">
        <f>+HLOOKUP($C99,BP!$EY$2:$FK$250,206,0)</f>
        <v>10000</v>
      </c>
      <c r="DJ99" s="106">
        <f>+HLOOKUP($C99,BP!$EY$2:$FK$250,207,0)</f>
        <v>0</v>
      </c>
      <c r="DK99" s="106">
        <f>+HLOOKUP($C99,BP!$EY$2:$FK$250,209,0)</f>
        <v>0</v>
      </c>
      <c r="DL99" s="106">
        <f>+HLOOKUP($C99,BP!$EY$2:$FK$250,210,0)</f>
        <v>180000</v>
      </c>
      <c r="DM99" s="106">
        <f>+HLOOKUP($C99,BP!$EY$2:$FK$250,211,0)</f>
        <v>0</v>
      </c>
      <c r="DN99" s="106">
        <f>+HLOOKUP($C99,BP!$EY$2:$FK$250,212,0)</f>
        <v>0</v>
      </c>
      <c r="DO99" s="106">
        <f>+HLOOKUP($C99,BP!$EY$2:$FK$250,214,0)</f>
        <v>0</v>
      </c>
      <c r="DP99" s="106">
        <f>+HLOOKUP($C99,BP!$EY$2:$FK$250,215,0)</f>
        <v>0</v>
      </c>
      <c r="DQ99" s="106">
        <f>+HLOOKUP($C99,BP!$EY$2:$FK$250,219,0)</f>
        <v>0</v>
      </c>
      <c r="DR99" s="106">
        <f>+HLOOKUP($C99,BP!$EY$2:$FK$250,220,0)</f>
        <v>0</v>
      </c>
      <c r="DS99" s="106">
        <f>+HLOOKUP($C99,BP!$EY$2:$FK$250,221,0)</f>
        <v>0</v>
      </c>
      <c r="DT99" s="106">
        <f>+HLOOKUP($C99,BP!$EY$2:$FK$250,223,0)</f>
        <v>3333.333333333333</v>
      </c>
      <c r="DU99" s="106">
        <f>+HLOOKUP($C99,BP!$EY$2:$FK$250,224,0)</f>
        <v>2000</v>
      </c>
      <c r="DV99" s="106">
        <f>+HLOOKUP($C99,BP!$EY$2:$FK$250,225,0)</f>
        <v>3333.333333333333</v>
      </c>
      <c r="DW99" s="106">
        <f>+HLOOKUP($C99,BP!$EY$2:$FK$250,227,0)</f>
        <v>0</v>
      </c>
      <c r="DX99" s="106">
        <f>+HLOOKUP($C99,BP!$EY$2:$FK$250,228,0)</f>
        <v>0</v>
      </c>
      <c r="DY99" s="106">
        <f>+HLOOKUP($C99,BP!$EY$2:$FK$250,236,0)</f>
        <v>0</v>
      </c>
      <c r="DZ99" s="106">
        <f>+HLOOKUP($C99,BP!$EY$2:$FK$250,237,0)</f>
        <v>0</v>
      </c>
      <c r="EA99" s="106">
        <f>+HLOOKUP($C99,BP!$EY$2:$FK$250,238,0)</f>
        <v>0</v>
      </c>
      <c r="EB99" s="106">
        <f>+HLOOKUP($C99,BP!$EY$2:$FK$250,240,0)</f>
        <v>468618.16800000001</v>
      </c>
    </row>
    <row r="100" spans="1:132">
      <c r="A100" t="s">
        <v>269</v>
      </c>
      <c r="B100" t="s">
        <v>273</v>
      </c>
      <c r="C100" s="117">
        <v>45931</v>
      </c>
      <c r="D100" s="106">
        <f t="shared" si="1"/>
        <v>1069444.4444444445</v>
      </c>
      <c r="E100" s="106">
        <f>+HLOOKUP(C100,BP!$EY$2:$FK$250,28,0)+HLOOKUP(C100,BP!$EY$2:$FK$250,43,0)+HLOOKUP(C100,BP!$EY$2:$FK$250,44,0)+HLOOKUP(C100,BP!$EY$2:$FK$250,45,0)+HLOOKUP(C100,BP!$EY$2:$FK$250,54,0)+HLOOKUP(C100,BP!$EY$2:$FK$250,59,0)</f>
        <v>1069444.4444444445</v>
      </c>
      <c r="F100" s="106">
        <f>+HLOOKUP(C100,BP!$EY$2:$FK$250,37,0)+HLOOKUP(C100,BP!$EY$2:$FK$250,55,0)</f>
        <v>718698.93162393151</v>
      </c>
      <c r="G100" s="106">
        <f>+HLOOKUP($C100,BP!$EY$2:$FK$250,76,0)</f>
        <v>0</v>
      </c>
      <c r="H100" s="106">
        <f>+HLOOKUP($C100,BP!$EY$2:$FK$250,77,0)</f>
        <v>0</v>
      </c>
      <c r="I100" s="106">
        <f>+HLOOKUP($C100,BP!$EY$2:$FK$250,78,0)</f>
        <v>0</v>
      </c>
      <c r="J100" s="106">
        <f>+HLOOKUP($C100,BP!$EY$2:$FK$250,79,0)</f>
        <v>0</v>
      </c>
      <c r="K100" s="106">
        <f>+HLOOKUP($C100,BP!$EY$2:$FK$250,80,0)</f>
        <v>0</v>
      </c>
      <c r="L100" s="106">
        <f>+HLOOKUP($C100,BP!$EY$2:$FK$250,81,0)</f>
        <v>0</v>
      </c>
      <c r="M100" s="106">
        <f>+HLOOKUP($C100,BP!$EY$2:$FK$250,82,0)</f>
        <v>0</v>
      </c>
      <c r="N100" s="106">
        <f>+HLOOKUP($C100,BP!$EY$2:$FK$250,83,0)</f>
        <v>0</v>
      </c>
      <c r="O100" s="106">
        <f>+HLOOKUP($C100,BP!$EY$2:$FK$250,84,0)</f>
        <v>0</v>
      </c>
      <c r="P100" s="106">
        <f>+HLOOKUP($C100,BP!$EY$2:$FK$250,85,0)</f>
        <v>0</v>
      </c>
      <c r="Q100" s="106">
        <f>+HLOOKUP($C100,BP!$EY$2:$FK$250,87,0)</f>
        <v>58800</v>
      </c>
      <c r="R100" s="106">
        <f>+HLOOKUP($C100,BP!$EY$2:$FK$250,90,0)</f>
        <v>0</v>
      </c>
      <c r="S100" s="106">
        <f>+HLOOKUP($C100,BP!$EY$2:$FK$250,91,0)</f>
        <v>0</v>
      </c>
      <c r="T100" s="106">
        <f>+HLOOKUP($C100,BP!$EY$2:$FK$250,92,0)</f>
        <v>0</v>
      </c>
      <c r="U100" s="106">
        <f>+HLOOKUP($C100,BP!$EY$2:$FK$250,93,0)</f>
        <v>0</v>
      </c>
      <c r="V100" s="106">
        <f>+HLOOKUP($C100,BP!$EY$2:$FK$250,94,0)</f>
        <v>0</v>
      </c>
      <c r="W100" s="106">
        <f>+HLOOKUP($C100,BP!$EY$2:$FK$250,95,0)</f>
        <v>0</v>
      </c>
      <c r="X100" s="106">
        <f>+HLOOKUP($C100,BP!$EY$2:$FK$250,96,0)</f>
        <v>0</v>
      </c>
      <c r="Y100" s="106">
        <f>+HLOOKUP($C100,BP!$EY$2:$FK$250,97,0)</f>
        <v>0</v>
      </c>
      <c r="Z100" s="106">
        <f>+HLOOKUP($C100,BP!$EY$2:$FK$250,98,0)</f>
        <v>0</v>
      </c>
      <c r="AA100" s="106">
        <f>+HLOOKUP($C100,BP!$EY$2:$FK$250,99,0)</f>
        <v>0</v>
      </c>
      <c r="AB100" s="106">
        <f>+HLOOKUP($C100,BP!$EY$2:$FK$250,100,0)</f>
        <v>0</v>
      </c>
      <c r="AC100" s="106">
        <f>+HLOOKUP($C100,BP!$EY$2:$FK$250,101,0)</f>
        <v>0</v>
      </c>
      <c r="AD100" s="106">
        <f>+HLOOKUP($C100,BP!$EY$2:$FK$250,104,0)</f>
        <v>2263.8000000000002</v>
      </c>
      <c r="AE100" s="106">
        <f>+HLOOKUP($C100,BP!$EY$2:$FK$250,105,0)</f>
        <v>7350</v>
      </c>
      <c r="AF100" s="106">
        <f>+HLOOKUP($C100,BP!$EY$2:$FK$250,106,0)</f>
        <v>0</v>
      </c>
      <c r="AG100" s="106">
        <f>+HLOOKUP($C100,BP!$EY$2:$FK$250,107,0)</f>
        <v>0</v>
      </c>
      <c r="AH100" s="106">
        <f>+HLOOKUP($C100,BP!$EY$2:$FK$250,108,0)</f>
        <v>0</v>
      </c>
      <c r="AI100" s="106">
        <f>+HLOOKUP($C100,BP!$EY$2:$FK$250,109,0)</f>
        <v>0</v>
      </c>
      <c r="AJ100" s="106">
        <f>+HLOOKUP($C100,BP!$EY$2:$FK$250,110,0)</f>
        <v>0</v>
      </c>
      <c r="AK100" s="106">
        <f>+HLOOKUP($C100,BP!$EY$2:$FK$250,111,0)</f>
        <v>452.76000000000005</v>
      </c>
      <c r="AL100" s="106">
        <f>+HLOOKUP($C100,BP!$EY$2:$FK$250,112,0)</f>
        <v>0</v>
      </c>
      <c r="AM100" s="106">
        <f>+HLOOKUP($C100,BP!$EY$2:$FK$250,116,0)</f>
        <v>41250</v>
      </c>
      <c r="AN100" s="106">
        <f>+HLOOKUP($C100,BP!$EY$2:$FK$250,117,0)</f>
        <v>6150</v>
      </c>
      <c r="AO100" s="106">
        <f>+HLOOKUP($C100,BP!$EY$2:$FK$250,118,0)</f>
        <v>0</v>
      </c>
      <c r="AP100" s="106">
        <f>+HLOOKUP($C100,BP!$EY$2:$FK$250,119,0)</f>
        <v>16500</v>
      </c>
      <c r="AQ100" s="106">
        <f>+HLOOKUP($C100,BP!$EY$2:$FK$250,120,0)</f>
        <v>0</v>
      </c>
      <c r="AR100" s="106">
        <f>+HLOOKUP($C100,BP!$EY$2:$FK$250,121,0)</f>
        <v>0</v>
      </c>
      <c r="AS100" s="106">
        <f>+HLOOKUP($C100,BP!$EY$2:$FK$250,122,0)</f>
        <v>18600</v>
      </c>
      <c r="AT100" s="106">
        <f>+HLOOKUP($C100,BP!$EY$2:$FK$250,123,0)</f>
        <v>5646.875</v>
      </c>
      <c r="AU100" s="106">
        <f>+HLOOKUP($C100,BP!$EY$2:$FK$250,124,0)</f>
        <v>0</v>
      </c>
      <c r="AV100" s="106">
        <f>+HLOOKUP($C100,BP!$EY$2:$FK$250,125,0)</f>
        <v>0</v>
      </c>
      <c r="AW100" s="106">
        <f>+HLOOKUP($C100,BP!$EY$2:$FK$250,126,0)</f>
        <v>1983.1730769230771</v>
      </c>
      <c r="AX100" s="106">
        <f>+HLOOKUP($C100,BP!$EY$2:$FK$250,127,0)</f>
        <v>3250</v>
      </c>
      <c r="AY100" s="106">
        <f>+HLOOKUP($C100,BP!$EY$2:$FK$250,129,0)</f>
        <v>0</v>
      </c>
      <c r="AZ100" s="106">
        <f>+HLOOKUP($C100,BP!$EY$2:$FK$250,130,0)</f>
        <v>0</v>
      </c>
      <c r="BA100" s="106">
        <f>+HLOOKUP($C100,BP!$EY$2:$FK$250,131,0)</f>
        <v>7500</v>
      </c>
      <c r="BB100" s="106">
        <f>+HLOOKUP($C100,BP!$EY$2:$FK$250,133,0)</f>
        <v>0</v>
      </c>
      <c r="BC100" s="106">
        <f>+HLOOKUP($C100,BP!$EY$2:$FK$250,134,0)</f>
        <v>0</v>
      </c>
      <c r="BD100" s="106">
        <f>+HLOOKUP($C100,BP!$EY$2:$FK$250,135,0)</f>
        <v>0</v>
      </c>
      <c r="BE100" s="106">
        <f>+HLOOKUP($C100,BP!$EY$2:$FK$250,136,0)</f>
        <v>0</v>
      </c>
      <c r="BF100" s="106">
        <f>+HLOOKUP($C100,BP!$EY$2:$FK$250,138,0)</f>
        <v>1500</v>
      </c>
      <c r="BG100" s="106">
        <f>+HLOOKUP($C100,BP!$EY$2:$FK$250,139,0)</f>
        <v>6666.6666666666661</v>
      </c>
      <c r="BH100" s="106">
        <f>+HLOOKUP($C100,BP!$EY$2:$FK$250,140,0)</f>
        <v>13400</v>
      </c>
      <c r="BI100" s="106">
        <f>+HLOOKUP($C100,BP!$EY$2:$FK$250,141,0)</f>
        <v>0</v>
      </c>
      <c r="BJ100" s="106">
        <f>+HLOOKUP($C100,BP!$EY$2:$FK$250,142,0)</f>
        <v>0</v>
      </c>
      <c r="BK100" s="106">
        <f>+HLOOKUP($C100,BP!$EY$2:$FK$250,143,0)</f>
        <v>3000</v>
      </c>
      <c r="BL100" s="106">
        <f>+HLOOKUP($C100,BP!$EY$2:$FK$250,144,0)</f>
        <v>13125</v>
      </c>
      <c r="BM100" s="106">
        <f>+HLOOKUP($C100,BP!$EY$2:$FK$250,146,0)</f>
        <v>0</v>
      </c>
      <c r="BN100" s="106">
        <f>+HLOOKUP($C100,BP!$EY$2:$FK$250,147,0)</f>
        <v>0</v>
      </c>
      <c r="BO100" s="106">
        <f>+HLOOKUP($C100,BP!$EY$2:$FK$250,148,0)</f>
        <v>0</v>
      </c>
      <c r="BP100" s="106">
        <f>+HLOOKUP($C100,BP!$EY$2:$FK$250,150,0)</f>
        <v>26000</v>
      </c>
      <c r="BQ100" s="106">
        <f>+HLOOKUP($C100,BP!$EY$2:$FK$250,151,0)</f>
        <v>1984.4</v>
      </c>
      <c r="BR100" s="106">
        <f>+HLOOKUP($C100,BP!$EY$2:$FK$250,152,0)</f>
        <v>12800</v>
      </c>
      <c r="BS100" s="106">
        <f>+HLOOKUP($C100,BP!$EY$2:$FK$250,153,0)</f>
        <v>3000</v>
      </c>
      <c r="BT100" s="106">
        <f>+HLOOKUP($C100,BP!$EY$2:$FK$250,157,0)</f>
        <v>0</v>
      </c>
      <c r="BU100" s="106">
        <f>+HLOOKUP($C100,BP!$EY$2:$FK$250,158,0)</f>
        <v>0</v>
      </c>
      <c r="BV100" s="106">
        <f>+HLOOKUP($C100,BP!$EY$2:$FK$250,159,0)</f>
        <v>0</v>
      </c>
      <c r="BW100" s="106">
        <f>+HLOOKUP($C100,BP!$EY$2:$FK$250,160,0)</f>
        <v>0</v>
      </c>
      <c r="BX100" s="106">
        <f>+HLOOKUP($C100,BP!$EY$2:$FK$250,161,0)</f>
        <v>0</v>
      </c>
      <c r="BY100" s="106">
        <f>+HLOOKUP($C100,BP!$EY$2:$FK$250,164,0)</f>
        <v>0</v>
      </c>
      <c r="BZ100" s="106">
        <f>+HLOOKUP($C100,BP!$EY$2:$FK$250,165,0)</f>
        <v>0</v>
      </c>
      <c r="CA100" s="106">
        <f>+HLOOKUP($C100,BP!$EY$2:$FK$250,166,0)</f>
        <v>0</v>
      </c>
      <c r="CB100" s="106">
        <f>+HLOOKUP($C100,BP!$EY$2:$FK$250,167,0)</f>
        <v>0</v>
      </c>
      <c r="CC100" s="106">
        <f>+HLOOKUP($C100,BP!$EY$2:$FK$250,168,0)</f>
        <v>0</v>
      </c>
      <c r="CD100" s="106">
        <f>+HLOOKUP($C100,BP!$EY$2:$FK$250,169,0)</f>
        <v>0</v>
      </c>
      <c r="CE100" s="106">
        <f>+HLOOKUP($C100,BP!$EY$2:$FK$250,170,0)</f>
        <v>0</v>
      </c>
      <c r="CF100" s="106">
        <f>+HLOOKUP($C100,BP!$EY$2:$FK$250,172,0)</f>
        <v>0</v>
      </c>
      <c r="CG100" s="106">
        <f>+HLOOKUP($C100,BP!$EY$2:$FK$250,173,0)</f>
        <v>4800</v>
      </c>
      <c r="CH100" s="106">
        <f>+HLOOKUP($C100,BP!$EY$2:$FK$250,174,0)</f>
        <v>0</v>
      </c>
      <c r="CI100" s="106">
        <f>+HLOOKUP($C100,BP!$EY$2:$FK$250,175,0)</f>
        <v>0</v>
      </c>
      <c r="CJ100" s="106">
        <f>+HLOOKUP($C100,BP!$EY$2:$FK$250,176,0)</f>
        <v>0</v>
      </c>
      <c r="CK100" s="106">
        <f>+HLOOKUP($C100,BP!$EY$2:$FK$250,178,0)</f>
        <v>18600</v>
      </c>
      <c r="CL100" s="106">
        <f>+HLOOKUP($C100,BP!$EY$2:$FK$250,179,0)</f>
        <v>120000.00000000006</v>
      </c>
      <c r="CM100" s="106">
        <f>+HLOOKUP($C100,BP!$EY$2:$FK$250,180,0)</f>
        <v>1920</v>
      </c>
      <c r="CN100" s="106">
        <f>+HLOOKUP($C100,BP!$EY$2:$FK$250,182,0)</f>
        <v>2800</v>
      </c>
      <c r="CO100" s="106">
        <f>+HLOOKUP($C100,BP!$EY$2:$FK$250,183,0)</f>
        <v>800</v>
      </c>
      <c r="CP100" s="106">
        <f>+HLOOKUP($C100,BP!$EY$2:$FK$250,184,0)</f>
        <v>648</v>
      </c>
      <c r="CQ100" s="106">
        <f>+HLOOKUP($C100,BP!$EY$2:$FK$250,185,0)</f>
        <v>0</v>
      </c>
      <c r="CR100" s="106">
        <f>+HLOOKUP($C100,BP!$EY$2:$FK$250,187,0)</f>
        <v>1250</v>
      </c>
      <c r="CS100" s="106">
        <f>+HLOOKUP($C100,BP!$EY$2:$FK$250,188,0)</f>
        <v>0</v>
      </c>
      <c r="CT100" s="106">
        <f>+HLOOKUP($C100,BP!$EY$2:$FK$250,189,0)</f>
        <v>0</v>
      </c>
      <c r="CU100" s="106">
        <f>+HLOOKUP($C100,BP!$EY$2:$FK$250,190,0)</f>
        <v>0</v>
      </c>
      <c r="CV100" s="106">
        <f>+HLOOKUP($C100,BP!$EY$2:$FK$250,191,0)</f>
        <v>0</v>
      </c>
      <c r="CW100" s="106">
        <f>+HLOOKUP($C100,BP!$EY$2:$FK$250,193,0)</f>
        <v>0</v>
      </c>
      <c r="CX100" s="106">
        <f>+HLOOKUP($C100,BP!$EY$2:$FK$250,194,0)</f>
        <v>0</v>
      </c>
      <c r="CY100" s="106">
        <f>+HLOOKUP($C100,BP!$EY$2:$FK$250,195,0)</f>
        <v>10000</v>
      </c>
      <c r="CZ100" s="106">
        <f>+HLOOKUP($C100,BP!$EY$2:$FK$250,196,0)</f>
        <v>0</v>
      </c>
      <c r="DA100" s="106">
        <f>+HLOOKUP($C100,BP!$EY$2:$FK$250,197,0)</f>
        <v>6666.6666666666661</v>
      </c>
      <c r="DB100" s="106">
        <f>+HLOOKUP($C100,BP!$EY$2:$FK$250,198,0)</f>
        <v>4000</v>
      </c>
      <c r="DC100" s="106">
        <f>+HLOOKUP($C100,BP!$EY$2:$FK$250,199,0)</f>
        <v>1333.3333333333333</v>
      </c>
      <c r="DD100" s="106">
        <f>+HLOOKUP($C100,BP!$EY$2:$FK$250,200,0)</f>
        <v>666.66666666666663</v>
      </c>
      <c r="DE100" s="106">
        <f>+HLOOKUP($C100,BP!$EY$2:$FK$250,201,0)</f>
        <v>166.66666666666666</v>
      </c>
      <c r="DF100" s="106">
        <f>+HLOOKUP($C100,BP!$EY$2:$FK$250,202,0)</f>
        <v>0</v>
      </c>
      <c r="DG100" s="106">
        <f>+HLOOKUP($C100,BP!$EY$2:$FK$250,203,0)</f>
        <v>0</v>
      </c>
      <c r="DH100" s="106">
        <f>+HLOOKUP($C100,BP!$EY$2:$FK$250,205,0)</f>
        <v>0</v>
      </c>
      <c r="DI100" s="106">
        <f>+HLOOKUP($C100,BP!$EY$2:$FK$250,206,0)</f>
        <v>10000</v>
      </c>
      <c r="DJ100" s="106">
        <f>+HLOOKUP($C100,BP!$EY$2:$FK$250,207,0)</f>
        <v>0</v>
      </c>
      <c r="DK100" s="106">
        <f>+HLOOKUP($C100,BP!$EY$2:$FK$250,209,0)</f>
        <v>0</v>
      </c>
      <c r="DL100" s="106">
        <f>+HLOOKUP($C100,BP!$EY$2:$FK$250,210,0)</f>
        <v>180000</v>
      </c>
      <c r="DM100" s="106">
        <f>+HLOOKUP($C100,BP!$EY$2:$FK$250,211,0)</f>
        <v>0</v>
      </c>
      <c r="DN100" s="106">
        <f>+HLOOKUP($C100,BP!$EY$2:$FK$250,212,0)</f>
        <v>0</v>
      </c>
      <c r="DO100" s="106">
        <f>+HLOOKUP($C100,BP!$EY$2:$FK$250,214,0)</f>
        <v>0</v>
      </c>
      <c r="DP100" s="106">
        <f>+HLOOKUP($C100,BP!$EY$2:$FK$250,215,0)</f>
        <v>0</v>
      </c>
      <c r="DQ100" s="106">
        <f>+HLOOKUP($C100,BP!$EY$2:$FK$250,219,0)</f>
        <v>0</v>
      </c>
      <c r="DR100" s="106">
        <f>+HLOOKUP($C100,BP!$EY$2:$FK$250,220,0)</f>
        <v>0</v>
      </c>
      <c r="DS100" s="106">
        <f>+HLOOKUP($C100,BP!$EY$2:$FK$250,221,0)</f>
        <v>0</v>
      </c>
      <c r="DT100" s="106">
        <f>+HLOOKUP($C100,BP!$EY$2:$FK$250,223,0)</f>
        <v>3333.333333333333</v>
      </c>
      <c r="DU100" s="106">
        <f>+HLOOKUP($C100,BP!$EY$2:$FK$250,224,0)</f>
        <v>2000</v>
      </c>
      <c r="DV100" s="106">
        <f>+HLOOKUP($C100,BP!$EY$2:$FK$250,225,0)</f>
        <v>3333.333333333333</v>
      </c>
      <c r="DW100" s="106">
        <f>+HLOOKUP($C100,BP!$EY$2:$FK$250,227,0)</f>
        <v>0</v>
      </c>
      <c r="DX100" s="106">
        <f>+HLOOKUP($C100,BP!$EY$2:$FK$250,228,0)</f>
        <v>0</v>
      </c>
      <c r="DY100" s="106">
        <f>+HLOOKUP($C100,BP!$EY$2:$FK$250,236,0)</f>
        <v>0</v>
      </c>
      <c r="DZ100" s="106">
        <f>+HLOOKUP($C100,BP!$EY$2:$FK$250,237,0)</f>
        <v>0</v>
      </c>
      <c r="EA100" s="106">
        <f>+HLOOKUP($C100,BP!$EY$2:$FK$250,238,0)</f>
        <v>0</v>
      </c>
      <c r="EB100" s="106">
        <f>+HLOOKUP($C100,BP!$EY$2:$FK$250,240,0)</f>
        <v>468618.16800000001</v>
      </c>
    </row>
    <row r="101" spans="1:132">
      <c r="A101" t="s">
        <v>269</v>
      </c>
      <c r="B101" t="s">
        <v>273</v>
      </c>
      <c r="C101" s="117">
        <v>45901</v>
      </c>
      <c r="D101" s="106">
        <f t="shared" si="1"/>
        <v>1670490.0000000002</v>
      </c>
      <c r="E101" s="106">
        <f>+HLOOKUP(C101,BP!$EY$2:$FK$250,28,0)+HLOOKUP(C101,BP!$EY$2:$FK$250,43,0)+HLOOKUP(C101,BP!$EY$2:$FK$250,44,0)+HLOOKUP(C101,BP!$EY$2:$FK$250,45,0)+HLOOKUP(C101,BP!$EY$2:$FK$250,54,0)+HLOOKUP(C101,BP!$EY$2:$FK$250,59,0)</f>
        <v>1670490.0000000002</v>
      </c>
      <c r="F101" s="106">
        <f>+HLOOKUP(C101,BP!$EY$2:$FK$250,37,0)+HLOOKUP(C101,BP!$EY$2:$FK$250,55,0)</f>
        <v>1103616.4871794875</v>
      </c>
      <c r="G101" s="106">
        <f>+HLOOKUP($C101,BP!$EY$2:$FK$250,76,0)</f>
        <v>0</v>
      </c>
      <c r="H101" s="106">
        <f>+HLOOKUP($C101,BP!$EY$2:$FK$250,77,0)</f>
        <v>0</v>
      </c>
      <c r="I101" s="106">
        <f>+HLOOKUP($C101,BP!$EY$2:$FK$250,78,0)</f>
        <v>0</v>
      </c>
      <c r="J101" s="106">
        <f>+HLOOKUP($C101,BP!$EY$2:$FK$250,79,0)</f>
        <v>0</v>
      </c>
      <c r="K101" s="106">
        <f>+HLOOKUP($C101,BP!$EY$2:$FK$250,80,0)</f>
        <v>0</v>
      </c>
      <c r="L101" s="106">
        <f>+HLOOKUP($C101,BP!$EY$2:$FK$250,81,0)</f>
        <v>0</v>
      </c>
      <c r="M101" s="106">
        <f>+HLOOKUP($C101,BP!$EY$2:$FK$250,82,0)</f>
        <v>0</v>
      </c>
      <c r="N101" s="106">
        <f>+HLOOKUP($C101,BP!$EY$2:$FK$250,83,0)</f>
        <v>0</v>
      </c>
      <c r="O101" s="106">
        <f>+HLOOKUP($C101,BP!$EY$2:$FK$250,84,0)</f>
        <v>0</v>
      </c>
      <c r="P101" s="106">
        <f>+HLOOKUP($C101,BP!$EY$2:$FK$250,85,0)</f>
        <v>0</v>
      </c>
      <c r="Q101" s="106">
        <f>+HLOOKUP($C101,BP!$EY$2:$FK$250,87,0)</f>
        <v>52164.000000000007</v>
      </c>
      <c r="R101" s="106">
        <f>+HLOOKUP($C101,BP!$EY$2:$FK$250,90,0)</f>
        <v>0</v>
      </c>
      <c r="S101" s="106">
        <f>+HLOOKUP($C101,BP!$EY$2:$FK$250,91,0)</f>
        <v>0</v>
      </c>
      <c r="T101" s="106">
        <f>+HLOOKUP($C101,BP!$EY$2:$FK$250,92,0)</f>
        <v>0</v>
      </c>
      <c r="U101" s="106">
        <f>+HLOOKUP($C101,BP!$EY$2:$FK$250,93,0)</f>
        <v>0</v>
      </c>
      <c r="V101" s="106">
        <f>+HLOOKUP($C101,BP!$EY$2:$FK$250,94,0)</f>
        <v>0</v>
      </c>
      <c r="W101" s="106">
        <f>+HLOOKUP($C101,BP!$EY$2:$FK$250,95,0)</f>
        <v>0</v>
      </c>
      <c r="X101" s="106">
        <f>+HLOOKUP($C101,BP!$EY$2:$FK$250,96,0)</f>
        <v>0</v>
      </c>
      <c r="Y101" s="106">
        <f>+HLOOKUP($C101,BP!$EY$2:$FK$250,97,0)</f>
        <v>0</v>
      </c>
      <c r="Z101" s="106">
        <f>+HLOOKUP($C101,BP!$EY$2:$FK$250,98,0)</f>
        <v>0</v>
      </c>
      <c r="AA101" s="106">
        <f>+HLOOKUP($C101,BP!$EY$2:$FK$250,99,0)</f>
        <v>0</v>
      </c>
      <c r="AB101" s="106">
        <f>+HLOOKUP($C101,BP!$EY$2:$FK$250,100,0)</f>
        <v>0</v>
      </c>
      <c r="AC101" s="106">
        <f>+HLOOKUP($C101,BP!$EY$2:$FK$250,101,0)</f>
        <v>0</v>
      </c>
      <c r="AD101" s="106">
        <f>+HLOOKUP($C101,BP!$EY$2:$FK$250,104,0)</f>
        <v>2008.3140000000005</v>
      </c>
      <c r="AE101" s="106">
        <f>+HLOOKUP($C101,BP!$EY$2:$FK$250,105,0)</f>
        <v>6520.5000000000009</v>
      </c>
      <c r="AF101" s="106">
        <f>+HLOOKUP($C101,BP!$EY$2:$FK$250,106,0)</f>
        <v>0</v>
      </c>
      <c r="AG101" s="106">
        <f>+HLOOKUP($C101,BP!$EY$2:$FK$250,107,0)</f>
        <v>0</v>
      </c>
      <c r="AH101" s="106">
        <f>+HLOOKUP($C101,BP!$EY$2:$FK$250,108,0)</f>
        <v>0</v>
      </c>
      <c r="AI101" s="106">
        <f>+HLOOKUP($C101,BP!$EY$2:$FK$250,109,0)</f>
        <v>0</v>
      </c>
      <c r="AJ101" s="106">
        <f>+HLOOKUP($C101,BP!$EY$2:$FK$250,110,0)</f>
        <v>0</v>
      </c>
      <c r="AK101" s="106">
        <f>+HLOOKUP($C101,BP!$EY$2:$FK$250,111,0)</f>
        <v>401.66280000000012</v>
      </c>
      <c r="AL101" s="106">
        <f>+HLOOKUP($C101,BP!$EY$2:$FK$250,112,0)</f>
        <v>0</v>
      </c>
      <c r="AM101" s="106">
        <f>+HLOOKUP($C101,BP!$EY$2:$FK$250,116,0)</f>
        <v>41250</v>
      </c>
      <c r="AN101" s="106">
        <f>+HLOOKUP($C101,BP!$EY$2:$FK$250,117,0)</f>
        <v>6150</v>
      </c>
      <c r="AO101" s="106">
        <f>+HLOOKUP($C101,BP!$EY$2:$FK$250,118,0)</f>
        <v>0</v>
      </c>
      <c r="AP101" s="106">
        <f>+HLOOKUP($C101,BP!$EY$2:$FK$250,119,0)</f>
        <v>16500</v>
      </c>
      <c r="AQ101" s="106">
        <f>+HLOOKUP($C101,BP!$EY$2:$FK$250,120,0)</f>
        <v>0</v>
      </c>
      <c r="AR101" s="106">
        <f>+HLOOKUP($C101,BP!$EY$2:$FK$250,121,0)</f>
        <v>0</v>
      </c>
      <c r="AS101" s="106">
        <f>+HLOOKUP($C101,BP!$EY$2:$FK$250,122,0)</f>
        <v>18600</v>
      </c>
      <c r="AT101" s="106">
        <f>+HLOOKUP($C101,BP!$EY$2:$FK$250,123,0)</f>
        <v>5646.875</v>
      </c>
      <c r="AU101" s="106">
        <f>+HLOOKUP($C101,BP!$EY$2:$FK$250,124,0)</f>
        <v>0</v>
      </c>
      <c r="AV101" s="106">
        <f>+HLOOKUP($C101,BP!$EY$2:$FK$250,125,0)</f>
        <v>0</v>
      </c>
      <c r="AW101" s="106">
        <f>+HLOOKUP($C101,BP!$EY$2:$FK$250,126,0)</f>
        <v>1983.1730769230771</v>
      </c>
      <c r="AX101" s="106">
        <f>+HLOOKUP($C101,BP!$EY$2:$FK$250,127,0)</f>
        <v>3250</v>
      </c>
      <c r="AY101" s="106">
        <f>+HLOOKUP($C101,BP!$EY$2:$FK$250,129,0)</f>
        <v>0</v>
      </c>
      <c r="AZ101" s="106">
        <f>+HLOOKUP($C101,BP!$EY$2:$FK$250,130,0)</f>
        <v>0</v>
      </c>
      <c r="BA101" s="106">
        <f>+HLOOKUP($C101,BP!$EY$2:$FK$250,131,0)</f>
        <v>7500</v>
      </c>
      <c r="BB101" s="106">
        <f>+HLOOKUP($C101,BP!$EY$2:$FK$250,133,0)</f>
        <v>0</v>
      </c>
      <c r="BC101" s="106">
        <f>+HLOOKUP($C101,BP!$EY$2:$FK$250,134,0)</f>
        <v>0</v>
      </c>
      <c r="BD101" s="106">
        <f>+HLOOKUP($C101,BP!$EY$2:$FK$250,135,0)</f>
        <v>0</v>
      </c>
      <c r="BE101" s="106">
        <f>+HLOOKUP($C101,BP!$EY$2:$FK$250,136,0)</f>
        <v>0</v>
      </c>
      <c r="BF101" s="106">
        <f>+HLOOKUP($C101,BP!$EY$2:$FK$250,138,0)</f>
        <v>1500</v>
      </c>
      <c r="BG101" s="106">
        <f>+HLOOKUP($C101,BP!$EY$2:$FK$250,139,0)</f>
        <v>6666.6666666666661</v>
      </c>
      <c r="BH101" s="106">
        <f>+HLOOKUP($C101,BP!$EY$2:$FK$250,140,0)</f>
        <v>13400</v>
      </c>
      <c r="BI101" s="106">
        <f>+HLOOKUP($C101,BP!$EY$2:$FK$250,141,0)</f>
        <v>0</v>
      </c>
      <c r="BJ101" s="106">
        <f>+HLOOKUP($C101,BP!$EY$2:$FK$250,142,0)</f>
        <v>0</v>
      </c>
      <c r="BK101" s="106">
        <f>+HLOOKUP($C101,BP!$EY$2:$FK$250,143,0)</f>
        <v>3000</v>
      </c>
      <c r="BL101" s="106">
        <f>+HLOOKUP($C101,BP!$EY$2:$FK$250,144,0)</f>
        <v>1291.6666666666667</v>
      </c>
      <c r="BM101" s="106">
        <f>+HLOOKUP($C101,BP!$EY$2:$FK$250,146,0)</f>
        <v>0</v>
      </c>
      <c r="BN101" s="106">
        <f>+HLOOKUP($C101,BP!$EY$2:$FK$250,147,0)</f>
        <v>0</v>
      </c>
      <c r="BO101" s="106">
        <f>+HLOOKUP($C101,BP!$EY$2:$FK$250,148,0)</f>
        <v>0</v>
      </c>
      <c r="BP101" s="106">
        <f>+HLOOKUP($C101,BP!$EY$2:$FK$250,150,0)</f>
        <v>26000</v>
      </c>
      <c r="BQ101" s="106">
        <f>+HLOOKUP($C101,BP!$EY$2:$FK$250,151,0)</f>
        <v>1984.4</v>
      </c>
      <c r="BR101" s="106">
        <f>+HLOOKUP($C101,BP!$EY$2:$FK$250,152,0)</f>
        <v>12800</v>
      </c>
      <c r="BS101" s="106">
        <f>+HLOOKUP($C101,BP!$EY$2:$FK$250,153,0)</f>
        <v>3000</v>
      </c>
      <c r="BT101" s="106">
        <f>+HLOOKUP($C101,BP!$EY$2:$FK$250,157,0)</f>
        <v>0</v>
      </c>
      <c r="BU101" s="106">
        <f>+HLOOKUP($C101,BP!$EY$2:$FK$250,158,0)</f>
        <v>0</v>
      </c>
      <c r="BV101" s="106">
        <f>+HLOOKUP($C101,BP!$EY$2:$FK$250,159,0)</f>
        <v>0</v>
      </c>
      <c r="BW101" s="106">
        <f>+HLOOKUP($C101,BP!$EY$2:$FK$250,160,0)</f>
        <v>0</v>
      </c>
      <c r="BX101" s="106">
        <f>+HLOOKUP($C101,BP!$EY$2:$FK$250,161,0)</f>
        <v>0</v>
      </c>
      <c r="BY101" s="106">
        <f>+HLOOKUP($C101,BP!$EY$2:$FK$250,164,0)</f>
        <v>0</v>
      </c>
      <c r="BZ101" s="106">
        <f>+HLOOKUP($C101,BP!$EY$2:$FK$250,165,0)</f>
        <v>0</v>
      </c>
      <c r="CA101" s="106">
        <f>+HLOOKUP($C101,BP!$EY$2:$FK$250,166,0)</f>
        <v>0</v>
      </c>
      <c r="CB101" s="106">
        <f>+HLOOKUP($C101,BP!$EY$2:$FK$250,167,0)</f>
        <v>0</v>
      </c>
      <c r="CC101" s="106">
        <f>+HLOOKUP($C101,BP!$EY$2:$FK$250,168,0)</f>
        <v>0</v>
      </c>
      <c r="CD101" s="106">
        <f>+HLOOKUP($C101,BP!$EY$2:$FK$250,169,0)</f>
        <v>0</v>
      </c>
      <c r="CE101" s="106">
        <f>+HLOOKUP($C101,BP!$EY$2:$FK$250,170,0)</f>
        <v>0</v>
      </c>
      <c r="CF101" s="106">
        <f>+HLOOKUP($C101,BP!$EY$2:$FK$250,172,0)</f>
        <v>0</v>
      </c>
      <c r="CG101" s="106">
        <f>+HLOOKUP($C101,BP!$EY$2:$FK$250,173,0)</f>
        <v>4800</v>
      </c>
      <c r="CH101" s="106">
        <f>+HLOOKUP($C101,BP!$EY$2:$FK$250,174,0)</f>
        <v>0</v>
      </c>
      <c r="CI101" s="106">
        <f>+HLOOKUP($C101,BP!$EY$2:$FK$250,175,0)</f>
        <v>0</v>
      </c>
      <c r="CJ101" s="106">
        <f>+HLOOKUP($C101,BP!$EY$2:$FK$250,176,0)</f>
        <v>0</v>
      </c>
      <c r="CK101" s="106">
        <f>+HLOOKUP($C101,BP!$EY$2:$FK$250,178,0)</f>
        <v>18600</v>
      </c>
      <c r="CL101" s="106">
        <f>+HLOOKUP($C101,BP!$EY$2:$FK$250,179,0)</f>
        <v>120000.00000000006</v>
      </c>
      <c r="CM101" s="106">
        <f>+HLOOKUP($C101,BP!$EY$2:$FK$250,180,0)</f>
        <v>1920</v>
      </c>
      <c r="CN101" s="106">
        <f>+HLOOKUP($C101,BP!$EY$2:$FK$250,182,0)</f>
        <v>2800</v>
      </c>
      <c r="CO101" s="106">
        <f>+HLOOKUP($C101,BP!$EY$2:$FK$250,183,0)</f>
        <v>800</v>
      </c>
      <c r="CP101" s="106">
        <f>+HLOOKUP($C101,BP!$EY$2:$FK$250,184,0)</f>
        <v>648</v>
      </c>
      <c r="CQ101" s="106">
        <f>+HLOOKUP($C101,BP!$EY$2:$FK$250,185,0)</f>
        <v>0</v>
      </c>
      <c r="CR101" s="106">
        <f>+HLOOKUP($C101,BP!$EY$2:$FK$250,187,0)</f>
        <v>1250</v>
      </c>
      <c r="CS101" s="106">
        <f>+HLOOKUP($C101,BP!$EY$2:$FK$250,188,0)</f>
        <v>0</v>
      </c>
      <c r="CT101" s="106">
        <f>+HLOOKUP($C101,BP!$EY$2:$FK$250,189,0)</f>
        <v>0</v>
      </c>
      <c r="CU101" s="106">
        <f>+HLOOKUP($C101,BP!$EY$2:$FK$250,190,0)</f>
        <v>0</v>
      </c>
      <c r="CV101" s="106">
        <f>+HLOOKUP($C101,BP!$EY$2:$FK$250,191,0)</f>
        <v>0</v>
      </c>
      <c r="CW101" s="106">
        <f>+HLOOKUP($C101,BP!$EY$2:$FK$250,193,0)</f>
        <v>0</v>
      </c>
      <c r="CX101" s="106">
        <f>+HLOOKUP($C101,BP!$EY$2:$FK$250,194,0)</f>
        <v>0</v>
      </c>
      <c r="CY101" s="106">
        <f>+HLOOKUP($C101,BP!$EY$2:$FK$250,195,0)</f>
        <v>10000</v>
      </c>
      <c r="CZ101" s="106">
        <f>+HLOOKUP($C101,BP!$EY$2:$FK$250,196,0)</f>
        <v>0</v>
      </c>
      <c r="DA101" s="106">
        <f>+HLOOKUP($C101,BP!$EY$2:$FK$250,197,0)</f>
        <v>6666.6666666666661</v>
      </c>
      <c r="DB101" s="106">
        <f>+HLOOKUP($C101,BP!$EY$2:$FK$250,198,0)</f>
        <v>4000</v>
      </c>
      <c r="DC101" s="106">
        <f>+HLOOKUP($C101,BP!$EY$2:$FK$250,199,0)</f>
        <v>1333.3333333333333</v>
      </c>
      <c r="DD101" s="106">
        <f>+HLOOKUP($C101,BP!$EY$2:$FK$250,200,0)</f>
        <v>666.66666666666663</v>
      </c>
      <c r="DE101" s="106">
        <f>+HLOOKUP($C101,BP!$EY$2:$FK$250,201,0)</f>
        <v>166.66666666666666</v>
      </c>
      <c r="DF101" s="106">
        <f>+HLOOKUP($C101,BP!$EY$2:$FK$250,202,0)</f>
        <v>0</v>
      </c>
      <c r="DG101" s="106">
        <f>+HLOOKUP($C101,BP!$EY$2:$FK$250,203,0)</f>
        <v>0</v>
      </c>
      <c r="DH101" s="106">
        <f>+HLOOKUP($C101,BP!$EY$2:$FK$250,205,0)</f>
        <v>0</v>
      </c>
      <c r="DI101" s="106">
        <f>+HLOOKUP($C101,BP!$EY$2:$FK$250,206,0)</f>
        <v>10000</v>
      </c>
      <c r="DJ101" s="106">
        <f>+HLOOKUP($C101,BP!$EY$2:$FK$250,207,0)</f>
        <v>0</v>
      </c>
      <c r="DK101" s="106">
        <f>+HLOOKUP($C101,BP!$EY$2:$FK$250,209,0)</f>
        <v>0</v>
      </c>
      <c r="DL101" s="106">
        <f>+HLOOKUP($C101,BP!$EY$2:$FK$250,210,0)</f>
        <v>180000</v>
      </c>
      <c r="DM101" s="106">
        <f>+HLOOKUP($C101,BP!$EY$2:$FK$250,211,0)</f>
        <v>0</v>
      </c>
      <c r="DN101" s="106">
        <f>+HLOOKUP($C101,BP!$EY$2:$FK$250,212,0)</f>
        <v>0</v>
      </c>
      <c r="DO101" s="106">
        <f>+HLOOKUP($C101,BP!$EY$2:$FK$250,214,0)</f>
        <v>0</v>
      </c>
      <c r="DP101" s="106">
        <f>+HLOOKUP($C101,BP!$EY$2:$FK$250,215,0)</f>
        <v>0</v>
      </c>
      <c r="DQ101" s="106">
        <f>+HLOOKUP($C101,BP!$EY$2:$FK$250,219,0)</f>
        <v>0</v>
      </c>
      <c r="DR101" s="106">
        <f>+HLOOKUP($C101,BP!$EY$2:$FK$250,220,0)</f>
        <v>0</v>
      </c>
      <c r="DS101" s="106">
        <f>+HLOOKUP($C101,BP!$EY$2:$FK$250,221,0)</f>
        <v>0</v>
      </c>
      <c r="DT101" s="106">
        <f>+HLOOKUP($C101,BP!$EY$2:$FK$250,223,0)</f>
        <v>3333.333333333333</v>
      </c>
      <c r="DU101" s="106">
        <f>+HLOOKUP($C101,BP!$EY$2:$FK$250,224,0)</f>
        <v>2000</v>
      </c>
      <c r="DV101" s="106">
        <f>+HLOOKUP($C101,BP!$EY$2:$FK$250,225,0)</f>
        <v>3333.333333333333</v>
      </c>
      <c r="DW101" s="106">
        <f>+HLOOKUP($C101,BP!$EY$2:$FK$250,227,0)</f>
        <v>0</v>
      </c>
      <c r="DX101" s="106">
        <f>+HLOOKUP($C101,BP!$EY$2:$FK$250,228,0)</f>
        <v>0</v>
      </c>
      <c r="DY101" s="106">
        <f>+HLOOKUP($C101,BP!$EY$2:$FK$250,236,0)</f>
        <v>0</v>
      </c>
      <c r="DZ101" s="106">
        <f>+HLOOKUP($C101,BP!$EY$2:$FK$250,237,0)</f>
        <v>0</v>
      </c>
      <c r="EA101" s="106">
        <f>+HLOOKUP($C101,BP!$EY$2:$FK$250,238,0)</f>
        <v>0</v>
      </c>
      <c r="EB101" s="106">
        <f>+HLOOKUP($C101,BP!$EY$2:$FK$250,240,0)</f>
        <v>468618.16800000001</v>
      </c>
    </row>
    <row r="102" spans="1:132">
      <c r="A102" t="s">
        <v>269</v>
      </c>
      <c r="B102" t="s">
        <v>273</v>
      </c>
      <c r="C102" s="117">
        <v>45870</v>
      </c>
      <c r="D102" s="106">
        <f t="shared" si="1"/>
        <v>1748500.0000000002</v>
      </c>
      <c r="E102" s="106">
        <f>+HLOOKUP(C102,BP!$EY$2:$FK$250,28,0)+HLOOKUP(C102,BP!$EY$2:$FK$250,43,0)+HLOOKUP(C102,BP!$EY$2:$FK$250,44,0)+HLOOKUP(C102,BP!$EY$2:$FK$250,45,0)+HLOOKUP(C102,BP!$EY$2:$FK$250,54,0)+HLOOKUP(C102,BP!$EY$2:$FK$250,59,0)</f>
        <v>1748500.0000000002</v>
      </c>
      <c r="F102" s="106">
        <f>+HLOOKUP(C102,BP!$EY$2:$FK$250,37,0)+HLOOKUP(C102,BP!$EY$2:$FK$250,55,0)</f>
        <v>1153554.4871794875</v>
      </c>
      <c r="G102" s="106">
        <f>+HLOOKUP($C102,BP!$EY$2:$FK$250,76,0)</f>
        <v>0</v>
      </c>
      <c r="H102" s="106">
        <f>+HLOOKUP($C102,BP!$EY$2:$FK$250,77,0)</f>
        <v>0</v>
      </c>
      <c r="I102" s="106">
        <f>+HLOOKUP($C102,BP!$EY$2:$FK$250,78,0)</f>
        <v>0</v>
      </c>
      <c r="J102" s="106">
        <f>+HLOOKUP($C102,BP!$EY$2:$FK$250,79,0)</f>
        <v>0</v>
      </c>
      <c r="K102" s="106">
        <f>+HLOOKUP($C102,BP!$EY$2:$FK$250,80,0)</f>
        <v>0</v>
      </c>
      <c r="L102" s="106">
        <f>+HLOOKUP($C102,BP!$EY$2:$FK$250,81,0)</f>
        <v>0</v>
      </c>
      <c r="M102" s="106">
        <f>+HLOOKUP($C102,BP!$EY$2:$FK$250,82,0)</f>
        <v>0</v>
      </c>
      <c r="N102" s="106">
        <f>+HLOOKUP($C102,BP!$EY$2:$FK$250,83,0)</f>
        <v>0</v>
      </c>
      <c r="O102" s="106">
        <f>+HLOOKUP($C102,BP!$EY$2:$FK$250,84,0)</f>
        <v>0</v>
      </c>
      <c r="P102" s="106">
        <f>+HLOOKUP($C102,BP!$EY$2:$FK$250,85,0)</f>
        <v>0</v>
      </c>
      <c r="Q102" s="106">
        <f>+HLOOKUP($C102,BP!$EY$2:$FK$250,87,0)</f>
        <v>54600.000000000007</v>
      </c>
      <c r="R102" s="106">
        <f>+HLOOKUP($C102,BP!$EY$2:$FK$250,90,0)</f>
        <v>0</v>
      </c>
      <c r="S102" s="106">
        <f>+HLOOKUP($C102,BP!$EY$2:$FK$250,91,0)</f>
        <v>0</v>
      </c>
      <c r="T102" s="106">
        <f>+HLOOKUP($C102,BP!$EY$2:$FK$250,92,0)</f>
        <v>0</v>
      </c>
      <c r="U102" s="106">
        <f>+HLOOKUP($C102,BP!$EY$2:$FK$250,93,0)</f>
        <v>0</v>
      </c>
      <c r="V102" s="106">
        <f>+HLOOKUP($C102,BP!$EY$2:$FK$250,94,0)</f>
        <v>0</v>
      </c>
      <c r="W102" s="106">
        <f>+HLOOKUP($C102,BP!$EY$2:$FK$250,95,0)</f>
        <v>0</v>
      </c>
      <c r="X102" s="106">
        <f>+HLOOKUP($C102,BP!$EY$2:$FK$250,96,0)</f>
        <v>0</v>
      </c>
      <c r="Y102" s="106">
        <f>+HLOOKUP($C102,BP!$EY$2:$FK$250,97,0)</f>
        <v>0</v>
      </c>
      <c r="Z102" s="106">
        <f>+HLOOKUP($C102,BP!$EY$2:$FK$250,98,0)</f>
        <v>0</v>
      </c>
      <c r="AA102" s="106">
        <f>+HLOOKUP($C102,BP!$EY$2:$FK$250,99,0)</f>
        <v>0</v>
      </c>
      <c r="AB102" s="106">
        <f>+HLOOKUP($C102,BP!$EY$2:$FK$250,100,0)</f>
        <v>0</v>
      </c>
      <c r="AC102" s="106">
        <f>+HLOOKUP($C102,BP!$EY$2:$FK$250,101,0)</f>
        <v>0</v>
      </c>
      <c r="AD102" s="106">
        <f>+HLOOKUP($C102,BP!$EY$2:$FK$250,104,0)</f>
        <v>2102.1000000000004</v>
      </c>
      <c r="AE102" s="106">
        <f>+HLOOKUP($C102,BP!$EY$2:$FK$250,105,0)</f>
        <v>6825.0000000000009</v>
      </c>
      <c r="AF102" s="106">
        <f>+HLOOKUP($C102,BP!$EY$2:$FK$250,106,0)</f>
        <v>0</v>
      </c>
      <c r="AG102" s="106">
        <f>+HLOOKUP($C102,BP!$EY$2:$FK$250,107,0)</f>
        <v>0</v>
      </c>
      <c r="AH102" s="106">
        <f>+HLOOKUP($C102,BP!$EY$2:$FK$250,108,0)</f>
        <v>0</v>
      </c>
      <c r="AI102" s="106">
        <f>+HLOOKUP($C102,BP!$EY$2:$FK$250,109,0)</f>
        <v>0</v>
      </c>
      <c r="AJ102" s="106">
        <f>+HLOOKUP($C102,BP!$EY$2:$FK$250,110,0)</f>
        <v>0</v>
      </c>
      <c r="AK102" s="106">
        <f>+HLOOKUP($C102,BP!$EY$2:$FK$250,111,0)</f>
        <v>420.42000000000007</v>
      </c>
      <c r="AL102" s="106">
        <f>+HLOOKUP($C102,BP!$EY$2:$FK$250,112,0)</f>
        <v>0</v>
      </c>
      <c r="AM102" s="106">
        <f>+HLOOKUP($C102,BP!$EY$2:$FK$250,116,0)</f>
        <v>41250</v>
      </c>
      <c r="AN102" s="106">
        <f>+HLOOKUP($C102,BP!$EY$2:$FK$250,117,0)</f>
        <v>6150</v>
      </c>
      <c r="AO102" s="106">
        <f>+HLOOKUP($C102,BP!$EY$2:$FK$250,118,0)</f>
        <v>0</v>
      </c>
      <c r="AP102" s="106">
        <f>+HLOOKUP($C102,BP!$EY$2:$FK$250,119,0)</f>
        <v>16500</v>
      </c>
      <c r="AQ102" s="106">
        <f>+HLOOKUP($C102,BP!$EY$2:$FK$250,120,0)</f>
        <v>0</v>
      </c>
      <c r="AR102" s="106">
        <f>+HLOOKUP($C102,BP!$EY$2:$FK$250,121,0)</f>
        <v>0</v>
      </c>
      <c r="AS102" s="106">
        <f>+HLOOKUP($C102,BP!$EY$2:$FK$250,122,0)</f>
        <v>18600</v>
      </c>
      <c r="AT102" s="106">
        <f>+HLOOKUP($C102,BP!$EY$2:$FK$250,123,0)</f>
        <v>5646.875</v>
      </c>
      <c r="AU102" s="106">
        <f>+HLOOKUP($C102,BP!$EY$2:$FK$250,124,0)</f>
        <v>0</v>
      </c>
      <c r="AV102" s="106">
        <f>+HLOOKUP($C102,BP!$EY$2:$FK$250,125,0)</f>
        <v>0</v>
      </c>
      <c r="AW102" s="106">
        <f>+HLOOKUP($C102,BP!$EY$2:$FK$250,126,0)</f>
        <v>1983.1730769230771</v>
      </c>
      <c r="AX102" s="106">
        <f>+HLOOKUP($C102,BP!$EY$2:$FK$250,127,0)</f>
        <v>3250</v>
      </c>
      <c r="AY102" s="106">
        <f>+HLOOKUP($C102,BP!$EY$2:$FK$250,129,0)</f>
        <v>0</v>
      </c>
      <c r="AZ102" s="106">
        <f>+HLOOKUP($C102,BP!$EY$2:$FK$250,130,0)</f>
        <v>0</v>
      </c>
      <c r="BA102" s="106">
        <f>+HLOOKUP($C102,BP!$EY$2:$FK$250,131,0)</f>
        <v>7500</v>
      </c>
      <c r="BB102" s="106">
        <f>+HLOOKUP($C102,BP!$EY$2:$FK$250,133,0)</f>
        <v>0</v>
      </c>
      <c r="BC102" s="106">
        <f>+HLOOKUP($C102,BP!$EY$2:$FK$250,134,0)</f>
        <v>0</v>
      </c>
      <c r="BD102" s="106">
        <f>+HLOOKUP($C102,BP!$EY$2:$FK$250,135,0)</f>
        <v>0</v>
      </c>
      <c r="BE102" s="106">
        <f>+HLOOKUP($C102,BP!$EY$2:$FK$250,136,0)</f>
        <v>0</v>
      </c>
      <c r="BF102" s="106">
        <f>+HLOOKUP($C102,BP!$EY$2:$FK$250,138,0)</f>
        <v>1500</v>
      </c>
      <c r="BG102" s="106">
        <f>+HLOOKUP($C102,BP!$EY$2:$FK$250,139,0)</f>
        <v>6666.6666666666661</v>
      </c>
      <c r="BH102" s="106">
        <f>+HLOOKUP($C102,BP!$EY$2:$FK$250,140,0)</f>
        <v>13400</v>
      </c>
      <c r="BI102" s="106">
        <f>+HLOOKUP($C102,BP!$EY$2:$FK$250,141,0)</f>
        <v>0</v>
      </c>
      <c r="BJ102" s="106">
        <f>+HLOOKUP($C102,BP!$EY$2:$FK$250,142,0)</f>
        <v>0</v>
      </c>
      <c r="BK102" s="106">
        <f>+HLOOKUP($C102,BP!$EY$2:$FK$250,143,0)</f>
        <v>3000</v>
      </c>
      <c r="BL102" s="106">
        <f>+HLOOKUP($C102,BP!$EY$2:$FK$250,144,0)</f>
        <v>291.66666666666669</v>
      </c>
      <c r="BM102" s="106">
        <f>+HLOOKUP($C102,BP!$EY$2:$FK$250,146,0)</f>
        <v>0</v>
      </c>
      <c r="BN102" s="106">
        <f>+HLOOKUP($C102,BP!$EY$2:$FK$250,147,0)</f>
        <v>0</v>
      </c>
      <c r="BO102" s="106">
        <f>+HLOOKUP($C102,BP!$EY$2:$FK$250,148,0)</f>
        <v>0</v>
      </c>
      <c r="BP102" s="106">
        <f>+HLOOKUP($C102,BP!$EY$2:$FK$250,150,0)</f>
        <v>26000</v>
      </c>
      <c r="BQ102" s="106">
        <f>+HLOOKUP($C102,BP!$EY$2:$FK$250,151,0)</f>
        <v>1984.4</v>
      </c>
      <c r="BR102" s="106">
        <f>+HLOOKUP($C102,BP!$EY$2:$FK$250,152,0)</f>
        <v>12800</v>
      </c>
      <c r="BS102" s="106">
        <f>+HLOOKUP($C102,BP!$EY$2:$FK$250,153,0)</f>
        <v>3000</v>
      </c>
      <c r="BT102" s="106">
        <f>+HLOOKUP($C102,BP!$EY$2:$FK$250,157,0)</f>
        <v>0</v>
      </c>
      <c r="BU102" s="106">
        <f>+HLOOKUP($C102,BP!$EY$2:$FK$250,158,0)</f>
        <v>0</v>
      </c>
      <c r="BV102" s="106">
        <f>+HLOOKUP($C102,BP!$EY$2:$FK$250,159,0)</f>
        <v>0</v>
      </c>
      <c r="BW102" s="106">
        <f>+HLOOKUP($C102,BP!$EY$2:$FK$250,160,0)</f>
        <v>0</v>
      </c>
      <c r="BX102" s="106">
        <f>+HLOOKUP($C102,BP!$EY$2:$FK$250,161,0)</f>
        <v>0</v>
      </c>
      <c r="BY102" s="106">
        <f>+HLOOKUP($C102,BP!$EY$2:$FK$250,164,0)</f>
        <v>0</v>
      </c>
      <c r="BZ102" s="106">
        <f>+HLOOKUP($C102,BP!$EY$2:$FK$250,165,0)</f>
        <v>0</v>
      </c>
      <c r="CA102" s="106">
        <f>+HLOOKUP($C102,BP!$EY$2:$FK$250,166,0)</f>
        <v>0</v>
      </c>
      <c r="CB102" s="106">
        <f>+HLOOKUP($C102,BP!$EY$2:$FK$250,167,0)</f>
        <v>0</v>
      </c>
      <c r="CC102" s="106">
        <f>+HLOOKUP($C102,BP!$EY$2:$FK$250,168,0)</f>
        <v>0</v>
      </c>
      <c r="CD102" s="106">
        <f>+HLOOKUP($C102,BP!$EY$2:$FK$250,169,0)</f>
        <v>0</v>
      </c>
      <c r="CE102" s="106">
        <f>+HLOOKUP($C102,BP!$EY$2:$FK$250,170,0)</f>
        <v>0</v>
      </c>
      <c r="CF102" s="106">
        <f>+HLOOKUP($C102,BP!$EY$2:$FK$250,172,0)</f>
        <v>0</v>
      </c>
      <c r="CG102" s="106">
        <f>+HLOOKUP($C102,BP!$EY$2:$FK$250,173,0)</f>
        <v>4800</v>
      </c>
      <c r="CH102" s="106">
        <f>+HLOOKUP($C102,BP!$EY$2:$FK$250,174,0)</f>
        <v>0</v>
      </c>
      <c r="CI102" s="106">
        <f>+HLOOKUP($C102,BP!$EY$2:$FK$250,175,0)</f>
        <v>0</v>
      </c>
      <c r="CJ102" s="106">
        <f>+HLOOKUP($C102,BP!$EY$2:$FK$250,176,0)</f>
        <v>0</v>
      </c>
      <c r="CK102" s="106">
        <f>+HLOOKUP($C102,BP!$EY$2:$FK$250,178,0)</f>
        <v>18600</v>
      </c>
      <c r="CL102" s="106">
        <f>+HLOOKUP($C102,BP!$EY$2:$FK$250,179,0)</f>
        <v>120000.00000000006</v>
      </c>
      <c r="CM102" s="106">
        <f>+HLOOKUP($C102,BP!$EY$2:$FK$250,180,0)</f>
        <v>1920</v>
      </c>
      <c r="CN102" s="106">
        <f>+HLOOKUP($C102,BP!$EY$2:$FK$250,182,0)</f>
        <v>2800</v>
      </c>
      <c r="CO102" s="106">
        <f>+HLOOKUP($C102,BP!$EY$2:$FK$250,183,0)</f>
        <v>800</v>
      </c>
      <c r="CP102" s="106">
        <f>+HLOOKUP($C102,BP!$EY$2:$FK$250,184,0)</f>
        <v>648</v>
      </c>
      <c r="CQ102" s="106">
        <f>+HLOOKUP($C102,BP!$EY$2:$FK$250,185,0)</f>
        <v>0</v>
      </c>
      <c r="CR102" s="106">
        <f>+HLOOKUP($C102,BP!$EY$2:$FK$250,187,0)</f>
        <v>1250</v>
      </c>
      <c r="CS102" s="106">
        <f>+HLOOKUP($C102,BP!$EY$2:$FK$250,188,0)</f>
        <v>0</v>
      </c>
      <c r="CT102" s="106">
        <f>+HLOOKUP($C102,BP!$EY$2:$FK$250,189,0)</f>
        <v>0</v>
      </c>
      <c r="CU102" s="106">
        <f>+HLOOKUP($C102,BP!$EY$2:$FK$250,190,0)</f>
        <v>0</v>
      </c>
      <c r="CV102" s="106">
        <f>+HLOOKUP($C102,BP!$EY$2:$FK$250,191,0)</f>
        <v>0</v>
      </c>
      <c r="CW102" s="106">
        <f>+HLOOKUP($C102,BP!$EY$2:$FK$250,193,0)</f>
        <v>0</v>
      </c>
      <c r="CX102" s="106">
        <f>+HLOOKUP($C102,BP!$EY$2:$FK$250,194,0)</f>
        <v>0</v>
      </c>
      <c r="CY102" s="106">
        <f>+HLOOKUP($C102,BP!$EY$2:$FK$250,195,0)</f>
        <v>10000</v>
      </c>
      <c r="CZ102" s="106">
        <f>+HLOOKUP($C102,BP!$EY$2:$FK$250,196,0)</f>
        <v>0</v>
      </c>
      <c r="DA102" s="106">
        <f>+HLOOKUP($C102,BP!$EY$2:$FK$250,197,0)</f>
        <v>6666.6666666666661</v>
      </c>
      <c r="DB102" s="106">
        <f>+HLOOKUP($C102,BP!$EY$2:$FK$250,198,0)</f>
        <v>4000</v>
      </c>
      <c r="DC102" s="106">
        <f>+HLOOKUP($C102,BP!$EY$2:$FK$250,199,0)</f>
        <v>1333.3333333333333</v>
      </c>
      <c r="DD102" s="106">
        <f>+HLOOKUP($C102,BP!$EY$2:$FK$250,200,0)</f>
        <v>666.66666666666663</v>
      </c>
      <c r="DE102" s="106">
        <f>+HLOOKUP($C102,BP!$EY$2:$FK$250,201,0)</f>
        <v>166.66666666666666</v>
      </c>
      <c r="DF102" s="106">
        <f>+HLOOKUP($C102,BP!$EY$2:$FK$250,202,0)</f>
        <v>0</v>
      </c>
      <c r="DG102" s="106">
        <f>+HLOOKUP($C102,BP!$EY$2:$FK$250,203,0)</f>
        <v>0</v>
      </c>
      <c r="DH102" s="106">
        <f>+HLOOKUP($C102,BP!$EY$2:$FK$250,205,0)</f>
        <v>0</v>
      </c>
      <c r="DI102" s="106">
        <f>+HLOOKUP($C102,BP!$EY$2:$FK$250,206,0)</f>
        <v>10000</v>
      </c>
      <c r="DJ102" s="106">
        <f>+HLOOKUP($C102,BP!$EY$2:$FK$250,207,0)</f>
        <v>0</v>
      </c>
      <c r="DK102" s="106">
        <f>+HLOOKUP($C102,BP!$EY$2:$FK$250,209,0)</f>
        <v>0</v>
      </c>
      <c r="DL102" s="106">
        <f>+HLOOKUP($C102,BP!$EY$2:$FK$250,210,0)</f>
        <v>180000</v>
      </c>
      <c r="DM102" s="106">
        <f>+HLOOKUP($C102,BP!$EY$2:$FK$250,211,0)</f>
        <v>0</v>
      </c>
      <c r="DN102" s="106">
        <f>+HLOOKUP($C102,BP!$EY$2:$FK$250,212,0)</f>
        <v>0</v>
      </c>
      <c r="DO102" s="106">
        <f>+HLOOKUP($C102,BP!$EY$2:$FK$250,214,0)</f>
        <v>0</v>
      </c>
      <c r="DP102" s="106">
        <f>+HLOOKUP($C102,BP!$EY$2:$FK$250,215,0)</f>
        <v>0</v>
      </c>
      <c r="DQ102" s="106">
        <f>+HLOOKUP($C102,BP!$EY$2:$FK$250,219,0)</f>
        <v>0</v>
      </c>
      <c r="DR102" s="106">
        <f>+HLOOKUP($C102,BP!$EY$2:$FK$250,220,0)</f>
        <v>0</v>
      </c>
      <c r="DS102" s="106">
        <f>+HLOOKUP($C102,BP!$EY$2:$FK$250,221,0)</f>
        <v>0</v>
      </c>
      <c r="DT102" s="106">
        <f>+HLOOKUP($C102,BP!$EY$2:$FK$250,223,0)</f>
        <v>3333.333333333333</v>
      </c>
      <c r="DU102" s="106">
        <f>+HLOOKUP($C102,BP!$EY$2:$FK$250,224,0)</f>
        <v>2000</v>
      </c>
      <c r="DV102" s="106">
        <f>+HLOOKUP($C102,BP!$EY$2:$FK$250,225,0)</f>
        <v>3333.333333333333</v>
      </c>
      <c r="DW102" s="106">
        <f>+HLOOKUP($C102,BP!$EY$2:$FK$250,227,0)</f>
        <v>0</v>
      </c>
      <c r="DX102" s="106">
        <f>+HLOOKUP($C102,BP!$EY$2:$FK$250,228,0)</f>
        <v>0</v>
      </c>
      <c r="DY102" s="106">
        <f>+HLOOKUP($C102,BP!$EY$2:$FK$250,236,0)</f>
        <v>0</v>
      </c>
      <c r="DZ102" s="106">
        <f>+HLOOKUP($C102,BP!$EY$2:$FK$250,237,0)</f>
        <v>0</v>
      </c>
      <c r="EA102" s="106">
        <f>+HLOOKUP($C102,BP!$EY$2:$FK$250,238,0)</f>
        <v>0</v>
      </c>
      <c r="EB102" s="106">
        <f>+HLOOKUP($C102,BP!$EY$2:$FK$250,240,0)</f>
        <v>468618.16800000001</v>
      </c>
    </row>
    <row r="103" spans="1:132">
      <c r="A103" t="s">
        <v>269</v>
      </c>
      <c r="B103" t="s">
        <v>273</v>
      </c>
      <c r="C103" s="117">
        <v>45839</v>
      </c>
      <c r="D103" s="106">
        <f t="shared" si="1"/>
        <v>1815750.0000000002</v>
      </c>
      <c r="E103" s="106">
        <f>+HLOOKUP(C103,BP!$EY$2:$FK$250,28,0)+HLOOKUP(C103,BP!$EY$2:$FK$250,43,0)+HLOOKUP(C103,BP!$EY$2:$FK$250,44,0)+HLOOKUP(C103,BP!$EY$2:$FK$250,45,0)+HLOOKUP(C103,BP!$EY$2:$FK$250,54,0)+HLOOKUP(C103,BP!$EY$2:$FK$250,59,0)</f>
        <v>1815750.0000000002</v>
      </c>
      <c r="F103" s="106">
        <f>+HLOOKUP(C103,BP!$EY$2:$FK$250,37,0)+HLOOKUP(C103,BP!$EY$2:$FK$250,55,0)</f>
        <v>1196604.4871794875</v>
      </c>
      <c r="G103" s="106">
        <f>+HLOOKUP($C103,BP!$EY$2:$FK$250,76,0)</f>
        <v>0</v>
      </c>
      <c r="H103" s="106">
        <f>+HLOOKUP($C103,BP!$EY$2:$FK$250,77,0)</f>
        <v>0</v>
      </c>
      <c r="I103" s="106">
        <f>+HLOOKUP($C103,BP!$EY$2:$FK$250,78,0)</f>
        <v>0</v>
      </c>
      <c r="J103" s="106">
        <f>+HLOOKUP($C103,BP!$EY$2:$FK$250,79,0)</f>
        <v>0</v>
      </c>
      <c r="K103" s="106">
        <f>+HLOOKUP($C103,BP!$EY$2:$FK$250,80,0)</f>
        <v>0</v>
      </c>
      <c r="L103" s="106">
        <f>+HLOOKUP($C103,BP!$EY$2:$FK$250,81,0)</f>
        <v>0</v>
      </c>
      <c r="M103" s="106">
        <f>+HLOOKUP($C103,BP!$EY$2:$FK$250,82,0)</f>
        <v>0</v>
      </c>
      <c r="N103" s="106">
        <f>+HLOOKUP($C103,BP!$EY$2:$FK$250,83,0)</f>
        <v>0</v>
      </c>
      <c r="O103" s="106">
        <f>+HLOOKUP($C103,BP!$EY$2:$FK$250,84,0)</f>
        <v>0</v>
      </c>
      <c r="P103" s="106">
        <f>+HLOOKUP($C103,BP!$EY$2:$FK$250,85,0)</f>
        <v>0</v>
      </c>
      <c r="Q103" s="106">
        <f>+HLOOKUP($C103,BP!$EY$2:$FK$250,87,0)</f>
        <v>56700.000000000007</v>
      </c>
      <c r="R103" s="106">
        <f>+HLOOKUP($C103,BP!$EY$2:$FK$250,90,0)</f>
        <v>0</v>
      </c>
      <c r="S103" s="106">
        <f>+HLOOKUP($C103,BP!$EY$2:$FK$250,91,0)</f>
        <v>0</v>
      </c>
      <c r="T103" s="106">
        <f>+HLOOKUP($C103,BP!$EY$2:$FK$250,92,0)</f>
        <v>0</v>
      </c>
      <c r="U103" s="106">
        <f>+HLOOKUP($C103,BP!$EY$2:$FK$250,93,0)</f>
        <v>0</v>
      </c>
      <c r="V103" s="106">
        <f>+HLOOKUP($C103,BP!$EY$2:$FK$250,94,0)</f>
        <v>0</v>
      </c>
      <c r="W103" s="106">
        <f>+HLOOKUP($C103,BP!$EY$2:$FK$250,95,0)</f>
        <v>0</v>
      </c>
      <c r="X103" s="106">
        <f>+HLOOKUP($C103,BP!$EY$2:$FK$250,96,0)</f>
        <v>0</v>
      </c>
      <c r="Y103" s="106">
        <f>+HLOOKUP($C103,BP!$EY$2:$FK$250,97,0)</f>
        <v>0</v>
      </c>
      <c r="Z103" s="106">
        <f>+HLOOKUP($C103,BP!$EY$2:$FK$250,98,0)</f>
        <v>0</v>
      </c>
      <c r="AA103" s="106">
        <f>+HLOOKUP($C103,BP!$EY$2:$FK$250,99,0)</f>
        <v>0</v>
      </c>
      <c r="AB103" s="106">
        <f>+HLOOKUP($C103,BP!$EY$2:$FK$250,100,0)</f>
        <v>0</v>
      </c>
      <c r="AC103" s="106">
        <f>+HLOOKUP($C103,BP!$EY$2:$FK$250,101,0)</f>
        <v>0</v>
      </c>
      <c r="AD103" s="106">
        <f>+HLOOKUP($C103,BP!$EY$2:$FK$250,104,0)</f>
        <v>2182.9500000000007</v>
      </c>
      <c r="AE103" s="106">
        <f>+HLOOKUP($C103,BP!$EY$2:$FK$250,105,0)</f>
        <v>7087.5000000000009</v>
      </c>
      <c r="AF103" s="106">
        <f>+HLOOKUP($C103,BP!$EY$2:$FK$250,106,0)</f>
        <v>0</v>
      </c>
      <c r="AG103" s="106">
        <f>+HLOOKUP($C103,BP!$EY$2:$FK$250,107,0)</f>
        <v>0</v>
      </c>
      <c r="AH103" s="106">
        <f>+HLOOKUP($C103,BP!$EY$2:$FK$250,108,0)</f>
        <v>0</v>
      </c>
      <c r="AI103" s="106">
        <f>+HLOOKUP($C103,BP!$EY$2:$FK$250,109,0)</f>
        <v>0</v>
      </c>
      <c r="AJ103" s="106">
        <f>+HLOOKUP($C103,BP!$EY$2:$FK$250,110,0)</f>
        <v>0</v>
      </c>
      <c r="AK103" s="106">
        <f>+HLOOKUP($C103,BP!$EY$2:$FK$250,111,0)</f>
        <v>436.59000000000015</v>
      </c>
      <c r="AL103" s="106">
        <f>+HLOOKUP($C103,BP!$EY$2:$FK$250,112,0)</f>
        <v>0</v>
      </c>
      <c r="AM103" s="106">
        <f>+HLOOKUP($C103,BP!$EY$2:$FK$250,116,0)</f>
        <v>41250</v>
      </c>
      <c r="AN103" s="106">
        <f>+HLOOKUP($C103,BP!$EY$2:$FK$250,117,0)</f>
        <v>6150</v>
      </c>
      <c r="AO103" s="106">
        <f>+HLOOKUP($C103,BP!$EY$2:$FK$250,118,0)</f>
        <v>0</v>
      </c>
      <c r="AP103" s="106">
        <f>+HLOOKUP($C103,BP!$EY$2:$FK$250,119,0)</f>
        <v>16500</v>
      </c>
      <c r="AQ103" s="106">
        <f>+HLOOKUP($C103,BP!$EY$2:$FK$250,120,0)</f>
        <v>0</v>
      </c>
      <c r="AR103" s="106">
        <f>+HLOOKUP($C103,BP!$EY$2:$FK$250,121,0)</f>
        <v>0</v>
      </c>
      <c r="AS103" s="106">
        <f>+HLOOKUP($C103,BP!$EY$2:$FK$250,122,0)</f>
        <v>18600</v>
      </c>
      <c r="AT103" s="106">
        <f>+HLOOKUP($C103,BP!$EY$2:$FK$250,123,0)</f>
        <v>5646.875</v>
      </c>
      <c r="AU103" s="106">
        <f>+HLOOKUP($C103,BP!$EY$2:$FK$250,124,0)</f>
        <v>0</v>
      </c>
      <c r="AV103" s="106">
        <f>+HLOOKUP($C103,BP!$EY$2:$FK$250,125,0)</f>
        <v>0</v>
      </c>
      <c r="AW103" s="106">
        <f>+HLOOKUP($C103,BP!$EY$2:$FK$250,126,0)</f>
        <v>1983.1730769230771</v>
      </c>
      <c r="AX103" s="106">
        <f>+HLOOKUP($C103,BP!$EY$2:$FK$250,127,0)</f>
        <v>3250</v>
      </c>
      <c r="AY103" s="106">
        <f>+HLOOKUP($C103,BP!$EY$2:$FK$250,129,0)</f>
        <v>0</v>
      </c>
      <c r="AZ103" s="106">
        <f>+HLOOKUP($C103,BP!$EY$2:$FK$250,130,0)</f>
        <v>0</v>
      </c>
      <c r="BA103" s="106">
        <f>+HLOOKUP($C103,BP!$EY$2:$FK$250,131,0)</f>
        <v>7500</v>
      </c>
      <c r="BB103" s="106">
        <f>+HLOOKUP($C103,BP!$EY$2:$FK$250,133,0)</f>
        <v>0</v>
      </c>
      <c r="BC103" s="106">
        <f>+HLOOKUP($C103,BP!$EY$2:$FK$250,134,0)</f>
        <v>0</v>
      </c>
      <c r="BD103" s="106">
        <f>+HLOOKUP($C103,BP!$EY$2:$FK$250,135,0)</f>
        <v>0</v>
      </c>
      <c r="BE103" s="106">
        <f>+HLOOKUP($C103,BP!$EY$2:$FK$250,136,0)</f>
        <v>0</v>
      </c>
      <c r="BF103" s="106">
        <f>+HLOOKUP($C103,BP!$EY$2:$FK$250,138,0)</f>
        <v>1500</v>
      </c>
      <c r="BG103" s="106">
        <f>+HLOOKUP($C103,BP!$EY$2:$FK$250,139,0)</f>
        <v>6666.6666666666661</v>
      </c>
      <c r="BH103" s="106">
        <f>+HLOOKUP($C103,BP!$EY$2:$FK$250,140,0)</f>
        <v>13400</v>
      </c>
      <c r="BI103" s="106">
        <f>+HLOOKUP($C103,BP!$EY$2:$FK$250,141,0)</f>
        <v>0</v>
      </c>
      <c r="BJ103" s="106">
        <f>+HLOOKUP($C103,BP!$EY$2:$FK$250,142,0)</f>
        <v>0</v>
      </c>
      <c r="BK103" s="106">
        <f>+HLOOKUP($C103,BP!$EY$2:$FK$250,143,0)</f>
        <v>3000</v>
      </c>
      <c r="BL103" s="106">
        <f>+HLOOKUP($C103,BP!$EY$2:$FK$250,144,0)</f>
        <v>291.66666666666669</v>
      </c>
      <c r="BM103" s="106">
        <f>+HLOOKUP($C103,BP!$EY$2:$FK$250,146,0)</f>
        <v>0</v>
      </c>
      <c r="BN103" s="106">
        <f>+HLOOKUP($C103,BP!$EY$2:$FK$250,147,0)</f>
        <v>0</v>
      </c>
      <c r="BO103" s="106">
        <f>+HLOOKUP($C103,BP!$EY$2:$FK$250,148,0)</f>
        <v>0</v>
      </c>
      <c r="BP103" s="106">
        <f>+HLOOKUP($C103,BP!$EY$2:$FK$250,150,0)</f>
        <v>26000</v>
      </c>
      <c r="BQ103" s="106">
        <f>+HLOOKUP($C103,BP!$EY$2:$FK$250,151,0)</f>
        <v>1984.4</v>
      </c>
      <c r="BR103" s="106">
        <f>+HLOOKUP($C103,BP!$EY$2:$FK$250,152,0)</f>
        <v>12800</v>
      </c>
      <c r="BS103" s="106">
        <f>+HLOOKUP($C103,BP!$EY$2:$FK$250,153,0)</f>
        <v>3000</v>
      </c>
      <c r="BT103" s="106">
        <f>+HLOOKUP($C103,BP!$EY$2:$FK$250,157,0)</f>
        <v>0</v>
      </c>
      <c r="BU103" s="106">
        <f>+HLOOKUP($C103,BP!$EY$2:$FK$250,158,0)</f>
        <v>0</v>
      </c>
      <c r="BV103" s="106">
        <f>+HLOOKUP($C103,BP!$EY$2:$FK$250,159,0)</f>
        <v>0</v>
      </c>
      <c r="BW103" s="106">
        <f>+HLOOKUP($C103,BP!$EY$2:$FK$250,160,0)</f>
        <v>0</v>
      </c>
      <c r="BX103" s="106">
        <f>+HLOOKUP($C103,BP!$EY$2:$FK$250,161,0)</f>
        <v>0</v>
      </c>
      <c r="BY103" s="106">
        <f>+HLOOKUP($C103,BP!$EY$2:$FK$250,164,0)</f>
        <v>0</v>
      </c>
      <c r="BZ103" s="106">
        <f>+HLOOKUP($C103,BP!$EY$2:$FK$250,165,0)</f>
        <v>0</v>
      </c>
      <c r="CA103" s="106">
        <f>+HLOOKUP($C103,BP!$EY$2:$FK$250,166,0)</f>
        <v>0</v>
      </c>
      <c r="CB103" s="106">
        <f>+HLOOKUP($C103,BP!$EY$2:$FK$250,167,0)</f>
        <v>0</v>
      </c>
      <c r="CC103" s="106">
        <f>+HLOOKUP($C103,BP!$EY$2:$FK$250,168,0)</f>
        <v>0</v>
      </c>
      <c r="CD103" s="106">
        <f>+HLOOKUP($C103,BP!$EY$2:$FK$250,169,0)</f>
        <v>0</v>
      </c>
      <c r="CE103" s="106">
        <f>+HLOOKUP($C103,BP!$EY$2:$FK$250,170,0)</f>
        <v>0</v>
      </c>
      <c r="CF103" s="106">
        <f>+HLOOKUP($C103,BP!$EY$2:$FK$250,172,0)</f>
        <v>0</v>
      </c>
      <c r="CG103" s="106">
        <f>+HLOOKUP($C103,BP!$EY$2:$FK$250,173,0)</f>
        <v>4800</v>
      </c>
      <c r="CH103" s="106">
        <f>+HLOOKUP($C103,BP!$EY$2:$FK$250,174,0)</f>
        <v>0</v>
      </c>
      <c r="CI103" s="106">
        <f>+HLOOKUP($C103,BP!$EY$2:$FK$250,175,0)</f>
        <v>0</v>
      </c>
      <c r="CJ103" s="106">
        <f>+HLOOKUP($C103,BP!$EY$2:$FK$250,176,0)</f>
        <v>0</v>
      </c>
      <c r="CK103" s="106">
        <f>+HLOOKUP($C103,BP!$EY$2:$FK$250,178,0)</f>
        <v>18600</v>
      </c>
      <c r="CL103" s="106">
        <f>+HLOOKUP($C103,BP!$EY$2:$FK$250,179,0)</f>
        <v>120000.00000000006</v>
      </c>
      <c r="CM103" s="106">
        <f>+HLOOKUP($C103,BP!$EY$2:$FK$250,180,0)</f>
        <v>1920</v>
      </c>
      <c r="CN103" s="106">
        <f>+HLOOKUP($C103,BP!$EY$2:$FK$250,182,0)</f>
        <v>2800</v>
      </c>
      <c r="CO103" s="106">
        <f>+HLOOKUP($C103,BP!$EY$2:$FK$250,183,0)</f>
        <v>800</v>
      </c>
      <c r="CP103" s="106">
        <f>+HLOOKUP($C103,BP!$EY$2:$FK$250,184,0)</f>
        <v>648</v>
      </c>
      <c r="CQ103" s="106">
        <f>+HLOOKUP($C103,BP!$EY$2:$FK$250,185,0)</f>
        <v>0</v>
      </c>
      <c r="CR103" s="106">
        <f>+HLOOKUP($C103,BP!$EY$2:$FK$250,187,0)</f>
        <v>1250</v>
      </c>
      <c r="CS103" s="106">
        <f>+HLOOKUP($C103,BP!$EY$2:$FK$250,188,0)</f>
        <v>0</v>
      </c>
      <c r="CT103" s="106">
        <f>+HLOOKUP($C103,BP!$EY$2:$FK$250,189,0)</f>
        <v>0</v>
      </c>
      <c r="CU103" s="106">
        <f>+HLOOKUP($C103,BP!$EY$2:$FK$250,190,0)</f>
        <v>0</v>
      </c>
      <c r="CV103" s="106">
        <f>+HLOOKUP($C103,BP!$EY$2:$FK$250,191,0)</f>
        <v>0</v>
      </c>
      <c r="CW103" s="106">
        <f>+HLOOKUP($C103,BP!$EY$2:$FK$250,193,0)</f>
        <v>0</v>
      </c>
      <c r="CX103" s="106">
        <f>+HLOOKUP($C103,BP!$EY$2:$FK$250,194,0)</f>
        <v>0</v>
      </c>
      <c r="CY103" s="106">
        <f>+HLOOKUP($C103,BP!$EY$2:$FK$250,195,0)</f>
        <v>10000</v>
      </c>
      <c r="CZ103" s="106">
        <f>+HLOOKUP($C103,BP!$EY$2:$FK$250,196,0)</f>
        <v>0</v>
      </c>
      <c r="DA103" s="106">
        <f>+HLOOKUP($C103,BP!$EY$2:$FK$250,197,0)</f>
        <v>6666.6666666666661</v>
      </c>
      <c r="DB103" s="106">
        <f>+HLOOKUP($C103,BP!$EY$2:$FK$250,198,0)</f>
        <v>4000</v>
      </c>
      <c r="DC103" s="106">
        <f>+HLOOKUP($C103,BP!$EY$2:$FK$250,199,0)</f>
        <v>1333.3333333333333</v>
      </c>
      <c r="DD103" s="106">
        <f>+HLOOKUP($C103,BP!$EY$2:$FK$250,200,0)</f>
        <v>666.66666666666663</v>
      </c>
      <c r="DE103" s="106">
        <f>+HLOOKUP($C103,BP!$EY$2:$FK$250,201,0)</f>
        <v>166.66666666666666</v>
      </c>
      <c r="DF103" s="106">
        <f>+HLOOKUP($C103,BP!$EY$2:$FK$250,202,0)</f>
        <v>0</v>
      </c>
      <c r="DG103" s="106">
        <f>+HLOOKUP($C103,BP!$EY$2:$FK$250,203,0)</f>
        <v>0</v>
      </c>
      <c r="DH103" s="106">
        <f>+HLOOKUP($C103,BP!$EY$2:$FK$250,205,0)</f>
        <v>0</v>
      </c>
      <c r="DI103" s="106">
        <f>+HLOOKUP($C103,BP!$EY$2:$FK$250,206,0)</f>
        <v>10000</v>
      </c>
      <c r="DJ103" s="106">
        <f>+HLOOKUP($C103,BP!$EY$2:$FK$250,207,0)</f>
        <v>0</v>
      </c>
      <c r="DK103" s="106">
        <f>+HLOOKUP($C103,BP!$EY$2:$FK$250,209,0)</f>
        <v>0</v>
      </c>
      <c r="DL103" s="106">
        <f>+HLOOKUP($C103,BP!$EY$2:$FK$250,210,0)</f>
        <v>180000</v>
      </c>
      <c r="DM103" s="106">
        <f>+HLOOKUP($C103,BP!$EY$2:$FK$250,211,0)</f>
        <v>0</v>
      </c>
      <c r="DN103" s="106">
        <f>+HLOOKUP($C103,BP!$EY$2:$FK$250,212,0)</f>
        <v>0</v>
      </c>
      <c r="DO103" s="106">
        <f>+HLOOKUP($C103,BP!$EY$2:$FK$250,214,0)</f>
        <v>0</v>
      </c>
      <c r="DP103" s="106">
        <f>+HLOOKUP($C103,BP!$EY$2:$FK$250,215,0)</f>
        <v>0</v>
      </c>
      <c r="DQ103" s="106">
        <f>+HLOOKUP($C103,BP!$EY$2:$FK$250,219,0)</f>
        <v>0</v>
      </c>
      <c r="DR103" s="106">
        <f>+HLOOKUP($C103,BP!$EY$2:$FK$250,220,0)</f>
        <v>0</v>
      </c>
      <c r="DS103" s="106">
        <f>+HLOOKUP($C103,BP!$EY$2:$FK$250,221,0)</f>
        <v>0</v>
      </c>
      <c r="DT103" s="106">
        <f>+HLOOKUP($C103,BP!$EY$2:$FK$250,223,0)</f>
        <v>3333.333333333333</v>
      </c>
      <c r="DU103" s="106">
        <f>+HLOOKUP($C103,BP!$EY$2:$FK$250,224,0)</f>
        <v>2000</v>
      </c>
      <c r="DV103" s="106">
        <f>+HLOOKUP($C103,BP!$EY$2:$FK$250,225,0)</f>
        <v>3333.333333333333</v>
      </c>
      <c r="DW103" s="106">
        <f>+HLOOKUP($C103,BP!$EY$2:$FK$250,227,0)</f>
        <v>0</v>
      </c>
      <c r="DX103" s="106">
        <f>+HLOOKUP($C103,BP!$EY$2:$FK$250,228,0)</f>
        <v>0</v>
      </c>
      <c r="DY103" s="106">
        <f>+HLOOKUP($C103,BP!$EY$2:$FK$250,236,0)</f>
        <v>0</v>
      </c>
      <c r="DZ103" s="106">
        <f>+HLOOKUP($C103,BP!$EY$2:$FK$250,237,0)</f>
        <v>0</v>
      </c>
      <c r="EA103" s="106">
        <f>+HLOOKUP($C103,BP!$EY$2:$FK$250,238,0)</f>
        <v>0</v>
      </c>
      <c r="EB103" s="106">
        <f>+HLOOKUP($C103,BP!$EY$2:$FK$250,240,0)</f>
        <v>468618.16800000001</v>
      </c>
    </row>
    <row r="104" spans="1:132">
      <c r="A104" t="s">
        <v>269</v>
      </c>
      <c r="B104" t="s">
        <v>273</v>
      </c>
      <c r="C104" s="117">
        <v>45809</v>
      </c>
      <c r="D104" s="106">
        <f t="shared" si="1"/>
        <v>1614000</v>
      </c>
      <c r="E104" s="106">
        <f>+HLOOKUP(C104,BP!$EY$2:$FK$250,28,0)+HLOOKUP(C104,BP!$EY$2:$FK$250,43,0)+HLOOKUP(C104,BP!$EY$2:$FK$250,44,0)+HLOOKUP(C104,BP!$EY$2:$FK$250,45,0)+HLOOKUP(C104,BP!$EY$2:$FK$250,54,0)+HLOOKUP(C104,BP!$EY$2:$FK$250,59,0)</f>
        <v>1614000</v>
      </c>
      <c r="F104" s="106">
        <f>+HLOOKUP(C104,BP!$EY$2:$FK$250,37,0)+HLOOKUP(C104,BP!$EY$2:$FK$250,55,0)</f>
        <v>1067454.487179487</v>
      </c>
      <c r="G104" s="106">
        <f>+HLOOKUP($C104,BP!$EY$2:$FK$250,76,0)</f>
        <v>0</v>
      </c>
      <c r="H104" s="106">
        <f>+HLOOKUP($C104,BP!$EY$2:$FK$250,77,0)</f>
        <v>0</v>
      </c>
      <c r="I104" s="106">
        <f>+HLOOKUP($C104,BP!$EY$2:$FK$250,78,0)</f>
        <v>0</v>
      </c>
      <c r="J104" s="106">
        <f>+HLOOKUP($C104,BP!$EY$2:$FK$250,79,0)</f>
        <v>0</v>
      </c>
      <c r="K104" s="106">
        <f>+HLOOKUP($C104,BP!$EY$2:$FK$250,80,0)</f>
        <v>0</v>
      </c>
      <c r="L104" s="106">
        <f>+HLOOKUP($C104,BP!$EY$2:$FK$250,81,0)</f>
        <v>0</v>
      </c>
      <c r="M104" s="106">
        <f>+HLOOKUP($C104,BP!$EY$2:$FK$250,82,0)</f>
        <v>0</v>
      </c>
      <c r="N104" s="106">
        <f>+HLOOKUP($C104,BP!$EY$2:$FK$250,83,0)</f>
        <v>0</v>
      </c>
      <c r="O104" s="106">
        <f>+HLOOKUP($C104,BP!$EY$2:$FK$250,84,0)</f>
        <v>0</v>
      </c>
      <c r="P104" s="106">
        <f>+HLOOKUP($C104,BP!$EY$2:$FK$250,85,0)</f>
        <v>0</v>
      </c>
      <c r="Q104" s="106">
        <f>+HLOOKUP($C104,BP!$EY$2:$FK$250,87,0)</f>
        <v>50400</v>
      </c>
      <c r="R104" s="106">
        <f>+HLOOKUP($C104,BP!$EY$2:$FK$250,90,0)</f>
        <v>0</v>
      </c>
      <c r="S104" s="106">
        <f>+HLOOKUP($C104,BP!$EY$2:$FK$250,91,0)</f>
        <v>0</v>
      </c>
      <c r="T104" s="106">
        <f>+HLOOKUP($C104,BP!$EY$2:$FK$250,92,0)</f>
        <v>0</v>
      </c>
      <c r="U104" s="106">
        <f>+HLOOKUP($C104,BP!$EY$2:$FK$250,93,0)</f>
        <v>0</v>
      </c>
      <c r="V104" s="106">
        <f>+HLOOKUP($C104,BP!$EY$2:$FK$250,94,0)</f>
        <v>0</v>
      </c>
      <c r="W104" s="106">
        <f>+HLOOKUP($C104,BP!$EY$2:$FK$250,95,0)</f>
        <v>0</v>
      </c>
      <c r="X104" s="106">
        <f>+HLOOKUP($C104,BP!$EY$2:$FK$250,96,0)</f>
        <v>0</v>
      </c>
      <c r="Y104" s="106">
        <f>+HLOOKUP($C104,BP!$EY$2:$FK$250,97,0)</f>
        <v>0</v>
      </c>
      <c r="Z104" s="106">
        <f>+HLOOKUP($C104,BP!$EY$2:$FK$250,98,0)</f>
        <v>0</v>
      </c>
      <c r="AA104" s="106">
        <f>+HLOOKUP($C104,BP!$EY$2:$FK$250,99,0)</f>
        <v>0</v>
      </c>
      <c r="AB104" s="106">
        <f>+HLOOKUP($C104,BP!$EY$2:$FK$250,100,0)</f>
        <v>0</v>
      </c>
      <c r="AC104" s="106">
        <f>+HLOOKUP($C104,BP!$EY$2:$FK$250,101,0)</f>
        <v>0</v>
      </c>
      <c r="AD104" s="106">
        <f>+HLOOKUP($C104,BP!$EY$2:$FK$250,104,0)</f>
        <v>1940.4</v>
      </c>
      <c r="AE104" s="106">
        <f>+HLOOKUP($C104,BP!$EY$2:$FK$250,105,0)</f>
        <v>6300</v>
      </c>
      <c r="AF104" s="106">
        <f>+HLOOKUP($C104,BP!$EY$2:$FK$250,106,0)</f>
        <v>0</v>
      </c>
      <c r="AG104" s="106">
        <f>+HLOOKUP($C104,BP!$EY$2:$FK$250,107,0)</f>
        <v>0</v>
      </c>
      <c r="AH104" s="106">
        <f>+HLOOKUP($C104,BP!$EY$2:$FK$250,108,0)</f>
        <v>0</v>
      </c>
      <c r="AI104" s="106">
        <f>+HLOOKUP($C104,BP!$EY$2:$FK$250,109,0)</f>
        <v>0</v>
      </c>
      <c r="AJ104" s="106">
        <f>+HLOOKUP($C104,BP!$EY$2:$FK$250,110,0)</f>
        <v>0</v>
      </c>
      <c r="AK104" s="106">
        <f>+HLOOKUP($C104,BP!$EY$2:$FK$250,111,0)</f>
        <v>388.08000000000004</v>
      </c>
      <c r="AL104" s="106">
        <f>+HLOOKUP($C104,BP!$EY$2:$FK$250,112,0)</f>
        <v>0</v>
      </c>
      <c r="AM104" s="106">
        <f>+HLOOKUP($C104,BP!$EY$2:$FK$250,116,0)</f>
        <v>41250</v>
      </c>
      <c r="AN104" s="106">
        <f>+HLOOKUP($C104,BP!$EY$2:$FK$250,117,0)</f>
        <v>6150</v>
      </c>
      <c r="AO104" s="106">
        <f>+HLOOKUP($C104,BP!$EY$2:$FK$250,118,0)</f>
        <v>0</v>
      </c>
      <c r="AP104" s="106">
        <f>+HLOOKUP($C104,BP!$EY$2:$FK$250,119,0)</f>
        <v>16500</v>
      </c>
      <c r="AQ104" s="106">
        <f>+HLOOKUP($C104,BP!$EY$2:$FK$250,120,0)</f>
        <v>0</v>
      </c>
      <c r="AR104" s="106">
        <f>+HLOOKUP($C104,BP!$EY$2:$FK$250,121,0)</f>
        <v>0</v>
      </c>
      <c r="AS104" s="106">
        <f>+HLOOKUP($C104,BP!$EY$2:$FK$250,122,0)</f>
        <v>18600</v>
      </c>
      <c r="AT104" s="106">
        <f>+HLOOKUP($C104,BP!$EY$2:$FK$250,123,0)</f>
        <v>5646.875</v>
      </c>
      <c r="AU104" s="106">
        <f>+HLOOKUP($C104,BP!$EY$2:$FK$250,124,0)</f>
        <v>0</v>
      </c>
      <c r="AV104" s="106">
        <f>+HLOOKUP($C104,BP!$EY$2:$FK$250,125,0)</f>
        <v>0</v>
      </c>
      <c r="AW104" s="106">
        <f>+HLOOKUP($C104,BP!$EY$2:$FK$250,126,0)</f>
        <v>1983.1730769230771</v>
      </c>
      <c r="AX104" s="106">
        <f>+HLOOKUP($C104,BP!$EY$2:$FK$250,127,0)</f>
        <v>3250</v>
      </c>
      <c r="AY104" s="106">
        <f>+HLOOKUP($C104,BP!$EY$2:$FK$250,129,0)</f>
        <v>0</v>
      </c>
      <c r="AZ104" s="106">
        <f>+HLOOKUP($C104,BP!$EY$2:$FK$250,130,0)</f>
        <v>0</v>
      </c>
      <c r="BA104" s="106">
        <f>+HLOOKUP($C104,BP!$EY$2:$FK$250,131,0)</f>
        <v>7500</v>
      </c>
      <c r="BB104" s="106">
        <f>+HLOOKUP($C104,BP!$EY$2:$FK$250,133,0)</f>
        <v>0</v>
      </c>
      <c r="BC104" s="106">
        <f>+HLOOKUP($C104,BP!$EY$2:$FK$250,134,0)</f>
        <v>0</v>
      </c>
      <c r="BD104" s="106">
        <f>+HLOOKUP($C104,BP!$EY$2:$FK$250,135,0)</f>
        <v>0</v>
      </c>
      <c r="BE104" s="106">
        <f>+HLOOKUP($C104,BP!$EY$2:$FK$250,136,0)</f>
        <v>0</v>
      </c>
      <c r="BF104" s="106">
        <f>+HLOOKUP($C104,BP!$EY$2:$FK$250,138,0)</f>
        <v>1500</v>
      </c>
      <c r="BG104" s="106">
        <f>+HLOOKUP($C104,BP!$EY$2:$FK$250,139,0)</f>
        <v>6666.6666666666661</v>
      </c>
      <c r="BH104" s="106">
        <f>+HLOOKUP($C104,BP!$EY$2:$FK$250,140,0)</f>
        <v>13400</v>
      </c>
      <c r="BI104" s="106">
        <f>+HLOOKUP($C104,BP!$EY$2:$FK$250,141,0)</f>
        <v>0</v>
      </c>
      <c r="BJ104" s="106">
        <f>+HLOOKUP($C104,BP!$EY$2:$FK$250,142,0)</f>
        <v>0</v>
      </c>
      <c r="BK104" s="106">
        <f>+HLOOKUP($C104,BP!$EY$2:$FK$250,143,0)</f>
        <v>3000</v>
      </c>
      <c r="BL104" s="106">
        <f>+HLOOKUP($C104,BP!$EY$2:$FK$250,144,0)</f>
        <v>458.33333333333337</v>
      </c>
      <c r="BM104" s="106">
        <f>+HLOOKUP($C104,BP!$EY$2:$FK$250,146,0)</f>
        <v>0</v>
      </c>
      <c r="BN104" s="106">
        <f>+HLOOKUP($C104,BP!$EY$2:$FK$250,147,0)</f>
        <v>0</v>
      </c>
      <c r="BO104" s="106">
        <f>+HLOOKUP($C104,BP!$EY$2:$FK$250,148,0)</f>
        <v>0</v>
      </c>
      <c r="BP104" s="106">
        <f>+HLOOKUP($C104,BP!$EY$2:$FK$250,150,0)</f>
        <v>26000</v>
      </c>
      <c r="BQ104" s="106">
        <f>+HLOOKUP($C104,BP!$EY$2:$FK$250,151,0)</f>
        <v>1984.4</v>
      </c>
      <c r="BR104" s="106">
        <f>+HLOOKUP($C104,BP!$EY$2:$FK$250,152,0)</f>
        <v>12800</v>
      </c>
      <c r="BS104" s="106">
        <f>+HLOOKUP($C104,BP!$EY$2:$FK$250,153,0)</f>
        <v>3000</v>
      </c>
      <c r="BT104" s="106">
        <f>+HLOOKUP($C104,BP!$EY$2:$FK$250,157,0)</f>
        <v>0</v>
      </c>
      <c r="BU104" s="106">
        <f>+HLOOKUP($C104,BP!$EY$2:$FK$250,158,0)</f>
        <v>0</v>
      </c>
      <c r="BV104" s="106">
        <f>+HLOOKUP($C104,BP!$EY$2:$FK$250,159,0)</f>
        <v>0</v>
      </c>
      <c r="BW104" s="106">
        <f>+HLOOKUP($C104,BP!$EY$2:$FK$250,160,0)</f>
        <v>0</v>
      </c>
      <c r="BX104" s="106">
        <f>+HLOOKUP($C104,BP!$EY$2:$FK$250,161,0)</f>
        <v>0</v>
      </c>
      <c r="BY104" s="106">
        <f>+HLOOKUP($C104,BP!$EY$2:$FK$250,164,0)</f>
        <v>0</v>
      </c>
      <c r="BZ104" s="106">
        <f>+HLOOKUP($C104,BP!$EY$2:$FK$250,165,0)</f>
        <v>0</v>
      </c>
      <c r="CA104" s="106">
        <f>+HLOOKUP($C104,BP!$EY$2:$FK$250,166,0)</f>
        <v>0</v>
      </c>
      <c r="CB104" s="106">
        <f>+HLOOKUP($C104,BP!$EY$2:$FK$250,167,0)</f>
        <v>0</v>
      </c>
      <c r="CC104" s="106">
        <f>+HLOOKUP($C104,BP!$EY$2:$FK$250,168,0)</f>
        <v>0</v>
      </c>
      <c r="CD104" s="106">
        <f>+HLOOKUP($C104,BP!$EY$2:$FK$250,169,0)</f>
        <v>0</v>
      </c>
      <c r="CE104" s="106">
        <f>+HLOOKUP($C104,BP!$EY$2:$FK$250,170,0)</f>
        <v>0</v>
      </c>
      <c r="CF104" s="106">
        <f>+HLOOKUP($C104,BP!$EY$2:$FK$250,172,0)</f>
        <v>0</v>
      </c>
      <c r="CG104" s="106">
        <f>+HLOOKUP($C104,BP!$EY$2:$FK$250,173,0)</f>
        <v>4800</v>
      </c>
      <c r="CH104" s="106">
        <f>+HLOOKUP($C104,BP!$EY$2:$FK$250,174,0)</f>
        <v>0</v>
      </c>
      <c r="CI104" s="106">
        <f>+HLOOKUP($C104,BP!$EY$2:$FK$250,175,0)</f>
        <v>0</v>
      </c>
      <c r="CJ104" s="106">
        <f>+HLOOKUP($C104,BP!$EY$2:$FK$250,176,0)</f>
        <v>0</v>
      </c>
      <c r="CK104" s="106">
        <f>+HLOOKUP($C104,BP!$EY$2:$FK$250,178,0)</f>
        <v>18600</v>
      </c>
      <c r="CL104" s="106">
        <f>+HLOOKUP($C104,BP!$EY$2:$FK$250,179,0)</f>
        <v>120000.00000000006</v>
      </c>
      <c r="CM104" s="106">
        <f>+HLOOKUP($C104,BP!$EY$2:$FK$250,180,0)</f>
        <v>1920</v>
      </c>
      <c r="CN104" s="106">
        <f>+HLOOKUP($C104,BP!$EY$2:$FK$250,182,0)</f>
        <v>2800</v>
      </c>
      <c r="CO104" s="106">
        <f>+HLOOKUP($C104,BP!$EY$2:$FK$250,183,0)</f>
        <v>800</v>
      </c>
      <c r="CP104" s="106">
        <f>+HLOOKUP($C104,BP!$EY$2:$FK$250,184,0)</f>
        <v>648</v>
      </c>
      <c r="CQ104" s="106">
        <f>+HLOOKUP($C104,BP!$EY$2:$FK$250,185,0)</f>
        <v>0</v>
      </c>
      <c r="CR104" s="106">
        <f>+HLOOKUP($C104,BP!$EY$2:$FK$250,187,0)</f>
        <v>1250</v>
      </c>
      <c r="CS104" s="106">
        <f>+HLOOKUP($C104,BP!$EY$2:$FK$250,188,0)</f>
        <v>0</v>
      </c>
      <c r="CT104" s="106">
        <f>+HLOOKUP($C104,BP!$EY$2:$FK$250,189,0)</f>
        <v>0</v>
      </c>
      <c r="CU104" s="106">
        <f>+HLOOKUP($C104,BP!$EY$2:$FK$250,190,0)</f>
        <v>0</v>
      </c>
      <c r="CV104" s="106">
        <f>+HLOOKUP($C104,BP!$EY$2:$FK$250,191,0)</f>
        <v>0</v>
      </c>
      <c r="CW104" s="106">
        <f>+HLOOKUP($C104,BP!$EY$2:$FK$250,193,0)</f>
        <v>0</v>
      </c>
      <c r="CX104" s="106">
        <f>+HLOOKUP($C104,BP!$EY$2:$FK$250,194,0)</f>
        <v>0</v>
      </c>
      <c r="CY104" s="106">
        <f>+HLOOKUP($C104,BP!$EY$2:$FK$250,195,0)</f>
        <v>10000</v>
      </c>
      <c r="CZ104" s="106">
        <f>+HLOOKUP($C104,BP!$EY$2:$FK$250,196,0)</f>
        <v>0</v>
      </c>
      <c r="DA104" s="106">
        <f>+HLOOKUP($C104,BP!$EY$2:$FK$250,197,0)</f>
        <v>6666.6666666666661</v>
      </c>
      <c r="DB104" s="106">
        <f>+HLOOKUP($C104,BP!$EY$2:$FK$250,198,0)</f>
        <v>4000</v>
      </c>
      <c r="DC104" s="106">
        <f>+HLOOKUP($C104,BP!$EY$2:$FK$250,199,0)</f>
        <v>1333.3333333333333</v>
      </c>
      <c r="DD104" s="106">
        <f>+HLOOKUP($C104,BP!$EY$2:$FK$250,200,0)</f>
        <v>666.66666666666663</v>
      </c>
      <c r="DE104" s="106">
        <f>+HLOOKUP($C104,BP!$EY$2:$FK$250,201,0)</f>
        <v>166.66666666666666</v>
      </c>
      <c r="DF104" s="106">
        <f>+HLOOKUP($C104,BP!$EY$2:$FK$250,202,0)</f>
        <v>0</v>
      </c>
      <c r="DG104" s="106">
        <f>+HLOOKUP($C104,BP!$EY$2:$FK$250,203,0)</f>
        <v>0</v>
      </c>
      <c r="DH104" s="106">
        <f>+HLOOKUP($C104,BP!$EY$2:$FK$250,205,0)</f>
        <v>0</v>
      </c>
      <c r="DI104" s="106">
        <f>+HLOOKUP($C104,BP!$EY$2:$FK$250,206,0)</f>
        <v>10000</v>
      </c>
      <c r="DJ104" s="106">
        <f>+HLOOKUP($C104,BP!$EY$2:$FK$250,207,0)</f>
        <v>0</v>
      </c>
      <c r="DK104" s="106">
        <f>+HLOOKUP($C104,BP!$EY$2:$FK$250,209,0)</f>
        <v>0</v>
      </c>
      <c r="DL104" s="106">
        <f>+HLOOKUP($C104,BP!$EY$2:$FK$250,210,0)</f>
        <v>180000</v>
      </c>
      <c r="DM104" s="106">
        <f>+HLOOKUP($C104,BP!$EY$2:$FK$250,211,0)</f>
        <v>0</v>
      </c>
      <c r="DN104" s="106">
        <f>+HLOOKUP($C104,BP!$EY$2:$FK$250,212,0)</f>
        <v>0</v>
      </c>
      <c r="DO104" s="106">
        <f>+HLOOKUP($C104,BP!$EY$2:$FK$250,214,0)</f>
        <v>0</v>
      </c>
      <c r="DP104" s="106">
        <f>+HLOOKUP($C104,BP!$EY$2:$FK$250,215,0)</f>
        <v>0</v>
      </c>
      <c r="DQ104" s="106">
        <f>+HLOOKUP($C104,BP!$EY$2:$FK$250,219,0)</f>
        <v>0</v>
      </c>
      <c r="DR104" s="106">
        <f>+HLOOKUP($C104,BP!$EY$2:$FK$250,220,0)</f>
        <v>0</v>
      </c>
      <c r="DS104" s="106">
        <f>+HLOOKUP($C104,BP!$EY$2:$FK$250,221,0)</f>
        <v>0</v>
      </c>
      <c r="DT104" s="106">
        <f>+HLOOKUP($C104,BP!$EY$2:$FK$250,223,0)</f>
        <v>3333.333333333333</v>
      </c>
      <c r="DU104" s="106">
        <f>+HLOOKUP($C104,BP!$EY$2:$FK$250,224,0)</f>
        <v>2000</v>
      </c>
      <c r="DV104" s="106">
        <f>+HLOOKUP($C104,BP!$EY$2:$FK$250,225,0)</f>
        <v>3333.333333333333</v>
      </c>
      <c r="DW104" s="106">
        <f>+HLOOKUP($C104,BP!$EY$2:$FK$250,227,0)</f>
        <v>0</v>
      </c>
      <c r="DX104" s="106">
        <f>+HLOOKUP($C104,BP!$EY$2:$FK$250,228,0)</f>
        <v>0</v>
      </c>
      <c r="DY104" s="106">
        <f>+HLOOKUP($C104,BP!$EY$2:$FK$250,236,0)</f>
        <v>0</v>
      </c>
      <c r="DZ104" s="106">
        <f>+HLOOKUP($C104,BP!$EY$2:$FK$250,237,0)</f>
        <v>0</v>
      </c>
      <c r="EA104" s="106">
        <f>+HLOOKUP($C104,BP!$EY$2:$FK$250,238,0)</f>
        <v>0</v>
      </c>
      <c r="EB104" s="106">
        <f>+HLOOKUP($C104,BP!$EY$2:$FK$250,240,0)</f>
        <v>468618.16800000001</v>
      </c>
    </row>
    <row r="105" spans="1:132">
      <c r="A105" t="s">
        <v>269</v>
      </c>
      <c r="B105" t="s">
        <v>273</v>
      </c>
      <c r="C105" s="117">
        <v>45778</v>
      </c>
      <c r="D105" s="106">
        <f t="shared" si="1"/>
        <v>1614000</v>
      </c>
      <c r="E105" s="106">
        <f>+HLOOKUP(C105,BP!$EY$2:$FK$250,28,0)+HLOOKUP(C105,BP!$EY$2:$FK$250,43,0)+HLOOKUP(C105,BP!$EY$2:$FK$250,44,0)+HLOOKUP(C105,BP!$EY$2:$FK$250,45,0)+HLOOKUP(C105,BP!$EY$2:$FK$250,54,0)+HLOOKUP(C105,BP!$EY$2:$FK$250,59,0)</f>
        <v>1614000</v>
      </c>
      <c r="F105" s="106">
        <f>+HLOOKUP(C105,BP!$EY$2:$FK$250,37,0)+HLOOKUP(C105,BP!$EY$2:$FK$250,55,0)</f>
        <v>1067454.487179487</v>
      </c>
      <c r="G105" s="106">
        <f>+HLOOKUP($C105,BP!$EY$2:$FK$250,76,0)</f>
        <v>0</v>
      </c>
      <c r="H105" s="106">
        <f>+HLOOKUP($C105,BP!$EY$2:$FK$250,77,0)</f>
        <v>0</v>
      </c>
      <c r="I105" s="106">
        <f>+HLOOKUP($C105,BP!$EY$2:$FK$250,78,0)</f>
        <v>0</v>
      </c>
      <c r="J105" s="106">
        <f>+HLOOKUP($C105,BP!$EY$2:$FK$250,79,0)</f>
        <v>0</v>
      </c>
      <c r="K105" s="106">
        <f>+HLOOKUP($C105,BP!$EY$2:$FK$250,80,0)</f>
        <v>0</v>
      </c>
      <c r="L105" s="106">
        <f>+HLOOKUP($C105,BP!$EY$2:$FK$250,81,0)</f>
        <v>0</v>
      </c>
      <c r="M105" s="106">
        <f>+HLOOKUP($C105,BP!$EY$2:$FK$250,82,0)</f>
        <v>0</v>
      </c>
      <c r="N105" s="106">
        <f>+HLOOKUP($C105,BP!$EY$2:$FK$250,83,0)</f>
        <v>0</v>
      </c>
      <c r="O105" s="106">
        <f>+HLOOKUP($C105,BP!$EY$2:$FK$250,84,0)</f>
        <v>0</v>
      </c>
      <c r="P105" s="106">
        <f>+HLOOKUP($C105,BP!$EY$2:$FK$250,85,0)</f>
        <v>0</v>
      </c>
      <c r="Q105" s="106">
        <f>+HLOOKUP($C105,BP!$EY$2:$FK$250,87,0)</f>
        <v>50400</v>
      </c>
      <c r="R105" s="106">
        <f>+HLOOKUP($C105,BP!$EY$2:$FK$250,90,0)</f>
        <v>0</v>
      </c>
      <c r="S105" s="106">
        <f>+HLOOKUP($C105,BP!$EY$2:$FK$250,91,0)</f>
        <v>0</v>
      </c>
      <c r="T105" s="106">
        <f>+HLOOKUP($C105,BP!$EY$2:$FK$250,92,0)</f>
        <v>0</v>
      </c>
      <c r="U105" s="106">
        <f>+HLOOKUP($C105,BP!$EY$2:$FK$250,93,0)</f>
        <v>0</v>
      </c>
      <c r="V105" s="106">
        <f>+HLOOKUP($C105,BP!$EY$2:$FK$250,94,0)</f>
        <v>0</v>
      </c>
      <c r="W105" s="106">
        <f>+HLOOKUP($C105,BP!$EY$2:$FK$250,95,0)</f>
        <v>0</v>
      </c>
      <c r="X105" s="106">
        <f>+HLOOKUP($C105,BP!$EY$2:$FK$250,96,0)</f>
        <v>0</v>
      </c>
      <c r="Y105" s="106">
        <f>+HLOOKUP($C105,BP!$EY$2:$FK$250,97,0)</f>
        <v>0</v>
      </c>
      <c r="Z105" s="106">
        <f>+HLOOKUP($C105,BP!$EY$2:$FK$250,98,0)</f>
        <v>0</v>
      </c>
      <c r="AA105" s="106">
        <f>+HLOOKUP($C105,BP!$EY$2:$FK$250,99,0)</f>
        <v>0</v>
      </c>
      <c r="AB105" s="106">
        <f>+HLOOKUP($C105,BP!$EY$2:$FK$250,100,0)</f>
        <v>0</v>
      </c>
      <c r="AC105" s="106">
        <f>+HLOOKUP($C105,BP!$EY$2:$FK$250,101,0)</f>
        <v>0</v>
      </c>
      <c r="AD105" s="106">
        <f>+HLOOKUP($C105,BP!$EY$2:$FK$250,104,0)</f>
        <v>1940.4</v>
      </c>
      <c r="AE105" s="106">
        <f>+HLOOKUP($C105,BP!$EY$2:$FK$250,105,0)</f>
        <v>6300</v>
      </c>
      <c r="AF105" s="106">
        <f>+HLOOKUP($C105,BP!$EY$2:$FK$250,106,0)</f>
        <v>0</v>
      </c>
      <c r="AG105" s="106">
        <f>+HLOOKUP($C105,BP!$EY$2:$FK$250,107,0)</f>
        <v>0</v>
      </c>
      <c r="AH105" s="106">
        <f>+HLOOKUP($C105,BP!$EY$2:$FK$250,108,0)</f>
        <v>0</v>
      </c>
      <c r="AI105" s="106">
        <f>+HLOOKUP($C105,BP!$EY$2:$FK$250,109,0)</f>
        <v>0</v>
      </c>
      <c r="AJ105" s="106">
        <f>+HLOOKUP($C105,BP!$EY$2:$FK$250,110,0)</f>
        <v>0</v>
      </c>
      <c r="AK105" s="106">
        <f>+HLOOKUP($C105,BP!$EY$2:$FK$250,111,0)</f>
        <v>388.08000000000004</v>
      </c>
      <c r="AL105" s="106">
        <f>+HLOOKUP($C105,BP!$EY$2:$FK$250,112,0)</f>
        <v>0</v>
      </c>
      <c r="AM105" s="106">
        <f>+HLOOKUP($C105,BP!$EY$2:$FK$250,116,0)</f>
        <v>41250</v>
      </c>
      <c r="AN105" s="106">
        <f>+HLOOKUP($C105,BP!$EY$2:$FK$250,117,0)</f>
        <v>6150</v>
      </c>
      <c r="AO105" s="106">
        <f>+HLOOKUP($C105,BP!$EY$2:$FK$250,118,0)</f>
        <v>0</v>
      </c>
      <c r="AP105" s="106">
        <f>+HLOOKUP($C105,BP!$EY$2:$FK$250,119,0)</f>
        <v>16500</v>
      </c>
      <c r="AQ105" s="106">
        <f>+HLOOKUP($C105,BP!$EY$2:$FK$250,120,0)</f>
        <v>0</v>
      </c>
      <c r="AR105" s="106">
        <f>+HLOOKUP($C105,BP!$EY$2:$FK$250,121,0)</f>
        <v>0</v>
      </c>
      <c r="AS105" s="106">
        <f>+HLOOKUP($C105,BP!$EY$2:$FK$250,122,0)</f>
        <v>18600</v>
      </c>
      <c r="AT105" s="106">
        <f>+HLOOKUP($C105,BP!$EY$2:$FK$250,123,0)</f>
        <v>5646.875</v>
      </c>
      <c r="AU105" s="106">
        <f>+HLOOKUP($C105,BP!$EY$2:$FK$250,124,0)</f>
        <v>0</v>
      </c>
      <c r="AV105" s="106">
        <f>+HLOOKUP($C105,BP!$EY$2:$FK$250,125,0)</f>
        <v>0</v>
      </c>
      <c r="AW105" s="106">
        <f>+HLOOKUP($C105,BP!$EY$2:$FK$250,126,0)</f>
        <v>1983.1730769230771</v>
      </c>
      <c r="AX105" s="106">
        <f>+HLOOKUP($C105,BP!$EY$2:$FK$250,127,0)</f>
        <v>3250</v>
      </c>
      <c r="AY105" s="106">
        <f>+HLOOKUP($C105,BP!$EY$2:$FK$250,129,0)</f>
        <v>0</v>
      </c>
      <c r="AZ105" s="106">
        <f>+HLOOKUP($C105,BP!$EY$2:$FK$250,130,0)</f>
        <v>0</v>
      </c>
      <c r="BA105" s="106">
        <f>+HLOOKUP($C105,BP!$EY$2:$FK$250,131,0)</f>
        <v>7500</v>
      </c>
      <c r="BB105" s="106">
        <f>+HLOOKUP($C105,BP!$EY$2:$FK$250,133,0)</f>
        <v>0</v>
      </c>
      <c r="BC105" s="106">
        <f>+HLOOKUP($C105,BP!$EY$2:$FK$250,134,0)</f>
        <v>0</v>
      </c>
      <c r="BD105" s="106">
        <f>+HLOOKUP($C105,BP!$EY$2:$FK$250,135,0)</f>
        <v>0</v>
      </c>
      <c r="BE105" s="106">
        <f>+HLOOKUP($C105,BP!$EY$2:$FK$250,136,0)</f>
        <v>0</v>
      </c>
      <c r="BF105" s="106">
        <f>+HLOOKUP($C105,BP!$EY$2:$FK$250,138,0)</f>
        <v>1500</v>
      </c>
      <c r="BG105" s="106">
        <f>+HLOOKUP($C105,BP!$EY$2:$FK$250,139,0)</f>
        <v>6666.6666666666661</v>
      </c>
      <c r="BH105" s="106">
        <f>+HLOOKUP($C105,BP!$EY$2:$FK$250,140,0)</f>
        <v>13400</v>
      </c>
      <c r="BI105" s="106">
        <f>+HLOOKUP($C105,BP!$EY$2:$FK$250,141,0)</f>
        <v>0</v>
      </c>
      <c r="BJ105" s="106">
        <f>+HLOOKUP($C105,BP!$EY$2:$FK$250,142,0)</f>
        <v>0</v>
      </c>
      <c r="BK105" s="106">
        <f>+HLOOKUP($C105,BP!$EY$2:$FK$250,143,0)</f>
        <v>3000</v>
      </c>
      <c r="BL105" s="106">
        <f>+HLOOKUP($C105,BP!$EY$2:$FK$250,144,0)</f>
        <v>291.66666666666669</v>
      </c>
      <c r="BM105" s="106">
        <f>+HLOOKUP($C105,BP!$EY$2:$FK$250,146,0)</f>
        <v>0</v>
      </c>
      <c r="BN105" s="106">
        <f>+HLOOKUP($C105,BP!$EY$2:$FK$250,147,0)</f>
        <v>0</v>
      </c>
      <c r="BO105" s="106">
        <f>+HLOOKUP($C105,BP!$EY$2:$FK$250,148,0)</f>
        <v>0</v>
      </c>
      <c r="BP105" s="106">
        <f>+HLOOKUP($C105,BP!$EY$2:$FK$250,150,0)</f>
        <v>26000</v>
      </c>
      <c r="BQ105" s="106">
        <f>+HLOOKUP($C105,BP!$EY$2:$FK$250,151,0)</f>
        <v>1984.4</v>
      </c>
      <c r="BR105" s="106">
        <f>+HLOOKUP($C105,BP!$EY$2:$FK$250,152,0)</f>
        <v>12800</v>
      </c>
      <c r="BS105" s="106">
        <f>+HLOOKUP($C105,BP!$EY$2:$FK$250,153,0)</f>
        <v>3000</v>
      </c>
      <c r="BT105" s="106">
        <f>+HLOOKUP($C105,BP!$EY$2:$FK$250,157,0)</f>
        <v>0</v>
      </c>
      <c r="BU105" s="106">
        <f>+HLOOKUP($C105,BP!$EY$2:$FK$250,158,0)</f>
        <v>0</v>
      </c>
      <c r="BV105" s="106">
        <f>+HLOOKUP($C105,BP!$EY$2:$FK$250,159,0)</f>
        <v>0</v>
      </c>
      <c r="BW105" s="106">
        <f>+HLOOKUP($C105,BP!$EY$2:$FK$250,160,0)</f>
        <v>0</v>
      </c>
      <c r="BX105" s="106">
        <f>+HLOOKUP($C105,BP!$EY$2:$FK$250,161,0)</f>
        <v>0</v>
      </c>
      <c r="BY105" s="106">
        <f>+HLOOKUP($C105,BP!$EY$2:$FK$250,164,0)</f>
        <v>0</v>
      </c>
      <c r="BZ105" s="106">
        <f>+HLOOKUP($C105,BP!$EY$2:$FK$250,165,0)</f>
        <v>0</v>
      </c>
      <c r="CA105" s="106">
        <f>+HLOOKUP($C105,BP!$EY$2:$FK$250,166,0)</f>
        <v>0</v>
      </c>
      <c r="CB105" s="106">
        <f>+HLOOKUP($C105,BP!$EY$2:$FK$250,167,0)</f>
        <v>0</v>
      </c>
      <c r="CC105" s="106">
        <f>+HLOOKUP($C105,BP!$EY$2:$FK$250,168,0)</f>
        <v>0</v>
      </c>
      <c r="CD105" s="106">
        <f>+HLOOKUP($C105,BP!$EY$2:$FK$250,169,0)</f>
        <v>0</v>
      </c>
      <c r="CE105" s="106">
        <f>+HLOOKUP($C105,BP!$EY$2:$FK$250,170,0)</f>
        <v>0</v>
      </c>
      <c r="CF105" s="106">
        <f>+HLOOKUP($C105,BP!$EY$2:$FK$250,172,0)</f>
        <v>0</v>
      </c>
      <c r="CG105" s="106">
        <f>+HLOOKUP($C105,BP!$EY$2:$FK$250,173,0)</f>
        <v>4800</v>
      </c>
      <c r="CH105" s="106">
        <f>+HLOOKUP($C105,BP!$EY$2:$FK$250,174,0)</f>
        <v>0</v>
      </c>
      <c r="CI105" s="106">
        <f>+HLOOKUP($C105,BP!$EY$2:$FK$250,175,0)</f>
        <v>0</v>
      </c>
      <c r="CJ105" s="106">
        <f>+HLOOKUP($C105,BP!$EY$2:$FK$250,176,0)</f>
        <v>0</v>
      </c>
      <c r="CK105" s="106">
        <f>+HLOOKUP($C105,BP!$EY$2:$FK$250,178,0)</f>
        <v>18600</v>
      </c>
      <c r="CL105" s="106">
        <f>+HLOOKUP($C105,BP!$EY$2:$FK$250,179,0)</f>
        <v>120000.00000000006</v>
      </c>
      <c r="CM105" s="106">
        <f>+HLOOKUP($C105,BP!$EY$2:$FK$250,180,0)</f>
        <v>1920</v>
      </c>
      <c r="CN105" s="106">
        <f>+HLOOKUP($C105,BP!$EY$2:$FK$250,182,0)</f>
        <v>2800</v>
      </c>
      <c r="CO105" s="106">
        <f>+HLOOKUP($C105,BP!$EY$2:$FK$250,183,0)</f>
        <v>800</v>
      </c>
      <c r="CP105" s="106">
        <f>+HLOOKUP($C105,BP!$EY$2:$FK$250,184,0)</f>
        <v>648</v>
      </c>
      <c r="CQ105" s="106">
        <f>+HLOOKUP($C105,BP!$EY$2:$FK$250,185,0)</f>
        <v>0</v>
      </c>
      <c r="CR105" s="106">
        <f>+HLOOKUP($C105,BP!$EY$2:$FK$250,187,0)</f>
        <v>1250</v>
      </c>
      <c r="CS105" s="106">
        <f>+HLOOKUP($C105,BP!$EY$2:$FK$250,188,0)</f>
        <v>0</v>
      </c>
      <c r="CT105" s="106">
        <f>+HLOOKUP($C105,BP!$EY$2:$FK$250,189,0)</f>
        <v>0</v>
      </c>
      <c r="CU105" s="106">
        <f>+HLOOKUP($C105,BP!$EY$2:$FK$250,190,0)</f>
        <v>0</v>
      </c>
      <c r="CV105" s="106">
        <f>+HLOOKUP($C105,BP!$EY$2:$FK$250,191,0)</f>
        <v>0</v>
      </c>
      <c r="CW105" s="106">
        <f>+HLOOKUP($C105,BP!$EY$2:$FK$250,193,0)</f>
        <v>0</v>
      </c>
      <c r="CX105" s="106">
        <f>+HLOOKUP($C105,BP!$EY$2:$FK$250,194,0)</f>
        <v>0</v>
      </c>
      <c r="CY105" s="106">
        <f>+HLOOKUP($C105,BP!$EY$2:$FK$250,195,0)</f>
        <v>10000</v>
      </c>
      <c r="CZ105" s="106">
        <f>+HLOOKUP($C105,BP!$EY$2:$FK$250,196,0)</f>
        <v>0</v>
      </c>
      <c r="DA105" s="106">
        <f>+HLOOKUP($C105,BP!$EY$2:$FK$250,197,0)</f>
        <v>6666.6666666666661</v>
      </c>
      <c r="DB105" s="106">
        <f>+HLOOKUP($C105,BP!$EY$2:$FK$250,198,0)</f>
        <v>4000</v>
      </c>
      <c r="DC105" s="106">
        <f>+HLOOKUP($C105,BP!$EY$2:$FK$250,199,0)</f>
        <v>1333.3333333333333</v>
      </c>
      <c r="DD105" s="106">
        <f>+HLOOKUP($C105,BP!$EY$2:$FK$250,200,0)</f>
        <v>666.66666666666663</v>
      </c>
      <c r="DE105" s="106">
        <f>+HLOOKUP($C105,BP!$EY$2:$FK$250,201,0)</f>
        <v>166.66666666666666</v>
      </c>
      <c r="DF105" s="106">
        <f>+HLOOKUP($C105,BP!$EY$2:$FK$250,202,0)</f>
        <v>0</v>
      </c>
      <c r="DG105" s="106">
        <f>+HLOOKUP($C105,BP!$EY$2:$FK$250,203,0)</f>
        <v>0</v>
      </c>
      <c r="DH105" s="106">
        <f>+HLOOKUP($C105,BP!$EY$2:$FK$250,205,0)</f>
        <v>0</v>
      </c>
      <c r="DI105" s="106">
        <f>+HLOOKUP($C105,BP!$EY$2:$FK$250,206,0)</f>
        <v>10000</v>
      </c>
      <c r="DJ105" s="106">
        <f>+HLOOKUP($C105,BP!$EY$2:$FK$250,207,0)</f>
        <v>0</v>
      </c>
      <c r="DK105" s="106">
        <f>+HLOOKUP($C105,BP!$EY$2:$FK$250,209,0)</f>
        <v>0</v>
      </c>
      <c r="DL105" s="106">
        <f>+HLOOKUP($C105,BP!$EY$2:$FK$250,210,0)</f>
        <v>180000</v>
      </c>
      <c r="DM105" s="106">
        <f>+HLOOKUP($C105,BP!$EY$2:$FK$250,211,0)</f>
        <v>0</v>
      </c>
      <c r="DN105" s="106">
        <f>+HLOOKUP($C105,BP!$EY$2:$FK$250,212,0)</f>
        <v>0</v>
      </c>
      <c r="DO105" s="106">
        <f>+HLOOKUP($C105,BP!$EY$2:$FK$250,214,0)</f>
        <v>0</v>
      </c>
      <c r="DP105" s="106">
        <f>+HLOOKUP($C105,BP!$EY$2:$FK$250,215,0)</f>
        <v>0</v>
      </c>
      <c r="DQ105" s="106">
        <f>+HLOOKUP($C105,BP!$EY$2:$FK$250,219,0)</f>
        <v>0</v>
      </c>
      <c r="DR105" s="106">
        <f>+HLOOKUP($C105,BP!$EY$2:$FK$250,220,0)</f>
        <v>0</v>
      </c>
      <c r="DS105" s="106">
        <f>+HLOOKUP($C105,BP!$EY$2:$FK$250,221,0)</f>
        <v>0</v>
      </c>
      <c r="DT105" s="106">
        <f>+HLOOKUP($C105,BP!$EY$2:$FK$250,223,0)</f>
        <v>3333.333333333333</v>
      </c>
      <c r="DU105" s="106">
        <f>+HLOOKUP($C105,BP!$EY$2:$FK$250,224,0)</f>
        <v>2000</v>
      </c>
      <c r="DV105" s="106">
        <f>+HLOOKUP($C105,BP!$EY$2:$FK$250,225,0)</f>
        <v>3333.333333333333</v>
      </c>
      <c r="DW105" s="106">
        <f>+HLOOKUP($C105,BP!$EY$2:$FK$250,227,0)</f>
        <v>0</v>
      </c>
      <c r="DX105" s="106">
        <f>+HLOOKUP($C105,BP!$EY$2:$FK$250,228,0)</f>
        <v>0</v>
      </c>
      <c r="DY105" s="106">
        <f>+HLOOKUP($C105,BP!$EY$2:$FK$250,236,0)</f>
        <v>0</v>
      </c>
      <c r="DZ105" s="106">
        <f>+HLOOKUP($C105,BP!$EY$2:$FK$250,237,0)</f>
        <v>0</v>
      </c>
      <c r="EA105" s="106">
        <f>+HLOOKUP($C105,BP!$EY$2:$FK$250,238,0)</f>
        <v>0</v>
      </c>
      <c r="EB105" s="106">
        <f>+HLOOKUP($C105,BP!$EY$2:$FK$250,240,0)</f>
        <v>468618.16800000001</v>
      </c>
    </row>
    <row r="106" spans="1:132">
      <c r="A106" t="s">
        <v>269</v>
      </c>
      <c r="B106" t="s">
        <v>273</v>
      </c>
      <c r="C106" s="117">
        <v>45748</v>
      </c>
      <c r="D106" s="106">
        <f t="shared" si="1"/>
        <v>1355760.0000000002</v>
      </c>
      <c r="E106" s="106">
        <f>+HLOOKUP(C106,BP!$EY$2:$FK$250,28,0)+HLOOKUP(C106,BP!$EY$2:$FK$250,43,0)+HLOOKUP(C106,BP!$EY$2:$FK$250,44,0)+HLOOKUP(C106,BP!$EY$2:$FK$250,45,0)+HLOOKUP(C106,BP!$EY$2:$FK$250,54,0)+HLOOKUP(C106,BP!$EY$2:$FK$250,59,0)</f>
        <v>1355760.0000000002</v>
      </c>
      <c r="F106" s="106">
        <f>+HLOOKUP(C106,BP!$EY$2:$FK$250,37,0)+HLOOKUP(C106,BP!$EY$2:$FK$250,55,0)</f>
        <v>902142.48717948736</v>
      </c>
      <c r="G106" s="106">
        <f>+HLOOKUP($C106,BP!$EY$2:$FK$250,76,0)</f>
        <v>0</v>
      </c>
      <c r="H106" s="106">
        <f>+HLOOKUP($C106,BP!$EY$2:$FK$250,77,0)</f>
        <v>0</v>
      </c>
      <c r="I106" s="106">
        <f>+HLOOKUP($C106,BP!$EY$2:$FK$250,78,0)</f>
        <v>0</v>
      </c>
      <c r="J106" s="106">
        <f>+HLOOKUP($C106,BP!$EY$2:$FK$250,79,0)</f>
        <v>0</v>
      </c>
      <c r="K106" s="106">
        <f>+HLOOKUP($C106,BP!$EY$2:$FK$250,80,0)</f>
        <v>0</v>
      </c>
      <c r="L106" s="106">
        <f>+HLOOKUP($C106,BP!$EY$2:$FK$250,81,0)</f>
        <v>0</v>
      </c>
      <c r="M106" s="106">
        <f>+HLOOKUP($C106,BP!$EY$2:$FK$250,82,0)</f>
        <v>0</v>
      </c>
      <c r="N106" s="106">
        <f>+HLOOKUP($C106,BP!$EY$2:$FK$250,83,0)</f>
        <v>0</v>
      </c>
      <c r="O106" s="106">
        <f>+HLOOKUP($C106,BP!$EY$2:$FK$250,84,0)</f>
        <v>0</v>
      </c>
      <c r="P106" s="106">
        <f>+HLOOKUP($C106,BP!$EY$2:$FK$250,85,0)</f>
        <v>0</v>
      </c>
      <c r="Q106" s="106">
        <f>+HLOOKUP($C106,BP!$EY$2:$FK$250,87,0)</f>
        <v>42336.000000000007</v>
      </c>
      <c r="R106" s="106">
        <f>+HLOOKUP($C106,BP!$EY$2:$FK$250,90,0)</f>
        <v>0</v>
      </c>
      <c r="S106" s="106">
        <f>+HLOOKUP($C106,BP!$EY$2:$FK$250,91,0)</f>
        <v>0</v>
      </c>
      <c r="T106" s="106">
        <f>+HLOOKUP($C106,BP!$EY$2:$FK$250,92,0)</f>
        <v>0</v>
      </c>
      <c r="U106" s="106">
        <f>+HLOOKUP($C106,BP!$EY$2:$FK$250,93,0)</f>
        <v>0</v>
      </c>
      <c r="V106" s="106">
        <f>+HLOOKUP($C106,BP!$EY$2:$FK$250,94,0)</f>
        <v>0</v>
      </c>
      <c r="W106" s="106">
        <f>+HLOOKUP($C106,BP!$EY$2:$FK$250,95,0)</f>
        <v>0</v>
      </c>
      <c r="X106" s="106">
        <f>+HLOOKUP($C106,BP!$EY$2:$FK$250,96,0)</f>
        <v>0</v>
      </c>
      <c r="Y106" s="106">
        <f>+HLOOKUP($C106,BP!$EY$2:$FK$250,97,0)</f>
        <v>0</v>
      </c>
      <c r="Z106" s="106">
        <f>+HLOOKUP($C106,BP!$EY$2:$FK$250,98,0)</f>
        <v>0</v>
      </c>
      <c r="AA106" s="106">
        <f>+HLOOKUP($C106,BP!$EY$2:$FK$250,99,0)</f>
        <v>0</v>
      </c>
      <c r="AB106" s="106">
        <f>+HLOOKUP($C106,BP!$EY$2:$FK$250,100,0)</f>
        <v>0</v>
      </c>
      <c r="AC106" s="106">
        <f>+HLOOKUP($C106,BP!$EY$2:$FK$250,101,0)</f>
        <v>0</v>
      </c>
      <c r="AD106" s="106">
        <f>+HLOOKUP($C106,BP!$EY$2:$FK$250,104,0)</f>
        <v>1629.9360000000006</v>
      </c>
      <c r="AE106" s="106">
        <f>+HLOOKUP($C106,BP!$EY$2:$FK$250,105,0)</f>
        <v>5292.0000000000009</v>
      </c>
      <c r="AF106" s="106">
        <f>+HLOOKUP($C106,BP!$EY$2:$FK$250,106,0)</f>
        <v>0</v>
      </c>
      <c r="AG106" s="106">
        <f>+HLOOKUP($C106,BP!$EY$2:$FK$250,107,0)</f>
        <v>0</v>
      </c>
      <c r="AH106" s="106">
        <f>+HLOOKUP($C106,BP!$EY$2:$FK$250,108,0)</f>
        <v>0</v>
      </c>
      <c r="AI106" s="106">
        <f>+HLOOKUP($C106,BP!$EY$2:$FK$250,109,0)</f>
        <v>0</v>
      </c>
      <c r="AJ106" s="106">
        <f>+HLOOKUP($C106,BP!$EY$2:$FK$250,110,0)</f>
        <v>0</v>
      </c>
      <c r="AK106" s="106">
        <f>+HLOOKUP($C106,BP!$EY$2:$FK$250,111,0)</f>
        <v>325.98720000000014</v>
      </c>
      <c r="AL106" s="106">
        <f>+HLOOKUP($C106,BP!$EY$2:$FK$250,112,0)</f>
        <v>0</v>
      </c>
      <c r="AM106" s="106">
        <f>+HLOOKUP($C106,BP!$EY$2:$FK$250,116,0)</f>
        <v>41250</v>
      </c>
      <c r="AN106" s="106">
        <f>+HLOOKUP($C106,BP!$EY$2:$FK$250,117,0)</f>
        <v>6150</v>
      </c>
      <c r="AO106" s="106">
        <f>+HLOOKUP($C106,BP!$EY$2:$FK$250,118,0)</f>
        <v>0</v>
      </c>
      <c r="AP106" s="106">
        <f>+HLOOKUP($C106,BP!$EY$2:$FK$250,119,0)</f>
        <v>16500</v>
      </c>
      <c r="AQ106" s="106">
        <f>+HLOOKUP($C106,BP!$EY$2:$FK$250,120,0)</f>
        <v>0</v>
      </c>
      <c r="AR106" s="106">
        <f>+HLOOKUP($C106,BP!$EY$2:$FK$250,121,0)</f>
        <v>0</v>
      </c>
      <c r="AS106" s="106">
        <f>+HLOOKUP($C106,BP!$EY$2:$FK$250,122,0)</f>
        <v>18600</v>
      </c>
      <c r="AT106" s="106">
        <f>+HLOOKUP($C106,BP!$EY$2:$FK$250,123,0)</f>
        <v>5646.875</v>
      </c>
      <c r="AU106" s="106">
        <f>+HLOOKUP($C106,BP!$EY$2:$FK$250,124,0)</f>
        <v>0</v>
      </c>
      <c r="AV106" s="106">
        <f>+HLOOKUP($C106,BP!$EY$2:$FK$250,125,0)</f>
        <v>0</v>
      </c>
      <c r="AW106" s="106">
        <f>+HLOOKUP($C106,BP!$EY$2:$FK$250,126,0)</f>
        <v>1983.1730769230771</v>
      </c>
      <c r="AX106" s="106">
        <f>+HLOOKUP($C106,BP!$EY$2:$FK$250,127,0)</f>
        <v>3250</v>
      </c>
      <c r="AY106" s="106">
        <f>+HLOOKUP($C106,BP!$EY$2:$FK$250,129,0)</f>
        <v>0</v>
      </c>
      <c r="AZ106" s="106">
        <f>+HLOOKUP($C106,BP!$EY$2:$FK$250,130,0)</f>
        <v>0</v>
      </c>
      <c r="BA106" s="106">
        <f>+HLOOKUP($C106,BP!$EY$2:$FK$250,131,0)</f>
        <v>7500</v>
      </c>
      <c r="BB106" s="106">
        <f>+HLOOKUP($C106,BP!$EY$2:$FK$250,133,0)</f>
        <v>0</v>
      </c>
      <c r="BC106" s="106">
        <f>+HLOOKUP($C106,BP!$EY$2:$FK$250,134,0)</f>
        <v>0</v>
      </c>
      <c r="BD106" s="106">
        <f>+HLOOKUP($C106,BP!$EY$2:$FK$250,135,0)</f>
        <v>0</v>
      </c>
      <c r="BE106" s="106">
        <f>+HLOOKUP($C106,BP!$EY$2:$FK$250,136,0)</f>
        <v>0</v>
      </c>
      <c r="BF106" s="106">
        <f>+HLOOKUP($C106,BP!$EY$2:$FK$250,138,0)</f>
        <v>1500</v>
      </c>
      <c r="BG106" s="106">
        <f>+HLOOKUP($C106,BP!$EY$2:$FK$250,139,0)</f>
        <v>6666.6666666666661</v>
      </c>
      <c r="BH106" s="106">
        <f>+HLOOKUP($C106,BP!$EY$2:$FK$250,140,0)</f>
        <v>13400</v>
      </c>
      <c r="BI106" s="106">
        <f>+HLOOKUP($C106,BP!$EY$2:$FK$250,141,0)</f>
        <v>0</v>
      </c>
      <c r="BJ106" s="106">
        <f>+HLOOKUP($C106,BP!$EY$2:$FK$250,142,0)</f>
        <v>0</v>
      </c>
      <c r="BK106" s="106">
        <f>+HLOOKUP($C106,BP!$EY$2:$FK$250,143,0)</f>
        <v>3000</v>
      </c>
      <c r="BL106" s="106">
        <f>+HLOOKUP($C106,BP!$EY$2:$FK$250,144,0)</f>
        <v>2625</v>
      </c>
      <c r="BM106" s="106">
        <f>+HLOOKUP($C106,BP!$EY$2:$FK$250,146,0)</f>
        <v>0</v>
      </c>
      <c r="BN106" s="106">
        <f>+HLOOKUP($C106,BP!$EY$2:$FK$250,147,0)</f>
        <v>0</v>
      </c>
      <c r="BO106" s="106">
        <f>+HLOOKUP($C106,BP!$EY$2:$FK$250,148,0)</f>
        <v>0</v>
      </c>
      <c r="BP106" s="106">
        <f>+HLOOKUP($C106,BP!$EY$2:$FK$250,150,0)</f>
        <v>26000</v>
      </c>
      <c r="BQ106" s="106">
        <f>+HLOOKUP($C106,BP!$EY$2:$FK$250,151,0)</f>
        <v>1984.4</v>
      </c>
      <c r="BR106" s="106">
        <f>+HLOOKUP($C106,BP!$EY$2:$FK$250,152,0)</f>
        <v>12800</v>
      </c>
      <c r="BS106" s="106">
        <f>+HLOOKUP($C106,BP!$EY$2:$FK$250,153,0)</f>
        <v>3000</v>
      </c>
      <c r="BT106" s="106">
        <f>+HLOOKUP($C106,BP!$EY$2:$FK$250,157,0)</f>
        <v>0</v>
      </c>
      <c r="BU106" s="106">
        <f>+HLOOKUP($C106,BP!$EY$2:$FK$250,158,0)</f>
        <v>0</v>
      </c>
      <c r="BV106" s="106">
        <f>+HLOOKUP($C106,BP!$EY$2:$FK$250,159,0)</f>
        <v>0</v>
      </c>
      <c r="BW106" s="106">
        <f>+HLOOKUP($C106,BP!$EY$2:$FK$250,160,0)</f>
        <v>0</v>
      </c>
      <c r="BX106" s="106">
        <f>+HLOOKUP($C106,BP!$EY$2:$FK$250,161,0)</f>
        <v>0</v>
      </c>
      <c r="BY106" s="106">
        <f>+HLOOKUP($C106,BP!$EY$2:$FK$250,164,0)</f>
        <v>0</v>
      </c>
      <c r="BZ106" s="106">
        <f>+HLOOKUP($C106,BP!$EY$2:$FK$250,165,0)</f>
        <v>0</v>
      </c>
      <c r="CA106" s="106">
        <f>+HLOOKUP($C106,BP!$EY$2:$FK$250,166,0)</f>
        <v>0</v>
      </c>
      <c r="CB106" s="106">
        <f>+HLOOKUP($C106,BP!$EY$2:$FK$250,167,0)</f>
        <v>0</v>
      </c>
      <c r="CC106" s="106">
        <f>+HLOOKUP($C106,BP!$EY$2:$FK$250,168,0)</f>
        <v>0</v>
      </c>
      <c r="CD106" s="106">
        <f>+HLOOKUP($C106,BP!$EY$2:$FK$250,169,0)</f>
        <v>0</v>
      </c>
      <c r="CE106" s="106">
        <f>+HLOOKUP($C106,BP!$EY$2:$FK$250,170,0)</f>
        <v>0</v>
      </c>
      <c r="CF106" s="106">
        <f>+HLOOKUP($C106,BP!$EY$2:$FK$250,172,0)</f>
        <v>0</v>
      </c>
      <c r="CG106" s="106">
        <f>+HLOOKUP($C106,BP!$EY$2:$FK$250,173,0)</f>
        <v>4800</v>
      </c>
      <c r="CH106" s="106">
        <f>+HLOOKUP($C106,BP!$EY$2:$FK$250,174,0)</f>
        <v>0</v>
      </c>
      <c r="CI106" s="106">
        <f>+HLOOKUP($C106,BP!$EY$2:$FK$250,175,0)</f>
        <v>0</v>
      </c>
      <c r="CJ106" s="106">
        <f>+HLOOKUP($C106,BP!$EY$2:$FK$250,176,0)</f>
        <v>0</v>
      </c>
      <c r="CK106" s="106">
        <f>+HLOOKUP($C106,BP!$EY$2:$FK$250,178,0)</f>
        <v>18600</v>
      </c>
      <c r="CL106" s="106">
        <f>+HLOOKUP($C106,BP!$EY$2:$FK$250,179,0)</f>
        <v>120000.00000000006</v>
      </c>
      <c r="CM106" s="106">
        <f>+HLOOKUP($C106,BP!$EY$2:$FK$250,180,0)</f>
        <v>1920</v>
      </c>
      <c r="CN106" s="106">
        <f>+HLOOKUP($C106,BP!$EY$2:$FK$250,182,0)</f>
        <v>2800</v>
      </c>
      <c r="CO106" s="106">
        <f>+HLOOKUP($C106,BP!$EY$2:$FK$250,183,0)</f>
        <v>800</v>
      </c>
      <c r="CP106" s="106">
        <f>+HLOOKUP($C106,BP!$EY$2:$FK$250,184,0)</f>
        <v>648</v>
      </c>
      <c r="CQ106" s="106">
        <f>+HLOOKUP($C106,BP!$EY$2:$FK$250,185,0)</f>
        <v>0</v>
      </c>
      <c r="CR106" s="106">
        <f>+HLOOKUP($C106,BP!$EY$2:$FK$250,187,0)</f>
        <v>1250</v>
      </c>
      <c r="CS106" s="106">
        <f>+HLOOKUP($C106,BP!$EY$2:$FK$250,188,0)</f>
        <v>0</v>
      </c>
      <c r="CT106" s="106">
        <f>+HLOOKUP($C106,BP!$EY$2:$FK$250,189,0)</f>
        <v>0</v>
      </c>
      <c r="CU106" s="106">
        <f>+HLOOKUP($C106,BP!$EY$2:$FK$250,190,0)</f>
        <v>0</v>
      </c>
      <c r="CV106" s="106">
        <f>+HLOOKUP($C106,BP!$EY$2:$FK$250,191,0)</f>
        <v>0</v>
      </c>
      <c r="CW106" s="106">
        <f>+HLOOKUP($C106,BP!$EY$2:$FK$250,193,0)</f>
        <v>0</v>
      </c>
      <c r="CX106" s="106">
        <f>+HLOOKUP($C106,BP!$EY$2:$FK$250,194,0)</f>
        <v>0</v>
      </c>
      <c r="CY106" s="106">
        <f>+HLOOKUP($C106,BP!$EY$2:$FK$250,195,0)</f>
        <v>10000</v>
      </c>
      <c r="CZ106" s="106">
        <f>+HLOOKUP($C106,BP!$EY$2:$FK$250,196,0)</f>
        <v>0</v>
      </c>
      <c r="DA106" s="106">
        <f>+HLOOKUP($C106,BP!$EY$2:$FK$250,197,0)</f>
        <v>6666.6666666666661</v>
      </c>
      <c r="DB106" s="106">
        <f>+HLOOKUP($C106,BP!$EY$2:$FK$250,198,0)</f>
        <v>4000</v>
      </c>
      <c r="DC106" s="106">
        <f>+HLOOKUP($C106,BP!$EY$2:$FK$250,199,0)</f>
        <v>1333.3333333333333</v>
      </c>
      <c r="DD106" s="106">
        <f>+HLOOKUP($C106,BP!$EY$2:$FK$250,200,0)</f>
        <v>666.66666666666663</v>
      </c>
      <c r="DE106" s="106">
        <f>+HLOOKUP($C106,BP!$EY$2:$FK$250,201,0)</f>
        <v>166.66666666666666</v>
      </c>
      <c r="DF106" s="106">
        <f>+HLOOKUP($C106,BP!$EY$2:$FK$250,202,0)</f>
        <v>0</v>
      </c>
      <c r="DG106" s="106">
        <f>+HLOOKUP($C106,BP!$EY$2:$FK$250,203,0)</f>
        <v>0</v>
      </c>
      <c r="DH106" s="106">
        <f>+HLOOKUP($C106,BP!$EY$2:$FK$250,205,0)</f>
        <v>0</v>
      </c>
      <c r="DI106" s="106">
        <f>+HLOOKUP($C106,BP!$EY$2:$FK$250,206,0)</f>
        <v>10000</v>
      </c>
      <c r="DJ106" s="106">
        <f>+HLOOKUP($C106,BP!$EY$2:$FK$250,207,0)</f>
        <v>0</v>
      </c>
      <c r="DK106" s="106">
        <f>+HLOOKUP($C106,BP!$EY$2:$FK$250,209,0)</f>
        <v>0</v>
      </c>
      <c r="DL106" s="106">
        <f>+HLOOKUP($C106,BP!$EY$2:$FK$250,210,0)</f>
        <v>180000</v>
      </c>
      <c r="DM106" s="106">
        <f>+HLOOKUP($C106,BP!$EY$2:$FK$250,211,0)</f>
        <v>0</v>
      </c>
      <c r="DN106" s="106">
        <f>+HLOOKUP($C106,BP!$EY$2:$FK$250,212,0)</f>
        <v>0</v>
      </c>
      <c r="DO106" s="106">
        <f>+HLOOKUP($C106,BP!$EY$2:$FK$250,214,0)</f>
        <v>0</v>
      </c>
      <c r="DP106" s="106">
        <f>+HLOOKUP($C106,BP!$EY$2:$FK$250,215,0)</f>
        <v>0</v>
      </c>
      <c r="DQ106" s="106">
        <f>+HLOOKUP($C106,BP!$EY$2:$FK$250,219,0)</f>
        <v>0</v>
      </c>
      <c r="DR106" s="106">
        <f>+HLOOKUP($C106,BP!$EY$2:$FK$250,220,0)</f>
        <v>0</v>
      </c>
      <c r="DS106" s="106">
        <f>+HLOOKUP($C106,BP!$EY$2:$FK$250,221,0)</f>
        <v>0</v>
      </c>
      <c r="DT106" s="106">
        <f>+HLOOKUP($C106,BP!$EY$2:$FK$250,223,0)</f>
        <v>3333.333333333333</v>
      </c>
      <c r="DU106" s="106">
        <f>+HLOOKUP($C106,BP!$EY$2:$FK$250,224,0)</f>
        <v>2000</v>
      </c>
      <c r="DV106" s="106">
        <f>+HLOOKUP($C106,BP!$EY$2:$FK$250,225,0)</f>
        <v>3333.333333333333</v>
      </c>
      <c r="DW106" s="106">
        <f>+HLOOKUP($C106,BP!$EY$2:$FK$250,227,0)</f>
        <v>0</v>
      </c>
      <c r="DX106" s="106">
        <f>+HLOOKUP($C106,BP!$EY$2:$FK$250,228,0)</f>
        <v>0</v>
      </c>
      <c r="DY106" s="106">
        <f>+HLOOKUP($C106,BP!$EY$2:$FK$250,236,0)</f>
        <v>0</v>
      </c>
      <c r="DZ106" s="106">
        <f>+HLOOKUP($C106,BP!$EY$2:$FK$250,237,0)</f>
        <v>0</v>
      </c>
      <c r="EA106" s="106">
        <f>+HLOOKUP($C106,BP!$EY$2:$FK$250,238,0)</f>
        <v>0</v>
      </c>
      <c r="EB106" s="106">
        <f>+HLOOKUP($C106,BP!$EY$2:$FK$250,240,0)</f>
        <v>468618.16800000001</v>
      </c>
    </row>
    <row r="107" spans="1:132">
      <c r="A107" t="s">
        <v>269</v>
      </c>
      <c r="B107" t="s">
        <v>273</v>
      </c>
      <c r="C107" s="117">
        <v>45717</v>
      </c>
      <c r="D107" s="106">
        <f t="shared" si="1"/>
        <v>1513125.0000000002</v>
      </c>
      <c r="E107" s="106">
        <f>+HLOOKUP(C107,BP!$EY$2:$FK$250,28,0)+HLOOKUP(C107,BP!$EY$2:$FK$250,43,0)+HLOOKUP(C107,BP!$EY$2:$FK$250,44,0)+HLOOKUP(C107,BP!$EY$2:$FK$250,45,0)+HLOOKUP(C107,BP!$EY$2:$FK$250,54,0)+HLOOKUP(C107,BP!$EY$2:$FK$250,59,0)</f>
        <v>1513125.0000000002</v>
      </c>
      <c r="F107" s="106">
        <f>+HLOOKUP(C107,BP!$EY$2:$FK$250,37,0)+HLOOKUP(C107,BP!$EY$2:$FK$250,55,0)</f>
        <v>1002879.4871794874</v>
      </c>
      <c r="G107" s="106">
        <f>+HLOOKUP($C107,BP!$EY$2:$FK$250,76,0)</f>
        <v>0</v>
      </c>
      <c r="H107" s="106">
        <f>+HLOOKUP($C107,BP!$EY$2:$FK$250,77,0)</f>
        <v>0</v>
      </c>
      <c r="I107" s="106">
        <f>+HLOOKUP($C107,BP!$EY$2:$FK$250,78,0)</f>
        <v>0</v>
      </c>
      <c r="J107" s="106">
        <f>+HLOOKUP($C107,BP!$EY$2:$FK$250,79,0)</f>
        <v>0</v>
      </c>
      <c r="K107" s="106">
        <f>+HLOOKUP($C107,BP!$EY$2:$FK$250,80,0)</f>
        <v>0</v>
      </c>
      <c r="L107" s="106">
        <f>+HLOOKUP($C107,BP!$EY$2:$FK$250,81,0)</f>
        <v>0</v>
      </c>
      <c r="M107" s="106">
        <f>+HLOOKUP($C107,BP!$EY$2:$FK$250,82,0)</f>
        <v>0</v>
      </c>
      <c r="N107" s="106">
        <f>+HLOOKUP($C107,BP!$EY$2:$FK$250,83,0)</f>
        <v>0</v>
      </c>
      <c r="O107" s="106">
        <f>+HLOOKUP($C107,BP!$EY$2:$FK$250,84,0)</f>
        <v>0</v>
      </c>
      <c r="P107" s="106">
        <f>+HLOOKUP($C107,BP!$EY$2:$FK$250,85,0)</f>
        <v>0</v>
      </c>
      <c r="Q107" s="106">
        <f>+HLOOKUP($C107,BP!$EY$2:$FK$250,87,0)</f>
        <v>47250.000000000007</v>
      </c>
      <c r="R107" s="106">
        <f>+HLOOKUP($C107,BP!$EY$2:$FK$250,90,0)</f>
        <v>0</v>
      </c>
      <c r="S107" s="106">
        <f>+HLOOKUP($C107,BP!$EY$2:$FK$250,91,0)</f>
        <v>0</v>
      </c>
      <c r="T107" s="106">
        <f>+HLOOKUP($C107,BP!$EY$2:$FK$250,92,0)</f>
        <v>0</v>
      </c>
      <c r="U107" s="106">
        <f>+HLOOKUP($C107,BP!$EY$2:$FK$250,93,0)</f>
        <v>0</v>
      </c>
      <c r="V107" s="106">
        <f>+HLOOKUP($C107,BP!$EY$2:$FK$250,94,0)</f>
        <v>0</v>
      </c>
      <c r="W107" s="106">
        <f>+HLOOKUP($C107,BP!$EY$2:$FK$250,95,0)</f>
        <v>0</v>
      </c>
      <c r="X107" s="106">
        <f>+HLOOKUP($C107,BP!$EY$2:$FK$250,96,0)</f>
        <v>0</v>
      </c>
      <c r="Y107" s="106">
        <f>+HLOOKUP($C107,BP!$EY$2:$FK$250,97,0)</f>
        <v>0</v>
      </c>
      <c r="Z107" s="106">
        <f>+HLOOKUP($C107,BP!$EY$2:$FK$250,98,0)</f>
        <v>0</v>
      </c>
      <c r="AA107" s="106">
        <f>+HLOOKUP($C107,BP!$EY$2:$FK$250,99,0)</f>
        <v>0</v>
      </c>
      <c r="AB107" s="106">
        <f>+HLOOKUP($C107,BP!$EY$2:$FK$250,100,0)</f>
        <v>0</v>
      </c>
      <c r="AC107" s="106">
        <f>+HLOOKUP($C107,BP!$EY$2:$FK$250,101,0)</f>
        <v>0</v>
      </c>
      <c r="AD107" s="106">
        <f>+HLOOKUP($C107,BP!$EY$2:$FK$250,104,0)</f>
        <v>1819.1250000000005</v>
      </c>
      <c r="AE107" s="106">
        <f>+HLOOKUP($C107,BP!$EY$2:$FK$250,105,0)</f>
        <v>5906.2500000000009</v>
      </c>
      <c r="AF107" s="106">
        <f>+HLOOKUP($C107,BP!$EY$2:$FK$250,106,0)</f>
        <v>0</v>
      </c>
      <c r="AG107" s="106">
        <f>+HLOOKUP($C107,BP!$EY$2:$FK$250,107,0)</f>
        <v>0</v>
      </c>
      <c r="AH107" s="106">
        <f>+HLOOKUP($C107,BP!$EY$2:$FK$250,108,0)</f>
        <v>0</v>
      </c>
      <c r="AI107" s="106">
        <f>+HLOOKUP($C107,BP!$EY$2:$FK$250,109,0)</f>
        <v>0</v>
      </c>
      <c r="AJ107" s="106">
        <f>+HLOOKUP($C107,BP!$EY$2:$FK$250,110,0)</f>
        <v>0</v>
      </c>
      <c r="AK107" s="106">
        <f>+HLOOKUP($C107,BP!$EY$2:$FK$250,111,0)</f>
        <v>363.8250000000001</v>
      </c>
      <c r="AL107" s="106">
        <f>+HLOOKUP($C107,BP!$EY$2:$FK$250,112,0)</f>
        <v>0</v>
      </c>
      <c r="AM107" s="106">
        <f>+HLOOKUP($C107,BP!$EY$2:$FK$250,116,0)</f>
        <v>41250</v>
      </c>
      <c r="AN107" s="106">
        <f>+HLOOKUP($C107,BP!$EY$2:$FK$250,117,0)</f>
        <v>6150</v>
      </c>
      <c r="AO107" s="106">
        <f>+HLOOKUP($C107,BP!$EY$2:$FK$250,118,0)</f>
        <v>0</v>
      </c>
      <c r="AP107" s="106">
        <f>+HLOOKUP($C107,BP!$EY$2:$FK$250,119,0)</f>
        <v>16500</v>
      </c>
      <c r="AQ107" s="106">
        <f>+HLOOKUP($C107,BP!$EY$2:$FK$250,120,0)</f>
        <v>0</v>
      </c>
      <c r="AR107" s="106">
        <f>+HLOOKUP($C107,BP!$EY$2:$FK$250,121,0)</f>
        <v>0</v>
      </c>
      <c r="AS107" s="106">
        <f>+HLOOKUP($C107,BP!$EY$2:$FK$250,122,0)</f>
        <v>18600</v>
      </c>
      <c r="AT107" s="106">
        <f>+HLOOKUP($C107,BP!$EY$2:$FK$250,123,0)</f>
        <v>5646.875</v>
      </c>
      <c r="AU107" s="106">
        <f>+HLOOKUP($C107,BP!$EY$2:$FK$250,124,0)</f>
        <v>0</v>
      </c>
      <c r="AV107" s="106">
        <f>+HLOOKUP($C107,BP!$EY$2:$FK$250,125,0)</f>
        <v>0</v>
      </c>
      <c r="AW107" s="106">
        <f>+HLOOKUP($C107,BP!$EY$2:$FK$250,126,0)</f>
        <v>1983.1730769230771</v>
      </c>
      <c r="AX107" s="106">
        <f>+HLOOKUP($C107,BP!$EY$2:$FK$250,127,0)</f>
        <v>3250</v>
      </c>
      <c r="AY107" s="106">
        <f>+HLOOKUP($C107,BP!$EY$2:$FK$250,129,0)</f>
        <v>0</v>
      </c>
      <c r="AZ107" s="106">
        <f>+HLOOKUP($C107,BP!$EY$2:$FK$250,130,0)</f>
        <v>0</v>
      </c>
      <c r="BA107" s="106">
        <f>+HLOOKUP($C107,BP!$EY$2:$FK$250,131,0)</f>
        <v>7500</v>
      </c>
      <c r="BB107" s="106">
        <f>+HLOOKUP($C107,BP!$EY$2:$FK$250,133,0)</f>
        <v>0</v>
      </c>
      <c r="BC107" s="106">
        <f>+HLOOKUP($C107,BP!$EY$2:$FK$250,134,0)</f>
        <v>0</v>
      </c>
      <c r="BD107" s="106">
        <f>+HLOOKUP($C107,BP!$EY$2:$FK$250,135,0)</f>
        <v>0</v>
      </c>
      <c r="BE107" s="106">
        <f>+HLOOKUP($C107,BP!$EY$2:$FK$250,136,0)</f>
        <v>0</v>
      </c>
      <c r="BF107" s="106">
        <f>+HLOOKUP($C107,BP!$EY$2:$FK$250,138,0)</f>
        <v>1500</v>
      </c>
      <c r="BG107" s="106">
        <f>+HLOOKUP($C107,BP!$EY$2:$FK$250,139,0)</f>
        <v>6666.6666666666661</v>
      </c>
      <c r="BH107" s="106">
        <f>+HLOOKUP($C107,BP!$EY$2:$FK$250,140,0)</f>
        <v>13400</v>
      </c>
      <c r="BI107" s="106">
        <f>+HLOOKUP($C107,BP!$EY$2:$FK$250,141,0)</f>
        <v>0</v>
      </c>
      <c r="BJ107" s="106">
        <f>+HLOOKUP($C107,BP!$EY$2:$FK$250,142,0)</f>
        <v>0</v>
      </c>
      <c r="BK107" s="106">
        <f>+HLOOKUP($C107,BP!$EY$2:$FK$250,143,0)</f>
        <v>3000</v>
      </c>
      <c r="BL107" s="106">
        <f>+HLOOKUP($C107,BP!$EY$2:$FK$250,144,0)</f>
        <v>1291.6666666666667</v>
      </c>
      <c r="BM107" s="106">
        <f>+HLOOKUP($C107,BP!$EY$2:$FK$250,146,0)</f>
        <v>0</v>
      </c>
      <c r="BN107" s="106">
        <f>+HLOOKUP($C107,BP!$EY$2:$FK$250,147,0)</f>
        <v>0</v>
      </c>
      <c r="BO107" s="106">
        <f>+HLOOKUP($C107,BP!$EY$2:$FK$250,148,0)</f>
        <v>0</v>
      </c>
      <c r="BP107" s="106">
        <f>+HLOOKUP($C107,BP!$EY$2:$FK$250,150,0)</f>
        <v>26000</v>
      </c>
      <c r="BQ107" s="106">
        <f>+HLOOKUP($C107,BP!$EY$2:$FK$250,151,0)</f>
        <v>1984.4</v>
      </c>
      <c r="BR107" s="106">
        <f>+HLOOKUP($C107,BP!$EY$2:$FK$250,152,0)</f>
        <v>12800</v>
      </c>
      <c r="BS107" s="106">
        <f>+HLOOKUP($C107,BP!$EY$2:$FK$250,153,0)</f>
        <v>3000</v>
      </c>
      <c r="BT107" s="106">
        <f>+HLOOKUP($C107,BP!$EY$2:$FK$250,157,0)</f>
        <v>0</v>
      </c>
      <c r="BU107" s="106">
        <f>+HLOOKUP($C107,BP!$EY$2:$FK$250,158,0)</f>
        <v>0</v>
      </c>
      <c r="BV107" s="106">
        <f>+HLOOKUP($C107,BP!$EY$2:$FK$250,159,0)</f>
        <v>0</v>
      </c>
      <c r="BW107" s="106">
        <f>+HLOOKUP($C107,BP!$EY$2:$FK$250,160,0)</f>
        <v>0</v>
      </c>
      <c r="BX107" s="106">
        <f>+HLOOKUP($C107,BP!$EY$2:$FK$250,161,0)</f>
        <v>0</v>
      </c>
      <c r="BY107" s="106">
        <f>+HLOOKUP($C107,BP!$EY$2:$FK$250,164,0)</f>
        <v>0</v>
      </c>
      <c r="BZ107" s="106">
        <f>+HLOOKUP($C107,BP!$EY$2:$FK$250,165,0)</f>
        <v>0</v>
      </c>
      <c r="CA107" s="106">
        <f>+HLOOKUP($C107,BP!$EY$2:$FK$250,166,0)</f>
        <v>0</v>
      </c>
      <c r="CB107" s="106">
        <f>+HLOOKUP($C107,BP!$EY$2:$FK$250,167,0)</f>
        <v>0</v>
      </c>
      <c r="CC107" s="106">
        <f>+HLOOKUP($C107,BP!$EY$2:$FK$250,168,0)</f>
        <v>0</v>
      </c>
      <c r="CD107" s="106">
        <f>+HLOOKUP($C107,BP!$EY$2:$FK$250,169,0)</f>
        <v>0</v>
      </c>
      <c r="CE107" s="106">
        <f>+HLOOKUP($C107,BP!$EY$2:$FK$250,170,0)</f>
        <v>0</v>
      </c>
      <c r="CF107" s="106">
        <f>+HLOOKUP($C107,BP!$EY$2:$FK$250,172,0)</f>
        <v>0</v>
      </c>
      <c r="CG107" s="106">
        <f>+HLOOKUP($C107,BP!$EY$2:$FK$250,173,0)</f>
        <v>4800</v>
      </c>
      <c r="CH107" s="106">
        <f>+HLOOKUP($C107,BP!$EY$2:$FK$250,174,0)</f>
        <v>0</v>
      </c>
      <c r="CI107" s="106">
        <f>+HLOOKUP($C107,BP!$EY$2:$FK$250,175,0)</f>
        <v>0</v>
      </c>
      <c r="CJ107" s="106">
        <f>+HLOOKUP($C107,BP!$EY$2:$FK$250,176,0)</f>
        <v>0</v>
      </c>
      <c r="CK107" s="106">
        <f>+HLOOKUP($C107,BP!$EY$2:$FK$250,178,0)</f>
        <v>18600</v>
      </c>
      <c r="CL107" s="106">
        <f>+HLOOKUP($C107,BP!$EY$2:$FK$250,179,0)</f>
        <v>120000.00000000006</v>
      </c>
      <c r="CM107" s="106">
        <f>+HLOOKUP($C107,BP!$EY$2:$FK$250,180,0)</f>
        <v>1920</v>
      </c>
      <c r="CN107" s="106">
        <f>+HLOOKUP($C107,BP!$EY$2:$FK$250,182,0)</f>
        <v>2800</v>
      </c>
      <c r="CO107" s="106">
        <f>+HLOOKUP($C107,BP!$EY$2:$FK$250,183,0)</f>
        <v>800</v>
      </c>
      <c r="CP107" s="106">
        <f>+HLOOKUP($C107,BP!$EY$2:$FK$250,184,0)</f>
        <v>648</v>
      </c>
      <c r="CQ107" s="106">
        <f>+HLOOKUP($C107,BP!$EY$2:$FK$250,185,0)</f>
        <v>0</v>
      </c>
      <c r="CR107" s="106">
        <f>+HLOOKUP($C107,BP!$EY$2:$FK$250,187,0)</f>
        <v>1250</v>
      </c>
      <c r="CS107" s="106">
        <f>+HLOOKUP($C107,BP!$EY$2:$FK$250,188,0)</f>
        <v>0</v>
      </c>
      <c r="CT107" s="106">
        <f>+HLOOKUP($C107,BP!$EY$2:$FK$250,189,0)</f>
        <v>0</v>
      </c>
      <c r="CU107" s="106">
        <f>+HLOOKUP($C107,BP!$EY$2:$FK$250,190,0)</f>
        <v>0</v>
      </c>
      <c r="CV107" s="106">
        <f>+HLOOKUP($C107,BP!$EY$2:$FK$250,191,0)</f>
        <v>0</v>
      </c>
      <c r="CW107" s="106">
        <f>+HLOOKUP($C107,BP!$EY$2:$FK$250,193,0)</f>
        <v>0</v>
      </c>
      <c r="CX107" s="106">
        <f>+HLOOKUP($C107,BP!$EY$2:$FK$250,194,0)</f>
        <v>0</v>
      </c>
      <c r="CY107" s="106">
        <f>+HLOOKUP($C107,BP!$EY$2:$FK$250,195,0)</f>
        <v>10000</v>
      </c>
      <c r="CZ107" s="106">
        <f>+HLOOKUP($C107,BP!$EY$2:$FK$250,196,0)</f>
        <v>0</v>
      </c>
      <c r="DA107" s="106">
        <f>+HLOOKUP($C107,BP!$EY$2:$FK$250,197,0)</f>
        <v>6666.6666666666661</v>
      </c>
      <c r="DB107" s="106">
        <f>+HLOOKUP($C107,BP!$EY$2:$FK$250,198,0)</f>
        <v>4000</v>
      </c>
      <c r="DC107" s="106">
        <f>+HLOOKUP($C107,BP!$EY$2:$FK$250,199,0)</f>
        <v>1333.3333333333333</v>
      </c>
      <c r="DD107" s="106">
        <f>+HLOOKUP($C107,BP!$EY$2:$FK$250,200,0)</f>
        <v>666.66666666666663</v>
      </c>
      <c r="DE107" s="106">
        <f>+HLOOKUP($C107,BP!$EY$2:$FK$250,201,0)</f>
        <v>166.66666666666666</v>
      </c>
      <c r="DF107" s="106">
        <f>+HLOOKUP($C107,BP!$EY$2:$FK$250,202,0)</f>
        <v>0</v>
      </c>
      <c r="DG107" s="106">
        <f>+HLOOKUP($C107,BP!$EY$2:$FK$250,203,0)</f>
        <v>0</v>
      </c>
      <c r="DH107" s="106">
        <f>+HLOOKUP($C107,BP!$EY$2:$FK$250,205,0)</f>
        <v>0</v>
      </c>
      <c r="DI107" s="106">
        <f>+HLOOKUP($C107,BP!$EY$2:$FK$250,206,0)</f>
        <v>10000</v>
      </c>
      <c r="DJ107" s="106">
        <f>+HLOOKUP($C107,BP!$EY$2:$FK$250,207,0)</f>
        <v>0</v>
      </c>
      <c r="DK107" s="106">
        <f>+HLOOKUP($C107,BP!$EY$2:$FK$250,209,0)</f>
        <v>0</v>
      </c>
      <c r="DL107" s="106">
        <f>+HLOOKUP($C107,BP!$EY$2:$FK$250,210,0)</f>
        <v>180000</v>
      </c>
      <c r="DM107" s="106">
        <f>+HLOOKUP($C107,BP!$EY$2:$FK$250,211,0)</f>
        <v>0</v>
      </c>
      <c r="DN107" s="106">
        <f>+HLOOKUP($C107,BP!$EY$2:$FK$250,212,0)</f>
        <v>0</v>
      </c>
      <c r="DO107" s="106">
        <f>+HLOOKUP($C107,BP!$EY$2:$FK$250,214,0)</f>
        <v>0</v>
      </c>
      <c r="DP107" s="106">
        <f>+HLOOKUP($C107,BP!$EY$2:$FK$250,215,0)</f>
        <v>0</v>
      </c>
      <c r="DQ107" s="106">
        <f>+HLOOKUP($C107,BP!$EY$2:$FK$250,219,0)</f>
        <v>0</v>
      </c>
      <c r="DR107" s="106">
        <f>+HLOOKUP($C107,BP!$EY$2:$FK$250,220,0)</f>
        <v>0</v>
      </c>
      <c r="DS107" s="106">
        <f>+HLOOKUP($C107,BP!$EY$2:$FK$250,221,0)</f>
        <v>0</v>
      </c>
      <c r="DT107" s="106">
        <f>+HLOOKUP($C107,BP!$EY$2:$FK$250,223,0)</f>
        <v>3333.333333333333</v>
      </c>
      <c r="DU107" s="106">
        <f>+HLOOKUP($C107,BP!$EY$2:$FK$250,224,0)</f>
        <v>2000</v>
      </c>
      <c r="DV107" s="106">
        <f>+HLOOKUP($C107,BP!$EY$2:$FK$250,225,0)</f>
        <v>3333.333333333333</v>
      </c>
      <c r="DW107" s="106">
        <f>+HLOOKUP($C107,BP!$EY$2:$FK$250,227,0)</f>
        <v>0</v>
      </c>
      <c r="DX107" s="106">
        <f>+HLOOKUP($C107,BP!$EY$2:$FK$250,228,0)</f>
        <v>0</v>
      </c>
      <c r="DY107" s="106">
        <f>+HLOOKUP($C107,BP!$EY$2:$FK$250,236,0)</f>
        <v>0</v>
      </c>
      <c r="DZ107" s="106">
        <f>+HLOOKUP($C107,BP!$EY$2:$FK$250,237,0)</f>
        <v>0</v>
      </c>
      <c r="EA107" s="106">
        <f>+HLOOKUP($C107,BP!$EY$2:$FK$250,238,0)</f>
        <v>0</v>
      </c>
      <c r="EB107" s="106">
        <f>+HLOOKUP($C107,BP!$EY$2:$FK$250,240,0)</f>
        <v>468618.16800000001</v>
      </c>
    </row>
    <row r="108" spans="1:132">
      <c r="A108" t="s">
        <v>269</v>
      </c>
      <c r="B108" t="s">
        <v>273</v>
      </c>
      <c r="C108" s="117">
        <v>45689</v>
      </c>
      <c r="D108" s="106">
        <f t="shared" si="1"/>
        <v>1355760.0000000002</v>
      </c>
      <c r="E108" s="106">
        <f>+HLOOKUP(C108,BP!$EY$2:$FK$250,28,0)+HLOOKUP(C108,BP!$EY$2:$FK$250,43,0)+HLOOKUP(C108,BP!$EY$2:$FK$250,44,0)+HLOOKUP(C108,BP!$EY$2:$FK$250,45,0)+HLOOKUP(C108,BP!$EY$2:$FK$250,54,0)+HLOOKUP(C108,BP!$EY$2:$FK$250,59,0)</f>
        <v>1355760.0000000002</v>
      </c>
      <c r="F108" s="106">
        <f>+HLOOKUP(C108,BP!$EY$2:$FK$250,37,0)+HLOOKUP(C108,BP!$EY$2:$FK$250,55,0)</f>
        <v>902142.48717948736</v>
      </c>
      <c r="G108" s="106">
        <f>+HLOOKUP($C108,BP!$EY$2:$FK$250,76,0)</f>
        <v>0</v>
      </c>
      <c r="H108" s="106">
        <f>+HLOOKUP($C108,BP!$EY$2:$FK$250,77,0)</f>
        <v>0</v>
      </c>
      <c r="I108" s="106">
        <f>+HLOOKUP($C108,BP!$EY$2:$FK$250,78,0)</f>
        <v>0</v>
      </c>
      <c r="J108" s="106">
        <f>+HLOOKUP($C108,BP!$EY$2:$FK$250,79,0)</f>
        <v>0</v>
      </c>
      <c r="K108" s="106">
        <f>+HLOOKUP($C108,BP!$EY$2:$FK$250,80,0)</f>
        <v>0</v>
      </c>
      <c r="L108" s="106">
        <f>+HLOOKUP($C108,BP!$EY$2:$FK$250,81,0)</f>
        <v>0</v>
      </c>
      <c r="M108" s="106">
        <f>+HLOOKUP($C108,BP!$EY$2:$FK$250,82,0)</f>
        <v>0</v>
      </c>
      <c r="N108" s="106">
        <f>+HLOOKUP($C108,BP!$EY$2:$FK$250,83,0)</f>
        <v>0</v>
      </c>
      <c r="O108" s="106">
        <f>+HLOOKUP($C108,BP!$EY$2:$FK$250,84,0)</f>
        <v>0</v>
      </c>
      <c r="P108" s="106">
        <f>+HLOOKUP($C108,BP!$EY$2:$FK$250,85,0)</f>
        <v>0</v>
      </c>
      <c r="Q108" s="106">
        <f>+HLOOKUP($C108,BP!$EY$2:$FK$250,87,0)</f>
        <v>42336.000000000007</v>
      </c>
      <c r="R108" s="106">
        <f>+HLOOKUP($C108,BP!$EY$2:$FK$250,90,0)</f>
        <v>0</v>
      </c>
      <c r="S108" s="106">
        <f>+HLOOKUP($C108,BP!$EY$2:$FK$250,91,0)</f>
        <v>0</v>
      </c>
      <c r="T108" s="106">
        <f>+HLOOKUP($C108,BP!$EY$2:$FK$250,92,0)</f>
        <v>0</v>
      </c>
      <c r="U108" s="106">
        <f>+HLOOKUP($C108,BP!$EY$2:$FK$250,93,0)</f>
        <v>0</v>
      </c>
      <c r="V108" s="106">
        <f>+HLOOKUP($C108,BP!$EY$2:$FK$250,94,0)</f>
        <v>0</v>
      </c>
      <c r="W108" s="106">
        <f>+HLOOKUP($C108,BP!$EY$2:$FK$250,95,0)</f>
        <v>0</v>
      </c>
      <c r="X108" s="106">
        <f>+HLOOKUP($C108,BP!$EY$2:$FK$250,96,0)</f>
        <v>0</v>
      </c>
      <c r="Y108" s="106">
        <f>+HLOOKUP($C108,BP!$EY$2:$FK$250,97,0)</f>
        <v>0</v>
      </c>
      <c r="Z108" s="106">
        <f>+HLOOKUP($C108,BP!$EY$2:$FK$250,98,0)</f>
        <v>0</v>
      </c>
      <c r="AA108" s="106">
        <f>+HLOOKUP($C108,BP!$EY$2:$FK$250,99,0)</f>
        <v>0</v>
      </c>
      <c r="AB108" s="106">
        <f>+HLOOKUP($C108,BP!$EY$2:$FK$250,100,0)</f>
        <v>0</v>
      </c>
      <c r="AC108" s="106">
        <f>+HLOOKUP($C108,BP!$EY$2:$FK$250,101,0)</f>
        <v>0</v>
      </c>
      <c r="AD108" s="106">
        <f>+HLOOKUP($C108,BP!$EY$2:$FK$250,104,0)</f>
        <v>1629.9360000000006</v>
      </c>
      <c r="AE108" s="106">
        <f>+HLOOKUP($C108,BP!$EY$2:$FK$250,105,0)</f>
        <v>5292.0000000000009</v>
      </c>
      <c r="AF108" s="106">
        <f>+HLOOKUP($C108,BP!$EY$2:$FK$250,106,0)</f>
        <v>0</v>
      </c>
      <c r="AG108" s="106">
        <f>+HLOOKUP($C108,BP!$EY$2:$FK$250,107,0)</f>
        <v>0</v>
      </c>
      <c r="AH108" s="106">
        <f>+HLOOKUP($C108,BP!$EY$2:$FK$250,108,0)</f>
        <v>0</v>
      </c>
      <c r="AI108" s="106">
        <f>+HLOOKUP($C108,BP!$EY$2:$FK$250,109,0)</f>
        <v>0</v>
      </c>
      <c r="AJ108" s="106">
        <f>+HLOOKUP($C108,BP!$EY$2:$FK$250,110,0)</f>
        <v>0</v>
      </c>
      <c r="AK108" s="106">
        <f>+HLOOKUP($C108,BP!$EY$2:$FK$250,111,0)</f>
        <v>325.98720000000014</v>
      </c>
      <c r="AL108" s="106">
        <f>+HLOOKUP($C108,BP!$EY$2:$FK$250,112,0)</f>
        <v>0</v>
      </c>
      <c r="AM108" s="106">
        <f>+HLOOKUP($C108,BP!$EY$2:$FK$250,116,0)</f>
        <v>41250</v>
      </c>
      <c r="AN108" s="106">
        <f>+HLOOKUP($C108,BP!$EY$2:$FK$250,117,0)</f>
        <v>6150</v>
      </c>
      <c r="AO108" s="106">
        <f>+HLOOKUP($C108,BP!$EY$2:$FK$250,118,0)</f>
        <v>0</v>
      </c>
      <c r="AP108" s="106">
        <f>+HLOOKUP($C108,BP!$EY$2:$FK$250,119,0)</f>
        <v>16500</v>
      </c>
      <c r="AQ108" s="106">
        <f>+HLOOKUP($C108,BP!$EY$2:$FK$250,120,0)</f>
        <v>0</v>
      </c>
      <c r="AR108" s="106">
        <f>+HLOOKUP($C108,BP!$EY$2:$FK$250,121,0)</f>
        <v>0</v>
      </c>
      <c r="AS108" s="106">
        <f>+HLOOKUP($C108,BP!$EY$2:$FK$250,122,0)</f>
        <v>18600</v>
      </c>
      <c r="AT108" s="106">
        <f>+HLOOKUP($C108,BP!$EY$2:$FK$250,123,0)</f>
        <v>5646.875</v>
      </c>
      <c r="AU108" s="106">
        <f>+HLOOKUP($C108,BP!$EY$2:$FK$250,124,0)</f>
        <v>0</v>
      </c>
      <c r="AV108" s="106">
        <f>+HLOOKUP($C108,BP!$EY$2:$FK$250,125,0)</f>
        <v>0</v>
      </c>
      <c r="AW108" s="106">
        <f>+HLOOKUP($C108,BP!$EY$2:$FK$250,126,0)</f>
        <v>1983.1730769230771</v>
      </c>
      <c r="AX108" s="106">
        <f>+HLOOKUP($C108,BP!$EY$2:$FK$250,127,0)</f>
        <v>3250</v>
      </c>
      <c r="AY108" s="106">
        <f>+HLOOKUP($C108,BP!$EY$2:$FK$250,129,0)</f>
        <v>0</v>
      </c>
      <c r="AZ108" s="106">
        <f>+HLOOKUP($C108,BP!$EY$2:$FK$250,130,0)</f>
        <v>0</v>
      </c>
      <c r="BA108" s="106">
        <f>+HLOOKUP($C108,BP!$EY$2:$FK$250,131,0)</f>
        <v>7500</v>
      </c>
      <c r="BB108" s="106">
        <f>+HLOOKUP($C108,BP!$EY$2:$FK$250,133,0)</f>
        <v>0</v>
      </c>
      <c r="BC108" s="106">
        <f>+HLOOKUP($C108,BP!$EY$2:$FK$250,134,0)</f>
        <v>0</v>
      </c>
      <c r="BD108" s="106">
        <f>+HLOOKUP($C108,BP!$EY$2:$FK$250,135,0)</f>
        <v>0</v>
      </c>
      <c r="BE108" s="106">
        <f>+HLOOKUP($C108,BP!$EY$2:$FK$250,136,0)</f>
        <v>0</v>
      </c>
      <c r="BF108" s="106">
        <f>+HLOOKUP($C108,BP!$EY$2:$FK$250,138,0)</f>
        <v>1500</v>
      </c>
      <c r="BG108" s="106">
        <f>+HLOOKUP($C108,BP!$EY$2:$FK$250,139,0)</f>
        <v>6666.6666666666661</v>
      </c>
      <c r="BH108" s="106">
        <f>+HLOOKUP($C108,BP!$EY$2:$FK$250,140,0)</f>
        <v>13400</v>
      </c>
      <c r="BI108" s="106">
        <f>+HLOOKUP($C108,BP!$EY$2:$FK$250,141,0)</f>
        <v>0</v>
      </c>
      <c r="BJ108" s="106">
        <f>+HLOOKUP($C108,BP!$EY$2:$FK$250,142,0)</f>
        <v>0</v>
      </c>
      <c r="BK108" s="106">
        <f>+HLOOKUP($C108,BP!$EY$2:$FK$250,143,0)</f>
        <v>3000</v>
      </c>
      <c r="BL108" s="106">
        <f>+HLOOKUP($C108,BP!$EY$2:$FK$250,144,0)</f>
        <v>291.66666666666669</v>
      </c>
      <c r="BM108" s="106">
        <f>+HLOOKUP($C108,BP!$EY$2:$FK$250,146,0)</f>
        <v>0</v>
      </c>
      <c r="BN108" s="106">
        <f>+HLOOKUP($C108,BP!$EY$2:$FK$250,147,0)</f>
        <v>0</v>
      </c>
      <c r="BO108" s="106">
        <f>+HLOOKUP($C108,BP!$EY$2:$FK$250,148,0)</f>
        <v>0</v>
      </c>
      <c r="BP108" s="106">
        <f>+HLOOKUP($C108,BP!$EY$2:$FK$250,150,0)</f>
        <v>26000</v>
      </c>
      <c r="BQ108" s="106">
        <f>+HLOOKUP($C108,BP!$EY$2:$FK$250,151,0)</f>
        <v>1984.4</v>
      </c>
      <c r="BR108" s="106">
        <f>+HLOOKUP($C108,BP!$EY$2:$FK$250,152,0)</f>
        <v>12800</v>
      </c>
      <c r="BS108" s="106">
        <f>+HLOOKUP($C108,BP!$EY$2:$FK$250,153,0)</f>
        <v>3000</v>
      </c>
      <c r="BT108" s="106">
        <f>+HLOOKUP($C108,BP!$EY$2:$FK$250,157,0)</f>
        <v>0</v>
      </c>
      <c r="BU108" s="106">
        <f>+HLOOKUP($C108,BP!$EY$2:$FK$250,158,0)</f>
        <v>0</v>
      </c>
      <c r="BV108" s="106">
        <f>+HLOOKUP($C108,BP!$EY$2:$FK$250,159,0)</f>
        <v>0</v>
      </c>
      <c r="BW108" s="106">
        <f>+HLOOKUP($C108,BP!$EY$2:$FK$250,160,0)</f>
        <v>0</v>
      </c>
      <c r="BX108" s="106">
        <f>+HLOOKUP($C108,BP!$EY$2:$FK$250,161,0)</f>
        <v>0</v>
      </c>
      <c r="BY108" s="106">
        <f>+HLOOKUP($C108,BP!$EY$2:$FK$250,164,0)</f>
        <v>0</v>
      </c>
      <c r="BZ108" s="106">
        <f>+HLOOKUP($C108,BP!$EY$2:$FK$250,165,0)</f>
        <v>0</v>
      </c>
      <c r="CA108" s="106">
        <f>+HLOOKUP($C108,BP!$EY$2:$FK$250,166,0)</f>
        <v>0</v>
      </c>
      <c r="CB108" s="106">
        <f>+HLOOKUP($C108,BP!$EY$2:$FK$250,167,0)</f>
        <v>0</v>
      </c>
      <c r="CC108" s="106">
        <f>+HLOOKUP($C108,BP!$EY$2:$FK$250,168,0)</f>
        <v>0</v>
      </c>
      <c r="CD108" s="106">
        <f>+HLOOKUP($C108,BP!$EY$2:$FK$250,169,0)</f>
        <v>0</v>
      </c>
      <c r="CE108" s="106">
        <f>+HLOOKUP($C108,BP!$EY$2:$FK$250,170,0)</f>
        <v>0</v>
      </c>
      <c r="CF108" s="106">
        <f>+HLOOKUP($C108,BP!$EY$2:$FK$250,172,0)</f>
        <v>0</v>
      </c>
      <c r="CG108" s="106">
        <f>+HLOOKUP($C108,BP!$EY$2:$FK$250,173,0)</f>
        <v>4800</v>
      </c>
      <c r="CH108" s="106">
        <f>+HLOOKUP($C108,BP!$EY$2:$FK$250,174,0)</f>
        <v>0</v>
      </c>
      <c r="CI108" s="106">
        <f>+HLOOKUP($C108,BP!$EY$2:$FK$250,175,0)</f>
        <v>0</v>
      </c>
      <c r="CJ108" s="106">
        <f>+HLOOKUP($C108,BP!$EY$2:$FK$250,176,0)</f>
        <v>0</v>
      </c>
      <c r="CK108" s="106">
        <f>+HLOOKUP($C108,BP!$EY$2:$FK$250,178,0)</f>
        <v>18600</v>
      </c>
      <c r="CL108" s="106">
        <f>+HLOOKUP($C108,BP!$EY$2:$FK$250,179,0)</f>
        <v>120000.00000000006</v>
      </c>
      <c r="CM108" s="106">
        <f>+HLOOKUP($C108,BP!$EY$2:$FK$250,180,0)</f>
        <v>1920</v>
      </c>
      <c r="CN108" s="106">
        <f>+HLOOKUP($C108,BP!$EY$2:$FK$250,182,0)</f>
        <v>2800</v>
      </c>
      <c r="CO108" s="106">
        <f>+HLOOKUP($C108,BP!$EY$2:$FK$250,183,0)</f>
        <v>800</v>
      </c>
      <c r="CP108" s="106">
        <f>+HLOOKUP($C108,BP!$EY$2:$FK$250,184,0)</f>
        <v>648</v>
      </c>
      <c r="CQ108" s="106">
        <f>+HLOOKUP($C108,BP!$EY$2:$FK$250,185,0)</f>
        <v>0</v>
      </c>
      <c r="CR108" s="106">
        <f>+HLOOKUP($C108,BP!$EY$2:$FK$250,187,0)</f>
        <v>1250</v>
      </c>
      <c r="CS108" s="106">
        <f>+HLOOKUP($C108,BP!$EY$2:$FK$250,188,0)</f>
        <v>0</v>
      </c>
      <c r="CT108" s="106">
        <f>+HLOOKUP($C108,BP!$EY$2:$FK$250,189,0)</f>
        <v>0</v>
      </c>
      <c r="CU108" s="106">
        <f>+HLOOKUP($C108,BP!$EY$2:$FK$250,190,0)</f>
        <v>0</v>
      </c>
      <c r="CV108" s="106">
        <f>+HLOOKUP($C108,BP!$EY$2:$FK$250,191,0)</f>
        <v>0</v>
      </c>
      <c r="CW108" s="106">
        <f>+HLOOKUP($C108,BP!$EY$2:$FK$250,193,0)</f>
        <v>0</v>
      </c>
      <c r="CX108" s="106">
        <f>+HLOOKUP($C108,BP!$EY$2:$FK$250,194,0)</f>
        <v>0</v>
      </c>
      <c r="CY108" s="106">
        <f>+HLOOKUP($C108,BP!$EY$2:$FK$250,195,0)</f>
        <v>10000</v>
      </c>
      <c r="CZ108" s="106">
        <f>+HLOOKUP($C108,BP!$EY$2:$FK$250,196,0)</f>
        <v>0</v>
      </c>
      <c r="DA108" s="106">
        <f>+HLOOKUP($C108,BP!$EY$2:$FK$250,197,0)</f>
        <v>6666.6666666666661</v>
      </c>
      <c r="DB108" s="106">
        <f>+HLOOKUP($C108,BP!$EY$2:$FK$250,198,0)</f>
        <v>4000</v>
      </c>
      <c r="DC108" s="106">
        <f>+HLOOKUP($C108,BP!$EY$2:$FK$250,199,0)</f>
        <v>1333.3333333333333</v>
      </c>
      <c r="DD108" s="106">
        <f>+HLOOKUP($C108,BP!$EY$2:$FK$250,200,0)</f>
        <v>666.66666666666663</v>
      </c>
      <c r="DE108" s="106">
        <f>+HLOOKUP($C108,BP!$EY$2:$FK$250,201,0)</f>
        <v>166.66666666666666</v>
      </c>
      <c r="DF108" s="106">
        <f>+HLOOKUP($C108,BP!$EY$2:$FK$250,202,0)</f>
        <v>0</v>
      </c>
      <c r="DG108" s="106">
        <f>+HLOOKUP($C108,BP!$EY$2:$FK$250,203,0)</f>
        <v>0</v>
      </c>
      <c r="DH108" s="106">
        <f>+HLOOKUP($C108,BP!$EY$2:$FK$250,205,0)</f>
        <v>0</v>
      </c>
      <c r="DI108" s="106">
        <f>+HLOOKUP($C108,BP!$EY$2:$FK$250,206,0)</f>
        <v>10000</v>
      </c>
      <c r="DJ108" s="106">
        <f>+HLOOKUP($C108,BP!$EY$2:$FK$250,207,0)</f>
        <v>0</v>
      </c>
      <c r="DK108" s="106">
        <f>+HLOOKUP($C108,BP!$EY$2:$FK$250,209,0)</f>
        <v>0</v>
      </c>
      <c r="DL108" s="106">
        <f>+HLOOKUP($C108,BP!$EY$2:$FK$250,210,0)</f>
        <v>180000</v>
      </c>
      <c r="DM108" s="106">
        <f>+HLOOKUP($C108,BP!$EY$2:$FK$250,211,0)</f>
        <v>0</v>
      </c>
      <c r="DN108" s="106">
        <f>+HLOOKUP($C108,BP!$EY$2:$FK$250,212,0)</f>
        <v>0</v>
      </c>
      <c r="DO108" s="106">
        <f>+HLOOKUP($C108,BP!$EY$2:$FK$250,214,0)</f>
        <v>0</v>
      </c>
      <c r="DP108" s="106">
        <f>+HLOOKUP($C108,BP!$EY$2:$FK$250,215,0)</f>
        <v>0</v>
      </c>
      <c r="DQ108" s="106">
        <f>+HLOOKUP($C108,BP!$EY$2:$FK$250,219,0)</f>
        <v>0</v>
      </c>
      <c r="DR108" s="106">
        <f>+HLOOKUP($C108,BP!$EY$2:$FK$250,220,0)</f>
        <v>0</v>
      </c>
      <c r="DS108" s="106">
        <f>+HLOOKUP($C108,BP!$EY$2:$FK$250,221,0)</f>
        <v>0</v>
      </c>
      <c r="DT108" s="106">
        <f>+HLOOKUP($C108,BP!$EY$2:$FK$250,223,0)</f>
        <v>3333.333333333333</v>
      </c>
      <c r="DU108" s="106">
        <f>+HLOOKUP($C108,BP!$EY$2:$FK$250,224,0)</f>
        <v>2000</v>
      </c>
      <c r="DV108" s="106">
        <f>+HLOOKUP($C108,BP!$EY$2:$FK$250,225,0)</f>
        <v>3333.333333333333</v>
      </c>
      <c r="DW108" s="106">
        <f>+HLOOKUP($C108,BP!$EY$2:$FK$250,227,0)</f>
        <v>0</v>
      </c>
      <c r="DX108" s="106">
        <f>+HLOOKUP($C108,BP!$EY$2:$FK$250,228,0)</f>
        <v>0</v>
      </c>
      <c r="DY108" s="106">
        <f>+HLOOKUP($C108,BP!$EY$2:$FK$250,236,0)</f>
        <v>0</v>
      </c>
      <c r="DZ108" s="106">
        <f>+HLOOKUP($C108,BP!$EY$2:$FK$250,237,0)</f>
        <v>0</v>
      </c>
      <c r="EA108" s="106">
        <f>+HLOOKUP($C108,BP!$EY$2:$FK$250,238,0)</f>
        <v>0</v>
      </c>
      <c r="EB108" s="106">
        <f>+HLOOKUP($C108,BP!$EY$2:$FK$250,240,0)</f>
        <v>468618.16800000001</v>
      </c>
    </row>
    <row r="109" spans="1:132">
      <c r="A109" t="s">
        <v>269</v>
      </c>
      <c r="B109" t="s">
        <v>273</v>
      </c>
      <c r="C109" s="117">
        <v>45658</v>
      </c>
      <c r="D109" s="106">
        <f t="shared" si="1"/>
        <v>1452600</v>
      </c>
      <c r="E109" s="106">
        <f>+HLOOKUP(C109,BP!$EY$2:$FK$250,28,0)+HLOOKUP(C109,BP!$EY$2:$FK$250,43,0)+HLOOKUP(C109,BP!$EY$2:$FK$250,44,0)+HLOOKUP(C109,BP!$EY$2:$FK$250,45,0)+HLOOKUP(C109,BP!$EY$2:$FK$250,54,0)+HLOOKUP(C109,BP!$EY$2:$FK$250,59,0)</f>
        <v>1452600</v>
      </c>
      <c r="F109" s="106">
        <f>+HLOOKUP(C109,BP!$EY$2:$FK$250,37,0)+HLOOKUP(C109,BP!$EY$2:$FK$250,55,0)</f>
        <v>964134.48717948713</v>
      </c>
      <c r="G109" s="106">
        <f>+HLOOKUP($C109,BP!$EY$2:$FK$250,76,0)</f>
        <v>0</v>
      </c>
      <c r="H109" s="106">
        <f>+HLOOKUP($C109,BP!$EY$2:$FK$250,77,0)</f>
        <v>0</v>
      </c>
      <c r="I109" s="106">
        <f>+HLOOKUP($C109,BP!$EY$2:$FK$250,78,0)</f>
        <v>0</v>
      </c>
      <c r="J109" s="106">
        <f>+HLOOKUP($C109,BP!$EY$2:$FK$250,79,0)</f>
        <v>0</v>
      </c>
      <c r="K109" s="106">
        <f>+HLOOKUP($C109,BP!$EY$2:$FK$250,80,0)</f>
        <v>0</v>
      </c>
      <c r="L109" s="106">
        <f>+HLOOKUP($C109,BP!$EY$2:$FK$250,81,0)</f>
        <v>0</v>
      </c>
      <c r="M109" s="106">
        <f>+HLOOKUP($C109,BP!$EY$2:$FK$250,82,0)</f>
        <v>0</v>
      </c>
      <c r="N109" s="106">
        <f>+HLOOKUP($C109,BP!$EY$2:$FK$250,83,0)</f>
        <v>0</v>
      </c>
      <c r="O109" s="106">
        <f>+HLOOKUP($C109,BP!$EY$2:$FK$250,84,0)</f>
        <v>0</v>
      </c>
      <c r="P109" s="106">
        <f>+HLOOKUP($C109,BP!$EY$2:$FK$250,85,0)</f>
        <v>0</v>
      </c>
      <c r="Q109" s="106">
        <f>+HLOOKUP($C109,BP!$EY$2:$FK$250,87,0)</f>
        <v>45360</v>
      </c>
      <c r="R109" s="106">
        <f>+HLOOKUP($C109,BP!$EY$2:$FK$250,90,0)</f>
        <v>0</v>
      </c>
      <c r="S109" s="106">
        <f>+HLOOKUP($C109,BP!$EY$2:$FK$250,91,0)</f>
        <v>0</v>
      </c>
      <c r="T109" s="106">
        <f>+HLOOKUP($C109,BP!$EY$2:$FK$250,92,0)</f>
        <v>0</v>
      </c>
      <c r="U109" s="106">
        <f>+HLOOKUP($C109,BP!$EY$2:$FK$250,93,0)</f>
        <v>0</v>
      </c>
      <c r="V109" s="106">
        <f>+HLOOKUP($C109,BP!$EY$2:$FK$250,94,0)</f>
        <v>0</v>
      </c>
      <c r="W109" s="106">
        <f>+HLOOKUP($C109,BP!$EY$2:$FK$250,95,0)</f>
        <v>0</v>
      </c>
      <c r="X109" s="106">
        <f>+HLOOKUP($C109,BP!$EY$2:$FK$250,96,0)</f>
        <v>0</v>
      </c>
      <c r="Y109" s="106">
        <f>+HLOOKUP($C109,BP!$EY$2:$FK$250,97,0)</f>
        <v>0</v>
      </c>
      <c r="Z109" s="106">
        <f>+HLOOKUP($C109,BP!$EY$2:$FK$250,98,0)</f>
        <v>0</v>
      </c>
      <c r="AA109" s="106">
        <f>+HLOOKUP($C109,BP!$EY$2:$FK$250,99,0)</f>
        <v>0</v>
      </c>
      <c r="AB109" s="106">
        <f>+HLOOKUP($C109,BP!$EY$2:$FK$250,100,0)</f>
        <v>0</v>
      </c>
      <c r="AC109" s="106">
        <f>+HLOOKUP($C109,BP!$EY$2:$FK$250,101,0)</f>
        <v>0</v>
      </c>
      <c r="AD109" s="106">
        <f>+HLOOKUP($C109,BP!$EY$2:$FK$250,104,0)</f>
        <v>1746.3600000000001</v>
      </c>
      <c r="AE109" s="106">
        <f>+HLOOKUP($C109,BP!$EY$2:$FK$250,105,0)</f>
        <v>5670</v>
      </c>
      <c r="AF109" s="106">
        <f>+HLOOKUP($C109,BP!$EY$2:$FK$250,106,0)</f>
        <v>0</v>
      </c>
      <c r="AG109" s="106">
        <f>+HLOOKUP($C109,BP!$EY$2:$FK$250,107,0)</f>
        <v>0</v>
      </c>
      <c r="AH109" s="106">
        <f>+HLOOKUP($C109,BP!$EY$2:$FK$250,108,0)</f>
        <v>0</v>
      </c>
      <c r="AI109" s="106">
        <f>+HLOOKUP($C109,BP!$EY$2:$FK$250,109,0)</f>
        <v>0</v>
      </c>
      <c r="AJ109" s="106">
        <f>+HLOOKUP($C109,BP!$EY$2:$FK$250,110,0)</f>
        <v>0</v>
      </c>
      <c r="AK109" s="106">
        <f>+HLOOKUP($C109,BP!$EY$2:$FK$250,111,0)</f>
        <v>349.27200000000005</v>
      </c>
      <c r="AL109" s="106">
        <f>+HLOOKUP($C109,BP!$EY$2:$FK$250,112,0)</f>
        <v>0</v>
      </c>
      <c r="AM109" s="106">
        <f>+HLOOKUP($C109,BP!$EY$2:$FK$250,116,0)</f>
        <v>41250</v>
      </c>
      <c r="AN109" s="106">
        <f>+HLOOKUP($C109,BP!$EY$2:$FK$250,117,0)</f>
        <v>6150</v>
      </c>
      <c r="AO109" s="106">
        <f>+HLOOKUP($C109,BP!$EY$2:$FK$250,118,0)</f>
        <v>0</v>
      </c>
      <c r="AP109" s="106">
        <f>+HLOOKUP($C109,BP!$EY$2:$FK$250,119,0)</f>
        <v>16500</v>
      </c>
      <c r="AQ109" s="106">
        <f>+HLOOKUP($C109,BP!$EY$2:$FK$250,120,0)</f>
        <v>0</v>
      </c>
      <c r="AR109" s="106">
        <f>+HLOOKUP($C109,BP!$EY$2:$FK$250,121,0)</f>
        <v>0</v>
      </c>
      <c r="AS109" s="106">
        <f>+HLOOKUP($C109,BP!$EY$2:$FK$250,122,0)</f>
        <v>18600</v>
      </c>
      <c r="AT109" s="106">
        <f>+HLOOKUP($C109,BP!$EY$2:$FK$250,123,0)</f>
        <v>5646.875</v>
      </c>
      <c r="AU109" s="106">
        <f>+HLOOKUP($C109,BP!$EY$2:$FK$250,124,0)</f>
        <v>0</v>
      </c>
      <c r="AV109" s="106">
        <f>+HLOOKUP($C109,BP!$EY$2:$FK$250,125,0)</f>
        <v>0</v>
      </c>
      <c r="AW109" s="106">
        <f>+HLOOKUP($C109,BP!$EY$2:$FK$250,126,0)</f>
        <v>1983.1730769230771</v>
      </c>
      <c r="AX109" s="106">
        <f>+HLOOKUP($C109,BP!$EY$2:$FK$250,127,0)</f>
        <v>3250</v>
      </c>
      <c r="AY109" s="106">
        <f>+HLOOKUP($C109,BP!$EY$2:$FK$250,129,0)</f>
        <v>0</v>
      </c>
      <c r="AZ109" s="106">
        <f>+HLOOKUP($C109,BP!$EY$2:$FK$250,130,0)</f>
        <v>0</v>
      </c>
      <c r="BA109" s="106">
        <f>+HLOOKUP($C109,BP!$EY$2:$FK$250,131,0)</f>
        <v>7500</v>
      </c>
      <c r="BB109" s="106">
        <f>+HLOOKUP($C109,BP!$EY$2:$FK$250,133,0)</f>
        <v>0</v>
      </c>
      <c r="BC109" s="106">
        <f>+HLOOKUP($C109,BP!$EY$2:$FK$250,134,0)</f>
        <v>0</v>
      </c>
      <c r="BD109" s="106">
        <f>+HLOOKUP($C109,BP!$EY$2:$FK$250,135,0)</f>
        <v>0</v>
      </c>
      <c r="BE109" s="106">
        <f>+HLOOKUP($C109,BP!$EY$2:$FK$250,136,0)</f>
        <v>0</v>
      </c>
      <c r="BF109" s="106">
        <f>+HLOOKUP($C109,BP!$EY$2:$FK$250,138,0)</f>
        <v>1500</v>
      </c>
      <c r="BG109" s="106">
        <f>+HLOOKUP($C109,BP!$EY$2:$FK$250,139,0)</f>
        <v>6666.6666666666661</v>
      </c>
      <c r="BH109" s="106">
        <f>+HLOOKUP($C109,BP!$EY$2:$FK$250,140,0)</f>
        <v>13400</v>
      </c>
      <c r="BI109" s="106">
        <f>+HLOOKUP($C109,BP!$EY$2:$FK$250,141,0)</f>
        <v>0</v>
      </c>
      <c r="BJ109" s="106">
        <f>+HLOOKUP($C109,BP!$EY$2:$FK$250,142,0)</f>
        <v>0</v>
      </c>
      <c r="BK109" s="106">
        <f>+HLOOKUP($C109,BP!$EY$2:$FK$250,143,0)</f>
        <v>3000</v>
      </c>
      <c r="BL109" s="106">
        <f>+HLOOKUP($C109,BP!$EY$2:$FK$250,144,0)</f>
        <v>291.66666666666669</v>
      </c>
      <c r="BM109" s="106">
        <f>+HLOOKUP($C109,BP!$EY$2:$FK$250,146,0)</f>
        <v>0</v>
      </c>
      <c r="BN109" s="106">
        <f>+HLOOKUP($C109,BP!$EY$2:$FK$250,147,0)</f>
        <v>0</v>
      </c>
      <c r="BO109" s="106">
        <f>+HLOOKUP($C109,BP!$EY$2:$FK$250,148,0)</f>
        <v>0</v>
      </c>
      <c r="BP109" s="106">
        <f>+HLOOKUP($C109,BP!$EY$2:$FK$250,150,0)</f>
        <v>26000</v>
      </c>
      <c r="BQ109" s="106">
        <f>+HLOOKUP($C109,BP!$EY$2:$FK$250,151,0)</f>
        <v>1984.4</v>
      </c>
      <c r="BR109" s="106">
        <f>+HLOOKUP($C109,BP!$EY$2:$FK$250,152,0)</f>
        <v>12800</v>
      </c>
      <c r="BS109" s="106">
        <f>+HLOOKUP($C109,BP!$EY$2:$FK$250,153,0)</f>
        <v>3000</v>
      </c>
      <c r="BT109" s="106">
        <f>+HLOOKUP($C109,BP!$EY$2:$FK$250,157,0)</f>
        <v>0</v>
      </c>
      <c r="BU109" s="106">
        <f>+HLOOKUP($C109,BP!$EY$2:$FK$250,158,0)</f>
        <v>0</v>
      </c>
      <c r="BV109" s="106">
        <f>+HLOOKUP($C109,BP!$EY$2:$FK$250,159,0)</f>
        <v>0</v>
      </c>
      <c r="BW109" s="106">
        <f>+HLOOKUP($C109,BP!$EY$2:$FK$250,160,0)</f>
        <v>0</v>
      </c>
      <c r="BX109" s="106">
        <f>+HLOOKUP($C109,BP!$EY$2:$FK$250,161,0)</f>
        <v>0</v>
      </c>
      <c r="BY109" s="106">
        <f>+HLOOKUP($C109,BP!$EY$2:$FK$250,164,0)</f>
        <v>0</v>
      </c>
      <c r="BZ109" s="106">
        <f>+HLOOKUP($C109,BP!$EY$2:$FK$250,165,0)</f>
        <v>0</v>
      </c>
      <c r="CA109" s="106">
        <f>+HLOOKUP($C109,BP!$EY$2:$FK$250,166,0)</f>
        <v>0</v>
      </c>
      <c r="CB109" s="106">
        <f>+HLOOKUP($C109,BP!$EY$2:$FK$250,167,0)</f>
        <v>0</v>
      </c>
      <c r="CC109" s="106">
        <f>+HLOOKUP($C109,BP!$EY$2:$FK$250,168,0)</f>
        <v>0</v>
      </c>
      <c r="CD109" s="106">
        <f>+HLOOKUP($C109,BP!$EY$2:$FK$250,169,0)</f>
        <v>0</v>
      </c>
      <c r="CE109" s="106">
        <f>+HLOOKUP($C109,BP!$EY$2:$FK$250,170,0)</f>
        <v>0</v>
      </c>
      <c r="CF109" s="106">
        <f>+HLOOKUP($C109,BP!$EY$2:$FK$250,172,0)</f>
        <v>0</v>
      </c>
      <c r="CG109" s="106">
        <f>+HLOOKUP($C109,BP!$EY$2:$FK$250,173,0)</f>
        <v>4800</v>
      </c>
      <c r="CH109" s="106">
        <f>+HLOOKUP($C109,BP!$EY$2:$FK$250,174,0)</f>
        <v>0</v>
      </c>
      <c r="CI109" s="106">
        <f>+HLOOKUP($C109,BP!$EY$2:$FK$250,175,0)</f>
        <v>0</v>
      </c>
      <c r="CJ109" s="106">
        <f>+HLOOKUP($C109,BP!$EY$2:$FK$250,176,0)</f>
        <v>0</v>
      </c>
      <c r="CK109" s="106">
        <f>+HLOOKUP($C109,BP!$EY$2:$FK$250,178,0)</f>
        <v>18600</v>
      </c>
      <c r="CL109" s="106">
        <f>+HLOOKUP($C109,BP!$EY$2:$FK$250,179,0)</f>
        <v>120000.00000000006</v>
      </c>
      <c r="CM109" s="106">
        <f>+HLOOKUP($C109,BP!$EY$2:$FK$250,180,0)</f>
        <v>1920</v>
      </c>
      <c r="CN109" s="106">
        <f>+HLOOKUP($C109,BP!$EY$2:$FK$250,182,0)</f>
        <v>2800</v>
      </c>
      <c r="CO109" s="106">
        <f>+HLOOKUP($C109,BP!$EY$2:$FK$250,183,0)</f>
        <v>800</v>
      </c>
      <c r="CP109" s="106">
        <f>+HLOOKUP($C109,BP!$EY$2:$FK$250,184,0)</f>
        <v>648</v>
      </c>
      <c r="CQ109" s="106">
        <f>+HLOOKUP($C109,BP!$EY$2:$FK$250,185,0)</f>
        <v>0</v>
      </c>
      <c r="CR109" s="106">
        <f>+HLOOKUP($C109,BP!$EY$2:$FK$250,187,0)</f>
        <v>1250</v>
      </c>
      <c r="CS109" s="106">
        <f>+HLOOKUP($C109,BP!$EY$2:$FK$250,188,0)</f>
        <v>0</v>
      </c>
      <c r="CT109" s="106">
        <f>+HLOOKUP($C109,BP!$EY$2:$FK$250,189,0)</f>
        <v>0</v>
      </c>
      <c r="CU109" s="106">
        <f>+HLOOKUP($C109,BP!$EY$2:$FK$250,190,0)</f>
        <v>0</v>
      </c>
      <c r="CV109" s="106">
        <f>+HLOOKUP($C109,BP!$EY$2:$FK$250,191,0)</f>
        <v>0</v>
      </c>
      <c r="CW109" s="106">
        <f>+HLOOKUP($C109,BP!$EY$2:$FK$250,193,0)</f>
        <v>0</v>
      </c>
      <c r="CX109" s="106">
        <f>+HLOOKUP($C109,BP!$EY$2:$FK$250,194,0)</f>
        <v>0</v>
      </c>
      <c r="CY109" s="106">
        <f>+HLOOKUP($C109,BP!$EY$2:$FK$250,195,0)</f>
        <v>10000.000000000004</v>
      </c>
      <c r="CZ109" s="106">
        <f>+HLOOKUP($C109,BP!$EY$2:$FK$250,196,0)</f>
        <v>0</v>
      </c>
      <c r="DA109" s="106">
        <f>+HLOOKUP($C109,BP!$EY$2:$FK$250,197,0)</f>
        <v>6666.6666666666661</v>
      </c>
      <c r="DB109" s="106">
        <f>+HLOOKUP($C109,BP!$EY$2:$FK$250,198,0)</f>
        <v>4000</v>
      </c>
      <c r="DC109" s="106">
        <f>+HLOOKUP($C109,BP!$EY$2:$FK$250,199,0)</f>
        <v>1333.3333333333333</v>
      </c>
      <c r="DD109" s="106">
        <f>+HLOOKUP($C109,BP!$EY$2:$FK$250,200,0)</f>
        <v>666.66666666666663</v>
      </c>
      <c r="DE109" s="106">
        <f>+HLOOKUP($C109,BP!$EY$2:$FK$250,201,0)</f>
        <v>166.66666666666666</v>
      </c>
      <c r="DF109" s="106">
        <f>+HLOOKUP($C109,BP!$EY$2:$FK$250,202,0)</f>
        <v>0</v>
      </c>
      <c r="DG109" s="106">
        <f>+HLOOKUP($C109,BP!$EY$2:$FK$250,203,0)</f>
        <v>0</v>
      </c>
      <c r="DH109" s="106">
        <f>+HLOOKUP($C109,BP!$EY$2:$FK$250,205,0)</f>
        <v>0</v>
      </c>
      <c r="DI109" s="106">
        <f>+HLOOKUP($C109,BP!$EY$2:$FK$250,206,0)</f>
        <v>10000.000000000004</v>
      </c>
      <c r="DJ109" s="106">
        <f>+HLOOKUP($C109,BP!$EY$2:$FK$250,207,0)</f>
        <v>0</v>
      </c>
      <c r="DK109" s="106">
        <f>+HLOOKUP($C109,BP!$EY$2:$FK$250,209,0)</f>
        <v>0</v>
      </c>
      <c r="DL109" s="106">
        <f>+HLOOKUP($C109,BP!$EY$2:$FK$250,210,0)</f>
        <v>180000.00000000009</v>
      </c>
      <c r="DM109" s="106">
        <f>+HLOOKUP($C109,BP!$EY$2:$FK$250,211,0)</f>
        <v>0</v>
      </c>
      <c r="DN109" s="106">
        <f>+HLOOKUP($C109,BP!$EY$2:$FK$250,212,0)</f>
        <v>0</v>
      </c>
      <c r="DO109" s="106">
        <f>+HLOOKUP($C109,BP!$EY$2:$FK$250,214,0)</f>
        <v>0</v>
      </c>
      <c r="DP109" s="106">
        <f>+HLOOKUP($C109,BP!$EY$2:$FK$250,215,0)</f>
        <v>0</v>
      </c>
      <c r="DQ109" s="106">
        <f>+HLOOKUP($C109,BP!$EY$2:$FK$250,219,0)</f>
        <v>0</v>
      </c>
      <c r="DR109" s="106">
        <f>+HLOOKUP($C109,BP!$EY$2:$FK$250,220,0)</f>
        <v>0</v>
      </c>
      <c r="DS109" s="106">
        <f>+HLOOKUP($C109,BP!$EY$2:$FK$250,221,0)</f>
        <v>0</v>
      </c>
      <c r="DT109" s="106">
        <f>+HLOOKUP($C109,BP!$EY$2:$FK$250,223,0)</f>
        <v>3333.333333333333</v>
      </c>
      <c r="DU109" s="106">
        <f>+HLOOKUP($C109,BP!$EY$2:$FK$250,224,0)</f>
        <v>2000</v>
      </c>
      <c r="DV109" s="106">
        <f>+HLOOKUP($C109,BP!$EY$2:$FK$250,225,0)</f>
        <v>3333.333333333333</v>
      </c>
      <c r="DW109" s="106">
        <f>+HLOOKUP($C109,BP!$EY$2:$FK$250,227,0)</f>
        <v>0</v>
      </c>
      <c r="DX109" s="106">
        <f>+HLOOKUP($C109,BP!$EY$2:$FK$250,228,0)</f>
        <v>0</v>
      </c>
      <c r="DY109" s="106">
        <f>+HLOOKUP($C109,BP!$EY$2:$FK$250,236,0)</f>
        <v>0</v>
      </c>
      <c r="DZ109" s="106">
        <f>+HLOOKUP($C109,BP!$EY$2:$FK$250,237,0)</f>
        <v>0</v>
      </c>
      <c r="EA109" s="106">
        <f>+HLOOKUP($C109,BP!$EY$2:$FK$250,238,0)</f>
        <v>0</v>
      </c>
      <c r="EB109" s="106">
        <f>+HLOOKUP($C109,BP!$EY$2:$FK$250,240,0)</f>
        <v>468618.16800000001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69FA-A15C-4C84-8886-1C9BD0496D2D}">
  <sheetPr>
    <tabColor rgb="FFC00000"/>
  </sheetPr>
  <dimension ref="A1:AS252"/>
  <sheetViews>
    <sheetView tabSelected="1" topLeftCell="N235" zoomScale="90" zoomScaleNormal="90" workbookViewId="0">
      <selection activeCell="AL249" sqref="AB249:AL249"/>
    </sheetView>
  </sheetViews>
  <sheetFormatPr defaultRowHeight="15" outlineLevelRow="1" outlineLevelCol="1"/>
  <cols>
    <col min="1" max="8" width="13.140625" hidden="1" customWidth="1" outlineLevel="1"/>
    <col min="9" max="9" width="13.140625" hidden="1" customWidth="1" outlineLevel="1" collapsed="1"/>
    <col min="10" max="10" width="13.140625" bestFit="1" customWidth="1" collapsed="1"/>
    <col min="11" max="12" width="13.140625" hidden="1" customWidth="1" outlineLevel="1"/>
    <col min="13" max="13" width="14.85546875" bestFit="1" customWidth="1" collapsed="1"/>
    <col min="14" max="14" width="42.85546875" bestFit="1" customWidth="1"/>
    <col min="15" max="23" width="13.140625" hidden="1" customWidth="1" outlineLevel="1"/>
    <col min="24" max="24" width="13.140625" bestFit="1" customWidth="1" collapsed="1"/>
    <col min="25" max="25" width="6.7109375" hidden="1" customWidth="1" outlineLevel="1"/>
    <col min="26" max="26" width="6.85546875" hidden="1" customWidth="1" outlineLevel="1"/>
    <col min="27" max="27" width="14.85546875" bestFit="1" customWidth="1" collapsed="1"/>
    <col min="28" max="28" width="10.42578125" bestFit="1" customWidth="1"/>
    <col min="29" max="36" width="13.140625" hidden="1" customWidth="1" outlineLevel="1"/>
    <col min="37" max="37" width="13.140625" hidden="1" customWidth="1" outlineLevel="1" collapsed="1"/>
    <col min="38" max="38" width="13.140625" bestFit="1" customWidth="1" collapsed="1"/>
    <col min="39" max="40" width="13.140625" hidden="1" customWidth="1" outlineLevel="1"/>
    <col min="41" max="41" width="14.85546875" bestFit="1" customWidth="1" collapsed="1"/>
  </cols>
  <sheetData>
    <row r="1" spans="1:41" ht="16.5" thickBot="1">
      <c r="A1" s="23" t="s">
        <v>205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" t="s">
        <v>0</v>
      </c>
      <c r="O1" s="23" t="s">
        <v>205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C1" s="23" t="s">
        <v>205</v>
      </c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</row>
    <row r="2" spans="1:41">
      <c r="A2" s="25">
        <v>45292</v>
      </c>
      <c r="B2" s="25">
        <v>45323</v>
      </c>
      <c r="C2" s="25">
        <v>45352</v>
      </c>
      <c r="D2" s="25">
        <v>45383</v>
      </c>
      <c r="E2" s="25">
        <v>45413</v>
      </c>
      <c r="F2" s="25">
        <v>45444</v>
      </c>
      <c r="G2" s="25">
        <v>45474</v>
      </c>
      <c r="H2" s="25">
        <v>45505</v>
      </c>
      <c r="I2" s="25">
        <v>45536</v>
      </c>
      <c r="J2" s="25">
        <v>45566</v>
      </c>
      <c r="K2" s="25">
        <v>45597</v>
      </c>
      <c r="L2" s="25">
        <v>45627</v>
      </c>
      <c r="M2" s="25" t="s">
        <v>245</v>
      </c>
      <c r="N2" s="2" t="s">
        <v>1</v>
      </c>
      <c r="O2" s="25">
        <v>45658</v>
      </c>
      <c r="P2" s="25">
        <v>45689</v>
      </c>
      <c r="Q2" s="25">
        <v>45717</v>
      </c>
      <c r="R2" s="25">
        <v>45748</v>
      </c>
      <c r="S2" s="25">
        <v>45778</v>
      </c>
      <c r="T2" s="25">
        <v>45809</v>
      </c>
      <c r="U2" s="25">
        <v>45839</v>
      </c>
      <c r="V2" s="25">
        <v>45870</v>
      </c>
      <c r="W2" s="25">
        <v>45901</v>
      </c>
      <c r="X2" s="25">
        <v>45931</v>
      </c>
      <c r="Y2" s="25">
        <v>45962</v>
      </c>
      <c r="Z2" s="25">
        <v>45992</v>
      </c>
      <c r="AA2" s="25" t="s">
        <v>207</v>
      </c>
      <c r="AC2" s="25">
        <v>45658</v>
      </c>
      <c r="AD2" s="25">
        <v>45689</v>
      </c>
      <c r="AE2" s="25">
        <v>45717</v>
      </c>
      <c r="AF2" s="25">
        <v>45748</v>
      </c>
      <c r="AG2" s="25">
        <v>45778</v>
      </c>
      <c r="AH2" s="25">
        <v>45809</v>
      </c>
      <c r="AI2" s="25">
        <v>45839</v>
      </c>
      <c r="AJ2" s="25">
        <v>45870</v>
      </c>
      <c r="AK2" s="25">
        <v>45901</v>
      </c>
      <c r="AL2" s="25">
        <v>45931</v>
      </c>
      <c r="AM2" s="25">
        <v>45962</v>
      </c>
      <c r="AN2" s="25">
        <v>45992</v>
      </c>
      <c r="AO2" s="25" t="s">
        <v>207</v>
      </c>
    </row>
    <row r="3" spans="1:41">
      <c r="A3" s="26" t="s">
        <v>206</v>
      </c>
      <c r="B3" s="26" t="s">
        <v>206</v>
      </c>
      <c r="C3" s="26" t="s">
        <v>206</v>
      </c>
      <c r="D3" s="26" t="s">
        <v>206</v>
      </c>
      <c r="E3" s="26" t="s">
        <v>206</v>
      </c>
      <c r="F3" s="26" t="s">
        <v>206</v>
      </c>
      <c r="G3" s="26" t="s">
        <v>206</v>
      </c>
      <c r="H3" s="26" t="s">
        <v>206</v>
      </c>
      <c r="I3" s="26" t="s">
        <v>206</v>
      </c>
      <c r="J3" s="26" t="s">
        <v>206</v>
      </c>
      <c r="K3" s="26" t="s">
        <v>206</v>
      </c>
      <c r="L3" s="26" t="s">
        <v>206</v>
      </c>
      <c r="M3" s="26" t="s">
        <v>206</v>
      </c>
      <c r="N3" s="3" t="s">
        <v>2</v>
      </c>
      <c r="O3" s="26" t="s">
        <v>206</v>
      </c>
      <c r="P3" s="26" t="s">
        <v>206</v>
      </c>
      <c r="Q3" s="26" t="s">
        <v>206</v>
      </c>
      <c r="R3" s="26" t="s">
        <v>206</v>
      </c>
      <c r="S3" s="26" t="s">
        <v>206</v>
      </c>
      <c r="T3" s="26" t="s">
        <v>206</v>
      </c>
      <c r="U3" s="26" t="s">
        <v>206</v>
      </c>
      <c r="V3" s="26" t="s">
        <v>206</v>
      </c>
      <c r="W3" s="26" t="s">
        <v>206</v>
      </c>
      <c r="X3" s="26" t="s">
        <v>206</v>
      </c>
      <c r="Y3" s="26" t="s">
        <v>206</v>
      </c>
      <c r="Z3" s="26" t="s">
        <v>206</v>
      </c>
      <c r="AA3" s="26" t="s">
        <v>206</v>
      </c>
      <c r="AC3" s="26" t="s">
        <v>208</v>
      </c>
      <c r="AD3" s="26" t="s">
        <v>208</v>
      </c>
      <c r="AE3" s="26" t="s">
        <v>208</v>
      </c>
      <c r="AF3" s="26" t="s">
        <v>208</v>
      </c>
      <c r="AG3" s="26" t="s">
        <v>208</v>
      </c>
      <c r="AH3" s="26" t="s">
        <v>208</v>
      </c>
      <c r="AI3" s="26" t="s">
        <v>208</v>
      </c>
      <c r="AJ3" s="26" t="s">
        <v>208</v>
      </c>
      <c r="AK3" s="26" t="s">
        <v>208</v>
      </c>
      <c r="AL3" s="26" t="s">
        <v>208</v>
      </c>
      <c r="AM3" s="26" t="s">
        <v>208</v>
      </c>
      <c r="AN3" s="26" t="s">
        <v>208</v>
      </c>
      <c r="AO3" s="26" t="s">
        <v>208</v>
      </c>
    </row>
    <row r="4" spans="1:41">
      <c r="A4" s="105">
        <f>+'NEW CAR'!A4+'GT-SERV'!A4+ACCESS!A4</f>
        <v>16</v>
      </c>
      <c r="B4" s="105">
        <f>+'NEW CAR'!B4+'GT-SERV'!B4+ACCESS!B4</f>
        <v>38</v>
      </c>
      <c r="C4" s="105">
        <f>+'NEW CAR'!C4+'GT-SERV'!C4+ACCESS!C4</f>
        <v>50</v>
      </c>
      <c r="D4" s="105">
        <f>+'NEW CAR'!D4+'GT-SERV'!D4+ACCESS!D4</f>
        <v>13</v>
      </c>
      <c r="E4" s="105">
        <f>+'NEW CAR'!E4+'GT-SERV'!E4+ACCESS!E4</f>
        <v>22</v>
      </c>
      <c r="F4" s="105">
        <f>+'NEW CAR'!F4+'GT-SERV'!F4+ACCESS!F4</f>
        <v>21</v>
      </c>
      <c r="G4" s="105">
        <f>+'NEW CAR'!G4+'GT-SERV'!G4+ACCESS!G4</f>
        <v>28</v>
      </c>
      <c r="H4" s="105">
        <f>+'NEW CAR'!H4+'GT-SERV'!H4+ACCESS!H4</f>
        <v>36</v>
      </c>
      <c r="I4" s="105">
        <f>+'NEW CAR'!I4+'GT-SERV'!I4+ACCESS!I4</f>
        <v>33</v>
      </c>
      <c r="J4" s="105">
        <f>+'NEW CAR'!J4+'GT-SERV'!J4+ACCESS!J4</f>
        <v>28</v>
      </c>
      <c r="K4" s="105">
        <f>+'NEW CAR'!K4+'GT-SERV'!K4+ACCESS!K4</f>
        <v>26</v>
      </c>
      <c r="L4" s="105">
        <f>+'NEW CAR'!L4+'GT-SERV'!L4+ACCESS!L4</f>
        <v>29</v>
      </c>
      <c r="M4" s="105">
        <f>+SUM(A4:L4)</f>
        <v>340</v>
      </c>
      <c r="N4" s="4" t="s">
        <v>3</v>
      </c>
      <c r="O4" s="105">
        <f>+'NEW CAR'!O4+'GT-SERV'!O4+ACCESS!O4</f>
        <v>28</v>
      </c>
      <c r="P4" s="105">
        <f>+'NEW CAR'!P4+'GT-SERV'!P4+ACCESS!P4</f>
        <v>23</v>
      </c>
      <c r="Q4" s="105">
        <f>+'NEW CAR'!Q4+'GT-SERV'!Q4+ACCESS!Q4</f>
        <v>44</v>
      </c>
      <c r="R4" s="105">
        <f>+'NEW CAR'!R4+'GT-SERV'!R4+ACCESS!R4</f>
        <v>21</v>
      </c>
      <c r="S4" s="105">
        <f>+'NEW CAR'!S4+'GT-SERV'!S4+ACCESS!S4</f>
        <v>23</v>
      </c>
      <c r="T4" s="105">
        <f>+'NEW CAR'!T4+'GT-SERV'!T4+ACCESS!T4</f>
        <v>24</v>
      </c>
      <c r="U4" s="105">
        <f>+'NEW CAR'!U4+'GT-SERV'!U4+ACCESS!U4</f>
        <v>31</v>
      </c>
      <c r="V4" s="105">
        <f>+'NEW CAR'!V4+'GT-SERV'!V4+ACCESS!V4</f>
        <v>28</v>
      </c>
      <c r="W4" s="105">
        <f>+'NEW CAR'!W4+'GT-SERV'!W4+ACCESS!W4</f>
        <v>43</v>
      </c>
      <c r="X4" s="105">
        <f>+'NEW CAR'!X4+'GT-SERV'!X4+ACCESS!X4</f>
        <v>33</v>
      </c>
      <c r="Y4" s="105">
        <f>+'NEW CAR'!Y4+'GT-SERV'!Y4+ACCESS!Y4</f>
        <v>0</v>
      </c>
      <c r="Z4" s="105">
        <f>+'NEW CAR'!Z4+'GT-SERV'!Z4+ACCESS!Z4</f>
        <v>0</v>
      </c>
      <c r="AA4" s="105">
        <f>+SUM(O4:Z4)</f>
        <v>298</v>
      </c>
      <c r="AC4" s="105">
        <f>+'NEW CAR'!AC4+'GT-SERV'!AC4+ACCESS!AC4</f>
        <v>29</v>
      </c>
      <c r="AD4" s="105">
        <f>+'NEW CAR'!AD4+'GT-SERV'!AD4+ACCESS!AD4</f>
        <v>29</v>
      </c>
      <c r="AE4" s="105">
        <f>+'NEW CAR'!AE4+'GT-SERV'!AE4+ACCESS!AE4</f>
        <v>37</v>
      </c>
      <c r="AF4" s="105">
        <f>+'NEW CAR'!AF4+'GT-SERV'!AF4+ACCESS!AF4</f>
        <v>30</v>
      </c>
      <c r="AG4" s="105">
        <f>+'NEW CAR'!AG4+'GT-SERV'!AG4+ACCESS!AG4</f>
        <v>32</v>
      </c>
      <c r="AH4" s="105">
        <f>+'NEW CAR'!AH4+'GT-SERV'!AH4+ACCESS!AH4</f>
        <v>28</v>
      </c>
      <c r="AI4" s="105">
        <f>+'NEW CAR'!AI4+'GT-SERV'!AI4+ACCESS!AI4</f>
        <v>29</v>
      </c>
      <c r="AJ4" s="105">
        <f>+'NEW CAR'!AJ4+'GT-SERV'!AJ4+ACCESS!AJ4</f>
        <v>34</v>
      </c>
      <c r="AK4" s="105">
        <f>+'NEW CAR'!AK4+'GT-SERV'!AK4+ACCESS!AK4</f>
        <v>34</v>
      </c>
      <c r="AL4" s="105">
        <f>+'NEW CAR'!AL4+'GT-SERV'!AL4+ACCESS!AL4</f>
        <v>30</v>
      </c>
      <c r="AM4" s="105">
        <f>+'NEW CAR'!AM4+'GT-SERV'!AM4+ACCESS!AM4</f>
        <v>28</v>
      </c>
      <c r="AN4" s="105">
        <f>+'NEW CAR'!AN4+'GT-SERV'!AN4+ACCESS!AN4</f>
        <v>37</v>
      </c>
      <c r="AO4" s="105">
        <f>+SUM(AC4:AN4)</f>
        <v>377</v>
      </c>
    </row>
    <row r="5" spans="1:41" ht="17.25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5" t="s">
        <v>4</v>
      </c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</row>
    <row r="6" spans="1:41">
      <c r="A6" s="58">
        <f>+A7+A8+A13</f>
        <v>3222999.0919999997</v>
      </c>
      <c r="B6" s="58">
        <f t="shared" ref="B6:L6" si="0">+B7+B8+B13</f>
        <v>10807192.928584998</v>
      </c>
      <c r="C6" s="58">
        <f t="shared" si="0"/>
        <v>18980726.491373334</v>
      </c>
      <c r="D6" s="58">
        <f t="shared" si="0"/>
        <v>4129579.6298620002</v>
      </c>
      <c r="E6" s="58">
        <f t="shared" si="0"/>
        <v>8099399.6505600009</v>
      </c>
      <c r="F6" s="58">
        <f t="shared" si="0"/>
        <v>5898409.824</v>
      </c>
      <c r="G6" s="58">
        <f t="shared" si="0"/>
        <v>5939184.2692000009</v>
      </c>
      <c r="H6" s="58">
        <f t="shared" si="0"/>
        <v>7852790.3759999992</v>
      </c>
      <c r="I6" s="58">
        <f t="shared" si="0"/>
        <v>8992475.8039575834</v>
      </c>
      <c r="J6" s="58">
        <f t="shared" si="0"/>
        <v>6738410.4318670006</v>
      </c>
      <c r="K6" s="58">
        <f t="shared" si="0"/>
        <v>8408863.63246</v>
      </c>
      <c r="L6" s="58">
        <f t="shared" si="0"/>
        <v>12668792.150599999</v>
      </c>
      <c r="M6" s="58">
        <f>+SUM(A6:L6)</f>
        <v>101738824.28046492</v>
      </c>
      <c r="N6" s="6" t="s">
        <v>5</v>
      </c>
      <c r="O6" s="58">
        <f>+O7+O8+O13</f>
        <v>9130043.0148214065</v>
      </c>
      <c r="P6" s="58">
        <f t="shared" ref="P6:Z6" si="1">+P7+P8+P13</f>
        <v>4520660</v>
      </c>
      <c r="Q6" s="58">
        <f t="shared" si="1"/>
        <v>12534466.262290001</v>
      </c>
      <c r="R6" s="58">
        <f t="shared" si="1"/>
        <v>7308293.1280000005</v>
      </c>
      <c r="S6" s="58">
        <f t="shared" si="1"/>
        <v>7406002.9399999995</v>
      </c>
      <c r="T6" s="58">
        <f t="shared" si="1"/>
        <v>8627724</v>
      </c>
      <c r="U6" s="58">
        <f t="shared" si="1"/>
        <v>11680634.561000001</v>
      </c>
      <c r="V6" s="58">
        <f t="shared" si="1"/>
        <v>6364332</v>
      </c>
      <c r="W6" s="58">
        <f t="shared" si="1"/>
        <v>13518817.508408003</v>
      </c>
      <c r="X6" s="58">
        <f t="shared" si="1"/>
        <v>11244611.2706</v>
      </c>
      <c r="Y6" s="58">
        <f t="shared" si="1"/>
        <v>0</v>
      </c>
      <c r="Z6" s="58">
        <f t="shared" si="1"/>
        <v>0</v>
      </c>
      <c r="AA6" s="58">
        <f>+SUM(O6:Z6)</f>
        <v>92335584.685119405</v>
      </c>
      <c r="AB6" s="118"/>
      <c r="AC6" s="58">
        <f>+AC7+AC8+AC13</f>
        <v>7613846.5342497677</v>
      </c>
      <c r="AD6" s="58">
        <f t="shared" ref="AD6:AN6" si="2">+AD7+AD8+AD13</f>
        <v>6342352.4211711716</v>
      </c>
      <c r="AE6" s="58">
        <f t="shared" si="2"/>
        <v>15340773.208738293</v>
      </c>
      <c r="AF6" s="58">
        <f t="shared" si="2"/>
        <v>5381192.2734433953</v>
      </c>
      <c r="AG6" s="58">
        <f t="shared" si="2"/>
        <v>7012067.397095371</v>
      </c>
      <c r="AH6" s="58">
        <f t="shared" si="2"/>
        <v>6660775.7284871079</v>
      </c>
      <c r="AI6" s="58">
        <f t="shared" si="2"/>
        <v>6102643.1875471538</v>
      </c>
      <c r="AJ6" s="58">
        <f t="shared" si="2"/>
        <v>8763077.1667110473</v>
      </c>
      <c r="AK6" s="58">
        <f t="shared" si="2"/>
        <v>9744071.7500443794</v>
      </c>
      <c r="AL6" s="58">
        <f t="shared" si="2"/>
        <v>6058304.0119491424</v>
      </c>
      <c r="AM6" s="58">
        <f t="shared" si="2"/>
        <v>5229202.6700838776</v>
      </c>
      <c r="AN6" s="58">
        <f t="shared" si="2"/>
        <v>14849019.041073095</v>
      </c>
      <c r="AO6" s="58">
        <f>+SUM(AC6:AN6)</f>
        <v>99097325.390593797</v>
      </c>
    </row>
    <row r="7" spans="1:41">
      <c r="A7" s="58">
        <f>+'NEW CAR'!A7+'GT-SERV'!A7+ACCESS!A7</f>
        <v>2793854.0919999997</v>
      </c>
      <c r="B7" s="58">
        <f>+'NEW CAR'!B7+'GT-SERV'!B7+ACCESS!B7</f>
        <v>6911213.6971999994</v>
      </c>
      <c r="C7" s="58">
        <f>+'NEW CAR'!C7+'GT-SERV'!C7+ACCESS!C7</f>
        <v>9879146.0804000013</v>
      </c>
      <c r="D7" s="58">
        <f>+'NEW CAR'!D7+'GT-SERV'!D7+ACCESS!D7</f>
        <v>3684189.0168000003</v>
      </c>
      <c r="E7" s="58">
        <f>+'NEW CAR'!E7+'GT-SERV'!E7+ACCESS!E7</f>
        <v>7330099.3132000007</v>
      </c>
      <c r="F7" s="58">
        <f>+'NEW CAR'!F7+'GT-SERV'!F7+ACCESS!F7</f>
        <v>5214064.4740000004</v>
      </c>
      <c r="G7" s="58">
        <f>+'NEW CAR'!G7+'GT-SERV'!G7+ACCESS!G7</f>
        <v>5246640.6092000008</v>
      </c>
      <c r="H7" s="58">
        <f>+'NEW CAR'!H7+'GT-SERV'!H7+ACCESS!H7</f>
        <v>5830091.7459999993</v>
      </c>
      <c r="I7" s="58">
        <f>+'NEW CAR'!I7+'GT-SERV'!I7+ACCESS!I7</f>
        <v>4868745</v>
      </c>
      <c r="J7" s="58">
        <f>+'NEW CAR'!J7+'GT-SERV'!J7+ACCESS!J7</f>
        <v>6342199.4132000003</v>
      </c>
      <c r="K7" s="58">
        <f>+'NEW CAR'!K7+'GT-SERV'!K7+ACCESS!K7</f>
        <v>6066998.3090500012</v>
      </c>
      <c r="L7" s="58">
        <f>+'NEW CAR'!L7+'GT-SERV'!L7+ACCESS!L7</f>
        <v>7328789.0605999995</v>
      </c>
      <c r="M7" s="58">
        <f t="shared" ref="M7:M8" si="3">+SUM(A7:L7)</f>
        <v>71496030.811650008</v>
      </c>
      <c r="N7" s="6" t="s">
        <v>6</v>
      </c>
      <c r="O7" s="58">
        <f>+'NEW CAR'!O7+'GT-SERV'!O7+ACCESS!O7</f>
        <v>6161642.3792000012</v>
      </c>
      <c r="P7" s="58">
        <f>+'NEW CAR'!P7+'GT-SERV'!P7+ACCESS!P7</f>
        <v>3766581</v>
      </c>
      <c r="Q7" s="58">
        <f>+'NEW CAR'!Q7+'GT-SERV'!Q7+ACCESS!Q7</f>
        <v>8209013.5256500002</v>
      </c>
      <c r="R7" s="58">
        <f>+'NEW CAR'!R7+'GT-SERV'!R7+ACCESS!R7</f>
        <v>4610345</v>
      </c>
      <c r="S7" s="58">
        <f>+'NEW CAR'!S7+'GT-SERV'!S7+ACCESS!S7</f>
        <v>4345337</v>
      </c>
      <c r="T7" s="58">
        <f>+'NEW CAR'!T7+'GT-SERV'!T7+ACCESS!T7</f>
        <v>5588267</v>
      </c>
      <c r="U7" s="58">
        <f>+'NEW CAR'!U7+'GT-SERV'!U7+ACCESS!U7</f>
        <v>7199110.5499999998</v>
      </c>
      <c r="V7" s="58">
        <f>+'NEW CAR'!V7+'GT-SERV'!V7+ACCESS!V7</f>
        <v>5419986</v>
      </c>
      <c r="W7" s="58">
        <f>+'NEW CAR'!W7+'GT-SERV'!W7+ACCESS!W7</f>
        <v>8741149.5951500013</v>
      </c>
      <c r="X7" s="58">
        <f>+'NEW CAR'!X7+'GT-SERV'!X7+ACCESS!X7</f>
        <v>7774044.3164999997</v>
      </c>
      <c r="Y7" s="58">
        <f>+'NEW CAR'!Y7+'GT-SERV'!Y7+ACCESS!Y7</f>
        <v>0</v>
      </c>
      <c r="Z7" s="58">
        <f>+'NEW CAR'!Z7+'GT-SERV'!Z7+ACCESS!Z7</f>
        <v>0</v>
      </c>
      <c r="AA7" s="58">
        <f t="shared" ref="AA7:AA8" si="4">+SUM(O7:Z7)</f>
        <v>61815476.366499998</v>
      </c>
      <c r="AB7" s="118"/>
      <c r="AC7" s="58">
        <f>+'NEW CAR'!AC7+'GT-SERV'!AC7+ACCESS!AC7</f>
        <v>5061719.2043336444</v>
      </c>
      <c r="AD7" s="58">
        <f>+'NEW CAR'!AD7+'GT-SERV'!AD7+ACCESS!AD7</f>
        <v>5429783.7274774779</v>
      </c>
      <c r="AE7" s="58">
        <f>+'NEW CAR'!AE7+'GT-SERV'!AE7+ACCESS!AE7</f>
        <v>6734222.819975147</v>
      </c>
      <c r="AF7" s="58">
        <f>+'NEW CAR'!AF7+'GT-SERV'!AF7+ACCESS!AF7</f>
        <v>4606920.0038831942</v>
      </c>
      <c r="AG7" s="58">
        <f>+'NEW CAR'!AG7+'GT-SERV'!AG7+ACCESS!AG7</f>
        <v>6003136.8363622241</v>
      </c>
      <c r="AH7" s="58">
        <f>+'NEW CAR'!AH7+'GT-SERV'!AH7+ACCESS!AH7</f>
        <v>4428113.4731283011</v>
      </c>
      <c r="AI7" s="58">
        <f>+'NEW CAR'!AI7+'GT-SERV'!AI7+ACCESS!AI7</f>
        <v>5224565.0310655488</v>
      </c>
      <c r="AJ7" s="58">
        <f>+'NEW CAR'!AJ7+'GT-SERV'!AJ7+ACCESS!AJ7</f>
        <v>5825732.8650201932</v>
      </c>
      <c r="AK7" s="58">
        <f>+'NEW CAR'!AK7+'GT-SERV'!AK7+ACCESS!AK7</f>
        <v>6477902.4483535262</v>
      </c>
      <c r="AL7" s="58">
        <f>+'NEW CAR'!AL7+'GT-SERV'!AL7+ACCESS!AL7</f>
        <v>5186605.5929636545</v>
      </c>
      <c r="AM7" s="58">
        <f>+'NEW CAR'!AM7+'GT-SERV'!AM7+ACCESS!AM7</f>
        <v>4476799.4082013052</v>
      </c>
      <c r="AN7" s="58">
        <f>+'NEW CAR'!AN7+'GT-SERV'!AN7+ACCESS!AN7</f>
        <v>6600700.8643988818</v>
      </c>
      <c r="AO7" s="58">
        <f t="shared" ref="AO7:AO8" si="5">+SUM(AC7:AN7)</f>
        <v>66056202.275163099</v>
      </c>
    </row>
    <row r="8" spans="1:41">
      <c r="A8" s="58">
        <f>+SUM(A9:A12)</f>
        <v>86696</v>
      </c>
      <c r="B8" s="58">
        <f t="shared" ref="B8:L8" si="6">+SUM(B9:B12)</f>
        <v>3038646.7283199998</v>
      </c>
      <c r="C8" s="58">
        <f t="shared" si="6"/>
        <v>7893411.9709733333</v>
      </c>
      <c r="D8" s="58">
        <f t="shared" si="6"/>
        <v>0</v>
      </c>
      <c r="E8" s="58">
        <f t="shared" si="6"/>
        <v>0</v>
      </c>
      <c r="F8" s="58">
        <f t="shared" si="6"/>
        <v>0</v>
      </c>
      <c r="G8" s="58">
        <f t="shared" si="6"/>
        <v>0</v>
      </c>
      <c r="H8" s="58">
        <f t="shared" si="6"/>
        <v>1802403.63</v>
      </c>
      <c r="I8" s="58">
        <f t="shared" si="6"/>
        <v>3443457.8</v>
      </c>
      <c r="J8" s="58">
        <f t="shared" si="6"/>
        <v>0</v>
      </c>
      <c r="K8" s="58">
        <f t="shared" si="6"/>
        <v>1349222.9869599999</v>
      </c>
      <c r="L8" s="58">
        <f t="shared" si="6"/>
        <v>4640711.09</v>
      </c>
      <c r="M8" s="58">
        <f t="shared" si="3"/>
        <v>22254550.206253335</v>
      </c>
      <c r="N8" s="6" t="s">
        <v>219</v>
      </c>
      <c r="O8" s="58">
        <f>+SUM(O9:O12)</f>
        <v>1996510.230216</v>
      </c>
      <c r="P8" s="58">
        <f t="shared" ref="P8:Z8" si="7">+SUM(P9:P12)</f>
        <v>0</v>
      </c>
      <c r="Q8" s="58">
        <f t="shared" si="7"/>
        <v>2956320.7366399998</v>
      </c>
      <c r="R8" s="58">
        <f t="shared" si="7"/>
        <v>1956422.128</v>
      </c>
      <c r="S8" s="58">
        <f t="shared" si="7"/>
        <v>2321863.94</v>
      </c>
      <c r="T8" s="58">
        <f t="shared" si="7"/>
        <v>2118409</v>
      </c>
      <c r="U8" s="58">
        <f t="shared" si="7"/>
        <v>3328116.0109999999</v>
      </c>
      <c r="V8" s="58">
        <f t="shared" si="7"/>
        <v>0</v>
      </c>
      <c r="W8" s="58">
        <f t="shared" si="7"/>
        <v>3417509.613258</v>
      </c>
      <c r="X8" s="58">
        <f t="shared" si="7"/>
        <v>2293822.1946</v>
      </c>
      <c r="Y8" s="58">
        <f t="shared" si="7"/>
        <v>0</v>
      </c>
      <c r="Z8" s="58">
        <f t="shared" si="7"/>
        <v>0</v>
      </c>
      <c r="AA8" s="58">
        <f t="shared" si="4"/>
        <v>20388973.853714</v>
      </c>
      <c r="AB8" s="118"/>
      <c r="AC8" s="58">
        <f>+SUM(AC9:AC12)</f>
        <v>1701418.2199440822</v>
      </c>
      <c r="AD8" s="58">
        <f t="shared" ref="AD8:AN8" si="8">+SUM(AD9:AD12)</f>
        <v>0</v>
      </c>
      <c r="AE8" s="58">
        <f t="shared" si="8"/>
        <v>7474748.2341454765</v>
      </c>
      <c r="AF8" s="58">
        <f t="shared" si="8"/>
        <v>0</v>
      </c>
      <c r="AG8" s="58">
        <f t="shared" si="8"/>
        <v>0</v>
      </c>
      <c r="AH8" s="58">
        <f t="shared" si="8"/>
        <v>1488441.503572538</v>
      </c>
      <c r="AI8" s="58">
        <f t="shared" si="8"/>
        <v>0</v>
      </c>
      <c r="AJ8" s="58">
        <f t="shared" si="8"/>
        <v>1958229.5344605693</v>
      </c>
      <c r="AK8" s="58">
        <f t="shared" si="8"/>
        <v>2177446.2011272358</v>
      </c>
      <c r="AL8" s="58">
        <f t="shared" si="8"/>
        <v>0</v>
      </c>
      <c r="AM8" s="58">
        <f t="shared" si="8"/>
        <v>0</v>
      </c>
      <c r="AN8" s="58">
        <f t="shared" si="8"/>
        <v>7138956.6868592743</v>
      </c>
      <c r="AO8" s="58">
        <f t="shared" si="5"/>
        <v>21939240.380109176</v>
      </c>
    </row>
    <row r="9" spans="1:41">
      <c r="A9" s="106">
        <f>+'NEW CAR'!A9+'GT-SERV'!A9+ACCESS!A9</f>
        <v>86696</v>
      </c>
      <c r="B9" s="106">
        <f>+'NEW CAR'!B9+'GT-SERV'!B9+ACCESS!B9</f>
        <v>2170461.9487999994</v>
      </c>
      <c r="C9" s="106">
        <f>+'NEW CAR'!C9+'GT-SERV'!C9+ACCESS!C9</f>
        <v>3035479.5749809523</v>
      </c>
      <c r="D9" s="106">
        <f>+'NEW CAR'!D9+'GT-SERV'!D9+ACCESS!D9</f>
        <v>0</v>
      </c>
      <c r="E9" s="106">
        <f>+'NEW CAR'!E9+'GT-SERV'!E9+ACCESS!E9</f>
        <v>0</v>
      </c>
      <c r="F9" s="106">
        <f>+'NEW CAR'!F9+'GT-SERV'!F9+ACCESS!F9</f>
        <v>0</v>
      </c>
      <c r="G9" s="106">
        <f>+'NEW CAR'!G9+'GT-SERV'!G9+ACCESS!G9</f>
        <v>0</v>
      </c>
      <c r="H9" s="106">
        <f>+'NEW CAR'!H9+'GT-SERV'!H9+ACCESS!H9</f>
        <v>1001335.35</v>
      </c>
      <c r="I9" s="106">
        <f>+'NEW CAR'!I9+'GT-SERV'!I9+ACCESS!I9</f>
        <v>0</v>
      </c>
      <c r="J9" s="106">
        <f>+'NEW CAR'!J9+'GT-SERV'!J9+ACCESS!J9</f>
        <v>0</v>
      </c>
      <c r="K9" s="106">
        <f>+'NEW CAR'!K9+'GT-SERV'!K9+ACCESS!K9</f>
        <v>963730.70640000002</v>
      </c>
      <c r="L9" s="106">
        <f>+'NEW CAR'!L9+'GT-SERV'!L9+ACCESS!L9</f>
        <v>2056740</v>
      </c>
      <c r="M9" s="106">
        <f>+SUM(A9:L9)</f>
        <v>9314443.5801809505</v>
      </c>
      <c r="N9" s="7" t="s">
        <v>7</v>
      </c>
      <c r="O9" s="106">
        <f>+'NEW CAR'!O9+'GT-SERV'!O9+ACCESS!O9</f>
        <v>1148566.230216</v>
      </c>
      <c r="P9" s="106">
        <f>+'NEW CAR'!P9+'GT-SERV'!P9+ACCESS!P9</f>
        <v>0</v>
      </c>
      <c r="Q9" s="106">
        <f>+'NEW CAR'!Q9+'GT-SERV'!Q9+ACCESS!Q9</f>
        <v>2956320.7366399998</v>
      </c>
      <c r="R9" s="106">
        <f>+'NEW CAR'!R9+'GT-SERV'!R9+ACCESS!R9</f>
        <v>1585659.128</v>
      </c>
      <c r="S9" s="106">
        <f>+'NEW CAR'!S9+'GT-SERV'!S9+ACCESS!S9</f>
        <v>2321863.94</v>
      </c>
      <c r="T9" s="106">
        <f>+'NEW CAR'!T9+'GT-SERV'!T9+ACCESS!T9</f>
        <v>1842095</v>
      </c>
      <c r="U9" s="106">
        <f>+'NEW CAR'!U9+'GT-SERV'!U9+ACCESS!U9</f>
        <v>2306814</v>
      </c>
      <c r="V9" s="106">
        <f>+'NEW CAR'!V9+'GT-SERV'!V9+ACCESS!V9</f>
        <v>0</v>
      </c>
      <c r="W9" s="106">
        <f>+'NEW CAR'!W9+'GT-SERV'!W9+ACCESS!W9</f>
        <v>3123693</v>
      </c>
      <c r="X9" s="106">
        <f>+'NEW CAR'!X9+'GT-SERV'!X9+ACCESS!X9</f>
        <v>2293822.1946</v>
      </c>
      <c r="Y9" s="106">
        <f>+'NEW CAR'!Y9+'GT-SERV'!Y9+ACCESS!Y9</f>
        <v>0</v>
      </c>
      <c r="Z9" s="106">
        <f>+'NEW CAR'!Z9+'GT-SERV'!Z9+ACCESS!Z9</f>
        <v>0</v>
      </c>
      <c r="AA9" s="106">
        <f>+SUM(O9:Z9)</f>
        <v>17578834.229456</v>
      </c>
      <c r="AB9" s="118"/>
      <c r="AC9" s="106">
        <f>+'NEW CAR'!AC9+'GT-SERV'!AC9+ACCESS!AC9</f>
        <v>1020850.9319664493</v>
      </c>
      <c r="AD9" s="106">
        <f>+'NEW CAR'!AD9+'GT-SERV'!AD9+ACCESS!AD9</f>
        <v>0</v>
      </c>
      <c r="AE9" s="106">
        <f>+'NEW CAR'!AE9+'GT-SERV'!AE9+ACCESS!AE9</f>
        <v>1358162.5855412062</v>
      </c>
      <c r="AF9" s="106">
        <f>+'NEW CAR'!AF9+'GT-SERV'!AF9+ACCESS!AF9</f>
        <v>0</v>
      </c>
      <c r="AG9" s="106">
        <f>+'NEW CAR'!AG9+'GT-SERV'!AG9+ACCESS!AG9</f>
        <v>0</v>
      </c>
      <c r="AH9" s="106">
        <f>+'NEW CAR'!AH9+'GT-SERV'!AH9+ACCESS!AH9</f>
        <v>893064.90214352286</v>
      </c>
      <c r="AI9" s="106">
        <f>+'NEW CAR'!AI9+'GT-SERV'!AI9+ACCESS!AI9</f>
        <v>0</v>
      </c>
      <c r="AJ9" s="106">
        <f>+'NEW CAR'!AJ9+'GT-SERV'!AJ9+ACCESS!AJ9</f>
        <v>1174937.7206763416</v>
      </c>
      <c r="AK9" s="106">
        <f>+'NEW CAR'!AK9+'GT-SERV'!AK9+ACCESS!AK9</f>
        <v>1306467.7206763413</v>
      </c>
      <c r="AL9" s="106">
        <f>+'NEW CAR'!AL9+'GT-SERV'!AL9+ACCESS!AL9</f>
        <v>0</v>
      </c>
      <c r="AM9" s="106">
        <f>+'NEW CAR'!AM9+'GT-SERV'!AM9+ACCESS!AM9</f>
        <v>0</v>
      </c>
      <c r="AN9" s="106">
        <f>+'NEW CAR'!AN9+'GT-SERV'!AN9+ACCESS!AN9</f>
        <v>1331233.7877779258</v>
      </c>
      <c r="AO9" s="106">
        <f>+SUM(AC9:AN9)</f>
        <v>7084717.6487817876</v>
      </c>
    </row>
    <row r="10" spans="1:41">
      <c r="A10" s="106">
        <f>+'NEW CAR'!A10+'GT-SERV'!A10+ACCESS!A10</f>
        <v>0</v>
      </c>
      <c r="B10" s="106">
        <f>+'NEW CAR'!B10+'GT-SERV'!B10+ACCESS!B10</f>
        <v>868184.7795200001</v>
      </c>
      <c r="C10" s="106">
        <f>+'NEW CAR'!C10+'GT-SERV'!C10+ACCESS!C10</f>
        <v>1214192.4259923811</v>
      </c>
      <c r="D10" s="106">
        <f>+'NEW CAR'!D10+'GT-SERV'!D10+ACCESS!D10</f>
        <v>0</v>
      </c>
      <c r="E10" s="106">
        <f>+'NEW CAR'!E10+'GT-SERV'!E10+ACCESS!E10</f>
        <v>0</v>
      </c>
      <c r="F10" s="106">
        <f>+'NEW CAR'!F10+'GT-SERV'!F10+ACCESS!F10</f>
        <v>0</v>
      </c>
      <c r="G10" s="106">
        <f>+'NEW CAR'!G10+'GT-SERV'!G10+ACCESS!G10</f>
        <v>0</v>
      </c>
      <c r="H10" s="106">
        <f>+'NEW CAR'!H10+'GT-SERV'!H10+ACCESS!H10</f>
        <v>801068.28</v>
      </c>
      <c r="I10" s="106">
        <f>+'NEW CAR'!I10+'GT-SERV'!I10+ACCESS!I10</f>
        <v>0</v>
      </c>
      <c r="J10" s="106">
        <f>+'NEW CAR'!J10+'GT-SERV'!J10+ACCESS!J10</f>
        <v>0</v>
      </c>
      <c r="K10" s="106">
        <f>+'NEW CAR'!K10+'GT-SERV'!K10+ACCESS!K10</f>
        <v>385492.28055999998</v>
      </c>
      <c r="L10" s="106">
        <f>+'NEW CAR'!L10+'GT-SERV'!L10+ACCESS!L10</f>
        <v>822695</v>
      </c>
      <c r="M10" s="106">
        <f t="shared" ref="M10:M26" si="9">+SUM(A10:L10)</f>
        <v>4091632.7660723813</v>
      </c>
      <c r="N10" s="7" t="s">
        <v>8</v>
      </c>
      <c r="O10" s="106">
        <f>+'NEW CAR'!O10+'GT-SERV'!O10+ACCESS!O10</f>
        <v>317979</v>
      </c>
      <c r="P10" s="106">
        <f>+'NEW CAR'!P10+'GT-SERV'!P10+ACCESS!P10</f>
        <v>0</v>
      </c>
      <c r="Q10" s="106">
        <f>+'NEW CAR'!Q10+'GT-SERV'!Q10+ACCESS!Q10</f>
        <v>0</v>
      </c>
      <c r="R10" s="106">
        <f>+'NEW CAR'!R10+'GT-SERV'!R10+ACCESS!R10</f>
        <v>370763</v>
      </c>
      <c r="S10" s="106">
        <f>+'NEW CAR'!S10+'GT-SERV'!S10+ACCESS!S10</f>
        <v>0</v>
      </c>
      <c r="T10" s="106">
        <f>+'NEW CAR'!T10+'GT-SERV'!T10+ACCESS!T10</f>
        <v>0</v>
      </c>
      <c r="U10" s="106">
        <f>+'NEW CAR'!U10+'GT-SERV'!U10+ACCESS!U10</f>
        <v>576703</v>
      </c>
      <c r="V10" s="106">
        <f>+'NEW CAR'!V10+'GT-SERV'!V10+ACCESS!V10</f>
        <v>0</v>
      </c>
      <c r="W10" s="106">
        <f>+'NEW CAR'!W10+'GT-SERV'!W10+ACCESS!W10</f>
        <v>293816.613258</v>
      </c>
      <c r="X10" s="106">
        <f>+'NEW CAR'!X10+'GT-SERV'!X10+ACCESS!X10</f>
        <v>0</v>
      </c>
      <c r="Y10" s="106">
        <f>+'NEW CAR'!Y10+'GT-SERV'!Y10+ACCESS!Y10</f>
        <v>0</v>
      </c>
      <c r="Z10" s="106">
        <f>+'NEW CAR'!Z10+'GT-SERV'!Z10+ACCESS!Z10</f>
        <v>0</v>
      </c>
      <c r="AA10" s="106">
        <f t="shared" ref="AA10:AA16" si="10">+SUM(O10:Z10)</f>
        <v>1559261.613258</v>
      </c>
      <c r="AB10" s="118"/>
      <c r="AC10" s="106">
        <f>+'NEW CAR'!AC10+'GT-SERV'!AC10+ACCESS!AC10</f>
        <v>255212.73299161231</v>
      </c>
      <c r="AD10" s="106">
        <f>+'NEW CAR'!AD10+'GT-SERV'!AD10+ACCESS!AD10</f>
        <v>0</v>
      </c>
      <c r="AE10" s="106">
        <f>+'NEW CAR'!AE10+'GT-SERV'!AE10+ACCESS!AE10</f>
        <v>339540.64638530154</v>
      </c>
      <c r="AF10" s="106">
        <f>+'NEW CAR'!AF10+'GT-SERV'!AF10+ACCESS!AF10</f>
        <v>0</v>
      </c>
      <c r="AG10" s="106">
        <f>+'NEW CAR'!AG10+'GT-SERV'!AG10+ACCESS!AG10</f>
        <v>0</v>
      </c>
      <c r="AH10" s="106">
        <f>+'NEW CAR'!AH10+'GT-SERV'!AH10+ACCESS!AH10</f>
        <v>223266.22553588072</v>
      </c>
      <c r="AI10" s="106">
        <f>+'NEW CAR'!AI10+'GT-SERV'!AI10+ACCESS!AI10</f>
        <v>0</v>
      </c>
      <c r="AJ10" s="106">
        <f>+'NEW CAR'!AJ10+'GT-SERV'!AJ10+ACCESS!AJ10</f>
        <v>293734.43016908533</v>
      </c>
      <c r="AK10" s="106">
        <f>+'NEW CAR'!AK10+'GT-SERV'!AK10+ACCESS!AK10</f>
        <v>326616.93016908533</v>
      </c>
      <c r="AL10" s="106">
        <f>+'NEW CAR'!AL10+'GT-SERV'!AL10+ACCESS!AL10</f>
        <v>0</v>
      </c>
      <c r="AM10" s="106">
        <f>+'NEW CAR'!AM10+'GT-SERV'!AM10+ACCESS!AM10</f>
        <v>0</v>
      </c>
      <c r="AN10" s="106">
        <f>+'NEW CAR'!AN10+'GT-SERV'!AN10+ACCESS!AN10</f>
        <v>332808.44694448146</v>
      </c>
      <c r="AO10" s="106">
        <f t="shared" ref="AO10:AO16" si="11">+SUM(AC10:AN10)</f>
        <v>1771179.4121954467</v>
      </c>
    </row>
    <row r="11" spans="1:41">
      <c r="A11" s="106">
        <f>+'NEW CAR'!A11+'GT-SERV'!A11+ACCESS!A11</f>
        <v>0</v>
      </c>
      <c r="B11" s="106">
        <f>+'NEW CAR'!B11+'GT-SERV'!B11+ACCESS!B11</f>
        <v>0</v>
      </c>
      <c r="C11" s="106">
        <f>+'NEW CAR'!C11+'GT-SERV'!C11+ACCESS!C11</f>
        <v>0</v>
      </c>
      <c r="D11" s="106">
        <f>+'NEW CAR'!D11+'GT-SERV'!D11+ACCESS!D11</f>
        <v>0</v>
      </c>
      <c r="E11" s="106">
        <f>+'NEW CAR'!E11+'GT-SERV'!E11+ACCESS!E11</f>
        <v>0</v>
      </c>
      <c r="F11" s="106">
        <f>+'NEW CAR'!F11+'GT-SERV'!F11+ACCESS!F11</f>
        <v>0</v>
      </c>
      <c r="G11" s="106">
        <f>+'NEW CAR'!G11+'GT-SERV'!G11+ACCESS!G11</f>
        <v>0</v>
      </c>
      <c r="H11" s="106">
        <f>+'NEW CAR'!H11+'GT-SERV'!H11+ACCESS!H11</f>
        <v>0</v>
      </c>
      <c r="I11" s="106">
        <f>+'NEW CAR'!I11+'GT-SERV'!I11+ACCESS!I11</f>
        <v>0</v>
      </c>
      <c r="J11" s="106">
        <f>+'NEW CAR'!J11+'GT-SERV'!J11+ACCESS!J11</f>
        <v>0</v>
      </c>
      <c r="K11" s="106">
        <f>+'NEW CAR'!K11+'GT-SERV'!K11+ACCESS!K11</f>
        <v>0</v>
      </c>
      <c r="L11" s="106">
        <f>+'NEW CAR'!L11+'GT-SERV'!L11+ACCESS!L11</f>
        <v>0</v>
      </c>
      <c r="M11" s="106">
        <f t="shared" si="9"/>
        <v>0</v>
      </c>
      <c r="N11" s="7" t="s">
        <v>9</v>
      </c>
      <c r="O11" s="106">
        <f>+'NEW CAR'!O11+'GT-SERV'!O11+ACCESS!O11</f>
        <v>529965</v>
      </c>
      <c r="P11" s="106">
        <f>+'NEW CAR'!P11+'GT-SERV'!P11+ACCESS!P11</f>
        <v>0</v>
      </c>
      <c r="Q11" s="106">
        <f>+'NEW CAR'!Q11+'GT-SERV'!Q11+ACCESS!Q11</f>
        <v>0</v>
      </c>
      <c r="R11" s="106">
        <f>+'NEW CAR'!R11+'GT-SERV'!R11+ACCESS!R11</f>
        <v>0</v>
      </c>
      <c r="S11" s="106">
        <f>+'NEW CAR'!S11+'GT-SERV'!S11+ACCESS!S11</f>
        <v>0</v>
      </c>
      <c r="T11" s="106">
        <f>+'NEW CAR'!T11+'GT-SERV'!T11+ACCESS!T11</f>
        <v>0</v>
      </c>
      <c r="U11" s="106">
        <f>+'NEW CAR'!U11+'GT-SERV'!U11+ACCESS!U11</f>
        <v>0</v>
      </c>
      <c r="V11" s="106">
        <f>+'NEW CAR'!V11+'GT-SERV'!V11+ACCESS!V11</f>
        <v>0</v>
      </c>
      <c r="W11" s="106">
        <f>+'NEW CAR'!W11+'GT-SERV'!W11+ACCESS!W11</f>
        <v>0</v>
      </c>
      <c r="X11" s="106">
        <f>+'NEW CAR'!X11+'GT-SERV'!X11+ACCESS!X11</f>
        <v>0</v>
      </c>
      <c r="Y11" s="106">
        <f>+'NEW CAR'!Y11+'GT-SERV'!Y11+ACCESS!Y11</f>
        <v>0</v>
      </c>
      <c r="Z11" s="106">
        <f>+'NEW CAR'!Z11+'GT-SERV'!Z11+ACCESS!Z11</f>
        <v>0</v>
      </c>
      <c r="AA11" s="106">
        <f t="shared" si="10"/>
        <v>529965</v>
      </c>
      <c r="AB11" s="118"/>
      <c r="AC11" s="106">
        <f>+'NEW CAR'!AC11+'GT-SERV'!AC11+ACCESS!AC11</f>
        <v>425354.55498602055</v>
      </c>
      <c r="AD11" s="106">
        <f>+'NEW CAR'!AD11+'GT-SERV'!AD11+ACCESS!AD11</f>
        <v>0</v>
      </c>
      <c r="AE11" s="106">
        <f>+'NEW CAR'!AE11+'GT-SERV'!AE11+ACCESS!AE11</f>
        <v>565901.07730883593</v>
      </c>
      <c r="AF11" s="106">
        <f>+'NEW CAR'!AF11+'GT-SERV'!AF11+ACCESS!AF11</f>
        <v>0</v>
      </c>
      <c r="AG11" s="106">
        <f>+'NEW CAR'!AG11+'GT-SERV'!AG11+ACCESS!AG11</f>
        <v>0</v>
      </c>
      <c r="AH11" s="106">
        <f>+'NEW CAR'!AH11+'GT-SERV'!AH11+ACCESS!AH11</f>
        <v>372110.37589313451</v>
      </c>
      <c r="AI11" s="106">
        <f>+'NEW CAR'!AI11+'GT-SERV'!AI11+ACCESS!AI11</f>
        <v>0</v>
      </c>
      <c r="AJ11" s="106">
        <f>+'NEW CAR'!AJ11+'GT-SERV'!AJ11+ACCESS!AJ11</f>
        <v>489557.38361514232</v>
      </c>
      <c r="AK11" s="106">
        <f>+'NEW CAR'!AK11+'GT-SERV'!AK11+ACCESS!AK11</f>
        <v>544361.55028180894</v>
      </c>
      <c r="AL11" s="106">
        <f>+'NEW CAR'!AL11+'GT-SERV'!AL11+ACCESS!AL11</f>
        <v>0</v>
      </c>
      <c r="AM11" s="106">
        <f>+'NEW CAR'!AM11+'GT-SERV'!AM11+ACCESS!AM11</f>
        <v>0</v>
      </c>
      <c r="AN11" s="106">
        <f>+'NEW CAR'!AN11+'GT-SERV'!AN11+ACCESS!AN11</f>
        <v>554680.74490746902</v>
      </c>
      <c r="AO11" s="106">
        <f t="shared" si="11"/>
        <v>2951965.686992411</v>
      </c>
    </row>
    <row r="12" spans="1:41">
      <c r="A12" s="106">
        <f>+'NEW CAR'!A12+'GT-SERV'!A12+ACCESS!A12</f>
        <v>0</v>
      </c>
      <c r="B12" s="106">
        <f>+'NEW CAR'!B12+'GT-SERV'!B12+ACCESS!B12</f>
        <v>0</v>
      </c>
      <c r="C12" s="106">
        <f>+'NEW CAR'!C12+'GT-SERV'!C12+ACCESS!C12</f>
        <v>3643739.97</v>
      </c>
      <c r="D12" s="106">
        <f>+'NEW CAR'!D12+'GT-SERV'!D12+ACCESS!D12</f>
        <v>0</v>
      </c>
      <c r="E12" s="106">
        <f>+'NEW CAR'!E12+'GT-SERV'!E12+ACCESS!E12</f>
        <v>0</v>
      </c>
      <c r="F12" s="106">
        <f>+'NEW CAR'!F12+'GT-SERV'!F12+ACCESS!F12</f>
        <v>0</v>
      </c>
      <c r="G12" s="106">
        <f>+'NEW CAR'!G12+'GT-SERV'!G12+ACCESS!G12</f>
        <v>0</v>
      </c>
      <c r="H12" s="106">
        <f>+'NEW CAR'!H12+'GT-SERV'!H12+ACCESS!H12</f>
        <v>0</v>
      </c>
      <c r="I12" s="106">
        <f>+'NEW CAR'!I12+'GT-SERV'!I12+ACCESS!I12</f>
        <v>3443457.8</v>
      </c>
      <c r="J12" s="106">
        <f>+'NEW CAR'!J12+'GT-SERV'!J12+ACCESS!J12</f>
        <v>0</v>
      </c>
      <c r="K12" s="106">
        <f>+'NEW CAR'!K12+'GT-SERV'!K12+ACCESS!K12</f>
        <v>0</v>
      </c>
      <c r="L12" s="106">
        <f>+'NEW CAR'!L12+'GT-SERV'!L12+ACCESS!L12</f>
        <v>1761276.0899999999</v>
      </c>
      <c r="M12" s="106">
        <f t="shared" si="9"/>
        <v>8848473.8599999994</v>
      </c>
      <c r="N12" s="7" t="s">
        <v>10</v>
      </c>
      <c r="O12" s="106">
        <f>+'NEW CAR'!O12+'GT-SERV'!O12+ACCESS!O12</f>
        <v>0</v>
      </c>
      <c r="P12" s="106">
        <f>+'NEW CAR'!P12+'GT-SERV'!P12+ACCESS!P12</f>
        <v>0</v>
      </c>
      <c r="Q12" s="106">
        <f>+'NEW CAR'!Q12+'GT-SERV'!Q12+ACCESS!Q12</f>
        <v>0</v>
      </c>
      <c r="R12" s="106">
        <f>+'NEW CAR'!R12+'GT-SERV'!R12+ACCESS!R12</f>
        <v>0</v>
      </c>
      <c r="S12" s="106">
        <f>+'NEW CAR'!S12+'GT-SERV'!S12+ACCESS!S12</f>
        <v>0</v>
      </c>
      <c r="T12" s="106">
        <f>+'NEW CAR'!T12+'GT-SERV'!T12+ACCESS!T12</f>
        <v>276314</v>
      </c>
      <c r="U12" s="106">
        <f>+'NEW CAR'!U12+'GT-SERV'!U12+ACCESS!U12</f>
        <v>444599.011</v>
      </c>
      <c r="V12" s="106">
        <f>+'NEW CAR'!V12+'GT-SERV'!V12+ACCESS!V12</f>
        <v>0</v>
      </c>
      <c r="W12" s="106">
        <f>+'NEW CAR'!W12+'GT-SERV'!W12+ACCESS!W12</f>
        <v>0</v>
      </c>
      <c r="X12" s="106">
        <f>+'NEW CAR'!X12+'GT-SERV'!X12+ACCESS!X12</f>
        <v>0</v>
      </c>
      <c r="Y12" s="106">
        <f>+'NEW CAR'!Y12+'GT-SERV'!Y12+ACCESS!Y12</f>
        <v>0</v>
      </c>
      <c r="Z12" s="106">
        <f>+'NEW CAR'!Z12+'GT-SERV'!Z12+ACCESS!Z12</f>
        <v>0</v>
      </c>
      <c r="AA12" s="106">
        <f t="shared" si="10"/>
        <v>720913.01099999994</v>
      </c>
      <c r="AB12" s="118"/>
      <c r="AC12" s="106">
        <f>+'NEW CAR'!AC12+'GT-SERV'!AC12+ACCESS!AC12</f>
        <v>0</v>
      </c>
      <c r="AD12" s="106">
        <f>+'NEW CAR'!AD12+'GT-SERV'!AD12+ACCESS!AD12</f>
        <v>0</v>
      </c>
      <c r="AE12" s="106">
        <f>+'NEW CAR'!AE12+'GT-SERV'!AE12+ACCESS!AE12</f>
        <v>5211143.9249101328</v>
      </c>
      <c r="AF12" s="106">
        <f>+'NEW CAR'!AF12+'GT-SERV'!AF12+ACCESS!AF12</f>
        <v>0</v>
      </c>
      <c r="AG12" s="106">
        <f>+'NEW CAR'!AG12+'GT-SERV'!AG12+ACCESS!AG12</f>
        <v>0</v>
      </c>
      <c r="AH12" s="106">
        <f>+'NEW CAR'!AH12+'GT-SERV'!AH12+ACCESS!AH12</f>
        <v>0</v>
      </c>
      <c r="AI12" s="106">
        <f>+'NEW CAR'!AI12+'GT-SERV'!AI12+ACCESS!AI12</f>
        <v>0</v>
      </c>
      <c r="AJ12" s="106">
        <f>+'NEW CAR'!AJ12+'GT-SERV'!AJ12+ACCESS!AJ12</f>
        <v>0</v>
      </c>
      <c r="AK12" s="106">
        <f>+'NEW CAR'!AK12+'GT-SERV'!AK12+ACCESS!AK12</f>
        <v>0</v>
      </c>
      <c r="AL12" s="106">
        <f>+'NEW CAR'!AL12+'GT-SERV'!AL12+ACCESS!AL12</f>
        <v>0</v>
      </c>
      <c r="AM12" s="106">
        <f>+'NEW CAR'!AM12+'GT-SERV'!AM12+ACCESS!AM12</f>
        <v>0</v>
      </c>
      <c r="AN12" s="106">
        <f>+'NEW CAR'!AN12+'GT-SERV'!AN12+ACCESS!AN12</f>
        <v>4920233.7072293982</v>
      </c>
      <c r="AO12" s="106">
        <f t="shared" si="11"/>
        <v>10131377.63213953</v>
      </c>
    </row>
    <row r="13" spans="1:41">
      <c r="A13" s="58">
        <f>+SUM(A14:A17)</f>
        <v>342449</v>
      </c>
      <c r="B13" s="58">
        <f t="shared" ref="B13:L13" si="12">+SUM(B14:B17)</f>
        <v>857332.50306500006</v>
      </c>
      <c r="C13" s="58">
        <f t="shared" si="12"/>
        <v>1208168.44</v>
      </c>
      <c r="D13" s="58">
        <f t="shared" si="12"/>
        <v>445390.61306200002</v>
      </c>
      <c r="E13" s="58">
        <f t="shared" si="12"/>
        <v>769300.33736000012</v>
      </c>
      <c r="F13" s="58">
        <f t="shared" si="12"/>
        <v>684345.35</v>
      </c>
      <c r="G13" s="58">
        <f t="shared" si="12"/>
        <v>692543.66</v>
      </c>
      <c r="H13" s="58">
        <f t="shared" si="12"/>
        <v>220295</v>
      </c>
      <c r="I13" s="58">
        <f t="shared" si="12"/>
        <v>680273.00395758427</v>
      </c>
      <c r="J13" s="58">
        <f t="shared" si="12"/>
        <v>396211.018667</v>
      </c>
      <c r="K13" s="58">
        <f t="shared" si="12"/>
        <v>992642.33645000006</v>
      </c>
      <c r="L13" s="58">
        <f t="shared" si="12"/>
        <v>699292</v>
      </c>
      <c r="M13" s="58">
        <f t="shared" si="9"/>
        <v>7988243.2625615848</v>
      </c>
      <c r="N13" s="6" t="s">
        <v>11</v>
      </c>
      <c r="O13" s="58">
        <f>+SUM(O14:O17)</f>
        <v>971890.40540540544</v>
      </c>
      <c r="P13" s="58">
        <f t="shared" ref="P13:Z13" si="13">+SUM(P14:P17)</f>
        <v>754079</v>
      </c>
      <c r="Q13" s="58">
        <f t="shared" si="13"/>
        <v>1369132</v>
      </c>
      <c r="R13" s="58">
        <f t="shared" si="13"/>
        <v>741526</v>
      </c>
      <c r="S13" s="58">
        <f t="shared" si="13"/>
        <v>738802</v>
      </c>
      <c r="T13" s="58">
        <f t="shared" si="13"/>
        <v>921048</v>
      </c>
      <c r="U13" s="58">
        <f t="shared" si="13"/>
        <v>1153408</v>
      </c>
      <c r="V13" s="58">
        <f t="shared" si="13"/>
        <v>944346</v>
      </c>
      <c r="W13" s="58">
        <f t="shared" si="13"/>
        <v>1360158.3</v>
      </c>
      <c r="X13" s="58">
        <f t="shared" si="13"/>
        <v>1176744.7595000002</v>
      </c>
      <c r="Y13" s="58">
        <f t="shared" si="13"/>
        <v>0</v>
      </c>
      <c r="Z13" s="58">
        <f t="shared" si="13"/>
        <v>0</v>
      </c>
      <c r="AA13" s="58">
        <f t="shared" si="10"/>
        <v>10131134.464905407</v>
      </c>
      <c r="AB13" s="118"/>
      <c r="AC13" s="58">
        <f>+SUM(AC14:AC17)</f>
        <v>850709.1099720411</v>
      </c>
      <c r="AD13" s="58">
        <f t="shared" ref="AD13:AN13" si="14">+SUM(AD14:AD17)</f>
        <v>912568.69369369384</v>
      </c>
      <c r="AE13" s="58">
        <f t="shared" si="14"/>
        <v>1131802.1546176719</v>
      </c>
      <c r="AF13" s="58">
        <f t="shared" si="14"/>
        <v>774272.26956020086</v>
      </c>
      <c r="AG13" s="58">
        <f t="shared" si="14"/>
        <v>1008930.5607331471</v>
      </c>
      <c r="AH13" s="58">
        <f t="shared" si="14"/>
        <v>744220.75178626901</v>
      </c>
      <c r="AI13" s="58">
        <f t="shared" si="14"/>
        <v>878078.15648160479</v>
      </c>
      <c r="AJ13" s="58">
        <f t="shared" si="14"/>
        <v>979114.76723028463</v>
      </c>
      <c r="AK13" s="58">
        <f t="shared" si="14"/>
        <v>1088723.1005636179</v>
      </c>
      <c r="AL13" s="58">
        <f t="shared" si="14"/>
        <v>871698.41898548824</v>
      </c>
      <c r="AM13" s="58">
        <f t="shared" si="14"/>
        <v>752403.2618825722</v>
      </c>
      <c r="AN13" s="58">
        <f t="shared" si="14"/>
        <v>1109361.4898149383</v>
      </c>
      <c r="AO13" s="58">
        <f t="shared" si="11"/>
        <v>11101882.735321529</v>
      </c>
    </row>
    <row r="14" spans="1:41">
      <c r="A14" s="106">
        <f>+'NEW CAR'!A14+'GT-SERV'!A14+ACCESS!A14</f>
        <v>99700</v>
      </c>
      <c r="B14" s="106">
        <f>+'NEW CAR'!B14+'GT-SERV'!B14+ACCESS!B14</f>
        <v>249602.83306500001</v>
      </c>
      <c r="C14" s="106">
        <f>+'NEW CAR'!C14+'GT-SERV'!C14+ACCESS!C14</f>
        <v>349080</v>
      </c>
      <c r="D14" s="106">
        <f>+'NEW CAR'!D14+'GT-SERV'!D14+ACCESS!D14</f>
        <v>117337</v>
      </c>
      <c r="E14" s="106">
        <f>+'NEW CAR'!E14+'GT-SERV'!E14+ACCESS!E14</f>
        <v>214995.33000000002</v>
      </c>
      <c r="F14" s="106">
        <f>+'NEW CAR'!F14+'GT-SERV'!F14+ACCESS!F14</f>
        <v>149904.35</v>
      </c>
      <c r="G14" s="106">
        <f>+'NEW CAR'!G14+'GT-SERV'!G14+ACCESS!G14</f>
        <v>177162</v>
      </c>
      <c r="H14" s="106">
        <f>+'NEW CAR'!H14+'GT-SERV'!H14+ACCESS!H14</f>
        <v>220295</v>
      </c>
      <c r="I14" s="106">
        <f>+'NEW CAR'!I14+'GT-SERV'!I14+ACCESS!I14</f>
        <v>233843</v>
      </c>
      <c r="J14" s="106">
        <f>+'NEW CAR'!J14+'GT-SERV'!J14+ACCESS!J14</f>
        <v>0</v>
      </c>
      <c r="K14" s="106">
        <f>+'NEW CAR'!K14+'GT-SERV'!K14+ACCESS!K14</f>
        <v>192745.33645</v>
      </c>
      <c r="L14" s="106">
        <f>+'NEW CAR'!L14+'GT-SERV'!L14+ACCESS!L14</f>
        <v>205674</v>
      </c>
      <c r="M14" s="106">
        <f t="shared" si="9"/>
        <v>2210338.8495150004</v>
      </c>
      <c r="N14" s="7" t="s">
        <v>12</v>
      </c>
      <c r="O14" s="106">
        <f>+'NEW CAR'!O14+'GT-SERV'!O14+ACCESS!O14</f>
        <v>194378.08108108107</v>
      </c>
      <c r="P14" s="106">
        <f>+'NEW CAR'!P14+'GT-SERV'!P14+ACCESS!P14</f>
        <v>147859</v>
      </c>
      <c r="Q14" s="106">
        <f>+'NEW CAR'!Q14+'GT-SERV'!Q14+ACCESS!Q14</f>
        <v>273826</v>
      </c>
      <c r="R14" s="106">
        <f>+'NEW CAR'!R14+'GT-SERV'!R14+ACCESS!R14</f>
        <v>148306</v>
      </c>
      <c r="S14" s="106">
        <f>+'NEW CAR'!S14+'GT-SERV'!S14+ACCESS!S14</f>
        <v>147760</v>
      </c>
      <c r="T14" s="106">
        <f>+'NEW CAR'!T14+'GT-SERV'!T14+ACCESS!T14</f>
        <v>184210</v>
      </c>
      <c r="U14" s="106">
        <f>+'NEW CAR'!U14+'GT-SERV'!U14+ACCESS!U14</f>
        <v>230682</v>
      </c>
      <c r="V14" s="106">
        <f>+'NEW CAR'!V14+'GT-SERV'!V14+ACCESS!V14</f>
        <v>188870</v>
      </c>
      <c r="W14" s="106">
        <f>+'NEW CAR'!W14+'GT-SERV'!W14+ACCESS!W14</f>
        <v>331746</v>
      </c>
      <c r="X14" s="106">
        <f>+'NEW CAR'!X14+'GT-SERV'!X14+ACCESS!X14</f>
        <v>235348.55190000005</v>
      </c>
      <c r="Y14" s="106">
        <f>+'NEW CAR'!Y14+'GT-SERV'!Y14+ACCESS!Y14</f>
        <v>0</v>
      </c>
      <c r="Z14" s="106">
        <f>+'NEW CAR'!Z14+'GT-SERV'!Z14+ACCESS!Z14</f>
        <v>0</v>
      </c>
      <c r="AA14" s="106">
        <f t="shared" si="10"/>
        <v>2082985.6329810813</v>
      </c>
      <c r="AB14" s="118"/>
      <c r="AC14" s="106">
        <f>+'NEW CAR'!AC14+'GT-SERV'!AC14+ACCESS!AC14</f>
        <v>170141.82199440824</v>
      </c>
      <c r="AD14" s="106">
        <f>+'NEW CAR'!AD14+'GT-SERV'!AD14+ACCESS!AD14</f>
        <v>182513.73873873876</v>
      </c>
      <c r="AE14" s="106">
        <f>+'NEW CAR'!AE14+'GT-SERV'!AE14+ACCESS!AE14</f>
        <v>226360.43092353438</v>
      </c>
      <c r="AF14" s="106">
        <f>+'NEW CAR'!AF14+'GT-SERV'!AF14+ACCESS!AF14</f>
        <v>154854.45391204016</v>
      </c>
      <c r="AG14" s="106">
        <f>+'NEW CAR'!AG14+'GT-SERV'!AG14+ACCESS!AG14</f>
        <v>201786.11214662943</v>
      </c>
      <c r="AH14" s="106">
        <f>+'NEW CAR'!AH14+'GT-SERV'!AH14+ACCESS!AH14</f>
        <v>148844.15035725382</v>
      </c>
      <c r="AI14" s="106">
        <f>+'NEW CAR'!AI14+'GT-SERV'!AI14+ACCESS!AI14</f>
        <v>175615.63129632096</v>
      </c>
      <c r="AJ14" s="106">
        <f>+'NEW CAR'!AJ14+'GT-SERV'!AJ14+ACCESS!AJ14</f>
        <v>195822.95344605693</v>
      </c>
      <c r="AK14" s="106">
        <f>+'NEW CAR'!AK14+'GT-SERV'!AK14+ACCESS!AK14</f>
        <v>217744.62011272355</v>
      </c>
      <c r="AL14" s="106">
        <f>+'NEW CAR'!AL14+'GT-SERV'!AL14+ACCESS!AL14</f>
        <v>174339.68379709765</v>
      </c>
      <c r="AM14" s="106">
        <f>+'NEW CAR'!AM14+'GT-SERV'!AM14+ACCESS!AM14</f>
        <v>150480.65237651445</v>
      </c>
      <c r="AN14" s="106">
        <f>+'NEW CAR'!AN14+'GT-SERV'!AN14+ACCESS!AN14</f>
        <v>221872.29796298765</v>
      </c>
      <c r="AO14" s="106">
        <f t="shared" si="11"/>
        <v>2220376.5470643062</v>
      </c>
    </row>
    <row r="15" spans="1:41">
      <c r="A15" s="106">
        <f>+'NEW CAR'!A15+'GT-SERV'!A15+ACCESS!A15</f>
        <v>69357</v>
      </c>
      <c r="B15" s="106">
        <f>+'NEW CAR'!B15+'GT-SERV'!B15+ACCESS!B15</f>
        <v>173636.66999999998</v>
      </c>
      <c r="C15" s="106">
        <f>+'NEW CAR'!C15+'GT-SERV'!C15+ACCESS!C15</f>
        <v>242838.44</v>
      </c>
      <c r="D15" s="106">
        <f>+'NEW CAR'!D15+'GT-SERV'!D15+ACCESS!D15</f>
        <v>123019.863682</v>
      </c>
      <c r="E15" s="106">
        <f>+'NEW CAR'!E15+'GT-SERV'!E15+ACCESS!E15</f>
        <v>373972.33736</v>
      </c>
      <c r="F15" s="106">
        <f>+'NEW CAR'!F15+'GT-SERV'!F15+ACCESS!F15</f>
        <v>273738</v>
      </c>
      <c r="G15" s="106">
        <f>+'NEW CAR'!G15+'GT-SERV'!G15+ACCESS!G15</f>
        <v>193268</v>
      </c>
      <c r="H15" s="106">
        <f>+'NEW CAR'!H15+'GT-SERV'!H15+ACCESS!H15</f>
        <v>0</v>
      </c>
      <c r="I15" s="106">
        <f>+'NEW CAR'!I15+'GT-SERV'!I15+ACCESS!I15</f>
        <v>446430.00395758433</v>
      </c>
      <c r="J15" s="106">
        <f>+'NEW CAR'!J15+'GT-SERV'!J15+ACCESS!J15</f>
        <v>396211.018667</v>
      </c>
      <c r="K15" s="106">
        <f>+'NEW CAR'!K15+'GT-SERV'!K15+ACCESS!K15</f>
        <v>404767</v>
      </c>
      <c r="L15" s="106">
        <f>+'NEW CAR'!L15+'GT-SERV'!L15+ACCESS!L15</f>
        <v>246809</v>
      </c>
      <c r="M15" s="106">
        <f t="shared" si="9"/>
        <v>2944047.3336665845</v>
      </c>
      <c r="N15" s="7" t="s">
        <v>13</v>
      </c>
      <c r="O15" s="106">
        <f>+'NEW CAR'!O15+'GT-SERV'!O15+ACCESS!O15</f>
        <v>388756.16216216219</v>
      </c>
      <c r="P15" s="106">
        <f>+'NEW CAR'!P15+'GT-SERV'!P15+ACCESS!P15</f>
        <v>295717</v>
      </c>
      <c r="Q15" s="106">
        <f>+'NEW CAR'!Q15+'GT-SERV'!Q15+ACCESS!Q15</f>
        <v>547653</v>
      </c>
      <c r="R15" s="106">
        <f>+'NEW CAR'!R15+'GT-SERV'!R15+ACCESS!R15</f>
        <v>296610</v>
      </c>
      <c r="S15" s="106">
        <f>+'NEW CAR'!S15+'GT-SERV'!S15+ACCESS!S15</f>
        <v>295521</v>
      </c>
      <c r="T15" s="106">
        <f>+'NEW CAR'!T15+'GT-SERV'!T15+ACCESS!T15</f>
        <v>368419</v>
      </c>
      <c r="U15" s="106">
        <f>+'NEW CAR'!U15+'GT-SERV'!U15+ACCESS!U15</f>
        <v>461363</v>
      </c>
      <c r="V15" s="106">
        <f>+'NEW CAR'!V15+'GT-SERV'!V15+ACCESS!V15</f>
        <v>377738</v>
      </c>
      <c r="W15" s="106">
        <f>+'NEW CAR'!W15+'GT-SERV'!W15+ACCESS!W15</f>
        <v>696666.3</v>
      </c>
      <c r="X15" s="106">
        <f>+'NEW CAR'!X15+'GT-SERV'!X15+ACCESS!X15</f>
        <v>470698.10380000004</v>
      </c>
      <c r="Y15" s="106">
        <f>+'NEW CAR'!Y15+'GT-SERV'!Y15+ACCESS!Y15</f>
        <v>0</v>
      </c>
      <c r="Z15" s="106">
        <f>+'NEW CAR'!Z15+'GT-SERV'!Z15+ACCESS!Z15</f>
        <v>0</v>
      </c>
      <c r="AA15" s="106">
        <f t="shared" si="10"/>
        <v>4199141.5659621619</v>
      </c>
      <c r="AB15" s="118"/>
      <c r="AC15" s="106">
        <f>+'NEW CAR'!AC15+'GT-SERV'!AC15+ACCESS!AC15</f>
        <v>340283.64398881648</v>
      </c>
      <c r="AD15" s="106">
        <f>+'NEW CAR'!AD15+'GT-SERV'!AD15+ACCESS!AD15</f>
        <v>365027.47747747751</v>
      </c>
      <c r="AE15" s="106">
        <f>+'NEW CAR'!AE15+'GT-SERV'!AE15+ACCESS!AE15</f>
        <v>452720.86184706877</v>
      </c>
      <c r="AF15" s="106">
        <f>+'NEW CAR'!AF15+'GT-SERV'!AF15+ACCESS!AF15</f>
        <v>309708.90782408032</v>
      </c>
      <c r="AG15" s="106">
        <f>+'NEW CAR'!AG15+'GT-SERV'!AG15+ACCESS!AG15</f>
        <v>403572.22429325886</v>
      </c>
      <c r="AH15" s="106">
        <f>+'NEW CAR'!AH15+'GT-SERV'!AH15+ACCESS!AH15</f>
        <v>297688.30071450764</v>
      </c>
      <c r="AI15" s="106">
        <f>+'NEW CAR'!AI15+'GT-SERV'!AI15+ACCESS!AI15</f>
        <v>351231.26259264193</v>
      </c>
      <c r="AJ15" s="106">
        <f>+'NEW CAR'!AJ15+'GT-SERV'!AJ15+ACCESS!AJ15</f>
        <v>391645.90689211385</v>
      </c>
      <c r="AK15" s="106">
        <f>+'NEW CAR'!AK15+'GT-SERV'!AK15+ACCESS!AK15</f>
        <v>435489.24022544711</v>
      </c>
      <c r="AL15" s="106">
        <f>+'NEW CAR'!AL15+'GT-SERV'!AL15+ACCESS!AL15</f>
        <v>348679.3675941953</v>
      </c>
      <c r="AM15" s="106">
        <f>+'NEW CAR'!AM15+'GT-SERV'!AM15+ACCESS!AM15</f>
        <v>300961.3047530289</v>
      </c>
      <c r="AN15" s="106">
        <f>+'NEW CAR'!AN15+'GT-SERV'!AN15+ACCESS!AN15</f>
        <v>443744.5959259753</v>
      </c>
      <c r="AO15" s="106">
        <f t="shared" si="11"/>
        <v>4440753.0941286124</v>
      </c>
    </row>
    <row r="16" spans="1:41">
      <c r="A16" s="106">
        <f>+'NEW CAR'!A16+'GT-SERV'!A16+ACCESS!A16</f>
        <v>173392</v>
      </c>
      <c r="B16" s="106">
        <f>+'NEW CAR'!B16+'GT-SERV'!B16+ACCESS!B16</f>
        <v>434093</v>
      </c>
      <c r="C16" s="106">
        <f>+'NEW CAR'!C16+'GT-SERV'!C16+ACCESS!C16</f>
        <v>616250</v>
      </c>
      <c r="D16" s="106">
        <f>+'NEW CAR'!D16+'GT-SERV'!D16+ACCESS!D16</f>
        <v>205033.74937999999</v>
      </c>
      <c r="E16" s="106">
        <f>+'NEW CAR'!E16+'GT-SERV'!E16+ACCESS!E16</f>
        <v>180332.67</v>
      </c>
      <c r="F16" s="106">
        <f>+'NEW CAR'!F16+'GT-SERV'!F16+ACCESS!F16</f>
        <v>260703</v>
      </c>
      <c r="G16" s="106">
        <f>+'NEW CAR'!G16+'GT-SERV'!G16+ACCESS!G16</f>
        <v>322113.66000000003</v>
      </c>
      <c r="H16" s="106">
        <f>+'NEW CAR'!H16+'GT-SERV'!H16+ACCESS!H16</f>
        <v>0</v>
      </c>
      <c r="I16" s="106">
        <f>+'NEW CAR'!I16+'GT-SERV'!I16+ACCESS!I16</f>
        <v>0</v>
      </c>
      <c r="J16" s="106">
        <f>+'NEW CAR'!J16+'GT-SERV'!J16+ACCESS!J16</f>
        <v>0</v>
      </c>
      <c r="K16" s="106">
        <f>+'NEW CAR'!K16+'GT-SERV'!K16+ACCESS!K16</f>
        <v>395130</v>
      </c>
      <c r="L16" s="106">
        <f>+'NEW CAR'!L16+'GT-SERV'!L16+ACCESS!L16</f>
        <v>246809</v>
      </c>
      <c r="M16" s="106">
        <f t="shared" si="9"/>
        <v>2833857.07938</v>
      </c>
      <c r="N16" s="7" t="s">
        <v>14</v>
      </c>
      <c r="O16" s="106">
        <f>+'NEW CAR'!O16+'GT-SERV'!O16+ACCESS!O16</f>
        <v>388756.16216216219</v>
      </c>
      <c r="P16" s="106">
        <f>+'NEW CAR'!P16+'GT-SERV'!P16+ACCESS!P16</f>
        <v>310503</v>
      </c>
      <c r="Q16" s="106">
        <f>+'NEW CAR'!Q16+'GT-SERV'!Q16+ACCESS!Q16</f>
        <v>547653</v>
      </c>
      <c r="R16" s="106">
        <f>+'NEW CAR'!R16+'GT-SERV'!R16+ACCESS!R16</f>
        <v>296610</v>
      </c>
      <c r="S16" s="106">
        <f>+'NEW CAR'!S16+'GT-SERV'!S16+ACCESS!S16</f>
        <v>295521</v>
      </c>
      <c r="T16" s="106">
        <f>+'NEW CAR'!T16+'GT-SERV'!T16+ACCESS!T16</f>
        <v>368419</v>
      </c>
      <c r="U16" s="106">
        <f>+'NEW CAR'!U16+'GT-SERV'!U16+ACCESS!U16</f>
        <v>461363</v>
      </c>
      <c r="V16" s="106">
        <f>+'NEW CAR'!V16+'GT-SERV'!V16+ACCESS!V16</f>
        <v>377738</v>
      </c>
      <c r="W16" s="106">
        <f>+'NEW CAR'!W16+'GT-SERV'!W16+ACCESS!W16</f>
        <v>331746</v>
      </c>
      <c r="X16" s="106">
        <f>+'NEW CAR'!X16+'GT-SERV'!X16+ACCESS!X16</f>
        <v>470698.1038000001</v>
      </c>
      <c r="Y16" s="106">
        <f>+'NEW CAR'!Y16+'GT-SERV'!Y16+ACCESS!Y16</f>
        <v>0</v>
      </c>
      <c r="Z16" s="106">
        <f>+'NEW CAR'!Z16+'GT-SERV'!Z16+ACCESS!Z16</f>
        <v>0</v>
      </c>
      <c r="AA16" s="106">
        <f t="shared" si="10"/>
        <v>3849007.2659621625</v>
      </c>
      <c r="AB16" s="118"/>
      <c r="AC16" s="106">
        <f>+'NEW CAR'!AC16+'GT-SERV'!AC16+ACCESS!AC16</f>
        <v>340283.64398881648</v>
      </c>
      <c r="AD16" s="106">
        <f>+'NEW CAR'!AD16+'GT-SERV'!AD16+ACCESS!AD16</f>
        <v>365027.47747747751</v>
      </c>
      <c r="AE16" s="106">
        <f>+'NEW CAR'!AE16+'GT-SERV'!AE16+ACCESS!AE16</f>
        <v>452720.86184706877</v>
      </c>
      <c r="AF16" s="106">
        <f>+'NEW CAR'!AF16+'GT-SERV'!AF16+ACCESS!AF16</f>
        <v>309708.90782408032</v>
      </c>
      <c r="AG16" s="106">
        <f>+'NEW CAR'!AG16+'GT-SERV'!AG16+ACCESS!AG16</f>
        <v>403572.22429325886</v>
      </c>
      <c r="AH16" s="106">
        <f>+'NEW CAR'!AH16+'GT-SERV'!AH16+ACCESS!AH16</f>
        <v>297688.30071450764</v>
      </c>
      <c r="AI16" s="106">
        <f>+'NEW CAR'!AI16+'GT-SERV'!AI16+ACCESS!AI16</f>
        <v>351231.26259264193</v>
      </c>
      <c r="AJ16" s="106">
        <f>+'NEW CAR'!AJ16+'GT-SERV'!AJ16+ACCESS!AJ16</f>
        <v>391645.90689211385</v>
      </c>
      <c r="AK16" s="106">
        <f>+'NEW CAR'!AK16+'GT-SERV'!AK16+ACCESS!AK16</f>
        <v>435489.24022544711</v>
      </c>
      <c r="AL16" s="106">
        <f>+'NEW CAR'!AL16+'GT-SERV'!AL16+ACCESS!AL16</f>
        <v>348679.3675941953</v>
      </c>
      <c r="AM16" s="106">
        <f>+'NEW CAR'!AM16+'GT-SERV'!AM16+ACCESS!AM16</f>
        <v>300961.3047530289</v>
      </c>
      <c r="AN16" s="106">
        <f>+'NEW CAR'!AN16+'GT-SERV'!AN16+ACCESS!AN16</f>
        <v>443744.5959259753</v>
      </c>
      <c r="AO16" s="106">
        <f t="shared" si="11"/>
        <v>4440753.0941286124</v>
      </c>
    </row>
    <row r="17" spans="1:41" ht="17.25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8" t="s">
        <v>15</v>
      </c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18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</row>
    <row r="18" spans="1:41">
      <c r="A18" s="105">
        <f>+'NEW CAR'!A18+'GT-SERV'!A18+ACCESS!A18</f>
        <v>5</v>
      </c>
      <c r="B18" s="105">
        <f>+'NEW CAR'!B18+'GT-SERV'!B18+ACCESS!B18</f>
        <v>3</v>
      </c>
      <c r="C18" s="105">
        <f>+'NEW CAR'!C18+'GT-SERV'!C18+ACCESS!C18</f>
        <v>0</v>
      </c>
      <c r="D18" s="105">
        <f>+'NEW CAR'!D18+'GT-SERV'!D18+ACCESS!D18</f>
        <v>2</v>
      </c>
      <c r="E18" s="105">
        <f>+'NEW CAR'!E18+'GT-SERV'!E18+ACCESS!E18</f>
        <v>4</v>
      </c>
      <c r="F18" s="105">
        <f>+'NEW CAR'!F18+'GT-SERV'!F18+ACCESS!F18</f>
        <v>6</v>
      </c>
      <c r="G18" s="105">
        <f>+'NEW CAR'!G18+'GT-SERV'!G18+ACCESS!G18</f>
        <v>6</v>
      </c>
      <c r="H18" s="105">
        <f>+'NEW CAR'!H18+'GT-SERV'!H18+ACCESS!H18</f>
        <v>6</v>
      </c>
      <c r="I18" s="105">
        <f>+'NEW CAR'!I18+'GT-SERV'!I18+ACCESS!I18</f>
        <v>0</v>
      </c>
      <c r="J18" s="105">
        <f>+'NEW CAR'!J18+'GT-SERV'!J18+ACCESS!J18</f>
        <v>3</v>
      </c>
      <c r="K18" s="105">
        <f>+'NEW CAR'!K18+'GT-SERV'!K18+ACCESS!K18</f>
        <v>5</v>
      </c>
      <c r="L18" s="105">
        <f>+'NEW CAR'!L18+'GT-SERV'!L18+ACCESS!L18</f>
        <v>11</v>
      </c>
      <c r="M18" s="105">
        <f t="shared" si="9"/>
        <v>51</v>
      </c>
      <c r="N18" s="9" t="s">
        <v>16</v>
      </c>
      <c r="O18" s="105">
        <f>+'NEW CAR'!O18+'GT-SERV'!O18+ACCESS!O18</f>
        <v>4</v>
      </c>
      <c r="P18" s="105">
        <f>+'NEW CAR'!P18+'GT-SERV'!P18+ACCESS!P18</f>
        <v>5</v>
      </c>
      <c r="Q18" s="105">
        <f>+'NEW CAR'!Q18+'GT-SERV'!Q18+ACCESS!Q18</f>
        <v>7</v>
      </c>
      <c r="R18" s="105">
        <f>+'NEW CAR'!R18+'GT-SERV'!R18+ACCESS!R18</f>
        <v>2</v>
      </c>
      <c r="S18" s="105">
        <f>+'NEW CAR'!S18+'GT-SERV'!S18+ACCESS!S18</f>
        <v>1</v>
      </c>
      <c r="T18" s="105">
        <f>+'NEW CAR'!T18+'GT-SERV'!T18+ACCESS!T18</f>
        <v>5</v>
      </c>
      <c r="U18" s="105">
        <f>+'NEW CAR'!U18+'GT-SERV'!U18+ACCESS!U18</f>
        <v>1</v>
      </c>
      <c r="V18" s="105">
        <f>+'NEW CAR'!V18+'GT-SERV'!V18+ACCESS!V18</f>
        <v>4</v>
      </c>
      <c r="W18" s="105">
        <f>+'NEW CAR'!W18+'GT-SERV'!W18+ACCESS!W18</f>
        <v>13</v>
      </c>
      <c r="X18" s="105">
        <f>+'NEW CAR'!X18+'GT-SERV'!X18+ACCESS!X18</f>
        <v>1</v>
      </c>
      <c r="Y18" s="105">
        <f>+'NEW CAR'!Y18+'GT-SERV'!Y18+ACCESS!Y18</f>
        <v>0</v>
      </c>
      <c r="Z18" s="105">
        <f>+'NEW CAR'!Z18+'GT-SERV'!Z18+ACCESS!Z18</f>
        <v>0</v>
      </c>
      <c r="AA18" s="105">
        <f t="shared" ref="AA18:AA21" si="15">+SUM(O18:Z18)</f>
        <v>43</v>
      </c>
      <c r="AB18" s="118"/>
      <c r="AC18" s="105">
        <f>+'NEW CAR'!AC18+'GT-SERV'!AC18+ACCESS!AC18</f>
        <v>0</v>
      </c>
      <c r="AD18" s="105">
        <f>+'NEW CAR'!AD18+'GT-SERV'!AD18+ACCESS!AD18</f>
        <v>0</v>
      </c>
      <c r="AE18" s="105">
        <f>+'NEW CAR'!AE18+'GT-SERV'!AE18+ACCESS!AE18</f>
        <v>0</v>
      </c>
      <c r="AF18" s="105">
        <f>+'NEW CAR'!AF18+'GT-SERV'!AF18+ACCESS!AF18</f>
        <v>0</v>
      </c>
      <c r="AG18" s="105">
        <f>+'NEW CAR'!AG18+'GT-SERV'!AG18+ACCESS!AG18</f>
        <v>0</v>
      </c>
      <c r="AH18" s="105">
        <f>+'NEW CAR'!AH18+'GT-SERV'!AH18+ACCESS!AH18</f>
        <v>0</v>
      </c>
      <c r="AI18" s="105">
        <f>+'NEW CAR'!AI18+'GT-SERV'!AI18+ACCESS!AI18</f>
        <v>0</v>
      </c>
      <c r="AJ18" s="105">
        <f>+'NEW CAR'!AJ18+'GT-SERV'!AJ18+ACCESS!AJ18</f>
        <v>0</v>
      </c>
      <c r="AK18" s="105">
        <f>+'NEW CAR'!AK18+'GT-SERV'!AK18+ACCESS!AK18</f>
        <v>0</v>
      </c>
      <c r="AL18" s="105">
        <f>+'NEW CAR'!AL18+'GT-SERV'!AL18+ACCESS!AL18</f>
        <v>0</v>
      </c>
      <c r="AM18" s="105">
        <f>+'NEW CAR'!AM18+'GT-SERV'!AM18+ACCESS!AM18</f>
        <v>0</v>
      </c>
      <c r="AN18" s="105">
        <f>+'NEW CAR'!AN18+'GT-SERV'!AN18+ACCESS!AN18</f>
        <v>0</v>
      </c>
      <c r="AO18" s="105">
        <f t="shared" ref="AO18:AO21" si="16">+SUM(AC18:AN18)</f>
        <v>0</v>
      </c>
    </row>
    <row r="19" spans="1:41">
      <c r="A19" s="106">
        <f>+'NEW CAR'!A19+'GT-SERV'!A19+ACCESS!A19</f>
        <v>22026332.419999998</v>
      </c>
      <c r="B19" s="106">
        <f>+'NEW CAR'!B19+'GT-SERV'!B19+ACCESS!B19</f>
        <v>9994594.6000000015</v>
      </c>
      <c r="C19" s="106">
        <f>+'NEW CAR'!C19+'GT-SERV'!C19+ACCESS!C19</f>
        <v>0</v>
      </c>
      <c r="D19" s="106">
        <f>+'NEW CAR'!D19+'GT-SERV'!D19+ACCESS!D19</f>
        <v>8052252.25</v>
      </c>
      <c r="E19" s="106">
        <f>+'NEW CAR'!E19+'GT-SERV'!E19+ACCESS!E19</f>
        <v>20678545.700000003</v>
      </c>
      <c r="F19" s="106">
        <f>+'NEW CAR'!F19+'GT-SERV'!F19+ACCESS!F19</f>
        <v>33764249</v>
      </c>
      <c r="G19" s="106">
        <f>+'NEW CAR'!G19+'GT-SERV'!G19+ACCESS!G19</f>
        <v>21264134.82</v>
      </c>
      <c r="H19" s="106">
        <f>+'NEW CAR'!H19+'GT-SERV'!H19+ACCESS!H19</f>
        <v>24225856</v>
      </c>
      <c r="I19" s="106">
        <f>+'NEW CAR'!I19+'GT-SERV'!I19+ACCESS!I19</f>
        <v>0</v>
      </c>
      <c r="J19" s="106">
        <f>+'NEW CAR'!J19+'GT-SERV'!J19+ACCESS!J19</f>
        <v>13422660.09</v>
      </c>
      <c r="K19" s="106">
        <f>+'NEW CAR'!K19+'GT-SERV'!K19+ACCESS!K19</f>
        <v>16850115</v>
      </c>
      <c r="L19" s="106">
        <f>+'NEW CAR'!L19+'GT-SERV'!L19+ACCESS!L19</f>
        <v>42598584.670000002</v>
      </c>
      <c r="M19" s="106">
        <f t="shared" si="9"/>
        <v>212877324.55000001</v>
      </c>
      <c r="N19" s="7" t="s">
        <v>17</v>
      </c>
      <c r="O19" s="106">
        <f>+'NEW CAR'!O19+'GT-SERV'!O19+ACCESS!O19</f>
        <v>22735714.289999999</v>
      </c>
      <c r="P19" s="106">
        <f>+'NEW CAR'!P19+'GT-SERV'!P19+ACCESS!P19</f>
        <v>29487859.920000002</v>
      </c>
      <c r="Q19" s="106">
        <f>+'NEW CAR'!Q19+'GT-SERV'!Q19+ACCESS!Q19</f>
        <v>29390462.729999997</v>
      </c>
      <c r="R19" s="106">
        <f>+'NEW CAR'!R19+'GT-SERV'!R19+ACCESS!R19</f>
        <v>14947333</v>
      </c>
      <c r="S19" s="106">
        <f>+'NEW CAR'!S19+'GT-SERV'!S19+ACCESS!S19</f>
        <v>3133333.33</v>
      </c>
      <c r="T19" s="106">
        <f>+'NEW CAR'!T19+'GT-SERV'!T19+ACCESS!T19</f>
        <v>21431531</v>
      </c>
      <c r="U19" s="106">
        <f>+'NEW CAR'!U19+'GT-SERV'!U19+ACCESS!U19</f>
        <v>6959459</v>
      </c>
      <c r="V19" s="106">
        <f>+'NEW CAR'!V19+'GT-SERV'!V19+ACCESS!V19</f>
        <v>32788183</v>
      </c>
      <c r="W19" s="106">
        <f>+'NEW CAR'!W19+'GT-SERV'!W19+ACCESS!W19</f>
        <v>50965035</v>
      </c>
      <c r="X19" s="106">
        <f>+'NEW CAR'!X19+'GT-SERV'!X19+ACCESS!X19</f>
        <v>2470500</v>
      </c>
      <c r="Y19" s="106">
        <f>+'NEW CAR'!Y19+'GT-SERV'!Y19+ACCESS!Y19</f>
        <v>0</v>
      </c>
      <c r="Z19" s="106">
        <f>+'NEW CAR'!Z19+'GT-SERV'!Z19+ACCESS!Z19</f>
        <v>0</v>
      </c>
      <c r="AA19" s="106">
        <f t="shared" si="15"/>
        <v>214309411.26999998</v>
      </c>
      <c r="AB19" s="118"/>
      <c r="AC19" s="106">
        <f>+'NEW CAR'!AC19+'GT-SERV'!AC19+ACCESS!AC19</f>
        <v>0</v>
      </c>
      <c r="AD19" s="106">
        <f>+'NEW CAR'!AD19+'GT-SERV'!AD19+ACCESS!AD19</f>
        <v>0</v>
      </c>
      <c r="AE19" s="106">
        <f>+'NEW CAR'!AE19+'GT-SERV'!AE19+ACCESS!AE19</f>
        <v>0</v>
      </c>
      <c r="AF19" s="106">
        <f>+'NEW CAR'!AF19+'GT-SERV'!AF19+ACCESS!AF19</f>
        <v>0</v>
      </c>
      <c r="AG19" s="106">
        <f>+'NEW CAR'!AG19+'GT-SERV'!AG19+ACCESS!AG19</f>
        <v>0</v>
      </c>
      <c r="AH19" s="106">
        <f>+'NEW CAR'!AH19+'GT-SERV'!AH19+ACCESS!AH19</f>
        <v>0</v>
      </c>
      <c r="AI19" s="106">
        <f>+'NEW CAR'!AI19+'GT-SERV'!AI19+ACCESS!AI19</f>
        <v>0</v>
      </c>
      <c r="AJ19" s="106">
        <f>+'NEW CAR'!AJ19+'GT-SERV'!AJ19+ACCESS!AJ19</f>
        <v>0</v>
      </c>
      <c r="AK19" s="106">
        <f>+'NEW CAR'!AK19+'GT-SERV'!AK19+ACCESS!AK19</f>
        <v>0</v>
      </c>
      <c r="AL19" s="106">
        <f>+'NEW CAR'!AL19+'GT-SERV'!AL19+ACCESS!AL19</f>
        <v>0</v>
      </c>
      <c r="AM19" s="106">
        <f>+'NEW CAR'!AM19+'GT-SERV'!AM19+ACCESS!AM19</f>
        <v>0</v>
      </c>
      <c r="AN19" s="106">
        <f>+'NEW CAR'!AN19+'GT-SERV'!AN19+ACCESS!AN19</f>
        <v>0</v>
      </c>
      <c r="AO19" s="106">
        <f t="shared" si="16"/>
        <v>0</v>
      </c>
    </row>
    <row r="20" spans="1:41">
      <c r="A20" s="106">
        <f>+'NEW CAR'!A20+'GT-SERV'!A20+ACCESS!A20</f>
        <v>24006248.539999999</v>
      </c>
      <c r="B20" s="106">
        <f>+'NEW CAR'!B20+'GT-SERV'!B20+ACCESS!B20</f>
        <v>10470859</v>
      </c>
      <c r="C20" s="106">
        <f>+'NEW CAR'!C20+'GT-SERV'!C20+ACCESS!C20</f>
        <v>0</v>
      </c>
      <c r="D20" s="106">
        <f>+'NEW CAR'!D20+'GT-SERV'!D20+ACCESS!D20</f>
        <v>9109435.6999999993</v>
      </c>
      <c r="E20" s="106">
        <f>+'NEW CAR'!E20+'GT-SERV'!E20+ACCESS!E20</f>
        <v>21645657</v>
      </c>
      <c r="F20" s="106">
        <f>+'NEW CAR'!F20+'GT-SERV'!F20+ACCESS!F20</f>
        <v>38634665</v>
      </c>
      <c r="G20" s="106">
        <f>+'NEW CAR'!G20+'GT-SERV'!G20+ACCESS!G20</f>
        <v>22380511.829999998</v>
      </c>
      <c r="H20" s="106">
        <f>+'NEW CAR'!H20+'GT-SERV'!H20+ACCESS!H20</f>
        <v>29151767.73</v>
      </c>
      <c r="I20" s="106">
        <f>+'NEW CAR'!I20+'GT-SERV'!I20+ACCESS!I20</f>
        <v>0</v>
      </c>
      <c r="J20" s="106">
        <f>+'NEW CAR'!J20+'GT-SERV'!J20+ACCESS!J20</f>
        <v>14715613.5</v>
      </c>
      <c r="K20" s="106">
        <f>+'NEW CAR'!K20+'GT-SERV'!K20+ACCESS!K20</f>
        <v>21253482</v>
      </c>
      <c r="L20" s="106">
        <f>+'NEW CAR'!L20+'GT-SERV'!L20+ACCESS!L20</f>
        <v>48732187.899999999</v>
      </c>
      <c r="M20" s="106">
        <f t="shared" si="9"/>
        <v>240100428.19999999</v>
      </c>
      <c r="N20" s="7" t="s">
        <v>18</v>
      </c>
      <c r="O20" s="106">
        <f>+'NEW CAR'!O20+'GT-SERV'!O20+ACCESS!O20</f>
        <v>36470827.869999997</v>
      </c>
      <c r="P20" s="106">
        <f>+'NEW CAR'!P20+'GT-SERV'!P20+ACCESS!P20</f>
        <v>35490603.049999997</v>
      </c>
      <c r="Q20" s="106">
        <f>+'NEW CAR'!Q20+'GT-SERV'!Q20+ACCESS!Q20</f>
        <v>33053092.93</v>
      </c>
      <c r="R20" s="106">
        <f>+'NEW CAR'!R20+'GT-SERV'!R20+ACCESS!R20</f>
        <v>15713361.939999999</v>
      </c>
      <c r="S20" s="106">
        <f>+'NEW CAR'!S20+'GT-SERV'!S20+ACCESS!S20</f>
        <v>3291933.7699999996</v>
      </c>
      <c r="T20" s="106">
        <f>+'NEW CAR'!T20+'GT-SERV'!T20+ACCESS!T20</f>
        <v>22947340.390000001</v>
      </c>
      <c r="U20" s="106">
        <f>+'NEW CAR'!U20+'GT-SERV'!U20+ACCESS!U20</f>
        <v>6784797.25</v>
      </c>
      <c r="V20" s="106">
        <f>+'NEW CAR'!V20+'GT-SERV'!V20+ACCESS!V20</f>
        <v>33210533.489999998</v>
      </c>
      <c r="W20" s="106">
        <f>+'NEW CAR'!W20+'GT-SERV'!W20+ACCESS!W20</f>
        <v>59567219.560000002</v>
      </c>
      <c r="X20" s="106">
        <f>+'NEW CAR'!X20+'GT-SERV'!X20+ACCESS!X20</f>
        <v>3032948.0667500002</v>
      </c>
      <c r="Y20" s="106">
        <f>+'NEW CAR'!Y20+'GT-SERV'!Y20+ACCESS!Y20</f>
        <v>0</v>
      </c>
      <c r="Z20" s="106">
        <f>+'NEW CAR'!Z20+'GT-SERV'!Z20+ACCESS!Z20</f>
        <v>0</v>
      </c>
      <c r="AA20" s="106">
        <f t="shared" si="15"/>
        <v>249562658.31674999</v>
      </c>
      <c r="AB20" s="118"/>
      <c r="AC20" s="106">
        <f>+'NEW CAR'!AC20+'GT-SERV'!AC20+ACCESS!AC20</f>
        <v>0</v>
      </c>
      <c r="AD20" s="106">
        <f>+'NEW CAR'!AD20+'GT-SERV'!AD20+ACCESS!AD20</f>
        <v>0</v>
      </c>
      <c r="AE20" s="106">
        <f>+'NEW CAR'!AE20+'GT-SERV'!AE20+ACCESS!AE20</f>
        <v>0</v>
      </c>
      <c r="AF20" s="106">
        <f>+'NEW CAR'!AF20+'GT-SERV'!AF20+ACCESS!AF20</f>
        <v>0</v>
      </c>
      <c r="AG20" s="106">
        <f>+'NEW CAR'!AG20+'GT-SERV'!AG20+ACCESS!AG20</f>
        <v>0</v>
      </c>
      <c r="AH20" s="106">
        <f>+'NEW CAR'!AH20+'GT-SERV'!AH20+ACCESS!AH20</f>
        <v>0</v>
      </c>
      <c r="AI20" s="106">
        <f>+'NEW CAR'!AI20+'GT-SERV'!AI20+ACCESS!AI20</f>
        <v>0</v>
      </c>
      <c r="AJ20" s="106">
        <f>+'NEW CAR'!AJ20+'GT-SERV'!AJ20+ACCESS!AJ20</f>
        <v>0</v>
      </c>
      <c r="AK20" s="106">
        <f>+'NEW CAR'!AK20+'GT-SERV'!AK20+ACCESS!AK20</f>
        <v>0</v>
      </c>
      <c r="AL20" s="106">
        <f>+'NEW CAR'!AL20+'GT-SERV'!AL20+ACCESS!AL20</f>
        <v>0</v>
      </c>
      <c r="AM20" s="106">
        <f>+'NEW CAR'!AM20+'GT-SERV'!AM20+ACCESS!AM20</f>
        <v>0</v>
      </c>
      <c r="AN20" s="106">
        <f>+'NEW CAR'!AN20+'GT-SERV'!AN20+ACCESS!AN20</f>
        <v>0</v>
      </c>
      <c r="AO20" s="106">
        <f t="shared" si="16"/>
        <v>0</v>
      </c>
    </row>
    <row r="21" spans="1:41">
      <c r="A21" s="106">
        <f>+'NEW CAR'!A21+'GT-SERV'!A21+ACCESS!A21</f>
        <v>0</v>
      </c>
      <c r="B21" s="106">
        <f>+'NEW CAR'!B21+'GT-SERV'!B21+ACCESS!B21</f>
        <v>0</v>
      </c>
      <c r="C21" s="106">
        <f>+'NEW CAR'!C21+'GT-SERV'!C21+ACCESS!C21</f>
        <v>0</v>
      </c>
      <c r="D21" s="106">
        <f>+'NEW CAR'!D21+'GT-SERV'!D21+ACCESS!D21</f>
        <v>0</v>
      </c>
      <c r="E21" s="106">
        <f>+'NEW CAR'!E21+'GT-SERV'!E21+ACCESS!E21</f>
        <v>0</v>
      </c>
      <c r="F21" s="106">
        <f>+'NEW CAR'!F21+'GT-SERV'!F21+ACCESS!F21</f>
        <v>0</v>
      </c>
      <c r="G21" s="106">
        <f>+'NEW CAR'!G21+'GT-SERV'!G21+ACCESS!G21</f>
        <v>0</v>
      </c>
      <c r="H21" s="106">
        <f>+'NEW CAR'!H21+'GT-SERV'!H21+ACCESS!H21</f>
        <v>0</v>
      </c>
      <c r="I21" s="106">
        <f>+'NEW CAR'!I21+'GT-SERV'!I21+ACCESS!I21</f>
        <v>0</v>
      </c>
      <c r="J21" s="106">
        <f>+'NEW CAR'!J21+'GT-SERV'!J21+ACCESS!J21</f>
        <v>0</v>
      </c>
      <c r="K21" s="106">
        <f>+'NEW CAR'!K21+'GT-SERV'!K21+ACCESS!K21</f>
        <v>0</v>
      </c>
      <c r="L21" s="106">
        <f>+'NEW CAR'!L21+'GT-SERV'!L21+ACCESS!L21</f>
        <v>0</v>
      </c>
      <c r="M21" s="106">
        <f t="shared" si="9"/>
        <v>0</v>
      </c>
      <c r="N21" s="7" t="s">
        <v>19</v>
      </c>
      <c r="O21" s="106">
        <f>+'NEW CAR'!O21+'GT-SERV'!O21+ACCESS!O21</f>
        <v>0</v>
      </c>
      <c r="P21" s="106">
        <f>+'NEW CAR'!P21+'GT-SERV'!P21+ACCESS!P21</f>
        <v>0</v>
      </c>
      <c r="Q21" s="106">
        <f>+'NEW CAR'!Q21+'GT-SERV'!Q21+ACCESS!Q21</f>
        <v>0</v>
      </c>
      <c r="R21" s="106">
        <f>+'NEW CAR'!R21+'GT-SERV'!R21+ACCESS!R21</f>
        <v>0</v>
      </c>
      <c r="S21" s="106">
        <f>+'NEW CAR'!S21+'GT-SERV'!S21+ACCESS!S21</f>
        <v>0</v>
      </c>
      <c r="T21" s="106">
        <f>+'NEW CAR'!T21+'GT-SERV'!T21+ACCESS!T21</f>
        <v>0</v>
      </c>
      <c r="U21" s="106">
        <f>+'NEW CAR'!U21+'GT-SERV'!U21+ACCESS!U21</f>
        <v>0</v>
      </c>
      <c r="V21" s="106">
        <f>+'NEW CAR'!V21+'GT-SERV'!V21+ACCESS!V21</f>
        <v>0</v>
      </c>
      <c r="W21" s="106">
        <f>+'NEW CAR'!W21+'GT-SERV'!W21+ACCESS!W21</f>
        <v>0</v>
      </c>
      <c r="X21" s="106">
        <f>+'NEW CAR'!X21+'GT-SERV'!X21+ACCESS!X21</f>
        <v>0</v>
      </c>
      <c r="Y21" s="106">
        <f>+'NEW CAR'!Y21+'GT-SERV'!Y21+ACCESS!Y21</f>
        <v>0</v>
      </c>
      <c r="Z21" s="106">
        <f>+'NEW CAR'!Z21+'GT-SERV'!Z21+ACCESS!Z21</f>
        <v>0</v>
      </c>
      <c r="AA21" s="106">
        <f t="shared" si="15"/>
        <v>0</v>
      </c>
      <c r="AB21" s="118"/>
      <c r="AC21" s="106">
        <f>+'NEW CAR'!AC21+'GT-SERV'!AC21+ACCESS!AC21</f>
        <v>0</v>
      </c>
      <c r="AD21" s="106">
        <f>+'NEW CAR'!AD21+'GT-SERV'!AD21+ACCESS!AD21</f>
        <v>0</v>
      </c>
      <c r="AE21" s="106">
        <f>+'NEW CAR'!AE21+'GT-SERV'!AE21+ACCESS!AE21</f>
        <v>0</v>
      </c>
      <c r="AF21" s="106">
        <f>+'NEW CAR'!AF21+'GT-SERV'!AF21+ACCESS!AF21</f>
        <v>0</v>
      </c>
      <c r="AG21" s="106">
        <f>+'NEW CAR'!AG21+'GT-SERV'!AG21+ACCESS!AG21</f>
        <v>0</v>
      </c>
      <c r="AH21" s="106">
        <f>+'NEW CAR'!AH21+'GT-SERV'!AH21+ACCESS!AH21</f>
        <v>0</v>
      </c>
      <c r="AI21" s="106">
        <f>+'NEW CAR'!AI21+'GT-SERV'!AI21+ACCESS!AI21</f>
        <v>0</v>
      </c>
      <c r="AJ21" s="106">
        <f>+'NEW CAR'!AJ21+'GT-SERV'!AJ21+ACCESS!AJ21</f>
        <v>0</v>
      </c>
      <c r="AK21" s="106">
        <f>+'NEW CAR'!AK21+'GT-SERV'!AK21+ACCESS!AK21</f>
        <v>0</v>
      </c>
      <c r="AL21" s="106">
        <f>+'NEW CAR'!AL21+'GT-SERV'!AL21+ACCESS!AL21</f>
        <v>0</v>
      </c>
      <c r="AM21" s="106">
        <f>+'NEW CAR'!AM21+'GT-SERV'!AM21+ACCESS!AM21</f>
        <v>0</v>
      </c>
      <c r="AN21" s="106">
        <f>+'NEW CAR'!AN21+'GT-SERV'!AN21+ACCESS!AN21</f>
        <v>0</v>
      </c>
      <c r="AO21" s="106">
        <f t="shared" si="16"/>
        <v>0</v>
      </c>
    </row>
    <row r="22" spans="1:41" ht="17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8" t="s">
        <v>243</v>
      </c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18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</row>
    <row r="23" spans="1:41">
      <c r="A23" s="105">
        <f>+'NEW CAR'!A23+'GT-SERV'!A23+ACCESS!A23</f>
        <v>5</v>
      </c>
      <c r="B23" s="105">
        <f>+'NEW CAR'!B23+'GT-SERV'!B23+ACCESS!B23</f>
        <v>3</v>
      </c>
      <c r="C23" s="105">
        <f>+'NEW CAR'!C23+'GT-SERV'!C23+ACCESS!C23</f>
        <v>0</v>
      </c>
      <c r="D23" s="105">
        <f>+'NEW CAR'!D23+'GT-SERV'!D23+ACCESS!D23</f>
        <v>2</v>
      </c>
      <c r="E23" s="105">
        <f>+'NEW CAR'!E23+'GT-SERV'!E23+ACCESS!E23</f>
        <v>4</v>
      </c>
      <c r="F23" s="105">
        <f>+'NEW CAR'!F23+'GT-SERV'!F23+ACCESS!F23</f>
        <v>6</v>
      </c>
      <c r="G23" s="105">
        <f>+'NEW CAR'!G23+'GT-SERV'!G23+ACCESS!G23</f>
        <v>6</v>
      </c>
      <c r="H23" s="105">
        <f>+'NEW CAR'!H23+'GT-SERV'!H23+ACCESS!H23</f>
        <v>6</v>
      </c>
      <c r="I23" s="105">
        <f>+'NEW CAR'!I23+'GT-SERV'!I23+ACCESS!I23</f>
        <v>0</v>
      </c>
      <c r="J23" s="105">
        <f>+'NEW CAR'!J23+'GT-SERV'!J23+ACCESS!J23</f>
        <v>3</v>
      </c>
      <c r="K23" s="105">
        <f>+'NEW CAR'!K23+'GT-SERV'!K23+ACCESS!K23</f>
        <v>5</v>
      </c>
      <c r="L23" s="105">
        <f>+'NEW CAR'!L23+'GT-SERV'!L23+ACCESS!L23</f>
        <v>7</v>
      </c>
      <c r="M23" s="105">
        <f t="shared" si="9"/>
        <v>47</v>
      </c>
      <c r="N23" s="9" t="s">
        <v>16</v>
      </c>
      <c r="O23" s="105">
        <f>+'NEW CAR'!O23+'GT-SERV'!O23+ACCESS!O23</f>
        <v>5</v>
      </c>
      <c r="P23" s="105">
        <f>+'NEW CAR'!P23+'GT-SERV'!P23+ACCESS!P23</f>
        <v>4</v>
      </c>
      <c r="Q23" s="105">
        <f>+'NEW CAR'!Q23+'GT-SERV'!Q23+ACCESS!Q23</f>
        <v>6</v>
      </c>
      <c r="R23" s="105">
        <f>+'NEW CAR'!R23+'GT-SERV'!R23+ACCESS!R23</f>
        <v>3</v>
      </c>
      <c r="S23" s="105">
        <f>+'NEW CAR'!S23+'GT-SERV'!S23+ACCESS!S23</f>
        <v>2</v>
      </c>
      <c r="T23" s="105">
        <f>+'NEW CAR'!T23+'GT-SERV'!T23+ACCESS!T23</f>
        <v>1</v>
      </c>
      <c r="U23" s="105">
        <f>+'NEW CAR'!U23+'GT-SERV'!U23+ACCESS!U23</f>
        <v>4</v>
      </c>
      <c r="V23" s="105">
        <f>+'NEW CAR'!V23+'GT-SERV'!V23+ACCESS!V23</f>
        <v>4</v>
      </c>
      <c r="W23" s="105">
        <f>+'NEW CAR'!W23+'GT-SERV'!W23+ACCESS!W23</f>
        <v>3</v>
      </c>
      <c r="X23" s="105">
        <f>+'NEW CAR'!X23+'GT-SERV'!X23+ACCESS!X23</f>
        <v>5</v>
      </c>
      <c r="Y23" s="105">
        <f>+'NEW CAR'!Y23+'GT-SERV'!Y23+ACCESS!Y23</f>
        <v>0</v>
      </c>
      <c r="Z23" s="105">
        <f>+'NEW CAR'!Z23+'GT-SERV'!Z23+ACCESS!Z23</f>
        <v>0</v>
      </c>
      <c r="AA23" s="105">
        <f t="shared" ref="AA23:AA26" si="17">+SUM(O23:Z23)</f>
        <v>37</v>
      </c>
      <c r="AB23" s="118"/>
      <c r="AC23" s="105">
        <f>+'NEW CAR'!AC23+'GT-SERV'!AC23+ACCESS!AC23</f>
        <v>0</v>
      </c>
      <c r="AD23" s="105">
        <f>+'NEW CAR'!AD23+'GT-SERV'!AD23+ACCESS!AD23</f>
        <v>0</v>
      </c>
      <c r="AE23" s="105">
        <f>+'NEW CAR'!AE23+'GT-SERV'!AE23+ACCESS!AE23</f>
        <v>0</v>
      </c>
      <c r="AF23" s="105">
        <f>+'NEW CAR'!AF23+'GT-SERV'!AF23+ACCESS!AF23</f>
        <v>0</v>
      </c>
      <c r="AG23" s="105">
        <f>+'NEW CAR'!AG23+'GT-SERV'!AG23+ACCESS!AG23</f>
        <v>0</v>
      </c>
      <c r="AH23" s="105">
        <f>+'NEW CAR'!AH23+'GT-SERV'!AH23+ACCESS!AH23</f>
        <v>0</v>
      </c>
      <c r="AI23" s="105">
        <f>+'NEW CAR'!AI23+'GT-SERV'!AI23+ACCESS!AI23</f>
        <v>0</v>
      </c>
      <c r="AJ23" s="105">
        <f>+'NEW CAR'!AJ23+'GT-SERV'!AJ23+ACCESS!AJ23</f>
        <v>0</v>
      </c>
      <c r="AK23" s="105">
        <f>+'NEW CAR'!AK23+'GT-SERV'!AK23+ACCESS!AK23</f>
        <v>0</v>
      </c>
      <c r="AL23" s="105">
        <f>+'NEW CAR'!AL23+'GT-SERV'!AL23+ACCESS!AL23</f>
        <v>0</v>
      </c>
      <c r="AM23" s="105">
        <f>+'NEW CAR'!AM23+'GT-SERV'!AM23+ACCESS!AM23</f>
        <v>0</v>
      </c>
      <c r="AN23" s="105">
        <f>+'NEW CAR'!AN23+'GT-SERV'!AN23+ACCESS!AN23</f>
        <v>0</v>
      </c>
      <c r="AO23" s="105">
        <f t="shared" ref="AO23:AO26" si="18">+SUM(AC23:AN23)</f>
        <v>0</v>
      </c>
    </row>
    <row r="24" spans="1:41">
      <c r="A24" s="106">
        <f>+'NEW CAR'!A24+'GT-SERV'!A24+ACCESS!A24</f>
        <v>5211864.41</v>
      </c>
      <c r="B24" s="106">
        <f>+'NEW CAR'!B24+'GT-SERV'!B24+ACCESS!B24</f>
        <v>2585355.9300000002</v>
      </c>
      <c r="C24" s="106">
        <f>+'NEW CAR'!C24+'GT-SERV'!C24+ACCESS!C24</f>
        <v>3435398.31</v>
      </c>
      <c r="D24" s="106">
        <f>+'NEW CAR'!D24+'GT-SERV'!D24+ACCESS!D24</f>
        <v>13107106.779999997</v>
      </c>
      <c r="E24" s="106">
        <f>+'NEW CAR'!E24+'GT-SERV'!E24+ACCESS!E24</f>
        <v>11726124.74</v>
      </c>
      <c r="F24" s="106">
        <f>+'NEW CAR'!F24+'GT-SERV'!F24+ACCESS!F24</f>
        <v>9740000</v>
      </c>
      <c r="G24" s="106">
        <f>+'NEW CAR'!G24+'GT-SERV'!G24+ACCESS!G24</f>
        <v>22764009</v>
      </c>
      <c r="H24" s="106">
        <f>+'NEW CAR'!H24+'GT-SERV'!H24+ACCESS!H24</f>
        <v>6350000</v>
      </c>
      <c r="I24" s="106">
        <f>+'NEW CAR'!I24+'GT-SERV'!I24+ACCESS!I24</f>
        <v>7000000</v>
      </c>
      <c r="J24" s="106">
        <f>+'NEW CAR'!J24+'GT-SERV'!J24+ACCESS!J24</f>
        <v>4811506.49</v>
      </c>
      <c r="K24" s="106">
        <f>+'NEW CAR'!K24+'GT-SERV'!K24+ACCESS!K24</f>
        <v>9617372.879999999</v>
      </c>
      <c r="L24" s="106">
        <f>+'NEW CAR'!L24+'GT-SERV'!L24+ACCESS!L24</f>
        <v>5731188.1200000001</v>
      </c>
      <c r="M24" s="106">
        <f t="shared" si="9"/>
        <v>102079926.66</v>
      </c>
      <c r="N24" s="7" t="s">
        <v>21</v>
      </c>
      <c r="O24" s="106">
        <f>+'NEW CAR'!O24+'GT-SERV'!O24+ACCESS!O24</f>
        <v>7364677.9699999997</v>
      </c>
      <c r="P24" s="106">
        <f>+'NEW CAR'!P24+'GT-SERV'!P24+ACCESS!P24</f>
        <v>8268506.2000000002</v>
      </c>
      <c r="Q24" s="106">
        <f>+'NEW CAR'!Q24+'GT-SERV'!Q24+ACCESS!Q24</f>
        <v>13262641.530000001</v>
      </c>
      <c r="R24" s="106">
        <f>+'NEW CAR'!R24+'GT-SERV'!R24+ACCESS!R24</f>
        <v>10367796.609999999</v>
      </c>
      <c r="S24" s="106">
        <f>+'NEW CAR'!S24+'GT-SERV'!S24+ACCESS!S24</f>
        <v>4392066.9499999993</v>
      </c>
      <c r="T24" s="106">
        <f>+'NEW CAR'!T24+'GT-SERV'!T24+ACCESS!T24</f>
        <v>2645309.3199999998</v>
      </c>
      <c r="U24" s="106">
        <f>+'NEW CAR'!U24+'GT-SERV'!U24+ACCESS!U24</f>
        <v>7078844.9699999997</v>
      </c>
      <c r="V24" s="106">
        <f>+'NEW CAR'!V24+'GT-SERV'!V24+ACCESS!V24</f>
        <v>11355745.76</v>
      </c>
      <c r="W24" s="106">
        <f>+'NEW CAR'!W24+'GT-SERV'!W24+ACCESS!W24</f>
        <v>7925000</v>
      </c>
      <c r="X24" s="106">
        <f>+'NEW CAR'!X24+'GT-SERV'!X24+ACCESS!X24</f>
        <v>16673644.07</v>
      </c>
      <c r="Y24" s="106">
        <f>+'NEW CAR'!Y24+'GT-SERV'!Y24+ACCESS!Y24</f>
        <v>0</v>
      </c>
      <c r="Z24" s="106">
        <f>+'NEW CAR'!Z24+'GT-SERV'!Z24+ACCESS!Z24</f>
        <v>0</v>
      </c>
      <c r="AA24" s="106">
        <f t="shared" si="17"/>
        <v>89334233.379999995</v>
      </c>
      <c r="AB24" s="118"/>
      <c r="AC24" s="106">
        <f>+'NEW CAR'!AC24+'GT-SERV'!AC24+ACCESS!AC24</f>
        <v>0</v>
      </c>
      <c r="AD24" s="106">
        <f>+'NEW CAR'!AD24+'GT-SERV'!AD24+ACCESS!AD24</f>
        <v>0</v>
      </c>
      <c r="AE24" s="106">
        <f>+'NEW CAR'!AE24+'GT-SERV'!AE24+ACCESS!AE24</f>
        <v>0</v>
      </c>
      <c r="AF24" s="106">
        <f>+'NEW CAR'!AF24+'GT-SERV'!AF24+ACCESS!AF24</f>
        <v>0</v>
      </c>
      <c r="AG24" s="106">
        <f>+'NEW CAR'!AG24+'GT-SERV'!AG24+ACCESS!AG24</f>
        <v>0</v>
      </c>
      <c r="AH24" s="106">
        <f>+'NEW CAR'!AH24+'GT-SERV'!AH24+ACCESS!AH24</f>
        <v>0</v>
      </c>
      <c r="AI24" s="106">
        <f>+'NEW CAR'!AI24+'GT-SERV'!AI24+ACCESS!AI24</f>
        <v>0</v>
      </c>
      <c r="AJ24" s="106">
        <f>+'NEW CAR'!AJ24+'GT-SERV'!AJ24+ACCESS!AJ24</f>
        <v>0</v>
      </c>
      <c r="AK24" s="106">
        <f>+'NEW CAR'!AK24+'GT-SERV'!AK24+ACCESS!AK24</f>
        <v>0</v>
      </c>
      <c r="AL24" s="106">
        <f>+'NEW CAR'!AL24+'GT-SERV'!AL24+ACCESS!AL24</f>
        <v>0</v>
      </c>
      <c r="AM24" s="106">
        <f>+'NEW CAR'!AM24+'GT-SERV'!AM24+ACCESS!AM24</f>
        <v>0</v>
      </c>
      <c r="AN24" s="106">
        <f>+'NEW CAR'!AN24+'GT-SERV'!AN24+ACCESS!AN24</f>
        <v>0</v>
      </c>
      <c r="AO24" s="106">
        <f t="shared" si="18"/>
        <v>0</v>
      </c>
    </row>
    <row r="25" spans="1:41">
      <c r="A25" s="106">
        <f>+'NEW CAR'!A25+'GT-SERV'!A25+ACCESS!A25</f>
        <v>5000000</v>
      </c>
      <c r="B25" s="106">
        <f>+'NEW CAR'!B25+'GT-SERV'!B25+ACCESS!B25</f>
        <v>2600000</v>
      </c>
      <c r="C25" s="106">
        <f>+'NEW CAR'!C25+'GT-SERV'!C25+ACCESS!C25</f>
        <v>3660000</v>
      </c>
      <c r="D25" s="106">
        <f>+'NEW CAR'!D25+'GT-SERV'!D25+ACCESS!D25</f>
        <v>12800000</v>
      </c>
      <c r="E25" s="106">
        <f>+'NEW CAR'!E25+'GT-SERV'!E25+ACCESS!E25</f>
        <v>11675000</v>
      </c>
      <c r="F25" s="106">
        <f>+'NEW CAR'!F25+'GT-SERV'!F25+ACCESS!F25</f>
        <v>9540000</v>
      </c>
      <c r="G25" s="106">
        <f>+'NEW CAR'!G25+'GT-SERV'!G25+ACCESS!G25</f>
        <v>22600000</v>
      </c>
      <c r="H25" s="106">
        <f>+'NEW CAR'!H25+'GT-SERV'!H25+ACCESS!H25</f>
        <v>6610000</v>
      </c>
      <c r="I25" s="106">
        <f>+'NEW CAR'!I25+'GT-SERV'!I25+ACCESS!I25</f>
        <v>7200000</v>
      </c>
      <c r="J25" s="106">
        <f>+'NEW CAR'!J25+'GT-SERV'!J25+ACCESS!J25</f>
        <v>4825000</v>
      </c>
      <c r="K25" s="106">
        <f>+'NEW CAR'!K25+'GT-SERV'!K25+ACCESS!K25</f>
        <v>9925000</v>
      </c>
      <c r="L25" s="106">
        <f>+'NEW CAR'!L25+'GT-SERV'!L25+ACCESS!L25</f>
        <v>5900000</v>
      </c>
      <c r="M25" s="106">
        <f t="shared" si="9"/>
        <v>102335000</v>
      </c>
      <c r="N25" s="7" t="s">
        <v>22</v>
      </c>
      <c r="O25" s="106">
        <f>+'NEW CAR'!O25+'GT-SERV'!O25+ACCESS!O25</f>
        <v>7408999.9999999991</v>
      </c>
      <c r="P25" s="106">
        <f>+'NEW CAR'!P25+'GT-SERV'!P25+ACCESS!P25</f>
        <v>9005000</v>
      </c>
      <c r="Q25" s="106">
        <f>+'NEW CAR'!Q25+'GT-SERV'!Q25+ACCESS!Q25</f>
        <v>13119999.999999998</v>
      </c>
      <c r="R25" s="106">
        <f>+'NEW CAR'!R25+'GT-SERV'!R25+ACCESS!R25</f>
        <v>10050000</v>
      </c>
      <c r="S25" s="106">
        <f>+'NEW CAR'!S25+'GT-SERV'!S25+ACCESS!S25</f>
        <v>4370000</v>
      </c>
      <c r="T25" s="106">
        <f>+'NEW CAR'!T25+'GT-SERV'!T25+ACCESS!T25</f>
        <v>2600000</v>
      </c>
      <c r="U25" s="106">
        <f>+'NEW CAR'!U25+'GT-SERV'!U25+ACCESS!U25</f>
        <v>7259999.9999999991</v>
      </c>
      <c r="V25" s="106">
        <f>+'NEW CAR'!V25+'GT-SERV'!V25+ACCESS!V25</f>
        <v>11271000</v>
      </c>
      <c r="W25" s="106">
        <f>+'NEW CAR'!W25+'GT-SERV'!W25+ACCESS!W25</f>
        <v>7925000</v>
      </c>
      <c r="X25" s="106">
        <f>+'NEW CAR'!X25+'GT-SERV'!X25+ACCESS!X25</f>
        <v>16305000.000000002</v>
      </c>
      <c r="Y25" s="106">
        <f>+'NEW CAR'!Y25+'GT-SERV'!Y25+ACCESS!Y25</f>
        <v>0</v>
      </c>
      <c r="Z25" s="106">
        <f>+'NEW CAR'!Z25+'GT-SERV'!Z25+ACCESS!Z25</f>
        <v>0</v>
      </c>
      <c r="AA25" s="106">
        <f t="shared" si="17"/>
        <v>89315000</v>
      </c>
      <c r="AB25" s="118"/>
      <c r="AC25" s="106">
        <f>+'NEW CAR'!AC25+'GT-SERV'!AC25+ACCESS!AC25</f>
        <v>0</v>
      </c>
      <c r="AD25" s="106">
        <f>+'NEW CAR'!AD25+'GT-SERV'!AD25+ACCESS!AD25</f>
        <v>0</v>
      </c>
      <c r="AE25" s="106">
        <f>+'NEW CAR'!AE25+'GT-SERV'!AE25+ACCESS!AE25</f>
        <v>0</v>
      </c>
      <c r="AF25" s="106">
        <f>+'NEW CAR'!AF25+'GT-SERV'!AF25+ACCESS!AF25</f>
        <v>0</v>
      </c>
      <c r="AG25" s="106">
        <f>+'NEW CAR'!AG25+'GT-SERV'!AG25+ACCESS!AG25</f>
        <v>0</v>
      </c>
      <c r="AH25" s="106">
        <f>+'NEW CAR'!AH25+'GT-SERV'!AH25+ACCESS!AH25</f>
        <v>0</v>
      </c>
      <c r="AI25" s="106">
        <f>+'NEW CAR'!AI25+'GT-SERV'!AI25+ACCESS!AI25</f>
        <v>0</v>
      </c>
      <c r="AJ25" s="106">
        <f>+'NEW CAR'!AJ25+'GT-SERV'!AJ25+ACCESS!AJ25</f>
        <v>0</v>
      </c>
      <c r="AK25" s="106">
        <f>+'NEW CAR'!AK25+'GT-SERV'!AK25+ACCESS!AK25</f>
        <v>0</v>
      </c>
      <c r="AL25" s="106">
        <f>+'NEW CAR'!AL25+'GT-SERV'!AL25+ACCESS!AL25</f>
        <v>0</v>
      </c>
      <c r="AM25" s="106">
        <f>+'NEW CAR'!AM25+'GT-SERV'!AM25+ACCESS!AM25</f>
        <v>0</v>
      </c>
      <c r="AN25" s="106">
        <f>+'NEW CAR'!AN25+'GT-SERV'!AN25+ACCESS!AN25</f>
        <v>0</v>
      </c>
      <c r="AO25" s="106">
        <f t="shared" si="18"/>
        <v>0</v>
      </c>
    </row>
    <row r="26" spans="1:41">
      <c r="A26" s="106">
        <f>+'NEW CAR'!A26+'GT-SERV'!A26+ACCESS!A26</f>
        <v>400</v>
      </c>
      <c r="B26" s="106">
        <f>+'NEW CAR'!B26+'GT-SERV'!B26+ACCESS!B26</f>
        <v>0</v>
      </c>
      <c r="C26" s="106">
        <f>+'NEW CAR'!C26+'GT-SERV'!C26+ACCESS!C26</f>
        <v>4600</v>
      </c>
      <c r="D26" s="106">
        <f>+'NEW CAR'!D26+'GT-SERV'!D26+ACCESS!D26</f>
        <v>152868.67239999998</v>
      </c>
      <c r="E26" s="106">
        <f>+'NEW CAR'!E26+'GT-SERV'!E26+ACCESS!E26</f>
        <v>0</v>
      </c>
      <c r="F26" s="106">
        <f>+'NEW CAR'!F26+'GT-SERV'!F26+ACCESS!F26</f>
        <v>63465.69999999999</v>
      </c>
      <c r="G26" s="106">
        <f>+'NEW CAR'!G26+'GT-SERV'!G26+ACCESS!G26</f>
        <v>27062.999999999996</v>
      </c>
      <c r="H26" s="106">
        <f>+'NEW CAR'!H26+'GT-SERV'!H26+ACCESS!H26</f>
        <v>35924</v>
      </c>
      <c r="I26" s="106">
        <f>+'NEW CAR'!I26+'GT-SERV'!I26+ACCESS!I26</f>
        <v>0</v>
      </c>
      <c r="J26" s="106">
        <f>+'NEW CAR'!J26+'GT-SERV'!J26+ACCESS!J26</f>
        <v>0</v>
      </c>
      <c r="K26" s="106">
        <f>+'NEW CAR'!K26+'GT-SERV'!K26+ACCESS!K26</f>
        <v>0</v>
      </c>
      <c r="L26" s="106">
        <f>+'NEW CAR'!L26+'GT-SERV'!L26+ACCESS!L26</f>
        <v>0</v>
      </c>
      <c r="M26" s="106">
        <f t="shared" si="9"/>
        <v>284321.37239999999</v>
      </c>
      <c r="N26" s="7" t="s">
        <v>23</v>
      </c>
      <c r="O26" s="106">
        <f>+'NEW CAR'!O26+'GT-SERV'!O26+ACCESS!O26</f>
        <v>0</v>
      </c>
      <c r="P26" s="106">
        <f>+'NEW CAR'!P26+'GT-SERV'!P26+ACCESS!P26</f>
        <v>0</v>
      </c>
      <c r="Q26" s="106">
        <f>+'NEW CAR'!Q26+'GT-SERV'!Q26+ACCESS!Q26</f>
        <v>0</v>
      </c>
      <c r="R26" s="106">
        <f>+'NEW CAR'!R26+'GT-SERV'!R26+ACCESS!R26</f>
        <v>3500.0000000000005</v>
      </c>
      <c r="S26" s="106">
        <f>+'NEW CAR'!S26+'GT-SERV'!S26+ACCESS!S26</f>
        <v>0</v>
      </c>
      <c r="T26" s="106">
        <f>+'NEW CAR'!T26+'GT-SERV'!T26+ACCESS!T26</f>
        <v>0</v>
      </c>
      <c r="U26" s="106">
        <f>+'NEW CAR'!U26+'GT-SERV'!U26+ACCESS!U26</f>
        <v>16890</v>
      </c>
      <c r="V26" s="106">
        <f>+'NEW CAR'!V26+'GT-SERV'!V26+ACCESS!V26</f>
        <v>0</v>
      </c>
      <c r="W26" s="106">
        <f>+'NEW CAR'!W26+'GT-SERV'!W26+ACCESS!W26</f>
        <v>0</v>
      </c>
      <c r="X26" s="106">
        <f>+'NEW CAR'!X26+'GT-SERV'!X26+ACCESS!X26</f>
        <v>91304</v>
      </c>
      <c r="Y26" s="106">
        <f>+'NEW CAR'!Y26+'GT-SERV'!Y26+ACCESS!Y26</f>
        <v>0</v>
      </c>
      <c r="Z26" s="106">
        <f>+'NEW CAR'!Z26+'GT-SERV'!Z26+ACCESS!Z26</f>
        <v>0</v>
      </c>
      <c r="AA26" s="106">
        <f t="shared" si="17"/>
        <v>111694</v>
      </c>
      <c r="AB26" s="118"/>
      <c r="AC26" s="106">
        <f>+'NEW CAR'!AC26+'GT-SERV'!AC26+ACCESS!AC26</f>
        <v>0</v>
      </c>
      <c r="AD26" s="106">
        <f>+'NEW CAR'!AD26+'GT-SERV'!AD26+ACCESS!AD26</f>
        <v>0</v>
      </c>
      <c r="AE26" s="106">
        <f>+'NEW CAR'!AE26+'GT-SERV'!AE26+ACCESS!AE26</f>
        <v>0</v>
      </c>
      <c r="AF26" s="106">
        <f>+'NEW CAR'!AF26+'GT-SERV'!AF26+ACCESS!AF26</f>
        <v>0</v>
      </c>
      <c r="AG26" s="106">
        <f>+'NEW CAR'!AG26+'GT-SERV'!AG26+ACCESS!AG26</f>
        <v>0</v>
      </c>
      <c r="AH26" s="106">
        <f>+'NEW CAR'!AH26+'GT-SERV'!AH26+ACCESS!AH26</f>
        <v>0</v>
      </c>
      <c r="AI26" s="106">
        <f>+'NEW CAR'!AI26+'GT-SERV'!AI26+ACCESS!AI26</f>
        <v>0</v>
      </c>
      <c r="AJ26" s="106">
        <f>+'NEW CAR'!AJ26+'GT-SERV'!AJ26+ACCESS!AJ26</f>
        <v>0</v>
      </c>
      <c r="AK26" s="106">
        <f>+'NEW CAR'!AK26+'GT-SERV'!AK26+ACCESS!AK26</f>
        <v>0</v>
      </c>
      <c r="AL26" s="106">
        <f>+'NEW CAR'!AL26+'GT-SERV'!AL26+ACCESS!AL26</f>
        <v>0</v>
      </c>
      <c r="AM26" s="106">
        <f>+'NEW CAR'!AM26+'GT-SERV'!AM26+ACCESS!AM26</f>
        <v>0</v>
      </c>
      <c r="AN26" s="106">
        <f>+'NEW CAR'!AN26+'GT-SERV'!AN26+ACCESS!AN26</f>
        <v>0</v>
      </c>
      <c r="AO26" s="106">
        <f t="shared" si="18"/>
        <v>0</v>
      </c>
    </row>
    <row r="27" spans="1:41">
      <c r="A27" s="58">
        <f>+A24-A25-A26</f>
        <v>211464.41000000015</v>
      </c>
      <c r="B27" s="58">
        <f t="shared" ref="B27:L27" si="19">+B24-B25-B26</f>
        <v>-14644.069999999832</v>
      </c>
      <c r="C27" s="58">
        <f t="shared" si="19"/>
        <v>-229201.68999999994</v>
      </c>
      <c r="D27" s="58">
        <f t="shared" si="19"/>
        <v>154238.10759999749</v>
      </c>
      <c r="E27" s="58">
        <f t="shared" si="19"/>
        <v>51124.740000000224</v>
      </c>
      <c r="F27" s="58">
        <f t="shared" si="19"/>
        <v>136534.30000000002</v>
      </c>
      <c r="G27" s="58">
        <f t="shared" si="19"/>
        <v>136946</v>
      </c>
      <c r="H27" s="58">
        <f t="shared" si="19"/>
        <v>-295924</v>
      </c>
      <c r="I27" s="58">
        <f t="shared" si="19"/>
        <v>-200000</v>
      </c>
      <c r="J27" s="58">
        <f t="shared" si="19"/>
        <v>-13493.509999999776</v>
      </c>
      <c r="K27" s="58">
        <f t="shared" si="19"/>
        <v>-307627.12000000104</v>
      </c>
      <c r="L27" s="58">
        <f t="shared" si="19"/>
        <v>-168811.87999999989</v>
      </c>
      <c r="M27" s="58">
        <f>+M24-M25-M26</f>
        <v>-539394.71240000357</v>
      </c>
      <c r="N27" s="10" t="s">
        <v>20</v>
      </c>
      <c r="O27" s="58">
        <f>+O24-O25-O26</f>
        <v>-44322.029999999329</v>
      </c>
      <c r="P27" s="58">
        <f t="shared" ref="P27:Z27" si="20">+P24-P25-P26</f>
        <v>-736493.79999999981</v>
      </c>
      <c r="Q27" s="58">
        <f t="shared" si="20"/>
        <v>142641.53000000305</v>
      </c>
      <c r="R27" s="58">
        <f t="shared" si="20"/>
        <v>314296.6099999994</v>
      </c>
      <c r="S27" s="58">
        <f t="shared" si="20"/>
        <v>22066.949999999255</v>
      </c>
      <c r="T27" s="58">
        <f t="shared" si="20"/>
        <v>45309.319999999832</v>
      </c>
      <c r="U27" s="58">
        <f t="shared" si="20"/>
        <v>-198045.02999999933</v>
      </c>
      <c r="V27" s="58">
        <f t="shared" si="20"/>
        <v>84745.759999999776</v>
      </c>
      <c r="W27" s="58">
        <f t="shared" si="20"/>
        <v>0</v>
      </c>
      <c r="X27" s="58">
        <f t="shared" si="20"/>
        <v>277340.06999999844</v>
      </c>
      <c r="Y27" s="58">
        <f t="shared" si="20"/>
        <v>0</v>
      </c>
      <c r="Z27" s="58">
        <f t="shared" si="20"/>
        <v>0</v>
      </c>
      <c r="AA27" s="58">
        <f>+AA24-AA25-AA26</f>
        <v>-92460.620000004768</v>
      </c>
      <c r="AB27" s="118"/>
      <c r="AC27" s="58">
        <f>+AC24-AC25-AC26</f>
        <v>0</v>
      </c>
      <c r="AD27" s="58">
        <f t="shared" ref="AD27:AN27" si="21">+AD24-AD25-AD26</f>
        <v>0</v>
      </c>
      <c r="AE27" s="58">
        <f t="shared" si="21"/>
        <v>0</v>
      </c>
      <c r="AF27" s="58">
        <f t="shared" si="21"/>
        <v>0</v>
      </c>
      <c r="AG27" s="58">
        <f t="shared" si="21"/>
        <v>0</v>
      </c>
      <c r="AH27" s="58">
        <f t="shared" si="21"/>
        <v>0</v>
      </c>
      <c r="AI27" s="58">
        <f t="shared" si="21"/>
        <v>0</v>
      </c>
      <c r="AJ27" s="58">
        <f t="shared" si="21"/>
        <v>0</v>
      </c>
      <c r="AK27" s="58">
        <f t="shared" si="21"/>
        <v>0</v>
      </c>
      <c r="AL27" s="58">
        <f t="shared" si="21"/>
        <v>0</v>
      </c>
      <c r="AM27" s="58">
        <f t="shared" si="21"/>
        <v>0</v>
      </c>
      <c r="AN27" s="58">
        <f t="shared" si="21"/>
        <v>0</v>
      </c>
      <c r="AO27" s="58">
        <f>+AO24-AO25-AO26</f>
        <v>0</v>
      </c>
    </row>
    <row r="28" spans="1:41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1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18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</row>
    <row r="29" spans="1:41" ht="17.25">
      <c r="A29" s="58">
        <f>+SUM(A31:A37)</f>
        <v>32712449.459999979</v>
      </c>
      <c r="B29" s="58">
        <f t="shared" ref="B29:L29" si="22">+SUM(B31:B37)</f>
        <v>41690513.539999992</v>
      </c>
      <c r="C29" s="58">
        <f t="shared" si="22"/>
        <v>30097325.573438089</v>
      </c>
      <c r="D29" s="58">
        <f t="shared" si="22"/>
        <v>27036521.819999985</v>
      </c>
      <c r="E29" s="58">
        <f t="shared" si="22"/>
        <v>30530527.565169748</v>
      </c>
      <c r="F29" s="58">
        <f t="shared" si="22"/>
        <v>34507885.905382149</v>
      </c>
      <c r="G29" s="58">
        <f t="shared" si="22"/>
        <v>34186451.012530409</v>
      </c>
      <c r="H29" s="58">
        <f t="shared" si="22"/>
        <v>39880081.528633915</v>
      </c>
      <c r="I29" s="58">
        <f t="shared" si="22"/>
        <v>37495977.817720674</v>
      </c>
      <c r="J29" s="58">
        <f t="shared" si="22"/>
        <v>34756798.74821268</v>
      </c>
      <c r="K29" s="58">
        <f t="shared" si="22"/>
        <v>41585670.693762675</v>
      </c>
      <c r="L29" s="58">
        <f t="shared" si="22"/>
        <v>41698838.718836673</v>
      </c>
      <c r="M29" s="58">
        <f>+SUM(M31:M37)</f>
        <v>426179042.38368702</v>
      </c>
      <c r="N29" s="5" t="s">
        <v>24</v>
      </c>
      <c r="O29" s="58">
        <f>+SUM(O31:O37)</f>
        <v>33689540.953171842</v>
      </c>
      <c r="P29" s="58">
        <f t="shared" ref="P29:Z29" si="23">+SUM(P31:P37)</f>
        <v>30209173.421385035</v>
      </c>
      <c r="Q29" s="58">
        <f t="shared" si="23"/>
        <v>45373708.862692036</v>
      </c>
      <c r="R29" s="58">
        <f t="shared" si="23"/>
        <v>37500255.951410025</v>
      </c>
      <c r="S29" s="58">
        <f t="shared" si="23"/>
        <v>50647749.458475992</v>
      </c>
      <c r="T29" s="58">
        <f t="shared" si="23"/>
        <v>37247192.001837112</v>
      </c>
      <c r="U29" s="58">
        <f t="shared" si="23"/>
        <v>45658827.709999971</v>
      </c>
      <c r="V29" s="58">
        <f t="shared" si="23"/>
        <v>45087699.951017499</v>
      </c>
      <c r="W29" s="58">
        <f t="shared" si="23"/>
        <v>42043993.019999981</v>
      </c>
      <c r="X29" s="58">
        <f t="shared" si="23"/>
        <v>42505737.080965117</v>
      </c>
      <c r="Y29" s="58">
        <f t="shared" si="23"/>
        <v>0</v>
      </c>
      <c r="Z29" s="58">
        <f t="shared" si="23"/>
        <v>0</v>
      </c>
      <c r="AA29" s="58">
        <f>+SUM(AA31:AA37)</f>
        <v>409963878.41095465</v>
      </c>
      <c r="AB29" s="118"/>
      <c r="AC29" s="58">
        <f>+SUM(AC31:AC37)</f>
        <v>44168917.765400007</v>
      </c>
      <c r="AD29" s="58">
        <f t="shared" ref="AD29:AN29" si="24">+SUM(AD31:AD37)</f>
        <v>43170397.356800012</v>
      </c>
      <c r="AE29" s="58">
        <f t="shared" si="24"/>
        <v>43875552.3728</v>
      </c>
      <c r="AF29" s="58">
        <f t="shared" si="24"/>
        <v>37255656.567299999</v>
      </c>
      <c r="AG29" s="58">
        <f t="shared" si="24"/>
        <v>42632013.480299994</v>
      </c>
      <c r="AH29" s="58">
        <f t="shared" si="24"/>
        <v>44599368.007199995</v>
      </c>
      <c r="AI29" s="58">
        <f t="shared" si="24"/>
        <v>46299927.826000005</v>
      </c>
      <c r="AJ29" s="58">
        <f t="shared" si="24"/>
        <v>47435269.585900009</v>
      </c>
      <c r="AK29" s="58">
        <f t="shared" si="24"/>
        <v>48582914.538100004</v>
      </c>
      <c r="AL29" s="58">
        <f t="shared" si="24"/>
        <v>40376705.479944445</v>
      </c>
      <c r="AM29" s="58">
        <f t="shared" si="24"/>
        <v>36488436.878177792</v>
      </c>
      <c r="AN29" s="58">
        <f t="shared" si="24"/>
        <v>44152208.88702929</v>
      </c>
      <c r="AO29" s="58">
        <f>+SUM(AO31:AO37)</f>
        <v>519037368.74495155</v>
      </c>
    </row>
    <row r="30" spans="1:41">
      <c r="A30" s="105">
        <f>+'NEW CAR'!A30+'GT-SERV'!A30+ACCESS!A30</f>
        <v>525</v>
      </c>
      <c r="B30" s="105">
        <f>+'NEW CAR'!B30+'GT-SERV'!B30+ACCESS!B30</f>
        <v>493</v>
      </c>
      <c r="C30" s="105">
        <f>+'NEW CAR'!C30+'GT-SERV'!C30+ACCESS!C30</f>
        <v>453</v>
      </c>
      <c r="D30" s="105">
        <f>+'NEW CAR'!D30+'GT-SERV'!D30+ACCESS!D30</f>
        <v>466</v>
      </c>
      <c r="E30" s="105">
        <f>+'NEW CAR'!E30+'GT-SERV'!E30+ACCESS!E30</f>
        <v>590</v>
      </c>
      <c r="F30" s="105">
        <f>+'NEW CAR'!F30+'GT-SERV'!F30+ACCESS!F30</f>
        <v>501</v>
      </c>
      <c r="G30" s="105">
        <f>+'NEW CAR'!G30+'GT-SERV'!G30+ACCESS!G30</f>
        <v>639</v>
      </c>
      <c r="H30" s="105">
        <f>+'NEW CAR'!H30+'GT-SERV'!H30+ACCESS!H30</f>
        <v>668</v>
      </c>
      <c r="I30" s="105">
        <f>+'NEW CAR'!I30+'GT-SERV'!I30+ACCESS!I30</f>
        <v>581</v>
      </c>
      <c r="J30" s="105">
        <f>+'NEW CAR'!J30+'GT-SERV'!J30+ACCESS!J30</f>
        <v>639</v>
      </c>
      <c r="K30" s="105">
        <f>+'NEW CAR'!K30+'GT-SERV'!K30+ACCESS!K30</f>
        <v>614</v>
      </c>
      <c r="L30" s="105">
        <f>+'NEW CAR'!L30+'GT-SERV'!L30+ACCESS!L30</f>
        <v>757</v>
      </c>
      <c r="M30" s="105">
        <f t="shared" ref="M30:M46" si="25">+SUM(A30:L30)</f>
        <v>6926</v>
      </c>
      <c r="N30" s="12" t="s">
        <v>25</v>
      </c>
      <c r="O30" s="105">
        <f>+'NEW CAR'!O30+'GT-SERV'!O30+ACCESS!O30</f>
        <v>997</v>
      </c>
      <c r="P30" s="105">
        <f>+'NEW CAR'!P30+'GT-SERV'!P30+ACCESS!P30</f>
        <v>767</v>
      </c>
      <c r="Q30" s="105">
        <f>+'NEW CAR'!Q30+'GT-SERV'!Q30+ACCESS!Q30</f>
        <v>819</v>
      </c>
      <c r="R30" s="105">
        <f>+'NEW CAR'!R30+'GT-SERV'!R30+ACCESS!R30</f>
        <v>723</v>
      </c>
      <c r="S30" s="105">
        <f>+'NEW CAR'!S30+'GT-SERV'!S30+ACCESS!S30</f>
        <v>894</v>
      </c>
      <c r="T30" s="105">
        <f>+'NEW CAR'!T30+'GT-SERV'!T30+ACCESS!T30</f>
        <v>692</v>
      </c>
      <c r="U30" s="105">
        <f>+'NEW CAR'!U30+'GT-SERV'!U30+ACCESS!U30</f>
        <v>1034</v>
      </c>
      <c r="V30" s="105">
        <f>+'NEW CAR'!V30+'GT-SERV'!V30+ACCESS!V30</f>
        <v>719</v>
      </c>
      <c r="W30" s="105">
        <f>+'NEW CAR'!W30+'GT-SERV'!W30+ACCESS!W30</f>
        <v>666</v>
      </c>
      <c r="X30" s="105">
        <f>+'NEW CAR'!X30+'GT-SERV'!X30+ACCESS!X30</f>
        <v>667</v>
      </c>
      <c r="Y30" s="105">
        <f>+'NEW CAR'!Y30+'GT-SERV'!Y30+ACCESS!Y30</f>
        <v>0</v>
      </c>
      <c r="Z30" s="105">
        <f>+'NEW CAR'!Z30+'GT-SERV'!Z30+ACCESS!Z30</f>
        <v>0</v>
      </c>
      <c r="AA30" s="105">
        <f t="shared" ref="AA30:AA37" si="26">+SUM(O30:Z30)</f>
        <v>7978</v>
      </c>
      <c r="AB30" s="118"/>
      <c r="AC30" s="105">
        <f>+'NEW CAR'!AC30+'GT-SERV'!AC30+ACCESS!AC30</f>
        <v>940.78115000000003</v>
      </c>
      <c r="AD30" s="105">
        <f>+'NEW CAR'!AD30+'GT-SERV'!AD30+ACCESS!AD30</f>
        <v>932.74306000000013</v>
      </c>
      <c r="AE30" s="105">
        <f>+'NEW CAR'!AE30+'GT-SERV'!AE30+ACCESS!AE30</f>
        <v>986.08170000000018</v>
      </c>
      <c r="AF30" s="105">
        <f>+'NEW CAR'!AF30+'GT-SERV'!AF30+ACCESS!AF30</f>
        <v>801.13717599999995</v>
      </c>
      <c r="AG30" s="105">
        <f>+'NEW CAR'!AG30+'GT-SERV'!AG30+ACCESS!AG30</f>
        <v>915.21572000000003</v>
      </c>
      <c r="AH30" s="105">
        <f>+'NEW CAR'!AH30+'GT-SERV'!AH30+ACCESS!AH30</f>
        <v>974.02840000000003</v>
      </c>
      <c r="AI30" s="105">
        <f>+'NEW CAR'!AI30+'GT-SERV'!AI30+ACCESS!AI30</f>
        <v>999.48703000000023</v>
      </c>
      <c r="AJ30" s="105">
        <f>+'NEW CAR'!AJ30+'GT-SERV'!AJ30+ACCESS!AJ30</f>
        <v>1058.4305200000001</v>
      </c>
      <c r="AK30" s="105">
        <f>+'NEW CAR'!AK30+'GT-SERV'!AK30+ACCESS!AK30</f>
        <v>1084.4024499999998</v>
      </c>
      <c r="AL30" s="105">
        <f>+'NEW CAR'!AL30+'GT-SERV'!AL30+ACCESS!AL30</f>
        <v>925.2478000000001</v>
      </c>
      <c r="AM30" s="105">
        <f>+'NEW CAR'!AM30+'GT-SERV'!AM30+ACCESS!AM30</f>
        <v>839.47424000000001</v>
      </c>
      <c r="AN30" s="105">
        <f>+'NEW CAR'!AN30+'GT-SERV'!AN30+ACCESS!AN30</f>
        <v>1014.19596</v>
      </c>
      <c r="AO30" s="105">
        <f t="shared" ref="AO30:AO37" si="27">+SUM(AC30:AN30)</f>
        <v>11471.225206000003</v>
      </c>
    </row>
    <row r="31" spans="1:41" outlineLevel="1">
      <c r="A31" s="106">
        <f>+'NEW CAR'!A31+'GT-SERV'!A31+ACCESS!A31</f>
        <v>21038049.739999976</v>
      </c>
      <c r="B31" s="106">
        <f>+'NEW CAR'!B31+'GT-SERV'!B31+ACCESS!B31</f>
        <v>27967304.529999986</v>
      </c>
      <c r="C31" s="106">
        <f>+'NEW CAR'!C31+'GT-SERV'!C31+ACCESS!C31</f>
        <v>17711561.589999981</v>
      </c>
      <c r="D31" s="106">
        <f>+'NEW CAR'!D31+'GT-SERV'!D31+ACCESS!D31</f>
        <v>16734424.329999983</v>
      </c>
      <c r="E31" s="106">
        <f>+'NEW CAR'!E31+'GT-SERV'!E31+ACCESS!E31</f>
        <v>19707195.169999979</v>
      </c>
      <c r="F31" s="106">
        <f>+'NEW CAR'!F31+'GT-SERV'!F31+ACCESS!F31</f>
        <v>21145089.339999996</v>
      </c>
      <c r="G31" s="106">
        <f>+'NEW CAR'!G31+'GT-SERV'!G31+ACCESS!G31</f>
        <v>21503979.129999973</v>
      </c>
      <c r="H31" s="106">
        <f>+'NEW CAR'!H31+'GT-SERV'!H31+ACCESS!H31</f>
        <v>26950573.08999997</v>
      </c>
      <c r="I31" s="106">
        <f>+'NEW CAR'!I31+'GT-SERV'!I31+ACCESS!I31</f>
        <v>20450490.959999975</v>
      </c>
      <c r="J31" s="106">
        <f>+'NEW CAR'!J31+'GT-SERV'!J31+ACCESS!J31</f>
        <v>22128883.139999971</v>
      </c>
      <c r="K31" s="106">
        <f>+'NEW CAR'!K31+'GT-SERV'!K31+ACCESS!K31</f>
        <v>25575724.729999974</v>
      </c>
      <c r="L31" s="106">
        <f>+'NEW CAR'!L31+'GT-SERV'!L31+ACCESS!L31</f>
        <v>26631355.379999973</v>
      </c>
      <c r="M31" s="106">
        <f t="shared" si="25"/>
        <v>267544631.12999973</v>
      </c>
      <c r="N31" s="7" t="s">
        <v>26</v>
      </c>
      <c r="O31" s="106">
        <f>+'NEW CAR'!O31+'GT-SERV'!O31+ACCESS!O31</f>
        <v>19791647.349999979</v>
      </c>
      <c r="P31" s="106">
        <f>+'NEW CAR'!P31+'GT-SERV'!P31+ACCESS!P31</f>
        <v>17943373.089999981</v>
      </c>
      <c r="Q31" s="106">
        <f>+'NEW CAR'!Q31+'GT-SERV'!Q31+ACCESS!Q31</f>
        <v>24255737.129999984</v>
      </c>
      <c r="R31" s="106">
        <f>+'NEW CAR'!R31+'GT-SERV'!R31+ACCESS!R31</f>
        <v>21266704.119999982</v>
      </c>
      <c r="S31" s="106">
        <f>+'NEW CAR'!S31+'GT-SERV'!S31+ACCESS!S31</f>
        <v>28782982.59999999</v>
      </c>
      <c r="T31" s="106">
        <f>+'NEW CAR'!T31+'GT-SERV'!T31+ACCESS!T31</f>
        <v>23215059.299999978</v>
      </c>
      <c r="U31" s="106">
        <f>+'NEW CAR'!U31+'GT-SERV'!U31+ACCESS!U31</f>
        <v>28958176.779999968</v>
      </c>
      <c r="V31" s="106">
        <f>+'NEW CAR'!V31+'GT-SERV'!V31+ACCESS!V31</f>
        <v>28842793.189999975</v>
      </c>
      <c r="W31" s="106">
        <f>+'NEW CAR'!W31+'GT-SERV'!W31+ACCESS!W31</f>
        <v>26275283.059999987</v>
      </c>
      <c r="X31" s="106">
        <f>+'NEW CAR'!X31+'GT-SERV'!X31+ACCESS!X31</f>
        <v>25665776.639999982</v>
      </c>
      <c r="Y31" s="106">
        <f>+'NEW CAR'!Y31+'GT-SERV'!Y31+ACCESS!Y31</f>
        <v>0</v>
      </c>
      <c r="Z31" s="106">
        <f>+'NEW CAR'!Z31+'GT-SERV'!Z31+ACCESS!Z31</f>
        <v>0</v>
      </c>
      <c r="AA31" s="106">
        <f t="shared" si="26"/>
        <v>244997533.25999981</v>
      </c>
      <c r="AB31" s="118"/>
      <c r="AC31" s="106">
        <f>+'NEW CAR'!AC31+'GT-SERV'!AC31+ACCESS!AC31</f>
        <v>31475162.268000003</v>
      </c>
      <c r="AD31" s="106">
        <f>+'NEW CAR'!AD31+'GT-SERV'!AD31+ACCESS!AD31</f>
        <v>30755437.672000006</v>
      </c>
      <c r="AE31" s="106">
        <f>+'NEW CAR'!AE31+'GT-SERV'!AE31+ACCESS!AE31</f>
        <v>31251379.66</v>
      </c>
      <c r="AF31" s="106">
        <f>+'NEW CAR'!AF31+'GT-SERV'!AF31+ACCESS!AF31</f>
        <v>26576260.612</v>
      </c>
      <c r="AG31" s="106">
        <f>+'NEW CAR'!AG31+'GT-SERV'!AG31+ACCESS!AG31</f>
        <v>30432412.075999998</v>
      </c>
      <c r="AH31" s="106">
        <f>+'NEW CAR'!AH31+'GT-SERV'!AH31+ACCESS!AH31</f>
        <v>31816471.743999999</v>
      </c>
      <c r="AI31" s="106">
        <f>+'NEW CAR'!AI31+'GT-SERV'!AI31+ACCESS!AI31</f>
        <v>33050040.120000001</v>
      </c>
      <c r="AJ31" s="106">
        <f>+'NEW CAR'!AJ31+'GT-SERV'!AJ31+ACCESS!AJ31</f>
        <v>33884800.208000004</v>
      </c>
      <c r="AK31" s="106">
        <f>+'NEW CAR'!AK31+'GT-SERV'!AK31+ACCESS!AK31</f>
        <v>34707517.272</v>
      </c>
      <c r="AL31" s="106">
        <f>+'NEW CAR'!AL31+'GT-SERV'!AL31+ACCESS!AL31</f>
        <v>28682723.553333331</v>
      </c>
      <c r="AM31" s="106">
        <f>+'NEW CAR'!AM31+'GT-SERV'!AM31+ACCESS!AM31</f>
        <v>25837125.88266667</v>
      </c>
      <c r="AN31" s="106">
        <f>+'NEW CAR'!AN31+'GT-SERV'!AN31+ACCESS!AN31</f>
        <v>31309902.204404037</v>
      </c>
      <c r="AO31" s="106">
        <f t="shared" si="27"/>
        <v>369779233.27240407</v>
      </c>
    </row>
    <row r="32" spans="1:41" outlineLevel="1">
      <c r="A32" s="106">
        <f>+'NEW CAR'!A32+'GT-SERV'!A32+ACCESS!A32</f>
        <v>6533383.9600000009</v>
      </c>
      <c r="B32" s="106">
        <f>+'NEW CAR'!B32+'GT-SERV'!B32+ACCESS!B32</f>
        <v>6877912.6299999999</v>
      </c>
      <c r="C32" s="106">
        <f>+'NEW CAR'!C32+'GT-SERV'!C32+ACCESS!C32</f>
        <v>4644464.55</v>
      </c>
      <c r="D32" s="106">
        <f>+'NEW CAR'!D32+'GT-SERV'!D32+ACCESS!D32</f>
        <v>5397449.6000000006</v>
      </c>
      <c r="E32" s="106">
        <f>+'NEW CAR'!E32+'GT-SERV'!E32+ACCESS!E32</f>
        <v>5664848.5899999999</v>
      </c>
      <c r="F32" s="106">
        <f>+'NEW CAR'!F32+'GT-SERV'!F32+ACCESS!F32</f>
        <v>5466635.4299999988</v>
      </c>
      <c r="G32" s="106">
        <f>+'NEW CAR'!G32+'GT-SERV'!G32+ACCESS!G32</f>
        <v>6570390.2199999988</v>
      </c>
      <c r="H32" s="106">
        <f>+'NEW CAR'!H32+'GT-SERV'!H32+ACCESS!H32</f>
        <v>6511380.4100000001</v>
      </c>
      <c r="I32" s="106">
        <f>+'NEW CAR'!I32+'GT-SERV'!I32+ACCESS!I32</f>
        <v>5671462.3099999996</v>
      </c>
      <c r="J32" s="106">
        <f>+'NEW CAR'!J32+'GT-SERV'!J32+ACCESS!J32</f>
        <v>6540520.0700000003</v>
      </c>
      <c r="K32" s="106">
        <f>+'NEW CAR'!K32+'GT-SERV'!K32+ACCESS!K32</f>
        <v>6545971.0199999996</v>
      </c>
      <c r="L32" s="106">
        <f>+'NEW CAR'!L32+'GT-SERV'!L32+ACCESS!L32</f>
        <v>6757256.9700000007</v>
      </c>
      <c r="M32" s="106">
        <f t="shared" si="25"/>
        <v>73181675.760000005</v>
      </c>
      <c r="N32" s="7" t="s">
        <v>27</v>
      </c>
      <c r="O32" s="106">
        <f>+'NEW CAR'!O32+'GT-SERV'!O32+ACCESS!O32</f>
        <v>6742748.2499999991</v>
      </c>
      <c r="P32" s="106">
        <f>+'NEW CAR'!P32+'GT-SERV'!P32+ACCESS!P32</f>
        <v>5467131.7599999998</v>
      </c>
      <c r="Q32" s="106">
        <f>+'NEW CAR'!Q32+'GT-SERV'!Q32+ACCESS!Q32</f>
        <v>6925399.1200000001</v>
      </c>
      <c r="R32" s="106">
        <f>+'NEW CAR'!R32+'GT-SERV'!R32+ACCESS!R32</f>
        <v>5828733.7000000002</v>
      </c>
      <c r="S32" s="106">
        <f>+'NEW CAR'!S32+'GT-SERV'!S32+ACCESS!S32</f>
        <v>8672548.4400000013</v>
      </c>
      <c r="T32" s="106">
        <f>+'NEW CAR'!T32+'GT-SERV'!T32+ACCESS!T32</f>
        <v>6976122.2800000012</v>
      </c>
      <c r="U32" s="106">
        <f>+'NEW CAR'!U32+'GT-SERV'!U32+ACCESS!U32</f>
        <v>8705674.370000001</v>
      </c>
      <c r="V32" s="106">
        <f>+'NEW CAR'!V32+'GT-SERV'!V32+ACCESS!V32</f>
        <v>8324101.7300000014</v>
      </c>
      <c r="W32" s="106">
        <f>+'NEW CAR'!W32+'GT-SERV'!W32+ACCESS!W32</f>
        <v>7731885.8700000001</v>
      </c>
      <c r="X32" s="106">
        <f>+'NEW CAR'!X32+'GT-SERV'!X32+ACCESS!X32</f>
        <v>7741977.7900000019</v>
      </c>
      <c r="Y32" s="106">
        <f>+'NEW CAR'!Y32+'GT-SERV'!Y32+ACCESS!Y32</f>
        <v>0</v>
      </c>
      <c r="Z32" s="106">
        <f>+'NEW CAR'!Z32+'GT-SERV'!Z32+ACCESS!Z32</f>
        <v>0</v>
      </c>
      <c r="AA32" s="106">
        <f t="shared" si="26"/>
        <v>73116323.310000002</v>
      </c>
      <c r="AB32" s="118"/>
      <c r="AC32" s="106">
        <f>+'NEW CAR'!AC32+'GT-SERV'!AC32+ACCESS!AC32</f>
        <v>9441936.7580000013</v>
      </c>
      <c r="AD32" s="106">
        <f>+'NEW CAR'!AD32+'GT-SERV'!AD32+ACCESS!AD32</f>
        <v>9236846.685200002</v>
      </c>
      <c r="AE32" s="106">
        <f>+'NEW CAR'!AE32+'GT-SERV'!AE32+ACCESS!AE32</f>
        <v>9425724.9217999987</v>
      </c>
      <c r="AF32" s="106">
        <f>+'NEW CAR'!AF32+'GT-SERV'!AF32+ACCESS!AF32</f>
        <v>7952653.3289999999</v>
      </c>
      <c r="AG32" s="106">
        <f>+'NEW CAR'!AG32+'GT-SERV'!AG32+ACCESS!AG32</f>
        <v>9130180.8269999996</v>
      </c>
      <c r="AH32" s="106">
        <f>+'NEW CAR'!AH32+'GT-SERV'!AH32+ACCESS!AH32</f>
        <v>9560766.7679999992</v>
      </c>
      <c r="AI32" s="106">
        <f>+'NEW CAR'!AI32+'GT-SERV'!AI32+ACCESS!AI32</f>
        <v>9921564.1689999998</v>
      </c>
      <c r="AJ32" s="106">
        <f>+'NEW CAR'!AJ32+'GT-SERV'!AJ32+ACCESS!AJ32</f>
        <v>10189445.734999999</v>
      </c>
      <c r="AK32" s="106">
        <f>+'NEW CAR'!AK32+'GT-SERV'!AK32+ACCESS!AK32</f>
        <v>10432453.816000002</v>
      </c>
      <c r="AL32" s="106">
        <f>+'NEW CAR'!AL32+'GT-SERV'!AL32+ACCESS!AL32</f>
        <v>8726572.0581111088</v>
      </c>
      <c r="AM32" s="106">
        <f>+'NEW CAR'!AM32+'GT-SERV'!AM32+ACCESS!AM32</f>
        <v>7905918.4687111117</v>
      </c>
      <c r="AN32" s="106">
        <f>+'NEW CAR'!AN32+'GT-SERV'!AN32+ACCESS!AN32</f>
        <v>9546131.4079252519</v>
      </c>
      <c r="AO32" s="106">
        <f t="shared" si="27"/>
        <v>111470194.94374746</v>
      </c>
    </row>
    <row r="33" spans="1:41" outlineLevel="1">
      <c r="A33" s="106">
        <f>+'NEW CAR'!A33+'GT-SERV'!A33+ACCESS!A33</f>
        <v>2358067.3599999994</v>
      </c>
      <c r="B33" s="106">
        <f>+'NEW CAR'!B33+'GT-SERV'!B33+ACCESS!B33</f>
        <v>3107710.05</v>
      </c>
      <c r="C33" s="106">
        <f>+'NEW CAR'!C33+'GT-SERV'!C33+ACCESS!C33</f>
        <v>3767254.77</v>
      </c>
      <c r="D33" s="106">
        <f>+'NEW CAR'!D33+'GT-SERV'!D33+ACCESS!D33</f>
        <v>1544498.04</v>
      </c>
      <c r="E33" s="106">
        <f>+'NEW CAR'!E33+'GT-SERV'!E33+ACCESS!E33</f>
        <v>2343547.6900000004</v>
      </c>
      <c r="F33" s="106">
        <f>+'NEW CAR'!F33+'GT-SERV'!F33+ACCESS!F33</f>
        <v>4896443.55</v>
      </c>
      <c r="G33" s="106">
        <f>+'NEW CAR'!G33+'GT-SERV'!G33+ACCESS!G33</f>
        <v>3119333.84</v>
      </c>
      <c r="H33" s="106">
        <f>+'NEW CAR'!H33+'GT-SERV'!H33+ACCESS!H33</f>
        <v>3617154.5</v>
      </c>
      <c r="I33" s="106">
        <f>+'NEW CAR'!I33+'GT-SERV'!I33+ACCESS!I33</f>
        <v>7530551.9000000004</v>
      </c>
      <c r="J33" s="106">
        <f>+'NEW CAR'!J33+'GT-SERV'!J33+ACCESS!J33</f>
        <v>3137719.9499999997</v>
      </c>
      <c r="K33" s="106">
        <f>+'NEW CAR'!K33+'GT-SERV'!K33+ACCESS!K33</f>
        <v>6038952.7600000007</v>
      </c>
      <c r="L33" s="106">
        <f>+'NEW CAR'!L33+'GT-SERV'!L33+ACCESS!L33</f>
        <v>3795582.57</v>
      </c>
      <c r="M33" s="106">
        <f t="shared" si="25"/>
        <v>45256816.980000004</v>
      </c>
      <c r="N33" s="7" t="s">
        <v>28</v>
      </c>
      <c r="O33" s="106">
        <f>+'NEW CAR'!O33+'GT-SERV'!O33+ACCESS!O33</f>
        <v>4076459.73</v>
      </c>
      <c r="P33" s="106">
        <f>+'NEW CAR'!P33+'GT-SERV'!P33+ACCESS!P33</f>
        <v>4192320.98</v>
      </c>
      <c r="Q33" s="106">
        <f>+'NEW CAR'!Q33+'GT-SERV'!Q33+ACCESS!Q33</f>
        <v>9964813.5000000019</v>
      </c>
      <c r="R33" s="106">
        <f>+'NEW CAR'!R33+'GT-SERV'!R33+ACCESS!R33</f>
        <v>5876564.96</v>
      </c>
      <c r="S33" s="106">
        <f>+'NEW CAR'!S33+'GT-SERV'!S33+ACCESS!S33</f>
        <v>6626650.8599999994</v>
      </c>
      <c r="T33" s="106">
        <f>+'NEW CAR'!T33+'GT-SERV'!T33+ACCESS!T33</f>
        <v>3459252.04</v>
      </c>
      <c r="U33" s="106">
        <f>+'NEW CAR'!U33+'GT-SERV'!U33+ACCESS!U33</f>
        <v>3722684.7600000002</v>
      </c>
      <c r="V33" s="106">
        <f>+'NEW CAR'!V33+'GT-SERV'!V33+ACCESS!V33</f>
        <v>4436778.3499999996</v>
      </c>
      <c r="W33" s="106">
        <f>+'NEW CAR'!W33+'GT-SERV'!W33+ACCESS!W33</f>
        <v>4291361.29</v>
      </c>
      <c r="X33" s="106">
        <f>+'NEW CAR'!X33+'GT-SERV'!X33+ACCESS!X33</f>
        <v>4788729.0999999996</v>
      </c>
      <c r="Y33" s="106">
        <f>+'NEW CAR'!Y33+'GT-SERV'!Y33+ACCESS!Y33</f>
        <v>0</v>
      </c>
      <c r="Z33" s="106">
        <f>+'NEW CAR'!Z33+'GT-SERV'!Z33+ACCESS!Z33</f>
        <v>0</v>
      </c>
      <c r="AA33" s="106">
        <f t="shared" si="26"/>
        <v>51435615.57</v>
      </c>
      <c r="AB33" s="118"/>
      <c r="AC33" s="106">
        <f>+'NEW CAR'!AC33+'GT-SERV'!AC33+ACCESS!AC33</f>
        <v>2787273.2052000007</v>
      </c>
      <c r="AD33" s="106">
        <f>+'NEW CAR'!AD33+'GT-SERV'!AD33+ACCESS!AD33</f>
        <v>2724096.8568000006</v>
      </c>
      <c r="AE33" s="106">
        <f>+'NEW CAR'!AE33+'GT-SERV'!AE33+ACCESS!AE33</f>
        <v>2741526.6779999998</v>
      </c>
      <c r="AF33" s="106">
        <f>+'NEW CAR'!AF33+'GT-SERV'!AF33+ACCESS!AF33</f>
        <v>2337207.9654000001</v>
      </c>
      <c r="AG33" s="106">
        <f>+'NEW CAR'!AG33+'GT-SERV'!AG33+ACCESS!AG33</f>
        <v>2630931.9233999997</v>
      </c>
      <c r="AH33" s="106">
        <f>+'NEW CAR'!AH33+'GT-SERV'!AH33+ACCESS!AH33</f>
        <v>2761825.2815999999</v>
      </c>
      <c r="AI33" s="106">
        <f>+'NEW CAR'!AI33+'GT-SERV'!AI33+ACCESS!AI33</f>
        <v>2852848.7459999998</v>
      </c>
      <c r="AJ33" s="106">
        <f>+'NEW CAR'!AJ33+'GT-SERV'!AJ33+ACCESS!AJ33</f>
        <v>2880877.4082000009</v>
      </c>
      <c r="AK33" s="106">
        <f>+'NEW CAR'!AK33+'GT-SERV'!AK33+ACCESS!AK33</f>
        <v>2951094.3858000003</v>
      </c>
      <c r="AL33" s="106">
        <f>+'NEW CAR'!AL33+'GT-SERV'!AL33+ACCESS!AL33</f>
        <v>2543494.173</v>
      </c>
      <c r="AM33" s="106">
        <f>+'NEW CAR'!AM33+'GT-SERV'!AM33+ACCESS!AM33</f>
        <v>2353193.5943999998</v>
      </c>
      <c r="AN33" s="106">
        <f>+'NEW CAR'!AN33+'GT-SERV'!AN33+ACCESS!AN33</f>
        <v>2825293.0925999996</v>
      </c>
      <c r="AO33" s="106">
        <f t="shared" si="27"/>
        <v>32389663.310400002</v>
      </c>
    </row>
    <row r="34" spans="1:41" outlineLevel="1">
      <c r="A34" s="106">
        <f>+'NEW CAR'!A34+'GT-SERV'!A34+ACCESS!A34</f>
        <v>116704.8</v>
      </c>
      <c r="B34" s="106">
        <f>+'NEW CAR'!B34+'GT-SERV'!B34+ACCESS!B34</f>
        <v>621355.5</v>
      </c>
      <c r="C34" s="106">
        <f>+'NEW CAR'!C34+'GT-SERV'!C34+ACCESS!C34</f>
        <v>485198.7</v>
      </c>
      <c r="D34" s="106">
        <f>+'NEW CAR'!D34+'GT-SERV'!D34+ACCESS!D34</f>
        <v>300793.5</v>
      </c>
      <c r="E34" s="106">
        <f>+'NEW CAR'!E34+'GT-SERV'!E34+ACCESS!E34</f>
        <v>404654.7</v>
      </c>
      <c r="F34" s="106">
        <f>+'NEW CAR'!F34+'GT-SERV'!F34+ACCESS!F34</f>
        <v>427433.03</v>
      </c>
      <c r="G34" s="106">
        <f>+'NEW CAR'!G34+'GT-SERV'!G34+ACCESS!G34</f>
        <v>407081.1</v>
      </c>
      <c r="H34" s="106">
        <f>+'NEW CAR'!H34+'GT-SERV'!H34+ACCESS!H34</f>
        <v>254504.1</v>
      </c>
      <c r="I34" s="106">
        <f>+'NEW CAR'!I34+'GT-SERV'!I34+ACCESS!I34</f>
        <v>465538.2</v>
      </c>
      <c r="J34" s="106">
        <f>+'NEW CAR'!J34+'GT-SERV'!J34+ACCESS!J34</f>
        <v>308984.40000000002</v>
      </c>
      <c r="K34" s="106">
        <f>+'NEW CAR'!K34+'GT-SERV'!K34+ACCESS!K34</f>
        <v>600061.73</v>
      </c>
      <c r="L34" s="106">
        <f>+'NEW CAR'!L34+'GT-SERV'!L34+ACCESS!L34</f>
        <v>320163.59999999998</v>
      </c>
      <c r="M34" s="106">
        <f t="shared" si="25"/>
        <v>4712473.3599999994</v>
      </c>
      <c r="N34" s="7" t="s">
        <v>29</v>
      </c>
      <c r="O34" s="106">
        <f>+'NEW CAR'!O34+'GT-SERV'!O34+ACCESS!O34</f>
        <v>740246.39999999991</v>
      </c>
      <c r="P34" s="106">
        <f>+'NEW CAR'!P34+'GT-SERV'!P34+ACCESS!P34</f>
        <v>57217.2</v>
      </c>
      <c r="Q34" s="106">
        <f>+'NEW CAR'!Q34+'GT-SERV'!Q34+ACCESS!Q34</f>
        <v>1482770.6300000001</v>
      </c>
      <c r="R34" s="106">
        <f>+'NEW CAR'!R34+'GT-SERV'!R34+ACCESS!R34</f>
        <v>1638210.4</v>
      </c>
      <c r="S34" s="106">
        <f>+'NEW CAR'!S34+'GT-SERV'!S34+ACCESS!S34</f>
        <v>2978382.3</v>
      </c>
      <c r="T34" s="106">
        <f>+'NEW CAR'!T34+'GT-SERV'!T34+ACCESS!T34</f>
        <v>599895.5</v>
      </c>
      <c r="U34" s="106">
        <f>+'NEW CAR'!U34+'GT-SERV'!U34+ACCESS!U34</f>
        <v>382592.4</v>
      </c>
      <c r="V34" s="106">
        <f>+'NEW CAR'!V34+'GT-SERV'!V34+ACCESS!V34</f>
        <v>497054.5</v>
      </c>
      <c r="W34" s="106">
        <f>+'NEW CAR'!W34+'GT-SERV'!W34+ACCESS!W34</f>
        <v>491488</v>
      </c>
      <c r="X34" s="106">
        <f>+'NEW CAR'!X34+'GT-SERV'!X34+ACCESS!X34</f>
        <v>762427.4</v>
      </c>
      <c r="Y34" s="106">
        <f>+'NEW CAR'!Y34+'GT-SERV'!Y34+ACCESS!Y34</f>
        <v>0</v>
      </c>
      <c r="Z34" s="106">
        <f>+'NEW CAR'!Z34+'GT-SERV'!Z34+ACCESS!Z34</f>
        <v>0</v>
      </c>
      <c r="AA34" s="106">
        <f t="shared" si="26"/>
        <v>9630284.7300000004</v>
      </c>
      <c r="AB34" s="118"/>
      <c r="AC34" s="106">
        <f>+'NEW CAR'!AC34+'GT-SERV'!AC34+ACCESS!AC34</f>
        <v>464545.53420000011</v>
      </c>
      <c r="AD34" s="106">
        <f>+'NEW CAR'!AD34+'GT-SERV'!AD34+ACCESS!AD34</f>
        <v>454016.14280000015</v>
      </c>
      <c r="AE34" s="106">
        <f>+'NEW CAR'!AE34+'GT-SERV'!AE34+ACCESS!AE34</f>
        <v>456921.11300000001</v>
      </c>
      <c r="AF34" s="106">
        <f>+'NEW CAR'!AF34+'GT-SERV'!AF34+ACCESS!AF34</f>
        <v>389534.66090000002</v>
      </c>
      <c r="AG34" s="106">
        <f>+'NEW CAR'!AG34+'GT-SERV'!AG34+ACCESS!AG34</f>
        <v>438488.65390000003</v>
      </c>
      <c r="AH34" s="106">
        <f>+'NEW CAR'!AH34+'GT-SERV'!AH34+ACCESS!AH34</f>
        <v>460304.21360000002</v>
      </c>
      <c r="AI34" s="106">
        <f>+'NEW CAR'!AI34+'GT-SERV'!AI34+ACCESS!AI34</f>
        <v>475474.79100000003</v>
      </c>
      <c r="AJ34" s="106">
        <f>+'NEW CAR'!AJ34+'GT-SERV'!AJ34+ACCESS!AJ34</f>
        <v>480146.2347000002</v>
      </c>
      <c r="AK34" s="106">
        <f>+'NEW CAR'!AK34+'GT-SERV'!AK34+ACCESS!AK34</f>
        <v>491849.06430000009</v>
      </c>
      <c r="AL34" s="106">
        <f>+'NEW CAR'!AL34+'GT-SERV'!AL34+ACCESS!AL34</f>
        <v>423915.69550000003</v>
      </c>
      <c r="AM34" s="106">
        <f>+'NEW CAR'!AM34+'GT-SERV'!AM34+ACCESS!AM34</f>
        <v>392198.93240000005</v>
      </c>
      <c r="AN34" s="106">
        <f>+'NEW CAR'!AN34+'GT-SERV'!AN34+ACCESS!AN34</f>
        <v>470882.18209999998</v>
      </c>
      <c r="AO34" s="106">
        <f t="shared" si="27"/>
        <v>5398277.2184000015</v>
      </c>
    </row>
    <row r="35" spans="1:41" outlineLevel="1">
      <c r="A35" s="106">
        <f>+'NEW CAR'!A35+'GT-SERV'!A35+ACCESS!A35</f>
        <v>475961.27999999997</v>
      </c>
      <c r="B35" s="106">
        <f>+'NEW CAR'!B35+'GT-SERV'!B35+ACCESS!B35</f>
        <v>580892.85</v>
      </c>
      <c r="C35" s="106">
        <f>+'NEW CAR'!C35+'GT-SERV'!C35+ACCESS!C35</f>
        <v>756699.16999999993</v>
      </c>
      <c r="D35" s="106">
        <f>+'NEW CAR'!D35+'GT-SERV'!D35+ACCESS!D35</f>
        <v>768157.27999999991</v>
      </c>
      <c r="E35" s="106">
        <f>+'NEW CAR'!E35+'GT-SERV'!E35+ACCESS!E35</f>
        <v>540240.48</v>
      </c>
      <c r="F35" s="106">
        <f>+'NEW CAR'!F35+'GT-SERV'!F35+ACCESS!F35</f>
        <v>680318.35</v>
      </c>
      <c r="G35" s="106">
        <f>+'NEW CAR'!G35+'GT-SERV'!G35+ACCESS!G35</f>
        <v>463228.73000000004</v>
      </c>
      <c r="H35" s="106">
        <f>+'NEW CAR'!H35+'GT-SERV'!H35+ACCESS!H35</f>
        <v>502265.5</v>
      </c>
      <c r="I35" s="106">
        <f>+'NEW CAR'!I35+'GT-SERV'!I35+ACCESS!I35</f>
        <v>1284435.06</v>
      </c>
      <c r="J35" s="106">
        <f>+'NEW CAR'!J35+'GT-SERV'!J35+ACCESS!J35</f>
        <v>501218.75</v>
      </c>
      <c r="K35" s="106">
        <f>+'NEW CAR'!K35+'GT-SERV'!K35+ACCESS!K35</f>
        <v>642930.04</v>
      </c>
      <c r="L35" s="106">
        <f>+'NEW CAR'!L35+'GT-SERV'!L35+ACCESS!L35</f>
        <v>496696.42</v>
      </c>
      <c r="M35" s="106">
        <f t="shared" si="25"/>
        <v>7693043.9099999992</v>
      </c>
      <c r="N35" s="7" t="s">
        <v>30</v>
      </c>
      <c r="O35" s="106">
        <f>+'NEW CAR'!O35+'GT-SERV'!O35+ACCESS!O35</f>
        <v>211620.97</v>
      </c>
      <c r="P35" s="106">
        <f>+'NEW CAR'!P35+'GT-SERV'!P35+ACCESS!P35</f>
        <v>402740.79000000004</v>
      </c>
      <c r="Q35" s="106">
        <f>+'NEW CAR'!Q35+'GT-SERV'!Q35+ACCESS!Q35</f>
        <v>668858.42000000004</v>
      </c>
      <c r="R35" s="106">
        <f>+'NEW CAR'!R35+'GT-SERV'!R35+ACCESS!R35</f>
        <v>798064.66999999993</v>
      </c>
      <c r="S35" s="106">
        <f>+'NEW CAR'!S35+'GT-SERV'!S35+ACCESS!S35</f>
        <v>1097659.54</v>
      </c>
      <c r="T35" s="106">
        <f>+'NEW CAR'!T35+'GT-SERV'!T35+ACCESS!T35</f>
        <v>651985.42999999993</v>
      </c>
      <c r="U35" s="106">
        <f>+'NEW CAR'!U35+'GT-SERV'!U35+ACCESS!U35</f>
        <v>998684.53</v>
      </c>
      <c r="V35" s="106">
        <f>+'NEW CAR'!V35+'GT-SERV'!V35+ACCESS!V35</f>
        <v>507049.1</v>
      </c>
      <c r="W35" s="106">
        <f>+'NEW CAR'!W35+'GT-SERV'!W35+ACCESS!W35</f>
        <v>1149489.76</v>
      </c>
      <c r="X35" s="106">
        <f>+'NEW CAR'!X35+'GT-SERV'!X35+ACCESS!X35</f>
        <v>1040440.6</v>
      </c>
      <c r="Y35" s="106">
        <f>+'NEW CAR'!Y35+'GT-SERV'!Y35+ACCESS!Y35</f>
        <v>0</v>
      </c>
      <c r="Z35" s="106">
        <f>+'NEW CAR'!Z35+'GT-SERV'!Z35+ACCESS!Z35</f>
        <v>0</v>
      </c>
      <c r="AA35" s="106">
        <f t="shared" si="26"/>
        <v>7526593.8099999996</v>
      </c>
      <c r="AB35" s="118"/>
      <c r="AC35" s="106">
        <f>+'NEW CAR'!AC35+'GT-SERV'!AC35+ACCESS!AC35</f>
        <v>0</v>
      </c>
      <c r="AD35" s="106">
        <f>+'NEW CAR'!AD35+'GT-SERV'!AD35+ACCESS!AD35</f>
        <v>0</v>
      </c>
      <c r="AE35" s="106">
        <f>+'NEW CAR'!AE35+'GT-SERV'!AE35+ACCESS!AE35</f>
        <v>0</v>
      </c>
      <c r="AF35" s="106">
        <f>+'NEW CAR'!AF35+'GT-SERV'!AF35+ACCESS!AF35</f>
        <v>0</v>
      </c>
      <c r="AG35" s="106">
        <f>+'NEW CAR'!AG35+'GT-SERV'!AG35+ACCESS!AG35</f>
        <v>0</v>
      </c>
      <c r="AH35" s="106">
        <f>+'NEW CAR'!AH35+'GT-SERV'!AH35+ACCESS!AH35</f>
        <v>0</v>
      </c>
      <c r="AI35" s="106">
        <f>+'NEW CAR'!AI35+'GT-SERV'!AI35+ACCESS!AI35</f>
        <v>0</v>
      </c>
      <c r="AJ35" s="106">
        <f>+'NEW CAR'!AJ35+'GT-SERV'!AJ35+ACCESS!AJ35</f>
        <v>0</v>
      </c>
      <c r="AK35" s="106">
        <f>+'NEW CAR'!AK35+'GT-SERV'!AK35+ACCESS!AK35</f>
        <v>0</v>
      </c>
      <c r="AL35" s="106">
        <f>+'NEW CAR'!AL35+'GT-SERV'!AL35+ACCESS!AL35</f>
        <v>0</v>
      </c>
      <c r="AM35" s="106">
        <f>+'NEW CAR'!AM35+'GT-SERV'!AM35+ACCESS!AM35</f>
        <v>0</v>
      </c>
      <c r="AN35" s="106">
        <f>+'NEW CAR'!AN35+'GT-SERV'!AN35+ACCESS!AN35</f>
        <v>0</v>
      </c>
      <c r="AO35" s="106">
        <f t="shared" si="27"/>
        <v>0</v>
      </c>
    </row>
    <row r="36" spans="1:41" outlineLevel="1">
      <c r="A36" s="106">
        <f>+'NEW CAR'!A36+'GT-SERV'!A36+ACCESS!A36</f>
        <v>2011629.6099999999</v>
      </c>
      <c r="B36" s="106">
        <f>+'NEW CAR'!B36+'GT-SERV'!B36+ACCESS!B36</f>
        <v>2366818.13</v>
      </c>
      <c r="C36" s="106">
        <f>+'NEW CAR'!C36+'GT-SERV'!C36+ACCESS!C36</f>
        <v>2459466.9334381106</v>
      </c>
      <c r="D36" s="106">
        <f>+'NEW CAR'!D36+'GT-SERV'!D36+ACCESS!D36</f>
        <v>2184377</v>
      </c>
      <c r="E36" s="106">
        <f>+'NEW CAR'!E36+'GT-SERV'!E36+ACCESS!E36</f>
        <v>1775208.7151697697</v>
      </c>
      <c r="F36" s="106">
        <f>+'NEW CAR'!F36+'GT-SERV'!F36+ACCESS!F36</f>
        <v>1714035.8753821501</v>
      </c>
      <c r="G36" s="106">
        <f>+'NEW CAR'!G36+'GT-SERV'!G36+ACCESS!G36</f>
        <v>1849420.5125304409</v>
      </c>
      <c r="H36" s="106">
        <f>+'NEW CAR'!H36+'GT-SERV'!H36+ACCESS!H36</f>
        <v>1881207.0886339415</v>
      </c>
      <c r="I36" s="106">
        <f>+'NEW CAR'!I36+'GT-SERV'!I36+ACCESS!I36</f>
        <v>2057451.8877206999</v>
      </c>
      <c r="J36" s="106">
        <f>+'NEW CAR'!J36+'GT-SERV'!J36+ACCESS!J36</f>
        <v>2019382.9382127142</v>
      </c>
      <c r="K36" s="106">
        <f>+'NEW CAR'!K36+'GT-SERV'!K36+ACCESS!K36</f>
        <v>1980694.7637627067</v>
      </c>
      <c r="L36" s="106">
        <f>+'NEW CAR'!L36+'GT-SERV'!L36+ACCESS!L36</f>
        <v>1816696.4888366945</v>
      </c>
      <c r="M36" s="106">
        <f t="shared" si="25"/>
        <v>24116389.943687227</v>
      </c>
      <c r="N36" s="7" t="s">
        <v>31</v>
      </c>
      <c r="O36" s="106">
        <f>+'NEW CAR'!O36+'GT-SERV'!O36+ACCESS!O36</f>
        <v>1953531.563171868</v>
      </c>
      <c r="P36" s="106">
        <f>+'NEW CAR'!P36+'GT-SERV'!P36+ACCESS!P36</f>
        <v>2028960.1513850586</v>
      </c>
      <c r="Q36" s="106">
        <f>+'NEW CAR'!Q36+'GT-SERV'!Q36+ACCESS!Q36</f>
        <v>1847315.6426920434</v>
      </c>
      <c r="R36" s="106">
        <f>+'NEW CAR'!R36+'GT-SERV'!R36+ACCESS!R36</f>
        <v>1919821.5814100388</v>
      </c>
      <c r="S36" s="106">
        <f>+'NEW CAR'!S36+'GT-SERV'!S36+ACCESS!S36</f>
        <v>1988266.2984760059</v>
      </c>
      <c r="T36" s="106">
        <f>+'NEW CAR'!T36+'GT-SERV'!T36+ACCESS!T36</f>
        <v>1887437.4118371306</v>
      </c>
      <c r="U36" s="106">
        <f>+'NEW CAR'!U36+'GT-SERV'!U36+ACCESS!U36</f>
        <v>2210241.6</v>
      </c>
      <c r="V36" s="106">
        <f>+'NEW CAR'!V36+'GT-SERV'!V36+ACCESS!V36</f>
        <v>2043928.8910175224</v>
      </c>
      <c r="W36" s="106">
        <f>+'NEW CAR'!W36+'GT-SERV'!W36+ACCESS!W36</f>
        <v>1806038.1699999997</v>
      </c>
      <c r="X36" s="106">
        <f>+'NEW CAR'!X36+'GT-SERV'!X36+ACCESS!X36</f>
        <v>2340306.73096513</v>
      </c>
      <c r="Y36" s="106">
        <f>+'NEW CAR'!Y36+'GT-SERV'!Y36+ACCESS!Y36</f>
        <v>0</v>
      </c>
      <c r="Z36" s="106">
        <f>+'NEW CAR'!Z36+'GT-SERV'!Z36+ACCESS!Z36</f>
        <v>0</v>
      </c>
      <c r="AA36" s="106">
        <f t="shared" si="26"/>
        <v>20025848.040954798</v>
      </c>
      <c r="AB36" s="118"/>
      <c r="AC36" s="106">
        <f>+'NEW CAR'!AC36+'GT-SERV'!AC36+ACCESS!AC36</f>
        <v>0</v>
      </c>
      <c r="AD36" s="106">
        <f>+'NEW CAR'!AD36+'GT-SERV'!AD36+ACCESS!AD36</f>
        <v>0</v>
      </c>
      <c r="AE36" s="106">
        <f>+'NEW CAR'!AE36+'GT-SERV'!AE36+ACCESS!AE36</f>
        <v>0</v>
      </c>
      <c r="AF36" s="106">
        <f>+'NEW CAR'!AF36+'GT-SERV'!AF36+ACCESS!AF36</f>
        <v>0</v>
      </c>
      <c r="AG36" s="106">
        <f>+'NEW CAR'!AG36+'GT-SERV'!AG36+ACCESS!AG36</f>
        <v>0</v>
      </c>
      <c r="AH36" s="106">
        <f>+'NEW CAR'!AH36+'GT-SERV'!AH36+ACCESS!AH36</f>
        <v>0</v>
      </c>
      <c r="AI36" s="106">
        <f>+'NEW CAR'!AI36+'GT-SERV'!AI36+ACCESS!AI36</f>
        <v>0</v>
      </c>
      <c r="AJ36" s="106">
        <f>+'NEW CAR'!AJ36+'GT-SERV'!AJ36+ACCESS!AJ36</f>
        <v>0</v>
      </c>
      <c r="AK36" s="106">
        <f>+'NEW CAR'!AK36+'GT-SERV'!AK36+ACCESS!AK36</f>
        <v>0</v>
      </c>
      <c r="AL36" s="106">
        <f>+'NEW CAR'!AL36+'GT-SERV'!AL36+ACCESS!AL36</f>
        <v>0</v>
      </c>
      <c r="AM36" s="106">
        <f>+'NEW CAR'!AM36+'GT-SERV'!AM36+ACCESS!AM36</f>
        <v>0</v>
      </c>
      <c r="AN36" s="106">
        <f>+'NEW CAR'!AN36+'GT-SERV'!AN36+ACCESS!AN36</f>
        <v>0</v>
      </c>
      <c r="AO36" s="106">
        <f t="shared" si="27"/>
        <v>0</v>
      </c>
    </row>
    <row r="37" spans="1:41" outlineLevel="1">
      <c r="A37" s="106">
        <f>+'NEW CAR'!A37+'GT-SERV'!A37+ACCESS!A37</f>
        <v>178652.71000000002</v>
      </c>
      <c r="B37" s="106">
        <f>+'NEW CAR'!B37+'GT-SERV'!B37+ACCESS!B37</f>
        <v>168519.85</v>
      </c>
      <c r="C37" s="106">
        <f>+'NEW CAR'!C37+'GT-SERV'!C37+ACCESS!C37</f>
        <v>272679.86</v>
      </c>
      <c r="D37" s="106">
        <f>+'NEW CAR'!D37+'GT-SERV'!D37+ACCESS!D37</f>
        <v>106822.07</v>
      </c>
      <c r="E37" s="106">
        <f>+'NEW CAR'!E37+'GT-SERV'!E37+ACCESS!E37</f>
        <v>94832.22</v>
      </c>
      <c r="F37" s="106">
        <f>+'NEW CAR'!F37+'GT-SERV'!F37+ACCESS!F37</f>
        <v>177930.33</v>
      </c>
      <c r="G37" s="106">
        <f>+'NEW CAR'!G37+'GT-SERV'!G37+ACCESS!G37</f>
        <v>273017.48</v>
      </c>
      <c r="H37" s="106">
        <f>+'NEW CAR'!H37+'GT-SERV'!H37+ACCESS!H37</f>
        <v>162996.84</v>
      </c>
      <c r="I37" s="106">
        <f>+'NEW CAR'!I37+'GT-SERV'!I37+ACCESS!I37</f>
        <v>36047.5</v>
      </c>
      <c r="J37" s="106">
        <f>+'NEW CAR'!J37+'GT-SERV'!J37+ACCESS!J37</f>
        <v>120089.5</v>
      </c>
      <c r="K37" s="106">
        <f>+'NEW CAR'!K37+'GT-SERV'!K37+ACCESS!K37</f>
        <v>201335.65</v>
      </c>
      <c r="L37" s="106">
        <f>+'NEW CAR'!L37+'GT-SERV'!L37+ACCESS!L37</f>
        <v>1881087.29</v>
      </c>
      <c r="M37" s="106">
        <f t="shared" si="25"/>
        <v>3674011.3</v>
      </c>
      <c r="N37" s="7" t="s">
        <v>32</v>
      </c>
      <c r="O37" s="106">
        <f>+'NEW CAR'!O37+'GT-SERV'!O37+ACCESS!O37</f>
        <v>173286.69</v>
      </c>
      <c r="P37" s="106">
        <f>+'NEW CAR'!P37+'GT-SERV'!P37+ACCESS!P37</f>
        <v>117429.45</v>
      </c>
      <c r="Q37" s="106">
        <f>+'NEW CAR'!Q37+'GT-SERV'!Q37+ACCESS!Q37</f>
        <v>228814.42</v>
      </c>
      <c r="R37" s="106">
        <f>+'NEW CAR'!R37+'GT-SERV'!R37+ACCESS!R37</f>
        <v>172156.52000000002</v>
      </c>
      <c r="S37" s="106">
        <f>+'NEW CAR'!S37+'GT-SERV'!S37+ACCESS!S37</f>
        <v>501259.42</v>
      </c>
      <c r="T37" s="106">
        <f>+'NEW CAR'!T37+'GT-SERV'!T37+ACCESS!T37</f>
        <v>457440.04</v>
      </c>
      <c r="U37" s="106">
        <f>+'NEW CAR'!U37+'GT-SERV'!U37+ACCESS!U37</f>
        <v>680773.27</v>
      </c>
      <c r="V37" s="106">
        <f>+'NEW CAR'!V37+'GT-SERV'!V37+ACCESS!V37</f>
        <v>435994.19</v>
      </c>
      <c r="W37" s="106">
        <f>+'NEW CAR'!W37+'GT-SERV'!W37+ACCESS!W37</f>
        <v>298446.87</v>
      </c>
      <c r="X37" s="106">
        <f>+'NEW CAR'!X37+'GT-SERV'!X37+ACCESS!X37</f>
        <v>166078.82</v>
      </c>
      <c r="Y37" s="106">
        <f>+'NEW CAR'!Y37+'GT-SERV'!Y37+ACCESS!Y37</f>
        <v>0</v>
      </c>
      <c r="Z37" s="106">
        <f>+'NEW CAR'!Z37+'GT-SERV'!Z37+ACCESS!Z37</f>
        <v>0</v>
      </c>
      <c r="AA37" s="106">
        <f t="shared" si="26"/>
        <v>3231679.69</v>
      </c>
      <c r="AB37" s="118"/>
      <c r="AC37" s="106">
        <f>+'NEW CAR'!AC37+'GT-SERV'!AC37+ACCESS!AC37</f>
        <v>0</v>
      </c>
      <c r="AD37" s="106">
        <f>+'NEW CAR'!AD37+'GT-SERV'!AD37+ACCESS!AD37</f>
        <v>0</v>
      </c>
      <c r="AE37" s="106">
        <f>+'NEW CAR'!AE37+'GT-SERV'!AE37+ACCESS!AE37</f>
        <v>0</v>
      </c>
      <c r="AF37" s="106">
        <f>+'NEW CAR'!AF37+'GT-SERV'!AF37+ACCESS!AF37</f>
        <v>0</v>
      </c>
      <c r="AG37" s="106">
        <f>+'NEW CAR'!AG37+'GT-SERV'!AG37+ACCESS!AG37</f>
        <v>0</v>
      </c>
      <c r="AH37" s="106">
        <f>+'NEW CAR'!AH37+'GT-SERV'!AH37+ACCESS!AH37</f>
        <v>0</v>
      </c>
      <c r="AI37" s="106">
        <f>+'NEW CAR'!AI37+'GT-SERV'!AI37+ACCESS!AI37</f>
        <v>0</v>
      </c>
      <c r="AJ37" s="106">
        <f>+'NEW CAR'!AJ37+'GT-SERV'!AJ37+ACCESS!AJ37</f>
        <v>0</v>
      </c>
      <c r="AK37" s="106">
        <f>+'NEW CAR'!AK37+'GT-SERV'!AK37+ACCESS!AK37</f>
        <v>0</v>
      </c>
      <c r="AL37" s="106">
        <f>+'NEW CAR'!AL37+'GT-SERV'!AL37+ACCESS!AL37</f>
        <v>0</v>
      </c>
      <c r="AM37" s="106">
        <f>+'NEW CAR'!AM37+'GT-SERV'!AM37+ACCESS!AM37</f>
        <v>0</v>
      </c>
      <c r="AN37" s="106">
        <f>+'NEW CAR'!AN37+'GT-SERV'!AN37+ACCESS!AN37</f>
        <v>0</v>
      </c>
      <c r="AO37" s="106">
        <f t="shared" si="27"/>
        <v>0</v>
      </c>
    </row>
    <row r="38" spans="1:41">
      <c r="A38" s="59">
        <f>+SUM(A39:A42)</f>
        <v>22218372.986000005</v>
      </c>
      <c r="B38" s="59">
        <f t="shared" ref="B38:M38" si="28">+SUM(B39:B42)</f>
        <v>28640182.770000003</v>
      </c>
      <c r="C38" s="59">
        <f t="shared" si="28"/>
        <v>21369330.90000001</v>
      </c>
      <c r="D38" s="59">
        <f t="shared" si="28"/>
        <v>17955675.389999993</v>
      </c>
      <c r="E38" s="59">
        <f t="shared" si="28"/>
        <v>21670012.179999992</v>
      </c>
      <c r="F38" s="59">
        <f t="shared" si="28"/>
        <v>25409153.419999994</v>
      </c>
      <c r="G38" s="59">
        <f t="shared" si="28"/>
        <v>23189380.650000006</v>
      </c>
      <c r="H38" s="59">
        <f t="shared" si="28"/>
        <v>28810816.309999999</v>
      </c>
      <c r="I38" s="59">
        <f t="shared" si="28"/>
        <v>28406996.449999999</v>
      </c>
      <c r="J38" s="59">
        <f t="shared" si="28"/>
        <v>24291643.499999981</v>
      </c>
      <c r="K38" s="59">
        <f t="shared" si="28"/>
        <v>28375509.209999997</v>
      </c>
      <c r="L38" s="59">
        <f t="shared" si="28"/>
        <v>27258258.539999999</v>
      </c>
      <c r="M38" s="59">
        <f t="shared" si="28"/>
        <v>297595332.30599999</v>
      </c>
      <c r="N38" s="9" t="s">
        <v>33</v>
      </c>
      <c r="O38" s="59">
        <f>+SUM(O39:O42)</f>
        <v>22862392.07</v>
      </c>
      <c r="P38" s="59">
        <f t="shared" ref="P38:AA38" si="29">+SUM(P39:P42)</f>
        <v>23080691.099999994</v>
      </c>
      <c r="Q38" s="59">
        <f t="shared" si="29"/>
        <v>32984186.810000002</v>
      </c>
      <c r="R38" s="59">
        <f t="shared" si="29"/>
        <v>25720887.010000002</v>
      </c>
      <c r="S38" s="59">
        <f t="shared" si="29"/>
        <v>34328776.059999995</v>
      </c>
      <c r="T38" s="59">
        <f t="shared" si="29"/>
        <v>27025649.890000004</v>
      </c>
      <c r="U38" s="59">
        <f t="shared" si="29"/>
        <v>32126001.290000003</v>
      </c>
      <c r="V38" s="59">
        <f t="shared" si="29"/>
        <v>31787053.280000001</v>
      </c>
      <c r="W38" s="59">
        <f t="shared" si="29"/>
        <v>29193268.040000003</v>
      </c>
      <c r="X38" s="59">
        <f t="shared" si="29"/>
        <v>31164594.40000001</v>
      </c>
      <c r="Y38" s="59">
        <f t="shared" si="29"/>
        <v>0</v>
      </c>
      <c r="Z38" s="59">
        <f t="shared" si="29"/>
        <v>0</v>
      </c>
      <c r="AA38" s="59">
        <f t="shared" si="29"/>
        <v>290273499.95000005</v>
      </c>
      <c r="AB38" s="118"/>
      <c r="AC38" s="59">
        <f>+SUM(AC39:AC42)</f>
        <v>30140821.665935088</v>
      </c>
      <c r="AD38" s="59">
        <f t="shared" ref="AD38:AO38" si="30">+SUM(AD39:AD42)</f>
        <v>29576836.274119083</v>
      </c>
      <c r="AE38" s="59">
        <f t="shared" si="30"/>
        <v>29965922.736919083</v>
      </c>
      <c r="AF38" s="59">
        <f t="shared" si="30"/>
        <v>25773387.49720408</v>
      </c>
      <c r="AG38" s="59">
        <f t="shared" si="30"/>
        <v>29197818.584974084</v>
      </c>
      <c r="AH38" s="59">
        <f t="shared" si="30"/>
        <v>30457527.071483079</v>
      </c>
      <c r="AI38" s="59">
        <f t="shared" si="30"/>
        <v>31545548.607451085</v>
      </c>
      <c r="AJ38" s="59">
        <f t="shared" si="30"/>
        <v>32258579.996940091</v>
      </c>
      <c r="AK38" s="59">
        <f t="shared" si="30"/>
        <v>33014514.201982085</v>
      </c>
      <c r="AL38" s="59">
        <f t="shared" si="30"/>
        <v>27704693.794757195</v>
      </c>
      <c r="AM38" s="59">
        <f t="shared" si="30"/>
        <v>25159658.629819524</v>
      </c>
      <c r="AN38" s="59">
        <f t="shared" si="30"/>
        <v>30125739.52427531</v>
      </c>
      <c r="AO38" s="59">
        <f t="shared" si="30"/>
        <v>354921048.58585972</v>
      </c>
    </row>
    <row r="39" spans="1:41">
      <c r="A39" s="106">
        <f>+'NEW CAR'!A39+'GT-SERV'!A39+ACCESS!A39</f>
        <v>20552878.820000008</v>
      </c>
      <c r="B39" s="106">
        <f>+'NEW CAR'!B39+'GT-SERV'!B39+ACCESS!B39</f>
        <v>27001117.780000001</v>
      </c>
      <c r="C39" s="106">
        <f>+'NEW CAR'!C39+'GT-SERV'!C39+ACCESS!C39</f>
        <v>19683886.600000009</v>
      </c>
      <c r="D39" s="106">
        <f>+'NEW CAR'!D39+'GT-SERV'!D39+ACCESS!D39</f>
        <v>16329059.059999995</v>
      </c>
      <c r="E39" s="106">
        <f>+'NEW CAR'!E39+'GT-SERV'!E39+ACCESS!E39</f>
        <v>19733935.419999994</v>
      </c>
      <c r="F39" s="106">
        <f>+'NEW CAR'!F39+'GT-SERV'!F39+ACCESS!F39</f>
        <v>23759785.019999996</v>
      </c>
      <c r="G39" s="106">
        <f>+'NEW CAR'!G39+'GT-SERV'!G39+ACCESS!G39</f>
        <v>21664572.210000005</v>
      </c>
      <c r="H39" s="106">
        <f>+'NEW CAR'!H39+'GT-SERV'!H39+ACCESS!H39</f>
        <v>27718443.529999997</v>
      </c>
      <c r="I39" s="106">
        <f>+'NEW CAR'!I39+'GT-SERV'!I39+ACCESS!I39</f>
        <v>25877523.239999998</v>
      </c>
      <c r="J39" s="106">
        <f>+'NEW CAR'!J39+'GT-SERV'!J39+ACCESS!J39</f>
        <v>21983240.699999981</v>
      </c>
      <c r="K39" s="106">
        <f>+'NEW CAR'!K39+'GT-SERV'!K39+ACCESS!K39</f>
        <v>26340454.059999999</v>
      </c>
      <c r="L39" s="106">
        <f>+'NEW CAR'!L39+'GT-SERV'!L39+ACCESS!L39</f>
        <v>25536585.870000001</v>
      </c>
      <c r="M39" s="106">
        <f t="shared" si="25"/>
        <v>276181482.31</v>
      </c>
      <c r="N39" s="7" t="s">
        <v>34</v>
      </c>
      <c r="O39" s="106">
        <f>+'NEW CAR'!O39+'GT-SERV'!O39+ACCESS!O39</f>
        <v>20360345.09</v>
      </c>
      <c r="P39" s="106">
        <f>+'NEW CAR'!P39+'GT-SERV'!P39+ACCESS!P39</f>
        <v>20483328.259999994</v>
      </c>
      <c r="Q39" s="106">
        <f>+'NEW CAR'!Q39+'GT-SERV'!Q39+ACCESS!Q39</f>
        <v>30796560.530000005</v>
      </c>
      <c r="R39" s="106">
        <f>+'NEW CAR'!R39+'GT-SERV'!R39+ACCESS!R39</f>
        <v>23516745.469999999</v>
      </c>
      <c r="S39" s="106">
        <f>+'NEW CAR'!S39+'GT-SERV'!S39+ACCESS!S39</f>
        <v>31361305.929999996</v>
      </c>
      <c r="T39" s="106">
        <f>+'NEW CAR'!T39+'GT-SERV'!T39+ACCESS!T39</f>
        <v>24320546.060000006</v>
      </c>
      <c r="U39" s="106">
        <f>+'NEW CAR'!U39+'GT-SERV'!U39+ACCESS!U39</f>
        <v>28596090.490000002</v>
      </c>
      <c r="V39" s="106">
        <f>+'NEW CAR'!V39+'GT-SERV'!V39+ACCESS!V39</f>
        <v>28903313.43</v>
      </c>
      <c r="W39" s="106">
        <f>+'NEW CAR'!W39+'GT-SERV'!W39+ACCESS!W39</f>
        <v>27032489.270000003</v>
      </c>
      <c r="X39" s="106">
        <f>+'NEW CAR'!X39+'GT-SERV'!X39+ACCESS!X39</f>
        <v>28324165.230000012</v>
      </c>
      <c r="Y39" s="106">
        <f>+'NEW CAR'!Y39+'GT-SERV'!Y39+ACCESS!Y39</f>
        <v>0</v>
      </c>
      <c r="Z39" s="106">
        <f>+'NEW CAR'!Z39+'GT-SERV'!Z39+ACCESS!Z39</f>
        <v>0</v>
      </c>
      <c r="AA39" s="106">
        <f t="shared" ref="AA39:AA42" si="31">+SUM(O39:Z39)</f>
        <v>263694889.76000005</v>
      </c>
      <c r="AB39" s="118"/>
      <c r="AC39" s="106">
        <f>+'NEW CAR'!AC39+'GT-SERV'!AC39+ACCESS!AC39</f>
        <v>26976564.913800009</v>
      </c>
      <c r="AD39" s="106">
        <f>+'NEW CAR'!AD39+'GT-SERV'!AD39+ACCESS!AD39</f>
        <v>26442363.318800006</v>
      </c>
      <c r="AE39" s="106">
        <f>+'NEW CAR'!AE39+'GT-SERV'!AE39+ACCESS!AE39</f>
        <v>26813617.333400004</v>
      </c>
      <c r="AF39" s="106">
        <f>+'NEW CAR'!AF39+'GT-SERV'!AF39+ACCESS!AF39</f>
        <v>22835411.251759999</v>
      </c>
      <c r="AG39" s="106">
        <f>+'NEW CAR'!AG39+'GT-SERV'!AG39+ACCESS!AG39</f>
        <v>26087180.006800003</v>
      </c>
      <c r="AH39" s="106">
        <f>+'NEW CAR'!AH39+'GT-SERV'!AH39+ACCESS!AH39</f>
        <v>27281895.742399998</v>
      </c>
      <c r="AI39" s="106">
        <f>+'NEW CAR'!AI39+'GT-SERV'!AI39+ACCESS!AI39</f>
        <v>28319707.480800003</v>
      </c>
      <c r="AJ39" s="106">
        <f>+'NEW CAR'!AJ39+'GT-SERV'!AJ39+ACCESS!AJ39</f>
        <v>28988732.037000008</v>
      </c>
      <c r="AK39" s="106">
        <f>+'NEW CAR'!AK39+'GT-SERV'!AK39+ACCESS!AK39</f>
        <v>29702477.782200001</v>
      </c>
      <c r="AL39" s="106">
        <f>+'NEW CAR'!AL39+'GT-SERV'!AL39+ACCESS!AL39</f>
        <v>24659768.306000002</v>
      </c>
      <c r="AM39" s="106">
        <f>+'NEW CAR'!AM39+'GT-SERV'!AM39+ACCESS!AM39</f>
        <v>22253016.908800002</v>
      </c>
      <c r="AN39" s="106">
        <f>+'NEW CAR'!AN39+'GT-SERV'!AN39+ACCESS!AN39</f>
        <v>26963018.895503029</v>
      </c>
      <c r="AO39" s="106">
        <f t="shared" ref="AO39:AO42" si="32">+SUM(AC39:AN39)</f>
        <v>317323753.97726303</v>
      </c>
    </row>
    <row r="40" spans="1:41">
      <c r="A40" s="106">
        <f>+'NEW CAR'!A40+'GT-SERV'!A40+ACCESS!A40</f>
        <v>1005198</v>
      </c>
      <c r="B40" s="106">
        <f>+'NEW CAR'!B40+'GT-SERV'!B40+ACCESS!B40</f>
        <v>984825.9</v>
      </c>
      <c r="C40" s="106">
        <f>+'NEW CAR'!C40+'GT-SERV'!C40+ACCESS!C40</f>
        <v>987294</v>
      </c>
      <c r="D40" s="106">
        <f>+'NEW CAR'!D40+'GT-SERV'!D40+ACCESS!D40</f>
        <v>983968</v>
      </c>
      <c r="E40" s="106">
        <f>+'NEW CAR'!E40+'GT-SERV'!E40+ACCESS!E40</f>
        <v>1046181</v>
      </c>
      <c r="F40" s="106">
        <f>+'NEW CAR'!F40+'GT-SERV'!F40+ACCESS!F40</f>
        <v>1096266</v>
      </c>
      <c r="G40" s="106">
        <f>+'NEW CAR'!G40+'GT-SERV'!G40+ACCESS!G40</f>
        <v>1062341.68</v>
      </c>
      <c r="H40" s="106">
        <f>+'NEW CAR'!H40+'GT-SERV'!H40+ACCESS!H40</f>
        <v>560937</v>
      </c>
      <c r="I40" s="106">
        <f>+'NEW CAR'!I40+'GT-SERV'!I40+ACCESS!I40</f>
        <v>1095960.27</v>
      </c>
      <c r="J40" s="106">
        <f>+'NEW CAR'!J40+'GT-SERV'!J40+ACCESS!J40</f>
        <v>1065171</v>
      </c>
      <c r="K40" s="106">
        <f>+'NEW CAR'!K40+'GT-SERV'!K40+ACCESS!K40</f>
        <v>1024787</v>
      </c>
      <c r="L40" s="106">
        <f>+'NEW CAR'!L40+'GT-SERV'!L40+ACCESS!L40</f>
        <v>1123494</v>
      </c>
      <c r="M40" s="106">
        <f t="shared" si="25"/>
        <v>12036423.85</v>
      </c>
      <c r="N40" s="7" t="s">
        <v>35</v>
      </c>
      <c r="O40" s="106">
        <f>+'NEW CAR'!O40+'GT-SERV'!O40+ACCESS!O40</f>
        <v>1275874</v>
      </c>
      <c r="P40" s="106">
        <f>+'NEW CAR'!P40+'GT-SERV'!P40+ACCESS!P40</f>
        <v>1434676.57</v>
      </c>
      <c r="Q40" s="106">
        <f>+'NEW CAR'!Q40+'GT-SERV'!Q40+ACCESS!Q40</f>
        <v>1203479</v>
      </c>
      <c r="R40" s="106">
        <f>+'NEW CAR'!R40+'GT-SERV'!R40+ACCESS!R40</f>
        <v>1424608</v>
      </c>
      <c r="S40" s="106">
        <f>+'NEW CAR'!S40+'GT-SERV'!S40+ACCESS!S40</f>
        <v>1411556</v>
      </c>
      <c r="T40" s="106">
        <f>+'NEW CAR'!T40+'GT-SERV'!T40+ACCESS!T40</f>
        <v>1345293</v>
      </c>
      <c r="U40" s="106">
        <f>+'NEW CAR'!U40+'GT-SERV'!U40+ACCESS!U40</f>
        <v>1384583</v>
      </c>
      <c r="V40" s="106">
        <f>+'NEW CAR'!V40+'GT-SERV'!V40+ACCESS!V40</f>
        <v>1452550</v>
      </c>
      <c r="W40" s="106">
        <f>+'NEW CAR'!W40+'GT-SERV'!W40+ACCESS!W40</f>
        <v>1441561</v>
      </c>
      <c r="X40" s="106">
        <f>+'NEW CAR'!X40+'GT-SERV'!X40+ACCESS!X40</f>
        <v>1399888</v>
      </c>
      <c r="Y40" s="106">
        <f>+'NEW CAR'!Y40+'GT-SERV'!Y40+ACCESS!Y40</f>
        <v>0</v>
      </c>
      <c r="Z40" s="106">
        <f>+'NEW CAR'!Z40+'GT-SERV'!Z40+ACCESS!Z40</f>
        <v>0</v>
      </c>
      <c r="AA40" s="106">
        <f t="shared" si="31"/>
        <v>13774068.57</v>
      </c>
      <c r="AB40" s="118"/>
      <c r="AC40" s="106">
        <f>+'NEW CAR'!AC40+'GT-SERV'!AC40+ACCESS!AC40</f>
        <v>1742347.082691079</v>
      </c>
      <c r="AD40" s="106">
        <f>+'NEW CAR'!AD40+'GT-SERV'!AD40+ACCESS!AD40</f>
        <v>1742347.082691079</v>
      </c>
      <c r="AE40" s="106">
        <f>+'NEW CAR'!AE40+'GT-SERV'!AE40+ACCESS!AE40</f>
        <v>1742347.082691079</v>
      </c>
      <c r="AF40" s="106">
        <f>+'NEW CAR'!AF40+'GT-SERV'!AF40+ACCESS!AF40</f>
        <v>1742347.082691079</v>
      </c>
      <c r="AG40" s="106">
        <f>+'NEW CAR'!AG40+'GT-SERV'!AG40+ACCESS!AG40</f>
        <v>1742347.082691079</v>
      </c>
      <c r="AH40" s="106">
        <f>+'NEW CAR'!AH40+'GT-SERV'!AH40+ACCESS!AH40</f>
        <v>1742347.082691079</v>
      </c>
      <c r="AI40" s="106">
        <f>+'NEW CAR'!AI40+'GT-SERV'!AI40+ACCESS!AI40</f>
        <v>1742347.082691079</v>
      </c>
      <c r="AJ40" s="106">
        <f>+'NEW CAR'!AJ40+'GT-SERV'!AJ40+ACCESS!AJ40</f>
        <v>1742347.082691079</v>
      </c>
      <c r="AK40" s="106">
        <f>+'NEW CAR'!AK40+'GT-SERV'!AK40+ACCESS!AK40</f>
        <v>1742347.082691079</v>
      </c>
      <c r="AL40" s="106">
        <f>+'NEW CAR'!AL40+'GT-SERV'!AL40+ACCESS!AL40</f>
        <v>1742347.082691079</v>
      </c>
      <c r="AM40" s="106">
        <f>+'NEW CAR'!AM40+'GT-SERV'!AM40+ACCESS!AM40</f>
        <v>1742347.082691079</v>
      </c>
      <c r="AN40" s="106">
        <f>+'NEW CAR'!AN40+'GT-SERV'!AN40+ACCESS!AN40</f>
        <v>1742347.082691079</v>
      </c>
      <c r="AO40" s="106">
        <f t="shared" si="32"/>
        <v>20908164.992292948</v>
      </c>
    </row>
    <row r="41" spans="1:41">
      <c r="A41" s="106">
        <f>+'NEW CAR'!A41+'GT-SERV'!A41+ACCESS!A41</f>
        <v>491269.83600000001</v>
      </c>
      <c r="B41" s="106">
        <f>+'NEW CAR'!B41+'GT-SERV'!B41+ACCESS!B41</f>
        <v>404842.92</v>
      </c>
      <c r="C41" s="106">
        <f>+'NEW CAR'!C41+'GT-SERV'!C41+ACCESS!C41</f>
        <v>492906.05</v>
      </c>
      <c r="D41" s="106">
        <f>+'NEW CAR'!D41+'GT-SERV'!D41+ACCESS!D41</f>
        <v>453301.81</v>
      </c>
      <c r="E41" s="106">
        <f>+'NEW CAR'!E41+'GT-SERV'!E41+ACCESS!E41</f>
        <v>493756.29000000004</v>
      </c>
      <c r="F41" s="106">
        <f>+'NEW CAR'!F41+'GT-SERV'!F41+ACCESS!F41</f>
        <v>122309.68</v>
      </c>
      <c r="G41" s="106">
        <f>+'NEW CAR'!G41+'GT-SERV'!G41+ACCESS!G41</f>
        <v>114582.71</v>
      </c>
      <c r="H41" s="106">
        <f>+'NEW CAR'!H41+'GT-SERV'!H41+ACCESS!H41</f>
        <v>32205.46</v>
      </c>
      <c r="I41" s="106">
        <f>+'NEW CAR'!I41+'GT-SERV'!I41+ACCESS!I41</f>
        <v>867025.16999999993</v>
      </c>
      <c r="J41" s="106">
        <f>+'NEW CAR'!J41+'GT-SERV'!J41+ACCESS!J41</f>
        <v>351512.68</v>
      </c>
      <c r="K41" s="106">
        <f>+'NEW CAR'!K41+'GT-SERV'!K41+ACCESS!K41</f>
        <v>389269.07</v>
      </c>
      <c r="L41" s="106">
        <f>+'NEW CAR'!L41+'GT-SERV'!L41+ACCESS!L41</f>
        <v>285207.94999999995</v>
      </c>
      <c r="M41" s="106">
        <f t="shared" si="25"/>
        <v>4498189.6260000011</v>
      </c>
      <c r="N41" s="7" t="s">
        <v>36</v>
      </c>
      <c r="O41" s="106">
        <f>+'NEW CAR'!O41+'GT-SERV'!O41+ACCESS!O41</f>
        <v>0</v>
      </c>
      <c r="P41" s="106">
        <f>+'NEW CAR'!P41+'GT-SERV'!P41+ACCESS!P41</f>
        <v>139518.56</v>
      </c>
      <c r="Q41" s="106">
        <f>+'NEW CAR'!Q41+'GT-SERV'!Q41+ACCESS!Q41</f>
        <v>242162.31</v>
      </c>
      <c r="R41" s="106">
        <f>+'NEW CAR'!R41+'GT-SERV'!R41+ACCESS!R41</f>
        <v>479833.52999999991</v>
      </c>
      <c r="S41" s="106">
        <f>+'NEW CAR'!S41+'GT-SERV'!S41+ACCESS!S41</f>
        <v>792082.99000000011</v>
      </c>
      <c r="T41" s="106">
        <f>+'NEW CAR'!T41+'GT-SERV'!T41+ACCESS!T41</f>
        <v>245797.24000000002</v>
      </c>
      <c r="U41" s="106">
        <f>+'NEW CAR'!U41+'GT-SERV'!U41+ACCESS!U41</f>
        <v>658964.84</v>
      </c>
      <c r="V41" s="106">
        <f>+'NEW CAR'!V41+'GT-SERV'!V41+ACCESS!V41</f>
        <v>304732.10000000003</v>
      </c>
      <c r="W41" s="106">
        <f>+'NEW CAR'!W41+'GT-SERV'!W41+ACCESS!W41</f>
        <v>240299.03</v>
      </c>
      <c r="X41" s="106">
        <f>+'NEW CAR'!X41+'GT-SERV'!X41+ACCESS!X41</f>
        <v>759669.02</v>
      </c>
      <c r="Y41" s="106">
        <f>+'NEW CAR'!Y41+'GT-SERV'!Y41+ACCESS!Y41</f>
        <v>0</v>
      </c>
      <c r="Z41" s="106">
        <f>+'NEW CAR'!Z41+'GT-SERV'!Z41+ACCESS!Z41</f>
        <v>0</v>
      </c>
      <c r="AA41" s="106">
        <f t="shared" si="31"/>
        <v>3863059.62</v>
      </c>
      <c r="AB41" s="118"/>
      <c r="AC41" s="106">
        <f>+'NEW CAR'!AC41+'GT-SERV'!AC41+ACCESS!AC41</f>
        <v>1142073.6860400001</v>
      </c>
      <c r="AD41" s="106">
        <f>+'NEW CAR'!AD41+'GT-SERV'!AD41+ACCESS!AD41</f>
        <v>1118514.1693600002</v>
      </c>
      <c r="AE41" s="106">
        <f>+'NEW CAR'!AE41+'GT-SERV'!AE41+ACCESS!AE41</f>
        <v>1134482.0926000001</v>
      </c>
      <c r="AF41" s="106">
        <f>+'NEW CAR'!AF41+'GT-SERV'!AF41+ACCESS!AF41</f>
        <v>961140.50187999988</v>
      </c>
      <c r="AG41" s="106">
        <f>+'NEW CAR'!AG41+'GT-SERV'!AG41+ACCESS!AG41</f>
        <v>1104109.68068</v>
      </c>
      <c r="AH41" s="106">
        <f>+'NEW CAR'!AH41+'GT-SERV'!AH41+ACCESS!AH41</f>
        <v>1155860.2163200001</v>
      </c>
      <c r="AI41" s="106">
        <f>+'NEW CAR'!AI41+'GT-SERV'!AI41+ACCESS!AI41</f>
        <v>1197062.1732000001</v>
      </c>
      <c r="AJ41" s="106">
        <f>+'NEW CAR'!AJ41+'GT-SERV'!AJ41+ACCESS!AJ41</f>
        <v>1237843.0226400001</v>
      </c>
      <c r="AK41" s="106">
        <f>+'NEW CAR'!AK41+'GT-SERV'!AK41+ACCESS!AK41</f>
        <v>1272841.4121600001</v>
      </c>
      <c r="AL41" s="106">
        <f>+'NEW CAR'!AL41+'GT-SERV'!AL41+ACCESS!AL41</f>
        <v>1047024.0657111111</v>
      </c>
      <c r="AM41" s="106">
        <f>+'NEW CAR'!AM41+'GT-SERV'!AM41+ACCESS!AM41</f>
        <v>928255.21932444454</v>
      </c>
      <c r="AN41" s="106">
        <f>+'NEW CAR'!AN41+'GT-SERV'!AN41+ACCESS!AN41</f>
        <v>1136674.980540202</v>
      </c>
      <c r="AO41" s="106">
        <f t="shared" si="32"/>
        <v>13435881.220455758</v>
      </c>
    </row>
    <row r="42" spans="1:41">
      <c r="A42" s="106">
        <f>+'NEW CAR'!A42+'GT-SERV'!A42+ACCESS!A42</f>
        <v>169026.33000000002</v>
      </c>
      <c r="B42" s="106">
        <f>+'NEW CAR'!B42+'GT-SERV'!B42+ACCESS!B42</f>
        <v>249396.16999999998</v>
      </c>
      <c r="C42" s="106">
        <f>+'NEW CAR'!C42+'GT-SERV'!C42+ACCESS!C42</f>
        <v>205244.25</v>
      </c>
      <c r="D42" s="106">
        <f>+'NEW CAR'!D42+'GT-SERV'!D42+ACCESS!D42</f>
        <v>189346.52</v>
      </c>
      <c r="E42" s="106">
        <f>+'NEW CAR'!E42+'GT-SERV'!E42+ACCESS!E42</f>
        <v>396139.47</v>
      </c>
      <c r="F42" s="106">
        <f>+'NEW CAR'!F42+'GT-SERV'!F42+ACCESS!F42</f>
        <v>430792.72</v>
      </c>
      <c r="G42" s="106">
        <f>+'NEW CAR'!G42+'GT-SERV'!G42+ACCESS!G42</f>
        <v>347884.05000000005</v>
      </c>
      <c r="H42" s="106">
        <f>+'NEW CAR'!H42+'GT-SERV'!H42+ACCESS!H42</f>
        <v>499230.32</v>
      </c>
      <c r="I42" s="106">
        <f>+'NEW CAR'!I42+'GT-SERV'!I42+ACCESS!I42</f>
        <v>566487.77</v>
      </c>
      <c r="J42" s="106">
        <f>+'NEW CAR'!J42+'GT-SERV'!J42+ACCESS!J42</f>
        <v>891719.12</v>
      </c>
      <c r="K42" s="106">
        <f>+'NEW CAR'!K42+'GT-SERV'!K42+ACCESS!K42</f>
        <v>620999.07999999996</v>
      </c>
      <c r="L42" s="106">
        <f>+'NEW CAR'!L42+'GT-SERV'!L42+ACCESS!L42</f>
        <v>312970.71999999997</v>
      </c>
      <c r="M42" s="106">
        <f t="shared" si="25"/>
        <v>4879236.5199999996</v>
      </c>
      <c r="N42" s="7" t="s">
        <v>37</v>
      </c>
      <c r="O42" s="106">
        <f>+'NEW CAR'!O42+'GT-SERV'!O42+ACCESS!O42</f>
        <v>1226172.98</v>
      </c>
      <c r="P42" s="106">
        <f>+'NEW CAR'!P42+'GT-SERV'!P42+ACCESS!P42</f>
        <v>1023167.7100000001</v>
      </c>
      <c r="Q42" s="106">
        <f>+'NEW CAR'!Q42+'GT-SERV'!Q42+ACCESS!Q42</f>
        <v>741984.97</v>
      </c>
      <c r="R42" s="106">
        <f>+'NEW CAR'!R42+'GT-SERV'!R42+ACCESS!R42</f>
        <v>299700.01</v>
      </c>
      <c r="S42" s="106">
        <f>+'NEW CAR'!S42+'GT-SERV'!S42+ACCESS!S42</f>
        <v>763831.1399999999</v>
      </c>
      <c r="T42" s="106">
        <f>+'NEW CAR'!T42+'GT-SERV'!T42+ACCESS!T42</f>
        <v>1114013.5899999999</v>
      </c>
      <c r="U42" s="106">
        <f>+'NEW CAR'!U42+'GT-SERV'!U42+ACCESS!U42</f>
        <v>1486362.96</v>
      </c>
      <c r="V42" s="106">
        <f>+'NEW CAR'!V42+'GT-SERV'!V42+ACCESS!V42</f>
        <v>1126457.75</v>
      </c>
      <c r="W42" s="106">
        <f>+'NEW CAR'!W42+'GT-SERV'!W42+ACCESS!W42</f>
        <v>478918.74</v>
      </c>
      <c r="X42" s="106">
        <f>+'NEW CAR'!X42+'GT-SERV'!X42+ACCESS!X42</f>
        <v>680872.15</v>
      </c>
      <c r="Y42" s="106">
        <f>+'NEW CAR'!Y42+'GT-SERV'!Y42+ACCESS!Y42</f>
        <v>0</v>
      </c>
      <c r="Z42" s="106">
        <f>+'NEW CAR'!Z42+'GT-SERV'!Z42+ACCESS!Z42</f>
        <v>0</v>
      </c>
      <c r="AA42" s="106">
        <f t="shared" si="31"/>
        <v>8941482</v>
      </c>
      <c r="AB42" s="118"/>
      <c r="AC42" s="106">
        <f>+'NEW CAR'!AC42+'GT-SERV'!AC42+ACCESS!AC42</f>
        <v>279835.98340400006</v>
      </c>
      <c r="AD42" s="106">
        <f>+'NEW CAR'!AD42+'GT-SERV'!AD42+ACCESS!AD42</f>
        <v>273611.70326800004</v>
      </c>
      <c r="AE42" s="106">
        <f>+'NEW CAR'!AE42+'GT-SERV'!AE42+ACCESS!AE42</f>
        <v>275476.22822799999</v>
      </c>
      <c r="AF42" s="106">
        <f>+'NEW CAR'!AF42+'GT-SERV'!AF42+ACCESS!AF42</f>
        <v>234488.66087299999</v>
      </c>
      <c r="AG42" s="106">
        <f>+'NEW CAR'!AG42+'GT-SERV'!AG42+ACCESS!AG42</f>
        <v>264181.81480300002</v>
      </c>
      <c r="AH42" s="106">
        <f>+'NEW CAR'!AH42+'GT-SERV'!AH42+ACCESS!AH42</f>
        <v>277424.03007199999</v>
      </c>
      <c r="AI42" s="106">
        <f>+'NEW CAR'!AI42+'GT-SERV'!AI42+ACCESS!AI42</f>
        <v>286431.87076000002</v>
      </c>
      <c r="AJ42" s="106">
        <f>+'NEW CAR'!AJ42+'GT-SERV'!AJ42+ACCESS!AJ42</f>
        <v>289657.85460900009</v>
      </c>
      <c r="AK42" s="106">
        <f>+'NEW CAR'!AK42+'GT-SERV'!AK42+ACCESS!AK42</f>
        <v>296847.92493100005</v>
      </c>
      <c r="AL42" s="106">
        <f>+'NEW CAR'!AL42+'GT-SERV'!AL42+ACCESS!AL42</f>
        <v>255554.34035499999</v>
      </c>
      <c r="AM42" s="106">
        <f>+'NEW CAR'!AM42+'GT-SERV'!AM42+ACCESS!AM42</f>
        <v>236039.419004</v>
      </c>
      <c r="AN42" s="106">
        <f>+'NEW CAR'!AN42+'GT-SERV'!AN42+ACCESS!AN42</f>
        <v>283698.56554099999</v>
      </c>
      <c r="AO42" s="106">
        <f t="shared" si="32"/>
        <v>3253248.3958480004</v>
      </c>
    </row>
    <row r="43" spans="1:41">
      <c r="A43" s="59">
        <f>+A29-A38</f>
        <v>10494076.473999973</v>
      </c>
      <c r="B43" s="59">
        <f t="shared" ref="B43:M43" si="33">+B29-B38</f>
        <v>13050330.769999988</v>
      </c>
      <c r="C43" s="59">
        <f t="shared" si="33"/>
        <v>8727994.6734380797</v>
      </c>
      <c r="D43" s="59">
        <f t="shared" si="33"/>
        <v>9080846.4299999923</v>
      </c>
      <c r="E43" s="59">
        <f t="shared" si="33"/>
        <v>8860515.3851697557</v>
      </c>
      <c r="F43" s="59">
        <f t="shared" si="33"/>
        <v>9098732.4853821546</v>
      </c>
      <c r="G43" s="59">
        <f t="shared" si="33"/>
        <v>10997070.362530403</v>
      </c>
      <c r="H43" s="59">
        <f t="shared" si="33"/>
        <v>11069265.218633916</v>
      </c>
      <c r="I43" s="59">
        <f t="shared" si="33"/>
        <v>9088981.3677206747</v>
      </c>
      <c r="J43" s="59">
        <f t="shared" si="33"/>
        <v>10465155.248212699</v>
      </c>
      <c r="K43" s="59">
        <f t="shared" si="33"/>
        <v>13210161.483762678</v>
      </c>
      <c r="L43" s="59">
        <f t="shared" si="33"/>
        <v>14440580.178836673</v>
      </c>
      <c r="M43" s="59">
        <f t="shared" si="33"/>
        <v>128583710.07768703</v>
      </c>
      <c r="N43" s="10" t="s">
        <v>20</v>
      </c>
      <c r="O43" s="59">
        <f>+O29-O38</f>
        <v>10827148.883171842</v>
      </c>
      <c r="P43" s="59">
        <f t="shared" ref="P43:AA43" si="34">+P29-P38</f>
        <v>7128482.3213850409</v>
      </c>
      <c r="Q43" s="59">
        <f t="shared" si="34"/>
        <v>12389522.052692033</v>
      </c>
      <c r="R43" s="59">
        <f t="shared" si="34"/>
        <v>11779368.941410024</v>
      </c>
      <c r="S43" s="59">
        <f t="shared" si="34"/>
        <v>16318973.398475997</v>
      </c>
      <c r="T43" s="59">
        <f t="shared" si="34"/>
        <v>10221542.111837108</v>
      </c>
      <c r="U43" s="59">
        <f t="shared" si="34"/>
        <v>13532826.419999968</v>
      </c>
      <c r="V43" s="59">
        <f t="shared" si="34"/>
        <v>13300646.671017498</v>
      </c>
      <c r="W43" s="59">
        <f t="shared" si="34"/>
        <v>12850724.979999978</v>
      </c>
      <c r="X43" s="59">
        <f t="shared" si="34"/>
        <v>11341142.680965107</v>
      </c>
      <c r="Y43" s="59">
        <f t="shared" si="34"/>
        <v>0</v>
      </c>
      <c r="Z43" s="59">
        <f t="shared" si="34"/>
        <v>0</v>
      </c>
      <c r="AA43" s="59">
        <f t="shared" si="34"/>
        <v>119690378.46095461</v>
      </c>
      <c r="AB43" s="118"/>
      <c r="AC43" s="59">
        <f>+AC29-AC38</f>
        <v>14028096.099464919</v>
      </c>
      <c r="AD43" s="59">
        <f t="shared" ref="AD43:AO43" si="35">+AD29-AD38</f>
        <v>13593561.082680929</v>
      </c>
      <c r="AE43" s="59">
        <f t="shared" si="35"/>
        <v>13909629.635880917</v>
      </c>
      <c r="AF43" s="59">
        <f t="shared" si="35"/>
        <v>11482269.070095919</v>
      </c>
      <c r="AG43" s="59">
        <f t="shared" si="35"/>
        <v>13434194.89532591</v>
      </c>
      <c r="AH43" s="59">
        <f t="shared" si="35"/>
        <v>14141840.935716916</v>
      </c>
      <c r="AI43" s="59">
        <f t="shared" si="35"/>
        <v>14754379.21854892</v>
      </c>
      <c r="AJ43" s="59">
        <f t="shared" si="35"/>
        <v>15176689.588959917</v>
      </c>
      <c r="AK43" s="59">
        <f t="shared" si="35"/>
        <v>15568400.33611792</v>
      </c>
      <c r="AL43" s="59">
        <f t="shared" si="35"/>
        <v>12672011.68518725</v>
      </c>
      <c r="AM43" s="59">
        <f t="shared" si="35"/>
        <v>11328778.248358268</v>
      </c>
      <c r="AN43" s="59">
        <f t="shared" si="35"/>
        <v>14026469.36275398</v>
      </c>
      <c r="AO43" s="59">
        <f t="shared" si="35"/>
        <v>164116320.15909183</v>
      </c>
    </row>
    <row r="44" spans="1:41">
      <c r="A44" s="106">
        <f>+'NEW CAR'!A44+'GT-SERV'!A44+ACCESS!A44</f>
        <v>1159231.15774304</v>
      </c>
      <c r="B44" s="106">
        <f>+'NEW CAR'!B44+'GT-SERV'!B44+ACCESS!B44</f>
        <v>1159231.15774304</v>
      </c>
      <c r="C44" s="106">
        <f>+'NEW CAR'!C44+'GT-SERV'!C44+ACCESS!C44</f>
        <v>621838.19460416702</v>
      </c>
      <c r="D44" s="106">
        <f>+'NEW CAR'!D44+'GT-SERV'!D44+ACCESS!D44</f>
        <v>351279.08783539198</v>
      </c>
      <c r="E44" s="106">
        <f>+'NEW CAR'!E44+'GT-SERV'!E44+ACCESS!E44</f>
        <v>429792.68799255497</v>
      </c>
      <c r="F44" s="106">
        <f>+'NEW CAR'!F44+'GT-SERV'!F44+ACCESS!F44</f>
        <v>349775.43934204208</v>
      </c>
      <c r="G44" s="106">
        <f>+'NEW CAR'!G44+'GT-SERV'!G44+ACCESS!G44</f>
        <v>845907</v>
      </c>
      <c r="H44" s="106">
        <f>+'NEW CAR'!H44+'GT-SERV'!H44+ACCESS!H44</f>
        <v>791776</v>
      </c>
      <c r="I44" s="106">
        <f>+'NEW CAR'!I44+'GT-SERV'!I44+ACCESS!I44</f>
        <v>392141</v>
      </c>
      <c r="J44" s="106">
        <f>+'NEW CAR'!J44+'GT-SERV'!J44+ACCESS!J44</f>
        <v>911487.27894517605</v>
      </c>
      <c r="K44" s="106">
        <f>+'NEW CAR'!K44+'GT-SERV'!K44+ACCESS!K44</f>
        <v>736702.09442617896</v>
      </c>
      <c r="L44" s="106">
        <f>+'NEW CAR'!L44+'GT-SERV'!L44+ACCESS!L44</f>
        <v>547440.78040656005</v>
      </c>
      <c r="M44" s="106">
        <f t="shared" si="25"/>
        <v>8296601.8790381504</v>
      </c>
      <c r="N44" s="7" t="s">
        <v>38</v>
      </c>
      <c r="O44" s="106">
        <f>+'NEW CAR'!O44+'GT-SERV'!O44+ACCESS!O44</f>
        <v>0</v>
      </c>
      <c r="P44" s="106">
        <f>+'NEW CAR'!P44+'GT-SERV'!P44+ACCESS!P44</f>
        <v>937661.965951522</v>
      </c>
      <c r="Q44" s="106">
        <f>+'NEW CAR'!Q44+'GT-SERV'!Q44+ACCESS!Q44</f>
        <v>632909.40479212312</v>
      </c>
      <c r="R44" s="106">
        <f>+'NEW CAR'!R44+'GT-SERV'!R44+ACCESS!R44</f>
        <v>467948.69160355901</v>
      </c>
      <c r="S44" s="106">
        <f>+'NEW CAR'!S44+'GT-SERV'!S44+ACCESS!S44</f>
        <v>682759.28443311516</v>
      </c>
      <c r="T44" s="106">
        <f>+'NEW CAR'!T44+'GT-SERV'!T44+ACCESS!T44</f>
        <v>1144469.28024575</v>
      </c>
      <c r="U44" s="106">
        <f>+'NEW CAR'!U44+'GT-SERV'!U44+ACCESS!U44</f>
        <v>949666.90762517205</v>
      </c>
      <c r="V44" s="106">
        <f>+'NEW CAR'!V44+'GT-SERV'!V44+ACCESS!V44</f>
        <v>912922</v>
      </c>
      <c r="W44" s="106">
        <f>+'NEW CAR'!W44+'GT-SERV'!W44+ACCESS!W44</f>
        <v>802318.44273583498</v>
      </c>
      <c r="X44" s="106">
        <f>+'NEW CAR'!X44+'GT-SERV'!X44+ACCESS!X44</f>
        <v>608343.19999999995</v>
      </c>
      <c r="Y44" s="106">
        <f>+'NEW CAR'!Y44+'GT-SERV'!Y44+ACCESS!Y44</f>
        <v>0</v>
      </c>
      <c r="Z44" s="106">
        <f>+'NEW CAR'!Z44+'GT-SERV'!Z44+ACCESS!Z44</f>
        <v>0</v>
      </c>
      <c r="AA44" s="106">
        <f t="shared" ref="AA44:AA46" si="36">+SUM(O44:Z44)</f>
        <v>7138999.1773870764</v>
      </c>
      <c r="AB44" s="118"/>
      <c r="AC44" s="106">
        <f>+'NEW CAR'!AC44+'GT-SERV'!AC44+ACCESS!AC44</f>
        <v>796055.50378575013</v>
      </c>
      <c r="AD44" s="106">
        <f>+'NEW CAR'!AD44+'GT-SERV'!AD44+ACCESS!AD44</f>
        <v>815711.1952372503</v>
      </c>
      <c r="AE44" s="106">
        <f>+'NEW CAR'!AE44+'GT-SERV'!AE44+ACCESS!AE44</f>
        <v>845194.73241450009</v>
      </c>
      <c r="AF44" s="106">
        <f>+'NEW CAR'!AF44+'GT-SERV'!AF44+ACCESS!AF44</f>
        <v>687949.20080250048</v>
      </c>
      <c r="AG44" s="106">
        <f>+'NEW CAR'!AG44+'GT-SERV'!AG44+ACCESS!AG44</f>
        <v>825539.04096300039</v>
      </c>
      <c r="AH44" s="106">
        <f>+'NEW CAR'!AH44+'GT-SERV'!AH44+ACCESS!AH44</f>
        <v>845194.73241450009</v>
      </c>
      <c r="AI44" s="106">
        <f>+'NEW CAR'!AI44+'GT-SERV'!AI44+ACCESS!AI44</f>
        <v>913989.65249475022</v>
      </c>
      <c r="AJ44" s="106">
        <f>+'NEW CAR'!AJ44+'GT-SERV'!AJ44+ACCESS!AJ44</f>
        <v>894333.9610432504</v>
      </c>
      <c r="AK44" s="106">
        <f>+'NEW CAR'!AK44+'GT-SERV'!AK44+ACCESS!AK44</f>
        <v>746916.27515700029</v>
      </c>
      <c r="AL44" s="106">
        <f>+'NEW CAR'!AL44+'GT-SERV'!AL44+ACCESS!AL44</f>
        <v>835366.88668875024</v>
      </c>
      <c r="AM44" s="106">
        <f>+'NEW CAR'!AM44+'GT-SERV'!AM44+ACCESS!AM44</f>
        <v>796055.50378575013</v>
      </c>
      <c r="AN44" s="106">
        <f>+'NEW CAR'!AN44+'GT-SERV'!AN44+ACCESS!AN44</f>
        <v>825539.04096300039</v>
      </c>
      <c r="AO44" s="106">
        <f t="shared" ref="AO44:AO46" si="37">+SUM(AC44:AN44)</f>
        <v>9827845.725750003</v>
      </c>
    </row>
    <row r="45" spans="1:41">
      <c r="A45" s="106">
        <f>+'NEW CAR'!A45+'GT-SERV'!A45+ACCESS!A45</f>
        <v>0</v>
      </c>
      <c r="B45" s="106">
        <f>+'NEW CAR'!B45+'GT-SERV'!B45+ACCESS!B45</f>
        <v>0</v>
      </c>
      <c r="C45" s="106">
        <f>+'NEW CAR'!C45+'GT-SERV'!C45+ACCESS!C45</f>
        <v>2930221.8739818502</v>
      </c>
      <c r="D45" s="106">
        <f>+'NEW CAR'!D45+'GT-SERV'!D45+ACCESS!D45</f>
        <v>0</v>
      </c>
      <c r="E45" s="106">
        <f>+'NEW CAR'!E45+'GT-SERV'!E45+ACCESS!E45</f>
        <v>0</v>
      </c>
      <c r="F45" s="106">
        <f>+'NEW CAR'!F45+'GT-SERV'!F45+ACCESS!F45</f>
        <v>991070.35648600012</v>
      </c>
      <c r="G45" s="106">
        <f>+'NEW CAR'!G45+'GT-SERV'!G45+ACCESS!G45</f>
        <v>0</v>
      </c>
      <c r="H45" s="106">
        <f>+'NEW CAR'!H45+'GT-SERV'!H45+ACCESS!H45</f>
        <v>0</v>
      </c>
      <c r="I45" s="106">
        <f>+'NEW CAR'!I45+'GT-SERV'!I45+ACCESS!I45</f>
        <v>1798126.7062392002</v>
      </c>
      <c r="J45" s="106">
        <f>+'NEW CAR'!J45+'GT-SERV'!J45+ACCESS!J45</f>
        <v>0</v>
      </c>
      <c r="K45" s="106">
        <f>+'NEW CAR'!K45+'GT-SERV'!K45+ACCESS!K45</f>
        <v>0</v>
      </c>
      <c r="L45" s="106">
        <f>+'NEW CAR'!L45+'GT-SERV'!L45+ACCESS!L45</f>
        <v>2152924.8332923702</v>
      </c>
      <c r="M45" s="106">
        <f t="shared" si="25"/>
        <v>7872343.7699994203</v>
      </c>
      <c r="N45" s="7" t="s">
        <v>39</v>
      </c>
      <c r="O45" s="106">
        <f>+'NEW CAR'!O45+'GT-SERV'!O45+ACCESS!O45</f>
        <v>0</v>
      </c>
      <c r="P45" s="106">
        <f>+'NEW CAR'!P45+'GT-SERV'!P45+ACCESS!P45</f>
        <v>0</v>
      </c>
      <c r="Q45" s="106">
        <f>+'NEW CAR'!Q45+'GT-SERV'!Q45+ACCESS!Q45</f>
        <v>1381933.36530128</v>
      </c>
      <c r="R45" s="106">
        <f>+'NEW CAR'!R45+'GT-SERV'!R45+ACCESS!R45</f>
        <v>0</v>
      </c>
      <c r="S45" s="106">
        <f>+'NEW CAR'!S45+'GT-SERV'!S45+ACCESS!S45</f>
        <v>0</v>
      </c>
      <c r="T45" s="106">
        <f>+'NEW CAR'!T45+'GT-SERV'!T45+ACCESS!T45</f>
        <v>2284394.3045478002</v>
      </c>
      <c r="U45" s="106">
        <f>+'NEW CAR'!U45+'GT-SERV'!U45+ACCESS!U45</f>
        <v>0</v>
      </c>
      <c r="V45" s="106">
        <f>+'NEW CAR'!V45+'GT-SERV'!V45+ACCESS!V45</f>
        <v>0</v>
      </c>
      <c r="W45" s="106">
        <f>+'NEW CAR'!W45+'GT-SERV'!W45+ACCESS!W45</f>
        <v>2678972.2739264001</v>
      </c>
      <c r="X45" s="106">
        <f>+'NEW CAR'!X45+'GT-SERV'!X45+ACCESS!X45</f>
        <v>0</v>
      </c>
      <c r="Y45" s="106">
        <f>+'NEW CAR'!Y45+'GT-SERV'!Y45+ACCESS!Y45</f>
        <v>0</v>
      </c>
      <c r="Z45" s="106">
        <f>+'NEW CAR'!Z45+'GT-SERV'!Z45+ACCESS!Z45</f>
        <v>0</v>
      </c>
      <c r="AA45" s="106">
        <f t="shared" si="36"/>
        <v>6345299.9437754806</v>
      </c>
      <c r="AB45" s="118"/>
      <c r="AC45" s="106">
        <f>+'NEW CAR'!AC45+'GT-SERV'!AC45+ACCESS!AC45</f>
        <v>0</v>
      </c>
      <c r="AD45" s="106">
        <f>+'NEW CAR'!AD45+'GT-SERV'!AD45+ACCESS!AD45</f>
        <v>0</v>
      </c>
      <c r="AE45" s="106">
        <f>+'NEW CAR'!AE45+'GT-SERV'!AE45+ACCESS!AE45</f>
        <v>1720272.4723125</v>
      </c>
      <c r="AF45" s="106">
        <f>+'NEW CAR'!AF45+'GT-SERV'!AF45+ACCESS!AF45</f>
        <v>0</v>
      </c>
      <c r="AG45" s="106">
        <f>+'NEW CAR'!AG45+'GT-SERV'!AG45+ACCESS!AG45</f>
        <v>0</v>
      </c>
      <c r="AH45" s="106">
        <f>+'NEW CAR'!AH45+'GT-SERV'!AH45+ACCESS!AH45</f>
        <v>1625446.6306200002</v>
      </c>
      <c r="AI45" s="106">
        <f>+'NEW CAR'!AI45+'GT-SERV'!AI45+ACCESS!AI45</f>
        <v>0</v>
      </c>
      <c r="AJ45" s="106">
        <f>+'NEW CAR'!AJ45+'GT-SERV'!AJ45+ACCESS!AJ45</f>
        <v>0</v>
      </c>
      <c r="AK45" s="106">
        <f>+'NEW CAR'!AK45+'GT-SERV'!AK45+ACCESS!AK45</f>
        <v>1763397.4340049999</v>
      </c>
      <c r="AL45" s="106">
        <f>+'NEW CAR'!AL45+'GT-SERV'!AL45+ACCESS!AL45</f>
        <v>0</v>
      </c>
      <c r="AM45" s="106">
        <f>+'NEW CAR'!AM45+'GT-SERV'!AM45+ACCESS!AM45</f>
        <v>0</v>
      </c>
      <c r="AN45" s="106">
        <f>+'NEW CAR'!AN45+'GT-SERV'!AN45+ACCESS!AN45</f>
        <v>1691484.4823125</v>
      </c>
      <c r="AO45" s="106">
        <f t="shared" si="37"/>
        <v>6800601.0192499999</v>
      </c>
    </row>
    <row r="46" spans="1:41">
      <c r="A46" s="106">
        <f>+'NEW CAR'!A46+'GT-SERV'!A46+ACCESS!A46</f>
        <v>0</v>
      </c>
      <c r="B46" s="106">
        <f>+'NEW CAR'!B46+'GT-SERV'!B46+ACCESS!B46</f>
        <v>0</v>
      </c>
      <c r="C46" s="106">
        <f>+'NEW CAR'!C46+'GT-SERV'!C46+ACCESS!C46</f>
        <v>1239680</v>
      </c>
      <c r="D46" s="106">
        <f>+'NEW CAR'!D46+'GT-SERV'!D46+ACCESS!D46</f>
        <v>0</v>
      </c>
      <c r="E46" s="106">
        <f>+'NEW CAR'!E46+'GT-SERV'!E46+ACCESS!E46</f>
        <v>0</v>
      </c>
      <c r="F46" s="106">
        <f>+'NEW CAR'!F46+'GT-SERV'!F46+ACCESS!F46</f>
        <v>2116850</v>
      </c>
      <c r="G46" s="106">
        <f>+'NEW CAR'!G46+'GT-SERV'!G46+ACCESS!G46</f>
        <v>0</v>
      </c>
      <c r="H46" s="106">
        <f>+'NEW CAR'!H46+'GT-SERV'!H46+ACCESS!H46</f>
        <v>0</v>
      </c>
      <c r="I46" s="106">
        <f>+'NEW CAR'!I46+'GT-SERV'!I46+ACCESS!I46</f>
        <v>2022640</v>
      </c>
      <c r="J46" s="106">
        <f>+'NEW CAR'!J46+'GT-SERV'!J46+ACCESS!J46</f>
        <v>0</v>
      </c>
      <c r="K46" s="106">
        <f>+'NEW CAR'!K46+'GT-SERV'!K46+ACCESS!K46</f>
        <v>0</v>
      </c>
      <c r="L46" s="106">
        <f>+'NEW CAR'!L46+'GT-SERV'!L46+ACCESS!L46</f>
        <v>2918137.5</v>
      </c>
      <c r="M46" s="106">
        <f t="shared" si="25"/>
        <v>8297307.5</v>
      </c>
      <c r="N46" s="7" t="s">
        <v>40</v>
      </c>
      <c r="O46" s="106">
        <f>+'NEW CAR'!O46+'GT-SERV'!O46+ACCESS!O46</f>
        <v>0</v>
      </c>
      <c r="P46" s="106">
        <f>+'NEW CAR'!P46+'GT-SERV'!P46+ACCESS!P46</f>
        <v>0</v>
      </c>
      <c r="Q46" s="106">
        <f>+'NEW CAR'!Q46+'GT-SERV'!Q46+ACCESS!Q46</f>
        <v>2298900</v>
      </c>
      <c r="R46" s="106">
        <f>+'NEW CAR'!R46+'GT-SERV'!R46+ACCESS!R46</f>
        <v>0</v>
      </c>
      <c r="S46" s="106">
        <f>+'NEW CAR'!S46+'GT-SERV'!S46+ACCESS!S46</f>
        <v>0</v>
      </c>
      <c r="T46" s="106">
        <f>+'NEW CAR'!T46+'GT-SERV'!T46+ACCESS!T46</f>
        <v>1099650</v>
      </c>
      <c r="U46" s="106">
        <f>+'NEW CAR'!U46+'GT-SERV'!U46+ACCESS!U46</f>
        <v>0</v>
      </c>
      <c r="V46" s="106">
        <f>+'NEW CAR'!V46+'GT-SERV'!V46+ACCESS!V46</f>
        <v>0</v>
      </c>
      <c r="W46" s="106">
        <f>+'NEW CAR'!W46+'GT-SERV'!W46+ACCESS!W46</f>
        <v>3533100</v>
      </c>
      <c r="X46" s="106">
        <f>+'NEW CAR'!X46+'GT-SERV'!X46+ACCESS!X46</f>
        <v>0</v>
      </c>
      <c r="Y46" s="106">
        <f>+'NEW CAR'!Y46+'GT-SERV'!Y46+ACCESS!Y46</f>
        <v>0</v>
      </c>
      <c r="Z46" s="106">
        <f>+'NEW CAR'!Z46+'GT-SERV'!Z46+ACCESS!Z46</f>
        <v>0</v>
      </c>
      <c r="AA46" s="106">
        <f t="shared" si="36"/>
        <v>6931650</v>
      </c>
      <c r="AB46" s="118"/>
      <c r="AC46" s="106">
        <f>+'NEW CAR'!AC46+'GT-SERV'!AC46+ACCESS!AC46</f>
        <v>0</v>
      </c>
      <c r="AD46" s="106">
        <f>+'NEW CAR'!AD46+'GT-SERV'!AD46+ACCESS!AD46</f>
        <v>0</v>
      </c>
      <c r="AE46" s="106">
        <f>+'NEW CAR'!AE46+'GT-SERV'!AE46+ACCESS!AE46</f>
        <v>5195082.1050000004</v>
      </c>
      <c r="AF46" s="106">
        <f>+'NEW CAR'!AF46+'GT-SERV'!AF46+ACCESS!AF46</f>
        <v>0</v>
      </c>
      <c r="AG46" s="106">
        <f>+'NEW CAR'!AG46+'GT-SERV'!AG46+ACCESS!AG46</f>
        <v>0</v>
      </c>
      <c r="AH46" s="106">
        <f>+'NEW CAR'!AH46+'GT-SERV'!AH46+ACCESS!AH46</f>
        <v>4984081.3166400008</v>
      </c>
      <c r="AI46" s="106">
        <f>+'NEW CAR'!AI46+'GT-SERV'!AI46+ACCESS!AI46</f>
        <v>0</v>
      </c>
      <c r="AJ46" s="106">
        <f>+'NEW CAR'!AJ46+'GT-SERV'!AJ46+ACCESS!AJ46</f>
        <v>0</v>
      </c>
      <c r="AK46" s="106">
        <f>+'NEW CAR'!AK46+'GT-SERV'!AK46+ACCESS!AK46</f>
        <v>5536008.6900000004</v>
      </c>
      <c r="AL46" s="106">
        <f>+'NEW CAR'!AL46+'GT-SERV'!AL46+ACCESS!AL46</f>
        <v>0</v>
      </c>
      <c r="AM46" s="106">
        <f>+'NEW CAR'!AM46+'GT-SERV'!AM46+ACCESS!AM46</f>
        <v>0</v>
      </c>
      <c r="AN46" s="106">
        <f>+'NEW CAR'!AN46+'GT-SERV'!AN46+ACCESS!AN46</f>
        <v>5184929.79</v>
      </c>
      <c r="AO46" s="106">
        <f t="shared" si="37"/>
        <v>20900101.901640002</v>
      </c>
    </row>
    <row r="47" spans="1:41">
      <c r="A47" s="59">
        <f>+A43+A44+A45+A46</f>
        <v>11653307.631743014</v>
      </c>
      <c r="B47" s="59">
        <f t="shared" ref="B47:M47" si="38">+B43+B44+B45+B46</f>
        <v>14209561.927743029</v>
      </c>
      <c r="C47" s="59">
        <f t="shared" si="38"/>
        <v>13519734.742024098</v>
      </c>
      <c r="D47" s="59">
        <f t="shared" si="38"/>
        <v>9432125.5178353842</v>
      </c>
      <c r="E47" s="59">
        <f t="shared" si="38"/>
        <v>9290308.0731623098</v>
      </c>
      <c r="F47" s="59">
        <f t="shared" si="38"/>
        <v>12556428.281210197</v>
      </c>
      <c r="G47" s="59">
        <f t="shared" si="38"/>
        <v>11842977.362530403</v>
      </c>
      <c r="H47" s="59">
        <f t="shared" si="38"/>
        <v>11861041.218633916</v>
      </c>
      <c r="I47" s="59">
        <f t="shared" si="38"/>
        <v>13301889.073959876</v>
      </c>
      <c r="J47" s="59">
        <f t="shared" si="38"/>
        <v>11376642.527157875</v>
      </c>
      <c r="K47" s="59">
        <f t="shared" si="38"/>
        <v>13946863.578188857</v>
      </c>
      <c r="L47" s="59">
        <f t="shared" si="38"/>
        <v>20059083.292535603</v>
      </c>
      <c r="M47" s="59">
        <f t="shared" si="38"/>
        <v>153049963.22672459</v>
      </c>
      <c r="N47" s="10" t="s">
        <v>41</v>
      </c>
      <c r="O47" s="59">
        <f>+O43+O44+O45+O46</f>
        <v>10827148.883171842</v>
      </c>
      <c r="P47" s="59">
        <f t="shared" ref="P47:AA47" si="39">+P43+P44+P45+P46</f>
        <v>8066144.2873365628</v>
      </c>
      <c r="Q47" s="59">
        <f t="shared" si="39"/>
        <v>16703264.822785435</v>
      </c>
      <c r="R47" s="59">
        <f t="shared" si="39"/>
        <v>12247317.633013582</v>
      </c>
      <c r="S47" s="59">
        <f t="shared" si="39"/>
        <v>17001732.682909112</v>
      </c>
      <c r="T47" s="59">
        <f t="shared" si="39"/>
        <v>14750055.696630657</v>
      </c>
      <c r="U47" s="59">
        <f t="shared" si="39"/>
        <v>14482493.327625141</v>
      </c>
      <c r="V47" s="59">
        <f t="shared" si="39"/>
        <v>14213568.671017498</v>
      </c>
      <c r="W47" s="59">
        <f t="shared" si="39"/>
        <v>19865115.696662214</v>
      </c>
      <c r="X47" s="59">
        <f t="shared" si="39"/>
        <v>11949485.880965106</v>
      </c>
      <c r="Y47" s="59">
        <f t="shared" si="39"/>
        <v>0</v>
      </c>
      <c r="Z47" s="59">
        <f t="shared" si="39"/>
        <v>0</v>
      </c>
      <c r="AA47" s="59">
        <f t="shared" si="39"/>
        <v>140106327.58211714</v>
      </c>
      <c r="AB47" s="118"/>
      <c r="AC47" s="59">
        <f>+AC43+AC44+AC45+AC46</f>
        <v>14824151.603250669</v>
      </c>
      <c r="AD47" s="59">
        <f t="shared" ref="AD47:AO47" si="40">+AD43+AD44+AD45+AD46</f>
        <v>14409272.27791818</v>
      </c>
      <c r="AE47" s="59">
        <f t="shared" si="40"/>
        <v>21670178.945607919</v>
      </c>
      <c r="AF47" s="59">
        <f t="shared" si="40"/>
        <v>12170218.27089842</v>
      </c>
      <c r="AG47" s="59">
        <f t="shared" si="40"/>
        <v>14259733.93628891</v>
      </c>
      <c r="AH47" s="59">
        <f t="shared" si="40"/>
        <v>21596563.615391418</v>
      </c>
      <c r="AI47" s="59">
        <f t="shared" si="40"/>
        <v>15668368.871043671</v>
      </c>
      <c r="AJ47" s="59">
        <f t="shared" si="40"/>
        <v>16071023.550003167</v>
      </c>
      <c r="AK47" s="59">
        <f t="shared" si="40"/>
        <v>23614722.735279921</v>
      </c>
      <c r="AL47" s="59">
        <f t="shared" si="40"/>
        <v>13507378.571876001</v>
      </c>
      <c r="AM47" s="59">
        <f t="shared" si="40"/>
        <v>12124833.752144018</v>
      </c>
      <c r="AN47" s="59">
        <f t="shared" si="40"/>
        <v>21728422.676029481</v>
      </c>
      <c r="AO47" s="59">
        <f t="shared" si="40"/>
        <v>201644868.80573183</v>
      </c>
    </row>
    <row r="48" spans="1:4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18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</row>
    <row r="49" spans="1:41" ht="17.25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5" t="s">
        <v>42</v>
      </c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18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</row>
    <row r="50" spans="1:41">
      <c r="A50" s="105">
        <f t="shared" ref="A50:L50" si="41">+AQ50+CG50+DW50</f>
        <v>0</v>
      </c>
      <c r="B50" s="105">
        <f t="shared" si="41"/>
        <v>0</v>
      </c>
      <c r="C50" s="105">
        <f t="shared" si="41"/>
        <v>0</v>
      </c>
      <c r="D50" s="105">
        <f t="shared" si="41"/>
        <v>0</v>
      </c>
      <c r="E50" s="105">
        <f t="shared" si="41"/>
        <v>0</v>
      </c>
      <c r="F50" s="105">
        <f t="shared" si="41"/>
        <v>0</v>
      </c>
      <c r="G50" s="105">
        <f t="shared" si="41"/>
        <v>0</v>
      </c>
      <c r="H50" s="105">
        <f t="shared" si="41"/>
        <v>0</v>
      </c>
      <c r="I50" s="105">
        <f t="shared" si="41"/>
        <v>0</v>
      </c>
      <c r="J50" s="105">
        <f t="shared" si="41"/>
        <v>0</v>
      </c>
      <c r="K50" s="105">
        <f t="shared" si="41"/>
        <v>0</v>
      </c>
      <c r="L50" s="105">
        <f t="shared" si="41"/>
        <v>0</v>
      </c>
      <c r="M50" s="105">
        <f t="shared" ref="M50:M56" si="42">+SUM(A50:L50)</f>
        <v>0</v>
      </c>
      <c r="N50" s="13" t="s">
        <v>3</v>
      </c>
      <c r="O50" s="105">
        <f>+'NEW CAR'!O50+'GT-SERV'!O50+ACCESS!O50</f>
        <v>0</v>
      </c>
      <c r="P50" s="105">
        <f>+'NEW CAR'!P50+'GT-SERV'!P50+ACCESS!P50</f>
        <v>0</v>
      </c>
      <c r="Q50" s="105">
        <f>+'NEW CAR'!Q50+'GT-SERV'!Q50+ACCESS!Q50</f>
        <v>0</v>
      </c>
      <c r="R50" s="105">
        <f>+'NEW CAR'!R50+'GT-SERV'!R50+ACCESS!R50</f>
        <v>31</v>
      </c>
      <c r="S50" s="105">
        <f>+'NEW CAR'!S50+'GT-SERV'!S50+ACCESS!S50</f>
        <v>21</v>
      </c>
      <c r="T50" s="105">
        <f>+'NEW CAR'!T50+'GT-SERV'!T50+ACCESS!T50</f>
        <v>0</v>
      </c>
      <c r="U50" s="105">
        <f>+'NEW CAR'!U50+'GT-SERV'!U50+ACCESS!U50</f>
        <v>19</v>
      </c>
      <c r="V50" s="105">
        <f>+'NEW CAR'!V50+'GT-SERV'!V50+ACCESS!V50</f>
        <v>41</v>
      </c>
      <c r="W50" s="105">
        <f>+'NEW CAR'!W50+'GT-SERV'!W50+ACCESS!W50</f>
        <v>21</v>
      </c>
      <c r="X50" s="105">
        <f>+'NEW CAR'!X50+'GT-SERV'!X50+ACCESS!X50</f>
        <v>31</v>
      </c>
      <c r="Y50" s="105">
        <f>+'NEW CAR'!Y50+'GT-SERV'!Y50+ACCESS!Y50</f>
        <v>0</v>
      </c>
      <c r="Z50" s="105">
        <f>+'NEW CAR'!Z50+'GT-SERV'!Z50+ACCESS!Z50</f>
        <v>0</v>
      </c>
      <c r="AA50" s="105">
        <f t="shared" ref="AA50:AA53" si="43">+SUM(O50:Z50)</f>
        <v>164</v>
      </c>
      <c r="AB50" s="118"/>
      <c r="AC50" s="105">
        <f>+'NEW CAR'!AC50+'GT-SERV'!AC50+ACCESS!AC50</f>
        <v>29</v>
      </c>
      <c r="AD50" s="105">
        <f>+'NEW CAR'!AD50+'GT-SERV'!AD50+ACCESS!AD50</f>
        <v>29</v>
      </c>
      <c r="AE50" s="105">
        <f>+'NEW CAR'!AE50+'GT-SERV'!AE50+ACCESS!AE50</f>
        <v>37</v>
      </c>
      <c r="AF50" s="105">
        <f>+'NEW CAR'!AF50+'GT-SERV'!AF50+ACCESS!AF50</f>
        <v>30</v>
      </c>
      <c r="AG50" s="105">
        <f>+'NEW CAR'!AG50+'GT-SERV'!AG50+ACCESS!AG50</f>
        <v>32</v>
      </c>
      <c r="AH50" s="105">
        <f>+'NEW CAR'!AH50+'GT-SERV'!AH50+ACCESS!AH50</f>
        <v>28</v>
      </c>
      <c r="AI50" s="105">
        <f>+'NEW CAR'!AI50+'GT-SERV'!AI50+ACCESS!AI50</f>
        <v>29</v>
      </c>
      <c r="AJ50" s="105">
        <f>+'NEW CAR'!AJ50+'GT-SERV'!AJ50+ACCESS!AJ50</f>
        <v>34</v>
      </c>
      <c r="AK50" s="105">
        <f>+'NEW CAR'!AK50+'GT-SERV'!AK50+ACCESS!AK50</f>
        <v>34</v>
      </c>
      <c r="AL50" s="105">
        <f>+'NEW CAR'!AL50+'GT-SERV'!AL50+ACCESS!AL50</f>
        <v>30</v>
      </c>
      <c r="AM50" s="105">
        <f>+'NEW CAR'!AM50+'GT-SERV'!AM50+ACCESS!AM50</f>
        <v>28</v>
      </c>
      <c r="AN50" s="105">
        <f>+'NEW CAR'!AN50+'GT-SERV'!AN50+ACCESS!AN50</f>
        <v>37</v>
      </c>
      <c r="AO50" s="105">
        <f t="shared" ref="AO50:AO53" si="44">+SUM(AC50:AN50)</f>
        <v>377</v>
      </c>
    </row>
    <row r="51" spans="1:41">
      <c r="A51" s="106">
        <f>+'NEW CAR'!A51+'GT-SERV'!A51+ACCESS!A51</f>
        <v>579288.68000000005</v>
      </c>
      <c r="B51" s="106">
        <f>+'NEW CAR'!B51+'GT-SERV'!B51+ACCESS!B51</f>
        <v>557109.21</v>
      </c>
      <c r="C51" s="106">
        <f>+'NEW CAR'!C51+'GT-SERV'!C51+ACCESS!C51</f>
        <v>998189.84000000008</v>
      </c>
      <c r="D51" s="106">
        <f>+'NEW CAR'!D51+'GT-SERV'!D51+ACCESS!D51</f>
        <v>295455.19999999995</v>
      </c>
      <c r="E51" s="106">
        <f>+'NEW CAR'!E51+'GT-SERV'!E51+ACCESS!E51</f>
        <v>675345.37000000011</v>
      </c>
      <c r="F51" s="106">
        <f>+'NEW CAR'!F51+'GT-SERV'!F51+ACCESS!F51</f>
        <v>607422.36</v>
      </c>
      <c r="G51" s="106">
        <f>+'NEW CAR'!G51+'GT-SERV'!G51+ACCESS!G51</f>
        <v>485713.71</v>
      </c>
      <c r="H51" s="106">
        <f>+'NEW CAR'!H51+'GT-SERV'!H51+ACCESS!H51</f>
        <v>825881.36999999988</v>
      </c>
      <c r="I51" s="106">
        <f>+'NEW CAR'!I51+'GT-SERV'!I51+ACCESS!I51</f>
        <v>294433.08</v>
      </c>
      <c r="J51" s="106">
        <f>+'NEW CAR'!J51+'GT-SERV'!J51+ACCESS!J51</f>
        <v>810994.5</v>
      </c>
      <c r="K51" s="106">
        <f>+'NEW CAR'!K51+'GT-SERV'!K51+ACCESS!K51</f>
        <v>909540.76</v>
      </c>
      <c r="L51" s="106">
        <f>+'NEW CAR'!L51+'GT-SERV'!L51+ACCESS!L51</f>
        <v>897583.41999999993</v>
      </c>
      <c r="M51" s="106">
        <f t="shared" si="42"/>
        <v>7936957.5000000009</v>
      </c>
      <c r="N51" s="7" t="s">
        <v>43</v>
      </c>
      <c r="O51" s="106">
        <f>+'NEW CAR'!O51+'GT-SERV'!O51+ACCESS!O51</f>
        <v>537519.81999999995</v>
      </c>
      <c r="P51" s="106">
        <f>+'NEW CAR'!P51+'GT-SERV'!P51+ACCESS!P51</f>
        <v>353716.83</v>
      </c>
      <c r="Q51" s="106">
        <f>+'NEW CAR'!Q51+'GT-SERV'!Q51+ACCESS!Q51</f>
        <v>574947.85000000009</v>
      </c>
      <c r="R51" s="106">
        <f>+'NEW CAR'!R51+'GT-SERV'!R51+ACCESS!R51</f>
        <v>914308.94999999984</v>
      </c>
      <c r="S51" s="106">
        <f>+'NEW CAR'!S51+'GT-SERV'!S51+ACCESS!S51</f>
        <v>745378.10000000009</v>
      </c>
      <c r="T51" s="106">
        <f>+'NEW CAR'!T51+'GT-SERV'!T51+ACCESS!T51</f>
        <v>330686.83999999997</v>
      </c>
      <c r="U51" s="106">
        <f>+'NEW CAR'!U51+'GT-SERV'!U51+ACCESS!U51</f>
        <v>637330.07000000007</v>
      </c>
      <c r="V51" s="106">
        <f>+'NEW CAR'!V51+'GT-SERV'!V51+ACCESS!V51</f>
        <v>1041501.5700000001</v>
      </c>
      <c r="W51" s="106">
        <f>+'NEW CAR'!W51+'GT-SERV'!W51+ACCESS!W51</f>
        <v>861624.07000000007</v>
      </c>
      <c r="X51" s="106">
        <f>+'NEW CAR'!X51+'GT-SERV'!X51+ACCESS!X51</f>
        <v>684490.8</v>
      </c>
      <c r="Y51" s="106">
        <f>+'NEW CAR'!Y51+'GT-SERV'!Y51+ACCESS!Y51</f>
        <v>0</v>
      </c>
      <c r="Z51" s="106">
        <f>+'NEW CAR'!Z51+'GT-SERV'!Z51+ACCESS!Z51</f>
        <v>0</v>
      </c>
      <c r="AA51" s="106">
        <f t="shared" si="43"/>
        <v>6681504.9000000004</v>
      </c>
      <c r="AB51" s="118"/>
      <c r="AC51" s="106">
        <f>+'NEW CAR'!AC51+'GT-SERV'!AC51+ACCESS!AC51</f>
        <v>899000</v>
      </c>
      <c r="AD51" s="106">
        <f>+'NEW CAR'!AD51+'GT-SERV'!AD51+ACCESS!AD51</f>
        <v>899000</v>
      </c>
      <c r="AE51" s="106">
        <f>+'NEW CAR'!AE51+'GT-SERV'!AE51+ACCESS!AE51</f>
        <v>1147000</v>
      </c>
      <c r="AF51" s="106">
        <f>+'NEW CAR'!AF51+'GT-SERV'!AF51+ACCESS!AF51</f>
        <v>930000</v>
      </c>
      <c r="AG51" s="106">
        <f>+'NEW CAR'!AG51+'GT-SERV'!AG51+ACCESS!AG51</f>
        <v>992000</v>
      </c>
      <c r="AH51" s="106">
        <f>+'NEW CAR'!AH51+'GT-SERV'!AH51+ACCESS!AH51</f>
        <v>868000</v>
      </c>
      <c r="AI51" s="106">
        <f>+'NEW CAR'!AI51+'GT-SERV'!AI51+ACCESS!AI51</f>
        <v>899000</v>
      </c>
      <c r="AJ51" s="106">
        <f>+'NEW CAR'!AJ51+'GT-SERV'!AJ51+ACCESS!AJ51</f>
        <v>1054000</v>
      </c>
      <c r="AK51" s="106">
        <f>+'NEW CAR'!AK51+'GT-SERV'!AK51+ACCESS!AK51</f>
        <v>1054000</v>
      </c>
      <c r="AL51" s="106">
        <f>+'NEW CAR'!AL51+'GT-SERV'!AL51+ACCESS!AL51</f>
        <v>930000</v>
      </c>
      <c r="AM51" s="106">
        <f>+'NEW CAR'!AM51+'GT-SERV'!AM51+ACCESS!AM51</f>
        <v>868000</v>
      </c>
      <c r="AN51" s="106">
        <f>+'NEW CAR'!AN51+'GT-SERV'!AN51+ACCESS!AN51</f>
        <v>1147000</v>
      </c>
      <c r="AO51" s="106">
        <f t="shared" si="44"/>
        <v>11687000</v>
      </c>
    </row>
    <row r="52" spans="1:41">
      <c r="A52" s="106">
        <f>+'NEW CAR'!A52+'GT-SERV'!A52+ACCESS!A52</f>
        <v>13908.239999999998</v>
      </c>
      <c r="B52" s="106">
        <f>+'NEW CAR'!B52+'GT-SERV'!B52+ACCESS!B52</f>
        <v>255183.2</v>
      </c>
      <c r="C52" s="106">
        <f>+'NEW CAR'!C52+'GT-SERV'!C52+ACCESS!C52</f>
        <v>304342.21000000002</v>
      </c>
      <c r="D52" s="106">
        <f>+'NEW CAR'!D52+'GT-SERV'!D52+ACCESS!D52</f>
        <v>41637.470000000008</v>
      </c>
      <c r="E52" s="106">
        <f>+'NEW CAR'!E52+'GT-SERV'!E52+ACCESS!E52</f>
        <v>208236.91999999998</v>
      </c>
      <c r="F52" s="106">
        <f>+'NEW CAR'!F52+'GT-SERV'!F52+ACCESS!F52</f>
        <v>53978.639999999985</v>
      </c>
      <c r="G52" s="106">
        <f>+'NEW CAR'!G52+'GT-SERV'!G52+ACCESS!G52</f>
        <v>67370.159999999974</v>
      </c>
      <c r="H52" s="106">
        <f>+'NEW CAR'!H52+'GT-SERV'!H52+ACCESS!H52</f>
        <v>50776.319999999992</v>
      </c>
      <c r="I52" s="106">
        <f>+'NEW CAR'!I52+'GT-SERV'!I52+ACCESS!I52</f>
        <v>9065.8100000000268</v>
      </c>
      <c r="J52" s="106">
        <f>+'NEW CAR'!J52+'GT-SERV'!J52+ACCESS!J52</f>
        <v>108025.12</v>
      </c>
      <c r="K52" s="106">
        <f>+'NEW CAR'!K52+'GT-SERV'!K52+ACCESS!K52</f>
        <v>145835.81999999998</v>
      </c>
      <c r="L52" s="106">
        <f>+'NEW CAR'!L52+'GT-SERV'!L52+ACCESS!L52</f>
        <v>220387.21</v>
      </c>
      <c r="M52" s="106">
        <f t="shared" si="42"/>
        <v>1478747.12</v>
      </c>
      <c r="N52" s="10" t="s">
        <v>30</v>
      </c>
      <c r="O52" s="106">
        <f>+'NEW CAR'!O52+'GT-SERV'!O52+ACCESS!O52</f>
        <v>729529.98</v>
      </c>
      <c r="P52" s="106">
        <f>+'NEW CAR'!P52+'GT-SERV'!P52+ACCESS!P52</f>
        <v>119772.86</v>
      </c>
      <c r="Q52" s="106">
        <f>+'NEW CAR'!Q52+'GT-SERV'!Q52+ACCESS!Q52</f>
        <v>229074.01</v>
      </c>
      <c r="R52" s="106">
        <f>+'NEW CAR'!R52+'GT-SERV'!R52+ACCESS!R52</f>
        <v>301669.91000000003</v>
      </c>
      <c r="S52" s="106">
        <f>+'NEW CAR'!S52+'GT-SERV'!S52+ACCESS!S52</f>
        <v>428414.25000000017</v>
      </c>
      <c r="T52" s="106">
        <f>+'NEW CAR'!T52+'GT-SERV'!T52+ACCESS!T52</f>
        <v>635653.13000000012</v>
      </c>
      <c r="U52" s="106">
        <f>+'NEW CAR'!U52+'GT-SERV'!U52+ACCESS!U52</f>
        <v>238973.98</v>
      </c>
      <c r="V52" s="106">
        <f>+'NEW CAR'!V52+'GT-SERV'!V52+ACCESS!V52</f>
        <v>339616.55000000005</v>
      </c>
      <c r="W52" s="106">
        <f>+'NEW CAR'!W52+'GT-SERV'!W52+ACCESS!W52</f>
        <v>558406.17999999993</v>
      </c>
      <c r="X52" s="106">
        <f>+'NEW CAR'!X52+'GT-SERV'!X52+ACCESS!X52</f>
        <v>459546.06</v>
      </c>
      <c r="Y52" s="106">
        <f>+'NEW CAR'!Y52+'GT-SERV'!Y52+ACCESS!Y52</f>
        <v>0</v>
      </c>
      <c r="Z52" s="106">
        <f>+'NEW CAR'!Z52+'GT-SERV'!Z52+ACCESS!Z52</f>
        <v>0</v>
      </c>
      <c r="AA52" s="106">
        <f t="shared" si="43"/>
        <v>4040656.9100000006</v>
      </c>
      <c r="AB52" s="118"/>
      <c r="AC52" s="106">
        <f>+'NEW CAR'!AC52+'GT-SERV'!AC52+ACCESS!AC52</f>
        <v>0</v>
      </c>
      <c r="AD52" s="106">
        <f>+'NEW CAR'!AD52+'GT-SERV'!AD52+ACCESS!AD52</f>
        <v>0</v>
      </c>
      <c r="AE52" s="106">
        <f>+'NEW CAR'!AE52+'GT-SERV'!AE52+ACCESS!AE52</f>
        <v>0</v>
      </c>
      <c r="AF52" s="106">
        <f>+'NEW CAR'!AF52+'GT-SERV'!AF52+ACCESS!AF52</f>
        <v>0</v>
      </c>
      <c r="AG52" s="106">
        <f>+'NEW CAR'!AG52+'GT-SERV'!AG52+ACCESS!AG52</f>
        <v>0</v>
      </c>
      <c r="AH52" s="106">
        <f>+'NEW CAR'!AH52+'GT-SERV'!AH52+ACCESS!AH52</f>
        <v>0</v>
      </c>
      <c r="AI52" s="106">
        <f>+'NEW CAR'!AI52+'GT-SERV'!AI52+ACCESS!AI52</f>
        <v>0</v>
      </c>
      <c r="AJ52" s="106">
        <f>+'NEW CAR'!AJ52+'GT-SERV'!AJ52+ACCESS!AJ52</f>
        <v>0</v>
      </c>
      <c r="AK52" s="106">
        <f>+'NEW CAR'!AK52+'GT-SERV'!AK52+ACCESS!AK52</f>
        <v>0</v>
      </c>
      <c r="AL52" s="106">
        <f>+'NEW CAR'!AL52+'GT-SERV'!AL52+ACCESS!AL52</f>
        <v>0</v>
      </c>
      <c r="AM52" s="106">
        <f>+'NEW CAR'!AM52+'GT-SERV'!AM52+ACCESS!AM52</f>
        <v>0</v>
      </c>
      <c r="AN52" s="106">
        <f>+'NEW CAR'!AN52+'GT-SERV'!AN52+ACCESS!AN52</f>
        <v>0</v>
      </c>
      <c r="AO52" s="106">
        <f t="shared" si="44"/>
        <v>0</v>
      </c>
    </row>
    <row r="53" spans="1:41">
      <c r="A53" s="106">
        <f>+'NEW CAR'!A53+'GT-SERV'!A53+ACCESS!A53</f>
        <v>537290.52000000014</v>
      </c>
      <c r="B53" s="106">
        <f>+'NEW CAR'!B53+'GT-SERV'!B53+ACCESS!B53</f>
        <v>733998.25000000012</v>
      </c>
      <c r="C53" s="106">
        <f>+'NEW CAR'!C53+'GT-SERV'!C53+ACCESS!C53</f>
        <v>1164235.7099999997</v>
      </c>
      <c r="D53" s="106">
        <f>+'NEW CAR'!D53+'GT-SERV'!D53+ACCESS!D53</f>
        <v>308866.75</v>
      </c>
      <c r="E53" s="106">
        <f>+'NEW CAR'!E53+'GT-SERV'!E53+ACCESS!E53</f>
        <v>793882.54999999993</v>
      </c>
      <c r="F53" s="106">
        <f>+'NEW CAR'!F53+'GT-SERV'!F53+ACCESS!F53</f>
        <v>632780.37</v>
      </c>
      <c r="G53" s="106">
        <f>+'NEW CAR'!G53+'GT-SERV'!G53+ACCESS!G53</f>
        <v>492774.72999999952</v>
      </c>
      <c r="H53" s="106">
        <f>+'NEW CAR'!H53+'GT-SERV'!H53+ACCESS!H53</f>
        <v>766043.90000000014</v>
      </c>
      <c r="I53" s="106">
        <f>+'NEW CAR'!I53+'GT-SERV'!I53+ACCESS!I53</f>
        <v>253899.23000000007</v>
      </c>
      <c r="J53" s="106">
        <f>+'NEW CAR'!J53+'GT-SERV'!J53+ACCESS!J53</f>
        <v>844330.87000000023</v>
      </c>
      <c r="K53" s="106">
        <f>+'NEW CAR'!K53+'GT-SERV'!K53+ACCESS!K53</f>
        <v>912366.72000000009</v>
      </c>
      <c r="L53" s="106">
        <f>+'NEW CAR'!L53+'GT-SERV'!L53+ACCESS!L53</f>
        <v>1033312.1800000004</v>
      </c>
      <c r="M53" s="106">
        <f t="shared" si="42"/>
        <v>8473781.7799999993</v>
      </c>
      <c r="N53" s="10" t="s">
        <v>33</v>
      </c>
      <c r="O53" s="106">
        <f>+'NEW CAR'!O53+'GT-SERV'!O53+ACCESS!O53</f>
        <v>1190830.9499999997</v>
      </c>
      <c r="P53" s="106">
        <f>+'NEW CAR'!P53+'GT-SERV'!P53+ACCESS!P53</f>
        <v>386727.21999999986</v>
      </c>
      <c r="Q53" s="106">
        <f>+'NEW CAR'!Q53+'GT-SERV'!Q53+ACCESS!Q53</f>
        <v>640021.45000000019</v>
      </c>
      <c r="R53" s="106">
        <f>+'NEW CAR'!R53+'GT-SERV'!R53+ACCESS!R53</f>
        <v>1028729.5599999996</v>
      </c>
      <c r="S53" s="106">
        <f>+'NEW CAR'!S53+'GT-SERV'!S53+ACCESS!S53</f>
        <v>1040817.6899999987</v>
      </c>
      <c r="T53" s="106">
        <f>+'NEW CAR'!T53+'GT-SERV'!T53+ACCESS!T53</f>
        <v>604803.42000000016</v>
      </c>
      <c r="U53" s="106">
        <f>+'NEW CAR'!U53+'GT-SERV'!U53+ACCESS!U53</f>
        <v>753109.54000000015</v>
      </c>
      <c r="V53" s="106">
        <f>+'NEW CAR'!V53+'GT-SERV'!V53+ACCESS!V53</f>
        <v>1219160.0799999984</v>
      </c>
      <c r="W53" s="106">
        <f>+'NEW CAR'!W53+'GT-SERV'!W53+ACCESS!W53</f>
        <v>1272691.5999999994</v>
      </c>
      <c r="X53" s="106">
        <f>+'NEW CAR'!X53+'GT-SERV'!X53+ACCESS!X53</f>
        <v>1060609.4700000002</v>
      </c>
      <c r="Y53" s="106">
        <f>+'NEW CAR'!Y53+'GT-SERV'!Y53+ACCESS!Y53</f>
        <v>0</v>
      </c>
      <c r="Z53" s="106">
        <f>+'NEW CAR'!Z53+'GT-SERV'!Z53+ACCESS!Z53</f>
        <v>0</v>
      </c>
      <c r="AA53" s="106">
        <f t="shared" si="43"/>
        <v>9197500.9799999967</v>
      </c>
      <c r="AB53" s="118"/>
      <c r="AC53" s="106">
        <f>+'NEW CAR'!AC53+'GT-SERV'!AC53+ACCESS!AC53</f>
        <v>764150</v>
      </c>
      <c r="AD53" s="106">
        <f>+'NEW CAR'!AD53+'GT-SERV'!AD53+ACCESS!AD53</f>
        <v>764150</v>
      </c>
      <c r="AE53" s="106">
        <f>+'NEW CAR'!AE53+'GT-SERV'!AE53+ACCESS!AE53</f>
        <v>974950</v>
      </c>
      <c r="AF53" s="106">
        <f>+'NEW CAR'!AF53+'GT-SERV'!AF53+ACCESS!AF53</f>
        <v>790500</v>
      </c>
      <c r="AG53" s="106">
        <f>+'NEW CAR'!AG53+'GT-SERV'!AG53+ACCESS!AG53</f>
        <v>843200</v>
      </c>
      <c r="AH53" s="106">
        <f>+'NEW CAR'!AH53+'GT-SERV'!AH53+ACCESS!AH53</f>
        <v>737800</v>
      </c>
      <c r="AI53" s="106">
        <f>+'NEW CAR'!AI53+'GT-SERV'!AI53+ACCESS!AI53</f>
        <v>764150</v>
      </c>
      <c r="AJ53" s="106">
        <f>+'NEW CAR'!AJ53+'GT-SERV'!AJ53+ACCESS!AJ53</f>
        <v>895900</v>
      </c>
      <c r="AK53" s="106">
        <f>+'NEW CAR'!AK53+'GT-SERV'!AK53+ACCESS!AK53</f>
        <v>895900</v>
      </c>
      <c r="AL53" s="106">
        <f>+'NEW CAR'!AL53+'GT-SERV'!AL53+ACCESS!AL53</f>
        <v>790500</v>
      </c>
      <c r="AM53" s="106">
        <f>+'NEW CAR'!AM53+'GT-SERV'!AM53+ACCESS!AM53</f>
        <v>737800</v>
      </c>
      <c r="AN53" s="106">
        <f>+'NEW CAR'!AN53+'GT-SERV'!AN53+ACCESS!AN53</f>
        <v>974950</v>
      </c>
      <c r="AO53" s="106">
        <f t="shared" si="44"/>
        <v>9933950</v>
      </c>
    </row>
    <row r="54" spans="1:41">
      <c r="A54" s="58">
        <f>+A51+A52-A53</f>
        <v>55906.399999999907</v>
      </c>
      <c r="B54" s="58">
        <f t="shared" ref="B54:M54" si="45">+B51+B52-B53</f>
        <v>78294.1599999998</v>
      </c>
      <c r="C54" s="58">
        <f t="shared" si="45"/>
        <v>138296.34000000032</v>
      </c>
      <c r="D54" s="58">
        <f t="shared" si="45"/>
        <v>28225.919999999984</v>
      </c>
      <c r="E54" s="58">
        <f t="shared" si="45"/>
        <v>89699.740000000107</v>
      </c>
      <c r="F54" s="58">
        <f t="shared" si="45"/>
        <v>28620.630000000005</v>
      </c>
      <c r="G54" s="58">
        <f t="shared" si="45"/>
        <v>60309.14000000048</v>
      </c>
      <c r="H54" s="58">
        <f t="shared" si="45"/>
        <v>110613.78999999969</v>
      </c>
      <c r="I54" s="58">
        <f t="shared" si="45"/>
        <v>49599.659999999945</v>
      </c>
      <c r="J54" s="58">
        <f t="shared" si="45"/>
        <v>74688.749999999767</v>
      </c>
      <c r="K54" s="58">
        <f t="shared" si="45"/>
        <v>143009.85999999999</v>
      </c>
      <c r="L54" s="58">
        <f t="shared" si="45"/>
        <v>84658.449999999488</v>
      </c>
      <c r="M54" s="58">
        <f t="shared" si="45"/>
        <v>941922.84000000171</v>
      </c>
      <c r="N54" s="10" t="s">
        <v>20</v>
      </c>
      <c r="O54" s="58">
        <f>+O51+O52-O53</f>
        <v>76218.850000000093</v>
      </c>
      <c r="P54" s="58">
        <f t="shared" ref="P54:AA54" si="46">+P51+P52-P53</f>
        <v>86762.470000000147</v>
      </c>
      <c r="Q54" s="58">
        <f t="shared" si="46"/>
        <v>164000.40999999992</v>
      </c>
      <c r="R54" s="58">
        <f t="shared" si="46"/>
        <v>187249.30000000028</v>
      </c>
      <c r="S54" s="58">
        <f t="shared" si="46"/>
        <v>132974.66000000166</v>
      </c>
      <c r="T54" s="58">
        <f t="shared" si="46"/>
        <v>361536.54999999993</v>
      </c>
      <c r="U54" s="58">
        <f t="shared" si="46"/>
        <v>123194.50999999989</v>
      </c>
      <c r="V54" s="58">
        <f t="shared" si="46"/>
        <v>161958.04000000167</v>
      </c>
      <c r="W54" s="58">
        <f t="shared" si="46"/>
        <v>147338.65000000061</v>
      </c>
      <c r="X54" s="58">
        <f t="shared" si="46"/>
        <v>83427.389999999898</v>
      </c>
      <c r="Y54" s="58">
        <f t="shared" si="46"/>
        <v>0</v>
      </c>
      <c r="Z54" s="58">
        <f t="shared" si="46"/>
        <v>0</v>
      </c>
      <c r="AA54" s="58">
        <f t="shared" si="46"/>
        <v>1524660.8300000038</v>
      </c>
      <c r="AB54" s="118"/>
      <c r="AC54" s="58">
        <f>+AC51+AC52-AC53</f>
        <v>134850</v>
      </c>
      <c r="AD54" s="58">
        <f t="shared" ref="AD54:AO54" si="47">+AD51+AD52-AD53</f>
        <v>134850</v>
      </c>
      <c r="AE54" s="58">
        <f t="shared" si="47"/>
        <v>172050</v>
      </c>
      <c r="AF54" s="58">
        <f t="shared" si="47"/>
        <v>139500</v>
      </c>
      <c r="AG54" s="58">
        <f t="shared" si="47"/>
        <v>148800</v>
      </c>
      <c r="AH54" s="58">
        <f t="shared" si="47"/>
        <v>130200</v>
      </c>
      <c r="AI54" s="58">
        <f t="shared" si="47"/>
        <v>134850</v>
      </c>
      <c r="AJ54" s="58">
        <f t="shared" si="47"/>
        <v>158100</v>
      </c>
      <c r="AK54" s="58">
        <f t="shared" si="47"/>
        <v>158100</v>
      </c>
      <c r="AL54" s="58">
        <f t="shared" si="47"/>
        <v>139500</v>
      </c>
      <c r="AM54" s="58">
        <f t="shared" si="47"/>
        <v>130200</v>
      </c>
      <c r="AN54" s="58">
        <f t="shared" si="47"/>
        <v>172050</v>
      </c>
      <c r="AO54" s="58">
        <f t="shared" si="47"/>
        <v>1753050</v>
      </c>
    </row>
    <row r="55" spans="1:41">
      <c r="A55" s="106">
        <f>+'NEW CAR'!A55+'GT-SERV'!A55+ACCESS!A55</f>
        <v>597630</v>
      </c>
      <c r="B55" s="106">
        <f>+'NEW CAR'!B55+'GT-SERV'!B55+ACCESS!B55</f>
        <v>687760</v>
      </c>
      <c r="C55" s="106">
        <f>+'NEW CAR'!C55+'GT-SERV'!C55+ACCESS!C55</f>
        <v>818899</v>
      </c>
      <c r="D55" s="106">
        <f>+'NEW CAR'!D55+'GT-SERV'!D55+ACCESS!D55</f>
        <v>680125</v>
      </c>
      <c r="E55" s="106">
        <f>+'NEW CAR'!E55+'GT-SERV'!E55+ACCESS!E55</f>
        <v>686480</v>
      </c>
      <c r="F55" s="106">
        <f>+'NEW CAR'!F55+'GT-SERV'!F55+ACCESS!F55</f>
        <v>898397.5</v>
      </c>
      <c r="G55" s="106">
        <f>+'NEW CAR'!G55+'GT-SERV'!G55+ACCESS!G55</f>
        <v>852003.2</v>
      </c>
      <c r="H55" s="106">
        <f>+'NEW CAR'!H55+'GT-SERV'!H55+ACCESS!H55</f>
        <v>813696</v>
      </c>
      <c r="I55" s="106">
        <f>+'NEW CAR'!I55+'GT-SERV'!I55+ACCESS!I55</f>
        <v>670096.84000000008</v>
      </c>
      <c r="J55" s="106">
        <f>+'NEW CAR'!J55+'GT-SERV'!J55+ACCESS!J55</f>
        <v>809714</v>
      </c>
      <c r="K55" s="106">
        <f>+'NEW CAR'!K55+'GT-SERV'!K55+ACCESS!K55</f>
        <v>896772</v>
      </c>
      <c r="L55" s="106">
        <f>+'NEW CAR'!L55+'GT-SERV'!L55+ACCESS!L55</f>
        <v>1092420</v>
      </c>
      <c r="M55" s="106">
        <f t="shared" si="42"/>
        <v>9503993.5399999991</v>
      </c>
      <c r="N55" s="7" t="s">
        <v>44</v>
      </c>
      <c r="O55" s="106">
        <f>+'NEW CAR'!O55+'GT-SERV'!O55+ACCESS!O55</f>
        <v>944368</v>
      </c>
      <c r="P55" s="106">
        <f>+'NEW CAR'!P55+'GT-SERV'!P55+ACCESS!P55</f>
        <v>656269</v>
      </c>
      <c r="Q55" s="106">
        <f>+'NEW CAR'!Q55+'GT-SERV'!Q55+ACCESS!Q55</f>
        <v>633980</v>
      </c>
      <c r="R55" s="106">
        <f>+'NEW CAR'!R55+'GT-SERV'!R55+ACCESS!R55</f>
        <v>666741</v>
      </c>
      <c r="S55" s="106">
        <f>+'NEW CAR'!S55+'GT-SERV'!S55+ACCESS!S55</f>
        <v>1012901</v>
      </c>
      <c r="T55" s="106">
        <f>+'NEW CAR'!T55+'GT-SERV'!T55+ACCESS!T55</f>
        <v>705618</v>
      </c>
      <c r="U55" s="106">
        <f>+'NEW CAR'!U55+'GT-SERV'!U55+ACCESS!U55</f>
        <v>1182564</v>
      </c>
      <c r="V55" s="106">
        <f>+'NEW CAR'!V55+'GT-SERV'!V55+ACCESS!V55</f>
        <v>774247</v>
      </c>
      <c r="W55" s="106">
        <f>+'NEW CAR'!W55+'GT-SERV'!W55+ACCESS!W55</f>
        <v>599685</v>
      </c>
      <c r="X55" s="106">
        <f>+'NEW CAR'!X55+'GT-SERV'!X55+ACCESS!X55</f>
        <v>1515434</v>
      </c>
      <c r="Y55" s="106">
        <f>+'NEW CAR'!Y55+'GT-SERV'!Y55+ACCESS!Y55</f>
        <v>0</v>
      </c>
      <c r="Z55" s="106">
        <f>+'NEW CAR'!Z55+'GT-SERV'!Z55+ACCESS!Z55</f>
        <v>0</v>
      </c>
      <c r="AA55" s="106">
        <f t="shared" ref="AA55:AA56" si="48">+SUM(O55:Z55)</f>
        <v>8691807</v>
      </c>
      <c r="AB55" s="118"/>
      <c r="AC55" s="106">
        <f>+'NEW CAR'!AC55+'GT-SERV'!AC55+ACCESS!AC55</f>
        <v>1100000</v>
      </c>
      <c r="AD55" s="106">
        <f>+'NEW CAR'!AD55+'GT-SERV'!AD55+ACCESS!AD55</f>
        <v>978000</v>
      </c>
      <c r="AE55" s="106">
        <f>+'NEW CAR'!AE55+'GT-SERV'!AE55+ACCESS!AE55</f>
        <v>1136000</v>
      </c>
      <c r="AF55" s="106">
        <f>+'NEW CAR'!AF55+'GT-SERV'!AF55+ACCESS!AF55</f>
        <v>1092000</v>
      </c>
      <c r="AG55" s="106">
        <f>+'NEW CAR'!AG55+'GT-SERV'!AG55+ACCESS!AG55</f>
        <v>924800</v>
      </c>
      <c r="AH55" s="106">
        <f>+'NEW CAR'!AH55+'GT-SERV'!AH55+ACCESS!AH55</f>
        <v>1059200</v>
      </c>
      <c r="AI55" s="106">
        <f>+'NEW CAR'!AI55+'GT-SERV'!AI55+ACCESS!AI55</f>
        <v>1075600</v>
      </c>
      <c r="AJ55" s="106">
        <f>+'NEW CAR'!AJ55+'GT-SERV'!AJ55+ACCESS!AJ55</f>
        <v>957600</v>
      </c>
      <c r="AK55" s="106">
        <f>+'NEW CAR'!AK55+'GT-SERV'!AK55+ACCESS!AK55</f>
        <v>957600</v>
      </c>
      <c r="AL55" s="106">
        <f>+'NEW CAR'!AL55+'GT-SERV'!AL55+ACCESS!AL55</f>
        <v>892000</v>
      </c>
      <c r="AM55" s="106">
        <f>+'NEW CAR'!AM55+'GT-SERV'!AM55+ACCESS!AM55</f>
        <v>1059200</v>
      </c>
      <c r="AN55" s="106">
        <f>+'NEW CAR'!AN55+'GT-SERV'!AN55+ACCESS!AN55</f>
        <v>1006800</v>
      </c>
      <c r="AO55" s="106">
        <f t="shared" ref="AO55:AO56" si="49">+SUM(AC55:AN55)</f>
        <v>12238800</v>
      </c>
    </row>
    <row r="56" spans="1:41">
      <c r="A56" s="106">
        <f>+'NEW CAR'!A56+'GT-SERV'!A56+ACCESS!A56</f>
        <v>314132.5</v>
      </c>
      <c r="B56" s="106">
        <f>+'NEW CAR'!B56+'GT-SERV'!B56+ACCESS!B56</f>
        <v>409630</v>
      </c>
      <c r="C56" s="106">
        <f>+'NEW CAR'!C56+'GT-SERV'!C56+ACCESS!C56</f>
        <v>522039</v>
      </c>
      <c r="D56" s="106">
        <f>+'NEW CAR'!D56+'GT-SERV'!D56+ACCESS!D56</f>
        <v>452758.75</v>
      </c>
      <c r="E56" s="106">
        <f>+'NEW CAR'!E56+'GT-SERV'!E56+ACCESS!E56</f>
        <v>366087.5</v>
      </c>
      <c r="F56" s="106">
        <f>+'NEW CAR'!F56+'GT-SERV'!F56+ACCESS!F56</f>
        <v>449198.75</v>
      </c>
      <c r="G56" s="106">
        <f>+'NEW CAR'!G56+'GT-SERV'!G56+ACCESS!G56</f>
        <v>426001.6</v>
      </c>
      <c r="H56" s="106">
        <f>+'NEW CAR'!H56+'GT-SERV'!H56+ACCESS!H56</f>
        <v>406848</v>
      </c>
      <c r="I56" s="106">
        <f>+'NEW CAR'!I56+'GT-SERV'!I56+ACCESS!I56</f>
        <v>335048.42000000004</v>
      </c>
      <c r="J56" s="106">
        <f>+'NEW CAR'!J56+'GT-SERV'!J56+ACCESS!J56</f>
        <v>404857</v>
      </c>
      <c r="K56" s="106">
        <f>+'NEW CAR'!K56+'GT-SERV'!K56+ACCESS!K56</f>
        <v>448386</v>
      </c>
      <c r="L56" s="106">
        <f>+'NEW CAR'!L56+'GT-SERV'!L56+ACCESS!L56</f>
        <v>348335</v>
      </c>
      <c r="M56" s="106">
        <f t="shared" si="42"/>
        <v>4883322.5199999996</v>
      </c>
      <c r="N56" s="10" t="s">
        <v>33</v>
      </c>
      <c r="O56" s="106">
        <f>+'NEW CAR'!O56+'GT-SERV'!O56+ACCESS!O56</f>
        <v>472184</v>
      </c>
      <c r="P56" s="106">
        <f>+'NEW CAR'!P56+'GT-SERV'!P56+ACCESS!P56</f>
        <v>328134.5</v>
      </c>
      <c r="Q56" s="106">
        <f>+'NEW CAR'!Q56+'GT-SERV'!Q56+ACCESS!Q56</f>
        <v>316990</v>
      </c>
      <c r="R56" s="106">
        <f>+'NEW CAR'!R56+'GT-SERV'!R56+ACCESS!R56</f>
        <v>333370.5</v>
      </c>
      <c r="S56" s="106">
        <f>+'NEW CAR'!S56+'GT-SERV'!S56+ACCESS!S56</f>
        <v>506450.5</v>
      </c>
      <c r="T56" s="106">
        <f>+'NEW CAR'!T56+'GT-SERV'!T56+ACCESS!T56</f>
        <v>352809</v>
      </c>
      <c r="U56" s="106">
        <f>+'NEW CAR'!U56+'GT-SERV'!U56+ACCESS!U56</f>
        <v>591282</v>
      </c>
      <c r="V56" s="106">
        <f>+'NEW CAR'!V56+'GT-SERV'!V56+ACCESS!V56</f>
        <v>387123.5</v>
      </c>
      <c r="W56" s="106">
        <f>+'NEW CAR'!W56+'GT-SERV'!W56+ACCESS!W56</f>
        <v>299842.5</v>
      </c>
      <c r="X56" s="106">
        <f>+'NEW CAR'!X56+'GT-SERV'!X56+ACCESS!X56</f>
        <v>757717</v>
      </c>
      <c r="Y56" s="106">
        <f>+'NEW CAR'!Y56+'GT-SERV'!Y56+ACCESS!Y56</f>
        <v>0</v>
      </c>
      <c r="Z56" s="106">
        <f>+'NEW CAR'!Z56+'GT-SERV'!Z56+ACCESS!Z56</f>
        <v>0</v>
      </c>
      <c r="AA56" s="106">
        <f t="shared" si="48"/>
        <v>4345903.5</v>
      </c>
      <c r="AB56" s="118"/>
      <c r="AC56" s="106">
        <f>+'NEW CAR'!AC56+'GT-SERV'!AC56+ACCESS!AC56</f>
        <v>550000</v>
      </c>
      <c r="AD56" s="106">
        <f>+'NEW CAR'!AD56+'GT-SERV'!AD56+ACCESS!AD56</f>
        <v>489000</v>
      </c>
      <c r="AE56" s="106">
        <f>+'NEW CAR'!AE56+'GT-SERV'!AE56+ACCESS!AE56</f>
        <v>568000</v>
      </c>
      <c r="AF56" s="106">
        <f>+'NEW CAR'!AF56+'GT-SERV'!AF56+ACCESS!AF56</f>
        <v>546000</v>
      </c>
      <c r="AG56" s="106">
        <f>+'NEW CAR'!AG56+'GT-SERV'!AG56+ACCESS!AG56</f>
        <v>462400</v>
      </c>
      <c r="AH56" s="106">
        <f>+'NEW CAR'!AH56+'GT-SERV'!AH56+ACCESS!AH56</f>
        <v>529600</v>
      </c>
      <c r="AI56" s="106">
        <f>+'NEW CAR'!AI56+'GT-SERV'!AI56+ACCESS!AI56</f>
        <v>537800</v>
      </c>
      <c r="AJ56" s="106">
        <f>+'NEW CAR'!AJ56+'GT-SERV'!AJ56+ACCESS!AJ56</f>
        <v>478800</v>
      </c>
      <c r="AK56" s="106">
        <f>+'NEW CAR'!AK56+'GT-SERV'!AK56+ACCESS!AK56</f>
        <v>478800</v>
      </c>
      <c r="AL56" s="106">
        <f>+'NEW CAR'!AL56+'GT-SERV'!AL56+ACCESS!AL56</f>
        <v>446000</v>
      </c>
      <c r="AM56" s="106">
        <f>+'NEW CAR'!AM56+'GT-SERV'!AM56+ACCESS!AM56</f>
        <v>529600</v>
      </c>
      <c r="AN56" s="106">
        <f>+'NEW CAR'!AN56+'GT-SERV'!AN56+ACCESS!AN56</f>
        <v>503400</v>
      </c>
      <c r="AO56" s="106">
        <f t="shared" si="49"/>
        <v>6119400</v>
      </c>
    </row>
    <row r="57" spans="1:41">
      <c r="A57" s="58">
        <f>+A55-A56</f>
        <v>283497.5</v>
      </c>
      <c r="B57" s="58">
        <f t="shared" ref="B57:M57" si="50">+B55-B56</f>
        <v>278130</v>
      </c>
      <c r="C57" s="58">
        <f t="shared" si="50"/>
        <v>296860</v>
      </c>
      <c r="D57" s="58">
        <f t="shared" si="50"/>
        <v>227366.25</v>
      </c>
      <c r="E57" s="58">
        <f t="shared" si="50"/>
        <v>320392.5</v>
      </c>
      <c r="F57" s="58">
        <f t="shared" si="50"/>
        <v>449198.75</v>
      </c>
      <c r="G57" s="58">
        <f t="shared" si="50"/>
        <v>426001.6</v>
      </c>
      <c r="H57" s="58">
        <f t="shared" si="50"/>
        <v>406848</v>
      </c>
      <c r="I57" s="58">
        <f t="shared" si="50"/>
        <v>335048.42000000004</v>
      </c>
      <c r="J57" s="58">
        <f t="shared" si="50"/>
        <v>404857</v>
      </c>
      <c r="K57" s="58">
        <f t="shared" si="50"/>
        <v>448386</v>
      </c>
      <c r="L57" s="58">
        <f t="shared" si="50"/>
        <v>744085</v>
      </c>
      <c r="M57" s="58">
        <f t="shared" si="50"/>
        <v>4620671.0199999996</v>
      </c>
      <c r="N57" s="10" t="s">
        <v>20</v>
      </c>
      <c r="O57" s="58">
        <f>+O55-O56</f>
        <v>472184</v>
      </c>
      <c r="P57" s="58">
        <f t="shared" ref="P57:AA57" si="51">+P55-P56</f>
        <v>328134.5</v>
      </c>
      <c r="Q57" s="58">
        <f t="shared" si="51"/>
        <v>316990</v>
      </c>
      <c r="R57" s="58">
        <f t="shared" si="51"/>
        <v>333370.5</v>
      </c>
      <c r="S57" s="58">
        <f t="shared" si="51"/>
        <v>506450.5</v>
      </c>
      <c r="T57" s="58">
        <f t="shared" si="51"/>
        <v>352809</v>
      </c>
      <c r="U57" s="58">
        <f t="shared" si="51"/>
        <v>591282</v>
      </c>
      <c r="V57" s="58">
        <f t="shared" si="51"/>
        <v>387123.5</v>
      </c>
      <c r="W57" s="58">
        <f t="shared" si="51"/>
        <v>299842.5</v>
      </c>
      <c r="X57" s="58">
        <f t="shared" si="51"/>
        <v>757717</v>
      </c>
      <c r="Y57" s="58">
        <f t="shared" si="51"/>
        <v>0</v>
      </c>
      <c r="Z57" s="58">
        <f t="shared" si="51"/>
        <v>0</v>
      </c>
      <c r="AA57" s="58">
        <f t="shared" si="51"/>
        <v>4345903.5</v>
      </c>
      <c r="AB57" s="118"/>
      <c r="AC57" s="58">
        <f>+AC55-AC56</f>
        <v>550000</v>
      </c>
      <c r="AD57" s="58">
        <f t="shared" ref="AD57:AO57" si="52">+AD55-AD56</f>
        <v>489000</v>
      </c>
      <c r="AE57" s="58">
        <f t="shared" si="52"/>
        <v>568000</v>
      </c>
      <c r="AF57" s="58">
        <f t="shared" si="52"/>
        <v>546000</v>
      </c>
      <c r="AG57" s="58">
        <f t="shared" si="52"/>
        <v>462400</v>
      </c>
      <c r="AH57" s="58">
        <f t="shared" si="52"/>
        <v>529600</v>
      </c>
      <c r="AI57" s="58">
        <f t="shared" si="52"/>
        <v>537800</v>
      </c>
      <c r="AJ57" s="58">
        <f t="shared" si="52"/>
        <v>478800</v>
      </c>
      <c r="AK57" s="58">
        <f t="shared" si="52"/>
        <v>478800</v>
      </c>
      <c r="AL57" s="58">
        <f t="shared" si="52"/>
        <v>446000</v>
      </c>
      <c r="AM57" s="58">
        <f t="shared" si="52"/>
        <v>529600</v>
      </c>
      <c r="AN57" s="58">
        <f t="shared" si="52"/>
        <v>503400</v>
      </c>
      <c r="AO57" s="58">
        <f t="shared" si="52"/>
        <v>6119400</v>
      </c>
    </row>
    <row r="58" spans="1:41">
      <c r="A58" s="58">
        <f>+A54+A57</f>
        <v>339403.89999999991</v>
      </c>
      <c r="B58" s="58">
        <f t="shared" ref="B58:M58" si="53">+B54+B57</f>
        <v>356424.1599999998</v>
      </c>
      <c r="C58" s="58">
        <f t="shared" si="53"/>
        <v>435156.34000000032</v>
      </c>
      <c r="D58" s="58">
        <f t="shared" si="53"/>
        <v>255592.16999999998</v>
      </c>
      <c r="E58" s="58">
        <f t="shared" si="53"/>
        <v>410092.24000000011</v>
      </c>
      <c r="F58" s="58">
        <f t="shared" si="53"/>
        <v>477819.38</v>
      </c>
      <c r="G58" s="58">
        <f t="shared" si="53"/>
        <v>486310.74000000046</v>
      </c>
      <c r="H58" s="58">
        <f t="shared" si="53"/>
        <v>517461.78999999969</v>
      </c>
      <c r="I58" s="58">
        <f t="shared" si="53"/>
        <v>384648.07999999996</v>
      </c>
      <c r="J58" s="58">
        <f t="shared" si="53"/>
        <v>479545.74999999977</v>
      </c>
      <c r="K58" s="58">
        <f t="shared" si="53"/>
        <v>591395.86</v>
      </c>
      <c r="L58" s="58">
        <f t="shared" si="53"/>
        <v>828743.44999999949</v>
      </c>
      <c r="M58" s="58">
        <f t="shared" si="53"/>
        <v>5562593.8600000013</v>
      </c>
      <c r="N58" s="10" t="s">
        <v>45</v>
      </c>
      <c r="O58" s="58">
        <f>+O54+O57</f>
        <v>548402.85000000009</v>
      </c>
      <c r="P58" s="58">
        <f t="shared" ref="P58:AA58" si="54">+P54+P57</f>
        <v>414896.97000000015</v>
      </c>
      <c r="Q58" s="58">
        <f t="shared" si="54"/>
        <v>480990.40999999992</v>
      </c>
      <c r="R58" s="58">
        <f t="shared" si="54"/>
        <v>520619.80000000028</v>
      </c>
      <c r="S58" s="58">
        <f t="shared" si="54"/>
        <v>639425.16000000166</v>
      </c>
      <c r="T58" s="58">
        <f t="shared" si="54"/>
        <v>714345.54999999993</v>
      </c>
      <c r="U58" s="58">
        <f t="shared" si="54"/>
        <v>714476.50999999989</v>
      </c>
      <c r="V58" s="58">
        <f t="shared" si="54"/>
        <v>549081.54000000167</v>
      </c>
      <c r="W58" s="58">
        <f t="shared" si="54"/>
        <v>447181.15000000061</v>
      </c>
      <c r="X58" s="58">
        <f t="shared" si="54"/>
        <v>841144.3899999999</v>
      </c>
      <c r="Y58" s="58">
        <f t="shared" si="54"/>
        <v>0</v>
      </c>
      <c r="Z58" s="58">
        <f t="shared" si="54"/>
        <v>0</v>
      </c>
      <c r="AA58" s="58">
        <f t="shared" si="54"/>
        <v>5870564.3300000038</v>
      </c>
      <c r="AB58" s="118"/>
      <c r="AC58" s="58">
        <f>+AC54+AC57</f>
        <v>684850</v>
      </c>
      <c r="AD58" s="58">
        <f t="shared" ref="AD58:AO58" si="55">+AD54+AD57</f>
        <v>623850</v>
      </c>
      <c r="AE58" s="58">
        <f t="shared" si="55"/>
        <v>740050</v>
      </c>
      <c r="AF58" s="58">
        <f t="shared" si="55"/>
        <v>685500</v>
      </c>
      <c r="AG58" s="58">
        <f t="shared" si="55"/>
        <v>611200</v>
      </c>
      <c r="AH58" s="58">
        <f t="shared" si="55"/>
        <v>659800</v>
      </c>
      <c r="AI58" s="58">
        <f t="shared" si="55"/>
        <v>672650</v>
      </c>
      <c r="AJ58" s="58">
        <f t="shared" si="55"/>
        <v>636900</v>
      </c>
      <c r="AK58" s="58">
        <f t="shared" si="55"/>
        <v>636900</v>
      </c>
      <c r="AL58" s="58">
        <f t="shared" si="55"/>
        <v>585500</v>
      </c>
      <c r="AM58" s="58">
        <f t="shared" si="55"/>
        <v>659800</v>
      </c>
      <c r="AN58" s="58">
        <f t="shared" si="55"/>
        <v>675450</v>
      </c>
      <c r="AO58" s="58">
        <f t="shared" si="55"/>
        <v>7872450</v>
      </c>
    </row>
    <row r="59" spans="1:4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18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</row>
    <row r="60" spans="1:41">
      <c r="A60" s="58">
        <f>+SUM(A61:A69)</f>
        <v>2357497.4699999997</v>
      </c>
      <c r="B60" s="58">
        <f t="shared" ref="B60:M60" si="56">+SUM(B61:B69)</f>
        <v>1938365.81</v>
      </c>
      <c r="C60" s="58">
        <f t="shared" si="56"/>
        <v>3111499.45</v>
      </c>
      <c r="D60" s="58">
        <f t="shared" si="56"/>
        <v>2009369.08</v>
      </c>
      <c r="E60" s="58">
        <f t="shared" si="56"/>
        <v>2999916.67</v>
      </c>
      <c r="F60" s="58">
        <f t="shared" si="56"/>
        <v>3018129.8200000003</v>
      </c>
      <c r="G60" s="58">
        <f t="shared" si="56"/>
        <v>3335671.58</v>
      </c>
      <c r="H60" s="58">
        <f t="shared" si="56"/>
        <v>3618461</v>
      </c>
      <c r="I60" s="58">
        <f t="shared" si="56"/>
        <v>2784416</v>
      </c>
      <c r="J60" s="58">
        <f t="shared" si="56"/>
        <v>2661928</v>
      </c>
      <c r="K60" s="58">
        <f t="shared" si="56"/>
        <v>2901152.5</v>
      </c>
      <c r="L60" s="58">
        <f t="shared" si="56"/>
        <v>2983938</v>
      </c>
      <c r="M60" s="58">
        <f t="shared" si="56"/>
        <v>33720345.380000003</v>
      </c>
      <c r="N60" s="6" t="s">
        <v>46</v>
      </c>
      <c r="O60" s="58">
        <f>+SUM(O61:O69)</f>
        <v>3401452.66</v>
      </c>
      <c r="P60" s="58">
        <f t="shared" ref="P60:AA60" si="57">+SUM(P61:P69)</f>
        <v>2403792.29</v>
      </c>
      <c r="Q60" s="58">
        <f t="shared" si="57"/>
        <v>4840416.62</v>
      </c>
      <c r="R60" s="58">
        <f t="shared" si="57"/>
        <v>2954443.0481355935</v>
      </c>
      <c r="S60" s="58">
        <f t="shared" si="57"/>
        <v>2727415.6900000004</v>
      </c>
      <c r="T60" s="58">
        <f t="shared" si="57"/>
        <v>2595315.1</v>
      </c>
      <c r="U60" s="58">
        <f t="shared" si="57"/>
        <v>4041453.1300000004</v>
      </c>
      <c r="V60" s="58">
        <f t="shared" si="57"/>
        <v>2599816.7399999998</v>
      </c>
      <c r="W60" s="58">
        <f t="shared" si="57"/>
        <v>3241243.33</v>
      </c>
      <c r="X60" s="58">
        <f t="shared" si="57"/>
        <v>3683089.4000000004</v>
      </c>
      <c r="Y60" s="58">
        <f t="shared" si="57"/>
        <v>0</v>
      </c>
      <c r="Z60" s="58">
        <f t="shared" si="57"/>
        <v>0</v>
      </c>
      <c r="AA60" s="58">
        <f t="shared" si="57"/>
        <v>32488438.008135594</v>
      </c>
      <c r="AB60" s="118"/>
      <c r="AC60" s="58">
        <f>+SUM(AC61:AC69)</f>
        <v>3108516.68</v>
      </c>
      <c r="AD60" s="58">
        <f t="shared" ref="AD60:AO60" si="58">+SUM(AD61:AD69)</f>
        <v>2979222.16</v>
      </c>
      <c r="AE60" s="58">
        <f t="shared" si="58"/>
        <v>3761328.89</v>
      </c>
      <c r="AF60" s="58">
        <f t="shared" si="58"/>
        <v>2888264.92</v>
      </c>
      <c r="AG60" s="58">
        <f t="shared" si="58"/>
        <v>2876671.9699999997</v>
      </c>
      <c r="AH60" s="58">
        <f t="shared" si="58"/>
        <v>3040971.6100000003</v>
      </c>
      <c r="AI60" s="58">
        <f t="shared" si="58"/>
        <v>3391862.31</v>
      </c>
      <c r="AJ60" s="58">
        <f t="shared" si="58"/>
        <v>3495072.55</v>
      </c>
      <c r="AK60" s="58">
        <f t="shared" si="58"/>
        <v>3490681.27</v>
      </c>
      <c r="AL60" s="58">
        <f t="shared" si="58"/>
        <v>3156168.31</v>
      </c>
      <c r="AM60" s="58">
        <f t="shared" si="58"/>
        <v>2933666.66</v>
      </c>
      <c r="AN60" s="58">
        <f t="shared" si="58"/>
        <v>3832461.42</v>
      </c>
      <c r="AO60" s="58">
        <f t="shared" si="58"/>
        <v>38954888.75</v>
      </c>
    </row>
    <row r="61" spans="1:41" outlineLevel="1">
      <c r="A61" s="106">
        <f>+'NEW CAR'!A61+'GT-SERV'!A61+ACCESS!A61</f>
        <v>218497.66</v>
      </c>
      <c r="B61" s="106">
        <f>+'NEW CAR'!B61+'GT-SERV'!B61+ACCESS!B61</f>
        <v>280186</v>
      </c>
      <c r="C61" s="106">
        <f>+'NEW CAR'!C61+'GT-SERV'!C61+ACCESS!C61</f>
        <v>355248</v>
      </c>
      <c r="D61" s="106">
        <f>+'NEW CAR'!D61+'GT-SERV'!D61+ACCESS!D61</f>
        <v>212707</v>
      </c>
      <c r="E61" s="106">
        <f>+'NEW CAR'!E61+'GT-SERV'!E61+ACCESS!E61</f>
        <v>671082</v>
      </c>
      <c r="F61" s="106">
        <f>+'NEW CAR'!F61+'GT-SERV'!F61+ACCESS!F61</f>
        <v>237498</v>
      </c>
      <c r="G61" s="106">
        <f>+'NEW CAR'!G61+'GT-SERV'!G61+ACCESS!G61</f>
        <v>449719</v>
      </c>
      <c r="H61" s="106">
        <f>+'NEW CAR'!H61+'GT-SERV'!H61+ACCESS!H61</f>
        <v>494956</v>
      </c>
      <c r="I61" s="106">
        <f>+'NEW CAR'!I61+'GT-SERV'!I61+ACCESS!I61</f>
        <v>281360</v>
      </c>
      <c r="J61" s="106">
        <f>+'NEW CAR'!J61+'GT-SERV'!J61+ACCESS!J61</f>
        <v>302899</v>
      </c>
      <c r="K61" s="106">
        <f>+'NEW CAR'!K61+'GT-SERV'!K61+ACCESS!K61</f>
        <v>338272</v>
      </c>
      <c r="L61" s="106">
        <f>+'NEW CAR'!L61+'GT-SERV'!L61+ACCESS!L61</f>
        <v>248337</v>
      </c>
      <c r="M61" s="106">
        <f t="shared" ref="M61:M69" si="59">+SUM(A61:L61)</f>
        <v>4090761.66</v>
      </c>
      <c r="N61" s="7" t="s">
        <v>47</v>
      </c>
      <c r="O61" s="106">
        <f>+'NEW CAR'!O61+'GT-SERV'!O61+ACCESS!O61</f>
        <v>405325.96</v>
      </c>
      <c r="P61" s="106">
        <f>+'NEW CAR'!P61+'GT-SERV'!P61+ACCESS!P61</f>
        <v>297358</v>
      </c>
      <c r="Q61" s="106">
        <f>+'NEW CAR'!Q61+'GT-SERV'!Q61+ACCESS!Q61</f>
        <v>469624</v>
      </c>
      <c r="R61" s="106">
        <f>+'NEW CAR'!R61+'GT-SERV'!R61+ACCESS!R61</f>
        <v>215449.22999999998</v>
      </c>
      <c r="S61" s="106">
        <f>+'NEW CAR'!S61+'GT-SERV'!S61+ACCESS!S61</f>
        <v>329580.28000000003</v>
      </c>
      <c r="T61" s="106">
        <f>+'NEW CAR'!T61+'GT-SERV'!T61+ACCESS!T61</f>
        <v>287737</v>
      </c>
      <c r="U61" s="106">
        <f>+'NEW CAR'!U61+'GT-SERV'!U61+ACCESS!U61</f>
        <v>388513</v>
      </c>
      <c r="V61" s="106">
        <f>+'NEW CAR'!V61+'GT-SERV'!V61+ACCESS!V61</f>
        <v>285073</v>
      </c>
      <c r="W61" s="106">
        <f>+'NEW CAR'!W61+'GT-SERV'!W61+ACCESS!W61</f>
        <v>286588.06</v>
      </c>
      <c r="X61" s="106">
        <f>+'NEW CAR'!X61+'GT-SERV'!X61+ACCESS!X61</f>
        <v>655852.28</v>
      </c>
      <c r="Y61" s="106">
        <f>+'NEW CAR'!Y61+'GT-SERV'!Y61+ACCESS!Y61</f>
        <v>0</v>
      </c>
      <c r="Z61" s="106">
        <f>+'NEW CAR'!Z61+'GT-SERV'!Z61+ACCESS!Z61</f>
        <v>0</v>
      </c>
      <c r="AA61" s="106">
        <f t="shared" ref="AA61:AA69" si="60">+SUM(O61:Z61)</f>
        <v>3621100.8099999996</v>
      </c>
      <c r="AB61" s="118"/>
      <c r="AC61" s="106">
        <f>+'NEW CAR'!AC61+'GT-SERV'!AC61+ACCESS!AC61</f>
        <v>456750</v>
      </c>
      <c r="AD61" s="106">
        <f>+'NEW CAR'!AD61+'GT-SERV'!AD61+ACCESS!AD61</f>
        <v>456750</v>
      </c>
      <c r="AE61" s="106">
        <f>+'NEW CAR'!AE61+'GT-SERV'!AE61+ACCESS!AE61</f>
        <v>582750</v>
      </c>
      <c r="AF61" s="106">
        <f>+'NEW CAR'!AF61+'GT-SERV'!AF61+ACCESS!AF61</f>
        <v>472500</v>
      </c>
      <c r="AG61" s="106">
        <f>+'NEW CAR'!AG61+'GT-SERV'!AG61+ACCESS!AG61</f>
        <v>504000</v>
      </c>
      <c r="AH61" s="106">
        <f>+'NEW CAR'!AH61+'GT-SERV'!AH61+ACCESS!AH61</f>
        <v>441000</v>
      </c>
      <c r="AI61" s="106">
        <f>+'NEW CAR'!AI61+'GT-SERV'!AI61+ACCESS!AI61</f>
        <v>456750</v>
      </c>
      <c r="AJ61" s="106">
        <f>+'NEW CAR'!AJ61+'GT-SERV'!AJ61+ACCESS!AJ61</f>
        <v>535500</v>
      </c>
      <c r="AK61" s="106">
        <f>+'NEW CAR'!AK61+'GT-SERV'!AK61+ACCESS!AK61</f>
        <v>535500</v>
      </c>
      <c r="AL61" s="106">
        <f>+'NEW CAR'!AL61+'GT-SERV'!AL61+ACCESS!AL61</f>
        <v>472500</v>
      </c>
      <c r="AM61" s="106">
        <f>+'NEW CAR'!AM61+'GT-SERV'!AM61+ACCESS!AM61</f>
        <v>441000</v>
      </c>
      <c r="AN61" s="106">
        <f>+'NEW CAR'!AN61+'GT-SERV'!AN61+ACCESS!AN61</f>
        <v>582750</v>
      </c>
      <c r="AO61" s="106">
        <f t="shared" ref="AO61:AO69" si="61">+SUM(AC61:AN61)</f>
        <v>5937750</v>
      </c>
    </row>
    <row r="62" spans="1:41" outlineLevel="1">
      <c r="A62" s="106">
        <f>+'NEW CAR'!A62+'GT-SERV'!A62+ACCESS!A62</f>
        <v>906324</v>
      </c>
      <c r="B62" s="106">
        <f>+'NEW CAR'!B62+'GT-SERV'!B62+ACCESS!B62</f>
        <v>785488</v>
      </c>
      <c r="C62" s="106">
        <f>+'NEW CAR'!C62+'GT-SERV'!C62+ACCESS!C62</f>
        <v>965027</v>
      </c>
      <c r="D62" s="106">
        <f>+'NEW CAR'!D62+'GT-SERV'!D62+ACCESS!D62</f>
        <v>631556</v>
      </c>
      <c r="E62" s="106">
        <f>+'NEW CAR'!E62+'GT-SERV'!E62+ACCESS!E62</f>
        <v>482871</v>
      </c>
      <c r="F62" s="106">
        <f>+'NEW CAR'!F62+'GT-SERV'!F62+ACCESS!F62</f>
        <v>912123</v>
      </c>
      <c r="G62" s="106">
        <f>+'NEW CAR'!G62+'GT-SERV'!G62+ACCESS!G62</f>
        <v>1171133</v>
      </c>
      <c r="H62" s="106">
        <f>+'NEW CAR'!H62+'GT-SERV'!H62+ACCESS!H62</f>
        <v>922965</v>
      </c>
      <c r="I62" s="106">
        <f>+'NEW CAR'!I62+'GT-SERV'!I62+ACCESS!I62</f>
        <v>918861</v>
      </c>
      <c r="J62" s="106">
        <f>+'NEW CAR'!J62+'GT-SERV'!J62+ACCESS!J62</f>
        <v>881933</v>
      </c>
      <c r="K62" s="106">
        <f>+'NEW CAR'!K62+'GT-SERV'!K62+ACCESS!K62</f>
        <v>811838</v>
      </c>
      <c r="L62" s="106">
        <f>+'NEW CAR'!L62+'GT-SERV'!L62+ACCESS!L62</f>
        <v>1031506</v>
      </c>
      <c r="M62" s="106">
        <f t="shared" si="59"/>
        <v>10421625</v>
      </c>
      <c r="N62" s="7" t="s">
        <v>48</v>
      </c>
      <c r="O62" s="106">
        <f>+'NEW CAR'!O62+'GT-SERV'!O62+ACCESS!O62</f>
        <v>1004843</v>
      </c>
      <c r="P62" s="106">
        <f>+'NEW CAR'!P62+'GT-SERV'!P62+ACCESS!P62</f>
        <v>729442</v>
      </c>
      <c r="Q62" s="106">
        <f>+'NEW CAR'!Q62+'GT-SERV'!Q62+ACCESS!Q62</f>
        <v>1124729</v>
      </c>
      <c r="R62" s="106">
        <f>+'NEW CAR'!R62+'GT-SERV'!R62+ACCESS!R62</f>
        <v>478722</v>
      </c>
      <c r="S62" s="106">
        <f>+'NEW CAR'!S62+'GT-SERV'!S62+ACCESS!S62</f>
        <v>700542</v>
      </c>
      <c r="T62" s="106">
        <f>+'NEW CAR'!T62+'GT-SERV'!T62+ACCESS!T62</f>
        <v>833585</v>
      </c>
      <c r="U62" s="106">
        <f>+'NEW CAR'!U62+'GT-SERV'!U62+ACCESS!U62</f>
        <v>1205276</v>
      </c>
      <c r="V62" s="106">
        <f>+'NEW CAR'!V62+'GT-SERV'!V62+ACCESS!V62</f>
        <v>983312</v>
      </c>
      <c r="W62" s="106">
        <f>+'NEW CAR'!W62+'GT-SERV'!W62+ACCESS!W62</f>
        <v>792988</v>
      </c>
      <c r="X62" s="106">
        <f>+'NEW CAR'!X62+'GT-SERV'!X62+ACCESS!X62</f>
        <v>837390</v>
      </c>
      <c r="Y62" s="106">
        <f>+'NEW CAR'!Y62+'GT-SERV'!Y62+ACCESS!Y62</f>
        <v>0</v>
      </c>
      <c r="Z62" s="106">
        <f>+'NEW CAR'!Z62+'GT-SERV'!Z62+ACCESS!Z62</f>
        <v>0</v>
      </c>
      <c r="AA62" s="106">
        <f t="shared" si="60"/>
        <v>8690829</v>
      </c>
      <c r="AB62" s="118"/>
      <c r="AC62" s="106">
        <f>+'NEW CAR'!AC62+'GT-SERV'!AC62+ACCESS!AC62</f>
        <v>969766.68</v>
      </c>
      <c r="AD62" s="106">
        <f>+'NEW CAR'!AD62+'GT-SERV'!AD62+ACCESS!AD62</f>
        <v>840472.16</v>
      </c>
      <c r="AE62" s="106">
        <f>+'NEW CAR'!AE62+'GT-SERV'!AE62+ACCESS!AE62</f>
        <v>1032578.89</v>
      </c>
      <c r="AF62" s="106">
        <f>+'NEW CAR'!AF62+'GT-SERV'!AF62+ACCESS!AF62</f>
        <v>675764.92</v>
      </c>
      <c r="AG62" s="106">
        <f>+'NEW CAR'!AG62+'GT-SERV'!AG62+ACCESS!AG62</f>
        <v>516671.97000000003</v>
      </c>
      <c r="AH62" s="106">
        <f>+'NEW CAR'!AH62+'GT-SERV'!AH62+ACCESS!AH62</f>
        <v>975971.6100000001</v>
      </c>
      <c r="AI62" s="106">
        <f>+'NEW CAR'!AI62+'GT-SERV'!AI62+ACCESS!AI62</f>
        <v>1253112.31</v>
      </c>
      <c r="AJ62" s="106">
        <f>+'NEW CAR'!AJ62+'GT-SERV'!AJ62+ACCESS!AJ62</f>
        <v>987572.55</v>
      </c>
      <c r="AK62" s="106">
        <f>+'NEW CAR'!AK62+'GT-SERV'!AK62+ACCESS!AK62</f>
        <v>983181.27</v>
      </c>
      <c r="AL62" s="106">
        <f>+'NEW CAR'!AL62+'GT-SERV'!AL62+ACCESS!AL62</f>
        <v>943668.31</v>
      </c>
      <c r="AM62" s="106">
        <f>+'NEW CAR'!AM62+'GT-SERV'!AM62+ACCESS!AM62</f>
        <v>868666.66</v>
      </c>
      <c r="AN62" s="106">
        <f>+'NEW CAR'!AN62+'GT-SERV'!AN62+ACCESS!AN62</f>
        <v>1103711.4200000002</v>
      </c>
      <c r="AO62" s="106">
        <f t="shared" si="61"/>
        <v>11151138.750000002</v>
      </c>
    </row>
    <row r="63" spans="1:41" outlineLevel="1">
      <c r="A63" s="106">
        <f>+'NEW CAR'!A63+'GT-SERV'!A63+ACCESS!A63</f>
        <v>508902</v>
      </c>
      <c r="B63" s="106">
        <f>+'NEW CAR'!B63+'GT-SERV'!B63+ACCESS!B63</f>
        <v>803464</v>
      </c>
      <c r="C63" s="106">
        <f>+'NEW CAR'!C63+'GT-SERV'!C63+ACCESS!C63</f>
        <v>956243</v>
      </c>
      <c r="D63" s="106">
        <f>+'NEW CAR'!D63+'GT-SERV'!D63+ACCESS!D63</f>
        <v>233455</v>
      </c>
      <c r="E63" s="106">
        <f>+'NEW CAR'!E63+'GT-SERV'!E63+ACCESS!E63</f>
        <v>719513</v>
      </c>
      <c r="F63" s="106">
        <f>+'NEW CAR'!F63+'GT-SERV'!F63+ACCESS!F63</f>
        <v>709424</v>
      </c>
      <c r="G63" s="106">
        <f>+'NEW CAR'!G63+'GT-SERV'!G63+ACCESS!G63</f>
        <v>987567</v>
      </c>
      <c r="H63" s="106">
        <f>+'NEW CAR'!H63+'GT-SERV'!H63+ACCESS!H63</f>
        <v>821219</v>
      </c>
      <c r="I63" s="106">
        <f>+'NEW CAR'!I63+'GT-SERV'!I63+ACCESS!I63</f>
        <v>847195</v>
      </c>
      <c r="J63" s="106">
        <f>+'NEW CAR'!J63+'GT-SERV'!J63+ACCESS!J63</f>
        <v>1022496</v>
      </c>
      <c r="K63" s="106">
        <f>+'NEW CAR'!K63+'GT-SERV'!K63+ACCESS!K63</f>
        <v>881260</v>
      </c>
      <c r="L63" s="106">
        <f>+'NEW CAR'!L63+'GT-SERV'!L63+ACCESS!L63</f>
        <v>677900</v>
      </c>
      <c r="M63" s="106">
        <f t="shared" si="59"/>
        <v>9168638</v>
      </c>
      <c r="N63" s="7" t="s">
        <v>49</v>
      </c>
      <c r="O63" s="106">
        <f>+'NEW CAR'!O63+'GT-SERV'!O63+ACCESS!O63</f>
        <v>683884</v>
      </c>
      <c r="P63" s="106">
        <f>+'NEW CAR'!P63+'GT-SERV'!P63+ACCESS!P63</f>
        <v>613946</v>
      </c>
      <c r="Q63" s="106">
        <f>+'NEW CAR'!Q63+'GT-SERV'!Q63+ACCESS!Q63</f>
        <v>1051454.47</v>
      </c>
      <c r="R63" s="106">
        <f>+'NEW CAR'!R63+'GT-SERV'!R63+ACCESS!R63</f>
        <v>843694.28813559329</v>
      </c>
      <c r="S63" s="106">
        <f>+'NEW CAR'!S63+'GT-SERV'!S63+ACCESS!S63</f>
        <v>339126.61</v>
      </c>
      <c r="T63" s="106">
        <f>+'NEW CAR'!T63+'GT-SERV'!T63+ACCESS!T63</f>
        <v>619065</v>
      </c>
      <c r="U63" s="106">
        <f>+'NEW CAR'!U63+'GT-SERV'!U63+ACCESS!U63</f>
        <v>1031629.75</v>
      </c>
      <c r="V63" s="106">
        <f>+'NEW CAR'!V63+'GT-SERV'!V63+ACCESS!V63</f>
        <v>529760</v>
      </c>
      <c r="W63" s="106">
        <f>+'NEW CAR'!W63+'GT-SERV'!W63+ACCESS!W63</f>
        <v>1022274</v>
      </c>
      <c r="X63" s="106">
        <f>+'NEW CAR'!X63+'GT-SERV'!X63+ACCESS!X63</f>
        <v>852086</v>
      </c>
      <c r="Y63" s="106">
        <f>+'NEW CAR'!Y63+'GT-SERV'!Y63+ACCESS!Y63</f>
        <v>0</v>
      </c>
      <c r="Z63" s="106">
        <f>+'NEW CAR'!Z63+'GT-SERV'!Z63+ACCESS!Z63</f>
        <v>0</v>
      </c>
      <c r="AA63" s="106">
        <f t="shared" si="60"/>
        <v>7586920.1181355929</v>
      </c>
      <c r="AB63" s="118"/>
      <c r="AC63" s="106">
        <f>+'NEW CAR'!AC63+'GT-SERV'!AC63+ACCESS!AC63</f>
        <v>957000</v>
      </c>
      <c r="AD63" s="106">
        <f>+'NEW CAR'!AD63+'GT-SERV'!AD63+ACCESS!AD63</f>
        <v>957000</v>
      </c>
      <c r="AE63" s="106">
        <f>+'NEW CAR'!AE63+'GT-SERV'!AE63+ACCESS!AE63</f>
        <v>1221000</v>
      </c>
      <c r="AF63" s="106">
        <f>+'NEW CAR'!AF63+'GT-SERV'!AF63+ACCESS!AF63</f>
        <v>990000</v>
      </c>
      <c r="AG63" s="106">
        <f>+'NEW CAR'!AG63+'GT-SERV'!AG63+ACCESS!AG63</f>
        <v>1056000</v>
      </c>
      <c r="AH63" s="106">
        <f>+'NEW CAR'!AH63+'GT-SERV'!AH63+ACCESS!AH63</f>
        <v>924000</v>
      </c>
      <c r="AI63" s="106">
        <f>+'NEW CAR'!AI63+'GT-SERV'!AI63+ACCESS!AI63</f>
        <v>957000</v>
      </c>
      <c r="AJ63" s="106">
        <f>+'NEW CAR'!AJ63+'GT-SERV'!AJ63+ACCESS!AJ63</f>
        <v>1122000</v>
      </c>
      <c r="AK63" s="106">
        <f>+'NEW CAR'!AK63+'GT-SERV'!AK63+ACCESS!AK63</f>
        <v>1122000</v>
      </c>
      <c r="AL63" s="106">
        <f>+'NEW CAR'!AL63+'GT-SERV'!AL63+ACCESS!AL63</f>
        <v>990000</v>
      </c>
      <c r="AM63" s="106">
        <f>+'NEW CAR'!AM63+'GT-SERV'!AM63+ACCESS!AM63</f>
        <v>924000</v>
      </c>
      <c r="AN63" s="106">
        <f>+'NEW CAR'!AN63+'GT-SERV'!AN63+ACCESS!AN63</f>
        <v>1221000</v>
      </c>
      <c r="AO63" s="106">
        <f t="shared" si="61"/>
        <v>12441000</v>
      </c>
    </row>
    <row r="64" spans="1:41" outlineLevel="1">
      <c r="A64" s="106">
        <f>+'NEW CAR'!A64+'GT-SERV'!A64+ACCESS!A64</f>
        <v>0</v>
      </c>
      <c r="B64" s="106">
        <f>+'NEW CAR'!B64+'GT-SERV'!B64+ACCESS!B64</f>
        <v>0</v>
      </c>
      <c r="C64" s="106">
        <f>+'NEW CAR'!C64+'GT-SERV'!C64+ACCESS!C64</f>
        <v>0</v>
      </c>
      <c r="D64" s="106">
        <f>+'NEW CAR'!D64+'GT-SERV'!D64+ACCESS!D64</f>
        <v>0</v>
      </c>
      <c r="E64" s="106">
        <f>+'NEW CAR'!E64+'GT-SERV'!E64+ACCESS!E64</f>
        <v>0</v>
      </c>
      <c r="F64" s="106">
        <f>+'NEW CAR'!F64+'GT-SERV'!F64+ACCESS!F64</f>
        <v>0</v>
      </c>
      <c r="G64" s="106">
        <f>+'NEW CAR'!G64+'GT-SERV'!G64+ACCESS!G64</f>
        <v>0</v>
      </c>
      <c r="H64" s="106">
        <f>+'NEW CAR'!H64+'GT-SERV'!H64+ACCESS!H64</f>
        <v>0</v>
      </c>
      <c r="I64" s="106">
        <f>+'NEW CAR'!I64+'GT-SERV'!I64+ACCESS!I64</f>
        <v>0</v>
      </c>
      <c r="J64" s="106">
        <f>+'NEW CAR'!J64+'GT-SERV'!J64+ACCESS!J64</f>
        <v>0</v>
      </c>
      <c r="K64" s="106">
        <f>+'NEW CAR'!K64+'GT-SERV'!K64+ACCESS!K64</f>
        <v>0</v>
      </c>
      <c r="L64" s="106">
        <f>+'NEW CAR'!L64+'GT-SERV'!L64+ACCESS!L64</f>
        <v>0</v>
      </c>
      <c r="M64" s="106">
        <f t="shared" si="59"/>
        <v>0</v>
      </c>
      <c r="N64" s="7" t="s">
        <v>50</v>
      </c>
      <c r="O64" s="106">
        <f>+'NEW CAR'!O64+'GT-SERV'!O64+ACCESS!O64</f>
        <v>360000</v>
      </c>
      <c r="P64" s="106">
        <f>+'NEW CAR'!P64+'GT-SERV'!P64+ACCESS!P64</f>
        <v>0</v>
      </c>
      <c r="Q64" s="106">
        <f>+'NEW CAR'!Q64+'GT-SERV'!Q64+ACCESS!Q64</f>
        <v>720000</v>
      </c>
      <c r="R64" s="106">
        <f>+'NEW CAR'!R64+'GT-SERV'!R64+ACCESS!R64</f>
        <v>450000</v>
      </c>
      <c r="S64" s="106">
        <f>+'NEW CAR'!S64+'GT-SERV'!S64+ACCESS!S64</f>
        <v>0</v>
      </c>
      <c r="T64" s="106">
        <f>+'NEW CAR'!T64+'GT-SERV'!T64+ACCESS!T64</f>
        <v>0</v>
      </c>
      <c r="U64" s="106">
        <f>+'NEW CAR'!U64+'GT-SERV'!U64+ACCESS!U64</f>
        <v>570000</v>
      </c>
      <c r="V64" s="106">
        <f>+'NEW CAR'!V64+'GT-SERV'!V64+ACCESS!V64</f>
        <v>0</v>
      </c>
      <c r="W64" s="106">
        <f>+'NEW CAR'!W64+'GT-SERV'!W64+ACCESS!W64</f>
        <v>440000</v>
      </c>
      <c r="X64" s="106">
        <f>+'NEW CAR'!X64+'GT-SERV'!X64+ACCESS!X64</f>
        <v>0</v>
      </c>
      <c r="Y64" s="106">
        <f>+'NEW CAR'!Y64+'GT-SERV'!Y64+ACCESS!Y64</f>
        <v>0</v>
      </c>
      <c r="Z64" s="106">
        <f>+'NEW CAR'!Z64+'GT-SERV'!Z64+ACCESS!Z64</f>
        <v>0</v>
      </c>
      <c r="AA64" s="106">
        <f t="shared" si="60"/>
        <v>2540000</v>
      </c>
      <c r="AB64" s="118"/>
      <c r="AC64" s="106">
        <f>+'NEW CAR'!AC64+'GT-SERV'!AC64+ACCESS!AC64</f>
        <v>0</v>
      </c>
      <c r="AD64" s="106">
        <f>+'NEW CAR'!AD64+'GT-SERV'!AD64+ACCESS!AD64</f>
        <v>0</v>
      </c>
      <c r="AE64" s="106">
        <f>+'NEW CAR'!AE64+'GT-SERV'!AE64+ACCESS!AE64</f>
        <v>0</v>
      </c>
      <c r="AF64" s="106">
        <f>+'NEW CAR'!AF64+'GT-SERV'!AF64+ACCESS!AF64</f>
        <v>0</v>
      </c>
      <c r="AG64" s="106">
        <f>+'NEW CAR'!AG64+'GT-SERV'!AG64+ACCESS!AG64</f>
        <v>0</v>
      </c>
      <c r="AH64" s="106">
        <f>+'NEW CAR'!AH64+'GT-SERV'!AH64+ACCESS!AH64</f>
        <v>0</v>
      </c>
      <c r="AI64" s="106">
        <f>+'NEW CAR'!AI64+'GT-SERV'!AI64+ACCESS!AI64</f>
        <v>0</v>
      </c>
      <c r="AJ64" s="106">
        <f>+'NEW CAR'!AJ64+'GT-SERV'!AJ64+ACCESS!AJ64</f>
        <v>0</v>
      </c>
      <c r="AK64" s="106">
        <f>+'NEW CAR'!AK64+'GT-SERV'!AK64+ACCESS!AK64</f>
        <v>0</v>
      </c>
      <c r="AL64" s="106">
        <f>+'NEW CAR'!AL64+'GT-SERV'!AL64+ACCESS!AL64</f>
        <v>0</v>
      </c>
      <c r="AM64" s="106">
        <f>+'NEW CAR'!AM64+'GT-SERV'!AM64+ACCESS!AM64</f>
        <v>0</v>
      </c>
      <c r="AN64" s="106">
        <f>+'NEW CAR'!AN64+'GT-SERV'!AN64+ACCESS!AN64</f>
        <v>0</v>
      </c>
      <c r="AO64" s="106">
        <f t="shared" si="61"/>
        <v>0</v>
      </c>
    </row>
    <row r="65" spans="1:45" outlineLevel="1">
      <c r="A65" s="106">
        <f>+'NEW CAR'!A65+'GT-SERV'!A65+ACCESS!A65</f>
        <v>0</v>
      </c>
      <c r="B65" s="106">
        <f>+'NEW CAR'!B65+'GT-SERV'!B65+ACCESS!B65</f>
        <v>0</v>
      </c>
      <c r="C65" s="106">
        <f>+'NEW CAR'!C65+'GT-SERV'!C65+ACCESS!C65</f>
        <v>0</v>
      </c>
      <c r="D65" s="106">
        <f>+'NEW CAR'!D65+'GT-SERV'!D65+ACCESS!D65</f>
        <v>0</v>
      </c>
      <c r="E65" s="106">
        <f>+'NEW CAR'!E65+'GT-SERV'!E65+ACCESS!E65</f>
        <v>0</v>
      </c>
      <c r="F65" s="106">
        <f>+'NEW CAR'!F65+'GT-SERV'!F65+ACCESS!F65</f>
        <v>0</v>
      </c>
      <c r="G65" s="106">
        <f>+'NEW CAR'!G65+'GT-SERV'!G65+ACCESS!G65</f>
        <v>0</v>
      </c>
      <c r="H65" s="106">
        <f>+'NEW CAR'!H65+'GT-SERV'!H65+ACCESS!H65</f>
        <v>0</v>
      </c>
      <c r="I65" s="106">
        <f>+'NEW CAR'!I65+'GT-SERV'!I65+ACCESS!I65</f>
        <v>0</v>
      </c>
      <c r="J65" s="106">
        <f>+'NEW CAR'!J65+'GT-SERV'!J65+ACCESS!J65</f>
        <v>0</v>
      </c>
      <c r="K65" s="106">
        <f>+'NEW CAR'!K65+'GT-SERV'!K65+ACCESS!K65</f>
        <v>0</v>
      </c>
      <c r="L65" s="106">
        <f>+'NEW CAR'!L65+'GT-SERV'!L65+ACCESS!L65</f>
        <v>0</v>
      </c>
      <c r="M65" s="106">
        <f t="shared" si="59"/>
        <v>0</v>
      </c>
      <c r="N65" s="7" t="s">
        <v>51</v>
      </c>
      <c r="O65" s="106">
        <f>+'NEW CAR'!O65+'GT-SERV'!O65+ACCESS!O65</f>
        <v>0</v>
      </c>
      <c r="P65" s="106">
        <f>+'NEW CAR'!P65+'GT-SERV'!P65+ACCESS!P65</f>
        <v>0</v>
      </c>
      <c r="Q65" s="106">
        <f>+'NEW CAR'!Q65+'GT-SERV'!Q65+ACCESS!Q65</f>
        <v>217113</v>
      </c>
      <c r="R65" s="106">
        <f>+'NEW CAR'!R65+'GT-SERV'!R65+ACCESS!R65</f>
        <v>0</v>
      </c>
      <c r="S65" s="106">
        <f>+'NEW CAR'!S65+'GT-SERV'!S65+ACCESS!S65</f>
        <v>0</v>
      </c>
      <c r="T65" s="106">
        <f>+'NEW CAR'!T65+'GT-SERV'!T65+ACCESS!T65</f>
        <v>0</v>
      </c>
      <c r="U65" s="106">
        <f>+'NEW CAR'!U65+'GT-SERV'!U65+ACCESS!U65</f>
        <v>0</v>
      </c>
      <c r="V65" s="106">
        <f>+'NEW CAR'!V65+'GT-SERV'!V65+ACCESS!V65</f>
        <v>0</v>
      </c>
      <c r="W65" s="106">
        <f>+'NEW CAR'!W65+'GT-SERV'!W65+ACCESS!W65</f>
        <v>0</v>
      </c>
      <c r="X65" s="106">
        <f>+'NEW CAR'!X65+'GT-SERV'!X65+ACCESS!X65</f>
        <v>0</v>
      </c>
      <c r="Y65" s="106">
        <f>+'NEW CAR'!Y65+'GT-SERV'!Y65+ACCESS!Y65</f>
        <v>0</v>
      </c>
      <c r="Z65" s="106">
        <f>+'NEW CAR'!Z65+'GT-SERV'!Z65+ACCESS!Z65</f>
        <v>0</v>
      </c>
      <c r="AA65" s="106">
        <f t="shared" si="60"/>
        <v>217113</v>
      </c>
      <c r="AB65" s="118"/>
      <c r="AC65" s="106">
        <f>+'NEW CAR'!AC65+'GT-SERV'!AC65+ACCESS!AC65</f>
        <v>0</v>
      </c>
      <c r="AD65" s="106">
        <f>+'NEW CAR'!AD65+'GT-SERV'!AD65+ACCESS!AD65</f>
        <v>0</v>
      </c>
      <c r="AE65" s="106">
        <f>+'NEW CAR'!AE65+'GT-SERV'!AE65+ACCESS!AE65</f>
        <v>0</v>
      </c>
      <c r="AF65" s="106">
        <f>+'NEW CAR'!AF65+'GT-SERV'!AF65+ACCESS!AF65</f>
        <v>0</v>
      </c>
      <c r="AG65" s="106">
        <f>+'NEW CAR'!AG65+'GT-SERV'!AG65+ACCESS!AG65</f>
        <v>0</v>
      </c>
      <c r="AH65" s="106">
        <f>+'NEW CAR'!AH65+'GT-SERV'!AH65+ACCESS!AH65</f>
        <v>0</v>
      </c>
      <c r="AI65" s="106">
        <f>+'NEW CAR'!AI65+'GT-SERV'!AI65+ACCESS!AI65</f>
        <v>0</v>
      </c>
      <c r="AJ65" s="106">
        <f>+'NEW CAR'!AJ65+'GT-SERV'!AJ65+ACCESS!AJ65</f>
        <v>0</v>
      </c>
      <c r="AK65" s="106">
        <f>+'NEW CAR'!AK65+'GT-SERV'!AK65+ACCESS!AK65</f>
        <v>0</v>
      </c>
      <c r="AL65" s="106">
        <f>+'NEW CAR'!AL65+'GT-SERV'!AL65+ACCESS!AL65</f>
        <v>0</v>
      </c>
      <c r="AM65" s="106">
        <f>+'NEW CAR'!AM65+'GT-SERV'!AM65+ACCESS!AM65</f>
        <v>0</v>
      </c>
      <c r="AN65" s="106">
        <f>+'NEW CAR'!AN65+'GT-SERV'!AN65+ACCESS!AN65</f>
        <v>0</v>
      </c>
      <c r="AO65" s="106">
        <f t="shared" si="61"/>
        <v>0</v>
      </c>
    </row>
    <row r="66" spans="1:45" outlineLevel="1">
      <c r="A66" s="106">
        <f>+'NEW CAR'!A66+'GT-SERV'!A66+ACCESS!A66</f>
        <v>82671.31</v>
      </c>
      <c r="B66" s="106">
        <f>+'NEW CAR'!B66+'GT-SERV'!B66+ACCESS!B66</f>
        <v>17870.990000000002</v>
      </c>
      <c r="C66" s="106">
        <f>+'NEW CAR'!C66+'GT-SERV'!C66+ACCESS!C66</f>
        <v>26929</v>
      </c>
      <c r="D66" s="106">
        <f>+'NEW CAR'!D66+'GT-SERV'!D66+ACCESS!D66</f>
        <v>59192.480000000003</v>
      </c>
      <c r="E66" s="106">
        <f>+'NEW CAR'!E66+'GT-SERV'!E66+ACCESS!E66</f>
        <v>61322.85</v>
      </c>
      <c r="F66" s="106">
        <f>+'NEW CAR'!F66+'GT-SERV'!F66+ACCESS!F66</f>
        <v>18700</v>
      </c>
      <c r="G66" s="106">
        <f>+'NEW CAR'!G66+'GT-SERV'!G66+ACCESS!G66</f>
        <v>27675.08</v>
      </c>
      <c r="H66" s="106">
        <f>+'NEW CAR'!H66+'GT-SERV'!H66+ACCESS!H66</f>
        <v>52486</v>
      </c>
      <c r="I66" s="106">
        <f>+'NEW CAR'!I66+'GT-SERV'!I66+ACCESS!I66</f>
        <v>37000</v>
      </c>
      <c r="J66" s="106">
        <f>+'NEW CAR'!J66+'GT-SERV'!J66+ACCESS!J66</f>
        <v>29600</v>
      </c>
      <c r="K66" s="106">
        <f>+'NEW CAR'!K66+'GT-SERV'!K66+ACCESS!K66</f>
        <v>94782.5</v>
      </c>
      <c r="L66" s="106">
        <f>+'NEW CAR'!L66+'GT-SERV'!L66+ACCESS!L66</f>
        <v>1195</v>
      </c>
      <c r="M66" s="106">
        <f t="shared" si="59"/>
        <v>509425.21</v>
      </c>
      <c r="N66" s="7" t="s">
        <v>52</v>
      </c>
      <c r="O66" s="106">
        <f>+'NEW CAR'!O66+'GT-SERV'!O66+ACCESS!O66</f>
        <v>109490</v>
      </c>
      <c r="P66" s="106">
        <f>+'NEW CAR'!P66+'GT-SERV'!P66+ACCESS!P66</f>
        <v>44400</v>
      </c>
      <c r="Q66" s="106">
        <f>+'NEW CAR'!Q66+'GT-SERV'!Q66+ACCESS!Q66</f>
        <v>339280</v>
      </c>
      <c r="R66" s="106">
        <f>+'NEW CAR'!R66+'GT-SERV'!R66+ACCESS!R66</f>
        <v>33450</v>
      </c>
      <c r="S66" s="106">
        <f>+'NEW CAR'!S66+'GT-SERV'!S66+ACCESS!S66</f>
        <v>98032</v>
      </c>
      <c r="T66" s="106">
        <f>+'NEW CAR'!T66+'GT-SERV'!T66+ACCESS!T66</f>
        <v>86700</v>
      </c>
      <c r="U66" s="106">
        <f>+'NEW CAR'!U66+'GT-SERV'!U66+ACCESS!U66</f>
        <v>207781</v>
      </c>
      <c r="V66" s="106">
        <f>+'NEW CAR'!V66+'GT-SERV'!V66+ACCESS!V66</f>
        <v>96850</v>
      </c>
      <c r="W66" s="106">
        <f>+'NEW CAR'!W66+'GT-SERV'!W66+ACCESS!W66</f>
        <v>17030</v>
      </c>
      <c r="X66" s="106">
        <f>+'NEW CAR'!X66+'GT-SERV'!X66+ACCESS!X66</f>
        <v>37000</v>
      </c>
      <c r="Y66" s="106">
        <f>+'NEW CAR'!Y66+'GT-SERV'!Y66+ACCESS!Y66</f>
        <v>0</v>
      </c>
      <c r="Z66" s="106">
        <f>+'NEW CAR'!Z66+'GT-SERV'!Z66+ACCESS!Z66</f>
        <v>0</v>
      </c>
      <c r="AA66" s="106">
        <f t="shared" si="60"/>
        <v>1070013</v>
      </c>
      <c r="AB66" s="118"/>
      <c r="AC66" s="106">
        <f>+'NEW CAR'!AC66+'GT-SERV'!AC66+ACCESS!AC66</f>
        <v>0</v>
      </c>
      <c r="AD66" s="106">
        <f>+'NEW CAR'!AD66+'GT-SERV'!AD66+ACCESS!AD66</f>
        <v>0</v>
      </c>
      <c r="AE66" s="106">
        <f>+'NEW CAR'!AE66+'GT-SERV'!AE66+ACCESS!AE66</f>
        <v>0</v>
      </c>
      <c r="AF66" s="106">
        <f>+'NEW CAR'!AF66+'GT-SERV'!AF66+ACCESS!AF66</f>
        <v>0</v>
      </c>
      <c r="AG66" s="106">
        <f>+'NEW CAR'!AG66+'GT-SERV'!AG66+ACCESS!AG66</f>
        <v>0</v>
      </c>
      <c r="AH66" s="106">
        <f>+'NEW CAR'!AH66+'GT-SERV'!AH66+ACCESS!AH66</f>
        <v>0</v>
      </c>
      <c r="AI66" s="106">
        <f>+'NEW CAR'!AI66+'GT-SERV'!AI66+ACCESS!AI66</f>
        <v>0</v>
      </c>
      <c r="AJ66" s="106">
        <f>+'NEW CAR'!AJ66+'GT-SERV'!AJ66+ACCESS!AJ66</f>
        <v>0</v>
      </c>
      <c r="AK66" s="106">
        <f>+'NEW CAR'!AK66+'GT-SERV'!AK66+ACCESS!AK66</f>
        <v>0</v>
      </c>
      <c r="AL66" s="106">
        <f>+'NEW CAR'!AL66+'GT-SERV'!AL66+ACCESS!AL66</f>
        <v>0</v>
      </c>
      <c r="AM66" s="106">
        <f>+'NEW CAR'!AM66+'GT-SERV'!AM66+ACCESS!AM66</f>
        <v>0</v>
      </c>
      <c r="AN66" s="106">
        <f>+'NEW CAR'!AN66+'GT-SERV'!AN66+ACCESS!AN66</f>
        <v>0</v>
      </c>
      <c r="AO66" s="106">
        <f t="shared" si="61"/>
        <v>0</v>
      </c>
    </row>
    <row r="67" spans="1:45" outlineLevel="1">
      <c r="A67" s="106">
        <f>+'NEW CAR'!A67+'GT-SERV'!A67+ACCESS!A67</f>
        <v>641102.5</v>
      </c>
      <c r="B67" s="106">
        <f>+'NEW CAR'!B67+'GT-SERV'!B67+ACCESS!B67</f>
        <v>51356.82</v>
      </c>
      <c r="C67" s="106">
        <f>+'NEW CAR'!C67+'GT-SERV'!C67+ACCESS!C67</f>
        <v>808052.45</v>
      </c>
      <c r="D67" s="106">
        <f>+'NEW CAR'!D67+'GT-SERV'!D67+ACCESS!D67</f>
        <v>872458.6</v>
      </c>
      <c r="E67" s="106">
        <f>+'NEW CAR'!E67+'GT-SERV'!E67+ACCESS!E67</f>
        <v>1065127.8199999998</v>
      </c>
      <c r="F67" s="106">
        <f>+'NEW CAR'!F67+'GT-SERV'!F67+ACCESS!F67</f>
        <v>1140384.82</v>
      </c>
      <c r="G67" s="106">
        <f>+'NEW CAR'!G67+'GT-SERV'!G67+ACCESS!G67</f>
        <v>699577.5</v>
      </c>
      <c r="H67" s="106">
        <f>+'NEW CAR'!H67+'GT-SERV'!H67+ACCESS!H67</f>
        <v>1326835</v>
      </c>
      <c r="I67" s="106">
        <f>+'NEW CAR'!I67+'GT-SERV'!I67+ACCESS!I67</f>
        <v>700000</v>
      </c>
      <c r="J67" s="106">
        <f>+'NEW CAR'!J67+'GT-SERV'!J67+ACCESS!J67</f>
        <v>425000</v>
      </c>
      <c r="K67" s="106">
        <f>+'NEW CAR'!K67+'GT-SERV'!K67+ACCESS!K67</f>
        <v>775000</v>
      </c>
      <c r="L67" s="106">
        <f>+'NEW CAR'!L67+'GT-SERV'!L67+ACCESS!L67</f>
        <v>1025000</v>
      </c>
      <c r="M67" s="106">
        <f t="shared" si="59"/>
        <v>9529895.5099999998</v>
      </c>
      <c r="N67" s="7" t="s">
        <v>53</v>
      </c>
      <c r="O67" s="106">
        <f>+'NEW CAR'!O67+'GT-SERV'!O67+ACCESS!O67</f>
        <v>775000</v>
      </c>
      <c r="P67" s="106">
        <f>+'NEW CAR'!P67+'GT-SERV'!P67+ACCESS!P67</f>
        <v>625000</v>
      </c>
      <c r="Q67" s="106">
        <f>+'NEW CAR'!Q67+'GT-SERV'!Q67+ACCESS!Q67</f>
        <v>781357.5</v>
      </c>
      <c r="R67" s="106">
        <f>+'NEW CAR'!R67+'GT-SERV'!R67+ACCESS!R67</f>
        <v>846512.58</v>
      </c>
      <c r="S67" s="106">
        <f>+'NEW CAR'!S67+'GT-SERV'!S67+ACCESS!S67</f>
        <v>1260134.8</v>
      </c>
      <c r="T67" s="106">
        <f>+'NEW CAR'!T67+'GT-SERV'!T67+ACCESS!T67</f>
        <v>708436.42</v>
      </c>
      <c r="U67" s="106">
        <f>+'NEW CAR'!U67+'GT-SERV'!U67+ACCESS!U67</f>
        <v>518303.33</v>
      </c>
      <c r="V67" s="106">
        <f>+'NEW CAR'!V67+'GT-SERV'!V67+ACCESS!V67</f>
        <v>598954.97</v>
      </c>
      <c r="W67" s="106">
        <f>+'NEW CAR'!W67+'GT-SERV'!W67+ACCESS!W67</f>
        <v>564993.32999999996</v>
      </c>
      <c r="X67" s="106">
        <f>+'NEW CAR'!X67+'GT-SERV'!X67+ACCESS!X67</f>
        <v>1154620</v>
      </c>
      <c r="Y67" s="106">
        <f>+'NEW CAR'!Y67+'GT-SERV'!Y67+ACCESS!Y67</f>
        <v>0</v>
      </c>
      <c r="Z67" s="106">
        <f>+'NEW CAR'!Z67+'GT-SERV'!Z67+ACCESS!Z67</f>
        <v>0</v>
      </c>
      <c r="AA67" s="106">
        <f t="shared" si="60"/>
        <v>7833312.9299999997</v>
      </c>
      <c r="AB67" s="118"/>
      <c r="AC67" s="106">
        <f>+'NEW CAR'!AC67+'GT-SERV'!AC67+ACCESS!AC67</f>
        <v>725000</v>
      </c>
      <c r="AD67" s="106">
        <f>+'NEW CAR'!AD67+'GT-SERV'!AD67+ACCESS!AD67</f>
        <v>725000</v>
      </c>
      <c r="AE67" s="106">
        <f>+'NEW CAR'!AE67+'GT-SERV'!AE67+ACCESS!AE67</f>
        <v>925000</v>
      </c>
      <c r="AF67" s="106">
        <f>+'NEW CAR'!AF67+'GT-SERV'!AF67+ACCESS!AF67</f>
        <v>750000</v>
      </c>
      <c r="AG67" s="106">
        <f>+'NEW CAR'!AG67+'GT-SERV'!AG67+ACCESS!AG67</f>
        <v>800000</v>
      </c>
      <c r="AH67" s="106">
        <f>+'NEW CAR'!AH67+'GT-SERV'!AH67+ACCESS!AH67</f>
        <v>700000</v>
      </c>
      <c r="AI67" s="106">
        <f>+'NEW CAR'!AI67+'GT-SERV'!AI67+ACCESS!AI67</f>
        <v>725000</v>
      </c>
      <c r="AJ67" s="106">
        <f>+'NEW CAR'!AJ67+'GT-SERV'!AJ67+ACCESS!AJ67</f>
        <v>850000</v>
      </c>
      <c r="AK67" s="106">
        <f>+'NEW CAR'!AK67+'GT-SERV'!AK67+ACCESS!AK67</f>
        <v>850000</v>
      </c>
      <c r="AL67" s="106">
        <f>+'NEW CAR'!AL67+'GT-SERV'!AL67+ACCESS!AL67</f>
        <v>750000</v>
      </c>
      <c r="AM67" s="106">
        <f>+'NEW CAR'!AM67+'GT-SERV'!AM67+ACCESS!AM67</f>
        <v>700000</v>
      </c>
      <c r="AN67" s="106">
        <f>+'NEW CAR'!AN67+'GT-SERV'!AN67+ACCESS!AN67</f>
        <v>925000</v>
      </c>
      <c r="AO67" s="106">
        <f t="shared" si="61"/>
        <v>9425000</v>
      </c>
    </row>
    <row r="68" spans="1:45" outlineLevel="1">
      <c r="A68" s="106">
        <f>+'NEW CAR'!A68+'GT-SERV'!A68+ACCESS!A68</f>
        <v>0</v>
      </c>
      <c r="B68" s="106">
        <f>+'NEW CAR'!B68+'GT-SERV'!B68+ACCESS!B68</f>
        <v>0</v>
      </c>
      <c r="C68" s="106">
        <f>+'NEW CAR'!C68+'GT-SERV'!C68+ACCESS!C68</f>
        <v>0</v>
      </c>
      <c r="D68" s="106">
        <f>+'NEW CAR'!D68+'GT-SERV'!D68+ACCESS!D68</f>
        <v>0</v>
      </c>
      <c r="E68" s="106">
        <f>+'NEW CAR'!E68+'GT-SERV'!E68+ACCESS!E68</f>
        <v>0</v>
      </c>
      <c r="F68" s="106">
        <f>+'NEW CAR'!F68+'GT-SERV'!F68+ACCESS!F68</f>
        <v>0</v>
      </c>
      <c r="G68" s="106">
        <f>+'NEW CAR'!G68+'GT-SERV'!G68+ACCESS!G68</f>
        <v>0</v>
      </c>
      <c r="H68" s="106">
        <f>+'NEW CAR'!H68+'GT-SERV'!H68+ACCESS!H68</f>
        <v>0</v>
      </c>
      <c r="I68" s="106">
        <f>+'NEW CAR'!I68+'GT-SERV'!I68+ACCESS!I68</f>
        <v>0</v>
      </c>
      <c r="J68" s="106">
        <f>+'NEW CAR'!J68+'GT-SERV'!J68+ACCESS!J68</f>
        <v>0</v>
      </c>
      <c r="K68" s="106">
        <f>+'NEW CAR'!K68+'GT-SERV'!K68+ACCESS!K68</f>
        <v>0</v>
      </c>
      <c r="L68" s="106">
        <f>+'NEW CAR'!L68+'GT-SERV'!L68+ACCESS!L68</f>
        <v>0</v>
      </c>
      <c r="M68" s="106">
        <f t="shared" si="59"/>
        <v>0</v>
      </c>
      <c r="N68" s="7" t="s">
        <v>54</v>
      </c>
      <c r="O68" s="106">
        <f>+'NEW CAR'!O68+'GT-SERV'!O68+ACCESS!O68</f>
        <v>62909.700000000004</v>
      </c>
      <c r="P68" s="106">
        <f>+'NEW CAR'!P68+'GT-SERV'!P68+ACCESS!P68</f>
        <v>93646.29</v>
      </c>
      <c r="Q68" s="106">
        <f>+'NEW CAR'!Q68+'GT-SERV'!Q68+ACCESS!Q68</f>
        <v>136858.64999999997</v>
      </c>
      <c r="R68" s="106">
        <f>+'NEW CAR'!R68+'GT-SERV'!R68+ACCESS!R68</f>
        <v>86614.95</v>
      </c>
      <c r="S68" s="106">
        <f>+'NEW CAR'!S68+'GT-SERV'!S68+ACCESS!S68</f>
        <v>0</v>
      </c>
      <c r="T68" s="106">
        <f>+'NEW CAR'!T68+'GT-SERV'!T68+ACCESS!T68</f>
        <v>59791.680000000008</v>
      </c>
      <c r="U68" s="106">
        <f>+'NEW CAR'!U68+'GT-SERV'!U68+ACCESS!U68</f>
        <v>63596.19999999999</v>
      </c>
      <c r="V68" s="106">
        <f>+'NEW CAR'!V68+'GT-SERV'!V68+ACCESS!V68</f>
        <v>105866.77</v>
      </c>
      <c r="W68" s="106">
        <f>+'NEW CAR'!W68+'GT-SERV'!W68+ACCESS!W68</f>
        <v>81684.539999999994</v>
      </c>
      <c r="X68" s="106">
        <f>+'NEW CAR'!X68+'GT-SERV'!X68+ACCESS!X68</f>
        <v>59404.11</v>
      </c>
      <c r="Y68" s="106">
        <f>+'NEW CAR'!Y68+'GT-SERV'!Y68+ACCESS!Y68</f>
        <v>0</v>
      </c>
      <c r="Z68" s="106">
        <f>+'NEW CAR'!Z68+'GT-SERV'!Z68+ACCESS!Z68</f>
        <v>0</v>
      </c>
      <c r="AA68" s="106">
        <f t="shared" si="60"/>
        <v>750372.89</v>
      </c>
      <c r="AB68" s="118"/>
      <c r="AC68" s="106">
        <f>+'NEW CAR'!AC68+'GT-SERV'!AC68+ACCESS!AC68</f>
        <v>0</v>
      </c>
      <c r="AD68" s="106">
        <f>+'NEW CAR'!AD68+'GT-SERV'!AD68+ACCESS!AD68</f>
        <v>0</v>
      </c>
      <c r="AE68" s="106">
        <f>+'NEW CAR'!AE68+'GT-SERV'!AE68+ACCESS!AE68</f>
        <v>0</v>
      </c>
      <c r="AF68" s="106">
        <f>+'NEW CAR'!AF68+'GT-SERV'!AF68+ACCESS!AF68</f>
        <v>0</v>
      </c>
      <c r="AG68" s="106">
        <f>+'NEW CAR'!AG68+'GT-SERV'!AG68+ACCESS!AG68</f>
        <v>0</v>
      </c>
      <c r="AH68" s="106">
        <f>+'NEW CAR'!AH68+'GT-SERV'!AH68+ACCESS!AH68</f>
        <v>0</v>
      </c>
      <c r="AI68" s="106">
        <f>+'NEW CAR'!AI68+'GT-SERV'!AI68+ACCESS!AI68</f>
        <v>0</v>
      </c>
      <c r="AJ68" s="106">
        <f>+'NEW CAR'!AJ68+'GT-SERV'!AJ68+ACCESS!AJ68</f>
        <v>0</v>
      </c>
      <c r="AK68" s="106">
        <f>+'NEW CAR'!AK68+'GT-SERV'!AK68+ACCESS!AK68</f>
        <v>0</v>
      </c>
      <c r="AL68" s="106">
        <f>+'NEW CAR'!AL68+'GT-SERV'!AL68+ACCESS!AL68</f>
        <v>0</v>
      </c>
      <c r="AM68" s="106">
        <f>+'NEW CAR'!AM68+'GT-SERV'!AM68+ACCESS!AM68</f>
        <v>0</v>
      </c>
      <c r="AN68" s="106">
        <f>+'NEW CAR'!AN68+'GT-SERV'!AN68+ACCESS!AN68</f>
        <v>0</v>
      </c>
      <c r="AO68" s="106">
        <f t="shared" si="61"/>
        <v>0</v>
      </c>
    </row>
    <row r="69" spans="1:45" outlineLevel="1">
      <c r="A69" s="106">
        <f>+'NEW CAR'!A69+'GT-SERV'!A69+ACCESS!A69</f>
        <v>0</v>
      </c>
      <c r="B69" s="106">
        <f>+'NEW CAR'!B69+'GT-SERV'!B69+ACCESS!B69</f>
        <v>0</v>
      </c>
      <c r="C69" s="106">
        <f>+'NEW CAR'!C69+'GT-SERV'!C69+ACCESS!C69</f>
        <v>0</v>
      </c>
      <c r="D69" s="106">
        <f>+'NEW CAR'!D69+'GT-SERV'!D69+ACCESS!D69</f>
        <v>0</v>
      </c>
      <c r="E69" s="106">
        <f>+'NEW CAR'!E69+'GT-SERV'!E69+ACCESS!E69</f>
        <v>0</v>
      </c>
      <c r="F69" s="106">
        <f>+'NEW CAR'!F69+'GT-SERV'!F69+ACCESS!F69</f>
        <v>0</v>
      </c>
      <c r="G69" s="106">
        <f>+'NEW CAR'!G69+'GT-SERV'!G69+ACCESS!G69</f>
        <v>0</v>
      </c>
      <c r="H69" s="106">
        <f>+'NEW CAR'!H69+'GT-SERV'!H69+ACCESS!H69</f>
        <v>0</v>
      </c>
      <c r="I69" s="106">
        <f>+'NEW CAR'!I69+'GT-SERV'!I69+ACCESS!I69</f>
        <v>0</v>
      </c>
      <c r="J69" s="106">
        <f>+'NEW CAR'!J69+'GT-SERV'!J69+ACCESS!J69</f>
        <v>0</v>
      </c>
      <c r="K69" s="106">
        <f>+'NEW CAR'!K69+'GT-SERV'!K69+ACCESS!K69</f>
        <v>0</v>
      </c>
      <c r="L69" s="106">
        <f>+'NEW CAR'!L69+'GT-SERV'!L69+ACCESS!L69</f>
        <v>0</v>
      </c>
      <c r="M69" s="106">
        <f t="shared" si="59"/>
        <v>0</v>
      </c>
      <c r="N69" s="7" t="s">
        <v>55</v>
      </c>
      <c r="O69" s="106">
        <f>+'NEW CAR'!O69+'GT-SERV'!O69+ACCESS!O69</f>
        <v>0</v>
      </c>
      <c r="P69" s="106">
        <f>+'NEW CAR'!P69+'GT-SERV'!P69+ACCESS!P69</f>
        <v>0</v>
      </c>
      <c r="Q69" s="106">
        <f>+'NEW CAR'!Q69+'GT-SERV'!Q69+ACCESS!Q69</f>
        <v>0</v>
      </c>
      <c r="R69" s="106">
        <f>+'NEW CAR'!R69+'GT-SERV'!R69+ACCESS!R69</f>
        <v>0</v>
      </c>
      <c r="S69" s="106">
        <f>+'NEW CAR'!S69+'GT-SERV'!S69+ACCESS!S69</f>
        <v>0</v>
      </c>
      <c r="T69" s="106">
        <f>+'NEW CAR'!T69+'GT-SERV'!T69+ACCESS!T69</f>
        <v>0</v>
      </c>
      <c r="U69" s="106">
        <f>+'NEW CAR'!U69+'GT-SERV'!U69+ACCESS!U69</f>
        <v>56353.85</v>
      </c>
      <c r="V69" s="106">
        <f>+'NEW CAR'!V69+'GT-SERV'!V69+ACCESS!V69</f>
        <v>0</v>
      </c>
      <c r="W69" s="106">
        <f>+'NEW CAR'!W69+'GT-SERV'!W69+ACCESS!W69</f>
        <v>35685.4</v>
      </c>
      <c r="X69" s="106">
        <f>+'NEW CAR'!X69+'GT-SERV'!X69+ACCESS!X69</f>
        <v>86737.010000000009</v>
      </c>
      <c r="Y69" s="106">
        <f>+'NEW CAR'!Y69+'GT-SERV'!Y69+ACCESS!Y69</f>
        <v>0</v>
      </c>
      <c r="Z69" s="106">
        <f>+'NEW CAR'!Z69+'GT-SERV'!Z69+ACCESS!Z69</f>
        <v>0</v>
      </c>
      <c r="AA69" s="106">
        <f t="shared" si="60"/>
        <v>178776.26</v>
      </c>
      <c r="AB69" s="118"/>
      <c r="AC69" s="106">
        <f>+'NEW CAR'!AC69+'GT-SERV'!AC69+ACCESS!AC69</f>
        <v>0</v>
      </c>
      <c r="AD69" s="106">
        <f>+'NEW CAR'!AD69+'GT-SERV'!AD69+ACCESS!AD69</f>
        <v>0</v>
      </c>
      <c r="AE69" s="106">
        <f>+'NEW CAR'!AE69+'GT-SERV'!AE69+ACCESS!AE69</f>
        <v>0</v>
      </c>
      <c r="AF69" s="106">
        <f>+'NEW CAR'!AF69+'GT-SERV'!AF69+ACCESS!AF69</f>
        <v>0</v>
      </c>
      <c r="AG69" s="106">
        <f>+'NEW CAR'!AG69+'GT-SERV'!AG69+ACCESS!AG69</f>
        <v>0</v>
      </c>
      <c r="AH69" s="106">
        <f>+'NEW CAR'!AH69+'GT-SERV'!AH69+ACCESS!AH69</f>
        <v>0</v>
      </c>
      <c r="AI69" s="106">
        <f>+'NEW CAR'!AI69+'GT-SERV'!AI69+ACCESS!AI69</f>
        <v>0</v>
      </c>
      <c r="AJ69" s="106">
        <f>+'NEW CAR'!AJ69+'GT-SERV'!AJ69+ACCESS!AJ69</f>
        <v>0</v>
      </c>
      <c r="AK69" s="106">
        <f>+'NEW CAR'!AK69+'GT-SERV'!AK69+ACCESS!AK69</f>
        <v>0</v>
      </c>
      <c r="AL69" s="106">
        <f>+'NEW CAR'!AL69+'GT-SERV'!AL69+ACCESS!AL69</f>
        <v>0</v>
      </c>
      <c r="AM69" s="106">
        <f>+'NEW CAR'!AM69+'GT-SERV'!AM69+ACCESS!AM69</f>
        <v>0</v>
      </c>
      <c r="AN69" s="106">
        <f>+'NEW CAR'!AN69+'GT-SERV'!AN69+ACCESS!AN69</f>
        <v>0</v>
      </c>
      <c r="AO69" s="106">
        <f t="shared" si="61"/>
        <v>0</v>
      </c>
    </row>
    <row r="70" spans="1:45">
      <c r="A70" s="58">
        <f t="shared" ref="A70:M70" si="62">+A60+A55+A51+A52+A29+A27+(A7/3.5%)+A8+A13</f>
        <v>116725785.88857138</v>
      </c>
      <c r="B70" s="58">
        <f t="shared" si="62"/>
        <v>246473515.41281351</v>
      </c>
      <c r="C70" s="58">
        <f t="shared" si="62"/>
        <v>326463951.37726855</v>
      </c>
      <c r="D70" s="58">
        <f t="shared" si="62"/>
        <v>135925280.62780485</v>
      </c>
      <c r="E70" s="58">
        <f t="shared" si="62"/>
        <v>245352340.55110115</v>
      </c>
      <c r="F70" s="58">
        <f t="shared" si="62"/>
        <v>188879964.5610964</v>
      </c>
      <c r="G70" s="58">
        <f t="shared" si="62"/>
        <v>189660716.72824469</v>
      </c>
      <c r="H70" s="58">
        <f t="shared" si="62"/>
        <v>213489720.73434818</v>
      </c>
      <c r="I70" s="58">
        <f t="shared" si="62"/>
        <v>184284720.35167825</v>
      </c>
      <c r="J70" s="58">
        <f t="shared" si="62"/>
        <v>220735875.39687967</v>
      </c>
      <c r="K70" s="58">
        <f t="shared" si="62"/>
        <v>221816018.80717269</v>
      </c>
      <c r="L70" s="58">
        <f t="shared" si="62"/>
        <v>261458331.71883664</v>
      </c>
      <c r="M70" s="58">
        <f t="shared" si="62"/>
        <v>2551266222.1558166</v>
      </c>
      <c r="N70" s="14" t="s">
        <v>56</v>
      </c>
      <c r="O70" s="58">
        <f t="shared" ref="O70:AA70" si="63">+O60+O55+O51+O52+O29+O27+(O7/3.5%)+O8+O13</f>
        <v>218273415.13879326</v>
      </c>
      <c r="P70" s="58">
        <f t="shared" si="63"/>
        <v>141376909.60138503</v>
      </c>
      <c r="Q70" s="58">
        <f t="shared" si="63"/>
        <v>290663465.199332</v>
      </c>
      <c r="R70" s="58">
        <f t="shared" si="63"/>
        <v>177073806.45468846</v>
      </c>
      <c r="S70" s="58">
        <f t="shared" si="63"/>
        <v>182797077.10276169</v>
      </c>
      <c r="T70" s="58">
        <f t="shared" si="63"/>
        <v>204264002.82040852</v>
      </c>
      <c r="U70" s="58">
        <f t="shared" si="63"/>
        <v>261731500.72814283</v>
      </c>
      <c r="V70" s="58">
        <f t="shared" si="63"/>
        <v>205728716.42816034</v>
      </c>
      <c r="W70" s="58">
        <f t="shared" si="63"/>
        <v>301829750.803258</v>
      </c>
      <c r="X70" s="58">
        <f t="shared" si="63"/>
        <v>274711756.26506507</v>
      </c>
      <c r="Y70" s="58">
        <f t="shared" si="63"/>
        <v>0</v>
      </c>
      <c r="Z70" s="58">
        <f t="shared" si="63"/>
        <v>0</v>
      </c>
      <c r="AA70" s="58">
        <f t="shared" si="63"/>
        <v>2258450400.541995</v>
      </c>
      <c r="AB70" s="118"/>
      <c r="AC70" s="58">
        <f t="shared" ref="AC70:AO70" si="64">+AC60+AC55+AC51+AC52+AC29+AC27+(AC7/3.5%)+AC8+AC13</f>
        <v>196449110.47056308</v>
      </c>
      <c r="AD70" s="58">
        <f t="shared" si="64"/>
        <v>204075866.13842162</v>
      </c>
      <c r="AE70" s="58">
        <f t="shared" si="64"/>
        <v>250932797.93656731</v>
      </c>
      <c r="AF70" s="58">
        <f t="shared" si="64"/>
        <v>174566479.58209428</v>
      </c>
      <c r="AG70" s="58">
        <f t="shared" si="64"/>
        <v>219952611.33566809</v>
      </c>
      <c r="AH70" s="58">
        <f t="shared" si="64"/>
        <v>178317729.6762245</v>
      </c>
      <c r="AI70" s="58">
        <f t="shared" si="64"/>
        <v>201817754.8943544</v>
      </c>
      <c r="AJ70" s="58">
        <f t="shared" si="64"/>
        <v>222328796.86673918</v>
      </c>
      <c r="AK70" s="58">
        <f t="shared" si="64"/>
        <v>242434292.20560583</v>
      </c>
      <c r="AL70" s="58">
        <f t="shared" si="64"/>
        <v>194415303.43646291</v>
      </c>
      <c r="AM70" s="58">
        <f t="shared" si="64"/>
        <v>170010261.32009766</v>
      </c>
      <c r="AN70" s="58">
        <f t="shared" si="64"/>
        <v>246978241.75224295</v>
      </c>
      <c r="AO70" s="58">
        <f t="shared" si="64"/>
        <v>2502279245.6150422</v>
      </c>
    </row>
    <row r="71" spans="1:45">
      <c r="A71" s="58">
        <f>+A60+A58+A47+A27+A6</f>
        <v>17784672.503743012</v>
      </c>
      <c r="B71" s="58">
        <f t="shared" ref="B71:M71" si="65">+B60+B58+B47+B27+B6</f>
        <v>27296900.756328024</v>
      </c>
      <c r="C71" s="58">
        <f t="shared" si="65"/>
        <v>35817915.333397433</v>
      </c>
      <c r="D71" s="58">
        <f t="shared" si="65"/>
        <v>15980904.505297381</v>
      </c>
      <c r="E71" s="58">
        <f t="shared" si="65"/>
        <v>20850841.373722311</v>
      </c>
      <c r="F71" s="58">
        <f t="shared" si="65"/>
        <v>22087321.6052102</v>
      </c>
      <c r="G71" s="58">
        <f t="shared" si="65"/>
        <v>21741089.951730404</v>
      </c>
      <c r="H71" s="58">
        <f t="shared" si="65"/>
        <v>23553830.384633914</v>
      </c>
      <c r="I71" s="58">
        <f t="shared" si="65"/>
        <v>25263428.957917459</v>
      </c>
      <c r="J71" s="58">
        <f t="shared" si="65"/>
        <v>21243033.199024875</v>
      </c>
      <c r="K71" s="58">
        <f t="shared" si="65"/>
        <v>25540648.450648859</v>
      </c>
      <c r="L71" s="58">
        <f t="shared" si="65"/>
        <v>36371745.013135605</v>
      </c>
      <c r="M71" s="58">
        <f t="shared" si="65"/>
        <v>293532332.03478956</v>
      </c>
      <c r="N71" s="14" t="s">
        <v>57</v>
      </c>
      <c r="O71" s="58">
        <f>+O60+O58+O47+O27+O6</f>
        <v>23862725.377993248</v>
      </c>
      <c r="P71" s="58">
        <f t="shared" ref="P71:AA71" si="66">+P60+P58+P47+P27+P6</f>
        <v>14668999.747336563</v>
      </c>
      <c r="Q71" s="58">
        <f t="shared" si="66"/>
        <v>34701779.64507544</v>
      </c>
      <c r="R71" s="58">
        <f t="shared" si="66"/>
        <v>23344970.219149176</v>
      </c>
      <c r="S71" s="58">
        <f t="shared" si="66"/>
        <v>27796643.422909111</v>
      </c>
      <c r="T71" s="58">
        <f t="shared" si="66"/>
        <v>26732749.666630656</v>
      </c>
      <c r="U71" s="58">
        <f t="shared" si="66"/>
        <v>30721012.498625141</v>
      </c>
      <c r="V71" s="58">
        <f t="shared" si="66"/>
        <v>23811544.711017497</v>
      </c>
      <c r="W71" s="58">
        <f t="shared" si="66"/>
        <v>37072357.685070217</v>
      </c>
      <c r="X71" s="58">
        <f t="shared" si="66"/>
        <v>27995671.011565104</v>
      </c>
      <c r="Y71" s="58">
        <f t="shared" si="66"/>
        <v>0</v>
      </c>
      <c r="Z71" s="58">
        <f t="shared" si="66"/>
        <v>0</v>
      </c>
      <c r="AA71" s="58">
        <f t="shared" si="66"/>
        <v>270708453.98537213</v>
      </c>
      <c r="AB71" s="118"/>
      <c r="AC71" s="58">
        <f>+AC60+AC58+AC47+AC27+AC6</f>
        <v>26231364.817500439</v>
      </c>
      <c r="AD71" s="58">
        <f t="shared" ref="AD71:AO71" si="67">+AD60+AD58+AD47+AD27+AD6</f>
        <v>24354696.859089352</v>
      </c>
      <c r="AE71" s="58">
        <f t="shared" si="67"/>
        <v>41512331.044346213</v>
      </c>
      <c r="AF71" s="58">
        <f t="shared" si="67"/>
        <v>21125175.464341816</v>
      </c>
      <c r="AG71" s="58">
        <f t="shared" si="67"/>
        <v>24759673.303384282</v>
      </c>
      <c r="AH71" s="58">
        <f t="shared" si="67"/>
        <v>31958110.953878526</v>
      </c>
      <c r="AI71" s="58">
        <f t="shared" si="67"/>
        <v>25835524.368590824</v>
      </c>
      <c r="AJ71" s="58">
        <f t="shared" si="67"/>
        <v>28966073.266714215</v>
      </c>
      <c r="AK71" s="58">
        <f t="shared" si="67"/>
        <v>37486375.755324304</v>
      </c>
      <c r="AL71" s="58">
        <f t="shared" si="67"/>
        <v>23307350.893825144</v>
      </c>
      <c r="AM71" s="58">
        <f t="shared" si="67"/>
        <v>20947503.082227897</v>
      </c>
      <c r="AN71" s="58">
        <f t="shared" si="67"/>
        <v>41085353.137102574</v>
      </c>
      <c r="AO71" s="58">
        <f t="shared" si="67"/>
        <v>347569532.94632566</v>
      </c>
    </row>
    <row r="72" spans="1:45">
      <c r="A72" s="108">
        <f>+IFERROR(A71/A70,0)</f>
        <v>0.1523628422662375</v>
      </c>
      <c r="B72" s="108">
        <f t="shared" ref="B72:M72" si="68">+IFERROR(B71/B70,0)</f>
        <v>0.1107498333466336</v>
      </c>
      <c r="C72" s="108">
        <f t="shared" si="68"/>
        <v>0.10971476385766557</v>
      </c>
      <c r="D72" s="108">
        <f t="shared" si="68"/>
        <v>0.11757124525684688</v>
      </c>
      <c r="E72" s="108">
        <f t="shared" si="68"/>
        <v>8.4983258471828471E-2</v>
      </c>
      <c r="F72" s="108">
        <f t="shared" si="68"/>
        <v>0.11693840400984237</v>
      </c>
      <c r="G72" s="108">
        <f t="shared" si="68"/>
        <v>0.11463148682962175</v>
      </c>
      <c r="H72" s="108">
        <f t="shared" si="68"/>
        <v>0.11032770244682023</v>
      </c>
      <c r="I72" s="108">
        <f t="shared" si="68"/>
        <v>0.13708911357222781</v>
      </c>
      <c r="J72" s="108">
        <f t="shared" si="68"/>
        <v>9.6237338678319642E-2</v>
      </c>
      <c r="K72" s="108">
        <f t="shared" si="68"/>
        <v>0.11514339040072508</v>
      </c>
      <c r="L72" s="108">
        <f t="shared" si="68"/>
        <v>0.13911105748295119</v>
      </c>
      <c r="M72" s="108">
        <f t="shared" si="68"/>
        <v>0.11505358769919163</v>
      </c>
      <c r="N72" s="15" t="s">
        <v>58</v>
      </c>
      <c r="O72" s="108">
        <f>+IFERROR(O71/O70,0)</f>
        <v>0.10932492792500491</v>
      </c>
      <c r="P72" s="108">
        <f t="shared" ref="P72:AA72" si="69">+IFERROR(P71/P70,0)</f>
        <v>0.10375810157893602</v>
      </c>
      <c r="Q72" s="108">
        <f t="shared" si="69"/>
        <v>0.11938817154497748</v>
      </c>
      <c r="R72" s="108">
        <f t="shared" si="69"/>
        <v>0.13183751276687519</v>
      </c>
      <c r="S72" s="108">
        <f t="shared" si="69"/>
        <v>0.15206284402065617</v>
      </c>
      <c r="T72" s="108">
        <f t="shared" si="69"/>
        <v>0.13087352297768504</v>
      </c>
      <c r="U72" s="108">
        <f t="shared" si="69"/>
        <v>0.1173760606314433</v>
      </c>
      <c r="V72" s="108">
        <f t="shared" si="69"/>
        <v>0.11574244531551528</v>
      </c>
      <c r="W72" s="108">
        <f t="shared" si="69"/>
        <v>0.12282539274677111</v>
      </c>
      <c r="X72" s="108">
        <f t="shared" si="69"/>
        <v>0.10190925715080253</v>
      </c>
      <c r="Y72" s="108">
        <f t="shared" si="69"/>
        <v>0</v>
      </c>
      <c r="Z72" s="108">
        <f t="shared" si="69"/>
        <v>0</v>
      </c>
      <c r="AA72" s="108">
        <f t="shared" si="69"/>
        <v>0.11986468860259497</v>
      </c>
      <c r="AB72" s="118"/>
      <c r="AC72" s="108">
        <f>+IFERROR(AC71/AC70,0)</f>
        <v>0.133527531657778</v>
      </c>
      <c r="AD72" s="108">
        <f t="shared" ref="AD72:AO72" si="70">+IFERROR(AD71/AD70,0)</f>
        <v>0.11934138671042034</v>
      </c>
      <c r="AE72" s="108">
        <f t="shared" si="70"/>
        <v>0.1654320654203203</v>
      </c>
      <c r="AF72" s="108">
        <f t="shared" si="70"/>
        <v>0.12101507411339626</v>
      </c>
      <c r="AG72" s="108">
        <f t="shared" si="70"/>
        <v>0.11256821709472102</v>
      </c>
      <c r="AH72" s="108">
        <f t="shared" si="70"/>
        <v>0.17922004173059844</v>
      </c>
      <c r="AI72" s="108">
        <f t="shared" si="70"/>
        <v>0.12801413028360639</v>
      </c>
      <c r="AJ72" s="108">
        <f t="shared" si="70"/>
        <v>0.13028484692460277</v>
      </c>
      <c r="AK72" s="108">
        <f t="shared" si="70"/>
        <v>0.15462488996207074</v>
      </c>
      <c r="AL72" s="108">
        <f t="shared" si="70"/>
        <v>0.11988434285700275</v>
      </c>
      <c r="AM72" s="108">
        <f t="shared" si="70"/>
        <v>0.12321316913211286</v>
      </c>
      <c r="AN72" s="108">
        <f t="shared" si="70"/>
        <v>0.16635211606339592</v>
      </c>
      <c r="AO72" s="108">
        <f t="shared" si="70"/>
        <v>0.13890117721889012</v>
      </c>
    </row>
    <row r="73" spans="1:4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16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11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</row>
    <row r="74" spans="1:45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18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</row>
    <row r="75" spans="1:45" ht="17.25">
      <c r="A75" s="58">
        <f t="shared" ref="A75:M75" si="71">+A76+A87+A90</f>
        <v>2796264.3225000002</v>
      </c>
      <c r="B75" s="58">
        <f t="shared" si="71"/>
        <v>3780395.1030000001</v>
      </c>
      <c r="C75" s="58">
        <f t="shared" si="71"/>
        <v>4140763.75</v>
      </c>
      <c r="D75" s="58">
        <f t="shared" si="71"/>
        <v>3017724.7761400002</v>
      </c>
      <c r="E75" s="58">
        <f t="shared" si="71"/>
        <v>3305107.6546666669</v>
      </c>
      <c r="F75" s="58">
        <f t="shared" si="71"/>
        <v>3983450.5700000003</v>
      </c>
      <c r="G75" s="58">
        <f t="shared" si="71"/>
        <v>3596551.0669999998</v>
      </c>
      <c r="H75" s="58">
        <f t="shared" si="71"/>
        <v>3306357.32</v>
      </c>
      <c r="I75" s="58">
        <f t="shared" si="71"/>
        <v>3217443.0990000004</v>
      </c>
      <c r="J75" s="58">
        <f t="shared" si="71"/>
        <v>3551383.1430000002</v>
      </c>
      <c r="K75" s="58">
        <f t="shared" si="71"/>
        <v>3764002.0999999996</v>
      </c>
      <c r="L75" s="58">
        <f t="shared" si="71"/>
        <v>4063452.24</v>
      </c>
      <c r="M75" s="58">
        <f t="shared" si="71"/>
        <v>42522895.145306662</v>
      </c>
      <c r="N75" s="17" t="s">
        <v>59</v>
      </c>
      <c r="O75" s="58">
        <f t="shared" ref="O75:AA75" si="72">+O76+O87+O90</f>
        <v>3887525.5657952116</v>
      </c>
      <c r="P75" s="58">
        <f t="shared" si="72"/>
        <v>2994525.9319121889</v>
      </c>
      <c r="Q75" s="58">
        <f t="shared" si="72"/>
        <v>4556914.3819999993</v>
      </c>
      <c r="R75" s="58">
        <f t="shared" si="72"/>
        <v>2639374.7400000002</v>
      </c>
      <c r="S75" s="58">
        <f t="shared" si="72"/>
        <v>3800958.784</v>
      </c>
      <c r="T75" s="58">
        <f t="shared" si="72"/>
        <v>4619687.9079999998</v>
      </c>
      <c r="U75" s="58">
        <f t="shared" si="72"/>
        <v>3470295.9755164832</v>
      </c>
      <c r="V75" s="58">
        <f t="shared" si="72"/>
        <v>4361138.6380000003</v>
      </c>
      <c r="W75" s="58">
        <f t="shared" si="72"/>
        <v>4046047.5589999999</v>
      </c>
      <c r="X75" s="58">
        <f t="shared" si="72"/>
        <v>4641565.51</v>
      </c>
      <c r="Y75" s="58">
        <f t="shared" si="72"/>
        <v>0</v>
      </c>
      <c r="Z75" s="58">
        <f t="shared" si="72"/>
        <v>0</v>
      </c>
      <c r="AA75" s="58">
        <f t="shared" si="72"/>
        <v>39018034.994223885</v>
      </c>
      <c r="AB75" s="118"/>
      <c r="AC75" s="58">
        <f t="shared" ref="AC75:AO75" si="73">+AC76+AC87+AC90</f>
        <v>4026433.1758000003</v>
      </c>
      <c r="AD75" s="58">
        <f t="shared" si="73"/>
        <v>4002889.1685199998</v>
      </c>
      <c r="AE75" s="58">
        <f t="shared" si="73"/>
        <v>4818208.4921800001</v>
      </c>
      <c r="AF75" s="58">
        <f t="shared" si="73"/>
        <v>3975490.3328999998</v>
      </c>
      <c r="AG75" s="58">
        <f t="shared" si="73"/>
        <v>4290768.0827000001</v>
      </c>
      <c r="AH75" s="58">
        <f t="shared" si="73"/>
        <v>3940076.6768</v>
      </c>
      <c r="AI75" s="58">
        <f t="shared" si="73"/>
        <v>4077343.9169000001</v>
      </c>
      <c r="AJ75" s="58">
        <f t="shared" si="73"/>
        <v>4596569.5734999999</v>
      </c>
      <c r="AK75" s="58">
        <f t="shared" si="73"/>
        <v>4620145.3816</v>
      </c>
      <c r="AL75" s="58">
        <f t="shared" si="73"/>
        <v>4074193.3169222223</v>
      </c>
      <c r="AM75" s="58">
        <f t="shared" si="73"/>
        <v>3798496.2913155556</v>
      </c>
      <c r="AN75" s="58">
        <f t="shared" si="73"/>
        <v>4856614.5397824245</v>
      </c>
      <c r="AO75" s="58">
        <f t="shared" si="73"/>
        <v>51077228.948920198</v>
      </c>
    </row>
    <row r="76" spans="1:45" outlineLevel="1">
      <c r="A76" s="58">
        <f t="shared" ref="A76:M76" si="74">+SUM(A77:A86)</f>
        <v>774811.0199999999</v>
      </c>
      <c r="B76" s="58">
        <f t="shared" si="74"/>
        <v>1151215.18</v>
      </c>
      <c r="C76" s="58">
        <f t="shared" si="74"/>
        <v>1189067.4499999997</v>
      </c>
      <c r="D76" s="58">
        <f t="shared" si="74"/>
        <v>1059484.75</v>
      </c>
      <c r="E76" s="58">
        <f t="shared" si="74"/>
        <v>1133490.2866666669</v>
      </c>
      <c r="F76" s="58">
        <f t="shared" si="74"/>
        <v>1653698.1800000002</v>
      </c>
      <c r="G76" s="58">
        <f t="shared" si="74"/>
        <v>1155706.1500000001</v>
      </c>
      <c r="H76" s="58">
        <f t="shared" si="74"/>
        <v>1292815.27</v>
      </c>
      <c r="I76" s="58">
        <f t="shared" si="74"/>
        <v>982624.22</v>
      </c>
      <c r="J76" s="58">
        <f t="shared" si="74"/>
        <v>1231309.47</v>
      </c>
      <c r="K76" s="58">
        <f t="shared" si="74"/>
        <v>970210.27000000014</v>
      </c>
      <c r="L76" s="58">
        <f t="shared" si="74"/>
        <v>928843.15999999992</v>
      </c>
      <c r="M76" s="58">
        <f t="shared" si="74"/>
        <v>13523275.406666664</v>
      </c>
      <c r="N76" s="18" t="s">
        <v>60</v>
      </c>
      <c r="O76" s="58">
        <f t="shared" ref="O76:AA76" si="75">+SUM(O77:O86)</f>
        <v>896893.87000000011</v>
      </c>
      <c r="P76" s="58">
        <f t="shared" si="75"/>
        <v>925157.29</v>
      </c>
      <c r="Q76" s="58">
        <f t="shared" si="75"/>
        <v>1499975.07</v>
      </c>
      <c r="R76" s="58">
        <f t="shared" si="75"/>
        <v>552280.28</v>
      </c>
      <c r="S76" s="58">
        <f t="shared" si="75"/>
        <v>1190777.6499999999</v>
      </c>
      <c r="T76" s="58">
        <f t="shared" si="75"/>
        <v>1044117.01</v>
      </c>
      <c r="U76" s="58">
        <f t="shared" si="75"/>
        <v>987530.99684981676</v>
      </c>
      <c r="V76" s="58">
        <f t="shared" si="75"/>
        <v>760379.44</v>
      </c>
      <c r="W76" s="58">
        <f t="shared" si="75"/>
        <v>1053739.04</v>
      </c>
      <c r="X76" s="58">
        <f t="shared" si="75"/>
        <v>1455534.0999999999</v>
      </c>
      <c r="Y76" s="58">
        <f t="shared" si="75"/>
        <v>0</v>
      </c>
      <c r="Z76" s="58">
        <f t="shared" si="75"/>
        <v>0</v>
      </c>
      <c r="AA76" s="58">
        <f t="shared" si="75"/>
        <v>10366384.746849818</v>
      </c>
      <c r="AB76" s="118"/>
      <c r="AC76" s="58">
        <f t="shared" ref="AC76:AO76" si="76">+SUM(AC77:AC86)</f>
        <v>1190000</v>
      </c>
      <c r="AD76" s="58">
        <f t="shared" si="76"/>
        <v>1190000</v>
      </c>
      <c r="AE76" s="58">
        <f t="shared" si="76"/>
        <v>1510000</v>
      </c>
      <c r="AF76" s="58">
        <f t="shared" si="76"/>
        <v>1230000</v>
      </c>
      <c r="AG76" s="58">
        <f t="shared" si="76"/>
        <v>1310000</v>
      </c>
      <c r="AH76" s="58">
        <f t="shared" si="76"/>
        <v>1150000</v>
      </c>
      <c r="AI76" s="58">
        <f t="shared" si="76"/>
        <v>1190000</v>
      </c>
      <c r="AJ76" s="58">
        <f t="shared" si="76"/>
        <v>1390000</v>
      </c>
      <c r="AK76" s="58">
        <f t="shared" si="76"/>
        <v>1390000</v>
      </c>
      <c r="AL76" s="58">
        <f t="shared" si="76"/>
        <v>1230000</v>
      </c>
      <c r="AM76" s="58">
        <f t="shared" si="76"/>
        <v>1150000</v>
      </c>
      <c r="AN76" s="58">
        <f t="shared" si="76"/>
        <v>1510000</v>
      </c>
      <c r="AO76" s="58">
        <f t="shared" si="76"/>
        <v>15440000</v>
      </c>
    </row>
    <row r="77" spans="1:45" outlineLevel="1">
      <c r="A77" s="106">
        <f>+'NEW CAR'!A77+'GT-SERV'!A77+ACCESS!A77</f>
        <v>161414.34000000003</v>
      </c>
      <c r="B77" s="106">
        <f>+'NEW CAR'!B77+'GT-SERV'!B77+ACCESS!B77</f>
        <v>180220.17999999996</v>
      </c>
      <c r="C77" s="106">
        <f>+'NEW CAR'!C77+'GT-SERV'!C77+ACCESS!C77</f>
        <v>245247.37999999995</v>
      </c>
      <c r="D77" s="106">
        <f>+'NEW CAR'!D77+'GT-SERV'!D77+ACCESS!D77</f>
        <v>71185.01999999999</v>
      </c>
      <c r="E77" s="106">
        <f>+'NEW CAR'!E77+'GT-SERV'!E77+ACCESS!E77</f>
        <v>71369.506666666668</v>
      </c>
      <c r="F77" s="106">
        <f>+'NEW CAR'!F77+'GT-SERV'!F77+ACCESS!F77</f>
        <v>450744.02</v>
      </c>
      <c r="G77" s="106">
        <f>+'NEW CAR'!G77+'GT-SERV'!G77+ACCESS!G77</f>
        <v>111760.06</v>
      </c>
      <c r="H77" s="106">
        <f>+'NEW CAR'!H77+'GT-SERV'!H77+ACCESS!H77</f>
        <v>321900</v>
      </c>
      <c r="I77" s="106">
        <f>+'NEW CAR'!I77+'GT-SERV'!I77+ACCESS!I77</f>
        <v>242510</v>
      </c>
      <c r="J77" s="106">
        <f>+'NEW CAR'!J77+'GT-SERV'!J77+ACCESS!J77</f>
        <v>503380</v>
      </c>
      <c r="K77" s="106">
        <f>+'NEW CAR'!K77+'GT-SERV'!K77+ACCESS!K77</f>
        <v>39490</v>
      </c>
      <c r="L77" s="106">
        <f>+'NEW CAR'!L77+'GT-SERV'!L77+ACCESS!L77</f>
        <v>132450</v>
      </c>
      <c r="M77" s="106">
        <f>+SUM(A77:L77)</f>
        <v>2531670.5066666668</v>
      </c>
      <c r="N77" s="16" t="s">
        <v>61</v>
      </c>
      <c r="O77" s="106">
        <f>+'NEW CAR'!O77+'GT-SERV'!O77+ACCESS!O77</f>
        <v>88410</v>
      </c>
      <c r="P77" s="106">
        <f>+'NEW CAR'!P77+'GT-SERV'!P77+ACCESS!P77</f>
        <v>490718.75</v>
      </c>
      <c r="Q77" s="106">
        <f>+'NEW CAR'!Q77+'GT-SERV'!Q77+ACCESS!Q77</f>
        <v>354117.64</v>
      </c>
      <c r="R77" s="106">
        <f>+'NEW CAR'!R77+'GT-SERV'!R77+ACCESS!R77</f>
        <v>151491.47999999998</v>
      </c>
      <c r="S77" s="106">
        <f>+'NEW CAR'!S77+'GT-SERV'!S77+ACCESS!S77</f>
        <v>510128.75</v>
      </c>
      <c r="T77" s="106">
        <f>+'NEW CAR'!T77+'GT-SERV'!T77+ACCESS!T77</f>
        <v>256248.02000000002</v>
      </c>
      <c r="U77" s="106">
        <f>+'NEW CAR'!U77+'GT-SERV'!U77+ACCESS!U77</f>
        <v>309073.82684981683</v>
      </c>
      <c r="V77" s="106">
        <f>+'NEW CAR'!V77+'GT-SERV'!V77+ACCESS!V77</f>
        <v>238138</v>
      </c>
      <c r="W77" s="106">
        <f>+'NEW CAR'!W77+'GT-SERV'!W77+ACCESS!W77</f>
        <v>400837.93999999994</v>
      </c>
      <c r="X77" s="106">
        <f>+'NEW CAR'!X77+'GT-SERV'!X77+ACCESS!X77</f>
        <v>486156</v>
      </c>
      <c r="Y77" s="106">
        <f>+'NEW CAR'!Y77+'GT-SERV'!Y77+ACCESS!Y77</f>
        <v>0</v>
      </c>
      <c r="Z77" s="106">
        <f>+'NEW CAR'!Z77+'GT-SERV'!Z77+ACCESS!Z77</f>
        <v>0</v>
      </c>
      <c r="AA77" s="106">
        <f>+SUM(O77:Z77)</f>
        <v>3285320.4068498169</v>
      </c>
      <c r="AB77" s="118"/>
      <c r="AC77" s="106">
        <f>+'NEW CAR'!AC77+'GT-SERV'!AC77+ACCESS!AC77</f>
        <v>174000</v>
      </c>
      <c r="AD77" s="106">
        <f>+'NEW CAR'!AD77+'GT-SERV'!AD77+ACCESS!AD77</f>
        <v>174000</v>
      </c>
      <c r="AE77" s="106">
        <f>+'NEW CAR'!AE77+'GT-SERV'!AE77+ACCESS!AE77</f>
        <v>222000</v>
      </c>
      <c r="AF77" s="106">
        <f>+'NEW CAR'!AF77+'GT-SERV'!AF77+ACCESS!AF77</f>
        <v>180000</v>
      </c>
      <c r="AG77" s="106">
        <f>+'NEW CAR'!AG77+'GT-SERV'!AG77+ACCESS!AG77</f>
        <v>192000</v>
      </c>
      <c r="AH77" s="106">
        <f>+'NEW CAR'!AH77+'GT-SERV'!AH77+ACCESS!AH77</f>
        <v>168000</v>
      </c>
      <c r="AI77" s="106">
        <f>+'NEW CAR'!AI77+'GT-SERV'!AI77+ACCESS!AI77</f>
        <v>174000</v>
      </c>
      <c r="AJ77" s="106">
        <f>+'NEW CAR'!AJ77+'GT-SERV'!AJ77+ACCESS!AJ77</f>
        <v>204000</v>
      </c>
      <c r="AK77" s="106">
        <f>+'NEW CAR'!AK77+'GT-SERV'!AK77+ACCESS!AK77</f>
        <v>204000</v>
      </c>
      <c r="AL77" s="106">
        <f>+'NEW CAR'!AL77+'GT-SERV'!AL77+ACCESS!AL77</f>
        <v>180000</v>
      </c>
      <c r="AM77" s="106">
        <f>+'NEW CAR'!AM77+'GT-SERV'!AM77+ACCESS!AM77</f>
        <v>168000</v>
      </c>
      <c r="AN77" s="106">
        <f>+'NEW CAR'!AN77+'GT-SERV'!AN77+ACCESS!AN77</f>
        <v>222000</v>
      </c>
      <c r="AO77" s="106">
        <f>+SUM(AC77:AN77)</f>
        <v>2262000</v>
      </c>
      <c r="AS77" s="109"/>
    </row>
    <row r="78" spans="1:45" outlineLevel="1">
      <c r="A78" s="106">
        <f>+'NEW CAR'!A78+'GT-SERV'!A78+ACCESS!A78</f>
        <v>517096.63</v>
      </c>
      <c r="B78" s="106">
        <f>+'NEW CAR'!B78+'GT-SERV'!B78+ACCESS!B78</f>
        <v>518150.18</v>
      </c>
      <c r="C78" s="106">
        <f>+'NEW CAR'!C78+'GT-SERV'!C78+ACCESS!C78</f>
        <v>648415.97</v>
      </c>
      <c r="D78" s="106">
        <f>+'NEW CAR'!D78+'GT-SERV'!D78+ACCESS!D78</f>
        <v>717278.09</v>
      </c>
      <c r="E78" s="106">
        <f>+'NEW CAR'!E78+'GT-SERV'!E78+ACCESS!E78</f>
        <v>732571.84</v>
      </c>
      <c r="F78" s="106">
        <f>+'NEW CAR'!F78+'GT-SERV'!F78+ACCESS!F78</f>
        <v>604922.1</v>
      </c>
      <c r="G78" s="106">
        <f>+'NEW CAR'!G78+'GT-SERV'!G78+ACCESS!G78</f>
        <v>666559.69999999995</v>
      </c>
      <c r="H78" s="106">
        <f>+'NEW CAR'!H78+'GT-SERV'!H78+ACCESS!H78</f>
        <v>503277.89</v>
      </c>
      <c r="I78" s="106">
        <f>+'NEW CAR'!I78+'GT-SERV'!I78+ACCESS!I78</f>
        <v>488165.70999999996</v>
      </c>
      <c r="J78" s="106">
        <f>+'NEW CAR'!J78+'GT-SERV'!J78+ACCESS!J78</f>
        <v>648422.27</v>
      </c>
      <c r="K78" s="106">
        <f>+'NEW CAR'!K78+'GT-SERV'!K78+ACCESS!K78</f>
        <v>733140.09000000008</v>
      </c>
      <c r="L78" s="106">
        <f>+'NEW CAR'!L78+'GT-SERV'!L78+ACCESS!L78</f>
        <v>635465.61</v>
      </c>
      <c r="M78" s="106">
        <f t="shared" ref="M78:M102" si="77">+SUM(A78:L78)</f>
        <v>7413466.0799999991</v>
      </c>
      <c r="N78" s="16" t="s">
        <v>62</v>
      </c>
      <c r="O78" s="106">
        <f>+'NEW CAR'!O78+'GT-SERV'!O78+ACCESS!O78</f>
        <v>592078.05000000005</v>
      </c>
      <c r="P78" s="106">
        <f>+'NEW CAR'!P78+'GT-SERV'!P78+ACCESS!P78</f>
        <v>247135.57</v>
      </c>
      <c r="Q78" s="106">
        <f>+'NEW CAR'!Q78+'GT-SERV'!Q78+ACCESS!Q78</f>
        <v>448231.03</v>
      </c>
      <c r="R78" s="106">
        <f>+'NEW CAR'!R78+'GT-SERV'!R78+ACCESS!R78</f>
        <v>267266.58</v>
      </c>
      <c r="S78" s="106">
        <f>+'NEW CAR'!S78+'GT-SERV'!S78+ACCESS!S78</f>
        <v>350917.07999999996</v>
      </c>
      <c r="T78" s="106">
        <f>+'NEW CAR'!T78+'GT-SERV'!T78+ACCESS!T78</f>
        <v>408645.23</v>
      </c>
      <c r="U78" s="106">
        <f>+'NEW CAR'!U78+'GT-SERV'!U78+ACCESS!U78</f>
        <v>408220.04000000004</v>
      </c>
      <c r="V78" s="106">
        <f>+'NEW CAR'!V78+'GT-SERV'!V78+ACCESS!V78</f>
        <v>385956.07999999996</v>
      </c>
      <c r="W78" s="106">
        <f>+'NEW CAR'!W78+'GT-SERV'!W78+ACCESS!W78</f>
        <v>349688.06999999995</v>
      </c>
      <c r="X78" s="106">
        <f>+'NEW CAR'!X78+'GT-SERV'!X78+ACCESS!X78</f>
        <v>483694.7</v>
      </c>
      <c r="Y78" s="106">
        <f>+'NEW CAR'!Y78+'GT-SERV'!Y78+ACCESS!Y78</f>
        <v>0</v>
      </c>
      <c r="Z78" s="106">
        <f>+'NEW CAR'!Z78+'GT-SERV'!Z78+ACCESS!Z78</f>
        <v>0</v>
      </c>
      <c r="AA78" s="106">
        <f t="shared" ref="AA78:AA86" si="78">+SUM(O78:Z78)</f>
        <v>3941832.43</v>
      </c>
      <c r="AB78" s="118"/>
      <c r="AC78" s="106">
        <f>+'NEW CAR'!AC78+'GT-SERV'!AC78+ACCESS!AC78</f>
        <v>696000</v>
      </c>
      <c r="AD78" s="106">
        <f>+'NEW CAR'!AD78+'GT-SERV'!AD78+ACCESS!AD78</f>
        <v>696000</v>
      </c>
      <c r="AE78" s="106">
        <f>+'NEW CAR'!AE78+'GT-SERV'!AE78+ACCESS!AE78</f>
        <v>888000</v>
      </c>
      <c r="AF78" s="106">
        <f>+'NEW CAR'!AF78+'GT-SERV'!AF78+ACCESS!AF78</f>
        <v>720000</v>
      </c>
      <c r="AG78" s="106">
        <f>+'NEW CAR'!AG78+'GT-SERV'!AG78+ACCESS!AG78</f>
        <v>768000</v>
      </c>
      <c r="AH78" s="106">
        <f>+'NEW CAR'!AH78+'GT-SERV'!AH78+ACCESS!AH78</f>
        <v>672000</v>
      </c>
      <c r="AI78" s="106">
        <f>+'NEW CAR'!AI78+'GT-SERV'!AI78+ACCESS!AI78</f>
        <v>696000</v>
      </c>
      <c r="AJ78" s="106">
        <f>+'NEW CAR'!AJ78+'GT-SERV'!AJ78+ACCESS!AJ78</f>
        <v>816000</v>
      </c>
      <c r="AK78" s="106">
        <f>+'NEW CAR'!AK78+'GT-SERV'!AK78+ACCESS!AK78</f>
        <v>816000</v>
      </c>
      <c r="AL78" s="106">
        <f>+'NEW CAR'!AL78+'GT-SERV'!AL78+ACCESS!AL78</f>
        <v>720000</v>
      </c>
      <c r="AM78" s="106">
        <f>+'NEW CAR'!AM78+'GT-SERV'!AM78+ACCESS!AM78</f>
        <v>672000</v>
      </c>
      <c r="AN78" s="106">
        <f>+'NEW CAR'!AN78+'GT-SERV'!AN78+ACCESS!AN78</f>
        <v>888000</v>
      </c>
      <c r="AO78" s="106">
        <f t="shared" ref="AO78:AO86" si="79">+SUM(AC78:AN78)</f>
        <v>9048000</v>
      </c>
      <c r="AS78" s="109"/>
    </row>
    <row r="79" spans="1:45" outlineLevel="1">
      <c r="A79" s="106">
        <f>+'NEW CAR'!A79+'GT-SERV'!A79+ACCESS!A79</f>
        <v>0</v>
      </c>
      <c r="B79" s="106">
        <f>+'NEW CAR'!B79+'GT-SERV'!B79+ACCESS!B79</f>
        <v>0</v>
      </c>
      <c r="C79" s="106">
        <f>+'NEW CAR'!C79+'GT-SERV'!C79+ACCESS!C79</f>
        <v>0</v>
      </c>
      <c r="D79" s="106">
        <f>+'NEW CAR'!D79+'GT-SERV'!D79+ACCESS!D79</f>
        <v>0</v>
      </c>
      <c r="E79" s="106">
        <f>+'NEW CAR'!E79+'GT-SERV'!E79+ACCESS!E79</f>
        <v>2400</v>
      </c>
      <c r="F79" s="106">
        <f>+'NEW CAR'!F79+'GT-SERV'!F79+ACCESS!F79</f>
        <v>0</v>
      </c>
      <c r="G79" s="106">
        <f>+'NEW CAR'!G79+'GT-SERV'!G79+ACCESS!G79</f>
        <v>2800</v>
      </c>
      <c r="H79" s="106">
        <f>+'NEW CAR'!H79+'GT-SERV'!H79+ACCESS!H79</f>
        <v>0</v>
      </c>
      <c r="I79" s="106">
        <f>+'NEW CAR'!I79+'GT-SERV'!I79+ACCESS!I79</f>
        <v>4600</v>
      </c>
      <c r="J79" s="106">
        <f>+'NEW CAR'!J79+'GT-SERV'!J79+ACCESS!J79</f>
        <v>0</v>
      </c>
      <c r="K79" s="106">
        <f>+'NEW CAR'!K79+'GT-SERV'!K79+ACCESS!K79</f>
        <v>0</v>
      </c>
      <c r="L79" s="106">
        <f>+'NEW CAR'!L79+'GT-SERV'!L79+ACCESS!L79</f>
        <v>0</v>
      </c>
      <c r="M79" s="106">
        <f t="shared" si="77"/>
        <v>9800</v>
      </c>
      <c r="N79" s="16" t="s">
        <v>63</v>
      </c>
      <c r="O79" s="106">
        <f>+'NEW CAR'!O79+'GT-SERV'!O79+ACCESS!O79</f>
        <v>400</v>
      </c>
      <c r="P79" s="106">
        <f>+'NEW CAR'!P79+'GT-SERV'!P79+ACCESS!P79</f>
        <v>0</v>
      </c>
      <c r="Q79" s="106">
        <f>+'NEW CAR'!Q79+'GT-SERV'!Q79+ACCESS!Q79</f>
        <v>0</v>
      </c>
      <c r="R79" s="106">
        <f>+'NEW CAR'!R79+'GT-SERV'!R79+ACCESS!R79</f>
        <v>0</v>
      </c>
      <c r="S79" s="106">
        <f>+'NEW CAR'!S79+'GT-SERV'!S79+ACCESS!S79</f>
        <v>0</v>
      </c>
      <c r="T79" s="106">
        <f>+'NEW CAR'!T79+'GT-SERV'!T79+ACCESS!T79</f>
        <v>0</v>
      </c>
      <c r="U79" s="106">
        <f>+'NEW CAR'!U79+'GT-SERV'!U79+ACCESS!U79</f>
        <v>0</v>
      </c>
      <c r="V79" s="106">
        <f>+'NEW CAR'!V79+'GT-SERV'!V79+ACCESS!V79</f>
        <v>0</v>
      </c>
      <c r="W79" s="106">
        <f>+'NEW CAR'!W79+'GT-SERV'!W79+ACCESS!W79</f>
        <v>0</v>
      </c>
      <c r="X79" s="106">
        <f>+'NEW CAR'!X79+'GT-SERV'!X79+ACCESS!X79</f>
        <v>0</v>
      </c>
      <c r="Y79" s="106">
        <f>+'NEW CAR'!Y79+'GT-SERV'!Y79+ACCESS!Y79</f>
        <v>0</v>
      </c>
      <c r="Z79" s="106">
        <f>+'NEW CAR'!Z79+'GT-SERV'!Z79+ACCESS!Z79</f>
        <v>0</v>
      </c>
      <c r="AA79" s="106">
        <f t="shared" si="78"/>
        <v>400</v>
      </c>
      <c r="AB79" s="118"/>
      <c r="AC79" s="106">
        <f>+'NEW CAR'!AC79+'GT-SERV'!AC79+ACCESS!AC79</f>
        <v>0</v>
      </c>
      <c r="AD79" s="106">
        <f>+'NEW CAR'!AD79+'GT-SERV'!AD79+ACCESS!AD79</f>
        <v>0</v>
      </c>
      <c r="AE79" s="106">
        <f>+'NEW CAR'!AE79+'GT-SERV'!AE79+ACCESS!AE79</f>
        <v>0</v>
      </c>
      <c r="AF79" s="106">
        <f>+'NEW CAR'!AF79+'GT-SERV'!AF79+ACCESS!AF79</f>
        <v>0</v>
      </c>
      <c r="AG79" s="106">
        <f>+'NEW CAR'!AG79+'GT-SERV'!AG79+ACCESS!AG79</f>
        <v>0</v>
      </c>
      <c r="AH79" s="106">
        <f>+'NEW CAR'!AH79+'GT-SERV'!AH79+ACCESS!AH79</f>
        <v>0</v>
      </c>
      <c r="AI79" s="106">
        <f>+'NEW CAR'!AI79+'GT-SERV'!AI79+ACCESS!AI79</f>
        <v>0</v>
      </c>
      <c r="AJ79" s="106">
        <f>+'NEW CAR'!AJ79+'GT-SERV'!AJ79+ACCESS!AJ79</f>
        <v>0</v>
      </c>
      <c r="AK79" s="106">
        <f>+'NEW CAR'!AK79+'GT-SERV'!AK79+ACCESS!AK79</f>
        <v>0</v>
      </c>
      <c r="AL79" s="106">
        <f>+'NEW CAR'!AL79+'GT-SERV'!AL79+ACCESS!AL79</f>
        <v>0</v>
      </c>
      <c r="AM79" s="106">
        <f>+'NEW CAR'!AM79+'GT-SERV'!AM79+ACCESS!AM79</f>
        <v>0</v>
      </c>
      <c r="AN79" s="106">
        <f>+'NEW CAR'!AN79+'GT-SERV'!AN79+ACCESS!AN79</f>
        <v>0</v>
      </c>
      <c r="AO79" s="106">
        <f t="shared" si="79"/>
        <v>0</v>
      </c>
      <c r="AS79" s="109"/>
    </row>
    <row r="80" spans="1:45" outlineLevel="1">
      <c r="A80" s="106">
        <f>+'NEW CAR'!A80+'GT-SERV'!A80+ACCESS!A80</f>
        <v>47187.71</v>
      </c>
      <c r="B80" s="106">
        <f>+'NEW CAR'!B80+'GT-SERV'!B80+ACCESS!B80</f>
        <v>434141.32</v>
      </c>
      <c r="C80" s="106">
        <f>+'NEW CAR'!C80+'GT-SERV'!C80+ACCESS!C80</f>
        <v>176849.9</v>
      </c>
      <c r="D80" s="106">
        <f>+'NEW CAR'!D80+'GT-SERV'!D80+ACCESS!D80</f>
        <v>264639.64</v>
      </c>
      <c r="E80" s="106">
        <f>+'NEW CAR'!E80+'GT-SERV'!E80+ACCESS!E80</f>
        <v>320258.56</v>
      </c>
      <c r="F80" s="106">
        <f>+'NEW CAR'!F80+'GT-SERV'!F80+ACCESS!F80</f>
        <v>513282.26</v>
      </c>
      <c r="G80" s="106">
        <f>+'NEW CAR'!G80+'GT-SERV'!G80+ACCESS!G80</f>
        <v>342678.79000000004</v>
      </c>
      <c r="H80" s="106">
        <f>+'NEW CAR'!H80+'GT-SERV'!H80+ACCESS!H80</f>
        <v>442779.77999999997</v>
      </c>
      <c r="I80" s="106">
        <f>+'NEW CAR'!I80+'GT-SERV'!I80+ACCESS!I80</f>
        <v>237040.01</v>
      </c>
      <c r="J80" s="106">
        <f>+'NEW CAR'!J80+'GT-SERV'!J80+ACCESS!J80</f>
        <v>0</v>
      </c>
      <c r="K80" s="106">
        <f>+'NEW CAR'!K80+'GT-SERV'!K80+ACCESS!K80</f>
        <v>166823.38</v>
      </c>
      <c r="L80" s="106">
        <f>+'NEW CAR'!L80+'GT-SERV'!L80+ACCESS!L80</f>
        <v>125273.54999999999</v>
      </c>
      <c r="M80" s="106">
        <f t="shared" si="77"/>
        <v>3070954.8999999994</v>
      </c>
      <c r="N80" s="16" t="s">
        <v>64</v>
      </c>
      <c r="O80" s="106">
        <f>+'NEW CAR'!O80+'GT-SERV'!O80+ACCESS!O80</f>
        <v>129108.82</v>
      </c>
      <c r="P80" s="106">
        <f>+'NEW CAR'!P80+'GT-SERV'!P80+ACCESS!P80</f>
        <v>166439.66999999998</v>
      </c>
      <c r="Q80" s="106">
        <f>+'NEW CAR'!Q80+'GT-SERV'!Q80+ACCESS!Q80</f>
        <v>651267.68000000005</v>
      </c>
      <c r="R80" s="106">
        <f>+'NEW CAR'!R80+'GT-SERV'!R80+ACCESS!R80</f>
        <v>119863.6</v>
      </c>
      <c r="S80" s="106">
        <f>+'NEW CAR'!S80+'GT-SERV'!S80+ACCESS!S80</f>
        <v>235526.82</v>
      </c>
      <c r="T80" s="106">
        <f>+'NEW CAR'!T80+'GT-SERV'!T80+ACCESS!T80</f>
        <v>353173.76000000001</v>
      </c>
      <c r="U80" s="106">
        <f>+'NEW CAR'!U80+'GT-SERV'!U80+ACCESS!U80</f>
        <v>223370.93</v>
      </c>
      <c r="V80" s="106">
        <f>+'NEW CAR'!V80+'GT-SERV'!V80+ACCESS!V80</f>
        <v>102684.35999999999</v>
      </c>
      <c r="W80" s="106">
        <f>+'NEW CAR'!W80+'GT-SERV'!W80+ACCESS!W80</f>
        <v>182241.89000000004</v>
      </c>
      <c r="X80" s="106">
        <f>+'NEW CAR'!X80+'GT-SERV'!X80+ACCESS!X80</f>
        <v>290226.89</v>
      </c>
      <c r="Y80" s="106">
        <f>+'NEW CAR'!Y80+'GT-SERV'!Y80+ACCESS!Y80</f>
        <v>0</v>
      </c>
      <c r="Z80" s="106">
        <f>+'NEW CAR'!Z80+'GT-SERV'!Z80+ACCESS!Z80</f>
        <v>0</v>
      </c>
      <c r="AA80" s="106">
        <f t="shared" si="78"/>
        <v>2453904.4200000004</v>
      </c>
      <c r="AB80" s="118"/>
      <c r="AC80" s="106">
        <f>+'NEW CAR'!AC80+'GT-SERV'!AC80+ACCESS!AC80</f>
        <v>290000</v>
      </c>
      <c r="AD80" s="106">
        <f>+'NEW CAR'!AD80+'GT-SERV'!AD80+ACCESS!AD80</f>
        <v>290000</v>
      </c>
      <c r="AE80" s="106">
        <f>+'NEW CAR'!AE80+'GT-SERV'!AE80+ACCESS!AE80</f>
        <v>370000</v>
      </c>
      <c r="AF80" s="106">
        <f>+'NEW CAR'!AF80+'GT-SERV'!AF80+ACCESS!AF80</f>
        <v>300000</v>
      </c>
      <c r="AG80" s="106">
        <f>+'NEW CAR'!AG80+'GT-SERV'!AG80+ACCESS!AG80</f>
        <v>320000</v>
      </c>
      <c r="AH80" s="106">
        <f>+'NEW CAR'!AH80+'GT-SERV'!AH80+ACCESS!AH80</f>
        <v>280000</v>
      </c>
      <c r="AI80" s="106">
        <f>+'NEW CAR'!AI80+'GT-SERV'!AI80+ACCESS!AI80</f>
        <v>290000</v>
      </c>
      <c r="AJ80" s="106">
        <f>+'NEW CAR'!AJ80+'GT-SERV'!AJ80+ACCESS!AJ80</f>
        <v>340000</v>
      </c>
      <c r="AK80" s="106">
        <f>+'NEW CAR'!AK80+'GT-SERV'!AK80+ACCESS!AK80</f>
        <v>340000</v>
      </c>
      <c r="AL80" s="106">
        <f>+'NEW CAR'!AL80+'GT-SERV'!AL80+ACCESS!AL80</f>
        <v>300000</v>
      </c>
      <c r="AM80" s="106">
        <f>+'NEW CAR'!AM80+'GT-SERV'!AM80+ACCESS!AM80</f>
        <v>280000</v>
      </c>
      <c r="AN80" s="106">
        <f>+'NEW CAR'!AN80+'GT-SERV'!AN80+ACCESS!AN80</f>
        <v>370000</v>
      </c>
      <c r="AO80" s="106">
        <f t="shared" si="79"/>
        <v>3770000</v>
      </c>
      <c r="AS80" s="109"/>
    </row>
    <row r="81" spans="1:45" outlineLevel="1">
      <c r="A81" s="106">
        <f>+'NEW CAR'!A81+'GT-SERV'!A81+ACCESS!A81</f>
        <v>29470.14</v>
      </c>
      <c r="B81" s="106">
        <f>+'NEW CAR'!B81+'GT-SERV'!B81+ACCESS!B81</f>
        <v>0</v>
      </c>
      <c r="C81" s="106">
        <f>+'NEW CAR'!C81+'GT-SERV'!C81+ACCESS!C81</f>
        <v>11500</v>
      </c>
      <c r="D81" s="106">
        <f>+'NEW CAR'!D81+'GT-SERV'!D81+ACCESS!D81</f>
        <v>0</v>
      </c>
      <c r="E81" s="106">
        <f>+'NEW CAR'!E81+'GT-SERV'!E81+ACCESS!E81</f>
        <v>0</v>
      </c>
      <c r="F81" s="106">
        <f>+'NEW CAR'!F81+'GT-SERV'!F81+ACCESS!F81</f>
        <v>0</v>
      </c>
      <c r="G81" s="106">
        <f>+'NEW CAR'!G81+'GT-SERV'!G81+ACCESS!G81</f>
        <v>60</v>
      </c>
      <c r="H81" s="106">
        <f>+'NEW CAR'!H81+'GT-SERV'!H81+ACCESS!H81</f>
        <v>11747</v>
      </c>
      <c r="I81" s="106">
        <f>+'NEW CAR'!I81+'GT-SERV'!I81+ACCESS!I81</f>
        <v>0</v>
      </c>
      <c r="J81" s="106">
        <f>+'NEW CAR'!J81+'GT-SERV'!J81+ACCESS!J81</f>
        <v>0</v>
      </c>
      <c r="K81" s="106">
        <f>+'NEW CAR'!K81+'GT-SERV'!K81+ACCESS!K81</f>
        <v>0</v>
      </c>
      <c r="L81" s="106">
        <f>+'NEW CAR'!L81+'GT-SERV'!L81+ACCESS!L81</f>
        <v>0</v>
      </c>
      <c r="M81" s="106">
        <f t="shared" si="77"/>
        <v>52777.14</v>
      </c>
      <c r="N81" s="16" t="s">
        <v>65</v>
      </c>
      <c r="O81" s="106">
        <f>+'NEW CAR'!O81+'GT-SERV'!O81+ACCESS!O81</f>
        <v>0</v>
      </c>
      <c r="P81" s="106">
        <f>+'NEW CAR'!P81+'GT-SERV'!P81+ACCESS!P81</f>
        <v>6388.3</v>
      </c>
      <c r="Q81" s="106">
        <f>+'NEW CAR'!Q81+'GT-SERV'!Q81+ACCESS!Q81</f>
        <v>23587</v>
      </c>
      <c r="R81" s="106">
        <f>+'NEW CAR'!R81+'GT-SERV'!R81+ACCESS!R81</f>
        <v>0</v>
      </c>
      <c r="S81" s="106">
        <f>+'NEW CAR'!S81+'GT-SERV'!S81+ACCESS!S81</f>
        <v>0</v>
      </c>
      <c r="T81" s="106">
        <f>+'NEW CAR'!T81+'GT-SERV'!T81+ACCESS!T81</f>
        <v>0</v>
      </c>
      <c r="U81" s="106">
        <f>+'NEW CAR'!U81+'GT-SERV'!U81+ACCESS!U81</f>
        <v>4000</v>
      </c>
      <c r="V81" s="106">
        <f>+'NEW CAR'!V81+'GT-SERV'!V81+ACCESS!V81</f>
        <v>0</v>
      </c>
      <c r="W81" s="106">
        <f>+'NEW CAR'!W81+'GT-SERV'!W81+ACCESS!W81</f>
        <v>0</v>
      </c>
      <c r="X81" s="106">
        <f>+'NEW CAR'!X81+'GT-SERV'!X81+ACCESS!X81</f>
        <v>150000</v>
      </c>
      <c r="Y81" s="106">
        <f>+'NEW CAR'!Y81+'GT-SERV'!Y81+ACCESS!Y81</f>
        <v>0</v>
      </c>
      <c r="Z81" s="106">
        <f>+'NEW CAR'!Z81+'GT-SERV'!Z81+ACCESS!Z81</f>
        <v>0</v>
      </c>
      <c r="AA81" s="106">
        <f t="shared" si="78"/>
        <v>183975.3</v>
      </c>
      <c r="AB81" s="118"/>
      <c r="AC81" s="106">
        <f>+'NEW CAR'!AC81+'GT-SERV'!AC81+ACCESS!AC81</f>
        <v>15000</v>
      </c>
      <c r="AD81" s="106">
        <f>+'NEW CAR'!AD81+'GT-SERV'!AD81+ACCESS!AD81</f>
        <v>15000</v>
      </c>
      <c r="AE81" s="106">
        <f>+'NEW CAR'!AE81+'GT-SERV'!AE81+ACCESS!AE81</f>
        <v>15000</v>
      </c>
      <c r="AF81" s="106">
        <f>+'NEW CAR'!AF81+'GT-SERV'!AF81+ACCESS!AF81</f>
        <v>15000</v>
      </c>
      <c r="AG81" s="106">
        <f>+'NEW CAR'!AG81+'GT-SERV'!AG81+ACCESS!AG81</f>
        <v>15000</v>
      </c>
      <c r="AH81" s="106">
        <f>+'NEW CAR'!AH81+'GT-SERV'!AH81+ACCESS!AH81</f>
        <v>15000</v>
      </c>
      <c r="AI81" s="106">
        <f>+'NEW CAR'!AI81+'GT-SERV'!AI81+ACCESS!AI81</f>
        <v>15000</v>
      </c>
      <c r="AJ81" s="106">
        <f>+'NEW CAR'!AJ81+'GT-SERV'!AJ81+ACCESS!AJ81</f>
        <v>15000</v>
      </c>
      <c r="AK81" s="106">
        <f>+'NEW CAR'!AK81+'GT-SERV'!AK81+ACCESS!AK81</f>
        <v>15000</v>
      </c>
      <c r="AL81" s="106">
        <f>+'NEW CAR'!AL81+'GT-SERV'!AL81+ACCESS!AL81</f>
        <v>15000</v>
      </c>
      <c r="AM81" s="106">
        <f>+'NEW CAR'!AM81+'GT-SERV'!AM81+ACCESS!AM81</f>
        <v>15000</v>
      </c>
      <c r="AN81" s="106">
        <f>+'NEW CAR'!AN81+'GT-SERV'!AN81+ACCESS!AN81</f>
        <v>15000</v>
      </c>
      <c r="AO81" s="106">
        <f t="shared" si="79"/>
        <v>180000</v>
      </c>
      <c r="AS81" s="109"/>
    </row>
    <row r="82" spans="1:45" outlineLevel="1">
      <c r="A82" s="106">
        <f>+'NEW CAR'!A82+'GT-SERV'!A82+ACCESS!A82</f>
        <v>17484</v>
      </c>
      <c r="B82" s="106">
        <f>+'NEW CAR'!B82+'GT-SERV'!B82+ACCESS!B82</f>
        <v>13308</v>
      </c>
      <c r="C82" s="106">
        <f>+'NEW CAR'!C82+'GT-SERV'!C82+ACCESS!C82</f>
        <v>26023</v>
      </c>
      <c r="D82" s="106">
        <f>+'NEW CAR'!D82+'GT-SERV'!D82+ACCESS!D82</f>
        <v>6146</v>
      </c>
      <c r="E82" s="106">
        <f>+'NEW CAR'!E82+'GT-SERV'!E82+ACCESS!E82</f>
        <v>4475.78</v>
      </c>
      <c r="F82" s="106">
        <f>+'NEW CAR'!F82+'GT-SERV'!F82+ACCESS!F82</f>
        <v>9656</v>
      </c>
      <c r="G82" s="106">
        <f>+'NEW CAR'!G82+'GT-SERV'!G82+ACCESS!G82</f>
        <v>23609</v>
      </c>
      <c r="H82" s="106">
        <f>+'NEW CAR'!H82+'GT-SERV'!H82+ACCESS!H82</f>
        <v>10996</v>
      </c>
      <c r="I82" s="106">
        <f>+'NEW CAR'!I82+'GT-SERV'!I82+ACCESS!I82</f>
        <v>8193.9</v>
      </c>
      <c r="J82" s="106">
        <f>+'NEW CAR'!J82+'GT-SERV'!J82+ACCESS!J82</f>
        <v>21978</v>
      </c>
      <c r="K82" s="106">
        <f>+'NEW CAR'!K82+'GT-SERV'!K82+ACCESS!K82</f>
        <v>28862</v>
      </c>
      <c r="L82" s="106">
        <f>+'NEW CAR'!L82+'GT-SERV'!L82+ACCESS!L82</f>
        <v>30364</v>
      </c>
      <c r="M82" s="106">
        <f t="shared" si="77"/>
        <v>201095.67999999999</v>
      </c>
      <c r="N82" s="16" t="s">
        <v>66</v>
      </c>
      <c r="O82" s="106">
        <f>+'NEW CAR'!O82+'GT-SERV'!O82+ACCESS!O82</f>
        <v>26897</v>
      </c>
      <c r="P82" s="106">
        <f>+'NEW CAR'!P82+'GT-SERV'!P82+ACCESS!P82</f>
        <v>10243</v>
      </c>
      <c r="Q82" s="106">
        <f>+'NEW CAR'!Q82+'GT-SERV'!Q82+ACCESS!Q82</f>
        <v>19597.72</v>
      </c>
      <c r="R82" s="106">
        <f>+'NEW CAR'!R82+'GT-SERV'!R82+ACCESS!R82</f>
        <v>9543</v>
      </c>
      <c r="S82" s="106">
        <f>+'NEW CAR'!S82+'GT-SERV'!S82+ACCESS!S82</f>
        <v>10787</v>
      </c>
      <c r="T82" s="106">
        <f>+'NEW CAR'!T82+'GT-SERV'!T82+ACCESS!T82</f>
        <v>16130</v>
      </c>
      <c r="U82" s="106">
        <f>+'NEW CAR'!U82+'GT-SERV'!U82+ACCESS!U82</f>
        <v>33972</v>
      </c>
      <c r="V82" s="106">
        <f>+'NEW CAR'!V82+'GT-SERV'!V82+ACCESS!V82</f>
        <v>27253</v>
      </c>
      <c r="W82" s="106">
        <f>+'NEW CAR'!W82+'GT-SERV'!W82+ACCESS!W82</f>
        <v>18127.14</v>
      </c>
      <c r="X82" s="106">
        <f>+'NEW CAR'!X82+'GT-SERV'!X82+ACCESS!X82</f>
        <v>38050.51</v>
      </c>
      <c r="Y82" s="106">
        <f>+'NEW CAR'!Y82+'GT-SERV'!Y82+ACCESS!Y82</f>
        <v>0</v>
      </c>
      <c r="Z82" s="106">
        <f>+'NEW CAR'!Z82+'GT-SERV'!Z82+ACCESS!Z82</f>
        <v>0</v>
      </c>
      <c r="AA82" s="106">
        <f t="shared" si="78"/>
        <v>210600.37</v>
      </c>
      <c r="AB82" s="118"/>
      <c r="AC82" s="106">
        <f>+'NEW CAR'!AC82+'GT-SERV'!AC82+ACCESS!AC82</f>
        <v>15000</v>
      </c>
      <c r="AD82" s="106">
        <f>+'NEW CAR'!AD82+'GT-SERV'!AD82+ACCESS!AD82</f>
        <v>15000</v>
      </c>
      <c r="AE82" s="106">
        <f>+'NEW CAR'!AE82+'GT-SERV'!AE82+ACCESS!AE82</f>
        <v>15000</v>
      </c>
      <c r="AF82" s="106">
        <f>+'NEW CAR'!AF82+'GT-SERV'!AF82+ACCESS!AF82</f>
        <v>15000</v>
      </c>
      <c r="AG82" s="106">
        <f>+'NEW CAR'!AG82+'GT-SERV'!AG82+ACCESS!AG82</f>
        <v>15000</v>
      </c>
      <c r="AH82" s="106">
        <f>+'NEW CAR'!AH82+'GT-SERV'!AH82+ACCESS!AH82</f>
        <v>15000</v>
      </c>
      <c r="AI82" s="106">
        <f>+'NEW CAR'!AI82+'GT-SERV'!AI82+ACCESS!AI82</f>
        <v>15000</v>
      </c>
      <c r="AJ82" s="106">
        <f>+'NEW CAR'!AJ82+'GT-SERV'!AJ82+ACCESS!AJ82</f>
        <v>15000</v>
      </c>
      <c r="AK82" s="106">
        <f>+'NEW CAR'!AK82+'GT-SERV'!AK82+ACCESS!AK82</f>
        <v>15000</v>
      </c>
      <c r="AL82" s="106">
        <f>+'NEW CAR'!AL82+'GT-SERV'!AL82+ACCESS!AL82</f>
        <v>15000</v>
      </c>
      <c r="AM82" s="106">
        <f>+'NEW CAR'!AM82+'GT-SERV'!AM82+ACCESS!AM82</f>
        <v>15000</v>
      </c>
      <c r="AN82" s="106">
        <f>+'NEW CAR'!AN82+'GT-SERV'!AN82+ACCESS!AN82</f>
        <v>15000</v>
      </c>
      <c r="AO82" s="106">
        <f t="shared" si="79"/>
        <v>180000</v>
      </c>
      <c r="AS82" s="109"/>
    </row>
    <row r="83" spans="1:45" outlineLevel="1">
      <c r="A83" s="106">
        <f>+'NEW CAR'!A83+'GT-SERV'!A83+ACCESS!A83</f>
        <v>0</v>
      </c>
      <c r="B83" s="106">
        <f>+'NEW CAR'!B83+'GT-SERV'!B83+ACCESS!B83</f>
        <v>0</v>
      </c>
      <c r="C83" s="106">
        <f>+'NEW CAR'!C83+'GT-SERV'!C83+ACCESS!C83</f>
        <v>0</v>
      </c>
      <c r="D83" s="106">
        <f>+'NEW CAR'!D83+'GT-SERV'!D83+ACCESS!D83</f>
        <v>0</v>
      </c>
      <c r="E83" s="106">
        <f>+'NEW CAR'!E83+'GT-SERV'!E83+ACCESS!E83</f>
        <v>0</v>
      </c>
      <c r="F83" s="106">
        <f>+'NEW CAR'!F83+'GT-SERV'!F83+ACCESS!F83</f>
        <v>0</v>
      </c>
      <c r="G83" s="106">
        <f>+'NEW CAR'!G83+'GT-SERV'!G83+ACCESS!G83</f>
        <v>0</v>
      </c>
      <c r="H83" s="106">
        <f>+'NEW CAR'!H83+'GT-SERV'!H83+ACCESS!H83</f>
        <v>0</v>
      </c>
      <c r="I83" s="106">
        <f>+'NEW CAR'!I83+'GT-SERV'!I83+ACCESS!I83</f>
        <v>0</v>
      </c>
      <c r="J83" s="106">
        <f>+'NEW CAR'!J83+'GT-SERV'!J83+ACCESS!J83</f>
        <v>0</v>
      </c>
      <c r="K83" s="106">
        <f>+'NEW CAR'!K83+'GT-SERV'!K83+ACCESS!K83</f>
        <v>0</v>
      </c>
      <c r="L83" s="106">
        <f>+'NEW CAR'!L83+'GT-SERV'!L83+ACCESS!L83</f>
        <v>0</v>
      </c>
      <c r="M83" s="106">
        <f t="shared" si="77"/>
        <v>0</v>
      </c>
      <c r="N83" s="16" t="s">
        <v>67</v>
      </c>
      <c r="O83" s="106">
        <f>+'NEW CAR'!O83+'GT-SERV'!O83+ACCESS!O83</f>
        <v>0</v>
      </c>
      <c r="P83" s="106">
        <f>+'NEW CAR'!P83+'GT-SERV'!P83+ACCESS!P83</f>
        <v>0</v>
      </c>
      <c r="Q83" s="106">
        <f>+'NEW CAR'!Q83+'GT-SERV'!Q83+ACCESS!Q83</f>
        <v>0</v>
      </c>
      <c r="R83" s="106">
        <f>+'NEW CAR'!R83+'GT-SERV'!R83+ACCESS!R83</f>
        <v>0</v>
      </c>
      <c r="S83" s="106">
        <f>+'NEW CAR'!S83+'GT-SERV'!S83+ACCESS!S83</f>
        <v>50000</v>
      </c>
      <c r="T83" s="106">
        <f>+'NEW CAR'!T83+'GT-SERV'!T83+ACCESS!T83</f>
        <v>0</v>
      </c>
      <c r="U83" s="106">
        <f>+'NEW CAR'!U83+'GT-SERV'!U83+ACCESS!U83</f>
        <v>0</v>
      </c>
      <c r="V83" s="106">
        <f>+'NEW CAR'!V83+'GT-SERV'!V83+ACCESS!V83</f>
        <v>0</v>
      </c>
      <c r="W83" s="106">
        <f>+'NEW CAR'!W83+'GT-SERV'!W83+ACCESS!W83</f>
        <v>0</v>
      </c>
      <c r="X83" s="106">
        <f>+'NEW CAR'!X83+'GT-SERV'!X83+ACCESS!X83</f>
        <v>0</v>
      </c>
      <c r="Y83" s="106">
        <f>+'NEW CAR'!Y83+'GT-SERV'!Y83+ACCESS!Y83</f>
        <v>0</v>
      </c>
      <c r="Z83" s="106">
        <f>+'NEW CAR'!Z83+'GT-SERV'!Z83+ACCESS!Z83</f>
        <v>0</v>
      </c>
      <c r="AA83" s="106">
        <f t="shared" si="78"/>
        <v>50000</v>
      </c>
      <c r="AB83" s="118"/>
      <c r="AC83" s="106">
        <f>+'NEW CAR'!AC83+'GT-SERV'!AC83+ACCESS!AC83</f>
        <v>0</v>
      </c>
      <c r="AD83" s="106">
        <f>+'NEW CAR'!AD83+'GT-SERV'!AD83+ACCESS!AD83</f>
        <v>0</v>
      </c>
      <c r="AE83" s="106">
        <f>+'NEW CAR'!AE83+'GT-SERV'!AE83+ACCESS!AE83</f>
        <v>0</v>
      </c>
      <c r="AF83" s="106">
        <f>+'NEW CAR'!AF83+'GT-SERV'!AF83+ACCESS!AF83</f>
        <v>0</v>
      </c>
      <c r="AG83" s="106">
        <f>+'NEW CAR'!AG83+'GT-SERV'!AG83+ACCESS!AG83</f>
        <v>0</v>
      </c>
      <c r="AH83" s="106">
        <f>+'NEW CAR'!AH83+'GT-SERV'!AH83+ACCESS!AH83</f>
        <v>0</v>
      </c>
      <c r="AI83" s="106">
        <f>+'NEW CAR'!AI83+'GT-SERV'!AI83+ACCESS!AI83</f>
        <v>0</v>
      </c>
      <c r="AJ83" s="106">
        <f>+'NEW CAR'!AJ83+'GT-SERV'!AJ83+ACCESS!AJ83</f>
        <v>0</v>
      </c>
      <c r="AK83" s="106">
        <f>+'NEW CAR'!AK83+'GT-SERV'!AK83+ACCESS!AK83</f>
        <v>0</v>
      </c>
      <c r="AL83" s="106">
        <f>+'NEW CAR'!AL83+'GT-SERV'!AL83+ACCESS!AL83</f>
        <v>0</v>
      </c>
      <c r="AM83" s="106">
        <f>+'NEW CAR'!AM83+'GT-SERV'!AM83+ACCESS!AM83</f>
        <v>0</v>
      </c>
      <c r="AN83" s="106">
        <f>+'NEW CAR'!AN83+'GT-SERV'!AN83+ACCESS!AN83</f>
        <v>0</v>
      </c>
      <c r="AO83" s="106">
        <f t="shared" si="79"/>
        <v>0</v>
      </c>
      <c r="AS83" s="109"/>
    </row>
    <row r="84" spans="1:45" outlineLevel="1">
      <c r="A84" s="106">
        <f>+'NEW CAR'!A84+'GT-SERV'!A84+ACCESS!A84</f>
        <v>2158.1999999999998</v>
      </c>
      <c r="B84" s="106">
        <f>+'NEW CAR'!B84+'GT-SERV'!B84+ACCESS!B84</f>
        <v>5395.5</v>
      </c>
      <c r="C84" s="106">
        <f>+'NEW CAR'!C84+'GT-SERV'!C84+ACCESS!C84</f>
        <v>31031.200000000001</v>
      </c>
      <c r="D84" s="106">
        <f>+'NEW CAR'!D84+'GT-SERV'!D84+ACCESS!D84</f>
        <v>236</v>
      </c>
      <c r="E84" s="106">
        <f>+'NEW CAR'!E84+'GT-SERV'!E84+ACCESS!E84</f>
        <v>2414.6</v>
      </c>
      <c r="F84" s="106">
        <f>+'NEW CAR'!F84+'GT-SERV'!F84+ACCESS!F84</f>
        <v>6343.8</v>
      </c>
      <c r="G84" s="106">
        <f>+'NEW CAR'!G84+'GT-SERV'!G84+ACCESS!G84</f>
        <v>8238.6</v>
      </c>
      <c r="H84" s="106">
        <f>+'NEW CAR'!H84+'GT-SERV'!H84+ACCESS!H84</f>
        <v>2114.6</v>
      </c>
      <c r="I84" s="106">
        <f>+'NEW CAR'!I84+'GT-SERV'!I84+ACCESS!I84</f>
        <v>2114.6</v>
      </c>
      <c r="J84" s="106">
        <f>+'NEW CAR'!J84+'GT-SERV'!J84+ACCESS!J84</f>
        <v>4529.2</v>
      </c>
      <c r="K84" s="106">
        <f>+'NEW CAR'!K84+'GT-SERV'!K84+ACCESS!K84</f>
        <v>1894.8</v>
      </c>
      <c r="L84" s="106">
        <f>+'NEW CAR'!L84+'GT-SERV'!L84+ACCESS!L84</f>
        <v>5290</v>
      </c>
      <c r="M84" s="106">
        <f t="shared" si="77"/>
        <v>71761.099999999991</v>
      </c>
      <c r="N84" s="16" t="s">
        <v>68</v>
      </c>
      <c r="O84" s="106">
        <f>+'NEW CAR'!O84+'GT-SERV'!O84+ACCESS!O84</f>
        <v>0</v>
      </c>
      <c r="P84" s="106">
        <f>+'NEW CAR'!P84+'GT-SERV'!P84+ACCESS!P84</f>
        <v>4232</v>
      </c>
      <c r="Q84" s="106">
        <f>+'NEW CAR'!Q84+'GT-SERV'!Q84+ACCESS!Q84</f>
        <v>3174</v>
      </c>
      <c r="R84" s="106">
        <f>+'NEW CAR'!R84+'GT-SERV'!R84+ACCESS!R84</f>
        <v>4115.62</v>
      </c>
      <c r="S84" s="106">
        <f>+'NEW CAR'!S84+'GT-SERV'!S84+ACCESS!S84</f>
        <v>33418</v>
      </c>
      <c r="T84" s="106">
        <f>+'NEW CAR'!T84+'GT-SERV'!T84+ACCESS!T84</f>
        <v>9920</v>
      </c>
      <c r="U84" s="106">
        <f>+'NEW CAR'!U84+'GT-SERV'!U84+ACCESS!U84</f>
        <v>8894.2000000000007</v>
      </c>
      <c r="V84" s="106">
        <f>+'NEW CAR'!V84+'GT-SERV'!V84+ACCESS!V84</f>
        <v>6348</v>
      </c>
      <c r="W84" s="106">
        <f>+'NEW CAR'!W84+'GT-SERV'!W84+ACCESS!W84</f>
        <v>2844</v>
      </c>
      <c r="X84" s="106">
        <f>+'NEW CAR'!X84+'GT-SERV'!X84+ACCESS!X84</f>
        <v>7406</v>
      </c>
      <c r="Y84" s="106">
        <f>+'NEW CAR'!Y84+'GT-SERV'!Y84+ACCESS!Y84</f>
        <v>0</v>
      </c>
      <c r="Z84" s="106">
        <f>+'NEW CAR'!Z84+'GT-SERV'!Z84+ACCESS!Z84</f>
        <v>0</v>
      </c>
      <c r="AA84" s="106">
        <f t="shared" si="78"/>
        <v>80351.819999999992</v>
      </c>
      <c r="AB84" s="118"/>
      <c r="AC84" s="106">
        <f>+'NEW CAR'!AC84+'GT-SERV'!AC84+ACCESS!AC84</f>
        <v>0</v>
      </c>
      <c r="AD84" s="106">
        <f>+'NEW CAR'!AD84+'GT-SERV'!AD84+ACCESS!AD84</f>
        <v>0</v>
      </c>
      <c r="AE84" s="106">
        <f>+'NEW CAR'!AE84+'GT-SERV'!AE84+ACCESS!AE84</f>
        <v>0</v>
      </c>
      <c r="AF84" s="106">
        <f>+'NEW CAR'!AF84+'GT-SERV'!AF84+ACCESS!AF84</f>
        <v>0</v>
      </c>
      <c r="AG84" s="106">
        <f>+'NEW CAR'!AG84+'GT-SERV'!AG84+ACCESS!AG84</f>
        <v>0</v>
      </c>
      <c r="AH84" s="106">
        <f>+'NEW CAR'!AH84+'GT-SERV'!AH84+ACCESS!AH84</f>
        <v>0</v>
      </c>
      <c r="AI84" s="106">
        <f>+'NEW CAR'!AI84+'GT-SERV'!AI84+ACCESS!AI84</f>
        <v>0</v>
      </c>
      <c r="AJ84" s="106">
        <f>+'NEW CAR'!AJ84+'GT-SERV'!AJ84+ACCESS!AJ84</f>
        <v>0</v>
      </c>
      <c r="AK84" s="106">
        <f>+'NEW CAR'!AK84+'GT-SERV'!AK84+ACCESS!AK84</f>
        <v>0</v>
      </c>
      <c r="AL84" s="106">
        <f>+'NEW CAR'!AL84+'GT-SERV'!AL84+ACCESS!AL84</f>
        <v>0</v>
      </c>
      <c r="AM84" s="106">
        <f>+'NEW CAR'!AM84+'GT-SERV'!AM84+ACCESS!AM84</f>
        <v>0</v>
      </c>
      <c r="AN84" s="106">
        <f>+'NEW CAR'!AN84+'GT-SERV'!AN84+ACCESS!AN84</f>
        <v>0</v>
      </c>
      <c r="AO84" s="106">
        <f t="shared" si="79"/>
        <v>0</v>
      </c>
      <c r="AS84" s="109"/>
    </row>
    <row r="85" spans="1:45" outlineLevel="1">
      <c r="A85" s="106">
        <f>+'NEW CAR'!A85+'GT-SERV'!A85+ACCESS!A85</f>
        <v>0</v>
      </c>
      <c r="B85" s="106">
        <f>+'NEW CAR'!B85+'GT-SERV'!B85+ACCESS!B85</f>
        <v>0</v>
      </c>
      <c r="C85" s="106">
        <f>+'NEW CAR'!C85+'GT-SERV'!C85+ACCESS!C85</f>
        <v>50000</v>
      </c>
      <c r="D85" s="106">
        <f>+'NEW CAR'!D85+'GT-SERV'!D85+ACCESS!D85</f>
        <v>0</v>
      </c>
      <c r="E85" s="106">
        <f>+'NEW CAR'!E85+'GT-SERV'!E85+ACCESS!E85</f>
        <v>0</v>
      </c>
      <c r="F85" s="106">
        <f>+'NEW CAR'!F85+'GT-SERV'!F85+ACCESS!F85</f>
        <v>68750</v>
      </c>
      <c r="G85" s="106">
        <f>+'NEW CAR'!G85+'GT-SERV'!G85+ACCESS!G85</f>
        <v>0</v>
      </c>
      <c r="H85" s="106">
        <f>+'NEW CAR'!H85+'GT-SERV'!H85+ACCESS!H85</f>
        <v>0</v>
      </c>
      <c r="I85" s="106">
        <f>+'NEW CAR'!I85+'GT-SERV'!I85+ACCESS!I85</f>
        <v>0</v>
      </c>
      <c r="J85" s="106">
        <f>+'NEW CAR'!J85+'GT-SERV'!J85+ACCESS!J85</f>
        <v>53000</v>
      </c>
      <c r="K85" s="106">
        <f>+'NEW CAR'!K85+'GT-SERV'!K85+ACCESS!K85</f>
        <v>0</v>
      </c>
      <c r="L85" s="106">
        <f>+'NEW CAR'!L85+'GT-SERV'!L85+ACCESS!L85</f>
        <v>0</v>
      </c>
      <c r="M85" s="106">
        <f t="shared" si="77"/>
        <v>171750</v>
      </c>
      <c r="N85" s="16" t="s">
        <v>69</v>
      </c>
      <c r="O85" s="106">
        <f>+'NEW CAR'!O85+'GT-SERV'!O85+ACCESS!O85</f>
        <v>60000</v>
      </c>
      <c r="P85" s="106">
        <f>+'NEW CAR'!P85+'GT-SERV'!P85+ACCESS!P85</f>
        <v>0</v>
      </c>
      <c r="Q85" s="106">
        <f>+'NEW CAR'!Q85+'GT-SERV'!Q85+ACCESS!Q85</f>
        <v>0</v>
      </c>
      <c r="R85" s="106">
        <f>+'NEW CAR'!R85+'GT-SERV'!R85+ACCESS!R85</f>
        <v>0</v>
      </c>
      <c r="S85" s="106">
        <f>+'NEW CAR'!S85+'GT-SERV'!S85+ACCESS!S85</f>
        <v>0</v>
      </c>
      <c r="T85" s="106">
        <f>+'NEW CAR'!T85+'GT-SERV'!T85+ACCESS!T85</f>
        <v>0</v>
      </c>
      <c r="U85" s="106">
        <f>+'NEW CAR'!U85+'GT-SERV'!U85+ACCESS!U85</f>
        <v>0</v>
      </c>
      <c r="V85" s="106">
        <f>+'NEW CAR'!V85+'GT-SERV'!V85+ACCESS!V85</f>
        <v>0</v>
      </c>
      <c r="W85" s="106">
        <f>+'NEW CAR'!W85+'GT-SERV'!W85+ACCESS!W85</f>
        <v>100000</v>
      </c>
      <c r="X85" s="106">
        <f>+'NEW CAR'!X85+'GT-SERV'!X85+ACCESS!X85</f>
        <v>0</v>
      </c>
      <c r="Y85" s="106">
        <f>+'NEW CAR'!Y85+'GT-SERV'!Y85+ACCESS!Y85</f>
        <v>0</v>
      </c>
      <c r="Z85" s="106">
        <f>+'NEW CAR'!Z85+'GT-SERV'!Z85+ACCESS!Z85</f>
        <v>0</v>
      </c>
      <c r="AA85" s="106">
        <f t="shared" si="78"/>
        <v>160000</v>
      </c>
      <c r="AB85" s="118"/>
      <c r="AC85" s="106">
        <f>+'NEW CAR'!AC85+'GT-SERV'!AC85+ACCESS!AC85</f>
        <v>0</v>
      </c>
      <c r="AD85" s="106">
        <f>+'NEW CAR'!AD85+'GT-SERV'!AD85+ACCESS!AD85</f>
        <v>0</v>
      </c>
      <c r="AE85" s="106">
        <f>+'NEW CAR'!AE85+'GT-SERV'!AE85+ACCESS!AE85</f>
        <v>0</v>
      </c>
      <c r="AF85" s="106">
        <f>+'NEW CAR'!AF85+'GT-SERV'!AF85+ACCESS!AF85</f>
        <v>0</v>
      </c>
      <c r="AG85" s="106">
        <f>+'NEW CAR'!AG85+'GT-SERV'!AG85+ACCESS!AG85</f>
        <v>0</v>
      </c>
      <c r="AH85" s="106">
        <f>+'NEW CAR'!AH85+'GT-SERV'!AH85+ACCESS!AH85</f>
        <v>0</v>
      </c>
      <c r="AI85" s="106">
        <f>+'NEW CAR'!AI85+'GT-SERV'!AI85+ACCESS!AI85</f>
        <v>0</v>
      </c>
      <c r="AJ85" s="106">
        <f>+'NEW CAR'!AJ85+'GT-SERV'!AJ85+ACCESS!AJ85</f>
        <v>0</v>
      </c>
      <c r="AK85" s="106">
        <f>+'NEW CAR'!AK85+'GT-SERV'!AK85+ACCESS!AK85</f>
        <v>0</v>
      </c>
      <c r="AL85" s="106">
        <f>+'NEW CAR'!AL85+'GT-SERV'!AL85+ACCESS!AL85</f>
        <v>0</v>
      </c>
      <c r="AM85" s="106">
        <f>+'NEW CAR'!AM85+'GT-SERV'!AM85+ACCESS!AM85</f>
        <v>0</v>
      </c>
      <c r="AN85" s="106">
        <f>+'NEW CAR'!AN85+'GT-SERV'!AN85+ACCESS!AN85</f>
        <v>0</v>
      </c>
      <c r="AO85" s="106">
        <f t="shared" si="79"/>
        <v>0</v>
      </c>
      <c r="AS85" s="109"/>
    </row>
    <row r="86" spans="1:45" outlineLevel="1">
      <c r="A86" s="106">
        <f>+'NEW CAR'!A86+'GT-SERV'!A86+ACCESS!A86</f>
        <v>0</v>
      </c>
      <c r="B86" s="106">
        <f>+'NEW CAR'!B86+'GT-SERV'!B86+ACCESS!B86</f>
        <v>0</v>
      </c>
      <c r="C86" s="106">
        <f>+'NEW CAR'!C86+'GT-SERV'!C86+ACCESS!C86</f>
        <v>0</v>
      </c>
      <c r="D86" s="106">
        <f>+'NEW CAR'!D86+'GT-SERV'!D86+ACCESS!D86</f>
        <v>0</v>
      </c>
      <c r="E86" s="106">
        <f>+'NEW CAR'!E86+'GT-SERV'!E86+ACCESS!E86</f>
        <v>0</v>
      </c>
      <c r="F86" s="106">
        <f>+'NEW CAR'!F86+'GT-SERV'!F86+ACCESS!F86</f>
        <v>0</v>
      </c>
      <c r="G86" s="106">
        <f>+'NEW CAR'!G86+'GT-SERV'!G86+ACCESS!G86</f>
        <v>0</v>
      </c>
      <c r="H86" s="106">
        <f>+'NEW CAR'!H86+'GT-SERV'!H86+ACCESS!H86</f>
        <v>0</v>
      </c>
      <c r="I86" s="106">
        <f>+'NEW CAR'!I86+'GT-SERV'!I86+ACCESS!I86</f>
        <v>0</v>
      </c>
      <c r="J86" s="106">
        <f>+'NEW CAR'!J86+'GT-SERV'!J86+ACCESS!J86</f>
        <v>0</v>
      </c>
      <c r="K86" s="106">
        <f>+'NEW CAR'!K86+'GT-SERV'!K86+ACCESS!K86</f>
        <v>0</v>
      </c>
      <c r="L86" s="106">
        <f>+'NEW CAR'!L86+'GT-SERV'!L86+ACCESS!L86</f>
        <v>0</v>
      </c>
      <c r="M86" s="106">
        <f t="shared" si="77"/>
        <v>0</v>
      </c>
      <c r="N86" s="16" t="s">
        <v>70</v>
      </c>
      <c r="O86" s="106">
        <f>+'NEW CAR'!O86+'GT-SERV'!O86+ACCESS!O86</f>
        <v>0</v>
      </c>
      <c r="P86" s="106">
        <f>+'NEW CAR'!P86+'GT-SERV'!P86+ACCESS!P86</f>
        <v>0</v>
      </c>
      <c r="Q86" s="106">
        <f>+'NEW CAR'!Q86+'GT-SERV'!Q86+ACCESS!Q86</f>
        <v>0</v>
      </c>
      <c r="R86" s="106">
        <f>+'NEW CAR'!R86+'GT-SERV'!R86+ACCESS!R86</f>
        <v>0</v>
      </c>
      <c r="S86" s="106">
        <f>+'NEW CAR'!S86+'GT-SERV'!S86+ACCESS!S86</f>
        <v>0</v>
      </c>
      <c r="T86" s="106">
        <f>+'NEW CAR'!T86+'GT-SERV'!T86+ACCESS!T86</f>
        <v>0</v>
      </c>
      <c r="U86" s="106">
        <f>+'NEW CAR'!U86+'GT-SERV'!U86+ACCESS!U86</f>
        <v>0</v>
      </c>
      <c r="V86" s="106">
        <f>+'NEW CAR'!V86+'GT-SERV'!V86+ACCESS!V86</f>
        <v>0</v>
      </c>
      <c r="W86" s="106">
        <f>+'NEW CAR'!W86+'GT-SERV'!W86+ACCESS!W86</f>
        <v>0</v>
      </c>
      <c r="X86" s="106">
        <f>+'NEW CAR'!X86+'GT-SERV'!X86+ACCESS!X86</f>
        <v>0</v>
      </c>
      <c r="Y86" s="106">
        <f>+'NEW CAR'!Y86+'GT-SERV'!Y86+ACCESS!Y86</f>
        <v>0</v>
      </c>
      <c r="Z86" s="106">
        <f>+'NEW CAR'!Z86+'GT-SERV'!Z86+ACCESS!Z86</f>
        <v>0</v>
      </c>
      <c r="AA86" s="106">
        <f t="shared" si="78"/>
        <v>0</v>
      </c>
      <c r="AB86" s="118"/>
      <c r="AC86" s="106">
        <f>+'NEW CAR'!AC86+'GT-SERV'!AC86+ACCESS!AC86</f>
        <v>0</v>
      </c>
      <c r="AD86" s="106">
        <f>+'NEW CAR'!AD86+'GT-SERV'!AD86+ACCESS!AD86</f>
        <v>0</v>
      </c>
      <c r="AE86" s="106">
        <f>+'NEW CAR'!AE86+'GT-SERV'!AE86+ACCESS!AE86</f>
        <v>0</v>
      </c>
      <c r="AF86" s="106">
        <f>+'NEW CAR'!AF86+'GT-SERV'!AF86+ACCESS!AF86</f>
        <v>0</v>
      </c>
      <c r="AG86" s="106">
        <f>+'NEW CAR'!AG86+'GT-SERV'!AG86+ACCESS!AG86</f>
        <v>0</v>
      </c>
      <c r="AH86" s="106">
        <f>+'NEW CAR'!AH86+'GT-SERV'!AH86+ACCESS!AH86</f>
        <v>0</v>
      </c>
      <c r="AI86" s="106">
        <f>+'NEW CAR'!AI86+'GT-SERV'!AI86+ACCESS!AI86</f>
        <v>0</v>
      </c>
      <c r="AJ86" s="106">
        <f>+'NEW CAR'!AJ86+'GT-SERV'!AJ86+ACCESS!AJ86</f>
        <v>0</v>
      </c>
      <c r="AK86" s="106">
        <f>+'NEW CAR'!AK86+'GT-SERV'!AK86+ACCESS!AK86</f>
        <v>0</v>
      </c>
      <c r="AL86" s="106">
        <f>+'NEW CAR'!AL86+'GT-SERV'!AL86+ACCESS!AL86</f>
        <v>0</v>
      </c>
      <c r="AM86" s="106">
        <f>+'NEW CAR'!AM86+'GT-SERV'!AM86+ACCESS!AM86</f>
        <v>0</v>
      </c>
      <c r="AN86" s="106">
        <f>+'NEW CAR'!AN86+'GT-SERV'!AN86+ACCESS!AN86</f>
        <v>0</v>
      </c>
      <c r="AO86" s="106">
        <f t="shared" si="79"/>
        <v>0</v>
      </c>
      <c r="AS86" s="109"/>
    </row>
    <row r="87" spans="1:45" outlineLevel="1">
      <c r="A87" s="58">
        <f t="shared" ref="A87:M87" si="80">+SUM(A88:A89)</f>
        <v>1280894.6125000003</v>
      </c>
      <c r="B87" s="58">
        <f t="shared" si="80"/>
        <v>2134215.2630000003</v>
      </c>
      <c r="C87" s="58">
        <f t="shared" si="80"/>
        <v>2142632</v>
      </c>
      <c r="D87" s="58">
        <f t="shared" si="80"/>
        <v>955880.67614000011</v>
      </c>
      <c r="E87" s="58">
        <f t="shared" si="80"/>
        <v>1293151.818</v>
      </c>
      <c r="F87" s="58">
        <f t="shared" si="80"/>
        <v>1449810</v>
      </c>
      <c r="G87" s="58">
        <f t="shared" si="80"/>
        <v>1515302.0569999998</v>
      </c>
      <c r="H87" s="58">
        <f t="shared" si="80"/>
        <v>1053190</v>
      </c>
      <c r="I87" s="58">
        <f t="shared" si="80"/>
        <v>1291124.7490000001</v>
      </c>
      <c r="J87" s="58">
        <f t="shared" si="80"/>
        <v>1722731.4729999998</v>
      </c>
      <c r="K87" s="58">
        <f t="shared" si="80"/>
        <v>2065063.5899999999</v>
      </c>
      <c r="L87" s="58">
        <f t="shared" si="80"/>
        <v>1499731</v>
      </c>
      <c r="M87" s="58">
        <f t="shared" si="80"/>
        <v>18403727.238639999</v>
      </c>
      <c r="N87" s="18" t="s">
        <v>71</v>
      </c>
      <c r="O87" s="58">
        <f t="shared" ref="O87:AA87" si="81">+SUM(O88:O89)</f>
        <v>1622770.0957952111</v>
      </c>
      <c r="P87" s="58">
        <f t="shared" si="81"/>
        <v>1261214.9319121889</v>
      </c>
      <c r="Q87" s="58">
        <f t="shared" si="81"/>
        <v>2184099.912</v>
      </c>
      <c r="R87" s="58">
        <f t="shared" si="81"/>
        <v>1095829.08</v>
      </c>
      <c r="S87" s="58">
        <f t="shared" si="81"/>
        <v>1555751.1440000003</v>
      </c>
      <c r="T87" s="58">
        <f t="shared" si="81"/>
        <v>2050266.2280000001</v>
      </c>
      <c r="U87" s="58">
        <f t="shared" si="81"/>
        <v>1496772.3370000001</v>
      </c>
      <c r="V87" s="58">
        <f t="shared" si="81"/>
        <v>2331592.8780000005</v>
      </c>
      <c r="W87" s="58">
        <f t="shared" si="81"/>
        <v>2164250.7089999998</v>
      </c>
      <c r="X87" s="58">
        <f t="shared" si="81"/>
        <v>1963903</v>
      </c>
      <c r="Y87" s="58">
        <f t="shared" si="81"/>
        <v>0</v>
      </c>
      <c r="Z87" s="58">
        <f t="shared" si="81"/>
        <v>0</v>
      </c>
      <c r="AA87" s="58">
        <f t="shared" si="81"/>
        <v>17726450.3157074</v>
      </c>
      <c r="AB87" s="118"/>
      <c r="AC87" s="58">
        <f t="shared" ref="AC87:AO87" si="82">+SUM(AC88:AC89)</f>
        <v>2001383.1758000001</v>
      </c>
      <c r="AD87" s="58">
        <f t="shared" si="82"/>
        <v>1977839.1685200001</v>
      </c>
      <c r="AE87" s="58">
        <f t="shared" si="82"/>
        <v>2283558.4921800001</v>
      </c>
      <c r="AF87" s="58">
        <f t="shared" si="82"/>
        <v>1886740.3329</v>
      </c>
      <c r="AG87" s="58">
        <f t="shared" si="82"/>
        <v>2074618.0827000001</v>
      </c>
      <c r="AH87" s="58">
        <f t="shared" si="82"/>
        <v>1978726.6768</v>
      </c>
      <c r="AI87" s="58">
        <f t="shared" si="82"/>
        <v>2052293.9169000001</v>
      </c>
      <c r="AJ87" s="58">
        <f t="shared" si="82"/>
        <v>2253019.5734999999</v>
      </c>
      <c r="AK87" s="58">
        <f t="shared" si="82"/>
        <v>2276595.3816</v>
      </c>
      <c r="AL87" s="58">
        <f t="shared" si="82"/>
        <v>1985443.3169222223</v>
      </c>
      <c r="AM87" s="58">
        <f t="shared" si="82"/>
        <v>1837146.2913155556</v>
      </c>
      <c r="AN87" s="58">
        <f t="shared" si="82"/>
        <v>2321964.5397824245</v>
      </c>
      <c r="AO87" s="58">
        <f t="shared" si="82"/>
        <v>24929328.948920198</v>
      </c>
    </row>
    <row r="88" spans="1:45" outlineLevel="1">
      <c r="A88" s="106">
        <f>+'NEW CAR'!A88+'GT-SERV'!A88+ACCESS!A88</f>
        <v>1280894.6125000003</v>
      </c>
      <c r="B88" s="106">
        <f>+'NEW CAR'!B88+'GT-SERV'!B88+ACCESS!B88</f>
        <v>2134215.2630000003</v>
      </c>
      <c r="C88" s="106">
        <f>+'NEW CAR'!C88+'GT-SERV'!C88+ACCESS!C88</f>
        <v>2142632</v>
      </c>
      <c r="D88" s="106">
        <f>+'NEW CAR'!D88+'GT-SERV'!D88+ACCESS!D88</f>
        <v>955880.67614000011</v>
      </c>
      <c r="E88" s="106">
        <f>+'NEW CAR'!E88+'GT-SERV'!E88+ACCESS!E88</f>
        <v>1293151.818</v>
      </c>
      <c r="F88" s="106">
        <f>+'NEW CAR'!F88+'GT-SERV'!F88+ACCESS!F88</f>
        <v>1449810</v>
      </c>
      <c r="G88" s="106">
        <f>+'NEW CAR'!G88+'GT-SERV'!G88+ACCESS!G88</f>
        <v>1515302.0569999998</v>
      </c>
      <c r="H88" s="106">
        <f>+'NEW CAR'!H88+'GT-SERV'!H88+ACCESS!H88</f>
        <v>1053190</v>
      </c>
      <c r="I88" s="106">
        <f>+'NEW CAR'!I88+'GT-SERV'!I88+ACCESS!I88</f>
        <v>1291124.7490000001</v>
      </c>
      <c r="J88" s="106">
        <f>+'NEW CAR'!J88+'GT-SERV'!J88+ACCESS!J88</f>
        <v>1722731.4729999998</v>
      </c>
      <c r="K88" s="106">
        <f>+'NEW CAR'!K88+'GT-SERV'!K88+ACCESS!K88</f>
        <v>2065063.5899999999</v>
      </c>
      <c r="L88" s="106">
        <f>+'NEW CAR'!L88+'GT-SERV'!L88+ACCESS!L88</f>
        <v>1499731</v>
      </c>
      <c r="M88" s="106">
        <f t="shared" si="77"/>
        <v>18403727.238639999</v>
      </c>
      <c r="N88" s="16" t="s">
        <v>222</v>
      </c>
      <c r="O88" s="106">
        <f>+'NEW CAR'!O88+'GT-SERV'!O88+ACCESS!O88</f>
        <v>1622770.0957952111</v>
      </c>
      <c r="P88" s="106">
        <f>+'NEW CAR'!P88+'GT-SERV'!P88+ACCESS!P88</f>
        <v>1261214.9319121889</v>
      </c>
      <c r="Q88" s="106">
        <f>+'NEW CAR'!Q88+'GT-SERV'!Q88+ACCESS!Q88</f>
        <v>2184099.912</v>
      </c>
      <c r="R88" s="106">
        <f>+'NEW CAR'!R88+'GT-SERV'!R88+ACCESS!R88</f>
        <v>1095829.08</v>
      </c>
      <c r="S88" s="106">
        <f>+'NEW CAR'!S88+'GT-SERV'!S88+ACCESS!S88</f>
        <v>1555751.1440000003</v>
      </c>
      <c r="T88" s="106">
        <f>+'NEW CAR'!T88+'GT-SERV'!T88+ACCESS!T88</f>
        <v>2050266.2280000001</v>
      </c>
      <c r="U88" s="106">
        <f>+'NEW CAR'!U88+'GT-SERV'!U88+ACCESS!U88</f>
        <v>1496772.3370000001</v>
      </c>
      <c r="V88" s="106">
        <f>+'NEW CAR'!V88+'GT-SERV'!V88+ACCESS!V88</f>
        <v>2331592.8780000005</v>
      </c>
      <c r="W88" s="106">
        <f>+'NEW CAR'!W88+'GT-SERV'!W88+ACCESS!W88</f>
        <v>2164250.7089999998</v>
      </c>
      <c r="X88" s="106">
        <f>+'NEW CAR'!X88+'GT-SERV'!X88+ACCESS!X88</f>
        <v>1963903</v>
      </c>
      <c r="Y88" s="106">
        <f>+'NEW CAR'!Y88+'GT-SERV'!Y88+ACCESS!Y88</f>
        <v>0</v>
      </c>
      <c r="Z88" s="106">
        <f>+'NEW CAR'!Z88+'GT-SERV'!Z88+ACCESS!Z88</f>
        <v>0</v>
      </c>
      <c r="AA88" s="106">
        <f t="shared" ref="AA88:AA89" si="83">+SUM(O88:Z88)</f>
        <v>17726450.3157074</v>
      </c>
      <c r="AB88" s="118"/>
      <c r="AC88" s="106">
        <f>+'NEW CAR'!AC88+'GT-SERV'!AC88+ACCESS!AC88</f>
        <v>2001383.1758000001</v>
      </c>
      <c r="AD88" s="106">
        <f>+'NEW CAR'!AD88+'GT-SERV'!AD88+ACCESS!AD88</f>
        <v>1977839.1685200001</v>
      </c>
      <c r="AE88" s="106">
        <f>+'NEW CAR'!AE88+'GT-SERV'!AE88+ACCESS!AE88</f>
        <v>2283558.4921800001</v>
      </c>
      <c r="AF88" s="106">
        <f>+'NEW CAR'!AF88+'GT-SERV'!AF88+ACCESS!AF88</f>
        <v>1886740.3329</v>
      </c>
      <c r="AG88" s="106">
        <f>+'NEW CAR'!AG88+'GT-SERV'!AG88+ACCESS!AG88</f>
        <v>2074618.0827000001</v>
      </c>
      <c r="AH88" s="106">
        <f>+'NEW CAR'!AH88+'GT-SERV'!AH88+ACCESS!AH88</f>
        <v>1978726.6768</v>
      </c>
      <c r="AI88" s="106">
        <f>+'NEW CAR'!AI88+'GT-SERV'!AI88+ACCESS!AI88</f>
        <v>2052293.9169000001</v>
      </c>
      <c r="AJ88" s="106">
        <f>+'NEW CAR'!AJ88+'GT-SERV'!AJ88+ACCESS!AJ88</f>
        <v>2253019.5734999999</v>
      </c>
      <c r="AK88" s="106">
        <f>+'NEW CAR'!AK88+'GT-SERV'!AK88+ACCESS!AK88</f>
        <v>2276595.3816</v>
      </c>
      <c r="AL88" s="106">
        <f>+'NEW CAR'!AL88+'GT-SERV'!AL88+ACCESS!AL88</f>
        <v>1985443.3169222223</v>
      </c>
      <c r="AM88" s="106">
        <f>+'NEW CAR'!AM88+'GT-SERV'!AM88+ACCESS!AM88</f>
        <v>1837146.2913155556</v>
      </c>
      <c r="AN88" s="106">
        <f>+'NEW CAR'!AN88+'GT-SERV'!AN88+ACCESS!AN88</f>
        <v>2321964.5397824245</v>
      </c>
      <c r="AO88" s="106">
        <f t="shared" ref="AO88:AO89" si="84">+SUM(AC88:AN88)</f>
        <v>24929328.948920198</v>
      </c>
    </row>
    <row r="89" spans="1:45" outlineLevel="1">
      <c r="A89" s="106">
        <f>+'NEW CAR'!A89+'GT-SERV'!A89+ACCESS!A89</f>
        <v>0</v>
      </c>
      <c r="B89" s="106">
        <f>+'NEW CAR'!B89+'GT-SERV'!B89+ACCESS!B89</f>
        <v>0</v>
      </c>
      <c r="C89" s="106">
        <f>+'NEW CAR'!C89+'GT-SERV'!C89+ACCESS!C89</f>
        <v>0</v>
      </c>
      <c r="D89" s="106">
        <f>+'NEW CAR'!D89+'GT-SERV'!D89+ACCESS!D89</f>
        <v>0</v>
      </c>
      <c r="E89" s="106">
        <f>+'NEW CAR'!E89+'GT-SERV'!E89+ACCESS!E89</f>
        <v>0</v>
      </c>
      <c r="F89" s="106">
        <f>+'NEW CAR'!F89+'GT-SERV'!F89+ACCESS!F89</f>
        <v>0</v>
      </c>
      <c r="G89" s="106">
        <f>+'NEW CAR'!G89+'GT-SERV'!G89+ACCESS!G89</f>
        <v>0</v>
      </c>
      <c r="H89" s="106">
        <f>+'NEW CAR'!H89+'GT-SERV'!H89+ACCESS!H89</f>
        <v>0</v>
      </c>
      <c r="I89" s="106">
        <f>+'NEW CAR'!I89+'GT-SERV'!I89+ACCESS!I89</f>
        <v>0</v>
      </c>
      <c r="J89" s="106">
        <f>+'NEW CAR'!J89+'GT-SERV'!J89+ACCESS!J89</f>
        <v>0</v>
      </c>
      <c r="K89" s="106">
        <f>+'NEW CAR'!K89+'GT-SERV'!K89+ACCESS!K89</f>
        <v>0</v>
      </c>
      <c r="L89" s="106">
        <f>+'NEW CAR'!L89+'GT-SERV'!L89+ACCESS!L89</f>
        <v>0</v>
      </c>
      <c r="M89" s="106">
        <f t="shared" si="77"/>
        <v>0</v>
      </c>
      <c r="N89" s="16" t="s">
        <v>223</v>
      </c>
      <c r="O89" s="106">
        <f>+'NEW CAR'!O89+'GT-SERV'!O89+ACCESS!O89</f>
        <v>0</v>
      </c>
      <c r="P89" s="106">
        <f>+'NEW CAR'!P89+'GT-SERV'!P89+ACCESS!P89</f>
        <v>0</v>
      </c>
      <c r="Q89" s="106">
        <f>+'NEW CAR'!Q89+'GT-SERV'!Q89+ACCESS!Q89</f>
        <v>0</v>
      </c>
      <c r="R89" s="106">
        <f>+'NEW CAR'!R89+'GT-SERV'!R89+ACCESS!R89</f>
        <v>0</v>
      </c>
      <c r="S89" s="106">
        <f>+'NEW CAR'!S89+'GT-SERV'!S89+ACCESS!S89</f>
        <v>0</v>
      </c>
      <c r="T89" s="106">
        <f>+'NEW CAR'!T89+'GT-SERV'!T89+ACCESS!T89</f>
        <v>0</v>
      </c>
      <c r="U89" s="106">
        <f>+'NEW CAR'!U89+'GT-SERV'!U89+ACCESS!U89</f>
        <v>0</v>
      </c>
      <c r="V89" s="106">
        <f>+'NEW CAR'!V89+'GT-SERV'!V89+ACCESS!V89</f>
        <v>0</v>
      </c>
      <c r="W89" s="106">
        <f>+'NEW CAR'!W89+'GT-SERV'!W89+ACCESS!W89</f>
        <v>0</v>
      </c>
      <c r="X89" s="106">
        <f>+'NEW CAR'!X89+'GT-SERV'!X89+ACCESS!X89</f>
        <v>0</v>
      </c>
      <c r="Y89" s="106">
        <f>+'NEW CAR'!Y89+'GT-SERV'!Y89+ACCESS!Y89</f>
        <v>0</v>
      </c>
      <c r="Z89" s="106">
        <f>+'NEW CAR'!Z89+'GT-SERV'!Z89+ACCESS!Z89</f>
        <v>0</v>
      </c>
      <c r="AA89" s="106">
        <f t="shared" si="83"/>
        <v>0</v>
      </c>
      <c r="AB89" s="118"/>
      <c r="AC89" s="106">
        <f>+'NEW CAR'!AC89+'GT-SERV'!AC89+ACCESS!AC89</f>
        <v>0</v>
      </c>
      <c r="AD89" s="106">
        <f>+'NEW CAR'!AD89+'GT-SERV'!AD89+ACCESS!AD89</f>
        <v>0</v>
      </c>
      <c r="AE89" s="106">
        <f>+'NEW CAR'!AE89+'GT-SERV'!AE89+ACCESS!AE89</f>
        <v>0</v>
      </c>
      <c r="AF89" s="106">
        <f>+'NEW CAR'!AF89+'GT-SERV'!AF89+ACCESS!AF89</f>
        <v>0</v>
      </c>
      <c r="AG89" s="106">
        <f>+'NEW CAR'!AG89+'GT-SERV'!AG89+ACCESS!AG89</f>
        <v>0</v>
      </c>
      <c r="AH89" s="106">
        <f>+'NEW CAR'!AH89+'GT-SERV'!AH89+ACCESS!AH89</f>
        <v>0</v>
      </c>
      <c r="AI89" s="106">
        <f>+'NEW CAR'!AI89+'GT-SERV'!AI89+ACCESS!AI89</f>
        <v>0</v>
      </c>
      <c r="AJ89" s="106">
        <f>+'NEW CAR'!AJ89+'GT-SERV'!AJ89+ACCESS!AJ89</f>
        <v>0</v>
      </c>
      <c r="AK89" s="106">
        <f>+'NEW CAR'!AK89+'GT-SERV'!AK89+ACCESS!AK89</f>
        <v>0</v>
      </c>
      <c r="AL89" s="106">
        <f>+'NEW CAR'!AL89+'GT-SERV'!AL89+ACCESS!AL89</f>
        <v>0</v>
      </c>
      <c r="AM89" s="106">
        <f>+'NEW CAR'!AM89+'GT-SERV'!AM89+ACCESS!AM89</f>
        <v>0</v>
      </c>
      <c r="AN89" s="106">
        <f>+'NEW CAR'!AN89+'GT-SERV'!AN89+ACCESS!AN89</f>
        <v>0</v>
      </c>
      <c r="AO89" s="106">
        <f t="shared" si="84"/>
        <v>0</v>
      </c>
    </row>
    <row r="90" spans="1:45" outlineLevel="1">
      <c r="A90" s="58">
        <f t="shared" ref="A90:M90" si="85">+SUM(A91:A102)</f>
        <v>740558.69</v>
      </c>
      <c r="B90" s="58">
        <f t="shared" si="85"/>
        <v>494964.66000000003</v>
      </c>
      <c r="C90" s="58">
        <f t="shared" si="85"/>
        <v>809064.3</v>
      </c>
      <c r="D90" s="58">
        <f t="shared" si="85"/>
        <v>1002359.3500000001</v>
      </c>
      <c r="E90" s="58">
        <f t="shared" si="85"/>
        <v>878465.55</v>
      </c>
      <c r="F90" s="58">
        <f t="shared" si="85"/>
        <v>879942.39</v>
      </c>
      <c r="G90" s="58">
        <f t="shared" si="85"/>
        <v>925542.8600000001</v>
      </c>
      <c r="H90" s="58">
        <f t="shared" si="85"/>
        <v>960352.04999999993</v>
      </c>
      <c r="I90" s="58">
        <f t="shared" si="85"/>
        <v>943694.13000000012</v>
      </c>
      <c r="J90" s="58">
        <f t="shared" si="85"/>
        <v>597342.20000000007</v>
      </c>
      <c r="K90" s="58">
        <f t="shared" si="85"/>
        <v>728728.24</v>
      </c>
      <c r="L90" s="58">
        <f t="shared" si="85"/>
        <v>1634878.08</v>
      </c>
      <c r="M90" s="58">
        <f t="shared" si="85"/>
        <v>10595892.5</v>
      </c>
      <c r="N90" s="18" t="s">
        <v>72</v>
      </c>
      <c r="O90" s="58">
        <f t="shared" ref="O90:AA90" si="86">+SUM(O91:O102)</f>
        <v>1367861.6</v>
      </c>
      <c r="P90" s="58">
        <f t="shared" si="86"/>
        <v>808153.71</v>
      </c>
      <c r="Q90" s="58">
        <f t="shared" si="86"/>
        <v>872839.39999999991</v>
      </c>
      <c r="R90" s="58">
        <f t="shared" si="86"/>
        <v>991265.38000000012</v>
      </c>
      <c r="S90" s="58">
        <f t="shared" si="86"/>
        <v>1054429.99</v>
      </c>
      <c r="T90" s="58">
        <f t="shared" si="86"/>
        <v>1525304.67</v>
      </c>
      <c r="U90" s="58">
        <f t="shared" si="86"/>
        <v>985992.64166666672</v>
      </c>
      <c r="V90" s="58">
        <f t="shared" si="86"/>
        <v>1269166.3199999998</v>
      </c>
      <c r="W90" s="58">
        <f t="shared" si="86"/>
        <v>828057.80999999994</v>
      </c>
      <c r="X90" s="58">
        <f t="shared" si="86"/>
        <v>1222128.4099999999</v>
      </c>
      <c r="Y90" s="58">
        <f t="shared" si="86"/>
        <v>0</v>
      </c>
      <c r="Z90" s="58">
        <f t="shared" si="86"/>
        <v>0</v>
      </c>
      <c r="AA90" s="58">
        <f t="shared" si="86"/>
        <v>10925199.931666667</v>
      </c>
      <c r="AB90" s="118"/>
      <c r="AC90" s="58">
        <f t="shared" ref="AC90:AO90" si="87">+SUM(AC91:AC102)</f>
        <v>835050</v>
      </c>
      <c r="AD90" s="58">
        <f t="shared" si="87"/>
        <v>835050</v>
      </c>
      <c r="AE90" s="58">
        <f t="shared" si="87"/>
        <v>1024650</v>
      </c>
      <c r="AF90" s="58">
        <f t="shared" si="87"/>
        <v>858750</v>
      </c>
      <c r="AG90" s="58">
        <f t="shared" si="87"/>
        <v>906150</v>
      </c>
      <c r="AH90" s="58">
        <f t="shared" si="87"/>
        <v>811350</v>
      </c>
      <c r="AI90" s="58">
        <f t="shared" si="87"/>
        <v>835050</v>
      </c>
      <c r="AJ90" s="58">
        <f t="shared" si="87"/>
        <v>953550</v>
      </c>
      <c r="AK90" s="58">
        <f t="shared" si="87"/>
        <v>953550</v>
      </c>
      <c r="AL90" s="58">
        <f t="shared" si="87"/>
        <v>858750</v>
      </c>
      <c r="AM90" s="58">
        <f t="shared" si="87"/>
        <v>811350</v>
      </c>
      <c r="AN90" s="58">
        <f t="shared" si="87"/>
        <v>1024650</v>
      </c>
      <c r="AO90" s="58">
        <f t="shared" si="87"/>
        <v>10707900</v>
      </c>
    </row>
    <row r="91" spans="1:45" outlineLevel="1">
      <c r="A91" s="106">
        <f>+'NEW CAR'!A91+'GT-SERV'!A91+ACCESS!A91</f>
        <v>16800</v>
      </c>
      <c r="B91" s="106">
        <f>+'NEW CAR'!B91+'GT-SERV'!B91+ACCESS!B91</f>
        <v>0</v>
      </c>
      <c r="C91" s="106">
        <f>+'NEW CAR'!C91+'GT-SERV'!C91+ACCESS!C91</f>
        <v>0</v>
      </c>
      <c r="D91" s="106">
        <f>+'NEW CAR'!D91+'GT-SERV'!D91+ACCESS!D91</f>
        <v>0</v>
      </c>
      <c r="E91" s="106">
        <f>+'NEW CAR'!E91+'GT-SERV'!E91+ACCESS!E91</f>
        <v>25200</v>
      </c>
      <c r="F91" s="106">
        <f>+'NEW CAR'!F91+'GT-SERV'!F91+ACCESS!F91</f>
        <v>0</v>
      </c>
      <c r="G91" s="106">
        <f>+'NEW CAR'!G91+'GT-SERV'!G91+ACCESS!G91</f>
        <v>4800</v>
      </c>
      <c r="H91" s="106">
        <f>+'NEW CAR'!H91+'GT-SERV'!H91+ACCESS!H91</f>
        <v>15000</v>
      </c>
      <c r="I91" s="106">
        <f>+'NEW CAR'!I91+'GT-SERV'!I91+ACCESS!I91</f>
        <v>0</v>
      </c>
      <c r="J91" s="106">
        <f>+'NEW CAR'!J91+'GT-SERV'!J91+ACCESS!J91</f>
        <v>0</v>
      </c>
      <c r="K91" s="106">
        <f>+'NEW CAR'!K91+'GT-SERV'!K91+ACCESS!K91</f>
        <v>32900</v>
      </c>
      <c r="L91" s="106">
        <f>+'NEW CAR'!L91+'GT-SERV'!L91+ACCESS!L91</f>
        <v>11000</v>
      </c>
      <c r="M91" s="106">
        <f t="shared" si="77"/>
        <v>105700</v>
      </c>
      <c r="N91" s="16" t="s">
        <v>224</v>
      </c>
      <c r="O91" s="106">
        <f>+'NEW CAR'!O91+'GT-SERV'!O91+ACCESS!O91</f>
        <v>0</v>
      </c>
      <c r="P91" s="106">
        <f>+'NEW CAR'!P91+'GT-SERV'!P91+ACCESS!P91</f>
        <v>0</v>
      </c>
      <c r="Q91" s="106">
        <f>+'NEW CAR'!Q91+'GT-SERV'!Q91+ACCESS!Q91</f>
        <v>0</v>
      </c>
      <c r="R91" s="106">
        <f>+'NEW CAR'!R91+'GT-SERV'!R91+ACCESS!R91</f>
        <v>0</v>
      </c>
      <c r="S91" s="106">
        <f>+'NEW CAR'!S91+'GT-SERV'!S91+ACCESS!S91</f>
        <v>8000</v>
      </c>
      <c r="T91" s="106">
        <f>+'NEW CAR'!T91+'GT-SERV'!T91+ACCESS!T91</f>
        <v>21000</v>
      </c>
      <c r="U91" s="106">
        <f>+'NEW CAR'!U91+'GT-SERV'!U91+ACCESS!U91</f>
        <v>2400</v>
      </c>
      <c r="V91" s="106">
        <f>+'NEW CAR'!V91+'GT-SERV'!V91+ACCESS!V91</f>
        <v>6500</v>
      </c>
      <c r="W91" s="106">
        <f>+'NEW CAR'!W91+'GT-SERV'!W91+ACCESS!W91</f>
        <v>0</v>
      </c>
      <c r="X91" s="106">
        <f>+'NEW CAR'!X91+'GT-SERV'!X91+ACCESS!X91</f>
        <v>0</v>
      </c>
      <c r="Y91" s="106">
        <f>+'NEW CAR'!Y91+'GT-SERV'!Y91+ACCESS!Y91</f>
        <v>0</v>
      </c>
      <c r="Z91" s="106">
        <f>+'NEW CAR'!Z91+'GT-SERV'!Z91+ACCESS!Z91</f>
        <v>0</v>
      </c>
      <c r="AA91" s="106">
        <f t="shared" ref="AA91:AA102" si="88">+SUM(O91:Z91)</f>
        <v>37900</v>
      </c>
      <c r="AB91" s="118"/>
      <c r="AC91" s="106">
        <f>+'NEW CAR'!AC91+'GT-SERV'!AC91+ACCESS!AC91</f>
        <v>17400</v>
      </c>
      <c r="AD91" s="106">
        <f>+'NEW CAR'!AD91+'GT-SERV'!AD91+ACCESS!AD91</f>
        <v>17400</v>
      </c>
      <c r="AE91" s="106">
        <f>+'NEW CAR'!AE91+'GT-SERV'!AE91+ACCESS!AE91</f>
        <v>22200</v>
      </c>
      <c r="AF91" s="106">
        <f>+'NEW CAR'!AF91+'GT-SERV'!AF91+ACCESS!AF91</f>
        <v>18000</v>
      </c>
      <c r="AG91" s="106">
        <f>+'NEW CAR'!AG91+'GT-SERV'!AG91+ACCESS!AG91</f>
        <v>19200</v>
      </c>
      <c r="AH91" s="106">
        <f>+'NEW CAR'!AH91+'GT-SERV'!AH91+ACCESS!AH91</f>
        <v>16800</v>
      </c>
      <c r="AI91" s="106">
        <f>+'NEW CAR'!AI91+'GT-SERV'!AI91+ACCESS!AI91</f>
        <v>17400</v>
      </c>
      <c r="AJ91" s="106">
        <f>+'NEW CAR'!AJ91+'GT-SERV'!AJ91+ACCESS!AJ91</f>
        <v>20400</v>
      </c>
      <c r="AK91" s="106">
        <f>+'NEW CAR'!AK91+'GT-SERV'!AK91+ACCESS!AK91</f>
        <v>20400</v>
      </c>
      <c r="AL91" s="106">
        <f>+'NEW CAR'!AL91+'GT-SERV'!AL91+ACCESS!AL91</f>
        <v>18000</v>
      </c>
      <c r="AM91" s="106">
        <f>+'NEW CAR'!AM91+'GT-SERV'!AM91+ACCESS!AM91</f>
        <v>16800</v>
      </c>
      <c r="AN91" s="106">
        <f>+'NEW CAR'!AN91+'GT-SERV'!AN91+ACCESS!AN91</f>
        <v>22200</v>
      </c>
      <c r="AO91" s="106">
        <f t="shared" ref="AO91:AO102" si="89">+SUM(AC91:AN91)</f>
        <v>226200</v>
      </c>
      <c r="AS91" s="109"/>
    </row>
    <row r="92" spans="1:45" outlineLevel="1">
      <c r="A92" s="106">
        <f>+'NEW CAR'!A92+'GT-SERV'!A92+ACCESS!A92</f>
        <v>1420</v>
      </c>
      <c r="B92" s="106">
        <f>+'NEW CAR'!B92+'GT-SERV'!B92+ACCESS!B92</f>
        <v>10000</v>
      </c>
      <c r="C92" s="106">
        <f>+'NEW CAR'!C92+'GT-SERV'!C92+ACCESS!C92</f>
        <v>1200</v>
      </c>
      <c r="D92" s="106">
        <f>+'NEW CAR'!D92+'GT-SERV'!D92+ACCESS!D92</f>
        <v>1268</v>
      </c>
      <c r="E92" s="106">
        <f>+'NEW CAR'!E92+'GT-SERV'!E92+ACCESS!E92</f>
        <v>160</v>
      </c>
      <c r="F92" s="106">
        <f>+'NEW CAR'!F92+'GT-SERV'!F92+ACCESS!F92</f>
        <v>6250</v>
      </c>
      <c r="G92" s="106">
        <f>+'NEW CAR'!G92+'GT-SERV'!G92+ACCESS!G92</f>
        <v>13532</v>
      </c>
      <c r="H92" s="106">
        <f>+'NEW CAR'!H92+'GT-SERV'!H92+ACCESS!H92</f>
        <v>10022</v>
      </c>
      <c r="I92" s="106">
        <f>+'NEW CAR'!I92+'GT-SERV'!I92+ACCESS!I92</f>
        <v>3495</v>
      </c>
      <c r="J92" s="106">
        <f>+'NEW CAR'!J92+'GT-SERV'!J92+ACCESS!J92</f>
        <v>670</v>
      </c>
      <c r="K92" s="106">
        <f>+'NEW CAR'!K92+'GT-SERV'!K92+ACCESS!K92</f>
        <v>11132</v>
      </c>
      <c r="L92" s="106">
        <f>+'NEW CAR'!L92+'GT-SERV'!L92+ACCESS!L92</f>
        <v>740</v>
      </c>
      <c r="M92" s="106">
        <f t="shared" si="77"/>
        <v>59889</v>
      </c>
      <c r="N92" s="16" t="s">
        <v>73</v>
      </c>
      <c r="O92" s="106">
        <f>+'NEW CAR'!O92+'GT-SERV'!O92+ACCESS!O92</f>
        <v>3900</v>
      </c>
      <c r="P92" s="106">
        <f>+'NEW CAR'!P92+'GT-SERV'!P92+ACCESS!P92</f>
        <v>900</v>
      </c>
      <c r="Q92" s="106">
        <f>+'NEW CAR'!Q92+'GT-SERV'!Q92+ACCESS!Q92</f>
        <v>900</v>
      </c>
      <c r="R92" s="106">
        <f>+'NEW CAR'!R92+'GT-SERV'!R92+ACCESS!R92</f>
        <v>8400</v>
      </c>
      <c r="S92" s="106">
        <f>+'NEW CAR'!S92+'GT-SERV'!S92+ACCESS!S92</f>
        <v>4900</v>
      </c>
      <c r="T92" s="106">
        <f>+'NEW CAR'!T92+'GT-SERV'!T92+ACCESS!T92</f>
        <v>5100</v>
      </c>
      <c r="U92" s="106">
        <f>+'NEW CAR'!U92+'GT-SERV'!U92+ACCESS!U92</f>
        <v>15127.6</v>
      </c>
      <c r="V92" s="106">
        <f>+'NEW CAR'!V92+'GT-SERV'!V92+ACCESS!V92</f>
        <v>900</v>
      </c>
      <c r="W92" s="106">
        <f>+'NEW CAR'!W92+'GT-SERV'!W92+ACCESS!W92</f>
        <v>102148.89</v>
      </c>
      <c r="X92" s="106">
        <f>+'NEW CAR'!X92+'GT-SERV'!X92+ACCESS!X92</f>
        <v>73138.404999999999</v>
      </c>
      <c r="Y92" s="106">
        <f>+'NEW CAR'!Y92+'GT-SERV'!Y92+ACCESS!Y92</f>
        <v>0</v>
      </c>
      <c r="Z92" s="106">
        <f>+'NEW CAR'!Z92+'GT-SERV'!Z92+ACCESS!Z92</f>
        <v>0</v>
      </c>
      <c r="AA92" s="106">
        <f t="shared" si="88"/>
        <v>215414.89499999999</v>
      </c>
      <c r="AB92" s="118"/>
      <c r="AC92" s="106">
        <f>+'NEW CAR'!AC92+'GT-SERV'!AC92+ACCESS!AC92</f>
        <v>2750</v>
      </c>
      <c r="AD92" s="106">
        <f>+'NEW CAR'!AD92+'GT-SERV'!AD92+ACCESS!AD92</f>
        <v>2750</v>
      </c>
      <c r="AE92" s="106">
        <f>+'NEW CAR'!AE92+'GT-SERV'!AE92+ACCESS!AE92</f>
        <v>2750</v>
      </c>
      <c r="AF92" s="106">
        <f>+'NEW CAR'!AF92+'GT-SERV'!AF92+ACCESS!AF92</f>
        <v>2750</v>
      </c>
      <c r="AG92" s="106">
        <f>+'NEW CAR'!AG92+'GT-SERV'!AG92+ACCESS!AG92</f>
        <v>2750</v>
      </c>
      <c r="AH92" s="106">
        <f>+'NEW CAR'!AH92+'GT-SERV'!AH92+ACCESS!AH92</f>
        <v>2750</v>
      </c>
      <c r="AI92" s="106">
        <f>+'NEW CAR'!AI92+'GT-SERV'!AI92+ACCESS!AI92</f>
        <v>2750</v>
      </c>
      <c r="AJ92" s="106">
        <f>+'NEW CAR'!AJ92+'GT-SERV'!AJ92+ACCESS!AJ92</f>
        <v>2750</v>
      </c>
      <c r="AK92" s="106">
        <f>+'NEW CAR'!AK92+'GT-SERV'!AK92+ACCESS!AK92</f>
        <v>2750</v>
      </c>
      <c r="AL92" s="106">
        <f>+'NEW CAR'!AL92+'GT-SERV'!AL92+ACCESS!AL92</f>
        <v>2750</v>
      </c>
      <c r="AM92" s="106">
        <f>+'NEW CAR'!AM92+'GT-SERV'!AM92+ACCESS!AM92</f>
        <v>2750</v>
      </c>
      <c r="AN92" s="106">
        <f>+'NEW CAR'!AN92+'GT-SERV'!AN92+ACCESS!AN92</f>
        <v>2750</v>
      </c>
      <c r="AO92" s="106">
        <f t="shared" si="89"/>
        <v>33000</v>
      </c>
      <c r="AS92" s="109"/>
    </row>
    <row r="93" spans="1:45" outlineLevel="1">
      <c r="A93" s="106">
        <f>+'NEW CAR'!A93+'GT-SERV'!A93+ACCESS!A93</f>
        <v>461333</v>
      </c>
      <c r="B93" s="106">
        <f>+'NEW CAR'!B93+'GT-SERV'!B93+ACCESS!B93</f>
        <v>253364</v>
      </c>
      <c r="C93" s="106">
        <f>+'NEW CAR'!C93+'GT-SERV'!C93+ACCESS!C93</f>
        <v>397162.5</v>
      </c>
      <c r="D93" s="106">
        <f>+'NEW CAR'!D93+'GT-SERV'!D93+ACCESS!D93</f>
        <v>694423.32000000007</v>
      </c>
      <c r="E93" s="106">
        <f>+'NEW CAR'!E93+'GT-SERV'!E93+ACCESS!E93</f>
        <v>478075.53</v>
      </c>
      <c r="F93" s="106">
        <f>+'NEW CAR'!F93+'GT-SERV'!F93+ACCESS!F93</f>
        <v>587737.52</v>
      </c>
      <c r="G93" s="106">
        <f>+'NEW CAR'!G93+'GT-SERV'!G93+ACCESS!G93</f>
        <v>466356.17000000004</v>
      </c>
      <c r="H93" s="106">
        <f>+'NEW CAR'!H93+'GT-SERV'!H93+ACCESS!H93</f>
        <v>512857.97000000003</v>
      </c>
      <c r="I93" s="106">
        <f>+'NEW CAR'!I93+'GT-SERV'!I93+ACCESS!I93</f>
        <v>541956.36</v>
      </c>
      <c r="J93" s="106">
        <f>+'NEW CAR'!J93+'GT-SERV'!J93+ACCESS!J93</f>
        <v>344877.56000000006</v>
      </c>
      <c r="K93" s="106">
        <f>+'NEW CAR'!K93+'GT-SERV'!K93+ACCESS!K93</f>
        <v>247643.87</v>
      </c>
      <c r="L93" s="106">
        <f>+'NEW CAR'!L93+'GT-SERV'!L93+ACCESS!L93</f>
        <v>1020434.0700000001</v>
      </c>
      <c r="M93" s="106">
        <f t="shared" si="77"/>
        <v>6006221.8700000001</v>
      </c>
      <c r="N93" s="16" t="s">
        <v>74</v>
      </c>
      <c r="O93" s="106">
        <f>+'NEW CAR'!O93+'GT-SERV'!O93+ACCESS!O93</f>
        <v>705040.15</v>
      </c>
      <c r="P93" s="106">
        <f>+'NEW CAR'!P93+'GT-SERV'!P93+ACCESS!P93</f>
        <v>328498.13</v>
      </c>
      <c r="Q93" s="106">
        <f>+'NEW CAR'!Q93+'GT-SERV'!Q93+ACCESS!Q93</f>
        <v>297945.02999999997</v>
      </c>
      <c r="R93" s="106">
        <f>+'NEW CAR'!R93+'GT-SERV'!R93+ACCESS!R93</f>
        <v>396575.28</v>
      </c>
      <c r="S93" s="106">
        <f>+'NEW CAR'!S93+'GT-SERV'!S93+ACCESS!S93</f>
        <v>225315.84999999998</v>
      </c>
      <c r="T93" s="106">
        <f>+'NEW CAR'!T93+'GT-SERV'!T93+ACCESS!T93</f>
        <v>435996.79</v>
      </c>
      <c r="U93" s="106">
        <f>+'NEW CAR'!U93+'GT-SERV'!U93+ACCESS!U93</f>
        <v>365000.08</v>
      </c>
      <c r="V93" s="106">
        <f>+'NEW CAR'!V93+'GT-SERV'!V93+ACCESS!V93</f>
        <v>397458.68000000005</v>
      </c>
      <c r="W93" s="106">
        <f>+'NEW CAR'!W93+'GT-SERV'!W93+ACCESS!W93</f>
        <v>367444.29</v>
      </c>
      <c r="X93" s="106">
        <f>+'NEW CAR'!X93+'GT-SERV'!X93+ACCESS!X93</f>
        <v>412746.565</v>
      </c>
      <c r="Y93" s="106">
        <f>+'NEW CAR'!Y93+'GT-SERV'!Y93+ACCESS!Y93</f>
        <v>0</v>
      </c>
      <c r="Z93" s="106">
        <f>+'NEW CAR'!Z93+'GT-SERV'!Z93+ACCESS!Z93</f>
        <v>0</v>
      </c>
      <c r="AA93" s="106">
        <f t="shared" si="88"/>
        <v>3932020.8450000002</v>
      </c>
      <c r="AB93" s="118"/>
      <c r="AC93" s="106">
        <f>+'NEW CAR'!AC93+'GT-SERV'!AC93+ACCESS!AC93</f>
        <v>435000</v>
      </c>
      <c r="AD93" s="106">
        <f>+'NEW CAR'!AD93+'GT-SERV'!AD93+ACCESS!AD93</f>
        <v>435000</v>
      </c>
      <c r="AE93" s="106">
        <f>+'NEW CAR'!AE93+'GT-SERV'!AE93+ACCESS!AE93</f>
        <v>555000</v>
      </c>
      <c r="AF93" s="106">
        <f>+'NEW CAR'!AF93+'GT-SERV'!AF93+ACCESS!AF93</f>
        <v>450000</v>
      </c>
      <c r="AG93" s="106">
        <f>+'NEW CAR'!AG93+'GT-SERV'!AG93+ACCESS!AG93</f>
        <v>480000</v>
      </c>
      <c r="AH93" s="106">
        <f>+'NEW CAR'!AH93+'GT-SERV'!AH93+ACCESS!AH93</f>
        <v>420000</v>
      </c>
      <c r="AI93" s="106">
        <f>+'NEW CAR'!AI93+'GT-SERV'!AI93+ACCESS!AI93</f>
        <v>435000</v>
      </c>
      <c r="AJ93" s="106">
        <f>+'NEW CAR'!AJ93+'GT-SERV'!AJ93+ACCESS!AJ93</f>
        <v>510000</v>
      </c>
      <c r="AK93" s="106">
        <f>+'NEW CAR'!AK93+'GT-SERV'!AK93+ACCESS!AK93</f>
        <v>510000</v>
      </c>
      <c r="AL93" s="106">
        <f>+'NEW CAR'!AL93+'GT-SERV'!AL93+ACCESS!AL93</f>
        <v>450000</v>
      </c>
      <c r="AM93" s="106">
        <f>+'NEW CAR'!AM93+'GT-SERV'!AM93+ACCESS!AM93</f>
        <v>420000</v>
      </c>
      <c r="AN93" s="106">
        <f>+'NEW CAR'!AN93+'GT-SERV'!AN93+ACCESS!AN93</f>
        <v>555000</v>
      </c>
      <c r="AO93" s="106">
        <f t="shared" si="89"/>
        <v>5655000</v>
      </c>
      <c r="AS93" s="109"/>
    </row>
    <row r="94" spans="1:45" outlineLevel="1">
      <c r="A94" s="106">
        <f>+'NEW CAR'!A94+'GT-SERV'!A94+ACCESS!A94</f>
        <v>11139</v>
      </c>
      <c r="B94" s="106">
        <f>+'NEW CAR'!B94+'GT-SERV'!B94+ACCESS!B94</f>
        <v>9782.5</v>
      </c>
      <c r="C94" s="106">
        <f>+'NEW CAR'!C94+'GT-SERV'!C94+ACCESS!C94</f>
        <v>13250</v>
      </c>
      <c r="D94" s="106">
        <f>+'NEW CAR'!D94+'GT-SERV'!D94+ACCESS!D94</f>
        <v>8500</v>
      </c>
      <c r="E94" s="106">
        <f>+'NEW CAR'!E94+'GT-SERV'!E94+ACCESS!E94</f>
        <v>16500</v>
      </c>
      <c r="F94" s="106">
        <f>+'NEW CAR'!F94+'GT-SERV'!F94+ACCESS!F94</f>
        <v>27000</v>
      </c>
      <c r="G94" s="106">
        <f>+'NEW CAR'!G94+'GT-SERV'!G94+ACCESS!G94</f>
        <v>13500</v>
      </c>
      <c r="H94" s="106">
        <f>+'NEW CAR'!H94+'GT-SERV'!H94+ACCESS!H94</f>
        <v>8500</v>
      </c>
      <c r="I94" s="106">
        <f>+'NEW CAR'!I94+'GT-SERV'!I94+ACCESS!I94</f>
        <v>20500</v>
      </c>
      <c r="J94" s="106">
        <f>+'NEW CAR'!J94+'GT-SERV'!J94+ACCESS!J94</f>
        <v>8000</v>
      </c>
      <c r="K94" s="106">
        <f>+'NEW CAR'!K94+'GT-SERV'!K94+ACCESS!K94</f>
        <v>9000</v>
      </c>
      <c r="L94" s="106">
        <f>+'NEW CAR'!L94+'GT-SERV'!L94+ACCESS!L94</f>
        <v>13500</v>
      </c>
      <c r="M94" s="106">
        <f t="shared" si="77"/>
        <v>159171.5</v>
      </c>
      <c r="N94" s="16" t="s">
        <v>75</v>
      </c>
      <c r="O94" s="106">
        <f>+'NEW CAR'!O94+'GT-SERV'!O94+ACCESS!O94</f>
        <v>10500</v>
      </c>
      <c r="P94" s="106">
        <f>+'NEW CAR'!P94+'GT-SERV'!P94+ACCESS!P94</f>
        <v>8500</v>
      </c>
      <c r="Q94" s="106">
        <f>+'NEW CAR'!Q94+'GT-SERV'!Q94+ACCESS!Q94</f>
        <v>11500</v>
      </c>
      <c r="R94" s="106">
        <f>+'NEW CAR'!R94+'GT-SERV'!R94+ACCESS!R94</f>
        <v>8000</v>
      </c>
      <c r="S94" s="106">
        <f>+'NEW CAR'!S94+'GT-SERV'!S94+ACCESS!S94</f>
        <v>17000</v>
      </c>
      <c r="T94" s="106">
        <f>+'NEW CAR'!T94+'GT-SERV'!T94+ACCESS!T94</f>
        <v>85301</v>
      </c>
      <c r="U94" s="106">
        <f>+'NEW CAR'!U94+'GT-SERV'!U94+ACCESS!U94</f>
        <v>13000</v>
      </c>
      <c r="V94" s="106">
        <f>+'NEW CAR'!V94+'GT-SERV'!V94+ACCESS!V94</f>
        <v>13000</v>
      </c>
      <c r="W94" s="106">
        <f>+'NEW CAR'!W94+'GT-SERV'!W94+ACCESS!W94</f>
        <v>14500</v>
      </c>
      <c r="X94" s="106">
        <f>+'NEW CAR'!X94+'GT-SERV'!X94+ACCESS!X94</f>
        <v>83594</v>
      </c>
      <c r="Y94" s="106">
        <f>+'NEW CAR'!Y94+'GT-SERV'!Y94+ACCESS!Y94</f>
        <v>0</v>
      </c>
      <c r="Z94" s="106">
        <f>+'NEW CAR'!Z94+'GT-SERV'!Z94+ACCESS!Z94</f>
        <v>0</v>
      </c>
      <c r="AA94" s="106">
        <f t="shared" si="88"/>
        <v>264895</v>
      </c>
      <c r="AB94" s="118"/>
      <c r="AC94" s="106">
        <f>+'NEW CAR'!AC94+'GT-SERV'!AC94+ACCESS!AC94</f>
        <v>14500</v>
      </c>
      <c r="AD94" s="106">
        <f>+'NEW CAR'!AD94+'GT-SERV'!AD94+ACCESS!AD94</f>
        <v>14500</v>
      </c>
      <c r="AE94" s="106">
        <f>+'NEW CAR'!AE94+'GT-SERV'!AE94+ACCESS!AE94</f>
        <v>18500</v>
      </c>
      <c r="AF94" s="106">
        <f>+'NEW CAR'!AF94+'GT-SERV'!AF94+ACCESS!AF94</f>
        <v>15000</v>
      </c>
      <c r="AG94" s="106">
        <f>+'NEW CAR'!AG94+'GT-SERV'!AG94+ACCESS!AG94</f>
        <v>16000</v>
      </c>
      <c r="AH94" s="106">
        <f>+'NEW CAR'!AH94+'GT-SERV'!AH94+ACCESS!AH94</f>
        <v>14000</v>
      </c>
      <c r="AI94" s="106">
        <f>+'NEW CAR'!AI94+'GT-SERV'!AI94+ACCESS!AI94</f>
        <v>14500</v>
      </c>
      <c r="AJ94" s="106">
        <f>+'NEW CAR'!AJ94+'GT-SERV'!AJ94+ACCESS!AJ94</f>
        <v>17000</v>
      </c>
      <c r="AK94" s="106">
        <f>+'NEW CAR'!AK94+'GT-SERV'!AK94+ACCESS!AK94</f>
        <v>17000</v>
      </c>
      <c r="AL94" s="106">
        <f>+'NEW CAR'!AL94+'GT-SERV'!AL94+ACCESS!AL94</f>
        <v>15000</v>
      </c>
      <c r="AM94" s="106">
        <f>+'NEW CAR'!AM94+'GT-SERV'!AM94+ACCESS!AM94</f>
        <v>14000</v>
      </c>
      <c r="AN94" s="106">
        <f>+'NEW CAR'!AN94+'GT-SERV'!AN94+ACCESS!AN94</f>
        <v>18500</v>
      </c>
      <c r="AO94" s="106">
        <f t="shared" si="89"/>
        <v>188500</v>
      </c>
      <c r="AS94" s="109"/>
    </row>
    <row r="95" spans="1:45" outlineLevel="1">
      <c r="A95" s="106">
        <f>+'NEW CAR'!A95+'GT-SERV'!A95+ACCESS!A95</f>
        <v>0</v>
      </c>
      <c r="B95" s="106">
        <f>+'NEW CAR'!B95+'GT-SERV'!B95+ACCESS!B95</f>
        <v>0</v>
      </c>
      <c r="C95" s="106">
        <f>+'NEW CAR'!C95+'GT-SERV'!C95+ACCESS!C95</f>
        <v>0</v>
      </c>
      <c r="D95" s="106">
        <f>+'NEW CAR'!D95+'GT-SERV'!D95+ACCESS!D95</f>
        <v>0</v>
      </c>
      <c r="E95" s="106">
        <f>+'NEW CAR'!E95+'GT-SERV'!E95+ACCESS!E95</f>
        <v>0</v>
      </c>
      <c r="F95" s="106">
        <f>+'NEW CAR'!F95+'GT-SERV'!F95+ACCESS!F95</f>
        <v>5370</v>
      </c>
      <c r="G95" s="106">
        <f>+'NEW CAR'!G95+'GT-SERV'!G95+ACCESS!G95</f>
        <v>3133</v>
      </c>
      <c r="H95" s="106">
        <f>+'NEW CAR'!H95+'GT-SERV'!H95+ACCESS!H95</f>
        <v>3133</v>
      </c>
      <c r="I95" s="106">
        <f>+'NEW CAR'!I95+'GT-SERV'!I95+ACCESS!I95</f>
        <v>0</v>
      </c>
      <c r="J95" s="106">
        <f>+'NEW CAR'!J95+'GT-SERV'!J95+ACCESS!J95</f>
        <v>0</v>
      </c>
      <c r="K95" s="106">
        <f>+'NEW CAR'!K95+'GT-SERV'!K95+ACCESS!K95</f>
        <v>0</v>
      </c>
      <c r="L95" s="106">
        <f>+'NEW CAR'!L95+'GT-SERV'!L95+ACCESS!L95</f>
        <v>0</v>
      </c>
      <c r="M95" s="106">
        <f t="shared" si="77"/>
        <v>11636</v>
      </c>
      <c r="N95" s="16" t="s">
        <v>76</v>
      </c>
      <c r="O95" s="106">
        <f>+'NEW CAR'!O95+'GT-SERV'!O95+ACCESS!O95</f>
        <v>0</v>
      </c>
      <c r="P95" s="106">
        <f>+'NEW CAR'!P95+'GT-SERV'!P95+ACCESS!P95</f>
        <v>0</v>
      </c>
      <c r="Q95" s="106">
        <f>+'NEW CAR'!Q95+'GT-SERV'!Q95+ACCESS!Q95</f>
        <v>0</v>
      </c>
      <c r="R95" s="106">
        <f>+'NEW CAR'!R95+'GT-SERV'!R95+ACCESS!R95</f>
        <v>0</v>
      </c>
      <c r="S95" s="106">
        <f>+'NEW CAR'!S95+'GT-SERV'!S95+ACCESS!S95</f>
        <v>0</v>
      </c>
      <c r="T95" s="106">
        <f>+'NEW CAR'!T95+'GT-SERV'!T95+ACCESS!T95</f>
        <v>0</v>
      </c>
      <c r="U95" s="106">
        <f>+'NEW CAR'!U95+'GT-SERV'!U95+ACCESS!U95</f>
        <v>0</v>
      </c>
      <c r="V95" s="106">
        <f>+'NEW CAR'!V95+'GT-SERV'!V95+ACCESS!V95</f>
        <v>0</v>
      </c>
      <c r="W95" s="106">
        <f>+'NEW CAR'!W95+'GT-SERV'!W95+ACCESS!W95</f>
        <v>0</v>
      </c>
      <c r="X95" s="106">
        <f>+'NEW CAR'!X95+'GT-SERV'!X95+ACCESS!X95</f>
        <v>0</v>
      </c>
      <c r="Y95" s="106">
        <f>+'NEW CAR'!Y95+'GT-SERV'!Y95+ACCESS!Y95</f>
        <v>0</v>
      </c>
      <c r="Z95" s="106">
        <f>+'NEW CAR'!Z95+'GT-SERV'!Z95+ACCESS!Z95</f>
        <v>0</v>
      </c>
      <c r="AA95" s="106">
        <f t="shared" si="88"/>
        <v>0</v>
      </c>
      <c r="AB95" s="118"/>
      <c r="AC95" s="106">
        <f>+'NEW CAR'!AC95+'GT-SERV'!AC95+ACCESS!AC95</f>
        <v>0</v>
      </c>
      <c r="AD95" s="106">
        <f>+'NEW CAR'!AD95+'GT-SERV'!AD95+ACCESS!AD95</f>
        <v>0</v>
      </c>
      <c r="AE95" s="106">
        <f>+'NEW CAR'!AE95+'GT-SERV'!AE95+ACCESS!AE95</f>
        <v>0</v>
      </c>
      <c r="AF95" s="106">
        <f>+'NEW CAR'!AF95+'GT-SERV'!AF95+ACCESS!AF95</f>
        <v>0</v>
      </c>
      <c r="AG95" s="106">
        <f>+'NEW CAR'!AG95+'GT-SERV'!AG95+ACCESS!AG95</f>
        <v>0</v>
      </c>
      <c r="AH95" s="106">
        <f>+'NEW CAR'!AH95+'GT-SERV'!AH95+ACCESS!AH95</f>
        <v>0</v>
      </c>
      <c r="AI95" s="106">
        <f>+'NEW CAR'!AI95+'GT-SERV'!AI95+ACCESS!AI95</f>
        <v>0</v>
      </c>
      <c r="AJ95" s="106">
        <f>+'NEW CAR'!AJ95+'GT-SERV'!AJ95+ACCESS!AJ95</f>
        <v>0</v>
      </c>
      <c r="AK95" s="106">
        <f>+'NEW CAR'!AK95+'GT-SERV'!AK95+ACCESS!AK95</f>
        <v>0</v>
      </c>
      <c r="AL95" s="106">
        <f>+'NEW CAR'!AL95+'GT-SERV'!AL95+ACCESS!AL95</f>
        <v>0</v>
      </c>
      <c r="AM95" s="106">
        <f>+'NEW CAR'!AM95+'GT-SERV'!AM95+ACCESS!AM95</f>
        <v>0</v>
      </c>
      <c r="AN95" s="106">
        <f>+'NEW CAR'!AN95+'GT-SERV'!AN95+ACCESS!AN95</f>
        <v>0</v>
      </c>
      <c r="AO95" s="106">
        <f t="shared" si="89"/>
        <v>0</v>
      </c>
      <c r="AS95" s="109"/>
    </row>
    <row r="96" spans="1:45" outlineLevel="1">
      <c r="A96" s="106">
        <f>+'NEW CAR'!A96+'GT-SERV'!A96+ACCESS!A96</f>
        <v>0</v>
      </c>
      <c r="B96" s="106">
        <f>+'NEW CAR'!B96+'GT-SERV'!B96+ACCESS!B96</f>
        <v>0</v>
      </c>
      <c r="C96" s="106">
        <f>+'NEW CAR'!C96+'GT-SERV'!C96+ACCESS!C96</f>
        <v>0</v>
      </c>
      <c r="D96" s="106">
        <f>+'NEW CAR'!D96+'GT-SERV'!D96+ACCESS!D96</f>
        <v>0</v>
      </c>
      <c r="E96" s="106">
        <f>+'NEW CAR'!E96+'GT-SERV'!E96+ACCESS!E96</f>
        <v>0</v>
      </c>
      <c r="F96" s="106">
        <f>+'NEW CAR'!F96+'GT-SERV'!F96+ACCESS!F96</f>
        <v>0</v>
      </c>
      <c r="G96" s="106">
        <f>+'NEW CAR'!G96+'GT-SERV'!G96+ACCESS!G96</f>
        <v>0</v>
      </c>
      <c r="H96" s="106">
        <f>+'NEW CAR'!H96+'GT-SERV'!H96+ACCESS!H96</f>
        <v>0</v>
      </c>
      <c r="I96" s="106">
        <f>+'NEW CAR'!I96+'GT-SERV'!I96+ACCESS!I96</f>
        <v>0</v>
      </c>
      <c r="J96" s="106">
        <f>+'NEW CAR'!J96+'GT-SERV'!J96+ACCESS!J96</f>
        <v>42016</v>
      </c>
      <c r="K96" s="106">
        <f>+'NEW CAR'!K96+'GT-SERV'!K96+ACCESS!K96</f>
        <v>0</v>
      </c>
      <c r="L96" s="106">
        <f>+'NEW CAR'!L96+'GT-SERV'!L96+ACCESS!L96</f>
        <v>0</v>
      </c>
      <c r="M96" s="106">
        <f t="shared" si="77"/>
        <v>42016</v>
      </c>
      <c r="N96" s="16" t="s">
        <v>77</v>
      </c>
      <c r="O96" s="106">
        <f>+'NEW CAR'!O96+'GT-SERV'!O96+ACCESS!O96</f>
        <v>246863.62</v>
      </c>
      <c r="P96" s="106">
        <f>+'NEW CAR'!P96+'GT-SERV'!P96+ACCESS!P96</f>
        <v>123976.32000000001</v>
      </c>
      <c r="Q96" s="106">
        <f>+'NEW CAR'!Q96+'GT-SERV'!Q96+ACCESS!Q96</f>
        <v>129918.27</v>
      </c>
      <c r="R96" s="106">
        <f>+'NEW CAR'!R96+'GT-SERV'!R96+ACCESS!R96</f>
        <v>168946.81</v>
      </c>
      <c r="S96" s="106">
        <f>+'NEW CAR'!S96+'GT-SERV'!S96+ACCESS!S96</f>
        <v>315710.40000000002</v>
      </c>
      <c r="T96" s="106">
        <f>+'NEW CAR'!T96+'GT-SERV'!T96+ACCESS!T96</f>
        <v>160164.06</v>
      </c>
      <c r="U96" s="106">
        <f>+'NEW CAR'!U96+'GT-SERV'!U96+ACCESS!U96</f>
        <v>157578.53166666668</v>
      </c>
      <c r="V96" s="106">
        <f>+'NEW CAR'!V96+'GT-SERV'!V96+ACCESS!V96</f>
        <v>152534.97</v>
      </c>
      <c r="W96" s="106">
        <f>+'NEW CAR'!W96+'GT-SERV'!W96+ACCESS!W96</f>
        <v>22706.3</v>
      </c>
      <c r="X96" s="106">
        <f>+'NEW CAR'!X96+'GT-SERV'!X96+ACCESS!X96</f>
        <v>201749.81</v>
      </c>
      <c r="Y96" s="106">
        <f>+'NEW CAR'!Y96+'GT-SERV'!Y96+ACCESS!Y96</f>
        <v>0</v>
      </c>
      <c r="Z96" s="106">
        <f>+'NEW CAR'!Z96+'GT-SERV'!Z96+ACCESS!Z96</f>
        <v>0</v>
      </c>
      <c r="AA96" s="106">
        <f t="shared" si="88"/>
        <v>1680149.0916666668</v>
      </c>
      <c r="AB96" s="118"/>
      <c r="AC96" s="106">
        <f>+'NEW CAR'!AC96+'GT-SERV'!AC96+ACCESS!AC96</f>
        <v>50000</v>
      </c>
      <c r="AD96" s="106">
        <f>+'NEW CAR'!AD96+'GT-SERV'!AD96+ACCESS!AD96</f>
        <v>50000</v>
      </c>
      <c r="AE96" s="106">
        <f>+'NEW CAR'!AE96+'GT-SERV'!AE96+ACCESS!AE96</f>
        <v>50000</v>
      </c>
      <c r="AF96" s="106">
        <f>+'NEW CAR'!AF96+'GT-SERV'!AF96+ACCESS!AF96</f>
        <v>50000</v>
      </c>
      <c r="AG96" s="106">
        <f>+'NEW CAR'!AG96+'GT-SERV'!AG96+ACCESS!AG96</f>
        <v>50000</v>
      </c>
      <c r="AH96" s="106">
        <f>+'NEW CAR'!AH96+'GT-SERV'!AH96+ACCESS!AH96</f>
        <v>50000</v>
      </c>
      <c r="AI96" s="106">
        <f>+'NEW CAR'!AI96+'GT-SERV'!AI96+ACCESS!AI96</f>
        <v>50000</v>
      </c>
      <c r="AJ96" s="106">
        <f>+'NEW CAR'!AJ96+'GT-SERV'!AJ96+ACCESS!AJ96</f>
        <v>50000</v>
      </c>
      <c r="AK96" s="106">
        <f>+'NEW CAR'!AK96+'GT-SERV'!AK96+ACCESS!AK96</f>
        <v>50000</v>
      </c>
      <c r="AL96" s="106">
        <f>+'NEW CAR'!AL96+'GT-SERV'!AL96+ACCESS!AL96</f>
        <v>50000</v>
      </c>
      <c r="AM96" s="106">
        <f>+'NEW CAR'!AM96+'GT-SERV'!AM96+ACCESS!AM96</f>
        <v>50000</v>
      </c>
      <c r="AN96" s="106">
        <f>+'NEW CAR'!AN96+'GT-SERV'!AN96+ACCESS!AN96</f>
        <v>50000</v>
      </c>
      <c r="AO96" s="106">
        <f t="shared" si="89"/>
        <v>600000</v>
      </c>
      <c r="AS96" s="109"/>
    </row>
    <row r="97" spans="1:45" outlineLevel="1">
      <c r="A97" s="106">
        <f>+'NEW CAR'!A97+'GT-SERV'!A97+ACCESS!A97</f>
        <v>85058.25</v>
      </c>
      <c r="B97" s="106">
        <f>+'NEW CAR'!B97+'GT-SERV'!B97+ACCESS!B97</f>
        <v>89982.399999999994</v>
      </c>
      <c r="C97" s="106">
        <f>+'NEW CAR'!C97+'GT-SERV'!C97+ACCESS!C97</f>
        <v>138594.66</v>
      </c>
      <c r="D97" s="106">
        <f>+'NEW CAR'!D97+'GT-SERV'!D97+ACCESS!D97</f>
        <v>133657.49</v>
      </c>
      <c r="E97" s="106">
        <f>+'NEW CAR'!E97+'GT-SERV'!E97+ACCESS!E97</f>
        <v>171752.07</v>
      </c>
      <c r="F97" s="106">
        <f>+'NEW CAR'!F97+'GT-SERV'!F97+ACCESS!F97</f>
        <v>50481.54</v>
      </c>
      <c r="G97" s="106">
        <f>+'NEW CAR'!G97+'GT-SERV'!G97+ACCESS!G97</f>
        <v>151043.62</v>
      </c>
      <c r="H97" s="106">
        <f>+'NEW CAR'!H97+'GT-SERV'!H97+ACCESS!H97</f>
        <v>214211.85</v>
      </c>
      <c r="I97" s="106">
        <f>+'NEW CAR'!I97+'GT-SERV'!I97+ACCESS!I97</f>
        <v>175987.27</v>
      </c>
      <c r="J97" s="106">
        <f>+'NEW CAR'!J97+'GT-SERV'!J97+ACCESS!J97</f>
        <v>62418.880000000005</v>
      </c>
      <c r="K97" s="106">
        <f>+'NEW CAR'!K97+'GT-SERV'!K97+ACCESS!K97</f>
        <v>92819</v>
      </c>
      <c r="L97" s="106">
        <f>+'NEW CAR'!L97+'GT-SERV'!L97+ACCESS!L97</f>
        <v>86996.77</v>
      </c>
      <c r="M97" s="106">
        <f t="shared" si="77"/>
        <v>1453003.7999999998</v>
      </c>
      <c r="N97" s="16" t="s">
        <v>78</v>
      </c>
      <c r="O97" s="106">
        <f>+'NEW CAR'!O97+'GT-SERV'!O97+ACCESS!O97</f>
        <v>103971.74</v>
      </c>
      <c r="P97" s="106">
        <f>+'NEW CAR'!P97+'GT-SERV'!P97+ACCESS!P97</f>
        <v>56769.69</v>
      </c>
      <c r="Q97" s="106">
        <f>+'NEW CAR'!Q97+'GT-SERV'!Q97+ACCESS!Q97</f>
        <v>121272.34</v>
      </c>
      <c r="R97" s="106">
        <f>+'NEW CAR'!R97+'GT-SERV'!R97+ACCESS!R97</f>
        <v>152626.04</v>
      </c>
      <c r="S97" s="106">
        <f>+'NEW CAR'!S97+'GT-SERV'!S97+ACCESS!S97</f>
        <v>59532.93</v>
      </c>
      <c r="T97" s="106">
        <f>+'NEW CAR'!T97+'GT-SERV'!T97+ACCESS!T97</f>
        <v>13171.25</v>
      </c>
      <c r="U97" s="106">
        <f>+'NEW CAR'!U97+'GT-SERV'!U97+ACCESS!U97</f>
        <v>19272.25</v>
      </c>
      <c r="V97" s="106">
        <f>+'NEW CAR'!V97+'GT-SERV'!V97+ACCESS!V97</f>
        <v>153515.81</v>
      </c>
      <c r="W97" s="106">
        <f>+'NEW CAR'!W97+'GT-SERV'!W97+ACCESS!W97</f>
        <v>45518.7</v>
      </c>
      <c r="X97" s="106">
        <f>+'NEW CAR'!X97+'GT-SERV'!X97+ACCESS!X97</f>
        <v>2371</v>
      </c>
      <c r="Y97" s="106">
        <f>+'NEW CAR'!Y97+'GT-SERV'!Y97+ACCESS!Y97</f>
        <v>0</v>
      </c>
      <c r="Z97" s="106">
        <f>+'NEW CAR'!Z97+'GT-SERV'!Z97+ACCESS!Z97</f>
        <v>0</v>
      </c>
      <c r="AA97" s="106">
        <f t="shared" si="88"/>
        <v>728021.75</v>
      </c>
      <c r="AB97" s="118"/>
      <c r="AC97" s="106">
        <f>+'NEW CAR'!AC97+'GT-SERV'!AC97+ACCESS!AC97</f>
        <v>75000</v>
      </c>
      <c r="AD97" s="106">
        <f>+'NEW CAR'!AD97+'GT-SERV'!AD97+ACCESS!AD97</f>
        <v>75000</v>
      </c>
      <c r="AE97" s="106">
        <f>+'NEW CAR'!AE97+'GT-SERV'!AE97+ACCESS!AE97</f>
        <v>75000</v>
      </c>
      <c r="AF97" s="106">
        <f>+'NEW CAR'!AF97+'GT-SERV'!AF97+ACCESS!AF97</f>
        <v>75000</v>
      </c>
      <c r="AG97" s="106">
        <f>+'NEW CAR'!AG97+'GT-SERV'!AG97+ACCESS!AG97</f>
        <v>75000</v>
      </c>
      <c r="AH97" s="106">
        <f>+'NEW CAR'!AH97+'GT-SERV'!AH97+ACCESS!AH97</f>
        <v>75000</v>
      </c>
      <c r="AI97" s="106">
        <f>+'NEW CAR'!AI97+'GT-SERV'!AI97+ACCESS!AI97</f>
        <v>75000</v>
      </c>
      <c r="AJ97" s="106">
        <f>+'NEW CAR'!AJ97+'GT-SERV'!AJ97+ACCESS!AJ97</f>
        <v>75000</v>
      </c>
      <c r="AK97" s="106">
        <f>+'NEW CAR'!AK97+'GT-SERV'!AK97+ACCESS!AK97</f>
        <v>75000</v>
      </c>
      <c r="AL97" s="106">
        <f>+'NEW CAR'!AL97+'GT-SERV'!AL97+ACCESS!AL97</f>
        <v>75000</v>
      </c>
      <c r="AM97" s="106">
        <f>+'NEW CAR'!AM97+'GT-SERV'!AM97+ACCESS!AM97</f>
        <v>75000</v>
      </c>
      <c r="AN97" s="106">
        <f>+'NEW CAR'!AN97+'GT-SERV'!AN97+ACCESS!AN97</f>
        <v>75000</v>
      </c>
      <c r="AO97" s="106">
        <f t="shared" si="89"/>
        <v>900000</v>
      </c>
      <c r="AS97" s="109"/>
    </row>
    <row r="98" spans="1:45" outlineLevel="1">
      <c r="A98" s="106">
        <f>+'NEW CAR'!A98+'GT-SERV'!A98+ACCESS!A98</f>
        <v>136185.20000000001</v>
      </c>
      <c r="B98" s="106">
        <f>+'NEW CAR'!B98+'GT-SERV'!B98+ACCESS!B98</f>
        <v>107201.54000000001</v>
      </c>
      <c r="C98" s="106">
        <f>+'NEW CAR'!C98+'GT-SERV'!C98+ACCESS!C98</f>
        <v>214726.39</v>
      </c>
      <c r="D98" s="106">
        <f>+'NEW CAR'!D98+'GT-SERV'!D98+ACCESS!D98</f>
        <v>130075.07</v>
      </c>
      <c r="E98" s="106">
        <f>+'NEW CAR'!E98+'GT-SERV'!E98+ACCESS!E98</f>
        <v>131036.95000000001</v>
      </c>
      <c r="F98" s="106">
        <f>+'NEW CAR'!F98+'GT-SERV'!F98+ACCESS!F98</f>
        <v>136388.69</v>
      </c>
      <c r="G98" s="106">
        <f>+'NEW CAR'!G98+'GT-SERV'!G98+ACCESS!G98</f>
        <v>180000.30000000002</v>
      </c>
      <c r="H98" s="106">
        <f>+'NEW CAR'!H98+'GT-SERV'!H98+ACCESS!H98</f>
        <v>161076.28</v>
      </c>
      <c r="I98" s="106">
        <f>+'NEW CAR'!I98+'GT-SERV'!I98+ACCESS!I98</f>
        <v>139076.89000000001</v>
      </c>
      <c r="J98" s="106">
        <f>+'NEW CAR'!J98+'GT-SERV'!J98+ACCESS!J98</f>
        <v>81651.14</v>
      </c>
      <c r="K98" s="106">
        <f>+'NEW CAR'!K98+'GT-SERV'!K98+ACCESS!K98</f>
        <v>132646.32999999999</v>
      </c>
      <c r="L98" s="106">
        <f>+'NEW CAR'!L98+'GT-SERV'!L98+ACCESS!L98</f>
        <v>178668.03</v>
      </c>
      <c r="M98" s="106">
        <f t="shared" si="77"/>
        <v>1728732.81</v>
      </c>
      <c r="N98" s="16" t="s">
        <v>79</v>
      </c>
      <c r="O98" s="106">
        <f>+'NEW CAR'!O98+'GT-SERV'!O98+ACCESS!O98</f>
        <v>180179.54</v>
      </c>
      <c r="P98" s="106">
        <f>+'NEW CAR'!P98+'GT-SERV'!P98+ACCESS!P98</f>
        <v>171552.24</v>
      </c>
      <c r="Q98" s="106">
        <f>+'NEW CAR'!Q98+'GT-SERV'!Q98+ACCESS!Q98</f>
        <v>176442.46</v>
      </c>
      <c r="R98" s="106">
        <f>+'NEW CAR'!R98+'GT-SERV'!R98+ACCESS!R98</f>
        <v>213413.18000000002</v>
      </c>
      <c r="S98" s="106">
        <f>+'NEW CAR'!S98+'GT-SERV'!S98+ACCESS!S98</f>
        <v>151426.11000000002</v>
      </c>
      <c r="T98" s="106">
        <f>+'NEW CAR'!T98+'GT-SERV'!T98+ACCESS!T98</f>
        <v>166759.44</v>
      </c>
      <c r="U98" s="106">
        <f>+'NEW CAR'!U98+'GT-SERV'!U98+ACCESS!U98</f>
        <v>152093.60999999999</v>
      </c>
      <c r="V98" s="106">
        <f>+'NEW CAR'!V98+'GT-SERV'!V98+ACCESS!V98</f>
        <v>234624.84999999998</v>
      </c>
      <c r="W98" s="106">
        <f>+'NEW CAR'!W98+'GT-SERV'!W98+ACCESS!W98</f>
        <v>65011.199999999997</v>
      </c>
      <c r="X98" s="106">
        <f>+'NEW CAR'!X98+'GT-SERV'!X98+ACCESS!X98</f>
        <v>257279.13999999998</v>
      </c>
      <c r="Y98" s="106">
        <f>+'NEW CAR'!Y98+'GT-SERV'!Y98+ACCESS!Y98</f>
        <v>0</v>
      </c>
      <c r="Z98" s="106">
        <f>+'NEW CAR'!Z98+'GT-SERV'!Z98+ACCESS!Z98</f>
        <v>0</v>
      </c>
      <c r="AA98" s="106">
        <f t="shared" si="88"/>
        <v>1768781.77</v>
      </c>
      <c r="AB98" s="118"/>
      <c r="AC98" s="106">
        <f>+'NEW CAR'!AC98+'GT-SERV'!AC98+ACCESS!AC98</f>
        <v>145000</v>
      </c>
      <c r="AD98" s="106">
        <f>+'NEW CAR'!AD98+'GT-SERV'!AD98+ACCESS!AD98</f>
        <v>145000</v>
      </c>
      <c r="AE98" s="106">
        <f>+'NEW CAR'!AE98+'GT-SERV'!AE98+ACCESS!AE98</f>
        <v>185000</v>
      </c>
      <c r="AF98" s="106">
        <f>+'NEW CAR'!AF98+'GT-SERV'!AF98+ACCESS!AF98</f>
        <v>150000</v>
      </c>
      <c r="AG98" s="106">
        <f>+'NEW CAR'!AG98+'GT-SERV'!AG98+ACCESS!AG98</f>
        <v>160000</v>
      </c>
      <c r="AH98" s="106">
        <f>+'NEW CAR'!AH98+'GT-SERV'!AH98+ACCESS!AH98</f>
        <v>140000</v>
      </c>
      <c r="AI98" s="106">
        <f>+'NEW CAR'!AI98+'GT-SERV'!AI98+ACCESS!AI98</f>
        <v>145000</v>
      </c>
      <c r="AJ98" s="106">
        <f>+'NEW CAR'!AJ98+'GT-SERV'!AJ98+ACCESS!AJ98</f>
        <v>170000</v>
      </c>
      <c r="AK98" s="106">
        <f>+'NEW CAR'!AK98+'GT-SERV'!AK98+ACCESS!AK98</f>
        <v>170000</v>
      </c>
      <c r="AL98" s="106">
        <f>+'NEW CAR'!AL98+'GT-SERV'!AL98+ACCESS!AL98</f>
        <v>150000</v>
      </c>
      <c r="AM98" s="106">
        <f>+'NEW CAR'!AM98+'GT-SERV'!AM98+ACCESS!AM98</f>
        <v>140000</v>
      </c>
      <c r="AN98" s="106">
        <f>+'NEW CAR'!AN98+'GT-SERV'!AN98+ACCESS!AN98</f>
        <v>185000</v>
      </c>
      <c r="AO98" s="106">
        <f t="shared" si="89"/>
        <v>1885000</v>
      </c>
      <c r="AS98" s="109"/>
    </row>
    <row r="99" spans="1:45" outlineLevel="1">
      <c r="A99" s="106">
        <f>+'NEW CAR'!A99+'GT-SERV'!A99+ACCESS!A99</f>
        <v>0</v>
      </c>
      <c r="B99" s="106">
        <f>+'NEW CAR'!B99+'GT-SERV'!B99+ACCESS!B99</f>
        <v>0</v>
      </c>
      <c r="C99" s="106">
        <f>+'NEW CAR'!C99+'GT-SERV'!C99+ACCESS!C99</f>
        <v>0</v>
      </c>
      <c r="D99" s="106">
        <f>+'NEW CAR'!D99+'GT-SERV'!D99+ACCESS!D99</f>
        <v>0</v>
      </c>
      <c r="E99" s="106">
        <f>+'NEW CAR'!E99+'GT-SERV'!E99+ACCESS!E99</f>
        <v>0</v>
      </c>
      <c r="F99" s="106">
        <f>+'NEW CAR'!F99+'GT-SERV'!F99+ACCESS!F99</f>
        <v>0</v>
      </c>
      <c r="G99" s="106">
        <f>+'NEW CAR'!G99+'GT-SERV'!G99+ACCESS!G99</f>
        <v>0</v>
      </c>
      <c r="H99" s="106">
        <f>+'NEW CAR'!H99+'GT-SERV'!H99+ACCESS!H99</f>
        <v>0</v>
      </c>
      <c r="I99" s="106">
        <f>+'NEW CAR'!I99+'GT-SERV'!I99+ACCESS!I99</f>
        <v>0</v>
      </c>
      <c r="J99" s="106">
        <f>+'NEW CAR'!J99+'GT-SERV'!J99+ACCESS!J99</f>
        <v>0</v>
      </c>
      <c r="K99" s="106">
        <f>+'NEW CAR'!K99+'GT-SERV'!K99+ACCESS!K99</f>
        <v>0</v>
      </c>
      <c r="L99" s="106">
        <f>+'NEW CAR'!L99+'GT-SERV'!L99+ACCESS!L99</f>
        <v>0</v>
      </c>
      <c r="M99" s="106">
        <f t="shared" si="77"/>
        <v>0</v>
      </c>
      <c r="N99" s="16" t="s">
        <v>80</v>
      </c>
      <c r="O99" s="106">
        <f>+'NEW CAR'!O99+'GT-SERV'!O99+ACCESS!O99</f>
        <v>0</v>
      </c>
      <c r="P99" s="106">
        <f>+'NEW CAR'!P99+'GT-SERV'!P99+ACCESS!P99</f>
        <v>0</v>
      </c>
      <c r="Q99" s="106">
        <f>+'NEW CAR'!Q99+'GT-SERV'!Q99+ACCESS!Q99</f>
        <v>0</v>
      </c>
      <c r="R99" s="106">
        <f>+'NEW CAR'!R99+'GT-SERV'!R99+ACCESS!R99</f>
        <v>0</v>
      </c>
      <c r="S99" s="106">
        <f>+'NEW CAR'!S99+'GT-SERV'!S99+ACCESS!S99</f>
        <v>0</v>
      </c>
      <c r="T99" s="106">
        <f>+'NEW CAR'!T99+'GT-SERV'!T99+ACCESS!T99</f>
        <v>0</v>
      </c>
      <c r="U99" s="106">
        <f>+'NEW CAR'!U99+'GT-SERV'!U99+ACCESS!U99</f>
        <v>0</v>
      </c>
      <c r="V99" s="106">
        <f>+'NEW CAR'!V99+'GT-SERV'!V99+ACCESS!V99</f>
        <v>0</v>
      </c>
      <c r="W99" s="106">
        <f>+'NEW CAR'!W99+'GT-SERV'!W99+ACCESS!W99</f>
        <v>0</v>
      </c>
      <c r="X99" s="106">
        <f>+'NEW CAR'!X99+'GT-SERV'!X99+ACCESS!X99</f>
        <v>0</v>
      </c>
      <c r="Y99" s="106">
        <f>+'NEW CAR'!Y99+'GT-SERV'!Y99+ACCESS!Y99</f>
        <v>0</v>
      </c>
      <c r="Z99" s="106">
        <f>+'NEW CAR'!Z99+'GT-SERV'!Z99+ACCESS!Z99</f>
        <v>0</v>
      </c>
      <c r="AA99" s="106">
        <f t="shared" si="88"/>
        <v>0</v>
      </c>
      <c r="AB99" s="118"/>
      <c r="AC99" s="106">
        <f>+'NEW CAR'!AC99+'GT-SERV'!AC99+ACCESS!AC99</f>
        <v>0</v>
      </c>
      <c r="AD99" s="106">
        <f>+'NEW CAR'!AD99+'GT-SERV'!AD99+ACCESS!AD99</f>
        <v>0</v>
      </c>
      <c r="AE99" s="106">
        <f>+'NEW CAR'!AE99+'GT-SERV'!AE99+ACCESS!AE99</f>
        <v>0</v>
      </c>
      <c r="AF99" s="106">
        <f>+'NEW CAR'!AF99+'GT-SERV'!AF99+ACCESS!AF99</f>
        <v>0</v>
      </c>
      <c r="AG99" s="106">
        <f>+'NEW CAR'!AG99+'GT-SERV'!AG99+ACCESS!AG99</f>
        <v>0</v>
      </c>
      <c r="AH99" s="106">
        <f>+'NEW CAR'!AH99+'GT-SERV'!AH99+ACCESS!AH99</f>
        <v>0</v>
      </c>
      <c r="AI99" s="106">
        <f>+'NEW CAR'!AI99+'GT-SERV'!AI99+ACCESS!AI99</f>
        <v>0</v>
      </c>
      <c r="AJ99" s="106">
        <f>+'NEW CAR'!AJ99+'GT-SERV'!AJ99+ACCESS!AJ99</f>
        <v>0</v>
      </c>
      <c r="AK99" s="106">
        <f>+'NEW CAR'!AK99+'GT-SERV'!AK99+ACCESS!AK99</f>
        <v>0</v>
      </c>
      <c r="AL99" s="106">
        <f>+'NEW CAR'!AL99+'GT-SERV'!AL99+ACCESS!AL99</f>
        <v>0</v>
      </c>
      <c r="AM99" s="106">
        <f>+'NEW CAR'!AM99+'GT-SERV'!AM99+ACCESS!AM99</f>
        <v>0</v>
      </c>
      <c r="AN99" s="106">
        <f>+'NEW CAR'!AN99+'GT-SERV'!AN99+ACCESS!AN99</f>
        <v>0</v>
      </c>
      <c r="AO99" s="106">
        <f t="shared" si="89"/>
        <v>0</v>
      </c>
      <c r="AS99" s="109"/>
    </row>
    <row r="100" spans="1:45" outlineLevel="1">
      <c r="A100" s="106">
        <f>+'NEW CAR'!A100+'GT-SERV'!A100+ACCESS!A100</f>
        <v>0</v>
      </c>
      <c r="B100" s="106">
        <f>+'NEW CAR'!B100+'GT-SERV'!B100+ACCESS!B100</f>
        <v>0</v>
      </c>
      <c r="C100" s="106">
        <f>+'NEW CAR'!C100+'GT-SERV'!C100+ACCESS!C100</f>
        <v>0</v>
      </c>
      <c r="D100" s="106">
        <f>+'NEW CAR'!D100+'GT-SERV'!D100+ACCESS!D100</f>
        <v>0</v>
      </c>
      <c r="E100" s="106">
        <f>+'NEW CAR'!E100+'GT-SERV'!E100+ACCESS!E100</f>
        <v>0</v>
      </c>
      <c r="F100" s="106">
        <f>+'NEW CAR'!F100+'GT-SERV'!F100+ACCESS!F100</f>
        <v>0</v>
      </c>
      <c r="G100" s="106">
        <f>+'NEW CAR'!G100+'GT-SERV'!G100+ACCESS!G100</f>
        <v>0</v>
      </c>
      <c r="H100" s="106">
        <f>+'NEW CAR'!H100+'GT-SERV'!H100+ACCESS!H100</f>
        <v>0</v>
      </c>
      <c r="I100" s="106">
        <f>+'NEW CAR'!I100+'GT-SERV'!I100+ACCESS!I100</f>
        <v>0</v>
      </c>
      <c r="J100" s="106">
        <f>+'NEW CAR'!J100+'GT-SERV'!J100+ACCESS!J100</f>
        <v>0</v>
      </c>
      <c r="K100" s="106">
        <f>+'NEW CAR'!K100+'GT-SERV'!K100+ACCESS!K100</f>
        <v>0</v>
      </c>
      <c r="L100" s="106">
        <f>+'NEW CAR'!L100+'GT-SERV'!L100+ACCESS!L100</f>
        <v>0</v>
      </c>
      <c r="M100" s="106">
        <f t="shared" si="77"/>
        <v>0</v>
      </c>
      <c r="N100" s="16" t="s">
        <v>81</v>
      </c>
      <c r="O100" s="106">
        <f>+'NEW CAR'!O100+'GT-SERV'!O100+ACCESS!O100</f>
        <v>0</v>
      </c>
      <c r="P100" s="106">
        <f>+'NEW CAR'!P100+'GT-SERV'!P100+ACCESS!P100</f>
        <v>0</v>
      </c>
      <c r="Q100" s="106">
        <f>+'NEW CAR'!Q100+'GT-SERV'!Q100+ACCESS!Q100</f>
        <v>0</v>
      </c>
      <c r="R100" s="106">
        <f>+'NEW CAR'!R100+'GT-SERV'!R100+ACCESS!R100</f>
        <v>0</v>
      </c>
      <c r="S100" s="106">
        <f>+'NEW CAR'!S100+'GT-SERV'!S100+ACCESS!S100</f>
        <v>0</v>
      </c>
      <c r="T100" s="106">
        <f>+'NEW CAR'!T100+'GT-SERV'!T100+ACCESS!T100</f>
        <v>0</v>
      </c>
      <c r="U100" s="106">
        <f>+'NEW CAR'!U100+'GT-SERV'!U100+ACCESS!U100</f>
        <v>0</v>
      </c>
      <c r="V100" s="106">
        <f>+'NEW CAR'!V100+'GT-SERV'!V100+ACCESS!V100</f>
        <v>0</v>
      </c>
      <c r="W100" s="106">
        <f>+'NEW CAR'!W100+'GT-SERV'!W100+ACCESS!W100</f>
        <v>817.58</v>
      </c>
      <c r="X100" s="106">
        <f>+'NEW CAR'!X100+'GT-SERV'!X100+ACCESS!X100</f>
        <v>0</v>
      </c>
      <c r="Y100" s="106">
        <f>+'NEW CAR'!Y100+'GT-SERV'!Y100+ACCESS!Y100</f>
        <v>0</v>
      </c>
      <c r="Z100" s="106">
        <f>+'NEW CAR'!Z100+'GT-SERV'!Z100+ACCESS!Z100</f>
        <v>0</v>
      </c>
      <c r="AA100" s="106">
        <f t="shared" si="88"/>
        <v>817.58</v>
      </c>
      <c r="AB100" s="118"/>
      <c r="AC100" s="106">
        <f>+'NEW CAR'!AC100+'GT-SERV'!AC100+ACCESS!AC100</f>
        <v>0</v>
      </c>
      <c r="AD100" s="106">
        <f>+'NEW CAR'!AD100+'GT-SERV'!AD100+ACCESS!AD100</f>
        <v>0</v>
      </c>
      <c r="AE100" s="106">
        <f>+'NEW CAR'!AE100+'GT-SERV'!AE100+ACCESS!AE100</f>
        <v>0</v>
      </c>
      <c r="AF100" s="106">
        <f>+'NEW CAR'!AF100+'GT-SERV'!AF100+ACCESS!AF100</f>
        <v>0</v>
      </c>
      <c r="AG100" s="106">
        <f>+'NEW CAR'!AG100+'GT-SERV'!AG100+ACCESS!AG100</f>
        <v>0</v>
      </c>
      <c r="AH100" s="106">
        <f>+'NEW CAR'!AH100+'GT-SERV'!AH100+ACCESS!AH100</f>
        <v>0</v>
      </c>
      <c r="AI100" s="106">
        <f>+'NEW CAR'!AI100+'GT-SERV'!AI100+ACCESS!AI100</f>
        <v>0</v>
      </c>
      <c r="AJ100" s="106">
        <f>+'NEW CAR'!AJ100+'GT-SERV'!AJ100+ACCESS!AJ100</f>
        <v>0</v>
      </c>
      <c r="AK100" s="106">
        <f>+'NEW CAR'!AK100+'GT-SERV'!AK100+ACCESS!AK100</f>
        <v>0</v>
      </c>
      <c r="AL100" s="106">
        <f>+'NEW CAR'!AL100+'GT-SERV'!AL100+ACCESS!AL100</f>
        <v>0</v>
      </c>
      <c r="AM100" s="106">
        <f>+'NEW CAR'!AM100+'GT-SERV'!AM100+ACCESS!AM100</f>
        <v>0</v>
      </c>
      <c r="AN100" s="106">
        <f>+'NEW CAR'!AN100+'GT-SERV'!AN100+ACCESS!AN100</f>
        <v>0</v>
      </c>
      <c r="AO100" s="106">
        <f t="shared" si="89"/>
        <v>0</v>
      </c>
      <c r="AS100" s="109"/>
    </row>
    <row r="101" spans="1:45" outlineLevel="1">
      <c r="A101" s="106">
        <f>+'NEW CAR'!A101+'GT-SERV'!A101+ACCESS!A101</f>
        <v>13887.239999999998</v>
      </c>
      <c r="B101" s="106">
        <f>+'NEW CAR'!B101+'GT-SERV'!B101+ACCESS!B101</f>
        <v>24634.22</v>
      </c>
      <c r="C101" s="106">
        <f>+'NEW CAR'!C101+'GT-SERV'!C101+ACCESS!C101</f>
        <v>32893.22</v>
      </c>
      <c r="D101" s="106">
        <f>+'NEW CAR'!D101+'GT-SERV'!D101+ACCESS!D101</f>
        <v>34435.47</v>
      </c>
      <c r="E101" s="106">
        <f>+'NEW CAR'!E101+'GT-SERV'!E101+ACCESS!E101</f>
        <v>48229</v>
      </c>
      <c r="F101" s="106">
        <f>+'NEW CAR'!F101+'GT-SERV'!F101+ACCESS!F101</f>
        <v>51978.64</v>
      </c>
      <c r="G101" s="106">
        <f>+'NEW CAR'!G101+'GT-SERV'!G101+ACCESS!G101</f>
        <v>67370.16</v>
      </c>
      <c r="H101" s="106">
        <f>+'NEW CAR'!H101+'GT-SERV'!H101+ACCESS!H101</f>
        <v>35550.949999999997</v>
      </c>
      <c r="I101" s="106">
        <f>+'NEW CAR'!I101+'GT-SERV'!I101+ACCESS!I101</f>
        <v>9065.8100000000013</v>
      </c>
      <c r="J101" s="106">
        <f>+'NEW CAR'!J101+'GT-SERV'!J101+ACCESS!J101</f>
        <v>42151.37</v>
      </c>
      <c r="K101" s="106">
        <f>+'NEW CAR'!K101+'GT-SERV'!K101+ACCESS!K101</f>
        <v>145835.82</v>
      </c>
      <c r="L101" s="106">
        <f>+'NEW CAR'!L101+'GT-SERV'!L101+ACCESS!L101</f>
        <v>220387.21</v>
      </c>
      <c r="M101" s="106">
        <f t="shared" si="77"/>
        <v>726419.11</v>
      </c>
      <c r="N101" s="16" t="s">
        <v>82</v>
      </c>
      <c r="O101" s="106">
        <f>+'NEW CAR'!O101+'GT-SERV'!O101+ACCESS!O101</f>
        <v>0</v>
      </c>
      <c r="P101" s="106">
        <f>+'NEW CAR'!P101+'GT-SERV'!P101+ACCESS!P101</f>
        <v>83602.31</v>
      </c>
      <c r="Q101" s="106">
        <f>+'NEW CAR'!Q101+'GT-SERV'!Q101+ACCESS!Q101</f>
        <v>64094.31</v>
      </c>
      <c r="R101" s="106">
        <f>+'NEW CAR'!R101+'GT-SERV'!R101+ACCESS!R101</f>
        <v>0</v>
      </c>
      <c r="S101" s="106">
        <f>+'NEW CAR'!S101+'GT-SERV'!S101+ACCESS!S101</f>
        <v>209229.53999999998</v>
      </c>
      <c r="T101" s="106">
        <f>+'NEW CAR'!T101+'GT-SERV'!T101+ACCESS!T101</f>
        <v>571320.68999999994</v>
      </c>
      <c r="U101" s="106">
        <f>+'NEW CAR'!U101+'GT-SERV'!U101+ACCESS!U101</f>
        <v>228141.9</v>
      </c>
      <c r="V101" s="106">
        <f>+'NEW CAR'!V101+'GT-SERV'!V101+ACCESS!V101</f>
        <v>266424.01</v>
      </c>
      <c r="W101" s="106">
        <f>+'NEW CAR'!W101+'GT-SERV'!W101+ACCESS!W101</f>
        <v>187276.18</v>
      </c>
      <c r="X101" s="106">
        <f>+'NEW CAR'!X101+'GT-SERV'!X101+ACCESS!X101</f>
        <v>136696.78</v>
      </c>
      <c r="Y101" s="106">
        <f>+'NEW CAR'!Y101+'GT-SERV'!Y101+ACCESS!Y101</f>
        <v>0</v>
      </c>
      <c r="Z101" s="106">
        <f>+'NEW CAR'!Z101+'GT-SERV'!Z101+ACCESS!Z101</f>
        <v>0</v>
      </c>
      <c r="AA101" s="106">
        <f t="shared" si="88"/>
        <v>1746785.7199999997</v>
      </c>
      <c r="AB101" s="118"/>
      <c r="AC101" s="106">
        <f>+'NEW CAR'!AC101+'GT-SERV'!AC101+ACCESS!AC101</f>
        <v>58000</v>
      </c>
      <c r="AD101" s="106">
        <f>+'NEW CAR'!AD101+'GT-SERV'!AD101+ACCESS!AD101</f>
        <v>58000</v>
      </c>
      <c r="AE101" s="106">
        <f>+'NEW CAR'!AE101+'GT-SERV'!AE101+ACCESS!AE101</f>
        <v>74000</v>
      </c>
      <c r="AF101" s="106">
        <f>+'NEW CAR'!AF101+'GT-SERV'!AF101+ACCESS!AF101</f>
        <v>60000</v>
      </c>
      <c r="AG101" s="106">
        <f>+'NEW CAR'!AG101+'GT-SERV'!AG101+ACCESS!AG101</f>
        <v>64000</v>
      </c>
      <c r="AH101" s="106">
        <f>+'NEW CAR'!AH101+'GT-SERV'!AH101+ACCESS!AH101</f>
        <v>56000</v>
      </c>
      <c r="AI101" s="106">
        <f>+'NEW CAR'!AI101+'GT-SERV'!AI101+ACCESS!AI101</f>
        <v>58000</v>
      </c>
      <c r="AJ101" s="106">
        <f>+'NEW CAR'!AJ101+'GT-SERV'!AJ101+ACCESS!AJ101</f>
        <v>68000</v>
      </c>
      <c r="AK101" s="106">
        <f>+'NEW CAR'!AK101+'GT-SERV'!AK101+ACCESS!AK101</f>
        <v>68000</v>
      </c>
      <c r="AL101" s="106">
        <f>+'NEW CAR'!AL101+'GT-SERV'!AL101+ACCESS!AL101</f>
        <v>60000</v>
      </c>
      <c r="AM101" s="106">
        <f>+'NEW CAR'!AM101+'GT-SERV'!AM101+ACCESS!AM101</f>
        <v>56000</v>
      </c>
      <c r="AN101" s="106">
        <f>+'NEW CAR'!AN101+'GT-SERV'!AN101+ACCESS!AN101</f>
        <v>74000</v>
      </c>
      <c r="AO101" s="106">
        <f t="shared" si="89"/>
        <v>754000</v>
      </c>
      <c r="AS101" s="109"/>
    </row>
    <row r="102" spans="1:45" outlineLevel="1">
      <c r="A102" s="106">
        <f>+'NEW CAR'!A102+'GT-SERV'!A102+ACCESS!A102</f>
        <v>14736</v>
      </c>
      <c r="B102" s="106">
        <f>+'NEW CAR'!B102+'GT-SERV'!B102+ACCESS!B102</f>
        <v>0</v>
      </c>
      <c r="C102" s="106">
        <f>+'NEW CAR'!C102+'GT-SERV'!C102+ACCESS!C102</f>
        <v>11237.529999999999</v>
      </c>
      <c r="D102" s="106">
        <f>+'NEW CAR'!D102+'GT-SERV'!D102+ACCESS!D102</f>
        <v>0</v>
      </c>
      <c r="E102" s="106">
        <f>+'NEW CAR'!E102+'GT-SERV'!E102+ACCESS!E102</f>
        <v>7512</v>
      </c>
      <c r="F102" s="106">
        <f>+'NEW CAR'!F102+'GT-SERV'!F102+ACCESS!F102</f>
        <v>14736</v>
      </c>
      <c r="G102" s="106">
        <f>+'NEW CAR'!G102+'GT-SERV'!G102+ACCESS!G102</f>
        <v>25807.61</v>
      </c>
      <c r="H102" s="106">
        <f>+'NEW CAR'!H102+'GT-SERV'!H102+ACCESS!H102</f>
        <v>0</v>
      </c>
      <c r="I102" s="106">
        <f>+'NEW CAR'!I102+'GT-SERV'!I102+ACCESS!I102</f>
        <v>53612.800000000003</v>
      </c>
      <c r="J102" s="106">
        <f>+'NEW CAR'!J102+'GT-SERV'!J102+ACCESS!J102</f>
        <v>15557.25</v>
      </c>
      <c r="K102" s="106">
        <f>+'NEW CAR'!K102+'GT-SERV'!K102+ACCESS!K102</f>
        <v>56751.22</v>
      </c>
      <c r="L102" s="106">
        <f>+'NEW CAR'!L102+'GT-SERV'!L102+ACCESS!L102</f>
        <v>103152</v>
      </c>
      <c r="M102" s="106">
        <f t="shared" si="77"/>
        <v>303102.41000000003</v>
      </c>
      <c r="N102" s="16" t="s">
        <v>83</v>
      </c>
      <c r="O102" s="106">
        <f>+'NEW CAR'!O102+'GT-SERV'!O102+ACCESS!O102</f>
        <v>117406.54999999999</v>
      </c>
      <c r="P102" s="106">
        <f>+'NEW CAR'!P102+'GT-SERV'!P102+ACCESS!P102</f>
        <v>34355.020000000004</v>
      </c>
      <c r="Q102" s="106">
        <f>+'NEW CAR'!Q102+'GT-SERV'!Q102+ACCESS!Q102</f>
        <v>70766.990000000005</v>
      </c>
      <c r="R102" s="106">
        <f>+'NEW CAR'!R102+'GT-SERV'!R102+ACCESS!R102</f>
        <v>43304.07</v>
      </c>
      <c r="S102" s="106">
        <f>+'NEW CAR'!S102+'GT-SERV'!S102+ACCESS!S102</f>
        <v>63315.16</v>
      </c>
      <c r="T102" s="106">
        <f>+'NEW CAR'!T102+'GT-SERV'!T102+ACCESS!T102</f>
        <v>66491.44</v>
      </c>
      <c r="U102" s="106">
        <f>+'NEW CAR'!U102+'GT-SERV'!U102+ACCESS!U102</f>
        <v>33378.67</v>
      </c>
      <c r="V102" s="106">
        <f>+'NEW CAR'!V102+'GT-SERV'!V102+ACCESS!V102</f>
        <v>44208</v>
      </c>
      <c r="W102" s="106">
        <f>+'NEW CAR'!W102+'GT-SERV'!W102+ACCESS!W102</f>
        <v>22634.67</v>
      </c>
      <c r="X102" s="106">
        <f>+'NEW CAR'!X102+'GT-SERV'!X102+ACCESS!X102</f>
        <v>54552.71</v>
      </c>
      <c r="Y102" s="106">
        <f>+'NEW CAR'!Y102+'GT-SERV'!Y102+ACCESS!Y102</f>
        <v>0</v>
      </c>
      <c r="Z102" s="106">
        <f>+'NEW CAR'!Z102+'GT-SERV'!Z102+ACCESS!Z102</f>
        <v>0</v>
      </c>
      <c r="AA102" s="106">
        <f t="shared" si="88"/>
        <v>550413.28</v>
      </c>
      <c r="AB102" s="118"/>
      <c r="AC102" s="106">
        <f>+'NEW CAR'!AC102+'GT-SERV'!AC102+ACCESS!AC102</f>
        <v>37400</v>
      </c>
      <c r="AD102" s="106">
        <f>+'NEW CAR'!AD102+'GT-SERV'!AD102+ACCESS!AD102</f>
        <v>37400</v>
      </c>
      <c r="AE102" s="106">
        <f>+'NEW CAR'!AE102+'GT-SERV'!AE102+ACCESS!AE102</f>
        <v>42200</v>
      </c>
      <c r="AF102" s="106">
        <f>+'NEW CAR'!AF102+'GT-SERV'!AF102+ACCESS!AF102</f>
        <v>38000</v>
      </c>
      <c r="AG102" s="106">
        <f>+'NEW CAR'!AG102+'GT-SERV'!AG102+ACCESS!AG102</f>
        <v>39200</v>
      </c>
      <c r="AH102" s="106">
        <f>+'NEW CAR'!AH102+'GT-SERV'!AH102+ACCESS!AH102</f>
        <v>36800</v>
      </c>
      <c r="AI102" s="106">
        <f>+'NEW CAR'!AI102+'GT-SERV'!AI102+ACCESS!AI102</f>
        <v>37400</v>
      </c>
      <c r="AJ102" s="106">
        <f>+'NEW CAR'!AJ102+'GT-SERV'!AJ102+ACCESS!AJ102</f>
        <v>40400</v>
      </c>
      <c r="AK102" s="106">
        <f>+'NEW CAR'!AK102+'GT-SERV'!AK102+ACCESS!AK102</f>
        <v>40400</v>
      </c>
      <c r="AL102" s="106">
        <f>+'NEW CAR'!AL102+'GT-SERV'!AL102+ACCESS!AL102</f>
        <v>38000</v>
      </c>
      <c r="AM102" s="106">
        <f>+'NEW CAR'!AM102+'GT-SERV'!AM102+ACCESS!AM102</f>
        <v>36800</v>
      </c>
      <c r="AN102" s="106">
        <f>+'NEW CAR'!AN102+'GT-SERV'!AN102+ACCESS!AN102</f>
        <v>42200</v>
      </c>
      <c r="AO102" s="106">
        <f t="shared" si="89"/>
        <v>466200</v>
      </c>
      <c r="AS102" s="109"/>
    </row>
    <row r="103" spans="1:45" outlineLevel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18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</row>
    <row r="104" spans="1:45" ht="17.25">
      <c r="A104" s="58">
        <f t="shared" ref="A104:M104" si="90">+SUM(A105:A113)</f>
        <v>1576385.1633333333</v>
      </c>
      <c r="B104" s="58">
        <f t="shared" si="90"/>
        <v>1235342.3133333332</v>
      </c>
      <c r="C104" s="58">
        <f t="shared" si="90"/>
        <v>3256107.4714862378</v>
      </c>
      <c r="D104" s="58">
        <f t="shared" si="90"/>
        <v>1061016.8330000001</v>
      </c>
      <c r="E104" s="58">
        <f t="shared" si="90"/>
        <v>1507337.433</v>
      </c>
      <c r="F104" s="58">
        <f t="shared" si="90"/>
        <v>1802397.0933333333</v>
      </c>
      <c r="G104" s="58">
        <f t="shared" si="90"/>
        <v>1397052.69</v>
      </c>
      <c r="H104" s="58">
        <f t="shared" si="90"/>
        <v>1055542.3799999999</v>
      </c>
      <c r="I104" s="58">
        <f t="shared" si="90"/>
        <v>2010069.14</v>
      </c>
      <c r="J104" s="58">
        <f t="shared" si="90"/>
        <v>2484351.19</v>
      </c>
      <c r="K104" s="58">
        <f t="shared" si="90"/>
        <v>925075.34</v>
      </c>
      <c r="L104" s="58">
        <f t="shared" si="90"/>
        <v>1641510.6800000002</v>
      </c>
      <c r="M104" s="58">
        <f t="shared" si="90"/>
        <v>19952187.727486242</v>
      </c>
      <c r="N104" s="17" t="s">
        <v>84</v>
      </c>
      <c r="O104" s="58">
        <f t="shared" ref="O104:AA104" si="91">+SUM(O105:O113)</f>
        <v>1454998.6400000001</v>
      </c>
      <c r="P104" s="58">
        <f t="shared" si="91"/>
        <v>1130073.5984999998</v>
      </c>
      <c r="Q104" s="58">
        <f t="shared" si="91"/>
        <v>1268359.054</v>
      </c>
      <c r="R104" s="58">
        <f t="shared" si="91"/>
        <v>961214.23</v>
      </c>
      <c r="S104" s="58">
        <f t="shared" si="91"/>
        <v>1328751.6499999999</v>
      </c>
      <c r="T104" s="58">
        <f t="shared" si="91"/>
        <v>1239364.7276999999</v>
      </c>
      <c r="U104" s="58">
        <f t="shared" si="91"/>
        <v>1005424.64</v>
      </c>
      <c r="V104" s="58">
        <f t="shared" si="91"/>
        <v>1631942.7</v>
      </c>
      <c r="W104" s="58">
        <f t="shared" si="91"/>
        <v>1984634.36</v>
      </c>
      <c r="X104" s="58">
        <f t="shared" si="91"/>
        <v>1683230</v>
      </c>
      <c r="Y104" s="58">
        <f t="shared" si="91"/>
        <v>0</v>
      </c>
      <c r="Z104" s="58">
        <f t="shared" si="91"/>
        <v>0</v>
      </c>
      <c r="AA104" s="58">
        <f t="shared" si="91"/>
        <v>13687993.600199997</v>
      </c>
      <c r="AB104" s="118"/>
      <c r="AC104" s="58">
        <f t="shared" ref="AC104:AO104" si="92">+SUM(AC105:AC113)</f>
        <v>1164217.03428677</v>
      </c>
      <c r="AD104" s="58">
        <f t="shared" si="92"/>
        <v>1161212.61395502</v>
      </c>
      <c r="AE104" s="58">
        <f t="shared" si="92"/>
        <v>1436574.23635961</v>
      </c>
      <c r="AF104" s="58">
        <f t="shared" si="92"/>
        <v>1170602.803090624</v>
      </c>
      <c r="AG104" s="58">
        <f t="shared" si="92"/>
        <v>1414553.60693712</v>
      </c>
      <c r="AH104" s="58">
        <f t="shared" si="92"/>
        <v>1236408.5644229599</v>
      </c>
      <c r="AI104" s="58">
        <f t="shared" si="92"/>
        <v>1275178.06584992</v>
      </c>
      <c r="AJ104" s="58">
        <f t="shared" si="92"/>
        <v>1456839.42367045</v>
      </c>
      <c r="AK104" s="58">
        <f t="shared" si="92"/>
        <v>1478717.42520463</v>
      </c>
      <c r="AL104" s="58">
        <f t="shared" si="92"/>
        <v>1280396.5946283999</v>
      </c>
      <c r="AM104" s="58">
        <f t="shared" si="92"/>
        <v>1203554.1962083201</v>
      </c>
      <c r="AN104" s="58">
        <f t="shared" si="92"/>
        <v>1521320.5813952801</v>
      </c>
      <c r="AO104" s="58">
        <f t="shared" si="92"/>
        <v>15799575.146009104</v>
      </c>
    </row>
    <row r="105" spans="1:45" outlineLevel="1">
      <c r="A105" s="106">
        <f>+'NEW CAR'!A105+'GT-SERV'!A105+ACCESS!A105</f>
        <v>265872.03000000003</v>
      </c>
      <c r="B105" s="106">
        <f>+'NEW CAR'!B105+'GT-SERV'!B105+ACCESS!B105</f>
        <v>1000</v>
      </c>
      <c r="C105" s="106">
        <f>+'NEW CAR'!C105+'GT-SERV'!C105+ACCESS!C105</f>
        <v>309532.15000000002</v>
      </c>
      <c r="D105" s="106">
        <f>+'NEW CAR'!D105+'GT-SERV'!D105+ACCESS!D105</f>
        <v>47895.47</v>
      </c>
      <c r="E105" s="106">
        <f>+'NEW CAR'!E105+'GT-SERV'!E105+ACCESS!E105</f>
        <v>27488.78</v>
      </c>
      <c r="F105" s="106">
        <f>+'NEW CAR'!F105+'GT-SERV'!F105+ACCESS!F105</f>
        <v>36955.51</v>
      </c>
      <c r="G105" s="106">
        <f>+'NEW CAR'!G105+'GT-SERV'!G105+ACCESS!G105</f>
        <v>30253.21</v>
      </c>
      <c r="H105" s="106">
        <f>+'NEW CAR'!H105+'GT-SERV'!H105+ACCESS!H105</f>
        <v>2692.7200000000003</v>
      </c>
      <c r="I105" s="106">
        <f>+'NEW CAR'!I105+'GT-SERV'!I105+ACCESS!I105</f>
        <v>20614.41</v>
      </c>
      <c r="J105" s="106">
        <f>+'NEW CAR'!J105+'GT-SERV'!J105+ACCESS!J105</f>
        <v>638306.42000000004</v>
      </c>
      <c r="K105" s="106">
        <f>+'NEW CAR'!K105+'GT-SERV'!K105+ACCESS!K105</f>
        <v>31360</v>
      </c>
      <c r="L105" s="106">
        <f>+'NEW CAR'!L105+'GT-SERV'!L105+ACCESS!L105</f>
        <v>31338.36</v>
      </c>
      <c r="M105" s="106">
        <f t="shared" ref="M105:M113" si="93">+SUM(A105:L105)</f>
        <v>1443309.0600000003</v>
      </c>
      <c r="N105" s="16" t="s">
        <v>85</v>
      </c>
      <c r="O105" s="106">
        <f>+'NEW CAR'!O105+'GT-SERV'!O105+ACCESS!O105</f>
        <v>41721.5</v>
      </c>
      <c r="P105" s="106">
        <f>+'NEW CAR'!P105+'GT-SERV'!P105+ACCESS!P105</f>
        <v>1500</v>
      </c>
      <c r="Q105" s="106">
        <f>+'NEW CAR'!Q105+'GT-SERV'!Q105+ACCESS!Q105</f>
        <v>0</v>
      </c>
      <c r="R105" s="106">
        <f>+'NEW CAR'!R105+'GT-SERV'!R105+ACCESS!R105</f>
        <v>21209.94</v>
      </c>
      <c r="S105" s="106">
        <f>+'NEW CAR'!S105+'GT-SERV'!S105+ACCESS!S105</f>
        <v>4542.0200000000004</v>
      </c>
      <c r="T105" s="106">
        <f>+'NEW CAR'!T105+'GT-SERV'!T105+ACCESS!T105</f>
        <v>158303.1777</v>
      </c>
      <c r="U105" s="106">
        <f>+'NEW CAR'!U105+'GT-SERV'!U105+ACCESS!U105</f>
        <v>0</v>
      </c>
      <c r="V105" s="106">
        <f>+'NEW CAR'!V105+'GT-SERV'!V105+ACCESS!V105</f>
        <v>100792.26999999999</v>
      </c>
      <c r="W105" s="106">
        <f>+'NEW CAR'!W105+'GT-SERV'!W105+ACCESS!W105</f>
        <v>459044.39999999997</v>
      </c>
      <c r="X105" s="106">
        <f>+'NEW CAR'!X105+'GT-SERV'!X105+ACCESS!X105</f>
        <v>38089</v>
      </c>
      <c r="Y105" s="106">
        <f>+'NEW CAR'!Y105+'GT-SERV'!Y105+ACCESS!Y105</f>
        <v>0</v>
      </c>
      <c r="Z105" s="106">
        <f>+'NEW CAR'!Z105+'GT-SERV'!Z105+ACCESS!Z105</f>
        <v>0</v>
      </c>
      <c r="AA105" s="106">
        <f t="shared" ref="AA105:AA113" si="94">+SUM(O105:Z105)</f>
        <v>825202.3077</v>
      </c>
      <c r="AB105" s="118"/>
      <c r="AC105" s="106">
        <f>+'NEW CAR'!AC105+'GT-SERV'!AC105+ACCESS!AC105</f>
        <v>45362.596981250004</v>
      </c>
      <c r="AD105" s="106">
        <f>+'NEW CAR'!AD105+'GT-SERV'!AD105+ACCESS!AD105</f>
        <v>45169.680267500007</v>
      </c>
      <c r="AE105" s="106">
        <f>+'NEW CAR'!AE105+'GT-SERV'!AE105+ACCESS!AE105</f>
        <v>53129.391126250004</v>
      </c>
      <c r="AF105" s="106">
        <f>+'NEW CAR'!AF105+'GT-SERV'!AF105+ACCESS!AF105</f>
        <v>43598.535529920002</v>
      </c>
      <c r="AG105" s="106">
        <f>+'NEW CAR'!AG105+'GT-SERV'!AG105+ACCESS!AG105</f>
        <v>47766.6745544</v>
      </c>
      <c r="AH105" s="106">
        <f>+'NEW CAR'!AH105+'GT-SERV'!AH105+ACCESS!AH105</f>
        <v>44574.447405999999</v>
      </c>
      <c r="AI105" s="106">
        <f>+'NEW CAR'!AI105+'GT-SERV'!AI105+ACCESS!AI105</f>
        <v>45935.982257600001</v>
      </c>
      <c r="AJ105" s="106">
        <f>+'NEW CAR'!AJ105+'GT-SERV'!AJ105+ACCESS!AJ105</f>
        <v>52159.929815650001</v>
      </c>
      <c r="AK105" s="106">
        <f>+'NEW CAR'!AK105+'GT-SERV'!AK105+ACCESS!AK105</f>
        <v>53022.647731750003</v>
      </c>
      <c r="AL105" s="106">
        <f>+'NEW CAR'!AL105+'GT-SERV'!AL105+ACCESS!AL105</f>
        <v>46392.736206000001</v>
      </c>
      <c r="AM105" s="106">
        <f>+'NEW CAR'!AM105+'GT-SERV'!AM105+ACCESS!AM105</f>
        <v>41647.7989648</v>
      </c>
      <c r="AN105" s="106">
        <f>+'NEW CAR'!AN105+'GT-SERV'!AN105+ACCESS!AN105</f>
        <v>54458.823989199998</v>
      </c>
      <c r="AO105" s="106">
        <f t="shared" ref="AO105:AO113" si="95">+SUM(AC105:AN105)</f>
        <v>573219.24483032001</v>
      </c>
    </row>
    <row r="106" spans="1:45" outlineLevel="1">
      <c r="A106" s="106">
        <f>+'NEW CAR'!A106+'GT-SERV'!A106+ACCESS!A106</f>
        <v>644774.94333333336</v>
      </c>
      <c r="B106" s="106">
        <f>+'NEW CAR'!B106+'GT-SERV'!B106+ACCESS!B106</f>
        <v>478326.48333333328</v>
      </c>
      <c r="C106" s="106">
        <f>+'NEW CAR'!C106+'GT-SERV'!C106+ACCESS!C106</f>
        <v>946791.651486238</v>
      </c>
      <c r="D106" s="106">
        <f>+'NEW CAR'!D106+'GT-SERV'!D106+ACCESS!D106</f>
        <v>139901.36300000001</v>
      </c>
      <c r="E106" s="106">
        <f>+'NEW CAR'!E106+'GT-SERV'!E106+ACCESS!E106</f>
        <v>486271.84299999994</v>
      </c>
      <c r="F106" s="106">
        <f>+'NEW CAR'!F106+'GT-SERV'!F106+ACCESS!F106</f>
        <v>473068.9433333333</v>
      </c>
      <c r="G106" s="106">
        <f>+'NEW CAR'!G106+'GT-SERV'!G106+ACCESS!G106</f>
        <v>326729.38</v>
      </c>
      <c r="H106" s="106">
        <f>+'NEW CAR'!H106+'GT-SERV'!H106+ACCESS!H106</f>
        <v>365214.08999999997</v>
      </c>
      <c r="I106" s="106">
        <f>+'NEW CAR'!I106+'GT-SERV'!I106+ACCESS!I106</f>
        <v>450234.73</v>
      </c>
      <c r="J106" s="106">
        <f>+'NEW CAR'!J106+'GT-SERV'!J106+ACCESS!J106</f>
        <v>483391.76999999996</v>
      </c>
      <c r="K106" s="106">
        <f>+'NEW CAR'!K106+'GT-SERV'!K106+ACCESS!K106</f>
        <v>414243.82</v>
      </c>
      <c r="L106" s="106">
        <f>+'NEW CAR'!L106+'GT-SERV'!L106+ACCESS!L106</f>
        <v>37710.820000000007</v>
      </c>
      <c r="M106" s="106">
        <f t="shared" si="93"/>
        <v>5246659.8374862373</v>
      </c>
      <c r="N106" s="16" t="s">
        <v>86</v>
      </c>
      <c r="O106" s="106">
        <f>+'NEW CAR'!O106+'GT-SERV'!O106+ACCESS!O106</f>
        <v>785005.59</v>
      </c>
      <c r="P106" s="106">
        <f>+'NEW CAR'!P106+'GT-SERV'!P106+ACCESS!P106</f>
        <v>428685.61249999999</v>
      </c>
      <c r="Q106" s="106">
        <f>+'NEW CAR'!Q106+'GT-SERV'!Q106+ACCESS!Q106</f>
        <v>702657.19</v>
      </c>
      <c r="R106" s="106">
        <f>+'NEW CAR'!R106+'GT-SERV'!R106+ACCESS!R106</f>
        <v>458658.29</v>
      </c>
      <c r="S106" s="106">
        <f>+'NEW CAR'!S106+'GT-SERV'!S106+ACCESS!S106</f>
        <v>325339.15000000002</v>
      </c>
      <c r="T106" s="106">
        <f>+'NEW CAR'!T106+'GT-SERV'!T106+ACCESS!T106</f>
        <v>449180.66</v>
      </c>
      <c r="U106" s="106">
        <f>+'NEW CAR'!U106+'GT-SERV'!U106+ACCESS!U106</f>
        <v>297827.64</v>
      </c>
      <c r="V106" s="106">
        <f>+'NEW CAR'!V106+'GT-SERV'!V106+ACCESS!V106</f>
        <v>537903.71</v>
      </c>
      <c r="W106" s="106">
        <f>+'NEW CAR'!W106+'GT-SERV'!W106+ACCESS!W106</f>
        <v>271890.15000000002</v>
      </c>
      <c r="X106" s="106">
        <f>+'NEW CAR'!X106+'GT-SERV'!X106+ACCESS!X106</f>
        <v>537287.41999999993</v>
      </c>
      <c r="Y106" s="106">
        <f>+'NEW CAR'!Y106+'GT-SERV'!Y106+ACCESS!Y106</f>
        <v>0</v>
      </c>
      <c r="Z106" s="106">
        <f>+'NEW CAR'!Z106+'GT-SERV'!Z106+ACCESS!Z106</f>
        <v>0</v>
      </c>
      <c r="AA106" s="106">
        <f t="shared" si="94"/>
        <v>4794435.4124999996</v>
      </c>
      <c r="AB106" s="118"/>
      <c r="AC106" s="106">
        <f>+'NEW CAR'!AC106+'GT-SERV'!AC106+ACCESS!AC106</f>
        <v>383788.81134000001</v>
      </c>
      <c r="AD106" s="106">
        <f>+'NEW CAR'!AD106+'GT-SERV'!AD106+ACCESS!AD106</f>
        <v>381190.98836000002</v>
      </c>
      <c r="AE106" s="106">
        <f>+'NEW CAR'!AE106+'GT-SERV'!AE106+ACCESS!AE106</f>
        <v>448644.3983</v>
      </c>
      <c r="AF106" s="106">
        <f>+'NEW CAR'!AF106+'GT-SERV'!AF106+ACCESS!AF106</f>
        <v>368620.10305999999</v>
      </c>
      <c r="AG106" s="106">
        <f>+'NEW CAR'!AG106+'GT-SERV'!AG106+ACCESS!AG106</f>
        <v>401882.06038000004</v>
      </c>
      <c r="AH106" s="106">
        <f>+'NEW CAR'!AH106+'GT-SERV'!AH106+ACCESS!AH106</f>
        <v>375502.35872000002</v>
      </c>
      <c r="AI106" s="106">
        <f>+'NEW CAR'!AI106+'GT-SERV'!AI106+ACCESS!AI106</f>
        <v>387910.20059999998</v>
      </c>
      <c r="AJ106" s="106">
        <f>+'NEW CAR'!AJ106+'GT-SERV'!AJ106+ACCESS!AJ106</f>
        <v>434404.00104</v>
      </c>
      <c r="AK106" s="106">
        <f>+'NEW CAR'!AK106+'GT-SERV'!AK106+ACCESS!AK106</f>
        <v>439323.78636000003</v>
      </c>
      <c r="AL106" s="106">
        <f>+'NEW CAR'!AL106+'GT-SERV'!AL106+ACCESS!AL106</f>
        <v>384240.95110000001</v>
      </c>
      <c r="AM106" s="106">
        <f>+'NEW CAR'!AM106+'GT-SERV'!AM106+ACCESS!AM106</f>
        <v>353038.53607999999</v>
      </c>
      <c r="AN106" s="106">
        <f>+'NEW CAR'!AN106+'GT-SERV'!AN106+ACCESS!AN106</f>
        <v>455169.69481999998</v>
      </c>
      <c r="AO106" s="106">
        <f t="shared" si="95"/>
        <v>4813715.89016</v>
      </c>
    </row>
    <row r="107" spans="1:45" outlineLevel="1">
      <c r="A107" s="106">
        <f>+'NEW CAR'!A107+'GT-SERV'!A107+ACCESS!A107</f>
        <v>0</v>
      </c>
      <c r="B107" s="106">
        <f>+'NEW CAR'!B107+'GT-SERV'!B107+ACCESS!B107</f>
        <v>0</v>
      </c>
      <c r="C107" s="106">
        <f>+'NEW CAR'!C107+'GT-SERV'!C107+ACCESS!C107</f>
        <v>0</v>
      </c>
      <c r="D107" s="106">
        <f>+'NEW CAR'!D107+'GT-SERV'!D107+ACCESS!D107</f>
        <v>0</v>
      </c>
      <c r="E107" s="106">
        <f>+'NEW CAR'!E107+'GT-SERV'!E107+ACCESS!E107</f>
        <v>0</v>
      </c>
      <c r="F107" s="106">
        <f>+'NEW CAR'!F107+'GT-SERV'!F107+ACCESS!F107</f>
        <v>0</v>
      </c>
      <c r="G107" s="106">
        <f>+'NEW CAR'!G107+'GT-SERV'!G107+ACCESS!G107</f>
        <v>0</v>
      </c>
      <c r="H107" s="106">
        <f>+'NEW CAR'!H107+'GT-SERV'!H107+ACCESS!H107</f>
        <v>0</v>
      </c>
      <c r="I107" s="106">
        <f>+'NEW CAR'!I107+'GT-SERV'!I107+ACCESS!I107</f>
        <v>0</v>
      </c>
      <c r="J107" s="106">
        <f>+'NEW CAR'!J107+'GT-SERV'!J107+ACCESS!J107</f>
        <v>0</v>
      </c>
      <c r="K107" s="106">
        <f>+'NEW CAR'!K107+'GT-SERV'!K107+ACCESS!K107</f>
        <v>0</v>
      </c>
      <c r="L107" s="106">
        <f>+'NEW CAR'!L107+'GT-SERV'!L107+ACCESS!L107</f>
        <v>0</v>
      </c>
      <c r="M107" s="106">
        <f t="shared" si="93"/>
        <v>0</v>
      </c>
      <c r="N107" s="16" t="s">
        <v>87</v>
      </c>
      <c r="O107" s="106">
        <f>+'NEW CAR'!O107+'GT-SERV'!O107+ACCESS!O107</f>
        <v>0</v>
      </c>
      <c r="P107" s="106">
        <f>+'NEW CAR'!P107+'GT-SERV'!P107+ACCESS!P107</f>
        <v>0</v>
      </c>
      <c r="Q107" s="106">
        <f>+'NEW CAR'!Q107+'GT-SERV'!Q107+ACCESS!Q107</f>
        <v>0</v>
      </c>
      <c r="R107" s="106">
        <f>+'NEW CAR'!R107+'GT-SERV'!R107+ACCESS!R107</f>
        <v>0</v>
      </c>
      <c r="S107" s="106">
        <f>+'NEW CAR'!S107+'GT-SERV'!S107+ACCESS!S107</f>
        <v>0</v>
      </c>
      <c r="T107" s="106">
        <f>+'NEW CAR'!T107+'GT-SERV'!T107+ACCESS!T107</f>
        <v>0</v>
      </c>
      <c r="U107" s="106">
        <f>+'NEW CAR'!U107+'GT-SERV'!U107+ACCESS!U107</f>
        <v>0</v>
      </c>
      <c r="V107" s="106">
        <f>+'NEW CAR'!V107+'GT-SERV'!V107+ACCESS!V107</f>
        <v>0</v>
      </c>
      <c r="W107" s="106">
        <f>+'NEW CAR'!W107+'GT-SERV'!W107+ACCESS!W107</f>
        <v>0</v>
      </c>
      <c r="X107" s="106">
        <f>+'NEW CAR'!X107+'GT-SERV'!X107+ACCESS!X107</f>
        <v>0</v>
      </c>
      <c r="Y107" s="106">
        <f>+'NEW CAR'!Y107+'GT-SERV'!Y107+ACCESS!Y107</f>
        <v>0</v>
      </c>
      <c r="Z107" s="106">
        <f>+'NEW CAR'!Z107+'GT-SERV'!Z107+ACCESS!Z107</f>
        <v>0</v>
      </c>
      <c r="AA107" s="106">
        <f t="shared" si="94"/>
        <v>0</v>
      </c>
      <c r="AB107" s="118"/>
      <c r="AC107" s="106">
        <f>+'NEW CAR'!AC107+'GT-SERV'!AC107+ACCESS!AC107</f>
        <v>96570</v>
      </c>
      <c r="AD107" s="106">
        <f>+'NEW CAR'!AD107+'GT-SERV'!AD107+ACCESS!AD107</f>
        <v>96570</v>
      </c>
      <c r="AE107" s="106">
        <f>+'NEW CAR'!AE107+'GT-SERV'!AE107+ACCESS!AE107</f>
        <v>123210</v>
      </c>
      <c r="AF107" s="106">
        <f>+'NEW CAR'!AF107+'GT-SERV'!AF107+ACCESS!AF107</f>
        <v>99900</v>
      </c>
      <c r="AG107" s="106">
        <f>+'NEW CAR'!AG107+'GT-SERV'!AG107+ACCESS!AG107</f>
        <v>106560</v>
      </c>
      <c r="AH107" s="106">
        <f>+'NEW CAR'!AH107+'GT-SERV'!AH107+ACCESS!AH107</f>
        <v>93240</v>
      </c>
      <c r="AI107" s="106">
        <f>+'NEW CAR'!AI107+'GT-SERV'!AI107+ACCESS!AI107</f>
        <v>96570</v>
      </c>
      <c r="AJ107" s="106">
        <f>+'NEW CAR'!AJ107+'GT-SERV'!AJ107+ACCESS!AJ107</f>
        <v>113220</v>
      </c>
      <c r="AK107" s="106">
        <f>+'NEW CAR'!AK107+'GT-SERV'!AK107+ACCESS!AK107</f>
        <v>113220</v>
      </c>
      <c r="AL107" s="106">
        <f>+'NEW CAR'!AL107+'GT-SERV'!AL107+ACCESS!AL107</f>
        <v>99900</v>
      </c>
      <c r="AM107" s="106">
        <f>+'NEW CAR'!AM107+'GT-SERV'!AM107+ACCESS!AM107</f>
        <v>93240</v>
      </c>
      <c r="AN107" s="106">
        <f>+'NEW CAR'!AN107+'GT-SERV'!AN107+ACCESS!AN107</f>
        <v>123210</v>
      </c>
      <c r="AO107" s="106">
        <f t="shared" si="95"/>
        <v>1255410</v>
      </c>
    </row>
    <row r="108" spans="1:45" outlineLevel="1">
      <c r="A108" s="106">
        <f>+'NEW CAR'!A108+'GT-SERV'!A108+ACCESS!A108</f>
        <v>261500</v>
      </c>
      <c r="B108" s="106">
        <f>+'NEW CAR'!B108+'GT-SERV'!B108+ACCESS!B108</f>
        <v>446260</v>
      </c>
      <c r="C108" s="106">
        <f>+'NEW CAR'!C108+'GT-SERV'!C108+ACCESS!C108</f>
        <v>1079663</v>
      </c>
      <c r="D108" s="106">
        <f>+'NEW CAR'!D108+'GT-SERV'!D108+ACCESS!D108</f>
        <v>442500</v>
      </c>
      <c r="E108" s="106">
        <f>+'NEW CAR'!E108+'GT-SERV'!E108+ACCESS!E108</f>
        <v>405260</v>
      </c>
      <c r="F108" s="106">
        <f>+'NEW CAR'!F108+'GT-SERV'!F108+ACCESS!F108</f>
        <v>764665</v>
      </c>
      <c r="G108" s="106">
        <f>+'NEW CAR'!G108+'GT-SERV'!G108+ACCESS!G108</f>
        <v>636864</v>
      </c>
      <c r="H108" s="106">
        <f>+'NEW CAR'!H108+'GT-SERV'!H108+ACCESS!H108</f>
        <v>110000</v>
      </c>
      <c r="I108" s="106">
        <f>+'NEW CAR'!I108+'GT-SERV'!I108+ACCESS!I108</f>
        <v>940053</v>
      </c>
      <c r="J108" s="106">
        <f>+'NEW CAR'!J108+'GT-SERV'!J108+ACCESS!J108</f>
        <v>794722</v>
      </c>
      <c r="K108" s="106">
        <f>+'NEW CAR'!K108+'GT-SERV'!K108+ACCESS!K108</f>
        <v>110000</v>
      </c>
      <c r="L108" s="106">
        <f>+'NEW CAR'!L108+'GT-SERV'!L108+ACCESS!L108</f>
        <v>904336</v>
      </c>
      <c r="M108" s="106">
        <f t="shared" si="93"/>
        <v>6895823</v>
      </c>
      <c r="N108" s="16" t="s">
        <v>88</v>
      </c>
      <c r="O108" s="106">
        <f>+'NEW CAR'!O108+'GT-SERV'!O108+ACCESS!O108</f>
        <v>362368.01</v>
      </c>
      <c r="P108" s="106">
        <f>+'NEW CAR'!P108+'GT-SERV'!P108+ACCESS!P108</f>
        <v>111095.99999999999</v>
      </c>
      <c r="Q108" s="106">
        <f>+'NEW CAR'!Q108+'GT-SERV'!Q108+ACCESS!Q108</f>
        <v>58060.194000000003</v>
      </c>
      <c r="R108" s="106">
        <f>+'NEW CAR'!R108+'GT-SERV'!R108+ACCESS!R108</f>
        <v>228750</v>
      </c>
      <c r="S108" s="106">
        <f>+'NEW CAR'!S108+'GT-SERV'!S108+ACCESS!S108</f>
        <v>228750</v>
      </c>
      <c r="T108" s="106">
        <f>+'NEW CAR'!T108+'GT-SERV'!T108+ACCESS!T108</f>
        <v>257320.5</v>
      </c>
      <c r="U108" s="106">
        <f>+'NEW CAR'!U108+'GT-SERV'!U108+ACCESS!U108</f>
        <v>444059</v>
      </c>
      <c r="V108" s="106">
        <f>+'NEW CAR'!V108+'GT-SERV'!V108+ACCESS!V108</f>
        <v>387895</v>
      </c>
      <c r="W108" s="106">
        <f>+'NEW CAR'!W108+'GT-SERV'!W108+ACCESS!W108</f>
        <v>812351</v>
      </c>
      <c r="X108" s="106">
        <f>+'NEW CAR'!X108+'GT-SERV'!X108+ACCESS!X108</f>
        <v>444400</v>
      </c>
      <c r="Y108" s="106">
        <f>+'NEW CAR'!Y108+'GT-SERV'!Y108+ACCESS!Y108</f>
        <v>0</v>
      </c>
      <c r="Z108" s="106">
        <f>+'NEW CAR'!Z108+'GT-SERV'!Z108+ACCESS!Z108</f>
        <v>0</v>
      </c>
      <c r="AA108" s="106">
        <f t="shared" si="94"/>
        <v>3335049.7039999999</v>
      </c>
      <c r="AB108" s="118"/>
      <c r="AC108" s="106">
        <f>+'NEW CAR'!AC108+'GT-SERV'!AC108+ACCESS!AC108</f>
        <v>337995</v>
      </c>
      <c r="AD108" s="106">
        <f>+'NEW CAR'!AD108+'GT-SERV'!AD108+ACCESS!AD108</f>
        <v>337995</v>
      </c>
      <c r="AE108" s="106">
        <f>+'NEW CAR'!AE108+'GT-SERV'!AE108+ACCESS!AE108</f>
        <v>431235</v>
      </c>
      <c r="AF108" s="106">
        <f>+'NEW CAR'!AF108+'GT-SERV'!AF108+ACCESS!AF108</f>
        <v>349650</v>
      </c>
      <c r="AG108" s="106">
        <f>+'NEW CAR'!AG108+'GT-SERV'!AG108+ACCESS!AG108</f>
        <v>372960</v>
      </c>
      <c r="AH108" s="106">
        <f>+'NEW CAR'!AH108+'GT-SERV'!AH108+ACCESS!AH108</f>
        <v>326340</v>
      </c>
      <c r="AI108" s="106">
        <f>+'NEW CAR'!AI108+'GT-SERV'!AI108+ACCESS!AI108</f>
        <v>337995</v>
      </c>
      <c r="AJ108" s="106">
        <f>+'NEW CAR'!AJ108+'GT-SERV'!AJ108+ACCESS!AJ108</f>
        <v>396270</v>
      </c>
      <c r="AK108" s="106">
        <f>+'NEW CAR'!AK108+'GT-SERV'!AK108+ACCESS!AK108</f>
        <v>396270</v>
      </c>
      <c r="AL108" s="106">
        <f>+'NEW CAR'!AL108+'GT-SERV'!AL108+ACCESS!AL108</f>
        <v>349650</v>
      </c>
      <c r="AM108" s="106">
        <f>+'NEW CAR'!AM108+'GT-SERV'!AM108+ACCESS!AM108</f>
        <v>326340</v>
      </c>
      <c r="AN108" s="106">
        <f>+'NEW CAR'!AN108+'GT-SERV'!AN108+ACCESS!AN108</f>
        <v>431235</v>
      </c>
      <c r="AO108" s="106">
        <f t="shared" si="95"/>
        <v>4393935</v>
      </c>
    </row>
    <row r="109" spans="1:45" outlineLevel="1">
      <c r="A109" s="106">
        <f>+'NEW CAR'!A109+'GT-SERV'!A109+ACCESS!A109</f>
        <v>34400</v>
      </c>
      <c r="B109" s="106">
        <f>+'NEW CAR'!B109+'GT-SERV'!B109+ACCESS!B109</f>
        <v>15230</v>
      </c>
      <c r="C109" s="106">
        <f>+'NEW CAR'!C109+'GT-SERV'!C109+ACCESS!C109</f>
        <v>132091</v>
      </c>
      <c r="D109" s="106">
        <f>+'NEW CAR'!D109+'GT-SERV'!D109+ACCESS!D109</f>
        <v>21400</v>
      </c>
      <c r="E109" s="106">
        <f>+'NEW CAR'!E109+'GT-SERV'!E109+ACCESS!E109</f>
        <v>47447.25</v>
      </c>
      <c r="F109" s="106">
        <f>+'NEW CAR'!F109+'GT-SERV'!F109+ACCESS!F109</f>
        <v>55711.78</v>
      </c>
      <c r="G109" s="106">
        <f>+'NEW CAR'!G109+'GT-SERV'!G109+ACCESS!G109</f>
        <v>23820</v>
      </c>
      <c r="H109" s="106">
        <f>+'NEW CAR'!H109+'GT-SERV'!H109+ACCESS!H109</f>
        <v>56550</v>
      </c>
      <c r="I109" s="106">
        <f>+'NEW CAR'!I109+'GT-SERV'!I109+ACCESS!I109</f>
        <v>203390</v>
      </c>
      <c r="J109" s="106">
        <f>+'NEW CAR'!J109+'GT-SERV'!J109+ACCESS!J109</f>
        <v>122770</v>
      </c>
      <c r="K109" s="106">
        <f>+'NEW CAR'!K109+'GT-SERV'!K109+ACCESS!K109</f>
        <v>65524.599999999991</v>
      </c>
      <c r="L109" s="106">
        <f>+'NEW CAR'!L109+'GT-SERV'!L109+ACCESS!L109</f>
        <v>60810</v>
      </c>
      <c r="M109" s="106">
        <f t="shared" si="93"/>
        <v>839144.63</v>
      </c>
      <c r="N109" s="16" t="s">
        <v>89</v>
      </c>
      <c r="O109" s="106">
        <f>+'NEW CAR'!O109+'GT-SERV'!O109+ACCESS!O109</f>
        <v>22800</v>
      </c>
      <c r="P109" s="106">
        <f>+'NEW CAR'!P109+'GT-SERV'!P109+ACCESS!P109</f>
        <v>21246</v>
      </c>
      <c r="Q109" s="106">
        <f>+'NEW CAR'!Q109+'GT-SERV'!Q109+ACCESS!Q109</f>
        <v>9130</v>
      </c>
      <c r="R109" s="106">
        <f>+'NEW CAR'!R109+'GT-SERV'!R109+ACCESS!R109</f>
        <v>5800</v>
      </c>
      <c r="S109" s="106">
        <f>+'NEW CAR'!S109+'GT-SERV'!S109+ACCESS!S109</f>
        <v>108540</v>
      </c>
      <c r="T109" s="106">
        <f>+'NEW CAR'!T109+'GT-SERV'!T109+ACCESS!T109</f>
        <v>28800</v>
      </c>
      <c r="U109" s="106">
        <f>+'NEW CAR'!U109+'GT-SERV'!U109+ACCESS!U109</f>
        <v>137530</v>
      </c>
      <c r="V109" s="106">
        <f>+'NEW CAR'!V109+'GT-SERV'!V109+ACCESS!V109</f>
        <v>75785</v>
      </c>
      <c r="W109" s="106">
        <f>+'NEW CAR'!W109+'GT-SERV'!W109+ACCESS!W109</f>
        <v>126599</v>
      </c>
      <c r="X109" s="106">
        <f>+'NEW CAR'!X109+'GT-SERV'!X109+ACCESS!X109</f>
        <v>17250</v>
      </c>
      <c r="Y109" s="106">
        <f>+'NEW CAR'!Y109+'GT-SERV'!Y109+ACCESS!Y109</f>
        <v>0</v>
      </c>
      <c r="Z109" s="106">
        <f>+'NEW CAR'!Z109+'GT-SERV'!Z109+ACCESS!Z109</f>
        <v>0</v>
      </c>
      <c r="AA109" s="106">
        <f t="shared" si="94"/>
        <v>553480</v>
      </c>
      <c r="AB109" s="118"/>
      <c r="AC109" s="106">
        <f>+'NEW CAR'!AC109+'GT-SERV'!AC109+ACCESS!AC109</f>
        <v>0</v>
      </c>
      <c r="AD109" s="106">
        <f>+'NEW CAR'!AD109+'GT-SERV'!AD109+ACCESS!AD109</f>
        <v>0</v>
      </c>
      <c r="AE109" s="106">
        <f>+'NEW CAR'!AE109+'GT-SERV'!AE109+ACCESS!AE109</f>
        <v>0</v>
      </c>
      <c r="AF109" s="106">
        <f>+'NEW CAR'!AF109+'GT-SERV'!AF109+ACCESS!AF109</f>
        <v>0</v>
      </c>
      <c r="AG109" s="106">
        <f>+'NEW CAR'!AG109+'GT-SERV'!AG109+ACCESS!AG109</f>
        <v>0</v>
      </c>
      <c r="AH109" s="106">
        <f>+'NEW CAR'!AH109+'GT-SERV'!AH109+ACCESS!AH109</f>
        <v>0</v>
      </c>
      <c r="AI109" s="106">
        <f>+'NEW CAR'!AI109+'GT-SERV'!AI109+ACCESS!AI109</f>
        <v>0</v>
      </c>
      <c r="AJ109" s="106">
        <f>+'NEW CAR'!AJ109+'GT-SERV'!AJ109+ACCESS!AJ109</f>
        <v>0</v>
      </c>
      <c r="AK109" s="106">
        <f>+'NEW CAR'!AK109+'GT-SERV'!AK109+ACCESS!AK109</f>
        <v>0</v>
      </c>
      <c r="AL109" s="106">
        <f>+'NEW CAR'!AL109+'GT-SERV'!AL109+ACCESS!AL109</f>
        <v>0</v>
      </c>
      <c r="AM109" s="106">
        <f>+'NEW CAR'!AM109+'GT-SERV'!AM109+ACCESS!AM109</f>
        <v>0</v>
      </c>
      <c r="AN109" s="106">
        <f>+'NEW CAR'!AN109+'GT-SERV'!AN109+ACCESS!AN109</f>
        <v>0</v>
      </c>
      <c r="AO109" s="106">
        <f t="shared" si="95"/>
        <v>0</v>
      </c>
    </row>
    <row r="110" spans="1:45" outlineLevel="1">
      <c r="A110" s="106">
        <f>+'NEW CAR'!A110+'GT-SERV'!A110+ACCESS!A110</f>
        <v>369838.19</v>
      </c>
      <c r="B110" s="106">
        <f>+'NEW CAR'!B110+'GT-SERV'!B110+ACCESS!B110</f>
        <v>294525.82999999996</v>
      </c>
      <c r="C110" s="106">
        <f>+'NEW CAR'!C110+'GT-SERV'!C110+ACCESS!C110</f>
        <v>782609.67</v>
      </c>
      <c r="D110" s="106">
        <f>+'NEW CAR'!D110+'GT-SERV'!D110+ACCESS!D110</f>
        <v>400900</v>
      </c>
      <c r="E110" s="106">
        <f>+'NEW CAR'!E110+'GT-SERV'!E110+ACCESS!E110</f>
        <v>535449.56000000006</v>
      </c>
      <c r="F110" s="106">
        <f>+'NEW CAR'!F110+'GT-SERV'!F110+ACCESS!F110</f>
        <v>465135.86</v>
      </c>
      <c r="G110" s="106">
        <f>+'NEW CAR'!G110+'GT-SERV'!G110+ACCESS!G110</f>
        <v>379386.1</v>
      </c>
      <c r="H110" s="106">
        <f>+'NEW CAR'!H110+'GT-SERV'!H110+ACCESS!H110</f>
        <v>351040.2</v>
      </c>
      <c r="I110" s="106">
        <f>+'NEW CAR'!I110+'GT-SERV'!I110+ACCESS!I110</f>
        <v>392777</v>
      </c>
      <c r="J110" s="106">
        <f>+'NEW CAR'!J110+'GT-SERV'!J110+ACCESS!J110</f>
        <v>356085</v>
      </c>
      <c r="K110" s="106">
        <f>+'NEW CAR'!K110+'GT-SERV'!K110+ACCESS!K110</f>
        <v>303946.91999999993</v>
      </c>
      <c r="L110" s="106">
        <f>+'NEW CAR'!L110+'GT-SERV'!L110+ACCESS!L110</f>
        <v>387645.5</v>
      </c>
      <c r="M110" s="106">
        <f t="shared" si="93"/>
        <v>5019339.83</v>
      </c>
      <c r="N110" s="16" t="s">
        <v>90</v>
      </c>
      <c r="O110" s="106">
        <f>+'NEW CAR'!O110+'GT-SERV'!O110+ACCESS!O110</f>
        <v>213379.54</v>
      </c>
      <c r="P110" s="106">
        <f>+'NEW CAR'!P110+'GT-SERV'!P110+ACCESS!P110</f>
        <v>532282.98600000003</v>
      </c>
      <c r="Q110" s="106">
        <f>+'NEW CAR'!Q110+'GT-SERV'!Q110+ACCESS!Q110</f>
        <v>415802.67000000004</v>
      </c>
      <c r="R110" s="106">
        <f>+'NEW CAR'!R110+'GT-SERV'!R110+ACCESS!R110</f>
        <v>243096</v>
      </c>
      <c r="S110" s="106">
        <f>+'NEW CAR'!S110+'GT-SERV'!S110+ACCESS!S110</f>
        <v>402452</v>
      </c>
      <c r="T110" s="106">
        <f>+'NEW CAR'!T110+'GT-SERV'!T110+ACCESS!T110</f>
        <v>282411</v>
      </c>
      <c r="U110" s="106">
        <f>+'NEW CAR'!U110+'GT-SERV'!U110+ACCESS!U110</f>
        <v>89160</v>
      </c>
      <c r="V110" s="106">
        <f>+'NEW CAR'!V110+'GT-SERV'!V110+ACCESS!V110</f>
        <v>488284</v>
      </c>
      <c r="W110" s="106">
        <f>+'NEW CAR'!W110+'GT-SERV'!W110+ACCESS!W110</f>
        <v>239284.81</v>
      </c>
      <c r="X110" s="106">
        <f>+'NEW CAR'!X110+'GT-SERV'!X110+ACCESS!X110</f>
        <v>634381.24</v>
      </c>
      <c r="Y110" s="106">
        <f>+'NEW CAR'!Y110+'GT-SERV'!Y110+ACCESS!Y110</f>
        <v>0</v>
      </c>
      <c r="Z110" s="106">
        <f>+'NEW CAR'!Z110+'GT-SERV'!Z110+ACCESS!Z110</f>
        <v>0</v>
      </c>
      <c r="AA110" s="106">
        <f t="shared" si="94"/>
        <v>3540534.2460000003</v>
      </c>
      <c r="AB110" s="118"/>
      <c r="AC110" s="106">
        <f>+'NEW CAR'!AC110+'GT-SERV'!AC110+ACCESS!AC110</f>
        <v>289710</v>
      </c>
      <c r="AD110" s="106">
        <f>+'NEW CAR'!AD110+'GT-SERV'!AD110+ACCESS!AD110</f>
        <v>289710</v>
      </c>
      <c r="AE110" s="106">
        <f>+'NEW CAR'!AE110+'GT-SERV'!AE110+ACCESS!AE110</f>
        <v>369630</v>
      </c>
      <c r="AF110" s="106">
        <f>+'NEW CAR'!AF110+'GT-SERV'!AF110+ACCESS!AF110</f>
        <v>299700</v>
      </c>
      <c r="AG110" s="106">
        <f>+'NEW CAR'!AG110+'GT-SERV'!AG110+ACCESS!AG110</f>
        <v>319680</v>
      </c>
      <c r="AH110" s="106">
        <f>+'NEW CAR'!AH110+'GT-SERV'!AH110+ACCESS!AH110</f>
        <v>279720</v>
      </c>
      <c r="AI110" s="106">
        <f>+'NEW CAR'!AI110+'GT-SERV'!AI110+ACCESS!AI110</f>
        <v>289710</v>
      </c>
      <c r="AJ110" s="106">
        <f>+'NEW CAR'!AJ110+'GT-SERV'!AJ110+ACCESS!AJ110</f>
        <v>339660</v>
      </c>
      <c r="AK110" s="106">
        <f>+'NEW CAR'!AK110+'GT-SERV'!AK110+ACCESS!AK110</f>
        <v>339660</v>
      </c>
      <c r="AL110" s="106">
        <f>+'NEW CAR'!AL110+'GT-SERV'!AL110+ACCESS!AL110</f>
        <v>299700</v>
      </c>
      <c r="AM110" s="106">
        <f>+'NEW CAR'!AM110+'GT-SERV'!AM110+ACCESS!AM110</f>
        <v>279720</v>
      </c>
      <c r="AN110" s="106">
        <f>+'NEW CAR'!AN110+'GT-SERV'!AN110+ACCESS!AN110</f>
        <v>369630</v>
      </c>
      <c r="AO110" s="106">
        <f t="shared" si="95"/>
        <v>3766230</v>
      </c>
    </row>
    <row r="111" spans="1:45" outlineLevel="1">
      <c r="A111" s="106">
        <f>+'NEW CAR'!A111+'GT-SERV'!A111+ACCESS!A111</f>
        <v>0</v>
      </c>
      <c r="B111" s="106">
        <f>+'NEW CAR'!B111+'GT-SERV'!B111+ACCESS!B111</f>
        <v>0</v>
      </c>
      <c r="C111" s="106">
        <f>+'NEW CAR'!C111+'GT-SERV'!C111+ACCESS!C111</f>
        <v>0</v>
      </c>
      <c r="D111" s="106">
        <f>+'NEW CAR'!D111+'GT-SERV'!D111+ACCESS!D111</f>
        <v>0</v>
      </c>
      <c r="E111" s="106">
        <f>+'NEW CAR'!E111+'GT-SERV'!E111+ACCESS!E111</f>
        <v>0</v>
      </c>
      <c r="F111" s="106">
        <f>+'NEW CAR'!F111+'GT-SERV'!F111+ACCESS!F111</f>
        <v>0</v>
      </c>
      <c r="G111" s="106">
        <f>+'NEW CAR'!G111+'GT-SERV'!G111+ACCESS!G111</f>
        <v>0</v>
      </c>
      <c r="H111" s="106">
        <f>+'NEW CAR'!H111+'GT-SERV'!H111+ACCESS!H111</f>
        <v>0</v>
      </c>
      <c r="I111" s="106">
        <f>+'NEW CAR'!I111+'GT-SERV'!I111+ACCESS!I111</f>
        <v>0</v>
      </c>
      <c r="J111" s="106">
        <f>+'NEW CAR'!J111+'GT-SERV'!J111+ACCESS!J111</f>
        <v>0</v>
      </c>
      <c r="K111" s="106">
        <f>+'NEW CAR'!K111+'GT-SERV'!K111+ACCESS!K111</f>
        <v>0</v>
      </c>
      <c r="L111" s="106">
        <f>+'NEW CAR'!L111+'GT-SERV'!L111+ACCESS!L111</f>
        <v>0</v>
      </c>
      <c r="M111" s="106">
        <f t="shared" si="93"/>
        <v>0</v>
      </c>
      <c r="N111" s="16" t="s">
        <v>91</v>
      </c>
      <c r="O111" s="106">
        <f>+'NEW CAR'!O111+'GT-SERV'!O111+ACCESS!O111</f>
        <v>0</v>
      </c>
      <c r="P111" s="106">
        <f>+'NEW CAR'!P111+'GT-SERV'!P111+ACCESS!P111</f>
        <v>0</v>
      </c>
      <c r="Q111" s="106">
        <f>+'NEW CAR'!Q111+'GT-SERV'!Q111+ACCESS!Q111</f>
        <v>0</v>
      </c>
      <c r="R111" s="106">
        <f>+'NEW CAR'!R111+'GT-SERV'!R111+ACCESS!R111</f>
        <v>0</v>
      </c>
      <c r="S111" s="106">
        <f>+'NEW CAR'!S111+'GT-SERV'!S111+ACCESS!S111</f>
        <v>0</v>
      </c>
      <c r="T111" s="106">
        <f>+'NEW CAR'!T111+'GT-SERV'!T111+ACCESS!T111</f>
        <v>0</v>
      </c>
      <c r="U111" s="106">
        <f>+'NEW CAR'!U111+'GT-SERV'!U111+ACCESS!U111</f>
        <v>0</v>
      </c>
      <c r="V111" s="106">
        <f>+'NEW CAR'!V111+'GT-SERV'!V111+ACCESS!V111</f>
        <v>0</v>
      </c>
      <c r="W111" s="106">
        <f>+'NEW CAR'!W111+'GT-SERV'!W111+ACCESS!W111</f>
        <v>0</v>
      </c>
      <c r="X111" s="106">
        <f>+'NEW CAR'!X111+'GT-SERV'!X111+ACCESS!X111</f>
        <v>0</v>
      </c>
      <c r="Y111" s="106">
        <f>+'NEW CAR'!Y111+'GT-SERV'!Y111+ACCESS!Y111</f>
        <v>0</v>
      </c>
      <c r="Z111" s="106">
        <f>+'NEW CAR'!Z111+'GT-SERV'!Z111+ACCESS!Z111</f>
        <v>0</v>
      </c>
      <c r="AA111" s="106">
        <f t="shared" si="94"/>
        <v>0</v>
      </c>
      <c r="AB111" s="118"/>
      <c r="AC111" s="106">
        <f>+'NEW CAR'!AC111+'GT-SERV'!AC111+ACCESS!AC111</f>
        <v>0</v>
      </c>
      <c r="AD111" s="106">
        <f>+'NEW CAR'!AD111+'GT-SERV'!AD111+ACCESS!AD111</f>
        <v>0</v>
      </c>
      <c r="AE111" s="106">
        <f>+'NEW CAR'!AE111+'GT-SERV'!AE111+ACCESS!AE111</f>
        <v>0</v>
      </c>
      <c r="AF111" s="106">
        <f>+'NEW CAR'!AF111+'GT-SERV'!AF111+ACCESS!AF111</f>
        <v>0</v>
      </c>
      <c r="AG111" s="106">
        <f>+'NEW CAR'!AG111+'GT-SERV'!AG111+ACCESS!AG111</f>
        <v>155270</v>
      </c>
      <c r="AH111" s="106">
        <f>+'NEW CAR'!AH111+'GT-SERV'!AH111+ACCESS!AH111</f>
        <v>106119.00000000001</v>
      </c>
      <c r="AI111" s="106">
        <f>+'NEW CAR'!AI111+'GT-SERV'!AI111+ACCESS!AI111</f>
        <v>105729</v>
      </c>
      <c r="AJ111" s="106">
        <f>+'NEW CAR'!AJ111+'GT-SERV'!AJ111+ACCESS!AJ111</f>
        <v>109530</v>
      </c>
      <c r="AK111" s="106">
        <f>+'NEW CAR'!AK111+'GT-SERV'!AK111+ACCESS!AK111</f>
        <v>125340</v>
      </c>
      <c r="AL111" s="106">
        <f>+'NEW CAR'!AL111+'GT-SERV'!AL111+ACCESS!AL111</f>
        <v>90005</v>
      </c>
      <c r="AM111" s="106">
        <f>+'NEW CAR'!AM111+'GT-SERV'!AM111+ACCESS!AM111</f>
        <v>100000</v>
      </c>
      <c r="AN111" s="106">
        <f>+'NEW CAR'!AN111+'GT-SERV'!AN111+ACCESS!AN111</f>
        <v>76082</v>
      </c>
      <c r="AO111" s="106">
        <f t="shared" si="95"/>
        <v>868075</v>
      </c>
    </row>
    <row r="112" spans="1:45" outlineLevel="1">
      <c r="A112" s="106">
        <f>+'NEW CAR'!A112+'GT-SERV'!A112+ACCESS!A112</f>
        <v>0</v>
      </c>
      <c r="B112" s="106">
        <f>+'NEW CAR'!B112+'GT-SERV'!B112+ACCESS!B112</f>
        <v>0</v>
      </c>
      <c r="C112" s="106">
        <f>+'NEW CAR'!C112+'GT-SERV'!C112+ACCESS!C112</f>
        <v>5420</v>
      </c>
      <c r="D112" s="106">
        <f>+'NEW CAR'!D112+'GT-SERV'!D112+ACCESS!D112</f>
        <v>8420</v>
      </c>
      <c r="E112" s="106">
        <f>+'NEW CAR'!E112+'GT-SERV'!E112+ACCESS!E112</f>
        <v>5420</v>
      </c>
      <c r="F112" s="106">
        <f>+'NEW CAR'!F112+'GT-SERV'!F112+ACCESS!F112</f>
        <v>6860</v>
      </c>
      <c r="G112" s="106">
        <f>+'NEW CAR'!G112+'GT-SERV'!G112+ACCESS!G112</f>
        <v>0</v>
      </c>
      <c r="H112" s="106">
        <f>+'NEW CAR'!H112+'GT-SERV'!H112+ACCESS!H112</f>
        <v>170045.37</v>
      </c>
      <c r="I112" s="106">
        <f>+'NEW CAR'!I112+'GT-SERV'!I112+ACCESS!I112</f>
        <v>3000</v>
      </c>
      <c r="J112" s="106">
        <f>+'NEW CAR'!J112+'GT-SERV'!J112+ACCESS!J112</f>
        <v>89076</v>
      </c>
      <c r="K112" s="106">
        <f>+'NEW CAR'!K112+'GT-SERV'!K112+ACCESS!K112</f>
        <v>0</v>
      </c>
      <c r="L112" s="106">
        <f>+'NEW CAR'!L112+'GT-SERV'!L112+ACCESS!L112</f>
        <v>219670</v>
      </c>
      <c r="M112" s="106">
        <f t="shared" si="93"/>
        <v>507911.37</v>
      </c>
      <c r="N112" s="16" t="s">
        <v>92</v>
      </c>
      <c r="O112" s="106">
        <f>+'NEW CAR'!O112+'GT-SERV'!O112+ACCESS!O112</f>
        <v>29724</v>
      </c>
      <c r="P112" s="106">
        <f>+'NEW CAR'!P112+'GT-SERV'!P112+ACCESS!P112</f>
        <v>35263</v>
      </c>
      <c r="Q112" s="106">
        <f>+'NEW CAR'!Q112+'GT-SERV'!Q112+ACCESS!Q112</f>
        <v>82709</v>
      </c>
      <c r="R112" s="106">
        <f>+'NEW CAR'!R112+'GT-SERV'!R112+ACCESS!R112</f>
        <v>3700</v>
      </c>
      <c r="S112" s="106">
        <f>+'NEW CAR'!S112+'GT-SERV'!S112+ACCESS!S112</f>
        <v>257628.47999999998</v>
      </c>
      <c r="T112" s="106">
        <f>+'NEW CAR'!T112+'GT-SERV'!T112+ACCESS!T112</f>
        <v>63349.39</v>
      </c>
      <c r="U112" s="106">
        <f>+'NEW CAR'!U112+'GT-SERV'!U112+ACCESS!U112</f>
        <v>36848</v>
      </c>
      <c r="V112" s="106">
        <f>+'NEW CAR'!V112+'GT-SERV'!V112+ACCESS!V112</f>
        <v>41282.720000000001</v>
      </c>
      <c r="W112" s="106">
        <f>+'NEW CAR'!W112+'GT-SERV'!W112+ACCESS!W112</f>
        <v>75465</v>
      </c>
      <c r="X112" s="106">
        <f>+'NEW CAR'!X112+'GT-SERV'!X112+ACCESS!X112</f>
        <v>11822.34</v>
      </c>
      <c r="Y112" s="106">
        <f>+'NEW CAR'!Y112+'GT-SERV'!Y112+ACCESS!Y112</f>
        <v>0</v>
      </c>
      <c r="Z112" s="106">
        <f>+'NEW CAR'!Z112+'GT-SERV'!Z112+ACCESS!Z112</f>
        <v>0</v>
      </c>
      <c r="AA112" s="106">
        <f t="shared" si="94"/>
        <v>637791.92999999993</v>
      </c>
      <c r="AB112" s="118"/>
      <c r="AC112" s="106">
        <f>+'NEW CAR'!AC112+'GT-SERV'!AC112+ACCESS!AC112</f>
        <v>10790.625965520003</v>
      </c>
      <c r="AD112" s="106">
        <f>+'NEW CAR'!AD112+'GT-SERV'!AD112+ACCESS!AD112</f>
        <v>10576.945327520003</v>
      </c>
      <c r="AE112" s="106">
        <f>+'NEW CAR'!AE112+'GT-SERV'!AE112+ACCESS!AE112</f>
        <v>10725.446933360003</v>
      </c>
      <c r="AF112" s="106">
        <f>+'NEW CAR'!AF112+'GT-SERV'!AF112+ACCESS!AF112</f>
        <v>9134.1645007040006</v>
      </c>
      <c r="AG112" s="106">
        <f>+'NEW CAR'!AG112+'GT-SERV'!AG112+ACCESS!AG112</f>
        <v>10434.872002720003</v>
      </c>
      <c r="AH112" s="106">
        <f>+'NEW CAR'!AH112+'GT-SERV'!AH112+ACCESS!AH112</f>
        <v>10912.758296960001</v>
      </c>
      <c r="AI112" s="106">
        <f>+'NEW CAR'!AI112+'GT-SERV'!AI112+ACCESS!AI112</f>
        <v>11327.882992320001</v>
      </c>
      <c r="AJ112" s="106">
        <f>+'NEW CAR'!AJ112+'GT-SERV'!AJ112+ACCESS!AJ112</f>
        <v>11595.492814800005</v>
      </c>
      <c r="AK112" s="106">
        <f>+'NEW CAR'!AK112+'GT-SERV'!AK112+ACCESS!AK112</f>
        <v>11880.991112880001</v>
      </c>
      <c r="AL112" s="106">
        <f>+'NEW CAR'!AL112+'GT-SERV'!AL112+ACCESS!AL112</f>
        <v>10507.907322400002</v>
      </c>
      <c r="AM112" s="106">
        <f>+'NEW CAR'!AM112+'GT-SERV'!AM112+ACCESS!AM112</f>
        <v>9567.8611635200014</v>
      </c>
      <c r="AN112" s="106">
        <f>+'NEW CAR'!AN112+'GT-SERV'!AN112+ACCESS!AN112</f>
        <v>11535.062586080001</v>
      </c>
      <c r="AO112" s="106">
        <f t="shared" si="95"/>
        <v>128990.01101878403</v>
      </c>
    </row>
    <row r="113" spans="1:41" outlineLevel="1">
      <c r="A113" s="106">
        <f>+'NEW CAR'!A113+'GT-SERV'!A113+ACCESS!A113</f>
        <v>0</v>
      </c>
      <c r="B113" s="106">
        <f>+'NEW CAR'!B113+'GT-SERV'!B113+ACCESS!B113</f>
        <v>0</v>
      </c>
      <c r="C113" s="106">
        <f>+'NEW CAR'!C113+'GT-SERV'!C113+ACCESS!C113</f>
        <v>0</v>
      </c>
      <c r="D113" s="106">
        <f>+'NEW CAR'!D113+'GT-SERV'!D113+ACCESS!D113</f>
        <v>0</v>
      </c>
      <c r="E113" s="106">
        <f>+'NEW CAR'!E113+'GT-SERV'!E113+ACCESS!E113</f>
        <v>0</v>
      </c>
      <c r="F113" s="106">
        <f>+'NEW CAR'!F113+'GT-SERV'!F113+ACCESS!F113</f>
        <v>0</v>
      </c>
      <c r="G113" s="106">
        <f>+'NEW CAR'!G113+'GT-SERV'!G113+ACCESS!G113</f>
        <v>0</v>
      </c>
      <c r="H113" s="106">
        <f>+'NEW CAR'!H113+'GT-SERV'!H113+ACCESS!H113</f>
        <v>0</v>
      </c>
      <c r="I113" s="106">
        <f>+'NEW CAR'!I113+'GT-SERV'!I113+ACCESS!I113</f>
        <v>0</v>
      </c>
      <c r="J113" s="106">
        <f>+'NEW CAR'!J113+'GT-SERV'!J113+ACCESS!J113</f>
        <v>0</v>
      </c>
      <c r="K113" s="106">
        <f>+'NEW CAR'!K113+'GT-SERV'!K113+ACCESS!K113</f>
        <v>0</v>
      </c>
      <c r="L113" s="106">
        <f>+'NEW CAR'!L113+'GT-SERV'!L113+ACCESS!L113</f>
        <v>0</v>
      </c>
      <c r="M113" s="106">
        <f t="shared" si="93"/>
        <v>0</v>
      </c>
      <c r="N113" s="16" t="s">
        <v>225</v>
      </c>
      <c r="O113" s="106">
        <f>+'NEW CAR'!O113+'GT-SERV'!O113+ACCESS!O113</f>
        <v>0</v>
      </c>
      <c r="P113" s="106">
        <f>+'NEW CAR'!P113+'GT-SERV'!P113+ACCESS!P113</f>
        <v>0</v>
      </c>
      <c r="Q113" s="106">
        <f>+'NEW CAR'!Q113+'GT-SERV'!Q113+ACCESS!Q113</f>
        <v>0</v>
      </c>
      <c r="R113" s="106">
        <f>+'NEW CAR'!R113+'GT-SERV'!R113+ACCESS!R113</f>
        <v>0</v>
      </c>
      <c r="S113" s="106">
        <f>+'NEW CAR'!S113+'GT-SERV'!S113+ACCESS!S113</f>
        <v>1500</v>
      </c>
      <c r="T113" s="106">
        <f>+'NEW CAR'!T113+'GT-SERV'!T113+ACCESS!T113</f>
        <v>0</v>
      </c>
      <c r="U113" s="106">
        <f>+'NEW CAR'!U113+'GT-SERV'!U113+ACCESS!U113</f>
        <v>0</v>
      </c>
      <c r="V113" s="106">
        <f>+'NEW CAR'!V113+'GT-SERV'!V113+ACCESS!V113</f>
        <v>0</v>
      </c>
      <c r="W113" s="106">
        <f>+'NEW CAR'!W113+'GT-SERV'!W113+ACCESS!W113</f>
        <v>0</v>
      </c>
      <c r="X113" s="106">
        <f>+'NEW CAR'!X113+'GT-SERV'!X113+ACCESS!X113</f>
        <v>0</v>
      </c>
      <c r="Y113" s="106">
        <f>+'NEW CAR'!Y113+'GT-SERV'!Y113+ACCESS!Y113</f>
        <v>0</v>
      </c>
      <c r="Z113" s="106">
        <f>+'NEW CAR'!Z113+'GT-SERV'!Z113+ACCESS!Z113</f>
        <v>0</v>
      </c>
      <c r="AA113" s="106">
        <f t="shared" si="94"/>
        <v>1500</v>
      </c>
      <c r="AB113" s="118"/>
      <c r="AC113" s="106">
        <f>+'NEW CAR'!AC113+'GT-SERV'!AC113+ACCESS!AC113</f>
        <v>0</v>
      </c>
      <c r="AD113" s="106">
        <f>+'NEW CAR'!AD113+'GT-SERV'!AD113+ACCESS!AD113</f>
        <v>0</v>
      </c>
      <c r="AE113" s="106">
        <f>+'NEW CAR'!AE113+'GT-SERV'!AE113+ACCESS!AE113</f>
        <v>0</v>
      </c>
      <c r="AF113" s="106">
        <f>+'NEW CAR'!AF113+'GT-SERV'!AF113+ACCESS!AF113</f>
        <v>0</v>
      </c>
      <c r="AG113" s="106">
        <f>+'NEW CAR'!AG113+'GT-SERV'!AG113+ACCESS!AG113</f>
        <v>0</v>
      </c>
      <c r="AH113" s="106">
        <f>+'NEW CAR'!AH113+'GT-SERV'!AH113+ACCESS!AH113</f>
        <v>0</v>
      </c>
      <c r="AI113" s="106">
        <f>+'NEW CAR'!AI113+'GT-SERV'!AI113+ACCESS!AI113</f>
        <v>0</v>
      </c>
      <c r="AJ113" s="106">
        <f>+'NEW CAR'!AJ113+'GT-SERV'!AJ113+ACCESS!AJ113</f>
        <v>0</v>
      </c>
      <c r="AK113" s="106">
        <f>+'NEW CAR'!AK113+'GT-SERV'!AK113+ACCESS!AK113</f>
        <v>0</v>
      </c>
      <c r="AL113" s="106">
        <f>+'NEW CAR'!AL113+'GT-SERV'!AL113+ACCESS!AL113</f>
        <v>0</v>
      </c>
      <c r="AM113" s="106">
        <f>+'NEW CAR'!AM113+'GT-SERV'!AM113+ACCESS!AM113</f>
        <v>0</v>
      </c>
      <c r="AN113" s="106">
        <f>+'NEW CAR'!AN113+'GT-SERV'!AN113+ACCESS!AN113</f>
        <v>0</v>
      </c>
      <c r="AO113" s="106">
        <f t="shared" si="95"/>
        <v>0</v>
      </c>
    </row>
    <row r="114" spans="1:41" outlineLevel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18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</row>
    <row r="115" spans="1:41" ht="17.25">
      <c r="A115" s="58">
        <f t="shared" ref="A115:M115" si="96">+A116+A129+A133+A138+A146+A150</f>
        <v>7030626.7153846119</v>
      </c>
      <c r="B115" s="58">
        <f t="shared" si="96"/>
        <v>7400289.1146153845</v>
      </c>
      <c r="C115" s="58">
        <f t="shared" si="96"/>
        <v>7365210.2646153849</v>
      </c>
      <c r="D115" s="58">
        <f t="shared" si="96"/>
        <v>7629198.0046153851</v>
      </c>
      <c r="E115" s="58">
        <f t="shared" si="96"/>
        <v>8135655.9546153853</v>
      </c>
      <c r="F115" s="58">
        <f t="shared" si="96"/>
        <v>7750015.4146153852</v>
      </c>
      <c r="G115" s="58">
        <f t="shared" si="96"/>
        <v>7900921.1946153855</v>
      </c>
      <c r="H115" s="58">
        <f t="shared" si="96"/>
        <v>8612141.3462282885</v>
      </c>
      <c r="I115" s="58">
        <f t="shared" si="96"/>
        <v>8406817.3046153858</v>
      </c>
      <c r="J115" s="58">
        <f t="shared" si="96"/>
        <v>8331410.9812820526</v>
      </c>
      <c r="K115" s="58">
        <f t="shared" si="96"/>
        <v>8633144.2496153861</v>
      </c>
      <c r="L115" s="58">
        <f t="shared" si="96"/>
        <v>8264340.9496153854</v>
      </c>
      <c r="M115" s="58">
        <f t="shared" si="96"/>
        <v>95459771.494433403</v>
      </c>
      <c r="N115" s="19" t="s">
        <v>93</v>
      </c>
      <c r="O115" s="58">
        <f t="shared" ref="O115:AA115" si="97">+O116+O129+O133+O138+O146+O150</f>
        <v>8647175.9184615389</v>
      </c>
      <c r="P115" s="58">
        <f t="shared" si="97"/>
        <v>8081921.3284615371</v>
      </c>
      <c r="Q115" s="58">
        <f t="shared" si="97"/>
        <v>8711144.2584615387</v>
      </c>
      <c r="R115" s="58">
        <f t="shared" si="97"/>
        <v>8201197.4934241073</v>
      </c>
      <c r="S115" s="58">
        <f t="shared" si="97"/>
        <v>7953236.8647574401</v>
      </c>
      <c r="T115" s="58">
        <f t="shared" si="97"/>
        <v>8836256.2047574408</v>
      </c>
      <c r="U115" s="58">
        <f t="shared" si="97"/>
        <v>8568688.6449400894</v>
      </c>
      <c r="V115" s="58">
        <f t="shared" si="97"/>
        <v>8001411.7747574411</v>
      </c>
      <c r="W115" s="58">
        <f t="shared" si="97"/>
        <v>8670845.431936929</v>
      </c>
      <c r="X115" s="58">
        <f t="shared" si="97"/>
        <v>8708094.6019369289</v>
      </c>
      <c r="Y115" s="58">
        <f t="shared" si="97"/>
        <v>0</v>
      </c>
      <c r="Z115" s="58">
        <f t="shared" si="97"/>
        <v>0</v>
      </c>
      <c r="AA115" s="58">
        <f t="shared" si="97"/>
        <v>84379972.521894991</v>
      </c>
      <c r="AB115" s="118"/>
      <c r="AC115" s="58">
        <f t="shared" ref="AC115:AO115" si="98">+AC116+AC129+AC133+AC138+AC146+AC150</f>
        <v>8750379.9545772057</v>
      </c>
      <c r="AD115" s="58">
        <f t="shared" si="98"/>
        <v>8750379.9545772057</v>
      </c>
      <c r="AE115" s="58">
        <f t="shared" si="98"/>
        <v>8810129.9545772057</v>
      </c>
      <c r="AF115" s="58">
        <f t="shared" si="98"/>
        <v>8889796.6212438717</v>
      </c>
      <c r="AG115" s="58">
        <f t="shared" si="98"/>
        <v>8750379.9545772057</v>
      </c>
      <c r="AH115" s="58">
        <f t="shared" si="98"/>
        <v>8760338.2879105397</v>
      </c>
      <c r="AI115" s="58">
        <f t="shared" si="98"/>
        <v>8750379.9545772057</v>
      </c>
      <c r="AJ115" s="58">
        <f t="shared" si="98"/>
        <v>8750379.9545772057</v>
      </c>
      <c r="AK115" s="58">
        <f t="shared" si="98"/>
        <v>8810129.9545772057</v>
      </c>
      <c r="AL115" s="58">
        <f t="shared" si="98"/>
        <v>9504338.2879105378</v>
      </c>
      <c r="AM115" s="58">
        <f t="shared" si="98"/>
        <v>8750379.9545772057</v>
      </c>
      <c r="AN115" s="58">
        <f t="shared" si="98"/>
        <v>8860338.2879105397</v>
      </c>
      <c r="AO115" s="58">
        <f t="shared" si="98"/>
        <v>106137351.12159315</v>
      </c>
    </row>
    <row r="116" spans="1:41" outlineLevel="1">
      <c r="A116" s="58">
        <f t="shared" ref="A116:M116" si="99">+SUM(A117:A128)</f>
        <v>5698748.5453846119</v>
      </c>
      <c r="B116" s="58">
        <f t="shared" si="99"/>
        <v>5888413.6646153843</v>
      </c>
      <c r="C116" s="58">
        <f t="shared" si="99"/>
        <v>6069295.384615385</v>
      </c>
      <c r="D116" s="58">
        <f t="shared" si="99"/>
        <v>6084831.384615385</v>
      </c>
      <c r="E116" s="58">
        <f t="shared" si="99"/>
        <v>6119445.384615385</v>
      </c>
      <c r="F116" s="58">
        <f t="shared" si="99"/>
        <v>6170726.384615385</v>
      </c>
      <c r="G116" s="58">
        <f t="shared" si="99"/>
        <v>6261825.384615385</v>
      </c>
      <c r="H116" s="58">
        <f t="shared" si="99"/>
        <v>6521274.8362282878</v>
      </c>
      <c r="I116" s="58">
        <f t="shared" si="99"/>
        <v>6629408.3346153852</v>
      </c>
      <c r="J116" s="58">
        <f t="shared" si="99"/>
        <v>6367974.384615385</v>
      </c>
      <c r="K116" s="58">
        <f t="shared" si="99"/>
        <v>6305670.384615385</v>
      </c>
      <c r="L116" s="58">
        <f t="shared" si="99"/>
        <v>6176011.0846153852</v>
      </c>
      <c r="M116" s="58">
        <f t="shared" si="99"/>
        <v>74293625.157766744</v>
      </c>
      <c r="N116" s="20" t="s">
        <v>94</v>
      </c>
      <c r="O116" s="58">
        <f t="shared" ref="O116:AA116" si="100">+SUM(O117:O128)</f>
        <v>6693733.6217948711</v>
      </c>
      <c r="P116" s="58">
        <f t="shared" si="100"/>
        <v>6643472.6217948711</v>
      </c>
      <c r="Q116" s="58">
        <f t="shared" si="100"/>
        <v>6906757.6217948711</v>
      </c>
      <c r="R116" s="58">
        <f t="shared" si="100"/>
        <v>6636148.6647574408</v>
      </c>
      <c r="S116" s="58">
        <f t="shared" si="100"/>
        <v>6524748.6647574408</v>
      </c>
      <c r="T116" s="58">
        <f t="shared" si="100"/>
        <v>6343774.4647574406</v>
      </c>
      <c r="U116" s="58">
        <f t="shared" si="100"/>
        <v>6650664.4647574406</v>
      </c>
      <c r="V116" s="58">
        <f t="shared" si="100"/>
        <v>6475343.4647574406</v>
      </c>
      <c r="W116" s="58">
        <f t="shared" si="100"/>
        <v>6918539.1519369287</v>
      </c>
      <c r="X116" s="58">
        <f t="shared" si="100"/>
        <v>6411165.1519369287</v>
      </c>
      <c r="Y116" s="58">
        <f t="shared" si="100"/>
        <v>0</v>
      </c>
      <c r="Z116" s="58">
        <f t="shared" si="100"/>
        <v>0</v>
      </c>
      <c r="AA116" s="58">
        <f t="shared" si="100"/>
        <v>66204347.893045679</v>
      </c>
      <c r="AB116" s="118"/>
      <c r="AC116" s="58">
        <f t="shared" ref="AC116:AO116" si="101">+SUM(AC117:AC128)</f>
        <v>6822799.1519369287</v>
      </c>
      <c r="AD116" s="58">
        <f t="shared" si="101"/>
        <v>6822799.1519369287</v>
      </c>
      <c r="AE116" s="58">
        <f t="shared" si="101"/>
        <v>6822799.1519369287</v>
      </c>
      <c r="AF116" s="58">
        <f t="shared" si="101"/>
        <v>6822799.1519369287</v>
      </c>
      <c r="AG116" s="58">
        <f t="shared" si="101"/>
        <v>6822799.1519369287</v>
      </c>
      <c r="AH116" s="58">
        <f t="shared" si="101"/>
        <v>6822799.1519369287</v>
      </c>
      <c r="AI116" s="58">
        <f t="shared" si="101"/>
        <v>6822799.1519369287</v>
      </c>
      <c r="AJ116" s="58">
        <f t="shared" si="101"/>
        <v>6822799.1519369287</v>
      </c>
      <c r="AK116" s="58">
        <f t="shared" si="101"/>
        <v>6822799.1519369287</v>
      </c>
      <c r="AL116" s="58">
        <f t="shared" si="101"/>
        <v>6822799.1519369287</v>
      </c>
      <c r="AM116" s="58">
        <f t="shared" si="101"/>
        <v>6822799.1519369287</v>
      </c>
      <c r="AN116" s="58">
        <f t="shared" si="101"/>
        <v>6822799.1519369287</v>
      </c>
      <c r="AO116" s="58">
        <f t="shared" si="101"/>
        <v>81873589.823243141</v>
      </c>
    </row>
    <row r="117" spans="1:41" outlineLevel="1">
      <c r="A117" s="106">
        <f>+'NEW CAR'!A117+'GT-SERV'!A117+ACCESS!A117</f>
        <v>2039708.6433333298</v>
      </c>
      <c r="B117" s="106">
        <f>+'NEW CAR'!B117+'GT-SERV'!B117+ACCESS!B117</f>
        <v>2124369.67</v>
      </c>
      <c r="C117" s="106">
        <f>+'NEW CAR'!C117+'GT-SERV'!C117+ACCESS!C117</f>
        <v>2352576</v>
      </c>
      <c r="D117" s="106">
        <f>+'NEW CAR'!D117+'GT-SERV'!D117+ACCESS!D117</f>
        <v>2354794</v>
      </c>
      <c r="E117" s="106">
        <f>+'NEW CAR'!E117+'GT-SERV'!E117+ACCESS!E117</f>
        <v>2354067</v>
      </c>
      <c r="F117" s="106">
        <f>+'NEW CAR'!F117+'GT-SERV'!F117+ACCESS!F117</f>
        <v>2423877</v>
      </c>
      <c r="G117" s="106">
        <f>+'NEW CAR'!G117+'GT-SERV'!G117+ACCESS!G117</f>
        <v>2441262</v>
      </c>
      <c r="H117" s="106">
        <f>+'NEW CAR'!H117+'GT-SERV'!H117+ACCESS!H117</f>
        <v>2670435.4516129028</v>
      </c>
      <c r="I117" s="106">
        <f>+'NEW CAR'!I117+'GT-SERV'!I117+ACCESS!I117</f>
        <v>2575575.46</v>
      </c>
      <c r="J117" s="106">
        <f>+'NEW CAR'!J117+'GT-SERV'!J117+ACCESS!J117</f>
        <v>2481720</v>
      </c>
      <c r="K117" s="106">
        <f>+'NEW CAR'!K117+'GT-SERV'!K117+ACCESS!K117</f>
        <v>2503518</v>
      </c>
      <c r="L117" s="106">
        <f>+'NEW CAR'!L117+'GT-SERV'!L117+ACCESS!L117</f>
        <v>2408439</v>
      </c>
      <c r="M117" s="106">
        <f t="shared" ref="M117:M128" si="102">+SUM(A117:L117)</f>
        <v>28730342.224946231</v>
      </c>
      <c r="N117" s="16" t="s">
        <v>95</v>
      </c>
      <c r="O117" s="106">
        <f>+'NEW CAR'!O117+'GT-SERV'!O117+ACCESS!O117</f>
        <v>2859315</v>
      </c>
      <c r="P117" s="106">
        <f>+'NEW CAR'!P117+'GT-SERV'!P117+ACCESS!P117</f>
        <v>2854854</v>
      </c>
      <c r="Q117" s="106">
        <f>+'NEW CAR'!Q117+'GT-SERV'!Q117+ACCESS!Q117</f>
        <v>2626410</v>
      </c>
      <c r="R117" s="106">
        <f>+'NEW CAR'!R117+'GT-SERV'!R117+ACCESS!R117</f>
        <v>2652101</v>
      </c>
      <c r="S117" s="106">
        <f>+'NEW CAR'!S117+'GT-SERV'!S117+ACCESS!S117</f>
        <v>2579809</v>
      </c>
      <c r="T117" s="106">
        <f>+'NEW CAR'!T117+'GT-SERV'!T117+ACCESS!T117</f>
        <v>2457575</v>
      </c>
      <c r="U117" s="106">
        <f>+'NEW CAR'!U117+'GT-SERV'!U117+ACCESS!U117</f>
        <v>2475218</v>
      </c>
      <c r="V117" s="106">
        <f>+'NEW CAR'!V117+'GT-SERV'!V117+ACCESS!V117</f>
        <v>2454417</v>
      </c>
      <c r="W117" s="106">
        <f>+'NEW CAR'!W117+'GT-SERV'!W117+ACCESS!W117</f>
        <v>2408271</v>
      </c>
      <c r="X117" s="106">
        <f>+'NEW CAR'!X117+'GT-SERV'!X117+ACCESS!X117</f>
        <v>2377196</v>
      </c>
      <c r="Y117" s="106">
        <f>+'NEW CAR'!Y117+'GT-SERV'!Y117+ACCESS!Y117</f>
        <v>0</v>
      </c>
      <c r="Z117" s="106">
        <f>+'NEW CAR'!Z117+'GT-SERV'!Z117+ACCESS!Z117</f>
        <v>0</v>
      </c>
      <c r="AA117" s="106">
        <f t="shared" ref="AA117:AA128" si="103">+SUM(O117:Z117)</f>
        <v>25745166</v>
      </c>
      <c r="AB117" s="118"/>
      <c r="AC117" s="106">
        <f>+'NEW CAR'!AC117+'GT-SERV'!AC117+ACCESS!AC117</f>
        <v>2751350</v>
      </c>
      <c r="AD117" s="106">
        <f>+'NEW CAR'!AD117+'GT-SERV'!AD117+ACCESS!AD117</f>
        <v>2751350</v>
      </c>
      <c r="AE117" s="106">
        <f>+'NEW CAR'!AE117+'GT-SERV'!AE117+ACCESS!AE117</f>
        <v>2751350</v>
      </c>
      <c r="AF117" s="106">
        <f>+'NEW CAR'!AF117+'GT-SERV'!AF117+ACCESS!AF117</f>
        <v>2751350</v>
      </c>
      <c r="AG117" s="106">
        <f>+'NEW CAR'!AG117+'GT-SERV'!AG117+ACCESS!AG117</f>
        <v>2751350</v>
      </c>
      <c r="AH117" s="106">
        <f>+'NEW CAR'!AH117+'GT-SERV'!AH117+ACCESS!AH117</f>
        <v>2751350</v>
      </c>
      <c r="AI117" s="106">
        <f>+'NEW CAR'!AI117+'GT-SERV'!AI117+ACCESS!AI117</f>
        <v>2751350</v>
      </c>
      <c r="AJ117" s="106">
        <f>+'NEW CAR'!AJ117+'GT-SERV'!AJ117+ACCESS!AJ117</f>
        <v>2751350</v>
      </c>
      <c r="AK117" s="106">
        <f>+'NEW CAR'!AK117+'GT-SERV'!AK117+ACCESS!AK117</f>
        <v>2751350</v>
      </c>
      <c r="AL117" s="106">
        <f>+'NEW CAR'!AL117+'GT-SERV'!AL117+ACCESS!AL117</f>
        <v>2751350</v>
      </c>
      <c r="AM117" s="106">
        <f>+'NEW CAR'!AM117+'GT-SERV'!AM117+ACCESS!AM117</f>
        <v>2751350</v>
      </c>
      <c r="AN117" s="106">
        <f>+'NEW CAR'!AN117+'GT-SERV'!AN117+ACCESS!AN117</f>
        <v>2751350</v>
      </c>
      <c r="AO117" s="106">
        <f t="shared" ref="AO117:AO128" si="104">+SUM(AC117:AN117)</f>
        <v>33016200</v>
      </c>
    </row>
    <row r="118" spans="1:41" outlineLevel="1">
      <c r="A118" s="106">
        <f>+'NEW CAR'!A118+'GT-SERV'!A118+ACCESS!A118</f>
        <v>295284.27</v>
      </c>
      <c r="B118" s="106">
        <f>+'NEW CAR'!B118+'GT-SERV'!B118+ACCESS!B118</f>
        <v>310963.92000000004</v>
      </c>
      <c r="C118" s="106">
        <f>+'NEW CAR'!C118+'GT-SERV'!C118+ACCESS!C118</f>
        <v>340361</v>
      </c>
      <c r="D118" s="106">
        <f>+'NEW CAR'!D118+'GT-SERV'!D118+ACCESS!D118</f>
        <v>338973</v>
      </c>
      <c r="E118" s="106">
        <f>+'NEW CAR'!E118+'GT-SERV'!E118+ACCESS!E118</f>
        <v>341836</v>
      </c>
      <c r="F118" s="106">
        <f>+'NEW CAR'!F118+'GT-SERV'!F118+ACCESS!F118</f>
        <v>340882</v>
      </c>
      <c r="G118" s="106">
        <f>+'NEW CAR'!G118+'GT-SERV'!G118+ACCESS!G118</f>
        <v>347426</v>
      </c>
      <c r="H118" s="106">
        <f>+'NEW CAR'!H118+'GT-SERV'!H118+ACCESS!H118</f>
        <v>353998</v>
      </c>
      <c r="I118" s="106">
        <f>+'NEW CAR'!I118+'GT-SERV'!I118+ACCESS!I118</f>
        <v>360844.72</v>
      </c>
      <c r="J118" s="106">
        <f>+'NEW CAR'!J118+'GT-SERV'!J118+ACCESS!J118</f>
        <v>345857</v>
      </c>
      <c r="K118" s="106">
        <f>+'NEW CAR'!K118+'GT-SERV'!K118+ACCESS!K118</f>
        <v>347724</v>
      </c>
      <c r="L118" s="106">
        <f>+'NEW CAR'!L118+'GT-SERV'!L118+ACCESS!L118</f>
        <v>336708</v>
      </c>
      <c r="M118" s="106">
        <f t="shared" si="102"/>
        <v>4060857.91</v>
      </c>
      <c r="N118" s="16" t="s">
        <v>96</v>
      </c>
      <c r="O118" s="106">
        <f>+'NEW CAR'!O118+'GT-SERV'!O118+ACCESS!O118</f>
        <v>352888</v>
      </c>
      <c r="P118" s="106">
        <f>+'NEW CAR'!P118+'GT-SERV'!P118+ACCESS!P118</f>
        <v>352652</v>
      </c>
      <c r="Q118" s="106">
        <f>+'NEW CAR'!Q118+'GT-SERV'!Q118+ACCESS!Q118</f>
        <v>373420</v>
      </c>
      <c r="R118" s="106">
        <f>+'NEW CAR'!R118+'GT-SERV'!R118+ACCESS!R118</f>
        <v>377638</v>
      </c>
      <c r="S118" s="106">
        <f>+'NEW CAR'!S118+'GT-SERV'!S118+ACCESS!S118</f>
        <v>365501</v>
      </c>
      <c r="T118" s="106">
        <f>+'NEW CAR'!T118+'GT-SERV'!T118+ACCESS!T118</f>
        <v>363618</v>
      </c>
      <c r="U118" s="106">
        <f>+'NEW CAR'!U118+'GT-SERV'!U118+ACCESS!U118</f>
        <v>365842</v>
      </c>
      <c r="V118" s="106">
        <f>+'NEW CAR'!V118+'GT-SERV'!V118+ACCESS!V118</f>
        <v>365848</v>
      </c>
      <c r="W118" s="106">
        <f>+'NEW CAR'!W118+'GT-SERV'!W118+ACCESS!W118</f>
        <v>366401</v>
      </c>
      <c r="X118" s="106">
        <f>+'NEW CAR'!X118+'GT-SERV'!X118+ACCESS!X118</f>
        <v>357909</v>
      </c>
      <c r="Y118" s="106">
        <f>+'NEW CAR'!Y118+'GT-SERV'!Y118+ACCESS!Y118</f>
        <v>0</v>
      </c>
      <c r="Z118" s="106">
        <f>+'NEW CAR'!Z118+'GT-SERV'!Z118+ACCESS!Z118</f>
        <v>0</v>
      </c>
      <c r="AA118" s="106">
        <f t="shared" si="103"/>
        <v>3641717</v>
      </c>
      <c r="AB118" s="118"/>
      <c r="AC118" s="106">
        <f>+'NEW CAR'!AC118+'GT-SERV'!AC118+ACCESS!AC118</f>
        <v>394725</v>
      </c>
      <c r="AD118" s="106">
        <f>+'NEW CAR'!AD118+'GT-SERV'!AD118+ACCESS!AD118</f>
        <v>394725</v>
      </c>
      <c r="AE118" s="106">
        <f>+'NEW CAR'!AE118+'GT-SERV'!AE118+ACCESS!AE118</f>
        <v>394725</v>
      </c>
      <c r="AF118" s="106">
        <f>+'NEW CAR'!AF118+'GT-SERV'!AF118+ACCESS!AF118</f>
        <v>394725</v>
      </c>
      <c r="AG118" s="106">
        <f>+'NEW CAR'!AG118+'GT-SERV'!AG118+ACCESS!AG118</f>
        <v>394725</v>
      </c>
      <c r="AH118" s="106">
        <f>+'NEW CAR'!AH118+'GT-SERV'!AH118+ACCESS!AH118</f>
        <v>394725</v>
      </c>
      <c r="AI118" s="106">
        <f>+'NEW CAR'!AI118+'GT-SERV'!AI118+ACCESS!AI118</f>
        <v>394725</v>
      </c>
      <c r="AJ118" s="106">
        <f>+'NEW CAR'!AJ118+'GT-SERV'!AJ118+ACCESS!AJ118</f>
        <v>394725</v>
      </c>
      <c r="AK118" s="106">
        <f>+'NEW CAR'!AK118+'GT-SERV'!AK118+ACCESS!AK118</f>
        <v>394725</v>
      </c>
      <c r="AL118" s="106">
        <f>+'NEW CAR'!AL118+'GT-SERV'!AL118+ACCESS!AL118</f>
        <v>394725</v>
      </c>
      <c r="AM118" s="106">
        <f>+'NEW CAR'!AM118+'GT-SERV'!AM118+ACCESS!AM118</f>
        <v>394725</v>
      </c>
      <c r="AN118" s="106">
        <f>+'NEW CAR'!AN118+'GT-SERV'!AN118+ACCESS!AN118</f>
        <v>394725</v>
      </c>
      <c r="AO118" s="106">
        <f t="shared" si="104"/>
        <v>4736700</v>
      </c>
    </row>
    <row r="119" spans="1:41" outlineLevel="1">
      <c r="A119" s="106">
        <f>+'NEW CAR'!A119+'GT-SERV'!A119+ACCESS!A119</f>
        <v>64679.51</v>
      </c>
      <c r="B119" s="106">
        <f>+'NEW CAR'!B119+'GT-SERV'!B119+ACCESS!B119</f>
        <v>63332.270000000004</v>
      </c>
      <c r="C119" s="106">
        <f>+'NEW CAR'!C119+'GT-SERV'!C119+ACCESS!C119</f>
        <v>58113</v>
      </c>
      <c r="D119" s="106">
        <f>+'NEW CAR'!D119+'GT-SERV'!D119+ACCESS!D119</f>
        <v>56000</v>
      </c>
      <c r="E119" s="106">
        <f>+'NEW CAR'!E119+'GT-SERV'!E119+ACCESS!E119</f>
        <v>55000</v>
      </c>
      <c r="F119" s="106">
        <f>+'NEW CAR'!F119+'GT-SERV'!F119+ACCESS!F119</f>
        <v>54200</v>
      </c>
      <c r="G119" s="106">
        <f>+'NEW CAR'!G119+'GT-SERV'!G119+ACCESS!G119</f>
        <v>54000</v>
      </c>
      <c r="H119" s="106">
        <f>+'NEW CAR'!H119+'GT-SERV'!H119+ACCESS!H119</f>
        <v>53597</v>
      </c>
      <c r="I119" s="106">
        <f>+'NEW CAR'!I119+'GT-SERV'!I119+ACCESS!I119</f>
        <v>51300</v>
      </c>
      <c r="J119" s="106">
        <f>+'NEW CAR'!J119+'GT-SERV'!J119+ACCESS!J119</f>
        <v>49871</v>
      </c>
      <c r="K119" s="106">
        <f>+'NEW CAR'!K119+'GT-SERV'!K119+ACCESS!K119</f>
        <v>47539</v>
      </c>
      <c r="L119" s="106">
        <f>+'NEW CAR'!L119+'GT-SERV'!L119+ACCESS!L119</f>
        <v>50513</v>
      </c>
      <c r="M119" s="106">
        <f t="shared" si="102"/>
        <v>658144.78</v>
      </c>
      <c r="N119" s="16" t="s">
        <v>97</v>
      </c>
      <c r="O119" s="106">
        <f>+'NEW CAR'!O119+'GT-SERV'!O119+ACCESS!O119</f>
        <v>50839</v>
      </c>
      <c r="P119" s="106">
        <f>+'NEW CAR'!P119+'GT-SERV'!P119+ACCESS!P119</f>
        <v>50652</v>
      </c>
      <c r="Q119" s="106">
        <f>+'NEW CAR'!Q119+'GT-SERV'!Q119+ACCESS!Q119</f>
        <v>47500</v>
      </c>
      <c r="R119" s="106">
        <f>+'NEW CAR'!R119+'GT-SERV'!R119+ACCESS!R119</f>
        <v>47500</v>
      </c>
      <c r="S119" s="106">
        <f>+'NEW CAR'!S119+'GT-SERV'!S119+ACCESS!S119</f>
        <v>47028</v>
      </c>
      <c r="T119" s="106">
        <f>+'NEW CAR'!T119+'GT-SERV'!T119+ACCESS!T119</f>
        <v>47435</v>
      </c>
      <c r="U119" s="106">
        <f>+'NEW CAR'!U119+'GT-SERV'!U119+ACCESS!U119</f>
        <v>47417</v>
      </c>
      <c r="V119" s="106">
        <f>+'NEW CAR'!V119+'GT-SERV'!V119+ACCESS!V119</f>
        <v>47258</v>
      </c>
      <c r="W119" s="106">
        <f>+'NEW CAR'!W119+'GT-SERV'!W119+ACCESS!W119</f>
        <v>47354</v>
      </c>
      <c r="X119" s="106">
        <f>+'NEW CAR'!X119+'GT-SERV'!X119+ACCESS!X119</f>
        <v>47379</v>
      </c>
      <c r="Y119" s="106">
        <f>+'NEW CAR'!Y119+'GT-SERV'!Y119+ACCESS!Y119</f>
        <v>0</v>
      </c>
      <c r="Z119" s="106">
        <f>+'NEW CAR'!Z119+'GT-SERV'!Z119+ACCESS!Z119</f>
        <v>0</v>
      </c>
      <c r="AA119" s="106">
        <f t="shared" si="103"/>
        <v>480362</v>
      </c>
      <c r="AB119" s="118"/>
      <c r="AC119" s="106">
        <f>+'NEW CAR'!AC119+'GT-SERV'!AC119+ACCESS!AC119</f>
        <v>47500</v>
      </c>
      <c r="AD119" s="106">
        <f>+'NEW CAR'!AD119+'GT-SERV'!AD119+ACCESS!AD119</f>
        <v>47500</v>
      </c>
      <c r="AE119" s="106">
        <f>+'NEW CAR'!AE119+'GT-SERV'!AE119+ACCESS!AE119</f>
        <v>47500</v>
      </c>
      <c r="AF119" s="106">
        <f>+'NEW CAR'!AF119+'GT-SERV'!AF119+ACCESS!AF119</f>
        <v>47500</v>
      </c>
      <c r="AG119" s="106">
        <f>+'NEW CAR'!AG119+'GT-SERV'!AG119+ACCESS!AG119</f>
        <v>47500</v>
      </c>
      <c r="AH119" s="106">
        <f>+'NEW CAR'!AH119+'GT-SERV'!AH119+ACCESS!AH119</f>
        <v>47500</v>
      </c>
      <c r="AI119" s="106">
        <f>+'NEW CAR'!AI119+'GT-SERV'!AI119+ACCESS!AI119</f>
        <v>47500</v>
      </c>
      <c r="AJ119" s="106">
        <f>+'NEW CAR'!AJ119+'GT-SERV'!AJ119+ACCESS!AJ119</f>
        <v>47500</v>
      </c>
      <c r="AK119" s="106">
        <f>+'NEW CAR'!AK119+'GT-SERV'!AK119+ACCESS!AK119</f>
        <v>47500</v>
      </c>
      <c r="AL119" s="106">
        <f>+'NEW CAR'!AL119+'GT-SERV'!AL119+ACCESS!AL119</f>
        <v>47500</v>
      </c>
      <c r="AM119" s="106">
        <f>+'NEW CAR'!AM119+'GT-SERV'!AM119+ACCESS!AM119</f>
        <v>47500</v>
      </c>
      <c r="AN119" s="106">
        <f>+'NEW CAR'!AN119+'GT-SERV'!AN119+ACCESS!AN119</f>
        <v>47500</v>
      </c>
      <c r="AO119" s="106">
        <f t="shared" si="104"/>
        <v>570000</v>
      </c>
    </row>
    <row r="120" spans="1:41" outlineLevel="1">
      <c r="A120" s="106">
        <f>+'NEW CAR'!A120+'GT-SERV'!A120+ACCESS!A120</f>
        <v>650907.67000000004</v>
      </c>
      <c r="B120" s="106">
        <f>+'NEW CAR'!B120+'GT-SERV'!B120+ACCESS!B120</f>
        <v>662684.03</v>
      </c>
      <c r="C120" s="106">
        <f>+'NEW CAR'!C120+'GT-SERV'!C120+ACCESS!C120</f>
        <v>723413</v>
      </c>
      <c r="D120" s="106">
        <f>+'NEW CAR'!D120+'GT-SERV'!D120+ACCESS!D120</f>
        <v>710577</v>
      </c>
      <c r="E120" s="106">
        <f>+'NEW CAR'!E120+'GT-SERV'!E120+ACCESS!E120</f>
        <v>715405</v>
      </c>
      <c r="F120" s="106">
        <f>+'NEW CAR'!F120+'GT-SERV'!F120+ACCESS!F120</f>
        <v>727133</v>
      </c>
      <c r="G120" s="106">
        <f>+'NEW CAR'!G120+'GT-SERV'!G120+ACCESS!G120</f>
        <v>761666</v>
      </c>
      <c r="H120" s="106">
        <f>+'NEW CAR'!H120+'GT-SERV'!H120+ACCESS!H120</f>
        <v>797198</v>
      </c>
      <c r="I120" s="106">
        <f>+'NEW CAR'!I120+'GT-SERV'!I120+ACCESS!I120</f>
        <v>825422.8600000001</v>
      </c>
      <c r="J120" s="106">
        <f>+'NEW CAR'!J120+'GT-SERV'!J120+ACCESS!J120</f>
        <v>800844</v>
      </c>
      <c r="K120" s="106">
        <f>+'NEW CAR'!K120+'GT-SERV'!K120+ACCESS!K120</f>
        <v>815380</v>
      </c>
      <c r="L120" s="106">
        <f>+'NEW CAR'!L120+'GT-SERV'!L120+ACCESS!L120</f>
        <v>791765</v>
      </c>
      <c r="M120" s="106">
        <f t="shared" si="102"/>
        <v>8982395.5600000005</v>
      </c>
      <c r="N120" s="16" t="s">
        <v>98</v>
      </c>
      <c r="O120" s="106">
        <f>+'NEW CAR'!O120+'GT-SERV'!O120+ACCESS!O120</f>
        <v>854484</v>
      </c>
      <c r="P120" s="106">
        <f>+'NEW CAR'!P120+'GT-SERV'!P120+ACCESS!P120</f>
        <v>817051</v>
      </c>
      <c r="Q120" s="106">
        <f>+'NEW CAR'!Q120+'GT-SERV'!Q120+ACCESS!Q120</f>
        <v>1166052</v>
      </c>
      <c r="R120" s="106">
        <f>+'NEW CAR'!R120+'GT-SERV'!R120+ACCESS!R120</f>
        <v>925768</v>
      </c>
      <c r="S120" s="106">
        <f>+'NEW CAR'!S120+'GT-SERV'!S120+ACCESS!S120</f>
        <v>902890</v>
      </c>
      <c r="T120" s="106">
        <f>+'NEW CAR'!T120+'GT-SERV'!T120+ACCESS!T120</f>
        <v>855132</v>
      </c>
      <c r="U120" s="106">
        <f>+'NEW CAR'!U120+'GT-SERV'!U120+ACCESS!U120</f>
        <v>864887</v>
      </c>
      <c r="V120" s="106">
        <f>+'NEW CAR'!V120+'GT-SERV'!V120+ACCESS!V120</f>
        <v>853733</v>
      </c>
      <c r="W120" s="106">
        <f>+'NEW CAR'!W120+'GT-SERV'!W120+ACCESS!W120</f>
        <v>838797</v>
      </c>
      <c r="X120" s="106">
        <f>+'NEW CAR'!X120+'GT-SERV'!X120+ACCESS!X120</f>
        <v>828022</v>
      </c>
      <c r="Y120" s="106">
        <f>+'NEW CAR'!Y120+'GT-SERV'!Y120+ACCESS!Y120</f>
        <v>0</v>
      </c>
      <c r="Z120" s="106">
        <f>+'NEW CAR'!Z120+'GT-SERV'!Z120+ACCESS!Z120</f>
        <v>0</v>
      </c>
      <c r="AA120" s="106">
        <f t="shared" si="103"/>
        <v>8906816</v>
      </c>
      <c r="AB120" s="118"/>
      <c r="AC120" s="106">
        <f>+'NEW CAR'!AC120+'GT-SERV'!AC120+ACCESS!AC120</f>
        <v>958250</v>
      </c>
      <c r="AD120" s="106">
        <f>+'NEW CAR'!AD120+'GT-SERV'!AD120+ACCESS!AD120</f>
        <v>958250</v>
      </c>
      <c r="AE120" s="106">
        <f>+'NEW CAR'!AE120+'GT-SERV'!AE120+ACCESS!AE120</f>
        <v>958250</v>
      </c>
      <c r="AF120" s="106">
        <f>+'NEW CAR'!AF120+'GT-SERV'!AF120+ACCESS!AF120</f>
        <v>958250</v>
      </c>
      <c r="AG120" s="106">
        <f>+'NEW CAR'!AG120+'GT-SERV'!AG120+ACCESS!AG120</f>
        <v>958250</v>
      </c>
      <c r="AH120" s="106">
        <f>+'NEW CAR'!AH120+'GT-SERV'!AH120+ACCESS!AH120</f>
        <v>958250</v>
      </c>
      <c r="AI120" s="106">
        <f>+'NEW CAR'!AI120+'GT-SERV'!AI120+ACCESS!AI120</f>
        <v>958250</v>
      </c>
      <c r="AJ120" s="106">
        <f>+'NEW CAR'!AJ120+'GT-SERV'!AJ120+ACCESS!AJ120</f>
        <v>958250</v>
      </c>
      <c r="AK120" s="106">
        <f>+'NEW CAR'!AK120+'GT-SERV'!AK120+ACCESS!AK120</f>
        <v>958250</v>
      </c>
      <c r="AL120" s="106">
        <f>+'NEW CAR'!AL120+'GT-SERV'!AL120+ACCESS!AL120</f>
        <v>958250</v>
      </c>
      <c r="AM120" s="106">
        <f>+'NEW CAR'!AM120+'GT-SERV'!AM120+ACCESS!AM120</f>
        <v>958250</v>
      </c>
      <c r="AN120" s="106">
        <f>+'NEW CAR'!AN120+'GT-SERV'!AN120+ACCESS!AN120</f>
        <v>958250</v>
      </c>
      <c r="AO120" s="106">
        <f t="shared" si="104"/>
        <v>11499000</v>
      </c>
    </row>
    <row r="121" spans="1:41" outlineLevel="1">
      <c r="A121" s="106">
        <f>+'NEW CAR'!A121+'GT-SERV'!A121+ACCESS!A121</f>
        <v>191265.57</v>
      </c>
      <c r="B121" s="106">
        <f>+'NEW CAR'!B121+'GT-SERV'!B121+ACCESS!B121</f>
        <v>207037.87000000002</v>
      </c>
      <c r="C121" s="106">
        <f>+'NEW CAR'!C121+'GT-SERV'!C121+ACCESS!C121</f>
        <v>205508</v>
      </c>
      <c r="D121" s="106">
        <f>+'NEW CAR'!D121+'GT-SERV'!D121+ACCESS!D121</f>
        <v>202717</v>
      </c>
      <c r="E121" s="106">
        <f>+'NEW CAR'!E121+'GT-SERV'!E121+ACCESS!E121</f>
        <v>198601</v>
      </c>
      <c r="F121" s="106">
        <f>+'NEW CAR'!F121+'GT-SERV'!F121+ACCESS!F121</f>
        <v>192987</v>
      </c>
      <c r="G121" s="106">
        <f>+'NEW CAR'!G121+'GT-SERV'!G121+ACCESS!G121</f>
        <v>191362</v>
      </c>
      <c r="H121" s="106">
        <f>+'NEW CAR'!H121+'GT-SERV'!H121+ACCESS!H121</f>
        <v>194454</v>
      </c>
      <c r="I121" s="106">
        <f>+'NEW CAR'!I121+'GT-SERV'!I121+ACCESS!I121</f>
        <v>195486.22999999998</v>
      </c>
      <c r="J121" s="106">
        <f>+'NEW CAR'!J121+'GT-SERV'!J121+ACCESS!J121</f>
        <v>181402</v>
      </c>
      <c r="K121" s="106">
        <f>+'NEW CAR'!K121+'GT-SERV'!K121+ACCESS!K121</f>
        <v>177317</v>
      </c>
      <c r="L121" s="106">
        <f>+'NEW CAR'!L121+'GT-SERV'!L121+ACCESS!L121</f>
        <v>183040</v>
      </c>
      <c r="M121" s="106">
        <f t="shared" si="102"/>
        <v>2321177.67</v>
      </c>
      <c r="N121" s="16" t="s">
        <v>99</v>
      </c>
      <c r="O121" s="106">
        <f>+'NEW CAR'!O121+'GT-SERV'!O121+ACCESS!O121</f>
        <v>191586</v>
      </c>
      <c r="P121" s="106">
        <f>+'NEW CAR'!P121+'GT-SERV'!P121+ACCESS!P121</f>
        <v>188880</v>
      </c>
      <c r="Q121" s="106">
        <f>+'NEW CAR'!Q121+'GT-SERV'!Q121+ACCESS!Q121</f>
        <v>196850</v>
      </c>
      <c r="R121" s="106">
        <f>+'NEW CAR'!R121+'GT-SERV'!R121+ACCESS!R121</f>
        <v>200355</v>
      </c>
      <c r="S121" s="106">
        <f>+'NEW CAR'!S121+'GT-SERV'!S121+ACCESS!S121</f>
        <v>195069</v>
      </c>
      <c r="T121" s="106">
        <f>+'NEW CAR'!T121+'GT-SERV'!T121+ACCESS!T121</f>
        <v>201480</v>
      </c>
      <c r="U121" s="106">
        <f>+'NEW CAR'!U121+'GT-SERV'!U121+ACCESS!U121</f>
        <v>201085</v>
      </c>
      <c r="V121" s="106">
        <f>+'NEW CAR'!V121+'GT-SERV'!V121+ACCESS!V121</f>
        <v>201989</v>
      </c>
      <c r="W121" s="106">
        <f>+'NEW CAR'!W121+'GT-SERV'!W121+ACCESS!W121</f>
        <v>203342</v>
      </c>
      <c r="X121" s="106">
        <f>+'NEW CAR'!X121+'GT-SERV'!X121+ACCESS!X121</f>
        <v>206403</v>
      </c>
      <c r="Y121" s="106">
        <f>+'NEW CAR'!Y121+'GT-SERV'!Y121+ACCESS!Y121</f>
        <v>0</v>
      </c>
      <c r="Z121" s="106">
        <f>+'NEW CAR'!Z121+'GT-SERV'!Z121+ACCESS!Z121</f>
        <v>0</v>
      </c>
      <c r="AA121" s="106">
        <f t="shared" si="103"/>
        <v>1987039</v>
      </c>
      <c r="AB121" s="118"/>
      <c r="AC121" s="106">
        <f>+'NEW CAR'!AC121+'GT-SERV'!AC121+ACCESS!AC121</f>
        <v>198650</v>
      </c>
      <c r="AD121" s="106">
        <f>+'NEW CAR'!AD121+'GT-SERV'!AD121+ACCESS!AD121</f>
        <v>198650</v>
      </c>
      <c r="AE121" s="106">
        <f>+'NEW CAR'!AE121+'GT-SERV'!AE121+ACCESS!AE121</f>
        <v>198650</v>
      </c>
      <c r="AF121" s="106">
        <f>+'NEW CAR'!AF121+'GT-SERV'!AF121+ACCESS!AF121</f>
        <v>198650</v>
      </c>
      <c r="AG121" s="106">
        <f>+'NEW CAR'!AG121+'GT-SERV'!AG121+ACCESS!AG121</f>
        <v>198650</v>
      </c>
      <c r="AH121" s="106">
        <f>+'NEW CAR'!AH121+'GT-SERV'!AH121+ACCESS!AH121</f>
        <v>198650</v>
      </c>
      <c r="AI121" s="106">
        <f>+'NEW CAR'!AI121+'GT-SERV'!AI121+ACCESS!AI121</f>
        <v>198650</v>
      </c>
      <c r="AJ121" s="106">
        <f>+'NEW CAR'!AJ121+'GT-SERV'!AJ121+ACCESS!AJ121</f>
        <v>198650</v>
      </c>
      <c r="AK121" s="106">
        <f>+'NEW CAR'!AK121+'GT-SERV'!AK121+ACCESS!AK121</f>
        <v>198650</v>
      </c>
      <c r="AL121" s="106">
        <f>+'NEW CAR'!AL121+'GT-SERV'!AL121+ACCESS!AL121</f>
        <v>198650</v>
      </c>
      <c r="AM121" s="106">
        <f>+'NEW CAR'!AM121+'GT-SERV'!AM121+ACCESS!AM121</f>
        <v>198650</v>
      </c>
      <c r="AN121" s="106">
        <f>+'NEW CAR'!AN121+'GT-SERV'!AN121+ACCESS!AN121</f>
        <v>198650</v>
      </c>
      <c r="AO121" s="106">
        <f t="shared" si="104"/>
        <v>2383800</v>
      </c>
    </row>
    <row r="122" spans="1:41" outlineLevel="1">
      <c r="A122" s="106">
        <f>+'NEW CAR'!A122+'GT-SERV'!A122+ACCESS!A122</f>
        <v>109989.72000000002</v>
      </c>
      <c r="B122" s="106">
        <f>+'NEW CAR'!B122+'GT-SERV'!B122+ACCESS!B122</f>
        <v>106664.13</v>
      </c>
      <c r="C122" s="106">
        <f>+'NEW CAR'!C122+'GT-SERV'!C122+ACCESS!C122</f>
        <v>97255</v>
      </c>
      <c r="D122" s="106">
        <f>+'NEW CAR'!D122+'GT-SERV'!D122+ACCESS!D122</f>
        <v>92400</v>
      </c>
      <c r="E122" s="106">
        <f>+'NEW CAR'!E122+'GT-SERV'!E122+ACCESS!E122</f>
        <v>95715</v>
      </c>
      <c r="F122" s="106">
        <f>+'NEW CAR'!F122+'GT-SERV'!F122+ACCESS!F122</f>
        <v>95947</v>
      </c>
      <c r="G122" s="106">
        <f>+'NEW CAR'!G122+'GT-SERV'!G122+ACCESS!G122</f>
        <v>95362</v>
      </c>
      <c r="H122" s="106">
        <f>+'NEW CAR'!H122+'GT-SERV'!H122+ACCESS!H122</f>
        <v>93556</v>
      </c>
      <c r="I122" s="106">
        <f>+'NEW CAR'!I122+'GT-SERV'!I122+ACCESS!I122</f>
        <v>91094.83</v>
      </c>
      <c r="J122" s="106">
        <f>+'NEW CAR'!J122+'GT-SERV'!J122+ACCESS!J122</f>
        <v>86634</v>
      </c>
      <c r="K122" s="106">
        <f>+'NEW CAR'!K122+'GT-SERV'!K122+ACCESS!K122</f>
        <v>70873</v>
      </c>
      <c r="L122" s="106">
        <f>+'NEW CAR'!L122+'GT-SERV'!L122+ACCESS!L122</f>
        <v>78768</v>
      </c>
      <c r="M122" s="106">
        <f t="shared" si="102"/>
        <v>1114258.6800000002</v>
      </c>
      <c r="N122" s="16" t="s">
        <v>100</v>
      </c>
      <c r="O122" s="106">
        <f>+'NEW CAR'!O122+'GT-SERV'!O122+ACCESS!O122</f>
        <v>79774</v>
      </c>
      <c r="P122" s="106">
        <f>+'NEW CAR'!P122+'GT-SERV'!P122+ACCESS!P122</f>
        <v>80076</v>
      </c>
      <c r="Q122" s="106">
        <f>+'NEW CAR'!Q122+'GT-SERV'!Q122+ACCESS!Q122</f>
        <v>93418</v>
      </c>
      <c r="R122" s="106">
        <f>+'NEW CAR'!R122+'GT-SERV'!R122+ACCESS!R122</f>
        <v>92890</v>
      </c>
      <c r="S122" s="106">
        <f>+'NEW CAR'!S122+'GT-SERV'!S122+ACCESS!S122</f>
        <v>91989</v>
      </c>
      <c r="T122" s="106">
        <f>+'NEW CAR'!T122+'GT-SERV'!T122+ACCESS!T122</f>
        <v>85365</v>
      </c>
      <c r="U122" s="106">
        <f>+'NEW CAR'!U122+'GT-SERV'!U122+ACCESS!U122</f>
        <v>86300</v>
      </c>
      <c r="V122" s="106">
        <f>+'NEW CAR'!V122+'GT-SERV'!V122+ACCESS!V122</f>
        <v>84803</v>
      </c>
      <c r="W122" s="106">
        <f>+'NEW CAR'!W122+'GT-SERV'!W122+ACCESS!W122</f>
        <v>82809</v>
      </c>
      <c r="X122" s="106">
        <f>+'NEW CAR'!X122+'GT-SERV'!X122+ACCESS!X122</f>
        <v>82275</v>
      </c>
      <c r="Y122" s="106">
        <f>+'NEW CAR'!Y122+'GT-SERV'!Y122+ACCESS!Y122</f>
        <v>0</v>
      </c>
      <c r="Z122" s="106">
        <f>+'NEW CAR'!Z122+'GT-SERV'!Z122+ACCESS!Z122</f>
        <v>0</v>
      </c>
      <c r="AA122" s="106">
        <f t="shared" si="103"/>
        <v>859699</v>
      </c>
      <c r="AB122" s="118"/>
      <c r="AC122" s="106">
        <f>+'NEW CAR'!AC122+'GT-SERV'!AC122+ACCESS!AC122</f>
        <v>99450</v>
      </c>
      <c r="AD122" s="106">
        <f>+'NEW CAR'!AD122+'GT-SERV'!AD122+ACCESS!AD122</f>
        <v>99450</v>
      </c>
      <c r="AE122" s="106">
        <f>+'NEW CAR'!AE122+'GT-SERV'!AE122+ACCESS!AE122</f>
        <v>99450</v>
      </c>
      <c r="AF122" s="106">
        <f>+'NEW CAR'!AF122+'GT-SERV'!AF122+ACCESS!AF122</f>
        <v>99450</v>
      </c>
      <c r="AG122" s="106">
        <f>+'NEW CAR'!AG122+'GT-SERV'!AG122+ACCESS!AG122</f>
        <v>99450</v>
      </c>
      <c r="AH122" s="106">
        <f>+'NEW CAR'!AH122+'GT-SERV'!AH122+ACCESS!AH122</f>
        <v>99450</v>
      </c>
      <c r="AI122" s="106">
        <f>+'NEW CAR'!AI122+'GT-SERV'!AI122+ACCESS!AI122</f>
        <v>99450</v>
      </c>
      <c r="AJ122" s="106">
        <f>+'NEW CAR'!AJ122+'GT-SERV'!AJ122+ACCESS!AJ122</f>
        <v>99450</v>
      </c>
      <c r="AK122" s="106">
        <f>+'NEW CAR'!AK122+'GT-SERV'!AK122+ACCESS!AK122</f>
        <v>99450</v>
      </c>
      <c r="AL122" s="106">
        <f>+'NEW CAR'!AL122+'GT-SERV'!AL122+ACCESS!AL122</f>
        <v>99450</v>
      </c>
      <c r="AM122" s="106">
        <f>+'NEW CAR'!AM122+'GT-SERV'!AM122+ACCESS!AM122</f>
        <v>99450</v>
      </c>
      <c r="AN122" s="106">
        <f>+'NEW CAR'!AN122+'GT-SERV'!AN122+ACCESS!AN122</f>
        <v>99450</v>
      </c>
      <c r="AO122" s="106">
        <f t="shared" si="104"/>
        <v>1193400</v>
      </c>
    </row>
    <row r="123" spans="1:41" outlineLevel="1">
      <c r="A123" s="106">
        <f>+'NEW CAR'!A123+'GT-SERV'!A123+ACCESS!A123</f>
        <v>1410549.3800000001</v>
      </c>
      <c r="B123" s="106">
        <f>+'NEW CAR'!B123+'GT-SERV'!B123+ACCESS!B123</f>
        <v>1403561.3900000001</v>
      </c>
      <c r="C123" s="106">
        <f>+'NEW CAR'!C123+'GT-SERV'!C123+ACCESS!C123</f>
        <v>1258705</v>
      </c>
      <c r="D123" s="106">
        <f>+'NEW CAR'!D123+'GT-SERV'!D123+ACCESS!D123</f>
        <v>1256788</v>
      </c>
      <c r="E123" s="106">
        <f>+'NEW CAR'!E123+'GT-SERV'!E123+ACCESS!E123</f>
        <v>1288329</v>
      </c>
      <c r="F123" s="106">
        <f>+'NEW CAR'!F123+'GT-SERV'!F123+ACCESS!F123</f>
        <v>1265208</v>
      </c>
      <c r="G123" s="106">
        <f>+'NEW CAR'!G123+'GT-SERV'!G123+ACCESS!G123</f>
        <v>1300255</v>
      </c>
      <c r="H123" s="106">
        <f>+'NEW CAR'!H123+'GT-SERV'!H123+ACCESS!H123</f>
        <v>1287544</v>
      </c>
      <c r="I123" s="106">
        <f>+'NEW CAR'!I123+'GT-SERV'!I123+ACCESS!I123</f>
        <v>1459191.85</v>
      </c>
      <c r="J123" s="106">
        <f>+'NEW CAR'!J123+'GT-SERV'!J123+ACCESS!J123</f>
        <v>1351154</v>
      </c>
      <c r="K123" s="106">
        <f>+'NEW CAR'!K123+'GT-SERV'!K123+ACCESS!K123</f>
        <v>1272827</v>
      </c>
      <c r="L123" s="106">
        <f>+'NEW CAR'!L123+'GT-SERV'!L123+ACCESS!L123</f>
        <v>1225908</v>
      </c>
      <c r="M123" s="106">
        <f t="shared" si="102"/>
        <v>15780020.619999999</v>
      </c>
      <c r="N123" s="16" t="s">
        <v>101</v>
      </c>
      <c r="O123" s="106">
        <f>+'NEW CAR'!O123+'GT-SERV'!O123+ACCESS!O123</f>
        <v>1230374</v>
      </c>
      <c r="P123" s="106">
        <f>+'NEW CAR'!P123+'GT-SERV'!P123+ACCESS!P123</f>
        <v>1222129</v>
      </c>
      <c r="Q123" s="106">
        <f>+'NEW CAR'!Q123+'GT-SERV'!Q123+ACCESS!Q123</f>
        <v>1316625</v>
      </c>
      <c r="R123" s="106">
        <f>+'NEW CAR'!R123+'GT-SERV'!R123+ACCESS!R123</f>
        <v>1324902</v>
      </c>
      <c r="S123" s="106">
        <f>+'NEW CAR'!S123+'GT-SERV'!S123+ACCESS!S123</f>
        <v>1327468</v>
      </c>
      <c r="T123" s="106">
        <f>+'NEW CAR'!T123+'GT-SERV'!T123+ACCESS!T123</f>
        <v>1237892</v>
      </c>
      <c r="U123" s="106">
        <f>+'NEW CAR'!U123+'GT-SERV'!U123+ACCESS!U123</f>
        <v>1244638</v>
      </c>
      <c r="V123" s="106">
        <f>+'NEW CAR'!V123+'GT-SERV'!V123+ACCESS!V123</f>
        <v>1237018</v>
      </c>
      <c r="W123" s="106">
        <f>+'NEW CAR'!W123+'GT-SERV'!W123+ACCESS!W123</f>
        <v>1602486</v>
      </c>
      <c r="X123" s="106">
        <f>+'NEW CAR'!X123+'GT-SERV'!X123+ACCESS!X123</f>
        <v>1200527</v>
      </c>
      <c r="Y123" s="106">
        <f>+'NEW CAR'!Y123+'GT-SERV'!Y123+ACCESS!Y123</f>
        <v>0</v>
      </c>
      <c r="Z123" s="106">
        <f>+'NEW CAR'!Z123+'GT-SERV'!Z123+ACCESS!Z123</f>
        <v>0</v>
      </c>
      <c r="AA123" s="106">
        <f t="shared" si="103"/>
        <v>12944059</v>
      </c>
      <c r="AB123" s="118"/>
      <c r="AC123" s="106">
        <f>+'NEW CAR'!AC123+'GT-SERV'!AC123+ACCESS!AC123</f>
        <v>1356075</v>
      </c>
      <c r="AD123" s="106">
        <f>+'NEW CAR'!AD123+'GT-SERV'!AD123+ACCESS!AD123</f>
        <v>1356075</v>
      </c>
      <c r="AE123" s="106">
        <f>+'NEW CAR'!AE123+'GT-SERV'!AE123+ACCESS!AE123</f>
        <v>1356075</v>
      </c>
      <c r="AF123" s="106">
        <f>+'NEW CAR'!AF123+'GT-SERV'!AF123+ACCESS!AF123</f>
        <v>1356075</v>
      </c>
      <c r="AG123" s="106">
        <f>+'NEW CAR'!AG123+'GT-SERV'!AG123+ACCESS!AG123</f>
        <v>1356075</v>
      </c>
      <c r="AH123" s="106">
        <f>+'NEW CAR'!AH123+'GT-SERV'!AH123+ACCESS!AH123</f>
        <v>1356075</v>
      </c>
      <c r="AI123" s="106">
        <f>+'NEW CAR'!AI123+'GT-SERV'!AI123+ACCESS!AI123</f>
        <v>1356075</v>
      </c>
      <c r="AJ123" s="106">
        <f>+'NEW CAR'!AJ123+'GT-SERV'!AJ123+ACCESS!AJ123</f>
        <v>1356075</v>
      </c>
      <c r="AK123" s="106">
        <f>+'NEW CAR'!AK123+'GT-SERV'!AK123+ACCESS!AK123</f>
        <v>1356075</v>
      </c>
      <c r="AL123" s="106">
        <f>+'NEW CAR'!AL123+'GT-SERV'!AL123+ACCESS!AL123</f>
        <v>1356075</v>
      </c>
      <c r="AM123" s="106">
        <f>+'NEW CAR'!AM123+'GT-SERV'!AM123+ACCESS!AM123</f>
        <v>1356075</v>
      </c>
      <c r="AN123" s="106">
        <f>+'NEW CAR'!AN123+'GT-SERV'!AN123+ACCESS!AN123</f>
        <v>1356075</v>
      </c>
      <c r="AO123" s="106">
        <f t="shared" si="104"/>
        <v>16272900</v>
      </c>
    </row>
    <row r="124" spans="1:41" outlineLevel="1">
      <c r="A124" s="106">
        <f>+'NEW CAR'!A124+'GT-SERV'!A124+ACCESS!A124</f>
        <v>270188</v>
      </c>
      <c r="B124" s="106">
        <f>+'NEW CAR'!B124+'GT-SERV'!B124+ACCESS!B124</f>
        <v>278849</v>
      </c>
      <c r="C124" s="106">
        <f>+'NEW CAR'!C124+'GT-SERV'!C124+ACCESS!C124</f>
        <v>301974</v>
      </c>
      <c r="D124" s="106">
        <f>+'NEW CAR'!D124+'GT-SERV'!D124+ACCESS!D124</f>
        <v>340692</v>
      </c>
      <c r="E124" s="106">
        <f>+'NEW CAR'!E124+'GT-SERV'!E124+ACCESS!E124</f>
        <v>342333</v>
      </c>
      <c r="F124" s="106">
        <f>+'NEW CAR'!F124+'GT-SERV'!F124+ACCESS!F124</f>
        <v>342333</v>
      </c>
      <c r="G124" s="106">
        <f>+'NEW CAR'!G124+'GT-SERV'!G124+ACCESS!G124</f>
        <v>342333</v>
      </c>
      <c r="H124" s="106">
        <f>+'NEW CAR'!H124+'GT-SERV'!H124+ACCESS!H124</f>
        <v>342333</v>
      </c>
      <c r="I124" s="106">
        <f>+'NEW CAR'!I124+'GT-SERV'!I124+ACCESS!I124</f>
        <v>342333</v>
      </c>
      <c r="J124" s="106">
        <f>+'NEW CAR'!J124+'GT-SERV'!J124+ACCESS!J124</f>
        <v>342333</v>
      </c>
      <c r="K124" s="106">
        <f>+'NEW CAR'!K124+'GT-SERV'!K124+ACCESS!K124</f>
        <v>342333</v>
      </c>
      <c r="L124" s="106">
        <f>+'NEW CAR'!L124+'GT-SERV'!L124+ACCESS!L124</f>
        <v>190894.5</v>
      </c>
      <c r="M124" s="106">
        <f t="shared" si="102"/>
        <v>3778928.5</v>
      </c>
      <c r="N124" s="16" t="s">
        <v>102</v>
      </c>
      <c r="O124" s="106">
        <f>+'NEW CAR'!O124+'GT-SERV'!O124+ACCESS!O124</f>
        <v>334035</v>
      </c>
      <c r="P124" s="106">
        <f>+'NEW CAR'!P124+'GT-SERV'!P124+ACCESS!P124</f>
        <v>337220</v>
      </c>
      <c r="Q124" s="106">
        <f>+'NEW CAR'!Q124+'GT-SERV'!Q124+ACCESS!Q124</f>
        <v>343844</v>
      </c>
      <c r="R124" s="106">
        <f>+'NEW CAR'!R124+'GT-SERV'!R124+ACCESS!R124</f>
        <v>304299.79296256945</v>
      </c>
      <c r="S124" s="106">
        <f>+'NEW CAR'!S124+'GT-SERV'!S124+ACCESS!S124</f>
        <v>304299.79296256945</v>
      </c>
      <c r="T124" s="106">
        <f>+'NEW CAR'!T124+'GT-SERV'!T124+ACCESS!T124</f>
        <v>304299.79296256945</v>
      </c>
      <c r="U124" s="106">
        <f>+'NEW CAR'!U124+'GT-SERV'!U124+ACCESS!U124</f>
        <v>304299.79296256945</v>
      </c>
      <c r="V124" s="106">
        <f>+'NEW CAR'!V124+'GT-SERV'!V124+ACCESS!V124</f>
        <v>304299.79296256945</v>
      </c>
      <c r="W124" s="106">
        <f>+'NEW CAR'!W124+'GT-SERV'!W124+ACCESS!W124</f>
        <v>304299.79296256945</v>
      </c>
      <c r="X124" s="106">
        <f>+'NEW CAR'!X124+'GT-SERV'!X124+ACCESS!X124</f>
        <v>304299.79296256945</v>
      </c>
      <c r="Y124" s="106">
        <f>+'NEW CAR'!Y124+'GT-SERV'!Y124+ACCESS!Y124</f>
        <v>0</v>
      </c>
      <c r="Z124" s="106">
        <f>+'NEW CAR'!Z124+'GT-SERV'!Z124+ACCESS!Z124</f>
        <v>0</v>
      </c>
      <c r="AA124" s="106">
        <f t="shared" si="103"/>
        <v>3145197.5507379859</v>
      </c>
      <c r="AB124" s="118"/>
      <c r="AC124" s="106">
        <f>+'NEW CAR'!AC124+'GT-SERV'!AC124+ACCESS!AC124</f>
        <v>304299.79296256945</v>
      </c>
      <c r="AD124" s="106">
        <f>+'NEW CAR'!AD124+'GT-SERV'!AD124+ACCESS!AD124</f>
        <v>304299.79296256945</v>
      </c>
      <c r="AE124" s="106">
        <f>+'NEW CAR'!AE124+'GT-SERV'!AE124+ACCESS!AE124</f>
        <v>304299.79296256945</v>
      </c>
      <c r="AF124" s="106">
        <f>+'NEW CAR'!AF124+'GT-SERV'!AF124+ACCESS!AF124</f>
        <v>304299.79296256945</v>
      </c>
      <c r="AG124" s="106">
        <f>+'NEW CAR'!AG124+'GT-SERV'!AG124+ACCESS!AG124</f>
        <v>304299.79296256945</v>
      </c>
      <c r="AH124" s="106">
        <f>+'NEW CAR'!AH124+'GT-SERV'!AH124+ACCESS!AH124</f>
        <v>304299.79296256945</v>
      </c>
      <c r="AI124" s="106">
        <f>+'NEW CAR'!AI124+'GT-SERV'!AI124+ACCESS!AI124</f>
        <v>304299.79296256945</v>
      </c>
      <c r="AJ124" s="106">
        <f>+'NEW CAR'!AJ124+'GT-SERV'!AJ124+ACCESS!AJ124</f>
        <v>304299.79296256945</v>
      </c>
      <c r="AK124" s="106">
        <f>+'NEW CAR'!AK124+'GT-SERV'!AK124+ACCESS!AK124</f>
        <v>304299.79296256945</v>
      </c>
      <c r="AL124" s="106">
        <f>+'NEW CAR'!AL124+'GT-SERV'!AL124+ACCESS!AL124</f>
        <v>304299.79296256945</v>
      </c>
      <c r="AM124" s="106">
        <f>+'NEW CAR'!AM124+'GT-SERV'!AM124+ACCESS!AM124</f>
        <v>304299.79296256945</v>
      </c>
      <c r="AN124" s="106">
        <f>+'NEW CAR'!AN124+'GT-SERV'!AN124+ACCESS!AN124</f>
        <v>304299.79296256945</v>
      </c>
      <c r="AO124" s="106">
        <f t="shared" si="104"/>
        <v>3651597.5155508327</v>
      </c>
    </row>
    <row r="125" spans="1:41" outlineLevel="1">
      <c r="A125" s="106">
        <f>+'NEW CAR'!A125+'GT-SERV'!A125+ACCESS!A125</f>
        <v>44342</v>
      </c>
      <c r="B125" s="106">
        <f>+'NEW CAR'!B125+'GT-SERV'!B125+ACCESS!B125</f>
        <v>45304</v>
      </c>
      <c r="C125" s="106">
        <f>+'NEW CAR'!C125+'GT-SERV'!C125+ACCESS!C125</f>
        <v>48125</v>
      </c>
      <c r="D125" s="106">
        <f>+'NEW CAR'!D125+'GT-SERV'!D125+ACCESS!D125</f>
        <v>48125</v>
      </c>
      <c r="E125" s="106">
        <f>+'NEW CAR'!E125+'GT-SERV'!E125+ACCESS!E125</f>
        <v>44394</v>
      </c>
      <c r="F125" s="106">
        <f>+'NEW CAR'!F125+'GT-SERV'!F125+ACCESS!F125</f>
        <v>44394</v>
      </c>
      <c r="G125" s="106">
        <f>+'NEW CAR'!G125+'GT-SERV'!G125+ACCESS!G125</f>
        <v>44394</v>
      </c>
      <c r="H125" s="106">
        <f>+'NEW CAR'!H125+'GT-SERV'!H125+ACCESS!H125</f>
        <v>44394</v>
      </c>
      <c r="I125" s="106">
        <f>+'NEW CAR'!I125+'GT-SERV'!I125+ACCESS!I125</f>
        <v>44394</v>
      </c>
      <c r="J125" s="106">
        <f>+'NEW CAR'!J125+'GT-SERV'!J125+ACCESS!J125</f>
        <v>44394</v>
      </c>
      <c r="K125" s="106">
        <f>+'NEW CAR'!K125+'GT-SERV'!K125+ACCESS!K125</f>
        <v>44394</v>
      </c>
      <c r="L125" s="106">
        <f>+'NEW CAR'!L125+'GT-SERV'!L125+ACCESS!L125</f>
        <v>133214.20000000001</v>
      </c>
      <c r="M125" s="106">
        <f t="shared" si="102"/>
        <v>629868.19999999995</v>
      </c>
      <c r="N125" s="16" t="s">
        <v>103</v>
      </c>
      <c r="O125" s="106">
        <f>+'NEW CAR'!O125+'GT-SERV'!O125+ACCESS!O125</f>
        <v>50050</v>
      </c>
      <c r="P125" s="106">
        <f>+'NEW CAR'!P125+'GT-SERV'!P125+ACCESS!P125</f>
        <v>49570</v>
      </c>
      <c r="Q125" s="106">
        <f>+'NEW CAR'!Q125+'GT-SERV'!Q125+ACCESS!Q125</f>
        <v>52250</v>
      </c>
      <c r="R125" s="106">
        <f>+'NEW CAR'!R125+'GT-SERV'!R125+ACCESS!R125</f>
        <v>20306.25</v>
      </c>
      <c r="S125" s="106">
        <f>+'NEW CAR'!S125+'GT-SERV'!S125+ACCESS!S125</f>
        <v>20306.25</v>
      </c>
      <c r="T125" s="106">
        <f>+'NEW CAR'!T125+'GT-SERV'!T125+ACCESS!T125</f>
        <v>20306.25</v>
      </c>
      <c r="U125" s="106">
        <f>+'NEW CAR'!U125+'GT-SERV'!U125+ACCESS!U125</f>
        <v>20306.25</v>
      </c>
      <c r="V125" s="106">
        <f>+'NEW CAR'!V125+'GT-SERV'!V125+ACCESS!V125</f>
        <v>20306.25</v>
      </c>
      <c r="W125" s="106">
        <f>+'NEW CAR'!W125+'GT-SERV'!W125+ACCESS!W125</f>
        <v>20306.25</v>
      </c>
      <c r="X125" s="106">
        <f>+'NEW CAR'!X125+'GT-SERV'!X125+ACCESS!X125</f>
        <v>20306.25</v>
      </c>
      <c r="Y125" s="106">
        <f>+'NEW CAR'!Y125+'GT-SERV'!Y125+ACCESS!Y125</f>
        <v>0</v>
      </c>
      <c r="Z125" s="106">
        <f>+'NEW CAR'!Z125+'GT-SERV'!Z125+ACCESS!Z125</f>
        <v>0</v>
      </c>
      <c r="AA125" s="106">
        <f t="shared" si="103"/>
        <v>294013.75</v>
      </c>
      <c r="AB125" s="118"/>
      <c r="AC125" s="106">
        <f>+'NEW CAR'!AC125+'GT-SERV'!AC125+ACCESS!AC125</f>
        <v>20306.25</v>
      </c>
      <c r="AD125" s="106">
        <f>+'NEW CAR'!AD125+'GT-SERV'!AD125+ACCESS!AD125</f>
        <v>20306.25</v>
      </c>
      <c r="AE125" s="106">
        <f>+'NEW CAR'!AE125+'GT-SERV'!AE125+ACCESS!AE125</f>
        <v>20306.25</v>
      </c>
      <c r="AF125" s="106">
        <f>+'NEW CAR'!AF125+'GT-SERV'!AF125+ACCESS!AF125</f>
        <v>20306.25</v>
      </c>
      <c r="AG125" s="106">
        <f>+'NEW CAR'!AG125+'GT-SERV'!AG125+ACCESS!AG125</f>
        <v>20306.25</v>
      </c>
      <c r="AH125" s="106">
        <f>+'NEW CAR'!AH125+'GT-SERV'!AH125+ACCESS!AH125</f>
        <v>20306.25</v>
      </c>
      <c r="AI125" s="106">
        <f>+'NEW CAR'!AI125+'GT-SERV'!AI125+ACCESS!AI125</f>
        <v>20306.25</v>
      </c>
      <c r="AJ125" s="106">
        <f>+'NEW CAR'!AJ125+'GT-SERV'!AJ125+ACCESS!AJ125</f>
        <v>20306.25</v>
      </c>
      <c r="AK125" s="106">
        <f>+'NEW CAR'!AK125+'GT-SERV'!AK125+ACCESS!AK125</f>
        <v>20306.25</v>
      </c>
      <c r="AL125" s="106">
        <f>+'NEW CAR'!AL125+'GT-SERV'!AL125+ACCESS!AL125</f>
        <v>20306.25</v>
      </c>
      <c r="AM125" s="106">
        <f>+'NEW CAR'!AM125+'GT-SERV'!AM125+ACCESS!AM125</f>
        <v>20306.25</v>
      </c>
      <c r="AN125" s="106">
        <f>+'NEW CAR'!AN125+'GT-SERV'!AN125+ACCESS!AN125</f>
        <v>20306.25</v>
      </c>
      <c r="AO125" s="106">
        <f t="shared" si="104"/>
        <v>243675</v>
      </c>
    </row>
    <row r="126" spans="1:41" outlineLevel="1">
      <c r="A126" s="106">
        <f>+'NEW CAR'!A126+'GT-SERV'!A126+ACCESS!A126</f>
        <v>370382</v>
      </c>
      <c r="B126" s="106">
        <f>+'NEW CAR'!B126+'GT-SERV'!B126+ACCESS!B126</f>
        <v>370382</v>
      </c>
      <c r="C126" s="106">
        <f>+'NEW CAR'!C126+'GT-SERV'!C126+ACCESS!C126</f>
        <v>368000</v>
      </c>
      <c r="D126" s="106">
        <f>+'NEW CAR'!D126+'GT-SERV'!D126+ACCESS!D126</f>
        <v>368500</v>
      </c>
      <c r="E126" s="106">
        <f>+'NEW CAR'!E126+'GT-SERV'!E126+ACCESS!E126</f>
        <v>368500</v>
      </c>
      <c r="F126" s="106">
        <f>+'NEW CAR'!F126+'GT-SERV'!F126+ACCESS!F126</f>
        <v>368500</v>
      </c>
      <c r="G126" s="106">
        <f>+'NEW CAR'!G126+'GT-SERV'!G126+ACCESS!G126</f>
        <v>368500</v>
      </c>
      <c r="H126" s="106">
        <f>+'NEW CAR'!H126+'GT-SERV'!H126+ACCESS!H126</f>
        <v>368500</v>
      </c>
      <c r="I126" s="106">
        <f>+'NEW CAR'!I126+'GT-SERV'!I126+ACCESS!I126</f>
        <v>368500</v>
      </c>
      <c r="J126" s="106">
        <f>+'NEW CAR'!J126+'GT-SERV'!J126+ACCESS!J126</f>
        <v>368500</v>
      </c>
      <c r="K126" s="106">
        <f>+'NEW CAR'!K126+'GT-SERV'!K126+ACCESS!K126</f>
        <v>368500</v>
      </c>
      <c r="L126" s="106">
        <f>+'NEW CAR'!L126+'GT-SERV'!L126+ACCESS!L126</f>
        <v>461496</v>
      </c>
      <c r="M126" s="106">
        <f t="shared" si="102"/>
        <v>4518260</v>
      </c>
      <c r="N126" s="16" t="s">
        <v>104</v>
      </c>
      <c r="O126" s="106">
        <f>+'NEW CAR'!O126+'GT-SERV'!O126+ACCESS!O126</f>
        <v>387500</v>
      </c>
      <c r="P126" s="106">
        <f>+'NEW CAR'!P126+'GT-SERV'!P126+ACCESS!P126</f>
        <v>387500</v>
      </c>
      <c r="Q126" s="106">
        <f>+'NEW CAR'!Q126+'GT-SERV'!Q126+ACCESS!Q126</f>
        <v>387500</v>
      </c>
      <c r="R126" s="106">
        <f>+'NEW CAR'!R126+'GT-SERV'!R126+ACCESS!R126</f>
        <v>387500</v>
      </c>
      <c r="S126" s="106">
        <f>+'NEW CAR'!S126+'GT-SERV'!S126+ACCESS!S126</f>
        <v>387500</v>
      </c>
      <c r="T126" s="106">
        <f>+'NEW CAR'!T126+'GT-SERV'!T126+ACCESS!T126</f>
        <v>467782.8</v>
      </c>
      <c r="U126" s="106">
        <f>+'NEW CAR'!U126+'GT-SERV'!U126+ACCESS!U126</f>
        <v>737782.79999999993</v>
      </c>
      <c r="V126" s="106">
        <f>+'NEW CAR'!V126+'GT-SERV'!V126+ACCESS!V126</f>
        <v>602782.80000000005</v>
      </c>
      <c r="W126" s="106">
        <f>+'NEW CAR'!W126+'GT-SERV'!W126+ACCESS!W126</f>
        <v>739780</v>
      </c>
      <c r="X126" s="106">
        <f>+'NEW CAR'!X126+'GT-SERV'!X126+ACCESS!X126</f>
        <v>682155</v>
      </c>
      <c r="Y126" s="106">
        <f>+'NEW CAR'!Y126+'GT-SERV'!Y126+ACCESS!Y126</f>
        <v>0</v>
      </c>
      <c r="Z126" s="106">
        <f>+'NEW CAR'!Z126+'GT-SERV'!Z126+ACCESS!Z126</f>
        <v>0</v>
      </c>
      <c r="AA126" s="106">
        <f t="shared" si="103"/>
        <v>5167783.3999999994</v>
      </c>
      <c r="AB126" s="118"/>
      <c r="AC126" s="106">
        <f>+'NEW CAR'!AC126+'GT-SERV'!AC126+ACCESS!AC126</f>
        <v>387500</v>
      </c>
      <c r="AD126" s="106">
        <f>+'NEW CAR'!AD126+'GT-SERV'!AD126+ACCESS!AD126</f>
        <v>387500</v>
      </c>
      <c r="AE126" s="106">
        <f>+'NEW CAR'!AE126+'GT-SERV'!AE126+ACCESS!AE126</f>
        <v>387500</v>
      </c>
      <c r="AF126" s="106">
        <f>+'NEW CAR'!AF126+'GT-SERV'!AF126+ACCESS!AF126</f>
        <v>387500</v>
      </c>
      <c r="AG126" s="106">
        <f>+'NEW CAR'!AG126+'GT-SERV'!AG126+ACCESS!AG126</f>
        <v>387500</v>
      </c>
      <c r="AH126" s="106">
        <f>+'NEW CAR'!AH126+'GT-SERV'!AH126+ACCESS!AH126</f>
        <v>387500</v>
      </c>
      <c r="AI126" s="106">
        <f>+'NEW CAR'!AI126+'GT-SERV'!AI126+ACCESS!AI126</f>
        <v>387500</v>
      </c>
      <c r="AJ126" s="106">
        <f>+'NEW CAR'!AJ126+'GT-SERV'!AJ126+ACCESS!AJ126</f>
        <v>387500</v>
      </c>
      <c r="AK126" s="106">
        <f>+'NEW CAR'!AK126+'GT-SERV'!AK126+ACCESS!AK126</f>
        <v>387500</v>
      </c>
      <c r="AL126" s="106">
        <f>+'NEW CAR'!AL126+'GT-SERV'!AL126+ACCESS!AL126</f>
        <v>387500</v>
      </c>
      <c r="AM126" s="106">
        <f>+'NEW CAR'!AM126+'GT-SERV'!AM126+ACCESS!AM126</f>
        <v>387500</v>
      </c>
      <c r="AN126" s="106">
        <f>+'NEW CAR'!AN126+'GT-SERV'!AN126+ACCESS!AN126</f>
        <v>387500</v>
      </c>
      <c r="AO126" s="106">
        <f t="shared" si="104"/>
        <v>4650000</v>
      </c>
    </row>
    <row r="127" spans="1:41" outlineLevel="1">
      <c r="A127" s="106">
        <f>+'NEW CAR'!A127+'GT-SERV'!A127+ACCESS!A127</f>
        <v>112935.86538461538</v>
      </c>
      <c r="B127" s="106">
        <f>+'NEW CAR'!B127+'GT-SERV'!B127+ACCESS!B127</f>
        <v>141327.8846153846</v>
      </c>
      <c r="C127" s="106">
        <f>+'NEW CAR'!C127+'GT-SERV'!C127+ACCESS!C127</f>
        <v>141327.8846153846</v>
      </c>
      <c r="D127" s="106">
        <f>+'NEW CAR'!D127+'GT-SERV'!D127+ACCESS!D127</f>
        <v>141327.8846153846</v>
      </c>
      <c r="E127" s="106">
        <f>+'NEW CAR'!E127+'GT-SERV'!E127+ACCESS!E127</f>
        <v>141327.8846153846</v>
      </c>
      <c r="F127" s="106">
        <f>+'NEW CAR'!F127+'GT-SERV'!F127+ACCESS!F127</f>
        <v>141327.8846153846</v>
      </c>
      <c r="G127" s="106">
        <f>+'NEW CAR'!G127+'GT-SERV'!G127+ACCESS!G127</f>
        <v>141327.8846153846</v>
      </c>
      <c r="H127" s="106">
        <f>+'NEW CAR'!H127+'GT-SERV'!H127+ACCESS!H127</f>
        <v>141327.8846153846</v>
      </c>
      <c r="I127" s="106">
        <f>+'NEW CAR'!I127+'GT-SERV'!I127+ACCESS!I127</f>
        <v>141327.8846153846</v>
      </c>
      <c r="J127" s="106">
        <f>+'NEW CAR'!J127+'GT-SERV'!J127+ACCESS!J127</f>
        <v>141327.8846153846</v>
      </c>
      <c r="K127" s="106">
        <f>+'NEW CAR'!K127+'GT-SERV'!K127+ACCESS!K127</f>
        <v>141327.8846153846</v>
      </c>
      <c r="L127" s="106">
        <f>+'NEW CAR'!L127+'GT-SERV'!L127+ACCESS!L127</f>
        <v>141327.8846153846</v>
      </c>
      <c r="M127" s="106">
        <f t="shared" si="102"/>
        <v>1667542.5961538455</v>
      </c>
      <c r="N127" s="16" t="s">
        <v>105</v>
      </c>
      <c r="O127" s="106">
        <f>+'NEW CAR'!O127+'GT-SERV'!O127+ACCESS!O127</f>
        <v>131555.28846153847</v>
      </c>
      <c r="P127" s="106">
        <f>+'NEW CAR'!P127+'GT-SERV'!P127+ACCESS!P127</f>
        <v>131555.28846153847</v>
      </c>
      <c r="Q127" s="106">
        <f>+'NEW CAR'!Q127+'GT-SERV'!Q127+ACCESS!Q127</f>
        <v>131555.28846153847</v>
      </c>
      <c r="R127" s="106">
        <f>+'NEW CAR'!R127+'GT-SERV'!R127+ACCESS!R127</f>
        <v>131555.28846153847</v>
      </c>
      <c r="S127" s="106">
        <f>+'NEW CAR'!S127+'GT-SERV'!S127+ACCESS!S127</f>
        <v>131555.28846153847</v>
      </c>
      <c r="T127" s="106">
        <f>+'NEW CAR'!T127+'GT-SERV'!T127+ACCESS!T127</f>
        <v>131555.28846153847</v>
      </c>
      <c r="U127" s="106">
        <f>+'NEW CAR'!U127+'GT-SERV'!U127+ACCESS!U127</f>
        <v>131555.28846153847</v>
      </c>
      <c r="V127" s="106">
        <f>+'NEW CAR'!V127+'GT-SERV'!V127+ACCESS!V127</f>
        <v>131555.28846153847</v>
      </c>
      <c r="W127" s="106">
        <f>+'NEW CAR'!W127+'GT-SERV'!W127+ACCESS!W127</f>
        <v>132276.44230769231</v>
      </c>
      <c r="X127" s="106">
        <f>+'NEW CAR'!X127+'GT-SERV'!X127+ACCESS!X127</f>
        <v>132276.44230769231</v>
      </c>
      <c r="Y127" s="106">
        <f>+'NEW CAR'!Y127+'GT-SERV'!Y127+ACCESS!Y127</f>
        <v>0</v>
      </c>
      <c r="Z127" s="106">
        <f>+'NEW CAR'!Z127+'GT-SERV'!Z127+ACCESS!Z127</f>
        <v>0</v>
      </c>
      <c r="AA127" s="106">
        <f t="shared" si="103"/>
        <v>1316995.1923076923</v>
      </c>
      <c r="AB127" s="118"/>
      <c r="AC127" s="106">
        <f>+'NEW CAR'!AC127+'GT-SERV'!AC127+ACCESS!AC127</f>
        <v>132276.44230769231</v>
      </c>
      <c r="AD127" s="106">
        <f>+'NEW CAR'!AD127+'GT-SERV'!AD127+ACCESS!AD127</f>
        <v>132276.44230769231</v>
      </c>
      <c r="AE127" s="106">
        <f>+'NEW CAR'!AE127+'GT-SERV'!AE127+ACCESS!AE127</f>
        <v>132276.44230769231</v>
      </c>
      <c r="AF127" s="106">
        <f>+'NEW CAR'!AF127+'GT-SERV'!AF127+ACCESS!AF127</f>
        <v>132276.44230769231</v>
      </c>
      <c r="AG127" s="106">
        <f>+'NEW CAR'!AG127+'GT-SERV'!AG127+ACCESS!AG127</f>
        <v>132276.44230769231</v>
      </c>
      <c r="AH127" s="106">
        <f>+'NEW CAR'!AH127+'GT-SERV'!AH127+ACCESS!AH127</f>
        <v>132276.44230769231</v>
      </c>
      <c r="AI127" s="106">
        <f>+'NEW CAR'!AI127+'GT-SERV'!AI127+ACCESS!AI127</f>
        <v>132276.44230769231</v>
      </c>
      <c r="AJ127" s="106">
        <f>+'NEW CAR'!AJ127+'GT-SERV'!AJ127+ACCESS!AJ127</f>
        <v>132276.44230769231</v>
      </c>
      <c r="AK127" s="106">
        <f>+'NEW CAR'!AK127+'GT-SERV'!AK127+ACCESS!AK127</f>
        <v>132276.44230769231</v>
      </c>
      <c r="AL127" s="106">
        <f>+'NEW CAR'!AL127+'GT-SERV'!AL127+ACCESS!AL127</f>
        <v>132276.44230769231</v>
      </c>
      <c r="AM127" s="106">
        <f>+'NEW CAR'!AM127+'GT-SERV'!AM127+ACCESS!AM127</f>
        <v>132276.44230769231</v>
      </c>
      <c r="AN127" s="106">
        <f>+'NEW CAR'!AN127+'GT-SERV'!AN127+ACCESS!AN127</f>
        <v>132276.44230769231</v>
      </c>
      <c r="AO127" s="106">
        <f t="shared" si="104"/>
        <v>1587317.3076923073</v>
      </c>
    </row>
    <row r="128" spans="1:41" outlineLevel="1">
      <c r="A128" s="106">
        <f>+'NEW CAR'!A128+'GT-SERV'!A128+ACCESS!A128</f>
        <v>138515.91666666666</v>
      </c>
      <c r="B128" s="106">
        <f>+'NEW CAR'!B128+'GT-SERV'!B128+ACCESS!B128</f>
        <v>173937.49999999997</v>
      </c>
      <c r="C128" s="106">
        <f>+'NEW CAR'!C128+'GT-SERV'!C128+ACCESS!C128</f>
        <v>173937.49999999997</v>
      </c>
      <c r="D128" s="106">
        <f>+'NEW CAR'!D128+'GT-SERV'!D128+ACCESS!D128</f>
        <v>173937.49999999997</v>
      </c>
      <c r="E128" s="106">
        <f>+'NEW CAR'!E128+'GT-SERV'!E128+ACCESS!E128</f>
        <v>173937.49999999997</v>
      </c>
      <c r="F128" s="106">
        <f>+'NEW CAR'!F128+'GT-SERV'!F128+ACCESS!F128</f>
        <v>173937.49999999997</v>
      </c>
      <c r="G128" s="106">
        <f>+'NEW CAR'!G128+'GT-SERV'!G128+ACCESS!G128</f>
        <v>173937.49999999997</v>
      </c>
      <c r="H128" s="106">
        <f>+'NEW CAR'!H128+'GT-SERV'!H128+ACCESS!H128</f>
        <v>173937.49999999997</v>
      </c>
      <c r="I128" s="106">
        <f>+'NEW CAR'!I128+'GT-SERV'!I128+ACCESS!I128</f>
        <v>173937.49999999997</v>
      </c>
      <c r="J128" s="106">
        <f>+'NEW CAR'!J128+'GT-SERV'!J128+ACCESS!J128</f>
        <v>173937.49999999997</v>
      </c>
      <c r="K128" s="106">
        <f>+'NEW CAR'!K128+'GT-SERV'!K128+ACCESS!K128</f>
        <v>173937.49999999997</v>
      </c>
      <c r="L128" s="106">
        <f>+'NEW CAR'!L128+'GT-SERV'!L128+ACCESS!L128</f>
        <v>173937.49999999997</v>
      </c>
      <c r="M128" s="106">
        <f t="shared" si="102"/>
        <v>2051828.4166666665</v>
      </c>
      <c r="N128" s="16" t="s">
        <v>226</v>
      </c>
      <c r="O128" s="106">
        <f>+'NEW CAR'!O128+'GT-SERV'!O128+ACCESS!O128</f>
        <v>171333.33333333334</v>
      </c>
      <c r="P128" s="106">
        <f>+'NEW CAR'!P128+'GT-SERV'!P128+ACCESS!P128</f>
        <v>171333.33333333334</v>
      </c>
      <c r="Q128" s="106">
        <f>+'NEW CAR'!Q128+'GT-SERV'!Q128+ACCESS!Q128</f>
        <v>171333.33333333334</v>
      </c>
      <c r="R128" s="106">
        <f>+'NEW CAR'!R128+'GT-SERV'!R128+ACCESS!R128</f>
        <v>171333.33333333334</v>
      </c>
      <c r="S128" s="106">
        <f>+'NEW CAR'!S128+'GT-SERV'!S128+ACCESS!S128</f>
        <v>171333.33333333334</v>
      </c>
      <c r="T128" s="106">
        <f>+'NEW CAR'!T128+'GT-SERV'!T128+ACCESS!T128</f>
        <v>171333.33333333334</v>
      </c>
      <c r="U128" s="106">
        <f>+'NEW CAR'!U128+'GT-SERV'!U128+ACCESS!U128</f>
        <v>171333.33333333334</v>
      </c>
      <c r="V128" s="106">
        <f>+'NEW CAR'!V128+'GT-SERV'!V128+ACCESS!V128</f>
        <v>171333.33333333334</v>
      </c>
      <c r="W128" s="106">
        <f>+'NEW CAR'!W128+'GT-SERV'!W128+ACCESS!W128</f>
        <v>172416.66666666669</v>
      </c>
      <c r="X128" s="106">
        <f>+'NEW CAR'!X128+'GT-SERV'!X128+ACCESS!X128</f>
        <v>172416.66666666669</v>
      </c>
      <c r="Y128" s="106">
        <f>+'NEW CAR'!Y128+'GT-SERV'!Y128+ACCESS!Y128</f>
        <v>0</v>
      </c>
      <c r="Z128" s="106">
        <f>+'NEW CAR'!Z128+'GT-SERV'!Z128+ACCESS!Z128</f>
        <v>0</v>
      </c>
      <c r="AA128" s="106">
        <f t="shared" si="103"/>
        <v>1715500.0000000002</v>
      </c>
      <c r="AB128" s="118"/>
      <c r="AC128" s="106">
        <f>+'NEW CAR'!AC128+'GT-SERV'!AC128+ACCESS!AC128</f>
        <v>172416.66666666669</v>
      </c>
      <c r="AD128" s="106">
        <f>+'NEW CAR'!AD128+'GT-SERV'!AD128+ACCESS!AD128</f>
        <v>172416.66666666669</v>
      </c>
      <c r="AE128" s="106">
        <f>+'NEW CAR'!AE128+'GT-SERV'!AE128+ACCESS!AE128</f>
        <v>172416.66666666669</v>
      </c>
      <c r="AF128" s="106">
        <f>+'NEW CAR'!AF128+'GT-SERV'!AF128+ACCESS!AF128</f>
        <v>172416.66666666669</v>
      </c>
      <c r="AG128" s="106">
        <f>+'NEW CAR'!AG128+'GT-SERV'!AG128+ACCESS!AG128</f>
        <v>172416.66666666669</v>
      </c>
      <c r="AH128" s="106">
        <f>+'NEW CAR'!AH128+'GT-SERV'!AH128+ACCESS!AH128</f>
        <v>172416.66666666669</v>
      </c>
      <c r="AI128" s="106">
        <f>+'NEW CAR'!AI128+'GT-SERV'!AI128+ACCESS!AI128</f>
        <v>172416.66666666669</v>
      </c>
      <c r="AJ128" s="106">
        <f>+'NEW CAR'!AJ128+'GT-SERV'!AJ128+ACCESS!AJ128</f>
        <v>172416.66666666669</v>
      </c>
      <c r="AK128" s="106">
        <f>+'NEW CAR'!AK128+'GT-SERV'!AK128+ACCESS!AK128</f>
        <v>172416.66666666669</v>
      </c>
      <c r="AL128" s="106">
        <f>+'NEW CAR'!AL128+'GT-SERV'!AL128+ACCESS!AL128</f>
        <v>172416.66666666669</v>
      </c>
      <c r="AM128" s="106">
        <f>+'NEW CAR'!AM128+'GT-SERV'!AM128+ACCESS!AM128</f>
        <v>172416.66666666669</v>
      </c>
      <c r="AN128" s="106">
        <f>+'NEW CAR'!AN128+'GT-SERV'!AN128+ACCESS!AN128</f>
        <v>172416.66666666669</v>
      </c>
      <c r="AO128" s="106">
        <f t="shared" si="104"/>
        <v>2069000.0000000007</v>
      </c>
    </row>
    <row r="129" spans="1:42" outlineLevel="1">
      <c r="A129" s="58">
        <f t="shared" ref="A129:M129" si="105">+SUM(A130:A132)</f>
        <v>323916.66666666669</v>
      </c>
      <c r="B129" s="58">
        <f t="shared" si="105"/>
        <v>323916.66666666669</v>
      </c>
      <c r="C129" s="58">
        <f t="shared" si="105"/>
        <v>323916.66666666669</v>
      </c>
      <c r="D129" s="58">
        <f t="shared" si="105"/>
        <v>323916.66666666669</v>
      </c>
      <c r="E129" s="58">
        <f t="shared" si="105"/>
        <v>371284.66666666669</v>
      </c>
      <c r="F129" s="58">
        <f t="shared" si="105"/>
        <v>323916.66666666669</v>
      </c>
      <c r="G129" s="58">
        <f t="shared" si="105"/>
        <v>323916.66666666669</v>
      </c>
      <c r="H129" s="58">
        <f t="shared" si="105"/>
        <v>323916.66666666669</v>
      </c>
      <c r="I129" s="58">
        <f t="shared" si="105"/>
        <v>323916.66666666669</v>
      </c>
      <c r="J129" s="58">
        <f t="shared" si="105"/>
        <v>323916.66666666669</v>
      </c>
      <c r="K129" s="58">
        <f t="shared" si="105"/>
        <v>323916.66666666669</v>
      </c>
      <c r="L129" s="58">
        <f t="shared" si="105"/>
        <v>323916.66666666669</v>
      </c>
      <c r="M129" s="58">
        <f t="shared" si="105"/>
        <v>3934367.9999999995</v>
      </c>
      <c r="N129" s="20" t="s">
        <v>106</v>
      </c>
      <c r="O129" s="58">
        <f t="shared" ref="O129:AA129" si="106">+SUM(O130:O132)</f>
        <v>399750</v>
      </c>
      <c r="P129" s="58">
        <f t="shared" si="106"/>
        <v>3000</v>
      </c>
      <c r="Q129" s="58">
        <f t="shared" si="106"/>
        <v>0</v>
      </c>
      <c r="R129" s="58">
        <f t="shared" si="106"/>
        <v>0</v>
      </c>
      <c r="S129" s="58">
        <f t="shared" si="106"/>
        <v>0</v>
      </c>
      <c r="T129" s="58">
        <f t="shared" si="106"/>
        <v>340000</v>
      </c>
      <c r="U129" s="58">
        <f t="shared" si="106"/>
        <v>372482</v>
      </c>
      <c r="V129" s="58">
        <f t="shared" si="106"/>
        <v>37711.800000000003</v>
      </c>
      <c r="W129" s="58">
        <f t="shared" si="106"/>
        <v>240350</v>
      </c>
      <c r="X129" s="58">
        <f t="shared" si="106"/>
        <v>317127.7</v>
      </c>
      <c r="Y129" s="58">
        <f t="shared" si="106"/>
        <v>0</v>
      </c>
      <c r="Z129" s="58">
        <f t="shared" si="106"/>
        <v>0</v>
      </c>
      <c r="AA129" s="58">
        <f t="shared" si="106"/>
        <v>1710421.5</v>
      </c>
      <c r="AB129" s="118"/>
      <c r="AC129" s="58">
        <f t="shared" ref="AC129:AO129" si="107">+SUM(AC130:AC132)</f>
        <v>353500</v>
      </c>
      <c r="AD129" s="58">
        <f t="shared" si="107"/>
        <v>353500</v>
      </c>
      <c r="AE129" s="58">
        <f t="shared" si="107"/>
        <v>353500</v>
      </c>
      <c r="AF129" s="58">
        <f t="shared" si="107"/>
        <v>353500</v>
      </c>
      <c r="AG129" s="58">
        <f t="shared" si="107"/>
        <v>353500</v>
      </c>
      <c r="AH129" s="58">
        <f t="shared" si="107"/>
        <v>353500</v>
      </c>
      <c r="AI129" s="58">
        <f t="shared" si="107"/>
        <v>353500</v>
      </c>
      <c r="AJ129" s="58">
        <f t="shared" si="107"/>
        <v>353500</v>
      </c>
      <c r="AK129" s="58">
        <f t="shared" si="107"/>
        <v>353500</v>
      </c>
      <c r="AL129" s="58">
        <f t="shared" si="107"/>
        <v>353500</v>
      </c>
      <c r="AM129" s="58">
        <f t="shared" si="107"/>
        <v>353500</v>
      </c>
      <c r="AN129" s="58">
        <f t="shared" si="107"/>
        <v>353500</v>
      </c>
      <c r="AO129" s="58">
        <f t="shared" si="107"/>
        <v>4242000</v>
      </c>
    </row>
    <row r="130" spans="1:42" outlineLevel="1">
      <c r="A130" s="106">
        <f>+'NEW CAR'!A130+'GT-SERV'!A130+ACCESS!A130</f>
        <v>0</v>
      </c>
      <c r="B130" s="106">
        <f>+'NEW CAR'!B130+'GT-SERV'!B130+ACCESS!B130</f>
        <v>0</v>
      </c>
      <c r="C130" s="106">
        <f>+'NEW CAR'!C130+'GT-SERV'!C130+ACCESS!C130</f>
        <v>0</v>
      </c>
      <c r="D130" s="106">
        <f>+'NEW CAR'!D130+'GT-SERV'!D130+ACCESS!D130</f>
        <v>0</v>
      </c>
      <c r="E130" s="106">
        <f>+'NEW CAR'!E130+'GT-SERV'!E130+ACCESS!E130</f>
        <v>47368</v>
      </c>
      <c r="F130" s="106">
        <f>+'NEW CAR'!F130+'GT-SERV'!F130+ACCESS!F130</f>
        <v>0</v>
      </c>
      <c r="G130" s="106">
        <f>+'NEW CAR'!G130+'GT-SERV'!G130+ACCESS!G130</f>
        <v>0</v>
      </c>
      <c r="H130" s="106">
        <f>+'NEW CAR'!H130+'GT-SERV'!H130+ACCESS!H130</f>
        <v>0</v>
      </c>
      <c r="I130" s="106">
        <f>+'NEW CAR'!I130+'GT-SERV'!I130+ACCESS!I130</f>
        <v>0</v>
      </c>
      <c r="J130" s="106">
        <f>+'NEW CAR'!J130+'GT-SERV'!J130+ACCESS!J130</f>
        <v>0</v>
      </c>
      <c r="K130" s="106">
        <f>+'NEW CAR'!K130+'GT-SERV'!K130+ACCESS!K130</f>
        <v>0</v>
      </c>
      <c r="L130" s="106">
        <f>+'NEW CAR'!L130+'GT-SERV'!L130+ACCESS!L130</f>
        <v>0</v>
      </c>
      <c r="M130" s="106">
        <f t="shared" ref="M130:M132" si="108">+SUM(A130:L130)</f>
        <v>47368</v>
      </c>
      <c r="N130" s="16" t="s">
        <v>107</v>
      </c>
      <c r="O130" s="106">
        <f>+'NEW CAR'!O130+'GT-SERV'!O130+ACCESS!O130</f>
        <v>0</v>
      </c>
      <c r="P130" s="106">
        <f>+'NEW CAR'!P130+'GT-SERV'!P130+ACCESS!P130</f>
        <v>3000</v>
      </c>
      <c r="Q130" s="106">
        <f>+'NEW CAR'!Q130+'GT-SERV'!Q130+ACCESS!Q130</f>
        <v>0</v>
      </c>
      <c r="R130" s="106">
        <f>+'NEW CAR'!R130+'GT-SERV'!R130+ACCESS!R130</f>
        <v>0</v>
      </c>
      <c r="S130" s="106">
        <f>+'NEW CAR'!S130+'GT-SERV'!S130+ACCESS!S130</f>
        <v>0</v>
      </c>
      <c r="T130" s="106">
        <f>+'NEW CAR'!T130+'GT-SERV'!T130+ACCESS!T130</f>
        <v>0</v>
      </c>
      <c r="U130" s="106">
        <f>+'NEW CAR'!U130+'GT-SERV'!U130+ACCESS!U130</f>
        <v>266000</v>
      </c>
      <c r="V130" s="106">
        <f>+'NEW CAR'!V130+'GT-SERV'!V130+ACCESS!V130</f>
        <v>37711.800000000003</v>
      </c>
      <c r="W130" s="106">
        <f>+'NEW CAR'!W130+'GT-SERV'!W130+ACCESS!W130</f>
        <v>180350</v>
      </c>
      <c r="X130" s="106">
        <f>+'NEW CAR'!X130+'GT-SERV'!X130+ACCESS!X130</f>
        <v>317127.7</v>
      </c>
      <c r="Y130" s="106">
        <f>+'NEW CAR'!Y130+'GT-SERV'!Y130+ACCESS!Y130</f>
        <v>0</v>
      </c>
      <c r="Z130" s="106">
        <f>+'NEW CAR'!Z130+'GT-SERV'!Z130+ACCESS!Z130</f>
        <v>0</v>
      </c>
      <c r="AA130" s="106">
        <f t="shared" ref="AA130:AA132" si="109">+SUM(O130:Z130)</f>
        <v>804189.5</v>
      </c>
      <c r="AB130" s="118"/>
      <c r="AC130" s="106">
        <f>+'NEW CAR'!AC130+'GT-SERV'!AC130+ACCESS!AC130</f>
        <v>0</v>
      </c>
      <c r="AD130" s="106">
        <f>+'NEW CAR'!AD130+'GT-SERV'!AD130+ACCESS!AD130</f>
        <v>0</v>
      </c>
      <c r="AE130" s="106">
        <f>+'NEW CAR'!AE130+'GT-SERV'!AE130+ACCESS!AE130</f>
        <v>0</v>
      </c>
      <c r="AF130" s="106">
        <f>+'NEW CAR'!AF130+'GT-SERV'!AF130+ACCESS!AF130</f>
        <v>0</v>
      </c>
      <c r="AG130" s="106">
        <f>+'NEW CAR'!AG130+'GT-SERV'!AG130+ACCESS!AG130</f>
        <v>0</v>
      </c>
      <c r="AH130" s="106">
        <f>+'NEW CAR'!AH130+'GT-SERV'!AH130+ACCESS!AH130</f>
        <v>0</v>
      </c>
      <c r="AI130" s="106">
        <f>+'NEW CAR'!AI130+'GT-SERV'!AI130+ACCESS!AI130</f>
        <v>0</v>
      </c>
      <c r="AJ130" s="106">
        <f>+'NEW CAR'!AJ130+'GT-SERV'!AJ130+ACCESS!AJ130</f>
        <v>0</v>
      </c>
      <c r="AK130" s="106">
        <f>+'NEW CAR'!AK130+'GT-SERV'!AK130+ACCESS!AK130</f>
        <v>0</v>
      </c>
      <c r="AL130" s="106">
        <f>+'NEW CAR'!AL130+'GT-SERV'!AL130+ACCESS!AL130</f>
        <v>0</v>
      </c>
      <c r="AM130" s="106">
        <f>+'NEW CAR'!AM130+'GT-SERV'!AM130+ACCESS!AM130</f>
        <v>0</v>
      </c>
      <c r="AN130" s="106">
        <f>+'NEW CAR'!AN130+'GT-SERV'!AN130+ACCESS!AN130</f>
        <v>0</v>
      </c>
      <c r="AO130" s="106">
        <f t="shared" ref="AO130:AO132" si="110">+SUM(AC130:AN130)</f>
        <v>0</v>
      </c>
    </row>
    <row r="131" spans="1:42" outlineLevel="1">
      <c r="A131" s="106">
        <f>+'NEW CAR'!A131+'GT-SERV'!A131+ACCESS!A131</f>
        <v>0</v>
      </c>
      <c r="B131" s="106">
        <f>+'NEW CAR'!B131+'GT-SERV'!B131+ACCESS!B131</f>
        <v>0</v>
      </c>
      <c r="C131" s="106">
        <f>+'NEW CAR'!C131+'GT-SERV'!C131+ACCESS!C131</f>
        <v>0</v>
      </c>
      <c r="D131" s="106">
        <f>+'NEW CAR'!D131+'GT-SERV'!D131+ACCESS!D131</f>
        <v>0</v>
      </c>
      <c r="E131" s="106">
        <f>+'NEW CAR'!E131+'GT-SERV'!E131+ACCESS!E131</f>
        <v>0</v>
      </c>
      <c r="F131" s="106">
        <f>+'NEW CAR'!F131+'GT-SERV'!F131+ACCESS!F131</f>
        <v>0</v>
      </c>
      <c r="G131" s="106">
        <f>+'NEW CAR'!G131+'GT-SERV'!G131+ACCESS!G131</f>
        <v>0</v>
      </c>
      <c r="H131" s="106">
        <f>+'NEW CAR'!H131+'GT-SERV'!H131+ACCESS!H131</f>
        <v>0</v>
      </c>
      <c r="I131" s="106">
        <f>+'NEW CAR'!I131+'GT-SERV'!I131+ACCESS!I131</f>
        <v>0</v>
      </c>
      <c r="J131" s="106">
        <f>+'NEW CAR'!J131+'GT-SERV'!J131+ACCESS!J131</f>
        <v>0</v>
      </c>
      <c r="K131" s="106">
        <f>+'NEW CAR'!K131+'GT-SERV'!K131+ACCESS!K131</f>
        <v>0</v>
      </c>
      <c r="L131" s="106">
        <f>+'NEW CAR'!L131+'GT-SERV'!L131+ACCESS!L131</f>
        <v>0</v>
      </c>
      <c r="M131" s="106">
        <f t="shared" si="108"/>
        <v>0</v>
      </c>
      <c r="N131" s="16" t="s">
        <v>108</v>
      </c>
      <c r="O131" s="106">
        <f>+'NEW CAR'!O131+'GT-SERV'!O131+ACCESS!O131</f>
        <v>0</v>
      </c>
      <c r="P131" s="106">
        <f>+'NEW CAR'!P131+'GT-SERV'!P131+ACCESS!P131</f>
        <v>0</v>
      </c>
      <c r="Q131" s="106">
        <f>+'NEW CAR'!Q131+'GT-SERV'!Q131+ACCESS!Q131</f>
        <v>0</v>
      </c>
      <c r="R131" s="106">
        <f>+'NEW CAR'!R131+'GT-SERV'!R131+ACCESS!R131</f>
        <v>0</v>
      </c>
      <c r="S131" s="106">
        <f>+'NEW CAR'!S131+'GT-SERV'!S131+ACCESS!S131</f>
        <v>0</v>
      </c>
      <c r="T131" s="106">
        <f>+'NEW CAR'!T131+'GT-SERV'!T131+ACCESS!T131</f>
        <v>0</v>
      </c>
      <c r="U131" s="106">
        <f>+'NEW CAR'!U131+'GT-SERV'!U131+ACCESS!U131</f>
        <v>0</v>
      </c>
      <c r="V131" s="106">
        <f>+'NEW CAR'!V131+'GT-SERV'!V131+ACCESS!V131</f>
        <v>0</v>
      </c>
      <c r="W131" s="106">
        <f>+'NEW CAR'!W131+'GT-SERV'!W131+ACCESS!W131</f>
        <v>0</v>
      </c>
      <c r="X131" s="106">
        <f>+'NEW CAR'!X131+'GT-SERV'!X131+ACCESS!X131</f>
        <v>0</v>
      </c>
      <c r="Y131" s="106">
        <f>+'NEW CAR'!Y131+'GT-SERV'!Y131+ACCESS!Y131</f>
        <v>0</v>
      </c>
      <c r="Z131" s="106">
        <f>+'NEW CAR'!Z131+'GT-SERV'!Z131+ACCESS!Z131</f>
        <v>0</v>
      </c>
      <c r="AA131" s="106">
        <f t="shared" si="109"/>
        <v>0</v>
      </c>
      <c r="AB131" s="118"/>
      <c r="AC131" s="106">
        <f>+'NEW CAR'!AC131+'GT-SERV'!AC131+ACCESS!AC131</f>
        <v>0</v>
      </c>
      <c r="AD131" s="106">
        <f>+'NEW CAR'!AD131+'GT-SERV'!AD131+ACCESS!AD131</f>
        <v>0</v>
      </c>
      <c r="AE131" s="106">
        <f>+'NEW CAR'!AE131+'GT-SERV'!AE131+ACCESS!AE131</f>
        <v>0</v>
      </c>
      <c r="AF131" s="106">
        <f>+'NEW CAR'!AF131+'GT-SERV'!AF131+ACCESS!AF131</f>
        <v>0</v>
      </c>
      <c r="AG131" s="106">
        <f>+'NEW CAR'!AG131+'GT-SERV'!AG131+ACCESS!AG131</f>
        <v>0</v>
      </c>
      <c r="AH131" s="106">
        <f>+'NEW CAR'!AH131+'GT-SERV'!AH131+ACCESS!AH131</f>
        <v>0</v>
      </c>
      <c r="AI131" s="106">
        <f>+'NEW CAR'!AI131+'GT-SERV'!AI131+ACCESS!AI131</f>
        <v>0</v>
      </c>
      <c r="AJ131" s="106">
        <f>+'NEW CAR'!AJ131+'GT-SERV'!AJ131+ACCESS!AJ131</f>
        <v>0</v>
      </c>
      <c r="AK131" s="106">
        <f>+'NEW CAR'!AK131+'GT-SERV'!AK131+ACCESS!AK131</f>
        <v>0</v>
      </c>
      <c r="AL131" s="106">
        <f>+'NEW CAR'!AL131+'GT-SERV'!AL131+ACCESS!AL131</f>
        <v>0</v>
      </c>
      <c r="AM131" s="106">
        <f>+'NEW CAR'!AM131+'GT-SERV'!AM131+ACCESS!AM131</f>
        <v>0</v>
      </c>
      <c r="AN131" s="106">
        <f>+'NEW CAR'!AN131+'GT-SERV'!AN131+ACCESS!AN131</f>
        <v>0</v>
      </c>
      <c r="AO131" s="106">
        <f t="shared" si="110"/>
        <v>0</v>
      </c>
    </row>
    <row r="132" spans="1:42" outlineLevel="1">
      <c r="A132" s="106">
        <f>+'NEW CAR'!A132+'GT-SERV'!A132+ACCESS!A132</f>
        <v>323916.66666666669</v>
      </c>
      <c r="B132" s="106">
        <f>+'NEW CAR'!B132+'GT-SERV'!B132+ACCESS!B132</f>
        <v>323916.66666666669</v>
      </c>
      <c r="C132" s="106">
        <f>+'NEW CAR'!C132+'GT-SERV'!C132+ACCESS!C132</f>
        <v>323916.66666666669</v>
      </c>
      <c r="D132" s="106">
        <f>+'NEW CAR'!D132+'GT-SERV'!D132+ACCESS!D132</f>
        <v>323916.66666666669</v>
      </c>
      <c r="E132" s="106">
        <f>+'NEW CAR'!E132+'GT-SERV'!E132+ACCESS!E132</f>
        <v>323916.66666666669</v>
      </c>
      <c r="F132" s="106">
        <f>+'NEW CAR'!F132+'GT-SERV'!F132+ACCESS!F132</f>
        <v>323916.66666666669</v>
      </c>
      <c r="G132" s="106">
        <f>+'NEW CAR'!G132+'GT-SERV'!G132+ACCESS!G132</f>
        <v>323916.66666666669</v>
      </c>
      <c r="H132" s="106">
        <f>+'NEW CAR'!H132+'GT-SERV'!H132+ACCESS!H132</f>
        <v>323916.66666666669</v>
      </c>
      <c r="I132" s="106">
        <f>+'NEW CAR'!I132+'GT-SERV'!I132+ACCESS!I132</f>
        <v>323916.66666666669</v>
      </c>
      <c r="J132" s="106">
        <f>+'NEW CAR'!J132+'GT-SERV'!J132+ACCESS!J132</f>
        <v>323916.66666666669</v>
      </c>
      <c r="K132" s="106">
        <f>+'NEW CAR'!K132+'GT-SERV'!K132+ACCESS!K132</f>
        <v>323916.66666666669</v>
      </c>
      <c r="L132" s="106">
        <f>+'NEW CAR'!L132+'GT-SERV'!L132+ACCESS!L132</f>
        <v>323916.66666666669</v>
      </c>
      <c r="M132" s="106">
        <f t="shared" si="108"/>
        <v>3886999.9999999995</v>
      </c>
      <c r="N132" s="16" t="s">
        <v>109</v>
      </c>
      <c r="O132" s="106">
        <f>+'NEW CAR'!O132+'GT-SERV'!O132+ACCESS!O132</f>
        <v>399750</v>
      </c>
      <c r="P132" s="106">
        <f>+'NEW CAR'!P132+'GT-SERV'!P132+ACCESS!P132</f>
        <v>0</v>
      </c>
      <c r="Q132" s="106">
        <f>+'NEW CAR'!Q132+'GT-SERV'!Q132+ACCESS!Q132</f>
        <v>0</v>
      </c>
      <c r="R132" s="106">
        <f>+'NEW CAR'!R132+'GT-SERV'!R132+ACCESS!R132</f>
        <v>0</v>
      </c>
      <c r="S132" s="106">
        <f>+'NEW CAR'!S132+'GT-SERV'!S132+ACCESS!S132</f>
        <v>0</v>
      </c>
      <c r="T132" s="106">
        <f>+'NEW CAR'!T132+'GT-SERV'!T132+ACCESS!T132</f>
        <v>340000</v>
      </c>
      <c r="U132" s="106">
        <f>+'NEW CAR'!U132+'GT-SERV'!U132+ACCESS!U132</f>
        <v>106482</v>
      </c>
      <c r="V132" s="106">
        <f>+'NEW CAR'!V132+'GT-SERV'!V132+ACCESS!V132</f>
        <v>0</v>
      </c>
      <c r="W132" s="106">
        <f>+'NEW CAR'!W132+'GT-SERV'!W132+ACCESS!W132</f>
        <v>60000</v>
      </c>
      <c r="X132" s="106">
        <f>+'NEW CAR'!X132+'GT-SERV'!X132+ACCESS!X132</f>
        <v>0</v>
      </c>
      <c r="Y132" s="106">
        <f>+'NEW CAR'!Y132+'GT-SERV'!Y132+ACCESS!Y132</f>
        <v>0</v>
      </c>
      <c r="Z132" s="106">
        <f>+'NEW CAR'!Z132+'GT-SERV'!Z132+ACCESS!Z132</f>
        <v>0</v>
      </c>
      <c r="AA132" s="106">
        <f t="shared" si="109"/>
        <v>906232</v>
      </c>
      <c r="AB132" s="118"/>
      <c r="AC132" s="106">
        <f>+'NEW CAR'!AC132+'GT-SERV'!AC132+ACCESS!AC132</f>
        <v>353500</v>
      </c>
      <c r="AD132" s="106">
        <f>+'NEW CAR'!AD132+'GT-SERV'!AD132+ACCESS!AD132</f>
        <v>353500</v>
      </c>
      <c r="AE132" s="106">
        <f>+'NEW CAR'!AE132+'GT-SERV'!AE132+ACCESS!AE132</f>
        <v>353500</v>
      </c>
      <c r="AF132" s="106">
        <f>+'NEW CAR'!AF132+'GT-SERV'!AF132+ACCESS!AF132</f>
        <v>353500</v>
      </c>
      <c r="AG132" s="106">
        <f>+'NEW CAR'!AG132+'GT-SERV'!AG132+ACCESS!AG132</f>
        <v>353500</v>
      </c>
      <c r="AH132" s="106">
        <f>+'NEW CAR'!AH132+'GT-SERV'!AH132+ACCESS!AH132</f>
        <v>353500</v>
      </c>
      <c r="AI132" s="106">
        <f>+'NEW CAR'!AI132+'GT-SERV'!AI132+ACCESS!AI132</f>
        <v>353500</v>
      </c>
      <c r="AJ132" s="106">
        <f>+'NEW CAR'!AJ132+'GT-SERV'!AJ132+ACCESS!AJ132</f>
        <v>353500</v>
      </c>
      <c r="AK132" s="106">
        <f>+'NEW CAR'!AK132+'GT-SERV'!AK132+ACCESS!AK132</f>
        <v>353500</v>
      </c>
      <c r="AL132" s="106">
        <f>+'NEW CAR'!AL132+'GT-SERV'!AL132+ACCESS!AL132</f>
        <v>353500</v>
      </c>
      <c r="AM132" s="106">
        <f>+'NEW CAR'!AM132+'GT-SERV'!AM132+ACCESS!AM132</f>
        <v>353500</v>
      </c>
      <c r="AN132" s="106">
        <f>+'NEW CAR'!AN132+'GT-SERV'!AN132+ACCESS!AN132</f>
        <v>353500</v>
      </c>
      <c r="AO132" s="106">
        <f t="shared" si="110"/>
        <v>4242000</v>
      </c>
    </row>
    <row r="133" spans="1:42" outlineLevel="1">
      <c r="A133" s="58">
        <f t="shared" ref="A133:M133" si="111">+SUM(A134:A137)</f>
        <v>75200</v>
      </c>
      <c r="B133" s="58">
        <f t="shared" si="111"/>
        <v>276760.77</v>
      </c>
      <c r="C133" s="58">
        <f t="shared" si="111"/>
        <v>0</v>
      </c>
      <c r="D133" s="58">
        <f t="shared" si="111"/>
        <v>191763.68</v>
      </c>
      <c r="E133" s="58">
        <f t="shared" si="111"/>
        <v>376858.47</v>
      </c>
      <c r="F133" s="58">
        <f t="shared" si="111"/>
        <v>310458.67000000004</v>
      </c>
      <c r="G133" s="58">
        <f t="shared" si="111"/>
        <v>262219.70999999996</v>
      </c>
      <c r="H133" s="58">
        <f t="shared" si="111"/>
        <v>770749.61</v>
      </c>
      <c r="I133" s="58">
        <f t="shared" si="111"/>
        <v>449569.93</v>
      </c>
      <c r="J133" s="58">
        <f t="shared" si="111"/>
        <v>336986.44</v>
      </c>
      <c r="K133" s="58">
        <f t="shared" si="111"/>
        <v>691450.74</v>
      </c>
      <c r="L133" s="58">
        <f t="shared" si="111"/>
        <v>740556.80000000005</v>
      </c>
      <c r="M133" s="58">
        <f t="shared" si="111"/>
        <v>4482574.8199999994</v>
      </c>
      <c r="N133" s="20" t="s">
        <v>110</v>
      </c>
      <c r="O133" s="58">
        <f t="shared" ref="O133:AA133" si="112">+SUM(O134:O137)</f>
        <v>298628.88</v>
      </c>
      <c r="P133" s="58">
        <f t="shared" si="112"/>
        <v>293924.13</v>
      </c>
      <c r="Q133" s="58">
        <f t="shared" si="112"/>
        <v>691812.16999999993</v>
      </c>
      <c r="R133" s="58">
        <f t="shared" si="112"/>
        <v>373765.42</v>
      </c>
      <c r="S133" s="58">
        <f t="shared" si="112"/>
        <v>28368.100000000006</v>
      </c>
      <c r="T133" s="58">
        <f t="shared" si="112"/>
        <v>563627.6399999999</v>
      </c>
      <c r="U133" s="58">
        <f t="shared" si="112"/>
        <v>553318.89</v>
      </c>
      <c r="V133" s="58">
        <f t="shared" si="112"/>
        <v>410175.36</v>
      </c>
      <c r="W133" s="58">
        <f t="shared" si="112"/>
        <v>228411.51</v>
      </c>
      <c r="X133" s="58">
        <f t="shared" si="112"/>
        <v>753369.78</v>
      </c>
      <c r="Y133" s="58">
        <f t="shared" si="112"/>
        <v>0</v>
      </c>
      <c r="Z133" s="58">
        <f t="shared" si="112"/>
        <v>0</v>
      </c>
      <c r="AA133" s="58">
        <f t="shared" si="112"/>
        <v>4195401.88</v>
      </c>
      <c r="AB133" s="118"/>
      <c r="AC133" s="58">
        <f t="shared" ref="AC133:AO133" si="113">+SUM(AC134:AC137)</f>
        <v>391546.97902916663</v>
      </c>
      <c r="AD133" s="58">
        <f t="shared" si="113"/>
        <v>391546.97902916663</v>
      </c>
      <c r="AE133" s="58">
        <f t="shared" si="113"/>
        <v>391546.97902916663</v>
      </c>
      <c r="AF133" s="58">
        <f t="shared" si="113"/>
        <v>391546.97902916663</v>
      </c>
      <c r="AG133" s="58">
        <f t="shared" si="113"/>
        <v>391546.97902916663</v>
      </c>
      <c r="AH133" s="58">
        <f t="shared" si="113"/>
        <v>391546.97902916663</v>
      </c>
      <c r="AI133" s="58">
        <f t="shared" si="113"/>
        <v>391546.97902916663</v>
      </c>
      <c r="AJ133" s="58">
        <f t="shared" si="113"/>
        <v>391546.97902916663</v>
      </c>
      <c r="AK133" s="58">
        <f t="shared" si="113"/>
        <v>391546.97902916663</v>
      </c>
      <c r="AL133" s="58">
        <f t="shared" si="113"/>
        <v>391546.97902916663</v>
      </c>
      <c r="AM133" s="58">
        <f t="shared" si="113"/>
        <v>391546.97902916663</v>
      </c>
      <c r="AN133" s="58">
        <f t="shared" si="113"/>
        <v>391546.97902916663</v>
      </c>
      <c r="AO133" s="58">
        <f t="shared" si="113"/>
        <v>4698563.7483499991</v>
      </c>
    </row>
    <row r="134" spans="1:42" outlineLevel="1">
      <c r="A134" s="106">
        <f>+'NEW CAR'!A134+'GT-SERV'!A134+ACCESS!A134</f>
        <v>0</v>
      </c>
      <c r="B134" s="106">
        <f>+'NEW CAR'!B134+'GT-SERV'!B134+ACCESS!B134</f>
        <v>0</v>
      </c>
      <c r="C134" s="106">
        <f>+'NEW CAR'!C134+'GT-SERV'!C134+ACCESS!C134</f>
        <v>0</v>
      </c>
      <c r="D134" s="106">
        <f>+'NEW CAR'!D134+'GT-SERV'!D134+ACCESS!D134</f>
        <v>0</v>
      </c>
      <c r="E134" s="106">
        <f>+'NEW CAR'!E134+'GT-SERV'!E134+ACCESS!E134</f>
        <v>0</v>
      </c>
      <c r="F134" s="106">
        <f>+'NEW CAR'!F134+'GT-SERV'!F134+ACCESS!F134</f>
        <v>0</v>
      </c>
      <c r="G134" s="106">
        <f>+'NEW CAR'!G134+'GT-SERV'!G134+ACCESS!G134</f>
        <v>0</v>
      </c>
      <c r="H134" s="106">
        <f>+'NEW CAR'!H134+'GT-SERV'!H134+ACCESS!H134</f>
        <v>0</v>
      </c>
      <c r="I134" s="106">
        <f>+'NEW CAR'!I134+'GT-SERV'!I134+ACCESS!I134</f>
        <v>0</v>
      </c>
      <c r="J134" s="106">
        <f>+'NEW CAR'!J134+'GT-SERV'!J134+ACCESS!J134</f>
        <v>0</v>
      </c>
      <c r="K134" s="106">
        <f>+'NEW CAR'!K134+'GT-SERV'!K134+ACCESS!K134</f>
        <v>0</v>
      </c>
      <c r="L134" s="106">
        <f>+'NEW CAR'!L134+'GT-SERV'!L134+ACCESS!L134</f>
        <v>0</v>
      </c>
      <c r="M134" s="106">
        <f t="shared" ref="M134:M137" si="114">+SUM(A134:L134)</f>
        <v>0</v>
      </c>
      <c r="N134" s="16" t="s">
        <v>111</v>
      </c>
      <c r="O134" s="106">
        <f>+'NEW CAR'!O134+'GT-SERV'!O134+ACCESS!O134</f>
        <v>0</v>
      </c>
      <c r="P134" s="106">
        <f>+'NEW CAR'!P134+'GT-SERV'!P134+ACCESS!P134</f>
        <v>0</v>
      </c>
      <c r="Q134" s="106">
        <f>+'NEW CAR'!Q134+'GT-SERV'!Q134+ACCESS!Q134</f>
        <v>0</v>
      </c>
      <c r="R134" s="106">
        <f>+'NEW CAR'!R134+'GT-SERV'!R134+ACCESS!R134</f>
        <v>0</v>
      </c>
      <c r="S134" s="106">
        <f>+'NEW CAR'!S134+'GT-SERV'!S134+ACCESS!S134</f>
        <v>0</v>
      </c>
      <c r="T134" s="106">
        <f>+'NEW CAR'!T134+'GT-SERV'!T134+ACCESS!T134</f>
        <v>0</v>
      </c>
      <c r="U134" s="106">
        <f>+'NEW CAR'!U134+'GT-SERV'!U134+ACCESS!U134</f>
        <v>0</v>
      </c>
      <c r="V134" s="106">
        <f>+'NEW CAR'!V134+'GT-SERV'!V134+ACCESS!V134</f>
        <v>0</v>
      </c>
      <c r="W134" s="106">
        <f>+'NEW CAR'!W134+'GT-SERV'!W134+ACCESS!W134</f>
        <v>0</v>
      </c>
      <c r="X134" s="106">
        <f>+'NEW CAR'!X134+'GT-SERV'!X134+ACCESS!X134</f>
        <v>0</v>
      </c>
      <c r="Y134" s="106">
        <f>+'NEW CAR'!Y134+'GT-SERV'!Y134+ACCESS!Y134</f>
        <v>0</v>
      </c>
      <c r="Z134" s="106">
        <f>+'NEW CAR'!Z134+'GT-SERV'!Z134+ACCESS!Z134</f>
        <v>0</v>
      </c>
      <c r="AA134" s="106">
        <f t="shared" ref="AA134:AA137" si="115">+SUM(O134:Z134)</f>
        <v>0</v>
      </c>
      <c r="AB134" s="118"/>
      <c r="AC134" s="106">
        <f>+'NEW CAR'!AC134+'GT-SERV'!AC134+ACCESS!AC134</f>
        <v>0</v>
      </c>
      <c r="AD134" s="106">
        <f>+'NEW CAR'!AD134+'GT-SERV'!AD134+ACCESS!AD134</f>
        <v>0</v>
      </c>
      <c r="AE134" s="106">
        <f>+'NEW CAR'!AE134+'GT-SERV'!AE134+ACCESS!AE134</f>
        <v>0</v>
      </c>
      <c r="AF134" s="106">
        <f>+'NEW CAR'!AF134+'GT-SERV'!AF134+ACCESS!AF134</f>
        <v>0</v>
      </c>
      <c r="AG134" s="106">
        <f>+'NEW CAR'!AG134+'GT-SERV'!AG134+ACCESS!AG134</f>
        <v>0</v>
      </c>
      <c r="AH134" s="106">
        <f>+'NEW CAR'!AH134+'GT-SERV'!AH134+ACCESS!AH134</f>
        <v>0</v>
      </c>
      <c r="AI134" s="106">
        <f>+'NEW CAR'!AI134+'GT-SERV'!AI134+ACCESS!AI134</f>
        <v>0</v>
      </c>
      <c r="AJ134" s="106">
        <f>+'NEW CAR'!AJ134+'GT-SERV'!AJ134+ACCESS!AJ134</f>
        <v>0</v>
      </c>
      <c r="AK134" s="106">
        <f>+'NEW CAR'!AK134+'GT-SERV'!AK134+ACCESS!AK134</f>
        <v>0</v>
      </c>
      <c r="AL134" s="106">
        <f>+'NEW CAR'!AL134+'GT-SERV'!AL134+ACCESS!AL134</f>
        <v>0</v>
      </c>
      <c r="AM134" s="106">
        <f>+'NEW CAR'!AM134+'GT-SERV'!AM134+ACCESS!AM134</f>
        <v>0</v>
      </c>
      <c r="AN134" s="106">
        <f>+'NEW CAR'!AN134+'GT-SERV'!AN134+ACCESS!AN134</f>
        <v>0</v>
      </c>
      <c r="AO134" s="106">
        <f t="shared" ref="AO134:AO137" si="116">+SUM(AC134:AN134)</f>
        <v>0</v>
      </c>
    </row>
    <row r="135" spans="1:42" outlineLevel="1">
      <c r="A135" s="106">
        <f>+'NEW CAR'!A135+'GT-SERV'!A135+ACCESS!A135</f>
        <v>0</v>
      </c>
      <c r="B135" s="106">
        <f>+'NEW CAR'!B135+'GT-SERV'!B135+ACCESS!B135</f>
        <v>276760.77</v>
      </c>
      <c r="C135" s="106">
        <f>+'NEW CAR'!C135+'GT-SERV'!C135+ACCESS!C135</f>
        <v>0</v>
      </c>
      <c r="D135" s="106">
        <f>+'NEW CAR'!D135+'GT-SERV'!D135+ACCESS!D135</f>
        <v>191763.68</v>
      </c>
      <c r="E135" s="106">
        <f>+'NEW CAR'!E135+'GT-SERV'!E135+ACCESS!E135</f>
        <v>376858.47</v>
      </c>
      <c r="F135" s="106">
        <f>+'NEW CAR'!F135+'GT-SERV'!F135+ACCESS!F135</f>
        <v>310458.67000000004</v>
      </c>
      <c r="G135" s="106">
        <f>+'NEW CAR'!G135+'GT-SERV'!G135+ACCESS!G135</f>
        <v>262219.70999999996</v>
      </c>
      <c r="H135" s="106">
        <f>+'NEW CAR'!H135+'GT-SERV'!H135+ACCESS!H135</f>
        <v>770749.61</v>
      </c>
      <c r="I135" s="106">
        <f>+'NEW CAR'!I135+'GT-SERV'!I135+ACCESS!I135</f>
        <v>449569.93</v>
      </c>
      <c r="J135" s="106">
        <f>+'NEW CAR'!J135+'GT-SERV'!J135+ACCESS!J135</f>
        <v>336986.44</v>
      </c>
      <c r="K135" s="106">
        <f>+'NEW CAR'!K135+'GT-SERV'!K135+ACCESS!K135</f>
        <v>691450.74</v>
      </c>
      <c r="L135" s="106">
        <f>+'NEW CAR'!L135+'GT-SERV'!L135+ACCESS!L135</f>
        <v>740556.80000000005</v>
      </c>
      <c r="M135" s="106">
        <f t="shared" si="114"/>
        <v>4407374.8199999994</v>
      </c>
      <c r="N135" s="16" t="s">
        <v>112</v>
      </c>
      <c r="O135" s="106">
        <f>+'NEW CAR'!O135+'GT-SERV'!O135+ACCESS!O135</f>
        <v>298628.88</v>
      </c>
      <c r="P135" s="106">
        <f>+'NEW CAR'!P135+'GT-SERV'!P135+ACCESS!P135</f>
        <v>293924.13</v>
      </c>
      <c r="Q135" s="106">
        <f>+'NEW CAR'!Q135+'GT-SERV'!Q135+ACCESS!Q135</f>
        <v>691812.16999999993</v>
      </c>
      <c r="R135" s="106">
        <f>+'NEW CAR'!R135+'GT-SERV'!R135+ACCESS!R135</f>
        <v>373765.42</v>
      </c>
      <c r="S135" s="106">
        <f>+'NEW CAR'!S135+'GT-SERV'!S135+ACCESS!S135</f>
        <v>131071.1</v>
      </c>
      <c r="T135" s="106">
        <f>+'NEW CAR'!T135+'GT-SERV'!T135+ACCESS!T135</f>
        <v>563627.6399999999</v>
      </c>
      <c r="U135" s="106">
        <f>+'NEW CAR'!U135+'GT-SERV'!U135+ACCESS!U135</f>
        <v>95987.12</v>
      </c>
      <c r="V135" s="106">
        <f>+'NEW CAR'!V135+'GT-SERV'!V135+ACCESS!V135</f>
        <v>410175.36</v>
      </c>
      <c r="W135" s="106">
        <f>+'NEW CAR'!W135+'GT-SERV'!W135+ACCESS!W135</f>
        <v>228411.51</v>
      </c>
      <c r="X135" s="106">
        <f>+'NEW CAR'!X135+'GT-SERV'!X135+ACCESS!X135</f>
        <v>332355.90000000002</v>
      </c>
      <c r="Y135" s="106">
        <f>+'NEW CAR'!Y135+'GT-SERV'!Y135+ACCESS!Y135</f>
        <v>0</v>
      </c>
      <c r="Z135" s="106">
        <f>+'NEW CAR'!Z135+'GT-SERV'!Z135+ACCESS!Z135</f>
        <v>0</v>
      </c>
      <c r="AA135" s="106">
        <f t="shared" si="115"/>
        <v>3419759.23</v>
      </c>
      <c r="AB135" s="118"/>
      <c r="AC135" s="106">
        <f>+'NEW CAR'!AC135+'GT-SERV'!AC135+ACCESS!AC135</f>
        <v>391546.97902916663</v>
      </c>
      <c r="AD135" s="106">
        <f>+'NEW CAR'!AD135+'GT-SERV'!AD135+ACCESS!AD135</f>
        <v>391546.97902916663</v>
      </c>
      <c r="AE135" s="106">
        <f>+'NEW CAR'!AE135+'GT-SERV'!AE135+ACCESS!AE135</f>
        <v>391546.97902916663</v>
      </c>
      <c r="AF135" s="106">
        <f>+'NEW CAR'!AF135+'GT-SERV'!AF135+ACCESS!AF135</f>
        <v>391546.97902916663</v>
      </c>
      <c r="AG135" s="106">
        <f>+'NEW CAR'!AG135+'GT-SERV'!AG135+ACCESS!AG135</f>
        <v>391546.97902916663</v>
      </c>
      <c r="AH135" s="106">
        <f>+'NEW CAR'!AH135+'GT-SERV'!AH135+ACCESS!AH135</f>
        <v>391546.97902916663</v>
      </c>
      <c r="AI135" s="106">
        <f>+'NEW CAR'!AI135+'GT-SERV'!AI135+ACCESS!AI135</f>
        <v>391546.97902916663</v>
      </c>
      <c r="AJ135" s="106">
        <f>+'NEW CAR'!AJ135+'GT-SERV'!AJ135+ACCESS!AJ135</f>
        <v>391546.97902916663</v>
      </c>
      <c r="AK135" s="106">
        <f>+'NEW CAR'!AK135+'GT-SERV'!AK135+ACCESS!AK135</f>
        <v>391546.97902916663</v>
      </c>
      <c r="AL135" s="106">
        <f>+'NEW CAR'!AL135+'GT-SERV'!AL135+ACCESS!AL135</f>
        <v>391546.97902916663</v>
      </c>
      <c r="AM135" s="106">
        <f>+'NEW CAR'!AM135+'GT-SERV'!AM135+ACCESS!AM135</f>
        <v>391546.97902916663</v>
      </c>
      <c r="AN135" s="106">
        <f>+'NEW CAR'!AN135+'GT-SERV'!AN135+ACCESS!AN135</f>
        <v>391546.97902916663</v>
      </c>
      <c r="AO135" s="106">
        <f t="shared" si="116"/>
        <v>4698563.7483499991</v>
      </c>
    </row>
    <row r="136" spans="1:42" outlineLevel="1">
      <c r="A136" s="106">
        <f>+'NEW CAR'!A136+'GT-SERV'!A136+ACCESS!A136</f>
        <v>0</v>
      </c>
      <c r="B136" s="106">
        <f>+'NEW CAR'!B136+'GT-SERV'!B136+ACCESS!B136</f>
        <v>0</v>
      </c>
      <c r="C136" s="106">
        <f>+'NEW CAR'!C136+'GT-SERV'!C136+ACCESS!C136</f>
        <v>0</v>
      </c>
      <c r="D136" s="106">
        <f>+'NEW CAR'!D136+'GT-SERV'!D136+ACCESS!D136</f>
        <v>0</v>
      </c>
      <c r="E136" s="106">
        <f>+'NEW CAR'!E136+'GT-SERV'!E136+ACCESS!E136</f>
        <v>0</v>
      </c>
      <c r="F136" s="106">
        <f>+'NEW CAR'!F136+'GT-SERV'!F136+ACCESS!F136</f>
        <v>0</v>
      </c>
      <c r="G136" s="106">
        <f>+'NEW CAR'!G136+'GT-SERV'!G136+ACCESS!G136</f>
        <v>0</v>
      </c>
      <c r="H136" s="106">
        <f>+'NEW CAR'!H136+'GT-SERV'!H136+ACCESS!H136</f>
        <v>0</v>
      </c>
      <c r="I136" s="106">
        <f>+'NEW CAR'!I136+'GT-SERV'!I136+ACCESS!I136</f>
        <v>0</v>
      </c>
      <c r="J136" s="106">
        <f>+'NEW CAR'!J136+'GT-SERV'!J136+ACCESS!J136</f>
        <v>0</v>
      </c>
      <c r="K136" s="106">
        <f>+'NEW CAR'!K136+'GT-SERV'!K136+ACCESS!K136</f>
        <v>0</v>
      </c>
      <c r="L136" s="106">
        <f>+'NEW CAR'!L136+'GT-SERV'!L136+ACCESS!L136</f>
        <v>0</v>
      </c>
      <c r="M136" s="106">
        <f t="shared" si="114"/>
        <v>0</v>
      </c>
      <c r="N136" s="16" t="s">
        <v>113</v>
      </c>
      <c r="O136" s="106">
        <f>+'NEW CAR'!O136+'GT-SERV'!O136+ACCESS!O136</f>
        <v>0</v>
      </c>
      <c r="P136" s="106">
        <f>+'NEW CAR'!P136+'GT-SERV'!P136+ACCESS!P136</f>
        <v>0</v>
      </c>
      <c r="Q136" s="106">
        <f>+'NEW CAR'!Q136+'GT-SERV'!Q136+ACCESS!Q136</f>
        <v>0</v>
      </c>
      <c r="R136" s="106">
        <f>+'NEW CAR'!R136+'GT-SERV'!R136+ACCESS!R136</f>
        <v>0</v>
      </c>
      <c r="S136" s="106">
        <f>+'NEW CAR'!S136+'GT-SERV'!S136+ACCESS!S136</f>
        <v>0</v>
      </c>
      <c r="T136" s="106">
        <f>+'NEW CAR'!T136+'GT-SERV'!T136+ACCESS!T136</f>
        <v>0</v>
      </c>
      <c r="U136" s="106">
        <f>+'NEW CAR'!U136+'GT-SERV'!U136+ACCESS!U136</f>
        <v>0</v>
      </c>
      <c r="V136" s="106">
        <f>+'NEW CAR'!V136+'GT-SERV'!V136+ACCESS!V136</f>
        <v>0</v>
      </c>
      <c r="W136" s="106">
        <f>+'NEW CAR'!W136+'GT-SERV'!W136+ACCESS!W136</f>
        <v>0</v>
      </c>
      <c r="X136" s="106">
        <f>+'NEW CAR'!X136+'GT-SERV'!X136+ACCESS!X136</f>
        <v>0</v>
      </c>
      <c r="Y136" s="106">
        <f>+'NEW CAR'!Y136+'GT-SERV'!Y136+ACCESS!Y136</f>
        <v>0</v>
      </c>
      <c r="Z136" s="106">
        <f>+'NEW CAR'!Z136+'GT-SERV'!Z136+ACCESS!Z136</f>
        <v>0</v>
      </c>
      <c r="AA136" s="106">
        <f t="shared" si="115"/>
        <v>0</v>
      </c>
      <c r="AB136" s="118"/>
      <c r="AC136" s="106">
        <f>+'NEW CAR'!AC136+'GT-SERV'!AC136+ACCESS!AC136</f>
        <v>0</v>
      </c>
      <c r="AD136" s="106">
        <f>+'NEW CAR'!AD136+'GT-SERV'!AD136+ACCESS!AD136</f>
        <v>0</v>
      </c>
      <c r="AE136" s="106">
        <f>+'NEW CAR'!AE136+'GT-SERV'!AE136+ACCESS!AE136</f>
        <v>0</v>
      </c>
      <c r="AF136" s="106">
        <f>+'NEW CAR'!AF136+'GT-SERV'!AF136+ACCESS!AF136</f>
        <v>0</v>
      </c>
      <c r="AG136" s="106">
        <f>+'NEW CAR'!AG136+'GT-SERV'!AG136+ACCESS!AG136</f>
        <v>0</v>
      </c>
      <c r="AH136" s="106">
        <f>+'NEW CAR'!AH136+'GT-SERV'!AH136+ACCESS!AH136</f>
        <v>0</v>
      </c>
      <c r="AI136" s="106">
        <f>+'NEW CAR'!AI136+'GT-SERV'!AI136+ACCESS!AI136</f>
        <v>0</v>
      </c>
      <c r="AJ136" s="106">
        <f>+'NEW CAR'!AJ136+'GT-SERV'!AJ136+ACCESS!AJ136</f>
        <v>0</v>
      </c>
      <c r="AK136" s="106">
        <f>+'NEW CAR'!AK136+'GT-SERV'!AK136+ACCESS!AK136</f>
        <v>0</v>
      </c>
      <c r="AL136" s="106">
        <f>+'NEW CAR'!AL136+'GT-SERV'!AL136+ACCESS!AL136</f>
        <v>0</v>
      </c>
      <c r="AM136" s="106">
        <f>+'NEW CAR'!AM136+'GT-SERV'!AM136+ACCESS!AM136</f>
        <v>0</v>
      </c>
      <c r="AN136" s="106">
        <f>+'NEW CAR'!AN136+'GT-SERV'!AN136+ACCESS!AN136</f>
        <v>0</v>
      </c>
      <c r="AO136" s="106">
        <f t="shared" si="116"/>
        <v>0</v>
      </c>
    </row>
    <row r="137" spans="1:42" outlineLevel="1">
      <c r="A137" s="106">
        <f>+'NEW CAR'!A137+'GT-SERV'!A137+ACCESS!A137</f>
        <v>75200</v>
      </c>
      <c r="B137" s="106">
        <f>+'NEW CAR'!B137+'GT-SERV'!B137+ACCESS!B137</f>
        <v>0</v>
      </c>
      <c r="C137" s="106">
        <f>+'NEW CAR'!C137+'GT-SERV'!C137+ACCESS!C137</f>
        <v>0</v>
      </c>
      <c r="D137" s="106">
        <f>+'NEW CAR'!D137+'GT-SERV'!D137+ACCESS!D137</f>
        <v>0</v>
      </c>
      <c r="E137" s="106">
        <f>+'NEW CAR'!E137+'GT-SERV'!E137+ACCESS!E137</f>
        <v>0</v>
      </c>
      <c r="F137" s="106">
        <f>+'NEW CAR'!F137+'GT-SERV'!F137+ACCESS!F137</f>
        <v>0</v>
      </c>
      <c r="G137" s="106">
        <f>+'NEW CAR'!G137+'GT-SERV'!G137+ACCESS!G137</f>
        <v>0</v>
      </c>
      <c r="H137" s="106">
        <f>+'NEW CAR'!H137+'GT-SERV'!H137+ACCESS!H137</f>
        <v>0</v>
      </c>
      <c r="I137" s="106">
        <f>+'NEW CAR'!I137+'GT-SERV'!I137+ACCESS!I137</f>
        <v>0</v>
      </c>
      <c r="J137" s="106">
        <f>+'NEW CAR'!J137+'GT-SERV'!J137+ACCESS!J137</f>
        <v>0</v>
      </c>
      <c r="K137" s="106">
        <f>+'NEW CAR'!K137+'GT-SERV'!K137+ACCESS!K137</f>
        <v>0</v>
      </c>
      <c r="L137" s="106">
        <f>+'NEW CAR'!L137+'GT-SERV'!L137+ACCESS!L137</f>
        <v>0</v>
      </c>
      <c r="M137" s="106">
        <f t="shared" si="114"/>
        <v>75200</v>
      </c>
      <c r="N137" s="16" t="s">
        <v>114</v>
      </c>
      <c r="O137" s="106">
        <f>+'NEW CAR'!O137+'GT-SERV'!O137+ACCESS!O137</f>
        <v>0</v>
      </c>
      <c r="P137" s="106">
        <f>+'NEW CAR'!P137+'GT-SERV'!P137+ACCESS!P137</f>
        <v>0</v>
      </c>
      <c r="Q137" s="106">
        <f>+'NEW CAR'!Q137+'GT-SERV'!Q137+ACCESS!Q137</f>
        <v>0</v>
      </c>
      <c r="R137" s="106">
        <f>+'NEW CAR'!R137+'GT-SERV'!R137+ACCESS!R137</f>
        <v>0</v>
      </c>
      <c r="S137" s="106">
        <f>+'NEW CAR'!S137+'GT-SERV'!S137+ACCESS!S137</f>
        <v>-102703</v>
      </c>
      <c r="T137" s="106">
        <f>+'NEW CAR'!T137+'GT-SERV'!T137+ACCESS!T137</f>
        <v>0</v>
      </c>
      <c r="U137" s="106">
        <f>+'NEW CAR'!U137+'GT-SERV'!U137+ACCESS!U137</f>
        <v>457331.77</v>
      </c>
      <c r="V137" s="106">
        <f>+'NEW CAR'!V137+'GT-SERV'!V137+ACCESS!V137</f>
        <v>0</v>
      </c>
      <c r="W137" s="106">
        <f>+'NEW CAR'!W137+'GT-SERV'!W137+ACCESS!W137</f>
        <v>0</v>
      </c>
      <c r="X137" s="106">
        <f>+'NEW CAR'!X137+'GT-SERV'!X137+ACCESS!X137</f>
        <v>421013.88</v>
      </c>
      <c r="Y137" s="106">
        <f>+'NEW CAR'!Y137+'GT-SERV'!Y137+ACCESS!Y137</f>
        <v>0</v>
      </c>
      <c r="Z137" s="106">
        <f>+'NEW CAR'!Z137+'GT-SERV'!Z137+ACCESS!Z137</f>
        <v>0</v>
      </c>
      <c r="AA137" s="106">
        <f t="shared" si="115"/>
        <v>775642.65</v>
      </c>
      <c r="AB137" s="118"/>
      <c r="AC137" s="106">
        <f>+'NEW CAR'!AC137+'GT-SERV'!AC137+ACCESS!AC137</f>
        <v>0</v>
      </c>
      <c r="AD137" s="106">
        <f>+'NEW CAR'!AD137+'GT-SERV'!AD137+ACCESS!AD137</f>
        <v>0</v>
      </c>
      <c r="AE137" s="106">
        <f>+'NEW CAR'!AE137+'GT-SERV'!AE137+ACCESS!AE137</f>
        <v>0</v>
      </c>
      <c r="AF137" s="106">
        <f>+'NEW CAR'!AF137+'GT-SERV'!AF137+ACCESS!AF137</f>
        <v>0</v>
      </c>
      <c r="AG137" s="106">
        <f>+'NEW CAR'!AG137+'GT-SERV'!AG137+ACCESS!AG137</f>
        <v>0</v>
      </c>
      <c r="AH137" s="106">
        <f>+'NEW CAR'!AH137+'GT-SERV'!AH137+ACCESS!AH137</f>
        <v>0</v>
      </c>
      <c r="AI137" s="106">
        <f>+'NEW CAR'!AI137+'GT-SERV'!AI137+ACCESS!AI137</f>
        <v>0</v>
      </c>
      <c r="AJ137" s="106">
        <f>+'NEW CAR'!AJ137+'GT-SERV'!AJ137+ACCESS!AJ137</f>
        <v>0</v>
      </c>
      <c r="AK137" s="106">
        <f>+'NEW CAR'!AK137+'GT-SERV'!AK137+ACCESS!AK137</f>
        <v>0</v>
      </c>
      <c r="AL137" s="106">
        <f>+'NEW CAR'!AL137+'GT-SERV'!AL137+ACCESS!AL137</f>
        <v>0</v>
      </c>
      <c r="AM137" s="106">
        <f>+'NEW CAR'!AM137+'GT-SERV'!AM137+ACCESS!AM137</f>
        <v>0</v>
      </c>
      <c r="AN137" s="106">
        <f>+'NEW CAR'!AN137+'GT-SERV'!AN137+ACCESS!AN137</f>
        <v>0</v>
      </c>
      <c r="AO137" s="106">
        <f t="shared" si="116"/>
        <v>0</v>
      </c>
    </row>
    <row r="138" spans="1:42" outlineLevel="1">
      <c r="A138" s="58">
        <f t="shared" ref="A138:M138" si="117">+SUM(A139:A145)</f>
        <v>337404.50333333336</v>
      </c>
      <c r="B138" s="58">
        <f t="shared" si="117"/>
        <v>382494.01333333331</v>
      </c>
      <c r="C138" s="58">
        <f t="shared" si="117"/>
        <v>400262.21333333338</v>
      </c>
      <c r="D138" s="58">
        <f t="shared" si="117"/>
        <v>503842.27333333332</v>
      </c>
      <c r="E138" s="58">
        <f t="shared" si="117"/>
        <v>627588.43333333335</v>
      </c>
      <c r="F138" s="58">
        <f t="shared" si="117"/>
        <v>433473.69333333336</v>
      </c>
      <c r="G138" s="58">
        <f t="shared" si="117"/>
        <v>460934.43333333335</v>
      </c>
      <c r="H138" s="58">
        <f t="shared" si="117"/>
        <v>404650.2333333334</v>
      </c>
      <c r="I138" s="58">
        <f t="shared" si="117"/>
        <v>450076.37333333329</v>
      </c>
      <c r="J138" s="58">
        <f t="shared" si="117"/>
        <v>483888.49</v>
      </c>
      <c r="K138" s="58">
        <f t="shared" si="117"/>
        <v>573058.45833333337</v>
      </c>
      <c r="L138" s="58">
        <f t="shared" si="117"/>
        <v>413924.39833333332</v>
      </c>
      <c r="M138" s="58">
        <f t="shared" si="117"/>
        <v>5471597.5166666666</v>
      </c>
      <c r="N138" s="20" t="s">
        <v>115</v>
      </c>
      <c r="O138" s="58">
        <f t="shared" ref="O138:AA138" si="118">+SUM(O139:O145)</f>
        <v>542005.41666666663</v>
      </c>
      <c r="P138" s="58">
        <f t="shared" si="118"/>
        <v>462491.57666666666</v>
      </c>
      <c r="Q138" s="58">
        <f t="shared" si="118"/>
        <v>517321.46666666667</v>
      </c>
      <c r="R138" s="58">
        <f t="shared" si="118"/>
        <v>465367.4086666666</v>
      </c>
      <c r="S138" s="58">
        <f t="shared" si="118"/>
        <v>687286.1</v>
      </c>
      <c r="T138" s="58">
        <f t="shared" si="118"/>
        <v>733223.1</v>
      </c>
      <c r="U138" s="58">
        <f t="shared" si="118"/>
        <v>309721.2901826484</v>
      </c>
      <c r="V138" s="58">
        <f t="shared" si="118"/>
        <v>290551.15000000002</v>
      </c>
      <c r="W138" s="58">
        <f t="shared" si="118"/>
        <v>449489.77</v>
      </c>
      <c r="X138" s="58">
        <f t="shared" si="118"/>
        <v>376726.97</v>
      </c>
      <c r="Y138" s="58">
        <f t="shared" si="118"/>
        <v>0</v>
      </c>
      <c r="Z138" s="58">
        <f t="shared" si="118"/>
        <v>0</v>
      </c>
      <c r="AA138" s="58">
        <f t="shared" si="118"/>
        <v>4834184.2488493156</v>
      </c>
      <c r="AB138" s="118"/>
      <c r="AC138" s="58">
        <f t="shared" ref="AC138:AO138" si="119">+SUM(AC139:AC145)</f>
        <v>480841.98611111112</v>
      </c>
      <c r="AD138" s="58">
        <f t="shared" si="119"/>
        <v>480841.98611111112</v>
      </c>
      <c r="AE138" s="58">
        <f t="shared" si="119"/>
        <v>540591.98611111112</v>
      </c>
      <c r="AF138" s="58">
        <f t="shared" si="119"/>
        <v>620258.65277777775</v>
      </c>
      <c r="AG138" s="58">
        <f t="shared" si="119"/>
        <v>480841.98611111112</v>
      </c>
      <c r="AH138" s="58">
        <f t="shared" si="119"/>
        <v>490800.31944444444</v>
      </c>
      <c r="AI138" s="58">
        <f t="shared" si="119"/>
        <v>480841.98611111112</v>
      </c>
      <c r="AJ138" s="58">
        <f t="shared" si="119"/>
        <v>480841.98611111112</v>
      </c>
      <c r="AK138" s="58">
        <f t="shared" si="119"/>
        <v>540591.98611111112</v>
      </c>
      <c r="AL138" s="58">
        <f t="shared" si="119"/>
        <v>1234800.3194444445</v>
      </c>
      <c r="AM138" s="58">
        <f t="shared" si="119"/>
        <v>480841.98611111112</v>
      </c>
      <c r="AN138" s="58">
        <f t="shared" si="119"/>
        <v>590800.3194444445</v>
      </c>
      <c r="AO138" s="58">
        <f t="shared" si="119"/>
        <v>6902895.5</v>
      </c>
    </row>
    <row r="139" spans="1:42" outlineLevel="1">
      <c r="A139" s="106">
        <f>+'NEW CAR'!A139+'GT-SERV'!A139+ACCESS!A139</f>
        <v>29524</v>
      </c>
      <c r="B139" s="106">
        <f>+'NEW CAR'!B139+'GT-SERV'!B139+ACCESS!B139</f>
        <v>30399</v>
      </c>
      <c r="C139" s="106">
        <f>+'NEW CAR'!C139+'GT-SERV'!C139+ACCESS!C139</f>
        <v>28374</v>
      </c>
      <c r="D139" s="106">
        <f>+'NEW CAR'!D139+'GT-SERV'!D139+ACCESS!D139</f>
        <v>29145</v>
      </c>
      <c r="E139" s="106">
        <f>+'NEW CAR'!E139+'GT-SERV'!E139+ACCESS!E139</f>
        <v>28694</v>
      </c>
      <c r="F139" s="106">
        <f>+'NEW CAR'!F139+'GT-SERV'!F139+ACCESS!F139</f>
        <v>28514</v>
      </c>
      <c r="G139" s="106">
        <f>+'NEW CAR'!G139+'GT-SERV'!G139+ACCESS!G139</f>
        <v>30004</v>
      </c>
      <c r="H139" s="106">
        <f>+'NEW CAR'!H139+'GT-SERV'!H139+ACCESS!H139</f>
        <v>62633</v>
      </c>
      <c r="I139" s="106">
        <f>+'NEW CAR'!I139+'GT-SERV'!I139+ACCESS!I139</f>
        <v>28374</v>
      </c>
      <c r="J139" s="106">
        <f>+'NEW CAR'!J139+'GT-SERV'!J139+ACCESS!J139</f>
        <v>29509</v>
      </c>
      <c r="K139" s="106">
        <f>+'NEW CAR'!K139+'GT-SERV'!K139+ACCESS!K139</f>
        <v>19045.560000000001</v>
      </c>
      <c r="L139" s="106">
        <f>+'NEW CAR'!L139+'GT-SERV'!L139+ACCESS!L139</f>
        <v>1865</v>
      </c>
      <c r="M139" s="106">
        <f t="shared" ref="M139:M145" si="120">+SUM(A139:L139)</f>
        <v>346080.56</v>
      </c>
      <c r="N139" s="16" t="s">
        <v>116</v>
      </c>
      <c r="O139" s="106">
        <f>+'NEW CAR'!O139+'GT-SERV'!O139+ACCESS!O139</f>
        <v>1178</v>
      </c>
      <c r="P139" s="106">
        <f>+'NEW CAR'!P139+'GT-SERV'!P139+ACCESS!P139</f>
        <v>500</v>
      </c>
      <c r="Q139" s="106">
        <f>+'NEW CAR'!Q139+'GT-SERV'!Q139+ACCESS!Q139</f>
        <v>618</v>
      </c>
      <c r="R139" s="106">
        <f>+'NEW CAR'!R139+'GT-SERV'!R139+ACCESS!R139</f>
        <v>74328.991999999998</v>
      </c>
      <c r="S139" s="106">
        <f>+'NEW CAR'!S139+'GT-SERV'!S139+ACCESS!S139</f>
        <v>64675.34</v>
      </c>
      <c r="T139" s="106">
        <f>+'NEW CAR'!T139+'GT-SERV'!T139+ACCESS!T139</f>
        <v>63095.34</v>
      </c>
      <c r="U139" s="106">
        <f>+'NEW CAR'!U139+'GT-SERV'!U139+ACCESS!U139</f>
        <v>65459.340182648397</v>
      </c>
      <c r="V139" s="106">
        <f>+'NEW CAR'!V139+'GT-SERV'!V139+ACCESS!V139</f>
        <v>62265</v>
      </c>
      <c r="W139" s="106">
        <f>+'NEW CAR'!W139+'GT-SERV'!W139+ACCESS!W139</f>
        <v>65075</v>
      </c>
      <c r="X139" s="106">
        <f>+'NEW CAR'!X139+'GT-SERV'!X139+ACCESS!X139</f>
        <v>65812</v>
      </c>
      <c r="Y139" s="106">
        <f>+'NEW CAR'!Y139+'GT-SERV'!Y139+ACCESS!Y139</f>
        <v>0</v>
      </c>
      <c r="Z139" s="106">
        <f>+'NEW CAR'!Z139+'GT-SERV'!Z139+ACCESS!Z139</f>
        <v>0</v>
      </c>
      <c r="AA139" s="106">
        <f t="shared" ref="AA139:AA145" si="121">+SUM(O139:Z139)</f>
        <v>463007.01218264841</v>
      </c>
      <c r="AB139" s="118"/>
      <c r="AC139" s="106">
        <f>+'NEW CAR'!AC139+'GT-SERV'!AC139+ACCESS!AC139</f>
        <v>69500</v>
      </c>
      <c r="AD139" s="106">
        <f>+'NEW CAR'!AD139+'GT-SERV'!AD139+ACCESS!AD139</f>
        <v>69500</v>
      </c>
      <c r="AE139" s="106">
        <f>+'NEW CAR'!AE139+'GT-SERV'!AE139+ACCESS!AE139</f>
        <v>69500</v>
      </c>
      <c r="AF139" s="106">
        <f>+'NEW CAR'!AF139+'GT-SERV'!AF139+ACCESS!AF139</f>
        <v>69500</v>
      </c>
      <c r="AG139" s="106">
        <f>+'NEW CAR'!AG139+'GT-SERV'!AG139+ACCESS!AG139</f>
        <v>69500</v>
      </c>
      <c r="AH139" s="106">
        <f>+'NEW CAR'!AH139+'GT-SERV'!AH139+ACCESS!AH139</f>
        <v>69500</v>
      </c>
      <c r="AI139" s="106">
        <f>+'NEW CAR'!AI139+'GT-SERV'!AI139+ACCESS!AI139</f>
        <v>69500</v>
      </c>
      <c r="AJ139" s="106">
        <f>+'NEW CAR'!AJ139+'GT-SERV'!AJ139+ACCESS!AJ139</f>
        <v>69500</v>
      </c>
      <c r="AK139" s="106">
        <f>+'NEW CAR'!AK139+'GT-SERV'!AK139+ACCESS!AK139</f>
        <v>69500</v>
      </c>
      <c r="AL139" s="106">
        <f>+'NEW CAR'!AL139+'GT-SERV'!AL139+ACCESS!AL139</f>
        <v>69500</v>
      </c>
      <c r="AM139" s="106">
        <f>+'NEW CAR'!AM139+'GT-SERV'!AM139+ACCESS!AM139</f>
        <v>69500</v>
      </c>
      <c r="AN139" s="106">
        <f>+'NEW CAR'!AN139+'GT-SERV'!AN139+ACCESS!AN139</f>
        <v>69500</v>
      </c>
      <c r="AO139" s="106">
        <f t="shared" ref="AO139:AO145" si="122">+SUM(AC139:AN139)</f>
        <v>834000</v>
      </c>
    </row>
    <row r="140" spans="1:42" outlineLevel="1">
      <c r="A140" s="106">
        <f>+'NEW CAR'!A140+'GT-SERV'!A140+ACCESS!A140</f>
        <v>75919.670000000013</v>
      </c>
      <c r="B140" s="106">
        <f>+'NEW CAR'!B140+'GT-SERV'!B140+ACCESS!B140</f>
        <v>111222.18</v>
      </c>
      <c r="C140" s="106">
        <f>+'NEW CAR'!C140+'GT-SERV'!C140+ACCESS!C140</f>
        <v>59070.78</v>
      </c>
      <c r="D140" s="106">
        <f>+'NEW CAR'!D140+'GT-SERV'!D140+ACCESS!D140</f>
        <v>51295.45</v>
      </c>
      <c r="E140" s="106">
        <f>+'NEW CAR'!E140+'GT-SERV'!E140+ACCESS!E140</f>
        <v>77435.600000000006</v>
      </c>
      <c r="F140" s="106">
        <f>+'NEW CAR'!F140+'GT-SERV'!F140+ACCESS!F140</f>
        <v>86022.21</v>
      </c>
      <c r="G140" s="106">
        <f>+'NEW CAR'!G140+'GT-SERV'!G140+ACCESS!G140</f>
        <v>53319.6</v>
      </c>
      <c r="H140" s="106">
        <f>+'NEW CAR'!H140+'GT-SERV'!H140+ACCESS!H140</f>
        <v>102619.40000000001</v>
      </c>
      <c r="I140" s="106">
        <f>+'NEW CAR'!I140+'GT-SERV'!I140+ACCESS!I140</f>
        <v>71312.040000000008</v>
      </c>
      <c r="J140" s="106">
        <f>+'NEW CAR'!J140+'GT-SERV'!J140+ACCESS!J140</f>
        <v>91352.239999999991</v>
      </c>
      <c r="K140" s="106">
        <f>+'NEW CAR'!K140+'GT-SERV'!K140+ACCESS!K140</f>
        <v>105446</v>
      </c>
      <c r="L140" s="106">
        <f>+'NEW CAR'!L140+'GT-SERV'!L140+ACCESS!L140</f>
        <v>169972.5</v>
      </c>
      <c r="M140" s="106">
        <f t="shared" si="120"/>
        <v>1054987.67</v>
      </c>
      <c r="N140" s="16" t="s">
        <v>117</v>
      </c>
      <c r="O140" s="106">
        <f>+'NEW CAR'!O140+'GT-SERV'!O140+ACCESS!O140</f>
        <v>120830</v>
      </c>
      <c r="P140" s="106">
        <f>+'NEW CAR'!P140+'GT-SERV'!P140+ACCESS!P140</f>
        <v>84064</v>
      </c>
      <c r="Q140" s="106">
        <f>+'NEW CAR'!Q140+'GT-SERV'!Q140+ACCESS!Q140</f>
        <v>107203</v>
      </c>
      <c r="R140" s="106">
        <f>+'NEW CAR'!R140+'GT-SERV'!R140+ACCESS!R140</f>
        <v>126085</v>
      </c>
      <c r="S140" s="106">
        <f>+'NEW CAR'!S140+'GT-SERV'!S140+ACCESS!S140</f>
        <v>84684</v>
      </c>
      <c r="T140" s="106">
        <f>+'NEW CAR'!T140+'GT-SERV'!T140+ACCESS!T140</f>
        <v>160129</v>
      </c>
      <c r="U140" s="106">
        <f>+'NEW CAR'!U140+'GT-SERV'!U140+ACCESS!U140</f>
        <v>100598.07</v>
      </c>
      <c r="V140" s="106">
        <f>+'NEW CAR'!V140+'GT-SERV'!V140+ACCESS!V140</f>
        <v>79485</v>
      </c>
      <c r="W140" s="106">
        <f>+'NEW CAR'!W140+'GT-SERV'!W140+ACCESS!W140</f>
        <v>88396</v>
      </c>
      <c r="X140" s="106">
        <f>+'NEW CAR'!X140+'GT-SERV'!X140+ACCESS!X140</f>
        <v>91352</v>
      </c>
      <c r="Y140" s="106">
        <f>+'NEW CAR'!Y140+'GT-SERV'!Y140+ACCESS!Y140</f>
        <v>0</v>
      </c>
      <c r="Z140" s="106">
        <f>+'NEW CAR'!Z140+'GT-SERV'!Z140+ACCESS!Z140</f>
        <v>0</v>
      </c>
      <c r="AA140" s="106">
        <f t="shared" si="121"/>
        <v>1042826.0700000001</v>
      </c>
      <c r="AB140" s="118"/>
      <c r="AC140" s="106">
        <f>+'NEW CAR'!AC140+'GT-SERV'!AC140+ACCESS!AC140</f>
        <v>106871.20833333334</v>
      </c>
      <c r="AD140" s="106">
        <f>+'NEW CAR'!AD140+'GT-SERV'!AD140+ACCESS!AD140</f>
        <v>106871.20833333334</v>
      </c>
      <c r="AE140" s="106">
        <f>+'NEW CAR'!AE140+'GT-SERV'!AE140+ACCESS!AE140</f>
        <v>106871.20833333334</v>
      </c>
      <c r="AF140" s="106">
        <f>+'NEW CAR'!AF140+'GT-SERV'!AF140+ACCESS!AF140</f>
        <v>106871.20833333334</v>
      </c>
      <c r="AG140" s="106">
        <f>+'NEW CAR'!AG140+'GT-SERV'!AG140+ACCESS!AG140</f>
        <v>106871.20833333334</v>
      </c>
      <c r="AH140" s="106">
        <f>+'NEW CAR'!AH140+'GT-SERV'!AH140+ACCESS!AH140</f>
        <v>106871.20833333334</v>
      </c>
      <c r="AI140" s="106">
        <f>+'NEW CAR'!AI140+'GT-SERV'!AI140+ACCESS!AI140</f>
        <v>106871.20833333334</v>
      </c>
      <c r="AJ140" s="106">
        <f>+'NEW CAR'!AJ140+'GT-SERV'!AJ140+ACCESS!AJ140</f>
        <v>106871.20833333334</v>
      </c>
      <c r="AK140" s="106">
        <f>+'NEW CAR'!AK140+'GT-SERV'!AK140+ACCESS!AK140</f>
        <v>106871.20833333334</v>
      </c>
      <c r="AL140" s="106">
        <f>+'NEW CAR'!AL140+'GT-SERV'!AL140+ACCESS!AL140</f>
        <v>106871.20833333334</v>
      </c>
      <c r="AM140" s="106">
        <f>+'NEW CAR'!AM140+'GT-SERV'!AM140+ACCESS!AM140</f>
        <v>106871.20833333334</v>
      </c>
      <c r="AN140" s="106">
        <f>+'NEW CAR'!AN140+'GT-SERV'!AN140+ACCESS!AN140</f>
        <v>106871.20833333334</v>
      </c>
      <c r="AO140" s="106">
        <f t="shared" si="122"/>
        <v>1282454.5</v>
      </c>
    </row>
    <row r="141" spans="1:42" outlineLevel="1">
      <c r="A141" s="106">
        <f>+'NEW CAR'!A141+'GT-SERV'!A141+ACCESS!A141</f>
        <v>72152</v>
      </c>
      <c r="B141" s="106">
        <f>+'NEW CAR'!B141+'GT-SERV'!B141+ACCESS!B141</f>
        <v>84152</v>
      </c>
      <c r="C141" s="106">
        <f>+'NEW CAR'!C141+'GT-SERV'!C141+ACCESS!C141</f>
        <v>72152</v>
      </c>
      <c r="D141" s="106">
        <f>+'NEW CAR'!D141+'GT-SERV'!D141+ACCESS!D141</f>
        <v>72152</v>
      </c>
      <c r="E141" s="106">
        <f>+'NEW CAR'!E141+'GT-SERV'!E141+ACCESS!E141</f>
        <v>73152</v>
      </c>
      <c r="F141" s="106">
        <f>+'NEW CAR'!F141+'GT-SERV'!F141+ACCESS!F141</f>
        <v>72652</v>
      </c>
      <c r="G141" s="106">
        <f>+'NEW CAR'!G141+'GT-SERV'!G141+ACCESS!G141</f>
        <v>99652</v>
      </c>
      <c r="H141" s="106">
        <f>+'NEW CAR'!H141+'GT-SERV'!H141+ACCESS!H141</f>
        <v>79652</v>
      </c>
      <c r="I141" s="106">
        <f>+'NEW CAR'!I141+'GT-SERV'!I141+ACCESS!I141</f>
        <v>74652</v>
      </c>
      <c r="J141" s="106">
        <f>+'NEW CAR'!J141+'GT-SERV'!J141+ACCESS!J141</f>
        <v>89652</v>
      </c>
      <c r="K141" s="106">
        <f>+'NEW CAR'!K141+'GT-SERV'!K141+ACCESS!K141</f>
        <v>74652</v>
      </c>
      <c r="L141" s="106">
        <f>+'NEW CAR'!L141+'GT-SERV'!L141+ACCESS!L141</f>
        <v>74652</v>
      </c>
      <c r="M141" s="106">
        <f t="shared" si="120"/>
        <v>939324</v>
      </c>
      <c r="N141" s="16" t="s">
        <v>227</v>
      </c>
      <c r="O141" s="106">
        <f>+'NEW CAR'!O141+'GT-SERV'!O141+ACCESS!O141</f>
        <v>154652</v>
      </c>
      <c r="P141" s="106">
        <f>+'NEW CAR'!P141+'GT-SERV'!P141+ACCESS!P141</f>
        <v>124652</v>
      </c>
      <c r="Q141" s="106">
        <f>+'NEW CAR'!Q141+'GT-SERV'!Q141+ACCESS!Q141</f>
        <v>128152</v>
      </c>
      <c r="R141" s="106">
        <f>+'NEW CAR'!R141+'GT-SERV'!R141+ACCESS!R141</f>
        <v>124652</v>
      </c>
      <c r="S141" s="106">
        <f>+'NEW CAR'!S141+'GT-SERV'!S141+ACCESS!S141</f>
        <v>124652</v>
      </c>
      <c r="T141" s="106">
        <f>+'NEW CAR'!T141+'GT-SERV'!T141+ACCESS!T141</f>
        <v>124502</v>
      </c>
      <c r="U141" s="106">
        <f>+'NEW CAR'!U141+'GT-SERV'!U141+ACCESS!U141</f>
        <v>124652</v>
      </c>
      <c r="V141" s="106">
        <f>+'NEW CAR'!V141+'GT-SERV'!V141+ACCESS!V141</f>
        <v>129152</v>
      </c>
      <c r="W141" s="106">
        <f>+'NEW CAR'!W141+'GT-SERV'!W141+ACCESS!W141</f>
        <v>126152</v>
      </c>
      <c r="X141" s="106">
        <f>+'NEW CAR'!X141+'GT-SERV'!X141+ACCESS!X141</f>
        <v>127152</v>
      </c>
      <c r="Y141" s="106">
        <f>+'NEW CAR'!Y141+'GT-SERV'!Y141+ACCESS!Y141</f>
        <v>0</v>
      </c>
      <c r="Z141" s="106">
        <f>+'NEW CAR'!Z141+'GT-SERV'!Z141+ACCESS!Z141</f>
        <v>0</v>
      </c>
      <c r="AA141" s="106">
        <f t="shared" si="121"/>
        <v>1288370</v>
      </c>
      <c r="AB141" s="118"/>
      <c r="AC141" s="106">
        <f>+'NEW CAR'!AC141+'GT-SERV'!AC141+ACCESS!AC141</f>
        <v>127652</v>
      </c>
      <c r="AD141" s="106">
        <f>+'NEW CAR'!AD141+'GT-SERV'!AD141+ACCESS!AD141</f>
        <v>127652</v>
      </c>
      <c r="AE141" s="106">
        <f>+'NEW CAR'!AE141+'GT-SERV'!AE141+ACCESS!AE141</f>
        <v>127652</v>
      </c>
      <c r="AF141" s="106">
        <f>+'NEW CAR'!AF141+'GT-SERV'!AF141+ACCESS!AF141</f>
        <v>127652</v>
      </c>
      <c r="AG141" s="106">
        <f>+'NEW CAR'!AG141+'GT-SERV'!AG141+ACCESS!AG141</f>
        <v>127652</v>
      </c>
      <c r="AH141" s="106">
        <f>+'NEW CAR'!AH141+'GT-SERV'!AH141+ACCESS!AH141</f>
        <v>127652</v>
      </c>
      <c r="AI141" s="106">
        <f>+'NEW CAR'!AI141+'GT-SERV'!AI141+ACCESS!AI141</f>
        <v>127652</v>
      </c>
      <c r="AJ141" s="106">
        <f>+'NEW CAR'!AJ141+'GT-SERV'!AJ141+ACCESS!AJ141</f>
        <v>127652</v>
      </c>
      <c r="AK141" s="106">
        <f>+'NEW CAR'!AK141+'GT-SERV'!AK141+ACCESS!AK141</f>
        <v>127652</v>
      </c>
      <c r="AL141" s="106">
        <f>+'NEW CAR'!AL141+'GT-SERV'!AL141+ACCESS!AL141</f>
        <v>127652</v>
      </c>
      <c r="AM141" s="106">
        <f>+'NEW CAR'!AM141+'GT-SERV'!AM141+ACCESS!AM141</f>
        <v>127652</v>
      </c>
      <c r="AN141" s="106">
        <f>+'NEW CAR'!AN141+'GT-SERV'!AN141+ACCESS!AN141</f>
        <v>127652</v>
      </c>
      <c r="AO141" s="106">
        <f t="shared" si="122"/>
        <v>1531824</v>
      </c>
      <c r="AP141" s="109"/>
    </row>
    <row r="142" spans="1:42" outlineLevel="1">
      <c r="A142" s="106">
        <f>+'NEW CAR'!A142+'GT-SERV'!A142+ACCESS!A142</f>
        <v>0</v>
      </c>
      <c r="B142" s="106">
        <f>+'NEW CAR'!B142+'GT-SERV'!B142+ACCESS!B142</f>
        <v>0</v>
      </c>
      <c r="C142" s="106">
        <f>+'NEW CAR'!C142+'GT-SERV'!C142+ACCESS!C142</f>
        <v>0</v>
      </c>
      <c r="D142" s="106">
        <f>+'NEW CAR'!D142+'GT-SERV'!D142+ACCESS!D142</f>
        <v>10300</v>
      </c>
      <c r="E142" s="106">
        <f>+'NEW CAR'!E142+'GT-SERV'!E142+ACCESS!E142</f>
        <v>7827</v>
      </c>
      <c r="F142" s="106">
        <f>+'NEW CAR'!F142+'GT-SERV'!F142+ACCESS!F142</f>
        <v>16964.650000000001</v>
      </c>
      <c r="G142" s="106">
        <f>+'NEW CAR'!G142+'GT-SERV'!G142+ACCESS!G142</f>
        <v>3000</v>
      </c>
      <c r="H142" s="106">
        <f>+'NEW CAR'!H142+'GT-SERV'!H142+ACCESS!H142</f>
        <v>10600</v>
      </c>
      <c r="I142" s="106">
        <f>+'NEW CAR'!I142+'GT-SERV'!I142+ACCESS!I142</f>
        <v>4022.54</v>
      </c>
      <c r="J142" s="106">
        <f>+'NEW CAR'!J142+'GT-SERV'!J142+ACCESS!J142</f>
        <v>390</v>
      </c>
      <c r="K142" s="106">
        <f>+'NEW CAR'!K142+'GT-SERV'!K142+ACCESS!K142</f>
        <v>1741</v>
      </c>
      <c r="L142" s="106">
        <f>+'NEW CAR'!L142+'GT-SERV'!L142+ACCESS!L142</f>
        <v>0</v>
      </c>
      <c r="M142" s="106">
        <f t="shared" si="120"/>
        <v>54845.19</v>
      </c>
      <c r="N142" s="16" t="s">
        <v>228</v>
      </c>
      <c r="O142" s="106">
        <f>+'NEW CAR'!O142+'GT-SERV'!O142+ACCESS!O142</f>
        <v>73500</v>
      </c>
      <c r="P142" s="106">
        <f>+'NEW CAR'!P142+'GT-SERV'!P142+ACCESS!P142</f>
        <v>46889.16</v>
      </c>
      <c r="Q142" s="106">
        <f>+'NEW CAR'!Q142+'GT-SERV'!Q142+ACCESS!Q142</f>
        <v>31974.05</v>
      </c>
      <c r="R142" s="106">
        <f>+'NEW CAR'!R142+'GT-SERV'!R142+ACCESS!R142</f>
        <v>0</v>
      </c>
      <c r="S142" s="106">
        <f>+'NEW CAR'!S142+'GT-SERV'!S142+ACCESS!S142</f>
        <v>0</v>
      </c>
      <c r="T142" s="106">
        <f>+'NEW CAR'!T142+'GT-SERV'!T142+ACCESS!T142</f>
        <v>765</v>
      </c>
      <c r="U142" s="106">
        <f>+'NEW CAR'!U142+'GT-SERV'!U142+ACCESS!U142</f>
        <v>19011.88</v>
      </c>
      <c r="V142" s="106">
        <f>+'NEW CAR'!V142+'GT-SERV'!V142+ACCESS!V142</f>
        <v>16949.150000000001</v>
      </c>
      <c r="W142" s="106">
        <f>+'NEW CAR'!W142+'GT-SERV'!W142+ACCESS!W142</f>
        <v>1700</v>
      </c>
      <c r="X142" s="106">
        <f>+'NEW CAR'!X142+'GT-SERV'!X142+ACCESS!X142</f>
        <v>0</v>
      </c>
      <c r="Y142" s="106">
        <f>+'NEW CAR'!Y142+'GT-SERV'!Y142+ACCESS!Y142</f>
        <v>0</v>
      </c>
      <c r="Z142" s="106">
        <f>+'NEW CAR'!Z142+'GT-SERV'!Z142+ACCESS!Z142</f>
        <v>0</v>
      </c>
      <c r="AA142" s="106">
        <f t="shared" si="121"/>
        <v>190789.24</v>
      </c>
      <c r="AB142" s="118"/>
      <c r="AC142" s="106">
        <f>+'NEW CAR'!AC142+'GT-SERV'!AC142+ACCESS!AC142</f>
        <v>0</v>
      </c>
      <c r="AD142" s="106">
        <f>+'NEW CAR'!AD142+'GT-SERV'!AD142+ACCESS!AD142</f>
        <v>0</v>
      </c>
      <c r="AE142" s="106">
        <f>+'NEW CAR'!AE142+'GT-SERV'!AE142+ACCESS!AE142</f>
        <v>0</v>
      </c>
      <c r="AF142" s="106">
        <f>+'NEW CAR'!AF142+'GT-SERV'!AF142+ACCESS!AF142</f>
        <v>0</v>
      </c>
      <c r="AG142" s="106">
        <f>+'NEW CAR'!AG142+'GT-SERV'!AG142+ACCESS!AG142</f>
        <v>0</v>
      </c>
      <c r="AH142" s="106">
        <f>+'NEW CAR'!AH142+'GT-SERV'!AH142+ACCESS!AH142</f>
        <v>0</v>
      </c>
      <c r="AI142" s="106">
        <f>+'NEW CAR'!AI142+'GT-SERV'!AI142+ACCESS!AI142</f>
        <v>0</v>
      </c>
      <c r="AJ142" s="106">
        <f>+'NEW CAR'!AJ142+'GT-SERV'!AJ142+ACCESS!AJ142</f>
        <v>0</v>
      </c>
      <c r="AK142" s="106">
        <f>+'NEW CAR'!AK142+'GT-SERV'!AK142+ACCESS!AK142</f>
        <v>0</v>
      </c>
      <c r="AL142" s="106">
        <f>+'NEW CAR'!AL142+'GT-SERV'!AL142+ACCESS!AL142</f>
        <v>0</v>
      </c>
      <c r="AM142" s="106">
        <f>+'NEW CAR'!AM142+'GT-SERV'!AM142+ACCESS!AM142</f>
        <v>0</v>
      </c>
      <c r="AN142" s="106">
        <f>+'NEW CAR'!AN142+'GT-SERV'!AN142+ACCESS!AN142</f>
        <v>0</v>
      </c>
      <c r="AO142" s="106">
        <f t="shared" si="122"/>
        <v>0</v>
      </c>
    </row>
    <row r="143" spans="1:42" outlineLevel="1">
      <c r="A143" s="106">
        <f>+'NEW CAR'!A143+'GT-SERV'!A143+ACCESS!A143</f>
        <v>0</v>
      </c>
      <c r="B143" s="106">
        <f>+'NEW CAR'!B143+'GT-SERV'!B143+ACCESS!B143</f>
        <v>0</v>
      </c>
      <c r="C143" s="106">
        <f>+'NEW CAR'!C143+'GT-SERV'!C143+ACCESS!C143</f>
        <v>88964.6</v>
      </c>
      <c r="D143" s="106">
        <f>+'NEW CAR'!D143+'GT-SERV'!D143+ACCESS!D143</f>
        <v>120000</v>
      </c>
      <c r="E143" s="106">
        <f>+'NEW CAR'!E143+'GT-SERV'!E143+ACCESS!E143</f>
        <v>250000</v>
      </c>
      <c r="F143" s="106">
        <f>+'NEW CAR'!F143+'GT-SERV'!F143+ACCESS!F143</f>
        <v>0</v>
      </c>
      <c r="G143" s="106">
        <f>+'NEW CAR'!G143+'GT-SERV'!G143+ACCESS!G143</f>
        <v>0</v>
      </c>
      <c r="H143" s="106">
        <f>+'NEW CAR'!H143+'GT-SERV'!H143+ACCESS!H143</f>
        <v>0</v>
      </c>
      <c r="I143" s="106">
        <f>+'NEW CAR'!I143+'GT-SERV'!I143+ACCESS!I143</f>
        <v>30000</v>
      </c>
      <c r="J143" s="106">
        <f>+'NEW CAR'!J143+'GT-SERV'!J143+ACCESS!J143</f>
        <v>0</v>
      </c>
      <c r="K143" s="106">
        <f>+'NEW CAR'!K143+'GT-SERV'!K143+ACCESS!K143</f>
        <v>190000</v>
      </c>
      <c r="L143" s="106">
        <f>+'NEW CAR'!L143+'GT-SERV'!L143+ACCESS!L143</f>
        <v>0</v>
      </c>
      <c r="M143" s="106">
        <f t="shared" si="120"/>
        <v>678964.6</v>
      </c>
      <c r="N143" s="16" t="s">
        <v>118</v>
      </c>
      <c r="O143" s="106">
        <f>+'NEW CAR'!O143+'GT-SERV'!O143+ACCESS!O143</f>
        <v>0</v>
      </c>
      <c r="P143" s="106">
        <f>+'NEW CAR'!P143+'GT-SERV'!P143+ACCESS!P143</f>
        <v>10000</v>
      </c>
      <c r="Q143" s="106">
        <f>+'NEW CAR'!Q143+'GT-SERV'!Q143+ACCESS!Q143</f>
        <v>0</v>
      </c>
      <c r="R143" s="106">
        <f>+'NEW CAR'!R143+'GT-SERV'!R143+ACCESS!R143</f>
        <v>0</v>
      </c>
      <c r="S143" s="106">
        <f>+'NEW CAR'!S143+'GT-SERV'!S143+ACCESS!S143</f>
        <v>0</v>
      </c>
      <c r="T143" s="106">
        <f>+'NEW CAR'!T143+'GT-SERV'!T143+ACCESS!T143</f>
        <v>0</v>
      </c>
      <c r="U143" s="106">
        <f>+'NEW CAR'!U143+'GT-SERV'!U143+ACCESS!U143</f>
        <v>0</v>
      </c>
      <c r="V143" s="106">
        <f>+'NEW CAR'!V143+'GT-SERV'!V143+ACCESS!V143</f>
        <v>0</v>
      </c>
      <c r="W143" s="106">
        <f>+'NEW CAR'!W143+'GT-SERV'!W143+ACCESS!W143</f>
        <v>0</v>
      </c>
      <c r="X143" s="106">
        <f>+'NEW CAR'!X143+'GT-SERV'!X143+ACCESS!X143</f>
        <v>0</v>
      </c>
      <c r="Y143" s="106">
        <f>+'NEW CAR'!Y143+'GT-SERV'!Y143+ACCESS!Y143</f>
        <v>0</v>
      </c>
      <c r="Z143" s="106">
        <f>+'NEW CAR'!Z143+'GT-SERV'!Z143+ACCESS!Z143</f>
        <v>0</v>
      </c>
      <c r="AA143" s="106">
        <f t="shared" si="121"/>
        <v>10000</v>
      </c>
      <c r="AB143" s="118"/>
      <c r="AC143" s="106">
        <f>+'NEW CAR'!AC143+'GT-SERV'!AC143+ACCESS!AC143</f>
        <v>0</v>
      </c>
      <c r="AD143" s="106">
        <f>+'NEW CAR'!AD143+'GT-SERV'!AD143+ACCESS!AD143</f>
        <v>0</v>
      </c>
      <c r="AE143" s="106">
        <f>+'NEW CAR'!AE143+'GT-SERV'!AE143+ACCESS!AE143</f>
        <v>0</v>
      </c>
      <c r="AF143" s="106">
        <f>+'NEW CAR'!AF143+'GT-SERV'!AF143+ACCESS!AF143</f>
        <v>0</v>
      </c>
      <c r="AG143" s="106">
        <f>+'NEW CAR'!AG143+'GT-SERV'!AG143+ACCESS!AG143</f>
        <v>0</v>
      </c>
      <c r="AH143" s="106">
        <f>+'NEW CAR'!AH143+'GT-SERV'!AH143+ACCESS!AH143</f>
        <v>0</v>
      </c>
      <c r="AI143" s="106">
        <f>+'NEW CAR'!AI143+'GT-SERV'!AI143+ACCESS!AI143</f>
        <v>0</v>
      </c>
      <c r="AJ143" s="106">
        <f>+'NEW CAR'!AJ143+'GT-SERV'!AJ143+ACCESS!AJ143</f>
        <v>0</v>
      </c>
      <c r="AK143" s="106">
        <f>+'NEW CAR'!AK143+'GT-SERV'!AK143+ACCESS!AK143</f>
        <v>0</v>
      </c>
      <c r="AL143" s="106">
        <f>+'NEW CAR'!AL143+'GT-SERV'!AL143+ACCESS!AL143</f>
        <v>0</v>
      </c>
      <c r="AM143" s="106">
        <f>+'NEW CAR'!AM143+'GT-SERV'!AM143+ACCESS!AM143</f>
        <v>0</v>
      </c>
      <c r="AN143" s="106">
        <f>+'NEW CAR'!AN143+'GT-SERV'!AN143+ACCESS!AN143</f>
        <v>0</v>
      </c>
      <c r="AO143" s="106">
        <f t="shared" si="122"/>
        <v>0</v>
      </c>
    </row>
    <row r="144" spans="1:42" outlineLevel="1">
      <c r="A144" s="106">
        <f>+'NEW CAR'!A144+'GT-SERV'!A144+ACCESS!A144</f>
        <v>141720.83333333334</v>
      </c>
      <c r="B144" s="106">
        <f>+'NEW CAR'!B144+'GT-SERV'!B144+ACCESS!B144</f>
        <v>141720.83333333334</v>
      </c>
      <c r="C144" s="106">
        <f>+'NEW CAR'!C144+'GT-SERV'!C144+ACCESS!C144</f>
        <v>141720.83333333334</v>
      </c>
      <c r="D144" s="106">
        <f>+'NEW CAR'!D144+'GT-SERV'!D144+ACCESS!D144</f>
        <v>141720.83333333334</v>
      </c>
      <c r="E144" s="106">
        <f>+'NEW CAR'!E144+'GT-SERV'!E144+ACCESS!E144</f>
        <v>141720.83333333334</v>
      </c>
      <c r="F144" s="106">
        <f>+'NEW CAR'!F144+'GT-SERV'!F144+ACCESS!F144</f>
        <v>141720.83333333334</v>
      </c>
      <c r="G144" s="106">
        <f>+'NEW CAR'!G144+'GT-SERV'!G144+ACCESS!G144</f>
        <v>141720.83333333334</v>
      </c>
      <c r="H144" s="106">
        <f>+'NEW CAR'!H144+'GT-SERV'!H144+ACCESS!H144</f>
        <v>141720.83333333334</v>
      </c>
      <c r="I144" s="106">
        <f>+'NEW CAR'!I144+'GT-SERV'!I144+ACCESS!I144</f>
        <v>141720.83333333334</v>
      </c>
      <c r="J144" s="106">
        <f>+'NEW CAR'!J144+'GT-SERV'!J144+ACCESS!J144</f>
        <v>90476.25</v>
      </c>
      <c r="K144" s="106">
        <f>+'NEW CAR'!K144+'GT-SERV'!K144+ACCESS!K144</f>
        <v>167173.89833333335</v>
      </c>
      <c r="L144" s="106">
        <f>+'NEW CAR'!L144+'GT-SERV'!L144+ACCESS!L144</f>
        <v>167173.89833333335</v>
      </c>
      <c r="M144" s="106">
        <f t="shared" si="120"/>
        <v>1700311.5466666669</v>
      </c>
      <c r="N144" s="16" t="s">
        <v>119</v>
      </c>
      <c r="O144" s="106">
        <f>+'NEW CAR'!O144+'GT-SERV'!O144+ACCESS!O144</f>
        <v>140301.41666666666</v>
      </c>
      <c r="P144" s="106">
        <f>+'NEW CAR'!P144+'GT-SERV'!P144+ACCESS!P144</f>
        <v>140301.41666666666</v>
      </c>
      <c r="Q144" s="106">
        <f>+'NEW CAR'!Q144+'GT-SERV'!Q144+ACCESS!Q144</f>
        <v>140301.41666666666</v>
      </c>
      <c r="R144" s="106">
        <f>+'NEW CAR'!R144+'GT-SERV'!R144+ACCESS!R144</f>
        <v>140301.41666666666</v>
      </c>
      <c r="S144" s="106">
        <f>+'NEW CAR'!S144+'GT-SERV'!S144+ACCESS!S144</f>
        <v>413274.76</v>
      </c>
      <c r="T144" s="106">
        <f>+'NEW CAR'!T144+'GT-SERV'!T144+ACCESS!T144</f>
        <v>376831.76</v>
      </c>
      <c r="U144" s="106">
        <f>+'NEW CAR'!U144+'GT-SERV'!U144+ACCESS!U144</f>
        <v>0</v>
      </c>
      <c r="V144" s="106">
        <f>+'NEW CAR'!V144+'GT-SERV'!V144+ACCESS!V144</f>
        <v>0</v>
      </c>
      <c r="W144" s="106">
        <f>+'NEW CAR'!W144+'GT-SERV'!W144+ACCESS!W144</f>
        <v>1447</v>
      </c>
      <c r="X144" s="106">
        <f>+'NEW CAR'!X144+'GT-SERV'!X144+ACCESS!X144</f>
        <v>0</v>
      </c>
      <c r="Y144" s="106">
        <f>+'NEW CAR'!Y144+'GT-SERV'!Y144+ACCESS!Y144</f>
        <v>0</v>
      </c>
      <c r="Z144" s="106">
        <f>+'NEW CAR'!Z144+'GT-SERV'!Z144+ACCESS!Z144</f>
        <v>0</v>
      </c>
      <c r="AA144" s="106">
        <f t="shared" si="121"/>
        <v>1352759.1866666665</v>
      </c>
      <c r="AB144" s="118"/>
      <c r="AC144" s="106">
        <f>+'NEW CAR'!AC144+'GT-SERV'!AC144+ACCESS!AC144</f>
        <v>157301.41666666666</v>
      </c>
      <c r="AD144" s="106">
        <f>+'NEW CAR'!AD144+'GT-SERV'!AD144+ACCESS!AD144</f>
        <v>157301.41666666666</v>
      </c>
      <c r="AE144" s="106">
        <f>+'NEW CAR'!AE144+'GT-SERV'!AE144+ACCESS!AE144</f>
        <v>157301.41666666666</v>
      </c>
      <c r="AF144" s="106">
        <f>+'NEW CAR'!AF144+'GT-SERV'!AF144+ACCESS!AF144</f>
        <v>157301.41666666666</v>
      </c>
      <c r="AG144" s="106">
        <f>+'NEW CAR'!AG144+'GT-SERV'!AG144+ACCESS!AG144</f>
        <v>157301.41666666666</v>
      </c>
      <c r="AH144" s="106">
        <f>+'NEW CAR'!AH144+'GT-SERV'!AH144+ACCESS!AH144</f>
        <v>157301.41666666666</v>
      </c>
      <c r="AI144" s="106">
        <f>+'NEW CAR'!AI144+'GT-SERV'!AI144+ACCESS!AI144</f>
        <v>157301.41666666666</v>
      </c>
      <c r="AJ144" s="106">
        <f>+'NEW CAR'!AJ144+'GT-SERV'!AJ144+ACCESS!AJ144</f>
        <v>157301.41666666666</v>
      </c>
      <c r="AK144" s="106">
        <f>+'NEW CAR'!AK144+'GT-SERV'!AK144+ACCESS!AK144</f>
        <v>157301.41666666666</v>
      </c>
      <c r="AL144" s="106">
        <f>+'NEW CAR'!AL144+'GT-SERV'!AL144+ACCESS!AL144</f>
        <v>157301.41666666666</v>
      </c>
      <c r="AM144" s="106">
        <f>+'NEW CAR'!AM144+'GT-SERV'!AM144+ACCESS!AM144</f>
        <v>157301.41666666666</v>
      </c>
      <c r="AN144" s="106">
        <f>+'NEW CAR'!AN144+'GT-SERV'!AN144+ACCESS!AN144</f>
        <v>157301.41666666666</v>
      </c>
      <c r="AO144" s="106">
        <f t="shared" si="122"/>
        <v>1887617.0000000002</v>
      </c>
    </row>
    <row r="145" spans="1:41" outlineLevel="1">
      <c r="A145" s="106">
        <f>+'NEW CAR'!A145+'GT-SERV'!A145+ACCESS!A145</f>
        <v>18088</v>
      </c>
      <c r="B145" s="106">
        <f>+'NEW CAR'!B145+'GT-SERV'!B145+ACCESS!B145</f>
        <v>15000</v>
      </c>
      <c r="C145" s="106">
        <f>+'NEW CAR'!C145+'GT-SERV'!C145+ACCESS!C145</f>
        <v>9980</v>
      </c>
      <c r="D145" s="106">
        <f>+'NEW CAR'!D145+'GT-SERV'!D145+ACCESS!D145</f>
        <v>79228.989999999991</v>
      </c>
      <c r="E145" s="106">
        <f>+'NEW CAR'!E145+'GT-SERV'!E145+ACCESS!E145</f>
        <v>48759</v>
      </c>
      <c r="F145" s="106">
        <f>+'NEW CAR'!F145+'GT-SERV'!F145+ACCESS!F145</f>
        <v>87600</v>
      </c>
      <c r="G145" s="106">
        <f>+'NEW CAR'!G145+'GT-SERV'!G145+ACCESS!G145</f>
        <v>133238</v>
      </c>
      <c r="H145" s="106">
        <f>+'NEW CAR'!H145+'GT-SERV'!H145+ACCESS!H145</f>
        <v>7425</v>
      </c>
      <c r="I145" s="106">
        <f>+'NEW CAR'!I145+'GT-SERV'!I145+ACCESS!I145</f>
        <v>99994.959999999992</v>
      </c>
      <c r="J145" s="106">
        <f>+'NEW CAR'!J145+'GT-SERV'!J145+ACCESS!J145</f>
        <v>182509</v>
      </c>
      <c r="K145" s="106">
        <f>+'NEW CAR'!K145+'GT-SERV'!K145+ACCESS!K145</f>
        <v>15000</v>
      </c>
      <c r="L145" s="106">
        <f>+'NEW CAR'!L145+'GT-SERV'!L145+ACCESS!L145</f>
        <v>261</v>
      </c>
      <c r="M145" s="106">
        <f t="shared" si="120"/>
        <v>697083.95</v>
      </c>
      <c r="N145" s="16" t="s">
        <v>120</v>
      </c>
      <c r="O145" s="106">
        <f>+'NEW CAR'!O145+'GT-SERV'!O145+ACCESS!O145</f>
        <v>51544</v>
      </c>
      <c r="P145" s="106">
        <f>+'NEW CAR'!P145+'GT-SERV'!P145+ACCESS!P145</f>
        <v>56085</v>
      </c>
      <c r="Q145" s="106">
        <f>+'NEW CAR'!Q145+'GT-SERV'!Q145+ACCESS!Q145</f>
        <v>109073</v>
      </c>
      <c r="R145" s="106">
        <f>+'NEW CAR'!R145+'GT-SERV'!R145+ACCESS!R145</f>
        <v>0</v>
      </c>
      <c r="S145" s="106">
        <f>+'NEW CAR'!S145+'GT-SERV'!S145+ACCESS!S145</f>
        <v>0</v>
      </c>
      <c r="T145" s="106">
        <f>+'NEW CAR'!T145+'GT-SERV'!T145+ACCESS!T145</f>
        <v>7900</v>
      </c>
      <c r="U145" s="106">
        <f>+'NEW CAR'!U145+'GT-SERV'!U145+ACCESS!U145</f>
        <v>0</v>
      </c>
      <c r="V145" s="106">
        <f>+'NEW CAR'!V145+'GT-SERV'!V145+ACCESS!V145</f>
        <v>2700</v>
      </c>
      <c r="W145" s="106">
        <f>+'NEW CAR'!W145+'GT-SERV'!W145+ACCESS!W145</f>
        <v>166719.76999999999</v>
      </c>
      <c r="X145" s="106">
        <f>+'NEW CAR'!X145+'GT-SERV'!X145+ACCESS!X145</f>
        <v>92410.97</v>
      </c>
      <c r="Y145" s="106">
        <f>+'NEW CAR'!Y145+'GT-SERV'!Y145+ACCESS!Y145</f>
        <v>0</v>
      </c>
      <c r="Z145" s="106">
        <f>+'NEW CAR'!Z145+'GT-SERV'!Z145+ACCESS!Z145</f>
        <v>0</v>
      </c>
      <c r="AA145" s="106">
        <f t="shared" si="121"/>
        <v>486432.74</v>
      </c>
      <c r="AB145" s="118"/>
      <c r="AC145" s="106">
        <f>+'NEW CAR'!AC145+'GT-SERV'!AC145+ACCESS!AC145</f>
        <v>19517.361111111113</v>
      </c>
      <c r="AD145" s="106">
        <f>+'NEW CAR'!AD145+'GT-SERV'!AD145+ACCESS!AD145</f>
        <v>19517.361111111113</v>
      </c>
      <c r="AE145" s="106">
        <f>+'NEW CAR'!AE145+'GT-SERV'!AE145+ACCESS!AE145</f>
        <v>79267.361111111124</v>
      </c>
      <c r="AF145" s="106">
        <f>+'NEW CAR'!AF145+'GT-SERV'!AF145+ACCESS!AF145</f>
        <v>158934.02777777778</v>
      </c>
      <c r="AG145" s="106">
        <f>+'NEW CAR'!AG145+'GT-SERV'!AG145+ACCESS!AG145</f>
        <v>19517.361111111113</v>
      </c>
      <c r="AH145" s="106">
        <f>+'NEW CAR'!AH145+'GT-SERV'!AH145+ACCESS!AH145</f>
        <v>29475.694444444449</v>
      </c>
      <c r="AI145" s="106">
        <f>+'NEW CAR'!AI145+'GT-SERV'!AI145+ACCESS!AI145</f>
        <v>19517.361111111113</v>
      </c>
      <c r="AJ145" s="106">
        <f>+'NEW CAR'!AJ145+'GT-SERV'!AJ145+ACCESS!AJ145</f>
        <v>19517.361111111113</v>
      </c>
      <c r="AK145" s="106">
        <f>+'NEW CAR'!AK145+'GT-SERV'!AK145+ACCESS!AK145</f>
        <v>79267.361111111124</v>
      </c>
      <c r="AL145" s="106">
        <f>+'NEW CAR'!AL145+'GT-SERV'!AL145+ACCESS!AL145</f>
        <v>773475.69444444438</v>
      </c>
      <c r="AM145" s="106">
        <f>+'NEW CAR'!AM145+'GT-SERV'!AM145+ACCESS!AM145</f>
        <v>19517.361111111113</v>
      </c>
      <c r="AN145" s="106">
        <f>+'NEW CAR'!AN145+'GT-SERV'!AN145+ACCESS!AN145</f>
        <v>129475.69444444445</v>
      </c>
      <c r="AO145" s="106">
        <f t="shared" si="122"/>
        <v>1367000</v>
      </c>
    </row>
    <row r="146" spans="1:41" outlineLevel="1">
      <c r="A146" s="58">
        <f t="shared" ref="A146:M146" si="123">+SUM(A147:A149)</f>
        <v>227277</v>
      </c>
      <c r="B146" s="58">
        <f t="shared" si="123"/>
        <v>195559</v>
      </c>
      <c r="C146" s="58">
        <f t="shared" si="123"/>
        <v>206036</v>
      </c>
      <c r="D146" s="58">
        <f t="shared" si="123"/>
        <v>199473</v>
      </c>
      <c r="E146" s="58">
        <f t="shared" si="123"/>
        <v>273480</v>
      </c>
      <c r="F146" s="58">
        <f t="shared" si="123"/>
        <v>178911</v>
      </c>
      <c r="G146" s="58">
        <f t="shared" si="123"/>
        <v>236312</v>
      </c>
      <c r="H146" s="58">
        <f t="shared" si="123"/>
        <v>235793</v>
      </c>
      <c r="I146" s="58">
        <f t="shared" si="123"/>
        <v>177935</v>
      </c>
      <c r="J146" s="58">
        <f t="shared" si="123"/>
        <v>226767</v>
      </c>
      <c r="K146" s="58">
        <f t="shared" si="123"/>
        <v>385229</v>
      </c>
      <c r="L146" s="58">
        <f t="shared" si="123"/>
        <v>203447</v>
      </c>
      <c r="M146" s="58">
        <f t="shared" si="123"/>
        <v>2746219</v>
      </c>
      <c r="N146" s="20" t="s">
        <v>121</v>
      </c>
      <c r="O146" s="58">
        <f t="shared" ref="O146:AA146" si="124">+SUM(O147:O149)</f>
        <v>261139</v>
      </c>
      <c r="P146" s="58">
        <f t="shared" si="124"/>
        <v>203008</v>
      </c>
      <c r="Q146" s="58">
        <f t="shared" si="124"/>
        <v>107553</v>
      </c>
      <c r="R146" s="58">
        <f t="shared" si="124"/>
        <v>229869</v>
      </c>
      <c r="S146" s="58">
        <f t="shared" si="124"/>
        <v>215696</v>
      </c>
      <c r="T146" s="58">
        <f t="shared" si="124"/>
        <v>307991</v>
      </c>
      <c r="U146" s="58">
        <f t="shared" si="124"/>
        <v>156943</v>
      </c>
      <c r="V146" s="58">
        <f t="shared" si="124"/>
        <v>257034</v>
      </c>
      <c r="W146" s="58">
        <f t="shared" si="124"/>
        <v>174054</v>
      </c>
      <c r="X146" s="58">
        <f t="shared" si="124"/>
        <v>289892</v>
      </c>
      <c r="Y146" s="58">
        <f t="shared" si="124"/>
        <v>0</v>
      </c>
      <c r="Z146" s="58">
        <f t="shared" si="124"/>
        <v>0</v>
      </c>
      <c r="AA146" s="58">
        <f t="shared" si="124"/>
        <v>2203179</v>
      </c>
      <c r="AB146" s="118"/>
      <c r="AC146" s="58">
        <f t="shared" ref="AC146:AO146" si="125">+SUM(AC147:AC149)</f>
        <v>229952.63750000001</v>
      </c>
      <c r="AD146" s="58">
        <f t="shared" si="125"/>
        <v>229952.63750000001</v>
      </c>
      <c r="AE146" s="58">
        <f t="shared" si="125"/>
        <v>229952.63750000001</v>
      </c>
      <c r="AF146" s="58">
        <f t="shared" si="125"/>
        <v>229952.63750000001</v>
      </c>
      <c r="AG146" s="58">
        <f t="shared" si="125"/>
        <v>229952.63750000001</v>
      </c>
      <c r="AH146" s="58">
        <f t="shared" si="125"/>
        <v>229952.63750000001</v>
      </c>
      <c r="AI146" s="58">
        <f t="shared" si="125"/>
        <v>229952.63750000001</v>
      </c>
      <c r="AJ146" s="58">
        <f t="shared" si="125"/>
        <v>229952.63750000001</v>
      </c>
      <c r="AK146" s="58">
        <f t="shared" si="125"/>
        <v>229952.63750000001</v>
      </c>
      <c r="AL146" s="58">
        <f t="shared" si="125"/>
        <v>229952.63750000001</v>
      </c>
      <c r="AM146" s="58">
        <f t="shared" si="125"/>
        <v>229952.63750000001</v>
      </c>
      <c r="AN146" s="58">
        <f t="shared" si="125"/>
        <v>229952.63750000001</v>
      </c>
      <c r="AO146" s="58">
        <f t="shared" si="125"/>
        <v>2759431.6500000004</v>
      </c>
    </row>
    <row r="147" spans="1:41" outlineLevel="1">
      <c r="A147" s="106">
        <f>+'NEW CAR'!A147+'GT-SERV'!A147+ACCESS!A147</f>
        <v>0</v>
      </c>
      <c r="B147" s="106">
        <f>+'NEW CAR'!B147+'GT-SERV'!B147+ACCESS!B147</f>
        <v>0</v>
      </c>
      <c r="C147" s="106">
        <f>+'NEW CAR'!C147+'GT-SERV'!C147+ACCESS!C147</f>
        <v>0</v>
      </c>
      <c r="D147" s="106">
        <f>+'NEW CAR'!D147+'GT-SERV'!D147+ACCESS!D147</f>
        <v>0</v>
      </c>
      <c r="E147" s="106">
        <f>+'NEW CAR'!E147+'GT-SERV'!E147+ACCESS!E147</f>
        <v>0</v>
      </c>
      <c r="F147" s="106">
        <f>+'NEW CAR'!F147+'GT-SERV'!F147+ACCESS!F147</f>
        <v>0</v>
      </c>
      <c r="G147" s="106">
        <f>+'NEW CAR'!G147+'GT-SERV'!G147+ACCESS!G147</f>
        <v>0</v>
      </c>
      <c r="H147" s="106">
        <f>+'NEW CAR'!H147+'GT-SERV'!H147+ACCESS!H147</f>
        <v>0</v>
      </c>
      <c r="I147" s="106">
        <f>+'NEW CAR'!I147+'GT-SERV'!I147+ACCESS!I147</f>
        <v>0</v>
      </c>
      <c r="J147" s="106">
        <f>+'NEW CAR'!J147+'GT-SERV'!J147+ACCESS!J147</f>
        <v>0</v>
      </c>
      <c r="K147" s="106">
        <f>+'NEW CAR'!K147+'GT-SERV'!K147+ACCESS!K147</f>
        <v>0</v>
      </c>
      <c r="L147" s="106">
        <f>+'NEW CAR'!L147+'GT-SERV'!L147+ACCESS!L147</f>
        <v>0</v>
      </c>
      <c r="M147" s="106">
        <f t="shared" ref="M147:M149" si="126">+SUM(A147:L147)</f>
        <v>0</v>
      </c>
      <c r="N147" s="16" t="s">
        <v>122</v>
      </c>
      <c r="O147" s="106">
        <f>+'NEW CAR'!O147+'GT-SERV'!O147+ACCESS!O147</f>
        <v>0</v>
      </c>
      <c r="P147" s="106">
        <f>+'NEW CAR'!P147+'GT-SERV'!P147+ACCESS!P147</f>
        <v>0</v>
      </c>
      <c r="Q147" s="106">
        <f>+'NEW CAR'!Q147+'GT-SERV'!Q147+ACCESS!Q147</f>
        <v>0</v>
      </c>
      <c r="R147" s="106">
        <f>+'NEW CAR'!R147+'GT-SERV'!R147+ACCESS!R147</f>
        <v>0</v>
      </c>
      <c r="S147" s="106">
        <f>+'NEW CAR'!S147+'GT-SERV'!S147+ACCESS!S147</f>
        <v>0</v>
      </c>
      <c r="T147" s="106">
        <f>+'NEW CAR'!T147+'GT-SERV'!T147+ACCESS!T147</f>
        <v>0</v>
      </c>
      <c r="U147" s="106">
        <f>+'NEW CAR'!U147+'GT-SERV'!U147+ACCESS!U147</f>
        <v>0</v>
      </c>
      <c r="V147" s="106">
        <f>+'NEW CAR'!V147+'GT-SERV'!V147+ACCESS!V147</f>
        <v>0</v>
      </c>
      <c r="W147" s="106">
        <f>+'NEW CAR'!W147+'GT-SERV'!W147+ACCESS!W147</f>
        <v>0</v>
      </c>
      <c r="X147" s="106">
        <f>+'NEW CAR'!X147+'GT-SERV'!X147+ACCESS!X147</f>
        <v>0</v>
      </c>
      <c r="Y147" s="106">
        <f>+'NEW CAR'!Y147+'GT-SERV'!Y147+ACCESS!Y147</f>
        <v>0</v>
      </c>
      <c r="Z147" s="106">
        <f>+'NEW CAR'!Z147+'GT-SERV'!Z147+ACCESS!Z147</f>
        <v>0</v>
      </c>
      <c r="AA147" s="106">
        <f t="shared" ref="AA147:AA149" si="127">+SUM(O147:Z147)</f>
        <v>0</v>
      </c>
      <c r="AB147" s="118"/>
      <c r="AC147" s="106">
        <f>+'NEW CAR'!AC147+'GT-SERV'!AC147+ACCESS!AC147</f>
        <v>0</v>
      </c>
      <c r="AD147" s="106">
        <f>+'NEW CAR'!AD147+'GT-SERV'!AD147+ACCESS!AD147</f>
        <v>0</v>
      </c>
      <c r="AE147" s="106">
        <f>+'NEW CAR'!AE147+'GT-SERV'!AE147+ACCESS!AE147</f>
        <v>0</v>
      </c>
      <c r="AF147" s="106">
        <f>+'NEW CAR'!AF147+'GT-SERV'!AF147+ACCESS!AF147</f>
        <v>0</v>
      </c>
      <c r="AG147" s="106">
        <f>+'NEW CAR'!AG147+'GT-SERV'!AG147+ACCESS!AG147</f>
        <v>0</v>
      </c>
      <c r="AH147" s="106">
        <f>+'NEW CAR'!AH147+'GT-SERV'!AH147+ACCESS!AH147</f>
        <v>0</v>
      </c>
      <c r="AI147" s="106">
        <f>+'NEW CAR'!AI147+'GT-SERV'!AI147+ACCESS!AI147</f>
        <v>0</v>
      </c>
      <c r="AJ147" s="106">
        <f>+'NEW CAR'!AJ147+'GT-SERV'!AJ147+ACCESS!AJ147</f>
        <v>0</v>
      </c>
      <c r="AK147" s="106">
        <f>+'NEW CAR'!AK147+'GT-SERV'!AK147+ACCESS!AK147</f>
        <v>0</v>
      </c>
      <c r="AL147" s="106">
        <f>+'NEW CAR'!AL147+'GT-SERV'!AL147+ACCESS!AL147</f>
        <v>0</v>
      </c>
      <c r="AM147" s="106">
        <f>+'NEW CAR'!AM147+'GT-SERV'!AM147+ACCESS!AM147</f>
        <v>0</v>
      </c>
      <c r="AN147" s="106">
        <f>+'NEW CAR'!AN147+'GT-SERV'!AN147+ACCESS!AN147</f>
        <v>0</v>
      </c>
      <c r="AO147" s="106">
        <f t="shared" ref="AO147:AO149" si="128">+SUM(AC147:AN147)</f>
        <v>0</v>
      </c>
    </row>
    <row r="148" spans="1:41" outlineLevel="1">
      <c r="A148" s="106">
        <f>+'NEW CAR'!A148+'GT-SERV'!A148+ACCESS!A148</f>
        <v>227277</v>
      </c>
      <c r="B148" s="106">
        <f>+'NEW CAR'!B148+'GT-SERV'!B148+ACCESS!B148</f>
        <v>195559</v>
      </c>
      <c r="C148" s="106">
        <f>+'NEW CAR'!C148+'GT-SERV'!C148+ACCESS!C148</f>
        <v>206036</v>
      </c>
      <c r="D148" s="106">
        <f>+'NEW CAR'!D148+'GT-SERV'!D148+ACCESS!D148</f>
        <v>199473</v>
      </c>
      <c r="E148" s="106">
        <f>+'NEW CAR'!E148+'GT-SERV'!E148+ACCESS!E148</f>
        <v>273480</v>
      </c>
      <c r="F148" s="106">
        <f>+'NEW CAR'!F148+'GT-SERV'!F148+ACCESS!F148</f>
        <v>178911</v>
      </c>
      <c r="G148" s="106">
        <f>+'NEW CAR'!G148+'GT-SERV'!G148+ACCESS!G148</f>
        <v>236312</v>
      </c>
      <c r="H148" s="106">
        <f>+'NEW CAR'!H148+'GT-SERV'!H148+ACCESS!H148</f>
        <v>235793</v>
      </c>
      <c r="I148" s="106">
        <f>+'NEW CAR'!I148+'GT-SERV'!I148+ACCESS!I148</f>
        <v>177935</v>
      </c>
      <c r="J148" s="106">
        <f>+'NEW CAR'!J148+'GT-SERV'!J148+ACCESS!J148</f>
        <v>226767</v>
      </c>
      <c r="K148" s="106">
        <f>+'NEW CAR'!K148+'GT-SERV'!K148+ACCESS!K148</f>
        <v>385229</v>
      </c>
      <c r="L148" s="106">
        <f>+'NEW CAR'!L148+'GT-SERV'!L148+ACCESS!L148</f>
        <v>203447</v>
      </c>
      <c r="M148" s="106">
        <f t="shared" si="126"/>
        <v>2746219</v>
      </c>
      <c r="N148" s="16" t="s">
        <v>123</v>
      </c>
      <c r="O148" s="106">
        <f>+'NEW CAR'!O148+'GT-SERV'!O148+ACCESS!O148</f>
        <v>261139</v>
      </c>
      <c r="P148" s="106">
        <f>+'NEW CAR'!P148+'GT-SERV'!P148+ACCESS!P148</f>
        <v>203008</v>
      </c>
      <c r="Q148" s="106">
        <f>+'NEW CAR'!Q148+'GT-SERV'!Q148+ACCESS!Q148</f>
        <v>107553</v>
      </c>
      <c r="R148" s="106">
        <f>+'NEW CAR'!R148+'GT-SERV'!R148+ACCESS!R148</f>
        <v>229869</v>
      </c>
      <c r="S148" s="106">
        <f>+'NEW CAR'!S148+'GT-SERV'!S148+ACCESS!S148</f>
        <v>215696</v>
      </c>
      <c r="T148" s="106">
        <f>+'NEW CAR'!T148+'GT-SERV'!T148+ACCESS!T148</f>
        <v>307991</v>
      </c>
      <c r="U148" s="106">
        <f>+'NEW CAR'!U148+'GT-SERV'!U148+ACCESS!U148</f>
        <v>156943</v>
      </c>
      <c r="V148" s="106">
        <f>+'NEW CAR'!V148+'GT-SERV'!V148+ACCESS!V148</f>
        <v>257034</v>
      </c>
      <c r="W148" s="106">
        <f>+'NEW CAR'!W148+'GT-SERV'!W148+ACCESS!W148</f>
        <v>174054</v>
      </c>
      <c r="X148" s="106">
        <f>+'NEW CAR'!X148+'GT-SERV'!X148+ACCESS!X148</f>
        <v>289892</v>
      </c>
      <c r="Y148" s="106">
        <f>+'NEW CAR'!Y148+'GT-SERV'!Y148+ACCESS!Y148</f>
        <v>0</v>
      </c>
      <c r="Z148" s="106">
        <f>+'NEW CAR'!Z148+'GT-SERV'!Z148+ACCESS!Z148</f>
        <v>0</v>
      </c>
      <c r="AA148" s="106">
        <f t="shared" si="127"/>
        <v>2203179</v>
      </c>
      <c r="AB148" s="118"/>
      <c r="AC148" s="106">
        <f>+'NEW CAR'!AC148+'GT-SERV'!AC148+ACCESS!AC148</f>
        <v>229952.63750000001</v>
      </c>
      <c r="AD148" s="106">
        <f>+'NEW CAR'!AD148+'GT-SERV'!AD148+ACCESS!AD148</f>
        <v>229952.63750000001</v>
      </c>
      <c r="AE148" s="106">
        <f>+'NEW CAR'!AE148+'GT-SERV'!AE148+ACCESS!AE148</f>
        <v>229952.63750000001</v>
      </c>
      <c r="AF148" s="106">
        <f>+'NEW CAR'!AF148+'GT-SERV'!AF148+ACCESS!AF148</f>
        <v>229952.63750000001</v>
      </c>
      <c r="AG148" s="106">
        <f>+'NEW CAR'!AG148+'GT-SERV'!AG148+ACCESS!AG148</f>
        <v>229952.63750000001</v>
      </c>
      <c r="AH148" s="106">
        <f>+'NEW CAR'!AH148+'GT-SERV'!AH148+ACCESS!AH148</f>
        <v>229952.63750000001</v>
      </c>
      <c r="AI148" s="106">
        <f>+'NEW CAR'!AI148+'GT-SERV'!AI148+ACCESS!AI148</f>
        <v>229952.63750000001</v>
      </c>
      <c r="AJ148" s="106">
        <f>+'NEW CAR'!AJ148+'GT-SERV'!AJ148+ACCESS!AJ148</f>
        <v>229952.63750000001</v>
      </c>
      <c r="AK148" s="106">
        <f>+'NEW CAR'!AK148+'GT-SERV'!AK148+ACCESS!AK148</f>
        <v>229952.63750000001</v>
      </c>
      <c r="AL148" s="106">
        <f>+'NEW CAR'!AL148+'GT-SERV'!AL148+ACCESS!AL148</f>
        <v>229952.63750000001</v>
      </c>
      <c r="AM148" s="106">
        <f>+'NEW CAR'!AM148+'GT-SERV'!AM148+ACCESS!AM148</f>
        <v>229952.63750000001</v>
      </c>
      <c r="AN148" s="106">
        <f>+'NEW CAR'!AN148+'GT-SERV'!AN148+ACCESS!AN148</f>
        <v>229952.63750000001</v>
      </c>
      <c r="AO148" s="106">
        <f t="shared" si="128"/>
        <v>2759431.6500000004</v>
      </c>
    </row>
    <row r="149" spans="1:41" outlineLevel="1">
      <c r="A149" s="106">
        <f>+'NEW CAR'!A149+'GT-SERV'!A149+ACCESS!A149</f>
        <v>0</v>
      </c>
      <c r="B149" s="106">
        <f>+'NEW CAR'!B149+'GT-SERV'!B149+ACCESS!B149</f>
        <v>0</v>
      </c>
      <c r="C149" s="106">
        <f>+'NEW CAR'!C149+'GT-SERV'!C149+ACCESS!C149</f>
        <v>0</v>
      </c>
      <c r="D149" s="106">
        <f>+'NEW CAR'!D149+'GT-SERV'!D149+ACCESS!D149</f>
        <v>0</v>
      </c>
      <c r="E149" s="106">
        <f>+'NEW CAR'!E149+'GT-SERV'!E149+ACCESS!E149</f>
        <v>0</v>
      </c>
      <c r="F149" s="106">
        <f>+'NEW CAR'!F149+'GT-SERV'!F149+ACCESS!F149</f>
        <v>0</v>
      </c>
      <c r="G149" s="106">
        <f>+'NEW CAR'!G149+'GT-SERV'!G149+ACCESS!G149</f>
        <v>0</v>
      </c>
      <c r="H149" s="106">
        <f>+'NEW CAR'!H149+'GT-SERV'!H149+ACCESS!H149</f>
        <v>0</v>
      </c>
      <c r="I149" s="106">
        <f>+'NEW CAR'!I149+'GT-SERV'!I149+ACCESS!I149</f>
        <v>0</v>
      </c>
      <c r="J149" s="106">
        <f>+'NEW CAR'!J149+'GT-SERV'!J149+ACCESS!J149</f>
        <v>0</v>
      </c>
      <c r="K149" s="106">
        <f>+'NEW CAR'!K149+'GT-SERV'!K149+ACCESS!K149</f>
        <v>0</v>
      </c>
      <c r="L149" s="106">
        <f>+'NEW CAR'!L149+'GT-SERV'!L149+ACCESS!L149</f>
        <v>0</v>
      </c>
      <c r="M149" s="106">
        <f t="shared" si="126"/>
        <v>0</v>
      </c>
      <c r="N149" s="16" t="s">
        <v>124</v>
      </c>
      <c r="O149" s="106">
        <f>+'NEW CAR'!O149+'GT-SERV'!O149+ACCESS!O149</f>
        <v>0</v>
      </c>
      <c r="P149" s="106">
        <f>+'NEW CAR'!P149+'GT-SERV'!P149+ACCESS!P149</f>
        <v>0</v>
      </c>
      <c r="Q149" s="106">
        <f>+'NEW CAR'!Q149+'GT-SERV'!Q149+ACCESS!Q149</f>
        <v>0</v>
      </c>
      <c r="R149" s="106">
        <f>+'NEW CAR'!R149+'GT-SERV'!R149+ACCESS!R149</f>
        <v>0</v>
      </c>
      <c r="S149" s="106">
        <f>+'NEW CAR'!S149+'GT-SERV'!S149+ACCESS!S149</f>
        <v>0</v>
      </c>
      <c r="T149" s="106">
        <f>+'NEW CAR'!T149+'GT-SERV'!T149+ACCESS!T149</f>
        <v>0</v>
      </c>
      <c r="U149" s="106">
        <f>+'NEW CAR'!U149+'GT-SERV'!U149+ACCESS!U149</f>
        <v>0</v>
      </c>
      <c r="V149" s="106">
        <f>+'NEW CAR'!V149+'GT-SERV'!V149+ACCESS!V149</f>
        <v>0</v>
      </c>
      <c r="W149" s="106">
        <f>+'NEW CAR'!W149+'GT-SERV'!W149+ACCESS!W149</f>
        <v>0</v>
      </c>
      <c r="X149" s="106">
        <f>+'NEW CAR'!X149+'GT-SERV'!X149+ACCESS!X149</f>
        <v>0</v>
      </c>
      <c r="Y149" s="106">
        <f>+'NEW CAR'!Y149+'GT-SERV'!Y149+ACCESS!Y149</f>
        <v>0</v>
      </c>
      <c r="Z149" s="106">
        <f>+'NEW CAR'!Z149+'GT-SERV'!Z149+ACCESS!Z149</f>
        <v>0</v>
      </c>
      <c r="AA149" s="106">
        <f t="shared" si="127"/>
        <v>0</v>
      </c>
      <c r="AB149" s="118"/>
      <c r="AC149" s="106">
        <f>+'NEW CAR'!AC149+'GT-SERV'!AC149+ACCESS!AC149</f>
        <v>0</v>
      </c>
      <c r="AD149" s="106">
        <f>+'NEW CAR'!AD149+'GT-SERV'!AD149+ACCESS!AD149</f>
        <v>0</v>
      </c>
      <c r="AE149" s="106">
        <f>+'NEW CAR'!AE149+'GT-SERV'!AE149+ACCESS!AE149</f>
        <v>0</v>
      </c>
      <c r="AF149" s="106">
        <f>+'NEW CAR'!AF149+'GT-SERV'!AF149+ACCESS!AF149</f>
        <v>0</v>
      </c>
      <c r="AG149" s="106">
        <f>+'NEW CAR'!AG149+'GT-SERV'!AG149+ACCESS!AG149</f>
        <v>0</v>
      </c>
      <c r="AH149" s="106">
        <f>+'NEW CAR'!AH149+'GT-SERV'!AH149+ACCESS!AH149</f>
        <v>0</v>
      </c>
      <c r="AI149" s="106">
        <f>+'NEW CAR'!AI149+'GT-SERV'!AI149+ACCESS!AI149</f>
        <v>0</v>
      </c>
      <c r="AJ149" s="106">
        <f>+'NEW CAR'!AJ149+'GT-SERV'!AJ149+ACCESS!AJ149</f>
        <v>0</v>
      </c>
      <c r="AK149" s="106">
        <f>+'NEW CAR'!AK149+'GT-SERV'!AK149+ACCESS!AK149</f>
        <v>0</v>
      </c>
      <c r="AL149" s="106">
        <f>+'NEW CAR'!AL149+'GT-SERV'!AL149+ACCESS!AL149</f>
        <v>0</v>
      </c>
      <c r="AM149" s="106">
        <f>+'NEW CAR'!AM149+'GT-SERV'!AM149+ACCESS!AM149</f>
        <v>0</v>
      </c>
      <c r="AN149" s="106">
        <f>+'NEW CAR'!AN149+'GT-SERV'!AN149+ACCESS!AN149</f>
        <v>0</v>
      </c>
      <c r="AO149" s="106">
        <f t="shared" si="128"/>
        <v>0</v>
      </c>
    </row>
    <row r="150" spans="1:41" outlineLevel="1">
      <c r="A150" s="58">
        <f t="shared" ref="A150:M150" si="129">+SUM(A151:A154)</f>
        <v>368080</v>
      </c>
      <c r="B150" s="58">
        <f t="shared" si="129"/>
        <v>333145</v>
      </c>
      <c r="C150" s="58">
        <f t="shared" si="129"/>
        <v>365700</v>
      </c>
      <c r="D150" s="58">
        <f t="shared" si="129"/>
        <v>325371</v>
      </c>
      <c r="E150" s="58">
        <f t="shared" si="129"/>
        <v>366999</v>
      </c>
      <c r="F150" s="58">
        <f t="shared" si="129"/>
        <v>332529</v>
      </c>
      <c r="G150" s="58">
        <f t="shared" si="129"/>
        <v>355713</v>
      </c>
      <c r="H150" s="58">
        <f t="shared" si="129"/>
        <v>355757</v>
      </c>
      <c r="I150" s="58">
        <f t="shared" si="129"/>
        <v>375911</v>
      </c>
      <c r="J150" s="58">
        <f t="shared" si="129"/>
        <v>591878</v>
      </c>
      <c r="K150" s="58">
        <f t="shared" si="129"/>
        <v>353819</v>
      </c>
      <c r="L150" s="58">
        <f t="shared" si="129"/>
        <v>406485</v>
      </c>
      <c r="M150" s="58">
        <f t="shared" si="129"/>
        <v>4531387</v>
      </c>
      <c r="N150" s="20" t="s">
        <v>125</v>
      </c>
      <c r="O150" s="58">
        <f t="shared" ref="O150:AA150" si="130">+SUM(O151:O154)</f>
        <v>451919</v>
      </c>
      <c r="P150" s="58">
        <f t="shared" si="130"/>
        <v>476025</v>
      </c>
      <c r="Q150" s="58">
        <f t="shared" si="130"/>
        <v>487700</v>
      </c>
      <c r="R150" s="58">
        <f t="shared" si="130"/>
        <v>496047</v>
      </c>
      <c r="S150" s="58">
        <f t="shared" si="130"/>
        <v>497138</v>
      </c>
      <c r="T150" s="58">
        <f t="shared" si="130"/>
        <v>547640</v>
      </c>
      <c r="U150" s="58">
        <f t="shared" si="130"/>
        <v>525559</v>
      </c>
      <c r="V150" s="58">
        <f t="shared" si="130"/>
        <v>530596</v>
      </c>
      <c r="W150" s="58">
        <f t="shared" si="130"/>
        <v>660001</v>
      </c>
      <c r="X150" s="58">
        <f t="shared" si="130"/>
        <v>559813</v>
      </c>
      <c r="Y150" s="58">
        <f t="shared" si="130"/>
        <v>0</v>
      </c>
      <c r="Z150" s="58">
        <f t="shared" si="130"/>
        <v>0</v>
      </c>
      <c r="AA150" s="58">
        <f t="shared" si="130"/>
        <v>5232438</v>
      </c>
      <c r="AB150" s="118"/>
      <c r="AC150" s="58">
        <f t="shared" ref="AC150:AO150" si="131">+SUM(AC151:AC154)</f>
        <v>471739.19999999995</v>
      </c>
      <c r="AD150" s="58">
        <f t="shared" si="131"/>
        <v>471739.19999999995</v>
      </c>
      <c r="AE150" s="58">
        <f t="shared" si="131"/>
        <v>471739.19999999995</v>
      </c>
      <c r="AF150" s="58">
        <f t="shared" si="131"/>
        <v>471739.19999999995</v>
      </c>
      <c r="AG150" s="58">
        <f t="shared" si="131"/>
        <v>471739.19999999995</v>
      </c>
      <c r="AH150" s="58">
        <f t="shared" si="131"/>
        <v>471739.19999999995</v>
      </c>
      <c r="AI150" s="58">
        <f t="shared" si="131"/>
        <v>471739.19999999995</v>
      </c>
      <c r="AJ150" s="58">
        <f t="shared" si="131"/>
        <v>471739.19999999995</v>
      </c>
      <c r="AK150" s="58">
        <f t="shared" si="131"/>
        <v>471739.19999999995</v>
      </c>
      <c r="AL150" s="58">
        <f t="shared" si="131"/>
        <v>471739.19999999995</v>
      </c>
      <c r="AM150" s="58">
        <f t="shared" si="131"/>
        <v>471739.19999999995</v>
      </c>
      <c r="AN150" s="58">
        <f t="shared" si="131"/>
        <v>471739.19999999995</v>
      </c>
      <c r="AO150" s="58">
        <f t="shared" si="131"/>
        <v>5660870.4000000004</v>
      </c>
    </row>
    <row r="151" spans="1:41" outlineLevel="1">
      <c r="A151" s="106">
        <f>+'NEW CAR'!A151+'GT-SERV'!A151+ACCESS!A151</f>
        <v>186275</v>
      </c>
      <c r="B151" s="106">
        <f>+'NEW CAR'!B151+'GT-SERV'!B151+ACCESS!B151</f>
        <v>197020</v>
      </c>
      <c r="C151" s="106">
        <f>+'NEW CAR'!C151+'GT-SERV'!C151+ACCESS!C151</f>
        <v>205175</v>
      </c>
      <c r="D151" s="106">
        <f>+'NEW CAR'!D151+'GT-SERV'!D151+ACCESS!D151</f>
        <v>188146</v>
      </c>
      <c r="E151" s="106">
        <f>+'NEW CAR'!E151+'GT-SERV'!E151+ACCESS!E151</f>
        <v>195174</v>
      </c>
      <c r="F151" s="106">
        <f>+'NEW CAR'!F151+'GT-SERV'!F151+ACCESS!F151</f>
        <v>194204</v>
      </c>
      <c r="G151" s="106">
        <f>+'NEW CAR'!G151+'GT-SERV'!G151+ACCESS!G151</f>
        <v>206788</v>
      </c>
      <c r="H151" s="106">
        <f>+'NEW CAR'!H151+'GT-SERV'!H151+ACCESS!H151</f>
        <v>201532</v>
      </c>
      <c r="I151" s="106">
        <f>+'NEW CAR'!I151+'GT-SERV'!I151+ACCESS!I151</f>
        <v>238736</v>
      </c>
      <c r="J151" s="106">
        <f>+'NEW CAR'!J151+'GT-SERV'!J151+ACCESS!J151</f>
        <v>454953</v>
      </c>
      <c r="K151" s="106">
        <f>+'NEW CAR'!K151+'GT-SERV'!K151+ACCESS!K151</f>
        <v>216704</v>
      </c>
      <c r="L151" s="106">
        <f>+'NEW CAR'!L151+'GT-SERV'!L151+ACCESS!L151</f>
        <v>223460</v>
      </c>
      <c r="M151" s="106">
        <f t="shared" ref="M151:M154" si="132">+SUM(A151:L151)</f>
        <v>2708167</v>
      </c>
      <c r="N151" s="16" t="s">
        <v>126</v>
      </c>
      <c r="O151" s="106">
        <f>+'NEW CAR'!O151+'GT-SERV'!O151+ACCESS!O151</f>
        <v>294614</v>
      </c>
      <c r="P151" s="106">
        <f>+'NEW CAR'!P151+'GT-SERV'!P151+ACCESS!P151</f>
        <v>310681</v>
      </c>
      <c r="Q151" s="106">
        <f>+'NEW CAR'!Q151+'GT-SERV'!Q151+ACCESS!Q151</f>
        <v>311934</v>
      </c>
      <c r="R151" s="106">
        <f>+'NEW CAR'!R151+'GT-SERV'!R151+ACCESS!R151</f>
        <v>308631</v>
      </c>
      <c r="S151" s="106">
        <f>+'NEW CAR'!S151+'GT-SERV'!S151+ACCESS!S151</f>
        <v>305572</v>
      </c>
      <c r="T151" s="106">
        <f>+'NEW CAR'!T151+'GT-SERV'!T151+ACCESS!T151</f>
        <v>325124</v>
      </c>
      <c r="U151" s="106">
        <f>+'NEW CAR'!U151+'GT-SERV'!U151+ACCESS!U151</f>
        <v>312613</v>
      </c>
      <c r="V151" s="106">
        <f>+'NEW CAR'!V151+'GT-SERV'!V151+ACCESS!V151</f>
        <v>325330</v>
      </c>
      <c r="W151" s="106">
        <f>+'NEW CAR'!W151+'GT-SERV'!W151+ACCESS!W151</f>
        <v>317535</v>
      </c>
      <c r="X151" s="106">
        <f>+'NEW CAR'!X151+'GT-SERV'!X151+ACCESS!X151</f>
        <v>349547</v>
      </c>
      <c r="Y151" s="106">
        <f>+'NEW CAR'!Y151+'GT-SERV'!Y151+ACCESS!Y151</f>
        <v>0</v>
      </c>
      <c r="Z151" s="106">
        <f>+'NEW CAR'!Z151+'GT-SERV'!Z151+ACCESS!Z151</f>
        <v>0</v>
      </c>
      <c r="AA151" s="106">
        <f t="shared" ref="AA151:AA154" si="133">+SUM(O151:Z151)</f>
        <v>3161581</v>
      </c>
      <c r="AB151" s="118"/>
      <c r="AC151" s="106">
        <f>+'NEW CAR'!AC151+'GT-SERV'!AC151+ACCESS!AC151</f>
        <v>278434.19999999995</v>
      </c>
      <c r="AD151" s="106">
        <f>+'NEW CAR'!AD151+'GT-SERV'!AD151+ACCESS!AD151</f>
        <v>278434.19999999995</v>
      </c>
      <c r="AE151" s="106">
        <f>+'NEW CAR'!AE151+'GT-SERV'!AE151+ACCESS!AE151</f>
        <v>278434.19999999995</v>
      </c>
      <c r="AF151" s="106">
        <f>+'NEW CAR'!AF151+'GT-SERV'!AF151+ACCESS!AF151</f>
        <v>278434.19999999995</v>
      </c>
      <c r="AG151" s="106">
        <f>+'NEW CAR'!AG151+'GT-SERV'!AG151+ACCESS!AG151</f>
        <v>278434.19999999995</v>
      </c>
      <c r="AH151" s="106">
        <f>+'NEW CAR'!AH151+'GT-SERV'!AH151+ACCESS!AH151</f>
        <v>278434.19999999995</v>
      </c>
      <c r="AI151" s="106">
        <f>+'NEW CAR'!AI151+'GT-SERV'!AI151+ACCESS!AI151</f>
        <v>278434.19999999995</v>
      </c>
      <c r="AJ151" s="106">
        <f>+'NEW CAR'!AJ151+'GT-SERV'!AJ151+ACCESS!AJ151</f>
        <v>278434.19999999995</v>
      </c>
      <c r="AK151" s="106">
        <f>+'NEW CAR'!AK151+'GT-SERV'!AK151+ACCESS!AK151</f>
        <v>278434.19999999995</v>
      </c>
      <c r="AL151" s="106">
        <f>+'NEW CAR'!AL151+'GT-SERV'!AL151+ACCESS!AL151</f>
        <v>278434.19999999995</v>
      </c>
      <c r="AM151" s="106">
        <f>+'NEW CAR'!AM151+'GT-SERV'!AM151+ACCESS!AM151</f>
        <v>278434.19999999995</v>
      </c>
      <c r="AN151" s="106">
        <f>+'NEW CAR'!AN151+'GT-SERV'!AN151+ACCESS!AN151</f>
        <v>278434.19999999995</v>
      </c>
      <c r="AO151" s="106">
        <f t="shared" ref="AO151:AO154" si="134">+SUM(AC151:AN151)</f>
        <v>3341210.4000000004</v>
      </c>
    </row>
    <row r="152" spans="1:41" outlineLevel="1">
      <c r="A152" s="106">
        <f>+'NEW CAR'!A152+'GT-SERV'!A152+ACCESS!A152</f>
        <v>23400</v>
      </c>
      <c r="B152" s="106">
        <f>+'NEW CAR'!B152+'GT-SERV'!B152+ACCESS!B152</f>
        <v>23625</v>
      </c>
      <c r="C152" s="106">
        <f>+'NEW CAR'!C152+'GT-SERV'!C152+ACCESS!C152</f>
        <v>23625</v>
      </c>
      <c r="D152" s="106">
        <f>+'NEW CAR'!D152+'GT-SERV'!D152+ACCESS!D152</f>
        <v>23625</v>
      </c>
      <c r="E152" s="106">
        <f>+'NEW CAR'!E152+'GT-SERV'!E152+ACCESS!E152</f>
        <v>23625</v>
      </c>
      <c r="F152" s="106">
        <f>+'NEW CAR'!F152+'GT-SERV'!F152+ACCESS!F152</f>
        <v>23625</v>
      </c>
      <c r="G152" s="106">
        <f>+'NEW CAR'!G152+'GT-SERV'!G152+ACCESS!G152</f>
        <v>23625</v>
      </c>
      <c r="H152" s="106">
        <f>+'NEW CAR'!H152+'GT-SERV'!H152+ACCESS!H152</f>
        <v>23625</v>
      </c>
      <c r="I152" s="106">
        <f>+'NEW CAR'!I152+'GT-SERV'!I152+ACCESS!I152</f>
        <v>23625</v>
      </c>
      <c r="J152" s="106">
        <f>+'NEW CAR'!J152+'GT-SERV'!J152+ACCESS!J152</f>
        <v>23625</v>
      </c>
      <c r="K152" s="106">
        <f>+'NEW CAR'!K152+'GT-SERV'!K152+ACCESS!K152</f>
        <v>23625</v>
      </c>
      <c r="L152" s="106">
        <f>+'NEW CAR'!L152+'GT-SERV'!L152+ACCESS!L152</f>
        <v>23625</v>
      </c>
      <c r="M152" s="106">
        <f t="shared" si="132"/>
        <v>283275</v>
      </c>
      <c r="N152" s="16" t="s">
        <v>229</v>
      </c>
      <c r="O152" s="106">
        <f>+'NEW CAR'!O152+'GT-SERV'!O152+ACCESS!O152</f>
        <v>24805</v>
      </c>
      <c r="P152" s="106">
        <f>+'NEW CAR'!P152+'GT-SERV'!P152+ACCESS!P152</f>
        <v>19844</v>
      </c>
      <c r="Q152" s="106">
        <f>+'NEW CAR'!Q152+'GT-SERV'!Q152+ACCESS!Q152</f>
        <v>29766</v>
      </c>
      <c r="R152" s="106">
        <f>+'NEW CAR'!R152+'GT-SERV'!R152+ACCESS!R152</f>
        <v>29766</v>
      </c>
      <c r="S152" s="106">
        <f>+'NEW CAR'!S152+'GT-SERV'!S152+ACCESS!S152</f>
        <v>29766</v>
      </c>
      <c r="T152" s="106">
        <f>+'NEW CAR'!T152+'GT-SERV'!T152+ACCESS!T152</f>
        <v>29766</v>
      </c>
      <c r="U152" s="106">
        <f>+'NEW CAR'!U152+'GT-SERV'!U152+ACCESS!U152</f>
        <v>29766</v>
      </c>
      <c r="V152" s="106">
        <f>+'NEW CAR'!V152+'GT-SERV'!V152+ACCESS!V152</f>
        <v>29766</v>
      </c>
      <c r="W152" s="106">
        <f>+'NEW CAR'!W152+'GT-SERV'!W152+ACCESS!W152</f>
        <v>29766</v>
      </c>
      <c r="X152" s="106">
        <f>+'NEW CAR'!X152+'GT-SERV'!X152+ACCESS!X152</f>
        <v>29766</v>
      </c>
      <c r="Y152" s="106">
        <f>+'NEW CAR'!Y152+'GT-SERV'!Y152+ACCESS!Y152</f>
        <v>0</v>
      </c>
      <c r="Z152" s="106">
        <f>+'NEW CAR'!Z152+'GT-SERV'!Z152+ACCESS!Z152</f>
        <v>0</v>
      </c>
      <c r="AA152" s="106">
        <f t="shared" si="133"/>
        <v>282777</v>
      </c>
      <c r="AB152" s="118"/>
      <c r="AC152" s="106">
        <f>+'NEW CAR'!AC152+'GT-SERV'!AC152+ACCESS!AC152</f>
        <v>24805</v>
      </c>
      <c r="AD152" s="106">
        <f>+'NEW CAR'!AD152+'GT-SERV'!AD152+ACCESS!AD152</f>
        <v>24805</v>
      </c>
      <c r="AE152" s="106">
        <f>+'NEW CAR'!AE152+'GT-SERV'!AE152+ACCESS!AE152</f>
        <v>24805</v>
      </c>
      <c r="AF152" s="106">
        <f>+'NEW CAR'!AF152+'GT-SERV'!AF152+ACCESS!AF152</f>
        <v>24805</v>
      </c>
      <c r="AG152" s="106">
        <f>+'NEW CAR'!AG152+'GT-SERV'!AG152+ACCESS!AG152</f>
        <v>24805</v>
      </c>
      <c r="AH152" s="106">
        <f>+'NEW CAR'!AH152+'GT-SERV'!AH152+ACCESS!AH152</f>
        <v>24805</v>
      </c>
      <c r="AI152" s="106">
        <f>+'NEW CAR'!AI152+'GT-SERV'!AI152+ACCESS!AI152</f>
        <v>24805</v>
      </c>
      <c r="AJ152" s="106">
        <f>+'NEW CAR'!AJ152+'GT-SERV'!AJ152+ACCESS!AJ152</f>
        <v>24805</v>
      </c>
      <c r="AK152" s="106">
        <f>+'NEW CAR'!AK152+'GT-SERV'!AK152+ACCESS!AK152</f>
        <v>24805</v>
      </c>
      <c r="AL152" s="106">
        <f>+'NEW CAR'!AL152+'GT-SERV'!AL152+ACCESS!AL152</f>
        <v>24805</v>
      </c>
      <c r="AM152" s="106">
        <f>+'NEW CAR'!AM152+'GT-SERV'!AM152+ACCESS!AM152</f>
        <v>24805</v>
      </c>
      <c r="AN152" s="106">
        <f>+'NEW CAR'!AN152+'GT-SERV'!AN152+ACCESS!AN152</f>
        <v>24805</v>
      </c>
      <c r="AO152" s="106">
        <f t="shared" si="134"/>
        <v>297660</v>
      </c>
    </row>
    <row r="153" spans="1:41" outlineLevel="1">
      <c r="A153" s="106">
        <f>+'NEW CAR'!A153+'GT-SERV'!A153+ACCESS!A153</f>
        <v>111000</v>
      </c>
      <c r="B153" s="106">
        <f>+'NEW CAR'!B153+'GT-SERV'!B153+ACCESS!B153</f>
        <v>111000</v>
      </c>
      <c r="C153" s="106">
        <f>+'NEW CAR'!C153+'GT-SERV'!C153+ACCESS!C153</f>
        <v>111000</v>
      </c>
      <c r="D153" s="106">
        <f>+'NEW CAR'!D153+'GT-SERV'!D153+ACCESS!D153</f>
        <v>111000</v>
      </c>
      <c r="E153" s="106">
        <f>+'NEW CAR'!E153+'GT-SERV'!E153+ACCESS!E153</f>
        <v>111000</v>
      </c>
      <c r="F153" s="106">
        <f>+'NEW CAR'!F153+'GT-SERV'!F153+ACCESS!F153</f>
        <v>111000</v>
      </c>
      <c r="G153" s="106">
        <f>+'NEW CAR'!G153+'GT-SERV'!G153+ACCESS!G153</f>
        <v>111000</v>
      </c>
      <c r="H153" s="106">
        <f>+'NEW CAR'!H153+'GT-SERV'!H153+ACCESS!H153</f>
        <v>111000</v>
      </c>
      <c r="I153" s="106">
        <f>+'NEW CAR'!I153+'GT-SERV'!I153+ACCESS!I153</f>
        <v>111000</v>
      </c>
      <c r="J153" s="106">
        <f>+'NEW CAR'!J153+'GT-SERV'!J153+ACCESS!J153</f>
        <v>111000</v>
      </c>
      <c r="K153" s="106">
        <f>+'NEW CAR'!K153+'GT-SERV'!K153+ACCESS!K153</f>
        <v>111000</v>
      </c>
      <c r="L153" s="106">
        <f>+'NEW CAR'!L153+'GT-SERV'!L153+ACCESS!L153</f>
        <v>127000</v>
      </c>
      <c r="M153" s="106">
        <f t="shared" si="132"/>
        <v>1348000</v>
      </c>
      <c r="N153" s="16" t="s">
        <v>127</v>
      </c>
      <c r="O153" s="106">
        <f>+'NEW CAR'!O153+'GT-SERV'!O153+ACCESS!O153</f>
        <v>127000</v>
      </c>
      <c r="P153" s="106">
        <f>+'NEW CAR'!P153+'GT-SERV'!P153+ACCESS!P153</f>
        <v>143000</v>
      </c>
      <c r="Q153" s="106">
        <f>+'NEW CAR'!Q153+'GT-SERV'!Q153+ACCESS!Q153</f>
        <v>143000</v>
      </c>
      <c r="R153" s="106">
        <f>+'NEW CAR'!R153+'GT-SERV'!R153+ACCESS!R153</f>
        <v>155000</v>
      </c>
      <c r="S153" s="106">
        <f>+'NEW CAR'!S153+'GT-SERV'!S153+ACCESS!S153</f>
        <v>155000</v>
      </c>
      <c r="T153" s="106">
        <f>+'NEW CAR'!T153+'GT-SERV'!T153+ACCESS!T153</f>
        <v>177000</v>
      </c>
      <c r="U153" s="106">
        <f>+'NEW CAR'!U153+'GT-SERV'!U153+ACCESS!U153</f>
        <v>173000</v>
      </c>
      <c r="V153" s="106">
        <f>+'NEW CAR'!V153+'GT-SERV'!V153+ACCESS!V153</f>
        <v>173000</v>
      </c>
      <c r="W153" s="106">
        <f>+'NEW CAR'!W153+'GT-SERV'!W153+ACCESS!W153</f>
        <v>173000</v>
      </c>
      <c r="X153" s="106">
        <f>+'NEW CAR'!X153+'GT-SERV'!X153+ACCESS!X153</f>
        <v>173000</v>
      </c>
      <c r="Y153" s="106">
        <f>+'NEW CAR'!Y153+'GT-SERV'!Y153+ACCESS!Y153</f>
        <v>0</v>
      </c>
      <c r="Z153" s="106">
        <f>+'NEW CAR'!Z153+'GT-SERV'!Z153+ACCESS!Z153</f>
        <v>0</v>
      </c>
      <c r="AA153" s="106">
        <f t="shared" si="133"/>
        <v>1592000</v>
      </c>
      <c r="AB153" s="118"/>
      <c r="AC153" s="106">
        <f>+'NEW CAR'!AC153+'GT-SERV'!AC153+ACCESS!AC153</f>
        <v>143000</v>
      </c>
      <c r="AD153" s="106">
        <f>+'NEW CAR'!AD153+'GT-SERV'!AD153+ACCESS!AD153</f>
        <v>143000</v>
      </c>
      <c r="AE153" s="106">
        <f>+'NEW CAR'!AE153+'GT-SERV'!AE153+ACCESS!AE153</f>
        <v>143000</v>
      </c>
      <c r="AF153" s="106">
        <f>+'NEW CAR'!AF153+'GT-SERV'!AF153+ACCESS!AF153</f>
        <v>143000</v>
      </c>
      <c r="AG153" s="106">
        <f>+'NEW CAR'!AG153+'GT-SERV'!AG153+ACCESS!AG153</f>
        <v>143000</v>
      </c>
      <c r="AH153" s="106">
        <f>+'NEW CAR'!AH153+'GT-SERV'!AH153+ACCESS!AH153</f>
        <v>143000</v>
      </c>
      <c r="AI153" s="106">
        <f>+'NEW CAR'!AI153+'GT-SERV'!AI153+ACCESS!AI153</f>
        <v>143000</v>
      </c>
      <c r="AJ153" s="106">
        <f>+'NEW CAR'!AJ153+'GT-SERV'!AJ153+ACCESS!AJ153</f>
        <v>143000</v>
      </c>
      <c r="AK153" s="106">
        <f>+'NEW CAR'!AK153+'GT-SERV'!AK153+ACCESS!AK153</f>
        <v>143000</v>
      </c>
      <c r="AL153" s="106">
        <f>+'NEW CAR'!AL153+'GT-SERV'!AL153+ACCESS!AL153</f>
        <v>143000</v>
      </c>
      <c r="AM153" s="106">
        <f>+'NEW CAR'!AM153+'GT-SERV'!AM153+ACCESS!AM153</f>
        <v>143000</v>
      </c>
      <c r="AN153" s="106">
        <f>+'NEW CAR'!AN153+'GT-SERV'!AN153+ACCESS!AN153</f>
        <v>143000</v>
      </c>
      <c r="AO153" s="106">
        <f t="shared" si="134"/>
        <v>1716000</v>
      </c>
    </row>
    <row r="154" spans="1:41" outlineLevel="1">
      <c r="A154" s="106">
        <f>+'NEW CAR'!A154+'GT-SERV'!A154+ACCESS!A154</f>
        <v>47405</v>
      </c>
      <c r="B154" s="106">
        <f>+'NEW CAR'!B154+'GT-SERV'!B154+ACCESS!B154</f>
        <v>1500</v>
      </c>
      <c r="C154" s="106">
        <f>+'NEW CAR'!C154+'GT-SERV'!C154+ACCESS!C154</f>
        <v>25900</v>
      </c>
      <c r="D154" s="106">
        <f>+'NEW CAR'!D154+'GT-SERV'!D154+ACCESS!D154</f>
        <v>2600</v>
      </c>
      <c r="E154" s="106">
        <f>+'NEW CAR'!E154+'GT-SERV'!E154+ACCESS!E154</f>
        <v>37200</v>
      </c>
      <c r="F154" s="106">
        <f>+'NEW CAR'!F154+'GT-SERV'!F154+ACCESS!F154</f>
        <v>3700</v>
      </c>
      <c r="G154" s="106">
        <f>+'NEW CAR'!G154+'GT-SERV'!G154+ACCESS!G154</f>
        <v>14300</v>
      </c>
      <c r="H154" s="106">
        <f>+'NEW CAR'!H154+'GT-SERV'!H154+ACCESS!H154</f>
        <v>19600</v>
      </c>
      <c r="I154" s="106">
        <f>+'NEW CAR'!I154+'GT-SERV'!I154+ACCESS!I154</f>
        <v>2550</v>
      </c>
      <c r="J154" s="106">
        <f>+'NEW CAR'!J154+'GT-SERV'!J154+ACCESS!J154</f>
        <v>2300</v>
      </c>
      <c r="K154" s="106">
        <f>+'NEW CAR'!K154+'GT-SERV'!K154+ACCESS!K154</f>
        <v>2490</v>
      </c>
      <c r="L154" s="106">
        <f>+'NEW CAR'!L154+'GT-SERV'!L154+ACCESS!L154</f>
        <v>32400</v>
      </c>
      <c r="M154" s="106">
        <f t="shared" si="132"/>
        <v>191945</v>
      </c>
      <c r="N154" s="16" t="s">
        <v>128</v>
      </c>
      <c r="O154" s="106">
        <f>+'NEW CAR'!O154+'GT-SERV'!O154+ACCESS!O154</f>
        <v>5500</v>
      </c>
      <c r="P154" s="106">
        <f>+'NEW CAR'!P154+'GT-SERV'!P154+ACCESS!P154</f>
        <v>2500</v>
      </c>
      <c r="Q154" s="106">
        <f>+'NEW CAR'!Q154+'GT-SERV'!Q154+ACCESS!Q154</f>
        <v>3000</v>
      </c>
      <c r="R154" s="106">
        <f>+'NEW CAR'!R154+'GT-SERV'!R154+ACCESS!R154</f>
        <v>2650</v>
      </c>
      <c r="S154" s="106">
        <f>+'NEW CAR'!S154+'GT-SERV'!S154+ACCESS!S154</f>
        <v>6800</v>
      </c>
      <c r="T154" s="106">
        <f>+'NEW CAR'!T154+'GT-SERV'!T154+ACCESS!T154</f>
        <v>15750</v>
      </c>
      <c r="U154" s="106">
        <f>+'NEW CAR'!U154+'GT-SERV'!U154+ACCESS!U154</f>
        <v>10180</v>
      </c>
      <c r="V154" s="106">
        <f>+'NEW CAR'!V154+'GT-SERV'!V154+ACCESS!V154</f>
        <v>2500</v>
      </c>
      <c r="W154" s="106">
        <f>+'NEW CAR'!W154+'GT-SERV'!W154+ACCESS!W154</f>
        <v>139700</v>
      </c>
      <c r="X154" s="106">
        <f>+'NEW CAR'!X154+'GT-SERV'!X154+ACCESS!X154</f>
        <v>7500</v>
      </c>
      <c r="Y154" s="106">
        <f>+'NEW CAR'!Y154+'GT-SERV'!Y154+ACCESS!Y154</f>
        <v>0</v>
      </c>
      <c r="Z154" s="106">
        <f>+'NEW CAR'!Z154+'GT-SERV'!Z154+ACCESS!Z154</f>
        <v>0</v>
      </c>
      <c r="AA154" s="106">
        <f t="shared" si="133"/>
        <v>196080</v>
      </c>
      <c r="AB154" s="118"/>
      <c r="AC154" s="106">
        <f>+'NEW CAR'!AC154+'GT-SERV'!AC154+ACCESS!AC154</f>
        <v>25500</v>
      </c>
      <c r="AD154" s="106">
        <f>+'NEW CAR'!AD154+'GT-SERV'!AD154+ACCESS!AD154</f>
        <v>25500</v>
      </c>
      <c r="AE154" s="106">
        <f>+'NEW CAR'!AE154+'GT-SERV'!AE154+ACCESS!AE154</f>
        <v>25500</v>
      </c>
      <c r="AF154" s="106">
        <f>+'NEW CAR'!AF154+'GT-SERV'!AF154+ACCESS!AF154</f>
        <v>25500</v>
      </c>
      <c r="AG154" s="106">
        <f>+'NEW CAR'!AG154+'GT-SERV'!AG154+ACCESS!AG154</f>
        <v>25500</v>
      </c>
      <c r="AH154" s="106">
        <f>+'NEW CAR'!AH154+'GT-SERV'!AH154+ACCESS!AH154</f>
        <v>25500</v>
      </c>
      <c r="AI154" s="106">
        <f>+'NEW CAR'!AI154+'GT-SERV'!AI154+ACCESS!AI154</f>
        <v>25500</v>
      </c>
      <c r="AJ154" s="106">
        <f>+'NEW CAR'!AJ154+'GT-SERV'!AJ154+ACCESS!AJ154</f>
        <v>25500</v>
      </c>
      <c r="AK154" s="106">
        <f>+'NEW CAR'!AK154+'GT-SERV'!AK154+ACCESS!AK154</f>
        <v>25500</v>
      </c>
      <c r="AL154" s="106">
        <f>+'NEW CAR'!AL154+'GT-SERV'!AL154+ACCESS!AL154</f>
        <v>25500</v>
      </c>
      <c r="AM154" s="106">
        <f>+'NEW CAR'!AM154+'GT-SERV'!AM154+ACCESS!AM154</f>
        <v>25500</v>
      </c>
      <c r="AN154" s="106">
        <f>+'NEW CAR'!AN154+'GT-SERV'!AN154+ACCESS!AN154</f>
        <v>25500</v>
      </c>
      <c r="AO154" s="106">
        <f t="shared" si="134"/>
        <v>306000</v>
      </c>
    </row>
    <row r="155" spans="1:4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18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</row>
    <row r="156" spans="1:41" ht="17.25">
      <c r="A156" s="58">
        <f>+A157+A164+A172+A178+A182+A187+A193+A205+A209+A214</f>
        <v>2643955.4066666663</v>
      </c>
      <c r="B156" s="58">
        <f t="shared" ref="B156:K156" si="135">+B157+B164+B172+B178+B182+B187+B193+B205+B209+B214</f>
        <v>2709960.3933333331</v>
      </c>
      <c r="C156" s="58">
        <f t="shared" si="135"/>
        <v>3142822.2033333331</v>
      </c>
      <c r="D156" s="58">
        <f t="shared" si="135"/>
        <v>2430148.1733333333</v>
      </c>
      <c r="E156" s="58">
        <f t="shared" si="135"/>
        <v>2558057.7533333334</v>
      </c>
      <c r="F156" s="58">
        <f t="shared" si="135"/>
        <v>3151902.5633333335</v>
      </c>
      <c r="G156" s="58">
        <f t="shared" si="135"/>
        <v>2813383.4666633336</v>
      </c>
      <c r="H156" s="58">
        <f t="shared" si="135"/>
        <v>2703549.1530769235</v>
      </c>
      <c r="I156" s="58">
        <f t="shared" si="135"/>
        <v>2923181.3033333332</v>
      </c>
      <c r="J156" s="58">
        <f t="shared" si="135"/>
        <v>2575457.7833333337</v>
      </c>
      <c r="K156" s="58">
        <f t="shared" si="135"/>
        <v>2777626.36</v>
      </c>
      <c r="L156" s="58">
        <f>+L157+L164+L172+L178+L182+L187+L193+L205+L209+L214</f>
        <v>3460821.87</v>
      </c>
      <c r="M156" s="58">
        <f>+M157+M164+M172+M178+M182+M187+M193+M205+M209+M214</f>
        <v>33890866.42974025</v>
      </c>
      <c r="N156" s="19" t="s">
        <v>129</v>
      </c>
      <c r="O156" s="58">
        <f>+O157+O164+O172+O178+O182+O187+O193+O205+O209+O214</f>
        <v>3991996.3125</v>
      </c>
      <c r="P156" s="58">
        <f t="shared" ref="P156:Z156" si="136">+P157+P164+P172+P178+P182+P187+P193+P205+P209+P214</f>
        <v>4184207.8425000003</v>
      </c>
      <c r="Q156" s="58">
        <f t="shared" si="136"/>
        <v>3987678.35</v>
      </c>
      <c r="R156" s="58">
        <f t="shared" si="136"/>
        <v>3865771.85</v>
      </c>
      <c r="S156" s="58">
        <f t="shared" si="136"/>
        <v>4561647.8430000003</v>
      </c>
      <c r="T156" s="58">
        <f t="shared" si="136"/>
        <v>4578015.84</v>
      </c>
      <c r="U156" s="58">
        <f t="shared" si="136"/>
        <v>4610787.7017609933</v>
      </c>
      <c r="V156" s="58">
        <f t="shared" si="136"/>
        <v>4040903.7399999998</v>
      </c>
      <c r="W156" s="58">
        <f t="shared" si="136"/>
        <v>4784168.543333333</v>
      </c>
      <c r="X156" s="58">
        <f t="shared" si="136"/>
        <v>4513716.899375</v>
      </c>
      <c r="Y156" s="58">
        <f t="shared" si="136"/>
        <v>0</v>
      </c>
      <c r="Z156" s="58">
        <f t="shared" si="136"/>
        <v>0</v>
      </c>
      <c r="AA156" s="58">
        <f>+AA157+AA164+AA172+AA178+AA182+AA187+AA193+AA205+AA209+AA214</f>
        <v>43118894.922469325</v>
      </c>
      <c r="AB156" s="118"/>
      <c r="AC156" s="58">
        <f>+AC157+AC164+AC172+AC178+AC182+AC187+AC193+AC205+AC209+AC214</f>
        <v>4023889.5039185733</v>
      </c>
      <c r="AD156" s="58">
        <f t="shared" ref="AD156:AN156" si="137">+AD157+AD164+AD172+AD178+AD182+AD187+AD193+AD205+AD209+AD214</f>
        <v>3833889.5039185733</v>
      </c>
      <c r="AE156" s="58">
        <f t="shared" si="137"/>
        <v>3779516.5113731185</v>
      </c>
      <c r="AF156" s="58">
        <f t="shared" si="137"/>
        <v>3780409.0113731185</v>
      </c>
      <c r="AG156" s="58">
        <f t="shared" si="137"/>
        <v>3840409.0113731185</v>
      </c>
      <c r="AH156" s="58">
        <f t="shared" si="137"/>
        <v>3795911.7328739516</v>
      </c>
      <c r="AI156" s="58">
        <f t="shared" si="137"/>
        <v>3820514.0078739519</v>
      </c>
      <c r="AJ156" s="58">
        <f t="shared" si="137"/>
        <v>3799514.0078739519</v>
      </c>
      <c r="AK156" s="58">
        <f t="shared" si="137"/>
        <v>3841934.4855952021</v>
      </c>
      <c r="AL156" s="58">
        <f t="shared" si="137"/>
        <v>3881612.1600952018</v>
      </c>
      <c r="AM156" s="58">
        <f t="shared" si="137"/>
        <v>3812612.1600952018</v>
      </c>
      <c r="AN156" s="58">
        <f t="shared" si="137"/>
        <v>3852612.1600952018</v>
      </c>
      <c r="AO156" s="58">
        <f>+AO157+AO164+AO172+AO178+AO182+AO187+AO193+AO205+AO209+AO214</f>
        <v>46062824.256459169</v>
      </c>
    </row>
    <row r="157" spans="1:41" outlineLevel="1">
      <c r="A157" s="58">
        <f t="shared" ref="A157:M157" si="138">+SUM(A158:A162)</f>
        <v>162915.22000000003</v>
      </c>
      <c r="B157" s="58">
        <f t="shared" si="138"/>
        <v>243727.41</v>
      </c>
      <c r="C157" s="58">
        <f t="shared" si="138"/>
        <v>393043.82999999996</v>
      </c>
      <c r="D157" s="58">
        <f t="shared" si="138"/>
        <v>160109.79999999999</v>
      </c>
      <c r="E157" s="58">
        <f t="shared" si="138"/>
        <v>126514.09</v>
      </c>
      <c r="F157" s="58">
        <f t="shared" si="138"/>
        <v>779675.23</v>
      </c>
      <c r="G157" s="58">
        <f t="shared" si="138"/>
        <v>246811.68</v>
      </c>
      <c r="H157" s="58">
        <f t="shared" si="138"/>
        <v>376237.4</v>
      </c>
      <c r="I157" s="58">
        <f t="shared" si="138"/>
        <v>285698.92</v>
      </c>
      <c r="J157" s="58">
        <f t="shared" si="138"/>
        <v>165253.04</v>
      </c>
      <c r="K157" s="58">
        <f t="shared" si="138"/>
        <v>132246.14000000001</v>
      </c>
      <c r="L157" s="58">
        <f t="shared" si="138"/>
        <v>379563.5</v>
      </c>
      <c r="M157" s="58">
        <f t="shared" si="138"/>
        <v>3451796.2600000002</v>
      </c>
      <c r="N157" s="20" t="s">
        <v>130</v>
      </c>
      <c r="O157" s="58">
        <f t="shared" ref="O157:AA157" si="139">+SUM(O158:O162)</f>
        <v>233954.24</v>
      </c>
      <c r="P157" s="58">
        <f t="shared" si="139"/>
        <v>644361.48</v>
      </c>
      <c r="Q157" s="58">
        <f t="shared" si="139"/>
        <v>318045.01</v>
      </c>
      <c r="R157" s="58">
        <f t="shared" si="139"/>
        <v>130823.37</v>
      </c>
      <c r="S157" s="58">
        <f t="shared" si="139"/>
        <v>176015.68</v>
      </c>
      <c r="T157" s="58">
        <f t="shared" si="139"/>
        <v>563859.35</v>
      </c>
      <c r="U157" s="58">
        <f t="shared" si="139"/>
        <v>360937.72583333339</v>
      </c>
      <c r="V157" s="58">
        <f t="shared" si="139"/>
        <v>290931.19999999995</v>
      </c>
      <c r="W157" s="58">
        <f t="shared" si="139"/>
        <v>958172.49</v>
      </c>
      <c r="X157" s="58">
        <f t="shared" si="139"/>
        <v>697297.85</v>
      </c>
      <c r="Y157" s="58">
        <f t="shared" si="139"/>
        <v>0</v>
      </c>
      <c r="Z157" s="58">
        <f t="shared" si="139"/>
        <v>0</v>
      </c>
      <c r="AA157" s="58">
        <f t="shared" si="139"/>
        <v>4374398.395833333</v>
      </c>
      <c r="AB157" s="118"/>
      <c r="AC157" s="58">
        <f t="shared" ref="AC157:AN157" si="140">+SUM(AC158:AC162)</f>
        <v>287125.53283777781</v>
      </c>
      <c r="AD157" s="58">
        <f t="shared" si="140"/>
        <v>247125.53283777781</v>
      </c>
      <c r="AE157" s="58">
        <f t="shared" si="140"/>
        <v>247125.53283777781</v>
      </c>
      <c r="AF157" s="58">
        <f t="shared" si="140"/>
        <v>248018.03283777781</v>
      </c>
      <c r="AG157" s="58">
        <f t="shared" si="140"/>
        <v>248018.03283777781</v>
      </c>
      <c r="AH157" s="58">
        <f t="shared" si="140"/>
        <v>248018.03283777781</v>
      </c>
      <c r="AI157" s="58">
        <f t="shared" si="140"/>
        <v>273018.03283777781</v>
      </c>
      <c r="AJ157" s="58">
        <f t="shared" si="140"/>
        <v>248018.03283777781</v>
      </c>
      <c r="AK157" s="58">
        <f t="shared" si="140"/>
        <v>238739.26290277779</v>
      </c>
      <c r="AL157" s="58">
        <f t="shared" si="140"/>
        <v>240521.75386111106</v>
      </c>
      <c r="AM157" s="58">
        <f t="shared" si="140"/>
        <v>240521.75386111106</v>
      </c>
      <c r="AN157" s="58">
        <f t="shared" si="140"/>
        <v>280521.75386111106</v>
      </c>
      <c r="AO157" s="58">
        <f>+SUM(AO158:AO162)</f>
        <v>3046771.2871883325</v>
      </c>
    </row>
    <row r="158" spans="1:41" outlineLevel="1">
      <c r="A158" s="106">
        <f>+'NEW CAR'!A158+'GT-SERV'!A158+ACCESS!A158</f>
        <v>0</v>
      </c>
      <c r="B158" s="106">
        <f>+'NEW CAR'!B158+'GT-SERV'!B158+ACCESS!B158</f>
        <v>107364</v>
      </c>
      <c r="C158" s="106">
        <f>+'NEW CAR'!C158+'GT-SERV'!C158+ACCESS!C158</f>
        <v>34725</v>
      </c>
      <c r="D158" s="106">
        <f>+'NEW CAR'!D158+'GT-SERV'!D158+ACCESS!D158</f>
        <v>24477</v>
      </c>
      <c r="E158" s="106">
        <f>+'NEW CAR'!E158+'GT-SERV'!E158+ACCESS!E158</f>
        <v>21306.91</v>
      </c>
      <c r="F158" s="106">
        <f>+'NEW CAR'!F158+'GT-SERV'!F158+ACCESS!F158</f>
        <v>505837.76</v>
      </c>
      <c r="G158" s="106">
        <f>+'NEW CAR'!G158+'GT-SERV'!G158+ACCESS!G158</f>
        <v>100665.61</v>
      </c>
      <c r="H158" s="106">
        <f>+'NEW CAR'!H158+'GT-SERV'!H158+ACCESS!H158</f>
        <v>141688</v>
      </c>
      <c r="I158" s="106">
        <f>+'NEW CAR'!I158+'GT-SERV'!I158+ACCESS!I158</f>
        <v>105890</v>
      </c>
      <c r="J158" s="106">
        <f>+'NEW CAR'!J158+'GT-SERV'!J158+ACCESS!J158</f>
        <v>0</v>
      </c>
      <c r="K158" s="106">
        <f>+'NEW CAR'!K158+'GT-SERV'!K158+ACCESS!K158</f>
        <v>44350</v>
      </c>
      <c r="L158" s="106">
        <f>+'NEW CAR'!L158+'GT-SERV'!L158+ACCESS!L158</f>
        <v>291256</v>
      </c>
      <c r="M158" s="106">
        <f t="shared" ref="M158:M162" si="141">+SUM(A158:L158)</f>
        <v>1377560.28</v>
      </c>
      <c r="N158" s="16" t="s">
        <v>131</v>
      </c>
      <c r="O158" s="106">
        <f>+'NEW CAR'!O158+'GT-SERV'!O158+ACCESS!O158</f>
        <v>1960</v>
      </c>
      <c r="P158" s="106">
        <f>+'NEW CAR'!P158+'GT-SERV'!P158+ACCESS!P158</f>
        <v>165000</v>
      </c>
      <c r="Q158" s="106">
        <f>+'NEW CAR'!Q158+'GT-SERV'!Q158+ACCESS!Q158</f>
        <v>116900</v>
      </c>
      <c r="R158" s="106">
        <f>+'NEW CAR'!R158+'GT-SERV'!R158+ACCESS!R158</f>
        <v>0</v>
      </c>
      <c r="S158" s="106">
        <f>+'NEW CAR'!S158+'GT-SERV'!S158+ACCESS!S158</f>
        <v>38005.289999999994</v>
      </c>
      <c r="T158" s="106">
        <f>+'NEW CAR'!T158+'GT-SERV'!T158+ACCESS!T158</f>
        <v>125463.88</v>
      </c>
      <c r="U158" s="106">
        <f>+'NEW CAR'!U158+'GT-SERV'!U158+ACCESS!U158</f>
        <v>0</v>
      </c>
      <c r="V158" s="106">
        <f>+'NEW CAR'!V158+'GT-SERV'!V158+ACCESS!V158</f>
        <v>64957.42</v>
      </c>
      <c r="W158" s="106">
        <f>+'NEW CAR'!W158+'GT-SERV'!W158+ACCESS!W158</f>
        <v>402430</v>
      </c>
      <c r="X158" s="106">
        <f>+'NEW CAR'!X158+'GT-SERV'!X158+ACCESS!X158</f>
        <v>295000</v>
      </c>
      <c r="Y158" s="106">
        <f>+'NEW CAR'!Y158+'GT-SERV'!Y158+ACCESS!Y158</f>
        <v>0</v>
      </c>
      <c r="Z158" s="106">
        <f>+'NEW CAR'!Z158+'GT-SERV'!Z158+ACCESS!Z158</f>
        <v>0</v>
      </c>
      <c r="AA158" s="106">
        <f t="shared" ref="AA158:AA162" si="142">+SUM(O158:Z158)</f>
        <v>1209716.5899999999</v>
      </c>
      <c r="AB158" s="118"/>
      <c r="AC158" s="106">
        <f>+'NEW CAR'!AC158+'GT-SERV'!AC158+ACCESS!AC158</f>
        <v>108760</v>
      </c>
      <c r="AD158" s="106">
        <f>+'NEW CAR'!AD158+'GT-SERV'!AD158+ACCESS!AD158</f>
        <v>108760</v>
      </c>
      <c r="AE158" s="106">
        <f>+'NEW CAR'!AE158+'GT-SERV'!AE158+ACCESS!AE158</f>
        <v>108760</v>
      </c>
      <c r="AF158" s="106">
        <f>+'NEW CAR'!AF158+'GT-SERV'!AF158+ACCESS!AF158</f>
        <v>108760</v>
      </c>
      <c r="AG158" s="106">
        <f>+'NEW CAR'!AG158+'GT-SERV'!AG158+ACCESS!AG158</f>
        <v>108760</v>
      </c>
      <c r="AH158" s="106">
        <f>+'NEW CAR'!AH158+'GT-SERV'!AH158+ACCESS!AH158</f>
        <v>108760</v>
      </c>
      <c r="AI158" s="106">
        <f>+'NEW CAR'!AI158+'GT-SERV'!AI158+ACCESS!AI158</f>
        <v>108760</v>
      </c>
      <c r="AJ158" s="106">
        <f>+'NEW CAR'!AJ158+'GT-SERV'!AJ158+ACCESS!AJ158</f>
        <v>108760</v>
      </c>
      <c r="AK158" s="106">
        <f>+'NEW CAR'!AK158+'GT-SERV'!AK158+ACCESS!AK158</f>
        <v>108760</v>
      </c>
      <c r="AL158" s="106">
        <f>+'NEW CAR'!AL158+'GT-SERV'!AL158+ACCESS!AL158</f>
        <v>108760</v>
      </c>
      <c r="AM158" s="106">
        <f>+'NEW CAR'!AM158+'GT-SERV'!AM158+ACCESS!AM158</f>
        <v>108760</v>
      </c>
      <c r="AN158" s="106">
        <f>+'NEW CAR'!AN158+'GT-SERV'!AN158+ACCESS!AN158</f>
        <v>108760</v>
      </c>
      <c r="AO158" s="106">
        <f t="shared" ref="AO158:AO162" si="143">+SUM(AC158:AN158)</f>
        <v>1305120</v>
      </c>
    </row>
    <row r="159" spans="1:41" outlineLevel="1">
      <c r="A159" s="106">
        <f>+'NEW CAR'!A159+'GT-SERV'!A159+ACCESS!A159</f>
        <v>12479.94</v>
      </c>
      <c r="B159" s="106">
        <f>+'NEW CAR'!B159+'GT-SERV'!B159+ACCESS!B159</f>
        <v>7246.5599999999995</v>
      </c>
      <c r="C159" s="106">
        <f>+'NEW CAR'!C159+'GT-SERV'!C159+ACCESS!C159</f>
        <v>27541.57</v>
      </c>
      <c r="D159" s="106">
        <f>+'NEW CAR'!D159+'GT-SERV'!D159+ACCESS!D159</f>
        <v>1864.41</v>
      </c>
      <c r="E159" s="106">
        <f>+'NEW CAR'!E159+'GT-SERV'!E159+ACCESS!E159</f>
        <v>4633.8999999999996</v>
      </c>
      <c r="F159" s="106">
        <f>+'NEW CAR'!F159+'GT-SERV'!F159+ACCESS!F159</f>
        <v>3046.61</v>
      </c>
      <c r="G159" s="106">
        <f>+'NEW CAR'!G159+'GT-SERV'!G159+ACCESS!G159</f>
        <v>4332.07</v>
      </c>
      <c r="H159" s="106">
        <f>+'NEW CAR'!H159+'GT-SERV'!H159+ACCESS!H159</f>
        <v>15864.4</v>
      </c>
      <c r="I159" s="106">
        <f>+'NEW CAR'!I159+'GT-SERV'!I159+ACCESS!I159</f>
        <v>4372.8500000000004</v>
      </c>
      <c r="J159" s="106">
        <f>+'NEW CAR'!J159+'GT-SERV'!J159+ACCESS!J159</f>
        <v>4529.67</v>
      </c>
      <c r="K159" s="106">
        <f>+'NEW CAR'!K159+'GT-SERV'!K159+ACCESS!K159</f>
        <v>2664.41</v>
      </c>
      <c r="L159" s="106">
        <f>+'NEW CAR'!L159+'GT-SERV'!L159+ACCESS!L159</f>
        <v>0</v>
      </c>
      <c r="M159" s="106">
        <f t="shared" si="141"/>
        <v>88576.390000000014</v>
      </c>
      <c r="N159" s="16" t="s">
        <v>132</v>
      </c>
      <c r="O159" s="106">
        <f>+'NEW CAR'!O159+'GT-SERV'!O159+ACCESS!O159</f>
        <v>0</v>
      </c>
      <c r="P159" s="106">
        <f>+'NEW CAR'!P159+'GT-SERV'!P159+ACCESS!P159</f>
        <v>0</v>
      </c>
      <c r="Q159" s="106">
        <f>+'NEW CAR'!Q159+'GT-SERV'!Q159+ACCESS!Q159</f>
        <v>4650</v>
      </c>
      <c r="R159" s="106">
        <f>+'NEW CAR'!R159+'GT-SERV'!R159+ACCESS!R159</f>
        <v>3604.24</v>
      </c>
      <c r="S159" s="106">
        <f>+'NEW CAR'!S159+'GT-SERV'!S159+ACCESS!S159</f>
        <v>0</v>
      </c>
      <c r="T159" s="106">
        <f>+'NEW CAR'!T159+'GT-SERV'!T159+ACCESS!T159</f>
        <v>21773.729999999996</v>
      </c>
      <c r="U159" s="106">
        <f>+'NEW CAR'!U159+'GT-SERV'!U159+ACCESS!U159</f>
        <v>0</v>
      </c>
      <c r="V159" s="106">
        <f>+'NEW CAR'!V159+'GT-SERV'!V159+ACCESS!V159</f>
        <v>10550</v>
      </c>
      <c r="W159" s="106">
        <f>+'NEW CAR'!W159+'GT-SERV'!W159+ACCESS!W159</f>
        <v>17260.350000000002</v>
      </c>
      <c r="X159" s="106">
        <f>+'NEW CAR'!X159+'GT-SERV'!X159+ACCESS!X159</f>
        <v>9640.68</v>
      </c>
      <c r="Y159" s="106">
        <f>+'NEW CAR'!Y159+'GT-SERV'!Y159+ACCESS!Y159</f>
        <v>0</v>
      </c>
      <c r="Z159" s="106">
        <f>+'NEW CAR'!Z159+'GT-SERV'!Z159+ACCESS!Z159</f>
        <v>0</v>
      </c>
      <c r="AA159" s="106">
        <f t="shared" si="142"/>
        <v>67479</v>
      </c>
      <c r="AB159" s="118"/>
      <c r="AC159" s="106">
        <f>+'NEW CAR'!AC159+'GT-SERV'!AC159+ACCESS!AC159</f>
        <v>15000</v>
      </c>
      <c r="AD159" s="106">
        <f>+'NEW CAR'!AD159+'GT-SERV'!AD159+ACCESS!AD159</f>
        <v>15000</v>
      </c>
      <c r="AE159" s="106">
        <f>+'NEW CAR'!AE159+'GT-SERV'!AE159+ACCESS!AE159</f>
        <v>15000</v>
      </c>
      <c r="AF159" s="106">
        <f>+'NEW CAR'!AF159+'GT-SERV'!AF159+ACCESS!AF159</f>
        <v>15000</v>
      </c>
      <c r="AG159" s="106">
        <f>+'NEW CAR'!AG159+'GT-SERV'!AG159+ACCESS!AG159</f>
        <v>15000</v>
      </c>
      <c r="AH159" s="106">
        <f>+'NEW CAR'!AH159+'GT-SERV'!AH159+ACCESS!AH159</f>
        <v>15000</v>
      </c>
      <c r="AI159" s="106">
        <f>+'NEW CAR'!AI159+'GT-SERV'!AI159+ACCESS!AI159</f>
        <v>15000</v>
      </c>
      <c r="AJ159" s="106">
        <f>+'NEW CAR'!AJ159+'GT-SERV'!AJ159+ACCESS!AJ159</f>
        <v>15000</v>
      </c>
      <c r="AK159" s="106">
        <f>+'NEW CAR'!AK159+'GT-SERV'!AK159+ACCESS!AK159</f>
        <v>15000</v>
      </c>
      <c r="AL159" s="106">
        <f>+'NEW CAR'!AL159+'GT-SERV'!AL159+ACCESS!AL159</f>
        <v>15000</v>
      </c>
      <c r="AM159" s="106">
        <f>+'NEW CAR'!AM159+'GT-SERV'!AM159+ACCESS!AM159</f>
        <v>15000</v>
      </c>
      <c r="AN159" s="106">
        <f>+'NEW CAR'!AN159+'GT-SERV'!AN159+ACCESS!AN159</f>
        <v>15000</v>
      </c>
      <c r="AO159" s="106">
        <f t="shared" si="143"/>
        <v>180000</v>
      </c>
    </row>
    <row r="160" spans="1:41" outlineLevel="1">
      <c r="A160" s="106">
        <f>+'NEW CAR'!A160+'GT-SERV'!A160+ACCESS!A160</f>
        <v>2027.78</v>
      </c>
      <c r="B160" s="106">
        <f>+'NEW CAR'!B160+'GT-SERV'!B160+ACCESS!B160</f>
        <v>15180.33</v>
      </c>
      <c r="C160" s="106">
        <f>+'NEW CAR'!C160+'GT-SERV'!C160+ACCESS!C160</f>
        <v>2311</v>
      </c>
      <c r="D160" s="106">
        <f>+'NEW CAR'!D160+'GT-SERV'!D160+ACCESS!D160</f>
        <v>2209</v>
      </c>
      <c r="E160" s="106">
        <f>+'NEW CAR'!E160+'GT-SERV'!E160+ACCESS!E160</f>
        <v>2209</v>
      </c>
      <c r="F160" s="106">
        <f>+'NEW CAR'!F160+'GT-SERV'!F160+ACCESS!F160</f>
        <v>23333.25</v>
      </c>
      <c r="G160" s="106">
        <f>+'NEW CAR'!G160+'GT-SERV'!G160+ACCESS!G160</f>
        <v>2209</v>
      </c>
      <c r="H160" s="106">
        <f>+'NEW CAR'!H160+'GT-SERV'!H160+ACCESS!H160</f>
        <v>2209</v>
      </c>
      <c r="I160" s="106">
        <f>+'NEW CAR'!I160+'GT-SERV'!I160+ACCESS!I160</f>
        <v>2208.34</v>
      </c>
      <c r="J160" s="106">
        <f>+'NEW CAR'!J160+'GT-SERV'!J160+ACCESS!J160</f>
        <v>1638</v>
      </c>
      <c r="K160" s="106">
        <f>+'NEW CAR'!K160+'GT-SERV'!K160+ACCESS!K160</f>
        <v>12434.400000000001</v>
      </c>
      <c r="L160" s="106">
        <f>+'NEW CAR'!L160+'GT-SERV'!L160+ACCESS!L160</f>
        <v>7901.62</v>
      </c>
      <c r="M160" s="106">
        <f t="shared" si="141"/>
        <v>75870.720000000001</v>
      </c>
      <c r="N160" s="16" t="s">
        <v>133</v>
      </c>
      <c r="O160" s="106">
        <f>+'NEW CAR'!O160+'GT-SERV'!O160+ACCESS!O160</f>
        <v>15761.6</v>
      </c>
      <c r="P160" s="106">
        <f>+'NEW CAR'!P160+'GT-SERV'!P160+ACCESS!P160</f>
        <v>61527.14</v>
      </c>
      <c r="Q160" s="106">
        <f>+'NEW CAR'!Q160+'GT-SERV'!Q160+ACCESS!Q160</f>
        <v>37257.339999999997</v>
      </c>
      <c r="R160" s="106">
        <f>+'NEW CAR'!R160+'GT-SERV'!R160+ACCESS!R160</f>
        <v>2208.34</v>
      </c>
      <c r="S160" s="106">
        <f>+'NEW CAR'!S160+'GT-SERV'!S160+ACCESS!S160</f>
        <v>2208.34</v>
      </c>
      <c r="T160" s="106">
        <f>+'NEW CAR'!T160+'GT-SERV'!T160+ACCESS!T160</f>
        <v>30757.54</v>
      </c>
      <c r="U160" s="106">
        <f>+'NEW CAR'!U160+'GT-SERV'!U160+ACCESS!U160</f>
        <v>48419.603333333333</v>
      </c>
      <c r="V160" s="106">
        <f>+'NEW CAR'!V160+'GT-SERV'!V160+ACCESS!V160</f>
        <v>4452.7299999999996</v>
      </c>
      <c r="W160" s="106">
        <f>+'NEW CAR'!W160+'GT-SERV'!W160+ACCESS!W160</f>
        <v>2209</v>
      </c>
      <c r="X160" s="106">
        <f>+'NEW CAR'!X160+'GT-SERV'!X160+ACCESS!X160</f>
        <v>2209</v>
      </c>
      <c r="Y160" s="106">
        <f>+'NEW CAR'!Y160+'GT-SERV'!Y160+ACCESS!Y160</f>
        <v>0</v>
      </c>
      <c r="Z160" s="106">
        <f>+'NEW CAR'!Z160+'GT-SERV'!Z160+ACCESS!Z160</f>
        <v>0</v>
      </c>
      <c r="AA160" s="106">
        <f t="shared" si="142"/>
        <v>207010.63333333333</v>
      </c>
      <c r="AB160" s="118"/>
      <c r="AC160" s="106">
        <f>+'NEW CAR'!AC160+'GT-SERV'!AC160+ACCESS!AC160</f>
        <v>43499.444444444438</v>
      </c>
      <c r="AD160" s="106">
        <f>+'NEW CAR'!AD160+'GT-SERV'!AD160+ACCESS!AD160</f>
        <v>3499.4444444444443</v>
      </c>
      <c r="AE160" s="106">
        <f>+'NEW CAR'!AE160+'GT-SERV'!AE160+ACCESS!AE160</f>
        <v>3499.4444444444443</v>
      </c>
      <c r="AF160" s="106">
        <f>+'NEW CAR'!AF160+'GT-SERV'!AF160+ACCESS!AF160</f>
        <v>3499.4444444444443</v>
      </c>
      <c r="AG160" s="106">
        <f>+'NEW CAR'!AG160+'GT-SERV'!AG160+ACCESS!AG160</f>
        <v>3499.4444444444443</v>
      </c>
      <c r="AH160" s="106">
        <f>+'NEW CAR'!AH160+'GT-SERV'!AH160+ACCESS!AH160</f>
        <v>3499.4444444444443</v>
      </c>
      <c r="AI160" s="106">
        <f>+'NEW CAR'!AI160+'GT-SERV'!AI160+ACCESS!AI160</f>
        <v>28499.444444444445</v>
      </c>
      <c r="AJ160" s="106">
        <f>+'NEW CAR'!AJ160+'GT-SERV'!AJ160+ACCESS!AJ160</f>
        <v>3499.4444444444443</v>
      </c>
      <c r="AK160" s="106">
        <f>+'NEW CAR'!AK160+'GT-SERV'!AK160+ACCESS!AK160</f>
        <v>3499.4444444444443</v>
      </c>
      <c r="AL160" s="106">
        <f>+'NEW CAR'!AL160+'GT-SERV'!AL160+ACCESS!AL160</f>
        <v>3499.4444444444443</v>
      </c>
      <c r="AM160" s="106">
        <f>+'NEW CAR'!AM160+'GT-SERV'!AM160+ACCESS!AM160</f>
        <v>3499.4444444444443</v>
      </c>
      <c r="AN160" s="106">
        <f>+'NEW CAR'!AN160+'GT-SERV'!AN160+ACCESS!AN160</f>
        <v>43499.444444444438</v>
      </c>
      <c r="AO160" s="106">
        <f t="shared" si="143"/>
        <v>146993.33333333331</v>
      </c>
    </row>
    <row r="161" spans="1:41" outlineLevel="1">
      <c r="A161" s="106">
        <f>+'NEW CAR'!A161+'GT-SERV'!A161+ACCESS!A161</f>
        <v>73025.83</v>
      </c>
      <c r="B161" s="106">
        <f>+'NEW CAR'!B161+'GT-SERV'!B161+ACCESS!B161</f>
        <v>37646.520000000004</v>
      </c>
      <c r="C161" s="106">
        <f>+'NEW CAR'!C161+'GT-SERV'!C161+ACCESS!C161</f>
        <v>241476.34</v>
      </c>
      <c r="D161" s="106">
        <f>+'NEW CAR'!D161+'GT-SERV'!D161+ACCESS!D161</f>
        <v>37918.58</v>
      </c>
      <c r="E161" s="106">
        <f>+'NEW CAR'!E161+'GT-SERV'!E161+ACCESS!E161</f>
        <v>32107</v>
      </c>
      <c r="F161" s="106">
        <f>+'NEW CAR'!F161+'GT-SERV'!F161+ACCESS!F161</f>
        <v>112690</v>
      </c>
      <c r="G161" s="106">
        <f>+'NEW CAR'!G161+'GT-SERV'!G161+ACCESS!G161</f>
        <v>59558</v>
      </c>
      <c r="H161" s="106">
        <f>+'NEW CAR'!H161+'GT-SERV'!H161+ACCESS!H161</f>
        <v>62156</v>
      </c>
      <c r="I161" s="106">
        <f>+'NEW CAR'!I161+'GT-SERV'!I161+ACCESS!I161</f>
        <v>109311</v>
      </c>
      <c r="J161" s="106">
        <f>+'NEW CAR'!J161+'GT-SERV'!J161+ACCESS!J161</f>
        <v>108690</v>
      </c>
      <c r="K161" s="106">
        <f>+'NEW CAR'!K161+'GT-SERV'!K161+ACCESS!K161</f>
        <v>40754</v>
      </c>
      <c r="L161" s="106">
        <f>+'NEW CAR'!L161+'GT-SERV'!L161+ACCESS!L161</f>
        <v>22331</v>
      </c>
      <c r="M161" s="106">
        <f t="shared" si="141"/>
        <v>937664.27</v>
      </c>
      <c r="N161" s="16" t="s">
        <v>134</v>
      </c>
      <c r="O161" s="106">
        <f>+'NEW CAR'!O161+'GT-SERV'!O161+ACCESS!O161</f>
        <v>97917.42</v>
      </c>
      <c r="P161" s="106">
        <f>+'NEW CAR'!P161+'GT-SERV'!P161+ACCESS!P161</f>
        <v>119098.17000000001</v>
      </c>
      <c r="Q161" s="106">
        <f>+'NEW CAR'!Q161+'GT-SERV'!Q161+ACCESS!Q161</f>
        <v>98196.13</v>
      </c>
      <c r="R161" s="106">
        <f>+'NEW CAR'!R161+'GT-SERV'!R161+ACCESS!R161</f>
        <v>67685.41</v>
      </c>
      <c r="S161" s="106">
        <f>+'NEW CAR'!S161+'GT-SERV'!S161+ACCESS!S161</f>
        <v>88276.939999999988</v>
      </c>
      <c r="T161" s="106">
        <f>+'NEW CAR'!T161+'GT-SERV'!T161+ACCESS!T161</f>
        <v>78712.710000000006</v>
      </c>
      <c r="U161" s="106">
        <f>+'NEW CAR'!U161+'GT-SERV'!U161+ACCESS!U161</f>
        <v>78518.815833333399</v>
      </c>
      <c r="V161" s="106">
        <f>+'NEW CAR'!V161+'GT-SERV'!V161+ACCESS!V161</f>
        <v>77579.78</v>
      </c>
      <c r="W161" s="106">
        <f>+'NEW CAR'!W161+'GT-SERV'!W161+ACCESS!W161</f>
        <v>168794</v>
      </c>
      <c r="X161" s="106">
        <f>+'NEW CAR'!X161+'GT-SERV'!X161+ACCESS!X161</f>
        <v>156062.63999999998</v>
      </c>
      <c r="Y161" s="106">
        <f>+'NEW CAR'!Y161+'GT-SERV'!Y161+ACCESS!Y161</f>
        <v>0</v>
      </c>
      <c r="Z161" s="106">
        <f>+'NEW CAR'!Z161+'GT-SERV'!Z161+ACCESS!Z161</f>
        <v>0</v>
      </c>
      <c r="AA161" s="106">
        <f t="shared" si="142"/>
        <v>1030842.0158333335</v>
      </c>
      <c r="AB161" s="118"/>
      <c r="AC161" s="106">
        <f>+'NEW CAR'!AC161+'GT-SERV'!AC161+ACCESS!AC161</f>
        <v>57291.666666666672</v>
      </c>
      <c r="AD161" s="106">
        <f>+'NEW CAR'!AD161+'GT-SERV'!AD161+ACCESS!AD161</f>
        <v>57291.666666666672</v>
      </c>
      <c r="AE161" s="106">
        <f>+'NEW CAR'!AE161+'GT-SERV'!AE161+ACCESS!AE161</f>
        <v>57291.666666666672</v>
      </c>
      <c r="AF161" s="106">
        <f>+'NEW CAR'!AF161+'GT-SERV'!AF161+ACCESS!AF161</f>
        <v>58184.166666666672</v>
      </c>
      <c r="AG161" s="106">
        <f>+'NEW CAR'!AG161+'GT-SERV'!AG161+ACCESS!AG161</f>
        <v>58184.166666666672</v>
      </c>
      <c r="AH161" s="106">
        <f>+'NEW CAR'!AH161+'GT-SERV'!AH161+ACCESS!AH161</f>
        <v>58184.166666666672</v>
      </c>
      <c r="AI161" s="106">
        <f>+'NEW CAR'!AI161+'GT-SERV'!AI161+ACCESS!AI161</f>
        <v>58184.166666666672</v>
      </c>
      <c r="AJ161" s="106">
        <f>+'NEW CAR'!AJ161+'GT-SERV'!AJ161+ACCESS!AJ161</f>
        <v>58184.166666666672</v>
      </c>
      <c r="AK161" s="106">
        <f>+'NEW CAR'!AK161+'GT-SERV'!AK161+ACCESS!AK161</f>
        <v>58184.166666666672</v>
      </c>
      <c r="AL161" s="106">
        <f>+'NEW CAR'!AL161+'GT-SERV'!AL161+ACCESS!AL161</f>
        <v>58184.166666666672</v>
      </c>
      <c r="AM161" s="106">
        <f>+'NEW CAR'!AM161+'GT-SERV'!AM161+ACCESS!AM161</f>
        <v>58184.166666666672</v>
      </c>
      <c r="AN161" s="106">
        <f>+'NEW CAR'!AN161+'GT-SERV'!AN161+ACCESS!AN161</f>
        <v>58184.166666666672</v>
      </c>
      <c r="AO161" s="106">
        <f t="shared" si="143"/>
        <v>695532.5</v>
      </c>
    </row>
    <row r="162" spans="1:41" outlineLevel="1">
      <c r="A162" s="106">
        <f>+'NEW CAR'!A162+'GT-SERV'!A162+ACCESS!A162</f>
        <v>75381.670000000013</v>
      </c>
      <c r="B162" s="106">
        <f>+'NEW CAR'!B162+'GT-SERV'!B162+ACCESS!B162</f>
        <v>76290</v>
      </c>
      <c r="C162" s="106">
        <f>+'NEW CAR'!C162+'GT-SERV'!C162+ACCESS!C162</f>
        <v>86989.92</v>
      </c>
      <c r="D162" s="106">
        <f>+'NEW CAR'!D162+'GT-SERV'!D162+ACCESS!D162</f>
        <v>93640.81</v>
      </c>
      <c r="E162" s="106">
        <f>+'NEW CAR'!E162+'GT-SERV'!E162+ACCESS!E162</f>
        <v>66257.279999999999</v>
      </c>
      <c r="F162" s="106">
        <f>+'NEW CAR'!F162+'GT-SERV'!F162+ACCESS!F162</f>
        <v>134767.60999999999</v>
      </c>
      <c r="G162" s="106">
        <f>+'NEW CAR'!G162+'GT-SERV'!G162+ACCESS!G162</f>
        <v>80047</v>
      </c>
      <c r="H162" s="106">
        <f>+'NEW CAR'!H162+'GT-SERV'!H162+ACCESS!H162</f>
        <v>154320</v>
      </c>
      <c r="I162" s="106">
        <f>+'NEW CAR'!I162+'GT-SERV'!I162+ACCESS!I162</f>
        <v>63916.729999999996</v>
      </c>
      <c r="J162" s="106">
        <f>+'NEW CAR'!J162+'GT-SERV'!J162+ACCESS!J162</f>
        <v>50395.37</v>
      </c>
      <c r="K162" s="106">
        <f>+'NEW CAR'!K162+'GT-SERV'!K162+ACCESS!K162</f>
        <v>32043.33</v>
      </c>
      <c r="L162" s="106">
        <f>+'NEW CAR'!L162+'GT-SERV'!L162+ACCESS!L162</f>
        <v>58074.879999999997</v>
      </c>
      <c r="M162" s="106">
        <f t="shared" si="141"/>
        <v>972124.6</v>
      </c>
      <c r="N162" s="16" t="s">
        <v>135</v>
      </c>
      <c r="O162" s="106">
        <f>+'NEW CAR'!O162+'GT-SERV'!O162+ACCESS!O162</f>
        <v>118315.22</v>
      </c>
      <c r="P162" s="106">
        <f>+'NEW CAR'!P162+'GT-SERV'!P162+ACCESS!P162</f>
        <v>298736.17</v>
      </c>
      <c r="Q162" s="106">
        <f>+'NEW CAR'!Q162+'GT-SERV'!Q162+ACCESS!Q162</f>
        <v>61041.54</v>
      </c>
      <c r="R162" s="106">
        <f>+'NEW CAR'!R162+'GT-SERV'!R162+ACCESS!R162</f>
        <v>57325.38</v>
      </c>
      <c r="S162" s="106">
        <f>+'NEW CAR'!S162+'GT-SERV'!S162+ACCESS!S162</f>
        <v>47525.11</v>
      </c>
      <c r="T162" s="106">
        <f>+'NEW CAR'!T162+'GT-SERV'!T162+ACCESS!T162</f>
        <v>307151.49</v>
      </c>
      <c r="U162" s="106">
        <f>+'NEW CAR'!U162+'GT-SERV'!U162+ACCESS!U162</f>
        <v>233999.30666666667</v>
      </c>
      <c r="V162" s="106">
        <f>+'NEW CAR'!V162+'GT-SERV'!V162+ACCESS!V162</f>
        <v>133391.26999999999</v>
      </c>
      <c r="W162" s="106">
        <f>+'NEW CAR'!W162+'GT-SERV'!W162+ACCESS!W162</f>
        <v>367479.14</v>
      </c>
      <c r="X162" s="106">
        <f>+'NEW CAR'!X162+'GT-SERV'!X162+ACCESS!X162</f>
        <v>234385.53</v>
      </c>
      <c r="Y162" s="106">
        <f>+'NEW CAR'!Y162+'GT-SERV'!Y162+ACCESS!Y162</f>
        <v>0</v>
      </c>
      <c r="Z162" s="106">
        <f>+'NEW CAR'!Z162+'GT-SERV'!Z162+ACCESS!Z162</f>
        <v>0</v>
      </c>
      <c r="AA162" s="106">
        <f t="shared" si="142"/>
        <v>1859350.1566666665</v>
      </c>
      <c r="AB162" s="118"/>
      <c r="AC162" s="106">
        <f>+'NEW CAR'!AC162+'GT-SERV'!AC162+ACCESS!AC162</f>
        <v>62574.421726666667</v>
      </c>
      <c r="AD162" s="106">
        <f>+'NEW CAR'!AD162+'GT-SERV'!AD162+ACCESS!AD162</f>
        <v>62574.421726666667</v>
      </c>
      <c r="AE162" s="106">
        <f>+'NEW CAR'!AE162+'GT-SERV'!AE162+ACCESS!AE162</f>
        <v>62574.421726666667</v>
      </c>
      <c r="AF162" s="106">
        <f>+'NEW CAR'!AF162+'GT-SERV'!AF162+ACCESS!AF162</f>
        <v>62574.421726666667</v>
      </c>
      <c r="AG162" s="106">
        <f>+'NEW CAR'!AG162+'GT-SERV'!AG162+ACCESS!AG162</f>
        <v>62574.421726666667</v>
      </c>
      <c r="AH162" s="106">
        <f>+'NEW CAR'!AH162+'GT-SERV'!AH162+ACCESS!AH162</f>
        <v>62574.421726666667</v>
      </c>
      <c r="AI162" s="106">
        <f>+'NEW CAR'!AI162+'GT-SERV'!AI162+ACCESS!AI162</f>
        <v>62574.421726666667</v>
      </c>
      <c r="AJ162" s="106">
        <f>+'NEW CAR'!AJ162+'GT-SERV'!AJ162+ACCESS!AJ162</f>
        <v>62574.421726666667</v>
      </c>
      <c r="AK162" s="106">
        <f>+'NEW CAR'!AK162+'GT-SERV'!AK162+ACCESS!AK162</f>
        <v>53295.651791666671</v>
      </c>
      <c r="AL162" s="106">
        <f>+'NEW CAR'!AL162+'GT-SERV'!AL162+ACCESS!AL162</f>
        <v>55078.142749999934</v>
      </c>
      <c r="AM162" s="106">
        <f>+'NEW CAR'!AM162+'GT-SERV'!AM162+ACCESS!AM162</f>
        <v>55078.142749999934</v>
      </c>
      <c r="AN162" s="106">
        <f>+'NEW CAR'!AN162+'GT-SERV'!AN162+ACCESS!AN162</f>
        <v>55078.142749999934</v>
      </c>
      <c r="AO162" s="106">
        <f t="shared" si="143"/>
        <v>719125.45385499974</v>
      </c>
    </row>
    <row r="163" spans="1:41" outlineLevel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18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</row>
    <row r="164" spans="1:41" outlineLevel="1">
      <c r="A164" s="58">
        <f t="shared" ref="A164:M164" si="144">+SUM(A165:A171)</f>
        <v>187884.71999999997</v>
      </c>
      <c r="B164" s="58">
        <f t="shared" si="144"/>
        <v>130881.87</v>
      </c>
      <c r="C164" s="58">
        <f t="shared" si="144"/>
        <v>104539.18</v>
      </c>
      <c r="D164" s="58">
        <f t="shared" si="144"/>
        <v>102182.67</v>
      </c>
      <c r="E164" s="58">
        <f t="shared" si="144"/>
        <v>195783.25</v>
      </c>
      <c r="F164" s="58">
        <f t="shared" si="144"/>
        <v>145104.00999999998</v>
      </c>
      <c r="G164" s="58">
        <f t="shared" si="144"/>
        <v>251688.65000000002</v>
      </c>
      <c r="H164" s="58">
        <f t="shared" si="144"/>
        <v>133135.6</v>
      </c>
      <c r="I164" s="58">
        <f t="shared" si="144"/>
        <v>276935.77</v>
      </c>
      <c r="J164" s="58">
        <f t="shared" si="144"/>
        <v>208608.37</v>
      </c>
      <c r="K164" s="58">
        <f t="shared" si="144"/>
        <v>209447.62999999998</v>
      </c>
      <c r="L164" s="58">
        <f t="shared" si="144"/>
        <v>180391.52000000002</v>
      </c>
      <c r="M164" s="58">
        <f t="shared" si="144"/>
        <v>2126583.2399999998</v>
      </c>
      <c r="N164" s="20" t="s">
        <v>136</v>
      </c>
      <c r="O164" s="58">
        <f t="shared" ref="O164:AA164" si="145">+SUM(O165:O171)</f>
        <v>222184.77</v>
      </c>
      <c r="P164" s="58">
        <f t="shared" si="145"/>
        <v>150613.49</v>
      </c>
      <c r="Q164" s="58">
        <f t="shared" si="145"/>
        <v>157707.21</v>
      </c>
      <c r="R164" s="58">
        <f t="shared" si="145"/>
        <v>293883.04000000004</v>
      </c>
      <c r="S164" s="58">
        <f t="shared" si="145"/>
        <v>388349.73</v>
      </c>
      <c r="T164" s="58">
        <f t="shared" si="145"/>
        <v>194277.72999999998</v>
      </c>
      <c r="U164" s="58">
        <f t="shared" si="145"/>
        <v>335958.73000000004</v>
      </c>
      <c r="V164" s="58">
        <f t="shared" si="145"/>
        <v>294656.98</v>
      </c>
      <c r="W164" s="58">
        <f t="shared" si="145"/>
        <v>238423.2</v>
      </c>
      <c r="X164" s="58">
        <f t="shared" si="145"/>
        <v>223773.05000000002</v>
      </c>
      <c r="Y164" s="58">
        <f t="shared" si="145"/>
        <v>0</v>
      </c>
      <c r="Z164" s="58">
        <f t="shared" si="145"/>
        <v>0</v>
      </c>
      <c r="AA164" s="58">
        <f t="shared" si="145"/>
        <v>2499827.9300000002</v>
      </c>
      <c r="AB164" s="118"/>
      <c r="AC164" s="58">
        <f t="shared" ref="AC164:AO164" si="146">+SUM(AC165:AC171)</f>
        <v>277086.66666666669</v>
      </c>
      <c r="AD164" s="58">
        <f t="shared" si="146"/>
        <v>127086.66666666667</v>
      </c>
      <c r="AE164" s="58">
        <f t="shared" si="146"/>
        <v>127086.66666666667</v>
      </c>
      <c r="AF164" s="58">
        <f t="shared" si="146"/>
        <v>127086.66666666667</v>
      </c>
      <c r="AG164" s="58">
        <f t="shared" si="146"/>
        <v>187086.66666666666</v>
      </c>
      <c r="AH164" s="58">
        <f t="shared" si="146"/>
        <v>127086.66666666667</v>
      </c>
      <c r="AI164" s="58">
        <f t="shared" si="146"/>
        <v>127086.66666666667</v>
      </c>
      <c r="AJ164" s="58">
        <f t="shared" si="146"/>
        <v>131086.66666666669</v>
      </c>
      <c r="AK164" s="58">
        <f t="shared" si="146"/>
        <v>171086.66666666666</v>
      </c>
      <c r="AL164" s="58">
        <f t="shared" si="146"/>
        <v>196086.66666666666</v>
      </c>
      <c r="AM164" s="58">
        <f t="shared" si="146"/>
        <v>127086.66666666667</v>
      </c>
      <c r="AN164" s="58">
        <f t="shared" si="146"/>
        <v>127086.66666666667</v>
      </c>
      <c r="AO164" s="58">
        <f t="shared" si="146"/>
        <v>1852040</v>
      </c>
    </row>
    <row r="165" spans="1:41" outlineLevel="1">
      <c r="A165" s="106">
        <f>+'NEW CAR'!A165+'GT-SERV'!A165+ACCESS!A165</f>
        <v>48661.86</v>
      </c>
      <c r="B165" s="106">
        <f>+'NEW CAR'!B165+'GT-SERV'!B165+ACCESS!B165</f>
        <v>53146.54</v>
      </c>
      <c r="C165" s="106">
        <f>+'NEW CAR'!C165+'GT-SERV'!C165+ACCESS!C165</f>
        <v>29368.229999999996</v>
      </c>
      <c r="D165" s="106">
        <f>+'NEW CAR'!D165+'GT-SERV'!D165+ACCESS!D165</f>
        <v>34617.57</v>
      </c>
      <c r="E165" s="106">
        <f>+'NEW CAR'!E165+'GT-SERV'!E165+ACCESS!E165</f>
        <v>45624.65</v>
      </c>
      <c r="F165" s="106">
        <f>+'NEW CAR'!F165+'GT-SERV'!F165+ACCESS!F165</f>
        <v>41297.75</v>
      </c>
      <c r="G165" s="106">
        <f>+'NEW CAR'!G165+'GT-SERV'!G165+ACCESS!G165</f>
        <v>46208.82</v>
      </c>
      <c r="H165" s="106">
        <f>+'NEW CAR'!H165+'GT-SERV'!H165+ACCESS!H165</f>
        <v>32875.550000000003</v>
      </c>
      <c r="I165" s="106">
        <f>+'NEW CAR'!I165+'GT-SERV'!I165+ACCESS!I165</f>
        <v>40202.050000000003</v>
      </c>
      <c r="J165" s="106">
        <f>+'NEW CAR'!J165+'GT-SERV'!J165+ACCESS!J165</f>
        <v>52582.26</v>
      </c>
      <c r="K165" s="106">
        <f>+'NEW CAR'!K165+'GT-SERV'!K165+ACCESS!K165</f>
        <v>55738.119999999988</v>
      </c>
      <c r="L165" s="106">
        <f>+'NEW CAR'!L165+'GT-SERV'!L165+ACCESS!L165</f>
        <v>50050.409999999996</v>
      </c>
      <c r="M165" s="106">
        <f t="shared" ref="M165:M171" si="147">+SUM(A165:L165)</f>
        <v>530373.80999999994</v>
      </c>
      <c r="N165" s="16" t="s">
        <v>137</v>
      </c>
      <c r="O165" s="106">
        <f>+'NEW CAR'!O165+'GT-SERV'!O165+ACCESS!O165</f>
        <v>42718</v>
      </c>
      <c r="P165" s="106">
        <f>+'NEW CAR'!P165+'GT-SERV'!P165+ACCESS!P165</f>
        <v>44664.27</v>
      </c>
      <c r="Q165" s="106">
        <f>+'NEW CAR'!Q165+'GT-SERV'!Q165+ACCESS!Q165</f>
        <v>7647.6100000000006</v>
      </c>
      <c r="R165" s="106">
        <f>+'NEW CAR'!R165+'GT-SERV'!R165+ACCESS!R165</f>
        <v>42948.78</v>
      </c>
      <c r="S165" s="106">
        <f>+'NEW CAR'!S165+'GT-SERV'!S165+ACCESS!S165</f>
        <v>44182.53</v>
      </c>
      <c r="T165" s="106">
        <f>+'NEW CAR'!T165+'GT-SERV'!T165+ACCESS!T165</f>
        <v>72610.100000000006</v>
      </c>
      <c r="U165" s="106">
        <f>+'NEW CAR'!U165+'GT-SERV'!U165+ACCESS!U165</f>
        <v>60660.31</v>
      </c>
      <c r="V165" s="106">
        <f>+'NEW CAR'!V165+'GT-SERV'!V165+ACCESS!V165</f>
        <v>77616.41</v>
      </c>
      <c r="W165" s="106">
        <f>+'NEW CAR'!W165+'GT-SERV'!W165+ACCESS!W165</f>
        <v>29732.49</v>
      </c>
      <c r="X165" s="106">
        <f>+'NEW CAR'!X165+'GT-SERV'!X165+ACCESS!X165</f>
        <v>30085.640000000003</v>
      </c>
      <c r="Y165" s="106">
        <f>+'NEW CAR'!Y165+'GT-SERV'!Y165+ACCESS!Y165</f>
        <v>0</v>
      </c>
      <c r="Z165" s="106">
        <f>+'NEW CAR'!Z165+'GT-SERV'!Z165+ACCESS!Z165</f>
        <v>0</v>
      </c>
      <c r="AA165" s="106">
        <f t="shared" ref="AA165:AA171" si="148">+SUM(O165:Z165)</f>
        <v>452866.14</v>
      </c>
      <c r="AB165" s="118"/>
      <c r="AC165" s="106">
        <f>+'NEW CAR'!AC165+'GT-SERV'!AC165+ACCESS!AC165</f>
        <v>26000</v>
      </c>
      <c r="AD165" s="106">
        <f>+'NEW CAR'!AD165+'GT-SERV'!AD165+ACCESS!AD165</f>
        <v>26000</v>
      </c>
      <c r="AE165" s="106">
        <f>+'NEW CAR'!AE165+'GT-SERV'!AE165+ACCESS!AE165</f>
        <v>26000</v>
      </c>
      <c r="AF165" s="106">
        <f>+'NEW CAR'!AF165+'GT-SERV'!AF165+ACCESS!AF165</f>
        <v>26000</v>
      </c>
      <c r="AG165" s="106">
        <f>+'NEW CAR'!AG165+'GT-SERV'!AG165+ACCESS!AG165</f>
        <v>26000</v>
      </c>
      <c r="AH165" s="106">
        <f>+'NEW CAR'!AH165+'GT-SERV'!AH165+ACCESS!AH165</f>
        <v>26000</v>
      </c>
      <c r="AI165" s="106">
        <f>+'NEW CAR'!AI165+'GT-SERV'!AI165+ACCESS!AI165</f>
        <v>26000</v>
      </c>
      <c r="AJ165" s="106">
        <f>+'NEW CAR'!AJ165+'GT-SERV'!AJ165+ACCESS!AJ165</f>
        <v>26000</v>
      </c>
      <c r="AK165" s="106">
        <f>+'NEW CAR'!AK165+'GT-SERV'!AK165+ACCESS!AK165</f>
        <v>26000</v>
      </c>
      <c r="AL165" s="106">
        <f>+'NEW CAR'!AL165+'GT-SERV'!AL165+ACCESS!AL165</f>
        <v>26000</v>
      </c>
      <c r="AM165" s="106">
        <f>+'NEW CAR'!AM165+'GT-SERV'!AM165+ACCESS!AM165</f>
        <v>26000</v>
      </c>
      <c r="AN165" s="106">
        <f>+'NEW CAR'!AN165+'GT-SERV'!AN165+ACCESS!AN165</f>
        <v>26000</v>
      </c>
      <c r="AO165" s="106">
        <f t="shared" ref="AO165:AO171" si="149">+SUM(AC165:AN165)</f>
        <v>312000</v>
      </c>
    </row>
    <row r="166" spans="1:41" outlineLevel="1">
      <c r="A166" s="106">
        <f>+'NEW CAR'!A166+'GT-SERV'!A166+ACCESS!A166</f>
        <v>66303.51999999999</v>
      </c>
      <c r="B166" s="106">
        <f>+'NEW CAR'!B166+'GT-SERV'!B166+ACCESS!B166</f>
        <v>57215.770000000004</v>
      </c>
      <c r="C166" s="106">
        <f>+'NEW CAR'!C166+'GT-SERV'!C166+ACCESS!C166</f>
        <v>64811.92</v>
      </c>
      <c r="D166" s="106">
        <f>+'NEW CAR'!D166+'GT-SERV'!D166+ACCESS!D166</f>
        <v>35704.589999999997</v>
      </c>
      <c r="E166" s="106">
        <f>+'NEW CAR'!E166+'GT-SERV'!E166+ACCESS!E166</f>
        <v>89748.94</v>
      </c>
      <c r="F166" s="106">
        <f>+'NEW CAR'!F166+'GT-SERV'!F166+ACCESS!F166</f>
        <v>44491.71</v>
      </c>
      <c r="G166" s="106">
        <f>+'NEW CAR'!G166+'GT-SERV'!G166+ACCESS!G166</f>
        <v>122024.51000000001</v>
      </c>
      <c r="H166" s="106">
        <f>+'NEW CAR'!H166+'GT-SERV'!H166+ACCESS!H166</f>
        <v>70442.509999999995</v>
      </c>
      <c r="I166" s="106">
        <f>+'NEW CAR'!I166+'GT-SERV'!I166+ACCESS!I166</f>
        <v>64593.369999999995</v>
      </c>
      <c r="J166" s="106">
        <f>+'NEW CAR'!J166+'GT-SERV'!J166+ACCESS!J166</f>
        <v>36108.86</v>
      </c>
      <c r="K166" s="106">
        <f>+'NEW CAR'!K166+'GT-SERV'!K166+ACCESS!K166</f>
        <v>62299.61</v>
      </c>
      <c r="L166" s="106">
        <f>+'NEW CAR'!L166+'GT-SERV'!L166+ACCESS!L166</f>
        <v>76872.52</v>
      </c>
      <c r="M166" s="106">
        <f t="shared" si="147"/>
        <v>790617.83</v>
      </c>
      <c r="N166" s="16" t="s">
        <v>138</v>
      </c>
      <c r="O166" s="106">
        <f>+'NEW CAR'!O166+'GT-SERV'!O166+ACCESS!O166</f>
        <v>42631.53</v>
      </c>
      <c r="P166" s="106">
        <f>+'NEW CAR'!P166+'GT-SERV'!P166+ACCESS!P166</f>
        <v>39062.119999999995</v>
      </c>
      <c r="Q166" s="106">
        <f>+'NEW CAR'!Q166+'GT-SERV'!Q166+ACCESS!Q166</f>
        <v>29040.97</v>
      </c>
      <c r="R166" s="106">
        <f>+'NEW CAR'!R166+'GT-SERV'!R166+ACCESS!R166</f>
        <v>56939.97</v>
      </c>
      <c r="S166" s="106">
        <f>+'NEW CAR'!S166+'GT-SERV'!S166+ACCESS!S166</f>
        <v>51867.79</v>
      </c>
      <c r="T166" s="106">
        <f>+'NEW CAR'!T166+'GT-SERV'!T166+ACCESS!T166</f>
        <v>76730.02</v>
      </c>
      <c r="U166" s="106">
        <f>+'NEW CAR'!U166+'GT-SERV'!U166+ACCESS!U166</f>
        <v>53646.85</v>
      </c>
      <c r="V166" s="106">
        <f>+'NEW CAR'!V166+'GT-SERV'!V166+ACCESS!V166</f>
        <v>63823.59</v>
      </c>
      <c r="W166" s="106">
        <f>+'NEW CAR'!W166+'GT-SERV'!W166+ACCESS!W166</f>
        <v>53642.23</v>
      </c>
      <c r="X166" s="106">
        <f>+'NEW CAR'!X166+'GT-SERV'!X166+ACCESS!X166</f>
        <v>169161</v>
      </c>
      <c r="Y166" s="106">
        <f>+'NEW CAR'!Y166+'GT-SERV'!Y166+ACCESS!Y166</f>
        <v>0</v>
      </c>
      <c r="Z166" s="106">
        <f>+'NEW CAR'!Z166+'GT-SERV'!Z166+ACCESS!Z166</f>
        <v>0</v>
      </c>
      <c r="AA166" s="106">
        <f t="shared" si="148"/>
        <v>636546.06999999995</v>
      </c>
      <c r="AB166" s="118"/>
      <c r="AC166" s="106">
        <f>+'NEW CAR'!AC166+'GT-SERV'!AC166+ACCESS!AC166</f>
        <v>63920</v>
      </c>
      <c r="AD166" s="106">
        <f>+'NEW CAR'!AD166+'GT-SERV'!AD166+ACCESS!AD166</f>
        <v>63920</v>
      </c>
      <c r="AE166" s="106">
        <f>+'NEW CAR'!AE166+'GT-SERV'!AE166+ACCESS!AE166</f>
        <v>63920</v>
      </c>
      <c r="AF166" s="106">
        <f>+'NEW CAR'!AF166+'GT-SERV'!AF166+ACCESS!AF166</f>
        <v>63920</v>
      </c>
      <c r="AG166" s="106">
        <f>+'NEW CAR'!AG166+'GT-SERV'!AG166+ACCESS!AG166</f>
        <v>63920</v>
      </c>
      <c r="AH166" s="106">
        <f>+'NEW CAR'!AH166+'GT-SERV'!AH166+ACCESS!AH166</f>
        <v>63920</v>
      </c>
      <c r="AI166" s="106">
        <f>+'NEW CAR'!AI166+'GT-SERV'!AI166+ACCESS!AI166</f>
        <v>63920</v>
      </c>
      <c r="AJ166" s="106">
        <f>+'NEW CAR'!AJ166+'GT-SERV'!AJ166+ACCESS!AJ166</f>
        <v>63920</v>
      </c>
      <c r="AK166" s="106">
        <f>+'NEW CAR'!AK166+'GT-SERV'!AK166+ACCESS!AK166</f>
        <v>63920</v>
      </c>
      <c r="AL166" s="106">
        <f>+'NEW CAR'!AL166+'GT-SERV'!AL166+ACCESS!AL166</f>
        <v>63920</v>
      </c>
      <c r="AM166" s="106">
        <f>+'NEW CAR'!AM166+'GT-SERV'!AM166+ACCESS!AM166</f>
        <v>63920</v>
      </c>
      <c r="AN166" s="106">
        <f>+'NEW CAR'!AN166+'GT-SERV'!AN166+ACCESS!AN166</f>
        <v>63920</v>
      </c>
      <c r="AO166" s="106">
        <f t="shared" si="149"/>
        <v>767040</v>
      </c>
    </row>
    <row r="167" spans="1:41" outlineLevel="1">
      <c r="A167" s="106">
        <f>+'NEW CAR'!A167+'GT-SERV'!A167+ACCESS!A167</f>
        <v>0</v>
      </c>
      <c r="B167" s="106">
        <f>+'NEW CAR'!B167+'GT-SERV'!B167+ACCESS!B167</f>
        <v>0</v>
      </c>
      <c r="C167" s="106">
        <f>+'NEW CAR'!C167+'GT-SERV'!C167+ACCESS!C167</f>
        <v>0</v>
      </c>
      <c r="D167" s="106">
        <f>+'NEW CAR'!D167+'GT-SERV'!D167+ACCESS!D167</f>
        <v>0</v>
      </c>
      <c r="E167" s="106">
        <f>+'NEW CAR'!E167+'GT-SERV'!E167+ACCESS!E167</f>
        <v>0</v>
      </c>
      <c r="F167" s="106">
        <f>+'NEW CAR'!F167+'GT-SERV'!F167+ACCESS!F167</f>
        <v>0</v>
      </c>
      <c r="G167" s="106">
        <f>+'NEW CAR'!G167+'GT-SERV'!G167+ACCESS!G167</f>
        <v>0</v>
      </c>
      <c r="H167" s="106">
        <f>+'NEW CAR'!H167+'GT-SERV'!H167+ACCESS!H167</f>
        <v>0</v>
      </c>
      <c r="I167" s="106">
        <f>+'NEW CAR'!I167+'GT-SERV'!I167+ACCESS!I167</f>
        <v>0</v>
      </c>
      <c r="J167" s="106">
        <f>+'NEW CAR'!J167+'GT-SERV'!J167+ACCESS!J167</f>
        <v>0</v>
      </c>
      <c r="K167" s="106">
        <f>+'NEW CAR'!K167+'GT-SERV'!K167+ACCESS!K167</f>
        <v>437.97</v>
      </c>
      <c r="L167" s="106">
        <f>+'NEW CAR'!L167+'GT-SERV'!L167+ACCESS!L167</f>
        <v>0</v>
      </c>
      <c r="M167" s="106">
        <f t="shared" si="147"/>
        <v>437.97</v>
      </c>
      <c r="N167" s="16" t="s">
        <v>139</v>
      </c>
      <c r="O167" s="106">
        <f>+'NEW CAR'!O167+'GT-SERV'!O167+ACCESS!O167</f>
        <v>0</v>
      </c>
      <c r="P167" s="106">
        <f>+'NEW CAR'!P167+'GT-SERV'!P167+ACCESS!P167</f>
        <v>0</v>
      </c>
      <c r="Q167" s="106">
        <f>+'NEW CAR'!Q167+'GT-SERV'!Q167+ACCESS!Q167</f>
        <v>0</v>
      </c>
      <c r="R167" s="106">
        <f>+'NEW CAR'!R167+'GT-SERV'!R167+ACCESS!R167</f>
        <v>0</v>
      </c>
      <c r="S167" s="106">
        <f>+'NEW CAR'!S167+'GT-SERV'!S167+ACCESS!S167</f>
        <v>0</v>
      </c>
      <c r="T167" s="106">
        <f>+'NEW CAR'!T167+'GT-SERV'!T167+ACCESS!T167</f>
        <v>0</v>
      </c>
      <c r="U167" s="106">
        <f>+'NEW CAR'!U167+'GT-SERV'!U167+ACCESS!U167</f>
        <v>0</v>
      </c>
      <c r="V167" s="106">
        <f>+'NEW CAR'!V167+'GT-SERV'!V167+ACCESS!V167</f>
        <v>0</v>
      </c>
      <c r="W167" s="106">
        <f>+'NEW CAR'!W167+'GT-SERV'!W167+ACCESS!W167</f>
        <v>0</v>
      </c>
      <c r="X167" s="106">
        <f>+'NEW CAR'!X167+'GT-SERV'!X167+ACCESS!X167</f>
        <v>0</v>
      </c>
      <c r="Y167" s="106">
        <f>+'NEW CAR'!Y167+'GT-SERV'!Y167+ACCESS!Y167</f>
        <v>0</v>
      </c>
      <c r="Z167" s="106">
        <f>+'NEW CAR'!Z167+'GT-SERV'!Z167+ACCESS!Z167</f>
        <v>0</v>
      </c>
      <c r="AA167" s="106">
        <f t="shared" si="148"/>
        <v>0</v>
      </c>
      <c r="AB167" s="118"/>
      <c r="AC167" s="106">
        <f>+'NEW CAR'!AC167+'GT-SERV'!AC167+ACCESS!AC167</f>
        <v>0</v>
      </c>
      <c r="AD167" s="106">
        <f>+'NEW CAR'!AD167+'GT-SERV'!AD167+ACCESS!AD167</f>
        <v>0</v>
      </c>
      <c r="AE167" s="106">
        <f>+'NEW CAR'!AE167+'GT-SERV'!AE167+ACCESS!AE167</f>
        <v>0</v>
      </c>
      <c r="AF167" s="106">
        <f>+'NEW CAR'!AF167+'GT-SERV'!AF167+ACCESS!AF167</f>
        <v>0</v>
      </c>
      <c r="AG167" s="106">
        <f>+'NEW CAR'!AG167+'GT-SERV'!AG167+ACCESS!AG167</f>
        <v>0</v>
      </c>
      <c r="AH167" s="106">
        <f>+'NEW CAR'!AH167+'GT-SERV'!AH167+ACCESS!AH167</f>
        <v>0</v>
      </c>
      <c r="AI167" s="106">
        <f>+'NEW CAR'!AI167+'GT-SERV'!AI167+ACCESS!AI167</f>
        <v>0</v>
      </c>
      <c r="AJ167" s="106">
        <f>+'NEW CAR'!AJ167+'GT-SERV'!AJ167+ACCESS!AJ167</f>
        <v>0</v>
      </c>
      <c r="AK167" s="106">
        <f>+'NEW CAR'!AK167+'GT-SERV'!AK167+ACCESS!AK167</f>
        <v>0</v>
      </c>
      <c r="AL167" s="106">
        <f>+'NEW CAR'!AL167+'GT-SERV'!AL167+ACCESS!AL167</f>
        <v>0</v>
      </c>
      <c r="AM167" s="106">
        <f>+'NEW CAR'!AM167+'GT-SERV'!AM167+ACCESS!AM167</f>
        <v>0</v>
      </c>
      <c r="AN167" s="106">
        <f>+'NEW CAR'!AN167+'GT-SERV'!AN167+ACCESS!AN167</f>
        <v>0</v>
      </c>
      <c r="AO167" s="106">
        <f t="shared" si="149"/>
        <v>0</v>
      </c>
    </row>
    <row r="168" spans="1:41" outlineLevel="1">
      <c r="A168" s="106">
        <f>+'NEW CAR'!A168+'GT-SERV'!A168+ACCESS!A168</f>
        <v>57828.09</v>
      </c>
      <c r="B168" s="106">
        <f>+'NEW CAR'!B168+'GT-SERV'!B168+ACCESS!B168</f>
        <v>13968.84</v>
      </c>
      <c r="C168" s="106">
        <f>+'NEW CAR'!C168+'GT-SERV'!C168+ACCESS!C168</f>
        <v>3155.11</v>
      </c>
      <c r="D168" s="106">
        <f>+'NEW CAR'!D168+'GT-SERV'!D168+ACCESS!D168</f>
        <v>22090.51</v>
      </c>
      <c r="E168" s="106">
        <f>+'NEW CAR'!E168+'GT-SERV'!E168+ACCESS!E168</f>
        <v>46019.09</v>
      </c>
      <c r="F168" s="106">
        <f>+'NEW CAR'!F168+'GT-SERV'!F168+ACCESS!F168</f>
        <v>47392</v>
      </c>
      <c r="G168" s="106">
        <f>+'NEW CAR'!G168+'GT-SERV'!G168+ACCESS!G168</f>
        <v>20967.23</v>
      </c>
      <c r="H168" s="106">
        <f>+'NEW CAR'!H168+'GT-SERV'!H168+ACCESS!H168</f>
        <v>28867.54</v>
      </c>
      <c r="I168" s="106">
        <f>+'NEW CAR'!I168+'GT-SERV'!I168+ACCESS!I168</f>
        <v>148227.07999999999</v>
      </c>
      <c r="J168" s="106">
        <f>+'NEW CAR'!J168+'GT-SERV'!J168+ACCESS!J168</f>
        <v>118237.25</v>
      </c>
      <c r="K168" s="106">
        <f>+'NEW CAR'!K168+'GT-SERV'!K168+ACCESS!K168</f>
        <v>80578.179999999993</v>
      </c>
      <c r="L168" s="106">
        <f>+'NEW CAR'!L168+'GT-SERV'!L168+ACCESS!L168</f>
        <v>47464.33</v>
      </c>
      <c r="M168" s="106">
        <f t="shared" si="147"/>
        <v>634795.24999999988</v>
      </c>
      <c r="N168" s="16" t="s">
        <v>140</v>
      </c>
      <c r="O168" s="106">
        <f>+'NEW CAR'!O168+'GT-SERV'!O168+ACCESS!O168</f>
        <v>122838.5</v>
      </c>
      <c r="P168" s="106">
        <f>+'NEW CAR'!P168+'GT-SERV'!P168+ACCESS!P168</f>
        <v>31287.439999999999</v>
      </c>
      <c r="Q168" s="106">
        <f>+'NEW CAR'!Q168+'GT-SERV'!Q168+ACCESS!Q168</f>
        <v>8784.9599999999991</v>
      </c>
      <c r="R168" s="106">
        <f>+'NEW CAR'!R168+'GT-SERV'!R168+ACCESS!R168</f>
        <v>193994.29</v>
      </c>
      <c r="S168" s="106">
        <f>+'NEW CAR'!S168+'GT-SERV'!S168+ACCESS!S168</f>
        <v>50878.07</v>
      </c>
      <c r="T168" s="106">
        <f>+'NEW CAR'!T168+'GT-SERV'!T168+ACCESS!T168</f>
        <v>15816.58</v>
      </c>
      <c r="U168" s="106">
        <f>+'NEW CAR'!U168+'GT-SERV'!U168+ACCESS!U168</f>
        <v>206430.11</v>
      </c>
      <c r="V168" s="106">
        <f>+'NEW CAR'!V168+'GT-SERV'!V168+ACCESS!V168</f>
        <v>151901.35</v>
      </c>
      <c r="W168" s="106">
        <f>+'NEW CAR'!W168+'GT-SERV'!W168+ACCESS!W168</f>
        <v>144135.96000000002</v>
      </c>
      <c r="X168" s="106">
        <f>+'NEW CAR'!X168+'GT-SERV'!X168+ACCESS!X168</f>
        <v>6800.4</v>
      </c>
      <c r="Y168" s="106">
        <f>+'NEW CAR'!Y168+'GT-SERV'!Y168+ACCESS!Y168</f>
        <v>0</v>
      </c>
      <c r="Z168" s="106">
        <f>+'NEW CAR'!Z168+'GT-SERV'!Z168+ACCESS!Z168</f>
        <v>0</v>
      </c>
      <c r="AA168" s="106">
        <f t="shared" si="148"/>
        <v>932867.66</v>
      </c>
      <c r="AB168" s="118"/>
      <c r="AC168" s="106">
        <f>+'NEW CAR'!AC168+'GT-SERV'!AC168+ACCESS!AC168</f>
        <v>185000</v>
      </c>
      <c r="AD168" s="106">
        <f>+'NEW CAR'!AD168+'GT-SERV'!AD168+ACCESS!AD168</f>
        <v>35000</v>
      </c>
      <c r="AE168" s="106">
        <f>+'NEW CAR'!AE168+'GT-SERV'!AE168+ACCESS!AE168</f>
        <v>35000</v>
      </c>
      <c r="AF168" s="106">
        <f>+'NEW CAR'!AF168+'GT-SERV'!AF168+ACCESS!AF168</f>
        <v>35000</v>
      </c>
      <c r="AG168" s="106">
        <f>+'NEW CAR'!AG168+'GT-SERV'!AG168+ACCESS!AG168</f>
        <v>95000</v>
      </c>
      <c r="AH168" s="106">
        <f>+'NEW CAR'!AH168+'GT-SERV'!AH168+ACCESS!AH168</f>
        <v>35000</v>
      </c>
      <c r="AI168" s="106">
        <f>+'NEW CAR'!AI168+'GT-SERV'!AI168+ACCESS!AI168</f>
        <v>35000</v>
      </c>
      <c r="AJ168" s="106">
        <f>+'NEW CAR'!AJ168+'GT-SERV'!AJ168+ACCESS!AJ168</f>
        <v>35000</v>
      </c>
      <c r="AK168" s="106">
        <f>+'NEW CAR'!AK168+'GT-SERV'!AK168+ACCESS!AK168</f>
        <v>70000</v>
      </c>
      <c r="AL168" s="106">
        <f>+'NEW CAR'!AL168+'GT-SERV'!AL168+ACCESS!AL168</f>
        <v>95000</v>
      </c>
      <c r="AM168" s="106">
        <f>+'NEW CAR'!AM168+'GT-SERV'!AM168+ACCESS!AM168</f>
        <v>35000</v>
      </c>
      <c r="AN168" s="106">
        <f>+'NEW CAR'!AN168+'GT-SERV'!AN168+ACCESS!AN168</f>
        <v>35000</v>
      </c>
      <c r="AO168" s="106">
        <f t="shared" si="149"/>
        <v>725000</v>
      </c>
    </row>
    <row r="169" spans="1:41" outlineLevel="1">
      <c r="A169" s="106">
        <f>+'NEW CAR'!A169+'GT-SERV'!A169+ACCESS!A169</f>
        <v>0</v>
      </c>
      <c r="B169" s="106">
        <f>+'NEW CAR'!B169+'GT-SERV'!B169+ACCESS!B169</f>
        <v>0</v>
      </c>
      <c r="C169" s="106">
        <f>+'NEW CAR'!C169+'GT-SERV'!C169+ACCESS!C169</f>
        <v>0</v>
      </c>
      <c r="D169" s="106">
        <f>+'NEW CAR'!D169+'GT-SERV'!D169+ACCESS!D169</f>
        <v>0</v>
      </c>
      <c r="E169" s="106">
        <f>+'NEW CAR'!E169+'GT-SERV'!E169+ACCESS!E169</f>
        <v>0</v>
      </c>
      <c r="F169" s="106">
        <f>+'NEW CAR'!F169+'GT-SERV'!F169+ACCESS!F169</f>
        <v>0</v>
      </c>
      <c r="G169" s="106">
        <f>+'NEW CAR'!G169+'GT-SERV'!G169+ACCESS!G169</f>
        <v>0</v>
      </c>
      <c r="H169" s="106">
        <f>+'NEW CAR'!H169+'GT-SERV'!H169+ACCESS!H169</f>
        <v>0</v>
      </c>
      <c r="I169" s="106">
        <f>+'NEW CAR'!I169+'GT-SERV'!I169+ACCESS!I169</f>
        <v>0</v>
      </c>
      <c r="J169" s="106">
        <f>+'NEW CAR'!J169+'GT-SERV'!J169+ACCESS!J169</f>
        <v>0</v>
      </c>
      <c r="K169" s="106">
        <f>+'NEW CAR'!K169+'GT-SERV'!K169+ACCESS!K169</f>
        <v>0</v>
      </c>
      <c r="L169" s="106">
        <f>+'NEW CAR'!L169+'GT-SERV'!L169+ACCESS!L169</f>
        <v>0</v>
      </c>
      <c r="M169" s="106">
        <f t="shared" si="147"/>
        <v>0</v>
      </c>
      <c r="N169" s="16" t="s">
        <v>141</v>
      </c>
      <c r="O169" s="106">
        <f>+'NEW CAR'!O169+'GT-SERV'!O169+ACCESS!O169</f>
        <v>0</v>
      </c>
      <c r="P169" s="106">
        <f>+'NEW CAR'!P169+'GT-SERV'!P169+ACCESS!P169</f>
        <v>0</v>
      </c>
      <c r="Q169" s="106">
        <f>+'NEW CAR'!Q169+'GT-SERV'!Q169+ACCESS!Q169</f>
        <v>0</v>
      </c>
      <c r="R169" s="106">
        <f>+'NEW CAR'!R169+'GT-SERV'!R169+ACCESS!R169</f>
        <v>0</v>
      </c>
      <c r="S169" s="106">
        <f>+'NEW CAR'!S169+'GT-SERV'!S169+ACCESS!S169</f>
        <v>0</v>
      </c>
      <c r="T169" s="106">
        <f>+'NEW CAR'!T169+'GT-SERV'!T169+ACCESS!T169</f>
        <v>0</v>
      </c>
      <c r="U169" s="106">
        <f>+'NEW CAR'!U169+'GT-SERV'!U169+ACCESS!U169</f>
        <v>0</v>
      </c>
      <c r="V169" s="106">
        <f>+'NEW CAR'!V169+'GT-SERV'!V169+ACCESS!V169</f>
        <v>0</v>
      </c>
      <c r="W169" s="106">
        <f>+'NEW CAR'!W169+'GT-SERV'!W169+ACCESS!W169</f>
        <v>0</v>
      </c>
      <c r="X169" s="106">
        <f>+'NEW CAR'!X169+'GT-SERV'!X169+ACCESS!X169</f>
        <v>13156.01</v>
      </c>
      <c r="Y169" s="106">
        <f>+'NEW CAR'!Y169+'GT-SERV'!Y169+ACCESS!Y169</f>
        <v>0</v>
      </c>
      <c r="Z169" s="106">
        <f>+'NEW CAR'!Z169+'GT-SERV'!Z169+ACCESS!Z169</f>
        <v>0</v>
      </c>
      <c r="AA169" s="106">
        <f t="shared" si="148"/>
        <v>13156.01</v>
      </c>
      <c r="AB169" s="118"/>
      <c r="AC169" s="106">
        <f>+'NEW CAR'!AC169+'GT-SERV'!AC169+ACCESS!AC169</f>
        <v>0</v>
      </c>
      <c r="AD169" s="106">
        <f>+'NEW CAR'!AD169+'GT-SERV'!AD169+ACCESS!AD169</f>
        <v>0</v>
      </c>
      <c r="AE169" s="106">
        <f>+'NEW CAR'!AE169+'GT-SERV'!AE169+ACCESS!AE169</f>
        <v>0</v>
      </c>
      <c r="AF169" s="106">
        <f>+'NEW CAR'!AF169+'GT-SERV'!AF169+ACCESS!AF169</f>
        <v>0</v>
      </c>
      <c r="AG169" s="106">
        <f>+'NEW CAR'!AG169+'GT-SERV'!AG169+ACCESS!AG169</f>
        <v>0</v>
      </c>
      <c r="AH169" s="106">
        <f>+'NEW CAR'!AH169+'GT-SERV'!AH169+ACCESS!AH169</f>
        <v>0</v>
      </c>
      <c r="AI169" s="106">
        <f>+'NEW CAR'!AI169+'GT-SERV'!AI169+ACCESS!AI169</f>
        <v>0</v>
      </c>
      <c r="AJ169" s="106">
        <f>+'NEW CAR'!AJ169+'GT-SERV'!AJ169+ACCESS!AJ169</f>
        <v>0</v>
      </c>
      <c r="AK169" s="106">
        <f>+'NEW CAR'!AK169+'GT-SERV'!AK169+ACCESS!AK169</f>
        <v>0</v>
      </c>
      <c r="AL169" s="106">
        <f>+'NEW CAR'!AL169+'GT-SERV'!AL169+ACCESS!AL169</f>
        <v>0</v>
      </c>
      <c r="AM169" s="106">
        <f>+'NEW CAR'!AM169+'GT-SERV'!AM169+ACCESS!AM169</f>
        <v>0</v>
      </c>
      <c r="AN169" s="106">
        <f>+'NEW CAR'!AN169+'GT-SERV'!AN169+ACCESS!AN169</f>
        <v>0</v>
      </c>
      <c r="AO169" s="106">
        <f t="shared" si="149"/>
        <v>0</v>
      </c>
    </row>
    <row r="170" spans="1:41" outlineLevel="1">
      <c r="A170" s="106">
        <f>+'NEW CAR'!A170+'GT-SERV'!A170+ACCESS!A170</f>
        <v>15091.25</v>
      </c>
      <c r="B170" s="106">
        <f>+'NEW CAR'!B170+'GT-SERV'!B170+ACCESS!B170</f>
        <v>6550.72</v>
      </c>
      <c r="C170" s="106">
        <f>+'NEW CAR'!C170+'GT-SERV'!C170+ACCESS!C170</f>
        <v>7203.92</v>
      </c>
      <c r="D170" s="106">
        <f>+'NEW CAR'!D170+'GT-SERV'!D170+ACCESS!D170</f>
        <v>9770</v>
      </c>
      <c r="E170" s="106">
        <f>+'NEW CAR'!E170+'GT-SERV'!E170+ACCESS!E170</f>
        <v>14390.57</v>
      </c>
      <c r="F170" s="106">
        <f>+'NEW CAR'!F170+'GT-SERV'!F170+ACCESS!F170</f>
        <v>11922.55</v>
      </c>
      <c r="G170" s="106">
        <f>+'NEW CAR'!G170+'GT-SERV'!G170+ACCESS!G170</f>
        <v>62488.09</v>
      </c>
      <c r="H170" s="106">
        <f>+'NEW CAR'!H170+'GT-SERV'!H170+ACCESS!H170</f>
        <v>950</v>
      </c>
      <c r="I170" s="106">
        <f>+'NEW CAR'!I170+'GT-SERV'!I170+ACCESS!I170</f>
        <v>23913.27</v>
      </c>
      <c r="J170" s="106">
        <f>+'NEW CAR'!J170+'GT-SERV'!J170+ACCESS!J170</f>
        <v>1680</v>
      </c>
      <c r="K170" s="106">
        <f>+'NEW CAR'!K170+'GT-SERV'!K170+ACCESS!K170</f>
        <v>10393.75</v>
      </c>
      <c r="L170" s="106">
        <f>+'NEW CAR'!L170+'GT-SERV'!L170+ACCESS!L170</f>
        <v>6004.26</v>
      </c>
      <c r="M170" s="106">
        <f t="shared" si="147"/>
        <v>170358.38</v>
      </c>
      <c r="N170" s="16" t="s">
        <v>142</v>
      </c>
      <c r="O170" s="106">
        <f>+'NEW CAR'!O170+'GT-SERV'!O170+ACCESS!O170</f>
        <v>13996.739999999998</v>
      </c>
      <c r="P170" s="106">
        <f>+'NEW CAR'!P170+'GT-SERV'!P170+ACCESS!P170</f>
        <v>35599.660000000003</v>
      </c>
      <c r="Q170" s="106">
        <f>+'NEW CAR'!Q170+'GT-SERV'!Q170+ACCESS!Q170</f>
        <v>112233.66999999998</v>
      </c>
      <c r="R170" s="106">
        <f>+'NEW CAR'!R170+'GT-SERV'!R170+ACCESS!R170</f>
        <v>0</v>
      </c>
      <c r="S170" s="106">
        <f>+'NEW CAR'!S170+'GT-SERV'!S170+ACCESS!S170</f>
        <v>241421.34</v>
      </c>
      <c r="T170" s="106">
        <f>+'NEW CAR'!T170+'GT-SERV'!T170+ACCESS!T170</f>
        <v>29121.03</v>
      </c>
      <c r="U170" s="106">
        <f>+'NEW CAR'!U170+'GT-SERV'!U170+ACCESS!U170</f>
        <v>15221.460000000001</v>
      </c>
      <c r="V170" s="106">
        <f>+'NEW CAR'!V170+'GT-SERV'!V170+ACCESS!V170</f>
        <v>1315.63</v>
      </c>
      <c r="W170" s="106">
        <f>+'NEW CAR'!W170+'GT-SERV'!W170+ACCESS!W170</f>
        <v>10912.52</v>
      </c>
      <c r="X170" s="106">
        <f>+'NEW CAR'!X170+'GT-SERV'!X170+ACCESS!X170</f>
        <v>4570</v>
      </c>
      <c r="Y170" s="106">
        <f>+'NEW CAR'!Y170+'GT-SERV'!Y170+ACCESS!Y170</f>
        <v>0</v>
      </c>
      <c r="Z170" s="106">
        <f>+'NEW CAR'!Z170+'GT-SERV'!Z170+ACCESS!Z170</f>
        <v>0</v>
      </c>
      <c r="AA170" s="106">
        <f t="shared" si="148"/>
        <v>464392.05</v>
      </c>
      <c r="AB170" s="118"/>
      <c r="AC170" s="106">
        <f>+'NEW CAR'!AC170+'GT-SERV'!AC170+ACCESS!AC170</f>
        <v>1666.6666666666667</v>
      </c>
      <c r="AD170" s="106">
        <f>+'NEW CAR'!AD170+'GT-SERV'!AD170+ACCESS!AD170</f>
        <v>1666.6666666666667</v>
      </c>
      <c r="AE170" s="106">
        <f>+'NEW CAR'!AE170+'GT-SERV'!AE170+ACCESS!AE170</f>
        <v>1666.6666666666667</v>
      </c>
      <c r="AF170" s="106">
        <f>+'NEW CAR'!AF170+'GT-SERV'!AF170+ACCESS!AF170</f>
        <v>1666.6666666666667</v>
      </c>
      <c r="AG170" s="106">
        <f>+'NEW CAR'!AG170+'GT-SERV'!AG170+ACCESS!AG170</f>
        <v>1666.6666666666667</v>
      </c>
      <c r="AH170" s="106">
        <f>+'NEW CAR'!AH170+'GT-SERV'!AH170+ACCESS!AH170</f>
        <v>1666.6666666666667</v>
      </c>
      <c r="AI170" s="106">
        <f>+'NEW CAR'!AI170+'GT-SERV'!AI170+ACCESS!AI170</f>
        <v>1666.6666666666667</v>
      </c>
      <c r="AJ170" s="106">
        <f>+'NEW CAR'!AJ170+'GT-SERV'!AJ170+ACCESS!AJ170</f>
        <v>5666.666666666667</v>
      </c>
      <c r="AK170" s="106">
        <f>+'NEW CAR'!AK170+'GT-SERV'!AK170+ACCESS!AK170</f>
        <v>10666.666666666666</v>
      </c>
      <c r="AL170" s="106">
        <f>+'NEW CAR'!AL170+'GT-SERV'!AL170+ACCESS!AL170</f>
        <v>10666.666666666666</v>
      </c>
      <c r="AM170" s="106">
        <f>+'NEW CAR'!AM170+'GT-SERV'!AM170+ACCESS!AM170</f>
        <v>1666.6666666666667</v>
      </c>
      <c r="AN170" s="106">
        <f>+'NEW CAR'!AN170+'GT-SERV'!AN170+ACCESS!AN170</f>
        <v>1666.6666666666667</v>
      </c>
      <c r="AO170" s="106">
        <f t="shared" si="149"/>
        <v>41999.999999999993</v>
      </c>
    </row>
    <row r="171" spans="1:41" outlineLevel="1">
      <c r="A171" s="106">
        <f>+'NEW CAR'!A171+'GT-SERV'!A171+ACCESS!A171</f>
        <v>0</v>
      </c>
      <c r="B171" s="106">
        <f>+'NEW CAR'!B171+'GT-SERV'!B171+ACCESS!B171</f>
        <v>0</v>
      </c>
      <c r="C171" s="106">
        <f>+'NEW CAR'!C171+'GT-SERV'!C171+ACCESS!C171</f>
        <v>0</v>
      </c>
      <c r="D171" s="106">
        <f>+'NEW CAR'!D171+'GT-SERV'!D171+ACCESS!D171</f>
        <v>0</v>
      </c>
      <c r="E171" s="106">
        <f>+'NEW CAR'!E171+'GT-SERV'!E171+ACCESS!E171</f>
        <v>0</v>
      </c>
      <c r="F171" s="106">
        <f>+'NEW CAR'!F171+'GT-SERV'!F171+ACCESS!F171</f>
        <v>0</v>
      </c>
      <c r="G171" s="106">
        <f>+'NEW CAR'!G171+'GT-SERV'!G171+ACCESS!G171</f>
        <v>0</v>
      </c>
      <c r="H171" s="106">
        <f>+'NEW CAR'!H171+'GT-SERV'!H171+ACCESS!H171</f>
        <v>0</v>
      </c>
      <c r="I171" s="106">
        <f>+'NEW CAR'!I171+'GT-SERV'!I171+ACCESS!I171</f>
        <v>0</v>
      </c>
      <c r="J171" s="106">
        <f>+'NEW CAR'!J171+'GT-SERV'!J171+ACCESS!J171</f>
        <v>0</v>
      </c>
      <c r="K171" s="106">
        <f>+'NEW CAR'!K171+'GT-SERV'!K171+ACCESS!K171</f>
        <v>0</v>
      </c>
      <c r="L171" s="106">
        <f>+'NEW CAR'!L171+'GT-SERV'!L171+ACCESS!L171</f>
        <v>0</v>
      </c>
      <c r="M171" s="106">
        <f t="shared" si="147"/>
        <v>0</v>
      </c>
      <c r="N171" s="16" t="s">
        <v>143</v>
      </c>
      <c r="O171" s="106">
        <f>+'NEW CAR'!O171+'GT-SERV'!O171+ACCESS!O171</f>
        <v>0</v>
      </c>
      <c r="P171" s="106">
        <f>+'NEW CAR'!P171+'GT-SERV'!P171+ACCESS!P171</f>
        <v>0</v>
      </c>
      <c r="Q171" s="106">
        <f>+'NEW CAR'!Q171+'GT-SERV'!Q171+ACCESS!Q171</f>
        <v>0</v>
      </c>
      <c r="R171" s="106">
        <f>+'NEW CAR'!R171+'GT-SERV'!R171+ACCESS!R171</f>
        <v>0</v>
      </c>
      <c r="S171" s="106">
        <f>+'NEW CAR'!S171+'GT-SERV'!S171+ACCESS!S171</f>
        <v>0</v>
      </c>
      <c r="T171" s="106">
        <f>+'NEW CAR'!T171+'GT-SERV'!T171+ACCESS!T171</f>
        <v>0</v>
      </c>
      <c r="U171" s="106">
        <f>+'NEW CAR'!U171+'GT-SERV'!U171+ACCESS!U171</f>
        <v>0</v>
      </c>
      <c r="V171" s="106">
        <f>+'NEW CAR'!V171+'GT-SERV'!V171+ACCESS!V171</f>
        <v>0</v>
      </c>
      <c r="W171" s="106">
        <f>+'NEW CAR'!W171+'GT-SERV'!W171+ACCESS!W171</f>
        <v>0</v>
      </c>
      <c r="X171" s="106">
        <f>+'NEW CAR'!X171+'GT-SERV'!X171+ACCESS!X171</f>
        <v>0</v>
      </c>
      <c r="Y171" s="106">
        <f>+'NEW CAR'!Y171+'GT-SERV'!Y171+ACCESS!Y171</f>
        <v>0</v>
      </c>
      <c r="Z171" s="106">
        <f>+'NEW CAR'!Z171+'GT-SERV'!Z171+ACCESS!Z171</f>
        <v>0</v>
      </c>
      <c r="AA171" s="106">
        <f t="shared" si="148"/>
        <v>0</v>
      </c>
      <c r="AB171" s="118"/>
      <c r="AC171" s="106">
        <f>+'NEW CAR'!AC171+'GT-SERV'!AC171+ACCESS!AC171</f>
        <v>500</v>
      </c>
      <c r="AD171" s="106">
        <f>+'NEW CAR'!AD171+'GT-SERV'!AD171+ACCESS!AD171</f>
        <v>500</v>
      </c>
      <c r="AE171" s="106">
        <f>+'NEW CAR'!AE171+'GT-SERV'!AE171+ACCESS!AE171</f>
        <v>500</v>
      </c>
      <c r="AF171" s="106">
        <f>+'NEW CAR'!AF171+'GT-SERV'!AF171+ACCESS!AF171</f>
        <v>500</v>
      </c>
      <c r="AG171" s="106">
        <f>+'NEW CAR'!AG171+'GT-SERV'!AG171+ACCESS!AG171</f>
        <v>500</v>
      </c>
      <c r="AH171" s="106">
        <f>+'NEW CAR'!AH171+'GT-SERV'!AH171+ACCESS!AH171</f>
        <v>500</v>
      </c>
      <c r="AI171" s="106">
        <f>+'NEW CAR'!AI171+'GT-SERV'!AI171+ACCESS!AI171</f>
        <v>500</v>
      </c>
      <c r="AJ171" s="106">
        <f>+'NEW CAR'!AJ171+'GT-SERV'!AJ171+ACCESS!AJ171</f>
        <v>500</v>
      </c>
      <c r="AK171" s="106">
        <f>+'NEW CAR'!AK171+'GT-SERV'!AK171+ACCESS!AK171</f>
        <v>500</v>
      </c>
      <c r="AL171" s="106">
        <f>+'NEW CAR'!AL171+'GT-SERV'!AL171+ACCESS!AL171</f>
        <v>500</v>
      </c>
      <c r="AM171" s="106">
        <f>+'NEW CAR'!AM171+'GT-SERV'!AM171+ACCESS!AM171</f>
        <v>500</v>
      </c>
      <c r="AN171" s="106">
        <f>+'NEW CAR'!AN171+'GT-SERV'!AN171+ACCESS!AN171</f>
        <v>500</v>
      </c>
      <c r="AO171" s="106">
        <f t="shared" si="149"/>
        <v>6000</v>
      </c>
    </row>
    <row r="172" spans="1:41" outlineLevel="1">
      <c r="A172" s="58">
        <f t="shared" ref="A172:M172" si="150">+SUM(A173:A177)</f>
        <v>299864.85999999969</v>
      </c>
      <c r="B172" s="58">
        <f t="shared" si="150"/>
        <v>300644.52999999968</v>
      </c>
      <c r="C172" s="58">
        <f t="shared" si="150"/>
        <v>289598.13999999966</v>
      </c>
      <c r="D172" s="58">
        <f t="shared" si="150"/>
        <v>314203</v>
      </c>
      <c r="E172" s="58">
        <f t="shared" si="150"/>
        <v>313863</v>
      </c>
      <c r="F172" s="58">
        <f t="shared" si="150"/>
        <v>313516</v>
      </c>
      <c r="G172" s="58">
        <f t="shared" si="150"/>
        <v>314574</v>
      </c>
      <c r="H172" s="58">
        <f t="shared" si="150"/>
        <v>331990</v>
      </c>
      <c r="I172" s="58">
        <f t="shared" si="150"/>
        <v>337654.33</v>
      </c>
      <c r="J172" s="58">
        <f t="shared" si="150"/>
        <v>357605</v>
      </c>
      <c r="K172" s="58">
        <f t="shared" si="150"/>
        <v>311960.71999999997</v>
      </c>
      <c r="L172" s="58">
        <f t="shared" si="150"/>
        <v>309472.67</v>
      </c>
      <c r="M172" s="58">
        <f t="shared" si="150"/>
        <v>3794946.2499999991</v>
      </c>
      <c r="N172" s="20" t="s">
        <v>144</v>
      </c>
      <c r="O172" s="58">
        <f t="shared" ref="O172:AA172" si="151">+SUM(O173:O177)</f>
        <v>290967.18</v>
      </c>
      <c r="P172" s="58">
        <f t="shared" si="151"/>
        <v>312217.02</v>
      </c>
      <c r="Q172" s="58">
        <f t="shared" si="151"/>
        <v>370464.71</v>
      </c>
      <c r="R172" s="58">
        <f t="shared" si="151"/>
        <v>290817.12</v>
      </c>
      <c r="S172" s="58">
        <f t="shared" si="151"/>
        <v>753080.75</v>
      </c>
      <c r="T172" s="58">
        <f t="shared" si="151"/>
        <v>550716.53</v>
      </c>
      <c r="U172" s="58">
        <f t="shared" si="151"/>
        <v>546513.68311111117</v>
      </c>
      <c r="V172" s="58">
        <f t="shared" si="151"/>
        <v>467755.83999999997</v>
      </c>
      <c r="W172" s="58">
        <f t="shared" si="151"/>
        <v>571306.96</v>
      </c>
      <c r="X172" s="58">
        <f t="shared" si="151"/>
        <v>471361.82</v>
      </c>
      <c r="Y172" s="58">
        <f t="shared" si="151"/>
        <v>0</v>
      </c>
      <c r="Z172" s="58">
        <f t="shared" si="151"/>
        <v>0</v>
      </c>
      <c r="AA172" s="58">
        <f t="shared" si="151"/>
        <v>4625201.6131111113</v>
      </c>
      <c r="AB172" s="118"/>
      <c r="AC172" s="58">
        <f t="shared" ref="AC172:AO172" si="152">+SUM(AC173:AC177)</f>
        <v>549730</v>
      </c>
      <c r="AD172" s="58">
        <f t="shared" si="152"/>
        <v>549730</v>
      </c>
      <c r="AE172" s="58">
        <f t="shared" si="152"/>
        <v>549730</v>
      </c>
      <c r="AF172" s="58">
        <f t="shared" si="152"/>
        <v>549730</v>
      </c>
      <c r="AG172" s="58">
        <f t="shared" si="152"/>
        <v>549730</v>
      </c>
      <c r="AH172" s="58">
        <f t="shared" si="152"/>
        <v>549730</v>
      </c>
      <c r="AI172" s="58">
        <f t="shared" si="152"/>
        <v>549730</v>
      </c>
      <c r="AJ172" s="58">
        <f t="shared" si="152"/>
        <v>549730</v>
      </c>
      <c r="AK172" s="58">
        <f t="shared" si="152"/>
        <v>549730</v>
      </c>
      <c r="AL172" s="58">
        <f t="shared" si="152"/>
        <v>549730</v>
      </c>
      <c r="AM172" s="58">
        <f t="shared" si="152"/>
        <v>549730</v>
      </c>
      <c r="AN172" s="58">
        <f t="shared" si="152"/>
        <v>549730</v>
      </c>
      <c r="AO172" s="58">
        <f t="shared" si="152"/>
        <v>6596760</v>
      </c>
    </row>
    <row r="173" spans="1:41" outlineLevel="1">
      <c r="A173" s="106">
        <f>+'NEW CAR'!A173+'GT-SERV'!A173+ACCESS!A173</f>
        <v>110650</v>
      </c>
      <c r="B173" s="106">
        <f>+'NEW CAR'!B173+'GT-SERV'!B173+ACCESS!B173</f>
        <v>110650</v>
      </c>
      <c r="C173" s="106">
        <f>+'NEW CAR'!C173+'GT-SERV'!C173+ACCESS!C173</f>
        <v>110650</v>
      </c>
      <c r="D173" s="106">
        <f>+'NEW CAR'!D173+'GT-SERV'!D173+ACCESS!D173</f>
        <v>110650</v>
      </c>
      <c r="E173" s="106">
        <f>+'NEW CAR'!E173+'GT-SERV'!E173+ACCESS!E173</f>
        <v>110650</v>
      </c>
      <c r="F173" s="106">
        <f>+'NEW CAR'!F173+'GT-SERV'!F173+ACCESS!F173</f>
        <v>110650</v>
      </c>
      <c r="G173" s="106">
        <f>+'NEW CAR'!G173+'GT-SERV'!G173+ACCESS!G173</f>
        <v>110650</v>
      </c>
      <c r="H173" s="106">
        <f>+'NEW CAR'!H173+'GT-SERV'!H173+ACCESS!H173</f>
        <v>110650</v>
      </c>
      <c r="I173" s="106">
        <f>+'NEW CAR'!I173+'GT-SERV'!I173+ACCESS!I173</f>
        <v>110650</v>
      </c>
      <c r="J173" s="106">
        <f>+'NEW CAR'!J173+'GT-SERV'!J173+ACCESS!J173</f>
        <v>110650</v>
      </c>
      <c r="K173" s="106">
        <f>+'NEW CAR'!K173+'GT-SERV'!K173+ACCESS!K173</f>
        <v>110650</v>
      </c>
      <c r="L173" s="106">
        <f>+'NEW CAR'!L173+'GT-SERV'!L173+ACCESS!L173</f>
        <v>110650</v>
      </c>
      <c r="M173" s="106">
        <f t="shared" ref="M173:M177" si="153">+SUM(A173:L173)</f>
        <v>1327800</v>
      </c>
      <c r="N173" s="16" t="s">
        <v>145</v>
      </c>
      <c r="O173" s="106">
        <f>+'NEW CAR'!O173+'GT-SERV'!O173+ACCESS!O173</f>
        <v>110650</v>
      </c>
      <c r="P173" s="106">
        <f>+'NEW CAR'!P173+'GT-SERV'!P173+ACCESS!P173</f>
        <v>110650</v>
      </c>
      <c r="Q173" s="106">
        <f>+'NEW CAR'!Q173+'GT-SERV'!Q173+ACCESS!Q173</f>
        <v>110650</v>
      </c>
      <c r="R173" s="106">
        <f>+'NEW CAR'!R173+'GT-SERV'!R173+ACCESS!R173</f>
        <v>110650</v>
      </c>
      <c r="S173" s="106">
        <f>+'NEW CAR'!S173+'GT-SERV'!S173+ACCESS!S173</f>
        <v>110650</v>
      </c>
      <c r="T173" s="106">
        <f>+'NEW CAR'!T173+'GT-SERV'!T173+ACCESS!T173</f>
        <v>110650</v>
      </c>
      <c r="U173" s="106">
        <f>+'NEW CAR'!U173+'GT-SERV'!U173+ACCESS!U173</f>
        <v>110650</v>
      </c>
      <c r="V173" s="106">
        <f>+'NEW CAR'!V173+'GT-SERV'!V173+ACCESS!V173</f>
        <v>110650</v>
      </c>
      <c r="W173" s="106">
        <f>+'NEW CAR'!W173+'GT-SERV'!W173+ACCESS!W173</f>
        <v>110650</v>
      </c>
      <c r="X173" s="106">
        <f>+'NEW CAR'!X173+'GT-SERV'!X173+ACCESS!X173</f>
        <v>110650</v>
      </c>
      <c r="Y173" s="106">
        <f>+'NEW CAR'!Y173+'GT-SERV'!Y173+ACCESS!Y173</f>
        <v>0</v>
      </c>
      <c r="Z173" s="106">
        <f>+'NEW CAR'!Z173+'GT-SERV'!Z173+ACCESS!Z173</f>
        <v>0</v>
      </c>
      <c r="AA173" s="106">
        <f t="shared" ref="AA173:AA177" si="154">+SUM(O173:Z173)</f>
        <v>1106500</v>
      </c>
      <c r="AB173" s="118"/>
      <c r="AC173" s="106">
        <f>+'NEW CAR'!AC173+'GT-SERV'!AC173+ACCESS!AC173</f>
        <v>110650</v>
      </c>
      <c r="AD173" s="106">
        <f>+'NEW CAR'!AD173+'GT-SERV'!AD173+ACCESS!AD173</f>
        <v>110650</v>
      </c>
      <c r="AE173" s="106">
        <f>+'NEW CAR'!AE173+'GT-SERV'!AE173+ACCESS!AE173</f>
        <v>110650</v>
      </c>
      <c r="AF173" s="106">
        <f>+'NEW CAR'!AF173+'GT-SERV'!AF173+ACCESS!AF173</f>
        <v>110650</v>
      </c>
      <c r="AG173" s="106">
        <f>+'NEW CAR'!AG173+'GT-SERV'!AG173+ACCESS!AG173</f>
        <v>110650</v>
      </c>
      <c r="AH173" s="106">
        <f>+'NEW CAR'!AH173+'GT-SERV'!AH173+ACCESS!AH173</f>
        <v>110650</v>
      </c>
      <c r="AI173" s="106">
        <f>+'NEW CAR'!AI173+'GT-SERV'!AI173+ACCESS!AI173</f>
        <v>110650</v>
      </c>
      <c r="AJ173" s="106">
        <f>+'NEW CAR'!AJ173+'GT-SERV'!AJ173+ACCESS!AJ173</f>
        <v>110650</v>
      </c>
      <c r="AK173" s="106">
        <f>+'NEW CAR'!AK173+'GT-SERV'!AK173+ACCESS!AK173</f>
        <v>110650</v>
      </c>
      <c r="AL173" s="106">
        <f>+'NEW CAR'!AL173+'GT-SERV'!AL173+ACCESS!AL173</f>
        <v>110650</v>
      </c>
      <c r="AM173" s="106">
        <f>+'NEW CAR'!AM173+'GT-SERV'!AM173+ACCESS!AM173</f>
        <v>110650</v>
      </c>
      <c r="AN173" s="106">
        <f>+'NEW CAR'!AN173+'GT-SERV'!AN173+ACCESS!AN173</f>
        <v>110650</v>
      </c>
      <c r="AO173" s="106">
        <f t="shared" ref="AO173:AO177" si="155">+SUM(AC173:AN173)</f>
        <v>1327800</v>
      </c>
    </row>
    <row r="174" spans="1:41" outlineLevel="1">
      <c r="A174" s="106">
        <f>+'NEW CAR'!A174+'GT-SERV'!A174+ACCESS!A174</f>
        <v>0</v>
      </c>
      <c r="B174" s="106">
        <f>+'NEW CAR'!B174+'GT-SERV'!B174+ACCESS!B174</f>
        <v>0</v>
      </c>
      <c r="C174" s="106">
        <f>+'NEW CAR'!C174+'GT-SERV'!C174+ACCESS!C174</f>
        <v>0</v>
      </c>
      <c r="D174" s="106">
        <f>+'NEW CAR'!D174+'GT-SERV'!D174+ACCESS!D174</f>
        <v>0</v>
      </c>
      <c r="E174" s="106">
        <f>+'NEW CAR'!E174+'GT-SERV'!E174+ACCESS!E174</f>
        <v>0</v>
      </c>
      <c r="F174" s="106">
        <f>+'NEW CAR'!F174+'GT-SERV'!F174+ACCESS!F174</f>
        <v>0</v>
      </c>
      <c r="G174" s="106">
        <f>+'NEW CAR'!G174+'GT-SERV'!G174+ACCESS!G174</f>
        <v>0</v>
      </c>
      <c r="H174" s="106">
        <f>+'NEW CAR'!H174+'GT-SERV'!H174+ACCESS!H174</f>
        <v>0</v>
      </c>
      <c r="I174" s="106">
        <f>+'NEW CAR'!I174+'GT-SERV'!I174+ACCESS!I174</f>
        <v>0</v>
      </c>
      <c r="J174" s="106">
        <f>+'NEW CAR'!J174+'GT-SERV'!J174+ACCESS!J174</f>
        <v>0</v>
      </c>
      <c r="K174" s="106">
        <f>+'NEW CAR'!K174+'GT-SERV'!K174+ACCESS!K174</f>
        <v>0</v>
      </c>
      <c r="L174" s="106">
        <f>+'NEW CAR'!L174+'GT-SERV'!L174+ACCESS!L174</f>
        <v>0</v>
      </c>
      <c r="M174" s="106">
        <f t="shared" si="153"/>
        <v>0</v>
      </c>
      <c r="N174" s="16" t="s">
        <v>146</v>
      </c>
      <c r="O174" s="106">
        <f>+'NEW CAR'!O174+'GT-SERV'!O174+ACCESS!O174</f>
        <v>0</v>
      </c>
      <c r="P174" s="106">
        <f>+'NEW CAR'!P174+'GT-SERV'!P174+ACCESS!P174</f>
        <v>0</v>
      </c>
      <c r="Q174" s="106">
        <f>+'NEW CAR'!Q174+'GT-SERV'!Q174+ACCESS!Q174</f>
        <v>0</v>
      </c>
      <c r="R174" s="106">
        <f>+'NEW CAR'!R174+'GT-SERV'!R174+ACCESS!R174</f>
        <v>0</v>
      </c>
      <c r="S174" s="106">
        <f>+'NEW CAR'!S174+'GT-SERV'!S174+ACCESS!S174</f>
        <v>0</v>
      </c>
      <c r="T174" s="106">
        <f>+'NEW CAR'!T174+'GT-SERV'!T174+ACCESS!T174</f>
        <v>0</v>
      </c>
      <c r="U174" s="106">
        <f>+'NEW CAR'!U174+'GT-SERV'!U174+ACCESS!U174</f>
        <v>0</v>
      </c>
      <c r="V174" s="106">
        <f>+'NEW CAR'!V174+'GT-SERV'!V174+ACCESS!V174</f>
        <v>0</v>
      </c>
      <c r="W174" s="106">
        <f>+'NEW CAR'!W174+'GT-SERV'!W174+ACCESS!W174</f>
        <v>0</v>
      </c>
      <c r="X174" s="106">
        <f>+'NEW CAR'!X174+'GT-SERV'!X174+ACCESS!X174</f>
        <v>0</v>
      </c>
      <c r="Y174" s="106">
        <f>+'NEW CAR'!Y174+'GT-SERV'!Y174+ACCESS!Y174</f>
        <v>0</v>
      </c>
      <c r="Z174" s="106">
        <f>+'NEW CAR'!Z174+'GT-SERV'!Z174+ACCESS!Z174</f>
        <v>0</v>
      </c>
      <c r="AA174" s="106">
        <f t="shared" si="154"/>
        <v>0</v>
      </c>
      <c r="AB174" s="118"/>
      <c r="AC174" s="106">
        <f>+'NEW CAR'!AC174+'GT-SERV'!AC174+ACCESS!AC174</f>
        <v>78000</v>
      </c>
      <c r="AD174" s="106">
        <f>+'NEW CAR'!AD174+'GT-SERV'!AD174+ACCESS!AD174</f>
        <v>78000</v>
      </c>
      <c r="AE174" s="106">
        <f>+'NEW CAR'!AE174+'GT-SERV'!AE174+ACCESS!AE174</f>
        <v>78000</v>
      </c>
      <c r="AF174" s="106">
        <f>+'NEW CAR'!AF174+'GT-SERV'!AF174+ACCESS!AF174</f>
        <v>78000</v>
      </c>
      <c r="AG174" s="106">
        <f>+'NEW CAR'!AG174+'GT-SERV'!AG174+ACCESS!AG174</f>
        <v>78000</v>
      </c>
      <c r="AH174" s="106">
        <f>+'NEW CAR'!AH174+'GT-SERV'!AH174+ACCESS!AH174</f>
        <v>78000</v>
      </c>
      <c r="AI174" s="106">
        <f>+'NEW CAR'!AI174+'GT-SERV'!AI174+ACCESS!AI174</f>
        <v>78000</v>
      </c>
      <c r="AJ174" s="106">
        <f>+'NEW CAR'!AJ174+'GT-SERV'!AJ174+ACCESS!AJ174</f>
        <v>78000</v>
      </c>
      <c r="AK174" s="106">
        <f>+'NEW CAR'!AK174+'GT-SERV'!AK174+ACCESS!AK174</f>
        <v>78000</v>
      </c>
      <c r="AL174" s="106">
        <f>+'NEW CAR'!AL174+'GT-SERV'!AL174+ACCESS!AL174</f>
        <v>78000</v>
      </c>
      <c r="AM174" s="106">
        <f>+'NEW CAR'!AM174+'GT-SERV'!AM174+ACCESS!AM174</f>
        <v>78000</v>
      </c>
      <c r="AN174" s="106">
        <f>+'NEW CAR'!AN174+'GT-SERV'!AN174+ACCESS!AN174</f>
        <v>78000</v>
      </c>
      <c r="AO174" s="106">
        <f t="shared" si="155"/>
        <v>936000</v>
      </c>
    </row>
    <row r="175" spans="1:41" outlineLevel="1">
      <c r="A175" s="106">
        <f>+'NEW CAR'!A175+'GT-SERV'!A175+ACCESS!A175</f>
        <v>137649.86333333299</v>
      </c>
      <c r="B175" s="106">
        <f>+'NEW CAR'!B175+'GT-SERV'!B175+ACCESS!B175</f>
        <v>137649.86333333299</v>
      </c>
      <c r="C175" s="106">
        <f>+'NEW CAR'!C175+'GT-SERV'!C175+ACCESS!C175</f>
        <v>137649.86333333299</v>
      </c>
      <c r="D175" s="106">
        <f>+'NEW CAR'!D175+'GT-SERV'!D175+ACCESS!D175</f>
        <v>148080</v>
      </c>
      <c r="E175" s="106">
        <f>+'NEW CAR'!E175+'GT-SERV'!E175+ACCESS!E175</f>
        <v>148080</v>
      </c>
      <c r="F175" s="106">
        <f>+'NEW CAR'!F175+'GT-SERV'!F175+ACCESS!F175</f>
        <v>148080</v>
      </c>
      <c r="G175" s="106">
        <f>+'NEW CAR'!G175+'GT-SERV'!G175+ACCESS!G175</f>
        <v>148080</v>
      </c>
      <c r="H175" s="106">
        <f>+'NEW CAR'!H175+'GT-SERV'!H175+ACCESS!H175</f>
        <v>148080</v>
      </c>
      <c r="I175" s="106">
        <f>+'NEW CAR'!I175+'GT-SERV'!I175+ACCESS!I175</f>
        <v>148080</v>
      </c>
      <c r="J175" s="106">
        <f>+'NEW CAR'!J175+'GT-SERV'!J175+ACCESS!J175</f>
        <v>148080</v>
      </c>
      <c r="K175" s="106">
        <f>+'NEW CAR'!K175+'GT-SERV'!K175+ACCESS!K175</f>
        <v>148080</v>
      </c>
      <c r="L175" s="106">
        <f>+'NEW CAR'!L175+'GT-SERV'!L175+ACCESS!L175</f>
        <v>148080</v>
      </c>
      <c r="M175" s="106">
        <f t="shared" si="153"/>
        <v>1745669.5899999989</v>
      </c>
      <c r="N175" s="16" t="s">
        <v>230</v>
      </c>
      <c r="O175" s="106">
        <f>+'NEW CAR'!O175+'GT-SERV'!O175+ACCESS!O175</f>
        <v>123405</v>
      </c>
      <c r="P175" s="106">
        <f>+'NEW CAR'!P175+'GT-SERV'!P175+ACCESS!P175</f>
        <v>124641</v>
      </c>
      <c r="Q175" s="106">
        <f>+'NEW CAR'!Q175+'GT-SERV'!Q175+ACCESS!Q175</f>
        <v>124641</v>
      </c>
      <c r="R175" s="106">
        <f>+'NEW CAR'!R175+'GT-SERV'!R175+ACCESS!R175</f>
        <v>124641</v>
      </c>
      <c r="S175" s="106">
        <f>+'NEW CAR'!S175+'GT-SERV'!S175+ACCESS!S175</f>
        <v>394388</v>
      </c>
      <c r="T175" s="106">
        <f>+'NEW CAR'!T175+'GT-SERV'!T175+ACCESS!T175</f>
        <v>229503</v>
      </c>
      <c r="U175" s="106">
        <f>+'NEW CAR'!U175+'GT-SERV'!U175+ACCESS!U175</f>
        <v>231791.99999999997</v>
      </c>
      <c r="V175" s="106">
        <f>+'NEW CAR'!V175+'GT-SERV'!V175+ACCESS!V175</f>
        <v>290000</v>
      </c>
      <c r="W175" s="106">
        <f>+'NEW CAR'!W175+'GT-SERV'!W175+ACCESS!W175</f>
        <v>290000</v>
      </c>
      <c r="X175" s="106">
        <f>+'NEW CAR'!X175+'GT-SERV'!X175+ACCESS!X175</f>
        <v>290000</v>
      </c>
      <c r="Y175" s="106">
        <f>+'NEW CAR'!Y175+'GT-SERV'!Y175+ACCESS!Y175</f>
        <v>0</v>
      </c>
      <c r="Z175" s="106">
        <f>+'NEW CAR'!Z175+'GT-SERV'!Z175+ACCESS!Z175</f>
        <v>0</v>
      </c>
      <c r="AA175" s="106">
        <f t="shared" si="154"/>
        <v>2223011</v>
      </c>
      <c r="AB175" s="118"/>
      <c r="AC175" s="106">
        <f>+'NEW CAR'!AC175+'GT-SERV'!AC175+ACCESS!AC175</f>
        <v>290000</v>
      </c>
      <c r="AD175" s="106">
        <f>+'NEW CAR'!AD175+'GT-SERV'!AD175+ACCESS!AD175</f>
        <v>290000</v>
      </c>
      <c r="AE175" s="106">
        <f>+'NEW CAR'!AE175+'GT-SERV'!AE175+ACCESS!AE175</f>
        <v>290000</v>
      </c>
      <c r="AF175" s="106">
        <f>+'NEW CAR'!AF175+'GT-SERV'!AF175+ACCESS!AF175</f>
        <v>290000</v>
      </c>
      <c r="AG175" s="106">
        <f>+'NEW CAR'!AG175+'GT-SERV'!AG175+ACCESS!AG175</f>
        <v>290000</v>
      </c>
      <c r="AH175" s="106">
        <f>+'NEW CAR'!AH175+'GT-SERV'!AH175+ACCESS!AH175</f>
        <v>290000</v>
      </c>
      <c r="AI175" s="106">
        <f>+'NEW CAR'!AI175+'GT-SERV'!AI175+ACCESS!AI175</f>
        <v>290000</v>
      </c>
      <c r="AJ175" s="106">
        <f>+'NEW CAR'!AJ175+'GT-SERV'!AJ175+ACCESS!AJ175</f>
        <v>290000</v>
      </c>
      <c r="AK175" s="106">
        <f>+'NEW CAR'!AK175+'GT-SERV'!AK175+ACCESS!AK175</f>
        <v>290000</v>
      </c>
      <c r="AL175" s="106">
        <f>+'NEW CAR'!AL175+'GT-SERV'!AL175+ACCESS!AL175</f>
        <v>290000</v>
      </c>
      <c r="AM175" s="106">
        <f>+'NEW CAR'!AM175+'GT-SERV'!AM175+ACCESS!AM175</f>
        <v>290000</v>
      </c>
      <c r="AN175" s="106">
        <f>+'NEW CAR'!AN175+'GT-SERV'!AN175+ACCESS!AN175</f>
        <v>290000</v>
      </c>
      <c r="AO175" s="106">
        <f t="shared" si="155"/>
        <v>3480000</v>
      </c>
    </row>
    <row r="176" spans="1:41" outlineLevel="1">
      <c r="A176" s="106">
        <f>+'NEW CAR'!A176+'GT-SERV'!A176+ACCESS!A176</f>
        <v>16439.666666666701</v>
      </c>
      <c r="B176" s="106">
        <f>+'NEW CAR'!B176+'GT-SERV'!B176+ACCESS!B176</f>
        <v>16439.666666666701</v>
      </c>
      <c r="C176" s="106">
        <f>+'NEW CAR'!C176+'GT-SERV'!C176+ACCESS!C176</f>
        <v>16439.666666666701</v>
      </c>
      <c r="D176" s="106">
        <f>+'NEW CAR'!D176+'GT-SERV'!D176+ACCESS!D176</f>
        <v>18580</v>
      </c>
      <c r="E176" s="106">
        <f>+'NEW CAR'!E176+'GT-SERV'!E176+ACCESS!E176</f>
        <v>18580</v>
      </c>
      <c r="F176" s="106">
        <f>+'NEW CAR'!F176+'GT-SERV'!F176+ACCESS!F176</f>
        <v>18580</v>
      </c>
      <c r="G176" s="106">
        <f>+'NEW CAR'!G176+'GT-SERV'!G176+ACCESS!G176</f>
        <v>18580</v>
      </c>
      <c r="H176" s="106">
        <f>+'NEW CAR'!H176+'GT-SERV'!H176+ACCESS!H176</f>
        <v>18580</v>
      </c>
      <c r="I176" s="106">
        <f>+'NEW CAR'!I176+'GT-SERV'!I176+ACCESS!I176</f>
        <v>18580</v>
      </c>
      <c r="J176" s="106">
        <f>+'NEW CAR'!J176+'GT-SERV'!J176+ACCESS!J176</f>
        <v>18580</v>
      </c>
      <c r="K176" s="106">
        <f>+'NEW CAR'!K176+'GT-SERV'!K176+ACCESS!K176</f>
        <v>18580</v>
      </c>
      <c r="L176" s="106">
        <f>+'NEW CAR'!L176+'GT-SERV'!L176+ACCESS!L176</f>
        <v>18580</v>
      </c>
      <c r="M176" s="106">
        <f t="shared" si="153"/>
        <v>216539.00000000012</v>
      </c>
      <c r="N176" s="16" t="s">
        <v>231</v>
      </c>
      <c r="O176" s="106">
        <f>+'NEW CAR'!O176+'GT-SERV'!O176+ACCESS!O176</f>
        <v>39707</v>
      </c>
      <c r="P176" s="106">
        <f>+'NEW CAR'!P176+'GT-SERV'!P176+ACCESS!P176</f>
        <v>38471</v>
      </c>
      <c r="Q176" s="106">
        <f>+'NEW CAR'!Q176+'GT-SERV'!Q176+ACCESS!Q176</f>
        <v>38471</v>
      </c>
      <c r="R176" s="106">
        <f>+'NEW CAR'!R176+'GT-SERV'!R176+ACCESS!R176</f>
        <v>38471</v>
      </c>
      <c r="S176" s="106">
        <f>+'NEW CAR'!S176+'GT-SERV'!S176+ACCESS!S176</f>
        <v>103782</v>
      </c>
      <c r="T176" s="106">
        <f>+'NEW CAR'!T176+'GT-SERV'!T176+ACCESS!T176</f>
        <v>100220</v>
      </c>
      <c r="U176" s="106">
        <f>+'NEW CAR'!U176+'GT-SERV'!U176+ACCESS!U176</f>
        <v>97931</v>
      </c>
      <c r="V176" s="106">
        <f>+'NEW CAR'!V176+'GT-SERV'!V176+ACCESS!V176</f>
        <v>23580</v>
      </c>
      <c r="W176" s="106">
        <f>+'NEW CAR'!W176+'GT-SERV'!W176+ACCESS!W176</f>
        <v>23580</v>
      </c>
      <c r="X176" s="106">
        <f>+'NEW CAR'!X176+'GT-SERV'!X176+ACCESS!X176</f>
        <v>23580</v>
      </c>
      <c r="Y176" s="106">
        <f>+'NEW CAR'!Y176+'GT-SERV'!Y176+ACCESS!Y176</f>
        <v>0</v>
      </c>
      <c r="Z176" s="106">
        <f>+'NEW CAR'!Z176+'GT-SERV'!Z176+ACCESS!Z176</f>
        <v>0</v>
      </c>
      <c r="AA176" s="106">
        <f t="shared" si="154"/>
        <v>527793</v>
      </c>
      <c r="AB176" s="118"/>
      <c r="AC176" s="106">
        <f>+'NEW CAR'!AC176+'GT-SERV'!AC176+ACCESS!AC176</f>
        <v>23580</v>
      </c>
      <c r="AD176" s="106">
        <f>+'NEW CAR'!AD176+'GT-SERV'!AD176+ACCESS!AD176</f>
        <v>23580</v>
      </c>
      <c r="AE176" s="106">
        <f>+'NEW CAR'!AE176+'GT-SERV'!AE176+ACCESS!AE176</f>
        <v>23580</v>
      </c>
      <c r="AF176" s="106">
        <f>+'NEW CAR'!AF176+'GT-SERV'!AF176+ACCESS!AF176</f>
        <v>23580</v>
      </c>
      <c r="AG176" s="106">
        <f>+'NEW CAR'!AG176+'GT-SERV'!AG176+ACCESS!AG176</f>
        <v>23580</v>
      </c>
      <c r="AH176" s="106">
        <f>+'NEW CAR'!AH176+'GT-SERV'!AH176+ACCESS!AH176</f>
        <v>23580</v>
      </c>
      <c r="AI176" s="106">
        <f>+'NEW CAR'!AI176+'GT-SERV'!AI176+ACCESS!AI176</f>
        <v>23580</v>
      </c>
      <c r="AJ176" s="106">
        <f>+'NEW CAR'!AJ176+'GT-SERV'!AJ176+ACCESS!AJ176</f>
        <v>23580</v>
      </c>
      <c r="AK176" s="106">
        <f>+'NEW CAR'!AK176+'GT-SERV'!AK176+ACCESS!AK176</f>
        <v>23580</v>
      </c>
      <c r="AL176" s="106">
        <f>+'NEW CAR'!AL176+'GT-SERV'!AL176+ACCESS!AL176</f>
        <v>23580</v>
      </c>
      <c r="AM176" s="106">
        <f>+'NEW CAR'!AM176+'GT-SERV'!AM176+ACCESS!AM176</f>
        <v>23580</v>
      </c>
      <c r="AN176" s="106">
        <f>+'NEW CAR'!AN176+'GT-SERV'!AN176+ACCESS!AN176</f>
        <v>23580</v>
      </c>
      <c r="AO176" s="106">
        <f t="shared" si="155"/>
        <v>282960</v>
      </c>
    </row>
    <row r="177" spans="1:41" outlineLevel="1">
      <c r="A177" s="106">
        <f>+'NEW CAR'!A177+'GT-SERV'!A177+ACCESS!A177</f>
        <v>35125.33</v>
      </c>
      <c r="B177" s="106">
        <f>+'NEW CAR'!B177+'GT-SERV'!B177+ACCESS!B177</f>
        <v>35905</v>
      </c>
      <c r="C177" s="106">
        <f>+'NEW CAR'!C177+'GT-SERV'!C177+ACCESS!C177</f>
        <v>24858.610000000004</v>
      </c>
      <c r="D177" s="106">
        <f>+'NEW CAR'!D177+'GT-SERV'!D177+ACCESS!D177</f>
        <v>36893</v>
      </c>
      <c r="E177" s="106">
        <f>+'NEW CAR'!E177+'GT-SERV'!E177+ACCESS!E177</f>
        <v>36553</v>
      </c>
      <c r="F177" s="106">
        <f>+'NEW CAR'!F177+'GT-SERV'!F177+ACCESS!F177</f>
        <v>36206</v>
      </c>
      <c r="G177" s="106">
        <f>+'NEW CAR'!G177+'GT-SERV'!G177+ACCESS!G177</f>
        <v>37264</v>
      </c>
      <c r="H177" s="106">
        <f>+'NEW CAR'!H177+'GT-SERV'!H177+ACCESS!H177</f>
        <v>54680</v>
      </c>
      <c r="I177" s="106">
        <f>+'NEW CAR'!I177+'GT-SERV'!I177+ACCESS!I177</f>
        <v>60344.33</v>
      </c>
      <c r="J177" s="106">
        <f>+'NEW CAR'!J177+'GT-SERV'!J177+ACCESS!J177</f>
        <v>80295</v>
      </c>
      <c r="K177" s="106">
        <f>+'NEW CAR'!K177+'GT-SERV'!K177+ACCESS!K177</f>
        <v>34650.720000000001</v>
      </c>
      <c r="L177" s="106">
        <f>+'NEW CAR'!L177+'GT-SERV'!L177+ACCESS!L177</f>
        <v>32162.670000000002</v>
      </c>
      <c r="M177" s="106">
        <f t="shared" si="153"/>
        <v>504937.66</v>
      </c>
      <c r="N177" s="16" t="s">
        <v>232</v>
      </c>
      <c r="O177" s="106">
        <f>+'NEW CAR'!O177+'GT-SERV'!O177+ACCESS!O177</f>
        <v>17205.18</v>
      </c>
      <c r="P177" s="106">
        <f>+'NEW CAR'!P177+'GT-SERV'!P177+ACCESS!P177</f>
        <v>38455.019999999997</v>
      </c>
      <c r="Q177" s="106">
        <f>+'NEW CAR'!Q177+'GT-SERV'!Q177+ACCESS!Q177</f>
        <v>96702.71</v>
      </c>
      <c r="R177" s="106">
        <f>+'NEW CAR'!R177+'GT-SERV'!R177+ACCESS!R177</f>
        <v>17055.119999999995</v>
      </c>
      <c r="S177" s="106">
        <f>+'NEW CAR'!S177+'GT-SERV'!S177+ACCESS!S177</f>
        <v>144260.75</v>
      </c>
      <c r="T177" s="106">
        <f>+'NEW CAR'!T177+'GT-SERV'!T177+ACCESS!T177</f>
        <v>110343.53</v>
      </c>
      <c r="U177" s="106">
        <f>+'NEW CAR'!U177+'GT-SERV'!U177+ACCESS!U177</f>
        <v>106140.68311111117</v>
      </c>
      <c r="V177" s="106">
        <f>+'NEW CAR'!V177+'GT-SERV'!V177+ACCESS!V177</f>
        <v>43525.84</v>
      </c>
      <c r="W177" s="106">
        <f>+'NEW CAR'!W177+'GT-SERV'!W177+ACCESS!W177</f>
        <v>147076.96000000002</v>
      </c>
      <c r="X177" s="106">
        <f>+'NEW CAR'!X177+'GT-SERV'!X177+ACCESS!X177</f>
        <v>47131.820000000014</v>
      </c>
      <c r="Y177" s="106">
        <f>+'NEW CAR'!Y177+'GT-SERV'!Y177+ACCESS!Y177</f>
        <v>0</v>
      </c>
      <c r="Z177" s="106">
        <f>+'NEW CAR'!Z177+'GT-SERV'!Z177+ACCESS!Z177</f>
        <v>0</v>
      </c>
      <c r="AA177" s="106">
        <f t="shared" si="154"/>
        <v>767897.61311111134</v>
      </c>
      <c r="AB177" s="118"/>
      <c r="AC177" s="106">
        <f>+'NEW CAR'!AC177+'GT-SERV'!AC177+ACCESS!AC177</f>
        <v>47500</v>
      </c>
      <c r="AD177" s="106">
        <f>+'NEW CAR'!AD177+'GT-SERV'!AD177+ACCESS!AD177</f>
        <v>47500</v>
      </c>
      <c r="AE177" s="106">
        <f>+'NEW CAR'!AE177+'GT-SERV'!AE177+ACCESS!AE177</f>
        <v>47500</v>
      </c>
      <c r="AF177" s="106">
        <f>+'NEW CAR'!AF177+'GT-SERV'!AF177+ACCESS!AF177</f>
        <v>47500</v>
      </c>
      <c r="AG177" s="106">
        <f>+'NEW CAR'!AG177+'GT-SERV'!AG177+ACCESS!AG177</f>
        <v>47500</v>
      </c>
      <c r="AH177" s="106">
        <f>+'NEW CAR'!AH177+'GT-SERV'!AH177+ACCESS!AH177</f>
        <v>47500</v>
      </c>
      <c r="AI177" s="106">
        <f>+'NEW CAR'!AI177+'GT-SERV'!AI177+ACCESS!AI177</f>
        <v>47500</v>
      </c>
      <c r="AJ177" s="106">
        <f>+'NEW CAR'!AJ177+'GT-SERV'!AJ177+ACCESS!AJ177</f>
        <v>47500</v>
      </c>
      <c r="AK177" s="106">
        <f>+'NEW CAR'!AK177+'GT-SERV'!AK177+ACCESS!AK177</f>
        <v>47500</v>
      </c>
      <c r="AL177" s="106">
        <f>+'NEW CAR'!AL177+'GT-SERV'!AL177+ACCESS!AL177</f>
        <v>47500</v>
      </c>
      <c r="AM177" s="106">
        <f>+'NEW CAR'!AM177+'GT-SERV'!AM177+ACCESS!AM177</f>
        <v>47500</v>
      </c>
      <c r="AN177" s="106">
        <f>+'NEW CAR'!AN177+'GT-SERV'!AN177+ACCESS!AN177</f>
        <v>47500</v>
      </c>
      <c r="AO177" s="106">
        <f t="shared" si="155"/>
        <v>570000</v>
      </c>
    </row>
    <row r="178" spans="1:41" outlineLevel="1">
      <c r="A178" s="58">
        <f t="shared" ref="A178:M178" si="156">+SUM(A179:A181)</f>
        <v>558038.78</v>
      </c>
      <c r="B178" s="58">
        <f t="shared" si="156"/>
        <v>537601.22</v>
      </c>
      <c r="C178" s="58">
        <f t="shared" si="156"/>
        <v>579980.28</v>
      </c>
      <c r="D178" s="58">
        <f t="shared" si="156"/>
        <v>479017.34</v>
      </c>
      <c r="E178" s="58">
        <f t="shared" si="156"/>
        <v>477199.67</v>
      </c>
      <c r="F178" s="58">
        <f t="shared" si="156"/>
        <v>457801.88</v>
      </c>
      <c r="G178" s="58">
        <f t="shared" si="156"/>
        <v>528412.09000000008</v>
      </c>
      <c r="H178" s="58">
        <f t="shared" si="156"/>
        <v>484643.8</v>
      </c>
      <c r="I178" s="58">
        <f t="shared" si="156"/>
        <v>498892.61</v>
      </c>
      <c r="J178" s="58">
        <f t="shared" si="156"/>
        <v>457348.29000000004</v>
      </c>
      <c r="K178" s="58">
        <f t="shared" si="156"/>
        <v>548560.73</v>
      </c>
      <c r="L178" s="58">
        <f t="shared" si="156"/>
        <v>585016.21</v>
      </c>
      <c r="M178" s="58">
        <f t="shared" si="156"/>
        <v>6192512.8999999994</v>
      </c>
      <c r="N178" s="20" t="s">
        <v>147</v>
      </c>
      <c r="O178" s="58">
        <f t="shared" ref="O178:AA178" si="157">+SUM(O179:O181)</f>
        <v>1084201.7</v>
      </c>
      <c r="P178" s="58">
        <f t="shared" si="157"/>
        <v>891284.09000000008</v>
      </c>
      <c r="Q178" s="58">
        <f t="shared" si="157"/>
        <v>686121</v>
      </c>
      <c r="R178" s="58">
        <f t="shared" si="157"/>
        <v>927890.78</v>
      </c>
      <c r="S178" s="58">
        <f t="shared" si="157"/>
        <v>1131776.2999999998</v>
      </c>
      <c r="T178" s="58">
        <f t="shared" si="157"/>
        <v>970267.27</v>
      </c>
      <c r="U178" s="58">
        <f t="shared" si="157"/>
        <v>915103.13</v>
      </c>
      <c r="V178" s="58">
        <f t="shared" si="157"/>
        <v>837528.5</v>
      </c>
      <c r="W178" s="58">
        <f t="shared" si="157"/>
        <v>863939.35</v>
      </c>
      <c r="X178" s="58">
        <f t="shared" si="157"/>
        <v>923656.86</v>
      </c>
      <c r="Y178" s="58">
        <f t="shared" si="157"/>
        <v>0</v>
      </c>
      <c r="Z178" s="58">
        <f t="shared" si="157"/>
        <v>0</v>
      </c>
      <c r="AA178" s="58">
        <f t="shared" si="157"/>
        <v>9231768.9800000004</v>
      </c>
      <c r="AB178" s="118"/>
      <c r="AC178" s="58">
        <f t="shared" ref="AC178:AO178" si="158">+SUM(AC179:AC181)</f>
        <v>891969.37945454544</v>
      </c>
      <c r="AD178" s="58">
        <f t="shared" si="158"/>
        <v>891969.37945454544</v>
      </c>
      <c r="AE178" s="58">
        <f t="shared" si="158"/>
        <v>837596.38690909091</v>
      </c>
      <c r="AF178" s="58">
        <f t="shared" si="158"/>
        <v>837596.38690909091</v>
      </c>
      <c r="AG178" s="58">
        <f t="shared" si="158"/>
        <v>837596.38690909091</v>
      </c>
      <c r="AH178" s="58">
        <f t="shared" si="158"/>
        <v>837596.38690909091</v>
      </c>
      <c r="AI178" s="58">
        <f t="shared" si="158"/>
        <v>837596.38690909091</v>
      </c>
      <c r="AJ178" s="58">
        <f t="shared" si="158"/>
        <v>837596.38690909091</v>
      </c>
      <c r="AK178" s="58">
        <f t="shared" si="158"/>
        <v>837596.38690909091</v>
      </c>
      <c r="AL178" s="58">
        <f t="shared" si="158"/>
        <v>837596.38690909091</v>
      </c>
      <c r="AM178" s="58">
        <f t="shared" si="158"/>
        <v>837596.38690909091</v>
      </c>
      <c r="AN178" s="58">
        <f t="shared" si="158"/>
        <v>837596.38690909091</v>
      </c>
      <c r="AO178" s="58">
        <f t="shared" si="158"/>
        <v>10159902.628</v>
      </c>
    </row>
    <row r="179" spans="1:41" outlineLevel="1">
      <c r="A179" s="106">
        <f>+'NEW CAR'!A179+'GT-SERV'!A179+ACCESS!A179</f>
        <v>499586.77999999997</v>
      </c>
      <c r="B179" s="106">
        <f>+'NEW CAR'!B179+'GT-SERV'!B179+ACCESS!B179</f>
        <v>467457</v>
      </c>
      <c r="C179" s="106">
        <f>+'NEW CAR'!C179+'GT-SERV'!C179+ACCESS!C179</f>
        <v>514874.77999999997</v>
      </c>
      <c r="D179" s="106">
        <f>+'NEW CAR'!D179+'GT-SERV'!D179+ACCESS!D179</f>
        <v>462136.78</v>
      </c>
      <c r="E179" s="106">
        <f>+'NEW CAR'!E179+'GT-SERV'!E179+ACCESS!E179</f>
        <v>400437</v>
      </c>
      <c r="F179" s="106">
        <f>+'NEW CAR'!F179+'GT-SERV'!F179+ACCESS!F179</f>
        <v>398291.78</v>
      </c>
      <c r="G179" s="106">
        <f>+'NEW CAR'!G179+'GT-SERV'!G179+ACCESS!G179</f>
        <v>445077.27</v>
      </c>
      <c r="H179" s="106">
        <f>+'NEW CAR'!H179+'GT-SERV'!H179+ACCESS!H179</f>
        <v>454507</v>
      </c>
      <c r="I179" s="106">
        <f>+'NEW CAR'!I179+'GT-SERV'!I179+ACCESS!I179</f>
        <v>462820</v>
      </c>
      <c r="J179" s="106">
        <f>+'NEW CAR'!J179+'GT-SERV'!J179+ACCESS!J179</f>
        <v>427585.66000000003</v>
      </c>
      <c r="K179" s="106">
        <f>+'NEW CAR'!K179+'GT-SERV'!K179+ACCESS!K179</f>
        <v>517239.43</v>
      </c>
      <c r="L179" s="106">
        <f>+'NEW CAR'!L179+'GT-SERV'!L179+ACCESS!L179</f>
        <v>507555</v>
      </c>
      <c r="M179" s="106">
        <f t="shared" ref="M179:M181" si="159">+SUM(A179:L179)</f>
        <v>5557568.4799999995</v>
      </c>
      <c r="N179" s="16" t="s">
        <v>148</v>
      </c>
      <c r="O179" s="106">
        <f>+'NEW CAR'!O179+'GT-SERV'!O179+ACCESS!O179</f>
        <v>720643</v>
      </c>
      <c r="P179" s="106">
        <f>+'NEW CAR'!P179+'GT-SERV'!P179+ACCESS!P179</f>
        <v>557609</v>
      </c>
      <c r="Q179" s="106">
        <f>+'NEW CAR'!Q179+'GT-SERV'!Q179+ACCESS!Q179</f>
        <v>486999</v>
      </c>
      <c r="R179" s="106">
        <f>+'NEW CAR'!R179+'GT-SERV'!R179+ACCESS!R179</f>
        <v>560999</v>
      </c>
      <c r="S179" s="106">
        <f>+'NEW CAR'!S179+'GT-SERV'!S179+ACCESS!S179</f>
        <v>614175</v>
      </c>
      <c r="T179" s="106">
        <f>+'NEW CAR'!T179+'GT-SERV'!T179+ACCESS!T179</f>
        <v>619127</v>
      </c>
      <c r="U179" s="106">
        <f>+'NEW CAR'!U179+'GT-SERV'!U179+ACCESS!U179</f>
        <v>514096.9</v>
      </c>
      <c r="V179" s="106">
        <f>+'NEW CAR'!V179+'GT-SERV'!V179+ACCESS!V179</f>
        <v>429742</v>
      </c>
      <c r="W179" s="106">
        <f>+'NEW CAR'!W179+'GT-SERV'!W179+ACCESS!W179</f>
        <v>480546</v>
      </c>
      <c r="X179" s="106">
        <f>+'NEW CAR'!X179+'GT-SERV'!X179+ACCESS!X179</f>
        <v>493892</v>
      </c>
      <c r="Y179" s="106">
        <f>+'NEW CAR'!Y179+'GT-SERV'!Y179+ACCESS!Y179</f>
        <v>0</v>
      </c>
      <c r="Z179" s="106">
        <f>+'NEW CAR'!Z179+'GT-SERV'!Z179+ACCESS!Z179</f>
        <v>0</v>
      </c>
      <c r="AA179" s="106">
        <f t="shared" ref="AA179:AA181" si="160">+SUM(O179:Z179)</f>
        <v>5477828.9000000004</v>
      </c>
      <c r="AB179" s="118"/>
      <c r="AC179" s="106">
        <f>+'NEW CAR'!AC179+'GT-SERV'!AC179+ACCESS!AC179</f>
        <v>547769.37945454544</v>
      </c>
      <c r="AD179" s="106">
        <f>+'NEW CAR'!AD179+'GT-SERV'!AD179+ACCESS!AD179</f>
        <v>547769.37945454544</v>
      </c>
      <c r="AE179" s="106">
        <f>+'NEW CAR'!AE179+'GT-SERV'!AE179+ACCESS!AE179</f>
        <v>493396.38690909091</v>
      </c>
      <c r="AF179" s="106">
        <f>+'NEW CAR'!AF179+'GT-SERV'!AF179+ACCESS!AF179</f>
        <v>493396.38690909091</v>
      </c>
      <c r="AG179" s="106">
        <f>+'NEW CAR'!AG179+'GT-SERV'!AG179+ACCESS!AG179</f>
        <v>493396.38690909091</v>
      </c>
      <c r="AH179" s="106">
        <f>+'NEW CAR'!AH179+'GT-SERV'!AH179+ACCESS!AH179</f>
        <v>493396.38690909091</v>
      </c>
      <c r="AI179" s="106">
        <f>+'NEW CAR'!AI179+'GT-SERV'!AI179+ACCESS!AI179</f>
        <v>493396.38690909091</v>
      </c>
      <c r="AJ179" s="106">
        <f>+'NEW CAR'!AJ179+'GT-SERV'!AJ179+ACCESS!AJ179</f>
        <v>493396.38690909091</v>
      </c>
      <c r="AK179" s="106">
        <f>+'NEW CAR'!AK179+'GT-SERV'!AK179+ACCESS!AK179</f>
        <v>493396.38690909091</v>
      </c>
      <c r="AL179" s="106">
        <f>+'NEW CAR'!AL179+'GT-SERV'!AL179+ACCESS!AL179</f>
        <v>493396.38690909091</v>
      </c>
      <c r="AM179" s="106">
        <f>+'NEW CAR'!AM179+'GT-SERV'!AM179+ACCESS!AM179</f>
        <v>493396.38690909091</v>
      </c>
      <c r="AN179" s="106">
        <f>+'NEW CAR'!AN179+'GT-SERV'!AN179+ACCESS!AN179</f>
        <v>493396.38690909091</v>
      </c>
      <c r="AO179" s="106">
        <f t="shared" ref="AO179:AO181" si="161">+SUM(AC179:AN179)</f>
        <v>6029502.6279999996</v>
      </c>
    </row>
    <row r="180" spans="1:41" outlineLevel="1">
      <c r="A180" s="106">
        <f>+'NEW CAR'!A180+'GT-SERV'!A180+ACCESS!A180</f>
        <v>29052.000000000004</v>
      </c>
      <c r="B180" s="106">
        <f>+'NEW CAR'!B180+'GT-SERV'!B180+ACCESS!B180</f>
        <v>53344.22</v>
      </c>
      <c r="C180" s="106">
        <f>+'NEW CAR'!C180+'GT-SERV'!C180+ACCESS!C180</f>
        <v>35705.5</v>
      </c>
      <c r="D180" s="106">
        <f>+'NEW CAR'!D180+'GT-SERV'!D180+ACCESS!D180</f>
        <v>16225.56</v>
      </c>
      <c r="E180" s="106">
        <f>+'NEW CAR'!E180+'GT-SERV'!E180+ACCESS!E180</f>
        <v>59962.670000000006</v>
      </c>
      <c r="F180" s="106">
        <f>+'NEW CAR'!F180+'GT-SERV'!F180+ACCESS!F180</f>
        <v>42710.1</v>
      </c>
      <c r="G180" s="106">
        <f>+'NEW CAR'!G180+'GT-SERV'!G180+ACCESS!G180</f>
        <v>56334.819999999992</v>
      </c>
      <c r="H180" s="106">
        <f>+'NEW CAR'!H180+'GT-SERV'!H180+ACCESS!H180</f>
        <v>16136.8</v>
      </c>
      <c r="I180" s="106">
        <f>+'NEW CAR'!I180+'GT-SERV'!I180+ACCESS!I180</f>
        <v>16472.61</v>
      </c>
      <c r="J180" s="106">
        <f>+'NEW CAR'!J180+'GT-SERV'!J180+ACCESS!J180</f>
        <v>12962.63</v>
      </c>
      <c r="K180" s="106">
        <f>+'NEW CAR'!K180+'GT-SERV'!K180+ACCESS!K180</f>
        <v>14521.3</v>
      </c>
      <c r="L180" s="106">
        <f>+'NEW CAR'!L180+'GT-SERV'!L180+ACCESS!L180</f>
        <v>15861.21</v>
      </c>
      <c r="M180" s="106">
        <f t="shared" si="159"/>
        <v>369289.42</v>
      </c>
      <c r="N180" s="16" t="s">
        <v>149</v>
      </c>
      <c r="O180" s="106">
        <f>+'NEW CAR'!O180+'GT-SERV'!O180+ACCESS!O180</f>
        <v>332158.7</v>
      </c>
      <c r="P180" s="106">
        <f>+'NEW CAR'!P180+'GT-SERV'!P180+ACCESS!P180</f>
        <v>307675.09000000003</v>
      </c>
      <c r="Q180" s="106">
        <f>+'NEW CAR'!Q180+'GT-SERV'!Q180+ACCESS!Q180</f>
        <v>175322</v>
      </c>
      <c r="R180" s="106">
        <f>+'NEW CAR'!R180+'GT-SERV'!R180+ACCESS!R180</f>
        <v>366236.78</v>
      </c>
      <c r="S180" s="106">
        <f>+'NEW CAR'!S180+'GT-SERV'!S180+ACCESS!S180</f>
        <v>478401.29999999993</v>
      </c>
      <c r="T180" s="106">
        <f>+'NEW CAR'!T180+'GT-SERV'!T180+ACCESS!T180</f>
        <v>339940.27</v>
      </c>
      <c r="U180" s="106">
        <f>+'NEW CAR'!U180+'GT-SERV'!U180+ACCESS!U180</f>
        <v>378456.23</v>
      </c>
      <c r="V180" s="106">
        <f>+'NEW CAR'!V180+'GT-SERV'!V180+ACCESS!V180</f>
        <v>379786.5</v>
      </c>
      <c r="W180" s="106">
        <f>+'NEW CAR'!W180+'GT-SERV'!W180+ACCESS!W180</f>
        <v>351967.35</v>
      </c>
      <c r="X180" s="106">
        <f>+'NEW CAR'!X180+'GT-SERV'!X180+ACCESS!X180</f>
        <v>405964.86</v>
      </c>
      <c r="Y180" s="106">
        <f>+'NEW CAR'!Y180+'GT-SERV'!Y180+ACCESS!Y180</f>
        <v>0</v>
      </c>
      <c r="Z180" s="106">
        <f>+'NEW CAR'!Z180+'GT-SERV'!Z180+ACCESS!Z180</f>
        <v>0</v>
      </c>
      <c r="AA180" s="106">
        <f t="shared" si="160"/>
        <v>3515909.08</v>
      </c>
      <c r="AB180" s="118"/>
      <c r="AC180" s="106">
        <f>+'NEW CAR'!AC180+'GT-SERV'!AC180+ACCESS!AC180</f>
        <v>310000.00000000006</v>
      </c>
      <c r="AD180" s="106">
        <f>+'NEW CAR'!AD180+'GT-SERV'!AD180+ACCESS!AD180</f>
        <v>310000.00000000006</v>
      </c>
      <c r="AE180" s="106">
        <f>+'NEW CAR'!AE180+'GT-SERV'!AE180+ACCESS!AE180</f>
        <v>310000.00000000006</v>
      </c>
      <c r="AF180" s="106">
        <f>+'NEW CAR'!AF180+'GT-SERV'!AF180+ACCESS!AF180</f>
        <v>310000.00000000006</v>
      </c>
      <c r="AG180" s="106">
        <f>+'NEW CAR'!AG180+'GT-SERV'!AG180+ACCESS!AG180</f>
        <v>310000.00000000006</v>
      </c>
      <c r="AH180" s="106">
        <f>+'NEW CAR'!AH180+'GT-SERV'!AH180+ACCESS!AH180</f>
        <v>310000.00000000006</v>
      </c>
      <c r="AI180" s="106">
        <f>+'NEW CAR'!AI180+'GT-SERV'!AI180+ACCESS!AI180</f>
        <v>310000.00000000006</v>
      </c>
      <c r="AJ180" s="106">
        <f>+'NEW CAR'!AJ180+'GT-SERV'!AJ180+ACCESS!AJ180</f>
        <v>310000.00000000006</v>
      </c>
      <c r="AK180" s="106">
        <f>+'NEW CAR'!AK180+'GT-SERV'!AK180+ACCESS!AK180</f>
        <v>310000.00000000006</v>
      </c>
      <c r="AL180" s="106">
        <f>+'NEW CAR'!AL180+'GT-SERV'!AL180+ACCESS!AL180</f>
        <v>310000.00000000006</v>
      </c>
      <c r="AM180" s="106">
        <f>+'NEW CAR'!AM180+'GT-SERV'!AM180+ACCESS!AM180</f>
        <v>310000.00000000006</v>
      </c>
      <c r="AN180" s="106">
        <f>+'NEW CAR'!AN180+'GT-SERV'!AN180+ACCESS!AN180</f>
        <v>310000.00000000006</v>
      </c>
      <c r="AO180" s="106">
        <f t="shared" si="161"/>
        <v>3720000.0000000005</v>
      </c>
    </row>
    <row r="181" spans="1:41" outlineLevel="1">
      <c r="A181" s="106">
        <f>+'NEW CAR'!A181+'GT-SERV'!A181+ACCESS!A181</f>
        <v>29400</v>
      </c>
      <c r="B181" s="106">
        <f>+'NEW CAR'!B181+'GT-SERV'!B181+ACCESS!B181</f>
        <v>16800</v>
      </c>
      <c r="C181" s="106">
        <f>+'NEW CAR'!C181+'GT-SERV'!C181+ACCESS!C181</f>
        <v>29400</v>
      </c>
      <c r="D181" s="106">
        <f>+'NEW CAR'!D181+'GT-SERV'!D181+ACCESS!D181</f>
        <v>655</v>
      </c>
      <c r="E181" s="106">
        <f>+'NEW CAR'!E181+'GT-SERV'!E181+ACCESS!E181</f>
        <v>16800</v>
      </c>
      <c r="F181" s="106">
        <f>+'NEW CAR'!F181+'GT-SERV'!F181+ACCESS!F181</f>
        <v>16800</v>
      </c>
      <c r="G181" s="106">
        <f>+'NEW CAR'!G181+'GT-SERV'!G181+ACCESS!G181</f>
        <v>27000</v>
      </c>
      <c r="H181" s="106">
        <f>+'NEW CAR'!H181+'GT-SERV'!H181+ACCESS!H181</f>
        <v>14000</v>
      </c>
      <c r="I181" s="106">
        <f>+'NEW CAR'!I181+'GT-SERV'!I181+ACCESS!I181</f>
        <v>19600</v>
      </c>
      <c r="J181" s="106">
        <f>+'NEW CAR'!J181+'GT-SERV'!J181+ACCESS!J181</f>
        <v>16800</v>
      </c>
      <c r="K181" s="106">
        <f>+'NEW CAR'!K181+'GT-SERV'!K181+ACCESS!K181</f>
        <v>16800</v>
      </c>
      <c r="L181" s="106">
        <f>+'NEW CAR'!L181+'GT-SERV'!L181+ACCESS!L181</f>
        <v>61600</v>
      </c>
      <c r="M181" s="106">
        <f t="shared" si="159"/>
        <v>265655</v>
      </c>
      <c r="N181" s="16" t="s">
        <v>150</v>
      </c>
      <c r="O181" s="106">
        <f>+'NEW CAR'!O181+'GT-SERV'!O181+ACCESS!O181</f>
        <v>31400</v>
      </c>
      <c r="P181" s="106">
        <f>+'NEW CAR'!P181+'GT-SERV'!P181+ACCESS!P181</f>
        <v>26000</v>
      </c>
      <c r="Q181" s="106">
        <f>+'NEW CAR'!Q181+'GT-SERV'!Q181+ACCESS!Q181</f>
        <v>23800</v>
      </c>
      <c r="R181" s="106">
        <f>+'NEW CAR'!R181+'GT-SERV'!R181+ACCESS!R181</f>
        <v>655</v>
      </c>
      <c r="S181" s="106">
        <f>+'NEW CAR'!S181+'GT-SERV'!S181+ACCESS!S181</f>
        <v>39200</v>
      </c>
      <c r="T181" s="106">
        <f>+'NEW CAR'!T181+'GT-SERV'!T181+ACCESS!T181</f>
        <v>11200</v>
      </c>
      <c r="U181" s="106">
        <f>+'NEW CAR'!U181+'GT-SERV'!U181+ACCESS!U181</f>
        <v>22550</v>
      </c>
      <c r="V181" s="106">
        <f>+'NEW CAR'!V181+'GT-SERV'!V181+ACCESS!V181</f>
        <v>28000</v>
      </c>
      <c r="W181" s="106">
        <f>+'NEW CAR'!W181+'GT-SERV'!W181+ACCESS!W181</f>
        <v>31426</v>
      </c>
      <c r="X181" s="106">
        <f>+'NEW CAR'!X181+'GT-SERV'!X181+ACCESS!X181</f>
        <v>23800</v>
      </c>
      <c r="Y181" s="106">
        <f>+'NEW CAR'!Y181+'GT-SERV'!Y181+ACCESS!Y181</f>
        <v>0</v>
      </c>
      <c r="Z181" s="106">
        <f>+'NEW CAR'!Z181+'GT-SERV'!Z181+ACCESS!Z181</f>
        <v>0</v>
      </c>
      <c r="AA181" s="106">
        <f t="shared" si="160"/>
        <v>238031</v>
      </c>
      <c r="AB181" s="118"/>
      <c r="AC181" s="106">
        <f>+'NEW CAR'!AC181+'GT-SERV'!AC181+ACCESS!AC181</f>
        <v>34200</v>
      </c>
      <c r="AD181" s="106">
        <f>+'NEW CAR'!AD181+'GT-SERV'!AD181+ACCESS!AD181</f>
        <v>34200</v>
      </c>
      <c r="AE181" s="106">
        <f>+'NEW CAR'!AE181+'GT-SERV'!AE181+ACCESS!AE181</f>
        <v>34200</v>
      </c>
      <c r="AF181" s="106">
        <f>+'NEW CAR'!AF181+'GT-SERV'!AF181+ACCESS!AF181</f>
        <v>34200</v>
      </c>
      <c r="AG181" s="106">
        <f>+'NEW CAR'!AG181+'GT-SERV'!AG181+ACCESS!AG181</f>
        <v>34200</v>
      </c>
      <c r="AH181" s="106">
        <f>+'NEW CAR'!AH181+'GT-SERV'!AH181+ACCESS!AH181</f>
        <v>34200</v>
      </c>
      <c r="AI181" s="106">
        <f>+'NEW CAR'!AI181+'GT-SERV'!AI181+ACCESS!AI181</f>
        <v>34200</v>
      </c>
      <c r="AJ181" s="106">
        <f>+'NEW CAR'!AJ181+'GT-SERV'!AJ181+ACCESS!AJ181</f>
        <v>34200</v>
      </c>
      <c r="AK181" s="106">
        <f>+'NEW CAR'!AK181+'GT-SERV'!AK181+ACCESS!AK181</f>
        <v>34200</v>
      </c>
      <c r="AL181" s="106">
        <f>+'NEW CAR'!AL181+'GT-SERV'!AL181+ACCESS!AL181</f>
        <v>34200</v>
      </c>
      <c r="AM181" s="106">
        <f>+'NEW CAR'!AM181+'GT-SERV'!AM181+ACCESS!AM181</f>
        <v>34200</v>
      </c>
      <c r="AN181" s="106">
        <f>+'NEW CAR'!AN181+'GT-SERV'!AN181+ACCESS!AN181</f>
        <v>34200</v>
      </c>
      <c r="AO181" s="106">
        <f t="shared" si="161"/>
        <v>410400</v>
      </c>
    </row>
    <row r="182" spans="1:41" ht="17.100000000000001" customHeight="1" outlineLevel="1">
      <c r="A182" s="107">
        <f t="shared" ref="A182:M182" si="162">+SUM(A183:A186)</f>
        <v>116500.62</v>
      </c>
      <c r="B182" s="107">
        <f t="shared" si="162"/>
        <v>113774.48000000001</v>
      </c>
      <c r="C182" s="107">
        <f t="shared" si="162"/>
        <v>106008.76000000001</v>
      </c>
      <c r="D182" s="107">
        <f t="shared" si="162"/>
        <v>107960.67</v>
      </c>
      <c r="E182" s="107">
        <f t="shared" si="162"/>
        <v>107062.2</v>
      </c>
      <c r="F182" s="107">
        <f t="shared" si="162"/>
        <v>105185.53</v>
      </c>
      <c r="G182" s="107">
        <f t="shared" si="162"/>
        <v>113647.20999999999</v>
      </c>
      <c r="H182" s="107">
        <f t="shared" si="162"/>
        <v>20033.32</v>
      </c>
      <c r="I182" s="107">
        <f t="shared" si="162"/>
        <v>106292.5</v>
      </c>
      <c r="J182" s="107">
        <f t="shared" si="162"/>
        <v>79580.08</v>
      </c>
      <c r="K182" s="107">
        <f t="shared" si="162"/>
        <v>89519.47</v>
      </c>
      <c r="L182" s="107">
        <f t="shared" si="162"/>
        <v>89244</v>
      </c>
      <c r="M182" s="107">
        <f t="shared" si="162"/>
        <v>1154808.8400000001</v>
      </c>
      <c r="N182" s="20" t="s">
        <v>151</v>
      </c>
      <c r="O182" s="107">
        <f t="shared" ref="O182:AA182" si="163">+SUM(O183:O186)</f>
        <v>102185.24000000002</v>
      </c>
      <c r="P182" s="107">
        <f t="shared" si="163"/>
        <v>139748</v>
      </c>
      <c r="Q182" s="107">
        <f t="shared" si="163"/>
        <v>113821.6</v>
      </c>
      <c r="R182" s="107">
        <f t="shared" si="163"/>
        <v>128260.14000000001</v>
      </c>
      <c r="S182" s="107">
        <f t="shared" si="163"/>
        <v>160669.09</v>
      </c>
      <c r="T182" s="107">
        <f t="shared" si="163"/>
        <v>185582.37</v>
      </c>
      <c r="U182" s="107">
        <f t="shared" si="163"/>
        <v>155338.2962087912</v>
      </c>
      <c r="V182" s="107">
        <f t="shared" si="163"/>
        <v>101301.33</v>
      </c>
      <c r="W182" s="107">
        <f t="shared" si="163"/>
        <v>157266</v>
      </c>
      <c r="X182" s="107">
        <f t="shared" si="163"/>
        <v>150508</v>
      </c>
      <c r="Y182" s="107">
        <f t="shared" si="163"/>
        <v>0</v>
      </c>
      <c r="Z182" s="107">
        <f t="shared" si="163"/>
        <v>0</v>
      </c>
      <c r="AA182" s="107">
        <f t="shared" si="163"/>
        <v>1394680.0662087912</v>
      </c>
      <c r="AB182" s="118"/>
      <c r="AC182" s="107">
        <f t="shared" ref="AC182:AO182" si="164">+SUM(AC183:AC186)</f>
        <v>126806</v>
      </c>
      <c r="AD182" s="107">
        <f t="shared" si="164"/>
        <v>126806</v>
      </c>
      <c r="AE182" s="107">
        <f t="shared" si="164"/>
        <v>126806</v>
      </c>
      <c r="AF182" s="107">
        <f t="shared" si="164"/>
        <v>126806</v>
      </c>
      <c r="AG182" s="107">
        <f t="shared" si="164"/>
        <v>126806</v>
      </c>
      <c r="AH182" s="107">
        <f t="shared" si="164"/>
        <v>126806</v>
      </c>
      <c r="AI182" s="107">
        <f t="shared" si="164"/>
        <v>126806</v>
      </c>
      <c r="AJ182" s="107">
        <f t="shared" si="164"/>
        <v>126806</v>
      </c>
      <c r="AK182" s="107">
        <f t="shared" si="164"/>
        <v>126806</v>
      </c>
      <c r="AL182" s="107">
        <f t="shared" si="164"/>
        <v>126806</v>
      </c>
      <c r="AM182" s="107">
        <f t="shared" si="164"/>
        <v>126806</v>
      </c>
      <c r="AN182" s="107">
        <f t="shared" si="164"/>
        <v>126806</v>
      </c>
      <c r="AO182" s="107">
        <f t="shared" si="164"/>
        <v>1521672</v>
      </c>
    </row>
    <row r="183" spans="1:41" outlineLevel="1">
      <c r="A183" s="106">
        <f>+'NEW CAR'!A183+'GT-SERV'!A183+ACCESS!A183</f>
        <v>4095</v>
      </c>
      <c r="B183" s="106">
        <f>+'NEW CAR'!B183+'GT-SERV'!B183+ACCESS!B183</f>
        <v>10521</v>
      </c>
      <c r="C183" s="106">
        <f>+'NEW CAR'!C183+'GT-SERV'!C183+ACCESS!C183</f>
        <v>4095</v>
      </c>
      <c r="D183" s="106">
        <f>+'NEW CAR'!D183+'GT-SERV'!D183+ACCESS!D183</f>
        <v>4095</v>
      </c>
      <c r="E183" s="106">
        <f>+'NEW CAR'!E183+'GT-SERV'!E183+ACCESS!E183</f>
        <v>4095</v>
      </c>
      <c r="F183" s="106">
        <f>+'NEW CAR'!F183+'GT-SERV'!F183+ACCESS!F183</f>
        <v>4975</v>
      </c>
      <c r="G183" s="106">
        <f>+'NEW CAR'!G183+'GT-SERV'!G183+ACCESS!G183</f>
        <v>4975</v>
      </c>
      <c r="H183" s="106">
        <f>+'NEW CAR'!H183+'GT-SERV'!H183+ACCESS!H183</f>
        <v>4975</v>
      </c>
      <c r="I183" s="106">
        <f>+'NEW CAR'!I183+'GT-SERV'!I183+ACCESS!I183</f>
        <v>4975</v>
      </c>
      <c r="J183" s="106">
        <f>+'NEW CAR'!J183+'GT-SERV'!J183+ACCESS!J183</f>
        <v>4975</v>
      </c>
      <c r="K183" s="106">
        <f>+'NEW CAR'!K183+'GT-SERV'!K183+ACCESS!K183</f>
        <v>4975</v>
      </c>
      <c r="L183" s="106">
        <f>+'NEW CAR'!L183+'GT-SERV'!L183+ACCESS!L183</f>
        <v>4975</v>
      </c>
      <c r="M183" s="106">
        <f t="shared" ref="M183:M186" si="165">+SUM(A183:L183)</f>
        <v>61726</v>
      </c>
      <c r="N183" s="16" t="s">
        <v>152</v>
      </c>
      <c r="O183" s="106">
        <f>+'NEW CAR'!O183+'GT-SERV'!O183+ACCESS!O183</f>
        <v>96392.000000000015</v>
      </c>
      <c r="P183" s="106">
        <f>+'NEW CAR'!P183+'GT-SERV'!P183+ACCESS!P183</f>
        <v>4975</v>
      </c>
      <c r="Q183" s="106">
        <f>+'NEW CAR'!Q183+'GT-SERV'!Q183+ACCESS!Q183</f>
        <v>4975</v>
      </c>
      <c r="R183" s="106">
        <f>+'NEW CAR'!R183+'GT-SERV'!R183+ACCESS!R183</f>
        <v>4975</v>
      </c>
      <c r="S183" s="106">
        <f>+'NEW CAR'!S183+'GT-SERV'!S183+ACCESS!S183</f>
        <v>10162.9</v>
      </c>
      <c r="T183" s="106">
        <f>+'NEW CAR'!T183+'GT-SERV'!T183+ACCESS!T183</f>
        <v>5076.33</v>
      </c>
      <c r="U183" s="106">
        <f>+'NEW CAR'!U183+'GT-SERV'!U183+ACCESS!U183</f>
        <v>5076.33</v>
      </c>
      <c r="V183" s="106">
        <f>+'NEW CAR'!V183+'GT-SERV'!V183+ACCESS!V183</f>
        <v>5076.33</v>
      </c>
      <c r="W183" s="106">
        <f>+'NEW CAR'!W183+'GT-SERV'!W183+ACCESS!W183</f>
        <v>5076</v>
      </c>
      <c r="X183" s="106">
        <f>+'NEW CAR'!X183+'GT-SERV'!X183+ACCESS!X183</f>
        <v>5076</v>
      </c>
      <c r="Y183" s="106">
        <f>+'NEW CAR'!Y183+'GT-SERV'!Y183+ACCESS!Y183</f>
        <v>0</v>
      </c>
      <c r="Z183" s="106">
        <f>+'NEW CAR'!Z183+'GT-SERV'!Z183+ACCESS!Z183</f>
        <v>0</v>
      </c>
      <c r="AA183" s="106">
        <f t="shared" ref="AA183:AA186" si="166">+SUM(O183:Z183)</f>
        <v>146860.88999999998</v>
      </c>
      <c r="AB183" s="118"/>
      <c r="AC183" s="106">
        <f>+'NEW CAR'!AC183+'GT-SERV'!AC183+ACCESS!AC183</f>
        <v>11095</v>
      </c>
      <c r="AD183" s="106">
        <f>+'NEW CAR'!AD183+'GT-SERV'!AD183+ACCESS!AD183</f>
        <v>11095</v>
      </c>
      <c r="AE183" s="106">
        <f>+'NEW CAR'!AE183+'GT-SERV'!AE183+ACCESS!AE183</f>
        <v>11095</v>
      </c>
      <c r="AF183" s="106">
        <f>+'NEW CAR'!AF183+'GT-SERV'!AF183+ACCESS!AF183</f>
        <v>11095</v>
      </c>
      <c r="AG183" s="106">
        <f>+'NEW CAR'!AG183+'GT-SERV'!AG183+ACCESS!AG183</f>
        <v>11095</v>
      </c>
      <c r="AH183" s="106">
        <f>+'NEW CAR'!AH183+'GT-SERV'!AH183+ACCESS!AH183</f>
        <v>11095</v>
      </c>
      <c r="AI183" s="106">
        <f>+'NEW CAR'!AI183+'GT-SERV'!AI183+ACCESS!AI183</f>
        <v>11095</v>
      </c>
      <c r="AJ183" s="106">
        <f>+'NEW CAR'!AJ183+'GT-SERV'!AJ183+ACCESS!AJ183</f>
        <v>11095</v>
      </c>
      <c r="AK183" s="106">
        <f>+'NEW CAR'!AK183+'GT-SERV'!AK183+ACCESS!AK183</f>
        <v>11095</v>
      </c>
      <c r="AL183" s="106">
        <f>+'NEW CAR'!AL183+'GT-SERV'!AL183+ACCESS!AL183</f>
        <v>11095</v>
      </c>
      <c r="AM183" s="106">
        <f>+'NEW CAR'!AM183+'GT-SERV'!AM183+ACCESS!AM183</f>
        <v>11095</v>
      </c>
      <c r="AN183" s="106">
        <f>+'NEW CAR'!AN183+'GT-SERV'!AN183+ACCESS!AN183</f>
        <v>11095</v>
      </c>
      <c r="AO183" s="106">
        <f t="shared" ref="AO183:AO186" si="167">+SUM(AC183:AN183)</f>
        <v>133140</v>
      </c>
    </row>
    <row r="184" spans="1:41" outlineLevel="1">
      <c r="A184" s="106">
        <f>+'NEW CAR'!A184+'GT-SERV'!A184+ACCESS!A184</f>
        <v>65088.4</v>
      </c>
      <c r="B184" s="106">
        <f>+'NEW CAR'!B184+'GT-SERV'!B184+ACCESS!B184</f>
        <v>64289</v>
      </c>
      <c r="C184" s="106">
        <f>+'NEW CAR'!C184+'GT-SERV'!C184+ACCESS!C184</f>
        <v>64339</v>
      </c>
      <c r="D184" s="106">
        <f>+'NEW CAR'!D184+'GT-SERV'!D184+ACCESS!D184</f>
        <v>64289</v>
      </c>
      <c r="E184" s="106">
        <f>+'NEW CAR'!E184+'GT-SERV'!E184+ACCESS!E184</f>
        <v>65887</v>
      </c>
      <c r="F184" s="106">
        <f>+'NEW CAR'!F184+'GT-SERV'!F184+ACCESS!F184</f>
        <v>68855.53</v>
      </c>
      <c r="G184" s="106">
        <f>+'NEW CAR'!G184+'GT-SERV'!G184+ACCESS!G184</f>
        <v>68537</v>
      </c>
      <c r="H184" s="106">
        <f>+'NEW CAR'!H184+'GT-SERV'!H184+ACCESS!H184</f>
        <v>2997</v>
      </c>
      <c r="I184" s="106">
        <f>+'NEW CAR'!I184+'GT-SERV'!I184+ACCESS!I184</f>
        <v>64289.4</v>
      </c>
      <c r="J184" s="106">
        <f>+'NEW CAR'!J184+'GT-SERV'!J184+ACCESS!J184</f>
        <v>46598</v>
      </c>
      <c r="K184" s="106">
        <f>+'NEW CAR'!K184+'GT-SERV'!K184+ACCESS!K184</f>
        <v>65088.400000000009</v>
      </c>
      <c r="L184" s="106">
        <f>+'NEW CAR'!L184+'GT-SERV'!L184+ACCESS!L184</f>
        <v>64813</v>
      </c>
      <c r="M184" s="106">
        <f t="shared" si="165"/>
        <v>705070.7300000001</v>
      </c>
      <c r="N184" s="16" t="s">
        <v>153</v>
      </c>
      <c r="O184" s="106">
        <f>+'NEW CAR'!O184+'GT-SERV'!O184+ACCESS!O184</f>
        <v>0</v>
      </c>
      <c r="P184" s="106">
        <f>+'NEW CAR'!P184+'GT-SERV'!P184+ACCESS!P184</f>
        <v>108803</v>
      </c>
      <c r="Q184" s="106">
        <f>+'NEW CAR'!Q184+'GT-SERV'!Q184+ACCESS!Q184</f>
        <v>46250.8</v>
      </c>
      <c r="R184" s="106">
        <f>+'NEW CAR'!R184+'GT-SERV'!R184+ACCESS!R184</f>
        <v>78838.200000000012</v>
      </c>
      <c r="S184" s="106">
        <f>+'NEW CAR'!S184+'GT-SERV'!S184+ACCESS!S184</f>
        <v>98828.200000000012</v>
      </c>
      <c r="T184" s="106">
        <f>+'NEW CAR'!T184+'GT-SERV'!T184+ACCESS!T184</f>
        <v>115111.58</v>
      </c>
      <c r="U184" s="106">
        <f>+'NEW CAR'!U184+'GT-SERV'!U184+ACCESS!U184</f>
        <v>85938.84620879119</v>
      </c>
      <c r="V184" s="106">
        <f>+'NEW CAR'!V184+'GT-SERV'!V184+ACCESS!V184</f>
        <v>81536</v>
      </c>
      <c r="W184" s="106">
        <f>+'NEW CAR'!W184+'GT-SERV'!W184+ACCESS!W184</f>
        <v>80254</v>
      </c>
      <c r="X184" s="106">
        <f>+'NEW CAR'!X184+'GT-SERV'!X184+ACCESS!X184</f>
        <v>87786</v>
      </c>
      <c r="Y184" s="106">
        <f>+'NEW CAR'!Y184+'GT-SERV'!Y184+ACCESS!Y184</f>
        <v>0</v>
      </c>
      <c r="Z184" s="106">
        <f>+'NEW CAR'!Z184+'GT-SERV'!Z184+ACCESS!Z184</f>
        <v>0</v>
      </c>
      <c r="AA184" s="106">
        <f t="shared" si="166"/>
        <v>783346.62620879128</v>
      </c>
      <c r="AB184" s="118"/>
      <c r="AC184" s="106">
        <f>+'NEW CAR'!AC184+'GT-SERV'!AC184+ACCESS!AC184</f>
        <v>78091</v>
      </c>
      <c r="AD184" s="106">
        <f>+'NEW CAR'!AD184+'GT-SERV'!AD184+ACCESS!AD184</f>
        <v>78091</v>
      </c>
      <c r="AE184" s="106">
        <f>+'NEW CAR'!AE184+'GT-SERV'!AE184+ACCESS!AE184</f>
        <v>78091</v>
      </c>
      <c r="AF184" s="106">
        <f>+'NEW CAR'!AF184+'GT-SERV'!AF184+ACCESS!AF184</f>
        <v>78091</v>
      </c>
      <c r="AG184" s="106">
        <f>+'NEW CAR'!AG184+'GT-SERV'!AG184+ACCESS!AG184</f>
        <v>78091</v>
      </c>
      <c r="AH184" s="106">
        <f>+'NEW CAR'!AH184+'GT-SERV'!AH184+ACCESS!AH184</f>
        <v>78091</v>
      </c>
      <c r="AI184" s="106">
        <f>+'NEW CAR'!AI184+'GT-SERV'!AI184+ACCESS!AI184</f>
        <v>78091</v>
      </c>
      <c r="AJ184" s="106">
        <f>+'NEW CAR'!AJ184+'GT-SERV'!AJ184+ACCESS!AJ184</f>
        <v>78091</v>
      </c>
      <c r="AK184" s="106">
        <f>+'NEW CAR'!AK184+'GT-SERV'!AK184+ACCESS!AK184</f>
        <v>78091</v>
      </c>
      <c r="AL184" s="106">
        <f>+'NEW CAR'!AL184+'GT-SERV'!AL184+ACCESS!AL184</f>
        <v>78091</v>
      </c>
      <c r="AM184" s="106">
        <f>+'NEW CAR'!AM184+'GT-SERV'!AM184+ACCESS!AM184</f>
        <v>78091</v>
      </c>
      <c r="AN184" s="106">
        <f>+'NEW CAR'!AN184+'GT-SERV'!AN184+ACCESS!AN184</f>
        <v>78091</v>
      </c>
      <c r="AO184" s="106">
        <f t="shared" si="167"/>
        <v>937092</v>
      </c>
    </row>
    <row r="185" spans="1:41" outlineLevel="1">
      <c r="A185" s="106">
        <f>+'NEW CAR'!A185+'GT-SERV'!A185+ACCESS!A185</f>
        <v>47317.220000000008</v>
      </c>
      <c r="B185" s="106">
        <f>+'NEW CAR'!B185+'GT-SERV'!B185+ACCESS!B185</f>
        <v>38964.480000000003</v>
      </c>
      <c r="C185" s="106">
        <f>+'NEW CAR'!C185+'GT-SERV'!C185+ACCESS!C185</f>
        <v>37574.76</v>
      </c>
      <c r="D185" s="106">
        <f>+'NEW CAR'!D185+'GT-SERV'!D185+ACCESS!D185</f>
        <v>39576.67</v>
      </c>
      <c r="E185" s="106">
        <f>+'NEW CAR'!E185+'GT-SERV'!E185+ACCESS!E185</f>
        <v>37080.199999999997</v>
      </c>
      <c r="F185" s="106">
        <f>+'NEW CAR'!F185+'GT-SERV'!F185+ACCESS!F185</f>
        <v>31355</v>
      </c>
      <c r="G185" s="106">
        <f>+'NEW CAR'!G185+'GT-SERV'!G185+ACCESS!G185</f>
        <v>40135.209999999992</v>
      </c>
      <c r="H185" s="106">
        <f>+'NEW CAR'!H185+'GT-SERV'!H185+ACCESS!H185</f>
        <v>12061.32</v>
      </c>
      <c r="I185" s="106">
        <f>+'NEW CAR'!I185+'GT-SERV'!I185+ACCESS!I185</f>
        <v>37028.1</v>
      </c>
      <c r="J185" s="106">
        <f>+'NEW CAR'!J185+'GT-SERV'!J185+ACCESS!J185</f>
        <v>28007.08</v>
      </c>
      <c r="K185" s="106">
        <f>+'NEW CAR'!K185+'GT-SERV'!K185+ACCESS!K185</f>
        <v>19456.07</v>
      </c>
      <c r="L185" s="106">
        <f>+'NEW CAR'!L185+'GT-SERV'!L185+ACCESS!L185</f>
        <v>19456</v>
      </c>
      <c r="M185" s="106">
        <f t="shared" si="165"/>
        <v>388012.11000000004</v>
      </c>
      <c r="N185" s="16" t="s">
        <v>154</v>
      </c>
      <c r="O185" s="106">
        <f>+'NEW CAR'!O185+'GT-SERV'!O185+ACCESS!O185</f>
        <v>5793.24</v>
      </c>
      <c r="P185" s="106">
        <f>+'NEW CAR'!P185+'GT-SERV'!P185+ACCESS!P185</f>
        <v>25970</v>
      </c>
      <c r="Q185" s="106">
        <f>+'NEW CAR'!Q185+'GT-SERV'!Q185+ACCESS!Q185</f>
        <v>62595.8</v>
      </c>
      <c r="R185" s="106">
        <f>+'NEW CAR'!R185+'GT-SERV'!R185+ACCESS!R185</f>
        <v>44446.939999999995</v>
      </c>
      <c r="S185" s="106">
        <f>+'NEW CAR'!S185+'GT-SERV'!S185+ACCESS!S185</f>
        <v>51677.99</v>
      </c>
      <c r="T185" s="106">
        <f>+'NEW CAR'!T185+'GT-SERV'!T185+ACCESS!T185</f>
        <v>65394.46</v>
      </c>
      <c r="U185" s="106">
        <f>+'NEW CAR'!U185+'GT-SERV'!U185+ACCESS!U185</f>
        <v>64323.12</v>
      </c>
      <c r="V185" s="106">
        <f>+'NEW CAR'!V185+'GT-SERV'!V185+ACCESS!V185</f>
        <v>14689</v>
      </c>
      <c r="W185" s="106">
        <f>+'NEW CAR'!W185+'GT-SERV'!W185+ACCESS!W185</f>
        <v>71936</v>
      </c>
      <c r="X185" s="106">
        <f>+'NEW CAR'!X185+'GT-SERV'!X185+ACCESS!X185</f>
        <v>57646</v>
      </c>
      <c r="Y185" s="106">
        <f>+'NEW CAR'!Y185+'GT-SERV'!Y185+ACCESS!Y185</f>
        <v>0</v>
      </c>
      <c r="Z185" s="106">
        <f>+'NEW CAR'!Z185+'GT-SERV'!Z185+ACCESS!Z185</f>
        <v>0</v>
      </c>
      <c r="AA185" s="106">
        <f t="shared" si="166"/>
        <v>464472.55</v>
      </c>
      <c r="AB185" s="118"/>
      <c r="AC185" s="106">
        <f>+'NEW CAR'!AC185+'GT-SERV'!AC185+ACCESS!AC185</f>
        <v>37620</v>
      </c>
      <c r="AD185" s="106">
        <f>+'NEW CAR'!AD185+'GT-SERV'!AD185+ACCESS!AD185</f>
        <v>37620</v>
      </c>
      <c r="AE185" s="106">
        <f>+'NEW CAR'!AE185+'GT-SERV'!AE185+ACCESS!AE185</f>
        <v>37620</v>
      </c>
      <c r="AF185" s="106">
        <f>+'NEW CAR'!AF185+'GT-SERV'!AF185+ACCESS!AF185</f>
        <v>37620</v>
      </c>
      <c r="AG185" s="106">
        <f>+'NEW CAR'!AG185+'GT-SERV'!AG185+ACCESS!AG185</f>
        <v>37620</v>
      </c>
      <c r="AH185" s="106">
        <f>+'NEW CAR'!AH185+'GT-SERV'!AH185+ACCESS!AH185</f>
        <v>37620</v>
      </c>
      <c r="AI185" s="106">
        <f>+'NEW CAR'!AI185+'GT-SERV'!AI185+ACCESS!AI185</f>
        <v>37620</v>
      </c>
      <c r="AJ185" s="106">
        <f>+'NEW CAR'!AJ185+'GT-SERV'!AJ185+ACCESS!AJ185</f>
        <v>37620</v>
      </c>
      <c r="AK185" s="106">
        <f>+'NEW CAR'!AK185+'GT-SERV'!AK185+ACCESS!AK185</f>
        <v>37620</v>
      </c>
      <c r="AL185" s="106">
        <f>+'NEW CAR'!AL185+'GT-SERV'!AL185+ACCESS!AL185</f>
        <v>37620</v>
      </c>
      <c r="AM185" s="106">
        <f>+'NEW CAR'!AM185+'GT-SERV'!AM185+ACCESS!AM185</f>
        <v>37620</v>
      </c>
      <c r="AN185" s="106">
        <f>+'NEW CAR'!AN185+'GT-SERV'!AN185+ACCESS!AN185</f>
        <v>37620</v>
      </c>
      <c r="AO185" s="106">
        <f t="shared" si="167"/>
        <v>451440</v>
      </c>
    </row>
    <row r="186" spans="1:41" outlineLevel="1">
      <c r="A186" s="106">
        <f>+'NEW CAR'!A186+'GT-SERV'!A186+ACCESS!A186</f>
        <v>0</v>
      </c>
      <c r="B186" s="106">
        <f>+'NEW CAR'!B186+'GT-SERV'!B186+ACCESS!B186</f>
        <v>0</v>
      </c>
      <c r="C186" s="106">
        <f>+'NEW CAR'!C186+'GT-SERV'!C186+ACCESS!C186</f>
        <v>0</v>
      </c>
      <c r="D186" s="106">
        <f>+'NEW CAR'!D186+'GT-SERV'!D186+ACCESS!D186</f>
        <v>0</v>
      </c>
      <c r="E186" s="106">
        <f>+'NEW CAR'!E186+'GT-SERV'!E186+ACCESS!E186</f>
        <v>0</v>
      </c>
      <c r="F186" s="106">
        <f>+'NEW CAR'!F186+'GT-SERV'!F186+ACCESS!F186</f>
        <v>0</v>
      </c>
      <c r="G186" s="106">
        <f>+'NEW CAR'!G186+'GT-SERV'!G186+ACCESS!G186</f>
        <v>0</v>
      </c>
      <c r="H186" s="106">
        <f>+'NEW CAR'!H186+'GT-SERV'!H186+ACCESS!H186</f>
        <v>0</v>
      </c>
      <c r="I186" s="106">
        <f>+'NEW CAR'!I186+'GT-SERV'!I186+ACCESS!I186</f>
        <v>0</v>
      </c>
      <c r="J186" s="106">
        <f>+'NEW CAR'!J186+'GT-SERV'!J186+ACCESS!J186</f>
        <v>0</v>
      </c>
      <c r="K186" s="106">
        <f>+'NEW CAR'!K186+'GT-SERV'!K186+ACCESS!K186</f>
        <v>0</v>
      </c>
      <c r="L186" s="106">
        <f>+'NEW CAR'!L186+'GT-SERV'!L186+ACCESS!L186</f>
        <v>0</v>
      </c>
      <c r="M186" s="106">
        <f t="shared" si="165"/>
        <v>0</v>
      </c>
      <c r="N186" s="16" t="s">
        <v>155</v>
      </c>
      <c r="O186" s="106">
        <f>+'NEW CAR'!O186+'GT-SERV'!O186+ACCESS!O186</f>
        <v>0</v>
      </c>
      <c r="P186" s="106">
        <f>+'NEW CAR'!P186+'GT-SERV'!P186+ACCESS!P186</f>
        <v>0</v>
      </c>
      <c r="Q186" s="106">
        <f>+'NEW CAR'!Q186+'GT-SERV'!Q186+ACCESS!Q186</f>
        <v>0</v>
      </c>
      <c r="R186" s="106">
        <f>+'NEW CAR'!R186+'GT-SERV'!R186+ACCESS!R186</f>
        <v>0</v>
      </c>
      <c r="S186" s="106">
        <f>+'NEW CAR'!S186+'GT-SERV'!S186+ACCESS!S186</f>
        <v>0</v>
      </c>
      <c r="T186" s="106">
        <f>+'NEW CAR'!T186+'GT-SERV'!T186+ACCESS!T186</f>
        <v>0</v>
      </c>
      <c r="U186" s="106">
        <f>+'NEW CAR'!U186+'GT-SERV'!U186+ACCESS!U186</f>
        <v>0</v>
      </c>
      <c r="V186" s="106">
        <f>+'NEW CAR'!V186+'GT-SERV'!V186+ACCESS!V186</f>
        <v>0</v>
      </c>
      <c r="W186" s="106">
        <f>+'NEW CAR'!W186+'GT-SERV'!W186+ACCESS!W186</f>
        <v>0</v>
      </c>
      <c r="X186" s="106">
        <f>+'NEW CAR'!X186+'GT-SERV'!X186+ACCESS!X186</f>
        <v>0</v>
      </c>
      <c r="Y186" s="106">
        <f>+'NEW CAR'!Y186+'GT-SERV'!Y186+ACCESS!Y186</f>
        <v>0</v>
      </c>
      <c r="Z186" s="106">
        <f>+'NEW CAR'!Z186+'GT-SERV'!Z186+ACCESS!Z186</f>
        <v>0</v>
      </c>
      <c r="AA186" s="106">
        <f t="shared" si="166"/>
        <v>0</v>
      </c>
      <c r="AB186" s="118"/>
      <c r="AC186" s="106">
        <f>+'NEW CAR'!AC186+'GT-SERV'!AC186+ACCESS!AC186</f>
        <v>0</v>
      </c>
      <c r="AD186" s="106">
        <f>+'NEW CAR'!AD186+'GT-SERV'!AD186+ACCESS!AD186</f>
        <v>0</v>
      </c>
      <c r="AE186" s="106">
        <f>+'NEW CAR'!AE186+'GT-SERV'!AE186+ACCESS!AE186</f>
        <v>0</v>
      </c>
      <c r="AF186" s="106">
        <f>+'NEW CAR'!AF186+'GT-SERV'!AF186+ACCESS!AF186</f>
        <v>0</v>
      </c>
      <c r="AG186" s="106">
        <f>+'NEW CAR'!AG186+'GT-SERV'!AG186+ACCESS!AG186</f>
        <v>0</v>
      </c>
      <c r="AH186" s="106">
        <f>+'NEW CAR'!AH186+'GT-SERV'!AH186+ACCESS!AH186</f>
        <v>0</v>
      </c>
      <c r="AI186" s="106">
        <f>+'NEW CAR'!AI186+'GT-SERV'!AI186+ACCESS!AI186</f>
        <v>0</v>
      </c>
      <c r="AJ186" s="106">
        <f>+'NEW CAR'!AJ186+'GT-SERV'!AJ186+ACCESS!AJ186</f>
        <v>0</v>
      </c>
      <c r="AK186" s="106">
        <f>+'NEW CAR'!AK186+'GT-SERV'!AK186+ACCESS!AK186</f>
        <v>0</v>
      </c>
      <c r="AL186" s="106">
        <f>+'NEW CAR'!AL186+'GT-SERV'!AL186+ACCESS!AL186</f>
        <v>0</v>
      </c>
      <c r="AM186" s="106">
        <f>+'NEW CAR'!AM186+'GT-SERV'!AM186+ACCESS!AM186</f>
        <v>0</v>
      </c>
      <c r="AN186" s="106">
        <f>+'NEW CAR'!AN186+'GT-SERV'!AN186+ACCESS!AN186</f>
        <v>0</v>
      </c>
      <c r="AO186" s="106">
        <f t="shared" si="167"/>
        <v>0</v>
      </c>
    </row>
    <row r="187" spans="1:41" outlineLevel="1">
      <c r="A187" s="107">
        <f t="shared" ref="A187:K187" si="168">+SUM(A188:A192)</f>
        <v>55666.666666666628</v>
      </c>
      <c r="B187" s="107">
        <f t="shared" si="168"/>
        <v>64222.663333333301</v>
      </c>
      <c r="C187" s="107">
        <f t="shared" si="168"/>
        <v>314222.66333333327</v>
      </c>
      <c r="D187" s="107">
        <f t="shared" si="168"/>
        <v>64222.663333333301</v>
      </c>
      <c r="E187" s="107">
        <f t="shared" si="168"/>
        <v>69222.663333333301</v>
      </c>
      <c r="F187" s="107">
        <f t="shared" si="168"/>
        <v>66722.663333333301</v>
      </c>
      <c r="G187" s="107">
        <f t="shared" si="168"/>
        <v>71722.663333333301</v>
      </c>
      <c r="H187" s="107">
        <f t="shared" si="168"/>
        <v>112722.33</v>
      </c>
      <c r="I187" s="107">
        <f t="shared" si="168"/>
        <v>144389</v>
      </c>
      <c r="J187" s="107">
        <f t="shared" si="168"/>
        <v>62722.333333333299</v>
      </c>
      <c r="K187" s="107">
        <f t="shared" si="168"/>
        <v>64722.33</v>
      </c>
      <c r="L187" s="107">
        <f>+SUM(L188:L192)</f>
        <v>31889</v>
      </c>
      <c r="M187" s="107">
        <f>+SUM(M188:M192)</f>
        <v>1122447.6399999997</v>
      </c>
      <c r="N187" s="20" t="s">
        <v>156</v>
      </c>
      <c r="O187" s="107">
        <f t="shared" ref="O187:AA187" si="169">+SUM(O188:O192)</f>
        <v>202816</v>
      </c>
      <c r="P187" s="107">
        <f t="shared" si="169"/>
        <v>84596</v>
      </c>
      <c r="Q187" s="107">
        <f t="shared" si="169"/>
        <v>274457</v>
      </c>
      <c r="R187" s="107">
        <f t="shared" si="169"/>
        <v>73957</v>
      </c>
      <c r="S187" s="107">
        <f t="shared" si="169"/>
        <v>47290</v>
      </c>
      <c r="T187" s="107">
        <f t="shared" si="169"/>
        <v>130290</v>
      </c>
      <c r="U187" s="107">
        <f t="shared" si="169"/>
        <v>47290</v>
      </c>
      <c r="V187" s="107">
        <f t="shared" si="169"/>
        <v>73957</v>
      </c>
      <c r="W187" s="107">
        <f t="shared" si="169"/>
        <v>38957</v>
      </c>
      <c r="X187" s="107">
        <f t="shared" si="169"/>
        <v>47290</v>
      </c>
      <c r="Y187" s="107">
        <f t="shared" si="169"/>
        <v>0</v>
      </c>
      <c r="Z187" s="107">
        <f t="shared" si="169"/>
        <v>0</v>
      </c>
      <c r="AA187" s="107">
        <f t="shared" si="169"/>
        <v>1020900</v>
      </c>
      <c r="AB187" s="118"/>
      <c r="AC187" s="107">
        <f t="shared" ref="AC187:AO187" si="170">+SUM(AC188:AC192)</f>
        <v>84013</v>
      </c>
      <c r="AD187" s="107">
        <f t="shared" si="170"/>
        <v>84013</v>
      </c>
      <c r="AE187" s="107">
        <f t="shared" si="170"/>
        <v>84013</v>
      </c>
      <c r="AF187" s="107">
        <f t="shared" si="170"/>
        <v>84013</v>
      </c>
      <c r="AG187" s="107">
        <f t="shared" si="170"/>
        <v>84013</v>
      </c>
      <c r="AH187" s="107">
        <f t="shared" si="170"/>
        <v>84013</v>
      </c>
      <c r="AI187" s="107">
        <f t="shared" si="170"/>
        <v>84013</v>
      </c>
      <c r="AJ187" s="107">
        <f t="shared" si="170"/>
        <v>84013</v>
      </c>
      <c r="AK187" s="107">
        <f t="shared" si="170"/>
        <v>84013</v>
      </c>
      <c r="AL187" s="107">
        <f t="shared" si="170"/>
        <v>84013</v>
      </c>
      <c r="AM187" s="107">
        <f t="shared" si="170"/>
        <v>84013</v>
      </c>
      <c r="AN187" s="107">
        <f t="shared" si="170"/>
        <v>84013</v>
      </c>
      <c r="AO187" s="107">
        <f t="shared" si="170"/>
        <v>1008156</v>
      </c>
    </row>
    <row r="188" spans="1:41" outlineLevel="1">
      <c r="A188" s="106">
        <f>+'NEW CAR'!A188+'GT-SERV'!A188+ACCESS!A188</f>
        <v>20833.333333333299</v>
      </c>
      <c r="B188" s="106">
        <f>+'NEW CAR'!B188+'GT-SERV'!B188+ACCESS!B188</f>
        <v>20833.333333333299</v>
      </c>
      <c r="C188" s="106">
        <f>+'NEW CAR'!C188+'GT-SERV'!C188+ACCESS!C188</f>
        <v>20833.333333333299</v>
      </c>
      <c r="D188" s="106">
        <f>+'NEW CAR'!D188+'GT-SERV'!D188+ACCESS!D188</f>
        <v>20833.333333333299</v>
      </c>
      <c r="E188" s="106">
        <f>+'NEW CAR'!E188+'GT-SERV'!E188+ACCESS!E188</f>
        <v>20833.333333333299</v>
      </c>
      <c r="F188" s="106">
        <f>+'NEW CAR'!F188+'GT-SERV'!F188+ACCESS!F188</f>
        <v>20833.333333333299</v>
      </c>
      <c r="G188" s="106">
        <f>+'NEW CAR'!G188+'GT-SERV'!G188+ACCESS!G188</f>
        <v>20833.333333333299</v>
      </c>
      <c r="H188" s="106">
        <f>+'NEW CAR'!H188+'GT-SERV'!H188+ACCESS!H188</f>
        <v>20833.330000000002</v>
      </c>
      <c r="I188" s="106">
        <f>+'NEW CAR'!I188+'GT-SERV'!I188+ACCESS!I188</f>
        <v>27500</v>
      </c>
      <c r="J188" s="106">
        <f>+'NEW CAR'!J188+'GT-SERV'!J188+ACCESS!J188</f>
        <v>20833.333333333299</v>
      </c>
      <c r="K188" s="106">
        <f>+'NEW CAR'!K188+'GT-SERV'!K188+ACCESS!K188</f>
        <v>20833.330000000002</v>
      </c>
      <c r="L188" s="106">
        <f>+'NEW CAR'!L188+'GT-SERV'!L188+ACCESS!L188</f>
        <v>0</v>
      </c>
      <c r="M188" s="106">
        <f t="shared" ref="M188:M192" si="171">+SUM(A188:L188)</f>
        <v>235833.32666666643</v>
      </c>
      <c r="N188" s="16" t="s">
        <v>157</v>
      </c>
      <c r="O188" s="106">
        <f>+'NEW CAR'!O188+'GT-SERV'!O188+ACCESS!O188</f>
        <v>23957</v>
      </c>
      <c r="P188" s="106">
        <f>+'NEW CAR'!P188+'GT-SERV'!P188+ACCESS!P188</f>
        <v>23957</v>
      </c>
      <c r="Q188" s="106">
        <f>+'NEW CAR'!Q188+'GT-SERV'!Q188+ACCESS!Q188</f>
        <v>23957</v>
      </c>
      <c r="R188" s="106">
        <f>+'NEW CAR'!R188+'GT-SERV'!R188+ACCESS!R188</f>
        <v>23957</v>
      </c>
      <c r="S188" s="106">
        <f>+'NEW CAR'!S188+'GT-SERV'!S188+ACCESS!S188</f>
        <v>23957</v>
      </c>
      <c r="T188" s="106">
        <f>+'NEW CAR'!T188+'GT-SERV'!T188+ACCESS!T188</f>
        <v>23957</v>
      </c>
      <c r="U188" s="106">
        <f>+'NEW CAR'!U188+'GT-SERV'!U188+ACCESS!U188</f>
        <v>23957</v>
      </c>
      <c r="V188" s="106">
        <f>+'NEW CAR'!V188+'GT-SERV'!V188+ACCESS!V188</f>
        <v>23957</v>
      </c>
      <c r="W188" s="106">
        <f>+'NEW CAR'!W188+'GT-SERV'!W188+ACCESS!W188</f>
        <v>23957</v>
      </c>
      <c r="X188" s="106">
        <f>+'NEW CAR'!X188+'GT-SERV'!X188+ACCESS!X188</f>
        <v>23957</v>
      </c>
      <c r="Y188" s="106">
        <f>+'NEW CAR'!Y188+'GT-SERV'!Y188+ACCESS!Y188</f>
        <v>0</v>
      </c>
      <c r="Z188" s="106">
        <f>+'NEW CAR'!Z188+'GT-SERV'!Z188+ACCESS!Z188</f>
        <v>0</v>
      </c>
      <c r="AA188" s="106">
        <f t="shared" ref="AA188:AA192" si="172">+SUM(O188:Z188)</f>
        <v>239570</v>
      </c>
      <c r="AB188" s="118"/>
      <c r="AC188" s="106">
        <f>+'NEW CAR'!AC188+'GT-SERV'!AC188+ACCESS!AC188</f>
        <v>23957</v>
      </c>
      <c r="AD188" s="106">
        <f>+'NEW CAR'!AD188+'GT-SERV'!AD188+ACCESS!AD188</f>
        <v>23957</v>
      </c>
      <c r="AE188" s="106">
        <f>+'NEW CAR'!AE188+'GT-SERV'!AE188+ACCESS!AE188</f>
        <v>23957</v>
      </c>
      <c r="AF188" s="106">
        <f>+'NEW CAR'!AF188+'GT-SERV'!AF188+ACCESS!AF188</f>
        <v>23957</v>
      </c>
      <c r="AG188" s="106">
        <f>+'NEW CAR'!AG188+'GT-SERV'!AG188+ACCESS!AG188</f>
        <v>23957</v>
      </c>
      <c r="AH188" s="106">
        <f>+'NEW CAR'!AH188+'GT-SERV'!AH188+ACCESS!AH188</f>
        <v>23957</v>
      </c>
      <c r="AI188" s="106">
        <f>+'NEW CAR'!AI188+'GT-SERV'!AI188+ACCESS!AI188</f>
        <v>23957</v>
      </c>
      <c r="AJ188" s="106">
        <f>+'NEW CAR'!AJ188+'GT-SERV'!AJ188+ACCESS!AJ188</f>
        <v>23957</v>
      </c>
      <c r="AK188" s="106">
        <f>+'NEW CAR'!AK188+'GT-SERV'!AK188+ACCESS!AK188</f>
        <v>23957</v>
      </c>
      <c r="AL188" s="106">
        <f>+'NEW CAR'!AL188+'GT-SERV'!AL188+ACCESS!AL188</f>
        <v>23957</v>
      </c>
      <c r="AM188" s="106">
        <f>+'NEW CAR'!AM188+'GT-SERV'!AM188+ACCESS!AM188</f>
        <v>23957</v>
      </c>
      <c r="AN188" s="106">
        <f>+'NEW CAR'!AN188+'GT-SERV'!AN188+ACCESS!AN188</f>
        <v>23957</v>
      </c>
      <c r="AO188" s="106">
        <f t="shared" ref="AO188:AO192" si="173">+SUM(AC188:AN188)</f>
        <v>287484</v>
      </c>
    </row>
    <row r="189" spans="1:41" outlineLevel="1">
      <c r="A189" s="106">
        <f>+'NEW CAR'!A189+'GT-SERV'!A189+ACCESS!A189</f>
        <v>26500</v>
      </c>
      <c r="B189" s="106">
        <f>+'NEW CAR'!B189+'GT-SERV'!B189+ACCESS!B189</f>
        <v>26500</v>
      </c>
      <c r="C189" s="106">
        <f>+'NEW CAR'!C189+'GT-SERV'!C189+ACCESS!C189</f>
        <v>26500</v>
      </c>
      <c r="D189" s="106">
        <f>+'NEW CAR'!D189+'GT-SERV'!D189+ACCESS!D189</f>
        <v>26500</v>
      </c>
      <c r="E189" s="106">
        <f>+'NEW CAR'!E189+'GT-SERV'!E189+ACCESS!E189</f>
        <v>26500</v>
      </c>
      <c r="F189" s="106">
        <f>+'NEW CAR'!F189+'GT-SERV'!F189+ACCESS!F189</f>
        <v>26500</v>
      </c>
      <c r="G189" s="106">
        <f>+'NEW CAR'!G189+'GT-SERV'!G189+ACCESS!G189</f>
        <v>26500</v>
      </c>
      <c r="H189" s="106">
        <f>+'NEW CAR'!H189+'GT-SERV'!H189+ACCESS!H189</f>
        <v>15000</v>
      </c>
      <c r="I189" s="106">
        <f>+'NEW CAR'!I189+'GT-SERV'!I189+ACCESS!I189</f>
        <v>15000</v>
      </c>
      <c r="J189" s="106">
        <f>+'NEW CAR'!J189+'GT-SERV'!J189+ACCESS!J189</f>
        <v>15000</v>
      </c>
      <c r="K189" s="106">
        <f>+'NEW CAR'!K189+'GT-SERV'!K189+ACCESS!K189</f>
        <v>15000</v>
      </c>
      <c r="L189" s="106">
        <f>+'NEW CAR'!L189+'GT-SERV'!L189+ACCESS!L189</f>
        <v>15000</v>
      </c>
      <c r="M189" s="106">
        <f t="shared" si="171"/>
        <v>260500</v>
      </c>
      <c r="N189" s="16" t="s">
        <v>158</v>
      </c>
      <c r="O189" s="106">
        <f>+'NEW CAR'!O189+'GT-SERV'!O189+ACCESS!O189</f>
        <v>15000</v>
      </c>
      <c r="P189" s="106">
        <f>+'NEW CAR'!P189+'GT-SERV'!P189+ACCESS!P189</f>
        <v>0</v>
      </c>
      <c r="Q189" s="106">
        <f>+'NEW CAR'!Q189+'GT-SERV'!Q189+ACCESS!Q189</f>
        <v>0</v>
      </c>
      <c r="R189" s="106">
        <f>+'NEW CAR'!R189+'GT-SERV'!R189+ACCESS!R189</f>
        <v>40000</v>
      </c>
      <c r="S189" s="106">
        <f>+'NEW CAR'!S189+'GT-SERV'!S189+ACCESS!S189</f>
        <v>15000</v>
      </c>
      <c r="T189" s="106">
        <f>+'NEW CAR'!T189+'GT-SERV'!T189+ACCESS!T189</f>
        <v>43000</v>
      </c>
      <c r="U189" s="106">
        <f>+'NEW CAR'!U189+'GT-SERV'!U189+ACCESS!U189</f>
        <v>15000</v>
      </c>
      <c r="V189" s="106">
        <f>+'NEW CAR'!V189+'GT-SERV'!V189+ACCESS!V189</f>
        <v>18000</v>
      </c>
      <c r="W189" s="106">
        <f>+'NEW CAR'!W189+'GT-SERV'!W189+ACCESS!W189</f>
        <v>15000</v>
      </c>
      <c r="X189" s="106">
        <f>+'NEW CAR'!X189+'GT-SERV'!X189+ACCESS!X189</f>
        <v>15000</v>
      </c>
      <c r="Y189" s="106">
        <f>+'NEW CAR'!Y189+'GT-SERV'!Y189+ACCESS!Y189</f>
        <v>0</v>
      </c>
      <c r="Z189" s="106">
        <f>+'NEW CAR'!Z189+'GT-SERV'!Z189+ACCESS!Z189</f>
        <v>0</v>
      </c>
      <c r="AA189" s="106">
        <f t="shared" si="172"/>
        <v>176000</v>
      </c>
      <c r="AB189" s="118"/>
      <c r="AC189" s="106">
        <f>+'NEW CAR'!AC189+'GT-SERV'!AC189+ACCESS!AC189</f>
        <v>26500</v>
      </c>
      <c r="AD189" s="106">
        <f>+'NEW CAR'!AD189+'GT-SERV'!AD189+ACCESS!AD189</f>
        <v>26500</v>
      </c>
      <c r="AE189" s="106">
        <f>+'NEW CAR'!AE189+'GT-SERV'!AE189+ACCESS!AE189</f>
        <v>26500</v>
      </c>
      <c r="AF189" s="106">
        <f>+'NEW CAR'!AF189+'GT-SERV'!AF189+ACCESS!AF189</f>
        <v>26500</v>
      </c>
      <c r="AG189" s="106">
        <f>+'NEW CAR'!AG189+'GT-SERV'!AG189+ACCESS!AG189</f>
        <v>26500</v>
      </c>
      <c r="AH189" s="106">
        <f>+'NEW CAR'!AH189+'GT-SERV'!AH189+ACCESS!AH189</f>
        <v>26500</v>
      </c>
      <c r="AI189" s="106">
        <f>+'NEW CAR'!AI189+'GT-SERV'!AI189+ACCESS!AI189</f>
        <v>26500</v>
      </c>
      <c r="AJ189" s="106">
        <f>+'NEW CAR'!AJ189+'GT-SERV'!AJ189+ACCESS!AJ189</f>
        <v>26500</v>
      </c>
      <c r="AK189" s="106">
        <f>+'NEW CAR'!AK189+'GT-SERV'!AK189+ACCESS!AK189</f>
        <v>26500</v>
      </c>
      <c r="AL189" s="106">
        <f>+'NEW CAR'!AL189+'GT-SERV'!AL189+ACCESS!AL189</f>
        <v>26500</v>
      </c>
      <c r="AM189" s="106">
        <f>+'NEW CAR'!AM189+'GT-SERV'!AM189+ACCESS!AM189</f>
        <v>26500</v>
      </c>
      <c r="AN189" s="106">
        <f>+'NEW CAR'!AN189+'GT-SERV'!AN189+ACCESS!AN189</f>
        <v>26500</v>
      </c>
      <c r="AO189" s="106">
        <f t="shared" si="173"/>
        <v>318000</v>
      </c>
    </row>
    <row r="190" spans="1:41" outlineLevel="1">
      <c r="A190" s="106">
        <f>+'NEW CAR'!A190+'GT-SERV'!A190+ACCESS!A190</f>
        <v>0</v>
      </c>
      <c r="B190" s="106">
        <f>+'NEW CAR'!B190+'GT-SERV'!B190+ACCESS!B190</f>
        <v>0</v>
      </c>
      <c r="C190" s="106">
        <f>+'NEW CAR'!C190+'GT-SERV'!C190+ACCESS!C190</f>
        <v>0</v>
      </c>
      <c r="D190" s="106">
        <f>+'NEW CAR'!D190+'GT-SERV'!D190+ACCESS!D190</f>
        <v>0</v>
      </c>
      <c r="E190" s="106">
        <f>+'NEW CAR'!E190+'GT-SERV'!E190+ACCESS!E190</f>
        <v>5000</v>
      </c>
      <c r="F190" s="106">
        <f>+'NEW CAR'!F190+'GT-SERV'!F190+ACCESS!F190</f>
        <v>2500</v>
      </c>
      <c r="G190" s="106">
        <f>+'NEW CAR'!G190+'GT-SERV'!G190+ACCESS!G190</f>
        <v>7500</v>
      </c>
      <c r="H190" s="106">
        <f>+'NEW CAR'!H190+'GT-SERV'!H190+ACCESS!H190</f>
        <v>60000</v>
      </c>
      <c r="I190" s="106">
        <f>+'NEW CAR'!I190+'GT-SERV'!I190+ACCESS!I190</f>
        <v>70000</v>
      </c>
      <c r="J190" s="106">
        <f>+'NEW CAR'!J190+'GT-SERV'!J190+ACCESS!J190</f>
        <v>0</v>
      </c>
      <c r="K190" s="106">
        <f>+'NEW CAR'!K190+'GT-SERV'!K190+ACCESS!K190</f>
        <v>10000</v>
      </c>
      <c r="L190" s="106">
        <f>+'NEW CAR'!L190+'GT-SERV'!L190+ACCESS!L190</f>
        <v>0</v>
      </c>
      <c r="M190" s="106">
        <f t="shared" si="171"/>
        <v>155000</v>
      </c>
      <c r="N190" s="16" t="s">
        <v>159</v>
      </c>
      <c r="O190" s="106">
        <f>+'NEW CAR'!O190+'GT-SERV'!O190+ACCESS!O190</f>
        <v>0</v>
      </c>
      <c r="P190" s="106">
        <f>+'NEW CAR'!P190+'GT-SERV'!P190+ACCESS!P190</f>
        <v>0</v>
      </c>
      <c r="Q190" s="106">
        <f>+'NEW CAR'!Q190+'GT-SERV'!Q190+ACCESS!Q190</f>
        <v>0</v>
      </c>
      <c r="R190" s="106">
        <f>+'NEW CAR'!R190+'GT-SERV'!R190+ACCESS!R190</f>
        <v>0</v>
      </c>
      <c r="S190" s="106">
        <f>+'NEW CAR'!S190+'GT-SERV'!S190+ACCESS!S190</f>
        <v>0</v>
      </c>
      <c r="T190" s="106">
        <f>+'NEW CAR'!T190+'GT-SERV'!T190+ACCESS!T190</f>
        <v>0</v>
      </c>
      <c r="U190" s="106">
        <f>+'NEW CAR'!U190+'GT-SERV'!U190+ACCESS!U190</f>
        <v>0</v>
      </c>
      <c r="V190" s="106">
        <f>+'NEW CAR'!V190+'GT-SERV'!V190+ACCESS!V190</f>
        <v>0</v>
      </c>
      <c r="W190" s="106">
        <f>+'NEW CAR'!W190+'GT-SERV'!W190+ACCESS!W190</f>
        <v>0</v>
      </c>
      <c r="X190" s="106">
        <f>+'NEW CAR'!X190+'GT-SERV'!X190+ACCESS!X190</f>
        <v>0</v>
      </c>
      <c r="Y190" s="106">
        <f>+'NEW CAR'!Y190+'GT-SERV'!Y190+ACCESS!Y190</f>
        <v>0</v>
      </c>
      <c r="Z190" s="106">
        <f>+'NEW CAR'!Z190+'GT-SERV'!Z190+ACCESS!Z190</f>
        <v>0</v>
      </c>
      <c r="AA190" s="106">
        <f t="shared" si="172"/>
        <v>0</v>
      </c>
      <c r="AB190" s="118"/>
      <c r="AC190" s="106">
        <f>+'NEW CAR'!AC190+'GT-SERV'!AC190+ACCESS!AC190</f>
        <v>16667</v>
      </c>
      <c r="AD190" s="106">
        <f>+'NEW CAR'!AD190+'GT-SERV'!AD190+ACCESS!AD190</f>
        <v>16667</v>
      </c>
      <c r="AE190" s="106">
        <f>+'NEW CAR'!AE190+'GT-SERV'!AE190+ACCESS!AE190</f>
        <v>16667</v>
      </c>
      <c r="AF190" s="106">
        <f>+'NEW CAR'!AF190+'GT-SERV'!AF190+ACCESS!AF190</f>
        <v>16667</v>
      </c>
      <c r="AG190" s="106">
        <f>+'NEW CAR'!AG190+'GT-SERV'!AG190+ACCESS!AG190</f>
        <v>16667</v>
      </c>
      <c r="AH190" s="106">
        <f>+'NEW CAR'!AH190+'GT-SERV'!AH190+ACCESS!AH190</f>
        <v>16667</v>
      </c>
      <c r="AI190" s="106">
        <f>+'NEW CAR'!AI190+'GT-SERV'!AI190+ACCESS!AI190</f>
        <v>16667</v>
      </c>
      <c r="AJ190" s="106">
        <f>+'NEW CAR'!AJ190+'GT-SERV'!AJ190+ACCESS!AJ190</f>
        <v>16667</v>
      </c>
      <c r="AK190" s="106">
        <f>+'NEW CAR'!AK190+'GT-SERV'!AK190+ACCESS!AK190</f>
        <v>16667</v>
      </c>
      <c r="AL190" s="106">
        <f>+'NEW CAR'!AL190+'GT-SERV'!AL190+ACCESS!AL190</f>
        <v>16667</v>
      </c>
      <c r="AM190" s="106">
        <f>+'NEW CAR'!AM190+'GT-SERV'!AM190+ACCESS!AM190</f>
        <v>16667</v>
      </c>
      <c r="AN190" s="106">
        <f>+'NEW CAR'!AN190+'GT-SERV'!AN190+ACCESS!AN190</f>
        <v>16667</v>
      </c>
      <c r="AO190" s="106">
        <f t="shared" si="173"/>
        <v>200004</v>
      </c>
    </row>
    <row r="191" spans="1:41" outlineLevel="1">
      <c r="A191" s="106">
        <f>+'NEW CAR'!A191+'GT-SERV'!A191+ACCESS!A191</f>
        <v>8333.3333333333303</v>
      </c>
      <c r="B191" s="106">
        <f>+'NEW CAR'!B191+'GT-SERV'!B191+ACCESS!B191</f>
        <v>16889.330000000002</v>
      </c>
      <c r="C191" s="106">
        <f>+'NEW CAR'!C191+'GT-SERV'!C191+ACCESS!C191</f>
        <v>266889.32999999996</v>
      </c>
      <c r="D191" s="106">
        <f>+'NEW CAR'!D191+'GT-SERV'!D191+ACCESS!D191</f>
        <v>16889.330000000002</v>
      </c>
      <c r="E191" s="106">
        <f>+'NEW CAR'!E191+'GT-SERV'!E191+ACCESS!E191</f>
        <v>16889.330000000002</v>
      </c>
      <c r="F191" s="106">
        <f>+'NEW CAR'!F191+'GT-SERV'!F191+ACCESS!F191</f>
        <v>16889.330000000002</v>
      </c>
      <c r="G191" s="106">
        <f>+'NEW CAR'!G191+'GT-SERV'!G191+ACCESS!G191</f>
        <v>16889.330000000002</v>
      </c>
      <c r="H191" s="106">
        <f>+'NEW CAR'!H191+'GT-SERV'!H191+ACCESS!H191</f>
        <v>16889</v>
      </c>
      <c r="I191" s="106">
        <f>+'NEW CAR'!I191+'GT-SERV'!I191+ACCESS!I191</f>
        <v>31889</v>
      </c>
      <c r="J191" s="106">
        <f>+'NEW CAR'!J191+'GT-SERV'!J191+ACCESS!J191</f>
        <v>26889</v>
      </c>
      <c r="K191" s="106">
        <f>+'NEW CAR'!K191+'GT-SERV'!K191+ACCESS!K191</f>
        <v>18889</v>
      </c>
      <c r="L191" s="106">
        <f>+'NEW CAR'!L191+'GT-SERV'!L191+ACCESS!L191</f>
        <v>16889</v>
      </c>
      <c r="M191" s="106">
        <f t="shared" si="171"/>
        <v>471114.31333333335</v>
      </c>
      <c r="N191" s="16" t="s">
        <v>160</v>
      </c>
      <c r="O191" s="106">
        <f>+'NEW CAR'!O191+'GT-SERV'!O191+ACCESS!O191</f>
        <v>163859</v>
      </c>
      <c r="P191" s="106">
        <f>+'NEW CAR'!P191+'GT-SERV'!P191+ACCESS!P191</f>
        <v>60639</v>
      </c>
      <c r="Q191" s="106">
        <f>+'NEW CAR'!Q191+'GT-SERV'!Q191+ACCESS!Q191</f>
        <v>250500</v>
      </c>
      <c r="R191" s="106">
        <f>+'NEW CAR'!R191+'GT-SERV'!R191+ACCESS!R191</f>
        <v>10000</v>
      </c>
      <c r="S191" s="106">
        <f>+'NEW CAR'!S191+'GT-SERV'!S191+ACCESS!S191</f>
        <v>8333</v>
      </c>
      <c r="T191" s="106">
        <f>+'NEW CAR'!T191+'GT-SERV'!T191+ACCESS!T191</f>
        <v>63332.999999999993</v>
      </c>
      <c r="U191" s="106">
        <f>+'NEW CAR'!U191+'GT-SERV'!U191+ACCESS!U191</f>
        <v>8333</v>
      </c>
      <c r="V191" s="106">
        <f>+'NEW CAR'!V191+'GT-SERV'!V191+ACCESS!V191</f>
        <v>32000</v>
      </c>
      <c r="W191" s="106">
        <f>+'NEW CAR'!W191+'GT-SERV'!W191+ACCESS!W191</f>
        <v>0</v>
      </c>
      <c r="X191" s="106">
        <f>+'NEW CAR'!X191+'GT-SERV'!X191+ACCESS!X191</f>
        <v>8333</v>
      </c>
      <c r="Y191" s="106">
        <f>+'NEW CAR'!Y191+'GT-SERV'!Y191+ACCESS!Y191</f>
        <v>0</v>
      </c>
      <c r="Z191" s="106">
        <f>+'NEW CAR'!Z191+'GT-SERV'!Z191+ACCESS!Z191</f>
        <v>0</v>
      </c>
      <c r="AA191" s="106">
        <f t="shared" si="172"/>
        <v>605330</v>
      </c>
      <c r="AB191" s="118"/>
      <c r="AC191" s="106">
        <f>+'NEW CAR'!AC191+'GT-SERV'!AC191+ACCESS!AC191</f>
        <v>16889</v>
      </c>
      <c r="AD191" s="106">
        <f>+'NEW CAR'!AD191+'GT-SERV'!AD191+ACCESS!AD191</f>
        <v>16889</v>
      </c>
      <c r="AE191" s="106">
        <f>+'NEW CAR'!AE191+'GT-SERV'!AE191+ACCESS!AE191</f>
        <v>16889</v>
      </c>
      <c r="AF191" s="106">
        <f>+'NEW CAR'!AF191+'GT-SERV'!AF191+ACCESS!AF191</f>
        <v>16889</v>
      </c>
      <c r="AG191" s="106">
        <f>+'NEW CAR'!AG191+'GT-SERV'!AG191+ACCESS!AG191</f>
        <v>16889</v>
      </c>
      <c r="AH191" s="106">
        <f>+'NEW CAR'!AH191+'GT-SERV'!AH191+ACCESS!AH191</f>
        <v>16889</v>
      </c>
      <c r="AI191" s="106">
        <f>+'NEW CAR'!AI191+'GT-SERV'!AI191+ACCESS!AI191</f>
        <v>16889</v>
      </c>
      <c r="AJ191" s="106">
        <f>+'NEW CAR'!AJ191+'GT-SERV'!AJ191+ACCESS!AJ191</f>
        <v>16889</v>
      </c>
      <c r="AK191" s="106">
        <f>+'NEW CAR'!AK191+'GT-SERV'!AK191+ACCESS!AK191</f>
        <v>16889</v>
      </c>
      <c r="AL191" s="106">
        <f>+'NEW CAR'!AL191+'GT-SERV'!AL191+ACCESS!AL191</f>
        <v>16889</v>
      </c>
      <c r="AM191" s="106">
        <f>+'NEW CAR'!AM191+'GT-SERV'!AM191+ACCESS!AM191</f>
        <v>16889</v>
      </c>
      <c r="AN191" s="106">
        <f>+'NEW CAR'!AN191+'GT-SERV'!AN191+ACCESS!AN191</f>
        <v>16889</v>
      </c>
      <c r="AO191" s="106">
        <f t="shared" si="173"/>
        <v>202668</v>
      </c>
    </row>
    <row r="192" spans="1:41" outlineLevel="1">
      <c r="A192" s="106">
        <f>+'NEW CAR'!A192+'GT-SERV'!A192+ACCESS!A192</f>
        <v>0</v>
      </c>
      <c r="B192" s="106">
        <f>+'NEW CAR'!B192+'GT-SERV'!B192+ACCESS!B192</f>
        <v>0</v>
      </c>
      <c r="C192" s="106">
        <f>+'NEW CAR'!C192+'GT-SERV'!C192+ACCESS!C192</f>
        <v>0</v>
      </c>
      <c r="D192" s="106">
        <f>+'NEW CAR'!D192+'GT-SERV'!D192+ACCESS!D192</f>
        <v>0</v>
      </c>
      <c r="E192" s="106">
        <f>+'NEW CAR'!E192+'GT-SERV'!E192+ACCESS!E192</f>
        <v>0</v>
      </c>
      <c r="F192" s="106">
        <f>+'NEW CAR'!F192+'GT-SERV'!F192+ACCESS!F192</f>
        <v>0</v>
      </c>
      <c r="G192" s="106">
        <f>+'NEW CAR'!G192+'GT-SERV'!G192+ACCESS!G192</f>
        <v>0</v>
      </c>
      <c r="H192" s="106">
        <f>+'NEW CAR'!H192+'GT-SERV'!H192+ACCESS!H192</f>
        <v>0</v>
      </c>
      <c r="I192" s="106">
        <f>+'NEW CAR'!I192+'GT-SERV'!I192+ACCESS!I192</f>
        <v>0</v>
      </c>
      <c r="J192" s="106">
        <f>+'NEW CAR'!J192+'GT-SERV'!J192+ACCESS!J192</f>
        <v>0</v>
      </c>
      <c r="K192" s="106">
        <f>+'NEW CAR'!K192+'GT-SERV'!K192+ACCESS!K192</f>
        <v>0</v>
      </c>
      <c r="L192" s="106">
        <f>+'NEW CAR'!L192+'GT-SERV'!L192+ACCESS!L192</f>
        <v>0</v>
      </c>
      <c r="M192" s="106">
        <f t="shared" si="171"/>
        <v>0</v>
      </c>
      <c r="N192" s="16" t="s">
        <v>161</v>
      </c>
      <c r="O192" s="106">
        <f>+'NEW CAR'!O192+'GT-SERV'!O192+ACCESS!O192</f>
        <v>0</v>
      </c>
      <c r="P192" s="106">
        <f>+'NEW CAR'!P192+'GT-SERV'!P192+ACCESS!P192</f>
        <v>0</v>
      </c>
      <c r="Q192" s="106">
        <f>+'NEW CAR'!Q192+'GT-SERV'!Q192+ACCESS!Q192</f>
        <v>0</v>
      </c>
      <c r="R192" s="106">
        <f>+'NEW CAR'!R192+'GT-SERV'!R192+ACCESS!R192</f>
        <v>0</v>
      </c>
      <c r="S192" s="106">
        <f>+'NEW CAR'!S192+'GT-SERV'!S192+ACCESS!S192</f>
        <v>0</v>
      </c>
      <c r="T192" s="106">
        <f>+'NEW CAR'!T192+'GT-SERV'!T192+ACCESS!T192</f>
        <v>0</v>
      </c>
      <c r="U192" s="106">
        <f>+'NEW CAR'!U192+'GT-SERV'!U192+ACCESS!U192</f>
        <v>0</v>
      </c>
      <c r="V192" s="106">
        <f>+'NEW CAR'!V192+'GT-SERV'!V192+ACCESS!V192</f>
        <v>0</v>
      </c>
      <c r="W192" s="106">
        <f>+'NEW CAR'!W192+'GT-SERV'!W192+ACCESS!W192</f>
        <v>0</v>
      </c>
      <c r="X192" s="106">
        <f>+'NEW CAR'!X192+'GT-SERV'!X192+ACCESS!X192</f>
        <v>0</v>
      </c>
      <c r="Y192" s="106">
        <f>+'NEW CAR'!Y192+'GT-SERV'!Y192+ACCESS!Y192</f>
        <v>0</v>
      </c>
      <c r="Z192" s="106">
        <f>+'NEW CAR'!Z192+'GT-SERV'!Z192+ACCESS!Z192</f>
        <v>0</v>
      </c>
      <c r="AA192" s="106">
        <f t="shared" si="172"/>
        <v>0</v>
      </c>
      <c r="AB192" s="118"/>
      <c r="AC192" s="106">
        <f>+'NEW CAR'!AC192+'GT-SERV'!AC192+ACCESS!AC192</f>
        <v>0</v>
      </c>
      <c r="AD192" s="106">
        <f>+'NEW CAR'!AD192+'GT-SERV'!AD192+ACCESS!AD192</f>
        <v>0</v>
      </c>
      <c r="AE192" s="106">
        <f>+'NEW CAR'!AE192+'GT-SERV'!AE192+ACCESS!AE192</f>
        <v>0</v>
      </c>
      <c r="AF192" s="106">
        <f>+'NEW CAR'!AF192+'GT-SERV'!AF192+ACCESS!AF192</f>
        <v>0</v>
      </c>
      <c r="AG192" s="106">
        <f>+'NEW CAR'!AG192+'GT-SERV'!AG192+ACCESS!AG192</f>
        <v>0</v>
      </c>
      <c r="AH192" s="106">
        <f>+'NEW CAR'!AH192+'GT-SERV'!AH192+ACCESS!AH192</f>
        <v>0</v>
      </c>
      <c r="AI192" s="106">
        <f>+'NEW CAR'!AI192+'GT-SERV'!AI192+ACCESS!AI192</f>
        <v>0</v>
      </c>
      <c r="AJ192" s="106">
        <f>+'NEW CAR'!AJ192+'GT-SERV'!AJ192+ACCESS!AJ192</f>
        <v>0</v>
      </c>
      <c r="AK192" s="106">
        <f>+'NEW CAR'!AK192+'GT-SERV'!AK192+ACCESS!AK192</f>
        <v>0</v>
      </c>
      <c r="AL192" s="106">
        <f>+'NEW CAR'!AL192+'GT-SERV'!AL192+ACCESS!AL192</f>
        <v>0</v>
      </c>
      <c r="AM192" s="106">
        <f>+'NEW CAR'!AM192+'GT-SERV'!AM192+ACCESS!AM192</f>
        <v>0</v>
      </c>
      <c r="AN192" s="106">
        <f>+'NEW CAR'!AN192+'GT-SERV'!AN192+ACCESS!AN192</f>
        <v>0</v>
      </c>
      <c r="AO192" s="106">
        <f t="shared" si="173"/>
        <v>0</v>
      </c>
    </row>
    <row r="193" spans="1:41" outlineLevel="1">
      <c r="A193" s="58">
        <f t="shared" ref="A193:M193" si="174">+SUM(A194:A204)</f>
        <v>227985.97999999998</v>
      </c>
      <c r="B193" s="58">
        <f t="shared" si="174"/>
        <v>285656.59999999998</v>
      </c>
      <c r="C193" s="58">
        <f t="shared" si="174"/>
        <v>303538.10000000003</v>
      </c>
      <c r="D193" s="58">
        <f t="shared" si="174"/>
        <v>157098.78</v>
      </c>
      <c r="E193" s="58">
        <f t="shared" si="174"/>
        <v>234059.63</v>
      </c>
      <c r="F193" s="58">
        <f t="shared" si="174"/>
        <v>228850.35</v>
      </c>
      <c r="G193" s="58">
        <f t="shared" si="174"/>
        <v>235522.34</v>
      </c>
      <c r="H193" s="58">
        <f t="shared" si="174"/>
        <v>197461.87</v>
      </c>
      <c r="I193" s="58">
        <f t="shared" si="174"/>
        <v>196233.84999999998</v>
      </c>
      <c r="J193" s="58">
        <f t="shared" si="174"/>
        <v>160504.34</v>
      </c>
      <c r="K193" s="58">
        <f t="shared" si="174"/>
        <v>298147.89999999997</v>
      </c>
      <c r="L193" s="58">
        <f t="shared" si="174"/>
        <v>769249.6399999999</v>
      </c>
      <c r="M193" s="58">
        <f t="shared" si="174"/>
        <v>3294309.3800000004</v>
      </c>
      <c r="N193" s="20" t="s">
        <v>162</v>
      </c>
      <c r="O193" s="58">
        <f t="shared" ref="O193:AA193" si="175">+SUM(O194:O204)</f>
        <v>406698.86999999994</v>
      </c>
      <c r="P193" s="58">
        <f t="shared" si="175"/>
        <v>315193.12</v>
      </c>
      <c r="Q193" s="58">
        <f t="shared" si="175"/>
        <v>501666.88999999996</v>
      </c>
      <c r="R193" s="58">
        <f t="shared" si="175"/>
        <v>408691.34</v>
      </c>
      <c r="S193" s="58">
        <f t="shared" si="175"/>
        <v>275535.61299999995</v>
      </c>
      <c r="T193" s="58">
        <f t="shared" si="175"/>
        <v>332902.43999999994</v>
      </c>
      <c r="U193" s="58">
        <f t="shared" si="175"/>
        <v>578322.38155281206</v>
      </c>
      <c r="V193" s="58">
        <f t="shared" si="175"/>
        <v>303213.81999999995</v>
      </c>
      <c r="W193" s="58">
        <f t="shared" si="175"/>
        <v>222978.87999999998</v>
      </c>
      <c r="X193" s="58">
        <f t="shared" si="175"/>
        <v>270699.45999999996</v>
      </c>
      <c r="Y193" s="58">
        <f t="shared" si="175"/>
        <v>0</v>
      </c>
      <c r="Z193" s="58">
        <f t="shared" si="175"/>
        <v>0</v>
      </c>
      <c r="AA193" s="58">
        <f t="shared" si="175"/>
        <v>3615902.8145528119</v>
      </c>
      <c r="AB193" s="118"/>
      <c r="AC193" s="58">
        <f t="shared" ref="AC193:AO193" si="176">+SUM(AC194:AC204)</f>
        <v>256219.99999999997</v>
      </c>
      <c r="AD193" s="58">
        <f t="shared" si="176"/>
        <v>256219.99999999997</v>
      </c>
      <c r="AE193" s="58">
        <f t="shared" si="176"/>
        <v>256219.99999999997</v>
      </c>
      <c r="AF193" s="58">
        <f t="shared" si="176"/>
        <v>256219.99999999997</v>
      </c>
      <c r="AG193" s="58">
        <f t="shared" si="176"/>
        <v>256219.99999999997</v>
      </c>
      <c r="AH193" s="58">
        <f t="shared" si="176"/>
        <v>256219.99999999997</v>
      </c>
      <c r="AI193" s="58">
        <f t="shared" si="176"/>
        <v>256219.99999999997</v>
      </c>
      <c r="AJ193" s="58">
        <f t="shared" si="176"/>
        <v>256219.99999999997</v>
      </c>
      <c r="AK193" s="58">
        <f t="shared" si="176"/>
        <v>256219.99999999997</v>
      </c>
      <c r="AL193" s="58">
        <f t="shared" si="176"/>
        <v>256219.99999999997</v>
      </c>
      <c r="AM193" s="58">
        <f t="shared" si="176"/>
        <v>256219.99999999997</v>
      </c>
      <c r="AN193" s="58">
        <f t="shared" si="176"/>
        <v>256219.99999999997</v>
      </c>
      <c r="AO193" s="58">
        <f t="shared" si="176"/>
        <v>3074640</v>
      </c>
    </row>
    <row r="194" spans="1:41" outlineLevel="1">
      <c r="A194" s="106">
        <f>+'NEW CAR'!A194+'GT-SERV'!A194+ACCESS!A194</f>
        <v>57574</v>
      </c>
      <c r="B194" s="106">
        <f>+'NEW CAR'!B194+'GT-SERV'!B194+ACCESS!B194</f>
        <v>57574</v>
      </c>
      <c r="C194" s="106">
        <f>+'NEW CAR'!C194+'GT-SERV'!C194+ACCESS!C194</f>
        <v>57574</v>
      </c>
      <c r="D194" s="106">
        <f>+'NEW CAR'!D194+'GT-SERV'!D194+ACCESS!D194</f>
        <v>57574</v>
      </c>
      <c r="E194" s="106">
        <f>+'NEW CAR'!E194+'GT-SERV'!E194+ACCESS!E194</f>
        <v>57574</v>
      </c>
      <c r="F194" s="106">
        <f>+'NEW CAR'!F194+'GT-SERV'!F194+ACCESS!F194</f>
        <v>57574</v>
      </c>
      <c r="G194" s="106">
        <f>+'NEW CAR'!G194+'GT-SERV'!G194+ACCESS!G194</f>
        <v>57574</v>
      </c>
      <c r="H194" s="106">
        <f>+'NEW CAR'!H194+'GT-SERV'!H194+ACCESS!H194</f>
        <v>57574</v>
      </c>
      <c r="I194" s="106">
        <f>+'NEW CAR'!I194+'GT-SERV'!I194+ACCESS!I194</f>
        <v>52791.5</v>
      </c>
      <c r="J194" s="106">
        <f>+'NEW CAR'!J194+'GT-SERV'!J194+ACCESS!J194</f>
        <v>58162</v>
      </c>
      <c r="K194" s="106">
        <f>+'NEW CAR'!K194+'GT-SERV'!K194+ACCESS!K194</f>
        <v>58162</v>
      </c>
      <c r="L194" s="106">
        <f>+'NEW CAR'!L194+'GT-SERV'!L194+ACCESS!L194</f>
        <v>50668</v>
      </c>
      <c r="M194" s="106">
        <f t="shared" ref="M194:M204" si="177">+SUM(A194:L194)</f>
        <v>680375.5</v>
      </c>
      <c r="N194" s="16" t="s">
        <v>163</v>
      </c>
      <c r="O194" s="106">
        <f>+'NEW CAR'!O194+'GT-SERV'!O194+ACCESS!O194</f>
        <v>51992.5</v>
      </c>
      <c r="P194" s="106">
        <f>+'NEW CAR'!P194+'GT-SERV'!P194+ACCESS!P194</f>
        <v>24185</v>
      </c>
      <c r="Q194" s="106">
        <f>+'NEW CAR'!Q194+'GT-SERV'!Q194+ACCESS!Q194</f>
        <v>51731.040000000045</v>
      </c>
      <c r="R194" s="106">
        <f>+'NEW CAR'!R194+'GT-SERV'!R194+ACCESS!R194</f>
        <v>51495.579999999994</v>
      </c>
      <c r="S194" s="106">
        <f>+'NEW CAR'!S194+'GT-SERV'!S194+ACCESS!S194</f>
        <v>52067.75</v>
      </c>
      <c r="T194" s="106">
        <f>+'NEW CAR'!T194+'GT-SERV'!T194+ACCESS!T194</f>
        <v>52067.75</v>
      </c>
      <c r="U194" s="106">
        <f>+'NEW CAR'!U194+'GT-SERV'!U194+ACCESS!U194</f>
        <v>99020.75</v>
      </c>
      <c r="V194" s="106">
        <f>+'NEW CAR'!V194+'GT-SERV'!V194+ACCESS!V194</f>
        <v>63806</v>
      </c>
      <c r="W194" s="106">
        <f>+'NEW CAR'!W194+'GT-SERV'!W194+ACCESS!W194</f>
        <v>63806</v>
      </c>
      <c r="X194" s="106">
        <f>+'NEW CAR'!X194+'GT-SERV'!X194+ACCESS!X194</f>
        <v>63806</v>
      </c>
      <c r="Y194" s="106">
        <f>+'NEW CAR'!Y194+'GT-SERV'!Y194+ACCESS!Y194</f>
        <v>0</v>
      </c>
      <c r="Z194" s="106">
        <f>+'NEW CAR'!Z194+'GT-SERV'!Z194+ACCESS!Z194</f>
        <v>0</v>
      </c>
      <c r="AA194" s="106">
        <f t="shared" ref="AA194:AA204" si="178">+SUM(O194:Z194)</f>
        <v>573978.37</v>
      </c>
      <c r="AB194" s="118"/>
      <c r="AC194" s="106">
        <f>+'NEW CAR'!AC194+'GT-SERV'!AC194+ACCESS!AC194</f>
        <v>51992.5</v>
      </c>
      <c r="AD194" s="106">
        <f>+'NEW CAR'!AD194+'GT-SERV'!AD194+ACCESS!AD194</f>
        <v>51992.5</v>
      </c>
      <c r="AE194" s="106">
        <f>+'NEW CAR'!AE194+'GT-SERV'!AE194+ACCESS!AE194</f>
        <v>51992.5</v>
      </c>
      <c r="AF194" s="106">
        <f>+'NEW CAR'!AF194+'GT-SERV'!AF194+ACCESS!AF194</f>
        <v>51992.5</v>
      </c>
      <c r="AG194" s="106">
        <f>+'NEW CAR'!AG194+'GT-SERV'!AG194+ACCESS!AG194</f>
        <v>51992.5</v>
      </c>
      <c r="AH194" s="106">
        <f>+'NEW CAR'!AH194+'GT-SERV'!AH194+ACCESS!AH194</f>
        <v>51992.5</v>
      </c>
      <c r="AI194" s="106">
        <f>+'NEW CAR'!AI194+'GT-SERV'!AI194+ACCESS!AI194</f>
        <v>51992.5</v>
      </c>
      <c r="AJ194" s="106">
        <f>+'NEW CAR'!AJ194+'GT-SERV'!AJ194+ACCESS!AJ194</f>
        <v>51992.5</v>
      </c>
      <c r="AK194" s="106">
        <f>+'NEW CAR'!AK194+'GT-SERV'!AK194+ACCESS!AK194</f>
        <v>51992.5</v>
      </c>
      <c r="AL194" s="106">
        <f>+'NEW CAR'!AL194+'GT-SERV'!AL194+ACCESS!AL194</f>
        <v>51992.5</v>
      </c>
      <c r="AM194" s="106">
        <f>+'NEW CAR'!AM194+'GT-SERV'!AM194+ACCESS!AM194</f>
        <v>51992.5</v>
      </c>
      <c r="AN194" s="106">
        <f>+'NEW CAR'!AN194+'GT-SERV'!AN194+ACCESS!AN194</f>
        <v>51992.5</v>
      </c>
      <c r="AO194" s="106">
        <f t="shared" ref="AO194:AO204" si="179">+SUM(AC194:AN194)</f>
        <v>623910</v>
      </c>
    </row>
    <row r="195" spans="1:41" outlineLevel="1">
      <c r="A195" s="106">
        <f>+'NEW CAR'!A195+'GT-SERV'!A195+ACCESS!A195</f>
        <v>265</v>
      </c>
      <c r="B195" s="106">
        <f>+'NEW CAR'!B195+'GT-SERV'!B195+ACCESS!B195</f>
        <v>265</v>
      </c>
      <c r="C195" s="106">
        <f>+'NEW CAR'!C195+'GT-SERV'!C195+ACCESS!C195</f>
        <v>265</v>
      </c>
      <c r="D195" s="106">
        <f>+'NEW CAR'!D195+'GT-SERV'!D195+ACCESS!D195</f>
        <v>265</v>
      </c>
      <c r="E195" s="106">
        <f>+'NEW CAR'!E195+'GT-SERV'!E195+ACCESS!E195</f>
        <v>575</v>
      </c>
      <c r="F195" s="106">
        <f>+'NEW CAR'!F195+'GT-SERV'!F195+ACCESS!F195</f>
        <v>265</v>
      </c>
      <c r="G195" s="106">
        <f>+'NEW CAR'!G195+'GT-SERV'!G195+ACCESS!G195</f>
        <v>265</v>
      </c>
      <c r="H195" s="106">
        <f>+'NEW CAR'!H195+'GT-SERV'!H195+ACCESS!H195</f>
        <v>265</v>
      </c>
      <c r="I195" s="106">
        <f>+'NEW CAR'!I195+'GT-SERV'!I195+ACCESS!I195</f>
        <v>265</v>
      </c>
      <c r="J195" s="106">
        <f>+'NEW CAR'!J195+'GT-SERV'!J195+ACCESS!J195</f>
        <v>265</v>
      </c>
      <c r="K195" s="106">
        <f>+'NEW CAR'!K195+'GT-SERV'!K195+ACCESS!K195</f>
        <v>265</v>
      </c>
      <c r="L195" s="106">
        <f>+'NEW CAR'!L195+'GT-SERV'!L195+ACCESS!L195</f>
        <v>265</v>
      </c>
      <c r="M195" s="106">
        <f t="shared" si="177"/>
        <v>3490</v>
      </c>
      <c r="N195" s="16" t="s">
        <v>164</v>
      </c>
      <c r="O195" s="106">
        <f>+'NEW CAR'!O195+'GT-SERV'!O195+ACCESS!O195</f>
        <v>484</v>
      </c>
      <c r="P195" s="106">
        <f>+'NEW CAR'!P195+'GT-SERV'!P195+ACCESS!P195</f>
        <v>495</v>
      </c>
      <c r="Q195" s="106">
        <f>+'NEW CAR'!Q195+'GT-SERV'!Q195+ACCESS!Q195</f>
        <v>495</v>
      </c>
      <c r="R195" s="106">
        <f>+'NEW CAR'!R195+'GT-SERV'!R195+ACCESS!R195</f>
        <v>495</v>
      </c>
      <c r="S195" s="106">
        <f>+'NEW CAR'!S195+'GT-SERV'!S195+ACCESS!S195</f>
        <v>495</v>
      </c>
      <c r="T195" s="106">
        <f>+'NEW CAR'!T195+'GT-SERV'!T195+ACCESS!T195</f>
        <v>495</v>
      </c>
      <c r="U195" s="106">
        <f>+'NEW CAR'!U195+'GT-SERV'!U195+ACCESS!U195</f>
        <v>8862.6268861453991</v>
      </c>
      <c r="V195" s="106">
        <f>+'NEW CAR'!V195+'GT-SERV'!V195+ACCESS!V195</f>
        <v>2578</v>
      </c>
      <c r="W195" s="106">
        <f>+'NEW CAR'!W195+'GT-SERV'!W195+ACCESS!W195</f>
        <v>2852</v>
      </c>
      <c r="X195" s="106">
        <f>+'NEW CAR'!X195+'GT-SERV'!X195+ACCESS!X195</f>
        <v>6745</v>
      </c>
      <c r="Y195" s="106">
        <f>+'NEW CAR'!Y195+'GT-SERV'!Y195+ACCESS!Y195</f>
        <v>0</v>
      </c>
      <c r="Z195" s="106">
        <f>+'NEW CAR'!Z195+'GT-SERV'!Z195+ACCESS!Z195</f>
        <v>0</v>
      </c>
      <c r="AA195" s="106">
        <f t="shared" si="178"/>
        <v>23996.626886145401</v>
      </c>
      <c r="AB195" s="118"/>
      <c r="AC195" s="106">
        <f>+'NEW CAR'!AC195+'GT-SERV'!AC195+ACCESS!AC195</f>
        <v>1569.1666666666667</v>
      </c>
      <c r="AD195" s="106">
        <f>+'NEW CAR'!AD195+'GT-SERV'!AD195+ACCESS!AD195</f>
        <v>1569.1666666666667</v>
      </c>
      <c r="AE195" s="106">
        <f>+'NEW CAR'!AE195+'GT-SERV'!AE195+ACCESS!AE195</f>
        <v>1569.1666666666667</v>
      </c>
      <c r="AF195" s="106">
        <f>+'NEW CAR'!AF195+'GT-SERV'!AF195+ACCESS!AF195</f>
        <v>1569.1666666666667</v>
      </c>
      <c r="AG195" s="106">
        <f>+'NEW CAR'!AG195+'GT-SERV'!AG195+ACCESS!AG195</f>
        <v>1569.1666666666667</v>
      </c>
      <c r="AH195" s="106">
        <f>+'NEW CAR'!AH195+'GT-SERV'!AH195+ACCESS!AH195</f>
        <v>1569.1666666666667</v>
      </c>
      <c r="AI195" s="106">
        <f>+'NEW CAR'!AI195+'GT-SERV'!AI195+ACCESS!AI195</f>
        <v>1569.1666666666667</v>
      </c>
      <c r="AJ195" s="106">
        <f>+'NEW CAR'!AJ195+'GT-SERV'!AJ195+ACCESS!AJ195</f>
        <v>1569.1666666666667</v>
      </c>
      <c r="AK195" s="106">
        <f>+'NEW CAR'!AK195+'GT-SERV'!AK195+ACCESS!AK195</f>
        <v>1569.1666666666667</v>
      </c>
      <c r="AL195" s="106">
        <f>+'NEW CAR'!AL195+'GT-SERV'!AL195+ACCESS!AL195</f>
        <v>1569.1666666666667</v>
      </c>
      <c r="AM195" s="106">
        <f>+'NEW CAR'!AM195+'GT-SERV'!AM195+ACCESS!AM195</f>
        <v>1569.1666666666667</v>
      </c>
      <c r="AN195" s="106">
        <f>+'NEW CAR'!AN195+'GT-SERV'!AN195+ACCESS!AN195</f>
        <v>1569.1666666666667</v>
      </c>
      <c r="AO195" s="106">
        <f t="shared" si="179"/>
        <v>18830</v>
      </c>
    </row>
    <row r="196" spans="1:41" outlineLevel="1">
      <c r="A196" s="106">
        <f>+'NEW CAR'!A196+'GT-SERV'!A196+ACCESS!A196</f>
        <v>2750.12</v>
      </c>
      <c r="B196" s="106">
        <f>+'NEW CAR'!B196+'GT-SERV'!B196+ACCESS!B196</f>
        <v>85975</v>
      </c>
      <c r="C196" s="106">
        <f>+'NEW CAR'!C196+'GT-SERV'!C196+ACCESS!C196</f>
        <v>50406.26</v>
      </c>
      <c r="D196" s="106">
        <f>+'NEW CAR'!D196+'GT-SERV'!D196+ACCESS!D196</f>
        <v>2750</v>
      </c>
      <c r="E196" s="106">
        <f>+'NEW CAR'!E196+'GT-SERV'!E196+ACCESS!E196</f>
        <v>2750</v>
      </c>
      <c r="F196" s="106">
        <f>+'NEW CAR'!F196+'GT-SERV'!F196+ACCESS!F196</f>
        <v>2750</v>
      </c>
      <c r="G196" s="106">
        <f>+'NEW CAR'!G196+'GT-SERV'!G196+ACCESS!G196</f>
        <v>9650</v>
      </c>
      <c r="H196" s="106">
        <f>+'NEW CAR'!H196+'GT-SERV'!H196+ACCESS!H196</f>
        <v>21990</v>
      </c>
      <c r="I196" s="106">
        <f>+'NEW CAR'!I196+'GT-SERV'!I196+ACCESS!I196</f>
        <v>5750.119999999999</v>
      </c>
      <c r="J196" s="106">
        <f>+'NEW CAR'!J196+'GT-SERV'!J196+ACCESS!J196</f>
        <v>2750</v>
      </c>
      <c r="K196" s="106">
        <f>+'NEW CAR'!K196+'GT-SERV'!K196+ACCESS!K196</f>
        <v>55155.119999999995</v>
      </c>
      <c r="L196" s="106">
        <f>+'NEW CAR'!L196+'GT-SERV'!L196+ACCESS!L196</f>
        <v>543035</v>
      </c>
      <c r="M196" s="106">
        <f t="shared" si="177"/>
        <v>785711.62</v>
      </c>
      <c r="N196" s="16" t="s">
        <v>233</v>
      </c>
      <c r="O196" s="106">
        <f>+'NEW CAR'!O196+'GT-SERV'!O196+ACCESS!O196</f>
        <v>43917</v>
      </c>
      <c r="P196" s="106">
        <f>+'NEW CAR'!P196+'GT-SERV'!P196+ACCESS!P196</f>
        <v>94498.78</v>
      </c>
      <c r="Q196" s="106">
        <f>+'NEW CAR'!Q196+'GT-SERV'!Q196+ACCESS!Q196</f>
        <v>273279.78999999998</v>
      </c>
      <c r="R196" s="106">
        <f>+'NEW CAR'!R196+'GT-SERV'!R196+ACCESS!R196</f>
        <v>202598.78999999998</v>
      </c>
      <c r="S196" s="106">
        <f>+'NEW CAR'!S196+'GT-SERV'!S196+ACCESS!S196</f>
        <v>19486.79</v>
      </c>
      <c r="T196" s="106">
        <f>+'NEW CAR'!T196+'GT-SERV'!T196+ACCESS!T196</f>
        <v>4916.79</v>
      </c>
      <c r="U196" s="106">
        <f>+'NEW CAR'!U196+'GT-SERV'!U196+ACCESS!U196</f>
        <v>286816.78466666664</v>
      </c>
      <c r="V196" s="106">
        <f>+'NEW CAR'!V196+'GT-SERV'!V196+ACCESS!V196</f>
        <v>14917</v>
      </c>
      <c r="W196" s="106">
        <f>+'NEW CAR'!W196+'GT-SERV'!W196+ACCESS!W196</f>
        <v>5271</v>
      </c>
      <c r="X196" s="106">
        <f>+'NEW CAR'!X196+'GT-SERV'!X196+ACCESS!X196</f>
        <v>4917</v>
      </c>
      <c r="Y196" s="106">
        <f>+'NEW CAR'!Y196+'GT-SERV'!Y196+ACCESS!Y196</f>
        <v>0</v>
      </c>
      <c r="Z196" s="106">
        <f>+'NEW CAR'!Z196+'GT-SERV'!Z196+ACCESS!Z196</f>
        <v>0</v>
      </c>
      <c r="AA196" s="106">
        <f t="shared" si="178"/>
        <v>950619.72466666659</v>
      </c>
      <c r="AB196" s="118"/>
      <c r="AC196" s="106">
        <f>+'NEW CAR'!AC196+'GT-SERV'!AC196+ACCESS!AC196</f>
        <v>35000</v>
      </c>
      <c r="AD196" s="106">
        <f>+'NEW CAR'!AD196+'GT-SERV'!AD196+ACCESS!AD196</f>
        <v>35000</v>
      </c>
      <c r="AE196" s="106">
        <f>+'NEW CAR'!AE196+'GT-SERV'!AE196+ACCESS!AE196</f>
        <v>35000</v>
      </c>
      <c r="AF196" s="106">
        <f>+'NEW CAR'!AF196+'GT-SERV'!AF196+ACCESS!AF196</f>
        <v>35000</v>
      </c>
      <c r="AG196" s="106">
        <f>+'NEW CAR'!AG196+'GT-SERV'!AG196+ACCESS!AG196</f>
        <v>35000</v>
      </c>
      <c r="AH196" s="106">
        <f>+'NEW CAR'!AH196+'GT-SERV'!AH196+ACCESS!AH196</f>
        <v>35000</v>
      </c>
      <c r="AI196" s="106">
        <f>+'NEW CAR'!AI196+'GT-SERV'!AI196+ACCESS!AI196</f>
        <v>35000</v>
      </c>
      <c r="AJ196" s="106">
        <f>+'NEW CAR'!AJ196+'GT-SERV'!AJ196+ACCESS!AJ196</f>
        <v>35000</v>
      </c>
      <c r="AK196" s="106">
        <f>+'NEW CAR'!AK196+'GT-SERV'!AK196+ACCESS!AK196</f>
        <v>35000</v>
      </c>
      <c r="AL196" s="106">
        <f>+'NEW CAR'!AL196+'GT-SERV'!AL196+ACCESS!AL196</f>
        <v>35000</v>
      </c>
      <c r="AM196" s="106">
        <f>+'NEW CAR'!AM196+'GT-SERV'!AM196+ACCESS!AM196</f>
        <v>35000</v>
      </c>
      <c r="AN196" s="106">
        <f>+'NEW CAR'!AN196+'GT-SERV'!AN196+ACCESS!AN196</f>
        <v>35000</v>
      </c>
      <c r="AO196" s="106">
        <f t="shared" si="179"/>
        <v>420000</v>
      </c>
    </row>
    <row r="197" spans="1:41" outlineLevel="1">
      <c r="A197" s="106">
        <f>+'NEW CAR'!A197+'GT-SERV'!A197+ACCESS!A197</f>
        <v>0</v>
      </c>
      <c r="B197" s="106">
        <f>+'NEW CAR'!B197+'GT-SERV'!B197+ACCESS!B197</f>
        <v>0</v>
      </c>
      <c r="C197" s="106">
        <f>+'NEW CAR'!C197+'GT-SERV'!C197+ACCESS!C197</f>
        <v>0</v>
      </c>
      <c r="D197" s="106">
        <f>+'NEW CAR'!D197+'GT-SERV'!D197+ACCESS!D197</f>
        <v>0</v>
      </c>
      <c r="E197" s="106">
        <f>+'NEW CAR'!E197+'GT-SERV'!E197+ACCESS!E197</f>
        <v>0</v>
      </c>
      <c r="F197" s="106">
        <f>+'NEW CAR'!F197+'GT-SERV'!F197+ACCESS!F197</f>
        <v>0</v>
      </c>
      <c r="G197" s="106">
        <f>+'NEW CAR'!G197+'GT-SERV'!G197+ACCESS!G197</f>
        <v>0</v>
      </c>
      <c r="H197" s="106">
        <f>+'NEW CAR'!H197+'GT-SERV'!H197+ACCESS!H197</f>
        <v>0</v>
      </c>
      <c r="I197" s="106">
        <f>+'NEW CAR'!I197+'GT-SERV'!I197+ACCESS!I197</f>
        <v>0</v>
      </c>
      <c r="J197" s="106">
        <f>+'NEW CAR'!J197+'GT-SERV'!J197+ACCESS!J197</f>
        <v>0</v>
      </c>
      <c r="K197" s="106">
        <f>+'NEW CAR'!K197+'GT-SERV'!K197+ACCESS!K197</f>
        <v>0</v>
      </c>
      <c r="L197" s="106">
        <f>+'NEW CAR'!L197+'GT-SERV'!L197+ACCESS!L197</f>
        <v>0</v>
      </c>
      <c r="M197" s="106">
        <f t="shared" si="177"/>
        <v>0</v>
      </c>
      <c r="N197" s="16" t="s">
        <v>165</v>
      </c>
      <c r="O197" s="106">
        <f>+'NEW CAR'!O197+'GT-SERV'!O197+ACCESS!O197</f>
        <v>0</v>
      </c>
      <c r="P197" s="106">
        <f>+'NEW CAR'!P197+'GT-SERV'!P197+ACCESS!P197</f>
        <v>0</v>
      </c>
      <c r="Q197" s="106">
        <f>+'NEW CAR'!Q197+'GT-SERV'!Q197+ACCESS!Q197</f>
        <v>0</v>
      </c>
      <c r="R197" s="106">
        <f>+'NEW CAR'!R197+'GT-SERV'!R197+ACCESS!R197</f>
        <v>0</v>
      </c>
      <c r="S197" s="106">
        <f>+'NEW CAR'!S197+'GT-SERV'!S197+ACCESS!S197</f>
        <v>0</v>
      </c>
      <c r="T197" s="106">
        <f>+'NEW CAR'!T197+'GT-SERV'!T197+ACCESS!T197</f>
        <v>0</v>
      </c>
      <c r="U197" s="106">
        <f>+'NEW CAR'!U197+'GT-SERV'!U197+ACCESS!U197</f>
        <v>0</v>
      </c>
      <c r="V197" s="106">
        <f>+'NEW CAR'!V197+'GT-SERV'!V197+ACCESS!V197</f>
        <v>0</v>
      </c>
      <c r="W197" s="106">
        <f>+'NEW CAR'!W197+'GT-SERV'!W197+ACCESS!W197</f>
        <v>0</v>
      </c>
      <c r="X197" s="106">
        <f>+'NEW CAR'!X197+'GT-SERV'!X197+ACCESS!X197</f>
        <v>0</v>
      </c>
      <c r="Y197" s="106">
        <f>+'NEW CAR'!Y197+'GT-SERV'!Y197+ACCESS!Y197</f>
        <v>0</v>
      </c>
      <c r="Z197" s="106">
        <f>+'NEW CAR'!Z197+'GT-SERV'!Z197+ACCESS!Z197</f>
        <v>0</v>
      </c>
      <c r="AA197" s="106">
        <f t="shared" si="178"/>
        <v>0</v>
      </c>
      <c r="AB197" s="118"/>
      <c r="AC197" s="106">
        <f>+'NEW CAR'!AC197+'GT-SERV'!AC197+ACCESS!AC197</f>
        <v>0</v>
      </c>
      <c r="AD197" s="106">
        <f>+'NEW CAR'!AD197+'GT-SERV'!AD197+ACCESS!AD197</f>
        <v>0</v>
      </c>
      <c r="AE197" s="106">
        <f>+'NEW CAR'!AE197+'GT-SERV'!AE197+ACCESS!AE197</f>
        <v>0</v>
      </c>
      <c r="AF197" s="106">
        <f>+'NEW CAR'!AF197+'GT-SERV'!AF197+ACCESS!AF197</f>
        <v>0</v>
      </c>
      <c r="AG197" s="106">
        <f>+'NEW CAR'!AG197+'GT-SERV'!AG197+ACCESS!AG197</f>
        <v>0</v>
      </c>
      <c r="AH197" s="106">
        <f>+'NEW CAR'!AH197+'GT-SERV'!AH197+ACCESS!AH197</f>
        <v>0</v>
      </c>
      <c r="AI197" s="106">
        <f>+'NEW CAR'!AI197+'GT-SERV'!AI197+ACCESS!AI197</f>
        <v>0</v>
      </c>
      <c r="AJ197" s="106">
        <f>+'NEW CAR'!AJ197+'GT-SERV'!AJ197+ACCESS!AJ197</f>
        <v>0</v>
      </c>
      <c r="AK197" s="106">
        <f>+'NEW CAR'!AK197+'GT-SERV'!AK197+ACCESS!AK197</f>
        <v>0</v>
      </c>
      <c r="AL197" s="106">
        <f>+'NEW CAR'!AL197+'GT-SERV'!AL197+ACCESS!AL197</f>
        <v>0</v>
      </c>
      <c r="AM197" s="106">
        <f>+'NEW CAR'!AM197+'GT-SERV'!AM197+ACCESS!AM197</f>
        <v>0</v>
      </c>
      <c r="AN197" s="106">
        <f>+'NEW CAR'!AN197+'GT-SERV'!AN197+ACCESS!AN197</f>
        <v>0</v>
      </c>
      <c r="AO197" s="106">
        <f t="shared" si="179"/>
        <v>0</v>
      </c>
    </row>
    <row r="198" spans="1:41" outlineLevel="1">
      <c r="A198" s="106">
        <f>+'NEW CAR'!A198+'GT-SERV'!A198+ACCESS!A198</f>
        <v>105892.51999999999</v>
      </c>
      <c r="B198" s="106">
        <f>+'NEW CAR'!B198+'GT-SERV'!B198+ACCESS!B198</f>
        <v>84561.920000000013</v>
      </c>
      <c r="C198" s="106">
        <f>+'NEW CAR'!C198+'GT-SERV'!C198+ACCESS!C198</f>
        <v>134736.69</v>
      </c>
      <c r="D198" s="106">
        <f>+'NEW CAR'!D198+'GT-SERV'!D198+ACCESS!D198</f>
        <v>57603.320000000007</v>
      </c>
      <c r="E198" s="106">
        <f>+'NEW CAR'!E198+'GT-SERV'!E198+ACCESS!E198</f>
        <v>110892.98999999999</v>
      </c>
      <c r="F198" s="106">
        <f>+'NEW CAR'!F198+'GT-SERV'!F198+ACCESS!F198</f>
        <v>106159.25</v>
      </c>
      <c r="G198" s="106">
        <f>+'NEW CAR'!G198+'GT-SERV'!G198+ACCESS!G198</f>
        <v>63334.67</v>
      </c>
      <c r="H198" s="106">
        <f>+'NEW CAR'!H198+'GT-SERV'!H198+ACCESS!H198</f>
        <v>46088.59</v>
      </c>
      <c r="I198" s="106">
        <f>+'NEW CAR'!I198+'GT-SERV'!I198+ACCESS!I198</f>
        <v>98375.82</v>
      </c>
      <c r="J198" s="106">
        <f>+'NEW CAR'!J198+'GT-SERV'!J198+ACCESS!J198</f>
        <v>37378.85</v>
      </c>
      <c r="K198" s="106">
        <f>+'NEW CAR'!K198+'GT-SERV'!K198+ACCESS!K198</f>
        <v>111215.94</v>
      </c>
      <c r="L198" s="106">
        <f>+'NEW CAR'!L198+'GT-SERV'!L198+ACCESS!L198</f>
        <v>94351.93</v>
      </c>
      <c r="M198" s="106">
        <f t="shared" si="177"/>
        <v>1050592.49</v>
      </c>
      <c r="N198" s="16" t="s">
        <v>166</v>
      </c>
      <c r="O198" s="106">
        <f>+'NEW CAR'!O198+'GT-SERV'!O198+ACCESS!O198</f>
        <v>180524.77000000002</v>
      </c>
      <c r="P198" s="106">
        <f>+'NEW CAR'!P198+'GT-SERV'!P198+ACCESS!P198</f>
        <v>126930.93</v>
      </c>
      <c r="Q198" s="106">
        <f>+'NEW CAR'!Q198+'GT-SERV'!Q198+ACCESS!Q198</f>
        <v>83800.990000000005</v>
      </c>
      <c r="R198" s="106">
        <f>+'NEW CAR'!R198+'GT-SERV'!R198+ACCESS!R198</f>
        <v>103656.17</v>
      </c>
      <c r="S198" s="106">
        <f>+'NEW CAR'!S198+'GT-SERV'!S198+ACCESS!S198</f>
        <v>101001.78</v>
      </c>
      <c r="T198" s="106">
        <f>+'NEW CAR'!T198+'GT-SERV'!T198+ACCESS!T198</f>
        <v>160614.46</v>
      </c>
      <c r="U198" s="106">
        <f>+'NEW CAR'!U198+'GT-SERV'!U198+ACCESS!U198</f>
        <v>88114.38</v>
      </c>
      <c r="V198" s="106">
        <f>+'NEW CAR'!V198+'GT-SERV'!V198+ACCESS!V198</f>
        <v>131442.84999999998</v>
      </c>
      <c r="W198" s="106">
        <f>+'NEW CAR'!W198+'GT-SERV'!W198+ACCESS!W198</f>
        <v>78697.34</v>
      </c>
      <c r="X198" s="106">
        <f>+'NEW CAR'!X198+'GT-SERV'!X198+ACCESS!X198</f>
        <v>103458.76000000001</v>
      </c>
      <c r="Y198" s="106">
        <f>+'NEW CAR'!Y198+'GT-SERV'!Y198+ACCESS!Y198</f>
        <v>0</v>
      </c>
      <c r="Z198" s="106">
        <f>+'NEW CAR'!Z198+'GT-SERV'!Z198+ACCESS!Z198</f>
        <v>0</v>
      </c>
      <c r="AA198" s="106">
        <f t="shared" si="178"/>
        <v>1158242.43</v>
      </c>
      <c r="AB198" s="118"/>
      <c r="AC198" s="106">
        <f>+'NEW CAR'!AC198+'GT-SERV'!AC198+ACCESS!AC198</f>
        <v>107866.66666666666</v>
      </c>
      <c r="AD198" s="106">
        <f>+'NEW CAR'!AD198+'GT-SERV'!AD198+ACCESS!AD198</f>
        <v>107866.66666666666</v>
      </c>
      <c r="AE198" s="106">
        <f>+'NEW CAR'!AE198+'GT-SERV'!AE198+ACCESS!AE198</f>
        <v>107866.66666666666</v>
      </c>
      <c r="AF198" s="106">
        <f>+'NEW CAR'!AF198+'GT-SERV'!AF198+ACCESS!AF198</f>
        <v>107866.66666666666</v>
      </c>
      <c r="AG198" s="106">
        <f>+'NEW CAR'!AG198+'GT-SERV'!AG198+ACCESS!AG198</f>
        <v>107866.66666666666</v>
      </c>
      <c r="AH198" s="106">
        <f>+'NEW CAR'!AH198+'GT-SERV'!AH198+ACCESS!AH198</f>
        <v>107866.66666666666</v>
      </c>
      <c r="AI198" s="106">
        <f>+'NEW CAR'!AI198+'GT-SERV'!AI198+ACCESS!AI198</f>
        <v>107866.66666666666</v>
      </c>
      <c r="AJ198" s="106">
        <f>+'NEW CAR'!AJ198+'GT-SERV'!AJ198+ACCESS!AJ198</f>
        <v>107866.66666666666</v>
      </c>
      <c r="AK198" s="106">
        <f>+'NEW CAR'!AK198+'GT-SERV'!AK198+ACCESS!AK198</f>
        <v>107866.66666666666</v>
      </c>
      <c r="AL198" s="106">
        <f>+'NEW CAR'!AL198+'GT-SERV'!AL198+ACCESS!AL198</f>
        <v>107866.66666666666</v>
      </c>
      <c r="AM198" s="106">
        <f>+'NEW CAR'!AM198+'GT-SERV'!AM198+ACCESS!AM198</f>
        <v>107866.66666666666</v>
      </c>
      <c r="AN198" s="106">
        <f>+'NEW CAR'!AN198+'GT-SERV'!AN198+ACCESS!AN198</f>
        <v>107866.66666666666</v>
      </c>
      <c r="AO198" s="106">
        <f t="shared" si="179"/>
        <v>1294400</v>
      </c>
    </row>
    <row r="199" spans="1:41" outlineLevel="1">
      <c r="A199" s="106">
        <f>+'NEW CAR'!A199+'GT-SERV'!A199+ACCESS!A199</f>
        <v>29501.11</v>
      </c>
      <c r="B199" s="106">
        <f>+'NEW CAR'!B199+'GT-SERV'!B199+ACCESS!B199</f>
        <v>32622.799999999999</v>
      </c>
      <c r="C199" s="106">
        <f>+'NEW CAR'!C199+'GT-SERV'!C199+ACCESS!C199</f>
        <v>21751.48</v>
      </c>
      <c r="D199" s="106">
        <f>+'NEW CAR'!D199+'GT-SERV'!D199+ACCESS!D199</f>
        <v>12104.95</v>
      </c>
      <c r="E199" s="106">
        <f>+'NEW CAR'!E199+'GT-SERV'!E199+ACCESS!E199</f>
        <v>45162.130000000005</v>
      </c>
      <c r="F199" s="106">
        <f>+'NEW CAR'!F199+'GT-SERV'!F199+ACCESS!F199</f>
        <v>23945.260000000002</v>
      </c>
      <c r="G199" s="106">
        <f>+'NEW CAR'!G199+'GT-SERV'!G199+ACCESS!G199</f>
        <v>47470.86</v>
      </c>
      <c r="H199" s="106">
        <f>+'NEW CAR'!H199+'GT-SERV'!H199+ACCESS!H199</f>
        <v>32868.729999999996</v>
      </c>
      <c r="I199" s="106">
        <f>+'NEW CAR'!I199+'GT-SERV'!I199+ACCESS!I199</f>
        <v>16646.96</v>
      </c>
      <c r="J199" s="106">
        <f>+'NEW CAR'!J199+'GT-SERV'!J199+ACCESS!J199</f>
        <v>40338.04</v>
      </c>
      <c r="K199" s="106">
        <f>+'NEW CAR'!K199+'GT-SERV'!K199+ACCESS!K199</f>
        <v>50640.039999999994</v>
      </c>
      <c r="L199" s="106">
        <f>+'NEW CAR'!L199+'GT-SERV'!L199+ACCESS!L199</f>
        <v>48910.240000000005</v>
      </c>
      <c r="M199" s="106">
        <f t="shared" si="177"/>
        <v>401962.6</v>
      </c>
      <c r="N199" s="16" t="s">
        <v>167</v>
      </c>
      <c r="O199" s="106">
        <f>+'NEW CAR'!O199+'GT-SERV'!O199+ACCESS!O199</f>
        <v>112432.99000000002</v>
      </c>
      <c r="P199" s="106">
        <f>+'NEW CAR'!P199+'GT-SERV'!P199+ACCESS!P199</f>
        <v>37272.959999999999</v>
      </c>
      <c r="Q199" s="106">
        <f>+'NEW CAR'!Q199+'GT-SERV'!Q199+ACCESS!Q199</f>
        <v>46516</v>
      </c>
      <c r="R199" s="106">
        <f>+'NEW CAR'!R199+'GT-SERV'!R199+ACCESS!R199</f>
        <v>38953.770000000004</v>
      </c>
      <c r="S199" s="106">
        <f>+'NEW CAR'!S199+'GT-SERV'!S199+ACCESS!S199</f>
        <v>58270.299999999996</v>
      </c>
      <c r="T199" s="106">
        <f>+'NEW CAR'!T199+'GT-SERV'!T199+ACCESS!T199</f>
        <v>56932.22</v>
      </c>
      <c r="U199" s="106">
        <f>+'NEW CAR'!U199+'GT-SERV'!U199+ACCESS!U199</f>
        <v>32412.48</v>
      </c>
      <c r="V199" s="106">
        <f>+'NEW CAR'!V199+'GT-SERV'!V199+ACCESS!V199</f>
        <v>67146.94</v>
      </c>
      <c r="W199" s="106">
        <f>+'NEW CAR'!W199+'GT-SERV'!W199+ACCESS!W199</f>
        <v>51945.350000000006</v>
      </c>
      <c r="X199" s="106">
        <f>+'NEW CAR'!X199+'GT-SERV'!X199+ACCESS!X199</f>
        <v>68038.39</v>
      </c>
      <c r="Y199" s="106">
        <f>+'NEW CAR'!Y199+'GT-SERV'!Y199+ACCESS!Y199</f>
        <v>0</v>
      </c>
      <c r="Z199" s="106">
        <f>+'NEW CAR'!Z199+'GT-SERV'!Z199+ACCESS!Z199</f>
        <v>0</v>
      </c>
      <c r="AA199" s="106">
        <f t="shared" si="178"/>
        <v>569921.4</v>
      </c>
      <c r="AB199" s="118"/>
      <c r="AC199" s="106">
        <f>+'NEW CAR'!AC199+'GT-SERV'!AC199+ACCESS!AC199</f>
        <v>43700</v>
      </c>
      <c r="AD199" s="106">
        <f>+'NEW CAR'!AD199+'GT-SERV'!AD199+ACCESS!AD199</f>
        <v>43700</v>
      </c>
      <c r="AE199" s="106">
        <f>+'NEW CAR'!AE199+'GT-SERV'!AE199+ACCESS!AE199</f>
        <v>43700</v>
      </c>
      <c r="AF199" s="106">
        <f>+'NEW CAR'!AF199+'GT-SERV'!AF199+ACCESS!AF199</f>
        <v>43700</v>
      </c>
      <c r="AG199" s="106">
        <f>+'NEW CAR'!AG199+'GT-SERV'!AG199+ACCESS!AG199</f>
        <v>43700</v>
      </c>
      <c r="AH199" s="106">
        <f>+'NEW CAR'!AH199+'GT-SERV'!AH199+ACCESS!AH199</f>
        <v>43700</v>
      </c>
      <c r="AI199" s="106">
        <f>+'NEW CAR'!AI199+'GT-SERV'!AI199+ACCESS!AI199</f>
        <v>43700</v>
      </c>
      <c r="AJ199" s="106">
        <f>+'NEW CAR'!AJ199+'GT-SERV'!AJ199+ACCESS!AJ199</f>
        <v>43700</v>
      </c>
      <c r="AK199" s="106">
        <f>+'NEW CAR'!AK199+'GT-SERV'!AK199+ACCESS!AK199</f>
        <v>43700</v>
      </c>
      <c r="AL199" s="106">
        <f>+'NEW CAR'!AL199+'GT-SERV'!AL199+ACCESS!AL199</f>
        <v>43700</v>
      </c>
      <c r="AM199" s="106">
        <f>+'NEW CAR'!AM199+'GT-SERV'!AM199+ACCESS!AM199</f>
        <v>43700</v>
      </c>
      <c r="AN199" s="106">
        <f>+'NEW CAR'!AN199+'GT-SERV'!AN199+ACCESS!AN199</f>
        <v>43700</v>
      </c>
      <c r="AO199" s="106">
        <f t="shared" si="179"/>
        <v>524400</v>
      </c>
    </row>
    <row r="200" spans="1:41" outlineLevel="1">
      <c r="A200" s="106">
        <f>+'NEW CAR'!A200+'GT-SERV'!A200+ACCESS!A200</f>
        <v>9821.31</v>
      </c>
      <c r="B200" s="106">
        <f>+'NEW CAR'!B200+'GT-SERV'!B200+ACCESS!B200</f>
        <v>5141.66</v>
      </c>
      <c r="C200" s="106">
        <f>+'NEW CAR'!C200+'GT-SERV'!C200+ACCESS!C200</f>
        <v>35055.26</v>
      </c>
      <c r="D200" s="106">
        <f>+'NEW CAR'!D200+'GT-SERV'!D200+ACCESS!D200</f>
        <v>12142.51</v>
      </c>
      <c r="E200" s="106">
        <f>+'NEW CAR'!E200+'GT-SERV'!E200+ACCESS!E200</f>
        <v>11766.849999999999</v>
      </c>
      <c r="F200" s="106">
        <f>+'NEW CAR'!F200+'GT-SERV'!F200+ACCESS!F200</f>
        <v>11806.05</v>
      </c>
      <c r="G200" s="106">
        <f>+'NEW CAR'!G200+'GT-SERV'!G200+ACCESS!G200</f>
        <v>45002.09</v>
      </c>
      <c r="H200" s="106">
        <f>+'NEW CAR'!H200+'GT-SERV'!H200+ACCESS!H200</f>
        <v>26407.05</v>
      </c>
      <c r="I200" s="106">
        <f>+'NEW CAR'!I200+'GT-SERV'!I200+ACCESS!I200</f>
        <v>9973.2900000000009</v>
      </c>
      <c r="J200" s="106">
        <f>+'NEW CAR'!J200+'GT-SERV'!J200+ACCESS!J200</f>
        <v>7263.99</v>
      </c>
      <c r="K200" s="106">
        <f>+'NEW CAR'!K200+'GT-SERV'!K200+ACCESS!K200</f>
        <v>7490.99</v>
      </c>
      <c r="L200" s="106">
        <f>+'NEW CAR'!L200+'GT-SERV'!L200+ACCESS!L200</f>
        <v>22053.360000000001</v>
      </c>
      <c r="M200" s="106">
        <f t="shared" si="177"/>
        <v>203924.40999999997</v>
      </c>
      <c r="N200" s="16" t="s">
        <v>168</v>
      </c>
      <c r="O200" s="106">
        <f>+'NEW CAR'!O200+'GT-SERV'!O200+ACCESS!O200</f>
        <v>10700.099999999999</v>
      </c>
      <c r="P200" s="106">
        <f>+'NEW CAR'!P200+'GT-SERV'!P200+ACCESS!P200</f>
        <v>25395.84</v>
      </c>
      <c r="Q200" s="106">
        <f>+'NEW CAR'!Q200+'GT-SERV'!Q200+ACCESS!Q200</f>
        <v>15256.55</v>
      </c>
      <c r="R200" s="106">
        <f>+'NEW CAR'!R200+'GT-SERV'!R200+ACCESS!R200</f>
        <v>11910.220000000001</v>
      </c>
      <c r="S200" s="106">
        <f>+'NEW CAR'!S200+'GT-SERV'!S200+ACCESS!S200</f>
        <v>17875.309999999998</v>
      </c>
      <c r="T200" s="106">
        <f>+'NEW CAR'!T200+'GT-SERV'!T200+ACCESS!T200</f>
        <v>12450.310000000001</v>
      </c>
      <c r="U200" s="106">
        <f>+'NEW CAR'!U200+'GT-SERV'!U200+ACCESS!U200</f>
        <v>7537.59</v>
      </c>
      <c r="V200" s="106">
        <f>+'NEW CAR'!V200+'GT-SERV'!V200+ACCESS!V200</f>
        <v>7821.66</v>
      </c>
      <c r="W200" s="106">
        <f>+'NEW CAR'!W200+'GT-SERV'!W200+ACCESS!W200</f>
        <v>8919.5300000000007</v>
      </c>
      <c r="X200" s="106">
        <f>+'NEW CAR'!X200+'GT-SERV'!X200+ACCESS!X200</f>
        <v>11972.47</v>
      </c>
      <c r="Y200" s="106">
        <f>+'NEW CAR'!Y200+'GT-SERV'!Y200+ACCESS!Y200</f>
        <v>0</v>
      </c>
      <c r="Z200" s="106">
        <f>+'NEW CAR'!Z200+'GT-SERV'!Z200+ACCESS!Z200</f>
        <v>0</v>
      </c>
      <c r="AA200" s="106">
        <f t="shared" si="178"/>
        <v>129839.58</v>
      </c>
      <c r="AB200" s="118"/>
      <c r="AC200" s="106">
        <f>+'NEW CAR'!AC200+'GT-SERV'!AC200+ACCESS!AC200</f>
        <v>10533.333333333332</v>
      </c>
      <c r="AD200" s="106">
        <f>+'NEW CAR'!AD200+'GT-SERV'!AD200+ACCESS!AD200</f>
        <v>10533.333333333332</v>
      </c>
      <c r="AE200" s="106">
        <f>+'NEW CAR'!AE200+'GT-SERV'!AE200+ACCESS!AE200</f>
        <v>10533.333333333332</v>
      </c>
      <c r="AF200" s="106">
        <f>+'NEW CAR'!AF200+'GT-SERV'!AF200+ACCESS!AF200</f>
        <v>10533.333333333332</v>
      </c>
      <c r="AG200" s="106">
        <f>+'NEW CAR'!AG200+'GT-SERV'!AG200+ACCESS!AG200</f>
        <v>10533.333333333332</v>
      </c>
      <c r="AH200" s="106">
        <f>+'NEW CAR'!AH200+'GT-SERV'!AH200+ACCESS!AH200</f>
        <v>10533.333333333332</v>
      </c>
      <c r="AI200" s="106">
        <f>+'NEW CAR'!AI200+'GT-SERV'!AI200+ACCESS!AI200</f>
        <v>10533.333333333332</v>
      </c>
      <c r="AJ200" s="106">
        <f>+'NEW CAR'!AJ200+'GT-SERV'!AJ200+ACCESS!AJ200</f>
        <v>10533.333333333332</v>
      </c>
      <c r="AK200" s="106">
        <f>+'NEW CAR'!AK200+'GT-SERV'!AK200+ACCESS!AK200</f>
        <v>10533.333333333332</v>
      </c>
      <c r="AL200" s="106">
        <f>+'NEW CAR'!AL200+'GT-SERV'!AL200+ACCESS!AL200</f>
        <v>10533.333333333332</v>
      </c>
      <c r="AM200" s="106">
        <f>+'NEW CAR'!AM200+'GT-SERV'!AM200+ACCESS!AM200</f>
        <v>10533.333333333332</v>
      </c>
      <c r="AN200" s="106">
        <f>+'NEW CAR'!AN200+'GT-SERV'!AN200+ACCESS!AN200</f>
        <v>10533.333333333332</v>
      </c>
      <c r="AO200" s="106">
        <f t="shared" si="179"/>
        <v>126399.99999999996</v>
      </c>
    </row>
    <row r="201" spans="1:41" outlineLevel="1">
      <c r="A201" s="106">
        <f>+'NEW CAR'!A201+'GT-SERV'!A201+ACCESS!A201</f>
        <v>22050</v>
      </c>
      <c r="B201" s="106">
        <f>+'NEW CAR'!B201+'GT-SERV'!B201+ACCESS!B201</f>
        <v>18348</v>
      </c>
      <c r="C201" s="106">
        <f>+'NEW CAR'!C201+'GT-SERV'!C201+ACCESS!C201</f>
        <v>2800</v>
      </c>
      <c r="D201" s="106">
        <f>+'NEW CAR'!D201+'GT-SERV'!D201+ACCESS!D201</f>
        <v>10610</v>
      </c>
      <c r="E201" s="106">
        <f>+'NEW CAR'!E201+'GT-SERV'!E201+ACCESS!E201</f>
        <v>5280</v>
      </c>
      <c r="F201" s="106">
        <f>+'NEW CAR'!F201+'GT-SERV'!F201+ACCESS!F201</f>
        <v>26163</v>
      </c>
      <c r="G201" s="106">
        <f>+'NEW CAR'!G201+'GT-SERV'!G201+ACCESS!G201</f>
        <v>10863</v>
      </c>
      <c r="H201" s="106">
        <f>+'NEW CAR'!H201+'GT-SERV'!H201+ACCESS!H201</f>
        <v>12240</v>
      </c>
      <c r="I201" s="106">
        <f>+'NEW CAR'!I201+'GT-SERV'!I201+ACCESS!I201</f>
        <v>12520</v>
      </c>
      <c r="J201" s="106">
        <f>+'NEW CAR'!J201+'GT-SERV'!J201+ACCESS!J201</f>
        <v>14157</v>
      </c>
      <c r="K201" s="106">
        <f>+'NEW CAR'!K201+'GT-SERV'!K201+ACCESS!K201</f>
        <v>15104</v>
      </c>
      <c r="L201" s="106">
        <f>+'NEW CAR'!L201+'GT-SERV'!L201+ACCESS!L201</f>
        <v>9645</v>
      </c>
      <c r="M201" s="106">
        <f t="shared" si="177"/>
        <v>159780</v>
      </c>
      <c r="N201" s="16" t="s">
        <v>169</v>
      </c>
      <c r="O201" s="106">
        <f>+'NEW CAR'!O201+'GT-SERV'!O201+ACCESS!O201</f>
        <v>6667</v>
      </c>
      <c r="P201" s="106">
        <f>+'NEW CAR'!P201+'GT-SERV'!P201+ACCESS!P201</f>
        <v>6470</v>
      </c>
      <c r="Q201" s="106">
        <f>+'NEW CAR'!Q201+'GT-SERV'!Q201+ACCESS!Q201</f>
        <v>28505</v>
      </c>
      <c r="R201" s="106">
        <f>+'NEW CAR'!R201+'GT-SERV'!R201+ACCESS!R201</f>
        <v>-382</v>
      </c>
      <c r="S201" s="106">
        <f>+'NEW CAR'!S201+'GT-SERV'!S201+ACCESS!S201</f>
        <v>26094</v>
      </c>
      <c r="T201" s="106">
        <f>+'NEW CAR'!T201+'GT-SERV'!T201+ACCESS!T201</f>
        <v>37559.19</v>
      </c>
      <c r="U201" s="106">
        <f>+'NEW CAR'!U201+'GT-SERV'!U201+ACCESS!U201</f>
        <v>46972</v>
      </c>
      <c r="V201" s="106">
        <f>+'NEW CAR'!V201+'GT-SERV'!V201+ACCESS!V201</f>
        <v>14496</v>
      </c>
      <c r="W201" s="106">
        <f>+'NEW CAR'!W201+'GT-SERV'!W201+ACCESS!W201</f>
        <v>10530</v>
      </c>
      <c r="X201" s="106">
        <f>+'NEW CAR'!X201+'GT-SERV'!X201+ACCESS!X201</f>
        <v>10817</v>
      </c>
      <c r="Y201" s="106">
        <f>+'NEW CAR'!Y201+'GT-SERV'!Y201+ACCESS!Y201</f>
        <v>0</v>
      </c>
      <c r="Z201" s="106">
        <f>+'NEW CAR'!Z201+'GT-SERV'!Z201+ACCESS!Z201</f>
        <v>0</v>
      </c>
      <c r="AA201" s="106">
        <f t="shared" si="178"/>
        <v>187728.19</v>
      </c>
      <c r="AB201" s="118"/>
      <c r="AC201" s="106">
        <f>+'NEW CAR'!AC201+'GT-SERV'!AC201+ACCESS!AC201</f>
        <v>4646.6666666666661</v>
      </c>
      <c r="AD201" s="106">
        <f>+'NEW CAR'!AD201+'GT-SERV'!AD201+ACCESS!AD201</f>
        <v>4646.6666666666661</v>
      </c>
      <c r="AE201" s="106">
        <f>+'NEW CAR'!AE201+'GT-SERV'!AE201+ACCESS!AE201</f>
        <v>4646.6666666666661</v>
      </c>
      <c r="AF201" s="106">
        <f>+'NEW CAR'!AF201+'GT-SERV'!AF201+ACCESS!AF201</f>
        <v>4646.6666666666661</v>
      </c>
      <c r="AG201" s="106">
        <f>+'NEW CAR'!AG201+'GT-SERV'!AG201+ACCESS!AG201</f>
        <v>4646.6666666666661</v>
      </c>
      <c r="AH201" s="106">
        <f>+'NEW CAR'!AH201+'GT-SERV'!AH201+ACCESS!AH201</f>
        <v>4646.6666666666661</v>
      </c>
      <c r="AI201" s="106">
        <f>+'NEW CAR'!AI201+'GT-SERV'!AI201+ACCESS!AI201</f>
        <v>4646.6666666666661</v>
      </c>
      <c r="AJ201" s="106">
        <f>+'NEW CAR'!AJ201+'GT-SERV'!AJ201+ACCESS!AJ201</f>
        <v>4646.6666666666661</v>
      </c>
      <c r="AK201" s="106">
        <f>+'NEW CAR'!AK201+'GT-SERV'!AK201+ACCESS!AK201</f>
        <v>4646.6666666666661</v>
      </c>
      <c r="AL201" s="106">
        <f>+'NEW CAR'!AL201+'GT-SERV'!AL201+ACCESS!AL201</f>
        <v>4646.6666666666661</v>
      </c>
      <c r="AM201" s="106">
        <f>+'NEW CAR'!AM201+'GT-SERV'!AM201+ACCESS!AM201</f>
        <v>4646.6666666666661</v>
      </c>
      <c r="AN201" s="106">
        <f>+'NEW CAR'!AN201+'GT-SERV'!AN201+ACCESS!AN201</f>
        <v>4646.6666666666661</v>
      </c>
      <c r="AO201" s="106">
        <f t="shared" si="179"/>
        <v>55759.999999999978</v>
      </c>
    </row>
    <row r="202" spans="1:41" outlineLevel="1">
      <c r="A202" s="106">
        <f>+'NEW CAR'!A202+'GT-SERV'!A202+ACCESS!A202</f>
        <v>0</v>
      </c>
      <c r="B202" s="106">
        <f>+'NEW CAR'!B202+'GT-SERV'!B202+ACCESS!B202</f>
        <v>0</v>
      </c>
      <c r="C202" s="106">
        <f>+'NEW CAR'!C202+'GT-SERV'!C202+ACCESS!C202</f>
        <v>0</v>
      </c>
      <c r="D202" s="106">
        <f>+'NEW CAR'!D202+'GT-SERV'!D202+ACCESS!D202</f>
        <v>3999</v>
      </c>
      <c r="E202" s="106">
        <f>+'NEW CAR'!E202+'GT-SERV'!E202+ACCESS!E202</f>
        <v>0</v>
      </c>
      <c r="F202" s="106">
        <f>+'NEW CAR'!F202+'GT-SERV'!F202+ACCESS!F202</f>
        <v>0</v>
      </c>
      <c r="G202" s="106">
        <f>+'NEW CAR'!G202+'GT-SERV'!G202+ACCESS!G202</f>
        <v>1185.5899999999999</v>
      </c>
      <c r="H202" s="106">
        <f>+'NEW CAR'!H202+'GT-SERV'!H202+ACCESS!H202</f>
        <v>0</v>
      </c>
      <c r="I202" s="106">
        <f>+'NEW CAR'!I202+'GT-SERV'!I202+ACCESS!I202</f>
        <v>0</v>
      </c>
      <c r="J202" s="106">
        <f>+'NEW CAR'!J202+'GT-SERV'!J202+ACCESS!J202</f>
        <v>0</v>
      </c>
      <c r="K202" s="106">
        <f>+'NEW CAR'!K202+'GT-SERV'!K202+ACCESS!K202</f>
        <v>0</v>
      </c>
      <c r="L202" s="106">
        <f>+'NEW CAR'!L202+'GT-SERV'!L202+ACCESS!L202</f>
        <v>0</v>
      </c>
      <c r="M202" s="106">
        <f t="shared" si="177"/>
        <v>5184.59</v>
      </c>
      <c r="N202" s="16" t="s">
        <v>170</v>
      </c>
      <c r="O202" s="106">
        <f>+'NEW CAR'!O202+'GT-SERV'!O202+ACCESS!O202</f>
        <v>0</v>
      </c>
      <c r="P202" s="106">
        <f>+'NEW CAR'!P202+'GT-SERV'!P202+ACCESS!P202</f>
        <v>0</v>
      </c>
      <c r="Q202" s="106">
        <f>+'NEW CAR'!Q202+'GT-SERV'!Q202+ACCESS!Q202</f>
        <v>2500</v>
      </c>
      <c r="R202" s="106">
        <f>+'NEW CAR'!R202+'GT-SERV'!R202+ACCESS!R202</f>
        <v>0</v>
      </c>
      <c r="S202" s="106">
        <f>+'NEW CAR'!S202+'GT-SERV'!S202+ACCESS!S202</f>
        <v>0</v>
      </c>
      <c r="T202" s="106">
        <f>+'NEW CAR'!T202+'GT-SERV'!T202+ACCESS!T202</f>
        <v>7976.16</v>
      </c>
      <c r="U202" s="106">
        <f>+'NEW CAR'!U202+'GT-SERV'!U202+ACCESS!U202</f>
        <v>8280</v>
      </c>
      <c r="V202" s="106">
        <f>+'NEW CAR'!V202+'GT-SERV'!V202+ACCESS!V202</f>
        <v>1020.3</v>
      </c>
      <c r="W202" s="106">
        <f>+'NEW CAR'!W202+'GT-SERV'!W202+ACCESS!W202</f>
        <v>1020.3</v>
      </c>
      <c r="X202" s="106">
        <f>+'NEW CAR'!X202+'GT-SERV'!X202+ACCESS!X202</f>
        <v>1020.3</v>
      </c>
      <c r="Y202" s="106">
        <f>+'NEW CAR'!Y202+'GT-SERV'!Y202+ACCESS!Y202</f>
        <v>0</v>
      </c>
      <c r="Z202" s="106">
        <f>+'NEW CAR'!Z202+'GT-SERV'!Z202+ACCESS!Z202</f>
        <v>0</v>
      </c>
      <c r="AA202" s="106">
        <f t="shared" si="178"/>
        <v>21817.059999999998</v>
      </c>
      <c r="AB202" s="118"/>
      <c r="AC202" s="106">
        <f>+'NEW CAR'!AC202+'GT-SERV'!AC202+ACCESS!AC202</f>
        <v>911.66666666666663</v>
      </c>
      <c r="AD202" s="106">
        <f>+'NEW CAR'!AD202+'GT-SERV'!AD202+ACCESS!AD202</f>
        <v>911.66666666666663</v>
      </c>
      <c r="AE202" s="106">
        <f>+'NEW CAR'!AE202+'GT-SERV'!AE202+ACCESS!AE202</f>
        <v>911.66666666666663</v>
      </c>
      <c r="AF202" s="106">
        <f>+'NEW CAR'!AF202+'GT-SERV'!AF202+ACCESS!AF202</f>
        <v>911.66666666666663</v>
      </c>
      <c r="AG202" s="106">
        <f>+'NEW CAR'!AG202+'GT-SERV'!AG202+ACCESS!AG202</f>
        <v>911.66666666666663</v>
      </c>
      <c r="AH202" s="106">
        <f>+'NEW CAR'!AH202+'GT-SERV'!AH202+ACCESS!AH202</f>
        <v>911.66666666666663</v>
      </c>
      <c r="AI202" s="106">
        <f>+'NEW CAR'!AI202+'GT-SERV'!AI202+ACCESS!AI202</f>
        <v>911.66666666666663</v>
      </c>
      <c r="AJ202" s="106">
        <f>+'NEW CAR'!AJ202+'GT-SERV'!AJ202+ACCESS!AJ202</f>
        <v>911.66666666666663</v>
      </c>
      <c r="AK202" s="106">
        <f>+'NEW CAR'!AK202+'GT-SERV'!AK202+ACCESS!AK202</f>
        <v>911.66666666666663</v>
      </c>
      <c r="AL202" s="106">
        <f>+'NEW CAR'!AL202+'GT-SERV'!AL202+ACCESS!AL202</f>
        <v>911.66666666666663</v>
      </c>
      <c r="AM202" s="106">
        <f>+'NEW CAR'!AM202+'GT-SERV'!AM202+ACCESS!AM202</f>
        <v>911.66666666666663</v>
      </c>
      <c r="AN202" s="106">
        <f>+'NEW CAR'!AN202+'GT-SERV'!AN202+ACCESS!AN202</f>
        <v>911.66666666666663</v>
      </c>
      <c r="AO202" s="106">
        <f t="shared" si="179"/>
        <v>10939.999999999998</v>
      </c>
    </row>
    <row r="203" spans="1:41" outlineLevel="1">
      <c r="A203" s="106">
        <f>+'NEW CAR'!A203+'GT-SERV'!A203+ACCESS!A203</f>
        <v>4.59</v>
      </c>
      <c r="B203" s="106">
        <f>+'NEW CAR'!B203+'GT-SERV'!B203+ACCESS!B203</f>
        <v>-6.3199999999999985</v>
      </c>
      <c r="C203" s="106">
        <f>+'NEW CAR'!C203+'GT-SERV'!C203+ACCESS!C203</f>
        <v>7.82</v>
      </c>
      <c r="D203" s="106">
        <f>+'NEW CAR'!D203+'GT-SERV'!D203+ACCESS!D203</f>
        <v>6</v>
      </c>
      <c r="E203" s="106">
        <f>+'NEW CAR'!E203+'GT-SERV'!E203+ACCESS!E203</f>
        <v>12.75</v>
      </c>
      <c r="F203" s="106">
        <f>+'NEW CAR'!F203+'GT-SERV'!F203+ACCESS!F203</f>
        <v>4.82</v>
      </c>
      <c r="G203" s="106">
        <f>+'NEW CAR'!G203+'GT-SERV'!G203+ACCESS!G203</f>
        <v>3.17</v>
      </c>
      <c r="H203" s="106">
        <f>+'NEW CAR'!H203+'GT-SERV'!H203+ACCESS!H203</f>
        <v>31.61</v>
      </c>
      <c r="I203" s="106">
        <f>+'NEW CAR'!I203+'GT-SERV'!I203+ACCESS!I203</f>
        <v>19.329999999999998</v>
      </c>
      <c r="J203" s="106">
        <f>+'NEW CAR'!J203+'GT-SERV'!J203+ACCESS!J203</f>
        <v>21.55</v>
      </c>
      <c r="K203" s="106">
        <f>+'NEW CAR'!K203+'GT-SERV'!K203+ACCESS!K203</f>
        <v>13.759999999999998</v>
      </c>
      <c r="L203" s="106">
        <f>+'NEW CAR'!L203+'GT-SERV'!L203+ACCESS!L203</f>
        <v>-3.66</v>
      </c>
      <c r="M203" s="106">
        <f t="shared" si="177"/>
        <v>115.41999999999999</v>
      </c>
      <c r="N203" s="16" t="s">
        <v>234</v>
      </c>
      <c r="O203" s="106">
        <f>+'NEW CAR'!O203+'GT-SERV'!O203+ACCESS!O203</f>
        <v>-1.78</v>
      </c>
      <c r="P203" s="106">
        <f>+'NEW CAR'!P203+'GT-SERV'!P203+ACCESS!P203</f>
        <v>1.4699999999999995</v>
      </c>
      <c r="Q203" s="106">
        <f>+'NEW CAR'!Q203+'GT-SERV'!Q203+ACCESS!Q203</f>
        <v>-13.829999999999998</v>
      </c>
      <c r="R203" s="106">
        <f>+'NEW CAR'!R203+'GT-SERV'!R203+ACCESS!R203</f>
        <v>6.09</v>
      </c>
      <c r="S203" s="106">
        <f>+'NEW CAR'!S203+'GT-SERV'!S203+ACCESS!S203</f>
        <v>-1.3999999999999997</v>
      </c>
      <c r="T203" s="106">
        <f>+'NEW CAR'!T203+'GT-SERV'!T203+ACCESS!T203</f>
        <v>5.09</v>
      </c>
      <c r="U203" s="106">
        <f>+'NEW CAR'!U203+'GT-SERV'!U203+ACCESS!U203</f>
        <v>17.48</v>
      </c>
      <c r="V203" s="106">
        <f>+'NEW CAR'!V203+'GT-SERV'!V203+ACCESS!V203</f>
        <v>13.68</v>
      </c>
      <c r="W203" s="106">
        <f>+'NEW CAR'!W203+'GT-SERV'!W203+ACCESS!W203</f>
        <v>3.36</v>
      </c>
      <c r="X203" s="106">
        <f>+'NEW CAR'!X203+'GT-SERV'!X203+ACCESS!X203</f>
        <v>4.2199999999999989</v>
      </c>
      <c r="Y203" s="106">
        <f>+'NEW CAR'!Y203+'GT-SERV'!Y203+ACCESS!Y203</f>
        <v>0</v>
      </c>
      <c r="Z203" s="106">
        <f>+'NEW CAR'!Z203+'GT-SERV'!Z203+ACCESS!Z203</f>
        <v>0</v>
      </c>
      <c r="AA203" s="106">
        <f t="shared" si="178"/>
        <v>34.379999999999995</v>
      </c>
      <c r="AB203" s="118"/>
      <c r="AC203" s="106">
        <f>+'NEW CAR'!AC203+'GT-SERV'!AC203+ACCESS!AC203</f>
        <v>0</v>
      </c>
      <c r="AD203" s="106">
        <f>+'NEW CAR'!AD203+'GT-SERV'!AD203+ACCESS!AD203</f>
        <v>0</v>
      </c>
      <c r="AE203" s="106">
        <f>+'NEW CAR'!AE203+'GT-SERV'!AE203+ACCESS!AE203</f>
        <v>0</v>
      </c>
      <c r="AF203" s="106">
        <f>+'NEW CAR'!AF203+'GT-SERV'!AF203+ACCESS!AF203</f>
        <v>0</v>
      </c>
      <c r="AG203" s="106">
        <f>+'NEW CAR'!AG203+'GT-SERV'!AG203+ACCESS!AG203</f>
        <v>0</v>
      </c>
      <c r="AH203" s="106">
        <f>+'NEW CAR'!AH203+'GT-SERV'!AH203+ACCESS!AH203</f>
        <v>0</v>
      </c>
      <c r="AI203" s="106">
        <f>+'NEW CAR'!AI203+'GT-SERV'!AI203+ACCESS!AI203</f>
        <v>0</v>
      </c>
      <c r="AJ203" s="106">
        <f>+'NEW CAR'!AJ203+'GT-SERV'!AJ203+ACCESS!AJ203</f>
        <v>0</v>
      </c>
      <c r="AK203" s="106">
        <f>+'NEW CAR'!AK203+'GT-SERV'!AK203+ACCESS!AK203</f>
        <v>0</v>
      </c>
      <c r="AL203" s="106">
        <f>+'NEW CAR'!AL203+'GT-SERV'!AL203+ACCESS!AL203</f>
        <v>0</v>
      </c>
      <c r="AM203" s="106">
        <f>+'NEW CAR'!AM203+'GT-SERV'!AM203+ACCESS!AM203</f>
        <v>0</v>
      </c>
      <c r="AN203" s="106">
        <f>+'NEW CAR'!AN203+'GT-SERV'!AN203+ACCESS!AN203</f>
        <v>0</v>
      </c>
      <c r="AO203" s="106">
        <f t="shared" si="179"/>
        <v>0</v>
      </c>
    </row>
    <row r="204" spans="1:41" outlineLevel="1">
      <c r="A204" s="106">
        <f>+'NEW CAR'!A204+'GT-SERV'!A204+ACCESS!A204</f>
        <v>127.33</v>
      </c>
      <c r="B204" s="106">
        <f>+'NEW CAR'!B204+'GT-SERV'!B204+ACCESS!B204</f>
        <v>1174.54</v>
      </c>
      <c r="C204" s="106">
        <f>+'NEW CAR'!C204+'GT-SERV'!C204+ACCESS!C204</f>
        <v>941.59</v>
      </c>
      <c r="D204" s="106">
        <f>+'NEW CAR'!D204+'GT-SERV'!D204+ACCESS!D204</f>
        <v>44</v>
      </c>
      <c r="E204" s="106">
        <f>+'NEW CAR'!E204+'GT-SERV'!E204+ACCESS!E204</f>
        <v>45.91</v>
      </c>
      <c r="F204" s="106">
        <f>+'NEW CAR'!F204+'GT-SERV'!F204+ACCESS!F204</f>
        <v>182.97000000000003</v>
      </c>
      <c r="G204" s="106">
        <f>+'NEW CAR'!G204+'GT-SERV'!G204+ACCESS!G204</f>
        <v>173.95999999999998</v>
      </c>
      <c r="H204" s="106">
        <f>+'NEW CAR'!H204+'GT-SERV'!H204+ACCESS!H204</f>
        <v>-3.11</v>
      </c>
      <c r="I204" s="106">
        <f>+'NEW CAR'!I204+'GT-SERV'!I204+ACCESS!I204</f>
        <v>-108.17</v>
      </c>
      <c r="J204" s="106">
        <f>+'NEW CAR'!J204+'GT-SERV'!J204+ACCESS!J204</f>
        <v>167.91</v>
      </c>
      <c r="K204" s="106">
        <f>+'NEW CAR'!K204+'GT-SERV'!K204+ACCESS!K204</f>
        <v>101.05</v>
      </c>
      <c r="L204" s="106">
        <f>+'NEW CAR'!L204+'GT-SERV'!L204+ACCESS!L204</f>
        <v>324.77</v>
      </c>
      <c r="M204" s="106">
        <f t="shared" si="177"/>
        <v>3172.75</v>
      </c>
      <c r="N204" s="16" t="s">
        <v>171</v>
      </c>
      <c r="O204" s="106">
        <f>+'NEW CAR'!O204+'GT-SERV'!O204+ACCESS!O204</f>
        <v>-17.71</v>
      </c>
      <c r="P204" s="106">
        <f>+'NEW CAR'!P204+'GT-SERV'!P204+ACCESS!P204</f>
        <v>-56.86</v>
      </c>
      <c r="Q204" s="106">
        <f>+'NEW CAR'!Q204+'GT-SERV'!Q204+ACCESS!Q204</f>
        <v>-403.65</v>
      </c>
      <c r="R204" s="106">
        <f>+'NEW CAR'!R204+'GT-SERV'!R204+ACCESS!R204</f>
        <v>-42.28</v>
      </c>
      <c r="S204" s="106">
        <f>+'NEW CAR'!S204+'GT-SERV'!S204+ACCESS!S204</f>
        <v>246.08300000000003</v>
      </c>
      <c r="T204" s="106">
        <f>+'NEW CAR'!T204+'GT-SERV'!T204+ACCESS!T204</f>
        <v>-114.53</v>
      </c>
      <c r="U204" s="106">
        <f>+'NEW CAR'!U204+'GT-SERV'!U204+ACCESS!U204</f>
        <v>288.29000000000002</v>
      </c>
      <c r="V204" s="106">
        <f>+'NEW CAR'!V204+'GT-SERV'!V204+ACCESS!V204</f>
        <v>-28.610000000000003</v>
      </c>
      <c r="W204" s="106">
        <f>+'NEW CAR'!W204+'GT-SERV'!W204+ACCESS!W204</f>
        <v>-66</v>
      </c>
      <c r="X204" s="106">
        <f>+'NEW CAR'!X204+'GT-SERV'!X204+ACCESS!X204</f>
        <v>-79.680000000000007</v>
      </c>
      <c r="Y204" s="106">
        <f>+'NEW CAR'!Y204+'GT-SERV'!Y204+ACCESS!Y204</f>
        <v>0</v>
      </c>
      <c r="Z204" s="106">
        <f>+'NEW CAR'!Z204+'GT-SERV'!Z204+ACCESS!Z204</f>
        <v>0</v>
      </c>
      <c r="AA204" s="106">
        <f t="shared" si="178"/>
        <v>-274.947</v>
      </c>
      <c r="AB204" s="118"/>
      <c r="AC204" s="106">
        <f>+'NEW CAR'!AC204+'GT-SERV'!AC204+ACCESS!AC204</f>
        <v>0</v>
      </c>
      <c r="AD204" s="106">
        <f>+'NEW CAR'!AD204+'GT-SERV'!AD204+ACCESS!AD204</f>
        <v>0</v>
      </c>
      <c r="AE204" s="106">
        <f>+'NEW CAR'!AE204+'GT-SERV'!AE204+ACCESS!AE204</f>
        <v>0</v>
      </c>
      <c r="AF204" s="106">
        <f>+'NEW CAR'!AF204+'GT-SERV'!AF204+ACCESS!AF204</f>
        <v>0</v>
      </c>
      <c r="AG204" s="106">
        <f>+'NEW CAR'!AG204+'GT-SERV'!AG204+ACCESS!AG204</f>
        <v>0</v>
      </c>
      <c r="AH204" s="106">
        <f>+'NEW CAR'!AH204+'GT-SERV'!AH204+ACCESS!AH204</f>
        <v>0</v>
      </c>
      <c r="AI204" s="106">
        <f>+'NEW CAR'!AI204+'GT-SERV'!AI204+ACCESS!AI204</f>
        <v>0</v>
      </c>
      <c r="AJ204" s="106">
        <f>+'NEW CAR'!AJ204+'GT-SERV'!AJ204+ACCESS!AJ204</f>
        <v>0</v>
      </c>
      <c r="AK204" s="106">
        <f>+'NEW CAR'!AK204+'GT-SERV'!AK204+ACCESS!AK204</f>
        <v>0</v>
      </c>
      <c r="AL204" s="106">
        <f>+'NEW CAR'!AL204+'GT-SERV'!AL204+ACCESS!AL204</f>
        <v>0</v>
      </c>
      <c r="AM204" s="106">
        <f>+'NEW CAR'!AM204+'GT-SERV'!AM204+ACCESS!AM204</f>
        <v>0</v>
      </c>
      <c r="AN204" s="106">
        <f>+'NEW CAR'!AN204+'GT-SERV'!AN204+ACCESS!AN204</f>
        <v>0</v>
      </c>
      <c r="AO204" s="106">
        <f t="shared" si="179"/>
        <v>0</v>
      </c>
    </row>
    <row r="205" spans="1:41" outlineLevel="1">
      <c r="A205" s="58">
        <f t="shared" ref="A205:M205" si="180">+SUM(A206:A208)</f>
        <v>206176.55999999997</v>
      </c>
      <c r="B205" s="58">
        <f t="shared" si="180"/>
        <v>217879.62</v>
      </c>
      <c r="C205" s="58">
        <f t="shared" si="180"/>
        <v>231619.25</v>
      </c>
      <c r="D205" s="58">
        <f t="shared" si="180"/>
        <v>220281.25</v>
      </c>
      <c r="E205" s="58">
        <f t="shared" si="180"/>
        <v>220281.25</v>
      </c>
      <c r="F205" s="58">
        <f t="shared" si="180"/>
        <v>220250.34999999998</v>
      </c>
      <c r="G205" s="58">
        <f t="shared" si="180"/>
        <v>216808.83332999999</v>
      </c>
      <c r="H205" s="58">
        <f t="shared" si="180"/>
        <v>215678.83307692304</v>
      </c>
      <c r="I205" s="58">
        <f t="shared" si="180"/>
        <v>222054.32333333328</v>
      </c>
      <c r="J205" s="58">
        <f t="shared" si="180"/>
        <v>240648.33000000002</v>
      </c>
      <c r="K205" s="58">
        <f t="shared" si="180"/>
        <v>279183.44</v>
      </c>
      <c r="L205" s="58">
        <f t="shared" si="180"/>
        <v>274607.33</v>
      </c>
      <c r="M205" s="58">
        <f t="shared" si="180"/>
        <v>2765469.3697402561</v>
      </c>
      <c r="N205" s="20" t="s">
        <v>172</v>
      </c>
      <c r="O205" s="58">
        <f t="shared" ref="O205:AA205" si="181">+SUM(O206:O208)</f>
        <v>194188</v>
      </c>
      <c r="P205" s="58">
        <f t="shared" si="181"/>
        <v>251020.33000000002</v>
      </c>
      <c r="Q205" s="58">
        <f t="shared" si="181"/>
        <v>258907.62</v>
      </c>
      <c r="R205" s="58">
        <f t="shared" si="181"/>
        <v>310961.75</v>
      </c>
      <c r="S205" s="58">
        <f t="shared" si="181"/>
        <v>329493.37</v>
      </c>
      <c r="T205" s="58">
        <f t="shared" si="181"/>
        <v>347982.84</v>
      </c>
      <c r="U205" s="58">
        <f t="shared" si="181"/>
        <v>366336.44505494536</v>
      </c>
      <c r="V205" s="58">
        <f t="shared" si="181"/>
        <v>364431.76</v>
      </c>
      <c r="W205" s="58">
        <f t="shared" si="181"/>
        <v>392268.35333333333</v>
      </c>
      <c r="X205" s="58">
        <f t="shared" si="181"/>
        <v>397671</v>
      </c>
      <c r="Y205" s="58">
        <f t="shared" si="181"/>
        <v>0</v>
      </c>
      <c r="Z205" s="58">
        <f t="shared" si="181"/>
        <v>0</v>
      </c>
      <c r="AA205" s="58">
        <f t="shared" si="181"/>
        <v>3213261.468388279</v>
      </c>
      <c r="AB205" s="118"/>
      <c r="AC205" s="58">
        <f t="shared" ref="AC205:AO205" si="182">+SUM(AC206:AC208)</f>
        <v>241951.8776533333</v>
      </c>
      <c r="AD205" s="58">
        <f t="shared" si="182"/>
        <v>241951.87765333327</v>
      </c>
      <c r="AE205" s="58">
        <f t="shared" si="182"/>
        <v>241951.87765333327</v>
      </c>
      <c r="AF205" s="58">
        <f t="shared" si="182"/>
        <v>241951.87765333327</v>
      </c>
      <c r="AG205" s="58">
        <f t="shared" si="182"/>
        <v>241951.87765333327</v>
      </c>
      <c r="AH205" s="58">
        <f t="shared" si="182"/>
        <v>241941.33598666661</v>
      </c>
      <c r="AI205" s="58">
        <f t="shared" si="182"/>
        <v>241543.61098666661</v>
      </c>
      <c r="AJ205" s="58">
        <f t="shared" si="182"/>
        <v>241543.61098666661</v>
      </c>
      <c r="AK205" s="58">
        <f t="shared" si="182"/>
        <v>241543.61098666661</v>
      </c>
      <c r="AL205" s="58">
        <f t="shared" si="182"/>
        <v>241321.2476533333</v>
      </c>
      <c r="AM205" s="58">
        <f t="shared" si="182"/>
        <v>241321.2476533333</v>
      </c>
      <c r="AN205" s="58">
        <f t="shared" si="182"/>
        <v>241321.2476533333</v>
      </c>
      <c r="AO205" s="58">
        <f t="shared" si="182"/>
        <v>2900295.3001733324</v>
      </c>
    </row>
    <row r="206" spans="1:41" outlineLevel="1">
      <c r="A206" s="106">
        <f>+'NEW CAR'!A206+'GT-SERV'!A206+ACCESS!A206</f>
        <v>74957.75</v>
      </c>
      <c r="B206" s="106">
        <f>+'NEW CAR'!B206+'GT-SERV'!B206+ACCESS!B206</f>
        <v>68348.62</v>
      </c>
      <c r="C206" s="106">
        <f>+'NEW CAR'!C206+'GT-SERV'!C206+ACCESS!C206</f>
        <v>100791</v>
      </c>
      <c r="D206" s="106">
        <f>+'NEW CAR'!D206+'GT-SERV'!D206+ACCESS!D206</f>
        <v>100791</v>
      </c>
      <c r="E206" s="106">
        <f>+'NEW CAR'!E206+'GT-SERV'!E206+ACCESS!E206</f>
        <v>100791</v>
      </c>
      <c r="F206" s="106">
        <f>+'NEW CAR'!F206+'GT-SERV'!F206+ACCESS!F206</f>
        <v>100791</v>
      </c>
      <c r="G206" s="106">
        <f>+'NEW CAR'!G206+'GT-SERV'!G206+ACCESS!G206</f>
        <v>100791</v>
      </c>
      <c r="H206" s="106">
        <f>+'NEW CAR'!H206+'GT-SERV'!H206+ACCESS!H206</f>
        <v>102373</v>
      </c>
      <c r="I206" s="106">
        <f>+'NEW CAR'!I206+'GT-SERV'!I206+ACCESS!I206</f>
        <v>106067.66</v>
      </c>
      <c r="J206" s="106">
        <f>+'NEW CAR'!J206+'GT-SERV'!J206+ACCESS!J206</f>
        <v>139575</v>
      </c>
      <c r="K206" s="106">
        <f>+'NEW CAR'!K206+'GT-SERV'!K206+ACCESS!K206</f>
        <v>194188.15999999997</v>
      </c>
      <c r="L206" s="106">
        <f>+'NEW CAR'!L206+'GT-SERV'!L206+ACCESS!L206</f>
        <v>194188</v>
      </c>
      <c r="M206" s="106">
        <f t="shared" ref="M206:M208" si="183">+SUM(A206:L206)</f>
        <v>1383653.19</v>
      </c>
      <c r="N206" s="16" t="s">
        <v>173</v>
      </c>
      <c r="O206" s="106">
        <f>+'NEW CAR'!O206+'GT-SERV'!O206+ACCESS!O206</f>
        <v>194188</v>
      </c>
      <c r="P206" s="106">
        <f>+'NEW CAR'!P206+'GT-SERV'!P206+ACCESS!P206</f>
        <v>193901</v>
      </c>
      <c r="Q206" s="106">
        <f>+'NEW CAR'!Q206+'GT-SERV'!Q206+ACCESS!Q206</f>
        <v>148022.09</v>
      </c>
      <c r="R206" s="106">
        <f>+'NEW CAR'!R206+'GT-SERV'!R206+ACCESS!R206</f>
        <v>198628.26</v>
      </c>
      <c r="S206" s="106">
        <f>+'NEW CAR'!S206+'GT-SERV'!S206+ACCESS!S206</f>
        <v>198628.26</v>
      </c>
      <c r="T206" s="106">
        <f>+'NEW CAR'!T206+'GT-SERV'!T206+ACCESS!T206</f>
        <v>198628.26</v>
      </c>
      <c r="U206" s="106">
        <f>+'NEW CAR'!U206+'GT-SERV'!U206+ACCESS!U206</f>
        <v>148022.0833333334</v>
      </c>
      <c r="V206" s="106">
        <f>+'NEW CAR'!V206+'GT-SERV'!V206+ACCESS!V206</f>
        <v>163934</v>
      </c>
      <c r="W206" s="106">
        <f>+'NEW CAR'!W206+'GT-SERV'!W206+ACCESS!W206</f>
        <v>181217</v>
      </c>
      <c r="X206" s="106">
        <f>+'NEW CAR'!X206+'GT-SERV'!X206+ACCESS!X206</f>
        <v>180400</v>
      </c>
      <c r="Y206" s="106">
        <f>+'NEW CAR'!Y206+'GT-SERV'!Y206+ACCESS!Y206</f>
        <v>0</v>
      </c>
      <c r="Z206" s="106">
        <f>+'NEW CAR'!Z206+'GT-SERV'!Z206+ACCESS!Z206</f>
        <v>0</v>
      </c>
      <c r="AA206" s="106">
        <f t="shared" ref="AA206:AA208" si="184">+SUM(O206:Z206)</f>
        <v>1805568.9533333336</v>
      </c>
      <c r="AB206" s="118"/>
      <c r="AC206" s="106">
        <f>+'NEW CAR'!AC206+'GT-SERV'!AC206+ACCESS!AC206</f>
        <v>113539.8590454545</v>
      </c>
      <c r="AD206" s="106">
        <f>+'NEW CAR'!AD206+'GT-SERV'!AD206+ACCESS!AD206</f>
        <v>113539.8590454545</v>
      </c>
      <c r="AE206" s="106">
        <f>+'NEW CAR'!AE206+'GT-SERV'!AE206+ACCESS!AE206</f>
        <v>113539.8590454545</v>
      </c>
      <c r="AF206" s="106">
        <f>+'NEW CAR'!AF206+'GT-SERV'!AF206+ACCESS!AF206</f>
        <v>113539.8590454545</v>
      </c>
      <c r="AG206" s="106">
        <f>+'NEW CAR'!AG206+'GT-SERV'!AG206+ACCESS!AG206</f>
        <v>113539.8590454545</v>
      </c>
      <c r="AH206" s="106">
        <f>+'NEW CAR'!AH206+'GT-SERV'!AH206+ACCESS!AH206</f>
        <v>113539.8590454545</v>
      </c>
      <c r="AI206" s="106">
        <f>+'NEW CAR'!AI206+'GT-SERV'!AI206+ACCESS!AI206</f>
        <v>113539.8590454545</v>
      </c>
      <c r="AJ206" s="106">
        <f>+'NEW CAR'!AJ206+'GT-SERV'!AJ206+ACCESS!AJ206</f>
        <v>113539.8590454545</v>
      </c>
      <c r="AK206" s="106">
        <f>+'NEW CAR'!AK206+'GT-SERV'!AK206+ACCESS!AK206</f>
        <v>113539.8590454545</v>
      </c>
      <c r="AL206" s="106">
        <f>+'NEW CAR'!AL206+'GT-SERV'!AL206+ACCESS!AL206</f>
        <v>113539.8590454545</v>
      </c>
      <c r="AM206" s="106">
        <f>+'NEW CAR'!AM206+'GT-SERV'!AM206+ACCESS!AM206</f>
        <v>113539.8590454545</v>
      </c>
      <c r="AN206" s="106">
        <f>+'NEW CAR'!AN206+'GT-SERV'!AN206+ACCESS!AN206</f>
        <v>113539.8590454545</v>
      </c>
      <c r="AO206" s="106">
        <f t="shared" ref="AO206:AO208" si="185">+SUM(AC206:AN206)</f>
        <v>1362478.3085454542</v>
      </c>
    </row>
    <row r="207" spans="1:41" outlineLevel="1">
      <c r="A207" s="106">
        <f>+'NEW CAR'!A207+'GT-SERV'!A207+ACCESS!A207</f>
        <v>35909.21</v>
      </c>
      <c r="B207" s="106">
        <f>+'NEW CAR'!B207+'GT-SERV'!B207+ACCESS!B207</f>
        <v>51696</v>
      </c>
      <c r="C207" s="106">
        <f>+'NEW CAR'!C207+'GT-SERV'!C207+ACCESS!C207</f>
        <v>46465</v>
      </c>
      <c r="D207" s="106">
        <f>+'NEW CAR'!D207+'GT-SERV'!D207+ACCESS!D207</f>
        <v>46465</v>
      </c>
      <c r="E207" s="106">
        <f>+'NEW CAR'!E207+'GT-SERV'!E207+ACCESS!E207</f>
        <v>46465</v>
      </c>
      <c r="F207" s="106">
        <f>+'NEW CAR'!F207+'GT-SERV'!F207+ACCESS!F207</f>
        <v>46465</v>
      </c>
      <c r="G207" s="106">
        <f>+'NEW CAR'!G207+'GT-SERV'!G207+ACCESS!G207</f>
        <v>46465</v>
      </c>
      <c r="H207" s="106">
        <f>+'NEW CAR'!H207+'GT-SERV'!H207+ACCESS!H207</f>
        <v>46465</v>
      </c>
      <c r="I207" s="106">
        <f>+'NEW CAR'!I207+'GT-SERV'!I207+ACCESS!I207</f>
        <v>46465.079999999994</v>
      </c>
      <c r="J207" s="106">
        <f>+'NEW CAR'!J207+'GT-SERV'!J207+ACCESS!J207</f>
        <v>31612</v>
      </c>
      <c r="K207" s="106">
        <f>+'NEW CAR'!K207+'GT-SERV'!K207+ACCESS!K207</f>
        <v>25511.040000000001</v>
      </c>
      <c r="L207" s="106">
        <f>+'NEW CAR'!L207+'GT-SERV'!L207+ACCESS!L207</f>
        <v>21447</v>
      </c>
      <c r="M207" s="106">
        <f t="shared" si="183"/>
        <v>491430.32999999996</v>
      </c>
      <c r="N207" s="16" t="s">
        <v>174</v>
      </c>
      <c r="O207" s="106">
        <f>+'NEW CAR'!O207+'GT-SERV'!O207+ACCESS!O207</f>
        <v>0</v>
      </c>
      <c r="P207" s="106">
        <f>+'NEW CAR'!P207+'GT-SERV'!P207+ACCESS!P207</f>
        <v>17149</v>
      </c>
      <c r="Q207" s="106">
        <f>+'NEW CAR'!Q207+'GT-SERV'!Q207+ACCESS!Q207</f>
        <v>67754.92</v>
      </c>
      <c r="R207" s="106">
        <f>+'NEW CAR'!R207+'GT-SERV'!R207+ACCESS!R207</f>
        <v>17148.75</v>
      </c>
      <c r="S207" s="106">
        <f>+'NEW CAR'!S207+'GT-SERV'!S207+ACCESS!S207</f>
        <v>17148.73</v>
      </c>
      <c r="T207" s="106">
        <f>+'NEW CAR'!T207+'GT-SERV'!T207+ACCESS!T207</f>
        <v>17148.75</v>
      </c>
      <c r="U207" s="106">
        <f>+'NEW CAR'!U207+'GT-SERV'!U207+ACCESS!U207</f>
        <v>67754.916666666701</v>
      </c>
      <c r="V207" s="106">
        <f>+'NEW CAR'!V207+'GT-SERV'!V207+ACCESS!V207</f>
        <v>58778</v>
      </c>
      <c r="W207" s="106">
        <f>+'NEW CAR'!W207+'GT-SERV'!W207+ACCESS!W207</f>
        <v>58778</v>
      </c>
      <c r="X207" s="106">
        <f>+'NEW CAR'!X207+'GT-SERV'!X207+ACCESS!X207</f>
        <v>75418</v>
      </c>
      <c r="Y207" s="106">
        <f>+'NEW CAR'!Y207+'GT-SERV'!Y207+ACCESS!Y207</f>
        <v>0</v>
      </c>
      <c r="Z207" s="106">
        <f>+'NEW CAR'!Z207+'GT-SERV'!Z207+ACCESS!Z207</f>
        <v>0</v>
      </c>
      <c r="AA207" s="106">
        <f t="shared" si="184"/>
        <v>397079.06666666671</v>
      </c>
      <c r="AB207" s="118"/>
      <c r="AC207" s="106">
        <f>+'NEW CAR'!AC207+'GT-SERV'!AC207+ACCESS!AC207</f>
        <v>62184.577774545462</v>
      </c>
      <c r="AD207" s="106">
        <f>+'NEW CAR'!AD207+'GT-SERV'!AD207+ACCESS!AD207</f>
        <v>62184.577774545454</v>
      </c>
      <c r="AE207" s="106">
        <f>+'NEW CAR'!AE207+'GT-SERV'!AE207+ACCESS!AE207</f>
        <v>62184.577774545454</v>
      </c>
      <c r="AF207" s="106">
        <f>+'NEW CAR'!AF207+'GT-SERV'!AF207+ACCESS!AF207</f>
        <v>62184.577774545454</v>
      </c>
      <c r="AG207" s="106">
        <f>+'NEW CAR'!AG207+'GT-SERV'!AG207+ACCESS!AG207</f>
        <v>62184.577774545454</v>
      </c>
      <c r="AH207" s="106">
        <f>+'NEW CAR'!AH207+'GT-SERV'!AH207+ACCESS!AH207</f>
        <v>62184.577774545454</v>
      </c>
      <c r="AI207" s="106">
        <f>+'NEW CAR'!AI207+'GT-SERV'!AI207+ACCESS!AI207</f>
        <v>62184.577774545454</v>
      </c>
      <c r="AJ207" s="106">
        <f>+'NEW CAR'!AJ207+'GT-SERV'!AJ207+ACCESS!AJ207</f>
        <v>62184.577774545454</v>
      </c>
      <c r="AK207" s="106">
        <f>+'NEW CAR'!AK207+'GT-SERV'!AK207+ACCESS!AK207</f>
        <v>62184.577774545454</v>
      </c>
      <c r="AL207" s="106">
        <f>+'NEW CAR'!AL207+'GT-SERV'!AL207+ACCESS!AL207</f>
        <v>62184.577774545454</v>
      </c>
      <c r="AM207" s="106">
        <f>+'NEW CAR'!AM207+'GT-SERV'!AM207+ACCESS!AM207</f>
        <v>62184.577774545454</v>
      </c>
      <c r="AN207" s="106">
        <f>+'NEW CAR'!AN207+'GT-SERV'!AN207+ACCESS!AN207</f>
        <v>62184.577774545454</v>
      </c>
      <c r="AO207" s="106">
        <f t="shared" si="185"/>
        <v>746214.93329454539</v>
      </c>
    </row>
    <row r="208" spans="1:41" outlineLevel="1">
      <c r="A208" s="106">
        <f>+'NEW CAR'!A208+'GT-SERV'!A208+ACCESS!A208</f>
        <v>95309.599999999977</v>
      </c>
      <c r="B208" s="106">
        <f>+'NEW CAR'!B208+'GT-SERV'!B208+ACCESS!B208</f>
        <v>97834.999999999985</v>
      </c>
      <c r="C208" s="106">
        <f>+'NEW CAR'!C208+'GT-SERV'!C208+ACCESS!C208</f>
        <v>84363.25</v>
      </c>
      <c r="D208" s="106">
        <f>+'NEW CAR'!D208+'GT-SERV'!D208+ACCESS!D208</f>
        <v>73025.250000000015</v>
      </c>
      <c r="E208" s="106">
        <f>+'NEW CAR'!E208+'GT-SERV'!E208+ACCESS!E208</f>
        <v>73025.25</v>
      </c>
      <c r="F208" s="106">
        <f>+'NEW CAR'!F208+'GT-SERV'!F208+ACCESS!F208</f>
        <v>72994.349999999991</v>
      </c>
      <c r="G208" s="106">
        <f>+'NEW CAR'!G208+'GT-SERV'!G208+ACCESS!G208</f>
        <v>69552.833329999994</v>
      </c>
      <c r="H208" s="106">
        <f>+'NEW CAR'!H208+'GT-SERV'!H208+ACCESS!H208</f>
        <v>66840.833076923038</v>
      </c>
      <c r="I208" s="106">
        <f>+'NEW CAR'!I208+'GT-SERV'!I208+ACCESS!I208</f>
        <v>69521.583333333285</v>
      </c>
      <c r="J208" s="106">
        <f>+'NEW CAR'!J208+'GT-SERV'!J208+ACCESS!J208</f>
        <v>69461.33</v>
      </c>
      <c r="K208" s="106">
        <f>+'NEW CAR'!K208+'GT-SERV'!K208+ACCESS!K208</f>
        <v>59484.240000000005</v>
      </c>
      <c r="L208" s="106">
        <f>+'NEW CAR'!L208+'GT-SERV'!L208+ACCESS!L208</f>
        <v>58972.33</v>
      </c>
      <c r="M208" s="106">
        <f t="shared" si="183"/>
        <v>890385.84974025621</v>
      </c>
      <c r="N208" s="16" t="s">
        <v>235</v>
      </c>
      <c r="O208" s="106">
        <f>+'NEW CAR'!O208+'GT-SERV'!O208+ACCESS!O208</f>
        <v>0</v>
      </c>
      <c r="P208" s="106">
        <f>+'NEW CAR'!P208+'GT-SERV'!P208+ACCESS!P208</f>
        <v>39970.33</v>
      </c>
      <c r="Q208" s="106">
        <f>+'NEW CAR'!Q208+'GT-SERV'!Q208+ACCESS!Q208</f>
        <v>43130.61</v>
      </c>
      <c r="R208" s="106">
        <f>+'NEW CAR'!R208+'GT-SERV'!R208+ACCESS!R208</f>
        <v>95184.739999999991</v>
      </c>
      <c r="S208" s="106">
        <f>+'NEW CAR'!S208+'GT-SERV'!S208+ACCESS!S208</f>
        <v>113716.38</v>
      </c>
      <c r="T208" s="106">
        <f>+'NEW CAR'!T208+'GT-SERV'!T208+ACCESS!T208</f>
        <v>132205.83000000002</v>
      </c>
      <c r="U208" s="106">
        <f>+'NEW CAR'!U208+'GT-SERV'!U208+ACCESS!U208</f>
        <v>150559.44505494524</v>
      </c>
      <c r="V208" s="106">
        <f>+'NEW CAR'!V208+'GT-SERV'!V208+ACCESS!V208</f>
        <v>141719.76</v>
      </c>
      <c r="W208" s="106">
        <f>+'NEW CAR'!W208+'GT-SERV'!W208+ACCESS!W208</f>
        <v>152273.35333333333</v>
      </c>
      <c r="X208" s="106">
        <f>+'NEW CAR'!X208+'GT-SERV'!X208+ACCESS!X208</f>
        <v>141853.00000000003</v>
      </c>
      <c r="Y208" s="106">
        <f>+'NEW CAR'!Y208+'GT-SERV'!Y208+ACCESS!Y208</f>
        <v>0</v>
      </c>
      <c r="Z208" s="106">
        <f>+'NEW CAR'!Z208+'GT-SERV'!Z208+ACCESS!Z208</f>
        <v>0</v>
      </c>
      <c r="AA208" s="106">
        <f t="shared" si="184"/>
        <v>1010613.4483882785</v>
      </c>
      <c r="AB208" s="118"/>
      <c r="AC208" s="106">
        <f>+'NEW CAR'!AC208+'GT-SERV'!AC208+ACCESS!AC208</f>
        <v>66227.440833333327</v>
      </c>
      <c r="AD208" s="106">
        <f>+'NEW CAR'!AD208+'GT-SERV'!AD208+ACCESS!AD208</f>
        <v>66227.440833333327</v>
      </c>
      <c r="AE208" s="106">
        <f>+'NEW CAR'!AE208+'GT-SERV'!AE208+ACCESS!AE208</f>
        <v>66227.440833333327</v>
      </c>
      <c r="AF208" s="106">
        <f>+'NEW CAR'!AF208+'GT-SERV'!AF208+ACCESS!AF208</f>
        <v>66227.440833333327</v>
      </c>
      <c r="AG208" s="106">
        <f>+'NEW CAR'!AG208+'GT-SERV'!AG208+ACCESS!AG208</f>
        <v>66227.440833333327</v>
      </c>
      <c r="AH208" s="106">
        <f>+'NEW CAR'!AH208+'GT-SERV'!AH208+ACCESS!AH208</f>
        <v>66216.899166666655</v>
      </c>
      <c r="AI208" s="106">
        <f>+'NEW CAR'!AI208+'GT-SERV'!AI208+ACCESS!AI208</f>
        <v>65819.174166666664</v>
      </c>
      <c r="AJ208" s="106">
        <f>+'NEW CAR'!AJ208+'GT-SERV'!AJ208+ACCESS!AJ208</f>
        <v>65819.174166666664</v>
      </c>
      <c r="AK208" s="106">
        <f>+'NEW CAR'!AK208+'GT-SERV'!AK208+ACCESS!AK208</f>
        <v>65819.174166666664</v>
      </c>
      <c r="AL208" s="106">
        <f>+'NEW CAR'!AL208+'GT-SERV'!AL208+ACCESS!AL208</f>
        <v>65596.810833333337</v>
      </c>
      <c r="AM208" s="106">
        <f>+'NEW CAR'!AM208+'GT-SERV'!AM208+ACCESS!AM208</f>
        <v>65596.810833333337</v>
      </c>
      <c r="AN208" s="106">
        <f>+'NEW CAR'!AN208+'GT-SERV'!AN208+ACCESS!AN208</f>
        <v>65596.810833333337</v>
      </c>
      <c r="AO208" s="106">
        <f t="shared" si="185"/>
        <v>791602.05833333323</v>
      </c>
    </row>
    <row r="209" spans="1:41" outlineLevel="1">
      <c r="A209" s="58">
        <f t="shared" ref="A209:M209" si="186">+SUM(A210:A213)</f>
        <v>812172</v>
      </c>
      <c r="B209" s="58">
        <f t="shared" si="186"/>
        <v>812172</v>
      </c>
      <c r="C209" s="58">
        <f t="shared" si="186"/>
        <v>812172</v>
      </c>
      <c r="D209" s="58">
        <f t="shared" si="186"/>
        <v>812172</v>
      </c>
      <c r="E209" s="58">
        <f t="shared" si="186"/>
        <v>812172</v>
      </c>
      <c r="F209" s="58">
        <f t="shared" si="186"/>
        <v>826946.55</v>
      </c>
      <c r="G209" s="58">
        <f t="shared" si="186"/>
        <v>826946</v>
      </c>
      <c r="H209" s="58">
        <f t="shared" si="186"/>
        <v>826946</v>
      </c>
      <c r="I209" s="58">
        <f t="shared" si="186"/>
        <v>849230</v>
      </c>
      <c r="J209" s="58">
        <f t="shared" si="186"/>
        <v>838088</v>
      </c>
      <c r="K209" s="58">
        <f t="shared" si="186"/>
        <v>838088</v>
      </c>
      <c r="L209" s="58">
        <f t="shared" si="186"/>
        <v>838088</v>
      </c>
      <c r="M209" s="58">
        <f t="shared" si="186"/>
        <v>9905192.5500000007</v>
      </c>
      <c r="N209" s="20" t="s">
        <v>175</v>
      </c>
      <c r="O209" s="58">
        <f t="shared" ref="O209:AA209" si="187">+SUM(O210:O213)</f>
        <v>1224700.3125</v>
      </c>
      <c r="P209" s="58">
        <f t="shared" si="187"/>
        <v>1371274.3125</v>
      </c>
      <c r="Q209" s="58">
        <f t="shared" si="187"/>
        <v>1297987.31</v>
      </c>
      <c r="R209" s="58">
        <f t="shared" si="187"/>
        <v>1297987.31</v>
      </c>
      <c r="S209" s="58">
        <f t="shared" si="187"/>
        <v>1297987.31</v>
      </c>
      <c r="T209" s="58">
        <f t="shared" si="187"/>
        <v>1297987.31</v>
      </c>
      <c r="U209" s="58">
        <f t="shared" si="187"/>
        <v>1297987.31</v>
      </c>
      <c r="V209" s="58">
        <f t="shared" si="187"/>
        <v>1297987.31</v>
      </c>
      <c r="W209" s="58">
        <f t="shared" si="187"/>
        <v>1334506.31</v>
      </c>
      <c r="X209" s="58">
        <f t="shared" si="187"/>
        <v>1329008.859375</v>
      </c>
      <c r="Y209" s="58">
        <f t="shared" si="187"/>
        <v>0</v>
      </c>
      <c r="Z209" s="58">
        <f t="shared" si="187"/>
        <v>0</v>
      </c>
      <c r="AA209" s="58">
        <f t="shared" si="187"/>
        <v>13047413.654375</v>
      </c>
      <c r="AB209" s="118"/>
      <c r="AC209" s="58">
        <f t="shared" ref="AC209:AO209" si="188">+SUM(AC210:AC213)</f>
        <v>1302987.0473062501</v>
      </c>
      <c r="AD209" s="58">
        <f t="shared" si="188"/>
        <v>1302987.0473062498</v>
      </c>
      <c r="AE209" s="58">
        <f t="shared" si="188"/>
        <v>1302987.0473062498</v>
      </c>
      <c r="AF209" s="58">
        <f t="shared" si="188"/>
        <v>1302987.0473062498</v>
      </c>
      <c r="AG209" s="58">
        <f t="shared" si="188"/>
        <v>1302987.0473062498</v>
      </c>
      <c r="AH209" s="58">
        <f t="shared" si="188"/>
        <v>1318500.3104737499</v>
      </c>
      <c r="AI209" s="58">
        <f t="shared" si="188"/>
        <v>1318500.3104737499</v>
      </c>
      <c r="AJ209" s="58">
        <f t="shared" si="188"/>
        <v>1318500.3104737499</v>
      </c>
      <c r="AK209" s="58">
        <f t="shared" si="188"/>
        <v>1330199.55813</v>
      </c>
      <c r="AL209" s="58">
        <f t="shared" si="188"/>
        <v>1343317.105005</v>
      </c>
      <c r="AM209" s="58">
        <f t="shared" si="188"/>
        <v>1343317.105005</v>
      </c>
      <c r="AN209" s="58">
        <f t="shared" si="188"/>
        <v>1343317.105005</v>
      </c>
      <c r="AO209" s="58">
        <f t="shared" si="188"/>
        <v>15830587.041097501</v>
      </c>
    </row>
    <row r="210" spans="1:41" outlineLevel="1">
      <c r="A210" s="106">
        <f>+'NEW CAR'!A210+'GT-SERV'!A210+ACCESS!A210</f>
        <v>100000</v>
      </c>
      <c r="B210" s="106">
        <f>+'NEW CAR'!B210+'GT-SERV'!B210+ACCESS!B210</f>
        <v>100000</v>
      </c>
      <c r="C210" s="106">
        <f>+'NEW CAR'!C210+'GT-SERV'!C210+ACCESS!C210</f>
        <v>100000</v>
      </c>
      <c r="D210" s="106">
        <f>+'NEW CAR'!D210+'GT-SERV'!D210+ACCESS!D210</f>
        <v>100000</v>
      </c>
      <c r="E210" s="106">
        <f>+'NEW CAR'!E210+'GT-SERV'!E210+ACCESS!E210</f>
        <v>100000</v>
      </c>
      <c r="F210" s="106">
        <f>+'NEW CAR'!F210+'GT-SERV'!F210+ACCESS!F210</f>
        <v>100000</v>
      </c>
      <c r="G210" s="106">
        <f>+'NEW CAR'!G210+'GT-SERV'!G210+ACCESS!G210</f>
        <v>100000</v>
      </c>
      <c r="H210" s="106">
        <f>+'NEW CAR'!H210+'GT-SERV'!H210+ACCESS!H210</f>
        <v>100000</v>
      </c>
      <c r="I210" s="106">
        <f>+'NEW CAR'!I210+'GT-SERV'!I210+ACCESS!I210</f>
        <v>100000</v>
      </c>
      <c r="J210" s="106">
        <f>+'NEW CAR'!J210+'GT-SERV'!J210+ACCESS!J210</f>
        <v>100000</v>
      </c>
      <c r="K210" s="106">
        <f>+'NEW CAR'!K210+'GT-SERV'!K210+ACCESS!K210</f>
        <v>100000</v>
      </c>
      <c r="L210" s="106">
        <f>+'NEW CAR'!L210+'GT-SERV'!L210+ACCESS!L210</f>
        <v>100000</v>
      </c>
      <c r="M210" s="106">
        <f t="shared" ref="M210:M213" si="189">+SUM(A210:L210)</f>
        <v>1200000</v>
      </c>
      <c r="N210" s="16" t="s">
        <v>176</v>
      </c>
      <c r="O210" s="106">
        <f>+'NEW CAR'!O210+'GT-SERV'!O210+ACCESS!O210</f>
        <v>100000</v>
      </c>
      <c r="P210" s="106">
        <f>+'NEW CAR'!P210+'GT-SERV'!P210+ACCESS!P210</f>
        <v>100000</v>
      </c>
      <c r="Q210" s="106">
        <f>+'NEW CAR'!Q210+'GT-SERV'!Q210+ACCESS!Q210</f>
        <v>100000</v>
      </c>
      <c r="R210" s="106">
        <f>+'NEW CAR'!R210+'GT-SERV'!R210+ACCESS!R210</f>
        <v>100000</v>
      </c>
      <c r="S210" s="106">
        <f>+'NEW CAR'!S210+'GT-SERV'!S210+ACCESS!S210</f>
        <v>100000</v>
      </c>
      <c r="T210" s="106">
        <f>+'NEW CAR'!T210+'GT-SERV'!T210+ACCESS!T210</f>
        <v>100000</v>
      </c>
      <c r="U210" s="106">
        <f>+'NEW CAR'!U210+'GT-SERV'!U210+ACCESS!U210</f>
        <v>100000</v>
      </c>
      <c r="V210" s="106">
        <f>+'NEW CAR'!V210+'GT-SERV'!V210+ACCESS!V210</f>
        <v>100000</v>
      </c>
      <c r="W210" s="106">
        <f>+'NEW CAR'!W210+'GT-SERV'!W210+ACCESS!W210</f>
        <v>100000</v>
      </c>
      <c r="X210" s="106">
        <f>+'NEW CAR'!X210+'GT-SERV'!X210+ACCESS!X210</f>
        <v>100000</v>
      </c>
      <c r="Y210" s="106">
        <f>+'NEW CAR'!Y210+'GT-SERV'!Y210+ACCESS!Y210</f>
        <v>0</v>
      </c>
      <c r="Z210" s="106">
        <f>+'NEW CAR'!Z210+'GT-SERV'!Z210+ACCESS!Z210</f>
        <v>0</v>
      </c>
      <c r="AA210" s="106">
        <f t="shared" ref="AA210:AA213" si="190">+SUM(O210:Z210)</f>
        <v>1000000</v>
      </c>
      <c r="AB210" s="118"/>
      <c r="AC210" s="106">
        <f>+'NEW CAR'!AC210+'GT-SERV'!AC210+ACCESS!AC210</f>
        <v>100000</v>
      </c>
      <c r="AD210" s="106">
        <f>+'NEW CAR'!AD210+'GT-SERV'!AD210+ACCESS!AD210</f>
        <v>100000</v>
      </c>
      <c r="AE210" s="106">
        <f>+'NEW CAR'!AE210+'GT-SERV'!AE210+ACCESS!AE210</f>
        <v>100000</v>
      </c>
      <c r="AF210" s="106">
        <f>+'NEW CAR'!AF210+'GT-SERV'!AF210+ACCESS!AF210</f>
        <v>100000</v>
      </c>
      <c r="AG210" s="106">
        <f>+'NEW CAR'!AG210+'GT-SERV'!AG210+ACCESS!AG210</f>
        <v>100000</v>
      </c>
      <c r="AH210" s="106">
        <f>+'NEW CAR'!AH210+'GT-SERV'!AH210+ACCESS!AH210</f>
        <v>100000</v>
      </c>
      <c r="AI210" s="106">
        <f>+'NEW CAR'!AI210+'GT-SERV'!AI210+ACCESS!AI210</f>
        <v>100000</v>
      </c>
      <c r="AJ210" s="106">
        <f>+'NEW CAR'!AJ210+'GT-SERV'!AJ210+ACCESS!AJ210</f>
        <v>100000</v>
      </c>
      <c r="AK210" s="106">
        <f>+'NEW CAR'!AK210+'GT-SERV'!AK210+ACCESS!AK210</f>
        <v>100000</v>
      </c>
      <c r="AL210" s="106">
        <f>+'NEW CAR'!AL210+'GT-SERV'!AL210+ACCESS!AL210</f>
        <v>100000</v>
      </c>
      <c r="AM210" s="106">
        <f>+'NEW CAR'!AM210+'GT-SERV'!AM210+ACCESS!AM210</f>
        <v>100000</v>
      </c>
      <c r="AN210" s="106">
        <f>+'NEW CAR'!AN210+'GT-SERV'!AN210+ACCESS!AN210</f>
        <v>100000</v>
      </c>
      <c r="AO210" s="106">
        <f t="shared" ref="AO210:AO213" si="191">+SUM(AC210:AN210)</f>
        <v>1200000</v>
      </c>
    </row>
    <row r="211" spans="1:41" outlineLevel="1">
      <c r="A211" s="106">
        <f>+'NEW CAR'!A211+'GT-SERV'!A211+ACCESS!A211</f>
        <v>406912.5</v>
      </c>
      <c r="B211" s="106">
        <f>+'NEW CAR'!B211+'GT-SERV'!B211+ACCESS!B211</f>
        <v>406912.5</v>
      </c>
      <c r="C211" s="106">
        <f>+'NEW CAR'!C211+'GT-SERV'!C211+ACCESS!C211</f>
        <v>406912.5</v>
      </c>
      <c r="D211" s="106">
        <f>+'NEW CAR'!D211+'GT-SERV'!D211+ACCESS!D211</f>
        <v>406912.5</v>
      </c>
      <c r="E211" s="106">
        <f>+'NEW CAR'!E211+'GT-SERV'!E211+ACCESS!E211</f>
        <v>406912.5</v>
      </c>
      <c r="F211" s="106">
        <f>+'NEW CAR'!F211+'GT-SERV'!F211+ACCESS!F211</f>
        <v>421687.05</v>
      </c>
      <c r="G211" s="106">
        <f>+'NEW CAR'!G211+'GT-SERV'!G211+ACCESS!G211</f>
        <v>421686.5</v>
      </c>
      <c r="H211" s="106">
        <f>+'NEW CAR'!H211+'GT-SERV'!H211+ACCESS!H211</f>
        <v>421686.5</v>
      </c>
      <c r="I211" s="106">
        <f>+'NEW CAR'!I211+'GT-SERV'!I211+ACCESS!I211</f>
        <v>432828.5</v>
      </c>
      <c r="J211" s="106">
        <f>+'NEW CAR'!J211+'GT-SERV'!J211+ACCESS!J211</f>
        <v>427257.5</v>
      </c>
      <c r="K211" s="106">
        <f>+'NEW CAR'!K211+'GT-SERV'!K211+ACCESS!K211</f>
        <v>427257.5</v>
      </c>
      <c r="L211" s="106">
        <f>+'NEW CAR'!L211+'GT-SERV'!L211+ACCESS!L211</f>
        <v>427257.5</v>
      </c>
      <c r="M211" s="106">
        <f t="shared" si="189"/>
        <v>5014223.55</v>
      </c>
      <c r="N211" s="16" t="s">
        <v>177</v>
      </c>
      <c r="O211" s="106">
        <f>+'NEW CAR'!O211+'GT-SERV'!O211+ACCESS!O211</f>
        <v>872257.5</v>
      </c>
      <c r="P211" s="106">
        <f>+'NEW CAR'!P211+'GT-SERV'!P211+ACCESS!P211</f>
        <v>872257.5</v>
      </c>
      <c r="Q211" s="106">
        <f>+'NEW CAR'!Q211+'GT-SERV'!Q211+ACCESS!Q211</f>
        <v>872257.5</v>
      </c>
      <c r="R211" s="106">
        <f>+'NEW CAR'!R211+'GT-SERV'!R211+ACCESS!R211</f>
        <v>872257.5</v>
      </c>
      <c r="S211" s="106">
        <f>+'NEW CAR'!S211+'GT-SERV'!S211+ACCESS!S211</f>
        <v>872257.5</v>
      </c>
      <c r="T211" s="106">
        <f>+'NEW CAR'!T211+'GT-SERV'!T211+ACCESS!T211</f>
        <v>872257.5</v>
      </c>
      <c r="U211" s="106">
        <f>+'NEW CAR'!U211+'GT-SERV'!U211+ACCESS!U211</f>
        <v>872257.5</v>
      </c>
      <c r="V211" s="106">
        <f>+'NEW CAR'!V211+'GT-SERV'!V211+ACCESS!V211</f>
        <v>872257.5</v>
      </c>
      <c r="W211" s="106">
        <f>+'NEW CAR'!W211+'GT-SERV'!W211+ACCESS!W211</f>
        <v>902927</v>
      </c>
      <c r="X211" s="106">
        <f>+'NEW CAR'!X211+'GT-SERV'!X211+ACCESS!X211</f>
        <v>884312</v>
      </c>
      <c r="Y211" s="106">
        <f>+'NEW CAR'!Y211+'GT-SERV'!Y211+ACCESS!Y211</f>
        <v>0</v>
      </c>
      <c r="Z211" s="106">
        <f>+'NEW CAR'!Z211+'GT-SERV'!Z211+ACCESS!Z211</f>
        <v>0</v>
      </c>
      <c r="AA211" s="106">
        <f t="shared" si="190"/>
        <v>8765299</v>
      </c>
      <c r="AB211" s="118"/>
      <c r="AC211" s="106">
        <f>+'NEW CAR'!AC211+'GT-SERV'!AC211+ACCESS!AC211</f>
        <v>877257.73991250014</v>
      </c>
      <c r="AD211" s="106">
        <f>+'NEW CAR'!AD211+'GT-SERV'!AD211+ACCESS!AD211</f>
        <v>877257.73991250002</v>
      </c>
      <c r="AE211" s="106">
        <f>+'NEW CAR'!AE211+'GT-SERV'!AE211+ACCESS!AE211</f>
        <v>877257.73991250002</v>
      </c>
      <c r="AF211" s="106">
        <f>+'NEW CAR'!AF211+'GT-SERV'!AF211+ACCESS!AF211</f>
        <v>877257.73991250002</v>
      </c>
      <c r="AG211" s="106">
        <f>+'NEW CAR'!AG211+'GT-SERV'!AG211+ACCESS!AG211</f>
        <v>877257.73991250002</v>
      </c>
      <c r="AH211" s="106">
        <f>+'NEW CAR'!AH211+'GT-SERV'!AH211+ACCESS!AH211</f>
        <v>892771.00308000005</v>
      </c>
      <c r="AI211" s="106">
        <f>+'NEW CAR'!AI211+'GT-SERV'!AI211+ACCESS!AI211</f>
        <v>892771.00308000005</v>
      </c>
      <c r="AJ211" s="106">
        <f>+'NEW CAR'!AJ211+'GT-SERV'!AJ211+ACCESS!AJ211</f>
        <v>892771.00308000005</v>
      </c>
      <c r="AK211" s="106">
        <f>+'NEW CAR'!AK211+'GT-SERV'!AK211+ACCESS!AK211</f>
        <v>898620.62690812512</v>
      </c>
      <c r="AL211" s="106">
        <f>+'NEW CAR'!AL211+'GT-SERV'!AL211+ACCESS!AL211</f>
        <v>898620.62690812512</v>
      </c>
      <c r="AM211" s="106">
        <f>+'NEW CAR'!AM211+'GT-SERV'!AM211+ACCESS!AM211</f>
        <v>898620.62690812512</v>
      </c>
      <c r="AN211" s="106">
        <f>+'NEW CAR'!AN211+'GT-SERV'!AN211+ACCESS!AN211</f>
        <v>898620.62690812512</v>
      </c>
      <c r="AO211" s="106">
        <f t="shared" si="191"/>
        <v>10659084.216435002</v>
      </c>
    </row>
    <row r="212" spans="1:41" outlineLevel="1">
      <c r="A212" s="106">
        <f>+'NEW CAR'!A212+'GT-SERV'!A212+ACCESS!A212</f>
        <v>187462.5</v>
      </c>
      <c r="B212" s="106">
        <f>+'NEW CAR'!B212+'GT-SERV'!B212+ACCESS!B212</f>
        <v>187462.5</v>
      </c>
      <c r="C212" s="106">
        <f>+'NEW CAR'!C212+'GT-SERV'!C212+ACCESS!C212</f>
        <v>187462.5</v>
      </c>
      <c r="D212" s="106">
        <f>+'NEW CAR'!D212+'GT-SERV'!D212+ACCESS!D212</f>
        <v>187462.5</v>
      </c>
      <c r="E212" s="106">
        <f>+'NEW CAR'!E212+'GT-SERV'!E212+ACCESS!E212</f>
        <v>187462.5</v>
      </c>
      <c r="F212" s="106">
        <f>+'NEW CAR'!F212+'GT-SERV'!F212+ACCESS!F212</f>
        <v>187462.5</v>
      </c>
      <c r="G212" s="106">
        <f>+'NEW CAR'!G212+'GT-SERV'!G212+ACCESS!G212</f>
        <v>187462.5</v>
      </c>
      <c r="H212" s="106">
        <f>+'NEW CAR'!H212+'GT-SERV'!H212+ACCESS!H212</f>
        <v>187462.5</v>
      </c>
      <c r="I212" s="106">
        <f>+'NEW CAR'!I212+'GT-SERV'!I212+ACCESS!I212</f>
        <v>198604.5</v>
      </c>
      <c r="J212" s="106">
        <f>+'NEW CAR'!J212+'GT-SERV'!J212+ACCESS!J212</f>
        <v>193033.5</v>
      </c>
      <c r="K212" s="106">
        <f>+'NEW CAR'!K212+'GT-SERV'!K212+ACCESS!K212</f>
        <v>193033.5</v>
      </c>
      <c r="L212" s="106">
        <f>+'NEW CAR'!L212+'GT-SERV'!L212+ACCESS!L212</f>
        <v>193033.5</v>
      </c>
      <c r="M212" s="106">
        <f t="shared" si="189"/>
        <v>2277405</v>
      </c>
      <c r="N212" s="16" t="s">
        <v>178</v>
      </c>
      <c r="O212" s="106">
        <f>+'NEW CAR'!O212+'GT-SERV'!O212+ACCESS!O212</f>
        <v>204442.81249999994</v>
      </c>
      <c r="P212" s="106">
        <f>+'NEW CAR'!P212+'GT-SERV'!P212+ACCESS!P212</f>
        <v>204442.81249999994</v>
      </c>
      <c r="Q212" s="106">
        <f>+'NEW CAR'!Q212+'GT-SERV'!Q212+ACCESS!Q212</f>
        <v>204442.81</v>
      </c>
      <c r="R212" s="106">
        <f>+'NEW CAR'!R212+'GT-SERV'!R212+ACCESS!R212</f>
        <v>204442.81</v>
      </c>
      <c r="S212" s="106">
        <f>+'NEW CAR'!S212+'GT-SERV'!S212+ACCESS!S212</f>
        <v>204442.81</v>
      </c>
      <c r="T212" s="106">
        <f>+'NEW CAR'!T212+'GT-SERV'!T212+ACCESS!T212</f>
        <v>204442.81</v>
      </c>
      <c r="U212" s="106">
        <f>+'NEW CAR'!U212+'GT-SERV'!U212+ACCESS!U212</f>
        <v>204442.81</v>
      </c>
      <c r="V212" s="106">
        <f>+'NEW CAR'!V212+'GT-SERV'!V212+ACCESS!V212</f>
        <v>204442.81</v>
      </c>
      <c r="W212" s="106">
        <f>+'NEW CAR'!W212+'GT-SERV'!W212+ACCESS!W212</f>
        <v>210292.31</v>
      </c>
      <c r="X212" s="106">
        <f>+'NEW CAR'!X212+'GT-SERV'!X212+ACCESS!X212</f>
        <v>223409.85937499994</v>
      </c>
      <c r="Y212" s="106">
        <f>+'NEW CAR'!Y212+'GT-SERV'!Y212+ACCESS!Y212</f>
        <v>0</v>
      </c>
      <c r="Z212" s="106">
        <f>+'NEW CAR'!Z212+'GT-SERV'!Z212+ACCESS!Z212</f>
        <v>0</v>
      </c>
      <c r="AA212" s="106">
        <f t="shared" si="190"/>
        <v>2069244.6543750002</v>
      </c>
      <c r="AB212" s="118"/>
      <c r="AC212" s="106">
        <f>+'NEW CAR'!AC212+'GT-SERV'!AC212+ACCESS!AC212</f>
        <v>204442.78906249997</v>
      </c>
      <c r="AD212" s="106">
        <f>+'NEW CAR'!AD212+'GT-SERV'!AD212+ACCESS!AD212</f>
        <v>204442.78906249997</v>
      </c>
      <c r="AE212" s="106">
        <f>+'NEW CAR'!AE212+'GT-SERV'!AE212+ACCESS!AE212</f>
        <v>204442.78906249997</v>
      </c>
      <c r="AF212" s="106">
        <f>+'NEW CAR'!AF212+'GT-SERV'!AF212+ACCESS!AF212</f>
        <v>204442.78906249997</v>
      </c>
      <c r="AG212" s="106">
        <f>+'NEW CAR'!AG212+'GT-SERV'!AG212+ACCESS!AG212</f>
        <v>204442.78906249997</v>
      </c>
      <c r="AH212" s="106">
        <f>+'NEW CAR'!AH212+'GT-SERV'!AH212+ACCESS!AH212</f>
        <v>204442.78906249997</v>
      </c>
      <c r="AI212" s="106">
        <f>+'NEW CAR'!AI212+'GT-SERV'!AI212+ACCESS!AI212</f>
        <v>204442.78906249997</v>
      </c>
      <c r="AJ212" s="106">
        <f>+'NEW CAR'!AJ212+'GT-SERV'!AJ212+ACCESS!AJ212</f>
        <v>204442.78906249997</v>
      </c>
      <c r="AK212" s="106">
        <f>+'NEW CAR'!AK212+'GT-SERV'!AK212+ACCESS!AK212</f>
        <v>210292.41289062498</v>
      </c>
      <c r="AL212" s="106">
        <f>+'NEW CAR'!AL212+'GT-SERV'!AL212+ACCESS!AL212</f>
        <v>223409.95976562495</v>
      </c>
      <c r="AM212" s="106">
        <f>+'NEW CAR'!AM212+'GT-SERV'!AM212+ACCESS!AM212</f>
        <v>223409.95976562495</v>
      </c>
      <c r="AN212" s="106">
        <f>+'NEW CAR'!AN212+'GT-SERV'!AN212+ACCESS!AN212</f>
        <v>223409.95976562495</v>
      </c>
      <c r="AO212" s="106">
        <f t="shared" si="191"/>
        <v>2516064.6046874998</v>
      </c>
    </row>
    <row r="213" spans="1:41" outlineLevel="1">
      <c r="A213" s="106">
        <f>+'NEW CAR'!A213+'GT-SERV'!A213+ACCESS!A213</f>
        <v>117797</v>
      </c>
      <c r="B213" s="106">
        <f>+'NEW CAR'!B213+'GT-SERV'!B213+ACCESS!B213</f>
        <v>117797</v>
      </c>
      <c r="C213" s="106">
        <f>+'NEW CAR'!C213+'GT-SERV'!C213+ACCESS!C213</f>
        <v>117797</v>
      </c>
      <c r="D213" s="106">
        <f>+'NEW CAR'!D213+'GT-SERV'!D213+ACCESS!D213</f>
        <v>117797</v>
      </c>
      <c r="E213" s="106">
        <f>+'NEW CAR'!E213+'GT-SERV'!E213+ACCESS!E213</f>
        <v>117797</v>
      </c>
      <c r="F213" s="106">
        <f>+'NEW CAR'!F213+'GT-SERV'!F213+ACCESS!F213</f>
        <v>117797</v>
      </c>
      <c r="G213" s="106">
        <f>+'NEW CAR'!G213+'GT-SERV'!G213+ACCESS!G213</f>
        <v>117797</v>
      </c>
      <c r="H213" s="106">
        <f>+'NEW CAR'!H213+'GT-SERV'!H213+ACCESS!H213</f>
        <v>117797</v>
      </c>
      <c r="I213" s="106">
        <f>+'NEW CAR'!I213+'GT-SERV'!I213+ACCESS!I213</f>
        <v>117797</v>
      </c>
      <c r="J213" s="106">
        <f>+'NEW CAR'!J213+'GT-SERV'!J213+ACCESS!J213</f>
        <v>117797</v>
      </c>
      <c r="K213" s="106">
        <f>+'NEW CAR'!K213+'GT-SERV'!K213+ACCESS!K213</f>
        <v>117797</v>
      </c>
      <c r="L213" s="106">
        <f>+'NEW CAR'!L213+'GT-SERV'!L213+ACCESS!L213</f>
        <v>117797</v>
      </c>
      <c r="M213" s="106">
        <f t="shared" si="189"/>
        <v>1413564</v>
      </c>
      <c r="N213" s="16" t="s">
        <v>179</v>
      </c>
      <c r="O213" s="106">
        <f>+'NEW CAR'!O213+'GT-SERV'!O213+ACCESS!O213</f>
        <v>48000</v>
      </c>
      <c r="P213" s="106">
        <f>+'NEW CAR'!P213+'GT-SERV'!P213+ACCESS!P213</f>
        <v>194574</v>
      </c>
      <c r="Q213" s="106">
        <f>+'NEW CAR'!Q213+'GT-SERV'!Q213+ACCESS!Q213</f>
        <v>121287</v>
      </c>
      <c r="R213" s="106">
        <f>+'NEW CAR'!R213+'GT-SERV'!R213+ACCESS!R213</f>
        <v>121287</v>
      </c>
      <c r="S213" s="106">
        <f>+'NEW CAR'!S213+'GT-SERV'!S213+ACCESS!S213</f>
        <v>121287</v>
      </c>
      <c r="T213" s="106">
        <f>+'NEW CAR'!T213+'GT-SERV'!T213+ACCESS!T213</f>
        <v>121287</v>
      </c>
      <c r="U213" s="106">
        <f>+'NEW CAR'!U213+'GT-SERV'!U213+ACCESS!U213</f>
        <v>121287</v>
      </c>
      <c r="V213" s="106">
        <f>+'NEW CAR'!V213+'GT-SERV'!V213+ACCESS!V213</f>
        <v>121287</v>
      </c>
      <c r="W213" s="106">
        <f>+'NEW CAR'!W213+'GT-SERV'!W213+ACCESS!W213</f>
        <v>121287</v>
      </c>
      <c r="X213" s="106">
        <f>+'NEW CAR'!X213+'GT-SERV'!X213+ACCESS!X213</f>
        <v>121287</v>
      </c>
      <c r="Y213" s="106">
        <f>+'NEW CAR'!Y213+'GT-SERV'!Y213+ACCESS!Y213</f>
        <v>0</v>
      </c>
      <c r="Z213" s="106">
        <f>+'NEW CAR'!Z213+'GT-SERV'!Z213+ACCESS!Z213</f>
        <v>0</v>
      </c>
      <c r="AA213" s="106">
        <f t="shared" si="190"/>
        <v>1212870</v>
      </c>
      <c r="AB213" s="118"/>
      <c r="AC213" s="106">
        <f>+'NEW CAR'!AC213+'GT-SERV'!AC213+ACCESS!AC213</f>
        <v>121286.51833125</v>
      </c>
      <c r="AD213" s="106">
        <f>+'NEW CAR'!AD213+'GT-SERV'!AD213+ACCESS!AD213</f>
        <v>121286.51833125</v>
      </c>
      <c r="AE213" s="106">
        <f>+'NEW CAR'!AE213+'GT-SERV'!AE213+ACCESS!AE213</f>
        <v>121286.51833125</v>
      </c>
      <c r="AF213" s="106">
        <f>+'NEW CAR'!AF213+'GT-SERV'!AF213+ACCESS!AF213</f>
        <v>121286.51833125</v>
      </c>
      <c r="AG213" s="106">
        <f>+'NEW CAR'!AG213+'GT-SERV'!AG213+ACCESS!AG213</f>
        <v>121286.51833125</v>
      </c>
      <c r="AH213" s="106">
        <f>+'NEW CAR'!AH213+'GT-SERV'!AH213+ACCESS!AH213</f>
        <v>121286.51833125</v>
      </c>
      <c r="AI213" s="106">
        <f>+'NEW CAR'!AI213+'GT-SERV'!AI213+ACCESS!AI213</f>
        <v>121286.51833125</v>
      </c>
      <c r="AJ213" s="106">
        <f>+'NEW CAR'!AJ213+'GT-SERV'!AJ213+ACCESS!AJ213</f>
        <v>121286.51833125</v>
      </c>
      <c r="AK213" s="106">
        <f>+'NEW CAR'!AK213+'GT-SERV'!AK213+ACCESS!AK213</f>
        <v>121286.51833125</v>
      </c>
      <c r="AL213" s="106">
        <f>+'NEW CAR'!AL213+'GT-SERV'!AL213+ACCESS!AL213</f>
        <v>121286.51833125</v>
      </c>
      <c r="AM213" s="106">
        <f>+'NEW CAR'!AM213+'GT-SERV'!AM213+ACCESS!AM213</f>
        <v>121286.51833125</v>
      </c>
      <c r="AN213" s="106">
        <f>+'NEW CAR'!AN213+'GT-SERV'!AN213+ACCESS!AN213</f>
        <v>121286.51833125</v>
      </c>
      <c r="AO213" s="106">
        <f t="shared" si="191"/>
        <v>1455438.2199749995</v>
      </c>
    </row>
    <row r="214" spans="1:41" outlineLevel="1">
      <c r="A214" s="58">
        <f t="shared" ref="A214:M214" si="192">+A215+A216</f>
        <v>16750</v>
      </c>
      <c r="B214" s="58">
        <f t="shared" si="192"/>
        <v>3400</v>
      </c>
      <c r="C214" s="58">
        <f t="shared" si="192"/>
        <v>8100</v>
      </c>
      <c r="D214" s="58">
        <f t="shared" si="192"/>
        <v>12900</v>
      </c>
      <c r="E214" s="58">
        <f t="shared" si="192"/>
        <v>1900</v>
      </c>
      <c r="F214" s="58">
        <f t="shared" si="192"/>
        <v>7850</v>
      </c>
      <c r="G214" s="58">
        <f t="shared" si="192"/>
        <v>7250</v>
      </c>
      <c r="H214" s="58">
        <f t="shared" si="192"/>
        <v>4700</v>
      </c>
      <c r="I214" s="58">
        <f t="shared" si="192"/>
        <v>5800</v>
      </c>
      <c r="J214" s="58">
        <f t="shared" si="192"/>
        <v>5100</v>
      </c>
      <c r="K214" s="58">
        <f t="shared" si="192"/>
        <v>5750</v>
      </c>
      <c r="L214" s="58">
        <f t="shared" si="192"/>
        <v>3300</v>
      </c>
      <c r="M214" s="58">
        <f t="shared" si="192"/>
        <v>82800</v>
      </c>
      <c r="N214" s="20" t="s">
        <v>180</v>
      </c>
      <c r="O214" s="58">
        <f t="shared" ref="O214:AA214" si="193">+O215+O216</f>
        <v>30100</v>
      </c>
      <c r="P214" s="58">
        <f t="shared" si="193"/>
        <v>23900</v>
      </c>
      <c r="Q214" s="58">
        <f t="shared" si="193"/>
        <v>8500</v>
      </c>
      <c r="R214" s="58">
        <f t="shared" si="193"/>
        <v>2500</v>
      </c>
      <c r="S214" s="58">
        <f t="shared" si="193"/>
        <v>1450</v>
      </c>
      <c r="T214" s="58">
        <f t="shared" si="193"/>
        <v>4150</v>
      </c>
      <c r="U214" s="58">
        <f t="shared" si="193"/>
        <v>7000</v>
      </c>
      <c r="V214" s="58">
        <f t="shared" si="193"/>
        <v>9140</v>
      </c>
      <c r="W214" s="58">
        <f t="shared" si="193"/>
        <v>6350</v>
      </c>
      <c r="X214" s="58">
        <f t="shared" si="193"/>
        <v>2450</v>
      </c>
      <c r="Y214" s="58">
        <f t="shared" si="193"/>
        <v>0</v>
      </c>
      <c r="Z214" s="58">
        <f t="shared" si="193"/>
        <v>0</v>
      </c>
      <c r="AA214" s="58">
        <f t="shared" si="193"/>
        <v>95540</v>
      </c>
      <c r="AB214" s="118"/>
      <c r="AC214" s="58">
        <f t="shared" ref="AC214:AO214" si="194">+AC215+AC216</f>
        <v>6000</v>
      </c>
      <c r="AD214" s="58">
        <f t="shared" si="194"/>
        <v>6000</v>
      </c>
      <c r="AE214" s="58">
        <f t="shared" si="194"/>
        <v>6000</v>
      </c>
      <c r="AF214" s="58">
        <f t="shared" si="194"/>
        <v>6000</v>
      </c>
      <c r="AG214" s="58">
        <f t="shared" si="194"/>
        <v>6000</v>
      </c>
      <c r="AH214" s="58">
        <f t="shared" si="194"/>
        <v>6000</v>
      </c>
      <c r="AI214" s="58">
        <f t="shared" si="194"/>
        <v>6000</v>
      </c>
      <c r="AJ214" s="58">
        <f t="shared" si="194"/>
        <v>6000</v>
      </c>
      <c r="AK214" s="58">
        <f t="shared" si="194"/>
        <v>6000</v>
      </c>
      <c r="AL214" s="58">
        <f t="shared" si="194"/>
        <v>6000</v>
      </c>
      <c r="AM214" s="58">
        <f t="shared" si="194"/>
        <v>6000</v>
      </c>
      <c r="AN214" s="58">
        <f t="shared" si="194"/>
        <v>6000</v>
      </c>
      <c r="AO214" s="58">
        <f t="shared" si="194"/>
        <v>72000</v>
      </c>
    </row>
    <row r="215" spans="1:41" outlineLevel="1">
      <c r="A215" s="106">
        <f>+'NEW CAR'!A215+'GT-SERV'!A215+ACCESS!A215</f>
        <v>0</v>
      </c>
      <c r="B215" s="106">
        <f>+'NEW CAR'!B215+'GT-SERV'!B215+ACCESS!B215</f>
        <v>0</v>
      </c>
      <c r="C215" s="106">
        <f>+'NEW CAR'!C215+'GT-SERV'!C215+ACCESS!C215</f>
        <v>0</v>
      </c>
      <c r="D215" s="106">
        <f>+'NEW CAR'!D215+'GT-SERV'!D215+ACCESS!D215</f>
        <v>0</v>
      </c>
      <c r="E215" s="106">
        <f>+'NEW CAR'!E215+'GT-SERV'!E215+ACCESS!E215</f>
        <v>0</v>
      </c>
      <c r="F215" s="106">
        <f>+'NEW CAR'!F215+'GT-SERV'!F215+ACCESS!F215</f>
        <v>0</v>
      </c>
      <c r="G215" s="106">
        <f>+'NEW CAR'!G215+'GT-SERV'!G215+ACCESS!G215</f>
        <v>0</v>
      </c>
      <c r="H215" s="106">
        <f>+'NEW CAR'!H215+'GT-SERV'!H215+ACCESS!H215</f>
        <v>0</v>
      </c>
      <c r="I215" s="106">
        <f>+'NEW CAR'!I215+'GT-SERV'!I215+ACCESS!I215</f>
        <v>0</v>
      </c>
      <c r="J215" s="106">
        <f>+'NEW CAR'!J215+'GT-SERV'!J215+ACCESS!J215</f>
        <v>0</v>
      </c>
      <c r="K215" s="106">
        <f>+'NEW CAR'!K215+'GT-SERV'!K215+ACCESS!K215</f>
        <v>0</v>
      </c>
      <c r="L215" s="106">
        <f>+'NEW CAR'!L215+'GT-SERV'!L215+ACCESS!L215</f>
        <v>0</v>
      </c>
      <c r="M215" s="106">
        <f t="shared" ref="M215:M217" si="195">+SUM(A215:L215)</f>
        <v>0</v>
      </c>
      <c r="N215" s="16" t="s">
        <v>181</v>
      </c>
      <c r="O215" s="106">
        <f>+'NEW CAR'!O215+'GT-SERV'!O215+ACCESS!O215</f>
        <v>0</v>
      </c>
      <c r="P215" s="106">
        <f>+'NEW CAR'!P215+'GT-SERV'!P215+ACCESS!P215</f>
        <v>0</v>
      </c>
      <c r="Q215" s="106">
        <f>+'NEW CAR'!Q215+'GT-SERV'!Q215+ACCESS!Q215</f>
        <v>0</v>
      </c>
      <c r="R215" s="106">
        <f>+'NEW CAR'!R215+'GT-SERV'!R215+ACCESS!R215</f>
        <v>0</v>
      </c>
      <c r="S215" s="106">
        <f>+'NEW CAR'!S215+'GT-SERV'!S215+ACCESS!S215</f>
        <v>0</v>
      </c>
      <c r="T215" s="106">
        <f>+'NEW CAR'!T215+'GT-SERV'!T215+ACCESS!T215</f>
        <v>0</v>
      </c>
      <c r="U215" s="106">
        <f>+'NEW CAR'!U215+'GT-SERV'!U215+ACCESS!U215</f>
        <v>0</v>
      </c>
      <c r="V215" s="106">
        <f>+'NEW CAR'!V215+'GT-SERV'!V215+ACCESS!V215</f>
        <v>0</v>
      </c>
      <c r="W215" s="106">
        <f>+'NEW CAR'!W215+'GT-SERV'!W215+ACCESS!W215</f>
        <v>0</v>
      </c>
      <c r="X215" s="106">
        <f>+'NEW CAR'!X215+'GT-SERV'!X215+ACCESS!X215</f>
        <v>0</v>
      </c>
      <c r="Y215" s="106">
        <f>+'NEW CAR'!Y215+'GT-SERV'!Y215+ACCESS!Y215</f>
        <v>0</v>
      </c>
      <c r="Z215" s="106">
        <f>+'NEW CAR'!Z215+'GT-SERV'!Z215+ACCESS!Z215</f>
        <v>0</v>
      </c>
      <c r="AA215" s="106">
        <f t="shared" ref="AA215:AA217" si="196">+SUM(O215:Z215)</f>
        <v>0</v>
      </c>
      <c r="AB215" s="118"/>
      <c r="AC215" s="106">
        <f>+'NEW CAR'!AC215+'GT-SERV'!AC215+ACCESS!AC215</f>
        <v>0</v>
      </c>
      <c r="AD215" s="106">
        <f>+'NEW CAR'!AD215+'GT-SERV'!AD215+ACCESS!AD215</f>
        <v>0</v>
      </c>
      <c r="AE215" s="106">
        <f>+'NEW CAR'!AE215+'GT-SERV'!AE215+ACCESS!AE215</f>
        <v>0</v>
      </c>
      <c r="AF215" s="106">
        <f>+'NEW CAR'!AF215+'GT-SERV'!AF215+ACCESS!AF215</f>
        <v>0</v>
      </c>
      <c r="AG215" s="106">
        <f>+'NEW CAR'!AG215+'GT-SERV'!AG215+ACCESS!AG215</f>
        <v>0</v>
      </c>
      <c r="AH215" s="106">
        <f>+'NEW CAR'!AH215+'GT-SERV'!AH215+ACCESS!AH215</f>
        <v>0</v>
      </c>
      <c r="AI215" s="106">
        <f>+'NEW CAR'!AI215+'GT-SERV'!AI215+ACCESS!AI215</f>
        <v>0</v>
      </c>
      <c r="AJ215" s="106">
        <f>+'NEW CAR'!AJ215+'GT-SERV'!AJ215+ACCESS!AJ215</f>
        <v>0</v>
      </c>
      <c r="AK215" s="106">
        <f>+'NEW CAR'!AK215+'GT-SERV'!AK215+ACCESS!AK215</f>
        <v>0</v>
      </c>
      <c r="AL215" s="106">
        <f>+'NEW CAR'!AL215+'GT-SERV'!AL215+ACCESS!AL215</f>
        <v>0</v>
      </c>
      <c r="AM215" s="106">
        <f>+'NEW CAR'!AM215+'GT-SERV'!AM215+ACCESS!AM215</f>
        <v>0</v>
      </c>
      <c r="AN215" s="106">
        <f>+'NEW CAR'!AN215+'GT-SERV'!AN215+ACCESS!AN215</f>
        <v>0</v>
      </c>
      <c r="AO215" s="106">
        <f t="shared" ref="AO215:AO217" si="197">+SUM(AC215:AN215)</f>
        <v>0</v>
      </c>
    </row>
    <row r="216" spans="1:41" outlineLevel="1">
      <c r="A216" s="106">
        <f>+'NEW CAR'!A216+'GT-SERV'!A216+ACCESS!A216</f>
        <v>16750</v>
      </c>
      <c r="B216" s="106">
        <f>+'NEW CAR'!B216+'GT-SERV'!B216+ACCESS!B216</f>
        <v>3400</v>
      </c>
      <c r="C216" s="106">
        <f>+'NEW CAR'!C216+'GT-SERV'!C216+ACCESS!C216</f>
        <v>8100</v>
      </c>
      <c r="D216" s="106">
        <f>+'NEW CAR'!D216+'GT-SERV'!D216+ACCESS!D216</f>
        <v>12900</v>
      </c>
      <c r="E216" s="106">
        <f>+'NEW CAR'!E216+'GT-SERV'!E216+ACCESS!E216</f>
        <v>1900</v>
      </c>
      <c r="F216" s="106">
        <f>+'NEW CAR'!F216+'GT-SERV'!F216+ACCESS!F216</f>
        <v>7850</v>
      </c>
      <c r="G216" s="106">
        <f>+'NEW CAR'!G216+'GT-SERV'!G216+ACCESS!G216</f>
        <v>7250</v>
      </c>
      <c r="H216" s="106">
        <f>+'NEW CAR'!H216+'GT-SERV'!H216+ACCESS!H216</f>
        <v>4700</v>
      </c>
      <c r="I216" s="106">
        <f>+'NEW CAR'!I216+'GT-SERV'!I216+ACCESS!I216</f>
        <v>5800</v>
      </c>
      <c r="J216" s="106">
        <f>+'NEW CAR'!J216+'GT-SERV'!J216+ACCESS!J216</f>
        <v>5100</v>
      </c>
      <c r="K216" s="106">
        <f>+'NEW CAR'!K216+'GT-SERV'!K216+ACCESS!K216</f>
        <v>5750</v>
      </c>
      <c r="L216" s="106">
        <f>+'NEW CAR'!L216+'GT-SERV'!L216+ACCESS!L216</f>
        <v>3300</v>
      </c>
      <c r="M216" s="106">
        <f t="shared" si="195"/>
        <v>82800</v>
      </c>
      <c r="N216" s="16" t="s">
        <v>182</v>
      </c>
      <c r="O216" s="106">
        <f>+'NEW CAR'!O216+'GT-SERV'!O216+ACCESS!O216</f>
        <v>30100</v>
      </c>
      <c r="P216" s="106">
        <f>+'NEW CAR'!P216+'GT-SERV'!P216+ACCESS!P216</f>
        <v>23900</v>
      </c>
      <c r="Q216" s="106">
        <f>+'NEW CAR'!Q216+'GT-SERV'!Q216+ACCESS!Q216</f>
        <v>8500</v>
      </c>
      <c r="R216" s="106">
        <f>+'NEW CAR'!R216+'GT-SERV'!R216+ACCESS!R216</f>
        <v>2500</v>
      </c>
      <c r="S216" s="106">
        <f>+'NEW CAR'!S216+'GT-SERV'!S216+ACCESS!S216</f>
        <v>1450</v>
      </c>
      <c r="T216" s="106">
        <f>+'NEW CAR'!T216+'GT-SERV'!T216+ACCESS!T216</f>
        <v>4150</v>
      </c>
      <c r="U216" s="106">
        <f>+'NEW CAR'!U216+'GT-SERV'!U216+ACCESS!U216</f>
        <v>7000</v>
      </c>
      <c r="V216" s="106">
        <f>+'NEW CAR'!V216+'GT-SERV'!V216+ACCESS!V216</f>
        <v>9140</v>
      </c>
      <c r="W216" s="106">
        <f>+'NEW CAR'!W216+'GT-SERV'!W216+ACCESS!W216</f>
        <v>6350</v>
      </c>
      <c r="X216" s="106">
        <f>+'NEW CAR'!X216+'GT-SERV'!X216+ACCESS!X216</f>
        <v>2450</v>
      </c>
      <c r="Y216" s="106">
        <f>+'NEW CAR'!Y216+'GT-SERV'!Y216+ACCESS!Y216</f>
        <v>0</v>
      </c>
      <c r="Z216" s="106">
        <f>+'NEW CAR'!Z216+'GT-SERV'!Z216+ACCESS!Z216</f>
        <v>0</v>
      </c>
      <c r="AA216" s="106">
        <f t="shared" si="196"/>
        <v>95540</v>
      </c>
      <c r="AB216" s="118"/>
      <c r="AC216" s="106">
        <f>+'NEW CAR'!AC216+'GT-SERV'!AC216+ACCESS!AC216</f>
        <v>6000</v>
      </c>
      <c r="AD216" s="106">
        <f>+'NEW CAR'!AD216+'GT-SERV'!AD216+ACCESS!AD216</f>
        <v>6000</v>
      </c>
      <c r="AE216" s="106">
        <f>+'NEW CAR'!AE216+'GT-SERV'!AE216+ACCESS!AE216</f>
        <v>6000</v>
      </c>
      <c r="AF216" s="106">
        <f>+'NEW CAR'!AF216+'GT-SERV'!AF216+ACCESS!AF216</f>
        <v>6000</v>
      </c>
      <c r="AG216" s="106">
        <f>+'NEW CAR'!AG216+'GT-SERV'!AG216+ACCESS!AG216</f>
        <v>6000</v>
      </c>
      <c r="AH216" s="106">
        <f>+'NEW CAR'!AH216+'GT-SERV'!AH216+ACCESS!AH216</f>
        <v>6000</v>
      </c>
      <c r="AI216" s="106">
        <f>+'NEW CAR'!AI216+'GT-SERV'!AI216+ACCESS!AI216</f>
        <v>6000</v>
      </c>
      <c r="AJ216" s="106">
        <f>+'NEW CAR'!AJ216+'GT-SERV'!AJ216+ACCESS!AJ216</f>
        <v>6000</v>
      </c>
      <c r="AK216" s="106">
        <f>+'NEW CAR'!AK216+'GT-SERV'!AK216+ACCESS!AK216</f>
        <v>6000</v>
      </c>
      <c r="AL216" s="106">
        <f>+'NEW CAR'!AL216+'GT-SERV'!AL216+ACCESS!AL216</f>
        <v>6000</v>
      </c>
      <c r="AM216" s="106">
        <f>+'NEW CAR'!AM216+'GT-SERV'!AM216+ACCESS!AM216</f>
        <v>6000</v>
      </c>
      <c r="AN216" s="106">
        <f>+'NEW CAR'!AN216+'GT-SERV'!AN216+ACCESS!AN216</f>
        <v>6000</v>
      </c>
      <c r="AO216" s="106">
        <f t="shared" si="197"/>
        <v>72000</v>
      </c>
    </row>
    <row r="217" spans="1:41" outlineLevel="1">
      <c r="A217" s="106">
        <f>+'NEW CAR'!A217+'GT-SERV'!A217+ACCESS!A217</f>
        <v>0</v>
      </c>
      <c r="B217" s="106">
        <f>+'NEW CAR'!B217+'GT-SERV'!B217+ACCESS!B217</f>
        <v>0</v>
      </c>
      <c r="C217" s="106">
        <f>+'NEW CAR'!C217+'GT-SERV'!C217+ACCESS!C217</f>
        <v>0</v>
      </c>
      <c r="D217" s="106">
        <f>+'NEW CAR'!D217+'GT-SERV'!D217+ACCESS!D217</f>
        <v>0</v>
      </c>
      <c r="E217" s="106">
        <f>+'NEW CAR'!E217+'GT-SERV'!E217+ACCESS!E217</f>
        <v>0</v>
      </c>
      <c r="F217" s="106">
        <f>+'NEW CAR'!F217+'GT-SERV'!F217+ACCESS!F217</f>
        <v>0</v>
      </c>
      <c r="G217" s="106">
        <f>+'NEW CAR'!G217+'GT-SERV'!G217+ACCESS!G217</f>
        <v>0</v>
      </c>
      <c r="H217" s="106">
        <f>+'NEW CAR'!H217+'GT-SERV'!H217+ACCESS!H217</f>
        <v>0</v>
      </c>
      <c r="I217" s="106">
        <f>+'NEW CAR'!I217+'GT-SERV'!I217+ACCESS!I217</f>
        <v>0</v>
      </c>
      <c r="J217" s="106">
        <f>+'NEW CAR'!J217+'GT-SERV'!J217+ACCESS!J217</f>
        <v>0</v>
      </c>
      <c r="K217" s="106">
        <f>+'NEW CAR'!K217+'GT-SERV'!K217+ACCESS!K217</f>
        <v>0</v>
      </c>
      <c r="L217" s="106">
        <f>+'NEW CAR'!L217+'GT-SERV'!L217+ACCESS!L217</f>
        <v>0</v>
      </c>
      <c r="M217" s="106">
        <f t="shared" si="195"/>
        <v>0</v>
      </c>
      <c r="N217" s="16"/>
      <c r="O217" s="106">
        <f>+'NEW CAR'!O217+'GT-SERV'!O217+ACCESS!O217</f>
        <v>0</v>
      </c>
      <c r="P217" s="106">
        <f>+'NEW CAR'!P217+'GT-SERV'!P217+ACCESS!P217</f>
        <v>0</v>
      </c>
      <c r="Q217" s="106">
        <f>+'NEW CAR'!Q217+'GT-SERV'!Q217+ACCESS!Q217</f>
        <v>0</v>
      </c>
      <c r="R217" s="106">
        <f>+'NEW CAR'!R217+'GT-SERV'!R217+ACCESS!R217</f>
        <v>0</v>
      </c>
      <c r="S217" s="106">
        <f>+'NEW CAR'!S217+'GT-SERV'!S217+ACCESS!S217</f>
        <v>0</v>
      </c>
      <c r="T217" s="106">
        <f>+'NEW CAR'!T217+'GT-SERV'!T217+ACCESS!T217</f>
        <v>0</v>
      </c>
      <c r="U217" s="106">
        <f>+'NEW CAR'!U217+'GT-SERV'!U217+ACCESS!U217</f>
        <v>0</v>
      </c>
      <c r="V217" s="106">
        <f>+'NEW CAR'!V217+'GT-SERV'!V217+ACCESS!V217</f>
        <v>0</v>
      </c>
      <c r="W217" s="106">
        <f>+'NEW CAR'!W217+'GT-SERV'!W217+ACCESS!W217</f>
        <v>0</v>
      </c>
      <c r="X217" s="106">
        <f>+'NEW CAR'!X217+'GT-SERV'!X217+ACCESS!X217</f>
        <v>0</v>
      </c>
      <c r="Y217" s="106">
        <f>+'NEW CAR'!Y217+'GT-SERV'!Y217+ACCESS!Y217</f>
        <v>0</v>
      </c>
      <c r="Z217" s="106">
        <f>+'NEW CAR'!Z217+'GT-SERV'!Z217+ACCESS!Z217</f>
        <v>0</v>
      </c>
      <c r="AA217" s="106">
        <f t="shared" si="196"/>
        <v>0</v>
      </c>
      <c r="AB217" s="118"/>
      <c r="AC217" s="106">
        <f>+'NEW CAR'!AC217+'GT-SERV'!AC217+ACCESS!AC217</f>
        <v>0</v>
      </c>
      <c r="AD217" s="106">
        <f>+'NEW CAR'!AD217+'GT-SERV'!AD217+ACCESS!AD217</f>
        <v>0</v>
      </c>
      <c r="AE217" s="106">
        <f>+'NEW CAR'!AE217+'GT-SERV'!AE217+ACCESS!AE217</f>
        <v>0</v>
      </c>
      <c r="AF217" s="106">
        <f>+'NEW CAR'!AF217+'GT-SERV'!AF217+ACCESS!AF217</f>
        <v>0</v>
      </c>
      <c r="AG217" s="106">
        <f>+'NEW CAR'!AG217+'GT-SERV'!AG217+ACCESS!AG217</f>
        <v>0</v>
      </c>
      <c r="AH217" s="106">
        <f>+'NEW CAR'!AH217+'GT-SERV'!AH217+ACCESS!AH217</f>
        <v>0</v>
      </c>
      <c r="AI217" s="106">
        <f>+'NEW CAR'!AI217+'GT-SERV'!AI217+ACCESS!AI217</f>
        <v>0</v>
      </c>
      <c r="AJ217" s="106">
        <f>+'NEW CAR'!AJ217+'GT-SERV'!AJ217+ACCESS!AJ217</f>
        <v>0</v>
      </c>
      <c r="AK217" s="106">
        <f>+'NEW CAR'!AK217+'GT-SERV'!AK217+ACCESS!AK217</f>
        <v>0</v>
      </c>
      <c r="AL217" s="106">
        <f>+'NEW CAR'!AL217+'GT-SERV'!AL217+ACCESS!AL217</f>
        <v>0</v>
      </c>
      <c r="AM217" s="106">
        <f>+'NEW CAR'!AM217+'GT-SERV'!AM217+ACCESS!AM217</f>
        <v>0</v>
      </c>
      <c r="AN217" s="106">
        <f>+'NEW CAR'!AN217+'GT-SERV'!AN217+ACCESS!AN217</f>
        <v>0</v>
      </c>
      <c r="AO217" s="106">
        <f t="shared" si="197"/>
        <v>0</v>
      </c>
    </row>
    <row r="218" spans="1:41" ht="17.25">
      <c r="A218" s="58">
        <f t="shared" ref="A218:L218" si="198">+A219+A223+A227</f>
        <v>194553.74095890412</v>
      </c>
      <c r="B218" s="58">
        <f t="shared" si="198"/>
        <v>354331.61424657534</v>
      </c>
      <c r="C218" s="58">
        <f t="shared" si="198"/>
        <v>661208.92109589046</v>
      </c>
      <c r="D218" s="58">
        <f t="shared" si="198"/>
        <v>744680.63657534239</v>
      </c>
      <c r="E218" s="58">
        <f t="shared" si="198"/>
        <v>867584.75068493164</v>
      </c>
      <c r="F218" s="58">
        <f t="shared" si="198"/>
        <v>1167487.6672602741</v>
      </c>
      <c r="G218" s="58">
        <f t="shared" si="198"/>
        <v>983610.57013698621</v>
      </c>
      <c r="H218" s="58">
        <f t="shared" si="198"/>
        <v>871715.9583561644</v>
      </c>
      <c r="I218" s="58">
        <f t="shared" si="198"/>
        <v>798522.05835616437</v>
      </c>
      <c r="J218" s="58">
        <f t="shared" si="198"/>
        <v>1071655.6763013699</v>
      </c>
      <c r="K218" s="58">
        <f t="shared" si="198"/>
        <v>1531689.2976712328</v>
      </c>
      <c r="L218" s="58">
        <f t="shared" si="198"/>
        <v>1241724.1576712332</v>
      </c>
      <c r="M218" s="58">
        <f t="shared" ref="M218" si="199">+M219+M223+M227</f>
        <v>10488765.049315069</v>
      </c>
      <c r="N218" s="17" t="s">
        <v>183</v>
      </c>
      <c r="O218" s="58">
        <f t="shared" ref="O218:AA218" si="200">+O219+O223+O227</f>
        <v>1262965.5595890412</v>
      </c>
      <c r="P218" s="58">
        <f t="shared" si="200"/>
        <v>971173.41616438364</v>
      </c>
      <c r="Q218" s="58">
        <f t="shared" si="200"/>
        <v>955307.30328767118</v>
      </c>
      <c r="R218" s="58">
        <f t="shared" si="200"/>
        <v>398391.57808219176</v>
      </c>
      <c r="S218" s="58">
        <f t="shared" si="200"/>
        <v>719238.51684931503</v>
      </c>
      <c r="T218" s="58">
        <f t="shared" si="200"/>
        <v>884015.90890410962</v>
      </c>
      <c r="U218" s="58">
        <f t="shared" si="200"/>
        <v>816440.79602739727</v>
      </c>
      <c r="V218" s="58">
        <f t="shared" si="200"/>
        <v>1069186.2987671229</v>
      </c>
      <c r="W218" s="58">
        <f t="shared" si="200"/>
        <v>1061305.6790410958</v>
      </c>
      <c r="X218" s="58">
        <f t="shared" si="200"/>
        <v>1107829.334657534</v>
      </c>
      <c r="Y218" s="58">
        <f t="shared" si="200"/>
        <v>0</v>
      </c>
      <c r="Z218" s="58">
        <f t="shared" si="200"/>
        <v>0</v>
      </c>
      <c r="AA218" s="58">
        <f t="shared" si="200"/>
        <v>9245854.3913698625</v>
      </c>
      <c r="AB218" s="118"/>
      <c r="AC218" s="58">
        <f t="shared" ref="AC218:AN218" si="201">+AC219+AC223+AC227</f>
        <v>619166.66666666663</v>
      </c>
      <c r="AD218" s="58">
        <f t="shared" si="201"/>
        <v>619166.66666666663</v>
      </c>
      <c r="AE218" s="58">
        <f t="shared" si="201"/>
        <v>619166.66666666663</v>
      </c>
      <c r="AF218" s="58">
        <f t="shared" si="201"/>
        <v>619166.66666666663</v>
      </c>
      <c r="AG218" s="58">
        <f t="shared" si="201"/>
        <v>619166.66666666663</v>
      </c>
      <c r="AH218" s="58">
        <f t="shared" si="201"/>
        <v>619166.66666666663</v>
      </c>
      <c r="AI218" s="58">
        <f t="shared" si="201"/>
        <v>619166.66666666663</v>
      </c>
      <c r="AJ218" s="58">
        <f t="shared" si="201"/>
        <v>619166.66666666663</v>
      </c>
      <c r="AK218" s="58">
        <f t="shared" si="201"/>
        <v>619166.66666666663</v>
      </c>
      <c r="AL218" s="58">
        <f t="shared" si="201"/>
        <v>619166.66666666663</v>
      </c>
      <c r="AM218" s="58">
        <f t="shared" si="201"/>
        <v>619166.66666666663</v>
      </c>
      <c r="AN218" s="58">
        <f t="shared" si="201"/>
        <v>619166.66666666663</v>
      </c>
      <c r="AO218" s="58">
        <f t="shared" ref="AO218" si="202">+AO219+AO223+AO227</f>
        <v>7429999.9999999991</v>
      </c>
    </row>
    <row r="219" spans="1:41" outlineLevel="1">
      <c r="A219" s="58">
        <f t="shared" ref="A219:L219" si="203">+SUM(A220:A222)</f>
        <v>94112.150958904123</v>
      </c>
      <c r="B219" s="58">
        <f t="shared" si="203"/>
        <v>133947.16424657535</v>
      </c>
      <c r="C219" s="58">
        <f t="shared" si="203"/>
        <v>354780.67109589046</v>
      </c>
      <c r="D219" s="58">
        <f t="shared" si="203"/>
        <v>637351.04657534242</v>
      </c>
      <c r="E219" s="58">
        <f t="shared" si="203"/>
        <v>788998.81068493158</v>
      </c>
      <c r="F219" s="58">
        <f t="shared" si="203"/>
        <v>1042460.337260274</v>
      </c>
      <c r="G219" s="58">
        <f t="shared" si="203"/>
        <v>786183.61013698624</v>
      </c>
      <c r="H219" s="58">
        <f t="shared" si="203"/>
        <v>738226.0883561644</v>
      </c>
      <c r="I219" s="58">
        <f t="shared" si="203"/>
        <v>648612.09835616441</v>
      </c>
      <c r="J219" s="58">
        <f t="shared" si="203"/>
        <v>910527.81630136981</v>
      </c>
      <c r="K219" s="58">
        <f t="shared" si="203"/>
        <v>903385.06767123286</v>
      </c>
      <c r="L219" s="58">
        <f t="shared" si="203"/>
        <v>1063907.5576712331</v>
      </c>
      <c r="M219" s="58">
        <f t="shared" ref="M219" si="204">+SUM(M220:M222)</f>
        <v>8102492.419315069</v>
      </c>
      <c r="N219" s="20" t="s">
        <v>184</v>
      </c>
      <c r="O219" s="58">
        <f t="shared" ref="O219:AA219" si="205">+SUM(O220:O222)</f>
        <v>1039206.8695890411</v>
      </c>
      <c r="P219" s="58">
        <f t="shared" si="205"/>
        <v>832842.26616438362</v>
      </c>
      <c r="Q219" s="58">
        <f t="shared" si="205"/>
        <v>729359.37328767125</v>
      </c>
      <c r="R219" s="58">
        <f t="shared" si="205"/>
        <v>277925.41808219178</v>
      </c>
      <c r="S219" s="58">
        <f t="shared" si="205"/>
        <v>480531.20684931509</v>
      </c>
      <c r="T219" s="58">
        <f t="shared" si="205"/>
        <v>733092.49890410958</v>
      </c>
      <c r="U219" s="58">
        <f t="shared" si="205"/>
        <v>687491.68602739729</v>
      </c>
      <c r="V219" s="58">
        <f t="shared" si="205"/>
        <v>915451.90876712301</v>
      </c>
      <c r="W219" s="58">
        <f t="shared" si="205"/>
        <v>955106.51904109586</v>
      </c>
      <c r="X219" s="58">
        <f t="shared" si="205"/>
        <v>960167.77465753409</v>
      </c>
      <c r="Y219" s="58">
        <f t="shared" si="205"/>
        <v>0</v>
      </c>
      <c r="Z219" s="58">
        <f t="shared" si="205"/>
        <v>0</v>
      </c>
      <c r="AA219" s="58">
        <f t="shared" si="205"/>
        <v>7611175.5213698624</v>
      </c>
      <c r="AB219" s="118"/>
      <c r="AC219" s="58">
        <f t="shared" ref="AC219:AN219" si="206">+SUM(AC220:AC222)</f>
        <v>460000</v>
      </c>
      <c r="AD219" s="58">
        <f t="shared" si="206"/>
        <v>460000</v>
      </c>
      <c r="AE219" s="58">
        <f t="shared" si="206"/>
        <v>460000</v>
      </c>
      <c r="AF219" s="58">
        <f t="shared" si="206"/>
        <v>460000</v>
      </c>
      <c r="AG219" s="58">
        <f t="shared" si="206"/>
        <v>460000</v>
      </c>
      <c r="AH219" s="58">
        <f t="shared" si="206"/>
        <v>460000</v>
      </c>
      <c r="AI219" s="58">
        <f t="shared" si="206"/>
        <v>460000</v>
      </c>
      <c r="AJ219" s="58">
        <f t="shared" si="206"/>
        <v>460000</v>
      </c>
      <c r="AK219" s="58">
        <f t="shared" si="206"/>
        <v>460000</v>
      </c>
      <c r="AL219" s="58">
        <f t="shared" si="206"/>
        <v>460000</v>
      </c>
      <c r="AM219" s="58">
        <f t="shared" si="206"/>
        <v>460000</v>
      </c>
      <c r="AN219" s="58">
        <f t="shared" si="206"/>
        <v>460000</v>
      </c>
      <c r="AO219" s="58">
        <f t="shared" ref="AO219" si="207">+SUM(AO220:AO222)</f>
        <v>5520000</v>
      </c>
    </row>
    <row r="220" spans="1:41" outlineLevel="1">
      <c r="A220" s="106">
        <f>+'NEW CAR'!A220+'GT-SERV'!A220+ACCESS!A220</f>
        <v>68190.410958904118</v>
      </c>
      <c r="B220" s="106">
        <f>+'NEW CAR'!B220+'GT-SERV'!B220+ACCESS!B220</f>
        <v>80252.774246575354</v>
      </c>
      <c r="C220" s="106">
        <f>+'NEW CAR'!C220+'GT-SERV'!C220+ACCESS!C220</f>
        <v>128789.04109589042</v>
      </c>
      <c r="D220" s="106">
        <f>+'NEW CAR'!D220+'GT-SERV'!D220+ACCESS!D220</f>
        <v>296534.24657534249</v>
      </c>
      <c r="E220" s="106">
        <f>+'NEW CAR'!E220+'GT-SERV'!E220+ACCESS!E220</f>
        <v>221925.55068493154</v>
      </c>
      <c r="F220" s="106">
        <f>+'NEW CAR'!F220+'GT-SERV'!F220+ACCESS!F220</f>
        <v>263627.39726027398</v>
      </c>
      <c r="G220" s="106">
        <f>+'NEW CAR'!G220+'GT-SERV'!G220+ACCESS!G220</f>
        <v>192098.63013698632</v>
      </c>
      <c r="H220" s="106">
        <f>+'NEW CAR'!H220+'GT-SERV'!H220+ACCESS!H220</f>
        <v>85216.438356164377</v>
      </c>
      <c r="I220" s="106">
        <f>+'NEW CAR'!I220+'GT-SERV'!I220+ACCESS!I220</f>
        <v>122647.67835616437</v>
      </c>
      <c r="J220" s="106">
        <f>+'NEW CAR'!J220+'GT-SERV'!J220+ACCESS!J220</f>
        <v>134636.98630136988</v>
      </c>
      <c r="K220" s="106">
        <f>+'NEW CAR'!K220+'GT-SERV'!K220+ACCESS!K220</f>
        <v>177123.28767123289</v>
      </c>
      <c r="L220" s="106">
        <f>+'NEW CAR'!L220+'GT-SERV'!L220+ACCESS!L220</f>
        <v>125623.287671233</v>
      </c>
      <c r="M220" s="106">
        <f t="shared" ref="M220:M222" si="208">+SUM(A220:L220)</f>
        <v>1896665.7293150688</v>
      </c>
      <c r="N220" s="16" t="s">
        <v>185</v>
      </c>
      <c r="O220" s="106">
        <f>+'NEW CAR'!O220+'GT-SERV'!O220+ACCESS!O220</f>
        <v>207944.10958904109</v>
      </c>
      <c r="P220" s="106">
        <f>+'NEW CAR'!P220+'GT-SERV'!P220+ACCESS!P220</f>
        <v>120838.35616438357</v>
      </c>
      <c r="Q220" s="106">
        <f>+'NEW CAR'!Q220+'GT-SERV'!Q220+ACCESS!Q220</f>
        <v>131767.12328767125</v>
      </c>
      <c r="R220" s="106">
        <f>+'NEW CAR'!R220+'GT-SERV'!R220+ACCESS!R220</f>
        <v>182283.73808219179</v>
      </c>
      <c r="S220" s="106">
        <f>+'NEW CAR'!S220+'GT-SERV'!S220+ACCESS!S220</f>
        <v>115931.50684931508</v>
      </c>
      <c r="T220" s="106">
        <f>+'NEW CAR'!T220+'GT-SERV'!T220+ACCESS!T220</f>
        <v>78410.95890410959</v>
      </c>
      <c r="U220" s="106">
        <f>+'NEW CAR'!U220+'GT-SERV'!U220+ACCESS!U220</f>
        <v>71875.746027397268</v>
      </c>
      <c r="V220" s="106">
        <f>+'NEW CAR'!V220+'GT-SERV'!V220+ACCESS!V220</f>
        <v>193152.32876712299</v>
      </c>
      <c r="W220" s="106">
        <f>+'NEW CAR'!W220+'GT-SERV'!W220+ACCESS!W220</f>
        <v>114109.58904109587</v>
      </c>
      <c r="X220" s="106">
        <f>+'NEW CAR'!X220+'GT-SERV'!X220+ACCESS!X220</f>
        <v>123753.42465753425</v>
      </c>
      <c r="Y220" s="106">
        <f>+'NEW CAR'!Y220+'GT-SERV'!Y220+ACCESS!Y220</f>
        <v>0</v>
      </c>
      <c r="Z220" s="106">
        <f>+'NEW CAR'!Z220+'GT-SERV'!Z220+ACCESS!Z220</f>
        <v>0</v>
      </c>
      <c r="AA220" s="106">
        <f t="shared" ref="AA220:AA222" si="209">+SUM(O220:Z220)</f>
        <v>1340066.8813698629</v>
      </c>
      <c r="AB220" s="118"/>
      <c r="AC220" s="106">
        <f>+'NEW CAR'!AC220+'GT-SERV'!AC220+ACCESS!AC220</f>
        <v>0</v>
      </c>
      <c r="AD220" s="106">
        <f>+'NEW CAR'!AD220+'GT-SERV'!AD220+ACCESS!AD220</f>
        <v>0</v>
      </c>
      <c r="AE220" s="106">
        <f>+'NEW CAR'!AE220+'GT-SERV'!AE220+ACCESS!AE220</f>
        <v>0</v>
      </c>
      <c r="AF220" s="106">
        <f>+'NEW CAR'!AF220+'GT-SERV'!AF220+ACCESS!AF220</f>
        <v>0</v>
      </c>
      <c r="AG220" s="106">
        <f>+'NEW CAR'!AG220+'GT-SERV'!AG220+ACCESS!AG220</f>
        <v>0</v>
      </c>
      <c r="AH220" s="106">
        <f>+'NEW CAR'!AH220+'GT-SERV'!AH220+ACCESS!AH220</f>
        <v>0</v>
      </c>
      <c r="AI220" s="106">
        <f>+'NEW CAR'!AI220+'GT-SERV'!AI220+ACCESS!AI220</f>
        <v>0</v>
      </c>
      <c r="AJ220" s="106">
        <f>+'NEW CAR'!AJ220+'GT-SERV'!AJ220+ACCESS!AJ220</f>
        <v>0</v>
      </c>
      <c r="AK220" s="106">
        <f>+'NEW CAR'!AK220+'GT-SERV'!AK220+ACCESS!AK220</f>
        <v>0</v>
      </c>
      <c r="AL220" s="106">
        <f>+'NEW CAR'!AL220+'GT-SERV'!AL220+ACCESS!AL220</f>
        <v>0</v>
      </c>
      <c r="AM220" s="106">
        <f>+'NEW CAR'!AM220+'GT-SERV'!AM220+ACCESS!AM220</f>
        <v>0</v>
      </c>
      <c r="AN220" s="106">
        <f>+'NEW CAR'!AN220+'GT-SERV'!AN220+ACCESS!AN220</f>
        <v>0</v>
      </c>
      <c r="AO220" s="106">
        <f t="shared" ref="AO220:AO222" si="210">+SUM(AC220:AN220)</f>
        <v>0</v>
      </c>
    </row>
    <row r="221" spans="1:41" outlineLevel="1">
      <c r="A221" s="106">
        <f>+'NEW CAR'!A221+'GT-SERV'!A221+ACCESS!A221</f>
        <v>0</v>
      </c>
      <c r="B221" s="106">
        <f>+'NEW CAR'!B221+'GT-SERV'!B221+ACCESS!B221</f>
        <v>0</v>
      </c>
      <c r="C221" s="106">
        <f>+'NEW CAR'!C221+'GT-SERV'!C221+ACCESS!C221</f>
        <v>0</v>
      </c>
      <c r="D221" s="106">
        <f>+'NEW CAR'!D221+'GT-SERV'!D221+ACCESS!D221</f>
        <v>0</v>
      </c>
      <c r="E221" s="106">
        <f>+'NEW CAR'!E221+'GT-SERV'!E221+ACCESS!E221</f>
        <v>0</v>
      </c>
      <c r="F221" s="106">
        <f>+'NEW CAR'!F221+'GT-SERV'!F221+ACCESS!F221</f>
        <v>0</v>
      </c>
      <c r="G221" s="106">
        <f>+'NEW CAR'!G221+'GT-SERV'!G221+ACCESS!G221</f>
        <v>0</v>
      </c>
      <c r="H221" s="106">
        <f>+'NEW CAR'!H221+'GT-SERV'!H221+ACCESS!H221</f>
        <v>0</v>
      </c>
      <c r="I221" s="106">
        <f>+'NEW CAR'!I221+'GT-SERV'!I221+ACCESS!I221</f>
        <v>0</v>
      </c>
      <c r="J221" s="106">
        <f>+'NEW CAR'!J221+'GT-SERV'!J221+ACCESS!J221</f>
        <v>0</v>
      </c>
      <c r="K221" s="106">
        <f>+'NEW CAR'!K221+'GT-SERV'!K221+ACCESS!K221</f>
        <v>0</v>
      </c>
      <c r="L221" s="106">
        <f>+'NEW CAR'!L221+'GT-SERV'!L221+ACCESS!L221</f>
        <v>0</v>
      </c>
      <c r="M221" s="106">
        <f t="shared" si="208"/>
        <v>0</v>
      </c>
      <c r="N221" s="16" t="s">
        <v>236</v>
      </c>
      <c r="O221" s="106">
        <f>+'NEW CAR'!O221+'GT-SERV'!O221+ACCESS!O221</f>
        <v>0</v>
      </c>
      <c r="P221" s="106">
        <f>+'NEW CAR'!P221+'GT-SERV'!P221+ACCESS!P221</f>
        <v>0</v>
      </c>
      <c r="Q221" s="106">
        <f>+'NEW CAR'!Q221+'GT-SERV'!Q221+ACCESS!Q221</f>
        <v>453107</v>
      </c>
      <c r="R221" s="106">
        <f>+'NEW CAR'!R221+'GT-SERV'!R221+ACCESS!R221</f>
        <v>32285</v>
      </c>
      <c r="S221" s="106">
        <f>+'NEW CAR'!S221+'GT-SERV'!S221+ACCESS!S221</f>
        <v>323922</v>
      </c>
      <c r="T221" s="106">
        <f>+'NEW CAR'!T221+'GT-SERV'!T221+ACCESS!T221</f>
        <v>332531</v>
      </c>
      <c r="U221" s="106">
        <f>+'NEW CAR'!U221+'GT-SERV'!U221+ACCESS!U221</f>
        <v>323922</v>
      </c>
      <c r="V221" s="106">
        <f>+'NEW CAR'!V221+'GT-SERV'!V221+ACCESS!V221</f>
        <v>333607</v>
      </c>
      <c r="W221" s="106">
        <f>+'NEW CAR'!W221+'GT-SERV'!W221+ACCESS!W221</f>
        <v>300246</v>
      </c>
      <c r="X221" s="106">
        <f>+'NEW CAR'!X221+'GT-SERV'!X221+ACCESS!X221</f>
        <v>290561</v>
      </c>
      <c r="Y221" s="106">
        <f>+'NEW CAR'!Y221+'GT-SERV'!Y221+ACCESS!Y221</f>
        <v>0</v>
      </c>
      <c r="Z221" s="106">
        <f>+'NEW CAR'!Z221+'GT-SERV'!Z221+ACCESS!Z221</f>
        <v>0</v>
      </c>
      <c r="AA221" s="106">
        <f t="shared" si="209"/>
        <v>2390181</v>
      </c>
      <c r="AB221" s="118"/>
      <c r="AC221" s="106">
        <f>+'NEW CAR'!AC221+'GT-SERV'!AC221+ACCESS!AC221</f>
        <v>0</v>
      </c>
      <c r="AD221" s="106">
        <f>+'NEW CAR'!AD221+'GT-SERV'!AD221+ACCESS!AD221</f>
        <v>0</v>
      </c>
      <c r="AE221" s="106">
        <f>+'NEW CAR'!AE221+'GT-SERV'!AE221+ACCESS!AE221</f>
        <v>0</v>
      </c>
      <c r="AF221" s="106">
        <f>+'NEW CAR'!AF221+'GT-SERV'!AF221+ACCESS!AF221</f>
        <v>0</v>
      </c>
      <c r="AG221" s="106">
        <f>+'NEW CAR'!AG221+'GT-SERV'!AG221+ACCESS!AG221</f>
        <v>0</v>
      </c>
      <c r="AH221" s="106">
        <f>+'NEW CAR'!AH221+'GT-SERV'!AH221+ACCESS!AH221</f>
        <v>0</v>
      </c>
      <c r="AI221" s="106">
        <f>+'NEW CAR'!AI221+'GT-SERV'!AI221+ACCESS!AI221</f>
        <v>0</v>
      </c>
      <c r="AJ221" s="106">
        <f>+'NEW CAR'!AJ221+'GT-SERV'!AJ221+ACCESS!AJ221</f>
        <v>0</v>
      </c>
      <c r="AK221" s="106">
        <f>+'NEW CAR'!AK221+'GT-SERV'!AK221+ACCESS!AK221</f>
        <v>0</v>
      </c>
      <c r="AL221" s="106">
        <f>+'NEW CAR'!AL221+'GT-SERV'!AL221+ACCESS!AL221</f>
        <v>0</v>
      </c>
      <c r="AM221" s="106">
        <f>+'NEW CAR'!AM221+'GT-SERV'!AM221+ACCESS!AM221</f>
        <v>0</v>
      </c>
      <c r="AN221" s="106">
        <f>+'NEW CAR'!AN221+'GT-SERV'!AN221+ACCESS!AN221</f>
        <v>0</v>
      </c>
      <c r="AO221" s="106">
        <f t="shared" si="210"/>
        <v>0</v>
      </c>
    </row>
    <row r="222" spans="1:41" outlineLevel="1">
      <c r="A222" s="106">
        <f>+'NEW CAR'!A222+'GT-SERV'!A222+ACCESS!A222</f>
        <v>25921.739999999998</v>
      </c>
      <c r="B222" s="106">
        <f>+'NEW CAR'!B222+'GT-SERV'!B222+ACCESS!B222</f>
        <v>53694.39</v>
      </c>
      <c r="C222" s="106">
        <f>+'NEW CAR'!C222+'GT-SERV'!C222+ACCESS!C222</f>
        <v>225991.63</v>
      </c>
      <c r="D222" s="106">
        <f>+'NEW CAR'!D222+'GT-SERV'!D222+ACCESS!D222</f>
        <v>340816.79999999993</v>
      </c>
      <c r="E222" s="106">
        <f>+'NEW CAR'!E222+'GT-SERV'!E222+ACCESS!E222</f>
        <v>567073.26</v>
      </c>
      <c r="F222" s="106">
        <f>+'NEW CAR'!F222+'GT-SERV'!F222+ACCESS!F222</f>
        <v>778832.94</v>
      </c>
      <c r="G222" s="106">
        <f>+'NEW CAR'!G222+'GT-SERV'!G222+ACCESS!G222</f>
        <v>594084.98</v>
      </c>
      <c r="H222" s="106">
        <f>+'NEW CAR'!H222+'GT-SERV'!H222+ACCESS!H222</f>
        <v>653009.65</v>
      </c>
      <c r="I222" s="106">
        <f>+'NEW CAR'!I222+'GT-SERV'!I222+ACCESS!I222</f>
        <v>525964.42000000004</v>
      </c>
      <c r="J222" s="106">
        <f>+'NEW CAR'!J222+'GT-SERV'!J222+ACCESS!J222</f>
        <v>775890.83</v>
      </c>
      <c r="K222" s="106">
        <f>+'NEW CAR'!K222+'GT-SERV'!K222+ACCESS!K222</f>
        <v>726261.78</v>
      </c>
      <c r="L222" s="106">
        <f>+'NEW CAR'!L222+'GT-SERV'!L222+ACCESS!L222</f>
        <v>938284.27000000014</v>
      </c>
      <c r="M222" s="106">
        <f t="shared" si="208"/>
        <v>6205826.6900000004</v>
      </c>
      <c r="N222" s="16" t="s">
        <v>237</v>
      </c>
      <c r="O222" s="106">
        <f>+'NEW CAR'!O222+'GT-SERV'!O222+ACCESS!O222</f>
        <v>831262.76</v>
      </c>
      <c r="P222" s="106">
        <f>+'NEW CAR'!P222+'GT-SERV'!P222+ACCESS!P222</f>
        <v>712003.91</v>
      </c>
      <c r="Q222" s="106">
        <f>+'NEW CAR'!Q222+'GT-SERV'!Q222+ACCESS!Q222</f>
        <v>144485.25</v>
      </c>
      <c r="R222" s="106">
        <f>+'NEW CAR'!R222+'GT-SERV'!R222+ACCESS!R222</f>
        <v>63356.680000000008</v>
      </c>
      <c r="S222" s="106">
        <f>+'NEW CAR'!S222+'GT-SERV'!S222+ACCESS!S222</f>
        <v>40677.699999999997</v>
      </c>
      <c r="T222" s="106">
        <f>+'NEW CAR'!T222+'GT-SERV'!T222+ACCESS!T222</f>
        <v>322150.53999999998</v>
      </c>
      <c r="U222" s="106">
        <f>+'NEW CAR'!U222+'GT-SERV'!U222+ACCESS!U222</f>
        <v>291693.94</v>
      </c>
      <c r="V222" s="106">
        <f>+'NEW CAR'!V222+'GT-SERV'!V222+ACCESS!V222</f>
        <v>388692.58</v>
      </c>
      <c r="W222" s="106">
        <f>+'NEW CAR'!W222+'GT-SERV'!W222+ACCESS!W222</f>
        <v>540750.93000000005</v>
      </c>
      <c r="X222" s="106">
        <f>+'NEW CAR'!X222+'GT-SERV'!X222+ACCESS!X222</f>
        <v>545853.34999999986</v>
      </c>
      <c r="Y222" s="106">
        <f>+'NEW CAR'!Y222+'GT-SERV'!Y222+ACCESS!Y222</f>
        <v>0</v>
      </c>
      <c r="Z222" s="106">
        <f>+'NEW CAR'!Z222+'GT-SERV'!Z222+ACCESS!Z222</f>
        <v>0</v>
      </c>
      <c r="AA222" s="106">
        <f t="shared" si="209"/>
        <v>3880927.6399999997</v>
      </c>
      <c r="AB222" s="118"/>
      <c r="AC222" s="106">
        <f>+'NEW CAR'!AC222+'GT-SERV'!AC222+ACCESS!AC222</f>
        <v>460000</v>
      </c>
      <c r="AD222" s="106">
        <f>+'NEW CAR'!AD222+'GT-SERV'!AD222+ACCESS!AD222</f>
        <v>460000</v>
      </c>
      <c r="AE222" s="106">
        <f>+'NEW CAR'!AE222+'GT-SERV'!AE222+ACCESS!AE222</f>
        <v>460000</v>
      </c>
      <c r="AF222" s="106">
        <f>+'NEW CAR'!AF222+'GT-SERV'!AF222+ACCESS!AF222</f>
        <v>460000</v>
      </c>
      <c r="AG222" s="106">
        <f>+'NEW CAR'!AG222+'GT-SERV'!AG222+ACCESS!AG222</f>
        <v>460000</v>
      </c>
      <c r="AH222" s="106">
        <f>+'NEW CAR'!AH222+'GT-SERV'!AH222+ACCESS!AH222</f>
        <v>460000</v>
      </c>
      <c r="AI222" s="106">
        <f>+'NEW CAR'!AI222+'GT-SERV'!AI222+ACCESS!AI222</f>
        <v>460000</v>
      </c>
      <c r="AJ222" s="106">
        <f>+'NEW CAR'!AJ222+'GT-SERV'!AJ222+ACCESS!AJ222</f>
        <v>460000</v>
      </c>
      <c r="AK222" s="106">
        <f>+'NEW CAR'!AK222+'GT-SERV'!AK222+ACCESS!AK222</f>
        <v>460000</v>
      </c>
      <c r="AL222" s="106">
        <f>+'NEW CAR'!AL222+'GT-SERV'!AL222+ACCESS!AL222</f>
        <v>460000</v>
      </c>
      <c r="AM222" s="106">
        <f>+'NEW CAR'!AM222+'GT-SERV'!AM222+ACCESS!AM222</f>
        <v>460000</v>
      </c>
      <c r="AN222" s="106">
        <f>+'NEW CAR'!AN222+'GT-SERV'!AN222+ACCESS!AN222</f>
        <v>460000</v>
      </c>
      <c r="AO222" s="106">
        <f t="shared" si="210"/>
        <v>5520000</v>
      </c>
    </row>
    <row r="223" spans="1:41" outlineLevel="1">
      <c r="A223" s="58">
        <f t="shared" ref="A223:M223" si="211">+SUM(A224:A226)</f>
        <v>90063.59</v>
      </c>
      <c r="B223" s="58">
        <f t="shared" si="211"/>
        <v>84528.45</v>
      </c>
      <c r="C223" s="58">
        <f t="shared" si="211"/>
        <v>78298.25</v>
      </c>
      <c r="D223" s="58">
        <f t="shared" si="211"/>
        <v>80017.59</v>
      </c>
      <c r="E223" s="58">
        <f t="shared" si="211"/>
        <v>70366.94</v>
      </c>
      <c r="F223" s="58">
        <f t="shared" si="211"/>
        <v>96394.33</v>
      </c>
      <c r="G223" s="58">
        <f t="shared" si="211"/>
        <v>172517.96</v>
      </c>
      <c r="H223" s="58">
        <f t="shared" si="211"/>
        <v>90617.87000000001</v>
      </c>
      <c r="I223" s="58">
        <f t="shared" si="211"/>
        <v>77671.959999999992</v>
      </c>
      <c r="J223" s="58">
        <f t="shared" si="211"/>
        <v>69407.86</v>
      </c>
      <c r="K223" s="58">
        <f t="shared" si="211"/>
        <v>569929.23</v>
      </c>
      <c r="L223" s="58">
        <f t="shared" si="211"/>
        <v>92653.6</v>
      </c>
      <c r="M223" s="58">
        <f t="shared" si="211"/>
        <v>1572467.63</v>
      </c>
      <c r="N223" s="20" t="s">
        <v>186</v>
      </c>
      <c r="O223" s="58">
        <f t="shared" ref="O223:AA223" si="212">+SUM(O224:O226)</f>
        <v>132471.68999999997</v>
      </c>
      <c r="P223" s="58">
        <f t="shared" si="212"/>
        <v>70950.149999999994</v>
      </c>
      <c r="Q223" s="58">
        <f t="shared" si="212"/>
        <v>209339.93</v>
      </c>
      <c r="R223" s="58">
        <f t="shared" si="212"/>
        <v>116074.15999999999</v>
      </c>
      <c r="S223" s="58">
        <f t="shared" si="212"/>
        <v>189336.31</v>
      </c>
      <c r="T223" s="58">
        <f t="shared" si="212"/>
        <v>120844.41000000002</v>
      </c>
      <c r="U223" s="58">
        <f t="shared" si="212"/>
        <v>128949.10999999999</v>
      </c>
      <c r="V223" s="58">
        <f t="shared" si="212"/>
        <v>135087.39000000001</v>
      </c>
      <c r="W223" s="58">
        <f t="shared" si="212"/>
        <v>104550.16</v>
      </c>
      <c r="X223" s="58">
        <f t="shared" si="212"/>
        <v>135904.56</v>
      </c>
      <c r="Y223" s="58">
        <f t="shared" si="212"/>
        <v>0</v>
      </c>
      <c r="Z223" s="58">
        <f t="shared" si="212"/>
        <v>0</v>
      </c>
      <c r="AA223" s="58">
        <f t="shared" si="212"/>
        <v>1343507.8699999999</v>
      </c>
      <c r="AB223" s="118"/>
      <c r="AC223" s="58">
        <f t="shared" ref="AC223:AO223" si="213">+SUM(AC224:AC226)</f>
        <v>159166.66666666666</v>
      </c>
      <c r="AD223" s="58">
        <f t="shared" si="213"/>
        <v>159166.66666666666</v>
      </c>
      <c r="AE223" s="58">
        <f t="shared" si="213"/>
        <v>159166.66666666666</v>
      </c>
      <c r="AF223" s="58">
        <f t="shared" si="213"/>
        <v>159166.66666666666</v>
      </c>
      <c r="AG223" s="58">
        <f t="shared" si="213"/>
        <v>159166.66666666666</v>
      </c>
      <c r="AH223" s="58">
        <f t="shared" si="213"/>
        <v>159166.66666666666</v>
      </c>
      <c r="AI223" s="58">
        <f t="shared" si="213"/>
        <v>159166.66666666666</v>
      </c>
      <c r="AJ223" s="58">
        <f t="shared" si="213"/>
        <v>159166.66666666666</v>
      </c>
      <c r="AK223" s="58">
        <f t="shared" si="213"/>
        <v>159166.66666666666</v>
      </c>
      <c r="AL223" s="58">
        <f t="shared" si="213"/>
        <v>159166.66666666666</v>
      </c>
      <c r="AM223" s="58">
        <f t="shared" si="213"/>
        <v>159166.66666666666</v>
      </c>
      <c r="AN223" s="58">
        <f t="shared" si="213"/>
        <v>159166.66666666666</v>
      </c>
      <c r="AO223" s="58">
        <f t="shared" si="213"/>
        <v>1909999.9999999993</v>
      </c>
    </row>
    <row r="224" spans="1:41" outlineLevel="1">
      <c r="A224" s="106">
        <f>+'NEW CAR'!A224+'GT-SERV'!A224+ACCESS!A224</f>
        <v>90063.59</v>
      </c>
      <c r="B224" s="106">
        <f>+'NEW CAR'!B224+'GT-SERV'!B224+ACCESS!B224</f>
        <v>84528.45</v>
      </c>
      <c r="C224" s="106">
        <f>+'NEW CAR'!C224+'GT-SERV'!C224+ACCESS!C224</f>
        <v>78298.25</v>
      </c>
      <c r="D224" s="106">
        <f>+'NEW CAR'!D224+'GT-SERV'!D224+ACCESS!D224</f>
        <v>80017.59</v>
      </c>
      <c r="E224" s="106">
        <f>+'NEW CAR'!E224+'GT-SERV'!E224+ACCESS!E224</f>
        <v>70366.94</v>
      </c>
      <c r="F224" s="106">
        <f>+'NEW CAR'!F224+'GT-SERV'!F224+ACCESS!F224</f>
        <v>96394.33</v>
      </c>
      <c r="G224" s="106">
        <f>+'NEW CAR'!G224+'GT-SERV'!G224+ACCESS!G224</f>
        <v>172517.96</v>
      </c>
      <c r="H224" s="106">
        <f>+'NEW CAR'!H224+'GT-SERV'!H224+ACCESS!H224</f>
        <v>90617.87000000001</v>
      </c>
      <c r="I224" s="106">
        <f>+'NEW CAR'!I224+'GT-SERV'!I224+ACCESS!I224</f>
        <v>77671.959999999992</v>
      </c>
      <c r="J224" s="106">
        <f>+'NEW CAR'!J224+'GT-SERV'!J224+ACCESS!J224</f>
        <v>69407.86</v>
      </c>
      <c r="K224" s="106">
        <f>+'NEW CAR'!K224+'GT-SERV'!K224+ACCESS!K224</f>
        <v>569929.23</v>
      </c>
      <c r="L224" s="106">
        <f>+'NEW CAR'!L224+'GT-SERV'!L224+ACCESS!L224</f>
        <v>92653.6</v>
      </c>
      <c r="M224" s="106">
        <f t="shared" ref="M224:M226" si="214">+SUM(A224:L224)</f>
        <v>1572467.63</v>
      </c>
      <c r="N224" s="16" t="s">
        <v>187</v>
      </c>
      <c r="O224" s="106">
        <f>+'NEW CAR'!O224+'GT-SERV'!O224+ACCESS!O224</f>
        <v>132471.68999999997</v>
      </c>
      <c r="P224" s="106">
        <f>+'NEW CAR'!P224+'GT-SERV'!P224+ACCESS!P224</f>
        <v>70950.149999999994</v>
      </c>
      <c r="Q224" s="106">
        <f>+'NEW CAR'!Q224+'GT-SERV'!Q224+ACCESS!Q224</f>
        <v>209339.93</v>
      </c>
      <c r="R224" s="106">
        <f>+'NEW CAR'!R224+'GT-SERV'!R224+ACCESS!R224</f>
        <v>116074.15999999999</v>
      </c>
      <c r="S224" s="106">
        <f>+'NEW CAR'!S224+'GT-SERV'!S224+ACCESS!S224</f>
        <v>189336.31</v>
      </c>
      <c r="T224" s="106">
        <f>+'NEW CAR'!T224+'GT-SERV'!T224+ACCESS!T224</f>
        <v>120844.41000000002</v>
      </c>
      <c r="U224" s="106">
        <f>+'NEW CAR'!U224+'GT-SERV'!U224+ACCESS!U224</f>
        <v>128949.10999999999</v>
      </c>
      <c r="V224" s="106">
        <f>+'NEW CAR'!V224+'GT-SERV'!V224+ACCESS!V224</f>
        <v>135087.39000000001</v>
      </c>
      <c r="W224" s="106">
        <f>+'NEW CAR'!W224+'GT-SERV'!W224+ACCESS!W224</f>
        <v>104550.16</v>
      </c>
      <c r="X224" s="106">
        <f>+'NEW CAR'!X224+'GT-SERV'!X224+ACCESS!X224</f>
        <v>135904.56</v>
      </c>
      <c r="Y224" s="106">
        <f>+'NEW CAR'!Y224+'GT-SERV'!Y224+ACCESS!Y224</f>
        <v>0</v>
      </c>
      <c r="Z224" s="106">
        <f>+'NEW CAR'!Z224+'GT-SERV'!Z224+ACCESS!Z224</f>
        <v>0</v>
      </c>
      <c r="AA224" s="106">
        <f t="shared" ref="AA224:AA226" si="215">+SUM(O224:Z224)</f>
        <v>1343507.8699999999</v>
      </c>
      <c r="AB224" s="118"/>
      <c r="AC224" s="106">
        <f>+'NEW CAR'!AC224+'GT-SERV'!AC224+ACCESS!AC224</f>
        <v>133333.33333333331</v>
      </c>
      <c r="AD224" s="106">
        <f>+'NEW CAR'!AD224+'GT-SERV'!AD224+ACCESS!AD224</f>
        <v>133333.33333333331</v>
      </c>
      <c r="AE224" s="106">
        <f>+'NEW CAR'!AE224+'GT-SERV'!AE224+ACCESS!AE224</f>
        <v>133333.33333333331</v>
      </c>
      <c r="AF224" s="106">
        <f>+'NEW CAR'!AF224+'GT-SERV'!AF224+ACCESS!AF224</f>
        <v>133333.33333333331</v>
      </c>
      <c r="AG224" s="106">
        <f>+'NEW CAR'!AG224+'GT-SERV'!AG224+ACCESS!AG224</f>
        <v>133333.33333333331</v>
      </c>
      <c r="AH224" s="106">
        <f>+'NEW CAR'!AH224+'GT-SERV'!AH224+ACCESS!AH224</f>
        <v>133333.33333333331</v>
      </c>
      <c r="AI224" s="106">
        <f>+'NEW CAR'!AI224+'GT-SERV'!AI224+ACCESS!AI224</f>
        <v>133333.33333333331</v>
      </c>
      <c r="AJ224" s="106">
        <f>+'NEW CAR'!AJ224+'GT-SERV'!AJ224+ACCESS!AJ224</f>
        <v>133333.33333333331</v>
      </c>
      <c r="AK224" s="106">
        <f>+'NEW CAR'!AK224+'GT-SERV'!AK224+ACCESS!AK224</f>
        <v>133333.33333333331</v>
      </c>
      <c r="AL224" s="106">
        <f>+'NEW CAR'!AL224+'GT-SERV'!AL224+ACCESS!AL224</f>
        <v>133333.33333333331</v>
      </c>
      <c r="AM224" s="106">
        <f>+'NEW CAR'!AM224+'GT-SERV'!AM224+ACCESS!AM224</f>
        <v>133333.33333333331</v>
      </c>
      <c r="AN224" s="106">
        <f>+'NEW CAR'!AN224+'GT-SERV'!AN224+ACCESS!AN224</f>
        <v>133333.33333333331</v>
      </c>
      <c r="AO224" s="106">
        <f t="shared" ref="AO224:AO226" si="216">+SUM(AC224:AN224)</f>
        <v>1599999.9999999993</v>
      </c>
    </row>
    <row r="225" spans="1:41" outlineLevel="1">
      <c r="A225" s="106">
        <f>+'NEW CAR'!A225+'GT-SERV'!A225+ACCESS!A225</f>
        <v>0</v>
      </c>
      <c r="B225" s="106">
        <f>+'NEW CAR'!B225+'GT-SERV'!B225+ACCESS!B225</f>
        <v>0</v>
      </c>
      <c r="C225" s="106">
        <f>+'NEW CAR'!C225+'GT-SERV'!C225+ACCESS!C225</f>
        <v>0</v>
      </c>
      <c r="D225" s="106">
        <f>+'NEW CAR'!D225+'GT-SERV'!D225+ACCESS!D225</f>
        <v>0</v>
      </c>
      <c r="E225" s="106">
        <f>+'NEW CAR'!E225+'GT-SERV'!E225+ACCESS!E225</f>
        <v>0</v>
      </c>
      <c r="F225" s="106">
        <f>+'NEW CAR'!F225+'GT-SERV'!F225+ACCESS!F225</f>
        <v>0</v>
      </c>
      <c r="G225" s="106">
        <f>+'NEW CAR'!G225+'GT-SERV'!G225+ACCESS!G225</f>
        <v>0</v>
      </c>
      <c r="H225" s="106">
        <f>+'NEW CAR'!H225+'GT-SERV'!H225+ACCESS!H225</f>
        <v>0</v>
      </c>
      <c r="I225" s="106">
        <f>+'NEW CAR'!I225+'GT-SERV'!I225+ACCESS!I225</f>
        <v>0</v>
      </c>
      <c r="J225" s="106">
        <f>+'NEW CAR'!J225+'GT-SERV'!J225+ACCESS!J225</f>
        <v>0</v>
      </c>
      <c r="K225" s="106">
        <f>+'NEW CAR'!K225+'GT-SERV'!K225+ACCESS!K225</f>
        <v>0</v>
      </c>
      <c r="L225" s="106">
        <f>+'NEW CAR'!L225+'GT-SERV'!L225+ACCESS!L225</f>
        <v>0</v>
      </c>
      <c r="M225" s="106">
        <f t="shared" si="214"/>
        <v>0</v>
      </c>
      <c r="N225" s="16" t="s">
        <v>188</v>
      </c>
      <c r="O225" s="106">
        <f>+'NEW CAR'!O225+'GT-SERV'!O225+ACCESS!O225</f>
        <v>0</v>
      </c>
      <c r="P225" s="106">
        <f>+'NEW CAR'!P225+'GT-SERV'!P225+ACCESS!P225</f>
        <v>0</v>
      </c>
      <c r="Q225" s="106">
        <f>+'NEW CAR'!Q225+'GT-SERV'!Q225+ACCESS!Q225</f>
        <v>0</v>
      </c>
      <c r="R225" s="106">
        <f>+'NEW CAR'!R225+'GT-SERV'!R225+ACCESS!R225</f>
        <v>0</v>
      </c>
      <c r="S225" s="106">
        <f>+'NEW CAR'!S225+'GT-SERV'!S225+ACCESS!S225</f>
        <v>0</v>
      </c>
      <c r="T225" s="106">
        <f>+'NEW CAR'!T225+'GT-SERV'!T225+ACCESS!T225</f>
        <v>0</v>
      </c>
      <c r="U225" s="106">
        <f>+'NEW CAR'!U225+'GT-SERV'!U225+ACCESS!U225</f>
        <v>0</v>
      </c>
      <c r="V225" s="106">
        <f>+'NEW CAR'!V225+'GT-SERV'!V225+ACCESS!V225</f>
        <v>0</v>
      </c>
      <c r="W225" s="106">
        <f>+'NEW CAR'!W225+'GT-SERV'!W225+ACCESS!W225</f>
        <v>0</v>
      </c>
      <c r="X225" s="106">
        <f>+'NEW CAR'!X225+'GT-SERV'!X225+ACCESS!X225</f>
        <v>0</v>
      </c>
      <c r="Y225" s="106">
        <f>+'NEW CAR'!Y225+'GT-SERV'!Y225+ACCESS!Y225</f>
        <v>0</v>
      </c>
      <c r="Z225" s="106">
        <f>+'NEW CAR'!Z225+'GT-SERV'!Z225+ACCESS!Z225</f>
        <v>0</v>
      </c>
      <c r="AA225" s="106">
        <f t="shared" si="215"/>
        <v>0</v>
      </c>
      <c r="AB225" s="118"/>
      <c r="AC225" s="106">
        <f>+'NEW CAR'!AC225+'GT-SERV'!AC225+ACCESS!AC225</f>
        <v>17500</v>
      </c>
      <c r="AD225" s="106">
        <f>+'NEW CAR'!AD225+'GT-SERV'!AD225+ACCESS!AD225</f>
        <v>17500</v>
      </c>
      <c r="AE225" s="106">
        <f>+'NEW CAR'!AE225+'GT-SERV'!AE225+ACCESS!AE225</f>
        <v>17500</v>
      </c>
      <c r="AF225" s="106">
        <f>+'NEW CAR'!AF225+'GT-SERV'!AF225+ACCESS!AF225</f>
        <v>17500</v>
      </c>
      <c r="AG225" s="106">
        <f>+'NEW CAR'!AG225+'GT-SERV'!AG225+ACCESS!AG225</f>
        <v>17500</v>
      </c>
      <c r="AH225" s="106">
        <f>+'NEW CAR'!AH225+'GT-SERV'!AH225+ACCESS!AH225</f>
        <v>17500</v>
      </c>
      <c r="AI225" s="106">
        <f>+'NEW CAR'!AI225+'GT-SERV'!AI225+ACCESS!AI225</f>
        <v>17500</v>
      </c>
      <c r="AJ225" s="106">
        <f>+'NEW CAR'!AJ225+'GT-SERV'!AJ225+ACCESS!AJ225</f>
        <v>17500</v>
      </c>
      <c r="AK225" s="106">
        <f>+'NEW CAR'!AK225+'GT-SERV'!AK225+ACCESS!AK225</f>
        <v>17500</v>
      </c>
      <c r="AL225" s="106">
        <f>+'NEW CAR'!AL225+'GT-SERV'!AL225+ACCESS!AL225</f>
        <v>17500</v>
      </c>
      <c r="AM225" s="106">
        <f>+'NEW CAR'!AM225+'GT-SERV'!AM225+ACCESS!AM225</f>
        <v>17500</v>
      </c>
      <c r="AN225" s="106">
        <f>+'NEW CAR'!AN225+'GT-SERV'!AN225+ACCESS!AN225</f>
        <v>17500</v>
      </c>
      <c r="AO225" s="106">
        <f t="shared" si="216"/>
        <v>210000</v>
      </c>
    </row>
    <row r="226" spans="1:41" outlineLevel="1">
      <c r="A226" s="106">
        <f>+'NEW CAR'!A226+'GT-SERV'!A226+ACCESS!A226</f>
        <v>0</v>
      </c>
      <c r="B226" s="106">
        <f>+'NEW CAR'!B226+'GT-SERV'!B226+ACCESS!B226</f>
        <v>0</v>
      </c>
      <c r="C226" s="106">
        <f>+'NEW CAR'!C226+'GT-SERV'!C226+ACCESS!C226</f>
        <v>0</v>
      </c>
      <c r="D226" s="106">
        <f>+'NEW CAR'!D226+'GT-SERV'!D226+ACCESS!D226</f>
        <v>0</v>
      </c>
      <c r="E226" s="106">
        <f>+'NEW CAR'!E226+'GT-SERV'!E226+ACCESS!E226</f>
        <v>0</v>
      </c>
      <c r="F226" s="106">
        <f>+'NEW CAR'!F226+'GT-SERV'!F226+ACCESS!F226</f>
        <v>0</v>
      </c>
      <c r="G226" s="106">
        <f>+'NEW CAR'!G226+'GT-SERV'!G226+ACCESS!G226</f>
        <v>0</v>
      </c>
      <c r="H226" s="106">
        <f>+'NEW CAR'!H226+'GT-SERV'!H226+ACCESS!H226</f>
        <v>0</v>
      </c>
      <c r="I226" s="106">
        <f>+'NEW CAR'!I226+'GT-SERV'!I226+ACCESS!I226</f>
        <v>0</v>
      </c>
      <c r="J226" s="106">
        <f>+'NEW CAR'!J226+'GT-SERV'!J226+ACCESS!J226</f>
        <v>0</v>
      </c>
      <c r="K226" s="106">
        <f>+'NEW CAR'!K226+'GT-SERV'!K226+ACCESS!K226</f>
        <v>0</v>
      </c>
      <c r="L226" s="106">
        <f>+'NEW CAR'!L226+'GT-SERV'!L226+ACCESS!L226</f>
        <v>0</v>
      </c>
      <c r="M226" s="106">
        <f t="shared" si="214"/>
        <v>0</v>
      </c>
      <c r="N226" s="16" t="s">
        <v>189</v>
      </c>
      <c r="O226" s="106">
        <f>+'NEW CAR'!O226+'GT-SERV'!O226+ACCESS!O226</f>
        <v>0</v>
      </c>
      <c r="P226" s="106">
        <f>+'NEW CAR'!P226+'GT-SERV'!P226+ACCESS!P226</f>
        <v>0</v>
      </c>
      <c r="Q226" s="106">
        <f>+'NEW CAR'!Q226+'GT-SERV'!Q226+ACCESS!Q226</f>
        <v>0</v>
      </c>
      <c r="R226" s="106">
        <f>+'NEW CAR'!R226+'GT-SERV'!R226+ACCESS!R226</f>
        <v>0</v>
      </c>
      <c r="S226" s="106">
        <f>+'NEW CAR'!S226+'GT-SERV'!S226+ACCESS!S226</f>
        <v>0</v>
      </c>
      <c r="T226" s="106">
        <f>+'NEW CAR'!T226+'GT-SERV'!T226+ACCESS!T226</f>
        <v>0</v>
      </c>
      <c r="U226" s="106">
        <f>+'NEW CAR'!U226+'GT-SERV'!U226+ACCESS!U226</f>
        <v>0</v>
      </c>
      <c r="V226" s="106">
        <f>+'NEW CAR'!V226+'GT-SERV'!V226+ACCESS!V226</f>
        <v>0</v>
      </c>
      <c r="W226" s="106">
        <f>+'NEW CAR'!W226+'GT-SERV'!W226+ACCESS!W226</f>
        <v>0</v>
      </c>
      <c r="X226" s="106">
        <f>+'NEW CAR'!X226+'GT-SERV'!X226+ACCESS!X226</f>
        <v>0</v>
      </c>
      <c r="Y226" s="106">
        <f>+'NEW CAR'!Y226+'GT-SERV'!Y226+ACCESS!Y226</f>
        <v>0</v>
      </c>
      <c r="Z226" s="106">
        <f>+'NEW CAR'!Z226+'GT-SERV'!Z226+ACCESS!Z226</f>
        <v>0</v>
      </c>
      <c r="AA226" s="106">
        <f t="shared" si="215"/>
        <v>0</v>
      </c>
      <c r="AB226" s="118"/>
      <c r="AC226" s="106">
        <f>+'NEW CAR'!AC226+'GT-SERV'!AC226+ACCESS!AC226</f>
        <v>8333.3333333333321</v>
      </c>
      <c r="AD226" s="106">
        <f>+'NEW CAR'!AD226+'GT-SERV'!AD226+ACCESS!AD226</f>
        <v>8333.3333333333321</v>
      </c>
      <c r="AE226" s="106">
        <f>+'NEW CAR'!AE226+'GT-SERV'!AE226+ACCESS!AE226</f>
        <v>8333.3333333333321</v>
      </c>
      <c r="AF226" s="106">
        <f>+'NEW CAR'!AF226+'GT-SERV'!AF226+ACCESS!AF226</f>
        <v>8333.3333333333321</v>
      </c>
      <c r="AG226" s="106">
        <f>+'NEW CAR'!AG226+'GT-SERV'!AG226+ACCESS!AG226</f>
        <v>8333.3333333333321</v>
      </c>
      <c r="AH226" s="106">
        <f>+'NEW CAR'!AH226+'GT-SERV'!AH226+ACCESS!AH226</f>
        <v>8333.3333333333321</v>
      </c>
      <c r="AI226" s="106">
        <f>+'NEW CAR'!AI226+'GT-SERV'!AI226+ACCESS!AI226</f>
        <v>8333.3333333333321</v>
      </c>
      <c r="AJ226" s="106">
        <f>+'NEW CAR'!AJ226+'GT-SERV'!AJ226+ACCESS!AJ226</f>
        <v>8333.3333333333321</v>
      </c>
      <c r="AK226" s="106">
        <f>+'NEW CAR'!AK226+'GT-SERV'!AK226+ACCESS!AK226</f>
        <v>8333.3333333333321</v>
      </c>
      <c r="AL226" s="106">
        <f>+'NEW CAR'!AL226+'GT-SERV'!AL226+ACCESS!AL226</f>
        <v>8333.3333333333321</v>
      </c>
      <c r="AM226" s="106">
        <f>+'NEW CAR'!AM226+'GT-SERV'!AM226+ACCESS!AM226</f>
        <v>8333.3333333333321</v>
      </c>
      <c r="AN226" s="106">
        <f>+'NEW CAR'!AN226+'GT-SERV'!AN226+ACCESS!AN226</f>
        <v>8333.3333333333321</v>
      </c>
      <c r="AO226" s="106">
        <f t="shared" si="216"/>
        <v>99999.999999999956</v>
      </c>
    </row>
    <row r="227" spans="1:41" outlineLevel="1">
      <c r="A227" s="58">
        <f t="shared" ref="A227:M227" si="217">+A228+A229</f>
        <v>10378</v>
      </c>
      <c r="B227" s="58">
        <f t="shared" si="217"/>
        <v>135856</v>
      </c>
      <c r="C227" s="58">
        <f t="shared" si="217"/>
        <v>228130</v>
      </c>
      <c r="D227" s="58">
        <f t="shared" si="217"/>
        <v>27312.000000000004</v>
      </c>
      <c r="E227" s="58">
        <f t="shared" si="217"/>
        <v>8219</v>
      </c>
      <c r="F227" s="58">
        <f t="shared" si="217"/>
        <v>28633</v>
      </c>
      <c r="G227" s="58">
        <f t="shared" si="217"/>
        <v>24909</v>
      </c>
      <c r="H227" s="58">
        <f t="shared" si="217"/>
        <v>42872</v>
      </c>
      <c r="I227" s="58">
        <f t="shared" si="217"/>
        <v>72238</v>
      </c>
      <c r="J227" s="58">
        <f t="shared" si="217"/>
        <v>91720</v>
      </c>
      <c r="K227" s="58">
        <f t="shared" si="217"/>
        <v>58375</v>
      </c>
      <c r="L227" s="58">
        <f t="shared" si="217"/>
        <v>85163</v>
      </c>
      <c r="M227" s="58">
        <f t="shared" si="217"/>
        <v>813805</v>
      </c>
      <c r="N227" s="20" t="s">
        <v>190</v>
      </c>
      <c r="O227" s="58">
        <f t="shared" ref="O227:AA227" si="218">+O228+O229</f>
        <v>91287</v>
      </c>
      <c r="P227" s="58">
        <f t="shared" si="218"/>
        <v>67381</v>
      </c>
      <c r="Q227" s="58">
        <f t="shared" si="218"/>
        <v>16608</v>
      </c>
      <c r="R227" s="58">
        <f t="shared" si="218"/>
        <v>4392</v>
      </c>
      <c r="S227" s="58">
        <f t="shared" si="218"/>
        <v>49371</v>
      </c>
      <c r="T227" s="58">
        <f t="shared" si="218"/>
        <v>30079</v>
      </c>
      <c r="U227" s="58">
        <f t="shared" si="218"/>
        <v>0</v>
      </c>
      <c r="V227" s="58">
        <f t="shared" si="218"/>
        <v>18647</v>
      </c>
      <c r="W227" s="58">
        <f t="shared" si="218"/>
        <v>1649</v>
      </c>
      <c r="X227" s="58">
        <f t="shared" si="218"/>
        <v>11757</v>
      </c>
      <c r="Y227" s="58">
        <f t="shared" si="218"/>
        <v>0</v>
      </c>
      <c r="Z227" s="58">
        <f t="shared" si="218"/>
        <v>0</v>
      </c>
      <c r="AA227" s="58">
        <f t="shared" si="218"/>
        <v>291171</v>
      </c>
      <c r="AB227" s="118"/>
      <c r="AC227" s="58">
        <f t="shared" ref="AC227:AN227" si="219">+AC228+AC229</f>
        <v>0</v>
      </c>
      <c r="AD227" s="58">
        <f t="shared" si="219"/>
        <v>0</v>
      </c>
      <c r="AE227" s="58">
        <f t="shared" si="219"/>
        <v>0</v>
      </c>
      <c r="AF227" s="58">
        <f t="shared" si="219"/>
        <v>0</v>
      </c>
      <c r="AG227" s="58">
        <f t="shared" si="219"/>
        <v>0</v>
      </c>
      <c r="AH227" s="58">
        <f t="shared" si="219"/>
        <v>0</v>
      </c>
      <c r="AI227" s="58">
        <f t="shared" si="219"/>
        <v>0</v>
      </c>
      <c r="AJ227" s="58">
        <f t="shared" si="219"/>
        <v>0</v>
      </c>
      <c r="AK227" s="58">
        <f t="shared" si="219"/>
        <v>0</v>
      </c>
      <c r="AL227" s="58">
        <f t="shared" si="219"/>
        <v>0</v>
      </c>
      <c r="AM227" s="58">
        <f t="shared" si="219"/>
        <v>0</v>
      </c>
      <c r="AN227" s="58">
        <f t="shared" si="219"/>
        <v>0</v>
      </c>
      <c r="AO227" s="58"/>
    </row>
    <row r="228" spans="1:41" outlineLevel="1">
      <c r="A228" s="106">
        <f>+'NEW CAR'!A228+'GT-SERV'!A228+ACCESS!A228</f>
        <v>0</v>
      </c>
      <c r="B228" s="106">
        <f>+'NEW CAR'!B228+'GT-SERV'!B228+ACCESS!B228</f>
        <v>0</v>
      </c>
      <c r="C228" s="106">
        <f>+'NEW CAR'!C228+'GT-SERV'!C228+ACCESS!C228</f>
        <v>0</v>
      </c>
      <c r="D228" s="106">
        <f>+'NEW CAR'!D228+'GT-SERV'!D228+ACCESS!D228</f>
        <v>0</v>
      </c>
      <c r="E228" s="106">
        <f>+'NEW CAR'!E228+'GT-SERV'!E228+ACCESS!E228</f>
        <v>0</v>
      </c>
      <c r="F228" s="106">
        <f>+'NEW CAR'!F228+'GT-SERV'!F228+ACCESS!F228</f>
        <v>0</v>
      </c>
      <c r="G228" s="106">
        <f>+'NEW CAR'!G228+'GT-SERV'!G228+ACCESS!G228</f>
        <v>0</v>
      </c>
      <c r="H228" s="106">
        <f>+'NEW CAR'!H228+'GT-SERV'!H228+ACCESS!H228</f>
        <v>0</v>
      </c>
      <c r="I228" s="106">
        <f>+'NEW CAR'!I228+'GT-SERV'!I228+ACCESS!I228</f>
        <v>0</v>
      </c>
      <c r="J228" s="106">
        <f>+'NEW CAR'!J228+'GT-SERV'!J228+ACCESS!J228</f>
        <v>0</v>
      </c>
      <c r="K228" s="106">
        <f>+'NEW CAR'!K228+'GT-SERV'!K228+ACCESS!K228</f>
        <v>0</v>
      </c>
      <c r="L228" s="106">
        <f>+'NEW CAR'!L228+'GT-SERV'!L228+ACCESS!L228</f>
        <v>0</v>
      </c>
      <c r="M228" s="106">
        <f t="shared" ref="M228:M229" si="220">+SUM(A228:L228)</f>
        <v>0</v>
      </c>
      <c r="N228" s="16" t="s">
        <v>191</v>
      </c>
      <c r="O228" s="106">
        <f>+'NEW CAR'!O228+'GT-SERV'!O228+ACCESS!O228</f>
        <v>0</v>
      </c>
      <c r="P228" s="106">
        <f>+'NEW CAR'!P228+'GT-SERV'!P228+ACCESS!P228</f>
        <v>0</v>
      </c>
      <c r="Q228" s="106">
        <f>+'NEW CAR'!Q228+'GT-SERV'!Q228+ACCESS!Q228</f>
        <v>0</v>
      </c>
      <c r="R228" s="106">
        <f>+'NEW CAR'!R228+'GT-SERV'!R228+ACCESS!R228</f>
        <v>0</v>
      </c>
      <c r="S228" s="106">
        <f>+'NEW CAR'!S228+'GT-SERV'!S228+ACCESS!S228</f>
        <v>0</v>
      </c>
      <c r="T228" s="106">
        <f>+'NEW CAR'!T228+'GT-SERV'!T228+ACCESS!T228</f>
        <v>0</v>
      </c>
      <c r="U228" s="106">
        <f>+'NEW CAR'!U228+'GT-SERV'!U228+ACCESS!U228</f>
        <v>0</v>
      </c>
      <c r="V228" s="106">
        <f>+'NEW CAR'!V228+'GT-SERV'!V228+ACCESS!V228</f>
        <v>0</v>
      </c>
      <c r="W228" s="106">
        <f>+'NEW CAR'!W228+'GT-SERV'!W228+ACCESS!W228</f>
        <v>0</v>
      </c>
      <c r="X228" s="106">
        <f>+'NEW CAR'!X228+'GT-SERV'!X228+ACCESS!X228</f>
        <v>0</v>
      </c>
      <c r="Y228" s="106">
        <f>+'NEW CAR'!Y228+'GT-SERV'!Y228+ACCESS!Y228</f>
        <v>0</v>
      </c>
      <c r="Z228" s="106">
        <f>+'NEW CAR'!Z228+'GT-SERV'!Z228+ACCESS!Z228</f>
        <v>0</v>
      </c>
      <c r="AA228" s="106">
        <f t="shared" ref="AA228:AA229" si="221">+SUM(O228:Z228)</f>
        <v>0</v>
      </c>
      <c r="AB228" s="118"/>
      <c r="AC228" s="106">
        <f>+'NEW CAR'!AC228+'GT-SERV'!AC228+ACCESS!AC228</f>
        <v>0</v>
      </c>
      <c r="AD228" s="106">
        <f>+'NEW CAR'!AD228+'GT-SERV'!AD228+ACCESS!AD228</f>
        <v>0</v>
      </c>
      <c r="AE228" s="106">
        <f>+'NEW CAR'!AE228+'GT-SERV'!AE228+ACCESS!AE228</f>
        <v>0</v>
      </c>
      <c r="AF228" s="106">
        <f>+'NEW CAR'!AF228+'GT-SERV'!AF228+ACCESS!AF228</f>
        <v>0</v>
      </c>
      <c r="AG228" s="106">
        <f>+'NEW CAR'!AG228+'GT-SERV'!AG228+ACCESS!AG228</f>
        <v>0</v>
      </c>
      <c r="AH228" s="106">
        <f>+'NEW CAR'!AH228+'GT-SERV'!AH228+ACCESS!AH228</f>
        <v>0</v>
      </c>
      <c r="AI228" s="106">
        <f>+'NEW CAR'!AI228+'GT-SERV'!AI228+ACCESS!AI228</f>
        <v>0</v>
      </c>
      <c r="AJ228" s="106">
        <f>+'NEW CAR'!AJ228+'GT-SERV'!AJ228+ACCESS!AJ228</f>
        <v>0</v>
      </c>
      <c r="AK228" s="106">
        <f>+'NEW CAR'!AK228+'GT-SERV'!AK228+ACCESS!AK228</f>
        <v>0</v>
      </c>
      <c r="AL228" s="106">
        <f>+'NEW CAR'!AL228+'GT-SERV'!AL228+ACCESS!AL228</f>
        <v>0</v>
      </c>
      <c r="AM228" s="106">
        <f>+'NEW CAR'!AM228+'GT-SERV'!AM228+ACCESS!AM228</f>
        <v>0</v>
      </c>
      <c r="AN228" s="106">
        <f>+'NEW CAR'!AN228+'GT-SERV'!AN228+ACCESS!AN228</f>
        <v>0</v>
      </c>
      <c r="AO228" s="106">
        <f t="shared" ref="AO228:AO229" si="222">+SUM(AC228:AN228)</f>
        <v>0</v>
      </c>
    </row>
    <row r="229" spans="1:41" outlineLevel="1">
      <c r="A229" s="106">
        <f>+'NEW CAR'!A229+'GT-SERV'!A229+ACCESS!A229</f>
        <v>10378</v>
      </c>
      <c r="B229" s="106">
        <f>+'NEW CAR'!B229+'GT-SERV'!B229+ACCESS!B229</f>
        <v>135856</v>
      </c>
      <c r="C229" s="106">
        <f>+'NEW CAR'!C229+'GT-SERV'!C229+ACCESS!C229</f>
        <v>228130</v>
      </c>
      <c r="D229" s="106">
        <f>+'NEW CAR'!D229+'GT-SERV'!D229+ACCESS!D229</f>
        <v>27312.000000000004</v>
      </c>
      <c r="E229" s="106">
        <f>+'NEW CAR'!E229+'GT-SERV'!E229+ACCESS!E229</f>
        <v>8219</v>
      </c>
      <c r="F229" s="106">
        <f>+'NEW CAR'!F229+'GT-SERV'!F229+ACCESS!F229</f>
        <v>28633</v>
      </c>
      <c r="G229" s="106">
        <f>+'NEW CAR'!G229+'GT-SERV'!G229+ACCESS!G229</f>
        <v>24909</v>
      </c>
      <c r="H229" s="106">
        <f>+'NEW CAR'!H229+'GT-SERV'!H229+ACCESS!H229</f>
        <v>42872</v>
      </c>
      <c r="I229" s="106">
        <f>+'NEW CAR'!I229+'GT-SERV'!I229+ACCESS!I229</f>
        <v>72238</v>
      </c>
      <c r="J229" s="106">
        <f>+'NEW CAR'!J229+'GT-SERV'!J229+ACCESS!J229</f>
        <v>91720</v>
      </c>
      <c r="K229" s="106">
        <f>+'NEW CAR'!K229+'GT-SERV'!K229+ACCESS!K229</f>
        <v>58375</v>
      </c>
      <c r="L229" s="106">
        <f>+'NEW CAR'!L229+'GT-SERV'!L229+ACCESS!L229</f>
        <v>85163</v>
      </c>
      <c r="M229" s="106">
        <f t="shared" si="220"/>
        <v>813805</v>
      </c>
      <c r="N229" s="16" t="s">
        <v>192</v>
      </c>
      <c r="O229" s="106">
        <f>+'NEW CAR'!O229+'GT-SERV'!O229+ACCESS!O229</f>
        <v>91287</v>
      </c>
      <c r="P229" s="106">
        <f>+'NEW CAR'!P229+'GT-SERV'!P229+ACCESS!P229</f>
        <v>67381</v>
      </c>
      <c r="Q229" s="106">
        <f>+'NEW CAR'!Q229+'GT-SERV'!Q229+ACCESS!Q229</f>
        <v>16608</v>
      </c>
      <c r="R229" s="106">
        <f>+'NEW CAR'!R229+'GT-SERV'!R229+ACCESS!R229</f>
        <v>4392</v>
      </c>
      <c r="S229" s="106">
        <f>+'NEW CAR'!S229+'GT-SERV'!S229+ACCESS!S229</f>
        <v>49371</v>
      </c>
      <c r="T229" s="106">
        <f>+'NEW CAR'!T229+'GT-SERV'!T229+ACCESS!T229</f>
        <v>30079</v>
      </c>
      <c r="U229" s="106">
        <f>+'NEW CAR'!U229+'GT-SERV'!U229+ACCESS!U229</f>
        <v>0</v>
      </c>
      <c r="V229" s="106">
        <f>+'NEW CAR'!V229+'GT-SERV'!V229+ACCESS!V229</f>
        <v>18647</v>
      </c>
      <c r="W229" s="106">
        <f>+'NEW CAR'!W229+'GT-SERV'!W229+ACCESS!W229</f>
        <v>1649</v>
      </c>
      <c r="X229" s="106">
        <f>+'NEW CAR'!X229+'GT-SERV'!X229+ACCESS!X229</f>
        <v>11757</v>
      </c>
      <c r="Y229" s="106">
        <f>+'NEW CAR'!Y229+'GT-SERV'!Y229+ACCESS!Y229</f>
        <v>0</v>
      </c>
      <c r="Z229" s="106">
        <f>+'NEW CAR'!Z229+'GT-SERV'!Z229+ACCESS!Z229</f>
        <v>0</v>
      </c>
      <c r="AA229" s="106">
        <f t="shared" si="221"/>
        <v>291171</v>
      </c>
      <c r="AB229" s="118"/>
      <c r="AC229" s="106">
        <f>+'NEW CAR'!AC229+'GT-SERV'!AC229+ACCESS!AC229</f>
        <v>0</v>
      </c>
      <c r="AD229" s="106">
        <f>+'NEW CAR'!AD229+'GT-SERV'!AD229+ACCESS!AD229</f>
        <v>0</v>
      </c>
      <c r="AE229" s="106">
        <f>+'NEW CAR'!AE229+'GT-SERV'!AE229+ACCESS!AE229</f>
        <v>0</v>
      </c>
      <c r="AF229" s="106">
        <f>+'NEW CAR'!AF229+'GT-SERV'!AF229+ACCESS!AF229</f>
        <v>0</v>
      </c>
      <c r="AG229" s="106">
        <f>+'NEW CAR'!AG229+'GT-SERV'!AG229+ACCESS!AG229</f>
        <v>0</v>
      </c>
      <c r="AH229" s="106">
        <f>+'NEW CAR'!AH229+'GT-SERV'!AH229+ACCESS!AH229</f>
        <v>0</v>
      </c>
      <c r="AI229" s="106">
        <f>+'NEW CAR'!AI229+'GT-SERV'!AI229+ACCESS!AI229</f>
        <v>0</v>
      </c>
      <c r="AJ229" s="106">
        <f>+'NEW CAR'!AJ229+'GT-SERV'!AJ229+ACCESS!AJ229</f>
        <v>0</v>
      </c>
      <c r="AK229" s="106">
        <f>+'NEW CAR'!AK229+'GT-SERV'!AK229+ACCESS!AK229</f>
        <v>0</v>
      </c>
      <c r="AL229" s="106">
        <f>+'NEW CAR'!AL229+'GT-SERV'!AL229+ACCESS!AL229</f>
        <v>0</v>
      </c>
      <c r="AM229" s="106">
        <f>+'NEW CAR'!AM229+'GT-SERV'!AM229+ACCESS!AM229</f>
        <v>0</v>
      </c>
      <c r="AN229" s="106">
        <f>+'NEW CAR'!AN229+'GT-SERV'!AN229+ACCESS!AN229</f>
        <v>0</v>
      </c>
      <c r="AO229" s="106">
        <f t="shared" si="222"/>
        <v>0</v>
      </c>
    </row>
    <row r="230" spans="1:41">
      <c r="A230" s="58">
        <f t="shared" ref="A230:M230" si="223">+A218+A156+A115+A104+A75</f>
        <v>14241785.348843517</v>
      </c>
      <c r="B230" s="58">
        <f t="shared" si="223"/>
        <v>15480318.538528625</v>
      </c>
      <c r="C230" s="58">
        <f t="shared" si="223"/>
        <v>18566112.610530846</v>
      </c>
      <c r="D230" s="58">
        <f t="shared" si="223"/>
        <v>14882768.423664063</v>
      </c>
      <c r="E230" s="58">
        <f t="shared" si="223"/>
        <v>16373743.546300318</v>
      </c>
      <c r="F230" s="58">
        <f t="shared" si="223"/>
        <v>17855253.308542326</v>
      </c>
      <c r="G230" s="58">
        <f t="shared" si="223"/>
        <v>16691518.988415705</v>
      </c>
      <c r="H230" s="58">
        <f t="shared" si="223"/>
        <v>16549306.157661375</v>
      </c>
      <c r="I230" s="58">
        <f t="shared" si="223"/>
        <v>17356032.905304883</v>
      </c>
      <c r="J230" s="58">
        <f t="shared" si="223"/>
        <v>18014258.773916755</v>
      </c>
      <c r="K230" s="58">
        <f t="shared" si="223"/>
        <v>17631537.347286619</v>
      </c>
      <c r="L230" s="58">
        <f t="shared" si="223"/>
        <v>18671849.897286616</v>
      </c>
      <c r="M230" s="58">
        <f t="shared" si="223"/>
        <v>202314485.84628165</v>
      </c>
      <c r="N230" s="14" t="s">
        <v>193</v>
      </c>
      <c r="O230" s="58">
        <f t="shared" ref="O230:AA230" si="224">+O218+O156+O115+O104+O75</f>
        <v>19244661.996345792</v>
      </c>
      <c r="P230" s="58">
        <f t="shared" si="224"/>
        <v>17361902.117538109</v>
      </c>
      <c r="Q230" s="58">
        <f t="shared" si="224"/>
        <v>19479403.347749211</v>
      </c>
      <c r="R230" s="58">
        <f t="shared" si="224"/>
        <v>16065949.891506301</v>
      </c>
      <c r="S230" s="58">
        <f t="shared" si="224"/>
        <v>18363833.658606756</v>
      </c>
      <c r="T230" s="58">
        <f t="shared" si="224"/>
        <v>20157340.589361548</v>
      </c>
      <c r="U230" s="58">
        <f t="shared" si="224"/>
        <v>18471637.758244962</v>
      </c>
      <c r="V230" s="58">
        <f t="shared" si="224"/>
        <v>19104583.151524562</v>
      </c>
      <c r="W230" s="58">
        <f t="shared" si="224"/>
        <v>20547001.573311359</v>
      </c>
      <c r="X230" s="58">
        <f t="shared" si="224"/>
        <v>20654436.345969461</v>
      </c>
      <c r="Y230" s="58">
        <f t="shared" si="224"/>
        <v>0</v>
      </c>
      <c r="Z230" s="58">
        <f t="shared" si="224"/>
        <v>0</v>
      </c>
      <c r="AA230" s="58">
        <f t="shared" si="224"/>
        <v>189450750.43015808</v>
      </c>
      <c r="AB230" s="118"/>
      <c r="AC230" s="58">
        <f t="shared" ref="AC230:AO230" si="225">+AC218+AC156+AC115+AC104+AC75</f>
        <v>18584086.335249215</v>
      </c>
      <c r="AD230" s="58">
        <f t="shared" si="225"/>
        <v>18367537.907637466</v>
      </c>
      <c r="AE230" s="58">
        <f t="shared" si="225"/>
        <v>19463595.861156601</v>
      </c>
      <c r="AF230" s="58">
        <f t="shared" si="225"/>
        <v>18435465.435274281</v>
      </c>
      <c r="AG230" s="58">
        <f t="shared" si="225"/>
        <v>18915277.32225411</v>
      </c>
      <c r="AH230" s="58">
        <f t="shared" si="225"/>
        <v>18351901.928674117</v>
      </c>
      <c r="AI230" s="58">
        <f t="shared" si="225"/>
        <v>18542582.611867744</v>
      </c>
      <c r="AJ230" s="58">
        <f t="shared" si="225"/>
        <v>19222469.626288272</v>
      </c>
      <c r="AK230" s="58">
        <f t="shared" si="225"/>
        <v>19370093.913643707</v>
      </c>
      <c r="AL230" s="58">
        <f t="shared" si="225"/>
        <v>19359707.02622303</v>
      </c>
      <c r="AM230" s="58">
        <f t="shared" si="225"/>
        <v>18184209.268862952</v>
      </c>
      <c r="AN230" s="58">
        <f t="shared" si="225"/>
        <v>19710052.235850111</v>
      </c>
      <c r="AO230" s="58">
        <f t="shared" si="225"/>
        <v>226506979.47298163</v>
      </c>
    </row>
    <row r="231" spans="1:41">
      <c r="A231" s="108">
        <f t="shared" ref="A231:M231" si="226">IFERROR(A230/A70,0)</f>
        <v>0.1220106186514691</v>
      </c>
      <c r="B231" s="108">
        <f t="shared" si="226"/>
        <v>6.2807229055020175E-2</v>
      </c>
      <c r="C231" s="108">
        <f t="shared" si="226"/>
        <v>5.6870329885444104E-2</v>
      </c>
      <c r="D231" s="108">
        <f t="shared" si="226"/>
        <v>0.10949227660170559</v>
      </c>
      <c r="E231" s="108">
        <f t="shared" si="226"/>
        <v>6.6735632150572655E-2</v>
      </c>
      <c r="F231" s="108">
        <f t="shared" si="226"/>
        <v>9.4532277947176044E-2</v>
      </c>
      <c r="G231" s="108">
        <f t="shared" si="226"/>
        <v>8.800725461948003E-2</v>
      </c>
      <c r="H231" s="108">
        <f t="shared" si="226"/>
        <v>7.7518046774037355E-2</v>
      </c>
      <c r="I231" s="108">
        <f t="shared" si="226"/>
        <v>9.4180531474251566E-2</v>
      </c>
      <c r="J231" s="108">
        <f t="shared" si="226"/>
        <v>8.1610018043181229E-2</v>
      </c>
      <c r="K231" s="108">
        <f t="shared" si="226"/>
        <v>7.9487213962729744E-2</v>
      </c>
      <c r="L231" s="108">
        <f t="shared" si="226"/>
        <v>7.141424706008484E-2</v>
      </c>
      <c r="M231" s="108">
        <f t="shared" si="226"/>
        <v>7.9299637211253549E-2</v>
      </c>
      <c r="N231" s="15" t="s">
        <v>58</v>
      </c>
      <c r="O231" s="108">
        <f t="shared" ref="O231" si="227">IFERROR(O230/O70,0)</f>
        <v>8.8167686312640089E-2</v>
      </c>
      <c r="P231" s="108">
        <f t="shared" ref="P231" si="228">IFERROR(P230/P70,0)</f>
        <v>0.12280578325336389</v>
      </c>
      <c r="Q231" s="108">
        <f t="shared" ref="Q231" si="229">IFERROR(Q230/Q70,0)</f>
        <v>6.7017034061678762E-2</v>
      </c>
      <c r="R231" s="108">
        <f t="shared" ref="R231" si="230">IFERROR(R230/R70,0)</f>
        <v>9.0730245275533902E-2</v>
      </c>
      <c r="S231" s="108">
        <f t="shared" ref="S231" si="231">IFERROR(S230/S70,0)</f>
        <v>0.10046021495345517</v>
      </c>
      <c r="T231" s="108">
        <f t="shared" ref="T231" si="232">IFERROR(T230/T70,0)</f>
        <v>9.8682784587767705E-2</v>
      </c>
      <c r="U231" s="108">
        <f t="shared" ref="U231" si="233">IFERROR(U230/U70,0)</f>
        <v>7.0574759655816957E-2</v>
      </c>
      <c r="V231" s="108">
        <f t="shared" ref="V231" si="234">IFERROR(V230/V70,0)</f>
        <v>9.2862987157146859E-2</v>
      </c>
      <c r="W231" s="108">
        <f t="shared" ref="W231" si="235">IFERROR(W230/W70,0)</f>
        <v>6.8074805477689751E-2</v>
      </c>
      <c r="X231" s="108">
        <f t="shared" ref="X231" si="236">IFERROR(X230/X70,0)</f>
        <v>7.5185847984024098E-2</v>
      </c>
      <c r="Y231" s="108">
        <f t="shared" ref="Y231" si="237">IFERROR(Y230/Y70,0)</f>
        <v>0</v>
      </c>
      <c r="Z231" s="108">
        <f t="shared" ref="Z231" si="238">IFERROR(Z230/Z70,0)</f>
        <v>0</v>
      </c>
      <c r="AA231" s="108">
        <f t="shared" ref="AA231" si="239">IFERROR(AA230/AA70,0)</f>
        <v>8.3885282751701193E-2</v>
      </c>
      <c r="AB231" s="118"/>
      <c r="AC231" s="108">
        <f t="shared" ref="AC231" si="240">IFERROR(AC230/AC70,0)</f>
        <v>9.4600002467478461E-2</v>
      </c>
      <c r="AD231" s="108">
        <f t="shared" ref="AD231" si="241">IFERROR(AD230/AD70,0)</f>
        <v>9.0003478878678572E-2</v>
      </c>
      <c r="AE231" s="108">
        <f t="shared" ref="AE231" si="242">IFERROR(AE230/AE70,0)</f>
        <v>7.7564973655124811E-2</v>
      </c>
      <c r="AF231" s="108">
        <f t="shared" ref="AF231" si="243">IFERROR(AF230/AF70,0)</f>
        <v>0.10560713304987364</v>
      </c>
      <c r="AG231" s="108">
        <f t="shared" ref="AG231" si="244">IFERROR(AG230/AG70,0)</f>
        <v>8.5997057308802041E-2</v>
      </c>
      <c r="AH231" s="108">
        <f t="shared" ref="AH231" si="245">IFERROR(AH230/AH70,0)</f>
        <v>0.10291686621401067</v>
      </c>
      <c r="AI231" s="108">
        <f t="shared" ref="AI231" si="246">IFERROR(AI230/AI70,0)</f>
        <v>9.1877855947680304E-2</v>
      </c>
      <c r="AJ231" s="108">
        <f t="shared" ref="AJ231" si="247">IFERROR(AJ230/AJ70,0)</f>
        <v>8.6459648489934288E-2</v>
      </c>
      <c r="AK231" s="108">
        <f t="shared" ref="AK231" si="248">IFERROR(AK230/AK70,0)</f>
        <v>7.9898325180895388E-2</v>
      </c>
      <c r="AL231" s="108">
        <f t="shared" ref="AL231" si="249">IFERROR(AL230/AL70,0)</f>
        <v>9.9579131292768824E-2</v>
      </c>
      <c r="AM231" s="108">
        <f t="shared" ref="AM231" si="250">IFERROR(AM230/AM70,0)</f>
        <v>0.10695948072584556</v>
      </c>
      <c r="AN231" s="108">
        <f t="shared" ref="AN231" si="251">IFERROR(AN230/AN70,0)</f>
        <v>7.9804812343033507E-2</v>
      </c>
      <c r="AO231" s="108">
        <f t="shared" ref="AO231" si="252">IFERROR(AO230/AO70,0)</f>
        <v>9.0520264622707153E-2</v>
      </c>
    </row>
    <row r="232" spans="1:4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18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</row>
    <row r="233" spans="1:41">
      <c r="A233" s="58">
        <f t="shared" ref="A233:M233" si="253">+A71-A230</f>
        <v>3542887.1548994947</v>
      </c>
      <c r="B233" s="58">
        <f t="shared" si="253"/>
        <v>11816582.217799399</v>
      </c>
      <c r="C233" s="58">
        <f t="shared" si="253"/>
        <v>17251802.722866587</v>
      </c>
      <c r="D233" s="58">
        <f t="shared" si="253"/>
        <v>1098136.0816333182</v>
      </c>
      <c r="E233" s="58">
        <f t="shared" si="253"/>
        <v>4477097.827421993</v>
      </c>
      <c r="F233" s="58">
        <f t="shared" si="253"/>
        <v>4232068.2966678739</v>
      </c>
      <c r="G233" s="58">
        <f t="shared" si="253"/>
        <v>5049570.963314699</v>
      </c>
      <c r="H233" s="58">
        <f t="shared" si="253"/>
        <v>7004524.226972539</v>
      </c>
      <c r="I233" s="58">
        <f t="shared" si="253"/>
        <v>7907396.0526125766</v>
      </c>
      <c r="J233" s="58">
        <f t="shared" si="253"/>
        <v>3228774.4251081198</v>
      </c>
      <c r="K233" s="58">
        <f t="shared" si="253"/>
        <v>7909111.1033622399</v>
      </c>
      <c r="L233" s="58">
        <f t="shared" si="253"/>
        <v>17699895.115848988</v>
      </c>
      <c r="M233" s="58">
        <f t="shared" si="253"/>
        <v>91217846.188507915</v>
      </c>
      <c r="N233" s="14" t="s">
        <v>194</v>
      </c>
      <c r="O233" s="58">
        <f t="shared" ref="O233:AA233" si="254">+O71-O230</f>
        <v>4618063.3816474564</v>
      </c>
      <c r="P233" s="58">
        <f t="shared" si="254"/>
        <v>-2692902.3702015467</v>
      </c>
      <c r="Q233" s="58">
        <f t="shared" si="254"/>
        <v>15222376.29732623</v>
      </c>
      <c r="R233" s="58">
        <f t="shared" si="254"/>
        <v>7279020.3276428748</v>
      </c>
      <c r="S233" s="58">
        <f t="shared" si="254"/>
        <v>9432809.7643023543</v>
      </c>
      <c r="T233" s="58">
        <f t="shared" si="254"/>
        <v>6575409.0772691071</v>
      </c>
      <c r="U233" s="58">
        <f t="shared" si="254"/>
        <v>12249374.740380179</v>
      </c>
      <c r="V233" s="58">
        <f t="shared" si="254"/>
        <v>4706961.5594929345</v>
      </c>
      <c r="W233" s="58">
        <f t="shared" si="254"/>
        <v>16525356.111758858</v>
      </c>
      <c r="X233" s="58">
        <f t="shared" si="254"/>
        <v>7341234.6655956432</v>
      </c>
      <c r="Y233" s="58">
        <f t="shared" si="254"/>
        <v>0</v>
      </c>
      <c r="Z233" s="58">
        <f t="shared" si="254"/>
        <v>0</v>
      </c>
      <c r="AA233" s="58">
        <f t="shared" si="254"/>
        <v>81257703.555214047</v>
      </c>
      <c r="AB233" s="118"/>
      <c r="AC233" s="58">
        <f t="shared" ref="AC233:AO233" si="255">+AC71-AC230</f>
        <v>7647278.4822512232</v>
      </c>
      <c r="AD233" s="58">
        <f t="shared" si="255"/>
        <v>5987158.9514518864</v>
      </c>
      <c r="AE233" s="58">
        <f t="shared" si="255"/>
        <v>22048735.183189612</v>
      </c>
      <c r="AF233" s="58">
        <f t="shared" si="255"/>
        <v>2689710.029067535</v>
      </c>
      <c r="AG233" s="58">
        <f t="shared" si="255"/>
        <v>5844395.9811301716</v>
      </c>
      <c r="AH233" s="58">
        <f t="shared" si="255"/>
        <v>13606209.025204409</v>
      </c>
      <c r="AI233" s="58">
        <f t="shared" si="255"/>
        <v>7292941.7567230798</v>
      </c>
      <c r="AJ233" s="58">
        <f t="shared" si="255"/>
        <v>9743603.6404259428</v>
      </c>
      <c r="AK233" s="58">
        <f t="shared" si="255"/>
        <v>18116281.841680598</v>
      </c>
      <c r="AL233" s="58">
        <f t="shared" si="255"/>
        <v>3947643.8676021136</v>
      </c>
      <c r="AM233" s="58">
        <f t="shared" si="255"/>
        <v>2763293.8133649454</v>
      </c>
      <c r="AN233" s="58">
        <f t="shared" si="255"/>
        <v>21375300.901252463</v>
      </c>
      <c r="AO233" s="58">
        <f t="shared" si="255"/>
        <v>121062553.47334403</v>
      </c>
    </row>
    <row r="234" spans="1:41">
      <c r="A234" s="108">
        <f t="shared" ref="A234:M234" si="256">IFERROR(A233/A70,0)</f>
        <v>3.0352223614768387E-2</v>
      </c>
      <c r="B234" s="108">
        <f t="shared" si="256"/>
        <v>4.7942604291613421E-2</v>
      </c>
      <c r="C234" s="108">
        <f t="shared" si="256"/>
        <v>5.2844433972221466E-2</v>
      </c>
      <c r="D234" s="108">
        <f t="shared" si="256"/>
        <v>8.0789686551412838E-3</v>
      </c>
      <c r="E234" s="108">
        <f t="shared" si="256"/>
        <v>1.8247626321255813E-2</v>
      </c>
      <c r="F234" s="108">
        <f t="shared" si="256"/>
        <v>2.2406126062666325E-2</v>
      </c>
      <c r="G234" s="108">
        <f t="shared" si="256"/>
        <v>2.6624232210141732E-2</v>
      </c>
      <c r="H234" s="108">
        <f t="shared" si="256"/>
        <v>3.2809655672782878E-2</v>
      </c>
      <c r="I234" s="108">
        <f t="shared" si="256"/>
        <v>4.2908582097976225E-2</v>
      </c>
      <c r="J234" s="108">
        <f t="shared" si="256"/>
        <v>1.4627320635138415E-2</v>
      </c>
      <c r="K234" s="108">
        <f t="shared" si="256"/>
        <v>3.5656176437995332E-2</v>
      </c>
      <c r="L234" s="108">
        <f t="shared" si="256"/>
        <v>6.7696810422866349E-2</v>
      </c>
      <c r="M234" s="108">
        <f t="shared" si="256"/>
        <v>3.5753950487938085E-2</v>
      </c>
      <c r="N234" s="15" t="s">
        <v>58</v>
      </c>
      <c r="O234" s="108">
        <f t="shared" ref="O234" si="257">IFERROR(O233/O70,0)</f>
        <v>2.1157241612364812E-2</v>
      </c>
      <c r="P234" s="108">
        <f t="shared" ref="P234" si="258">IFERROR(P233/P70,0)</f>
        <v>-1.9047681674427868E-2</v>
      </c>
      <c r="Q234" s="108">
        <f t="shared" ref="Q234" si="259">IFERROR(Q233/Q70,0)</f>
        <v>5.2371137483298719E-2</v>
      </c>
      <c r="R234" s="108">
        <f t="shared" ref="R234" si="260">IFERROR(R233/R70,0)</f>
        <v>4.110726749134129E-2</v>
      </c>
      <c r="S234" s="108">
        <f t="shared" ref="S234" si="261">IFERROR(S233/S70,0)</f>
        <v>5.1602629067201013E-2</v>
      </c>
      <c r="T234" s="108">
        <f t="shared" ref="T234" si="262">IFERROR(T233/T70,0)</f>
        <v>3.2190738389917331E-2</v>
      </c>
      <c r="U234" s="108">
        <f t="shared" ref="U234" si="263">IFERROR(U233/U70,0)</f>
        <v>4.6801300975626348E-2</v>
      </c>
      <c r="V234" s="108">
        <f t="shared" ref="V234" si="264">IFERROR(V233/V70,0)</f>
        <v>2.287945815836841E-2</v>
      </c>
      <c r="W234" s="108">
        <f>IFERROR(W233/W70,0)</f>
        <v>5.4750587269081365E-2</v>
      </c>
      <c r="X234" s="108">
        <f t="shared" ref="X234" si="265">IFERROR(X233/X70,0)</f>
        <v>2.6723409166778435E-2</v>
      </c>
      <c r="Y234" s="108">
        <f t="shared" ref="Y234" si="266">IFERROR(Y233/Y70,0)</f>
        <v>0</v>
      </c>
      <c r="Z234" s="108">
        <f t="shared" ref="Z234" si="267">IFERROR(Z233/Z70,0)</f>
        <v>0</v>
      </c>
      <c r="AA234" s="108">
        <f t="shared" ref="AA234" si="268">IFERROR(AA233/AA70,0)</f>
        <v>3.5979405850893778E-2</v>
      </c>
      <c r="AB234" s="118"/>
      <c r="AC234" s="108">
        <f t="shared" ref="AC234" si="269">IFERROR(AC233/AC70,0)</f>
        <v>3.8927529190299535E-2</v>
      </c>
      <c r="AD234" s="108">
        <f t="shared" ref="AD234" si="270">IFERROR(AD233/AD70,0)</f>
        <v>2.9337907831741776E-2</v>
      </c>
      <c r="AE234" s="108">
        <f t="shared" ref="AE234" si="271">IFERROR(AE233/AE70,0)</f>
        <v>8.7867091765195471E-2</v>
      </c>
      <c r="AF234" s="108">
        <f t="shared" ref="AF234" si="272">IFERROR(AF233/AF70,0)</f>
        <v>1.5407941063522628E-2</v>
      </c>
      <c r="AG234" s="108">
        <f t="shared" ref="AG234" si="273">IFERROR(AG233/AG70,0)</f>
        <v>2.6571159785918983E-2</v>
      </c>
      <c r="AH234" s="108">
        <f t="shared" ref="AH234" si="274">IFERROR(AH233/AH70,0)</f>
        <v>7.630317551658776E-2</v>
      </c>
      <c r="AI234" s="108">
        <f t="shared" ref="AI234" si="275">IFERROR(AI233/AI70,0)</f>
        <v>3.6136274335926082E-2</v>
      </c>
      <c r="AJ234" s="108">
        <f t="shared" ref="AJ234" si="276">IFERROR(AJ233/AJ70,0)</f>
        <v>4.3825198434668471E-2</v>
      </c>
      <c r="AK234" s="108">
        <f t="shared" ref="AK234" si="277">IFERROR(AK233/AK70,0)</f>
        <v>7.4726564781175342E-2</v>
      </c>
      <c r="AL234" s="108">
        <f t="shared" ref="AL234" si="278">IFERROR(AL233/AL70,0)</f>
        <v>2.0305211564233924E-2</v>
      </c>
      <c r="AM234" s="108">
        <f t="shared" ref="AM234" si="279">IFERROR(AM233/AM70,0)</f>
        <v>1.62536884062673E-2</v>
      </c>
      <c r="AN234" s="108">
        <f t="shared" ref="AN234" si="280">IFERROR(AN233/AN70,0)</f>
        <v>8.6547303720362415E-2</v>
      </c>
      <c r="AO234" s="108">
        <f t="shared" ref="AO234" si="281">IFERROR(AO233/AO70,0)</f>
        <v>4.8380912596182976E-2</v>
      </c>
    </row>
    <row r="235" spans="1:4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18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</row>
    <row r="236" spans="1:41" ht="17.25">
      <c r="A236" s="58">
        <f t="shared" ref="A236:M236" si="282">+SUM(A237:A239)</f>
        <v>780625.52</v>
      </c>
      <c r="B236" s="58">
        <f t="shared" si="282"/>
        <v>719016.51</v>
      </c>
      <c r="C236" s="58">
        <f t="shared" si="282"/>
        <v>718636.87</v>
      </c>
      <c r="D236" s="58">
        <f t="shared" si="282"/>
        <v>1046573.06</v>
      </c>
      <c r="E236" s="58">
        <f t="shared" si="282"/>
        <v>1031903.09</v>
      </c>
      <c r="F236" s="58">
        <f t="shared" si="282"/>
        <v>979082.89</v>
      </c>
      <c r="G236" s="58">
        <f t="shared" si="282"/>
        <v>1021985.75</v>
      </c>
      <c r="H236" s="58">
        <f t="shared" si="282"/>
        <v>987985.58</v>
      </c>
      <c r="I236" s="58">
        <f t="shared" si="282"/>
        <v>1126848.96</v>
      </c>
      <c r="J236" s="58">
        <f t="shared" si="282"/>
        <v>1124724.21</v>
      </c>
      <c r="K236" s="58">
        <f t="shared" si="282"/>
        <v>1085281.97</v>
      </c>
      <c r="L236" s="58">
        <f t="shared" si="282"/>
        <v>1081844.29</v>
      </c>
      <c r="M236" s="58">
        <f t="shared" si="282"/>
        <v>11704508.699999999</v>
      </c>
      <c r="N236" s="17" t="s">
        <v>195</v>
      </c>
      <c r="O236" s="58">
        <f t="shared" ref="O236" si="283">+SUM(O237:O239)</f>
        <v>1060903.8799999999</v>
      </c>
      <c r="P236" s="58">
        <f t="shared" ref="P236" si="284">+SUM(P237:P239)</f>
        <v>987231.95</v>
      </c>
      <c r="Q236" s="58">
        <f t="shared" ref="Q236" si="285">+SUM(Q237:Q239)</f>
        <v>983470.27</v>
      </c>
      <c r="R236" s="58">
        <f t="shared" ref="R236" si="286">+SUM(R237:R239)</f>
        <v>993866.76</v>
      </c>
      <c r="S236" s="58">
        <f t="shared" ref="S236" si="287">+SUM(S237:S239)</f>
        <v>955297.07</v>
      </c>
      <c r="T236" s="58">
        <f t="shared" ref="T236" si="288">+SUM(T237:T239)</f>
        <v>920202.33000000007</v>
      </c>
      <c r="U236" s="58">
        <f t="shared" ref="U236" si="289">+SUM(U237:U239)</f>
        <v>1005797.2000000001</v>
      </c>
      <c r="V236" s="58">
        <f t="shared" ref="V236" si="290">+SUM(V237:V239)</f>
        <v>965652.47999999998</v>
      </c>
      <c r="W236" s="58">
        <f t="shared" ref="W236" si="291">+SUM(W237:W239)</f>
        <v>954529.21</v>
      </c>
      <c r="X236" s="58">
        <f t="shared" ref="X236" si="292">+SUM(X237:X239)</f>
        <v>928389.13</v>
      </c>
      <c r="Y236" s="58">
        <f t="shared" ref="Y236" si="293">+SUM(Y237:Y239)</f>
        <v>0</v>
      </c>
      <c r="Z236" s="58">
        <f t="shared" ref="Z236" si="294">+SUM(Z237:Z239)</f>
        <v>0</v>
      </c>
      <c r="AA236" s="58">
        <f t="shared" ref="AA236" si="295">+SUM(AA237:AA239)</f>
        <v>9755340.2800000012</v>
      </c>
      <c r="AB236" s="118"/>
      <c r="AC236" s="58">
        <f t="shared" ref="AC236" si="296">+SUM(AC237:AC239)</f>
        <v>1074641.0420693136</v>
      </c>
      <c r="AD236" s="58">
        <f t="shared" ref="AD236" si="297">+SUM(AD237:AD239)</f>
        <v>1000384.5870520534</v>
      </c>
      <c r="AE236" s="58">
        <f t="shared" ref="AE236" si="298">+SUM(AE237:AE239)</f>
        <v>1031709.4699745191</v>
      </c>
      <c r="AF236" s="58">
        <f t="shared" ref="AF236" si="299">+SUM(AF237:AF239)</f>
        <v>992907.45025205321</v>
      </c>
      <c r="AG236" s="58">
        <f t="shared" ref="AG236" si="300">+SUM(AG237:AG239)</f>
        <v>988344.27787972451</v>
      </c>
      <c r="AH236" s="58">
        <f t="shared" ref="AH236" si="301">+SUM(AH237:AH239)</f>
        <v>949761.57080547791</v>
      </c>
      <c r="AI236" s="58">
        <f t="shared" ref="AI236" si="302">+SUM(AI237:AI239)</f>
        <v>944536.81578492979</v>
      </c>
      <c r="AJ236" s="58">
        <f t="shared" ref="AJ236" si="303">+SUM(AJ237:AJ239)</f>
        <v>922464.92973753274</v>
      </c>
      <c r="AK236" s="58">
        <f t="shared" ref="AK236" si="304">+SUM(AK237:AK239)</f>
        <v>884207.87163561489</v>
      </c>
      <c r="AL236" s="58">
        <f t="shared" ref="AL236" si="305">+SUM(AL237:AL239)</f>
        <v>877982.83764273825</v>
      </c>
      <c r="AM236" s="58">
        <f t="shared" ref="AM236" si="306">+SUM(AM237:AM239)</f>
        <v>839937.2321890397</v>
      </c>
      <c r="AN236" s="58">
        <f t="shared" ref="AN236" si="307">+SUM(AN237:AN239)</f>
        <v>833042.73554794362</v>
      </c>
      <c r="AO236" s="58">
        <f t="shared" ref="AO236" si="308">+SUM(AO237:AO239)</f>
        <v>11339920.820570942</v>
      </c>
    </row>
    <row r="237" spans="1:41" outlineLevel="1">
      <c r="A237" s="106">
        <f>+'NEW CAR'!A237+'GT-SERV'!A237+ACCESS!A237</f>
        <v>0</v>
      </c>
      <c r="B237" s="106">
        <f>+'NEW CAR'!B237+'GT-SERV'!B237+ACCESS!B237</f>
        <v>9774</v>
      </c>
      <c r="C237" s="106">
        <f>+'NEW CAR'!C237+'GT-SERV'!C237+ACCESS!C237</f>
        <v>0</v>
      </c>
      <c r="D237" s="106">
        <f>+'NEW CAR'!D237+'GT-SERV'!D237+ACCESS!D237</f>
        <v>318790</v>
      </c>
      <c r="E237" s="106">
        <f>+'NEW CAR'!E237+'GT-SERV'!E237+ACCESS!E237</f>
        <v>315261</v>
      </c>
      <c r="F237" s="106">
        <f>+'NEW CAR'!F237+'GT-SERV'!F237+ACCESS!F237</f>
        <v>311704</v>
      </c>
      <c r="G237" s="106">
        <f>+'NEW CAR'!G237+'GT-SERV'!G237+ACCESS!G237</f>
        <v>308119</v>
      </c>
      <c r="H237" s="106">
        <f>+'NEW CAR'!H237+'GT-SERV'!H237+ACCESS!H237</f>
        <v>304506</v>
      </c>
      <c r="I237" s="106">
        <f>+'NEW CAR'!I237+'GT-SERV'!I237+ACCESS!I237</f>
        <v>473127</v>
      </c>
      <c r="J237" s="106">
        <f>+'NEW CAR'!J237+'GT-SERV'!J237+ACCESS!J237</f>
        <v>463138</v>
      </c>
      <c r="K237" s="106">
        <f>+'NEW CAR'!K237+'GT-SERV'!K237+ACCESS!K237</f>
        <v>453075</v>
      </c>
      <c r="L237" s="106">
        <f>+'NEW CAR'!L237+'GT-SERV'!L237+ACCESS!L237</f>
        <v>442936</v>
      </c>
      <c r="M237" s="106">
        <f t="shared" ref="M237:M239" si="309">+SUM(A237:L237)</f>
        <v>3400430</v>
      </c>
      <c r="N237" s="21" t="s">
        <v>196</v>
      </c>
      <c r="O237" s="106">
        <f>+'NEW CAR'!O237+'GT-SERV'!O237+ACCESS!O237</f>
        <v>432722</v>
      </c>
      <c r="P237" s="106">
        <f>+'NEW CAR'!P237+'GT-SERV'!P237+ACCESS!P237</f>
        <v>422432</v>
      </c>
      <c r="Q237" s="106">
        <f>+'NEW CAR'!Q237+'GT-SERV'!Q237+ACCESS!Q237</f>
        <v>412065</v>
      </c>
      <c r="R237" s="106">
        <f>+'NEW CAR'!R237+'GT-SERV'!R237+ACCESS!R237</f>
        <v>401621</v>
      </c>
      <c r="S237" s="106">
        <f>+'NEW CAR'!S237+'GT-SERV'!S237+ACCESS!S237</f>
        <v>391100</v>
      </c>
      <c r="T237" s="106">
        <f>+'NEW CAR'!T237+'GT-SERV'!T237+ACCESS!T237</f>
        <v>380501</v>
      </c>
      <c r="U237" s="106">
        <f>+'NEW CAR'!U237+'GT-SERV'!U237+ACCESS!U237</f>
        <v>501773</v>
      </c>
      <c r="V237" s="106">
        <f>+'NEW CAR'!V237+'GT-SERV'!V237+ACCESS!V237</f>
        <v>486746</v>
      </c>
      <c r="W237" s="106">
        <f>+'NEW CAR'!W237+'GT-SERV'!W237+ACCESS!W237</f>
        <v>471610</v>
      </c>
      <c r="X237" s="106">
        <f>+'NEW CAR'!X237+'GT-SERV'!X237+ACCESS!X237</f>
        <v>456367</v>
      </c>
      <c r="Y237" s="106">
        <f>+'NEW CAR'!Y237+'GT-SERV'!Y237+ACCESS!Y237</f>
        <v>0</v>
      </c>
      <c r="Z237" s="106">
        <f>+'NEW CAR'!Z237+'GT-SERV'!Z237+ACCESS!Z237</f>
        <v>0</v>
      </c>
      <c r="AA237" s="106">
        <f t="shared" ref="AA237:AA239" si="310">+SUM(O237:Z237)</f>
        <v>4356937</v>
      </c>
      <c r="AB237" s="118"/>
      <c r="AC237" s="106">
        <f>+'NEW CAR'!AC237+'GT-SERV'!AC237+ACCESS!AC237</f>
        <v>442936.16999999993</v>
      </c>
      <c r="AD237" s="106">
        <f>+'NEW CAR'!AD237+'GT-SERV'!AD237+ACCESS!AD237</f>
        <v>432722.20999999996</v>
      </c>
      <c r="AE237" s="106">
        <f>+'NEW CAR'!AE237+'GT-SERV'!AE237+ACCESS!AE237</f>
        <v>422432.15</v>
      </c>
      <c r="AF237" s="106">
        <f>+'NEW CAR'!AF237+'GT-SERV'!AF237+ACCESS!AF237</f>
        <v>412065.43999999994</v>
      </c>
      <c r="AG237" s="106">
        <f>+'NEW CAR'!AG237+'GT-SERV'!AG237+ACCESS!AG237</f>
        <v>401621.51</v>
      </c>
      <c r="AH237" s="106">
        <f>+'NEW CAR'!AH237+'GT-SERV'!AH237+ACCESS!AH237</f>
        <v>391099.74</v>
      </c>
      <c r="AI237" s="106">
        <f>+'NEW CAR'!AI237+'GT-SERV'!AI237+ACCESS!AI237</f>
        <v>380499.6</v>
      </c>
      <c r="AJ237" s="106">
        <f>+'NEW CAR'!AJ237+'GT-SERV'!AJ237+ACCESS!AJ237</f>
        <v>369820.49</v>
      </c>
      <c r="AK237" s="106">
        <f>+'NEW CAR'!AK237+'GT-SERV'!AK237+ACCESS!AK237</f>
        <v>359061.81</v>
      </c>
      <c r="AL237" s="106">
        <f>+'NEW CAR'!AL237+'GT-SERV'!AL237+ACCESS!AL237</f>
        <v>348222.95</v>
      </c>
      <c r="AM237" s="106">
        <f>+'NEW CAR'!AM237+'GT-SERV'!AM237+ACCESS!AM237</f>
        <v>337303.35000000003</v>
      </c>
      <c r="AN237" s="106">
        <f>+'NEW CAR'!AN237+'GT-SERV'!AN237+ACCESS!AN237</f>
        <v>326302.39999999997</v>
      </c>
      <c r="AO237" s="106">
        <f t="shared" ref="AO237:AO239" si="311">+SUM(AC237:AN237)</f>
        <v>4624087.82</v>
      </c>
    </row>
    <row r="238" spans="1:41" outlineLevel="1">
      <c r="A238" s="106">
        <f>+'NEW CAR'!A238+'GT-SERV'!A238+ACCESS!A238</f>
        <v>651751.52</v>
      </c>
      <c r="B238" s="106">
        <f>+'NEW CAR'!B238+'GT-SERV'!B238+ACCESS!B238</f>
        <v>584374.51</v>
      </c>
      <c r="C238" s="106">
        <f>+'NEW CAR'!C238+'GT-SERV'!C238+ACCESS!C238</f>
        <v>597805.87</v>
      </c>
      <c r="D238" s="106">
        <f>+'NEW CAR'!D238+'GT-SERV'!D238+ACCESS!D238</f>
        <v>611017.06000000006</v>
      </c>
      <c r="E238" s="106">
        <f>+'NEW CAR'!E238+'GT-SERV'!E238+ACCESS!E238</f>
        <v>603971.09</v>
      </c>
      <c r="F238" s="106">
        <f>+'NEW CAR'!F238+'GT-SERV'!F238+ACCESS!F238</f>
        <v>558832.89</v>
      </c>
      <c r="G238" s="106">
        <f>+'NEW CAR'!G238+'GT-SERV'!G238+ACCESS!G238</f>
        <v>609475.75</v>
      </c>
      <c r="H238" s="106">
        <f>+'NEW CAR'!H238+'GT-SERV'!H238+ACCESS!H238</f>
        <v>583273.57999999996</v>
      </c>
      <c r="I238" s="106">
        <f>+'NEW CAR'!I238+'GT-SERV'!I238+ACCESS!I238</f>
        <v>557731.96</v>
      </c>
      <c r="J238" s="106">
        <f>+'NEW CAR'!J238+'GT-SERV'!J238+ACCESS!J238</f>
        <v>569842.21</v>
      </c>
      <c r="K238" s="106">
        <f>+'NEW CAR'!K238+'GT-SERV'!K238+ACCESS!K238</f>
        <v>544740.97</v>
      </c>
      <c r="L238" s="106">
        <f>+'NEW CAR'!L238+'GT-SERV'!L238+ACCESS!L238</f>
        <v>555750.29</v>
      </c>
      <c r="M238" s="106">
        <f t="shared" si="309"/>
        <v>7028567.6999999993</v>
      </c>
      <c r="N238" s="21" t="s">
        <v>197</v>
      </c>
      <c r="O238" s="106">
        <f>+'NEW CAR'!O238+'GT-SERV'!O238+ACCESS!O238</f>
        <v>549364.88</v>
      </c>
      <c r="P238" s="106">
        <f>+'NEW CAR'!P238+'GT-SERV'!P238+ACCESS!P238</f>
        <v>490354.95</v>
      </c>
      <c r="Q238" s="106">
        <f>+'NEW CAR'!Q238+'GT-SERV'!Q238+ACCESS!Q238</f>
        <v>501364.27</v>
      </c>
      <c r="R238" s="106">
        <f>+'NEW CAR'!R238+'GT-SERV'!R238+ACCESS!R238</f>
        <v>531107.76</v>
      </c>
      <c r="S238" s="106">
        <f>+'NEW CAR'!S238+'GT-SERV'!S238+ACCESS!S238</f>
        <v>507560.06999999995</v>
      </c>
      <c r="T238" s="106">
        <f>+'NEW CAR'!T238+'GT-SERV'!T238+ACCESS!T238</f>
        <v>483064.33</v>
      </c>
      <c r="U238" s="106">
        <f>+'NEW CAR'!U238+'GT-SERV'!U238+ACCESS!U238</f>
        <v>451920.20000000007</v>
      </c>
      <c r="V238" s="106">
        <f>+'NEW CAR'!V238+'GT-SERV'!V238+ACCESS!V238</f>
        <v>431369.48</v>
      </c>
      <c r="W238" s="106">
        <f>+'NEW CAR'!W238+'GT-SERV'!W238+ACCESS!W238</f>
        <v>439981.21</v>
      </c>
      <c r="X238" s="106">
        <f>+'NEW CAR'!X238+'GT-SERV'!X238+ACCESS!X238</f>
        <v>433718.13</v>
      </c>
      <c r="Y238" s="106">
        <f>+'NEW CAR'!Y238+'GT-SERV'!Y238+ACCESS!Y238</f>
        <v>0</v>
      </c>
      <c r="Z238" s="106">
        <f>+'NEW CAR'!Z238+'GT-SERV'!Z238+ACCESS!Z238</f>
        <v>0</v>
      </c>
      <c r="AA238" s="106">
        <f t="shared" si="310"/>
        <v>4819805.28</v>
      </c>
      <c r="AB238" s="118"/>
      <c r="AC238" s="106">
        <f>+'NEW CAR'!AC238+'GT-SERV'!AC238+ACCESS!AC238</f>
        <v>552887.87206931366</v>
      </c>
      <c r="AD238" s="106">
        <f>+'NEW CAR'!AD238+'GT-SERV'!AD238+ACCESS!AD238</f>
        <v>493217.37705205346</v>
      </c>
      <c r="AE238" s="106">
        <f>+'NEW CAR'!AE238+'GT-SERV'!AE238+ACCESS!AE238</f>
        <v>539236.31997451908</v>
      </c>
      <c r="AF238" s="106">
        <f>+'NEW CAR'!AF238+'GT-SERV'!AF238+ACCESS!AF238</f>
        <v>515236.01025205327</v>
      </c>
      <c r="AG238" s="106">
        <f>+'NEW CAR'!AG238+'GT-SERV'!AG238+ACCESS!AG238</f>
        <v>525584.7678797245</v>
      </c>
      <c r="AH238" s="106">
        <f>+'NEW CAR'!AH238+'GT-SERV'!AH238+ACCESS!AH238</f>
        <v>502024.83080547786</v>
      </c>
      <c r="AI238" s="106">
        <f>+'NEW CAR'!AI238+'GT-SERV'!AI238+ACCESS!AI238</f>
        <v>511933.21578492987</v>
      </c>
      <c r="AJ238" s="106">
        <f>+'NEW CAR'!AJ238+'GT-SERV'!AJ238+ACCESS!AJ238</f>
        <v>505107.4397375327</v>
      </c>
      <c r="AK238" s="106">
        <f>+'NEW CAR'!AK238+'GT-SERV'!AK238+ACCESS!AK238</f>
        <v>482208.0616356149</v>
      </c>
      <c r="AL238" s="106">
        <f>+'NEW CAR'!AL238+'GT-SERV'!AL238+ACCESS!AL238</f>
        <v>491455.88764273823</v>
      </c>
      <c r="AM238" s="106">
        <f>+'NEW CAR'!AM238+'GT-SERV'!AM238+ACCESS!AM238</f>
        <v>468996.88218903961</v>
      </c>
      <c r="AN238" s="106">
        <f>+'NEW CAR'!AN238+'GT-SERV'!AN238+ACCESS!AN238</f>
        <v>477804.33554794366</v>
      </c>
      <c r="AO238" s="106">
        <f t="shared" si="311"/>
        <v>6065693.0005709408</v>
      </c>
    </row>
    <row r="239" spans="1:41" outlineLevel="1">
      <c r="A239" s="106">
        <f>+'NEW CAR'!A239+'GT-SERV'!A239+ACCESS!A239</f>
        <v>128874</v>
      </c>
      <c r="B239" s="106">
        <f>+'NEW CAR'!B239+'GT-SERV'!B239+ACCESS!B239</f>
        <v>124868</v>
      </c>
      <c r="C239" s="106">
        <f>+'NEW CAR'!C239+'GT-SERV'!C239+ACCESS!C239</f>
        <v>120831</v>
      </c>
      <c r="D239" s="106">
        <f>+'NEW CAR'!D239+'GT-SERV'!D239+ACCESS!D239</f>
        <v>116766</v>
      </c>
      <c r="E239" s="106">
        <f>+'NEW CAR'!E239+'GT-SERV'!E239+ACCESS!E239</f>
        <v>112671</v>
      </c>
      <c r="F239" s="106">
        <f>+'NEW CAR'!F239+'GT-SERV'!F239+ACCESS!F239</f>
        <v>108546</v>
      </c>
      <c r="G239" s="106">
        <f>+'NEW CAR'!G239+'GT-SERV'!G239+ACCESS!G239</f>
        <v>104391</v>
      </c>
      <c r="H239" s="106">
        <f>+'NEW CAR'!H239+'GT-SERV'!H239+ACCESS!H239</f>
        <v>100206</v>
      </c>
      <c r="I239" s="106">
        <f>+'NEW CAR'!I239+'GT-SERV'!I239+ACCESS!I239</f>
        <v>95990</v>
      </c>
      <c r="J239" s="106">
        <f>+'NEW CAR'!J239+'GT-SERV'!J239+ACCESS!J239</f>
        <v>91744</v>
      </c>
      <c r="K239" s="106">
        <f>+'NEW CAR'!K239+'GT-SERV'!K239+ACCESS!K239</f>
        <v>87466</v>
      </c>
      <c r="L239" s="106">
        <f>+'NEW CAR'!L239+'GT-SERV'!L239+ACCESS!L239</f>
        <v>83158</v>
      </c>
      <c r="M239" s="106">
        <f t="shared" si="309"/>
        <v>1275511</v>
      </c>
      <c r="N239" s="21" t="s">
        <v>198</v>
      </c>
      <c r="O239" s="106">
        <f>+'NEW CAR'!O239+'GT-SERV'!O239+ACCESS!O239</f>
        <v>78817</v>
      </c>
      <c r="P239" s="106">
        <f>+'NEW CAR'!P239+'GT-SERV'!P239+ACCESS!P239</f>
        <v>74445</v>
      </c>
      <c r="Q239" s="106">
        <f>+'NEW CAR'!Q239+'GT-SERV'!Q239+ACCESS!Q239</f>
        <v>70041</v>
      </c>
      <c r="R239" s="106">
        <f>+'NEW CAR'!R239+'GT-SERV'!R239+ACCESS!R239</f>
        <v>61138</v>
      </c>
      <c r="S239" s="106">
        <f>+'NEW CAR'!S239+'GT-SERV'!S239+ACCESS!S239</f>
        <v>56637</v>
      </c>
      <c r="T239" s="106">
        <f>+'NEW CAR'!T239+'GT-SERV'!T239+ACCESS!T239</f>
        <v>56637</v>
      </c>
      <c r="U239" s="106">
        <f>+'NEW CAR'!U239+'GT-SERV'!U239+ACCESS!U239</f>
        <v>52104</v>
      </c>
      <c r="V239" s="106">
        <f>+'NEW CAR'!V239+'GT-SERV'!V239+ACCESS!V239</f>
        <v>47537</v>
      </c>
      <c r="W239" s="106">
        <f>+'NEW CAR'!W239+'GT-SERV'!W239+ACCESS!W239</f>
        <v>42938</v>
      </c>
      <c r="X239" s="106">
        <f>+'NEW CAR'!X239+'GT-SERV'!X239+ACCESS!X239</f>
        <v>38304</v>
      </c>
      <c r="Y239" s="106">
        <f>+'NEW CAR'!Y239+'GT-SERV'!Y239+ACCESS!Y239</f>
        <v>0</v>
      </c>
      <c r="Z239" s="106">
        <f>+'NEW CAR'!Z239+'GT-SERV'!Z239+ACCESS!Z239</f>
        <v>0</v>
      </c>
      <c r="AA239" s="106">
        <f t="shared" si="310"/>
        <v>578598</v>
      </c>
      <c r="AB239" s="118"/>
      <c r="AC239" s="106">
        <f>+'NEW CAR'!AC239+'GT-SERV'!AC239+ACCESS!AC239</f>
        <v>78817</v>
      </c>
      <c r="AD239" s="106">
        <f>+'NEW CAR'!AD239+'GT-SERV'!AD239+ACCESS!AD239</f>
        <v>74445</v>
      </c>
      <c r="AE239" s="106">
        <f>+'NEW CAR'!AE239+'GT-SERV'!AE239+ACCESS!AE239</f>
        <v>70041</v>
      </c>
      <c r="AF239" s="106">
        <f>+'NEW CAR'!AF239+'GT-SERV'!AF239+ACCESS!AF239</f>
        <v>65606</v>
      </c>
      <c r="AG239" s="106">
        <f>+'NEW CAR'!AG239+'GT-SERV'!AG239+ACCESS!AG239</f>
        <v>61137.999999999993</v>
      </c>
      <c r="AH239" s="106">
        <f>+'NEW CAR'!AH239+'GT-SERV'!AH239+ACCESS!AH239</f>
        <v>56637</v>
      </c>
      <c r="AI239" s="106">
        <f>+'NEW CAR'!AI239+'GT-SERV'!AI239+ACCESS!AI239</f>
        <v>52104</v>
      </c>
      <c r="AJ239" s="106">
        <f>+'NEW CAR'!AJ239+'GT-SERV'!AJ239+ACCESS!AJ239</f>
        <v>47537</v>
      </c>
      <c r="AK239" s="106">
        <f>+'NEW CAR'!AK239+'GT-SERV'!AK239+ACCESS!AK239</f>
        <v>42938</v>
      </c>
      <c r="AL239" s="106">
        <f>+'NEW CAR'!AL239+'GT-SERV'!AL239+ACCESS!AL239</f>
        <v>38304</v>
      </c>
      <c r="AM239" s="106">
        <f>+'NEW CAR'!AM239+'GT-SERV'!AM239+ACCESS!AM239</f>
        <v>33637</v>
      </c>
      <c r="AN239" s="106">
        <f>+'NEW CAR'!AN239+'GT-SERV'!AN239+ACCESS!AN239</f>
        <v>28936</v>
      </c>
      <c r="AO239" s="106">
        <f t="shared" si="311"/>
        <v>650140</v>
      </c>
    </row>
    <row r="240" spans="1:41" outlineLevel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18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</row>
    <row r="241" spans="1:41" ht="17.25">
      <c r="A241" s="58">
        <f t="shared" ref="A241:M241" si="312">+SUM(A242:A247)</f>
        <v>2552696.4828869049</v>
      </c>
      <c r="B241" s="58">
        <f t="shared" si="312"/>
        <v>2552696.4828869049</v>
      </c>
      <c r="C241" s="58">
        <f t="shared" si="312"/>
        <v>2552696.4828869049</v>
      </c>
      <c r="D241" s="58">
        <f t="shared" si="312"/>
        <v>2552696.4828869049</v>
      </c>
      <c r="E241" s="58">
        <f t="shared" si="312"/>
        <v>2552696.4828869049</v>
      </c>
      <c r="F241" s="58">
        <f t="shared" si="312"/>
        <v>2552696.4828869049</v>
      </c>
      <c r="G241" s="58">
        <f t="shared" si="312"/>
        <v>2552696.4828869049</v>
      </c>
      <c r="H241" s="58">
        <f t="shared" si="312"/>
        <v>2552696.4828869049</v>
      </c>
      <c r="I241" s="58">
        <f t="shared" si="312"/>
        <v>2552696.4828869049</v>
      </c>
      <c r="J241" s="58">
        <f t="shared" si="312"/>
        <v>2552696.4828869049</v>
      </c>
      <c r="K241" s="58">
        <f t="shared" si="312"/>
        <v>2552696.4828869049</v>
      </c>
      <c r="L241" s="58">
        <f t="shared" si="312"/>
        <v>2552696.4828869049</v>
      </c>
      <c r="M241" s="58">
        <f t="shared" si="312"/>
        <v>30632357.794642851</v>
      </c>
      <c r="N241" s="17" t="s">
        <v>199</v>
      </c>
      <c r="O241" s="58">
        <f t="shared" ref="O241:AA241" si="313">+SUM(O242:O247)</f>
        <v>4016669.3777741082</v>
      </c>
      <c r="P241" s="58">
        <f t="shared" si="313"/>
        <v>4016669.3777741082</v>
      </c>
      <c r="Q241" s="58">
        <f t="shared" si="313"/>
        <v>4016669.3777741082</v>
      </c>
      <c r="R241" s="58">
        <f t="shared" si="313"/>
        <v>4016669.3777741082</v>
      </c>
      <c r="S241" s="58">
        <f t="shared" si="313"/>
        <v>4016669.3777741082</v>
      </c>
      <c r="T241" s="58">
        <f t="shared" si="313"/>
        <v>4016669.3777741082</v>
      </c>
      <c r="U241" s="58">
        <f t="shared" si="313"/>
        <v>4016669.3777741082</v>
      </c>
      <c r="V241" s="58">
        <f t="shared" si="313"/>
        <v>4016669.3777741082</v>
      </c>
      <c r="W241" s="58">
        <f t="shared" si="313"/>
        <v>4016669.3777741082</v>
      </c>
      <c r="X241" s="58">
        <f t="shared" si="313"/>
        <v>4016669.3777741082</v>
      </c>
      <c r="Y241" s="58">
        <f t="shared" si="313"/>
        <v>0</v>
      </c>
      <c r="Z241" s="58">
        <f t="shared" si="313"/>
        <v>0</v>
      </c>
      <c r="AA241" s="58">
        <f t="shared" si="313"/>
        <v>40166693.777741075</v>
      </c>
      <c r="AB241" s="118"/>
      <c r="AC241" s="58">
        <f t="shared" ref="AC241:AO241" si="314">+SUM(AC242:AC247)</f>
        <v>4016669.3777741082</v>
      </c>
      <c r="AD241" s="58">
        <f t="shared" si="314"/>
        <v>4016669.3777741082</v>
      </c>
      <c r="AE241" s="58">
        <f t="shared" si="314"/>
        <v>4016669.3777741082</v>
      </c>
      <c r="AF241" s="58">
        <f t="shared" si="314"/>
        <v>4016669.3777741082</v>
      </c>
      <c r="AG241" s="58">
        <f t="shared" si="314"/>
        <v>4016669.3777741082</v>
      </c>
      <c r="AH241" s="58">
        <f t="shared" si="314"/>
        <v>4016669.3777741082</v>
      </c>
      <c r="AI241" s="58">
        <f t="shared" si="314"/>
        <v>4016669.3777741082</v>
      </c>
      <c r="AJ241" s="58">
        <f t="shared" si="314"/>
        <v>4016669.3777741082</v>
      </c>
      <c r="AK241" s="58">
        <f t="shared" si="314"/>
        <v>4016669.3777741082</v>
      </c>
      <c r="AL241" s="58">
        <f t="shared" si="314"/>
        <v>4016669.3777741082</v>
      </c>
      <c r="AM241" s="58">
        <f t="shared" si="314"/>
        <v>4016669.3777741082</v>
      </c>
      <c r="AN241" s="58">
        <f t="shared" si="314"/>
        <v>4016669.3777741082</v>
      </c>
      <c r="AO241" s="58">
        <f t="shared" si="314"/>
        <v>48200032.533289284</v>
      </c>
    </row>
    <row r="242" spans="1:41" outlineLevel="1">
      <c r="A242" s="106">
        <f>+'NEW CAR'!A242+'GT-SERV'!A242+ACCESS!A242</f>
        <v>0</v>
      </c>
      <c r="B242" s="106">
        <f>+'NEW CAR'!B242+'GT-SERV'!B242+ACCESS!B242</f>
        <v>0</v>
      </c>
      <c r="C242" s="106">
        <f>+'NEW CAR'!C242+'GT-SERV'!C242+ACCESS!C242</f>
        <v>0</v>
      </c>
      <c r="D242" s="106">
        <f>+'NEW CAR'!D242+'GT-SERV'!D242+ACCESS!D242</f>
        <v>0</v>
      </c>
      <c r="E242" s="106">
        <f>+'NEW CAR'!E242+'GT-SERV'!E242+ACCESS!E242</f>
        <v>0</v>
      </c>
      <c r="F242" s="106">
        <f>+'NEW CAR'!F242+'GT-SERV'!F242+ACCESS!F242</f>
        <v>0</v>
      </c>
      <c r="G242" s="106">
        <f>+'NEW CAR'!G242+'GT-SERV'!G242+ACCESS!G242</f>
        <v>0</v>
      </c>
      <c r="H242" s="106">
        <f>+'NEW CAR'!H242+'GT-SERV'!H242+ACCESS!H242</f>
        <v>0</v>
      </c>
      <c r="I242" s="106">
        <f>+'NEW CAR'!I242+'GT-SERV'!I242+ACCESS!I242</f>
        <v>0</v>
      </c>
      <c r="J242" s="106">
        <f>+'NEW CAR'!J242+'GT-SERV'!J242+ACCESS!J242</f>
        <v>0</v>
      </c>
      <c r="K242" s="106">
        <f>+'NEW CAR'!K242+'GT-SERV'!K242+ACCESS!K242</f>
        <v>0</v>
      </c>
      <c r="L242" s="106">
        <f>+'NEW CAR'!L242+'GT-SERV'!L242+ACCESS!L242</f>
        <v>0</v>
      </c>
      <c r="M242" s="106">
        <f t="shared" ref="M242:M247" si="315">+SUM(A242:L242)</f>
        <v>0</v>
      </c>
      <c r="N242" s="16" t="s">
        <v>200</v>
      </c>
      <c r="O242" s="106">
        <f>+'NEW CAR'!O242+'GT-SERV'!O242+ACCESS!O242</f>
        <v>0</v>
      </c>
      <c r="P242" s="106">
        <f>+'NEW CAR'!P242+'GT-SERV'!P242+ACCESS!P242</f>
        <v>0</v>
      </c>
      <c r="Q242" s="106">
        <f>+'NEW CAR'!Q242+'GT-SERV'!Q242+ACCESS!Q242</f>
        <v>0</v>
      </c>
      <c r="R242" s="106">
        <f>+'NEW CAR'!R242+'GT-SERV'!R242+ACCESS!R242</f>
        <v>0</v>
      </c>
      <c r="S242" s="106">
        <f>+'NEW CAR'!S242+'GT-SERV'!S242+ACCESS!S242</f>
        <v>0</v>
      </c>
      <c r="T242" s="106">
        <f>+'NEW CAR'!T242+'GT-SERV'!T242+ACCESS!T242</f>
        <v>0</v>
      </c>
      <c r="U242" s="106">
        <f>+'NEW CAR'!U242+'GT-SERV'!U242+ACCESS!U242</f>
        <v>0</v>
      </c>
      <c r="V242" s="106">
        <f>+'NEW CAR'!V242+'GT-SERV'!V242+ACCESS!V242</f>
        <v>0</v>
      </c>
      <c r="W242" s="106">
        <f>+'NEW CAR'!W242+'GT-SERV'!W242+ACCESS!W242</f>
        <v>0</v>
      </c>
      <c r="X242" s="106">
        <f>+'NEW CAR'!X242+'GT-SERV'!X242+ACCESS!X242</f>
        <v>0</v>
      </c>
      <c r="Y242" s="106">
        <f>+'NEW CAR'!Y242+'GT-SERV'!Y242+ACCESS!Y242</f>
        <v>0</v>
      </c>
      <c r="Z242" s="106">
        <f>+'NEW CAR'!Z242+'GT-SERV'!Z242+ACCESS!Z242</f>
        <v>0</v>
      </c>
      <c r="AA242" s="106">
        <f t="shared" ref="AA242:AA247" si="316">+SUM(O242:Z242)</f>
        <v>0</v>
      </c>
      <c r="AB242" s="118"/>
      <c r="AC242" s="106">
        <f>+'NEW CAR'!AC242+'GT-SERV'!AC242+ACCESS!AC242</f>
        <v>0</v>
      </c>
      <c r="AD242" s="106">
        <f>+'NEW CAR'!AD242+'GT-SERV'!AD242+ACCESS!AD242</f>
        <v>0</v>
      </c>
      <c r="AE242" s="106">
        <f>+'NEW CAR'!AE242+'GT-SERV'!AE242+ACCESS!AE242</f>
        <v>0</v>
      </c>
      <c r="AF242" s="106">
        <f>+'NEW CAR'!AF242+'GT-SERV'!AF242+ACCESS!AF242</f>
        <v>0</v>
      </c>
      <c r="AG242" s="106">
        <f>+'NEW CAR'!AG242+'GT-SERV'!AG242+ACCESS!AG242</f>
        <v>0</v>
      </c>
      <c r="AH242" s="106">
        <f>+'NEW CAR'!AH242+'GT-SERV'!AH242+ACCESS!AH242</f>
        <v>0</v>
      </c>
      <c r="AI242" s="106">
        <f>+'NEW CAR'!AI242+'GT-SERV'!AI242+ACCESS!AI242</f>
        <v>0</v>
      </c>
      <c r="AJ242" s="106">
        <f>+'NEW CAR'!AJ242+'GT-SERV'!AJ242+ACCESS!AJ242</f>
        <v>0</v>
      </c>
      <c r="AK242" s="106">
        <f>+'NEW CAR'!AK242+'GT-SERV'!AK242+ACCESS!AK242</f>
        <v>0</v>
      </c>
      <c r="AL242" s="106">
        <f>+'NEW CAR'!AL242+'GT-SERV'!AL242+ACCESS!AL242</f>
        <v>0</v>
      </c>
      <c r="AM242" s="106">
        <f>+'NEW CAR'!AM242+'GT-SERV'!AM242+ACCESS!AM242</f>
        <v>0</v>
      </c>
      <c r="AN242" s="106">
        <f>+'NEW CAR'!AN242+'GT-SERV'!AN242+ACCESS!AN242</f>
        <v>0</v>
      </c>
      <c r="AO242" s="106">
        <f t="shared" ref="AO242:AO247" si="317">+SUM(AC242:AN242)</f>
        <v>0</v>
      </c>
    </row>
    <row r="243" spans="1:41" outlineLevel="1">
      <c r="A243" s="106">
        <f>+'NEW CAR'!A243+'GT-SERV'!A243+ACCESS!A243</f>
        <v>2552696.4828869049</v>
      </c>
      <c r="B243" s="106">
        <f>+'NEW CAR'!B243+'GT-SERV'!B243+ACCESS!B243</f>
        <v>2552696.4828869049</v>
      </c>
      <c r="C243" s="106">
        <f>+'NEW CAR'!C243+'GT-SERV'!C243+ACCESS!C243</f>
        <v>2552696.4828869049</v>
      </c>
      <c r="D243" s="106">
        <f>+'NEW CAR'!D243+'GT-SERV'!D243+ACCESS!D243</f>
        <v>2552696.4828869049</v>
      </c>
      <c r="E243" s="106">
        <f>+'NEW CAR'!E243+'GT-SERV'!E243+ACCESS!E243</f>
        <v>2552696.4828869049</v>
      </c>
      <c r="F243" s="106">
        <f>+'NEW CAR'!F243+'GT-SERV'!F243+ACCESS!F243</f>
        <v>2552696.4828869049</v>
      </c>
      <c r="G243" s="106">
        <f>+'NEW CAR'!G243+'GT-SERV'!G243+ACCESS!G243</f>
        <v>2552696.4828869049</v>
      </c>
      <c r="H243" s="106">
        <f>+'NEW CAR'!H243+'GT-SERV'!H243+ACCESS!H243</f>
        <v>2552696.4828869049</v>
      </c>
      <c r="I243" s="106">
        <f>+'NEW CAR'!I243+'GT-SERV'!I243+ACCESS!I243</f>
        <v>2552696.4828869049</v>
      </c>
      <c r="J243" s="106">
        <f>+'NEW CAR'!J243+'GT-SERV'!J243+ACCESS!J243</f>
        <v>2552696.4828869049</v>
      </c>
      <c r="K243" s="106">
        <f>+'NEW CAR'!K243+'GT-SERV'!K243+ACCESS!K243</f>
        <v>2552696.4828869049</v>
      </c>
      <c r="L243" s="106">
        <f>+'NEW CAR'!L243+'GT-SERV'!L243+ACCESS!L243</f>
        <v>2552696.4828869049</v>
      </c>
      <c r="M243" s="106">
        <f t="shared" si="315"/>
        <v>30632357.794642851</v>
      </c>
      <c r="N243" s="16" t="s">
        <v>238</v>
      </c>
      <c r="O243" s="106">
        <f>+'NEW CAR'!O243+'GT-SERV'!O243+ACCESS!O243</f>
        <v>4016669.3777741082</v>
      </c>
      <c r="P243" s="106">
        <f>+'NEW CAR'!P243+'GT-SERV'!P243+ACCESS!P243</f>
        <v>4016669.3777741082</v>
      </c>
      <c r="Q243" s="106">
        <f>+'NEW CAR'!Q243+'GT-SERV'!Q243+ACCESS!Q243</f>
        <v>4016669.3777741082</v>
      </c>
      <c r="R243" s="106">
        <f>+'NEW CAR'!R243+'GT-SERV'!R243+ACCESS!R243</f>
        <v>4016669.3777741082</v>
      </c>
      <c r="S243" s="106">
        <f>+'NEW CAR'!S243+'GT-SERV'!S243+ACCESS!S243</f>
        <v>4016669.3777741082</v>
      </c>
      <c r="T243" s="106">
        <f>+'NEW CAR'!T243+'GT-SERV'!T243+ACCESS!T243</f>
        <v>4016669.3777741082</v>
      </c>
      <c r="U243" s="106">
        <f>+'NEW CAR'!U243+'GT-SERV'!U243+ACCESS!U243</f>
        <v>4016669.3777741082</v>
      </c>
      <c r="V243" s="106">
        <f>+'NEW CAR'!V243+'GT-SERV'!V243+ACCESS!V243</f>
        <v>4016669.3777741082</v>
      </c>
      <c r="W243" s="106">
        <f>+'NEW CAR'!W243+'GT-SERV'!W243+ACCESS!W243</f>
        <v>4016669.3777741082</v>
      </c>
      <c r="X243" s="106">
        <f>+'NEW CAR'!X243+'GT-SERV'!X243+ACCESS!X243</f>
        <v>4016669.3777741082</v>
      </c>
      <c r="Y243" s="106">
        <f>+'NEW CAR'!Y243+'GT-SERV'!Y243+ACCESS!Y243</f>
        <v>0</v>
      </c>
      <c r="Z243" s="106">
        <f>+'NEW CAR'!Z243+'GT-SERV'!Z243+ACCESS!Z243</f>
        <v>0</v>
      </c>
      <c r="AA243" s="106">
        <f t="shared" si="316"/>
        <v>40166693.777741075</v>
      </c>
      <c r="AB243" s="118"/>
      <c r="AC243" s="106">
        <f>+'NEW CAR'!AC243+'GT-SERV'!AC243+ACCESS!AC243</f>
        <v>4016669.3777741082</v>
      </c>
      <c r="AD243" s="106">
        <f>+'NEW CAR'!AD243+'GT-SERV'!AD243+ACCESS!AD243</f>
        <v>4016669.3777741082</v>
      </c>
      <c r="AE243" s="106">
        <f>+'NEW CAR'!AE243+'GT-SERV'!AE243+ACCESS!AE243</f>
        <v>4016669.3777741082</v>
      </c>
      <c r="AF243" s="106">
        <f>+'NEW CAR'!AF243+'GT-SERV'!AF243+ACCESS!AF243</f>
        <v>4016669.3777741082</v>
      </c>
      <c r="AG243" s="106">
        <f>+'NEW CAR'!AG243+'GT-SERV'!AG243+ACCESS!AG243</f>
        <v>4016669.3777741082</v>
      </c>
      <c r="AH243" s="106">
        <f>+'NEW CAR'!AH243+'GT-SERV'!AH243+ACCESS!AH243</f>
        <v>4016669.3777741082</v>
      </c>
      <c r="AI243" s="106">
        <f>+'NEW CAR'!AI243+'GT-SERV'!AI243+ACCESS!AI243</f>
        <v>4016669.3777741082</v>
      </c>
      <c r="AJ243" s="106">
        <f>+'NEW CAR'!AJ243+'GT-SERV'!AJ243+ACCESS!AJ243</f>
        <v>4016669.3777741082</v>
      </c>
      <c r="AK243" s="106">
        <f>+'NEW CAR'!AK243+'GT-SERV'!AK243+ACCESS!AK243</f>
        <v>4016669.3777741082</v>
      </c>
      <c r="AL243" s="106">
        <f>+'NEW CAR'!AL243+'GT-SERV'!AL243+ACCESS!AL243</f>
        <v>4016669.3777741082</v>
      </c>
      <c r="AM243" s="106">
        <f>+'NEW CAR'!AM243+'GT-SERV'!AM243+ACCESS!AM243</f>
        <v>4016669.3777741082</v>
      </c>
      <c r="AN243" s="106">
        <f>+'NEW CAR'!AN243+'GT-SERV'!AN243+ACCESS!AN243</f>
        <v>4016669.3777741082</v>
      </c>
      <c r="AO243" s="106">
        <f t="shared" si="317"/>
        <v>48200032.533289284</v>
      </c>
    </row>
    <row r="244" spans="1:41" outlineLevel="1">
      <c r="A244" s="106">
        <f>+'NEW CAR'!A244+'GT-SERV'!A244+ACCESS!A244</f>
        <v>0</v>
      </c>
      <c r="B244" s="106">
        <f>+'NEW CAR'!B244+'GT-SERV'!B244+ACCESS!B244</f>
        <v>0</v>
      </c>
      <c r="C244" s="106">
        <f>+'NEW CAR'!C244+'GT-SERV'!C244+ACCESS!C244</f>
        <v>0</v>
      </c>
      <c r="D244" s="106">
        <f>+'NEW CAR'!D244+'GT-SERV'!D244+ACCESS!D244</f>
        <v>0</v>
      </c>
      <c r="E244" s="106">
        <f>+'NEW CAR'!E244+'GT-SERV'!E244+ACCESS!E244</f>
        <v>0</v>
      </c>
      <c r="F244" s="106">
        <f>+'NEW CAR'!F244+'GT-SERV'!F244+ACCESS!F244</f>
        <v>0</v>
      </c>
      <c r="G244" s="106">
        <f>+'NEW CAR'!G244+'GT-SERV'!G244+ACCESS!G244</f>
        <v>0</v>
      </c>
      <c r="H244" s="106">
        <f>+'NEW CAR'!H244+'GT-SERV'!H244+ACCESS!H244</f>
        <v>0</v>
      </c>
      <c r="I244" s="106">
        <f>+'NEW CAR'!I244+'GT-SERV'!I244+ACCESS!I244</f>
        <v>0</v>
      </c>
      <c r="J244" s="106">
        <f>+'NEW CAR'!J244+'GT-SERV'!J244+ACCESS!J244</f>
        <v>0</v>
      </c>
      <c r="K244" s="106">
        <f>+'NEW CAR'!K244+'GT-SERV'!K244+ACCESS!K244</f>
        <v>0</v>
      </c>
      <c r="L244" s="106">
        <f>+'NEW CAR'!L244+'GT-SERV'!L244+ACCESS!L244</f>
        <v>0</v>
      </c>
      <c r="M244" s="106">
        <f t="shared" si="315"/>
        <v>0</v>
      </c>
      <c r="N244" s="16" t="s">
        <v>239</v>
      </c>
      <c r="O244" s="106">
        <f>+'NEW CAR'!O244+'GT-SERV'!O244+ACCESS!O244</f>
        <v>0</v>
      </c>
      <c r="P244" s="106">
        <f>+'NEW CAR'!P244+'GT-SERV'!P244+ACCESS!P244</f>
        <v>0</v>
      </c>
      <c r="Q244" s="106">
        <f>+'NEW CAR'!Q244+'GT-SERV'!Q244+ACCESS!Q244</f>
        <v>0</v>
      </c>
      <c r="R244" s="106">
        <f>+'NEW CAR'!R244+'GT-SERV'!R244+ACCESS!R244</f>
        <v>0</v>
      </c>
      <c r="S244" s="106">
        <f>+'NEW CAR'!S244+'GT-SERV'!S244+ACCESS!S244</f>
        <v>0</v>
      </c>
      <c r="T244" s="106">
        <f>+'NEW CAR'!T244+'GT-SERV'!T244+ACCESS!T244</f>
        <v>0</v>
      </c>
      <c r="U244" s="106">
        <f>+'NEW CAR'!U244+'GT-SERV'!U244+ACCESS!U244</f>
        <v>0</v>
      </c>
      <c r="V244" s="106">
        <f>+'NEW CAR'!V244+'GT-SERV'!V244+ACCESS!V244</f>
        <v>0</v>
      </c>
      <c r="W244" s="106">
        <f>+'NEW CAR'!W244+'GT-SERV'!W244+ACCESS!W244</f>
        <v>0</v>
      </c>
      <c r="X244" s="106">
        <f>+'NEW CAR'!X244+'GT-SERV'!X244+ACCESS!X244</f>
        <v>0</v>
      </c>
      <c r="Y244" s="106">
        <f>+'NEW CAR'!Y244+'GT-SERV'!Y244+ACCESS!Y244</f>
        <v>0</v>
      </c>
      <c r="Z244" s="106">
        <f>+'NEW CAR'!Z244+'GT-SERV'!Z244+ACCESS!Z244</f>
        <v>0</v>
      </c>
      <c r="AA244" s="106">
        <f t="shared" si="316"/>
        <v>0</v>
      </c>
      <c r="AB244" s="118"/>
      <c r="AC244" s="106">
        <f>+'NEW CAR'!AC244+'GT-SERV'!AC244+ACCESS!AC244</f>
        <v>0</v>
      </c>
      <c r="AD244" s="106">
        <f>+'NEW CAR'!AD244+'GT-SERV'!AD244+ACCESS!AD244</f>
        <v>0</v>
      </c>
      <c r="AE244" s="106">
        <f>+'NEW CAR'!AE244+'GT-SERV'!AE244+ACCESS!AE244</f>
        <v>0</v>
      </c>
      <c r="AF244" s="106">
        <f>+'NEW CAR'!AF244+'GT-SERV'!AF244+ACCESS!AF244</f>
        <v>0</v>
      </c>
      <c r="AG244" s="106">
        <f>+'NEW CAR'!AG244+'GT-SERV'!AG244+ACCESS!AG244</f>
        <v>0</v>
      </c>
      <c r="AH244" s="106">
        <f>+'NEW CAR'!AH244+'GT-SERV'!AH244+ACCESS!AH244</f>
        <v>0</v>
      </c>
      <c r="AI244" s="106">
        <f>+'NEW CAR'!AI244+'GT-SERV'!AI244+ACCESS!AI244</f>
        <v>0</v>
      </c>
      <c r="AJ244" s="106">
        <f>+'NEW CAR'!AJ244+'GT-SERV'!AJ244+ACCESS!AJ244</f>
        <v>0</v>
      </c>
      <c r="AK244" s="106">
        <f>+'NEW CAR'!AK244+'GT-SERV'!AK244+ACCESS!AK244</f>
        <v>0</v>
      </c>
      <c r="AL244" s="106">
        <f>+'NEW CAR'!AL244+'GT-SERV'!AL244+ACCESS!AL244</f>
        <v>0</v>
      </c>
      <c r="AM244" s="106">
        <f>+'NEW CAR'!AM244+'GT-SERV'!AM244+ACCESS!AM244</f>
        <v>0</v>
      </c>
      <c r="AN244" s="106">
        <f>+'NEW CAR'!AN244+'GT-SERV'!AN244+ACCESS!AN244</f>
        <v>0</v>
      </c>
      <c r="AO244" s="106">
        <f t="shared" si="317"/>
        <v>0</v>
      </c>
    </row>
    <row r="245" spans="1:41" outlineLevel="1">
      <c r="A245" s="106">
        <f>+'NEW CAR'!A245+'GT-SERV'!A245+ACCESS!A245</f>
        <v>0</v>
      </c>
      <c r="B245" s="106">
        <f>+'NEW CAR'!B245+'GT-SERV'!B245+ACCESS!B245</f>
        <v>0</v>
      </c>
      <c r="C245" s="106">
        <f>+'NEW CAR'!C245+'GT-SERV'!C245+ACCESS!C245</f>
        <v>0</v>
      </c>
      <c r="D245" s="106">
        <f>+'NEW CAR'!D245+'GT-SERV'!D245+ACCESS!D245</f>
        <v>0</v>
      </c>
      <c r="E245" s="106">
        <f>+'NEW CAR'!E245+'GT-SERV'!E245+ACCESS!E245</f>
        <v>0</v>
      </c>
      <c r="F245" s="106">
        <f>+'NEW CAR'!F245+'GT-SERV'!F245+ACCESS!F245</f>
        <v>0</v>
      </c>
      <c r="G245" s="106">
        <f>+'NEW CAR'!G245+'GT-SERV'!G245+ACCESS!G245</f>
        <v>0</v>
      </c>
      <c r="H245" s="106">
        <f>+'NEW CAR'!H245+'GT-SERV'!H245+ACCESS!H245</f>
        <v>0</v>
      </c>
      <c r="I245" s="106">
        <f>+'NEW CAR'!I245+'GT-SERV'!I245+ACCESS!I245</f>
        <v>0</v>
      </c>
      <c r="J245" s="106">
        <f>+'NEW CAR'!J245+'GT-SERV'!J245+ACCESS!J245</f>
        <v>0</v>
      </c>
      <c r="K245" s="106">
        <f>+'NEW CAR'!K245+'GT-SERV'!K245+ACCESS!K245</f>
        <v>0</v>
      </c>
      <c r="L245" s="106">
        <f>+'NEW CAR'!L245+'GT-SERV'!L245+ACCESS!L245</f>
        <v>0</v>
      </c>
      <c r="M245" s="106">
        <f t="shared" si="315"/>
        <v>0</v>
      </c>
      <c r="N245" s="16" t="s">
        <v>240</v>
      </c>
      <c r="O245" s="106">
        <f>+'NEW CAR'!O245+'GT-SERV'!O245+ACCESS!O245</f>
        <v>0</v>
      </c>
      <c r="P245" s="106">
        <f>+'NEW CAR'!P245+'GT-SERV'!P245+ACCESS!P245</f>
        <v>0</v>
      </c>
      <c r="Q245" s="106">
        <f>+'NEW CAR'!Q245+'GT-SERV'!Q245+ACCESS!Q245</f>
        <v>0</v>
      </c>
      <c r="R245" s="106">
        <f>+'NEW CAR'!R245+'GT-SERV'!R245+ACCESS!R245</f>
        <v>0</v>
      </c>
      <c r="S245" s="106">
        <f>+'NEW CAR'!S245+'GT-SERV'!S245+ACCESS!S245</f>
        <v>0</v>
      </c>
      <c r="T245" s="106">
        <f>+'NEW CAR'!T245+'GT-SERV'!T245+ACCESS!T245</f>
        <v>0</v>
      </c>
      <c r="U245" s="106">
        <f>+'NEW CAR'!U245+'GT-SERV'!U245+ACCESS!U245</f>
        <v>0</v>
      </c>
      <c r="V245" s="106">
        <f>+'NEW CAR'!V245+'GT-SERV'!V245+ACCESS!V245</f>
        <v>0</v>
      </c>
      <c r="W245" s="106">
        <f>+'NEW CAR'!W245+'GT-SERV'!W245+ACCESS!W245</f>
        <v>0</v>
      </c>
      <c r="X245" s="106">
        <f>+'NEW CAR'!X245+'GT-SERV'!X245+ACCESS!X245</f>
        <v>0</v>
      </c>
      <c r="Y245" s="106">
        <f>+'NEW CAR'!Y245+'GT-SERV'!Y245+ACCESS!Y245</f>
        <v>0</v>
      </c>
      <c r="Z245" s="106">
        <f>+'NEW CAR'!Z245+'GT-SERV'!Z245+ACCESS!Z245</f>
        <v>0</v>
      </c>
      <c r="AA245" s="106">
        <f t="shared" si="316"/>
        <v>0</v>
      </c>
      <c r="AB245" s="118"/>
      <c r="AC245" s="106">
        <f>+'NEW CAR'!AC245+'GT-SERV'!AC245+ACCESS!AC245</f>
        <v>0</v>
      </c>
      <c r="AD245" s="106">
        <f>+'NEW CAR'!AD245+'GT-SERV'!AD245+ACCESS!AD245</f>
        <v>0</v>
      </c>
      <c r="AE245" s="106">
        <f>+'NEW CAR'!AE245+'GT-SERV'!AE245+ACCESS!AE245</f>
        <v>0</v>
      </c>
      <c r="AF245" s="106">
        <f>+'NEW CAR'!AF245+'GT-SERV'!AF245+ACCESS!AF245</f>
        <v>0</v>
      </c>
      <c r="AG245" s="106">
        <f>+'NEW CAR'!AG245+'GT-SERV'!AG245+ACCESS!AG245</f>
        <v>0</v>
      </c>
      <c r="AH245" s="106">
        <f>+'NEW CAR'!AH245+'GT-SERV'!AH245+ACCESS!AH245</f>
        <v>0</v>
      </c>
      <c r="AI245" s="106">
        <f>+'NEW CAR'!AI245+'GT-SERV'!AI245+ACCESS!AI245</f>
        <v>0</v>
      </c>
      <c r="AJ245" s="106">
        <f>+'NEW CAR'!AJ245+'GT-SERV'!AJ245+ACCESS!AJ245</f>
        <v>0</v>
      </c>
      <c r="AK245" s="106">
        <f>+'NEW CAR'!AK245+'GT-SERV'!AK245+ACCESS!AK245</f>
        <v>0</v>
      </c>
      <c r="AL245" s="106">
        <f>+'NEW CAR'!AL245+'GT-SERV'!AL245+ACCESS!AL245</f>
        <v>0</v>
      </c>
      <c r="AM245" s="106">
        <f>+'NEW CAR'!AM245+'GT-SERV'!AM245+ACCESS!AM245</f>
        <v>0</v>
      </c>
      <c r="AN245" s="106">
        <f>+'NEW CAR'!AN245+'GT-SERV'!AN245+ACCESS!AN245</f>
        <v>0</v>
      </c>
      <c r="AO245" s="106">
        <f t="shared" si="317"/>
        <v>0</v>
      </c>
    </row>
    <row r="246" spans="1:41" outlineLevel="1">
      <c r="A246" s="106">
        <f>+'NEW CAR'!A246+'GT-SERV'!A246+ACCESS!A246</f>
        <v>0</v>
      </c>
      <c r="B246" s="106">
        <f>+'NEW CAR'!B246+'GT-SERV'!B246+ACCESS!B246</f>
        <v>0</v>
      </c>
      <c r="C246" s="106">
        <f>+'NEW CAR'!C246+'GT-SERV'!C246+ACCESS!C246</f>
        <v>0</v>
      </c>
      <c r="D246" s="106">
        <f>+'NEW CAR'!D246+'GT-SERV'!D246+ACCESS!D246</f>
        <v>0</v>
      </c>
      <c r="E246" s="106">
        <f>+'NEW CAR'!E246+'GT-SERV'!E246+ACCESS!E246</f>
        <v>0</v>
      </c>
      <c r="F246" s="106">
        <f>+'NEW CAR'!F246+'GT-SERV'!F246+ACCESS!F246</f>
        <v>0</v>
      </c>
      <c r="G246" s="106">
        <f>+'NEW CAR'!G246+'GT-SERV'!G246+ACCESS!G246</f>
        <v>0</v>
      </c>
      <c r="H246" s="106">
        <f>+'NEW CAR'!H246+'GT-SERV'!H246+ACCESS!H246</f>
        <v>0</v>
      </c>
      <c r="I246" s="106">
        <f>+'NEW CAR'!I246+'GT-SERV'!I246+ACCESS!I246</f>
        <v>0</v>
      </c>
      <c r="J246" s="106">
        <f>+'NEW CAR'!J246+'GT-SERV'!J246+ACCESS!J246</f>
        <v>0</v>
      </c>
      <c r="K246" s="106">
        <f>+'NEW CAR'!K246+'GT-SERV'!K246+ACCESS!K246</f>
        <v>0</v>
      </c>
      <c r="L246" s="106">
        <f>+'NEW CAR'!L246+'GT-SERV'!L246+ACCESS!L246</f>
        <v>0</v>
      </c>
      <c r="M246" s="106">
        <f t="shared" si="315"/>
        <v>0</v>
      </c>
      <c r="N246" s="16" t="s">
        <v>241</v>
      </c>
      <c r="O246" s="106">
        <f>+'NEW CAR'!O246+'GT-SERV'!O246+ACCESS!O246</f>
        <v>0</v>
      </c>
      <c r="P246" s="106">
        <f>+'NEW CAR'!P246+'GT-SERV'!P246+ACCESS!P246</f>
        <v>0</v>
      </c>
      <c r="Q246" s="106">
        <f>+'NEW CAR'!Q246+'GT-SERV'!Q246+ACCESS!Q246</f>
        <v>0</v>
      </c>
      <c r="R246" s="106">
        <f>+'NEW CAR'!R246+'GT-SERV'!R246+ACCESS!R246</f>
        <v>0</v>
      </c>
      <c r="S246" s="106">
        <f>+'NEW CAR'!S246+'GT-SERV'!S246+ACCESS!S246</f>
        <v>0</v>
      </c>
      <c r="T246" s="106">
        <f>+'NEW CAR'!T246+'GT-SERV'!T246+ACCESS!T246</f>
        <v>0</v>
      </c>
      <c r="U246" s="106">
        <f>+'NEW CAR'!U246+'GT-SERV'!U246+ACCESS!U246</f>
        <v>0</v>
      </c>
      <c r="V246" s="106">
        <f>+'NEW CAR'!V246+'GT-SERV'!V246+ACCESS!V246</f>
        <v>0</v>
      </c>
      <c r="W246" s="106">
        <f>+'NEW CAR'!W246+'GT-SERV'!W246+ACCESS!W246</f>
        <v>0</v>
      </c>
      <c r="X246" s="106">
        <f>+'NEW CAR'!X246+'GT-SERV'!X246+ACCESS!X246</f>
        <v>0</v>
      </c>
      <c r="Y246" s="106">
        <f>+'NEW CAR'!Y246+'GT-SERV'!Y246+ACCESS!Y246</f>
        <v>0</v>
      </c>
      <c r="Z246" s="106">
        <f>+'NEW CAR'!Z246+'GT-SERV'!Z246+ACCESS!Z246</f>
        <v>0</v>
      </c>
      <c r="AA246" s="106">
        <f t="shared" si="316"/>
        <v>0</v>
      </c>
      <c r="AB246" s="118"/>
      <c r="AC246" s="106">
        <f>+'NEW CAR'!AC246+'GT-SERV'!AC246+ACCESS!AC246</f>
        <v>0</v>
      </c>
      <c r="AD246" s="106">
        <f>+'NEW CAR'!AD246+'GT-SERV'!AD246+ACCESS!AD246</f>
        <v>0</v>
      </c>
      <c r="AE246" s="106">
        <f>+'NEW CAR'!AE246+'GT-SERV'!AE246+ACCESS!AE246</f>
        <v>0</v>
      </c>
      <c r="AF246" s="106">
        <f>+'NEW CAR'!AF246+'GT-SERV'!AF246+ACCESS!AF246</f>
        <v>0</v>
      </c>
      <c r="AG246" s="106">
        <f>+'NEW CAR'!AG246+'GT-SERV'!AG246+ACCESS!AG246</f>
        <v>0</v>
      </c>
      <c r="AH246" s="106">
        <f>+'NEW CAR'!AH246+'GT-SERV'!AH246+ACCESS!AH246</f>
        <v>0</v>
      </c>
      <c r="AI246" s="106">
        <f>+'NEW CAR'!AI246+'GT-SERV'!AI246+ACCESS!AI246</f>
        <v>0</v>
      </c>
      <c r="AJ246" s="106">
        <f>+'NEW CAR'!AJ246+'GT-SERV'!AJ246+ACCESS!AJ246</f>
        <v>0</v>
      </c>
      <c r="AK246" s="106">
        <f>+'NEW CAR'!AK246+'GT-SERV'!AK246+ACCESS!AK246</f>
        <v>0</v>
      </c>
      <c r="AL246" s="106">
        <f>+'NEW CAR'!AL246+'GT-SERV'!AL246+ACCESS!AL246</f>
        <v>0</v>
      </c>
      <c r="AM246" s="106">
        <f>+'NEW CAR'!AM246+'GT-SERV'!AM246+ACCESS!AM246</f>
        <v>0</v>
      </c>
      <c r="AN246" s="106">
        <f>+'NEW CAR'!AN246+'GT-SERV'!AN246+ACCESS!AN246</f>
        <v>0</v>
      </c>
      <c r="AO246" s="106">
        <f t="shared" si="317"/>
        <v>0</v>
      </c>
    </row>
    <row r="247" spans="1:41" outlineLevel="1">
      <c r="A247" s="106">
        <f>+'NEW CAR'!A247+'GT-SERV'!A247+ACCESS!A247</f>
        <v>0</v>
      </c>
      <c r="B247" s="106">
        <f>+'NEW CAR'!B247+'GT-SERV'!B247+ACCESS!B247</f>
        <v>0</v>
      </c>
      <c r="C247" s="106">
        <f>+'NEW CAR'!C247+'GT-SERV'!C247+ACCESS!C247</f>
        <v>0</v>
      </c>
      <c r="D247" s="106">
        <f>+'NEW CAR'!D247+'GT-SERV'!D247+ACCESS!D247</f>
        <v>0</v>
      </c>
      <c r="E247" s="106">
        <f>+'NEW CAR'!E247+'GT-SERV'!E247+ACCESS!E247</f>
        <v>0</v>
      </c>
      <c r="F247" s="106">
        <f>+'NEW CAR'!F247+'GT-SERV'!F247+ACCESS!F247</f>
        <v>0</v>
      </c>
      <c r="G247" s="106">
        <f>+'NEW CAR'!G247+'GT-SERV'!G247+ACCESS!G247</f>
        <v>0</v>
      </c>
      <c r="H247" s="106">
        <f>+'NEW CAR'!H247+'GT-SERV'!H247+ACCESS!H247</f>
        <v>0</v>
      </c>
      <c r="I247" s="106">
        <f>+'NEW CAR'!I247+'GT-SERV'!I247+ACCESS!I247</f>
        <v>0</v>
      </c>
      <c r="J247" s="106">
        <f>+'NEW CAR'!J247+'GT-SERV'!J247+ACCESS!J247</f>
        <v>0</v>
      </c>
      <c r="K247" s="106">
        <f>+'NEW CAR'!K247+'GT-SERV'!K247+ACCESS!K247</f>
        <v>0</v>
      </c>
      <c r="L247" s="106">
        <f>+'NEW CAR'!L247+'GT-SERV'!L247+ACCESS!L247</f>
        <v>0</v>
      </c>
      <c r="M247" s="106">
        <f t="shared" si="315"/>
        <v>0</v>
      </c>
      <c r="N247" s="16" t="s">
        <v>242</v>
      </c>
      <c r="O247" s="106">
        <f>+'NEW CAR'!O247+'GT-SERV'!O247+ACCESS!O247</f>
        <v>0</v>
      </c>
      <c r="P247" s="106">
        <f>+'NEW CAR'!P247+'GT-SERV'!P247+ACCESS!P247</f>
        <v>0</v>
      </c>
      <c r="Q247" s="106">
        <f>+'NEW CAR'!Q247+'GT-SERV'!Q247+ACCESS!Q247</f>
        <v>0</v>
      </c>
      <c r="R247" s="106">
        <f>+'NEW CAR'!R247+'GT-SERV'!R247+ACCESS!R247</f>
        <v>0</v>
      </c>
      <c r="S247" s="106">
        <f>+'NEW CAR'!S247+'GT-SERV'!S247+ACCESS!S247</f>
        <v>0</v>
      </c>
      <c r="T247" s="106">
        <f>+'NEW CAR'!T247+'GT-SERV'!T247+ACCESS!T247</f>
        <v>0</v>
      </c>
      <c r="U247" s="106">
        <f>+'NEW CAR'!U247+'GT-SERV'!U247+ACCESS!U247</f>
        <v>0</v>
      </c>
      <c r="V247" s="106">
        <f>+'NEW CAR'!V247+'GT-SERV'!V247+ACCESS!V247</f>
        <v>0</v>
      </c>
      <c r="W247" s="106">
        <f>+'NEW CAR'!W247+'GT-SERV'!W247+ACCESS!W247</f>
        <v>0</v>
      </c>
      <c r="X247" s="106">
        <f>+'NEW CAR'!X247+'GT-SERV'!X247+ACCESS!X247</f>
        <v>0</v>
      </c>
      <c r="Y247" s="106">
        <f>+'NEW CAR'!Y247+'GT-SERV'!Y247+ACCESS!Y247</f>
        <v>0</v>
      </c>
      <c r="Z247" s="106">
        <f>+'NEW CAR'!Z247+'GT-SERV'!Z247+ACCESS!Z247</f>
        <v>0</v>
      </c>
      <c r="AA247" s="106">
        <f t="shared" si="316"/>
        <v>0</v>
      </c>
      <c r="AB247" s="118"/>
      <c r="AC247" s="106">
        <f>+'NEW CAR'!AC247+'GT-SERV'!AC247+ACCESS!AC247</f>
        <v>0</v>
      </c>
      <c r="AD247" s="106">
        <f>+'NEW CAR'!AD247+'GT-SERV'!AD247+ACCESS!AD247</f>
        <v>0</v>
      </c>
      <c r="AE247" s="106">
        <f>+'NEW CAR'!AE247+'GT-SERV'!AE247+ACCESS!AE247</f>
        <v>0</v>
      </c>
      <c r="AF247" s="106">
        <f>+'NEW CAR'!AF247+'GT-SERV'!AF247+ACCESS!AF247</f>
        <v>0</v>
      </c>
      <c r="AG247" s="106">
        <f>+'NEW CAR'!AG247+'GT-SERV'!AG247+ACCESS!AG247</f>
        <v>0</v>
      </c>
      <c r="AH247" s="106">
        <f>+'NEW CAR'!AH247+'GT-SERV'!AH247+ACCESS!AH247</f>
        <v>0</v>
      </c>
      <c r="AI247" s="106">
        <f>+'NEW CAR'!AI247+'GT-SERV'!AI247+ACCESS!AI247</f>
        <v>0</v>
      </c>
      <c r="AJ247" s="106">
        <f>+'NEW CAR'!AJ247+'GT-SERV'!AJ247+ACCESS!AJ247</f>
        <v>0</v>
      </c>
      <c r="AK247" s="106">
        <f>+'NEW CAR'!AK247+'GT-SERV'!AK247+ACCESS!AK247</f>
        <v>0</v>
      </c>
      <c r="AL247" s="106">
        <f>+'NEW CAR'!AL247+'GT-SERV'!AL247+ACCESS!AL247</f>
        <v>0</v>
      </c>
      <c r="AM247" s="106">
        <f>+'NEW CAR'!AM247+'GT-SERV'!AM247+ACCESS!AM247</f>
        <v>0</v>
      </c>
      <c r="AN247" s="106">
        <f>+'NEW CAR'!AN247+'GT-SERV'!AN247+ACCESS!AN247</f>
        <v>0</v>
      </c>
      <c r="AO247" s="106">
        <f t="shared" si="317"/>
        <v>0</v>
      </c>
    </row>
    <row r="248" spans="1:41" outlineLevel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18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</row>
    <row r="249" spans="1:41">
      <c r="A249" s="58">
        <f t="shared" ref="A249:M249" si="318">+A233-A236-A241</f>
        <v>209565.15201258985</v>
      </c>
      <c r="B249" s="58">
        <f t="shared" si="318"/>
        <v>8544869.2249124944</v>
      </c>
      <c r="C249" s="58">
        <f t="shared" si="318"/>
        <v>13980469.369979683</v>
      </c>
      <c r="D249" s="58">
        <f t="shared" si="318"/>
        <v>-2501133.4612535867</v>
      </c>
      <c r="E249" s="58">
        <f t="shared" si="318"/>
        <v>892498.25453508832</v>
      </c>
      <c r="F249" s="58">
        <f t="shared" si="318"/>
        <v>700288.92378096888</v>
      </c>
      <c r="G249" s="58">
        <f t="shared" si="318"/>
        <v>1474888.7304277942</v>
      </c>
      <c r="H249" s="58">
        <f t="shared" si="318"/>
        <v>3463842.1640856341</v>
      </c>
      <c r="I249" s="58">
        <f t="shared" si="318"/>
        <v>4227850.6097256718</v>
      </c>
      <c r="J249" s="58">
        <f t="shared" si="318"/>
        <v>-448646.26777878497</v>
      </c>
      <c r="K249" s="58">
        <f t="shared" si="318"/>
        <v>4271132.6504753353</v>
      </c>
      <c r="L249" s="58">
        <f t="shared" si="318"/>
        <v>14065354.342962084</v>
      </c>
      <c r="M249" s="58">
        <f t="shared" si="318"/>
        <v>48880979.693865061</v>
      </c>
      <c r="N249" s="14" t="s">
        <v>201</v>
      </c>
      <c r="O249" s="58">
        <f t="shared" ref="O249:AA249" si="319">+O233-O236-O241</f>
        <v>-459509.87612665165</v>
      </c>
      <c r="P249" s="58">
        <f t="shared" si="319"/>
        <v>-7696803.6979756551</v>
      </c>
      <c r="Q249" s="58">
        <f t="shared" si="319"/>
        <v>10222236.649552122</v>
      </c>
      <c r="R249" s="58">
        <f t="shared" si="319"/>
        <v>2268484.1898687668</v>
      </c>
      <c r="S249" s="58">
        <f t="shared" si="319"/>
        <v>4460843.3165282458</v>
      </c>
      <c r="T249" s="58">
        <f t="shared" si="319"/>
        <v>1638537.3694949988</v>
      </c>
      <c r="U249" s="58">
        <f t="shared" si="319"/>
        <v>7226908.1626060717</v>
      </c>
      <c r="V249" s="58">
        <f t="shared" si="319"/>
        <v>-275360.29828117369</v>
      </c>
      <c r="W249" s="58">
        <f t="shared" si="319"/>
        <v>11554157.523984749</v>
      </c>
      <c r="X249" s="58">
        <f t="shared" si="319"/>
        <v>2396176.1578215351</v>
      </c>
      <c r="Y249" s="58">
        <f t="shared" si="319"/>
        <v>0</v>
      </c>
      <c r="Z249" s="58">
        <f t="shared" si="319"/>
        <v>0</v>
      </c>
      <c r="AA249" s="58">
        <f t="shared" si="319"/>
        <v>31335669.497472972</v>
      </c>
      <c r="AB249" s="118"/>
      <c r="AC249" s="58">
        <f t="shared" ref="AC249:AO249" si="320">+AC233-AC236-AC241</f>
        <v>2555968.0624078009</v>
      </c>
      <c r="AD249" s="58">
        <f t="shared" si="320"/>
        <v>970104.98662572447</v>
      </c>
      <c r="AE249" s="58">
        <f t="shared" si="320"/>
        <v>17000356.335440986</v>
      </c>
      <c r="AF249" s="58">
        <f t="shared" si="320"/>
        <v>-2319866.7989586266</v>
      </c>
      <c r="AG249" s="58">
        <f t="shared" si="320"/>
        <v>839382.32547633909</v>
      </c>
      <c r="AH249" s="58">
        <f t="shared" si="320"/>
        <v>8639778.0766248219</v>
      </c>
      <c r="AI249" s="58">
        <f t="shared" si="320"/>
        <v>2331735.5631640423</v>
      </c>
      <c r="AJ249" s="58">
        <f t="shared" si="320"/>
        <v>4804469.3329143021</v>
      </c>
      <c r="AK249" s="58">
        <f t="shared" si="320"/>
        <v>13215404.592270873</v>
      </c>
      <c r="AL249" s="58">
        <f t="shared" si="320"/>
        <v>-947008.3478147327</v>
      </c>
      <c r="AM249" s="58">
        <f t="shared" si="320"/>
        <v>-2093312.7965982025</v>
      </c>
      <c r="AN249" s="58">
        <f t="shared" si="320"/>
        <v>16525588.78793041</v>
      </c>
      <c r="AO249" s="58">
        <f t="shared" si="320"/>
        <v>61522600.119483799</v>
      </c>
    </row>
    <row r="250" spans="1:41">
      <c r="A250" s="108">
        <f t="shared" ref="A250:M250" si="321">IFERROR(A249/A70,0)</f>
        <v>1.7953629561564457E-3</v>
      </c>
      <c r="B250" s="108">
        <f t="shared" si="321"/>
        <v>3.4668508746673515E-2</v>
      </c>
      <c r="C250" s="108">
        <f t="shared" si="321"/>
        <v>4.2823929904051067E-2</v>
      </c>
      <c r="D250" s="108">
        <f t="shared" si="321"/>
        <v>-1.840079674436924E-2</v>
      </c>
      <c r="E250" s="108">
        <f t="shared" si="321"/>
        <v>3.637618669259044E-3</v>
      </c>
      <c r="F250" s="108">
        <f t="shared" si="321"/>
        <v>3.7075871197257064E-3</v>
      </c>
      <c r="G250" s="108">
        <f t="shared" si="321"/>
        <v>7.7764586988305446E-3</v>
      </c>
      <c r="H250" s="108">
        <f t="shared" si="321"/>
        <v>1.6224866247287847E-2</v>
      </c>
      <c r="I250" s="108">
        <f t="shared" si="321"/>
        <v>2.2941948750050938E-2</v>
      </c>
      <c r="J250" s="108">
        <f t="shared" si="321"/>
        <v>-2.0325027228678886E-3</v>
      </c>
      <c r="K250" s="108">
        <f t="shared" si="321"/>
        <v>1.925529397490576E-2</v>
      </c>
      <c r="L250" s="108">
        <f t="shared" si="321"/>
        <v>5.3795777898894753E-2</v>
      </c>
      <c r="M250" s="108">
        <f t="shared" si="321"/>
        <v>1.9159497848311845E-2</v>
      </c>
      <c r="N250" s="15" t="s">
        <v>58</v>
      </c>
      <c r="O250" s="108">
        <f t="shared" ref="O250" si="322">IFERROR(O249/O70,0)</f>
        <v>-2.1052031271626167E-3</v>
      </c>
      <c r="P250" s="108">
        <f t="shared" ref="P250" si="323">IFERROR(P249/P70,0)</f>
        <v>-5.444173111208149E-2</v>
      </c>
      <c r="Q250" s="108">
        <f t="shared" ref="Q250" si="324">IFERROR(Q249/Q70,0)</f>
        <v>3.5168632709108756E-2</v>
      </c>
      <c r="R250" s="108">
        <f t="shared" ref="R250" si="325">IFERROR(R249/R70,0)</f>
        <v>1.2810952874892034E-2</v>
      </c>
      <c r="S250" s="108">
        <f t="shared" ref="S250" si="326">IFERROR(S249/S70,0)</f>
        <v>2.4403252979917869E-2</v>
      </c>
      <c r="T250" s="108">
        <f t="shared" ref="T250" si="327">IFERROR(T249/T70,0)</f>
        <v>8.0216648399650797E-3</v>
      </c>
      <c r="U250" s="108">
        <f t="shared" ref="U250" si="328">IFERROR(U249/U70,0)</f>
        <v>2.7611915808760708E-2</v>
      </c>
      <c r="V250" s="108">
        <f t="shared" ref="V250" si="329">IFERROR(V249/V70,0)</f>
        <v>-1.3384631132782497E-3</v>
      </c>
      <c r="W250" s="108">
        <f t="shared" ref="W250" si="330">IFERROR(W249/W70,0)</f>
        <v>3.8280379893750459E-2</v>
      </c>
      <c r="X250" s="108">
        <f t="shared" ref="X250" si="331">IFERROR(X249/X70,0)</f>
        <v>8.7225104247431705E-3</v>
      </c>
      <c r="Y250" s="108">
        <f t="shared" ref="Y250" si="332">IFERROR(Y249/Y70,0)</f>
        <v>0</v>
      </c>
      <c r="Z250" s="108">
        <f t="shared" ref="Z250" si="333">IFERROR(Z249/Z70,0)</f>
        <v>0</v>
      </c>
      <c r="AA250" s="108">
        <f t="shared" ref="AA250" si="334">IFERROR(AA249/AA70,0)</f>
        <v>1.3874853966220763E-2</v>
      </c>
      <c r="AC250" s="108">
        <f t="shared" ref="AC250" si="335">IFERROR(AC249/AC70,0)</f>
        <v>1.3010840600323308E-2</v>
      </c>
      <c r="AD250" s="108">
        <f t="shared" ref="AD250" si="336">IFERROR(AD249/AD70,0)</f>
        <v>4.7536487531931711E-3</v>
      </c>
      <c r="AE250" s="108">
        <f t="shared" ref="AE250" si="337">IFERROR(AE249/AE70,0)</f>
        <v>6.7748642167288403E-2</v>
      </c>
      <c r="AF250" s="108">
        <f t="shared" ref="AF250" si="338">IFERROR(AF249/AF70,0)</f>
        <v>-1.3289302760256735E-2</v>
      </c>
      <c r="AG250" s="108">
        <f t="shared" ref="AG250" si="339">IFERROR(AG249/AG70,0)</f>
        <v>3.8161962269016385E-3</v>
      </c>
      <c r="AH250" s="108">
        <f t="shared" ref="AH250" si="340">IFERROR(AH249/AH70,0)</f>
        <v>4.8451593076651776E-2</v>
      </c>
      <c r="AI250" s="108">
        <f t="shared" ref="AI250" si="341">IFERROR(AI249/AI70,0)</f>
        <v>1.1553669122841231E-2</v>
      </c>
      <c r="AJ250" s="108">
        <f t="shared" ref="AJ250" si="342">IFERROR(AJ249/AJ70,0)</f>
        <v>2.1609748267535648E-2</v>
      </c>
      <c r="AK250" s="108">
        <f t="shared" ref="AK250" si="343">IFERROR(AK249/AK70,0)</f>
        <v>5.4511284158855859E-2</v>
      </c>
      <c r="AL250" s="108">
        <f t="shared" ref="AL250" si="344">IFERROR(AL249/AL70,0)</f>
        <v>-4.8710586619238319E-3</v>
      </c>
      <c r="AM250" s="108">
        <f t="shared" ref="AM250" si="345">IFERROR(AM249/AM70,0)</f>
        <v>-1.2312861472854774E-2</v>
      </c>
      <c r="AN250" s="108">
        <f t="shared" ref="AN250" si="346">IFERROR(AN249/AN70,0)</f>
        <v>6.6911111969564147E-2</v>
      </c>
      <c r="AO250" s="108">
        <f t="shared" ref="AO250" si="347">IFERROR(AO249/AO70,0)</f>
        <v>2.4586624465392944E-2</v>
      </c>
    </row>
    <row r="252" spans="1:41">
      <c r="N252" t="s">
        <v>276</v>
      </c>
      <c r="W252" s="118">
        <f>+W249/AK249</f>
        <v>0.87429464934749579</v>
      </c>
      <c r="AA252" s="118"/>
      <c r="AK252" s="119">
        <v>48037332</v>
      </c>
    </row>
  </sheetData>
  <conditionalFormatting sqref="AB6:AB249">
    <cfRule type="cellIs" dxfId="12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24D4-23AD-490D-972F-B151786D3858}">
  <sheetPr>
    <tabColor rgb="FF92D050"/>
  </sheetPr>
  <dimension ref="A1:DU275"/>
  <sheetViews>
    <sheetView topLeftCell="BC208" zoomScale="87" zoomScaleNormal="87" workbookViewId="0">
      <selection activeCell="BE249" sqref="BE249:BL249"/>
    </sheetView>
  </sheetViews>
  <sheetFormatPr defaultRowHeight="15" outlineLevelRow="2" outlineLevelCol="1"/>
  <cols>
    <col min="1" max="1" width="14.28515625" hidden="1" customWidth="1" outlineLevel="1"/>
    <col min="2" max="3" width="13.5703125" hidden="1" customWidth="1" outlineLevel="1"/>
    <col min="4" max="8" width="14.28515625" hidden="1" customWidth="1" outlineLevel="1"/>
    <col min="9" max="9" width="14.28515625" hidden="1" customWidth="1" outlineLevel="1" collapsed="1"/>
    <col min="10" max="10" width="14.28515625" bestFit="1" customWidth="1" collapsed="1"/>
    <col min="11" max="11" width="14.28515625" hidden="1" customWidth="1" outlineLevel="1"/>
    <col min="12" max="12" width="13.5703125" hidden="1" customWidth="1" outlineLevel="1"/>
    <col min="13" max="13" width="15.42578125" bestFit="1" customWidth="1" collapsed="1"/>
    <col min="14" max="14" width="44.28515625" style="22" bestFit="1" customWidth="1"/>
    <col min="15" max="22" width="13.5703125" hidden="1" customWidth="1" outlineLevel="1"/>
    <col min="23" max="23" width="13.5703125" hidden="1" customWidth="1" outlineLevel="1" collapsed="1"/>
    <col min="24" max="24" width="13.5703125" bestFit="1" customWidth="1" collapsed="1"/>
    <col min="25" max="26" width="6.42578125" hidden="1" customWidth="1" outlineLevel="1"/>
    <col min="27" max="27" width="15.42578125" bestFit="1" customWidth="1" collapsed="1"/>
    <col min="28" max="28" width="7.42578125" bestFit="1" customWidth="1"/>
    <col min="29" max="30" width="14.28515625" hidden="1" customWidth="1" outlineLevel="1"/>
    <col min="31" max="31" width="13.5703125" hidden="1" customWidth="1" outlineLevel="1"/>
    <col min="32" max="36" width="14.28515625" hidden="1" customWidth="1" outlineLevel="1"/>
    <col min="37" max="37" width="13.5703125" hidden="1" customWidth="1" outlineLevel="1" collapsed="1"/>
    <col min="38" max="38" width="14.28515625" bestFit="1" customWidth="1" collapsed="1"/>
    <col min="39" max="39" width="14.28515625" hidden="1" customWidth="1" outlineLevel="1"/>
    <col min="40" max="40" width="13.5703125" hidden="1" customWidth="1" outlineLevel="1"/>
    <col min="41" max="41" width="15.42578125" bestFit="1" customWidth="1" collapsed="1"/>
    <col min="43" max="43" width="12.42578125" hidden="1" customWidth="1" outlineLevel="1"/>
    <col min="44" max="45" width="13.5703125" hidden="1" customWidth="1" outlineLevel="1"/>
    <col min="46" max="50" width="14.28515625" hidden="1" customWidth="1" outlineLevel="1"/>
    <col min="51" max="51" width="13.5703125" hidden="1" customWidth="1" outlineLevel="1" collapsed="1"/>
    <col min="52" max="52" width="14.28515625" bestFit="1" customWidth="1" collapsed="1"/>
    <col min="53" max="53" width="14.28515625" hidden="1" customWidth="1" outlineLevel="1"/>
    <col min="54" max="54" width="13.5703125" hidden="1" customWidth="1" outlineLevel="1"/>
    <col min="55" max="55" width="15.42578125" bestFit="1" customWidth="1" collapsed="1"/>
    <col min="56" max="56" width="44.28515625" bestFit="1" customWidth="1"/>
    <col min="57" max="57" width="13.5703125" hidden="1" customWidth="1" outlineLevel="1"/>
    <col min="58" max="58" width="12.42578125" hidden="1" customWidth="1" outlineLevel="1"/>
    <col min="59" max="59" width="13.5703125" hidden="1" customWidth="1" outlineLevel="1"/>
    <col min="60" max="61" width="12.42578125" hidden="1" customWidth="1" outlineLevel="1"/>
    <col min="62" max="63" width="13.5703125" hidden="1" customWidth="1" outlineLevel="1"/>
    <col min="64" max="64" width="12.42578125" hidden="1" customWidth="1" outlineLevel="1"/>
    <col min="65" max="65" width="13.5703125" hidden="1" customWidth="1" outlineLevel="1" collapsed="1"/>
    <col min="66" max="66" width="13.5703125" bestFit="1" customWidth="1" collapsed="1"/>
    <col min="67" max="68" width="6.42578125" hidden="1" customWidth="1" outlineLevel="1"/>
    <col min="69" max="69" width="13.5703125" bestFit="1" customWidth="1" collapsed="1"/>
    <col min="70" max="70" width="7.42578125" bestFit="1" customWidth="1"/>
    <col min="71" max="72" width="12.42578125" hidden="1" customWidth="1" outlineLevel="1"/>
    <col min="73" max="73" width="13.5703125" hidden="1" customWidth="1" outlineLevel="1"/>
    <col min="74" max="77" width="12.42578125" hidden="1" customWidth="1" outlineLevel="1"/>
    <col min="78" max="78" width="13.5703125" hidden="1" customWidth="1" outlineLevel="1"/>
    <col min="79" max="79" width="12.42578125" hidden="1" customWidth="1" outlineLevel="1" collapsed="1"/>
    <col min="80" max="80" width="12.42578125" bestFit="1" customWidth="1" collapsed="1"/>
    <col min="81" max="81" width="12.42578125" hidden="1" customWidth="1" outlineLevel="1"/>
    <col min="82" max="82" width="13.5703125" hidden="1" customWidth="1" outlineLevel="1"/>
    <col min="83" max="83" width="15.42578125" bestFit="1" customWidth="1" collapsed="1"/>
    <col min="85" max="86" width="12.42578125" hidden="1" customWidth="1" outlineLevel="1"/>
    <col min="87" max="87" width="13.5703125" hidden="1" customWidth="1" outlineLevel="1"/>
    <col min="88" max="88" width="12.42578125" hidden="1" customWidth="1" outlineLevel="1"/>
    <col min="89" max="89" width="13.5703125" hidden="1" customWidth="1" outlineLevel="1"/>
    <col min="90" max="92" width="12.42578125" hidden="1" customWidth="1" outlineLevel="1"/>
    <col min="93" max="93" width="12.42578125" hidden="1" customWidth="1" outlineLevel="1" collapsed="1"/>
    <col min="94" max="94" width="12.42578125" bestFit="1" customWidth="1" collapsed="1"/>
    <col min="95" max="96" width="12.42578125" hidden="1" customWidth="1" outlineLevel="1"/>
    <col min="97" max="97" width="13.5703125" bestFit="1" customWidth="1" collapsed="1"/>
    <col min="98" max="98" width="44.28515625" bestFit="1" customWidth="1"/>
    <col min="99" max="100" width="12.42578125" hidden="1" customWidth="1" outlineLevel="1"/>
    <col min="101" max="101" width="13.5703125" hidden="1" customWidth="1" outlineLevel="1"/>
    <col min="102" max="104" width="12.42578125" hidden="1" customWidth="1" outlineLevel="1"/>
    <col min="105" max="105" width="13.5703125" hidden="1" customWidth="1" outlineLevel="1"/>
    <col min="106" max="106" width="12.42578125" hidden="1" customWidth="1" outlineLevel="1"/>
    <col min="107" max="107" width="12.42578125" hidden="1" customWidth="1" outlineLevel="1" collapsed="1"/>
    <col min="108" max="108" width="12.42578125" bestFit="1" customWidth="1" collapsed="1"/>
    <col min="109" max="110" width="6.42578125" hidden="1" customWidth="1" outlineLevel="1"/>
    <col min="111" max="111" width="13.5703125" bestFit="1" customWidth="1" collapsed="1"/>
    <col min="112" max="112" width="7.42578125" bestFit="1" customWidth="1"/>
    <col min="113" max="120" width="12.42578125" hidden="1" customWidth="1" outlineLevel="1"/>
    <col min="121" max="121" width="12.42578125" hidden="1" customWidth="1" outlineLevel="1" collapsed="1"/>
    <col min="122" max="122" width="12.42578125" bestFit="1" customWidth="1" collapsed="1"/>
    <col min="123" max="124" width="12.42578125" hidden="1" customWidth="1" outlineLevel="1"/>
    <col min="125" max="125" width="13.5703125" bestFit="1" customWidth="1" collapsed="1"/>
  </cols>
  <sheetData>
    <row r="1" spans="1:125" ht="14.45" customHeight="1" thickBot="1">
      <c r="A1" s="23" t="s">
        <v>205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" t="s">
        <v>0</v>
      </c>
      <c r="O1" s="23" t="s">
        <v>205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C1" s="23" t="s">
        <v>205</v>
      </c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Q1" s="34" t="s">
        <v>209</v>
      </c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4" t="str">
        <f>N1</f>
        <v>BRIDGEWAY MOTORS - MIS REPORT</v>
      </c>
      <c r="BE1" s="34" t="s">
        <v>209</v>
      </c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S1" s="34" t="s">
        <v>209</v>
      </c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4" t="s">
        <v>209</v>
      </c>
      <c r="CF1" s="22"/>
      <c r="CG1" s="36" t="s">
        <v>210</v>
      </c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6" t="str">
        <f>BD1</f>
        <v>BRIDGEWAY MOTORS - MIS REPORT</v>
      </c>
      <c r="CU1" s="36" t="s">
        <v>210</v>
      </c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I1" s="36" t="s">
        <v>210</v>
      </c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6"/>
    </row>
    <row r="2" spans="1:125" ht="14.45" customHeight="1">
      <c r="A2" s="25">
        <v>45292</v>
      </c>
      <c r="B2" s="25">
        <v>45323</v>
      </c>
      <c r="C2" s="25">
        <v>45352</v>
      </c>
      <c r="D2" s="25">
        <v>45383</v>
      </c>
      <c r="E2" s="25">
        <v>45413</v>
      </c>
      <c r="F2" s="25">
        <v>45444</v>
      </c>
      <c r="G2" s="25">
        <v>45474</v>
      </c>
      <c r="H2" s="25">
        <v>45505</v>
      </c>
      <c r="I2" s="25">
        <v>45536</v>
      </c>
      <c r="J2" s="25">
        <v>45566</v>
      </c>
      <c r="K2" s="25">
        <v>45597</v>
      </c>
      <c r="L2" s="25">
        <v>45627</v>
      </c>
      <c r="M2" s="25" t="s">
        <v>245</v>
      </c>
      <c r="N2" s="2" t="s">
        <v>1</v>
      </c>
      <c r="O2" s="25">
        <v>45658</v>
      </c>
      <c r="P2" s="25">
        <v>45689</v>
      </c>
      <c r="Q2" s="25">
        <v>45717</v>
      </c>
      <c r="R2" s="25">
        <v>45748</v>
      </c>
      <c r="S2" s="25">
        <v>45778</v>
      </c>
      <c r="T2" s="25">
        <v>45809</v>
      </c>
      <c r="U2" s="25">
        <v>45839</v>
      </c>
      <c r="V2" s="25">
        <v>45870</v>
      </c>
      <c r="W2" s="25">
        <v>45901</v>
      </c>
      <c r="X2" s="25">
        <v>45931</v>
      </c>
      <c r="Y2" s="25">
        <v>45962</v>
      </c>
      <c r="Z2" s="25">
        <v>45992</v>
      </c>
      <c r="AA2" s="25" t="s">
        <v>207</v>
      </c>
      <c r="AC2" s="25">
        <v>45658</v>
      </c>
      <c r="AD2" s="25">
        <v>45689</v>
      </c>
      <c r="AE2" s="25">
        <v>45717</v>
      </c>
      <c r="AF2" s="25">
        <v>45748</v>
      </c>
      <c r="AG2" s="25">
        <v>45778</v>
      </c>
      <c r="AH2" s="25">
        <v>45809</v>
      </c>
      <c r="AI2" s="25">
        <v>45839</v>
      </c>
      <c r="AJ2" s="25">
        <v>45870</v>
      </c>
      <c r="AK2" s="25">
        <v>45901</v>
      </c>
      <c r="AL2" s="25">
        <v>45931</v>
      </c>
      <c r="AM2" s="25">
        <v>45962</v>
      </c>
      <c r="AN2" s="25">
        <v>45992</v>
      </c>
      <c r="AO2" s="25" t="s">
        <v>207</v>
      </c>
      <c r="AQ2" s="25">
        <v>45292</v>
      </c>
      <c r="AR2" s="25">
        <v>45323</v>
      </c>
      <c r="AS2" s="25">
        <v>45352</v>
      </c>
      <c r="AT2" s="25">
        <v>45383</v>
      </c>
      <c r="AU2" s="25">
        <v>45413</v>
      </c>
      <c r="AV2" s="25">
        <v>45444</v>
      </c>
      <c r="AW2" s="25">
        <v>45474</v>
      </c>
      <c r="AX2" s="25">
        <v>45505</v>
      </c>
      <c r="AY2" s="25">
        <v>45536</v>
      </c>
      <c r="AZ2" s="25">
        <v>45566</v>
      </c>
      <c r="BA2" s="25">
        <v>45597</v>
      </c>
      <c r="BB2" s="25">
        <v>45627</v>
      </c>
      <c r="BC2" s="25" t="s">
        <v>245</v>
      </c>
      <c r="BD2" s="2" t="s">
        <v>1</v>
      </c>
      <c r="BE2" s="25">
        <v>45658</v>
      </c>
      <c r="BF2" s="25">
        <v>45689</v>
      </c>
      <c r="BG2" s="25">
        <v>45717</v>
      </c>
      <c r="BH2" s="25">
        <v>45748</v>
      </c>
      <c r="BI2" s="25">
        <v>45778</v>
      </c>
      <c r="BJ2" s="25">
        <v>45809</v>
      </c>
      <c r="BK2" s="25">
        <v>45839</v>
      </c>
      <c r="BL2" s="25">
        <v>45870</v>
      </c>
      <c r="BM2" s="25">
        <v>45901</v>
      </c>
      <c r="BN2" s="25">
        <v>45931</v>
      </c>
      <c r="BO2" s="25">
        <v>45962</v>
      </c>
      <c r="BP2" s="25">
        <v>45992</v>
      </c>
      <c r="BQ2" s="25" t="s">
        <v>207</v>
      </c>
      <c r="BS2" s="25">
        <v>45658</v>
      </c>
      <c r="BT2" s="25">
        <v>45689</v>
      </c>
      <c r="BU2" s="25">
        <v>45717</v>
      </c>
      <c r="BV2" s="25">
        <v>45748</v>
      </c>
      <c r="BW2" s="25">
        <v>45778</v>
      </c>
      <c r="BX2" s="25">
        <v>45809</v>
      </c>
      <c r="BY2" s="25">
        <v>45839</v>
      </c>
      <c r="BZ2" s="25">
        <v>45870</v>
      </c>
      <c r="CA2" s="25">
        <v>45901</v>
      </c>
      <c r="CB2" s="25">
        <v>45931</v>
      </c>
      <c r="CC2" s="25">
        <v>45962</v>
      </c>
      <c r="CD2" s="25">
        <v>45992</v>
      </c>
      <c r="CE2" s="25" t="s">
        <v>207</v>
      </c>
      <c r="CF2" s="39"/>
      <c r="CG2" s="25">
        <v>45292</v>
      </c>
      <c r="CH2" s="25">
        <v>45323</v>
      </c>
      <c r="CI2" s="25">
        <v>45352</v>
      </c>
      <c r="CJ2" s="25">
        <v>45383</v>
      </c>
      <c r="CK2" s="25">
        <v>45413</v>
      </c>
      <c r="CL2" s="25">
        <v>45444</v>
      </c>
      <c r="CM2" s="25">
        <v>45474</v>
      </c>
      <c r="CN2" s="25">
        <v>45505</v>
      </c>
      <c r="CO2" s="25">
        <v>45536</v>
      </c>
      <c r="CP2" s="25">
        <v>45566</v>
      </c>
      <c r="CQ2" s="25">
        <v>45597</v>
      </c>
      <c r="CR2" s="25">
        <v>45627</v>
      </c>
      <c r="CS2" s="25" t="s">
        <v>245</v>
      </c>
      <c r="CT2" s="2" t="s">
        <v>1</v>
      </c>
      <c r="CU2" s="25">
        <v>45658</v>
      </c>
      <c r="CV2" s="25">
        <v>45689</v>
      </c>
      <c r="CW2" s="25">
        <v>45717</v>
      </c>
      <c r="CX2" s="25">
        <v>45748</v>
      </c>
      <c r="CY2" s="25">
        <v>45778</v>
      </c>
      <c r="CZ2" s="25">
        <v>45809</v>
      </c>
      <c r="DA2" s="25">
        <v>45839</v>
      </c>
      <c r="DB2" s="25">
        <v>45870</v>
      </c>
      <c r="DC2" s="25">
        <v>45901</v>
      </c>
      <c r="DD2" s="25">
        <v>45931</v>
      </c>
      <c r="DE2" s="25">
        <v>45962</v>
      </c>
      <c r="DF2" s="25">
        <v>45992</v>
      </c>
      <c r="DG2" s="25" t="s">
        <v>207</v>
      </c>
      <c r="DI2" s="25">
        <v>45658</v>
      </c>
      <c r="DJ2" s="25">
        <v>45689</v>
      </c>
      <c r="DK2" s="25">
        <v>45717</v>
      </c>
      <c r="DL2" s="25">
        <v>45748</v>
      </c>
      <c r="DM2" s="25">
        <v>45778</v>
      </c>
      <c r="DN2" s="25">
        <v>45809</v>
      </c>
      <c r="DO2" s="25">
        <v>45839</v>
      </c>
      <c r="DP2" s="25">
        <v>45870</v>
      </c>
      <c r="DQ2" s="25">
        <v>45901</v>
      </c>
      <c r="DR2" s="25">
        <v>45931</v>
      </c>
      <c r="DS2" s="25">
        <v>45962</v>
      </c>
      <c r="DT2" s="25">
        <v>45992</v>
      </c>
      <c r="DU2" s="25" t="s">
        <v>207</v>
      </c>
    </row>
    <row r="3" spans="1:125" ht="14.45" customHeight="1">
      <c r="A3" s="26" t="s">
        <v>206</v>
      </c>
      <c r="B3" s="26" t="s">
        <v>206</v>
      </c>
      <c r="C3" s="26" t="s">
        <v>206</v>
      </c>
      <c r="D3" s="26" t="s">
        <v>206</v>
      </c>
      <c r="E3" s="26" t="s">
        <v>206</v>
      </c>
      <c r="F3" s="26" t="s">
        <v>206</v>
      </c>
      <c r="G3" s="26" t="s">
        <v>206</v>
      </c>
      <c r="H3" s="26" t="s">
        <v>206</v>
      </c>
      <c r="I3" s="26" t="s">
        <v>206</v>
      </c>
      <c r="J3" s="26" t="s">
        <v>206</v>
      </c>
      <c r="K3" s="26" t="s">
        <v>206</v>
      </c>
      <c r="L3" s="26" t="s">
        <v>206</v>
      </c>
      <c r="M3" s="26" t="s">
        <v>206</v>
      </c>
      <c r="N3" s="3" t="s">
        <v>2</v>
      </c>
      <c r="O3" s="26" t="s">
        <v>206</v>
      </c>
      <c r="P3" s="26" t="s">
        <v>206</v>
      </c>
      <c r="Q3" s="26" t="s">
        <v>206</v>
      </c>
      <c r="R3" s="26" t="s">
        <v>206</v>
      </c>
      <c r="S3" s="26" t="s">
        <v>206</v>
      </c>
      <c r="T3" s="26" t="s">
        <v>206</v>
      </c>
      <c r="U3" s="26" t="s">
        <v>206</v>
      </c>
      <c r="V3" s="26" t="s">
        <v>206</v>
      </c>
      <c r="W3" s="26" t="s">
        <v>206</v>
      </c>
      <c r="X3" s="26" t="s">
        <v>206</v>
      </c>
      <c r="Y3" s="26" t="s">
        <v>206</v>
      </c>
      <c r="Z3" s="26" t="s">
        <v>206</v>
      </c>
      <c r="AA3" s="26" t="s">
        <v>206</v>
      </c>
      <c r="AC3" s="26" t="s">
        <v>208</v>
      </c>
      <c r="AD3" s="26" t="s">
        <v>208</v>
      </c>
      <c r="AE3" s="26" t="s">
        <v>208</v>
      </c>
      <c r="AF3" s="26" t="s">
        <v>208</v>
      </c>
      <c r="AG3" s="26" t="s">
        <v>208</v>
      </c>
      <c r="AH3" s="26" t="s">
        <v>208</v>
      </c>
      <c r="AI3" s="26" t="s">
        <v>208</v>
      </c>
      <c r="AJ3" s="26" t="s">
        <v>208</v>
      </c>
      <c r="AK3" s="26" t="s">
        <v>208</v>
      </c>
      <c r="AL3" s="26" t="s">
        <v>208</v>
      </c>
      <c r="AM3" s="26" t="s">
        <v>208</v>
      </c>
      <c r="AN3" s="26" t="s">
        <v>208</v>
      </c>
      <c r="AO3" s="26" t="s">
        <v>208</v>
      </c>
      <c r="AQ3" s="26" t="s">
        <v>206</v>
      </c>
      <c r="AR3" s="26" t="s">
        <v>206</v>
      </c>
      <c r="AS3" s="26" t="s">
        <v>206</v>
      </c>
      <c r="AT3" s="26" t="s">
        <v>206</v>
      </c>
      <c r="AU3" s="26" t="s">
        <v>206</v>
      </c>
      <c r="AV3" s="26" t="s">
        <v>206</v>
      </c>
      <c r="AW3" s="26" t="s">
        <v>206</v>
      </c>
      <c r="AX3" s="26" t="s">
        <v>206</v>
      </c>
      <c r="AY3" s="26" t="s">
        <v>206</v>
      </c>
      <c r="AZ3" s="26" t="s">
        <v>206</v>
      </c>
      <c r="BA3" s="26" t="s">
        <v>206</v>
      </c>
      <c r="BB3" s="26" t="s">
        <v>206</v>
      </c>
      <c r="BC3" s="26" t="s">
        <v>206</v>
      </c>
      <c r="BD3" s="3" t="str">
        <f>N3</f>
        <v>Rs in Lakhs</v>
      </c>
      <c r="BE3" s="26" t="s">
        <v>206</v>
      </c>
      <c r="BF3" s="26" t="s">
        <v>206</v>
      </c>
      <c r="BG3" s="26" t="s">
        <v>206</v>
      </c>
      <c r="BH3" s="26" t="s">
        <v>206</v>
      </c>
      <c r="BI3" s="26" t="s">
        <v>206</v>
      </c>
      <c r="BJ3" s="26" t="s">
        <v>206</v>
      </c>
      <c r="BK3" s="26" t="s">
        <v>206</v>
      </c>
      <c r="BL3" s="26" t="s">
        <v>206</v>
      </c>
      <c r="BM3" s="26" t="s">
        <v>206</v>
      </c>
      <c r="BN3" s="26" t="s">
        <v>206</v>
      </c>
      <c r="BO3" s="26" t="s">
        <v>206</v>
      </c>
      <c r="BP3" s="26" t="s">
        <v>206</v>
      </c>
      <c r="BQ3" s="26" t="s">
        <v>206</v>
      </c>
      <c r="BS3" s="26" t="s">
        <v>208</v>
      </c>
      <c r="BT3" s="26" t="s">
        <v>208</v>
      </c>
      <c r="BU3" s="26" t="s">
        <v>208</v>
      </c>
      <c r="BV3" s="26" t="s">
        <v>208</v>
      </c>
      <c r="BW3" s="26" t="s">
        <v>208</v>
      </c>
      <c r="BX3" s="26" t="s">
        <v>208</v>
      </c>
      <c r="BY3" s="26" t="s">
        <v>208</v>
      </c>
      <c r="BZ3" s="26" t="s">
        <v>208</v>
      </c>
      <c r="CA3" s="26" t="s">
        <v>208</v>
      </c>
      <c r="CB3" s="26" t="s">
        <v>208</v>
      </c>
      <c r="CC3" s="26" t="s">
        <v>208</v>
      </c>
      <c r="CD3" s="26" t="s">
        <v>208</v>
      </c>
      <c r="CE3" s="26" t="s">
        <v>208</v>
      </c>
      <c r="CF3" s="41"/>
      <c r="CG3" s="42" t="s">
        <v>206</v>
      </c>
      <c r="CH3" s="26" t="s">
        <v>206</v>
      </c>
      <c r="CI3" s="26" t="s">
        <v>206</v>
      </c>
      <c r="CJ3" s="26" t="s">
        <v>206</v>
      </c>
      <c r="CK3" s="26" t="s">
        <v>206</v>
      </c>
      <c r="CL3" s="26" t="s">
        <v>206</v>
      </c>
      <c r="CM3" s="26" t="s">
        <v>206</v>
      </c>
      <c r="CN3" s="26" t="s">
        <v>206</v>
      </c>
      <c r="CO3" s="26" t="s">
        <v>206</v>
      </c>
      <c r="CP3" s="26" t="s">
        <v>206</v>
      </c>
      <c r="CQ3" s="26" t="s">
        <v>206</v>
      </c>
      <c r="CR3" s="26" t="s">
        <v>206</v>
      </c>
      <c r="CS3" s="26" t="s">
        <v>206</v>
      </c>
      <c r="CT3" s="3" t="str">
        <f>BD3</f>
        <v>Rs in Lakhs</v>
      </c>
      <c r="CU3" s="26" t="s">
        <v>206</v>
      </c>
      <c r="CV3" s="26" t="s">
        <v>206</v>
      </c>
      <c r="CW3" s="26" t="s">
        <v>206</v>
      </c>
      <c r="CX3" s="26" t="s">
        <v>206</v>
      </c>
      <c r="CY3" s="26" t="s">
        <v>206</v>
      </c>
      <c r="CZ3" s="26" t="s">
        <v>206</v>
      </c>
      <c r="DA3" s="26" t="s">
        <v>206</v>
      </c>
      <c r="DB3" s="26" t="s">
        <v>206</v>
      </c>
      <c r="DC3" s="26" t="s">
        <v>206</v>
      </c>
      <c r="DD3" s="26" t="s">
        <v>206</v>
      </c>
      <c r="DE3" s="26" t="s">
        <v>206</v>
      </c>
      <c r="DF3" s="26" t="s">
        <v>206</v>
      </c>
      <c r="DG3" s="26" t="s">
        <v>206</v>
      </c>
      <c r="DI3" s="26" t="s">
        <v>208</v>
      </c>
      <c r="DJ3" s="26" t="s">
        <v>208</v>
      </c>
      <c r="DK3" s="26" t="s">
        <v>208</v>
      </c>
      <c r="DL3" s="26" t="s">
        <v>208</v>
      </c>
      <c r="DM3" s="26" t="s">
        <v>208</v>
      </c>
      <c r="DN3" s="26" t="s">
        <v>208</v>
      </c>
      <c r="DO3" s="26" t="s">
        <v>208</v>
      </c>
      <c r="DP3" s="26" t="s">
        <v>208</v>
      </c>
      <c r="DQ3" s="26" t="s">
        <v>208</v>
      </c>
      <c r="DR3" s="26" t="s">
        <v>208</v>
      </c>
      <c r="DS3" s="26" t="s">
        <v>208</v>
      </c>
      <c r="DT3" s="26" t="s">
        <v>208</v>
      </c>
      <c r="DU3" s="26" t="s">
        <v>208</v>
      </c>
    </row>
    <row r="4" spans="1:125" ht="14.45" customHeight="1">
      <c r="A4" s="105">
        <f>+AQ4+CG4</f>
        <v>16</v>
      </c>
      <c r="B4" s="105">
        <f t="shared" ref="B4:L4" si="0">+AR4+CH4</f>
        <v>38</v>
      </c>
      <c r="C4" s="105">
        <f t="shared" si="0"/>
        <v>50</v>
      </c>
      <c r="D4" s="105">
        <f t="shared" si="0"/>
        <v>13</v>
      </c>
      <c r="E4" s="105">
        <f t="shared" si="0"/>
        <v>22</v>
      </c>
      <c r="F4" s="105">
        <f t="shared" si="0"/>
        <v>21</v>
      </c>
      <c r="G4" s="105">
        <f t="shared" si="0"/>
        <v>28</v>
      </c>
      <c r="H4" s="105">
        <f t="shared" si="0"/>
        <v>36</v>
      </c>
      <c r="I4" s="105">
        <f t="shared" si="0"/>
        <v>33</v>
      </c>
      <c r="J4" s="105">
        <f t="shared" si="0"/>
        <v>28</v>
      </c>
      <c r="K4" s="105">
        <f t="shared" si="0"/>
        <v>26</v>
      </c>
      <c r="L4" s="105">
        <f t="shared" si="0"/>
        <v>29</v>
      </c>
      <c r="M4" s="105">
        <f>+SUM(A4:L4)</f>
        <v>340</v>
      </c>
      <c r="N4" s="4" t="s">
        <v>3</v>
      </c>
      <c r="O4" s="105">
        <f>+BE4+CU4</f>
        <v>28</v>
      </c>
      <c r="P4" s="105">
        <f t="shared" ref="P4" si="1">+BF4+CV4</f>
        <v>23</v>
      </c>
      <c r="Q4" s="105">
        <f t="shared" ref="Q4" si="2">+BG4+CW4</f>
        <v>44</v>
      </c>
      <c r="R4" s="105">
        <f t="shared" ref="R4" si="3">+BH4+CX4</f>
        <v>21</v>
      </c>
      <c r="S4" s="105">
        <f t="shared" ref="S4" si="4">+BI4+CY4</f>
        <v>23</v>
      </c>
      <c r="T4" s="105">
        <f t="shared" ref="T4" si="5">+BJ4+CZ4</f>
        <v>24</v>
      </c>
      <c r="U4" s="105">
        <f t="shared" ref="U4" si="6">+BK4+DA4</f>
        <v>31</v>
      </c>
      <c r="V4" s="105">
        <f t="shared" ref="V4" si="7">+BL4+DB4</f>
        <v>28</v>
      </c>
      <c r="W4" s="105">
        <f t="shared" ref="W4" si="8">+BM4+DC4</f>
        <v>43</v>
      </c>
      <c r="X4" s="105">
        <f t="shared" ref="X4" si="9">+BN4+DD4</f>
        <v>33</v>
      </c>
      <c r="Y4" s="105">
        <f t="shared" ref="Y4" si="10">+BO4+DE4</f>
        <v>0</v>
      </c>
      <c r="Z4" s="105">
        <f t="shared" ref="Z4" si="11">+BP4+DF4</f>
        <v>0</v>
      </c>
      <c r="AA4" s="105">
        <f>+SUM(O4:Z4)</f>
        <v>298</v>
      </c>
      <c r="AC4" s="105">
        <f>+BS4+DI4</f>
        <v>29</v>
      </c>
      <c r="AD4" s="105">
        <f t="shared" ref="AD4" si="12">+BT4+DJ4</f>
        <v>29</v>
      </c>
      <c r="AE4" s="105">
        <f t="shared" ref="AE4" si="13">+BU4+DK4</f>
        <v>37</v>
      </c>
      <c r="AF4" s="105">
        <f t="shared" ref="AF4" si="14">+BV4+DL4</f>
        <v>30</v>
      </c>
      <c r="AG4" s="105">
        <f t="shared" ref="AG4" si="15">+BW4+DM4</f>
        <v>32</v>
      </c>
      <c r="AH4" s="105">
        <f t="shared" ref="AH4" si="16">+BX4+DN4</f>
        <v>28</v>
      </c>
      <c r="AI4" s="105">
        <f t="shared" ref="AI4" si="17">+BY4+DO4</f>
        <v>29</v>
      </c>
      <c r="AJ4" s="105">
        <f t="shared" ref="AJ4" si="18">+BZ4+DP4</f>
        <v>34</v>
      </c>
      <c r="AK4" s="105">
        <f t="shared" ref="AK4" si="19">+CA4+DQ4</f>
        <v>34</v>
      </c>
      <c r="AL4" s="105">
        <f t="shared" ref="AL4" si="20">+CB4+DR4</f>
        <v>30</v>
      </c>
      <c r="AM4" s="105">
        <f t="shared" ref="AM4" si="21">+CC4+DS4</f>
        <v>28</v>
      </c>
      <c r="AN4" s="105">
        <f t="shared" ref="AN4" si="22">+CD4+DT4</f>
        <v>37</v>
      </c>
      <c r="AO4" s="105">
        <f>+SUM(AC4:AN4)</f>
        <v>377</v>
      </c>
      <c r="AQ4" s="105">
        <v>12</v>
      </c>
      <c r="AR4" s="105">
        <v>28</v>
      </c>
      <c r="AS4" s="105">
        <v>29</v>
      </c>
      <c r="AT4" s="105">
        <v>9</v>
      </c>
      <c r="AU4" s="105">
        <v>13</v>
      </c>
      <c r="AV4" s="105">
        <v>16</v>
      </c>
      <c r="AW4" s="105">
        <v>13</v>
      </c>
      <c r="AX4" s="105">
        <v>19</v>
      </c>
      <c r="AY4" s="105">
        <v>24</v>
      </c>
      <c r="AZ4" s="105">
        <v>22</v>
      </c>
      <c r="BA4" s="105">
        <v>11</v>
      </c>
      <c r="BB4" s="105">
        <v>18</v>
      </c>
      <c r="BC4" s="105">
        <f>+SUM(AQ4:BB4)</f>
        <v>214</v>
      </c>
      <c r="BD4" s="4" t="str">
        <f>N4</f>
        <v>No of Cars</v>
      </c>
      <c r="BE4" s="105">
        <f>+'Jan-25'!$B$4</f>
        <v>18</v>
      </c>
      <c r="BF4" s="105">
        <f>+'Feb-25'!$B$4</f>
        <v>17</v>
      </c>
      <c r="BG4" s="105">
        <f>+'Mar-25'!$B$4</f>
        <v>21</v>
      </c>
      <c r="BH4" s="105">
        <f>+'Apr-25'!$B$4</f>
        <v>14</v>
      </c>
      <c r="BI4" s="105">
        <f>+'May-25'!$B$4</f>
        <v>9</v>
      </c>
      <c r="BJ4" s="105">
        <f>+'June-25'!$B$4</f>
        <v>17</v>
      </c>
      <c r="BK4" s="105">
        <f>+'July-25'!$B$4</f>
        <v>16</v>
      </c>
      <c r="BL4" s="105">
        <f>+'Aug-25'!$B$4</f>
        <v>11</v>
      </c>
      <c r="BM4" s="105">
        <f>+'Sep-25'!$B$4</f>
        <v>29</v>
      </c>
      <c r="BN4" s="105">
        <f>+'Oct-25'!$B$4</f>
        <v>22</v>
      </c>
      <c r="BO4" s="105">
        <f>+'Nov-25'!$B$4</f>
        <v>0</v>
      </c>
      <c r="BP4" s="105">
        <f>+'Dec-25'!$B$4</f>
        <v>0</v>
      </c>
      <c r="BQ4" s="105">
        <f>+SUM(BE4:BP4)</f>
        <v>174</v>
      </c>
      <c r="BS4" s="105" cm="1">
        <f t="array" ref="BS4:CD4">+_xlfn.XLOOKUP(BD4,Budget!A:A,Budget!Q:AB)</f>
        <v>16</v>
      </c>
      <c r="BT4" s="105">
        <v>15</v>
      </c>
      <c r="BU4" s="105">
        <v>22</v>
      </c>
      <c r="BV4" s="105">
        <v>15</v>
      </c>
      <c r="BW4" s="105">
        <v>18</v>
      </c>
      <c r="BX4" s="105">
        <v>15</v>
      </c>
      <c r="BY4" s="105">
        <v>17</v>
      </c>
      <c r="BZ4" s="105">
        <v>20</v>
      </c>
      <c r="CA4" s="105">
        <v>17</v>
      </c>
      <c r="CB4" s="105">
        <v>16</v>
      </c>
      <c r="CC4" s="105">
        <v>14</v>
      </c>
      <c r="CD4" s="105">
        <v>21</v>
      </c>
      <c r="CE4" s="105">
        <f>+SUM(BS4:CD4)</f>
        <v>206</v>
      </c>
      <c r="CF4" s="22"/>
      <c r="CG4" s="105">
        <v>4</v>
      </c>
      <c r="CH4" s="105">
        <v>10</v>
      </c>
      <c r="CI4" s="105">
        <v>21</v>
      </c>
      <c r="CJ4" s="105">
        <v>4</v>
      </c>
      <c r="CK4" s="105">
        <v>9</v>
      </c>
      <c r="CL4" s="105">
        <v>5</v>
      </c>
      <c r="CM4" s="105">
        <v>15</v>
      </c>
      <c r="CN4" s="105">
        <v>17</v>
      </c>
      <c r="CO4" s="105">
        <v>9</v>
      </c>
      <c r="CP4" s="105">
        <v>6</v>
      </c>
      <c r="CQ4" s="105">
        <v>15</v>
      </c>
      <c r="CR4" s="105">
        <v>11</v>
      </c>
      <c r="CS4" s="105">
        <f>+SUM(CG4:CR4)</f>
        <v>126</v>
      </c>
      <c r="CT4" s="4" t="str">
        <f>BD4</f>
        <v>No of Cars</v>
      </c>
      <c r="CU4" s="105">
        <f>+'Jan-25'!$F$4</f>
        <v>10</v>
      </c>
      <c r="CV4" s="105">
        <f>+'Feb-25'!$F$4</f>
        <v>6</v>
      </c>
      <c r="CW4" s="105">
        <f>+'Mar-25'!$F$4</f>
        <v>23</v>
      </c>
      <c r="CX4" s="105">
        <f>+'Apr-25'!$F$4</f>
        <v>7</v>
      </c>
      <c r="CY4" s="105">
        <f>+'May-25'!$F$4</f>
        <v>14</v>
      </c>
      <c r="CZ4" s="105">
        <f>+'June-25'!$F$4</f>
        <v>7</v>
      </c>
      <c r="DA4" s="105">
        <f>+'July-25'!$F$4</f>
        <v>15</v>
      </c>
      <c r="DB4" s="105">
        <f>+'Aug-25'!$F$4</f>
        <v>17</v>
      </c>
      <c r="DC4" s="105">
        <f>+'Sep-25'!$F$4</f>
        <v>14</v>
      </c>
      <c r="DD4" s="105">
        <f>+'Oct-25'!$F$4</f>
        <v>11</v>
      </c>
      <c r="DE4" s="105">
        <f>+'Nov-25'!$F$4</f>
        <v>0</v>
      </c>
      <c r="DF4" s="105">
        <f>+'Dec-25'!$F$4</f>
        <v>0</v>
      </c>
      <c r="DG4" s="105">
        <f>+SUM(CU4:DF4)</f>
        <v>124</v>
      </c>
      <c r="DI4" s="105">
        <f>+_xlfn.XLOOKUP($CT4,Budget!$A:$A,Budget!BQ:BQ)</f>
        <v>13</v>
      </c>
      <c r="DJ4" s="105">
        <f>+_xlfn.XLOOKUP($CT4,Budget!$A:$A,Budget!BR:BR)</f>
        <v>14</v>
      </c>
      <c r="DK4" s="105">
        <f>+_xlfn.XLOOKUP($CT4,Budget!$A:$A,Budget!BS:BS)</f>
        <v>15</v>
      </c>
      <c r="DL4" s="105">
        <f>+_xlfn.XLOOKUP($CT4,Budget!$A:$A,Budget!BT:BT)</f>
        <v>15</v>
      </c>
      <c r="DM4" s="105">
        <f>+_xlfn.XLOOKUP($CT4,Budget!$A:$A,Budget!BU:BU)</f>
        <v>14</v>
      </c>
      <c r="DN4" s="105">
        <f>+_xlfn.XLOOKUP($CT4,Budget!$A:$A,Budget!BV:BV)</f>
        <v>13</v>
      </c>
      <c r="DO4" s="105">
        <f>+_xlfn.XLOOKUP($CT4,Budget!$A:$A,Budget!BW:BW)</f>
        <v>12</v>
      </c>
      <c r="DP4" s="105">
        <f>+_xlfn.XLOOKUP($CT4,Budget!$A:$A,Budget!BX:BX)</f>
        <v>14</v>
      </c>
      <c r="DQ4" s="105">
        <f>+_xlfn.XLOOKUP($CT4,Budget!$A:$A,Budget!BY:BY)</f>
        <v>17</v>
      </c>
      <c r="DR4" s="105">
        <f>+_xlfn.XLOOKUP($CT4,Budget!$A:$A,Budget!BZ:BZ)</f>
        <v>14</v>
      </c>
      <c r="DS4" s="105">
        <f>+_xlfn.XLOOKUP($CT4,Budget!$A:$A,Budget!CA:CA)</f>
        <v>14</v>
      </c>
      <c r="DT4" s="105">
        <f>+_xlfn.XLOOKUP($CT4,Budget!$A:$A,Budget!CB:CB)</f>
        <v>16</v>
      </c>
      <c r="DU4" s="105">
        <f>+SUM(DI4:DT4)</f>
        <v>171</v>
      </c>
    </row>
    <row r="5" spans="1:125" ht="14.45" customHeight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5" t="s">
        <v>4</v>
      </c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5" t="str">
        <f>N5</f>
        <v>New Car Sales</v>
      </c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22"/>
      <c r="CG5" s="106"/>
      <c r="CH5" s="106"/>
      <c r="CI5" s="106"/>
      <c r="CJ5" s="106"/>
      <c r="CK5" s="106"/>
      <c r="CL5" s="106"/>
      <c r="CM5" s="106"/>
      <c r="CN5" s="106"/>
      <c r="CO5" s="106"/>
      <c r="CP5" s="106"/>
      <c r="CQ5" s="106"/>
      <c r="CR5" s="106"/>
      <c r="CS5" s="106"/>
      <c r="CT5" s="5" t="str">
        <f>BD5</f>
        <v>New Car Sales</v>
      </c>
      <c r="CU5" s="106"/>
      <c r="CV5" s="106"/>
      <c r="CW5" s="106"/>
      <c r="CX5" s="106"/>
      <c r="CY5" s="106"/>
      <c r="CZ5" s="106"/>
      <c r="DA5" s="106"/>
      <c r="DB5" s="106"/>
      <c r="DC5" s="106"/>
      <c r="DD5" s="106"/>
      <c r="DE5" s="106"/>
      <c r="DF5" s="106"/>
      <c r="DG5" s="106"/>
      <c r="DI5" s="106"/>
      <c r="DJ5" s="106"/>
      <c r="DK5" s="106"/>
      <c r="DL5" s="106"/>
      <c r="DM5" s="106"/>
      <c r="DN5" s="106"/>
      <c r="DO5" s="106"/>
      <c r="DP5" s="106"/>
      <c r="DQ5" s="106"/>
      <c r="DR5" s="106"/>
      <c r="DS5" s="106"/>
      <c r="DT5" s="106"/>
      <c r="DU5" s="106"/>
    </row>
    <row r="6" spans="1:125" ht="14.45" customHeight="1">
      <c r="A6" s="58">
        <f>+A7+A8+A13</f>
        <v>3222999.0919999997</v>
      </c>
      <c r="B6" s="58">
        <f t="shared" ref="B6:L6" si="23">+B7+B8+B13</f>
        <v>10807192.928584998</v>
      </c>
      <c r="C6" s="58">
        <f t="shared" si="23"/>
        <v>18980726.491373334</v>
      </c>
      <c r="D6" s="58">
        <f t="shared" si="23"/>
        <v>4129579.6298620002</v>
      </c>
      <c r="E6" s="58">
        <f t="shared" si="23"/>
        <v>8099399.6505600009</v>
      </c>
      <c r="F6" s="58">
        <f t="shared" si="23"/>
        <v>5898409.824</v>
      </c>
      <c r="G6" s="58">
        <f t="shared" si="23"/>
        <v>5939184.2692000009</v>
      </c>
      <c r="H6" s="58">
        <f t="shared" si="23"/>
        <v>7852790.3759999992</v>
      </c>
      <c r="I6" s="58">
        <f t="shared" si="23"/>
        <v>8992475.8039575834</v>
      </c>
      <c r="J6" s="58">
        <f t="shared" si="23"/>
        <v>6738410.4318670006</v>
      </c>
      <c r="K6" s="58">
        <f t="shared" si="23"/>
        <v>8408863.63246</v>
      </c>
      <c r="L6" s="58">
        <f t="shared" si="23"/>
        <v>12668792.150599999</v>
      </c>
      <c r="M6" s="58">
        <f>+SUM(A6:L6)</f>
        <v>101738824.28046492</v>
      </c>
      <c r="N6" s="6" t="s">
        <v>5</v>
      </c>
      <c r="O6" s="58">
        <f>+O7+O8+O13</f>
        <v>9130043.0148214065</v>
      </c>
      <c r="P6" s="58">
        <f t="shared" ref="P6" si="24">+P7+P8+P13</f>
        <v>4520660</v>
      </c>
      <c r="Q6" s="58">
        <f t="shared" ref="Q6" si="25">+Q7+Q8+Q13</f>
        <v>12534466.262290001</v>
      </c>
      <c r="R6" s="58">
        <f t="shared" ref="R6" si="26">+R7+R8+R13</f>
        <v>7308293.1280000005</v>
      </c>
      <c r="S6" s="58">
        <f t="shared" ref="S6" si="27">+S7+S8+S13</f>
        <v>7406002.9399999995</v>
      </c>
      <c r="T6" s="58">
        <f t="shared" ref="T6" si="28">+T7+T8+T13</f>
        <v>8627724</v>
      </c>
      <c r="U6" s="58">
        <f t="shared" ref="U6" si="29">+U7+U8+U13</f>
        <v>11680634.561000001</v>
      </c>
      <c r="V6" s="58">
        <f t="shared" ref="V6" si="30">+V7+V8+V13</f>
        <v>6364332</v>
      </c>
      <c r="W6" s="58">
        <f t="shared" ref="W6" si="31">+W7+W8+W13</f>
        <v>13518817.508408003</v>
      </c>
      <c r="X6" s="58">
        <f t="shared" ref="X6" si="32">+X7+X8+X13</f>
        <v>11244611.2706</v>
      </c>
      <c r="Y6" s="58">
        <f t="shared" ref="Y6" si="33">+Y7+Y8+Y13</f>
        <v>0</v>
      </c>
      <c r="Z6" s="58">
        <f t="shared" ref="Z6" si="34">+Z7+Z8+Z13</f>
        <v>0</v>
      </c>
      <c r="AA6" s="58">
        <f>+SUM(O6:Z6)</f>
        <v>92335584.685119405</v>
      </c>
      <c r="AC6" s="58">
        <f>+AC7+AC8+AC13</f>
        <v>7613846.5342497677</v>
      </c>
      <c r="AD6" s="58">
        <f t="shared" ref="AD6" si="35">+AD7+AD8+AD13</f>
        <v>6342352.4211711716</v>
      </c>
      <c r="AE6" s="58">
        <f t="shared" ref="AE6" si="36">+AE7+AE8+AE13</f>
        <v>15340773.208738293</v>
      </c>
      <c r="AF6" s="58">
        <f t="shared" ref="AF6" si="37">+AF7+AF8+AF13</f>
        <v>5381192.2734433953</v>
      </c>
      <c r="AG6" s="58">
        <f t="shared" ref="AG6" si="38">+AG7+AG8+AG13</f>
        <v>7012067.397095371</v>
      </c>
      <c r="AH6" s="58">
        <f t="shared" ref="AH6" si="39">+AH7+AH8+AH13</f>
        <v>6660775.7284871079</v>
      </c>
      <c r="AI6" s="58">
        <f t="shared" ref="AI6" si="40">+AI7+AI8+AI13</f>
        <v>6102643.1875471538</v>
      </c>
      <c r="AJ6" s="58">
        <f t="shared" ref="AJ6" si="41">+AJ7+AJ8+AJ13</f>
        <v>8763077.1667110473</v>
      </c>
      <c r="AK6" s="58">
        <f t="shared" ref="AK6" si="42">+AK7+AK8+AK13</f>
        <v>9744071.7500443794</v>
      </c>
      <c r="AL6" s="58">
        <f t="shared" ref="AL6" si="43">+AL7+AL8+AL13</f>
        <v>6058304.0119491424</v>
      </c>
      <c r="AM6" s="58">
        <f t="shared" ref="AM6" si="44">+AM7+AM8+AM13</f>
        <v>5229202.6700838776</v>
      </c>
      <c r="AN6" s="58">
        <f t="shared" ref="AN6" si="45">+AN7+AN8+AN13</f>
        <v>14849019.041073095</v>
      </c>
      <c r="AO6" s="58">
        <f>+SUM(AC6:AN6)</f>
        <v>99097325.390593797</v>
      </c>
      <c r="AQ6" s="58">
        <f t="shared" ref="AQ6:BB6" si="46">+AQ7+AQ8+AQ13</f>
        <v>2207444.6539999996</v>
      </c>
      <c r="AR6" s="58">
        <f t="shared" si="46"/>
        <v>7666740.4255199991</v>
      </c>
      <c r="AS6" s="58">
        <f t="shared" si="46"/>
        <v>10108336.040893335</v>
      </c>
      <c r="AT6" s="58">
        <f t="shared" si="46"/>
        <v>2756430.1937620002</v>
      </c>
      <c r="AU6" s="58">
        <f t="shared" si="46"/>
        <v>3922337.7705600001</v>
      </c>
      <c r="AV6" s="58">
        <f t="shared" si="46"/>
        <v>4943610.1940000001</v>
      </c>
      <c r="AW6" s="58">
        <f t="shared" si="46"/>
        <v>2686775.7956000003</v>
      </c>
      <c r="AX6" s="58">
        <f t="shared" si="46"/>
        <v>4174624.4291999992</v>
      </c>
      <c r="AY6" s="58">
        <f t="shared" si="46"/>
        <v>6214614.5449765846</v>
      </c>
      <c r="AZ6" s="58">
        <f t="shared" si="46"/>
        <v>5120763.4524499997</v>
      </c>
      <c r="BA6" s="58">
        <f t="shared" si="46"/>
        <v>4011311.0304400004</v>
      </c>
      <c r="BB6" s="58">
        <f t="shared" si="46"/>
        <v>8546027.7449999992</v>
      </c>
      <c r="BC6" s="58">
        <f>+SUM(AQ6:BB6)</f>
        <v>62359016.276401915</v>
      </c>
      <c r="BD6" s="6" t="str">
        <f t="shared" ref="BD6:BD69" si="47">N6</f>
        <v>Total Commission</v>
      </c>
      <c r="BE6" s="58">
        <f t="shared" ref="BE6:BP6" si="48">+BE7+BE8+BE13</f>
        <v>5405301.1915837843</v>
      </c>
      <c r="BF6" s="58">
        <f t="shared" si="48"/>
        <v>3402554</v>
      </c>
      <c r="BG6" s="58">
        <f t="shared" si="48"/>
        <v>5575448.6390699996</v>
      </c>
      <c r="BH6" s="58">
        <f t="shared" si="48"/>
        <v>3950658.983</v>
      </c>
      <c r="BI6" s="58">
        <f t="shared" si="48"/>
        <v>2556621.94</v>
      </c>
      <c r="BJ6" s="58">
        <f t="shared" si="48"/>
        <v>6229819</v>
      </c>
      <c r="BK6" s="58">
        <f t="shared" si="48"/>
        <v>6058664.801</v>
      </c>
      <c r="BL6" s="58">
        <f t="shared" si="48"/>
        <v>2497938</v>
      </c>
      <c r="BM6" s="58">
        <f t="shared" si="48"/>
        <v>8887908.2873480003</v>
      </c>
      <c r="BN6" s="58">
        <f t="shared" si="48"/>
        <v>7909217.4342999998</v>
      </c>
      <c r="BO6" s="58">
        <f t="shared" si="48"/>
        <v>0</v>
      </c>
      <c r="BP6" s="58">
        <f t="shared" si="48"/>
        <v>0</v>
      </c>
      <c r="BQ6" s="58">
        <f>+SUM(BE6:BP6)</f>
        <v>52474132.276301779</v>
      </c>
      <c r="BS6" s="58">
        <f t="shared" ref="BS6:CD6" si="49">+BS7+BS8+BS13</f>
        <v>3938053.3135290467</v>
      </c>
      <c r="BT6" s="58">
        <f t="shared" si="49"/>
        <v>3335805.1992078288</v>
      </c>
      <c r="BU6" s="58">
        <f t="shared" si="49"/>
        <v>9692298.1322393827</v>
      </c>
      <c r="BV6" s="58">
        <f t="shared" si="49"/>
        <v>2778065.9719633427</v>
      </c>
      <c r="BW6" s="58">
        <f t="shared" si="49"/>
        <v>3847034.266464741</v>
      </c>
      <c r="BX6" s="58">
        <f t="shared" si="49"/>
        <v>3792440.7199440822</v>
      </c>
      <c r="BY6" s="58">
        <f t="shared" si="49"/>
        <v>3915387.1833533044</v>
      </c>
      <c r="BZ6" s="58">
        <f t="shared" si="49"/>
        <v>5568185.1847290648</v>
      </c>
      <c r="CA6" s="58">
        <f t="shared" si="49"/>
        <v>5055599.8616473619</v>
      </c>
      <c r="CB6" s="58">
        <f t="shared" si="49"/>
        <v>3392241.7484356286</v>
      </c>
      <c r="CC6" s="58">
        <f t="shared" si="49"/>
        <v>2864383.018018018</v>
      </c>
      <c r="CD6" s="58">
        <f t="shared" si="49"/>
        <v>7943626.5255403193</v>
      </c>
      <c r="CE6" s="58">
        <f>+SUM(BS6:CD6)</f>
        <v>56123121.125072122</v>
      </c>
      <c r="CF6" s="44"/>
      <c r="CG6" s="58">
        <f t="shared" ref="CG6:CR6" si="50">+CG7+CG8+CG13</f>
        <v>1015554.4380000001</v>
      </c>
      <c r="CH6" s="58">
        <f t="shared" si="50"/>
        <v>3140452.5030649998</v>
      </c>
      <c r="CI6" s="58">
        <f t="shared" si="50"/>
        <v>8872390.450480001</v>
      </c>
      <c r="CJ6" s="58">
        <f t="shared" si="50"/>
        <v>1373149.4361</v>
      </c>
      <c r="CK6" s="58">
        <f t="shared" si="50"/>
        <v>4177061.88</v>
      </c>
      <c r="CL6" s="58">
        <f t="shared" si="50"/>
        <v>954799.63</v>
      </c>
      <c r="CM6" s="58">
        <f t="shared" si="50"/>
        <v>3252408.4736000006</v>
      </c>
      <c r="CN6" s="58">
        <f t="shared" si="50"/>
        <v>3678165.9468</v>
      </c>
      <c r="CO6" s="58">
        <f t="shared" si="50"/>
        <v>2777861.2589809997</v>
      </c>
      <c r="CP6" s="58">
        <f t="shared" si="50"/>
        <v>1617646.979417</v>
      </c>
      <c r="CQ6" s="58">
        <f t="shared" si="50"/>
        <v>4397552.602020001</v>
      </c>
      <c r="CR6" s="58">
        <f t="shared" si="50"/>
        <v>4122764.4056000002</v>
      </c>
      <c r="CS6" s="58">
        <f>+SUM(CG6:CR6)</f>
        <v>39379808.00406301</v>
      </c>
      <c r="CT6" s="6" t="str">
        <f t="shared" ref="CT6:CT69" si="51">BD6</f>
        <v>Total Commission</v>
      </c>
      <c r="CU6" s="58">
        <f>+CU7+CU8+CU13</f>
        <v>3724741.8232376222</v>
      </c>
      <c r="CV6" s="58">
        <f t="shared" ref="CV6:DG6" si="52">+CV7+CV8+CV13</f>
        <v>1118106</v>
      </c>
      <c r="CW6" s="58">
        <f t="shared" si="52"/>
        <v>6959017.6232200004</v>
      </c>
      <c r="CX6" s="58">
        <f t="shared" si="52"/>
        <v>3357634.145</v>
      </c>
      <c r="CY6" s="58">
        <f t="shared" si="52"/>
        <v>4849381</v>
      </c>
      <c r="CZ6" s="58">
        <f t="shared" si="52"/>
        <v>2397905</v>
      </c>
      <c r="DA6" s="58">
        <f t="shared" si="52"/>
        <v>5621969.7599999998</v>
      </c>
      <c r="DB6" s="58">
        <f t="shared" si="52"/>
        <v>3866394</v>
      </c>
      <c r="DC6" s="58">
        <f t="shared" si="52"/>
        <v>4630909.2210600004</v>
      </c>
      <c r="DD6" s="58">
        <f t="shared" si="52"/>
        <v>3335393.8363000005</v>
      </c>
      <c r="DE6" s="58">
        <f t="shared" si="52"/>
        <v>0</v>
      </c>
      <c r="DF6" s="58">
        <f t="shared" si="52"/>
        <v>0</v>
      </c>
      <c r="DG6" s="58">
        <f t="shared" si="52"/>
        <v>39861452.408817634</v>
      </c>
      <c r="DI6" s="58">
        <f t="shared" ref="DI6:DT6" si="53">+DI7+DI8+DI13</f>
        <v>3675793.2207207209</v>
      </c>
      <c r="DJ6" s="58">
        <f t="shared" si="53"/>
        <v>3006547.2219633427</v>
      </c>
      <c r="DK6" s="58">
        <f t="shared" si="53"/>
        <v>5648475.0764989126</v>
      </c>
      <c r="DL6" s="58">
        <f t="shared" si="53"/>
        <v>2603126.3014800521</v>
      </c>
      <c r="DM6" s="58">
        <f t="shared" si="53"/>
        <v>3165033.1306306305</v>
      </c>
      <c r="DN6" s="58">
        <f t="shared" si="53"/>
        <v>2868335.0085430257</v>
      </c>
      <c r="DO6" s="58">
        <f t="shared" si="53"/>
        <v>2187256.0041938489</v>
      </c>
      <c r="DP6" s="58">
        <f t="shared" si="53"/>
        <v>3194891.981981982</v>
      </c>
      <c r="DQ6" s="58">
        <f t="shared" si="53"/>
        <v>4688471.8883970184</v>
      </c>
      <c r="DR6" s="58">
        <f t="shared" si="53"/>
        <v>2666062.2635135138</v>
      </c>
      <c r="DS6" s="58">
        <f t="shared" si="53"/>
        <v>2364819.6520658592</v>
      </c>
      <c r="DT6" s="58">
        <f t="shared" si="53"/>
        <v>6905392.5155327758</v>
      </c>
      <c r="DU6" s="58">
        <f>+SUM(DI6:DT6)</f>
        <v>42974204.265521683</v>
      </c>
    </row>
    <row r="7" spans="1:125" ht="14.45" customHeight="1">
      <c r="A7" s="58">
        <f>+AQ7+CG7</f>
        <v>2793854.0919999997</v>
      </c>
      <c r="B7" s="58">
        <f t="shared" ref="B7:L7" si="54">+AR7+CH7</f>
        <v>6911213.6971999994</v>
      </c>
      <c r="C7" s="58">
        <f t="shared" si="54"/>
        <v>9879146.0804000013</v>
      </c>
      <c r="D7" s="58">
        <f t="shared" si="54"/>
        <v>3684189.0168000003</v>
      </c>
      <c r="E7" s="58">
        <f t="shared" si="54"/>
        <v>7330099.3132000007</v>
      </c>
      <c r="F7" s="58">
        <f t="shared" si="54"/>
        <v>5214064.4740000004</v>
      </c>
      <c r="G7" s="58">
        <f t="shared" si="54"/>
        <v>5246640.6092000008</v>
      </c>
      <c r="H7" s="58">
        <f t="shared" si="54"/>
        <v>5830091.7459999993</v>
      </c>
      <c r="I7" s="58">
        <f t="shared" si="54"/>
        <v>4868745</v>
      </c>
      <c r="J7" s="58">
        <f t="shared" si="54"/>
        <v>6342199.4132000003</v>
      </c>
      <c r="K7" s="58">
        <f t="shared" si="54"/>
        <v>6066998.3090500012</v>
      </c>
      <c r="L7" s="58">
        <f t="shared" si="54"/>
        <v>7328789.0605999995</v>
      </c>
      <c r="M7" s="58">
        <f t="shared" ref="M7:M8" si="55">+SUM(A7:L7)</f>
        <v>71496030.811650008</v>
      </c>
      <c r="N7" s="6" t="s">
        <v>6</v>
      </c>
      <c r="O7" s="58">
        <f>+BE7+CU7</f>
        <v>6161642.3792000012</v>
      </c>
      <c r="P7" s="58">
        <f t="shared" ref="P7" si="56">+BF7+CV7</f>
        <v>3766581</v>
      </c>
      <c r="Q7" s="58">
        <f t="shared" ref="Q7" si="57">+BG7+CW7</f>
        <v>8209013.5256500002</v>
      </c>
      <c r="R7" s="58">
        <f t="shared" ref="R7" si="58">+BH7+CX7</f>
        <v>4610345</v>
      </c>
      <c r="S7" s="58">
        <f t="shared" ref="S7" si="59">+BI7+CY7</f>
        <v>4345337</v>
      </c>
      <c r="T7" s="58">
        <f t="shared" ref="T7" si="60">+BJ7+CZ7</f>
        <v>5588267</v>
      </c>
      <c r="U7" s="58">
        <f t="shared" ref="U7" si="61">+BK7+DA7</f>
        <v>7199110.5499999998</v>
      </c>
      <c r="V7" s="58">
        <f t="shared" ref="V7" si="62">+BL7+DB7</f>
        <v>5419986</v>
      </c>
      <c r="W7" s="58">
        <f t="shared" ref="W7" si="63">+BM7+DC7</f>
        <v>8741149.5951500013</v>
      </c>
      <c r="X7" s="58">
        <f t="shared" ref="X7" si="64">+BN7+DD7</f>
        <v>7774044.3164999997</v>
      </c>
      <c r="Y7" s="58">
        <f t="shared" ref="Y7" si="65">+BO7+DE7</f>
        <v>0</v>
      </c>
      <c r="Z7" s="58">
        <f t="shared" ref="Z7" si="66">+BP7+DF7</f>
        <v>0</v>
      </c>
      <c r="AA7" s="58">
        <f t="shared" ref="AA7:AA8" si="67">+SUM(O7:Z7)</f>
        <v>61815476.366499998</v>
      </c>
      <c r="AC7" s="58">
        <f>+BS7+DI7</f>
        <v>5061719.2043336444</v>
      </c>
      <c r="AD7" s="58">
        <f t="shared" ref="AD7" si="68">+BT7+DJ7</f>
        <v>5429783.7274774779</v>
      </c>
      <c r="AE7" s="58">
        <f t="shared" ref="AE7" si="69">+BU7+DK7</f>
        <v>6734222.819975147</v>
      </c>
      <c r="AF7" s="58">
        <f t="shared" ref="AF7" si="70">+BV7+DL7</f>
        <v>4606920.0038831942</v>
      </c>
      <c r="AG7" s="58">
        <f t="shared" ref="AG7" si="71">+BW7+DM7</f>
        <v>6003136.8363622241</v>
      </c>
      <c r="AH7" s="58">
        <f t="shared" ref="AH7" si="72">+BX7+DN7</f>
        <v>4428113.4731283011</v>
      </c>
      <c r="AI7" s="58">
        <f t="shared" ref="AI7" si="73">+BY7+DO7</f>
        <v>5224565.0310655488</v>
      </c>
      <c r="AJ7" s="58">
        <f t="shared" ref="AJ7" si="74">+BZ7+DP7</f>
        <v>5825732.8650201932</v>
      </c>
      <c r="AK7" s="58">
        <f t="shared" ref="AK7" si="75">+CA7+DQ7</f>
        <v>6477902.4483535262</v>
      </c>
      <c r="AL7" s="58">
        <f t="shared" ref="AL7" si="76">+CB7+DR7</f>
        <v>5186605.5929636545</v>
      </c>
      <c r="AM7" s="58">
        <f t="shared" ref="AM7" si="77">+CC7+DS7</f>
        <v>4476799.4082013052</v>
      </c>
      <c r="AN7" s="58">
        <f t="shared" ref="AN7" si="78">+CD7+DT7</f>
        <v>6600700.8643988818</v>
      </c>
      <c r="AO7" s="58">
        <f t="shared" ref="AO7:AO8" si="79">+SUM(AC7:AN7)</f>
        <v>66056202.275163099</v>
      </c>
      <c r="AQ7" s="58">
        <v>1922185.6539999996</v>
      </c>
      <c r="AR7" s="58">
        <v>4962746.6971999994</v>
      </c>
      <c r="AS7" s="58">
        <v>5059927.0804000003</v>
      </c>
      <c r="AT7" s="58">
        <v>2451339.3432</v>
      </c>
      <c r="AU7" s="58">
        <v>3457981.3132000002</v>
      </c>
      <c r="AV7" s="58">
        <v>4370042.4740000004</v>
      </c>
      <c r="AW7" s="58">
        <v>2376510.8356000003</v>
      </c>
      <c r="AX7" s="58">
        <v>3146141.2091999995</v>
      </c>
      <c r="AY7" s="58">
        <v>3766886</v>
      </c>
      <c r="AZ7" s="58">
        <v>4828882.4524499997</v>
      </c>
      <c r="BA7" s="58">
        <v>2833088.0837000003</v>
      </c>
      <c r="BB7" s="58">
        <v>4993435.9649999999</v>
      </c>
      <c r="BC7" s="58">
        <f>+SUM(AQ7:BB7)</f>
        <v>44169167.107950002</v>
      </c>
      <c r="BD7" s="6" t="str">
        <f t="shared" si="47"/>
        <v>Fixed Commission</v>
      </c>
      <c r="BE7" s="58">
        <f>+VLOOKUP($BD7,'Jan-25'!$A:$J,2,0)</f>
        <v>3635452.9078000006</v>
      </c>
      <c r="BF7" s="58">
        <f>+VLOOKUP($BD7,'Feb-25'!$A:$J,2,0)</f>
        <v>2874322</v>
      </c>
      <c r="BG7" s="58">
        <f>+VLOOKUP($BD7,'Mar-25'!$A:$J,2,0)</f>
        <v>3553815.2947499999</v>
      </c>
      <c r="BH7" s="58">
        <f>+VLOOKUP($BD7,'Apr-25'!$A:$J,2,0)</f>
        <v>2426022</v>
      </c>
      <c r="BI7" s="58">
        <f>+VLOOKUP($BD7,'May-25'!$A:$J,2,0)</f>
        <v>1355433</v>
      </c>
      <c r="BJ7" s="58">
        <f>+VLOOKUP($BD7,'June-25'!$A:$J,2,0)</f>
        <v>4067501</v>
      </c>
      <c r="BK7" s="58">
        <f>+VLOOKUP($BD7,'July-25'!$A:$J,2,0)</f>
        <v>3735034.36</v>
      </c>
      <c r="BL7" s="58">
        <f>+VLOOKUP($BD7,'Aug-25'!$A:$J,2,0)</f>
        <v>2084560</v>
      </c>
      <c r="BM7" s="58">
        <f>+VLOOKUP($BD7,'Sep-25'!$A:$J,2,0)</f>
        <v>5974056.9175000004</v>
      </c>
      <c r="BN7" s="58">
        <f>+VLOOKUP($BD7,'Oct-25'!$A:$J,2,0)</f>
        <v>5498301.9675499992</v>
      </c>
      <c r="BO7" s="58">
        <f>+VLOOKUP($BD7,'Nov-25'!$A:$J,2,0)</f>
        <v>0</v>
      </c>
      <c r="BP7" s="58">
        <f>+VLOOKUP($BD7,'Dec-25'!$A:$J,2,0)</f>
        <v>0</v>
      </c>
      <c r="BQ7" s="58">
        <f>+SUM(BE7:BP7)</f>
        <v>35204499.4476</v>
      </c>
      <c r="BS7" s="58" cm="1">
        <f t="array" ref="BS7:CD7">+_xlfn.XLOOKUP(BD7,Budget!A:A,Budget!Q:AB)</f>
        <v>2618035.4430723828</v>
      </c>
      <c r="BT7" s="58">
        <v>2855833.2280987888</v>
      </c>
      <c r="BU7" s="58">
        <v>4448019.5608108109</v>
      </c>
      <c r="BV7" s="58">
        <v>2378344.2493786891</v>
      </c>
      <c r="BW7" s="58">
        <v>3293504.1561820442</v>
      </c>
      <c r="BX7" s="58">
        <v>2521231.5400745575</v>
      </c>
      <c r="BY7" s="58">
        <v>3352022.1210003109</v>
      </c>
      <c r="BZ7" s="58">
        <v>3701754.3965517241</v>
      </c>
      <c r="CA7" s="58">
        <v>3360985.3828828828</v>
      </c>
      <c r="CB7" s="58">
        <v>2904149.4105312214</v>
      </c>
      <c r="CC7" s="58">
        <v>2452241.5765765766</v>
      </c>
      <c r="CD7" s="58">
        <v>3499820.8418763592</v>
      </c>
      <c r="CE7" s="58">
        <f>+SUM(BS7:CD7)</f>
        <v>37385941.907036349</v>
      </c>
      <c r="CF7" s="22"/>
      <c r="CG7" s="58">
        <v>871668.43800000008</v>
      </c>
      <c r="CH7" s="58">
        <v>1948467</v>
      </c>
      <c r="CI7" s="58">
        <v>4819219</v>
      </c>
      <c r="CJ7" s="58">
        <v>1232849.6736000001</v>
      </c>
      <c r="CK7" s="58">
        <v>3872118</v>
      </c>
      <c r="CL7" s="58">
        <v>844022</v>
      </c>
      <c r="CM7" s="58">
        <v>2870129.7736000004</v>
      </c>
      <c r="CN7" s="58">
        <v>2683950.5367999999</v>
      </c>
      <c r="CO7" s="58">
        <v>1101859</v>
      </c>
      <c r="CP7" s="58">
        <v>1513316.9607500001</v>
      </c>
      <c r="CQ7" s="58">
        <v>3233910.2253500004</v>
      </c>
      <c r="CR7" s="58">
        <v>2335353.0956000001</v>
      </c>
      <c r="CS7" s="58">
        <f>+SUM(CG7:CR7)</f>
        <v>27326863.703700002</v>
      </c>
      <c r="CT7" s="6" t="str">
        <f t="shared" si="51"/>
        <v>Fixed Commission</v>
      </c>
      <c r="CU7" s="58">
        <f>+VLOOKUP($BD7,'Jan-25'!$A:$J,6,0)</f>
        <v>2526189.4714000006</v>
      </c>
      <c r="CV7" s="58">
        <f>+VLOOKUP($BD7,'Feb-25'!$A:$J,6,0)</f>
        <v>892259</v>
      </c>
      <c r="CW7" s="58">
        <f>+VLOOKUP($BD7,'Mar-25'!$A:$J,6,0)</f>
        <v>4655198.2309000008</v>
      </c>
      <c r="CX7" s="58">
        <f>+VLOOKUP($BD7,'Apr-25'!$A:$J,6,0)</f>
        <v>2184323</v>
      </c>
      <c r="CY7" s="58">
        <f>+VLOOKUP($BD7,'May-25'!$A:$J,6,0)</f>
        <v>2989904</v>
      </c>
      <c r="CZ7" s="58">
        <f>+VLOOKUP($BD7,'June-25'!$A:$J,6,0)</f>
        <v>1520766</v>
      </c>
      <c r="DA7" s="58">
        <f>+VLOOKUP($BD7,'July-25'!$A:$J,6,0)</f>
        <v>3464076.19</v>
      </c>
      <c r="DB7" s="58">
        <f>+VLOOKUP($BD7,'Aug-25'!$A:$J,6,0)</f>
        <v>3335426</v>
      </c>
      <c r="DC7" s="58">
        <f>+VLOOKUP($BD7,'Sep-25'!$A:$J,6,0)</f>
        <v>2767092.67765</v>
      </c>
      <c r="DD7" s="58">
        <f>+VLOOKUP($BD7,'Oct-25'!$A:$J,6,0)</f>
        <v>2275742.3489500005</v>
      </c>
      <c r="DE7" s="58">
        <f>+VLOOKUP($BD7,'Nov-25'!$A:$J,6,0)</f>
        <v>0</v>
      </c>
      <c r="DF7" s="58">
        <f>+VLOOKUP($BD7,'Dec-25'!$A:$J,6,0)</f>
        <v>0</v>
      </c>
      <c r="DG7" s="58">
        <f>+SUM(CU7:DF7)</f>
        <v>26610976.918900006</v>
      </c>
      <c r="DI7" s="58">
        <f>+_xlfn.XLOOKUP($CT7,Budget!$A:$A,Budget!BQ:BQ)</f>
        <v>2443683.7612612615</v>
      </c>
      <c r="DJ7" s="58">
        <f>+_xlfn.XLOOKUP($CT7,Budget!$A:$A,Budget!BR:BR)</f>
        <v>2573950.4993786891</v>
      </c>
      <c r="DK7" s="58">
        <f>+_xlfn.XLOOKUP($CT7,Budget!$A:$A,Budget!BS:BS)</f>
        <v>2286203.2591643366</v>
      </c>
      <c r="DL7" s="58">
        <f>+_xlfn.XLOOKUP($CT7,Budget!$A:$A,Budget!BT:BT)</f>
        <v>2228575.7545045051</v>
      </c>
      <c r="DM7" s="58">
        <f>+_xlfn.XLOOKUP($CT7,Budget!$A:$A,Budget!BU:BU)</f>
        <v>2709632.6801801799</v>
      </c>
      <c r="DN7" s="58">
        <f>+_xlfn.XLOOKUP($CT7,Budget!$A:$A,Budget!BV:BV)</f>
        <v>1906881.9330537433</v>
      </c>
      <c r="DO7" s="58">
        <f>+_xlfn.XLOOKUP($CT7,Budget!$A:$A,Budget!BW:BW)</f>
        <v>1872542.9100652377</v>
      </c>
      <c r="DP7" s="58">
        <f>+_xlfn.XLOOKUP($CT7,Budget!$A:$A,Budget!BX:BX)</f>
        <v>2123978.4684684686</v>
      </c>
      <c r="DQ7" s="58">
        <f>+_xlfn.XLOOKUP($CT7,Budget!$A:$A,Budget!BY:BY)</f>
        <v>3116917.0654706433</v>
      </c>
      <c r="DR7" s="58">
        <f>+_xlfn.XLOOKUP($CT7,Budget!$A:$A,Budget!BZ:BZ)</f>
        <v>2282456.1824324327</v>
      </c>
      <c r="DS7" s="58">
        <f>+_xlfn.XLOOKUP($CT7,Budget!$A:$A,Budget!CA:CA)</f>
        <v>2024557.8316247284</v>
      </c>
      <c r="DT7" s="58">
        <f>+_xlfn.XLOOKUP($CT7,Budget!$A:$A,Budget!CB:CB)</f>
        <v>3100880.0225225231</v>
      </c>
      <c r="DU7" s="58">
        <f>+SUM(DI7:DT7)</f>
        <v>28670260.36812675</v>
      </c>
    </row>
    <row r="8" spans="1:125" ht="14.45" customHeight="1">
      <c r="A8" s="58">
        <f>+SUM(A9:A12)</f>
        <v>86696</v>
      </c>
      <c r="B8" s="58">
        <f t="shared" ref="B8:L8" si="80">+SUM(B9:B12)</f>
        <v>3038646.7283199998</v>
      </c>
      <c r="C8" s="58">
        <f t="shared" si="80"/>
        <v>7893411.9709733333</v>
      </c>
      <c r="D8" s="58">
        <f t="shared" si="80"/>
        <v>0</v>
      </c>
      <c r="E8" s="58">
        <f t="shared" si="80"/>
        <v>0</v>
      </c>
      <c r="F8" s="58">
        <f t="shared" si="80"/>
        <v>0</v>
      </c>
      <c r="G8" s="58">
        <f t="shared" si="80"/>
        <v>0</v>
      </c>
      <c r="H8" s="58">
        <f t="shared" si="80"/>
        <v>1802403.63</v>
      </c>
      <c r="I8" s="58">
        <f t="shared" si="80"/>
        <v>3443457.8</v>
      </c>
      <c r="J8" s="58">
        <f t="shared" si="80"/>
        <v>0</v>
      </c>
      <c r="K8" s="58">
        <f t="shared" si="80"/>
        <v>1349222.9869599999</v>
      </c>
      <c r="L8" s="58">
        <f t="shared" si="80"/>
        <v>4640711.09</v>
      </c>
      <c r="M8" s="58">
        <f t="shared" si="55"/>
        <v>22254550.206253335</v>
      </c>
      <c r="N8" s="6" t="s">
        <v>219</v>
      </c>
      <c r="O8" s="58">
        <f>+SUM(O9:O12)</f>
        <v>1996510.230216</v>
      </c>
      <c r="P8" s="58">
        <f t="shared" ref="P8" si="81">+SUM(P9:P12)</f>
        <v>0</v>
      </c>
      <c r="Q8" s="58">
        <f t="shared" ref="Q8" si="82">+SUM(Q9:Q12)</f>
        <v>2956320.7366399998</v>
      </c>
      <c r="R8" s="58">
        <f t="shared" ref="R8" si="83">+SUM(R9:R12)</f>
        <v>1956422.128</v>
      </c>
      <c r="S8" s="58">
        <f t="shared" ref="S8" si="84">+SUM(S9:S12)</f>
        <v>2321863.94</v>
      </c>
      <c r="T8" s="58">
        <f t="shared" ref="T8" si="85">+SUM(T9:T12)</f>
        <v>2118409</v>
      </c>
      <c r="U8" s="58">
        <f t="shared" ref="U8" si="86">+SUM(U9:U12)</f>
        <v>3328116.0109999999</v>
      </c>
      <c r="V8" s="58">
        <f t="shared" ref="V8" si="87">+SUM(V9:V12)</f>
        <v>0</v>
      </c>
      <c r="W8" s="58">
        <f t="shared" ref="W8" si="88">+SUM(W9:W12)</f>
        <v>3417509.613258</v>
      </c>
      <c r="X8" s="58">
        <f t="shared" ref="X8" si="89">+SUM(X9:X12)</f>
        <v>2293822.1946</v>
      </c>
      <c r="Y8" s="58">
        <f t="shared" ref="Y8" si="90">+SUM(Y9:Y12)</f>
        <v>0</v>
      </c>
      <c r="Z8" s="58">
        <f t="shared" ref="Z8" si="91">+SUM(Z9:Z12)</f>
        <v>0</v>
      </c>
      <c r="AA8" s="58">
        <f t="shared" si="67"/>
        <v>20388973.853714</v>
      </c>
      <c r="AC8" s="58">
        <f>+SUM(AC9:AC12)</f>
        <v>1701418.2199440822</v>
      </c>
      <c r="AD8" s="58">
        <f t="shared" ref="AD8" si="92">+SUM(AD9:AD12)</f>
        <v>0</v>
      </c>
      <c r="AE8" s="58">
        <f t="shared" ref="AE8" si="93">+SUM(AE9:AE12)</f>
        <v>7474748.2341454765</v>
      </c>
      <c r="AF8" s="58">
        <f t="shared" ref="AF8" si="94">+SUM(AF9:AF12)</f>
        <v>0</v>
      </c>
      <c r="AG8" s="58">
        <f t="shared" ref="AG8" si="95">+SUM(AG9:AG12)</f>
        <v>0</v>
      </c>
      <c r="AH8" s="58">
        <f t="shared" ref="AH8" si="96">+SUM(AH9:AH12)</f>
        <v>1488441.503572538</v>
      </c>
      <c r="AI8" s="58">
        <f t="shared" ref="AI8" si="97">+SUM(AI9:AI12)</f>
        <v>0</v>
      </c>
      <c r="AJ8" s="58">
        <f t="shared" ref="AJ8" si="98">+SUM(AJ9:AJ12)</f>
        <v>1958229.5344605693</v>
      </c>
      <c r="AK8" s="58">
        <f t="shared" ref="AK8" si="99">+SUM(AK9:AK12)</f>
        <v>2177446.2011272358</v>
      </c>
      <c r="AL8" s="58">
        <f t="shared" ref="AL8" si="100">+SUM(AL9:AL12)</f>
        <v>0</v>
      </c>
      <c r="AM8" s="58">
        <f t="shared" ref="AM8" si="101">+SUM(AM9:AM12)</f>
        <v>0</v>
      </c>
      <c r="AN8" s="58">
        <f t="shared" ref="AN8" si="102">+SUM(AN9:AN12)</f>
        <v>7138956.6868592743</v>
      </c>
      <c r="AO8" s="58">
        <f t="shared" si="79"/>
        <v>21939240.380109176</v>
      </c>
      <c r="AQ8" s="58">
        <f t="shared" ref="AQ8:BB8" si="103">+SUM(AQ9:AQ12)</f>
        <v>57628</v>
      </c>
      <c r="AR8" s="58">
        <f t="shared" si="103"/>
        <v>2117439.7283199998</v>
      </c>
      <c r="AS8" s="58">
        <f t="shared" si="103"/>
        <v>4413296.6704933336</v>
      </c>
      <c r="AT8" s="58">
        <f t="shared" si="103"/>
        <v>0</v>
      </c>
      <c r="AU8" s="58">
        <f t="shared" si="103"/>
        <v>0</v>
      </c>
      <c r="AV8" s="58">
        <f t="shared" si="103"/>
        <v>0</v>
      </c>
      <c r="AW8" s="58">
        <f t="shared" si="103"/>
        <v>0</v>
      </c>
      <c r="AX8" s="58">
        <f t="shared" si="103"/>
        <v>916470.22</v>
      </c>
      <c r="AY8" s="58">
        <f t="shared" si="103"/>
        <v>1959444.13</v>
      </c>
      <c r="AZ8" s="58">
        <f t="shared" si="103"/>
        <v>0</v>
      </c>
      <c r="BA8" s="58">
        <f t="shared" si="103"/>
        <v>666554.27674</v>
      </c>
      <c r="BB8" s="58">
        <f t="shared" si="103"/>
        <v>3080161.78</v>
      </c>
      <c r="BC8" s="58">
        <f t="shared" ref="BC8:BC12" si="104">+SUM(AQ8:BB8)</f>
        <v>13210994.805553332</v>
      </c>
      <c r="BD8" s="6" t="str">
        <f t="shared" si="47"/>
        <v>Target achievement bonus</v>
      </c>
      <c r="BE8" s="58">
        <f t="shared" ref="BE8:BP8" si="105">+SUM(BE9:BE12)</f>
        <v>1222964.5</v>
      </c>
      <c r="BF8" s="58">
        <f t="shared" si="105"/>
        <v>0</v>
      </c>
      <c r="BG8" s="58">
        <f t="shared" si="105"/>
        <v>1414268.3443199999</v>
      </c>
      <c r="BH8" s="58">
        <f t="shared" si="105"/>
        <v>1123028.983</v>
      </c>
      <c r="BI8" s="58">
        <f t="shared" si="105"/>
        <v>935321.94000000006</v>
      </c>
      <c r="BJ8" s="58">
        <f t="shared" si="105"/>
        <v>1507070</v>
      </c>
      <c r="BK8" s="58">
        <f t="shared" si="105"/>
        <v>1717090.4410000001</v>
      </c>
      <c r="BL8" s="58">
        <f t="shared" si="105"/>
        <v>0</v>
      </c>
      <c r="BM8" s="58">
        <f t="shared" si="105"/>
        <v>2013415.0698480001</v>
      </c>
      <c r="BN8" s="58">
        <f t="shared" si="105"/>
        <v>1607276.7571</v>
      </c>
      <c r="BO8" s="58">
        <f t="shared" si="105"/>
        <v>0</v>
      </c>
      <c r="BP8" s="58">
        <f t="shared" si="105"/>
        <v>0</v>
      </c>
      <c r="BQ8" s="58">
        <f t="shared" ref="BQ8" si="106">+SUM(BE8:BP8)</f>
        <v>11540436.035268001</v>
      </c>
      <c r="BS8" s="58">
        <f t="shared" ref="BS8:CD8" si="107">+SUM(BS9:BS12)</f>
        <v>880011.91363777581</v>
      </c>
      <c r="BT8" s="58">
        <f t="shared" si="107"/>
        <v>0</v>
      </c>
      <c r="BU8" s="58">
        <f t="shared" si="107"/>
        <v>4496712.2586872596</v>
      </c>
      <c r="BV8" s="58">
        <f t="shared" si="107"/>
        <v>0</v>
      </c>
      <c r="BW8" s="58">
        <f t="shared" si="107"/>
        <v>0</v>
      </c>
      <c r="BX8" s="58">
        <f t="shared" si="107"/>
        <v>847472.78657968319</v>
      </c>
      <c r="BY8" s="58">
        <f t="shared" si="107"/>
        <v>0</v>
      </c>
      <c r="BZ8" s="58">
        <f t="shared" si="107"/>
        <v>1244287.1921182268</v>
      </c>
      <c r="CA8" s="58">
        <f t="shared" si="107"/>
        <v>1129742.9858429858</v>
      </c>
      <c r="CB8" s="58">
        <f t="shared" si="107"/>
        <v>0</v>
      </c>
      <c r="CC8" s="58">
        <f t="shared" si="107"/>
        <v>0</v>
      </c>
      <c r="CD8" s="58">
        <f t="shared" si="107"/>
        <v>3855600.5001553278</v>
      </c>
      <c r="CE8" s="58">
        <f t="shared" ref="CE8:CE16" si="108">+SUM(BS8:CD8)</f>
        <v>12453827.637021258</v>
      </c>
      <c r="CF8" s="22"/>
      <c r="CG8" s="58">
        <f t="shared" ref="CG8:CR8" si="109">+SUM(CG9:CG12)</f>
        <v>29068</v>
      </c>
      <c r="CH8" s="58">
        <f t="shared" si="109"/>
        <v>921207</v>
      </c>
      <c r="CI8" s="58">
        <f t="shared" si="109"/>
        <v>3480115.3004800002</v>
      </c>
      <c r="CJ8" s="58">
        <f t="shared" si="109"/>
        <v>0</v>
      </c>
      <c r="CK8" s="58">
        <f t="shared" si="109"/>
        <v>0</v>
      </c>
      <c r="CL8" s="58">
        <f t="shared" si="109"/>
        <v>0</v>
      </c>
      <c r="CM8" s="58">
        <f t="shared" si="109"/>
        <v>0</v>
      </c>
      <c r="CN8" s="58">
        <f t="shared" si="109"/>
        <v>885933.40999999992</v>
      </c>
      <c r="CO8" s="58">
        <f t="shared" si="109"/>
        <v>1484013.67</v>
      </c>
      <c r="CP8" s="58">
        <f t="shared" si="109"/>
        <v>0</v>
      </c>
      <c r="CQ8" s="58">
        <f t="shared" si="109"/>
        <v>682668.71022000001</v>
      </c>
      <c r="CR8" s="58">
        <f t="shared" si="109"/>
        <v>1560549.31</v>
      </c>
      <c r="CS8" s="58">
        <f t="shared" ref="CS8:CS16" si="110">+SUM(CG8:CR8)</f>
        <v>9043555.400700001</v>
      </c>
      <c r="CT8" s="6" t="str">
        <f t="shared" si="51"/>
        <v>Target achievement bonus</v>
      </c>
      <c r="CU8" s="58">
        <f>+SUM(CU9:CU12)</f>
        <v>773545.730216</v>
      </c>
      <c r="CV8" s="58">
        <f t="shared" ref="CV8:DG8" si="111">+SUM(CV9:CV12)</f>
        <v>0</v>
      </c>
      <c r="CW8" s="58">
        <f t="shared" si="111"/>
        <v>1542052.3923200001</v>
      </c>
      <c r="CX8" s="58">
        <f t="shared" si="111"/>
        <v>833393.14500000002</v>
      </c>
      <c r="CY8" s="58">
        <f t="shared" si="111"/>
        <v>1386542</v>
      </c>
      <c r="CZ8" s="58">
        <f t="shared" si="111"/>
        <v>611339</v>
      </c>
      <c r="DA8" s="58">
        <f t="shared" si="111"/>
        <v>1611025.57</v>
      </c>
      <c r="DB8" s="58">
        <f t="shared" si="111"/>
        <v>0</v>
      </c>
      <c r="DC8" s="58">
        <f t="shared" si="111"/>
        <v>1404094.5434099999</v>
      </c>
      <c r="DD8" s="58">
        <f t="shared" si="111"/>
        <v>686545.4375</v>
      </c>
      <c r="DE8" s="58">
        <f t="shared" si="111"/>
        <v>0</v>
      </c>
      <c r="DF8" s="58">
        <f t="shared" si="111"/>
        <v>0</v>
      </c>
      <c r="DG8" s="58">
        <f t="shared" si="111"/>
        <v>8848537.818446001</v>
      </c>
      <c r="DI8" s="58">
        <f t="shared" ref="DI8:DT8" si="112">+SUM(DI9:DI12)</f>
        <v>821406.30630630627</v>
      </c>
      <c r="DJ8" s="58">
        <f t="shared" si="112"/>
        <v>0</v>
      </c>
      <c r="DK8" s="58">
        <f t="shared" si="112"/>
        <v>2978035.9754582173</v>
      </c>
      <c r="DL8" s="58">
        <f t="shared" si="112"/>
        <v>0</v>
      </c>
      <c r="DM8" s="58">
        <f t="shared" si="112"/>
        <v>0</v>
      </c>
      <c r="DN8" s="58">
        <f t="shared" si="112"/>
        <v>640968.71699285496</v>
      </c>
      <c r="DO8" s="58">
        <f t="shared" si="112"/>
        <v>0</v>
      </c>
      <c r="DP8" s="58">
        <f t="shared" si="112"/>
        <v>713942.34234234237</v>
      </c>
      <c r="DQ8" s="58">
        <f t="shared" si="112"/>
        <v>1047703.2152842497</v>
      </c>
      <c r="DR8" s="58">
        <f t="shared" si="112"/>
        <v>0</v>
      </c>
      <c r="DS8" s="58">
        <f t="shared" si="112"/>
        <v>0</v>
      </c>
      <c r="DT8" s="58">
        <f t="shared" si="112"/>
        <v>3283356.1867039464</v>
      </c>
      <c r="DU8" s="58">
        <f t="shared" ref="DU8:DU16" si="113">+SUM(DI8:DT8)</f>
        <v>9485412.7430879176</v>
      </c>
    </row>
    <row r="9" spans="1:125" ht="14.45" customHeight="1">
      <c r="A9" s="106">
        <f>+AQ9+CG9</f>
        <v>86696</v>
      </c>
      <c r="B9" s="106">
        <f t="shared" ref="B9:B12" si="114">+AR9+CH9</f>
        <v>2170461.9487999994</v>
      </c>
      <c r="C9" s="106">
        <f t="shared" ref="C9:C12" si="115">+AS9+CI9</f>
        <v>3035479.5749809523</v>
      </c>
      <c r="D9" s="106">
        <f t="shared" ref="D9:D12" si="116">+AT9+CJ9</f>
        <v>0</v>
      </c>
      <c r="E9" s="106">
        <f t="shared" ref="E9:E12" si="117">+AU9+CK9</f>
        <v>0</v>
      </c>
      <c r="F9" s="106">
        <f t="shared" ref="F9:F12" si="118">+AV9+CL9</f>
        <v>0</v>
      </c>
      <c r="G9" s="106">
        <f t="shared" ref="G9:G12" si="119">+AW9+CM9</f>
        <v>0</v>
      </c>
      <c r="H9" s="106">
        <f t="shared" ref="H9:H12" si="120">+AX9+CN9</f>
        <v>1001335.35</v>
      </c>
      <c r="I9" s="106">
        <f t="shared" ref="I9:I12" si="121">+AY9+CO9</f>
        <v>0</v>
      </c>
      <c r="J9" s="106">
        <f t="shared" ref="J9:J12" si="122">+AZ9+CP9</f>
        <v>0</v>
      </c>
      <c r="K9" s="106">
        <f t="shared" ref="K9:K12" si="123">+BA9+CQ9</f>
        <v>963730.70640000002</v>
      </c>
      <c r="L9" s="106">
        <f t="shared" ref="L9:L12" si="124">+BB9+CR9</f>
        <v>2056740</v>
      </c>
      <c r="M9" s="106">
        <f>+SUM(A9:L9)</f>
        <v>9314443.5801809505</v>
      </c>
      <c r="N9" s="7" t="s">
        <v>7</v>
      </c>
      <c r="O9" s="106">
        <f>+BE9+CU9</f>
        <v>1148566.230216</v>
      </c>
      <c r="P9" s="106">
        <f t="shared" ref="P9:P12" si="125">+BF9+CV9</f>
        <v>0</v>
      </c>
      <c r="Q9" s="106">
        <f t="shared" ref="Q9:Q12" si="126">+BG9+CW9</f>
        <v>2956320.7366399998</v>
      </c>
      <c r="R9" s="106">
        <f t="shared" ref="R9:R12" si="127">+BH9+CX9</f>
        <v>1585659.128</v>
      </c>
      <c r="S9" s="106">
        <f t="shared" ref="S9:S12" si="128">+BI9+CY9</f>
        <v>2321863.94</v>
      </c>
      <c r="T9" s="106">
        <f t="shared" ref="T9:T12" si="129">+BJ9+CZ9</f>
        <v>1842095</v>
      </c>
      <c r="U9" s="106">
        <f t="shared" ref="U9:U12" si="130">+BK9+DA9</f>
        <v>2306814</v>
      </c>
      <c r="V9" s="106">
        <f t="shared" ref="V9:V12" si="131">+BL9+DB9</f>
        <v>0</v>
      </c>
      <c r="W9" s="106">
        <f t="shared" ref="W9:W12" si="132">+BM9+DC9</f>
        <v>3123693</v>
      </c>
      <c r="X9" s="106">
        <f t="shared" ref="X9:X12" si="133">+BN9+DD9</f>
        <v>2293822.1946</v>
      </c>
      <c r="Y9" s="106">
        <f t="shared" ref="Y9:Y12" si="134">+BO9+DE9</f>
        <v>0</v>
      </c>
      <c r="Z9" s="106">
        <f t="shared" ref="Z9:Z12" si="135">+BP9+DF9</f>
        <v>0</v>
      </c>
      <c r="AA9" s="106">
        <f>+SUM(O9:Z9)</f>
        <v>17578834.229456</v>
      </c>
      <c r="AC9" s="106">
        <f>+BS9+DI9</f>
        <v>1020850.9319664493</v>
      </c>
      <c r="AD9" s="106">
        <f t="shared" ref="AD9:AD12" si="136">+BT9+DJ9</f>
        <v>0</v>
      </c>
      <c r="AE9" s="106">
        <f t="shared" ref="AE9:AE12" si="137">+BU9+DK9</f>
        <v>1358162.5855412062</v>
      </c>
      <c r="AF9" s="106">
        <f t="shared" ref="AF9:AF12" si="138">+BV9+DL9</f>
        <v>0</v>
      </c>
      <c r="AG9" s="106">
        <f t="shared" ref="AG9:AG12" si="139">+BW9+DM9</f>
        <v>0</v>
      </c>
      <c r="AH9" s="106">
        <f t="shared" ref="AH9:AH12" si="140">+BX9+DN9</f>
        <v>893064.90214352286</v>
      </c>
      <c r="AI9" s="106">
        <f t="shared" ref="AI9:AI12" si="141">+BY9+DO9</f>
        <v>0</v>
      </c>
      <c r="AJ9" s="106">
        <f t="shared" ref="AJ9:AJ12" si="142">+BZ9+DP9</f>
        <v>1174937.7206763416</v>
      </c>
      <c r="AK9" s="106">
        <f t="shared" ref="AK9:AK12" si="143">+CA9+DQ9</f>
        <v>1306467.7206763413</v>
      </c>
      <c r="AL9" s="106">
        <f t="shared" ref="AL9:AL12" si="144">+CB9+DR9</f>
        <v>0</v>
      </c>
      <c r="AM9" s="106">
        <f t="shared" ref="AM9:AM12" si="145">+CC9+DS9</f>
        <v>0</v>
      </c>
      <c r="AN9" s="106">
        <f t="shared" ref="AN9:AN12" si="146">+CD9+DT9</f>
        <v>1331233.7877779258</v>
      </c>
      <c r="AO9" s="106">
        <f>+SUM(AC9:AN9)</f>
        <v>7084717.6487817876</v>
      </c>
      <c r="AQ9" s="106">
        <v>57628</v>
      </c>
      <c r="AR9" s="106">
        <v>1512456.9487999997</v>
      </c>
      <c r="AS9" s="106">
        <v>1587779.5749809523</v>
      </c>
      <c r="AT9" s="106">
        <v>0</v>
      </c>
      <c r="AU9" s="106">
        <v>0</v>
      </c>
      <c r="AV9" s="106">
        <v>0</v>
      </c>
      <c r="AW9" s="106">
        <v>0</v>
      </c>
      <c r="AX9" s="106">
        <v>509150.12</v>
      </c>
      <c r="AY9" s="106">
        <v>0</v>
      </c>
      <c r="AZ9" s="106">
        <v>0</v>
      </c>
      <c r="BA9" s="106">
        <v>476110.19910000003</v>
      </c>
      <c r="BB9" s="106">
        <v>1389496</v>
      </c>
      <c r="BC9" s="106">
        <f t="shared" si="104"/>
        <v>5532620.8428809522</v>
      </c>
      <c r="BD9" s="7" t="s">
        <v>7</v>
      </c>
      <c r="BE9" s="106">
        <f>+VLOOKUP($BD9,'Jan-25'!$A:$J,2,0)</f>
        <v>663727.5</v>
      </c>
      <c r="BF9" s="106">
        <f>+VLOOKUP($BD9,'Feb-25'!$A:$J,2,0)</f>
        <v>0</v>
      </c>
      <c r="BG9" s="106">
        <f>+VLOOKUP($BD9,'Mar-25'!$A:$J,2,0)</f>
        <v>1414268.3443199999</v>
      </c>
      <c r="BH9" s="106">
        <f>+VLOOKUP($BD9,'Apr-25'!$A:$J,2,0)</f>
        <v>922224.98300000001</v>
      </c>
      <c r="BI9" s="106">
        <f>+VLOOKUP($BD9,'May-25'!$A:$J,2,0)</f>
        <v>935321.94000000006</v>
      </c>
      <c r="BJ9" s="106">
        <f>+VLOOKUP($BD9,'June-25'!$A:$J,2,0)</f>
        <v>1310496</v>
      </c>
      <c r="BK9" s="106">
        <f>+VLOOKUP($BD9,'July-25'!$A:$J,2,0)</f>
        <v>1213078</v>
      </c>
      <c r="BL9" s="106">
        <f>+VLOOKUP($BD9,'Aug-25'!$A:$J,2,0)</f>
        <v>0</v>
      </c>
      <c r="BM9" s="106">
        <f>+VLOOKUP($BD9,'Sep-25'!$A:$J,2,0)</f>
        <v>1813767</v>
      </c>
      <c r="BN9" s="106">
        <f>+VLOOKUP($BD9,'Oct-25'!$A:$J,2,0)</f>
        <v>1607276.7571</v>
      </c>
      <c r="BO9" s="106">
        <f>+VLOOKUP($BD9,'Nov-25'!$A:$J,2,0)</f>
        <v>0</v>
      </c>
      <c r="BP9" s="106">
        <f>+VLOOKUP($BD9,'Dec-25'!$A:$J,2,0)</f>
        <v>0</v>
      </c>
      <c r="BQ9" s="106">
        <f>+SUM(BE9:BP9)</f>
        <v>9880160.5244200006</v>
      </c>
      <c r="BS9" s="106" cm="1">
        <f t="array" ref="BS9:CD9">+_xlfn.XLOOKUP(BD9,Budget!A:A,Budget!Q:AB)</f>
        <v>528007.14818266546</v>
      </c>
      <c r="BT9" s="106">
        <v>0</v>
      </c>
      <c r="BU9" s="106">
        <v>897079.57528957527</v>
      </c>
      <c r="BV9" s="106">
        <v>0</v>
      </c>
      <c r="BW9" s="106">
        <v>0</v>
      </c>
      <c r="BX9" s="106">
        <v>508483.67194780987</v>
      </c>
      <c r="BY9" s="106">
        <v>0</v>
      </c>
      <c r="BZ9" s="106">
        <v>746572.315270936</v>
      </c>
      <c r="CA9" s="106">
        <v>677845.79150579148</v>
      </c>
      <c r="CB9" s="106">
        <v>0</v>
      </c>
      <c r="CC9" s="106">
        <v>0</v>
      </c>
      <c r="CD9" s="106">
        <v>705846.22021035815</v>
      </c>
      <c r="CE9" s="106">
        <f t="shared" si="108"/>
        <v>4063834.7224071366</v>
      </c>
      <c r="CF9" s="22"/>
      <c r="CG9" s="106">
        <v>29068</v>
      </c>
      <c r="CH9" s="106">
        <v>658005</v>
      </c>
      <c r="CI9" s="106">
        <v>1447700</v>
      </c>
      <c r="CJ9" s="106">
        <v>0</v>
      </c>
      <c r="CK9" s="106">
        <v>0</v>
      </c>
      <c r="CL9" s="106">
        <v>0</v>
      </c>
      <c r="CM9" s="106">
        <v>0</v>
      </c>
      <c r="CN9" s="106">
        <v>492185.23</v>
      </c>
      <c r="CO9" s="106">
        <v>0</v>
      </c>
      <c r="CP9" s="106">
        <v>0</v>
      </c>
      <c r="CQ9" s="106">
        <v>487620.5073</v>
      </c>
      <c r="CR9" s="106">
        <v>667244</v>
      </c>
      <c r="CS9" s="106">
        <f t="shared" si="110"/>
        <v>3781822.7373000002</v>
      </c>
      <c r="CT9" s="7" t="s">
        <v>7</v>
      </c>
      <c r="CU9" s="106">
        <f>+VLOOKUP($BD9,'Jan-25'!$A:$J,6,0)</f>
        <v>484838.73021600005</v>
      </c>
      <c r="CV9" s="106">
        <f>+VLOOKUP($BD9,'Feb-25'!$A:$J,6,0)</f>
        <v>0</v>
      </c>
      <c r="CW9" s="106">
        <f>+VLOOKUP($BD9,'Mar-25'!$A:$J,6,0)</f>
        <v>1542052.3923200001</v>
      </c>
      <c r="CX9" s="106">
        <f>+VLOOKUP($BD9,'Apr-25'!$A:$J,6,0)</f>
        <v>663434.14500000002</v>
      </c>
      <c r="CY9" s="106">
        <f>+VLOOKUP($BD9,'May-25'!$A:$J,6,0)</f>
        <v>1386542</v>
      </c>
      <c r="CZ9" s="106">
        <f>+VLOOKUP($BD9,'June-25'!$A:$J,6,0)</f>
        <v>531599</v>
      </c>
      <c r="DA9" s="106">
        <f>+VLOOKUP($BD9,'July-25'!$A:$J,6,0)</f>
        <v>1093736</v>
      </c>
      <c r="DB9" s="106">
        <f>+VLOOKUP($BD9,'Aug-25'!$A:$J,6,0)</f>
        <v>0</v>
      </c>
      <c r="DC9" s="106">
        <f>+VLOOKUP($BD9,'Sep-25'!$A:$J,6,0)</f>
        <v>1309926</v>
      </c>
      <c r="DD9" s="106">
        <f>+VLOOKUP($BD9,'Oct-25'!$A:$J,6,0)</f>
        <v>686545.4375</v>
      </c>
      <c r="DE9" s="106">
        <f>+VLOOKUP($BD9,'Nov-25'!$A:$J,6,0)</f>
        <v>0</v>
      </c>
      <c r="DF9" s="106">
        <f>+VLOOKUP($BD9,'Dec-25'!$A:$J,6,0)</f>
        <v>0</v>
      </c>
      <c r="DG9" s="106">
        <f t="shared" ref="DG9:DG12" si="147">+SUM(CU9:DF9)</f>
        <v>7698673.7050360003</v>
      </c>
      <c r="DI9" s="106">
        <f>+_xlfn.XLOOKUP($CT9,Budget!$A:$A,Budget!BQ:BQ)</f>
        <v>492843.78378378379</v>
      </c>
      <c r="DJ9" s="106">
        <f>+_xlfn.XLOOKUP($CT9,Budget!$A:$A,Budget!BR:BR)</f>
        <v>0</v>
      </c>
      <c r="DK9" s="106">
        <f>+_xlfn.XLOOKUP($CT9,Budget!$A:$A,Budget!BS:BS)</f>
        <v>461083.01025163097</v>
      </c>
      <c r="DL9" s="106">
        <f>+_xlfn.XLOOKUP($CT9,Budget!$A:$A,Budget!BT:BT)</f>
        <v>0</v>
      </c>
      <c r="DM9" s="106">
        <f>+_xlfn.XLOOKUP($CT9,Budget!$A:$A,Budget!BU:BU)</f>
        <v>0</v>
      </c>
      <c r="DN9" s="106">
        <f>+_xlfn.XLOOKUP($CT9,Budget!$A:$A,Budget!BV:BV)</f>
        <v>384581.23019571294</v>
      </c>
      <c r="DO9" s="106">
        <f>+_xlfn.XLOOKUP($CT9,Budget!$A:$A,Budget!BW:BW)</f>
        <v>0</v>
      </c>
      <c r="DP9" s="106">
        <f>+_xlfn.XLOOKUP($CT9,Budget!$A:$A,Budget!BX:BX)</f>
        <v>428365.40540540544</v>
      </c>
      <c r="DQ9" s="106">
        <f>+_xlfn.XLOOKUP($CT9,Budget!$A:$A,Budget!BY:BY)</f>
        <v>628621.92917054985</v>
      </c>
      <c r="DR9" s="106">
        <f>+_xlfn.XLOOKUP($CT9,Budget!$A:$A,Budget!BZ:BZ)</f>
        <v>0</v>
      </c>
      <c r="DS9" s="106">
        <f>+_xlfn.XLOOKUP($CT9,Budget!$A:$A,Budget!CA:CA)</f>
        <v>0</v>
      </c>
      <c r="DT9" s="106">
        <f>+_xlfn.XLOOKUP($CT9,Budget!$A:$A,Budget!CB:CB)</f>
        <v>625387.56756756757</v>
      </c>
      <c r="DU9" s="106">
        <f t="shared" si="113"/>
        <v>3020882.9263746506</v>
      </c>
    </row>
    <row r="10" spans="1:125" ht="14.45" customHeight="1">
      <c r="A10" s="106">
        <f t="shared" ref="A10:A12" si="148">+AQ10+CG10</f>
        <v>0</v>
      </c>
      <c r="B10" s="106">
        <f t="shared" si="114"/>
        <v>868184.7795200001</v>
      </c>
      <c r="C10" s="106">
        <f t="shared" si="115"/>
        <v>1214192.4259923811</v>
      </c>
      <c r="D10" s="106">
        <f t="shared" si="116"/>
        <v>0</v>
      </c>
      <c r="E10" s="106">
        <f t="shared" si="117"/>
        <v>0</v>
      </c>
      <c r="F10" s="106">
        <f t="shared" si="118"/>
        <v>0</v>
      </c>
      <c r="G10" s="106">
        <f t="shared" si="119"/>
        <v>0</v>
      </c>
      <c r="H10" s="106">
        <f t="shared" si="120"/>
        <v>801068.28</v>
      </c>
      <c r="I10" s="106">
        <f t="shared" si="121"/>
        <v>0</v>
      </c>
      <c r="J10" s="106">
        <f t="shared" si="122"/>
        <v>0</v>
      </c>
      <c r="K10" s="106">
        <f t="shared" si="123"/>
        <v>385492.28055999998</v>
      </c>
      <c r="L10" s="106">
        <f t="shared" si="124"/>
        <v>822695</v>
      </c>
      <c r="M10" s="106">
        <f t="shared" ref="M10:M26" si="149">+SUM(A10:L10)</f>
        <v>4091632.7660723813</v>
      </c>
      <c r="N10" s="7" t="s">
        <v>8</v>
      </c>
      <c r="O10" s="106">
        <f t="shared" ref="O10:O12" si="150">+BE10+CU10</f>
        <v>317979</v>
      </c>
      <c r="P10" s="106">
        <f t="shared" si="125"/>
        <v>0</v>
      </c>
      <c r="Q10" s="106">
        <f t="shared" si="126"/>
        <v>0</v>
      </c>
      <c r="R10" s="106">
        <f t="shared" si="127"/>
        <v>370763</v>
      </c>
      <c r="S10" s="106">
        <f t="shared" si="128"/>
        <v>0</v>
      </c>
      <c r="T10" s="106">
        <f t="shared" si="129"/>
        <v>0</v>
      </c>
      <c r="U10" s="106">
        <f t="shared" si="130"/>
        <v>576703</v>
      </c>
      <c r="V10" s="106">
        <f t="shared" si="131"/>
        <v>0</v>
      </c>
      <c r="W10" s="106">
        <f t="shared" si="132"/>
        <v>293816.613258</v>
      </c>
      <c r="X10" s="106">
        <f t="shared" si="133"/>
        <v>0</v>
      </c>
      <c r="Y10" s="106">
        <f t="shared" si="134"/>
        <v>0</v>
      </c>
      <c r="Z10" s="106">
        <f t="shared" si="135"/>
        <v>0</v>
      </c>
      <c r="AA10" s="106">
        <f t="shared" ref="AA10:AA16" si="151">+SUM(O10:Z10)</f>
        <v>1559261.613258</v>
      </c>
      <c r="AC10" s="106">
        <f t="shared" ref="AC10:AC12" si="152">+BS10+DI10</f>
        <v>255212.73299161231</v>
      </c>
      <c r="AD10" s="106">
        <f t="shared" si="136"/>
        <v>0</v>
      </c>
      <c r="AE10" s="106">
        <f t="shared" si="137"/>
        <v>339540.64638530154</v>
      </c>
      <c r="AF10" s="106">
        <f t="shared" si="138"/>
        <v>0</v>
      </c>
      <c r="AG10" s="106">
        <f t="shared" si="139"/>
        <v>0</v>
      </c>
      <c r="AH10" s="106">
        <f t="shared" si="140"/>
        <v>223266.22553588072</v>
      </c>
      <c r="AI10" s="106">
        <f t="shared" si="141"/>
        <v>0</v>
      </c>
      <c r="AJ10" s="106">
        <f t="shared" si="142"/>
        <v>293734.43016908533</v>
      </c>
      <c r="AK10" s="106">
        <f t="shared" si="143"/>
        <v>326616.93016908533</v>
      </c>
      <c r="AL10" s="106">
        <f t="shared" si="144"/>
        <v>0</v>
      </c>
      <c r="AM10" s="106">
        <f t="shared" si="145"/>
        <v>0</v>
      </c>
      <c r="AN10" s="106">
        <f t="shared" si="146"/>
        <v>332808.44694448146</v>
      </c>
      <c r="AO10" s="106">
        <f t="shared" ref="AO10:AO16" si="153">+SUM(AC10:AN10)</f>
        <v>1771179.4121954467</v>
      </c>
      <c r="AQ10" s="106">
        <v>0</v>
      </c>
      <c r="AR10" s="106">
        <v>604982.7795200001</v>
      </c>
      <c r="AS10" s="106">
        <v>635112.42599238106</v>
      </c>
      <c r="AT10" s="106">
        <v>0</v>
      </c>
      <c r="AU10" s="106">
        <v>0</v>
      </c>
      <c r="AV10" s="106">
        <v>0</v>
      </c>
      <c r="AW10" s="106">
        <v>0</v>
      </c>
      <c r="AX10" s="106">
        <v>407320.1</v>
      </c>
      <c r="AY10" s="106">
        <v>0</v>
      </c>
      <c r="AZ10" s="106">
        <v>0</v>
      </c>
      <c r="BA10" s="106">
        <v>190444.07763999997</v>
      </c>
      <c r="BB10" s="106">
        <v>555798</v>
      </c>
      <c r="BC10" s="106">
        <f t="shared" si="104"/>
        <v>2393657.3831523815</v>
      </c>
      <c r="BD10" s="7" t="s">
        <v>8</v>
      </c>
      <c r="BE10" s="106">
        <f>+VLOOKUP($BD10,'Jan-25'!$A:$J,2,0)</f>
        <v>209714</v>
      </c>
      <c r="BF10" s="106">
        <f>+VLOOKUP($BD10,'Feb-25'!$A:$J,2,0)</f>
        <v>0</v>
      </c>
      <c r="BG10" s="106">
        <f>+VLOOKUP($BD10,'Mar-25'!$A:$J,2,0)</f>
        <v>0</v>
      </c>
      <c r="BH10" s="106">
        <f>+VLOOKUP($BD10,'Apr-25'!$A:$J,2,0)</f>
        <v>200804</v>
      </c>
      <c r="BI10" s="106">
        <f>+VLOOKUP($BD10,'May-25'!$A:$J,2,0)</f>
        <v>0</v>
      </c>
      <c r="BJ10" s="106">
        <f>+VLOOKUP($BD10,'June-25'!$A:$J,2,0)</f>
        <v>0</v>
      </c>
      <c r="BK10" s="106">
        <f>+VLOOKUP($BD10,'July-25'!$A:$J,2,0)</f>
        <v>303269</v>
      </c>
      <c r="BL10" s="106">
        <f>+VLOOKUP($BD10,'Aug-25'!$A:$J,2,0)</f>
        <v>0</v>
      </c>
      <c r="BM10" s="106">
        <f>+VLOOKUP($BD10,'Sep-25'!$A:$J,2,0)</f>
        <v>199648.06984799998</v>
      </c>
      <c r="BN10" s="106">
        <f>+VLOOKUP($BD10,'Oct-25'!$A:$J,2,0)</f>
        <v>0</v>
      </c>
      <c r="BO10" s="106">
        <f>+VLOOKUP($BD10,'Nov-25'!$A:$J,2,0)</f>
        <v>0</v>
      </c>
      <c r="BP10" s="106">
        <f>+VLOOKUP($BD10,'Dec-25'!$A:$J,2,0)</f>
        <v>0</v>
      </c>
      <c r="BQ10" s="106">
        <f t="shared" ref="BQ10:BQ12" si="154">+SUM(BE10:BP10)</f>
        <v>913435.06984799996</v>
      </c>
      <c r="BS10" s="106" cm="1">
        <f t="array" ref="BS10:CD10">+_xlfn.XLOOKUP(BD10,Budget!A:A,Budget!Q:AB)</f>
        <v>132001.78704566637</v>
      </c>
      <c r="BT10" s="106">
        <v>0</v>
      </c>
      <c r="BU10" s="106">
        <v>224269.89382239382</v>
      </c>
      <c r="BV10" s="106">
        <v>0</v>
      </c>
      <c r="BW10" s="106">
        <v>0</v>
      </c>
      <c r="BX10" s="106">
        <v>127120.91798695247</v>
      </c>
      <c r="BY10" s="106">
        <v>0</v>
      </c>
      <c r="BZ10" s="106">
        <v>186643.078817734</v>
      </c>
      <c r="CA10" s="106">
        <v>169461.44787644787</v>
      </c>
      <c r="CB10" s="106">
        <v>0</v>
      </c>
      <c r="CC10" s="106">
        <v>0</v>
      </c>
      <c r="CD10" s="106">
        <v>176461.55505258954</v>
      </c>
      <c r="CE10" s="106">
        <f t="shared" si="108"/>
        <v>1015958.6806017841</v>
      </c>
      <c r="CF10" s="22"/>
      <c r="CG10" s="106"/>
      <c r="CH10" s="106">
        <v>263202</v>
      </c>
      <c r="CI10" s="106">
        <v>579080</v>
      </c>
      <c r="CJ10" s="106">
        <v>0</v>
      </c>
      <c r="CK10" s="106">
        <v>0</v>
      </c>
      <c r="CL10" s="106">
        <v>0</v>
      </c>
      <c r="CM10" s="106">
        <v>0</v>
      </c>
      <c r="CN10" s="106">
        <v>393748.18</v>
      </c>
      <c r="CO10" s="106">
        <v>0</v>
      </c>
      <c r="CP10" s="106">
        <v>0</v>
      </c>
      <c r="CQ10" s="106">
        <v>195048.20292000001</v>
      </c>
      <c r="CR10" s="106">
        <v>266897</v>
      </c>
      <c r="CS10" s="106">
        <f t="shared" si="110"/>
        <v>1697975.38292</v>
      </c>
      <c r="CT10" s="7" t="s">
        <v>8</v>
      </c>
      <c r="CU10" s="106">
        <f>+VLOOKUP($BD10,'Jan-25'!$A:$J,6,0)</f>
        <v>108265</v>
      </c>
      <c r="CV10" s="106">
        <f>+VLOOKUP($BD10,'Feb-25'!$A:$J,6,0)</f>
        <v>0</v>
      </c>
      <c r="CW10" s="106">
        <f>+VLOOKUP($BD10,'Mar-25'!$A:$J,6,0)</f>
        <v>0</v>
      </c>
      <c r="CX10" s="106">
        <f>+VLOOKUP($BD10,'Apr-25'!$A:$J,6,0)</f>
        <v>169959</v>
      </c>
      <c r="CY10" s="106">
        <f>+VLOOKUP($BD10,'May-25'!$A:$J,6,0)</f>
        <v>0</v>
      </c>
      <c r="CZ10" s="106">
        <f>+VLOOKUP($BD10,'June-25'!$A:$J,6,0)</f>
        <v>0</v>
      </c>
      <c r="DA10" s="106">
        <f>+VLOOKUP($BD10,'July-25'!$A:$J,6,0)</f>
        <v>273434</v>
      </c>
      <c r="DB10" s="106">
        <f>+VLOOKUP($BD10,'Aug-25'!$A:$J,6,0)</f>
        <v>0</v>
      </c>
      <c r="DC10" s="106">
        <f>+VLOOKUP($BD10,'Sep-25'!$A:$J,6,0)</f>
        <v>94168.543409999998</v>
      </c>
      <c r="DD10" s="106">
        <f>+VLOOKUP($BD10,'Oct-25'!$A:$J,6,0)</f>
        <v>0</v>
      </c>
      <c r="DE10" s="106">
        <f>+VLOOKUP($BD10,'Nov-25'!$A:$J,6,0)</f>
        <v>0</v>
      </c>
      <c r="DF10" s="106">
        <f>+VLOOKUP($BD10,'Dec-25'!$A:$J,6,0)</f>
        <v>0</v>
      </c>
      <c r="DG10" s="106">
        <f t="shared" si="147"/>
        <v>645826.54341000004</v>
      </c>
      <c r="DI10" s="106">
        <f>+_xlfn.XLOOKUP($CT10,Budget!$A:$A,Budget!BQ:BQ)</f>
        <v>123210.94594594595</v>
      </c>
      <c r="DJ10" s="106">
        <f>+_xlfn.XLOOKUP($CT10,Budget!$A:$A,Budget!BR:BR)</f>
        <v>0</v>
      </c>
      <c r="DK10" s="106">
        <f>+_xlfn.XLOOKUP($CT10,Budget!$A:$A,Budget!BS:BS)</f>
        <v>115270.75256290774</v>
      </c>
      <c r="DL10" s="106">
        <f>+_xlfn.XLOOKUP($CT10,Budget!$A:$A,Budget!BT:BT)</f>
        <v>0</v>
      </c>
      <c r="DM10" s="106">
        <f>+_xlfn.XLOOKUP($CT10,Budget!$A:$A,Budget!BU:BU)</f>
        <v>0</v>
      </c>
      <c r="DN10" s="106">
        <f>+_xlfn.XLOOKUP($CT10,Budget!$A:$A,Budget!BV:BV)</f>
        <v>96145.307548928235</v>
      </c>
      <c r="DO10" s="106">
        <f>+_xlfn.XLOOKUP($CT10,Budget!$A:$A,Budget!BW:BW)</f>
        <v>0</v>
      </c>
      <c r="DP10" s="106">
        <f>+_xlfn.XLOOKUP($CT10,Budget!$A:$A,Budget!BX:BX)</f>
        <v>107091.35135135135</v>
      </c>
      <c r="DQ10" s="106">
        <f>+_xlfn.XLOOKUP($CT10,Budget!$A:$A,Budget!BY:BY)</f>
        <v>157155.48229263746</v>
      </c>
      <c r="DR10" s="106">
        <f>+_xlfn.XLOOKUP($CT10,Budget!$A:$A,Budget!BZ:BZ)</f>
        <v>0</v>
      </c>
      <c r="DS10" s="106">
        <f>+_xlfn.XLOOKUP($CT10,Budget!$A:$A,Budget!CA:CA)</f>
        <v>0</v>
      </c>
      <c r="DT10" s="106">
        <f>+_xlfn.XLOOKUP($CT10,Budget!$A:$A,Budget!CB:CB)</f>
        <v>156346.89189189192</v>
      </c>
      <c r="DU10" s="106">
        <f t="shared" si="113"/>
        <v>755220.73159366276</v>
      </c>
    </row>
    <row r="11" spans="1:125" ht="14.45" customHeight="1">
      <c r="A11" s="106">
        <f t="shared" si="148"/>
        <v>0</v>
      </c>
      <c r="B11" s="106">
        <f t="shared" si="114"/>
        <v>0</v>
      </c>
      <c r="C11" s="106">
        <f t="shared" si="115"/>
        <v>0</v>
      </c>
      <c r="D11" s="106">
        <f t="shared" si="116"/>
        <v>0</v>
      </c>
      <c r="E11" s="106">
        <f t="shared" si="117"/>
        <v>0</v>
      </c>
      <c r="F11" s="106">
        <f t="shared" si="118"/>
        <v>0</v>
      </c>
      <c r="G11" s="106">
        <f t="shared" si="119"/>
        <v>0</v>
      </c>
      <c r="H11" s="106">
        <f t="shared" si="120"/>
        <v>0</v>
      </c>
      <c r="I11" s="106">
        <f t="shared" si="121"/>
        <v>0</v>
      </c>
      <c r="J11" s="106">
        <f t="shared" si="122"/>
        <v>0</v>
      </c>
      <c r="K11" s="106">
        <f t="shared" si="123"/>
        <v>0</v>
      </c>
      <c r="L11" s="106">
        <f t="shared" si="124"/>
        <v>0</v>
      </c>
      <c r="M11" s="106">
        <f t="shared" si="149"/>
        <v>0</v>
      </c>
      <c r="N11" s="7" t="s">
        <v>9</v>
      </c>
      <c r="O11" s="106">
        <f t="shared" si="150"/>
        <v>529965</v>
      </c>
      <c r="P11" s="106">
        <f t="shared" si="125"/>
        <v>0</v>
      </c>
      <c r="Q11" s="106">
        <f t="shared" si="126"/>
        <v>0</v>
      </c>
      <c r="R11" s="106">
        <f t="shared" si="127"/>
        <v>0</v>
      </c>
      <c r="S11" s="106">
        <f t="shared" si="128"/>
        <v>0</v>
      </c>
      <c r="T11" s="106">
        <f t="shared" si="129"/>
        <v>0</v>
      </c>
      <c r="U11" s="106">
        <f t="shared" si="130"/>
        <v>0</v>
      </c>
      <c r="V11" s="106">
        <f t="shared" si="131"/>
        <v>0</v>
      </c>
      <c r="W11" s="106">
        <f t="shared" si="132"/>
        <v>0</v>
      </c>
      <c r="X11" s="106">
        <f t="shared" si="133"/>
        <v>0</v>
      </c>
      <c r="Y11" s="106">
        <f t="shared" si="134"/>
        <v>0</v>
      </c>
      <c r="Z11" s="106">
        <f t="shared" si="135"/>
        <v>0</v>
      </c>
      <c r="AA11" s="106">
        <f t="shared" si="151"/>
        <v>529965</v>
      </c>
      <c r="AC11" s="106">
        <f t="shared" si="152"/>
        <v>425354.55498602055</v>
      </c>
      <c r="AD11" s="106">
        <f t="shared" si="136"/>
        <v>0</v>
      </c>
      <c r="AE11" s="106">
        <f t="shared" si="137"/>
        <v>565901.07730883593</v>
      </c>
      <c r="AF11" s="106">
        <f t="shared" si="138"/>
        <v>0</v>
      </c>
      <c r="AG11" s="106">
        <f t="shared" si="139"/>
        <v>0</v>
      </c>
      <c r="AH11" s="106">
        <f t="shared" si="140"/>
        <v>372110.37589313451</v>
      </c>
      <c r="AI11" s="106">
        <f t="shared" si="141"/>
        <v>0</v>
      </c>
      <c r="AJ11" s="106">
        <f t="shared" si="142"/>
        <v>489557.38361514232</v>
      </c>
      <c r="AK11" s="106">
        <f t="shared" si="143"/>
        <v>544361.55028180894</v>
      </c>
      <c r="AL11" s="106">
        <f t="shared" si="144"/>
        <v>0</v>
      </c>
      <c r="AM11" s="106">
        <f t="shared" si="145"/>
        <v>0</v>
      </c>
      <c r="AN11" s="106">
        <f t="shared" si="146"/>
        <v>554680.74490746902</v>
      </c>
      <c r="AO11" s="106">
        <f t="shared" si="153"/>
        <v>2951965.686992411</v>
      </c>
      <c r="AQ11" s="106">
        <v>0</v>
      </c>
      <c r="AR11" s="106">
        <v>0</v>
      </c>
      <c r="AS11" s="106">
        <v>0</v>
      </c>
      <c r="AT11" s="106">
        <v>0</v>
      </c>
      <c r="AU11" s="106">
        <v>0</v>
      </c>
      <c r="AV11" s="106">
        <v>0</v>
      </c>
      <c r="AW11" s="106">
        <v>0</v>
      </c>
      <c r="AX11" s="106">
        <v>0</v>
      </c>
      <c r="AY11" s="106">
        <v>0</v>
      </c>
      <c r="AZ11" s="106">
        <v>0</v>
      </c>
      <c r="BA11" s="106">
        <v>0</v>
      </c>
      <c r="BB11" s="106">
        <v>0</v>
      </c>
      <c r="BC11" s="106">
        <f t="shared" si="104"/>
        <v>0</v>
      </c>
      <c r="BD11" s="7" t="s">
        <v>9</v>
      </c>
      <c r="BE11" s="106">
        <f>+VLOOKUP($BD11,'Jan-25'!$A:$J,2,0)</f>
        <v>349523</v>
      </c>
      <c r="BF11" s="106">
        <f>+VLOOKUP($BD11,'Feb-25'!$A:$J,2,0)</f>
        <v>0</v>
      </c>
      <c r="BG11" s="106">
        <f>+VLOOKUP($BD11,'Mar-25'!$A:$J,2,0)</f>
        <v>0</v>
      </c>
      <c r="BH11" s="106">
        <f>+VLOOKUP($BD11,'Apr-25'!$A:$J,2,0)</f>
        <v>0</v>
      </c>
      <c r="BI11" s="106">
        <f>+VLOOKUP($BD11,'May-25'!$A:$J,2,0)</f>
        <v>0</v>
      </c>
      <c r="BJ11" s="106">
        <f>+VLOOKUP($BD11,'June-25'!$A:$J,2,0)</f>
        <v>0</v>
      </c>
      <c r="BK11" s="106">
        <f>+VLOOKUP($BD11,'July-25'!$A:$J,2,0)</f>
        <v>0</v>
      </c>
      <c r="BL11" s="106">
        <f>+VLOOKUP($BD11,'Aug-25'!$A:$J,2,0)</f>
        <v>0</v>
      </c>
      <c r="BM11" s="106">
        <f>+VLOOKUP($BD11,'Sep-25'!$A:$J,2,0)</f>
        <v>0</v>
      </c>
      <c r="BN11" s="106">
        <f>+VLOOKUP($BD11,'Oct-25'!$A:$J,2,0)</f>
        <v>0</v>
      </c>
      <c r="BO11" s="106">
        <f>+VLOOKUP($BD11,'Nov-25'!$A:$J,2,0)</f>
        <v>0</v>
      </c>
      <c r="BP11" s="106">
        <f>+VLOOKUP($BD11,'Dec-25'!$A:$J,2,0)</f>
        <v>0</v>
      </c>
      <c r="BQ11" s="106">
        <f t="shared" si="154"/>
        <v>349523</v>
      </c>
      <c r="BS11" s="106" cm="1">
        <f t="array" ref="BS11:CD11">+_xlfn.XLOOKUP(BD11,Budget!A:A,Budget!Q:AB)</f>
        <v>220002.97840944395</v>
      </c>
      <c r="BT11" s="106">
        <v>0</v>
      </c>
      <c r="BU11" s="106">
        <v>373783.15637065639</v>
      </c>
      <c r="BV11" s="106">
        <v>0</v>
      </c>
      <c r="BW11" s="106">
        <v>0</v>
      </c>
      <c r="BX11" s="106">
        <v>211868.1966449208</v>
      </c>
      <c r="BY11" s="106">
        <v>0</v>
      </c>
      <c r="BZ11" s="106">
        <v>311071.7980295567</v>
      </c>
      <c r="CA11" s="106">
        <v>282435.74646074645</v>
      </c>
      <c r="CB11" s="106">
        <v>0</v>
      </c>
      <c r="CC11" s="106">
        <v>0</v>
      </c>
      <c r="CD11" s="106">
        <v>294102.59175431589</v>
      </c>
      <c r="CE11" s="106">
        <f t="shared" si="108"/>
        <v>1693264.4676696402</v>
      </c>
      <c r="CF11" s="22"/>
      <c r="CG11" s="106"/>
      <c r="CH11" s="106">
        <v>0</v>
      </c>
      <c r="CI11" s="106">
        <v>0</v>
      </c>
      <c r="CJ11" s="106">
        <v>0</v>
      </c>
      <c r="CK11" s="106">
        <v>0</v>
      </c>
      <c r="CL11" s="106">
        <v>0</v>
      </c>
      <c r="CM11" s="106">
        <v>0</v>
      </c>
      <c r="CN11" s="106">
        <v>0</v>
      </c>
      <c r="CO11" s="106">
        <v>0</v>
      </c>
      <c r="CP11" s="106">
        <v>0</v>
      </c>
      <c r="CQ11" s="106">
        <v>0</v>
      </c>
      <c r="CR11" s="106">
        <v>0</v>
      </c>
      <c r="CS11" s="106">
        <f t="shared" si="110"/>
        <v>0</v>
      </c>
      <c r="CT11" s="7" t="s">
        <v>9</v>
      </c>
      <c r="CU11" s="106">
        <f>+VLOOKUP($BD11,'Jan-25'!$A:$J,6,0)</f>
        <v>180442</v>
      </c>
      <c r="CV11" s="106">
        <f>+VLOOKUP($BD11,'Feb-25'!$A:$J,6,0)</f>
        <v>0</v>
      </c>
      <c r="CW11" s="106">
        <f>+VLOOKUP($BD11,'Mar-25'!$A:$J,6,0)</f>
        <v>0</v>
      </c>
      <c r="CX11" s="106">
        <f>+VLOOKUP($BD11,'Apr-25'!$A:$J,6,0)</f>
        <v>0</v>
      </c>
      <c r="CY11" s="106">
        <f>+VLOOKUP($BD11,'May-25'!$A:$J,6,0)</f>
        <v>0</v>
      </c>
      <c r="CZ11" s="106">
        <f>+VLOOKUP($BD11,'June-25'!$A:$J,6,0)</f>
        <v>0</v>
      </c>
      <c r="DA11" s="106">
        <f>+VLOOKUP($BD11,'July-25'!$A:$J,6,0)</f>
        <v>0</v>
      </c>
      <c r="DB11" s="106">
        <f>+VLOOKUP($BD11,'Aug-25'!$A:$J,6,0)</f>
        <v>0</v>
      </c>
      <c r="DC11" s="106">
        <f>+VLOOKUP($BD11,'Sep-25'!$A:$J,6,0)</f>
        <v>0</v>
      </c>
      <c r="DD11" s="106">
        <f>+VLOOKUP($BD11,'Oct-25'!$A:$J,6,0)</f>
        <v>0</v>
      </c>
      <c r="DE11" s="106">
        <f>+VLOOKUP($BD11,'Nov-25'!$A:$J,6,0)</f>
        <v>0</v>
      </c>
      <c r="DF11" s="106">
        <f>+VLOOKUP($BD11,'Dec-25'!$A:$J,6,0)</f>
        <v>0</v>
      </c>
      <c r="DG11" s="106">
        <f t="shared" si="147"/>
        <v>180442</v>
      </c>
      <c r="DI11" s="106">
        <f>+_xlfn.XLOOKUP($CT11,Budget!$A:$A,Budget!BQ:BQ)</f>
        <v>205351.5765765766</v>
      </c>
      <c r="DJ11" s="106">
        <f>+_xlfn.XLOOKUP($CT11,Budget!$A:$A,Budget!BR:BR)</f>
        <v>0</v>
      </c>
      <c r="DK11" s="106">
        <f>+_xlfn.XLOOKUP($CT11,Budget!$A:$A,Budget!BS:BS)</f>
        <v>192117.92093817957</v>
      </c>
      <c r="DL11" s="106">
        <f>+_xlfn.XLOOKUP($CT11,Budget!$A:$A,Budget!BT:BT)</f>
        <v>0</v>
      </c>
      <c r="DM11" s="106">
        <f>+_xlfn.XLOOKUP($CT11,Budget!$A:$A,Budget!BU:BU)</f>
        <v>0</v>
      </c>
      <c r="DN11" s="106">
        <f>+_xlfn.XLOOKUP($CT11,Budget!$A:$A,Budget!BV:BV)</f>
        <v>160242.17924821374</v>
      </c>
      <c r="DO11" s="106">
        <f>+_xlfn.XLOOKUP($CT11,Budget!$A:$A,Budget!BW:BW)</f>
        <v>0</v>
      </c>
      <c r="DP11" s="106">
        <f>+_xlfn.XLOOKUP($CT11,Budget!$A:$A,Budget!BX:BX)</f>
        <v>178485.58558558559</v>
      </c>
      <c r="DQ11" s="106">
        <f>+_xlfn.XLOOKUP($CT11,Budget!$A:$A,Budget!BY:BY)</f>
        <v>261925.80382106247</v>
      </c>
      <c r="DR11" s="106">
        <f>+_xlfn.XLOOKUP($CT11,Budget!$A:$A,Budget!BZ:BZ)</f>
        <v>0</v>
      </c>
      <c r="DS11" s="106">
        <f>+_xlfn.XLOOKUP($CT11,Budget!$A:$A,Budget!CA:CA)</f>
        <v>0</v>
      </c>
      <c r="DT11" s="106">
        <f>+_xlfn.XLOOKUP($CT11,Budget!$A:$A,Budget!CB:CB)</f>
        <v>260578.15315315319</v>
      </c>
      <c r="DU11" s="106">
        <f t="shared" si="113"/>
        <v>1258701.2193227711</v>
      </c>
    </row>
    <row r="12" spans="1:125" ht="14.45" customHeight="1">
      <c r="A12" s="106">
        <f t="shared" si="148"/>
        <v>0</v>
      </c>
      <c r="B12" s="106">
        <f t="shared" si="114"/>
        <v>0</v>
      </c>
      <c r="C12" s="106">
        <f t="shared" si="115"/>
        <v>3643739.97</v>
      </c>
      <c r="D12" s="106">
        <f t="shared" si="116"/>
        <v>0</v>
      </c>
      <c r="E12" s="106">
        <f t="shared" si="117"/>
        <v>0</v>
      </c>
      <c r="F12" s="106">
        <f t="shared" si="118"/>
        <v>0</v>
      </c>
      <c r="G12" s="106">
        <f t="shared" si="119"/>
        <v>0</v>
      </c>
      <c r="H12" s="106">
        <f t="shared" si="120"/>
        <v>0</v>
      </c>
      <c r="I12" s="106">
        <f t="shared" si="121"/>
        <v>3443457.8</v>
      </c>
      <c r="J12" s="106">
        <f t="shared" si="122"/>
        <v>0</v>
      </c>
      <c r="K12" s="106">
        <f t="shared" si="123"/>
        <v>0</v>
      </c>
      <c r="L12" s="106">
        <f t="shared" si="124"/>
        <v>1761276.0899999999</v>
      </c>
      <c r="M12" s="106">
        <f t="shared" si="149"/>
        <v>8848473.8599999994</v>
      </c>
      <c r="N12" s="7" t="s">
        <v>10</v>
      </c>
      <c r="O12" s="106">
        <f t="shared" si="150"/>
        <v>0</v>
      </c>
      <c r="P12" s="106">
        <f t="shared" si="125"/>
        <v>0</v>
      </c>
      <c r="Q12" s="106">
        <f t="shared" si="126"/>
        <v>0</v>
      </c>
      <c r="R12" s="106">
        <f t="shared" si="127"/>
        <v>0</v>
      </c>
      <c r="S12" s="106">
        <f t="shared" si="128"/>
        <v>0</v>
      </c>
      <c r="T12" s="106">
        <f t="shared" si="129"/>
        <v>276314</v>
      </c>
      <c r="U12" s="106">
        <f t="shared" si="130"/>
        <v>444599.011</v>
      </c>
      <c r="V12" s="106">
        <f t="shared" si="131"/>
        <v>0</v>
      </c>
      <c r="W12" s="106">
        <f t="shared" si="132"/>
        <v>0</v>
      </c>
      <c r="X12" s="106">
        <f t="shared" si="133"/>
        <v>0</v>
      </c>
      <c r="Y12" s="106">
        <f t="shared" si="134"/>
        <v>0</v>
      </c>
      <c r="Z12" s="106">
        <f t="shared" si="135"/>
        <v>0</v>
      </c>
      <c r="AA12" s="106">
        <f t="shared" si="151"/>
        <v>720913.01099999994</v>
      </c>
      <c r="AC12" s="106">
        <f t="shared" si="152"/>
        <v>0</v>
      </c>
      <c r="AD12" s="106">
        <f t="shared" si="136"/>
        <v>0</v>
      </c>
      <c r="AE12" s="106">
        <f t="shared" si="137"/>
        <v>5211143.9249101328</v>
      </c>
      <c r="AF12" s="106">
        <f t="shared" si="138"/>
        <v>0</v>
      </c>
      <c r="AG12" s="106">
        <f t="shared" si="139"/>
        <v>0</v>
      </c>
      <c r="AH12" s="106">
        <f t="shared" si="140"/>
        <v>0</v>
      </c>
      <c r="AI12" s="106">
        <f t="shared" si="141"/>
        <v>0</v>
      </c>
      <c r="AJ12" s="106">
        <f t="shared" si="142"/>
        <v>0</v>
      </c>
      <c r="AK12" s="106">
        <f t="shared" si="143"/>
        <v>0</v>
      </c>
      <c r="AL12" s="106">
        <f t="shared" si="144"/>
        <v>0</v>
      </c>
      <c r="AM12" s="106">
        <f t="shared" si="145"/>
        <v>0</v>
      </c>
      <c r="AN12" s="106">
        <f t="shared" si="146"/>
        <v>4920233.7072293982</v>
      </c>
      <c r="AO12" s="106">
        <f t="shared" si="153"/>
        <v>10131377.63213953</v>
      </c>
      <c r="AQ12" s="106">
        <v>0</v>
      </c>
      <c r="AR12" s="106">
        <v>0</v>
      </c>
      <c r="AS12" s="106">
        <v>2190404.66952</v>
      </c>
      <c r="AT12" s="106">
        <v>0</v>
      </c>
      <c r="AU12" s="106">
        <v>0</v>
      </c>
      <c r="AV12" s="106">
        <v>0</v>
      </c>
      <c r="AW12" s="106">
        <v>0</v>
      </c>
      <c r="AX12" s="106">
        <v>0</v>
      </c>
      <c r="AY12" s="106">
        <v>1959444.13</v>
      </c>
      <c r="AZ12" s="106">
        <v>0</v>
      </c>
      <c r="BA12" s="106">
        <v>0</v>
      </c>
      <c r="BB12" s="106">
        <v>1134867.7799999998</v>
      </c>
      <c r="BC12" s="106">
        <f t="shared" si="104"/>
        <v>5284716.5795200001</v>
      </c>
      <c r="BD12" s="7" t="s">
        <v>10</v>
      </c>
      <c r="BE12" s="106">
        <f>+VLOOKUP($BD12,'Jan-25'!$A:$J,2,0)</f>
        <v>0</v>
      </c>
      <c r="BF12" s="106">
        <f>+VLOOKUP($BD12,'Feb-25'!$A:$J,2,0)</f>
        <v>0</v>
      </c>
      <c r="BG12" s="106">
        <f>+VLOOKUP($BD12,'Mar-25'!$A:$J,2,0)</f>
        <v>0</v>
      </c>
      <c r="BH12" s="106">
        <f>+VLOOKUP($BD12,'Apr-25'!$A:$J,2,0)</f>
        <v>0</v>
      </c>
      <c r="BI12" s="106">
        <f>+VLOOKUP($BD12,'May-25'!$A:$J,2,0)</f>
        <v>0</v>
      </c>
      <c r="BJ12" s="106">
        <f>+VLOOKUP($BD12,'June-25'!$A:$J,2,0)</f>
        <v>196574</v>
      </c>
      <c r="BK12" s="106">
        <f>+VLOOKUP($BD12,'July-25'!$A:$J,2,0)</f>
        <v>200743.44099999999</v>
      </c>
      <c r="BL12" s="106">
        <f>+VLOOKUP($BD12,'Aug-25'!$A:$J,2,0)</f>
        <v>0</v>
      </c>
      <c r="BM12" s="106">
        <f>+VLOOKUP($BD12,'Sep-25'!$A:$J,2,0)</f>
        <v>0</v>
      </c>
      <c r="BN12" s="106">
        <f>+VLOOKUP($BD12,'Oct-25'!$A:$J,2,0)</f>
        <v>0</v>
      </c>
      <c r="BO12" s="106">
        <f>+VLOOKUP($BD12,'Nov-25'!$A:$J,2,0)</f>
        <v>0</v>
      </c>
      <c r="BP12" s="106">
        <f>+VLOOKUP($BD12,'Dec-25'!$A:$J,2,0)</f>
        <v>0</v>
      </c>
      <c r="BQ12" s="106">
        <f t="shared" si="154"/>
        <v>397317.44099999999</v>
      </c>
      <c r="BS12" s="106" cm="1">
        <f t="array" ref="BS12:CD12">+_xlfn.XLOOKUP(BD12,Budget!A:A,Budget!Q:AB)</f>
        <v>0</v>
      </c>
      <c r="BT12" s="106">
        <v>0</v>
      </c>
      <c r="BU12" s="106">
        <v>3001579.6332046338</v>
      </c>
      <c r="BV12" s="106">
        <v>0</v>
      </c>
      <c r="BW12" s="106">
        <v>0</v>
      </c>
      <c r="BX12" s="106">
        <v>0</v>
      </c>
      <c r="BY12" s="106">
        <v>0</v>
      </c>
      <c r="BZ12" s="106">
        <v>0</v>
      </c>
      <c r="CA12" s="106">
        <v>0</v>
      </c>
      <c r="CB12" s="106">
        <v>0</v>
      </c>
      <c r="CC12" s="106">
        <v>0</v>
      </c>
      <c r="CD12" s="106">
        <v>2679190.1331380643</v>
      </c>
      <c r="CE12" s="106">
        <f t="shared" si="108"/>
        <v>5680769.7663426977</v>
      </c>
      <c r="CF12" s="22"/>
      <c r="CG12" s="106">
        <v>0</v>
      </c>
      <c r="CH12" s="106">
        <v>0</v>
      </c>
      <c r="CI12" s="106">
        <v>1453335.3004800002</v>
      </c>
      <c r="CJ12" s="106">
        <v>0</v>
      </c>
      <c r="CK12" s="106">
        <v>0</v>
      </c>
      <c r="CL12" s="106">
        <v>0</v>
      </c>
      <c r="CM12" s="106">
        <v>0</v>
      </c>
      <c r="CN12" s="106">
        <v>0</v>
      </c>
      <c r="CO12" s="106">
        <v>1484013.67</v>
      </c>
      <c r="CP12" s="106">
        <v>0</v>
      </c>
      <c r="CQ12" s="106">
        <v>0</v>
      </c>
      <c r="CR12" s="106">
        <v>626408.31000000006</v>
      </c>
      <c r="CS12" s="106">
        <f t="shared" si="110"/>
        <v>3563757.2804800002</v>
      </c>
      <c r="CT12" s="7" t="s">
        <v>10</v>
      </c>
      <c r="CU12" s="106">
        <f>+VLOOKUP($BD12,'Jan-25'!$A:$J,6,0)</f>
        <v>0</v>
      </c>
      <c r="CV12" s="106">
        <f>+VLOOKUP($BD12,'Feb-25'!$A:$J,6,0)</f>
        <v>0</v>
      </c>
      <c r="CW12" s="106">
        <f>+VLOOKUP($BD12,'Mar-25'!$A:$J,6,0)</f>
        <v>0</v>
      </c>
      <c r="CX12" s="106">
        <f>+VLOOKUP($BD12,'Apr-25'!$A:$J,6,0)</f>
        <v>0</v>
      </c>
      <c r="CY12" s="106">
        <f>+VLOOKUP($BD12,'May-25'!$A:$J,6,0)</f>
        <v>0</v>
      </c>
      <c r="CZ12" s="106">
        <f>+VLOOKUP($BD12,'June-25'!$A:$J,6,0)</f>
        <v>79740</v>
      </c>
      <c r="DA12" s="106">
        <f>+VLOOKUP($BD12,'July-25'!$A:$J,6,0)</f>
        <v>243855.57</v>
      </c>
      <c r="DB12" s="106">
        <f>+VLOOKUP($BD12,'Aug-25'!$A:$J,6,0)</f>
        <v>0</v>
      </c>
      <c r="DC12" s="106">
        <f>+VLOOKUP($BD12,'Sep-25'!$A:$J,6,0)</f>
        <v>0</v>
      </c>
      <c r="DD12" s="106">
        <f>+VLOOKUP($BD12,'Oct-25'!$A:$J,6,0)</f>
        <v>0</v>
      </c>
      <c r="DE12" s="106">
        <f>+VLOOKUP($BD12,'Nov-25'!$A:$J,6,0)</f>
        <v>0</v>
      </c>
      <c r="DF12" s="106">
        <f>+VLOOKUP($BD12,'Dec-25'!$A:$J,6,0)</f>
        <v>0</v>
      </c>
      <c r="DG12" s="106">
        <f t="shared" si="147"/>
        <v>323595.57</v>
      </c>
      <c r="DI12" s="106">
        <f>+_xlfn.XLOOKUP($CT12,Budget!$A:$A,Budget!BQ:BQ)</f>
        <v>0</v>
      </c>
      <c r="DJ12" s="106">
        <f>+_xlfn.XLOOKUP($CT12,Budget!$A:$A,Budget!BR:BR)</f>
        <v>0</v>
      </c>
      <c r="DK12" s="106">
        <f>+_xlfn.XLOOKUP($CT12,Budget!$A:$A,Budget!BS:BS)</f>
        <v>2209564.2917054989</v>
      </c>
      <c r="DL12" s="106">
        <f>+_xlfn.XLOOKUP($CT12,Budget!$A:$A,Budget!BT:BT)</f>
        <v>0</v>
      </c>
      <c r="DM12" s="106">
        <f>+_xlfn.XLOOKUP($CT12,Budget!$A:$A,Budget!BU:BU)</f>
        <v>0</v>
      </c>
      <c r="DN12" s="106">
        <f>+_xlfn.XLOOKUP($CT12,Budget!$A:$A,Budget!BV:BV)</f>
        <v>0</v>
      </c>
      <c r="DO12" s="106">
        <f>+_xlfn.XLOOKUP($CT12,Budget!$A:$A,Budget!BW:BW)</f>
        <v>0</v>
      </c>
      <c r="DP12" s="106">
        <f>+_xlfn.XLOOKUP($CT12,Budget!$A:$A,Budget!BX:BX)</f>
        <v>0</v>
      </c>
      <c r="DQ12" s="106">
        <f>+_xlfn.XLOOKUP($CT12,Budget!$A:$A,Budget!BY:BY)</f>
        <v>0</v>
      </c>
      <c r="DR12" s="106">
        <f>+_xlfn.XLOOKUP($CT12,Budget!$A:$A,Budget!BZ:BZ)</f>
        <v>0</v>
      </c>
      <c r="DS12" s="106">
        <f>+_xlfn.XLOOKUP($CT12,Budget!$A:$A,Budget!CA:CA)</f>
        <v>0</v>
      </c>
      <c r="DT12" s="106">
        <f>+_xlfn.XLOOKUP($CT12,Budget!$A:$A,Budget!CB:CB)</f>
        <v>2241043.5740913334</v>
      </c>
      <c r="DU12" s="106">
        <f t="shared" si="113"/>
        <v>4450607.8657968324</v>
      </c>
    </row>
    <row r="13" spans="1:125" ht="14.45" customHeight="1">
      <c r="A13" s="58">
        <f>+SUM(A14:A17)</f>
        <v>342449</v>
      </c>
      <c r="B13" s="58">
        <f t="shared" ref="B13:L13" si="155">+SUM(B14:B17)</f>
        <v>857332.50306500006</v>
      </c>
      <c r="C13" s="58">
        <f t="shared" si="155"/>
        <v>1208168.44</v>
      </c>
      <c r="D13" s="58">
        <f t="shared" si="155"/>
        <v>445390.61306200002</v>
      </c>
      <c r="E13" s="58">
        <f t="shared" si="155"/>
        <v>769300.33736000012</v>
      </c>
      <c r="F13" s="58">
        <f t="shared" si="155"/>
        <v>684345.35</v>
      </c>
      <c r="G13" s="58">
        <f t="shared" si="155"/>
        <v>692543.66</v>
      </c>
      <c r="H13" s="58">
        <f t="shared" si="155"/>
        <v>220295</v>
      </c>
      <c r="I13" s="58">
        <f t="shared" si="155"/>
        <v>680273.00395758427</v>
      </c>
      <c r="J13" s="58">
        <f t="shared" si="155"/>
        <v>396211.018667</v>
      </c>
      <c r="K13" s="58">
        <f t="shared" si="155"/>
        <v>992642.33645000006</v>
      </c>
      <c r="L13" s="58">
        <f t="shared" si="155"/>
        <v>699292</v>
      </c>
      <c r="M13" s="58">
        <f t="shared" si="149"/>
        <v>7988243.2625615848</v>
      </c>
      <c r="N13" s="6" t="s">
        <v>11</v>
      </c>
      <c r="O13" s="58">
        <f>+SUM(O14:O17)</f>
        <v>971890.40540540544</v>
      </c>
      <c r="P13" s="58">
        <f t="shared" ref="P13" si="156">+SUM(P14:P17)</f>
        <v>754079</v>
      </c>
      <c r="Q13" s="58">
        <f t="shared" ref="Q13" si="157">+SUM(Q14:Q17)</f>
        <v>1369132</v>
      </c>
      <c r="R13" s="58">
        <f t="shared" ref="R13" si="158">+SUM(R14:R17)</f>
        <v>741526</v>
      </c>
      <c r="S13" s="58">
        <f t="shared" ref="S13" si="159">+SUM(S14:S17)</f>
        <v>738802</v>
      </c>
      <c r="T13" s="58">
        <f t="shared" ref="T13" si="160">+SUM(T14:T17)</f>
        <v>921048</v>
      </c>
      <c r="U13" s="58">
        <f t="shared" ref="U13" si="161">+SUM(U14:U17)</f>
        <v>1153408</v>
      </c>
      <c r="V13" s="58">
        <f t="shared" ref="V13" si="162">+SUM(V14:V17)</f>
        <v>944346</v>
      </c>
      <c r="W13" s="58">
        <f t="shared" ref="W13" si="163">+SUM(W14:W17)</f>
        <v>1360158.3</v>
      </c>
      <c r="X13" s="58">
        <f t="shared" ref="X13" si="164">+SUM(X14:X17)</f>
        <v>1176744.7595000002</v>
      </c>
      <c r="Y13" s="58">
        <f t="shared" ref="Y13" si="165">+SUM(Y14:Y17)</f>
        <v>0</v>
      </c>
      <c r="Z13" s="58">
        <f t="shared" ref="Z13" si="166">+SUM(Z14:Z17)</f>
        <v>0</v>
      </c>
      <c r="AA13" s="58">
        <f t="shared" si="151"/>
        <v>10131134.464905407</v>
      </c>
      <c r="AC13" s="58">
        <f>+SUM(AC14:AC17)</f>
        <v>850709.1099720411</v>
      </c>
      <c r="AD13" s="58">
        <f t="shared" ref="AD13" si="167">+SUM(AD14:AD17)</f>
        <v>912568.69369369384</v>
      </c>
      <c r="AE13" s="58">
        <f t="shared" ref="AE13" si="168">+SUM(AE14:AE17)</f>
        <v>1131802.1546176719</v>
      </c>
      <c r="AF13" s="58">
        <f t="shared" ref="AF13" si="169">+SUM(AF14:AF17)</f>
        <v>774272.26956020086</v>
      </c>
      <c r="AG13" s="58">
        <f t="shared" ref="AG13" si="170">+SUM(AG14:AG17)</f>
        <v>1008930.5607331471</v>
      </c>
      <c r="AH13" s="58">
        <f t="shared" ref="AH13" si="171">+SUM(AH14:AH17)</f>
        <v>744220.75178626901</v>
      </c>
      <c r="AI13" s="58">
        <f t="shared" ref="AI13" si="172">+SUM(AI14:AI17)</f>
        <v>878078.15648160479</v>
      </c>
      <c r="AJ13" s="58">
        <f t="shared" ref="AJ13" si="173">+SUM(AJ14:AJ17)</f>
        <v>979114.76723028463</v>
      </c>
      <c r="AK13" s="58">
        <f t="shared" ref="AK13" si="174">+SUM(AK14:AK17)</f>
        <v>1088723.1005636179</v>
      </c>
      <c r="AL13" s="58">
        <f t="shared" ref="AL13" si="175">+SUM(AL14:AL17)</f>
        <v>871698.41898548824</v>
      </c>
      <c r="AM13" s="58">
        <f t="shared" ref="AM13" si="176">+SUM(AM14:AM17)</f>
        <v>752403.2618825722</v>
      </c>
      <c r="AN13" s="58">
        <f t="shared" ref="AN13" si="177">+SUM(AN14:AN17)</f>
        <v>1109361.4898149383</v>
      </c>
      <c r="AO13" s="58">
        <f t="shared" si="153"/>
        <v>11101882.735321529</v>
      </c>
      <c r="AQ13" s="58">
        <f t="shared" ref="AQ13:BB13" si="178">+SUM(AQ14:AQ17)</f>
        <v>227631</v>
      </c>
      <c r="AR13" s="58">
        <f t="shared" si="178"/>
        <v>586554</v>
      </c>
      <c r="AS13" s="58">
        <f t="shared" si="178"/>
        <v>635112.29</v>
      </c>
      <c r="AT13" s="58">
        <f t="shared" si="178"/>
        <v>305090.85056200001</v>
      </c>
      <c r="AU13" s="58">
        <f t="shared" si="178"/>
        <v>464356.45736</v>
      </c>
      <c r="AV13" s="58">
        <f t="shared" si="178"/>
        <v>573567.72</v>
      </c>
      <c r="AW13" s="58">
        <f t="shared" si="178"/>
        <v>310264.95999999996</v>
      </c>
      <c r="AX13" s="58">
        <f t="shared" si="178"/>
        <v>112013</v>
      </c>
      <c r="AY13" s="58">
        <f t="shared" si="178"/>
        <v>488284.41497658432</v>
      </c>
      <c r="AZ13" s="58">
        <f t="shared" si="178"/>
        <v>291881</v>
      </c>
      <c r="BA13" s="58">
        <f t="shared" si="178"/>
        <v>511668.67</v>
      </c>
      <c r="BB13" s="58">
        <f t="shared" si="178"/>
        <v>472430</v>
      </c>
      <c r="BC13" s="58">
        <f t="shared" ref="BC13:BC16" si="179">+SUM(AQ13:BB13)</f>
        <v>4978854.3628985845</v>
      </c>
      <c r="BD13" s="6" t="str">
        <f t="shared" si="47"/>
        <v>Quantitative Margin</v>
      </c>
      <c r="BE13" s="58">
        <f t="shared" ref="BE13:BP13" si="180">+SUM(BE14:BE17)</f>
        <v>546883.78378378367</v>
      </c>
      <c r="BF13" s="58">
        <f t="shared" si="180"/>
        <v>528232</v>
      </c>
      <c r="BG13" s="58">
        <f t="shared" si="180"/>
        <v>607365</v>
      </c>
      <c r="BH13" s="58">
        <f t="shared" si="180"/>
        <v>401608</v>
      </c>
      <c r="BI13" s="58">
        <f t="shared" si="180"/>
        <v>265867</v>
      </c>
      <c r="BJ13" s="58">
        <f t="shared" si="180"/>
        <v>655248</v>
      </c>
      <c r="BK13" s="58">
        <f t="shared" si="180"/>
        <v>606540</v>
      </c>
      <c r="BL13" s="58">
        <f t="shared" si="180"/>
        <v>413378</v>
      </c>
      <c r="BM13" s="58">
        <f t="shared" si="180"/>
        <v>900436.3</v>
      </c>
      <c r="BN13" s="58">
        <f t="shared" si="180"/>
        <v>803638.70965000021</v>
      </c>
      <c r="BO13" s="58">
        <f t="shared" si="180"/>
        <v>0</v>
      </c>
      <c r="BP13" s="58">
        <f t="shared" si="180"/>
        <v>0</v>
      </c>
      <c r="BQ13" s="58">
        <f t="shared" ref="BQ13:BQ16" si="181">+SUM(BE13:BP13)</f>
        <v>5729196.7934337845</v>
      </c>
      <c r="BS13" s="58">
        <f t="shared" ref="BS13:CD13" si="182">+SUM(BS14:BS17)</f>
        <v>440005.95681888791</v>
      </c>
      <c r="BT13" s="58">
        <f t="shared" si="182"/>
        <v>479971.97110904014</v>
      </c>
      <c r="BU13" s="58">
        <f t="shared" si="182"/>
        <v>747566.3127413129</v>
      </c>
      <c r="BV13" s="58">
        <f t="shared" si="182"/>
        <v>399721.72258465365</v>
      </c>
      <c r="BW13" s="58">
        <f t="shared" si="182"/>
        <v>553530.11028269655</v>
      </c>
      <c r="BX13" s="58">
        <f t="shared" si="182"/>
        <v>423736.39328984165</v>
      </c>
      <c r="BY13" s="58">
        <f t="shared" si="182"/>
        <v>563365.06235299341</v>
      </c>
      <c r="BZ13" s="58">
        <f t="shared" si="182"/>
        <v>622143.59605911339</v>
      </c>
      <c r="CA13" s="58">
        <f t="shared" si="182"/>
        <v>564871.4929214929</v>
      </c>
      <c r="CB13" s="58">
        <f t="shared" si="182"/>
        <v>488092.337904407</v>
      </c>
      <c r="CC13" s="58">
        <f t="shared" si="182"/>
        <v>412141.44144144154</v>
      </c>
      <c r="CD13" s="58">
        <f t="shared" si="182"/>
        <v>588205.18350863177</v>
      </c>
      <c r="CE13" s="58">
        <f t="shared" ref="CE13" si="183">+SUM(BS13:CD13)</f>
        <v>6283351.581014513</v>
      </c>
      <c r="CF13" s="22"/>
      <c r="CG13" s="58">
        <f t="shared" ref="CG13:CR13" si="184">+SUM(CG14:CG17)</f>
        <v>114818</v>
      </c>
      <c r="CH13" s="58">
        <f t="shared" si="184"/>
        <v>270778.503065</v>
      </c>
      <c r="CI13" s="58">
        <f t="shared" si="184"/>
        <v>573056.15</v>
      </c>
      <c r="CJ13" s="58">
        <f t="shared" si="184"/>
        <v>140299.76250000001</v>
      </c>
      <c r="CK13" s="58">
        <f t="shared" si="184"/>
        <v>304943.88</v>
      </c>
      <c r="CL13" s="58">
        <f t="shared" si="184"/>
        <v>110777.63</v>
      </c>
      <c r="CM13" s="58">
        <f t="shared" si="184"/>
        <v>382278.7</v>
      </c>
      <c r="CN13" s="58">
        <f t="shared" si="184"/>
        <v>108282</v>
      </c>
      <c r="CO13" s="58">
        <f t="shared" si="184"/>
        <v>191988.58898100001</v>
      </c>
      <c r="CP13" s="58">
        <f t="shared" si="184"/>
        <v>104330.018667</v>
      </c>
      <c r="CQ13" s="58">
        <f t="shared" si="184"/>
        <v>480973.66645000002</v>
      </c>
      <c r="CR13" s="58">
        <f t="shared" si="184"/>
        <v>226862</v>
      </c>
      <c r="CS13" s="58">
        <f t="shared" si="110"/>
        <v>3009388.8996629994</v>
      </c>
      <c r="CT13" s="6" t="str">
        <f t="shared" si="51"/>
        <v>Quantitative Margin</v>
      </c>
      <c r="CU13" s="58">
        <f>+SUM(CU14:CU17)</f>
        <v>425006.62162162171</v>
      </c>
      <c r="CV13" s="58">
        <f t="shared" ref="CV13:DG13" si="185">+SUM(CV14:CV17)</f>
        <v>225847</v>
      </c>
      <c r="CW13" s="58">
        <f t="shared" si="185"/>
        <v>761767</v>
      </c>
      <c r="CX13" s="58">
        <f t="shared" si="185"/>
        <v>339918</v>
      </c>
      <c r="CY13" s="58">
        <f t="shared" si="185"/>
        <v>472935</v>
      </c>
      <c r="CZ13" s="58">
        <f t="shared" si="185"/>
        <v>265800</v>
      </c>
      <c r="DA13" s="58">
        <f t="shared" si="185"/>
        <v>546868</v>
      </c>
      <c r="DB13" s="58">
        <f t="shared" si="185"/>
        <v>530968</v>
      </c>
      <c r="DC13" s="58">
        <f t="shared" si="185"/>
        <v>459722</v>
      </c>
      <c r="DD13" s="58">
        <f t="shared" si="185"/>
        <v>373106.04984999995</v>
      </c>
      <c r="DE13" s="58">
        <f t="shared" si="185"/>
        <v>0</v>
      </c>
      <c r="DF13" s="58">
        <f t="shared" si="185"/>
        <v>0</v>
      </c>
      <c r="DG13" s="58">
        <f t="shared" si="185"/>
        <v>4401937.6714716218</v>
      </c>
      <c r="DI13" s="58">
        <f t="shared" ref="DI13:DT13" si="186">+SUM(DI14:DI17)</f>
        <v>410703.15315315325</v>
      </c>
      <c r="DJ13" s="58">
        <f t="shared" si="186"/>
        <v>432596.72258465365</v>
      </c>
      <c r="DK13" s="58">
        <f t="shared" si="186"/>
        <v>384235.84187635907</v>
      </c>
      <c r="DL13" s="58">
        <f t="shared" si="186"/>
        <v>374550.54697554704</v>
      </c>
      <c r="DM13" s="58">
        <f t="shared" si="186"/>
        <v>455400.45045045053</v>
      </c>
      <c r="DN13" s="58">
        <f t="shared" si="186"/>
        <v>320484.35849642748</v>
      </c>
      <c r="DO13" s="58">
        <f t="shared" si="186"/>
        <v>314713.09412861138</v>
      </c>
      <c r="DP13" s="58">
        <f t="shared" si="186"/>
        <v>356971.17117117124</v>
      </c>
      <c r="DQ13" s="58">
        <f t="shared" si="186"/>
        <v>523851.60764212499</v>
      </c>
      <c r="DR13" s="58">
        <f t="shared" si="186"/>
        <v>383606.08108108118</v>
      </c>
      <c r="DS13" s="58">
        <f t="shared" si="186"/>
        <v>340261.82044113084</v>
      </c>
      <c r="DT13" s="58">
        <f t="shared" si="186"/>
        <v>521156.30630630639</v>
      </c>
      <c r="DU13" s="58">
        <f t="shared" si="113"/>
        <v>4818531.1543070171</v>
      </c>
    </row>
    <row r="14" spans="1:125" ht="14.45" customHeight="1">
      <c r="A14" s="106">
        <f t="shared" ref="A14:A16" si="187">+AQ14+CG14</f>
        <v>99700</v>
      </c>
      <c r="B14" s="106">
        <f t="shared" ref="B14:B16" si="188">+AR14+CH14</f>
        <v>249602.83306500001</v>
      </c>
      <c r="C14" s="106">
        <f t="shared" ref="C14:C16" si="189">+AS14+CI14</f>
        <v>349080</v>
      </c>
      <c r="D14" s="106">
        <f t="shared" ref="D14:D16" si="190">+AT14+CJ14</f>
        <v>117337</v>
      </c>
      <c r="E14" s="106">
        <f t="shared" ref="E14:E16" si="191">+AU14+CK14</f>
        <v>214995.33000000002</v>
      </c>
      <c r="F14" s="106">
        <f t="shared" ref="F14:F16" si="192">+AV14+CL14</f>
        <v>149904.35</v>
      </c>
      <c r="G14" s="106">
        <f t="shared" ref="G14:G16" si="193">+AW14+CM14</f>
        <v>177162</v>
      </c>
      <c r="H14" s="106">
        <f t="shared" ref="H14:H16" si="194">+AX14+CN14</f>
        <v>220295</v>
      </c>
      <c r="I14" s="106">
        <f t="shared" ref="I14:I16" si="195">+AY14+CO14</f>
        <v>233843</v>
      </c>
      <c r="J14" s="106">
        <f t="shared" ref="J14:J16" si="196">+AZ14+CP14</f>
        <v>0</v>
      </c>
      <c r="K14" s="106">
        <f t="shared" ref="K14:K16" si="197">+BA14+CQ14</f>
        <v>192745.33645</v>
      </c>
      <c r="L14" s="106">
        <f t="shared" ref="L14:L16" si="198">+BB14+CR14</f>
        <v>205674</v>
      </c>
      <c r="M14" s="106">
        <f t="shared" si="149"/>
        <v>2210338.8495150004</v>
      </c>
      <c r="N14" s="7" t="s">
        <v>12</v>
      </c>
      <c r="O14" s="106">
        <f t="shared" ref="O14:O16" si="199">+BE14+CU14</f>
        <v>194378.08108108107</v>
      </c>
      <c r="P14" s="106">
        <f t="shared" ref="P14:P16" si="200">+BF14+CV14</f>
        <v>147859</v>
      </c>
      <c r="Q14" s="106">
        <f t="shared" ref="Q14:Q16" si="201">+BG14+CW14</f>
        <v>273826</v>
      </c>
      <c r="R14" s="106">
        <f t="shared" ref="R14:R16" si="202">+BH14+CX14</f>
        <v>148306</v>
      </c>
      <c r="S14" s="106">
        <f t="shared" ref="S14:S16" si="203">+BI14+CY14</f>
        <v>147760</v>
      </c>
      <c r="T14" s="106">
        <f t="shared" ref="T14:T16" si="204">+BJ14+CZ14</f>
        <v>184210</v>
      </c>
      <c r="U14" s="106">
        <f t="shared" ref="U14:U16" si="205">+BK14+DA14</f>
        <v>230682</v>
      </c>
      <c r="V14" s="106">
        <f t="shared" ref="V14:V16" si="206">+BL14+DB14</f>
        <v>188870</v>
      </c>
      <c r="W14" s="106">
        <f t="shared" ref="W14:W16" si="207">+BM14+DC14</f>
        <v>331746</v>
      </c>
      <c r="X14" s="106">
        <f t="shared" ref="X14:X16" si="208">+BN14+DD14</f>
        <v>235348.55190000005</v>
      </c>
      <c r="Y14" s="106">
        <f t="shared" ref="Y14:Y16" si="209">+BO14+DE14</f>
        <v>0</v>
      </c>
      <c r="Z14" s="106">
        <f t="shared" ref="Z14:Z16" si="210">+BP14+DF14</f>
        <v>0</v>
      </c>
      <c r="AA14" s="106">
        <f t="shared" si="151"/>
        <v>2082985.6329810813</v>
      </c>
      <c r="AC14" s="106">
        <f t="shared" ref="AC14:AC16" si="211">+BS14+DI14</f>
        <v>170141.82199440824</v>
      </c>
      <c r="AD14" s="106">
        <f t="shared" ref="AD14:AD16" si="212">+BT14+DJ14</f>
        <v>182513.73873873876</v>
      </c>
      <c r="AE14" s="106">
        <f t="shared" ref="AE14:AE16" si="213">+BU14+DK14</f>
        <v>226360.43092353438</v>
      </c>
      <c r="AF14" s="106">
        <f t="shared" ref="AF14:AF16" si="214">+BV14+DL14</f>
        <v>154854.45391204016</v>
      </c>
      <c r="AG14" s="106">
        <f t="shared" ref="AG14:AG16" si="215">+BW14+DM14</f>
        <v>201786.11214662943</v>
      </c>
      <c r="AH14" s="106">
        <f t="shared" ref="AH14:AH16" si="216">+BX14+DN14</f>
        <v>148844.15035725382</v>
      </c>
      <c r="AI14" s="106">
        <f t="shared" ref="AI14:AI16" si="217">+BY14+DO14</f>
        <v>175615.63129632096</v>
      </c>
      <c r="AJ14" s="106">
        <f t="shared" ref="AJ14:AJ16" si="218">+BZ14+DP14</f>
        <v>195822.95344605693</v>
      </c>
      <c r="AK14" s="106">
        <f t="shared" ref="AK14:AK16" si="219">+CA14+DQ14</f>
        <v>217744.62011272355</v>
      </c>
      <c r="AL14" s="106">
        <f t="shared" ref="AL14:AL16" si="220">+CB14+DR14</f>
        <v>174339.68379709765</v>
      </c>
      <c r="AM14" s="106">
        <f t="shared" ref="AM14:AM16" si="221">+CC14+DS14</f>
        <v>150480.65237651445</v>
      </c>
      <c r="AN14" s="106">
        <f t="shared" ref="AN14:AN16" si="222">+CD14+DT14</f>
        <v>221872.29796298765</v>
      </c>
      <c r="AO14" s="106">
        <f t="shared" si="153"/>
        <v>2220376.5470643062</v>
      </c>
      <c r="AQ14" s="106">
        <v>66272</v>
      </c>
      <c r="AR14" s="106">
        <v>170769</v>
      </c>
      <c r="AS14" s="106">
        <v>182594</v>
      </c>
      <c r="AT14" s="106">
        <v>81912</v>
      </c>
      <c r="AU14" s="106">
        <v>103691.12</v>
      </c>
      <c r="AV14" s="106">
        <v>125638.72</v>
      </c>
      <c r="AW14" s="106">
        <v>79370</v>
      </c>
      <c r="AX14" s="106">
        <v>112013</v>
      </c>
      <c r="AY14" s="106">
        <v>167847</v>
      </c>
      <c r="AZ14" s="106">
        <v>0</v>
      </c>
      <c r="BA14" s="106">
        <v>95221.67</v>
      </c>
      <c r="BB14" s="106">
        <v>138950</v>
      </c>
      <c r="BC14" s="106">
        <f t="shared" si="179"/>
        <v>1324278.5099999998</v>
      </c>
      <c r="BD14" s="7" t="str">
        <f t="shared" si="47"/>
        <v>Digital and Lead Management</v>
      </c>
      <c r="BE14" s="106">
        <f>+VLOOKUP($BD14,'Jan-25'!$A:$J,2,0)</f>
        <v>109376.75675675676</v>
      </c>
      <c r="BF14" s="106">
        <f>+VLOOKUP($BD14,'Feb-25'!$A:$J,2,0)</f>
        <v>103575</v>
      </c>
      <c r="BG14" s="106">
        <f>+VLOOKUP($BD14,'Mar-25'!$A:$J,2,0)</f>
        <v>121473</v>
      </c>
      <c r="BH14" s="106">
        <f>+VLOOKUP($BD14,'Apr-25'!$A:$J,2,0)</f>
        <v>80322</v>
      </c>
      <c r="BI14" s="106">
        <f>+VLOOKUP($BD14,'May-25'!$A:$J,2,0)</f>
        <v>53173</v>
      </c>
      <c r="BJ14" s="106">
        <f>+VLOOKUP($BD14,'June-25'!$A:$J,2,0)</f>
        <v>131050</v>
      </c>
      <c r="BK14" s="106">
        <f>+VLOOKUP($BD14,'July-25'!$A:$J,2,0)</f>
        <v>121308</v>
      </c>
      <c r="BL14" s="106">
        <f>+VLOOKUP($BD14,'Aug-25'!$A:$J,2,0)</f>
        <v>82676</v>
      </c>
      <c r="BM14" s="106">
        <f>+VLOOKUP($BD14,'Sep-25'!$A:$J,2,0)</f>
        <v>219618</v>
      </c>
      <c r="BN14" s="106">
        <f>+VLOOKUP($BD14,'Oct-25'!$A:$J,2,0)</f>
        <v>160727.34193000005</v>
      </c>
      <c r="BO14" s="106">
        <f>+VLOOKUP($BD14,'Nov-25'!$A:$J,2,0)</f>
        <v>0</v>
      </c>
      <c r="BP14" s="106">
        <f>+VLOOKUP($BD14,'Dec-25'!$A:$J,2,0)</f>
        <v>0</v>
      </c>
      <c r="BQ14" s="106">
        <f t="shared" si="181"/>
        <v>1183299.0986867568</v>
      </c>
      <c r="BS14" s="106" cm="1">
        <f t="array" ref="BS14:CD14">+_xlfn.XLOOKUP(BD14,Budget!A:A,Budget!Q:AB)</f>
        <v>88001.191363777587</v>
      </c>
      <c r="BT14" s="106">
        <v>95994.394221808034</v>
      </c>
      <c r="BU14" s="106">
        <v>149513.26254826257</v>
      </c>
      <c r="BV14" s="106">
        <v>79944.344516930738</v>
      </c>
      <c r="BW14" s="106">
        <v>110706.02205653931</v>
      </c>
      <c r="BX14" s="106">
        <v>84747.278657968331</v>
      </c>
      <c r="BY14" s="106">
        <v>112673.01247059868</v>
      </c>
      <c r="BZ14" s="106">
        <v>124428.71921182268</v>
      </c>
      <c r="CA14" s="106">
        <v>112974.29858429858</v>
      </c>
      <c r="CB14" s="106">
        <v>97618.467580881406</v>
      </c>
      <c r="CC14" s="106">
        <v>82428.288288288299</v>
      </c>
      <c r="CD14" s="106">
        <v>117641.03670172636</v>
      </c>
      <c r="CE14" s="106">
        <f t="shared" si="108"/>
        <v>1256670.3162029025</v>
      </c>
      <c r="CF14" s="22"/>
      <c r="CG14" s="106">
        <v>33428</v>
      </c>
      <c r="CH14" s="106">
        <v>78833.833064999999</v>
      </c>
      <c r="CI14" s="106">
        <v>166486</v>
      </c>
      <c r="CJ14" s="106">
        <v>35425</v>
      </c>
      <c r="CK14" s="106">
        <v>111304.21</v>
      </c>
      <c r="CL14" s="106">
        <v>24265.63</v>
      </c>
      <c r="CM14" s="106">
        <v>97792</v>
      </c>
      <c r="CN14" s="106">
        <v>108282</v>
      </c>
      <c r="CO14" s="106">
        <v>65996</v>
      </c>
      <c r="CP14" s="106">
        <v>0</v>
      </c>
      <c r="CQ14" s="106">
        <v>97523.666450000004</v>
      </c>
      <c r="CR14" s="106">
        <v>66724</v>
      </c>
      <c r="CS14" s="106">
        <f t="shared" si="110"/>
        <v>886060.339515</v>
      </c>
      <c r="CT14" s="7" t="str">
        <f t="shared" si="51"/>
        <v>Digital and Lead Management</v>
      </c>
      <c r="CU14" s="106">
        <f>+VLOOKUP($BD14,'Jan-25'!$A:$J,6,0)</f>
        <v>85001.324324324305</v>
      </c>
      <c r="CV14" s="106">
        <f>+VLOOKUP($BD14,'Feb-25'!$A:$J,6,0)</f>
        <v>44284</v>
      </c>
      <c r="CW14" s="106">
        <f>+VLOOKUP($BD14,'Mar-25'!$A:$J,6,0)</f>
        <v>152353</v>
      </c>
      <c r="CX14" s="106">
        <f>+VLOOKUP($BD14,'Apr-25'!$A:$J,6,0)</f>
        <v>67984</v>
      </c>
      <c r="CY14" s="106">
        <f>+VLOOKUP($BD14,'May-25'!$A:$J,6,0)</f>
        <v>94587</v>
      </c>
      <c r="CZ14" s="106">
        <f>+VLOOKUP($BD14,'June-25'!$A:$J,6,0)</f>
        <v>53160</v>
      </c>
      <c r="DA14" s="106">
        <f>+VLOOKUP($BD14,'July-25'!$A:$J,6,0)</f>
        <v>109374</v>
      </c>
      <c r="DB14" s="106">
        <f>+VLOOKUP($BD14,'Aug-25'!$A:$J,6,0)</f>
        <v>106194</v>
      </c>
      <c r="DC14" s="106">
        <f>+VLOOKUP($BD14,'Sep-25'!$A:$J,6,0)</f>
        <v>112128</v>
      </c>
      <c r="DD14" s="106">
        <f>+VLOOKUP($BD14,'Oct-25'!$A:$J,6,0)</f>
        <v>74621.209969999996</v>
      </c>
      <c r="DE14" s="106">
        <f>+VLOOKUP($BD14,'Nov-25'!$A:$J,6,0)</f>
        <v>0</v>
      </c>
      <c r="DF14" s="106">
        <f>+VLOOKUP($BD14,'Dec-25'!$A:$J,6,0)</f>
        <v>0</v>
      </c>
      <c r="DG14" s="106">
        <f t="shared" ref="DG14:DG16" si="223">+SUM(CU14:DF14)</f>
        <v>899686.53429432423</v>
      </c>
      <c r="DI14" s="106">
        <f>+_xlfn.XLOOKUP($CT14,Budget!$A:$A,Budget!BQ:BQ)</f>
        <v>82140.630630630651</v>
      </c>
      <c r="DJ14" s="106">
        <f>+_xlfn.XLOOKUP($CT14,Budget!$A:$A,Budget!BR:BR)</f>
        <v>86519.344516930738</v>
      </c>
      <c r="DK14" s="106">
        <f>+_xlfn.XLOOKUP($CT14,Budget!$A:$A,Budget!BS:BS)</f>
        <v>76847.168375271824</v>
      </c>
      <c r="DL14" s="106">
        <f>+_xlfn.XLOOKUP($CT14,Budget!$A:$A,Budget!BT:BT)</f>
        <v>74910.109395109408</v>
      </c>
      <c r="DM14" s="106">
        <f>+_xlfn.XLOOKUP($CT14,Budget!$A:$A,Budget!BU:BU)</f>
        <v>91080.090090090103</v>
      </c>
      <c r="DN14" s="106">
        <f>+_xlfn.XLOOKUP($CT14,Budget!$A:$A,Budget!BV:BV)</f>
        <v>64096.871699285497</v>
      </c>
      <c r="DO14" s="106">
        <f>+_xlfn.XLOOKUP($CT14,Budget!$A:$A,Budget!BW:BW)</f>
        <v>62942.618825722282</v>
      </c>
      <c r="DP14" s="106">
        <f>+_xlfn.XLOOKUP($CT14,Budget!$A:$A,Budget!BX:BX)</f>
        <v>71394.234234234245</v>
      </c>
      <c r="DQ14" s="106">
        <f>+_xlfn.XLOOKUP($CT14,Budget!$A:$A,Budget!BY:BY)</f>
        <v>104770.32152842499</v>
      </c>
      <c r="DR14" s="106">
        <f>+_xlfn.XLOOKUP($CT14,Budget!$A:$A,Budget!BZ:BZ)</f>
        <v>76721.216216216228</v>
      </c>
      <c r="DS14" s="106">
        <f>+_xlfn.XLOOKUP($CT14,Budget!$A:$A,Budget!CA:CA)</f>
        <v>68052.364088226168</v>
      </c>
      <c r="DT14" s="106">
        <f>+_xlfn.XLOOKUP($CT14,Budget!$A:$A,Budget!CB:CB)</f>
        <v>104231.26126126129</v>
      </c>
      <c r="DU14" s="106">
        <f t="shared" si="113"/>
        <v>963706.23086140351</v>
      </c>
    </row>
    <row r="15" spans="1:125" ht="14.45" customHeight="1">
      <c r="A15" s="106">
        <f t="shared" si="187"/>
        <v>69357</v>
      </c>
      <c r="B15" s="106">
        <f t="shared" si="188"/>
        <v>173636.66999999998</v>
      </c>
      <c r="C15" s="106">
        <f t="shared" si="189"/>
        <v>242838.44</v>
      </c>
      <c r="D15" s="106">
        <f t="shared" si="190"/>
        <v>123019.863682</v>
      </c>
      <c r="E15" s="106">
        <f t="shared" si="191"/>
        <v>373972.33736</v>
      </c>
      <c r="F15" s="106">
        <f t="shared" si="192"/>
        <v>273738</v>
      </c>
      <c r="G15" s="106">
        <f t="shared" si="193"/>
        <v>193268</v>
      </c>
      <c r="H15" s="106">
        <f t="shared" si="194"/>
        <v>0</v>
      </c>
      <c r="I15" s="106">
        <f t="shared" si="195"/>
        <v>446430.00395758433</v>
      </c>
      <c r="J15" s="106">
        <f t="shared" si="196"/>
        <v>396211.018667</v>
      </c>
      <c r="K15" s="106">
        <f t="shared" si="197"/>
        <v>404767</v>
      </c>
      <c r="L15" s="106">
        <f t="shared" si="198"/>
        <v>246809</v>
      </c>
      <c r="M15" s="106">
        <f t="shared" si="149"/>
        <v>2944047.3336665845</v>
      </c>
      <c r="N15" s="7" t="s">
        <v>13</v>
      </c>
      <c r="O15" s="106">
        <f t="shared" si="199"/>
        <v>388756.16216216219</v>
      </c>
      <c r="P15" s="106">
        <f t="shared" si="200"/>
        <v>295717</v>
      </c>
      <c r="Q15" s="106">
        <f t="shared" si="201"/>
        <v>547653</v>
      </c>
      <c r="R15" s="106">
        <f t="shared" si="202"/>
        <v>296610</v>
      </c>
      <c r="S15" s="106">
        <f t="shared" si="203"/>
        <v>295521</v>
      </c>
      <c r="T15" s="106">
        <f t="shared" si="204"/>
        <v>368419</v>
      </c>
      <c r="U15" s="106">
        <f t="shared" si="205"/>
        <v>461363</v>
      </c>
      <c r="V15" s="106">
        <f t="shared" si="206"/>
        <v>377738</v>
      </c>
      <c r="W15" s="106">
        <f t="shared" si="207"/>
        <v>696666.3</v>
      </c>
      <c r="X15" s="106">
        <f t="shared" si="208"/>
        <v>470698.10380000004</v>
      </c>
      <c r="Y15" s="106">
        <f t="shared" si="209"/>
        <v>0</v>
      </c>
      <c r="Z15" s="106">
        <f t="shared" si="210"/>
        <v>0</v>
      </c>
      <c r="AA15" s="106">
        <f t="shared" si="151"/>
        <v>4199141.5659621619</v>
      </c>
      <c r="AC15" s="106">
        <f t="shared" si="211"/>
        <v>340283.64398881648</v>
      </c>
      <c r="AD15" s="106">
        <f t="shared" si="212"/>
        <v>365027.47747747751</v>
      </c>
      <c r="AE15" s="106">
        <f t="shared" si="213"/>
        <v>452720.86184706877</v>
      </c>
      <c r="AF15" s="106">
        <f t="shared" si="214"/>
        <v>309708.90782408032</v>
      </c>
      <c r="AG15" s="106">
        <f t="shared" si="215"/>
        <v>403572.22429325886</v>
      </c>
      <c r="AH15" s="106">
        <f t="shared" si="216"/>
        <v>297688.30071450764</v>
      </c>
      <c r="AI15" s="106">
        <f t="shared" si="217"/>
        <v>351231.26259264193</v>
      </c>
      <c r="AJ15" s="106">
        <f t="shared" si="218"/>
        <v>391645.90689211385</v>
      </c>
      <c r="AK15" s="106">
        <f t="shared" si="219"/>
        <v>435489.24022544711</v>
      </c>
      <c r="AL15" s="106">
        <f t="shared" si="220"/>
        <v>348679.3675941953</v>
      </c>
      <c r="AM15" s="106">
        <f t="shared" si="221"/>
        <v>300961.3047530289</v>
      </c>
      <c r="AN15" s="106">
        <f t="shared" si="222"/>
        <v>443744.5959259753</v>
      </c>
      <c r="AO15" s="106">
        <f t="shared" si="153"/>
        <v>4440753.0941286124</v>
      </c>
      <c r="AQ15" s="106">
        <v>46103</v>
      </c>
      <c r="AR15" s="106">
        <v>118796</v>
      </c>
      <c r="AS15" s="106">
        <v>127023.29</v>
      </c>
      <c r="AT15" s="106">
        <v>79787.566842</v>
      </c>
      <c r="AU15" s="106">
        <v>180332.66735999999</v>
      </c>
      <c r="AV15" s="106">
        <v>229427</v>
      </c>
      <c r="AW15" s="106">
        <v>86585</v>
      </c>
      <c r="AX15" s="106">
        <v>0</v>
      </c>
      <c r="AY15" s="106">
        <v>320437.41497658432</v>
      </c>
      <c r="AZ15" s="106">
        <v>291881</v>
      </c>
      <c r="BA15" s="106">
        <v>210732</v>
      </c>
      <c r="BB15" s="106">
        <v>166740</v>
      </c>
      <c r="BC15" s="106">
        <f t="shared" si="179"/>
        <v>1857844.9391785844</v>
      </c>
      <c r="BD15" s="7" t="str">
        <f t="shared" si="47"/>
        <v>Customer Experience</v>
      </c>
      <c r="BE15" s="106">
        <f>+VLOOKUP($BD15,'Jan-25'!$A:$J,2,0)</f>
        <v>218753.51351351349</v>
      </c>
      <c r="BF15" s="106">
        <f>+VLOOKUP($BD15,'Feb-25'!$A:$J,2,0)</f>
        <v>207150</v>
      </c>
      <c r="BG15" s="106">
        <f>+VLOOKUP($BD15,'Mar-25'!$A:$J,2,0)</f>
        <v>242946</v>
      </c>
      <c r="BH15" s="106">
        <f>+VLOOKUP($BD15,'Apr-25'!$A:$J,2,0)</f>
        <v>160643</v>
      </c>
      <c r="BI15" s="106">
        <f>+VLOOKUP($BD15,'May-25'!$A:$J,2,0)</f>
        <v>106347</v>
      </c>
      <c r="BJ15" s="106">
        <f>+VLOOKUP($BD15,'June-25'!$A:$J,2,0)</f>
        <v>262099</v>
      </c>
      <c r="BK15" s="106">
        <f>+VLOOKUP($BD15,'July-25'!$A:$J,2,0)</f>
        <v>242616</v>
      </c>
      <c r="BL15" s="106">
        <f>+VLOOKUP($BD15,'Aug-25'!$A:$J,2,0)</f>
        <v>165351</v>
      </c>
      <c r="BM15" s="106">
        <f>+VLOOKUP($BD15,'Sep-25'!$A:$J,2,0)</f>
        <v>461199.3</v>
      </c>
      <c r="BN15" s="106">
        <f>+VLOOKUP($BD15,'Oct-25'!$A:$J,2,0)</f>
        <v>321455.68386000005</v>
      </c>
      <c r="BO15" s="106">
        <f>+VLOOKUP($BD15,'Nov-25'!$A:$J,2,0)</f>
        <v>0</v>
      </c>
      <c r="BP15" s="106">
        <f>+VLOOKUP($BD15,'Dec-25'!$A:$J,2,0)</f>
        <v>0</v>
      </c>
      <c r="BQ15" s="106">
        <f t="shared" si="181"/>
        <v>2388560.4973735134</v>
      </c>
      <c r="BS15" s="106" cm="1">
        <f t="array" ref="BS15:CD15">+_xlfn.XLOOKUP(BD15,Budget!A:A,Budget!Q:AB)</f>
        <v>176002.38272755517</v>
      </c>
      <c r="BT15" s="106">
        <v>191988.78844361607</v>
      </c>
      <c r="BU15" s="106">
        <v>299026.52509652515</v>
      </c>
      <c r="BV15" s="106">
        <v>159888.68903386148</v>
      </c>
      <c r="BW15" s="106">
        <v>221412.04411307862</v>
      </c>
      <c r="BX15" s="106">
        <v>169494.55731593666</v>
      </c>
      <c r="BY15" s="106">
        <v>225346.02494119736</v>
      </c>
      <c r="BZ15" s="106">
        <v>248857.43842364536</v>
      </c>
      <c r="CA15" s="106">
        <v>225948.59716859716</v>
      </c>
      <c r="CB15" s="106">
        <v>195236.93516176281</v>
      </c>
      <c r="CC15" s="106">
        <v>164856.5765765766</v>
      </c>
      <c r="CD15" s="106">
        <v>235282.07340345273</v>
      </c>
      <c r="CE15" s="106">
        <f t="shared" si="108"/>
        <v>2513340.6324058049</v>
      </c>
      <c r="CF15" s="22"/>
      <c r="CG15" s="106">
        <v>23254</v>
      </c>
      <c r="CH15" s="106">
        <v>54840.67</v>
      </c>
      <c r="CI15" s="106">
        <v>115815.15</v>
      </c>
      <c r="CJ15" s="106">
        <v>43232.296840000003</v>
      </c>
      <c r="CK15" s="106">
        <v>193639.67</v>
      </c>
      <c r="CL15" s="106">
        <v>44311</v>
      </c>
      <c r="CM15" s="106">
        <v>106683</v>
      </c>
      <c r="CN15" s="106">
        <v>0</v>
      </c>
      <c r="CO15" s="106">
        <v>125992.58898099999</v>
      </c>
      <c r="CP15" s="106">
        <v>104330.018667</v>
      </c>
      <c r="CQ15" s="106">
        <v>194035</v>
      </c>
      <c r="CR15" s="106">
        <v>80069</v>
      </c>
      <c r="CS15" s="106">
        <f t="shared" si="110"/>
        <v>1086202.3944879998</v>
      </c>
      <c r="CT15" s="7" t="str">
        <f t="shared" si="51"/>
        <v>Customer Experience</v>
      </c>
      <c r="CU15" s="106">
        <f>+VLOOKUP($BD15,'Jan-25'!$A:$J,6,0)</f>
        <v>170002.6486486487</v>
      </c>
      <c r="CV15" s="106">
        <f>+VLOOKUP($BD15,'Feb-25'!$A:$J,6,0)</f>
        <v>88567</v>
      </c>
      <c r="CW15" s="106">
        <f>+VLOOKUP($BD15,'Mar-25'!$A:$J,6,0)</f>
        <v>304707</v>
      </c>
      <c r="CX15" s="106">
        <f>+VLOOKUP($BD15,'Apr-25'!$A:$J,6,0)</f>
        <v>135967</v>
      </c>
      <c r="CY15" s="106">
        <f>+VLOOKUP($BD15,'May-25'!$A:$J,6,0)</f>
        <v>189174</v>
      </c>
      <c r="CZ15" s="106">
        <f>+VLOOKUP($BD15,'June-25'!$A:$J,6,0)</f>
        <v>106320</v>
      </c>
      <c r="DA15" s="106">
        <f>+VLOOKUP($BD15,'July-25'!$A:$J,6,0)</f>
        <v>218747</v>
      </c>
      <c r="DB15" s="106">
        <f>+VLOOKUP($BD15,'Aug-25'!$A:$J,6,0)</f>
        <v>212387</v>
      </c>
      <c r="DC15" s="106">
        <f>+VLOOKUP($BD15,'Sep-25'!$A:$J,6,0)</f>
        <v>235467</v>
      </c>
      <c r="DD15" s="106">
        <f>+VLOOKUP($BD15,'Oct-25'!$A:$J,6,0)</f>
        <v>149242.41993999999</v>
      </c>
      <c r="DE15" s="106">
        <f>+VLOOKUP($BD15,'Nov-25'!$A:$J,6,0)</f>
        <v>0</v>
      </c>
      <c r="DF15" s="106">
        <f>+VLOOKUP($BD15,'Dec-25'!$A:$J,6,0)</f>
        <v>0</v>
      </c>
      <c r="DG15" s="106">
        <f t="shared" si="223"/>
        <v>1810581.0685886487</v>
      </c>
      <c r="DI15" s="106">
        <f>+_xlfn.XLOOKUP($CT15,Budget!$A:$A,Budget!BQ:BQ)</f>
        <v>164281.2612612613</v>
      </c>
      <c r="DJ15" s="106">
        <f>+_xlfn.XLOOKUP($CT15,Budget!$A:$A,Budget!BR:BR)</f>
        <v>173038.68903386148</v>
      </c>
      <c r="DK15" s="106">
        <f>+_xlfn.XLOOKUP($CT15,Budget!$A:$A,Budget!BS:BS)</f>
        <v>153694.33675054365</v>
      </c>
      <c r="DL15" s="106">
        <f>+_xlfn.XLOOKUP($CT15,Budget!$A:$A,Budget!BT:BT)</f>
        <v>149820.21879021882</v>
      </c>
      <c r="DM15" s="106">
        <f>+_xlfn.XLOOKUP($CT15,Budget!$A:$A,Budget!BU:BU)</f>
        <v>182160.18018018021</v>
      </c>
      <c r="DN15" s="106">
        <f>+_xlfn.XLOOKUP($CT15,Budget!$A:$A,Budget!BV:BV)</f>
        <v>128193.74339857099</v>
      </c>
      <c r="DO15" s="106">
        <f>+_xlfn.XLOOKUP($CT15,Budget!$A:$A,Budget!BW:BW)</f>
        <v>125885.23765144456</v>
      </c>
      <c r="DP15" s="106">
        <f>+_xlfn.XLOOKUP($CT15,Budget!$A:$A,Budget!BX:BX)</f>
        <v>142788.46846846849</v>
      </c>
      <c r="DQ15" s="106">
        <f>+_xlfn.XLOOKUP($CT15,Budget!$A:$A,Budget!BY:BY)</f>
        <v>209540.64305684998</v>
      </c>
      <c r="DR15" s="106">
        <f>+_xlfn.XLOOKUP($CT15,Budget!$A:$A,Budget!BZ:BZ)</f>
        <v>153442.43243243246</v>
      </c>
      <c r="DS15" s="106">
        <f>+_xlfn.XLOOKUP($CT15,Budget!$A:$A,Budget!CA:CA)</f>
        <v>136104.72817645234</v>
      </c>
      <c r="DT15" s="106">
        <f>+_xlfn.XLOOKUP($CT15,Budget!$A:$A,Budget!CB:CB)</f>
        <v>208462.52252252257</v>
      </c>
      <c r="DU15" s="106">
        <f t="shared" si="113"/>
        <v>1927412.461722807</v>
      </c>
    </row>
    <row r="16" spans="1:125" ht="14.45" customHeight="1">
      <c r="A16" s="106">
        <f t="shared" si="187"/>
        <v>173392</v>
      </c>
      <c r="B16" s="106">
        <f t="shared" si="188"/>
        <v>434093</v>
      </c>
      <c r="C16" s="106">
        <f t="shared" si="189"/>
        <v>616250</v>
      </c>
      <c r="D16" s="106">
        <f t="shared" si="190"/>
        <v>205033.74937999999</v>
      </c>
      <c r="E16" s="106">
        <f t="shared" si="191"/>
        <v>180332.67</v>
      </c>
      <c r="F16" s="106">
        <f t="shared" si="192"/>
        <v>260703</v>
      </c>
      <c r="G16" s="106">
        <f t="shared" si="193"/>
        <v>322113.66000000003</v>
      </c>
      <c r="H16" s="106">
        <f t="shared" si="194"/>
        <v>0</v>
      </c>
      <c r="I16" s="106">
        <f t="shared" si="195"/>
        <v>0</v>
      </c>
      <c r="J16" s="106">
        <f t="shared" si="196"/>
        <v>0</v>
      </c>
      <c r="K16" s="106">
        <f t="shared" si="197"/>
        <v>395130</v>
      </c>
      <c r="L16" s="106">
        <f t="shared" si="198"/>
        <v>246809</v>
      </c>
      <c r="M16" s="106">
        <f t="shared" si="149"/>
        <v>2833857.07938</v>
      </c>
      <c r="N16" s="7" t="s">
        <v>14</v>
      </c>
      <c r="O16" s="106">
        <f t="shared" si="199"/>
        <v>388756.16216216219</v>
      </c>
      <c r="P16" s="106">
        <f t="shared" si="200"/>
        <v>310503</v>
      </c>
      <c r="Q16" s="106">
        <f t="shared" si="201"/>
        <v>547653</v>
      </c>
      <c r="R16" s="106">
        <f t="shared" si="202"/>
        <v>296610</v>
      </c>
      <c r="S16" s="106">
        <f t="shared" si="203"/>
        <v>295521</v>
      </c>
      <c r="T16" s="106">
        <f t="shared" si="204"/>
        <v>368419</v>
      </c>
      <c r="U16" s="106">
        <f t="shared" si="205"/>
        <v>461363</v>
      </c>
      <c r="V16" s="106">
        <f t="shared" si="206"/>
        <v>377738</v>
      </c>
      <c r="W16" s="106">
        <f t="shared" si="207"/>
        <v>331746</v>
      </c>
      <c r="X16" s="106">
        <f t="shared" si="208"/>
        <v>470698.1038000001</v>
      </c>
      <c r="Y16" s="106">
        <f t="shared" si="209"/>
        <v>0</v>
      </c>
      <c r="Z16" s="106">
        <f t="shared" si="210"/>
        <v>0</v>
      </c>
      <c r="AA16" s="106">
        <f t="shared" si="151"/>
        <v>3849007.2659621625</v>
      </c>
      <c r="AC16" s="106">
        <f t="shared" si="211"/>
        <v>340283.64398881648</v>
      </c>
      <c r="AD16" s="106">
        <f t="shared" si="212"/>
        <v>365027.47747747751</v>
      </c>
      <c r="AE16" s="106">
        <f t="shared" si="213"/>
        <v>452720.86184706877</v>
      </c>
      <c r="AF16" s="106">
        <f t="shared" si="214"/>
        <v>309708.90782408032</v>
      </c>
      <c r="AG16" s="106">
        <f t="shared" si="215"/>
        <v>403572.22429325886</v>
      </c>
      <c r="AH16" s="106">
        <f t="shared" si="216"/>
        <v>297688.30071450764</v>
      </c>
      <c r="AI16" s="106">
        <f t="shared" si="217"/>
        <v>351231.26259264193</v>
      </c>
      <c r="AJ16" s="106">
        <f t="shared" si="218"/>
        <v>391645.90689211385</v>
      </c>
      <c r="AK16" s="106">
        <f t="shared" si="219"/>
        <v>435489.24022544711</v>
      </c>
      <c r="AL16" s="106">
        <f t="shared" si="220"/>
        <v>348679.3675941953</v>
      </c>
      <c r="AM16" s="106">
        <f t="shared" si="221"/>
        <v>300961.3047530289</v>
      </c>
      <c r="AN16" s="106">
        <f t="shared" si="222"/>
        <v>443744.5959259753</v>
      </c>
      <c r="AO16" s="106">
        <f t="shared" si="153"/>
        <v>4440753.0941286124</v>
      </c>
      <c r="AQ16" s="106">
        <v>115256</v>
      </c>
      <c r="AR16" s="106">
        <v>296989</v>
      </c>
      <c r="AS16" s="106">
        <v>325495</v>
      </c>
      <c r="AT16" s="106">
        <v>143391.28372000001</v>
      </c>
      <c r="AU16" s="106">
        <v>180332.67</v>
      </c>
      <c r="AV16" s="106">
        <v>218502</v>
      </c>
      <c r="AW16" s="106">
        <v>144309.96</v>
      </c>
      <c r="AX16" s="106">
        <v>0</v>
      </c>
      <c r="AY16" s="106">
        <v>0</v>
      </c>
      <c r="AZ16" s="106">
        <v>0</v>
      </c>
      <c r="BA16" s="106">
        <v>205715</v>
      </c>
      <c r="BB16" s="106">
        <v>166740</v>
      </c>
      <c r="BC16" s="106">
        <f t="shared" si="179"/>
        <v>1796730.9137199998</v>
      </c>
      <c r="BD16" s="7" t="str">
        <f t="shared" si="47"/>
        <v>Marketing And Process Steering</v>
      </c>
      <c r="BE16" s="106">
        <f>+VLOOKUP($BD16,'Jan-25'!$A:$J,2,0)</f>
        <v>218753.51351351349</v>
      </c>
      <c r="BF16" s="106">
        <f>+VLOOKUP($BD16,'Feb-25'!$A:$J,2,0)</f>
        <v>217507</v>
      </c>
      <c r="BG16" s="106">
        <f>+VLOOKUP($BD16,'Mar-25'!$A:$J,2,0)</f>
        <v>242946</v>
      </c>
      <c r="BH16" s="106">
        <f>+VLOOKUP($BD16,'Apr-25'!$A:$J,2,0)</f>
        <v>160643</v>
      </c>
      <c r="BI16" s="106">
        <f>+VLOOKUP($BD16,'May-25'!$A:$J,2,0)</f>
        <v>106347</v>
      </c>
      <c r="BJ16" s="106">
        <f>+VLOOKUP($BD16,'June-25'!$A:$J,2,0)</f>
        <v>262099</v>
      </c>
      <c r="BK16" s="106">
        <f>+VLOOKUP($BD16,'July-25'!$A:$J,2,0)</f>
        <v>242616</v>
      </c>
      <c r="BL16" s="106">
        <f>+VLOOKUP($BD16,'Aug-25'!$A:$J,2,0)</f>
        <v>165351</v>
      </c>
      <c r="BM16" s="106">
        <f>+VLOOKUP($BD16,'Sep-25'!$A:$J,2,0)</f>
        <v>219619</v>
      </c>
      <c r="BN16" s="106">
        <f>+VLOOKUP($BD16,'Oct-25'!$A:$J,2,0)</f>
        <v>321455.68386000011</v>
      </c>
      <c r="BO16" s="106">
        <f>+VLOOKUP($BD16,'Nov-25'!$A:$J,2,0)</f>
        <v>0</v>
      </c>
      <c r="BP16" s="106">
        <f>+VLOOKUP($BD16,'Dec-25'!$A:$J,2,0)</f>
        <v>0</v>
      </c>
      <c r="BQ16" s="106">
        <f t="shared" si="181"/>
        <v>2157337.1973735136</v>
      </c>
      <c r="BS16" s="106" cm="1">
        <f t="array" ref="BS16:CD16">+_xlfn.XLOOKUP(BD16,Budget!A:A,Budget!Q:AB)</f>
        <v>176002.38272755517</v>
      </c>
      <c r="BT16" s="106">
        <v>191988.78844361607</v>
      </c>
      <c r="BU16" s="106">
        <v>299026.52509652515</v>
      </c>
      <c r="BV16" s="106">
        <v>159888.68903386148</v>
      </c>
      <c r="BW16" s="106">
        <v>221412.04411307862</v>
      </c>
      <c r="BX16" s="106">
        <v>169494.55731593666</v>
      </c>
      <c r="BY16" s="106">
        <v>225346.02494119736</v>
      </c>
      <c r="BZ16" s="106">
        <v>248857.43842364536</v>
      </c>
      <c r="CA16" s="106">
        <v>225948.59716859716</v>
      </c>
      <c r="CB16" s="106">
        <v>195236.93516176281</v>
      </c>
      <c r="CC16" s="106">
        <v>164856.5765765766</v>
      </c>
      <c r="CD16" s="106">
        <v>235282.07340345273</v>
      </c>
      <c r="CE16" s="106">
        <f t="shared" si="108"/>
        <v>2513340.6324058049</v>
      </c>
      <c r="CF16" s="22"/>
      <c r="CG16" s="106">
        <v>58136</v>
      </c>
      <c r="CH16" s="106">
        <v>137104</v>
      </c>
      <c r="CI16" s="106">
        <v>290755</v>
      </c>
      <c r="CJ16" s="106">
        <v>61642.465660000002</v>
      </c>
      <c r="CK16" s="106">
        <v>0</v>
      </c>
      <c r="CL16" s="106">
        <v>42201</v>
      </c>
      <c r="CM16" s="106">
        <v>177803.7</v>
      </c>
      <c r="CN16" s="106">
        <v>0</v>
      </c>
      <c r="CO16" s="106">
        <v>0</v>
      </c>
      <c r="CP16" s="106">
        <v>0</v>
      </c>
      <c r="CQ16" s="106">
        <v>189415</v>
      </c>
      <c r="CR16" s="106">
        <v>80069</v>
      </c>
      <c r="CS16" s="106">
        <f t="shared" si="110"/>
        <v>1037126.1656599999</v>
      </c>
      <c r="CT16" s="7" t="str">
        <f t="shared" si="51"/>
        <v>Marketing And Process Steering</v>
      </c>
      <c r="CU16" s="106">
        <f>+VLOOKUP($BD16,'Jan-25'!$A:$J,6,0)</f>
        <v>170002.6486486487</v>
      </c>
      <c r="CV16" s="106">
        <f>+VLOOKUP($BD16,'Feb-25'!$A:$J,6,0)</f>
        <v>92996</v>
      </c>
      <c r="CW16" s="106">
        <f>+VLOOKUP($BD16,'Mar-25'!$A:$J,6,0)</f>
        <v>304707</v>
      </c>
      <c r="CX16" s="106">
        <f>+VLOOKUP($BD16,'Apr-25'!$A:$J,6,0)</f>
        <v>135967</v>
      </c>
      <c r="CY16" s="106">
        <f>+VLOOKUP($BD16,'May-25'!$A:$J,6,0)</f>
        <v>189174</v>
      </c>
      <c r="CZ16" s="106">
        <f>+VLOOKUP($BD16,'June-25'!$A:$J,6,0)</f>
        <v>106320</v>
      </c>
      <c r="DA16" s="106">
        <f>+VLOOKUP($BD16,'July-25'!$A:$J,6,0)</f>
        <v>218747</v>
      </c>
      <c r="DB16" s="106">
        <f>+VLOOKUP($BD16,'Aug-25'!$A:$J,6,0)</f>
        <v>212387</v>
      </c>
      <c r="DC16" s="106">
        <f>+VLOOKUP($BD16,'Sep-25'!$A:$J,6,0)</f>
        <v>112127</v>
      </c>
      <c r="DD16" s="106">
        <f>+VLOOKUP($BD16,'Oct-25'!$A:$J,6,0)</f>
        <v>149242.41993999999</v>
      </c>
      <c r="DE16" s="106">
        <f>+VLOOKUP($BD16,'Nov-25'!$A:$J,6,0)</f>
        <v>0</v>
      </c>
      <c r="DF16" s="106">
        <f>+VLOOKUP($BD16,'Dec-25'!$A:$J,6,0)</f>
        <v>0</v>
      </c>
      <c r="DG16" s="106">
        <f t="shared" si="223"/>
        <v>1691670.0685886487</v>
      </c>
      <c r="DI16" s="106">
        <f>+_xlfn.XLOOKUP($CT16,Budget!$A:$A,Budget!BQ:BQ)</f>
        <v>164281.2612612613</v>
      </c>
      <c r="DJ16" s="106">
        <f>+_xlfn.XLOOKUP($CT16,Budget!$A:$A,Budget!BR:BR)</f>
        <v>173038.68903386148</v>
      </c>
      <c r="DK16" s="106">
        <f>+_xlfn.XLOOKUP($CT16,Budget!$A:$A,Budget!BS:BS)</f>
        <v>153694.33675054365</v>
      </c>
      <c r="DL16" s="106">
        <f>+_xlfn.XLOOKUP($CT16,Budget!$A:$A,Budget!BT:BT)</f>
        <v>149820.21879021882</v>
      </c>
      <c r="DM16" s="106">
        <f>+_xlfn.XLOOKUP($CT16,Budget!$A:$A,Budget!BU:BU)</f>
        <v>182160.18018018021</v>
      </c>
      <c r="DN16" s="106">
        <f>+_xlfn.XLOOKUP($CT16,Budget!$A:$A,Budget!BV:BV)</f>
        <v>128193.74339857099</v>
      </c>
      <c r="DO16" s="106">
        <f>+_xlfn.XLOOKUP($CT16,Budget!$A:$A,Budget!BW:BW)</f>
        <v>125885.23765144456</v>
      </c>
      <c r="DP16" s="106">
        <f>+_xlfn.XLOOKUP($CT16,Budget!$A:$A,Budget!BX:BX)</f>
        <v>142788.46846846849</v>
      </c>
      <c r="DQ16" s="106">
        <f>+_xlfn.XLOOKUP($CT16,Budget!$A:$A,Budget!BY:BY)</f>
        <v>209540.64305684998</v>
      </c>
      <c r="DR16" s="106">
        <f>+_xlfn.XLOOKUP($CT16,Budget!$A:$A,Budget!BZ:BZ)</f>
        <v>153442.43243243246</v>
      </c>
      <c r="DS16" s="106">
        <f>+_xlfn.XLOOKUP($CT16,Budget!$A:$A,Budget!CA:CA)</f>
        <v>136104.72817645234</v>
      </c>
      <c r="DT16" s="106">
        <f>+_xlfn.XLOOKUP($CT16,Budget!$A:$A,Budget!CB:CB)</f>
        <v>208462.52252252257</v>
      </c>
      <c r="DU16" s="106">
        <f t="shared" si="113"/>
        <v>1927412.461722807</v>
      </c>
    </row>
    <row r="17" spans="1:125" ht="14.45" customHeight="1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8" t="s">
        <v>15</v>
      </c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Q17" s="106">
        <v>0</v>
      </c>
      <c r="AR17" s="106">
        <v>0</v>
      </c>
      <c r="AS17" s="106">
        <v>0</v>
      </c>
      <c r="AT17" s="106">
        <v>0</v>
      </c>
      <c r="AU17" s="106">
        <v>0</v>
      </c>
      <c r="AV17" s="106">
        <v>0</v>
      </c>
      <c r="AW17" s="106">
        <v>0</v>
      </c>
      <c r="AX17" s="106">
        <v>0</v>
      </c>
      <c r="AY17" s="106">
        <v>0</v>
      </c>
      <c r="AZ17" s="106">
        <v>0</v>
      </c>
      <c r="BA17" s="106">
        <v>0</v>
      </c>
      <c r="BB17" s="106">
        <v>0</v>
      </c>
      <c r="BC17" s="106"/>
      <c r="BD17" s="8" t="str">
        <f t="shared" si="47"/>
        <v>Sales Demo Car</v>
      </c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  <c r="CF17" s="22"/>
      <c r="CG17" s="106"/>
      <c r="CH17" s="106"/>
      <c r="CI17" s="106"/>
      <c r="CJ17" s="106"/>
      <c r="CK17" s="106"/>
      <c r="CL17" s="106"/>
      <c r="CM17" s="106"/>
      <c r="CN17" s="106"/>
      <c r="CO17" s="106"/>
      <c r="CP17" s="106"/>
      <c r="CQ17" s="106"/>
      <c r="CR17" s="106"/>
      <c r="CS17" s="106"/>
      <c r="CT17" s="8" t="str">
        <f t="shared" si="51"/>
        <v>Sales Demo Car</v>
      </c>
      <c r="CU17" s="106"/>
      <c r="CV17" s="106"/>
      <c r="CW17" s="106"/>
      <c r="CX17" s="106"/>
      <c r="CY17" s="106"/>
      <c r="CZ17" s="106"/>
      <c r="DA17" s="106"/>
      <c r="DB17" s="106"/>
      <c r="DC17" s="106"/>
      <c r="DD17" s="106"/>
      <c r="DE17" s="106"/>
      <c r="DF17" s="106"/>
      <c r="DG17" s="106"/>
      <c r="DI17" s="106"/>
      <c r="DJ17" s="106"/>
      <c r="DK17" s="106"/>
      <c r="DL17" s="106"/>
      <c r="DM17" s="106"/>
      <c r="DN17" s="106"/>
      <c r="DO17" s="106"/>
      <c r="DP17" s="106"/>
      <c r="DQ17" s="106"/>
      <c r="DR17" s="106"/>
      <c r="DS17" s="106"/>
      <c r="DT17" s="106"/>
      <c r="DU17" s="106"/>
    </row>
    <row r="18" spans="1:125" ht="14.45" customHeight="1">
      <c r="A18" s="105">
        <f t="shared" ref="A18:A21" si="224">+AQ18+CG18</f>
        <v>5</v>
      </c>
      <c r="B18" s="105">
        <f t="shared" ref="B18:B21" si="225">+AR18+CH18</f>
        <v>3</v>
      </c>
      <c r="C18" s="105">
        <f t="shared" ref="C18:C21" si="226">+AS18+CI18</f>
        <v>0</v>
      </c>
      <c r="D18" s="105">
        <f t="shared" ref="D18:D21" si="227">+AT18+CJ18</f>
        <v>2</v>
      </c>
      <c r="E18" s="105">
        <f t="shared" ref="E18:E21" si="228">+AU18+CK18</f>
        <v>4</v>
      </c>
      <c r="F18" s="105">
        <f t="shared" ref="F18:F21" si="229">+AV18+CL18</f>
        <v>6</v>
      </c>
      <c r="G18" s="105">
        <f t="shared" ref="G18:G21" si="230">+AW18+CM18</f>
        <v>6</v>
      </c>
      <c r="H18" s="105">
        <f t="shared" ref="H18:H21" si="231">+AX18+CN18</f>
        <v>6</v>
      </c>
      <c r="I18" s="105">
        <f t="shared" ref="I18:I21" si="232">+AY18+CO18</f>
        <v>0</v>
      </c>
      <c r="J18" s="105">
        <f t="shared" ref="J18:J21" si="233">+AZ18+CP18</f>
        <v>3</v>
      </c>
      <c r="K18" s="105">
        <f t="shared" ref="K18:K21" si="234">+BA18+CQ18</f>
        <v>5</v>
      </c>
      <c r="L18" s="105">
        <f t="shared" ref="L18:L21" si="235">+BB18+CR18</f>
        <v>11</v>
      </c>
      <c r="M18" s="105">
        <f t="shared" si="149"/>
        <v>51</v>
      </c>
      <c r="N18" s="9" t="s">
        <v>16</v>
      </c>
      <c r="O18" s="105">
        <f t="shared" ref="O18:O21" si="236">+BE18+CU18</f>
        <v>4</v>
      </c>
      <c r="P18" s="105">
        <f t="shared" ref="P18:P21" si="237">+BF18+CV18</f>
        <v>5</v>
      </c>
      <c r="Q18" s="105">
        <f t="shared" ref="Q18:Q21" si="238">+BG18+CW18</f>
        <v>7</v>
      </c>
      <c r="R18" s="105">
        <f t="shared" ref="R18:R21" si="239">+BH18+CX18</f>
        <v>2</v>
      </c>
      <c r="S18" s="105">
        <f t="shared" ref="S18:S21" si="240">+BI18+CY18</f>
        <v>1</v>
      </c>
      <c r="T18" s="105">
        <f t="shared" ref="T18:T21" si="241">+BJ18+CZ18</f>
        <v>5</v>
      </c>
      <c r="U18" s="105">
        <f t="shared" ref="U18:U21" si="242">+BK18+DA18</f>
        <v>1</v>
      </c>
      <c r="V18" s="105">
        <f t="shared" ref="V18:V21" si="243">+BL18+DB18</f>
        <v>4</v>
      </c>
      <c r="W18" s="105">
        <f t="shared" ref="W18:W21" si="244">+BM18+DC18</f>
        <v>13</v>
      </c>
      <c r="X18" s="105">
        <f t="shared" ref="X18:X21" si="245">+BN18+DD18</f>
        <v>1</v>
      </c>
      <c r="Y18" s="105">
        <f t="shared" ref="Y18:Y21" si="246">+BO18+DE18</f>
        <v>0</v>
      </c>
      <c r="Z18" s="105">
        <f t="shared" ref="Z18:Z21" si="247">+BP18+DF18</f>
        <v>0</v>
      </c>
      <c r="AA18" s="105">
        <f t="shared" ref="AA18:AA21" si="248">+SUM(O18:Z18)</f>
        <v>43</v>
      </c>
      <c r="AC18" s="105">
        <f t="shared" ref="AC18:AC21" si="249">+BS18+DI18</f>
        <v>0</v>
      </c>
      <c r="AD18" s="105">
        <f t="shared" ref="AD18:AD21" si="250">+BT18+DJ18</f>
        <v>0</v>
      </c>
      <c r="AE18" s="105">
        <f t="shared" ref="AE18:AE21" si="251">+BU18+DK18</f>
        <v>0</v>
      </c>
      <c r="AF18" s="105">
        <f t="shared" ref="AF18:AF21" si="252">+BV18+DL18</f>
        <v>0</v>
      </c>
      <c r="AG18" s="105">
        <f t="shared" ref="AG18:AG21" si="253">+BW18+DM18</f>
        <v>0</v>
      </c>
      <c r="AH18" s="105">
        <f t="shared" ref="AH18:AH21" si="254">+BX18+DN18</f>
        <v>0</v>
      </c>
      <c r="AI18" s="105">
        <f t="shared" ref="AI18:AI21" si="255">+BY18+DO18</f>
        <v>0</v>
      </c>
      <c r="AJ18" s="105">
        <f t="shared" ref="AJ18:AJ21" si="256">+BZ18+DP18</f>
        <v>0</v>
      </c>
      <c r="AK18" s="105">
        <f t="shared" ref="AK18:AK21" si="257">+CA18+DQ18</f>
        <v>0</v>
      </c>
      <c r="AL18" s="105">
        <f t="shared" ref="AL18:AL21" si="258">+CB18+DR18</f>
        <v>0</v>
      </c>
      <c r="AM18" s="105">
        <f t="shared" ref="AM18:AM21" si="259">+CC18+DS18</f>
        <v>0</v>
      </c>
      <c r="AN18" s="105">
        <f t="shared" ref="AN18:AN21" si="260">+CD18+DT18</f>
        <v>0</v>
      </c>
      <c r="AO18" s="105">
        <f t="shared" ref="AO18:AO21" si="261">+SUM(AC18:AN18)</f>
        <v>0</v>
      </c>
      <c r="AQ18" s="105">
        <v>5</v>
      </c>
      <c r="AR18" s="105">
        <v>3</v>
      </c>
      <c r="AS18" s="105">
        <v>0</v>
      </c>
      <c r="AT18" s="105">
        <v>2</v>
      </c>
      <c r="AU18" s="105">
        <v>4</v>
      </c>
      <c r="AV18" s="105">
        <v>6</v>
      </c>
      <c r="AW18" s="105">
        <v>6</v>
      </c>
      <c r="AX18" s="105">
        <v>6</v>
      </c>
      <c r="AY18" s="105">
        <v>0</v>
      </c>
      <c r="AZ18" s="105">
        <v>3</v>
      </c>
      <c r="BA18" s="105">
        <v>5</v>
      </c>
      <c r="BB18" s="105">
        <v>7</v>
      </c>
      <c r="BC18" s="105">
        <f>+SUM(AQ18:BB18)</f>
        <v>47</v>
      </c>
      <c r="BD18" s="9" t="str">
        <f t="shared" si="47"/>
        <v>No of Cars Sold</v>
      </c>
      <c r="BE18" s="105">
        <f>+'Jan-25'!$B$18</f>
        <v>4</v>
      </c>
      <c r="BF18" s="105">
        <f>+'Feb-25'!$B$18</f>
        <v>5</v>
      </c>
      <c r="BG18" s="105">
        <f>+'Mar-25'!$B$18</f>
        <v>6</v>
      </c>
      <c r="BH18" s="105">
        <f>+'Apr-25'!$B$18</f>
        <v>2</v>
      </c>
      <c r="BI18" s="105">
        <f>+'May-25'!$B$18</f>
        <v>1</v>
      </c>
      <c r="BJ18" s="105">
        <f>+'June-25'!$B$18</f>
        <v>5</v>
      </c>
      <c r="BK18" s="105">
        <f>+'July-25'!$B$18</f>
        <v>1</v>
      </c>
      <c r="BL18" s="105">
        <f>+'Aug-25'!$B$18</f>
        <v>4</v>
      </c>
      <c r="BM18" s="105">
        <f>+'Sep-25'!$B$18</f>
        <v>13</v>
      </c>
      <c r="BN18" s="105">
        <f>+'Oct-25'!$B$18</f>
        <v>1</v>
      </c>
      <c r="BO18" s="105">
        <f>+'Nov-25'!$B$18</f>
        <v>0</v>
      </c>
      <c r="BP18" s="105">
        <f>+'Dec-25'!$B$18</f>
        <v>0</v>
      </c>
      <c r="BQ18" s="105">
        <f>+SUM(BE18:BP18)</f>
        <v>42</v>
      </c>
      <c r="BS18" s="105"/>
      <c r="BT18" s="105"/>
      <c r="BU18" s="105"/>
      <c r="BV18" s="105"/>
      <c r="BW18" s="105"/>
      <c r="BX18" s="105"/>
      <c r="BY18" s="105"/>
      <c r="BZ18" s="105"/>
      <c r="CA18" s="105"/>
      <c r="CB18" s="105"/>
      <c r="CC18" s="105"/>
      <c r="CD18" s="105"/>
      <c r="CE18" s="105"/>
      <c r="CF18" s="22"/>
      <c r="CG18" s="105"/>
      <c r="CH18" s="105"/>
      <c r="CI18" s="105"/>
      <c r="CJ18" s="105"/>
      <c r="CK18" s="105"/>
      <c r="CL18" s="105"/>
      <c r="CM18" s="105"/>
      <c r="CN18" s="105"/>
      <c r="CO18" s="105"/>
      <c r="CP18" s="105"/>
      <c r="CQ18" s="105"/>
      <c r="CR18" s="105">
        <v>4</v>
      </c>
      <c r="CS18" s="105">
        <f>+SUM(CG18:CR18)</f>
        <v>4</v>
      </c>
      <c r="CT18" s="9" t="str">
        <f t="shared" si="51"/>
        <v>No of Cars Sold</v>
      </c>
      <c r="CU18" s="105">
        <f>+'Jan-25'!$F$18</f>
        <v>0</v>
      </c>
      <c r="CV18" s="105">
        <f>+'Feb-25'!$F$18</f>
        <v>0</v>
      </c>
      <c r="CW18" s="105">
        <f>+'Mar-25'!$F$18</f>
        <v>1</v>
      </c>
      <c r="CX18" s="105">
        <f>+'Apr-25'!$F$18</f>
        <v>0</v>
      </c>
      <c r="CY18" s="105">
        <f>+'May-25'!$F$18</f>
        <v>0</v>
      </c>
      <c r="CZ18" s="105">
        <f>+'June-25'!$F$18</f>
        <v>0</v>
      </c>
      <c r="DA18" s="105">
        <f>+'July-25'!$F$18</f>
        <v>0</v>
      </c>
      <c r="DB18" s="105">
        <f>+'Aug-25'!$F$18</f>
        <v>0</v>
      </c>
      <c r="DC18" s="105">
        <f>+'Sep-25'!$F$18</f>
        <v>0</v>
      </c>
      <c r="DD18" s="105">
        <f>+'Oct-25'!$F$18</f>
        <v>0</v>
      </c>
      <c r="DE18" s="105">
        <f>+'Nov-25'!$F$18</f>
        <v>0</v>
      </c>
      <c r="DF18" s="105">
        <f>+'Dec-25'!$F$18</f>
        <v>0</v>
      </c>
      <c r="DG18" s="105">
        <f>+SUM(CU18:DF18)</f>
        <v>1</v>
      </c>
      <c r="DI18" s="105"/>
      <c r="DJ18" s="105"/>
      <c r="DK18" s="105"/>
      <c r="DL18" s="105"/>
      <c r="DM18" s="105"/>
      <c r="DN18" s="105"/>
      <c r="DO18" s="105"/>
      <c r="DP18" s="105"/>
      <c r="DQ18" s="105"/>
      <c r="DR18" s="105"/>
      <c r="DS18" s="105"/>
      <c r="DT18" s="105"/>
      <c r="DU18" s="105">
        <f>+SUM(DI18:DT18)</f>
        <v>0</v>
      </c>
    </row>
    <row r="19" spans="1:125" ht="14.45" customHeight="1">
      <c r="A19" s="106">
        <f t="shared" si="224"/>
        <v>22026332.419999998</v>
      </c>
      <c r="B19" s="106">
        <f t="shared" si="225"/>
        <v>9994594.6000000015</v>
      </c>
      <c r="C19" s="106">
        <f t="shared" si="226"/>
        <v>0</v>
      </c>
      <c r="D19" s="106">
        <f t="shared" si="227"/>
        <v>8052252.25</v>
      </c>
      <c r="E19" s="106">
        <f t="shared" si="228"/>
        <v>20678545.700000003</v>
      </c>
      <c r="F19" s="106">
        <f t="shared" si="229"/>
        <v>33764249</v>
      </c>
      <c r="G19" s="106">
        <f t="shared" si="230"/>
        <v>21264134.82</v>
      </c>
      <c r="H19" s="106">
        <f t="shared" si="231"/>
        <v>24225856</v>
      </c>
      <c r="I19" s="106">
        <f t="shared" si="232"/>
        <v>0</v>
      </c>
      <c r="J19" s="106">
        <f t="shared" si="233"/>
        <v>13422660.09</v>
      </c>
      <c r="K19" s="106">
        <f t="shared" si="234"/>
        <v>16850115</v>
      </c>
      <c r="L19" s="106">
        <f t="shared" si="235"/>
        <v>42598584.670000002</v>
      </c>
      <c r="M19" s="106">
        <f t="shared" si="149"/>
        <v>212877324.55000001</v>
      </c>
      <c r="N19" s="7" t="s">
        <v>17</v>
      </c>
      <c r="O19" s="106">
        <f t="shared" si="236"/>
        <v>22735714.289999999</v>
      </c>
      <c r="P19" s="106">
        <f t="shared" si="237"/>
        <v>29487859.920000002</v>
      </c>
      <c r="Q19" s="106">
        <f t="shared" si="238"/>
        <v>29390462.729999997</v>
      </c>
      <c r="R19" s="106">
        <f t="shared" si="239"/>
        <v>14947333</v>
      </c>
      <c r="S19" s="106">
        <f t="shared" si="240"/>
        <v>3133333.33</v>
      </c>
      <c r="T19" s="106">
        <f t="shared" si="241"/>
        <v>21431531</v>
      </c>
      <c r="U19" s="106">
        <f t="shared" si="242"/>
        <v>6959459</v>
      </c>
      <c r="V19" s="106">
        <f t="shared" si="243"/>
        <v>32788183</v>
      </c>
      <c r="W19" s="106">
        <f t="shared" si="244"/>
        <v>50965035</v>
      </c>
      <c r="X19" s="106">
        <f t="shared" si="245"/>
        <v>2470500</v>
      </c>
      <c r="Y19" s="106">
        <f t="shared" si="246"/>
        <v>0</v>
      </c>
      <c r="Z19" s="106">
        <f t="shared" si="247"/>
        <v>0</v>
      </c>
      <c r="AA19" s="106">
        <f t="shared" si="248"/>
        <v>214309411.26999998</v>
      </c>
      <c r="AC19" s="106">
        <f t="shared" si="249"/>
        <v>0</v>
      </c>
      <c r="AD19" s="106">
        <f t="shared" si="250"/>
        <v>0</v>
      </c>
      <c r="AE19" s="106">
        <f t="shared" si="251"/>
        <v>0</v>
      </c>
      <c r="AF19" s="106">
        <f t="shared" si="252"/>
        <v>0</v>
      </c>
      <c r="AG19" s="106">
        <f t="shared" si="253"/>
        <v>0</v>
      </c>
      <c r="AH19" s="106">
        <f t="shared" si="254"/>
        <v>0</v>
      </c>
      <c r="AI19" s="106">
        <f t="shared" si="255"/>
        <v>0</v>
      </c>
      <c r="AJ19" s="106">
        <f t="shared" si="256"/>
        <v>0</v>
      </c>
      <c r="AK19" s="106">
        <f t="shared" si="257"/>
        <v>0</v>
      </c>
      <c r="AL19" s="106">
        <f t="shared" si="258"/>
        <v>0</v>
      </c>
      <c r="AM19" s="106">
        <f t="shared" si="259"/>
        <v>0</v>
      </c>
      <c r="AN19" s="106">
        <f t="shared" si="260"/>
        <v>0</v>
      </c>
      <c r="AO19" s="106">
        <f t="shared" si="261"/>
        <v>0</v>
      </c>
      <c r="AQ19" s="106">
        <v>22026332.419999998</v>
      </c>
      <c r="AR19" s="106">
        <v>9994594.6000000015</v>
      </c>
      <c r="AS19" s="106">
        <v>0</v>
      </c>
      <c r="AT19" s="106">
        <v>8052252.25</v>
      </c>
      <c r="AU19" s="106">
        <v>20678545.700000003</v>
      </c>
      <c r="AV19" s="106">
        <v>33764249</v>
      </c>
      <c r="AW19" s="106">
        <v>21264134.82</v>
      </c>
      <c r="AX19" s="106">
        <v>24225856</v>
      </c>
      <c r="AY19" s="106">
        <v>0</v>
      </c>
      <c r="AZ19" s="106">
        <v>13422660.09</v>
      </c>
      <c r="BA19" s="106">
        <v>16850115</v>
      </c>
      <c r="BB19" s="106">
        <v>27628627</v>
      </c>
      <c r="BC19" s="106">
        <f t="shared" ref="BC19:BC21" si="262">+SUM(AQ19:BB19)</f>
        <v>197907366.88</v>
      </c>
      <c r="BD19" s="7" t="str">
        <f t="shared" si="47"/>
        <v>Turnover.</v>
      </c>
      <c r="BE19" s="106">
        <f>+VLOOKUP($BD19,'Jan-25'!$A:$J,2,0)</f>
        <v>22735714.289999999</v>
      </c>
      <c r="BF19" s="106">
        <f>+VLOOKUP($BD19,'Feb-25'!$A:$J,2,0)</f>
        <v>29487859.920000002</v>
      </c>
      <c r="BG19" s="106">
        <f>+VLOOKUP($BD19,'Mar-25'!$A:$J,2,0)</f>
        <v>23057129.399999999</v>
      </c>
      <c r="BH19" s="106">
        <f>+VLOOKUP($BD19,'Apr-25'!$A:$J,2,0)</f>
        <v>14947333</v>
      </c>
      <c r="BI19" s="106">
        <f>+VLOOKUP($BD19,'May-25'!$A:$J,2,0)</f>
        <v>3133333.33</v>
      </c>
      <c r="BJ19" s="106">
        <f>+VLOOKUP($BD19,'June-25'!$A:$J,2,0)</f>
        <v>21431531</v>
      </c>
      <c r="BK19" s="106">
        <f>+VLOOKUP($BD19,'July-25'!$A:$J,2,0)</f>
        <v>6959459</v>
      </c>
      <c r="BL19" s="106">
        <f>+VLOOKUP($BD19,'Aug-25'!$A:$J,2,0)</f>
        <v>32788183</v>
      </c>
      <c r="BM19" s="106">
        <f>+VLOOKUP($BD19,'Sep-25'!$A:$J,2,0)</f>
        <v>50965035</v>
      </c>
      <c r="BN19" s="106">
        <f>+VLOOKUP($BD19,'Oct-25'!$A:$J,2,0)</f>
        <v>2470500</v>
      </c>
      <c r="BO19" s="106">
        <f>+VLOOKUP($BD19,'Nov-25'!$A:$J,2,0)</f>
        <v>0</v>
      </c>
      <c r="BP19" s="106">
        <f>+VLOOKUP($BD19,'Dec-25'!$A:$J,2,0)</f>
        <v>0</v>
      </c>
      <c r="BQ19" s="106">
        <f t="shared" ref="BQ19:BQ21" si="263">+SUM(BE19:BP19)</f>
        <v>207976077.94</v>
      </c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/>
      <c r="CF19" s="22"/>
      <c r="CG19" s="106"/>
      <c r="CH19" s="106"/>
      <c r="CI19" s="106"/>
      <c r="CJ19" s="106"/>
      <c r="CK19" s="106"/>
      <c r="CL19" s="106"/>
      <c r="CM19" s="106"/>
      <c r="CN19" s="106"/>
      <c r="CO19" s="106"/>
      <c r="CP19" s="106"/>
      <c r="CQ19" s="106"/>
      <c r="CR19" s="106">
        <v>14969957.67</v>
      </c>
      <c r="CS19" s="106">
        <f t="shared" ref="CS19:CS21" si="264">+SUM(CG19:CR19)</f>
        <v>14969957.67</v>
      </c>
      <c r="CT19" s="7" t="str">
        <f t="shared" si="51"/>
        <v>Turnover.</v>
      </c>
      <c r="CU19" s="106">
        <f>+VLOOKUP($BD19,'Jan-25'!$A:$J,6,0)</f>
        <v>0</v>
      </c>
      <c r="CV19" s="106">
        <f>+VLOOKUP($BD19,'Feb-25'!$A:$J,6,0)</f>
        <v>0</v>
      </c>
      <c r="CW19" s="106">
        <f>+VLOOKUP($BD19,'Mar-25'!$A:$J,6,0)</f>
        <v>6333333.3300000001</v>
      </c>
      <c r="CX19" s="106">
        <f>+VLOOKUP($BD19,'Apr-25'!$A:$J,6,0)</f>
        <v>0</v>
      </c>
      <c r="CY19" s="106">
        <f>+VLOOKUP($BD19,'May-25'!$A:$J,6,0)</f>
        <v>0</v>
      </c>
      <c r="CZ19" s="106">
        <f>+VLOOKUP($BD19,'June-25'!$A:$J,6,0)</f>
        <v>0</v>
      </c>
      <c r="DA19" s="106">
        <f>+VLOOKUP($BD19,'July-25'!$A:$J,6,0)</f>
        <v>0</v>
      </c>
      <c r="DB19" s="106">
        <f>+VLOOKUP($BD19,'Aug-25'!$A:$J,6,0)</f>
        <v>0</v>
      </c>
      <c r="DC19" s="106">
        <f>+VLOOKUP($BD19,'Sep-25'!$A:$J,6,0)</f>
        <v>0</v>
      </c>
      <c r="DD19" s="106">
        <f>+VLOOKUP($BD19,'Oct-25'!$A:$J,6,0)</f>
        <v>0</v>
      </c>
      <c r="DE19" s="106">
        <f>+VLOOKUP($BD19,'Nov-25'!$A:$J,6,0)</f>
        <v>0</v>
      </c>
      <c r="DF19" s="106">
        <f>+VLOOKUP($BD19,'Dec-25'!$A:$J,6,0)</f>
        <v>0</v>
      </c>
      <c r="DG19" s="106">
        <f t="shared" ref="DG19:DG21" si="265">+SUM(CU19:DF19)</f>
        <v>6333333.3300000001</v>
      </c>
      <c r="DI19" s="106"/>
      <c r="DJ19" s="106"/>
      <c r="DK19" s="106"/>
      <c r="DL19" s="106"/>
      <c r="DM19" s="106"/>
      <c r="DN19" s="106"/>
      <c r="DO19" s="106"/>
      <c r="DP19" s="106"/>
      <c r="DQ19" s="106"/>
      <c r="DR19" s="106"/>
      <c r="DS19" s="106"/>
      <c r="DT19" s="106"/>
      <c r="DU19" s="106">
        <f t="shared" ref="DU19:DU21" si="266">+SUM(DI19:DT19)</f>
        <v>0</v>
      </c>
    </row>
    <row r="20" spans="1:125" ht="14.45" customHeight="1">
      <c r="A20" s="106">
        <f t="shared" si="224"/>
        <v>24006248.539999999</v>
      </c>
      <c r="B20" s="106">
        <f t="shared" si="225"/>
        <v>10470859</v>
      </c>
      <c r="C20" s="106">
        <f t="shared" si="226"/>
        <v>0</v>
      </c>
      <c r="D20" s="106">
        <f t="shared" si="227"/>
        <v>9109435.6999999993</v>
      </c>
      <c r="E20" s="106">
        <f t="shared" si="228"/>
        <v>21645657</v>
      </c>
      <c r="F20" s="106">
        <f t="shared" si="229"/>
        <v>38634665</v>
      </c>
      <c r="G20" s="106">
        <f t="shared" si="230"/>
        <v>22380511.829999998</v>
      </c>
      <c r="H20" s="106">
        <f t="shared" si="231"/>
        <v>29151767.73</v>
      </c>
      <c r="I20" s="106">
        <f t="shared" si="232"/>
        <v>0</v>
      </c>
      <c r="J20" s="106">
        <f t="shared" si="233"/>
        <v>14715613.5</v>
      </c>
      <c r="K20" s="106">
        <f t="shared" si="234"/>
        <v>21253482</v>
      </c>
      <c r="L20" s="106">
        <f t="shared" si="235"/>
        <v>48732187.899999999</v>
      </c>
      <c r="M20" s="106">
        <f t="shared" si="149"/>
        <v>240100428.19999999</v>
      </c>
      <c r="N20" s="7" t="s">
        <v>18</v>
      </c>
      <c r="O20" s="106">
        <f t="shared" si="236"/>
        <v>36470827.869999997</v>
      </c>
      <c r="P20" s="106">
        <f t="shared" si="237"/>
        <v>35490603.049999997</v>
      </c>
      <c r="Q20" s="106">
        <f t="shared" si="238"/>
        <v>33053092.93</v>
      </c>
      <c r="R20" s="106">
        <f t="shared" si="239"/>
        <v>15713361.939999999</v>
      </c>
      <c r="S20" s="106">
        <f t="shared" si="240"/>
        <v>3291933.7699999996</v>
      </c>
      <c r="T20" s="106">
        <f t="shared" si="241"/>
        <v>22947340.390000001</v>
      </c>
      <c r="U20" s="106">
        <f t="shared" si="242"/>
        <v>6784797.25</v>
      </c>
      <c r="V20" s="106">
        <f t="shared" si="243"/>
        <v>33210533.489999998</v>
      </c>
      <c r="W20" s="106">
        <f t="shared" si="244"/>
        <v>59567219.560000002</v>
      </c>
      <c r="X20" s="106">
        <f t="shared" si="245"/>
        <v>3032948.0667500002</v>
      </c>
      <c r="Y20" s="106">
        <f t="shared" si="246"/>
        <v>0</v>
      </c>
      <c r="Z20" s="106">
        <f t="shared" si="247"/>
        <v>0</v>
      </c>
      <c r="AA20" s="106">
        <f t="shared" si="248"/>
        <v>249562658.31674999</v>
      </c>
      <c r="AC20" s="106">
        <f t="shared" si="249"/>
        <v>0</v>
      </c>
      <c r="AD20" s="106">
        <f t="shared" si="250"/>
        <v>0</v>
      </c>
      <c r="AE20" s="106">
        <f t="shared" si="251"/>
        <v>0</v>
      </c>
      <c r="AF20" s="106">
        <f t="shared" si="252"/>
        <v>0</v>
      </c>
      <c r="AG20" s="106">
        <f t="shared" si="253"/>
        <v>0</v>
      </c>
      <c r="AH20" s="106">
        <f t="shared" si="254"/>
        <v>0</v>
      </c>
      <c r="AI20" s="106">
        <f t="shared" si="255"/>
        <v>0</v>
      </c>
      <c r="AJ20" s="106">
        <f t="shared" si="256"/>
        <v>0</v>
      </c>
      <c r="AK20" s="106">
        <f t="shared" si="257"/>
        <v>0</v>
      </c>
      <c r="AL20" s="106">
        <f t="shared" si="258"/>
        <v>0</v>
      </c>
      <c r="AM20" s="106">
        <f t="shared" si="259"/>
        <v>0</v>
      </c>
      <c r="AN20" s="106">
        <f t="shared" si="260"/>
        <v>0</v>
      </c>
      <c r="AO20" s="106">
        <f t="shared" si="261"/>
        <v>0</v>
      </c>
      <c r="AQ20" s="106">
        <v>24006248.539999999</v>
      </c>
      <c r="AR20" s="106">
        <v>10470859</v>
      </c>
      <c r="AS20" s="106">
        <v>0</v>
      </c>
      <c r="AT20" s="106">
        <v>9109435.6999999993</v>
      </c>
      <c r="AU20" s="106">
        <v>21645657</v>
      </c>
      <c r="AV20" s="106">
        <v>38634665</v>
      </c>
      <c r="AW20" s="106">
        <v>22380511.829999998</v>
      </c>
      <c r="AX20" s="106">
        <v>29151767.73</v>
      </c>
      <c r="AY20" s="106">
        <v>0</v>
      </c>
      <c r="AZ20" s="106">
        <v>14715613.5</v>
      </c>
      <c r="BA20" s="106">
        <v>21253482</v>
      </c>
      <c r="BB20" s="106">
        <v>32365300.23</v>
      </c>
      <c r="BC20" s="106">
        <f t="shared" si="262"/>
        <v>223733540.52999997</v>
      </c>
      <c r="BD20" s="7" t="str">
        <f t="shared" si="47"/>
        <v>Cost of goods sold - Demo Car</v>
      </c>
      <c r="BE20" s="106">
        <f>+VLOOKUP($BD20,'Jan-25'!$A:$J,2,0)</f>
        <v>36470827.869999997</v>
      </c>
      <c r="BF20" s="106">
        <f>+VLOOKUP($BD20,'Feb-25'!$A:$J,2,0)</f>
        <v>35490603.049999997</v>
      </c>
      <c r="BG20" s="106">
        <f>+VLOOKUP($BD20,'Mar-25'!$A:$J,2,0)</f>
        <v>26520153.550000001</v>
      </c>
      <c r="BH20" s="106">
        <f>+VLOOKUP($BD20,'Apr-25'!$A:$J,2,0)</f>
        <v>15713361.939999999</v>
      </c>
      <c r="BI20" s="106">
        <f>+VLOOKUP($BD20,'May-25'!$A:$J,2,0)</f>
        <v>3291933.7699999996</v>
      </c>
      <c r="BJ20" s="106">
        <f>+VLOOKUP($BD20,'June-25'!$A:$J,2,0)</f>
        <v>22947340.390000001</v>
      </c>
      <c r="BK20" s="106">
        <f>+VLOOKUP($BD20,'July-25'!$A:$J,2,0)</f>
        <v>6784797.25</v>
      </c>
      <c r="BL20" s="106">
        <f>+VLOOKUP($BD20,'Aug-25'!$A:$J,2,0)</f>
        <v>33210533.489999998</v>
      </c>
      <c r="BM20" s="106">
        <f>+VLOOKUP($BD20,'Sep-25'!$A:$J,2,0)</f>
        <v>59567219.560000002</v>
      </c>
      <c r="BN20" s="106">
        <f>+VLOOKUP($BD20,'Oct-25'!$A:$J,2,0)</f>
        <v>3032948.0667500002</v>
      </c>
      <c r="BO20" s="106">
        <f>+VLOOKUP($BD20,'Nov-25'!$A:$J,2,0)</f>
        <v>0</v>
      </c>
      <c r="BP20" s="106">
        <f>+VLOOKUP($BD20,'Dec-25'!$A:$J,2,0)</f>
        <v>0</v>
      </c>
      <c r="BQ20" s="106">
        <f t="shared" si="263"/>
        <v>243029718.93674999</v>
      </c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  <c r="CF20" s="22"/>
      <c r="CG20" s="106"/>
      <c r="CH20" s="106"/>
      <c r="CI20" s="106"/>
      <c r="CJ20" s="106"/>
      <c r="CK20" s="106"/>
      <c r="CL20" s="106"/>
      <c r="CM20" s="106"/>
      <c r="CN20" s="106"/>
      <c r="CO20" s="106"/>
      <c r="CP20" s="106"/>
      <c r="CQ20" s="106"/>
      <c r="CR20" s="106">
        <v>16366887.67</v>
      </c>
      <c r="CS20" s="106">
        <f t="shared" si="264"/>
        <v>16366887.67</v>
      </c>
      <c r="CT20" s="7" t="str">
        <f t="shared" si="51"/>
        <v>Cost of goods sold - Demo Car</v>
      </c>
      <c r="CU20" s="106">
        <f>+VLOOKUP($BD20,'Jan-25'!$A:$J,6,0)</f>
        <v>0</v>
      </c>
      <c r="CV20" s="106">
        <f>+VLOOKUP($BD20,'Feb-25'!$A:$J,6,0)</f>
        <v>0</v>
      </c>
      <c r="CW20" s="106">
        <f>+VLOOKUP($BD20,'Mar-25'!$A:$J,6,0)</f>
        <v>6532939.3799999999</v>
      </c>
      <c r="CX20" s="106">
        <f>+VLOOKUP($BD20,'Apr-25'!$A:$J,6,0)</f>
        <v>0</v>
      </c>
      <c r="CY20" s="106">
        <f>+VLOOKUP($BD20,'May-25'!$A:$J,6,0)</f>
        <v>0</v>
      </c>
      <c r="CZ20" s="106">
        <f>+VLOOKUP($BD20,'June-25'!$A:$J,6,0)</f>
        <v>0</v>
      </c>
      <c r="DA20" s="106">
        <f>+VLOOKUP($BD20,'July-25'!$A:$J,6,0)</f>
        <v>0</v>
      </c>
      <c r="DB20" s="106">
        <f>+VLOOKUP($BD20,'Aug-25'!$A:$J,6,0)</f>
        <v>0</v>
      </c>
      <c r="DC20" s="106">
        <f>+VLOOKUP($BD20,'Sep-25'!$A:$J,6,0)</f>
        <v>0</v>
      </c>
      <c r="DD20" s="106">
        <f>+VLOOKUP($BD20,'Oct-25'!$A:$J,6,0)</f>
        <v>0</v>
      </c>
      <c r="DE20" s="106">
        <f>+VLOOKUP($BD20,'Nov-25'!$A:$J,6,0)</f>
        <v>0</v>
      </c>
      <c r="DF20" s="106">
        <f>+VLOOKUP($BD20,'Dec-25'!$A:$J,6,0)</f>
        <v>0</v>
      </c>
      <c r="DG20" s="106">
        <f t="shared" si="265"/>
        <v>6532939.3799999999</v>
      </c>
      <c r="DI20" s="106"/>
      <c r="DJ20" s="106"/>
      <c r="DK20" s="106"/>
      <c r="DL20" s="106"/>
      <c r="DM20" s="106"/>
      <c r="DN20" s="106"/>
      <c r="DO20" s="106"/>
      <c r="DP20" s="106"/>
      <c r="DQ20" s="106"/>
      <c r="DR20" s="106"/>
      <c r="DS20" s="106"/>
      <c r="DT20" s="106"/>
      <c r="DU20" s="106">
        <f t="shared" si="266"/>
        <v>0</v>
      </c>
    </row>
    <row r="21" spans="1:125" ht="14.45" customHeight="1">
      <c r="A21" s="106">
        <f t="shared" si="224"/>
        <v>0</v>
      </c>
      <c r="B21" s="106">
        <f t="shared" si="225"/>
        <v>0</v>
      </c>
      <c r="C21" s="106">
        <f t="shared" si="226"/>
        <v>0</v>
      </c>
      <c r="D21" s="106">
        <f t="shared" si="227"/>
        <v>0</v>
      </c>
      <c r="E21" s="106">
        <f t="shared" si="228"/>
        <v>0</v>
      </c>
      <c r="F21" s="106">
        <f t="shared" si="229"/>
        <v>0</v>
      </c>
      <c r="G21" s="106">
        <f t="shared" si="230"/>
        <v>0</v>
      </c>
      <c r="H21" s="106">
        <f t="shared" si="231"/>
        <v>0</v>
      </c>
      <c r="I21" s="106">
        <f t="shared" si="232"/>
        <v>0</v>
      </c>
      <c r="J21" s="106">
        <f t="shared" si="233"/>
        <v>0</v>
      </c>
      <c r="K21" s="106">
        <f t="shared" si="234"/>
        <v>0</v>
      </c>
      <c r="L21" s="106">
        <f t="shared" si="235"/>
        <v>0</v>
      </c>
      <c r="M21" s="106">
        <f t="shared" si="149"/>
        <v>0</v>
      </c>
      <c r="N21" s="7" t="s">
        <v>19</v>
      </c>
      <c r="O21" s="106">
        <f t="shared" si="236"/>
        <v>0</v>
      </c>
      <c r="P21" s="106">
        <f t="shared" si="237"/>
        <v>0</v>
      </c>
      <c r="Q21" s="106">
        <f t="shared" si="238"/>
        <v>0</v>
      </c>
      <c r="R21" s="106">
        <f t="shared" si="239"/>
        <v>0</v>
      </c>
      <c r="S21" s="106">
        <f t="shared" si="240"/>
        <v>0</v>
      </c>
      <c r="T21" s="106">
        <f t="shared" si="241"/>
        <v>0</v>
      </c>
      <c r="U21" s="106">
        <f t="shared" si="242"/>
        <v>0</v>
      </c>
      <c r="V21" s="106">
        <f t="shared" si="243"/>
        <v>0</v>
      </c>
      <c r="W21" s="106">
        <f t="shared" si="244"/>
        <v>0</v>
      </c>
      <c r="X21" s="106">
        <f t="shared" si="245"/>
        <v>0</v>
      </c>
      <c r="Y21" s="106">
        <f t="shared" si="246"/>
        <v>0</v>
      </c>
      <c r="Z21" s="106">
        <f t="shared" si="247"/>
        <v>0</v>
      </c>
      <c r="AA21" s="106">
        <f t="shared" si="248"/>
        <v>0</v>
      </c>
      <c r="AC21" s="106">
        <f t="shared" si="249"/>
        <v>0</v>
      </c>
      <c r="AD21" s="106">
        <f t="shared" si="250"/>
        <v>0</v>
      </c>
      <c r="AE21" s="106">
        <f t="shared" si="251"/>
        <v>0</v>
      </c>
      <c r="AF21" s="106">
        <f t="shared" si="252"/>
        <v>0</v>
      </c>
      <c r="AG21" s="106">
        <f t="shared" si="253"/>
        <v>0</v>
      </c>
      <c r="AH21" s="106">
        <f t="shared" si="254"/>
        <v>0</v>
      </c>
      <c r="AI21" s="106">
        <f t="shared" si="255"/>
        <v>0</v>
      </c>
      <c r="AJ21" s="106">
        <f t="shared" si="256"/>
        <v>0</v>
      </c>
      <c r="AK21" s="106">
        <f t="shared" si="257"/>
        <v>0</v>
      </c>
      <c r="AL21" s="106">
        <f t="shared" si="258"/>
        <v>0</v>
      </c>
      <c r="AM21" s="106">
        <f t="shared" si="259"/>
        <v>0</v>
      </c>
      <c r="AN21" s="106">
        <f t="shared" si="260"/>
        <v>0</v>
      </c>
      <c r="AO21" s="106">
        <f t="shared" si="261"/>
        <v>0</v>
      </c>
      <c r="AQ21" s="106">
        <v>0</v>
      </c>
      <c r="AR21" s="106">
        <v>0</v>
      </c>
      <c r="AS21" s="106">
        <v>0</v>
      </c>
      <c r="AT21" s="106">
        <v>0</v>
      </c>
      <c r="AU21" s="106">
        <v>0</v>
      </c>
      <c r="AV21" s="106">
        <v>0</v>
      </c>
      <c r="AW21" s="106">
        <v>0</v>
      </c>
      <c r="AX21" s="106">
        <v>0</v>
      </c>
      <c r="AY21" s="106">
        <v>0</v>
      </c>
      <c r="AZ21" s="106">
        <v>0</v>
      </c>
      <c r="BA21" s="106">
        <v>0</v>
      </c>
      <c r="BB21" s="106">
        <v>0</v>
      </c>
      <c r="BC21" s="106">
        <f t="shared" si="262"/>
        <v>0</v>
      </c>
      <c r="BD21" s="7" t="str">
        <f t="shared" si="47"/>
        <v>Trade Discount</v>
      </c>
      <c r="BE21" s="106">
        <f>+VLOOKUP($BD21,'Jan-25'!$A:$J,2,0)</f>
        <v>0</v>
      </c>
      <c r="BF21" s="106">
        <f>+VLOOKUP($BD21,'Feb-25'!$A:$J,2,0)</f>
        <v>0</v>
      </c>
      <c r="BG21" s="106">
        <f>+VLOOKUP($BD21,'Mar-25'!$A:$J,2,0)</f>
        <v>0</v>
      </c>
      <c r="BH21" s="106">
        <f>+VLOOKUP($BD21,'Apr-25'!$A:$J,2,0)</f>
        <v>0</v>
      </c>
      <c r="BI21" s="106">
        <f>+VLOOKUP($BD21,'May-25'!$A:$J,2,0)</f>
        <v>0</v>
      </c>
      <c r="BJ21" s="106">
        <f>+VLOOKUP($BD21,'June-25'!$A:$J,2,0)</f>
        <v>0</v>
      </c>
      <c r="BK21" s="106">
        <f>+VLOOKUP($BD21,'July-25'!$A:$J,2,0)</f>
        <v>0</v>
      </c>
      <c r="BL21" s="106">
        <f>+VLOOKUP($BD21,'Aug-25'!$A:$J,2,0)</f>
        <v>0</v>
      </c>
      <c r="BM21" s="106">
        <f>+VLOOKUP($BD21,'Sep-25'!$A:$J,2,0)</f>
        <v>0</v>
      </c>
      <c r="BN21" s="106">
        <f>+VLOOKUP($BD21,'Oct-25'!$A:$J,2,0)</f>
        <v>0</v>
      </c>
      <c r="BO21" s="106">
        <f>+VLOOKUP($BD21,'Nov-25'!$A:$J,2,0)</f>
        <v>0</v>
      </c>
      <c r="BP21" s="106">
        <f>+VLOOKUP($BD21,'Dec-25'!$A:$J,2,0)</f>
        <v>0</v>
      </c>
      <c r="BQ21" s="106">
        <f t="shared" si="263"/>
        <v>0</v>
      </c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  <c r="CF21" s="22"/>
      <c r="CG21" s="106"/>
      <c r="CH21" s="106"/>
      <c r="CI21" s="106"/>
      <c r="CJ21" s="106"/>
      <c r="CK21" s="106"/>
      <c r="CL21" s="106"/>
      <c r="CM21" s="106"/>
      <c r="CN21" s="106"/>
      <c r="CO21" s="106"/>
      <c r="CP21" s="106"/>
      <c r="CQ21" s="106"/>
      <c r="CR21" s="106"/>
      <c r="CS21" s="106">
        <f t="shared" si="264"/>
        <v>0</v>
      </c>
      <c r="CT21" s="7" t="str">
        <f t="shared" si="51"/>
        <v>Trade Discount</v>
      </c>
      <c r="CU21" s="106">
        <f>+VLOOKUP($BD21,'Jan-25'!$A:$J,6,0)</f>
        <v>0</v>
      </c>
      <c r="CV21" s="106">
        <f>+VLOOKUP($BD21,'Feb-25'!$A:$J,6,0)</f>
        <v>0</v>
      </c>
      <c r="CW21" s="106">
        <f>+VLOOKUP($BD21,'Mar-25'!$A:$J,6,0)</f>
        <v>0</v>
      </c>
      <c r="CX21" s="106">
        <f>+VLOOKUP($BD21,'Apr-25'!$A:$J,6,0)</f>
        <v>0</v>
      </c>
      <c r="CY21" s="106">
        <f>+VLOOKUP($BD21,'May-25'!$A:$J,6,0)</f>
        <v>0</v>
      </c>
      <c r="CZ21" s="106">
        <f>+VLOOKUP($BD21,'June-25'!$A:$J,6,0)</f>
        <v>0</v>
      </c>
      <c r="DA21" s="106">
        <f>+VLOOKUP($BD21,'July-25'!$A:$J,6,0)</f>
        <v>0</v>
      </c>
      <c r="DB21" s="106">
        <f>+VLOOKUP($BD21,'Aug-25'!$A:$J,6,0)</f>
        <v>0</v>
      </c>
      <c r="DC21" s="106">
        <f>+VLOOKUP($BD21,'Sep-25'!$A:$J,6,0)</f>
        <v>0</v>
      </c>
      <c r="DD21" s="106">
        <f>+VLOOKUP($BD21,'Oct-25'!$A:$J,6,0)</f>
        <v>0</v>
      </c>
      <c r="DE21" s="106">
        <f>+VLOOKUP($BD21,'Nov-25'!$A:$J,6,0)</f>
        <v>0</v>
      </c>
      <c r="DF21" s="106">
        <f>+VLOOKUP($BD21,'Dec-25'!$A:$J,6,0)</f>
        <v>0</v>
      </c>
      <c r="DG21" s="106">
        <f t="shared" si="265"/>
        <v>0</v>
      </c>
      <c r="DI21" s="106"/>
      <c r="DJ21" s="106"/>
      <c r="DK21" s="106"/>
      <c r="DL21" s="106"/>
      <c r="DM21" s="106"/>
      <c r="DN21" s="106"/>
      <c r="DO21" s="106"/>
      <c r="DP21" s="106"/>
      <c r="DQ21" s="106"/>
      <c r="DR21" s="106"/>
      <c r="DS21" s="106"/>
      <c r="DT21" s="106"/>
      <c r="DU21" s="106">
        <f t="shared" si="266"/>
        <v>0</v>
      </c>
    </row>
    <row r="22" spans="1:125" ht="14.45" customHeight="1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8" t="s">
        <v>243</v>
      </c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8" t="str">
        <f t="shared" si="47"/>
        <v xml:space="preserve">Sales Used Car </v>
      </c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  <c r="CF22" s="22"/>
      <c r="CG22" s="106"/>
      <c r="CH22" s="106"/>
      <c r="CI22" s="106"/>
      <c r="CJ22" s="106"/>
      <c r="CK22" s="106"/>
      <c r="CL22" s="106"/>
      <c r="CM22" s="106"/>
      <c r="CN22" s="106"/>
      <c r="CO22" s="106"/>
      <c r="CP22" s="106"/>
      <c r="CQ22" s="106"/>
      <c r="CR22" s="106"/>
      <c r="CS22" s="106"/>
      <c r="CT22" s="8" t="str">
        <f t="shared" si="51"/>
        <v xml:space="preserve">Sales Used Car </v>
      </c>
      <c r="CU22" s="106"/>
      <c r="CV22" s="106"/>
      <c r="CW22" s="106"/>
      <c r="CX22" s="106"/>
      <c r="CY22" s="106"/>
      <c r="CZ22" s="106"/>
      <c r="DA22" s="106"/>
      <c r="DB22" s="106"/>
      <c r="DC22" s="106"/>
      <c r="DD22" s="106"/>
      <c r="DE22" s="106"/>
      <c r="DF22" s="106"/>
      <c r="DG22" s="106"/>
      <c r="DI22" s="106"/>
      <c r="DJ22" s="106"/>
      <c r="DK22" s="106"/>
      <c r="DL22" s="106"/>
      <c r="DM22" s="106"/>
      <c r="DN22" s="106"/>
      <c r="DO22" s="106"/>
      <c r="DP22" s="106"/>
      <c r="DQ22" s="106"/>
      <c r="DR22" s="106"/>
      <c r="DS22" s="106"/>
      <c r="DT22" s="106"/>
      <c r="DU22" s="106"/>
    </row>
    <row r="23" spans="1:125" ht="14.45" customHeight="1">
      <c r="A23" s="105">
        <f t="shared" ref="A23:A26" si="267">+AQ23+CG23</f>
        <v>5</v>
      </c>
      <c r="B23" s="105">
        <f t="shared" ref="B23:B26" si="268">+AR23+CH23</f>
        <v>3</v>
      </c>
      <c r="C23" s="105">
        <f t="shared" ref="C23:C26" si="269">+AS23+CI23</f>
        <v>0</v>
      </c>
      <c r="D23" s="105">
        <f t="shared" ref="D23:D26" si="270">+AT23+CJ23</f>
        <v>2</v>
      </c>
      <c r="E23" s="105">
        <f t="shared" ref="E23:E26" si="271">+AU23+CK23</f>
        <v>4</v>
      </c>
      <c r="F23" s="105">
        <f t="shared" ref="F23:F26" si="272">+AV23+CL23</f>
        <v>6</v>
      </c>
      <c r="G23" s="105">
        <f t="shared" ref="G23:G26" si="273">+AW23+CM23</f>
        <v>6</v>
      </c>
      <c r="H23" s="105">
        <f t="shared" ref="H23:H26" si="274">+AX23+CN23</f>
        <v>6</v>
      </c>
      <c r="I23" s="105">
        <f t="shared" ref="I23:I26" si="275">+AY23+CO23</f>
        <v>0</v>
      </c>
      <c r="J23" s="105">
        <f t="shared" ref="J23:J26" si="276">+AZ23+CP23</f>
        <v>3</v>
      </c>
      <c r="K23" s="105">
        <f t="shared" ref="K23:K26" si="277">+BA23+CQ23</f>
        <v>5</v>
      </c>
      <c r="L23" s="105">
        <f t="shared" ref="L23:L26" si="278">+BB23+CR23</f>
        <v>7</v>
      </c>
      <c r="M23" s="105">
        <f t="shared" si="149"/>
        <v>47</v>
      </c>
      <c r="N23" s="9" t="s">
        <v>16</v>
      </c>
      <c r="O23" s="105">
        <f t="shared" ref="O23:O26" si="279">+BE23+CU23</f>
        <v>5</v>
      </c>
      <c r="P23" s="105">
        <f t="shared" ref="P23:P26" si="280">+BF23+CV23</f>
        <v>4</v>
      </c>
      <c r="Q23" s="105">
        <f t="shared" ref="Q23:Q26" si="281">+BG23+CW23</f>
        <v>6</v>
      </c>
      <c r="R23" s="105">
        <f t="shared" ref="R23:R26" si="282">+BH23+CX23</f>
        <v>3</v>
      </c>
      <c r="S23" s="105">
        <f t="shared" ref="S23:S26" si="283">+BI23+CY23</f>
        <v>2</v>
      </c>
      <c r="T23" s="105">
        <f t="shared" ref="T23:T26" si="284">+BJ23+CZ23</f>
        <v>1</v>
      </c>
      <c r="U23" s="105">
        <f t="shared" ref="U23:U26" si="285">+BK23+DA23</f>
        <v>4</v>
      </c>
      <c r="V23" s="105">
        <f t="shared" ref="V23:V26" si="286">+BL23+DB23</f>
        <v>4</v>
      </c>
      <c r="W23" s="105">
        <f t="shared" ref="W23:W26" si="287">+BM23+DC23</f>
        <v>3</v>
      </c>
      <c r="X23" s="105">
        <f t="shared" ref="X23:X26" si="288">+BN23+DD23</f>
        <v>5</v>
      </c>
      <c r="Y23" s="105">
        <f t="shared" ref="Y23:Y26" si="289">+BO23+DE23</f>
        <v>0</v>
      </c>
      <c r="Z23" s="105">
        <f t="shared" ref="Z23:Z26" si="290">+BP23+DF23</f>
        <v>0</v>
      </c>
      <c r="AA23" s="105">
        <f t="shared" ref="AA23:AA26" si="291">+SUM(O23:Z23)</f>
        <v>37</v>
      </c>
      <c r="AC23" s="105">
        <f t="shared" ref="AC23:AC26" si="292">+BS23+DI23</f>
        <v>0</v>
      </c>
      <c r="AD23" s="105">
        <f t="shared" ref="AD23:AD26" si="293">+BT23+DJ23</f>
        <v>0</v>
      </c>
      <c r="AE23" s="105">
        <f t="shared" ref="AE23:AE26" si="294">+BU23+DK23</f>
        <v>0</v>
      </c>
      <c r="AF23" s="105">
        <f t="shared" ref="AF23:AF26" si="295">+BV23+DL23</f>
        <v>0</v>
      </c>
      <c r="AG23" s="105">
        <f t="shared" ref="AG23:AG26" si="296">+BW23+DM23</f>
        <v>0</v>
      </c>
      <c r="AH23" s="105">
        <f t="shared" ref="AH23:AH26" si="297">+BX23+DN23</f>
        <v>0</v>
      </c>
      <c r="AI23" s="105">
        <f t="shared" ref="AI23:AI26" si="298">+BY23+DO23</f>
        <v>0</v>
      </c>
      <c r="AJ23" s="105">
        <f t="shared" ref="AJ23:AJ26" si="299">+BZ23+DP23</f>
        <v>0</v>
      </c>
      <c r="AK23" s="105">
        <f t="shared" ref="AK23:AK26" si="300">+CA23+DQ23</f>
        <v>0</v>
      </c>
      <c r="AL23" s="105">
        <f t="shared" ref="AL23:AL26" si="301">+CB23+DR23</f>
        <v>0</v>
      </c>
      <c r="AM23" s="105">
        <f t="shared" ref="AM23:AM26" si="302">+CC23+DS23</f>
        <v>0</v>
      </c>
      <c r="AN23" s="105">
        <f t="shared" ref="AN23:AN26" si="303">+CD23+DT23</f>
        <v>0</v>
      </c>
      <c r="AO23" s="105">
        <f t="shared" ref="AO23:AO26" si="304">+SUM(AC23:AN23)</f>
        <v>0</v>
      </c>
      <c r="AQ23" s="105">
        <v>5</v>
      </c>
      <c r="AR23" s="105">
        <v>3</v>
      </c>
      <c r="AS23" s="105">
        <v>0</v>
      </c>
      <c r="AT23" s="105">
        <v>2</v>
      </c>
      <c r="AU23" s="105">
        <v>4</v>
      </c>
      <c r="AV23" s="105">
        <v>6</v>
      </c>
      <c r="AW23" s="105">
        <v>6</v>
      </c>
      <c r="AX23" s="105">
        <v>6</v>
      </c>
      <c r="AY23" s="105">
        <v>0</v>
      </c>
      <c r="AZ23" s="105">
        <v>3</v>
      </c>
      <c r="BA23" s="105">
        <v>5</v>
      </c>
      <c r="BB23" s="105">
        <v>7</v>
      </c>
      <c r="BC23" s="105"/>
      <c r="BD23" s="9" t="str">
        <f t="shared" si="47"/>
        <v>No of Cars Sold</v>
      </c>
      <c r="BE23" s="105">
        <f>+'Jan-25'!$B$23</f>
        <v>5</v>
      </c>
      <c r="BF23" s="105">
        <f>+'Feb-25'!$B$23</f>
        <v>4</v>
      </c>
      <c r="BG23" s="105">
        <f>+'Mar-25'!$B$23</f>
        <v>6</v>
      </c>
      <c r="BH23" s="105">
        <f>+'Apr-25'!$B$23</f>
        <v>3</v>
      </c>
      <c r="BI23" s="105">
        <f>+'May-25'!$B$23</f>
        <v>2</v>
      </c>
      <c r="BJ23" s="105">
        <f>+'June-25'!$B$23</f>
        <v>1</v>
      </c>
      <c r="BK23" s="105">
        <f>+'July-25'!$B$23</f>
        <v>4</v>
      </c>
      <c r="BL23" s="105">
        <f>+'Aug-25'!$B$23</f>
        <v>4</v>
      </c>
      <c r="BM23" s="105">
        <f>+'Sep-25'!$B$23</f>
        <v>3</v>
      </c>
      <c r="BN23" s="105">
        <f>+'Oct-25'!$B$23</f>
        <v>5</v>
      </c>
      <c r="BO23" s="105">
        <f>+'Nov-25'!$B$23</f>
        <v>0</v>
      </c>
      <c r="BP23" s="105">
        <f>+'Dec-25'!$B$23</f>
        <v>0</v>
      </c>
      <c r="BQ23" s="105">
        <f>+SUM(BE23:BP23)</f>
        <v>37</v>
      </c>
      <c r="BS23" s="105"/>
      <c r="BT23" s="105"/>
      <c r="BU23" s="105"/>
      <c r="BV23" s="105"/>
      <c r="BW23" s="105"/>
      <c r="BX23" s="105"/>
      <c r="BY23" s="105"/>
      <c r="BZ23" s="105"/>
      <c r="CA23" s="105"/>
      <c r="CB23" s="105"/>
      <c r="CC23" s="105"/>
      <c r="CD23" s="105"/>
      <c r="CE23" s="105"/>
      <c r="CF23" s="22"/>
      <c r="CG23" s="105"/>
      <c r="CH23" s="105"/>
      <c r="CI23" s="105"/>
      <c r="CJ23" s="105"/>
      <c r="CK23" s="105"/>
      <c r="CL23" s="105"/>
      <c r="CM23" s="105"/>
      <c r="CN23" s="105"/>
      <c r="CO23" s="105"/>
      <c r="CP23" s="105"/>
      <c r="CQ23" s="105"/>
      <c r="CR23" s="105"/>
      <c r="CS23" s="105"/>
      <c r="CT23" s="9" t="str">
        <f t="shared" si="51"/>
        <v>No of Cars Sold</v>
      </c>
      <c r="CU23" s="105">
        <f>+'Jan-25'!$F$23</f>
        <v>0</v>
      </c>
      <c r="CV23" s="105">
        <f>+'Feb-25'!$F$23</f>
        <v>0</v>
      </c>
      <c r="CW23" s="105">
        <f>+'Mar-25'!$F$23</f>
        <v>0</v>
      </c>
      <c r="CX23" s="105">
        <f>+'Apr-25'!$F$23</f>
        <v>0</v>
      </c>
      <c r="CY23" s="105">
        <f>+'May-25'!$F$23</f>
        <v>0</v>
      </c>
      <c r="CZ23" s="105">
        <f>+'June-25'!$F$23</f>
        <v>0</v>
      </c>
      <c r="DA23" s="105">
        <f>+'July-25'!$F$23</f>
        <v>0</v>
      </c>
      <c r="DB23" s="105">
        <f>+'Aug-25'!$F$23</f>
        <v>0</v>
      </c>
      <c r="DC23" s="105">
        <f>+'Sep-25'!$F$23</f>
        <v>0</v>
      </c>
      <c r="DD23" s="105">
        <f>+'Oct-25'!$F$23</f>
        <v>0</v>
      </c>
      <c r="DE23" s="105">
        <f>+'Nov-25'!$F$23</f>
        <v>0</v>
      </c>
      <c r="DF23" s="105">
        <f>+'Dec-25'!$F$23</f>
        <v>0</v>
      </c>
      <c r="DG23" s="105"/>
      <c r="DI23" s="105"/>
      <c r="DJ23" s="105"/>
      <c r="DK23" s="105"/>
      <c r="DL23" s="105"/>
      <c r="DM23" s="105"/>
      <c r="DN23" s="105"/>
      <c r="DO23" s="105"/>
      <c r="DP23" s="105"/>
      <c r="DQ23" s="105"/>
      <c r="DR23" s="105"/>
      <c r="DS23" s="105"/>
      <c r="DT23" s="105"/>
      <c r="DU23" s="105"/>
    </row>
    <row r="24" spans="1:125" ht="14.45" customHeight="1">
      <c r="A24" s="106">
        <f t="shared" si="267"/>
        <v>5211864.41</v>
      </c>
      <c r="B24" s="106">
        <f t="shared" si="268"/>
        <v>2585355.9300000002</v>
      </c>
      <c r="C24" s="106">
        <f t="shared" si="269"/>
        <v>3435398.31</v>
      </c>
      <c r="D24" s="106">
        <f t="shared" si="270"/>
        <v>13107106.779999997</v>
      </c>
      <c r="E24" s="106">
        <f t="shared" si="271"/>
        <v>11726124.74</v>
      </c>
      <c r="F24" s="106">
        <f t="shared" si="272"/>
        <v>9740000</v>
      </c>
      <c r="G24" s="106">
        <f t="shared" si="273"/>
        <v>22764009</v>
      </c>
      <c r="H24" s="106">
        <f t="shared" si="274"/>
        <v>6350000</v>
      </c>
      <c r="I24" s="106">
        <f t="shared" si="275"/>
        <v>7000000</v>
      </c>
      <c r="J24" s="106">
        <f t="shared" si="276"/>
        <v>4811506.49</v>
      </c>
      <c r="K24" s="106">
        <f t="shared" si="277"/>
        <v>9617372.879999999</v>
      </c>
      <c r="L24" s="106">
        <f t="shared" si="278"/>
        <v>5731188.1200000001</v>
      </c>
      <c r="M24" s="106">
        <f t="shared" si="149"/>
        <v>102079926.66</v>
      </c>
      <c r="N24" s="7" t="s">
        <v>21</v>
      </c>
      <c r="O24" s="106">
        <f t="shared" si="279"/>
        <v>7364677.9699999997</v>
      </c>
      <c r="P24" s="106">
        <f t="shared" si="280"/>
        <v>8268506.2000000002</v>
      </c>
      <c r="Q24" s="106">
        <f t="shared" si="281"/>
        <v>13262641.530000001</v>
      </c>
      <c r="R24" s="106">
        <f t="shared" si="282"/>
        <v>10367796.609999999</v>
      </c>
      <c r="S24" s="106">
        <f t="shared" si="283"/>
        <v>4392066.9499999993</v>
      </c>
      <c r="T24" s="106">
        <f t="shared" si="284"/>
        <v>2645309.3199999998</v>
      </c>
      <c r="U24" s="106">
        <f t="shared" si="285"/>
        <v>7078844.9699999997</v>
      </c>
      <c r="V24" s="106">
        <f t="shared" si="286"/>
        <v>11355745.76</v>
      </c>
      <c r="W24" s="106">
        <f t="shared" si="287"/>
        <v>7925000</v>
      </c>
      <c r="X24" s="106">
        <f t="shared" si="288"/>
        <v>16673644.07</v>
      </c>
      <c r="Y24" s="106">
        <f t="shared" si="289"/>
        <v>0</v>
      </c>
      <c r="Z24" s="106">
        <f t="shared" si="290"/>
        <v>0</v>
      </c>
      <c r="AA24" s="106">
        <f t="shared" si="291"/>
        <v>89334233.379999995</v>
      </c>
      <c r="AC24" s="106">
        <f t="shared" si="292"/>
        <v>0</v>
      </c>
      <c r="AD24" s="106">
        <f t="shared" si="293"/>
        <v>0</v>
      </c>
      <c r="AE24" s="106">
        <f t="shared" si="294"/>
        <v>0</v>
      </c>
      <c r="AF24" s="106">
        <f t="shared" si="295"/>
        <v>0</v>
      </c>
      <c r="AG24" s="106">
        <f t="shared" si="296"/>
        <v>0</v>
      </c>
      <c r="AH24" s="106">
        <f t="shared" si="297"/>
        <v>0</v>
      </c>
      <c r="AI24" s="106">
        <f t="shared" si="298"/>
        <v>0</v>
      </c>
      <c r="AJ24" s="106">
        <f t="shared" si="299"/>
        <v>0</v>
      </c>
      <c r="AK24" s="106">
        <f t="shared" si="300"/>
        <v>0</v>
      </c>
      <c r="AL24" s="106">
        <f t="shared" si="301"/>
        <v>0</v>
      </c>
      <c r="AM24" s="106">
        <f t="shared" si="302"/>
        <v>0</v>
      </c>
      <c r="AN24" s="106">
        <f t="shared" si="303"/>
        <v>0</v>
      </c>
      <c r="AO24" s="106">
        <f t="shared" si="304"/>
        <v>0</v>
      </c>
      <c r="AQ24" s="106">
        <v>5211864.41</v>
      </c>
      <c r="AR24" s="106">
        <v>2585355.9300000002</v>
      </c>
      <c r="AS24" s="106">
        <v>3435398.31</v>
      </c>
      <c r="AT24" s="106">
        <v>13107106.779999997</v>
      </c>
      <c r="AU24" s="106">
        <v>11726124.74</v>
      </c>
      <c r="AV24" s="106">
        <v>9740000</v>
      </c>
      <c r="AW24" s="106">
        <v>22764009</v>
      </c>
      <c r="AX24" s="106">
        <v>6350000</v>
      </c>
      <c r="AY24" s="106">
        <v>7000000</v>
      </c>
      <c r="AZ24" s="106">
        <v>4811506.49</v>
      </c>
      <c r="BA24" s="106">
        <v>9617372.879999999</v>
      </c>
      <c r="BB24" s="106">
        <v>5731188.1200000001</v>
      </c>
      <c r="BC24" s="106">
        <f t="shared" ref="BC24:BC26" si="305">+SUM(AQ24:BB24)</f>
        <v>102079926.66</v>
      </c>
      <c r="BD24" s="7" t="str">
        <f t="shared" si="47"/>
        <v>Turnover,</v>
      </c>
      <c r="BE24" s="106">
        <f>+VLOOKUP($BD24,'Jan-25'!$A:$J,2,0)</f>
        <v>7364677.9699999997</v>
      </c>
      <c r="BF24" s="106">
        <f>+VLOOKUP($BD24,'Feb-25'!$A:$J,2,0)</f>
        <v>8268506.2000000002</v>
      </c>
      <c r="BG24" s="106">
        <f>+VLOOKUP($BD24,'Mar-25'!$A:$J,2,0)</f>
        <v>13262641.530000001</v>
      </c>
      <c r="BH24" s="106">
        <f>+VLOOKUP($BD24,'Apr-25'!$A:$J,2,0)</f>
        <v>10367796.609999999</v>
      </c>
      <c r="BI24" s="106">
        <f>+VLOOKUP($BD24,'May-25'!$A:$J,2,0)</f>
        <v>4392066.9499999993</v>
      </c>
      <c r="BJ24" s="106">
        <f>+VLOOKUP($BD24,'June-25'!$A:$J,2,0)</f>
        <v>2645309.3199999998</v>
      </c>
      <c r="BK24" s="106">
        <f>+VLOOKUP($BD24,'July-25'!$A:$J,2,0)</f>
        <v>7078844.9699999997</v>
      </c>
      <c r="BL24" s="106">
        <f>+VLOOKUP($BD24,'Aug-25'!$A:$J,2,0)</f>
        <v>11355745.76</v>
      </c>
      <c r="BM24" s="106">
        <f>+VLOOKUP($BD24,'Sep-25'!$A:$J,2,0)</f>
        <v>7925000</v>
      </c>
      <c r="BN24" s="106">
        <f>+VLOOKUP($BD24,'Oct-25'!$A:$J,2,0)</f>
        <v>16673644.07</v>
      </c>
      <c r="BO24" s="106">
        <f>+VLOOKUP($BD24,'Nov-25'!$A:$J,2,0)</f>
        <v>0</v>
      </c>
      <c r="BP24" s="106">
        <f>+VLOOKUP($BD24,'Dec-25'!$A:$J,2,0)</f>
        <v>0</v>
      </c>
      <c r="BQ24" s="106">
        <f t="shared" ref="BQ24:BQ26" si="306">+SUM(BE24:BP24)</f>
        <v>89334233.379999995</v>
      </c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  <c r="CF24" s="22"/>
      <c r="CG24" s="106"/>
      <c r="CH24" s="106"/>
      <c r="CI24" s="106"/>
      <c r="CJ24" s="106"/>
      <c r="CK24" s="106"/>
      <c r="CL24" s="106"/>
      <c r="CM24" s="106"/>
      <c r="CN24" s="106"/>
      <c r="CO24" s="106"/>
      <c r="CP24" s="106"/>
      <c r="CQ24" s="106"/>
      <c r="CR24" s="106"/>
      <c r="CS24" s="106">
        <f t="shared" ref="CS24:CS26" si="307">+SUM(CG24:CR24)</f>
        <v>0</v>
      </c>
      <c r="CT24" s="7" t="str">
        <f t="shared" si="51"/>
        <v>Turnover,</v>
      </c>
      <c r="CU24" s="106">
        <f>+VLOOKUP($BD24,'Jan-25'!$A:$J,6,0)</f>
        <v>0</v>
      </c>
      <c r="CV24" s="106">
        <f>+VLOOKUP($BD24,'Feb-25'!$A:$J,6,0)</f>
        <v>0</v>
      </c>
      <c r="CW24" s="106">
        <f>+VLOOKUP($BD24,'Mar-25'!$A:$J,6,0)</f>
        <v>0</v>
      </c>
      <c r="CX24" s="106">
        <f>+VLOOKUP($BD24,'Apr-25'!$A:$J,6,0)</f>
        <v>0</v>
      </c>
      <c r="CY24" s="106">
        <f>+VLOOKUP($BD24,'May-25'!$A:$J,6,0)</f>
        <v>0</v>
      </c>
      <c r="CZ24" s="106">
        <f>+VLOOKUP($BD24,'June-25'!$A:$J,6,0)</f>
        <v>0</v>
      </c>
      <c r="DA24" s="106">
        <f>+VLOOKUP($BD24,'July-25'!$A:$J,6,0)</f>
        <v>0</v>
      </c>
      <c r="DB24" s="106">
        <f>+VLOOKUP($BD24,'Aug-25'!$A:$J,6,0)</f>
        <v>0</v>
      </c>
      <c r="DC24" s="106">
        <f>+VLOOKUP($BD24,'Sep-25'!$A:$J,6,0)</f>
        <v>0</v>
      </c>
      <c r="DD24" s="106">
        <f>+VLOOKUP($BD24,'Oct-25'!$A:$J,6,0)</f>
        <v>0</v>
      </c>
      <c r="DE24" s="106">
        <f>+VLOOKUP($BD24,'Nov-25'!$A:$J,6,0)</f>
        <v>0</v>
      </c>
      <c r="DF24" s="106">
        <f>+VLOOKUP($BD24,'Dec-25'!$A:$J,6,0)</f>
        <v>0</v>
      </c>
      <c r="DG24" s="106">
        <f t="shared" ref="DG24:DG26" si="308">+SUM(CU24:DF24)</f>
        <v>0</v>
      </c>
      <c r="DI24" s="106"/>
      <c r="DJ24" s="106"/>
      <c r="DK24" s="106"/>
      <c r="DL24" s="106"/>
      <c r="DM24" s="106"/>
      <c r="DN24" s="106"/>
      <c r="DO24" s="106"/>
      <c r="DP24" s="106"/>
      <c r="DQ24" s="106"/>
      <c r="DR24" s="106"/>
      <c r="DS24" s="106"/>
      <c r="DT24" s="106"/>
      <c r="DU24" s="106">
        <f t="shared" ref="DU24:DU26" si="309">+SUM(DI24:DT24)</f>
        <v>0</v>
      </c>
    </row>
    <row r="25" spans="1:125" ht="14.45" customHeight="1">
      <c r="A25" s="106">
        <f t="shared" si="267"/>
        <v>5000000</v>
      </c>
      <c r="B25" s="106">
        <f t="shared" si="268"/>
        <v>2600000</v>
      </c>
      <c r="C25" s="106">
        <f t="shared" si="269"/>
        <v>3660000</v>
      </c>
      <c r="D25" s="106">
        <f t="shared" si="270"/>
        <v>12800000</v>
      </c>
      <c r="E25" s="106">
        <f t="shared" si="271"/>
        <v>11675000</v>
      </c>
      <c r="F25" s="106">
        <f t="shared" si="272"/>
        <v>9540000</v>
      </c>
      <c r="G25" s="106">
        <f t="shared" si="273"/>
        <v>22600000</v>
      </c>
      <c r="H25" s="106">
        <f t="shared" si="274"/>
        <v>6610000</v>
      </c>
      <c r="I25" s="106">
        <f t="shared" si="275"/>
        <v>7200000</v>
      </c>
      <c r="J25" s="106">
        <f t="shared" si="276"/>
        <v>4825000</v>
      </c>
      <c r="K25" s="106">
        <f t="shared" si="277"/>
        <v>9925000</v>
      </c>
      <c r="L25" s="106">
        <f t="shared" si="278"/>
        <v>5900000</v>
      </c>
      <c r="M25" s="106">
        <f t="shared" si="149"/>
        <v>102335000</v>
      </c>
      <c r="N25" s="7" t="s">
        <v>22</v>
      </c>
      <c r="O25" s="106">
        <f t="shared" si="279"/>
        <v>7408999.9999999991</v>
      </c>
      <c r="P25" s="106">
        <f t="shared" si="280"/>
        <v>9005000</v>
      </c>
      <c r="Q25" s="106">
        <f t="shared" si="281"/>
        <v>13119999.999999998</v>
      </c>
      <c r="R25" s="106">
        <f t="shared" si="282"/>
        <v>10050000</v>
      </c>
      <c r="S25" s="106">
        <f t="shared" si="283"/>
        <v>4370000</v>
      </c>
      <c r="T25" s="106">
        <f t="shared" si="284"/>
        <v>2600000</v>
      </c>
      <c r="U25" s="106">
        <f t="shared" si="285"/>
        <v>7259999.9999999991</v>
      </c>
      <c r="V25" s="106">
        <f t="shared" si="286"/>
        <v>11271000</v>
      </c>
      <c r="W25" s="106">
        <f t="shared" si="287"/>
        <v>7925000</v>
      </c>
      <c r="X25" s="106">
        <f t="shared" si="288"/>
        <v>16305000.000000002</v>
      </c>
      <c r="Y25" s="106">
        <f t="shared" si="289"/>
        <v>0</v>
      </c>
      <c r="Z25" s="106">
        <f t="shared" si="290"/>
        <v>0</v>
      </c>
      <c r="AA25" s="106">
        <f t="shared" si="291"/>
        <v>89315000</v>
      </c>
      <c r="AC25" s="106">
        <f t="shared" si="292"/>
        <v>0</v>
      </c>
      <c r="AD25" s="106">
        <f t="shared" si="293"/>
        <v>0</v>
      </c>
      <c r="AE25" s="106">
        <f t="shared" si="294"/>
        <v>0</v>
      </c>
      <c r="AF25" s="106">
        <f t="shared" si="295"/>
        <v>0</v>
      </c>
      <c r="AG25" s="106">
        <f t="shared" si="296"/>
        <v>0</v>
      </c>
      <c r="AH25" s="106">
        <f t="shared" si="297"/>
        <v>0</v>
      </c>
      <c r="AI25" s="106">
        <f t="shared" si="298"/>
        <v>0</v>
      </c>
      <c r="AJ25" s="106">
        <f t="shared" si="299"/>
        <v>0</v>
      </c>
      <c r="AK25" s="106">
        <f t="shared" si="300"/>
        <v>0</v>
      </c>
      <c r="AL25" s="106">
        <f t="shared" si="301"/>
        <v>0</v>
      </c>
      <c r="AM25" s="106">
        <f t="shared" si="302"/>
        <v>0</v>
      </c>
      <c r="AN25" s="106">
        <f t="shared" si="303"/>
        <v>0</v>
      </c>
      <c r="AO25" s="106">
        <f t="shared" si="304"/>
        <v>0</v>
      </c>
      <c r="AQ25" s="106">
        <v>5000000</v>
      </c>
      <c r="AR25" s="106">
        <v>2600000</v>
      </c>
      <c r="AS25" s="106">
        <v>3660000</v>
      </c>
      <c r="AT25" s="106">
        <v>12800000</v>
      </c>
      <c r="AU25" s="106">
        <v>11675000</v>
      </c>
      <c r="AV25" s="106">
        <v>9540000</v>
      </c>
      <c r="AW25" s="106">
        <v>22600000</v>
      </c>
      <c r="AX25" s="106">
        <v>6610000</v>
      </c>
      <c r="AY25" s="106">
        <v>7200000</v>
      </c>
      <c r="AZ25" s="106">
        <v>4825000</v>
      </c>
      <c r="BA25" s="106">
        <v>9925000</v>
      </c>
      <c r="BB25" s="106">
        <v>5900000</v>
      </c>
      <c r="BC25" s="106">
        <f t="shared" si="305"/>
        <v>102335000</v>
      </c>
      <c r="BD25" s="7" t="str">
        <f t="shared" si="47"/>
        <v>Cost of goods sold - Exchange</v>
      </c>
      <c r="BE25" s="106">
        <f>+VLOOKUP($BD25,'Jan-25'!$A:$J,2,0)</f>
        <v>7408999.9999999991</v>
      </c>
      <c r="BF25" s="106">
        <f>+VLOOKUP($BD25,'Feb-25'!$A:$J,2,0)</f>
        <v>9005000</v>
      </c>
      <c r="BG25" s="106">
        <f>+VLOOKUP($BD25,'Mar-25'!$A:$J,2,0)</f>
        <v>13119999.999999998</v>
      </c>
      <c r="BH25" s="106">
        <f>+VLOOKUP($BD25,'Apr-25'!$A:$J,2,0)</f>
        <v>10050000</v>
      </c>
      <c r="BI25" s="106">
        <f>+VLOOKUP($BD25,'May-25'!$A:$J,2,0)</f>
        <v>4370000</v>
      </c>
      <c r="BJ25" s="106">
        <f>+VLOOKUP($BD25,'June-25'!$A:$J,2,0)</f>
        <v>2600000</v>
      </c>
      <c r="BK25" s="106">
        <f>+VLOOKUP($BD25,'July-25'!$A:$J,2,0)</f>
        <v>7259999.9999999991</v>
      </c>
      <c r="BL25" s="106">
        <f>+VLOOKUP($BD25,'Aug-25'!$A:$J,2,0)</f>
        <v>11271000</v>
      </c>
      <c r="BM25" s="106">
        <f>+VLOOKUP($BD25,'Sep-25'!$A:$J,2,0)</f>
        <v>7925000</v>
      </c>
      <c r="BN25" s="106">
        <f>+VLOOKUP($BD25,'Oct-25'!$A:$J,2,0)</f>
        <v>16305000.000000002</v>
      </c>
      <c r="BO25" s="106">
        <f>+VLOOKUP($BD25,'Nov-25'!$A:$J,2,0)</f>
        <v>0</v>
      </c>
      <c r="BP25" s="106">
        <f>+VLOOKUP($BD25,'Dec-25'!$A:$J,2,0)</f>
        <v>0</v>
      </c>
      <c r="BQ25" s="106">
        <f t="shared" si="306"/>
        <v>89315000</v>
      </c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22"/>
      <c r="CG25" s="106"/>
      <c r="CH25" s="106"/>
      <c r="CI25" s="106"/>
      <c r="CJ25" s="106"/>
      <c r="CK25" s="106"/>
      <c r="CL25" s="106"/>
      <c r="CM25" s="106"/>
      <c r="CN25" s="106"/>
      <c r="CO25" s="106"/>
      <c r="CP25" s="106"/>
      <c r="CQ25" s="106"/>
      <c r="CR25" s="106"/>
      <c r="CS25" s="106">
        <f t="shared" si="307"/>
        <v>0</v>
      </c>
      <c r="CT25" s="7" t="str">
        <f t="shared" si="51"/>
        <v>Cost of goods sold - Exchange</v>
      </c>
      <c r="CU25" s="106">
        <f>+VLOOKUP($BD25,'Jan-25'!$A:$J,6,0)</f>
        <v>0</v>
      </c>
      <c r="CV25" s="106">
        <f>+VLOOKUP($BD25,'Feb-25'!$A:$J,6,0)</f>
        <v>0</v>
      </c>
      <c r="CW25" s="106">
        <f>+VLOOKUP($BD25,'Mar-25'!$A:$J,6,0)</f>
        <v>0</v>
      </c>
      <c r="CX25" s="106">
        <f>+VLOOKUP($BD25,'Apr-25'!$A:$J,6,0)</f>
        <v>0</v>
      </c>
      <c r="CY25" s="106">
        <f>+VLOOKUP($BD25,'May-25'!$A:$J,6,0)</f>
        <v>0</v>
      </c>
      <c r="CZ25" s="106">
        <f>+VLOOKUP($BD25,'June-25'!$A:$J,6,0)</f>
        <v>0</v>
      </c>
      <c r="DA25" s="106">
        <f>+VLOOKUP($BD25,'July-25'!$A:$J,6,0)</f>
        <v>0</v>
      </c>
      <c r="DB25" s="106">
        <f>+VLOOKUP($BD25,'Aug-25'!$A:$J,6,0)</f>
        <v>0</v>
      </c>
      <c r="DC25" s="106">
        <f>+VLOOKUP($BD25,'Sep-25'!$A:$J,6,0)</f>
        <v>0</v>
      </c>
      <c r="DD25" s="106">
        <f>+VLOOKUP($BD25,'Oct-25'!$A:$J,6,0)</f>
        <v>0</v>
      </c>
      <c r="DE25" s="106">
        <f>+VLOOKUP($BD25,'Nov-25'!$A:$J,6,0)</f>
        <v>0</v>
      </c>
      <c r="DF25" s="106">
        <f>+VLOOKUP($BD25,'Dec-25'!$A:$J,6,0)</f>
        <v>0</v>
      </c>
      <c r="DG25" s="106">
        <f t="shared" si="308"/>
        <v>0</v>
      </c>
      <c r="DI25" s="106"/>
      <c r="DJ25" s="106"/>
      <c r="DK25" s="106"/>
      <c r="DL25" s="106"/>
      <c r="DM25" s="106"/>
      <c r="DN25" s="106"/>
      <c r="DO25" s="106"/>
      <c r="DP25" s="106"/>
      <c r="DQ25" s="106"/>
      <c r="DR25" s="106"/>
      <c r="DS25" s="106"/>
      <c r="DT25" s="106"/>
      <c r="DU25" s="106">
        <f t="shared" si="309"/>
        <v>0</v>
      </c>
    </row>
    <row r="26" spans="1:125" ht="14.45" customHeight="1">
      <c r="A26" s="106">
        <f t="shared" si="267"/>
        <v>400</v>
      </c>
      <c r="B26" s="106">
        <f t="shared" si="268"/>
        <v>0</v>
      </c>
      <c r="C26" s="106">
        <f t="shared" si="269"/>
        <v>4600</v>
      </c>
      <c r="D26" s="106">
        <f t="shared" si="270"/>
        <v>152868.67239999998</v>
      </c>
      <c r="E26" s="106">
        <f t="shared" si="271"/>
        <v>0</v>
      </c>
      <c r="F26" s="106">
        <f t="shared" si="272"/>
        <v>63465.69999999999</v>
      </c>
      <c r="G26" s="106">
        <f t="shared" si="273"/>
        <v>27062.999999999996</v>
      </c>
      <c r="H26" s="106">
        <f t="shared" si="274"/>
        <v>35924</v>
      </c>
      <c r="I26" s="106">
        <f t="shared" si="275"/>
        <v>0</v>
      </c>
      <c r="J26" s="106">
        <f t="shared" si="276"/>
        <v>0</v>
      </c>
      <c r="K26" s="106">
        <f t="shared" si="277"/>
        <v>0</v>
      </c>
      <c r="L26" s="106">
        <f t="shared" si="278"/>
        <v>0</v>
      </c>
      <c r="M26" s="106">
        <f t="shared" si="149"/>
        <v>284321.37239999999</v>
      </c>
      <c r="N26" s="7" t="s">
        <v>23</v>
      </c>
      <c r="O26" s="106">
        <f t="shared" si="279"/>
        <v>0</v>
      </c>
      <c r="P26" s="106">
        <f t="shared" si="280"/>
        <v>0</v>
      </c>
      <c r="Q26" s="106">
        <f t="shared" si="281"/>
        <v>0</v>
      </c>
      <c r="R26" s="106">
        <f t="shared" si="282"/>
        <v>3500.0000000000005</v>
      </c>
      <c r="S26" s="106">
        <f t="shared" si="283"/>
        <v>0</v>
      </c>
      <c r="T26" s="106">
        <f t="shared" si="284"/>
        <v>0</v>
      </c>
      <c r="U26" s="106">
        <f t="shared" si="285"/>
        <v>16890</v>
      </c>
      <c r="V26" s="106">
        <f t="shared" si="286"/>
        <v>0</v>
      </c>
      <c r="W26" s="106">
        <f t="shared" si="287"/>
        <v>0</v>
      </c>
      <c r="X26" s="106">
        <f t="shared" si="288"/>
        <v>91304</v>
      </c>
      <c r="Y26" s="106">
        <f t="shared" si="289"/>
        <v>0</v>
      </c>
      <c r="Z26" s="106">
        <f t="shared" si="290"/>
        <v>0</v>
      </c>
      <c r="AA26" s="106">
        <f t="shared" si="291"/>
        <v>111694</v>
      </c>
      <c r="AC26" s="106">
        <f t="shared" si="292"/>
        <v>0</v>
      </c>
      <c r="AD26" s="106">
        <f t="shared" si="293"/>
        <v>0</v>
      </c>
      <c r="AE26" s="106">
        <f t="shared" si="294"/>
        <v>0</v>
      </c>
      <c r="AF26" s="106">
        <f t="shared" si="295"/>
        <v>0</v>
      </c>
      <c r="AG26" s="106">
        <f t="shared" si="296"/>
        <v>0</v>
      </c>
      <c r="AH26" s="106">
        <f t="shared" si="297"/>
        <v>0</v>
      </c>
      <c r="AI26" s="106">
        <f t="shared" si="298"/>
        <v>0</v>
      </c>
      <c r="AJ26" s="106">
        <f t="shared" si="299"/>
        <v>0</v>
      </c>
      <c r="AK26" s="106">
        <f t="shared" si="300"/>
        <v>0</v>
      </c>
      <c r="AL26" s="106">
        <f t="shared" si="301"/>
        <v>0</v>
      </c>
      <c r="AM26" s="106">
        <f t="shared" si="302"/>
        <v>0</v>
      </c>
      <c r="AN26" s="106">
        <f t="shared" si="303"/>
        <v>0</v>
      </c>
      <c r="AO26" s="106">
        <f t="shared" si="304"/>
        <v>0</v>
      </c>
      <c r="AQ26" s="106">
        <v>400</v>
      </c>
      <c r="AR26" s="106">
        <v>0</v>
      </c>
      <c r="AS26" s="106">
        <v>4600</v>
      </c>
      <c r="AT26" s="106">
        <v>152868.67239999998</v>
      </c>
      <c r="AU26" s="106">
        <v>0</v>
      </c>
      <c r="AV26" s="106">
        <v>63465.69999999999</v>
      </c>
      <c r="AW26" s="106">
        <v>27062.999999999996</v>
      </c>
      <c r="AX26" s="106">
        <v>35924</v>
      </c>
      <c r="AY26" s="106">
        <v>0</v>
      </c>
      <c r="AZ26" s="106">
        <v>0</v>
      </c>
      <c r="BA26" s="106">
        <v>0</v>
      </c>
      <c r="BB26" s="106">
        <v>0</v>
      </c>
      <c r="BC26" s="106">
        <f t="shared" si="305"/>
        <v>284321.37239999999</v>
      </c>
      <c r="BD26" s="7" t="str">
        <f t="shared" si="47"/>
        <v>Refurbishment expenses</v>
      </c>
      <c r="BE26" s="106">
        <f>+VLOOKUP($BD26,'Jan-25'!$A:$J,2,0)</f>
        <v>0</v>
      </c>
      <c r="BF26" s="106">
        <f>+VLOOKUP($BD26,'Feb-25'!$A:$J,2,0)</f>
        <v>0</v>
      </c>
      <c r="BG26" s="106">
        <f>+VLOOKUP($BD26,'Mar-25'!$A:$J,2,0)</f>
        <v>0</v>
      </c>
      <c r="BH26" s="106">
        <f>+VLOOKUP($BD26,'Apr-25'!$A:$J,2,0)</f>
        <v>3500.0000000000005</v>
      </c>
      <c r="BI26" s="106">
        <f>+VLOOKUP($BD26,'May-25'!$A:$J,2,0)</f>
        <v>0</v>
      </c>
      <c r="BJ26" s="106">
        <f>+VLOOKUP($BD26,'June-25'!$A:$J,2,0)</f>
        <v>0</v>
      </c>
      <c r="BK26" s="106">
        <f>+VLOOKUP($BD26,'July-25'!$A:$J,2,0)</f>
        <v>16890</v>
      </c>
      <c r="BL26" s="106">
        <f>+VLOOKUP($BD26,'Aug-25'!$A:$J,2,0)</f>
        <v>0</v>
      </c>
      <c r="BM26" s="106">
        <f>+VLOOKUP($BD26,'Sep-25'!$A:$J,2,0)</f>
        <v>0</v>
      </c>
      <c r="BN26" s="106">
        <f>+VLOOKUP($BD26,'Oct-25'!$A:$J,2,0)</f>
        <v>91304</v>
      </c>
      <c r="BO26" s="106">
        <f>+VLOOKUP($BD26,'Nov-25'!$A:$J,2,0)</f>
        <v>0</v>
      </c>
      <c r="BP26" s="106">
        <f>+VLOOKUP($BD26,'Dec-25'!$A:$J,2,0)</f>
        <v>0</v>
      </c>
      <c r="BQ26" s="106">
        <f t="shared" si="306"/>
        <v>111694</v>
      </c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  <c r="CF26" s="22"/>
      <c r="CG26" s="106"/>
      <c r="CH26" s="106"/>
      <c r="CI26" s="106"/>
      <c r="CJ26" s="106"/>
      <c r="CK26" s="106"/>
      <c r="CL26" s="106"/>
      <c r="CM26" s="106"/>
      <c r="CN26" s="106"/>
      <c r="CO26" s="106"/>
      <c r="CP26" s="106"/>
      <c r="CQ26" s="106"/>
      <c r="CR26" s="106"/>
      <c r="CS26" s="106">
        <f t="shared" si="307"/>
        <v>0</v>
      </c>
      <c r="CT26" s="7" t="str">
        <f t="shared" si="51"/>
        <v>Refurbishment expenses</v>
      </c>
      <c r="CU26" s="106">
        <f>+VLOOKUP($BD26,'Jan-25'!$A:$J,6,0)</f>
        <v>0</v>
      </c>
      <c r="CV26" s="106">
        <f>+VLOOKUP($BD26,'Feb-25'!$A:$J,6,0)</f>
        <v>0</v>
      </c>
      <c r="CW26" s="106">
        <f>+VLOOKUP($BD26,'Mar-25'!$A:$J,6,0)</f>
        <v>0</v>
      </c>
      <c r="CX26" s="106">
        <f>+VLOOKUP($BD26,'Apr-25'!$A:$J,6,0)</f>
        <v>0</v>
      </c>
      <c r="CY26" s="106">
        <f>+VLOOKUP($BD26,'May-25'!$A:$J,6,0)</f>
        <v>0</v>
      </c>
      <c r="CZ26" s="106">
        <f>+VLOOKUP($BD26,'June-25'!$A:$J,6,0)</f>
        <v>0</v>
      </c>
      <c r="DA26" s="106">
        <f>+VLOOKUP($BD26,'July-25'!$A:$J,6,0)</f>
        <v>0</v>
      </c>
      <c r="DB26" s="106">
        <f>+VLOOKUP($BD26,'Aug-25'!$A:$J,6,0)</f>
        <v>0</v>
      </c>
      <c r="DC26" s="106">
        <f>+VLOOKUP($BD26,'Sep-25'!$A:$J,6,0)</f>
        <v>0</v>
      </c>
      <c r="DD26" s="106">
        <f>+VLOOKUP($BD26,'Oct-25'!$A:$J,6,0)</f>
        <v>0</v>
      </c>
      <c r="DE26" s="106">
        <f>+VLOOKUP($BD26,'Nov-25'!$A:$J,6,0)</f>
        <v>0</v>
      </c>
      <c r="DF26" s="106">
        <f>+VLOOKUP($BD26,'Dec-25'!$A:$J,6,0)</f>
        <v>0</v>
      </c>
      <c r="DG26" s="106">
        <f t="shared" si="308"/>
        <v>0</v>
      </c>
      <c r="DI26" s="106"/>
      <c r="DJ26" s="106"/>
      <c r="DK26" s="106"/>
      <c r="DL26" s="106"/>
      <c r="DM26" s="106"/>
      <c r="DN26" s="106"/>
      <c r="DO26" s="106"/>
      <c r="DP26" s="106"/>
      <c r="DQ26" s="106"/>
      <c r="DR26" s="106"/>
      <c r="DS26" s="106"/>
      <c r="DT26" s="106"/>
      <c r="DU26" s="106">
        <f t="shared" si="309"/>
        <v>0</v>
      </c>
    </row>
    <row r="27" spans="1:125" ht="14.45" customHeight="1">
      <c r="A27" s="58">
        <f>+A24-A25-A26</f>
        <v>211464.41000000015</v>
      </c>
      <c r="B27" s="58">
        <f t="shared" ref="B27:L27" si="310">+B24-B25-B26</f>
        <v>-14644.069999999832</v>
      </c>
      <c r="C27" s="58">
        <f t="shared" si="310"/>
        <v>-229201.68999999994</v>
      </c>
      <c r="D27" s="58">
        <f t="shared" si="310"/>
        <v>154238.10759999749</v>
      </c>
      <c r="E27" s="58">
        <f t="shared" si="310"/>
        <v>51124.740000000224</v>
      </c>
      <c r="F27" s="58">
        <f t="shared" si="310"/>
        <v>136534.30000000002</v>
      </c>
      <c r="G27" s="58">
        <f t="shared" si="310"/>
        <v>136946</v>
      </c>
      <c r="H27" s="58">
        <f t="shared" si="310"/>
        <v>-295924</v>
      </c>
      <c r="I27" s="58">
        <f t="shared" si="310"/>
        <v>-200000</v>
      </c>
      <c r="J27" s="58">
        <f t="shared" si="310"/>
        <v>-13493.509999999776</v>
      </c>
      <c r="K27" s="58">
        <f t="shared" si="310"/>
        <v>-307627.12000000104</v>
      </c>
      <c r="L27" s="58">
        <f t="shared" si="310"/>
        <v>-168811.87999999989</v>
      </c>
      <c r="M27" s="58">
        <f>+M24-M25-M26</f>
        <v>-539394.71240000357</v>
      </c>
      <c r="N27" s="10" t="s">
        <v>20</v>
      </c>
      <c r="O27" s="58">
        <f>+O24-O25-O26</f>
        <v>-44322.029999999329</v>
      </c>
      <c r="P27" s="58">
        <f t="shared" ref="P27" si="311">+P24-P25-P26</f>
        <v>-736493.79999999981</v>
      </c>
      <c r="Q27" s="58">
        <f t="shared" ref="Q27" si="312">+Q24-Q25-Q26</f>
        <v>142641.53000000305</v>
      </c>
      <c r="R27" s="58">
        <f t="shared" ref="R27" si="313">+R24-R25-R26</f>
        <v>314296.6099999994</v>
      </c>
      <c r="S27" s="58">
        <f t="shared" ref="S27" si="314">+S24-S25-S26</f>
        <v>22066.949999999255</v>
      </c>
      <c r="T27" s="58">
        <f t="shared" ref="T27" si="315">+T24-T25-T26</f>
        <v>45309.319999999832</v>
      </c>
      <c r="U27" s="58">
        <f t="shared" ref="U27" si="316">+U24-U25-U26</f>
        <v>-198045.02999999933</v>
      </c>
      <c r="V27" s="58">
        <f t="shared" ref="V27" si="317">+V24-V25-V26</f>
        <v>84745.759999999776</v>
      </c>
      <c r="W27" s="58">
        <f t="shared" ref="W27" si="318">+W24-W25-W26</f>
        <v>0</v>
      </c>
      <c r="X27" s="58">
        <f t="shared" ref="X27" si="319">+X24-X25-X26</f>
        <v>277340.06999999844</v>
      </c>
      <c r="Y27" s="58">
        <f t="shared" ref="Y27" si="320">+Y24-Y25-Y26</f>
        <v>0</v>
      </c>
      <c r="Z27" s="58">
        <f t="shared" ref="Z27" si="321">+Z24-Z25-Z26</f>
        <v>0</v>
      </c>
      <c r="AA27" s="58">
        <f>+AA24-AA25-AA26</f>
        <v>-92460.620000004768</v>
      </c>
      <c r="AC27" s="58">
        <f>+AC24-AC25-AC26</f>
        <v>0</v>
      </c>
      <c r="AD27" s="58">
        <f t="shared" ref="AD27" si="322">+AD24-AD25-AD26</f>
        <v>0</v>
      </c>
      <c r="AE27" s="58">
        <f t="shared" ref="AE27" si="323">+AE24-AE25-AE26</f>
        <v>0</v>
      </c>
      <c r="AF27" s="58">
        <f t="shared" ref="AF27" si="324">+AF24-AF25-AF26</f>
        <v>0</v>
      </c>
      <c r="AG27" s="58">
        <f t="shared" ref="AG27" si="325">+AG24-AG25-AG26</f>
        <v>0</v>
      </c>
      <c r="AH27" s="58">
        <f t="shared" ref="AH27" si="326">+AH24-AH25-AH26</f>
        <v>0</v>
      </c>
      <c r="AI27" s="58">
        <f t="shared" ref="AI27" si="327">+AI24-AI25-AI26</f>
        <v>0</v>
      </c>
      <c r="AJ27" s="58">
        <f t="shared" ref="AJ27" si="328">+AJ24-AJ25-AJ26</f>
        <v>0</v>
      </c>
      <c r="AK27" s="58">
        <f t="shared" ref="AK27" si="329">+AK24-AK25-AK26</f>
        <v>0</v>
      </c>
      <c r="AL27" s="58">
        <f t="shared" ref="AL27" si="330">+AL24-AL25-AL26</f>
        <v>0</v>
      </c>
      <c r="AM27" s="58">
        <f t="shared" ref="AM27" si="331">+AM24-AM25-AM26</f>
        <v>0</v>
      </c>
      <c r="AN27" s="58">
        <f t="shared" ref="AN27" si="332">+AN24-AN25-AN26</f>
        <v>0</v>
      </c>
      <c r="AO27" s="58">
        <f>+AO24-AO25-AO26</f>
        <v>0</v>
      </c>
      <c r="AQ27" s="58">
        <f t="shared" ref="AQ27:BC27" si="333">+AQ24-AQ25-AQ26</f>
        <v>211464.41000000015</v>
      </c>
      <c r="AR27" s="58">
        <f t="shared" si="333"/>
        <v>-14644.069999999832</v>
      </c>
      <c r="AS27" s="58">
        <f t="shared" si="333"/>
        <v>-229201.68999999994</v>
      </c>
      <c r="AT27" s="58">
        <f t="shared" si="333"/>
        <v>154238.10759999749</v>
      </c>
      <c r="AU27" s="58">
        <f t="shared" si="333"/>
        <v>51124.740000000224</v>
      </c>
      <c r="AV27" s="58">
        <f t="shared" si="333"/>
        <v>136534.30000000002</v>
      </c>
      <c r="AW27" s="58">
        <f t="shared" si="333"/>
        <v>136946</v>
      </c>
      <c r="AX27" s="58">
        <f t="shared" si="333"/>
        <v>-295924</v>
      </c>
      <c r="AY27" s="58">
        <f t="shared" si="333"/>
        <v>-200000</v>
      </c>
      <c r="AZ27" s="58">
        <f t="shared" si="333"/>
        <v>-13493.509999999776</v>
      </c>
      <c r="BA27" s="58">
        <f t="shared" si="333"/>
        <v>-307627.12000000104</v>
      </c>
      <c r="BB27" s="58">
        <f t="shared" si="333"/>
        <v>-168811.87999999989</v>
      </c>
      <c r="BC27" s="58">
        <f t="shared" si="333"/>
        <v>-539394.71240000357</v>
      </c>
      <c r="BD27" s="10" t="str">
        <f t="shared" si="47"/>
        <v>Gross Profit</v>
      </c>
      <c r="BE27" s="58">
        <f t="shared" ref="BE27:BQ27" si="334">+BE24-BE25-BE26</f>
        <v>-44322.029999999329</v>
      </c>
      <c r="BF27" s="58">
        <f t="shared" si="334"/>
        <v>-736493.79999999981</v>
      </c>
      <c r="BG27" s="58">
        <f t="shared" si="334"/>
        <v>142641.53000000305</v>
      </c>
      <c r="BH27" s="58">
        <f t="shared" si="334"/>
        <v>314296.6099999994</v>
      </c>
      <c r="BI27" s="58">
        <f t="shared" si="334"/>
        <v>22066.949999999255</v>
      </c>
      <c r="BJ27" s="58">
        <f t="shared" si="334"/>
        <v>45309.319999999832</v>
      </c>
      <c r="BK27" s="58">
        <f t="shared" si="334"/>
        <v>-198045.02999999933</v>
      </c>
      <c r="BL27" s="58">
        <f t="shared" si="334"/>
        <v>84745.759999999776</v>
      </c>
      <c r="BM27" s="58">
        <f t="shared" si="334"/>
        <v>0</v>
      </c>
      <c r="BN27" s="58">
        <f t="shared" si="334"/>
        <v>277340.06999999844</v>
      </c>
      <c r="BO27" s="58">
        <f t="shared" si="334"/>
        <v>0</v>
      </c>
      <c r="BP27" s="58">
        <f t="shared" si="334"/>
        <v>0</v>
      </c>
      <c r="BQ27" s="58">
        <f t="shared" si="334"/>
        <v>-92460.620000004768</v>
      </c>
      <c r="BS27" s="58">
        <f t="shared" ref="BS27:CE27" si="335">+BS24-BS25-BS26</f>
        <v>0</v>
      </c>
      <c r="BT27" s="58">
        <f t="shared" si="335"/>
        <v>0</v>
      </c>
      <c r="BU27" s="58">
        <f t="shared" si="335"/>
        <v>0</v>
      </c>
      <c r="BV27" s="58">
        <f t="shared" si="335"/>
        <v>0</v>
      </c>
      <c r="BW27" s="58">
        <f t="shared" si="335"/>
        <v>0</v>
      </c>
      <c r="BX27" s="58">
        <f t="shared" si="335"/>
        <v>0</v>
      </c>
      <c r="BY27" s="58">
        <f t="shared" si="335"/>
        <v>0</v>
      </c>
      <c r="BZ27" s="58">
        <f t="shared" si="335"/>
        <v>0</v>
      </c>
      <c r="CA27" s="58">
        <f t="shared" si="335"/>
        <v>0</v>
      </c>
      <c r="CB27" s="58">
        <f t="shared" si="335"/>
        <v>0</v>
      </c>
      <c r="CC27" s="58">
        <f t="shared" si="335"/>
        <v>0</v>
      </c>
      <c r="CD27" s="58">
        <f t="shared" si="335"/>
        <v>0</v>
      </c>
      <c r="CE27" s="58">
        <f t="shared" si="335"/>
        <v>0</v>
      </c>
      <c r="CF27" s="22"/>
      <c r="CG27" s="58">
        <f t="shared" ref="CG27:CS27" si="336">+CG24-CG25-CG26</f>
        <v>0</v>
      </c>
      <c r="CH27" s="58">
        <f t="shared" si="336"/>
        <v>0</v>
      </c>
      <c r="CI27" s="58">
        <f t="shared" si="336"/>
        <v>0</v>
      </c>
      <c r="CJ27" s="58">
        <f t="shared" si="336"/>
        <v>0</v>
      </c>
      <c r="CK27" s="58">
        <f t="shared" si="336"/>
        <v>0</v>
      </c>
      <c r="CL27" s="58">
        <f t="shared" si="336"/>
        <v>0</v>
      </c>
      <c r="CM27" s="58">
        <f t="shared" si="336"/>
        <v>0</v>
      </c>
      <c r="CN27" s="58">
        <f t="shared" si="336"/>
        <v>0</v>
      </c>
      <c r="CO27" s="58">
        <f t="shared" si="336"/>
        <v>0</v>
      </c>
      <c r="CP27" s="58">
        <f t="shared" si="336"/>
        <v>0</v>
      </c>
      <c r="CQ27" s="58">
        <f t="shared" si="336"/>
        <v>0</v>
      </c>
      <c r="CR27" s="58">
        <f t="shared" si="336"/>
        <v>0</v>
      </c>
      <c r="CS27" s="58">
        <f t="shared" si="336"/>
        <v>0</v>
      </c>
      <c r="CT27" s="10" t="str">
        <f t="shared" si="51"/>
        <v>Gross Profit</v>
      </c>
      <c r="CU27" s="58">
        <f t="shared" ref="CU27:DG27" si="337">+CU24-CU25-CU26</f>
        <v>0</v>
      </c>
      <c r="CV27" s="58">
        <f t="shared" si="337"/>
        <v>0</v>
      </c>
      <c r="CW27" s="58">
        <f t="shared" si="337"/>
        <v>0</v>
      </c>
      <c r="CX27" s="58">
        <f t="shared" si="337"/>
        <v>0</v>
      </c>
      <c r="CY27" s="58">
        <f t="shared" si="337"/>
        <v>0</v>
      </c>
      <c r="CZ27" s="58">
        <f t="shared" si="337"/>
        <v>0</v>
      </c>
      <c r="DA27" s="58">
        <f t="shared" si="337"/>
        <v>0</v>
      </c>
      <c r="DB27" s="58">
        <f t="shared" si="337"/>
        <v>0</v>
      </c>
      <c r="DC27" s="58">
        <f t="shared" si="337"/>
        <v>0</v>
      </c>
      <c r="DD27" s="58">
        <f t="shared" si="337"/>
        <v>0</v>
      </c>
      <c r="DE27" s="58">
        <f t="shared" si="337"/>
        <v>0</v>
      </c>
      <c r="DF27" s="58">
        <f t="shared" si="337"/>
        <v>0</v>
      </c>
      <c r="DG27" s="58">
        <f t="shared" si="337"/>
        <v>0</v>
      </c>
      <c r="DI27" s="58">
        <f t="shared" ref="DI27:DU27" si="338">+DI24-DI25-DI26</f>
        <v>0</v>
      </c>
      <c r="DJ27" s="58">
        <f t="shared" si="338"/>
        <v>0</v>
      </c>
      <c r="DK27" s="58">
        <f t="shared" si="338"/>
        <v>0</v>
      </c>
      <c r="DL27" s="58">
        <f t="shared" si="338"/>
        <v>0</v>
      </c>
      <c r="DM27" s="58">
        <f t="shared" si="338"/>
        <v>0</v>
      </c>
      <c r="DN27" s="58">
        <f t="shared" si="338"/>
        <v>0</v>
      </c>
      <c r="DO27" s="58">
        <f t="shared" si="338"/>
        <v>0</v>
      </c>
      <c r="DP27" s="58">
        <f t="shared" si="338"/>
        <v>0</v>
      </c>
      <c r="DQ27" s="58">
        <f t="shared" si="338"/>
        <v>0</v>
      </c>
      <c r="DR27" s="58">
        <f t="shared" si="338"/>
        <v>0</v>
      </c>
      <c r="DS27" s="58">
        <f t="shared" si="338"/>
        <v>0</v>
      </c>
      <c r="DT27" s="58">
        <f t="shared" si="338"/>
        <v>0</v>
      </c>
      <c r="DU27" s="58">
        <f t="shared" si="338"/>
        <v>0</v>
      </c>
    </row>
    <row r="28" spans="1:125" ht="14.45" customHeight="1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1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1">
        <f t="shared" si="47"/>
        <v>0</v>
      </c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  <c r="CF28" s="22"/>
      <c r="CG28" s="106"/>
      <c r="CH28" s="106"/>
      <c r="CI28" s="106"/>
      <c r="CJ28" s="106"/>
      <c r="CK28" s="106"/>
      <c r="CL28" s="106"/>
      <c r="CM28" s="106"/>
      <c r="CN28" s="106"/>
      <c r="CO28" s="106"/>
      <c r="CP28" s="106"/>
      <c r="CQ28" s="106"/>
      <c r="CR28" s="106"/>
      <c r="CS28" s="106"/>
      <c r="CT28" s="11">
        <f t="shared" si="51"/>
        <v>0</v>
      </c>
      <c r="CU28" s="106"/>
      <c r="CV28" s="106"/>
      <c r="CW28" s="106"/>
      <c r="CX28" s="106"/>
      <c r="CY28" s="106"/>
      <c r="CZ28" s="106"/>
      <c r="DA28" s="106"/>
      <c r="DB28" s="106"/>
      <c r="DC28" s="106"/>
      <c r="DD28" s="106"/>
      <c r="DE28" s="106"/>
      <c r="DF28" s="106"/>
      <c r="DG28" s="106"/>
      <c r="DI28" s="106"/>
      <c r="DJ28" s="106"/>
      <c r="DK28" s="106"/>
      <c r="DL28" s="106"/>
      <c r="DM28" s="106"/>
      <c r="DN28" s="106"/>
      <c r="DO28" s="106"/>
      <c r="DP28" s="106"/>
      <c r="DQ28" s="106"/>
      <c r="DR28" s="106"/>
      <c r="DS28" s="106"/>
      <c r="DT28" s="106"/>
      <c r="DU28" s="106"/>
    </row>
    <row r="29" spans="1:125" ht="14.45" hidden="1" customHeight="1" outlineLevel="1">
      <c r="A29" s="58">
        <f>+SUM(A31:A37)</f>
        <v>0</v>
      </c>
      <c r="B29" s="58">
        <f t="shared" ref="B29:L29" si="339">+SUM(B31:B37)</f>
        <v>0</v>
      </c>
      <c r="C29" s="58">
        <f t="shared" si="339"/>
        <v>0</v>
      </c>
      <c r="D29" s="58">
        <f t="shared" si="339"/>
        <v>0</v>
      </c>
      <c r="E29" s="58">
        <f t="shared" si="339"/>
        <v>0</v>
      </c>
      <c r="F29" s="58">
        <f t="shared" si="339"/>
        <v>0</v>
      </c>
      <c r="G29" s="58">
        <f t="shared" si="339"/>
        <v>0</v>
      </c>
      <c r="H29" s="58">
        <f t="shared" si="339"/>
        <v>0</v>
      </c>
      <c r="I29" s="58">
        <f t="shared" si="339"/>
        <v>0</v>
      </c>
      <c r="J29" s="58">
        <f t="shared" si="339"/>
        <v>0</v>
      </c>
      <c r="K29" s="58">
        <f t="shared" si="339"/>
        <v>0</v>
      </c>
      <c r="L29" s="58">
        <f t="shared" si="339"/>
        <v>0</v>
      </c>
      <c r="M29" s="58">
        <f>+SUM(M31:M37)</f>
        <v>0</v>
      </c>
      <c r="N29" s="5" t="s">
        <v>24</v>
      </c>
      <c r="O29" s="58">
        <f>+SUM(O31:O37)</f>
        <v>0</v>
      </c>
      <c r="P29" s="58">
        <f t="shared" ref="P29:Z29" si="340">+SUM(P31:P37)</f>
        <v>0</v>
      </c>
      <c r="Q29" s="58">
        <f t="shared" si="340"/>
        <v>0</v>
      </c>
      <c r="R29" s="58">
        <f t="shared" si="340"/>
        <v>79286.11</v>
      </c>
      <c r="S29" s="58">
        <f t="shared" si="340"/>
        <v>0</v>
      </c>
      <c r="T29" s="58">
        <f t="shared" si="340"/>
        <v>0</v>
      </c>
      <c r="U29" s="58">
        <f t="shared" si="340"/>
        <v>130070.7</v>
      </c>
      <c r="V29" s="58">
        <f t="shared" si="340"/>
        <v>0</v>
      </c>
      <c r="W29" s="58">
        <f t="shared" si="340"/>
        <v>0</v>
      </c>
      <c r="X29" s="58">
        <f t="shared" si="340"/>
        <v>0</v>
      </c>
      <c r="Y29" s="58">
        <f t="shared" si="340"/>
        <v>0</v>
      </c>
      <c r="Z29" s="58">
        <f t="shared" si="340"/>
        <v>0</v>
      </c>
      <c r="AA29" s="58">
        <f>+SUM(AA31:AA37)</f>
        <v>209356.81</v>
      </c>
      <c r="AB29" s="118">
        <f>IFERROR((X29-AL29)/AL29,0)</f>
        <v>0</v>
      </c>
      <c r="AC29" s="58">
        <f>+SUM(AC31:AC37)</f>
        <v>0</v>
      </c>
      <c r="AD29" s="58">
        <f t="shared" ref="AD29:AN29" si="341">+SUM(AD31:AD37)</f>
        <v>0</v>
      </c>
      <c r="AE29" s="58">
        <f t="shared" si="341"/>
        <v>0</v>
      </c>
      <c r="AF29" s="58">
        <f t="shared" si="341"/>
        <v>0</v>
      </c>
      <c r="AG29" s="58">
        <f t="shared" si="341"/>
        <v>0</v>
      </c>
      <c r="AH29" s="58">
        <f t="shared" si="341"/>
        <v>0</v>
      </c>
      <c r="AI29" s="58">
        <f t="shared" si="341"/>
        <v>0</v>
      </c>
      <c r="AJ29" s="58">
        <f t="shared" si="341"/>
        <v>0</v>
      </c>
      <c r="AK29" s="58">
        <f t="shared" si="341"/>
        <v>0</v>
      </c>
      <c r="AL29" s="58">
        <f t="shared" si="341"/>
        <v>0</v>
      </c>
      <c r="AM29" s="58">
        <f t="shared" si="341"/>
        <v>0</v>
      </c>
      <c r="AN29" s="58">
        <f t="shared" si="341"/>
        <v>0</v>
      </c>
      <c r="AO29" s="58">
        <f>+SUM(AO31:AO37)</f>
        <v>0</v>
      </c>
      <c r="AQ29" s="58">
        <f t="shared" ref="AQ29:BC29" si="342">+SUM(AQ31:AQ37)</f>
        <v>0</v>
      </c>
      <c r="AR29" s="58">
        <f t="shared" si="342"/>
        <v>0</v>
      </c>
      <c r="AS29" s="58">
        <f t="shared" si="342"/>
        <v>0</v>
      </c>
      <c r="AT29" s="58">
        <f t="shared" si="342"/>
        <v>0</v>
      </c>
      <c r="AU29" s="58">
        <f t="shared" si="342"/>
        <v>0</v>
      </c>
      <c r="AV29" s="58">
        <f t="shared" si="342"/>
        <v>0</v>
      </c>
      <c r="AW29" s="58">
        <f t="shared" si="342"/>
        <v>0</v>
      </c>
      <c r="AX29" s="58">
        <f t="shared" si="342"/>
        <v>0</v>
      </c>
      <c r="AY29" s="58">
        <f t="shared" si="342"/>
        <v>0</v>
      </c>
      <c r="AZ29" s="58">
        <f t="shared" si="342"/>
        <v>0</v>
      </c>
      <c r="BA29" s="58">
        <f t="shared" si="342"/>
        <v>0</v>
      </c>
      <c r="BB29" s="58">
        <f t="shared" si="342"/>
        <v>0</v>
      </c>
      <c r="BC29" s="58">
        <f t="shared" si="342"/>
        <v>0</v>
      </c>
      <c r="BD29" s="5" t="str">
        <f t="shared" si="47"/>
        <v>Service</v>
      </c>
      <c r="BE29" s="58">
        <f t="shared" ref="BE29:BQ29" si="343">+SUM(BE31:BE37)</f>
        <v>0</v>
      </c>
      <c r="BF29" s="58">
        <f t="shared" si="343"/>
        <v>0</v>
      </c>
      <c r="BG29" s="58">
        <f t="shared" si="343"/>
        <v>0</v>
      </c>
      <c r="BH29" s="58">
        <f t="shared" si="343"/>
        <v>59600.35</v>
      </c>
      <c r="BI29" s="58">
        <f t="shared" si="343"/>
        <v>0</v>
      </c>
      <c r="BJ29" s="58">
        <f t="shared" si="343"/>
        <v>0</v>
      </c>
      <c r="BK29" s="58">
        <f t="shared" si="343"/>
        <v>99788.43</v>
      </c>
      <c r="BL29" s="58">
        <f t="shared" si="343"/>
        <v>0</v>
      </c>
      <c r="BM29" s="58">
        <f t="shared" si="343"/>
        <v>0</v>
      </c>
      <c r="BN29" s="58">
        <f t="shared" si="343"/>
        <v>0</v>
      </c>
      <c r="BO29" s="58">
        <f t="shared" si="343"/>
        <v>0</v>
      </c>
      <c r="BP29" s="58">
        <f t="shared" si="343"/>
        <v>0</v>
      </c>
      <c r="BQ29" s="58">
        <f t="shared" si="343"/>
        <v>159388.78</v>
      </c>
      <c r="BR29" s="118">
        <f>IFERROR((BN29-CB29)/CB29,0)</f>
        <v>0</v>
      </c>
      <c r="BS29" s="58">
        <f t="shared" ref="BS29:CE29" si="344">+SUM(BS31:BS37)</f>
        <v>0</v>
      </c>
      <c r="BT29" s="58">
        <f t="shared" si="344"/>
        <v>0</v>
      </c>
      <c r="BU29" s="58">
        <f t="shared" si="344"/>
        <v>0</v>
      </c>
      <c r="BV29" s="58">
        <f t="shared" si="344"/>
        <v>0</v>
      </c>
      <c r="BW29" s="58">
        <f t="shared" si="344"/>
        <v>0</v>
      </c>
      <c r="BX29" s="58">
        <f t="shared" si="344"/>
        <v>0</v>
      </c>
      <c r="BY29" s="58">
        <f t="shared" si="344"/>
        <v>0</v>
      </c>
      <c r="BZ29" s="58">
        <f t="shared" si="344"/>
        <v>0</v>
      </c>
      <c r="CA29" s="58">
        <f t="shared" si="344"/>
        <v>0</v>
      </c>
      <c r="CB29" s="58">
        <f t="shared" si="344"/>
        <v>0</v>
      </c>
      <c r="CC29" s="58">
        <f t="shared" si="344"/>
        <v>0</v>
      </c>
      <c r="CD29" s="58">
        <f t="shared" si="344"/>
        <v>0</v>
      </c>
      <c r="CE29" s="58">
        <f t="shared" si="344"/>
        <v>0</v>
      </c>
      <c r="CF29" s="22"/>
      <c r="CG29" s="58">
        <f t="shared" ref="CG29:CS29" si="345">+SUM(CG31:CG37)</f>
        <v>0</v>
      </c>
      <c r="CH29" s="58">
        <f t="shared" si="345"/>
        <v>0</v>
      </c>
      <c r="CI29" s="58">
        <f t="shared" si="345"/>
        <v>0</v>
      </c>
      <c r="CJ29" s="58">
        <f t="shared" si="345"/>
        <v>0</v>
      </c>
      <c r="CK29" s="58">
        <f t="shared" si="345"/>
        <v>0</v>
      </c>
      <c r="CL29" s="58">
        <f t="shared" si="345"/>
        <v>0</v>
      </c>
      <c r="CM29" s="58">
        <f t="shared" si="345"/>
        <v>0</v>
      </c>
      <c r="CN29" s="58">
        <f t="shared" si="345"/>
        <v>0</v>
      </c>
      <c r="CO29" s="58">
        <f t="shared" si="345"/>
        <v>0</v>
      </c>
      <c r="CP29" s="58">
        <f t="shared" si="345"/>
        <v>0</v>
      </c>
      <c r="CQ29" s="58">
        <f t="shared" si="345"/>
        <v>0</v>
      </c>
      <c r="CR29" s="58">
        <f t="shared" si="345"/>
        <v>0</v>
      </c>
      <c r="CS29" s="58">
        <f t="shared" si="345"/>
        <v>0</v>
      </c>
      <c r="CT29" s="5" t="str">
        <f t="shared" si="51"/>
        <v>Service</v>
      </c>
      <c r="CU29" s="58">
        <f t="shared" ref="CU29:DF29" si="346">+SUM(CU31:CU37)</f>
        <v>0</v>
      </c>
      <c r="CV29" s="58">
        <f t="shared" si="346"/>
        <v>0</v>
      </c>
      <c r="CW29" s="58">
        <f t="shared" si="346"/>
        <v>0</v>
      </c>
      <c r="CX29" s="58">
        <f t="shared" si="346"/>
        <v>19685.759999999998</v>
      </c>
      <c r="CY29" s="58">
        <f t="shared" si="346"/>
        <v>0</v>
      </c>
      <c r="CZ29" s="58">
        <f t="shared" si="346"/>
        <v>0</v>
      </c>
      <c r="DA29" s="58">
        <f t="shared" si="346"/>
        <v>30282.27</v>
      </c>
      <c r="DB29" s="58">
        <f t="shared" si="346"/>
        <v>0</v>
      </c>
      <c r="DC29" s="58">
        <f t="shared" si="346"/>
        <v>0</v>
      </c>
      <c r="DD29" s="58">
        <f t="shared" si="346"/>
        <v>0</v>
      </c>
      <c r="DE29" s="58">
        <f t="shared" si="346"/>
        <v>0</v>
      </c>
      <c r="DF29" s="58">
        <f t="shared" si="346"/>
        <v>0</v>
      </c>
      <c r="DG29" s="58">
        <f>+SUM(DG31:DG37)</f>
        <v>49968.03</v>
      </c>
      <c r="DH29" s="118">
        <f>IFERROR((DD29-DR29)/DR29,0)</f>
        <v>0</v>
      </c>
      <c r="DI29" s="58">
        <f t="shared" ref="DI29:DU29" si="347">+SUM(DI31:DI37)</f>
        <v>0</v>
      </c>
      <c r="DJ29" s="58">
        <f t="shared" si="347"/>
        <v>0</v>
      </c>
      <c r="DK29" s="58">
        <f t="shared" si="347"/>
        <v>0</v>
      </c>
      <c r="DL29" s="58">
        <f t="shared" si="347"/>
        <v>0</v>
      </c>
      <c r="DM29" s="58">
        <f t="shared" si="347"/>
        <v>0</v>
      </c>
      <c r="DN29" s="58">
        <f t="shared" si="347"/>
        <v>0</v>
      </c>
      <c r="DO29" s="58">
        <f t="shared" si="347"/>
        <v>0</v>
      </c>
      <c r="DP29" s="58">
        <f t="shared" si="347"/>
        <v>0</v>
      </c>
      <c r="DQ29" s="58">
        <f t="shared" si="347"/>
        <v>0</v>
      </c>
      <c r="DR29" s="58">
        <f t="shared" si="347"/>
        <v>0</v>
      </c>
      <c r="DS29" s="58">
        <f t="shared" si="347"/>
        <v>0</v>
      </c>
      <c r="DT29" s="58">
        <f t="shared" si="347"/>
        <v>0</v>
      </c>
      <c r="DU29" s="58">
        <f t="shared" si="347"/>
        <v>0</v>
      </c>
    </row>
    <row r="30" spans="1:125" ht="14.45" hidden="1" customHeight="1" outlineLevel="1">
      <c r="A30" s="105">
        <f t="shared" ref="A30" si="348">+AQ30+CG30</f>
        <v>0</v>
      </c>
      <c r="B30" s="105">
        <f t="shared" ref="B30" si="349">+AR30+CH30</f>
        <v>0</v>
      </c>
      <c r="C30" s="105">
        <f t="shared" ref="C30" si="350">+AS30+CI30</f>
        <v>0</v>
      </c>
      <c r="D30" s="105">
        <f t="shared" ref="D30" si="351">+AT30+CJ30</f>
        <v>0</v>
      </c>
      <c r="E30" s="105">
        <f t="shared" ref="E30" si="352">+AU30+CK30</f>
        <v>0</v>
      </c>
      <c r="F30" s="105">
        <f t="shared" ref="F30" si="353">+AV30+CL30</f>
        <v>0</v>
      </c>
      <c r="G30" s="105">
        <f t="shared" ref="G30" si="354">+AW30+CM30</f>
        <v>0</v>
      </c>
      <c r="H30" s="105">
        <f t="shared" ref="H30" si="355">+AX30+CN30</f>
        <v>0</v>
      </c>
      <c r="I30" s="105">
        <f t="shared" ref="I30" si="356">+AY30+CO30</f>
        <v>0</v>
      </c>
      <c r="J30" s="105">
        <f t="shared" ref="J30" si="357">+AZ30+CP30</f>
        <v>0</v>
      </c>
      <c r="K30" s="105">
        <f t="shared" ref="K30" si="358">+BA30+CQ30</f>
        <v>0</v>
      </c>
      <c r="L30" s="105">
        <f t="shared" ref="L30" si="359">+BB30+CR30</f>
        <v>0</v>
      </c>
      <c r="M30" s="105">
        <f t="shared" ref="M30:M46" si="360">+SUM(A30:L30)</f>
        <v>0</v>
      </c>
      <c r="N30" s="12" t="s">
        <v>25</v>
      </c>
      <c r="O30" s="105">
        <f t="shared" ref="O30" si="361">+BE30+CU30</f>
        <v>0</v>
      </c>
      <c r="P30" s="105">
        <f t="shared" ref="P30" si="362">+BF30+CV30</f>
        <v>0</v>
      </c>
      <c r="Q30" s="105">
        <f t="shared" ref="Q30" si="363">+BG30+CW30</f>
        <v>0</v>
      </c>
      <c r="R30" s="105">
        <f t="shared" ref="R30" si="364">+BH30+CX30</f>
        <v>0</v>
      </c>
      <c r="S30" s="105">
        <f t="shared" ref="S30" si="365">+BI30+CY30</f>
        <v>0</v>
      </c>
      <c r="T30" s="105">
        <f t="shared" ref="T30" si="366">+BJ30+CZ30</f>
        <v>0</v>
      </c>
      <c r="U30" s="105">
        <f t="shared" ref="U30" si="367">+BK30+DA30</f>
        <v>0</v>
      </c>
      <c r="V30" s="105">
        <f t="shared" ref="V30" si="368">+BL30+DB30</f>
        <v>0</v>
      </c>
      <c r="W30" s="105">
        <f t="shared" ref="W30" si="369">+BM30+DC30</f>
        <v>0</v>
      </c>
      <c r="X30" s="105">
        <f t="shared" ref="X30" si="370">+BN30+DD30</f>
        <v>0</v>
      </c>
      <c r="Y30" s="105">
        <f t="shared" ref="Y30" si="371">+BO30+DE30</f>
        <v>0</v>
      </c>
      <c r="Z30" s="105">
        <f t="shared" ref="Z30" si="372">+BP30+DF30</f>
        <v>0</v>
      </c>
      <c r="AA30" s="105">
        <f t="shared" ref="AA30" si="373">+SUM(O30:Z30)</f>
        <v>0</v>
      </c>
      <c r="AB30" s="118">
        <f t="shared" ref="AB30:AB93" si="374">IFERROR((X30-AL30)/AL30,0)</f>
        <v>0</v>
      </c>
      <c r="AC30" s="105">
        <f t="shared" ref="AC30" si="375">+BS30+DI30</f>
        <v>0</v>
      </c>
      <c r="AD30" s="105">
        <f t="shared" ref="AD30" si="376">+BT30+DJ30</f>
        <v>0</v>
      </c>
      <c r="AE30" s="105">
        <f t="shared" ref="AE30" si="377">+BU30+DK30</f>
        <v>0</v>
      </c>
      <c r="AF30" s="105">
        <f t="shared" ref="AF30" si="378">+BV30+DL30</f>
        <v>0</v>
      </c>
      <c r="AG30" s="105">
        <f t="shared" ref="AG30" si="379">+BW30+DM30</f>
        <v>0</v>
      </c>
      <c r="AH30" s="105">
        <f t="shared" ref="AH30" si="380">+BX30+DN30</f>
        <v>0</v>
      </c>
      <c r="AI30" s="105">
        <f t="shared" ref="AI30" si="381">+BY30+DO30</f>
        <v>0</v>
      </c>
      <c r="AJ30" s="105">
        <f t="shared" ref="AJ30" si="382">+BZ30+DP30</f>
        <v>0</v>
      </c>
      <c r="AK30" s="105">
        <f t="shared" ref="AK30" si="383">+CA30+DQ30</f>
        <v>0</v>
      </c>
      <c r="AL30" s="105">
        <f t="shared" ref="AL30" si="384">+CB30+DR30</f>
        <v>0</v>
      </c>
      <c r="AM30" s="105">
        <f t="shared" ref="AM30" si="385">+CC30+DS30</f>
        <v>0</v>
      </c>
      <c r="AN30" s="105">
        <f t="shared" ref="AN30" si="386">+CD30+DT30</f>
        <v>0</v>
      </c>
      <c r="AO30" s="105">
        <f t="shared" ref="AO30" si="387">+SUM(AC30:AN30)</f>
        <v>0</v>
      </c>
      <c r="AQ30" s="105">
        <v>0</v>
      </c>
      <c r="AR30" s="105">
        <v>0</v>
      </c>
      <c r="AS30" s="105">
        <v>0</v>
      </c>
      <c r="AT30" s="105">
        <v>0</v>
      </c>
      <c r="AU30" s="105">
        <v>0</v>
      </c>
      <c r="AV30" s="105">
        <v>0</v>
      </c>
      <c r="AW30" s="105">
        <v>0</v>
      </c>
      <c r="AX30" s="105">
        <v>0</v>
      </c>
      <c r="AY30" s="105">
        <v>0</v>
      </c>
      <c r="AZ30" s="105">
        <v>0</v>
      </c>
      <c r="BA30" s="105">
        <v>0</v>
      </c>
      <c r="BB30" s="105">
        <v>0</v>
      </c>
      <c r="BC30" s="105"/>
      <c r="BD30" s="12" t="str">
        <f t="shared" si="47"/>
        <v>Throughputs</v>
      </c>
      <c r="BE30" s="105">
        <f>+'Jan-25'!$B$30</f>
        <v>0</v>
      </c>
      <c r="BF30" s="105">
        <f>+'Feb-25'!$B$30</f>
        <v>0</v>
      </c>
      <c r="BG30" s="105">
        <f>+'Mar-25'!$B$30</f>
        <v>0</v>
      </c>
      <c r="BH30" s="105">
        <f>+'Apr-25'!$B$30</f>
        <v>0</v>
      </c>
      <c r="BI30" s="105">
        <f>+'May-25'!$B$30</f>
        <v>0</v>
      </c>
      <c r="BJ30" s="105">
        <f>+'June-25'!$B$30</f>
        <v>0</v>
      </c>
      <c r="BK30" s="105">
        <f>+'July-25'!$B$30</f>
        <v>0</v>
      </c>
      <c r="BL30" s="105">
        <f>+'Aug-25'!$B$30</f>
        <v>0</v>
      </c>
      <c r="BM30" s="105">
        <f>+'Sep-25'!$B$30</f>
        <v>0</v>
      </c>
      <c r="BN30" s="105">
        <f>+'Oct-25'!$B$30</f>
        <v>0</v>
      </c>
      <c r="BO30" s="105">
        <f>+'Nov-25'!$B$30</f>
        <v>0</v>
      </c>
      <c r="BP30" s="105">
        <f>+'Dec-25'!$B$30</f>
        <v>0</v>
      </c>
      <c r="BQ30" s="105">
        <f t="shared" ref="BQ30:BQ37" si="388">+SUM(BE30:BP30)</f>
        <v>0</v>
      </c>
      <c r="BR30" s="118">
        <f t="shared" ref="BR30:BR93" si="389">IFERROR((BN30-CB30)/CB30,0)</f>
        <v>0</v>
      </c>
      <c r="BS30" s="105"/>
      <c r="BT30" s="105"/>
      <c r="BU30" s="105"/>
      <c r="BV30" s="105"/>
      <c r="BW30" s="105"/>
      <c r="BX30" s="105"/>
      <c r="BY30" s="105"/>
      <c r="BZ30" s="105"/>
      <c r="CA30" s="105"/>
      <c r="CB30" s="105"/>
      <c r="CC30" s="105"/>
      <c r="CD30" s="105"/>
      <c r="CE30" s="105"/>
      <c r="CF30" s="22"/>
      <c r="CG30" s="105"/>
      <c r="CH30" s="105"/>
      <c r="CI30" s="105"/>
      <c r="CJ30" s="105"/>
      <c r="CK30" s="105"/>
      <c r="CL30" s="105"/>
      <c r="CM30" s="105"/>
      <c r="CN30" s="105"/>
      <c r="CO30" s="105"/>
      <c r="CP30" s="105"/>
      <c r="CQ30" s="105"/>
      <c r="CR30" s="105"/>
      <c r="CS30" s="105"/>
      <c r="CT30" s="12" t="str">
        <f t="shared" si="51"/>
        <v>Throughputs</v>
      </c>
      <c r="CU30" s="105">
        <f>+'Jan-25'!$F$30</f>
        <v>0</v>
      </c>
      <c r="CV30" s="105">
        <f>+'Feb-25'!$F$30</f>
        <v>0</v>
      </c>
      <c r="CW30" s="105">
        <f>+'Mar-25'!$F$30</f>
        <v>0</v>
      </c>
      <c r="CX30" s="105">
        <f>+'Apr-25'!$F$30</f>
        <v>0</v>
      </c>
      <c r="CY30" s="105">
        <f>+'May-25'!$F$30</f>
        <v>0</v>
      </c>
      <c r="CZ30" s="105">
        <f>+'June-25'!$F$30</f>
        <v>0</v>
      </c>
      <c r="DA30" s="105">
        <f>+'July-25'!$F$30</f>
        <v>0</v>
      </c>
      <c r="DB30" s="105">
        <f>+'Aug-25'!$F$30</f>
        <v>0</v>
      </c>
      <c r="DC30" s="105">
        <f>+'Sep-25'!$F$30</f>
        <v>0</v>
      </c>
      <c r="DD30" s="105">
        <f>+'Oct-25'!$F$30</f>
        <v>0</v>
      </c>
      <c r="DE30" s="105">
        <f>+'Nov-25'!$F$30</f>
        <v>0</v>
      </c>
      <c r="DF30" s="105">
        <f>+'Dec-25'!$F$30</f>
        <v>0</v>
      </c>
      <c r="DG30" s="105"/>
      <c r="DH30" s="118">
        <f t="shared" ref="DH30:DH93" si="390">IFERROR((DD30-DR30)/DR30,0)</f>
        <v>0</v>
      </c>
      <c r="DI30" s="105"/>
      <c r="DJ30" s="105"/>
      <c r="DK30" s="105"/>
      <c r="DL30" s="105"/>
      <c r="DM30" s="105"/>
      <c r="DN30" s="105"/>
      <c r="DO30" s="105"/>
      <c r="DP30" s="105"/>
      <c r="DQ30" s="105"/>
      <c r="DR30" s="105"/>
      <c r="DS30" s="105"/>
      <c r="DT30" s="105"/>
      <c r="DU30" s="105"/>
    </row>
    <row r="31" spans="1:125" ht="14.45" hidden="1" customHeight="1" outlineLevel="1">
      <c r="A31" s="106">
        <f t="shared" ref="A31:A37" si="391">+AQ31+CG31</f>
        <v>0</v>
      </c>
      <c r="B31" s="106">
        <f t="shared" ref="B31:B37" si="392">+AR31+CH31</f>
        <v>0</v>
      </c>
      <c r="C31" s="106">
        <f t="shared" ref="C31:C37" si="393">+AS31+CI31</f>
        <v>0</v>
      </c>
      <c r="D31" s="106">
        <f t="shared" ref="D31:D37" si="394">+AT31+CJ31</f>
        <v>0</v>
      </c>
      <c r="E31" s="106">
        <f t="shared" ref="E31:E37" si="395">+AU31+CK31</f>
        <v>0</v>
      </c>
      <c r="F31" s="106">
        <f t="shared" ref="F31:F37" si="396">+AV31+CL31</f>
        <v>0</v>
      </c>
      <c r="G31" s="106">
        <f t="shared" ref="G31:G37" si="397">+AW31+CM31</f>
        <v>0</v>
      </c>
      <c r="H31" s="106">
        <f t="shared" ref="H31:H37" si="398">+AX31+CN31</f>
        <v>0</v>
      </c>
      <c r="I31" s="106">
        <f t="shared" ref="I31:I37" si="399">+AY31+CO31</f>
        <v>0</v>
      </c>
      <c r="J31" s="106">
        <f t="shared" ref="J31:J37" si="400">+AZ31+CP31</f>
        <v>0</v>
      </c>
      <c r="K31" s="106">
        <f t="shared" ref="K31:K37" si="401">+BA31+CQ31</f>
        <v>0</v>
      </c>
      <c r="L31" s="106">
        <f t="shared" ref="L31:L37" si="402">+BB31+CR31</f>
        <v>0</v>
      </c>
      <c r="M31" s="106">
        <f t="shared" si="360"/>
        <v>0</v>
      </c>
      <c r="N31" s="7" t="s">
        <v>26</v>
      </c>
      <c r="O31" s="106">
        <f t="shared" ref="O31:O37" si="403">+BE31+CU31</f>
        <v>0</v>
      </c>
      <c r="P31" s="106">
        <f t="shared" ref="P31:P37" si="404">+BF31+CV31</f>
        <v>0</v>
      </c>
      <c r="Q31" s="106">
        <f t="shared" ref="Q31:Q37" si="405">+BG31+CW31</f>
        <v>0</v>
      </c>
      <c r="R31" s="106">
        <f t="shared" ref="R31:R37" si="406">+BH31+CX31</f>
        <v>0</v>
      </c>
      <c r="S31" s="106">
        <f t="shared" ref="S31:S37" si="407">+BI31+CY31</f>
        <v>0</v>
      </c>
      <c r="T31" s="106">
        <f t="shared" ref="T31:T37" si="408">+BJ31+CZ31</f>
        <v>0</v>
      </c>
      <c r="U31" s="106">
        <f t="shared" ref="U31:U37" si="409">+BK31+DA31</f>
        <v>0</v>
      </c>
      <c r="V31" s="106">
        <f t="shared" ref="V31:V37" si="410">+BL31+DB31</f>
        <v>0</v>
      </c>
      <c r="W31" s="106">
        <f t="shared" ref="W31:W37" si="411">+BM31+DC31</f>
        <v>0</v>
      </c>
      <c r="X31" s="106">
        <f t="shared" ref="X31:X37" si="412">+BN31+DD31</f>
        <v>0</v>
      </c>
      <c r="Y31" s="106">
        <f t="shared" ref="Y31:Y37" si="413">+BO31+DE31</f>
        <v>0</v>
      </c>
      <c r="Z31" s="106">
        <f t="shared" ref="Z31:Z37" si="414">+BP31+DF31</f>
        <v>0</v>
      </c>
      <c r="AA31" s="106">
        <f t="shared" ref="AA31:AA37" si="415">+SUM(O31:Z31)</f>
        <v>0</v>
      </c>
      <c r="AB31" s="118">
        <f t="shared" si="374"/>
        <v>0</v>
      </c>
      <c r="AC31" s="106">
        <f t="shared" ref="AC31:AC37" si="416">+BS31+DI31</f>
        <v>0</v>
      </c>
      <c r="AD31" s="106">
        <f t="shared" ref="AD31:AD37" si="417">+BT31+DJ31</f>
        <v>0</v>
      </c>
      <c r="AE31" s="106">
        <f t="shared" ref="AE31:AE37" si="418">+BU31+DK31</f>
        <v>0</v>
      </c>
      <c r="AF31" s="106">
        <f t="shared" ref="AF31:AF37" si="419">+BV31+DL31</f>
        <v>0</v>
      </c>
      <c r="AG31" s="106">
        <f t="shared" ref="AG31:AG37" si="420">+BW31+DM31</f>
        <v>0</v>
      </c>
      <c r="AH31" s="106">
        <f t="shared" ref="AH31:AH37" si="421">+BX31+DN31</f>
        <v>0</v>
      </c>
      <c r="AI31" s="106">
        <f t="shared" ref="AI31:AI37" si="422">+BY31+DO31</f>
        <v>0</v>
      </c>
      <c r="AJ31" s="106">
        <f t="shared" ref="AJ31:AJ37" si="423">+BZ31+DP31</f>
        <v>0</v>
      </c>
      <c r="AK31" s="106">
        <f t="shared" ref="AK31:AK37" si="424">+CA31+DQ31</f>
        <v>0</v>
      </c>
      <c r="AL31" s="106">
        <f t="shared" ref="AL31:AL37" si="425">+CB31+DR31</f>
        <v>0</v>
      </c>
      <c r="AM31" s="106">
        <f t="shared" ref="AM31:AM37" si="426">+CC31+DS31</f>
        <v>0</v>
      </c>
      <c r="AN31" s="106">
        <f t="shared" ref="AN31:AN37" si="427">+CD31+DT31</f>
        <v>0</v>
      </c>
      <c r="AO31" s="106">
        <f t="shared" ref="AO31:AO37" si="428">+SUM(AC31:AN31)</f>
        <v>0</v>
      </c>
      <c r="AQ31" s="106">
        <v>0</v>
      </c>
      <c r="AR31" s="106">
        <v>0</v>
      </c>
      <c r="AS31" s="106">
        <v>0</v>
      </c>
      <c r="AT31" s="106">
        <v>0</v>
      </c>
      <c r="AU31" s="106">
        <v>0</v>
      </c>
      <c r="AV31" s="106">
        <v>0</v>
      </c>
      <c r="AW31" s="106">
        <v>0</v>
      </c>
      <c r="AX31" s="106">
        <v>0</v>
      </c>
      <c r="AY31" s="106">
        <v>0</v>
      </c>
      <c r="AZ31" s="106">
        <v>0</v>
      </c>
      <c r="BA31" s="106">
        <v>0</v>
      </c>
      <c r="BB31" s="106">
        <v>0</v>
      </c>
      <c r="BC31" s="106">
        <f t="shared" ref="BC31:BC36" si="429">+SUM(AQ31:BB31)</f>
        <v>0</v>
      </c>
      <c r="BD31" s="7" t="str">
        <f t="shared" si="47"/>
        <v>Parts Revenue</v>
      </c>
      <c r="BE31" s="106">
        <f>+VLOOKUP($BD31,'Jan-25'!$A:$J,2,0)</f>
        <v>0</v>
      </c>
      <c r="BF31" s="106">
        <f>+VLOOKUP($BD31,'Feb-25'!$A:$J,2,0)</f>
        <v>0</v>
      </c>
      <c r="BG31" s="106">
        <f>+VLOOKUP($BD31,'Mar-25'!$A:$J,2,0)</f>
        <v>0</v>
      </c>
      <c r="BH31" s="106">
        <f>+VLOOKUP($BD31,'Apr-25'!$A:$J,2,0)</f>
        <v>0</v>
      </c>
      <c r="BI31" s="106">
        <f>+VLOOKUP($BD31,'May-25'!$A:$J,2,0)</f>
        <v>0</v>
      </c>
      <c r="BJ31" s="106">
        <f>+VLOOKUP($BD31,'June-25'!$A:$J,2,0)</f>
        <v>0</v>
      </c>
      <c r="BK31" s="106">
        <f>+VLOOKUP($BD31,'July-25'!$A:$J,2,0)</f>
        <v>0</v>
      </c>
      <c r="BL31" s="106">
        <f>+VLOOKUP($BD31,'Aug-25'!$A:$J,2,0)</f>
        <v>0</v>
      </c>
      <c r="BM31" s="106">
        <f>+VLOOKUP($BD31,'Sep-25'!$A:$J,2,0)</f>
        <v>0</v>
      </c>
      <c r="BN31" s="106">
        <f>+VLOOKUP($BD31,'Oct-25'!$A:$J,2,0)</f>
        <v>0</v>
      </c>
      <c r="BO31" s="106">
        <f>+VLOOKUP($BD31,'Nov-25'!$A:$J,2,0)</f>
        <v>0</v>
      </c>
      <c r="BP31" s="106">
        <f>+VLOOKUP($BD31,'Dec-25'!$A:$J,2,0)</f>
        <v>0</v>
      </c>
      <c r="BQ31" s="106">
        <f t="shared" si="388"/>
        <v>0</v>
      </c>
      <c r="BR31" s="118">
        <f t="shared" si="389"/>
        <v>0</v>
      </c>
      <c r="BS31" s="106"/>
      <c r="BT31" s="106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  <c r="CF31" s="22"/>
      <c r="CG31" s="106"/>
      <c r="CH31" s="106"/>
      <c r="CI31" s="106"/>
      <c r="CJ31" s="106"/>
      <c r="CK31" s="106"/>
      <c r="CL31" s="106"/>
      <c r="CM31" s="106"/>
      <c r="CN31" s="106"/>
      <c r="CO31" s="106"/>
      <c r="CP31" s="106"/>
      <c r="CQ31" s="106"/>
      <c r="CR31" s="106"/>
      <c r="CS31" s="106">
        <f t="shared" ref="CS31:CS36" si="430">+SUM(CG31:CR31)</f>
        <v>0</v>
      </c>
      <c r="CT31" s="7" t="str">
        <f t="shared" si="51"/>
        <v>Parts Revenue</v>
      </c>
      <c r="CU31" s="106">
        <f>+VLOOKUP($BD31,'Jan-25'!$A:$J,6,0)</f>
        <v>0</v>
      </c>
      <c r="CV31" s="106">
        <f>+VLOOKUP($BD31,'Feb-25'!$A:$J,6,0)</f>
        <v>0</v>
      </c>
      <c r="CW31" s="106">
        <f>+VLOOKUP($BD31,'Mar-25'!$A:$J,6,0)</f>
        <v>0</v>
      </c>
      <c r="CX31" s="106">
        <f>+VLOOKUP($BD31,'Apr-25'!$A:$J,6,0)</f>
        <v>0</v>
      </c>
      <c r="CY31" s="106">
        <f>+VLOOKUP($BD31,'May-25'!$A:$J,6,0)</f>
        <v>0</v>
      </c>
      <c r="CZ31" s="106">
        <f>+VLOOKUP($BD31,'June-25'!$A:$J,6,0)</f>
        <v>0</v>
      </c>
      <c r="DA31" s="106">
        <f>+VLOOKUP($BD31,'July-25'!$A:$J,6,0)</f>
        <v>0</v>
      </c>
      <c r="DB31" s="106">
        <f>+VLOOKUP($BD31,'Aug-25'!$A:$J,6,0)</f>
        <v>0</v>
      </c>
      <c r="DC31" s="106">
        <f>+VLOOKUP($BD31,'Sep-25'!$A:$J,6,0)</f>
        <v>0</v>
      </c>
      <c r="DD31" s="106">
        <f>+VLOOKUP($BD31,'Oct-25'!$A:$J,6,0)</f>
        <v>0</v>
      </c>
      <c r="DE31" s="106">
        <f>+VLOOKUP($BD31,'Nov-25'!$A:$J,6,0)</f>
        <v>0</v>
      </c>
      <c r="DF31" s="106">
        <f>+VLOOKUP($BD31,'Dec-25'!$A:$J,6,0)</f>
        <v>0</v>
      </c>
      <c r="DG31" s="106">
        <f>+SUM(CU31:DF31)</f>
        <v>0</v>
      </c>
      <c r="DH31" s="118">
        <f t="shared" si="390"/>
        <v>0</v>
      </c>
      <c r="DI31" s="106"/>
      <c r="DJ31" s="106"/>
      <c r="DK31" s="106"/>
      <c r="DL31" s="106"/>
      <c r="DM31" s="106"/>
      <c r="DN31" s="106"/>
      <c r="DO31" s="106"/>
      <c r="DP31" s="106"/>
      <c r="DQ31" s="106"/>
      <c r="DR31" s="106"/>
      <c r="DS31" s="106"/>
      <c r="DT31" s="106"/>
      <c r="DU31" s="106">
        <f t="shared" ref="DU31:DU36" si="431">+SUM(DI31:DT31)</f>
        <v>0</v>
      </c>
    </row>
    <row r="32" spans="1:125" ht="14.45" hidden="1" customHeight="1" outlineLevel="1">
      <c r="A32" s="106">
        <f t="shared" si="391"/>
        <v>0</v>
      </c>
      <c r="B32" s="106">
        <f t="shared" si="392"/>
        <v>0</v>
      </c>
      <c r="C32" s="106">
        <f t="shared" si="393"/>
        <v>0</v>
      </c>
      <c r="D32" s="106">
        <f t="shared" si="394"/>
        <v>0</v>
      </c>
      <c r="E32" s="106">
        <f t="shared" si="395"/>
        <v>0</v>
      </c>
      <c r="F32" s="106">
        <f t="shared" si="396"/>
        <v>0</v>
      </c>
      <c r="G32" s="106">
        <f t="shared" si="397"/>
        <v>0</v>
      </c>
      <c r="H32" s="106">
        <f t="shared" si="398"/>
        <v>0</v>
      </c>
      <c r="I32" s="106">
        <f t="shared" si="399"/>
        <v>0</v>
      </c>
      <c r="J32" s="106">
        <f t="shared" si="400"/>
        <v>0</v>
      </c>
      <c r="K32" s="106">
        <f t="shared" si="401"/>
        <v>0</v>
      </c>
      <c r="L32" s="106">
        <f t="shared" si="402"/>
        <v>0</v>
      </c>
      <c r="M32" s="106">
        <f t="shared" si="360"/>
        <v>0</v>
      </c>
      <c r="N32" s="7" t="s">
        <v>27</v>
      </c>
      <c r="O32" s="106">
        <f t="shared" si="403"/>
        <v>0</v>
      </c>
      <c r="P32" s="106">
        <f t="shared" si="404"/>
        <v>0</v>
      </c>
      <c r="Q32" s="106">
        <f t="shared" si="405"/>
        <v>0</v>
      </c>
      <c r="R32" s="106">
        <f t="shared" si="406"/>
        <v>0</v>
      </c>
      <c r="S32" s="106">
        <f t="shared" si="407"/>
        <v>0</v>
      </c>
      <c r="T32" s="106">
        <f t="shared" si="408"/>
        <v>0</v>
      </c>
      <c r="U32" s="106">
        <f t="shared" si="409"/>
        <v>0</v>
      </c>
      <c r="V32" s="106">
        <f t="shared" si="410"/>
        <v>0</v>
      </c>
      <c r="W32" s="106">
        <f t="shared" si="411"/>
        <v>0</v>
      </c>
      <c r="X32" s="106">
        <f t="shared" si="412"/>
        <v>0</v>
      </c>
      <c r="Y32" s="106">
        <f t="shared" si="413"/>
        <v>0</v>
      </c>
      <c r="Z32" s="106">
        <f t="shared" si="414"/>
        <v>0</v>
      </c>
      <c r="AA32" s="106">
        <f t="shared" si="415"/>
        <v>0</v>
      </c>
      <c r="AB32" s="118">
        <f t="shared" si="374"/>
        <v>0</v>
      </c>
      <c r="AC32" s="106">
        <f t="shared" si="416"/>
        <v>0</v>
      </c>
      <c r="AD32" s="106">
        <f t="shared" si="417"/>
        <v>0</v>
      </c>
      <c r="AE32" s="106">
        <f t="shared" si="418"/>
        <v>0</v>
      </c>
      <c r="AF32" s="106">
        <f t="shared" si="419"/>
        <v>0</v>
      </c>
      <c r="AG32" s="106">
        <f t="shared" si="420"/>
        <v>0</v>
      </c>
      <c r="AH32" s="106">
        <f t="shared" si="421"/>
        <v>0</v>
      </c>
      <c r="AI32" s="106">
        <f t="shared" si="422"/>
        <v>0</v>
      </c>
      <c r="AJ32" s="106">
        <f t="shared" si="423"/>
        <v>0</v>
      </c>
      <c r="AK32" s="106">
        <f t="shared" si="424"/>
        <v>0</v>
      </c>
      <c r="AL32" s="106">
        <f t="shared" si="425"/>
        <v>0</v>
      </c>
      <c r="AM32" s="106">
        <f t="shared" si="426"/>
        <v>0</v>
      </c>
      <c r="AN32" s="106">
        <f t="shared" si="427"/>
        <v>0</v>
      </c>
      <c r="AO32" s="106">
        <f t="shared" si="428"/>
        <v>0</v>
      </c>
      <c r="AQ32" s="106">
        <v>0</v>
      </c>
      <c r="AR32" s="106">
        <v>0</v>
      </c>
      <c r="AS32" s="106">
        <v>0</v>
      </c>
      <c r="AT32" s="106">
        <v>0</v>
      </c>
      <c r="AU32" s="106">
        <v>0</v>
      </c>
      <c r="AV32" s="106">
        <v>0</v>
      </c>
      <c r="AW32" s="106">
        <v>0</v>
      </c>
      <c r="AX32" s="106">
        <v>0</v>
      </c>
      <c r="AY32" s="106">
        <v>0</v>
      </c>
      <c r="AZ32" s="106">
        <v>0</v>
      </c>
      <c r="BA32" s="106">
        <v>0</v>
      </c>
      <c r="BB32" s="106">
        <v>0</v>
      </c>
      <c r="BC32" s="106">
        <f t="shared" si="429"/>
        <v>0</v>
      </c>
      <c r="BD32" s="7" t="str">
        <f t="shared" si="47"/>
        <v>Labour Revenue</v>
      </c>
      <c r="BE32" s="106">
        <f>+VLOOKUP($BD32,'Jan-25'!$A:$J,2,0)</f>
        <v>0</v>
      </c>
      <c r="BF32" s="106">
        <f>+VLOOKUP($BD32,'Feb-25'!$A:$J,2,0)</f>
        <v>0</v>
      </c>
      <c r="BG32" s="106">
        <f>+VLOOKUP($BD32,'Mar-25'!$A:$J,2,0)</f>
        <v>0</v>
      </c>
      <c r="BH32" s="106">
        <f>+VLOOKUP($BD32,'Apr-25'!$A:$J,2,0)</f>
        <v>0</v>
      </c>
      <c r="BI32" s="106">
        <f>+VLOOKUP($BD32,'May-25'!$A:$J,2,0)</f>
        <v>0</v>
      </c>
      <c r="BJ32" s="106">
        <f>+VLOOKUP($BD32,'June-25'!$A:$J,2,0)</f>
        <v>0</v>
      </c>
      <c r="BK32" s="106">
        <f>+VLOOKUP($BD32,'July-25'!$A:$J,2,0)</f>
        <v>0</v>
      </c>
      <c r="BL32" s="106">
        <f>+VLOOKUP($BD32,'Aug-25'!$A:$J,2,0)</f>
        <v>0</v>
      </c>
      <c r="BM32" s="106">
        <f>+VLOOKUP($BD32,'Sep-25'!$A:$J,2,0)</f>
        <v>0</v>
      </c>
      <c r="BN32" s="106">
        <f>+VLOOKUP($BD32,'Oct-25'!$A:$J,2,0)</f>
        <v>0</v>
      </c>
      <c r="BO32" s="106">
        <f>+VLOOKUP($BD32,'Nov-25'!$A:$J,2,0)</f>
        <v>0</v>
      </c>
      <c r="BP32" s="106">
        <f>+VLOOKUP($BD32,'Dec-25'!$A:$J,2,0)</f>
        <v>0</v>
      </c>
      <c r="BQ32" s="106">
        <f t="shared" si="388"/>
        <v>0</v>
      </c>
      <c r="BR32" s="118">
        <f t="shared" si="389"/>
        <v>0</v>
      </c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  <c r="CF32" s="22"/>
      <c r="CG32" s="106"/>
      <c r="CH32" s="106"/>
      <c r="CI32" s="106"/>
      <c r="CJ32" s="106"/>
      <c r="CK32" s="106"/>
      <c r="CL32" s="106"/>
      <c r="CM32" s="106"/>
      <c r="CN32" s="106"/>
      <c r="CO32" s="106"/>
      <c r="CP32" s="106"/>
      <c r="CQ32" s="106"/>
      <c r="CR32" s="106"/>
      <c r="CS32" s="106">
        <f t="shared" si="430"/>
        <v>0</v>
      </c>
      <c r="CT32" s="7" t="str">
        <f t="shared" si="51"/>
        <v>Labour Revenue</v>
      </c>
      <c r="CU32" s="106">
        <f>+VLOOKUP($BD32,'Jan-25'!$A:$J,6,0)</f>
        <v>0</v>
      </c>
      <c r="CV32" s="106">
        <f>+VLOOKUP($BD32,'Feb-25'!$A:$J,6,0)</f>
        <v>0</v>
      </c>
      <c r="CW32" s="106">
        <f>+VLOOKUP($BD32,'Mar-25'!$A:$J,6,0)</f>
        <v>0</v>
      </c>
      <c r="CX32" s="106">
        <f>+VLOOKUP($BD32,'Apr-25'!$A:$J,6,0)</f>
        <v>0</v>
      </c>
      <c r="CY32" s="106">
        <f>+VLOOKUP($BD32,'May-25'!$A:$J,6,0)</f>
        <v>0</v>
      </c>
      <c r="CZ32" s="106">
        <f>+VLOOKUP($BD32,'June-25'!$A:$J,6,0)</f>
        <v>0</v>
      </c>
      <c r="DA32" s="106">
        <f>+VLOOKUP($BD32,'July-25'!$A:$J,6,0)</f>
        <v>0</v>
      </c>
      <c r="DB32" s="106">
        <f>+VLOOKUP($BD32,'Aug-25'!$A:$J,6,0)</f>
        <v>0</v>
      </c>
      <c r="DC32" s="106">
        <f>+VLOOKUP($BD32,'Sep-25'!$A:$J,6,0)</f>
        <v>0</v>
      </c>
      <c r="DD32" s="106">
        <f>+VLOOKUP($BD32,'Oct-25'!$A:$J,6,0)</f>
        <v>0</v>
      </c>
      <c r="DE32" s="106">
        <f>+VLOOKUP($BD32,'Nov-25'!$A:$J,6,0)</f>
        <v>0</v>
      </c>
      <c r="DF32" s="106">
        <f>+VLOOKUP($BD32,'Dec-25'!$A:$J,6,0)</f>
        <v>0</v>
      </c>
      <c r="DG32" s="106">
        <f t="shared" ref="DG32:DG36" si="432">+SUM(CU32:DF32)</f>
        <v>0</v>
      </c>
      <c r="DH32" s="118">
        <f t="shared" si="390"/>
        <v>0</v>
      </c>
      <c r="DI32" s="106"/>
      <c r="DJ32" s="106"/>
      <c r="DK32" s="106"/>
      <c r="DL32" s="106"/>
      <c r="DM32" s="106"/>
      <c r="DN32" s="106"/>
      <c r="DO32" s="106"/>
      <c r="DP32" s="106"/>
      <c r="DQ32" s="106"/>
      <c r="DR32" s="106"/>
      <c r="DS32" s="106"/>
      <c r="DT32" s="106"/>
      <c r="DU32" s="106">
        <f t="shared" si="431"/>
        <v>0</v>
      </c>
    </row>
    <row r="33" spans="1:125" ht="14.45" hidden="1" customHeight="1" outlineLevel="1">
      <c r="A33" s="106">
        <f t="shared" si="391"/>
        <v>0</v>
      </c>
      <c r="B33" s="106">
        <f t="shared" si="392"/>
        <v>0</v>
      </c>
      <c r="C33" s="106">
        <f t="shared" si="393"/>
        <v>0</v>
      </c>
      <c r="D33" s="106">
        <f t="shared" si="394"/>
        <v>0</v>
      </c>
      <c r="E33" s="106">
        <f t="shared" si="395"/>
        <v>0</v>
      </c>
      <c r="F33" s="106">
        <f t="shared" si="396"/>
        <v>0</v>
      </c>
      <c r="G33" s="106">
        <f t="shared" si="397"/>
        <v>0</v>
      </c>
      <c r="H33" s="106">
        <f t="shared" si="398"/>
        <v>0</v>
      </c>
      <c r="I33" s="106">
        <f t="shared" si="399"/>
        <v>0</v>
      </c>
      <c r="J33" s="106">
        <f t="shared" si="400"/>
        <v>0</v>
      </c>
      <c r="K33" s="106">
        <f t="shared" si="401"/>
        <v>0</v>
      </c>
      <c r="L33" s="106">
        <f t="shared" si="402"/>
        <v>0</v>
      </c>
      <c r="M33" s="106">
        <f t="shared" si="360"/>
        <v>0</v>
      </c>
      <c r="N33" s="7" t="s">
        <v>28</v>
      </c>
      <c r="O33" s="106">
        <f t="shared" si="403"/>
        <v>0</v>
      </c>
      <c r="P33" s="106">
        <f t="shared" si="404"/>
        <v>0</v>
      </c>
      <c r="Q33" s="106">
        <f t="shared" si="405"/>
        <v>0</v>
      </c>
      <c r="R33" s="106">
        <f t="shared" si="406"/>
        <v>0</v>
      </c>
      <c r="S33" s="106">
        <f t="shared" si="407"/>
        <v>0</v>
      </c>
      <c r="T33" s="106">
        <f t="shared" si="408"/>
        <v>0</v>
      </c>
      <c r="U33" s="106">
        <f t="shared" si="409"/>
        <v>0</v>
      </c>
      <c r="V33" s="106">
        <f t="shared" si="410"/>
        <v>0</v>
      </c>
      <c r="W33" s="106">
        <f t="shared" si="411"/>
        <v>0</v>
      </c>
      <c r="X33" s="106">
        <f t="shared" si="412"/>
        <v>0</v>
      </c>
      <c r="Y33" s="106">
        <f t="shared" si="413"/>
        <v>0</v>
      </c>
      <c r="Z33" s="106">
        <f t="shared" si="414"/>
        <v>0</v>
      </c>
      <c r="AA33" s="106">
        <f t="shared" si="415"/>
        <v>0</v>
      </c>
      <c r="AB33" s="118">
        <f t="shared" si="374"/>
        <v>0</v>
      </c>
      <c r="AC33" s="106">
        <f t="shared" si="416"/>
        <v>0</v>
      </c>
      <c r="AD33" s="106">
        <f t="shared" si="417"/>
        <v>0</v>
      </c>
      <c r="AE33" s="106">
        <f t="shared" si="418"/>
        <v>0</v>
      </c>
      <c r="AF33" s="106">
        <f t="shared" si="419"/>
        <v>0</v>
      </c>
      <c r="AG33" s="106">
        <f t="shared" si="420"/>
        <v>0</v>
      </c>
      <c r="AH33" s="106">
        <f t="shared" si="421"/>
        <v>0</v>
      </c>
      <c r="AI33" s="106">
        <f t="shared" si="422"/>
        <v>0</v>
      </c>
      <c r="AJ33" s="106">
        <f t="shared" si="423"/>
        <v>0</v>
      </c>
      <c r="AK33" s="106">
        <f t="shared" si="424"/>
        <v>0</v>
      </c>
      <c r="AL33" s="106">
        <f t="shared" si="425"/>
        <v>0</v>
      </c>
      <c r="AM33" s="106">
        <f t="shared" si="426"/>
        <v>0</v>
      </c>
      <c r="AN33" s="106">
        <f t="shared" si="427"/>
        <v>0</v>
      </c>
      <c r="AO33" s="106">
        <f t="shared" si="428"/>
        <v>0</v>
      </c>
      <c r="AQ33" s="106">
        <v>0</v>
      </c>
      <c r="AR33" s="106">
        <v>0</v>
      </c>
      <c r="AS33" s="106">
        <v>0</v>
      </c>
      <c r="AT33" s="106">
        <v>0</v>
      </c>
      <c r="AU33" s="106">
        <v>0</v>
      </c>
      <c r="AV33" s="106">
        <v>0</v>
      </c>
      <c r="AW33" s="106">
        <v>0</v>
      </c>
      <c r="AX33" s="106">
        <v>0</v>
      </c>
      <c r="AY33" s="106">
        <v>0</v>
      </c>
      <c r="AZ33" s="106">
        <v>0</v>
      </c>
      <c r="BA33" s="106">
        <v>0</v>
      </c>
      <c r="BB33" s="106">
        <v>0</v>
      </c>
      <c r="BC33" s="106">
        <f t="shared" si="429"/>
        <v>0</v>
      </c>
      <c r="BD33" s="7" t="str">
        <f t="shared" si="47"/>
        <v>Warranty Parts</v>
      </c>
      <c r="BE33" s="106">
        <f>+VLOOKUP($BD33,'Jan-25'!$A:$J,2,0)</f>
        <v>0</v>
      </c>
      <c r="BF33" s="106">
        <f>+VLOOKUP($BD33,'Feb-25'!$A:$J,2,0)</f>
        <v>0</v>
      </c>
      <c r="BG33" s="106">
        <f>+VLOOKUP($BD33,'Mar-25'!$A:$J,2,0)</f>
        <v>0</v>
      </c>
      <c r="BH33" s="106">
        <f>+VLOOKUP($BD33,'Apr-25'!$A:$J,2,0)</f>
        <v>0</v>
      </c>
      <c r="BI33" s="106">
        <f>+VLOOKUP($BD33,'May-25'!$A:$J,2,0)</f>
        <v>0</v>
      </c>
      <c r="BJ33" s="106">
        <f>+VLOOKUP($BD33,'June-25'!$A:$J,2,0)</f>
        <v>0</v>
      </c>
      <c r="BK33" s="106">
        <f>+VLOOKUP($BD33,'July-25'!$A:$J,2,0)</f>
        <v>0</v>
      </c>
      <c r="BL33" s="106">
        <f>+VLOOKUP($BD33,'Aug-25'!$A:$J,2,0)</f>
        <v>0</v>
      </c>
      <c r="BM33" s="106">
        <f>+VLOOKUP($BD33,'Sep-25'!$A:$J,2,0)</f>
        <v>0</v>
      </c>
      <c r="BN33" s="106">
        <f>+VLOOKUP($BD33,'Oct-25'!$A:$J,2,0)</f>
        <v>0</v>
      </c>
      <c r="BO33" s="106">
        <f>+VLOOKUP($BD33,'Nov-25'!$A:$J,2,0)</f>
        <v>0</v>
      </c>
      <c r="BP33" s="106">
        <f>+VLOOKUP($BD33,'Dec-25'!$A:$J,2,0)</f>
        <v>0</v>
      </c>
      <c r="BQ33" s="106">
        <f t="shared" si="388"/>
        <v>0</v>
      </c>
      <c r="BR33" s="118">
        <f t="shared" si="389"/>
        <v>0</v>
      </c>
      <c r="BS33" s="106"/>
      <c r="BT33" s="106"/>
      <c r="BU33" s="106"/>
      <c r="BV33" s="106"/>
      <c r="BW33" s="106"/>
      <c r="BX33" s="106"/>
      <c r="BY33" s="106"/>
      <c r="BZ33" s="106"/>
      <c r="CA33" s="106"/>
      <c r="CB33" s="106"/>
      <c r="CC33" s="106"/>
      <c r="CD33" s="106"/>
      <c r="CE33" s="106"/>
      <c r="CF33" s="22"/>
      <c r="CG33" s="106"/>
      <c r="CH33" s="106"/>
      <c r="CI33" s="106"/>
      <c r="CJ33" s="106"/>
      <c r="CK33" s="106"/>
      <c r="CL33" s="106"/>
      <c r="CM33" s="106"/>
      <c r="CN33" s="106"/>
      <c r="CO33" s="106"/>
      <c r="CP33" s="106"/>
      <c r="CQ33" s="106"/>
      <c r="CR33" s="106"/>
      <c r="CS33" s="106">
        <f t="shared" si="430"/>
        <v>0</v>
      </c>
      <c r="CT33" s="7" t="str">
        <f t="shared" si="51"/>
        <v>Warranty Parts</v>
      </c>
      <c r="CU33" s="106">
        <f>+VLOOKUP($BD33,'Jan-25'!$A:$J,6,0)</f>
        <v>0</v>
      </c>
      <c r="CV33" s="106">
        <f>+VLOOKUP($BD33,'Feb-25'!$A:$J,6,0)</f>
        <v>0</v>
      </c>
      <c r="CW33" s="106">
        <f>+VLOOKUP($BD33,'Mar-25'!$A:$J,6,0)</f>
        <v>0</v>
      </c>
      <c r="CX33" s="106">
        <f>+VLOOKUP($BD33,'Apr-25'!$A:$J,6,0)</f>
        <v>0</v>
      </c>
      <c r="CY33" s="106">
        <f>+VLOOKUP($BD33,'May-25'!$A:$J,6,0)</f>
        <v>0</v>
      </c>
      <c r="CZ33" s="106">
        <f>+VLOOKUP($BD33,'June-25'!$A:$J,6,0)</f>
        <v>0</v>
      </c>
      <c r="DA33" s="106">
        <f>+VLOOKUP($BD33,'July-25'!$A:$J,6,0)</f>
        <v>0</v>
      </c>
      <c r="DB33" s="106">
        <f>+VLOOKUP($BD33,'Aug-25'!$A:$J,6,0)</f>
        <v>0</v>
      </c>
      <c r="DC33" s="106">
        <f>+VLOOKUP($BD33,'Sep-25'!$A:$J,6,0)</f>
        <v>0</v>
      </c>
      <c r="DD33" s="106">
        <f>+VLOOKUP($BD33,'Oct-25'!$A:$J,6,0)</f>
        <v>0</v>
      </c>
      <c r="DE33" s="106">
        <f>+VLOOKUP($BD33,'Nov-25'!$A:$J,6,0)</f>
        <v>0</v>
      </c>
      <c r="DF33" s="106">
        <f>+VLOOKUP($BD33,'Dec-25'!$A:$J,6,0)</f>
        <v>0</v>
      </c>
      <c r="DG33" s="106">
        <f t="shared" si="432"/>
        <v>0</v>
      </c>
      <c r="DH33" s="118">
        <f t="shared" si="390"/>
        <v>0</v>
      </c>
      <c r="DI33" s="106"/>
      <c r="DJ33" s="106"/>
      <c r="DK33" s="106"/>
      <c r="DL33" s="106"/>
      <c r="DM33" s="106"/>
      <c r="DN33" s="106"/>
      <c r="DO33" s="106"/>
      <c r="DP33" s="106"/>
      <c r="DQ33" s="106"/>
      <c r="DR33" s="106"/>
      <c r="DS33" s="106"/>
      <c r="DT33" s="106"/>
      <c r="DU33" s="106">
        <f t="shared" si="431"/>
        <v>0</v>
      </c>
    </row>
    <row r="34" spans="1:125" ht="14.45" hidden="1" customHeight="1" outlineLevel="1">
      <c r="A34" s="106">
        <f t="shared" si="391"/>
        <v>0</v>
      </c>
      <c r="B34" s="106">
        <f t="shared" si="392"/>
        <v>0</v>
      </c>
      <c r="C34" s="106">
        <f t="shared" si="393"/>
        <v>0</v>
      </c>
      <c r="D34" s="106">
        <f t="shared" si="394"/>
        <v>0</v>
      </c>
      <c r="E34" s="106">
        <f t="shared" si="395"/>
        <v>0</v>
      </c>
      <c r="F34" s="106">
        <f t="shared" si="396"/>
        <v>0</v>
      </c>
      <c r="G34" s="106">
        <f t="shared" si="397"/>
        <v>0</v>
      </c>
      <c r="H34" s="106">
        <f t="shared" si="398"/>
        <v>0</v>
      </c>
      <c r="I34" s="106">
        <f t="shared" si="399"/>
        <v>0</v>
      </c>
      <c r="J34" s="106">
        <f t="shared" si="400"/>
        <v>0</v>
      </c>
      <c r="K34" s="106">
        <f t="shared" si="401"/>
        <v>0</v>
      </c>
      <c r="L34" s="106">
        <f t="shared" si="402"/>
        <v>0</v>
      </c>
      <c r="M34" s="106">
        <f t="shared" si="360"/>
        <v>0</v>
      </c>
      <c r="N34" s="7" t="s">
        <v>29</v>
      </c>
      <c r="O34" s="106">
        <f t="shared" si="403"/>
        <v>0</v>
      </c>
      <c r="P34" s="106">
        <f t="shared" si="404"/>
        <v>0</v>
      </c>
      <c r="Q34" s="106">
        <f t="shared" si="405"/>
        <v>0</v>
      </c>
      <c r="R34" s="106">
        <f t="shared" si="406"/>
        <v>0</v>
      </c>
      <c r="S34" s="106">
        <f t="shared" si="407"/>
        <v>0</v>
      </c>
      <c r="T34" s="106">
        <f t="shared" si="408"/>
        <v>0</v>
      </c>
      <c r="U34" s="106">
        <f t="shared" si="409"/>
        <v>0</v>
      </c>
      <c r="V34" s="106">
        <f t="shared" si="410"/>
        <v>0</v>
      </c>
      <c r="W34" s="106">
        <f t="shared" si="411"/>
        <v>0</v>
      </c>
      <c r="X34" s="106">
        <f t="shared" si="412"/>
        <v>0</v>
      </c>
      <c r="Y34" s="106">
        <f t="shared" si="413"/>
        <v>0</v>
      </c>
      <c r="Z34" s="106">
        <f t="shared" si="414"/>
        <v>0</v>
      </c>
      <c r="AA34" s="106">
        <f t="shared" si="415"/>
        <v>0</v>
      </c>
      <c r="AB34" s="118">
        <f t="shared" si="374"/>
        <v>0</v>
      </c>
      <c r="AC34" s="106">
        <f t="shared" si="416"/>
        <v>0</v>
      </c>
      <c r="AD34" s="106">
        <f t="shared" si="417"/>
        <v>0</v>
      </c>
      <c r="AE34" s="106">
        <f t="shared" si="418"/>
        <v>0</v>
      </c>
      <c r="AF34" s="106">
        <f t="shared" si="419"/>
        <v>0</v>
      </c>
      <c r="AG34" s="106">
        <f t="shared" si="420"/>
        <v>0</v>
      </c>
      <c r="AH34" s="106">
        <f t="shared" si="421"/>
        <v>0</v>
      </c>
      <c r="AI34" s="106">
        <f t="shared" si="422"/>
        <v>0</v>
      </c>
      <c r="AJ34" s="106">
        <f t="shared" si="423"/>
        <v>0</v>
      </c>
      <c r="AK34" s="106">
        <f t="shared" si="424"/>
        <v>0</v>
      </c>
      <c r="AL34" s="106">
        <f t="shared" si="425"/>
        <v>0</v>
      </c>
      <c r="AM34" s="106">
        <f t="shared" si="426"/>
        <v>0</v>
      </c>
      <c r="AN34" s="106">
        <f t="shared" si="427"/>
        <v>0</v>
      </c>
      <c r="AO34" s="106">
        <f t="shared" si="428"/>
        <v>0</v>
      </c>
      <c r="AQ34" s="106">
        <v>0</v>
      </c>
      <c r="AR34" s="106">
        <v>0</v>
      </c>
      <c r="AS34" s="106">
        <v>0</v>
      </c>
      <c r="AT34" s="106">
        <v>0</v>
      </c>
      <c r="AU34" s="106">
        <v>0</v>
      </c>
      <c r="AV34" s="106">
        <v>0</v>
      </c>
      <c r="AW34" s="106">
        <v>0</v>
      </c>
      <c r="AX34" s="106">
        <v>0</v>
      </c>
      <c r="AY34" s="106">
        <v>0</v>
      </c>
      <c r="AZ34" s="106">
        <v>0</v>
      </c>
      <c r="BA34" s="106">
        <v>0</v>
      </c>
      <c r="BB34" s="106">
        <v>0</v>
      </c>
      <c r="BC34" s="106">
        <f t="shared" si="429"/>
        <v>0</v>
      </c>
      <c r="BD34" s="7" t="str">
        <f t="shared" si="47"/>
        <v>Warranty Labour</v>
      </c>
      <c r="BE34" s="106">
        <f>+VLOOKUP($BD34,'Jan-25'!$A:$J,2,0)</f>
        <v>0</v>
      </c>
      <c r="BF34" s="106">
        <f>+VLOOKUP($BD34,'Feb-25'!$A:$J,2,0)</f>
        <v>0</v>
      </c>
      <c r="BG34" s="106">
        <f>+VLOOKUP($BD34,'Mar-25'!$A:$J,2,0)</f>
        <v>0</v>
      </c>
      <c r="BH34" s="106">
        <f>+VLOOKUP($BD34,'Apr-25'!$A:$J,2,0)</f>
        <v>0</v>
      </c>
      <c r="BI34" s="106">
        <f>+VLOOKUP($BD34,'May-25'!$A:$J,2,0)</f>
        <v>0</v>
      </c>
      <c r="BJ34" s="106">
        <f>+VLOOKUP($BD34,'June-25'!$A:$J,2,0)</f>
        <v>0</v>
      </c>
      <c r="BK34" s="106">
        <f>+VLOOKUP($BD34,'July-25'!$A:$J,2,0)</f>
        <v>0</v>
      </c>
      <c r="BL34" s="106">
        <f>+VLOOKUP($BD34,'Aug-25'!$A:$J,2,0)</f>
        <v>0</v>
      </c>
      <c r="BM34" s="106">
        <f>+VLOOKUP($BD34,'Sep-25'!$A:$J,2,0)</f>
        <v>0</v>
      </c>
      <c r="BN34" s="106">
        <f>+VLOOKUP($BD34,'Oct-25'!$A:$J,2,0)</f>
        <v>0</v>
      </c>
      <c r="BO34" s="106">
        <f>+VLOOKUP($BD34,'Nov-25'!$A:$J,2,0)</f>
        <v>0</v>
      </c>
      <c r="BP34" s="106">
        <f>+VLOOKUP($BD34,'Dec-25'!$A:$J,2,0)</f>
        <v>0</v>
      </c>
      <c r="BQ34" s="106">
        <f t="shared" si="388"/>
        <v>0</v>
      </c>
      <c r="BR34" s="118">
        <f t="shared" si="389"/>
        <v>0</v>
      </c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  <c r="CF34" s="22"/>
      <c r="CG34" s="106"/>
      <c r="CH34" s="106"/>
      <c r="CI34" s="106"/>
      <c r="CJ34" s="106"/>
      <c r="CK34" s="106"/>
      <c r="CL34" s="106"/>
      <c r="CM34" s="106"/>
      <c r="CN34" s="106"/>
      <c r="CO34" s="106"/>
      <c r="CP34" s="106"/>
      <c r="CQ34" s="106"/>
      <c r="CR34" s="106"/>
      <c r="CS34" s="106">
        <f t="shared" si="430"/>
        <v>0</v>
      </c>
      <c r="CT34" s="7" t="str">
        <f t="shared" si="51"/>
        <v>Warranty Labour</v>
      </c>
      <c r="CU34" s="106">
        <f>+VLOOKUP($BD34,'Jan-25'!$A:$J,6,0)</f>
        <v>0</v>
      </c>
      <c r="CV34" s="106">
        <f>+VLOOKUP($BD34,'Feb-25'!$A:$J,6,0)</f>
        <v>0</v>
      </c>
      <c r="CW34" s="106">
        <f>+VLOOKUP($BD34,'Mar-25'!$A:$J,6,0)</f>
        <v>0</v>
      </c>
      <c r="CX34" s="106">
        <f>+VLOOKUP($BD34,'Apr-25'!$A:$J,6,0)</f>
        <v>0</v>
      </c>
      <c r="CY34" s="106">
        <f>+VLOOKUP($BD34,'May-25'!$A:$J,6,0)</f>
        <v>0</v>
      </c>
      <c r="CZ34" s="106">
        <f>+VLOOKUP($BD34,'June-25'!$A:$J,6,0)</f>
        <v>0</v>
      </c>
      <c r="DA34" s="106">
        <f>+VLOOKUP($BD34,'July-25'!$A:$J,6,0)</f>
        <v>0</v>
      </c>
      <c r="DB34" s="106">
        <f>+VLOOKUP($BD34,'Aug-25'!$A:$J,6,0)</f>
        <v>0</v>
      </c>
      <c r="DC34" s="106">
        <f>+VLOOKUP($BD34,'Sep-25'!$A:$J,6,0)</f>
        <v>0</v>
      </c>
      <c r="DD34" s="106">
        <f>+VLOOKUP($BD34,'Oct-25'!$A:$J,6,0)</f>
        <v>0</v>
      </c>
      <c r="DE34" s="106">
        <f>+VLOOKUP($BD34,'Nov-25'!$A:$J,6,0)</f>
        <v>0</v>
      </c>
      <c r="DF34" s="106">
        <f>+VLOOKUP($BD34,'Dec-25'!$A:$J,6,0)</f>
        <v>0</v>
      </c>
      <c r="DG34" s="106">
        <f t="shared" si="432"/>
        <v>0</v>
      </c>
      <c r="DH34" s="118">
        <f t="shared" si="390"/>
        <v>0</v>
      </c>
      <c r="DI34" s="106"/>
      <c r="DJ34" s="106"/>
      <c r="DK34" s="106"/>
      <c r="DL34" s="106"/>
      <c r="DM34" s="106"/>
      <c r="DN34" s="106"/>
      <c r="DO34" s="106"/>
      <c r="DP34" s="106"/>
      <c r="DQ34" s="106"/>
      <c r="DR34" s="106"/>
      <c r="DS34" s="106"/>
      <c r="DT34" s="106"/>
      <c r="DU34" s="106">
        <f t="shared" si="431"/>
        <v>0</v>
      </c>
    </row>
    <row r="35" spans="1:125" ht="14.45" hidden="1" customHeight="1" outlineLevel="1">
      <c r="A35" s="106">
        <f t="shared" si="391"/>
        <v>0</v>
      </c>
      <c r="B35" s="106">
        <f t="shared" si="392"/>
        <v>0</v>
      </c>
      <c r="C35" s="106">
        <f t="shared" si="393"/>
        <v>0</v>
      </c>
      <c r="D35" s="106">
        <f t="shared" si="394"/>
        <v>0</v>
      </c>
      <c r="E35" s="106">
        <f t="shared" si="395"/>
        <v>0</v>
      </c>
      <c r="F35" s="106">
        <f t="shared" si="396"/>
        <v>0</v>
      </c>
      <c r="G35" s="106">
        <f t="shared" si="397"/>
        <v>0</v>
      </c>
      <c r="H35" s="106">
        <f t="shared" si="398"/>
        <v>0</v>
      </c>
      <c r="I35" s="106">
        <f t="shared" si="399"/>
        <v>0</v>
      </c>
      <c r="J35" s="106">
        <f t="shared" si="400"/>
        <v>0</v>
      </c>
      <c r="K35" s="106">
        <f t="shared" si="401"/>
        <v>0</v>
      </c>
      <c r="L35" s="106">
        <f t="shared" si="402"/>
        <v>0</v>
      </c>
      <c r="M35" s="106">
        <f t="shared" si="360"/>
        <v>0</v>
      </c>
      <c r="N35" s="7" t="s">
        <v>30</v>
      </c>
      <c r="O35" s="106">
        <f t="shared" si="403"/>
        <v>0</v>
      </c>
      <c r="P35" s="106">
        <f t="shared" si="404"/>
        <v>0</v>
      </c>
      <c r="Q35" s="106">
        <f t="shared" si="405"/>
        <v>0</v>
      </c>
      <c r="R35" s="106">
        <f t="shared" si="406"/>
        <v>0</v>
      </c>
      <c r="S35" s="106">
        <f t="shared" si="407"/>
        <v>0</v>
      </c>
      <c r="T35" s="106">
        <f t="shared" si="408"/>
        <v>0</v>
      </c>
      <c r="U35" s="106">
        <f t="shared" si="409"/>
        <v>0</v>
      </c>
      <c r="V35" s="106">
        <f t="shared" si="410"/>
        <v>0</v>
      </c>
      <c r="W35" s="106">
        <f t="shared" si="411"/>
        <v>0</v>
      </c>
      <c r="X35" s="106">
        <f t="shared" si="412"/>
        <v>0</v>
      </c>
      <c r="Y35" s="106">
        <f t="shared" si="413"/>
        <v>0</v>
      </c>
      <c r="Z35" s="106">
        <f t="shared" si="414"/>
        <v>0</v>
      </c>
      <c r="AA35" s="106">
        <f t="shared" si="415"/>
        <v>0</v>
      </c>
      <c r="AB35" s="118">
        <f t="shared" si="374"/>
        <v>0</v>
      </c>
      <c r="AC35" s="106">
        <f t="shared" si="416"/>
        <v>0</v>
      </c>
      <c r="AD35" s="106">
        <f t="shared" si="417"/>
        <v>0</v>
      </c>
      <c r="AE35" s="106">
        <f t="shared" si="418"/>
        <v>0</v>
      </c>
      <c r="AF35" s="106">
        <f t="shared" si="419"/>
        <v>0</v>
      </c>
      <c r="AG35" s="106">
        <f t="shared" si="420"/>
        <v>0</v>
      </c>
      <c r="AH35" s="106">
        <f t="shared" si="421"/>
        <v>0</v>
      </c>
      <c r="AI35" s="106">
        <f t="shared" si="422"/>
        <v>0</v>
      </c>
      <c r="AJ35" s="106">
        <f t="shared" si="423"/>
        <v>0</v>
      </c>
      <c r="AK35" s="106">
        <f t="shared" si="424"/>
        <v>0</v>
      </c>
      <c r="AL35" s="106">
        <f t="shared" si="425"/>
        <v>0</v>
      </c>
      <c r="AM35" s="106">
        <f t="shared" si="426"/>
        <v>0</v>
      </c>
      <c r="AN35" s="106">
        <f t="shared" si="427"/>
        <v>0</v>
      </c>
      <c r="AO35" s="106">
        <f t="shared" si="428"/>
        <v>0</v>
      </c>
      <c r="AQ35" s="106">
        <v>0</v>
      </c>
      <c r="AR35" s="106">
        <v>0</v>
      </c>
      <c r="AS35" s="106">
        <v>0</v>
      </c>
      <c r="AT35" s="106">
        <v>0</v>
      </c>
      <c r="AU35" s="106">
        <v>0</v>
      </c>
      <c r="AV35" s="106">
        <v>0</v>
      </c>
      <c r="AW35" s="106">
        <v>0</v>
      </c>
      <c r="AX35" s="106">
        <v>0</v>
      </c>
      <c r="AY35" s="106">
        <v>0</v>
      </c>
      <c r="AZ35" s="106">
        <v>0</v>
      </c>
      <c r="BA35" s="106">
        <v>0</v>
      </c>
      <c r="BB35" s="106">
        <v>0</v>
      </c>
      <c r="BC35" s="106">
        <f t="shared" si="429"/>
        <v>0</v>
      </c>
      <c r="BD35" s="7" t="str">
        <f t="shared" si="47"/>
        <v>Internal Sales</v>
      </c>
      <c r="BE35" s="106">
        <f>+VLOOKUP($BD35,'Jan-25'!$A:$J,2,0)</f>
        <v>0</v>
      </c>
      <c r="BF35" s="106">
        <f>+VLOOKUP($BD35,'Feb-25'!$A:$J,2,0)</f>
        <v>0</v>
      </c>
      <c r="BG35" s="106">
        <f>+VLOOKUP($BD35,'Mar-25'!$A:$J,2,0)</f>
        <v>0</v>
      </c>
      <c r="BH35" s="106">
        <f>+VLOOKUP($BD35,'Apr-25'!$A:$J,2,0)</f>
        <v>0</v>
      </c>
      <c r="BI35" s="106">
        <f>+VLOOKUP($BD35,'May-25'!$A:$J,2,0)</f>
        <v>0</v>
      </c>
      <c r="BJ35" s="106">
        <f>+VLOOKUP($BD35,'June-25'!$A:$J,2,0)</f>
        <v>0</v>
      </c>
      <c r="BK35" s="106">
        <f>+VLOOKUP($BD35,'July-25'!$A:$J,2,0)</f>
        <v>0</v>
      </c>
      <c r="BL35" s="106">
        <f>+VLOOKUP($BD35,'Aug-25'!$A:$J,2,0)</f>
        <v>0</v>
      </c>
      <c r="BM35" s="106">
        <f>+VLOOKUP($BD35,'Sep-25'!$A:$J,2,0)</f>
        <v>0</v>
      </c>
      <c r="BN35" s="106">
        <f>+VLOOKUP($BD35,'Oct-25'!$A:$J,2,0)</f>
        <v>0</v>
      </c>
      <c r="BO35" s="106">
        <f>+VLOOKUP($BD35,'Nov-25'!$A:$J,2,0)</f>
        <v>0</v>
      </c>
      <c r="BP35" s="106">
        <f>+VLOOKUP($BD35,'Dec-25'!$A:$J,2,0)</f>
        <v>0</v>
      </c>
      <c r="BQ35" s="106">
        <f t="shared" si="388"/>
        <v>0</v>
      </c>
      <c r="BR35" s="118">
        <f t="shared" si="389"/>
        <v>0</v>
      </c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/>
      <c r="CF35" s="22"/>
      <c r="CG35" s="106"/>
      <c r="CH35" s="106"/>
      <c r="CI35" s="106"/>
      <c r="CJ35" s="106"/>
      <c r="CK35" s="106"/>
      <c r="CL35" s="106"/>
      <c r="CM35" s="106"/>
      <c r="CN35" s="106"/>
      <c r="CO35" s="106"/>
      <c r="CP35" s="106"/>
      <c r="CQ35" s="106"/>
      <c r="CR35" s="106"/>
      <c r="CS35" s="106">
        <f t="shared" si="430"/>
        <v>0</v>
      </c>
      <c r="CT35" s="7" t="str">
        <f t="shared" si="51"/>
        <v>Internal Sales</v>
      </c>
      <c r="CU35" s="106">
        <f>+VLOOKUP($BD35,'Jan-25'!$A:$J,6,0)</f>
        <v>0</v>
      </c>
      <c r="CV35" s="106">
        <f>+VLOOKUP($BD35,'Feb-25'!$A:$J,6,0)</f>
        <v>0</v>
      </c>
      <c r="CW35" s="106">
        <f>+VLOOKUP($BD35,'Mar-25'!$A:$J,6,0)</f>
        <v>0</v>
      </c>
      <c r="CX35" s="106">
        <f>+VLOOKUP($BD35,'Apr-25'!$A:$J,6,0)</f>
        <v>0</v>
      </c>
      <c r="CY35" s="106">
        <f>+VLOOKUP($BD35,'May-25'!$A:$J,6,0)</f>
        <v>0</v>
      </c>
      <c r="CZ35" s="106">
        <f>+VLOOKUP($BD35,'June-25'!$A:$J,6,0)</f>
        <v>0</v>
      </c>
      <c r="DA35" s="106">
        <f>+VLOOKUP($BD35,'July-25'!$A:$J,6,0)</f>
        <v>0</v>
      </c>
      <c r="DB35" s="106">
        <f>+VLOOKUP($BD35,'Aug-25'!$A:$J,6,0)</f>
        <v>0</v>
      </c>
      <c r="DC35" s="106">
        <f>+VLOOKUP($BD35,'Sep-25'!$A:$J,6,0)</f>
        <v>0</v>
      </c>
      <c r="DD35" s="106">
        <f>+VLOOKUP($BD35,'Oct-25'!$A:$J,6,0)</f>
        <v>0</v>
      </c>
      <c r="DE35" s="106">
        <f>+VLOOKUP($BD35,'Nov-25'!$A:$J,6,0)</f>
        <v>0</v>
      </c>
      <c r="DF35" s="106">
        <f>+VLOOKUP($BD35,'Dec-25'!$A:$J,6,0)</f>
        <v>0</v>
      </c>
      <c r="DG35" s="106">
        <f t="shared" si="432"/>
        <v>0</v>
      </c>
      <c r="DH35" s="118">
        <f t="shared" si="390"/>
        <v>0</v>
      </c>
      <c r="DI35" s="106"/>
      <c r="DJ35" s="106"/>
      <c r="DK35" s="106"/>
      <c r="DL35" s="106"/>
      <c r="DM35" s="106"/>
      <c r="DN35" s="106"/>
      <c r="DO35" s="106"/>
      <c r="DP35" s="106"/>
      <c r="DQ35" s="106"/>
      <c r="DR35" s="106"/>
      <c r="DS35" s="106"/>
      <c r="DT35" s="106"/>
      <c r="DU35" s="106">
        <f t="shared" si="431"/>
        <v>0</v>
      </c>
    </row>
    <row r="36" spans="1:125" ht="14.45" hidden="1" customHeight="1" outlineLevel="1">
      <c r="A36" s="106">
        <f t="shared" si="391"/>
        <v>0</v>
      </c>
      <c r="B36" s="106">
        <f t="shared" si="392"/>
        <v>0</v>
      </c>
      <c r="C36" s="106">
        <f t="shared" si="393"/>
        <v>0</v>
      </c>
      <c r="D36" s="106">
        <f t="shared" si="394"/>
        <v>0</v>
      </c>
      <c r="E36" s="106">
        <f t="shared" si="395"/>
        <v>0</v>
      </c>
      <c r="F36" s="106">
        <f t="shared" si="396"/>
        <v>0</v>
      </c>
      <c r="G36" s="106">
        <f t="shared" si="397"/>
        <v>0</v>
      </c>
      <c r="H36" s="106">
        <f t="shared" si="398"/>
        <v>0</v>
      </c>
      <c r="I36" s="106">
        <f t="shared" si="399"/>
        <v>0</v>
      </c>
      <c r="J36" s="106">
        <f t="shared" si="400"/>
        <v>0</v>
      </c>
      <c r="K36" s="106">
        <f t="shared" si="401"/>
        <v>0</v>
      </c>
      <c r="L36" s="106">
        <f t="shared" si="402"/>
        <v>0</v>
      </c>
      <c r="M36" s="106">
        <f t="shared" si="360"/>
        <v>0</v>
      </c>
      <c r="N36" s="7" t="s">
        <v>31</v>
      </c>
      <c r="O36" s="106">
        <f t="shared" si="403"/>
        <v>0</v>
      </c>
      <c r="P36" s="106">
        <f t="shared" si="404"/>
        <v>0</v>
      </c>
      <c r="Q36" s="106">
        <f t="shared" si="405"/>
        <v>0</v>
      </c>
      <c r="R36" s="106">
        <f t="shared" si="406"/>
        <v>0</v>
      </c>
      <c r="S36" s="106">
        <f t="shared" si="407"/>
        <v>0</v>
      </c>
      <c r="T36" s="106">
        <f t="shared" si="408"/>
        <v>0</v>
      </c>
      <c r="U36" s="106">
        <f t="shared" si="409"/>
        <v>0</v>
      </c>
      <c r="V36" s="106">
        <f t="shared" si="410"/>
        <v>0</v>
      </c>
      <c r="W36" s="106">
        <f t="shared" si="411"/>
        <v>0</v>
      </c>
      <c r="X36" s="106">
        <f t="shared" si="412"/>
        <v>0</v>
      </c>
      <c r="Y36" s="106">
        <f t="shared" si="413"/>
        <v>0</v>
      </c>
      <c r="Z36" s="106">
        <f t="shared" si="414"/>
        <v>0</v>
      </c>
      <c r="AA36" s="106">
        <f t="shared" si="415"/>
        <v>0</v>
      </c>
      <c r="AB36" s="118">
        <f t="shared" si="374"/>
        <v>0</v>
      </c>
      <c r="AC36" s="106">
        <f t="shared" si="416"/>
        <v>0</v>
      </c>
      <c r="AD36" s="106">
        <f t="shared" si="417"/>
        <v>0</v>
      </c>
      <c r="AE36" s="106">
        <f t="shared" si="418"/>
        <v>0</v>
      </c>
      <c r="AF36" s="106">
        <f t="shared" si="419"/>
        <v>0</v>
      </c>
      <c r="AG36" s="106">
        <f t="shared" si="420"/>
        <v>0</v>
      </c>
      <c r="AH36" s="106">
        <f t="shared" si="421"/>
        <v>0</v>
      </c>
      <c r="AI36" s="106">
        <f t="shared" si="422"/>
        <v>0</v>
      </c>
      <c r="AJ36" s="106">
        <f t="shared" si="423"/>
        <v>0</v>
      </c>
      <c r="AK36" s="106">
        <f t="shared" si="424"/>
        <v>0</v>
      </c>
      <c r="AL36" s="106">
        <f t="shared" si="425"/>
        <v>0</v>
      </c>
      <c r="AM36" s="106">
        <f t="shared" si="426"/>
        <v>0</v>
      </c>
      <c r="AN36" s="106">
        <f t="shared" si="427"/>
        <v>0</v>
      </c>
      <c r="AO36" s="106">
        <f t="shared" si="428"/>
        <v>0</v>
      </c>
      <c r="AQ36" s="106">
        <v>0</v>
      </c>
      <c r="AR36" s="106">
        <v>0</v>
      </c>
      <c r="AS36" s="106">
        <v>0</v>
      </c>
      <c r="AT36" s="106">
        <v>0</v>
      </c>
      <c r="AU36" s="106">
        <v>0</v>
      </c>
      <c r="AV36" s="106">
        <v>0</v>
      </c>
      <c r="AW36" s="106">
        <v>0</v>
      </c>
      <c r="AX36" s="106">
        <v>0</v>
      </c>
      <c r="AY36" s="106">
        <v>0</v>
      </c>
      <c r="AZ36" s="106">
        <v>0</v>
      </c>
      <c r="BA36" s="106">
        <v>0</v>
      </c>
      <c r="BB36" s="106">
        <v>0</v>
      </c>
      <c r="BC36" s="106">
        <f t="shared" si="429"/>
        <v>0</v>
      </c>
      <c r="BD36" s="7" t="str">
        <f t="shared" si="47"/>
        <v>Starease Sales</v>
      </c>
      <c r="BE36" s="106">
        <f>+VLOOKUP($BD36,'Jan-25'!$A:$J,2,0)</f>
        <v>0</v>
      </c>
      <c r="BF36" s="106">
        <f>+VLOOKUP($BD36,'Feb-25'!$A:$J,2,0)</f>
        <v>0</v>
      </c>
      <c r="BG36" s="106">
        <f>+VLOOKUP($BD36,'Mar-25'!$A:$J,2,0)</f>
        <v>0</v>
      </c>
      <c r="BH36" s="106">
        <f>+VLOOKUP($BD36,'Apr-25'!$A:$J,2,0)</f>
        <v>0</v>
      </c>
      <c r="BI36" s="106">
        <f>+VLOOKUP($BD36,'May-25'!$A:$J,2,0)</f>
        <v>0</v>
      </c>
      <c r="BJ36" s="106">
        <f>+VLOOKUP($BD36,'June-25'!$A:$J,2,0)</f>
        <v>0</v>
      </c>
      <c r="BK36" s="106">
        <f>+VLOOKUP($BD36,'July-25'!$A:$J,2,0)</f>
        <v>0</v>
      </c>
      <c r="BL36" s="106">
        <f>+VLOOKUP($BD36,'Aug-25'!$A:$J,2,0)</f>
        <v>0</v>
      </c>
      <c r="BM36" s="106">
        <f>+VLOOKUP($BD36,'Sep-25'!$A:$J,2,0)</f>
        <v>0</v>
      </c>
      <c r="BN36" s="106">
        <f>+VLOOKUP($BD36,'Oct-25'!$A:$J,2,0)</f>
        <v>0</v>
      </c>
      <c r="BO36" s="106">
        <f>+VLOOKUP($BD36,'Nov-25'!$A:$J,2,0)</f>
        <v>0</v>
      </c>
      <c r="BP36" s="106">
        <f>+VLOOKUP($BD36,'Dec-25'!$A:$J,2,0)</f>
        <v>0</v>
      </c>
      <c r="BQ36" s="106">
        <f t="shared" si="388"/>
        <v>0</v>
      </c>
      <c r="BR36" s="118">
        <f t="shared" si="389"/>
        <v>0</v>
      </c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/>
      <c r="CF36" s="22"/>
      <c r="CG36" s="106"/>
      <c r="CH36" s="106"/>
      <c r="CI36" s="106"/>
      <c r="CJ36" s="106"/>
      <c r="CK36" s="106"/>
      <c r="CL36" s="106"/>
      <c r="CM36" s="106"/>
      <c r="CN36" s="106"/>
      <c r="CO36" s="106"/>
      <c r="CP36" s="106"/>
      <c r="CQ36" s="106"/>
      <c r="CR36" s="106"/>
      <c r="CS36" s="106">
        <f t="shared" si="430"/>
        <v>0</v>
      </c>
      <c r="CT36" s="7" t="str">
        <f t="shared" si="51"/>
        <v>Starease Sales</v>
      </c>
      <c r="CU36" s="106">
        <f>+VLOOKUP($BD36,'Jan-25'!$A:$J,6,0)</f>
        <v>0</v>
      </c>
      <c r="CV36" s="106">
        <f>+VLOOKUP($BD36,'Feb-25'!$A:$J,6,0)</f>
        <v>0</v>
      </c>
      <c r="CW36" s="106">
        <f>+VLOOKUP($BD36,'Mar-25'!$A:$J,6,0)</f>
        <v>0</v>
      </c>
      <c r="CX36" s="106">
        <f>+VLOOKUP($BD36,'Apr-25'!$A:$J,6,0)</f>
        <v>0</v>
      </c>
      <c r="CY36" s="106">
        <f>+VLOOKUP($BD36,'May-25'!$A:$J,6,0)</f>
        <v>0</v>
      </c>
      <c r="CZ36" s="106">
        <f>+VLOOKUP($BD36,'June-25'!$A:$J,6,0)</f>
        <v>0</v>
      </c>
      <c r="DA36" s="106">
        <f>+VLOOKUP($BD36,'July-25'!$A:$J,6,0)</f>
        <v>0</v>
      </c>
      <c r="DB36" s="106">
        <f>+VLOOKUP($BD36,'Aug-25'!$A:$J,6,0)</f>
        <v>0</v>
      </c>
      <c r="DC36" s="106">
        <f>+VLOOKUP($BD36,'Sep-25'!$A:$J,6,0)</f>
        <v>0</v>
      </c>
      <c r="DD36" s="106">
        <f>+VLOOKUP($BD36,'Oct-25'!$A:$J,6,0)</f>
        <v>0</v>
      </c>
      <c r="DE36" s="106">
        <f>+VLOOKUP($BD36,'Nov-25'!$A:$J,6,0)</f>
        <v>0</v>
      </c>
      <c r="DF36" s="106">
        <f>+VLOOKUP($BD36,'Dec-25'!$A:$J,6,0)</f>
        <v>0</v>
      </c>
      <c r="DG36" s="106">
        <f t="shared" si="432"/>
        <v>0</v>
      </c>
      <c r="DH36" s="118">
        <f t="shared" si="390"/>
        <v>0</v>
      </c>
      <c r="DI36" s="106"/>
      <c r="DJ36" s="106"/>
      <c r="DK36" s="106"/>
      <c r="DL36" s="106"/>
      <c r="DM36" s="106"/>
      <c r="DN36" s="106"/>
      <c r="DO36" s="106"/>
      <c r="DP36" s="106"/>
      <c r="DQ36" s="106"/>
      <c r="DR36" s="106"/>
      <c r="DS36" s="106"/>
      <c r="DT36" s="106"/>
      <c r="DU36" s="106">
        <f t="shared" si="431"/>
        <v>0</v>
      </c>
    </row>
    <row r="37" spans="1:125" ht="14.45" hidden="1" customHeight="1" outlineLevel="1">
      <c r="A37" s="106">
        <f t="shared" si="391"/>
        <v>0</v>
      </c>
      <c r="B37" s="106">
        <f t="shared" si="392"/>
        <v>0</v>
      </c>
      <c r="C37" s="106">
        <f t="shared" si="393"/>
        <v>0</v>
      </c>
      <c r="D37" s="106">
        <f t="shared" si="394"/>
        <v>0</v>
      </c>
      <c r="E37" s="106">
        <f t="shared" si="395"/>
        <v>0</v>
      </c>
      <c r="F37" s="106">
        <f t="shared" si="396"/>
        <v>0</v>
      </c>
      <c r="G37" s="106">
        <f t="shared" si="397"/>
        <v>0</v>
      </c>
      <c r="H37" s="106">
        <f t="shared" si="398"/>
        <v>0</v>
      </c>
      <c r="I37" s="106">
        <f t="shared" si="399"/>
        <v>0</v>
      </c>
      <c r="J37" s="106">
        <f t="shared" si="400"/>
        <v>0</v>
      </c>
      <c r="K37" s="106">
        <f t="shared" si="401"/>
        <v>0</v>
      </c>
      <c r="L37" s="106">
        <f t="shared" si="402"/>
        <v>0</v>
      </c>
      <c r="M37" s="106">
        <f t="shared" si="360"/>
        <v>0</v>
      </c>
      <c r="N37" s="7" t="s">
        <v>32</v>
      </c>
      <c r="O37" s="106">
        <f t="shared" si="403"/>
        <v>0</v>
      </c>
      <c r="P37" s="106">
        <f t="shared" si="404"/>
        <v>0</v>
      </c>
      <c r="Q37" s="106">
        <f t="shared" si="405"/>
        <v>0</v>
      </c>
      <c r="R37" s="106">
        <f t="shared" si="406"/>
        <v>79286.11</v>
      </c>
      <c r="S37" s="106">
        <f t="shared" si="407"/>
        <v>0</v>
      </c>
      <c r="T37" s="106">
        <f t="shared" si="408"/>
        <v>0</v>
      </c>
      <c r="U37" s="106">
        <f t="shared" si="409"/>
        <v>130070.7</v>
      </c>
      <c r="V37" s="106">
        <f t="shared" si="410"/>
        <v>0</v>
      </c>
      <c r="W37" s="106">
        <f t="shared" si="411"/>
        <v>0</v>
      </c>
      <c r="X37" s="106">
        <f t="shared" si="412"/>
        <v>0</v>
      </c>
      <c r="Y37" s="106">
        <f t="shared" si="413"/>
        <v>0</v>
      </c>
      <c r="Z37" s="106">
        <f t="shared" si="414"/>
        <v>0</v>
      </c>
      <c r="AA37" s="106">
        <f t="shared" si="415"/>
        <v>209356.81</v>
      </c>
      <c r="AB37" s="118">
        <f t="shared" si="374"/>
        <v>0</v>
      </c>
      <c r="AC37" s="106">
        <f t="shared" si="416"/>
        <v>0</v>
      </c>
      <c r="AD37" s="106">
        <f t="shared" si="417"/>
        <v>0</v>
      </c>
      <c r="AE37" s="106">
        <f t="shared" si="418"/>
        <v>0</v>
      </c>
      <c r="AF37" s="106">
        <f t="shared" si="419"/>
        <v>0</v>
      </c>
      <c r="AG37" s="106">
        <f t="shared" si="420"/>
        <v>0</v>
      </c>
      <c r="AH37" s="106">
        <f t="shared" si="421"/>
        <v>0</v>
      </c>
      <c r="AI37" s="106">
        <f t="shared" si="422"/>
        <v>0</v>
      </c>
      <c r="AJ37" s="106">
        <f t="shared" si="423"/>
        <v>0</v>
      </c>
      <c r="AK37" s="106">
        <f t="shared" si="424"/>
        <v>0</v>
      </c>
      <c r="AL37" s="106">
        <f t="shared" si="425"/>
        <v>0</v>
      </c>
      <c r="AM37" s="106">
        <f t="shared" si="426"/>
        <v>0</v>
      </c>
      <c r="AN37" s="106">
        <f t="shared" si="427"/>
        <v>0</v>
      </c>
      <c r="AO37" s="106">
        <f t="shared" si="428"/>
        <v>0</v>
      </c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7" t="s">
        <v>32</v>
      </c>
      <c r="BE37" s="106">
        <f>+VLOOKUP($BD37,'Jan-25'!$A:$J,2,0)</f>
        <v>0</v>
      </c>
      <c r="BF37" s="106">
        <f>+VLOOKUP($BD37,'Feb-25'!$A:$J,2,0)</f>
        <v>0</v>
      </c>
      <c r="BG37" s="106">
        <f>+VLOOKUP($BD37,'Mar-25'!$A:$J,2,0)</f>
        <v>0</v>
      </c>
      <c r="BH37" s="106">
        <f>+VLOOKUP($BD37,'Apr-25'!$A:$J,2,0)</f>
        <v>59600.35</v>
      </c>
      <c r="BI37" s="106">
        <f>+VLOOKUP($BD37,'May-25'!$A:$J,2,0)</f>
        <v>0</v>
      </c>
      <c r="BJ37" s="106">
        <f>+VLOOKUP($BD37,'June-25'!$A:$J,2,0)</f>
        <v>0</v>
      </c>
      <c r="BK37" s="106">
        <f>+VLOOKUP($BD37,'July-25'!$A:$J,2,0)</f>
        <v>99788.43</v>
      </c>
      <c r="BL37" s="106">
        <f>+VLOOKUP($BD37,'Aug-25'!$A:$J,2,0)</f>
        <v>0</v>
      </c>
      <c r="BM37" s="106">
        <f>+VLOOKUP($BD37,'Sep-25'!$A:$J,2,0)</f>
        <v>0</v>
      </c>
      <c r="BN37" s="106">
        <f>+VLOOKUP($BD37,'Oct-25'!$A:$J,2,0)</f>
        <v>0</v>
      </c>
      <c r="BO37" s="106">
        <f>+VLOOKUP($BD37,'Nov-25'!$A:$J,2,0)</f>
        <v>0</v>
      </c>
      <c r="BP37" s="106">
        <f>+VLOOKUP($BD37,'Dec-25'!$A:$J,2,0)</f>
        <v>0</v>
      </c>
      <c r="BQ37" s="106">
        <f t="shared" si="388"/>
        <v>159388.78</v>
      </c>
      <c r="BR37" s="118">
        <f t="shared" si="389"/>
        <v>0</v>
      </c>
      <c r="BS37" s="106"/>
      <c r="BT37" s="106"/>
      <c r="BU37" s="106"/>
      <c r="BV37" s="106"/>
      <c r="BW37" s="106"/>
      <c r="BX37" s="106"/>
      <c r="BY37" s="106"/>
      <c r="BZ37" s="106"/>
      <c r="CA37" s="106"/>
      <c r="CB37" s="106"/>
      <c r="CC37" s="106"/>
      <c r="CD37" s="106"/>
      <c r="CE37" s="106"/>
      <c r="CF37" s="22"/>
      <c r="CG37" s="106"/>
      <c r="CH37" s="106"/>
      <c r="CI37" s="106"/>
      <c r="CJ37" s="106"/>
      <c r="CK37" s="106"/>
      <c r="CL37" s="106"/>
      <c r="CM37" s="106"/>
      <c r="CN37" s="106"/>
      <c r="CO37" s="106"/>
      <c r="CP37" s="106"/>
      <c r="CQ37" s="106"/>
      <c r="CR37" s="106"/>
      <c r="CS37" s="106"/>
      <c r="CT37" s="7" t="str">
        <f t="shared" si="51"/>
        <v>Other star package</v>
      </c>
      <c r="CU37" s="106">
        <f>+VLOOKUP($BD37,'Jan-25'!$A:$J,6,0)</f>
        <v>0</v>
      </c>
      <c r="CV37" s="106">
        <f>+VLOOKUP($BD37,'Feb-25'!$A:$J,6,0)</f>
        <v>0</v>
      </c>
      <c r="CW37" s="106">
        <f>+VLOOKUP($BD37,'Mar-25'!$A:$J,6,0)</f>
        <v>0</v>
      </c>
      <c r="CX37" s="106">
        <f>+VLOOKUP($BD37,'Apr-25'!$A:$J,6,0)</f>
        <v>19685.759999999998</v>
      </c>
      <c r="CY37" s="106">
        <f>+VLOOKUP($BD37,'May-25'!$A:$J,6,0)</f>
        <v>0</v>
      </c>
      <c r="CZ37" s="106">
        <f>+VLOOKUP($BD37,'June-25'!$A:$J,6,0)</f>
        <v>0</v>
      </c>
      <c r="DA37" s="106">
        <f>+VLOOKUP($BD37,'July-25'!$A:$J,6,0)</f>
        <v>30282.27</v>
      </c>
      <c r="DB37" s="106">
        <f>+VLOOKUP($BD37,'Aug-25'!$A:$J,6,0)</f>
        <v>0</v>
      </c>
      <c r="DC37" s="106">
        <f>+VLOOKUP($BD37,'Sep-25'!$A:$J,6,0)</f>
        <v>0</v>
      </c>
      <c r="DD37" s="106">
        <f>+VLOOKUP($BD37,'Oct-25'!$A:$J,6,0)</f>
        <v>0</v>
      </c>
      <c r="DE37" s="106">
        <f>+VLOOKUP($BD37,'Nov-25'!$A:$J,6,0)</f>
        <v>0</v>
      </c>
      <c r="DF37" s="106">
        <f>+VLOOKUP($BD37,'Dec-25'!$A:$J,6,0)</f>
        <v>0</v>
      </c>
      <c r="DG37" s="106">
        <f>+SUM(CU37:DF37)</f>
        <v>49968.03</v>
      </c>
      <c r="DH37" s="118">
        <f t="shared" si="390"/>
        <v>0</v>
      </c>
      <c r="DI37" s="106"/>
      <c r="DJ37" s="106"/>
      <c r="DK37" s="106"/>
      <c r="DL37" s="106"/>
      <c r="DM37" s="106"/>
      <c r="DN37" s="106"/>
      <c r="DO37" s="106"/>
      <c r="DP37" s="106"/>
      <c r="DQ37" s="106"/>
      <c r="DR37" s="106"/>
      <c r="DS37" s="106"/>
      <c r="DT37" s="106"/>
      <c r="DU37" s="106"/>
    </row>
    <row r="38" spans="1:125" ht="14.45" hidden="1" customHeight="1" outlineLevel="1">
      <c r="A38" s="59">
        <f>+SUM(A39:A42)</f>
        <v>0</v>
      </c>
      <c r="B38" s="59">
        <f t="shared" ref="B38:M38" si="433">+SUM(B39:B42)</f>
        <v>0</v>
      </c>
      <c r="C38" s="59">
        <f t="shared" si="433"/>
        <v>477.25</v>
      </c>
      <c r="D38" s="59">
        <f t="shared" si="433"/>
        <v>0</v>
      </c>
      <c r="E38" s="59">
        <f t="shared" si="433"/>
        <v>3925.4700000000003</v>
      </c>
      <c r="F38" s="59">
        <f t="shared" si="433"/>
        <v>15750</v>
      </c>
      <c r="G38" s="59">
        <f t="shared" si="433"/>
        <v>2367.5100000000002</v>
      </c>
      <c r="H38" s="59">
        <f t="shared" si="433"/>
        <v>66436</v>
      </c>
      <c r="I38" s="59">
        <f t="shared" si="433"/>
        <v>0</v>
      </c>
      <c r="J38" s="59">
        <f t="shared" si="433"/>
        <v>139589.73499999999</v>
      </c>
      <c r="K38" s="59">
        <f t="shared" si="433"/>
        <v>96082.345000000001</v>
      </c>
      <c r="L38" s="59">
        <f t="shared" si="433"/>
        <v>22772.720000000001</v>
      </c>
      <c r="M38" s="59">
        <f t="shared" si="433"/>
        <v>347401.02999999997</v>
      </c>
      <c r="N38" s="9" t="s">
        <v>33</v>
      </c>
      <c r="O38" s="59">
        <f>+SUM(O39:O42)</f>
        <v>328995.86</v>
      </c>
      <c r="P38" s="59">
        <f t="shared" ref="P38" si="434">+SUM(P39:P42)</f>
        <v>225743.035</v>
      </c>
      <c r="Q38" s="59">
        <f t="shared" ref="Q38" si="435">+SUM(Q39:Q42)</f>
        <v>30684.620000000003</v>
      </c>
      <c r="R38" s="59">
        <f t="shared" ref="R38" si="436">+SUM(R39:R42)</f>
        <v>73252.679999999993</v>
      </c>
      <c r="S38" s="59">
        <f t="shared" ref="S38" si="437">+SUM(S39:S42)</f>
        <v>83344</v>
      </c>
      <c r="T38" s="59">
        <f t="shared" ref="T38" si="438">+SUM(T39:T42)</f>
        <v>0</v>
      </c>
      <c r="U38" s="59">
        <f t="shared" ref="U38" si="439">+SUM(U39:U42)</f>
        <v>0</v>
      </c>
      <c r="V38" s="59">
        <f t="shared" ref="V38" si="440">+SUM(V39:V42)</f>
        <v>198813</v>
      </c>
      <c r="W38" s="59">
        <f t="shared" ref="W38" si="441">+SUM(W39:W42)</f>
        <v>0</v>
      </c>
      <c r="X38" s="59">
        <f t="shared" ref="X38" si="442">+SUM(X39:X42)</f>
        <v>0</v>
      </c>
      <c r="Y38" s="59">
        <f t="shared" ref="Y38" si="443">+SUM(Y39:Y42)</f>
        <v>0</v>
      </c>
      <c r="Z38" s="59">
        <f t="shared" ref="Z38" si="444">+SUM(Z39:Z42)</f>
        <v>0</v>
      </c>
      <c r="AA38" s="59">
        <f t="shared" ref="AA38" si="445">+SUM(AA39:AA42)</f>
        <v>940833.19500000007</v>
      </c>
      <c r="AB38" s="118">
        <f t="shared" si="374"/>
        <v>0</v>
      </c>
      <c r="AC38" s="59">
        <f>+SUM(AC39:AC42)</f>
        <v>0</v>
      </c>
      <c r="AD38" s="59">
        <f t="shared" ref="AD38" si="446">+SUM(AD39:AD42)</f>
        <v>0</v>
      </c>
      <c r="AE38" s="59">
        <f t="shared" ref="AE38" si="447">+SUM(AE39:AE42)</f>
        <v>0</v>
      </c>
      <c r="AF38" s="59">
        <f t="shared" ref="AF38" si="448">+SUM(AF39:AF42)</f>
        <v>0</v>
      </c>
      <c r="AG38" s="59">
        <f t="shared" ref="AG38" si="449">+SUM(AG39:AG42)</f>
        <v>0</v>
      </c>
      <c r="AH38" s="59">
        <f t="shared" ref="AH38" si="450">+SUM(AH39:AH42)</f>
        <v>0</v>
      </c>
      <c r="AI38" s="59">
        <f t="shared" ref="AI38" si="451">+SUM(AI39:AI42)</f>
        <v>0</v>
      </c>
      <c r="AJ38" s="59">
        <f t="shared" ref="AJ38" si="452">+SUM(AJ39:AJ42)</f>
        <v>0</v>
      </c>
      <c r="AK38" s="59">
        <f t="shared" ref="AK38" si="453">+SUM(AK39:AK42)</f>
        <v>0</v>
      </c>
      <c r="AL38" s="59">
        <f t="shared" ref="AL38" si="454">+SUM(AL39:AL42)</f>
        <v>0</v>
      </c>
      <c r="AM38" s="59">
        <f t="shared" ref="AM38" si="455">+SUM(AM39:AM42)</f>
        <v>0</v>
      </c>
      <c r="AN38" s="59">
        <f t="shared" ref="AN38" si="456">+SUM(AN39:AN42)</f>
        <v>0</v>
      </c>
      <c r="AO38" s="59">
        <f t="shared" ref="AO38" si="457">+SUM(AO39:AO42)</f>
        <v>0</v>
      </c>
      <c r="AQ38" s="59">
        <f t="shared" ref="AQ38:BB38" si="458">+SUM(AQ39:AQ42)</f>
        <v>0</v>
      </c>
      <c r="AR38" s="59">
        <f t="shared" si="458"/>
        <v>0</v>
      </c>
      <c r="AS38" s="59">
        <f t="shared" si="458"/>
        <v>451.07</v>
      </c>
      <c r="AT38" s="59">
        <f t="shared" si="458"/>
        <v>0</v>
      </c>
      <c r="AU38" s="59">
        <f t="shared" si="458"/>
        <v>3870.21</v>
      </c>
      <c r="AV38" s="59">
        <f t="shared" si="458"/>
        <v>15750</v>
      </c>
      <c r="AW38" s="59">
        <f t="shared" si="458"/>
        <v>2313.59</v>
      </c>
      <c r="AX38" s="59">
        <f t="shared" si="458"/>
        <v>66436</v>
      </c>
      <c r="AY38" s="59">
        <f t="shared" si="458"/>
        <v>0</v>
      </c>
      <c r="AZ38" s="59">
        <f t="shared" si="458"/>
        <v>91141</v>
      </c>
      <c r="BA38" s="59">
        <f t="shared" si="458"/>
        <v>70280.69</v>
      </c>
      <c r="BB38" s="59">
        <f t="shared" si="458"/>
        <v>4287.1099999999997</v>
      </c>
      <c r="BC38" s="59">
        <f t="shared" ref="BC38" si="459">+SUM(BC39:BC42)</f>
        <v>254529.66999999998</v>
      </c>
      <c r="BD38" s="9" t="str">
        <f t="shared" si="47"/>
        <v>Cost of Good sold</v>
      </c>
      <c r="BE38" s="59">
        <f t="shared" ref="BE38:BP38" si="460">+SUM(BE39:BE42)</f>
        <v>328995.86</v>
      </c>
      <c r="BF38" s="59">
        <f t="shared" si="460"/>
        <v>225075.66</v>
      </c>
      <c r="BG38" s="59">
        <f t="shared" si="460"/>
        <v>28106.940000000002</v>
      </c>
      <c r="BH38" s="59">
        <f t="shared" si="460"/>
        <v>70039.179999999993</v>
      </c>
      <c r="BI38" s="59">
        <f t="shared" si="460"/>
        <v>83344</v>
      </c>
      <c r="BJ38" s="59">
        <f t="shared" si="460"/>
        <v>0</v>
      </c>
      <c r="BK38" s="59">
        <f t="shared" si="460"/>
        <v>0</v>
      </c>
      <c r="BL38" s="59">
        <f t="shared" si="460"/>
        <v>149813</v>
      </c>
      <c r="BM38" s="59">
        <f t="shared" si="460"/>
        <v>0</v>
      </c>
      <c r="BN38" s="59">
        <f t="shared" si="460"/>
        <v>0</v>
      </c>
      <c r="BO38" s="59">
        <f t="shared" si="460"/>
        <v>0</v>
      </c>
      <c r="BP38" s="59">
        <f t="shared" si="460"/>
        <v>0</v>
      </c>
      <c r="BQ38" s="59">
        <f t="shared" ref="BQ38" si="461">+SUM(BQ39:BQ42)</f>
        <v>885374.6399999999</v>
      </c>
      <c r="BR38" s="118">
        <f t="shared" si="389"/>
        <v>0</v>
      </c>
      <c r="BS38" s="59">
        <f t="shared" ref="BS38:CD38" si="462">+SUM(BS39:BS42)</f>
        <v>0</v>
      </c>
      <c r="BT38" s="59">
        <f t="shared" si="462"/>
        <v>0</v>
      </c>
      <c r="BU38" s="59">
        <f t="shared" si="462"/>
        <v>0</v>
      </c>
      <c r="BV38" s="59">
        <f t="shared" si="462"/>
        <v>0</v>
      </c>
      <c r="BW38" s="59">
        <f t="shared" si="462"/>
        <v>0</v>
      </c>
      <c r="BX38" s="59">
        <f t="shared" si="462"/>
        <v>0</v>
      </c>
      <c r="BY38" s="59">
        <f t="shared" si="462"/>
        <v>0</v>
      </c>
      <c r="BZ38" s="59">
        <f t="shared" si="462"/>
        <v>0</v>
      </c>
      <c r="CA38" s="59">
        <f t="shared" si="462"/>
        <v>0</v>
      </c>
      <c r="CB38" s="59">
        <f t="shared" si="462"/>
        <v>0</v>
      </c>
      <c r="CC38" s="59">
        <f t="shared" si="462"/>
        <v>0</v>
      </c>
      <c r="CD38" s="59">
        <f t="shared" si="462"/>
        <v>0</v>
      </c>
      <c r="CE38" s="59">
        <f t="shared" ref="CE38" si="463">+SUM(CE39:CE42)</f>
        <v>0</v>
      </c>
      <c r="CF38" s="22"/>
      <c r="CG38" s="59">
        <f t="shared" ref="CG38:CS38" si="464">+SUM(CG39:CG42)</f>
        <v>0</v>
      </c>
      <c r="CH38" s="59">
        <f t="shared" si="464"/>
        <v>0</v>
      </c>
      <c r="CI38" s="59">
        <f t="shared" si="464"/>
        <v>26.18</v>
      </c>
      <c r="CJ38" s="59">
        <f t="shared" si="464"/>
        <v>0</v>
      </c>
      <c r="CK38" s="59">
        <f t="shared" si="464"/>
        <v>55.26</v>
      </c>
      <c r="CL38" s="59">
        <f t="shared" si="464"/>
        <v>0</v>
      </c>
      <c r="CM38" s="59">
        <f t="shared" si="464"/>
        <v>53.92</v>
      </c>
      <c r="CN38" s="59">
        <f t="shared" si="464"/>
        <v>0</v>
      </c>
      <c r="CO38" s="59">
        <f t="shared" si="464"/>
        <v>0</v>
      </c>
      <c r="CP38" s="59">
        <f t="shared" si="464"/>
        <v>48448.735000000001</v>
      </c>
      <c r="CQ38" s="59">
        <f t="shared" si="464"/>
        <v>25801.654999999999</v>
      </c>
      <c r="CR38" s="59">
        <f t="shared" si="464"/>
        <v>18485.61</v>
      </c>
      <c r="CS38" s="59">
        <f t="shared" si="464"/>
        <v>92871.360000000001</v>
      </c>
      <c r="CT38" s="9" t="str">
        <f t="shared" si="51"/>
        <v>Cost of Good sold</v>
      </c>
      <c r="CU38" s="59">
        <f t="shared" ref="CU38:DG38" si="465">+SUM(CU39:CU42)</f>
        <v>0</v>
      </c>
      <c r="CV38" s="59">
        <f t="shared" si="465"/>
        <v>667.375</v>
      </c>
      <c r="CW38" s="59">
        <f t="shared" si="465"/>
        <v>2577.6799999999998</v>
      </c>
      <c r="CX38" s="59">
        <f t="shared" si="465"/>
        <v>3213.5</v>
      </c>
      <c r="CY38" s="59">
        <f t="shared" si="465"/>
        <v>0</v>
      </c>
      <c r="CZ38" s="59">
        <f t="shared" si="465"/>
        <v>0</v>
      </c>
      <c r="DA38" s="59">
        <f t="shared" si="465"/>
        <v>0</v>
      </c>
      <c r="DB38" s="59">
        <f t="shared" si="465"/>
        <v>49000</v>
      </c>
      <c r="DC38" s="59">
        <f t="shared" si="465"/>
        <v>0</v>
      </c>
      <c r="DD38" s="59">
        <f t="shared" si="465"/>
        <v>0</v>
      </c>
      <c r="DE38" s="59">
        <f t="shared" si="465"/>
        <v>0</v>
      </c>
      <c r="DF38" s="59">
        <f t="shared" si="465"/>
        <v>0</v>
      </c>
      <c r="DG38" s="59">
        <f t="shared" si="465"/>
        <v>55458.555</v>
      </c>
      <c r="DH38" s="118">
        <f t="shared" si="390"/>
        <v>0</v>
      </c>
      <c r="DI38" s="59">
        <f t="shared" ref="DI38:DU38" si="466">+SUM(DI39:DI42)</f>
        <v>0</v>
      </c>
      <c r="DJ38" s="59">
        <f t="shared" si="466"/>
        <v>0</v>
      </c>
      <c r="DK38" s="59">
        <f t="shared" si="466"/>
        <v>0</v>
      </c>
      <c r="DL38" s="59">
        <f t="shared" si="466"/>
        <v>0</v>
      </c>
      <c r="DM38" s="59">
        <f t="shared" si="466"/>
        <v>0</v>
      </c>
      <c r="DN38" s="59">
        <f t="shared" si="466"/>
        <v>0</v>
      </c>
      <c r="DO38" s="59">
        <f t="shared" si="466"/>
        <v>0</v>
      </c>
      <c r="DP38" s="59">
        <f t="shared" si="466"/>
        <v>0</v>
      </c>
      <c r="DQ38" s="59">
        <f t="shared" si="466"/>
        <v>0</v>
      </c>
      <c r="DR38" s="59">
        <f t="shared" si="466"/>
        <v>0</v>
      </c>
      <c r="DS38" s="59">
        <f t="shared" si="466"/>
        <v>0</v>
      </c>
      <c r="DT38" s="59">
        <f t="shared" si="466"/>
        <v>0</v>
      </c>
      <c r="DU38" s="59">
        <f t="shared" si="466"/>
        <v>0</v>
      </c>
    </row>
    <row r="39" spans="1:125" ht="14.45" hidden="1" customHeight="1" outlineLevel="1">
      <c r="A39" s="106">
        <f t="shared" ref="A39:A42" si="467">+AQ39+CG39</f>
        <v>0</v>
      </c>
      <c r="B39" s="106">
        <f t="shared" ref="B39:B42" si="468">+AR39+CH39</f>
        <v>0</v>
      </c>
      <c r="C39" s="106">
        <f t="shared" ref="C39:C42" si="469">+AS39+CI39</f>
        <v>0</v>
      </c>
      <c r="D39" s="106">
        <f t="shared" ref="D39:D42" si="470">+AT39+CJ39</f>
        <v>0</v>
      </c>
      <c r="E39" s="106">
        <f t="shared" ref="E39:E42" si="471">+AU39+CK39</f>
        <v>0</v>
      </c>
      <c r="F39" s="106">
        <f t="shared" ref="F39:F42" si="472">+AV39+CL39</f>
        <v>0</v>
      </c>
      <c r="G39" s="106">
        <f t="shared" ref="G39:G42" si="473">+AW39+CM39</f>
        <v>0</v>
      </c>
      <c r="H39" s="106">
        <f t="shared" ref="H39:H42" si="474">+AX39+CN39</f>
        <v>0</v>
      </c>
      <c r="I39" s="106">
        <f t="shared" ref="I39:I42" si="475">+AY39+CO39</f>
        <v>0</v>
      </c>
      <c r="J39" s="106">
        <f t="shared" ref="J39:J42" si="476">+AZ39+CP39</f>
        <v>0</v>
      </c>
      <c r="K39" s="106">
        <f t="shared" ref="K39:K42" si="477">+BA39+CQ39</f>
        <v>0</v>
      </c>
      <c r="L39" s="106">
        <f t="shared" ref="L39:L42" si="478">+BB39+CR39</f>
        <v>0</v>
      </c>
      <c r="M39" s="106">
        <f t="shared" si="360"/>
        <v>0</v>
      </c>
      <c r="N39" s="7" t="s">
        <v>34</v>
      </c>
      <c r="O39" s="106">
        <f t="shared" ref="O39:O42" si="479">+BE39+CU39</f>
        <v>0</v>
      </c>
      <c r="P39" s="106">
        <f t="shared" ref="P39:P42" si="480">+BF39+CV39</f>
        <v>0</v>
      </c>
      <c r="Q39" s="106">
        <f t="shared" ref="Q39:Q42" si="481">+BG39+CW39</f>
        <v>0</v>
      </c>
      <c r="R39" s="106">
        <f t="shared" ref="R39:R42" si="482">+BH39+CX39</f>
        <v>0</v>
      </c>
      <c r="S39" s="106">
        <f t="shared" ref="S39:S42" si="483">+BI39+CY39</f>
        <v>0</v>
      </c>
      <c r="T39" s="106">
        <f t="shared" ref="T39:T42" si="484">+BJ39+CZ39</f>
        <v>0</v>
      </c>
      <c r="U39" s="106">
        <f t="shared" ref="U39:U42" si="485">+BK39+DA39</f>
        <v>0</v>
      </c>
      <c r="V39" s="106">
        <f t="shared" ref="V39:V42" si="486">+BL39+DB39</f>
        <v>0</v>
      </c>
      <c r="W39" s="106">
        <f t="shared" ref="W39:W42" si="487">+BM39+DC39</f>
        <v>0</v>
      </c>
      <c r="X39" s="106">
        <f t="shared" ref="X39:X42" si="488">+BN39+DD39</f>
        <v>0</v>
      </c>
      <c r="Y39" s="106">
        <f t="shared" ref="Y39:Y42" si="489">+BO39+DE39</f>
        <v>0</v>
      </c>
      <c r="Z39" s="106">
        <f t="shared" ref="Z39:Z42" si="490">+BP39+DF39</f>
        <v>0</v>
      </c>
      <c r="AA39" s="106">
        <f t="shared" ref="AA39:AA42" si="491">+SUM(O39:Z39)</f>
        <v>0</v>
      </c>
      <c r="AB39" s="118">
        <f t="shared" si="374"/>
        <v>0</v>
      </c>
      <c r="AC39" s="106">
        <f t="shared" ref="AC39:AC42" si="492">+BS39+DI39</f>
        <v>0</v>
      </c>
      <c r="AD39" s="106">
        <f t="shared" ref="AD39:AD42" si="493">+BT39+DJ39</f>
        <v>0</v>
      </c>
      <c r="AE39" s="106">
        <f t="shared" ref="AE39:AE42" si="494">+BU39+DK39</f>
        <v>0</v>
      </c>
      <c r="AF39" s="106">
        <f t="shared" ref="AF39:AF42" si="495">+BV39+DL39</f>
        <v>0</v>
      </c>
      <c r="AG39" s="106">
        <f t="shared" ref="AG39:AG42" si="496">+BW39+DM39</f>
        <v>0</v>
      </c>
      <c r="AH39" s="106">
        <f t="shared" ref="AH39:AH42" si="497">+BX39+DN39</f>
        <v>0</v>
      </c>
      <c r="AI39" s="106">
        <f t="shared" ref="AI39:AI42" si="498">+BY39+DO39</f>
        <v>0</v>
      </c>
      <c r="AJ39" s="106">
        <f t="shared" ref="AJ39:AJ42" si="499">+BZ39+DP39</f>
        <v>0</v>
      </c>
      <c r="AK39" s="106">
        <f t="shared" ref="AK39:AK42" si="500">+CA39+DQ39</f>
        <v>0</v>
      </c>
      <c r="AL39" s="106">
        <f t="shared" ref="AL39:AL42" si="501">+CB39+DR39</f>
        <v>0</v>
      </c>
      <c r="AM39" s="106">
        <f t="shared" ref="AM39:AM42" si="502">+CC39+DS39</f>
        <v>0</v>
      </c>
      <c r="AN39" s="106">
        <f t="shared" ref="AN39:AN42" si="503">+CD39+DT39</f>
        <v>0</v>
      </c>
      <c r="AO39" s="106">
        <f t="shared" ref="AO39:AO42" si="504">+SUM(AC39:AN39)</f>
        <v>0</v>
      </c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>
        <f t="shared" ref="BC39:BC42" si="505">+SUM(AQ39:BB39)</f>
        <v>0</v>
      </c>
      <c r="BD39" s="7" t="str">
        <f t="shared" si="47"/>
        <v>Cost  of Goods Sold - Parts and Consumables</v>
      </c>
      <c r="BE39" s="106">
        <f>+VLOOKUP($BD39,'Jan-25'!$A:$J,2,0)</f>
        <v>0</v>
      </c>
      <c r="BF39" s="106">
        <f>+VLOOKUP($BD39,'Feb-25'!$A:$J,2,0)</f>
        <v>0</v>
      </c>
      <c r="BG39" s="106">
        <f>+VLOOKUP($BD39,'Mar-25'!$A:$J,2,0)</f>
        <v>0</v>
      </c>
      <c r="BH39" s="106">
        <f>+VLOOKUP($BD39,'Apr-25'!$A:$J,2,0)</f>
        <v>0</v>
      </c>
      <c r="BI39" s="106">
        <f>+VLOOKUP($BD39,'May-25'!$A:$J,2,0)</f>
        <v>0</v>
      </c>
      <c r="BJ39" s="106">
        <f>+VLOOKUP($BD39,'June-25'!$A:$J,2,0)</f>
        <v>0</v>
      </c>
      <c r="BK39" s="106">
        <f>+VLOOKUP($BD39,'July-25'!$A:$J,2,0)</f>
        <v>0</v>
      </c>
      <c r="BL39" s="106">
        <f>+VLOOKUP($BD39,'Aug-25'!$A:$J,2,0)</f>
        <v>0</v>
      </c>
      <c r="BM39" s="106">
        <f>+VLOOKUP($BD39,'Sep-25'!$A:$J,2,0)</f>
        <v>0</v>
      </c>
      <c r="BN39" s="106">
        <f>+VLOOKUP($BD39,'Oct-25'!$A:$J,2,0)</f>
        <v>0</v>
      </c>
      <c r="BO39" s="106">
        <f>+VLOOKUP($BD39,'Nov-25'!$A:$J,2,0)</f>
        <v>0</v>
      </c>
      <c r="BP39" s="106">
        <f>+VLOOKUP($BD39,'Dec-25'!$A:$J,2,0)</f>
        <v>0</v>
      </c>
      <c r="BQ39" s="106">
        <f t="shared" ref="BQ39:BQ42" si="506">+SUM(BE39:BP39)</f>
        <v>0</v>
      </c>
      <c r="BR39" s="118">
        <f t="shared" si="389"/>
        <v>0</v>
      </c>
      <c r="BS39" s="106"/>
      <c r="BT39" s="106"/>
      <c r="BU39" s="106"/>
      <c r="BV39" s="106"/>
      <c r="BW39" s="106"/>
      <c r="BX39" s="106"/>
      <c r="BY39" s="106"/>
      <c r="BZ39" s="106"/>
      <c r="CA39" s="106"/>
      <c r="CB39" s="106"/>
      <c r="CC39" s="106"/>
      <c r="CD39" s="106"/>
      <c r="CE39" s="106"/>
      <c r="CF39" s="22"/>
      <c r="CG39" s="106">
        <v>0</v>
      </c>
      <c r="CH39" s="106">
        <v>0</v>
      </c>
      <c r="CI39" s="106">
        <v>0</v>
      </c>
      <c r="CJ39" s="106">
        <v>0</v>
      </c>
      <c r="CK39" s="106">
        <v>0</v>
      </c>
      <c r="CL39" s="106">
        <v>0</v>
      </c>
      <c r="CM39" s="106">
        <v>0</v>
      </c>
      <c r="CN39" s="106">
        <v>0</v>
      </c>
      <c r="CO39" s="106">
        <v>0</v>
      </c>
      <c r="CP39" s="106">
        <v>0</v>
      </c>
      <c r="CQ39" s="106">
        <v>0</v>
      </c>
      <c r="CR39" s="106">
        <v>0</v>
      </c>
      <c r="CS39" s="106">
        <f t="shared" ref="CS39:CS42" si="507">+SUM(CG39:CR39)</f>
        <v>0</v>
      </c>
      <c r="CT39" s="7" t="str">
        <f t="shared" si="51"/>
        <v>Cost  of Goods Sold - Parts and Consumables</v>
      </c>
      <c r="CU39" s="106">
        <f>+VLOOKUP($BD39,'Jan-25'!$A:$J,6,0)</f>
        <v>0</v>
      </c>
      <c r="CV39" s="106">
        <f>+VLOOKUP($BD39,'Feb-25'!$A:$J,6,0)</f>
        <v>0</v>
      </c>
      <c r="CW39" s="106">
        <f>+VLOOKUP($BD39,'Mar-25'!$A:$J,6,0)</f>
        <v>0</v>
      </c>
      <c r="CX39" s="106">
        <f>+VLOOKUP($BD39,'Apr-25'!$A:$J,6,0)</f>
        <v>0</v>
      </c>
      <c r="CY39" s="106">
        <f>+VLOOKUP($BD39,'May-25'!$A:$J,6,0)</f>
        <v>0</v>
      </c>
      <c r="CZ39" s="106">
        <f>+VLOOKUP($BD39,'June-25'!$A:$J,6,0)</f>
        <v>0</v>
      </c>
      <c r="DA39" s="106">
        <f>+VLOOKUP($BD39,'July-25'!$A:$J,6,0)</f>
        <v>0</v>
      </c>
      <c r="DB39" s="106">
        <f>+VLOOKUP($BD39,'Aug-25'!$A:$J,6,0)</f>
        <v>0</v>
      </c>
      <c r="DC39" s="106">
        <f>+VLOOKUP($BD39,'Sep-25'!$A:$J,6,0)</f>
        <v>0</v>
      </c>
      <c r="DD39" s="106">
        <f>+VLOOKUP($BD39,'Oct-25'!$A:$J,6,0)</f>
        <v>0</v>
      </c>
      <c r="DE39" s="106">
        <f>+VLOOKUP($BD39,'Nov-25'!$A:$J,6,0)</f>
        <v>0</v>
      </c>
      <c r="DF39" s="106">
        <f>+VLOOKUP($BD39,'Dec-25'!$A:$J,6,0)</f>
        <v>0</v>
      </c>
      <c r="DG39" s="106">
        <f t="shared" ref="DG39:DG41" si="508">+SUM(CU39:DF39)</f>
        <v>0</v>
      </c>
      <c r="DH39" s="118">
        <f t="shared" si="390"/>
        <v>0</v>
      </c>
      <c r="DI39" s="106"/>
      <c r="DJ39" s="106"/>
      <c r="DK39" s="106"/>
      <c r="DL39" s="106"/>
      <c r="DM39" s="106"/>
      <c r="DN39" s="106"/>
      <c r="DO39" s="106"/>
      <c r="DP39" s="106"/>
      <c r="DQ39" s="106"/>
      <c r="DR39" s="106"/>
      <c r="DS39" s="106"/>
      <c r="DT39" s="106"/>
      <c r="DU39" s="106">
        <f t="shared" ref="DU39:DU42" si="509">+SUM(DI39:DT39)</f>
        <v>0</v>
      </c>
    </row>
    <row r="40" spans="1:125" ht="14.45" hidden="1" customHeight="1" outlineLevel="1">
      <c r="A40" s="106">
        <f t="shared" si="467"/>
        <v>0</v>
      </c>
      <c r="B40" s="106">
        <f t="shared" si="468"/>
        <v>0</v>
      </c>
      <c r="C40" s="106">
        <f t="shared" si="469"/>
        <v>0</v>
      </c>
      <c r="D40" s="106">
        <f t="shared" si="470"/>
        <v>0</v>
      </c>
      <c r="E40" s="106">
        <f t="shared" si="471"/>
        <v>0</v>
      </c>
      <c r="F40" s="106">
        <f t="shared" si="472"/>
        <v>0</v>
      </c>
      <c r="G40" s="106">
        <f t="shared" si="473"/>
        <v>0</v>
      </c>
      <c r="H40" s="106">
        <f t="shared" si="474"/>
        <v>0</v>
      </c>
      <c r="I40" s="106">
        <f t="shared" si="475"/>
        <v>0</v>
      </c>
      <c r="J40" s="106">
        <f t="shared" si="476"/>
        <v>0</v>
      </c>
      <c r="K40" s="106">
        <f t="shared" si="477"/>
        <v>0</v>
      </c>
      <c r="L40" s="106">
        <f t="shared" si="478"/>
        <v>18000</v>
      </c>
      <c r="M40" s="106">
        <f t="shared" si="360"/>
        <v>18000</v>
      </c>
      <c r="N40" s="7" t="s">
        <v>35</v>
      </c>
      <c r="O40" s="106">
        <f t="shared" si="479"/>
        <v>0</v>
      </c>
      <c r="P40" s="106">
        <f t="shared" si="480"/>
        <v>0</v>
      </c>
      <c r="Q40" s="106">
        <f t="shared" si="481"/>
        <v>0</v>
      </c>
      <c r="R40" s="106">
        <f t="shared" si="482"/>
        <v>0</v>
      </c>
      <c r="S40" s="106">
        <f t="shared" si="483"/>
        <v>0</v>
      </c>
      <c r="T40" s="106">
        <f t="shared" si="484"/>
        <v>0</v>
      </c>
      <c r="U40" s="106">
        <f t="shared" si="485"/>
        <v>0</v>
      </c>
      <c r="V40" s="106">
        <f t="shared" si="486"/>
        <v>0</v>
      </c>
      <c r="W40" s="106">
        <f t="shared" si="487"/>
        <v>0</v>
      </c>
      <c r="X40" s="106">
        <f t="shared" si="488"/>
        <v>0</v>
      </c>
      <c r="Y40" s="106">
        <f t="shared" si="489"/>
        <v>0</v>
      </c>
      <c r="Z40" s="106">
        <f t="shared" si="490"/>
        <v>0</v>
      </c>
      <c r="AA40" s="106">
        <f t="shared" si="491"/>
        <v>0</v>
      </c>
      <c r="AB40" s="118">
        <f t="shared" si="374"/>
        <v>0</v>
      </c>
      <c r="AC40" s="106">
        <f t="shared" si="492"/>
        <v>0</v>
      </c>
      <c r="AD40" s="106">
        <f t="shared" si="493"/>
        <v>0</v>
      </c>
      <c r="AE40" s="106">
        <f t="shared" si="494"/>
        <v>0</v>
      </c>
      <c r="AF40" s="106">
        <f t="shared" si="495"/>
        <v>0</v>
      </c>
      <c r="AG40" s="106">
        <f t="shared" si="496"/>
        <v>0</v>
      </c>
      <c r="AH40" s="106">
        <f t="shared" si="497"/>
        <v>0</v>
      </c>
      <c r="AI40" s="106">
        <f t="shared" si="498"/>
        <v>0</v>
      </c>
      <c r="AJ40" s="106">
        <f t="shared" si="499"/>
        <v>0</v>
      </c>
      <c r="AK40" s="106">
        <f t="shared" si="500"/>
        <v>0</v>
      </c>
      <c r="AL40" s="106">
        <f t="shared" si="501"/>
        <v>0</v>
      </c>
      <c r="AM40" s="106">
        <f t="shared" si="502"/>
        <v>0</v>
      </c>
      <c r="AN40" s="106">
        <f t="shared" si="503"/>
        <v>0</v>
      </c>
      <c r="AO40" s="106">
        <f t="shared" si="504"/>
        <v>0</v>
      </c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>
        <f t="shared" si="505"/>
        <v>0</v>
      </c>
      <c r="BD40" s="7" t="str">
        <f t="shared" si="47"/>
        <v>Labour Cost</v>
      </c>
      <c r="BE40" s="106">
        <f>+VLOOKUP($BD40,'Jan-25'!$A:$J,2,0)</f>
        <v>0</v>
      </c>
      <c r="BF40" s="106">
        <f>+VLOOKUP($BD40,'Feb-25'!$A:$J,2,0)</f>
        <v>0</v>
      </c>
      <c r="BG40" s="106">
        <f>+VLOOKUP($BD40,'Mar-25'!$A:$J,2,0)</f>
        <v>0</v>
      </c>
      <c r="BH40" s="106">
        <f>+VLOOKUP($BD40,'Apr-25'!$A:$J,2,0)</f>
        <v>0</v>
      </c>
      <c r="BI40" s="106">
        <f>+VLOOKUP($BD40,'May-25'!$A:$J,2,0)</f>
        <v>0</v>
      </c>
      <c r="BJ40" s="106">
        <f>+VLOOKUP($BD40,'June-25'!$A:$J,2,0)</f>
        <v>0</v>
      </c>
      <c r="BK40" s="106">
        <f>+VLOOKUP($BD40,'July-25'!$A:$J,2,0)</f>
        <v>0</v>
      </c>
      <c r="BL40" s="106">
        <f>+VLOOKUP($BD40,'Aug-25'!$A:$J,2,0)</f>
        <v>0</v>
      </c>
      <c r="BM40" s="106">
        <f>+VLOOKUP($BD40,'Sep-25'!$A:$J,2,0)</f>
        <v>0</v>
      </c>
      <c r="BN40" s="106">
        <f>+VLOOKUP($BD40,'Oct-25'!$A:$J,2,0)</f>
        <v>0</v>
      </c>
      <c r="BO40" s="106">
        <f>+VLOOKUP($BD40,'Nov-25'!$A:$J,2,0)</f>
        <v>0</v>
      </c>
      <c r="BP40" s="106">
        <f>+VLOOKUP($BD40,'Dec-25'!$A:$J,2,0)</f>
        <v>0</v>
      </c>
      <c r="BQ40" s="106">
        <f t="shared" si="506"/>
        <v>0</v>
      </c>
      <c r="BR40" s="118">
        <f t="shared" si="389"/>
        <v>0</v>
      </c>
      <c r="BS40" s="106"/>
      <c r="BT40" s="106"/>
      <c r="BU40" s="106"/>
      <c r="BV40" s="106"/>
      <c r="BW40" s="106"/>
      <c r="BX40" s="106"/>
      <c r="BY40" s="106"/>
      <c r="BZ40" s="106"/>
      <c r="CA40" s="106"/>
      <c r="CB40" s="106"/>
      <c r="CC40" s="106"/>
      <c r="CD40" s="106"/>
      <c r="CE40" s="106"/>
      <c r="CF40" s="22"/>
      <c r="CG40" s="106">
        <v>0</v>
      </c>
      <c r="CH40" s="106">
        <v>0</v>
      </c>
      <c r="CI40" s="106">
        <v>0</v>
      </c>
      <c r="CJ40" s="106">
        <v>0</v>
      </c>
      <c r="CK40" s="106">
        <v>0</v>
      </c>
      <c r="CL40" s="106">
        <v>0</v>
      </c>
      <c r="CM40" s="106">
        <v>0</v>
      </c>
      <c r="CN40" s="106">
        <v>0</v>
      </c>
      <c r="CO40" s="106">
        <v>0</v>
      </c>
      <c r="CP40" s="106">
        <v>0</v>
      </c>
      <c r="CQ40" s="106">
        <v>0</v>
      </c>
      <c r="CR40" s="106">
        <v>18000</v>
      </c>
      <c r="CS40" s="106">
        <f t="shared" si="507"/>
        <v>18000</v>
      </c>
      <c r="CT40" s="7" t="str">
        <f t="shared" si="51"/>
        <v>Labour Cost</v>
      </c>
      <c r="CU40" s="106">
        <f>+VLOOKUP($BD40,'Jan-25'!$A:$J,6,0)</f>
        <v>0</v>
      </c>
      <c r="CV40" s="106">
        <f>+VLOOKUP($BD40,'Feb-25'!$A:$J,6,0)</f>
        <v>0</v>
      </c>
      <c r="CW40" s="106">
        <f>+VLOOKUP($BD40,'Mar-25'!$A:$J,6,0)</f>
        <v>0</v>
      </c>
      <c r="CX40" s="106">
        <f>+VLOOKUP($BD40,'Apr-25'!$A:$J,6,0)</f>
        <v>0</v>
      </c>
      <c r="CY40" s="106">
        <f>+VLOOKUP($BD40,'May-25'!$A:$J,6,0)</f>
        <v>0</v>
      </c>
      <c r="CZ40" s="106">
        <f>+VLOOKUP($BD40,'June-25'!$A:$J,6,0)</f>
        <v>0</v>
      </c>
      <c r="DA40" s="106">
        <f>+VLOOKUP($BD40,'July-25'!$A:$J,6,0)</f>
        <v>0</v>
      </c>
      <c r="DB40" s="106">
        <f>+VLOOKUP($BD40,'Aug-25'!$A:$J,6,0)</f>
        <v>0</v>
      </c>
      <c r="DC40" s="106">
        <f>+VLOOKUP($BD40,'Sep-25'!$A:$J,6,0)</f>
        <v>0</v>
      </c>
      <c r="DD40" s="106">
        <f>+VLOOKUP($BD40,'Oct-25'!$A:$J,6,0)</f>
        <v>0</v>
      </c>
      <c r="DE40" s="106">
        <f>+VLOOKUP($BD40,'Nov-25'!$A:$J,6,0)</f>
        <v>0</v>
      </c>
      <c r="DF40" s="106">
        <f>+VLOOKUP($BD40,'Dec-25'!$A:$J,6,0)</f>
        <v>0</v>
      </c>
      <c r="DG40" s="106">
        <f t="shared" si="508"/>
        <v>0</v>
      </c>
      <c r="DH40" s="118">
        <f t="shared" si="390"/>
        <v>0</v>
      </c>
      <c r="DI40" s="106"/>
      <c r="DJ40" s="106"/>
      <c r="DK40" s="106"/>
      <c r="DL40" s="106"/>
      <c r="DM40" s="106"/>
      <c r="DN40" s="106"/>
      <c r="DO40" s="106"/>
      <c r="DP40" s="106"/>
      <c r="DQ40" s="106"/>
      <c r="DR40" s="106"/>
      <c r="DS40" s="106"/>
      <c r="DT40" s="106"/>
      <c r="DU40" s="106">
        <f t="shared" si="509"/>
        <v>0</v>
      </c>
    </row>
    <row r="41" spans="1:125" ht="14.45" hidden="1" customHeight="1" outlineLevel="1">
      <c r="A41" s="106">
        <f t="shared" si="467"/>
        <v>0</v>
      </c>
      <c r="B41" s="106">
        <f t="shared" si="468"/>
        <v>0</v>
      </c>
      <c r="C41" s="106">
        <f t="shared" si="469"/>
        <v>0</v>
      </c>
      <c r="D41" s="106">
        <f t="shared" si="470"/>
        <v>0</v>
      </c>
      <c r="E41" s="106">
        <f t="shared" si="471"/>
        <v>0</v>
      </c>
      <c r="F41" s="106">
        <f t="shared" si="472"/>
        <v>0</v>
      </c>
      <c r="G41" s="106">
        <f t="shared" si="473"/>
        <v>0</v>
      </c>
      <c r="H41" s="106">
        <f t="shared" si="474"/>
        <v>0</v>
      </c>
      <c r="I41" s="106">
        <f t="shared" si="475"/>
        <v>0</v>
      </c>
      <c r="J41" s="106">
        <f t="shared" si="476"/>
        <v>1048.7349999999999</v>
      </c>
      <c r="K41" s="106">
        <f t="shared" si="477"/>
        <v>497.71499999999997</v>
      </c>
      <c r="L41" s="106">
        <f t="shared" si="478"/>
        <v>0</v>
      </c>
      <c r="M41" s="106">
        <f t="shared" si="360"/>
        <v>1546.4499999999998</v>
      </c>
      <c r="N41" s="7" t="s">
        <v>36</v>
      </c>
      <c r="O41" s="106">
        <f t="shared" si="479"/>
        <v>0</v>
      </c>
      <c r="P41" s="106">
        <f t="shared" si="480"/>
        <v>667.375</v>
      </c>
      <c r="Q41" s="106">
        <f t="shared" si="481"/>
        <v>0</v>
      </c>
      <c r="R41" s="106">
        <f t="shared" si="482"/>
        <v>0</v>
      </c>
      <c r="S41" s="106">
        <f t="shared" si="483"/>
        <v>0</v>
      </c>
      <c r="T41" s="106">
        <f t="shared" si="484"/>
        <v>0</v>
      </c>
      <c r="U41" s="106">
        <f t="shared" si="485"/>
        <v>0</v>
      </c>
      <c r="V41" s="106">
        <f t="shared" si="486"/>
        <v>0</v>
      </c>
      <c r="W41" s="106">
        <f t="shared" si="487"/>
        <v>0</v>
      </c>
      <c r="X41" s="106">
        <f t="shared" si="488"/>
        <v>0</v>
      </c>
      <c r="Y41" s="106">
        <f t="shared" si="489"/>
        <v>0</v>
      </c>
      <c r="Z41" s="106">
        <f t="shared" si="490"/>
        <v>0</v>
      </c>
      <c r="AA41" s="106">
        <f t="shared" si="491"/>
        <v>667.375</v>
      </c>
      <c r="AB41" s="118">
        <f t="shared" si="374"/>
        <v>0</v>
      </c>
      <c r="AC41" s="106">
        <f t="shared" si="492"/>
        <v>0</v>
      </c>
      <c r="AD41" s="106">
        <f t="shared" si="493"/>
        <v>0</v>
      </c>
      <c r="AE41" s="106">
        <f t="shared" si="494"/>
        <v>0</v>
      </c>
      <c r="AF41" s="106">
        <f t="shared" si="495"/>
        <v>0</v>
      </c>
      <c r="AG41" s="106">
        <f t="shared" si="496"/>
        <v>0</v>
      </c>
      <c r="AH41" s="106">
        <f t="shared" si="497"/>
        <v>0</v>
      </c>
      <c r="AI41" s="106">
        <f t="shared" si="498"/>
        <v>0</v>
      </c>
      <c r="AJ41" s="106">
        <f t="shared" si="499"/>
        <v>0</v>
      </c>
      <c r="AK41" s="106">
        <f t="shared" si="500"/>
        <v>0</v>
      </c>
      <c r="AL41" s="106">
        <f t="shared" si="501"/>
        <v>0</v>
      </c>
      <c r="AM41" s="106">
        <f t="shared" si="502"/>
        <v>0</v>
      </c>
      <c r="AN41" s="106">
        <f t="shared" si="503"/>
        <v>0</v>
      </c>
      <c r="AO41" s="106">
        <f t="shared" si="504"/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0</v>
      </c>
      <c r="BA41" s="22">
        <v>100</v>
      </c>
      <c r="BB41" s="22">
        <v>0</v>
      </c>
      <c r="BC41" s="106">
        <f t="shared" si="505"/>
        <v>100</v>
      </c>
      <c r="BD41" s="7" t="str">
        <f t="shared" si="47"/>
        <v>Consumables</v>
      </c>
      <c r="BE41" s="106">
        <f>+VLOOKUP($BD41,'Jan-25'!$A:$J,2,0)</f>
        <v>0</v>
      </c>
      <c r="BF41" s="106">
        <f>+VLOOKUP($BD41,'Feb-25'!$A:$J,2,0)</f>
        <v>0</v>
      </c>
      <c r="BG41" s="106">
        <f>+VLOOKUP($BD41,'Mar-25'!$A:$J,2,0)</f>
        <v>0</v>
      </c>
      <c r="BH41" s="106">
        <f>+VLOOKUP($BD41,'Apr-25'!$A:$J,2,0)</f>
        <v>0</v>
      </c>
      <c r="BI41" s="106">
        <f>+VLOOKUP($BD41,'May-25'!$A:$J,2,0)</f>
        <v>0</v>
      </c>
      <c r="BJ41" s="106">
        <f>+VLOOKUP($BD41,'June-25'!$A:$J,2,0)</f>
        <v>0</v>
      </c>
      <c r="BK41" s="106">
        <f>+VLOOKUP($BD41,'July-25'!$A:$J,2,0)</f>
        <v>0</v>
      </c>
      <c r="BL41" s="106">
        <f>+VLOOKUP($BD41,'Aug-25'!$A:$J,2,0)</f>
        <v>0</v>
      </c>
      <c r="BM41" s="106">
        <f>+VLOOKUP($BD41,'Sep-25'!$A:$J,2,0)</f>
        <v>0</v>
      </c>
      <c r="BN41" s="106">
        <f>+VLOOKUP($BD41,'Oct-25'!$A:$J,2,0)</f>
        <v>0</v>
      </c>
      <c r="BO41" s="106">
        <f>+VLOOKUP($BD41,'Nov-25'!$A:$J,2,0)</f>
        <v>0</v>
      </c>
      <c r="BP41" s="106">
        <f>+VLOOKUP($BD41,'Dec-25'!$A:$J,2,0)</f>
        <v>0</v>
      </c>
      <c r="BQ41" s="106">
        <f t="shared" si="506"/>
        <v>0</v>
      </c>
      <c r="BR41" s="118">
        <f t="shared" si="389"/>
        <v>0</v>
      </c>
      <c r="BS41" s="106"/>
      <c r="BT41" s="106"/>
      <c r="BU41" s="106"/>
      <c r="BV41" s="106"/>
      <c r="BW41" s="106"/>
      <c r="BX41" s="106"/>
      <c r="BY41" s="106"/>
      <c r="BZ41" s="106"/>
      <c r="CA41" s="106"/>
      <c r="CB41" s="106"/>
      <c r="CC41" s="106"/>
      <c r="CD41" s="106"/>
      <c r="CE41" s="106"/>
      <c r="CF41" s="22"/>
      <c r="CG41" s="106">
        <v>0</v>
      </c>
      <c r="CH41" s="106">
        <v>0</v>
      </c>
      <c r="CI41" s="106">
        <v>0</v>
      </c>
      <c r="CJ41" s="106">
        <v>0</v>
      </c>
      <c r="CK41" s="106">
        <v>0</v>
      </c>
      <c r="CL41" s="106">
        <v>0</v>
      </c>
      <c r="CM41" s="106">
        <v>0</v>
      </c>
      <c r="CN41" s="106">
        <v>0</v>
      </c>
      <c r="CO41" s="106">
        <v>0</v>
      </c>
      <c r="CP41" s="106">
        <v>1048.7349999999999</v>
      </c>
      <c r="CQ41" s="106">
        <v>397.71499999999997</v>
      </c>
      <c r="CR41" s="106">
        <v>0</v>
      </c>
      <c r="CS41" s="106">
        <f t="shared" si="507"/>
        <v>1446.4499999999998</v>
      </c>
      <c r="CT41" s="7" t="str">
        <f t="shared" si="51"/>
        <v>Consumables</v>
      </c>
      <c r="CU41" s="106">
        <f>+VLOOKUP($BD41,'Jan-25'!$A:$J,6,0)</f>
        <v>0</v>
      </c>
      <c r="CV41" s="106">
        <f>+VLOOKUP($BD41,'Feb-25'!$A:$J,6,0)</f>
        <v>667.375</v>
      </c>
      <c r="CW41" s="106">
        <f>+VLOOKUP($BD41,'Mar-25'!$A:$J,6,0)</f>
        <v>0</v>
      </c>
      <c r="CX41" s="106">
        <f>+VLOOKUP($BD41,'Apr-25'!$A:$J,6,0)</f>
        <v>0</v>
      </c>
      <c r="CY41" s="106">
        <f>+VLOOKUP($BD41,'May-25'!$A:$J,6,0)</f>
        <v>0</v>
      </c>
      <c r="CZ41" s="106">
        <f>+VLOOKUP($BD41,'June-25'!$A:$J,6,0)</f>
        <v>0</v>
      </c>
      <c r="DA41" s="106">
        <f>+VLOOKUP($BD41,'July-25'!$A:$J,6,0)</f>
        <v>0</v>
      </c>
      <c r="DB41" s="106">
        <f>+VLOOKUP($BD41,'Aug-25'!$A:$J,6,0)</f>
        <v>0</v>
      </c>
      <c r="DC41" s="106">
        <f>+VLOOKUP($BD41,'Sep-25'!$A:$J,6,0)</f>
        <v>0</v>
      </c>
      <c r="DD41" s="106">
        <f>+VLOOKUP($BD41,'Oct-25'!$A:$J,6,0)</f>
        <v>0</v>
      </c>
      <c r="DE41" s="106">
        <f>+VLOOKUP($BD41,'Nov-25'!$A:$J,6,0)</f>
        <v>0</v>
      </c>
      <c r="DF41" s="106">
        <f>+VLOOKUP($BD41,'Dec-25'!$A:$J,6,0)</f>
        <v>0</v>
      </c>
      <c r="DG41" s="106">
        <f t="shared" si="508"/>
        <v>667.375</v>
      </c>
      <c r="DH41" s="118">
        <f t="shared" si="390"/>
        <v>0</v>
      </c>
      <c r="DI41" s="106"/>
      <c r="DJ41" s="106"/>
      <c r="DK41" s="106"/>
      <c r="DL41" s="106"/>
      <c r="DM41" s="106"/>
      <c r="DN41" s="106"/>
      <c r="DO41" s="106"/>
      <c r="DP41" s="106"/>
      <c r="DQ41" s="106"/>
      <c r="DR41" s="106"/>
      <c r="DS41" s="106"/>
      <c r="DT41" s="106"/>
      <c r="DU41" s="106">
        <f t="shared" si="509"/>
        <v>0</v>
      </c>
    </row>
    <row r="42" spans="1:125" ht="14.45" hidden="1" customHeight="1" outlineLevel="1">
      <c r="A42" s="106">
        <f t="shared" si="467"/>
        <v>0</v>
      </c>
      <c r="B42" s="106">
        <f t="shared" si="468"/>
        <v>0</v>
      </c>
      <c r="C42" s="106">
        <f t="shared" si="469"/>
        <v>477.25</v>
      </c>
      <c r="D42" s="106">
        <f t="shared" si="470"/>
        <v>0</v>
      </c>
      <c r="E42" s="106">
        <f t="shared" si="471"/>
        <v>3925.4700000000003</v>
      </c>
      <c r="F42" s="106">
        <f t="shared" si="472"/>
        <v>15750</v>
      </c>
      <c r="G42" s="106">
        <f t="shared" si="473"/>
        <v>2367.5100000000002</v>
      </c>
      <c r="H42" s="106">
        <f t="shared" si="474"/>
        <v>66436</v>
      </c>
      <c r="I42" s="106">
        <f t="shared" si="475"/>
        <v>0</v>
      </c>
      <c r="J42" s="106">
        <f t="shared" si="476"/>
        <v>138541</v>
      </c>
      <c r="K42" s="106">
        <f t="shared" si="477"/>
        <v>95584.63</v>
      </c>
      <c r="L42" s="106">
        <f t="shared" si="478"/>
        <v>4772.7199999999993</v>
      </c>
      <c r="M42" s="106">
        <f t="shared" si="360"/>
        <v>327854.57999999996</v>
      </c>
      <c r="N42" s="7" t="s">
        <v>37</v>
      </c>
      <c r="O42" s="106">
        <f t="shared" si="479"/>
        <v>328995.86</v>
      </c>
      <c r="P42" s="106">
        <f t="shared" si="480"/>
        <v>225075.66</v>
      </c>
      <c r="Q42" s="106">
        <f t="shared" si="481"/>
        <v>30684.620000000003</v>
      </c>
      <c r="R42" s="106">
        <f t="shared" si="482"/>
        <v>73252.679999999993</v>
      </c>
      <c r="S42" s="106">
        <f t="shared" si="483"/>
        <v>83344</v>
      </c>
      <c r="T42" s="106">
        <f t="shared" si="484"/>
        <v>0</v>
      </c>
      <c r="U42" s="106">
        <f t="shared" si="485"/>
        <v>0</v>
      </c>
      <c r="V42" s="106">
        <f t="shared" si="486"/>
        <v>198813</v>
      </c>
      <c r="W42" s="106">
        <f t="shared" si="487"/>
        <v>0</v>
      </c>
      <c r="X42" s="106">
        <f t="shared" si="488"/>
        <v>0</v>
      </c>
      <c r="Y42" s="106">
        <f t="shared" si="489"/>
        <v>0</v>
      </c>
      <c r="Z42" s="106">
        <f t="shared" si="490"/>
        <v>0</v>
      </c>
      <c r="AA42" s="106">
        <f t="shared" si="491"/>
        <v>940165.82000000007</v>
      </c>
      <c r="AB42" s="118">
        <f t="shared" si="374"/>
        <v>0</v>
      </c>
      <c r="AC42" s="106">
        <f t="shared" si="492"/>
        <v>0</v>
      </c>
      <c r="AD42" s="106">
        <f t="shared" si="493"/>
        <v>0</v>
      </c>
      <c r="AE42" s="106">
        <f t="shared" si="494"/>
        <v>0</v>
      </c>
      <c r="AF42" s="106">
        <f t="shared" si="495"/>
        <v>0</v>
      </c>
      <c r="AG42" s="106">
        <f t="shared" si="496"/>
        <v>0</v>
      </c>
      <c r="AH42" s="106">
        <f t="shared" si="497"/>
        <v>0</v>
      </c>
      <c r="AI42" s="106">
        <f t="shared" si="498"/>
        <v>0</v>
      </c>
      <c r="AJ42" s="106">
        <f t="shared" si="499"/>
        <v>0</v>
      </c>
      <c r="AK42" s="106">
        <f t="shared" si="500"/>
        <v>0</v>
      </c>
      <c r="AL42" s="106">
        <f t="shared" si="501"/>
        <v>0</v>
      </c>
      <c r="AM42" s="106">
        <f t="shared" si="502"/>
        <v>0</v>
      </c>
      <c r="AN42" s="106">
        <f t="shared" si="503"/>
        <v>0</v>
      </c>
      <c r="AO42" s="106">
        <f t="shared" si="504"/>
        <v>0</v>
      </c>
      <c r="AQ42" s="22">
        <v>0</v>
      </c>
      <c r="AR42" s="22">
        <v>0</v>
      </c>
      <c r="AS42" s="22">
        <v>451.07</v>
      </c>
      <c r="AT42" s="22">
        <v>0</v>
      </c>
      <c r="AU42" s="22">
        <v>3870.21</v>
      </c>
      <c r="AV42" s="22">
        <v>15750</v>
      </c>
      <c r="AW42" s="22">
        <v>2313.59</v>
      </c>
      <c r="AX42" s="22">
        <v>66436</v>
      </c>
      <c r="AY42" s="22">
        <v>0</v>
      </c>
      <c r="AZ42" s="22">
        <v>91141</v>
      </c>
      <c r="BA42" s="22">
        <v>70180.69</v>
      </c>
      <c r="BB42" s="22">
        <v>4287.1099999999997</v>
      </c>
      <c r="BC42" s="106">
        <f t="shared" si="505"/>
        <v>254429.66999999998</v>
      </c>
      <c r="BD42" s="7" t="str">
        <f t="shared" si="47"/>
        <v>Direct Expenses [Sub contract other than Access]</v>
      </c>
      <c r="BE42" s="106">
        <f>+VLOOKUP($BD42,'Jan-25'!$A:$J,2,0)</f>
        <v>328995.86</v>
      </c>
      <c r="BF42" s="106">
        <f>+VLOOKUP($BD42,'Feb-25'!$A:$J,2,0)</f>
        <v>225075.66</v>
      </c>
      <c r="BG42" s="106">
        <f>+VLOOKUP($BD42,'Mar-25'!$A:$J,2,0)</f>
        <v>28106.940000000002</v>
      </c>
      <c r="BH42" s="106">
        <f>+VLOOKUP($BD42,'Apr-25'!$A:$J,2,0)</f>
        <v>70039.179999999993</v>
      </c>
      <c r="BI42" s="106">
        <f>+VLOOKUP($BD42,'May-25'!$A:$J,2,0)</f>
        <v>83344</v>
      </c>
      <c r="BJ42" s="106">
        <f>+VLOOKUP($BD42,'June-25'!$A:$J,2,0)</f>
        <v>0</v>
      </c>
      <c r="BK42" s="106">
        <f>+VLOOKUP($BD42,'July-25'!$A:$J,2,0)</f>
        <v>0</v>
      </c>
      <c r="BL42" s="106">
        <f>+VLOOKUP($BD42,'Aug-25'!$A:$J,2,0)</f>
        <v>149813</v>
      </c>
      <c r="BM42" s="106">
        <f>+VLOOKUP($BD42,'Sep-25'!$A:$J,2,0)</f>
        <v>0</v>
      </c>
      <c r="BN42" s="106">
        <f>+VLOOKUP($BD42,'Oct-25'!$A:$J,2,0)</f>
        <v>0</v>
      </c>
      <c r="BO42" s="106">
        <f>+VLOOKUP($BD42,'Nov-25'!$A:$J,2,0)</f>
        <v>0</v>
      </c>
      <c r="BP42" s="106">
        <f>+VLOOKUP($BD42,'Dec-25'!$A:$J,2,0)</f>
        <v>0</v>
      </c>
      <c r="BQ42" s="106">
        <f t="shared" si="506"/>
        <v>885374.6399999999</v>
      </c>
      <c r="BR42" s="118">
        <f t="shared" si="389"/>
        <v>0</v>
      </c>
      <c r="BS42" s="106"/>
      <c r="BT42" s="106"/>
      <c r="BU42" s="106"/>
      <c r="BV42" s="106"/>
      <c r="BW42" s="106"/>
      <c r="BX42" s="106"/>
      <c r="BY42" s="106"/>
      <c r="BZ42" s="106"/>
      <c r="CA42" s="106"/>
      <c r="CB42" s="106"/>
      <c r="CC42" s="106"/>
      <c r="CD42" s="106"/>
      <c r="CE42" s="106"/>
      <c r="CF42" s="22"/>
      <c r="CG42" s="106">
        <v>0</v>
      </c>
      <c r="CH42" s="106">
        <v>0</v>
      </c>
      <c r="CI42" s="106">
        <v>26.18</v>
      </c>
      <c r="CJ42" s="106">
        <v>0</v>
      </c>
      <c r="CK42" s="106">
        <v>55.26</v>
      </c>
      <c r="CL42" s="106">
        <v>0</v>
      </c>
      <c r="CM42" s="106">
        <v>53.92</v>
      </c>
      <c r="CN42" s="106">
        <v>0</v>
      </c>
      <c r="CO42" s="106">
        <v>0</v>
      </c>
      <c r="CP42" s="106">
        <v>47400</v>
      </c>
      <c r="CQ42" s="106">
        <v>25403.94</v>
      </c>
      <c r="CR42" s="106">
        <v>485.61</v>
      </c>
      <c r="CS42" s="106">
        <f t="shared" si="507"/>
        <v>73424.91</v>
      </c>
      <c r="CT42" s="7" t="str">
        <f t="shared" si="51"/>
        <v>Direct Expenses [Sub contract other than Access]</v>
      </c>
      <c r="CU42" s="106">
        <f>+VLOOKUP($BD42,'Jan-25'!$A:$J,6,0)</f>
        <v>0</v>
      </c>
      <c r="CV42" s="106">
        <f>+VLOOKUP($BD42,'Feb-25'!$A:$J,6,0)</f>
        <v>0</v>
      </c>
      <c r="CW42" s="106">
        <f>+VLOOKUP($BD42,'Mar-25'!$A:$J,6,0)</f>
        <v>2577.6799999999998</v>
      </c>
      <c r="CX42" s="106">
        <f>+VLOOKUP($BD42,'Apr-25'!$A:$J,6,0)</f>
        <v>3213.5</v>
      </c>
      <c r="CY42" s="106">
        <f>+VLOOKUP($BD42,'May-25'!$A:$J,6,0)</f>
        <v>0</v>
      </c>
      <c r="CZ42" s="106">
        <f>+VLOOKUP($BD42,'June-25'!$A:$J,6,0)</f>
        <v>0</v>
      </c>
      <c r="DA42" s="106">
        <f>+VLOOKUP($BD42,'July-25'!$A:$J,6,0)</f>
        <v>0</v>
      </c>
      <c r="DB42" s="106">
        <f>+VLOOKUP($BD42,'Aug-25'!$A:$J,6,0)</f>
        <v>49000</v>
      </c>
      <c r="DC42" s="106">
        <f>+VLOOKUP($BD42,'Sep-25'!$A:$J,6,0)</f>
        <v>0</v>
      </c>
      <c r="DD42" s="106">
        <f>+VLOOKUP($BD42,'Oct-25'!$A:$J,6,0)</f>
        <v>0</v>
      </c>
      <c r="DE42" s="106">
        <f>+VLOOKUP($BD42,'Nov-25'!$A:$J,6,0)</f>
        <v>0</v>
      </c>
      <c r="DF42" s="106">
        <f>+VLOOKUP($BD42,'Dec-25'!$A:$J,6,0)</f>
        <v>0</v>
      </c>
      <c r="DG42" s="106">
        <f>+SUM(CU42:DF42)</f>
        <v>54791.18</v>
      </c>
      <c r="DH42" s="118">
        <f t="shared" si="390"/>
        <v>0</v>
      </c>
      <c r="DI42" s="106"/>
      <c r="DJ42" s="106"/>
      <c r="DK42" s="106"/>
      <c r="DL42" s="106"/>
      <c r="DM42" s="106"/>
      <c r="DN42" s="106"/>
      <c r="DO42" s="106"/>
      <c r="DP42" s="106"/>
      <c r="DQ42" s="106"/>
      <c r="DR42" s="106"/>
      <c r="DS42" s="106"/>
      <c r="DT42" s="106"/>
      <c r="DU42" s="106">
        <f t="shared" si="509"/>
        <v>0</v>
      </c>
    </row>
    <row r="43" spans="1:125" ht="14.45" hidden="1" customHeight="1" outlineLevel="1">
      <c r="A43" s="59">
        <f>+A29-A38</f>
        <v>0</v>
      </c>
      <c r="B43" s="59">
        <f t="shared" ref="B43:M43" si="510">+B29-B38</f>
        <v>0</v>
      </c>
      <c r="C43" s="59">
        <f t="shared" si="510"/>
        <v>-477.25</v>
      </c>
      <c r="D43" s="59">
        <f t="shared" si="510"/>
        <v>0</v>
      </c>
      <c r="E43" s="59">
        <f t="shared" si="510"/>
        <v>-3925.4700000000003</v>
      </c>
      <c r="F43" s="59">
        <f t="shared" si="510"/>
        <v>-15750</v>
      </c>
      <c r="G43" s="59">
        <f t="shared" si="510"/>
        <v>-2367.5100000000002</v>
      </c>
      <c r="H43" s="59">
        <f t="shared" si="510"/>
        <v>-66436</v>
      </c>
      <c r="I43" s="59">
        <f t="shared" si="510"/>
        <v>0</v>
      </c>
      <c r="J43" s="59">
        <f t="shared" si="510"/>
        <v>-139589.73499999999</v>
      </c>
      <c r="K43" s="59">
        <f t="shared" si="510"/>
        <v>-96082.345000000001</v>
      </c>
      <c r="L43" s="59">
        <f t="shared" si="510"/>
        <v>-22772.720000000001</v>
      </c>
      <c r="M43" s="59">
        <f t="shared" si="510"/>
        <v>-347401.02999999997</v>
      </c>
      <c r="N43" s="10" t="s">
        <v>20</v>
      </c>
      <c r="O43" s="59">
        <f>+O29-O38</f>
        <v>-328995.86</v>
      </c>
      <c r="P43" s="59">
        <f t="shared" ref="P43:AA43" si="511">+P29-P38</f>
        <v>-225743.035</v>
      </c>
      <c r="Q43" s="59">
        <f t="shared" si="511"/>
        <v>-30684.620000000003</v>
      </c>
      <c r="R43" s="59">
        <f t="shared" si="511"/>
        <v>6033.4300000000076</v>
      </c>
      <c r="S43" s="59">
        <f t="shared" si="511"/>
        <v>-83344</v>
      </c>
      <c r="T43" s="59">
        <f t="shared" si="511"/>
        <v>0</v>
      </c>
      <c r="U43" s="59">
        <f t="shared" si="511"/>
        <v>130070.7</v>
      </c>
      <c r="V43" s="59">
        <f t="shared" si="511"/>
        <v>-198813</v>
      </c>
      <c r="W43" s="59">
        <f t="shared" si="511"/>
        <v>0</v>
      </c>
      <c r="X43" s="59">
        <f t="shared" si="511"/>
        <v>0</v>
      </c>
      <c r="Y43" s="59">
        <f t="shared" si="511"/>
        <v>0</v>
      </c>
      <c r="Z43" s="59">
        <f t="shared" si="511"/>
        <v>0</v>
      </c>
      <c r="AA43" s="59">
        <f t="shared" si="511"/>
        <v>-731476.38500000001</v>
      </c>
      <c r="AB43" s="118">
        <f t="shared" si="374"/>
        <v>0</v>
      </c>
      <c r="AC43" s="59">
        <f>+AC29-AC38</f>
        <v>0</v>
      </c>
      <c r="AD43" s="59">
        <f t="shared" ref="AD43:AO43" si="512">+AD29-AD38</f>
        <v>0</v>
      </c>
      <c r="AE43" s="59">
        <f t="shared" si="512"/>
        <v>0</v>
      </c>
      <c r="AF43" s="59">
        <f t="shared" si="512"/>
        <v>0</v>
      </c>
      <c r="AG43" s="59">
        <f t="shared" si="512"/>
        <v>0</v>
      </c>
      <c r="AH43" s="59">
        <f t="shared" si="512"/>
        <v>0</v>
      </c>
      <c r="AI43" s="59">
        <f t="shared" si="512"/>
        <v>0</v>
      </c>
      <c r="AJ43" s="59">
        <f t="shared" si="512"/>
        <v>0</v>
      </c>
      <c r="AK43" s="59">
        <f t="shared" si="512"/>
        <v>0</v>
      </c>
      <c r="AL43" s="59">
        <f t="shared" si="512"/>
        <v>0</v>
      </c>
      <c r="AM43" s="59">
        <f t="shared" si="512"/>
        <v>0</v>
      </c>
      <c r="AN43" s="59">
        <f t="shared" si="512"/>
        <v>0</v>
      </c>
      <c r="AO43" s="59">
        <f t="shared" si="512"/>
        <v>0</v>
      </c>
      <c r="AQ43" s="59">
        <f t="shared" ref="AQ43:BB43" si="513">+AQ29-AQ38</f>
        <v>0</v>
      </c>
      <c r="AR43" s="59">
        <f t="shared" si="513"/>
        <v>0</v>
      </c>
      <c r="AS43" s="59">
        <f t="shared" si="513"/>
        <v>-451.07</v>
      </c>
      <c r="AT43" s="59">
        <f t="shared" si="513"/>
        <v>0</v>
      </c>
      <c r="AU43" s="59">
        <f t="shared" si="513"/>
        <v>-3870.21</v>
      </c>
      <c r="AV43" s="59">
        <f t="shared" si="513"/>
        <v>-15750</v>
      </c>
      <c r="AW43" s="59">
        <f t="shared" si="513"/>
        <v>-2313.59</v>
      </c>
      <c r="AX43" s="59">
        <f t="shared" si="513"/>
        <v>-66436</v>
      </c>
      <c r="AY43" s="59">
        <f t="shared" si="513"/>
        <v>0</v>
      </c>
      <c r="AZ43" s="59">
        <f t="shared" si="513"/>
        <v>-91141</v>
      </c>
      <c r="BA43" s="59">
        <f t="shared" si="513"/>
        <v>-70280.69</v>
      </c>
      <c r="BB43" s="59">
        <f t="shared" si="513"/>
        <v>-4287.1099999999997</v>
      </c>
      <c r="BC43" s="59">
        <f t="shared" ref="BC43" si="514">+BC29-BC38</f>
        <v>-254529.66999999998</v>
      </c>
      <c r="BD43" s="10" t="str">
        <f t="shared" si="47"/>
        <v>Gross Profit</v>
      </c>
      <c r="BE43" s="59">
        <f t="shared" ref="BE43:BP43" si="515">+BE29-BE38</f>
        <v>-328995.86</v>
      </c>
      <c r="BF43" s="59">
        <f t="shared" si="515"/>
        <v>-225075.66</v>
      </c>
      <c r="BG43" s="59">
        <f t="shared" si="515"/>
        <v>-28106.940000000002</v>
      </c>
      <c r="BH43" s="59">
        <f t="shared" si="515"/>
        <v>-10438.829999999994</v>
      </c>
      <c r="BI43" s="59">
        <f t="shared" si="515"/>
        <v>-83344</v>
      </c>
      <c r="BJ43" s="59">
        <f t="shared" si="515"/>
        <v>0</v>
      </c>
      <c r="BK43" s="59">
        <f t="shared" si="515"/>
        <v>99788.43</v>
      </c>
      <c r="BL43" s="59">
        <f t="shared" si="515"/>
        <v>-149813</v>
      </c>
      <c r="BM43" s="59">
        <f t="shared" si="515"/>
        <v>0</v>
      </c>
      <c r="BN43" s="59">
        <f t="shared" si="515"/>
        <v>0</v>
      </c>
      <c r="BO43" s="59">
        <f t="shared" si="515"/>
        <v>0</v>
      </c>
      <c r="BP43" s="59">
        <f t="shared" si="515"/>
        <v>0</v>
      </c>
      <c r="BQ43" s="59">
        <f t="shared" ref="BQ43" si="516">+BQ29-BQ38</f>
        <v>-725985.85999999987</v>
      </c>
      <c r="BR43" s="118">
        <f t="shared" si="389"/>
        <v>0</v>
      </c>
      <c r="BS43" s="59">
        <f t="shared" ref="BS43:CD43" si="517">+BS29-BS38</f>
        <v>0</v>
      </c>
      <c r="BT43" s="59">
        <f t="shared" si="517"/>
        <v>0</v>
      </c>
      <c r="BU43" s="59">
        <f t="shared" si="517"/>
        <v>0</v>
      </c>
      <c r="BV43" s="59">
        <f t="shared" si="517"/>
        <v>0</v>
      </c>
      <c r="BW43" s="59">
        <f t="shared" si="517"/>
        <v>0</v>
      </c>
      <c r="BX43" s="59">
        <f t="shared" si="517"/>
        <v>0</v>
      </c>
      <c r="BY43" s="59">
        <f t="shared" si="517"/>
        <v>0</v>
      </c>
      <c r="BZ43" s="59">
        <f t="shared" si="517"/>
        <v>0</v>
      </c>
      <c r="CA43" s="59">
        <f t="shared" si="517"/>
        <v>0</v>
      </c>
      <c r="CB43" s="59">
        <f t="shared" si="517"/>
        <v>0</v>
      </c>
      <c r="CC43" s="59">
        <f t="shared" si="517"/>
        <v>0</v>
      </c>
      <c r="CD43" s="59">
        <f t="shared" si="517"/>
        <v>0</v>
      </c>
      <c r="CE43" s="59">
        <f t="shared" ref="CE43" si="518">+CE29-CE38</f>
        <v>0</v>
      </c>
      <c r="CF43" s="22"/>
      <c r="CG43" s="59">
        <f t="shared" ref="CG43:CS43" si="519">+CG29-CG38</f>
        <v>0</v>
      </c>
      <c r="CH43" s="59">
        <f t="shared" si="519"/>
        <v>0</v>
      </c>
      <c r="CI43" s="59">
        <f t="shared" si="519"/>
        <v>-26.18</v>
      </c>
      <c r="CJ43" s="59">
        <f t="shared" si="519"/>
        <v>0</v>
      </c>
      <c r="CK43" s="59">
        <f t="shared" si="519"/>
        <v>-55.26</v>
      </c>
      <c r="CL43" s="59">
        <f t="shared" si="519"/>
        <v>0</v>
      </c>
      <c r="CM43" s="59">
        <f t="shared" si="519"/>
        <v>-53.92</v>
      </c>
      <c r="CN43" s="59">
        <f t="shared" si="519"/>
        <v>0</v>
      </c>
      <c r="CO43" s="59">
        <f t="shared" si="519"/>
        <v>0</v>
      </c>
      <c r="CP43" s="59">
        <f t="shared" si="519"/>
        <v>-48448.735000000001</v>
      </c>
      <c r="CQ43" s="59">
        <f t="shared" si="519"/>
        <v>-25801.654999999999</v>
      </c>
      <c r="CR43" s="59">
        <f t="shared" si="519"/>
        <v>-18485.61</v>
      </c>
      <c r="CS43" s="59">
        <f t="shared" si="519"/>
        <v>-92871.360000000001</v>
      </c>
      <c r="CT43" s="10" t="str">
        <f t="shared" si="51"/>
        <v>Gross Profit</v>
      </c>
      <c r="CU43" s="59">
        <f t="shared" ref="CU43:DF43" si="520">+CU29-CU38</f>
        <v>0</v>
      </c>
      <c r="CV43" s="59">
        <f t="shared" si="520"/>
        <v>-667.375</v>
      </c>
      <c r="CW43" s="59">
        <f t="shared" si="520"/>
        <v>-2577.6799999999998</v>
      </c>
      <c r="CX43" s="59">
        <f t="shared" si="520"/>
        <v>16472.259999999998</v>
      </c>
      <c r="CY43" s="59">
        <f t="shared" si="520"/>
        <v>0</v>
      </c>
      <c r="CZ43" s="59">
        <f t="shared" si="520"/>
        <v>0</v>
      </c>
      <c r="DA43" s="59">
        <f t="shared" si="520"/>
        <v>30282.27</v>
      </c>
      <c r="DB43" s="59">
        <f t="shared" si="520"/>
        <v>-49000</v>
      </c>
      <c r="DC43" s="59">
        <f t="shared" si="520"/>
        <v>0</v>
      </c>
      <c r="DD43" s="59">
        <f t="shared" si="520"/>
        <v>0</v>
      </c>
      <c r="DE43" s="59">
        <f t="shared" si="520"/>
        <v>0</v>
      </c>
      <c r="DF43" s="59">
        <f t="shared" si="520"/>
        <v>0</v>
      </c>
      <c r="DG43" s="59">
        <f>+DG29-DG38</f>
        <v>-5490.5250000000015</v>
      </c>
      <c r="DH43" s="118">
        <f t="shared" si="390"/>
        <v>0</v>
      </c>
      <c r="DI43" s="59">
        <f t="shared" ref="DI43:DU43" si="521">+DI29-DI38</f>
        <v>0</v>
      </c>
      <c r="DJ43" s="59">
        <f t="shared" si="521"/>
        <v>0</v>
      </c>
      <c r="DK43" s="59">
        <f t="shared" si="521"/>
        <v>0</v>
      </c>
      <c r="DL43" s="59">
        <f t="shared" si="521"/>
        <v>0</v>
      </c>
      <c r="DM43" s="59">
        <f t="shared" si="521"/>
        <v>0</v>
      </c>
      <c r="DN43" s="59">
        <f t="shared" si="521"/>
        <v>0</v>
      </c>
      <c r="DO43" s="59">
        <f t="shared" si="521"/>
        <v>0</v>
      </c>
      <c r="DP43" s="59">
        <f t="shared" si="521"/>
        <v>0</v>
      </c>
      <c r="DQ43" s="59">
        <f t="shared" si="521"/>
        <v>0</v>
      </c>
      <c r="DR43" s="59">
        <f t="shared" si="521"/>
        <v>0</v>
      </c>
      <c r="DS43" s="59">
        <f t="shared" si="521"/>
        <v>0</v>
      </c>
      <c r="DT43" s="59">
        <f t="shared" si="521"/>
        <v>0</v>
      </c>
      <c r="DU43" s="59">
        <f t="shared" si="521"/>
        <v>0</v>
      </c>
    </row>
    <row r="44" spans="1:125" ht="14.45" hidden="1" customHeight="1" outlineLevel="1">
      <c r="A44" s="106">
        <f t="shared" ref="A44:A46" si="522">+AQ44+CG44</f>
        <v>0</v>
      </c>
      <c r="B44" s="106">
        <f t="shared" ref="B44:B46" si="523">+AR44+CH44</f>
        <v>0</v>
      </c>
      <c r="C44" s="106">
        <f t="shared" ref="C44:C46" si="524">+AS44+CI44</f>
        <v>0</v>
      </c>
      <c r="D44" s="106">
        <f t="shared" ref="D44:D46" si="525">+AT44+CJ44</f>
        <v>0</v>
      </c>
      <c r="E44" s="106">
        <f t="shared" ref="E44:E46" si="526">+AU44+CK44</f>
        <v>0</v>
      </c>
      <c r="F44" s="106">
        <f t="shared" ref="F44:F46" si="527">+AV44+CL44</f>
        <v>0</v>
      </c>
      <c r="G44" s="106">
        <f t="shared" ref="G44:G46" si="528">+AW44+CM44</f>
        <v>0</v>
      </c>
      <c r="H44" s="106">
        <f t="shared" ref="H44:H46" si="529">+AX44+CN44</f>
        <v>0</v>
      </c>
      <c r="I44" s="106">
        <f t="shared" ref="I44:I46" si="530">+AY44+CO44</f>
        <v>0</v>
      </c>
      <c r="J44" s="106">
        <f t="shared" ref="J44:J46" si="531">+AZ44+CP44</f>
        <v>0</v>
      </c>
      <c r="K44" s="106">
        <f t="shared" ref="K44:K46" si="532">+BA44+CQ44</f>
        <v>0</v>
      </c>
      <c r="L44" s="106">
        <f t="shared" ref="L44:L46" si="533">+BB44+CR44</f>
        <v>0</v>
      </c>
      <c r="M44" s="106">
        <f t="shared" si="360"/>
        <v>0</v>
      </c>
      <c r="N44" s="7" t="s">
        <v>38</v>
      </c>
      <c r="O44" s="106">
        <f t="shared" ref="O44:O46" si="534">+BE44+CU44</f>
        <v>0</v>
      </c>
      <c r="P44" s="106">
        <f t="shared" ref="P44:P46" si="535">+BF44+CV44</f>
        <v>0</v>
      </c>
      <c r="Q44" s="106">
        <f t="shared" ref="Q44:Q46" si="536">+BG44+CW44</f>
        <v>0</v>
      </c>
      <c r="R44" s="106">
        <f t="shared" ref="R44:R46" si="537">+BH44+CX44</f>
        <v>0</v>
      </c>
      <c r="S44" s="106">
        <f t="shared" ref="S44:S46" si="538">+BI44+CY44</f>
        <v>0</v>
      </c>
      <c r="T44" s="106">
        <f t="shared" ref="T44:T46" si="539">+BJ44+CZ44</f>
        <v>0</v>
      </c>
      <c r="U44" s="106">
        <f t="shared" ref="U44:U46" si="540">+BK44+DA44</f>
        <v>0</v>
      </c>
      <c r="V44" s="106">
        <f t="shared" ref="V44:V46" si="541">+BL44+DB44</f>
        <v>0</v>
      </c>
      <c r="W44" s="106">
        <f t="shared" ref="W44:W46" si="542">+BM44+DC44</f>
        <v>0</v>
      </c>
      <c r="X44" s="106">
        <f t="shared" ref="X44:X46" si="543">+BN44+DD44</f>
        <v>0</v>
      </c>
      <c r="Y44" s="106">
        <f t="shared" ref="Y44:Y46" si="544">+BO44+DE44</f>
        <v>0</v>
      </c>
      <c r="Z44" s="106">
        <f t="shared" ref="Z44:Z46" si="545">+BP44+DF44</f>
        <v>0</v>
      </c>
      <c r="AA44" s="106">
        <f t="shared" ref="AA44:AA46" si="546">+SUM(O44:Z44)</f>
        <v>0</v>
      </c>
      <c r="AB44" s="118">
        <f t="shared" si="374"/>
        <v>0</v>
      </c>
      <c r="AC44" s="106">
        <f t="shared" ref="AC44:AC46" si="547">+BS44+DI44</f>
        <v>0</v>
      </c>
      <c r="AD44" s="106">
        <f t="shared" ref="AD44:AD46" si="548">+BT44+DJ44</f>
        <v>0</v>
      </c>
      <c r="AE44" s="106">
        <f t="shared" ref="AE44:AE46" si="549">+BU44+DK44</f>
        <v>0</v>
      </c>
      <c r="AF44" s="106">
        <f t="shared" ref="AF44:AF46" si="550">+BV44+DL44</f>
        <v>0</v>
      </c>
      <c r="AG44" s="106">
        <f t="shared" ref="AG44:AG46" si="551">+BW44+DM44</f>
        <v>0</v>
      </c>
      <c r="AH44" s="106">
        <f t="shared" ref="AH44:AH46" si="552">+BX44+DN44</f>
        <v>0</v>
      </c>
      <c r="AI44" s="106">
        <f t="shared" ref="AI44:AI46" si="553">+BY44+DO44</f>
        <v>0</v>
      </c>
      <c r="AJ44" s="106">
        <f t="shared" ref="AJ44:AJ46" si="554">+BZ44+DP44</f>
        <v>0</v>
      </c>
      <c r="AK44" s="106">
        <f t="shared" ref="AK44:AK46" si="555">+CA44+DQ44</f>
        <v>0</v>
      </c>
      <c r="AL44" s="106">
        <f t="shared" ref="AL44:AL46" si="556">+CB44+DR44</f>
        <v>0</v>
      </c>
      <c r="AM44" s="106">
        <f t="shared" ref="AM44:AM46" si="557">+CC44+DS44</f>
        <v>0</v>
      </c>
      <c r="AN44" s="106">
        <f t="shared" ref="AN44:AN46" si="558">+CD44+DT44</f>
        <v>0</v>
      </c>
      <c r="AO44" s="106">
        <f t="shared" ref="AO44:AO46" si="559">+SUM(AC44:AN44)</f>
        <v>0</v>
      </c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>
        <f t="shared" ref="BC44:BC46" si="560">+SUM(AQ44:BB44)</f>
        <v>0</v>
      </c>
      <c r="BD44" s="7" t="str">
        <f t="shared" si="47"/>
        <v>Monthly Target Incentive</v>
      </c>
      <c r="BE44" s="106">
        <f>+VLOOKUP($BD44,'Jan-25'!$A:$J,2,0)</f>
        <v>0</v>
      </c>
      <c r="BF44" s="106">
        <f>+VLOOKUP($BD44,'Feb-25'!$A:$J,2,0)</f>
        <v>0</v>
      </c>
      <c r="BG44" s="106">
        <f>+VLOOKUP($BD44,'Mar-25'!$A:$J,2,0)</f>
        <v>0</v>
      </c>
      <c r="BH44" s="106">
        <f>+VLOOKUP($BD44,'Apr-25'!$A:$J,2,0)</f>
        <v>0</v>
      </c>
      <c r="BI44" s="106">
        <f>+VLOOKUP($BD44,'May-25'!$A:$J,2,0)</f>
        <v>0</v>
      </c>
      <c r="BJ44" s="106">
        <f>+VLOOKUP($BD44,'June-25'!$A:$J,2,0)</f>
        <v>0</v>
      </c>
      <c r="BK44" s="106">
        <f>+VLOOKUP($BD44,'July-25'!$A:$J,2,0)</f>
        <v>0</v>
      </c>
      <c r="BL44" s="106">
        <f>+VLOOKUP($BD44,'Aug-25'!$A:$J,2,0)</f>
        <v>0</v>
      </c>
      <c r="BM44" s="106">
        <f>+VLOOKUP($BD44,'Sep-25'!$A:$J,2,0)</f>
        <v>0</v>
      </c>
      <c r="BN44" s="106">
        <f>+VLOOKUP($BD44,'Oct-25'!$A:$J,2,0)</f>
        <v>0</v>
      </c>
      <c r="BO44" s="106">
        <f>+VLOOKUP($BD44,'Nov-25'!$A:$J,2,0)</f>
        <v>0</v>
      </c>
      <c r="BP44" s="106">
        <f>+VLOOKUP($BD44,'Dec-25'!$A:$J,2,0)</f>
        <v>0</v>
      </c>
      <c r="BQ44" s="106">
        <f t="shared" ref="BQ44:BQ46" si="561">+SUM(BE44:BP44)</f>
        <v>0</v>
      </c>
      <c r="BR44" s="118">
        <f t="shared" si="389"/>
        <v>0</v>
      </c>
      <c r="BS44" s="106"/>
      <c r="BT44" s="106"/>
      <c r="BU44" s="106"/>
      <c r="BV44" s="106"/>
      <c r="BW44" s="106"/>
      <c r="BX44" s="106"/>
      <c r="BY44" s="106"/>
      <c r="BZ44" s="106"/>
      <c r="CA44" s="106"/>
      <c r="CB44" s="106"/>
      <c r="CC44" s="106"/>
      <c r="CD44" s="106"/>
      <c r="CE44" s="106"/>
      <c r="CF44" s="22"/>
      <c r="CG44" s="106"/>
      <c r="CH44" s="106"/>
      <c r="CI44" s="106"/>
      <c r="CJ44" s="106"/>
      <c r="CK44" s="106"/>
      <c r="CL44" s="106"/>
      <c r="CM44" s="106"/>
      <c r="CN44" s="106"/>
      <c r="CO44" s="106"/>
      <c r="CP44" s="106"/>
      <c r="CQ44" s="106"/>
      <c r="CR44" s="106"/>
      <c r="CS44" s="106">
        <f t="shared" ref="CS44:CS46" si="562">+SUM(CG44:CR44)</f>
        <v>0</v>
      </c>
      <c r="CT44" s="7" t="str">
        <f t="shared" si="51"/>
        <v>Monthly Target Incentive</v>
      </c>
      <c r="CU44" s="106">
        <f>+VLOOKUP($BD44,'Jan-25'!$A:$J,6,0)</f>
        <v>0</v>
      </c>
      <c r="CV44" s="106">
        <f>+VLOOKUP($BD44,'Feb-25'!$A:$J,6,0)</f>
        <v>0</v>
      </c>
      <c r="CW44" s="106">
        <f>+VLOOKUP($BD44,'Mar-25'!$A:$J,6,0)</f>
        <v>0</v>
      </c>
      <c r="CX44" s="106">
        <f>+VLOOKUP($BD44,'Apr-25'!$A:$J,6,0)</f>
        <v>0</v>
      </c>
      <c r="CY44" s="106">
        <f>+VLOOKUP($BD44,'May-25'!$A:$J,6,0)</f>
        <v>0</v>
      </c>
      <c r="CZ44" s="106">
        <f>+VLOOKUP($BD44,'June-25'!$A:$J,6,0)</f>
        <v>0</v>
      </c>
      <c r="DA44" s="106">
        <f>+VLOOKUP($BD44,'July-25'!$A:$J,6,0)</f>
        <v>0</v>
      </c>
      <c r="DB44" s="106">
        <f>+VLOOKUP($BD44,'Aug-25'!$A:$J,6,0)</f>
        <v>0</v>
      </c>
      <c r="DC44" s="106">
        <f>+VLOOKUP($BD44,'Sep-25'!$A:$J,6,0)</f>
        <v>0</v>
      </c>
      <c r="DD44" s="106">
        <f>+VLOOKUP($BD44,'Oct-25'!$A:$J,6,0)</f>
        <v>0</v>
      </c>
      <c r="DE44" s="106">
        <f>+VLOOKUP($BD44,'Nov-25'!$A:$J,6,0)</f>
        <v>0</v>
      </c>
      <c r="DF44" s="106">
        <f>+VLOOKUP($BD44,'Dec-25'!$A:$J,6,0)</f>
        <v>0</v>
      </c>
      <c r="DG44" s="106">
        <f t="shared" ref="DG44:DG46" si="563">+SUM(CU44:DF44)</f>
        <v>0</v>
      </c>
      <c r="DH44" s="118">
        <f t="shared" si="390"/>
        <v>0</v>
      </c>
      <c r="DI44" s="106"/>
      <c r="DJ44" s="106"/>
      <c r="DK44" s="106"/>
      <c r="DL44" s="106"/>
      <c r="DM44" s="106"/>
      <c r="DN44" s="106"/>
      <c r="DO44" s="106"/>
      <c r="DP44" s="106"/>
      <c r="DQ44" s="106"/>
      <c r="DR44" s="106"/>
      <c r="DS44" s="106"/>
      <c r="DT44" s="106"/>
      <c r="DU44" s="106">
        <f t="shared" ref="DU44:DU46" si="564">+SUM(DI44:DT44)</f>
        <v>0</v>
      </c>
    </row>
    <row r="45" spans="1:125" ht="14.45" hidden="1" customHeight="1" outlineLevel="1">
      <c r="A45" s="106">
        <f t="shared" si="522"/>
        <v>0</v>
      </c>
      <c r="B45" s="106">
        <f t="shared" si="523"/>
        <v>0</v>
      </c>
      <c r="C45" s="106">
        <f t="shared" si="524"/>
        <v>0</v>
      </c>
      <c r="D45" s="106">
        <f t="shared" si="525"/>
        <v>0</v>
      </c>
      <c r="E45" s="106">
        <f t="shared" si="526"/>
        <v>0</v>
      </c>
      <c r="F45" s="106">
        <f t="shared" si="527"/>
        <v>0</v>
      </c>
      <c r="G45" s="106">
        <f t="shared" si="528"/>
        <v>0</v>
      </c>
      <c r="H45" s="106">
        <f t="shared" si="529"/>
        <v>0</v>
      </c>
      <c r="I45" s="106">
        <f t="shared" si="530"/>
        <v>0</v>
      </c>
      <c r="J45" s="106">
        <f t="shared" si="531"/>
        <v>0</v>
      </c>
      <c r="K45" s="106">
        <f t="shared" si="532"/>
        <v>0</v>
      </c>
      <c r="L45" s="106">
        <f t="shared" si="533"/>
        <v>0</v>
      </c>
      <c r="M45" s="106">
        <f t="shared" si="360"/>
        <v>0</v>
      </c>
      <c r="N45" s="7" t="s">
        <v>39</v>
      </c>
      <c r="O45" s="106">
        <f t="shared" si="534"/>
        <v>0</v>
      </c>
      <c r="P45" s="106">
        <f t="shared" si="535"/>
        <v>0</v>
      </c>
      <c r="Q45" s="106">
        <f t="shared" si="536"/>
        <v>0</v>
      </c>
      <c r="R45" s="106">
        <f t="shared" si="537"/>
        <v>0</v>
      </c>
      <c r="S45" s="106">
        <f t="shared" si="538"/>
        <v>0</v>
      </c>
      <c r="T45" s="106">
        <f t="shared" si="539"/>
        <v>0</v>
      </c>
      <c r="U45" s="106">
        <f t="shared" si="540"/>
        <v>0</v>
      </c>
      <c r="V45" s="106">
        <f t="shared" si="541"/>
        <v>0</v>
      </c>
      <c r="W45" s="106">
        <f t="shared" si="542"/>
        <v>0</v>
      </c>
      <c r="X45" s="106">
        <f t="shared" si="543"/>
        <v>0</v>
      </c>
      <c r="Y45" s="106">
        <f t="shared" si="544"/>
        <v>0</v>
      </c>
      <c r="Z45" s="106">
        <f t="shared" si="545"/>
        <v>0</v>
      </c>
      <c r="AA45" s="106">
        <f t="shared" si="546"/>
        <v>0</v>
      </c>
      <c r="AB45" s="118">
        <f t="shared" si="374"/>
        <v>0</v>
      </c>
      <c r="AC45" s="106">
        <f t="shared" si="547"/>
        <v>0</v>
      </c>
      <c r="AD45" s="106">
        <f t="shared" si="548"/>
        <v>0</v>
      </c>
      <c r="AE45" s="106">
        <f t="shared" si="549"/>
        <v>0</v>
      </c>
      <c r="AF45" s="106">
        <f t="shared" si="550"/>
        <v>0</v>
      </c>
      <c r="AG45" s="106">
        <f t="shared" si="551"/>
        <v>0</v>
      </c>
      <c r="AH45" s="106">
        <f t="shared" si="552"/>
        <v>0</v>
      </c>
      <c r="AI45" s="106">
        <f t="shared" si="553"/>
        <v>0</v>
      </c>
      <c r="AJ45" s="106">
        <f t="shared" si="554"/>
        <v>0</v>
      </c>
      <c r="AK45" s="106">
        <f t="shared" si="555"/>
        <v>0</v>
      </c>
      <c r="AL45" s="106">
        <f t="shared" si="556"/>
        <v>0</v>
      </c>
      <c r="AM45" s="106">
        <f t="shared" si="557"/>
        <v>0</v>
      </c>
      <c r="AN45" s="106">
        <f t="shared" si="558"/>
        <v>0</v>
      </c>
      <c r="AO45" s="106">
        <f t="shared" si="559"/>
        <v>0</v>
      </c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>
        <f t="shared" si="560"/>
        <v>0</v>
      </c>
      <c r="BD45" s="7" t="str">
        <f t="shared" si="47"/>
        <v>Quarterly Target Incentive</v>
      </c>
      <c r="BE45" s="106">
        <f>+VLOOKUP($BD45,'Jan-25'!$A:$J,2,0)</f>
        <v>0</v>
      </c>
      <c r="BF45" s="106">
        <f>+VLOOKUP($BD45,'Feb-25'!$A:$J,2,0)</f>
        <v>0</v>
      </c>
      <c r="BG45" s="106">
        <f>+VLOOKUP($BD45,'Mar-25'!$A:$J,2,0)</f>
        <v>0</v>
      </c>
      <c r="BH45" s="106">
        <f>+VLOOKUP($BD45,'Apr-25'!$A:$J,2,0)</f>
        <v>0</v>
      </c>
      <c r="BI45" s="106">
        <f>+VLOOKUP($BD45,'May-25'!$A:$J,2,0)</f>
        <v>0</v>
      </c>
      <c r="BJ45" s="106">
        <f>+VLOOKUP($BD45,'June-25'!$A:$J,2,0)</f>
        <v>0</v>
      </c>
      <c r="BK45" s="106">
        <f>+VLOOKUP($BD45,'July-25'!$A:$J,2,0)</f>
        <v>0</v>
      </c>
      <c r="BL45" s="106">
        <f>+VLOOKUP($BD45,'Aug-25'!$A:$J,2,0)</f>
        <v>0</v>
      </c>
      <c r="BM45" s="106">
        <f>+VLOOKUP($BD45,'Sep-25'!$A:$J,2,0)</f>
        <v>0</v>
      </c>
      <c r="BN45" s="106">
        <f>+VLOOKUP($BD45,'Oct-25'!$A:$J,2,0)</f>
        <v>0</v>
      </c>
      <c r="BO45" s="106">
        <f>+VLOOKUP($BD45,'Nov-25'!$A:$J,2,0)</f>
        <v>0</v>
      </c>
      <c r="BP45" s="106">
        <f>+VLOOKUP($BD45,'Dec-25'!$A:$J,2,0)</f>
        <v>0</v>
      </c>
      <c r="BQ45" s="106">
        <f t="shared" si="561"/>
        <v>0</v>
      </c>
      <c r="BR45" s="118">
        <f t="shared" si="389"/>
        <v>0</v>
      </c>
      <c r="BS45" s="106"/>
      <c r="BT45" s="106"/>
      <c r="BU45" s="106"/>
      <c r="BV45" s="106"/>
      <c r="BW45" s="106"/>
      <c r="BX45" s="106"/>
      <c r="BY45" s="106"/>
      <c r="BZ45" s="106"/>
      <c r="CA45" s="106"/>
      <c r="CB45" s="106"/>
      <c r="CC45" s="106"/>
      <c r="CD45" s="106"/>
      <c r="CE45" s="106"/>
      <c r="CF45" s="22"/>
      <c r="CG45" s="106"/>
      <c r="CH45" s="106"/>
      <c r="CI45" s="106"/>
      <c r="CJ45" s="106"/>
      <c r="CK45" s="106"/>
      <c r="CL45" s="106"/>
      <c r="CM45" s="106"/>
      <c r="CN45" s="106"/>
      <c r="CO45" s="106"/>
      <c r="CP45" s="106"/>
      <c r="CQ45" s="106"/>
      <c r="CR45" s="106"/>
      <c r="CS45" s="106">
        <f t="shared" si="562"/>
        <v>0</v>
      </c>
      <c r="CT45" s="7" t="str">
        <f t="shared" si="51"/>
        <v>Quarterly Target Incentive</v>
      </c>
      <c r="CU45" s="106">
        <f>+VLOOKUP($BD45,'Jan-25'!$A:$J,6,0)</f>
        <v>0</v>
      </c>
      <c r="CV45" s="106">
        <f>+VLOOKUP($BD45,'Feb-25'!$A:$J,6,0)</f>
        <v>0</v>
      </c>
      <c r="CW45" s="106">
        <f>+VLOOKUP($BD45,'Mar-25'!$A:$J,6,0)</f>
        <v>0</v>
      </c>
      <c r="CX45" s="106">
        <f>+VLOOKUP($BD45,'Apr-25'!$A:$J,6,0)</f>
        <v>0</v>
      </c>
      <c r="CY45" s="106">
        <f>+VLOOKUP($BD45,'May-25'!$A:$J,6,0)</f>
        <v>0</v>
      </c>
      <c r="CZ45" s="106">
        <f>+VLOOKUP($BD45,'June-25'!$A:$J,6,0)</f>
        <v>0</v>
      </c>
      <c r="DA45" s="106">
        <f>+VLOOKUP($BD45,'July-25'!$A:$J,6,0)</f>
        <v>0</v>
      </c>
      <c r="DB45" s="106">
        <f>+VLOOKUP($BD45,'Aug-25'!$A:$J,6,0)</f>
        <v>0</v>
      </c>
      <c r="DC45" s="106">
        <f>+VLOOKUP($BD45,'Sep-25'!$A:$J,6,0)</f>
        <v>0</v>
      </c>
      <c r="DD45" s="106">
        <f>+VLOOKUP($BD45,'Oct-25'!$A:$J,6,0)</f>
        <v>0</v>
      </c>
      <c r="DE45" s="106">
        <f>+VLOOKUP($BD45,'Nov-25'!$A:$J,6,0)</f>
        <v>0</v>
      </c>
      <c r="DF45" s="106">
        <f>+VLOOKUP($BD45,'Dec-25'!$A:$J,6,0)</f>
        <v>0</v>
      </c>
      <c r="DG45" s="106">
        <f t="shared" si="563"/>
        <v>0</v>
      </c>
      <c r="DH45" s="118">
        <f t="shared" si="390"/>
        <v>0</v>
      </c>
      <c r="DI45" s="106"/>
      <c r="DJ45" s="106"/>
      <c r="DK45" s="106"/>
      <c r="DL45" s="106"/>
      <c r="DM45" s="106"/>
      <c r="DN45" s="106"/>
      <c r="DO45" s="106"/>
      <c r="DP45" s="106"/>
      <c r="DQ45" s="106"/>
      <c r="DR45" s="106"/>
      <c r="DS45" s="106"/>
      <c r="DT45" s="106"/>
      <c r="DU45" s="106">
        <f t="shared" si="564"/>
        <v>0</v>
      </c>
    </row>
    <row r="46" spans="1:125" ht="14.45" hidden="1" customHeight="1" outlineLevel="1">
      <c r="A46" s="106">
        <f t="shared" si="522"/>
        <v>0</v>
      </c>
      <c r="B46" s="106">
        <f t="shared" si="523"/>
        <v>0</v>
      </c>
      <c r="C46" s="106">
        <f t="shared" si="524"/>
        <v>0</v>
      </c>
      <c r="D46" s="106">
        <f t="shared" si="525"/>
        <v>0</v>
      </c>
      <c r="E46" s="106">
        <f t="shared" si="526"/>
        <v>0</v>
      </c>
      <c r="F46" s="106">
        <f t="shared" si="527"/>
        <v>0</v>
      </c>
      <c r="G46" s="106">
        <f t="shared" si="528"/>
        <v>0</v>
      </c>
      <c r="H46" s="106">
        <f t="shared" si="529"/>
        <v>0</v>
      </c>
      <c r="I46" s="106">
        <f t="shared" si="530"/>
        <v>0</v>
      </c>
      <c r="J46" s="106">
        <f t="shared" si="531"/>
        <v>0</v>
      </c>
      <c r="K46" s="106">
        <f t="shared" si="532"/>
        <v>0</v>
      </c>
      <c r="L46" s="106">
        <f t="shared" si="533"/>
        <v>0</v>
      </c>
      <c r="M46" s="106">
        <f t="shared" si="360"/>
        <v>0</v>
      </c>
      <c r="N46" s="7" t="s">
        <v>40</v>
      </c>
      <c r="O46" s="106">
        <f t="shared" si="534"/>
        <v>0</v>
      </c>
      <c r="P46" s="106">
        <f t="shared" si="535"/>
        <v>0</v>
      </c>
      <c r="Q46" s="106">
        <f t="shared" si="536"/>
        <v>0</v>
      </c>
      <c r="R46" s="106">
        <f t="shared" si="537"/>
        <v>0</v>
      </c>
      <c r="S46" s="106">
        <f t="shared" si="538"/>
        <v>0</v>
      </c>
      <c r="T46" s="106">
        <f t="shared" si="539"/>
        <v>0</v>
      </c>
      <c r="U46" s="106">
        <f t="shared" si="540"/>
        <v>0</v>
      </c>
      <c r="V46" s="106">
        <f t="shared" si="541"/>
        <v>0</v>
      </c>
      <c r="W46" s="106">
        <f t="shared" si="542"/>
        <v>0</v>
      </c>
      <c r="X46" s="106">
        <f t="shared" si="543"/>
        <v>0</v>
      </c>
      <c r="Y46" s="106">
        <f t="shared" si="544"/>
        <v>0</v>
      </c>
      <c r="Z46" s="106">
        <f t="shared" si="545"/>
        <v>0</v>
      </c>
      <c r="AA46" s="106">
        <f t="shared" si="546"/>
        <v>0</v>
      </c>
      <c r="AB46" s="118">
        <f t="shared" si="374"/>
        <v>0</v>
      </c>
      <c r="AC46" s="106">
        <f t="shared" si="547"/>
        <v>0</v>
      </c>
      <c r="AD46" s="106">
        <f t="shared" si="548"/>
        <v>0</v>
      </c>
      <c r="AE46" s="106">
        <f t="shared" si="549"/>
        <v>0</v>
      </c>
      <c r="AF46" s="106">
        <f t="shared" si="550"/>
        <v>0</v>
      </c>
      <c r="AG46" s="106">
        <f t="shared" si="551"/>
        <v>0</v>
      </c>
      <c r="AH46" s="106">
        <f t="shared" si="552"/>
        <v>0</v>
      </c>
      <c r="AI46" s="106">
        <f t="shared" si="553"/>
        <v>0</v>
      </c>
      <c r="AJ46" s="106">
        <f t="shared" si="554"/>
        <v>0</v>
      </c>
      <c r="AK46" s="106">
        <f t="shared" si="555"/>
        <v>0</v>
      </c>
      <c r="AL46" s="106">
        <f t="shared" si="556"/>
        <v>0</v>
      </c>
      <c r="AM46" s="106">
        <f t="shared" si="557"/>
        <v>0</v>
      </c>
      <c r="AN46" s="106">
        <f t="shared" si="558"/>
        <v>0</v>
      </c>
      <c r="AO46" s="106">
        <f t="shared" si="559"/>
        <v>0</v>
      </c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>
        <f t="shared" si="560"/>
        <v>0</v>
      </c>
      <c r="BD46" s="7" t="str">
        <f t="shared" si="47"/>
        <v>Qualitative Quarterly Incentive</v>
      </c>
      <c r="BE46" s="106">
        <f>+VLOOKUP($BD46,'Jan-25'!$A:$J,2,0)</f>
        <v>0</v>
      </c>
      <c r="BF46" s="106">
        <f>+VLOOKUP($BD46,'Feb-25'!$A:$J,2,0)</f>
        <v>0</v>
      </c>
      <c r="BG46" s="106">
        <f>+VLOOKUP($BD46,'Mar-25'!$A:$J,2,0)</f>
        <v>0</v>
      </c>
      <c r="BH46" s="106">
        <f>+VLOOKUP($BD46,'Apr-25'!$A:$J,2,0)</f>
        <v>0</v>
      </c>
      <c r="BI46" s="106">
        <f>+VLOOKUP($BD46,'May-25'!$A:$J,2,0)</f>
        <v>0</v>
      </c>
      <c r="BJ46" s="106">
        <f>+VLOOKUP($BD46,'June-25'!$A:$J,2,0)</f>
        <v>0</v>
      </c>
      <c r="BK46" s="106">
        <f>+VLOOKUP($BD46,'July-25'!$A:$J,2,0)</f>
        <v>0</v>
      </c>
      <c r="BL46" s="106">
        <f>+VLOOKUP($BD46,'Aug-25'!$A:$J,2,0)</f>
        <v>0</v>
      </c>
      <c r="BM46" s="106">
        <f>+VLOOKUP($BD46,'Sep-25'!$A:$J,2,0)</f>
        <v>0</v>
      </c>
      <c r="BN46" s="106">
        <f>+VLOOKUP($BD46,'Oct-25'!$A:$J,2,0)</f>
        <v>0</v>
      </c>
      <c r="BO46" s="106">
        <f>+VLOOKUP($BD46,'Nov-25'!$A:$J,2,0)</f>
        <v>0</v>
      </c>
      <c r="BP46" s="106">
        <f>+VLOOKUP($BD46,'Dec-25'!$A:$J,2,0)</f>
        <v>0</v>
      </c>
      <c r="BQ46" s="106">
        <f t="shared" si="561"/>
        <v>0</v>
      </c>
      <c r="BR46" s="118">
        <f t="shared" si="389"/>
        <v>0</v>
      </c>
      <c r="BS46" s="106"/>
      <c r="BT46" s="106"/>
      <c r="BU46" s="106"/>
      <c r="BV46" s="106"/>
      <c r="BW46" s="106"/>
      <c r="BX46" s="106"/>
      <c r="BY46" s="106"/>
      <c r="BZ46" s="106"/>
      <c r="CA46" s="106"/>
      <c r="CB46" s="106"/>
      <c r="CC46" s="106"/>
      <c r="CD46" s="106"/>
      <c r="CE46" s="106"/>
      <c r="CF46" s="22"/>
      <c r="CG46" s="106"/>
      <c r="CH46" s="106"/>
      <c r="CI46" s="106"/>
      <c r="CJ46" s="106"/>
      <c r="CK46" s="106"/>
      <c r="CL46" s="106"/>
      <c r="CM46" s="106"/>
      <c r="CN46" s="106"/>
      <c r="CO46" s="106"/>
      <c r="CP46" s="106"/>
      <c r="CQ46" s="106"/>
      <c r="CR46" s="106"/>
      <c r="CS46" s="106">
        <f t="shared" si="562"/>
        <v>0</v>
      </c>
      <c r="CT46" s="7" t="str">
        <f t="shared" si="51"/>
        <v>Qualitative Quarterly Incentive</v>
      </c>
      <c r="CU46" s="106">
        <f>+VLOOKUP($BD46,'Jan-25'!$A:$J,6,0)</f>
        <v>0</v>
      </c>
      <c r="CV46" s="106">
        <f>+VLOOKUP($BD46,'Feb-25'!$A:$J,6,0)</f>
        <v>0</v>
      </c>
      <c r="CW46" s="106">
        <f>+VLOOKUP($BD46,'Mar-25'!$A:$J,6,0)</f>
        <v>0</v>
      </c>
      <c r="CX46" s="106">
        <f>+VLOOKUP($BD46,'Apr-25'!$A:$J,6,0)</f>
        <v>0</v>
      </c>
      <c r="CY46" s="106">
        <f>+VLOOKUP($BD46,'May-25'!$A:$J,6,0)</f>
        <v>0</v>
      </c>
      <c r="CZ46" s="106">
        <f>+VLOOKUP($BD46,'June-25'!$A:$J,6,0)</f>
        <v>0</v>
      </c>
      <c r="DA46" s="106">
        <f>+VLOOKUP($BD46,'July-25'!$A:$J,6,0)</f>
        <v>0</v>
      </c>
      <c r="DB46" s="106">
        <f>+VLOOKUP($BD46,'Aug-25'!$A:$J,6,0)</f>
        <v>0</v>
      </c>
      <c r="DC46" s="106">
        <f>+VLOOKUP($BD46,'Sep-25'!$A:$J,6,0)</f>
        <v>0</v>
      </c>
      <c r="DD46" s="106">
        <f>+VLOOKUP($BD46,'Oct-25'!$A:$J,6,0)</f>
        <v>0</v>
      </c>
      <c r="DE46" s="106">
        <f>+VLOOKUP($BD46,'Nov-25'!$A:$J,6,0)</f>
        <v>0</v>
      </c>
      <c r="DF46" s="106">
        <f>+VLOOKUP($BD46,'Dec-25'!$A:$J,6,0)</f>
        <v>0</v>
      </c>
      <c r="DG46" s="106">
        <f t="shared" si="563"/>
        <v>0</v>
      </c>
      <c r="DH46" s="118">
        <f t="shared" si="390"/>
        <v>0</v>
      </c>
      <c r="DI46" s="106"/>
      <c r="DJ46" s="106"/>
      <c r="DK46" s="106"/>
      <c r="DL46" s="106"/>
      <c r="DM46" s="106"/>
      <c r="DN46" s="106"/>
      <c r="DO46" s="106"/>
      <c r="DP46" s="106"/>
      <c r="DQ46" s="106"/>
      <c r="DR46" s="106"/>
      <c r="DS46" s="106"/>
      <c r="DT46" s="106"/>
      <c r="DU46" s="106">
        <f t="shared" si="564"/>
        <v>0</v>
      </c>
    </row>
    <row r="47" spans="1:125" ht="14.45" hidden="1" customHeight="1" outlineLevel="1">
      <c r="A47" s="59">
        <f>+A43+A44+A45+A46</f>
        <v>0</v>
      </c>
      <c r="B47" s="59">
        <f t="shared" ref="B47:M47" si="565">+B43+B44+B45+B46</f>
        <v>0</v>
      </c>
      <c r="C47" s="59">
        <f t="shared" si="565"/>
        <v>-477.25</v>
      </c>
      <c r="D47" s="59">
        <f t="shared" si="565"/>
        <v>0</v>
      </c>
      <c r="E47" s="59">
        <f t="shared" si="565"/>
        <v>-3925.4700000000003</v>
      </c>
      <c r="F47" s="59">
        <f t="shared" si="565"/>
        <v>-15750</v>
      </c>
      <c r="G47" s="59">
        <f t="shared" si="565"/>
        <v>-2367.5100000000002</v>
      </c>
      <c r="H47" s="59">
        <f t="shared" si="565"/>
        <v>-66436</v>
      </c>
      <c r="I47" s="59">
        <f t="shared" si="565"/>
        <v>0</v>
      </c>
      <c r="J47" s="59">
        <f t="shared" si="565"/>
        <v>-139589.73499999999</v>
      </c>
      <c r="K47" s="59">
        <f t="shared" si="565"/>
        <v>-96082.345000000001</v>
      </c>
      <c r="L47" s="59">
        <f t="shared" si="565"/>
        <v>-22772.720000000001</v>
      </c>
      <c r="M47" s="59">
        <f t="shared" si="565"/>
        <v>-347401.02999999997</v>
      </c>
      <c r="N47" s="10" t="s">
        <v>41</v>
      </c>
      <c r="O47" s="59">
        <f>+O43+O44+O45+O46</f>
        <v>-328995.86</v>
      </c>
      <c r="P47" s="59">
        <f t="shared" ref="P47" si="566">+P43+P44+P45+P46</f>
        <v>-225743.035</v>
      </c>
      <c r="Q47" s="59">
        <f t="shared" ref="Q47" si="567">+Q43+Q44+Q45+Q46</f>
        <v>-30684.620000000003</v>
      </c>
      <c r="R47" s="59">
        <f t="shared" ref="R47" si="568">+R43+R44+R45+R46</f>
        <v>6033.4300000000076</v>
      </c>
      <c r="S47" s="59">
        <f t="shared" ref="S47" si="569">+S43+S44+S45+S46</f>
        <v>-83344</v>
      </c>
      <c r="T47" s="59">
        <f t="shared" ref="T47" si="570">+T43+T44+T45+T46</f>
        <v>0</v>
      </c>
      <c r="U47" s="59">
        <f t="shared" ref="U47" si="571">+U43+U44+U45+U46</f>
        <v>130070.7</v>
      </c>
      <c r="V47" s="59">
        <f t="shared" ref="V47" si="572">+V43+V44+V45+V46</f>
        <v>-198813</v>
      </c>
      <c r="W47" s="59">
        <f t="shared" ref="W47" si="573">+W43+W44+W45+W46</f>
        <v>0</v>
      </c>
      <c r="X47" s="59">
        <f t="shared" ref="X47" si="574">+X43+X44+X45+X46</f>
        <v>0</v>
      </c>
      <c r="Y47" s="59">
        <f t="shared" ref="Y47" si="575">+Y43+Y44+Y45+Y46</f>
        <v>0</v>
      </c>
      <c r="Z47" s="59">
        <f t="shared" ref="Z47" si="576">+Z43+Z44+Z45+Z46</f>
        <v>0</v>
      </c>
      <c r="AA47" s="59">
        <f t="shared" ref="AA47" si="577">+AA43+AA44+AA45+AA46</f>
        <v>-731476.38500000001</v>
      </c>
      <c r="AB47" s="118">
        <f t="shared" si="374"/>
        <v>0</v>
      </c>
      <c r="AC47" s="59">
        <f>+AC43+AC44+AC45+AC46</f>
        <v>0</v>
      </c>
      <c r="AD47" s="59">
        <f t="shared" ref="AD47" si="578">+AD43+AD44+AD45+AD46</f>
        <v>0</v>
      </c>
      <c r="AE47" s="59">
        <f t="shared" ref="AE47" si="579">+AE43+AE44+AE45+AE46</f>
        <v>0</v>
      </c>
      <c r="AF47" s="59">
        <f t="shared" ref="AF47" si="580">+AF43+AF44+AF45+AF46</f>
        <v>0</v>
      </c>
      <c r="AG47" s="59">
        <f t="shared" ref="AG47" si="581">+AG43+AG44+AG45+AG46</f>
        <v>0</v>
      </c>
      <c r="AH47" s="59">
        <f t="shared" ref="AH47" si="582">+AH43+AH44+AH45+AH46</f>
        <v>0</v>
      </c>
      <c r="AI47" s="59">
        <f t="shared" ref="AI47" si="583">+AI43+AI44+AI45+AI46</f>
        <v>0</v>
      </c>
      <c r="AJ47" s="59">
        <f t="shared" ref="AJ47" si="584">+AJ43+AJ44+AJ45+AJ46</f>
        <v>0</v>
      </c>
      <c r="AK47" s="59">
        <f t="shared" ref="AK47" si="585">+AK43+AK44+AK45+AK46</f>
        <v>0</v>
      </c>
      <c r="AL47" s="59">
        <f t="shared" ref="AL47" si="586">+AL43+AL44+AL45+AL46</f>
        <v>0</v>
      </c>
      <c r="AM47" s="59">
        <f t="shared" ref="AM47" si="587">+AM43+AM44+AM45+AM46</f>
        <v>0</v>
      </c>
      <c r="AN47" s="59">
        <f t="shared" ref="AN47" si="588">+AN43+AN44+AN45+AN46</f>
        <v>0</v>
      </c>
      <c r="AO47" s="59">
        <f t="shared" ref="AO47" si="589">+AO43+AO44+AO45+AO46</f>
        <v>0</v>
      </c>
      <c r="AQ47" s="59">
        <f t="shared" ref="AQ47:BB47" si="590">+AQ43+AQ44+AQ45+AQ46</f>
        <v>0</v>
      </c>
      <c r="AR47" s="59">
        <f t="shared" si="590"/>
        <v>0</v>
      </c>
      <c r="AS47" s="59">
        <f t="shared" si="590"/>
        <v>-451.07</v>
      </c>
      <c r="AT47" s="59">
        <f t="shared" si="590"/>
        <v>0</v>
      </c>
      <c r="AU47" s="59">
        <f t="shared" si="590"/>
        <v>-3870.21</v>
      </c>
      <c r="AV47" s="59">
        <f t="shared" si="590"/>
        <v>-15750</v>
      </c>
      <c r="AW47" s="59">
        <f t="shared" si="590"/>
        <v>-2313.59</v>
      </c>
      <c r="AX47" s="59">
        <f t="shared" si="590"/>
        <v>-66436</v>
      </c>
      <c r="AY47" s="59">
        <f t="shared" si="590"/>
        <v>0</v>
      </c>
      <c r="AZ47" s="59">
        <f t="shared" si="590"/>
        <v>-91141</v>
      </c>
      <c r="BA47" s="59">
        <f t="shared" si="590"/>
        <v>-70280.69</v>
      </c>
      <c r="BB47" s="59">
        <f t="shared" si="590"/>
        <v>-4287.1099999999997</v>
      </c>
      <c r="BC47" s="59">
        <f t="shared" ref="BC47" si="591">+BC43+BC44+BC45+BC46</f>
        <v>-254529.66999999998</v>
      </c>
      <c r="BD47" s="10" t="str">
        <f t="shared" si="47"/>
        <v>Gross Profit 2</v>
      </c>
      <c r="BE47" s="59">
        <f t="shared" ref="BE47:BP47" si="592">+BE43+BE44+BE45+BE46</f>
        <v>-328995.86</v>
      </c>
      <c r="BF47" s="59">
        <f t="shared" si="592"/>
        <v>-225075.66</v>
      </c>
      <c r="BG47" s="59">
        <f t="shared" si="592"/>
        <v>-28106.940000000002</v>
      </c>
      <c r="BH47" s="59">
        <f t="shared" si="592"/>
        <v>-10438.829999999994</v>
      </c>
      <c r="BI47" s="59">
        <f t="shared" si="592"/>
        <v>-83344</v>
      </c>
      <c r="BJ47" s="59">
        <f t="shared" si="592"/>
        <v>0</v>
      </c>
      <c r="BK47" s="59">
        <f t="shared" si="592"/>
        <v>99788.43</v>
      </c>
      <c r="BL47" s="59">
        <f t="shared" si="592"/>
        <v>-149813</v>
      </c>
      <c r="BM47" s="59">
        <f t="shared" si="592"/>
        <v>0</v>
      </c>
      <c r="BN47" s="59">
        <f t="shared" si="592"/>
        <v>0</v>
      </c>
      <c r="BO47" s="59">
        <f t="shared" si="592"/>
        <v>0</v>
      </c>
      <c r="BP47" s="59">
        <f t="shared" si="592"/>
        <v>0</v>
      </c>
      <c r="BQ47" s="59">
        <f t="shared" ref="BQ47" si="593">+BQ43+BQ44+BQ45+BQ46</f>
        <v>-725985.85999999987</v>
      </c>
      <c r="BR47" s="118">
        <f t="shared" si="389"/>
        <v>0</v>
      </c>
      <c r="BS47" s="59">
        <f t="shared" ref="BS47:CD47" si="594">+BS43+BS44+BS45+BS46</f>
        <v>0</v>
      </c>
      <c r="BT47" s="59">
        <f t="shared" si="594"/>
        <v>0</v>
      </c>
      <c r="BU47" s="59">
        <f t="shared" si="594"/>
        <v>0</v>
      </c>
      <c r="BV47" s="59">
        <f t="shared" si="594"/>
        <v>0</v>
      </c>
      <c r="BW47" s="59">
        <f t="shared" si="594"/>
        <v>0</v>
      </c>
      <c r="BX47" s="59">
        <f t="shared" si="594"/>
        <v>0</v>
      </c>
      <c r="BY47" s="59">
        <f t="shared" si="594"/>
        <v>0</v>
      </c>
      <c r="BZ47" s="59">
        <f t="shared" si="594"/>
        <v>0</v>
      </c>
      <c r="CA47" s="59">
        <f t="shared" si="594"/>
        <v>0</v>
      </c>
      <c r="CB47" s="59">
        <f t="shared" si="594"/>
        <v>0</v>
      </c>
      <c r="CC47" s="59">
        <f t="shared" si="594"/>
        <v>0</v>
      </c>
      <c r="CD47" s="59">
        <f t="shared" si="594"/>
        <v>0</v>
      </c>
      <c r="CE47" s="59">
        <f t="shared" ref="CE47" si="595">+CE43+CE44+CE45+CE46</f>
        <v>0</v>
      </c>
      <c r="CF47" s="22"/>
      <c r="CG47" s="59">
        <f t="shared" ref="CG47:CS47" si="596">+CG43+CG44+CG45+CG46</f>
        <v>0</v>
      </c>
      <c r="CH47" s="59">
        <f t="shared" si="596"/>
        <v>0</v>
      </c>
      <c r="CI47" s="59">
        <f t="shared" si="596"/>
        <v>-26.18</v>
      </c>
      <c r="CJ47" s="59">
        <f t="shared" si="596"/>
        <v>0</v>
      </c>
      <c r="CK47" s="59">
        <f t="shared" si="596"/>
        <v>-55.26</v>
      </c>
      <c r="CL47" s="59">
        <f t="shared" si="596"/>
        <v>0</v>
      </c>
      <c r="CM47" s="59">
        <f t="shared" si="596"/>
        <v>-53.92</v>
      </c>
      <c r="CN47" s="59">
        <f t="shared" si="596"/>
        <v>0</v>
      </c>
      <c r="CO47" s="59">
        <f t="shared" si="596"/>
        <v>0</v>
      </c>
      <c r="CP47" s="59">
        <f t="shared" si="596"/>
        <v>-48448.735000000001</v>
      </c>
      <c r="CQ47" s="59">
        <f t="shared" si="596"/>
        <v>-25801.654999999999</v>
      </c>
      <c r="CR47" s="59">
        <f t="shared" si="596"/>
        <v>-18485.61</v>
      </c>
      <c r="CS47" s="59">
        <f t="shared" si="596"/>
        <v>-92871.360000000001</v>
      </c>
      <c r="CT47" s="10" t="str">
        <f t="shared" si="51"/>
        <v>Gross Profit 2</v>
      </c>
      <c r="CU47" s="59">
        <f t="shared" ref="CU47:DF47" si="597">+CU43+CU44+CU45+CU46</f>
        <v>0</v>
      </c>
      <c r="CV47" s="59">
        <f t="shared" si="597"/>
        <v>-667.375</v>
      </c>
      <c r="CW47" s="59">
        <f t="shared" si="597"/>
        <v>-2577.6799999999998</v>
      </c>
      <c r="CX47" s="59">
        <f t="shared" si="597"/>
        <v>16472.259999999998</v>
      </c>
      <c r="CY47" s="59">
        <f t="shared" si="597"/>
        <v>0</v>
      </c>
      <c r="CZ47" s="59">
        <f t="shared" si="597"/>
        <v>0</v>
      </c>
      <c r="DA47" s="59">
        <f t="shared" si="597"/>
        <v>30282.27</v>
      </c>
      <c r="DB47" s="59">
        <f t="shared" si="597"/>
        <v>-49000</v>
      </c>
      <c r="DC47" s="59">
        <f t="shared" si="597"/>
        <v>0</v>
      </c>
      <c r="DD47" s="59">
        <f t="shared" si="597"/>
        <v>0</v>
      </c>
      <c r="DE47" s="59">
        <f t="shared" si="597"/>
        <v>0</v>
      </c>
      <c r="DF47" s="59">
        <f t="shared" si="597"/>
        <v>0</v>
      </c>
      <c r="DG47" s="59">
        <f>+DG43+DG44+DG45+DG46</f>
        <v>-5490.5250000000015</v>
      </c>
      <c r="DH47" s="118">
        <f t="shared" si="390"/>
        <v>0</v>
      </c>
      <c r="DI47" s="59">
        <f t="shared" ref="DI47:DU47" si="598">+DI43+DI44+DI45+DI46</f>
        <v>0</v>
      </c>
      <c r="DJ47" s="59">
        <f t="shared" si="598"/>
        <v>0</v>
      </c>
      <c r="DK47" s="59">
        <f t="shared" si="598"/>
        <v>0</v>
      </c>
      <c r="DL47" s="59">
        <f t="shared" si="598"/>
        <v>0</v>
      </c>
      <c r="DM47" s="59">
        <f t="shared" si="598"/>
        <v>0</v>
      </c>
      <c r="DN47" s="59">
        <f t="shared" si="598"/>
        <v>0</v>
      </c>
      <c r="DO47" s="59">
        <f t="shared" si="598"/>
        <v>0</v>
      </c>
      <c r="DP47" s="59">
        <f t="shared" si="598"/>
        <v>0</v>
      </c>
      <c r="DQ47" s="59">
        <f t="shared" si="598"/>
        <v>0</v>
      </c>
      <c r="DR47" s="59">
        <f t="shared" si="598"/>
        <v>0</v>
      </c>
      <c r="DS47" s="59">
        <f t="shared" si="598"/>
        <v>0</v>
      </c>
      <c r="DT47" s="59">
        <f t="shared" si="598"/>
        <v>0</v>
      </c>
      <c r="DU47" s="59">
        <f t="shared" si="598"/>
        <v>0</v>
      </c>
    </row>
    <row r="48" spans="1:125" ht="14.45" hidden="1" customHeight="1" outlineLevel="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18">
        <f t="shared" si="374"/>
        <v>0</v>
      </c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">
        <f t="shared" si="47"/>
        <v>0</v>
      </c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6"/>
      <c r="BQ48" s="106"/>
      <c r="BR48" s="118">
        <f t="shared" si="389"/>
        <v>0</v>
      </c>
      <c r="BS48" s="106"/>
      <c r="BT48" s="106"/>
      <c r="BU48" s="106"/>
      <c r="BV48" s="106"/>
      <c r="BW48" s="106"/>
      <c r="BX48" s="106"/>
      <c r="BY48" s="106"/>
      <c r="BZ48" s="106"/>
      <c r="CA48" s="106"/>
      <c r="CB48" s="106"/>
      <c r="CC48" s="106"/>
      <c r="CD48" s="106"/>
      <c r="CE48" s="106"/>
      <c r="CF48" s="22"/>
      <c r="CG48" s="106"/>
      <c r="CH48" s="106"/>
      <c r="CI48" s="106"/>
      <c r="CJ48" s="106"/>
      <c r="CK48" s="106"/>
      <c r="CL48" s="106"/>
      <c r="CM48" s="106"/>
      <c r="CN48" s="106"/>
      <c r="CO48" s="106"/>
      <c r="CP48" s="106"/>
      <c r="CQ48" s="106"/>
      <c r="CR48" s="106"/>
      <c r="CS48" s="106"/>
      <c r="CT48" s="10">
        <f t="shared" si="51"/>
        <v>0</v>
      </c>
      <c r="CU48" s="106"/>
      <c r="CV48" s="106"/>
      <c r="CW48" s="106"/>
      <c r="CX48" s="106"/>
      <c r="CY48" s="106"/>
      <c r="CZ48" s="106"/>
      <c r="DA48" s="106"/>
      <c r="DB48" s="106"/>
      <c r="DC48" s="106"/>
      <c r="DD48" s="106"/>
      <c r="DE48" s="106"/>
      <c r="DF48" s="106"/>
      <c r="DG48" s="106"/>
      <c r="DH48" s="118">
        <f t="shared" si="390"/>
        <v>0</v>
      </c>
      <c r="DI48" s="106"/>
      <c r="DJ48" s="106"/>
      <c r="DK48" s="106"/>
      <c r="DL48" s="106"/>
      <c r="DM48" s="106"/>
      <c r="DN48" s="106"/>
      <c r="DO48" s="106"/>
      <c r="DP48" s="106"/>
      <c r="DQ48" s="106"/>
      <c r="DR48" s="106"/>
      <c r="DS48" s="106"/>
      <c r="DT48" s="106"/>
      <c r="DU48" s="106"/>
    </row>
    <row r="49" spans="1:125" ht="14.45" hidden="1" customHeight="1" outlineLevel="1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5" t="s">
        <v>42</v>
      </c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18">
        <f t="shared" si="374"/>
        <v>0</v>
      </c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5" t="str">
        <f t="shared" si="47"/>
        <v>Accessceries and VAS</v>
      </c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118">
        <f t="shared" si="389"/>
        <v>0</v>
      </c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E49" s="106"/>
      <c r="CF49" s="22"/>
      <c r="CG49" s="106"/>
      <c r="CH49" s="106"/>
      <c r="CI49" s="106"/>
      <c r="CJ49" s="106"/>
      <c r="CK49" s="106"/>
      <c r="CL49" s="106"/>
      <c r="CM49" s="106"/>
      <c r="CN49" s="106"/>
      <c r="CO49" s="106"/>
      <c r="CP49" s="106"/>
      <c r="CQ49" s="106"/>
      <c r="CR49" s="106"/>
      <c r="CS49" s="106"/>
      <c r="CT49" s="5" t="str">
        <f t="shared" si="51"/>
        <v>Accessceries and VAS</v>
      </c>
      <c r="CU49" s="106"/>
      <c r="CV49" s="106"/>
      <c r="CW49" s="106"/>
      <c r="CX49" s="106"/>
      <c r="CY49" s="106"/>
      <c r="CZ49" s="106"/>
      <c r="DA49" s="106"/>
      <c r="DB49" s="106"/>
      <c r="DC49" s="106"/>
      <c r="DD49" s="106"/>
      <c r="DE49" s="106"/>
      <c r="DF49" s="106"/>
      <c r="DG49" s="106"/>
      <c r="DH49" s="118">
        <f t="shared" si="390"/>
        <v>0</v>
      </c>
      <c r="DI49" s="106"/>
      <c r="DJ49" s="106"/>
      <c r="DK49" s="106"/>
      <c r="DL49" s="106"/>
      <c r="DM49" s="106"/>
      <c r="DN49" s="106"/>
      <c r="DO49" s="106"/>
      <c r="DP49" s="106"/>
      <c r="DQ49" s="106"/>
      <c r="DR49" s="106"/>
      <c r="DS49" s="106"/>
      <c r="DT49" s="106"/>
      <c r="DU49" s="106"/>
    </row>
    <row r="50" spans="1:125" ht="14.45" hidden="1" customHeight="1" outlineLevel="1">
      <c r="A50" s="105">
        <f t="shared" ref="A50:A53" si="599">+AQ50+CG50</f>
        <v>0</v>
      </c>
      <c r="B50" s="105">
        <f t="shared" ref="B50:B53" si="600">+AR50+CH50</f>
        <v>0</v>
      </c>
      <c r="C50" s="105">
        <f t="shared" ref="C50:C53" si="601">+AS50+CI50</f>
        <v>0</v>
      </c>
      <c r="D50" s="105">
        <f t="shared" ref="D50:D53" si="602">+AT50+CJ50</f>
        <v>0</v>
      </c>
      <c r="E50" s="105">
        <f t="shared" ref="E50:E53" si="603">+AU50+CK50</f>
        <v>0</v>
      </c>
      <c r="F50" s="105">
        <f t="shared" ref="F50:F53" si="604">+AV50+CL50</f>
        <v>0</v>
      </c>
      <c r="G50" s="105">
        <f t="shared" ref="G50:G53" si="605">+AW50+CM50</f>
        <v>0</v>
      </c>
      <c r="H50" s="105">
        <f t="shared" ref="H50:H53" si="606">+AX50+CN50</f>
        <v>0</v>
      </c>
      <c r="I50" s="105">
        <f t="shared" ref="I50:I53" si="607">+AY50+CO50</f>
        <v>0</v>
      </c>
      <c r="J50" s="105">
        <f t="shared" ref="J50:J53" si="608">+AZ50+CP50</f>
        <v>0</v>
      </c>
      <c r="K50" s="105">
        <f t="shared" ref="K50:K53" si="609">+BA50+CQ50</f>
        <v>0</v>
      </c>
      <c r="L50" s="105">
        <f t="shared" ref="L50:L53" si="610">+BB50+CR50</f>
        <v>0</v>
      </c>
      <c r="M50" s="105">
        <f t="shared" ref="M50:M56" si="611">+SUM(A50:L50)</f>
        <v>0</v>
      </c>
      <c r="N50" s="13" t="s">
        <v>3</v>
      </c>
      <c r="O50" s="105">
        <f t="shared" ref="O50:O53" si="612">+BE50+CU50</f>
        <v>0</v>
      </c>
      <c r="P50" s="105">
        <f t="shared" ref="P50:P53" si="613">+BF50+CV50</f>
        <v>0</v>
      </c>
      <c r="Q50" s="105">
        <f t="shared" ref="Q50:Q53" si="614">+BG50+CW50</f>
        <v>0</v>
      </c>
      <c r="R50" s="105">
        <f t="shared" ref="R50:R53" si="615">+BH50+CX50</f>
        <v>0</v>
      </c>
      <c r="S50" s="105">
        <f t="shared" ref="S50:S53" si="616">+BI50+CY50</f>
        <v>0</v>
      </c>
      <c r="T50" s="105">
        <f t="shared" ref="T50:T53" si="617">+BJ50+CZ50</f>
        <v>0</v>
      </c>
      <c r="U50" s="105">
        <f t="shared" ref="U50:U53" si="618">+BK50+DA50</f>
        <v>0</v>
      </c>
      <c r="V50" s="105">
        <f t="shared" ref="V50:V53" si="619">+BL50+DB50</f>
        <v>0</v>
      </c>
      <c r="W50" s="105">
        <f t="shared" ref="W50:W53" si="620">+BM50+DC50</f>
        <v>0</v>
      </c>
      <c r="X50" s="105">
        <f t="shared" ref="X50:X53" si="621">+BN50+DD50</f>
        <v>0</v>
      </c>
      <c r="Y50" s="105">
        <f t="shared" ref="Y50:Y53" si="622">+BO50+DE50</f>
        <v>0</v>
      </c>
      <c r="Z50" s="105">
        <f t="shared" ref="Z50:Z53" si="623">+BP50+DF50</f>
        <v>0</v>
      </c>
      <c r="AA50" s="105">
        <f t="shared" ref="AA50:AA53" si="624">+SUM(O50:Z50)</f>
        <v>0</v>
      </c>
      <c r="AB50" s="118">
        <f t="shared" si="374"/>
        <v>0</v>
      </c>
      <c r="AC50" s="105">
        <f t="shared" ref="AC50:AC53" si="625">+BS50+DI50</f>
        <v>0</v>
      </c>
      <c r="AD50" s="105">
        <f t="shared" ref="AD50:AD53" si="626">+BT50+DJ50</f>
        <v>0</v>
      </c>
      <c r="AE50" s="105">
        <f t="shared" ref="AE50:AE53" si="627">+BU50+DK50</f>
        <v>0</v>
      </c>
      <c r="AF50" s="105">
        <f t="shared" ref="AF50:AF53" si="628">+BV50+DL50</f>
        <v>0</v>
      </c>
      <c r="AG50" s="105">
        <f t="shared" ref="AG50:AG53" si="629">+BW50+DM50</f>
        <v>0</v>
      </c>
      <c r="AH50" s="105">
        <f t="shared" ref="AH50:AH53" si="630">+BX50+DN50</f>
        <v>0</v>
      </c>
      <c r="AI50" s="105">
        <f t="shared" ref="AI50:AI53" si="631">+BY50+DO50</f>
        <v>0</v>
      </c>
      <c r="AJ50" s="105">
        <f t="shared" ref="AJ50:AJ53" si="632">+BZ50+DP50</f>
        <v>0</v>
      </c>
      <c r="AK50" s="105">
        <f t="shared" ref="AK50:AK53" si="633">+CA50+DQ50</f>
        <v>0</v>
      </c>
      <c r="AL50" s="105">
        <f t="shared" ref="AL50:AL53" si="634">+CB50+DR50</f>
        <v>0</v>
      </c>
      <c r="AM50" s="105">
        <f t="shared" ref="AM50:AM53" si="635">+CC50+DS50</f>
        <v>0</v>
      </c>
      <c r="AN50" s="105">
        <f t="shared" ref="AN50:AN53" si="636">+CD50+DT50</f>
        <v>0</v>
      </c>
      <c r="AO50" s="105">
        <f t="shared" ref="AO50:AO53" si="637">+SUM(AC50:AN50)</f>
        <v>0</v>
      </c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>
        <f>+SUM(AQ50:BB50)</f>
        <v>0</v>
      </c>
      <c r="BD50" s="13" t="str">
        <f t="shared" si="47"/>
        <v>No of Cars</v>
      </c>
      <c r="BE50" s="105">
        <f>+'Jan-25'!$B$50</f>
        <v>0</v>
      </c>
      <c r="BF50" s="105">
        <f>+'Feb-25'!$B$50</f>
        <v>0</v>
      </c>
      <c r="BG50" s="105">
        <f>+'Mar-25'!$B$50</f>
        <v>0</v>
      </c>
      <c r="BH50" s="105">
        <f>+'Apr-25'!$B$50</f>
        <v>0</v>
      </c>
      <c r="BI50" s="105">
        <f>+'May-25'!$B$50</f>
        <v>0</v>
      </c>
      <c r="BJ50" s="105">
        <f>+'June-25'!$B$50</f>
        <v>0</v>
      </c>
      <c r="BK50" s="105">
        <f>+'July-25'!$B$50</f>
        <v>0</v>
      </c>
      <c r="BL50" s="105">
        <f>+'Aug-25'!$B$50</f>
        <v>0</v>
      </c>
      <c r="BM50" s="105">
        <f>+'Sep-25'!$B$50</f>
        <v>0</v>
      </c>
      <c r="BN50" s="105">
        <f>+'Oct-25'!$B$50</f>
        <v>0</v>
      </c>
      <c r="BO50" s="105">
        <f>+'Nov-25'!$B$50</f>
        <v>0</v>
      </c>
      <c r="BP50" s="105">
        <f>+'Dec-25'!$B$50</f>
        <v>0</v>
      </c>
      <c r="BQ50" s="105">
        <f t="shared" ref="BQ50:BQ53" si="638">+SUM(BE50:BP50)</f>
        <v>0</v>
      </c>
      <c r="BR50" s="118">
        <f t="shared" si="389"/>
        <v>0</v>
      </c>
      <c r="BS50" s="105"/>
      <c r="BT50" s="105"/>
      <c r="BU50" s="105"/>
      <c r="BV50" s="105"/>
      <c r="BW50" s="105"/>
      <c r="BX50" s="105"/>
      <c r="BY50" s="105"/>
      <c r="BZ50" s="105"/>
      <c r="CA50" s="105"/>
      <c r="CB50" s="105"/>
      <c r="CC50" s="105"/>
      <c r="CD50" s="105"/>
      <c r="CE50" s="105"/>
      <c r="CF50" s="22"/>
      <c r="CG50" s="105"/>
      <c r="CH50" s="105"/>
      <c r="CI50" s="105"/>
      <c r="CJ50" s="105"/>
      <c r="CK50" s="105"/>
      <c r="CL50" s="105"/>
      <c r="CM50" s="105"/>
      <c r="CN50" s="105"/>
      <c r="CO50" s="105"/>
      <c r="CP50" s="105"/>
      <c r="CQ50" s="105"/>
      <c r="CR50" s="105"/>
      <c r="CS50" s="105">
        <f>+SUM(CG50:CR50)</f>
        <v>0</v>
      </c>
      <c r="CT50" s="13" t="str">
        <f t="shared" si="51"/>
        <v>No of Cars</v>
      </c>
      <c r="CU50" s="105">
        <f>+'Jan-25'!$F$50</f>
        <v>0</v>
      </c>
      <c r="CV50" s="105">
        <f>+'Feb-25'!$F$50</f>
        <v>0</v>
      </c>
      <c r="CW50" s="105">
        <f>+'Mar-25'!$F$50</f>
        <v>0</v>
      </c>
      <c r="CX50" s="105">
        <f>+'Apr-25'!$F$50</f>
        <v>0</v>
      </c>
      <c r="CY50" s="105">
        <f>+'May-25'!$F$50</f>
        <v>0</v>
      </c>
      <c r="CZ50" s="105">
        <f>+'June-25'!$F$50</f>
        <v>0</v>
      </c>
      <c r="DA50" s="105">
        <f>+'July-25'!$F$50</f>
        <v>0</v>
      </c>
      <c r="DB50" s="105">
        <f>+'Aug-25'!$F$50</f>
        <v>0</v>
      </c>
      <c r="DC50" s="105">
        <f>+'Sep-25'!$F$50</f>
        <v>0</v>
      </c>
      <c r="DD50" s="105">
        <f>+'Oct-25'!$F$50</f>
        <v>0</v>
      </c>
      <c r="DE50" s="105">
        <f>+'Nov-25'!$F$50</f>
        <v>0</v>
      </c>
      <c r="DF50" s="105">
        <f>+'Dec-25'!$F$50</f>
        <v>0</v>
      </c>
      <c r="DG50" s="105">
        <f>+SUM(CU50:DF50)</f>
        <v>0</v>
      </c>
      <c r="DH50" s="118">
        <f t="shared" si="390"/>
        <v>0</v>
      </c>
      <c r="DI50" s="105"/>
      <c r="DJ50" s="105"/>
      <c r="DK50" s="105"/>
      <c r="DL50" s="105"/>
      <c r="DM50" s="105"/>
      <c r="DN50" s="105"/>
      <c r="DO50" s="105"/>
      <c r="DP50" s="105"/>
      <c r="DQ50" s="105"/>
      <c r="DR50" s="105"/>
      <c r="DS50" s="105"/>
      <c r="DT50" s="105"/>
      <c r="DU50" s="105">
        <f>+SUM(DI50:DT50)</f>
        <v>0</v>
      </c>
    </row>
    <row r="51" spans="1:125" ht="14.45" hidden="1" customHeight="1" outlineLevel="1">
      <c r="A51" s="106">
        <f t="shared" si="599"/>
        <v>0</v>
      </c>
      <c r="B51" s="106">
        <f t="shared" si="600"/>
        <v>0</v>
      </c>
      <c r="C51" s="106">
        <f t="shared" si="601"/>
        <v>0</v>
      </c>
      <c r="D51" s="106">
        <f t="shared" si="602"/>
        <v>0</v>
      </c>
      <c r="E51" s="106">
        <f t="shared" si="603"/>
        <v>0</v>
      </c>
      <c r="F51" s="106">
        <f t="shared" si="604"/>
        <v>0</v>
      </c>
      <c r="G51" s="106">
        <f t="shared" si="605"/>
        <v>0</v>
      </c>
      <c r="H51" s="106">
        <f t="shared" si="606"/>
        <v>0</v>
      </c>
      <c r="I51" s="106">
        <f t="shared" si="607"/>
        <v>0</v>
      </c>
      <c r="J51" s="106">
        <f t="shared" si="608"/>
        <v>0</v>
      </c>
      <c r="K51" s="106">
        <f t="shared" si="609"/>
        <v>0</v>
      </c>
      <c r="L51" s="106">
        <f t="shared" si="610"/>
        <v>0</v>
      </c>
      <c r="M51" s="106">
        <f t="shared" si="611"/>
        <v>0</v>
      </c>
      <c r="N51" s="7" t="s">
        <v>43</v>
      </c>
      <c r="O51" s="106">
        <f t="shared" si="612"/>
        <v>0</v>
      </c>
      <c r="P51" s="106">
        <f t="shared" si="613"/>
        <v>0</v>
      </c>
      <c r="Q51" s="106">
        <f t="shared" si="614"/>
        <v>0</v>
      </c>
      <c r="R51" s="106">
        <f t="shared" si="615"/>
        <v>0</v>
      </c>
      <c r="S51" s="106">
        <f t="shared" si="616"/>
        <v>0</v>
      </c>
      <c r="T51" s="106">
        <f t="shared" si="617"/>
        <v>0</v>
      </c>
      <c r="U51" s="106">
        <f t="shared" si="618"/>
        <v>0</v>
      </c>
      <c r="V51" s="106">
        <f t="shared" si="619"/>
        <v>0</v>
      </c>
      <c r="W51" s="106">
        <f t="shared" si="620"/>
        <v>0</v>
      </c>
      <c r="X51" s="106">
        <f t="shared" si="621"/>
        <v>0</v>
      </c>
      <c r="Y51" s="106">
        <f t="shared" si="622"/>
        <v>0</v>
      </c>
      <c r="Z51" s="106">
        <f t="shared" si="623"/>
        <v>0</v>
      </c>
      <c r="AA51" s="106">
        <f t="shared" si="624"/>
        <v>0</v>
      </c>
      <c r="AB51" s="118">
        <f t="shared" si="374"/>
        <v>0</v>
      </c>
      <c r="AC51" s="106">
        <f t="shared" si="625"/>
        <v>0</v>
      </c>
      <c r="AD51" s="106">
        <f t="shared" si="626"/>
        <v>0</v>
      </c>
      <c r="AE51" s="106">
        <f t="shared" si="627"/>
        <v>0</v>
      </c>
      <c r="AF51" s="106">
        <f t="shared" si="628"/>
        <v>0</v>
      </c>
      <c r="AG51" s="106">
        <f t="shared" si="629"/>
        <v>0</v>
      </c>
      <c r="AH51" s="106">
        <f t="shared" si="630"/>
        <v>0</v>
      </c>
      <c r="AI51" s="106">
        <f t="shared" si="631"/>
        <v>0</v>
      </c>
      <c r="AJ51" s="106">
        <f t="shared" si="632"/>
        <v>0</v>
      </c>
      <c r="AK51" s="106">
        <f t="shared" si="633"/>
        <v>0</v>
      </c>
      <c r="AL51" s="106">
        <f t="shared" si="634"/>
        <v>0</v>
      </c>
      <c r="AM51" s="106">
        <f t="shared" si="635"/>
        <v>0</v>
      </c>
      <c r="AN51" s="106">
        <f t="shared" si="636"/>
        <v>0</v>
      </c>
      <c r="AO51" s="106">
        <f t="shared" si="637"/>
        <v>0</v>
      </c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>
        <f t="shared" ref="BC51:BC53" si="639">+SUM(AQ51:BB51)</f>
        <v>0</v>
      </c>
      <c r="BD51" s="7" t="str">
        <f t="shared" si="47"/>
        <v>Sale Revenue Accsories &amp; Boutiques</v>
      </c>
      <c r="BE51" s="106">
        <f>+VLOOKUP($BD51,'Jan-25'!$A:$J,2,0)</f>
        <v>0</v>
      </c>
      <c r="BF51" s="106">
        <f>+VLOOKUP($BD51,'Feb-25'!$A:$J,2,0)</f>
        <v>0</v>
      </c>
      <c r="BG51" s="106">
        <f>+VLOOKUP($BD51,'Mar-25'!$A:$J,2,0)</f>
        <v>0</v>
      </c>
      <c r="BH51" s="106">
        <f>+VLOOKUP($BD51,'Apr-25'!$A:$J,2,0)</f>
        <v>0</v>
      </c>
      <c r="BI51" s="106">
        <f>+VLOOKUP($BD51,'May-25'!$A:$J,2,0)</f>
        <v>0</v>
      </c>
      <c r="BJ51" s="106">
        <f>+VLOOKUP($BD51,'June-25'!$A:$J,2,0)</f>
        <v>0</v>
      </c>
      <c r="BK51" s="106">
        <f>+VLOOKUP($BD51,'July-25'!$A:$J,2,0)</f>
        <v>0</v>
      </c>
      <c r="BL51" s="106">
        <f>+VLOOKUP($BD51,'Aug-25'!$A:$J,2,0)</f>
        <v>0</v>
      </c>
      <c r="BM51" s="106">
        <f>+VLOOKUP($BD51,'Sep-25'!$A:$J,2,0)</f>
        <v>0</v>
      </c>
      <c r="BN51" s="106">
        <f>+VLOOKUP($BD51,'Oct-25'!$A:$J,2,0)</f>
        <v>0</v>
      </c>
      <c r="BO51" s="106">
        <f>+VLOOKUP($BD51,'Nov-25'!$A:$J,2,0)</f>
        <v>0</v>
      </c>
      <c r="BP51" s="106">
        <f>+VLOOKUP($BD51,'Dec-25'!$A:$J,2,0)</f>
        <v>0</v>
      </c>
      <c r="BQ51" s="106">
        <f t="shared" si="638"/>
        <v>0</v>
      </c>
      <c r="BR51" s="118">
        <f t="shared" si="389"/>
        <v>0</v>
      </c>
      <c r="BS51" s="106"/>
      <c r="BT51" s="106"/>
      <c r="BU51" s="106"/>
      <c r="BV51" s="106"/>
      <c r="BW51" s="106"/>
      <c r="BX51" s="106"/>
      <c r="BY51" s="106"/>
      <c r="BZ51" s="106"/>
      <c r="CA51" s="106"/>
      <c r="CB51" s="106"/>
      <c r="CC51" s="106"/>
      <c r="CD51" s="106"/>
      <c r="CE51" s="106"/>
      <c r="CF51" s="22"/>
      <c r="CG51" s="106"/>
      <c r="CH51" s="106"/>
      <c r="CI51" s="106"/>
      <c r="CJ51" s="106"/>
      <c r="CK51" s="106"/>
      <c r="CL51" s="106"/>
      <c r="CM51" s="106"/>
      <c r="CN51" s="106"/>
      <c r="CO51" s="106"/>
      <c r="CP51" s="106"/>
      <c r="CQ51" s="106"/>
      <c r="CR51" s="106"/>
      <c r="CS51" s="106">
        <f t="shared" ref="CS51:CS53" si="640">+SUM(CG51:CR51)</f>
        <v>0</v>
      </c>
      <c r="CT51" s="7" t="str">
        <f t="shared" si="51"/>
        <v>Sale Revenue Accsories &amp; Boutiques</v>
      </c>
      <c r="CU51" s="106">
        <f>+VLOOKUP($BD51,'Jan-25'!$A:$J,6,0)</f>
        <v>0</v>
      </c>
      <c r="CV51" s="106">
        <f>+VLOOKUP($BD51,'Feb-25'!$A:$J,6,0)</f>
        <v>0</v>
      </c>
      <c r="CW51" s="106">
        <f>+VLOOKUP($BD51,'Mar-25'!$A:$J,6,0)</f>
        <v>0</v>
      </c>
      <c r="CX51" s="106">
        <f>+VLOOKUP($BD51,'Apr-25'!$A:$J,6,0)</f>
        <v>0</v>
      </c>
      <c r="CY51" s="106">
        <f>+VLOOKUP($BD51,'May-25'!$A:$J,6,0)</f>
        <v>0</v>
      </c>
      <c r="CZ51" s="106">
        <f>+VLOOKUP($BD51,'June-25'!$A:$J,6,0)</f>
        <v>0</v>
      </c>
      <c r="DA51" s="106">
        <f>+VLOOKUP($BD51,'July-25'!$A:$J,6,0)</f>
        <v>0</v>
      </c>
      <c r="DB51" s="106">
        <f>+VLOOKUP($BD51,'Aug-25'!$A:$J,6,0)</f>
        <v>0</v>
      </c>
      <c r="DC51" s="106">
        <f>+VLOOKUP($BD51,'Sep-25'!$A:$J,6,0)</f>
        <v>0</v>
      </c>
      <c r="DD51" s="106">
        <f>+VLOOKUP($BD51,'Oct-25'!$A:$J,6,0)</f>
        <v>0</v>
      </c>
      <c r="DE51" s="106">
        <f>+VLOOKUP($BD51,'Nov-25'!$A:$J,6,0)</f>
        <v>0</v>
      </c>
      <c r="DF51" s="106">
        <f>+VLOOKUP($BD51,'Dec-25'!$A:$J,6,0)</f>
        <v>0</v>
      </c>
      <c r="DG51" s="106">
        <f t="shared" ref="DG51:DG53" si="641">+SUM(CU51:DF51)</f>
        <v>0</v>
      </c>
      <c r="DH51" s="118">
        <f t="shared" si="390"/>
        <v>0</v>
      </c>
      <c r="DI51" s="106"/>
      <c r="DJ51" s="106"/>
      <c r="DK51" s="106"/>
      <c r="DL51" s="106"/>
      <c r="DM51" s="106"/>
      <c r="DN51" s="106"/>
      <c r="DO51" s="106"/>
      <c r="DP51" s="106"/>
      <c r="DQ51" s="106"/>
      <c r="DR51" s="106"/>
      <c r="DS51" s="106"/>
      <c r="DT51" s="106"/>
      <c r="DU51" s="106">
        <f t="shared" ref="DU51:DU53" si="642">+SUM(DI51:DT51)</f>
        <v>0</v>
      </c>
    </row>
    <row r="52" spans="1:125" ht="14.45" hidden="1" customHeight="1" outlineLevel="1">
      <c r="A52" s="106">
        <f t="shared" si="599"/>
        <v>0</v>
      </c>
      <c r="B52" s="106">
        <f t="shared" si="600"/>
        <v>0</v>
      </c>
      <c r="C52" s="106">
        <f t="shared" si="601"/>
        <v>0</v>
      </c>
      <c r="D52" s="106">
        <f t="shared" si="602"/>
        <v>0</v>
      </c>
      <c r="E52" s="106">
        <f t="shared" si="603"/>
        <v>0</v>
      </c>
      <c r="F52" s="106">
        <f t="shared" si="604"/>
        <v>0</v>
      </c>
      <c r="G52" s="106">
        <f t="shared" si="605"/>
        <v>0</v>
      </c>
      <c r="H52" s="106">
        <f t="shared" si="606"/>
        <v>0</v>
      </c>
      <c r="I52" s="106">
        <f t="shared" si="607"/>
        <v>0</v>
      </c>
      <c r="J52" s="106">
        <f t="shared" si="608"/>
        <v>0</v>
      </c>
      <c r="K52" s="106">
        <f t="shared" si="609"/>
        <v>0</v>
      </c>
      <c r="L52" s="106">
        <f t="shared" si="610"/>
        <v>0</v>
      </c>
      <c r="M52" s="106">
        <f t="shared" si="611"/>
        <v>0</v>
      </c>
      <c r="N52" s="10" t="s">
        <v>30</v>
      </c>
      <c r="O52" s="106">
        <f t="shared" si="612"/>
        <v>0</v>
      </c>
      <c r="P52" s="106">
        <f t="shared" si="613"/>
        <v>0</v>
      </c>
      <c r="Q52" s="106">
        <f t="shared" si="614"/>
        <v>0</v>
      </c>
      <c r="R52" s="106">
        <f t="shared" si="615"/>
        <v>0</v>
      </c>
      <c r="S52" s="106">
        <f t="shared" si="616"/>
        <v>0</v>
      </c>
      <c r="T52" s="106">
        <f t="shared" si="617"/>
        <v>0</v>
      </c>
      <c r="U52" s="106">
        <f t="shared" si="618"/>
        <v>0</v>
      </c>
      <c r="V52" s="106">
        <f t="shared" si="619"/>
        <v>0</v>
      </c>
      <c r="W52" s="106">
        <f t="shared" si="620"/>
        <v>0</v>
      </c>
      <c r="X52" s="106">
        <f t="shared" si="621"/>
        <v>0</v>
      </c>
      <c r="Y52" s="106">
        <f t="shared" si="622"/>
        <v>0</v>
      </c>
      <c r="Z52" s="106">
        <f t="shared" si="623"/>
        <v>0</v>
      </c>
      <c r="AA52" s="106">
        <f t="shared" si="624"/>
        <v>0</v>
      </c>
      <c r="AB52" s="118">
        <f t="shared" si="374"/>
        <v>0</v>
      </c>
      <c r="AC52" s="106">
        <f t="shared" si="625"/>
        <v>0</v>
      </c>
      <c r="AD52" s="106">
        <f t="shared" si="626"/>
        <v>0</v>
      </c>
      <c r="AE52" s="106">
        <f t="shared" si="627"/>
        <v>0</v>
      </c>
      <c r="AF52" s="106">
        <f t="shared" si="628"/>
        <v>0</v>
      </c>
      <c r="AG52" s="106">
        <f t="shared" si="629"/>
        <v>0</v>
      </c>
      <c r="AH52" s="106">
        <f t="shared" si="630"/>
        <v>0</v>
      </c>
      <c r="AI52" s="106">
        <f t="shared" si="631"/>
        <v>0</v>
      </c>
      <c r="AJ52" s="106">
        <f t="shared" si="632"/>
        <v>0</v>
      </c>
      <c r="AK52" s="106">
        <f t="shared" si="633"/>
        <v>0</v>
      </c>
      <c r="AL52" s="106">
        <f t="shared" si="634"/>
        <v>0</v>
      </c>
      <c r="AM52" s="106">
        <f t="shared" si="635"/>
        <v>0</v>
      </c>
      <c r="AN52" s="106">
        <f t="shared" si="636"/>
        <v>0</v>
      </c>
      <c r="AO52" s="106">
        <f t="shared" si="637"/>
        <v>0</v>
      </c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>
        <f t="shared" si="639"/>
        <v>0</v>
      </c>
      <c r="BD52" s="10" t="str">
        <f t="shared" si="47"/>
        <v>Internal Sales</v>
      </c>
      <c r="BE52" s="106">
        <f>+'Jan-25'!B52</f>
        <v>0</v>
      </c>
      <c r="BF52" s="106">
        <f>+'Feb-25'!B52</f>
        <v>0</v>
      </c>
      <c r="BG52" s="106">
        <f>+'Mar-25'!B52</f>
        <v>0</v>
      </c>
      <c r="BH52" s="106">
        <f>+'Apr-25'!B52</f>
        <v>0</v>
      </c>
      <c r="BI52" s="106">
        <f>+'May-25'!B52</f>
        <v>0</v>
      </c>
      <c r="BJ52" s="106">
        <f>+'June-25'!B52</f>
        <v>0</v>
      </c>
      <c r="BK52" s="106">
        <f>+'July-25'!B52</f>
        <v>0</v>
      </c>
      <c r="BL52" s="106">
        <f>+'Aug-25'!B52</f>
        <v>0</v>
      </c>
      <c r="BM52" s="106">
        <f>+'Sep-25'!B52</f>
        <v>0</v>
      </c>
      <c r="BN52" s="106">
        <f>+'Oct-25'!B52</f>
        <v>0</v>
      </c>
      <c r="BO52" s="106">
        <f>+'Nov-25'!B52</f>
        <v>0</v>
      </c>
      <c r="BP52" s="106">
        <f>+'Dec-25'!B52</f>
        <v>0</v>
      </c>
      <c r="BQ52" s="106">
        <f t="shared" si="638"/>
        <v>0</v>
      </c>
      <c r="BR52" s="118">
        <f t="shared" si="389"/>
        <v>0</v>
      </c>
      <c r="BS52" s="106"/>
      <c r="BT52" s="106"/>
      <c r="BU52" s="106"/>
      <c r="BV52" s="106"/>
      <c r="BW52" s="106"/>
      <c r="BX52" s="106"/>
      <c r="BY52" s="106"/>
      <c r="BZ52" s="106"/>
      <c r="CA52" s="106"/>
      <c r="CB52" s="106"/>
      <c r="CC52" s="106"/>
      <c r="CD52" s="106"/>
      <c r="CE52" s="106"/>
      <c r="CF52" s="22"/>
      <c r="CG52" s="106"/>
      <c r="CH52" s="106"/>
      <c r="CI52" s="106"/>
      <c r="CJ52" s="106"/>
      <c r="CK52" s="106"/>
      <c r="CL52" s="106"/>
      <c r="CM52" s="106"/>
      <c r="CN52" s="106"/>
      <c r="CO52" s="106"/>
      <c r="CP52" s="106"/>
      <c r="CQ52" s="106"/>
      <c r="CR52" s="106"/>
      <c r="CS52" s="106">
        <f t="shared" si="640"/>
        <v>0</v>
      </c>
      <c r="CT52" s="10" t="str">
        <f t="shared" si="51"/>
        <v>Internal Sales</v>
      </c>
      <c r="CU52" s="106">
        <f>+'Jan-25'!F52</f>
        <v>0</v>
      </c>
      <c r="CV52" s="106">
        <f>+'Feb-25'!F52</f>
        <v>0</v>
      </c>
      <c r="CW52" s="106">
        <f>+'Mar-25'!F52</f>
        <v>0</v>
      </c>
      <c r="CX52" s="106">
        <f>+'Apr-25'!F52</f>
        <v>0</v>
      </c>
      <c r="CY52" s="106">
        <f>+'May-25'!F52</f>
        <v>0</v>
      </c>
      <c r="CZ52" s="106">
        <f>+'June-25'!F52</f>
        <v>0</v>
      </c>
      <c r="DA52" s="106">
        <f>+'July-25'!F52</f>
        <v>0</v>
      </c>
      <c r="DB52" s="106">
        <f>+'Aug-25'!F52</f>
        <v>0</v>
      </c>
      <c r="DC52" s="106">
        <f>+'Sep-25'!F52</f>
        <v>0</v>
      </c>
      <c r="DD52" s="106">
        <f>+'Oct-25'!F52</f>
        <v>0</v>
      </c>
      <c r="DE52" s="106">
        <f>+'Nov-25'!F52</f>
        <v>0</v>
      </c>
      <c r="DF52" s="106">
        <f>+'Dec-25'!F52</f>
        <v>0</v>
      </c>
      <c r="DG52" s="106">
        <f t="shared" si="641"/>
        <v>0</v>
      </c>
      <c r="DH52" s="118">
        <f t="shared" si="390"/>
        <v>0</v>
      </c>
      <c r="DI52" s="106"/>
      <c r="DJ52" s="106"/>
      <c r="DK52" s="106"/>
      <c r="DL52" s="106"/>
      <c r="DM52" s="106"/>
      <c r="DN52" s="106"/>
      <c r="DO52" s="106"/>
      <c r="DP52" s="106"/>
      <c r="DQ52" s="106"/>
      <c r="DR52" s="106"/>
      <c r="DS52" s="106"/>
      <c r="DT52" s="106"/>
      <c r="DU52" s="106">
        <f t="shared" si="642"/>
        <v>0</v>
      </c>
    </row>
    <row r="53" spans="1:125" ht="14.45" hidden="1" customHeight="1" outlineLevel="1">
      <c r="A53" s="106">
        <f t="shared" si="599"/>
        <v>0</v>
      </c>
      <c r="B53" s="106">
        <f t="shared" si="600"/>
        <v>0</v>
      </c>
      <c r="C53" s="106">
        <f t="shared" si="601"/>
        <v>0</v>
      </c>
      <c r="D53" s="106">
        <f t="shared" si="602"/>
        <v>0</v>
      </c>
      <c r="E53" s="106">
        <f t="shared" si="603"/>
        <v>0</v>
      </c>
      <c r="F53" s="106">
        <f t="shared" si="604"/>
        <v>0</v>
      </c>
      <c r="G53" s="106">
        <f t="shared" si="605"/>
        <v>0</v>
      </c>
      <c r="H53" s="106">
        <f t="shared" si="606"/>
        <v>0</v>
      </c>
      <c r="I53" s="106">
        <f t="shared" si="607"/>
        <v>0</v>
      </c>
      <c r="J53" s="106">
        <f t="shared" si="608"/>
        <v>0</v>
      </c>
      <c r="K53" s="106">
        <f t="shared" si="609"/>
        <v>0</v>
      </c>
      <c r="L53" s="106">
        <f t="shared" si="610"/>
        <v>0</v>
      </c>
      <c r="M53" s="106">
        <f t="shared" si="611"/>
        <v>0</v>
      </c>
      <c r="N53" s="10" t="s">
        <v>33</v>
      </c>
      <c r="O53" s="106">
        <f t="shared" si="612"/>
        <v>0</v>
      </c>
      <c r="P53" s="106">
        <f t="shared" si="613"/>
        <v>0</v>
      </c>
      <c r="Q53" s="106">
        <f t="shared" si="614"/>
        <v>0</v>
      </c>
      <c r="R53" s="106">
        <f t="shared" si="615"/>
        <v>0</v>
      </c>
      <c r="S53" s="106">
        <f t="shared" si="616"/>
        <v>0</v>
      </c>
      <c r="T53" s="106">
        <f t="shared" si="617"/>
        <v>0</v>
      </c>
      <c r="U53" s="106">
        <f t="shared" si="618"/>
        <v>0</v>
      </c>
      <c r="V53" s="106">
        <f t="shared" si="619"/>
        <v>0</v>
      </c>
      <c r="W53" s="106">
        <f t="shared" si="620"/>
        <v>0</v>
      </c>
      <c r="X53" s="106">
        <f t="shared" si="621"/>
        <v>0</v>
      </c>
      <c r="Y53" s="106">
        <f t="shared" si="622"/>
        <v>0</v>
      </c>
      <c r="Z53" s="106">
        <f t="shared" si="623"/>
        <v>0</v>
      </c>
      <c r="AA53" s="106">
        <f t="shared" si="624"/>
        <v>0</v>
      </c>
      <c r="AB53" s="118">
        <f t="shared" si="374"/>
        <v>0</v>
      </c>
      <c r="AC53" s="106">
        <f t="shared" si="625"/>
        <v>0</v>
      </c>
      <c r="AD53" s="106">
        <f t="shared" si="626"/>
        <v>0</v>
      </c>
      <c r="AE53" s="106">
        <f t="shared" si="627"/>
        <v>0</v>
      </c>
      <c r="AF53" s="106">
        <f t="shared" si="628"/>
        <v>0</v>
      </c>
      <c r="AG53" s="106">
        <f t="shared" si="629"/>
        <v>0</v>
      </c>
      <c r="AH53" s="106">
        <f t="shared" si="630"/>
        <v>0</v>
      </c>
      <c r="AI53" s="106">
        <f t="shared" si="631"/>
        <v>0</v>
      </c>
      <c r="AJ53" s="106">
        <f t="shared" si="632"/>
        <v>0</v>
      </c>
      <c r="AK53" s="106">
        <f t="shared" si="633"/>
        <v>0</v>
      </c>
      <c r="AL53" s="106">
        <f t="shared" si="634"/>
        <v>0</v>
      </c>
      <c r="AM53" s="106">
        <f t="shared" si="635"/>
        <v>0</v>
      </c>
      <c r="AN53" s="106">
        <f t="shared" si="636"/>
        <v>0</v>
      </c>
      <c r="AO53" s="106">
        <f t="shared" si="637"/>
        <v>0</v>
      </c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>
        <f t="shared" si="639"/>
        <v>0</v>
      </c>
      <c r="BD53" s="10" t="str">
        <f t="shared" si="47"/>
        <v>Cost of Good sold</v>
      </c>
      <c r="BE53" s="106">
        <f>+'Jan-25'!B53</f>
        <v>0</v>
      </c>
      <c r="BF53" s="106">
        <f>+'Feb-25'!B53</f>
        <v>0</v>
      </c>
      <c r="BG53" s="106">
        <f>+'Mar-25'!B53</f>
        <v>0</v>
      </c>
      <c r="BH53" s="106">
        <f>+'Apr-25'!B53</f>
        <v>0</v>
      </c>
      <c r="BI53" s="106">
        <f>+'May-25'!B53</f>
        <v>0</v>
      </c>
      <c r="BJ53" s="106">
        <f>+'June-25'!B53</f>
        <v>0</v>
      </c>
      <c r="BK53" s="106">
        <f>+'July-25'!B53</f>
        <v>0</v>
      </c>
      <c r="BL53" s="106">
        <f>+'Aug-25'!B53</f>
        <v>0</v>
      </c>
      <c r="BM53" s="106">
        <f>+'Sep-25'!B53</f>
        <v>0</v>
      </c>
      <c r="BN53" s="106">
        <f>+'Oct-25'!B53</f>
        <v>0</v>
      </c>
      <c r="BO53" s="106">
        <f>+'Nov-25'!B53</f>
        <v>0</v>
      </c>
      <c r="BP53" s="106">
        <f>+'Dec-25'!B53</f>
        <v>0</v>
      </c>
      <c r="BQ53" s="106">
        <f t="shared" si="638"/>
        <v>0</v>
      </c>
      <c r="BR53" s="118">
        <f t="shared" si="389"/>
        <v>0</v>
      </c>
      <c r="BS53" s="106"/>
      <c r="BT53" s="106"/>
      <c r="BU53" s="106"/>
      <c r="BV53" s="106"/>
      <c r="BW53" s="106"/>
      <c r="BX53" s="106"/>
      <c r="BY53" s="106"/>
      <c r="BZ53" s="106"/>
      <c r="CA53" s="106"/>
      <c r="CB53" s="106"/>
      <c r="CC53" s="106"/>
      <c r="CD53" s="106"/>
      <c r="CE53" s="106"/>
      <c r="CF53" s="22"/>
      <c r="CG53" s="106"/>
      <c r="CH53" s="106"/>
      <c r="CI53" s="106"/>
      <c r="CJ53" s="106"/>
      <c r="CK53" s="106"/>
      <c r="CL53" s="106"/>
      <c r="CM53" s="106"/>
      <c r="CN53" s="106"/>
      <c r="CO53" s="106"/>
      <c r="CP53" s="106"/>
      <c r="CQ53" s="106"/>
      <c r="CR53" s="106"/>
      <c r="CS53" s="106">
        <f t="shared" si="640"/>
        <v>0</v>
      </c>
      <c r="CT53" s="10" t="str">
        <f t="shared" si="51"/>
        <v>Cost of Good sold</v>
      </c>
      <c r="CU53" s="106">
        <f>+'Jan-25'!F53</f>
        <v>0</v>
      </c>
      <c r="CV53" s="106">
        <f>+'Feb-25'!F53</f>
        <v>0</v>
      </c>
      <c r="CW53" s="106">
        <f>+'Mar-25'!F53</f>
        <v>0</v>
      </c>
      <c r="CX53" s="106">
        <f>+'Apr-25'!F53</f>
        <v>0</v>
      </c>
      <c r="CY53" s="106">
        <f>+'May-25'!F53</f>
        <v>0</v>
      </c>
      <c r="CZ53" s="106">
        <f>+'June-25'!F53</f>
        <v>0</v>
      </c>
      <c r="DA53" s="106">
        <f>+'July-25'!F53</f>
        <v>0</v>
      </c>
      <c r="DB53" s="106">
        <f>+'Aug-25'!F53</f>
        <v>0</v>
      </c>
      <c r="DC53" s="106">
        <f>+'Sep-25'!F53</f>
        <v>0</v>
      </c>
      <c r="DD53" s="106">
        <f>+'Oct-25'!F53</f>
        <v>0</v>
      </c>
      <c r="DE53" s="106">
        <f>+'Nov-25'!F53</f>
        <v>0</v>
      </c>
      <c r="DF53" s="106">
        <f>+'Dec-25'!F53</f>
        <v>0</v>
      </c>
      <c r="DG53" s="106">
        <f t="shared" si="641"/>
        <v>0</v>
      </c>
      <c r="DH53" s="118">
        <f t="shared" si="390"/>
        <v>0</v>
      </c>
      <c r="DI53" s="106"/>
      <c r="DJ53" s="106"/>
      <c r="DK53" s="106"/>
      <c r="DL53" s="106"/>
      <c r="DM53" s="106"/>
      <c r="DN53" s="106"/>
      <c r="DO53" s="106"/>
      <c r="DP53" s="106"/>
      <c r="DQ53" s="106"/>
      <c r="DR53" s="106"/>
      <c r="DS53" s="106"/>
      <c r="DT53" s="106"/>
      <c r="DU53" s="106">
        <f t="shared" si="642"/>
        <v>0</v>
      </c>
    </row>
    <row r="54" spans="1:125" ht="14.45" hidden="1" customHeight="1" outlineLevel="1">
      <c r="A54" s="58">
        <f>+A51+A52-A53</f>
        <v>0</v>
      </c>
      <c r="B54" s="58">
        <f t="shared" ref="B54:M54" si="643">+B51+B52-B53</f>
        <v>0</v>
      </c>
      <c r="C54" s="58">
        <f t="shared" si="643"/>
        <v>0</v>
      </c>
      <c r="D54" s="58">
        <f t="shared" si="643"/>
        <v>0</v>
      </c>
      <c r="E54" s="58">
        <f t="shared" si="643"/>
        <v>0</v>
      </c>
      <c r="F54" s="58">
        <f t="shared" si="643"/>
        <v>0</v>
      </c>
      <c r="G54" s="58">
        <f t="shared" si="643"/>
        <v>0</v>
      </c>
      <c r="H54" s="58">
        <f t="shared" si="643"/>
        <v>0</v>
      </c>
      <c r="I54" s="58">
        <f t="shared" si="643"/>
        <v>0</v>
      </c>
      <c r="J54" s="58">
        <f t="shared" si="643"/>
        <v>0</v>
      </c>
      <c r="K54" s="58">
        <f t="shared" si="643"/>
        <v>0</v>
      </c>
      <c r="L54" s="58">
        <f t="shared" si="643"/>
        <v>0</v>
      </c>
      <c r="M54" s="58">
        <f t="shared" si="643"/>
        <v>0</v>
      </c>
      <c r="N54" s="10" t="s">
        <v>20</v>
      </c>
      <c r="O54" s="58">
        <f>+O51+O52-O53</f>
        <v>0</v>
      </c>
      <c r="P54" s="58">
        <f t="shared" ref="P54" si="644">+P51+P52-P53</f>
        <v>0</v>
      </c>
      <c r="Q54" s="58">
        <f t="shared" ref="Q54" si="645">+Q51+Q52-Q53</f>
        <v>0</v>
      </c>
      <c r="R54" s="58">
        <f t="shared" ref="R54" si="646">+R51+R52-R53</f>
        <v>0</v>
      </c>
      <c r="S54" s="58">
        <f t="shared" ref="S54" si="647">+S51+S52-S53</f>
        <v>0</v>
      </c>
      <c r="T54" s="58">
        <f t="shared" ref="T54" si="648">+T51+T52-T53</f>
        <v>0</v>
      </c>
      <c r="U54" s="58">
        <f t="shared" ref="U54" si="649">+U51+U52-U53</f>
        <v>0</v>
      </c>
      <c r="V54" s="58">
        <f t="shared" ref="V54" si="650">+V51+V52-V53</f>
        <v>0</v>
      </c>
      <c r="W54" s="58">
        <f t="shared" ref="W54" si="651">+W51+W52-W53</f>
        <v>0</v>
      </c>
      <c r="X54" s="58">
        <f t="shared" ref="X54" si="652">+X51+X52-X53</f>
        <v>0</v>
      </c>
      <c r="Y54" s="58">
        <f t="shared" ref="Y54" si="653">+Y51+Y52-Y53</f>
        <v>0</v>
      </c>
      <c r="Z54" s="58">
        <f t="shared" ref="Z54" si="654">+Z51+Z52-Z53</f>
        <v>0</v>
      </c>
      <c r="AA54" s="58">
        <f t="shared" ref="AA54" si="655">+AA51+AA52-AA53</f>
        <v>0</v>
      </c>
      <c r="AB54" s="118">
        <f t="shared" si="374"/>
        <v>0</v>
      </c>
      <c r="AC54" s="58">
        <f>+AC51+AC52-AC53</f>
        <v>0</v>
      </c>
      <c r="AD54" s="58">
        <f t="shared" ref="AD54" si="656">+AD51+AD52-AD53</f>
        <v>0</v>
      </c>
      <c r="AE54" s="58">
        <f t="shared" ref="AE54" si="657">+AE51+AE52-AE53</f>
        <v>0</v>
      </c>
      <c r="AF54" s="58">
        <f t="shared" ref="AF54" si="658">+AF51+AF52-AF53</f>
        <v>0</v>
      </c>
      <c r="AG54" s="58">
        <f t="shared" ref="AG54" si="659">+AG51+AG52-AG53</f>
        <v>0</v>
      </c>
      <c r="AH54" s="58">
        <f t="shared" ref="AH54" si="660">+AH51+AH52-AH53</f>
        <v>0</v>
      </c>
      <c r="AI54" s="58">
        <f t="shared" ref="AI54" si="661">+AI51+AI52-AI53</f>
        <v>0</v>
      </c>
      <c r="AJ54" s="58">
        <f t="shared" ref="AJ54" si="662">+AJ51+AJ52-AJ53</f>
        <v>0</v>
      </c>
      <c r="AK54" s="58">
        <f t="shared" ref="AK54" si="663">+AK51+AK52-AK53</f>
        <v>0</v>
      </c>
      <c r="AL54" s="58">
        <f t="shared" ref="AL54" si="664">+AL51+AL52-AL53</f>
        <v>0</v>
      </c>
      <c r="AM54" s="58">
        <f t="shared" ref="AM54" si="665">+AM51+AM52-AM53</f>
        <v>0</v>
      </c>
      <c r="AN54" s="58">
        <f t="shared" ref="AN54" si="666">+AN51+AN52-AN53</f>
        <v>0</v>
      </c>
      <c r="AO54" s="58">
        <f t="shared" ref="AO54" si="667">+AO51+AO52-AO53</f>
        <v>0</v>
      </c>
      <c r="AQ54" s="58">
        <f t="shared" ref="AQ54:BB54" si="668">+AQ51+AQ52-AQ53</f>
        <v>0</v>
      </c>
      <c r="AR54" s="58">
        <f t="shared" si="668"/>
        <v>0</v>
      </c>
      <c r="AS54" s="58">
        <f t="shared" si="668"/>
        <v>0</v>
      </c>
      <c r="AT54" s="58">
        <f t="shared" si="668"/>
        <v>0</v>
      </c>
      <c r="AU54" s="58">
        <f t="shared" si="668"/>
        <v>0</v>
      </c>
      <c r="AV54" s="58">
        <f t="shared" si="668"/>
        <v>0</v>
      </c>
      <c r="AW54" s="58">
        <f t="shared" si="668"/>
        <v>0</v>
      </c>
      <c r="AX54" s="58">
        <f t="shared" si="668"/>
        <v>0</v>
      </c>
      <c r="AY54" s="58">
        <f t="shared" si="668"/>
        <v>0</v>
      </c>
      <c r="AZ54" s="58">
        <f t="shared" si="668"/>
        <v>0</v>
      </c>
      <c r="BA54" s="58">
        <f t="shared" si="668"/>
        <v>0</v>
      </c>
      <c r="BB54" s="58">
        <f t="shared" si="668"/>
        <v>0</v>
      </c>
      <c r="BC54" s="58">
        <f t="shared" ref="BC54" si="669">+BC51+BC52-BC53</f>
        <v>0</v>
      </c>
      <c r="BD54" s="10" t="str">
        <f t="shared" si="47"/>
        <v>Gross Profit</v>
      </c>
      <c r="BE54" s="58">
        <f t="shared" ref="BE54:BP54" si="670">+BE51+BE52-BE53</f>
        <v>0</v>
      </c>
      <c r="BF54" s="58">
        <f t="shared" si="670"/>
        <v>0</v>
      </c>
      <c r="BG54" s="58">
        <f t="shared" si="670"/>
        <v>0</v>
      </c>
      <c r="BH54" s="58">
        <f t="shared" si="670"/>
        <v>0</v>
      </c>
      <c r="BI54" s="58">
        <f t="shared" si="670"/>
        <v>0</v>
      </c>
      <c r="BJ54" s="58">
        <f t="shared" si="670"/>
        <v>0</v>
      </c>
      <c r="BK54" s="58">
        <f t="shared" si="670"/>
        <v>0</v>
      </c>
      <c r="BL54" s="58">
        <f t="shared" si="670"/>
        <v>0</v>
      </c>
      <c r="BM54" s="58">
        <f t="shared" si="670"/>
        <v>0</v>
      </c>
      <c r="BN54" s="58">
        <f t="shared" si="670"/>
        <v>0</v>
      </c>
      <c r="BO54" s="58">
        <f t="shared" si="670"/>
        <v>0</v>
      </c>
      <c r="BP54" s="58">
        <f t="shared" si="670"/>
        <v>0</v>
      </c>
      <c r="BQ54" s="58">
        <f t="shared" ref="BQ54" si="671">+BQ51+BQ52-BQ53</f>
        <v>0</v>
      </c>
      <c r="BR54" s="118">
        <f t="shared" si="389"/>
        <v>0</v>
      </c>
      <c r="BS54" s="58">
        <f t="shared" ref="BS54:CD54" si="672">+BS51+BS52-BS53</f>
        <v>0</v>
      </c>
      <c r="BT54" s="58">
        <f t="shared" si="672"/>
        <v>0</v>
      </c>
      <c r="BU54" s="58">
        <f t="shared" si="672"/>
        <v>0</v>
      </c>
      <c r="BV54" s="58">
        <f t="shared" si="672"/>
        <v>0</v>
      </c>
      <c r="BW54" s="58">
        <f t="shared" si="672"/>
        <v>0</v>
      </c>
      <c r="BX54" s="58">
        <f t="shared" si="672"/>
        <v>0</v>
      </c>
      <c r="BY54" s="58">
        <f t="shared" si="672"/>
        <v>0</v>
      </c>
      <c r="BZ54" s="58">
        <f t="shared" si="672"/>
        <v>0</v>
      </c>
      <c r="CA54" s="58">
        <f t="shared" si="672"/>
        <v>0</v>
      </c>
      <c r="CB54" s="58">
        <f t="shared" si="672"/>
        <v>0</v>
      </c>
      <c r="CC54" s="58">
        <f t="shared" si="672"/>
        <v>0</v>
      </c>
      <c r="CD54" s="58">
        <f t="shared" si="672"/>
        <v>0</v>
      </c>
      <c r="CE54" s="58">
        <f t="shared" ref="CE54" si="673">+CE51+CE52-CE53</f>
        <v>0</v>
      </c>
      <c r="CF54" s="22"/>
      <c r="CG54" s="58">
        <f t="shared" ref="CG54:CS54" si="674">+CG51+CG52-CG53</f>
        <v>0</v>
      </c>
      <c r="CH54" s="58">
        <f t="shared" si="674"/>
        <v>0</v>
      </c>
      <c r="CI54" s="58">
        <f t="shared" si="674"/>
        <v>0</v>
      </c>
      <c r="CJ54" s="58">
        <f t="shared" si="674"/>
        <v>0</v>
      </c>
      <c r="CK54" s="58">
        <f t="shared" si="674"/>
        <v>0</v>
      </c>
      <c r="CL54" s="58">
        <f t="shared" si="674"/>
        <v>0</v>
      </c>
      <c r="CM54" s="58">
        <f t="shared" si="674"/>
        <v>0</v>
      </c>
      <c r="CN54" s="58">
        <f t="shared" si="674"/>
        <v>0</v>
      </c>
      <c r="CO54" s="58">
        <f t="shared" si="674"/>
        <v>0</v>
      </c>
      <c r="CP54" s="58">
        <f t="shared" si="674"/>
        <v>0</v>
      </c>
      <c r="CQ54" s="58">
        <f t="shared" si="674"/>
        <v>0</v>
      </c>
      <c r="CR54" s="58">
        <f t="shared" si="674"/>
        <v>0</v>
      </c>
      <c r="CS54" s="58">
        <f t="shared" si="674"/>
        <v>0</v>
      </c>
      <c r="CT54" s="10" t="str">
        <f t="shared" si="51"/>
        <v>Gross Profit</v>
      </c>
      <c r="CU54" s="58">
        <f t="shared" ref="CU54:DG54" si="675">+CU51+CU52-CU53</f>
        <v>0</v>
      </c>
      <c r="CV54" s="58">
        <f t="shared" si="675"/>
        <v>0</v>
      </c>
      <c r="CW54" s="58">
        <f t="shared" si="675"/>
        <v>0</v>
      </c>
      <c r="CX54" s="58">
        <f t="shared" si="675"/>
        <v>0</v>
      </c>
      <c r="CY54" s="58">
        <f t="shared" si="675"/>
        <v>0</v>
      </c>
      <c r="CZ54" s="58">
        <f t="shared" si="675"/>
        <v>0</v>
      </c>
      <c r="DA54" s="58">
        <f t="shared" si="675"/>
        <v>0</v>
      </c>
      <c r="DB54" s="58">
        <f t="shared" si="675"/>
        <v>0</v>
      </c>
      <c r="DC54" s="58">
        <f t="shared" si="675"/>
        <v>0</v>
      </c>
      <c r="DD54" s="58">
        <f t="shared" si="675"/>
        <v>0</v>
      </c>
      <c r="DE54" s="58">
        <f t="shared" si="675"/>
        <v>0</v>
      </c>
      <c r="DF54" s="58">
        <f t="shared" si="675"/>
        <v>0</v>
      </c>
      <c r="DG54" s="58">
        <f t="shared" si="675"/>
        <v>0</v>
      </c>
      <c r="DH54" s="118">
        <f t="shared" si="390"/>
        <v>0</v>
      </c>
      <c r="DI54" s="58">
        <f t="shared" ref="DI54:DU54" si="676">+DI51+DI52-DI53</f>
        <v>0</v>
      </c>
      <c r="DJ54" s="58">
        <f t="shared" si="676"/>
        <v>0</v>
      </c>
      <c r="DK54" s="58">
        <f t="shared" si="676"/>
        <v>0</v>
      </c>
      <c r="DL54" s="58">
        <f t="shared" si="676"/>
        <v>0</v>
      </c>
      <c r="DM54" s="58">
        <f t="shared" si="676"/>
        <v>0</v>
      </c>
      <c r="DN54" s="58">
        <f t="shared" si="676"/>
        <v>0</v>
      </c>
      <c r="DO54" s="58">
        <f t="shared" si="676"/>
        <v>0</v>
      </c>
      <c r="DP54" s="58">
        <f t="shared" si="676"/>
        <v>0</v>
      </c>
      <c r="DQ54" s="58">
        <f t="shared" si="676"/>
        <v>0</v>
      </c>
      <c r="DR54" s="58">
        <f t="shared" si="676"/>
        <v>0</v>
      </c>
      <c r="DS54" s="58">
        <f t="shared" si="676"/>
        <v>0</v>
      </c>
      <c r="DT54" s="58">
        <f t="shared" si="676"/>
        <v>0</v>
      </c>
      <c r="DU54" s="58">
        <f t="shared" si="676"/>
        <v>0</v>
      </c>
    </row>
    <row r="55" spans="1:125" ht="14.45" hidden="1" customHeight="1" outlineLevel="1">
      <c r="A55" s="106">
        <f t="shared" ref="A55:A56" si="677">+AQ55+CG55</f>
        <v>0</v>
      </c>
      <c r="B55" s="106">
        <f t="shared" ref="B55:B56" si="678">+AR55+CH55</f>
        <v>0</v>
      </c>
      <c r="C55" s="106">
        <f t="shared" ref="C55:C56" si="679">+AS55+CI55</f>
        <v>0</v>
      </c>
      <c r="D55" s="106">
        <f t="shared" ref="D55:D56" si="680">+AT55+CJ55</f>
        <v>0</v>
      </c>
      <c r="E55" s="106">
        <f t="shared" ref="E55:E56" si="681">+AU55+CK55</f>
        <v>0</v>
      </c>
      <c r="F55" s="106">
        <f t="shared" ref="F55:F56" si="682">+AV55+CL55</f>
        <v>0</v>
      </c>
      <c r="G55" s="106">
        <f t="shared" ref="G55:G56" si="683">+AW55+CM55</f>
        <v>0</v>
      </c>
      <c r="H55" s="106">
        <f t="shared" ref="H55:H56" si="684">+AX55+CN55</f>
        <v>0</v>
      </c>
      <c r="I55" s="106">
        <f t="shared" ref="I55:I56" si="685">+AY55+CO55</f>
        <v>0</v>
      </c>
      <c r="J55" s="106">
        <f t="shared" ref="J55:J56" si="686">+AZ55+CP55</f>
        <v>0</v>
      </c>
      <c r="K55" s="106">
        <f t="shared" ref="K55:K56" si="687">+BA55+CQ55</f>
        <v>0</v>
      </c>
      <c r="L55" s="106">
        <f t="shared" ref="L55:L56" si="688">+BB55+CR55</f>
        <v>0</v>
      </c>
      <c r="M55" s="106">
        <f t="shared" si="611"/>
        <v>0</v>
      </c>
      <c r="N55" s="7" t="s">
        <v>44</v>
      </c>
      <c r="O55" s="106">
        <f t="shared" ref="O55:O56" si="689">+BE55+CU55</f>
        <v>0</v>
      </c>
      <c r="P55" s="106">
        <f t="shared" ref="P55:P56" si="690">+BF55+CV55</f>
        <v>0</v>
      </c>
      <c r="Q55" s="106">
        <f t="shared" ref="Q55:Q56" si="691">+BG55+CW55</f>
        <v>0</v>
      </c>
      <c r="R55" s="106">
        <f t="shared" ref="R55:R56" si="692">+BH55+CX55</f>
        <v>0</v>
      </c>
      <c r="S55" s="106">
        <f t="shared" ref="S55:S56" si="693">+BI55+CY55</f>
        <v>0</v>
      </c>
      <c r="T55" s="106">
        <f t="shared" ref="T55:T56" si="694">+BJ55+CZ55</f>
        <v>0</v>
      </c>
      <c r="U55" s="106">
        <f t="shared" ref="U55:U56" si="695">+BK55+DA55</f>
        <v>0</v>
      </c>
      <c r="V55" s="106">
        <f t="shared" ref="V55:V56" si="696">+BL55+DB55</f>
        <v>0</v>
      </c>
      <c r="W55" s="106">
        <f t="shared" ref="W55:W56" si="697">+BM55+DC55</f>
        <v>0</v>
      </c>
      <c r="X55" s="106">
        <f t="shared" ref="X55:X56" si="698">+BN55+DD55</f>
        <v>0</v>
      </c>
      <c r="Y55" s="106">
        <f t="shared" ref="Y55:Y56" si="699">+BO55+DE55</f>
        <v>0</v>
      </c>
      <c r="Z55" s="106">
        <f t="shared" ref="Z55:Z56" si="700">+BP55+DF55</f>
        <v>0</v>
      </c>
      <c r="AA55" s="106">
        <f t="shared" ref="AA55:AA56" si="701">+SUM(O55:Z55)</f>
        <v>0</v>
      </c>
      <c r="AB55" s="118">
        <f t="shared" si="374"/>
        <v>0</v>
      </c>
      <c r="AC55" s="106">
        <f t="shared" ref="AC55:AC56" si="702">+BS55+DI55</f>
        <v>0</v>
      </c>
      <c r="AD55" s="106">
        <f t="shared" ref="AD55:AD56" si="703">+BT55+DJ55</f>
        <v>0</v>
      </c>
      <c r="AE55" s="106">
        <f t="shared" ref="AE55:AE56" si="704">+BU55+DK55</f>
        <v>0</v>
      </c>
      <c r="AF55" s="106">
        <f t="shared" ref="AF55:AF56" si="705">+BV55+DL55</f>
        <v>0</v>
      </c>
      <c r="AG55" s="106">
        <f t="shared" ref="AG55:AG56" si="706">+BW55+DM55</f>
        <v>0</v>
      </c>
      <c r="AH55" s="106">
        <f t="shared" ref="AH55:AH56" si="707">+BX55+DN55</f>
        <v>0</v>
      </c>
      <c r="AI55" s="106">
        <f t="shared" ref="AI55:AI56" si="708">+BY55+DO55</f>
        <v>0</v>
      </c>
      <c r="AJ55" s="106">
        <f t="shared" ref="AJ55:AJ56" si="709">+BZ55+DP55</f>
        <v>0</v>
      </c>
      <c r="AK55" s="106">
        <f t="shared" ref="AK55:AK56" si="710">+CA55+DQ55</f>
        <v>0</v>
      </c>
      <c r="AL55" s="106">
        <f t="shared" ref="AL55:AL56" si="711">+CB55+DR55</f>
        <v>0</v>
      </c>
      <c r="AM55" s="106">
        <f t="shared" ref="AM55:AM56" si="712">+CC55+DS55</f>
        <v>0</v>
      </c>
      <c r="AN55" s="106">
        <f t="shared" ref="AN55:AN56" si="713">+CD55+DT55</f>
        <v>0</v>
      </c>
      <c r="AO55" s="106">
        <f t="shared" ref="AO55:AO56" si="714">+SUM(AC55:AN55)</f>
        <v>0</v>
      </c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>
        <f t="shared" ref="BC55:BC56" si="715">+SUM(AQ55:BB55)</f>
        <v>0</v>
      </c>
      <c r="BD55" s="7" t="str">
        <f t="shared" si="47"/>
        <v>VAS</v>
      </c>
      <c r="BE55" s="106">
        <f>+VLOOKUP($BD55,'Jan-25'!$A:$J,2,0)</f>
        <v>0</v>
      </c>
      <c r="BF55" s="106">
        <f>+VLOOKUP($BD55,'Feb-25'!$A:$J,2,0)</f>
        <v>0</v>
      </c>
      <c r="BG55" s="106">
        <f>+VLOOKUP($BD55,'Mar-25'!$A:$J,2,0)</f>
        <v>0</v>
      </c>
      <c r="BH55" s="106">
        <f>+VLOOKUP($BD55,'Apr-25'!$A:$J,2,0)</f>
        <v>0</v>
      </c>
      <c r="BI55" s="106">
        <f>+VLOOKUP($BD55,'May-25'!$A:$J,2,0)</f>
        <v>0</v>
      </c>
      <c r="BJ55" s="106">
        <f>+VLOOKUP($BD55,'June-25'!$A:$J,2,0)</f>
        <v>0</v>
      </c>
      <c r="BK55" s="106">
        <f>+VLOOKUP($BD55,'July-25'!$A:$J,2,0)</f>
        <v>0</v>
      </c>
      <c r="BL55" s="106">
        <f>+VLOOKUP($BD55,'Aug-25'!$A:$J,2,0)</f>
        <v>0</v>
      </c>
      <c r="BM55" s="106">
        <f>+VLOOKUP($BD55,'Sep-25'!$A:$J,2,0)</f>
        <v>0</v>
      </c>
      <c r="BN55" s="106">
        <f>+VLOOKUP($BD55,'Oct-25'!$A:$J,2,0)</f>
        <v>0</v>
      </c>
      <c r="BO55" s="106">
        <f>+VLOOKUP($BD55,'Nov-25'!$A:$J,2,0)</f>
        <v>0</v>
      </c>
      <c r="BP55" s="106">
        <f>+VLOOKUP($BD55,'Dec-25'!$A:$J,2,0)</f>
        <v>0</v>
      </c>
      <c r="BQ55" s="106">
        <f t="shared" ref="BQ55:BQ56" si="716">+SUM(BE55:BP55)</f>
        <v>0</v>
      </c>
      <c r="BR55" s="118">
        <f t="shared" si="389"/>
        <v>0</v>
      </c>
      <c r="BS55" s="106"/>
      <c r="BT55" s="106"/>
      <c r="BU55" s="106"/>
      <c r="BV55" s="106"/>
      <c r="BW55" s="106"/>
      <c r="BX55" s="106"/>
      <c r="BY55" s="106"/>
      <c r="BZ55" s="106"/>
      <c r="CA55" s="106"/>
      <c r="CB55" s="106"/>
      <c r="CC55" s="106"/>
      <c r="CD55" s="106"/>
      <c r="CE55" s="106"/>
      <c r="CF55" s="22"/>
      <c r="CG55" s="106"/>
      <c r="CH55" s="106"/>
      <c r="CI55" s="106"/>
      <c r="CJ55" s="106"/>
      <c r="CK55" s="106"/>
      <c r="CL55" s="106"/>
      <c r="CM55" s="106"/>
      <c r="CN55" s="106"/>
      <c r="CO55" s="106"/>
      <c r="CP55" s="106"/>
      <c r="CQ55" s="106"/>
      <c r="CR55" s="106"/>
      <c r="CS55" s="106">
        <f t="shared" ref="CS55:CS56" si="717">+SUM(CG55:CR55)</f>
        <v>0</v>
      </c>
      <c r="CT55" s="7" t="str">
        <f t="shared" si="51"/>
        <v>VAS</v>
      </c>
      <c r="CU55" s="106">
        <f>+VLOOKUP($BD55,'Jan-25'!$A:$J,6,0)</f>
        <v>0</v>
      </c>
      <c r="CV55" s="106">
        <f>+VLOOKUP($BD55,'Feb-25'!$A:$J,6,0)</f>
        <v>0</v>
      </c>
      <c r="CW55" s="106">
        <f>+VLOOKUP($BD55,'Mar-25'!$A:$J,6,0)</f>
        <v>0</v>
      </c>
      <c r="CX55" s="106">
        <f>+VLOOKUP($BD55,'Apr-25'!$A:$J,6,0)</f>
        <v>0</v>
      </c>
      <c r="CY55" s="106">
        <f>+VLOOKUP($BD55,'May-25'!$A:$J,6,0)</f>
        <v>0</v>
      </c>
      <c r="CZ55" s="106">
        <f>+VLOOKUP($BD55,'June-25'!$A:$J,6,0)</f>
        <v>0</v>
      </c>
      <c r="DA55" s="106">
        <f>+VLOOKUP($BD55,'July-25'!$A:$J,6,0)</f>
        <v>0</v>
      </c>
      <c r="DB55" s="106">
        <f>+VLOOKUP($BD55,'Aug-25'!$A:$J,6,0)</f>
        <v>0</v>
      </c>
      <c r="DC55" s="106">
        <f>+VLOOKUP($BD55,'Sep-25'!$A:$J,6,0)</f>
        <v>0</v>
      </c>
      <c r="DD55" s="106">
        <f>+VLOOKUP($BD55,'Oct-25'!$A:$J,6,0)</f>
        <v>0</v>
      </c>
      <c r="DE55" s="106">
        <f>+VLOOKUP($BD55,'Nov-25'!$A:$J,6,0)</f>
        <v>0</v>
      </c>
      <c r="DF55" s="106">
        <f>+VLOOKUP($BD55,'Dec-25'!$A:$J,6,0)</f>
        <v>0</v>
      </c>
      <c r="DG55" s="106">
        <f t="shared" ref="DG55:DG56" si="718">+SUM(CU55:DF55)</f>
        <v>0</v>
      </c>
      <c r="DH55" s="118">
        <f t="shared" si="390"/>
        <v>0</v>
      </c>
      <c r="DI55" s="106"/>
      <c r="DJ55" s="106"/>
      <c r="DK55" s="106"/>
      <c r="DL55" s="106"/>
      <c r="DM55" s="106"/>
      <c r="DN55" s="106"/>
      <c r="DO55" s="106"/>
      <c r="DP55" s="106"/>
      <c r="DQ55" s="106"/>
      <c r="DR55" s="106"/>
      <c r="DS55" s="106"/>
      <c r="DT55" s="106"/>
      <c r="DU55" s="106">
        <f t="shared" ref="DU55:DU56" si="719">+SUM(DI55:DT55)</f>
        <v>0</v>
      </c>
    </row>
    <row r="56" spans="1:125" ht="14.45" hidden="1" customHeight="1" outlineLevel="1">
      <c r="A56" s="106">
        <f t="shared" si="677"/>
        <v>0</v>
      </c>
      <c r="B56" s="106">
        <f t="shared" si="678"/>
        <v>0</v>
      </c>
      <c r="C56" s="106">
        <f t="shared" si="679"/>
        <v>0</v>
      </c>
      <c r="D56" s="106">
        <f t="shared" si="680"/>
        <v>0</v>
      </c>
      <c r="E56" s="106">
        <f t="shared" si="681"/>
        <v>0</v>
      </c>
      <c r="F56" s="106">
        <f t="shared" si="682"/>
        <v>0</v>
      </c>
      <c r="G56" s="106">
        <f t="shared" si="683"/>
        <v>0</v>
      </c>
      <c r="H56" s="106">
        <f t="shared" si="684"/>
        <v>0</v>
      </c>
      <c r="I56" s="106">
        <f t="shared" si="685"/>
        <v>0</v>
      </c>
      <c r="J56" s="106">
        <f t="shared" si="686"/>
        <v>0</v>
      </c>
      <c r="K56" s="106">
        <f t="shared" si="687"/>
        <v>0</v>
      </c>
      <c r="L56" s="106">
        <f t="shared" si="688"/>
        <v>0</v>
      </c>
      <c r="M56" s="106">
        <f t="shared" si="611"/>
        <v>0</v>
      </c>
      <c r="N56" s="10" t="s">
        <v>33</v>
      </c>
      <c r="O56" s="106">
        <f t="shared" si="689"/>
        <v>0</v>
      </c>
      <c r="P56" s="106">
        <f t="shared" si="690"/>
        <v>0</v>
      </c>
      <c r="Q56" s="106">
        <f t="shared" si="691"/>
        <v>0</v>
      </c>
      <c r="R56" s="106">
        <f t="shared" si="692"/>
        <v>0</v>
      </c>
      <c r="S56" s="106">
        <f t="shared" si="693"/>
        <v>0</v>
      </c>
      <c r="T56" s="106">
        <f t="shared" si="694"/>
        <v>0</v>
      </c>
      <c r="U56" s="106">
        <f t="shared" si="695"/>
        <v>0</v>
      </c>
      <c r="V56" s="106">
        <f t="shared" si="696"/>
        <v>0</v>
      </c>
      <c r="W56" s="106">
        <f t="shared" si="697"/>
        <v>0</v>
      </c>
      <c r="X56" s="106">
        <f t="shared" si="698"/>
        <v>0</v>
      </c>
      <c r="Y56" s="106">
        <f t="shared" si="699"/>
        <v>0</v>
      </c>
      <c r="Z56" s="106">
        <f t="shared" si="700"/>
        <v>0</v>
      </c>
      <c r="AA56" s="106">
        <f t="shared" si="701"/>
        <v>0</v>
      </c>
      <c r="AB56" s="118">
        <f t="shared" si="374"/>
        <v>0</v>
      </c>
      <c r="AC56" s="106">
        <f t="shared" si="702"/>
        <v>0</v>
      </c>
      <c r="AD56" s="106">
        <f t="shared" si="703"/>
        <v>0</v>
      </c>
      <c r="AE56" s="106">
        <f t="shared" si="704"/>
        <v>0</v>
      </c>
      <c r="AF56" s="106">
        <f t="shared" si="705"/>
        <v>0</v>
      </c>
      <c r="AG56" s="106">
        <f t="shared" si="706"/>
        <v>0</v>
      </c>
      <c r="AH56" s="106">
        <f t="shared" si="707"/>
        <v>0</v>
      </c>
      <c r="AI56" s="106">
        <f t="shared" si="708"/>
        <v>0</v>
      </c>
      <c r="AJ56" s="106">
        <f t="shared" si="709"/>
        <v>0</v>
      </c>
      <c r="AK56" s="106">
        <f t="shared" si="710"/>
        <v>0</v>
      </c>
      <c r="AL56" s="106">
        <f t="shared" si="711"/>
        <v>0</v>
      </c>
      <c r="AM56" s="106">
        <f t="shared" si="712"/>
        <v>0</v>
      </c>
      <c r="AN56" s="106">
        <f t="shared" si="713"/>
        <v>0</v>
      </c>
      <c r="AO56" s="106">
        <f t="shared" si="714"/>
        <v>0</v>
      </c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>
        <f t="shared" si="715"/>
        <v>0</v>
      </c>
      <c r="BD56" s="10" t="str">
        <f t="shared" si="47"/>
        <v>Cost of Good sold</v>
      </c>
      <c r="BE56" s="106">
        <f>+'Jan-25'!B56</f>
        <v>0</v>
      </c>
      <c r="BF56" s="106">
        <f>+'Feb-25'!B56</f>
        <v>0</v>
      </c>
      <c r="BG56" s="106">
        <f>+'Mar-25'!B56</f>
        <v>0</v>
      </c>
      <c r="BH56" s="106">
        <f>+'Apr-25'!B56</f>
        <v>0</v>
      </c>
      <c r="BI56" s="106">
        <f>+'May-25'!B56</f>
        <v>0</v>
      </c>
      <c r="BJ56" s="106">
        <f>+'June-25'!B56</f>
        <v>0</v>
      </c>
      <c r="BK56" s="106">
        <f>+'July-25'!B56</f>
        <v>0</v>
      </c>
      <c r="BL56" s="106">
        <f>+'Aug-25'!B56</f>
        <v>0</v>
      </c>
      <c r="BM56" s="106">
        <f>+'Sep-25'!B56</f>
        <v>0</v>
      </c>
      <c r="BN56" s="106">
        <f>+'Oct-25'!B56</f>
        <v>0</v>
      </c>
      <c r="BO56" s="106">
        <f>+'Nov-25'!B56</f>
        <v>0</v>
      </c>
      <c r="BP56" s="106">
        <f>+'Dec-25'!B56</f>
        <v>0</v>
      </c>
      <c r="BQ56" s="106">
        <f t="shared" si="716"/>
        <v>0</v>
      </c>
      <c r="BR56" s="118">
        <f t="shared" si="389"/>
        <v>0</v>
      </c>
      <c r="BS56" s="106"/>
      <c r="BT56" s="106"/>
      <c r="BU56" s="106"/>
      <c r="BV56" s="106"/>
      <c r="BW56" s="106"/>
      <c r="BX56" s="106"/>
      <c r="BY56" s="106"/>
      <c r="BZ56" s="106"/>
      <c r="CA56" s="106"/>
      <c r="CB56" s="106"/>
      <c r="CC56" s="106"/>
      <c r="CD56" s="106"/>
      <c r="CE56" s="106"/>
      <c r="CF56" s="22"/>
      <c r="CG56" s="106"/>
      <c r="CH56" s="106"/>
      <c r="CI56" s="106"/>
      <c r="CJ56" s="106"/>
      <c r="CK56" s="106"/>
      <c r="CL56" s="106"/>
      <c r="CM56" s="106"/>
      <c r="CN56" s="106"/>
      <c r="CO56" s="106"/>
      <c r="CP56" s="106"/>
      <c r="CQ56" s="106"/>
      <c r="CR56" s="106"/>
      <c r="CS56" s="106">
        <f t="shared" si="717"/>
        <v>0</v>
      </c>
      <c r="CT56" s="10" t="str">
        <f t="shared" si="51"/>
        <v>Cost of Good sold</v>
      </c>
      <c r="CU56" s="106">
        <f>+'Jan-25'!F56</f>
        <v>0</v>
      </c>
      <c r="CV56" s="106">
        <f>+'Feb-25'!F56</f>
        <v>0</v>
      </c>
      <c r="CW56" s="106">
        <f>+'Mar-25'!F56</f>
        <v>0</v>
      </c>
      <c r="CX56" s="106">
        <f>+'Apr-25'!F56</f>
        <v>0</v>
      </c>
      <c r="CY56" s="106">
        <f>+'May-25'!F56</f>
        <v>0</v>
      </c>
      <c r="CZ56" s="106">
        <f>+'June-25'!F56</f>
        <v>0</v>
      </c>
      <c r="DA56" s="106">
        <f>+'July-25'!F56</f>
        <v>0</v>
      </c>
      <c r="DB56" s="106">
        <f>+'Aug-25'!F56</f>
        <v>0</v>
      </c>
      <c r="DC56" s="106">
        <f>+'Sep-25'!F56</f>
        <v>0</v>
      </c>
      <c r="DD56" s="106">
        <f>+'Oct-25'!F56</f>
        <v>0</v>
      </c>
      <c r="DE56" s="106">
        <f>+'Nov-25'!F56</f>
        <v>0</v>
      </c>
      <c r="DF56" s="106">
        <f>+'Dec-25'!F56</f>
        <v>0</v>
      </c>
      <c r="DG56" s="106">
        <f t="shared" si="718"/>
        <v>0</v>
      </c>
      <c r="DH56" s="118">
        <f t="shared" si="390"/>
        <v>0</v>
      </c>
      <c r="DI56" s="106"/>
      <c r="DJ56" s="106"/>
      <c r="DK56" s="106"/>
      <c r="DL56" s="106"/>
      <c r="DM56" s="106"/>
      <c r="DN56" s="106"/>
      <c r="DO56" s="106"/>
      <c r="DP56" s="106"/>
      <c r="DQ56" s="106"/>
      <c r="DR56" s="106"/>
      <c r="DS56" s="106"/>
      <c r="DT56" s="106"/>
      <c r="DU56" s="106">
        <f t="shared" si="719"/>
        <v>0</v>
      </c>
    </row>
    <row r="57" spans="1:125" ht="14.45" hidden="1" customHeight="1" outlineLevel="1">
      <c r="A57" s="58">
        <f>+A55-A56</f>
        <v>0</v>
      </c>
      <c r="B57" s="58">
        <f t="shared" ref="B57:M57" si="720">+B55-B56</f>
        <v>0</v>
      </c>
      <c r="C57" s="58">
        <f t="shared" si="720"/>
        <v>0</v>
      </c>
      <c r="D57" s="58">
        <f t="shared" si="720"/>
        <v>0</v>
      </c>
      <c r="E57" s="58">
        <f t="shared" si="720"/>
        <v>0</v>
      </c>
      <c r="F57" s="58">
        <f t="shared" si="720"/>
        <v>0</v>
      </c>
      <c r="G57" s="58">
        <f t="shared" si="720"/>
        <v>0</v>
      </c>
      <c r="H57" s="58">
        <f t="shared" si="720"/>
        <v>0</v>
      </c>
      <c r="I57" s="58">
        <f t="shared" si="720"/>
        <v>0</v>
      </c>
      <c r="J57" s="58">
        <f t="shared" si="720"/>
        <v>0</v>
      </c>
      <c r="K57" s="58">
        <f t="shared" si="720"/>
        <v>0</v>
      </c>
      <c r="L57" s="58">
        <f t="shared" si="720"/>
        <v>0</v>
      </c>
      <c r="M57" s="58">
        <f t="shared" si="720"/>
        <v>0</v>
      </c>
      <c r="N57" s="10" t="s">
        <v>20</v>
      </c>
      <c r="O57" s="58">
        <f>+O55-O56</f>
        <v>0</v>
      </c>
      <c r="P57" s="58">
        <f t="shared" ref="P57" si="721">+P55-P56</f>
        <v>0</v>
      </c>
      <c r="Q57" s="58">
        <f t="shared" ref="Q57" si="722">+Q55-Q56</f>
        <v>0</v>
      </c>
      <c r="R57" s="58">
        <f t="shared" ref="R57" si="723">+R55-R56</f>
        <v>0</v>
      </c>
      <c r="S57" s="58">
        <f t="shared" ref="S57" si="724">+S55-S56</f>
        <v>0</v>
      </c>
      <c r="T57" s="58">
        <f t="shared" ref="T57" si="725">+T55-T56</f>
        <v>0</v>
      </c>
      <c r="U57" s="58">
        <f t="shared" ref="U57" si="726">+U55-U56</f>
        <v>0</v>
      </c>
      <c r="V57" s="58">
        <f t="shared" ref="V57" si="727">+V55-V56</f>
        <v>0</v>
      </c>
      <c r="W57" s="58">
        <f t="shared" ref="W57" si="728">+W55-W56</f>
        <v>0</v>
      </c>
      <c r="X57" s="58">
        <f t="shared" ref="X57" si="729">+X55-X56</f>
        <v>0</v>
      </c>
      <c r="Y57" s="58">
        <f t="shared" ref="Y57" si="730">+Y55-Y56</f>
        <v>0</v>
      </c>
      <c r="Z57" s="58">
        <f t="shared" ref="Z57" si="731">+Z55-Z56</f>
        <v>0</v>
      </c>
      <c r="AA57" s="58">
        <f t="shared" ref="AA57" si="732">+AA55-AA56</f>
        <v>0</v>
      </c>
      <c r="AB57" s="118">
        <f t="shared" si="374"/>
        <v>0</v>
      </c>
      <c r="AC57" s="58">
        <f>+AC55-AC56</f>
        <v>0</v>
      </c>
      <c r="AD57" s="58">
        <f t="shared" ref="AD57" si="733">+AD55-AD56</f>
        <v>0</v>
      </c>
      <c r="AE57" s="58">
        <f t="shared" ref="AE57" si="734">+AE55-AE56</f>
        <v>0</v>
      </c>
      <c r="AF57" s="58">
        <f t="shared" ref="AF57" si="735">+AF55-AF56</f>
        <v>0</v>
      </c>
      <c r="AG57" s="58">
        <f t="shared" ref="AG57" si="736">+AG55-AG56</f>
        <v>0</v>
      </c>
      <c r="AH57" s="58">
        <f t="shared" ref="AH57" si="737">+AH55-AH56</f>
        <v>0</v>
      </c>
      <c r="AI57" s="58">
        <f t="shared" ref="AI57" si="738">+AI55-AI56</f>
        <v>0</v>
      </c>
      <c r="AJ57" s="58">
        <f t="shared" ref="AJ57" si="739">+AJ55-AJ56</f>
        <v>0</v>
      </c>
      <c r="AK57" s="58">
        <f t="shared" ref="AK57" si="740">+AK55-AK56</f>
        <v>0</v>
      </c>
      <c r="AL57" s="58">
        <f t="shared" ref="AL57" si="741">+AL55-AL56</f>
        <v>0</v>
      </c>
      <c r="AM57" s="58">
        <f t="shared" ref="AM57" si="742">+AM55-AM56</f>
        <v>0</v>
      </c>
      <c r="AN57" s="58">
        <f t="shared" ref="AN57" si="743">+AN55-AN56</f>
        <v>0</v>
      </c>
      <c r="AO57" s="58">
        <f t="shared" ref="AO57" si="744">+AO55-AO56</f>
        <v>0</v>
      </c>
      <c r="AQ57" s="58">
        <f t="shared" ref="AQ57:BB57" si="745">+AQ55-AQ56</f>
        <v>0</v>
      </c>
      <c r="AR57" s="58">
        <f t="shared" si="745"/>
        <v>0</v>
      </c>
      <c r="AS57" s="58">
        <f t="shared" si="745"/>
        <v>0</v>
      </c>
      <c r="AT57" s="58">
        <f t="shared" si="745"/>
        <v>0</v>
      </c>
      <c r="AU57" s="58">
        <f t="shared" si="745"/>
        <v>0</v>
      </c>
      <c r="AV57" s="58">
        <f t="shared" si="745"/>
        <v>0</v>
      </c>
      <c r="AW57" s="58">
        <f t="shared" si="745"/>
        <v>0</v>
      </c>
      <c r="AX57" s="58">
        <f t="shared" si="745"/>
        <v>0</v>
      </c>
      <c r="AY57" s="58">
        <f t="shared" si="745"/>
        <v>0</v>
      </c>
      <c r="AZ57" s="58">
        <f t="shared" si="745"/>
        <v>0</v>
      </c>
      <c r="BA57" s="58">
        <f t="shared" si="745"/>
        <v>0</v>
      </c>
      <c r="BB57" s="58">
        <f t="shared" si="745"/>
        <v>0</v>
      </c>
      <c r="BC57" s="58">
        <f t="shared" ref="BC57" si="746">+BC55-BC56</f>
        <v>0</v>
      </c>
      <c r="BD57" s="10" t="str">
        <f t="shared" si="47"/>
        <v>Gross Profit</v>
      </c>
      <c r="BE57" s="58">
        <f t="shared" ref="BE57:BP57" si="747">+BE55-BE56</f>
        <v>0</v>
      </c>
      <c r="BF57" s="58">
        <f t="shared" si="747"/>
        <v>0</v>
      </c>
      <c r="BG57" s="58">
        <f t="shared" si="747"/>
        <v>0</v>
      </c>
      <c r="BH57" s="58">
        <f t="shared" si="747"/>
        <v>0</v>
      </c>
      <c r="BI57" s="58">
        <f t="shared" si="747"/>
        <v>0</v>
      </c>
      <c r="BJ57" s="58">
        <f t="shared" si="747"/>
        <v>0</v>
      </c>
      <c r="BK57" s="58">
        <f t="shared" si="747"/>
        <v>0</v>
      </c>
      <c r="BL57" s="58">
        <f t="shared" si="747"/>
        <v>0</v>
      </c>
      <c r="BM57" s="58">
        <f t="shared" si="747"/>
        <v>0</v>
      </c>
      <c r="BN57" s="58">
        <f t="shared" si="747"/>
        <v>0</v>
      </c>
      <c r="BO57" s="58">
        <f t="shared" si="747"/>
        <v>0</v>
      </c>
      <c r="BP57" s="58">
        <f t="shared" si="747"/>
        <v>0</v>
      </c>
      <c r="BQ57" s="58">
        <f t="shared" ref="BQ57" si="748">+BQ55-BQ56</f>
        <v>0</v>
      </c>
      <c r="BR57" s="118">
        <f t="shared" si="389"/>
        <v>0</v>
      </c>
      <c r="BS57" s="58">
        <f t="shared" ref="BS57:CD57" si="749">+BS55-BS56</f>
        <v>0</v>
      </c>
      <c r="BT57" s="58">
        <f t="shared" si="749"/>
        <v>0</v>
      </c>
      <c r="BU57" s="58">
        <f t="shared" si="749"/>
        <v>0</v>
      </c>
      <c r="BV57" s="58">
        <f t="shared" si="749"/>
        <v>0</v>
      </c>
      <c r="BW57" s="58">
        <f t="shared" si="749"/>
        <v>0</v>
      </c>
      <c r="BX57" s="58">
        <f t="shared" si="749"/>
        <v>0</v>
      </c>
      <c r="BY57" s="58">
        <f t="shared" si="749"/>
        <v>0</v>
      </c>
      <c r="BZ57" s="58">
        <f t="shared" si="749"/>
        <v>0</v>
      </c>
      <c r="CA57" s="58">
        <f t="shared" si="749"/>
        <v>0</v>
      </c>
      <c r="CB57" s="58">
        <f t="shared" si="749"/>
        <v>0</v>
      </c>
      <c r="CC57" s="58">
        <f t="shared" si="749"/>
        <v>0</v>
      </c>
      <c r="CD57" s="58">
        <f t="shared" si="749"/>
        <v>0</v>
      </c>
      <c r="CE57" s="58">
        <f t="shared" ref="CE57" si="750">+CE55-CE56</f>
        <v>0</v>
      </c>
      <c r="CF57" s="22"/>
      <c r="CG57" s="58">
        <f t="shared" ref="CG57:CS57" si="751">+CG55-CG56</f>
        <v>0</v>
      </c>
      <c r="CH57" s="58">
        <f t="shared" si="751"/>
        <v>0</v>
      </c>
      <c r="CI57" s="58">
        <f t="shared" si="751"/>
        <v>0</v>
      </c>
      <c r="CJ57" s="58">
        <f t="shared" si="751"/>
        <v>0</v>
      </c>
      <c r="CK57" s="58">
        <f t="shared" si="751"/>
        <v>0</v>
      </c>
      <c r="CL57" s="58">
        <f t="shared" si="751"/>
        <v>0</v>
      </c>
      <c r="CM57" s="58">
        <f t="shared" si="751"/>
        <v>0</v>
      </c>
      <c r="CN57" s="58">
        <f t="shared" si="751"/>
        <v>0</v>
      </c>
      <c r="CO57" s="58">
        <f t="shared" si="751"/>
        <v>0</v>
      </c>
      <c r="CP57" s="58">
        <f t="shared" si="751"/>
        <v>0</v>
      </c>
      <c r="CQ57" s="58">
        <f t="shared" si="751"/>
        <v>0</v>
      </c>
      <c r="CR57" s="58">
        <f t="shared" si="751"/>
        <v>0</v>
      </c>
      <c r="CS57" s="58">
        <f t="shared" si="751"/>
        <v>0</v>
      </c>
      <c r="CT57" s="10" t="str">
        <f t="shared" si="51"/>
        <v>Gross Profit</v>
      </c>
      <c r="CU57" s="58">
        <f t="shared" ref="CU57:DG57" si="752">+CU55-CU56</f>
        <v>0</v>
      </c>
      <c r="CV57" s="58">
        <f t="shared" si="752"/>
        <v>0</v>
      </c>
      <c r="CW57" s="58">
        <f t="shared" si="752"/>
        <v>0</v>
      </c>
      <c r="CX57" s="58">
        <f t="shared" si="752"/>
        <v>0</v>
      </c>
      <c r="CY57" s="58">
        <f t="shared" si="752"/>
        <v>0</v>
      </c>
      <c r="CZ57" s="58">
        <f t="shared" si="752"/>
        <v>0</v>
      </c>
      <c r="DA57" s="58">
        <f t="shared" si="752"/>
        <v>0</v>
      </c>
      <c r="DB57" s="58">
        <f t="shared" si="752"/>
        <v>0</v>
      </c>
      <c r="DC57" s="58">
        <f t="shared" si="752"/>
        <v>0</v>
      </c>
      <c r="DD57" s="58">
        <f t="shared" si="752"/>
        <v>0</v>
      </c>
      <c r="DE57" s="58">
        <f t="shared" si="752"/>
        <v>0</v>
      </c>
      <c r="DF57" s="58">
        <f t="shared" si="752"/>
        <v>0</v>
      </c>
      <c r="DG57" s="58">
        <f t="shared" si="752"/>
        <v>0</v>
      </c>
      <c r="DH57" s="118">
        <f t="shared" si="390"/>
        <v>0</v>
      </c>
      <c r="DI57" s="58">
        <f t="shared" ref="DI57:DU57" si="753">+DI55-DI56</f>
        <v>0</v>
      </c>
      <c r="DJ57" s="58">
        <f t="shared" si="753"/>
        <v>0</v>
      </c>
      <c r="DK57" s="58">
        <f t="shared" si="753"/>
        <v>0</v>
      </c>
      <c r="DL57" s="58">
        <f t="shared" si="753"/>
        <v>0</v>
      </c>
      <c r="DM57" s="58">
        <f t="shared" si="753"/>
        <v>0</v>
      </c>
      <c r="DN57" s="58">
        <f t="shared" si="753"/>
        <v>0</v>
      </c>
      <c r="DO57" s="58">
        <f t="shared" si="753"/>
        <v>0</v>
      </c>
      <c r="DP57" s="58">
        <f t="shared" si="753"/>
        <v>0</v>
      </c>
      <c r="DQ57" s="58">
        <f t="shared" si="753"/>
        <v>0</v>
      </c>
      <c r="DR57" s="58">
        <f t="shared" si="753"/>
        <v>0</v>
      </c>
      <c r="DS57" s="58">
        <f t="shared" si="753"/>
        <v>0</v>
      </c>
      <c r="DT57" s="58">
        <f t="shared" si="753"/>
        <v>0</v>
      </c>
      <c r="DU57" s="58">
        <f t="shared" si="753"/>
        <v>0</v>
      </c>
    </row>
    <row r="58" spans="1:125" ht="14.45" hidden="1" customHeight="1" outlineLevel="1">
      <c r="A58" s="58">
        <f>+A54+A57</f>
        <v>0</v>
      </c>
      <c r="B58" s="58">
        <f t="shared" ref="B58:M58" si="754">+B54+B57</f>
        <v>0</v>
      </c>
      <c r="C58" s="58">
        <f t="shared" si="754"/>
        <v>0</v>
      </c>
      <c r="D58" s="58">
        <f t="shared" si="754"/>
        <v>0</v>
      </c>
      <c r="E58" s="58">
        <f t="shared" si="754"/>
        <v>0</v>
      </c>
      <c r="F58" s="58">
        <f t="shared" si="754"/>
        <v>0</v>
      </c>
      <c r="G58" s="58">
        <f t="shared" si="754"/>
        <v>0</v>
      </c>
      <c r="H58" s="58">
        <f t="shared" si="754"/>
        <v>0</v>
      </c>
      <c r="I58" s="58">
        <f t="shared" si="754"/>
        <v>0</v>
      </c>
      <c r="J58" s="58">
        <f t="shared" si="754"/>
        <v>0</v>
      </c>
      <c r="K58" s="58">
        <f t="shared" si="754"/>
        <v>0</v>
      </c>
      <c r="L58" s="58">
        <f t="shared" si="754"/>
        <v>0</v>
      </c>
      <c r="M58" s="58">
        <f t="shared" si="754"/>
        <v>0</v>
      </c>
      <c r="N58" s="10" t="s">
        <v>45</v>
      </c>
      <c r="O58" s="58">
        <f>+O54+O57</f>
        <v>0</v>
      </c>
      <c r="P58" s="58">
        <f t="shared" ref="P58" si="755">+P54+P57</f>
        <v>0</v>
      </c>
      <c r="Q58" s="58">
        <f t="shared" ref="Q58" si="756">+Q54+Q57</f>
        <v>0</v>
      </c>
      <c r="R58" s="58">
        <f t="shared" ref="R58" si="757">+R54+R57</f>
        <v>0</v>
      </c>
      <c r="S58" s="58">
        <f t="shared" ref="S58" si="758">+S54+S57</f>
        <v>0</v>
      </c>
      <c r="T58" s="58">
        <f t="shared" ref="T58" si="759">+T54+T57</f>
        <v>0</v>
      </c>
      <c r="U58" s="58">
        <f t="shared" ref="U58" si="760">+U54+U57</f>
        <v>0</v>
      </c>
      <c r="V58" s="58">
        <f t="shared" ref="V58" si="761">+V54+V57</f>
        <v>0</v>
      </c>
      <c r="W58" s="58">
        <f t="shared" ref="W58" si="762">+W54+W57</f>
        <v>0</v>
      </c>
      <c r="X58" s="58">
        <f t="shared" ref="X58" si="763">+X54+X57</f>
        <v>0</v>
      </c>
      <c r="Y58" s="58">
        <f t="shared" ref="Y58" si="764">+Y54+Y57</f>
        <v>0</v>
      </c>
      <c r="Z58" s="58">
        <f t="shared" ref="Z58" si="765">+Z54+Z57</f>
        <v>0</v>
      </c>
      <c r="AA58" s="58">
        <f t="shared" ref="AA58" si="766">+AA54+AA57</f>
        <v>0</v>
      </c>
      <c r="AB58" s="118">
        <f t="shared" si="374"/>
        <v>0</v>
      </c>
      <c r="AC58" s="58">
        <f>+AC54+AC57</f>
        <v>0</v>
      </c>
      <c r="AD58" s="58">
        <f t="shared" ref="AD58" si="767">+AD54+AD57</f>
        <v>0</v>
      </c>
      <c r="AE58" s="58">
        <f t="shared" ref="AE58" si="768">+AE54+AE57</f>
        <v>0</v>
      </c>
      <c r="AF58" s="58">
        <f t="shared" ref="AF58" si="769">+AF54+AF57</f>
        <v>0</v>
      </c>
      <c r="AG58" s="58">
        <f t="shared" ref="AG58" si="770">+AG54+AG57</f>
        <v>0</v>
      </c>
      <c r="AH58" s="58">
        <f t="shared" ref="AH58" si="771">+AH54+AH57</f>
        <v>0</v>
      </c>
      <c r="AI58" s="58">
        <f t="shared" ref="AI58" si="772">+AI54+AI57</f>
        <v>0</v>
      </c>
      <c r="AJ58" s="58">
        <f t="shared" ref="AJ58" si="773">+AJ54+AJ57</f>
        <v>0</v>
      </c>
      <c r="AK58" s="58">
        <f t="shared" ref="AK58" si="774">+AK54+AK57</f>
        <v>0</v>
      </c>
      <c r="AL58" s="58">
        <f t="shared" ref="AL58" si="775">+AL54+AL57</f>
        <v>0</v>
      </c>
      <c r="AM58" s="58">
        <f t="shared" ref="AM58" si="776">+AM54+AM57</f>
        <v>0</v>
      </c>
      <c r="AN58" s="58">
        <f t="shared" ref="AN58" si="777">+AN54+AN57</f>
        <v>0</v>
      </c>
      <c r="AO58" s="58">
        <f t="shared" ref="AO58" si="778">+AO54+AO57</f>
        <v>0</v>
      </c>
      <c r="AQ58" s="58">
        <f t="shared" ref="AQ58:BB58" si="779">+AQ54+AQ57</f>
        <v>0</v>
      </c>
      <c r="AR58" s="58">
        <f t="shared" si="779"/>
        <v>0</v>
      </c>
      <c r="AS58" s="58">
        <f t="shared" si="779"/>
        <v>0</v>
      </c>
      <c r="AT58" s="58">
        <f t="shared" si="779"/>
        <v>0</v>
      </c>
      <c r="AU58" s="58">
        <f t="shared" si="779"/>
        <v>0</v>
      </c>
      <c r="AV58" s="58">
        <f t="shared" si="779"/>
        <v>0</v>
      </c>
      <c r="AW58" s="58">
        <f t="shared" si="779"/>
        <v>0</v>
      </c>
      <c r="AX58" s="58">
        <f t="shared" si="779"/>
        <v>0</v>
      </c>
      <c r="AY58" s="58">
        <f t="shared" si="779"/>
        <v>0</v>
      </c>
      <c r="AZ58" s="58">
        <f t="shared" si="779"/>
        <v>0</v>
      </c>
      <c r="BA58" s="58">
        <f t="shared" si="779"/>
        <v>0</v>
      </c>
      <c r="BB58" s="58">
        <f t="shared" si="779"/>
        <v>0</v>
      </c>
      <c r="BC58" s="58">
        <f t="shared" ref="BC58" si="780">+BC54+BC57</f>
        <v>0</v>
      </c>
      <c r="BD58" s="10" t="str">
        <f t="shared" si="47"/>
        <v>Total GP</v>
      </c>
      <c r="BE58" s="58">
        <f t="shared" ref="BE58:BP58" si="781">+BE54+BE57</f>
        <v>0</v>
      </c>
      <c r="BF58" s="58">
        <f t="shared" si="781"/>
        <v>0</v>
      </c>
      <c r="BG58" s="58">
        <f t="shared" si="781"/>
        <v>0</v>
      </c>
      <c r="BH58" s="58">
        <f t="shared" si="781"/>
        <v>0</v>
      </c>
      <c r="BI58" s="58">
        <f t="shared" si="781"/>
        <v>0</v>
      </c>
      <c r="BJ58" s="58">
        <f t="shared" si="781"/>
        <v>0</v>
      </c>
      <c r="BK58" s="58">
        <f t="shared" si="781"/>
        <v>0</v>
      </c>
      <c r="BL58" s="58">
        <f t="shared" si="781"/>
        <v>0</v>
      </c>
      <c r="BM58" s="58">
        <f t="shared" si="781"/>
        <v>0</v>
      </c>
      <c r="BN58" s="58">
        <f t="shared" si="781"/>
        <v>0</v>
      </c>
      <c r="BO58" s="58">
        <f t="shared" si="781"/>
        <v>0</v>
      </c>
      <c r="BP58" s="58">
        <f t="shared" si="781"/>
        <v>0</v>
      </c>
      <c r="BQ58" s="58">
        <f t="shared" ref="BQ58" si="782">+BQ54+BQ57</f>
        <v>0</v>
      </c>
      <c r="BR58" s="118">
        <f t="shared" si="389"/>
        <v>0</v>
      </c>
      <c r="BS58" s="58">
        <f t="shared" ref="BS58:CD58" si="783">+BS54+BS57</f>
        <v>0</v>
      </c>
      <c r="BT58" s="58">
        <f t="shared" si="783"/>
        <v>0</v>
      </c>
      <c r="BU58" s="58">
        <f t="shared" si="783"/>
        <v>0</v>
      </c>
      <c r="BV58" s="58">
        <f t="shared" si="783"/>
        <v>0</v>
      </c>
      <c r="BW58" s="58">
        <f t="shared" si="783"/>
        <v>0</v>
      </c>
      <c r="BX58" s="58">
        <f t="shared" si="783"/>
        <v>0</v>
      </c>
      <c r="BY58" s="58">
        <f t="shared" si="783"/>
        <v>0</v>
      </c>
      <c r="BZ58" s="58">
        <f t="shared" si="783"/>
        <v>0</v>
      </c>
      <c r="CA58" s="58">
        <f t="shared" si="783"/>
        <v>0</v>
      </c>
      <c r="CB58" s="58">
        <f t="shared" si="783"/>
        <v>0</v>
      </c>
      <c r="CC58" s="58">
        <f t="shared" si="783"/>
        <v>0</v>
      </c>
      <c r="CD58" s="58">
        <f t="shared" si="783"/>
        <v>0</v>
      </c>
      <c r="CE58" s="58">
        <f t="shared" ref="CE58" si="784">+CE54+CE57</f>
        <v>0</v>
      </c>
      <c r="CF58" s="22"/>
      <c r="CG58" s="58">
        <f t="shared" ref="CG58:CS58" si="785">+CG54+CG57</f>
        <v>0</v>
      </c>
      <c r="CH58" s="58">
        <f t="shared" si="785"/>
        <v>0</v>
      </c>
      <c r="CI58" s="58">
        <f t="shared" si="785"/>
        <v>0</v>
      </c>
      <c r="CJ58" s="58">
        <f t="shared" si="785"/>
        <v>0</v>
      </c>
      <c r="CK58" s="58">
        <f t="shared" si="785"/>
        <v>0</v>
      </c>
      <c r="CL58" s="58">
        <f t="shared" si="785"/>
        <v>0</v>
      </c>
      <c r="CM58" s="58">
        <f t="shared" si="785"/>
        <v>0</v>
      </c>
      <c r="CN58" s="58">
        <f t="shared" si="785"/>
        <v>0</v>
      </c>
      <c r="CO58" s="58">
        <f t="shared" si="785"/>
        <v>0</v>
      </c>
      <c r="CP58" s="58">
        <f t="shared" si="785"/>
        <v>0</v>
      </c>
      <c r="CQ58" s="58">
        <f t="shared" si="785"/>
        <v>0</v>
      </c>
      <c r="CR58" s="58">
        <f t="shared" si="785"/>
        <v>0</v>
      </c>
      <c r="CS58" s="58">
        <f t="shared" si="785"/>
        <v>0</v>
      </c>
      <c r="CT58" s="10" t="str">
        <f t="shared" si="51"/>
        <v>Total GP</v>
      </c>
      <c r="CU58" s="58">
        <f t="shared" ref="CU58:DG58" si="786">+CU54+CU57</f>
        <v>0</v>
      </c>
      <c r="CV58" s="58">
        <f t="shared" si="786"/>
        <v>0</v>
      </c>
      <c r="CW58" s="58">
        <f t="shared" si="786"/>
        <v>0</v>
      </c>
      <c r="CX58" s="58">
        <f t="shared" si="786"/>
        <v>0</v>
      </c>
      <c r="CY58" s="58">
        <f t="shared" si="786"/>
        <v>0</v>
      </c>
      <c r="CZ58" s="58">
        <f t="shared" si="786"/>
        <v>0</v>
      </c>
      <c r="DA58" s="58">
        <f t="shared" si="786"/>
        <v>0</v>
      </c>
      <c r="DB58" s="58">
        <f t="shared" si="786"/>
        <v>0</v>
      </c>
      <c r="DC58" s="58">
        <f t="shared" si="786"/>
        <v>0</v>
      </c>
      <c r="DD58" s="58">
        <f t="shared" si="786"/>
        <v>0</v>
      </c>
      <c r="DE58" s="58">
        <f t="shared" si="786"/>
        <v>0</v>
      </c>
      <c r="DF58" s="58">
        <f t="shared" si="786"/>
        <v>0</v>
      </c>
      <c r="DG58" s="58">
        <f t="shared" si="786"/>
        <v>0</v>
      </c>
      <c r="DH58" s="118">
        <f t="shared" si="390"/>
        <v>0</v>
      </c>
      <c r="DI58" s="58">
        <f t="shared" ref="DI58:DU58" si="787">+DI54+DI57</f>
        <v>0</v>
      </c>
      <c r="DJ58" s="58">
        <f t="shared" si="787"/>
        <v>0</v>
      </c>
      <c r="DK58" s="58">
        <f t="shared" si="787"/>
        <v>0</v>
      </c>
      <c r="DL58" s="58">
        <f t="shared" si="787"/>
        <v>0</v>
      </c>
      <c r="DM58" s="58">
        <f t="shared" si="787"/>
        <v>0</v>
      </c>
      <c r="DN58" s="58">
        <f t="shared" si="787"/>
        <v>0</v>
      </c>
      <c r="DO58" s="58">
        <f t="shared" si="787"/>
        <v>0</v>
      </c>
      <c r="DP58" s="58">
        <f t="shared" si="787"/>
        <v>0</v>
      </c>
      <c r="DQ58" s="58">
        <f t="shared" si="787"/>
        <v>0</v>
      </c>
      <c r="DR58" s="58">
        <f t="shared" si="787"/>
        <v>0</v>
      </c>
      <c r="DS58" s="58">
        <f t="shared" si="787"/>
        <v>0</v>
      </c>
      <c r="DT58" s="58">
        <f t="shared" si="787"/>
        <v>0</v>
      </c>
      <c r="DU58" s="58">
        <f t="shared" si="787"/>
        <v>0</v>
      </c>
    </row>
    <row r="59" spans="1:125" ht="14.45" hidden="1" customHeight="1" outlineLevel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18">
        <f t="shared" si="374"/>
        <v>0</v>
      </c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45">
        <f t="shared" si="47"/>
        <v>0</v>
      </c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6"/>
      <c r="BQ59" s="106"/>
      <c r="BR59" s="118">
        <f t="shared" si="389"/>
        <v>0</v>
      </c>
      <c r="BS59" s="106"/>
      <c r="BT59" s="106"/>
      <c r="BU59" s="106"/>
      <c r="BV59" s="106"/>
      <c r="BW59" s="106"/>
      <c r="BX59" s="106"/>
      <c r="BY59" s="106"/>
      <c r="BZ59" s="106"/>
      <c r="CA59" s="106"/>
      <c r="CB59" s="106"/>
      <c r="CC59" s="106"/>
      <c r="CD59" s="106"/>
      <c r="CE59" s="106"/>
      <c r="CF59" s="32"/>
      <c r="CG59" s="106"/>
      <c r="CH59" s="106"/>
      <c r="CI59" s="106"/>
      <c r="CJ59" s="106"/>
      <c r="CK59" s="106"/>
      <c r="CL59" s="106"/>
      <c r="CM59" s="106"/>
      <c r="CN59" s="106"/>
      <c r="CO59" s="106"/>
      <c r="CP59" s="106"/>
      <c r="CQ59" s="106"/>
      <c r="CR59" s="106"/>
      <c r="CS59" s="106"/>
      <c r="CT59" s="45">
        <f t="shared" si="51"/>
        <v>0</v>
      </c>
      <c r="CU59" s="106"/>
      <c r="CV59" s="106"/>
      <c r="CW59" s="106"/>
      <c r="CX59" s="106"/>
      <c r="CY59" s="106"/>
      <c r="CZ59" s="106"/>
      <c r="DA59" s="106"/>
      <c r="DB59" s="106"/>
      <c r="DC59" s="106"/>
      <c r="DD59" s="106"/>
      <c r="DE59" s="106"/>
      <c r="DF59" s="106"/>
      <c r="DG59" s="106"/>
      <c r="DH59" s="118">
        <f t="shared" si="390"/>
        <v>0</v>
      </c>
      <c r="DI59" s="106"/>
      <c r="DJ59" s="106"/>
      <c r="DK59" s="106"/>
      <c r="DL59" s="106"/>
      <c r="DM59" s="106"/>
      <c r="DN59" s="106"/>
      <c r="DO59" s="106"/>
      <c r="DP59" s="106"/>
      <c r="DQ59" s="106"/>
      <c r="DR59" s="106"/>
      <c r="DS59" s="106"/>
      <c r="DT59" s="106"/>
      <c r="DU59" s="106"/>
    </row>
    <row r="60" spans="1:125" ht="14.45" customHeight="1" collapsed="1">
      <c r="A60" s="58">
        <f>+SUM(A61:A69)</f>
        <v>1352399.6600000001</v>
      </c>
      <c r="B60" s="58">
        <f t="shared" ref="B60:M60" si="788">+SUM(B61:B69)</f>
        <v>1083650</v>
      </c>
      <c r="C60" s="58">
        <f t="shared" si="788"/>
        <v>2086491</v>
      </c>
      <c r="D60" s="58">
        <f t="shared" si="788"/>
        <v>1271162</v>
      </c>
      <c r="E60" s="58">
        <f t="shared" si="788"/>
        <v>1815595</v>
      </c>
      <c r="F60" s="58">
        <f t="shared" si="788"/>
        <v>1721922</v>
      </c>
      <c r="G60" s="58">
        <f t="shared" si="788"/>
        <v>2112286</v>
      </c>
      <c r="H60" s="58">
        <f t="shared" si="788"/>
        <v>2016175</v>
      </c>
      <c r="I60" s="58">
        <f t="shared" si="788"/>
        <v>1828555</v>
      </c>
      <c r="J60" s="58">
        <f t="shared" si="788"/>
        <v>1750395</v>
      </c>
      <c r="K60" s="58">
        <f t="shared" si="788"/>
        <v>2032966.5</v>
      </c>
      <c r="L60" s="58">
        <f t="shared" si="788"/>
        <v>1951237</v>
      </c>
      <c r="M60" s="58">
        <f t="shared" si="788"/>
        <v>21022834.16</v>
      </c>
      <c r="N60" s="6" t="s">
        <v>46</v>
      </c>
      <c r="O60" s="58">
        <f>+SUM(O61:O69)</f>
        <v>2258810.2949999999</v>
      </c>
      <c r="P60" s="58">
        <f t="shared" ref="P60" si="789">+SUM(P61:P69)</f>
        <v>1587809.4594999999</v>
      </c>
      <c r="Q60" s="58">
        <f t="shared" ref="Q60" si="790">+SUM(Q61:Q69)</f>
        <v>3185762.8774999995</v>
      </c>
      <c r="R60" s="58">
        <f t="shared" ref="R60" si="791">+SUM(R61:R69)</f>
        <v>2331781.7406355934</v>
      </c>
      <c r="S60" s="58">
        <f t="shared" ref="S60" si="792">+SUM(S61:S69)</f>
        <v>1193706.8900000001</v>
      </c>
      <c r="T60" s="58">
        <f t="shared" ref="T60" si="793">+SUM(T61:T69)</f>
        <v>1609687.4240000001</v>
      </c>
      <c r="U60" s="58">
        <f t="shared" ref="U60" si="794">+SUM(U61:U69)</f>
        <v>2531454.66</v>
      </c>
      <c r="V60" s="58">
        <f t="shared" ref="V60" si="795">+SUM(V61:V69)</f>
        <v>1398059.7235000001</v>
      </c>
      <c r="W60" s="58">
        <f t="shared" ref="W60" si="796">+SUM(W61:W69)</f>
        <v>2318788.557</v>
      </c>
      <c r="X60" s="58">
        <f t="shared" ref="X60" si="797">+SUM(X61:X69)</f>
        <v>2753031.9095000001</v>
      </c>
      <c r="Y60" s="58">
        <f t="shared" ref="Y60" si="798">+SUM(Y61:Y69)</f>
        <v>0</v>
      </c>
      <c r="Z60" s="58">
        <f t="shared" ref="Z60" si="799">+SUM(Z61:Z69)</f>
        <v>0</v>
      </c>
      <c r="AA60" s="58">
        <f t="shared" ref="AA60" si="800">+SUM(AA61:AA69)</f>
        <v>21168893.536635596</v>
      </c>
      <c r="AB60" s="118">
        <f t="shared" si="374"/>
        <v>0.24430820768361586</v>
      </c>
      <c r="AC60" s="58">
        <f>+SUM(AC61:AC69)</f>
        <v>2138750</v>
      </c>
      <c r="AD60" s="58">
        <f t="shared" ref="AD60" si="801">+SUM(AD61:AD69)</f>
        <v>2138750</v>
      </c>
      <c r="AE60" s="58">
        <f t="shared" ref="AE60" si="802">+SUM(AE61:AE69)</f>
        <v>2728750</v>
      </c>
      <c r="AF60" s="58">
        <f t="shared" ref="AF60" si="803">+SUM(AF61:AF69)</f>
        <v>2212500</v>
      </c>
      <c r="AG60" s="58">
        <f t="shared" ref="AG60" si="804">+SUM(AG61:AG69)</f>
        <v>2360000</v>
      </c>
      <c r="AH60" s="58">
        <f t="shared" ref="AH60" si="805">+SUM(AH61:AH69)</f>
        <v>2065000</v>
      </c>
      <c r="AI60" s="58">
        <f t="shared" ref="AI60" si="806">+SUM(AI61:AI69)</f>
        <v>2138750</v>
      </c>
      <c r="AJ60" s="58">
        <f t="shared" ref="AJ60" si="807">+SUM(AJ61:AJ69)</f>
        <v>2507500</v>
      </c>
      <c r="AK60" s="58">
        <f t="shared" ref="AK60" si="808">+SUM(AK61:AK69)</f>
        <v>2507500</v>
      </c>
      <c r="AL60" s="58">
        <f t="shared" ref="AL60" si="809">+SUM(AL61:AL69)</f>
        <v>2212500</v>
      </c>
      <c r="AM60" s="58">
        <f t="shared" ref="AM60" si="810">+SUM(AM61:AM69)</f>
        <v>2065000</v>
      </c>
      <c r="AN60" s="58">
        <f t="shared" ref="AN60" si="811">+SUM(AN61:AN69)</f>
        <v>2728750</v>
      </c>
      <c r="AO60" s="58">
        <f t="shared" ref="AO60" si="812">+SUM(AO61:AO69)</f>
        <v>27803750</v>
      </c>
      <c r="AQ60" s="58">
        <f t="shared" ref="AQ60:BB60" si="813">+SUM(AQ61:AQ69)</f>
        <v>1048583.3399999999</v>
      </c>
      <c r="AR60" s="58">
        <f t="shared" si="813"/>
        <v>807331</v>
      </c>
      <c r="AS60" s="58">
        <f t="shared" si="813"/>
        <v>1513611</v>
      </c>
      <c r="AT60" s="58">
        <f t="shared" si="813"/>
        <v>956003</v>
      </c>
      <c r="AU60" s="58">
        <f t="shared" si="813"/>
        <v>1010494</v>
      </c>
      <c r="AV60" s="58">
        <f t="shared" si="813"/>
        <v>1356490</v>
      </c>
      <c r="AW60" s="58">
        <f t="shared" si="813"/>
        <v>1411348</v>
      </c>
      <c r="AX60" s="58">
        <f t="shared" si="813"/>
        <v>1303312</v>
      </c>
      <c r="AY60" s="58">
        <f t="shared" si="813"/>
        <v>1322278</v>
      </c>
      <c r="AZ60" s="58">
        <f t="shared" si="813"/>
        <v>1459154</v>
      </c>
      <c r="BA60" s="58">
        <f t="shared" si="813"/>
        <v>1056657.5</v>
      </c>
      <c r="BB60" s="58">
        <f t="shared" si="813"/>
        <v>1294832</v>
      </c>
      <c r="BC60" s="58">
        <f t="shared" ref="BC60" si="814">+SUM(BC61:BC69)</f>
        <v>14540093.84</v>
      </c>
      <c r="BD60" s="6" t="str">
        <f t="shared" si="47"/>
        <v>Other Source of Income</v>
      </c>
      <c r="BE60" s="58">
        <f t="shared" ref="BE60:BP60" si="815">+SUM(BE61:BE69)</f>
        <v>1568503.8399999999</v>
      </c>
      <c r="BF60" s="58">
        <f t="shared" si="815"/>
        <v>1370324.5160000001</v>
      </c>
      <c r="BG60" s="58">
        <f t="shared" si="815"/>
        <v>1933848.66</v>
      </c>
      <c r="BH60" s="58">
        <f t="shared" si="815"/>
        <v>1619836.98</v>
      </c>
      <c r="BI60" s="58">
        <f t="shared" si="815"/>
        <v>579323</v>
      </c>
      <c r="BJ60" s="58">
        <f t="shared" si="815"/>
        <v>1244763.672</v>
      </c>
      <c r="BK60" s="58">
        <f t="shared" si="815"/>
        <v>1402014.48</v>
      </c>
      <c r="BL60" s="58">
        <f t="shared" si="815"/>
        <v>611948.70799999998</v>
      </c>
      <c r="BM60" s="58">
        <f t="shared" si="815"/>
        <v>1601218.8160000001</v>
      </c>
      <c r="BN60" s="58">
        <f t="shared" si="815"/>
        <v>2033254.233</v>
      </c>
      <c r="BO60" s="58">
        <f t="shared" si="815"/>
        <v>0</v>
      </c>
      <c r="BP60" s="58">
        <f t="shared" si="815"/>
        <v>0</v>
      </c>
      <c r="BQ60" s="58">
        <f t="shared" ref="BQ60" si="816">+SUM(BQ61:BQ69)</f>
        <v>13965036.904999999</v>
      </c>
      <c r="BR60" s="118">
        <f t="shared" si="389"/>
        <v>0.7230968076271187</v>
      </c>
      <c r="BS60" s="58">
        <f t="shared" ref="BS60:CD60" si="817">+SUM(BS61:BS69)</f>
        <v>1180000</v>
      </c>
      <c r="BT60" s="58">
        <f t="shared" si="817"/>
        <v>1106250</v>
      </c>
      <c r="BU60" s="58">
        <f t="shared" si="817"/>
        <v>1622500</v>
      </c>
      <c r="BV60" s="58">
        <f t="shared" si="817"/>
        <v>1106250</v>
      </c>
      <c r="BW60" s="58">
        <f t="shared" si="817"/>
        <v>1327500</v>
      </c>
      <c r="BX60" s="58">
        <f t="shared" si="817"/>
        <v>1106250</v>
      </c>
      <c r="BY60" s="58">
        <f t="shared" si="817"/>
        <v>1253750</v>
      </c>
      <c r="BZ60" s="58">
        <f t="shared" si="817"/>
        <v>1475000</v>
      </c>
      <c r="CA60" s="58">
        <f t="shared" si="817"/>
        <v>1253750</v>
      </c>
      <c r="CB60" s="58">
        <f t="shared" si="817"/>
        <v>1180000</v>
      </c>
      <c r="CC60" s="58">
        <f t="shared" si="817"/>
        <v>1032500</v>
      </c>
      <c r="CD60" s="58">
        <f t="shared" si="817"/>
        <v>1548750</v>
      </c>
      <c r="CE60" s="58">
        <f t="shared" ref="CE60" si="818">+SUM(CE61:CE69)</f>
        <v>15192500</v>
      </c>
      <c r="CF60" s="22"/>
      <c r="CG60" s="58">
        <f t="shared" ref="CG60:CS60" si="819">+SUM(CG61:CG69)</f>
        <v>303816.32000000001</v>
      </c>
      <c r="CH60" s="58">
        <f t="shared" si="819"/>
        <v>276319</v>
      </c>
      <c r="CI60" s="58">
        <f t="shared" si="819"/>
        <v>572880</v>
      </c>
      <c r="CJ60" s="58">
        <f t="shared" si="819"/>
        <v>315159</v>
      </c>
      <c r="CK60" s="58">
        <f t="shared" si="819"/>
        <v>805101</v>
      </c>
      <c r="CL60" s="58">
        <f t="shared" si="819"/>
        <v>365432</v>
      </c>
      <c r="CM60" s="58">
        <f t="shared" si="819"/>
        <v>700938</v>
      </c>
      <c r="CN60" s="58">
        <f t="shared" si="819"/>
        <v>712863</v>
      </c>
      <c r="CO60" s="58">
        <f t="shared" si="819"/>
        <v>506277</v>
      </c>
      <c r="CP60" s="58">
        <f t="shared" si="819"/>
        <v>291241</v>
      </c>
      <c r="CQ60" s="58">
        <f t="shared" si="819"/>
        <v>976309</v>
      </c>
      <c r="CR60" s="58">
        <f t="shared" si="819"/>
        <v>656405</v>
      </c>
      <c r="CS60" s="58">
        <f t="shared" si="819"/>
        <v>6482740.3200000003</v>
      </c>
      <c r="CT60" s="6" t="str">
        <f t="shared" si="51"/>
        <v>Other Source of Income</v>
      </c>
      <c r="CU60" s="58">
        <f>+SUM(CU61:CU69)</f>
        <v>690306.45499999996</v>
      </c>
      <c r="CV60" s="58">
        <f t="shared" ref="CV60:DG60" si="820">+SUM(CV61:CV69)</f>
        <v>217484.94349999999</v>
      </c>
      <c r="CW60" s="58">
        <f t="shared" si="820"/>
        <v>1251914.2175</v>
      </c>
      <c r="CX60" s="58">
        <f t="shared" si="820"/>
        <v>711944.76063559332</v>
      </c>
      <c r="CY60" s="58">
        <f t="shared" si="820"/>
        <v>614383.89</v>
      </c>
      <c r="CZ60" s="58">
        <f t="shared" si="820"/>
        <v>364923.75199999998</v>
      </c>
      <c r="DA60" s="58">
        <f t="shared" si="820"/>
        <v>1129440.18</v>
      </c>
      <c r="DB60" s="58">
        <f t="shared" si="820"/>
        <v>786111.01549999998</v>
      </c>
      <c r="DC60" s="58">
        <f t="shared" si="820"/>
        <v>717569.74100000004</v>
      </c>
      <c r="DD60" s="58">
        <f t="shared" si="820"/>
        <v>719777.67650000006</v>
      </c>
      <c r="DE60" s="58">
        <f t="shared" si="820"/>
        <v>0</v>
      </c>
      <c r="DF60" s="58">
        <f t="shared" si="820"/>
        <v>0</v>
      </c>
      <c r="DG60" s="58">
        <f t="shared" si="820"/>
        <v>7203856.6316355933</v>
      </c>
      <c r="DH60" s="118">
        <f t="shared" si="390"/>
        <v>-0.30287876368038735</v>
      </c>
      <c r="DI60" s="58">
        <f t="shared" ref="DI60:DU60" si="821">+SUM(DI61:DI69)</f>
        <v>958750</v>
      </c>
      <c r="DJ60" s="58">
        <f t="shared" si="821"/>
        <v>1032500</v>
      </c>
      <c r="DK60" s="58">
        <f t="shared" si="821"/>
        <v>1106250</v>
      </c>
      <c r="DL60" s="58">
        <f t="shared" si="821"/>
        <v>1106250</v>
      </c>
      <c r="DM60" s="58">
        <f t="shared" si="821"/>
        <v>1032500</v>
      </c>
      <c r="DN60" s="58">
        <f t="shared" si="821"/>
        <v>958750</v>
      </c>
      <c r="DO60" s="58">
        <f t="shared" si="821"/>
        <v>885000</v>
      </c>
      <c r="DP60" s="58">
        <f t="shared" si="821"/>
        <v>1032500</v>
      </c>
      <c r="DQ60" s="58">
        <f t="shared" si="821"/>
        <v>1253750</v>
      </c>
      <c r="DR60" s="58">
        <f t="shared" si="821"/>
        <v>1032500</v>
      </c>
      <c r="DS60" s="58">
        <f t="shared" si="821"/>
        <v>1032500</v>
      </c>
      <c r="DT60" s="58">
        <f t="shared" si="821"/>
        <v>1180000</v>
      </c>
      <c r="DU60" s="58">
        <f t="shared" si="821"/>
        <v>12611250</v>
      </c>
    </row>
    <row r="61" spans="1:125" ht="14.45" hidden="1" customHeight="1" outlineLevel="1">
      <c r="A61" s="106">
        <f t="shared" ref="A61:A69" si="822">+AQ61+CG61</f>
        <v>218497.66</v>
      </c>
      <c r="B61" s="106">
        <f t="shared" ref="B61:B69" si="823">+AR61+CH61</f>
        <v>280186</v>
      </c>
      <c r="C61" s="106">
        <f t="shared" ref="C61:C69" si="824">+AS61+CI61</f>
        <v>355248</v>
      </c>
      <c r="D61" s="106">
        <f t="shared" ref="D61:D69" si="825">+AT61+CJ61</f>
        <v>212707</v>
      </c>
      <c r="E61" s="106">
        <f t="shared" ref="E61:E69" si="826">+AU61+CK61</f>
        <v>671082</v>
      </c>
      <c r="F61" s="106">
        <f t="shared" ref="F61:F69" si="827">+AV61+CL61</f>
        <v>237498</v>
      </c>
      <c r="G61" s="106">
        <f t="shared" ref="G61:G69" si="828">+AW61+CM61</f>
        <v>449719</v>
      </c>
      <c r="H61" s="106">
        <f t="shared" ref="H61:H69" si="829">+AX61+CN61</f>
        <v>494956</v>
      </c>
      <c r="I61" s="106">
        <f t="shared" ref="I61:I69" si="830">+AY61+CO61</f>
        <v>281360</v>
      </c>
      <c r="J61" s="106">
        <f t="shared" ref="J61:J69" si="831">+AZ61+CP61</f>
        <v>302899</v>
      </c>
      <c r="K61" s="106">
        <f t="shared" ref="K61:K69" si="832">+BA61+CQ61</f>
        <v>338272</v>
      </c>
      <c r="L61" s="106">
        <f t="shared" ref="L61:L69" si="833">+BB61+CR61</f>
        <v>248337</v>
      </c>
      <c r="M61" s="106">
        <f t="shared" ref="M61:M69" si="834">+SUM(A61:L61)</f>
        <v>4090761.66</v>
      </c>
      <c r="N61" s="7" t="s">
        <v>47</v>
      </c>
      <c r="O61" s="106">
        <f t="shared" ref="O61:O69" si="835">+BE61+CU61</f>
        <v>405325.96</v>
      </c>
      <c r="P61" s="106">
        <f t="shared" ref="P61:P69" si="836">+BF61+CV61</f>
        <v>297358</v>
      </c>
      <c r="Q61" s="106">
        <f t="shared" ref="Q61:Q69" si="837">+BG61+CW61</f>
        <v>469624</v>
      </c>
      <c r="R61" s="106">
        <f t="shared" ref="R61:R69" si="838">+BH61+CX61</f>
        <v>215449.22999999998</v>
      </c>
      <c r="S61" s="106">
        <f t="shared" ref="S61:S69" si="839">+BI61+CY61</f>
        <v>329580.28000000003</v>
      </c>
      <c r="T61" s="106">
        <f t="shared" ref="T61:T69" si="840">+BJ61+CZ61</f>
        <v>287737</v>
      </c>
      <c r="U61" s="106">
        <f t="shared" ref="U61:U69" si="841">+BK61+DA61</f>
        <v>388513</v>
      </c>
      <c r="V61" s="106">
        <f t="shared" ref="V61:V69" si="842">+BL61+DB61</f>
        <v>285073</v>
      </c>
      <c r="W61" s="106">
        <f t="shared" ref="W61:W69" si="843">+BM61+DC61</f>
        <v>286588.06</v>
      </c>
      <c r="X61" s="106">
        <f t="shared" ref="X61:X69" si="844">+BN61+DD61</f>
        <v>655852.28</v>
      </c>
      <c r="Y61" s="106">
        <f t="shared" ref="Y61:Y69" si="845">+BO61+DE61</f>
        <v>0</v>
      </c>
      <c r="Z61" s="106">
        <f t="shared" ref="Z61:Z69" si="846">+BP61+DF61</f>
        <v>0</v>
      </c>
      <c r="AA61" s="106">
        <f t="shared" ref="AA61:AA69" si="847">+SUM(O61:Z61)</f>
        <v>3621100.8099999996</v>
      </c>
      <c r="AB61" s="118">
        <f t="shared" si="374"/>
        <v>0.38804715343915352</v>
      </c>
      <c r="AC61" s="106">
        <f t="shared" ref="AC61:AC69" si="848">+BS61+DI61</f>
        <v>456750</v>
      </c>
      <c r="AD61" s="106">
        <f t="shared" ref="AD61:AD69" si="849">+BT61+DJ61</f>
        <v>456750</v>
      </c>
      <c r="AE61" s="106">
        <f t="shared" ref="AE61:AE69" si="850">+BU61+DK61</f>
        <v>582750</v>
      </c>
      <c r="AF61" s="106">
        <f t="shared" ref="AF61:AF69" si="851">+BV61+DL61</f>
        <v>472500</v>
      </c>
      <c r="AG61" s="106">
        <f t="shared" ref="AG61:AG69" si="852">+BW61+DM61</f>
        <v>504000</v>
      </c>
      <c r="AH61" s="106">
        <f t="shared" ref="AH61:AH69" si="853">+BX61+DN61</f>
        <v>441000</v>
      </c>
      <c r="AI61" s="106">
        <f t="shared" ref="AI61:AI69" si="854">+BY61+DO61</f>
        <v>456750</v>
      </c>
      <c r="AJ61" s="106">
        <f t="shared" ref="AJ61:AJ69" si="855">+BZ61+DP61</f>
        <v>535500</v>
      </c>
      <c r="AK61" s="106">
        <f t="shared" ref="AK61:AK69" si="856">+CA61+DQ61</f>
        <v>535500</v>
      </c>
      <c r="AL61" s="106">
        <f t="shared" ref="AL61:AL69" si="857">+CB61+DR61</f>
        <v>472500</v>
      </c>
      <c r="AM61" s="106">
        <f t="shared" ref="AM61:AM69" si="858">+CC61+DS61</f>
        <v>441000</v>
      </c>
      <c r="AN61" s="106">
        <f t="shared" ref="AN61:AN69" si="859">+CD61+DT61</f>
        <v>582750</v>
      </c>
      <c r="AO61" s="106">
        <f t="shared" ref="AO61:AO69" si="860">+SUM(AC61:AN61)</f>
        <v>5937750</v>
      </c>
      <c r="AQ61" s="106">
        <v>149354.34</v>
      </c>
      <c r="AR61" s="106">
        <v>112377</v>
      </c>
      <c r="AS61" s="106">
        <v>181668</v>
      </c>
      <c r="AT61" s="106">
        <v>197548</v>
      </c>
      <c r="AU61" s="106">
        <v>343950</v>
      </c>
      <c r="AV61" s="106">
        <v>215404</v>
      </c>
      <c r="AW61" s="106">
        <v>296831</v>
      </c>
      <c r="AX61" s="106">
        <v>259737</v>
      </c>
      <c r="AY61" s="106">
        <v>215420</v>
      </c>
      <c r="AZ61" s="106">
        <v>197433</v>
      </c>
      <c r="BA61" s="106">
        <v>131265</v>
      </c>
      <c r="BB61" s="106">
        <v>118992</v>
      </c>
      <c r="BC61" s="106">
        <f t="shared" ref="BC61:BC69" si="861">+SUM(AQ61:BB61)</f>
        <v>2419979.34</v>
      </c>
      <c r="BD61" s="7" t="str">
        <f t="shared" si="47"/>
        <v>Insurance Commission</v>
      </c>
      <c r="BE61" s="106">
        <f>+VLOOKUP($BD61,'Jan-25'!$A:$J,2,0)</f>
        <v>276068.96000000002</v>
      </c>
      <c r="BF61" s="106">
        <f>+VLOOKUP($BD61,'Feb-25'!$A:$J,2,0)</f>
        <v>236408</v>
      </c>
      <c r="BG61" s="106">
        <f>+VLOOKUP($BD61,'Mar-25'!$A:$J,2,0)</f>
        <v>177614</v>
      </c>
      <c r="BH61" s="106">
        <f>+VLOOKUP($BD61,'Apr-25'!$A:$J,2,0)</f>
        <v>127584</v>
      </c>
      <c r="BI61" s="106">
        <f>+VLOOKUP($BD61,'May-25'!$A:$J,2,0)</f>
        <v>70943</v>
      </c>
      <c r="BJ61" s="106">
        <f>+VLOOKUP($BD61,'June-25'!$A:$J,2,0)</f>
        <v>271120</v>
      </c>
      <c r="BK61" s="106">
        <f>+VLOOKUP($BD61,'July-25'!$A:$J,2,0)</f>
        <v>268913</v>
      </c>
      <c r="BL61" s="106">
        <f>+VLOOKUP($BD61,'Aug-25'!$A:$J,2,0)</f>
        <v>113323</v>
      </c>
      <c r="BM61" s="106">
        <f>+VLOOKUP($BD61,'Sep-25'!$A:$J,2,0)</f>
        <v>151112</v>
      </c>
      <c r="BN61" s="106">
        <f>+VLOOKUP($BD61,'Oct-25'!$A:$J,2,0)</f>
        <v>490071.28</v>
      </c>
      <c r="BO61" s="106">
        <f>+VLOOKUP($BD61,'Nov-25'!$A:$J,2,0)</f>
        <v>0</v>
      </c>
      <c r="BP61" s="106">
        <f>+VLOOKUP($BD61,'Dec-25'!$A:$J,2,0)</f>
        <v>0</v>
      </c>
      <c r="BQ61" s="106">
        <f t="shared" ref="BQ61:BQ69" si="862">+SUM(BE61:BP61)</f>
        <v>2183157.2400000002</v>
      </c>
      <c r="BR61" s="118">
        <f t="shared" si="389"/>
        <v>0.94472730158730167</v>
      </c>
      <c r="BS61" s="106" cm="1">
        <f t="array" ref="BS61:CD61">+_xlfn.XLOOKUP(BD61,Budget!A:A,Budget!Q:AB)</f>
        <v>252000</v>
      </c>
      <c r="BT61" s="106">
        <v>236250</v>
      </c>
      <c r="BU61" s="106">
        <v>346500</v>
      </c>
      <c r="BV61" s="106">
        <v>236250</v>
      </c>
      <c r="BW61" s="106">
        <v>283500</v>
      </c>
      <c r="BX61" s="106">
        <v>236250</v>
      </c>
      <c r="BY61" s="106">
        <v>267750</v>
      </c>
      <c r="BZ61" s="106">
        <v>315000</v>
      </c>
      <c r="CA61" s="106">
        <v>267750</v>
      </c>
      <c r="CB61" s="106">
        <v>252000</v>
      </c>
      <c r="CC61" s="106">
        <v>220500</v>
      </c>
      <c r="CD61" s="106">
        <v>330750</v>
      </c>
      <c r="CE61" s="106">
        <f t="shared" ref="CE61:CE69" si="863">+SUM(BS61:CD61)</f>
        <v>3244500</v>
      </c>
      <c r="CF61" s="22"/>
      <c r="CG61" s="106">
        <v>69143.320000000007</v>
      </c>
      <c r="CH61" s="106">
        <v>167809</v>
      </c>
      <c r="CI61" s="106">
        <v>173580</v>
      </c>
      <c r="CJ61" s="106">
        <v>15159</v>
      </c>
      <c r="CK61" s="106">
        <v>327132</v>
      </c>
      <c r="CL61" s="106">
        <v>22094</v>
      </c>
      <c r="CM61" s="106">
        <v>152888</v>
      </c>
      <c r="CN61" s="106">
        <v>235219</v>
      </c>
      <c r="CO61" s="106">
        <v>65940</v>
      </c>
      <c r="CP61" s="106">
        <v>105466</v>
      </c>
      <c r="CQ61" s="106">
        <v>207007</v>
      </c>
      <c r="CR61" s="106">
        <v>129345</v>
      </c>
      <c r="CS61" s="106">
        <f t="shared" ref="CS61:CS69" si="864">+SUM(CG61:CR61)</f>
        <v>1670782.32</v>
      </c>
      <c r="CT61" s="7" t="str">
        <f t="shared" si="51"/>
        <v>Insurance Commission</v>
      </c>
      <c r="CU61" s="106">
        <f>+VLOOKUP($BD61,'Jan-25'!$A:$J,6,0)</f>
        <v>129257</v>
      </c>
      <c r="CV61" s="106">
        <f>+VLOOKUP($BD61,'Feb-25'!$A:$J,6,0)</f>
        <v>60950</v>
      </c>
      <c r="CW61" s="106">
        <f>+VLOOKUP($BD61,'Mar-25'!$A:$J,6,0)</f>
        <v>292010</v>
      </c>
      <c r="CX61" s="106">
        <f>+VLOOKUP($BD61,'Apr-25'!$A:$J,6,0)</f>
        <v>87865.23</v>
      </c>
      <c r="CY61" s="106">
        <f>+VLOOKUP($BD61,'May-25'!$A:$J,6,0)</f>
        <v>258637.28</v>
      </c>
      <c r="CZ61" s="106">
        <f>+VLOOKUP($BD61,'June-25'!$A:$J,6,0)</f>
        <v>16617</v>
      </c>
      <c r="DA61" s="106">
        <f>+VLOOKUP($BD61,'July-25'!$A:$J,6,0)</f>
        <v>119600</v>
      </c>
      <c r="DB61" s="106">
        <f>+VLOOKUP($BD61,'Aug-25'!$A:$J,6,0)</f>
        <v>171750</v>
      </c>
      <c r="DC61" s="106">
        <f>+VLOOKUP($BD61,'Sep-25'!$A:$J,6,0)</f>
        <v>135476.06</v>
      </c>
      <c r="DD61" s="106">
        <f>+VLOOKUP($BD61,'Oct-25'!$A:$J,6,0)</f>
        <v>165781</v>
      </c>
      <c r="DE61" s="106">
        <f>+VLOOKUP($BD61,'Nov-25'!$A:$J,6,0)</f>
        <v>0</v>
      </c>
      <c r="DF61" s="106">
        <f>+VLOOKUP($BD61,'Dec-25'!$A:$J,6,0)</f>
        <v>0</v>
      </c>
      <c r="DG61" s="106">
        <f t="shared" ref="DG61:DG68" si="865">+SUM(CU61:DF61)</f>
        <v>1437943.57</v>
      </c>
      <c r="DH61" s="118">
        <f t="shared" si="390"/>
        <v>-0.24815873015873016</v>
      </c>
      <c r="DI61" s="106">
        <f>+_xlfn.XLOOKUP($CT61,Budget!$A:$A,Budget!BQ:BQ)</f>
        <v>204750</v>
      </c>
      <c r="DJ61" s="106">
        <f>+_xlfn.XLOOKUP($CT61,Budget!$A:$A,Budget!BR:BR)</f>
        <v>220500</v>
      </c>
      <c r="DK61" s="106">
        <f>+_xlfn.XLOOKUP($CT61,Budget!$A:$A,Budget!BS:BS)</f>
        <v>236250</v>
      </c>
      <c r="DL61" s="106">
        <f>+_xlfn.XLOOKUP($CT61,Budget!$A:$A,Budget!BT:BT)</f>
        <v>236250</v>
      </c>
      <c r="DM61" s="106">
        <f>+_xlfn.XLOOKUP($CT61,Budget!$A:$A,Budget!BU:BU)</f>
        <v>220500</v>
      </c>
      <c r="DN61" s="106">
        <f>+_xlfn.XLOOKUP($CT61,Budget!$A:$A,Budget!BV:BV)</f>
        <v>204750</v>
      </c>
      <c r="DO61" s="106">
        <f>+_xlfn.XLOOKUP($CT61,Budget!$A:$A,Budget!BW:BW)</f>
        <v>189000</v>
      </c>
      <c r="DP61" s="106">
        <f>+_xlfn.XLOOKUP($CT61,Budget!$A:$A,Budget!BX:BX)</f>
        <v>220500</v>
      </c>
      <c r="DQ61" s="106">
        <f>+_xlfn.XLOOKUP($CT61,Budget!$A:$A,Budget!BY:BY)</f>
        <v>267750</v>
      </c>
      <c r="DR61" s="106">
        <f>+_xlfn.XLOOKUP($CT61,Budget!$A:$A,Budget!BZ:BZ)</f>
        <v>220500</v>
      </c>
      <c r="DS61" s="106">
        <f>+_xlfn.XLOOKUP($CT61,Budget!$A:$A,Budget!CA:CA)</f>
        <v>220500</v>
      </c>
      <c r="DT61" s="106">
        <f>+_xlfn.XLOOKUP($CT61,Budget!$A:$A,Budget!CB:CB)</f>
        <v>252000</v>
      </c>
      <c r="DU61" s="106">
        <f t="shared" ref="DU61:DU69" si="866">+SUM(DI61:DT61)</f>
        <v>2693250</v>
      </c>
    </row>
    <row r="62" spans="1:125" ht="14.45" hidden="1" customHeight="1" outlineLevel="1">
      <c r="A62" s="106">
        <f t="shared" si="822"/>
        <v>0</v>
      </c>
      <c r="B62" s="106">
        <f t="shared" si="823"/>
        <v>0</v>
      </c>
      <c r="C62" s="106">
        <f t="shared" si="824"/>
        <v>0</v>
      </c>
      <c r="D62" s="106">
        <f t="shared" si="825"/>
        <v>0</v>
      </c>
      <c r="E62" s="106">
        <f t="shared" si="826"/>
        <v>0</v>
      </c>
      <c r="F62" s="106">
        <f t="shared" si="827"/>
        <v>0</v>
      </c>
      <c r="G62" s="106">
        <f t="shared" si="828"/>
        <v>0</v>
      </c>
      <c r="H62" s="106">
        <f t="shared" si="829"/>
        <v>0</v>
      </c>
      <c r="I62" s="106">
        <f t="shared" si="830"/>
        <v>0</v>
      </c>
      <c r="J62" s="106">
        <f t="shared" si="831"/>
        <v>0</v>
      </c>
      <c r="K62" s="106">
        <f t="shared" si="832"/>
        <v>0</v>
      </c>
      <c r="L62" s="106">
        <f t="shared" si="833"/>
        <v>0</v>
      </c>
      <c r="M62" s="106">
        <f t="shared" si="834"/>
        <v>0</v>
      </c>
      <c r="N62" s="7" t="s">
        <v>48</v>
      </c>
      <c r="O62" s="106">
        <f t="shared" si="835"/>
        <v>0</v>
      </c>
      <c r="P62" s="106">
        <f t="shared" si="836"/>
        <v>0</v>
      </c>
      <c r="Q62" s="106">
        <f t="shared" si="837"/>
        <v>0</v>
      </c>
      <c r="R62" s="106">
        <f t="shared" si="838"/>
        <v>0</v>
      </c>
      <c r="S62" s="106">
        <f t="shared" si="839"/>
        <v>0</v>
      </c>
      <c r="T62" s="106">
        <f t="shared" si="840"/>
        <v>0</v>
      </c>
      <c r="U62" s="106">
        <f t="shared" si="841"/>
        <v>0</v>
      </c>
      <c r="V62" s="106">
        <f t="shared" si="842"/>
        <v>0</v>
      </c>
      <c r="W62" s="106">
        <f t="shared" si="843"/>
        <v>0</v>
      </c>
      <c r="X62" s="106">
        <f t="shared" si="844"/>
        <v>0</v>
      </c>
      <c r="Y62" s="106">
        <f t="shared" si="845"/>
        <v>0</v>
      </c>
      <c r="Z62" s="106">
        <f t="shared" si="846"/>
        <v>0</v>
      </c>
      <c r="AA62" s="106">
        <f t="shared" si="847"/>
        <v>0</v>
      </c>
      <c r="AB62" s="118">
        <f t="shared" si="374"/>
        <v>0</v>
      </c>
      <c r="AC62" s="106">
        <f t="shared" si="848"/>
        <v>0</v>
      </c>
      <c r="AD62" s="106">
        <f t="shared" si="849"/>
        <v>0</v>
      </c>
      <c r="AE62" s="106">
        <f t="shared" si="850"/>
        <v>0</v>
      </c>
      <c r="AF62" s="106">
        <f t="shared" si="851"/>
        <v>0</v>
      </c>
      <c r="AG62" s="106">
        <f t="shared" si="852"/>
        <v>0</v>
      </c>
      <c r="AH62" s="106">
        <f t="shared" si="853"/>
        <v>0</v>
      </c>
      <c r="AI62" s="106">
        <f t="shared" si="854"/>
        <v>0</v>
      </c>
      <c r="AJ62" s="106">
        <f t="shared" si="855"/>
        <v>0</v>
      </c>
      <c r="AK62" s="106">
        <f t="shared" si="856"/>
        <v>0</v>
      </c>
      <c r="AL62" s="106">
        <f t="shared" si="857"/>
        <v>0</v>
      </c>
      <c r="AM62" s="106">
        <f t="shared" si="858"/>
        <v>0</v>
      </c>
      <c r="AN62" s="106">
        <f t="shared" si="859"/>
        <v>0</v>
      </c>
      <c r="AO62" s="106">
        <f t="shared" si="860"/>
        <v>0</v>
      </c>
      <c r="AQ62" s="106">
        <v>0</v>
      </c>
      <c r="AR62" s="106">
        <v>0</v>
      </c>
      <c r="AS62" s="106">
        <v>0</v>
      </c>
      <c r="AT62" s="106">
        <v>0</v>
      </c>
      <c r="AU62" s="106">
        <v>0</v>
      </c>
      <c r="AV62" s="106">
        <v>0</v>
      </c>
      <c r="AW62" s="106">
        <v>0</v>
      </c>
      <c r="AX62" s="106">
        <v>0</v>
      </c>
      <c r="AY62" s="106">
        <v>0</v>
      </c>
      <c r="AZ62" s="106">
        <v>0</v>
      </c>
      <c r="BA62" s="106">
        <v>0</v>
      </c>
      <c r="BB62" s="106">
        <v>0</v>
      </c>
      <c r="BC62" s="106">
        <f t="shared" si="861"/>
        <v>0</v>
      </c>
      <c r="BD62" s="7" t="str">
        <f t="shared" si="47"/>
        <v>Insurance Renewal</v>
      </c>
      <c r="BE62" s="106">
        <f>+VLOOKUP($BD62,'Jan-25'!$A:$J,2,0)</f>
        <v>0</v>
      </c>
      <c r="BF62" s="106">
        <f>+VLOOKUP($BD62,'Feb-25'!$A:$J,2,0)</f>
        <v>0</v>
      </c>
      <c r="BG62" s="106">
        <f>+VLOOKUP($BD62,'Mar-25'!$A:$J,2,0)</f>
        <v>0</v>
      </c>
      <c r="BH62" s="106">
        <f>+VLOOKUP($BD62,'Apr-25'!$A:$J,2,0)</f>
        <v>0</v>
      </c>
      <c r="BI62" s="106">
        <f>+VLOOKUP($BD62,'May-25'!$A:$J,2,0)</f>
        <v>0</v>
      </c>
      <c r="BJ62" s="106">
        <f>+VLOOKUP($BD62,'June-25'!$A:$J,2,0)</f>
        <v>0</v>
      </c>
      <c r="BK62" s="106">
        <f>+VLOOKUP($BD62,'July-25'!$A:$J,2,0)</f>
        <v>0</v>
      </c>
      <c r="BL62" s="106">
        <f>+VLOOKUP($BD62,'Aug-25'!$A:$J,2,0)</f>
        <v>0</v>
      </c>
      <c r="BM62" s="106">
        <f>+VLOOKUP($BD62,'Sep-25'!$A:$J,2,0)</f>
        <v>0</v>
      </c>
      <c r="BN62" s="106">
        <f>+VLOOKUP($BD62,'Oct-25'!$A:$J,2,0)</f>
        <v>0</v>
      </c>
      <c r="BO62" s="106">
        <f>+VLOOKUP($BD62,'Nov-25'!$A:$J,2,0)</f>
        <v>0</v>
      </c>
      <c r="BP62" s="106">
        <f>+VLOOKUP($BD62,'Dec-25'!$A:$J,2,0)</f>
        <v>0</v>
      </c>
      <c r="BQ62" s="106">
        <f t="shared" si="862"/>
        <v>0</v>
      </c>
      <c r="BR62" s="118">
        <f t="shared" si="389"/>
        <v>0</v>
      </c>
      <c r="BS62" s="106" cm="1">
        <f t="array" ref="BS62:CD62">+_xlfn.XLOOKUP(BD62,Budget!A:A,Budget!Q:AB)</f>
        <v>0</v>
      </c>
      <c r="BT62" s="106">
        <v>0</v>
      </c>
      <c r="BU62" s="106">
        <v>0</v>
      </c>
      <c r="BV62" s="106">
        <v>0</v>
      </c>
      <c r="BW62" s="106">
        <v>0</v>
      </c>
      <c r="BX62" s="106">
        <v>0</v>
      </c>
      <c r="BY62" s="106">
        <v>0</v>
      </c>
      <c r="BZ62" s="106">
        <v>0</v>
      </c>
      <c r="CA62" s="106">
        <v>0</v>
      </c>
      <c r="CB62" s="106">
        <v>0</v>
      </c>
      <c r="CC62" s="106">
        <v>0</v>
      </c>
      <c r="CD62" s="106">
        <v>0</v>
      </c>
      <c r="CE62" s="106">
        <f t="shared" si="863"/>
        <v>0</v>
      </c>
      <c r="CF62" s="22"/>
      <c r="CG62" s="106">
        <v>0</v>
      </c>
      <c r="CH62" s="106">
        <v>0</v>
      </c>
      <c r="CI62" s="106">
        <v>0</v>
      </c>
      <c r="CJ62" s="106">
        <v>0</v>
      </c>
      <c r="CK62" s="106">
        <v>0</v>
      </c>
      <c r="CL62" s="106">
        <v>0</v>
      </c>
      <c r="CM62" s="106">
        <v>0</v>
      </c>
      <c r="CN62" s="106">
        <v>0</v>
      </c>
      <c r="CO62" s="106">
        <v>0</v>
      </c>
      <c r="CP62" s="106">
        <v>0</v>
      </c>
      <c r="CQ62" s="106">
        <v>0</v>
      </c>
      <c r="CR62" s="106">
        <v>0</v>
      </c>
      <c r="CS62" s="106">
        <f t="shared" si="864"/>
        <v>0</v>
      </c>
      <c r="CT62" s="7" t="str">
        <f t="shared" si="51"/>
        <v>Insurance Renewal</v>
      </c>
      <c r="CU62" s="106">
        <f>+VLOOKUP($BD62,'Jan-25'!$A:$J,6,0)</f>
        <v>0</v>
      </c>
      <c r="CV62" s="106">
        <f>+VLOOKUP($BD62,'Feb-25'!$A:$J,6,0)</f>
        <v>0</v>
      </c>
      <c r="CW62" s="106">
        <f>+VLOOKUP($BD62,'Mar-25'!$A:$J,6,0)</f>
        <v>0</v>
      </c>
      <c r="CX62" s="106">
        <f>+VLOOKUP($BD62,'Apr-25'!$A:$J,6,0)</f>
        <v>0</v>
      </c>
      <c r="CY62" s="106">
        <f>+VLOOKUP($BD62,'May-25'!$A:$J,6,0)</f>
        <v>0</v>
      </c>
      <c r="CZ62" s="106">
        <f>+VLOOKUP($BD62,'June-25'!$A:$J,6,0)</f>
        <v>0</v>
      </c>
      <c r="DA62" s="106">
        <f>+VLOOKUP($BD62,'July-25'!$A:$J,6,0)</f>
        <v>0</v>
      </c>
      <c r="DB62" s="106">
        <f>+VLOOKUP($BD62,'Aug-25'!$A:$J,6,0)</f>
        <v>0</v>
      </c>
      <c r="DC62" s="106">
        <f>+VLOOKUP($BD62,'Sep-25'!$A:$J,6,0)</f>
        <v>0</v>
      </c>
      <c r="DD62" s="106">
        <f>+VLOOKUP($BD62,'Oct-25'!$A:$J,6,0)</f>
        <v>0</v>
      </c>
      <c r="DE62" s="106">
        <f>+VLOOKUP($BD62,'Nov-25'!$A:$J,6,0)</f>
        <v>0</v>
      </c>
      <c r="DF62" s="106">
        <f>+VLOOKUP($BD62,'Dec-25'!$A:$J,6,0)</f>
        <v>0</v>
      </c>
      <c r="DG62" s="106">
        <f t="shared" si="865"/>
        <v>0</v>
      </c>
      <c r="DH62" s="118">
        <f t="shared" si="390"/>
        <v>0</v>
      </c>
      <c r="DI62" s="106">
        <f>+_xlfn.XLOOKUP($CT62,Budget!$A:$A,Budget!BQ:BQ)</f>
        <v>0</v>
      </c>
      <c r="DJ62" s="106">
        <f>+_xlfn.XLOOKUP($CT62,Budget!$A:$A,Budget!BR:BR)</f>
        <v>0</v>
      </c>
      <c r="DK62" s="106">
        <f>+_xlfn.XLOOKUP($CT62,Budget!$A:$A,Budget!BS:BS)</f>
        <v>0</v>
      </c>
      <c r="DL62" s="106">
        <f>+_xlfn.XLOOKUP($CT62,Budget!$A:$A,Budget!BT:BT)</f>
        <v>0</v>
      </c>
      <c r="DM62" s="106">
        <f>+_xlfn.XLOOKUP($CT62,Budget!$A:$A,Budget!BU:BU)</f>
        <v>0</v>
      </c>
      <c r="DN62" s="106">
        <f>+_xlfn.XLOOKUP($CT62,Budget!$A:$A,Budget!BV:BV)</f>
        <v>0</v>
      </c>
      <c r="DO62" s="106">
        <f>+_xlfn.XLOOKUP($CT62,Budget!$A:$A,Budget!BW:BW)</f>
        <v>0</v>
      </c>
      <c r="DP62" s="106">
        <f>+_xlfn.XLOOKUP($CT62,Budget!$A:$A,Budget!BX:BX)</f>
        <v>0</v>
      </c>
      <c r="DQ62" s="106">
        <f>+_xlfn.XLOOKUP($CT62,Budget!$A:$A,Budget!BY:BY)</f>
        <v>0</v>
      </c>
      <c r="DR62" s="106">
        <f>+_xlfn.XLOOKUP($CT62,Budget!$A:$A,Budget!BZ:BZ)</f>
        <v>0</v>
      </c>
      <c r="DS62" s="106">
        <f>+_xlfn.XLOOKUP($CT62,Budget!$A:$A,Budget!CA:CA)</f>
        <v>0</v>
      </c>
      <c r="DT62" s="106">
        <f>+_xlfn.XLOOKUP($CT62,Budget!$A:$A,Budget!CB:CB)</f>
        <v>0</v>
      </c>
      <c r="DU62" s="106">
        <f t="shared" si="866"/>
        <v>0</v>
      </c>
    </row>
    <row r="63" spans="1:125" ht="14.45" hidden="1" customHeight="1" outlineLevel="1">
      <c r="A63" s="106">
        <f t="shared" si="822"/>
        <v>508902</v>
      </c>
      <c r="B63" s="106">
        <f t="shared" si="823"/>
        <v>803464</v>
      </c>
      <c r="C63" s="106">
        <f t="shared" si="824"/>
        <v>956243</v>
      </c>
      <c r="D63" s="106">
        <f t="shared" si="825"/>
        <v>233455</v>
      </c>
      <c r="E63" s="106">
        <f t="shared" si="826"/>
        <v>719513</v>
      </c>
      <c r="F63" s="106">
        <f t="shared" si="827"/>
        <v>709424</v>
      </c>
      <c r="G63" s="106">
        <f t="shared" si="828"/>
        <v>987567</v>
      </c>
      <c r="H63" s="106">
        <f t="shared" si="829"/>
        <v>821219</v>
      </c>
      <c r="I63" s="106">
        <f t="shared" si="830"/>
        <v>847195</v>
      </c>
      <c r="J63" s="106">
        <f t="shared" si="831"/>
        <v>1022496</v>
      </c>
      <c r="K63" s="106">
        <f t="shared" si="832"/>
        <v>881260</v>
      </c>
      <c r="L63" s="106">
        <f t="shared" si="833"/>
        <v>677900</v>
      </c>
      <c r="M63" s="106">
        <f t="shared" si="834"/>
        <v>9168638</v>
      </c>
      <c r="N63" s="7" t="s">
        <v>49</v>
      </c>
      <c r="O63" s="106">
        <f t="shared" si="835"/>
        <v>683884</v>
      </c>
      <c r="P63" s="106">
        <f t="shared" si="836"/>
        <v>613946</v>
      </c>
      <c r="Q63" s="106">
        <f t="shared" si="837"/>
        <v>1051454.47</v>
      </c>
      <c r="R63" s="106">
        <f t="shared" si="838"/>
        <v>843694.28813559329</v>
      </c>
      <c r="S63" s="106">
        <f t="shared" si="839"/>
        <v>339126.61</v>
      </c>
      <c r="T63" s="106">
        <f t="shared" si="840"/>
        <v>619065</v>
      </c>
      <c r="U63" s="106">
        <f t="shared" si="841"/>
        <v>1031629.75</v>
      </c>
      <c r="V63" s="106">
        <f t="shared" si="842"/>
        <v>529760</v>
      </c>
      <c r="W63" s="106">
        <f t="shared" si="843"/>
        <v>1022274</v>
      </c>
      <c r="X63" s="106">
        <f t="shared" si="844"/>
        <v>852086</v>
      </c>
      <c r="Y63" s="106">
        <f t="shared" si="845"/>
        <v>0</v>
      </c>
      <c r="Z63" s="106">
        <f t="shared" si="846"/>
        <v>0</v>
      </c>
      <c r="AA63" s="106">
        <f t="shared" si="847"/>
        <v>7586920.1181355929</v>
      </c>
      <c r="AB63" s="118">
        <f t="shared" si="374"/>
        <v>-0.13930707070707071</v>
      </c>
      <c r="AC63" s="106">
        <f t="shared" si="848"/>
        <v>957000</v>
      </c>
      <c r="AD63" s="106">
        <f t="shared" si="849"/>
        <v>957000</v>
      </c>
      <c r="AE63" s="106">
        <f t="shared" si="850"/>
        <v>1221000</v>
      </c>
      <c r="AF63" s="106">
        <f t="shared" si="851"/>
        <v>990000</v>
      </c>
      <c r="AG63" s="106">
        <f t="shared" si="852"/>
        <v>1056000</v>
      </c>
      <c r="AH63" s="106">
        <f t="shared" si="853"/>
        <v>924000</v>
      </c>
      <c r="AI63" s="106">
        <f t="shared" si="854"/>
        <v>957000</v>
      </c>
      <c r="AJ63" s="106">
        <f t="shared" si="855"/>
        <v>1122000</v>
      </c>
      <c r="AK63" s="106">
        <f t="shared" si="856"/>
        <v>1122000</v>
      </c>
      <c r="AL63" s="106">
        <f t="shared" si="857"/>
        <v>990000</v>
      </c>
      <c r="AM63" s="106">
        <f t="shared" si="858"/>
        <v>924000</v>
      </c>
      <c r="AN63" s="106">
        <f t="shared" si="859"/>
        <v>1221000</v>
      </c>
      <c r="AO63" s="106">
        <f t="shared" si="860"/>
        <v>12441000</v>
      </c>
      <c r="AQ63" s="106">
        <v>374229</v>
      </c>
      <c r="AR63" s="106">
        <v>694954</v>
      </c>
      <c r="AS63" s="106">
        <v>806943</v>
      </c>
      <c r="AT63" s="106">
        <v>233455</v>
      </c>
      <c r="AU63" s="106">
        <v>391544</v>
      </c>
      <c r="AV63" s="106">
        <v>591086</v>
      </c>
      <c r="AW63" s="106">
        <v>639517</v>
      </c>
      <c r="AX63" s="106">
        <v>568575</v>
      </c>
      <c r="AY63" s="106">
        <v>731858</v>
      </c>
      <c r="AZ63" s="106">
        <v>911721</v>
      </c>
      <c r="BA63" s="106">
        <v>361958</v>
      </c>
      <c r="BB63" s="106">
        <v>500840</v>
      </c>
      <c r="BC63" s="106">
        <f t="shared" si="861"/>
        <v>6806680</v>
      </c>
      <c r="BD63" s="7" t="str">
        <f t="shared" si="47"/>
        <v>Finance Commission</v>
      </c>
      <c r="BE63" s="106">
        <f>+VLOOKUP($BD63,'Jan-25'!$A:$J,2,0)</f>
        <v>542271</v>
      </c>
      <c r="BF63" s="106">
        <f>+VLOOKUP($BD63,'Feb-25'!$A:$J,2,0)</f>
        <v>596458</v>
      </c>
      <c r="BG63" s="106">
        <f>+VLOOKUP($BD63,'Mar-25'!$A:$J,2,0)</f>
        <v>799646</v>
      </c>
      <c r="BH63" s="106">
        <f>+VLOOKUP($BD63,'Apr-25'!$A:$J,2,0)</f>
        <v>682607</v>
      </c>
      <c r="BI63" s="106">
        <f>+VLOOKUP($BD63,'May-25'!$A:$J,2,0)</f>
        <v>233380</v>
      </c>
      <c r="BJ63" s="106">
        <f>+VLOOKUP($BD63,'June-25'!$A:$J,2,0)</f>
        <v>529727</v>
      </c>
      <c r="BK63" s="106">
        <f>+VLOOKUP($BD63,'July-25'!$A:$J,2,0)</f>
        <v>445895</v>
      </c>
      <c r="BL63" s="106">
        <f>+VLOOKUP($BD63,'Aug-25'!$A:$J,2,0)</f>
        <v>306279</v>
      </c>
      <c r="BM63" s="106">
        <f>+VLOOKUP($BD63,'Sep-25'!$A:$J,2,0)</f>
        <v>842433</v>
      </c>
      <c r="BN63" s="106">
        <f>+VLOOKUP($BD63,'Oct-25'!$A:$J,2,0)</f>
        <v>624839</v>
      </c>
      <c r="BO63" s="106">
        <f>+VLOOKUP($BD63,'Nov-25'!$A:$J,2,0)</f>
        <v>0</v>
      </c>
      <c r="BP63" s="106">
        <f>+VLOOKUP($BD63,'Dec-25'!$A:$J,2,0)</f>
        <v>0</v>
      </c>
      <c r="BQ63" s="106">
        <f t="shared" si="862"/>
        <v>5603535</v>
      </c>
      <c r="BR63" s="118">
        <f t="shared" si="389"/>
        <v>0.18340719696969696</v>
      </c>
      <c r="BS63" s="106" cm="1">
        <f t="array" ref="BS63:CD63">+_xlfn.XLOOKUP(BD63,Budget!A:A,Budget!Q:AB)</f>
        <v>528000</v>
      </c>
      <c r="BT63" s="106">
        <v>495000</v>
      </c>
      <c r="BU63" s="106">
        <v>726000</v>
      </c>
      <c r="BV63" s="106">
        <v>495000</v>
      </c>
      <c r="BW63" s="106">
        <v>594000</v>
      </c>
      <c r="BX63" s="106">
        <v>495000</v>
      </c>
      <c r="BY63" s="106">
        <v>561000</v>
      </c>
      <c r="BZ63" s="106">
        <v>660000</v>
      </c>
      <c r="CA63" s="106">
        <v>561000</v>
      </c>
      <c r="CB63" s="106">
        <v>528000</v>
      </c>
      <c r="CC63" s="106">
        <v>462000</v>
      </c>
      <c r="CD63" s="106">
        <v>693000</v>
      </c>
      <c r="CE63" s="106">
        <f t="shared" si="863"/>
        <v>6798000</v>
      </c>
      <c r="CF63" s="22"/>
      <c r="CG63" s="106">
        <v>134673</v>
      </c>
      <c r="CH63" s="106">
        <v>108510</v>
      </c>
      <c r="CI63" s="106">
        <v>149300</v>
      </c>
      <c r="CJ63" s="106">
        <v>0</v>
      </c>
      <c r="CK63" s="106">
        <v>327969</v>
      </c>
      <c r="CL63" s="106">
        <v>118338</v>
      </c>
      <c r="CM63" s="106">
        <v>348050</v>
      </c>
      <c r="CN63" s="106">
        <v>252644</v>
      </c>
      <c r="CO63" s="106">
        <v>115337</v>
      </c>
      <c r="CP63" s="106">
        <v>110775</v>
      </c>
      <c r="CQ63" s="106">
        <v>519302</v>
      </c>
      <c r="CR63" s="106">
        <v>177060</v>
      </c>
      <c r="CS63" s="106">
        <f t="shared" si="864"/>
        <v>2361958</v>
      </c>
      <c r="CT63" s="7" t="str">
        <f t="shared" si="51"/>
        <v>Finance Commission</v>
      </c>
      <c r="CU63" s="106">
        <f>+VLOOKUP($BD63,'Jan-25'!$A:$J,6,0)</f>
        <v>141613</v>
      </c>
      <c r="CV63" s="106">
        <f>+VLOOKUP($BD63,'Feb-25'!$A:$J,6,0)</f>
        <v>17488</v>
      </c>
      <c r="CW63" s="106">
        <f>+VLOOKUP($BD63,'Mar-25'!$A:$J,6,0)</f>
        <v>251808.47</v>
      </c>
      <c r="CX63" s="106">
        <f>+VLOOKUP($BD63,'Apr-25'!$A:$J,6,0)</f>
        <v>161087.28813559323</v>
      </c>
      <c r="CY63" s="106">
        <f>+VLOOKUP($BD63,'May-25'!$A:$J,6,0)</f>
        <v>105746.61</v>
      </c>
      <c r="CZ63" s="106">
        <f>+VLOOKUP($BD63,'June-25'!$A:$J,6,0)</f>
        <v>89338</v>
      </c>
      <c r="DA63" s="106">
        <f>+VLOOKUP($BD63,'July-25'!$A:$J,6,0)</f>
        <v>585734.75</v>
      </c>
      <c r="DB63" s="106">
        <f>+VLOOKUP($BD63,'Aug-25'!$A:$J,6,0)</f>
        <v>223481</v>
      </c>
      <c r="DC63" s="106">
        <f>+VLOOKUP($BD63,'Sep-25'!$A:$J,6,0)</f>
        <v>179841</v>
      </c>
      <c r="DD63" s="106">
        <f>+VLOOKUP($BD63,'Oct-25'!$A:$J,6,0)</f>
        <v>227247</v>
      </c>
      <c r="DE63" s="106">
        <f>+VLOOKUP($BD63,'Nov-25'!$A:$J,6,0)</f>
        <v>0</v>
      </c>
      <c r="DF63" s="106">
        <f>+VLOOKUP($BD63,'Dec-25'!$A:$J,6,0)</f>
        <v>0</v>
      </c>
      <c r="DG63" s="106">
        <f t="shared" si="865"/>
        <v>1983385.1181355934</v>
      </c>
      <c r="DH63" s="118">
        <f t="shared" si="390"/>
        <v>-0.50812337662337659</v>
      </c>
      <c r="DI63" s="106">
        <f>+_xlfn.XLOOKUP($CT63,Budget!$A:$A,Budget!BQ:BQ)</f>
        <v>429000</v>
      </c>
      <c r="DJ63" s="106">
        <f>+_xlfn.XLOOKUP($CT63,Budget!$A:$A,Budget!BR:BR)</f>
        <v>462000</v>
      </c>
      <c r="DK63" s="106">
        <f>+_xlfn.XLOOKUP($CT63,Budget!$A:$A,Budget!BS:BS)</f>
        <v>495000</v>
      </c>
      <c r="DL63" s="106">
        <f>+_xlfn.XLOOKUP($CT63,Budget!$A:$A,Budget!BT:BT)</f>
        <v>495000</v>
      </c>
      <c r="DM63" s="106">
        <f>+_xlfn.XLOOKUP($CT63,Budget!$A:$A,Budget!BU:BU)</f>
        <v>462000</v>
      </c>
      <c r="DN63" s="106">
        <f>+_xlfn.XLOOKUP($CT63,Budget!$A:$A,Budget!BV:BV)</f>
        <v>429000</v>
      </c>
      <c r="DO63" s="106">
        <f>+_xlfn.XLOOKUP($CT63,Budget!$A:$A,Budget!BW:BW)</f>
        <v>396000</v>
      </c>
      <c r="DP63" s="106">
        <f>+_xlfn.XLOOKUP($CT63,Budget!$A:$A,Budget!BX:BX)</f>
        <v>462000</v>
      </c>
      <c r="DQ63" s="106">
        <f>+_xlfn.XLOOKUP($CT63,Budget!$A:$A,Budget!BY:BY)</f>
        <v>561000</v>
      </c>
      <c r="DR63" s="106">
        <f>+_xlfn.XLOOKUP($CT63,Budget!$A:$A,Budget!BZ:BZ)</f>
        <v>462000</v>
      </c>
      <c r="DS63" s="106">
        <f>+_xlfn.XLOOKUP($CT63,Budget!$A:$A,Budget!CA:CA)</f>
        <v>462000</v>
      </c>
      <c r="DT63" s="106">
        <f>+_xlfn.XLOOKUP($CT63,Budget!$A:$A,Budget!CB:CB)</f>
        <v>528000</v>
      </c>
      <c r="DU63" s="106">
        <f t="shared" si="866"/>
        <v>5643000</v>
      </c>
    </row>
    <row r="64" spans="1:125" ht="14.45" hidden="1" customHeight="1" outlineLevel="1">
      <c r="A64" s="106">
        <f t="shared" si="822"/>
        <v>0</v>
      </c>
      <c r="B64" s="106">
        <f t="shared" si="823"/>
        <v>0</v>
      </c>
      <c r="C64" s="106">
        <f t="shared" si="824"/>
        <v>0</v>
      </c>
      <c r="D64" s="106">
        <f t="shared" si="825"/>
        <v>0</v>
      </c>
      <c r="E64" s="106">
        <f t="shared" si="826"/>
        <v>0</v>
      </c>
      <c r="F64" s="106">
        <f t="shared" si="827"/>
        <v>0</v>
      </c>
      <c r="G64" s="106">
        <f t="shared" si="828"/>
        <v>0</v>
      </c>
      <c r="H64" s="106">
        <f t="shared" si="829"/>
        <v>0</v>
      </c>
      <c r="I64" s="106">
        <f t="shared" si="830"/>
        <v>0</v>
      </c>
      <c r="J64" s="106">
        <f t="shared" si="831"/>
        <v>0</v>
      </c>
      <c r="K64" s="106">
        <f t="shared" si="832"/>
        <v>0</v>
      </c>
      <c r="L64" s="106">
        <f t="shared" si="833"/>
        <v>0</v>
      </c>
      <c r="M64" s="106">
        <f t="shared" si="834"/>
        <v>0</v>
      </c>
      <c r="N64" s="7" t="s">
        <v>50</v>
      </c>
      <c r="O64" s="106">
        <f t="shared" si="835"/>
        <v>360000</v>
      </c>
      <c r="P64" s="106">
        <f t="shared" si="836"/>
        <v>0</v>
      </c>
      <c r="Q64" s="106">
        <f t="shared" si="837"/>
        <v>720000</v>
      </c>
      <c r="R64" s="106">
        <f t="shared" si="838"/>
        <v>450000</v>
      </c>
      <c r="S64" s="106">
        <f t="shared" si="839"/>
        <v>0</v>
      </c>
      <c r="T64" s="106">
        <f t="shared" si="840"/>
        <v>0</v>
      </c>
      <c r="U64" s="106">
        <f t="shared" si="841"/>
        <v>570000</v>
      </c>
      <c r="V64" s="106">
        <f t="shared" si="842"/>
        <v>0</v>
      </c>
      <c r="W64" s="106">
        <f t="shared" si="843"/>
        <v>440000</v>
      </c>
      <c r="X64" s="106">
        <f t="shared" si="844"/>
        <v>0</v>
      </c>
      <c r="Y64" s="106">
        <f t="shared" si="845"/>
        <v>0</v>
      </c>
      <c r="Z64" s="106">
        <f t="shared" si="846"/>
        <v>0</v>
      </c>
      <c r="AA64" s="106">
        <f t="shared" si="847"/>
        <v>2540000</v>
      </c>
      <c r="AB64" s="118">
        <f t="shared" si="374"/>
        <v>0</v>
      </c>
      <c r="AC64" s="106">
        <f t="shared" si="848"/>
        <v>0</v>
      </c>
      <c r="AD64" s="106">
        <f t="shared" si="849"/>
        <v>0</v>
      </c>
      <c r="AE64" s="106">
        <f t="shared" si="850"/>
        <v>0</v>
      </c>
      <c r="AF64" s="106">
        <f t="shared" si="851"/>
        <v>0</v>
      </c>
      <c r="AG64" s="106">
        <f t="shared" si="852"/>
        <v>0</v>
      </c>
      <c r="AH64" s="106">
        <f t="shared" si="853"/>
        <v>0</v>
      </c>
      <c r="AI64" s="106">
        <f t="shared" si="854"/>
        <v>0</v>
      </c>
      <c r="AJ64" s="106">
        <f t="shared" si="855"/>
        <v>0</v>
      </c>
      <c r="AK64" s="106">
        <f t="shared" si="856"/>
        <v>0</v>
      </c>
      <c r="AL64" s="106">
        <f t="shared" si="857"/>
        <v>0</v>
      </c>
      <c r="AM64" s="106">
        <f t="shared" si="858"/>
        <v>0</v>
      </c>
      <c r="AN64" s="106">
        <f t="shared" si="859"/>
        <v>0</v>
      </c>
      <c r="AO64" s="106">
        <f t="shared" si="860"/>
        <v>0</v>
      </c>
      <c r="AQ64" s="106">
        <v>0</v>
      </c>
      <c r="AR64" s="106">
        <v>0</v>
      </c>
      <c r="AS64" s="106">
        <v>0</v>
      </c>
      <c r="AT64" s="106">
        <v>0</v>
      </c>
      <c r="AU64" s="106">
        <v>0</v>
      </c>
      <c r="AV64" s="106">
        <v>0</v>
      </c>
      <c r="AW64" s="106">
        <v>0</v>
      </c>
      <c r="AX64" s="106">
        <v>0</v>
      </c>
      <c r="AY64" s="106">
        <v>0</v>
      </c>
      <c r="AZ64" s="106">
        <v>0</v>
      </c>
      <c r="BA64" s="106">
        <v>0</v>
      </c>
      <c r="BB64" s="106">
        <v>0</v>
      </c>
      <c r="BC64" s="106">
        <f t="shared" si="861"/>
        <v>0</v>
      </c>
      <c r="BD64" s="7" t="str">
        <f t="shared" si="47"/>
        <v>Dealer Incentive</v>
      </c>
      <c r="BE64" s="106">
        <f>+VLOOKUP($BD64,'Jan-25'!$A:$J,2,0)</f>
        <v>225000</v>
      </c>
      <c r="BF64" s="106">
        <f>+VLOOKUP($BD64,'Feb-25'!$A:$J,2,0)</f>
        <v>0</v>
      </c>
      <c r="BG64" s="106">
        <f>+VLOOKUP($BD64,'Mar-25'!$A:$J,2,0)</f>
        <v>340000</v>
      </c>
      <c r="BH64" s="106">
        <f>+VLOOKUP($BD64,'Apr-25'!$A:$J,2,0)</f>
        <v>300000</v>
      </c>
      <c r="BI64" s="106">
        <f>+VLOOKUP($BD64,'May-25'!$A:$J,2,0)</f>
        <v>0</v>
      </c>
      <c r="BJ64" s="106">
        <f>+VLOOKUP($BD64,'June-25'!$A:$J,2,0)</f>
        <v>0</v>
      </c>
      <c r="BK64" s="106">
        <f>+VLOOKUP($BD64,'July-25'!$A:$J,2,0)</f>
        <v>315000</v>
      </c>
      <c r="BL64" s="106">
        <f>+VLOOKUP($BD64,'Aug-25'!$A:$J,2,0)</f>
        <v>0</v>
      </c>
      <c r="BM64" s="106">
        <f>+VLOOKUP($BD64,'Sep-25'!$A:$J,2,0)</f>
        <v>300000</v>
      </c>
      <c r="BN64" s="106">
        <f>+VLOOKUP($BD64,'Oct-25'!$A:$J,2,0)</f>
        <v>0</v>
      </c>
      <c r="BO64" s="106">
        <f>+VLOOKUP($BD64,'Nov-25'!$A:$J,2,0)</f>
        <v>0</v>
      </c>
      <c r="BP64" s="106">
        <f>+VLOOKUP($BD64,'Dec-25'!$A:$J,2,0)</f>
        <v>0</v>
      </c>
      <c r="BQ64" s="106">
        <f t="shared" si="862"/>
        <v>1480000</v>
      </c>
      <c r="BR64" s="118">
        <f t="shared" si="389"/>
        <v>0</v>
      </c>
      <c r="BS64" s="106" cm="1">
        <f t="array" ref="BS64:CD64">+_xlfn.XLOOKUP(BD64,Budget!A:A,Budget!Q:AB)</f>
        <v>0</v>
      </c>
      <c r="BT64" s="106">
        <v>0</v>
      </c>
      <c r="BU64" s="106">
        <v>0</v>
      </c>
      <c r="BV64" s="106">
        <v>0</v>
      </c>
      <c r="BW64" s="106">
        <v>0</v>
      </c>
      <c r="BX64" s="106">
        <v>0</v>
      </c>
      <c r="BY64" s="106">
        <v>0</v>
      </c>
      <c r="BZ64" s="106">
        <v>0</v>
      </c>
      <c r="CA64" s="106">
        <v>0</v>
      </c>
      <c r="CB64" s="106">
        <v>0</v>
      </c>
      <c r="CC64" s="106">
        <v>0</v>
      </c>
      <c r="CD64" s="106">
        <v>0</v>
      </c>
      <c r="CE64" s="106">
        <f t="shared" si="863"/>
        <v>0</v>
      </c>
      <c r="CF64" s="22"/>
      <c r="CG64" s="106">
        <v>0</v>
      </c>
      <c r="CH64" s="106">
        <v>0</v>
      </c>
      <c r="CI64" s="106">
        <v>0</v>
      </c>
      <c r="CJ64" s="106">
        <v>0</v>
      </c>
      <c r="CK64" s="106">
        <v>0</v>
      </c>
      <c r="CL64" s="106">
        <v>0</v>
      </c>
      <c r="CM64" s="106">
        <v>0</v>
      </c>
      <c r="CN64" s="106">
        <v>0</v>
      </c>
      <c r="CO64" s="106">
        <v>0</v>
      </c>
      <c r="CP64" s="106">
        <v>0</v>
      </c>
      <c r="CQ64" s="106">
        <v>0</v>
      </c>
      <c r="CR64" s="106">
        <v>0</v>
      </c>
      <c r="CS64" s="106">
        <f t="shared" si="864"/>
        <v>0</v>
      </c>
      <c r="CT64" s="7" t="str">
        <f t="shared" si="51"/>
        <v>Dealer Incentive</v>
      </c>
      <c r="CU64" s="106">
        <f>+VLOOKUP($BD64,'Jan-25'!$A:$J,6,0)</f>
        <v>135000</v>
      </c>
      <c r="CV64" s="106">
        <f>+VLOOKUP($BD64,'Feb-25'!$A:$J,6,0)</f>
        <v>0</v>
      </c>
      <c r="CW64" s="106">
        <f>+VLOOKUP($BD64,'Mar-25'!$A:$J,6,0)</f>
        <v>380000</v>
      </c>
      <c r="CX64" s="106">
        <f>+VLOOKUP($BD64,'Apr-25'!$A:$J,6,0)</f>
        <v>150000</v>
      </c>
      <c r="CY64" s="106">
        <f>+VLOOKUP($BD64,'May-25'!$A:$J,6,0)</f>
        <v>0</v>
      </c>
      <c r="CZ64" s="106">
        <f>+VLOOKUP($BD64,'June-25'!$A:$J,6,0)</f>
        <v>0</v>
      </c>
      <c r="DA64" s="106">
        <f>+VLOOKUP($BD64,'July-25'!$A:$J,6,0)</f>
        <v>255000</v>
      </c>
      <c r="DB64" s="106">
        <f>+VLOOKUP($BD64,'Aug-25'!$A:$J,6,0)</f>
        <v>0</v>
      </c>
      <c r="DC64" s="106">
        <f>+VLOOKUP($BD64,'Sep-25'!$A:$J,6,0)</f>
        <v>140000</v>
      </c>
      <c r="DD64" s="106">
        <f>+VLOOKUP($BD64,'Oct-25'!$A:$J,6,0)</f>
        <v>0</v>
      </c>
      <c r="DE64" s="106">
        <f>+VLOOKUP($BD64,'Nov-25'!$A:$J,6,0)</f>
        <v>0</v>
      </c>
      <c r="DF64" s="106">
        <f>+VLOOKUP($BD64,'Dec-25'!$A:$J,6,0)</f>
        <v>0</v>
      </c>
      <c r="DG64" s="106">
        <f t="shared" si="865"/>
        <v>1060000</v>
      </c>
      <c r="DH64" s="118">
        <f t="shared" si="390"/>
        <v>0</v>
      </c>
      <c r="DI64" s="106">
        <f>+_xlfn.XLOOKUP($CT64,Budget!$A:$A,Budget!BQ:BQ)</f>
        <v>0</v>
      </c>
      <c r="DJ64" s="106">
        <f>+_xlfn.XLOOKUP($CT64,Budget!$A:$A,Budget!BR:BR)</f>
        <v>0</v>
      </c>
      <c r="DK64" s="106">
        <f>+_xlfn.XLOOKUP($CT64,Budget!$A:$A,Budget!BS:BS)</f>
        <v>0</v>
      </c>
      <c r="DL64" s="106">
        <f>+_xlfn.XLOOKUP($CT64,Budget!$A:$A,Budget!BT:BT)</f>
        <v>0</v>
      </c>
      <c r="DM64" s="106">
        <f>+_xlfn.XLOOKUP($CT64,Budget!$A:$A,Budget!BU:BU)</f>
        <v>0</v>
      </c>
      <c r="DN64" s="106">
        <f>+_xlfn.XLOOKUP($CT64,Budget!$A:$A,Budget!BV:BV)</f>
        <v>0</v>
      </c>
      <c r="DO64" s="106">
        <f>+_xlfn.XLOOKUP($CT64,Budget!$A:$A,Budget!BW:BW)</f>
        <v>0</v>
      </c>
      <c r="DP64" s="106">
        <f>+_xlfn.XLOOKUP($CT64,Budget!$A:$A,Budget!BX:BX)</f>
        <v>0</v>
      </c>
      <c r="DQ64" s="106">
        <f>+_xlfn.XLOOKUP($CT64,Budget!$A:$A,Budget!BY:BY)</f>
        <v>0</v>
      </c>
      <c r="DR64" s="106">
        <f>+_xlfn.XLOOKUP($CT64,Budget!$A:$A,Budget!BZ:BZ)</f>
        <v>0</v>
      </c>
      <c r="DS64" s="106">
        <f>+_xlfn.XLOOKUP($CT64,Budget!$A:$A,Budget!CA:CA)</f>
        <v>0</v>
      </c>
      <c r="DT64" s="106">
        <f>+_xlfn.XLOOKUP($CT64,Budget!$A:$A,Budget!CB:CB)</f>
        <v>0</v>
      </c>
      <c r="DU64" s="106">
        <f t="shared" si="866"/>
        <v>0</v>
      </c>
    </row>
    <row r="65" spans="1:125" ht="14.45" hidden="1" customHeight="1" outlineLevel="1">
      <c r="A65" s="106">
        <f t="shared" si="822"/>
        <v>0</v>
      </c>
      <c r="B65" s="106">
        <f t="shared" si="823"/>
        <v>0</v>
      </c>
      <c r="C65" s="106">
        <f t="shared" si="824"/>
        <v>0</v>
      </c>
      <c r="D65" s="106">
        <f t="shared" si="825"/>
        <v>0</v>
      </c>
      <c r="E65" s="106">
        <f t="shared" si="826"/>
        <v>0</v>
      </c>
      <c r="F65" s="106">
        <f t="shared" si="827"/>
        <v>0</v>
      </c>
      <c r="G65" s="106">
        <f t="shared" si="828"/>
        <v>0</v>
      </c>
      <c r="H65" s="106">
        <f t="shared" si="829"/>
        <v>0</v>
      </c>
      <c r="I65" s="106">
        <f t="shared" si="830"/>
        <v>0</v>
      </c>
      <c r="J65" s="106">
        <f t="shared" si="831"/>
        <v>0</v>
      </c>
      <c r="K65" s="106">
        <f t="shared" si="832"/>
        <v>0</v>
      </c>
      <c r="L65" s="106">
        <f t="shared" si="833"/>
        <v>0</v>
      </c>
      <c r="M65" s="106">
        <f t="shared" si="834"/>
        <v>0</v>
      </c>
      <c r="N65" s="7" t="s">
        <v>51</v>
      </c>
      <c r="O65" s="106">
        <f t="shared" si="835"/>
        <v>0</v>
      </c>
      <c r="P65" s="106">
        <f t="shared" si="836"/>
        <v>0</v>
      </c>
      <c r="Q65" s="106">
        <f t="shared" si="837"/>
        <v>119412.15000000001</v>
      </c>
      <c r="R65" s="106">
        <f t="shared" si="838"/>
        <v>0</v>
      </c>
      <c r="S65" s="106">
        <f t="shared" si="839"/>
        <v>0</v>
      </c>
      <c r="T65" s="106">
        <f t="shared" si="840"/>
        <v>0</v>
      </c>
      <c r="U65" s="106">
        <f t="shared" si="841"/>
        <v>0</v>
      </c>
      <c r="V65" s="106">
        <f t="shared" si="842"/>
        <v>0</v>
      </c>
      <c r="W65" s="106">
        <f t="shared" si="843"/>
        <v>0</v>
      </c>
      <c r="X65" s="106">
        <f t="shared" si="844"/>
        <v>0</v>
      </c>
      <c r="Y65" s="106">
        <f t="shared" si="845"/>
        <v>0</v>
      </c>
      <c r="Z65" s="106">
        <f t="shared" si="846"/>
        <v>0</v>
      </c>
      <c r="AA65" s="106">
        <f t="shared" si="847"/>
        <v>119412.15000000001</v>
      </c>
      <c r="AB65" s="118">
        <f t="shared" si="374"/>
        <v>0</v>
      </c>
      <c r="AC65" s="106">
        <f t="shared" si="848"/>
        <v>0</v>
      </c>
      <c r="AD65" s="106">
        <f t="shared" si="849"/>
        <v>0</v>
      </c>
      <c r="AE65" s="106">
        <f t="shared" si="850"/>
        <v>0</v>
      </c>
      <c r="AF65" s="106">
        <f t="shared" si="851"/>
        <v>0</v>
      </c>
      <c r="AG65" s="106">
        <f t="shared" si="852"/>
        <v>0</v>
      </c>
      <c r="AH65" s="106">
        <f t="shared" si="853"/>
        <v>0</v>
      </c>
      <c r="AI65" s="106">
        <f t="shared" si="854"/>
        <v>0</v>
      </c>
      <c r="AJ65" s="106">
        <f t="shared" si="855"/>
        <v>0</v>
      </c>
      <c r="AK65" s="106">
        <f t="shared" si="856"/>
        <v>0</v>
      </c>
      <c r="AL65" s="106">
        <f t="shared" si="857"/>
        <v>0</v>
      </c>
      <c r="AM65" s="106">
        <f t="shared" si="858"/>
        <v>0</v>
      </c>
      <c r="AN65" s="106">
        <f t="shared" si="859"/>
        <v>0</v>
      </c>
      <c r="AO65" s="106">
        <f t="shared" si="860"/>
        <v>0</v>
      </c>
      <c r="AQ65" s="106">
        <v>0</v>
      </c>
      <c r="AR65" s="106">
        <v>0</v>
      </c>
      <c r="AS65" s="106">
        <v>0</v>
      </c>
      <c r="AT65" s="106">
        <v>0</v>
      </c>
      <c r="AU65" s="106">
        <v>0</v>
      </c>
      <c r="AV65" s="106">
        <v>0</v>
      </c>
      <c r="AW65" s="106">
        <v>0</v>
      </c>
      <c r="AX65" s="106">
        <v>0</v>
      </c>
      <c r="AY65" s="106">
        <v>0</v>
      </c>
      <c r="AZ65" s="106">
        <v>0</v>
      </c>
      <c r="BA65" s="106">
        <v>0</v>
      </c>
      <c r="BB65" s="106">
        <v>0</v>
      </c>
      <c r="BC65" s="106">
        <f t="shared" si="861"/>
        <v>0</v>
      </c>
      <c r="BD65" s="7" t="str">
        <f t="shared" si="47"/>
        <v>Profit/Loss on sale of fixed Asset</v>
      </c>
      <c r="BE65" s="106">
        <f>+VLOOKUP($BD65,'Jan-25'!$A:$J,2,0)</f>
        <v>0</v>
      </c>
      <c r="BF65" s="106">
        <f>+VLOOKUP($BD65,'Feb-25'!$A:$J,2,0)</f>
        <v>0</v>
      </c>
      <c r="BG65" s="106">
        <f>+VLOOKUP($BD65,'Mar-25'!$A:$J,2,0)</f>
        <v>86845.200000000012</v>
      </c>
      <c r="BH65" s="106">
        <f>+VLOOKUP($BD65,'Apr-25'!$A:$J,2,0)</f>
        <v>0</v>
      </c>
      <c r="BI65" s="106">
        <f>+VLOOKUP($BD65,'May-25'!$A:$J,2,0)</f>
        <v>0</v>
      </c>
      <c r="BJ65" s="106">
        <f>+VLOOKUP($BD65,'June-25'!$A:$J,2,0)</f>
        <v>0</v>
      </c>
      <c r="BK65" s="106">
        <f>+VLOOKUP($BD65,'July-25'!$A:$J,2,0)</f>
        <v>0</v>
      </c>
      <c r="BL65" s="106">
        <f>+VLOOKUP($BD65,'Aug-25'!$A:$J,2,0)</f>
        <v>0</v>
      </c>
      <c r="BM65" s="106">
        <f>+VLOOKUP($BD65,'Sep-25'!$A:$J,2,0)</f>
        <v>0</v>
      </c>
      <c r="BN65" s="106">
        <f>+VLOOKUP($BD65,'Oct-25'!$A:$J,2,0)</f>
        <v>0</v>
      </c>
      <c r="BO65" s="106">
        <f>+VLOOKUP($BD65,'Nov-25'!$A:$J,2,0)</f>
        <v>0</v>
      </c>
      <c r="BP65" s="106">
        <f>+VLOOKUP($BD65,'Dec-25'!$A:$J,2,0)</f>
        <v>0</v>
      </c>
      <c r="BQ65" s="106">
        <f t="shared" si="862"/>
        <v>86845.200000000012</v>
      </c>
      <c r="BR65" s="118">
        <f t="shared" si="389"/>
        <v>0</v>
      </c>
      <c r="BS65" s="106"/>
      <c r="BT65" s="106"/>
      <c r="BU65" s="106"/>
      <c r="BV65" s="106"/>
      <c r="BW65" s="106"/>
      <c r="BX65" s="106"/>
      <c r="BY65" s="106"/>
      <c r="BZ65" s="106"/>
      <c r="CA65" s="106"/>
      <c r="CB65" s="106"/>
      <c r="CC65" s="106"/>
      <c r="CD65" s="106"/>
      <c r="CE65" s="106">
        <f t="shared" si="863"/>
        <v>0</v>
      </c>
      <c r="CF65" s="22"/>
      <c r="CG65" s="106">
        <v>0</v>
      </c>
      <c r="CH65" s="106">
        <v>0</v>
      </c>
      <c r="CI65" s="106">
        <v>0</v>
      </c>
      <c r="CJ65" s="106">
        <v>0</v>
      </c>
      <c r="CK65" s="106">
        <v>0</v>
      </c>
      <c r="CL65" s="106">
        <v>0</v>
      </c>
      <c r="CM65" s="106">
        <v>0</v>
      </c>
      <c r="CN65" s="106">
        <v>0</v>
      </c>
      <c r="CO65" s="106">
        <v>0</v>
      </c>
      <c r="CP65" s="106">
        <v>0</v>
      </c>
      <c r="CQ65" s="106">
        <v>0</v>
      </c>
      <c r="CR65" s="106">
        <v>0</v>
      </c>
      <c r="CS65" s="106">
        <f t="shared" si="864"/>
        <v>0</v>
      </c>
      <c r="CT65" s="7" t="str">
        <f t="shared" si="51"/>
        <v>Profit/Loss on sale of fixed Asset</v>
      </c>
      <c r="CU65" s="106">
        <f>+VLOOKUP($BD65,'Jan-25'!$A:$J,6,0)</f>
        <v>0</v>
      </c>
      <c r="CV65" s="106">
        <f>+VLOOKUP($BD65,'Feb-25'!$A:$J,6,0)</f>
        <v>0</v>
      </c>
      <c r="CW65" s="106">
        <f>+VLOOKUP($BD65,'Mar-25'!$A:$J,6,0)</f>
        <v>32566.949999999997</v>
      </c>
      <c r="CX65" s="106">
        <f>+VLOOKUP($BD65,'Apr-25'!$A:$J,6,0)</f>
        <v>0</v>
      </c>
      <c r="CY65" s="106">
        <f>+VLOOKUP($BD65,'May-25'!$A:$J,6,0)</f>
        <v>0</v>
      </c>
      <c r="CZ65" s="106">
        <f>+VLOOKUP($BD65,'June-25'!$A:$J,6,0)</f>
        <v>0</v>
      </c>
      <c r="DA65" s="106">
        <f>+VLOOKUP($BD65,'July-25'!$A:$J,6,0)</f>
        <v>0</v>
      </c>
      <c r="DB65" s="106">
        <f>+VLOOKUP($BD65,'Aug-25'!$A:$J,6,0)</f>
        <v>0</v>
      </c>
      <c r="DC65" s="106">
        <f>+VLOOKUP($BD65,'Sep-25'!$A:$J,6,0)</f>
        <v>0</v>
      </c>
      <c r="DD65" s="106">
        <f>+VLOOKUP($BD65,'Oct-25'!$A:$J,6,0)</f>
        <v>0</v>
      </c>
      <c r="DE65" s="106">
        <f>+VLOOKUP($BD65,'Nov-25'!$A:$J,6,0)</f>
        <v>0</v>
      </c>
      <c r="DF65" s="106">
        <f>+VLOOKUP($BD65,'Dec-25'!$A:$J,6,0)</f>
        <v>0</v>
      </c>
      <c r="DG65" s="106">
        <f t="shared" si="865"/>
        <v>32566.949999999997</v>
      </c>
      <c r="DH65" s="118">
        <f t="shared" si="390"/>
        <v>0</v>
      </c>
      <c r="DI65" s="106"/>
      <c r="DJ65" s="106"/>
      <c r="DK65" s="106"/>
      <c r="DL65" s="106"/>
      <c r="DM65" s="106"/>
      <c r="DN65" s="106"/>
      <c r="DO65" s="106"/>
      <c r="DP65" s="106"/>
      <c r="DQ65" s="106"/>
      <c r="DR65" s="106"/>
      <c r="DS65" s="106"/>
      <c r="DT65" s="106"/>
      <c r="DU65" s="106">
        <f t="shared" si="866"/>
        <v>0</v>
      </c>
    </row>
    <row r="66" spans="1:125" ht="14.45" hidden="1" customHeight="1" outlineLevel="1">
      <c r="A66" s="106">
        <f t="shared" si="822"/>
        <v>0</v>
      </c>
      <c r="B66" s="106">
        <f t="shared" si="823"/>
        <v>0</v>
      </c>
      <c r="C66" s="106">
        <f t="shared" si="824"/>
        <v>0</v>
      </c>
      <c r="D66" s="106">
        <f t="shared" si="825"/>
        <v>0</v>
      </c>
      <c r="E66" s="106">
        <f t="shared" si="826"/>
        <v>0</v>
      </c>
      <c r="F66" s="106">
        <f t="shared" si="827"/>
        <v>0</v>
      </c>
      <c r="G66" s="106">
        <f t="shared" si="828"/>
        <v>0</v>
      </c>
      <c r="H66" s="106">
        <f t="shared" si="829"/>
        <v>0</v>
      </c>
      <c r="I66" s="106">
        <f t="shared" si="830"/>
        <v>0</v>
      </c>
      <c r="J66" s="106">
        <f t="shared" si="831"/>
        <v>0</v>
      </c>
      <c r="K66" s="106">
        <f t="shared" si="832"/>
        <v>38434.5</v>
      </c>
      <c r="L66" s="106">
        <f t="shared" si="833"/>
        <v>0</v>
      </c>
      <c r="M66" s="106">
        <f t="shared" si="834"/>
        <v>38434.5</v>
      </c>
      <c r="N66" s="7" t="s">
        <v>52</v>
      </c>
      <c r="O66" s="106">
        <f t="shared" si="835"/>
        <v>0</v>
      </c>
      <c r="P66" s="106">
        <f t="shared" si="836"/>
        <v>0</v>
      </c>
      <c r="Q66" s="106">
        <f t="shared" si="837"/>
        <v>0</v>
      </c>
      <c r="R66" s="106">
        <f t="shared" si="838"/>
        <v>0</v>
      </c>
      <c r="S66" s="106">
        <f t="shared" si="839"/>
        <v>0</v>
      </c>
      <c r="T66" s="106">
        <f t="shared" si="840"/>
        <v>0</v>
      </c>
      <c r="U66" s="106">
        <f t="shared" si="841"/>
        <v>0</v>
      </c>
      <c r="V66" s="106">
        <f t="shared" si="842"/>
        <v>0</v>
      </c>
      <c r="W66" s="106">
        <f t="shared" si="843"/>
        <v>0</v>
      </c>
      <c r="X66" s="106">
        <f t="shared" si="844"/>
        <v>0</v>
      </c>
      <c r="Y66" s="106">
        <f t="shared" si="845"/>
        <v>0</v>
      </c>
      <c r="Z66" s="106">
        <f t="shared" si="846"/>
        <v>0</v>
      </c>
      <c r="AA66" s="106">
        <f t="shared" si="847"/>
        <v>0</v>
      </c>
      <c r="AB66" s="118">
        <f t="shared" si="374"/>
        <v>0</v>
      </c>
      <c r="AC66" s="106">
        <f t="shared" si="848"/>
        <v>0</v>
      </c>
      <c r="AD66" s="106">
        <f t="shared" si="849"/>
        <v>0</v>
      </c>
      <c r="AE66" s="106">
        <f t="shared" si="850"/>
        <v>0</v>
      </c>
      <c r="AF66" s="106">
        <f t="shared" si="851"/>
        <v>0</v>
      </c>
      <c r="AG66" s="106">
        <f t="shared" si="852"/>
        <v>0</v>
      </c>
      <c r="AH66" s="106">
        <f t="shared" si="853"/>
        <v>0</v>
      </c>
      <c r="AI66" s="106">
        <f t="shared" si="854"/>
        <v>0</v>
      </c>
      <c r="AJ66" s="106">
        <f t="shared" si="855"/>
        <v>0</v>
      </c>
      <c r="AK66" s="106">
        <f t="shared" si="856"/>
        <v>0</v>
      </c>
      <c r="AL66" s="106">
        <f t="shared" si="857"/>
        <v>0</v>
      </c>
      <c r="AM66" s="106">
        <f t="shared" si="858"/>
        <v>0</v>
      </c>
      <c r="AN66" s="106">
        <f t="shared" si="859"/>
        <v>0</v>
      </c>
      <c r="AO66" s="106">
        <f t="shared" si="860"/>
        <v>0</v>
      </c>
      <c r="AQ66" s="106">
        <v>0</v>
      </c>
      <c r="AR66" s="106">
        <v>0</v>
      </c>
      <c r="AS66" s="106">
        <v>0</v>
      </c>
      <c r="AT66" s="106">
        <v>0</v>
      </c>
      <c r="AU66" s="106">
        <v>0</v>
      </c>
      <c r="AV66" s="106">
        <v>0</v>
      </c>
      <c r="AW66" s="106">
        <v>0</v>
      </c>
      <c r="AX66" s="106">
        <v>0</v>
      </c>
      <c r="AY66" s="106">
        <v>0</v>
      </c>
      <c r="AZ66" s="106">
        <v>0</v>
      </c>
      <c r="BA66" s="106">
        <v>38434.5</v>
      </c>
      <c r="BB66" s="106">
        <v>0</v>
      </c>
      <c r="BC66" s="106">
        <f t="shared" si="861"/>
        <v>38434.5</v>
      </c>
      <c r="BD66" s="7" t="str">
        <f t="shared" si="47"/>
        <v>Sales of Scraps/Wastages/Dead Stock/Oil</v>
      </c>
      <c r="BE66" s="106">
        <f>+VLOOKUP($BD66,'Jan-25'!$A:$J,2,0)</f>
        <v>0</v>
      </c>
      <c r="BF66" s="106">
        <f>+VLOOKUP($BD66,'Feb-25'!$A:$J,2,0)</f>
        <v>0</v>
      </c>
      <c r="BG66" s="106">
        <f>+VLOOKUP($BD66,'Mar-25'!$A:$J,2,0)</f>
        <v>0</v>
      </c>
      <c r="BH66" s="106">
        <f>+VLOOKUP($BD66,'Apr-25'!$A:$J,2,0)</f>
        <v>0</v>
      </c>
      <c r="BI66" s="106">
        <f>+VLOOKUP($BD66,'May-25'!$A:$J,2,0)</f>
        <v>0</v>
      </c>
      <c r="BJ66" s="106">
        <f>+VLOOKUP($BD66,'June-25'!$A:$J,2,0)</f>
        <v>0</v>
      </c>
      <c r="BK66" s="106">
        <f>+VLOOKUP($BD66,'July-25'!$A:$J,2,0)</f>
        <v>0</v>
      </c>
      <c r="BL66" s="106">
        <f>+VLOOKUP($BD66,'Aug-25'!$A:$J,2,0)</f>
        <v>0</v>
      </c>
      <c r="BM66" s="106">
        <f>+VLOOKUP($BD66,'Sep-25'!$A:$J,2,0)</f>
        <v>0</v>
      </c>
      <c r="BN66" s="106">
        <f>+VLOOKUP($BD66,'Oct-25'!$A:$J,2,0)</f>
        <v>0</v>
      </c>
      <c r="BO66" s="106">
        <f>+VLOOKUP($BD66,'Nov-25'!$A:$J,2,0)</f>
        <v>0</v>
      </c>
      <c r="BP66" s="106">
        <f>+VLOOKUP($BD66,'Dec-25'!$A:$J,2,0)</f>
        <v>0</v>
      </c>
      <c r="BQ66" s="106">
        <f t="shared" si="862"/>
        <v>0</v>
      </c>
      <c r="BR66" s="118">
        <f t="shared" si="389"/>
        <v>0</v>
      </c>
      <c r="BS66" s="106"/>
      <c r="BT66" s="106"/>
      <c r="BU66" s="106"/>
      <c r="BV66" s="106"/>
      <c r="BW66" s="106"/>
      <c r="BX66" s="106"/>
      <c r="BY66" s="106"/>
      <c r="BZ66" s="106"/>
      <c r="CA66" s="106"/>
      <c r="CB66" s="106"/>
      <c r="CC66" s="106"/>
      <c r="CD66" s="106"/>
      <c r="CE66" s="106">
        <f t="shared" si="863"/>
        <v>0</v>
      </c>
      <c r="CF66" s="22"/>
      <c r="CG66" s="106">
        <v>0</v>
      </c>
      <c r="CH66" s="106">
        <v>0</v>
      </c>
      <c r="CI66" s="106">
        <v>0</v>
      </c>
      <c r="CJ66" s="106">
        <v>0</v>
      </c>
      <c r="CK66" s="106">
        <v>0</v>
      </c>
      <c r="CL66" s="106">
        <v>0</v>
      </c>
      <c r="CM66" s="106">
        <v>0</v>
      </c>
      <c r="CN66" s="106">
        <v>0</v>
      </c>
      <c r="CO66" s="106">
        <v>0</v>
      </c>
      <c r="CP66" s="106">
        <v>0</v>
      </c>
      <c r="CQ66" s="106">
        <v>0</v>
      </c>
      <c r="CR66" s="106">
        <v>0</v>
      </c>
      <c r="CS66" s="106">
        <f t="shared" si="864"/>
        <v>0</v>
      </c>
      <c r="CT66" s="7" t="str">
        <f t="shared" si="51"/>
        <v>Sales of Scraps/Wastages/Dead Stock/Oil</v>
      </c>
      <c r="CU66" s="106">
        <f>+VLOOKUP($BD66,'Jan-25'!$A:$J,6,0)</f>
        <v>0</v>
      </c>
      <c r="CV66" s="106">
        <f>+VLOOKUP($BD66,'Feb-25'!$A:$J,6,0)</f>
        <v>0</v>
      </c>
      <c r="CW66" s="106">
        <f>+VLOOKUP($BD66,'Mar-25'!$A:$J,6,0)</f>
        <v>0</v>
      </c>
      <c r="CX66" s="106">
        <f>+VLOOKUP($BD66,'Apr-25'!$A:$J,6,0)</f>
        <v>0</v>
      </c>
      <c r="CY66" s="106">
        <f>+VLOOKUP($BD66,'May-25'!$A:$J,6,0)</f>
        <v>0</v>
      </c>
      <c r="CZ66" s="106">
        <f>+VLOOKUP($BD66,'June-25'!$A:$J,6,0)</f>
        <v>0</v>
      </c>
      <c r="DA66" s="106">
        <f>+VLOOKUP($BD66,'July-25'!$A:$J,6,0)</f>
        <v>0</v>
      </c>
      <c r="DB66" s="106">
        <f>+VLOOKUP($BD66,'Aug-25'!$A:$J,6,0)</f>
        <v>0</v>
      </c>
      <c r="DC66" s="106">
        <f>+VLOOKUP($BD66,'Sep-25'!$A:$J,6,0)</f>
        <v>0</v>
      </c>
      <c r="DD66" s="106">
        <f>+VLOOKUP($BD66,'Oct-25'!$A:$J,6,0)</f>
        <v>0</v>
      </c>
      <c r="DE66" s="106">
        <f>+VLOOKUP($BD66,'Nov-25'!$A:$J,6,0)</f>
        <v>0</v>
      </c>
      <c r="DF66" s="106">
        <f>+VLOOKUP($BD66,'Dec-25'!$A:$J,6,0)</f>
        <v>0</v>
      </c>
      <c r="DG66" s="106">
        <f t="shared" si="865"/>
        <v>0</v>
      </c>
      <c r="DH66" s="118">
        <f t="shared" si="390"/>
        <v>0</v>
      </c>
      <c r="DI66" s="106"/>
      <c r="DJ66" s="106"/>
      <c r="DK66" s="106"/>
      <c r="DL66" s="106"/>
      <c r="DM66" s="106"/>
      <c r="DN66" s="106"/>
      <c r="DO66" s="106"/>
      <c r="DP66" s="106"/>
      <c r="DQ66" s="106"/>
      <c r="DR66" s="106"/>
      <c r="DS66" s="106"/>
      <c r="DT66" s="106"/>
      <c r="DU66" s="106">
        <f t="shared" si="866"/>
        <v>0</v>
      </c>
    </row>
    <row r="67" spans="1:125" ht="14.45" hidden="1" customHeight="1" outlineLevel="1">
      <c r="A67" s="106">
        <f t="shared" si="822"/>
        <v>625000</v>
      </c>
      <c r="B67" s="106">
        <f t="shared" si="823"/>
        <v>0</v>
      </c>
      <c r="C67" s="106">
        <f t="shared" si="824"/>
        <v>775000</v>
      </c>
      <c r="D67" s="106">
        <f t="shared" si="825"/>
        <v>825000</v>
      </c>
      <c r="E67" s="106">
        <f t="shared" si="826"/>
        <v>425000</v>
      </c>
      <c r="F67" s="106">
        <f t="shared" si="827"/>
        <v>775000</v>
      </c>
      <c r="G67" s="106">
        <f t="shared" si="828"/>
        <v>675000</v>
      </c>
      <c r="H67" s="106">
        <f t="shared" si="829"/>
        <v>700000</v>
      </c>
      <c r="I67" s="106">
        <f t="shared" si="830"/>
        <v>700000</v>
      </c>
      <c r="J67" s="106">
        <f t="shared" si="831"/>
        <v>425000</v>
      </c>
      <c r="K67" s="106">
        <f t="shared" si="832"/>
        <v>775000</v>
      </c>
      <c r="L67" s="106">
        <f t="shared" si="833"/>
        <v>1025000</v>
      </c>
      <c r="M67" s="106">
        <f t="shared" si="834"/>
        <v>7725000</v>
      </c>
      <c r="N67" s="7" t="s">
        <v>53</v>
      </c>
      <c r="O67" s="106">
        <f t="shared" si="835"/>
        <v>775000</v>
      </c>
      <c r="P67" s="106">
        <f t="shared" si="836"/>
        <v>625000</v>
      </c>
      <c r="Q67" s="106">
        <f t="shared" si="837"/>
        <v>750000</v>
      </c>
      <c r="R67" s="106">
        <f t="shared" si="838"/>
        <v>775000</v>
      </c>
      <c r="S67" s="106">
        <f t="shared" si="839"/>
        <v>525000</v>
      </c>
      <c r="T67" s="106">
        <f t="shared" si="840"/>
        <v>670000</v>
      </c>
      <c r="U67" s="106">
        <f t="shared" si="841"/>
        <v>475000</v>
      </c>
      <c r="V67" s="106">
        <f t="shared" si="842"/>
        <v>525000</v>
      </c>
      <c r="W67" s="106">
        <f t="shared" si="843"/>
        <v>525000</v>
      </c>
      <c r="X67" s="106">
        <f t="shared" si="844"/>
        <v>1154620</v>
      </c>
      <c r="Y67" s="106">
        <f t="shared" si="845"/>
        <v>0</v>
      </c>
      <c r="Z67" s="106">
        <f t="shared" si="846"/>
        <v>0</v>
      </c>
      <c r="AA67" s="106">
        <f t="shared" si="847"/>
        <v>6799620</v>
      </c>
      <c r="AB67" s="118">
        <f t="shared" si="374"/>
        <v>0.53949333333333338</v>
      </c>
      <c r="AC67" s="106">
        <f t="shared" si="848"/>
        <v>725000</v>
      </c>
      <c r="AD67" s="106">
        <f t="shared" si="849"/>
        <v>725000</v>
      </c>
      <c r="AE67" s="106">
        <f t="shared" si="850"/>
        <v>925000</v>
      </c>
      <c r="AF67" s="106">
        <f t="shared" si="851"/>
        <v>750000</v>
      </c>
      <c r="AG67" s="106">
        <f t="shared" si="852"/>
        <v>800000</v>
      </c>
      <c r="AH67" s="106">
        <f t="shared" si="853"/>
        <v>700000</v>
      </c>
      <c r="AI67" s="106">
        <f t="shared" si="854"/>
        <v>725000</v>
      </c>
      <c r="AJ67" s="106">
        <f t="shared" si="855"/>
        <v>850000</v>
      </c>
      <c r="AK67" s="106">
        <f t="shared" si="856"/>
        <v>850000</v>
      </c>
      <c r="AL67" s="106">
        <f t="shared" si="857"/>
        <v>750000</v>
      </c>
      <c r="AM67" s="106">
        <f t="shared" si="858"/>
        <v>700000</v>
      </c>
      <c r="AN67" s="106">
        <f t="shared" si="859"/>
        <v>925000</v>
      </c>
      <c r="AO67" s="106">
        <f t="shared" si="860"/>
        <v>9425000</v>
      </c>
      <c r="AQ67" s="106">
        <v>525000</v>
      </c>
      <c r="AR67" s="106">
        <v>0</v>
      </c>
      <c r="AS67" s="106">
        <v>525000</v>
      </c>
      <c r="AT67" s="106">
        <v>525000</v>
      </c>
      <c r="AU67" s="106">
        <v>275000</v>
      </c>
      <c r="AV67" s="106">
        <v>550000</v>
      </c>
      <c r="AW67" s="106">
        <v>475000</v>
      </c>
      <c r="AX67" s="106">
        <v>475000</v>
      </c>
      <c r="AY67" s="106">
        <v>375000</v>
      </c>
      <c r="AZ67" s="106">
        <v>350000</v>
      </c>
      <c r="BA67" s="106">
        <v>525000</v>
      </c>
      <c r="BB67" s="106">
        <v>675000</v>
      </c>
      <c r="BC67" s="106">
        <f t="shared" si="861"/>
        <v>5275000</v>
      </c>
      <c r="BD67" s="7" t="str">
        <f t="shared" si="47"/>
        <v>Logistic and Facilitation</v>
      </c>
      <c r="BE67" s="106">
        <f>+VLOOKUP($BD67,'Jan-25'!$A:$J,2,0)</f>
        <v>500000</v>
      </c>
      <c r="BF67" s="106">
        <f>+VLOOKUP($BD67,'Feb-25'!$A:$J,2,0)</f>
        <v>500000</v>
      </c>
      <c r="BG67" s="106">
        <f>+VLOOKUP($BD67,'Mar-25'!$A:$J,2,0)</f>
        <v>475000</v>
      </c>
      <c r="BH67" s="106">
        <f>+VLOOKUP($BD67,'Apr-25'!$A:$J,2,0)</f>
        <v>475000</v>
      </c>
      <c r="BI67" s="106">
        <f>+VLOOKUP($BD67,'May-25'!$A:$J,2,0)</f>
        <v>275000</v>
      </c>
      <c r="BJ67" s="106">
        <f>+VLOOKUP($BD67,'June-25'!$A:$J,2,0)</f>
        <v>420000</v>
      </c>
      <c r="BK67" s="106">
        <f>+VLOOKUP($BD67,'July-25'!$A:$J,2,0)</f>
        <v>325000</v>
      </c>
      <c r="BL67" s="106">
        <f>+VLOOKUP($BD67,'Aug-25'!$A:$J,2,0)</f>
        <v>150000</v>
      </c>
      <c r="BM67" s="106">
        <f>+VLOOKUP($BD67,'Sep-25'!$A:$J,2,0)</f>
        <v>275000</v>
      </c>
      <c r="BN67" s="106">
        <f>+VLOOKUP($BD67,'Oct-25'!$A:$J,2,0)</f>
        <v>854620</v>
      </c>
      <c r="BO67" s="106">
        <f>+VLOOKUP($BD67,'Nov-25'!$A:$J,2,0)</f>
        <v>0</v>
      </c>
      <c r="BP67" s="106">
        <f>+VLOOKUP($BD67,'Dec-25'!$A:$J,2,0)</f>
        <v>0</v>
      </c>
      <c r="BQ67" s="106">
        <f t="shared" si="862"/>
        <v>4249620</v>
      </c>
      <c r="BR67" s="118">
        <f t="shared" si="389"/>
        <v>1.1365499999999999</v>
      </c>
      <c r="BS67" s="106" cm="1">
        <f t="array" ref="BS67:CD67">+_xlfn.XLOOKUP(BD67,Budget!A:A,Budget!Q:AB)</f>
        <v>400000</v>
      </c>
      <c r="BT67" s="106">
        <v>375000</v>
      </c>
      <c r="BU67" s="106">
        <v>550000</v>
      </c>
      <c r="BV67" s="106">
        <v>375000</v>
      </c>
      <c r="BW67" s="106">
        <v>450000</v>
      </c>
      <c r="BX67" s="106">
        <v>375000</v>
      </c>
      <c r="BY67" s="106">
        <v>425000</v>
      </c>
      <c r="BZ67" s="106">
        <v>500000</v>
      </c>
      <c r="CA67" s="106">
        <v>425000</v>
      </c>
      <c r="CB67" s="106">
        <v>400000</v>
      </c>
      <c r="CC67" s="106">
        <v>350000</v>
      </c>
      <c r="CD67" s="106">
        <v>525000</v>
      </c>
      <c r="CE67" s="106">
        <f t="shared" si="863"/>
        <v>5150000</v>
      </c>
      <c r="CF67" s="22"/>
      <c r="CG67" s="106">
        <v>100000</v>
      </c>
      <c r="CH67" s="106">
        <v>0</v>
      </c>
      <c r="CI67" s="106">
        <v>250000</v>
      </c>
      <c r="CJ67" s="106">
        <v>300000</v>
      </c>
      <c r="CK67" s="106">
        <v>150000</v>
      </c>
      <c r="CL67" s="106">
        <v>225000</v>
      </c>
      <c r="CM67" s="106">
        <v>200000</v>
      </c>
      <c r="CN67" s="106">
        <v>225000</v>
      </c>
      <c r="CO67" s="106">
        <v>325000</v>
      </c>
      <c r="CP67" s="106">
        <v>75000</v>
      </c>
      <c r="CQ67" s="106">
        <v>250000</v>
      </c>
      <c r="CR67" s="106">
        <v>350000</v>
      </c>
      <c r="CS67" s="106">
        <f t="shared" si="864"/>
        <v>2450000</v>
      </c>
      <c r="CT67" s="7" t="str">
        <f t="shared" si="51"/>
        <v>Logistic and Facilitation</v>
      </c>
      <c r="CU67" s="106">
        <f>+VLOOKUP($BD67,'Jan-25'!$A:$J,6,0)</f>
        <v>275000</v>
      </c>
      <c r="CV67" s="106">
        <f>+VLOOKUP($BD67,'Feb-25'!$A:$J,6,0)</f>
        <v>125000</v>
      </c>
      <c r="CW67" s="106">
        <f>+VLOOKUP($BD67,'Mar-25'!$A:$J,6,0)</f>
        <v>275000</v>
      </c>
      <c r="CX67" s="106">
        <f>+VLOOKUP($BD67,'Apr-25'!$A:$J,6,0)</f>
        <v>300000</v>
      </c>
      <c r="CY67" s="106">
        <f>+VLOOKUP($BD67,'May-25'!$A:$J,6,0)</f>
        <v>250000</v>
      </c>
      <c r="CZ67" s="106">
        <f>+VLOOKUP($BD67,'June-25'!$A:$J,6,0)</f>
        <v>250000</v>
      </c>
      <c r="DA67" s="106">
        <f>+VLOOKUP($BD67,'July-25'!$A:$J,6,0)</f>
        <v>150000</v>
      </c>
      <c r="DB67" s="106">
        <f>+VLOOKUP($BD67,'Aug-25'!$A:$J,6,0)</f>
        <v>375000</v>
      </c>
      <c r="DC67" s="106">
        <f>+VLOOKUP($BD67,'Sep-25'!$A:$J,6,0)</f>
        <v>250000</v>
      </c>
      <c r="DD67" s="106">
        <f>+VLOOKUP($BD67,'Oct-25'!$A:$J,6,0)</f>
        <v>300000</v>
      </c>
      <c r="DE67" s="106">
        <f>+VLOOKUP($BD67,'Nov-25'!$A:$J,6,0)</f>
        <v>0</v>
      </c>
      <c r="DF67" s="106">
        <f>+VLOOKUP($BD67,'Dec-25'!$A:$J,6,0)</f>
        <v>0</v>
      </c>
      <c r="DG67" s="106">
        <f t="shared" si="865"/>
        <v>2550000</v>
      </c>
      <c r="DH67" s="118">
        <f t="shared" si="390"/>
        <v>-0.14285714285714285</v>
      </c>
      <c r="DI67" s="106">
        <f>+_xlfn.XLOOKUP($CT67,Budget!$A:$A,Budget!BQ:BQ)</f>
        <v>325000</v>
      </c>
      <c r="DJ67" s="106">
        <f>+_xlfn.XLOOKUP($CT67,Budget!$A:$A,Budget!BR:BR)</f>
        <v>350000</v>
      </c>
      <c r="DK67" s="106">
        <f>+_xlfn.XLOOKUP($CT67,Budget!$A:$A,Budget!BS:BS)</f>
        <v>375000</v>
      </c>
      <c r="DL67" s="106">
        <f>+_xlfn.XLOOKUP($CT67,Budget!$A:$A,Budget!BT:BT)</f>
        <v>375000</v>
      </c>
      <c r="DM67" s="106">
        <f>+_xlfn.XLOOKUP($CT67,Budget!$A:$A,Budget!BU:BU)</f>
        <v>350000</v>
      </c>
      <c r="DN67" s="106">
        <f>+_xlfn.XLOOKUP($CT67,Budget!$A:$A,Budget!BV:BV)</f>
        <v>325000</v>
      </c>
      <c r="DO67" s="106">
        <f>+_xlfn.XLOOKUP($CT67,Budget!$A:$A,Budget!BW:BW)</f>
        <v>300000</v>
      </c>
      <c r="DP67" s="106">
        <f>+_xlfn.XLOOKUP($CT67,Budget!$A:$A,Budget!BX:BX)</f>
        <v>350000</v>
      </c>
      <c r="DQ67" s="106">
        <f>+_xlfn.XLOOKUP($CT67,Budget!$A:$A,Budget!BY:BY)</f>
        <v>425000</v>
      </c>
      <c r="DR67" s="106">
        <f>+_xlfn.XLOOKUP($CT67,Budget!$A:$A,Budget!BZ:BZ)</f>
        <v>350000</v>
      </c>
      <c r="DS67" s="106">
        <f>+_xlfn.XLOOKUP($CT67,Budget!$A:$A,Budget!CA:CA)</f>
        <v>350000</v>
      </c>
      <c r="DT67" s="106">
        <f>+_xlfn.XLOOKUP($CT67,Budget!$A:$A,Budget!CB:CB)</f>
        <v>400000</v>
      </c>
      <c r="DU67" s="106">
        <f t="shared" si="866"/>
        <v>4275000</v>
      </c>
    </row>
    <row r="68" spans="1:125" ht="14.45" hidden="1" customHeight="1" outlineLevel="1">
      <c r="A68" s="106">
        <f t="shared" si="822"/>
        <v>0</v>
      </c>
      <c r="B68" s="106">
        <f t="shared" si="823"/>
        <v>0</v>
      </c>
      <c r="C68" s="106">
        <f t="shared" si="824"/>
        <v>0</v>
      </c>
      <c r="D68" s="106">
        <f t="shared" si="825"/>
        <v>0</v>
      </c>
      <c r="E68" s="106">
        <f t="shared" si="826"/>
        <v>0</v>
      </c>
      <c r="F68" s="106">
        <f t="shared" si="827"/>
        <v>0</v>
      </c>
      <c r="G68" s="106">
        <f t="shared" si="828"/>
        <v>0</v>
      </c>
      <c r="H68" s="106">
        <f t="shared" si="829"/>
        <v>0</v>
      </c>
      <c r="I68" s="106">
        <f t="shared" si="830"/>
        <v>0</v>
      </c>
      <c r="J68" s="106">
        <f t="shared" si="831"/>
        <v>0</v>
      </c>
      <c r="K68" s="106">
        <f t="shared" si="832"/>
        <v>0</v>
      </c>
      <c r="L68" s="106">
        <f t="shared" si="833"/>
        <v>0</v>
      </c>
      <c r="M68" s="106">
        <f t="shared" si="834"/>
        <v>0</v>
      </c>
      <c r="N68" s="7" t="s">
        <v>54</v>
      </c>
      <c r="O68" s="106">
        <f t="shared" si="835"/>
        <v>34600.335000000006</v>
      </c>
      <c r="P68" s="106">
        <f t="shared" si="836"/>
        <v>51505.459499999997</v>
      </c>
      <c r="Q68" s="106">
        <f t="shared" si="837"/>
        <v>75272.257499999992</v>
      </c>
      <c r="R68" s="106">
        <f t="shared" si="838"/>
        <v>47638.222500000003</v>
      </c>
      <c r="S68" s="106">
        <f t="shared" si="839"/>
        <v>0</v>
      </c>
      <c r="T68" s="106">
        <f t="shared" si="840"/>
        <v>32885.424000000006</v>
      </c>
      <c r="U68" s="106">
        <f t="shared" si="841"/>
        <v>34977.909999999996</v>
      </c>
      <c r="V68" s="106">
        <f t="shared" si="842"/>
        <v>58226.723500000007</v>
      </c>
      <c r="W68" s="106">
        <f t="shared" si="843"/>
        <v>44926.496999999996</v>
      </c>
      <c r="X68" s="106">
        <f t="shared" si="844"/>
        <v>26731.8495</v>
      </c>
      <c r="Y68" s="106">
        <f t="shared" si="845"/>
        <v>0</v>
      </c>
      <c r="Z68" s="106">
        <f t="shared" si="846"/>
        <v>0</v>
      </c>
      <c r="AA68" s="106">
        <f t="shared" si="847"/>
        <v>406764.67849999998</v>
      </c>
      <c r="AB68" s="118">
        <f t="shared" si="374"/>
        <v>0</v>
      </c>
      <c r="AC68" s="106">
        <f t="shared" si="848"/>
        <v>0</v>
      </c>
      <c r="AD68" s="106">
        <f t="shared" si="849"/>
        <v>0</v>
      </c>
      <c r="AE68" s="106">
        <f t="shared" si="850"/>
        <v>0</v>
      </c>
      <c r="AF68" s="106">
        <f t="shared" si="851"/>
        <v>0</v>
      </c>
      <c r="AG68" s="106">
        <f t="shared" si="852"/>
        <v>0</v>
      </c>
      <c r="AH68" s="106">
        <f t="shared" si="853"/>
        <v>0</v>
      </c>
      <c r="AI68" s="106">
        <f t="shared" si="854"/>
        <v>0</v>
      </c>
      <c r="AJ68" s="106">
        <f t="shared" si="855"/>
        <v>0</v>
      </c>
      <c r="AK68" s="106">
        <f t="shared" si="856"/>
        <v>0</v>
      </c>
      <c r="AL68" s="106">
        <f t="shared" si="857"/>
        <v>0</v>
      </c>
      <c r="AM68" s="106">
        <f t="shared" si="858"/>
        <v>0</v>
      </c>
      <c r="AN68" s="106">
        <f t="shared" si="859"/>
        <v>0</v>
      </c>
      <c r="AO68" s="106">
        <f t="shared" si="860"/>
        <v>0</v>
      </c>
      <c r="AQ68" s="106">
        <v>0</v>
      </c>
      <c r="AR68" s="106">
        <v>0</v>
      </c>
      <c r="AS68" s="106">
        <v>0</v>
      </c>
      <c r="AT68" s="106">
        <v>0</v>
      </c>
      <c r="AU68" s="106">
        <v>0</v>
      </c>
      <c r="AV68" s="106">
        <v>0</v>
      </c>
      <c r="AW68" s="106">
        <v>0</v>
      </c>
      <c r="AX68" s="106">
        <v>0</v>
      </c>
      <c r="AY68" s="106">
        <v>0</v>
      </c>
      <c r="AZ68" s="106">
        <v>0</v>
      </c>
      <c r="BA68" s="106">
        <v>0</v>
      </c>
      <c r="BB68" s="106">
        <v>0</v>
      </c>
      <c r="BC68" s="106">
        <f t="shared" si="861"/>
        <v>0</v>
      </c>
      <c r="BD68" s="7" t="str">
        <f t="shared" si="47"/>
        <v>Bank Interest</v>
      </c>
      <c r="BE68" s="106">
        <f>+VLOOKUP($BD68,'Jan-25'!$A:$J,2,0)</f>
        <v>25163.880000000005</v>
      </c>
      <c r="BF68" s="106">
        <f>+VLOOKUP($BD68,'Feb-25'!$A:$J,2,0)</f>
        <v>37458.515999999996</v>
      </c>
      <c r="BG68" s="106">
        <f>+VLOOKUP($BD68,'Mar-25'!$A:$J,2,0)</f>
        <v>54743.46</v>
      </c>
      <c r="BH68" s="106">
        <f>+VLOOKUP($BD68,'Apr-25'!$A:$J,2,0)</f>
        <v>34645.980000000003</v>
      </c>
      <c r="BI68" s="106">
        <f>+VLOOKUP($BD68,'May-25'!$A:$J,2,0)</f>
        <v>0</v>
      </c>
      <c r="BJ68" s="106">
        <f>+VLOOKUP($BD68,'June-25'!$A:$J,2,0)</f>
        <v>23916.672000000006</v>
      </c>
      <c r="BK68" s="106">
        <f>+VLOOKUP($BD68,'July-25'!$A:$J,2,0)</f>
        <v>25438.48</v>
      </c>
      <c r="BL68" s="106">
        <f>+VLOOKUP($BD68,'Aug-25'!$A:$J,2,0)</f>
        <v>42346.708000000006</v>
      </c>
      <c r="BM68" s="106">
        <f>+VLOOKUP($BD68,'Sep-25'!$A:$J,2,0)</f>
        <v>32673.815999999999</v>
      </c>
      <c r="BN68" s="106">
        <f>+VLOOKUP($BD68,'Oct-25'!$A:$J,2,0)</f>
        <v>17821.233</v>
      </c>
      <c r="BO68" s="106">
        <f>+VLOOKUP($BD68,'Nov-25'!$A:$J,2,0)</f>
        <v>0</v>
      </c>
      <c r="BP68" s="106">
        <f>+VLOOKUP($BD68,'Dec-25'!$A:$J,2,0)</f>
        <v>0</v>
      </c>
      <c r="BQ68" s="106">
        <f t="shared" si="862"/>
        <v>294208.74500000005</v>
      </c>
      <c r="BR68" s="118">
        <f t="shared" si="389"/>
        <v>0</v>
      </c>
      <c r="BS68" s="106"/>
      <c r="BT68" s="106"/>
      <c r="BU68" s="106"/>
      <c r="BV68" s="106"/>
      <c r="BW68" s="106"/>
      <c r="BX68" s="106"/>
      <c r="BY68" s="106"/>
      <c r="BZ68" s="106"/>
      <c r="CA68" s="106"/>
      <c r="CB68" s="106"/>
      <c r="CC68" s="106"/>
      <c r="CD68" s="106"/>
      <c r="CE68" s="106">
        <f t="shared" si="863"/>
        <v>0</v>
      </c>
      <c r="CF68" s="22"/>
      <c r="CG68" s="106">
        <v>0</v>
      </c>
      <c r="CH68" s="106">
        <v>0</v>
      </c>
      <c r="CI68" s="106">
        <v>0</v>
      </c>
      <c r="CJ68" s="106">
        <v>0</v>
      </c>
      <c r="CK68" s="106">
        <v>0</v>
      </c>
      <c r="CL68" s="106">
        <v>0</v>
      </c>
      <c r="CM68" s="106">
        <v>0</v>
      </c>
      <c r="CN68" s="106">
        <v>0</v>
      </c>
      <c r="CO68" s="106">
        <v>0</v>
      </c>
      <c r="CP68" s="106">
        <v>0</v>
      </c>
      <c r="CQ68" s="106">
        <v>0</v>
      </c>
      <c r="CR68" s="106">
        <v>0</v>
      </c>
      <c r="CS68" s="106">
        <f t="shared" si="864"/>
        <v>0</v>
      </c>
      <c r="CT68" s="7" t="str">
        <f t="shared" si="51"/>
        <v>Bank Interest</v>
      </c>
      <c r="CU68" s="106">
        <f>+VLOOKUP($BD68,'Jan-25'!$A:$J,6,0)</f>
        <v>9436.4549999999999</v>
      </c>
      <c r="CV68" s="106">
        <f>+VLOOKUP($BD68,'Feb-25'!$A:$J,6,0)</f>
        <v>14046.943499999999</v>
      </c>
      <c r="CW68" s="106">
        <f>+VLOOKUP($BD68,'Mar-25'!$A:$J,6,0)</f>
        <v>20528.797499999997</v>
      </c>
      <c r="CX68" s="106">
        <f>+VLOOKUP($BD68,'Apr-25'!$A:$J,6,0)</f>
        <v>12992.242499999998</v>
      </c>
      <c r="CY68" s="106">
        <f>+VLOOKUP($BD68,'May-25'!$A:$J,6,0)</f>
        <v>0</v>
      </c>
      <c r="CZ68" s="106">
        <f>+VLOOKUP($BD68,'June-25'!$A:$J,6,0)</f>
        <v>8968.7520000000004</v>
      </c>
      <c r="DA68" s="106">
        <f>+VLOOKUP($BD68,'July-25'!$A:$J,6,0)</f>
        <v>9539.4299999999985</v>
      </c>
      <c r="DB68" s="106">
        <f>+VLOOKUP($BD68,'Aug-25'!$A:$J,6,0)</f>
        <v>15880.0155</v>
      </c>
      <c r="DC68" s="106">
        <f>+VLOOKUP($BD68,'Sep-25'!$A:$J,6,0)</f>
        <v>12252.680999999999</v>
      </c>
      <c r="DD68" s="106">
        <f>+VLOOKUP($BD68,'Oct-25'!$A:$J,6,0)</f>
        <v>8910.6165000000001</v>
      </c>
      <c r="DE68" s="106">
        <f>+VLOOKUP($BD68,'Nov-25'!$A:$J,6,0)</f>
        <v>0</v>
      </c>
      <c r="DF68" s="106">
        <f>+VLOOKUP($BD68,'Dec-25'!$A:$J,6,0)</f>
        <v>0</v>
      </c>
      <c r="DG68" s="106">
        <f t="shared" si="865"/>
        <v>112555.93349999998</v>
      </c>
      <c r="DH68" s="118">
        <f t="shared" si="390"/>
        <v>0</v>
      </c>
      <c r="DI68" s="106"/>
      <c r="DJ68" s="106"/>
      <c r="DK68" s="106"/>
      <c r="DL68" s="106"/>
      <c r="DM68" s="106"/>
      <c r="DN68" s="106"/>
      <c r="DO68" s="106"/>
      <c r="DP68" s="106"/>
      <c r="DQ68" s="106"/>
      <c r="DR68" s="106"/>
      <c r="DS68" s="106"/>
      <c r="DT68" s="106"/>
      <c r="DU68" s="106">
        <f t="shared" si="866"/>
        <v>0</v>
      </c>
    </row>
    <row r="69" spans="1:125" ht="14.45" hidden="1" customHeight="1" outlineLevel="1">
      <c r="A69" s="106">
        <f t="shared" si="822"/>
        <v>0</v>
      </c>
      <c r="B69" s="106">
        <f t="shared" si="823"/>
        <v>0</v>
      </c>
      <c r="C69" s="106">
        <f t="shared" si="824"/>
        <v>0</v>
      </c>
      <c r="D69" s="106">
        <f t="shared" si="825"/>
        <v>0</v>
      </c>
      <c r="E69" s="106">
        <f t="shared" si="826"/>
        <v>0</v>
      </c>
      <c r="F69" s="106">
        <f t="shared" si="827"/>
        <v>0</v>
      </c>
      <c r="G69" s="106">
        <f t="shared" si="828"/>
        <v>0</v>
      </c>
      <c r="H69" s="106">
        <f t="shared" si="829"/>
        <v>0</v>
      </c>
      <c r="I69" s="106">
        <f t="shared" si="830"/>
        <v>0</v>
      </c>
      <c r="J69" s="106">
        <f t="shared" si="831"/>
        <v>0</v>
      </c>
      <c r="K69" s="106">
        <f t="shared" si="832"/>
        <v>0</v>
      </c>
      <c r="L69" s="106">
        <f t="shared" si="833"/>
        <v>0</v>
      </c>
      <c r="M69" s="106">
        <f t="shared" si="834"/>
        <v>0</v>
      </c>
      <c r="N69" s="7" t="s">
        <v>55</v>
      </c>
      <c r="O69" s="106">
        <f t="shared" si="835"/>
        <v>0</v>
      </c>
      <c r="P69" s="106">
        <f t="shared" si="836"/>
        <v>0</v>
      </c>
      <c r="Q69" s="106">
        <f t="shared" si="837"/>
        <v>0</v>
      </c>
      <c r="R69" s="106">
        <f t="shared" si="838"/>
        <v>0</v>
      </c>
      <c r="S69" s="106">
        <f t="shared" si="839"/>
        <v>0</v>
      </c>
      <c r="T69" s="106">
        <f t="shared" si="840"/>
        <v>0</v>
      </c>
      <c r="U69" s="106">
        <f t="shared" si="841"/>
        <v>31334</v>
      </c>
      <c r="V69" s="106">
        <f t="shared" si="842"/>
        <v>0</v>
      </c>
      <c r="W69" s="106">
        <f t="shared" si="843"/>
        <v>0</v>
      </c>
      <c r="X69" s="106">
        <f t="shared" si="844"/>
        <v>63741.78</v>
      </c>
      <c r="Y69" s="106">
        <f t="shared" si="845"/>
        <v>0</v>
      </c>
      <c r="Z69" s="106">
        <f t="shared" si="846"/>
        <v>0</v>
      </c>
      <c r="AA69" s="106">
        <f t="shared" si="847"/>
        <v>95075.78</v>
      </c>
      <c r="AB69" s="118">
        <f t="shared" si="374"/>
        <v>0</v>
      </c>
      <c r="AC69" s="106">
        <f t="shared" si="848"/>
        <v>0</v>
      </c>
      <c r="AD69" s="106">
        <f t="shared" si="849"/>
        <v>0</v>
      </c>
      <c r="AE69" s="106">
        <f t="shared" si="850"/>
        <v>0</v>
      </c>
      <c r="AF69" s="106">
        <f t="shared" si="851"/>
        <v>0</v>
      </c>
      <c r="AG69" s="106">
        <f t="shared" si="852"/>
        <v>0</v>
      </c>
      <c r="AH69" s="106">
        <f t="shared" si="853"/>
        <v>0</v>
      </c>
      <c r="AI69" s="106">
        <f t="shared" si="854"/>
        <v>0</v>
      </c>
      <c r="AJ69" s="106">
        <f t="shared" si="855"/>
        <v>0</v>
      </c>
      <c r="AK69" s="106">
        <f t="shared" si="856"/>
        <v>0</v>
      </c>
      <c r="AL69" s="106">
        <f t="shared" si="857"/>
        <v>0</v>
      </c>
      <c r="AM69" s="106">
        <f t="shared" si="858"/>
        <v>0</v>
      </c>
      <c r="AN69" s="106">
        <f t="shared" si="859"/>
        <v>0</v>
      </c>
      <c r="AO69" s="106">
        <f t="shared" si="860"/>
        <v>0</v>
      </c>
      <c r="AQ69" s="106">
        <v>0</v>
      </c>
      <c r="AR69" s="106">
        <v>0</v>
      </c>
      <c r="AS69" s="106">
        <v>0</v>
      </c>
      <c r="AT69" s="106">
        <v>0</v>
      </c>
      <c r="AU69" s="106">
        <v>0</v>
      </c>
      <c r="AV69" s="106">
        <v>0</v>
      </c>
      <c r="AW69" s="106">
        <v>0</v>
      </c>
      <c r="AX69" s="106">
        <v>0</v>
      </c>
      <c r="AY69" s="106">
        <v>0</v>
      </c>
      <c r="AZ69" s="106">
        <v>0</v>
      </c>
      <c r="BA69" s="106">
        <v>0</v>
      </c>
      <c r="BB69" s="106">
        <v>0</v>
      </c>
      <c r="BC69" s="106">
        <f t="shared" si="861"/>
        <v>0</v>
      </c>
      <c r="BD69" s="7" t="str">
        <f t="shared" si="47"/>
        <v>Others</v>
      </c>
      <c r="BE69" s="106">
        <f>+VLOOKUP($BD69,'Jan-25'!$A:$J,2,0)</f>
        <v>0</v>
      </c>
      <c r="BF69" s="106">
        <f>+VLOOKUP($BD69,'Feb-25'!$A:$J,2,0)</f>
        <v>0</v>
      </c>
      <c r="BG69" s="106">
        <f>+VLOOKUP($BD69,'Mar-25'!$A:$J,2,0)</f>
        <v>0</v>
      </c>
      <c r="BH69" s="106">
        <f>+VLOOKUP($BD69,'Apr-25'!$A:$J,2,0)</f>
        <v>0</v>
      </c>
      <c r="BI69" s="106">
        <f>+VLOOKUP($BD69,'May-25'!$A:$J,2,0)</f>
        <v>0</v>
      </c>
      <c r="BJ69" s="106">
        <f>+VLOOKUP($BD69,'June-25'!$A:$J,2,0)</f>
        <v>0</v>
      </c>
      <c r="BK69" s="106">
        <f>+VLOOKUP($BD69,'July-25'!$A:$J,2,0)</f>
        <v>21768</v>
      </c>
      <c r="BL69" s="106">
        <f>+VLOOKUP($BD69,'Aug-25'!$A:$J,2,0)</f>
        <v>0</v>
      </c>
      <c r="BM69" s="106">
        <f>+VLOOKUP($BD69,'Sep-25'!$A:$J,2,0)</f>
        <v>0</v>
      </c>
      <c r="BN69" s="106">
        <f>+VLOOKUP($BD69,'Oct-25'!$A:$J,2,0)</f>
        <v>45902.720000000001</v>
      </c>
      <c r="BO69" s="106">
        <f>+VLOOKUP($BD69,'Nov-25'!$A:$J,2,0)</f>
        <v>0</v>
      </c>
      <c r="BP69" s="106">
        <f>+VLOOKUP($BD69,'Dec-25'!$A:$J,2,0)</f>
        <v>0</v>
      </c>
      <c r="BQ69" s="106">
        <f t="shared" si="862"/>
        <v>67670.720000000001</v>
      </c>
      <c r="BR69" s="118">
        <f t="shared" si="389"/>
        <v>0</v>
      </c>
      <c r="BS69" s="106"/>
      <c r="BT69" s="106"/>
      <c r="BU69" s="106"/>
      <c r="BV69" s="106"/>
      <c r="BW69" s="106"/>
      <c r="BX69" s="106"/>
      <c r="BY69" s="106"/>
      <c r="BZ69" s="106"/>
      <c r="CA69" s="106"/>
      <c r="CB69" s="106"/>
      <c r="CC69" s="106"/>
      <c r="CD69" s="106"/>
      <c r="CE69" s="106">
        <f t="shared" si="863"/>
        <v>0</v>
      </c>
      <c r="CF69" s="22"/>
      <c r="CG69" s="106">
        <v>0</v>
      </c>
      <c r="CH69" s="106">
        <v>0</v>
      </c>
      <c r="CI69" s="106">
        <v>0</v>
      </c>
      <c r="CJ69" s="106">
        <v>0</v>
      </c>
      <c r="CK69" s="106">
        <v>0</v>
      </c>
      <c r="CL69" s="106">
        <v>0</v>
      </c>
      <c r="CM69" s="106">
        <v>0</v>
      </c>
      <c r="CN69" s="106">
        <v>0</v>
      </c>
      <c r="CO69" s="106">
        <v>0</v>
      </c>
      <c r="CP69" s="106">
        <v>0</v>
      </c>
      <c r="CQ69" s="106">
        <v>0</v>
      </c>
      <c r="CR69" s="106">
        <v>0</v>
      </c>
      <c r="CS69" s="106">
        <f t="shared" si="864"/>
        <v>0</v>
      </c>
      <c r="CT69" s="7" t="str">
        <f t="shared" si="51"/>
        <v>Others</v>
      </c>
      <c r="CU69" s="106">
        <f>+VLOOKUP($BD69,'Jan-25'!$A:$J,6,0)</f>
        <v>0</v>
      </c>
      <c r="CV69" s="106">
        <f>+VLOOKUP($BD69,'Feb-25'!$A:$J,6,0)</f>
        <v>0</v>
      </c>
      <c r="CW69" s="106">
        <f>+VLOOKUP($BD69,'Mar-25'!$A:$J,6,0)</f>
        <v>0</v>
      </c>
      <c r="CX69" s="106">
        <f>+VLOOKUP($BD69,'Apr-25'!$A:$J,6,0)</f>
        <v>0</v>
      </c>
      <c r="CY69" s="106">
        <f>+VLOOKUP($BD69,'May-25'!$A:$J,6,0)</f>
        <v>0</v>
      </c>
      <c r="CZ69" s="106">
        <f>+VLOOKUP($BD69,'June-25'!$A:$J,6,0)</f>
        <v>0</v>
      </c>
      <c r="DA69" s="106">
        <f>+VLOOKUP($BD69,'July-25'!$A:$J,6,0)</f>
        <v>9566</v>
      </c>
      <c r="DB69" s="106">
        <f>+VLOOKUP($BD69,'Aug-25'!$A:$J,6,0)</f>
        <v>0</v>
      </c>
      <c r="DC69" s="106">
        <f>+VLOOKUP($BD69,'Sep-25'!$A:$J,6,0)</f>
        <v>0</v>
      </c>
      <c r="DD69" s="106">
        <f>+VLOOKUP($BD69,'Oct-25'!$A:$J,6,0)</f>
        <v>17839.060000000001</v>
      </c>
      <c r="DE69" s="106">
        <f>+VLOOKUP($BD69,'Nov-25'!$A:$J,6,0)</f>
        <v>0</v>
      </c>
      <c r="DF69" s="106">
        <f>+VLOOKUP($BD69,'Dec-25'!$A:$J,6,0)</f>
        <v>0</v>
      </c>
      <c r="DG69" s="106">
        <f>+SUM(CU69:DF69)</f>
        <v>27405.06</v>
      </c>
      <c r="DH69" s="118">
        <f t="shared" si="390"/>
        <v>0</v>
      </c>
      <c r="DI69" s="106"/>
      <c r="DJ69" s="106"/>
      <c r="DK69" s="106"/>
      <c r="DL69" s="106"/>
      <c r="DM69" s="106"/>
      <c r="DN69" s="106"/>
      <c r="DO69" s="106"/>
      <c r="DP69" s="106"/>
      <c r="DQ69" s="106"/>
      <c r="DR69" s="106"/>
      <c r="DS69" s="106"/>
      <c r="DT69" s="106"/>
      <c r="DU69" s="106">
        <f t="shared" si="866"/>
        <v>0</v>
      </c>
    </row>
    <row r="70" spans="1:125" ht="14.45" customHeight="1" collapsed="1">
      <c r="A70" s="58">
        <f>+A60+A55+A51+A52+A29+A27+(A7/3.5%)+A8+A13</f>
        <v>81817411.698571414</v>
      </c>
      <c r="B70" s="58">
        <f t="shared" ref="B70:L70" si="867">+B60+B55+B51+B52+B29+B27+(B7/3.5%)+B8+B13</f>
        <v>202428233.65281352</v>
      </c>
      <c r="C70" s="58">
        <f t="shared" si="867"/>
        <v>293220186.30383044</v>
      </c>
      <c r="D70" s="58">
        <f t="shared" si="867"/>
        <v>107133334.05780485</v>
      </c>
      <c r="E70" s="58">
        <f t="shared" si="867"/>
        <v>212067429.02593142</v>
      </c>
      <c r="F70" s="58">
        <f t="shared" si="867"/>
        <v>151516072.33571428</v>
      </c>
      <c r="G70" s="58">
        <f t="shared" si="867"/>
        <v>152845793.0657143</v>
      </c>
      <c r="H70" s="58">
        <f t="shared" si="867"/>
        <v>170316999.51571426</v>
      </c>
      <c r="I70" s="58">
        <f t="shared" si="867"/>
        <v>144859285.80395758</v>
      </c>
      <c r="J70" s="58">
        <f t="shared" si="867"/>
        <v>183338810.028667</v>
      </c>
      <c r="K70" s="58">
        <f t="shared" si="867"/>
        <v>177410013.53341001</v>
      </c>
      <c r="L70" s="58">
        <f t="shared" si="867"/>
        <v>216516401.36999997</v>
      </c>
      <c r="M70" s="58">
        <f>+M60+M55+M51+M52+M29+M27+(M7/3.5%)+M8+M13</f>
        <v>2093469970.3921289</v>
      </c>
      <c r="N70" s="14" t="s">
        <v>56</v>
      </c>
      <c r="O70" s="58">
        <f t="shared" ref="O70:Z70" si="868">+O60+O55+O51+O52+O29+O27+(O7/3.5%)+O8+O13</f>
        <v>181229814.02062139</v>
      </c>
      <c r="P70" s="58">
        <f t="shared" si="868"/>
        <v>109221994.65949999</v>
      </c>
      <c r="Q70" s="58">
        <f t="shared" si="868"/>
        <v>242197100.73413998</v>
      </c>
      <c r="R70" s="58">
        <f t="shared" si="868"/>
        <v>137147455.44577843</v>
      </c>
      <c r="S70" s="58">
        <f t="shared" si="868"/>
        <v>128428925.4942857</v>
      </c>
      <c r="T70" s="58">
        <f t="shared" si="868"/>
        <v>164359225.17257139</v>
      </c>
      <c r="U70" s="58">
        <f t="shared" si="868"/>
        <v>212633877.19814286</v>
      </c>
      <c r="V70" s="58">
        <f t="shared" si="868"/>
        <v>157283894.34064284</v>
      </c>
      <c r="W70" s="58">
        <f t="shared" si="868"/>
        <v>256843587.76025805</v>
      </c>
      <c r="X70" s="58">
        <f t="shared" si="868"/>
        <v>228616490.83359995</v>
      </c>
      <c r="Y70" s="58">
        <f t="shared" si="868"/>
        <v>0</v>
      </c>
      <c r="Z70" s="58">
        <f t="shared" si="868"/>
        <v>0</v>
      </c>
      <c r="AA70" s="58">
        <f>+AA60+AA55+AA51+AA52+AA29+AA27+(AA7/3.5%)+AA8+AA13</f>
        <v>1817962365.6595407</v>
      </c>
      <c r="AB70" s="118">
        <f t="shared" si="374"/>
        <v>0.51128487673115897</v>
      </c>
      <c r="AC70" s="58">
        <f t="shared" ref="AC70:AN70" si="869">+AC60+AC55+AC51+AC52+AC29+AC27+(AC7/3.5%)+AC8+AC13</f>
        <v>149311426.02516308</v>
      </c>
      <c r="AD70" s="58">
        <f t="shared" si="869"/>
        <v>158187996.62162161</v>
      </c>
      <c r="AE70" s="58">
        <f t="shared" si="869"/>
        <v>203741666.6737673</v>
      </c>
      <c r="AF70" s="58">
        <f t="shared" si="869"/>
        <v>134613058.0947943</v>
      </c>
      <c r="AG70" s="58">
        <f t="shared" si="869"/>
        <v>174887125.88536811</v>
      </c>
      <c r="AH70" s="58">
        <f t="shared" si="869"/>
        <v>130815190.05902453</v>
      </c>
      <c r="AI70" s="58">
        <f t="shared" si="869"/>
        <v>152290114.7583544</v>
      </c>
      <c r="AJ70" s="58">
        <f t="shared" si="869"/>
        <v>171894354.73083919</v>
      </c>
      <c r="AK70" s="58">
        <f t="shared" si="869"/>
        <v>190856596.39750585</v>
      </c>
      <c r="AL70" s="58">
        <f t="shared" si="869"/>
        <v>151272929.64651847</v>
      </c>
      <c r="AM70" s="58">
        <f t="shared" si="869"/>
        <v>130725957.78191985</v>
      </c>
      <c r="AN70" s="58">
        <f t="shared" si="869"/>
        <v>199568521.44521368</v>
      </c>
      <c r="AO70" s="58">
        <f>+AO60+AO55+AO51+AO52+AO29+AO27+(AO7/3.5%)+AO8+AO13</f>
        <v>1948164938.1200905</v>
      </c>
      <c r="AQ70" s="58">
        <f>+AQ60+AQ55+AQ51+AQ52+AQ29+AQ27+(AQ7/3.5%)+AQ8+AQ13</f>
        <v>56464896.8642857</v>
      </c>
      <c r="AR70" s="58">
        <f t="shared" ref="AR70:BA70" si="870">+AR60+AR55+AR51+AR52+AR29+AR27+(AR7/3.5%)+AR8+AR13</f>
        <v>145289443.43546283</v>
      </c>
      <c r="AS70" s="58">
        <f t="shared" si="870"/>
        <v>150902163.42477903</v>
      </c>
      <c r="AT70" s="58">
        <f t="shared" si="870"/>
        <v>71453598.906733438</v>
      </c>
      <c r="AU70" s="58">
        <f t="shared" si="870"/>
        <v>100325441.28878856</v>
      </c>
      <c r="AV70" s="58">
        <f t="shared" si="870"/>
        <v>126924948.42</v>
      </c>
      <c r="AW70" s="58">
        <f t="shared" si="870"/>
        <v>69758868.548571423</v>
      </c>
      <c r="AX70" s="58">
        <f t="shared" si="870"/>
        <v>91925620.05428569</v>
      </c>
      <c r="AY70" s="58">
        <f t="shared" si="870"/>
        <v>111195320.83069085</v>
      </c>
      <c r="AZ70" s="58">
        <f t="shared" si="870"/>
        <v>139705611.56</v>
      </c>
      <c r="BA70" s="58">
        <f t="shared" si="870"/>
        <v>82872627.146740004</v>
      </c>
      <c r="BB70" s="58">
        <f>+BB60+BB55+BB51+BB52+BB29+BB27+(BB7/3.5%)+BB8+BB13</f>
        <v>147348210.89999998</v>
      </c>
      <c r="BC70" s="58">
        <f>+BC60+BC55+BC51+BC52+BC29+BC27+(BC7/3.5%)+BC8+BC13</f>
        <v>1294166751.3803377</v>
      </c>
      <c r="BD70" s="14" t="str">
        <f t="shared" ref="BD70:BD133" si="871">N70</f>
        <v>Total Revenue</v>
      </c>
      <c r="BE70" s="58">
        <f t="shared" ref="BE70:BP70" si="872">+BE60+BE55+BE51+BE52+BE29+BE27+(BE7/3.5%)+BE8+BE13</f>
        <v>107164113.17378379</v>
      </c>
      <c r="BF70" s="58">
        <f t="shared" si="872"/>
        <v>83285548.430285707</v>
      </c>
      <c r="BG70" s="58">
        <f t="shared" si="872"/>
        <v>105635703.38431999</v>
      </c>
      <c r="BH70" s="58">
        <f t="shared" si="872"/>
        <v>72833285.208714277</v>
      </c>
      <c r="BI70" s="58">
        <f t="shared" si="872"/>
        <v>40529236.032857135</v>
      </c>
      <c r="BJ70" s="58">
        <f t="shared" si="872"/>
        <v>119666705.27771427</v>
      </c>
      <c r="BK70" s="58">
        <f t="shared" si="872"/>
        <v>110342655.74957141</v>
      </c>
      <c r="BL70" s="58">
        <f t="shared" si="872"/>
        <v>60668929.610857137</v>
      </c>
      <c r="BM70" s="58">
        <f t="shared" si="872"/>
        <v>175202410.68584803</v>
      </c>
      <c r="BN70" s="58">
        <f t="shared" si="872"/>
        <v>161815851.69974998</v>
      </c>
      <c r="BO70" s="58">
        <f t="shared" si="872"/>
        <v>0</v>
      </c>
      <c r="BP70" s="58">
        <f t="shared" si="872"/>
        <v>0</v>
      </c>
      <c r="BQ70" s="58">
        <f>+BQ60+BQ55+BQ51+BQ52+BQ29+BQ27+(BQ7/3.5%)+BQ8+BQ13</f>
        <v>1037144439.2537016</v>
      </c>
      <c r="BR70" s="118">
        <f t="shared" si="389"/>
        <v>0.91172739449838913</v>
      </c>
      <c r="BS70" s="58">
        <f t="shared" ref="BS70:CD70" si="873">+BS60+BS55+BS51+BS52+BS29+BS27+(BS7/3.5%)+BS8+BS13</f>
        <v>77301030.529667601</v>
      </c>
      <c r="BT70" s="58">
        <f t="shared" si="873"/>
        <v>83181457.059645861</v>
      </c>
      <c r="BU70" s="58">
        <f t="shared" si="873"/>
        <v>133953051.73745172</v>
      </c>
      <c r="BV70" s="58">
        <f t="shared" si="873"/>
        <v>69458664.561975762</v>
      </c>
      <c r="BW70" s="58">
        <f t="shared" si="873"/>
        <v>95981148.858341083</v>
      </c>
      <c r="BX70" s="58">
        <f t="shared" si="873"/>
        <v>74412646.039142579</v>
      </c>
      <c r="BY70" s="58">
        <f t="shared" si="873"/>
        <v>97589175.662361875</v>
      </c>
      <c r="BZ70" s="58">
        <f t="shared" si="873"/>
        <v>109105842.11822659</v>
      </c>
      <c r="CA70" s="58">
        <f t="shared" si="873"/>
        <v>98976518.275418267</v>
      </c>
      <c r="CB70" s="58">
        <f t="shared" si="873"/>
        <v>84643789.781653583</v>
      </c>
      <c r="CC70" s="58">
        <f t="shared" si="873"/>
        <v>71508686.48648648</v>
      </c>
      <c r="CD70" s="58">
        <f t="shared" si="873"/>
        <v>105987436.88013136</v>
      </c>
      <c r="CE70" s="58">
        <f>+CE60+CE55+CE51+CE52+CE29+CE27+(CE7/3.5%)+CE8+CE13</f>
        <v>1102099447.9905028</v>
      </c>
      <c r="CF70" s="22"/>
      <c r="CG70" s="58">
        <f t="shared" ref="CG70:CR70" si="874">+CG60+CG55+CG51+CG52+CG29+CG27+(CG7/3.5%)+CG8+CG13</f>
        <v>25352514.834285714</v>
      </c>
      <c r="CH70" s="58">
        <f t="shared" si="874"/>
        <v>57138790.217350706</v>
      </c>
      <c r="CI70" s="58">
        <f t="shared" si="874"/>
        <v>142318022.87905142</v>
      </c>
      <c r="CJ70" s="58">
        <f t="shared" si="874"/>
        <v>35679735.151071429</v>
      </c>
      <c r="CK70" s="58">
        <f t="shared" si="874"/>
        <v>111741987.73714285</v>
      </c>
      <c r="CL70" s="58">
        <f t="shared" si="874"/>
        <v>24591123.915714283</v>
      </c>
      <c r="CM70" s="58">
        <f t="shared" si="874"/>
        <v>83086924.517142862</v>
      </c>
      <c r="CN70" s="58">
        <f t="shared" si="874"/>
        <v>78391379.461428553</v>
      </c>
      <c r="CO70" s="58">
        <f t="shared" si="874"/>
        <v>33663964.973266713</v>
      </c>
      <c r="CP70" s="58">
        <f t="shared" si="874"/>
        <v>43633198.468666993</v>
      </c>
      <c r="CQ70" s="58">
        <f t="shared" si="874"/>
        <v>94537386.386669993</v>
      </c>
      <c r="CR70" s="58">
        <f t="shared" si="874"/>
        <v>69168190.469999999</v>
      </c>
      <c r="CS70" s="58">
        <f>+CS60+CS55+CS51+CS52+CS29+CS27+(CS7/3.5%)+CS8+CS13</f>
        <v>799303219.01179159</v>
      </c>
      <c r="CT70" s="14" t="str">
        <f t="shared" ref="CT70:CT133" si="875">BD70</f>
        <v>Total Revenue</v>
      </c>
      <c r="CU70" s="58">
        <f t="shared" ref="CU70:DF70" si="876">+CU60+CU55+CU51+CU52+CU29+CU27+(CU7/3.5%)+CU8+CU13</f>
        <v>74065700.846837625</v>
      </c>
      <c r="CV70" s="58">
        <f t="shared" si="876"/>
        <v>25936446.229214285</v>
      </c>
      <c r="CW70" s="58">
        <f t="shared" si="876"/>
        <v>136561397.34982002</v>
      </c>
      <c r="CX70" s="58">
        <f t="shared" si="876"/>
        <v>64314170.23706416</v>
      </c>
      <c r="CY70" s="58">
        <f t="shared" si="876"/>
        <v>87899689.461428568</v>
      </c>
      <c r="CZ70" s="58">
        <f t="shared" si="876"/>
        <v>44692519.894857138</v>
      </c>
      <c r="DA70" s="58">
        <f t="shared" si="876"/>
        <v>102291221.44857141</v>
      </c>
      <c r="DB70" s="58">
        <f t="shared" si="876"/>
        <v>96614964.729785696</v>
      </c>
      <c r="DC70" s="58">
        <f t="shared" si="876"/>
        <v>81641177.074409992</v>
      </c>
      <c r="DD70" s="58">
        <f t="shared" si="876"/>
        <v>66800639.133850008</v>
      </c>
      <c r="DE70" s="58">
        <f t="shared" si="876"/>
        <v>0</v>
      </c>
      <c r="DF70" s="58">
        <f t="shared" si="876"/>
        <v>0</v>
      </c>
      <c r="DG70" s="58">
        <f t="shared" ref="DG70:DT70" si="877">+DG60+DG55+DG51+DG52+DG29+DG27+(DG7/3.5%)+DG8+DG13</f>
        <v>780817926.40583909</v>
      </c>
      <c r="DH70" s="118">
        <f t="shared" si="390"/>
        <v>2.57393790964384E-3</v>
      </c>
      <c r="DI70" s="58">
        <f t="shared" si="877"/>
        <v>72010395.495495498</v>
      </c>
      <c r="DJ70" s="58">
        <f t="shared" si="877"/>
        <v>75006539.561975762</v>
      </c>
      <c r="DK70" s="58">
        <f t="shared" si="877"/>
        <v>69788614.936315611</v>
      </c>
      <c r="DL70" s="58">
        <f t="shared" si="877"/>
        <v>65154393.532818541</v>
      </c>
      <c r="DM70" s="58">
        <f t="shared" si="877"/>
        <v>78905977.027027011</v>
      </c>
      <c r="DN70" s="58">
        <f t="shared" si="877"/>
        <v>56402544.019881941</v>
      </c>
      <c r="DO70" s="58">
        <f t="shared" si="877"/>
        <v>54700939.095992535</v>
      </c>
      <c r="DP70" s="58">
        <f t="shared" si="877"/>
        <v>62788512.612612613</v>
      </c>
      <c r="DQ70" s="58">
        <f t="shared" si="877"/>
        <v>91880078.122087598</v>
      </c>
      <c r="DR70" s="58">
        <f t="shared" si="877"/>
        <v>66629139.864864871</v>
      </c>
      <c r="DS70" s="58">
        <f t="shared" si="877"/>
        <v>59217271.295433372</v>
      </c>
      <c r="DT70" s="58">
        <f t="shared" si="877"/>
        <v>93581084.565082327</v>
      </c>
      <c r="DU70" s="58">
        <f>+DU60+DU55+DU51+DU52+DU29+DU27+(DU7/3.5%)+DU8+DU13</f>
        <v>846065490.12958765</v>
      </c>
    </row>
    <row r="71" spans="1:125" ht="14.45" customHeight="1">
      <c r="A71" s="58">
        <f>+A60+A58+A47+A27+A6</f>
        <v>4786863.1620000005</v>
      </c>
      <c r="B71" s="58">
        <f t="shared" ref="B71:M71" si="878">+B60+B58+B47+B27+B6</f>
        <v>11876198.858584998</v>
      </c>
      <c r="C71" s="58">
        <f t="shared" si="878"/>
        <v>20837538.551373333</v>
      </c>
      <c r="D71" s="58">
        <f t="shared" si="878"/>
        <v>5554979.7374619972</v>
      </c>
      <c r="E71" s="58">
        <f t="shared" si="878"/>
        <v>9962193.9205600005</v>
      </c>
      <c r="F71" s="58">
        <f t="shared" si="878"/>
        <v>7741116.1239999998</v>
      </c>
      <c r="G71" s="58">
        <f t="shared" si="878"/>
        <v>8186048.7592000011</v>
      </c>
      <c r="H71" s="58">
        <f t="shared" si="878"/>
        <v>9506605.3759999983</v>
      </c>
      <c r="I71" s="58">
        <f t="shared" si="878"/>
        <v>10621030.803957583</v>
      </c>
      <c r="J71" s="58">
        <f t="shared" si="878"/>
        <v>8335722.1868670005</v>
      </c>
      <c r="K71" s="58">
        <f t="shared" si="878"/>
        <v>10038120.667459998</v>
      </c>
      <c r="L71" s="58">
        <f t="shared" si="878"/>
        <v>14428444.5506</v>
      </c>
      <c r="M71" s="58">
        <f t="shared" si="878"/>
        <v>121874862.69806491</v>
      </c>
      <c r="N71" s="14" t="s">
        <v>57</v>
      </c>
      <c r="O71" s="58">
        <f>+O60+O58+O47+O27+O6</f>
        <v>11015535.419821408</v>
      </c>
      <c r="P71" s="58">
        <f t="shared" ref="P71:AA71" si="879">+P60+P58+P47+P27+P6</f>
        <v>5146232.6244999999</v>
      </c>
      <c r="Q71" s="58">
        <f t="shared" si="879"/>
        <v>15832186.049790002</v>
      </c>
      <c r="R71" s="58">
        <f t="shared" si="879"/>
        <v>9960404.908635594</v>
      </c>
      <c r="S71" s="58">
        <f t="shared" si="879"/>
        <v>8538432.7799999993</v>
      </c>
      <c r="T71" s="58">
        <f t="shared" si="879"/>
        <v>10282720.743999999</v>
      </c>
      <c r="U71" s="58">
        <f t="shared" si="879"/>
        <v>14144114.891000003</v>
      </c>
      <c r="V71" s="58">
        <f t="shared" si="879"/>
        <v>7648324.4835000001</v>
      </c>
      <c r="W71" s="58">
        <f t="shared" si="879"/>
        <v>15837606.065408003</v>
      </c>
      <c r="X71" s="58">
        <f t="shared" si="879"/>
        <v>14274983.250099998</v>
      </c>
      <c r="Y71" s="58">
        <f t="shared" si="879"/>
        <v>0</v>
      </c>
      <c r="Z71" s="58">
        <f t="shared" si="879"/>
        <v>0</v>
      </c>
      <c r="AA71" s="58">
        <f t="shared" si="879"/>
        <v>112680541.216755</v>
      </c>
      <c r="AB71" s="118">
        <f t="shared" si="374"/>
        <v>0.72594867796122253</v>
      </c>
      <c r="AC71" s="58">
        <f>+AC60+AC58+AC47+AC27+AC6</f>
        <v>9752596.5342497677</v>
      </c>
      <c r="AD71" s="58">
        <f t="shared" ref="AD71:AO71" si="880">+AD60+AD58+AD47+AD27+AD6</f>
        <v>8481102.4211711716</v>
      </c>
      <c r="AE71" s="58">
        <f t="shared" si="880"/>
        <v>18069523.208738293</v>
      </c>
      <c r="AF71" s="58">
        <f t="shared" si="880"/>
        <v>7593692.2734433953</v>
      </c>
      <c r="AG71" s="58">
        <f t="shared" si="880"/>
        <v>9372067.397095371</v>
      </c>
      <c r="AH71" s="58">
        <f t="shared" si="880"/>
        <v>8725775.7284871079</v>
      </c>
      <c r="AI71" s="58">
        <f t="shared" si="880"/>
        <v>8241393.1875471538</v>
      </c>
      <c r="AJ71" s="58">
        <f t="shared" si="880"/>
        <v>11270577.166711047</v>
      </c>
      <c r="AK71" s="58">
        <f t="shared" si="880"/>
        <v>12251571.750044379</v>
      </c>
      <c r="AL71" s="58">
        <f t="shared" si="880"/>
        <v>8270804.0119491424</v>
      </c>
      <c r="AM71" s="58">
        <f t="shared" si="880"/>
        <v>7294202.6700838776</v>
      </c>
      <c r="AN71" s="58">
        <f t="shared" si="880"/>
        <v>17577769.041073095</v>
      </c>
      <c r="AO71" s="58">
        <f t="shared" si="880"/>
        <v>126901075.3905938</v>
      </c>
      <c r="AQ71" s="58">
        <f t="shared" ref="AQ71:BB71" si="881">+AQ60+AQ58+AQ47+AQ27+AQ6</f>
        <v>3467492.4039999996</v>
      </c>
      <c r="AR71" s="58">
        <f t="shared" si="881"/>
        <v>8459427.3555199988</v>
      </c>
      <c r="AS71" s="58">
        <f t="shared" si="881"/>
        <v>11392294.280893335</v>
      </c>
      <c r="AT71" s="58">
        <f t="shared" si="881"/>
        <v>3866671.3013619976</v>
      </c>
      <c r="AU71" s="58">
        <f t="shared" si="881"/>
        <v>4980086.3005600004</v>
      </c>
      <c r="AV71" s="58">
        <f t="shared" si="881"/>
        <v>6420884.4939999999</v>
      </c>
      <c r="AW71" s="58">
        <f t="shared" si="881"/>
        <v>4232756.2056</v>
      </c>
      <c r="AX71" s="58">
        <f t="shared" si="881"/>
        <v>5115576.4291999992</v>
      </c>
      <c r="AY71" s="58">
        <f t="shared" si="881"/>
        <v>7336892.5449765846</v>
      </c>
      <c r="AZ71" s="58">
        <f t="shared" si="881"/>
        <v>6475282.94245</v>
      </c>
      <c r="BA71" s="58">
        <f t="shared" si="881"/>
        <v>4690060.7204399994</v>
      </c>
      <c r="BB71" s="58">
        <f t="shared" si="881"/>
        <v>9667760.754999999</v>
      </c>
      <c r="BC71" s="58">
        <f t="shared" ref="BC71" si="882">+BC60+BC58+BC47+BC27+BC6</f>
        <v>76105185.734001905</v>
      </c>
      <c r="BD71" s="14" t="str">
        <f t="shared" si="871"/>
        <v>Total Income</v>
      </c>
      <c r="BE71" s="58">
        <f t="shared" ref="BE71:BP71" si="883">+BE60+BE58+BE47+BE27+BE6</f>
        <v>6600487.1415837854</v>
      </c>
      <c r="BF71" s="58">
        <f t="shared" si="883"/>
        <v>3811309.0560000003</v>
      </c>
      <c r="BG71" s="58">
        <f t="shared" si="883"/>
        <v>7623831.8890700024</v>
      </c>
      <c r="BH71" s="58">
        <f t="shared" si="883"/>
        <v>5874353.7429999989</v>
      </c>
      <c r="BI71" s="58">
        <f t="shared" si="883"/>
        <v>3074667.8899999992</v>
      </c>
      <c r="BJ71" s="58">
        <f t="shared" si="883"/>
        <v>7519891.9919999996</v>
      </c>
      <c r="BK71" s="58">
        <f t="shared" si="883"/>
        <v>7362422.6810000008</v>
      </c>
      <c r="BL71" s="58">
        <f t="shared" si="883"/>
        <v>3044819.4679999999</v>
      </c>
      <c r="BM71" s="58">
        <f t="shared" si="883"/>
        <v>10489127.103348</v>
      </c>
      <c r="BN71" s="58">
        <f t="shared" si="883"/>
        <v>10219811.737299997</v>
      </c>
      <c r="BO71" s="58">
        <f t="shared" si="883"/>
        <v>0</v>
      </c>
      <c r="BP71" s="58">
        <f t="shared" si="883"/>
        <v>0</v>
      </c>
      <c r="BQ71" s="58">
        <f t="shared" ref="BQ71" si="884">+BQ60+BQ58+BQ47+BQ27+BQ6</f>
        <v>65620722.701301776</v>
      </c>
      <c r="BR71" s="118">
        <f t="shared" si="389"/>
        <v>1.2351862170885122</v>
      </c>
      <c r="BS71" s="58">
        <f t="shared" ref="BS71:CD71" si="885">+BS60+BS58+BS47+BS27+BS6</f>
        <v>5118053.3135290463</v>
      </c>
      <c r="BT71" s="58">
        <f t="shared" si="885"/>
        <v>4442055.1992078293</v>
      </c>
      <c r="BU71" s="58">
        <f t="shared" si="885"/>
        <v>11314798.132239383</v>
      </c>
      <c r="BV71" s="58">
        <f t="shared" si="885"/>
        <v>3884315.9719633427</v>
      </c>
      <c r="BW71" s="58">
        <f t="shared" si="885"/>
        <v>5174534.266464741</v>
      </c>
      <c r="BX71" s="58">
        <f t="shared" si="885"/>
        <v>4898690.7199440822</v>
      </c>
      <c r="BY71" s="58">
        <f t="shared" si="885"/>
        <v>5169137.1833533049</v>
      </c>
      <c r="BZ71" s="58">
        <f t="shared" si="885"/>
        <v>7043185.1847290648</v>
      </c>
      <c r="CA71" s="58">
        <f t="shared" si="885"/>
        <v>6309349.8616473619</v>
      </c>
      <c r="CB71" s="58">
        <f t="shared" si="885"/>
        <v>4572241.7484356286</v>
      </c>
      <c r="CC71" s="58">
        <f t="shared" si="885"/>
        <v>3896883.018018018</v>
      </c>
      <c r="CD71" s="58">
        <f t="shared" si="885"/>
        <v>9492376.5255403183</v>
      </c>
      <c r="CE71" s="58">
        <f t="shared" ref="CE71" si="886">+CE60+CE58+CE47+CE27+CE6</f>
        <v>71315621.125072122</v>
      </c>
      <c r="CF71" s="22"/>
      <c r="CG71" s="58">
        <f t="shared" ref="CG71:CS71" si="887">+CG60+CG58+CG47+CG27+CG6</f>
        <v>1319370.7580000001</v>
      </c>
      <c r="CH71" s="58">
        <f t="shared" si="887"/>
        <v>3416771.5030649998</v>
      </c>
      <c r="CI71" s="58">
        <f t="shared" si="887"/>
        <v>9445244.2704800013</v>
      </c>
      <c r="CJ71" s="58">
        <f t="shared" si="887"/>
        <v>1688308.4361</v>
      </c>
      <c r="CK71" s="58">
        <f t="shared" si="887"/>
        <v>4982107.62</v>
      </c>
      <c r="CL71" s="58">
        <f t="shared" si="887"/>
        <v>1320231.6299999999</v>
      </c>
      <c r="CM71" s="58">
        <f t="shared" si="887"/>
        <v>3953292.5536000007</v>
      </c>
      <c r="CN71" s="58">
        <f t="shared" si="887"/>
        <v>4391028.9468</v>
      </c>
      <c r="CO71" s="58">
        <f t="shared" si="887"/>
        <v>3284138.2589809997</v>
      </c>
      <c r="CP71" s="58">
        <f t="shared" si="887"/>
        <v>1860439.2444170001</v>
      </c>
      <c r="CQ71" s="58">
        <f t="shared" si="887"/>
        <v>5348059.9470200008</v>
      </c>
      <c r="CR71" s="58">
        <f t="shared" si="887"/>
        <v>4760683.7955999998</v>
      </c>
      <c r="CS71" s="58">
        <f t="shared" si="887"/>
        <v>45769676.964063011</v>
      </c>
      <c r="CT71" s="14" t="str">
        <f t="shared" si="875"/>
        <v>Total Income</v>
      </c>
      <c r="CU71" s="58">
        <f>+CU60+CU58+CU47+CU27+CU6</f>
        <v>4415048.2782376222</v>
      </c>
      <c r="CV71" s="58">
        <f t="shared" ref="CV71:DF71" si="888">+CV60+CV58+CV47+CV27+CV6</f>
        <v>1334923.5685000001</v>
      </c>
      <c r="CW71" s="58">
        <f t="shared" si="888"/>
        <v>8208354.16072</v>
      </c>
      <c r="CX71" s="58">
        <f t="shared" si="888"/>
        <v>4086051.1656355932</v>
      </c>
      <c r="CY71" s="58">
        <f t="shared" si="888"/>
        <v>5463764.8899999997</v>
      </c>
      <c r="CZ71" s="58">
        <f t="shared" si="888"/>
        <v>2762828.7519999999</v>
      </c>
      <c r="DA71" s="58">
        <f t="shared" si="888"/>
        <v>6781692.21</v>
      </c>
      <c r="DB71" s="58">
        <f t="shared" si="888"/>
        <v>4603505.0154999997</v>
      </c>
      <c r="DC71" s="58">
        <f t="shared" si="888"/>
        <v>5348478.9620600007</v>
      </c>
      <c r="DD71" s="58">
        <f t="shared" si="888"/>
        <v>4055171.5128000006</v>
      </c>
      <c r="DE71" s="58">
        <f t="shared" si="888"/>
        <v>0</v>
      </c>
      <c r="DF71" s="58">
        <f t="shared" si="888"/>
        <v>0</v>
      </c>
      <c r="DG71" s="58">
        <f t="shared" ref="DG71" si="889">+DG60+DG58+DG47+DG27+DG6</f>
        <v>47059818.515453227</v>
      </c>
      <c r="DH71" s="118">
        <f t="shared" si="390"/>
        <v>9.6418344177804802E-2</v>
      </c>
      <c r="DI71" s="58">
        <f t="shared" ref="DI71:DU71" si="890">+DI60+DI58+DI47+DI27+DI6</f>
        <v>4634543.2207207214</v>
      </c>
      <c r="DJ71" s="58">
        <f t="shared" si="890"/>
        <v>4039047.2219633427</v>
      </c>
      <c r="DK71" s="58">
        <f t="shared" si="890"/>
        <v>6754725.0764989126</v>
      </c>
      <c r="DL71" s="58">
        <f t="shared" si="890"/>
        <v>3709376.3014800521</v>
      </c>
      <c r="DM71" s="58">
        <f t="shared" si="890"/>
        <v>4197533.130630631</v>
      </c>
      <c r="DN71" s="58">
        <f t="shared" si="890"/>
        <v>3827085.0085430257</v>
      </c>
      <c r="DO71" s="58">
        <f t="shared" si="890"/>
        <v>3072256.0041938489</v>
      </c>
      <c r="DP71" s="58">
        <f t="shared" si="890"/>
        <v>4227391.9819819815</v>
      </c>
      <c r="DQ71" s="58">
        <f t="shared" si="890"/>
        <v>5942221.8883970184</v>
      </c>
      <c r="DR71" s="58">
        <f t="shared" si="890"/>
        <v>3698562.2635135138</v>
      </c>
      <c r="DS71" s="58">
        <f t="shared" si="890"/>
        <v>3397319.6520658592</v>
      </c>
      <c r="DT71" s="58">
        <f t="shared" si="890"/>
        <v>8085392.5155327758</v>
      </c>
      <c r="DU71" s="58">
        <f t="shared" si="890"/>
        <v>55585454.265521683</v>
      </c>
    </row>
    <row r="72" spans="1:125" ht="14.45" customHeight="1">
      <c r="A72" s="108">
        <f>+IFERROR(A71/A70,0)</f>
        <v>5.8506656011504975E-2</v>
      </c>
      <c r="B72" s="108">
        <f t="shared" ref="B72:M72" si="891">+IFERROR(B71/B70,0)</f>
        <v>5.8668687881523351E-2</v>
      </c>
      <c r="C72" s="108">
        <f t="shared" si="891"/>
        <v>7.1064474837287575E-2</v>
      </c>
      <c r="D72" s="108">
        <f t="shared" si="891"/>
        <v>5.1851086184480664E-2</v>
      </c>
      <c r="E72" s="108">
        <f t="shared" si="891"/>
        <v>4.6976539331468163E-2</v>
      </c>
      <c r="F72" s="108">
        <f t="shared" si="891"/>
        <v>5.1091055916813913E-2</v>
      </c>
      <c r="G72" s="108">
        <f t="shared" si="891"/>
        <v>5.3557566714842478E-2</v>
      </c>
      <c r="H72" s="108">
        <f t="shared" si="891"/>
        <v>5.5817125730440509E-2</v>
      </c>
      <c r="I72" s="108">
        <f t="shared" si="891"/>
        <v>7.3319640815648804E-2</v>
      </c>
      <c r="J72" s="108">
        <f t="shared" si="891"/>
        <v>4.5466217357708498E-2</v>
      </c>
      <c r="K72" s="108">
        <f t="shared" si="891"/>
        <v>5.6581477378499889E-2</v>
      </c>
      <c r="L72" s="108">
        <f t="shared" si="891"/>
        <v>6.6639037316824593E-2</v>
      </c>
      <c r="M72" s="108">
        <f t="shared" si="891"/>
        <v>5.8216675864348061E-2</v>
      </c>
      <c r="N72" s="15" t="s">
        <v>58</v>
      </c>
      <c r="O72" s="48">
        <f>+IFERROR(O71/O70,0)</f>
        <v>6.0782137196079646E-2</v>
      </c>
      <c r="P72" s="48">
        <f t="shared" ref="P72" si="892">+IFERROR(P71/P70,0)</f>
        <v>4.7117182217220999E-2</v>
      </c>
      <c r="Q72" s="48">
        <f t="shared" ref="Q72" si="893">+IFERROR(Q71/Q70,0)</f>
        <v>6.5369015573679426E-2</v>
      </c>
      <c r="R72" s="48">
        <f t="shared" ref="R72" si="894">+IFERROR(R71/R70,0)</f>
        <v>7.2625517376612672E-2</v>
      </c>
      <c r="S72" s="48">
        <f t="shared" ref="S72" si="895">+IFERROR(S71/S70,0)</f>
        <v>6.6483720448006919E-2</v>
      </c>
      <c r="T72" s="48">
        <f t="shared" ref="T72" si="896">+IFERROR(T71/T70,0)</f>
        <v>6.2562480038485857E-2</v>
      </c>
      <c r="U72" s="48">
        <f t="shared" ref="U72" si="897">+IFERROR(U71/U70,0)</f>
        <v>6.6518633236508265E-2</v>
      </c>
      <c r="V72" s="48">
        <f t="shared" ref="V72" si="898">+IFERROR(V71/V70,0)</f>
        <v>4.8627512152867897E-2</v>
      </c>
      <c r="W72" s="48">
        <f t="shared" ref="W72" si="899">+IFERROR(W71/W70,0)</f>
        <v>6.1662454583803275E-2</v>
      </c>
      <c r="X72" s="48">
        <f t="shared" ref="X72" si="900">+IFERROR(X71/X70,0)</f>
        <v>6.2440741689496669E-2</v>
      </c>
      <c r="Y72" s="48">
        <f t="shared" ref="Y72" si="901">+IFERROR(Y71/Y70,0)</f>
        <v>0</v>
      </c>
      <c r="Z72" s="48">
        <f t="shared" ref="Z72" si="902">+IFERROR(Z71/Z70,0)</f>
        <v>0</v>
      </c>
      <c r="AA72" s="48">
        <f t="shared" ref="AA72" si="903">+IFERROR(AA71/AA70,0)</f>
        <v>6.1981778800946463E-2</v>
      </c>
      <c r="AB72" s="118">
        <f t="shared" si="374"/>
        <v>0.14204059375911418</v>
      </c>
      <c r="AC72" s="108">
        <f>+IFERROR(AC71/AC70,0)</f>
        <v>6.5317148150511845E-2</v>
      </c>
      <c r="AD72" s="108">
        <f t="shared" ref="AD72" si="904">+IFERROR(AD71/AD70,0)</f>
        <v>5.3614070614078115E-2</v>
      </c>
      <c r="AE72" s="108">
        <f t="shared" ref="AE72" si="905">+IFERROR(AE71/AE70,0)</f>
        <v>8.8688403819093861E-2</v>
      </c>
      <c r="AF72" s="108">
        <f t="shared" ref="AF72" si="906">+IFERROR(AF71/AF70,0)</f>
        <v>5.641126040013094E-2</v>
      </c>
      <c r="AG72" s="108">
        <f t="shared" ref="AG72" si="907">+IFERROR(AG71/AG70,0)</f>
        <v>5.3589235626402866E-2</v>
      </c>
      <c r="AH72" s="108">
        <f t="shared" ref="AH72" si="908">+IFERROR(AH71/AH70,0)</f>
        <v>6.6703077253872353E-2</v>
      </c>
      <c r="AI72" s="108">
        <f t="shared" ref="AI72" si="909">+IFERROR(AI71/AI70,0)</f>
        <v>5.411640276602421E-2</v>
      </c>
      <c r="AJ72" s="108">
        <f t="shared" ref="AJ72" si="910">+IFERROR(AJ71/AJ70,0)</f>
        <v>6.5566883708072218E-2</v>
      </c>
      <c r="AK72" s="108">
        <f t="shared" ref="AK72" si="911">+IFERROR(AK71/AK70,0)</f>
        <v>6.4192550749084226E-2</v>
      </c>
      <c r="AL72" s="108">
        <f t="shared" ref="AL72" si="912">+IFERROR(AL71/AL70,0)</f>
        <v>5.4674712992441171E-2</v>
      </c>
      <c r="AM72" s="108">
        <f t="shared" ref="AM72" si="913">+IFERROR(AM71/AM70,0)</f>
        <v>5.5797660953092729E-2</v>
      </c>
      <c r="AN72" s="108">
        <f t="shared" ref="AN72" si="914">+IFERROR(AN71/AN70,0)</f>
        <v>8.807886591422491E-2</v>
      </c>
      <c r="AO72" s="108">
        <f t="shared" ref="AO72" si="915">+IFERROR(AO71/AO70,0)</f>
        <v>6.5138773882794959E-2</v>
      </c>
      <c r="AP72" s="32"/>
      <c r="AQ72" s="108">
        <f t="shared" ref="AQ72:BB72" si="916">+IFERROR(AQ71/AQ70,0)</f>
        <v>6.1409700478762479E-2</v>
      </c>
      <c r="AR72" s="108">
        <f t="shared" si="916"/>
        <v>5.8224652497052568E-2</v>
      </c>
      <c r="AS72" s="108">
        <f t="shared" si="916"/>
        <v>7.5494572260205603E-2</v>
      </c>
      <c r="AT72" s="108">
        <f t="shared" si="916"/>
        <v>5.4114437348482126E-2</v>
      </c>
      <c r="AU72" s="108">
        <f t="shared" si="916"/>
        <v>4.9639316175293303E-2</v>
      </c>
      <c r="AV72" s="108">
        <f t="shared" si="916"/>
        <v>5.0588040995321285E-2</v>
      </c>
      <c r="AW72" s="108">
        <f t="shared" si="916"/>
        <v>6.0676961849701352E-2</v>
      </c>
      <c r="AX72" s="108">
        <f t="shared" si="916"/>
        <v>5.5649082662472663E-2</v>
      </c>
      <c r="AY72" s="108">
        <f t="shared" si="916"/>
        <v>6.5982025953663509E-2</v>
      </c>
      <c r="AZ72" s="108">
        <f t="shared" si="916"/>
        <v>4.6349483532871771E-2</v>
      </c>
      <c r="BA72" s="108">
        <f t="shared" si="916"/>
        <v>5.6593604932246848E-2</v>
      </c>
      <c r="BB72" s="108">
        <f t="shared" si="916"/>
        <v>6.5611660270250352E-2</v>
      </c>
      <c r="BC72" s="108">
        <f t="shared" ref="BC72" si="917">+IFERROR(BC71/BC70,0)</f>
        <v>5.8806321250974285E-2</v>
      </c>
      <c r="BD72" s="46" t="str">
        <f t="shared" si="871"/>
        <v>% to Sales</v>
      </c>
      <c r="BE72" s="108">
        <f t="shared" ref="BE72:BP72" si="918">+IFERROR(BE71/BE70,0)</f>
        <v>6.1592327376236829E-2</v>
      </c>
      <c r="BF72" s="108">
        <f t="shared" si="918"/>
        <v>4.5761949435804729E-2</v>
      </c>
      <c r="BG72" s="108">
        <f t="shared" si="918"/>
        <v>7.2170976713557281E-2</v>
      </c>
      <c r="BH72" s="108">
        <f t="shared" si="918"/>
        <v>8.065479575946892E-2</v>
      </c>
      <c r="BI72" s="108">
        <f t="shared" si="918"/>
        <v>7.5862961924753766E-2</v>
      </c>
      <c r="BJ72" s="108">
        <f t="shared" si="918"/>
        <v>6.2840302777187274E-2</v>
      </c>
      <c r="BK72" s="108">
        <f t="shared" si="918"/>
        <v>6.6723268811921796E-2</v>
      </c>
      <c r="BL72" s="108">
        <f t="shared" si="918"/>
        <v>5.0187459833725301E-2</v>
      </c>
      <c r="BM72" s="108">
        <f t="shared" si="918"/>
        <v>5.9868623167268209E-2</v>
      </c>
      <c r="BN72" s="108">
        <f t="shared" si="918"/>
        <v>6.3157049386378436E-2</v>
      </c>
      <c r="BO72" s="108">
        <f t="shared" si="918"/>
        <v>0</v>
      </c>
      <c r="BP72" s="108">
        <f t="shared" si="918"/>
        <v>0</v>
      </c>
      <c r="BQ72" s="108">
        <f t="shared" ref="BQ72" si="919">+IFERROR(BQ71/BQ70,0)</f>
        <v>6.3270572755054738E-2</v>
      </c>
      <c r="BR72" s="118">
        <f t="shared" si="389"/>
        <v>0.16919714783654835</v>
      </c>
      <c r="BS72" s="108">
        <f t="shared" ref="BS72:CD72" si="920">+IFERROR(BS71/BS70,0)</f>
        <v>6.6209380113823615E-2</v>
      </c>
      <c r="BT72" s="108">
        <f t="shared" si="920"/>
        <v>5.3401988330435496E-2</v>
      </c>
      <c r="BU72" s="108">
        <f t="shared" si="920"/>
        <v>8.4468386389706246E-2</v>
      </c>
      <c r="BV72" s="108">
        <f t="shared" si="920"/>
        <v>5.5922698722453708E-2</v>
      </c>
      <c r="BW72" s="108">
        <f t="shared" si="920"/>
        <v>5.3911985093050452E-2</v>
      </c>
      <c r="BX72" s="108">
        <f t="shared" si="920"/>
        <v>6.5831427595885658E-2</v>
      </c>
      <c r="BY72" s="108">
        <f t="shared" si="920"/>
        <v>5.2968345600514527E-2</v>
      </c>
      <c r="BZ72" s="108">
        <f t="shared" si="920"/>
        <v>6.4553694357604621E-2</v>
      </c>
      <c r="CA72" s="108">
        <f t="shared" si="920"/>
        <v>6.3745926524618385E-2</v>
      </c>
      <c r="CB72" s="108">
        <f t="shared" si="920"/>
        <v>5.4017450780856402E-2</v>
      </c>
      <c r="CC72" s="108">
        <f t="shared" si="920"/>
        <v>5.4495239802152436E-2</v>
      </c>
      <c r="CD72" s="108">
        <f t="shared" si="920"/>
        <v>8.956133674858005E-2</v>
      </c>
      <c r="CE72" s="108">
        <f t="shared" ref="CE72" si="921">+IFERROR(CE71/CE70,0)</f>
        <v>6.4708880178739256E-2</v>
      </c>
      <c r="CF72" s="32"/>
      <c r="CG72" s="108">
        <f t="shared" ref="CG72:CS72" si="922">+IFERROR(CG71/CG70,0)</f>
        <v>5.2041021043629829E-2</v>
      </c>
      <c r="CH72" s="108">
        <f t="shared" si="922"/>
        <v>5.9797757181555909E-2</v>
      </c>
      <c r="CI72" s="108">
        <f t="shared" si="922"/>
        <v>6.6367168960090289E-2</v>
      </c>
      <c r="CJ72" s="108">
        <f t="shared" si="922"/>
        <v>4.7318412789543976E-2</v>
      </c>
      <c r="CK72" s="108">
        <f t="shared" si="922"/>
        <v>4.4585815241802398E-2</v>
      </c>
      <c r="CL72" s="108">
        <f t="shared" si="922"/>
        <v>5.3687323707735948E-2</v>
      </c>
      <c r="CM72" s="108">
        <f t="shared" si="922"/>
        <v>4.7580200814682214E-2</v>
      </c>
      <c r="CN72" s="108">
        <f t="shared" si="922"/>
        <v>5.6014181367487585E-2</v>
      </c>
      <c r="CO72" s="108">
        <f t="shared" si="922"/>
        <v>9.755648990215518E-2</v>
      </c>
      <c r="CP72" s="108">
        <f t="shared" si="922"/>
        <v>4.2638158780704143E-2</v>
      </c>
      <c r="CQ72" s="108">
        <f t="shared" si="922"/>
        <v>5.6570846216815768E-2</v>
      </c>
      <c r="CR72" s="108">
        <f t="shared" si="922"/>
        <v>6.8827646975452239E-2</v>
      </c>
      <c r="CS72" s="108">
        <f t="shared" si="922"/>
        <v>5.7261970020150516E-2</v>
      </c>
      <c r="CT72" s="22"/>
      <c r="CU72" s="108">
        <f t="shared" ref="CU72:DG72" si="923">+IFERROR(CU71/CU70,0)</f>
        <v>5.9609889972790708E-2</v>
      </c>
      <c r="CV72" s="108">
        <f t="shared" si="923"/>
        <v>5.1469023809297722E-2</v>
      </c>
      <c r="CW72" s="108">
        <f t="shared" si="923"/>
        <v>6.0107426549636273E-2</v>
      </c>
      <c r="CX72" s="108">
        <f t="shared" si="923"/>
        <v>6.3532673290726968E-2</v>
      </c>
      <c r="CY72" s="108">
        <f t="shared" si="923"/>
        <v>6.2159092068209923E-2</v>
      </c>
      <c r="CZ72" s="108">
        <f t="shared" si="923"/>
        <v>6.181859421889354E-2</v>
      </c>
      <c r="DA72" s="108">
        <f t="shared" si="923"/>
        <v>6.6297890610384463E-2</v>
      </c>
      <c r="DB72" s="108">
        <f t="shared" si="923"/>
        <v>4.7647950070417742E-2</v>
      </c>
      <c r="DC72" s="108">
        <f t="shared" si="923"/>
        <v>6.5512026574350485E-2</v>
      </c>
      <c r="DD72" s="108">
        <f t="shared" si="923"/>
        <v>6.0705579548042322E-2</v>
      </c>
      <c r="DE72" s="108">
        <f t="shared" si="923"/>
        <v>0</v>
      </c>
      <c r="DF72" s="108">
        <f t="shared" si="923"/>
        <v>0</v>
      </c>
      <c r="DG72" s="108">
        <f t="shared" si="923"/>
        <v>6.026990022126278E-2</v>
      </c>
      <c r="DH72" s="118">
        <f t="shared" si="390"/>
        <v>9.3603476730928753E-2</v>
      </c>
      <c r="DI72" s="108">
        <f t="shared" ref="DI72:DU72" si="924">+IFERROR(DI71/DI70,0)</f>
        <v>6.4359363517321994E-2</v>
      </c>
      <c r="DJ72" s="108">
        <f t="shared" si="924"/>
        <v>5.3849267617872086E-2</v>
      </c>
      <c r="DK72" s="108">
        <f t="shared" si="924"/>
        <v>9.6788352694244184E-2</v>
      </c>
      <c r="DL72" s="108">
        <f t="shared" si="924"/>
        <v>5.6932097750424515E-2</v>
      </c>
      <c r="DM72" s="108">
        <f t="shared" si="924"/>
        <v>5.3196643508930698E-2</v>
      </c>
      <c r="DN72" s="108">
        <f t="shared" si="924"/>
        <v>6.7853056542874643E-2</v>
      </c>
      <c r="DO72" s="108">
        <f t="shared" si="924"/>
        <v>5.6164593423203707E-2</v>
      </c>
      <c r="DP72" s="108">
        <f t="shared" si="924"/>
        <v>6.7327474502602028E-2</v>
      </c>
      <c r="DQ72" s="108">
        <f t="shared" si="924"/>
        <v>6.4673670395677785E-2</v>
      </c>
      <c r="DR72" s="108">
        <f t="shared" si="924"/>
        <v>5.5509680464355712E-2</v>
      </c>
      <c r="DS72" s="108">
        <f t="shared" si="924"/>
        <v>5.73704187603769E-2</v>
      </c>
      <c r="DT72" s="108">
        <f t="shared" si="924"/>
        <v>8.639985904319876E-2</v>
      </c>
      <c r="DU72" s="108">
        <f t="shared" si="924"/>
        <v>6.5698760809884751E-2</v>
      </c>
    </row>
    <row r="73" spans="1:125" ht="14.4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16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118">
        <f t="shared" si="374"/>
        <v>0</v>
      </c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16">
        <f t="shared" si="871"/>
        <v>0</v>
      </c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118">
        <f t="shared" si="389"/>
        <v>0</v>
      </c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22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16">
        <f t="shared" si="875"/>
        <v>0</v>
      </c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118">
        <f t="shared" si="390"/>
        <v>0</v>
      </c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</row>
    <row r="74" spans="1:125" ht="14.4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18">
        <f t="shared" si="374"/>
        <v>0</v>
      </c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6">
        <f t="shared" si="871"/>
        <v>0</v>
      </c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118">
        <f t="shared" si="389"/>
        <v>0</v>
      </c>
      <c r="BS74" s="106"/>
      <c r="BT74" s="106"/>
      <c r="BU74" s="106"/>
      <c r="BV74" s="106"/>
      <c r="BW74" s="106"/>
      <c r="BX74" s="106"/>
      <c r="BY74" s="106"/>
      <c r="BZ74" s="106"/>
      <c r="CA74" s="106"/>
      <c r="CB74" s="106"/>
      <c r="CC74" s="106"/>
      <c r="CD74" s="106"/>
      <c r="CE74" s="106"/>
      <c r="CF74" s="22"/>
      <c r="CG74" s="106"/>
      <c r="CH74" s="106"/>
      <c r="CI74" s="106"/>
      <c r="CJ74" s="106"/>
      <c r="CK74" s="106"/>
      <c r="CL74" s="106"/>
      <c r="CM74" s="106"/>
      <c r="CN74" s="106"/>
      <c r="CO74" s="106"/>
      <c r="CP74" s="106"/>
      <c r="CQ74" s="106"/>
      <c r="CR74" s="106"/>
      <c r="CS74" s="106"/>
      <c r="CT74" s="16">
        <f t="shared" si="875"/>
        <v>0</v>
      </c>
      <c r="CU74" s="106"/>
      <c r="CV74" s="106"/>
      <c r="CW74" s="106"/>
      <c r="CX74" s="106"/>
      <c r="CY74" s="106"/>
      <c r="CZ74" s="106"/>
      <c r="DA74" s="106"/>
      <c r="DB74" s="106"/>
      <c r="DC74" s="106"/>
      <c r="DD74" s="106"/>
      <c r="DE74" s="106"/>
      <c r="DF74" s="106"/>
      <c r="DG74" s="106"/>
      <c r="DH74" s="118">
        <f t="shared" si="390"/>
        <v>0</v>
      </c>
      <c r="DI74" s="106"/>
      <c r="DJ74" s="106"/>
      <c r="DK74" s="106"/>
      <c r="DL74" s="106"/>
      <c r="DM74" s="106"/>
      <c r="DN74" s="106"/>
      <c r="DO74" s="106"/>
      <c r="DP74" s="106"/>
      <c r="DQ74" s="106"/>
      <c r="DR74" s="106"/>
      <c r="DS74" s="106"/>
      <c r="DT74" s="106"/>
      <c r="DU74" s="106"/>
    </row>
    <row r="75" spans="1:125" ht="14.45" customHeight="1">
      <c r="A75" s="58">
        <f t="shared" ref="A75:M75" si="925">+A76+A87+A90</f>
        <v>2112473.1814999999</v>
      </c>
      <c r="B75" s="58">
        <f t="shared" si="925"/>
        <v>2971190.54</v>
      </c>
      <c r="C75" s="58">
        <f t="shared" si="925"/>
        <v>3587629.7899999996</v>
      </c>
      <c r="D75" s="58">
        <f t="shared" si="925"/>
        <v>2467565.8161400002</v>
      </c>
      <c r="E75" s="58">
        <f t="shared" si="925"/>
        <v>2685100.2566666668</v>
      </c>
      <c r="F75" s="58">
        <f t="shared" si="925"/>
        <v>3611824.1200000006</v>
      </c>
      <c r="G75" s="58">
        <f t="shared" si="925"/>
        <v>2853899.9000000004</v>
      </c>
      <c r="H75" s="58">
        <f t="shared" si="925"/>
        <v>3159344.61</v>
      </c>
      <c r="I75" s="58">
        <f t="shared" si="925"/>
        <v>2423977.2000000002</v>
      </c>
      <c r="J75" s="58">
        <f t="shared" si="925"/>
        <v>2651496.6749999998</v>
      </c>
      <c r="K75" s="58">
        <f t="shared" si="925"/>
        <v>2954080.16</v>
      </c>
      <c r="L75" s="58">
        <f t="shared" si="925"/>
        <v>3433490.7050000001</v>
      </c>
      <c r="M75" s="58">
        <f t="shared" si="925"/>
        <v>34912072.954306662</v>
      </c>
      <c r="N75" s="17" t="s">
        <v>59</v>
      </c>
      <c r="O75" s="58">
        <f t="shared" ref="O75" si="926">+O76+O87+O90</f>
        <v>3210518.7549999999</v>
      </c>
      <c r="P75" s="58">
        <f t="shared" ref="P75" si="927">+P76+P87+P90</f>
        <v>2911619.58</v>
      </c>
      <c r="Q75" s="58">
        <f t="shared" ref="Q75" si="928">+Q76+Q87+Q90</f>
        <v>3781585.71</v>
      </c>
      <c r="R75" s="58">
        <f t="shared" ref="R75" si="929">+R76+R87+R90</f>
        <v>2024459.6600000001</v>
      </c>
      <c r="S75" s="58">
        <f t="shared" ref="S75" si="930">+S76+S87+S90</f>
        <v>2862302.84</v>
      </c>
      <c r="T75" s="58">
        <f t="shared" ref="T75" si="931">+T76+T87+T90</f>
        <v>3851485.1999999997</v>
      </c>
      <c r="U75" s="58">
        <f t="shared" ref="U75" si="932">+U76+U87+U90</f>
        <v>2485911.2535164831</v>
      </c>
      <c r="V75" s="58">
        <f t="shared" ref="V75" si="933">+V76+V87+V90</f>
        <v>3475321.76</v>
      </c>
      <c r="W75" s="58">
        <f t="shared" ref="W75" si="934">+W76+W87+W90</f>
        <v>2826121.0733333332</v>
      </c>
      <c r="X75" s="58">
        <f t="shared" ref="X75" si="935">+X76+X87+X90</f>
        <v>3858406.4949999996</v>
      </c>
      <c r="Y75" s="58">
        <f t="shared" ref="Y75" si="936">+Y76+Y87+Y90</f>
        <v>0</v>
      </c>
      <c r="Z75" s="58">
        <f t="shared" ref="Z75" si="937">+Z76+Z87+Z90</f>
        <v>0</v>
      </c>
      <c r="AA75" s="58">
        <f t="shared" ref="AA75" si="938">+AA76+AA87+AA90</f>
        <v>31287732.326849818</v>
      </c>
      <c r="AB75" s="118">
        <f t="shared" si="374"/>
        <v>0.25029374432922868</v>
      </c>
      <c r="AC75" s="58">
        <f t="shared" ref="AC75" si="939">+AC76+AC87+AC90</f>
        <v>2987300</v>
      </c>
      <c r="AD75" s="58">
        <f t="shared" ref="AD75" si="940">+AD76+AD87+AD90</f>
        <v>2987300</v>
      </c>
      <c r="AE75" s="58">
        <f t="shared" ref="AE75" si="941">+AE76+AE87+AE90</f>
        <v>3776900</v>
      </c>
      <c r="AF75" s="58">
        <f t="shared" ref="AF75" si="942">+AF76+AF87+AF90</f>
        <v>3086000</v>
      </c>
      <c r="AG75" s="58">
        <f t="shared" ref="AG75" si="943">+AG76+AG87+AG90</f>
        <v>3283400</v>
      </c>
      <c r="AH75" s="58">
        <f t="shared" ref="AH75" si="944">+AH76+AH87+AH90</f>
        <v>2888600</v>
      </c>
      <c r="AI75" s="58">
        <f t="shared" ref="AI75" si="945">+AI76+AI87+AI90</f>
        <v>2987300</v>
      </c>
      <c r="AJ75" s="58">
        <f t="shared" ref="AJ75" si="946">+AJ76+AJ87+AJ90</f>
        <v>3480800</v>
      </c>
      <c r="AK75" s="58">
        <f t="shared" ref="AK75" si="947">+AK76+AK87+AK90</f>
        <v>3480800</v>
      </c>
      <c r="AL75" s="58">
        <f t="shared" ref="AL75" si="948">+AL76+AL87+AL90</f>
        <v>3086000</v>
      </c>
      <c r="AM75" s="58">
        <f t="shared" ref="AM75" si="949">+AM76+AM87+AM90</f>
        <v>2888600</v>
      </c>
      <c r="AN75" s="58">
        <f t="shared" ref="AN75" si="950">+AN76+AN87+AN90</f>
        <v>3776900</v>
      </c>
      <c r="AO75" s="58">
        <f t="shared" ref="AO75" si="951">+AO76+AO87+AO90</f>
        <v>38709900</v>
      </c>
      <c r="AQ75" s="58">
        <f t="shared" ref="AQ75:BB75" si="952">+AQ76+AQ87+AQ90</f>
        <v>1408896.9815</v>
      </c>
      <c r="AR75" s="58">
        <f t="shared" si="952"/>
        <v>1913245.0299999998</v>
      </c>
      <c r="AS75" s="58">
        <f t="shared" si="952"/>
        <v>2040895.7206451609</v>
      </c>
      <c r="AT75" s="58">
        <f t="shared" si="952"/>
        <v>1359814.2081400002</v>
      </c>
      <c r="AU75" s="58">
        <f t="shared" si="952"/>
        <v>1342481.0133333332</v>
      </c>
      <c r="AV75" s="58">
        <f t="shared" si="952"/>
        <v>2307354.91</v>
      </c>
      <c r="AW75" s="58">
        <f t="shared" si="952"/>
        <v>1717349.1708695651</v>
      </c>
      <c r="AX75" s="58">
        <f t="shared" si="952"/>
        <v>2097358.2786956518</v>
      </c>
      <c r="AY75" s="58">
        <f t="shared" si="952"/>
        <v>1521333.2339285715</v>
      </c>
      <c r="AZ75" s="58">
        <f t="shared" si="952"/>
        <v>1820814.8933333333</v>
      </c>
      <c r="BA75" s="58">
        <f t="shared" si="952"/>
        <v>1455844.2533333332</v>
      </c>
      <c r="BB75" s="58">
        <f t="shared" si="952"/>
        <v>1974832.7057575758</v>
      </c>
      <c r="BC75" s="58">
        <f t="shared" ref="BC75" si="953">+BC76+BC87+BC90</f>
        <v>13916332.221896525</v>
      </c>
      <c r="BD75" s="17" t="str">
        <f t="shared" si="871"/>
        <v>Selling &amp; Distribution Expenses</v>
      </c>
      <c r="BE75" s="58">
        <f t="shared" ref="BE75:BP75" si="954">+BE76+BE87+BE90</f>
        <v>2016209.25</v>
      </c>
      <c r="BF75" s="58">
        <f t="shared" si="954"/>
        <v>2189654.3160000001</v>
      </c>
      <c r="BG75" s="58">
        <f t="shared" si="954"/>
        <v>2591622.7319999998</v>
      </c>
      <c r="BH75" s="58">
        <f t="shared" si="954"/>
        <v>1476399.7800000003</v>
      </c>
      <c r="BI75" s="58">
        <f t="shared" si="954"/>
        <v>1645410.87</v>
      </c>
      <c r="BJ75" s="58">
        <f t="shared" si="954"/>
        <v>2842541.8940000003</v>
      </c>
      <c r="BK75" s="58">
        <f t="shared" si="954"/>
        <v>1372654.89003663</v>
      </c>
      <c r="BL75" s="58">
        <f t="shared" si="954"/>
        <v>1864334.7519999999</v>
      </c>
      <c r="BM75" s="58">
        <f t="shared" si="954"/>
        <v>2128107.2999999998</v>
      </c>
      <c r="BN75" s="58">
        <f t="shared" si="954"/>
        <v>2240133.8414193545</v>
      </c>
      <c r="BO75" s="58">
        <f t="shared" si="954"/>
        <v>0</v>
      </c>
      <c r="BP75" s="58">
        <f t="shared" si="954"/>
        <v>0</v>
      </c>
      <c r="BQ75" s="58">
        <f t="shared" ref="BQ75" si="955">+BQ76+BQ87+BQ90</f>
        <v>20367069.625455987</v>
      </c>
      <c r="BR75" s="118">
        <f t="shared" si="389"/>
        <v>0.35420979411156728</v>
      </c>
      <c r="BS75" s="58">
        <f>+BS76+BS87+BS90</f>
        <v>1654200</v>
      </c>
      <c r="BT75" s="58">
        <f t="shared" ref="BT75:CD75" si="956">+BT76+BT87+BT90</f>
        <v>1555500</v>
      </c>
      <c r="BU75" s="58">
        <f t="shared" si="956"/>
        <v>2246400</v>
      </c>
      <c r="BV75" s="58">
        <f t="shared" si="956"/>
        <v>1555500</v>
      </c>
      <c r="BW75" s="58">
        <f t="shared" si="956"/>
        <v>1851600</v>
      </c>
      <c r="BX75" s="58">
        <f t="shared" si="956"/>
        <v>1555500</v>
      </c>
      <c r="BY75" s="58">
        <f t="shared" si="956"/>
        <v>1752900</v>
      </c>
      <c r="BZ75" s="58">
        <f t="shared" si="956"/>
        <v>2049000</v>
      </c>
      <c r="CA75" s="58">
        <f t="shared" si="956"/>
        <v>1752900</v>
      </c>
      <c r="CB75" s="58">
        <f t="shared" si="956"/>
        <v>1654200</v>
      </c>
      <c r="CC75" s="58">
        <f t="shared" si="956"/>
        <v>1456800</v>
      </c>
      <c r="CD75" s="58">
        <f t="shared" si="956"/>
        <v>2147700</v>
      </c>
      <c r="CE75" s="58">
        <f t="shared" ref="CE75" si="957">+CE76+CE87+CE90</f>
        <v>21232200</v>
      </c>
      <c r="CF75" s="22"/>
      <c r="CG75" s="58">
        <f t="shared" ref="CG75:CS75" si="958">+CG76+CG87+CG90</f>
        <v>703576.2</v>
      </c>
      <c r="CH75" s="58">
        <f t="shared" si="958"/>
        <v>1057945.51</v>
      </c>
      <c r="CI75" s="58">
        <f t="shared" si="958"/>
        <v>1546734.0693548387</v>
      </c>
      <c r="CJ75" s="58">
        <f t="shared" si="958"/>
        <v>1107751.608</v>
      </c>
      <c r="CK75" s="58">
        <f t="shared" si="958"/>
        <v>1342619.2433333332</v>
      </c>
      <c r="CL75" s="58">
        <f t="shared" si="958"/>
        <v>1304469.21</v>
      </c>
      <c r="CM75" s="58">
        <f t="shared" si="958"/>
        <v>1136550.7291304348</v>
      </c>
      <c r="CN75" s="58">
        <f t="shared" si="958"/>
        <v>1061986.3313043478</v>
      </c>
      <c r="CO75" s="58">
        <f t="shared" si="958"/>
        <v>902643.96607142861</v>
      </c>
      <c r="CP75" s="58">
        <f t="shared" si="958"/>
        <v>830681.78166666673</v>
      </c>
      <c r="CQ75" s="58">
        <f t="shared" si="958"/>
        <v>1498235.9066666667</v>
      </c>
      <c r="CR75" s="58">
        <f t="shared" si="958"/>
        <v>1458657.9992424243</v>
      </c>
      <c r="CS75" s="58">
        <f t="shared" si="958"/>
        <v>13951852.554770138</v>
      </c>
      <c r="CT75" s="17" t="str">
        <f t="shared" si="875"/>
        <v>Selling &amp; Distribution Expenses</v>
      </c>
      <c r="CU75" s="58">
        <f t="shared" ref="CU75:DG75" si="959">+CU76+CU87+CU90</f>
        <v>1194309.5049999999</v>
      </c>
      <c r="CV75" s="58">
        <f t="shared" si="959"/>
        <v>721965.26399999997</v>
      </c>
      <c r="CW75" s="58">
        <f t="shared" si="959"/>
        <v>1189962.9780000001</v>
      </c>
      <c r="CX75" s="58">
        <f t="shared" si="959"/>
        <v>548059.88</v>
      </c>
      <c r="CY75" s="58">
        <f t="shared" si="959"/>
        <v>1216891.97</v>
      </c>
      <c r="CZ75" s="58">
        <f t="shared" si="959"/>
        <v>1008943.306</v>
      </c>
      <c r="DA75" s="58">
        <f t="shared" si="959"/>
        <v>1113256.3634798536</v>
      </c>
      <c r="DB75" s="58">
        <f t="shared" si="959"/>
        <v>1610987.0079999999</v>
      </c>
      <c r="DC75" s="58">
        <f t="shared" si="959"/>
        <v>698013.77333333332</v>
      </c>
      <c r="DD75" s="58">
        <f t="shared" si="959"/>
        <v>1618272.6535806451</v>
      </c>
      <c r="DE75" s="58">
        <f t="shared" si="959"/>
        <v>0</v>
      </c>
      <c r="DF75" s="58">
        <f t="shared" si="959"/>
        <v>0</v>
      </c>
      <c r="DG75" s="58">
        <f t="shared" si="959"/>
        <v>10920662.701393833</v>
      </c>
      <c r="DH75" s="118">
        <f t="shared" si="390"/>
        <v>0.13023652296455168</v>
      </c>
      <c r="DI75" s="58">
        <f t="shared" ref="DI75:DU75" si="960">+DI76+DI87+DI90</f>
        <v>1333100</v>
      </c>
      <c r="DJ75" s="58">
        <f t="shared" si="960"/>
        <v>1431800</v>
      </c>
      <c r="DK75" s="58">
        <f t="shared" si="960"/>
        <v>1530500</v>
      </c>
      <c r="DL75" s="58">
        <f t="shared" si="960"/>
        <v>1530500</v>
      </c>
      <c r="DM75" s="58">
        <f t="shared" si="960"/>
        <v>1431800</v>
      </c>
      <c r="DN75" s="58">
        <f t="shared" si="960"/>
        <v>1333100</v>
      </c>
      <c r="DO75" s="58">
        <f t="shared" si="960"/>
        <v>1234400</v>
      </c>
      <c r="DP75" s="58">
        <f t="shared" si="960"/>
        <v>1431800</v>
      </c>
      <c r="DQ75" s="58">
        <f t="shared" si="960"/>
        <v>1727900</v>
      </c>
      <c r="DR75" s="58">
        <f t="shared" si="960"/>
        <v>1431800</v>
      </c>
      <c r="DS75" s="58">
        <f t="shared" si="960"/>
        <v>1431800</v>
      </c>
      <c r="DT75" s="58">
        <f t="shared" si="960"/>
        <v>1629200</v>
      </c>
      <c r="DU75" s="58">
        <f t="shared" si="960"/>
        <v>17477700</v>
      </c>
    </row>
    <row r="76" spans="1:125" ht="14.45" hidden="1" customHeight="1" outlineLevel="1">
      <c r="A76" s="58">
        <f t="shared" ref="A76:M76" si="961">+SUM(A77:A86)</f>
        <v>727856.87999999989</v>
      </c>
      <c r="B76" s="58">
        <f t="shared" si="961"/>
        <v>1137907.18</v>
      </c>
      <c r="C76" s="58">
        <f t="shared" si="961"/>
        <v>1151544.4499999997</v>
      </c>
      <c r="D76" s="58">
        <f t="shared" si="961"/>
        <v>1053338.75</v>
      </c>
      <c r="E76" s="58">
        <f t="shared" si="961"/>
        <v>1129014.5066666668</v>
      </c>
      <c r="F76" s="58">
        <f t="shared" si="961"/>
        <v>1644042.1800000002</v>
      </c>
      <c r="G76" s="58">
        <f t="shared" si="961"/>
        <v>1132037.1500000001</v>
      </c>
      <c r="H76" s="58">
        <f t="shared" si="961"/>
        <v>1270072.27</v>
      </c>
      <c r="I76" s="58">
        <f t="shared" si="961"/>
        <v>974430.32</v>
      </c>
      <c r="J76" s="58">
        <f t="shared" si="961"/>
        <v>1209331.47</v>
      </c>
      <c r="K76" s="58">
        <f t="shared" si="961"/>
        <v>940888.27000000014</v>
      </c>
      <c r="L76" s="58">
        <f t="shared" si="961"/>
        <v>898479.15999999992</v>
      </c>
      <c r="M76" s="58">
        <f t="shared" si="961"/>
        <v>13268942.586666664</v>
      </c>
      <c r="N76" s="18" t="s">
        <v>60</v>
      </c>
      <c r="O76" s="58">
        <f t="shared" ref="O76" si="962">+SUM(O77:O86)</f>
        <v>777111.87000000011</v>
      </c>
      <c r="P76" s="58">
        <f t="shared" ref="P76" si="963">+SUM(P77:P86)</f>
        <v>908525.99</v>
      </c>
      <c r="Q76" s="58">
        <f t="shared" ref="Q76" si="964">+SUM(Q77:Q86)</f>
        <v>1456790.35</v>
      </c>
      <c r="R76" s="58">
        <f t="shared" ref="R76" si="965">+SUM(R77:R86)</f>
        <v>542737.28</v>
      </c>
      <c r="S76" s="58">
        <f t="shared" ref="S76" si="966">+SUM(S77:S86)</f>
        <v>1179990.6499999999</v>
      </c>
      <c r="T76" s="58">
        <f t="shared" ref="T76" si="967">+SUM(T77:T86)</f>
        <v>1027987.01</v>
      </c>
      <c r="U76" s="58">
        <f t="shared" ref="U76" si="968">+SUM(U77:U86)</f>
        <v>949558.99684981676</v>
      </c>
      <c r="V76" s="58">
        <f t="shared" ref="V76" si="969">+SUM(V77:V86)</f>
        <v>733126.44</v>
      </c>
      <c r="W76" s="58">
        <f t="shared" ref="W76" si="970">+SUM(W77:W86)</f>
        <v>1035611.8999999999</v>
      </c>
      <c r="X76" s="58">
        <f t="shared" ref="X76" si="971">+SUM(X77:X86)</f>
        <v>1267483.5899999999</v>
      </c>
      <c r="Y76" s="58">
        <f t="shared" ref="Y76" si="972">+SUM(Y77:Y86)</f>
        <v>0</v>
      </c>
      <c r="Z76" s="58">
        <f t="shared" ref="Z76" si="973">+SUM(Z77:Z86)</f>
        <v>0</v>
      </c>
      <c r="AA76" s="58">
        <f t="shared" ref="AA76" si="974">+SUM(AA77:AA86)</f>
        <v>9878924.0768498182</v>
      </c>
      <c r="AB76" s="118">
        <f t="shared" si="374"/>
        <v>5.6236324999999879E-2</v>
      </c>
      <c r="AC76" s="58">
        <f t="shared" ref="AC76" si="975">+SUM(AC77:AC86)</f>
        <v>1160000</v>
      </c>
      <c r="AD76" s="58">
        <f t="shared" ref="AD76" si="976">+SUM(AD77:AD86)</f>
        <v>1160000</v>
      </c>
      <c r="AE76" s="58">
        <f t="shared" ref="AE76" si="977">+SUM(AE77:AE86)</f>
        <v>1480000</v>
      </c>
      <c r="AF76" s="58">
        <f t="shared" ref="AF76" si="978">+SUM(AF77:AF86)</f>
        <v>1200000</v>
      </c>
      <c r="AG76" s="58">
        <f t="shared" ref="AG76" si="979">+SUM(AG77:AG86)</f>
        <v>1280000</v>
      </c>
      <c r="AH76" s="58">
        <f t="shared" ref="AH76" si="980">+SUM(AH77:AH86)</f>
        <v>1120000</v>
      </c>
      <c r="AI76" s="58">
        <f t="shared" ref="AI76" si="981">+SUM(AI77:AI86)</f>
        <v>1160000</v>
      </c>
      <c r="AJ76" s="58">
        <f t="shared" ref="AJ76" si="982">+SUM(AJ77:AJ86)</f>
        <v>1360000</v>
      </c>
      <c r="AK76" s="58">
        <f t="shared" ref="AK76" si="983">+SUM(AK77:AK86)</f>
        <v>1360000</v>
      </c>
      <c r="AL76" s="58">
        <f t="shared" ref="AL76" si="984">+SUM(AL77:AL86)</f>
        <v>1200000</v>
      </c>
      <c r="AM76" s="58">
        <f t="shared" ref="AM76" si="985">+SUM(AM77:AM86)</f>
        <v>1120000</v>
      </c>
      <c r="AN76" s="58">
        <f t="shared" ref="AN76" si="986">+SUM(AN77:AN86)</f>
        <v>1480000</v>
      </c>
      <c r="AO76" s="58">
        <f t="shared" ref="AO76" si="987">+SUM(AO77:AO86)</f>
        <v>15080000</v>
      </c>
      <c r="AQ76" s="58">
        <f t="shared" ref="AQ76:BC76" si="988">+SUM(AQ77:AQ86)</f>
        <v>464785.74000000005</v>
      </c>
      <c r="AR76" s="58">
        <f t="shared" si="988"/>
        <v>672353.47</v>
      </c>
      <c r="AS76" s="58">
        <f t="shared" si="988"/>
        <v>642550.78999999992</v>
      </c>
      <c r="AT76" s="58">
        <f t="shared" si="988"/>
        <v>646397.94999999995</v>
      </c>
      <c r="AU76" s="58">
        <f t="shared" si="988"/>
        <v>514033.74333333329</v>
      </c>
      <c r="AV76" s="58">
        <f t="shared" si="988"/>
        <v>1001463.06</v>
      </c>
      <c r="AW76" s="58">
        <f t="shared" si="988"/>
        <v>661312.29999999993</v>
      </c>
      <c r="AX76" s="58">
        <f t="shared" si="988"/>
        <v>899467.73999999987</v>
      </c>
      <c r="AY76" s="58">
        <f t="shared" si="988"/>
        <v>473466</v>
      </c>
      <c r="AZ76" s="58">
        <f t="shared" si="988"/>
        <v>742733.84</v>
      </c>
      <c r="BA76" s="58">
        <f t="shared" si="988"/>
        <v>374582.2</v>
      </c>
      <c r="BB76" s="58">
        <f t="shared" si="988"/>
        <v>591006.54</v>
      </c>
      <c r="BC76" s="58">
        <f t="shared" si="988"/>
        <v>7684153.3733333331</v>
      </c>
      <c r="BD76" s="18" t="str">
        <f t="shared" si="871"/>
        <v>Selling Expenses</v>
      </c>
      <c r="BE76" s="58">
        <f t="shared" ref="BE76:BQ76" si="989">+SUM(BE77:BE86)</f>
        <v>364113.74</v>
      </c>
      <c r="BF76" s="58">
        <f t="shared" si="989"/>
        <v>524446.51</v>
      </c>
      <c r="BG76" s="58">
        <f t="shared" si="989"/>
        <v>1096064.3</v>
      </c>
      <c r="BH76" s="58">
        <f t="shared" si="989"/>
        <v>250813.34999999998</v>
      </c>
      <c r="BI76" s="58">
        <f t="shared" si="989"/>
        <v>768017.01</v>
      </c>
      <c r="BJ76" s="58">
        <f t="shared" si="989"/>
        <v>583621.57000000007</v>
      </c>
      <c r="BK76" s="58">
        <f t="shared" si="989"/>
        <v>608611.37836996326</v>
      </c>
      <c r="BL76" s="58">
        <f t="shared" si="989"/>
        <v>476538.23</v>
      </c>
      <c r="BM76" s="58">
        <f t="shared" si="989"/>
        <v>724856.24</v>
      </c>
      <c r="BN76" s="58">
        <f t="shared" si="989"/>
        <v>828856.33</v>
      </c>
      <c r="BO76" s="58">
        <f t="shared" si="989"/>
        <v>0</v>
      </c>
      <c r="BP76" s="58">
        <f t="shared" si="989"/>
        <v>0</v>
      </c>
      <c r="BQ76" s="58">
        <f t="shared" si="989"/>
        <v>6225938.658369964</v>
      </c>
      <c r="BR76" s="118">
        <f t="shared" si="389"/>
        <v>0.29508801562499992</v>
      </c>
      <c r="BS76" s="58">
        <f t="shared" ref="BS76:CE76" si="990">+SUM(BS77:BS86)</f>
        <v>640000</v>
      </c>
      <c r="BT76" s="58">
        <f t="shared" si="990"/>
        <v>600000</v>
      </c>
      <c r="BU76" s="58">
        <f t="shared" si="990"/>
        <v>880000</v>
      </c>
      <c r="BV76" s="58">
        <f t="shared" si="990"/>
        <v>600000</v>
      </c>
      <c r="BW76" s="58">
        <f t="shared" si="990"/>
        <v>720000</v>
      </c>
      <c r="BX76" s="58">
        <f t="shared" si="990"/>
        <v>600000</v>
      </c>
      <c r="BY76" s="58">
        <f t="shared" si="990"/>
        <v>680000</v>
      </c>
      <c r="BZ76" s="58">
        <f t="shared" si="990"/>
        <v>800000</v>
      </c>
      <c r="CA76" s="58">
        <f t="shared" si="990"/>
        <v>680000</v>
      </c>
      <c r="CB76" s="58">
        <f t="shared" si="990"/>
        <v>640000</v>
      </c>
      <c r="CC76" s="58">
        <f t="shared" si="990"/>
        <v>560000</v>
      </c>
      <c r="CD76" s="58">
        <f t="shared" si="990"/>
        <v>840000</v>
      </c>
      <c r="CE76" s="58">
        <f t="shared" si="990"/>
        <v>8240000</v>
      </c>
      <c r="CF76" s="22"/>
      <c r="CG76" s="58">
        <f t="shared" ref="CG76:CS76" si="991">+SUM(CG77:CG86)</f>
        <v>263071.14</v>
      </c>
      <c r="CH76" s="58">
        <f t="shared" si="991"/>
        <v>465553.71</v>
      </c>
      <c r="CI76" s="58">
        <f t="shared" si="991"/>
        <v>508993.66000000003</v>
      </c>
      <c r="CJ76" s="58">
        <f t="shared" si="991"/>
        <v>406940.8</v>
      </c>
      <c r="CK76" s="58">
        <f t="shared" si="991"/>
        <v>614980.76333333331</v>
      </c>
      <c r="CL76" s="58">
        <f t="shared" si="991"/>
        <v>642579.12</v>
      </c>
      <c r="CM76" s="58">
        <f t="shared" si="991"/>
        <v>470724.85000000003</v>
      </c>
      <c r="CN76" s="58">
        <f t="shared" si="991"/>
        <v>370604.53</v>
      </c>
      <c r="CO76" s="58">
        <f t="shared" si="991"/>
        <v>500964.32000000007</v>
      </c>
      <c r="CP76" s="58">
        <f t="shared" si="991"/>
        <v>466597.63</v>
      </c>
      <c r="CQ76" s="58">
        <f t="shared" si="991"/>
        <v>566306.07000000007</v>
      </c>
      <c r="CR76" s="58">
        <f t="shared" si="991"/>
        <v>307472.62</v>
      </c>
      <c r="CS76" s="58">
        <f t="shared" si="991"/>
        <v>5584789.2133333329</v>
      </c>
      <c r="CT76" s="18" t="str">
        <f t="shared" si="875"/>
        <v>Selling Expenses</v>
      </c>
      <c r="CU76" s="58">
        <f t="shared" ref="CU76:DG76" si="992">+SUM(CU77:CU86)</f>
        <v>412998.13</v>
      </c>
      <c r="CV76" s="58">
        <f t="shared" si="992"/>
        <v>384079.48</v>
      </c>
      <c r="CW76" s="58">
        <f t="shared" si="992"/>
        <v>360726.05</v>
      </c>
      <c r="CX76" s="58">
        <f t="shared" si="992"/>
        <v>291923.93</v>
      </c>
      <c r="CY76" s="58">
        <f t="shared" si="992"/>
        <v>411973.64</v>
      </c>
      <c r="CZ76" s="58">
        <f t="shared" si="992"/>
        <v>444365.44</v>
      </c>
      <c r="DA76" s="58">
        <f t="shared" si="992"/>
        <v>340947.6184798535</v>
      </c>
      <c r="DB76" s="58">
        <f t="shared" si="992"/>
        <v>256588.21</v>
      </c>
      <c r="DC76" s="58">
        <f t="shared" si="992"/>
        <v>310755.65999999997</v>
      </c>
      <c r="DD76" s="58">
        <f t="shared" si="992"/>
        <v>438627.26</v>
      </c>
      <c r="DE76" s="58">
        <f t="shared" si="992"/>
        <v>0</v>
      </c>
      <c r="DF76" s="58">
        <f t="shared" si="992"/>
        <v>0</v>
      </c>
      <c r="DG76" s="58">
        <f t="shared" si="992"/>
        <v>3652985.4184798533</v>
      </c>
      <c r="DH76" s="118">
        <f t="shared" si="390"/>
        <v>-0.21673703571428571</v>
      </c>
      <c r="DI76" s="58">
        <f t="shared" ref="DI76:DU76" si="993">+SUM(DI77:DI86)</f>
        <v>520000</v>
      </c>
      <c r="DJ76" s="58">
        <f t="shared" si="993"/>
        <v>560000</v>
      </c>
      <c r="DK76" s="58">
        <f t="shared" si="993"/>
        <v>600000</v>
      </c>
      <c r="DL76" s="58">
        <f t="shared" si="993"/>
        <v>600000</v>
      </c>
      <c r="DM76" s="58">
        <f t="shared" si="993"/>
        <v>560000</v>
      </c>
      <c r="DN76" s="58">
        <f t="shared" si="993"/>
        <v>520000</v>
      </c>
      <c r="DO76" s="58">
        <f t="shared" si="993"/>
        <v>480000</v>
      </c>
      <c r="DP76" s="58">
        <f t="shared" si="993"/>
        <v>560000</v>
      </c>
      <c r="DQ76" s="58">
        <f t="shared" si="993"/>
        <v>680000</v>
      </c>
      <c r="DR76" s="58">
        <f t="shared" si="993"/>
        <v>560000</v>
      </c>
      <c r="DS76" s="58">
        <f t="shared" si="993"/>
        <v>560000</v>
      </c>
      <c r="DT76" s="58">
        <f t="shared" si="993"/>
        <v>640000</v>
      </c>
      <c r="DU76" s="58">
        <f t="shared" si="993"/>
        <v>6840000</v>
      </c>
    </row>
    <row r="77" spans="1:125" ht="14.45" hidden="1" customHeight="1" outlineLevel="2">
      <c r="A77" s="106">
        <f t="shared" ref="A77:A86" si="994">+AQ77+CG77</f>
        <v>161414.34000000003</v>
      </c>
      <c r="B77" s="106">
        <f t="shared" ref="B77:B86" si="995">+AR77+CH77</f>
        <v>180220.17999999996</v>
      </c>
      <c r="C77" s="106">
        <f t="shared" ref="C77:C86" si="996">+AS77+CI77</f>
        <v>245247.37999999995</v>
      </c>
      <c r="D77" s="106">
        <f t="shared" ref="D77:D86" si="997">+AT77+CJ77</f>
        <v>71185.01999999999</v>
      </c>
      <c r="E77" s="106">
        <f t="shared" ref="E77:E86" si="998">+AU77+CK77</f>
        <v>71369.506666666668</v>
      </c>
      <c r="F77" s="106">
        <f t="shared" ref="F77:F86" si="999">+AV77+CL77</f>
        <v>450744.02</v>
      </c>
      <c r="G77" s="106">
        <f t="shared" ref="G77:G86" si="1000">+AW77+CM77</f>
        <v>111760.06</v>
      </c>
      <c r="H77" s="106">
        <f t="shared" ref="H77:H86" si="1001">+AX77+CN77</f>
        <v>321900</v>
      </c>
      <c r="I77" s="106">
        <f t="shared" ref="I77:I86" si="1002">+AY77+CO77</f>
        <v>242510</v>
      </c>
      <c r="J77" s="106">
        <f t="shared" ref="J77:J86" si="1003">+AZ77+CP77</f>
        <v>503380</v>
      </c>
      <c r="K77" s="106">
        <f t="shared" ref="K77:K86" si="1004">+BA77+CQ77</f>
        <v>39030</v>
      </c>
      <c r="L77" s="106">
        <f t="shared" ref="L77:L86" si="1005">+BB77+CR77</f>
        <v>132450</v>
      </c>
      <c r="M77" s="106">
        <f>+SUM(A77:L77)</f>
        <v>2531210.5066666668</v>
      </c>
      <c r="N77" s="16" t="s">
        <v>61</v>
      </c>
      <c r="O77" s="106">
        <f t="shared" ref="O77:O86" si="1006">+BE77+CU77</f>
        <v>87810</v>
      </c>
      <c r="P77" s="106">
        <f t="shared" ref="P77:P86" si="1007">+BF77+CV77</f>
        <v>490718.75</v>
      </c>
      <c r="Q77" s="106">
        <f t="shared" ref="Q77:Q86" si="1008">+BG77+CW77</f>
        <v>354117.64</v>
      </c>
      <c r="R77" s="106">
        <f t="shared" ref="R77:R86" si="1009">+BH77+CX77</f>
        <v>151491.47999999998</v>
      </c>
      <c r="S77" s="106">
        <f t="shared" ref="S77:S86" si="1010">+BI77+CY77</f>
        <v>510128.75</v>
      </c>
      <c r="T77" s="106">
        <f t="shared" ref="T77:T86" si="1011">+BJ77+CZ77</f>
        <v>256248.02000000002</v>
      </c>
      <c r="U77" s="106">
        <f t="shared" ref="U77:U86" si="1012">+BK77+DA77</f>
        <v>309073.82684981683</v>
      </c>
      <c r="V77" s="106">
        <f t="shared" ref="V77:V86" si="1013">+BL77+DB77</f>
        <v>238138</v>
      </c>
      <c r="W77" s="106">
        <f t="shared" ref="W77:W86" si="1014">+BM77+DC77</f>
        <v>400837.93999999994</v>
      </c>
      <c r="X77" s="106">
        <f t="shared" ref="X77:X86" si="1015">+BN77+DD77</f>
        <v>486156</v>
      </c>
      <c r="Y77" s="106">
        <f t="shared" ref="Y77:Y86" si="1016">+BO77+DE77</f>
        <v>0</v>
      </c>
      <c r="Z77" s="106">
        <f t="shared" ref="Z77:Z86" si="1017">+BP77+DF77</f>
        <v>0</v>
      </c>
      <c r="AA77" s="106">
        <f>+SUM(O77:Z77)</f>
        <v>3284720.4068498169</v>
      </c>
      <c r="AB77" s="118">
        <f t="shared" si="374"/>
        <v>1.7008666666666667</v>
      </c>
      <c r="AC77" s="106">
        <f t="shared" ref="AC77:AC86" si="1018">+BS77+DI77</f>
        <v>174000</v>
      </c>
      <c r="AD77" s="106">
        <f t="shared" ref="AD77:AD86" si="1019">+BT77+DJ77</f>
        <v>174000</v>
      </c>
      <c r="AE77" s="106">
        <f t="shared" ref="AE77:AE86" si="1020">+BU77+DK77</f>
        <v>222000</v>
      </c>
      <c r="AF77" s="106">
        <f t="shared" ref="AF77:AF86" si="1021">+BV77+DL77</f>
        <v>180000</v>
      </c>
      <c r="AG77" s="106">
        <f t="shared" ref="AG77:AG86" si="1022">+BW77+DM77</f>
        <v>192000</v>
      </c>
      <c r="AH77" s="106">
        <f t="shared" ref="AH77:AH86" si="1023">+BX77+DN77</f>
        <v>168000</v>
      </c>
      <c r="AI77" s="106">
        <f t="shared" ref="AI77:AI86" si="1024">+BY77+DO77</f>
        <v>174000</v>
      </c>
      <c r="AJ77" s="106">
        <f t="shared" ref="AJ77:AJ86" si="1025">+BZ77+DP77</f>
        <v>204000</v>
      </c>
      <c r="AK77" s="106">
        <f t="shared" ref="AK77:AK86" si="1026">+CA77+DQ77</f>
        <v>204000</v>
      </c>
      <c r="AL77" s="106">
        <f t="shared" ref="AL77:AL86" si="1027">+CB77+DR77</f>
        <v>180000</v>
      </c>
      <c r="AM77" s="106">
        <f t="shared" ref="AM77:AM86" si="1028">+CC77+DS77</f>
        <v>168000</v>
      </c>
      <c r="AN77" s="106">
        <f t="shared" ref="AN77:AN86" si="1029">+CD77+DT77</f>
        <v>222000</v>
      </c>
      <c r="AO77" s="106">
        <f>+SUM(AC77:AN77)</f>
        <v>2262000</v>
      </c>
      <c r="AQ77" s="106">
        <v>157374.34000000003</v>
      </c>
      <c r="AR77" s="106">
        <v>168411.09999999998</v>
      </c>
      <c r="AS77" s="106">
        <v>239175.29999999996</v>
      </c>
      <c r="AT77" s="106">
        <v>57226.01999999999</v>
      </c>
      <c r="AU77" s="106">
        <v>38767.423333333332</v>
      </c>
      <c r="AV77" s="106">
        <v>435964.02</v>
      </c>
      <c r="AW77" s="106">
        <v>95260.06</v>
      </c>
      <c r="AX77" s="106">
        <v>280550</v>
      </c>
      <c r="AY77" s="106">
        <v>195650</v>
      </c>
      <c r="AZ77" s="106">
        <v>434400</v>
      </c>
      <c r="BA77" s="106">
        <v>29500</v>
      </c>
      <c r="BB77" s="106">
        <v>109630</v>
      </c>
      <c r="BC77" s="106">
        <f t="shared" ref="BC77:BC86" si="1030">+SUM(AQ77:BB77)</f>
        <v>2241908.2633333337</v>
      </c>
      <c r="BD77" s="16" t="str">
        <f t="shared" si="871"/>
        <v>Demo Vehicle Expense</v>
      </c>
      <c r="BE77" s="106">
        <f>+VLOOKUP($BD77,'Jan-25'!$A:$J,2,0)</f>
        <v>25700</v>
      </c>
      <c r="BF77" s="106">
        <f>+VLOOKUP($BD77,'Feb-25'!$A:$J,2,0)</f>
        <v>241778</v>
      </c>
      <c r="BG77" s="106">
        <f>+VLOOKUP($BD77,'Mar-25'!$A:$J,2,0)</f>
        <v>252723.93</v>
      </c>
      <c r="BH77" s="106">
        <f>+VLOOKUP($BD77,'Apr-25'!$A:$J,2,0)</f>
        <v>82742.55</v>
      </c>
      <c r="BI77" s="106">
        <f>+VLOOKUP($BD77,'May-25'!$A:$J,2,0)</f>
        <v>419487.05</v>
      </c>
      <c r="BJ77" s="106">
        <f>+VLOOKUP($BD77,'June-25'!$A:$J,2,0)</f>
        <v>182786.31</v>
      </c>
      <c r="BK77" s="106">
        <f>+VLOOKUP($BD77,'July-25'!$A:$J,2,0)</f>
        <v>237396.44836996339</v>
      </c>
      <c r="BL77" s="106">
        <f>+VLOOKUP($BD77,'Aug-25'!$A:$J,2,0)</f>
        <v>188124</v>
      </c>
      <c r="BM77" s="106">
        <f>+VLOOKUP($BD77,'Sep-25'!$A:$J,2,0)</f>
        <v>273261.46999999997</v>
      </c>
      <c r="BN77" s="106">
        <f>+VLOOKUP($BD77,'Oct-25'!$A:$J,2,0)</f>
        <v>428112</v>
      </c>
      <c r="BO77" s="106">
        <f>+VLOOKUP($BD77,'Nov-25'!$A:$J,2,0)</f>
        <v>0</v>
      </c>
      <c r="BP77" s="106">
        <f>+VLOOKUP($BD77,'Dec-25'!$A:$J,2,0)</f>
        <v>0</v>
      </c>
      <c r="BQ77" s="106">
        <f t="shared" ref="BQ77:BQ86" si="1031">+SUM(BE77:BP77)</f>
        <v>2332111.7583699636</v>
      </c>
      <c r="BR77" s="118">
        <f t="shared" si="389"/>
        <v>3.4594999999999998</v>
      </c>
      <c r="BS77" s="106" cm="1">
        <f t="array" ref="BS77:CD77">+_xlfn.XLOOKUP(BD77,Budget!A:A,Budget!Q:AB)</f>
        <v>96000</v>
      </c>
      <c r="BT77" s="106">
        <v>90000</v>
      </c>
      <c r="BU77" s="106">
        <v>132000</v>
      </c>
      <c r="BV77" s="106">
        <v>90000</v>
      </c>
      <c r="BW77" s="106">
        <v>108000</v>
      </c>
      <c r="BX77" s="106">
        <v>90000</v>
      </c>
      <c r="BY77" s="106">
        <v>102000</v>
      </c>
      <c r="BZ77" s="106">
        <v>120000</v>
      </c>
      <c r="CA77" s="106">
        <v>102000</v>
      </c>
      <c r="CB77" s="106">
        <v>96000</v>
      </c>
      <c r="CC77" s="106">
        <v>84000</v>
      </c>
      <c r="CD77" s="106">
        <v>126000</v>
      </c>
      <c r="CE77" s="106">
        <f t="shared" ref="CE77:CE86" si="1032">+SUM(BS77:CD77)</f>
        <v>1236000</v>
      </c>
      <c r="CF77" s="22"/>
      <c r="CG77" s="106">
        <v>4040</v>
      </c>
      <c r="CH77" s="106">
        <v>11809.08</v>
      </c>
      <c r="CI77" s="106">
        <v>6072.08</v>
      </c>
      <c r="CJ77" s="106">
        <v>13959</v>
      </c>
      <c r="CK77" s="106">
        <v>32602.083333333332</v>
      </c>
      <c r="CL77" s="106">
        <v>14780</v>
      </c>
      <c r="CM77" s="106">
        <v>16500</v>
      </c>
      <c r="CN77" s="106">
        <v>41350</v>
      </c>
      <c r="CO77" s="106">
        <v>46860</v>
      </c>
      <c r="CP77" s="106">
        <v>68980</v>
      </c>
      <c r="CQ77" s="106">
        <v>9530</v>
      </c>
      <c r="CR77" s="106">
        <v>22820</v>
      </c>
      <c r="CS77" s="106">
        <f t="shared" ref="CS77:CS88" si="1033">+SUM(CG77:CR77)</f>
        <v>289302.24333333335</v>
      </c>
      <c r="CT77" s="16" t="str">
        <f t="shared" si="875"/>
        <v>Demo Vehicle Expense</v>
      </c>
      <c r="CU77" s="106">
        <f>+VLOOKUP($BD77,'Jan-25'!$A:$J,6,0)</f>
        <v>62110</v>
      </c>
      <c r="CV77" s="106">
        <f>+VLOOKUP($BD77,'Feb-25'!$A:$J,6,0)</f>
        <v>248940.75</v>
      </c>
      <c r="CW77" s="106">
        <f>+VLOOKUP($BD77,'Mar-25'!$A:$J,6,0)</f>
        <v>101393.71</v>
      </c>
      <c r="CX77" s="106">
        <f>+VLOOKUP($BD77,'Apr-25'!$A:$J,6,0)</f>
        <v>68748.929999999993</v>
      </c>
      <c r="CY77" s="106">
        <f>+VLOOKUP($BD77,'May-25'!$A:$J,6,0)</f>
        <v>90641.7</v>
      </c>
      <c r="CZ77" s="106">
        <f>+VLOOKUP($BD77,'June-25'!$A:$J,6,0)</f>
        <v>73461.710000000006</v>
      </c>
      <c r="DA77" s="106">
        <f>+VLOOKUP($BD77,'July-25'!$A:$J,6,0)</f>
        <v>71677.378479853476</v>
      </c>
      <c r="DB77" s="106">
        <f>+VLOOKUP($BD77,'Aug-25'!$A:$J,6,0)</f>
        <v>50014</v>
      </c>
      <c r="DC77" s="106">
        <f>+VLOOKUP($BD77,'Sep-25'!$A:$J,6,0)</f>
        <v>127576.47</v>
      </c>
      <c r="DD77" s="106">
        <f>+VLOOKUP($BD77,'Oct-25'!$A:$J,6,0)</f>
        <v>58044</v>
      </c>
      <c r="DE77" s="106">
        <f>+VLOOKUP($BD77,'Nov-25'!$A:$J,6,0)</f>
        <v>0</v>
      </c>
      <c r="DF77" s="106">
        <f>+VLOOKUP($BD77,'Dec-25'!$A:$J,6,0)</f>
        <v>0</v>
      </c>
      <c r="DG77" s="106">
        <f t="shared" ref="DG77:DG88" si="1034">+SUM(CU77:DF77)</f>
        <v>952608.64847985341</v>
      </c>
      <c r="DH77" s="118">
        <f t="shared" si="390"/>
        <v>-0.309</v>
      </c>
      <c r="DI77" s="106">
        <f>+_xlfn.XLOOKUP($CT77,Budget!$A:$A,Budget!BQ:BQ)</f>
        <v>78000</v>
      </c>
      <c r="DJ77" s="106">
        <f>+_xlfn.XLOOKUP($CT77,Budget!$A:$A,Budget!BR:BR)</f>
        <v>84000</v>
      </c>
      <c r="DK77" s="106">
        <f>+_xlfn.XLOOKUP($CT77,Budget!$A:$A,Budget!BS:BS)</f>
        <v>90000</v>
      </c>
      <c r="DL77" s="106">
        <f>+_xlfn.XLOOKUP($CT77,Budget!$A:$A,Budget!BT:BT)</f>
        <v>90000</v>
      </c>
      <c r="DM77" s="106">
        <f>+_xlfn.XLOOKUP($CT77,Budget!$A:$A,Budget!BU:BU)</f>
        <v>84000</v>
      </c>
      <c r="DN77" s="106">
        <f>+_xlfn.XLOOKUP($CT77,Budget!$A:$A,Budget!BV:BV)</f>
        <v>78000</v>
      </c>
      <c r="DO77" s="106">
        <f>+_xlfn.XLOOKUP($CT77,Budget!$A:$A,Budget!BW:BW)</f>
        <v>72000</v>
      </c>
      <c r="DP77" s="106">
        <f>+_xlfn.XLOOKUP($CT77,Budget!$A:$A,Budget!BX:BX)</f>
        <v>84000</v>
      </c>
      <c r="DQ77" s="106">
        <f>+_xlfn.XLOOKUP($CT77,Budget!$A:$A,Budget!BY:BY)</f>
        <v>102000</v>
      </c>
      <c r="DR77" s="106">
        <f>+_xlfn.XLOOKUP($CT77,Budget!$A:$A,Budget!BZ:BZ)</f>
        <v>84000</v>
      </c>
      <c r="DS77" s="106">
        <f>+_xlfn.XLOOKUP($CT77,Budget!$A:$A,Budget!CA:CA)</f>
        <v>84000</v>
      </c>
      <c r="DT77" s="106">
        <f>+_xlfn.XLOOKUP($CT77,Budget!$A:$A,Budget!CB:CB)</f>
        <v>96000</v>
      </c>
      <c r="DU77" s="106">
        <f t="shared" ref="DU77:DU88" si="1035">+SUM(DI77:DT77)</f>
        <v>1026000</v>
      </c>
    </row>
    <row r="78" spans="1:125" ht="14.45" hidden="1" customHeight="1" outlineLevel="2">
      <c r="A78" s="106">
        <f t="shared" si="994"/>
        <v>517096.63</v>
      </c>
      <c r="B78" s="106">
        <f t="shared" si="995"/>
        <v>518150.18</v>
      </c>
      <c r="C78" s="106">
        <f t="shared" si="996"/>
        <v>648415.97</v>
      </c>
      <c r="D78" s="106">
        <f t="shared" si="997"/>
        <v>717278.09</v>
      </c>
      <c r="E78" s="106">
        <f t="shared" si="998"/>
        <v>732571.84</v>
      </c>
      <c r="F78" s="106">
        <f t="shared" si="999"/>
        <v>604922.1</v>
      </c>
      <c r="G78" s="106">
        <f t="shared" si="1000"/>
        <v>666559.69999999995</v>
      </c>
      <c r="H78" s="106">
        <f t="shared" si="1001"/>
        <v>503277.89</v>
      </c>
      <c r="I78" s="106">
        <f t="shared" si="1002"/>
        <v>488165.70999999996</v>
      </c>
      <c r="J78" s="106">
        <f t="shared" si="1003"/>
        <v>648422.27</v>
      </c>
      <c r="K78" s="106">
        <f t="shared" si="1004"/>
        <v>733140.09000000008</v>
      </c>
      <c r="L78" s="106">
        <f t="shared" si="1005"/>
        <v>635465.61</v>
      </c>
      <c r="M78" s="106">
        <f t="shared" ref="M78:M102" si="1036">+SUM(A78:L78)</f>
        <v>7413466.0799999991</v>
      </c>
      <c r="N78" s="16" t="s">
        <v>62</v>
      </c>
      <c r="O78" s="106">
        <f t="shared" si="1006"/>
        <v>495518.05000000005</v>
      </c>
      <c r="P78" s="106">
        <f t="shared" si="1007"/>
        <v>247135.57</v>
      </c>
      <c r="Q78" s="106">
        <f t="shared" si="1008"/>
        <v>448231.03</v>
      </c>
      <c r="R78" s="106">
        <f t="shared" si="1009"/>
        <v>267266.58</v>
      </c>
      <c r="S78" s="106">
        <f t="shared" si="1010"/>
        <v>350917.07999999996</v>
      </c>
      <c r="T78" s="106">
        <f t="shared" si="1011"/>
        <v>408645.23</v>
      </c>
      <c r="U78" s="106">
        <f t="shared" si="1012"/>
        <v>408220.04000000004</v>
      </c>
      <c r="V78" s="106">
        <f t="shared" si="1013"/>
        <v>385956.07999999996</v>
      </c>
      <c r="W78" s="106">
        <f t="shared" si="1014"/>
        <v>349688.06999999995</v>
      </c>
      <c r="X78" s="106">
        <f t="shared" si="1015"/>
        <v>483694.7</v>
      </c>
      <c r="Y78" s="106">
        <f t="shared" si="1016"/>
        <v>0</v>
      </c>
      <c r="Z78" s="106">
        <f t="shared" si="1017"/>
        <v>0</v>
      </c>
      <c r="AA78" s="106">
        <f t="shared" ref="AA78:AA86" si="1037">+SUM(O78:Z78)</f>
        <v>3845272.43</v>
      </c>
      <c r="AB78" s="118">
        <f t="shared" si="374"/>
        <v>-0.32820180555555556</v>
      </c>
      <c r="AC78" s="106">
        <f t="shared" si="1018"/>
        <v>696000</v>
      </c>
      <c r="AD78" s="106">
        <f t="shared" si="1019"/>
        <v>696000</v>
      </c>
      <c r="AE78" s="106">
        <f t="shared" si="1020"/>
        <v>888000</v>
      </c>
      <c r="AF78" s="106">
        <f t="shared" si="1021"/>
        <v>720000</v>
      </c>
      <c r="AG78" s="106">
        <f t="shared" si="1022"/>
        <v>768000</v>
      </c>
      <c r="AH78" s="106">
        <f t="shared" si="1023"/>
        <v>672000</v>
      </c>
      <c r="AI78" s="106">
        <f t="shared" si="1024"/>
        <v>696000</v>
      </c>
      <c r="AJ78" s="106">
        <f t="shared" si="1025"/>
        <v>816000</v>
      </c>
      <c r="AK78" s="106">
        <f t="shared" si="1026"/>
        <v>816000</v>
      </c>
      <c r="AL78" s="106">
        <f t="shared" si="1027"/>
        <v>720000</v>
      </c>
      <c r="AM78" s="106">
        <f t="shared" si="1028"/>
        <v>672000</v>
      </c>
      <c r="AN78" s="106">
        <f t="shared" si="1029"/>
        <v>888000</v>
      </c>
      <c r="AO78" s="106">
        <f t="shared" ref="AO78:AO86" si="1038">+SUM(AC78:AN78)</f>
        <v>9048000</v>
      </c>
      <c r="AQ78" s="106">
        <v>265409.25</v>
      </c>
      <c r="AR78" s="106">
        <v>252090.55</v>
      </c>
      <c r="AS78" s="106">
        <v>349344.29</v>
      </c>
      <c r="AT78" s="106">
        <v>324532.28999999998</v>
      </c>
      <c r="AU78" s="106">
        <v>361560.72</v>
      </c>
      <c r="AV78" s="106">
        <v>342341.25</v>
      </c>
      <c r="AW78" s="106">
        <v>398448.49</v>
      </c>
      <c r="AX78" s="106">
        <v>271495.84999999998</v>
      </c>
      <c r="AY78" s="106">
        <v>256823.67999999999</v>
      </c>
      <c r="AZ78" s="106">
        <v>298804.64</v>
      </c>
      <c r="BA78" s="106">
        <v>341121.76</v>
      </c>
      <c r="BB78" s="106">
        <v>363479.89</v>
      </c>
      <c r="BC78" s="106">
        <f t="shared" si="1030"/>
        <v>3825452.6600000006</v>
      </c>
      <c r="BD78" s="16" t="str">
        <f t="shared" si="871"/>
        <v>Demo Vehicle Fuel Expenses</v>
      </c>
      <c r="BE78" s="106">
        <f>+VLOOKUP($BD78,'Jan-25'!$A:$J,2,0)</f>
        <v>284678.89</v>
      </c>
      <c r="BF78" s="106">
        <f>+VLOOKUP($BD78,'Feb-25'!$A:$J,2,0)</f>
        <v>197805.57</v>
      </c>
      <c r="BG78" s="106">
        <f>+VLOOKUP($BD78,'Mar-25'!$A:$J,2,0)</f>
        <v>218115.31</v>
      </c>
      <c r="BH78" s="106">
        <f>+VLOOKUP($BD78,'Apr-25'!$A:$J,2,0)</f>
        <v>111697.75</v>
      </c>
      <c r="BI78" s="106">
        <f>+VLOOKUP($BD78,'May-25'!$A:$J,2,0)</f>
        <v>175654.05</v>
      </c>
      <c r="BJ78" s="106">
        <f>+VLOOKUP($BD78,'June-25'!$A:$J,2,0)</f>
        <v>200865.81</v>
      </c>
      <c r="BK78" s="106">
        <f>+VLOOKUP($BD78,'July-25'!$A:$J,2,0)</f>
        <v>210571.03</v>
      </c>
      <c r="BL78" s="106">
        <f>+VLOOKUP($BD78,'Aug-25'!$A:$J,2,0)</f>
        <v>190871.83</v>
      </c>
      <c r="BM78" s="106">
        <f>+VLOOKUP($BD78,'Sep-25'!$A:$J,2,0)</f>
        <v>195285.83</v>
      </c>
      <c r="BN78" s="106">
        <f>+VLOOKUP($BD78,'Oct-25'!$A:$J,2,0)</f>
        <v>307030.25</v>
      </c>
      <c r="BO78" s="106">
        <f>+VLOOKUP($BD78,'Nov-25'!$A:$J,2,0)</f>
        <v>0</v>
      </c>
      <c r="BP78" s="106">
        <f>+VLOOKUP($BD78,'Dec-25'!$A:$J,2,0)</f>
        <v>0</v>
      </c>
      <c r="BQ78" s="106">
        <f t="shared" si="1031"/>
        <v>2092576.3200000003</v>
      </c>
      <c r="BR78" s="118">
        <f t="shared" si="389"/>
        <v>-0.20044205729166667</v>
      </c>
      <c r="BS78" s="106" cm="1">
        <f t="array" ref="BS78:CD78">+_xlfn.XLOOKUP(BD78,Budget!A:A,Budget!Q:AB)</f>
        <v>384000</v>
      </c>
      <c r="BT78" s="106">
        <v>360000</v>
      </c>
      <c r="BU78" s="106">
        <v>528000</v>
      </c>
      <c r="BV78" s="106">
        <v>360000</v>
      </c>
      <c r="BW78" s="106">
        <v>432000</v>
      </c>
      <c r="BX78" s="106">
        <v>360000</v>
      </c>
      <c r="BY78" s="106">
        <v>408000</v>
      </c>
      <c r="BZ78" s="106">
        <v>480000</v>
      </c>
      <c r="CA78" s="106">
        <v>408000</v>
      </c>
      <c r="CB78" s="106">
        <v>384000</v>
      </c>
      <c r="CC78" s="106">
        <v>336000</v>
      </c>
      <c r="CD78" s="106">
        <v>504000</v>
      </c>
      <c r="CE78" s="106">
        <f t="shared" si="1032"/>
        <v>4944000</v>
      </c>
      <c r="CF78" s="22"/>
      <c r="CG78" s="106">
        <v>251687.38</v>
      </c>
      <c r="CH78" s="106">
        <v>266059.63</v>
      </c>
      <c r="CI78" s="106">
        <v>299071.68</v>
      </c>
      <c r="CJ78" s="106">
        <v>392745.8</v>
      </c>
      <c r="CK78" s="106">
        <v>371011.12</v>
      </c>
      <c r="CL78" s="106">
        <v>262580.84999999998</v>
      </c>
      <c r="CM78" s="106">
        <v>268111.21000000002</v>
      </c>
      <c r="CN78" s="106">
        <v>231782.04</v>
      </c>
      <c r="CO78" s="106">
        <v>231342.03</v>
      </c>
      <c r="CP78" s="106">
        <v>349617.63</v>
      </c>
      <c r="CQ78" s="106">
        <v>392018.33</v>
      </c>
      <c r="CR78" s="106">
        <v>271985.71999999997</v>
      </c>
      <c r="CS78" s="106">
        <f t="shared" si="1033"/>
        <v>3588013.42</v>
      </c>
      <c r="CT78" s="16" t="str">
        <f t="shared" si="875"/>
        <v>Demo Vehicle Fuel Expenses</v>
      </c>
      <c r="CU78" s="106">
        <f>+VLOOKUP($BD78,'Jan-25'!$A:$J,6,0)</f>
        <v>210839.16</v>
      </c>
      <c r="CV78" s="106">
        <f>+VLOOKUP($BD78,'Feb-25'!$A:$J,6,0)</f>
        <v>49330</v>
      </c>
      <c r="CW78" s="106">
        <f>+VLOOKUP($BD78,'Mar-25'!$A:$J,6,0)</f>
        <v>230115.72</v>
      </c>
      <c r="CX78" s="106">
        <f>+VLOOKUP($BD78,'Apr-25'!$A:$J,6,0)</f>
        <v>155568.83000000002</v>
      </c>
      <c r="CY78" s="106">
        <f>+VLOOKUP($BD78,'May-25'!$A:$J,6,0)</f>
        <v>175263.03</v>
      </c>
      <c r="CZ78" s="106">
        <f>+VLOOKUP($BD78,'June-25'!$A:$J,6,0)</f>
        <v>207779.42</v>
      </c>
      <c r="DA78" s="106">
        <f>+VLOOKUP($BD78,'July-25'!$A:$J,6,0)</f>
        <v>197649.01</v>
      </c>
      <c r="DB78" s="106">
        <f>+VLOOKUP($BD78,'Aug-25'!$A:$J,6,0)</f>
        <v>195084.25</v>
      </c>
      <c r="DC78" s="106">
        <f>+VLOOKUP($BD78,'Sep-25'!$A:$J,6,0)</f>
        <v>154402.23999999999</v>
      </c>
      <c r="DD78" s="106">
        <f>+VLOOKUP($BD78,'Oct-25'!$A:$J,6,0)</f>
        <v>176664.45</v>
      </c>
      <c r="DE78" s="106">
        <f>+VLOOKUP($BD78,'Nov-25'!$A:$J,6,0)</f>
        <v>0</v>
      </c>
      <c r="DF78" s="106">
        <f>+VLOOKUP($BD78,'Dec-25'!$A:$J,6,0)</f>
        <v>0</v>
      </c>
      <c r="DG78" s="106">
        <f t="shared" si="1034"/>
        <v>1752696.1099999999</v>
      </c>
      <c r="DH78" s="118">
        <f t="shared" si="390"/>
        <v>-0.47421294642857137</v>
      </c>
      <c r="DI78" s="106">
        <f>+_xlfn.XLOOKUP($CT78,Budget!$A:$A,Budget!BQ:BQ)</f>
        <v>312000</v>
      </c>
      <c r="DJ78" s="106">
        <f>+_xlfn.XLOOKUP($CT78,Budget!$A:$A,Budget!BR:BR)</f>
        <v>336000</v>
      </c>
      <c r="DK78" s="106">
        <f>+_xlfn.XLOOKUP($CT78,Budget!$A:$A,Budget!BS:BS)</f>
        <v>360000</v>
      </c>
      <c r="DL78" s="106">
        <f>+_xlfn.XLOOKUP($CT78,Budget!$A:$A,Budget!BT:BT)</f>
        <v>360000</v>
      </c>
      <c r="DM78" s="106">
        <f>+_xlfn.XLOOKUP($CT78,Budget!$A:$A,Budget!BU:BU)</f>
        <v>336000</v>
      </c>
      <c r="DN78" s="106">
        <f>+_xlfn.XLOOKUP($CT78,Budget!$A:$A,Budget!BV:BV)</f>
        <v>312000</v>
      </c>
      <c r="DO78" s="106">
        <f>+_xlfn.XLOOKUP($CT78,Budget!$A:$A,Budget!BW:BW)</f>
        <v>288000</v>
      </c>
      <c r="DP78" s="106">
        <f>+_xlfn.XLOOKUP($CT78,Budget!$A:$A,Budget!BX:BX)</f>
        <v>336000</v>
      </c>
      <c r="DQ78" s="106">
        <f>+_xlfn.XLOOKUP($CT78,Budget!$A:$A,Budget!BY:BY)</f>
        <v>408000</v>
      </c>
      <c r="DR78" s="106">
        <f>+_xlfn.XLOOKUP($CT78,Budget!$A:$A,Budget!BZ:BZ)</f>
        <v>336000</v>
      </c>
      <c r="DS78" s="106">
        <f>+_xlfn.XLOOKUP($CT78,Budget!$A:$A,Budget!CA:CA)</f>
        <v>336000</v>
      </c>
      <c r="DT78" s="106">
        <f>+_xlfn.XLOOKUP($CT78,Budget!$A:$A,Budget!CB:CB)</f>
        <v>384000</v>
      </c>
      <c r="DU78" s="106">
        <f t="shared" si="1035"/>
        <v>4104000</v>
      </c>
    </row>
    <row r="79" spans="1:125" ht="14.45" hidden="1" customHeight="1" outlineLevel="2">
      <c r="A79" s="106">
        <f t="shared" si="994"/>
        <v>0</v>
      </c>
      <c r="B79" s="106">
        <f t="shared" si="995"/>
        <v>0</v>
      </c>
      <c r="C79" s="106">
        <f t="shared" si="996"/>
        <v>0</v>
      </c>
      <c r="D79" s="106">
        <f t="shared" si="997"/>
        <v>0</v>
      </c>
      <c r="E79" s="106">
        <f t="shared" si="998"/>
        <v>2400</v>
      </c>
      <c r="F79" s="106">
        <f t="shared" si="999"/>
        <v>0</v>
      </c>
      <c r="G79" s="106">
        <f t="shared" si="1000"/>
        <v>2800</v>
      </c>
      <c r="H79" s="106">
        <f t="shared" si="1001"/>
        <v>0</v>
      </c>
      <c r="I79" s="106">
        <f t="shared" si="1002"/>
        <v>4600</v>
      </c>
      <c r="J79" s="106">
        <f t="shared" si="1003"/>
        <v>0</v>
      </c>
      <c r="K79" s="106">
        <f t="shared" si="1004"/>
        <v>0</v>
      </c>
      <c r="L79" s="106">
        <f t="shared" si="1005"/>
        <v>0</v>
      </c>
      <c r="M79" s="106">
        <f t="shared" si="1036"/>
        <v>9800</v>
      </c>
      <c r="N79" s="16" t="s">
        <v>63</v>
      </c>
      <c r="O79" s="106">
        <f t="shared" si="1006"/>
        <v>0</v>
      </c>
      <c r="P79" s="106">
        <f t="shared" si="1007"/>
        <v>0</v>
      </c>
      <c r="Q79" s="106">
        <f t="shared" si="1008"/>
        <v>0</v>
      </c>
      <c r="R79" s="106">
        <f t="shared" si="1009"/>
        <v>0</v>
      </c>
      <c r="S79" s="106">
        <f t="shared" si="1010"/>
        <v>0</v>
      </c>
      <c r="T79" s="106">
        <f t="shared" si="1011"/>
        <v>0</v>
      </c>
      <c r="U79" s="106">
        <f t="shared" si="1012"/>
        <v>0</v>
      </c>
      <c r="V79" s="106">
        <f t="shared" si="1013"/>
        <v>0</v>
      </c>
      <c r="W79" s="106">
        <f t="shared" si="1014"/>
        <v>0</v>
      </c>
      <c r="X79" s="106">
        <f t="shared" si="1015"/>
        <v>0</v>
      </c>
      <c r="Y79" s="106">
        <f t="shared" si="1016"/>
        <v>0</v>
      </c>
      <c r="Z79" s="106">
        <f t="shared" si="1017"/>
        <v>0</v>
      </c>
      <c r="AA79" s="106">
        <f t="shared" si="1037"/>
        <v>0</v>
      </c>
      <c r="AB79" s="118">
        <f t="shared" si="374"/>
        <v>0</v>
      </c>
      <c r="AC79" s="106">
        <f t="shared" si="1018"/>
        <v>0</v>
      </c>
      <c r="AD79" s="106">
        <f t="shared" si="1019"/>
        <v>0</v>
      </c>
      <c r="AE79" s="106">
        <f t="shared" si="1020"/>
        <v>0</v>
      </c>
      <c r="AF79" s="106">
        <f t="shared" si="1021"/>
        <v>0</v>
      </c>
      <c r="AG79" s="106">
        <f t="shared" si="1022"/>
        <v>0</v>
      </c>
      <c r="AH79" s="106">
        <f t="shared" si="1023"/>
        <v>0</v>
      </c>
      <c r="AI79" s="106">
        <f t="shared" si="1024"/>
        <v>0</v>
      </c>
      <c r="AJ79" s="106">
        <f t="shared" si="1025"/>
        <v>0</v>
      </c>
      <c r="AK79" s="106">
        <f t="shared" si="1026"/>
        <v>0</v>
      </c>
      <c r="AL79" s="106">
        <f t="shared" si="1027"/>
        <v>0</v>
      </c>
      <c r="AM79" s="106">
        <f t="shared" si="1028"/>
        <v>0</v>
      </c>
      <c r="AN79" s="106">
        <f t="shared" si="1029"/>
        <v>0</v>
      </c>
      <c r="AO79" s="106">
        <f t="shared" si="1038"/>
        <v>0</v>
      </c>
      <c r="AQ79" s="106">
        <v>0</v>
      </c>
      <c r="AR79" s="106">
        <v>0</v>
      </c>
      <c r="AS79" s="106">
        <v>0</v>
      </c>
      <c r="AT79" s="106">
        <v>0</v>
      </c>
      <c r="AU79" s="106">
        <v>0</v>
      </c>
      <c r="AV79" s="106">
        <v>0</v>
      </c>
      <c r="AW79" s="106">
        <v>0</v>
      </c>
      <c r="AX79" s="106">
        <v>0</v>
      </c>
      <c r="AY79" s="106">
        <v>0</v>
      </c>
      <c r="AZ79" s="106">
        <v>0</v>
      </c>
      <c r="BA79" s="106">
        <v>0</v>
      </c>
      <c r="BB79" s="106">
        <v>0</v>
      </c>
      <c r="BC79" s="106">
        <f t="shared" si="1030"/>
        <v>0</v>
      </c>
      <c r="BD79" s="16" t="str">
        <f t="shared" si="871"/>
        <v>Demo Vehicle Other Expenses</v>
      </c>
      <c r="BE79" s="106">
        <f>+VLOOKUP($BD79,'Jan-25'!$A:$J,2,0)</f>
        <v>0</v>
      </c>
      <c r="BF79" s="106">
        <f>+VLOOKUP($BD79,'Feb-25'!$A:$J,2,0)</f>
        <v>0</v>
      </c>
      <c r="BG79" s="106">
        <f>+VLOOKUP($BD79,'Mar-25'!$A:$J,2,0)</f>
        <v>0</v>
      </c>
      <c r="BH79" s="106">
        <f>+VLOOKUP($BD79,'Apr-25'!$A:$J,2,0)</f>
        <v>0</v>
      </c>
      <c r="BI79" s="106">
        <f>+VLOOKUP($BD79,'May-25'!$A:$J,2,0)</f>
        <v>0</v>
      </c>
      <c r="BJ79" s="106">
        <f>+VLOOKUP($BD79,'June-25'!$A:$J,2,0)</f>
        <v>0</v>
      </c>
      <c r="BK79" s="106">
        <f>+VLOOKUP($BD79,'July-25'!$A:$J,2,0)</f>
        <v>0</v>
      </c>
      <c r="BL79" s="106">
        <f>+VLOOKUP($BD79,'Aug-25'!$A:$J,2,0)</f>
        <v>0</v>
      </c>
      <c r="BM79" s="106">
        <f>+VLOOKUP($BD79,'Sep-25'!$A:$J,2,0)</f>
        <v>0</v>
      </c>
      <c r="BN79" s="106">
        <f>+VLOOKUP($BD79,'Oct-25'!$A:$J,2,0)</f>
        <v>0</v>
      </c>
      <c r="BO79" s="106">
        <f>+VLOOKUP($BD79,'Nov-25'!$A:$J,2,0)</f>
        <v>0</v>
      </c>
      <c r="BP79" s="106">
        <f>+VLOOKUP($BD79,'Dec-25'!$A:$J,2,0)</f>
        <v>0</v>
      </c>
      <c r="BQ79" s="106">
        <f t="shared" si="1031"/>
        <v>0</v>
      </c>
      <c r="BR79" s="118">
        <f t="shared" si="389"/>
        <v>0</v>
      </c>
      <c r="BS79" s="106" cm="1">
        <f t="array" ref="BS79:CD79">+_xlfn.XLOOKUP(BD79,Budget!A:A,Budget!Q:AB)</f>
        <v>0</v>
      </c>
      <c r="BT79" s="106">
        <v>0</v>
      </c>
      <c r="BU79" s="106">
        <v>0</v>
      </c>
      <c r="BV79" s="106">
        <v>0</v>
      </c>
      <c r="BW79" s="106">
        <v>0</v>
      </c>
      <c r="BX79" s="106">
        <v>0</v>
      </c>
      <c r="BY79" s="106">
        <v>0</v>
      </c>
      <c r="BZ79" s="106">
        <v>0</v>
      </c>
      <c r="CA79" s="106">
        <v>0</v>
      </c>
      <c r="CB79" s="106">
        <v>0</v>
      </c>
      <c r="CC79" s="106">
        <v>0</v>
      </c>
      <c r="CD79" s="106">
        <v>0</v>
      </c>
      <c r="CE79" s="106">
        <f t="shared" si="1032"/>
        <v>0</v>
      </c>
      <c r="CF79" s="22"/>
      <c r="CG79" s="106">
        <v>0</v>
      </c>
      <c r="CH79" s="106">
        <v>0</v>
      </c>
      <c r="CI79" s="106">
        <v>0</v>
      </c>
      <c r="CJ79" s="106">
        <v>0</v>
      </c>
      <c r="CK79" s="106">
        <v>2400</v>
      </c>
      <c r="CL79" s="106">
        <v>0</v>
      </c>
      <c r="CM79" s="106">
        <v>2800</v>
      </c>
      <c r="CN79" s="106">
        <v>0</v>
      </c>
      <c r="CO79" s="106">
        <v>4600</v>
      </c>
      <c r="CP79" s="106">
        <v>0</v>
      </c>
      <c r="CQ79" s="106">
        <v>0</v>
      </c>
      <c r="CR79" s="106">
        <v>0</v>
      </c>
      <c r="CS79" s="106">
        <f t="shared" si="1033"/>
        <v>9800</v>
      </c>
      <c r="CT79" s="16" t="str">
        <f t="shared" si="875"/>
        <v>Demo Vehicle Other Expenses</v>
      </c>
      <c r="CU79" s="106">
        <f>+VLOOKUP($BD79,'Jan-25'!$A:$J,6,0)</f>
        <v>0</v>
      </c>
      <c r="CV79" s="106">
        <f>+VLOOKUP($BD79,'Feb-25'!$A:$J,6,0)</f>
        <v>0</v>
      </c>
      <c r="CW79" s="106">
        <f>+VLOOKUP($BD79,'Mar-25'!$A:$J,6,0)</f>
        <v>0</v>
      </c>
      <c r="CX79" s="106">
        <f>+VLOOKUP($BD79,'Apr-25'!$A:$J,6,0)</f>
        <v>0</v>
      </c>
      <c r="CY79" s="106">
        <f>+VLOOKUP($BD79,'May-25'!$A:$J,6,0)</f>
        <v>0</v>
      </c>
      <c r="CZ79" s="106">
        <f>+VLOOKUP($BD79,'June-25'!$A:$J,6,0)</f>
        <v>0</v>
      </c>
      <c r="DA79" s="106">
        <f>+VLOOKUP($BD79,'July-25'!$A:$J,6,0)</f>
        <v>0</v>
      </c>
      <c r="DB79" s="106">
        <f>+VLOOKUP($BD79,'Aug-25'!$A:$J,6,0)</f>
        <v>0</v>
      </c>
      <c r="DC79" s="106">
        <f>+VLOOKUP($BD79,'Sep-25'!$A:$J,6,0)</f>
        <v>0</v>
      </c>
      <c r="DD79" s="106">
        <f>+VLOOKUP($BD79,'Oct-25'!$A:$J,6,0)</f>
        <v>0</v>
      </c>
      <c r="DE79" s="106">
        <f>+VLOOKUP($BD79,'Nov-25'!$A:$J,6,0)</f>
        <v>0</v>
      </c>
      <c r="DF79" s="106">
        <f>+VLOOKUP($BD79,'Dec-25'!$A:$J,6,0)</f>
        <v>0</v>
      </c>
      <c r="DG79" s="106">
        <f t="shared" si="1034"/>
        <v>0</v>
      </c>
      <c r="DH79" s="118">
        <f t="shared" si="390"/>
        <v>0</v>
      </c>
      <c r="DI79" s="106">
        <f>+_xlfn.XLOOKUP($CT79,Budget!$A:$A,Budget!BQ:BQ)</f>
        <v>0</v>
      </c>
      <c r="DJ79" s="106">
        <f>+_xlfn.XLOOKUP($CT79,Budget!$A:$A,Budget!BR:BR)</f>
        <v>0</v>
      </c>
      <c r="DK79" s="106">
        <f>+_xlfn.XLOOKUP($CT79,Budget!$A:$A,Budget!BS:BS)</f>
        <v>0</v>
      </c>
      <c r="DL79" s="106">
        <f>+_xlfn.XLOOKUP($CT79,Budget!$A:$A,Budget!BT:BT)</f>
        <v>0</v>
      </c>
      <c r="DM79" s="106">
        <f>+_xlfn.XLOOKUP($CT79,Budget!$A:$A,Budget!BU:BU)</f>
        <v>0</v>
      </c>
      <c r="DN79" s="106">
        <f>+_xlfn.XLOOKUP($CT79,Budget!$A:$A,Budget!BV:BV)</f>
        <v>0</v>
      </c>
      <c r="DO79" s="106">
        <f>+_xlfn.XLOOKUP($CT79,Budget!$A:$A,Budget!BW:BW)</f>
        <v>0</v>
      </c>
      <c r="DP79" s="106">
        <f>+_xlfn.XLOOKUP($CT79,Budget!$A:$A,Budget!BX:BX)</f>
        <v>0</v>
      </c>
      <c r="DQ79" s="106">
        <f>+_xlfn.XLOOKUP($CT79,Budget!$A:$A,Budget!BY:BY)</f>
        <v>0</v>
      </c>
      <c r="DR79" s="106">
        <f>+_xlfn.XLOOKUP($CT79,Budget!$A:$A,Budget!BZ:BZ)</f>
        <v>0</v>
      </c>
      <c r="DS79" s="106">
        <f>+_xlfn.XLOOKUP($CT79,Budget!$A:$A,Budget!CA:CA)</f>
        <v>0</v>
      </c>
      <c r="DT79" s="106">
        <f>+_xlfn.XLOOKUP($CT79,Budget!$A:$A,Budget!CB:CB)</f>
        <v>0</v>
      </c>
      <c r="DU79" s="106">
        <f t="shared" si="1035"/>
        <v>0</v>
      </c>
    </row>
    <row r="80" spans="1:125" ht="14.45" hidden="1" customHeight="1" outlineLevel="2">
      <c r="A80" s="106">
        <f t="shared" si="994"/>
        <v>47187.71</v>
      </c>
      <c r="B80" s="106">
        <f t="shared" si="995"/>
        <v>434141.32</v>
      </c>
      <c r="C80" s="106">
        <f t="shared" si="996"/>
        <v>176849.9</v>
      </c>
      <c r="D80" s="106">
        <f t="shared" si="997"/>
        <v>264639.64</v>
      </c>
      <c r="E80" s="106">
        <f t="shared" si="998"/>
        <v>320258.56</v>
      </c>
      <c r="F80" s="106">
        <f t="shared" si="999"/>
        <v>513282.26</v>
      </c>
      <c r="G80" s="106">
        <f t="shared" si="1000"/>
        <v>342678.79000000004</v>
      </c>
      <c r="H80" s="106">
        <f t="shared" si="1001"/>
        <v>442779.77999999997</v>
      </c>
      <c r="I80" s="106">
        <f t="shared" si="1002"/>
        <v>237040.01</v>
      </c>
      <c r="J80" s="106">
        <f t="shared" si="1003"/>
        <v>0</v>
      </c>
      <c r="K80" s="106">
        <f t="shared" si="1004"/>
        <v>166823.38</v>
      </c>
      <c r="L80" s="106">
        <f t="shared" si="1005"/>
        <v>125273.54999999999</v>
      </c>
      <c r="M80" s="106">
        <f t="shared" si="1036"/>
        <v>3070954.8999999994</v>
      </c>
      <c r="N80" s="16" t="s">
        <v>221</v>
      </c>
      <c r="O80" s="106">
        <f t="shared" si="1006"/>
        <v>129108.82</v>
      </c>
      <c r="P80" s="106">
        <f t="shared" si="1007"/>
        <v>166439.66999999998</v>
      </c>
      <c r="Q80" s="106">
        <f t="shared" si="1008"/>
        <v>651267.68000000005</v>
      </c>
      <c r="R80" s="106">
        <f t="shared" si="1009"/>
        <v>119863.6</v>
      </c>
      <c r="S80" s="106">
        <f t="shared" si="1010"/>
        <v>235526.82</v>
      </c>
      <c r="T80" s="106">
        <f t="shared" si="1011"/>
        <v>353173.76000000001</v>
      </c>
      <c r="U80" s="106">
        <f t="shared" si="1012"/>
        <v>223370.93</v>
      </c>
      <c r="V80" s="106">
        <f t="shared" si="1013"/>
        <v>102684.35999999999</v>
      </c>
      <c r="W80" s="106">
        <f t="shared" si="1014"/>
        <v>182241.89000000004</v>
      </c>
      <c r="X80" s="106">
        <f t="shared" si="1015"/>
        <v>290226.89</v>
      </c>
      <c r="Y80" s="106">
        <f t="shared" si="1016"/>
        <v>0</v>
      </c>
      <c r="Z80" s="106">
        <f t="shared" si="1017"/>
        <v>0</v>
      </c>
      <c r="AA80" s="106">
        <f t="shared" si="1037"/>
        <v>2453904.4200000004</v>
      </c>
      <c r="AB80" s="118">
        <f t="shared" si="374"/>
        <v>-3.257703333333329E-2</v>
      </c>
      <c r="AC80" s="106">
        <f t="shared" si="1018"/>
        <v>290000</v>
      </c>
      <c r="AD80" s="106">
        <f t="shared" si="1019"/>
        <v>290000</v>
      </c>
      <c r="AE80" s="106">
        <f t="shared" si="1020"/>
        <v>370000</v>
      </c>
      <c r="AF80" s="106">
        <f t="shared" si="1021"/>
        <v>300000</v>
      </c>
      <c r="AG80" s="106">
        <f t="shared" si="1022"/>
        <v>320000</v>
      </c>
      <c r="AH80" s="106">
        <f t="shared" si="1023"/>
        <v>280000</v>
      </c>
      <c r="AI80" s="106">
        <f t="shared" si="1024"/>
        <v>290000</v>
      </c>
      <c r="AJ80" s="106">
        <f t="shared" si="1025"/>
        <v>340000</v>
      </c>
      <c r="AK80" s="106">
        <f t="shared" si="1026"/>
        <v>340000</v>
      </c>
      <c r="AL80" s="106">
        <f t="shared" si="1027"/>
        <v>300000</v>
      </c>
      <c r="AM80" s="106">
        <f t="shared" si="1028"/>
        <v>280000</v>
      </c>
      <c r="AN80" s="106">
        <f t="shared" si="1029"/>
        <v>370000</v>
      </c>
      <c r="AO80" s="106">
        <f t="shared" si="1038"/>
        <v>3770000</v>
      </c>
      <c r="AQ80" s="106">
        <v>39843.949999999997</v>
      </c>
      <c r="AR80" s="106">
        <v>246456.32000000001</v>
      </c>
      <c r="AS80" s="106">
        <v>0</v>
      </c>
      <c r="AT80" s="106">
        <v>264639.64</v>
      </c>
      <c r="AU80" s="106">
        <v>111591</v>
      </c>
      <c r="AV80" s="106">
        <v>196813.99</v>
      </c>
      <c r="AW80" s="106">
        <v>159365.15</v>
      </c>
      <c r="AX80" s="106">
        <v>345307.29</v>
      </c>
      <c r="AY80" s="106">
        <v>18877.72</v>
      </c>
      <c r="AZ80" s="106">
        <v>0</v>
      </c>
      <c r="BA80" s="106">
        <v>2065.64</v>
      </c>
      <c r="BB80" s="106">
        <v>112606.65</v>
      </c>
      <c r="BC80" s="106">
        <f t="shared" si="1030"/>
        <v>1497567.3499999999</v>
      </c>
      <c r="BD80" s="16" t="str">
        <f t="shared" si="871"/>
        <v>Demo Vehicle Repaire and Maintanence</v>
      </c>
      <c r="BE80" s="106">
        <f>+VLOOKUP($BD80,'Jan-25'!$A:$J,2,0)</f>
        <v>50334.85</v>
      </c>
      <c r="BF80" s="106">
        <f>+VLOOKUP($BD80,'Feb-25'!$A:$J,2,0)</f>
        <v>80630.94</v>
      </c>
      <c r="BG80" s="106">
        <f>+VLOOKUP($BD80,'Mar-25'!$A:$J,2,0)</f>
        <v>622051.06000000006</v>
      </c>
      <c r="BH80" s="106">
        <f>+VLOOKUP($BD80,'Apr-25'!$A:$J,2,0)</f>
        <v>52257.43</v>
      </c>
      <c r="BI80" s="106">
        <f>+VLOOKUP($BD80,'May-25'!$A:$J,2,0)</f>
        <v>112515.91</v>
      </c>
      <c r="BJ80" s="106">
        <f>+VLOOKUP($BD80,'June-25'!$A:$J,2,0)</f>
        <v>190049.45</v>
      </c>
      <c r="BK80" s="106">
        <f>+VLOOKUP($BD80,'July-25'!$A:$J,2,0)</f>
        <v>151749.70000000001</v>
      </c>
      <c r="BL80" s="106">
        <f>+VLOOKUP($BD80,'Aug-25'!$A:$J,2,0)</f>
        <v>91194.4</v>
      </c>
      <c r="BM80" s="106">
        <f>+VLOOKUP($BD80,'Sep-25'!$A:$J,2,0)</f>
        <v>153464.94000000003</v>
      </c>
      <c r="BN80" s="106">
        <f>+VLOOKUP($BD80,'Oct-25'!$A:$J,2,0)</f>
        <v>86308.08</v>
      </c>
      <c r="BO80" s="106">
        <f>+VLOOKUP($BD80,'Nov-25'!$A:$J,2,0)</f>
        <v>0</v>
      </c>
      <c r="BP80" s="106">
        <f>+VLOOKUP($BD80,'Dec-25'!$A:$J,2,0)</f>
        <v>0</v>
      </c>
      <c r="BQ80" s="106">
        <f t="shared" si="1031"/>
        <v>1590556.76</v>
      </c>
      <c r="BR80" s="118">
        <f t="shared" si="389"/>
        <v>-0.4605745</v>
      </c>
      <c r="BS80" s="106" cm="1">
        <f t="array" ref="BS80:CD80">+_xlfn.XLOOKUP(BD80,Budget!A:A,Budget!Q:AB)</f>
        <v>160000</v>
      </c>
      <c r="BT80" s="106">
        <v>150000</v>
      </c>
      <c r="BU80" s="106">
        <v>220000</v>
      </c>
      <c r="BV80" s="106">
        <v>150000</v>
      </c>
      <c r="BW80" s="106">
        <v>180000</v>
      </c>
      <c r="BX80" s="106">
        <v>150000</v>
      </c>
      <c r="BY80" s="106">
        <v>170000</v>
      </c>
      <c r="BZ80" s="106">
        <v>200000</v>
      </c>
      <c r="CA80" s="106">
        <v>170000</v>
      </c>
      <c r="CB80" s="106">
        <v>160000</v>
      </c>
      <c r="CC80" s="106">
        <v>140000</v>
      </c>
      <c r="CD80" s="106">
        <v>210000</v>
      </c>
      <c r="CE80" s="106">
        <f t="shared" si="1032"/>
        <v>2060000</v>
      </c>
      <c r="CF80" s="22"/>
      <c r="CG80" s="106">
        <v>7343.76</v>
      </c>
      <c r="CH80" s="106">
        <v>187685</v>
      </c>
      <c r="CI80" s="106">
        <v>176849.9</v>
      </c>
      <c r="CJ80" s="106">
        <v>0</v>
      </c>
      <c r="CK80" s="106">
        <v>208667.56</v>
      </c>
      <c r="CL80" s="106">
        <v>316468.27</v>
      </c>
      <c r="CM80" s="106">
        <v>183313.64</v>
      </c>
      <c r="CN80" s="106">
        <v>97472.49</v>
      </c>
      <c r="CO80" s="106">
        <v>218162.29</v>
      </c>
      <c r="CP80" s="106">
        <v>0</v>
      </c>
      <c r="CQ80" s="106">
        <v>164757.74</v>
      </c>
      <c r="CR80" s="106">
        <v>12666.9</v>
      </c>
      <c r="CS80" s="106">
        <f t="shared" si="1033"/>
        <v>1573387.5499999998</v>
      </c>
      <c r="CT80" s="16" t="str">
        <f t="shared" si="875"/>
        <v>Demo Vehicle Repaire and Maintanence</v>
      </c>
      <c r="CU80" s="106">
        <f>+VLOOKUP($BD80,'Jan-25'!$A:$J,6,0)</f>
        <v>78773.97</v>
      </c>
      <c r="CV80" s="106">
        <f>+VLOOKUP($BD80,'Feb-25'!$A:$J,6,0)</f>
        <v>85808.73</v>
      </c>
      <c r="CW80" s="106">
        <f>+VLOOKUP($BD80,'Mar-25'!$A:$J,6,0)</f>
        <v>29216.62</v>
      </c>
      <c r="CX80" s="106">
        <f>+VLOOKUP($BD80,'Apr-25'!$A:$J,6,0)</f>
        <v>67606.17</v>
      </c>
      <c r="CY80" s="106">
        <f>+VLOOKUP($BD80,'May-25'!$A:$J,6,0)</f>
        <v>123010.91</v>
      </c>
      <c r="CZ80" s="106">
        <f>+VLOOKUP($BD80,'June-25'!$A:$J,6,0)</f>
        <v>163124.31</v>
      </c>
      <c r="DA80" s="106">
        <f>+VLOOKUP($BD80,'July-25'!$A:$J,6,0)</f>
        <v>71621.23</v>
      </c>
      <c r="DB80" s="106">
        <f>+VLOOKUP($BD80,'Aug-25'!$A:$J,6,0)</f>
        <v>11489.96</v>
      </c>
      <c r="DC80" s="106">
        <f>+VLOOKUP($BD80,'Sep-25'!$A:$J,6,0)</f>
        <v>28776.95</v>
      </c>
      <c r="DD80" s="106">
        <f>+VLOOKUP($BD80,'Oct-25'!$A:$J,6,0)</f>
        <v>203918.81</v>
      </c>
      <c r="DE80" s="106">
        <f>+VLOOKUP($BD80,'Nov-25'!$A:$J,6,0)</f>
        <v>0</v>
      </c>
      <c r="DF80" s="106">
        <f>+VLOOKUP($BD80,'Dec-25'!$A:$J,6,0)</f>
        <v>0</v>
      </c>
      <c r="DG80" s="106">
        <f t="shared" si="1034"/>
        <v>863347.65999999992</v>
      </c>
      <c r="DH80" s="118">
        <f t="shared" si="390"/>
        <v>0.45656292857142855</v>
      </c>
      <c r="DI80" s="106">
        <f>+_xlfn.XLOOKUP($CT80,Budget!$A:$A,Budget!BQ:BQ)</f>
        <v>130000</v>
      </c>
      <c r="DJ80" s="106">
        <f>+_xlfn.XLOOKUP($CT80,Budget!$A:$A,Budget!BR:BR)</f>
        <v>140000</v>
      </c>
      <c r="DK80" s="106">
        <f>+_xlfn.XLOOKUP($CT80,Budget!$A:$A,Budget!BS:BS)</f>
        <v>150000</v>
      </c>
      <c r="DL80" s="106">
        <f>+_xlfn.XLOOKUP($CT80,Budget!$A:$A,Budget!BT:BT)</f>
        <v>150000</v>
      </c>
      <c r="DM80" s="106">
        <f>+_xlfn.XLOOKUP($CT80,Budget!$A:$A,Budget!BU:BU)</f>
        <v>140000</v>
      </c>
      <c r="DN80" s="106">
        <f>+_xlfn.XLOOKUP($CT80,Budget!$A:$A,Budget!BV:BV)</f>
        <v>130000</v>
      </c>
      <c r="DO80" s="106">
        <f>+_xlfn.XLOOKUP($CT80,Budget!$A:$A,Budget!BW:BW)</f>
        <v>120000</v>
      </c>
      <c r="DP80" s="106">
        <f>+_xlfn.XLOOKUP($CT80,Budget!$A:$A,Budget!BX:BX)</f>
        <v>140000</v>
      </c>
      <c r="DQ80" s="106">
        <f>+_xlfn.XLOOKUP($CT80,Budget!$A:$A,Budget!BY:BY)</f>
        <v>170000</v>
      </c>
      <c r="DR80" s="106">
        <f>+_xlfn.XLOOKUP($CT80,Budget!$A:$A,Budget!BZ:BZ)</f>
        <v>140000</v>
      </c>
      <c r="DS80" s="106">
        <f>+_xlfn.XLOOKUP($CT80,Budget!$A:$A,Budget!CA:CA)</f>
        <v>140000</v>
      </c>
      <c r="DT80" s="106">
        <f>+_xlfn.XLOOKUP($CT80,Budget!$A:$A,Budget!CB:CB)</f>
        <v>160000</v>
      </c>
      <c r="DU80" s="106">
        <f t="shared" si="1035"/>
        <v>1710000</v>
      </c>
    </row>
    <row r="81" spans="1:125" ht="14.45" hidden="1" customHeight="1" outlineLevel="2">
      <c r="A81" s="106">
        <f t="shared" si="994"/>
        <v>0</v>
      </c>
      <c r="B81" s="106">
        <f t="shared" si="995"/>
        <v>0</v>
      </c>
      <c r="C81" s="106">
        <f t="shared" si="996"/>
        <v>0</v>
      </c>
      <c r="D81" s="106">
        <f t="shared" si="997"/>
        <v>0</v>
      </c>
      <c r="E81" s="106">
        <f t="shared" si="998"/>
        <v>0</v>
      </c>
      <c r="F81" s="106">
        <f t="shared" si="999"/>
        <v>0</v>
      </c>
      <c r="G81" s="106">
        <f t="shared" si="1000"/>
        <v>0</v>
      </c>
      <c r="H81" s="106">
        <f t="shared" si="1001"/>
        <v>0</v>
      </c>
      <c r="I81" s="106">
        <f t="shared" si="1002"/>
        <v>0</v>
      </c>
      <c r="J81" s="106">
        <f t="shared" si="1003"/>
        <v>0</v>
      </c>
      <c r="K81" s="106">
        <f t="shared" si="1004"/>
        <v>0</v>
      </c>
      <c r="L81" s="106">
        <f t="shared" si="1005"/>
        <v>0</v>
      </c>
      <c r="M81" s="106">
        <f t="shared" si="1036"/>
        <v>0</v>
      </c>
      <c r="N81" s="16" t="s">
        <v>65</v>
      </c>
      <c r="O81" s="106">
        <f t="shared" si="1006"/>
        <v>0</v>
      </c>
      <c r="P81" s="106">
        <f t="shared" si="1007"/>
        <v>0</v>
      </c>
      <c r="Q81" s="106">
        <f t="shared" si="1008"/>
        <v>0</v>
      </c>
      <c r="R81" s="106">
        <f t="shared" si="1009"/>
        <v>0</v>
      </c>
      <c r="S81" s="106">
        <f t="shared" si="1010"/>
        <v>0</v>
      </c>
      <c r="T81" s="106">
        <f t="shared" si="1011"/>
        <v>0</v>
      </c>
      <c r="U81" s="106">
        <f t="shared" si="1012"/>
        <v>0</v>
      </c>
      <c r="V81" s="106">
        <f t="shared" si="1013"/>
        <v>0</v>
      </c>
      <c r="W81" s="106">
        <f t="shared" si="1014"/>
        <v>0</v>
      </c>
      <c r="X81" s="106">
        <f t="shared" si="1015"/>
        <v>0</v>
      </c>
      <c r="Y81" s="106">
        <f t="shared" si="1016"/>
        <v>0</v>
      </c>
      <c r="Z81" s="106">
        <f t="shared" si="1017"/>
        <v>0</v>
      </c>
      <c r="AA81" s="106">
        <f t="shared" si="1037"/>
        <v>0</v>
      </c>
      <c r="AB81" s="118">
        <f t="shared" si="374"/>
        <v>0</v>
      </c>
      <c r="AC81" s="106">
        <f t="shared" si="1018"/>
        <v>0</v>
      </c>
      <c r="AD81" s="106">
        <f t="shared" si="1019"/>
        <v>0</v>
      </c>
      <c r="AE81" s="106">
        <f t="shared" si="1020"/>
        <v>0</v>
      </c>
      <c r="AF81" s="106">
        <f t="shared" si="1021"/>
        <v>0</v>
      </c>
      <c r="AG81" s="106">
        <f t="shared" si="1022"/>
        <v>0</v>
      </c>
      <c r="AH81" s="106">
        <f t="shared" si="1023"/>
        <v>0</v>
      </c>
      <c r="AI81" s="106">
        <f t="shared" si="1024"/>
        <v>0</v>
      </c>
      <c r="AJ81" s="106">
        <f t="shared" si="1025"/>
        <v>0</v>
      </c>
      <c r="AK81" s="106">
        <f t="shared" si="1026"/>
        <v>0</v>
      </c>
      <c r="AL81" s="106">
        <f t="shared" si="1027"/>
        <v>0</v>
      </c>
      <c r="AM81" s="106">
        <f t="shared" si="1028"/>
        <v>0</v>
      </c>
      <c r="AN81" s="106">
        <f t="shared" si="1029"/>
        <v>0</v>
      </c>
      <c r="AO81" s="106">
        <f t="shared" si="1038"/>
        <v>0</v>
      </c>
      <c r="AQ81" s="106">
        <v>0</v>
      </c>
      <c r="AR81" s="106">
        <v>0</v>
      </c>
      <c r="AS81" s="106">
        <v>0</v>
      </c>
      <c r="AT81" s="106">
        <v>0</v>
      </c>
      <c r="AU81" s="106">
        <v>0</v>
      </c>
      <c r="AV81" s="106">
        <v>0</v>
      </c>
      <c r="AW81" s="106">
        <v>0</v>
      </c>
      <c r="AX81" s="106">
        <v>0</v>
      </c>
      <c r="AY81" s="106">
        <v>0</v>
      </c>
      <c r="AZ81" s="106">
        <v>0</v>
      </c>
      <c r="BA81" s="106">
        <v>0</v>
      </c>
      <c r="BB81" s="106">
        <v>0</v>
      </c>
      <c r="BC81" s="106">
        <f t="shared" si="1030"/>
        <v>0</v>
      </c>
      <c r="BD81" s="16" t="str">
        <f t="shared" si="871"/>
        <v>Discount Customer Service</v>
      </c>
      <c r="BE81" s="106">
        <f>+VLOOKUP($BD81,'Jan-25'!$A:$J,2,0)</f>
        <v>0</v>
      </c>
      <c r="BF81" s="106">
        <f>+VLOOKUP($BD81,'Feb-25'!$A:$J,2,0)</f>
        <v>0</v>
      </c>
      <c r="BG81" s="106">
        <f>+VLOOKUP($BD81,'Mar-25'!$A:$J,2,0)</f>
        <v>0</v>
      </c>
      <c r="BH81" s="106">
        <f>+VLOOKUP($BD81,'Apr-25'!$A:$J,2,0)</f>
        <v>0</v>
      </c>
      <c r="BI81" s="106">
        <f>+VLOOKUP($BD81,'May-25'!$A:$J,2,0)</f>
        <v>0</v>
      </c>
      <c r="BJ81" s="106">
        <f>+VLOOKUP($BD81,'June-25'!$A:$J,2,0)</f>
        <v>0</v>
      </c>
      <c r="BK81" s="106">
        <f>+VLOOKUP($BD81,'July-25'!$A:$J,2,0)</f>
        <v>0</v>
      </c>
      <c r="BL81" s="106">
        <f>+VLOOKUP($BD81,'Aug-25'!$A:$J,2,0)</f>
        <v>0</v>
      </c>
      <c r="BM81" s="106">
        <f>+VLOOKUP($BD81,'Sep-25'!$A:$J,2,0)</f>
        <v>0</v>
      </c>
      <c r="BN81" s="106">
        <f>+VLOOKUP($BD81,'Oct-25'!$A:$J,2,0)</f>
        <v>0</v>
      </c>
      <c r="BO81" s="106">
        <f>+VLOOKUP($BD81,'Nov-25'!$A:$J,2,0)</f>
        <v>0</v>
      </c>
      <c r="BP81" s="106">
        <f>+VLOOKUP($BD81,'Dec-25'!$A:$J,2,0)</f>
        <v>0</v>
      </c>
      <c r="BQ81" s="106">
        <f t="shared" si="1031"/>
        <v>0</v>
      </c>
      <c r="BR81" s="118">
        <f t="shared" si="389"/>
        <v>0</v>
      </c>
      <c r="BS81" s="106" cm="1">
        <f t="array" ref="BS81:CD81">+_xlfn.XLOOKUP(BD81,Budget!A:A,Budget!Q:AB)</f>
        <v>0</v>
      </c>
      <c r="BT81" s="106">
        <v>0</v>
      </c>
      <c r="BU81" s="106">
        <v>0</v>
      </c>
      <c r="BV81" s="106">
        <v>0</v>
      </c>
      <c r="BW81" s="106">
        <v>0</v>
      </c>
      <c r="BX81" s="106">
        <v>0</v>
      </c>
      <c r="BY81" s="106">
        <v>0</v>
      </c>
      <c r="BZ81" s="106">
        <v>0</v>
      </c>
      <c r="CA81" s="106">
        <v>0</v>
      </c>
      <c r="CB81" s="106">
        <v>0</v>
      </c>
      <c r="CC81" s="106">
        <v>0</v>
      </c>
      <c r="CD81" s="106">
        <v>0</v>
      </c>
      <c r="CE81" s="106">
        <f t="shared" si="1032"/>
        <v>0</v>
      </c>
      <c r="CF81" s="22"/>
      <c r="CG81" s="106">
        <v>0</v>
      </c>
      <c r="CH81" s="106">
        <v>0</v>
      </c>
      <c r="CI81" s="106">
        <v>0</v>
      </c>
      <c r="CJ81" s="106">
        <v>0</v>
      </c>
      <c r="CK81" s="106">
        <v>0</v>
      </c>
      <c r="CL81" s="106">
        <v>0</v>
      </c>
      <c r="CM81" s="106">
        <v>0</v>
      </c>
      <c r="CN81" s="106">
        <v>0</v>
      </c>
      <c r="CO81" s="106">
        <v>0</v>
      </c>
      <c r="CP81" s="106">
        <v>0</v>
      </c>
      <c r="CQ81" s="106">
        <v>0</v>
      </c>
      <c r="CR81" s="106">
        <v>0</v>
      </c>
      <c r="CS81" s="106">
        <f t="shared" si="1033"/>
        <v>0</v>
      </c>
      <c r="CT81" s="16" t="str">
        <f t="shared" si="875"/>
        <v>Discount Customer Service</v>
      </c>
      <c r="CU81" s="106">
        <f>+VLOOKUP($BD81,'Jan-25'!$A:$J,6,0)</f>
        <v>0</v>
      </c>
      <c r="CV81" s="106">
        <f>+VLOOKUP($BD81,'Feb-25'!$A:$J,6,0)</f>
        <v>0</v>
      </c>
      <c r="CW81" s="106">
        <f>+VLOOKUP($BD81,'Mar-25'!$A:$J,6,0)</f>
        <v>0</v>
      </c>
      <c r="CX81" s="106">
        <f>+VLOOKUP($BD81,'Apr-25'!$A:$J,6,0)</f>
        <v>0</v>
      </c>
      <c r="CY81" s="106">
        <f>+VLOOKUP($BD81,'May-25'!$A:$J,6,0)</f>
        <v>0</v>
      </c>
      <c r="CZ81" s="106">
        <f>+VLOOKUP($BD81,'June-25'!$A:$J,6,0)</f>
        <v>0</v>
      </c>
      <c r="DA81" s="106">
        <f>+VLOOKUP($BD81,'July-25'!$A:$J,6,0)</f>
        <v>0</v>
      </c>
      <c r="DB81" s="106">
        <f>+VLOOKUP($BD81,'Aug-25'!$A:$J,6,0)</f>
        <v>0</v>
      </c>
      <c r="DC81" s="106">
        <f>+VLOOKUP($BD81,'Sep-25'!$A:$J,6,0)</f>
        <v>0</v>
      </c>
      <c r="DD81" s="106">
        <f>+VLOOKUP($BD81,'Oct-25'!$A:$J,6,0)</f>
        <v>0</v>
      </c>
      <c r="DE81" s="106">
        <f>+VLOOKUP($BD81,'Nov-25'!$A:$J,6,0)</f>
        <v>0</v>
      </c>
      <c r="DF81" s="106">
        <f>+VLOOKUP($BD81,'Dec-25'!$A:$J,6,0)</f>
        <v>0</v>
      </c>
      <c r="DG81" s="106">
        <f t="shared" si="1034"/>
        <v>0</v>
      </c>
      <c r="DH81" s="118">
        <f t="shared" si="390"/>
        <v>0</v>
      </c>
      <c r="DI81" s="106">
        <f>+_xlfn.XLOOKUP($CT81,Budget!$A:$A,Budget!BQ:BQ)</f>
        <v>0</v>
      </c>
      <c r="DJ81" s="106">
        <f>+_xlfn.XLOOKUP($CT81,Budget!$A:$A,Budget!BR:BR)</f>
        <v>0</v>
      </c>
      <c r="DK81" s="106">
        <f>+_xlfn.XLOOKUP($CT81,Budget!$A:$A,Budget!BS:BS)</f>
        <v>0</v>
      </c>
      <c r="DL81" s="106">
        <f>+_xlfn.XLOOKUP($CT81,Budget!$A:$A,Budget!BT:BT)</f>
        <v>0</v>
      </c>
      <c r="DM81" s="106">
        <f>+_xlfn.XLOOKUP($CT81,Budget!$A:$A,Budget!BU:BU)</f>
        <v>0</v>
      </c>
      <c r="DN81" s="106">
        <f>+_xlfn.XLOOKUP($CT81,Budget!$A:$A,Budget!BV:BV)</f>
        <v>0</v>
      </c>
      <c r="DO81" s="106">
        <f>+_xlfn.XLOOKUP($CT81,Budget!$A:$A,Budget!BW:BW)</f>
        <v>0</v>
      </c>
      <c r="DP81" s="106">
        <f>+_xlfn.XLOOKUP($CT81,Budget!$A:$A,Budget!BX:BX)</f>
        <v>0</v>
      </c>
      <c r="DQ81" s="106">
        <f>+_xlfn.XLOOKUP($CT81,Budget!$A:$A,Budget!BY:BY)</f>
        <v>0</v>
      </c>
      <c r="DR81" s="106">
        <f>+_xlfn.XLOOKUP($CT81,Budget!$A:$A,Budget!BZ:BZ)</f>
        <v>0</v>
      </c>
      <c r="DS81" s="106">
        <f>+_xlfn.XLOOKUP($CT81,Budget!$A:$A,Budget!CA:CA)</f>
        <v>0</v>
      </c>
      <c r="DT81" s="106">
        <f>+_xlfn.XLOOKUP($CT81,Budget!$A:$A,Budget!CB:CB)</f>
        <v>0</v>
      </c>
      <c r="DU81" s="106">
        <f t="shared" si="1035"/>
        <v>0</v>
      </c>
    </row>
    <row r="82" spans="1:125" ht="14.45" hidden="1" customHeight="1" outlineLevel="2">
      <c r="A82" s="106">
        <f t="shared" si="994"/>
        <v>0</v>
      </c>
      <c r="B82" s="106">
        <f t="shared" si="995"/>
        <v>0</v>
      </c>
      <c r="C82" s="106">
        <f t="shared" si="996"/>
        <v>0</v>
      </c>
      <c r="D82" s="106">
        <f t="shared" si="997"/>
        <v>0</v>
      </c>
      <c r="E82" s="106">
        <f t="shared" si="998"/>
        <v>0</v>
      </c>
      <c r="F82" s="106">
        <f t="shared" si="999"/>
        <v>0</v>
      </c>
      <c r="G82" s="106">
        <f t="shared" si="1000"/>
        <v>0</v>
      </c>
      <c r="H82" s="106">
        <f t="shared" si="1001"/>
        <v>0</v>
      </c>
      <c r="I82" s="106">
        <f t="shared" si="1002"/>
        <v>0</v>
      </c>
      <c r="J82" s="106">
        <f t="shared" si="1003"/>
        <v>0</v>
      </c>
      <c r="K82" s="106">
        <f t="shared" si="1004"/>
        <v>0</v>
      </c>
      <c r="L82" s="106">
        <f t="shared" si="1005"/>
        <v>0</v>
      </c>
      <c r="M82" s="106">
        <f t="shared" si="1036"/>
        <v>0</v>
      </c>
      <c r="N82" s="16" t="s">
        <v>66</v>
      </c>
      <c r="O82" s="106">
        <f t="shared" si="1006"/>
        <v>4675</v>
      </c>
      <c r="P82" s="106">
        <f t="shared" si="1007"/>
        <v>0</v>
      </c>
      <c r="Q82" s="106">
        <f t="shared" si="1008"/>
        <v>0</v>
      </c>
      <c r="R82" s="106">
        <f t="shared" si="1009"/>
        <v>0</v>
      </c>
      <c r="S82" s="106">
        <f t="shared" si="1010"/>
        <v>0</v>
      </c>
      <c r="T82" s="106">
        <f t="shared" si="1011"/>
        <v>0</v>
      </c>
      <c r="U82" s="106">
        <f t="shared" si="1012"/>
        <v>0</v>
      </c>
      <c r="V82" s="106">
        <f t="shared" si="1013"/>
        <v>0</v>
      </c>
      <c r="W82" s="106">
        <f t="shared" si="1014"/>
        <v>0</v>
      </c>
      <c r="X82" s="106">
        <f t="shared" si="1015"/>
        <v>0</v>
      </c>
      <c r="Y82" s="106">
        <f t="shared" si="1016"/>
        <v>0</v>
      </c>
      <c r="Z82" s="106">
        <f t="shared" si="1017"/>
        <v>0</v>
      </c>
      <c r="AA82" s="106">
        <f t="shared" si="1037"/>
        <v>4675</v>
      </c>
      <c r="AB82" s="118">
        <f t="shared" si="374"/>
        <v>0</v>
      </c>
      <c r="AC82" s="106">
        <f t="shared" si="1018"/>
        <v>0</v>
      </c>
      <c r="AD82" s="106">
        <f t="shared" si="1019"/>
        <v>0</v>
      </c>
      <c r="AE82" s="106">
        <f t="shared" si="1020"/>
        <v>0</v>
      </c>
      <c r="AF82" s="106">
        <f t="shared" si="1021"/>
        <v>0</v>
      </c>
      <c r="AG82" s="106">
        <f t="shared" si="1022"/>
        <v>0</v>
      </c>
      <c r="AH82" s="106">
        <f t="shared" si="1023"/>
        <v>0</v>
      </c>
      <c r="AI82" s="106">
        <f t="shared" si="1024"/>
        <v>0</v>
      </c>
      <c r="AJ82" s="106">
        <f t="shared" si="1025"/>
        <v>0</v>
      </c>
      <c r="AK82" s="106">
        <f t="shared" si="1026"/>
        <v>0</v>
      </c>
      <c r="AL82" s="106">
        <f t="shared" si="1027"/>
        <v>0</v>
      </c>
      <c r="AM82" s="106">
        <f t="shared" si="1028"/>
        <v>0</v>
      </c>
      <c r="AN82" s="106">
        <f t="shared" si="1029"/>
        <v>0</v>
      </c>
      <c r="AO82" s="106">
        <f t="shared" si="1038"/>
        <v>0</v>
      </c>
      <c r="AQ82" s="106">
        <v>0</v>
      </c>
      <c r="AR82" s="106">
        <v>0</v>
      </c>
      <c r="AS82" s="106">
        <v>0</v>
      </c>
      <c r="AT82" s="106">
        <v>0</v>
      </c>
      <c r="AU82" s="106">
        <v>0</v>
      </c>
      <c r="AV82" s="106">
        <v>0</v>
      </c>
      <c r="AW82" s="106">
        <v>0</v>
      </c>
      <c r="AX82" s="106">
        <v>0</v>
      </c>
      <c r="AY82" s="106">
        <v>0</v>
      </c>
      <c r="AZ82" s="106">
        <v>0</v>
      </c>
      <c r="BA82" s="106">
        <v>0</v>
      </c>
      <c r="BB82" s="106">
        <v>0</v>
      </c>
      <c r="BC82" s="106">
        <f t="shared" si="1030"/>
        <v>0</v>
      </c>
      <c r="BD82" s="16" t="str">
        <f t="shared" si="871"/>
        <v>Discount Insurance</v>
      </c>
      <c r="BE82" s="106">
        <f>+VLOOKUP($BD82,'Jan-25'!$A:$J,2,0)</f>
        <v>3400</v>
      </c>
      <c r="BF82" s="106">
        <f>+VLOOKUP($BD82,'Feb-25'!$A:$J,2,0)</f>
        <v>0</v>
      </c>
      <c r="BG82" s="106">
        <f>+VLOOKUP($BD82,'Mar-25'!$A:$J,2,0)</f>
        <v>0</v>
      </c>
      <c r="BH82" s="106">
        <f>+VLOOKUP($BD82,'Apr-25'!$A:$J,2,0)</f>
        <v>0</v>
      </c>
      <c r="BI82" s="106">
        <f>+VLOOKUP($BD82,'May-25'!$A:$J,2,0)</f>
        <v>0</v>
      </c>
      <c r="BJ82" s="106">
        <f>+VLOOKUP($BD82,'June-25'!$A:$J,2,0)</f>
        <v>0</v>
      </c>
      <c r="BK82" s="106">
        <f>+VLOOKUP($BD82,'July-25'!$A:$J,2,0)</f>
        <v>0</v>
      </c>
      <c r="BL82" s="106">
        <f>+VLOOKUP($BD82,'Aug-25'!$A:$J,2,0)</f>
        <v>0</v>
      </c>
      <c r="BM82" s="106">
        <f>+VLOOKUP($BD82,'Sep-25'!$A:$J,2,0)</f>
        <v>0</v>
      </c>
      <c r="BN82" s="106">
        <f>+VLOOKUP($BD82,'Oct-25'!$A:$J,2,0)</f>
        <v>0</v>
      </c>
      <c r="BO82" s="106">
        <f>+VLOOKUP($BD82,'Nov-25'!$A:$J,2,0)</f>
        <v>0</v>
      </c>
      <c r="BP82" s="106">
        <f>+VLOOKUP($BD82,'Dec-25'!$A:$J,2,0)</f>
        <v>0</v>
      </c>
      <c r="BQ82" s="106">
        <f t="shared" si="1031"/>
        <v>3400</v>
      </c>
      <c r="BR82" s="118">
        <f t="shared" si="389"/>
        <v>0</v>
      </c>
      <c r="BS82" s="106" cm="1">
        <f t="array" ref="BS82:CD82">+_xlfn.XLOOKUP(BD82,Budget!A:A,Budget!Q:AB)</f>
        <v>0</v>
      </c>
      <c r="BT82" s="106">
        <v>0</v>
      </c>
      <c r="BU82" s="106">
        <v>0</v>
      </c>
      <c r="BV82" s="106">
        <v>0</v>
      </c>
      <c r="BW82" s="106">
        <v>0</v>
      </c>
      <c r="BX82" s="106">
        <v>0</v>
      </c>
      <c r="BY82" s="106">
        <v>0</v>
      </c>
      <c r="BZ82" s="106">
        <v>0</v>
      </c>
      <c r="CA82" s="106">
        <v>0</v>
      </c>
      <c r="CB82" s="106">
        <v>0</v>
      </c>
      <c r="CC82" s="106">
        <v>0</v>
      </c>
      <c r="CD82" s="106">
        <v>0</v>
      </c>
      <c r="CE82" s="106">
        <f t="shared" si="1032"/>
        <v>0</v>
      </c>
      <c r="CF82" s="22"/>
      <c r="CG82" s="106">
        <v>0</v>
      </c>
      <c r="CH82" s="106">
        <v>0</v>
      </c>
      <c r="CI82" s="106">
        <v>0</v>
      </c>
      <c r="CJ82" s="106">
        <v>0</v>
      </c>
      <c r="CK82" s="106">
        <v>0</v>
      </c>
      <c r="CL82" s="106">
        <v>0</v>
      </c>
      <c r="CM82" s="106">
        <v>0</v>
      </c>
      <c r="CN82" s="106">
        <v>0</v>
      </c>
      <c r="CO82" s="106">
        <v>0</v>
      </c>
      <c r="CP82" s="106">
        <v>0</v>
      </c>
      <c r="CQ82" s="106">
        <v>0</v>
      </c>
      <c r="CR82" s="106">
        <v>0</v>
      </c>
      <c r="CS82" s="106">
        <f t="shared" si="1033"/>
        <v>0</v>
      </c>
      <c r="CT82" s="16" t="str">
        <f t="shared" si="875"/>
        <v>Discount Insurance</v>
      </c>
      <c r="CU82" s="106">
        <f>+VLOOKUP($BD82,'Jan-25'!$A:$J,6,0)</f>
        <v>1275</v>
      </c>
      <c r="CV82" s="106">
        <f>+VLOOKUP($BD82,'Feb-25'!$A:$J,6,0)</f>
        <v>0</v>
      </c>
      <c r="CW82" s="106">
        <f>+VLOOKUP($BD82,'Mar-25'!$A:$J,6,0)</f>
        <v>0</v>
      </c>
      <c r="CX82" s="106">
        <f>+VLOOKUP($BD82,'Apr-25'!$A:$J,6,0)</f>
        <v>0</v>
      </c>
      <c r="CY82" s="106">
        <f>+VLOOKUP($BD82,'May-25'!$A:$J,6,0)</f>
        <v>0</v>
      </c>
      <c r="CZ82" s="106">
        <f>+VLOOKUP($BD82,'June-25'!$A:$J,6,0)</f>
        <v>0</v>
      </c>
      <c r="DA82" s="106">
        <f>+VLOOKUP($BD82,'July-25'!$A:$J,6,0)</f>
        <v>0</v>
      </c>
      <c r="DB82" s="106">
        <f>+VLOOKUP($BD82,'Aug-25'!$A:$J,6,0)</f>
        <v>0</v>
      </c>
      <c r="DC82" s="106">
        <f>+VLOOKUP($BD82,'Sep-25'!$A:$J,6,0)</f>
        <v>0</v>
      </c>
      <c r="DD82" s="106">
        <f>+VLOOKUP($BD82,'Oct-25'!$A:$J,6,0)</f>
        <v>0</v>
      </c>
      <c r="DE82" s="106">
        <f>+VLOOKUP($BD82,'Nov-25'!$A:$J,6,0)</f>
        <v>0</v>
      </c>
      <c r="DF82" s="106">
        <f>+VLOOKUP($BD82,'Dec-25'!$A:$J,6,0)</f>
        <v>0</v>
      </c>
      <c r="DG82" s="106">
        <f t="shared" si="1034"/>
        <v>1275</v>
      </c>
      <c r="DH82" s="118">
        <f t="shared" si="390"/>
        <v>0</v>
      </c>
      <c r="DI82" s="106">
        <f>+_xlfn.XLOOKUP($CT82,Budget!$A:$A,Budget!BQ:BQ)</f>
        <v>0</v>
      </c>
      <c r="DJ82" s="106">
        <f>+_xlfn.XLOOKUP($CT82,Budget!$A:$A,Budget!BR:BR)</f>
        <v>0</v>
      </c>
      <c r="DK82" s="106">
        <f>+_xlfn.XLOOKUP($CT82,Budget!$A:$A,Budget!BS:BS)</f>
        <v>0</v>
      </c>
      <c r="DL82" s="106">
        <f>+_xlfn.XLOOKUP($CT82,Budget!$A:$A,Budget!BT:BT)</f>
        <v>0</v>
      </c>
      <c r="DM82" s="106">
        <f>+_xlfn.XLOOKUP($CT82,Budget!$A:$A,Budget!BU:BU)</f>
        <v>0</v>
      </c>
      <c r="DN82" s="106">
        <f>+_xlfn.XLOOKUP($CT82,Budget!$A:$A,Budget!BV:BV)</f>
        <v>0</v>
      </c>
      <c r="DO82" s="106">
        <f>+_xlfn.XLOOKUP($CT82,Budget!$A:$A,Budget!BW:BW)</f>
        <v>0</v>
      </c>
      <c r="DP82" s="106">
        <f>+_xlfn.XLOOKUP($CT82,Budget!$A:$A,Budget!BX:BX)</f>
        <v>0</v>
      </c>
      <c r="DQ82" s="106">
        <f>+_xlfn.XLOOKUP($CT82,Budget!$A:$A,Budget!BY:BY)</f>
        <v>0</v>
      </c>
      <c r="DR82" s="106">
        <f>+_xlfn.XLOOKUP($CT82,Budget!$A:$A,Budget!BZ:BZ)</f>
        <v>0</v>
      </c>
      <c r="DS82" s="106">
        <f>+_xlfn.XLOOKUP($CT82,Budget!$A:$A,Budget!CA:CA)</f>
        <v>0</v>
      </c>
      <c r="DT82" s="106">
        <f>+_xlfn.XLOOKUP($CT82,Budget!$A:$A,Budget!CB:CB)</f>
        <v>0</v>
      </c>
      <c r="DU82" s="106">
        <f t="shared" si="1035"/>
        <v>0</v>
      </c>
    </row>
    <row r="83" spans="1:125" ht="14.45" hidden="1" customHeight="1" outlineLevel="2">
      <c r="A83" s="106">
        <f t="shared" si="994"/>
        <v>0</v>
      </c>
      <c r="B83" s="106">
        <f t="shared" si="995"/>
        <v>0</v>
      </c>
      <c r="C83" s="106">
        <f t="shared" si="996"/>
        <v>0</v>
      </c>
      <c r="D83" s="106">
        <f t="shared" si="997"/>
        <v>0</v>
      </c>
      <c r="E83" s="106">
        <f t="shared" si="998"/>
        <v>0</v>
      </c>
      <c r="F83" s="106">
        <f t="shared" si="999"/>
        <v>0</v>
      </c>
      <c r="G83" s="106">
        <f t="shared" si="1000"/>
        <v>0</v>
      </c>
      <c r="H83" s="106">
        <f t="shared" si="1001"/>
        <v>0</v>
      </c>
      <c r="I83" s="106">
        <f t="shared" si="1002"/>
        <v>0</v>
      </c>
      <c r="J83" s="106">
        <f t="shared" si="1003"/>
        <v>0</v>
      </c>
      <c r="K83" s="106">
        <f t="shared" si="1004"/>
        <v>0</v>
      </c>
      <c r="L83" s="106">
        <f t="shared" si="1005"/>
        <v>0</v>
      </c>
      <c r="M83" s="106">
        <f t="shared" si="1036"/>
        <v>0</v>
      </c>
      <c r="N83" s="16" t="s">
        <v>67</v>
      </c>
      <c r="O83" s="106">
        <f t="shared" si="1006"/>
        <v>0</v>
      </c>
      <c r="P83" s="106">
        <f t="shared" si="1007"/>
        <v>0</v>
      </c>
      <c r="Q83" s="106">
        <f t="shared" si="1008"/>
        <v>0</v>
      </c>
      <c r="R83" s="106">
        <f t="shared" si="1009"/>
        <v>0</v>
      </c>
      <c r="S83" s="106">
        <f t="shared" si="1010"/>
        <v>50000</v>
      </c>
      <c r="T83" s="106">
        <f t="shared" si="1011"/>
        <v>0</v>
      </c>
      <c r="U83" s="106">
        <f t="shared" si="1012"/>
        <v>0</v>
      </c>
      <c r="V83" s="106">
        <f t="shared" si="1013"/>
        <v>0</v>
      </c>
      <c r="W83" s="106">
        <f t="shared" si="1014"/>
        <v>0</v>
      </c>
      <c r="X83" s="106">
        <f t="shared" si="1015"/>
        <v>0</v>
      </c>
      <c r="Y83" s="106">
        <f t="shared" si="1016"/>
        <v>0</v>
      </c>
      <c r="Z83" s="106">
        <f t="shared" si="1017"/>
        <v>0</v>
      </c>
      <c r="AA83" s="106">
        <f t="shared" si="1037"/>
        <v>50000</v>
      </c>
      <c r="AB83" s="118">
        <f t="shared" si="374"/>
        <v>0</v>
      </c>
      <c r="AC83" s="106">
        <f t="shared" si="1018"/>
        <v>0</v>
      </c>
      <c r="AD83" s="106">
        <f t="shared" si="1019"/>
        <v>0</v>
      </c>
      <c r="AE83" s="106">
        <f t="shared" si="1020"/>
        <v>0</v>
      </c>
      <c r="AF83" s="106">
        <f t="shared" si="1021"/>
        <v>0</v>
      </c>
      <c r="AG83" s="106">
        <f t="shared" si="1022"/>
        <v>0</v>
      </c>
      <c r="AH83" s="106">
        <f t="shared" si="1023"/>
        <v>0</v>
      </c>
      <c r="AI83" s="106">
        <f t="shared" si="1024"/>
        <v>0</v>
      </c>
      <c r="AJ83" s="106">
        <f t="shared" si="1025"/>
        <v>0</v>
      </c>
      <c r="AK83" s="106">
        <f t="shared" si="1026"/>
        <v>0</v>
      </c>
      <c r="AL83" s="106">
        <f t="shared" si="1027"/>
        <v>0</v>
      </c>
      <c r="AM83" s="106">
        <f t="shared" si="1028"/>
        <v>0</v>
      </c>
      <c r="AN83" s="106">
        <f t="shared" si="1029"/>
        <v>0</v>
      </c>
      <c r="AO83" s="106">
        <f t="shared" si="1038"/>
        <v>0</v>
      </c>
      <c r="AQ83" s="106">
        <v>0</v>
      </c>
      <c r="AR83" s="106">
        <v>0</v>
      </c>
      <c r="AS83" s="106">
        <v>0</v>
      </c>
      <c r="AT83" s="106">
        <v>0</v>
      </c>
      <c r="AU83" s="106">
        <v>0</v>
      </c>
      <c r="AV83" s="106">
        <v>0</v>
      </c>
      <c r="AW83" s="106">
        <v>0</v>
      </c>
      <c r="AX83" s="106">
        <v>0</v>
      </c>
      <c r="AY83" s="106">
        <v>0</v>
      </c>
      <c r="AZ83" s="106">
        <v>0</v>
      </c>
      <c r="BA83" s="106">
        <v>0</v>
      </c>
      <c r="BB83" s="106">
        <v>0</v>
      </c>
      <c r="BC83" s="106">
        <f t="shared" si="1030"/>
        <v>0</v>
      </c>
      <c r="BD83" s="16" t="str">
        <f t="shared" si="871"/>
        <v>Discount New Car</v>
      </c>
      <c r="BE83" s="106">
        <f>+VLOOKUP($BD83,'Jan-25'!$A:$J,2,0)</f>
        <v>0</v>
      </c>
      <c r="BF83" s="106">
        <f>+VLOOKUP($BD83,'Feb-25'!$A:$J,2,0)</f>
        <v>0</v>
      </c>
      <c r="BG83" s="106">
        <f>+VLOOKUP($BD83,'Mar-25'!$A:$J,2,0)</f>
        <v>0</v>
      </c>
      <c r="BH83" s="106">
        <f>+VLOOKUP($BD83,'Apr-25'!$A:$J,2,0)</f>
        <v>0</v>
      </c>
      <c r="BI83" s="106">
        <f>+VLOOKUP($BD83,'May-25'!$A:$J,2,0)</f>
        <v>50000</v>
      </c>
      <c r="BJ83" s="106">
        <f>+VLOOKUP($BD83,'June-25'!$A:$J,2,0)</f>
        <v>0</v>
      </c>
      <c r="BK83" s="106">
        <f>+VLOOKUP($BD83,'July-25'!$A:$J,2,0)</f>
        <v>0</v>
      </c>
      <c r="BL83" s="106">
        <f>+VLOOKUP($BD83,'Aug-25'!$A:$J,2,0)</f>
        <v>0</v>
      </c>
      <c r="BM83" s="106">
        <f>+VLOOKUP($BD83,'Sep-25'!$A:$J,2,0)</f>
        <v>0</v>
      </c>
      <c r="BN83" s="106">
        <f>+VLOOKUP($BD83,'Oct-25'!$A:$J,2,0)</f>
        <v>0</v>
      </c>
      <c r="BO83" s="106">
        <f>+VLOOKUP($BD83,'Nov-25'!$A:$J,2,0)</f>
        <v>0</v>
      </c>
      <c r="BP83" s="106">
        <f>+VLOOKUP($BD83,'Dec-25'!$A:$J,2,0)</f>
        <v>0</v>
      </c>
      <c r="BQ83" s="106">
        <f t="shared" si="1031"/>
        <v>50000</v>
      </c>
      <c r="BR83" s="118">
        <f t="shared" si="389"/>
        <v>0</v>
      </c>
      <c r="BS83" s="106" cm="1">
        <f t="array" ref="BS83:CD83">+_xlfn.XLOOKUP(BD83,Budget!A:A,Budget!Q:AB)</f>
        <v>0</v>
      </c>
      <c r="BT83" s="106">
        <v>0</v>
      </c>
      <c r="BU83" s="106">
        <v>0</v>
      </c>
      <c r="BV83" s="106">
        <v>0</v>
      </c>
      <c r="BW83" s="106">
        <v>0</v>
      </c>
      <c r="BX83" s="106">
        <v>0</v>
      </c>
      <c r="BY83" s="106">
        <v>0</v>
      </c>
      <c r="BZ83" s="106">
        <v>0</v>
      </c>
      <c r="CA83" s="106">
        <v>0</v>
      </c>
      <c r="CB83" s="106">
        <v>0</v>
      </c>
      <c r="CC83" s="106">
        <v>0</v>
      </c>
      <c r="CD83" s="106">
        <v>0</v>
      </c>
      <c r="CE83" s="106">
        <f t="shared" si="1032"/>
        <v>0</v>
      </c>
      <c r="CF83" s="22"/>
      <c r="CG83" s="106">
        <v>0</v>
      </c>
      <c r="CH83" s="106">
        <v>0</v>
      </c>
      <c r="CI83" s="106">
        <v>0</v>
      </c>
      <c r="CJ83" s="106">
        <v>0</v>
      </c>
      <c r="CK83" s="106">
        <v>0</v>
      </c>
      <c r="CL83" s="106">
        <v>0</v>
      </c>
      <c r="CM83" s="106">
        <v>0</v>
      </c>
      <c r="CN83" s="106">
        <v>0</v>
      </c>
      <c r="CO83" s="106">
        <v>0</v>
      </c>
      <c r="CP83" s="106">
        <v>0</v>
      </c>
      <c r="CQ83" s="106">
        <v>0</v>
      </c>
      <c r="CR83" s="106">
        <v>0</v>
      </c>
      <c r="CS83" s="106">
        <f t="shared" si="1033"/>
        <v>0</v>
      </c>
      <c r="CT83" s="16" t="str">
        <f t="shared" si="875"/>
        <v>Discount New Car</v>
      </c>
      <c r="CU83" s="106">
        <f>+VLOOKUP($BD83,'Jan-25'!$A:$J,6,0)</f>
        <v>0</v>
      </c>
      <c r="CV83" s="106">
        <f>+VLOOKUP($BD83,'Feb-25'!$A:$J,6,0)</f>
        <v>0</v>
      </c>
      <c r="CW83" s="106">
        <f>+VLOOKUP($BD83,'Mar-25'!$A:$J,6,0)</f>
        <v>0</v>
      </c>
      <c r="CX83" s="106">
        <f>+VLOOKUP($BD83,'Apr-25'!$A:$J,6,0)</f>
        <v>0</v>
      </c>
      <c r="CY83" s="106">
        <f>+VLOOKUP($BD83,'May-25'!$A:$J,6,0)</f>
        <v>0</v>
      </c>
      <c r="CZ83" s="106">
        <f>+VLOOKUP($BD83,'June-25'!$A:$J,6,0)</f>
        <v>0</v>
      </c>
      <c r="DA83" s="106">
        <f>+VLOOKUP($BD83,'July-25'!$A:$J,6,0)</f>
        <v>0</v>
      </c>
      <c r="DB83" s="106">
        <f>+VLOOKUP($BD83,'Aug-25'!$A:$J,6,0)</f>
        <v>0</v>
      </c>
      <c r="DC83" s="106">
        <f>+VLOOKUP($BD83,'Sep-25'!$A:$J,6,0)</f>
        <v>0</v>
      </c>
      <c r="DD83" s="106">
        <f>+VLOOKUP($BD83,'Oct-25'!$A:$J,6,0)</f>
        <v>0</v>
      </c>
      <c r="DE83" s="106">
        <f>+VLOOKUP($BD83,'Nov-25'!$A:$J,6,0)</f>
        <v>0</v>
      </c>
      <c r="DF83" s="106">
        <f>+VLOOKUP($BD83,'Dec-25'!$A:$J,6,0)</f>
        <v>0</v>
      </c>
      <c r="DG83" s="106">
        <f t="shared" si="1034"/>
        <v>0</v>
      </c>
      <c r="DH83" s="118">
        <f t="shared" si="390"/>
        <v>0</v>
      </c>
      <c r="DI83" s="106">
        <f>+_xlfn.XLOOKUP($CT83,Budget!$A:$A,Budget!BQ:BQ)</f>
        <v>0</v>
      </c>
      <c r="DJ83" s="106">
        <f>+_xlfn.XLOOKUP($CT83,Budget!$A:$A,Budget!BR:BR)</f>
        <v>0</v>
      </c>
      <c r="DK83" s="106">
        <f>+_xlfn.XLOOKUP($CT83,Budget!$A:$A,Budget!BS:BS)</f>
        <v>0</v>
      </c>
      <c r="DL83" s="106">
        <f>+_xlfn.XLOOKUP($CT83,Budget!$A:$A,Budget!BT:BT)</f>
        <v>0</v>
      </c>
      <c r="DM83" s="106">
        <f>+_xlfn.XLOOKUP($CT83,Budget!$A:$A,Budget!BU:BU)</f>
        <v>0</v>
      </c>
      <c r="DN83" s="106">
        <f>+_xlfn.XLOOKUP($CT83,Budget!$A:$A,Budget!BV:BV)</f>
        <v>0</v>
      </c>
      <c r="DO83" s="106">
        <f>+_xlfn.XLOOKUP($CT83,Budget!$A:$A,Budget!BW:BW)</f>
        <v>0</v>
      </c>
      <c r="DP83" s="106">
        <f>+_xlfn.XLOOKUP($CT83,Budget!$A:$A,Budget!BX:BX)</f>
        <v>0</v>
      </c>
      <c r="DQ83" s="106">
        <f>+_xlfn.XLOOKUP($CT83,Budget!$A:$A,Budget!BY:BY)</f>
        <v>0</v>
      </c>
      <c r="DR83" s="106">
        <f>+_xlfn.XLOOKUP($CT83,Budget!$A:$A,Budget!BZ:BZ)</f>
        <v>0</v>
      </c>
      <c r="DS83" s="106">
        <f>+_xlfn.XLOOKUP($CT83,Budget!$A:$A,Budget!CA:CA)</f>
        <v>0</v>
      </c>
      <c r="DT83" s="106">
        <f>+_xlfn.XLOOKUP($CT83,Budget!$A:$A,Budget!CB:CB)</f>
        <v>0</v>
      </c>
      <c r="DU83" s="106">
        <f t="shared" si="1035"/>
        <v>0</v>
      </c>
    </row>
    <row r="84" spans="1:125" ht="14.45" hidden="1" customHeight="1" outlineLevel="2">
      <c r="A84" s="106">
        <f t="shared" si="994"/>
        <v>2158.1999999999998</v>
      </c>
      <c r="B84" s="106">
        <f t="shared" si="995"/>
        <v>5395.5</v>
      </c>
      <c r="C84" s="106">
        <f t="shared" si="996"/>
        <v>31031.200000000001</v>
      </c>
      <c r="D84" s="106">
        <f t="shared" si="997"/>
        <v>236</v>
      </c>
      <c r="E84" s="106">
        <f t="shared" si="998"/>
        <v>2414.6</v>
      </c>
      <c r="F84" s="106">
        <f t="shared" si="999"/>
        <v>6343.8</v>
      </c>
      <c r="G84" s="106">
        <f t="shared" si="1000"/>
        <v>8238.6</v>
      </c>
      <c r="H84" s="106">
        <f t="shared" si="1001"/>
        <v>2114.6</v>
      </c>
      <c r="I84" s="106">
        <f t="shared" si="1002"/>
        <v>2114.6</v>
      </c>
      <c r="J84" s="106">
        <f t="shared" si="1003"/>
        <v>4529.2</v>
      </c>
      <c r="K84" s="106">
        <f t="shared" si="1004"/>
        <v>1894.8</v>
      </c>
      <c r="L84" s="106">
        <f t="shared" si="1005"/>
        <v>5290</v>
      </c>
      <c r="M84" s="106">
        <f t="shared" si="1036"/>
        <v>71761.099999999991</v>
      </c>
      <c r="N84" s="16" t="s">
        <v>68</v>
      </c>
      <c r="O84" s="106">
        <f t="shared" si="1006"/>
        <v>0</v>
      </c>
      <c r="P84" s="106">
        <f t="shared" si="1007"/>
        <v>4232</v>
      </c>
      <c r="Q84" s="106">
        <f t="shared" si="1008"/>
        <v>3174</v>
      </c>
      <c r="R84" s="106">
        <f t="shared" si="1009"/>
        <v>4115.62</v>
      </c>
      <c r="S84" s="106">
        <f t="shared" si="1010"/>
        <v>33418</v>
      </c>
      <c r="T84" s="106">
        <f t="shared" si="1011"/>
        <v>9920</v>
      </c>
      <c r="U84" s="106">
        <f t="shared" si="1012"/>
        <v>8894.2000000000007</v>
      </c>
      <c r="V84" s="106">
        <f t="shared" si="1013"/>
        <v>6348</v>
      </c>
      <c r="W84" s="106">
        <f t="shared" si="1014"/>
        <v>2844</v>
      </c>
      <c r="X84" s="106">
        <f t="shared" si="1015"/>
        <v>7406</v>
      </c>
      <c r="Y84" s="106">
        <f t="shared" si="1016"/>
        <v>0</v>
      </c>
      <c r="Z84" s="106">
        <f t="shared" si="1017"/>
        <v>0</v>
      </c>
      <c r="AA84" s="106">
        <f t="shared" si="1037"/>
        <v>80351.819999999992</v>
      </c>
      <c r="AB84" s="118">
        <f t="shared" si="374"/>
        <v>0</v>
      </c>
      <c r="AC84" s="106">
        <f t="shared" si="1018"/>
        <v>0</v>
      </c>
      <c r="AD84" s="106">
        <f t="shared" si="1019"/>
        <v>0</v>
      </c>
      <c r="AE84" s="106">
        <f t="shared" si="1020"/>
        <v>0</v>
      </c>
      <c r="AF84" s="106">
        <f t="shared" si="1021"/>
        <v>0</v>
      </c>
      <c r="AG84" s="106">
        <f t="shared" si="1022"/>
        <v>0</v>
      </c>
      <c r="AH84" s="106">
        <f t="shared" si="1023"/>
        <v>0</v>
      </c>
      <c r="AI84" s="106">
        <f t="shared" si="1024"/>
        <v>0</v>
      </c>
      <c r="AJ84" s="106">
        <f t="shared" si="1025"/>
        <v>0</v>
      </c>
      <c r="AK84" s="106">
        <f t="shared" si="1026"/>
        <v>0</v>
      </c>
      <c r="AL84" s="106">
        <f t="shared" si="1027"/>
        <v>0</v>
      </c>
      <c r="AM84" s="106">
        <f t="shared" si="1028"/>
        <v>0</v>
      </c>
      <c r="AN84" s="106">
        <f t="shared" si="1029"/>
        <v>0</v>
      </c>
      <c r="AO84" s="106">
        <f t="shared" si="1038"/>
        <v>0</v>
      </c>
      <c r="AQ84" s="106">
        <v>2158.1999999999998</v>
      </c>
      <c r="AR84" s="106">
        <v>5395.5</v>
      </c>
      <c r="AS84" s="106">
        <v>4031.2</v>
      </c>
      <c r="AT84" s="106">
        <v>0</v>
      </c>
      <c r="AU84" s="106">
        <v>2114.6</v>
      </c>
      <c r="AV84" s="106">
        <v>6343.8</v>
      </c>
      <c r="AW84" s="106">
        <v>8238.6</v>
      </c>
      <c r="AX84" s="106">
        <v>2114.6</v>
      </c>
      <c r="AY84" s="106">
        <v>2114.6</v>
      </c>
      <c r="AZ84" s="106">
        <v>4529.2</v>
      </c>
      <c r="BA84" s="106">
        <v>1894.8</v>
      </c>
      <c r="BB84" s="106">
        <v>5290</v>
      </c>
      <c r="BC84" s="106">
        <f t="shared" si="1030"/>
        <v>44225.1</v>
      </c>
      <c r="BD84" s="16" t="str">
        <f t="shared" si="871"/>
        <v>Display Vehicle Expenses</v>
      </c>
      <c r="BE84" s="106">
        <f>+VLOOKUP($BD84,'Jan-25'!$A:$J,2,0)</f>
        <v>0</v>
      </c>
      <c r="BF84" s="106">
        <f>+VLOOKUP($BD84,'Feb-25'!$A:$J,2,0)</f>
        <v>4232</v>
      </c>
      <c r="BG84" s="106">
        <f>+VLOOKUP($BD84,'Mar-25'!$A:$J,2,0)</f>
        <v>3174</v>
      </c>
      <c r="BH84" s="106">
        <f>+VLOOKUP($BD84,'Apr-25'!$A:$J,2,0)</f>
        <v>4115.62</v>
      </c>
      <c r="BI84" s="106">
        <f>+VLOOKUP($BD84,'May-25'!$A:$J,2,0)</f>
        <v>10360</v>
      </c>
      <c r="BJ84" s="106">
        <f>+VLOOKUP($BD84,'June-25'!$A:$J,2,0)</f>
        <v>9920</v>
      </c>
      <c r="BK84" s="106">
        <f>+VLOOKUP($BD84,'July-25'!$A:$J,2,0)</f>
        <v>8894.2000000000007</v>
      </c>
      <c r="BL84" s="106">
        <f>+VLOOKUP($BD84,'Aug-25'!$A:$J,2,0)</f>
        <v>6348</v>
      </c>
      <c r="BM84" s="106">
        <f>+VLOOKUP($BD84,'Sep-25'!$A:$J,2,0)</f>
        <v>2844</v>
      </c>
      <c r="BN84" s="106">
        <f>+VLOOKUP($BD84,'Oct-25'!$A:$J,2,0)</f>
        <v>7406</v>
      </c>
      <c r="BO84" s="106">
        <f>+VLOOKUP($BD84,'Nov-25'!$A:$J,2,0)</f>
        <v>0</v>
      </c>
      <c r="BP84" s="106">
        <f>+VLOOKUP($BD84,'Dec-25'!$A:$J,2,0)</f>
        <v>0</v>
      </c>
      <c r="BQ84" s="106">
        <f t="shared" si="1031"/>
        <v>57293.82</v>
      </c>
      <c r="BR84" s="118">
        <f t="shared" si="389"/>
        <v>0</v>
      </c>
      <c r="BS84" s="106" cm="1">
        <f t="array" ref="BS84:CD84">+_xlfn.XLOOKUP(BD84,Budget!A:A,Budget!Q:AB)</f>
        <v>0</v>
      </c>
      <c r="BT84" s="106">
        <v>0</v>
      </c>
      <c r="BU84" s="106">
        <v>0</v>
      </c>
      <c r="BV84" s="106">
        <v>0</v>
      </c>
      <c r="BW84" s="106">
        <v>0</v>
      </c>
      <c r="BX84" s="106">
        <v>0</v>
      </c>
      <c r="BY84" s="106">
        <v>0</v>
      </c>
      <c r="BZ84" s="106">
        <v>0</v>
      </c>
      <c r="CA84" s="106">
        <v>0</v>
      </c>
      <c r="CB84" s="106">
        <v>0</v>
      </c>
      <c r="CC84" s="106">
        <v>0</v>
      </c>
      <c r="CD84" s="106">
        <v>0</v>
      </c>
      <c r="CE84" s="106">
        <f t="shared" si="1032"/>
        <v>0</v>
      </c>
      <c r="CF84" s="22"/>
      <c r="CG84" s="106">
        <v>0</v>
      </c>
      <c r="CH84" s="106">
        <v>0</v>
      </c>
      <c r="CI84" s="106">
        <v>27000</v>
      </c>
      <c r="CJ84" s="106">
        <v>236</v>
      </c>
      <c r="CK84" s="106">
        <v>300</v>
      </c>
      <c r="CL84" s="106">
        <v>0</v>
      </c>
      <c r="CM84" s="106">
        <v>0</v>
      </c>
      <c r="CN84" s="106">
        <v>0</v>
      </c>
      <c r="CO84" s="106">
        <v>0</v>
      </c>
      <c r="CP84" s="106">
        <v>0</v>
      </c>
      <c r="CQ84" s="106">
        <v>0</v>
      </c>
      <c r="CR84" s="106">
        <v>0</v>
      </c>
      <c r="CS84" s="106">
        <f t="shared" si="1033"/>
        <v>27536</v>
      </c>
      <c r="CT84" s="16" t="str">
        <f t="shared" si="875"/>
        <v>Display Vehicle Expenses</v>
      </c>
      <c r="CU84" s="106">
        <f>+VLOOKUP($BD84,'Jan-25'!$A:$J,6,0)</f>
        <v>0</v>
      </c>
      <c r="CV84" s="106">
        <f>+VLOOKUP($BD84,'Feb-25'!$A:$J,6,0)</f>
        <v>0</v>
      </c>
      <c r="CW84" s="106">
        <f>+VLOOKUP($BD84,'Mar-25'!$A:$J,6,0)</f>
        <v>0</v>
      </c>
      <c r="CX84" s="106">
        <f>+VLOOKUP($BD84,'Apr-25'!$A:$J,6,0)</f>
        <v>0</v>
      </c>
      <c r="CY84" s="106">
        <f>+VLOOKUP($BD84,'May-25'!$A:$J,6,0)</f>
        <v>23058</v>
      </c>
      <c r="CZ84" s="106">
        <f>+VLOOKUP($BD84,'June-25'!$A:$J,6,0)</f>
        <v>0</v>
      </c>
      <c r="DA84" s="106">
        <f>+VLOOKUP($BD84,'July-25'!$A:$J,6,0)</f>
        <v>0</v>
      </c>
      <c r="DB84" s="106">
        <f>+VLOOKUP($BD84,'Aug-25'!$A:$J,6,0)</f>
        <v>0</v>
      </c>
      <c r="DC84" s="106">
        <f>+VLOOKUP($BD84,'Sep-25'!$A:$J,6,0)</f>
        <v>0</v>
      </c>
      <c r="DD84" s="106">
        <f>+VLOOKUP($BD84,'Oct-25'!$A:$J,6,0)</f>
        <v>0</v>
      </c>
      <c r="DE84" s="106">
        <f>+VLOOKUP($BD84,'Nov-25'!$A:$J,6,0)</f>
        <v>0</v>
      </c>
      <c r="DF84" s="106">
        <f>+VLOOKUP($BD84,'Dec-25'!$A:$J,6,0)</f>
        <v>0</v>
      </c>
      <c r="DG84" s="106">
        <f t="shared" si="1034"/>
        <v>23058</v>
      </c>
      <c r="DH84" s="118">
        <f t="shared" si="390"/>
        <v>0</v>
      </c>
      <c r="DI84" s="106">
        <f>+_xlfn.XLOOKUP($CT84,Budget!$A:$A,Budget!BQ:BQ)</f>
        <v>0</v>
      </c>
      <c r="DJ84" s="106">
        <f>+_xlfn.XLOOKUP($CT84,Budget!$A:$A,Budget!BR:BR)</f>
        <v>0</v>
      </c>
      <c r="DK84" s="106">
        <f>+_xlfn.XLOOKUP($CT84,Budget!$A:$A,Budget!BS:BS)</f>
        <v>0</v>
      </c>
      <c r="DL84" s="106">
        <f>+_xlfn.XLOOKUP($CT84,Budget!$A:$A,Budget!BT:BT)</f>
        <v>0</v>
      </c>
      <c r="DM84" s="106">
        <f>+_xlfn.XLOOKUP($CT84,Budget!$A:$A,Budget!BU:BU)</f>
        <v>0</v>
      </c>
      <c r="DN84" s="106">
        <f>+_xlfn.XLOOKUP($CT84,Budget!$A:$A,Budget!BV:BV)</f>
        <v>0</v>
      </c>
      <c r="DO84" s="106">
        <f>+_xlfn.XLOOKUP($CT84,Budget!$A:$A,Budget!BW:BW)</f>
        <v>0</v>
      </c>
      <c r="DP84" s="106">
        <f>+_xlfn.XLOOKUP($CT84,Budget!$A:$A,Budget!BX:BX)</f>
        <v>0</v>
      </c>
      <c r="DQ84" s="106">
        <f>+_xlfn.XLOOKUP($CT84,Budget!$A:$A,Budget!BY:BY)</f>
        <v>0</v>
      </c>
      <c r="DR84" s="106">
        <f>+_xlfn.XLOOKUP($CT84,Budget!$A:$A,Budget!BZ:BZ)</f>
        <v>0</v>
      </c>
      <c r="DS84" s="106">
        <f>+_xlfn.XLOOKUP($CT84,Budget!$A:$A,Budget!CA:CA)</f>
        <v>0</v>
      </c>
      <c r="DT84" s="106">
        <f>+_xlfn.XLOOKUP($CT84,Budget!$A:$A,Budget!CB:CB)</f>
        <v>0</v>
      </c>
      <c r="DU84" s="106">
        <f t="shared" si="1035"/>
        <v>0</v>
      </c>
    </row>
    <row r="85" spans="1:125" ht="14.45" hidden="1" customHeight="1" outlineLevel="2">
      <c r="A85" s="106">
        <f t="shared" si="994"/>
        <v>0</v>
      </c>
      <c r="B85" s="106">
        <f t="shared" si="995"/>
        <v>0</v>
      </c>
      <c r="C85" s="106">
        <f t="shared" si="996"/>
        <v>50000</v>
      </c>
      <c r="D85" s="106">
        <f t="shared" si="997"/>
        <v>0</v>
      </c>
      <c r="E85" s="106">
        <f t="shared" si="998"/>
        <v>0</v>
      </c>
      <c r="F85" s="106">
        <f t="shared" si="999"/>
        <v>68750</v>
      </c>
      <c r="G85" s="106">
        <f t="shared" si="1000"/>
        <v>0</v>
      </c>
      <c r="H85" s="106">
        <f t="shared" si="1001"/>
        <v>0</v>
      </c>
      <c r="I85" s="106">
        <f t="shared" si="1002"/>
        <v>0</v>
      </c>
      <c r="J85" s="106">
        <f t="shared" si="1003"/>
        <v>53000</v>
      </c>
      <c r="K85" s="106">
        <f t="shared" si="1004"/>
        <v>0</v>
      </c>
      <c r="L85" s="106">
        <f t="shared" si="1005"/>
        <v>0</v>
      </c>
      <c r="M85" s="106">
        <f t="shared" si="1036"/>
        <v>171750</v>
      </c>
      <c r="N85" s="16" t="s">
        <v>69</v>
      </c>
      <c r="O85" s="106">
        <f t="shared" si="1006"/>
        <v>60000</v>
      </c>
      <c r="P85" s="106">
        <f t="shared" si="1007"/>
        <v>0</v>
      </c>
      <c r="Q85" s="106">
        <f t="shared" si="1008"/>
        <v>0</v>
      </c>
      <c r="R85" s="106">
        <f t="shared" si="1009"/>
        <v>0</v>
      </c>
      <c r="S85" s="106">
        <f t="shared" si="1010"/>
        <v>0</v>
      </c>
      <c r="T85" s="106">
        <f t="shared" si="1011"/>
        <v>0</v>
      </c>
      <c r="U85" s="106">
        <f t="shared" si="1012"/>
        <v>0</v>
      </c>
      <c r="V85" s="106">
        <f t="shared" si="1013"/>
        <v>0</v>
      </c>
      <c r="W85" s="106">
        <f t="shared" si="1014"/>
        <v>100000</v>
      </c>
      <c r="X85" s="106">
        <f t="shared" si="1015"/>
        <v>0</v>
      </c>
      <c r="Y85" s="106">
        <f t="shared" si="1016"/>
        <v>0</v>
      </c>
      <c r="Z85" s="106">
        <f t="shared" si="1017"/>
        <v>0</v>
      </c>
      <c r="AA85" s="106">
        <f t="shared" si="1037"/>
        <v>160000</v>
      </c>
      <c r="AB85" s="118">
        <f t="shared" si="374"/>
        <v>0</v>
      </c>
      <c r="AC85" s="106">
        <f t="shared" si="1018"/>
        <v>0</v>
      </c>
      <c r="AD85" s="106">
        <f t="shared" si="1019"/>
        <v>0</v>
      </c>
      <c r="AE85" s="106">
        <f t="shared" si="1020"/>
        <v>0</v>
      </c>
      <c r="AF85" s="106">
        <f t="shared" si="1021"/>
        <v>0</v>
      </c>
      <c r="AG85" s="106">
        <f t="shared" si="1022"/>
        <v>0</v>
      </c>
      <c r="AH85" s="106">
        <f t="shared" si="1023"/>
        <v>0</v>
      </c>
      <c r="AI85" s="106">
        <f t="shared" si="1024"/>
        <v>0</v>
      </c>
      <c r="AJ85" s="106">
        <f t="shared" si="1025"/>
        <v>0</v>
      </c>
      <c r="AK85" s="106">
        <f t="shared" si="1026"/>
        <v>0</v>
      </c>
      <c r="AL85" s="106">
        <f t="shared" si="1027"/>
        <v>0</v>
      </c>
      <c r="AM85" s="106">
        <f t="shared" si="1028"/>
        <v>0</v>
      </c>
      <c r="AN85" s="106">
        <f t="shared" si="1029"/>
        <v>0</v>
      </c>
      <c r="AO85" s="106">
        <f t="shared" si="1038"/>
        <v>0</v>
      </c>
      <c r="AQ85" s="106">
        <v>0</v>
      </c>
      <c r="AR85" s="106">
        <v>0</v>
      </c>
      <c r="AS85" s="106">
        <v>50000</v>
      </c>
      <c r="AT85" s="106">
        <v>0</v>
      </c>
      <c r="AU85" s="106">
        <v>0</v>
      </c>
      <c r="AV85" s="106">
        <v>20000</v>
      </c>
      <c r="AW85" s="106">
        <v>0</v>
      </c>
      <c r="AX85" s="106">
        <v>0</v>
      </c>
      <c r="AY85" s="106">
        <v>0</v>
      </c>
      <c r="AZ85" s="106">
        <v>5000</v>
      </c>
      <c r="BA85" s="106">
        <v>0</v>
      </c>
      <c r="BB85" s="106">
        <v>0</v>
      </c>
      <c r="BC85" s="106">
        <f t="shared" si="1030"/>
        <v>75000</v>
      </c>
      <c r="BD85" s="16" t="str">
        <f t="shared" si="871"/>
        <v>Sale Commission (outsiders)</v>
      </c>
      <c r="BE85" s="106">
        <f>+VLOOKUP($BD85,'Jan-25'!$A:$J,2,0)</f>
        <v>0</v>
      </c>
      <c r="BF85" s="106">
        <f>+VLOOKUP($BD85,'Feb-25'!$A:$J,2,0)</f>
        <v>0</v>
      </c>
      <c r="BG85" s="106">
        <f>+VLOOKUP($BD85,'Mar-25'!$A:$J,2,0)</f>
        <v>0</v>
      </c>
      <c r="BH85" s="106">
        <f>+VLOOKUP($BD85,'Apr-25'!$A:$J,2,0)</f>
        <v>0</v>
      </c>
      <c r="BI85" s="106">
        <f>+VLOOKUP($BD85,'May-25'!$A:$J,2,0)</f>
        <v>0</v>
      </c>
      <c r="BJ85" s="106">
        <f>+VLOOKUP($BD85,'June-25'!$A:$J,2,0)</f>
        <v>0</v>
      </c>
      <c r="BK85" s="106">
        <f>+VLOOKUP($BD85,'July-25'!$A:$J,2,0)</f>
        <v>0</v>
      </c>
      <c r="BL85" s="106">
        <f>+VLOOKUP($BD85,'Aug-25'!$A:$J,2,0)</f>
        <v>0</v>
      </c>
      <c r="BM85" s="106">
        <f>+VLOOKUP($BD85,'Sep-25'!$A:$J,2,0)</f>
        <v>100000</v>
      </c>
      <c r="BN85" s="106">
        <f>+VLOOKUP($BD85,'Oct-25'!$A:$J,2,0)</f>
        <v>0</v>
      </c>
      <c r="BO85" s="106">
        <f>+VLOOKUP($BD85,'Nov-25'!$A:$J,2,0)</f>
        <v>0</v>
      </c>
      <c r="BP85" s="106">
        <f>+VLOOKUP($BD85,'Dec-25'!$A:$J,2,0)</f>
        <v>0</v>
      </c>
      <c r="BQ85" s="106">
        <f t="shared" si="1031"/>
        <v>100000</v>
      </c>
      <c r="BR85" s="118">
        <f t="shared" si="389"/>
        <v>0</v>
      </c>
      <c r="BS85" s="106" cm="1">
        <f t="array" ref="BS85:CD85">+_xlfn.XLOOKUP(BD85,Budget!A:A,Budget!Q:AB)</f>
        <v>0</v>
      </c>
      <c r="BT85" s="106">
        <v>0</v>
      </c>
      <c r="BU85" s="106">
        <v>0</v>
      </c>
      <c r="BV85" s="106">
        <v>0</v>
      </c>
      <c r="BW85" s="106">
        <v>0</v>
      </c>
      <c r="BX85" s="106">
        <v>0</v>
      </c>
      <c r="BY85" s="106">
        <v>0</v>
      </c>
      <c r="BZ85" s="106">
        <v>0</v>
      </c>
      <c r="CA85" s="106">
        <v>0</v>
      </c>
      <c r="CB85" s="106">
        <v>0</v>
      </c>
      <c r="CC85" s="106">
        <v>0</v>
      </c>
      <c r="CD85" s="106">
        <v>0</v>
      </c>
      <c r="CE85" s="106">
        <f t="shared" si="1032"/>
        <v>0</v>
      </c>
      <c r="CF85" s="22"/>
      <c r="CG85" s="106">
        <v>0</v>
      </c>
      <c r="CH85" s="106">
        <v>0</v>
      </c>
      <c r="CI85" s="106">
        <v>0</v>
      </c>
      <c r="CJ85" s="106">
        <v>0</v>
      </c>
      <c r="CK85" s="106">
        <v>0</v>
      </c>
      <c r="CL85" s="106">
        <v>48750</v>
      </c>
      <c r="CM85" s="106">
        <v>0</v>
      </c>
      <c r="CN85" s="106">
        <v>0</v>
      </c>
      <c r="CO85" s="106">
        <v>0</v>
      </c>
      <c r="CP85" s="106">
        <v>48000</v>
      </c>
      <c r="CQ85" s="106">
        <v>0</v>
      </c>
      <c r="CR85" s="106">
        <v>0</v>
      </c>
      <c r="CS85" s="106">
        <f t="shared" si="1033"/>
        <v>96750</v>
      </c>
      <c r="CT85" s="16" t="str">
        <f t="shared" si="875"/>
        <v>Sale Commission (outsiders)</v>
      </c>
      <c r="CU85" s="106">
        <f>+VLOOKUP($BD85,'Jan-25'!$A:$J,6,0)</f>
        <v>60000</v>
      </c>
      <c r="CV85" s="106">
        <f>+VLOOKUP($BD85,'Feb-25'!$A:$J,6,0)</f>
        <v>0</v>
      </c>
      <c r="CW85" s="106">
        <f>+VLOOKUP($BD85,'Mar-25'!$A:$J,6,0)</f>
        <v>0</v>
      </c>
      <c r="CX85" s="106">
        <f>+VLOOKUP($BD85,'Apr-25'!$A:$J,6,0)</f>
        <v>0</v>
      </c>
      <c r="CY85" s="106">
        <f>+VLOOKUP($BD85,'May-25'!$A:$J,6,0)</f>
        <v>0</v>
      </c>
      <c r="CZ85" s="106">
        <f>+VLOOKUP($BD85,'June-25'!$A:$J,6,0)</f>
        <v>0</v>
      </c>
      <c r="DA85" s="106">
        <f>+VLOOKUP($BD85,'July-25'!$A:$J,6,0)</f>
        <v>0</v>
      </c>
      <c r="DB85" s="106">
        <f>+VLOOKUP($BD85,'Aug-25'!$A:$J,6,0)</f>
        <v>0</v>
      </c>
      <c r="DC85" s="106">
        <f>+VLOOKUP($BD85,'Sep-25'!$A:$J,6,0)</f>
        <v>0</v>
      </c>
      <c r="DD85" s="106">
        <f>+VLOOKUP($BD85,'Oct-25'!$A:$J,6,0)</f>
        <v>0</v>
      </c>
      <c r="DE85" s="106">
        <f>+VLOOKUP($BD85,'Nov-25'!$A:$J,6,0)</f>
        <v>0</v>
      </c>
      <c r="DF85" s="106">
        <f>+VLOOKUP($BD85,'Dec-25'!$A:$J,6,0)</f>
        <v>0</v>
      </c>
      <c r="DG85" s="106">
        <f t="shared" si="1034"/>
        <v>60000</v>
      </c>
      <c r="DH85" s="118">
        <f t="shared" si="390"/>
        <v>0</v>
      </c>
      <c r="DI85" s="106">
        <f>+_xlfn.XLOOKUP($CT85,Budget!$A:$A,Budget!BQ:BQ)</f>
        <v>0</v>
      </c>
      <c r="DJ85" s="106">
        <f>+_xlfn.XLOOKUP($CT85,Budget!$A:$A,Budget!BR:BR)</f>
        <v>0</v>
      </c>
      <c r="DK85" s="106">
        <f>+_xlfn.XLOOKUP($CT85,Budget!$A:$A,Budget!BS:BS)</f>
        <v>0</v>
      </c>
      <c r="DL85" s="106">
        <f>+_xlfn.XLOOKUP($CT85,Budget!$A:$A,Budget!BT:BT)</f>
        <v>0</v>
      </c>
      <c r="DM85" s="106">
        <f>+_xlfn.XLOOKUP($CT85,Budget!$A:$A,Budget!BU:BU)</f>
        <v>0</v>
      </c>
      <c r="DN85" s="106">
        <f>+_xlfn.XLOOKUP($CT85,Budget!$A:$A,Budget!BV:BV)</f>
        <v>0</v>
      </c>
      <c r="DO85" s="106">
        <f>+_xlfn.XLOOKUP($CT85,Budget!$A:$A,Budget!BW:BW)</f>
        <v>0</v>
      </c>
      <c r="DP85" s="106">
        <f>+_xlfn.XLOOKUP($CT85,Budget!$A:$A,Budget!BX:BX)</f>
        <v>0</v>
      </c>
      <c r="DQ85" s="106">
        <f>+_xlfn.XLOOKUP($CT85,Budget!$A:$A,Budget!BY:BY)</f>
        <v>0</v>
      </c>
      <c r="DR85" s="106">
        <f>+_xlfn.XLOOKUP($CT85,Budget!$A:$A,Budget!BZ:BZ)</f>
        <v>0</v>
      </c>
      <c r="DS85" s="106">
        <f>+_xlfn.XLOOKUP($CT85,Budget!$A:$A,Budget!CA:CA)</f>
        <v>0</v>
      </c>
      <c r="DT85" s="106">
        <f>+_xlfn.XLOOKUP($CT85,Budget!$A:$A,Budget!CB:CB)</f>
        <v>0</v>
      </c>
      <c r="DU85" s="106">
        <f t="shared" si="1035"/>
        <v>0</v>
      </c>
    </row>
    <row r="86" spans="1:125" ht="14.45" hidden="1" customHeight="1" outlineLevel="2">
      <c r="A86" s="106">
        <f t="shared" si="994"/>
        <v>0</v>
      </c>
      <c r="B86" s="106">
        <f t="shared" si="995"/>
        <v>0</v>
      </c>
      <c r="C86" s="106">
        <f t="shared" si="996"/>
        <v>0</v>
      </c>
      <c r="D86" s="106">
        <f t="shared" si="997"/>
        <v>0</v>
      </c>
      <c r="E86" s="106">
        <f t="shared" si="998"/>
        <v>0</v>
      </c>
      <c r="F86" s="106">
        <f t="shared" si="999"/>
        <v>0</v>
      </c>
      <c r="G86" s="106">
        <f t="shared" si="1000"/>
        <v>0</v>
      </c>
      <c r="H86" s="106">
        <f t="shared" si="1001"/>
        <v>0</v>
      </c>
      <c r="I86" s="106">
        <f t="shared" si="1002"/>
        <v>0</v>
      </c>
      <c r="J86" s="106">
        <f t="shared" si="1003"/>
        <v>0</v>
      </c>
      <c r="K86" s="106">
        <f t="shared" si="1004"/>
        <v>0</v>
      </c>
      <c r="L86" s="106">
        <f t="shared" si="1005"/>
        <v>0</v>
      </c>
      <c r="M86" s="106">
        <f t="shared" si="1036"/>
        <v>0</v>
      </c>
      <c r="N86" s="16" t="s">
        <v>70</v>
      </c>
      <c r="O86" s="106">
        <f t="shared" si="1006"/>
        <v>0</v>
      </c>
      <c r="P86" s="106">
        <f t="shared" si="1007"/>
        <v>0</v>
      </c>
      <c r="Q86" s="106">
        <f t="shared" si="1008"/>
        <v>0</v>
      </c>
      <c r="R86" s="106">
        <f t="shared" si="1009"/>
        <v>0</v>
      </c>
      <c r="S86" s="106">
        <f t="shared" si="1010"/>
        <v>0</v>
      </c>
      <c r="T86" s="106">
        <f t="shared" si="1011"/>
        <v>0</v>
      </c>
      <c r="U86" s="106">
        <f t="shared" si="1012"/>
        <v>0</v>
      </c>
      <c r="V86" s="106">
        <f t="shared" si="1013"/>
        <v>0</v>
      </c>
      <c r="W86" s="106">
        <f t="shared" si="1014"/>
        <v>0</v>
      </c>
      <c r="X86" s="106">
        <f t="shared" si="1015"/>
        <v>0</v>
      </c>
      <c r="Y86" s="106">
        <f t="shared" si="1016"/>
        <v>0</v>
      </c>
      <c r="Z86" s="106">
        <f t="shared" si="1017"/>
        <v>0</v>
      </c>
      <c r="AA86" s="106">
        <f t="shared" si="1037"/>
        <v>0</v>
      </c>
      <c r="AB86" s="118">
        <f t="shared" si="374"/>
        <v>0</v>
      </c>
      <c r="AC86" s="106">
        <f t="shared" si="1018"/>
        <v>0</v>
      </c>
      <c r="AD86" s="106">
        <f t="shared" si="1019"/>
        <v>0</v>
      </c>
      <c r="AE86" s="106">
        <f t="shared" si="1020"/>
        <v>0</v>
      </c>
      <c r="AF86" s="106">
        <f t="shared" si="1021"/>
        <v>0</v>
      </c>
      <c r="AG86" s="106">
        <f t="shared" si="1022"/>
        <v>0</v>
      </c>
      <c r="AH86" s="106">
        <f t="shared" si="1023"/>
        <v>0</v>
      </c>
      <c r="AI86" s="106">
        <f t="shared" si="1024"/>
        <v>0</v>
      </c>
      <c r="AJ86" s="106">
        <f t="shared" si="1025"/>
        <v>0</v>
      </c>
      <c r="AK86" s="106">
        <f t="shared" si="1026"/>
        <v>0</v>
      </c>
      <c r="AL86" s="106">
        <f t="shared" si="1027"/>
        <v>0</v>
      </c>
      <c r="AM86" s="106">
        <f t="shared" si="1028"/>
        <v>0</v>
      </c>
      <c r="AN86" s="106">
        <f t="shared" si="1029"/>
        <v>0</v>
      </c>
      <c r="AO86" s="106">
        <f t="shared" si="1038"/>
        <v>0</v>
      </c>
      <c r="AQ86" s="106">
        <v>0</v>
      </c>
      <c r="AR86" s="106">
        <v>0</v>
      </c>
      <c r="AS86" s="106">
        <v>0</v>
      </c>
      <c r="AT86" s="106">
        <v>0</v>
      </c>
      <c r="AU86" s="106">
        <v>0</v>
      </c>
      <c r="AV86" s="106">
        <v>0</v>
      </c>
      <c r="AW86" s="106">
        <v>0</v>
      </c>
      <c r="AX86" s="106">
        <v>0</v>
      </c>
      <c r="AY86" s="106">
        <v>0</v>
      </c>
      <c r="AZ86" s="106">
        <v>0</v>
      </c>
      <c r="BA86" s="106">
        <v>0</v>
      </c>
      <c r="BB86" s="106">
        <v>0</v>
      </c>
      <c r="BC86" s="106">
        <f t="shared" si="1030"/>
        <v>0</v>
      </c>
      <c r="BD86" s="16" t="str">
        <f t="shared" si="871"/>
        <v>Sales promotion- Compl goods.</v>
      </c>
      <c r="BE86" s="106">
        <f>+VLOOKUP($BD86,'Jan-25'!$A:$J,2,0)</f>
        <v>0</v>
      </c>
      <c r="BF86" s="106">
        <f>+VLOOKUP($BD86,'Feb-25'!$A:$J,2,0)</f>
        <v>0</v>
      </c>
      <c r="BG86" s="106">
        <f>+VLOOKUP($BD86,'Mar-25'!$A:$J,2,0)</f>
        <v>0</v>
      </c>
      <c r="BH86" s="106">
        <f>+VLOOKUP($BD86,'Apr-25'!$A:$J,2,0)</f>
        <v>0</v>
      </c>
      <c r="BI86" s="106">
        <f>+VLOOKUP($BD86,'May-25'!$A:$J,2,0)</f>
        <v>0</v>
      </c>
      <c r="BJ86" s="106">
        <f>+VLOOKUP($BD86,'June-25'!$A:$J,2,0)</f>
        <v>0</v>
      </c>
      <c r="BK86" s="106">
        <f>+VLOOKUP($BD86,'July-25'!$A:$J,2,0)</f>
        <v>0</v>
      </c>
      <c r="BL86" s="106">
        <f>+VLOOKUP($BD86,'Aug-25'!$A:$J,2,0)</f>
        <v>0</v>
      </c>
      <c r="BM86" s="106">
        <f>+VLOOKUP($BD86,'Sep-25'!$A:$J,2,0)</f>
        <v>0</v>
      </c>
      <c r="BN86" s="106">
        <f>+VLOOKUP($BD86,'Oct-25'!$A:$J,2,0)</f>
        <v>0</v>
      </c>
      <c r="BO86" s="106">
        <f>+VLOOKUP($BD86,'Nov-25'!$A:$J,2,0)</f>
        <v>0</v>
      </c>
      <c r="BP86" s="106">
        <f>+VLOOKUP($BD86,'Dec-25'!$A:$J,2,0)</f>
        <v>0</v>
      </c>
      <c r="BQ86" s="106">
        <f t="shared" si="1031"/>
        <v>0</v>
      </c>
      <c r="BR86" s="118">
        <f t="shared" si="389"/>
        <v>0</v>
      </c>
      <c r="BS86" s="106" cm="1">
        <f t="array" ref="BS86:CD86">+_xlfn.XLOOKUP(BD86,Budget!A:A,Budget!Q:AB)</f>
        <v>0</v>
      </c>
      <c r="BT86" s="106">
        <v>0</v>
      </c>
      <c r="BU86" s="106">
        <v>0</v>
      </c>
      <c r="BV86" s="106">
        <v>0</v>
      </c>
      <c r="BW86" s="106">
        <v>0</v>
      </c>
      <c r="BX86" s="106">
        <v>0</v>
      </c>
      <c r="BY86" s="106">
        <v>0</v>
      </c>
      <c r="BZ86" s="106">
        <v>0</v>
      </c>
      <c r="CA86" s="106">
        <v>0</v>
      </c>
      <c r="CB86" s="106">
        <v>0</v>
      </c>
      <c r="CC86" s="106">
        <v>0</v>
      </c>
      <c r="CD86" s="106">
        <v>0</v>
      </c>
      <c r="CE86" s="106">
        <f t="shared" si="1032"/>
        <v>0</v>
      </c>
      <c r="CF86" s="22"/>
      <c r="CG86" s="106">
        <v>0</v>
      </c>
      <c r="CH86" s="106">
        <v>0</v>
      </c>
      <c r="CI86" s="106">
        <v>0</v>
      </c>
      <c r="CJ86" s="106">
        <v>0</v>
      </c>
      <c r="CK86" s="106">
        <v>0</v>
      </c>
      <c r="CL86" s="106">
        <v>0</v>
      </c>
      <c r="CM86" s="106">
        <v>0</v>
      </c>
      <c r="CN86" s="106">
        <v>0</v>
      </c>
      <c r="CO86" s="106">
        <v>0</v>
      </c>
      <c r="CP86" s="106">
        <v>0</v>
      </c>
      <c r="CQ86" s="106">
        <v>0</v>
      </c>
      <c r="CR86" s="106">
        <v>0</v>
      </c>
      <c r="CS86" s="106">
        <f t="shared" si="1033"/>
        <v>0</v>
      </c>
      <c r="CT86" s="16" t="str">
        <f t="shared" si="875"/>
        <v>Sales promotion- Compl goods.</v>
      </c>
      <c r="CU86" s="106">
        <f>+VLOOKUP($BD86,'Jan-25'!$A:$J,6,0)</f>
        <v>0</v>
      </c>
      <c r="CV86" s="106">
        <f>+VLOOKUP($BD86,'Feb-25'!$A:$J,6,0)</f>
        <v>0</v>
      </c>
      <c r="CW86" s="106">
        <f>+VLOOKUP($BD86,'Mar-25'!$A:$J,6,0)</f>
        <v>0</v>
      </c>
      <c r="CX86" s="106">
        <f>+VLOOKUP($BD86,'Apr-25'!$A:$J,6,0)</f>
        <v>0</v>
      </c>
      <c r="CY86" s="106">
        <f>+VLOOKUP($BD86,'May-25'!$A:$J,6,0)</f>
        <v>0</v>
      </c>
      <c r="CZ86" s="106">
        <f>+VLOOKUP($BD86,'June-25'!$A:$J,6,0)</f>
        <v>0</v>
      </c>
      <c r="DA86" s="106">
        <f>+VLOOKUP($BD86,'July-25'!$A:$J,6,0)</f>
        <v>0</v>
      </c>
      <c r="DB86" s="106">
        <f>+VLOOKUP($BD86,'Aug-25'!$A:$J,6,0)</f>
        <v>0</v>
      </c>
      <c r="DC86" s="106">
        <f>+VLOOKUP($BD86,'Sep-25'!$A:$J,6,0)</f>
        <v>0</v>
      </c>
      <c r="DD86" s="106">
        <f>+VLOOKUP($BD86,'Oct-25'!$A:$J,6,0)</f>
        <v>0</v>
      </c>
      <c r="DE86" s="106">
        <f>+VLOOKUP($BD86,'Nov-25'!$A:$J,6,0)</f>
        <v>0</v>
      </c>
      <c r="DF86" s="106">
        <f>+VLOOKUP($BD86,'Dec-25'!$A:$J,6,0)</f>
        <v>0</v>
      </c>
      <c r="DG86" s="106">
        <f t="shared" si="1034"/>
        <v>0</v>
      </c>
      <c r="DH86" s="118">
        <f t="shared" si="390"/>
        <v>0</v>
      </c>
      <c r="DI86" s="106">
        <f>+_xlfn.XLOOKUP($CT86,Budget!$A:$A,Budget!BQ:BQ)</f>
        <v>0</v>
      </c>
      <c r="DJ86" s="106">
        <f>+_xlfn.XLOOKUP($CT86,Budget!$A:$A,Budget!BR:BR)</f>
        <v>0</v>
      </c>
      <c r="DK86" s="106">
        <f>+_xlfn.XLOOKUP($CT86,Budget!$A:$A,Budget!BS:BS)</f>
        <v>0</v>
      </c>
      <c r="DL86" s="106">
        <f>+_xlfn.XLOOKUP($CT86,Budget!$A:$A,Budget!BT:BT)</f>
        <v>0</v>
      </c>
      <c r="DM86" s="106">
        <f>+_xlfn.XLOOKUP($CT86,Budget!$A:$A,Budget!BU:BU)</f>
        <v>0</v>
      </c>
      <c r="DN86" s="106">
        <f>+_xlfn.XLOOKUP($CT86,Budget!$A:$A,Budget!BV:BV)</f>
        <v>0</v>
      </c>
      <c r="DO86" s="106">
        <f>+_xlfn.XLOOKUP($CT86,Budget!$A:$A,Budget!BW:BW)</f>
        <v>0</v>
      </c>
      <c r="DP86" s="106">
        <f>+_xlfn.XLOOKUP($CT86,Budget!$A:$A,Budget!BX:BX)</f>
        <v>0</v>
      </c>
      <c r="DQ86" s="106">
        <f>+_xlfn.XLOOKUP($CT86,Budget!$A:$A,Budget!BY:BY)</f>
        <v>0</v>
      </c>
      <c r="DR86" s="106">
        <f>+_xlfn.XLOOKUP($CT86,Budget!$A:$A,Budget!BZ:BZ)</f>
        <v>0</v>
      </c>
      <c r="DS86" s="106">
        <f>+_xlfn.XLOOKUP($CT86,Budget!$A:$A,Budget!CA:CA)</f>
        <v>0</v>
      </c>
      <c r="DT86" s="106">
        <f>+_xlfn.XLOOKUP($CT86,Budget!$A:$A,Budget!CB:CB)</f>
        <v>0</v>
      </c>
      <c r="DU86" s="106">
        <f t="shared" si="1035"/>
        <v>0</v>
      </c>
    </row>
    <row r="87" spans="1:125" ht="14.45" hidden="1" customHeight="1" outlineLevel="1">
      <c r="A87" s="58">
        <f t="shared" ref="A87:M87" si="1039">+SUM(A88:A89)</f>
        <v>645477.6115</v>
      </c>
      <c r="B87" s="58">
        <f t="shared" si="1039"/>
        <v>1348318.7</v>
      </c>
      <c r="C87" s="58">
        <f t="shared" si="1039"/>
        <v>1640477.9</v>
      </c>
      <c r="D87" s="58">
        <f t="shared" si="1039"/>
        <v>413135.71614000009</v>
      </c>
      <c r="E87" s="58">
        <f t="shared" si="1039"/>
        <v>677780.2</v>
      </c>
      <c r="F87" s="58">
        <f t="shared" si="1039"/>
        <v>1094089.55</v>
      </c>
      <c r="G87" s="58">
        <f t="shared" si="1039"/>
        <v>832748.7</v>
      </c>
      <c r="H87" s="58">
        <f t="shared" si="1039"/>
        <v>971375</v>
      </c>
      <c r="I87" s="58">
        <f t="shared" si="1039"/>
        <v>531899.05000000005</v>
      </c>
      <c r="J87" s="58">
        <f t="shared" si="1039"/>
        <v>860876.14999999991</v>
      </c>
      <c r="K87" s="58">
        <f t="shared" si="1039"/>
        <v>1303628.8999999999</v>
      </c>
      <c r="L87" s="58">
        <f t="shared" si="1039"/>
        <v>954154.5</v>
      </c>
      <c r="M87" s="58">
        <f t="shared" si="1039"/>
        <v>11273961.977639999</v>
      </c>
      <c r="N87" s="18" t="s">
        <v>71</v>
      </c>
      <c r="O87" s="58">
        <f t="shared" ref="O87" si="1040">+SUM(O88:O89)</f>
        <v>1226926</v>
      </c>
      <c r="P87" s="58">
        <f t="shared" ref="P87" si="1041">+SUM(P88:P89)</f>
        <v>1223281</v>
      </c>
      <c r="Q87" s="58">
        <f t="shared" ref="Q87" si="1042">+SUM(Q88:Q89)</f>
        <v>1475160</v>
      </c>
      <c r="R87" s="58">
        <f t="shared" ref="R87" si="1043">+SUM(R88:R89)</f>
        <v>512837</v>
      </c>
      <c r="S87" s="58">
        <f t="shared" ref="S87" si="1044">+SUM(S88:S89)</f>
        <v>658208</v>
      </c>
      <c r="T87" s="58">
        <f t="shared" ref="T87" si="1045">+SUM(T88:T89)</f>
        <v>1345604</v>
      </c>
      <c r="U87" s="58">
        <f t="shared" ref="U87" si="1046">+SUM(U88:U89)</f>
        <v>565244</v>
      </c>
      <c r="V87" s="58">
        <f t="shared" ref="V87" si="1047">+SUM(V88:V89)</f>
        <v>1496033</v>
      </c>
      <c r="W87" s="58">
        <f t="shared" ref="W87" si="1048">+SUM(W88:W89)</f>
        <v>1039917</v>
      </c>
      <c r="X87" s="58">
        <f t="shared" ref="X87" si="1049">+SUM(X88:X89)</f>
        <v>1466980.9</v>
      </c>
      <c r="Y87" s="58">
        <f t="shared" ref="Y87" si="1050">+SUM(Y88:Y89)</f>
        <v>0</v>
      </c>
      <c r="Z87" s="58">
        <f t="shared" ref="Z87" si="1051">+SUM(Z88:Z89)</f>
        <v>0</v>
      </c>
      <c r="AA87" s="58">
        <f t="shared" ref="AA87" si="1052">+SUM(AA88:AA89)</f>
        <v>11010190.9</v>
      </c>
      <c r="AB87" s="118">
        <f t="shared" si="374"/>
        <v>0.39712466666666657</v>
      </c>
      <c r="AC87" s="58">
        <f t="shared" ref="AC87" si="1053">+SUM(AC88:AC89)</f>
        <v>1015000</v>
      </c>
      <c r="AD87" s="58">
        <f t="shared" ref="AD87" si="1054">+SUM(AD88:AD89)</f>
        <v>1015000</v>
      </c>
      <c r="AE87" s="58">
        <f t="shared" ref="AE87" si="1055">+SUM(AE88:AE89)</f>
        <v>1295000</v>
      </c>
      <c r="AF87" s="58">
        <f t="shared" ref="AF87" si="1056">+SUM(AF88:AF89)</f>
        <v>1050000</v>
      </c>
      <c r="AG87" s="58">
        <f t="shared" ref="AG87" si="1057">+SUM(AG88:AG89)</f>
        <v>1120000</v>
      </c>
      <c r="AH87" s="58">
        <f t="shared" ref="AH87" si="1058">+SUM(AH88:AH89)</f>
        <v>980000</v>
      </c>
      <c r="AI87" s="58">
        <f t="shared" ref="AI87" si="1059">+SUM(AI88:AI89)</f>
        <v>1015000</v>
      </c>
      <c r="AJ87" s="58">
        <f t="shared" ref="AJ87" si="1060">+SUM(AJ88:AJ89)</f>
        <v>1190000</v>
      </c>
      <c r="AK87" s="58">
        <f t="shared" ref="AK87" si="1061">+SUM(AK88:AK89)</f>
        <v>1190000</v>
      </c>
      <c r="AL87" s="58">
        <f t="shared" ref="AL87" si="1062">+SUM(AL88:AL89)</f>
        <v>1050000</v>
      </c>
      <c r="AM87" s="58">
        <f t="shared" ref="AM87" si="1063">+SUM(AM88:AM89)</f>
        <v>980000</v>
      </c>
      <c r="AN87" s="58">
        <f t="shared" ref="AN87" si="1064">+SUM(AN88:AN89)</f>
        <v>1295000</v>
      </c>
      <c r="AO87" s="58">
        <f t="shared" ref="AO87" si="1065">+SUM(AO88:AO89)</f>
        <v>13195000</v>
      </c>
      <c r="AQ87" s="58">
        <f t="shared" ref="AQ87:BC87" si="1066">+SUM(AQ88:AQ89)</f>
        <v>466063.26150000002</v>
      </c>
      <c r="AR87" s="58">
        <f t="shared" si="1066"/>
        <v>980181.6</v>
      </c>
      <c r="AS87" s="58">
        <f t="shared" si="1066"/>
        <v>999653.2</v>
      </c>
      <c r="AT87" s="58">
        <f t="shared" si="1066"/>
        <v>323135.71614000009</v>
      </c>
      <c r="AU87" s="58">
        <f t="shared" si="1066"/>
        <v>401673.6</v>
      </c>
      <c r="AV87" s="58">
        <f t="shared" si="1066"/>
        <v>684225.4</v>
      </c>
      <c r="AW87" s="58">
        <f t="shared" si="1066"/>
        <v>407994.6</v>
      </c>
      <c r="AX87" s="58">
        <f t="shared" si="1066"/>
        <v>521000</v>
      </c>
      <c r="AY87" s="58">
        <f t="shared" si="1066"/>
        <v>408156.4</v>
      </c>
      <c r="AZ87" s="58">
        <f t="shared" si="1066"/>
        <v>676851.19999999995</v>
      </c>
      <c r="BA87" s="58">
        <f t="shared" si="1066"/>
        <v>552639.19999999995</v>
      </c>
      <c r="BB87" s="58">
        <f t="shared" si="1066"/>
        <v>622314</v>
      </c>
      <c r="BC87" s="58">
        <f t="shared" si="1066"/>
        <v>0</v>
      </c>
      <c r="BD87" s="18" t="str">
        <f t="shared" si="871"/>
        <v>Incentive</v>
      </c>
      <c r="BE87" s="58">
        <f t="shared" ref="BE87:BQ87" si="1067">+SUM(BE88:BE89)</f>
        <v>1002593</v>
      </c>
      <c r="BF87" s="58">
        <f t="shared" si="1067"/>
        <v>1167184</v>
      </c>
      <c r="BG87" s="58">
        <f t="shared" si="1067"/>
        <v>864760</v>
      </c>
      <c r="BH87" s="58">
        <f t="shared" si="1067"/>
        <v>378632</v>
      </c>
      <c r="BI87" s="58">
        <f t="shared" si="1067"/>
        <v>187208</v>
      </c>
      <c r="BJ87" s="58">
        <f t="shared" si="1067"/>
        <v>1210738</v>
      </c>
      <c r="BK87" s="58">
        <f t="shared" si="1067"/>
        <v>153447</v>
      </c>
      <c r="BL87" s="58">
        <f t="shared" si="1067"/>
        <v>660951</v>
      </c>
      <c r="BM87" s="58">
        <f t="shared" si="1067"/>
        <v>983394</v>
      </c>
      <c r="BN87" s="58">
        <f t="shared" si="1067"/>
        <v>796795.2</v>
      </c>
      <c r="BO87" s="58">
        <f t="shared" si="1067"/>
        <v>0</v>
      </c>
      <c r="BP87" s="58">
        <f t="shared" si="1067"/>
        <v>0</v>
      </c>
      <c r="BQ87" s="58">
        <f t="shared" si="1067"/>
        <v>7405702.2000000002</v>
      </c>
      <c r="BR87" s="118">
        <f t="shared" si="389"/>
        <v>0.42284857142857135</v>
      </c>
      <c r="BS87" s="58">
        <f t="shared" ref="BS87:CE87" si="1068">+SUM(BS88:BS89)</f>
        <v>560000</v>
      </c>
      <c r="BT87" s="58">
        <f t="shared" si="1068"/>
        <v>525000</v>
      </c>
      <c r="BU87" s="58">
        <f t="shared" si="1068"/>
        <v>770000</v>
      </c>
      <c r="BV87" s="58">
        <f t="shared" si="1068"/>
        <v>525000</v>
      </c>
      <c r="BW87" s="58">
        <f t="shared" si="1068"/>
        <v>630000</v>
      </c>
      <c r="BX87" s="58">
        <f t="shared" si="1068"/>
        <v>525000</v>
      </c>
      <c r="BY87" s="58">
        <f t="shared" si="1068"/>
        <v>595000</v>
      </c>
      <c r="BZ87" s="58">
        <f t="shared" si="1068"/>
        <v>700000</v>
      </c>
      <c r="CA87" s="58">
        <f t="shared" si="1068"/>
        <v>595000</v>
      </c>
      <c r="CB87" s="58">
        <f t="shared" si="1068"/>
        <v>560000</v>
      </c>
      <c r="CC87" s="58">
        <f t="shared" si="1068"/>
        <v>490000</v>
      </c>
      <c r="CD87" s="58">
        <f t="shared" si="1068"/>
        <v>735000</v>
      </c>
      <c r="CE87" s="58">
        <f t="shared" si="1068"/>
        <v>7210000</v>
      </c>
      <c r="CF87" s="22"/>
      <c r="CG87" s="58">
        <f t="shared" ref="CG87:CS87" si="1069">+SUM(CG88:CG89)</f>
        <v>179414.35</v>
      </c>
      <c r="CH87" s="58">
        <f t="shared" si="1069"/>
        <v>368137.1</v>
      </c>
      <c r="CI87" s="58">
        <f t="shared" si="1069"/>
        <v>640824.69999999995</v>
      </c>
      <c r="CJ87" s="58">
        <f t="shared" si="1069"/>
        <v>90000</v>
      </c>
      <c r="CK87" s="58">
        <f t="shared" si="1069"/>
        <v>276106.59999999998</v>
      </c>
      <c r="CL87" s="58">
        <f t="shared" si="1069"/>
        <v>409864.15</v>
      </c>
      <c r="CM87" s="58">
        <f t="shared" si="1069"/>
        <v>424754.1</v>
      </c>
      <c r="CN87" s="58">
        <f t="shared" si="1069"/>
        <v>450375</v>
      </c>
      <c r="CO87" s="58">
        <f t="shared" si="1069"/>
        <v>123742.65</v>
      </c>
      <c r="CP87" s="58">
        <f t="shared" si="1069"/>
        <v>184024.95</v>
      </c>
      <c r="CQ87" s="58">
        <f t="shared" si="1069"/>
        <v>750989.7</v>
      </c>
      <c r="CR87" s="58">
        <f t="shared" si="1069"/>
        <v>331840.5</v>
      </c>
      <c r="CS87" s="58">
        <f t="shared" si="1069"/>
        <v>4230073.8</v>
      </c>
      <c r="CT87" s="18" t="str">
        <f t="shared" si="875"/>
        <v>Incentive</v>
      </c>
      <c r="CU87" s="58">
        <f t="shared" ref="CU87:DG87" si="1070">+SUM(CU88:CU89)</f>
        <v>224333</v>
      </c>
      <c r="CV87" s="58">
        <f t="shared" si="1070"/>
        <v>56097</v>
      </c>
      <c r="CW87" s="58">
        <f t="shared" si="1070"/>
        <v>610400</v>
      </c>
      <c r="CX87" s="58">
        <f t="shared" si="1070"/>
        <v>134205</v>
      </c>
      <c r="CY87" s="58">
        <f t="shared" si="1070"/>
        <v>471000</v>
      </c>
      <c r="CZ87" s="58">
        <f t="shared" si="1070"/>
        <v>134866</v>
      </c>
      <c r="DA87" s="58">
        <f t="shared" si="1070"/>
        <v>411797</v>
      </c>
      <c r="DB87" s="58">
        <f t="shared" si="1070"/>
        <v>835082</v>
      </c>
      <c r="DC87" s="58">
        <f t="shared" si="1070"/>
        <v>56523</v>
      </c>
      <c r="DD87" s="58">
        <f t="shared" si="1070"/>
        <v>670185.69999999995</v>
      </c>
      <c r="DE87" s="58">
        <f t="shared" si="1070"/>
        <v>0</v>
      </c>
      <c r="DF87" s="58">
        <f t="shared" si="1070"/>
        <v>0</v>
      </c>
      <c r="DG87" s="58">
        <f t="shared" si="1070"/>
        <v>3604488.7</v>
      </c>
      <c r="DH87" s="118">
        <f t="shared" si="390"/>
        <v>0.36772591836734686</v>
      </c>
      <c r="DI87" s="58">
        <f t="shared" ref="DI87:DU87" si="1071">+SUM(DI88:DI89)</f>
        <v>455000</v>
      </c>
      <c r="DJ87" s="58">
        <f t="shared" si="1071"/>
        <v>490000</v>
      </c>
      <c r="DK87" s="58">
        <f t="shared" si="1071"/>
        <v>525000</v>
      </c>
      <c r="DL87" s="58">
        <f t="shared" si="1071"/>
        <v>525000</v>
      </c>
      <c r="DM87" s="58">
        <f t="shared" si="1071"/>
        <v>490000</v>
      </c>
      <c r="DN87" s="58">
        <f t="shared" si="1071"/>
        <v>455000</v>
      </c>
      <c r="DO87" s="58">
        <f t="shared" si="1071"/>
        <v>420000</v>
      </c>
      <c r="DP87" s="58">
        <f t="shared" si="1071"/>
        <v>490000</v>
      </c>
      <c r="DQ87" s="58">
        <f t="shared" si="1071"/>
        <v>595000</v>
      </c>
      <c r="DR87" s="58">
        <f t="shared" si="1071"/>
        <v>490000</v>
      </c>
      <c r="DS87" s="58">
        <f t="shared" si="1071"/>
        <v>490000</v>
      </c>
      <c r="DT87" s="58">
        <f t="shared" si="1071"/>
        <v>560000</v>
      </c>
      <c r="DU87" s="58">
        <f t="shared" si="1071"/>
        <v>5985000</v>
      </c>
    </row>
    <row r="88" spans="1:125" ht="14.45" hidden="1" customHeight="1" outlineLevel="2">
      <c r="A88" s="106">
        <f t="shared" ref="A88:A89" si="1072">+AQ88+CG88</f>
        <v>645477.6115</v>
      </c>
      <c r="B88" s="106">
        <f t="shared" ref="B88:B89" si="1073">+AR88+CH88</f>
        <v>1348318.7</v>
      </c>
      <c r="C88" s="106">
        <f t="shared" ref="C88:C89" si="1074">+AS88+CI88</f>
        <v>1640477.9</v>
      </c>
      <c r="D88" s="106">
        <f t="shared" ref="D88:D89" si="1075">+AT88+CJ88</f>
        <v>413135.71614000009</v>
      </c>
      <c r="E88" s="106">
        <f t="shared" ref="E88:E89" si="1076">+AU88+CK88</f>
        <v>677780.2</v>
      </c>
      <c r="F88" s="106">
        <f t="shared" ref="F88:F89" si="1077">+AV88+CL88</f>
        <v>1094089.55</v>
      </c>
      <c r="G88" s="106">
        <f t="shared" ref="G88:G89" si="1078">+AW88+CM88</f>
        <v>832748.7</v>
      </c>
      <c r="H88" s="106">
        <f t="shared" ref="H88:H89" si="1079">+AX88+CN88</f>
        <v>971375</v>
      </c>
      <c r="I88" s="106">
        <f t="shared" ref="I88:I89" si="1080">+AY88+CO88</f>
        <v>531899.05000000005</v>
      </c>
      <c r="J88" s="106">
        <f t="shared" ref="J88:J89" si="1081">+AZ88+CP88</f>
        <v>860876.14999999991</v>
      </c>
      <c r="K88" s="106">
        <f t="shared" ref="K88:K89" si="1082">+BA88+CQ88</f>
        <v>1303628.8999999999</v>
      </c>
      <c r="L88" s="106">
        <f t="shared" ref="L88:L89" si="1083">+BB88+CR88</f>
        <v>954154.5</v>
      </c>
      <c r="M88" s="106">
        <f t="shared" si="1036"/>
        <v>11273961.977639999</v>
      </c>
      <c r="N88" s="16" t="s">
        <v>222</v>
      </c>
      <c r="O88" s="106">
        <f t="shared" ref="O88:O89" si="1084">+BE88+CU88</f>
        <v>1226926</v>
      </c>
      <c r="P88" s="106">
        <f t="shared" ref="P88:P89" si="1085">+BF88+CV88</f>
        <v>1223281</v>
      </c>
      <c r="Q88" s="106">
        <f t="shared" ref="Q88:Q89" si="1086">+BG88+CW88</f>
        <v>1475160</v>
      </c>
      <c r="R88" s="106">
        <f t="shared" ref="R88:R89" si="1087">+BH88+CX88</f>
        <v>512837</v>
      </c>
      <c r="S88" s="106">
        <f t="shared" ref="S88:S89" si="1088">+BI88+CY88</f>
        <v>658208</v>
      </c>
      <c r="T88" s="106">
        <f t="shared" ref="T88:T89" si="1089">+BJ88+CZ88</f>
        <v>1345604</v>
      </c>
      <c r="U88" s="106">
        <f t="shared" ref="U88:U89" si="1090">+BK88+DA88</f>
        <v>565244</v>
      </c>
      <c r="V88" s="106">
        <f t="shared" ref="V88:V89" si="1091">+BL88+DB88</f>
        <v>1496033</v>
      </c>
      <c r="W88" s="106">
        <f t="shared" ref="W88:W89" si="1092">+BM88+DC88</f>
        <v>1039917</v>
      </c>
      <c r="X88" s="106">
        <f t="shared" ref="X88:X89" si="1093">+BN88+DD88</f>
        <v>1466980.9</v>
      </c>
      <c r="Y88" s="106">
        <f t="shared" ref="Y88:Y89" si="1094">+BO88+DE88</f>
        <v>0</v>
      </c>
      <c r="Z88" s="106">
        <f t="shared" ref="Z88:Z89" si="1095">+BP88+DF88</f>
        <v>0</v>
      </c>
      <c r="AA88" s="106">
        <f t="shared" ref="AA88:AA89" si="1096">+SUM(O88:Z88)</f>
        <v>11010190.9</v>
      </c>
      <c r="AB88" s="118">
        <f t="shared" si="374"/>
        <v>0.39712466666666657</v>
      </c>
      <c r="AC88" s="106">
        <f t="shared" ref="AC88:AC89" si="1097">+BS88+DI88</f>
        <v>1015000</v>
      </c>
      <c r="AD88" s="106">
        <f t="shared" ref="AD88:AD89" si="1098">+BT88+DJ88</f>
        <v>1015000</v>
      </c>
      <c r="AE88" s="106">
        <f t="shared" ref="AE88:AE89" si="1099">+BU88+DK88</f>
        <v>1295000</v>
      </c>
      <c r="AF88" s="106">
        <f t="shared" ref="AF88:AF89" si="1100">+BV88+DL88</f>
        <v>1050000</v>
      </c>
      <c r="AG88" s="106">
        <f t="shared" ref="AG88:AG89" si="1101">+BW88+DM88</f>
        <v>1120000</v>
      </c>
      <c r="AH88" s="106">
        <f t="shared" ref="AH88:AH89" si="1102">+BX88+DN88</f>
        <v>980000</v>
      </c>
      <c r="AI88" s="106">
        <f t="shared" ref="AI88:AI89" si="1103">+BY88+DO88</f>
        <v>1015000</v>
      </c>
      <c r="AJ88" s="106">
        <f t="shared" ref="AJ88:AJ89" si="1104">+BZ88+DP88</f>
        <v>1190000</v>
      </c>
      <c r="AK88" s="106">
        <f t="shared" ref="AK88:AK89" si="1105">+CA88+DQ88</f>
        <v>1190000</v>
      </c>
      <c r="AL88" s="106">
        <f t="shared" ref="AL88:AL89" si="1106">+CB88+DR88</f>
        <v>1050000</v>
      </c>
      <c r="AM88" s="106">
        <f t="shared" ref="AM88:AM89" si="1107">+CC88+DS88</f>
        <v>980000</v>
      </c>
      <c r="AN88" s="106">
        <f t="shared" ref="AN88:AN89" si="1108">+CD88+DT88</f>
        <v>1295000</v>
      </c>
      <c r="AO88" s="106">
        <f t="shared" ref="AO88:AO89" si="1109">+SUM(AC88:AN88)</f>
        <v>13195000</v>
      </c>
      <c r="AQ88" s="106">
        <v>466063.26150000002</v>
      </c>
      <c r="AR88" s="106">
        <v>980181.6</v>
      </c>
      <c r="AS88" s="106">
        <v>999653.2</v>
      </c>
      <c r="AT88" s="106">
        <v>323135.71614000009</v>
      </c>
      <c r="AU88" s="106">
        <v>401673.6</v>
      </c>
      <c r="AV88" s="106">
        <v>684225.4</v>
      </c>
      <c r="AW88" s="106">
        <v>407994.6</v>
      </c>
      <c r="AX88" s="106">
        <v>521000</v>
      </c>
      <c r="AY88" s="106">
        <v>408156.4</v>
      </c>
      <c r="AZ88" s="106">
        <v>676851.19999999995</v>
      </c>
      <c r="BA88" s="106">
        <v>552639.19999999995</v>
      </c>
      <c r="BB88" s="106">
        <v>622314</v>
      </c>
      <c r="BC88" s="106"/>
      <c r="BD88" s="16" t="str">
        <f t="shared" si="871"/>
        <v>Incentive to Employee</v>
      </c>
      <c r="BE88" s="106">
        <f>+VLOOKUP($BD88,'Jan-25'!$A:$J,2,0)</f>
        <v>1002593</v>
      </c>
      <c r="BF88" s="106">
        <f>+VLOOKUP($BD88,'Feb-25'!$A:$J,2,0)</f>
        <v>1167184</v>
      </c>
      <c r="BG88" s="106">
        <f>+VLOOKUP($BD88,'Mar-25'!$A:$J,2,0)</f>
        <v>864760</v>
      </c>
      <c r="BH88" s="106">
        <f>+VLOOKUP($BD88,'Apr-25'!$A:$J,2,0)</f>
        <v>378632</v>
      </c>
      <c r="BI88" s="106">
        <f>+VLOOKUP($BD88,'May-25'!$A:$J,2,0)</f>
        <v>187208</v>
      </c>
      <c r="BJ88" s="106">
        <f>+VLOOKUP($BD88,'June-25'!$A:$J,2,0)</f>
        <v>1210738</v>
      </c>
      <c r="BK88" s="106">
        <f>+VLOOKUP($BD88,'July-25'!$A:$J,2,0)</f>
        <v>153447</v>
      </c>
      <c r="BL88" s="106">
        <f>+VLOOKUP($BD88,'Aug-25'!$A:$J,2,0)</f>
        <v>660951</v>
      </c>
      <c r="BM88" s="106">
        <f>+VLOOKUP($BD88,'Sep-25'!$A:$J,2,0)</f>
        <v>983394</v>
      </c>
      <c r="BN88" s="106">
        <f>+VLOOKUP($BD88,'Oct-25'!$A:$J,2,0)</f>
        <v>796795.2</v>
      </c>
      <c r="BO88" s="106">
        <f>+VLOOKUP($BD88,'Nov-25'!$A:$J,2,0)</f>
        <v>0</v>
      </c>
      <c r="BP88" s="106">
        <f>+VLOOKUP($BD88,'Dec-25'!$A:$J,2,0)</f>
        <v>0</v>
      </c>
      <c r="BQ88" s="106">
        <f t="shared" ref="BQ88:BQ89" si="1110">+SUM(BE88:BP88)</f>
        <v>7405702.2000000002</v>
      </c>
      <c r="BR88" s="118">
        <f t="shared" si="389"/>
        <v>0.42284857142857135</v>
      </c>
      <c r="BS88" s="106" cm="1">
        <f t="array" ref="BS88:CD88">+_xlfn.XLOOKUP(BD88,Budget!A:A,Budget!Q:AB)</f>
        <v>560000</v>
      </c>
      <c r="BT88" s="106">
        <v>525000</v>
      </c>
      <c r="BU88" s="106">
        <v>770000</v>
      </c>
      <c r="BV88" s="106">
        <v>525000</v>
      </c>
      <c r="BW88" s="106">
        <v>630000</v>
      </c>
      <c r="BX88" s="106">
        <v>525000</v>
      </c>
      <c r="BY88" s="106">
        <v>595000</v>
      </c>
      <c r="BZ88" s="106">
        <v>700000</v>
      </c>
      <c r="CA88" s="106">
        <v>595000</v>
      </c>
      <c r="CB88" s="106">
        <v>560000</v>
      </c>
      <c r="CC88" s="106">
        <v>490000</v>
      </c>
      <c r="CD88" s="106">
        <v>735000</v>
      </c>
      <c r="CE88" s="106">
        <f t="shared" ref="CE88" si="1111">+SUM(BS88:CD88)</f>
        <v>7210000</v>
      </c>
      <c r="CF88" s="22"/>
      <c r="CG88" s="106">
        <v>179414.35</v>
      </c>
      <c r="CH88" s="106">
        <v>368137.1</v>
      </c>
      <c r="CI88" s="106">
        <v>640824.69999999995</v>
      </c>
      <c r="CJ88" s="106">
        <v>90000</v>
      </c>
      <c r="CK88" s="106">
        <v>276106.59999999998</v>
      </c>
      <c r="CL88" s="106">
        <v>409864.15</v>
      </c>
      <c r="CM88" s="106">
        <v>424754.1</v>
      </c>
      <c r="CN88" s="106">
        <v>450375</v>
      </c>
      <c r="CO88" s="106">
        <v>123742.65</v>
      </c>
      <c r="CP88" s="106">
        <v>184024.95</v>
      </c>
      <c r="CQ88" s="106">
        <v>750989.7</v>
      </c>
      <c r="CR88" s="106">
        <v>331840.5</v>
      </c>
      <c r="CS88" s="106">
        <f t="shared" si="1033"/>
        <v>4230073.8</v>
      </c>
      <c r="CT88" s="16" t="str">
        <f t="shared" si="875"/>
        <v>Incentive to Employee</v>
      </c>
      <c r="CU88" s="106">
        <f>+VLOOKUP($BD88,'Jan-25'!$A:$J,6,0)</f>
        <v>224333</v>
      </c>
      <c r="CV88" s="106">
        <f>+VLOOKUP($BD88,'Feb-25'!$A:$J,6,0)</f>
        <v>56097</v>
      </c>
      <c r="CW88" s="106">
        <f>+VLOOKUP($BD88,'Mar-25'!$A:$J,6,0)</f>
        <v>610400</v>
      </c>
      <c r="CX88" s="106">
        <f>+VLOOKUP($BD88,'Apr-25'!$A:$J,6,0)</f>
        <v>134205</v>
      </c>
      <c r="CY88" s="106">
        <f>+VLOOKUP($BD88,'May-25'!$A:$J,6,0)</f>
        <v>471000</v>
      </c>
      <c r="CZ88" s="106">
        <f>+VLOOKUP($BD88,'June-25'!$A:$J,6,0)</f>
        <v>134866</v>
      </c>
      <c r="DA88" s="106">
        <f>+VLOOKUP($BD88,'July-25'!$A:$J,6,0)</f>
        <v>411797</v>
      </c>
      <c r="DB88" s="106">
        <f>+VLOOKUP($BD88,'Aug-25'!$A:$J,6,0)</f>
        <v>835082</v>
      </c>
      <c r="DC88" s="106">
        <f>+VLOOKUP($BD88,'Sep-25'!$A:$J,6,0)</f>
        <v>56523</v>
      </c>
      <c r="DD88" s="106">
        <f>+VLOOKUP($BD88,'Oct-25'!$A:$J,6,0)</f>
        <v>670185.69999999995</v>
      </c>
      <c r="DE88" s="106">
        <f>+VLOOKUP($BD88,'Nov-25'!$A:$J,6,0)</f>
        <v>0</v>
      </c>
      <c r="DF88" s="106">
        <f>+VLOOKUP($BD88,'Dec-25'!$A:$J,6,0)</f>
        <v>0</v>
      </c>
      <c r="DG88" s="106">
        <f t="shared" si="1034"/>
        <v>3604488.7</v>
      </c>
      <c r="DH88" s="118">
        <f t="shared" si="390"/>
        <v>0.36772591836734686</v>
      </c>
      <c r="DI88" s="106">
        <f>+_xlfn.XLOOKUP($CT88,Budget!$A:$A,Budget!BQ:BQ)</f>
        <v>455000</v>
      </c>
      <c r="DJ88" s="106">
        <f>+_xlfn.XLOOKUP($CT88,Budget!$A:$A,Budget!BR:BR)</f>
        <v>490000</v>
      </c>
      <c r="DK88" s="106">
        <f>+_xlfn.XLOOKUP($CT88,Budget!$A:$A,Budget!BS:BS)</f>
        <v>525000</v>
      </c>
      <c r="DL88" s="106">
        <f>+_xlfn.XLOOKUP($CT88,Budget!$A:$A,Budget!BT:BT)</f>
        <v>525000</v>
      </c>
      <c r="DM88" s="106">
        <f>+_xlfn.XLOOKUP($CT88,Budget!$A:$A,Budget!BU:BU)</f>
        <v>490000</v>
      </c>
      <c r="DN88" s="106">
        <f>+_xlfn.XLOOKUP($CT88,Budget!$A:$A,Budget!BV:BV)</f>
        <v>455000</v>
      </c>
      <c r="DO88" s="106">
        <f>+_xlfn.XLOOKUP($CT88,Budget!$A:$A,Budget!BW:BW)</f>
        <v>420000</v>
      </c>
      <c r="DP88" s="106">
        <f>+_xlfn.XLOOKUP($CT88,Budget!$A:$A,Budget!BX:BX)</f>
        <v>490000</v>
      </c>
      <c r="DQ88" s="106">
        <f>+_xlfn.XLOOKUP($CT88,Budget!$A:$A,Budget!BY:BY)</f>
        <v>595000</v>
      </c>
      <c r="DR88" s="106">
        <f>+_xlfn.XLOOKUP($CT88,Budget!$A:$A,Budget!BZ:BZ)</f>
        <v>490000</v>
      </c>
      <c r="DS88" s="106">
        <f>+_xlfn.XLOOKUP($CT88,Budget!$A:$A,Budget!CA:CA)</f>
        <v>490000</v>
      </c>
      <c r="DT88" s="106">
        <f>+_xlfn.XLOOKUP($CT88,Budget!$A:$A,Budget!CB:CB)</f>
        <v>560000</v>
      </c>
      <c r="DU88" s="106">
        <f t="shared" si="1035"/>
        <v>5985000</v>
      </c>
    </row>
    <row r="89" spans="1:125" ht="14.45" hidden="1" customHeight="1" outlineLevel="2">
      <c r="A89" s="106">
        <f t="shared" si="1072"/>
        <v>0</v>
      </c>
      <c r="B89" s="106">
        <f t="shared" si="1073"/>
        <v>0</v>
      </c>
      <c r="C89" s="106">
        <f t="shared" si="1074"/>
        <v>0</v>
      </c>
      <c r="D89" s="106">
        <f t="shared" si="1075"/>
        <v>0</v>
      </c>
      <c r="E89" s="106">
        <f t="shared" si="1076"/>
        <v>0</v>
      </c>
      <c r="F89" s="106">
        <f t="shared" si="1077"/>
        <v>0</v>
      </c>
      <c r="G89" s="106">
        <f t="shared" si="1078"/>
        <v>0</v>
      </c>
      <c r="H89" s="106">
        <f t="shared" si="1079"/>
        <v>0</v>
      </c>
      <c r="I89" s="106">
        <f t="shared" si="1080"/>
        <v>0</v>
      </c>
      <c r="J89" s="106">
        <f t="shared" si="1081"/>
        <v>0</v>
      </c>
      <c r="K89" s="106">
        <f t="shared" si="1082"/>
        <v>0</v>
      </c>
      <c r="L89" s="106">
        <f t="shared" si="1083"/>
        <v>0</v>
      </c>
      <c r="M89" s="106">
        <f t="shared" si="1036"/>
        <v>0</v>
      </c>
      <c r="N89" s="16" t="s">
        <v>223</v>
      </c>
      <c r="O89" s="106">
        <f t="shared" si="1084"/>
        <v>0</v>
      </c>
      <c r="P89" s="106">
        <f t="shared" si="1085"/>
        <v>0</v>
      </c>
      <c r="Q89" s="106">
        <f t="shared" si="1086"/>
        <v>0</v>
      </c>
      <c r="R89" s="106">
        <f t="shared" si="1087"/>
        <v>0</v>
      </c>
      <c r="S89" s="106">
        <f t="shared" si="1088"/>
        <v>0</v>
      </c>
      <c r="T89" s="106">
        <f t="shared" si="1089"/>
        <v>0</v>
      </c>
      <c r="U89" s="106">
        <f t="shared" si="1090"/>
        <v>0</v>
      </c>
      <c r="V89" s="106">
        <f t="shared" si="1091"/>
        <v>0</v>
      </c>
      <c r="W89" s="106">
        <f t="shared" si="1092"/>
        <v>0</v>
      </c>
      <c r="X89" s="106">
        <f t="shared" si="1093"/>
        <v>0</v>
      </c>
      <c r="Y89" s="106">
        <f t="shared" si="1094"/>
        <v>0</v>
      </c>
      <c r="Z89" s="106">
        <f t="shared" si="1095"/>
        <v>0</v>
      </c>
      <c r="AA89" s="106">
        <f t="shared" si="1096"/>
        <v>0</v>
      </c>
      <c r="AB89" s="118">
        <f t="shared" si="374"/>
        <v>0</v>
      </c>
      <c r="AC89" s="106">
        <f t="shared" si="1097"/>
        <v>0</v>
      </c>
      <c r="AD89" s="106">
        <f t="shared" si="1098"/>
        <v>0</v>
      </c>
      <c r="AE89" s="106">
        <f t="shared" si="1099"/>
        <v>0</v>
      </c>
      <c r="AF89" s="106">
        <f t="shared" si="1100"/>
        <v>0</v>
      </c>
      <c r="AG89" s="106">
        <f t="shared" si="1101"/>
        <v>0</v>
      </c>
      <c r="AH89" s="106">
        <f t="shared" si="1102"/>
        <v>0</v>
      </c>
      <c r="AI89" s="106">
        <f t="shared" si="1103"/>
        <v>0</v>
      </c>
      <c r="AJ89" s="106">
        <f t="shared" si="1104"/>
        <v>0</v>
      </c>
      <c r="AK89" s="106">
        <f t="shared" si="1105"/>
        <v>0</v>
      </c>
      <c r="AL89" s="106">
        <f t="shared" si="1106"/>
        <v>0</v>
      </c>
      <c r="AM89" s="106">
        <f t="shared" si="1107"/>
        <v>0</v>
      </c>
      <c r="AN89" s="106">
        <f t="shared" si="1108"/>
        <v>0</v>
      </c>
      <c r="AO89" s="106">
        <f t="shared" si="1109"/>
        <v>0</v>
      </c>
      <c r="AQ89" s="106">
        <v>0</v>
      </c>
      <c r="AR89" s="106">
        <v>0</v>
      </c>
      <c r="AS89" s="106">
        <v>0</v>
      </c>
      <c r="AT89" s="106">
        <v>0</v>
      </c>
      <c r="AU89" s="106">
        <v>0</v>
      </c>
      <c r="AV89" s="106">
        <v>0</v>
      </c>
      <c r="AW89" s="106">
        <v>0</v>
      </c>
      <c r="AX89" s="106">
        <v>0</v>
      </c>
      <c r="AY89" s="106">
        <v>0</v>
      </c>
      <c r="AZ89" s="106">
        <v>0</v>
      </c>
      <c r="BA89" s="106">
        <v>0</v>
      </c>
      <c r="BB89" s="106">
        <v>0</v>
      </c>
      <c r="BC89" s="106"/>
      <c r="BD89" s="16" t="str">
        <f t="shared" si="871"/>
        <v>XOXODAY MBIL Incentive</v>
      </c>
      <c r="BE89" s="106">
        <f>+VLOOKUP($BD89,'Jan-25'!$A:$J,2,0)</f>
        <v>0</v>
      </c>
      <c r="BF89" s="106">
        <f>+VLOOKUP($BD89,'Feb-25'!$A:$J,2,0)</f>
        <v>0</v>
      </c>
      <c r="BG89" s="106">
        <f>+VLOOKUP($BD89,'Mar-25'!$A:$J,2,0)</f>
        <v>0</v>
      </c>
      <c r="BH89" s="106">
        <f>+VLOOKUP($BD89,'Apr-25'!$A:$J,2,0)</f>
        <v>0</v>
      </c>
      <c r="BI89" s="106">
        <f>+VLOOKUP($BD89,'May-25'!$A:$J,2,0)</f>
        <v>0</v>
      </c>
      <c r="BJ89" s="106">
        <f>+VLOOKUP($BD89,'June-25'!$A:$J,2,0)</f>
        <v>0</v>
      </c>
      <c r="BK89" s="106">
        <f>+VLOOKUP($BD89,'July-25'!$A:$J,2,0)</f>
        <v>0</v>
      </c>
      <c r="BL89" s="106">
        <f>+VLOOKUP($BD89,'Aug-25'!$A:$J,2,0)</f>
        <v>0</v>
      </c>
      <c r="BM89" s="106">
        <f>+VLOOKUP($BD89,'Sep-25'!$A:$J,2,0)</f>
        <v>0</v>
      </c>
      <c r="BN89" s="106">
        <f>+VLOOKUP($BD89,'Oct-25'!$A:$J,2,0)</f>
        <v>0</v>
      </c>
      <c r="BO89" s="106">
        <f>+VLOOKUP($BD89,'Nov-25'!$A:$J,2,0)</f>
        <v>0</v>
      </c>
      <c r="BP89" s="106">
        <f>+VLOOKUP($BD89,'Dec-25'!$A:$J,2,0)</f>
        <v>0</v>
      </c>
      <c r="BQ89" s="106">
        <f t="shared" si="1110"/>
        <v>0</v>
      </c>
      <c r="BR89" s="118">
        <f t="shared" si="389"/>
        <v>0</v>
      </c>
      <c r="BS89" s="106"/>
      <c r="BT89" s="106"/>
      <c r="BU89" s="106"/>
      <c r="BV89" s="106"/>
      <c r="BW89" s="106"/>
      <c r="BX89" s="106"/>
      <c r="BY89" s="106"/>
      <c r="BZ89" s="106"/>
      <c r="CA89" s="106"/>
      <c r="CB89" s="106"/>
      <c r="CC89" s="106"/>
      <c r="CD89" s="106"/>
      <c r="CE89" s="106"/>
      <c r="CF89" s="22"/>
      <c r="CG89" s="106"/>
      <c r="CH89" s="106"/>
      <c r="CI89" s="106"/>
      <c r="CJ89" s="106"/>
      <c r="CK89" s="106"/>
      <c r="CL89" s="106"/>
      <c r="CM89" s="106"/>
      <c r="CN89" s="106"/>
      <c r="CO89" s="106"/>
      <c r="CP89" s="106"/>
      <c r="CQ89" s="106"/>
      <c r="CR89" s="106"/>
      <c r="CS89" s="106"/>
      <c r="CT89" s="16" t="str">
        <f t="shared" si="875"/>
        <v>XOXODAY MBIL Incentive</v>
      </c>
      <c r="CU89" s="106">
        <f>+VLOOKUP($BD89,'Jan-25'!$A:$J,6,0)</f>
        <v>0</v>
      </c>
      <c r="CV89" s="106">
        <f>+VLOOKUP($BD89,'Feb-25'!$A:$J,6,0)</f>
        <v>0</v>
      </c>
      <c r="CW89" s="106">
        <f>+VLOOKUP($BD89,'Mar-25'!$A:$J,6,0)</f>
        <v>0</v>
      </c>
      <c r="CX89" s="106">
        <f>+VLOOKUP($BD89,'Apr-25'!$A:$J,6,0)</f>
        <v>0</v>
      </c>
      <c r="CY89" s="106">
        <f>+VLOOKUP($BD89,'May-25'!$A:$J,6,0)</f>
        <v>0</v>
      </c>
      <c r="CZ89" s="106">
        <f>+VLOOKUP($BD89,'June-25'!$A:$J,6,0)</f>
        <v>0</v>
      </c>
      <c r="DA89" s="106">
        <f>+VLOOKUP($BD89,'July-25'!$A:$J,6,0)</f>
        <v>0</v>
      </c>
      <c r="DB89" s="106">
        <f>+VLOOKUP($BD89,'Aug-25'!$A:$J,6,0)</f>
        <v>0</v>
      </c>
      <c r="DC89" s="106">
        <f>+VLOOKUP($BD89,'Sep-25'!$A:$J,6,0)</f>
        <v>0</v>
      </c>
      <c r="DD89" s="106">
        <f>+VLOOKUP($BD89,'Oct-25'!$A:$J,6,0)</f>
        <v>0</v>
      </c>
      <c r="DE89" s="106">
        <f>+VLOOKUP($BD89,'Nov-25'!$A:$J,6,0)</f>
        <v>0</v>
      </c>
      <c r="DF89" s="106">
        <f>+VLOOKUP($BD89,'Dec-25'!$A:$J,6,0)</f>
        <v>0</v>
      </c>
      <c r="DG89" s="106"/>
      <c r="DH89" s="118">
        <f t="shared" si="390"/>
        <v>0</v>
      </c>
      <c r="DI89" s="106"/>
      <c r="DJ89" s="106"/>
      <c r="DK89" s="106"/>
      <c r="DL89" s="106"/>
      <c r="DM89" s="106"/>
      <c r="DN89" s="106"/>
      <c r="DO89" s="106"/>
      <c r="DP89" s="106"/>
      <c r="DQ89" s="106"/>
      <c r="DR89" s="106"/>
      <c r="DS89" s="106"/>
      <c r="DT89" s="106"/>
      <c r="DU89" s="106"/>
    </row>
    <row r="90" spans="1:125" ht="14.45" hidden="1" customHeight="1" outlineLevel="1">
      <c r="A90" s="58">
        <f t="shared" ref="A90:M90" si="1112">+SUM(A91:A102)</f>
        <v>739138.69</v>
      </c>
      <c r="B90" s="58">
        <f t="shared" si="1112"/>
        <v>484964.66000000003</v>
      </c>
      <c r="C90" s="58">
        <f t="shared" si="1112"/>
        <v>795607.44000000006</v>
      </c>
      <c r="D90" s="58">
        <f t="shared" si="1112"/>
        <v>1001091.3500000001</v>
      </c>
      <c r="E90" s="58">
        <f t="shared" si="1112"/>
        <v>878305.55</v>
      </c>
      <c r="F90" s="58">
        <f t="shared" si="1112"/>
        <v>873692.39</v>
      </c>
      <c r="G90" s="58">
        <f t="shared" si="1112"/>
        <v>889114.05000000016</v>
      </c>
      <c r="H90" s="58">
        <f t="shared" si="1112"/>
        <v>917897.34</v>
      </c>
      <c r="I90" s="58">
        <f t="shared" si="1112"/>
        <v>917647.83000000007</v>
      </c>
      <c r="J90" s="58">
        <f t="shared" si="1112"/>
        <v>581289.05500000005</v>
      </c>
      <c r="K90" s="58">
        <f t="shared" si="1112"/>
        <v>709562.99</v>
      </c>
      <c r="L90" s="58">
        <f t="shared" si="1112"/>
        <v>1580857.0449999999</v>
      </c>
      <c r="M90" s="58">
        <f t="shared" si="1112"/>
        <v>10369168.390000001</v>
      </c>
      <c r="N90" s="18" t="s">
        <v>72</v>
      </c>
      <c r="O90" s="58">
        <f t="shared" ref="O90" si="1113">+SUM(O91:O102)</f>
        <v>1206480.885</v>
      </c>
      <c r="P90" s="58">
        <f t="shared" ref="P90" si="1114">+SUM(P91:P102)</f>
        <v>779812.59000000008</v>
      </c>
      <c r="Q90" s="58">
        <f t="shared" ref="Q90" si="1115">+SUM(Q91:Q102)</f>
        <v>849635.35999999987</v>
      </c>
      <c r="R90" s="58">
        <f t="shared" ref="R90" si="1116">+SUM(R91:R102)</f>
        <v>968885.38000000012</v>
      </c>
      <c r="S90" s="58">
        <f t="shared" ref="S90" si="1117">+SUM(S91:S102)</f>
        <v>1024104.1900000001</v>
      </c>
      <c r="T90" s="58">
        <f t="shared" ref="T90" si="1118">+SUM(T91:T102)</f>
        <v>1477894.19</v>
      </c>
      <c r="U90" s="58">
        <f t="shared" ref="U90" si="1119">+SUM(U91:U102)</f>
        <v>971108.2566666666</v>
      </c>
      <c r="V90" s="58">
        <f t="shared" ref="V90" si="1120">+SUM(V91:V102)</f>
        <v>1246162.3199999998</v>
      </c>
      <c r="W90" s="58">
        <f t="shared" ref="W90" si="1121">+SUM(W91:W102)</f>
        <v>750592.17333333322</v>
      </c>
      <c r="X90" s="58">
        <f t="shared" ref="X90" si="1122">+SUM(X91:X102)</f>
        <v>1123942.0049999999</v>
      </c>
      <c r="Y90" s="58">
        <f t="shared" ref="Y90" si="1123">+SUM(Y91:Y102)</f>
        <v>0</v>
      </c>
      <c r="Z90" s="58">
        <f t="shared" ref="Z90" si="1124">+SUM(Z91:Z102)</f>
        <v>0</v>
      </c>
      <c r="AA90" s="58">
        <f t="shared" ref="AA90" si="1125">+SUM(AA91:AA102)</f>
        <v>10398617.35</v>
      </c>
      <c r="AB90" s="118">
        <f t="shared" si="374"/>
        <v>0.34442823564593289</v>
      </c>
      <c r="AC90" s="58">
        <f t="shared" ref="AC90" si="1126">+SUM(AC91:AC102)</f>
        <v>812300</v>
      </c>
      <c r="AD90" s="58">
        <f t="shared" ref="AD90" si="1127">+SUM(AD91:AD102)</f>
        <v>812300</v>
      </c>
      <c r="AE90" s="58">
        <f t="shared" ref="AE90" si="1128">+SUM(AE91:AE102)</f>
        <v>1001900</v>
      </c>
      <c r="AF90" s="58">
        <f t="shared" ref="AF90" si="1129">+SUM(AF91:AF102)</f>
        <v>836000</v>
      </c>
      <c r="AG90" s="58">
        <f t="shared" ref="AG90" si="1130">+SUM(AG91:AG102)</f>
        <v>883400</v>
      </c>
      <c r="AH90" s="58">
        <f t="shared" ref="AH90" si="1131">+SUM(AH91:AH102)</f>
        <v>788600</v>
      </c>
      <c r="AI90" s="58">
        <f t="shared" ref="AI90" si="1132">+SUM(AI91:AI102)</f>
        <v>812300</v>
      </c>
      <c r="AJ90" s="58">
        <f t="shared" ref="AJ90" si="1133">+SUM(AJ91:AJ102)</f>
        <v>930800</v>
      </c>
      <c r="AK90" s="58">
        <f t="shared" ref="AK90" si="1134">+SUM(AK91:AK102)</f>
        <v>930800</v>
      </c>
      <c r="AL90" s="58">
        <f t="shared" ref="AL90" si="1135">+SUM(AL91:AL102)</f>
        <v>836000</v>
      </c>
      <c r="AM90" s="58">
        <f t="shared" ref="AM90" si="1136">+SUM(AM91:AM102)</f>
        <v>788600</v>
      </c>
      <c r="AN90" s="58">
        <f t="shared" ref="AN90" si="1137">+SUM(AN91:AN102)</f>
        <v>1001900</v>
      </c>
      <c r="AO90" s="58">
        <f t="shared" ref="AO90" si="1138">+SUM(AO91:AO102)</f>
        <v>10434900</v>
      </c>
      <c r="AQ90" s="58">
        <f t="shared" ref="AQ90:BC90" si="1139">+SUM(AQ91:AQ102)</f>
        <v>478047.98</v>
      </c>
      <c r="AR90" s="58">
        <f t="shared" si="1139"/>
        <v>260709.96000000002</v>
      </c>
      <c r="AS90" s="58">
        <f t="shared" si="1139"/>
        <v>398691.73064516124</v>
      </c>
      <c r="AT90" s="58">
        <f t="shared" si="1139"/>
        <v>390280.54200000002</v>
      </c>
      <c r="AU90" s="58">
        <f t="shared" si="1139"/>
        <v>426773.67000000004</v>
      </c>
      <c r="AV90" s="58">
        <f t="shared" si="1139"/>
        <v>621666.44999999995</v>
      </c>
      <c r="AW90" s="58">
        <f t="shared" si="1139"/>
        <v>648042.2708695652</v>
      </c>
      <c r="AX90" s="58">
        <f t="shared" si="1139"/>
        <v>676890.53869565215</v>
      </c>
      <c r="AY90" s="58">
        <f t="shared" si="1139"/>
        <v>639710.83392857143</v>
      </c>
      <c r="AZ90" s="58">
        <f t="shared" si="1139"/>
        <v>401229.85333333333</v>
      </c>
      <c r="BA90" s="58">
        <f t="shared" si="1139"/>
        <v>528622.85333333327</v>
      </c>
      <c r="BB90" s="58">
        <f t="shared" si="1139"/>
        <v>761512.16575757577</v>
      </c>
      <c r="BC90" s="58">
        <f t="shared" si="1139"/>
        <v>6232178.8485631924</v>
      </c>
      <c r="BD90" s="18" t="str">
        <f t="shared" si="871"/>
        <v>Delivery Expenses</v>
      </c>
      <c r="BE90" s="58">
        <f t="shared" ref="BE90:BQ90" si="1140">+SUM(BE91:BE102)</f>
        <v>649502.51</v>
      </c>
      <c r="BF90" s="58">
        <f t="shared" si="1140"/>
        <v>498023.80599999998</v>
      </c>
      <c r="BG90" s="58">
        <f t="shared" si="1140"/>
        <v>630798.43199999991</v>
      </c>
      <c r="BH90" s="58">
        <f t="shared" si="1140"/>
        <v>846954.43000000017</v>
      </c>
      <c r="BI90" s="58">
        <f t="shared" si="1140"/>
        <v>690185.86</v>
      </c>
      <c r="BJ90" s="58">
        <f t="shared" si="1140"/>
        <v>1048182.324</v>
      </c>
      <c r="BK90" s="58">
        <f t="shared" si="1140"/>
        <v>610596.51166666672</v>
      </c>
      <c r="BL90" s="58">
        <f t="shared" si="1140"/>
        <v>726845.522</v>
      </c>
      <c r="BM90" s="58">
        <f t="shared" si="1140"/>
        <v>419857.05999999994</v>
      </c>
      <c r="BN90" s="58">
        <f t="shared" si="1140"/>
        <v>614482.31141935475</v>
      </c>
      <c r="BO90" s="58">
        <f t="shared" si="1140"/>
        <v>0</v>
      </c>
      <c r="BP90" s="58">
        <f t="shared" si="1140"/>
        <v>0</v>
      </c>
      <c r="BQ90" s="58">
        <f t="shared" si="1140"/>
        <v>6735428.7670860225</v>
      </c>
      <c r="BR90" s="118">
        <f t="shared" si="389"/>
        <v>0.35288928097612232</v>
      </c>
      <c r="BS90" s="58">
        <f t="shared" ref="BS90:CE90" si="1141">+SUM(BS91:BS102)</f>
        <v>454200</v>
      </c>
      <c r="BT90" s="58">
        <f t="shared" si="1141"/>
        <v>430500</v>
      </c>
      <c r="BU90" s="58">
        <f t="shared" si="1141"/>
        <v>596400</v>
      </c>
      <c r="BV90" s="58">
        <f t="shared" si="1141"/>
        <v>430500</v>
      </c>
      <c r="BW90" s="58">
        <f t="shared" si="1141"/>
        <v>501600</v>
      </c>
      <c r="BX90" s="58">
        <f t="shared" si="1141"/>
        <v>430500</v>
      </c>
      <c r="BY90" s="58">
        <f t="shared" si="1141"/>
        <v>477900</v>
      </c>
      <c r="BZ90" s="58">
        <f t="shared" si="1141"/>
        <v>549000</v>
      </c>
      <c r="CA90" s="58">
        <f t="shared" si="1141"/>
        <v>477900</v>
      </c>
      <c r="CB90" s="58">
        <f t="shared" si="1141"/>
        <v>454200</v>
      </c>
      <c r="CC90" s="58">
        <f t="shared" si="1141"/>
        <v>406800</v>
      </c>
      <c r="CD90" s="58">
        <f t="shared" si="1141"/>
        <v>572700</v>
      </c>
      <c r="CE90" s="58">
        <f t="shared" si="1141"/>
        <v>5782200</v>
      </c>
      <c r="CF90" s="22"/>
      <c r="CG90" s="58">
        <f t="shared" ref="CG90:CS90" si="1142">+SUM(CG91:CG102)</f>
        <v>261090.71</v>
      </c>
      <c r="CH90" s="58">
        <f t="shared" si="1142"/>
        <v>224254.69999999998</v>
      </c>
      <c r="CI90" s="58">
        <f t="shared" si="1142"/>
        <v>396915.70935483876</v>
      </c>
      <c r="CJ90" s="58">
        <f t="shared" si="1142"/>
        <v>610810.80799999996</v>
      </c>
      <c r="CK90" s="58">
        <f t="shared" si="1142"/>
        <v>451531.88</v>
      </c>
      <c r="CL90" s="58">
        <f t="shared" si="1142"/>
        <v>252025.93999999997</v>
      </c>
      <c r="CM90" s="58">
        <f t="shared" si="1142"/>
        <v>241071.77913043479</v>
      </c>
      <c r="CN90" s="58">
        <f t="shared" si="1142"/>
        <v>241006.80130434781</v>
      </c>
      <c r="CO90" s="58">
        <f t="shared" si="1142"/>
        <v>277936.99607142853</v>
      </c>
      <c r="CP90" s="58">
        <f t="shared" si="1142"/>
        <v>180059.20166666669</v>
      </c>
      <c r="CQ90" s="58">
        <f t="shared" si="1142"/>
        <v>180940.13666666669</v>
      </c>
      <c r="CR90" s="58">
        <f t="shared" si="1142"/>
        <v>819344.87924242427</v>
      </c>
      <c r="CS90" s="58">
        <f t="shared" si="1142"/>
        <v>4136989.5414368073</v>
      </c>
      <c r="CT90" s="18" t="str">
        <f t="shared" si="875"/>
        <v>Delivery Expenses</v>
      </c>
      <c r="CU90" s="58">
        <f t="shared" ref="CU90:DG90" si="1143">+SUM(CU91:CU102)</f>
        <v>556978.37499999988</v>
      </c>
      <c r="CV90" s="58">
        <f t="shared" si="1143"/>
        <v>281788.78400000004</v>
      </c>
      <c r="CW90" s="58">
        <f t="shared" si="1143"/>
        <v>218836.92799999999</v>
      </c>
      <c r="CX90" s="58">
        <f t="shared" si="1143"/>
        <v>121930.94999999998</v>
      </c>
      <c r="CY90" s="58">
        <f t="shared" si="1143"/>
        <v>333918.33</v>
      </c>
      <c r="CZ90" s="58">
        <f t="shared" si="1143"/>
        <v>429711.86600000004</v>
      </c>
      <c r="DA90" s="58">
        <f t="shared" si="1143"/>
        <v>360511.745</v>
      </c>
      <c r="DB90" s="58">
        <f t="shared" si="1143"/>
        <v>519316.79800000001</v>
      </c>
      <c r="DC90" s="58">
        <f t="shared" si="1143"/>
        <v>330735.11333333334</v>
      </c>
      <c r="DD90" s="58">
        <f t="shared" si="1143"/>
        <v>509459.69358064514</v>
      </c>
      <c r="DE90" s="58">
        <f t="shared" si="1143"/>
        <v>0</v>
      </c>
      <c r="DF90" s="58">
        <f t="shared" si="1143"/>
        <v>0</v>
      </c>
      <c r="DG90" s="58">
        <f t="shared" si="1143"/>
        <v>3663188.5829139794</v>
      </c>
      <c r="DH90" s="118">
        <f t="shared" si="390"/>
        <v>0.33436273855590659</v>
      </c>
      <c r="DI90" s="58">
        <f t="shared" ref="DI90:DU90" si="1144">+SUM(DI91:DI102)</f>
        <v>358100</v>
      </c>
      <c r="DJ90" s="58">
        <f t="shared" si="1144"/>
        <v>381800</v>
      </c>
      <c r="DK90" s="58">
        <f t="shared" si="1144"/>
        <v>405500</v>
      </c>
      <c r="DL90" s="58">
        <f t="shared" si="1144"/>
        <v>405500</v>
      </c>
      <c r="DM90" s="58">
        <f t="shared" si="1144"/>
        <v>381800</v>
      </c>
      <c r="DN90" s="58">
        <f t="shared" si="1144"/>
        <v>358100</v>
      </c>
      <c r="DO90" s="58">
        <f t="shared" si="1144"/>
        <v>334400</v>
      </c>
      <c r="DP90" s="58">
        <f t="shared" si="1144"/>
        <v>381800</v>
      </c>
      <c r="DQ90" s="58">
        <f t="shared" si="1144"/>
        <v>452900</v>
      </c>
      <c r="DR90" s="58">
        <f t="shared" si="1144"/>
        <v>381800</v>
      </c>
      <c r="DS90" s="58">
        <f t="shared" si="1144"/>
        <v>381800</v>
      </c>
      <c r="DT90" s="58">
        <f t="shared" si="1144"/>
        <v>429200</v>
      </c>
      <c r="DU90" s="58">
        <f t="shared" si="1144"/>
        <v>4652700</v>
      </c>
    </row>
    <row r="91" spans="1:125" ht="14.45" hidden="1" customHeight="1" outlineLevel="2">
      <c r="A91" s="106">
        <f t="shared" ref="A91:A102" si="1145">+AQ91+CG91</f>
        <v>16800</v>
      </c>
      <c r="B91" s="106">
        <f t="shared" ref="B91:B102" si="1146">+AR91+CH91</f>
        <v>0</v>
      </c>
      <c r="C91" s="106">
        <f t="shared" ref="C91:C102" si="1147">+AS91+CI91</f>
        <v>0</v>
      </c>
      <c r="D91" s="106">
        <f t="shared" ref="D91:D102" si="1148">+AT91+CJ91</f>
        <v>0</v>
      </c>
      <c r="E91" s="106">
        <f t="shared" ref="E91:E102" si="1149">+AU91+CK91</f>
        <v>25200</v>
      </c>
      <c r="F91" s="106">
        <f t="shared" ref="F91:F102" si="1150">+AV91+CL91</f>
        <v>0</v>
      </c>
      <c r="G91" s="106">
        <f t="shared" ref="G91:G102" si="1151">+AW91+CM91</f>
        <v>4800</v>
      </c>
      <c r="H91" s="106">
        <f t="shared" ref="H91:H102" si="1152">+AX91+CN91</f>
        <v>15000</v>
      </c>
      <c r="I91" s="106">
        <f t="shared" ref="I91:I102" si="1153">+AY91+CO91</f>
        <v>0</v>
      </c>
      <c r="J91" s="106">
        <f t="shared" ref="J91:J102" si="1154">+AZ91+CP91</f>
        <v>0</v>
      </c>
      <c r="K91" s="106">
        <f t="shared" ref="K91:K102" si="1155">+BA91+CQ91</f>
        <v>32900</v>
      </c>
      <c r="L91" s="106">
        <f t="shared" ref="L91:L102" si="1156">+BB91+CR91</f>
        <v>11000</v>
      </c>
      <c r="M91" s="106">
        <f t="shared" si="1036"/>
        <v>105700</v>
      </c>
      <c r="N91" s="16" t="s">
        <v>224</v>
      </c>
      <c r="O91" s="106">
        <f t="shared" ref="O91:O102" si="1157">+BE91+CU91</f>
        <v>0</v>
      </c>
      <c r="P91" s="106">
        <f t="shared" ref="P91:P102" si="1158">+BF91+CV91</f>
        <v>0</v>
      </c>
      <c r="Q91" s="106">
        <f t="shared" ref="Q91:Q102" si="1159">+BG91+CW91</f>
        <v>0</v>
      </c>
      <c r="R91" s="106">
        <f t="shared" ref="R91:R102" si="1160">+BH91+CX91</f>
        <v>0</v>
      </c>
      <c r="S91" s="106">
        <f t="shared" ref="S91:S102" si="1161">+BI91+CY91</f>
        <v>8000</v>
      </c>
      <c r="T91" s="106">
        <f t="shared" ref="T91:T102" si="1162">+BJ91+CZ91</f>
        <v>21000</v>
      </c>
      <c r="U91" s="106">
        <f t="shared" ref="U91:U102" si="1163">+BK91+DA91</f>
        <v>2400</v>
      </c>
      <c r="V91" s="106">
        <f t="shared" ref="V91:V102" si="1164">+BL91+DB91</f>
        <v>6500</v>
      </c>
      <c r="W91" s="106">
        <f t="shared" ref="W91:W102" si="1165">+BM91+DC91</f>
        <v>0</v>
      </c>
      <c r="X91" s="106">
        <f t="shared" ref="X91:X102" si="1166">+BN91+DD91</f>
        <v>0</v>
      </c>
      <c r="Y91" s="106">
        <f t="shared" ref="Y91:Y102" si="1167">+BO91+DE91</f>
        <v>0</v>
      </c>
      <c r="Z91" s="106">
        <f t="shared" ref="Z91:Z102" si="1168">+BP91+DF91</f>
        <v>0</v>
      </c>
      <c r="AA91" s="106">
        <f t="shared" ref="AA91:AA102" si="1169">+SUM(O91:Z91)</f>
        <v>37900</v>
      </c>
      <c r="AB91" s="118">
        <f t="shared" si="374"/>
        <v>-1</v>
      </c>
      <c r="AC91" s="106">
        <f t="shared" ref="AC91:AC102" si="1170">+BS91+DI91</f>
        <v>17400</v>
      </c>
      <c r="AD91" s="106">
        <f t="shared" ref="AD91:AD102" si="1171">+BT91+DJ91</f>
        <v>17400</v>
      </c>
      <c r="AE91" s="106">
        <f t="shared" ref="AE91:AE102" si="1172">+BU91+DK91</f>
        <v>22200</v>
      </c>
      <c r="AF91" s="106">
        <f t="shared" ref="AF91:AF102" si="1173">+BV91+DL91</f>
        <v>18000</v>
      </c>
      <c r="AG91" s="106">
        <f t="shared" ref="AG91:AG102" si="1174">+BW91+DM91</f>
        <v>19200</v>
      </c>
      <c r="AH91" s="106">
        <f t="shared" ref="AH91:AH102" si="1175">+BX91+DN91</f>
        <v>16800</v>
      </c>
      <c r="AI91" s="106">
        <f t="shared" ref="AI91:AI102" si="1176">+BY91+DO91</f>
        <v>17400</v>
      </c>
      <c r="AJ91" s="106">
        <f t="shared" ref="AJ91:AJ102" si="1177">+BZ91+DP91</f>
        <v>20400</v>
      </c>
      <c r="AK91" s="106">
        <f t="shared" ref="AK91:AK102" si="1178">+CA91+DQ91</f>
        <v>20400</v>
      </c>
      <c r="AL91" s="106">
        <f t="shared" ref="AL91:AL102" si="1179">+CB91+DR91</f>
        <v>18000</v>
      </c>
      <c r="AM91" s="106">
        <f t="shared" ref="AM91:AM102" si="1180">+CC91+DS91</f>
        <v>16800</v>
      </c>
      <c r="AN91" s="106">
        <f t="shared" ref="AN91:AN102" si="1181">+CD91+DT91</f>
        <v>22200</v>
      </c>
      <c r="AO91" s="106">
        <f t="shared" ref="AO91:AO102" si="1182">+SUM(AC91:AN91)</f>
        <v>226200</v>
      </c>
      <c r="AQ91" s="106">
        <v>12600</v>
      </c>
      <c r="AR91" s="106">
        <v>0</v>
      </c>
      <c r="AS91" s="106">
        <v>0</v>
      </c>
      <c r="AT91" s="106">
        <v>0</v>
      </c>
      <c r="AU91" s="106">
        <v>15120</v>
      </c>
      <c r="AV91" s="106">
        <v>0</v>
      </c>
      <c r="AW91" s="106">
        <v>4800</v>
      </c>
      <c r="AX91" s="106">
        <v>15000</v>
      </c>
      <c r="AY91" s="106">
        <v>0</v>
      </c>
      <c r="AZ91" s="106">
        <v>0</v>
      </c>
      <c r="BA91" s="106">
        <v>32900</v>
      </c>
      <c r="BB91" s="106">
        <v>0</v>
      </c>
      <c r="BC91" s="106">
        <f t="shared" ref="BC91:BC102" si="1183">+SUM(AQ91:BB91)</f>
        <v>80420</v>
      </c>
      <c r="BD91" s="16" t="str">
        <f t="shared" si="871"/>
        <v>"Registration -Expenses_x000D_"</v>
      </c>
      <c r="BE91" s="106">
        <f>+VLOOKUP($BD91,'Jan-25'!$A:$J,2,0)</f>
        <v>0</v>
      </c>
      <c r="BF91" s="106">
        <f>+VLOOKUP($BD91,'Feb-25'!$A:$J,2,0)</f>
        <v>0</v>
      </c>
      <c r="BG91" s="106">
        <f>+VLOOKUP($BD91,'Mar-25'!$A:$J,2,0)</f>
        <v>0</v>
      </c>
      <c r="BH91" s="106">
        <f>+VLOOKUP($BD91,'Apr-25'!$A:$J,2,0)</f>
        <v>0</v>
      </c>
      <c r="BI91" s="106">
        <f>+VLOOKUP($BD91,'May-25'!$A:$J,2,0)</f>
        <v>0</v>
      </c>
      <c r="BJ91" s="106">
        <f>+VLOOKUP($BD91,'June-25'!$A:$J,2,0)</f>
        <v>21000</v>
      </c>
      <c r="BK91" s="106">
        <f>+VLOOKUP($BD91,'July-25'!$A:$J,2,0)</f>
        <v>2400</v>
      </c>
      <c r="BL91" s="106">
        <f>+VLOOKUP($BD91,'Aug-25'!$A:$J,2,0)</f>
        <v>6500</v>
      </c>
      <c r="BM91" s="106">
        <f>+VLOOKUP($BD91,'Sep-25'!$A:$J,2,0)</f>
        <v>0</v>
      </c>
      <c r="BN91" s="106">
        <f>+VLOOKUP($BD91,'Oct-25'!$A:$J,2,0)</f>
        <v>0</v>
      </c>
      <c r="BO91" s="106">
        <f>+VLOOKUP($BD91,'Nov-25'!$A:$J,2,0)</f>
        <v>0</v>
      </c>
      <c r="BP91" s="106">
        <f>+VLOOKUP($BD91,'Dec-25'!$A:$J,2,0)</f>
        <v>0</v>
      </c>
      <c r="BQ91" s="106">
        <f t="shared" ref="BQ91:BQ102" si="1184">+SUM(BE91:BP91)</f>
        <v>29900</v>
      </c>
      <c r="BR91" s="118">
        <f t="shared" si="389"/>
        <v>-1</v>
      </c>
      <c r="BS91" s="106" cm="1">
        <f t="array" ref="BS91:CD91">+_xlfn.XLOOKUP(BD91,Budget!A:A,Budget!Q:AB)</f>
        <v>9600</v>
      </c>
      <c r="BT91" s="106">
        <v>9000</v>
      </c>
      <c r="BU91" s="106">
        <v>13200</v>
      </c>
      <c r="BV91" s="106">
        <v>9000</v>
      </c>
      <c r="BW91" s="106">
        <v>10800</v>
      </c>
      <c r="BX91" s="106">
        <v>9000</v>
      </c>
      <c r="BY91" s="106">
        <v>10200</v>
      </c>
      <c r="BZ91" s="106">
        <v>12000</v>
      </c>
      <c r="CA91" s="106">
        <v>10200</v>
      </c>
      <c r="CB91" s="106">
        <v>9600</v>
      </c>
      <c r="CC91" s="106">
        <v>8400</v>
      </c>
      <c r="CD91" s="106">
        <v>12600</v>
      </c>
      <c r="CE91" s="106">
        <f t="shared" ref="CE91:CE102" si="1185">+SUM(BS91:CD91)</f>
        <v>123600</v>
      </c>
      <c r="CF91" s="22"/>
      <c r="CG91" s="106">
        <v>4200</v>
      </c>
      <c r="CH91" s="106">
        <v>0</v>
      </c>
      <c r="CI91" s="106">
        <v>0</v>
      </c>
      <c r="CJ91" s="106">
        <v>0</v>
      </c>
      <c r="CK91" s="106">
        <v>10080</v>
      </c>
      <c r="CL91" s="106">
        <v>0</v>
      </c>
      <c r="CM91" s="106">
        <v>0</v>
      </c>
      <c r="CN91" s="106">
        <v>0</v>
      </c>
      <c r="CO91" s="106">
        <v>0</v>
      </c>
      <c r="CP91" s="106">
        <v>0</v>
      </c>
      <c r="CQ91" s="106">
        <v>0</v>
      </c>
      <c r="CR91" s="106">
        <v>11000</v>
      </c>
      <c r="CS91" s="106">
        <f t="shared" ref="CS91:CS102" si="1186">+SUM(CG91:CR91)</f>
        <v>25280</v>
      </c>
      <c r="CT91" s="16" t="str">
        <f t="shared" si="875"/>
        <v>"Registration -Expenses_x000D_"</v>
      </c>
      <c r="CU91" s="106">
        <f>+VLOOKUP($BD91,'Jan-25'!$A:$J,6,0)</f>
        <v>0</v>
      </c>
      <c r="CV91" s="106">
        <f>+VLOOKUP($BD91,'Feb-25'!$A:$J,6,0)</f>
        <v>0</v>
      </c>
      <c r="CW91" s="106">
        <f>+VLOOKUP($BD91,'Mar-25'!$A:$J,6,0)</f>
        <v>0</v>
      </c>
      <c r="CX91" s="106">
        <f>+VLOOKUP($BD91,'Apr-25'!$A:$J,6,0)</f>
        <v>0</v>
      </c>
      <c r="CY91" s="106">
        <f>+VLOOKUP($BD91,'May-25'!$A:$J,6,0)</f>
        <v>8000</v>
      </c>
      <c r="CZ91" s="106">
        <f>+VLOOKUP($BD91,'June-25'!$A:$J,6,0)</f>
        <v>0</v>
      </c>
      <c r="DA91" s="106">
        <f>+VLOOKUP($BD91,'July-25'!$A:$J,6,0)</f>
        <v>0</v>
      </c>
      <c r="DB91" s="106">
        <f>+VLOOKUP($BD91,'Aug-25'!$A:$J,6,0)</f>
        <v>0</v>
      </c>
      <c r="DC91" s="106">
        <f>+VLOOKUP($BD91,'Sep-25'!$A:$J,6,0)</f>
        <v>0</v>
      </c>
      <c r="DD91" s="106">
        <f>+VLOOKUP($BD91,'Oct-25'!$A:$J,6,0)</f>
        <v>0</v>
      </c>
      <c r="DE91" s="106">
        <f>+VLOOKUP($BD91,'Nov-25'!$A:$J,6,0)</f>
        <v>0</v>
      </c>
      <c r="DF91" s="106">
        <f>+VLOOKUP($BD91,'Dec-25'!$A:$J,6,0)</f>
        <v>0</v>
      </c>
      <c r="DG91" s="106">
        <f t="shared" ref="DG91:DG102" si="1187">+SUM(CU91:DF91)</f>
        <v>8000</v>
      </c>
      <c r="DH91" s="118">
        <f t="shared" si="390"/>
        <v>-1</v>
      </c>
      <c r="DI91" s="106">
        <f>+_xlfn.XLOOKUP($CT91,Budget!$A:$A,Budget!BQ:BQ)</f>
        <v>7800</v>
      </c>
      <c r="DJ91" s="106">
        <f>+_xlfn.XLOOKUP($CT91,Budget!$A:$A,Budget!BR:BR)</f>
        <v>8400</v>
      </c>
      <c r="DK91" s="106">
        <f>+_xlfn.XLOOKUP($CT91,Budget!$A:$A,Budget!BS:BS)</f>
        <v>9000</v>
      </c>
      <c r="DL91" s="106">
        <f>+_xlfn.XLOOKUP($CT91,Budget!$A:$A,Budget!BT:BT)</f>
        <v>9000</v>
      </c>
      <c r="DM91" s="106">
        <f>+_xlfn.XLOOKUP($CT91,Budget!$A:$A,Budget!BU:BU)</f>
        <v>8400</v>
      </c>
      <c r="DN91" s="106">
        <f>+_xlfn.XLOOKUP($CT91,Budget!$A:$A,Budget!BV:BV)</f>
        <v>7800</v>
      </c>
      <c r="DO91" s="106">
        <f>+_xlfn.XLOOKUP($CT91,Budget!$A:$A,Budget!BW:BW)</f>
        <v>7200</v>
      </c>
      <c r="DP91" s="106">
        <f>+_xlfn.XLOOKUP($CT91,Budget!$A:$A,Budget!BX:BX)</f>
        <v>8400</v>
      </c>
      <c r="DQ91" s="106">
        <f>+_xlfn.XLOOKUP($CT91,Budget!$A:$A,Budget!BY:BY)</f>
        <v>10200</v>
      </c>
      <c r="DR91" s="106">
        <f>+_xlfn.XLOOKUP($CT91,Budget!$A:$A,Budget!BZ:BZ)</f>
        <v>8400</v>
      </c>
      <c r="DS91" s="106">
        <f>+_xlfn.XLOOKUP($CT91,Budget!$A:$A,Budget!CA:CA)</f>
        <v>8400</v>
      </c>
      <c r="DT91" s="106">
        <f>+_xlfn.XLOOKUP($CT91,Budget!$A:$A,Budget!CB:CB)</f>
        <v>9600</v>
      </c>
      <c r="DU91" s="106">
        <f t="shared" ref="DU91:DU102" si="1188">+SUM(DI91:DT91)</f>
        <v>102600</v>
      </c>
    </row>
    <row r="92" spans="1:125" ht="14.45" hidden="1" customHeight="1" outlineLevel="2">
      <c r="A92" s="106">
        <f t="shared" si="1145"/>
        <v>0</v>
      </c>
      <c r="B92" s="106">
        <f t="shared" si="1146"/>
        <v>0</v>
      </c>
      <c r="C92" s="106">
        <f t="shared" si="1147"/>
        <v>0</v>
      </c>
      <c r="D92" s="106">
        <f t="shared" si="1148"/>
        <v>0</v>
      </c>
      <c r="E92" s="106">
        <f t="shared" si="1149"/>
        <v>0</v>
      </c>
      <c r="F92" s="106">
        <f t="shared" si="1150"/>
        <v>0</v>
      </c>
      <c r="G92" s="106">
        <f t="shared" si="1151"/>
        <v>0</v>
      </c>
      <c r="H92" s="106">
        <f t="shared" si="1152"/>
        <v>0</v>
      </c>
      <c r="I92" s="106">
        <f t="shared" si="1153"/>
        <v>0</v>
      </c>
      <c r="J92" s="106">
        <f t="shared" si="1154"/>
        <v>0</v>
      </c>
      <c r="K92" s="106">
        <f t="shared" si="1155"/>
        <v>300</v>
      </c>
      <c r="L92" s="106">
        <f t="shared" si="1156"/>
        <v>0</v>
      </c>
      <c r="M92" s="106">
        <f t="shared" si="1036"/>
        <v>300</v>
      </c>
      <c r="N92" s="16" t="s">
        <v>73</v>
      </c>
      <c r="O92" s="106">
        <f t="shared" si="1157"/>
        <v>1500</v>
      </c>
      <c r="P92" s="106">
        <f t="shared" si="1158"/>
        <v>0</v>
      </c>
      <c r="Q92" s="106">
        <f t="shared" si="1159"/>
        <v>0</v>
      </c>
      <c r="R92" s="106">
        <f t="shared" si="1160"/>
        <v>0</v>
      </c>
      <c r="S92" s="106">
        <f t="shared" si="1161"/>
        <v>4000</v>
      </c>
      <c r="T92" s="106">
        <f t="shared" si="1162"/>
        <v>2550</v>
      </c>
      <c r="U92" s="106">
        <f t="shared" si="1163"/>
        <v>10127.6</v>
      </c>
      <c r="V92" s="106">
        <f t="shared" si="1164"/>
        <v>0</v>
      </c>
      <c r="W92" s="106">
        <f t="shared" si="1165"/>
        <v>28887.25333333333</v>
      </c>
      <c r="X92" s="106">
        <f t="shared" si="1166"/>
        <v>0</v>
      </c>
      <c r="Y92" s="106">
        <f t="shared" si="1167"/>
        <v>0</v>
      </c>
      <c r="Z92" s="106">
        <f t="shared" si="1168"/>
        <v>0</v>
      </c>
      <c r="AA92" s="106">
        <f t="shared" si="1169"/>
        <v>47064.853333333333</v>
      </c>
      <c r="AB92" s="118">
        <f t="shared" si="374"/>
        <v>0</v>
      </c>
      <c r="AC92" s="106">
        <f t="shared" si="1170"/>
        <v>0</v>
      </c>
      <c r="AD92" s="106">
        <f t="shared" si="1171"/>
        <v>0</v>
      </c>
      <c r="AE92" s="106">
        <f t="shared" si="1172"/>
        <v>0</v>
      </c>
      <c r="AF92" s="106">
        <f t="shared" si="1173"/>
        <v>0</v>
      </c>
      <c r="AG92" s="106">
        <f t="shared" si="1174"/>
        <v>0</v>
      </c>
      <c r="AH92" s="106">
        <f t="shared" si="1175"/>
        <v>0</v>
      </c>
      <c r="AI92" s="106">
        <f t="shared" si="1176"/>
        <v>0</v>
      </c>
      <c r="AJ92" s="106">
        <f t="shared" si="1177"/>
        <v>0</v>
      </c>
      <c r="AK92" s="106">
        <f t="shared" si="1178"/>
        <v>0</v>
      </c>
      <c r="AL92" s="106">
        <f t="shared" si="1179"/>
        <v>0</v>
      </c>
      <c r="AM92" s="106">
        <f t="shared" si="1180"/>
        <v>0</v>
      </c>
      <c r="AN92" s="106">
        <f t="shared" si="1181"/>
        <v>0</v>
      </c>
      <c r="AO92" s="106">
        <f t="shared" si="1182"/>
        <v>0</v>
      </c>
      <c r="AQ92" s="106">
        <v>0</v>
      </c>
      <c r="AR92" s="106">
        <v>0</v>
      </c>
      <c r="AS92" s="106">
        <v>0</v>
      </c>
      <c r="AT92" s="106">
        <v>0</v>
      </c>
      <c r="AU92" s="106">
        <v>0</v>
      </c>
      <c r="AV92" s="106">
        <v>0</v>
      </c>
      <c r="AW92" s="106">
        <v>0</v>
      </c>
      <c r="AX92" s="106">
        <v>0</v>
      </c>
      <c r="AY92" s="106">
        <v>0</v>
      </c>
      <c r="AZ92" s="106">
        <v>0</v>
      </c>
      <c r="BA92" s="106">
        <v>0</v>
      </c>
      <c r="BB92" s="106">
        <v>0</v>
      </c>
      <c r="BC92" s="106">
        <f t="shared" si="1183"/>
        <v>0</v>
      </c>
      <c r="BD92" s="16" t="str">
        <f t="shared" si="871"/>
        <v>Delivery Charges Customer Service</v>
      </c>
      <c r="BE92" s="106">
        <f>+VLOOKUP($BD92,'Jan-25'!$A:$J,2,0)</f>
        <v>0</v>
      </c>
      <c r="BF92" s="106">
        <f>+VLOOKUP($BD92,'Feb-25'!$A:$J,2,0)</f>
        <v>0</v>
      </c>
      <c r="BG92" s="106">
        <f>+VLOOKUP($BD92,'Mar-25'!$A:$J,2,0)</f>
        <v>0</v>
      </c>
      <c r="BH92" s="106">
        <f>+VLOOKUP($BD92,'Apr-25'!$A:$J,2,0)</f>
        <v>0</v>
      </c>
      <c r="BI92" s="106">
        <f>+VLOOKUP($BD92,'May-25'!$A:$J,2,0)</f>
        <v>0</v>
      </c>
      <c r="BJ92" s="106">
        <f>+VLOOKUP($BD92,'June-25'!$A:$J,2,0)</f>
        <v>1800</v>
      </c>
      <c r="BK92" s="106">
        <f>+VLOOKUP($BD92,'July-25'!$A:$J,2,0)</f>
        <v>10127.6</v>
      </c>
      <c r="BL92" s="106">
        <f>+VLOOKUP($BD92,'Aug-25'!$A:$J,2,0)</f>
        <v>0</v>
      </c>
      <c r="BM92" s="106">
        <f>+VLOOKUP($BD92,'Sep-25'!$A:$J,2,0)</f>
        <v>0</v>
      </c>
      <c r="BN92" s="106">
        <f>+VLOOKUP($BD92,'Oct-25'!$A:$J,2,0)</f>
        <v>0</v>
      </c>
      <c r="BO92" s="106">
        <f>+VLOOKUP($BD92,'Nov-25'!$A:$J,2,0)</f>
        <v>0</v>
      </c>
      <c r="BP92" s="106">
        <f>+VLOOKUP($BD92,'Dec-25'!$A:$J,2,0)</f>
        <v>0</v>
      </c>
      <c r="BQ92" s="106">
        <f t="shared" si="1184"/>
        <v>11927.6</v>
      </c>
      <c r="BR92" s="118">
        <f t="shared" si="389"/>
        <v>0</v>
      </c>
      <c r="BS92" s="106" cm="1">
        <f t="array" ref="BS92:CD92">+_xlfn.XLOOKUP(BD92,Budget!A:A,Budget!Q:AB)</f>
        <v>0</v>
      </c>
      <c r="BT92" s="106">
        <v>0</v>
      </c>
      <c r="BU92" s="106">
        <v>0</v>
      </c>
      <c r="BV92" s="106">
        <v>0</v>
      </c>
      <c r="BW92" s="106">
        <v>0</v>
      </c>
      <c r="BX92" s="106">
        <v>0</v>
      </c>
      <c r="BY92" s="106">
        <v>0</v>
      </c>
      <c r="BZ92" s="106">
        <v>0</v>
      </c>
      <c r="CA92" s="106">
        <v>0</v>
      </c>
      <c r="CB92" s="106">
        <v>0</v>
      </c>
      <c r="CC92" s="106">
        <v>0</v>
      </c>
      <c r="CD92" s="106">
        <v>0</v>
      </c>
      <c r="CE92" s="106">
        <f t="shared" si="1185"/>
        <v>0</v>
      </c>
      <c r="CF92" s="22"/>
      <c r="CG92" s="106">
        <v>0</v>
      </c>
      <c r="CH92" s="106">
        <v>0</v>
      </c>
      <c r="CI92" s="106">
        <v>0</v>
      </c>
      <c r="CJ92" s="106">
        <v>0</v>
      </c>
      <c r="CK92" s="106">
        <v>0</v>
      </c>
      <c r="CL92" s="106">
        <v>0</v>
      </c>
      <c r="CM92" s="106">
        <v>0</v>
      </c>
      <c r="CN92" s="106">
        <v>0</v>
      </c>
      <c r="CO92" s="106">
        <v>0</v>
      </c>
      <c r="CP92" s="106">
        <v>0</v>
      </c>
      <c r="CQ92" s="106">
        <v>300</v>
      </c>
      <c r="CR92" s="106">
        <v>0</v>
      </c>
      <c r="CS92" s="106">
        <f t="shared" si="1186"/>
        <v>300</v>
      </c>
      <c r="CT92" s="16" t="str">
        <f t="shared" si="875"/>
        <v>Delivery Charges Customer Service</v>
      </c>
      <c r="CU92" s="106">
        <f>+VLOOKUP($BD92,'Jan-25'!$A:$J,6,0)</f>
        <v>1500</v>
      </c>
      <c r="CV92" s="106">
        <f>+VLOOKUP($BD92,'Feb-25'!$A:$J,6,0)</f>
        <v>0</v>
      </c>
      <c r="CW92" s="106">
        <f>+VLOOKUP($BD92,'Mar-25'!$A:$J,6,0)</f>
        <v>0</v>
      </c>
      <c r="CX92" s="106">
        <f>+VLOOKUP($BD92,'Apr-25'!$A:$J,6,0)</f>
        <v>0</v>
      </c>
      <c r="CY92" s="106">
        <f>+VLOOKUP($BD92,'May-25'!$A:$J,6,0)</f>
        <v>4000</v>
      </c>
      <c r="CZ92" s="106">
        <f>+VLOOKUP($BD92,'June-25'!$A:$J,6,0)</f>
        <v>750</v>
      </c>
      <c r="DA92" s="106">
        <f>+VLOOKUP($BD92,'July-25'!$A:$J,6,0)</f>
        <v>0</v>
      </c>
      <c r="DB92" s="106">
        <f>+VLOOKUP($BD92,'Aug-25'!$A:$J,6,0)</f>
        <v>0</v>
      </c>
      <c r="DC92" s="106">
        <f>+VLOOKUP($BD92,'Sep-25'!$A:$J,6,0)</f>
        <v>28887.25333333333</v>
      </c>
      <c r="DD92" s="106">
        <f>+VLOOKUP($BD92,'Oct-25'!$A:$J,6,0)</f>
        <v>0</v>
      </c>
      <c r="DE92" s="106">
        <f>+VLOOKUP($BD92,'Nov-25'!$A:$J,6,0)</f>
        <v>0</v>
      </c>
      <c r="DF92" s="106">
        <f>+VLOOKUP($BD92,'Dec-25'!$A:$J,6,0)</f>
        <v>0</v>
      </c>
      <c r="DG92" s="106">
        <f t="shared" si="1187"/>
        <v>35137.253333333327</v>
      </c>
      <c r="DH92" s="118">
        <f t="shared" si="390"/>
        <v>0</v>
      </c>
      <c r="DI92" s="106">
        <f>+_xlfn.XLOOKUP($CT92,Budget!$A:$A,Budget!BQ:BQ)</f>
        <v>0</v>
      </c>
      <c r="DJ92" s="106">
        <f>+_xlfn.XLOOKUP($CT92,Budget!$A:$A,Budget!BR:BR)</f>
        <v>0</v>
      </c>
      <c r="DK92" s="106">
        <f>+_xlfn.XLOOKUP($CT92,Budget!$A:$A,Budget!BS:BS)</f>
        <v>0</v>
      </c>
      <c r="DL92" s="106">
        <f>+_xlfn.XLOOKUP($CT92,Budget!$A:$A,Budget!BT:BT)</f>
        <v>0</v>
      </c>
      <c r="DM92" s="106">
        <f>+_xlfn.XLOOKUP($CT92,Budget!$A:$A,Budget!BU:BU)</f>
        <v>0</v>
      </c>
      <c r="DN92" s="106">
        <f>+_xlfn.XLOOKUP($CT92,Budget!$A:$A,Budget!BV:BV)</f>
        <v>0</v>
      </c>
      <c r="DO92" s="106">
        <f>+_xlfn.XLOOKUP($CT92,Budget!$A:$A,Budget!BW:BW)</f>
        <v>0</v>
      </c>
      <c r="DP92" s="106">
        <f>+_xlfn.XLOOKUP($CT92,Budget!$A:$A,Budget!BX:BX)</f>
        <v>0</v>
      </c>
      <c r="DQ92" s="106">
        <f>+_xlfn.XLOOKUP($CT92,Budget!$A:$A,Budget!BY:BY)</f>
        <v>0</v>
      </c>
      <c r="DR92" s="106">
        <f>+_xlfn.XLOOKUP($CT92,Budget!$A:$A,Budget!BZ:BZ)</f>
        <v>0</v>
      </c>
      <c r="DS92" s="106">
        <f>+_xlfn.XLOOKUP($CT92,Budget!$A:$A,Budget!CA:CA)</f>
        <v>0</v>
      </c>
      <c r="DT92" s="106">
        <f>+_xlfn.XLOOKUP($CT92,Budget!$A:$A,Budget!CB:CB)</f>
        <v>0</v>
      </c>
      <c r="DU92" s="106">
        <f t="shared" si="1188"/>
        <v>0</v>
      </c>
    </row>
    <row r="93" spans="1:125" ht="14.45" hidden="1" customHeight="1" outlineLevel="2">
      <c r="A93" s="106">
        <f t="shared" si="1145"/>
        <v>461333</v>
      </c>
      <c r="B93" s="106">
        <f t="shared" si="1146"/>
        <v>253364</v>
      </c>
      <c r="C93" s="106">
        <f t="shared" si="1147"/>
        <v>397162.5</v>
      </c>
      <c r="D93" s="106">
        <f t="shared" si="1148"/>
        <v>694423.32000000007</v>
      </c>
      <c r="E93" s="106">
        <f t="shared" si="1149"/>
        <v>478075.53</v>
      </c>
      <c r="F93" s="106">
        <f t="shared" si="1150"/>
        <v>587737.52</v>
      </c>
      <c r="G93" s="106">
        <f t="shared" si="1151"/>
        <v>457826.96</v>
      </c>
      <c r="H93" s="106">
        <f t="shared" si="1152"/>
        <v>512509.76</v>
      </c>
      <c r="I93" s="106">
        <f t="shared" si="1153"/>
        <v>541305.86</v>
      </c>
      <c r="J93" s="106">
        <f t="shared" si="1154"/>
        <v>344641.04000000004</v>
      </c>
      <c r="K93" s="106">
        <f t="shared" si="1155"/>
        <v>246822.62</v>
      </c>
      <c r="L93" s="106">
        <f t="shared" si="1156"/>
        <v>1011361.035</v>
      </c>
      <c r="M93" s="106">
        <f t="shared" si="1036"/>
        <v>5986563.1450000005</v>
      </c>
      <c r="N93" s="16" t="s">
        <v>74</v>
      </c>
      <c r="O93" s="106">
        <f t="shared" si="1157"/>
        <v>663379.52500000002</v>
      </c>
      <c r="P93" s="106">
        <f t="shared" si="1158"/>
        <v>315972.01</v>
      </c>
      <c r="Q93" s="106">
        <f t="shared" si="1159"/>
        <v>297471.99</v>
      </c>
      <c r="R93" s="106">
        <f t="shared" si="1160"/>
        <v>396575.28</v>
      </c>
      <c r="S93" s="106">
        <f t="shared" si="1161"/>
        <v>224606.05</v>
      </c>
      <c r="T93" s="106">
        <f t="shared" si="1162"/>
        <v>435523.75</v>
      </c>
      <c r="U93" s="106">
        <f t="shared" si="1163"/>
        <v>360237.41500000004</v>
      </c>
      <c r="V93" s="106">
        <f t="shared" si="1164"/>
        <v>397458.68000000005</v>
      </c>
      <c r="W93" s="106">
        <f t="shared" si="1165"/>
        <v>367444.29</v>
      </c>
      <c r="X93" s="106">
        <f t="shared" si="1166"/>
        <v>412746.565</v>
      </c>
      <c r="Y93" s="106">
        <f t="shared" si="1167"/>
        <v>0</v>
      </c>
      <c r="Z93" s="106">
        <f t="shared" si="1168"/>
        <v>0</v>
      </c>
      <c r="AA93" s="106">
        <f t="shared" si="1169"/>
        <v>3871415.5550000002</v>
      </c>
      <c r="AB93" s="118">
        <f t="shared" si="374"/>
        <v>-8.278541111111111E-2</v>
      </c>
      <c r="AC93" s="106">
        <f t="shared" si="1170"/>
        <v>435000</v>
      </c>
      <c r="AD93" s="106">
        <f t="shared" si="1171"/>
        <v>435000</v>
      </c>
      <c r="AE93" s="106">
        <f t="shared" si="1172"/>
        <v>555000</v>
      </c>
      <c r="AF93" s="106">
        <f t="shared" si="1173"/>
        <v>450000</v>
      </c>
      <c r="AG93" s="106">
        <f t="shared" si="1174"/>
        <v>480000</v>
      </c>
      <c r="AH93" s="106">
        <f t="shared" si="1175"/>
        <v>420000</v>
      </c>
      <c r="AI93" s="106">
        <f t="shared" si="1176"/>
        <v>435000</v>
      </c>
      <c r="AJ93" s="106">
        <f t="shared" si="1177"/>
        <v>510000</v>
      </c>
      <c r="AK93" s="106">
        <f t="shared" si="1178"/>
        <v>510000</v>
      </c>
      <c r="AL93" s="106">
        <f t="shared" si="1179"/>
        <v>450000</v>
      </c>
      <c r="AM93" s="106">
        <f t="shared" si="1180"/>
        <v>420000</v>
      </c>
      <c r="AN93" s="106">
        <f t="shared" si="1181"/>
        <v>555000</v>
      </c>
      <c r="AO93" s="106">
        <f t="shared" si="1182"/>
        <v>5655000</v>
      </c>
      <c r="AQ93" s="106">
        <v>331387</v>
      </c>
      <c r="AR93" s="106">
        <v>182932</v>
      </c>
      <c r="AS93" s="106">
        <v>224842.5</v>
      </c>
      <c r="AT93" s="106">
        <v>212330</v>
      </c>
      <c r="AU93" s="106">
        <v>204878.5</v>
      </c>
      <c r="AV93" s="106">
        <v>403586</v>
      </c>
      <c r="AW93" s="106">
        <v>382518.75</v>
      </c>
      <c r="AX93" s="106">
        <v>396411.55</v>
      </c>
      <c r="AY93" s="106">
        <v>399199.39</v>
      </c>
      <c r="AZ93" s="106">
        <v>239779.38</v>
      </c>
      <c r="BA93" s="106">
        <v>224321.37</v>
      </c>
      <c r="BB93" s="106">
        <v>453425</v>
      </c>
      <c r="BC93" s="106">
        <f t="shared" si="1183"/>
        <v>3655611.44</v>
      </c>
      <c r="BD93" s="16" t="str">
        <f t="shared" si="871"/>
        <v>Delivery Expenses Others</v>
      </c>
      <c r="BE93" s="106">
        <f>+VLOOKUP($BD93,'Jan-25'!$A:$J,2,0)</f>
        <v>397541.34</v>
      </c>
      <c r="BF93" s="106">
        <f>+VLOOKUP($BD93,'Feb-25'!$A:$J,2,0)</f>
        <v>189299.334</v>
      </c>
      <c r="BG93" s="106">
        <f>+VLOOKUP($BD93,'Mar-25'!$A:$J,2,0)</f>
        <v>267154.95</v>
      </c>
      <c r="BH93" s="106">
        <f>+VLOOKUP($BD93,'Apr-25'!$A:$J,2,0)</f>
        <v>375575.28</v>
      </c>
      <c r="BI93" s="106">
        <f>+VLOOKUP($BD93,'May-25'!$A:$J,2,0)</f>
        <v>173561.25</v>
      </c>
      <c r="BJ93" s="106">
        <f>+VLOOKUP($BD93,'June-25'!$A:$J,2,0)</f>
        <v>288820</v>
      </c>
      <c r="BK93" s="106">
        <f>+VLOOKUP($BD93,'July-25'!$A:$J,2,0)</f>
        <v>204986.5</v>
      </c>
      <c r="BL93" s="106">
        <f>+VLOOKUP($BD93,'Aug-25'!$A:$J,2,0)</f>
        <v>195036.57200000001</v>
      </c>
      <c r="BM93" s="106">
        <f>+VLOOKUP($BD93,'Sep-25'!$A:$J,2,0)</f>
        <v>206325.58999999997</v>
      </c>
      <c r="BN93" s="106">
        <f>+VLOOKUP($BD93,'Oct-25'!$A:$J,2,0)</f>
        <v>247248.674</v>
      </c>
      <c r="BO93" s="106">
        <f>+VLOOKUP($BD93,'Nov-25'!$A:$J,2,0)</f>
        <v>0</v>
      </c>
      <c r="BP93" s="106">
        <f>+VLOOKUP($BD93,'Dec-25'!$A:$J,2,0)</f>
        <v>0</v>
      </c>
      <c r="BQ93" s="106">
        <f t="shared" si="1184"/>
        <v>2545549.4900000002</v>
      </c>
      <c r="BR93" s="118">
        <f t="shared" si="389"/>
        <v>3.0202808333333331E-2</v>
      </c>
      <c r="BS93" s="106" cm="1">
        <f t="array" ref="BS93:CD93">+_xlfn.XLOOKUP(BD93,Budget!A:A,Budget!Q:AB)</f>
        <v>240000</v>
      </c>
      <c r="BT93" s="106">
        <v>225000</v>
      </c>
      <c r="BU93" s="106">
        <v>330000</v>
      </c>
      <c r="BV93" s="106">
        <v>225000</v>
      </c>
      <c r="BW93" s="106">
        <v>270000</v>
      </c>
      <c r="BX93" s="106">
        <v>225000</v>
      </c>
      <c r="BY93" s="106">
        <v>255000</v>
      </c>
      <c r="BZ93" s="106">
        <v>300000</v>
      </c>
      <c r="CA93" s="106">
        <v>255000</v>
      </c>
      <c r="CB93" s="106">
        <v>240000</v>
      </c>
      <c r="CC93" s="106">
        <v>210000</v>
      </c>
      <c r="CD93" s="106">
        <v>315000</v>
      </c>
      <c r="CE93" s="106">
        <f t="shared" si="1185"/>
        <v>3090000</v>
      </c>
      <c r="CF93" s="22"/>
      <c r="CG93" s="106">
        <v>129946</v>
      </c>
      <c r="CH93" s="106">
        <v>70432</v>
      </c>
      <c r="CI93" s="106">
        <v>172320</v>
      </c>
      <c r="CJ93" s="106">
        <v>482093.32</v>
      </c>
      <c r="CK93" s="106">
        <v>273197.03000000003</v>
      </c>
      <c r="CL93" s="106">
        <v>184151.52</v>
      </c>
      <c r="CM93" s="106">
        <v>75308.210000000006</v>
      </c>
      <c r="CN93" s="106">
        <v>116098.21</v>
      </c>
      <c r="CO93" s="106">
        <v>142106.47</v>
      </c>
      <c r="CP93" s="106">
        <v>104861.66</v>
      </c>
      <c r="CQ93" s="106">
        <v>22501.25</v>
      </c>
      <c r="CR93" s="106">
        <v>557936.03500000003</v>
      </c>
      <c r="CS93" s="106">
        <f t="shared" si="1186"/>
        <v>2330951.7050000001</v>
      </c>
      <c r="CT93" s="16" t="str">
        <f t="shared" si="875"/>
        <v>Delivery Expenses Others</v>
      </c>
      <c r="CU93" s="106">
        <f>+VLOOKUP($BD93,'Jan-25'!$A:$J,6,0)</f>
        <v>265838.185</v>
      </c>
      <c r="CV93" s="106">
        <f>+VLOOKUP($BD93,'Feb-25'!$A:$J,6,0)</f>
        <v>126672.67600000001</v>
      </c>
      <c r="CW93" s="106">
        <f>+VLOOKUP($BD93,'Mar-25'!$A:$J,6,0)</f>
        <v>30317.040000000001</v>
      </c>
      <c r="CX93" s="106">
        <f>+VLOOKUP($BD93,'Apr-25'!$A:$J,6,0)</f>
        <v>21000</v>
      </c>
      <c r="CY93" s="106">
        <f>+VLOOKUP($BD93,'May-25'!$A:$J,6,0)</f>
        <v>51044.800000000003</v>
      </c>
      <c r="CZ93" s="106">
        <f>+VLOOKUP($BD93,'June-25'!$A:$J,6,0)</f>
        <v>146703.75000000003</v>
      </c>
      <c r="DA93" s="106">
        <f>+VLOOKUP($BD93,'July-25'!$A:$J,6,0)</f>
        <v>155250.91500000001</v>
      </c>
      <c r="DB93" s="106">
        <f>+VLOOKUP($BD93,'Aug-25'!$A:$J,6,0)</f>
        <v>202422.10800000001</v>
      </c>
      <c r="DC93" s="106">
        <f>+VLOOKUP($BD93,'Sep-25'!$A:$J,6,0)</f>
        <v>161118.70000000001</v>
      </c>
      <c r="DD93" s="106">
        <f>+VLOOKUP($BD93,'Oct-25'!$A:$J,6,0)</f>
        <v>165497.891</v>
      </c>
      <c r="DE93" s="106">
        <f>+VLOOKUP($BD93,'Nov-25'!$A:$J,6,0)</f>
        <v>0</v>
      </c>
      <c r="DF93" s="106">
        <f>+VLOOKUP($BD93,'Dec-25'!$A:$J,6,0)</f>
        <v>0</v>
      </c>
      <c r="DG93" s="106">
        <f t="shared" si="1187"/>
        <v>1325866.0650000002</v>
      </c>
      <c r="DH93" s="118">
        <f t="shared" si="390"/>
        <v>-0.21191480476190475</v>
      </c>
      <c r="DI93" s="106">
        <f>+_xlfn.XLOOKUP($CT93,Budget!$A:$A,Budget!BQ:BQ)</f>
        <v>195000</v>
      </c>
      <c r="DJ93" s="106">
        <f>+_xlfn.XLOOKUP($CT93,Budget!$A:$A,Budget!BR:BR)</f>
        <v>210000</v>
      </c>
      <c r="DK93" s="106">
        <f>+_xlfn.XLOOKUP($CT93,Budget!$A:$A,Budget!BS:BS)</f>
        <v>225000</v>
      </c>
      <c r="DL93" s="106">
        <f>+_xlfn.XLOOKUP($CT93,Budget!$A:$A,Budget!BT:BT)</f>
        <v>225000</v>
      </c>
      <c r="DM93" s="106">
        <f>+_xlfn.XLOOKUP($CT93,Budget!$A:$A,Budget!BU:BU)</f>
        <v>210000</v>
      </c>
      <c r="DN93" s="106">
        <f>+_xlfn.XLOOKUP($CT93,Budget!$A:$A,Budget!BV:BV)</f>
        <v>195000</v>
      </c>
      <c r="DO93" s="106">
        <f>+_xlfn.XLOOKUP($CT93,Budget!$A:$A,Budget!BW:BW)</f>
        <v>180000</v>
      </c>
      <c r="DP93" s="106">
        <f>+_xlfn.XLOOKUP($CT93,Budget!$A:$A,Budget!BX:BX)</f>
        <v>210000</v>
      </c>
      <c r="DQ93" s="106">
        <f>+_xlfn.XLOOKUP($CT93,Budget!$A:$A,Budget!BY:BY)</f>
        <v>255000</v>
      </c>
      <c r="DR93" s="106">
        <f>+_xlfn.XLOOKUP($CT93,Budget!$A:$A,Budget!BZ:BZ)</f>
        <v>210000</v>
      </c>
      <c r="DS93" s="106">
        <f>+_xlfn.XLOOKUP($CT93,Budget!$A:$A,Budget!CA:CA)</f>
        <v>210000</v>
      </c>
      <c r="DT93" s="106">
        <f>+_xlfn.XLOOKUP($CT93,Budget!$A:$A,Budget!CB:CB)</f>
        <v>240000</v>
      </c>
      <c r="DU93" s="106">
        <f t="shared" si="1188"/>
        <v>2565000</v>
      </c>
    </row>
    <row r="94" spans="1:125" ht="14.45" hidden="1" customHeight="1" outlineLevel="2">
      <c r="A94" s="106">
        <f t="shared" si="1145"/>
        <v>11139</v>
      </c>
      <c r="B94" s="106">
        <f t="shared" si="1146"/>
        <v>9782.5</v>
      </c>
      <c r="C94" s="106">
        <f t="shared" si="1147"/>
        <v>13250</v>
      </c>
      <c r="D94" s="106">
        <f t="shared" si="1148"/>
        <v>8500</v>
      </c>
      <c r="E94" s="106">
        <f t="shared" si="1149"/>
        <v>16500</v>
      </c>
      <c r="F94" s="106">
        <f t="shared" si="1150"/>
        <v>27000</v>
      </c>
      <c r="G94" s="106">
        <f t="shared" si="1151"/>
        <v>13500</v>
      </c>
      <c r="H94" s="106">
        <f t="shared" si="1152"/>
        <v>8500</v>
      </c>
      <c r="I94" s="106">
        <f t="shared" si="1153"/>
        <v>20500</v>
      </c>
      <c r="J94" s="106">
        <f t="shared" si="1154"/>
        <v>8000</v>
      </c>
      <c r="K94" s="106">
        <f t="shared" si="1155"/>
        <v>9000</v>
      </c>
      <c r="L94" s="106">
        <f t="shared" si="1156"/>
        <v>13500</v>
      </c>
      <c r="M94" s="106">
        <f t="shared" si="1036"/>
        <v>159171.5</v>
      </c>
      <c r="N94" s="16" t="s">
        <v>75</v>
      </c>
      <c r="O94" s="106">
        <f t="shared" si="1157"/>
        <v>10500</v>
      </c>
      <c r="P94" s="106">
        <f t="shared" si="1158"/>
        <v>8500</v>
      </c>
      <c r="Q94" s="106">
        <f t="shared" si="1159"/>
        <v>11500</v>
      </c>
      <c r="R94" s="106">
        <f t="shared" si="1160"/>
        <v>8000</v>
      </c>
      <c r="S94" s="106">
        <f t="shared" si="1161"/>
        <v>17000</v>
      </c>
      <c r="T94" s="106">
        <f t="shared" si="1162"/>
        <v>85301</v>
      </c>
      <c r="U94" s="106">
        <f t="shared" si="1163"/>
        <v>13000</v>
      </c>
      <c r="V94" s="106">
        <f t="shared" si="1164"/>
        <v>13000</v>
      </c>
      <c r="W94" s="106">
        <f t="shared" si="1165"/>
        <v>14500</v>
      </c>
      <c r="X94" s="106">
        <f t="shared" si="1166"/>
        <v>83594</v>
      </c>
      <c r="Y94" s="106">
        <f t="shared" si="1167"/>
        <v>0</v>
      </c>
      <c r="Z94" s="106">
        <f t="shared" si="1168"/>
        <v>0</v>
      </c>
      <c r="AA94" s="106">
        <f t="shared" si="1169"/>
        <v>264895</v>
      </c>
      <c r="AB94" s="118">
        <f t="shared" ref="AB94:AB157" si="1189">IFERROR((X94-AL94)/AL94,0)</f>
        <v>4.5729333333333333</v>
      </c>
      <c r="AC94" s="106">
        <f t="shared" si="1170"/>
        <v>14500</v>
      </c>
      <c r="AD94" s="106">
        <f t="shared" si="1171"/>
        <v>14500</v>
      </c>
      <c r="AE94" s="106">
        <f t="shared" si="1172"/>
        <v>18500</v>
      </c>
      <c r="AF94" s="106">
        <f t="shared" si="1173"/>
        <v>15000</v>
      </c>
      <c r="AG94" s="106">
        <f t="shared" si="1174"/>
        <v>16000</v>
      </c>
      <c r="AH94" s="106">
        <f t="shared" si="1175"/>
        <v>14000</v>
      </c>
      <c r="AI94" s="106">
        <f t="shared" si="1176"/>
        <v>14500</v>
      </c>
      <c r="AJ94" s="106">
        <f t="shared" si="1177"/>
        <v>17000</v>
      </c>
      <c r="AK94" s="106">
        <f t="shared" si="1178"/>
        <v>17000</v>
      </c>
      <c r="AL94" s="106">
        <f t="shared" si="1179"/>
        <v>15000</v>
      </c>
      <c r="AM94" s="106">
        <f t="shared" si="1180"/>
        <v>14000</v>
      </c>
      <c r="AN94" s="106">
        <f t="shared" si="1181"/>
        <v>18500</v>
      </c>
      <c r="AO94" s="106">
        <f t="shared" si="1182"/>
        <v>188500</v>
      </c>
      <c r="AQ94" s="106">
        <v>8500</v>
      </c>
      <c r="AR94" s="106">
        <v>6500</v>
      </c>
      <c r="AS94" s="106">
        <v>13250</v>
      </c>
      <c r="AT94" s="106">
        <v>8500</v>
      </c>
      <c r="AU94" s="106">
        <v>5500</v>
      </c>
      <c r="AV94" s="106">
        <v>27000</v>
      </c>
      <c r="AW94" s="106">
        <v>9500</v>
      </c>
      <c r="AX94" s="106">
        <v>8500</v>
      </c>
      <c r="AY94" s="106">
        <v>8000</v>
      </c>
      <c r="AZ94" s="106">
        <v>5000</v>
      </c>
      <c r="BA94" s="106">
        <v>9000</v>
      </c>
      <c r="BB94" s="106">
        <v>0</v>
      </c>
      <c r="BC94" s="106">
        <f t="shared" si="1183"/>
        <v>109250</v>
      </c>
      <c r="BD94" s="16" t="str">
        <f t="shared" si="871"/>
        <v>Delivery Polish - New  Car</v>
      </c>
      <c r="BE94" s="106">
        <f>+VLOOKUP($BD94,'Jan-25'!$A:$J,2,0)</f>
        <v>7500</v>
      </c>
      <c r="BF94" s="106">
        <f>+VLOOKUP($BD94,'Feb-25'!$A:$J,2,0)</f>
        <v>6500</v>
      </c>
      <c r="BG94" s="106">
        <f>+VLOOKUP($BD94,'Mar-25'!$A:$J,2,0)</f>
        <v>8000</v>
      </c>
      <c r="BH94" s="106">
        <f>+VLOOKUP($BD94,'Apr-25'!$A:$J,2,0)</f>
        <v>8000</v>
      </c>
      <c r="BI94" s="106">
        <f>+VLOOKUP($BD94,'May-25'!$A:$J,2,0)</f>
        <v>14000</v>
      </c>
      <c r="BJ94" s="106">
        <f>+VLOOKUP($BD94,'June-25'!$A:$J,2,0)</f>
        <v>81301</v>
      </c>
      <c r="BK94" s="106">
        <f>+VLOOKUP($BD94,'July-25'!$A:$J,2,0)</f>
        <v>6500</v>
      </c>
      <c r="BL94" s="106">
        <f>+VLOOKUP($BD94,'Aug-25'!$A:$J,2,0)</f>
        <v>13000</v>
      </c>
      <c r="BM94" s="106">
        <f>+VLOOKUP($BD94,'Sep-25'!$A:$J,2,0)</f>
        <v>6000</v>
      </c>
      <c r="BN94" s="106">
        <f>+VLOOKUP($BD94,'Oct-25'!$A:$J,2,0)</f>
        <v>10000</v>
      </c>
      <c r="BO94" s="106">
        <f>+VLOOKUP($BD94,'Nov-25'!$A:$J,2,0)</f>
        <v>0</v>
      </c>
      <c r="BP94" s="106">
        <f>+VLOOKUP($BD94,'Dec-25'!$A:$J,2,0)</f>
        <v>0</v>
      </c>
      <c r="BQ94" s="106">
        <f t="shared" si="1184"/>
        <v>160801</v>
      </c>
      <c r="BR94" s="118">
        <f t="shared" ref="BR94:BR157" si="1190">IFERROR((BN94-CB94)/CB94,0)</f>
        <v>0.25</v>
      </c>
      <c r="BS94" s="106" cm="1">
        <f t="array" ref="BS94:CD94">+_xlfn.XLOOKUP(BD94,Budget!A:A,Budget!Q:AB)</f>
        <v>8000</v>
      </c>
      <c r="BT94" s="106">
        <v>7500</v>
      </c>
      <c r="BU94" s="106">
        <v>11000</v>
      </c>
      <c r="BV94" s="106">
        <v>7500</v>
      </c>
      <c r="BW94" s="106">
        <v>9000</v>
      </c>
      <c r="BX94" s="106">
        <v>7500</v>
      </c>
      <c r="BY94" s="106">
        <v>8500</v>
      </c>
      <c r="BZ94" s="106">
        <v>10000</v>
      </c>
      <c r="CA94" s="106">
        <v>8500</v>
      </c>
      <c r="CB94" s="106">
        <v>8000</v>
      </c>
      <c r="CC94" s="106">
        <v>7000</v>
      </c>
      <c r="CD94" s="106">
        <v>10500</v>
      </c>
      <c r="CE94" s="106">
        <f t="shared" si="1185"/>
        <v>103000</v>
      </c>
      <c r="CF94" s="22"/>
      <c r="CG94" s="106">
        <v>2639</v>
      </c>
      <c r="CH94" s="106">
        <v>3282.5</v>
      </c>
      <c r="CI94" s="106">
        <v>0</v>
      </c>
      <c r="CJ94" s="106">
        <v>0</v>
      </c>
      <c r="CK94" s="106">
        <v>11000</v>
      </c>
      <c r="CL94" s="106">
        <v>0</v>
      </c>
      <c r="CM94" s="106">
        <v>4000</v>
      </c>
      <c r="CN94" s="106">
        <v>0</v>
      </c>
      <c r="CO94" s="106">
        <v>12500</v>
      </c>
      <c r="CP94" s="106">
        <v>3000</v>
      </c>
      <c r="CQ94" s="106">
        <v>0</v>
      </c>
      <c r="CR94" s="106">
        <v>13500</v>
      </c>
      <c r="CS94" s="106">
        <f t="shared" si="1186"/>
        <v>49921.5</v>
      </c>
      <c r="CT94" s="16" t="str">
        <f t="shared" si="875"/>
        <v>Delivery Polish - New  Car</v>
      </c>
      <c r="CU94" s="106">
        <f>+VLOOKUP($BD94,'Jan-25'!$A:$J,6,0)</f>
        <v>3000</v>
      </c>
      <c r="CV94" s="106">
        <f>+VLOOKUP($BD94,'Feb-25'!$A:$J,6,0)</f>
        <v>2000</v>
      </c>
      <c r="CW94" s="106">
        <f>+VLOOKUP($BD94,'Mar-25'!$A:$J,6,0)</f>
        <v>3500</v>
      </c>
      <c r="CX94" s="106">
        <f>+VLOOKUP($BD94,'Apr-25'!$A:$J,6,0)</f>
        <v>0</v>
      </c>
      <c r="CY94" s="106">
        <f>+VLOOKUP($BD94,'May-25'!$A:$J,6,0)</f>
        <v>3000</v>
      </c>
      <c r="CZ94" s="106">
        <f>+VLOOKUP($BD94,'June-25'!$A:$J,6,0)</f>
        <v>4000</v>
      </c>
      <c r="DA94" s="106">
        <f>+VLOOKUP($BD94,'July-25'!$A:$J,6,0)</f>
        <v>6500</v>
      </c>
      <c r="DB94" s="106">
        <f>+VLOOKUP($BD94,'Aug-25'!$A:$J,6,0)</f>
        <v>0</v>
      </c>
      <c r="DC94" s="106">
        <f>+VLOOKUP($BD94,'Sep-25'!$A:$J,6,0)</f>
        <v>8500</v>
      </c>
      <c r="DD94" s="106">
        <f>+VLOOKUP($BD94,'Oct-25'!$A:$J,6,0)</f>
        <v>73594</v>
      </c>
      <c r="DE94" s="106">
        <f>+VLOOKUP($BD94,'Nov-25'!$A:$J,6,0)</f>
        <v>0</v>
      </c>
      <c r="DF94" s="106">
        <f>+VLOOKUP($BD94,'Dec-25'!$A:$J,6,0)</f>
        <v>0</v>
      </c>
      <c r="DG94" s="106">
        <f t="shared" si="1187"/>
        <v>104094</v>
      </c>
      <c r="DH94" s="118">
        <f t="shared" ref="DH94:DH157" si="1191">IFERROR((DD94-DR94)/DR94,0)</f>
        <v>9.5134285714285713</v>
      </c>
      <c r="DI94" s="106">
        <f>+_xlfn.XLOOKUP($CT94,Budget!$A:$A,Budget!BQ:BQ)</f>
        <v>6500</v>
      </c>
      <c r="DJ94" s="106">
        <f>+_xlfn.XLOOKUP($CT94,Budget!$A:$A,Budget!BR:BR)</f>
        <v>7000</v>
      </c>
      <c r="DK94" s="106">
        <f>+_xlfn.XLOOKUP($CT94,Budget!$A:$A,Budget!BS:BS)</f>
        <v>7500</v>
      </c>
      <c r="DL94" s="106">
        <f>+_xlfn.XLOOKUP($CT94,Budget!$A:$A,Budget!BT:BT)</f>
        <v>7500</v>
      </c>
      <c r="DM94" s="106">
        <f>+_xlfn.XLOOKUP($CT94,Budget!$A:$A,Budget!BU:BU)</f>
        <v>7000</v>
      </c>
      <c r="DN94" s="106">
        <f>+_xlfn.XLOOKUP($CT94,Budget!$A:$A,Budget!BV:BV)</f>
        <v>6500</v>
      </c>
      <c r="DO94" s="106">
        <f>+_xlfn.XLOOKUP($CT94,Budget!$A:$A,Budget!BW:BW)</f>
        <v>6000</v>
      </c>
      <c r="DP94" s="106">
        <f>+_xlfn.XLOOKUP($CT94,Budget!$A:$A,Budget!BX:BX)</f>
        <v>7000</v>
      </c>
      <c r="DQ94" s="106">
        <f>+_xlfn.XLOOKUP($CT94,Budget!$A:$A,Budget!BY:BY)</f>
        <v>8500</v>
      </c>
      <c r="DR94" s="106">
        <f>+_xlfn.XLOOKUP($CT94,Budget!$A:$A,Budget!BZ:BZ)</f>
        <v>7000</v>
      </c>
      <c r="DS94" s="106">
        <f>+_xlfn.XLOOKUP($CT94,Budget!$A:$A,Budget!CA:CA)</f>
        <v>7000</v>
      </c>
      <c r="DT94" s="106">
        <f>+_xlfn.XLOOKUP($CT94,Budget!$A:$A,Budget!CB:CB)</f>
        <v>8000</v>
      </c>
      <c r="DU94" s="106">
        <f t="shared" si="1188"/>
        <v>85500</v>
      </c>
    </row>
    <row r="95" spans="1:125" ht="14.45" hidden="1" customHeight="1" outlineLevel="2">
      <c r="A95" s="106">
        <f t="shared" si="1145"/>
        <v>0</v>
      </c>
      <c r="B95" s="106">
        <f t="shared" si="1146"/>
        <v>0</v>
      </c>
      <c r="C95" s="106">
        <f t="shared" si="1147"/>
        <v>0</v>
      </c>
      <c r="D95" s="106">
        <f t="shared" si="1148"/>
        <v>0</v>
      </c>
      <c r="E95" s="106">
        <f t="shared" si="1149"/>
        <v>0</v>
      </c>
      <c r="F95" s="106">
        <f t="shared" si="1150"/>
        <v>5370</v>
      </c>
      <c r="G95" s="106">
        <f t="shared" si="1151"/>
        <v>3133</v>
      </c>
      <c r="H95" s="106">
        <f t="shared" si="1152"/>
        <v>3133</v>
      </c>
      <c r="I95" s="106">
        <f t="shared" si="1153"/>
        <v>0</v>
      </c>
      <c r="J95" s="106">
        <f t="shared" si="1154"/>
        <v>0</v>
      </c>
      <c r="K95" s="106">
        <f t="shared" si="1155"/>
        <v>0</v>
      </c>
      <c r="L95" s="106">
        <f t="shared" si="1156"/>
        <v>0</v>
      </c>
      <c r="M95" s="106">
        <f t="shared" si="1036"/>
        <v>11636</v>
      </c>
      <c r="N95" s="16" t="s">
        <v>76</v>
      </c>
      <c r="O95" s="106">
        <f t="shared" si="1157"/>
        <v>0</v>
      </c>
      <c r="P95" s="106">
        <f t="shared" si="1158"/>
        <v>0</v>
      </c>
      <c r="Q95" s="106">
        <f t="shared" si="1159"/>
        <v>0</v>
      </c>
      <c r="R95" s="106">
        <f t="shared" si="1160"/>
        <v>0</v>
      </c>
      <c r="S95" s="106">
        <f t="shared" si="1161"/>
        <v>0</v>
      </c>
      <c r="T95" s="106">
        <f t="shared" si="1162"/>
        <v>0</v>
      </c>
      <c r="U95" s="106">
        <f t="shared" si="1163"/>
        <v>0</v>
      </c>
      <c r="V95" s="106">
        <f t="shared" si="1164"/>
        <v>0</v>
      </c>
      <c r="W95" s="106">
        <f t="shared" si="1165"/>
        <v>0</v>
      </c>
      <c r="X95" s="106">
        <f t="shared" si="1166"/>
        <v>0</v>
      </c>
      <c r="Y95" s="106">
        <f t="shared" si="1167"/>
        <v>0</v>
      </c>
      <c r="Z95" s="106">
        <f t="shared" si="1168"/>
        <v>0</v>
      </c>
      <c r="AA95" s="106">
        <f t="shared" si="1169"/>
        <v>0</v>
      </c>
      <c r="AB95" s="118">
        <f t="shared" si="1189"/>
        <v>0</v>
      </c>
      <c r="AC95" s="106">
        <f t="shared" si="1170"/>
        <v>0</v>
      </c>
      <c r="AD95" s="106">
        <f t="shared" si="1171"/>
        <v>0</v>
      </c>
      <c r="AE95" s="106">
        <f t="shared" si="1172"/>
        <v>0</v>
      </c>
      <c r="AF95" s="106">
        <f t="shared" si="1173"/>
        <v>0</v>
      </c>
      <c r="AG95" s="106">
        <f t="shared" si="1174"/>
        <v>0</v>
      </c>
      <c r="AH95" s="106">
        <f t="shared" si="1175"/>
        <v>0</v>
      </c>
      <c r="AI95" s="106">
        <f t="shared" si="1176"/>
        <v>0</v>
      </c>
      <c r="AJ95" s="106">
        <f t="shared" si="1177"/>
        <v>0</v>
      </c>
      <c r="AK95" s="106">
        <f t="shared" si="1178"/>
        <v>0</v>
      </c>
      <c r="AL95" s="106">
        <f t="shared" si="1179"/>
        <v>0</v>
      </c>
      <c r="AM95" s="106">
        <f t="shared" si="1180"/>
        <v>0</v>
      </c>
      <c r="AN95" s="106">
        <f t="shared" si="1181"/>
        <v>0</v>
      </c>
      <c r="AO95" s="106">
        <f t="shared" si="1182"/>
        <v>0</v>
      </c>
      <c r="AQ95" s="106">
        <v>0</v>
      </c>
      <c r="AR95" s="106">
        <v>0</v>
      </c>
      <c r="AS95" s="106">
        <v>0</v>
      </c>
      <c r="AT95" s="106">
        <v>0</v>
      </c>
      <c r="AU95" s="106">
        <v>0</v>
      </c>
      <c r="AV95" s="106">
        <v>5370</v>
      </c>
      <c r="AW95" s="106">
        <v>3133</v>
      </c>
      <c r="AX95" s="106">
        <v>3133</v>
      </c>
      <c r="AY95" s="106">
        <v>0</v>
      </c>
      <c r="AZ95" s="106">
        <v>0</v>
      </c>
      <c r="BA95" s="106">
        <v>0</v>
      </c>
      <c r="BB95" s="106">
        <v>0</v>
      </c>
      <c r="BC95" s="106">
        <f t="shared" si="1183"/>
        <v>11636</v>
      </c>
      <c r="BD95" s="16" t="str">
        <f t="shared" si="871"/>
        <v>Flat Bed  Charges</v>
      </c>
      <c r="BE95" s="106">
        <f>+VLOOKUP($BD95,'Jan-25'!$A:$J,2,0)</f>
        <v>0</v>
      </c>
      <c r="BF95" s="106">
        <f>+VLOOKUP($BD95,'Feb-25'!$A:$J,2,0)</f>
        <v>0</v>
      </c>
      <c r="BG95" s="106">
        <f>+VLOOKUP($BD95,'Mar-25'!$A:$J,2,0)</f>
        <v>0</v>
      </c>
      <c r="BH95" s="106">
        <f>+VLOOKUP($BD95,'Apr-25'!$A:$J,2,0)</f>
        <v>0</v>
      </c>
      <c r="BI95" s="106">
        <f>+VLOOKUP($BD95,'May-25'!$A:$J,2,0)</f>
        <v>0</v>
      </c>
      <c r="BJ95" s="106">
        <f>+VLOOKUP($BD95,'June-25'!$A:$J,2,0)</f>
        <v>0</v>
      </c>
      <c r="BK95" s="106">
        <f>+VLOOKUP($BD95,'July-25'!$A:$J,2,0)</f>
        <v>0</v>
      </c>
      <c r="BL95" s="106">
        <f>+VLOOKUP($BD95,'Aug-25'!$A:$J,2,0)</f>
        <v>0</v>
      </c>
      <c r="BM95" s="106">
        <f>+VLOOKUP($BD95,'Sep-25'!$A:$J,2,0)</f>
        <v>0</v>
      </c>
      <c r="BN95" s="106">
        <f>+VLOOKUP($BD95,'Oct-25'!$A:$J,2,0)</f>
        <v>0</v>
      </c>
      <c r="BO95" s="106">
        <f>+VLOOKUP($BD95,'Nov-25'!$A:$J,2,0)</f>
        <v>0</v>
      </c>
      <c r="BP95" s="106">
        <f>+VLOOKUP($BD95,'Dec-25'!$A:$J,2,0)</f>
        <v>0</v>
      </c>
      <c r="BQ95" s="106">
        <f t="shared" si="1184"/>
        <v>0</v>
      </c>
      <c r="BR95" s="118">
        <f t="shared" si="1190"/>
        <v>0</v>
      </c>
      <c r="BS95" s="106" cm="1">
        <f t="array" ref="BS95:CD95">+_xlfn.XLOOKUP(BD95,Budget!A:A,Budget!Q:AB)</f>
        <v>0</v>
      </c>
      <c r="BT95" s="106">
        <v>0</v>
      </c>
      <c r="BU95" s="106">
        <v>0</v>
      </c>
      <c r="BV95" s="106">
        <v>0</v>
      </c>
      <c r="BW95" s="106">
        <v>0</v>
      </c>
      <c r="BX95" s="106">
        <v>0</v>
      </c>
      <c r="BY95" s="106">
        <v>0</v>
      </c>
      <c r="BZ95" s="106">
        <v>0</v>
      </c>
      <c r="CA95" s="106">
        <v>0</v>
      </c>
      <c r="CB95" s="106">
        <v>0</v>
      </c>
      <c r="CC95" s="106">
        <v>0</v>
      </c>
      <c r="CD95" s="106">
        <v>0</v>
      </c>
      <c r="CE95" s="106">
        <f t="shared" si="1185"/>
        <v>0</v>
      </c>
      <c r="CF95" s="22"/>
      <c r="CG95" s="106">
        <v>0</v>
      </c>
      <c r="CH95" s="106">
        <v>0</v>
      </c>
      <c r="CI95" s="106">
        <v>0</v>
      </c>
      <c r="CJ95" s="106">
        <v>0</v>
      </c>
      <c r="CK95" s="106">
        <v>0</v>
      </c>
      <c r="CL95" s="106">
        <v>0</v>
      </c>
      <c r="CM95" s="106">
        <v>0</v>
      </c>
      <c r="CN95" s="106">
        <v>0</v>
      </c>
      <c r="CO95" s="106">
        <v>0</v>
      </c>
      <c r="CP95" s="106">
        <v>0</v>
      </c>
      <c r="CQ95" s="106">
        <v>0</v>
      </c>
      <c r="CR95" s="106">
        <v>0</v>
      </c>
      <c r="CS95" s="106">
        <f t="shared" si="1186"/>
        <v>0</v>
      </c>
      <c r="CT95" s="16" t="str">
        <f t="shared" si="875"/>
        <v>Flat Bed  Charges</v>
      </c>
      <c r="CU95" s="106">
        <f>+VLOOKUP($BD95,'Jan-25'!$A:$J,6,0)</f>
        <v>0</v>
      </c>
      <c r="CV95" s="106">
        <f>+VLOOKUP($BD95,'Feb-25'!$A:$J,6,0)</f>
        <v>0</v>
      </c>
      <c r="CW95" s="106">
        <f>+VLOOKUP($BD95,'Mar-25'!$A:$J,6,0)</f>
        <v>0</v>
      </c>
      <c r="CX95" s="106">
        <f>+VLOOKUP($BD95,'Apr-25'!$A:$J,6,0)</f>
        <v>0</v>
      </c>
      <c r="CY95" s="106">
        <f>+VLOOKUP($BD95,'May-25'!$A:$J,6,0)</f>
        <v>0</v>
      </c>
      <c r="CZ95" s="106">
        <f>+VLOOKUP($BD95,'June-25'!$A:$J,6,0)</f>
        <v>0</v>
      </c>
      <c r="DA95" s="106">
        <f>+VLOOKUP($BD95,'July-25'!$A:$J,6,0)</f>
        <v>0</v>
      </c>
      <c r="DB95" s="106">
        <f>+VLOOKUP($BD95,'Aug-25'!$A:$J,6,0)</f>
        <v>0</v>
      </c>
      <c r="DC95" s="106">
        <f>+VLOOKUP($BD95,'Sep-25'!$A:$J,6,0)</f>
        <v>0</v>
      </c>
      <c r="DD95" s="106">
        <f>+VLOOKUP($BD95,'Oct-25'!$A:$J,6,0)</f>
        <v>0</v>
      </c>
      <c r="DE95" s="106">
        <f>+VLOOKUP($BD95,'Nov-25'!$A:$J,6,0)</f>
        <v>0</v>
      </c>
      <c r="DF95" s="106">
        <f>+VLOOKUP($BD95,'Dec-25'!$A:$J,6,0)</f>
        <v>0</v>
      </c>
      <c r="DG95" s="106">
        <f t="shared" si="1187"/>
        <v>0</v>
      </c>
      <c r="DH95" s="118">
        <f t="shared" si="1191"/>
        <v>0</v>
      </c>
      <c r="DI95" s="106">
        <f>+_xlfn.XLOOKUP($CT95,Budget!$A:$A,Budget!BQ:BQ)</f>
        <v>0</v>
      </c>
      <c r="DJ95" s="106">
        <f>+_xlfn.XLOOKUP($CT95,Budget!$A:$A,Budget!BR:BR)</f>
        <v>0</v>
      </c>
      <c r="DK95" s="106">
        <f>+_xlfn.XLOOKUP($CT95,Budget!$A:$A,Budget!BS:BS)</f>
        <v>0</v>
      </c>
      <c r="DL95" s="106">
        <f>+_xlfn.XLOOKUP($CT95,Budget!$A:$A,Budget!BT:BT)</f>
        <v>0</v>
      </c>
      <c r="DM95" s="106">
        <f>+_xlfn.XLOOKUP($CT95,Budget!$A:$A,Budget!BU:BU)</f>
        <v>0</v>
      </c>
      <c r="DN95" s="106">
        <f>+_xlfn.XLOOKUP($CT95,Budget!$A:$A,Budget!BV:BV)</f>
        <v>0</v>
      </c>
      <c r="DO95" s="106">
        <f>+_xlfn.XLOOKUP($CT95,Budget!$A:$A,Budget!BW:BW)</f>
        <v>0</v>
      </c>
      <c r="DP95" s="106">
        <f>+_xlfn.XLOOKUP($CT95,Budget!$A:$A,Budget!BX:BX)</f>
        <v>0</v>
      </c>
      <c r="DQ95" s="106">
        <f>+_xlfn.XLOOKUP($CT95,Budget!$A:$A,Budget!BY:BY)</f>
        <v>0</v>
      </c>
      <c r="DR95" s="106">
        <f>+_xlfn.XLOOKUP($CT95,Budget!$A:$A,Budget!BZ:BZ)</f>
        <v>0</v>
      </c>
      <c r="DS95" s="106">
        <f>+_xlfn.XLOOKUP($CT95,Budget!$A:$A,Budget!CA:CA)</f>
        <v>0</v>
      </c>
      <c r="DT95" s="106">
        <f>+_xlfn.XLOOKUP($CT95,Budget!$A:$A,Budget!CB:CB)</f>
        <v>0</v>
      </c>
      <c r="DU95" s="106">
        <f t="shared" si="1188"/>
        <v>0</v>
      </c>
    </row>
    <row r="96" spans="1:125" ht="14.45" hidden="1" customHeight="1" outlineLevel="2">
      <c r="A96" s="106">
        <f t="shared" si="1145"/>
        <v>0</v>
      </c>
      <c r="B96" s="106">
        <f t="shared" si="1146"/>
        <v>0</v>
      </c>
      <c r="C96" s="106">
        <f t="shared" si="1147"/>
        <v>0</v>
      </c>
      <c r="D96" s="106">
        <f t="shared" si="1148"/>
        <v>0</v>
      </c>
      <c r="E96" s="106">
        <f t="shared" si="1149"/>
        <v>0</v>
      </c>
      <c r="F96" s="106">
        <f t="shared" si="1150"/>
        <v>0</v>
      </c>
      <c r="G96" s="106">
        <f t="shared" si="1151"/>
        <v>0</v>
      </c>
      <c r="H96" s="106">
        <f t="shared" si="1152"/>
        <v>0</v>
      </c>
      <c r="I96" s="106">
        <f t="shared" si="1153"/>
        <v>0</v>
      </c>
      <c r="J96" s="106">
        <f t="shared" si="1154"/>
        <v>42016</v>
      </c>
      <c r="K96" s="106">
        <f t="shared" si="1155"/>
        <v>0</v>
      </c>
      <c r="L96" s="106">
        <f t="shared" si="1156"/>
        <v>0</v>
      </c>
      <c r="M96" s="106">
        <f t="shared" si="1036"/>
        <v>42016</v>
      </c>
      <c r="N96" s="16" t="s">
        <v>77</v>
      </c>
      <c r="O96" s="106">
        <f t="shared" si="1157"/>
        <v>196576.12</v>
      </c>
      <c r="P96" s="106">
        <f t="shared" si="1158"/>
        <v>123976.32000000001</v>
      </c>
      <c r="Q96" s="106">
        <f t="shared" si="1159"/>
        <v>129918.27</v>
      </c>
      <c r="R96" s="106">
        <f t="shared" si="1160"/>
        <v>168946.81</v>
      </c>
      <c r="S96" s="106">
        <f t="shared" si="1161"/>
        <v>315710.40000000002</v>
      </c>
      <c r="T96" s="106">
        <f t="shared" si="1162"/>
        <v>160164.06</v>
      </c>
      <c r="U96" s="106">
        <f t="shared" si="1163"/>
        <v>157578.53166666668</v>
      </c>
      <c r="V96" s="106">
        <f t="shared" si="1164"/>
        <v>152534.97</v>
      </c>
      <c r="W96" s="106">
        <f t="shared" si="1165"/>
        <v>22706.3</v>
      </c>
      <c r="X96" s="106">
        <f t="shared" si="1166"/>
        <v>191172.81</v>
      </c>
      <c r="Y96" s="106">
        <f t="shared" si="1167"/>
        <v>0</v>
      </c>
      <c r="Z96" s="106">
        <f t="shared" si="1168"/>
        <v>0</v>
      </c>
      <c r="AA96" s="106">
        <f t="shared" si="1169"/>
        <v>1619284.5916666668</v>
      </c>
      <c r="AB96" s="118">
        <f t="shared" si="1189"/>
        <v>2.8234561999999999</v>
      </c>
      <c r="AC96" s="106">
        <f t="shared" si="1170"/>
        <v>50000</v>
      </c>
      <c r="AD96" s="106">
        <f t="shared" si="1171"/>
        <v>50000</v>
      </c>
      <c r="AE96" s="106">
        <f t="shared" si="1172"/>
        <v>50000</v>
      </c>
      <c r="AF96" s="106">
        <f t="shared" si="1173"/>
        <v>50000</v>
      </c>
      <c r="AG96" s="106">
        <f t="shared" si="1174"/>
        <v>50000</v>
      </c>
      <c r="AH96" s="106">
        <f t="shared" si="1175"/>
        <v>50000</v>
      </c>
      <c r="AI96" s="106">
        <f t="shared" si="1176"/>
        <v>50000</v>
      </c>
      <c r="AJ96" s="106">
        <f t="shared" si="1177"/>
        <v>50000</v>
      </c>
      <c r="AK96" s="106">
        <f t="shared" si="1178"/>
        <v>50000</v>
      </c>
      <c r="AL96" s="106">
        <f t="shared" si="1179"/>
        <v>50000</v>
      </c>
      <c r="AM96" s="106">
        <f t="shared" si="1180"/>
        <v>50000</v>
      </c>
      <c r="AN96" s="106">
        <f t="shared" si="1181"/>
        <v>50000</v>
      </c>
      <c r="AO96" s="106">
        <f t="shared" si="1182"/>
        <v>600000</v>
      </c>
      <c r="AQ96" s="106">
        <v>0</v>
      </c>
      <c r="AR96" s="106">
        <v>0</v>
      </c>
      <c r="AS96" s="106">
        <v>0</v>
      </c>
      <c r="AT96" s="106">
        <v>0</v>
      </c>
      <c r="AU96" s="106">
        <v>0</v>
      </c>
      <c r="AV96" s="106">
        <v>0</v>
      </c>
      <c r="AW96" s="106">
        <v>0</v>
      </c>
      <c r="AX96" s="106">
        <v>0</v>
      </c>
      <c r="AY96" s="106">
        <v>0</v>
      </c>
      <c r="AZ96" s="106">
        <v>42016</v>
      </c>
      <c r="BA96" s="106">
        <v>0</v>
      </c>
      <c r="BB96" s="106">
        <v>0</v>
      </c>
      <c r="BC96" s="106">
        <f t="shared" si="1183"/>
        <v>42016</v>
      </c>
      <c r="BD96" s="16" t="str">
        <f t="shared" si="871"/>
        <v>Flatbed Vehicle Expense (KL11CA7195)</v>
      </c>
      <c r="BE96" s="106">
        <f>+VLOOKUP($BD96,'Jan-25'!$A:$J,2,0)</f>
        <v>46796</v>
      </c>
      <c r="BF96" s="106">
        <f>+VLOOKUP($BD96,'Feb-25'!$A:$J,2,0)</f>
        <v>74385.792000000001</v>
      </c>
      <c r="BG96" s="106">
        <f>+VLOOKUP($BD96,'Mar-25'!$A:$J,2,0)</f>
        <v>77950.962</v>
      </c>
      <c r="BH96" s="106">
        <f>+VLOOKUP($BD96,'Apr-25'!$A:$J,2,0)</f>
        <v>154334.81</v>
      </c>
      <c r="BI96" s="106">
        <f>+VLOOKUP($BD96,'May-25'!$A:$J,2,0)</f>
        <v>225957.58</v>
      </c>
      <c r="BJ96" s="106">
        <f>+VLOOKUP($BD96,'June-25'!$A:$J,2,0)</f>
        <v>73049.88</v>
      </c>
      <c r="BK96" s="106">
        <f>+VLOOKUP($BD96,'July-25'!$A:$J,2,0)</f>
        <v>98422.881666666668</v>
      </c>
      <c r="BL96" s="106">
        <f>+VLOOKUP($BD96,'Aug-25'!$A:$J,2,0)</f>
        <v>66226.100000000006</v>
      </c>
      <c r="BM96" s="106">
        <f>+VLOOKUP($BD96,'Sep-25'!$A:$J,2,0)</f>
        <v>5423.5</v>
      </c>
      <c r="BN96" s="106">
        <f>+VLOOKUP($BD96,'Oct-25'!$A:$J,2,0)</f>
        <v>86788.67</v>
      </c>
      <c r="BO96" s="106">
        <f>+VLOOKUP($BD96,'Nov-25'!$A:$J,2,0)</f>
        <v>0</v>
      </c>
      <c r="BP96" s="106">
        <f>+VLOOKUP($BD96,'Dec-25'!$A:$J,2,0)</f>
        <v>0</v>
      </c>
      <c r="BQ96" s="106">
        <f t="shared" si="1184"/>
        <v>909336.17566666671</v>
      </c>
      <c r="BR96" s="118">
        <f t="shared" si="1190"/>
        <v>1.8929556666666667</v>
      </c>
      <c r="BS96" s="106" cm="1">
        <f t="array" ref="BS96:CD96">+_xlfn.XLOOKUP(BD96,Budget!A:A,Budget!Q:AB)</f>
        <v>30000</v>
      </c>
      <c r="BT96" s="106">
        <v>30000</v>
      </c>
      <c r="BU96" s="106">
        <v>30000</v>
      </c>
      <c r="BV96" s="106">
        <v>30000</v>
      </c>
      <c r="BW96" s="106">
        <v>30000</v>
      </c>
      <c r="BX96" s="106">
        <v>30000</v>
      </c>
      <c r="BY96" s="106">
        <v>30000</v>
      </c>
      <c r="BZ96" s="106">
        <v>30000</v>
      </c>
      <c r="CA96" s="106">
        <v>30000</v>
      </c>
      <c r="CB96" s="106">
        <v>30000</v>
      </c>
      <c r="CC96" s="106">
        <v>30000</v>
      </c>
      <c r="CD96" s="106">
        <v>30000</v>
      </c>
      <c r="CE96" s="106">
        <f t="shared" si="1185"/>
        <v>360000</v>
      </c>
      <c r="CF96" s="22"/>
      <c r="CG96" s="106">
        <v>0</v>
      </c>
      <c r="CH96" s="106">
        <v>0</v>
      </c>
      <c r="CI96" s="106">
        <v>0</v>
      </c>
      <c r="CJ96" s="106">
        <v>0</v>
      </c>
      <c r="CK96" s="106">
        <v>0</v>
      </c>
      <c r="CL96" s="106">
        <v>0</v>
      </c>
      <c r="CM96" s="106">
        <v>0</v>
      </c>
      <c r="CN96" s="106">
        <v>0</v>
      </c>
      <c r="CO96" s="106">
        <v>0</v>
      </c>
      <c r="CP96" s="106">
        <v>0</v>
      </c>
      <c r="CQ96" s="106">
        <v>0</v>
      </c>
      <c r="CR96" s="106">
        <v>0</v>
      </c>
      <c r="CS96" s="106">
        <f t="shared" si="1186"/>
        <v>0</v>
      </c>
      <c r="CT96" s="16" t="str">
        <f t="shared" si="875"/>
        <v>Flatbed Vehicle Expense (KL11CA7195)</v>
      </c>
      <c r="CU96" s="106">
        <f>+VLOOKUP($BD96,'Jan-25'!$A:$J,6,0)</f>
        <v>149780.12</v>
      </c>
      <c r="CV96" s="106">
        <f>+VLOOKUP($BD96,'Feb-25'!$A:$J,6,0)</f>
        <v>49590.528000000006</v>
      </c>
      <c r="CW96" s="106">
        <f>+VLOOKUP($BD96,'Mar-25'!$A:$J,6,0)</f>
        <v>51967.308000000005</v>
      </c>
      <c r="CX96" s="106">
        <f>+VLOOKUP($BD96,'Apr-25'!$A:$J,6,0)</f>
        <v>14612</v>
      </c>
      <c r="CY96" s="106">
        <f>+VLOOKUP($BD96,'May-25'!$A:$J,6,0)</f>
        <v>89752.82</v>
      </c>
      <c r="CZ96" s="106">
        <f>+VLOOKUP($BD96,'June-25'!$A:$J,6,0)</f>
        <v>87114.18</v>
      </c>
      <c r="DA96" s="106">
        <f>+VLOOKUP($BD96,'July-25'!$A:$J,6,0)</f>
        <v>59155.65</v>
      </c>
      <c r="DB96" s="106">
        <f>+VLOOKUP($BD96,'Aug-25'!$A:$J,6,0)</f>
        <v>86308.87</v>
      </c>
      <c r="DC96" s="106">
        <f>+VLOOKUP($BD96,'Sep-25'!$A:$J,6,0)</f>
        <v>17282.8</v>
      </c>
      <c r="DD96" s="106">
        <f>+VLOOKUP($BD96,'Oct-25'!$A:$J,6,0)</f>
        <v>104384.14</v>
      </c>
      <c r="DE96" s="106">
        <f>+VLOOKUP($BD96,'Nov-25'!$A:$J,6,0)</f>
        <v>0</v>
      </c>
      <c r="DF96" s="106">
        <f>+VLOOKUP($BD96,'Dec-25'!$A:$J,6,0)</f>
        <v>0</v>
      </c>
      <c r="DG96" s="106">
        <f t="shared" si="1187"/>
        <v>709948.41600000008</v>
      </c>
      <c r="DH96" s="118">
        <f t="shared" si="1191"/>
        <v>4.2192069999999999</v>
      </c>
      <c r="DI96" s="106">
        <f>+_xlfn.XLOOKUP($CT96,Budget!$A:$A,Budget!BQ:BQ)</f>
        <v>20000</v>
      </c>
      <c r="DJ96" s="106">
        <f>+_xlfn.XLOOKUP($CT96,Budget!$A:$A,Budget!BR:BR)</f>
        <v>20000</v>
      </c>
      <c r="DK96" s="106">
        <f>+_xlfn.XLOOKUP($CT96,Budget!$A:$A,Budget!BS:BS)</f>
        <v>20000</v>
      </c>
      <c r="DL96" s="106">
        <f>+_xlfn.XLOOKUP($CT96,Budget!$A:$A,Budget!BT:BT)</f>
        <v>20000</v>
      </c>
      <c r="DM96" s="106">
        <f>+_xlfn.XLOOKUP($CT96,Budget!$A:$A,Budget!BU:BU)</f>
        <v>20000</v>
      </c>
      <c r="DN96" s="106">
        <f>+_xlfn.XLOOKUP($CT96,Budget!$A:$A,Budget!BV:BV)</f>
        <v>20000</v>
      </c>
      <c r="DO96" s="106">
        <f>+_xlfn.XLOOKUP($CT96,Budget!$A:$A,Budget!BW:BW)</f>
        <v>20000</v>
      </c>
      <c r="DP96" s="106">
        <f>+_xlfn.XLOOKUP($CT96,Budget!$A:$A,Budget!BX:BX)</f>
        <v>20000</v>
      </c>
      <c r="DQ96" s="106">
        <f>+_xlfn.XLOOKUP($CT96,Budget!$A:$A,Budget!BY:BY)</f>
        <v>20000</v>
      </c>
      <c r="DR96" s="106">
        <f>+_xlfn.XLOOKUP($CT96,Budget!$A:$A,Budget!BZ:BZ)</f>
        <v>20000</v>
      </c>
      <c r="DS96" s="106">
        <f>+_xlfn.XLOOKUP($CT96,Budget!$A:$A,Budget!CA:CA)</f>
        <v>20000</v>
      </c>
      <c r="DT96" s="106">
        <f>+_xlfn.XLOOKUP($CT96,Budget!$A:$A,Budget!CB:CB)</f>
        <v>20000</v>
      </c>
      <c r="DU96" s="106">
        <f t="shared" si="1188"/>
        <v>240000</v>
      </c>
    </row>
    <row r="97" spans="1:125" ht="14.45" hidden="1" customHeight="1" outlineLevel="2">
      <c r="A97" s="106">
        <f t="shared" si="1145"/>
        <v>85058.25</v>
      </c>
      <c r="B97" s="106">
        <f t="shared" si="1146"/>
        <v>89982.399999999994</v>
      </c>
      <c r="C97" s="106">
        <f t="shared" si="1147"/>
        <v>126337.8</v>
      </c>
      <c r="D97" s="106">
        <f t="shared" si="1148"/>
        <v>133657.49</v>
      </c>
      <c r="E97" s="106">
        <f t="shared" si="1149"/>
        <v>171752.07</v>
      </c>
      <c r="F97" s="106">
        <f t="shared" si="1150"/>
        <v>50481.54</v>
      </c>
      <c r="G97" s="106">
        <f t="shared" si="1151"/>
        <v>151043.62</v>
      </c>
      <c r="H97" s="106">
        <f t="shared" si="1152"/>
        <v>182127.35</v>
      </c>
      <c r="I97" s="106">
        <f t="shared" si="1153"/>
        <v>175987.27</v>
      </c>
      <c r="J97" s="106">
        <f t="shared" si="1154"/>
        <v>62418.880000000005</v>
      </c>
      <c r="K97" s="106">
        <f t="shared" si="1155"/>
        <v>92819</v>
      </c>
      <c r="L97" s="106">
        <f t="shared" si="1156"/>
        <v>86996.77</v>
      </c>
      <c r="M97" s="106">
        <f t="shared" si="1036"/>
        <v>1408662.44</v>
      </c>
      <c r="N97" s="16" t="s">
        <v>78</v>
      </c>
      <c r="O97" s="106">
        <f t="shared" si="1157"/>
        <v>103971.74</v>
      </c>
      <c r="P97" s="106">
        <f t="shared" si="1158"/>
        <v>56769.69</v>
      </c>
      <c r="Q97" s="106">
        <f t="shared" si="1159"/>
        <v>121272.34</v>
      </c>
      <c r="R97" s="106">
        <f t="shared" si="1160"/>
        <v>152626.04</v>
      </c>
      <c r="S97" s="106">
        <f t="shared" si="1161"/>
        <v>59532.93</v>
      </c>
      <c r="T97" s="106">
        <f t="shared" si="1162"/>
        <v>13171.25</v>
      </c>
      <c r="U97" s="106">
        <f t="shared" si="1163"/>
        <v>19272.25</v>
      </c>
      <c r="V97" s="106">
        <f t="shared" si="1164"/>
        <v>153515.81</v>
      </c>
      <c r="W97" s="106">
        <f t="shared" si="1165"/>
        <v>45518.7</v>
      </c>
      <c r="X97" s="106">
        <f t="shared" si="1166"/>
        <v>2371</v>
      </c>
      <c r="Y97" s="106">
        <f t="shared" si="1167"/>
        <v>0</v>
      </c>
      <c r="Z97" s="106">
        <f t="shared" si="1168"/>
        <v>0</v>
      </c>
      <c r="AA97" s="106">
        <f t="shared" si="1169"/>
        <v>728021.75</v>
      </c>
      <c r="AB97" s="118">
        <f t="shared" si="1189"/>
        <v>-0.96838666666666662</v>
      </c>
      <c r="AC97" s="106">
        <f t="shared" si="1170"/>
        <v>75000</v>
      </c>
      <c r="AD97" s="106">
        <f t="shared" si="1171"/>
        <v>75000</v>
      </c>
      <c r="AE97" s="106">
        <f t="shared" si="1172"/>
        <v>75000</v>
      </c>
      <c r="AF97" s="106">
        <f t="shared" si="1173"/>
        <v>75000</v>
      </c>
      <c r="AG97" s="106">
        <f t="shared" si="1174"/>
        <v>75000</v>
      </c>
      <c r="AH97" s="106">
        <f t="shared" si="1175"/>
        <v>75000</v>
      </c>
      <c r="AI97" s="106">
        <f t="shared" si="1176"/>
        <v>75000</v>
      </c>
      <c r="AJ97" s="106">
        <f t="shared" si="1177"/>
        <v>75000</v>
      </c>
      <c r="AK97" s="106">
        <f t="shared" si="1178"/>
        <v>75000</v>
      </c>
      <c r="AL97" s="106">
        <f t="shared" si="1179"/>
        <v>75000</v>
      </c>
      <c r="AM97" s="106">
        <f t="shared" si="1180"/>
        <v>75000</v>
      </c>
      <c r="AN97" s="106">
        <f t="shared" si="1181"/>
        <v>75000</v>
      </c>
      <c r="AO97" s="106">
        <f t="shared" si="1182"/>
        <v>900000</v>
      </c>
      <c r="AQ97" s="106">
        <v>1420</v>
      </c>
      <c r="AR97" s="106">
        <v>12507.71</v>
      </c>
      <c r="AS97" s="106">
        <v>28457.97</v>
      </c>
      <c r="AT97" s="106">
        <v>70326.509999999995</v>
      </c>
      <c r="AU97" s="106">
        <v>88952.94</v>
      </c>
      <c r="AV97" s="106">
        <v>50481.54</v>
      </c>
      <c r="AW97" s="106">
        <v>14300</v>
      </c>
      <c r="AX97" s="106">
        <v>71130</v>
      </c>
      <c r="AY97" s="106">
        <v>81953.87</v>
      </c>
      <c r="AZ97" s="106">
        <v>11391.58</v>
      </c>
      <c r="BA97" s="106">
        <v>3429.38</v>
      </c>
      <c r="BB97" s="106">
        <v>6771</v>
      </c>
      <c r="BC97" s="106">
        <f t="shared" si="1183"/>
        <v>441122.50000000006</v>
      </c>
      <c r="BD97" s="16" t="str">
        <f t="shared" si="871"/>
        <v>Flatbed Vehicle Expenses (KL 11 BK 224 )</v>
      </c>
      <c r="BE97" s="106">
        <f>+VLOOKUP($BD97,'Jan-25'!$A:$J,2,0)</f>
        <v>67721.070000000007</v>
      </c>
      <c r="BF97" s="106">
        <f>+VLOOKUP($BD97,'Feb-25'!$A:$J,2,0)</f>
        <v>34061.813999999998</v>
      </c>
      <c r="BG97" s="106">
        <f>+VLOOKUP($BD97,'Mar-25'!$A:$J,2,0)</f>
        <v>72763.403999999995</v>
      </c>
      <c r="BH97" s="106">
        <f>+VLOOKUP($BD97,'Apr-25'!$A:$J,2,0)</f>
        <v>99313.919999999998</v>
      </c>
      <c r="BI97" s="106">
        <f>+VLOOKUP($BD97,'May-25'!$A:$J,2,0)</f>
        <v>49123.15</v>
      </c>
      <c r="BJ97" s="106">
        <f>+VLOOKUP($BD97,'June-25'!$A:$J,2,0)</f>
        <v>8851.25</v>
      </c>
      <c r="BK97" s="106">
        <f>+VLOOKUP($BD97,'July-25'!$A:$J,2,0)</f>
        <v>19272.25</v>
      </c>
      <c r="BL97" s="106">
        <f>+VLOOKUP($BD97,'Aug-25'!$A:$J,2,0)</f>
        <v>111167.26</v>
      </c>
      <c r="BM97" s="106">
        <f>+VLOOKUP($BD97,'Sep-25'!$A:$J,2,0)</f>
        <v>18771</v>
      </c>
      <c r="BN97" s="106">
        <f>+VLOOKUP($BD97,'Oct-25'!$A:$J,2,0)</f>
        <v>2371</v>
      </c>
      <c r="BO97" s="106">
        <f>+VLOOKUP($BD97,'Nov-25'!$A:$J,2,0)</f>
        <v>0</v>
      </c>
      <c r="BP97" s="106">
        <f>+VLOOKUP($BD97,'Dec-25'!$A:$J,2,0)</f>
        <v>0</v>
      </c>
      <c r="BQ97" s="106">
        <f t="shared" si="1184"/>
        <v>483416.11800000002</v>
      </c>
      <c r="BR97" s="118">
        <f t="shared" si="1190"/>
        <v>-0.9473111111111111</v>
      </c>
      <c r="BS97" s="106" cm="1">
        <f t="array" ref="BS97:CD97">+_xlfn.XLOOKUP(BD97,Budget!A:A,Budget!Q:AB)</f>
        <v>45000</v>
      </c>
      <c r="BT97" s="106">
        <v>45000</v>
      </c>
      <c r="BU97" s="106">
        <v>45000</v>
      </c>
      <c r="BV97" s="106">
        <v>45000</v>
      </c>
      <c r="BW97" s="106">
        <v>45000</v>
      </c>
      <c r="BX97" s="106">
        <v>45000</v>
      </c>
      <c r="BY97" s="106">
        <v>45000</v>
      </c>
      <c r="BZ97" s="106">
        <v>45000</v>
      </c>
      <c r="CA97" s="106">
        <v>45000</v>
      </c>
      <c r="CB97" s="106">
        <v>45000</v>
      </c>
      <c r="CC97" s="106">
        <v>45000</v>
      </c>
      <c r="CD97" s="106">
        <v>45000</v>
      </c>
      <c r="CE97" s="106">
        <f t="shared" si="1185"/>
        <v>540000</v>
      </c>
      <c r="CF97" s="22"/>
      <c r="CG97" s="106">
        <v>83638.25</v>
      </c>
      <c r="CH97" s="106">
        <v>77474.69</v>
      </c>
      <c r="CI97" s="106">
        <v>97879.83</v>
      </c>
      <c r="CJ97" s="106">
        <v>63330.98</v>
      </c>
      <c r="CK97" s="106">
        <v>82799.13</v>
      </c>
      <c r="CL97" s="106">
        <v>0</v>
      </c>
      <c r="CM97" s="106">
        <v>136743.62</v>
      </c>
      <c r="CN97" s="106">
        <v>110997.35</v>
      </c>
      <c r="CO97" s="106">
        <v>94033.4</v>
      </c>
      <c r="CP97" s="106">
        <v>51027.3</v>
      </c>
      <c r="CQ97" s="106">
        <v>89389.62</v>
      </c>
      <c r="CR97" s="106">
        <v>80225.77</v>
      </c>
      <c r="CS97" s="106">
        <f t="shared" si="1186"/>
        <v>967539.94000000006</v>
      </c>
      <c r="CT97" s="16" t="str">
        <f t="shared" si="875"/>
        <v>Flatbed Vehicle Expenses (KL 11 BK 224 )</v>
      </c>
      <c r="CU97" s="106">
        <f>+VLOOKUP($BD97,'Jan-25'!$A:$J,6,0)</f>
        <v>36250.67</v>
      </c>
      <c r="CV97" s="106">
        <f>+VLOOKUP($BD97,'Feb-25'!$A:$J,6,0)</f>
        <v>22707.876000000004</v>
      </c>
      <c r="CW97" s="106">
        <f>+VLOOKUP($BD97,'Mar-25'!$A:$J,6,0)</f>
        <v>48508.936000000002</v>
      </c>
      <c r="CX97" s="106">
        <f>+VLOOKUP($BD97,'Apr-25'!$A:$J,6,0)</f>
        <v>53312.12</v>
      </c>
      <c r="CY97" s="106">
        <f>+VLOOKUP($BD97,'May-25'!$A:$J,6,0)</f>
        <v>10409.780000000001</v>
      </c>
      <c r="CZ97" s="106">
        <f>+VLOOKUP($BD97,'June-25'!$A:$J,6,0)</f>
        <v>4320</v>
      </c>
      <c r="DA97" s="106">
        <f>+VLOOKUP($BD97,'July-25'!$A:$J,6,0)</f>
        <v>0</v>
      </c>
      <c r="DB97" s="106">
        <f>+VLOOKUP($BD97,'Aug-25'!$A:$J,6,0)</f>
        <v>42348.55</v>
      </c>
      <c r="DC97" s="106">
        <f>+VLOOKUP($BD97,'Sep-25'!$A:$J,6,0)</f>
        <v>26747.7</v>
      </c>
      <c r="DD97" s="106">
        <f>+VLOOKUP($BD97,'Oct-25'!$A:$J,6,0)</f>
        <v>0</v>
      </c>
      <c r="DE97" s="106">
        <f>+VLOOKUP($BD97,'Nov-25'!$A:$J,6,0)</f>
        <v>0</v>
      </c>
      <c r="DF97" s="106">
        <f>+VLOOKUP($BD97,'Dec-25'!$A:$J,6,0)</f>
        <v>0</v>
      </c>
      <c r="DG97" s="106">
        <f t="shared" si="1187"/>
        <v>244605.63200000004</v>
      </c>
      <c r="DH97" s="118">
        <f t="shared" si="1191"/>
        <v>-1</v>
      </c>
      <c r="DI97" s="106">
        <f>+_xlfn.XLOOKUP($CT97,Budget!$A:$A,Budget!BQ:BQ)</f>
        <v>30000</v>
      </c>
      <c r="DJ97" s="106">
        <f>+_xlfn.XLOOKUP($CT97,Budget!$A:$A,Budget!BR:BR)</f>
        <v>30000</v>
      </c>
      <c r="DK97" s="106">
        <f>+_xlfn.XLOOKUP($CT97,Budget!$A:$A,Budget!BS:BS)</f>
        <v>30000</v>
      </c>
      <c r="DL97" s="106">
        <f>+_xlfn.XLOOKUP($CT97,Budget!$A:$A,Budget!BT:BT)</f>
        <v>30000</v>
      </c>
      <c r="DM97" s="106">
        <f>+_xlfn.XLOOKUP($CT97,Budget!$A:$A,Budget!BU:BU)</f>
        <v>30000</v>
      </c>
      <c r="DN97" s="106">
        <f>+_xlfn.XLOOKUP($CT97,Budget!$A:$A,Budget!BV:BV)</f>
        <v>30000</v>
      </c>
      <c r="DO97" s="106">
        <f>+_xlfn.XLOOKUP($CT97,Budget!$A:$A,Budget!BW:BW)</f>
        <v>30000</v>
      </c>
      <c r="DP97" s="106">
        <f>+_xlfn.XLOOKUP($CT97,Budget!$A:$A,Budget!BX:BX)</f>
        <v>30000</v>
      </c>
      <c r="DQ97" s="106">
        <f>+_xlfn.XLOOKUP($CT97,Budget!$A:$A,Budget!BY:BY)</f>
        <v>30000</v>
      </c>
      <c r="DR97" s="106">
        <f>+_xlfn.XLOOKUP($CT97,Budget!$A:$A,Budget!BZ:BZ)</f>
        <v>30000</v>
      </c>
      <c r="DS97" s="106">
        <f>+_xlfn.XLOOKUP($CT97,Budget!$A:$A,Budget!CA:CA)</f>
        <v>30000</v>
      </c>
      <c r="DT97" s="106">
        <f>+_xlfn.XLOOKUP($CT97,Budget!$A:$A,Budget!CB:CB)</f>
        <v>30000</v>
      </c>
      <c r="DU97" s="106">
        <f t="shared" si="1188"/>
        <v>360000</v>
      </c>
    </row>
    <row r="98" spans="1:125" ht="14.45" hidden="1" customHeight="1" outlineLevel="2">
      <c r="A98" s="106">
        <f t="shared" si="1145"/>
        <v>136185.20000000001</v>
      </c>
      <c r="B98" s="106">
        <f t="shared" si="1146"/>
        <v>107201.54000000001</v>
      </c>
      <c r="C98" s="106">
        <f t="shared" si="1147"/>
        <v>214726.39</v>
      </c>
      <c r="D98" s="106">
        <f t="shared" si="1148"/>
        <v>130075.07</v>
      </c>
      <c r="E98" s="106">
        <f t="shared" si="1149"/>
        <v>131036.95000000001</v>
      </c>
      <c r="F98" s="106">
        <f t="shared" si="1150"/>
        <v>136388.69</v>
      </c>
      <c r="G98" s="106">
        <f t="shared" si="1151"/>
        <v>180000.30000000002</v>
      </c>
      <c r="H98" s="106">
        <f t="shared" si="1152"/>
        <v>161076.28</v>
      </c>
      <c r="I98" s="106">
        <f t="shared" si="1153"/>
        <v>139076.89000000001</v>
      </c>
      <c r="J98" s="106">
        <f t="shared" si="1154"/>
        <v>81651.14</v>
      </c>
      <c r="K98" s="106">
        <f t="shared" si="1155"/>
        <v>132646.32999999999</v>
      </c>
      <c r="L98" s="106">
        <f t="shared" si="1156"/>
        <v>178668.03</v>
      </c>
      <c r="M98" s="106">
        <f t="shared" si="1036"/>
        <v>1728732.81</v>
      </c>
      <c r="N98" s="16" t="s">
        <v>79</v>
      </c>
      <c r="O98" s="106">
        <f t="shared" si="1157"/>
        <v>171987.54</v>
      </c>
      <c r="P98" s="106">
        <f t="shared" si="1158"/>
        <v>171552.24</v>
      </c>
      <c r="Q98" s="106">
        <f t="shared" si="1159"/>
        <v>176442.46</v>
      </c>
      <c r="R98" s="106">
        <f t="shared" si="1160"/>
        <v>213413.18000000002</v>
      </c>
      <c r="S98" s="106">
        <f t="shared" si="1161"/>
        <v>151426.11000000002</v>
      </c>
      <c r="T98" s="106">
        <f t="shared" si="1162"/>
        <v>166759.44</v>
      </c>
      <c r="U98" s="106">
        <f t="shared" si="1163"/>
        <v>152093.60999999999</v>
      </c>
      <c r="V98" s="106">
        <f t="shared" si="1164"/>
        <v>234624.84999999998</v>
      </c>
      <c r="W98" s="106">
        <f t="shared" si="1165"/>
        <v>65011.199999999997</v>
      </c>
      <c r="X98" s="106">
        <f t="shared" si="1166"/>
        <v>257279.13999999998</v>
      </c>
      <c r="Y98" s="106">
        <f t="shared" si="1167"/>
        <v>0</v>
      </c>
      <c r="Z98" s="106">
        <f t="shared" si="1168"/>
        <v>0</v>
      </c>
      <c r="AA98" s="106">
        <f t="shared" si="1169"/>
        <v>1760589.77</v>
      </c>
      <c r="AB98" s="118">
        <f t="shared" si="1189"/>
        <v>0.71519426666666652</v>
      </c>
      <c r="AC98" s="106">
        <f t="shared" si="1170"/>
        <v>145000</v>
      </c>
      <c r="AD98" s="106">
        <f t="shared" si="1171"/>
        <v>145000</v>
      </c>
      <c r="AE98" s="106">
        <f t="shared" si="1172"/>
        <v>185000</v>
      </c>
      <c r="AF98" s="106">
        <f t="shared" si="1173"/>
        <v>150000</v>
      </c>
      <c r="AG98" s="106">
        <f t="shared" si="1174"/>
        <v>160000</v>
      </c>
      <c r="AH98" s="106">
        <f t="shared" si="1175"/>
        <v>140000</v>
      </c>
      <c r="AI98" s="106">
        <f t="shared" si="1176"/>
        <v>145000</v>
      </c>
      <c r="AJ98" s="106">
        <f t="shared" si="1177"/>
        <v>170000</v>
      </c>
      <c r="AK98" s="106">
        <f t="shared" si="1178"/>
        <v>170000</v>
      </c>
      <c r="AL98" s="106">
        <f t="shared" si="1179"/>
        <v>150000</v>
      </c>
      <c r="AM98" s="106">
        <f t="shared" si="1180"/>
        <v>140000</v>
      </c>
      <c r="AN98" s="106">
        <f t="shared" si="1181"/>
        <v>185000</v>
      </c>
      <c r="AO98" s="106">
        <f t="shared" si="1182"/>
        <v>1885000</v>
      </c>
      <c r="AQ98" s="106">
        <v>98989.55</v>
      </c>
      <c r="AR98" s="106">
        <v>48413.240000000005</v>
      </c>
      <c r="AS98" s="106">
        <v>100743.37</v>
      </c>
      <c r="AT98" s="106">
        <v>78462.75</v>
      </c>
      <c r="AU98" s="106">
        <v>75872.83</v>
      </c>
      <c r="AV98" s="106">
        <v>88006.26</v>
      </c>
      <c r="AW98" s="106">
        <v>178413.45</v>
      </c>
      <c r="AX98" s="106">
        <v>161076.28</v>
      </c>
      <c r="AY98" s="106">
        <v>139076.89000000001</v>
      </c>
      <c r="AZ98" s="106">
        <v>74941.98</v>
      </c>
      <c r="BA98" s="106">
        <v>132646.32999999999</v>
      </c>
      <c r="BB98" s="106">
        <v>159690.56</v>
      </c>
      <c r="BC98" s="106">
        <f t="shared" si="1183"/>
        <v>1336333.4900000002</v>
      </c>
      <c r="BD98" s="16" t="str">
        <f t="shared" si="871"/>
        <v>Fuel-New Car Delivery</v>
      </c>
      <c r="BE98" s="106">
        <f>+VLOOKUP($BD98,'Jan-25'!$A:$J,2,0)</f>
        <v>103192.524</v>
      </c>
      <c r="BF98" s="106">
        <f>+VLOOKUP($BD98,'Feb-25'!$A:$J,2,0)</f>
        <v>102931.344</v>
      </c>
      <c r="BG98" s="106">
        <f>+VLOOKUP($BD98,'Mar-25'!$A:$J,2,0)</f>
        <v>105865.476</v>
      </c>
      <c r="BH98" s="106">
        <f>+VLOOKUP($BD98,'Apr-25'!$A:$J,2,0)</f>
        <v>193984.42</v>
      </c>
      <c r="BI98" s="106">
        <f>+VLOOKUP($BD98,'May-25'!$A:$J,2,0)</f>
        <v>67973.350000000006</v>
      </c>
      <c r="BJ98" s="106">
        <f>+VLOOKUP($BD98,'June-25'!$A:$J,2,0)</f>
        <v>75154.179999999993</v>
      </c>
      <c r="BK98" s="106">
        <f>+VLOOKUP($BD98,'July-25'!$A:$J,2,0)</f>
        <v>86816.55</v>
      </c>
      <c r="BL98" s="106">
        <f>+VLOOKUP($BD98,'Aug-25'!$A:$J,2,0)</f>
        <v>147115.34999999998</v>
      </c>
      <c r="BM98" s="106">
        <f>+VLOOKUP($BD98,'Sep-25'!$A:$J,2,0)</f>
        <v>37786.18</v>
      </c>
      <c r="BN98" s="106">
        <f>+VLOOKUP($BD98,'Oct-25'!$A:$J,2,0)</f>
        <v>144210.35999999999</v>
      </c>
      <c r="BO98" s="106">
        <f>+VLOOKUP($BD98,'Nov-25'!$A:$J,2,0)</f>
        <v>0</v>
      </c>
      <c r="BP98" s="106">
        <f>+VLOOKUP($BD98,'Dec-25'!$A:$J,2,0)</f>
        <v>0</v>
      </c>
      <c r="BQ98" s="106">
        <f t="shared" si="1184"/>
        <v>1065029.7340000002</v>
      </c>
      <c r="BR98" s="118">
        <f t="shared" si="1190"/>
        <v>0.80262949999999977</v>
      </c>
      <c r="BS98" s="106" cm="1">
        <f t="array" ref="BS98:CD98">+_xlfn.XLOOKUP(BD98,Budget!A:A,Budget!Q:AB)</f>
        <v>80000</v>
      </c>
      <c r="BT98" s="106">
        <v>75000</v>
      </c>
      <c r="BU98" s="106">
        <v>110000</v>
      </c>
      <c r="BV98" s="106">
        <v>75000</v>
      </c>
      <c r="BW98" s="106">
        <v>90000</v>
      </c>
      <c r="BX98" s="106">
        <v>75000</v>
      </c>
      <c r="BY98" s="106">
        <v>85000</v>
      </c>
      <c r="BZ98" s="106">
        <v>100000</v>
      </c>
      <c r="CA98" s="106">
        <v>85000</v>
      </c>
      <c r="CB98" s="106">
        <v>80000</v>
      </c>
      <c r="CC98" s="106">
        <v>70000</v>
      </c>
      <c r="CD98" s="106">
        <v>105000</v>
      </c>
      <c r="CE98" s="106">
        <f t="shared" si="1185"/>
        <v>1030000</v>
      </c>
      <c r="CF98" s="22"/>
      <c r="CG98" s="106">
        <v>37195.65</v>
      </c>
      <c r="CH98" s="106">
        <v>58788.3</v>
      </c>
      <c r="CI98" s="106">
        <v>113983.02</v>
      </c>
      <c r="CJ98" s="106">
        <v>51612.32</v>
      </c>
      <c r="CK98" s="106">
        <v>55164.12</v>
      </c>
      <c r="CL98" s="106">
        <v>48382.43</v>
      </c>
      <c r="CM98" s="106">
        <v>1586.85</v>
      </c>
      <c r="CN98" s="106">
        <v>0</v>
      </c>
      <c r="CO98" s="106">
        <v>0</v>
      </c>
      <c r="CP98" s="106">
        <v>6709.16</v>
      </c>
      <c r="CQ98" s="106">
        <v>0</v>
      </c>
      <c r="CR98" s="106">
        <v>18977.47</v>
      </c>
      <c r="CS98" s="106">
        <f t="shared" si="1186"/>
        <v>392399.31999999995</v>
      </c>
      <c r="CT98" s="16" t="str">
        <f t="shared" si="875"/>
        <v>Fuel-New Car Delivery</v>
      </c>
      <c r="CU98" s="106">
        <f>+VLOOKUP($BD98,'Jan-25'!$A:$J,6,0)</f>
        <v>68795.016000000003</v>
      </c>
      <c r="CV98" s="106">
        <f>+VLOOKUP($BD98,'Feb-25'!$A:$J,6,0)</f>
        <v>68620.895999999993</v>
      </c>
      <c r="CW98" s="106">
        <f>+VLOOKUP($BD98,'Mar-25'!$A:$J,6,0)</f>
        <v>70576.983999999997</v>
      </c>
      <c r="CX98" s="106">
        <f>+VLOOKUP($BD98,'Apr-25'!$A:$J,6,0)</f>
        <v>19428.759999999998</v>
      </c>
      <c r="CY98" s="106">
        <f>+VLOOKUP($BD98,'May-25'!$A:$J,6,0)</f>
        <v>83452.760000000009</v>
      </c>
      <c r="CZ98" s="106">
        <f>+VLOOKUP($BD98,'June-25'!$A:$J,6,0)</f>
        <v>91605.260000000009</v>
      </c>
      <c r="DA98" s="106">
        <f>+VLOOKUP($BD98,'July-25'!$A:$J,6,0)</f>
        <v>65277.06</v>
      </c>
      <c r="DB98" s="106">
        <f>+VLOOKUP($BD98,'Aug-25'!$A:$J,6,0)</f>
        <v>87509.5</v>
      </c>
      <c r="DC98" s="106">
        <f>+VLOOKUP($BD98,'Sep-25'!$A:$J,6,0)</f>
        <v>27225.02</v>
      </c>
      <c r="DD98" s="106">
        <f>+VLOOKUP($BD98,'Oct-25'!$A:$J,6,0)</f>
        <v>113068.78</v>
      </c>
      <c r="DE98" s="106">
        <f>+VLOOKUP($BD98,'Nov-25'!$A:$J,6,0)</f>
        <v>0</v>
      </c>
      <c r="DF98" s="106">
        <f>+VLOOKUP($BD98,'Dec-25'!$A:$J,6,0)</f>
        <v>0</v>
      </c>
      <c r="DG98" s="106">
        <f t="shared" si="1187"/>
        <v>695560.03600000008</v>
      </c>
      <c r="DH98" s="118">
        <f t="shared" si="1191"/>
        <v>0.61526828571428571</v>
      </c>
      <c r="DI98" s="106">
        <f>+_xlfn.XLOOKUP($CT98,Budget!$A:$A,Budget!BQ:BQ)</f>
        <v>65000</v>
      </c>
      <c r="DJ98" s="106">
        <f>+_xlfn.XLOOKUP($CT98,Budget!$A:$A,Budget!BR:BR)</f>
        <v>70000</v>
      </c>
      <c r="DK98" s="106">
        <f>+_xlfn.XLOOKUP($CT98,Budget!$A:$A,Budget!BS:BS)</f>
        <v>75000</v>
      </c>
      <c r="DL98" s="106">
        <f>+_xlfn.XLOOKUP($CT98,Budget!$A:$A,Budget!BT:BT)</f>
        <v>75000</v>
      </c>
      <c r="DM98" s="106">
        <f>+_xlfn.XLOOKUP($CT98,Budget!$A:$A,Budget!BU:BU)</f>
        <v>70000</v>
      </c>
      <c r="DN98" s="106">
        <f>+_xlfn.XLOOKUP($CT98,Budget!$A:$A,Budget!BV:BV)</f>
        <v>65000</v>
      </c>
      <c r="DO98" s="106">
        <f>+_xlfn.XLOOKUP($CT98,Budget!$A:$A,Budget!BW:BW)</f>
        <v>60000</v>
      </c>
      <c r="DP98" s="106">
        <f>+_xlfn.XLOOKUP($CT98,Budget!$A:$A,Budget!BX:BX)</f>
        <v>70000</v>
      </c>
      <c r="DQ98" s="106">
        <f>+_xlfn.XLOOKUP($CT98,Budget!$A:$A,Budget!BY:BY)</f>
        <v>85000</v>
      </c>
      <c r="DR98" s="106">
        <f>+_xlfn.XLOOKUP($CT98,Budget!$A:$A,Budget!BZ:BZ)</f>
        <v>70000</v>
      </c>
      <c r="DS98" s="106">
        <f>+_xlfn.XLOOKUP($CT98,Budget!$A:$A,Budget!CA:CA)</f>
        <v>70000</v>
      </c>
      <c r="DT98" s="106">
        <f>+_xlfn.XLOOKUP($CT98,Budget!$A:$A,Budget!CB:CB)</f>
        <v>80000</v>
      </c>
      <c r="DU98" s="106">
        <f t="shared" si="1188"/>
        <v>855000</v>
      </c>
    </row>
    <row r="99" spans="1:125" ht="14.45" hidden="1" customHeight="1" outlineLevel="2">
      <c r="A99" s="106">
        <f t="shared" si="1145"/>
        <v>0</v>
      </c>
      <c r="B99" s="106">
        <f t="shared" si="1146"/>
        <v>0</v>
      </c>
      <c r="C99" s="106">
        <f t="shared" si="1147"/>
        <v>0</v>
      </c>
      <c r="D99" s="106">
        <f t="shared" si="1148"/>
        <v>0</v>
      </c>
      <c r="E99" s="106">
        <f t="shared" si="1149"/>
        <v>0</v>
      </c>
      <c r="F99" s="106">
        <f t="shared" si="1150"/>
        <v>0</v>
      </c>
      <c r="G99" s="106">
        <f t="shared" si="1151"/>
        <v>0</v>
      </c>
      <c r="H99" s="106">
        <f t="shared" si="1152"/>
        <v>0</v>
      </c>
      <c r="I99" s="106">
        <f t="shared" si="1153"/>
        <v>0</v>
      </c>
      <c r="J99" s="106">
        <f t="shared" si="1154"/>
        <v>0</v>
      </c>
      <c r="K99" s="106">
        <f t="shared" si="1155"/>
        <v>0</v>
      </c>
      <c r="L99" s="106">
        <f t="shared" si="1156"/>
        <v>0</v>
      </c>
      <c r="M99" s="106">
        <f t="shared" si="1036"/>
        <v>0</v>
      </c>
      <c r="N99" s="16" t="s">
        <v>80</v>
      </c>
      <c r="O99" s="106">
        <f t="shared" si="1157"/>
        <v>0</v>
      </c>
      <c r="P99" s="106">
        <f t="shared" si="1158"/>
        <v>0</v>
      </c>
      <c r="Q99" s="106">
        <f t="shared" si="1159"/>
        <v>0</v>
      </c>
      <c r="R99" s="106">
        <f t="shared" si="1160"/>
        <v>0</v>
      </c>
      <c r="S99" s="106">
        <f t="shared" si="1161"/>
        <v>0</v>
      </c>
      <c r="T99" s="106">
        <f t="shared" si="1162"/>
        <v>0</v>
      </c>
      <c r="U99" s="106">
        <f t="shared" si="1163"/>
        <v>0</v>
      </c>
      <c r="V99" s="106">
        <f t="shared" si="1164"/>
        <v>0</v>
      </c>
      <c r="W99" s="106">
        <f t="shared" si="1165"/>
        <v>0</v>
      </c>
      <c r="X99" s="106">
        <f t="shared" si="1166"/>
        <v>0</v>
      </c>
      <c r="Y99" s="106">
        <f t="shared" si="1167"/>
        <v>0</v>
      </c>
      <c r="Z99" s="106">
        <f t="shared" si="1168"/>
        <v>0</v>
      </c>
      <c r="AA99" s="106">
        <f t="shared" si="1169"/>
        <v>0</v>
      </c>
      <c r="AB99" s="118">
        <f t="shared" si="1189"/>
        <v>0</v>
      </c>
      <c r="AC99" s="106">
        <f t="shared" si="1170"/>
        <v>0</v>
      </c>
      <c r="AD99" s="106">
        <f t="shared" si="1171"/>
        <v>0</v>
      </c>
      <c r="AE99" s="106">
        <f t="shared" si="1172"/>
        <v>0</v>
      </c>
      <c r="AF99" s="106">
        <f t="shared" si="1173"/>
        <v>0</v>
      </c>
      <c r="AG99" s="106">
        <f t="shared" si="1174"/>
        <v>0</v>
      </c>
      <c r="AH99" s="106">
        <f t="shared" si="1175"/>
        <v>0</v>
      </c>
      <c r="AI99" s="106">
        <f t="shared" si="1176"/>
        <v>0</v>
      </c>
      <c r="AJ99" s="106">
        <f t="shared" si="1177"/>
        <v>0</v>
      </c>
      <c r="AK99" s="106">
        <f t="shared" si="1178"/>
        <v>0</v>
      </c>
      <c r="AL99" s="106">
        <f t="shared" si="1179"/>
        <v>0</v>
      </c>
      <c r="AM99" s="106">
        <f t="shared" si="1180"/>
        <v>0</v>
      </c>
      <c r="AN99" s="106">
        <f t="shared" si="1181"/>
        <v>0</v>
      </c>
      <c r="AO99" s="106">
        <f t="shared" si="1182"/>
        <v>0</v>
      </c>
      <c r="AQ99" s="106">
        <v>0</v>
      </c>
      <c r="AR99" s="106">
        <v>0</v>
      </c>
      <c r="AS99" s="106">
        <v>0</v>
      </c>
      <c r="AT99" s="106">
        <v>0</v>
      </c>
      <c r="AU99" s="106">
        <v>0</v>
      </c>
      <c r="AV99" s="106">
        <v>0</v>
      </c>
      <c r="AW99" s="106">
        <v>0</v>
      </c>
      <c r="AX99" s="106">
        <v>0</v>
      </c>
      <c r="AY99" s="106">
        <v>0</v>
      </c>
      <c r="AZ99" s="106">
        <v>0</v>
      </c>
      <c r="BA99" s="106">
        <v>0</v>
      </c>
      <c r="BB99" s="106">
        <v>0</v>
      </c>
      <c r="BC99" s="106">
        <f t="shared" si="1183"/>
        <v>0</v>
      </c>
      <c r="BD99" s="16" t="str">
        <f t="shared" si="871"/>
        <v>New Car - PDI Transportation</v>
      </c>
      <c r="BE99" s="106">
        <f>+VLOOKUP($BD99,'Jan-25'!$A:$J,2,0)</f>
        <v>0</v>
      </c>
      <c r="BF99" s="106">
        <f>+VLOOKUP($BD99,'Feb-25'!$A:$J,2,0)</f>
        <v>0</v>
      </c>
      <c r="BG99" s="106">
        <f>+VLOOKUP($BD99,'Mar-25'!$A:$J,2,0)</f>
        <v>0</v>
      </c>
      <c r="BH99" s="106">
        <f>+VLOOKUP($BD99,'Apr-25'!$A:$J,2,0)</f>
        <v>0</v>
      </c>
      <c r="BI99" s="106">
        <f>+VLOOKUP($BD99,'May-25'!$A:$J,2,0)</f>
        <v>0</v>
      </c>
      <c r="BJ99" s="106">
        <f>+VLOOKUP($BD99,'June-25'!$A:$J,2,0)</f>
        <v>0</v>
      </c>
      <c r="BK99" s="106">
        <f>+VLOOKUP($BD99,'July-25'!$A:$J,2,0)</f>
        <v>0</v>
      </c>
      <c r="BL99" s="106">
        <f>+VLOOKUP($BD99,'Aug-25'!$A:$J,2,0)</f>
        <v>0</v>
      </c>
      <c r="BM99" s="106">
        <f>+VLOOKUP($BD99,'Sep-25'!$A:$J,2,0)</f>
        <v>0</v>
      </c>
      <c r="BN99" s="106">
        <f>+VLOOKUP($BD99,'Oct-25'!$A:$J,2,0)</f>
        <v>0</v>
      </c>
      <c r="BO99" s="106">
        <f>+VLOOKUP($BD99,'Nov-25'!$A:$J,2,0)</f>
        <v>0</v>
      </c>
      <c r="BP99" s="106">
        <f>+VLOOKUP($BD99,'Dec-25'!$A:$J,2,0)</f>
        <v>0</v>
      </c>
      <c r="BQ99" s="106">
        <f t="shared" si="1184"/>
        <v>0</v>
      </c>
      <c r="BR99" s="118">
        <f t="shared" si="1190"/>
        <v>0</v>
      </c>
      <c r="BS99" s="106" cm="1">
        <f t="array" ref="BS99:CD99">+_xlfn.XLOOKUP(BD99,Budget!A:A,Budget!Q:AB)</f>
        <v>0</v>
      </c>
      <c r="BT99" s="106">
        <v>0</v>
      </c>
      <c r="BU99" s="106">
        <v>0</v>
      </c>
      <c r="BV99" s="106">
        <v>0</v>
      </c>
      <c r="BW99" s="106">
        <v>0</v>
      </c>
      <c r="BX99" s="106">
        <v>0</v>
      </c>
      <c r="BY99" s="106">
        <v>0</v>
      </c>
      <c r="BZ99" s="106">
        <v>0</v>
      </c>
      <c r="CA99" s="106">
        <v>0</v>
      </c>
      <c r="CB99" s="106">
        <v>0</v>
      </c>
      <c r="CC99" s="106">
        <v>0</v>
      </c>
      <c r="CD99" s="106">
        <v>0</v>
      </c>
      <c r="CE99" s="106">
        <f t="shared" si="1185"/>
        <v>0</v>
      </c>
      <c r="CF99" s="22"/>
      <c r="CG99" s="106">
        <v>0</v>
      </c>
      <c r="CH99" s="106">
        <v>0</v>
      </c>
      <c r="CI99" s="106">
        <v>0</v>
      </c>
      <c r="CJ99" s="106">
        <v>0</v>
      </c>
      <c r="CK99" s="106">
        <v>0</v>
      </c>
      <c r="CL99" s="106">
        <v>0</v>
      </c>
      <c r="CM99" s="106">
        <v>0</v>
      </c>
      <c r="CN99" s="106">
        <v>0</v>
      </c>
      <c r="CO99" s="106">
        <v>0</v>
      </c>
      <c r="CP99" s="106">
        <v>0</v>
      </c>
      <c r="CQ99" s="106">
        <v>0</v>
      </c>
      <c r="CR99" s="106">
        <v>0</v>
      </c>
      <c r="CS99" s="106">
        <f t="shared" si="1186"/>
        <v>0</v>
      </c>
      <c r="CT99" s="16" t="str">
        <f t="shared" si="875"/>
        <v>New Car - PDI Transportation</v>
      </c>
      <c r="CU99" s="106">
        <f>+VLOOKUP($BD99,'Jan-25'!$A:$J,6,0)</f>
        <v>0</v>
      </c>
      <c r="CV99" s="106">
        <f>+VLOOKUP($BD99,'Feb-25'!$A:$J,6,0)</f>
        <v>0</v>
      </c>
      <c r="CW99" s="106">
        <f>+VLOOKUP($BD99,'Mar-25'!$A:$J,6,0)</f>
        <v>0</v>
      </c>
      <c r="CX99" s="106">
        <f>+VLOOKUP($BD99,'Apr-25'!$A:$J,6,0)</f>
        <v>0</v>
      </c>
      <c r="CY99" s="106">
        <f>+VLOOKUP($BD99,'May-25'!$A:$J,6,0)</f>
        <v>0</v>
      </c>
      <c r="CZ99" s="106">
        <f>+VLOOKUP($BD99,'June-25'!$A:$J,6,0)</f>
        <v>0</v>
      </c>
      <c r="DA99" s="106">
        <f>+VLOOKUP($BD99,'July-25'!$A:$J,6,0)</f>
        <v>0</v>
      </c>
      <c r="DB99" s="106">
        <f>+VLOOKUP($BD99,'Aug-25'!$A:$J,6,0)</f>
        <v>0</v>
      </c>
      <c r="DC99" s="106">
        <f>+VLOOKUP($BD99,'Sep-25'!$A:$J,6,0)</f>
        <v>0</v>
      </c>
      <c r="DD99" s="106">
        <f>+VLOOKUP($BD99,'Oct-25'!$A:$J,6,0)</f>
        <v>0</v>
      </c>
      <c r="DE99" s="106">
        <f>+VLOOKUP($BD99,'Nov-25'!$A:$J,6,0)</f>
        <v>0</v>
      </c>
      <c r="DF99" s="106">
        <f>+VLOOKUP($BD99,'Dec-25'!$A:$J,6,0)</f>
        <v>0</v>
      </c>
      <c r="DG99" s="106">
        <f t="shared" si="1187"/>
        <v>0</v>
      </c>
      <c r="DH99" s="118">
        <f t="shared" si="1191"/>
        <v>0</v>
      </c>
      <c r="DI99" s="106">
        <f>+_xlfn.XLOOKUP($CT99,Budget!$A:$A,Budget!BQ:BQ)</f>
        <v>0</v>
      </c>
      <c r="DJ99" s="106">
        <f>+_xlfn.XLOOKUP($CT99,Budget!$A:$A,Budget!BR:BR)</f>
        <v>0</v>
      </c>
      <c r="DK99" s="106">
        <f>+_xlfn.XLOOKUP($CT99,Budget!$A:$A,Budget!BS:BS)</f>
        <v>0</v>
      </c>
      <c r="DL99" s="106">
        <f>+_xlfn.XLOOKUP($CT99,Budget!$A:$A,Budget!BT:BT)</f>
        <v>0</v>
      </c>
      <c r="DM99" s="106">
        <f>+_xlfn.XLOOKUP($CT99,Budget!$A:$A,Budget!BU:BU)</f>
        <v>0</v>
      </c>
      <c r="DN99" s="106">
        <f>+_xlfn.XLOOKUP($CT99,Budget!$A:$A,Budget!BV:BV)</f>
        <v>0</v>
      </c>
      <c r="DO99" s="106">
        <f>+_xlfn.XLOOKUP($CT99,Budget!$A:$A,Budget!BW:BW)</f>
        <v>0</v>
      </c>
      <c r="DP99" s="106">
        <f>+_xlfn.XLOOKUP($CT99,Budget!$A:$A,Budget!BX:BX)</f>
        <v>0</v>
      </c>
      <c r="DQ99" s="106">
        <f>+_xlfn.XLOOKUP($CT99,Budget!$A:$A,Budget!BY:BY)</f>
        <v>0</v>
      </c>
      <c r="DR99" s="106">
        <f>+_xlfn.XLOOKUP($CT99,Budget!$A:$A,Budget!BZ:BZ)</f>
        <v>0</v>
      </c>
      <c r="DS99" s="106">
        <f>+_xlfn.XLOOKUP($CT99,Budget!$A:$A,Budget!CA:CA)</f>
        <v>0</v>
      </c>
      <c r="DT99" s="106">
        <f>+_xlfn.XLOOKUP($CT99,Budget!$A:$A,Budget!CB:CB)</f>
        <v>0</v>
      </c>
      <c r="DU99" s="106">
        <f t="shared" si="1188"/>
        <v>0</v>
      </c>
    </row>
    <row r="100" spans="1:125" ht="14.45" hidden="1" customHeight="1" outlineLevel="2">
      <c r="A100" s="106">
        <f t="shared" si="1145"/>
        <v>0</v>
      </c>
      <c r="B100" s="106">
        <f t="shared" si="1146"/>
        <v>0</v>
      </c>
      <c r="C100" s="106">
        <f t="shared" si="1147"/>
        <v>0</v>
      </c>
      <c r="D100" s="106">
        <f t="shared" si="1148"/>
        <v>0</v>
      </c>
      <c r="E100" s="106">
        <f t="shared" si="1149"/>
        <v>0</v>
      </c>
      <c r="F100" s="106">
        <f t="shared" si="1150"/>
        <v>0</v>
      </c>
      <c r="G100" s="106">
        <f t="shared" si="1151"/>
        <v>0</v>
      </c>
      <c r="H100" s="106">
        <f t="shared" si="1152"/>
        <v>0</v>
      </c>
      <c r="I100" s="106">
        <f t="shared" si="1153"/>
        <v>0</v>
      </c>
      <c r="J100" s="106">
        <f t="shared" si="1154"/>
        <v>0</v>
      </c>
      <c r="K100" s="106">
        <f t="shared" si="1155"/>
        <v>0</v>
      </c>
      <c r="L100" s="106">
        <f t="shared" si="1156"/>
        <v>0</v>
      </c>
      <c r="M100" s="106">
        <f t="shared" si="1036"/>
        <v>0</v>
      </c>
      <c r="N100" s="16" t="s">
        <v>81</v>
      </c>
      <c r="O100" s="106">
        <f t="shared" si="1157"/>
        <v>0</v>
      </c>
      <c r="P100" s="106">
        <f t="shared" si="1158"/>
        <v>0</v>
      </c>
      <c r="Q100" s="106">
        <f t="shared" si="1159"/>
        <v>0</v>
      </c>
      <c r="R100" s="106">
        <f t="shared" si="1160"/>
        <v>0</v>
      </c>
      <c r="S100" s="106">
        <f t="shared" si="1161"/>
        <v>0</v>
      </c>
      <c r="T100" s="106">
        <f t="shared" si="1162"/>
        <v>0</v>
      </c>
      <c r="U100" s="106">
        <f t="shared" si="1163"/>
        <v>0</v>
      </c>
      <c r="V100" s="106">
        <f t="shared" si="1164"/>
        <v>0</v>
      </c>
      <c r="W100" s="106">
        <f t="shared" si="1165"/>
        <v>817.58</v>
      </c>
      <c r="X100" s="106">
        <f t="shared" si="1166"/>
        <v>0</v>
      </c>
      <c r="Y100" s="106">
        <f t="shared" si="1167"/>
        <v>0</v>
      </c>
      <c r="Z100" s="106">
        <f t="shared" si="1168"/>
        <v>0</v>
      </c>
      <c r="AA100" s="106">
        <f t="shared" si="1169"/>
        <v>817.58</v>
      </c>
      <c r="AB100" s="118">
        <f t="shared" si="1189"/>
        <v>0</v>
      </c>
      <c r="AC100" s="106">
        <f t="shared" si="1170"/>
        <v>0</v>
      </c>
      <c r="AD100" s="106">
        <f t="shared" si="1171"/>
        <v>0</v>
      </c>
      <c r="AE100" s="106">
        <f t="shared" si="1172"/>
        <v>0</v>
      </c>
      <c r="AF100" s="106">
        <f t="shared" si="1173"/>
        <v>0</v>
      </c>
      <c r="AG100" s="106">
        <f t="shared" si="1174"/>
        <v>0</v>
      </c>
      <c r="AH100" s="106">
        <f t="shared" si="1175"/>
        <v>0</v>
      </c>
      <c r="AI100" s="106">
        <f t="shared" si="1176"/>
        <v>0</v>
      </c>
      <c r="AJ100" s="106">
        <f t="shared" si="1177"/>
        <v>0</v>
      </c>
      <c r="AK100" s="106">
        <f t="shared" si="1178"/>
        <v>0</v>
      </c>
      <c r="AL100" s="106">
        <f t="shared" si="1179"/>
        <v>0</v>
      </c>
      <c r="AM100" s="106">
        <f t="shared" si="1180"/>
        <v>0</v>
      </c>
      <c r="AN100" s="106">
        <f t="shared" si="1181"/>
        <v>0</v>
      </c>
      <c r="AO100" s="106">
        <f t="shared" si="1182"/>
        <v>0</v>
      </c>
      <c r="AQ100" s="106">
        <v>0</v>
      </c>
      <c r="AR100" s="106">
        <v>0</v>
      </c>
      <c r="AS100" s="106">
        <v>0</v>
      </c>
      <c r="AT100" s="106">
        <v>0</v>
      </c>
      <c r="AU100" s="106">
        <v>0</v>
      </c>
      <c r="AV100" s="106">
        <v>0</v>
      </c>
      <c r="AW100" s="106">
        <v>0</v>
      </c>
      <c r="AX100" s="106">
        <v>0</v>
      </c>
      <c r="AY100" s="106">
        <v>0</v>
      </c>
      <c r="AZ100" s="106">
        <v>0</v>
      </c>
      <c r="BA100" s="106">
        <v>0</v>
      </c>
      <c r="BB100" s="106">
        <v>0</v>
      </c>
      <c r="BC100" s="106">
        <f t="shared" si="1183"/>
        <v>0</v>
      </c>
      <c r="BD100" s="16" t="str">
        <f t="shared" si="871"/>
        <v>New Car - PDI Washing</v>
      </c>
      <c r="BE100" s="106">
        <f>+VLOOKUP($BD100,'Jan-25'!$A:$J,2,0)</f>
        <v>0</v>
      </c>
      <c r="BF100" s="106">
        <f>+VLOOKUP($BD100,'Feb-25'!$A:$J,2,0)</f>
        <v>0</v>
      </c>
      <c r="BG100" s="106">
        <f>+VLOOKUP($BD100,'Mar-25'!$A:$J,2,0)</f>
        <v>0</v>
      </c>
      <c r="BH100" s="106">
        <f>+VLOOKUP($BD100,'Apr-25'!$A:$J,2,0)</f>
        <v>0</v>
      </c>
      <c r="BI100" s="106">
        <f>+VLOOKUP($BD100,'May-25'!$A:$J,2,0)</f>
        <v>0</v>
      </c>
      <c r="BJ100" s="106">
        <f>+VLOOKUP($BD100,'June-25'!$A:$J,2,0)</f>
        <v>0</v>
      </c>
      <c r="BK100" s="106">
        <f>+VLOOKUP($BD100,'July-25'!$A:$J,2,0)</f>
        <v>0</v>
      </c>
      <c r="BL100" s="106">
        <f>+VLOOKUP($BD100,'Aug-25'!$A:$J,2,0)</f>
        <v>0</v>
      </c>
      <c r="BM100" s="106">
        <f>+VLOOKUP($BD100,'Sep-25'!$A:$J,2,0)</f>
        <v>817.58</v>
      </c>
      <c r="BN100" s="106">
        <f>+VLOOKUP($BD100,'Oct-25'!$A:$J,2,0)</f>
        <v>0</v>
      </c>
      <c r="BO100" s="106">
        <f>+VLOOKUP($BD100,'Nov-25'!$A:$J,2,0)</f>
        <v>0</v>
      </c>
      <c r="BP100" s="106">
        <f>+VLOOKUP($BD100,'Dec-25'!$A:$J,2,0)</f>
        <v>0</v>
      </c>
      <c r="BQ100" s="106">
        <f t="shared" si="1184"/>
        <v>817.58</v>
      </c>
      <c r="BR100" s="118">
        <f t="shared" si="1190"/>
        <v>0</v>
      </c>
      <c r="BS100" s="106" cm="1">
        <f t="array" ref="BS100:CD100">+_xlfn.XLOOKUP(BD100,Budget!A:A,Budget!Q:AB)</f>
        <v>0</v>
      </c>
      <c r="BT100" s="106">
        <v>0</v>
      </c>
      <c r="BU100" s="106">
        <v>0</v>
      </c>
      <c r="BV100" s="106">
        <v>0</v>
      </c>
      <c r="BW100" s="106">
        <v>0</v>
      </c>
      <c r="BX100" s="106">
        <v>0</v>
      </c>
      <c r="BY100" s="106">
        <v>0</v>
      </c>
      <c r="BZ100" s="106">
        <v>0</v>
      </c>
      <c r="CA100" s="106">
        <v>0</v>
      </c>
      <c r="CB100" s="106">
        <v>0</v>
      </c>
      <c r="CC100" s="106">
        <v>0</v>
      </c>
      <c r="CD100" s="106">
        <v>0</v>
      </c>
      <c r="CE100" s="106">
        <f t="shared" si="1185"/>
        <v>0</v>
      </c>
      <c r="CF100" s="22"/>
      <c r="CG100" s="106">
        <v>0</v>
      </c>
      <c r="CH100" s="106">
        <v>0</v>
      </c>
      <c r="CI100" s="106">
        <v>0</v>
      </c>
      <c r="CJ100" s="106">
        <v>0</v>
      </c>
      <c r="CK100" s="106">
        <v>0</v>
      </c>
      <c r="CL100" s="106">
        <v>0</v>
      </c>
      <c r="CM100" s="106">
        <v>0</v>
      </c>
      <c r="CN100" s="106">
        <v>0</v>
      </c>
      <c r="CO100" s="106">
        <v>0</v>
      </c>
      <c r="CP100" s="106">
        <v>0</v>
      </c>
      <c r="CQ100" s="106">
        <v>0</v>
      </c>
      <c r="CR100" s="106">
        <v>0</v>
      </c>
      <c r="CS100" s="106">
        <f t="shared" si="1186"/>
        <v>0</v>
      </c>
      <c r="CT100" s="16" t="str">
        <f t="shared" si="875"/>
        <v>New Car - PDI Washing</v>
      </c>
      <c r="CU100" s="106">
        <f>+VLOOKUP($BD100,'Jan-25'!$A:$J,6,0)</f>
        <v>0</v>
      </c>
      <c r="CV100" s="106">
        <f>+VLOOKUP($BD100,'Feb-25'!$A:$J,6,0)</f>
        <v>0</v>
      </c>
      <c r="CW100" s="106">
        <f>+VLOOKUP($BD100,'Mar-25'!$A:$J,6,0)</f>
        <v>0</v>
      </c>
      <c r="CX100" s="106">
        <f>+VLOOKUP($BD100,'Apr-25'!$A:$J,6,0)</f>
        <v>0</v>
      </c>
      <c r="CY100" s="106">
        <f>+VLOOKUP($BD100,'May-25'!$A:$J,6,0)</f>
        <v>0</v>
      </c>
      <c r="CZ100" s="106">
        <f>+VLOOKUP($BD100,'June-25'!$A:$J,6,0)</f>
        <v>0</v>
      </c>
      <c r="DA100" s="106">
        <f>+VLOOKUP($BD100,'July-25'!$A:$J,6,0)</f>
        <v>0</v>
      </c>
      <c r="DB100" s="106">
        <f>+VLOOKUP($BD100,'Aug-25'!$A:$J,6,0)</f>
        <v>0</v>
      </c>
      <c r="DC100" s="106">
        <f>+VLOOKUP($BD100,'Sep-25'!$A:$J,6,0)</f>
        <v>0</v>
      </c>
      <c r="DD100" s="106">
        <f>+VLOOKUP($BD100,'Oct-25'!$A:$J,6,0)</f>
        <v>0</v>
      </c>
      <c r="DE100" s="106">
        <f>+VLOOKUP($BD100,'Nov-25'!$A:$J,6,0)</f>
        <v>0</v>
      </c>
      <c r="DF100" s="106">
        <f>+VLOOKUP($BD100,'Dec-25'!$A:$J,6,0)</f>
        <v>0</v>
      </c>
      <c r="DG100" s="106">
        <f t="shared" si="1187"/>
        <v>0</v>
      </c>
      <c r="DH100" s="118">
        <f t="shared" si="1191"/>
        <v>0</v>
      </c>
      <c r="DI100" s="106">
        <f>+_xlfn.XLOOKUP($CT100,Budget!$A:$A,Budget!BQ:BQ)</f>
        <v>0</v>
      </c>
      <c r="DJ100" s="106">
        <f>+_xlfn.XLOOKUP($CT100,Budget!$A:$A,Budget!BR:BR)</f>
        <v>0</v>
      </c>
      <c r="DK100" s="106">
        <f>+_xlfn.XLOOKUP($CT100,Budget!$A:$A,Budget!BS:BS)</f>
        <v>0</v>
      </c>
      <c r="DL100" s="106">
        <f>+_xlfn.XLOOKUP($CT100,Budget!$A:$A,Budget!BT:BT)</f>
        <v>0</v>
      </c>
      <c r="DM100" s="106">
        <f>+_xlfn.XLOOKUP($CT100,Budget!$A:$A,Budget!BU:BU)</f>
        <v>0</v>
      </c>
      <c r="DN100" s="106">
        <f>+_xlfn.XLOOKUP($CT100,Budget!$A:$A,Budget!BV:BV)</f>
        <v>0</v>
      </c>
      <c r="DO100" s="106">
        <f>+_xlfn.XLOOKUP($CT100,Budget!$A:$A,Budget!BW:BW)</f>
        <v>0</v>
      </c>
      <c r="DP100" s="106">
        <f>+_xlfn.XLOOKUP($CT100,Budget!$A:$A,Budget!BX:BX)</f>
        <v>0</v>
      </c>
      <c r="DQ100" s="106">
        <f>+_xlfn.XLOOKUP($CT100,Budget!$A:$A,Budget!BY:BY)</f>
        <v>0</v>
      </c>
      <c r="DR100" s="106">
        <f>+_xlfn.XLOOKUP($CT100,Budget!$A:$A,Budget!BZ:BZ)</f>
        <v>0</v>
      </c>
      <c r="DS100" s="106">
        <f>+_xlfn.XLOOKUP($CT100,Budget!$A:$A,Budget!CA:CA)</f>
        <v>0</v>
      </c>
      <c r="DT100" s="106">
        <f>+_xlfn.XLOOKUP($CT100,Budget!$A:$A,Budget!CB:CB)</f>
        <v>0</v>
      </c>
      <c r="DU100" s="106">
        <f t="shared" si="1188"/>
        <v>0</v>
      </c>
    </row>
    <row r="101" spans="1:125" ht="14.45" hidden="1" customHeight="1" outlineLevel="2">
      <c r="A101" s="106">
        <f t="shared" si="1145"/>
        <v>13887.239999999998</v>
      </c>
      <c r="B101" s="106">
        <f t="shared" si="1146"/>
        <v>24634.22</v>
      </c>
      <c r="C101" s="106">
        <f t="shared" si="1147"/>
        <v>32893.22</v>
      </c>
      <c r="D101" s="106">
        <f t="shared" si="1148"/>
        <v>34435.47</v>
      </c>
      <c r="E101" s="106">
        <f t="shared" si="1149"/>
        <v>48229</v>
      </c>
      <c r="F101" s="106">
        <f t="shared" si="1150"/>
        <v>51978.64</v>
      </c>
      <c r="G101" s="106">
        <f t="shared" si="1151"/>
        <v>67370.16</v>
      </c>
      <c r="H101" s="106">
        <f t="shared" si="1152"/>
        <v>35550.949999999997</v>
      </c>
      <c r="I101" s="106">
        <f t="shared" si="1153"/>
        <v>9065.8100000000013</v>
      </c>
      <c r="J101" s="106">
        <f t="shared" si="1154"/>
        <v>42151.37</v>
      </c>
      <c r="K101" s="106">
        <f t="shared" si="1155"/>
        <v>145835.82</v>
      </c>
      <c r="L101" s="106">
        <f t="shared" si="1156"/>
        <v>220387.21</v>
      </c>
      <c r="M101" s="106">
        <f t="shared" si="1036"/>
        <v>726419.11</v>
      </c>
      <c r="N101" s="16" t="s">
        <v>82</v>
      </c>
      <c r="O101" s="106">
        <f t="shared" si="1157"/>
        <v>0</v>
      </c>
      <c r="P101" s="106">
        <f t="shared" si="1158"/>
        <v>83602.31</v>
      </c>
      <c r="Q101" s="106">
        <f t="shared" si="1159"/>
        <v>64094.31</v>
      </c>
      <c r="R101" s="106">
        <f t="shared" si="1160"/>
        <v>0</v>
      </c>
      <c r="S101" s="106">
        <f t="shared" si="1161"/>
        <v>209229.53999999998</v>
      </c>
      <c r="T101" s="106">
        <f t="shared" si="1162"/>
        <v>571320.68999999994</v>
      </c>
      <c r="U101" s="106">
        <f t="shared" si="1163"/>
        <v>228141.9</v>
      </c>
      <c r="V101" s="106">
        <f t="shared" si="1164"/>
        <v>266424.01</v>
      </c>
      <c r="W101" s="106">
        <f t="shared" si="1165"/>
        <v>187276.18</v>
      </c>
      <c r="X101" s="106">
        <f t="shared" si="1166"/>
        <v>136696.78</v>
      </c>
      <c r="Y101" s="106">
        <f t="shared" si="1167"/>
        <v>0</v>
      </c>
      <c r="Z101" s="106">
        <f t="shared" si="1168"/>
        <v>0</v>
      </c>
      <c r="AA101" s="106">
        <f t="shared" si="1169"/>
        <v>1746785.7199999997</v>
      </c>
      <c r="AB101" s="118">
        <f t="shared" si="1189"/>
        <v>1.2782796666666667</v>
      </c>
      <c r="AC101" s="106">
        <f t="shared" si="1170"/>
        <v>58000</v>
      </c>
      <c r="AD101" s="106">
        <f t="shared" si="1171"/>
        <v>58000</v>
      </c>
      <c r="AE101" s="106">
        <f t="shared" si="1172"/>
        <v>74000</v>
      </c>
      <c r="AF101" s="106">
        <f t="shared" si="1173"/>
        <v>60000</v>
      </c>
      <c r="AG101" s="106">
        <f t="shared" si="1174"/>
        <v>64000</v>
      </c>
      <c r="AH101" s="106">
        <f t="shared" si="1175"/>
        <v>56000</v>
      </c>
      <c r="AI101" s="106">
        <f t="shared" si="1176"/>
        <v>58000</v>
      </c>
      <c r="AJ101" s="106">
        <f t="shared" si="1177"/>
        <v>68000</v>
      </c>
      <c r="AK101" s="106">
        <f t="shared" si="1178"/>
        <v>68000</v>
      </c>
      <c r="AL101" s="106">
        <f t="shared" si="1179"/>
        <v>60000</v>
      </c>
      <c r="AM101" s="106">
        <f t="shared" si="1180"/>
        <v>56000</v>
      </c>
      <c r="AN101" s="106">
        <f t="shared" si="1181"/>
        <v>74000</v>
      </c>
      <c r="AO101" s="106">
        <f t="shared" si="1182"/>
        <v>754000</v>
      </c>
      <c r="AQ101" s="106">
        <v>10415.429999999998</v>
      </c>
      <c r="AR101" s="106">
        <v>10357.01</v>
      </c>
      <c r="AS101" s="106">
        <v>20160.36064516129</v>
      </c>
      <c r="AT101" s="106">
        <v>20661.281999999999</v>
      </c>
      <c r="AU101" s="106">
        <v>28937.399999999998</v>
      </c>
      <c r="AV101" s="106">
        <v>32486.649999999998</v>
      </c>
      <c r="AW101" s="106">
        <v>43937.060869565219</v>
      </c>
      <c r="AX101" s="106">
        <v>21639.708695652171</v>
      </c>
      <c r="AY101" s="106">
        <v>4856.6839285714286</v>
      </c>
      <c r="AZ101" s="106">
        <v>28100.913333333334</v>
      </c>
      <c r="BA101" s="106">
        <v>91822.553333333301</v>
      </c>
      <c r="BB101" s="106">
        <v>126889.60575757574</v>
      </c>
      <c r="BC101" s="106">
        <f t="shared" si="1183"/>
        <v>440264.65856319247</v>
      </c>
      <c r="BD101" s="16" t="str">
        <f t="shared" si="871"/>
        <v>New Car Delivery-Gifts</v>
      </c>
      <c r="BE101" s="106">
        <f>+VLOOKUP($BD101,'Jan-25'!$A:$J,2,0)</f>
        <v>0</v>
      </c>
      <c r="BF101" s="106">
        <f>+VLOOKUP($BD101,'Feb-25'!$A:$J,2,0)</f>
        <v>83602.31</v>
      </c>
      <c r="BG101" s="106">
        <f>+VLOOKUP($BD101,'Mar-25'!$A:$J,2,0)</f>
        <v>64094.31</v>
      </c>
      <c r="BH101" s="106">
        <f>+VLOOKUP($BD101,'Apr-25'!$A:$J,2,0)</f>
        <v>0</v>
      </c>
      <c r="BI101" s="106">
        <f>+VLOOKUP($BD101,'May-25'!$A:$J,2,0)</f>
        <v>132339.37</v>
      </c>
      <c r="BJ101" s="106">
        <f>+VLOOKUP($BD101,'June-25'!$A:$J,2,0)</f>
        <v>483470.01399999997</v>
      </c>
      <c r="BK101" s="106">
        <f>+VLOOKUP($BD101,'July-25'!$A:$J,2,0)</f>
        <v>157349.5</v>
      </c>
      <c r="BL101" s="106">
        <f>+VLOOKUP($BD101,'Aug-25'!$A:$J,2,0)</f>
        <v>173064.24</v>
      </c>
      <c r="BM101" s="106">
        <f>+VLOOKUP($BD101,'Sep-25'!$A:$J,2,0)</f>
        <v>126302.54</v>
      </c>
      <c r="BN101" s="106">
        <f>+VLOOKUP($BD101,'Oct-25'!$A:$J,2,0)</f>
        <v>83781.897419354835</v>
      </c>
      <c r="BO101" s="106">
        <f>+VLOOKUP($BD101,'Nov-25'!$A:$J,2,0)</f>
        <v>0</v>
      </c>
      <c r="BP101" s="106">
        <f>+VLOOKUP($BD101,'Dec-25'!$A:$J,2,0)</f>
        <v>0</v>
      </c>
      <c r="BQ101" s="106">
        <f t="shared" si="1184"/>
        <v>1304004.1814193549</v>
      </c>
      <c r="BR101" s="118">
        <f t="shared" si="1190"/>
        <v>1.6181842943548386</v>
      </c>
      <c r="BS101" s="106" cm="1">
        <f t="array" ref="BS101:CD101">+_xlfn.XLOOKUP(BD101,Budget!A:A,Budget!Q:AB)</f>
        <v>32000</v>
      </c>
      <c r="BT101" s="106">
        <v>30000</v>
      </c>
      <c r="BU101" s="106">
        <v>44000</v>
      </c>
      <c r="BV101" s="106">
        <v>30000</v>
      </c>
      <c r="BW101" s="106">
        <v>36000</v>
      </c>
      <c r="BX101" s="106">
        <v>30000</v>
      </c>
      <c r="BY101" s="106">
        <v>34000</v>
      </c>
      <c r="BZ101" s="106">
        <v>40000</v>
      </c>
      <c r="CA101" s="106">
        <v>34000</v>
      </c>
      <c r="CB101" s="106">
        <v>32000</v>
      </c>
      <c r="CC101" s="106">
        <v>28000</v>
      </c>
      <c r="CD101" s="106">
        <v>42000</v>
      </c>
      <c r="CE101" s="106">
        <f t="shared" si="1185"/>
        <v>412000</v>
      </c>
      <c r="CF101" s="22"/>
      <c r="CG101" s="106">
        <v>3471.8099999999995</v>
      </c>
      <c r="CH101" s="106">
        <v>14277.21</v>
      </c>
      <c r="CI101" s="106">
        <v>12732.859354838711</v>
      </c>
      <c r="CJ101" s="106">
        <v>13774.188000000002</v>
      </c>
      <c r="CK101" s="106">
        <v>19291.599999999999</v>
      </c>
      <c r="CL101" s="106">
        <v>19491.990000000002</v>
      </c>
      <c r="CM101" s="106">
        <v>23433.099130434784</v>
      </c>
      <c r="CN101" s="106">
        <v>13911.241304347826</v>
      </c>
      <c r="CO101" s="106">
        <v>4209.1260714285718</v>
      </c>
      <c r="CP101" s="106">
        <v>14050.456666666667</v>
      </c>
      <c r="CQ101" s="106">
        <v>54013.266666666699</v>
      </c>
      <c r="CR101" s="106">
        <v>93497.604242424248</v>
      </c>
      <c r="CS101" s="106">
        <f t="shared" si="1186"/>
        <v>286154.45143680752</v>
      </c>
      <c r="CT101" s="16" t="str">
        <f t="shared" si="875"/>
        <v>New Car Delivery-Gifts</v>
      </c>
      <c r="CU101" s="106">
        <f>+VLOOKUP($BD101,'Jan-25'!$A:$J,6,0)</f>
        <v>0</v>
      </c>
      <c r="CV101" s="106">
        <f>+VLOOKUP($BD101,'Feb-25'!$A:$J,6,0)</f>
        <v>0</v>
      </c>
      <c r="CW101" s="106">
        <f>+VLOOKUP($BD101,'Mar-25'!$A:$J,6,0)</f>
        <v>0</v>
      </c>
      <c r="CX101" s="106">
        <f>+VLOOKUP($BD101,'Apr-25'!$A:$J,6,0)</f>
        <v>0</v>
      </c>
      <c r="CY101" s="106">
        <f>+VLOOKUP($BD101,'May-25'!$A:$J,6,0)</f>
        <v>76890.17</v>
      </c>
      <c r="CZ101" s="106">
        <f>+VLOOKUP($BD101,'June-25'!$A:$J,6,0)</f>
        <v>87850.676000000007</v>
      </c>
      <c r="DA101" s="106">
        <f>+VLOOKUP($BD101,'July-25'!$A:$J,6,0)</f>
        <v>70792.399999999994</v>
      </c>
      <c r="DB101" s="106">
        <f>+VLOOKUP($BD101,'Aug-25'!$A:$J,6,0)</f>
        <v>93359.77</v>
      </c>
      <c r="DC101" s="106">
        <f>+VLOOKUP($BD101,'Sep-25'!$A:$J,6,0)</f>
        <v>60973.64</v>
      </c>
      <c r="DD101" s="106">
        <f>+VLOOKUP($BD101,'Oct-25'!$A:$J,6,0)</f>
        <v>52914.882580645157</v>
      </c>
      <c r="DE101" s="106">
        <f>+VLOOKUP($BD101,'Nov-25'!$A:$J,6,0)</f>
        <v>0</v>
      </c>
      <c r="DF101" s="106">
        <f>+VLOOKUP($BD101,'Dec-25'!$A:$J,6,0)</f>
        <v>0</v>
      </c>
      <c r="DG101" s="106">
        <f t="shared" si="1187"/>
        <v>442781.53858064517</v>
      </c>
      <c r="DH101" s="118">
        <f t="shared" si="1191"/>
        <v>0.88981723502304133</v>
      </c>
      <c r="DI101" s="106">
        <f>+_xlfn.XLOOKUP($CT101,Budget!$A:$A,Budget!BQ:BQ)</f>
        <v>26000</v>
      </c>
      <c r="DJ101" s="106">
        <f>+_xlfn.XLOOKUP($CT101,Budget!$A:$A,Budget!BR:BR)</f>
        <v>28000</v>
      </c>
      <c r="DK101" s="106">
        <f>+_xlfn.XLOOKUP($CT101,Budget!$A:$A,Budget!BS:BS)</f>
        <v>30000</v>
      </c>
      <c r="DL101" s="106">
        <f>+_xlfn.XLOOKUP($CT101,Budget!$A:$A,Budget!BT:BT)</f>
        <v>30000</v>
      </c>
      <c r="DM101" s="106">
        <f>+_xlfn.XLOOKUP($CT101,Budget!$A:$A,Budget!BU:BU)</f>
        <v>28000</v>
      </c>
      <c r="DN101" s="106">
        <f>+_xlfn.XLOOKUP($CT101,Budget!$A:$A,Budget!BV:BV)</f>
        <v>26000</v>
      </c>
      <c r="DO101" s="106">
        <f>+_xlfn.XLOOKUP($CT101,Budget!$A:$A,Budget!BW:BW)</f>
        <v>24000</v>
      </c>
      <c r="DP101" s="106">
        <f>+_xlfn.XLOOKUP($CT101,Budget!$A:$A,Budget!BX:BX)</f>
        <v>28000</v>
      </c>
      <c r="DQ101" s="106">
        <f>+_xlfn.XLOOKUP($CT101,Budget!$A:$A,Budget!BY:BY)</f>
        <v>34000</v>
      </c>
      <c r="DR101" s="106">
        <f>+_xlfn.XLOOKUP($CT101,Budget!$A:$A,Budget!BZ:BZ)</f>
        <v>28000</v>
      </c>
      <c r="DS101" s="106">
        <f>+_xlfn.XLOOKUP($CT101,Budget!$A:$A,Budget!CA:CA)</f>
        <v>28000</v>
      </c>
      <c r="DT101" s="106">
        <f>+_xlfn.XLOOKUP($CT101,Budget!$A:$A,Budget!CB:CB)</f>
        <v>32000</v>
      </c>
      <c r="DU101" s="106">
        <f t="shared" si="1188"/>
        <v>342000</v>
      </c>
    </row>
    <row r="102" spans="1:125" ht="14.45" hidden="1" customHeight="1" outlineLevel="2">
      <c r="A102" s="106">
        <f t="shared" si="1145"/>
        <v>14736</v>
      </c>
      <c r="B102" s="106">
        <f t="shared" si="1146"/>
        <v>0</v>
      </c>
      <c r="C102" s="106">
        <f t="shared" si="1147"/>
        <v>11237.529999999999</v>
      </c>
      <c r="D102" s="106">
        <f t="shared" si="1148"/>
        <v>0</v>
      </c>
      <c r="E102" s="106">
        <f t="shared" si="1149"/>
        <v>7512</v>
      </c>
      <c r="F102" s="106">
        <f t="shared" si="1150"/>
        <v>14736</v>
      </c>
      <c r="G102" s="106">
        <f t="shared" si="1151"/>
        <v>11440.01</v>
      </c>
      <c r="H102" s="106">
        <f t="shared" si="1152"/>
        <v>0</v>
      </c>
      <c r="I102" s="106">
        <f t="shared" si="1153"/>
        <v>31712</v>
      </c>
      <c r="J102" s="106">
        <f t="shared" si="1154"/>
        <v>410.625</v>
      </c>
      <c r="K102" s="106">
        <f t="shared" si="1155"/>
        <v>49239.22</v>
      </c>
      <c r="L102" s="106">
        <f t="shared" si="1156"/>
        <v>58944</v>
      </c>
      <c r="M102" s="106">
        <f t="shared" si="1036"/>
        <v>199967.38500000001</v>
      </c>
      <c r="N102" s="16" t="s">
        <v>83</v>
      </c>
      <c r="O102" s="106">
        <f t="shared" si="1157"/>
        <v>58565.96</v>
      </c>
      <c r="P102" s="106">
        <f t="shared" si="1158"/>
        <v>19440.02</v>
      </c>
      <c r="Q102" s="106">
        <f t="shared" si="1159"/>
        <v>48935.990000000005</v>
      </c>
      <c r="R102" s="106">
        <f t="shared" si="1160"/>
        <v>29324.07</v>
      </c>
      <c r="S102" s="106">
        <f t="shared" si="1161"/>
        <v>34599.160000000003</v>
      </c>
      <c r="T102" s="106">
        <f t="shared" si="1162"/>
        <v>22104</v>
      </c>
      <c r="U102" s="106">
        <f t="shared" si="1163"/>
        <v>28256.95</v>
      </c>
      <c r="V102" s="106">
        <f t="shared" si="1164"/>
        <v>22104</v>
      </c>
      <c r="W102" s="106">
        <f t="shared" si="1165"/>
        <v>18430.669999999998</v>
      </c>
      <c r="X102" s="106">
        <f t="shared" si="1166"/>
        <v>40081.71</v>
      </c>
      <c r="Y102" s="106">
        <f t="shared" si="1167"/>
        <v>0</v>
      </c>
      <c r="Z102" s="106">
        <f t="shared" si="1168"/>
        <v>0</v>
      </c>
      <c r="AA102" s="106">
        <f t="shared" si="1169"/>
        <v>321842.53000000003</v>
      </c>
      <c r="AB102" s="118">
        <f t="shared" si="1189"/>
        <v>1.2267616666666665</v>
      </c>
      <c r="AC102" s="106">
        <f t="shared" si="1170"/>
        <v>17400</v>
      </c>
      <c r="AD102" s="106">
        <f t="shared" si="1171"/>
        <v>17400</v>
      </c>
      <c r="AE102" s="106">
        <f t="shared" si="1172"/>
        <v>22200</v>
      </c>
      <c r="AF102" s="106">
        <f t="shared" si="1173"/>
        <v>18000</v>
      </c>
      <c r="AG102" s="106">
        <f t="shared" si="1174"/>
        <v>19200</v>
      </c>
      <c r="AH102" s="106">
        <f t="shared" si="1175"/>
        <v>16800</v>
      </c>
      <c r="AI102" s="106">
        <f t="shared" si="1176"/>
        <v>17400</v>
      </c>
      <c r="AJ102" s="106">
        <f t="shared" si="1177"/>
        <v>20400</v>
      </c>
      <c r="AK102" s="106">
        <f t="shared" si="1178"/>
        <v>20400</v>
      </c>
      <c r="AL102" s="106">
        <f t="shared" si="1179"/>
        <v>18000</v>
      </c>
      <c r="AM102" s="106">
        <f t="shared" si="1180"/>
        <v>16800</v>
      </c>
      <c r="AN102" s="106">
        <f t="shared" si="1181"/>
        <v>22200</v>
      </c>
      <c r="AO102" s="106">
        <f t="shared" si="1182"/>
        <v>226200</v>
      </c>
      <c r="AQ102" s="106">
        <v>14736</v>
      </c>
      <c r="AR102" s="106">
        <v>0</v>
      </c>
      <c r="AS102" s="106">
        <v>11237.529999999999</v>
      </c>
      <c r="AT102" s="106">
        <v>0</v>
      </c>
      <c r="AU102" s="106">
        <v>7512</v>
      </c>
      <c r="AV102" s="106">
        <v>14736</v>
      </c>
      <c r="AW102" s="106">
        <v>11440.01</v>
      </c>
      <c r="AX102" s="106">
        <v>0</v>
      </c>
      <c r="AY102" s="106">
        <v>6624</v>
      </c>
      <c r="AZ102" s="106">
        <v>0</v>
      </c>
      <c r="BA102" s="106">
        <v>34503.22</v>
      </c>
      <c r="BB102" s="106">
        <v>14736</v>
      </c>
      <c r="BC102" s="106">
        <f t="shared" si="1183"/>
        <v>115524.76000000001</v>
      </c>
      <c r="BD102" s="16" t="str">
        <f t="shared" si="871"/>
        <v>Refreshment Expenses -Delivery</v>
      </c>
      <c r="BE102" s="106">
        <f>+VLOOKUP($BD102,'Jan-25'!$A:$J,2,0)</f>
        <v>26751.575999999997</v>
      </c>
      <c r="BF102" s="106">
        <f>+VLOOKUP($BD102,'Feb-25'!$A:$J,2,0)</f>
        <v>7243.2120000000004</v>
      </c>
      <c r="BG102" s="106">
        <f>+VLOOKUP($BD102,'Mar-25'!$A:$J,2,0)</f>
        <v>34969.33</v>
      </c>
      <c r="BH102" s="106">
        <f>+VLOOKUP($BD102,'Apr-25'!$A:$J,2,0)</f>
        <v>15746</v>
      </c>
      <c r="BI102" s="106">
        <f>+VLOOKUP($BD102,'May-25'!$A:$J,2,0)</f>
        <v>27231.16</v>
      </c>
      <c r="BJ102" s="106">
        <f>+VLOOKUP($BD102,'June-25'!$A:$J,2,0)</f>
        <v>14736</v>
      </c>
      <c r="BK102" s="106">
        <f>+VLOOKUP($BD102,'July-25'!$A:$J,2,0)</f>
        <v>24721.23</v>
      </c>
      <c r="BL102" s="106">
        <f>+VLOOKUP($BD102,'Aug-25'!$A:$J,2,0)</f>
        <v>14736</v>
      </c>
      <c r="BM102" s="106">
        <f>+VLOOKUP($BD102,'Sep-25'!$A:$J,2,0)</f>
        <v>18430.669999999998</v>
      </c>
      <c r="BN102" s="106">
        <f>+VLOOKUP($BD102,'Oct-25'!$A:$J,2,0)</f>
        <v>40081.71</v>
      </c>
      <c r="BO102" s="106">
        <f>+VLOOKUP($BD102,'Nov-25'!$A:$J,2,0)</f>
        <v>0</v>
      </c>
      <c r="BP102" s="106">
        <f>+VLOOKUP($BD102,'Dec-25'!$A:$J,2,0)</f>
        <v>0</v>
      </c>
      <c r="BQ102" s="106">
        <f t="shared" si="1184"/>
        <v>224646.88800000001</v>
      </c>
      <c r="BR102" s="118">
        <f t="shared" si="1190"/>
        <v>3.175178125</v>
      </c>
      <c r="BS102" s="106" cm="1">
        <f t="array" ref="BS102:CD102">+_xlfn.XLOOKUP(BD102,Budget!A:A,Budget!Q:AB)</f>
        <v>9600</v>
      </c>
      <c r="BT102" s="106">
        <v>9000</v>
      </c>
      <c r="BU102" s="106">
        <v>13200</v>
      </c>
      <c r="BV102" s="106">
        <v>9000</v>
      </c>
      <c r="BW102" s="106">
        <v>10800</v>
      </c>
      <c r="BX102" s="106">
        <v>9000</v>
      </c>
      <c r="BY102" s="106">
        <v>10200</v>
      </c>
      <c r="BZ102" s="106">
        <v>12000</v>
      </c>
      <c r="CA102" s="106">
        <v>10200</v>
      </c>
      <c r="CB102" s="106">
        <v>9600</v>
      </c>
      <c r="CC102" s="106">
        <v>8400</v>
      </c>
      <c r="CD102" s="106">
        <v>12600</v>
      </c>
      <c r="CE102" s="106">
        <f t="shared" si="1185"/>
        <v>123600</v>
      </c>
      <c r="CF102" s="22"/>
      <c r="CG102" s="106">
        <v>0</v>
      </c>
      <c r="CH102" s="106">
        <v>0</v>
      </c>
      <c r="CI102" s="106">
        <v>0</v>
      </c>
      <c r="CJ102" s="106">
        <v>0</v>
      </c>
      <c r="CK102" s="106">
        <v>0</v>
      </c>
      <c r="CL102" s="106">
        <v>0</v>
      </c>
      <c r="CM102" s="106">
        <v>0</v>
      </c>
      <c r="CN102" s="106">
        <v>0</v>
      </c>
      <c r="CO102" s="106">
        <v>25088</v>
      </c>
      <c r="CP102" s="106">
        <v>410.625</v>
      </c>
      <c r="CQ102" s="106">
        <v>14736</v>
      </c>
      <c r="CR102" s="106">
        <v>44208</v>
      </c>
      <c r="CS102" s="106">
        <f t="shared" si="1186"/>
        <v>84442.625</v>
      </c>
      <c r="CT102" s="16" t="str">
        <f t="shared" si="875"/>
        <v>Refreshment Expenses -Delivery</v>
      </c>
      <c r="CU102" s="106">
        <f>+VLOOKUP($BD102,'Jan-25'!$A:$J,6,0)</f>
        <v>31814.384000000002</v>
      </c>
      <c r="CV102" s="106">
        <f>+VLOOKUP($BD102,'Feb-25'!$A:$J,6,0)</f>
        <v>12196.808000000001</v>
      </c>
      <c r="CW102" s="106">
        <f>+VLOOKUP($BD102,'Mar-25'!$A:$J,6,0)</f>
        <v>13966.66</v>
      </c>
      <c r="CX102" s="106">
        <f>+VLOOKUP($BD102,'Apr-25'!$A:$J,6,0)</f>
        <v>13578.07</v>
      </c>
      <c r="CY102" s="106">
        <f>+VLOOKUP($BD102,'May-25'!$A:$J,6,0)</f>
        <v>7368</v>
      </c>
      <c r="CZ102" s="106">
        <f>+VLOOKUP($BD102,'June-25'!$A:$J,6,0)</f>
        <v>7368</v>
      </c>
      <c r="DA102" s="106">
        <f>+VLOOKUP($BD102,'July-25'!$A:$J,6,0)</f>
        <v>3535.72</v>
      </c>
      <c r="DB102" s="106">
        <f>+VLOOKUP($BD102,'Aug-25'!$A:$J,6,0)</f>
        <v>7368</v>
      </c>
      <c r="DC102" s="106">
        <f>+VLOOKUP($BD102,'Sep-25'!$A:$J,6,0)</f>
        <v>0</v>
      </c>
      <c r="DD102" s="106">
        <f>+VLOOKUP($BD102,'Oct-25'!$A:$J,6,0)</f>
        <v>0</v>
      </c>
      <c r="DE102" s="106">
        <f>+VLOOKUP($BD102,'Nov-25'!$A:$J,6,0)</f>
        <v>0</v>
      </c>
      <c r="DF102" s="106">
        <f>+VLOOKUP($BD102,'Dec-25'!$A:$J,6,0)</f>
        <v>0</v>
      </c>
      <c r="DG102" s="106">
        <f t="shared" si="1187"/>
        <v>97195.641999999993</v>
      </c>
      <c r="DH102" s="118">
        <f t="shared" si="1191"/>
        <v>-1</v>
      </c>
      <c r="DI102" s="106">
        <f>+_xlfn.XLOOKUP($CT102,Budget!$A:$A,Budget!BQ:BQ)</f>
        <v>7800</v>
      </c>
      <c r="DJ102" s="106">
        <f>+_xlfn.XLOOKUP($CT102,Budget!$A:$A,Budget!BR:BR)</f>
        <v>8400</v>
      </c>
      <c r="DK102" s="106">
        <f>+_xlfn.XLOOKUP($CT102,Budget!$A:$A,Budget!BS:BS)</f>
        <v>9000</v>
      </c>
      <c r="DL102" s="106">
        <f>+_xlfn.XLOOKUP($CT102,Budget!$A:$A,Budget!BT:BT)</f>
        <v>9000</v>
      </c>
      <c r="DM102" s="106">
        <f>+_xlfn.XLOOKUP($CT102,Budget!$A:$A,Budget!BU:BU)</f>
        <v>8400</v>
      </c>
      <c r="DN102" s="106">
        <f>+_xlfn.XLOOKUP($CT102,Budget!$A:$A,Budget!BV:BV)</f>
        <v>7800</v>
      </c>
      <c r="DO102" s="106">
        <f>+_xlfn.XLOOKUP($CT102,Budget!$A:$A,Budget!BW:BW)</f>
        <v>7200</v>
      </c>
      <c r="DP102" s="106">
        <f>+_xlfn.XLOOKUP($CT102,Budget!$A:$A,Budget!BX:BX)</f>
        <v>8400</v>
      </c>
      <c r="DQ102" s="106">
        <f>+_xlfn.XLOOKUP($CT102,Budget!$A:$A,Budget!BY:BY)</f>
        <v>10200</v>
      </c>
      <c r="DR102" s="106">
        <f>+_xlfn.XLOOKUP($CT102,Budget!$A:$A,Budget!BZ:BZ)</f>
        <v>8400</v>
      </c>
      <c r="DS102" s="106">
        <f>+_xlfn.XLOOKUP($CT102,Budget!$A:$A,Budget!CA:CA)</f>
        <v>8400</v>
      </c>
      <c r="DT102" s="106">
        <f>+_xlfn.XLOOKUP($CT102,Budget!$A:$A,Budget!CB:CB)</f>
        <v>9600</v>
      </c>
      <c r="DU102" s="106">
        <f t="shared" si="1188"/>
        <v>102600</v>
      </c>
    </row>
    <row r="103" spans="1:125" ht="14.45" hidden="1" customHeight="1" outlineLevel="2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18">
        <f t="shared" si="1189"/>
        <v>0</v>
      </c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6">
        <f t="shared" si="871"/>
        <v>0</v>
      </c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18">
        <f t="shared" si="1190"/>
        <v>0</v>
      </c>
      <c r="BS103" s="106"/>
      <c r="BT103" s="106"/>
      <c r="BU103" s="106"/>
      <c r="BV103" s="106"/>
      <c r="BW103" s="106"/>
      <c r="BX103" s="106"/>
      <c r="BY103" s="106"/>
      <c r="BZ103" s="106"/>
      <c r="CA103" s="106"/>
      <c r="CB103" s="106"/>
      <c r="CC103" s="106"/>
      <c r="CD103" s="106"/>
      <c r="CE103" s="106"/>
      <c r="CF103" s="22"/>
      <c r="CG103" s="106"/>
      <c r="CH103" s="106"/>
      <c r="CI103" s="106"/>
      <c r="CJ103" s="106"/>
      <c r="CK103" s="106"/>
      <c r="CL103" s="106"/>
      <c r="CM103" s="106"/>
      <c r="CN103" s="106"/>
      <c r="CO103" s="106"/>
      <c r="CP103" s="106"/>
      <c r="CQ103" s="106"/>
      <c r="CR103" s="106"/>
      <c r="CS103" s="106"/>
      <c r="CT103" s="16">
        <f t="shared" si="875"/>
        <v>0</v>
      </c>
      <c r="CU103" s="106"/>
      <c r="CV103" s="106"/>
      <c r="CW103" s="106"/>
      <c r="CX103" s="106"/>
      <c r="CY103" s="106"/>
      <c r="CZ103" s="106"/>
      <c r="DA103" s="106"/>
      <c r="DB103" s="106"/>
      <c r="DC103" s="106"/>
      <c r="DD103" s="106"/>
      <c r="DE103" s="106"/>
      <c r="DF103" s="106"/>
      <c r="DG103" s="106"/>
      <c r="DH103" s="118">
        <f t="shared" si="1191"/>
        <v>0</v>
      </c>
      <c r="DI103" s="106"/>
      <c r="DJ103" s="106"/>
      <c r="DK103" s="106"/>
      <c r="DL103" s="106"/>
      <c r="DM103" s="106"/>
      <c r="DN103" s="106"/>
      <c r="DO103" s="106"/>
      <c r="DP103" s="106"/>
      <c r="DQ103" s="106"/>
      <c r="DR103" s="106"/>
      <c r="DS103" s="106"/>
      <c r="DT103" s="106"/>
      <c r="DU103" s="106"/>
    </row>
    <row r="104" spans="1:125" ht="14.45" customHeight="1" collapsed="1">
      <c r="A104" s="58">
        <f t="shared" ref="A104:M104" si="1192">+SUM(A105:A113)</f>
        <v>1541134.6633333333</v>
      </c>
      <c r="B104" s="58">
        <f t="shared" si="1192"/>
        <v>1208691.3133333332</v>
      </c>
      <c r="C104" s="58">
        <f t="shared" si="1192"/>
        <v>3172307.4714862378</v>
      </c>
      <c r="D104" s="58">
        <f t="shared" si="1192"/>
        <v>979987.83299999998</v>
      </c>
      <c r="E104" s="58">
        <f t="shared" si="1192"/>
        <v>1324225.433</v>
      </c>
      <c r="F104" s="58">
        <f t="shared" si="1192"/>
        <v>1745724.0933333333</v>
      </c>
      <c r="G104" s="58">
        <f t="shared" si="1192"/>
        <v>1366052.69</v>
      </c>
      <c r="H104" s="58">
        <f t="shared" si="1192"/>
        <v>836847.77999999991</v>
      </c>
      <c r="I104" s="58">
        <f t="shared" si="1192"/>
        <v>1688890.14</v>
      </c>
      <c r="J104" s="58">
        <f t="shared" si="1192"/>
        <v>2231808.77</v>
      </c>
      <c r="K104" s="58">
        <f t="shared" si="1192"/>
        <v>895715.34</v>
      </c>
      <c r="L104" s="58">
        <f t="shared" si="1192"/>
        <v>1384280.6800000002</v>
      </c>
      <c r="M104" s="58">
        <f t="shared" si="1192"/>
        <v>18375666.207486238</v>
      </c>
      <c r="N104" s="17" t="s">
        <v>84</v>
      </c>
      <c r="O104" s="58">
        <f t="shared" ref="O104" si="1193">+SUM(O105:O113)</f>
        <v>1383553.1400000001</v>
      </c>
      <c r="P104" s="58">
        <f t="shared" ref="P104" si="1194">+SUM(P105:P113)</f>
        <v>1082960.5984999998</v>
      </c>
      <c r="Q104" s="58">
        <f t="shared" ref="Q104" si="1195">+SUM(Q105:Q113)</f>
        <v>1177910.304</v>
      </c>
      <c r="R104" s="58">
        <f t="shared" ref="R104" si="1196">+SUM(R105:R113)</f>
        <v>877375.40999999992</v>
      </c>
      <c r="S104" s="58">
        <f t="shared" ref="S104" si="1197">+SUM(S105:S113)</f>
        <v>973021.17</v>
      </c>
      <c r="T104" s="58">
        <f t="shared" ref="T104" si="1198">+SUM(T105:T113)</f>
        <v>1107418.4076999999</v>
      </c>
      <c r="U104" s="58">
        <f t="shared" ref="U104" si="1199">+SUM(U105:U113)</f>
        <v>955076.64</v>
      </c>
      <c r="V104" s="58">
        <f t="shared" ref="V104" si="1200">+SUM(V105:V113)</f>
        <v>1259706.6599999999</v>
      </c>
      <c r="W104" s="58">
        <f t="shared" ref="W104" si="1201">+SUM(W105:W113)</f>
        <v>1445030.96</v>
      </c>
      <c r="X104" s="58">
        <f t="shared" ref="X104" si="1202">+SUM(X105:X113)</f>
        <v>1574818.66</v>
      </c>
      <c r="Y104" s="58">
        <f t="shared" ref="Y104" si="1203">+SUM(Y105:Y113)</f>
        <v>0</v>
      </c>
      <c r="Z104" s="58">
        <f t="shared" ref="Z104" si="1204">+SUM(Z105:Z113)</f>
        <v>0</v>
      </c>
      <c r="AA104" s="58">
        <f t="shared" ref="AA104" si="1205">+SUM(AA105:AA113)</f>
        <v>11836871.950200001</v>
      </c>
      <c r="AB104" s="118">
        <f t="shared" si="1189"/>
        <v>0.53043601554907671</v>
      </c>
      <c r="AC104" s="58">
        <f t="shared" ref="AC104" si="1206">+SUM(AC105:AC113)</f>
        <v>994700</v>
      </c>
      <c r="AD104" s="58">
        <f t="shared" ref="AD104" si="1207">+SUM(AD105:AD113)</f>
        <v>994700</v>
      </c>
      <c r="AE104" s="58">
        <f t="shared" ref="AE104" si="1208">+SUM(AE105:AE113)</f>
        <v>1269100</v>
      </c>
      <c r="AF104" s="58">
        <f t="shared" ref="AF104" si="1209">+SUM(AF105:AF113)</f>
        <v>1029000</v>
      </c>
      <c r="AG104" s="58">
        <f t="shared" ref="AG104" si="1210">+SUM(AG105:AG113)</f>
        <v>1097600</v>
      </c>
      <c r="AH104" s="58">
        <f t="shared" ref="AH104" si="1211">+SUM(AH105:AH113)</f>
        <v>960400</v>
      </c>
      <c r="AI104" s="58">
        <f t="shared" ref="AI104" si="1212">+SUM(AI105:AI113)</f>
        <v>994700</v>
      </c>
      <c r="AJ104" s="58">
        <f t="shared" ref="AJ104" si="1213">+SUM(AJ105:AJ113)</f>
        <v>1166200</v>
      </c>
      <c r="AK104" s="58">
        <f t="shared" ref="AK104" si="1214">+SUM(AK105:AK113)</f>
        <v>1166200</v>
      </c>
      <c r="AL104" s="58">
        <f t="shared" ref="AL104" si="1215">+SUM(AL105:AL113)</f>
        <v>1029000</v>
      </c>
      <c r="AM104" s="58">
        <f t="shared" ref="AM104" si="1216">+SUM(AM105:AM113)</f>
        <v>960400</v>
      </c>
      <c r="AN104" s="58">
        <f t="shared" ref="AN104" si="1217">+SUM(AN105:AN113)</f>
        <v>1269100</v>
      </c>
      <c r="AO104" s="58">
        <f t="shared" ref="AO104" si="1218">+SUM(AO105:AO113)</f>
        <v>12931100</v>
      </c>
      <c r="AQ104" s="58">
        <f t="shared" ref="AQ104:BC104" si="1219">+SUM(AQ105:AQ113)</f>
        <v>970475.36933333322</v>
      </c>
      <c r="AR104" s="58">
        <f t="shared" si="1219"/>
        <v>822667.12</v>
      </c>
      <c r="AS104" s="58">
        <f t="shared" si="1219"/>
        <v>2285090.8108917428</v>
      </c>
      <c r="AT104" s="58">
        <f t="shared" si="1219"/>
        <v>694867.28780000005</v>
      </c>
      <c r="AU104" s="58">
        <f t="shared" si="1219"/>
        <v>681490.23579999991</v>
      </c>
      <c r="AV104" s="58">
        <f t="shared" si="1219"/>
        <v>1084870.2560000001</v>
      </c>
      <c r="AW104" s="58">
        <f t="shared" si="1219"/>
        <v>934365.33799999987</v>
      </c>
      <c r="AX104" s="58">
        <f t="shared" si="1219"/>
        <v>571842.06400000001</v>
      </c>
      <c r="AY104" s="58">
        <f t="shared" si="1219"/>
        <v>1294415.4479999999</v>
      </c>
      <c r="AZ104" s="58">
        <f t="shared" si="1219"/>
        <v>1381085.2619999999</v>
      </c>
      <c r="BA104" s="58">
        <f t="shared" si="1219"/>
        <v>627829.20400000003</v>
      </c>
      <c r="BB104" s="58">
        <f t="shared" si="1219"/>
        <v>817121.57199999993</v>
      </c>
      <c r="BC104" s="58">
        <f t="shared" si="1219"/>
        <v>12166119.967825074</v>
      </c>
      <c r="BD104" s="17" t="str">
        <f t="shared" si="871"/>
        <v>Marketing Expenses</v>
      </c>
      <c r="BE104" s="58">
        <f t="shared" ref="BE104:BQ104" si="1220">+SUM(BE105:BE113)</f>
        <v>872131.88400000008</v>
      </c>
      <c r="BF104" s="58">
        <f t="shared" si="1220"/>
        <v>584150.61349999998</v>
      </c>
      <c r="BG104" s="58">
        <f t="shared" si="1220"/>
        <v>755239.03239999991</v>
      </c>
      <c r="BH104" s="58">
        <f t="shared" si="1220"/>
        <v>533635.24599999993</v>
      </c>
      <c r="BI104" s="58">
        <f t="shared" si="1220"/>
        <v>586554.71</v>
      </c>
      <c r="BJ104" s="58">
        <f t="shared" si="1220"/>
        <v>455672.90662000002</v>
      </c>
      <c r="BK104" s="58">
        <f t="shared" si="1220"/>
        <v>529023.58400000003</v>
      </c>
      <c r="BL104" s="58">
        <f t="shared" si="1220"/>
        <v>618022.62600000005</v>
      </c>
      <c r="BM104" s="58">
        <f t="shared" si="1220"/>
        <v>992826.97599999991</v>
      </c>
      <c r="BN104" s="58">
        <f t="shared" si="1220"/>
        <v>919373.43200000003</v>
      </c>
      <c r="BO104" s="58">
        <f t="shared" si="1220"/>
        <v>0</v>
      </c>
      <c r="BP104" s="58">
        <f t="shared" si="1220"/>
        <v>0</v>
      </c>
      <c r="BQ104" s="58">
        <f t="shared" si="1220"/>
        <v>6846631.01052</v>
      </c>
      <c r="BR104" s="118">
        <f t="shared" si="1190"/>
        <v>0.67524313411078718</v>
      </c>
      <c r="BS104" s="58">
        <f t="shared" ref="BS104:CE104" si="1221">+SUM(BS105:BS113)</f>
        <v>548800</v>
      </c>
      <c r="BT104" s="58">
        <f t="shared" si="1221"/>
        <v>514500</v>
      </c>
      <c r="BU104" s="58">
        <f t="shared" si="1221"/>
        <v>754600</v>
      </c>
      <c r="BV104" s="58">
        <f t="shared" si="1221"/>
        <v>514500</v>
      </c>
      <c r="BW104" s="58">
        <f t="shared" si="1221"/>
        <v>617400</v>
      </c>
      <c r="BX104" s="58">
        <f t="shared" si="1221"/>
        <v>514500</v>
      </c>
      <c r="BY104" s="58">
        <f t="shared" si="1221"/>
        <v>583100</v>
      </c>
      <c r="BZ104" s="58">
        <f t="shared" si="1221"/>
        <v>686000</v>
      </c>
      <c r="CA104" s="58">
        <f t="shared" si="1221"/>
        <v>583100</v>
      </c>
      <c r="CB104" s="58">
        <f t="shared" si="1221"/>
        <v>548800</v>
      </c>
      <c r="CC104" s="58">
        <f t="shared" si="1221"/>
        <v>480200</v>
      </c>
      <c r="CD104" s="58">
        <f t="shared" si="1221"/>
        <v>720300</v>
      </c>
      <c r="CE104" s="58">
        <f t="shared" si="1221"/>
        <v>7065800</v>
      </c>
      <c r="CF104" s="22"/>
      <c r="CG104" s="58">
        <f t="shared" ref="CG104:CS104" si="1222">+SUM(CG105:CG113)</f>
        <v>570659.29399999999</v>
      </c>
      <c r="CH104" s="58">
        <f t="shared" si="1222"/>
        <v>386024.19333333336</v>
      </c>
      <c r="CI104" s="58">
        <f t="shared" si="1222"/>
        <v>887216.66059449501</v>
      </c>
      <c r="CJ104" s="58">
        <f t="shared" si="1222"/>
        <v>285120.54519999999</v>
      </c>
      <c r="CK104" s="58">
        <f t="shared" si="1222"/>
        <v>642735.19720000005</v>
      </c>
      <c r="CL104" s="58">
        <f t="shared" si="1222"/>
        <v>660853.83733333333</v>
      </c>
      <c r="CM104" s="58">
        <f t="shared" si="1222"/>
        <v>431687.35200000001</v>
      </c>
      <c r="CN104" s="58">
        <f t="shared" si="1222"/>
        <v>265005.71600000001</v>
      </c>
      <c r="CO104" s="58">
        <f t="shared" si="1222"/>
        <v>394474.69200000004</v>
      </c>
      <c r="CP104" s="58">
        <f t="shared" si="1222"/>
        <v>850723.50800000003</v>
      </c>
      <c r="CQ104" s="58">
        <f t="shared" si="1222"/>
        <v>267886.136</v>
      </c>
      <c r="CR104" s="58">
        <f t="shared" si="1222"/>
        <v>567159.10800000001</v>
      </c>
      <c r="CS104" s="58">
        <f t="shared" si="1222"/>
        <v>6209546.2396611627</v>
      </c>
      <c r="CT104" s="17" t="str">
        <f t="shared" si="875"/>
        <v>Marketing Expenses</v>
      </c>
      <c r="CU104" s="58">
        <f t="shared" ref="CU104:DG104" si="1223">+SUM(CU105:CU113)</f>
        <v>511421.25599999994</v>
      </c>
      <c r="CV104" s="58">
        <f t="shared" si="1223"/>
        <v>498809.98499999999</v>
      </c>
      <c r="CW104" s="58">
        <f t="shared" si="1223"/>
        <v>422671.27160000004</v>
      </c>
      <c r="CX104" s="58">
        <f t="shared" si="1223"/>
        <v>343740.16400000005</v>
      </c>
      <c r="CY104" s="58">
        <f t="shared" si="1223"/>
        <v>386466.46000000008</v>
      </c>
      <c r="CZ104" s="58">
        <f t="shared" si="1223"/>
        <v>651745.50108000007</v>
      </c>
      <c r="DA104" s="58">
        <f t="shared" si="1223"/>
        <v>426053.05599999998</v>
      </c>
      <c r="DB104" s="58">
        <f t="shared" si="1223"/>
        <v>641684.03399999999</v>
      </c>
      <c r="DC104" s="58">
        <f t="shared" si="1223"/>
        <v>452203.984</v>
      </c>
      <c r="DD104" s="58">
        <f t="shared" si="1223"/>
        <v>655445.228</v>
      </c>
      <c r="DE104" s="58">
        <f t="shared" si="1223"/>
        <v>0</v>
      </c>
      <c r="DF104" s="58">
        <f t="shared" si="1223"/>
        <v>0</v>
      </c>
      <c r="DG104" s="58">
        <f t="shared" si="1223"/>
        <v>4990240.9396799998</v>
      </c>
      <c r="DH104" s="118">
        <f t="shared" si="1191"/>
        <v>0.36494216576426491</v>
      </c>
      <c r="DI104" s="58">
        <f t="shared" ref="DI104:DU104" si="1224">+SUM(DI105:DI113)</f>
        <v>445900</v>
      </c>
      <c r="DJ104" s="58">
        <f t="shared" si="1224"/>
        <v>480200</v>
      </c>
      <c r="DK104" s="58">
        <f t="shared" si="1224"/>
        <v>514500</v>
      </c>
      <c r="DL104" s="58">
        <f t="shared" si="1224"/>
        <v>514500</v>
      </c>
      <c r="DM104" s="58">
        <f t="shared" si="1224"/>
        <v>480200</v>
      </c>
      <c r="DN104" s="58">
        <f t="shared" si="1224"/>
        <v>445900</v>
      </c>
      <c r="DO104" s="58">
        <f t="shared" si="1224"/>
        <v>411600</v>
      </c>
      <c r="DP104" s="58">
        <f t="shared" si="1224"/>
        <v>480200</v>
      </c>
      <c r="DQ104" s="58">
        <f t="shared" si="1224"/>
        <v>583100</v>
      </c>
      <c r="DR104" s="58">
        <f t="shared" si="1224"/>
        <v>480200</v>
      </c>
      <c r="DS104" s="58">
        <f t="shared" si="1224"/>
        <v>480200</v>
      </c>
      <c r="DT104" s="58">
        <f t="shared" si="1224"/>
        <v>548800</v>
      </c>
      <c r="DU104" s="58">
        <f t="shared" si="1224"/>
        <v>5865300</v>
      </c>
    </row>
    <row r="105" spans="1:125" ht="14.45" hidden="1" customHeight="1" outlineLevel="1">
      <c r="A105" s="106">
        <f t="shared" ref="A105:A113" si="1225">+AQ105+CG105</f>
        <v>259801.53</v>
      </c>
      <c r="B105" s="106">
        <f t="shared" ref="B105:B113" si="1226">+AR105+CH105</f>
        <v>0</v>
      </c>
      <c r="C105" s="106">
        <f t="shared" ref="C105:C113" si="1227">+AS105+CI105</f>
        <v>308293.15000000002</v>
      </c>
      <c r="D105" s="106">
        <f t="shared" ref="D105:D113" si="1228">+AT105+CJ105</f>
        <v>46786.47</v>
      </c>
      <c r="E105" s="106">
        <f t="shared" ref="E105:E113" si="1229">+AU105+CK105</f>
        <v>27488.78</v>
      </c>
      <c r="F105" s="106">
        <f t="shared" ref="F105:F113" si="1230">+AV105+CL105</f>
        <v>34285.51</v>
      </c>
      <c r="G105" s="106">
        <f t="shared" ref="G105:G113" si="1231">+AW105+CM105</f>
        <v>29253.21</v>
      </c>
      <c r="H105" s="106">
        <f t="shared" ref="H105:H113" si="1232">+AX105+CN105</f>
        <v>1692.72</v>
      </c>
      <c r="I105" s="106">
        <f t="shared" ref="I105:I113" si="1233">+AY105+CO105</f>
        <v>6550.41</v>
      </c>
      <c r="J105" s="106">
        <f t="shared" ref="J105:J113" si="1234">+AZ105+CP105</f>
        <v>600000</v>
      </c>
      <c r="K105" s="106">
        <f t="shared" ref="K105:K113" si="1235">+BA105+CQ105</f>
        <v>30000</v>
      </c>
      <c r="L105" s="106">
        <f t="shared" ref="L105:L113" si="1236">+BB105+CR105</f>
        <v>30978.36</v>
      </c>
      <c r="M105" s="106">
        <f t="shared" ref="M105:M113" si="1237">+SUM(A105:L105)</f>
        <v>1375130.1400000001</v>
      </c>
      <c r="N105" s="16" t="s">
        <v>85</v>
      </c>
      <c r="O105" s="106">
        <f t="shared" ref="O105:O113" si="1238">+BE105+CU105</f>
        <v>0</v>
      </c>
      <c r="P105" s="106">
        <f t="shared" ref="P105:P113" si="1239">+BF105+CV105</f>
        <v>0</v>
      </c>
      <c r="Q105" s="106">
        <f t="shared" ref="Q105:Q113" si="1240">+BG105+CW105</f>
        <v>0</v>
      </c>
      <c r="R105" s="106">
        <f t="shared" ref="R105:R113" si="1241">+BH105+CX105</f>
        <v>19281.939999999999</v>
      </c>
      <c r="S105" s="106">
        <f t="shared" ref="S105:S113" si="1242">+BI105+CY105</f>
        <v>4430.0200000000004</v>
      </c>
      <c r="T105" s="106">
        <f t="shared" ref="T105:T113" si="1243">+BJ105+CZ105</f>
        <v>157803.1777</v>
      </c>
      <c r="U105" s="106">
        <f t="shared" ref="U105:U113" si="1244">+BK105+DA105</f>
        <v>0</v>
      </c>
      <c r="V105" s="106">
        <f t="shared" ref="V105:V113" si="1245">+BL105+DB105</f>
        <v>0</v>
      </c>
      <c r="W105" s="106">
        <f t="shared" ref="W105:W113" si="1246">+BM105+DC105</f>
        <v>0</v>
      </c>
      <c r="X105" s="106">
        <f t="shared" ref="X105:X113" si="1247">+BN105+DD105</f>
        <v>0</v>
      </c>
      <c r="Y105" s="106">
        <f t="shared" ref="Y105:Y113" si="1248">+BO105+DE105</f>
        <v>0</v>
      </c>
      <c r="Z105" s="106">
        <f t="shared" ref="Z105:Z113" si="1249">+BP105+DF105</f>
        <v>0</v>
      </c>
      <c r="AA105" s="106">
        <f t="shared" ref="AA105:AA113" si="1250">+SUM(O105:Z105)</f>
        <v>181515.13769999999</v>
      </c>
      <c r="AB105" s="118">
        <f t="shared" si="1189"/>
        <v>-1</v>
      </c>
      <c r="AC105" s="106">
        <f t="shared" ref="AC105:AC113" si="1251">+BS105+DI105</f>
        <v>29000</v>
      </c>
      <c r="AD105" s="106">
        <f t="shared" ref="AD105:AD113" si="1252">+BT105+DJ105</f>
        <v>29000</v>
      </c>
      <c r="AE105" s="106">
        <f t="shared" ref="AE105:AE113" si="1253">+BU105+DK105</f>
        <v>37000</v>
      </c>
      <c r="AF105" s="106">
        <f t="shared" ref="AF105:AF113" si="1254">+BV105+DL105</f>
        <v>30000</v>
      </c>
      <c r="AG105" s="106">
        <f t="shared" ref="AG105:AG113" si="1255">+BW105+DM105</f>
        <v>32000</v>
      </c>
      <c r="AH105" s="106">
        <f t="shared" ref="AH105:AH113" si="1256">+BX105+DN105</f>
        <v>28000</v>
      </c>
      <c r="AI105" s="106">
        <f t="shared" ref="AI105:AI113" si="1257">+BY105+DO105</f>
        <v>29000</v>
      </c>
      <c r="AJ105" s="106">
        <f t="shared" ref="AJ105:AJ113" si="1258">+BZ105+DP105</f>
        <v>34000</v>
      </c>
      <c r="AK105" s="106">
        <f t="shared" ref="AK105:AK113" si="1259">+CA105+DQ105</f>
        <v>34000</v>
      </c>
      <c r="AL105" s="106">
        <f t="shared" ref="AL105:AL113" si="1260">+CB105+DR105</f>
        <v>30000</v>
      </c>
      <c r="AM105" s="106">
        <f t="shared" ref="AM105:AM113" si="1261">+CC105+DS105</f>
        <v>28000</v>
      </c>
      <c r="AN105" s="106">
        <f t="shared" ref="AN105:AN113" si="1262">+CD105+DT105</f>
        <v>37000</v>
      </c>
      <c r="AO105" s="106">
        <f t="shared" ref="AO105:AO113" si="1263">+SUM(AC105:AN105)</f>
        <v>377000</v>
      </c>
      <c r="AQ105" s="106">
        <v>253046</v>
      </c>
      <c r="AR105" s="106">
        <v>0</v>
      </c>
      <c r="AS105" s="106">
        <v>308293.15000000002</v>
      </c>
      <c r="AT105" s="106">
        <v>46186.47</v>
      </c>
      <c r="AU105" s="106">
        <v>27488.78</v>
      </c>
      <c r="AV105" s="106">
        <v>27762.25</v>
      </c>
      <c r="AW105" s="106">
        <v>29253.21</v>
      </c>
      <c r="AX105" s="106">
        <v>1692.72</v>
      </c>
      <c r="AY105" s="106">
        <v>6550.41</v>
      </c>
      <c r="AZ105" s="106">
        <v>360000</v>
      </c>
      <c r="BA105" s="106">
        <v>18000</v>
      </c>
      <c r="BB105" s="106">
        <v>29140.18</v>
      </c>
      <c r="BC105" s="106">
        <f t="shared" ref="BC105:BC113" si="1264">+SUM(AQ105:BB105)</f>
        <v>1107413.17</v>
      </c>
      <c r="BD105" s="16" t="str">
        <f t="shared" si="871"/>
        <v>CRM Activities</v>
      </c>
      <c r="BE105" s="106">
        <f>+VLOOKUP($BD105,'Jan-25'!$A:$J,2,0)</f>
        <v>0</v>
      </c>
      <c r="BF105" s="106">
        <f>+VLOOKUP($BD105,'Feb-25'!$A:$J,2,0)</f>
        <v>0</v>
      </c>
      <c r="BG105" s="106">
        <f>+VLOOKUP($BD105,'Mar-25'!$A:$J,2,0)</f>
        <v>0</v>
      </c>
      <c r="BH105" s="106">
        <f>+VLOOKUP($BD105,'Apr-25'!$A:$J,2,0)</f>
        <v>11569.163999999999</v>
      </c>
      <c r="BI105" s="106">
        <f>+VLOOKUP($BD105,'May-25'!$A:$J,2,0)</f>
        <v>4430.0200000000004</v>
      </c>
      <c r="BJ105" s="106">
        <f>+VLOOKUP($BD105,'June-25'!$A:$J,2,0)</f>
        <v>61191.376619999995</v>
      </c>
      <c r="BK105" s="106">
        <f>+VLOOKUP($BD105,'July-25'!$A:$J,2,0)</f>
        <v>0</v>
      </c>
      <c r="BL105" s="106">
        <f>+VLOOKUP($BD105,'Aug-25'!$A:$J,2,0)</f>
        <v>0</v>
      </c>
      <c r="BM105" s="106">
        <f>+VLOOKUP($BD105,'Sep-25'!$A:$J,2,0)</f>
        <v>0</v>
      </c>
      <c r="BN105" s="106">
        <f>+VLOOKUP($BD105,'Oct-25'!$A:$J,2,0)</f>
        <v>0</v>
      </c>
      <c r="BO105" s="106">
        <f>+VLOOKUP($BD105,'Nov-25'!$A:$J,2,0)</f>
        <v>0</v>
      </c>
      <c r="BP105" s="106">
        <f>+VLOOKUP($BD105,'Dec-25'!$A:$J,2,0)</f>
        <v>0</v>
      </c>
      <c r="BQ105" s="106">
        <f t="shared" ref="BQ105:BQ113" si="1265">+SUM(BE105:BP105)</f>
        <v>77190.560619999989</v>
      </c>
      <c r="BR105" s="118">
        <f t="shared" si="1190"/>
        <v>-1</v>
      </c>
      <c r="BS105" s="106" cm="1">
        <f t="array" ref="BS105:CD105">+_xlfn.XLOOKUP(BD105,Budget!A:A,Budget!Q:AB)</f>
        <v>16000</v>
      </c>
      <c r="BT105" s="106">
        <v>15000</v>
      </c>
      <c r="BU105" s="106">
        <v>22000</v>
      </c>
      <c r="BV105" s="106">
        <v>15000</v>
      </c>
      <c r="BW105" s="106">
        <v>18000</v>
      </c>
      <c r="BX105" s="106">
        <v>15000</v>
      </c>
      <c r="BY105" s="106">
        <v>17000</v>
      </c>
      <c r="BZ105" s="106">
        <v>20000</v>
      </c>
      <c r="CA105" s="106">
        <v>17000</v>
      </c>
      <c r="CB105" s="106">
        <v>16000</v>
      </c>
      <c r="CC105" s="106">
        <v>14000</v>
      </c>
      <c r="CD105" s="106">
        <v>21000</v>
      </c>
      <c r="CE105" s="106">
        <f t="shared" ref="CE105:CE113" si="1266">+SUM(BS105:CD105)</f>
        <v>206000</v>
      </c>
      <c r="CF105" s="22"/>
      <c r="CG105" s="106">
        <v>6755.53</v>
      </c>
      <c r="CH105" s="106">
        <v>0</v>
      </c>
      <c r="CI105" s="106">
        <v>0</v>
      </c>
      <c r="CJ105" s="106">
        <v>600</v>
      </c>
      <c r="CK105" s="106">
        <v>0</v>
      </c>
      <c r="CL105" s="106">
        <v>6523.26</v>
      </c>
      <c r="CM105" s="106">
        <v>0</v>
      </c>
      <c r="CN105" s="106">
        <v>0</v>
      </c>
      <c r="CO105" s="106">
        <v>0</v>
      </c>
      <c r="CP105" s="106">
        <v>240000</v>
      </c>
      <c r="CQ105" s="106">
        <v>12000</v>
      </c>
      <c r="CR105" s="106">
        <v>1838.18</v>
      </c>
      <c r="CS105" s="106">
        <f t="shared" ref="CS105:CS113" si="1267">+SUM(CG105:CR105)</f>
        <v>267716.97000000003</v>
      </c>
      <c r="CT105" s="16" t="str">
        <f t="shared" si="875"/>
        <v>CRM Activities</v>
      </c>
      <c r="CU105" s="106">
        <f>+VLOOKUP($BD105,'Jan-25'!$A:$J,6,0)</f>
        <v>0</v>
      </c>
      <c r="CV105" s="106">
        <f>+VLOOKUP($BD105,'Feb-25'!$A:$J,6,0)</f>
        <v>0</v>
      </c>
      <c r="CW105" s="106">
        <f>+VLOOKUP($BD105,'Mar-25'!$A:$J,6,0)</f>
        <v>0</v>
      </c>
      <c r="CX105" s="106">
        <f>+VLOOKUP($BD105,'Apr-25'!$A:$J,6,0)</f>
        <v>7712.7759999999998</v>
      </c>
      <c r="CY105" s="106">
        <f>+VLOOKUP($BD105,'May-25'!$A:$J,6,0)</f>
        <v>0</v>
      </c>
      <c r="CZ105" s="106">
        <f>+VLOOKUP($BD105,'June-25'!$A:$J,6,0)</f>
        <v>96611.801080000005</v>
      </c>
      <c r="DA105" s="106">
        <f>+VLOOKUP($BD105,'July-25'!$A:$J,6,0)</f>
        <v>0</v>
      </c>
      <c r="DB105" s="106">
        <f>+VLOOKUP($BD105,'Aug-25'!$A:$J,6,0)</f>
        <v>0</v>
      </c>
      <c r="DC105" s="106">
        <f>+VLOOKUP($BD105,'Sep-25'!$A:$J,6,0)</f>
        <v>0</v>
      </c>
      <c r="DD105" s="106">
        <f>+VLOOKUP($BD105,'Oct-25'!$A:$J,6,0)</f>
        <v>0</v>
      </c>
      <c r="DE105" s="106">
        <f>+VLOOKUP($BD105,'Nov-25'!$A:$J,6,0)</f>
        <v>0</v>
      </c>
      <c r="DF105" s="106">
        <f>+VLOOKUP($BD105,'Dec-25'!$A:$J,6,0)</f>
        <v>0</v>
      </c>
      <c r="DG105" s="106">
        <f t="shared" ref="DG105:DG113" si="1268">+SUM(CU105:DF105)</f>
        <v>104324.57708</v>
      </c>
      <c r="DH105" s="118">
        <f t="shared" si="1191"/>
        <v>-1</v>
      </c>
      <c r="DI105" s="106">
        <f>+_xlfn.XLOOKUP($CT105,Budget!$A:$A,Budget!BQ:BQ)</f>
        <v>13000</v>
      </c>
      <c r="DJ105" s="106">
        <f>+_xlfn.XLOOKUP($CT105,Budget!$A:$A,Budget!BR:BR)</f>
        <v>14000</v>
      </c>
      <c r="DK105" s="106">
        <f>+_xlfn.XLOOKUP($CT105,Budget!$A:$A,Budget!BS:BS)</f>
        <v>15000</v>
      </c>
      <c r="DL105" s="106">
        <f>+_xlfn.XLOOKUP($CT105,Budget!$A:$A,Budget!BT:BT)</f>
        <v>15000</v>
      </c>
      <c r="DM105" s="106">
        <f>+_xlfn.XLOOKUP($CT105,Budget!$A:$A,Budget!BU:BU)</f>
        <v>14000</v>
      </c>
      <c r="DN105" s="106">
        <f>+_xlfn.XLOOKUP($CT105,Budget!$A:$A,Budget!BV:BV)</f>
        <v>13000</v>
      </c>
      <c r="DO105" s="106">
        <f>+_xlfn.XLOOKUP($CT105,Budget!$A:$A,Budget!BW:BW)</f>
        <v>12000</v>
      </c>
      <c r="DP105" s="106">
        <f>+_xlfn.XLOOKUP($CT105,Budget!$A:$A,Budget!BX:BX)</f>
        <v>14000</v>
      </c>
      <c r="DQ105" s="106">
        <f>+_xlfn.XLOOKUP($CT105,Budget!$A:$A,Budget!BY:BY)</f>
        <v>17000</v>
      </c>
      <c r="DR105" s="106">
        <f>+_xlfn.XLOOKUP($CT105,Budget!$A:$A,Budget!BZ:BZ)</f>
        <v>14000</v>
      </c>
      <c r="DS105" s="106">
        <f>+_xlfn.XLOOKUP($CT105,Budget!$A:$A,Budget!CA:CA)</f>
        <v>14000</v>
      </c>
      <c r="DT105" s="106">
        <f>+_xlfn.XLOOKUP($CT105,Budget!$A:$A,Budget!CB:CB)</f>
        <v>16000</v>
      </c>
      <c r="DU105" s="106">
        <f t="shared" ref="DU105:DU113" si="1269">+SUM(DI105:DT105)</f>
        <v>171000</v>
      </c>
    </row>
    <row r="106" spans="1:125" ht="14.45" hidden="1" customHeight="1" outlineLevel="1">
      <c r="A106" s="106">
        <f t="shared" si="1225"/>
        <v>615594.94333333336</v>
      </c>
      <c r="B106" s="106">
        <f t="shared" si="1226"/>
        <v>452675.48333333328</v>
      </c>
      <c r="C106" s="106">
        <f t="shared" si="1227"/>
        <v>906791.651486238</v>
      </c>
      <c r="D106" s="106">
        <f t="shared" si="1228"/>
        <v>68401.362999999998</v>
      </c>
      <c r="E106" s="106">
        <f t="shared" si="1229"/>
        <v>422771.84299999994</v>
      </c>
      <c r="F106" s="106">
        <f t="shared" si="1230"/>
        <v>443068.9433333333</v>
      </c>
      <c r="G106" s="106">
        <f t="shared" si="1231"/>
        <v>296729.38</v>
      </c>
      <c r="H106" s="106">
        <f t="shared" si="1232"/>
        <v>333729.08999999997</v>
      </c>
      <c r="I106" s="106">
        <f t="shared" si="1233"/>
        <v>379834.73</v>
      </c>
      <c r="J106" s="106">
        <f t="shared" si="1234"/>
        <v>448391.76999999996</v>
      </c>
      <c r="K106" s="106">
        <f t="shared" si="1235"/>
        <v>386243.82</v>
      </c>
      <c r="L106" s="106">
        <f t="shared" si="1236"/>
        <v>37710.820000000007</v>
      </c>
      <c r="M106" s="106">
        <f t="shared" si="1237"/>
        <v>4791943.8374862382</v>
      </c>
      <c r="N106" s="16" t="s">
        <v>86</v>
      </c>
      <c r="O106" s="106">
        <f t="shared" si="1238"/>
        <v>785005.59</v>
      </c>
      <c r="P106" s="106">
        <f t="shared" si="1239"/>
        <v>418335.61249999999</v>
      </c>
      <c r="Q106" s="106">
        <f t="shared" si="1240"/>
        <v>670832.18999999994</v>
      </c>
      <c r="R106" s="106">
        <f t="shared" si="1241"/>
        <v>380447.47</v>
      </c>
      <c r="S106" s="106">
        <f t="shared" si="1242"/>
        <v>325339.15000000002</v>
      </c>
      <c r="T106" s="106">
        <f t="shared" si="1243"/>
        <v>409654.23</v>
      </c>
      <c r="U106" s="106">
        <f t="shared" si="1244"/>
        <v>284327.64</v>
      </c>
      <c r="V106" s="106">
        <f t="shared" si="1245"/>
        <v>517968.71</v>
      </c>
      <c r="W106" s="106">
        <f t="shared" si="1246"/>
        <v>271890.15000000002</v>
      </c>
      <c r="X106" s="106">
        <f t="shared" si="1247"/>
        <v>478787.42</v>
      </c>
      <c r="Y106" s="106">
        <f t="shared" si="1248"/>
        <v>0</v>
      </c>
      <c r="Z106" s="106">
        <f t="shared" si="1249"/>
        <v>0</v>
      </c>
      <c r="AA106" s="106">
        <f t="shared" si="1250"/>
        <v>4542588.1624999996</v>
      </c>
      <c r="AB106" s="118">
        <f t="shared" si="1189"/>
        <v>0.91706674674674671</v>
      </c>
      <c r="AC106" s="106">
        <f t="shared" si="1251"/>
        <v>241425</v>
      </c>
      <c r="AD106" s="106">
        <f t="shared" si="1252"/>
        <v>241425</v>
      </c>
      <c r="AE106" s="106">
        <f t="shared" si="1253"/>
        <v>308025</v>
      </c>
      <c r="AF106" s="106">
        <f t="shared" si="1254"/>
        <v>249750</v>
      </c>
      <c r="AG106" s="106">
        <f t="shared" si="1255"/>
        <v>266400</v>
      </c>
      <c r="AH106" s="106">
        <f t="shared" si="1256"/>
        <v>233100</v>
      </c>
      <c r="AI106" s="106">
        <f t="shared" si="1257"/>
        <v>241425</v>
      </c>
      <c r="AJ106" s="106">
        <f t="shared" si="1258"/>
        <v>283050</v>
      </c>
      <c r="AK106" s="106">
        <f t="shared" si="1259"/>
        <v>283050</v>
      </c>
      <c r="AL106" s="106">
        <f t="shared" si="1260"/>
        <v>249750</v>
      </c>
      <c r="AM106" s="106">
        <f t="shared" si="1261"/>
        <v>233100</v>
      </c>
      <c r="AN106" s="106">
        <f t="shared" si="1262"/>
        <v>308025</v>
      </c>
      <c r="AO106" s="106">
        <f t="shared" si="1263"/>
        <v>3138525</v>
      </c>
      <c r="AQ106" s="106">
        <v>378626.45533333329</v>
      </c>
      <c r="AR106" s="106">
        <v>271605.28999999998</v>
      </c>
      <c r="AS106" s="106">
        <v>584074.99089174299</v>
      </c>
      <c r="AT106" s="106">
        <v>59780.817799999997</v>
      </c>
      <c r="AU106" s="106">
        <v>268863.10579999996</v>
      </c>
      <c r="AV106" s="106">
        <v>265841.36599999998</v>
      </c>
      <c r="AW106" s="106">
        <v>178037.628</v>
      </c>
      <c r="AX106" s="106">
        <v>260237.454</v>
      </c>
      <c r="AY106" s="106">
        <v>277576.038</v>
      </c>
      <c r="AZ106" s="106">
        <v>311035.06199999998</v>
      </c>
      <c r="BA106" s="106">
        <v>322146.29200000002</v>
      </c>
      <c r="BB106" s="106">
        <v>-1373.5079999999944</v>
      </c>
      <c r="BC106" s="106">
        <f t="shared" si="1264"/>
        <v>3176450.9918250763</v>
      </c>
      <c r="BD106" s="16" t="str">
        <f t="shared" si="871"/>
        <v>Digital Marketing</v>
      </c>
      <c r="BE106" s="106">
        <f>+VLOOKUP($BD106,'Jan-25'!$A:$J,2,0)</f>
        <v>513003.35399999999</v>
      </c>
      <c r="BF106" s="106">
        <f>+VLOOKUP($BD106,'Feb-25'!$A:$J,2,0)</f>
        <v>252611.36749999999</v>
      </c>
      <c r="BG106" s="106">
        <f>+VLOOKUP($BD106,'Mar-25'!$A:$J,2,0)</f>
        <v>447894.31399999995</v>
      </c>
      <c r="BH106" s="106">
        <f>+VLOOKUP($BD106,'Apr-25'!$A:$J,2,0)</f>
        <v>235478.48199999999</v>
      </c>
      <c r="BI106" s="106">
        <f>+VLOOKUP($BD106,'May-25'!$A:$J,2,0)</f>
        <v>195203.49000000002</v>
      </c>
      <c r="BJ106" s="106">
        <f>+VLOOKUP($BD106,'June-25'!$A:$J,2,0)</f>
        <v>255355.33000000002</v>
      </c>
      <c r="BK106" s="106">
        <f>+VLOOKUP($BD106,'July-25'!$A:$J,2,0)</f>
        <v>172696.584</v>
      </c>
      <c r="BL106" s="106">
        <f>+VLOOKUP($BD106,'Aug-25'!$A:$J,2,0)</f>
        <v>348955.02600000001</v>
      </c>
      <c r="BM106" s="106">
        <f>+VLOOKUP($BD106,'Sep-25'!$A:$J,2,0)</f>
        <v>178333.69</v>
      </c>
      <c r="BN106" s="106">
        <f>+VLOOKUP($BD106,'Oct-25'!$A:$J,2,0)</f>
        <v>328612.63199999998</v>
      </c>
      <c r="BO106" s="106">
        <f>+VLOOKUP($BD106,'Nov-25'!$A:$J,2,0)</f>
        <v>0</v>
      </c>
      <c r="BP106" s="106">
        <f>+VLOOKUP($BD106,'Dec-25'!$A:$J,2,0)</f>
        <v>0</v>
      </c>
      <c r="BQ106" s="106">
        <f t="shared" si="1265"/>
        <v>2928144.2695000004</v>
      </c>
      <c r="BR106" s="118">
        <f t="shared" si="1190"/>
        <v>1.4670618018018016</v>
      </c>
      <c r="BS106" s="106" cm="1">
        <f t="array" ref="BS106:CD106">+_xlfn.XLOOKUP(BD106,Budget!A:A,Budget!Q:AB)</f>
        <v>133200</v>
      </c>
      <c r="BT106" s="106">
        <v>124875</v>
      </c>
      <c r="BU106" s="106">
        <v>183150</v>
      </c>
      <c r="BV106" s="106">
        <v>124875</v>
      </c>
      <c r="BW106" s="106">
        <v>149850</v>
      </c>
      <c r="BX106" s="106">
        <v>124875</v>
      </c>
      <c r="BY106" s="106">
        <v>141525</v>
      </c>
      <c r="BZ106" s="106">
        <v>166500</v>
      </c>
      <c r="CA106" s="106">
        <v>141525</v>
      </c>
      <c r="CB106" s="106">
        <v>133200</v>
      </c>
      <c r="CC106" s="106">
        <v>116550</v>
      </c>
      <c r="CD106" s="106">
        <v>174825</v>
      </c>
      <c r="CE106" s="106">
        <f t="shared" si="1266"/>
        <v>1714950</v>
      </c>
      <c r="CF106" s="22"/>
      <c r="CG106" s="106">
        <v>236968.48800000001</v>
      </c>
      <c r="CH106" s="106">
        <v>181070.19333333333</v>
      </c>
      <c r="CI106" s="106">
        <v>322716.66059449501</v>
      </c>
      <c r="CJ106" s="106">
        <v>8620.5452000000005</v>
      </c>
      <c r="CK106" s="106">
        <v>153908.73719999997</v>
      </c>
      <c r="CL106" s="106">
        <v>177227.57733333332</v>
      </c>
      <c r="CM106" s="106">
        <v>118691.75200000001</v>
      </c>
      <c r="CN106" s="106">
        <v>73491.635999999999</v>
      </c>
      <c r="CO106" s="106">
        <v>102258.69200000001</v>
      </c>
      <c r="CP106" s="106">
        <v>137356.70799999998</v>
      </c>
      <c r="CQ106" s="106">
        <v>64097.528000000006</v>
      </c>
      <c r="CR106" s="106">
        <v>39084.328000000001</v>
      </c>
      <c r="CS106" s="106">
        <f t="shared" si="1267"/>
        <v>1615492.8456611617</v>
      </c>
      <c r="CT106" s="16" t="str">
        <f t="shared" si="875"/>
        <v>Digital Marketing</v>
      </c>
      <c r="CU106" s="106">
        <f>+VLOOKUP($BD106,'Jan-25'!$A:$J,6,0)</f>
        <v>272002.23599999998</v>
      </c>
      <c r="CV106" s="106">
        <f>+VLOOKUP($BD106,'Feb-25'!$A:$J,6,0)</f>
        <v>165724.245</v>
      </c>
      <c r="CW106" s="106">
        <f>+VLOOKUP($BD106,'Mar-25'!$A:$J,6,0)</f>
        <v>222937.87599999999</v>
      </c>
      <c r="CX106" s="106">
        <f>+VLOOKUP($BD106,'Apr-25'!$A:$J,6,0)</f>
        <v>144968.98800000001</v>
      </c>
      <c r="CY106" s="106">
        <f>+VLOOKUP($BD106,'May-25'!$A:$J,6,0)</f>
        <v>130135.66000000002</v>
      </c>
      <c r="CZ106" s="106">
        <f>+VLOOKUP($BD106,'June-25'!$A:$J,6,0)</f>
        <v>154298.9</v>
      </c>
      <c r="DA106" s="106">
        <f>+VLOOKUP($BD106,'July-25'!$A:$J,6,0)</f>
        <v>111631.05600000001</v>
      </c>
      <c r="DB106" s="106">
        <f>+VLOOKUP($BD106,'Aug-25'!$A:$J,6,0)</f>
        <v>169013.68400000001</v>
      </c>
      <c r="DC106" s="106">
        <f>+VLOOKUP($BD106,'Sep-25'!$A:$J,6,0)</f>
        <v>93556.46</v>
      </c>
      <c r="DD106" s="106">
        <f>+VLOOKUP($BD106,'Oct-25'!$A:$J,6,0)</f>
        <v>150174.788</v>
      </c>
      <c r="DE106" s="106">
        <f>+VLOOKUP($BD106,'Nov-25'!$A:$J,6,0)</f>
        <v>0</v>
      </c>
      <c r="DF106" s="106">
        <f>+VLOOKUP($BD106,'Dec-25'!$A:$J,6,0)</f>
        <v>0</v>
      </c>
      <c r="DG106" s="106">
        <f t="shared" si="1268"/>
        <v>1614443.8929999999</v>
      </c>
      <c r="DH106" s="118">
        <f t="shared" si="1191"/>
        <v>0.28850096954096954</v>
      </c>
      <c r="DI106" s="106">
        <f>+_xlfn.XLOOKUP($CT106,Budget!$A:$A,Budget!BQ:BQ)</f>
        <v>108225</v>
      </c>
      <c r="DJ106" s="106">
        <f>+_xlfn.XLOOKUP($CT106,Budget!$A:$A,Budget!BR:BR)</f>
        <v>116550</v>
      </c>
      <c r="DK106" s="106">
        <f>+_xlfn.XLOOKUP($CT106,Budget!$A:$A,Budget!BS:BS)</f>
        <v>124875</v>
      </c>
      <c r="DL106" s="106">
        <f>+_xlfn.XLOOKUP($CT106,Budget!$A:$A,Budget!BT:BT)</f>
        <v>124875</v>
      </c>
      <c r="DM106" s="106">
        <f>+_xlfn.XLOOKUP($CT106,Budget!$A:$A,Budget!BU:BU)</f>
        <v>116550</v>
      </c>
      <c r="DN106" s="106">
        <f>+_xlfn.XLOOKUP($CT106,Budget!$A:$A,Budget!BV:BV)</f>
        <v>108225</v>
      </c>
      <c r="DO106" s="106">
        <f>+_xlfn.XLOOKUP($CT106,Budget!$A:$A,Budget!BW:BW)</f>
        <v>99900</v>
      </c>
      <c r="DP106" s="106">
        <f>+_xlfn.XLOOKUP($CT106,Budget!$A:$A,Budget!BX:BX)</f>
        <v>116550</v>
      </c>
      <c r="DQ106" s="106">
        <f>+_xlfn.XLOOKUP($CT106,Budget!$A:$A,Budget!BY:BY)</f>
        <v>141525</v>
      </c>
      <c r="DR106" s="106">
        <f>+_xlfn.XLOOKUP($CT106,Budget!$A:$A,Budget!BZ:BZ)</f>
        <v>116550</v>
      </c>
      <c r="DS106" s="106">
        <f>+_xlfn.XLOOKUP($CT106,Budget!$A:$A,Budget!CA:CA)</f>
        <v>116550</v>
      </c>
      <c r="DT106" s="106">
        <f>+_xlfn.XLOOKUP($CT106,Budget!$A:$A,Budget!CB:CB)</f>
        <v>133200</v>
      </c>
      <c r="DU106" s="106">
        <f t="shared" si="1269"/>
        <v>1423575</v>
      </c>
    </row>
    <row r="107" spans="1:125" ht="14.45" hidden="1" customHeight="1" outlineLevel="1">
      <c r="A107" s="106">
        <f t="shared" si="1225"/>
        <v>0</v>
      </c>
      <c r="B107" s="106">
        <f t="shared" si="1226"/>
        <v>0</v>
      </c>
      <c r="C107" s="106">
        <f t="shared" si="1227"/>
        <v>0</v>
      </c>
      <c r="D107" s="106">
        <f t="shared" si="1228"/>
        <v>0</v>
      </c>
      <c r="E107" s="106">
        <f t="shared" si="1229"/>
        <v>0</v>
      </c>
      <c r="F107" s="106">
        <f t="shared" si="1230"/>
        <v>0</v>
      </c>
      <c r="G107" s="106">
        <f t="shared" si="1231"/>
        <v>0</v>
      </c>
      <c r="H107" s="106">
        <f t="shared" si="1232"/>
        <v>0</v>
      </c>
      <c r="I107" s="106">
        <f t="shared" si="1233"/>
        <v>0</v>
      </c>
      <c r="J107" s="106">
        <f t="shared" si="1234"/>
        <v>0</v>
      </c>
      <c r="K107" s="106">
        <f t="shared" si="1235"/>
        <v>0</v>
      </c>
      <c r="L107" s="106">
        <f t="shared" si="1236"/>
        <v>0</v>
      </c>
      <c r="M107" s="106">
        <f t="shared" si="1237"/>
        <v>0</v>
      </c>
      <c r="N107" s="16" t="s">
        <v>87</v>
      </c>
      <c r="O107" s="106">
        <f t="shared" si="1238"/>
        <v>0</v>
      </c>
      <c r="P107" s="106">
        <f t="shared" si="1239"/>
        <v>0</v>
      </c>
      <c r="Q107" s="106">
        <f t="shared" si="1240"/>
        <v>0</v>
      </c>
      <c r="R107" s="106">
        <f t="shared" si="1241"/>
        <v>0</v>
      </c>
      <c r="S107" s="106">
        <f t="shared" si="1242"/>
        <v>0</v>
      </c>
      <c r="T107" s="106">
        <f t="shared" si="1243"/>
        <v>0</v>
      </c>
      <c r="U107" s="106">
        <f t="shared" si="1244"/>
        <v>0</v>
      </c>
      <c r="V107" s="106">
        <f t="shared" si="1245"/>
        <v>0</v>
      </c>
      <c r="W107" s="106">
        <f t="shared" si="1246"/>
        <v>0</v>
      </c>
      <c r="X107" s="106">
        <f t="shared" si="1247"/>
        <v>0</v>
      </c>
      <c r="Y107" s="106">
        <f t="shared" si="1248"/>
        <v>0</v>
      </c>
      <c r="Z107" s="106">
        <f t="shared" si="1249"/>
        <v>0</v>
      </c>
      <c r="AA107" s="106">
        <f t="shared" si="1250"/>
        <v>0</v>
      </c>
      <c r="AB107" s="118">
        <f t="shared" si="1189"/>
        <v>-1</v>
      </c>
      <c r="AC107" s="106">
        <f t="shared" si="1251"/>
        <v>96570</v>
      </c>
      <c r="AD107" s="106">
        <f t="shared" si="1252"/>
        <v>96570</v>
      </c>
      <c r="AE107" s="106">
        <f t="shared" si="1253"/>
        <v>123210</v>
      </c>
      <c r="AF107" s="106">
        <f t="shared" si="1254"/>
        <v>99900</v>
      </c>
      <c r="AG107" s="106">
        <f t="shared" si="1255"/>
        <v>106560</v>
      </c>
      <c r="AH107" s="106">
        <f t="shared" si="1256"/>
        <v>93240</v>
      </c>
      <c r="AI107" s="106">
        <f t="shared" si="1257"/>
        <v>96570</v>
      </c>
      <c r="AJ107" s="106">
        <f t="shared" si="1258"/>
        <v>113220</v>
      </c>
      <c r="AK107" s="106">
        <f t="shared" si="1259"/>
        <v>113220</v>
      </c>
      <c r="AL107" s="106">
        <f t="shared" si="1260"/>
        <v>99900</v>
      </c>
      <c r="AM107" s="106">
        <f t="shared" si="1261"/>
        <v>93240</v>
      </c>
      <c r="AN107" s="106">
        <f t="shared" si="1262"/>
        <v>123210</v>
      </c>
      <c r="AO107" s="106">
        <f t="shared" si="1263"/>
        <v>1255410</v>
      </c>
      <c r="AQ107" s="106">
        <v>0</v>
      </c>
      <c r="AR107" s="106">
        <v>0</v>
      </c>
      <c r="AS107" s="106">
        <v>0</v>
      </c>
      <c r="AT107" s="106">
        <v>0</v>
      </c>
      <c r="AU107" s="106">
        <v>0</v>
      </c>
      <c r="AV107" s="106">
        <v>0</v>
      </c>
      <c r="AW107" s="106">
        <v>0</v>
      </c>
      <c r="AX107" s="106">
        <v>0</v>
      </c>
      <c r="AY107" s="106">
        <v>0</v>
      </c>
      <c r="AZ107" s="106">
        <v>0</v>
      </c>
      <c r="BA107" s="106">
        <v>0</v>
      </c>
      <c r="BB107" s="106">
        <v>0</v>
      </c>
      <c r="BC107" s="106">
        <f t="shared" si="1264"/>
        <v>0</v>
      </c>
      <c r="BD107" s="16" t="str">
        <f t="shared" si="871"/>
        <v>Flexi Kit</v>
      </c>
      <c r="BE107" s="106">
        <f>+VLOOKUP($BD107,'Jan-25'!$A:$J,2,0)</f>
        <v>0</v>
      </c>
      <c r="BF107" s="106">
        <f>+VLOOKUP($BD107,'Feb-25'!$A:$J,2,0)</f>
        <v>0</v>
      </c>
      <c r="BG107" s="106">
        <f>+VLOOKUP($BD107,'Mar-25'!$A:$J,2,0)</f>
        <v>0</v>
      </c>
      <c r="BH107" s="106">
        <f>+VLOOKUP($BD107,'Apr-25'!$A:$J,2,0)</f>
        <v>0</v>
      </c>
      <c r="BI107" s="106">
        <f>+VLOOKUP($BD107,'May-25'!$A:$J,2,0)</f>
        <v>0</v>
      </c>
      <c r="BJ107" s="106">
        <f>+VLOOKUP($BD107,'June-25'!$A:$J,2,0)</f>
        <v>0</v>
      </c>
      <c r="BK107" s="106">
        <f>+VLOOKUP($BD107,'July-25'!$A:$J,2,0)</f>
        <v>0</v>
      </c>
      <c r="BL107" s="106">
        <f>+VLOOKUP($BD107,'Aug-25'!$A:$J,2,0)</f>
        <v>0</v>
      </c>
      <c r="BM107" s="106">
        <f>+VLOOKUP($BD107,'Sep-25'!$A:$J,2,0)</f>
        <v>0</v>
      </c>
      <c r="BN107" s="106">
        <f>+VLOOKUP($BD107,'Oct-25'!$A:$J,2,0)</f>
        <v>0</v>
      </c>
      <c r="BO107" s="106">
        <f>+VLOOKUP($BD107,'Nov-25'!$A:$J,2,0)</f>
        <v>0</v>
      </c>
      <c r="BP107" s="106">
        <f>+VLOOKUP($BD107,'Dec-25'!$A:$J,2,0)</f>
        <v>0</v>
      </c>
      <c r="BQ107" s="106">
        <f t="shared" si="1265"/>
        <v>0</v>
      </c>
      <c r="BR107" s="118">
        <f t="shared" si="1190"/>
        <v>-1</v>
      </c>
      <c r="BS107" s="106" cm="1">
        <f t="array" ref="BS107:CD107">+_xlfn.XLOOKUP(BD107,Budget!A:A,Budget!Q:AB)</f>
        <v>53280</v>
      </c>
      <c r="BT107" s="106">
        <v>49950</v>
      </c>
      <c r="BU107" s="106">
        <v>73260</v>
      </c>
      <c r="BV107" s="106">
        <v>49950</v>
      </c>
      <c r="BW107" s="106">
        <v>59940</v>
      </c>
      <c r="BX107" s="106">
        <v>49950</v>
      </c>
      <c r="BY107" s="106">
        <v>56610</v>
      </c>
      <c r="BZ107" s="106">
        <v>66600</v>
      </c>
      <c r="CA107" s="106">
        <v>56610</v>
      </c>
      <c r="CB107" s="106">
        <v>53280</v>
      </c>
      <c r="CC107" s="106">
        <v>46620</v>
      </c>
      <c r="CD107" s="106">
        <v>69930</v>
      </c>
      <c r="CE107" s="106">
        <f t="shared" si="1266"/>
        <v>685980</v>
      </c>
      <c r="CF107" s="22"/>
      <c r="CG107" s="106">
        <v>0</v>
      </c>
      <c r="CH107" s="106">
        <v>0</v>
      </c>
      <c r="CI107" s="106">
        <v>0</v>
      </c>
      <c r="CJ107" s="106">
        <v>0</v>
      </c>
      <c r="CK107" s="106">
        <v>0</v>
      </c>
      <c r="CL107" s="106">
        <v>0</v>
      </c>
      <c r="CM107" s="106">
        <v>0</v>
      </c>
      <c r="CN107" s="106">
        <v>0</v>
      </c>
      <c r="CO107" s="106">
        <v>0</v>
      </c>
      <c r="CP107" s="106">
        <v>0</v>
      </c>
      <c r="CQ107" s="106">
        <v>0</v>
      </c>
      <c r="CR107" s="106">
        <v>0</v>
      </c>
      <c r="CS107" s="106">
        <f t="shared" si="1267"/>
        <v>0</v>
      </c>
      <c r="CT107" s="16" t="str">
        <f t="shared" si="875"/>
        <v>Flexi Kit</v>
      </c>
      <c r="CU107" s="106">
        <f>+VLOOKUP($BD107,'Jan-25'!$A:$J,6,0)</f>
        <v>0</v>
      </c>
      <c r="CV107" s="106">
        <f>+VLOOKUP($BD107,'Feb-25'!$A:$J,6,0)</f>
        <v>0</v>
      </c>
      <c r="CW107" s="106">
        <f>+VLOOKUP($BD107,'Mar-25'!$A:$J,6,0)</f>
        <v>0</v>
      </c>
      <c r="CX107" s="106">
        <f>+VLOOKUP($BD107,'Apr-25'!$A:$J,6,0)</f>
        <v>0</v>
      </c>
      <c r="CY107" s="106">
        <f>+VLOOKUP($BD107,'May-25'!$A:$J,6,0)</f>
        <v>0</v>
      </c>
      <c r="CZ107" s="106">
        <f>+VLOOKUP($BD107,'June-25'!$A:$J,6,0)</f>
        <v>0</v>
      </c>
      <c r="DA107" s="106">
        <f>+VLOOKUP($BD107,'July-25'!$A:$J,6,0)</f>
        <v>0</v>
      </c>
      <c r="DB107" s="106">
        <f>+VLOOKUP($BD107,'Aug-25'!$A:$J,6,0)</f>
        <v>0</v>
      </c>
      <c r="DC107" s="106">
        <f>+VLOOKUP($BD107,'Sep-25'!$A:$J,6,0)</f>
        <v>0</v>
      </c>
      <c r="DD107" s="106">
        <f>+VLOOKUP($BD107,'Oct-25'!$A:$J,6,0)</f>
        <v>0</v>
      </c>
      <c r="DE107" s="106">
        <f>+VLOOKUP($BD107,'Nov-25'!$A:$J,6,0)</f>
        <v>0</v>
      </c>
      <c r="DF107" s="106">
        <f>+VLOOKUP($BD107,'Dec-25'!$A:$J,6,0)</f>
        <v>0</v>
      </c>
      <c r="DG107" s="106">
        <f t="shared" si="1268"/>
        <v>0</v>
      </c>
      <c r="DH107" s="118">
        <f t="shared" si="1191"/>
        <v>-1</v>
      </c>
      <c r="DI107" s="106">
        <f>+_xlfn.XLOOKUP($CT107,Budget!$A:$A,Budget!BQ:BQ)</f>
        <v>43290</v>
      </c>
      <c r="DJ107" s="106">
        <f>+_xlfn.XLOOKUP($CT107,Budget!$A:$A,Budget!BR:BR)</f>
        <v>46620</v>
      </c>
      <c r="DK107" s="106">
        <f>+_xlfn.XLOOKUP($CT107,Budget!$A:$A,Budget!BS:BS)</f>
        <v>49950</v>
      </c>
      <c r="DL107" s="106">
        <f>+_xlfn.XLOOKUP($CT107,Budget!$A:$A,Budget!BT:BT)</f>
        <v>49950</v>
      </c>
      <c r="DM107" s="106">
        <f>+_xlfn.XLOOKUP($CT107,Budget!$A:$A,Budget!BU:BU)</f>
        <v>46620</v>
      </c>
      <c r="DN107" s="106">
        <f>+_xlfn.XLOOKUP($CT107,Budget!$A:$A,Budget!BV:BV)</f>
        <v>43290</v>
      </c>
      <c r="DO107" s="106">
        <f>+_xlfn.XLOOKUP($CT107,Budget!$A:$A,Budget!BW:BW)</f>
        <v>39960</v>
      </c>
      <c r="DP107" s="106">
        <f>+_xlfn.XLOOKUP($CT107,Budget!$A:$A,Budget!BX:BX)</f>
        <v>46620</v>
      </c>
      <c r="DQ107" s="106">
        <f>+_xlfn.XLOOKUP($CT107,Budget!$A:$A,Budget!BY:BY)</f>
        <v>56610</v>
      </c>
      <c r="DR107" s="106">
        <f>+_xlfn.XLOOKUP($CT107,Budget!$A:$A,Budget!BZ:BZ)</f>
        <v>46620</v>
      </c>
      <c r="DS107" s="106">
        <f>+_xlfn.XLOOKUP($CT107,Budget!$A:$A,Budget!CA:CA)</f>
        <v>46620</v>
      </c>
      <c r="DT107" s="106">
        <f>+_xlfn.XLOOKUP($CT107,Budget!$A:$A,Budget!CB:CB)</f>
        <v>53280</v>
      </c>
      <c r="DU107" s="106">
        <f t="shared" si="1269"/>
        <v>569430</v>
      </c>
    </row>
    <row r="108" spans="1:125" ht="14.45" hidden="1" customHeight="1" outlineLevel="1">
      <c r="A108" s="106">
        <f t="shared" si="1225"/>
        <v>261500</v>
      </c>
      <c r="B108" s="106">
        <f t="shared" si="1226"/>
        <v>446260</v>
      </c>
      <c r="C108" s="106">
        <f t="shared" si="1227"/>
        <v>1079663</v>
      </c>
      <c r="D108" s="106">
        <f t="shared" si="1228"/>
        <v>442500</v>
      </c>
      <c r="E108" s="106">
        <f t="shared" si="1229"/>
        <v>291068</v>
      </c>
      <c r="F108" s="106">
        <f t="shared" si="1230"/>
        <v>764665</v>
      </c>
      <c r="G108" s="106">
        <f t="shared" si="1231"/>
        <v>636864</v>
      </c>
      <c r="H108" s="106">
        <f t="shared" si="1232"/>
        <v>110000</v>
      </c>
      <c r="I108" s="106">
        <f t="shared" si="1233"/>
        <v>940053</v>
      </c>
      <c r="J108" s="106">
        <f t="shared" si="1234"/>
        <v>794722</v>
      </c>
      <c r="K108" s="106">
        <f t="shared" si="1235"/>
        <v>110000</v>
      </c>
      <c r="L108" s="106">
        <f t="shared" si="1236"/>
        <v>904336</v>
      </c>
      <c r="M108" s="106">
        <f t="shared" si="1237"/>
        <v>6781631</v>
      </c>
      <c r="N108" s="16" t="s">
        <v>88</v>
      </c>
      <c r="O108" s="106">
        <f t="shared" si="1238"/>
        <v>362368.01</v>
      </c>
      <c r="P108" s="106">
        <f t="shared" si="1239"/>
        <v>111095.99999999999</v>
      </c>
      <c r="Q108" s="106">
        <f t="shared" si="1240"/>
        <v>58060.194000000003</v>
      </c>
      <c r="R108" s="106">
        <f t="shared" si="1241"/>
        <v>228750</v>
      </c>
      <c r="S108" s="106">
        <f t="shared" si="1242"/>
        <v>228750</v>
      </c>
      <c r="T108" s="106">
        <f t="shared" si="1243"/>
        <v>228750</v>
      </c>
      <c r="U108" s="106">
        <f t="shared" si="1244"/>
        <v>444059</v>
      </c>
      <c r="V108" s="106">
        <f t="shared" si="1245"/>
        <v>387895</v>
      </c>
      <c r="W108" s="106">
        <f t="shared" si="1246"/>
        <v>812351</v>
      </c>
      <c r="X108" s="106">
        <f t="shared" si="1247"/>
        <v>444400</v>
      </c>
      <c r="Y108" s="106">
        <f t="shared" si="1248"/>
        <v>0</v>
      </c>
      <c r="Z108" s="106">
        <f t="shared" si="1249"/>
        <v>0</v>
      </c>
      <c r="AA108" s="106">
        <f t="shared" si="1250"/>
        <v>3306479.2039999999</v>
      </c>
      <c r="AB108" s="118">
        <f t="shared" si="1189"/>
        <v>0.27098527098527098</v>
      </c>
      <c r="AC108" s="106">
        <f t="shared" si="1251"/>
        <v>337995</v>
      </c>
      <c r="AD108" s="106">
        <f t="shared" si="1252"/>
        <v>337995</v>
      </c>
      <c r="AE108" s="106">
        <f t="shared" si="1253"/>
        <v>431235</v>
      </c>
      <c r="AF108" s="106">
        <f t="shared" si="1254"/>
        <v>349650</v>
      </c>
      <c r="AG108" s="106">
        <f t="shared" si="1255"/>
        <v>372960</v>
      </c>
      <c r="AH108" s="106">
        <f t="shared" si="1256"/>
        <v>326340</v>
      </c>
      <c r="AI108" s="106">
        <f t="shared" si="1257"/>
        <v>337995</v>
      </c>
      <c r="AJ108" s="106">
        <f t="shared" si="1258"/>
        <v>396270</v>
      </c>
      <c r="AK108" s="106">
        <f t="shared" si="1259"/>
        <v>396270</v>
      </c>
      <c r="AL108" s="106">
        <f t="shared" si="1260"/>
        <v>349650</v>
      </c>
      <c r="AM108" s="106">
        <f t="shared" si="1261"/>
        <v>326340</v>
      </c>
      <c r="AN108" s="106">
        <f t="shared" si="1262"/>
        <v>431235</v>
      </c>
      <c r="AO108" s="106">
        <f t="shared" si="1263"/>
        <v>4393935</v>
      </c>
      <c r="AQ108" s="106">
        <v>82500</v>
      </c>
      <c r="AR108" s="106">
        <v>336260</v>
      </c>
      <c r="AS108" s="106">
        <v>668163</v>
      </c>
      <c r="AT108" s="106">
        <v>332500</v>
      </c>
      <c r="AU108" s="106">
        <v>184004</v>
      </c>
      <c r="AV108" s="106">
        <v>458799</v>
      </c>
      <c r="AW108" s="106">
        <v>382118.39999999997</v>
      </c>
      <c r="AX108" s="106">
        <v>66000</v>
      </c>
      <c r="AY108" s="106">
        <v>747553</v>
      </c>
      <c r="AZ108" s="106">
        <v>476833.19999999995</v>
      </c>
      <c r="BA108" s="106">
        <v>66000</v>
      </c>
      <c r="BB108" s="106">
        <v>542601.6</v>
      </c>
      <c r="BC108" s="106">
        <f t="shared" si="1264"/>
        <v>4343332.1999999993</v>
      </c>
      <c r="BD108" s="16" t="str">
        <f t="shared" si="871"/>
        <v>print Advertisement</v>
      </c>
      <c r="BE108" s="106">
        <f>+VLOOKUP($BD108,'Jan-25'!$A:$J,2,0)</f>
        <v>217420.80600000001</v>
      </c>
      <c r="BF108" s="106">
        <f>+VLOOKUP($BD108,'Feb-25'!$A:$J,2,0)</f>
        <v>66657.599999999991</v>
      </c>
      <c r="BG108" s="106">
        <f>+VLOOKUP($BD108,'Mar-25'!$A:$J,2,0)</f>
        <v>34836.116399999999</v>
      </c>
      <c r="BH108" s="106">
        <f>+VLOOKUP($BD108,'Apr-25'!$A:$J,2,0)</f>
        <v>137250</v>
      </c>
      <c r="BI108" s="106">
        <f>+VLOOKUP($BD108,'May-25'!$A:$J,2,0)</f>
        <v>137250</v>
      </c>
      <c r="BJ108" s="106">
        <f>+VLOOKUP($BD108,'June-25'!$A:$J,2,0)</f>
        <v>0</v>
      </c>
      <c r="BK108" s="106">
        <f>+VLOOKUP($BD108,'July-25'!$A:$J,2,0)</f>
        <v>220809</v>
      </c>
      <c r="BL108" s="106">
        <f>+VLOOKUP($BD108,'Aug-25'!$A:$J,2,0)</f>
        <v>0</v>
      </c>
      <c r="BM108" s="106">
        <f>+VLOOKUP($BD108,'Sep-25'!$A:$J,2,0)</f>
        <v>536577</v>
      </c>
      <c r="BN108" s="106">
        <f>+VLOOKUP($BD108,'Oct-25'!$A:$J,2,0)</f>
        <v>161400</v>
      </c>
      <c r="BO108" s="106">
        <f>+VLOOKUP($BD108,'Nov-25'!$A:$J,2,0)</f>
        <v>0</v>
      </c>
      <c r="BP108" s="106">
        <f>+VLOOKUP($BD108,'Dec-25'!$A:$J,2,0)</f>
        <v>0</v>
      </c>
      <c r="BQ108" s="106">
        <f t="shared" si="1265"/>
        <v>1512200.5224000001</v>
      </c>
      <c r="BR108" s="118">
        <f t="shared" si="1190"/>
        <v>-0.13449163449163448</v>
      </c>
      <c r="BS108" s="106" cm="1">
        <f t="array" ref="BS108:CD108">+_xlfn.XLOOKUP(BD108,Budget!A:A,Budget!Q:AB)</f>
        <v>186480</v>
      </c>
      <c r="BT108" s="106">
        <v>174825</v>
      </c>
      <c r="BU108" s="106">
        <v>256409.99999999997</v>
      </c>
      <c r="BV108" s="106">
        <v>174825</v>
      </c>
      <c r="BW108" s="106">
        <v>209790</v>
      </c>
      <c r="BX108" s="106">
        <v>174825</v>
      </c>
      <c r="BY108" s="106">
        <v>198135</v>
      </c>
      <c r="BZ108" s="106">
        <v>233099.99999999997</v>
      </c>
      <c r="CA108" s="106">
        <v>198135</v>
      </c>
      <c r="CB108" s="106">
        <v>186480</v>
      </c>
      <c r="CC108" s="106">
        <v>163170</v>
      </c>
      <c r="CD108" s="106">
        <v>244754.99999999997</v>
      </c>
      <c r="CE108" s="106">
        <f t="shared" si="1266"/>
        <v>2400930</v>
      </c>
      <c r="CF108" s="22"/>
      <c r="CG108" s="106">
        <v>179000</v>
      </c>
      <c r="CH108" s="106">
        <v>110000</v>
      </c>
      <c r="CI108" s="106">
        <v>411500</v>
      </c>
      <c r="CJ108" s="106">
        <v>110000</v>
      </c>
      <c r="CK108" s="106">
        <v>107064</v>
      </c>
      <c r="CL108" s="106">
        <v>305866</v>
      </c>
      <c r="CM108" s="106">
        <v>254745.60000000001</v>
      </c>
      <c r="CN108" s="106">
        <v>44000</v>
      </c>
      <c r="CO108" s="106">
        <v>192500</v>
      </c>
      <c r="CP108" s="106">
        <v>317888.80000000005</v>
      </c>
      <c r="CQ108" s="106">
        <v>44000</v>
      </c>
      <c r="CR108" s="106">
        <v>361734.40000000002</v>
      </c>
      <c r="CS108" s="106">
        <f t="shared" si="1267"/>
        <v>2438298.8000000003</v>
      </c>
      <c r="CT108" s="16" t="str">
        <f t="shared" si="875"/>
        <v>print Advertisement</v>
      </c>
      <c r="CU108" s="106">
        <f>+VLOOKUP($BD108,'Jan-25'!$A:$J,6,0)</f>
        <v>144947.204</v>
      </c>
      <c r="CV108" s="106">
        <f>+VLOOKUP($BD108,'Feb-25'!$A:$J,6,0)</f>
        <v>44438.399999999994</v>
      </c>
      <c r="CW108" s="106">
        <f>+VLOOKUP($BD108,'Mar-25'!$A:$J,6,0)</f>
        <v>23224.077600000004</v>
      </c>
      <c r="CX108" s="106">
        <f>+VLOOKUP($BD108,'Apr-25'!$A:$J,6,0)</f>
        <v>91500</v>
      </c>
      <c r="CY108" s="106">
        <f>+VLOOKUP($BD108,'May-25'!$A:$J,6,0)</f>
        <v>91500</v>
      </c>
      <c r="CZ108" s="106">
        <f>+VLOOKUP($BD108,'June-25'!$A:$J,6,0)</f>
        <v>228750</v>
      </c>
      <c r="DA108" s="106">
        <f>+VLOOKUP($BD108,'July-25'!$A:$J,6,0)</f>
        <v>223250</v>
      </c>
      <c r="DB108" s="106">
        <f>+VLOOKUP($BD108,'Aug-25'!$A:$J,6,0)</f>
        <v>387895</v>
      </c>
      <c r="DC108" s="106">
        <f>+VLOOKUP($BD108,'Sep-25'!$A:$J,6,0)</f>
        <v>275774</v>
      </c>
      <c r="DD108" s="106">
        <f>+VLOOKUP($BD108,'Oct-25'!$A:$J,6,0)</f>
        <v>283000</v>
      </c>
      <c r="DE108" s="106">
        <f>+VLOOKUP($BD108,'Nov-25'!$A:$J,6,0)</f>
        <v>0</v>
      </c>
      <c r="DF108" s="106">
        <f>+VLOOKUP($BD108,'Dec-25'!$A:$J,6,0)</f>
        <v>0</v>
      </c>
      <c r="DG108" s="106">
        <f t="shared" si="1268"/>
        <v>1794278.6816</v>
      </c>
      <c r="DH108" s="118">
        <f t="shared" si="1191"/>
        <v>0.73438744867316297</v>
      </c>
      <c r="DI108" s="106">
        <f>+_xlfn.XLOOKUP($CT108,Budget!$A:$A,Budget!BQ:BQ)</f>
        <v>151515</v>
      </c>
      <c r="DJ108" s="106">
        <f>+_xlfn.XLOOKUP($CT108,Budget!$A:$A,Budget!BR:BR)</f>
        <v>163170</v>
      </c>
      <c r="DK108" s="106">
        <f>+_xlfn.XLOOKUP($CT108,Budget!$A:$A,Budget!BS:BS)</f>
        <v>174825</v>
      </c>
      <c r="DL108" s="106">
        <f>+_xlfn.XLOOKUP($CT108,Budget!$A:$A,Budget!BT:BT)</f>
        <v>174825</v>
      </c>
      <c r="DM108" s="106">
        <f>+_xlfn.XLOOKUP($CT108,Budget!$A:$A,Budget!BU:BU)</f>
        <v>163170</v>
      </c>
      <c r="DN108" s="106">
        <f>+_xlfn.XLOOKUP($CT108,Budget!$A:$A,Budget!BV:BV)</f>
        <v>151515</v>
      </c>
      <c r="DO108" s="106">
        <f>+_xlfn.XLOOKUP($CT108,Budget!$A:$A,Budget!BW:BW)</f>
        <v>139860</v>
      </c>
      <c r="DP108" s="106">
        <f>+_xlfn.XLOOKUP($CT108,Budget!$A:$A,Budget!BX:BX)</f>
        <v>163170</v>
      </c>
      <c r="DQ108" s="106">
        <f>+_xlfn.XLOOKUP($CT108,Budget!$A:$A,Budget!BY:BY)</f>
        <v>198135</v>
      </c>
      <c r="DR108" s="106">
        <f>+_xlfn.XLOOKUP($CT108,Budget!$A:$A,Budget!BZ:BZ)</f>
        <v>163170</v>
      </c>
      <c r="DS108" s="106">
        <f>+_xlfn.XLOOKUP($CT108,Budget!$A:$A,Budget!CA:CA)</f>
        <v>163170</v>
      </c>
      <c r="DT108" s="106">
        <f>+_xlfn.XLOOKUP($CT108,Budget!$A:$A,Budget!CB:CB)</f>
        <v>186480</v>
      </c>
      <c r="DU108" s="106">
        <f t="shared" si="1269"/>
        <v>1993005</v>
      </c>
    </row>
    <row r="109" spans="1:125" ht="14.45" hidden="1" customHeight="1" outlineLevel="1">
      <c r="A109" s="106">
        <f t="shared" si="1225"/>
        <v>34400</v>
      </c>
      <c r="B109" s="106">
        <f t="shared" si="1226"/>
        <v>15230</v>
      </c>
      <c r="C109" s="106">
        <f t="shared" si="1227"/>
        <v>94950</v>
      </c>
      <c r="D109" s="106">
        <f t="shared" si="1228"/>
        <v>21400</v>
      </c>
      <c r="E109" s="106">
        <f t="shared" si="1229"/>
        <v>47447.25</v>
      </c>
      <c r="F109" s="106">
        <f t="shared" si="1230"/>
        <v>38568.78</v>
      </c>
      <c r="G109" s="106">
        <f t="shared" si="1231"/>
        <v>23820</v>
      </c>
      <c r="H109" s="106">
        <f t="shared" si="1232"/>
        <v>22800</v>
      </c>
      <c r="I109" s="106">
        <f t="shared" si="1233"/>
        <v>7900</v>
      </c>
      <c r="J109" s="106">
        <f t="shared" si="1234"/>
        <v>32610</v>
      </c>
      <c r="K109" s="106">
        <f t="shared" si="1235"/>
        <v>65524.599999999991</v>
      </c>
      <c r="L109" s="106">
        <f t="shared" si="1236"/>
        <v>23610</v>
      </c>
      <c r="M109" s="106">
        <f t="shared" si="1237"/>
        <v>428260.63</v>
      </c>
      <c r="N109" s="16" t="s">
        <v>89</v>
      </c>
      <c r="O109" s="106">
        <f t="shared" si="1238"/>
        <v>22800</v>
      </c>
      <c r="P109" s="106">
        <f t="shared" si="1239"/>
        <v>21246</v>
      </c>
      <c r="Q109" s="106">
        <f t="shared" si="1240"/>
        <v>9130</v>
      </c>
      <c r="R109" s="106">
        <f t="shared" si="1241"/>
        <v>5800</v>
      </c>
      <c r="S109" s="106">
        <f t="shared" si="1242"/>
        <v>17300</v>
      </c>
      <c r="T109" s="106">
        <f t="shared" si="1243"/>
        <v>28800</v>
      </c>
      <c r="U109" s="106">
        <f t="shared" si="1244"/>
        <v>137530</v>
      </c>
      <c r="V109" s="106">
        <f t="shared" si="1245"/>
        <v>41681.75</v>
      </c>
      <c r="W109" s="106">
        <f t="shared" si="1246"/>
        <v>121505</v>
      </c>
      <c r="X109" s="106">
        <f t="shared" si="1247"/>
        <v>17250</v>
      </c>
      <c r="Y109" s="106">
        <f t="shared" si="1248"/>
        <v>0</v>
      </c>
      <c r="Z109" s="106">
        <f t="shared" si="1249"/>
        <v>0</v>
      </c>
      <c r="AA109" s="106">
        <f t="shared" si="1250"/>
        <v>423042.75</v>
      </c>
      <c r="AB109" s="118">
        <f t="shared" si="1189"/>
        <v>0</v>
      </c>
      <c r="AC109" s="106">
        <f t="shared" si="1251"/>
        <v>0</v>
      </c>
      <c r="AD109" s="106">
        <f t="shared" si="1252"/>
        <v>0</v>
      </c>
      <c r="AE109" s="106">
        <f t="shared" si="1253"/>
        <v>0</v>
      </c>
      <c r="AF109" s="106">
        <f t="shared" si="1254"/>
        <v>0</v>
      </c>
      <c r="AG109" s="106">
        <f t="shared" si="1255"/>
        <v>0</v>
      </c>
      <c r="AH109" s="106">
        <f t="shared" si="1256"/>
        <v>0</v>
      </c>
      <c r="AI109" s="106">
        <f t="shared" si="1257"/>
        <v>0</v>
      </c>
      <c r="AJ109" s="106">
        <f t="shared" si="1258"/>
        <v>0</v>
      </c>
      <c r="AK109" s="106">
        <f t="shared" si="1259"/>
        <v>0</v>
      </c>
      <c r="AL109" s="106">
        <f t="shared" si="1260"/>
        <v>0</v>
      </c>
      <c r="AM109" s="106">
        <f t="shared" si="1261"/>
        <v>0</v>
      </c>
      <c r="AN109" s="106">
        <f t="shared" si="1262"/>
        <v>0</v>
      </c>
      <c r="AO109" s="106">
        <f t="shared" si="1263"/>
        <v>0</v>
      </c>
      <c r="AQ109" s="106">
        <v>34400</v>
      </c>
      <c r="AR109" s="106">
        <v>15230</v>
      </c>
      <c r="AS109" s="106">
        <v>94950</v>
      </c>
      <c r="AT109" s="106">
        <v>21400</v>
      </c>
      <c r="AU109" s="106">
        <v>41758.35</v>
      </c>
      <c r="AV109" s="106">
        <v>38568.78</v>
      </c>
      <c r="AW109" s="106">
        <v>23820</v>
      </c>
      <c r="AX109" s="106">
        <v>13680</v>
      </c>
      <c r="AY109" s="106">
        <v>7900</v>
      </c>
      <c r="AZ109" s="106">
        <v>19566</v>
      </c>
      <c r="BA109" s="106">
        <v>39314.759999999995</v>
      </c>
      <c r="BB109" s="106">
        <v>14166</v>
      </c>
      <c r="BC109" s="106">
        <f t="shared" si="1264"/>
        <v>364753.89</v>
      </c>
      <c r="BD109" s="16" t="str">
        <f t="shared" si="871"/>
        <v>Printing and other Charges</v>
      </c>
      <c r="BE109" s="106">
        <f>+VLOOKUP($BD109,'Jan-25'!$A:$J,2,0)</f>
        <v>13680</v>
      </c>
      <c r="BF109" s="106">
        <f>+VLOOKUP($BD109,'Feb-25'!$A:$J,2,0)</f>
        <v>12747.6</v>
      </c>
      <c r="BG109" s="106">
        <f>+VLOOKUP($BD109,'Mar-25'!$A:$J,2,0)</f>
        <v>5478</v>
      </c>
      <c r="BH109" s="106">
        <f>+VLOOKUP($BD109,'Apr-25'!$A:$J,2,0)</f>
        <v>3480</v>
      </c>
      <c r="BI109" s="106">
        <f>+VLOOKUP($BD109,'May-25'!$A:$J,2,0)</f>
        <v>11200</v>
      </c>
      <c r="BJ109" s="106">
        <f>+VLOOKUP($BD109,'June-25'!$A:$J,2,0)</f>
        <v>17280</v>
      </c>
      <c r="BK109" s="106">
        <f>+VLOOKUP($BD109,'July-25'!$A:$J,2,0)</f>
        <v>82518</v>
      </c>
      <c r="BL109" s="106">
        <f>+VLOOKUP($BD109,'Aug-25'!$A:$J,2,0)</f>
        <v>30314</v>
      </c>
      <c r="BM109" s="106">
        <f>+VLOOKUP($BD109,'Sep-25'!$A:$J,2,0)</f>
        <v>69923</v>
      </c>
      <c r="BN109" s="106">
        <f>+VLOOKUP($BD109,'Oct-25'!$A:$J,2,0)</f>
        <v>0</v>
      </c>
      <c r="BO109" s="106">
        <f>+VLOOKUP($BD109,'Nov-25'!$A:$J,2,0)</f>
        <v>0</v>
      </c>
      <c r="BP109" s="106">
        <f>+VLOOKUP($BD109,'Dec-25'!$A:$J,2,0)</f>
        <v>0</v>
      </c>
      <c r="BQ109" s="106">
        <f t="shared" si="1265"/>
        <v>246620.6</v>
      </c>
      <c r="BR109" s="118">
        <f t="shared" si="1190"/>
        <v>0</v>
      </c>
      <c r="BS109" s="106" cm="1">
        <f t="array" ref="BS109:CD109">+_xlfn.XLOOKUP(BD109,Budget!A:A,Budget!Q:AB)</f>
        <v>0</v>
      </c>
      <c r="BT109" s="106">
        <v>0</v>
      </c>
      <c r="BU109" s="106">
        <v>0</v>
      </c>
      <c r="BV109" s="106">
        <v>0</v>
      </c>
      <c r="BW109" s="106">
        <v>0</v>
      </c>
      <c r="BX109" s="106">
        <v>0</v>
      </c>
      <c r="BY109" s="106">
        <v>0</v>
      </c>
      <c r="BZ109" s="106">
        <v>0</v>
      </c>
      <c r="CA109" s="106">
        <v>0</v>
      </c>
      <c r="CB109" s="106">
        <v>0</v>
      </c>
      <c r="CC109" s="106">
        <v>0</v>
      </c>
      <c r="CD109" s="106">
        <v>0</v>
      </c>
      <c r="CE109" s="106">
        <f t="shared" si="1266"/>
        <v>0</v>
      </c>
      <c r="CF109" s="22"/>
      <c r="CG109" s="106">
        <v>0</v>
      </c>
      <c r="CH109" s="106">
        <v>0</v>
      </c>
      <c r="CI109" s="106">
        <v>0</v>
      </c>
      <c r="CJ109" s="106">
        <v>0</v>
      </c>
      <c r="CK109" s="106">
        <v>5688.9000000000005</v>
      </c>
      <c r="CL109" s="106">
        <v>0</v>
      </c>
      <c r="CM109" s="106">
        <v>0</v>
      </c>
      <c r="CN109" s="106">
        <v>9120</v>
      </c>
      <c r="CO109" s="106">
        <v>0</v>
      </c>
      <c r="CP109" s="106">
        <v>13044</v>
      </c>
      <c r="CQ109" s="106">
        <v>26209.839999999997</v>
      </c>
      <c r="CR109" s="106">
        <v>9444</v>
      </c>
      <c r="CS109" s="106">
        <f t="shared" si="1267"/>
        <v>63506.74</v>
      </c>
      <c r="CT109" s="16" t="str">
        <f t="shared" si="875"/>
        <v>Printing and other Charges</v>
      </c>
      <c r="CU109" s="106">
        <f>+VLOOKUP($BD109,'Jan-25'!$A:$J,6,0)</f>
        <v>9120</v>
      </c>
      <c r="CV109" s="106">
        <f>+VLOOKUP($BD109,'Feb-25'!$A:$J,6,0)</f>
        <v>8498.4</v>
      </c>
      <c r="CW109" s="106">
        <f>+VLOOKUP($BD109,'Mar-25'!$A:$J,6,0)</f>
        <v>3652</v>
      </c>
      <c r="CX109" s="106">
        <f>+VLOOKUP($BD109,'Apr-25'!$A:$J,6,0)</f>
        <v>2320</v>
      </c>
      <c r="CY109" s="106">
        <f>+VLOOKUP($BD109,'May-25'!$A:$J,6,0)</f>
        <v>6100</v>
      </c>
      <c r="CZ109" s="106">
        <f>+VLOOKUP($BD109,'June-25'!$A:$J,6,0)</f>
        <v>11520</v>
      </c>
      <c r="DA109" s="106">
        <f>+VLOOKUP($BD109,'July-25'!$A:$J,6,0)</f>
        <v>55012</v>
      </c>
      <c r="DB109" s="106">
        <f>+VLOOKUP($BD109,'Aug-25'!$A:$J,6,0)</f>
        <v>11367.75</v>
      </c>
      <c r="DC109" s="106">
        <f>+VLOOKUP($BD109,'Sep-25'!$A:$J,6,0)</f>
        <v>51582</v>
      </c>
      <c r="DD109" s="106">
        <f>+VLOOKUP($BD109,'Oct-25'!$A:$J,6,0)</f>
        <v>17250</v>
      </c>
      <c r="DE109" s="106">
        <f>+VLOOKUP($BD109,'Nov-25'!$A:$J,6,0)</f>
        <v>0</v>
      </c>
      <c r="DF109" s="106">
        <f>+VLOOKUP($BD109,'Dec-25'!$A:$J,6,0)</f>
        <v>0</v>
      </c>
      <c r="DG109" s="106">
        <f t="shared" si="1268"/>
        <v>176422.15</v>
      </c>
      <c r="DH109" s="118">
        <f t="shared" si="1191"/>
        <v>0</v>
      </c>
      <c r="DI109" s="106">
        <f>+_xlfn.XLOOKUP($CT109,Budget!$A:$A,Budget!BQ:BQ)</f>
        <v>0</v>
      </c>
      <c r="DJ109" s="106">
        <f>+_xlfn.XLOOKUP($CT109,Budget!$A:$A,Budget!BR:BR)</f>
        <v>0</v>
      </c>
      <c r="DK109" s="106">
        <f>+_xlfn.XLOOKUP($CT109,Budget!$A:$A,Budget!BS:BS)</f>
        <v>0</v>
      </c>
      <c r="DL109" s="106">
        <f>+_xlfn.XLOOKUP($CT109,Budget!$A:$A,Budget!BT:BT)</f>
        <v>0</v>
      </c>
      <c r="DM109" s="106">
        <f>+_xlfn.XLOOKUP($CT109,Budget!$A:$A,Budget!BU:BU)</f>
        <v>0</v>
      </c>
      <c r="DN109" s="106">
        <f>+_xlfn.XLOOKUP($CT109,Budget!$A:$A,Budget!BV:BV)</f>
        <v>0</v>
      </c>
      <c r="DO109" s="106">
        <f>+_xlfn.XLOOKUP($CT109,Budget!$A:$A,Budget!BW:BW)</f>
        <v>0</v>
      </c>
      <c r="DP109" s="106">
        <f>+_xlfn.XLOOKUP($CT109,Budget!$A:$A,Budget!BX:BX)</f>
        <v>0</v>
      </c>
      <c r="DQ109" s="106">
        <f>+_xlfn.XLOOKUP($CT109,Budget!$A:$A,Budget!BY:BY)</f>
        <v>0</v>
      </c>
      <c r="DR109" s="106">
        <f>+_xlfn.XLOOKUP($CT109,Budget!$A:$A,Budget!BZ:BZ)</f>
        <v>0</v>
      </c>
      <c r="DS109" s="106">
        <f>+_xlfn.XLOOKUP($CT109,Budget!$A:$A,Budget!CA:CA)</f>
        <v>0</v>
      </c>
      <c r="DT109" s="106">
        <f>+_xlfn.XLOOKUP($CT109,Budget!$A:$A,Budget!CB:CB)</f>
        <v>0</v>
      </c>
      <c r="DU109" s="106">
        <f t="shared" si="1269"/>
        <v>0</v>
      </c>
    </row>
    <row r="110" spans="1:125" ht="14.45" hidden="1" customHeight="1" outlineLevel="1">
      <c r="A110" s="106">
        <f t="shared" si="1225"/>
        <v>369838.19</v>
      </c>
      <c r="B110" s="106">
        <f t="shared" si="1226"/>
        <v>294525.82999999996</v>
      </c>
      <c r="C110" s="106">
        <f t="shared" si="1227"/>
        <v>782609.67</v>
      </c>
      <c r="D110" s="106">
        <f t="shared" si="1228"/>
        <v>400900</v>
      </c>
      <c r="E110" s="106">
        <f t="shared" si="1229"/>
        <v>535449.56000000006</v>
      </c>
      <c r="F110" s="106">
        <f t="shared" si="1230"/>
        <v>465135.86</v>
      </c>
      <c r="G110" s="106">
        <f t="shared" si="1231"/>
        <v>379386.1</v>
      </c>
      <c r="H110" s="106">
        <f t="shared" si="1232"/>
        <v>347400.60000000003</v>
      </c>
      <c r="I110" s="106">
        <f t="shared" si="1233"/>
        <v>354552</v>
      </c>
      <c r="J110" s="106">
        <f t="shared" si="1234"/>
        <v>356085</v>
      </c>
      <c r="K110" s="106">
        <f t="shared" si="1235"/>
        <v>303946.91999999993</v>
      </c>
      <c r="L110" s="106">
        <f t="shared" si="1236"/>
        <v>387645.5</v>
      </c>
      <c r="M110" s="106">
        <f t="shared" si="1237"/>
        <v>4977475.2300000004</v>
      </c>
      <c r="N110" s="16" t="s">
        <v>90</v>
      </c>
      <c r="O110" s="106">
        <f t="shared" si="1238"/>
        <v>213379.54</v>
      </c>
      <c r="P110" s="106">
        <f t="shared" si="1239"/>
        <v>532282.98600000003</v>
      </c>
      <c r="Q110" s="106">
        <f t="shared" si="1240"/>
        <v>415687.92000000004</v>
      </c>
      <c r="R110" s="106">
        <f t="shared" si="1241"/>
        <v>243096</v>
      </c>
      <c r="S110" s="106">
        <f t="shared" si="1242"/>
        <v>395702</v>
      </c>
      <c r="T110" s="106">
        <f t="shared" si="1243"/>
        <v>282411</v>
      </c>
      <c r="U110" s="106">
        <f t="shared" si="1244"/>
        <v>89160</v>
      </c>
      <c r="V110" s="106">
        <f t="shared" si="1245"/>
        <v>312161.2</v>
      </c>
      <c r="W110" s="106">
        <f t="shared" si="1246"/>
        <v>239284.81</v>
      </c>
      <c r="X110" s="106">
        <f t="shared" si="1247"/>
        <v>634381.24</v>
      </c>
      <c r="Y110" s="106">
        <f t="shared" si="1248"/>
        <v>0</v>
      </c>
      <c r="Z110" s="106">
        <f t="shared" si="1249"/>
        <v>0</v>
      </c>
      <c r="AA110" s="106">
        <f t="shared" si="1250"/>
        <v>3357546.6960000005</v>
      </c>
      <c r="AB110" s="118">
        <f t="shared" si="1189"/>
        <v>1.1167208541875209</v>
      </c>
      <c r="AC110" s="106">
        <f t="shared" si="1251"/>
        <v>289710</v>
      </c>
      <c r="AD110" s="106">
        <f t="shared" si="1252"/>
        <v>289710</v>
      </c>
      <c r="AE110" s="106">
        <f t="shared" si="1253"/>
        <v>369630</v>
      </c>
      <c r="AF110" s="106">
        <f t="shared" si="1254"/>
        <v>299700</v>
      </c>
      <c r="AG110" s="106">
        <f t="shared" si="1255"/>
        <v>319680</v>
      </c>
      <c r="AH110" s="106">
        <f t="shared" si="1256"/>
        <v>279720</v>
      </c>
      <c r="AI110" s="106">
        <f t="shared" si="1257"/>
        <v>289710</v>
      </c>
      <c r="AJ110" s="106">
        <f t="shared" si="1258"/>
        <v>339660</v>
      </c>
      <c r="AK110" s="106">
        <f t="shared" si="1259"/>
        <v>339660</v>
      </c>
      <c r="AL110" s="106">
        <f t="shared" si="1260"/>
        <v>299700</v>
      </c>
      <c r="AM110" s="106">
        <f t="shared" si="1261"/>
        <v>279720</v>
      </c>
      <c r="AN110" s="106">
        <f t="shared" si="1262"/>
        <v>369630</v>
      </c>
      <c r="AO110" s="106">
        <f t="shared" si="1263"/>
        <v>3766230</v>
      </c>
      <c r="AQ110" s="106">
        <v>221902.91399999999</v>
      </c>
      <c r="AR110" s="106">
        <v>199571.83</v>
      </c>
      <c r="AS110" s="106">
        <v>629609.67000000004</v>
      </c>
      <c r="AT110" s="106">
        <v>235000</v>
      </c>
      <c r="AU110" s="106">
        <v>159376</v>
      </c>
      <c r="AV110" s="106">
        <v>293898.86</v>
      </c>
      <c r="AW110" s="106">
        <v>321136.09999999998</v>
      </c>
      <c r="AX110" s="106">
        <v>209006.52000000002</v>
      </c>
      <c r="AY110" s="106">
        <v>254836</v>
      </c>
      <c r="AZ110" s="106">
        <v>213651</v>
      </c>
      <c r="BA110" s="106">
        <v>182368.15199999997</v>
      </c>
      <c r="BB110" s="106">
        <v>232587.3</v>
      </c>
      <c r="BC110" s="106">
        <f t="shared" si="1264"/>
        <v>3152944.3459999994</v>
      </c>
      <c r="BD110" s="16" t="str">
        <f t="shared" si="871"/>
        <v>Retail Activation Program</v>
      </c>
      <c r="BE110" s="106">
        <f>+VLOOKUP($BD110,'Jan-25'!$A:$J,2,0)</f>
        <v>128027.724</v>
      </c>
      <c r="BF110" s="106">
        <f>+VLOOKUP($BD110,'Feb-25'!$A:$J,2,0)</f>
        <v>252134.04599999997</v>
      </c>
      <c r="BG110" s="106">
        <f>+VLOOKUP($BD110,'Mar-25'!$A:$J,2,0)</f>
        <v>249430.60200000001</v>
      </c>
      <c r="BH110" s="106">
        <f>+VLOOKUP($BD110,'Apr-25'!$A:$J,2,0)</f>
        <v>145857.60000000001</v>
      </c>
      <c r="BI110" s="106">
        <f>+VLOOKUP($BD110,'May-25'!$A:$J,2,0)</f>
        <v>238471.19999999998</v>
      </c>
      <c r="BJ110" s="106">
        <f>+VLOOKUP($BD110,'June-25'!$A:$J,2,0)</f>
        <v>121846.19999999998</v>
      </c>
      <c r="BK110" s="106">
        <f>+VLOOKUP($BD110,'July-25'!$A:$J,2,0)</f>
        <v>53000</v>
      </c>
      <c r="BL110" s="106">
        <f>+VLOOKUP($BD110,'Aug-25'!$A:$J,2,0)</f>
        <v>238753.6</v>
      </c>
      <c r="BM110" s="106">
        <f>+VLOOKUP($BD110,'Sep-25'!$A:$J,2,0)</f>
        <v>207993.28599999999</v>
      </c>
      <c r="BN110" s="106">
        <f>+VLOOKUP($BD110,'Oct-25'!$A:$J,2,0)</f>
        <v>429360.8</v>
      </c>
      <c r="BO110" s="106">
        <f>+VLOOKUP($BD110,'Nov-25'!$A:$J,2,0)</f>
        <v>0</v>
      </c>
      <c r="BP110" s="106">
        <f>+VLOOKUP($BD110,'Dec-25'!$A:$J,2,0)</f>
        <v>0</v>
      </c>
      <c r="BQ110" s="106">
        <f t="shared" si="1265"/>
        <v>2064875.0580000002</v>
      </c>
      <c r="BR110" s="118">
        <f t="shared" si="1190"/>
        <v>1.6861911911911911</v>
      </c>
      <c r="BS110" s="106" cm="1">
        <f t="array" ref="BS110:CD110">+_xlfn.XLOOKUP(BD110,Budget!A:A,Budget!Q:AB)</f>
        <v>159840</v>
      </c>
      <c r="BT110" s="106">
        <v>149850</v>
      </c>
      <c r="BU110" s="106">
        <v>219780</v>
      </c>
      <c r="BV110" s="106">
        <v>149850</v>
      </c>
      <c r="BW110" s="106">
        <v>179820</v>
      </c>
      <c r="BX110" s="106">
        <v>149850</v>
      </c>
      <c r="BY110" s="106">
        <v>169830</v>
      </c>
      <c r="BZ110" s="106">
        <v>199800</v>
      </c>
      <c r="CA110" s="106">
        <v>169830</v>
      </c>
      <c r="CB110" s="106">
        <v>159840</v>
      </c>
      <c r="CC110" s="106">
        <v>139860</v>
      </c>
      <c r="CD110" s="106">
        <v>209790</v>
      </c>
      <c r="CE110" s="106">
        <f t="shared" si="1266"/>
        <v>2057940</v>
      </c>
      <c r="CF110" s="22"/>
      <c r="CG110" s="106">
        <v>147935.27600000001</v>
      </c>
      <c r="CH110" s="106">
        <v>94954</v>
      </c>
      <c r="CI110" s="106">
        <v>153000</v>
      </c>
      <c r="CJ110" s="106">
        <v>165900</v>
      </c>
      <c r="CK110" s="106">
        <v>376073.56</v>
      </c>
      <c r="CL110" s="106">
        <v>171237</v>
      </c>
      <c r="CM110" s="106">
        <v>58250</v>
      </c>
      <c r="CN110" s="106">
        <v>138394.08000000002</v>
      </c>
      <c r="CO110" s="106">
        <v>99716</v>
      </c>
      <c r="CP110" s="106">
        <v>142434</v>
      </c>
      <c r="CQ110" s="106">
        <v>121578.76799999998</v>
      </c>
      <c r="CR110" s="106">
        <v>155058.20000000001</v>
      </c>
      <c r="CS110" s="106">
        <f t="shared" si="1267"/>
        <v>1824530.8840000001</v>
      </c>
      <c r="CT110" s="16" t="str">
        <f t="shared" si="875"/>
        <v>Retail Activation Program</v>
      </c>
      <c r="CU110" s="106">
        <f>+VLOOKUP($BD110,'Jan-25'!$A:$J,6,0)</f>
        <v>85351.816000000006</v>
      </c>
      <c r="CV110" s="106">
        <f>+VLOOKUP($BD110,'Feb-25'!$A:$J,6,0)</f>
        <v>280148.94</v>
      </c>
      <c r="CW110" s="106">
        <f>+VLOOKUP($BD110,'Mar-25'!$A:$J,6,0)</f>
        <v>166257.31800000003</v>
      </c>
      <c r="CX110" s="106">
        <f>+VLOOKUP($BD110,'Apr-25'!$A:$J,6,0)</f>
        <v>97238.400000000009</v>
      </c>
      <c r="CY110" s="106">
        <f>+VLOOKUP($BD110,'May-25'!$A:$J,6,0)</f>
        <v>157230.80000000002</v>
      </c>
      <c r="CZ110" s="106">
        <f>+VLOOKUP($BD110,'June-25'!$A:$J,6,0)</f>
        <v>160564.79999999999</v>
      </c>
      <c r="DA110" s="106">
        <f>+VLOOKUP($BD110,'July-25'!$A:$J,6,0)</f>
        <v>36160</v>
      </c>
      <c r="DB110" s="106">
        <f>+VLOOKUP($BD110,'Aug-25'!$A:$J,6,0)</f>
        <v>73407.600000000006</v>
      </c>
      <c r="DC110" s="106">
        <f>+VLOOKUP($BD110,'Sep-25'!$A:$J,6,0)</f>
        <v>31291.524000000001</v>
      </c>
      <c r="DD110" s="106">
        <f>+VLOOKUP($BD110,'Oct-25'!$A:$J,6,0)</f>
        <v>205020.44</v>
      </c>
      <c r="DE110" s="106">
        <f>+VLOOKUP($BD110,'Nov-25'!$A:$J,6,0)</f>
        <v>0</v>
      </c>
      <c r="DF110" s="106">
        <f>+VLOOKUP($BD110,'Dec-25'!$A:$J,6,0)</f>
        <v>0</v>
      </c>
      <c r="DG110" s="106">
        <f t="shared" si="1268"/>
        <v>1292671.638</v>
      </c>
      <c r="DH110" s="118">
        <f t="shared" si="1191"/>
        <v>0.46589761189761192</v>
      </c>
      <c r="DI110" s="106">
        <f>+_xlfn.XLOOKUP($CT110,Budget!$A:$A,Budget!BQ:BQ)</f>
        <v>129870</v>
      </c>
      <c r="DJ110" s="106">
        <f>+_xlfn.XLOOKUP($CT110,Budget!$A:$A,Budget!BR:BR)</f>
        <v>139860</v>
      </c>
      <c r="DK110" s="106">
        <f>+_xlfn.XLOOKUP($CT110,Budget!$A:$A,Budget!BS:BS)</f>
        <v>149850</v>
      </c>
      <c r="DL110" s="106">
        <f>+_xlfn.XLOOKUP($CT110,Budget!$A:$A,Budget!BT:BT)</f>
        <v>149850</v>
      </c>
      <c r="DM110" s="106">
        <f>+_xlfn.XLOOKUP($CT110,Budget!$A:$A,Budget!BU:BU)</f>
        <v>139860</v>
      </c>
      <c r="DN110" s="106">
        <f>+_xlfn.XLOOKUP($CT110,Budget!$A:$A,Budget!BV:BV)</f>
        <v>129870</v>
      </c>
      <c r="DO110" s="106">
        <f>+_xlfn.XLOOKUP($CT110,Budget!$A:$A,Budget!BW:BW)</f>
        <v>119880</v>
      </c>
      <c r="DP110" s="106">
        <f>+_xlfn.XLOOKUP($CT110,Budget!$A:$A,Budget!BX:BX)</f>
        <v>139860</v>
      </c>
      <c r="DQ110" s="106">
        <f>+_xlfn.XLOOKUP($CT110,Budget!$A:$A,Budget!BY:BY)</f>
        <v>169830</v>
      </c>
      <c r="DR110" s="106">
        <f>+_xlfn.XLOOKUP($CT110,Budget!$A:$A,Budget!BZ:BZ)</f>
        <v>139860</v>
      </c>
      <c r="DS110" s="106">
        <f>+_xlfn.XLOOKUP($CT110,Budget!$A:$A,Budget!CA:CA)</f>
        <v>139860</v>
      </c>
      <c r="DT110" s="106">
        <f>+_xlfn.XLOOKUP($CT110,Budget!$A:$A,Budget!CB:CB)</f>
        <v>159840</v>
      </c>
      <c r="DU110" s="106">
        <f t="shared" si="1269"/>
        <v>1708290</v>
      </c>
    </row>
    <row r="111" spans="1:125" ht="14.45" hidden="1" customHeight="1" outlineLevel="1">
      <c r="A111" s="106">
        <f t="shared" si="1225"/>
        <v>0</v>
      </c>
      <c r="B111" s="106">
        <f t="shared" si="1226"/>
        <v>0</v>
      </c>
      <c r="C111" s="106">
        <f t="shared" si="1227"/>
        <v>0</v>
      </c>
      <c r="D111" s="106">
        <f t="shared" si="1228"/>
        <v>0</v>
      </c>
      <c r="E111" s="106">
        <f t="shared" si="1229"/>
        <v>0</v>
      </c>
      <c r="F111" s="106">
        <f t="shared" si="1230"/>
        <v>0</v>
      </c>
      <c r="G111" s="106">
        <f t="shared" si="1231"/>
        <v>0</v>
      </c>
      <c r="H111" s="106">
        <f t="shared" si="1232"/>
        <v>0</v>
      </c>
      <c r="I111" s="106">
        <f t="shared" si="1233"/>
        <v>0</v>
      </c>
      <c r="J111" s="106">
        <f t="shared" si="1234"/>
        <v>0</v>
      </c>
      <c r="K111" s="106">
        <f t="shared" si="1235"/>
        <v>0</v>
      </c>
      <c r="L111" s="106">
        <f t="shared" si="1236"/>
        <v>0</v>
      </c>
      <c r="M111" s="106">
        <f t="shared" si="1237"/>
        <v>0</v>
      </c>
      <c r="N111" s="16" t="s">
        <v>91</v>
      </c>
      <c r="O111" s="106">
        <f t="shared" si="1238"/>
        <v>0</v>
      </c>
      <c r="P111" s="106">
        <f t="shared" si="1239"/>
        <v>0</v>
      </c>
      <c r="Q111" s="106">
        <f t="shared" si="1240"/>
        <v>0</v>
      </c>
      <c r="R111" s="106">
        <f t="shared" si="1241"/>
        <v>0</v>
      </c>
      <c r="S111" s="106">
        <f t="shared" si="1242"/>
        <v>0</v>
      </c>
      <c r="T111" s="106">
        <f t="shared" si="1243"/>
        <v>0</v>
      </c>
      <c r="U111" s="106">
        <f t="shared" si="1244"/>
        <v>0</v>
      </c>
      <c r="V111" s="106">
        <f t="shared" si="1245"/>
        <v>0</v>
      </c>
      <c r="W111" s="106">
        <f t="shared" si="1246"/>
        <v>0</v>
      </c>
      <c r="X111" s="106">
        <f t="shared" si="1247"/>
        <v>0</v>
      </c>
      <c r="Y111" s="106">
        <f t="shared" si="1248"/>
        <v>0</v>
      </c>
      <c r="Z111" s="106">
        <f t="shared" si="1249"/>
        <v>0</v>
      </c>
      <c r="AA111" s="106">
        <f t="shared" si="1250"/>
        <v>0</v>
      </c>
      <c r="AB111" s="118">
        <f t="shared" si="1189"/>
        <v>0</v>
      </c>
      <c r="AC111" s="106">
        <f t="shared" si="1251"/>
        <v>0</v>
      </c>
      <c r="AD111" s="106">
        <f t="shared" si="1252"/>
        <v>0</v>
      </c>
      <c r="AE111" s="106">
        <f t="shared" si="1253"/>
        <v>0</v>
      </c>
      <c r="AF111" s="106">
        <f t="shared" si="1254"/>
        <v>0</v>
      </c>
      <c r="AG111" s="106">
        <f t="shared" si="1255"/>
        <v>0</v>
      </c>
      <c r="AH111" s="106">
        <f t="shared" si="1256"/>
        <v>0</v>
      </c>
      <c r="AI111" s="106">
        <f t="shared" si="1257"/>
        <v>0</v>
      </c>
      <c r="AJ111" s="106">
        <f t="shared" si="1258"/>
        <v>0</v>
      </c>
      <c r="AK111" s="106">
        <f t="shared" si="1259"/>
        <v>0</v>
      </c>
      <c r="AL111" s="106">
        <f t="shared" si="1260"/>
        <v>0</v>
      </c>
      <c r="AM111" s="106">
        <f t="shared" si="1261"/>
        <v>0</v>
      </c>
      <c r="AN111" s="106">
        <f t="shared" si="1262"/>
        <v>0</v>
      </c>
      <c r="AO111" s="106">
        <f t="shared" si="1263"/>
        <v>0</v>
      </c>
      <c r="AQ111" s="106">
        <v>0</v>
      </c>
      <c r="AR111" s="106">
        <v>0</v>
      </c>
      <c r="AS111" s="106">
        <v>0</v>
      </c>
      <c r="AT111" s="106">
        <v>0</v>
      </c>
      <c r="AU111" s="106">
        <v>0</v>
      </c>
      <c r="AV111" s="106">
        <v>0</v>
      </c>
      <c r="AW111" s="106">
        <v>0</v>
      </c>
      <c r="AX111" s="106">
        <v>0</v>
      </c>
      <c r="AY111" s="106">
        <v>0</v>
      </c>
      <c r="AZ111" s="106">
        <v>0</v>
      </c>
      <c r="BA111" s="106">
        <v>0</v>
      </c>
      <c r="BB111" s="106">
        <v>0</v>
      </c>
      <c r="BC111" s="106">
        <f t="shared" si="1264"/>
        <v>0</v>
      </c>
      <c r="BD111" s="16" t="str">
        <f t="shared" si="871"/>
        <v>Retention Program</v>
      </c>
      <c r="BE111" s="106">
        <f>+VLOOKUP($BD111,'Jan-25'!$A:$J,2,0)</f>
        <v>0</v>
      </c>
      <c r="BF111" s="106">
        <f>+VLOOKUP($BD111,'Feb-25'!$A:$J,2,0)</f>
        <v>0</v>
      </c>
      <c r="BG111" s="106">
        <f>+VLOOKUP($BD111,'Mar-25'!$A:$J,2,0)</f>
        <v>0</v>
      </c>
      <c r="BH111" s="106">
        <f>+VLOOKUP($BD111,'Apr-25'!$A:$J,2,0)</f>
        <v>0</v>
      </c>
      <c r="BI111" s="106">
        <f>+VLOOKUP($BD111,'May-25'!$A:$J,2,0)</f>
        <v>0</v>
      </c>
      <c r="BJ111" s="106">
        <f>+VLOOKUP($BD111,'June-25'!$A:$J,2,0)</f>
        <v>0</v>
      </c>
      <c r="BK111" s="106">
        <f>+VLOOKUP($BD111,'July-25'!$A:$J,2,0)</f>
        <v>0</v>
      </c>
      <c r="BL111" s="106">
        <f>+VLOOKUP($BD111,'Aug-25'!$A:$J,2,0)</f>
        <v>0</v>
      </c>
      <c r="BM111" s="106">
        <f>+VLOOKUP($BD111,'Sep-25'!$A:$J,2,0)</f>
        <v>0</v>
      </c>
      <c r="BN111" s="106">
        <f>+VLOOKUP($BD111,'Oct-25'!$A:$J,2,0)</f>
        <v>0</v>
      </c>
      <c r="BO111" s="106">
        <f>+VLOOKUP($BD111,'Nov-25'!$A:$J,2,0)</f>
        <v>0</v>
      </c>
      <c r="BP111" s="106">
        <f>+VLOOKUP($BD111,'Dec-25'!$A:$J,2,0)</f>
        <v>0</v>
      </c>
      <c r="BQ111" s="106">
        <f t="shared" si="1265"/>
        <v>0</v>
      </c>
      <c r="BR111" s="118">
        <f t="shared" si="1190"/>
        <v>0</v>
      </c>
      <c r="BS111" s="106" cm="1">
        <f t="array" ref="BS111:CD111">+_xlfn.XLOOKUP(BD111,Budget!A:A,Budget!Q:AB)</f>
        <v>0</v>
      </c>
      <c r="BT111" s="106">
        <v>0</v>
      </c>
      <c r="BU111" s="106">
        <v>0</v>
      </c>
      <c r="BV111" s="106">
        <v>0</v>
      </c>
      <c r="BW111" s="106">
        <v>0</v>
      </c>
      <c r="BX111" s="106">
        <v>0</v>
      </c>
      <c r="BY111" s="106">
        <v>0</v>
      </c>
      <c r="BZ111" s="106">
        <v>0</v>
      </c>
      <c r="CA111" s="106">
        <v>0</v>
      </c>
      <c r="CB111" s="106">
        <v>0</v>
      </c>
      <c r="CC111" s="106">
        <v>0</v>
      </c>
      <c r="CD111" s="106">
        <v>0</v>
      </c>
      <c r="CE111" s="106">
        <f t="shared" si="1266"/>
        <v>0</v>
      </c>
      <c r="CF111" s="22"/>
      <c r="CG111" s="106">
        <v>0</v>
      </c>
      <c r="CH111" s="106">
        <v>0</v>
      </c>
      <c r="CI111" s="106">
        <v>0</v>
      </c>
      <c r="CJ111" s="106">
        <v>0</v>
      </c>
      <c r="CK111" s="106">
        <v>0</v>
      </c>
      <c r="CL111" s="106">
        <v>0</v>
      </c>
      <c r="CM111" s="106">
        <v>0</v>
      </c>
      <c r="CN111" s="106">
        <v>0</v>
      </c>
      <c r="CO111" s="106">
        <v>0</v>
      </c>
      <c r="CP111" s="106">
        <v>0</v>
      </c>
      <c r="CQ111" s="106">
        <v>0</v>
      </c>
      <c r="CR111" s="106">
        <v>0</v>
      </c>
      <c r="CS111" s="106">
        <f t="shared" si="1267"/>
        <v>0</v>
      </c>
      <c r="CT111" s="16" t="str">
        <f t="shared" si="875"/>
        <v>Retention Program</v>
      </c>
      <c r="CU111" s="106">
        <f>+VLOOKUP($BD111,'Jan-25'!$A:$J,6,0)</f>
        <v>0</v>
      </c>
      <c r="CV111" s="106">
        <f>+VLOOKUP($BD111,'Feb-25'!$A:$J,6,0)</f>
        <v>0</v>
      </c>
      <c r="CW111" s="106">
        <f>+VLOOKUP($BD111,'Mar-25'!$A:$J,6,0)</f>
        <v>0</v>
      </c>
      <c r="CX111" s="106">
        <f>+VLOOKUP($BD111,'Apr-25'!$A:$J,6,0)</f>
        <v>0</v>
      </c>
      <c r="CY111" s="106">
        <f>+VLOOKUP($BD111,'May-25'!$A:$J,6,0)</f>
        <v>0</v>
      </c>
      <c r="CZ111" s="106">
        <f>+VLOOKUP($BD111,'June-25'!$A:$J,6,0)</f>
        <v>0</v>
      </c>
      <c r="DA111" s="106">
        <f>+VLOOKUP($BD111,'July-25'!$A:$J,6,0)</f>
        <v>0</v>
      </c>
      <c r="DB111" s="106">
        <f>+VLOOKUP($BD111,'Aug-25'!$A:$J,6,0)</f>
        <v>0</v>
      </c>
      <c r="DC111" s="106">
        <f>+VLOOKUP($BD111,'Sep-25'!$A:$J,6,0)</f>
        <v>0</v>
      </c>
      <c r="DD111" s="106">
        <f>+VLOOKUP($BD111,'Oct-25'!$A:$J,6,0)</f>
        <v>0</v>
      </c>
      <c r="DE111" s="106">
        <f>+VLOOKUP($BD111,'Nov-25'!$A:$J,6,0)</f>
        <v>0</v>
      </c>
      <c r="DF111" s="106">
        <f>+VLOOKUP($BD111,'Dec-25'!$A:$J,6,0)</f>
        <v>0</v>
      </c>
      <c r="DG111" s="106">
        <f t="shared" si="1268"/>
        <v>0</v>
      </c>
      <c r="DH111" s="118">
        <f t="shared" si="1191"/>
        <v>0</v>
      </c>
      <c r="DI111" s="106">
        <f>+_xlfn.XLOOKUP($CT111,Budget!$A:$A,Budget!BQ:BQ)</f>
        <v>0</v>
      </c>
      <c r="DJ111" s="106">
        <f>+_xlfn.XLOOKUP($CT111,Budget!$A:$A,Budget!BR:BR)</f>
        <v>0</v>
      </c>
      <c r="DK111" s="106">
        <f>+_xlfn.XLOOKUP($CT111,Budget!$A:$A,Budget!BS:BS)</f>
        <v>0</v>
      </c>
      <c r="DL111" s="106">
        <f>+_xlfn.XLOOKUP($CT111,Budget!$A:$A,Budget!BT:BT)</f>
        <v>0</v>
      </c>
      <c r="DM111" s="106">
        <f>+_xlfn.XLOOKUP($CT111,Budget!$A:$A,Budget!BU:BU)</f>
        <v>0</v>
      </c>
      <c r="DN111" s="106">
        <f>+_xlfn.XLOOKUP($CT111,Budget!$A:$A,Budget!BV:BV)</f>
        <v>0</v>
      </c>
      <c r="DO111" s="106">
        <f>+_xlfn.XLOOKUP($CT111,Budget!$A:$A,Budget!BW:BW)</f>
        <v>0</v>
      </c>
      <c r="DP111" s="106">
        <f>+_xlfn.XLOOKUP($CT111,Budget!$A:$A,Budget!BX:BX)</f>
        <v>0</v>
      </c>
      <c r="DQ111" s="106">
        <f>+_xlfn.XLOOKUP($CT111,Budget!$A:$A,Budget!BY:BY)</f>
        <v>0</v>
      </c>
      <c r="DR111" s="106">
        <f>+_xlfn.XLOOKUP($CT111,Budget!$A:$A,Budget!BZ:BZ)</f>
        <v>0</v>
      </c>
      <c r="DS111" s="106">
        <f>+_xlfn.XLOOKUP($CT111,Budget!$A:$A,Budget!CA:CA)</f>
        <v>0</v>
      </c>
      <c r="DT111" s="106">
        <f>+_xlfn.XLOOKUP($CT111,Budget!$A:$A,Budget!CB:CB)</f>
        <v>0</v>
      </c>
      <c r="DU111" s="106">
        <f t="shared" si="1269"/>
        <v>0</v>
      </c>
    </row>
    <row r="112" spans="1:125" ht="14.45" hidden="1" customHeight="1" outlineLevel="1">
      <c r="A112" s="106">
        <f t="shared" si="1225"/>
        <v>0</v>
      </c>
      <c r="B112" s="106">
        <f t="shared" si="1226"/>
        <v>0</v>
      </c>
      <c r="C112" s="106">
        <f t="shared" si="1227"/>
        <v>0</v>
      </c>
      <c r="D112" s="106">
        <f t="shared" si="1228"/>
        <v>0</v>
      </c>
      <c r="E112" s="106">
        <f t="shared" si="1229"/>
        <v>0</v>
      </c>
      <c r="F112" s="106">
        <f t="shared" si="1230"/>
        <v>0</v>
      </c>
      <c r="G112" s="106">
        <f t="shared" si="1231"/>
        <v>0</v>
      </c>
      <c r="H112" s="106">
        <f t="shared" si="1232"/>
        <v>21225.370000000003</v>
      </c>
      <c r="I112" s="106">
        <f t="shared" si="1233"/>
        <v>0</v>
      </c>
      <c r="J112" s="106">
        <f t="shared" si="1234"/>
        <v>0</v>
      </c>
      <c r="K112" s="106">
        <f t="shared" si="1235"/>
        <v>0</v>
      </c>
      <c r="L112" s="106">
        <f t="shared" si="1236"/>
        <v>0</v>
      </c>
      <c r="M112" s="106">
        <f t="shared" si="1237"/>
        <v>21225.370000000003</v>
      </c>
      <c r="N112" s="16" t="s">
        <v>92</v>
      </c>
      <c r="O112" s="106">
        <f t="shared" si="1238"/>
        <v>0</v>
      </c>
      <c r="P112" s="106">
        <f t="shared" si="1239"/>
        <v>0</v>
      </c>
      <c r="Q112" s="106">
        <f t="shared" si="1240"/>
        <v>24200</v>
      </c>
      <c r="R112" s="106">
        <f t="shared" si="1241"/>
        <v>0</v>
      </c>
      <c r="S112" s="106">
        <f t="shared" si="1242"/>
        <v>0</v>
      </c>
      <c r="T112" s="106">
        <f t="shared" si="1243"/>
        <v>0</v>
      </c>
      <c r="U112" s="106">
        <f t="shared" si="1244"/>
        <v>0</v>
      </c>
      <c r="V112" s="106">
        <f t="shared" si="1245"/>
        <v>0</v>
      </c>
      <c r="W112" s="106">
        <f t="shared" si="1246"/>
        <v>0</v>
      </c>
      <c r="X112" s="106">
        <f t="shared" si="1247"/>
        <v>0</v>
      </c>
      <c r="Y112" s="106">
        <f t="shared" si="1248"/>
        <v>0</v>
      </c>
      <c r="Z112" s="106">
        <f t="shared" si="1249"/>
        <v>0</v>
      </c>
      <c r="AA112" s="106">
        <f t="shared" si="1250"/>
        <v>24200</v>
      </c>
      <c r="AB112" s="118">
        <f t="shared" si="1189"/>
        <v>0</v>
      </c>
      <c r="AC112" s="106">
        <f t="shared" si="1251"/>
        <v>0</v>
      </c>
      <c r="AD112" s="106">
        <f t="shared" si="1252"/>
        <v>0</v>
      </c>
      <c r="AE112" s="106">
        <f t="shared" si="1253"/>
        <v>0</v>
      </c>
      <c r="AF112" s="106">
        <f t="shared" si="1254"/>
        <v>0</v>
      </c>
      <c r="AG112" s="106">
        <f t="shared" si="1255"/>
        <v>0</v>
      </c>
      <c r="AH112" s="106">
        <f t="shared" si="1256"/>
        <v>0</v>
      </c>
      <c r="AI112" s="106">
        <f t="shared" si="1257"/>
        <v>0</v>
      </c>
      <c r="AJ112" s="106">
        <f t="shared" si="1258"/>
        <v>0</v>
      </c>
      <c r="AK112" s="106">
        <f t="shared" si="1259"/>
        <v>0</v>
      </c>
      <c r="AL112" s="106">
        <f t="shared" si="1260"/>
        <v>0</v>
      </c>
      <c r="AM112" s="106">
        <f t="shared" si="1261"/>
        <v>0</v>
      </c>
      <c r="AN112" s="106">
        <f t="shared" si="1262"/>
        <v>0</v>
      </c>
      <c r="AO112" s="106">
        <f t="shared" si="1263"/>
        <v>0</v>
      </c>
      <c r="AQ112" s="22">
        <v>0</v>
      </c>
      <c r="AR112" s="22">
        <v>0</v>
      </c>
      <c r="AS112" s="22">
        <v>0</v>
      </c>
      <c r="AT112" s="22">
        <v>0</v>
      </c>
      <c r="AU112" s="22">
        <v>0</v>
      </c>
      <c r="AV112" s="22">
        <v>0</v>
      </c>
      <c r="AW112" s="22">
        <v>0</v>
      </c>
      <c r="AX112" s="22">
        <v>21225.370000000003</v>
      </c>
      <c r="AY112" s="22">
        <v>0</v>
      </c>
      <c r="AZ112" s="22">
        <v>0</v>
      </c>
      <c r="BA112" s="22">
        <v>0</v>
      </c>
      <c r="BB112" s="22">
        <v>0</v>
      </c>
      <c r="BC112" s="106">
        <f t="shared" si="1264"/>
        <v>21225.370000000003</v>
      </c>
      <c r="BD112" s="16" t="str">
        <f t="shared" si="871"/>
        <v>Service Compaign and Other Activities</v>
      </c>
      <c r="BE112" s="106">
        <f>+VLOOKUP($BD112,'Jan-25'!$A:$J,2,0)</f>
        <v>0</v>
      </c>
      <c r="BF112" s="106">
        <f>+VLOOKUP($BD112,'Feb-25'!$A:$J,2,0)</f>
        <v>0</v>
      </c>
      <c r="BG112" s="106">
        <f>+VLOOKUP($BD112,'Mar-25'!$A:$J,2,0)</f>
        <v>17600</v>
      </c>
      <c r="BH112" s="106">
        <f>+VLOOKUP($BD112,'Apr-25'!$A:$J,2,0)</f>
        <v>0</v>
      </c>
      <c r="BI112" s="106">
        <f>+VLOOKUP($BD112,'May-25'!$A:$J,2,0)</f>
        <v>0</v>
      </c>
      <c r="BJ112" s="106">
        <f>+VLOOKUP($BD112,'June-25'!$A:$J,2,0)</f>
        <v>0</v>
      </c>
      <c r="BK112" s="106">
        <f>+VLOOKUP($BD112,'July-25'!$A:$J,2,0)</f>
        <v>0</v>
      </c>
      <c r="BL112" s="106">
        <f>+VLOOKUP($BD112,'Aug-25'!$A:$J,2,0)</f>
        <v>0</v>
      </c>
      <c r="BM112" s="106">
        <f>+VLOOKUP($BD112,'Sep-25'!$A:$J,2,0)</f>
        <v>0</v>
      </c>
      <c r="BN112" s="106">
        <f>+VLOOKUP($BD112,'Oct-25'!$A:$J,2,0)</f>
        <v>0</v>
      </c>
      <c r="BO112" s="106">
        <f>+VLOOKUP($BD112,'Nov-25'!$A:$J,2,0)</f>
        <v>0</v>
      </c>
      <c r="BP112" s="106">
        <f>+VLOOKUP($BD112,'Dec-25'!$A:$J,2,0)</f>
        <v>0</v>
      </c>
      <c r="BQ112" s="106">
        <f t="shared" si="1265"/>
        <v>17600</v>
      </c>
      <c r="BR112" s="118">
        <f t="shared" si="1190"/>
        <v>0</v>
      </c>
      <c r="BS112" s="106" cm="1">
        <f t="array" ref="BS112:CD112">+_xlfn.XLOOKUP(BD112,Budget!A:A,Budget!Q:AB)</f>
        <v>0</v>
      </c>
      <c r="BT112" s="106">
        <v>0</v>
      </c>
      <c r="BU112" s="106">
        <v>0</v>
      </c>
      <c r="BV112" s="106">
        <v>0</v>
      </c>
      <c r="BW112" s="106">
        <v>0</v>
      </c>
      <c r="BX112" s="106">
        <v>0</v>
      </c>
      <c r="BY112" s="106">
        <v>0</v>
      </c>
      <c r="BZ112" s="106">
        <v>0</v>
      </c>
      <c r="CA112" s="106">
        <v>0</v>
      </c>
      <c r="CB112" s="106">
        <v>0</v>
      </c>
      <c r="CC112" s="106">
        <v>0</v>
      </c>
      <c r="CD112" s="106">
        <v>0</v>
      </c>
      <c r="CE112" s="106">
        <f t="shared" si="1266"/>
        <v>0</v>
      </c>
      <c r="CF112" s="22"/>
      <c r="CG112" s="106">
        <v>0</v>
      </c>
      <c r="CH112" s="106">
        <v>0</v>
      </c>
      <c r="CI112" s="106">
        <v>0</v>
      </c>
      <c r="CJ112" s="106">
        <v>0</v>
      </c>
      <c r="CK112" s="106">
        <v>0</v>
      </c>
      <c r="CL112" s="106">
        <v>0</v>
      </c>
      <c r="CM112" s="106">
        <v>0</v>
      </c>
      <c r="CN112" s="106">
        <v>0</v>
      </c>
      <c r="CO112" s="106">
        <v>0</v>
      </c>
      <c r="CP112" s="106">
        <v>0</v>
      </c>
      <c r="CQ112" s="106">
        <v>0</v>
      </c>
      <c r="CR112" s="106">
        <v>0</v>
      </c>
      <c r="CS112" s="106">
        <f t="shared" si="1267"/>
        <v>0</v>
      </c>
      <c r="CT112" s="16" t="str">
        <f t="shared" si="875"/>
        <v>Service Compaign and Other Activities</v>
      </c>
      <c r="CU112" s="106">
        <f>+VLOOKUP($BD112,'Jan-25'!$A:$J,6,0)</f>
        <v>0</v>
      </c>
      <c r="CV112" s="106">
        <f>+VLOOKUP($BD112,'Feb-25'!$A:$J,6,0)</f>
        <v>0</v>
      </c>
      <c r="CW112" s="106">
        <f>+VLOOKUP($BD112,'Mar-25'!$A:$J,6,0)</f>
        <v>6600</v>
      </c>
      <c r="CX112" s="106">
        <f>+VLOOKUP($BD112,'Apr-25'!$A:$J,6,0)</f>
        <v>0</v>
      </c>
      <c r="CY112" s="106">
        <f>+VLOOKUP($BD112,'May-25'!$A:$J,6,0)</f>
        <v>0</v>
      </c>
      <c r="CZ112" s="106">
        <f>+VLOOKUP($BD112,'June-25'!$A:$J,6,0)</f>
        <v>0</v>
      </c>
      <c r="DA112" s="106">
        <f>+VLOOKUP($BD112,'July-25'!$A:$J,6,0)</f>
        <v>0</v>
      </c>
      <c r="DB112" s="106">
        <f>+VLOOKUP($BD112,'Aug-25'!$A:$J,6,0)</f>
        <v>0</v>
      </c>
      <c r="DC112" s="106">
        <f>+VLOOKUP($BD112,'Sep-25'!$A:$J,6,0)</f>
        <v>0</v>
      </c>
      <c r="DD112" s="106">
        <f>+VLOOKUP($BD112,'Oct-25'!$A:$J,6,0)</f>
        <v>0</v>
      </c>
      <c r="DE112" s="106">
        <f>+VLOOKUP($BD112,'Nov-25'!$A:$J,6,0)</f>
        <v>0</v>
      </c>
      <c r="DF112" s="106">
        <f>+VLOOKUP($BD112,'Dec-25'!$A:$J,6,0)</f>
        <v>0</v>
      </c>
      <c r="DG112" s="106">
        <f t="shared" si="1268"/>
        <v>6600</v>
      </c>
      <c r="DH112" s="118">
        <f t="shared" si="1191"/>
        <v>0</v>
      </c>
      <c r="DI112" s="106">
        <f>+_xlfn.XLOOKUP($CT112,Budget!$A:$A,Budget!BQ:BQ)</f>
        <v>0</v>
      </c>
      <c r="DJ112" s="106">
        <f>+_xlfn.XLOOKUP($CT112,Budget!$A:$A,Budget!BR:BR)</f>
        <v>0</v>
      </c>
      <c r="DK112" s="106">
        <f>+_xlfn.XLOOKUP($CT112,Budget!$A:$A,Budget!BS:BS)</f>
        <v>0</v>
      </c>
      <c r="DL112" s="106">
        <f>+_xlfn.XLOOKUP($CT112,Budget!$A:$A,Budget!BT:BT)</f>
        <v>0</v>
      </c>
      <c r="DM112" s="106">
        <f>+_xlfn.XLOOKUP($CT112,Budget!$A:$A,Budget!BU:BU)</f>
        <v>0</v>
      </c>
      <c r="DN112" s="106">
        <f>+_xlfn.XLOOKUP($CT112,Budget!$A:$A,Budget!BV:BV)</f>
        <v>0</v>
      </c>
      <c r="DO112" s="106">
        <f>+_xlfn.XLOOKUP($CT112,Budget!$A:$A,Budget!BW:BW)</f>
        <v>0</v>
      </c>
      <c r="DP112" s="106">
        <f>+_xlfn.XLOOKUP($CT112,Budget!$A:$A,Budget!BX:BX)</f>
        <v>0</v>
      </c>
      <c r="DQ112" s="106">
        <f>+_xlfn.XLOOKUP($CT112,Budget!$A:$A,Budget!BY:BY)</f>
        <v>0</v>
      </c>
      <c r="DR112" s="106">
        <f>+_xlfn.XLOOKUP($CT112,Budget!$A:$A,Budget!BZ:BZ)</f>
        <v>0</v>
      </c>
      <c r="DS112" s="106">
        <f>+_xlfn.XLOOKUP($CT112,Budget!$A:$A,Budget!CA:CA)</f>
        <v>0</v>
      </c>
      <c r="DT112" s="106">
        <f>+_xlfn.XLOOKUP($CT112,Budget!$A:$A,Budget!CB:CB)</f>
        <v>0</v>
      </c>
      <c r="DU112" s="106">
        <f t="shared" si="1269"/>
        <v>0</v>
      </c>
    </row>
    <row r="113" spans="1:125" ht="14.45" hidden="1" customHeight="1" outlineLevel="1">
      <c r="A113" s="106">
        <f t="shared" si="1225"/>
        <v>0</v>
      </c>
      <c r="B113" s="106">
        <f t="shared" si="1226"/>
        <v>0</v>
      </c>
      <c r="C113" s="106">
        <f t="shared" si="1227"/>
        <v>0</v>
      </c>
      <c r="D113" s="106">
        <f t="shared" si="1228"/>
        <v>0</v>
      </c>
      <c r="E113" s="106">
        <f t="shared" si="1229"/>
        <v>0</v>
      </c>
      <c r="F113" s="106">
        <f t="shared" si="1230"/>
        <v>0</v>
      </c>
      <c r="G113" s="106">
        <f t="shared" si="1231"/>
        <v>0</v>
      </c>
      <c r="H113" s="106">
        <f t="shared" si="1232"/>
        <v>0</v>
      </c>
      <c r="I113" s="106">
        <f t="shared" si="1233"/>
        <v>0</v>
      </c>
      <c r="J113" s="106">
        <f t="shared" si="1234"/>
        <v>0</v>
      </c>
      <c r="K113" s="106">
        <f t="shared" si="1235"/>
        <v>0</v>
      </c>
      <c r="L113" s="106">
        <f t="shared" si="1236"/>
        <v>0</v>
      </c>
      <c r="M113" s="106">
        <f t="shared" si="1237"/>
        <v>0</v>
      </c>
      <c r="N113" s="16" t="s">
        <v>225</v>
      </c>
      <c r="O113" s="106">
        <f t="shared" si="1238"/>
        <v>0</v>
      </c>
      <c r="P113" s="106">
        <f t="shared" si="1239"/>
        <v>0</v>
      </c>
      <c r="Q113" s="106">
        <f t="shared" si="1240"/>
        <v>0</v>
      </c>
      <c r="R113" s="106">
        <f t="shared" si="1241"/>
        <v>0</v>
      </c>
      <c r="S113" s="106">
        <f t="shared" si="1242"/>
        <v>1500</v>
      </c>
      <c r="T113" s="106">
        <f t="shared" si="1243"/>
        <v>0</v>
      </c>
      <c r="U113" s="106">
        <f t="shared" si="1244"/>
        <v>0</v>
      </c>
      <c r="V113" s="106">
        <f t="shared" si="1245"/>
        <v>0</v>
      </c>
      <c r="W113" s="106">
        <f t="shared" si="1246"/>
        <v>0</v>
      </c>
      <c r="X113" s="106">
        <f t="shared" si="1247"/>
        <v>0</v>
      </c>
      <c r="Y113" s="106">
        <f t="shared" si="1248"/>
        <v>0</v>
      </c>
      <c r="Z113" s="106">
        <f t="shared" si="1249"/>
        <v>0</v>
      </c>
      <c r="AA113" s="106">
        <f t="shared" si="1250"/>
        <v>1500</v>
      </c>
      <c r="AB113" s="118">
        <f t="shared" si="1189"/>
        <v>0</v>
      </c>
      <c r="AC113" s="106">
        <f t="shared" si="1251"/>
        <v>0</v>
      </c>
      <c r="AD113" s="106">
        <f t="shared" si="1252"/>
        <v>0</v>
      </c>
      <c r="AE113" s="106">
        <f t="shared" si="1253"/>
        <v>0</v>
      </c>
      <c r="AF113" s="106">
        <f t="shared" si="1254"/>
        <v>0</v>
      </c>
      <c r="AG113" s="106">
        <f t="shared" si="1255"/>
        <v>0</v>
      </c>
      <c r="AH113" s="106">
        <f t="shared" si="1256"/>
        <v>0</v>
      </c>
      <c r="AI113" s="106">
        <f t="shared" si="1257"/>
        <v>0</v>
      </c>
      <c r="AJ113" s="106">
        <f t="shared" si="1258"/>
        <v>0</v>
      </c>
      <c r="AK113" s="106">
        <f t="shared" si="1259"/>
        <v>0</v>
      </c>
      <c r="AL113" s="106">
        <f t="shared" si="1260"/>
        <v>0</v>
      </c>
      <c r="AM113" s="106">
        <f t="shared" si="1261"/>
        <v>0</v>
      </c>
      <c r="AN113" s="106">
        <f t="shared" si="1262"/>
        <v>0</v>
      </c>
      <c r="AO113" s="106">
        <f t="shared" si="1263"/>
        <v>0</v>
      </c>
      <c r="AQ113" s="22">
        <v>0</v>
      </c>
      <c r="AR113" s="22">
        <v>0</v>
      </c>
      <c r="AS113" s="22">
        <v>0</v>
      </c>
      <c r="AT113" s="22">
        <v>0</v>
      </c>
      <c r="AU113" s="22">
        <v>0</v>
      </c>
      <c r="AV113" s="22">
        <v>0</v>
      </c>
      <c r="AW113" s="22">
        <v>0</v>
      </c>
      <c r="AX113" s="22">
        <v>0</v>
      </c>
      <c r="AY113" s="22">
        <v>0</v>
      </c>
      <c r="AZ113" s="22">
        <v>0</v>
      </c>
      <c r="BA113" s="22">
        <v>0</v>
      </c>
      <c r="BB113" s="22">
        <v>0</v>
      </c>
      <c r="BC113" s="106">
        <f t="shared" si="1264"/>
        <v>0</v>
      </c>
      <c r="BD113" s="16" t="str">
        <f t="shared" si="871"/>
        <v>Sponcership</v>
      </c>
      <c r="BE113" s="106">
        <f>+VLOOKUP($BD113,'Jan-25'!$A:$J,2,0)</f>
        <v>0</v>
      </c>
      <c r="BF113" s="106">
        <f>+VLOOKUP($BD113,'Feb-25'!$A:$J,2,0)</f>
        <v>0</v>
      </c>
      <c r="BG113" s="106">
        <f>+VLOOKUP($BD113,'Mar-25'!$A:$J,2,0)</f>
        <v>0</v>
      </c>
      <c r="BH113" s="106">
        <f>+VLOOKUP($BD113,'Apr-25'!$A:$J,2,0)</f>
        <v>0</v>
      </c>
      <c r="BI113" s="106">
        <f>+VLOOKUP($BD113,'May-25'!$A:$J,2,0)</f>
        <v>0</v>
      </c>
      <c r="BJ113" s="106">
        <f>+VLOOKUP($BD113,'June-25'!$A:$J,2,0)</f>
        <v>0</v>
      </c>
      <c r="BK113" s="106">
        <f>+VLOOKUP($BD113,'July-25'!$A:$J,2,0)</f>
        <v>0</v>
      </c>
      <c r="BL113" s="106">
        <f>+VLOOKUP($BD113,'Aug-25'!$A:$J,2,0)</f>
        <v>0</v>
      </c>
      <c r="BM113" s="106">
        <f>+VLOOKUP($BD113,'Sep-25'!$A:$J,2,0)</f>
        <v>0</v>
      </c>
      <c r="BN113" s="106">
        <f>+VLOOKUP($BD113,'Oct-25'!$A:$J,2,0)</f>
        <v>0</v>
      </c>
      <c r="BO113" s="106">
        <f>+VLOOKUP($BD113,'Nov-25'!$A:$J,2,0)</f>
        <v>0</v>
      </c>
      <c r="BP113" s="106">
        <f>+VLOOKUP($BD113,'Dec-25'!$A:$J,2,0)</f>
        <v>0</v>
      </c>
      <c r="BQ113" s="106">
        <f t="shared" si="1265"/>
        <v>0</v>
      </c>
      <c r="BR113" s="118">
        <f t="shared" si="1190"/>
        <v>0</v>
      </c>
      <c r="BS113" s="106" cm="1">
        <f t="array" ref="BS113:CD113">+_xlfn.XLOOKUP(BD113,Budget!A:A,Budget!Q:AB)</f>
        <v>0</v>
      </c>
      <c r="BT113" s="106">
        <v>0</v>
      </c>
      <c r="BU113" s="106">
        <v>0</v>
      </c>
      <c r="BV113" s="106">
        <v>0</v>
      </c>
      <c r="BW113" s="106">
        <v>0</v>
      </c>
      <c r="BX113" s="106">
        <v>0</v>
      </c>
      <c r="BY113" s="106">
        <v>0</v>
      </c>
      <c r="BZ113" s="106">
        <v>0</v>
      </c>
      <c r="CA113" s="106">
        <v>0</v>
      </c>
      <c r="CB113" s="106">
        <v>0</v>
      </c>
      <c r="CC113" s="106">
        <v>0</v>
      </c>
      <c r="CD113" s="106">
        <v>0</v>
      </c>
      <c r="CE113" s="106">
        <f t="shared" si="1266"/>
        <v>0</v>
      </c>
      <c r="CF113" s="22"/>
      <c r="CG113" s="106">
        <v>0</v>
      </c>
      <c r="CH113" s="106">
        <v>0</v>
      </c>
      <c r="CI113" s="106">
        <v>0</v>
      </c>
      <c r="CJ113" s="106">
        <v>0</v>
      </c>
      <c r="CK113" s="106">
        <v>0</v>
      </c>
      <c r="CL113" s="106">
        <v>0</v>
      </c>
      <c r="CM113" s="106">
        <v>0</v>
      </c>
      <c r="CN113" s="106">
        <v>0</v>
      </c>
      <c r="CO113" s="106">
        <v>0</v>
      </c>
      <c r="CP113" s="106">
        <v>0</v>
      </c>
      <c r="CQ113" s="106">
        <v>0</v>
      </c>
      <c r="CR113" s="106">
        <v>0</v>
      </c>
      <c r="CS113" s="106">
        <f t="shared" si="1267"/>
        <v>0</v>
      </c>
      <c r="CT113" s="16" t="str">
        <f t="shared" si="875"/>
        <v>Sponcership</v>
      </c>
      <c r="CU113" s="106">
        <f>+VLOOKUP($BD113,'Jan-25'!$A:$J,6,0)</f>
        <v>0</v>
      </c>
      <c r="CV113" s="106">
        <f>+VLOOKUP($BD113,'Feb-25'!$A:$J,6,0)</f>
        <v>0</v>
      </c>
      <c r="CW113" s="106">
        <f>+VLOOKUP($BD113,'Mar-25'!$A:$J,6,0)</f>
        <v>0</v>
      </c>
      <c r="CX113" s="106">
        <f>+VLOOKUP($BD113,'Apr-25'!$A:$J,6,0)</f>
        <v>0</v>
      </c>
      <c r="CY113" s="106">
        <f>+VLOOKUP($BD113,'May-25'!$A:$J,6,0)</f>
        <v>1500</v>
      </c>
      <c r="CZ113" s="106">
        <f>+VLOOKUP($BD113,'June-25'!$A:$J,6,0)</f>
        <v>0</v>
      </c>
      <c r="DA113" s="106">
        <f>+VLOOKUP($BD113,'July-25'!$A:$J,6,0)</f>
        <v>0</v>
      </c>
      <c r="DB113" s="106">
        <f>+VLOOKUP($BD113,'Aug-25'!$A:$J,6,0)</f>
        <v>0</v>
      </c>
      <c r="DC113" s="106">
        <f>+VLOOKUP($BD113,'Sep-25'!$A:$J,6,0)</f>
        <v>0</v>
      </c>
      <c r="DD113" s="106">
        <f>+VLOOKUP($BD113,'Oct-25'!$A:$J,6,0)</f>
        <v>0</v>
      </c>
      <c r="DE113" s="106">
        <f>+VLOOKUP($BD113,'Nov-25'!$A:$J,6,0)</f>
        <v>0</v>
      </c>
      <c r="DF113" s="106">
        <f>+VLOOKUP($BD113,'Dec-25'!$A:$J,6,0)</f>
        <v>0</v>
      </c>
      <c r="DG113" s="106">
        <f t="shared" si="1268"/>
        <v>1500</v>
      </c>
      <c r="DH113" s="118">
        <f t="shared" si="1191"/>
        <v>0</v>
      </c>
      <c r="DI113" s="106">
        <f>+_xlfn.XLOOKUP($CT113,Budget!$A:$A,Budget!BQ:BQ)</f>
        <v>0</v>
      </c>
      <c r="DJ113" s="106">
        <f>+_xlfn.XLOOKUP($CT113,Budget!$A:$A,Budget!BR:BR)</f>
        <v>0</v>
      </c>
      <c r="DK113" s="106">
        <f>+_xlfn.XLOOKUP($CT113,Budget!$A:$A,Budget!BS:BS)</f>
        <v>0</v>
      </c>
      <c r="DL113" s="106">
        <f>+_xlfn.XLOOKUP($CT113,Budget!$A:$A,Budget!BT:BT)</f>
        <v>0</v>
      </c>
      <c r="DM113" s="106">
        <f>+_xlfn.XLOOKUP($CT113,Budget!$A:$A,Budget!BU:BU)</f>
        <v>0</v>
      </c>
      <c r="DN113" s="106">
        <f>+_xlfn.XLOOKUP($CT113,Budget!$A:$A,Budget!BV:BV)</f>
        <v>0</v>
      </c>
      <c r="DO113" s="106">
        <f>+_xlfn.XLOOKUP($CT113,Budget!$A:$A,Budget!BW:BW)</f>
        <v>0</v>
      </c>
      <c r="DP113" s="106">
        <f>+_xlfn.XLOOKUP($CT113,Budget!$A:$A,Budget!BX:BX)</f>
        <v>0</v>
      </c>
      <c r="DQ113" s="106">
        <f>+_xlfn.XLOOKUP($CT113,Budget!$A:$A,Budget!BY:BY)</f>
        <v>0</v>
      </c>
      <c r="DR113" s="106">
        <f>+_xlfn.XLOOKUP($CT113,Budget!$A:$A,Budget!BZ:BZ)</f>
        <v>0</v>
      </c>
      <c r="DS113" s="106">
        <f>+_xlfn.XLOOKUP($CT113,Budget!$A:$A,Budget!CA:CA)</f>
        <v>0</v>
      </c>
      <c r="DT113" s="106">
        <f>+_xlfn.XLOOKUP($CT113,Budget!$A:$A,Budget!CB:CB)</f>
        <v>0</v>
      </c>
      <c r="DU113" s="106">
        <f t="shared" si="1269"/>
        <v>0</v>
      </c>
    </row>
    <row r="114" spans="1:125" ht="14.45" hidden="1" customHeight="1" outlineLevel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18">
        <f t="shared" si="1189"/>
        <v>0</v>
      </c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6">
        <f t="shared" si="871"/>
        <v>0</v>
      </c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6"/>
      <c r="BQ114" s="106"/>
      <c r="BR114" s="118">
        <f t="shared" si="1190"/>
        <v>0</v>
      </c>
      <c r="BS114" s="106"/>
      <c r="BT114" s="106"/>
      <c r="BU114" s="106"/>
      <c r="BV114" s="106"/>
      <c r="BW114" s="106"/>
      <c r="BX114" s="106"/>
      <c r="BY114" s="106"/>
      <c r="BZ114" s="106"/>
      <c r="CA114" s="106"/>
      <c r="CB114" s="106"/>
      <c r="CC114" s="106"/>
      <c r="CD114" s="106"/>
      <c r="CE114" s="106"/>
      <c r="CF114" s="22"/>
      <c r="CG114" s="106"/>
      <c r="CH114" s="106"/>
      <c r="CI114" s="106"/>
      <c r="CJ114" s="106"/>
      <c r="CK114" s="106"/>
      <c r="CL114" s="106"/>
      <c r="CM114" s="106"/>
      <c r="CN114" s="106"/>
      <c r="CO114" s="106"/>
      <c r="CP114" s="106"/>
      <c r="CQ114" s="106"/>
      <c r="CR114" s="106"/>
      <c r="CS114" s="106"/>
      <c r="CT114" s="16">
        <f t="shared" si="875"/>
        <v>0</v>
      </c>
      <c r="CU114" s="106"/>
      <c r="CV114" s="106"/>
      <c r="CW114" s="106"/>
      <c r="CX114" s="106"/>
      <c r="CY114" s="106"/>
      <c r="CZ114" s="106"/>
      <c r="DA114" s="106"/>
      <c r="DB114" s="106"/>
      <c r="DC114" s="106"/>
      <c r="DD114" s="106"/>
      <c r="DE114" s="106"/>
      <c r="DF114" s="106"/>
      <c r="DG114" s="106"/>
      <c r="DH114" s="118">
        <f t="shared" si="1191"/>
        <v>0</v>
      </c>
      <c r="DI114" s="106"/>
      <c r="DJ114" s="106"/>
      <c r="DK114" s="106"/>
      <c r="DL114" s="106"/>
      <c r="DM114" s="106"/>
      <c r="DN114" s="106"/>
      <c r="DO114" s="106"/>
      <c r="DP114" s="106"/>
      <c r="DQ114" s="106"/>
      <c r="DR114" s="106"/>
      <c r="DS114" s="106"/>
      <c r="DT114" s="106"/>
      <c r="DU114" s="106"/>
    </row>
    <row r="115" spans="1:125" ht="14.45" customHeight="1" collapsed="1">
      <c r="A115" s="58">
        <f t="shared" ref="A115:M115" si="1270">+A116+A129+A133+A138+A146+A150</f>
        <v>3781793.1923717931</v>
      </c>
      <c r="B115" s="58">
        <f t="shared" si="1270"/>
        <v>4095979.6515384619</v>
      </c>
      <c r="C115" s="58">
        <f t="shared" si="1270"/>
        <v>4180291.4240384619</v>
      </c>
      <c r="D115" s="58">
        <f t="shared" si="1270"/>
        <v>4416688.1130384617</v>
      </c>
      <c r="E115" s="58">
        <f t="shared" si="1270"/>
        <v>4697318.1670384621</v>
      </c>
      <c r="F115" s="58">
        <f t="shared" si="1270"/>
        <v>4240341.3240384618</v>
      </c>
      <c r="G115" s="58">
        <f t="shared" si="1270"/>
        <v>4279769.6090384619</v>
      </c>
      <c r="H115" s="58">
        <f t="shared" si="1270"/>
        <v>4563450.0710384613</v>
      </c>
      <c r="I115" s="58">
        <f t="shared" si="1270"/>
        <v>4471373.5790384617</v>
      </c>
      <c r="J115" s="58">
        <f t="shared" si="1270"/>
        <v>4419429.4607051294</v>
      </c>
      <c r="K115" s="58">
        <f t="shared" si="1270"/>
        <v>3962186.365038462</v>
      </c>
      <c r="L115" s="58">
        <f t="shared" si="1270"/>
        <v>4707134.6220384622</v>
      </c>
      <c r="M115" s="58">
        <f t="shared" si="1270"/>
        <v>51815755.578961529</v>
      </c>
      <c r="N115" s="19" t="s">
        <v>93</v>
      </c>
      <c r="O115" s="58">
        <f t="shared" ref="O115" si="1271">+O116+O129+O133+O138+O146+O150</f>
        <v>4186944.6897435901</v>
      </c>
      <c r="P115" s="58">
        <f t="shared" ref="P115" si="1272">+P116+P129+P133+P138+P146+P150</f>
        <v>4203697.6132435892</v>
      </c>
      <c r="Q115" s="58">
        <f t="shared" ref="Q115" si="1273">+Q116+Q129+Q133+Q138+Q146+Q150</f>
        <v>4453360.4197435901</v>
      </c>
      <c r="R115" s="58">
        <f t="shared" ref="R115" si="1274">+R116+R129+R133+R138+R146+R150</f>
        <v>4348724.5392081738</v>
      </c>
      <c r="S115" s="58">
        <f t="shared" ref="S115" si="1275">+S116+S129+S133+S138+S146+S150</f>
        <v>4232598.1452748403</v>
      </c>
      <c r="T115" s="58">
        <f t="shared" ref="T115" si="1276">+T116+T129+T133+T138+T146+T150</f>
        <v>4607371.1352748396</v>
      </c>
      <c r="U115" s="58">
        <f t="shared" ref="U115" si="1277">+U116+U129+U133+U138+U146+U150</f>
        <v>4488918.5558752958</v>
      </c>
      <c r="V115" s="58">
        <f t="shared" ref="V115" si="1278">+V116+V129+V133+V138+V146+V150</f>
        <v>3959454.6852748399</v>
      </c>
      <c r="W115" s="58">
        <f t="shared" ref="W115" si="1279">+W116+W129+W133+W138+W146+W150</f>
        <v>4251532.6502748393</v>
      </c>
      <c r="X115" s="58">
        <f t="shared" ref="X115" si="1280">+X116+X129+X133+X138+X146+X150</f>
        <v>4340484.7902748398</v>
      </c>
      <c r="Y115" s="58">
        <f t="shared" ref="Y115" si="1281">+Y116+Y129+Y133+Y138+Y146+Y150</f>
        <v>0</v>
      </c>
      <c r="Z115" s="58">
        <f t="shared" ref="Z115" si="1282">+Z116+Z129+Z133+Z138+Z146+Z150</f>
        <v>0</v>
      </c>
      <c r="AA115" s="58">
        <f t="shared" ref="AA115" si="1283">+AA116+AA129+AA133+AA138+AA146+AA150</f>
        <v>43073087.224188432</v>
      </c>
      <c r="AB115" s="118">
        <f t="shared" si="1189"/>
        <v>-0.1110788872100221</v>
      </c>
      <c r="AC115" s="58">
        <f t="shared" ref="AC115" si="1284">+AC116+AC129+AC133+AC138+AC146+AC150</f>
        <v>4587701.7091915067</v>
      </c>
      <c r="AD115" s="58">
        <f t="shared" ref="AD115" si="1285">+AD116+AD129+AD133+AD138+AD146+AD150</f>
        <v>4587701.7091915067</v>
      </c>
      <c r="AE115" s="58">
        <f t="shared" ref="AE115" si="1286">+AE116+AE129+AE133+AE138+AE146+AE150</f>
        <v>4610701.7091915067</v>
      </c>
      <c r="AF115" s="58">
        <f t="shared" ref="AF115" si="1287">+AF116+AF129+AF133+AF138+AF146+AF150</f>
        <v>4641368.3758581737</v>
      </c>
      <c r="AG115" s="58">
        <f t="shared" ref="AG115" si="1288">+AG116+AG129+AG133+AG138+AG146+AG150</f>
        <v>4587701.7091915067</v>
      </c>
      <c r="AH115" s="58">
        <f t="shared" ref="AH115" si="1289">+AH116+AH129+AH133+AH138+AH146+AH150</f>
        <v>4591535.0425248398</v>
      </c>
      <c r="AI115" s="58">
        <f t="shared" ref="AI115" si="1290">+AI116+AI129+AI133+AI138+AI146+AI150</f>
        <v>4587701.7091915067</v>
      </c>
      <c r="AJ115" s="58">
        <f t="shared" ref="AJ115" si="1291">+AJ116+AJ129+AJ133+AJ138+AJ146+AJ150</f>
        <v>4587701.7091915067</v>
      </c>
      <c r="AK115" s="58">
        <f t="shared" ref="AK115" si="1292">+AK116+AK129+AK133+AK138+AK146+AK150</f>
        <v>4610701.7091915067</v>
      </c>
      <c r="AL115" s="58">
        <f t="shared" ref="AL115" si="1293">+AL116+AL129+AL133+AL138+AL146+AL150</f>
        <v>4882868.3758581737</v>
      </c>
      <c r="AM115" s="58">
        <f t="shared" ref="AM115" si="1294">+AM116+AM129+AM133+AM138+AM146+AM150</f>
        <v>4587701.7091915067</v>
      </c>
      <c r="AN115" s="58">
        <f t="shared" ref="AN115" si="1295">+AN116+AN129+AN133+AN138+AN146+AN150</f>
        <v>4641535.0425248398</v>
      </c>
      <c r="AO115" s="58">
        <f t="shared" ref="AO115" si="1296">+AO116+AO129+AO133+AO138+AO146+AO150</f>
        <v>55504920.510298073</v>
      </c>
      <c r="AQ115" s="58">
        <f t="shared" ref="AQ115:BC115" si="1297">+AQ116+AQ129+AQ133+AQ138+AQ146+AQ150</f>
        <v>2316494.9968589731</v>
      </c>
      <c r="AR115" s="58">
        <f t="shared" si="1297"/>
        <v>2557922.6558333337</v>
      </c>
      <c r="AS115" s="58">
        <f t="shared" si="1297"/>
        <v>2588469.4958333336</v>
      </c>
      <c r="AT115" s="58">
        <f t="shared" si="1297"/>
        <v>2655278.3578333333</v>
      </c>
      <c r="AU115" s="58">
        <f t="shared" si="1297"/>
        <v>2967588.6698333337</v>
      </c>
      <c r="AV115" s="58">
        <f t="shared" si="1297"/>
        <v>2589323.2658333331</v>
      </c>
      <c r="AW115" s="58">
        <f t="shared" si="1297"/>
        <v>2641774.2058333335</v>
      </c>
      <c r="AX115" s="58">
        <f t="shared" si="1297"/>
        <v>2832060.9018333331</v>
      </c>
      <c r="AY115" s="58">
        <f t="shared" si="1297"/>
        <v>2833012.2858333332</v>
      </c>
      <c r="AZ115" s="58">
        <f t="shared" si="1297"/>
        <v>2872608.6124999998</v>
      </c>
      <c r="BA115" s="58">
        <f t="shared" si="1297"/>
        <v>2683561.7438333337</v>
      </c>
      <c r="BB115" s="58">
        <f t="shared" si="1297"/>
        <v>3361950.2598333335</v>
      </c>
      <c r="BC115" s="58">
        <f t="shared" si="1297"/>
        <v>32900045.451692306</v>
      </c>
      <c r="BD115" s="19" t="s">
        <v>211</v>
      </c>
      <c r="BE115" s="58">
        <f t="shared" ref="BE115:BQ115" si="1298">+BE116+BE129+BE133+BE138+BE146+BE150</f>
        <v>3067510.0756410258</v>
      </c>
      <c r="BF115" s="58">
        <f t="shared" si="1298"/>
        <v>3146301.153641026</v>
      </c>
      <c r="BG115" s="58">
        <f t="shared" si="1298"/>
        <v>3315124.9756410262</v>
      </c>
      <c r="BH115" s="58">
        <f t="shared" si="1298"/>
        <v>3204931.7815972758</v>
      </c>
      <c r="BI115" s="58">
        <f t="shared" si="1298"/>
        <v>3179213.594797276</v>
      </c>
      <c r="BJ115" s="58">
        <f t="shared" si="1298"/>
        <v>3309611.2447972759</v>
      </c>
      <c r="BK115" s="58">
        <f t="shared" si="1298"/>
        <v>3343648.0188703355</v>
      </c>
      <c r="BL115" s="58">
        <f t="shared" si="1298"/>
        <v>2930063.7347972756</v>
      </c>
      <c r="BM115" s="58">
        <f t="shared" si="1298"/>
        <v>3094386.7047972758</v>
      </c>
      <c r="BN115" s="58">
        <f t="shared" si="1298"/>
        <v>2989063.2587972754</v>
      </c>
      <c r="BO115" s="58">
        <f t="shared" si="1298"/>
        <v>0</v>
      </c>
      <c r="BP115" s="58">
        <f t="shared" si="1298"/>
        <v>0</v>
      </c>
      <c r="BQ115" s="58">
        <f t="shared" si="1298"/>
        <v>31579854.543377064</v>
      </c>
      <c r="BR115" s="118">
        <f t="shared" si="1190"/>
        <v>-0.15728477882342254</v>
      </c>
      <c r="BS115" s="58">
        <f t="shared" ref="BS115:CE115" si="1299">+BS116+BS129+BS133+BS138+BS146+BS150</f>
        <v>3338401.8127972758</v>
      </c>
      <c r="BT115" s="58">
        <f t="shared" si="1299"/>
        <v>3338401.8127972758</v>
      </c>
      <c r="BU115" s="58">
        <f t="shared" si="1299"/>
        <v>3354651.8127972758</v>
      </c>
      <c r="BV115" s="58">
        <f t="shared" si="1299"/>
        <v>3376318.4794639423</v>
      </c>
      <c r="BW115" s="58">
        <f t="shared" si="1299"/>
        <v>3338401.8127972758</v>
      </c>
      <c r="BX115" s="58">
        <f t="shared" si="1299"/>
        <v>3341110.1461306089</v>
      </c>
      <c r="BY115" s="58">
        <f t="shared" si="1299"/>
        <v>3338401.8127972758</v>
      </c>
      <c r="BZ115" s="58">
        <f t="shared" si="1299"/>
        <v>3338401.8127972758</v>
      </c>
      <c r="CA115" s="58">
        <f t="shared" si="1299"/>
        <v>3354651.8127972758</v>
      </c>
      <c r="CB115" s="58">
        <f t="shared" si="1299"/>
        <v>3546943.4794639423</v>
      </c>
      <c r="CC115" s="58">
        <f t="shared" si="1299"/>
        <v>3338401.8127972758</v>
      </c>
      <c r="CD115" s="58">
        <f t="shared" si="1299"/>
        <v>3371110.1461306089</v>
      </c>
      <c r="CE115" s="58">
        <f t="shared" si="1299"/>
        <v>40375196.753567308</v>
      </c>
      <c r="CF115" s="22"/>
      <c r="CG115" s="58">
        <f t="shared" ref="CG115:CS115" si="1300">+CG116+CG129+CG133+CG138+CG146+CG150</f>
        <v>1465298.1955128198</v>
      </c>
      <c r="CH115" s="58">
        <f t="shared" si="1300"/>
        <v>1538056.9957051282</v>
      </c>
      <c r="CI115" s="58">
        <f t="shared" si="1300"/>
        <v>1591821.9282051283</v>
      </c>
      <c r="CJ115" s="58">
        <f t="shared" si="1300"/>
        <v>1761409.7552051283</v>
      </c>
      <c r="CK115" s="58">
        <f t="shared" si="1300"/>
        <v>1729729.4972051287</v>
      </c>
      <c r="CL115" s="58">
        <f t="shared" si="1300"/>
        <v>1651018.0582051284</v>
      </c>
      <c r="CM115" s="58">
        <f t="shared" si="1300"/>
        <v>1637995.4032051284</v>
      </c>
      <c r="CN115" s="58">
        <f t="shared" si="1300"/>
        <v>1731389.1692051282</v>
      </c>
      <c r="CO115" s="58">
        <f t="shared" si="1300"/>
        <v>1638361.2932051281</v>
      </c>
      <c r="CP115" s="58">
        <f t="shared" si="1300"/>
        <v>1546820.8482051282</v>
      </c>
      <c r="CQ115" s="58">
        <f t="shared" si="1300"/>
        <v>1278624.6212051283</v>
      </c>
      <c r="CR115" s="58">
        <f t="shared" si="1300"/>
        <v>1345184.3622051282</v>
      </c>
      <c r="CS115" s="58">
        <f t="shared" si="1300"/>
        <v>18915710.127269223</v>
      </c>
      <c r="CT115" s="19" t="str">
        <f t="shared" si="875"/>
        <v>Personnel Expenses</v>
      </c>
      <c r="CU115" s="58">
        <f t="shared" ref="CU115:DG115" si="1301">+CU116+CU129+CU133+CU138+CU146+CU150</f>
        <v>1119434.6141025643</v>
      </c>
      <c r="CV115" s="58">
        <f t="shared" si="1301"/>
        <v>1057396.4596025641</v>
      </c>
      <c r="CW115" s="58">
        <f t="shared" si="1301"/>
        <v>1138235.4441025641</v>
      </c>
      <c r="CX115" s="58">
        <f t="shared" si="1301"/>
        <v>1143792.7576108975</v>
      </c>
      <c r="CY115" s="58">
        <f t="shared" si="1301"/>
        <v>1053384.5504775641</v>
      </c>
      <c r="CZ115" s="58">
        <f t="shared" si="1301"/>
        <v>1297759.890477564</v>
      </c>
      <c r="DA115" s="58">
        <f t="shared" si="1301"/>
        <v>1145270.5370049614</v>
      </c>
      <c r="DB115" s="58">
        <f t="shared" si="1301"/>
        <v>1029390.950477564</v>
      </c>
      <c r="DC115" s="58">
        <f t="shared" si="1301"/>
        <v>1157145.9454775639</v>
      </c>
      <c r="DD115" s="58">
        <f t="shared" si="1301"/>
        <v>1351421.531477564</v>
      </c>
      <c r="DE115" s="58">
        <f t="shared" si="1301"/>
        <v>0</v>
      </c>
      <c r="DF115" s="58">
        <f t="shared" si="1301"/>
        <v>0</v>
      </c>
      <c r="DG115" s="58">
        <f t="shared" si="1301"/>
        <v>11493232.680811374</v>
      </c>
      <c r="DH115" s="118">
        <f t="shared" si="1191"/>
        <v>1.1599929850218398E-2</v>
      </c>
      <c r="DI115" s="58">
        <f t="shared" ref="DI115:DU115" si="1302">+DI116+DI129+DI133+DI138+DI146+DI150</f>
        <v>1249299.8963942307</v>
      </c>
      <c r="DJ115" s="58">
        <f t="shared" si="1302"/>
        <v>1249299.8963942307</v>
      </c>
      <c r="DK115" s="58">
        <f t="shared" si="1302"/>
        <v>1256049.8963942307</v>
      </c>
      <c r="DL115" s="58">
        <f t="shared" si="1302"/>
        <v>1265049.8963942307</v>
      </c>
      <c r="DM115" s="58">
        <f t="shared" si="1302"/>
        <v>1249299.8963942307</v>
      </c>
      <c r="DN115" s="58">
        <f t="shared" si="1302"/>
        <v>1250424.8963942307</v>
      </c>
      <c r="DO115" s="58">
        <f t="shared" si="1302"/>
        <v>1249299.8963942307</v>
      </c>
      <c r="DP115" s="58">
        <f t="shared" si="1302"/>
        <v>1249299.8963942307</v>
      </c>
      <c r="DQ115" s="58">
        <f t="shared" si="1302"/>
        <v>1256049.8963942307</v>
      </c>
      <c r="DR115" s="58">
        <f t="shared" si="1302"/>
        <v>1335924.8963942307</v>
      </c>
      <c r="DS115" s="58">
        <f t="shared" si="1302"/>
        <v>1249299.8963942307</v>
      </c>
      <c r="DT115" s="58">
        <f t="shared" si="1302"/>
        <v>1270424.8963942307</v>
      </c>
      <c r="DU115" s="58">
        <f t="shared" si="1302"/>
        <v>15129723.756730769</v>
      </c>
    </row>
    <row r="116" spans="1:125" ht="14.45" hidden="1" customHeight="1" outlineLevel="1">
      <c r="A116" s="58">
        <f t="shared" ref="A116:M116" si="1303">+SUM(A117:A128)</f>
        <v>3187777.2707051262</v>
      </c>
      <c r="B116" s="58">
        <f t="shared" si="1303"/>
        <v>3332475.0778717948</v>
      </c>
      <c r="C116" s="58">
        <f t="shared" si="1303"/>
        <v>3506401.0073717949</v>
      </c>
      <c r="D116" s="58">
        <f t="shared" si="1303"/>
        <v>3544788.607371795</v>
      </c>
      <c r="E116" s="58">
        <f t="shared" si="1303"/>
        <v>3577015.4073717953</v>
      </c>
      <c r="F116" s="58">
        <f t="shared" si="1303"/>
        <v>3568498.4073717953</v>
      </c>
      <c r="G116" s="58">
        <f t="shared" si="1303"/>
        <v>3517269.4073717953</v>
      </c>
      <c r="H116" s="58">
        <f t="shared" si="1303"/>
        <v>3565708.857371795</v>
      </c>
      <c r="I116" s="58">
        <f t="shared" si="1303"/>
        <v>3538388.9573717951</v>
      </c>
      <c r="J116" s="58">
        <f t="shared" si="1303"/>
        <v>3437014.9573717951</v>
      </c>
      <c r="K116" s="58">
        <f t="shared" si="1303"/>
        <v>2731203.4573717951</v>
      </c>
      <c r="L116" s="58">
        <f t="shared" si="1303"/>
        <v>3463583.4573717951</v>
      </c>
      <c r="M116" s="58">
        <f t="shared" si="1303"/>
        <v>40970124.872294866</v>
      </c>
      <c r="N116" s="20" t="s">
        <v>94</v>
      </c>
      <c r="O116" s="58">
        <f t="shared" ref="O116" si="1304">+SUM(O117:O128)</f>
        <v>3577762.2564102565</v>
      </c>
      <c r="P116" s="58">
        <f t="shared" ref="P116" si="1305">+SUM(P117:P128)</f>
        <v>3547097.9664102565</v>
      </c>
      <c r="Q116" s="58">
        <f t="shared" ref="Q116" si="1306">+SUM(Q117:Q128)</f>
        <v>3573470.2564102565</v>
      </c>
      <c r="R116" s="58">
        <f t="shared" ref="R116" si="1307">+SUM(R117:R128)</f>
        <v>3644741.9802748398</v>
      </c>
      <c r="S116" s="58">
        <f t="shared" ref="S116" si="1308">+SUM(S117:S128)</f>
        <v>3614934.9802748398</v>
      </c>
      <c r="T116" s="58">
        <f t="shared" ref="T116" si="1309">+SUM(T117:T128)</f>
        <v>3178471.5202748398</v>
      </c>
      <c r="U116" s="58">
        <f t="shared" ref="U116" si="1310">+SUM(U117:U128)</f>
        <v>3440541.5202748398</v>
      </c>
      <c r="V116" s="58">
        <f t="shared" ref="V116" si="1311">+SUM(V117:V128)</f>
        <v>3320541.5202748398</v>
      </c>
      <c r="W116" s="58">
        <f t="shared" ref="W116" si="1312">+SUM(W117:W128)</f>
        <v>3515840.9802748398</v>
      </c>
      <c r="X116" s="58">
        <f t="shared" ref="X116" si="1313">+SUM(X117:X128)</f>
        <v>3110432.2302748398</v>
      </c>
      <c r="Y116" s="58">
        <f t="shared" ref="Y116" si="1314">+SUM(Y117:Y128)</f>
        <v>0</v>
      </c>
      <c r="Z116" s="58">
        <f t="shared" ref="Z116" si="1315">+SUM(Z117:Z128)</f>
        <v>0</v>
      </c>
      <c r="AA116" s="58">
        <f t="shared" ref="AA116" si="1316">+SUM(AA117:AA128)</f>
        <v>34523835.211154647</v>
      </c>
      <c r="AB116" s="118">
        <f t="shared" si="1189"/>
        <v>-0.15684941690926599</v>
      </c>
      <c r="AC116" s="58">
        <f t="shared" ref="AC116" si="1317">+SUM(AC117:AC128)</f>
        <v>3689058.9802748398</v>
      </c>
      <c r="AD116" s="58">
        <f t="shared" ref="AD116" si="1318">+SUM(AD117:AD128)</f>
        <v>3689058.9802748398</v>
      </c>
      <c r="AE116" s="58">
        <f t="shared" ref="AE116" si="1319">+SUM(AE117:AE128)</f>
        <v>3689058.9802748398</v>
      </c>
      <c r="AF116" s="58">
        <f t="shared" ref="AF116" si="1320">+SUM(AF117:AF128)</f>
        <v>3689058.9802748398</v>
      </c>
      <c r="AG116" s="58">
        <f t="shared" ref="AG116" si="1321">+SUM(AG117:AG128)</f>
        <v>3689058.9802748398</v>
      </c>
      <c r="AH116" s="58">
        <f t="shared" ref="AH116" si="1322">+SUM(AH117:AH128)</f>
        <v>3689058.9802748398</v>
      </c>
      <c r="AI116" s="58">
        <f t="shared" ref="AI116" si="1323">+SUM(AI117:AI128)</f>
        <v>3689058.9802748398</v>
      </c>
      <c r="AJ116" s="58">
        <f t="shared" ref="AJ116" si="1324">+SUM(AJ117:AJ128)</f>
        <v>3689058.9802748398</v>
      </c>
      <c r="AK116" s="58">
        <f t="shared" ref="AK116" si="1325">+SUM(AK117:AK128)</f>
        <v>3689058.9802748398</v>
      </c>
      <c r="AL116" s="58">
        <f t="shared" ref="AL116" si="1326">+SUM(AL117:AL128)</f>
        <v>3689058.9802748398</v>
      </c>
      <c r="AM116" s="58">
        <f t="shared" ref="AM116" si="1327">+SUM(AM117:AM128)</f>
        <v>3689058.9802748398</v>
      </c>
      <c r="AN116" s="58">
        <f t="shared" ref="AN116" si="1328">+SUM(AN117:AN128)</f>
        <v>3689058.9802748398</v>
      </c>
      <c r="AO116" s="58">
        <f t="shared" ref="AO116" si="1329">+SUM(AO117:AO128)</f>
        <v>44268707.763298079</v>
      </c>
      <c r="AQ116" s="58">
        <f t="shared" ref="AQ116:BC116" si="1330">+SUM(AQ117:AQ128)</f>
        <v>1916353.4635256398</v>
      </c>
      <c r="AR116" s="58">
        <f t="shared" si="1330"/>
        <v>2015551.7165000001</v>
      </c>
      <c r="AS116" s="58">
        <f t="shared" si="1330"/>
        <v>2098368.7625000002</v>
      </c>
      <c r="AT116" s="58">
        <f t="shared" si="1330"/>
        <v>2102065.1625000001</v>
      </c>
      <c r="AU116" s="58">
        <f t="shared" si="1330"/>
        <v>2148740.5625</v>
      </c>
      <c r="AV116" s="58">
        <f t="shared" si="1330"/>
        <v>2140341.5625</v>
      </c>
      <c r="AW116" s="58">
        <f t="shared" si="1330"/>
        <v>2099540.5625</v>
      </c>
      <c r="AX116" s="58">
        <f t="shared" si="1330"/>
        <v>2181877.1625000001</v>
      </c>
      <c r="AY116" s="58">
        <f t="shared" si="1330"/>
        <v>2142274.2925</v>
      </c>
      <c r="AZ116" s="58">
        <f t="shared" si="1330"/>
        <v>2114783.1625000001</v>
      </c>
      <c r="BA116" s="58">
        <f t="shared" si="1330"/>
        <v>2003299.9625000001</v>
      </c>
      <c r="BB116" s="58">
        <f t="shared" si="1330"/>
        <v>2439502.9625000004</v>
      </c>
      <c r="BC116" s="58">
        <f t="shared" si="1330"/>
        <v>25402699.335025638</v>
      </c>
      <c r="BD116" s="16" t="str">
        <f t="shared" si="871"/>
        <v>Salaries and Allowances</v>
      </c>
      <c r="BE116" s="58">
        <f t="shared" ref="BE116:BQ116" si="1331">+SUM(BE117:BE128)</f>
        <v>2699458.025641026</v>
      </c>
      <c r="BF116" s="58">
        <f t="shared" si="1331"/>
        <v>2669485.025641026</v>
      </c>
      <c r="BG116" s="58">
        <f t="shared" si="1331"/>
        <v>2661283.025641026</v>
      </c>
      <c r="BH116" s="58">
        <f t="shared" si="1331"/>
        <v>2727351.9947972759</v>
      </c>
      <c r="BI116" s="58">
        <f t="shared" si="1331"/>
        <v>2751918.9947972759</v>
      </c>
      <c r="BJ116" s="58">
        <f t="shared" si="1331"/>
        <v>2443114.114797276</v>
      </c>
      <c r="BK116" s="58">
        <f t="shared" si="1331"/>
        <v>2567532.114797276</v>
      </c>
      <c r="BL116" s="58">
        <f t="shared" si="1331"/>
        <v>2442179.114797276</v>
      </c>
      <c r="BM116" s="58">
        <f t="shared" si="1331"/>
        <v>2555937.9947972759</v>
      </c>
      <c r="BN116" s="58">
        <f t="shared" si="1331"/>
        <v>2127441.9947972754</v>
      </c>
      <c r="BO116" s="58">
        <f t="shared" si="1331"/>
        <v>0</v>
      </c>
      <c r="BP116" s="58">
        <f t="shared" si="1331"/>
        <v>0</v>
      </c>
      <c r="BQ116" s="58">
        <f t="shared" si="1331"/>
        <v>25645702.400504004</v>
      </c>
      <c r="BR116" s="118">
        <f t="shared" si="1190"/>
        <v>-0.22411887266633179</v>
      </c>
      <c r="BS116" s="58">
        <f t="shared" ref="BS116:CE116" si="1332">+SUM(BS117:BS128)</f>
        <v>2741968.9947972759</v>
      </c>
      <c r="BT116" s="58">
        <f t="shared" si="1332"/>
        <v>2741968.9947972759</v>
      </c>
      <c r="BU116" s="58">
        <f t="shared" si="1332"/>
        <v>2741968.9947972759</v>
      </c>
      <c r="BV116" s="58">
        <f t="shared" si="1332"/>
        <v>2741968.9947972759</v>
      </c>
      <c r="BW116" s="58">
        <f t="shared" si="1332"/>
        <v>2741968.9947972759</v>
      </c>
      <c r="BX116" s="58">
        <f t="shared" si="1332"/>
        <v>2741968.9947972759</v>
      </c>
      <c r="BY116" s="58">
        <f t="shared" si="1332"/>
        <v>2741968.9947972759</v>
      </c>
      <c r="BZ116" s="58">
        <f t="shared" si="1332"/>
        <v>2741968.9947972759</v>
      </c>
      <c r="CA116" s="58">
        <f t="shared" si="1332"/>
        <v>2741968.9947972759</v>
      </c>
      <c r="CB116" s="58">
        <f t="shared" si="1332"/>
        <v>2741968.9947972759</v>
      </c>
      <c r="CC116" s="58">
        <f t="shared" si="1332"/>
        <v>2741968.9947972759</v>
      </c>
      <c r="CD116" s="58">
        <f t="shared" si="1332"/>
        <v>2741968.9947972759</v>
      </c>
      <c r="CE116" s="58">
        <f t="shared" si="1332"/>
        <v>32903627.937567309</v>
      </c>
      <c r="CF116" s="22"/>
      <c r="CG116" s="58">
        <f t="shared" ref="CG116:CS116" si="1333">+SUM(CG117:CG128)</f>
        <v>1271423.8071794866</v>
      </c>
      <c r="CH116" s="58">
        <f t="shared" si="1333"/>
        <v>1316923.3613717949</v>
      </c>
      <c r="CI116" s="58">
        <f t="shared" si="1333"/>
        <v>1408032.2448717949</v>
      </c>
      <c r="CJ116" s="58">
        <f t="shared" si="1333"/>
        <v>1442723.4448717949</v>
      </c>
      <c r="CK116" s="58">
        <f t="shared" si="1333"/>
        <v>1428274.844871795</v>
      </c>
      <c r="CL116" s="58">
        <f t="shared" si="1333"/>
        <v>1428156.844871795</v>
      </c>
      <c r="CM116" s="58">
        <f t="shared" si="1333"/>
        <v>1417728.844871795</v>
      </c>
      <c r="CN116" s="58">
        <f t="shared" si="1333"/>
        <v>1383831.6948717949</v>
      </c>
      <c r="CO116" s="58">
        <f t="shared" si="1333"/>
        <v>1396114.6648717949</v>
      </c>
      <c r="CP116" s="58">
        <f t="shared" si="1333"/>
        <v>1322231.794871795</v>
      </c>
      <c r="CQ116" s="58">
        <f t="shared" si="1333"/>
        <v>727903.49487179483</v>
      </c>
      <c r="CR116" s="58">
        <f t="shared" si="1333"/>
        <v>1024080.4948717948</v>
      </c>
      <c r="CS116" s="58">
        <f t="shared" si="1333"/>
        <v>15567425.537269227</v>
      </c>
      <c r="CT116" s="16" t="str">
        <f t="shared" si="875"/>
        <v>Salaries and Allowances</v>
      </c>
      <c r="CU116" s="58">
        <f t="shared" ref="CU116:DG116" si="1334">+SUM(CU117:CU128)</f>
        <v>878304.23076923075</v>
      </c>
      <c r="CV116" s="58">
        <f t="shared" si="1334"/>
        <v>877612.94076923071</v>
      </c>
      <c r="CW116" s="58">
        <f t="shared" si="1334"/>
        <v>912187.23076923075</v>
      </c>
      <c r="CX116" s="58">
        <f t="shared" si="1334"/>
        <v>917389.98547756404</v>
      </c>
      <c r="CY116" s="58">
        <f t="shared" si="1334"/>
        <v>863015.98547756404</v>
      </c>
      <c r="CZ116" s="58">
        <f t="shared" si="1334"/>
        <v>735357.40547756408</v>
      </c>
      <c r="DA116" s="58">
        <f t="shared" si="1334"/>
        <v>873009.40547756408</v>
      </c>
      <c r="DB116" s="58">
        <f t="shared" si="1334"/>
        <v>878362.40547756408</v>
      </c>
      <c r="DC116" s="58">
        <f t="shared" si="1334"/>
        <v>959902.98547756404</v>
      </c>
      <c r="DD116" s="58">
        <f t="shared" si="1334"/>
        <v>982990.23547756404</v>
      </c>
      <c r="DE116" s="58">
        <f t="shared" si="1334"/>
        <v>0</v>
      </c>
      <c r="DF116" s="58">
        <f t="shared" si="1334"/>
        <v>0</v>
      </c>
      <c r="DG116" s="58">
        <f t="shared" si="1334"/>
        <v>8878132.8106506411</v>
      </c>
      <c r="DH116" s="118">
        <f t="shared" si="1191"/>
        <v>3.790584902225265E-2</v>
      </c>
      <c r="DI116" s="58">
        <f t="shared" ref="DI116:DU116" si="1335">+SUM(DI117:DI128)</f>
        <v>947089.98547756404</v>
      </c>
      <c r="DJ116" s="58">
        <f t="shared" si="1335"/>
        <v>947089.98547756404</v>
      </c>
      <c r="DK116" s="58">
        <f t="shared" si="1335"/>
        <v>947089.98547756404</v>
      </c>
      <c r="DL116" s="58">
        <f t="shared" si="1335"/>
        <v>947089.98547756404</v>
      </c>
      <c r="DM116" s="58">
        <f t="shared" si="1335"/>
        <v>947089.98547756404</v>
      </c>
      <c r="DN116" s="58">
        <f t="shared" si="1335"/>
        <v>947089.98547756404</v>
      </c>
      <c r="DO116" s="58">
        <f t="shared" si="1335"/>
        <v>947089.98547756404</v>
      </c>
      <c r="DP116" s="58">
        <f t="shared" si="1335"/>
        <v>947089.98547756404</v>
      </c>
      <c r="DQ116" s="58">
        <f t="shared" si="1335"/>
        <v>947089.98547756404</v>
      </c>
      <c r="DR116" s="58">
        <f t="shared" si="1335"/>
        <v>947089.98547756404</v>
      </c>
      <c r="DS116" s="58">
        <f t="shared" si="1335"/>
        <v>947089.98547756404</v>
      </c>
      <c r="DT116" s="58">
        <f t="shared" si="1335"/>
        <v>947089.98547756404</v>
      </c>
      <c r="DU116" s="58">
        <f t="shared" si="1335"/>
        <v>11365079.825730771</v>
      </c>
    </row>
    <row r="117" spans="1:125" ht="14.45" hidden="1" customHeight="1" outlineLevel="2">
      <c r="A117" s="106">
        <f t="shared" ref="A117:A128" si="1336">+AQ117+CG117</f>
        <v>1123567.3493333315</v>
      </c>
      <c r="B117" s="106">
        <f t="shared" ref="B117:B128" si="1337">+AR117+CH117</f>
        <v>1212799.8905</v>
      </c>
      <c r="C117" s="106">
        <f t="shared" ref="C117:C128" si="1338">+AS117+CI117</f>
        <v>1406541.45</v>
      </c>
      <c r="D117" s="106">
        <f t="shared" ref="D117:D128" si="1339">+AT117+CJ117</f>
        <v>1419815.45</v>
      </c>
      <c r="E117" s="106">
        <f t="shared" ref="E117:E128" si="1340">+AU117+CK117</f>
        <v>1444751.45</v>
      </c>
      <c r="F117" s="106">
        <f t="shared" ref="F117:F128" si="1341">+AV117+CL117</f>
        <v>1448153.45</v>
      </c>
      <c r="G117" s="106">
        <f t="shared" ref="G117:G128" si="1342">+AW117+CM117</f>
        <v>1421622.45</v>
      </c>
      <c r="H117" s="106">
        <f t="shared" ref="H117:H128" si="1343">+AX117+CN117</f>
        <v>1448704.5499999998</v>
      </c>
      <c r="I117" s="106">
        <f t="shared" ref="I117:I128" si="1344">+AY117+CO117</f>
        <v>1433286.67</v>
      </c>
      <c r="J117" s="106">
        <f t="shared" ref="J117:J128" si="1345">+AZ117+CP117</f>
        <v>1373010</v>
      </c>
      <c r="K117" s="106">
        <f t="shared" ref="K117:K128" si="1346">+BA117+CQ117</f>
        <v>1093657</v>
      </c>
      <c r="L117" s="106">
        <f t="shared" ref="L117:L128" si="1347">+BB117+CR117</f>
        <v>1404136</v>
      </c>
      <c r="M117" s="106">
        <f t="shared" ref="M117:M128" si="1348">+SUM(A117:L117)</f>
        <v>16230045.709833333</v>
      </c>
      <c r="N117" s="16" t="s">
        <v>95</v>
      </c>
      <c r="O117" s="106">
        <f t="shared" ref="O117:O128" si="1349">+BE117+CU117</f>
        <v>1593071</v>
      </c>
      <c r="P117" s="106">
        <f t="shared" ref="P117:P128" si="1350">+BF117+CV117</f>
        <v>1580164</v>
      </c>
      <c r="Q117" s="106">
        <f t="shared" ref="Q117:Q128" si="1351">+BG117+CW117</f>
        <v>1457703</v>
      </c>
      <c r="R117" s="106">
        <f t="shared" ref="R117:R128" si="1352">+BH117+CX117</f>
        <v>1485900</v>
      </c>
      <c r="S117" s="106">
        <f t="shared" ref="S117:S128" si="1353">+BI117+CY117</f>
        <v>1443905</v>
      </c>
      <c r="T117" s="106">
        <f t="shared" ref="T117:T128" si="1354">+BJ117+CZ117</f>
        <v>1266831</v>
      </c>
      <c r="U117" s="106">
        <f t="shared" ref="U117:U128" si="1355">+BK117+DA117</f>
        <v>1281939</v>
      </c>
      <c r="V117" s="106">
        <f t="shared" ref="V117:V128" si="1356">+BL117+DB117</f>
        <v>1260706</v>
      </c>
      <c r="W117" s="106">
        <f t="shared" ref="W117:W128" si="1357">+BM117+DC117</f>
        <v>1229280</v>
      </c>
      <c r="X117" s="106">
        <f t="shared" ref="X117:X128" si="1358">+BN117+DD117</f>
        <v>1154995</v>
      </c>
      <c r="Y117" s="106">
        <f t="shared" ref="Y117:Y128" si="1359">+BO117+DE117</f>
        <v>0</v>
      </c>
      <c r="Z117" s="106">
        <f t="shared" ref="Z117:Z128" si="1360">+BP117+DF117</f>
        <v>0</v>
      </c>
      <c r="AA117" s="106">
        <f t="shared" ref="AA117:AA128" si="1361">+SUM(O117:Z117)</f>
        <v>13754494</v>
      </c>
      <c r="AB117" s="118">
        <f t="shared" si="1189"/>
        <v>-0.23752640612622128</v>
      </c>
      <c r="AC117" s="106">
        <f t="shared" ref="AC117:AC128" si="1362">+BS117+DI117</f>
        <v>1514800</v>
      </c>
      <c r="AD117" s="106">
        <f t="shared" ref="AD117:AD128" si="1363">+BT117+DJ117</f>
        <v>1514800</v>
      </c>
      <c r="AE117" s="106">
        <f t="shared" ref="AE117:AE128" si="1364">+BU117+DK117</f>
        <v>1514800</v>
      </c>
      <c r="AF117" s="106">
        <f t="shared" ref="AF117:AF128" si="1365">+BV117+DL117</f>
        <v>1514800</v>
      </c>
      <c r="AG117" s="106">
        <f t="shared" ref="AG117:AG128" si="1366">+BW117+DM117</f>
        <v>1514800</v>
      </c>
      <c r="AH117" s="106">
        <f t="shared" ref="AH117:AH128" si="1367">+BX117+DN117</f>
        <v>1514800</v>
      </c>
      <c r="AI117" s="106">
        <f t="shared" ref="AI117:AI128" si="1368">+BY117+DO117</f>
        <v>1514800</v>
      </c>
      <c r="AJ117" s="106">
        <f t="shared" ref="AJ117:AJ128" si="1369">+BZ117+DP117</f>
        <v>1514800</v>
      </c>
      <c r="AK117" s="106">
        <f t="shared" ref="AK117:AK128" si="1370">+CA117+DQ117</f>
        <v>1514800</v>
      </c>
      <c r="AL117" s="106">
        <f t="shared" ref="AL117:AL128" si="1371">+CB117+DR117</f>
        <v>1514800</v>
      </c>
      <c r="AM117" s="106">
        <f t="shared" ref="AM117:AM128" si="1372">+CC117+DS117</f>
        <v>1514800</v>
      </c>
      <c r="AN117" s="106">
        <f t="shared" ref="AN117:AN128" si="1373">+CD117+DT117</f>
        <v>1514800</v>
      </c>
      <c r="AO117" s="106">
        <f t="shared" ref="AO117:AO128" si="1374">+SUM(AC117:AN117)</f>
        <v>18177600</v>
      </c>
      <c r="AQ117" s="106">
        <v>678694.53133333183</v>
      </c>
      <c r="AR117" s="106">
        <v>731850.63399999996</v>
      </c>
      <c r="AS117" s="106">
        <v>849177.59999999998</v>
      </c>
      <c r="AT117" s="106">
        <v>851245.6</v>
      </c>
      <c r="AU117" s="106">
        <v>889719.6</v>
      </c>
      <c r="AV117" s="106">
        <v>890386.6</v>
      </c>
      <c r="AW117" s="106">
        <v>870219.6</v>
      </c>
      <c r="AX117" s="106">
        <v>907204.39999999991</v>
      </c>
      <c r="AY117" s="106">
        <v>891470</v>
      </c>
      <c r="AZ117" s="106">
        <v>887687.2</v>
      </c>
      <c r="BA117" s="106">
        <v>844800</v>
      </c>
      <c r="BB117" s="106">
        <v>1025919</v>
      </c>
      <c r="BC117" s="106">
        <f t="shared" ref="BC117:BC128" si="1375">+SUM(AQ117:BB117)</f>
        <v>10318374.76533333</v>
      </c>
      <c r="BD117" s="16" t="str">
        <f t="shared" si="871"/>
        <v>Salaries &amp; Wages - basic Staff</v>
      </c>
      <c r="BE117" s="106">
        <f>+VLOOKUP($BD117,'Jan-25'!$A:$J,2,0)</f>
        <v>1219048</v>
      </c>
      <c r="BF117" s="106">
        <f>+VLOOKUP($BD117,'Feb-25'!$A:$J,2,0)</f>
        <v>1207464</v>
      </c>
      <c r="BG117" s="106">
        <f>+VLOOKUP($BD117,'Mar-25'!$A:$J,2,0)</f>
        <v>1082303</v>
      </c>
      <c r="BH117" s="106">
        <f>+VLOOKUP($BD117,'Apr-25'!$A:$J,2,0)</f>
        <v>1110500</v>
      </c>
      <c r="BI117" s="106">
        <f>+VLOOKUP($BD117,'May-25'!$A:$J,2,0)</f>
        <v>1108400</v>
      </c>
      <c r="BJ117" s="106">
        <f>+VLOOKUP($BD117,'June-25'!$A:$J,2,0)</f>
        <v>947333</v>
      </c>
      <c r="BK117" s="106">
        <f>+VLOOKUP($BD117,'July-25'!$A:$J,2,0)</f>
        <v>955400</v>
      </c>
      <c r="BL117" s="106">
        <f>+VLOOKUP($BD117,'Aug-25'!$A:$J,2,0)</f>
        <v>921303</v>
      </c>
      <c r="BM117" s="106">
        <f>+VLOOKUP($BD117,'Sep-25'!$A:$J,2,0)</f>
        <v>887471</v>
      </c>
      <c r="BN117" s="106">
        <f>+VLOOKUP($BD117,'Oct-25'!$A:$J,2,0)</f>
        <v>771631</v>
      </c>
      <c r="BO117" s="106">
        <f>+VLOOKUP($BD117,'Nov-25'!$A:$J,2,0)</f>
        <v>0</v>
      </c>
      <c r="BP117" s="106">
        <f>+VLOOKUP($BD117,'Dec-25'!$A:$J,2,0)</f>
        <v>0</v>
      </c>
      <c r="BQ117" s="106">
        <f t="shared" ref="BQ117:BQ128" si="1376">+SUM(BE117:BP117)</f>
        <v>10210853</v>
      </c>
      <c r="BR117" s="118">
        <f t="shared" si="1190"/>
        <v>-0.3137397723230167</v>
      </c>
      <c r="BS117" s="106" cm="1">
        <f t="array" ref="BS117:CD117">+_xlfn.XLOOKUP(BD117,Budget!A:A,Budget!Q:AB)</f>
        <v>1124400</v>
      </c>
      <c r="BT117" s="106">
        <v>1124400</v>
      </c>
      <c r="BU117" s="106">
        <v>1124400</v>
      </c>
      <c r="BV117" s="106">
        <v>1124400</v>
      </c>
      <c r="BW117" s="106">
        <v>1124400</v>
      </c>
      <c r="BX117" s="106">
        <v>1124400</v>
      </c>
      <c r="BY117" s="106">
        <v>1124400</v>
      </c>
      <c r="BZ117" s="106">
        <v>1124400</v>
      </c>
      <c r="CA117" s="106">
        <v>1124400</v>
      </c>
      <c r="CB117" s="106">
        <v>1124400</v>
      </c>
      <c r="CC117" s="106">
        <v>1124400</v>
      </c>
      <c r="CD117" s="106">
        <v>1124400</v>
      </c>
      <c r="CE117" s="106">
        <f t="shared" ref="CE117:CE128" si="1377">+SUM(BS117:CD117)</f>
        <v>13492800</v>
      </c>
      <c r="CF117" s="22"/>
      <c r="CG117" s="106">
        <v>444872.8179999995</v>
      </c>
      <c r="CH117" s="106">
        <v>480949.25650000008</v>
      </c>
      <c r="CI117" s="106">
        <v>557363.85</v>
      </c>
      <c r="CJ117" s="106">
        <v>568569.85</v>
      </c>
      <c r="CK117" s="106">
        <v>555031.85</v>
      </c>
      <c r="CL117" s="106">
        <v>557766.85</v>
      </c>
      <c r="CM117" s="106">
        <v>551402.85</v>
      </c>
      <c r="CN117" s="106">
        <v>541500.15</v>
      </c>
      <c r="CO117" s="106">
        <v>541816.66999999993</v>
      </c>
      <c r="CP117" s="106">
        <v>485322.8</v>
      </c>
      <c r="CQ117" s="106">
        <v>248857</v>
      </c>
      <c r="CR117" s="106">
        <v>378217</v>
      </c>
      <c r="CS117" s="106">
        <f t="shared" ref="CS117:CS128" si="1378">+SUM(CG117:CR117)</f>
        <v>5911670.9445000002</v>
      </c>
      <c r="CT117" s="16" t="str">
        <f t="shared" si="875"/>
        <v>Salaries &amp; Wages - basic Staff</v>
      </c>
      <c r="CU117" s="106">
        <f>+VLOOKUP($BD117,'Jan-25'!$A:$J,6,0)</f>
        <v>374023</v>
      </c>
      <c r="CV117" s="106">
        <f>+VLOOKUP($BD117,'Feb-25'!$A:$J,6,0)</f>
        <v>372700</v>
      </c>
      <c r="CW117" s="106">
        <f>+VLOOKUP($BD117,'Mar-25'!$A:$J,6,0)</f>
        <v>375400</v>
      </c>
      <c r="CX117" s="106">
        <f>+VLOOKUP($BD117,'Apr-25'!$A:$J,6,0)</f>
        <v>375400</v>
      </c>
      <c r="CY117" s="106">
        <f>+VLOOKUP($BD117,'May-25'!$A:$J,6,0)</f>
        <v>335505</v>
      </c>
      <c r="CZ117" s="106">
        <f>+VLOOKUP($BD117,'June-25'!$A:$J,6,0)</f>
        <v>319498</v>
      </c>
      <c r="DA117" s="106">
        <f>+VLOOKUP($BD117,'July-25'!$A:$J,6,0)</f>
        <v>326539</v>
      </c>
      <c r="DB117" s="106">
        <f>+VLOOKUP($BD117,'Aug-25'!$A:$J,6,0)</f>
        <v>339403</v>
      </c>
      <c r="DC117" s="106">
        <f>+VLOOKUP($BD117,'Sep-25'!$A:$J,6,0)</f>
        <v>341809</v>
      </c>
      <c r="DD117" s="106">
        <f>+VLOOKUP($BD117,'Oct-25'!$A:$J,6,0)</f>
        <v>383364</v>
      </c>
      <c r="DE117" s="106">
        <f>+VLOOKUP($BD117,'Nov-25'!$A:$J,6,0)</f>
        <v>0</v>
      </c>
      <c r="DF117" s="106">
        <f>+VLOOKUP($BD117,'Dec-25'!$A:$J,6,0)</f>
        <v>0</v>
      </c>
      <c r="DG117" s="106">
        <f t="shared" ref="DG117:DG128" si="1379">+SUM(CU117:DF117)</f>
        <v>3543641</v>
      </c>
      <c r="DH117" s="118">
        <f t="shared" si="1191"/>
        <v>-1.8022540983606557E-2</v>
      </c>
      <c r="DI117" s="106">
        <f>+_xlfn.XLOOKUP($CT117,Budget!$A:$A,Budget!BQ:BQ)</f>
        <v>390400</v>
      </c>
      <c r="DJ117" s="106">
        <f>+_xlfn.XLOOKUP($CT117,Budget!$A:$A,Budget!BR:BR)</f>
        <v>390400</v>
      </c>
      <c r="DK117" s="106">
        <f>+_xlfn.XLOOKUP($CT117,Budget!$A:$A,Budget!BS:BS)</f>
        <v>390400</v>
      </c>
      <c r="DL117" s="106">
        <f>+_xlfn.XLOOKUP($CT117,Budget!$A:$A,Budget!BT:BT)</f>
        <v>390400</v>
      </c>
      <c r="DM117" s="106">
        <f>+_xlfn.XLOOKUP($CT117,Budget!$A:$A,Budget!BU:BU)</f>
        <v>390400</v>
      </c>
      <c r="DN117" s="106">
        <f>+_xlfn.XLOOKUP($CT117,Budget!$A:$A,Budget!BV:BV)</f>
        <v>390400</v>
      </c>
      <c r="DO117" s="106">
        <f>+_xlfn.XLOOKUP($CT117,Budget!$A:$A,Budget!BW:BW)</f>
        <v>390400</v>
      </c>
      <c r="DP117" s="106">
        <f>+_xlfn.XLOOKUP($CT117,Budget!$A:$A,Budget!BX:BX)</f>
        <v>390400</v>
      </c>
      <c r="DQ117" s="106">
        <f>+_xlfn.XLOOKUP($CT117,Budget!$A:$A,Budget!BY:BY)</f>
        <v>390400</v>
      </c>
      <c r="DR117" s="106">
        <f>+_xlfn.XLOOKUP($CT117,Budget!$A:$A,Budget!BZ:BZ)</f>
        <v>390400</v>
      </c>
      <c r="DS117" s="106">
        <f>+_xlfn.XLOOKUP($CT117,Budget!$A:$A,Budget!CA:CA)</f>
        <v>390400</v>
      </c>
      <c r="DT117" s="106">
        <f>+_xlfn.XLOOKUP($CT117,Budget!$A:$A,Budget!CB:CB)</f>
        <v>390400</v>
      </c>
      <c r="DU117" s="106">
        <f t="shared" ref="DU117:DU128" si="1380">+SUM(DI117:DT117)</f>
        <v>4684800</v>
      </c>
    </row>
    <row r="118" spans="1:125" ht="14.45" hidden="1" customHeight="1" outlineLevel="2">
      <c r="A118" s="106">
        <f t="shared" si="1336"/>
        <v>155642.29900000003</v>
      </c>
      <c r="B118" s="106">
        <f t="shared" si="1337"/>
        <v>175508.53000000003</v>
      </c>
      <c r="C118" s="106">
        <f t="shared" si="1338"/>
        <v>195150.5</v>
      </c>
      <c r="D118" s="106">
        <f t="shared" si="1339"/>
        <v>195642.5</v>
      </c>
      <c r="E118" s="106">
        <f t="shared" si="1340"/>
        <v>195798.5</v>
      </c>
      <c r="F118" s="106">
        <f t="shared" si="1341"/>
        <v>194549.5</v>
      </c>
      <c r="G118" s="106">
        <f t="shared" si="1342"/>
        <v>186547.5</v>
      </c>
      <c r="H118" s="106">
        <f t="shared" si="1343"/>
        <v>191400.75</v>
      </c>
      <c r="I118" s="106">
        <f t="shared" si="1344"/>
        <v>186862.5</v>
      </c>
      <c r="J118" s="106">
        <f t="shared" si="1345"/>
        <v>175832.5</v>
      </c>
      <c r="K118" s="106">
        <f t="shared" si="1346"/>
        <v>140278.5</v>
      </c>
      <c r="L118" s="106">
        <f t="shared" si="1347"/>
        <v>181826</v>
      </c>
      <c r="M118" s="106">
        <f t="shared" si="1348"/>
        <v>2175039.5789999999</v>
      </c>
      <c r="N118" s="16" t="s">
        <v>96</v>
      </c>
      <c r="O118" s="106">
        <f t="shared" si="1349"/>
        <v>180358</v>
      </c>
      <c r="P118" s="106">
        <f t="shared" si="1350"/>
        <v>178629</v>
      </c>
      <c r="Q118" s="106">
        <f t="shared" si="1351"/>
        <v>193646</v>
      </c>
      <c r="R118" s="106">
        <f t="shared" si="1352"/>
        <v>196715</v>
      </c>
      <c r="S118" s="106">
        <f t="shared" si="1353"/>
        <v>189102</v>
      </c>
      <c r="T118" s="106">
        <f t="shared" si="1354"/>
        <v>181515</v>
      </c>
      <c r="U118" s="106">
        <f t="shared" si="1355"/>
        <v>180116</v>
      </c>
      <c r="V118" s="106">
        <f t="shared" si="1356"/>
        <v>179194</v>
      </c>
      <c r="W118" s="106">
        <f t="shared" si="1357"/>
        <v>181737</v>
      </c>
      <c r="X118" s="106">
        <f t="shared" si="1358"/>
        <v>168207</v>
      </c>
      <c r="Y118" s="106">
        <f t="shared" si="1359"/>
        <v>0</v>
      </c>
      <c r="Z118" s="106">
        <f t="shared" si="1360"/>
        <v>0</v>
      </c>
      <c r="AA118" s="106">
        <f t="shared" si="1361"/>
        <v>1829219</v>
      </c>
      <c r="AB118" s="118">
        <f t="shared" si="1189"/>
        <v>-0.16553640084335855</v>
      </c>
      <c r="AC118" s="106">
        <f t="shared" si="1362"/>
        <v>201575</v>
      </c>
      <c r="AD118" s="106">
        <f t="shared" si="1363"/>
        <v>201575</v>
      </c>
      <c r="AE118" s="106">
        <f t="shared" si="1364"/>
        <v>201575</v>
      </c>
      <c r="AF118" s="106">
        <f t="shared" si="1365"/>
        <v>201575</v>
      </c>
      <c r="AG118" s="106">
        <f t="shared" si="1366"/>
        <v>201575</v>
      </c>
      <c r="AH118" s="106">
        <f t="shared" si="1367"/>
        <v>201575</v>
      </c>
      <c r="AI118" s="106">
        <f t="shared" si="1368"/>
        <v>201575</v>
      </c>
      <c r="AJ118" s="106">
        <f t="shared" si="1369"/>
        <v>201575</v>
      </c>
      <c r="AK118" s="106">
        <f t="shared" si="1370"/>
        <v>201575</v>
      </c>
      <c r="AL118" s="106">
        <f t="shared" si="1371"/>
        <v>201575</v>
      </c>
      <c r="AM118" s="106">
        <f t="shared" si="1372"/>
        <v>201575</v>
      </c>
      <c r="AN118" s="106">
        <f t="shared" si="1373"/>
        <v>201575</v>
      </c>
      <c r="AO118" s="106">
        <f t="shared" si="1374"/>
        <v>2418900</v>
      </c>
      <c r="AQ118" s="106">
        <v>94246.632000000012</v>
      </c>
      <c r="AR118" s="106">
        <v>106563.85000000002</v>
      </c>
      <c r="AS118" s="106">
        <v>116741</v>
      </c>
      <c r="AT118" s="106">
        <v>116800</v>
      </c>
      <c r="AU118" s="106">
        <v>116640</v>
      </c>
      <c r="AV118" s="106">
        <v>115830</v>
      </c>
      <c r="AW118" s="106">
        <v>109465</v>
      </c>
      <c r="AX118" s="106">
        <v>116264</v>
      </c>
      <c r="AY118" s="106">
        <v>110738.33</v>
      </c>
      <c r="AZ118" s="106">
        <v>107993.4</v>
      </c>
      <c r="BA118" s="106">
        <v>105065</v>
      </c>
      <c r="BB118" s="106">
        <v>123469</v>
      </c>
      <c r="BC118" s="106">
        <f t="shared" si="1375"/>
        <v>1339816.2120000001</v>
      </c>
      <c r="BD118" s="16" t="str">
        <f t="shared" si="871"/>
        <v>Conveyance  - Staff</v>
      </c>
      <c r="BE118" s="106">
        <f>+VLOOKUP($BD118,'Jan-25'!$A:$J,2,0)</f>
        <v>125995</v>
      </c>
      <c r="BF118" s="106">
        <f>+VLOOKUP($BD118,'Feb-25'!$A:$J,2,0)</f>
        <v>124545</v>
      </c>
      <c r="BG118" s="106">
        <f>+VLOOKUP($BD118,'Mar-25'!$A:$J,2,0)</f>
        <v>136196</v>
      </c>
      <c r="BH118" s="106">
        <f>+VLOOKUP($BD118,'Apr-25'!$A:$J,2,0)</f>
        <v>139265</v>
      </c>
      <c r="BI118" s="106">
        <f>+VLOOKUP($BD118,'May-25'!$A:$J,2,0)</f>
        <v>138958</v>
      </c>
      <c r="BJ118" s="106">
        <f>+VLOOKUP($BD118,'June-25'!$A:$J,2,0)</f>
        <v>130788</v>
      </c>
      <c r="BK118" s="106">
        <f>+VLOOKUP($BD118,'July-25'!$A:$J,2,0)</f>
        <v>131875</v>
      </c>
      <c r="BL118" s="106">
        <f>+VLOOKUP($BD118,'Aug-25'!$A:$J,2,0)</f>
        <v>128846</v>
      </c>
      <c r="BM118" s="106">
        <f>+VLOOKUP($BD118,'Sep-25'!$A:$J,2,0)</f>
        <v>131057</v>
      </c>
      <c r="BN118" s="106">
        <f>+VLOOKUP($BD118,'Oct-25'!$A:$J,2,0)</f>
        <v>113067.6</v>
      </c>
      <c r="BO118" s="106">
        <f>+VLOOKUP($BD118,'Nov-25'!$A:$J,2,0)</f>
        <v>0</v>
      </c>
      <c r="BP118" s="106">
        <f>+VLOOKUP($BD118,'Dec-25'!$A:$J,2,0)</f>
        <v>0</v>
      </c>
      <c r="BQ118" s="106">
        <f t="shared" si="1376"/>
        <v>1300592.6000000001</v>
      </c>
      <c r="BR118" s="118">
        <f t="shared" si="1190"/>
        <v>-0.203328518583759</v>
      </c>
      <c r="BS118" s="106" cm="1">
        <f t="array" ref="BS118:CD118">+_xlfn.XLOOKUP(BD118,Budget!A:A,Budget!Q:AB)</f>
        <v>141925</v>
      </c>
      <c r="BT118" s="106">
        <v>141925</v>
      </c>
      <c r="BU118" s="106">
        <v>141925</v>
      </c>
      <c r="BV118" s="106">
        <v>141925</v>
      </c>
      <c r="BW118" s="106">
        <v>141925</v>
      </c>
      <c r="BX118" s="106">
        <v>141925</v>
      </c>
      <c r="BY118" s="106">
        <v>141925</v>
      </c>
      <c r="BZ118" s="106">
        <v>141925</v>
      </c>
      <c r="CA118" s="106">
        <v>141925</v>
      </c>
      <c r="CB118" s="106">
        <v>141925</v>
      </c>
      <c r="CC118" s="106">
        <v>141925</v>
      </c>
      <c r="CD118" s="106">
        <v>141925</v>
      </c>
      <c r="CE118" s="106">
        <f t="shared" si="1377"/>
        <v>1703100</v>
      </c>
      <c r="CF118" s="22"/>
      <c r="CG118" s="106">
        <v>61395.667000000009</v>
      </c>
      <c r="CH118" s="106">
        <v>68944.680000000008</v>
      </c>
      <c r="CI118" s="106">
        <v>78409.5</v>
      </c>
      <c r="CJ118" s="106">
        <v>78842.5</v>
      </c>
      <c r="CK118" s="106">
        <v>79158.5</v>
      </c>
      <c r="CL118" s="106">
        <v>78719.5</v>
      </c>
      <c r="CM118" s="106">
        <v>77082.5</v>
      </c>
      <c r="CN118" s="106">
        <v>75136.75</v>
      </c>
      <c r="CO118" s="106">
        <v>76124.17</v>
      </c>
      <c r="CP118" s="106">
        <v>67839.100000000006</v>
      </c>
      <c r="CQ118" s="106">
        <v>35213.5</v>
      </c>
      <c r="CR118" s="106">
        <v>58357</v>
      </c>
      <c r="CS118" s="106">
        <f t="shared" si="1378"/>
        <v>835223.36700000009</v>
      </c>
      <c r="CT118" s="16" t="str">
        <f t="shared" si="875"/>
        <v>Conveyance  - Staff</v>
      </c>
      <c r="CU118" s="106">
        <f>+VLOOKUP($BD118,'Jan-25'!$A:$J,6,0)</f>
        <v>54363</v>
      </c>
      <c r="CV118" s="106">
        <f>+VLOOKUP($BD118,'Feb-25'!$A:$J,6,0)</f>
        <v>54084</v>
      </c>
      <c r="CW118" s="106">
        <f>+VLOOKUP($BD118,'Mar-25'!$A:$J,6,0)</f>
        <v>57450</v>
      </c>
      <c r="CX118" s="106">
        <f>+VLOOKUP($BD118,'Apr-25'!$A:$J,6,0)</f>
        <v>57450</v>
      </c>
      <c r="CY118" s="106">
        <f>+VLOOKUP($BD118,'May-25'!$A:$J,6,0)</f>
        <v>50144</v>
      </c>
      <c r="CZ118" s="106">
        <f>+VLOOKUP($BD118,'June-25'!$A:$J,6,0)</f>
        <v>50727</v>
      </c>
      <c r="DA118" s="106">
        <f>+VLOOKUP($BD118,'July-25'!$A:$J,6,0)</f>
        <v>48241</v>
      </c>
      <c r="DB118" s="106">
        <f>+VLOOKUP($BD118,'Aug-25'!$A:$J,6,0)</f>
        <v>50348</v>
      </c>
      <c r="DC118" s="106">
        <f>+VLOOKUP($BD118,'Sep-25'!$A:$J,6,0)</f>
        <v>50680</v>
      </c>
      <c r="DD118" s="106">
        <f>+VLOOKUP($BD118,'Oct-25'!$A:$J,6,0)</f>
        <v>55139.4</v>
      </c>
      <c r="DE118" s="106">
        <f>+VLOOKUP($BD118,'Nov-25'!$A:$J,6,0)</f>
        <v>0</v>
      </c>
      <c r="DF118" s="106">
        <f>+VLOOKUP($BD118,'Dec-25'!$A:$J,6,0)</f>
        <v>0</v>
      </c>
      <c r="DG118" s="106">
        <f t="shared" si="1379"/>
        <v>528626.4</v>
      </c>
      <c r="DH118" s="118">
        <f t="shared" si="1191"/>
        <v>-7.5617770326906933E-2</v>
      </c>
      <c r="DI118" s="106">
        <f>+_xlfn.XLOOKUP($CT118,Budget!$A:$A,Budget!BQ:BQ)</f>
        <v>59650</v>
      </c>
      <c r="DJ118" s="106">
        <f>+_xlfn.XLOOKUP($CT118,Budget!$A:$A,Budget!BR:BR)</f>
        <v>59650</v>
      </c>
      <c r="DK118" s="106">
        <f>+_xlfn.XLOOKUP($CT118,Budget!$A:$A,Budget!BS:BS)</f>
        <v>59650</v>
      </c>
      <c r="DL118" s="106">
        <f>+_xlfn.XLOOKUP($CT118,Budget!$A:$A,Budget!BT:BT)</f>
        <v>59650</v>
      </c>
      <c r="DM118" s="106">
        <f>+_xlfn.XLOOKUP($CT118,Budget!$A:$A,Budget!BU:BU)</f>
        <v>59650</v>
      </c>
      <c r="DN118" s="106">
        <f>+_xlfn.XLOOKUP($CT118,Budget!$A:$A,Budget!BV:BV)</f>
        <v>59650</v>
      </c>
      <c r="DO118" s="106">
        <f>+_xlfn.XLOOKUP($CT118,Budget!$A:$A,Budget!BW:BW)</f>
        <v>59650</v>
      </c>
      <c r="DP118" s="106">
        <f>+_xlfn.XLOOKUP($CT118,Budget!$A:$A,Budget!BX:BX)</f>
        <v>59650</v>
      </c>
      <c r="DQ118" s="106">
        <f>+_xlfn.XLOOKUP($CT118,Budget!$A:$A,Budget!BY:BY)</f>
        <v>59650</v>
      </c>
      <c r="DR118" s="106">
        <f>+_xlfn.XLOOKUP($CT118,Budget!$A:$A,Budget!BZ:BZ)</f>
        <v>59650</v>
      </c>
      <c r="DS118" s="106">
        <f>+_xlfn.XLOOKUP($CT118,Budget!$A:$A,Budget!CA:CA)</f>
        <v>59650</v>
      </c>
      <c r="DT118" s="106">
        <f>+_xlfn.XLOOKUP($CT118,Budget!$A:$A,Budget!CB:CB)</f>
        <v>59650</v>
      </c>
      <c r="DU118" s="106">
        <f t="shared" si="1380"/>
        <v>715800</v>
      </c>
    </row>
    <row r="119" spans="1:125" ht="14.45" hidden="1" customHeight="1" outlineLevel="2">
      <c r="A119" s="106">
        <f t="shared" si="1336"/>
        <v>51054.51</v>
      </c>
      <c r="B119" s="106">
        <f t="shared" si="1337"/>
        <v>49707.270000000004</v>
      </c>
      <c r="C119" s="106">
        <f t="shared" si="1338"/>
        <v>45613</v>
      </c>
      <c r="D119" s="106">
        <f t="shared" si="1339"/>
        <v>43500</v>
      </c>
      <c r="E119" s="106">
        <f t="shared" si="1340"/>
        <v>42500</v>
      </c>
      <c r="F119" s="106">
        <f t="shared" si="1341"/>
        <v>42500</v>
      </c>
      <c r="G119" s="106">
        <f t="shared" si="1342"/>
        <v>42500</v>
      </c>
      <c r="H119" s="106">
        <f t="shared" si="1343"/>
        <v>42339</v>
      </c>
      <c r="I119" s="106">
        <f t="shared" si="1344"/>
        <v>42333.33</v>
      </c>
      <c r="J119" s="106">
        <f t="shared" si="1345"/>
        <v>41000</v>
      </c>
      <c r="K119" s="106">
        <f t="shared" si="1346"/>
        <v>31334.5</v>
      </c>
      <c r="L119" s="106">
        <f t="shared" si="1347"/>
        <v>40677</v>
      </c>
      <c r="M119" s="106">
        <f t="shared" si="1348"/>
        <v>515058.61000000004</v>
      </c>
      <c r="N119" s="16" t="s">
        <v>97</v>
      </c>
      <c r="O119" s="106">
        <f t="shared" si="1349"/>
        <v>40839</v>
      </c>
      <c r="P119" s="106">
        <f t="shared" si="1350"/>
        <v>40652</v>
      </c>
      <c r="Q119" s="106">
        <f t="shared" si="1351"/>
        <v>40500</v>
      </c>
      <c r="R119" s="106">
        <f t="shared" si="1352"/>
        <v>40500</v>
      </c>
      <c r="S119" s="106">
        <f t="shared" si="1353"/>
        <v>40028</v>
      </c>
      <c r="T119" s="106">
        <f t="shared" si="1354"/>
        <v>40435</v>
      </c>
      <c r="U119" s="106">
        <f t="shared" si="1355"/>
        <v>40417</v>
      </c>
      <c r="V119" s="106">
        <f t="shared" si="1356"/>
        <v>40258</v>
      </c>
      <c r="W119" s="106">
        <f t="shared" si="1357"/>
        <v>40354</v>
      </c>
      <c r="X119" s="106">
        <f t="shared" si="1358"/>
        <v>40500</v>
      </c>
      <c r="Y119" s="106">
        <f t="shared" si="1359"/>
        <v>0</v>
      </c>
      <c r="Z119" s="106">
        <f t="shared" si="1360"/>
        <v>0</v>
      </c>
      <c r="AA119" s="106">
        <f t="shared" si="1361"/>
        <v>404483</v>
      </c>
      <c r="AB119" s="118">
        <f t="shared" si="1189"/>
        <v>0</v>
      </c>
      <c r="AC119" s="106">
        <f t="shared" si="1362"/>
        <v>40500</v>
      </c>
      <c r="AD119" s="106">
        <f t="shared" si="1363"/>
        <v>40500</v>
      </c>
      <c r="AE119" s="106">
        <f t="shared" si="1364"/>
        <v>40500</v>
      </c>
      <c r="AF119" s="106">
        <f t="shared" si="1365"/>
        <v>40500</v>
      </c>
      <c r="AG119" s="106">
        <f t="shared" si="1366"/>
        <v>40500</v>
      </c>
      <c r="AH119" s="106">
        <f t="shared" si="1367"/>
        <v>40500</v>
      </c>
      <c r="AI119" s="106">
        <f t="shared" si="1368"/>
        <v>40500</v>
      </c>
      <c r="AJ119" s="106">
        <f t="shared" si="1369"/>
        <v>40500</v>
      </c>
      <c r="AK119" s="106">
        <f t="shared" si="1370"/>
        <v>40500</v>
      </c>
      <c r="AL119" s="106">
        <f t="shared" si="1371"/>
        <v>40500</v>
      </c>
      <c r="AM119" s="106">
        <f t="shared" si="1372"/>
        <v>40500</v>
      </c>
      <c r="AN119" s="106">
        <f t="shared" si="1373"/>
        <v>40500</v>
      </c>
      <c r="AO119" s="106">
        <f t="shared" si="1374"/>
        <v>486000</v>
      </c>
      <c r="AQ119" s="106">
        <v>36515</v>
      </c>
      <c r="AR119" s="106">
        <v>36515</v>
      </c>
      <c r="AS119" s="106">
        <v>33500</v>
      </c>
      <c r="AT119" s="106">
        <v>33500</v>
      </c>
      <c r="AU119" s="106">
        <v>32500</v>
      </c>
      <c r="AV119" s="106">
        <v>32500</v>
      </c>
      <c r="AW119" s="106">
        <v>32500</v>
      </c>
      <c r="AX119" s="106">
        <v>32500</v>
      </c>
      <c r="AY119" s="106">
        <v>32500</v>
      </c>
      <c r="AZ119" s="106">
        <v>31000</v>
      </c>
      <c r="BA119" s="106">
        <v>26500</v>
      </c>
      <c r="BB119" s="106">
        <v>32000</v>
      </c>
      <c r="BC119" s="106">
        <f t="shared" si="1375"/>
        <v>392030</v>
      </c>
      <c r="BD119" s="16" t="str">
        <f t="shared" si="871"/>
        <v>Fuel Allowance - Staff</v>
      </c>
      <c r="BE119" s="106">
        <f>+VLOOKUP($BD119,'Jan-25'!$A:$J,2,0)</f>
        <v>32000</v>
      </c>
      <c r="BF119" s="106">
        <f>+VLOOKUP($BD119,'Feb-25'!$A:$J,2,0)</f>
        <v>32000</v>
      </c>
      <c r="BG119" s="106">
        <f>+VLOOKUP($BD119,'Mar-25'!$A:$J,2,0)</f>
        <v>31500</v>
      </c>
      <c r="BH119" s="106">
        <f>+VLOOKUP($BD119,'Apr-25'!$A:$J,2,0)</f>
        <v>31500</v>
      </c>
      <c r="BI119" s="106">
        <f>+VLOOKUP($BD119,'May-25'!$A:$J,2,0)</f>
        <v>31500</v>
      </c>
      <c r="BJ119" s="106">
        <f>+VLOOKUP($BD119,'June-25'!$A:$J,2,0)</f>
        <v>31500</v>
      </c>
      <c r="BK119" s="106">
        <f>+VLOOKUP($BD119,'July-25'!$A:$J,2,0)</f>
        <v>31500</v>
      </c>
      <c r="BL119" s="106">
        <f>+VLOOKUP($BD119,'Aug-25'!$A:$J,2,0)</f>
        <v>31500</v>
      </c>
      <c r="BM119" s="106">
        <f>+VLOOKUP($BD119,'Sep-25'!$A:$J,2,0)</f>
        <v>31419</v>
      </c>
      <c r="BN119" s="106">
        <f>+VLOOKUP($BD119,'Oct-25'!$A:$J,2,0)</f>
        <v>31500</v>
      </c>
      <c r="BO119" s="106">
        <f>+VLOOKUP($BD119,'Nov-25'!$A:$J,2,0)</f>
        <v>0</v>
      </c>
      <c r="BP119" s="106">
        <f>+VLOOKUP($BD119,'Dec-25'!$A:$J,2,0)</f>
        <v>0</v>
      </c>
      <c r="BQ119" s="106">
        <f t="shared" si="1376"/>
        <v>315919</v>
      </c>
      <c r="BR119" s="118">
        <f t="shared" si="1190"/>
        <v>0</v>
      </c>
      <c r="BS119" s="106" cm="1">
        <f t="array" ref="BS119:CD119">+_xlfn.XLOOKUP(BD119,Budget!A:A,Budget!Q:AB)</f>
        <v>31500</v>
      </c>
      <c r="BT119" s="106">
        <v>31500</v>
      </c>
      <c r="BU119" s="106">
        <v>31500</v>
      </c>
      <c r="BV119" s="106">
        <v>31500</v>
      </c>
      <c r="BW119" s="106">
        <v>31500</v>
      </c>
      <c r="BX119" s="106">
        <v>31500</v>
      </c>
      <c r="BY119" s="106">
        <v>31500</v>
      </c>
      <c r="BZ119" s="106">
        <v>31500</v>
      </c>
      <c r="CA119" s="106">
        <v>31500</v>
      </c>
      <c r="CB119" s="106">
        <v>31500</v>
      </c>
      <c r="CC119" s="106">
        <v>31500</v>
      </c>
      <c r="CD119" s="106">
        <v>31500</v>
      </c>
      <c r="CE119" s="106">
        <f t="shared" si="1377"/>
        <v>378000</v>
      </c>
      <c r="CF119" s="22"/>
      <c r="CG119" s="106">
        <v>14539.51</v>
      </c>
      <c r="CH119" s="106">
        <v>13192.27</v>
      </c>
      <c r="CI119" s="106">
        <v>12113</v>
      </c>
      <c r="CJ119" s="106">
        <v>10000</v>
      </c>
      <c r="CK119" s="106">
        <v>10000</v>
      </c>
      <c r="CL119" s="106">
        <v>10000</v>
      </c>
      <c r="CM119" s="106">
        <v>10000</v>
      </c>
      <c r="CN119" s="106">
        <v>9839</v>
      </c>
      <c r="CO119" s="106">
        <v>9833.33</v>
      </c>
      <c r="CP119" s="106">
        <v>10000</v>
      </c>
      <c r="CQ119" s="106">
        <v>4834.5</v>
      </c>
      <c r="CR119" s="106">
        <v>8677</v>
      </c>
      <c r="CS119" s="106">
        <f t="shared" si="1378"/>
        <v>123028.61</v>
      </c>
      <c r="CT119" s="16" t="str">
        <f t="shared" si="875"/>
        <v>Fuel Allowance - Staff</v>
      </c>
      <c r="CU119" s="106">
        <f>+VLOOKUP($BD119,'Jan-25'!$A:$J,6,0)</f>
        <v>8839</v>
      </c>
      <c r="CV119" s="106">
        <f>+VLOOKUP($BD119,'Feb-25'!$A:$J,6,0)</f>
        <v>8652</v>
      </c>
      <c r="CW119" s="106">
        <f>+VLOOKUP($BD119,'Mar-25'!$A:$J,6,0)</f>
        <v>9000</v>
      </c>
      <c r="CX119" s="106">
        <f>+VLOOKUP($BD119,'Apr-25'!$A:$J,6,0)</f>
        <v>9000</v>
      </c>
      <c r="CY119" s="106">
        <f>+VLOOKUP($BD119,'May-25'!$A:$J,6,0)</f>
        <v>8528</v>
      </c>
      <c r="CZ119" s="106">
        <f>+VLOOKUP($BD119,'June-25'!$A:$J,6,0)</f>
        <v>8935</v>
      </c>
      <c r="DA119" s="106">
        <f>+VLOOKUP($BD119,'July-25'!$A:$J,6,0)</f>
        <v>8917</v>
      </c>
      <c r="DB119" s="106">
        <f>+VLOOKUP($BD119,'Aug-25'!$A:$J,6,0)</f>
        <v>8758</v>
      </c>
      <c r="DC119" s="106">
        <f>+VLOOKUP($BD119,'Sep-25'!$A:$J,6,0)</f>
        <v>8935</v>
      </c>
      <c r="DD119" s="106">
        <f>+VLOOKUP($BD119,'Oct-25'!$A:$J,6,0)</f>
        <v>9000</v>
      </c>
      <c r="DE119" s="106">
        <f>+VLOOKUP($BD119,'Nov-25'!$A:$J,6,0)</f>
        <v>0</v>
      </c>
      <c r="DF119" s="106">
        <f>+VLOOKUP($BD119,'Dec-25'!$A:$J,6,0)</f>
        <v>0</v>
      </c>
      <c r="DG119" s="106">
        <f t="shared" si="1379"/>
        <v>88564</v>
      </c>
      <c r="DH119" s="118">
        <f t="shared" si="1191"/>
        <v>0</v>
      </c>
      <c r="DI119" s="106">
        <f>+_xlfn.XLOOKUP($CT119,Budget!$A:$A,Budget!BQ:BQ)</f>
        <v>9000</v>
      </c>
      <c r="DJ119" s="106">
        <f>+_xlfn.XLOOKUP($CT119,Budget!$A:$A,Budget!BR:BR)</f>
        <v>9000</v>
      </c>
      <c r="DK119" s="106">
        <f>+_xlfn.XLOOKUP($CT119,Budget!$A:$A,Budget!BS:BS)</f>
        <v>9000</v>
      </c>
      <c r="DL119" s="106">
        <f>+_xlfn.XLOOKUP($CT119,Budget!$A:$A,Budget!BT:BT)</f>
        <v>9000</v>
      </c>
      <c r="DM119" s="106">
        <f>+_xlfn.XLOOKUP($CT119,Budget!$A:$A,Budget!BU:BU)</f>
        <v>9000</v>
      </c>
      <c r="DN119" s="106">
        <f>+_xlfn.XLOOKUP($CT119,Budget!$A:$A,Budget!BV:BV)</f>
        <v>9000</v>
      </c>
      <c r="DO119" s="106">
        <f>+_xlfn.XLOOKUP($CT119,Budget!$A:$A,Budget!BW:BW)</f>
        <v>9000</v>
      </c>
      <c r="DP119" s="106">
        <f>+_xlfn.XLOOKUP($CT119,Budget!$A:$A,Budget!BX:BX)</f>
        <v>9000</v>
      </c>
      <c r="DQ119" s="106">
        <f>+_xlfn.XLOOKUP($CT119,Budget!$A:$A,Budget!BY:BY)</f>
        <v>9000</v>
      </c>
      <c r="DR119" s="106">
        <f>+_xlfn.XLOOKUP($CT119,Budget!$A:$A,Budget!BZ:BZ)</f>
        <v>9000</v>
      </c>
      <c r="DS119" s="106">
        <f>+_xlfn.XLOOKUP($CT119,Budget!$A:$A,Budget!CA:CA)</f>
        <v>9000</v>
      </c>
      <c r="DT119" s="106">
        <f>+_xlfn.XLOOKUP($CT119,Budget!$A:$A,Budget!CB:CB)</f>
        <v>9000</v>
      </c>
      <c r="DU119" s="106">
        <f t="shared" si="1380"/>
        <v>108000</v>
      </c>
    </row>
    <row r="120" spans="1:125" ht="14.45" hidden="1" customHeight="1" outlineLevel="2">
      <c r="A120" s="106">
        <f t="shared" si="1336"/>
        <v>372990.86050000007</v>
      </c>
      <c r="B120" s="106">
        <f t="shared" si="1337"/>
        <v>387297.71</v>
      </c>
      <c r="C120" s="106">
        <f t="shared" si="1338"/>
        <v>438497</v>
      </c>
      <c r="D120" s="106">
        <f t="shared" si="1339"/>
        <v>436180</v>
      </c>
      <c r="E120" s="106">
        <f t="shared" si="1340"/>
        <v>436257</v>
      </c>
      <c r="F120" s="106">
        <f t="shared" si="1341"/>
        <v>439180</v>
      </c>
      <c r="G120" s="106">
        <f t="shared" si="1342"/>
        <v>435019</v>
      </c>
      <c r="H120" s="106">
        <f t="shared" si="1343"/>
        <v>448677.35</v>
      </c>
      <c r="I120" s="106">
        <f t="shared" si="1344"/>
        <v>444793.34</v>
      </c>
      <c r="J120" s="106">
        <f t="shared" si="1345"/>
        <v>428535</v>
      </c>
      <c r="K120" s="106">
        <f t="shared" si="1346"/>
        <v>342553</v>
      </c>
      <c r="L120" s="106">
        <f t="shared" si="1347"/>
        <v>455679</v>
      </c>
      <c r="M120" s="106">
        <f t="shared" si="1348"/>
        <v>5065659.2605000008</v>
      </c>
      <c r="N120" s="16" t="s">
        <v>98</v>
      </c>
      <c r="O120" s="106">
        <f t="shared" si="1349"/>
        <v>441238</v>
      </c>
      <c r="P120" s="106">
        <f t="shared" si="1350"/>
        <v>433970</v>
      </c>
      <c r="Q120" s="106">
        <f t="shared" si="1351"/>
        <v>496361</v>
      </c>
      <c r="R120" s="106">
        <f t="shared" si="1352"/>
        <v>508773</v>
      </c>
      <c r="S120" s="106">
        <f t="shared" si="1353"/>
        <v>496249</v>
      </c>
      <c r="T120" s="106">
        <f t="shared" si="1354"/>
        <v>331873</v>
      </c>
      <c r="U120" s="106">
        <f t="shared" si="1355"/>
        <v>435155</v>
      </c>
      <c r="V120" s="106">
        <f t="shared" si="1356"/>
        <v>422301</v>
      </c>
      <c r="W120" s="106">
        <f t="shared" si="1357"/>
        <v>412204</v>
      </c>
      <c r="X120" s="106">
        <f t="shared" si="1358"/>
        <v>389812</v>
      </c>
      <c r="Y120" s="106">
        <f t="shared" si="1359"/>
        <v>0</v>
      </c>
      <c r="Z120" s="106">
        <f t="shared" si="1360"/>
        <v>0</v>
      </c>
      <c r="AA120" s="106">
        <f t="shared" si="1361"/>
        <v>4367936</v>
      </c>
      <c r="AB120" s="118">
        <f t="shared" si="1189"/>
        <v>-0.24131568703775788</v>
      </c>
      <c r="AC120" s="106">
        <f t="shared" si="1362"/>
        <v>513800</v>
      </c>
      <c r="AD120" s="106">
        <f t="shared" si="1363"/>
        <v>513800</v>
      </c>
      <c r="AE120" s="106">
        <f t="shared" si="1364"/>
        <v>513800</v>
      </c>
      <c r="AF120" s="106">
        <f t="shared" si="1365"/>
        <v>513800</v>
      </c>
      <c r="AG120" s="106">
        <f t="shared" si="1366"/>
        <v>513800</v>
      </c>
      <c r="AH120" s="106">
        <f t="shared" si="1367"/>
        <v>513800</v>
      </c>
      <c r="AI120" s="106">
        <f t="shared" si="1368"/>
        <v>513800</v>
      </c>
      <c r="AJ120" s="106">
        <f t="shared" si="1369"/>
        <v>513800</v>
      </c>
      <c r="AK120" s="106">
        <f t="shared" si="1370"/>
        <v>513800</v>
      </c>
      <c r="AL120" s="106">
        <f t="shared" si="1371"/>
        <v>513800</v>
      </c>
      <c r="AM120" s="106">
        <f t="shared" si="1372"/>
        <v>513800</v>
      </c>
      <c r="AN120" s="106">
        <f t="shared" si="1373"/>
        <v>513800</v>
      </c>
      <c r="AO120" s="106">
        <f t="shared" si="1374"/>
        <v>6165600</v>
      </c>
      <c r="AQ120" s="106">
        <v>213022.62400000001</v>
      </c>
      <c r="AR120" s="106">
        <v>225514.46000000002</v>
      </c>
      <c r="AS120" s="106">
        <v>254893</v>
      </c>
      <c r="AT120" s="106">
        <v>253430</v>
      </c>
      <c r="AU120" s="106">
        <v>253030</v>
      </c>
      <c r="AV120" s="106">
        <v>253297</v>
      </c>
      <c r="AW120" s="106">
        <v>250630</v>
      </c>
      <c r="AX120" s="106">
        <v>264752.8</v>
      </c>
      <c r="AY120" s="106">
        <v>260676.67</v>
      </c>
      <c r="AZ120" s="106">
        <v>260946.6</v>
      </c>
      <c r="BA120" s="106">
        <v>253500</v>
      </c>
      <c r="BB120" s="106">
        <v>322815</v>
      </c>
      <c r="BC120" s="106">
        <f t="shared" si="1375"/>
        <v>3066508.1540000001</v>
      </c>
      <c r="BD120" s="16" t="str">
        <f t="shared" si="871"/>
        <v>HRA - Staff</v>
      </c>
      <c r="BE120" s="106">
        <f>+VLOOKUP($BD120,'Jan-25'!$A:$J,2,0)</f>
        <v>328679</v>
      </c>
      <c r="BF120" s="106">
        <f>+VLOOKUP($BD120,'Feb-25'!$A:$J,2,0)</f>
        <v>322936</v>
      </c>
      <c r="BG120" s="106">
        <f>+VLOOKUP($BD120,'Mar-25'!$A:$J,2,0)</f>
        <v>371161</v>
      </c>
      <c r="BH120" s="106">
        <f>+VLOOKUP($BD120,'Apr-25'!$A:$J,2,0)</f>
        <v>383573</v>
      </c>
      <c r="BI120" s="106">
        <f>+VLOOKUP($BD120,'May-25'!$A:$J,2,0)</f>
        <v>382909</v>
      </c>
      <c r="BJ120" s="106">
        <f>+VLOOKUP($BD120,'June-25'!$A:$J,2,0)</f>
        <v>320173</v>
      </c>
      <c r="BK120" s="106">
        <f>+VLOOKUP($BD120,'July-25'!$A:$J,2,0)</f>
        <v>323400</v>
      </c>
      <c r="BL120" s="106">
        <f>+VLOOKUP($BD120,'Aug-25'!$A:$J,2,0)</f>
        <v>305272</v>
      </c>
      <c r="BM120" s="106">
        <f>+VLOOKUP($BD120,'Sep-25'!$A:$J,2,0)</f>
        <v>294338</v>
      </c>
      <c r="BN120" s="106">
        <f>+VLOOKUP($BD120,'Oct-25'!$A:$J,2,0)</f>
        <v>257991.8</v>
      </c>
      <c r="BO120" s="106">
        <f>+VLOOKUP($BD120,'Nov-25'!$A:$J,2,0)</f>
        <v>0</v>
      </c>
      <c r="BP120" s="106">
        <f>+VLOOKUP($BD120,'Dec-25'!$A:$J,2,0)</f>
        <v>0</v>
      </c>
      <c r="BQ120" s="106">
        <f t="shared" si="1376"/>
        <v>3290432.8</v>
      </c>
      <c r="BR120" s="118">
        <f t="shared" si="1190"/>
        <v>-0.32568792472556196</v>
      </c>
      <c r="BS120" s="106" cm="1">
        <f t="array" ref="BS120:CD120">+_xlfn.XLOOKUP(BD120,Budget!A:A,Budget!Q:AB)</f>
        <v>382600</v>
      </c>
      <c r="BT120" s="106">
        <v>382600</v>
      </c>
      <c r="BU120" s="106">
        <v>382600</v>
      </c>
      <c r="BV120" s="106">
        <v>382600</v>
      </c>
      <c r="BW120" s="106">
        <v>382600</v>
      </c>
      <c r="BX120" s="106">
        <v>382600</v>
      </c>
      <c r="BY120" s="106">
        <v>382600</v>
      </c>
      <c r="BZ120" s="106">
        <v>382600</v>
      </c>
      <c r="CA120" s="106">
        <v>382600</v>
      </c>
      <c r="CB120" s="106">
        <v>382600</v>
      </c>
      <c r="CC120" s="106">
        <v>382600</v>
      </c>
      <c r="CD120" s="106">
        <v>382600</v>
      </c>
      <c r="CE120" s="106">
        <f t="shared" si="1377"/>
        <v>4591200</v>
      </c>
      <c r="CF120" s="22"/>
      <c r="CG120" s="106">
        <v>159968.23650000003</v>
      </c>
      <c r="CH120" s="106">
        <v>161783.25</v>
      </c>
      <c r="CI120" s="106">
        <v>183604</v>
      </c>
      <c r="CJ120" s="106">
        <v>182750</v>
      </c>
      <c r="CK120" s="106">
        <v>183227</v>
      </c>
      <c r="CL120" s="106">
        <v>185883</v>
      </c>
      <c r="CM120" s="106">
        <v>184389</v>
      </c>
      <c r="CN120" s="106">
        <v>183924.55</v>
      </c>
      <c r="CO120" s="106">
        <v>184116.67</v>
      </c>
      <c r="CP120" s="106">
        <v>167588.4</v>
      </c>
      <c r="CQ120" s="106">
        <v>89053</v>
      </c>
      <c r="CR120" s="106">
        <v>132864</v>
      </c>
      <c r="CS120" s="106">
        <f t="shared" si="1378"/>
        <v>1999151.1065</v>
      </c>
      <c r="CT120" s="16" t="str">
        <f t="shared" si="875"/>
        <v>HRA - Staff</v>
      </c>
      <c r="CU120" s="106">
        <f>+VLOOKUP($BD120,'Jan-25'!$A:$J,6,0)</f>
        <v>112559</v>
      </c>
      <c r="CV120" s="106">
        <f>+VLOOKUP($BD120,'Feb-25'!$A:$J,6,0)</f>
        <v>111034</v>
      </c>
      <c r="CW120" s="106">
        <f>+VLOOKUP($BD120,'Mar-25'!$A:$J,6,0)</f>
        <v>125200</v>
      </c>
      <c r="CX120" s="106">
        <f>+VLOOKUP($BD120,'Apr-25'!$A:$J,6,0)</f>
        <v>125200</v>
      </c>
      <c r="CY120" s="106">
        <f>+VLOOKUP($BD120,'May-25'!$A:$J,6,0)</f>
        <v>113340</v>
      </c>
      <c r="CZ120" s="106">
        <f>+VLOOKUP($BD120,'June-25'!$A:$J,6,0)</f>
        <v>11700</v>
      </c>
      <c r="DA120" s="106">
        <f>+VLOOKUP($BD120,'July-25'!$A:$J,6,0)</f>
        <v>111755</v>
      </c>
      <c r="DB120" s="106">
        <f>+VLOOKUP($BD120,'Aug-25'!$A:$J,6,0)</f>
        <v>117029</v>
      </c>
      <c r="DC120" s="106">
        <f>+VLOOKUP($BD120,'Sep-25'!$A:$J,6,0)</f>
        <v>117866</v>
      </c>
      <c r="DD120" s="106">
        <f>+VLOOKUP($BD120,'Oct-25'!$A:$J,6,0)</f>
        <v>131820.20000000001</v>
      </c>
      <c r="DE120" s="106">
        <f>+VLOOKUP($BD120,'Nov-25'!$A:$J,6,0)</f>
        <v>0</v>
      </c>
      <c r="DF120" s="106">
        <f>+VLOOKUP($BD120,'Dec-25'!$A:$J,6,0)</f>
        <v>0</v>
      </c>
      <c r="DG120" s="106">
        <f t="shared" si="1379"/>
        <v>1077503.2</v>
      </c>
      <c r="DH120" s="118">
        <f t="shared" si="1191"/>
        <v>4.7271341463415517E-3</v>
      </c>
      <c r="DI120" s="106">
        <f>+_xlfn.XLOOKUP($CT120,Budget!$A:$A,Budget!BQ:BQ)</f>
        <v>131200</v>
      </c>
      <c r="DJ120" s="106">
        <f>+_xlfn.XLOOKUP($CT120,Budget!$A:$A,Budget!BR:BR)</f>
        <v>131200</v>
      </c>
      <c r="DK120" s="106">
        <f>+_xlfn.XLOOKUP($CT120,Budget!$A:$A,Budget!BS:BS)</f>
        <v>131200</v>
      </c>
      <c r="DL120" s="106">
        <f>+_xlfn.XLOOKUP($CT120,Budget!$A:$A,Budget!BT:BT)</f>
        <v>131200</v>
      </c>
      <c r="DM120" s="106">
        <f>+_xlfn.XLOOKUP($CT120,Budget!$A:$A,Budget!BU:BU)</f>
        <v>131200</v>
      </c>
      <c r="DN120" s="106">
        <f>+_xlfn.XLOOKUP($CT120,Budget!$A:$A,Budget!BV:BV)</f>
        <v>131200</v>
      </c>
      <c r="DO120" s="106">
        <f>+_xlfn.XLOOKUP($CT120,Budget!$A:$A,Budget!BW:BW)</f>
        <v>131200</v>
      </c>
      <c r="DP120" s="106">
        <f>+_xlfn.XLOOKUP($CT120,Budget!$A:$A,Budget!BX:BX)</f>
        <v>131200</v>
      </c>
      <c r="DQ120" s="106">
        <f>+_xlfn.XLOOKUP($CT120,Budget!$A:$A,Budget!BY:BY)</f>
        <v>131200</v>
      </c>
      <c r="DR120" s="106">
        <f>+_xlfn.XLOOKUP($CT120,Budget!$A:$A,Budget!BZ:BZ)</f>
        <v>131200</v>
      </c>
      <c r="DS120" s="106">
        <f>+_xlfn.XLOOKUP($CT120,Budget!$A:$A,Budget!CA:CA)</f>
        <v>131200</v>
      </c>
      <c r="DT120" s="106">
        <f>+_xlfn.XLOOKUP($CT120,Budget!$A:$A,Budget!CB:CB)</f>
        <v>131200</v>
      </c>
      <c r="DU120" s="106">
        <f t="shared" si="1380"/>
        <v>1574400</v>
      </c>
    </row>
    <row r="121" spans="1:125" ht="14.45" hidden="1" customHeight="1" outlineLevel="2">
      <c r="A121" s="106">
        <f t="shared" si="1336"/>
        <v>114530.1695</v>
      </c>
      <c r="B121" s="106">
        <f t="shared" si="1337"/>
        <v>132914.6</v>
      </c>
      <c r="C121" s="106">
        <f t="shared" si="1338"/>
        <v>137547</v>
      </c>
      <c r="D121" s="106">
        <f t="shared" si="1339"/>
        <v>138650</v>
      </c>
      <c r="E121" s="106">
        <f t="shared" si="1340"/>
        <v>135911</v>
      </c>
      <c r="F121" s="106">
        <f t="shared" si="1341"/>
        <v>131604</v>
      </c>
      <c r="G121" s="106">
        <f t="shared" si="1342"/>
        <v>127350</v>
      </c>
      <c r="H121" s="106">
        <f t="shared" si="1343"/>
        <v>127115</v>
      </c>
      <c r="I121" s="106">
        <f t="shared" si="1344"/>
        <v>125748.33</v>
      </c>
      <c r="J121" s="106">
        <f t="shared" si="1345"/>
        <v>113291</v>
      </c>
      <c r="K121" s="106">
        <f t="shared" si="1346"/>
        <v>81692.5</v>
      </c>
      <c r="L121" s="106">
        <f t="shared" si="1347"/>
        <v>115015</v>
      </c>
      <c r="M121" s="106">
        <f t="shared" si="1348"/>
        <v>1481368.5995</v>
      </c>
      <c r="N121" s="16" t="s">
        <v>99</v>
      </c>
      <c r="O121" s="106">
        <f t="shared" si="1349"/>
        <v>116043</v>
      </c>
      <c r="P121" s="106">
        <f t="shared" si="1350"/>
        <v>112815.70999999999</v>
      </c>
      <c r="Q121" s="106">
        <f t="shared" si="1351"/>
        <v>114969</v>
      </c>
      <c r="R121" s="106">
        <f t="shared" si="1352"/>
        <v>116683</v>
      </c>
      <c r="S121" s="106">
        <f t="shared" si="1353"/>
        <v>111644</v>
      </c>
      <c r="T121" s="106">
        <f t="shared" si="1354"/>
        <v>110070</v>
      </c>
      <c r="U121" s="106">
        <f t="shared" si="1355"/>
        <v>108370</v>
      </c>
      <c r="V121" s="106">
        <f t="shared" si="1356"/>
        <v>107847</v>
      </c>
      <c r="W121" s="106">
        <f t="shared" si="1357"/>
        <v>110684</v>
      </c>
      <c r="X121" s="106">
        <f t="shared" si="1358"/>
        <v>105107</v>
      </c>
      <c r="Y121" s="106">
        <f t="shared" si="1359"/>
        <v>0</v>
      </c>
      <c r="Z121" s="106">
        <f t="shared" si="1360"/>
        <v>0</v>
      </c>
      <c r="AA121" s="106">
        <f t="shared" si="1361"/>
        <v>1114232.71</v>
      </c>
      <c r="AB121" s="118">
        <f t="shared" si="1189"/>
        <v>-9.4295562257647569E-2</v>
      </c>
      <c r="AC121" s="106">
        <f t="shared" si="1362"/>
        <v>116050</v>
      </c>
      <c r="AD121" s="106">
        <f t="shared" si="1363"/>
        <v>116050</v>
      </c>
      <c r="AE121" s="106">
        <f t="shared" si="1364"/>
        <v>116050</v>
      </c>
      <c r="AF121" s="106">
        <f t="shared" si="1365"/>
        <v>116050</v>
      </c>
      <c r="AG121" s="106">
        <f t="shared" si="1366"/>
        <v>116050</v>
      </c>
      <c r="AH121" s="106">
        <f t="shared" si="1367"/>
        <v>116050</v>
      </c>
      <c r="AI121" s="106">
        <f t="shared" si="1368"/>
        <v>116050</v>
      </c>
      <c r="AJ121" s="106">
        <f t="shared" si="1369"/>
        <v>116050</v>
      </c>
      <c r="AK121" s="106">
        <f t="shared" si="1370"/>
        <v>116050</v>
      </c>
      <c r="AL121" s="106">
        <f t="shared" si="1371"/>
        <v>116050</v>
      </c>
      <c r="AM121" s="106">
        <f t="shared" si="1372"/>
        <v>116050</v>
      </c>
      <c r="AN121" s="106">
        <f t="shared" si="1373"/>
        <v>116050</v>
      </c>
      <c r="AO121" s="106">
        <f t="shared" si="1374"/>
        <v>1392600</v>
      </c>
      <c r="AQ121" s="106">
        <v>70800.296000000002</v>
      </c>
      <c r="AR121" s="106">
        <v>77905.569999999992</v>
      </c>
      <c r="AS121" s="106">
        <v>77661</v>
      </c>
      <c r="AT121" s="106">
        <v>77990</v>
      </c>
      <c r="AU121" s="106">
        <v>76490</v>
      </c>
      <c r="AV121" s="106">
        <v>76357</v>
      </c>
      <c r="AW121" s="106">
        <v>71490</v>
      </c>
      <c r="AX121" s="106">
        <v>71490</v>
      </c>
      <c r="AY121" s="106">
        <v>70090</v>
      </c>
      <c r="AZ121" s="106">
        <v>68542</v>
      </c>
      <c r="BA121" s="106">
        <v>59410</v>
      </c>
      <c r="BB121" s="106">
        <v>78750</v>
      </c>
      <c r="BC121" s="106">
        <f t="shared" si="1375"/>
        <v>876975.86599999992</v>
      </c>
      <c r="BD121" s="16" t="str">
        <f t="shared" si="871"/>
        <v>Meals Allowance - Staff</v>
      </c>
      <c r="BE121" s="106">
        <f>+VLOOKUP($BD121,'Jan-25'!$A:$J,2,0)</f>
        <v>83798</v>
      </c>
      <c r="BF121" s="106">
        <f>+VLOOKUP($BD121,'Feb-25'!$A:$J,2,0)</f>
        <v>80750</v>
      </c>
      <c r="BG121" s="106">
        <f>+VLOOKUP($BD121,'Mar-25'!$A:$J,2,0)</f>
        <v>80469</v>
      </c>
      <c r="BH121" s="106">
        <f>+VLOOKUP($BD121,'Apr-25'!$A:$J,2,0)</f>
        <v>82183</v>
      </c>
      <c r="BI121" s="106">
        <f>+VLOOKUP($BD121,'May-25'!$A:$J,2,0)</f>
        <v>84050</v>
      </c>
      <c r="BJ121" s="106">
        <f>+VLOOKUP($BD121,'June-25'!$A:$J,2,0)</f>
        <v>82083</v>
      </c>
      <c r="BK121" s="106">
        <f>+VLOOKUP($BD121,'July-25'!$A:$J,2,0)</f>
        <v>83850</v>
      </c>
      <c r="BL121" s="106">
        <f>+VLOOKUP($BD121,'Aug-25'!$A:$J,2,0)</f>
        <v>80431</v>
      </c>
      <c r="BM121" s="106">
        <f>+VLOOKUP($BD121,'Sep-25'!$A:$J,2,0)</f>
        <v>82697</v>
      </c>
      <c r="BN121" s="106">
        <f>+VLOOKUP($BD121,'Oct-25'!$A:$J,2,0)</f>
        <v>69595.8</v>
      </c>
      <c r="BO121" s="106">
        <f>+VLOOKUP($BD121,'Nov-25'!$A:$J,2,0)</f>
        <v>0</v>
      </c>
      <c r="BP121" s="106">
        <f>+VLOOKUP($BD121,'Dec-25'!$A:$J,2,0)</f>
        <v>0</v>
      </c>
      <c r="BQ121" s="106">
        <f t="shared" si="1376"/>
        <v>809906.8</v>
      </c>
      <c r="BR121" s="118">
        <f t="shared" si="1190"/>
        <v>-0.1465873697118332</v>
      </c>
      <c r="BS121" s="106" cm="1">
        <f t="array" ref="BS121:CD121">+_xlfn.XLOOKUP(BD121,Budget!A:A,Budget!Q:AB)</f>
        <v>81550</v>
      </c>
      <c r="BT121" s="106">
        <v>81550</v>
      </c>
      <c r="BU121" s="106">
        <v>81550</v>
      </c>
      <c r="BV121" s="106">
        <v>81550</v>
      </c>
      <c r="BW121" s="106">
        <v>81550</v>
      </c>
      <c r="BX121" s="106">
        <v>81550</v>
      </c>
      <c r="BY121" s="106">
        <v>81550</v>
      </c>
      <c r="BZ121" s="106">
        <v>81550</v>
      </c>
      <c r="CA121" s="106">
        <v>81550</v>
      </c>
      <c r="CB121" s="106">
        <v>81550</v>
      </c>
      <c r="CC121" s="106">
        <v>81550</v>
      </c>
      <c r="CD121" s="106">
        <v>81550</v>
      </c>
      <c r="CE121" s="106">
        <f t="shared" si="1377"/>
        <v>978600</v>
      </c>
      <c r="CF121" s="22"/>
      <c r="CG121" s="106">
        <v>43729.873500000002</v>
      </c>
      <c r="CH121" s="106">
        <v>55009.030000000006</v>
      </c>
      <c r="CI121" s="106">
        <v>59886</v>
      </c>
      <c r="CJ121" s="106">
        <v>60660</v>
      </c>
      <c r="CK121" s="106">
        <v>59421</v>
      </c>
      <c r="CL121" s="106">
        <v>55247</v>
      </c>
      <c r="CM121" s="106">
        <v>55860</v>
      </c>
      <c r="CN121" s="106">
        <v>55625</v>
      </c>
      <c r="CO121" s="106">
        <v>55658.33</v>
      </c>
      <c r="CP121" s="106">
        <v>44749</v>
      </c>
      <c r="CQ121" s="106">
        <v>22282.5</v>
      </c>
      <c r="CR121" s="106">
        <v>36265</v>
      </c>
      <c r="CS121" s="106">
        <f t="shared" si="1378"/>
        <v>604392.73350000009</v>
      </c>
      <c r="CT121" s="16" t="str">
        <f t="shared" si="875"/>
        <v>Meals Allowance - Staff</v>
      </c>
      <c r="CU121" s="106">
        <f>+VLOOKUP($BD121,'Jan-25'!$A:$J,6,0)</f>
        <v>32245</v>
      </c>
      <c r="CV121" s="106">
        <f>+VLOOKUP($BD121,'Feb-25'!$A:$J,6,0)</f>
        <v>32065.71</v>
      </c>
      <c r="CW121" s="106">
        <f>+VLOOKUP($BD121,'Mar-25'!$A:$J,6,0)</f>
        <v>34500</v>
      </c>
      <c r="CX121" s="106">
        <f>+VLOOKUP($BD121,'Apr-25'!$A:$J,6,0)</f>
        <v>34500</v>
      </c>
      <c r="CY121" s="106">
        <f>+VLOOKUP($BD121,'May-25'!$A:$J,6,0)</f>
        <v>27594</v>
      </c>
      <c r="CZ121" s="106">
        <f>+VLOOKUP($BD121,'June-25'!$A:$J,6,0)</f>
        <v>27987</v>
      </c>
      <c r="DA121" s="106">
        <f>+VLOOKUP($BD121,'July-25'!$A:$J,6,0)</f>
        <v>24520</v>
      </c>
      <c r="DB121" s="106">
        <f>+VLOOKUP($BD121,'Aug-25'!$A:$J,6,0)</f>
        <v>27416</v>
      </c>
      <c r="DC121" s="106">
        <f>+VLOOKUP($BD121,'Sep-25'!$A:$J,6,0)</f>
        <v>27987</v>
      </c>
      <c r="DD121" s="106">
        <f>+VLOOKUP($BD121,'Oct-25'!$A:$J,6,0)</f>
        <v>35511.199999999997</v>
      </c>
      <c r="DE121" s="106">
        <f>+VLOOKUP($BD121,'Nov-25'!$A:$J,6,0)</f>
        <v>0</v>
      </c>
      <c r="DF121" s="106">
        <f>+VLOOKUP($BD121,'Dec-25'!$A:$J,6,0)</f>
        <v>0</v>
      </c>
      <c r="DG121" s="106">
        <f t="shared" si="1379"/>
        <v>304325.90999999997</v>
      </c>
      <c r="DH121" s="118">
        <f t="shared" si="1191"/>
        <v>2.9310144927536148E-2</v>
      </c>
      <c r="DI121" s="106">
        <f>+_xlfn.XLOOKUP($CT121,Budget!$A:$A,Budget!BQ:BQ)</f>
        <v>34500</v>
      </c>
      <c r="DJ121" s="106">
        <f>+_xlfn.XLOOKUP($CT121,Budget!$A:$A,Budget!BR:BR)</f>
        <v>34500</v>
      </c>
      <c r="DK121" s="106">
        <f>+_xlfn.XLOOKUP($CT121,Budget!$A:$A,Budget!BS:BS)</f>
        <v>34500</v>
      </c>
      <c r="DL121" s="106">
        <f>+_xlfn.XLOOKUP($CT121,Budget!$A:$A,Budget!BT:BT)</f>
        <v>34500</v>
      </c>
      <c r="DM121" s="106">
        <f>+_xlfn.XLOOKUP($CT121,Budget!$A:$A,Budget!BU:BU)</f>
        <v>34500</v>
      </c>
      <c r="DN121" s="106">
        <f>+_xlfn.XLOOKUP($CT121,Budget!$A:$A,Budget!BV:BV)</f>
        <v>34500</v>
      </c>
      <c r="DO121" s="106">
        <f>+_xlfn.XLOOKUP($CT121,Budget!$A:$A,Budget!BW:BW)</f>
        <v>34500</v>
      </c>
      <c r="DP121" s="106">
        <f>+_xlfn.XLOOKUP($CT121,Budget!$A:$A,Budget!BX:BX)</f>
        <v>34500</v>
      </c>
      <c r="DQ121" s="106">
        <f>+_xlfn.XLOOKUP($CT121,Budget!$A:$A,Budget!BY:BY)</f>
        <v>34500</v>
      </c>
      <c r="DR121" s="106">
        <f>+_xlfn.XLOOKUP($CT121,Budget!$A:$A,Budget!BZ:BZ)</f>
        <v>34500</v>
      </c>
      <c r="DS121" s="106">
        <f>+_xlfn.XLOOKUP($CT121,Budget!$A:$A,Budget!CA:CA)</f>
        <v>34500</v>
      </c>
      <c r="DT121" s="106">
        <f>+_xlfn.XLOOKUP($CT121,Budget!$A:$A,Budget!CB:CB)</f>
        <v>34500</v>
      </c>
      <c r="DU121" s="106">
        <f t="shared" si="1380"/>
        <v>414000</v>
      </c>
    </row>
    <row r="122" spans="1:125" ht="14.45" hidden="1" customHeight="1" outlineLevel="2">
      <c r="A122" s="106">
        <f t="shared" si="1336"/>
        <v>59598.366000000009</v>
      </c>
      <c r="B122" s="106">
        <f t="shared" si="1337"/>
        <v>58681.240000000005</v>
      </c>
      <c r="C122" s="106">
        <f t="shared" si="1338"/>
        <v>54492</v>
      </c>
      <c r="D122" s="106">
        <f t="shared" si="1339"/>
        <v>52750</v>
      </c>
      <c r="E122" s="106">
        <f t="shared" si="1340"/>
        <v>52234</v>
      </c>
      <c r="F122" s="106">
        <f t="shared" si="1341"/>
        <v>51750</v>
      </c>
      <c r="G122" s="106">
        <f t="shared" si="1342"/>
        <v>50879</v>
      </c>
      <c r="H122" s="106">
        <f t="shared" si="1343"/>
        <v>49759.4</v>
      </c>
      <c r="I122" s="106">
        <f t="shared" si="1344"/>
        <v>48633.33</v>
      </c>
      <c r="J122" s="106">
        <f t="shared" si="1345"/>
        <v>46336</v>
      </c>
      <c r="K122" s="106">
        <f t="shared" si="1346"/>
        <v>21430</v>
      </c>
      <c r="L122" s="106">
        <f t="shared" si="1347"/>
        <v>46897</v>
      </c>
      <c r="M122" s="106">
        <f t="shared" si="1348"/>
        <v>593440.33600000013</v>
      </c>
      <c r="N122" s="16" t="s">
        <v>100</v>
      </c>
      <c r="O122" s="106">
        <f t="shared" si="1349"/>
        <v>44785</v>
      </c>
      <c r="P122" s="106">
        <f t="shared" si="1350"/>
        <v>44676</v>
      </c>
      <c r="Q122" s="106">
        <f t="shared" si="1351"/>
        <v>54400</v>
      </c>
      <c r="R122" s="106">
        <f t="shared" si="1352"/>
        <v>54400</v>
      </c>
      <c r="S122" s="106">
        <f t="shared" si="1353"/>
        <v>54189</v>
      </c>
      <c r="T122" s="106">
        <f t="shared" si="1354"/>
        <v>48650</v>
      </c>
      <c r="U122" s="106">
        <f t="shared" si="1355"/>
        <v>48600</v>
      </c>
      <c r="V122" s="106">
        <f t="shared" si="1356"/>
        <v>47118</v>
      </c>
      <c r="W122" s="106">
        <f t="shared" si="1357"/>
        <v>45102</v>
      </c>
      <c r="X122" s="106">
        <f t="shared" si="1358"/>
        <v>41865</v>
      </c>
      <c r="Y122" s="106">
        <f t="shared" si="1359"/>
        <v>0</v>
      </c>
      <c r="Z122" s="106">
        <f t="shared" si="1360"/>
        <v>0</v>
      </c>
      <c r="AA122" s="106">
        <f t="shared" si="1361"/>
        <v>483785</v>
      </c>
      <c r="AB122" s="118">
        <f t="shared" si="1189"/>
        <v>-0.27694300518134712</v>
      </c>
      <c r="AC122" s="106">
        <f t="shared" si="1362"/>
        <v>57900</v>
      </c>
      <c r="AD122" s="106">
        <f t="shared" si="1363"/>
        <v>57900</v>
      </c>
      <c r="AE122" s="106">
        <f t="shared" si="1364"/>
        <v>57900</v>
      </c>
      <c r="AF122" s="106">
        <f t="shared" si="1365"/>
        <v>57900</v>
      </c>
      <c r="AG122" s="106">
        <f t="shared" si="1366"/>
        <v>57900</v>
      </c>
      <c r="AH122" s="106">
        <f t="shared" si="1367"/>
        <v>57900</v>
      </c>
      <c r="AI122" s="106">
        <f t="shared" si="1368"/>
        <v>57900</v>
      </c>
      <c r="AJ122" s="106">
        <f t="shared" si="1369"/>
        <v>57900</v>
      </c>
      <c r="AK122" s="106">
        <f t="shared" si="1370"/>
        <v>57900</v>
      </c>
      <c r="AL122" s="106">
        <f t="shared" si="1371"/>
        <v>57900</v>
      </c>
      <c r="AM122" s="106">
        <f t="shared" si="1372"/>
        <v>57900</v>
      </c>
      <c r="AN122" s="106">
        <f t="shared" si="1373"/>
        <v>57900</v>
      </c>
      <c r="AO122" s="106">
        <f t="shared" si="1374"/>
        <v>694800</v>
      </c>
      <c r="AQ122" s="106">
        <v>32151.948000000004</v>
      </c>
      <c r="AR122" s="106">
        <v>32664.030000000002</v>
      </c>
      <c r="AS122" s="106">
        <v>30960</v>
      </c>
      <c r="AT122" s="106">
        <v>30960</v>
      </c>
      <c r="AU122" s="106">
        <v>30960</v>
      </c>
      <c r="AV122" s="106">
        <v>30960</v>
      </c>
      <c r="AW122" s="106">
        <v>30960</v>
      </c>
      <c r="AX122" s="106">
        <v>30779.200000000001</v>
      </c>
      <c r="AY122" s="106">
        <v>29810</v>
      </c>
      <c r="AZ122" s="106">
        <v>28427.8</v>
      </c>
      <c r="BA122" s="106">
        <v>14040</v>
      </c>
      <c r="BB122" s="106">
        <v>37600</v>
      </c>
      <c r="BC122" s="106">
        <f t="shared" si="1375"/>
        <v>360272.978</v>
      </c>
      <c r="BD122" s="16" t="str">
        <f t="shared" si="871"/>
        <v>Medical Allowance - Staff</v>
      </c>
      <c r="BE122" s="106">
        <f>+VLOOKUP($BD122,'Jan-25'!$A:$J,2,0)</f>
        <v>37600</v>
      </c>
      <c r="BF122" s="106">
        <f>+VLOOKUP($BD122,'Feb-25'!$A:$J,2,0)</f>
        <v>37600</v>
      </c>
      <c r="BG122" s="106">
        <f>+VLOOKUP($BD122,'Mar-25'!$A:$J,2,0)</f>
        <v>46050</v>
      </c>
      <c r="BH122" s="106">
        <f>+VLOOKUP($BD122,'Apr-25'!$A:$J,2,0)</f>
        <v>46050</v>
      </c>
      <c r="BI122" s="106">
        <f>+VLOOKUP($BD122,'May-25'!$A:$J,2,0)</f>
        <v>46050</v>
      </c>
      <c r="BJ122" s="106">
        <f>+VLOOKUP($BD122,'June-25'!$A:$J,2,0)</f>
        <v>40300</v>
      </c>
      <c r="BK122" s="106">
        <f>+VLOOKUP($BD122,'July-25'!$A:$J,2,0)</f>
        <v>40300</v>
      </c>
      <c r="BL122" s="106">
        <f>+VLOOKUP($BD122,'Aug-25'!$A:$J,2,0)</f>
        <v>38897</v>
      </c>
      <c r="BM122" s="106">
        <f>+VLOOKUP($BD122,'Sep-25'!$A:$J,2,0)</f>
        <v>36752</v>
      </c>
      <c r="BN122" s="106">
        <f>+VLOOKUP($BD122,'Oct-25'!$A:$J,2,0)</f>
        <v>32420</v>
      </c>
      <c r="BO122" s="106">
        <f>+VLOOKUP($BD122,'Nov-25'!$A:$J,2,0)</f>
        <v>0</v>
      </c>
      <c r="BP122" s="106">
        <f>+VLOOKUP($BD122,'Dec-25'!$A:$J,2,0)</f>
        <v>0</v>
      </c>
      <c r="BQ122" s="106">
        <f t="shared" si="1376"/>
        <v>402019</v>
      </c>
      <c r="BR122" s="118">
        <f t="shared" si="1190"/>
        <v>-0.3181913774973712</v>
      </c>
      <c r="BS122" s="106" cm="1">
        <f t="array" ref="BS122:CD122">+_xlfn.XLOOKUP(BD122,Budget!A:A,Budget!Q:AB)</f>
        <v>47550</v>
      </c>
      <c r="BT122" s="106">
        <v>47550</v>
      </c>
      <c r="BU122" s="106">
        <v>47550</v>
      </c>
      <c r="BV122" s="106">
        <v>47550</v>
      </c>
      <c r="BW122" s="106">
        <v>47550</v>
      </c>
      <c r="BX122" s="106">
        <v>47550</v>
      </c>
      <c r="BY122" s="106">
        <v>47550</v>
      </c>
      <c r="BZ122" s="106">
        <v>47550</v>
      </c>
      <c r="CA122" s="106">
        <v>47550</v>
      </c>
      <c r="CB122" s="106">
        <v>47550</v>
      </c>
      <c r="CC122" s="106">
        <v>47550</v>
      </c>
      <c r="CD122" s="106">
        <v>47550</v>
      </c>
      <c r="CE122" s="106">
        <f t="shared" si="1377"/>
        <v>570600</v>
      </c>
      <c r="CF122" s="22"/>
      <c r="CG122" s="106">
        <v>27446.418000000001</v>
      </c>
      <c r="CH122" s="106">
        <v>26017.210000000003</v>
      </c>
      <c r="CI122" s="106">
        <v>23532</v>
      </c>
      <c r="CJ122" s="106">
        <v>21790</v>
      </c>
      <c r="CK122" s="106">
        <v>21274</v>
      </c>
      <c r="CL122" s="106">
        <v>20790</v>
      </c>
      <c r="CM122" s="106">
        <v>19919</v>
      </c>
      <c r="CN122" s="106">
        <v>18980.2</v>
      </c>
      <c r="CO122" s="106">
        <v>18823.330000000002</v>
      </c>
      <c r="CP122" s="106">
        <v>17908.2</v>
      </c>
      <c r="CQ122" s="106">
        <v>7390</v>
      </c>
      <c r="CR122" s="106">
        <v>9297</v>
      </c>
      <c r="CS122" s="106">
        <f t="shared" si="1378"/>
        <v>233167.35800000001</v>
      </c>
      <c r="CT122" s="16" t="str">
        <f t="shared" si="875"/>
        <v>Medical Allowance - Staff</v>
      </c>
      <c r="CU122" s="106">
        <f>+VLOOKUP($BD122,'Jan-25'!$A:$J,6,0)</f>
        <v>7185</v>
      </c>
      <c r="CV122" s="106">
        <f>+VLOOKUP($BD122,'Feb-25'!$A:$J,6,0)</f>
        <v>7076</v>
      </c>
      <c r="CW122" s="106">
        <f>+VLOOKUP($BD122,'Mar-25'!$A:$J,6,0)</f>
        <v>8350</v>
      </c>
      <c r="CX122" s="106">
        <f>+VLOOKUP($BD122,'Apr-25'!$A:$J,6,0)</f>
        <v>8350</v>
      </c>
      <c r="CY122" s="106">
        <f>+VLOOKUP($BD122,'May-25'!$A:$J,6,0)</f>
        <v>8139</v>
      </c>
      <c r="CZ122" s="106">
        <f>+VLOOKUP($BD122,'June-25'!$A:$J,6,0)</f>
        <v>8350</v>
      </c>
      <c r="DA122" s="106">
        <f>+VLOOKUP($BD122,'July-25'!$A:$J,6,0)</f>
        <v>8300</v>
      </c>
      <c r="DB122" s="106">
        <f>+VLOOKUP($BD122,'Aug-25'!$A:$J,6,0)</f>
        <v>8221</v>
      </c>
      <c r="DC122" s="106">
        <f>+VLOOKUP($BD122,'Sep-25'!$A:$J,6,0)</f>
        <v>8350</v>
      </c>
      <c r="DD122" s="106">
        <f>+VLOOKUP($BD122,'Oct-25'!$A:$J,6,0)</f>
        <v>9445</v>
      </c>
      <c r="DE122" s="106">
        <f>+VLOOKUP($BD122,'Nov-25'!$A:$J,6,0)</f>
        <v>0</v>
      </c>
      <c r="DF122" s="106">
        <f>+VLOOKUP($BD122,'Dec-25'!$A:$J,6,0)</f>
        <v>0</v>
      </c>
      <c r="DG122" s="106">
        <f t="shared" si="1379"/>
        <v>81766</v>
      </c>
      <c r="DH122" s="118">
        <f t="shared" si="1191"/>
        <v>-8.7439613526570051E-2</v>
      </c>
      <c r="DI122" s="106">
        <f>+_xlfn.XLOOKUP($CT122,Budget!$A:$A,Budget!BQ:BQ)</f>
        <v>10350</v>
      </c>
      <c r="DJ122" s="106">
        <f>+_xlfn.XLOOKUP($CT122,Budget!$A:$A,Budget!BR:BR)</f>
        <v>10350</v>
      </c>
      <c r="DK122" s="106">
        <f>+_xlfn.XLOOKUP($CT122,Budget!$A:$A,Budget!BS:BS)</f>
        <v>10350</v>
      </c>
      <c r="DL122" s="106">
        <f>+_xlfn.XLOOKUP($CT122,Budget!$A:$A,Budget!BT:BT)</f>
        <v>10350</v>
      </c>
      <c r="DM122" s="106">
        <f>+_xlfn.XLOOKUP($CT122,Budget!$A:$A,Budget!BU:BU)</f>
        <v>10350</v>
      </c>
      <c r="DN122" s="106">
        <f>+_xlfn.XLOOKUP($CT122,Budget!$A:$A,Budget!BV:BV)</f>
        <v>10350</v>
      </c>
      <c r="DO122" s="106">
        <f>+_xlfn.XLOOKUP($CT122,Budget!$A:$A,Budget!BW:BW)</f>
        <v>10350</v>
      </c>
      <c r="DP122" s="106">
        <f>+_xlfn.XLOOKUP($CT122,Budget!$A:$A,Budget!BX:BX)</f>
        <v>10350</v>
      </c>
      <c r="DQ122" s="106">
        <f>+_xlfn.XLOOKUP($CT122,Budget!$A:$A,Budget!BY:BY)</f>
        <v>10350</v>
      </c>
      <c r="DR122" s="106">
        <f>+_xlfn.XLOOKUP($CT122,Budget!$A:$A,Budget!BZ:BZ)</f>
        <v>10350</v>
      </c>
      <c r="DS122" s="106">
        <f>+_xlfn.XLOOKUP($CT122,Budget!$A:$A,Budget!CA:CA)</f>
        <v>10350</v>
      </c>
      <c r="DT122" s="106">
        <f>+_xlfn.XLOOKUP($CT122,Budget!$A:$A,Budget!CB:CB)</f>
        <v>10350</v>
      </c>
      <c r="DU122" s="106">
        <f t="shared" si="1380"/>
        <v>124200</v>
      </c>
    </row>
    <row r="123" spans="1:125" ht="14.45" hidden="1" customHeight="1" outlineLevel="2">
      <c r="A123" s="106">
        <f t="shared" si="1336"/>
        <v>900323.75900000008</v>
      </c>
      <c r="B123" s="106">
        <f t="shared" si="1337"/>
        <v>893911.18</v>
      </c>
      <c r="C123" s="106">
        <f t="shared" si="1338"/>
        <v>793593.5</v>
      </c>
      <c r="D123" s="106">
        <f t="shared" si="1339"/>
        <v>801890.5</v>
      </c>
      <c r="E123" s="106">
        <f t="shared" si="1340"/>
        <v>815854</v>
      </c>
      <c r="F123" s="106">
        <f t="shared" si="1341"/>
        <v>807052</v>
      </c>
      <c r="G123" s="106">
        <f t="shared" si="1342"/>
        <v>799642</v>
      </c>
      <c r="H123" s="106">
        <f t="shared" si="1343"/>
        <v>804003.35</v>
      </c>
      <c r="I123" s="106">
        <f t="shared" si="1344"/>
        <v>803022</v>
      </c>
      <c r="J123" s="106">
        <f t="shared" si="1345"/>
        <v>805301</v>
      </c>
      <c r="K123" s="106">
        <f t="shared" si="1346"/>
        <v>566548.5</v>
      </c>
      <c r="L123" s="106">
        <f t="shared" si="1347"/>
        <v>765644</v>
      </c>
      <c r="M123" s="106">
        <f t="shared" si="1348"/>
        <v>9556785.7890000008</v>
      </c>
      <c r="N123" s="16" t="s">
        <v>101</v>
      </c>
      <c r="O123" s="106">
        <f t="shared" si="1349"/>
        <v>717049</v>
      </c>
      <c r="P123" s="106">
        <f t="shared" si="1350"/>
        <v>708583</v>
      </c>
      <c r="Q123" s="106">
        <f t="shared" si="1351"/>
        <v>768327</v>
      </c>
      <c r="R123" s="106">
        <f t="shared" si="1352"/>
        <v>782062</v>
      </c>
      <c r="S123" s="106">
        <f t="shared" si="1353"/>
        <v>794909</v>
      </c>
      <c r="T123" s="106">
        <f t="shared" si="1354"/>
        <v>695233</v>
      </c>
      <c r="U123" s="106">
        <f t="shared" si="1355"/>
        <v>693580</v>
      </c>
      <c r="V123" s="106">
        <f t="shared" si="1356"/>
        <v>685003</v>
      </c>
      <c r="W123" s="106">
        <f t="shared" si="1357"/>
        <v>843017</v>
      </c>
      <c r="X123" s="106">
        <f t="shared" si="1358"/>
        <v>588177</v>
      </c>
      <c r="Y123" s="106">
        <f t="shared" si="1359"/>
        <v>0</v>
      </c>
      <c r="Z123" s="106">
        <f t="shared" si="1360"/>
        <v>0</v>
      </c>
      <c r="AA123" s="106">
        <f t="shared" si="1361"/>
        <v>7275940</v>
      </c>
      <c r="AB123" s="118">
        <f t="shared" si="1189"/>
        <v>-0.25046736117748258</v>
      </c>
      <c r="AC123" s="106">
        <f t="shared" si="1362"/>
        <v>784725</v>
      </c>
      <c r="AD123" s="106">
        <f t="shared" si="1363"/>
        <v>784725</v>
      </c>
      <c r="AE123" s="106">
        <f t="shared" si="1364"/>
        <v>784725</v>
      </c>
      <c r="AF123" s="106">
        <f t="shared" si="1365"/>
        <v>784725</v>
      </c>
      <c r="AG123" s="106">
        <f t="shared" si="1366"/>
        <v>784725</v>
      </c>
      <c r="AH123" s="106">
        <f t="shared" si="1367"/>
        <v>784725</v>
      </c>
      <c r="AI123" s="106">
        <f t="shared" si="1368"/>
        <v>784725</v>
      </c>
      <c r="AJ123" s="106">
        <f t="shared" si="1369"/>
        <v>784725</v>
      </c>
      <c r="AK123" s="106">
        <f t="shared" si="1370"/>
        <v>784725</v>
      </c>
      <c r="AL123" s="106">
        <f t="shared" si="1371"/>
        <v>784725</v>
      </c>
      <c r="AM123" s="106">
        <f t="shared" si="1372"/>
        <v>784725</v>
      </c>
      <c r="AN123" s="106">
        <f t="shared" si="1373"/>
        <v>784725</v>
      </c>
      <c r="AO123" s="106">
        <f t="shared" si="1374"/>
        <v>9416700</v>
      </c>
      <c r="AQ123" s="106">
        <v>526559.16200000001</v>
      </c>
      <c r="AR123" s="106">
        <v>534894.61</v>
      </c>
      <c r="AS123" s="106">
        <v>459389</v>
      </c>
      <c r="AT123" s="106">
        <v>456333</v>
      </c>
      <c r="AU123" s="106">
        <v>469266</v>
      </c>
      <c r="AV123" s="106">
        <v>460876</v>
      </c>
      <c r="AW123" s="106">
        <v>454141</v>
      </c>
      <c r="AX123" s="106">
        <v>478751.8</v>
      </c>
      <c r="AY123" s="106">
        <v>466854.33</v>
      </c>
      <c r="AZ123" s="106">
        <v>450051.2</v>
      </c>
      <c r="BA123" s="106">
        <v>419850</v>
      </c>
      <c r="BB123" s="106">
        <v>538815</v>
      </c>
      <c r="BC123" s="106">
        <f t="shared" si="1375"/>
        <v>5715781.102</v>
      </c>
      <c r="BD123" s="16" t="str">
        <f t="shared" si="871"/>
        <v>Special Allowance - Staff</v>
      </c>
      <c r="BE123" s="106">
        <f>+VLOOKUP($BD123,'Jan-25'!$A:$J,2,0)</f>
        <v>549860</v>
      </c>
      <c r="BF123" s="106">
        <f>+VLOOKUP($BD123,'Feb-25'!$A:$J,2,0)</f>
        <v>542634</v>
      </c>
      <c r="BG123" s="106">
        <f>+VLOOKUP($BD123,'Mar-25'!$A:$J,2,0)</f>
        <v>588927</v>
      </c>
      <c r="BH123" s="106">
        <f>+VLOOKUP($BD123,'Apr-25'!$A:$J,2,0)</f>
        <v>602662</v>
      </c>
      <c r="BI123" s="106">
        <f>+VLOOKUP($BD123,'May-25'!$A:$J,2,0)</f>
        <v>628433</v>
      </c>
      <c r="BJ123" s="106">
        <f>+VLOOKUP($BD123,'June-25'!$A:$J,2,0)</f>
        <v>527205</v>
      </c>
      <c r="BK123" s="106">
        <f>+VLOOKUP($BD123,'July-25'!$A:$J,2,0)</f>
        <v>529475</v>
      </c>
      <c r="BL123" s="106">
        <f>+VLOOKUP($BD123,'Aug-25'!$A:$J,2,0)</f>
        <v>518198</v>
      </c>
      <c r="BM123" s="106">
        <f>+VLOOKUP($BD123,'Sep-25'!$A:$J,2,0)</f>
        <v>619673</v>
      </c>
      <c r="BN123" s="106">
        <f>+VLOOKUP($BD123,'Oct-25'!$A:$J,2,0)</f>
        <v>401754.8</v>
      </c>
      <c r="BO123" s="106">
        <f>+VLOOKUP($BD123,'Nov-25'!$A:$J,2,0)</f>
        <v>0</v>
      </c>
      <c r="BP123" s="106">
        <f>+VLOOKUP($BD123,'Dec-25'!$A:$J,2,0)</f>
        <v>0</v>
      </c>
      <c r="BQ123" s="106">
        <f t="shared" si="1376"/>
        <v>5508821.7999999998</v>
      </c>
      <c r="BR123" s="118">
        <f t="shared" si="1190"/>
        <v>-0.33132809054217122</v>
      </c>
      <c r="BS123" s="106" cm="1">
        <f t="array" ref="BS123:CD123">+_xlfn.XLOOKUP(BD123,Budget!A:A,Budget!Q:AB)</f>
        <v>600825</v>
      </c>
      <c r="BT123" s="106">
        <v>600825</v>
      </c>
      <c r="BU123" s="106">
        <v>600825</v>
      </c>
      <c r="BV123" s="106">
        <v>600825</v>
      </c>
      <c r="BW123" s="106">
        <v>600825</v>
      </c>
      <c r="BX123" s="106">
        <v>600825</v>
      </c>
      <c r="BY123" s="106">
        <v>600825</v>
      </c>
      <c r="BZ123" s="106">
        <v>600825</v>
      </c>
      <c r="CA123" s="106">
        <v>600825</v>
      </c>
      <c r="CB123" s="106">
        <v>600825</v>
      </c>
      <c r="CC123" s="106">
        <v>600825</v>
      </c>
      <c r="CD123" s="106">
        <v>600825</v>
      </c>
      <c r="CE123" s="106">
        <f t="shared" si="1377"/>
        <v>7209900</v>
      </c>
      <c r="CF123" s="22"/>
      <c r="CG123" s="106">
        <v>373764.59700000001</v>
      </c>
      <c r="CH123" s="106">
        <v>359016.57000000007</v>
      </c>
      <c r="CI123" s="106">
        <v>334204.5</v>
      </c>
      <c r="CJ123" s="106">
        <v>345557.5</v>
      </c>
      <c r="CK123" s="106">
        <v>346588</v>
      </c>
      <c r="CL123" s="106">
        <v>346176</v>
      </c>
      <c r="CM123" s="106">
        <v>345501</v>
      </c>
      <c r="CN123" s="106">
        <v>325251.55</v>
      </c>
      <c r="CO123" s="106">
        <v>336167.67000000004</v>
      </c>
      <c r="CP123" s="106">
        <v>355249.8</v>
      </c>
      <c r="CQ123" s="106">
        <v>146698.5</v>
      </c>
      <c r="CR123" s="106">
        <v>226829</v>
      </c>
      <c r="CS123" s="106">
        <f t="shared" si="1378"/>
        <v>3841004.6869999999</v>
      </c>
      <c r="CT123" s="16" t="str">
        <f t="shared" si="875"/>
        <v>Special Allowance - Staff</v>
      </c>
      <c r="CU123" s="106">
        <f>+VLOOKUP($BD123,'Jan-25'!$A:$J,6,0)</f>
        <v>167189</v>
      </c>
      <c r="CV123" s="106">
        <f>+VLOOKUP($BD123,'Feb-25'!$A:$J,6,0)</f>
        <v>165949</v>
      </c>
      <c r="CW123" s="106">
        <f>+VLOOKUP($BD123,'Mar-25'!$A:$J,6,0)</f>
        <v>179400</v>
      </c>
      <c r="CX123" s="106">
        <f>+VLOOKUP($BD123,'Apr-25'!$A:$J,6,0)</f>
        <v>179400</v>
      </c>
      <c r="CY123" s="106">
        <f>+VLOOKUP($BD123,'May-25'!$A:$J,6,0)</f>
        <v>166476</v>
      </c>
      <c r="CZ123" s="106">
        <f>+VLOOKUP($BD123,'June-25'!$A:$J,6,0)</f>
        <v>168028</v>
      </c>
      <c r="DA123" s="106">
        <f>+VLOOKUP($BD123,'July-25'!$A:$J,6,0)</f>
        <v>164105</v>
      </c>
      <c r="DB123" s="106">
        <f>+VLOOKUP($BD123,'Aug-25'!$A:$J,6,0)</f>
        <v>166805</v>
      </c>
      <c r="DC123" s="106">
        <f>+VLOOKUP($BD123,'Sep-25'!$A:$J,6,0)</f>
        <v>223344</v>
      </c>
      <c r="DD123" s="106">
        <f>+VLOOKUP($BD123,'Oct-25'!$A:$J,6,0)</f>
        <v>186422.2</v>
      </c>
      <c r="DE123" s="106">
        <f>+VLOOKUP($BD123,'Nov-25'!$A:$J,6,0)</f>
        <v>0</v>
      </c>
      <c r="DF123" s="106">
        <f>+VLOOKUP($BD123,'Dec-25'!$A:$J,6,0)</f>
        <v>0</v>
      </c>
      <c r="DG123" s="106">
        <f t="shared" si="1379"/>
        <v>1767118.2</v>
      </c>
      <c r="DH123" s="118">
        <f t="shared" si="1191"/>
        <v>1.3715062533985925E-2</v>
      </c>
      <c r="DI123" s="106">
        <f>+_xlfn.XLOOKUP($CT123,Budget!$A:$A,Budget!BQ:BQ)</f>
        <v>183900</v>
      </c>
      <c r="DJ123" s="106">
        <f>+_xlfn.XLOOKUP($CT123,Budget!$A:$A,Budget!BR:BR)</f>
        <v>183900</v>
      </c>
      <c r="DK123" s="106">
        <f>+_xlfn.XLOOKUP($CT123,Budget!$A:$A,Budget!BS:BS)</f>
        <v>183900</v>
      </c>
      <c r="DL123" s="106">
        <f>+_xlfn.XLOOKUP($CT123,Budget!$A:$A,Budget!BT:BT)</f>
        <v>183900</v>
      </c>
      <c r="DM123" s="106">
        <f>+_xlfn.XLOOKUP($CT123,Budget!$A:$A,Budget!BU:BU)</f>
        <v>183900</v>
      </c>
      <c r="DN123" s="106">
        <f>+_xlfn.XLOOKUP($CT123,Budget!$A:$A,Budget!BV:BV)</f>
        <v>183900</v>
      </c>
      <c r="DO123" s="106">
        <f>+_xlfn.XLOOKUP($CT123,Budget!$A:$A,Budget!BW:BW)</f>
        <v>183900</v>
      </c>
      <c r="DP123" s="106">
        <f>+_xlfn.XLOOKUP($CT123,Budget!$A:$A,Budget!BX:BX)</f>
        <v>183900</v>
      </c>
      <c r="DQ123" s="106">
        <f>+_xlfn.XLOOKUP($CT123,Budget!$A:$A,Budget!BY:BY)</f>
        <v>183900</v>
      </c>
      <c r="DR123" s="106">
        <f>+_xlfn.XLOOKUP($CT123,Budget!$A:$A,Budget!BZ:BZ)</f>
        <v>183900</v>
      </c>
      <c r="DS123" s="106">
        <f>+_xlfn.XLOOKUP($CT123,Budget!$A:$A,Budget!CA:CA)</f>
        <v>183900</v>
      </c>
      <c r="DT123" s="106">
        <f>+_xlfn.XLOOKUP($CT123,Budget!$A:$A,Budget!CB:CB)</f>
        <v>183900</v>
      </c>
      <c r="DU123" s="106">
        <f t="shared" si="1380"/>
        <v>2206800</v>
      </c>
    </row>
    <row r="124" spans="1:125" ht="14.45" hidden="1" customHeight="1" outlineLevel="2">
      <c r="A124" s="106">
        <f t="shared" si="1336"/>
        <v>113651.9</v>
      </c>
      <c r="B124" s="106">
        <f t="shared" si="1337"/>
        <v>123969.60000000001</v>
      </c>
      <c r="C124" s="106">
        <f t="shared" si="1338"/>
        <v>138596.1</v>
      </c>
      <c r="D124" s="106">
        <f t="shared" si="1339"/>
        <v>159714.70000000001</v>
      </c>
      <c r="E124" s="106">
        <f t="shared" si="1340"/>
        <v>159714.70000000001</v>
      </c>
      <c r="F124" s="106">
        <f t="shared" si="1341"/>
        <v>159714.70000000001</v>
      </c>
      <c r="G124" s="106">
        <f t="shared" si="1342"/>
        <v>159714.70000000001</v>
      </c>
      <c r="H124" s="106">
        <f t="shared" si="1343"/>
        <v>159714.70000000001</v>
      </c>
      <c r="I124" s="106">
        <f t="shared" si="1344"/>
        <v>159714.70000000001</v>
      </c>
      <c r="J124" s="106">
        <f t="shared" si="1345"/>
        <v>159714.70000000001</v>
      </c>
      <c r="K124" s="106">
        <f t="shared" si="1346"/>
        <v>159714.70000000001</v>
      </c>
      <c r="L124" s="106">
        <f t="shared" si="1347"/>
        <v>159714.70000000001</v>
      </c>
      <c r="M124" s="106">
        <f t="shared" si="1348"/>
        <v>1813649.8999999997</v>
      </c>
      <c r="N124" s="16" t="s">
        <v>102</v>
      </c>
      <c r="O124" s="106">
        <f t="shared" si="1349"/>
        <v>129572</v>
      </c>
      <c r="P124" s="106">
        <f t="shared" si="1350"/>
        <v>132655</v>
      </c>
      <c r="Q124" s="106">
        <f t="shared" si="1351"/>
        <v>131924</v>
      </c>
      <c r="R124" s="106">
        <f t="shared" si="1352"/>
        <v>151011.22386458333</v>
      </c>
      <c r="S124" s="106">
        <f t="shared" si="1353"/>
        <v>151011.22386458333</v>
      </c>
      <c r="T124" s="106">
        <f t="shared" si="1354"/>
        <v>151011.22386458333</v>
      </c>
      <c r="U124" s="106">
        <f t="shared" si="1355"/>
        <v>151011.22386458333</v>
      </c>
      <c r="V124" s="106">
        <f t="shared" si="1356"/>
        <v>151011.22386458333</v>
      </c>
      <c r="W124" s="106">
        <f t="shared" si="1357"/>
        <v>151011.22386458333</v>
      </c>
      <c r="X124" s="106">
        <f t="shared" si="1358"/>
        <v>151011.22386458333</v>
      </c>
      <c r="Y124" s="106">
        <f t="shared" si="1359"/>
        <v>0</v>
      </c>
      <c r="Z124" s="106">
        <f t="shared" si="1360"/>
        <v>0</v>
      </c>
      <c r="AA124" s="106">
        <f t="shared" si="1361"/>
        <v>1451229.5670520831</v>
      </c>
      <c r="AB124" s="118">
        <f t="shared" si="1189"/>
        <v>0</v>
      </c>
      <c r="AC124" s="106">
        <f t="shared" si="1362"/>
        <v>151011.22386458333</v>
      </c>
      <c r="AD124" s="106">
        <f t="shared" si="1363"/>
        <v>151011.22386458333</v>
      </c>
      <c r="AE124" s="106">
        <f t="shared" si="1364"/>
        <v>151011.22386458333</v>
      </c>
      <c r="AF124" s="106">
        <f t="shared" si="1365"/>
        <v>151011.22386458333</v>
      </c>
      <c r="AG124" s="106">
        <f t="shared" si="1366"/>
        <v>151011.22386458333</v>
      </c>
      <c r="AH124" s="106">
        <f t="shared" si="1367"/>
        <v>151011.22386458333</v>
      </c>
      <c r="AI124" s="106">
        <f t="shared" si="1368"/>
        <v>151011.22386458333</v>
      </c>
      <c r="AJ124" s="106">
        <f t="shared" si="1369"/>
        <v>151011.22386458333</v>
      </c>
      <c r="AK124" s="106">
        <f t="shared" si="1370"/>
        <v>151011.22386458333</v>
      </c>
      <c r="AL124" s="106">
        <f t="shared" si="1371"/>
        <v>151011.22386458333</v>
      </c>
      <c r="AM124" s="106">
        <f t="shared" si="1372"/>
        <v>151011.22386458333</v>
      </c>
      <c r="AN124" s="106">
        <f t="shared" si="1373"/>
        <v>151011.22386458333</v>
      </c>
      <c r="AO124" s="106">
        <f t="shared" si="1374"/>
        <v>1812134.6863749998</v>
      </c>
      <c r="AQ124" s="106">
        <v>69387.8</v>
      </c>
      <c r="AR124" s="106">
        <v>75088.400000000009</v>
      </c>
      <c r="AS124" s="106">
        <v>82657.8</v>
      </c>
      <c r="AT124" s="106">
        <v>88217.200000000012</v>
      </c>
      <c r="AU124" s="106">
        <v>88217.200000000012</v>
      </c>
      <c r="AV124" s="106">
        <v>88217.200000000012</v>
      </c>
      <c r="AW124" s="106">
        <v>88217.200000000012</v>
      </c>
      <c r="AX124" s="106">
        <v>88217.200000000012</v>
      </c>
      <c r="AY124" s="106">
        <v>88217.200000000012</v>
      </c>
      <c r="AZ124" s="106">
        <v>88217.2</v>
      </c>
      <c r="BA124" s="106">
        <v>88217.200000000012</v>
      </c>
      <c r="BB124" s="106">
        <v>88217.200000000012</v>
      </c>
      <c r="BC124" s="106">
        <f t="shared" si="1375"/>
        <v>1021088.7999999998</v>
      </c>
      <c r="BD124" s="16" t="str">
        <f t="shared" si="871"/>
        <v>Provident Fund Contribution Company - Staff</v>
      </c>
      <c r="BE124" s="106">
        <f>+VLOOKUP($BD124,'Jan-25'!$A:$J,2,0)</f>
        <v>94256</v>
      </c>
      <c r="BF124" s="106">
        <f>+VLOOKUP($BD124,'Feb-25'!$A:$J,2,0)</f>
        <v>93170</v>
      </c>
      <c r="BG124" s="106">
        <f>+VLOOKUP($BD124,'Mar-25'!$A:$J,2,0)</f>
        <v>95797</v>
      </c>
      <c r="BH124" s="106">
        <f>+VLOOKUP($BD124,'Apr-25'!$A:$J,2,0)</f>
        <v>107556.71915625001</v>
      </c>
      <c r="BI124" s="106">
        <f>+VLOOKUP($BD124,'May-25'!$A:$J,2,0)</f>
        <v>107556.71915625001</v>
      </c>
      <c r="BJ124" s="106">
        <f>+VLOOKUP($BD124,'June-25'!$A:$J,2,0)</f>
        <v>107556.71915625001</v>
      </c>
      <c r="BK124" s="106">
        <f>+VLOOKUP($BD124,'July-25'!$A:$J,2,0)</f>
        <v>107556.71915625001</v>
      </c>
      <c r="BL124" s="106">
        <f>+VLOOKUP($BD124,'Aug-25'!$A:$J,2,0)</f>
        <v>107556.71915625001</v>
      </c>
      <c r="BM124" s="106">
        <f>+VLOOKUP($BD124,'Sep-25'!$A:$J,2,0)</f>
        <v>107556.71915625001</v>
      </c>
      <c r="BN124" s="106">
        <f>+VLOOKUP($BD124,'Oct-25'!$A:$J,2,0)</f>
        <v>107556.71915625001</v>
      </c>
      <c r="BO124" s="106">
        <f>+VLOOKUP($BD124,'Nov-25'!$A:$J,2,0)</f>
        <v>0</v>
      </c>
      <c r="BP124" s="106">
        <f>+VLOOKUP($BD124,'Dec-25'!$A:$J,2,0)</f>
        <v>0</v>
      </c>
      <c r="BQ124" s="106">
        <f t="shared" si="1376"/>
        <v>1036120.0340937501</v>
      </c>
      <c r="BR124" s="118">
        <f t="shared" si="1190"/>
        <v>0</v>
      </c>
      <c r="BS124" s="106" cm="1">
        <f t="array" ref="BS124:CD124">+_xlfn.XLOOKUP(BD124,Budget!A:A,Budget!Q:AB)</f>
        <v>107556.71915625001</v>
      </c>
      <c r="BT124" s="106">
        <v>107556.71915625001</v>
      </c>
      <c r="BU124" s="106">
        <v>107556.71915625001</v>
      </c>
      <c r="BV124" s="106">
        <v>107556.71915625001</v>
      </c>
      <c r="BW124" s="106">
        <v>107556.71915625001</v>
      </c>
      <c r="BX124" s="106">
        <v>107556.71915625001</v>
      </c>
      <c r="BY124" s="106">
        <v>107556.71915625001</v>
      </c>
      <c r="BZ124" s="106">
        <v>107556.71915625001</v>
      </c>
      <c r="CA124" s="106">
        <v>107556.71915625001</v>
      </c>
      <c r="CB124" s="106">
        <v>107556.71915625001</v>
      </c>
      <c r="CC124" s="106">
        <v>107556.71915625001</v>
      </c>
      <c r="CD124" s="106">
        <v>107556.71915625001</v>
      </c>
      <c r="CE124" s="106">
        <f t="shared" si="1377"/>
        <v>1290680.6298750001</v>
      </c>
      <c r="CF124" s="22"/>
      <c r="CG124" s="106">
        <v>44264.1</v>
      </c>
      <c r="CH124" s="106">
        <v>48881.200000000004</v>
      </c>
      <c r="CI124" s="106">
        <v>55938.3</v>
      </c>
      <c r="CJ124" s="106">
        <v>71497.5</v>
      </c>
      <c r="CK124" s="106">
        <v>71497.5</v>
      </c>
      <c r="CL124" s="106">
        <v>71497.5</v>
      </c>
      <c r="CM124" s="106">
        <v>71497.5</v>
      </c>
      <c r="CN124" s="106">
        <v>71497.5</v>
      </c>
      <c r="CO124" s="106">
        <v>71497.5</v>
      </c>
      <c r="CP124" s="106">
        <v>71497.5</v>
      </c>
      <c r="CQ124" s="106">
        <v>71497.5</v>
      </c>
      <c r="CR124" s="106">
        <v>71497.5</v>
      </c>
      <c r="CS124" s="106">
        <f t="shared" si="1378"/>
        <v>792561.1</v>
      </c>
      <c r="CT124" s="16" t="str">
        <f t="shared" si="875"/>
        <v>Provident Fund Contribution Company - Staff</v>
      </c>
      <c r="CU124" s="106">
        <f>+VLOOKUP($BD124,'Jan-25'!$A:$J,6,0)</f>
        <v>35316</v>
      </c>
      <c r="CV124" s="106">
        <f>+VLOOKUP($BD124,'Feb-25'!$A:$J,6,0)</f>
        <v>39485</v>
      </c>
      <c r="CW124" s="106">
        <f>+VLOOKUP($BD124,'Mar-25'!$A:$J,6,0)</f>
        <v>36127</v>
      </c>
      <c r="CX124" s="106">
        <f>+VLOOKUP($BD124,'Apr-25'!$A:$J,6,0)</f>
        <v>43454.504708333327</v>
      </c>
      <c r="CY124" s="106">
        <f>+VLOOKUP($BD124,'May-25'!$A:$J,6,0)</f>
        <v>43454.504708333327</v>
      </c>
      <c r="CZ124" s="106">
        <f>+VLOOKUP($BD124,'June-25'!$A:$J,6,0)</f>
        <v>43454.504708333327</v>
      </c>
      <c r="DA124" s="106">
        <f>+VLOOKUP($BD124,'July-25'!$A:$J,6,0)</f>
        <v>43454.504708333327</v>
      </c>
      <c r="DB124" s="106">
        <f>+VLOOKUP($BD124,'Aug-25'!$A:$J,6,0)</f>
        <v>43454.504708333327</v>
      </c>
      <c r="DC124" s="106">
        <f>+VLOOKUP($BD124,'Sep-25'!$A:$J,6,0)</f>
        <v>43454.504708333327</v>
      </c>
      <c r="DD124" s="106">
        <f>+VLOOKUP($BD124,'Oct-25'!$A:$J,6,0)</f>
        <v>43454.504708333327</v>
      </c>
      <c r="DE124" s="106">
        <f>+VLOOKUP($BD124,'Nov-25'!$A:$J,6,0)</f>
        <v>0</v>
      </c>
      <c r="DF124" s="106">
        <f>+VLOOKUP($BD124,'Dec-25'!$A:$J,6,0)</f>
        <v>0</v>
      </c>
      <c r="DG124" s="106">
        <f t="shared" si="1379"/>
        <v>415109.53295833332</v>
      </c>
      <c r="DH124" s="118">
        <f t="shared" si="1191"/>
        <v>0</v>
      </c>
      <c r="DI124" s="106">
        <f>+_xlfn.XLOOKUP($CT124,Budget!$A:$A,Budget!BQ:BQ)</f>
        <v>43454.504708333327</v>
      </c>
      <c r="DJ124" s="106">
        <f>+_xlfn.XLOOKUP($CT124,Budget!$A:$A,Budget!BR:BR)</f>
        <v>43454.504708333327</v>
      </c>
      <c r="DK124" s="106">
        <f>+_xlfn.XLOOKUP($CT124,Budget!$A:$A,Budget!BS:BS)</f>
        <v>43454.504708333327</v>
      </c>
      <c r="DL124" s="106">
        <f>+_xlfn.XLOOKUP($CT124,Budget!$A:$A,Budget!BT:BT)</f>
        <v>43454.504708333327</v>
      </c>
      <c r="DM124" s="106">
        <f>+_xlfn.XLOOKUP($CT124,Budget!$A:$A,Budget!BU:BU)</f>
        <v>43454.504708333327</v>
      </c>
      <c r="DN124" s="106">
        <f>+_xlfn.XLOOKUP($CT124,Budget!$A:$A,Budget!BV:BV)</f>
        <v>43454.504708333327</v>
      </c>
      <c r="DO124" s="106">
        <f>+_xlfn.XLOOKUP($CT124,Budget!$A:$A,Budget!BW:BW)</f>
        <v>43454.504708333327</v>
      </c>
      <c r="DP124" s="106">
        <f>+_xlfn.XLOOKUP($CT124,Budget!$A:$A,Budget!BX:BX)</f>
        <v>43454.504708333327</v>
      </c>
      <c r="DQ124" s="106">
        <f>+_xlfn.XLOOKUP($CT124,Budget!$A:$A,Budget!BY:BY)</f>
        <v>43454.504708333327</v>
      </c>
      <c r="DR124" s="106">
        <f>+_xlfn.XLOOKUP($CT124,Budget!$A:$A,Budget!BZ:BZ)</f>
        <v>43454.504708333327</v>
      </c>
      <c r="DS124" s="106">
        <f>+_xlfn.XLOOKUP($CT124,Budget!$A:$A,Budget!CA:CA)</f>
        <v>43454.504708333327</v>
      </c>
      <c r="DT124" s="106">
        <f>+_xlfn.XLOOKUP($CT124,Budget!$A:$A,Budget!CB:CB)</f>
        <v>43454.504708333327</v>
      </c>
      <c r="DU124" s="106">
        <f t="shared" si="1380"/>
        <v>521454.05650000001</v>
      </c>
    </row>
    <row r="125" spans="1:125" ht="14.45" hidden="1" customHeight="1" outlineLevel="2">
      <c r="A125" s="106">
        <f t="shared" si="1336"/>
        <v>14427.5</v>
      </c>
      <c r="B125" s="106">
        <f t="shared" si="1337"/>
        <v>15694.5</v>
      </c>
      <c r="C125" s="106">
        <f t="shared" si="1338"/>
        <v>15864.900000000001</v>
      </c>
      <c r="D125" s="106">
        <f t="shared" si="1339"/>
        <v>15864.900000000001</v>
      </c>
      <c r="E125" s="106">
        <f t="shared" si="1340"/>
        <v>13214.2</v>
      </c>
      <c r="F125" s="106">
        <f t="shared" si="1341"/>
        <v>13214.2</v>
      </c>
      <c r="G125" s="106">
        <f t="shared" si="1342"/>
        <v>13214.2</v>
      </c>
      <c r="H125" s="106">
        <f t="shared" si="1343"/>
        <v>13214.2</v>
      </c>
      <c r="I125" s="106">
        <f t="shared" si="1344"/>
        <v>13214.2</v>
      </c>
      <c r="J125" s="106">
        <f t="shared" si="1345"/>
        <v>13214.2</v>
      </c>
      <c r="K125" s="106">
        <f t="shared" si="1346"/>
        <v>13214.2</v>
      </c>
      <c r="L125" s="106">
        <f t="shared" si="1347"/>
        <v>13214.2</v>
      </c>
      <c r="M125" s="106">
        <f t="shared" si="1348"/>
        <v>167565.40000000002</v>
      </c>
      <c r="N125" s="16" t="s">
        <v>103</v>
      </c>
      <c r="O125" s="106">
        <f t="shared" si="1349"/>
        <v>12997</v>
      </c>
      <c r="P125" s="106">
        <f t="shared" si="1350"/>
        <v>13143</v>
      </c>
      <c r="Q125" s="106">
        <f t="shared" si="1351"/>
        <v>13830</v>
      </c>
      <c r="R125" s="106">
        <f t="shared" si="1352"/>
        <v>6887.5</v>
      </c>
      <c r="S125" s="106">
        <f t="shared" si="1353"/>
        <v>6887.5</v>
      </c>
      <c r="T125" s="106">
        <f t="shared" si="1354"/>
        <v>6887.5</v>
      </c>
      <c r="U125" s="106">
        <f t="shared" si="1355"/>
        <v>6887.5</v>
      </c>
      <c r="V125" s="106">
        <f t="shared" si="1356"/>
        <v>6887.5</v>
      </c>
      <c r="W125" s="106">
        <f t="shared" si="1357"/>
        <v>6887.5</v>
      </c>
      <c r="X125" s="106">
        <f t="shared" si="1358"/>
        <v>6887.5</v>
      </c>
      <c r="Y125" s="106">
        <f t="shared" si="1359"/>
        <v>0</v>
      </c>
      <c r="Z125" s="106">
        <f t="shared" si="1360"/>
        <v>0</v>
      </c>
      <c r="AA125" s="106">
        <f t="shared" si="1361"/>
        <v>88182.5</v>
      </c>
      <c r="AB125" s="118">
        <f t="shared" si="1189"/>
        <v>0</v>
      </c>
      <c r="AC125" s="106">
        <f t="shared" si="1362"/>
        <v>6887.5</v>
      </c>
      <c r="AD125" s="106">
        <f t="shared" si="1363"/>
        <v>6887.5</v>
      </c>
      <c r="AE125" s="106">
        <f t="shared" si="1364"/>
        <v>6887.5</v>
      </c>
      <c r="AF125" s="106">
        <f t="shared" si="1365"/>
        <v>6887.5</v>
      </c>
      <c r="AG125" s="106">
        <f t="shared" si="1366"/>
        <v>6887.5</v>
      </c>
      <c r="AH125" s="106">
        <f t="shared" si="1367"/>
        <v>6887.5</v>
      </c>
      <c r="AI125" s="106">
        <f t="shared" si="1368"/>
        <v>6887.5</v>
      </c>
      <c r="AJ125" s="106">
        <f t="shared" si="1369"/>
        <v>6887.5</v>
      </c>
      <c r="AK125" s="106">
        <f t="shared" si="1370"/>
        <v>6887.5</v>
      </c>
      <c r="AL125" s="106">
        <f t="shared" si="1371"/>
        <v>6887.5</v>
      </c>
      <c r="AM125" s="106">
        <f t="shared" si="1372"/>
        <v>6887.5</v>
      </c>
      <c r="AN125" s="106">
        <f t="shared" si="1373"/>
        <v>6887.5</v>
      </c>
      <c r="AO125" s="106">
        <f t="shared" si="1374"/>
        <v>82650</v>
      </c>
      <c r="AQ125" s="106">
        <v>10597</v>
      </c>
      <c r="AR125" s="106">
        <v>11864</v>
      </c>
      <c r="AS125" s="106">
        <v>11778.2</v>
      </c>
      <c r="AT125" s="106">
        <v>11778.2</v>
      </c>
      <c r="AU125" s="106">
        <v>10106.6</v>
      </c>
      <c r="AV125" s="106">
        <v>10106.6</v>
      </c>
      <c r="AW125" s="106">
        <v>10106.6</v>
      </c>
      <c r="AX125" s="106">
        <v>10106.6</v>
      </c>
      <c r="AY125" s="106">
        <v>10106.6</v>
      </c>
      <c r="AZ125" s="106">
        <v>10106.6</v>
      </c>
      <c r="BA125" s="106">
        <v>10106.6</v>
      </c>
      <c r="BB125" s="106">
        <v>10106.6</v>
      </c>
      <c r="BC125" s="106">
        <f t="shared" si="1375"/>
        <v>126870.20000000003</v>
      </c>
      <c r="BD125" s="16" t="str">
        <f t="shared" si="871"/>
        <v>Employer Insurance Contributions - Staff</v>
      </c>
      <c r="BE125" s="106">
        <f>+VLOOKUP($BD125,'Jan-25'!$A:$J,2,0)</f>
        <v>8981</v>
      </c>
      <c r="BF125" s="106">
        <f>+VLOOKUP($BD125,'Feb-25'!$A:$J,2,0)</f>
        <v>9145</v>
      </c>
      <c r="BG125" s="106">
        <f>+VLOOKUP($BD125,'Mar-25'!$A:$J,2,0)</f>
        <v>9639</v>
      </c>
      <c r="BH125" s="106">
        <f>+VLOOKUP($BD125,'Apr-25'!$A:$J,2,0)</f>
        <v>4821.25</v>
      </c>
      <c r="BI125" s="106">
        <f>+VLOOKUP($BD125,'May-25'!$A:$J,2,0)</f>
        <v>4821.25</v>
      </c>
      <c r="BJ125" s="106">
        <f>+VLOOKUP($BD125,'June-25'!$A:$J,2,0)</f>
        <v>4821.25</v>
      </c>
      <c r="BK125" s="106">
        <f>+VLOOKUP($BD125,'July-25'!$A:$J,2,0)</f>
        <v>4821.25</v>
      </c>
      <c r="BL125" s="106">
        <f>+VLOOKUP($BD125,'Aug-25'!$A:$J,2,0)</f>
        <v>4821.25</v>
      </c>
      <c r="BM125" s="106">
        <f>+VLOOKUP($BD125,'Sep-25'!$A:$J,2,0)</f>
        <v>4821.25</v>
      </c>
      <c r="BN125" s="106">
        <f>+VLOOKUP($BD125,'Oct-25'!$A:$J,2,0)</f>
        <v>4821.25</v>
      </c>
      <c r="BO125" s="106">
        <f>+VLOOKUP($BD125,'Nov-25'!$A:$J,2,0)</f>
        <v>0</v>
      </c>
      <c r="BP125" s="106">
        <f>+VLOOKUP($BD125,'Dec-25'!$A:$J,2,0)</f>
        <v>0</v>
      </c>
      <c r="BQ125" s="106">
        <f t="shared" si="1376"/>
        <v>61513.75</v>
      </c>
      <c r="BR125" s="118">
        <f t="shared" si="1190"/>
        <v>0</v>
      </c>
      <c r="BS125" s="106" cm="1">
        <f t="array" ref="BS125:CD125">+_xlfn.XLOOKUP(BD125,Budget!A:A,Budget!Q:AB)</f>
        <v>4821.25</v>
      </c>
      <c r="BT125" s="106">
        <v>4821.25</v>
      </c>
      <c r="BU125" s="106">
        <v>4821.25</v>
      </c>
      <c r="BV125" s="106">
        <v>4821.25</v>
      </c>
      <c r="BW125" s="106">
        <v>4821.25</v>
      </c>
      <c r="BX125" s="106">
        <v>4821.25</v>
      </c>
      <c r="BY125" s="106">
        <v>4821.25</v>
      </c>
      <c r="BZ125" s="106">
        <v>4821.25</v>
      </c>
      <c r="CA125" s="106">
        <v>4821.25</v>
      </c>
      <c r="CB125" s="106">
        <v>4821.25</v>
      </c>
      <c r="CC125" s="106">
        <v>4821.25</v>
      </c>
      <c r="CD125" s="106">
        <v>4821.25</v>
      </c>
      <c r="CE125" s="106">
        <f t="shared" si="1377"/>
        <v>57855</v>
      </c>
      <c r="CF125" s="22"/>
      <c r="CG125" s="106">
        <v>3830.5</v>
      </c>
      <c r="CH125" s="106">
        <v>3830.5</v>
      </c>
      <c r="CI125" s="106">
        <v>4086.7</v>
      </c>
      <c r="CJ125" s="106">
        <v>4086.7</v>
      </c>
      <c r="CK125" s="106">
        <v>3107.6</v>
      </c>
      <c r="CL125" s="106">
        <v>3107.6</v>
      </c>
      <c r="CM125" s="106">
        <v>3107.6</v>
      </c>
      <c r="CN125" s="106">
        <v>3107.6</v>
      </c>
      <c r="CO125" s="106">
        <v>3107.6</v>
      </c>
      <c r="CP125" s="106">
        <v>3107.6</v>
      </c>
      <c r="CQ125" s="106">
        <v>3107.6</v>
      </c>
      <c r="CR125" s="106">
        <v>3107.6</v>
      </c>
      <c r="CS125" s="106">
        <f t="shared" si="1378"/>
        <v>40695.19999999999</v>
      </c>
      <c r="CT125" s="16" t="str">
        <f t="shared" si="875"/>
        <v>Employer Insurance Contributions - Staff</v>
      </c>
      <c r="CU125" s="106">
        <f>+VLOOKUP($BD125,'Jan-25'!$A:$J,6,0)</f>
        <v>4016</v>
      </c>
      <c r="CV125" s="106">
        <f>+VLOOKUP($BD125,'Feb-25'!$A:$J,6,0)</f>
        <v>3998</v>
      </c>
      <c r="CW125" s="106">
        <f>+VLOOKUP($BD125,'Mar-25'!$A:$J,6,0)</f>
        <v>4191</v>
      </c>
      <c r="CX125" s="106">
        <f>+VLOOKUP($BD125,'Apr-25'!$A:$J,6,0)</f>
        <v>2066.25</v>
      </c>
      <c r="CY125" s="106">
        <f>+VLOOKUP($BD125,'May-25'!$A:$J,6,0)</f>
        <v>2066.25</v>
      </c>
      <c r="CZ125" s="106">
        <f>+VLOOKUP($BD125,'June-25'!$A:$J,6,0)</f>
        <v>2066.25</v>
      </c>
      <c r="DA125" s="106">
        <f>+VLOOKUP($BD125,'July-25'!$A:$J,6,0)</f>
        <v>2066.25</v>
      </c>
      <c r="DB125" s="106">
        <f>+VLOOKUP($BD125,'Aug-25'!$A:$J,6,0)</f>
        <v>2066.25</v>
      </c>
      <c r="DC125" s="106">
        <f>+VLOOKUP($BD125,'Sep-25'!$A:$J,6,0)</f>
        <v>2066.25</v>
      </c>
      <c r="DD125" s="106">
        <f>+VLOOKUP($BD125,'Oct-25'!$A:$J,6,0)</f>
        <v>2066.25</v>
      </c>
      <c r="DE125" s="106">
        <f>+VLOOKUP($BD125,'Nov-25'!$A:$J,6,0)</f>
        <v>0</v>
      </c>
      <c r="DF125" s="106">
        <f>+VLOOKUP($BD125,'Dec-25'!$A:$J,6,0)</f>
        <v>0</v>
      </c>
      <c r="DG125" s="106">
        <f t="shared" si="1379"/>
        <v>26668.75</v>
      </c>
      <c r="DH125" s="118">
        <f t="shared" si="1191"/>
        <v>0</v>
      </c>
      <c r="DI125" s="106">
        <f>+_xlfn.XLOOKUP($CT125,Budget!$A:$A,Budget!BQ:BQ)</f>
        <v>2066.25</v>
      </c>
      <c r="DJ125" s="106">
        <f>+_xlfn.XLOOKUP($CT125,Budget!$A:$A,Budget!BR:BR)</f>
        <v>2066.25</v>
      </c>
      <c r="DK125" s="106">
        <f>+_xlfn.XLOOKUP($CT125,Budget!$A:$A,Budget!BS:BS)</f>
        <v>2066.25</v>
      </c>
      <c r="DL125" s="106">
        <f>+_xlfn.XLOOKUP($CT125,Budget!$A:$A,Budget!BT:BT)</f>
        <v>2066.25</v>
      </c>
      <c r="DM125" s="106">
        <f>+_xlfn.XLOOKUP($CT125,Budget!$A:$A,Budget!BU:BU)</f>
        <v>2066.25</v>
      </c>
      <c r="DN125" s="106">
        <f>+_xlfn.XLOOKUP($CT125,Budget!$A:$A,Budget!BV:BV)</f>
        <v>2066.25</v>
      </c>
      <c r="DO125" s="106">
        <f>+_xlfn.XLOOKUP($CT125,Budget!$A:$A,Budget!BW:BW)</f>
        <v>2066.25</v>
      </c>
      <c r="DP125" s="106">
        <f>+_xlfn.XLOOKUP($CT125,Budget!$A:$A,Budget!BX:BX)</f>
        <v>2066.25</v>
      </c>
      <c r="DQ125" s="106">
        <f>+_xlfn.XLOOKUP($CT125,Budget!$A:$A,Budget!BY:BY)</f>
        <v>2066.25</v>
      </c>
      <c r="DR125" s="106">
        <f>+_xlfn.XLOOKUP($CT125,Budget!$A:$A,Budget!BZ:BZ)</f>
        <v>2066.25</v>
      </c>
      <c r="DS125" s="106">
        <f>+_xlfn.XLOOKUP($CT125,Budget!$A:$A,Budget!CA:CA)</f>
        <v>2066.25</v>
      </c>
      <c r="DT125" s="106">
        <f>+_xlfn.XLOOKUP($CT125,Budget!$A:$A,Budget!CB:CB)</f>
        <v>2066.25</v>
      </c>
      <c r="DU125" s="106">
        <f t="shared" si="1380"/>
        <v>24795</v>
      </c>
    </row>
    <row r="126" spans="1:125" ht="14.45" hidden="1" customHeight="1" outlineLevel="2">
      <c r="A126" s="106">
        <f t="shared" si="1336"/>
        <v>137885</v>
      </c>
      <c r="B126" s="106">
        <f t="shared" si="1337"/>
        <v>137885</v>
      </c>
      <c r="C126" s="106">
        <f t="shared" si="1338"/>
        <v>136400</v>
      </c>
      <c r="D126" s="106">
        <f t="shared" si="1339"/>
        <v>136675</v>
      </c>
      <c r="E126" s="106">
        <f t="shared" si="1340"/>
        <v>136675</v>
      </c>
      <c r="F126" s="106">
        <f t="shared" si="1341"/>
        <v>136675</v>
      </c>
      <c r="G126" s="106">
        <f t="shared" si="1342"/>
        <v>136675</v>
      </c>
      <c r="H126" s="106">
        <f t="shared" si="1343"/>
        <v>136675</v>
      </c>
      <c r="I126" s="106">
        <f t="shared" si="1344"/>
        <v>136675</v>
      </c>
      <c r="J126" s="106">
        <f t="shared" si="1345"/>
        <v>136675</v>
      </c>
      <c r="K126" s="106">
        <f t="shared" si="1346"/>
        <v>136675</v>
      </c>
      <c r="L126" s="106">
        <f t="shared" si="1347"/>
        <v>136675</v>
      </c>
      <c r="M126" s="106">
        <f t="shared" si="1348"/>
        <v>1642245</v>
      </c>
      <c r="N126" s="16" t="s">
        <v>104</v>
      </c>
      <c r="O126" s="106">
        <f t="shared" si="1349"/>
        <v>143825</v>
      </c>
      <c r="P126" s="106">
        <f t="shared" si="1350"/>
        <v>143825</v>
      </c>
      <c r="Q126" s="106">
        <f t="shared" si="1351"/>
        <v>143825</v>
      </c>
      <c r="R126" s="106">
        <f t="shared" si="1352"/>
        <v>143825</v>
      </c>
      <c r="S126" s="106">
        <f t="shared" si="1353"/>
        <v>169025</v>
      </c>
      <c r="T126" s="106">
        <f t="shared" si="1354"/>
        <v>187980.53999999998</v>
      </c>
      <c r="U126" s="106">
        <f t="shared" si="1355"/>
        <v>336480.54</v>
      </c>
      <c r="V126" s="106">
        <f t="shared" si="1356"/>
        <v>262230.53999999998</v>
      </c>
      <c r="W126" s="106">
        <f t="shared" si="1357"/>
        <v>337579</v>
      </c>
      <c r="X126" s="106">
        <f t="shared" si="1358"/>
        <v>305885.25</v>
      </c>
      <c r="Y126" s="106">
        <f t="shared" si="1359"/>
        <v>0</v>
      </c>
      <c r="Z126" s="106">
        <f t="shared" si="1360"/>
        <v>0</v>
      </c>
      <c r="AA126" s="106">
        <f t="shared" si="1361"/>
        <v>2174480.87</v>
      </c>
      <c r="AB126" s="118">
        <f t="shared" si="1189"/>
        <v>1.1267877629063097</v>
      </c>
      <c r="AC126" s="106">
        <f t="shared" si="1362"/>
        <v>143825</v>
      </c>
      <c r="AD126" s="106">
        <f t="shared" si="1363"/>
        <v>143825</v>
      </c>
      <c r="AE126" s="106">
        <f t="shared" si="1364"/>
        <v>143825</v>
      </c>
      <c r="AF126" s="106">
        <f t="shared" si="1365"/>
        <v>143825</v>
      </c>
      <c r="AG126" s="106">
        <f t="shared" si="1366"/>
        <v>143825</v>
      </c>
      <c r="AH126" s="106">
        <f t="shared" si="1367"/>
        <v>143825</v>
      </c>
      <c r="AI126" s="106">
        <f t="shared" si="1368"/>
        <v>143825</v>
      </c>
      <c r="AJ126" s="106">
        <f t="shared" si="1369"/>
        <v>143825</v>
      </c>
      <c r="AK126" s="106">
        <f t="shared" si="1370"/>
        <v>143825</v>
      </c>
      <c r="AL126" s="106">
        <f t="shared" si="1371"/>
        <v>143825</v>
      </c>
      <c r="AM126" s="106">
        <f t="shared" si="1372"/>
        <v>143825</v>
      </c>
      <c r="AN126" s="106">
        <f t="shared" si="1373"/>
        <v>143825</v>
      </c>
      <c r="AO126" s="106">
        <f t="shared" si="1374"/>
        <v>1725900</v>
      </c>
      <c r="AQ126" s="106">
        <v>100280.00000000001</v>
      </c>
      <c r="AR126" s="106">
        <v>100280.00000000001</v>
      </c>
      <c r="AS126" s="106">
        <v>99200</v>
      </c>
      <c r="AT126" s="106">
        <v>99400</v>
      </c>
      <c r="AU126" s="106">
        <v>99400</v>
      </c>
      <c r="AV126" s="106">
        <v>99400</v>
      </c>
      <c r="AW126" s="106">
        <v>99400</v>
      </c>
      <c r="AX126" s="106">
        <v>99400</v>
      </c>
      <c r="AY126" s="106">
        <v>99400</v>
      </c>
      <c r="AZ126" s="106">
        <v>99400</v>
      </c>
      <c r="BA126" s="106">
        <v>99400</v>
      </c>
      <c r="BB126" s="106">
        <v>99400</v>
      </c>
      <c r="BC126" s="106">
        <f t="shared" si="1375"/>
        <v>1194360</v>
      </c>
      <c r="BD126" s="16" t="str">
        <f t="shared" si="871"/>
        <v>Salary - Consultancy Service</v>
      </c>
      <c r="BE126" s="106">
        <f>+VLOOKUP($BD126,'Jan-25'!$A:$J,2,0)</f>
        <v>104600</v>
      </c>
      <c r="BF126" s="106">
        <f>+VLOOKUP($BD126,'Feb-25'!$A:$J,2,0)</f>
        <v>104600</v>
      </c>
      <c r="BG126" s="106">
        <f>+VLOOKUP($BD126,'Mar-25'!$A:$J,2,0)</f>
        <v>104600</v>
      </c>
      <c r="BH126" s="106">
        <f>+VLOOKUP($BD126,'Apr-25'!$A:$J,2,0)</f>
        <v>104600</v>
      </c>
      <c r="BI126" s="106">
        <f>+VLOOKUP($BD126,'May-25'!$A:$J,2,0)</f>
        <v>104600</v>
      </c>
      <c r="BJ126" s="106">
        <f>+VLOOKUP($BD126,'June-25'!$A:$J,2,0)</f>
        <v>136713.12</v>
      </c>
      <c r="BK126" s="106">
        <f>+VLOOKUP($BD126,'July-25'!$A:$J,2,0)</f>
        <v>244713.12</v>
      </c>
      <c r="BL126" s="106">
        <f>+VLOOKUP($BD126,'Aug-25'!$A:$J,2,0)</f>
        <v>190713.12</v>
      </c>
      <c r="BM126" s="106">
        <f>+VLOOKUP($BD126,'Sep-25'!$A:$J,2,0)</f>
        <v>245512</v>
      </c>
      <c r="BN126" s="106">
        <f>+VLOOKUP($BD126,'Oct-25'!$A:$J,2,0)</f>
        <v>222462</v>
      </c>
      <c r="BO126" s="106">
        <f>+VLOOKUP($BD126,'Nov-25'!$A:$J,2,0)</f>
        <v>0</v>
      </c>
      <c r="BP126" s="106">
        <f>+VLOOKUP($BD126,'Dec-25'!$A:$J,2,0)</f>
        <v>0</v>
      </c>
      <c r="BQ126" s="106">
        <f t="shared" si="1376"/>
        <v>1563113.3599999999</v>
      </c>
      <c r="BR126" s="118">
        <f t="shared" si="1190"/>
        <v>1.1267877629063097</v>
      </c>
      <c r="BS126" s="106" cm="1">
        <f t="array" ref="BS126:CD126">+_xlfn.XLOOKUP(BD126,Budget!A:A,Budget!Q:AB)</f>
        <v>104600</v>
      </c>
      <c r="BT126" s="106">
        <v>104600</v>
      </c>
      <c r="BU126" s="106">
        <v>104600</v>
      </c>
      <c r="BV126" s="106">
        <v>104600</v>
      </c>
      <c r="BW126" s="106">
        <v>104600</v>
      </c>
      <c r="BX126" s="106">
        <v>104600</v>
      </c>
      <c r="BY126" s="106">
        <v>104600</v>
      </c>
      <c r="BZ126" s="106">
        <v>104600</v>
      </c>
      <c r="CA126" s="106">
        <v>104600</v>
      </c>
      <c r="CB126" s="106">
        <v>104600</v>
      </c>
      <c r="CC126" s="106">
        <v>104600</v>
      </c>
      <c r="CD126" s="106">
        <v>104600</v>
      </c>
      <c r="CE126" s="106">
        <f t="shared" si="1377"/>
        <v>1255200</v>
      </c>
      <c r="CF126" s="22"/>
      <c r="CG126" s="106">
        <v>37605</v>
      </c>
      <c r="CH126" s="106">
        <v>37605</v>
      </c>
      <c r="CI126" s="106">
        <v>37200</v>
      </c>
      <c r="CJ126" s="106">
        <v>37275</v>
      </c>
      <c r="CK126" s="106">
        <v>37275</v>
      </c>
      <c r="CL126" s="106">
        <v>37275</v>
      </c>
      <c r="CM126" s="106">
        <v>37275</v>
      </c>
      <c r="CN126" s="106">
        <v>37275</v>
      </c>
      <c r="CO126" s="106">
        <v>37275</v>
      </c>
      <c r="CP126" s="106">
        <v>37275</v>
      </c>
      <c r="CQ126" s="106">
        <v>37275</v>
      </c>
      <c r="CR126" s="106">
        <v>37275</v>
      </c>
      <c r="CS126" s="106">
        <f t="shared" si="1378"/>
        <v>447885</v>
      </c>
      <c r="CT126" s="16" t="str">
        <f t="shared" si="875"/>
        <v>Salary - Consultancy Service</v>
      </c>
      <c r="CU126" s="106">
        <f>+VLOOKUP($BD126,'Jan-25'!$A:$J,6,0)</f>
        <v>39225</v>
      </c>
      <c r="CV126" s="106">
        <f>+VLOOKUP($BD126,'Feb-25'!$A:$J,6,0)</f>
        <v>39225</v>
      </c>
      <c r="CW126" s="106">
        <f>+VLOOKUP($BD126,'Mar-25'!$A:$J,6,0)</f>
        <v>39225</v>
      </c>
      <c r="CX126" s="106">
        <f>+VLOOKUP($BD126,'Apr-25'!$A:$J,6,0)</f>
        <v>39225</v>
      </c>
      <c r="CY126" s="106">
        <f>+VLOOKUP($BD126,'May-25'!$A:$J,6,0)</f>
        <v>64425</v>
      </c>
      <c r="CZ126" s="106">
        <f>+VLOOKUP($BD126,'June-25'!$A:$J,6,0)</f>
        <v>51267.42</v>
      </c>
      <c r="DA126" s="106">
        <f>+VLOOKUP($BD126,'July-25'!$A:$J,6,0)</f>
        <v>91767.42</v>
      </c>
      <c r="DB126" s="106">
        <f>+VLOOKUP($BD126,'Aug-25'!$A:$J,6,0)</f>
        <v>71517.42</v>
      </c>
      <c r="DC126" s="106">
        <f>+VLOOKUP($BD126,'Sep-25'!$A:$J,6,0)</f>
        <v>92067</v>
      </c>
      <c r="DD126" s="106">
        <f>+VLOOKUP($BD126,'Oct-25'!$A:$J,6,0)</f>
        <v>83423.25</v>
      </c>
      <c r="DE126" s="106">
        <f>+VLOOKUP($BD126,'Nov-25'!$A:$J,6,0)</f>
        <v>0</v>
      </c>
      <c r="DF126" s="106">
        <f>+VLOOKUP($BD126,'Dec-25'!$A:$J,6,0)</f>
        <v>0</v>
      </c>
      <c r="DG126" s="106">
        <f t="shared" si="1379"/>
        <v>611367.51</v>
      </c>
      <c r="DH126" s="118">
        <f t="shared" si="1191"/>
        <v>1.1267877629063097</v>
      </c>
      <c r="DI126" s="106">
        <f>+_xlfn.XLOOKUP($CT126,Budget!$A:$A,Budget!BQ:BQ)</f>
        <v>39225</v>
      </c>
      <c r="DJ126" s="106">
        <f>+_xlfn.XLOOKUP($CT126,Budget!$A:$A,Budget!BR:BR)</f>
        <v>39225</v>
      </c>
      <c r="DK126" s="106">
        <f>+_xlfn.XLOOKUP($CT126,Budget!$A:$A,Budget!BS:BS)</f>
        <v>39225</v>
      </c>
      <c r="DL126" s="106">
        <f>+_xlfn.XLOOKUP($CT126,Budget!$A:$A,Budget!BT:BT)</f>
        <v>39225</v>
      </c>
      <c r="DM126" s="106">
        <f>+_xlfn.XLOOKUP($CT126,Budget!$A:$A,Budget!BU:BU)</f>
        <v>39225</v>
      </c>
      <c r="DN126" s="106">
        <f>+_xlfn.XLOOKUP($CT126,Budget!$A:$A,Budget!BV:BV)</f>
        <v>39225</v>
      </c>
      <c r="DO126" s="106">
        <f>+_xlfn.XLOOKUP($CT126,Budget!$A:$A,Budget!BW:BW)</f>
        <v>39225</v>
      </c>
      <c r="DP126" s="106">
        <f>+_xlfn.XLOOKUP($CT126,Budget!$A:$A,Budget!BX:BX)</f>
        <v>39225</v>
      </c>
      <c r="DQ126" s="106">
        <f>+_xlfn.XLOOKUP($CT126,Budget!$A:$A,Budget!BY:BY)</f>
        <v>39225</v>
      </c>
      <c r="DR126" s="106">
        <f>+_xlfn.XLOOKUP($CT126,Budget!$A:$A,Budget!BZ:BZ)</f>
        <v>39225</v>
      </c>
      <c r="DS126" s="106">
        <f>+_xlfn.XLOOKUP($CT126,Budget!$A:$A,Budget!CA:CA)</f>
        <v>39225</v>
      </c>
      <c r="DT126" s="106">
        <f>+_xlfn.XLOOKUP($CT126,Budget!$A:$A,Budget!CB:CB)</f>
        <v>39225</v>
      </c>
      <c r="DU126" s="106">
        <f t="shared" si="1380"/>
        <v>470700</v>
      </c>
    </row>
    <row r="127" spans="1:125" ht="14.45" hidden="1" customHeight="1" outlineLevel="2">
      <c r="A127" s="106">
        <f t="shared" si="1336"/>
        <v>69450.399038461532</v>
      </c>
      <c r="B127" s="106">
        <f t="shared" si="1337"/>
        <v>69450.399038461532</v>
      </c>
      <c r="C127" s="106">
        <f t="shared" si="1338"/>
        <v>69450.399038461532</v>
      </c>
      <c r="D127" s="106">
        <f t="shared" si="1339"/>
        <v>69450.399038461532</v>
      </c>
      <c r="E127" s="106">
        <f t="shared" si="1340"/>
        <v>69450.399038461532</v>
      </c>
      <c r="F127" s="106">
        <f t="shared" si="1341"/>
        <v>69450.399038461532</v>
      </c>
      <c r="G127" s="106">
        <f t="shared" si="1342"/>
        <v>69450.399038461532</v>
      </c>
      <c r="H127" s="106">
        <f t="shared" si="1343"/>
        <v>69450.399038461532</v>
      </c>
      <c r="I127" s="106">
        <f t="shared" si="1344"/>
        <v>69450.399038461532</v>
      </c>
      <c r="J127" s="106">
        <f t="shared" si="1345"/>
        <v>69450.399038461532</v>
      </c>
      <c r="K127" s="106">
        <f t="shared" si="1346"/>
        <v>69450.399038461532</v>
      </c>
      <c r="L127" s="106">
        <f t="shared" si="1347"/>
        <v>69450.399038461532</v>
      </c>
      <c r="M127" s="106">
        <f t="shared" si="1348"/>
        <v>833404.78846153815</v>
      </c>
      <c r="N127" s="16" t="s">
        <v>105</v>
      </c>
      <c r="O127" s="106">
        <f t="shared" si="1349"/>
        <v>72826.923076923078</v>
      </c>
      <c r="P127" s="106">
        <f t="shared" si="1350"/>
        <v>72826.923076923078</v>
      </c>
      <c r="Q127" s="106">
        <f t="shared" si="1351"/>
        <v>72826.923076923078</v>
      </c>
      <c r="R127" s="106">
        <f t="shared" si="1352"/>
        <v>72826.923076923078</v>
      </c>
      <c r="S127" s="106">
        <f t="shared" si="1353"/>
        <v>72826.923076923078</v>
      </c>
      <c r="T127" s="106">
        <f t="shared" si="1354"/>
        <v>72826.923076923078</v>
      </c>
      <c r="U127" s="106">
        <f t="shared" si="1355"/>
        <v>72826.923076923078</v>
      </c>
      <c r="V127" s="106">
        <f t="shared" si="1356"/>
        <v>72826.923076923078</v>
      </c>
      <c r="W127" s="106">
        <f t="shared" si="1357"/>
        <v>72826.923076923078</v>
      </c>
      <c r="X127" s="106">
        <f t="shared" si="1358"/>
        <v>72826.923076923078</v>
      </c>
      <c r="Y127" s="106">
        <f t="shared" si="1359"/>
        <v>0</v>
      </c>
      <c r="Z127" s="106">
        <f t="shared" si="1360"/>
        <v>0</v>
      </c>
      <c r="AA127" s="106">
        <f t="shared" si="1361"/>
        <v>728269.23076923087</v>
      </c>
      <c r="AB127" s="118">
        <f t="shared" si="1189"/>
        <v>0</v>
      </c>
      <c r="AC127" s="106">
        <f t="shared" si="1362"/>
        <v>72826.923076923078</v>
      </c>
      <c r="AD127" s="106">
        <f t="shared" si="1363"/>
        <v>72826.923076923078</v>
      </c>
      <c r="AE127" s="106">
        <f t="shared" si="1364"/>
        <v>72826.923076923078</v>
      </c>
      <c r="AF127" s="106">
        <f t="shared" si="1365"/>
        <v>72826.923076923078</v>
      </c>
      <c r="AG127" s="106">
        <f t="shared" si="1366"/>
        <v>72826.923076923078</v>
      </c>
      <c r="AH127" s="106">
        <f t="shared" si="1367"/>
        <v>72826.923076923078</v>
      </c>
      <c r="AI127" s="106">
        <f t="shared" si="1368"/>
        <v>72826.923076923078</v>
      </c>
      <c r="AJ127" s="106">
        <f t="shared" si="1369"/>
        <v>72826.923076923078</v>
      </c>
      <c r="AK127" s="106">
        <f t="shared" si="1370"/>
        <v>72826.923076923078</v>
      </c>
      <c r="AL127" s="106">
        <f t="shared" si="1371"/>
        <v>72826.923076923078</v>
      </c>
      <c r="AM127" s="106">
        <f t="shared" si="1372"/>
        <v>72826.923076923078</v>
      </c>
      <c r="AN127" s="106">
        <f t="shared" si="1373"/>
        <v>72826.923076923078</v>
      </c>
      <c r="AO127" s="106">
        <f t="shared" si="1374"/>
        <v>873923.07692307711</v>
      </c>
      <c r="AQ127" s="106">
        <v>38535.245192307681</v>
      </c>
      <c r="AR127" s="106">
        <v>37917.937499999993</v>
      </c>
      <c r="AS127" s="106">
        <v>37917.937499999993</v>
      </c>
      <c r="AT127" s="106">
        <v>37917.937499999993</v>
      </c>
      <c r="AU127" s="106">
        <v>37917.937499999993</v>
      </c>
      <c r="AV127" s="106">
        <v>37917.937499999993</v>
      </c>
      <c r="AW127" s="106">
        <v>37917.937499999993</v>
      </c>
      <c r="AX127" s="106">
        <v>37917.937499999993</v>
      </c>
      <c r="AY127" s="106">
        <v>37917.937499999993</v>
      </c>
      <c r="AZ127" s="106">
        <v>37917.9375</v>
      </c>
      <c r="BA127" s="106">
        <v>37917.937499999993</v>
      </c>
      <c r="BB127" s="106">
        <v>37917.937499999993</v>
      </c>
      <c r="BC127" s="106">
        <f t="shared" si="1375"/>
        <v>455632.55769230763</v>
      </c>
      <c r="BD127" s="16" t="str">
        <f t="shared" si="871"/>
        <v>Employee Gratuity</v>
      </c>
      <c r="BE127" s="106">
        <f>+VLOOKUP($BD127,'Jan-25'!$A:$J,2,0)</f>
        <v>54057.692307692305</v>
      </c>
      <c r="BF127" s="106">
        <f>+VLOOKUP($BD127,'Feb-25'!$A:$J,2,0)</f>
        <v>54057.692307692305</v>
      </c>
      <c r="BG127" s="106">
        <f>+VLOOKUP($BD127,'Mar-25'!$A:$J,2,0)</f>
        <v>54057.692307692305</v>
      </c>
      <c r="BH127" s="106">
        <f>+VLOOKUP($BD127,'Apr-25'!$A:$J,2,0)</f>
        <v>54057.692307692305</v>
      </c>
      <c r="BI127" s="106">
        <f>+VLOOKUP($BD127,'May-25'!$A:$J,2,0)</f>
        <v>54057.692307692305</v>
      </c>
      <c r="BJ127" s="106">
        <f>+VLOOKUP($BD127,'June-25'!$A:$J,2,0)</f>
        <v>54057.692307692305</v>
      </c>
      <c r="BK127" s="106">
        <f>+VLOOKUP($BD127,'July-25'!$A:$J,2,0)</f>
        <v>54057.692307692305</v>
      </c>
      <c r="BL127" s="106">
        <f>+VLOOKUP($BD127,'Aug-25'!$A:$J,2,0)</f>
        <v>54057.692307692305</v>
      </c>
      <c r="BM127" s="106">
        <f>+VLOOKUP($BD127,'Sep-25'!$A:$J,2,0)</f>
        <v>54057.692307692305</v>
      </c>
      <c r="BN127" s="106">
        <f>+VLOOKUP($BD127,'Oct-25'!$A:$J,2,0)</f>
        <v>54057.692307692305</v>
      </c>
      <c r="BO127" s="106">
        <f>+VLOOKUP($BD127,'Nov-25'!$A:$J,2,0)</f>
        <v>0</v>
      </c>
      <c r="BP127" s="106">
        <f>+VLOOKUP($BD127,'Dec-25'!$A:$J,2,0)</f>
        <v>0</v>
      </c>
      <c r="BQ127" s="106">
        <f t="shared" si="1376"/>
        <v>540576.92307692301</v>
      </c>
      <c r="BR127" s="118">
        <f t="shared" si="1190"/>
        <v>0</v>
      </c>
      <c r="BS127" s="106" cm="1">
        <f t="array" ref="BS127:CD127">+_xlfn.XLOOKUP(BD127,Budget!A:A,Budget!Q:AB)</f>
        <v>54057.692307692305</v>
      </c>
      <c r="BT127" s="106">
        <v>54057.692307692305</v>
      </c>
      <c r="BU127" s="106">
        <v>54057.692307692305</v>
      </c>
      <c r="BV127" s="106">
        <v>54057.692307692305</v>
      </c>
      <c r="BW127" s="106">
        <v>54057.692307692305</v>
      </c>
      <c r="BX127" s="106">
        <v>54057.692307692305</v>
      </c>
      <c r="BY127" s="106">
        <v>54057.692307692305</v>
      </c>
      <c r="BZ127" s="106">
        <v>54057.692307692305</v>
      </c>
      <c r="CA127" s="106">
        <v>54057.692307692305</v>
      </c>
      <c r="CB127" s="106">
        <v>54057.692307692305</v>
      </c>
      <c r="CC127" s="106">
        <v>54057.692307692305</v>
      </c>
      <c r="CD127" s="106">
        <v>54057.692307692305</v>
      </c>
      <c r="CE127" s="106">
        <f t="shared" si="1377"/>
        <v>648692.30769230751</v>
      </c>
      <c r="CF127" s="22"/>
      <c r="CG127" s="106">
        <v>30915.153846153851</v>
      </c>
      <c r="CH127" s="106">
        <v>31532.461538461539</v>
      </c>
      <c r="CI127" s="106">
        <v>31532.461538461539</v>
      </c>
      <c r="CJ127" s="106">
        <v>31532.461538461539</v>
      </c>
      <c r="CK127" s="106">
        <v>31532.461538461539</v>
      </c>
      <c r="CL127" s="106">
        <v>31532.461538461539</v>
      </c>
      <c r="CM127" s="106">
        <v>31532.461538461539</v>
      </c>
      <c r="CN127" s="106">
        <v>31532.461538461539</v>
      </c>
      <c r="CO127" s="106">
        <v>31532.461538461539</v>
      </c>
      <c r="CP127" s="106">
        <v>31532.461538461539</v>
      </c>
      <c r="CQ127" s="106">
        <v>31532.461538461539</v>
      </c>
      <c r="CR127" s="106">
        <v>31532.461538461539</v>
      </c>
      <c r="CS127" s="106">
        <f t="shared" si="1378"/>
        <v>377772.23076923081</v>
      </c>
      <c r="CT127" s="16" t="str">
        <f t="shared" si="875"/>
        <v>Employee Gratuity</v>
      </c>
      <c r="CU127" s="106">
        <f>+VLOOKUP($BD127,'Jan-25'!$A:$J,6,0)</f>
        <v>18769.230769230773</v>
      </c>
      <c r="CV127" s="106">
        <f>+VLOOKUP($BD127,'Feb-25'!$A:$J,6,0)</f>
        <v>18769.230769230773</v>
      </c>
      <c r="CW127" s="106">
        <f>+VLOOKUP($BD127,'Mar-25'!$A:$J,6,0)</f>
        <v>18769.230769230773</v>
      </c>
      <c r="CX127" s="106">
        <f>+VLOOKUP($BD127,'Apr-25'!$A:$J,6,0)</f>
        <v>18769.230769230773</v>
      </c>
      <c r="CY127" s="106">
        <f>+VLOOKUP($BD127,'May-25'!$A:$J,6,0)</f>
        <v>18769.230769230773</v>
      </c>
      <c r="CZ127" s="106">
        <f>+VLOOKUP($BD127,'June-25'!$A:$J,6,0)</f>
        <v>18769.230769230773</v>
      </c>
      <c r="DA127" s="106">
        <f>+VLOOKUP($BD127,'July-25'!$A:$J,6,0)</f>
        <v>18769.230769230773</v>
      </c>
      <c r="DB127" s="106">
        <f>+VLOOKUP($BD127,'Aug-25'!$A:$J,6,0)</f>
        <v>18769.230769230773</v>
      </c>
      <c r="DC127" s="106">
        <f>+VLOOKUP($BD127,'Sep-25'!$A:$J,6,0)</f>
        <v>18769.230769230773</v>
      </c>
      <c r="DD127" s="106">
        <f>+VLOOKUP($BD127,'Oct-25'!$A:$J,6,0)</f>
        <v>18769.230769230773</v>
      </c>
      <c r="DE127" s="106">
        <f>+VLOOKUP($BD127,'Nov-25'!$A:$J,6,0)</f>
        <v>0</v>
      </c>
      <c r="DF127" s="106">
        <f>+VLOOKUP($BD127,'Dec-25'!$A:$J,6,0)</f>
        <v>0</v>
      </c>
      <c r="DG127" s="106">
        <f t="shared" si="1379"/>
        <v>187692.30769230778</v>
      </c>
      <c r="DH127" s="118">
        <f t="shared" si="1191"/>
        <v>0</v>
      </c>
      <c r="DI127" s="106">
        <f>+_xlfn.XLOOKUP($CT127,Budget!$A:$A,Budget!BQ:BQ)</f>
        <v>18769.230769230773</v>
      </c>
      <c r="DJ127" s="106">
        <f>+_xlfn.XLOOKUP($CT127,Budget!$A:$A,Budget!BR:BR)</f>
        <v>18769.230769230773</v>
      </c>
      <c r="DK127" s="106">
        <f>+_xlfn.XLOOKUP($CT127,Budget!$A:$A,Budget!BS:BS)</f>
        <v>18769.230769230773</v>
      </c>
      <c r="DL127" s="106">
        <f>+_xlfn.XLOOKUP($CT127,Budget!$A:$A,Budget!BT:BT)</f>
        <v>18769.230769230773</v>
      </c>
      <c r="DM127" s="106">
        <f>+_xlfn.XLOOKUP($CT127,Budget!$A:$A,Budget!BU:BU)</f>
        <v>18769.230769230773</v>
      </c>
      <c r="DN127" s="106">
        <f>+_xlfn.XLOOKUP($CT127,Budget!$A:$A,Budget!BV:BV)</f>
        <v>18769.230769230773</v>
      </c>
      <c r="DO127" s="106">
        <f>+_xlfn.XLOOKUP($CT127,Budget!$A:$A,Budget!BW:BW)</f>
        <v>18769.230769230773</v>
      </c>
      <c r="DP127" s="106">
        <f>+_xlfn.XLOOKUP($CT127,Budget!$A:$A,Budget!BX:BX)</f>
        <v>18769.230769230773</v>
      </c>
      <c r="DQ127" s="106">
        <f>+_xlfn.XLOOKUP($CT127,Budget!$A:$A,Budget!BY:BY)</f>
        <v>18769.230769230773</v>
      </c>
      <c r="DR127" s="106">
        <f>+_xlfn.XLOOKUP($CT127,Budget!$A:$A,Budget!BZ:BZ)</f>
        <v>18769.230769230773</v>
      </c>
      <c r="DS127" s="106">
        <f>+_xlfn.XLOOKUP($CT127,Budget!$A:$A,Budget!CA:CA)</f>
        <v>18769.230769230773</v>
      </c>
      <c r="DT127" s="106">
        <f>+_xlfn.XLOOKUP($CT127,Budget!$A:$A,Budget!CB:CB)</f>
        <v>18769.230769230773</v>
      </c>
      <c r="DU127" s="106">
        <f t="shared" si="1380"/>
        <v>225230.76923076934</v>
      </c>
    </row>
    <row r="128" spans="1:125" ht="14.45" hidden="1" customHeight="1" outlineLevel="2">
      <c r="A128" s="106">
        <f t="shared" si="1336"/>
        <v>74655.158333333326</v>
      </c>
      <c r="B128" s="106">
        <f t="shared" si="1337"/>
        <v>74655.158333333326</v>
      </c>
      <c r="C128" s="106">
        <f t="shared" si="1338"/>
        <v>74655.158333333326</v>
      </c>
      <c r="D128" s="106">
        <f t="shared" si="1339"/>
        <v>74655.158333333326</v>
      </c>
      <c r="E128" s="106">
        <f t="shared" si="1340"/>
        <v>74655.158333333326</v>
      </c>
      <c r="F128" s="106">
        <f t="shared" si="1341"/>
        <v>74655.158333333326</v>
      </c>
      <c r="G128" s="106">
        <f t="shared" si="1342"/>
        <v>74655.158333333326</v>
      </c>
      <c r="H128" s="106">
        <f t="shared" si="1343"/>
        <v>74655.158333333326</v>
      </c>
      <c r="I128" s="106">
        <f t="shared" si="1344"/>
        <v>74655.158333333326</v>
      </c>
      <c r="J128" s="106">
        <f t="shared" si="1345"/>
        <v>74655.158333333326</v>
      </c>
      <c r="K128" s="106">
        <f t="shared" si="1346"/>
        <v>74655.158333333326</v>
      </c>
      <c r="L128" s="106">
        <f t="shared" si="1347"/>
        <v>74655.158333333326</v>
      </c>
      <c r="M128" s="106">
        <f t="shared" si="1348"/>
        <v>895861.89999999991</v>
      </c>
      <c r="N128" s="16" t="s">
        <v>226</v>
      </c>
      <c r="O128" s="106">
        <f t="shared" si="1349"/>
        <v>85158.333333333343</v>
      </c>
      <c r="P128" s="106">
        <f t="shared" si="1350"/>
        <v>85158.333333333343</v>
      </c>
      <c r="Q128" s="106">
        <f t="shared" si="1351"/>
        <v>85158.333333333343</v>
      </c>
      <c r="R128" s="106">
        <f t="shared" si="1352"/>
        <v>85158.333333333343</v>
      </c>
      <c r="S128" s="106">
        <f t="shared" si="1353"/>
        <v>85158.333333333343</v>
      </c>
      <c r="T128" s="106">
        <f t="shared" si="1354"/>
        <v>85158.333333333343</v>
      </c>
      <c r="U128" s="106">
        <f t="shared" si="1355"/>
        <v>85158.333333333343</v>
      </c>
      <c r="V128" s="106">
        <f t="shared" si="1356"/>
        <v>85158.333333333343</v>
      </c>
      <c r="W128" s="106">
        <f t="shared" si="1357"/>
        <v>85158.333333333343</v>
      </c>
      <c r="X128" s="106">
        <f t="shared" si="1358"/>
        <v>85158.333333333343</v>
      </c>
      <c r="Y128" s="106">
        <f t="shared" si="1359"/>
        <v>0</v>
      </c>
      <c r="Z128" s="106">
        <f t="shared" si="1360"/>
        <v>0</v>
      </c>
      <c r="AA128" s="106">
        <f t="shared" si="1361"/>
        <v>851583.3333333336</v>
      </c>
      <c r="AB128" s="118">
        <f t="shared" si="1189"/>
        <v>0</v>
      </c>
      <c r="AC128" s="106">
        <f t="shared" si="1362"/>
        <v>85158.333333333343</v>
      </c>
      <c r="AD128" s="106">
        <f t="shared" si="1363"/>
        <v>85158.333333333343</v>
      </c>
      <c r="AE128" s="106">
        <f t="shared" si="1364"/>
        <v>85158.333333333343</v>
      </c>
      <c r="AF128" s="106">
        <f t="shared" si="1365"/>
        <v>85158.333333333343</v>
      </c>
      <c r="AG128" s="106">
        <f t="shared" si="1366"/>
        <v>85158.333333333343</v>
      </c>
      <c r="AH128" s="106">
        <f t="shared" si="1367"/>
        <v>85158.333333333343</v>
      </c>
      <c r="AI128" s="106">
        <f t="shared" si="1368"/>
        <v>85158.333333333343</v>
      </c>
      <c r="AJ128" s="106">
        <f t="shared" si="1369"/>
        <v>85158.333333333343</v>
      </c>
      <c r="AK128" s="106">
        <f t="shared" si="1370"/>
        <v>85158.333333333343</v>
      </c>
      <c r="AL128" s="106">
        <f t="shared" si="1371"/>
        <v>85158.333333333343</v>
      </c>
      <c r="AM128" s="106">
        <f t="shared" si="1372"/>
        <v>85158.333333333343</v>
      </c>
      <c r="AN128" s="106">
        <f t="shared" si="1373"/>
        <v>85158.333333333343</v>
      </c>
      <c r="AO128" s="106">
        <f t="shared" si="1374"/>
        <v>1021900.0000000003</v>
      </c>
      <c r="AQ128" s="106">
        <v>45563.224999999991</v>
      </c>
      <c r="AR128" s="106">
        <v>44493.224999999991</v>
      </c>
      <c r="AS128" s="106">
        <v>44493.224999999991</v>
      </c>
      <c r="AT128" s="106">
        <v>44493.224999999991</v>
      </c>
      <c r="AU128" s="106">
        <v>44493.224999999991</v>
      </c>
      <c r="AV128" s="106">
        <v>44493.224999999991</v>
      </c>
      <c r="AW128" s="106">
        <v>44493.224999999991</v>
      </c>
      <c r="AX128" s="106">
        <v>44493.224999999991</v>
      </c>
      <c r="AY128" s="106">
        <v>44493.224999999991</v>
      </c>
      <c r="AZ128" s="106">
        <v>44493.224999999999</v>
      </c>
      <c r="BA128" s="106">
        <v>44493.224999999991</v>
      </c>
      <c r="BB128" s="106">
        <v>44493.224999999991</v>
      </c>
      <c r="BC128" s="106">
        <f t="shared" si="1375"/>
        <v>534988.69999999984</v>
      </c>
      <c r="BD128" s="16" t="str">
        <f t="shared" si="871"/>
        <v>Bonus</v>
      </c>
      <c r="BE128" s="106">
        <f>+VLOOKUP($BD128,'Jan-25'!$A:$J,2,0)</f>
        <v>60583.333333333343</v>
      </c>
      <c r="BF128" s="106">
        <f>+VLOOKUP($BD128,'Feb-25'!$A:$J,2,0)</f>
        <v>60583.333333333343</v>
      </c>
      <c r="BG128" s="106">
        <f>+VLOOKUP($BD128,'Mar-25'!$A:$J,2,0)</f>
        <v>60583.333333333343</v>
      </c>
      <c r="BH128" s="106">
        <f>+VLOOKUP($BD128,'Apr-25'!$A:$J,2,0)</f>
        <v>60583.333333333343</v>
      </c>
      <c r="BI128" s="106">
        <f>+VLOOKUP($BD128,'May-25'!$A:$J,2,0)</f>
        <v>60583.333333333343</v>
      </c>
      <c r="BJ128" s="106">
        <f>+VLOOKUP($BD128,'June-25'!$A:$J,2,0)</f>
        <v>60583.333333333343</v>
      </c>
      <c r="BK128" s="106">
        <f>+VLOOKUP($BD128,'July-25'!$A:$J,2,0)</f>
        <v>60583.333333333343</v>
      </c>
      <c r="BL128" s="106">
        <f>+VLOOKUP($BD128,'Aug-25'!$A:$J,2,0)</f>
        <v>60583.333333333343</v>
      </c>
      <c r="BM128" s="106">
        <f>+VLOOKUP($BD128,'Sep-25'!$A:$J,2,0)</f>
        <v>60583.333333333343</v>
      </c>
      <c r="BN128" s="106">
        <f>+VLOOKUP($BD128,'Oct-25'!$A:$J,2,0)</f>
        <v>60583.333333333343</v>
      </c>
      <c r="BO128" s="106">
        <f>+VLOOKUP($BD128,'Nov-25'!$A:$J,2,0)</f>
        <v>0</v>
      </c>
      <c r="BP128" s="106">
        <f>+VLOOKUP($BD128,'Dec-25'!$A:$J,2,0)</f>
        <v>0</v>
      </c>
      <c r="BQ128" s="106">
        <f t="shared" si="1376"/>
        <v>605833.3333333336</v>
      </c>
      <c r="BR128" s="118">
        <f t="shared" si="1190"/>
        <v>0</v>
      </c>
      <c r="BS128" s="106" cm="1">
        <f t="array" ref="BS128:CD128">+_xlfn.XLOOKUP(BD128,Budget!A:A,Budget!Q:AB)</f>
        <v>60583.333333333343</v>
      </c>
      <c r="BT128" s="106">
        <v>60583.333333333343</v>
      </c>
      <c r="BU128" s="106">
        <v>60583.333333333343</v>
      </c>
      <c r="BV128" s="106">
        <v>60583.333333333343</v>
      </c>
      <c r="BW128" s="106">
        <v>60583.333333333343</v>
      </c>
      <c r="BX128" s="106">
        <v>60583.333333333343</v>
      </c>
      <c r="BY128" s="106">
        <v>60583.333333333343</v>
      </c>
      <c r="BZ128" s="106">
        <v>60583.333333333343</v>
      </c>
      <c r="CA128" s="106">
        <v>60583.333333333343</v>
      </c>
      <c r="CB128" s="106">
        <v>60583.333333333343</v>
      </c>
      <c r="CC128" s="106">
        <v>60583.333333333343</v>
      </c>
      <c r="CD128" s="106">
        <v>60583.333333333343</v>
      </c>
      <c r="CE128" s="106">
        <f t="shared" si="1377"/>
        <v>727000.00000000035</v>
      </c>
      <c r="CF128" s="22"/>
      <c r="CG128" s="106">
        <v>29091.933333333327</v>
      </c>
      <c r="CH128" s="106">
        <v>30161.933333333327</v>
      </c>
      <c r="CI128" s="106">
        <v>30161.933333333327</v>
      </c>
      <c r="CJ128" s="106">
        <v>30161.933333333327</v>
      </c>
      <c r="CK128" s="106">
        <v>30161.933333333327</v>
      </c>
      <c r="CL128" s="106">
        <v>30161.933333333327</v>
      </c>
      <c r="CM128" s="106">
        <v>30161.933333333327</v>
      </c>
      <c r="CN128" s="106">
        <v>30161.933333333327</v>
      </c>
      <c r="CO128" s="106">
        <v>30161.933333333327</v>
      </c>
      <c r="CP128" s="106">
        <v>30161.933333333327</v>
      </c>
      <c r="CQ128" s="106">
        <v>30161.933333333327</v>
      </c>
      <c r="CR128" s="106">
        <v>30161.933333333327</v>
      </c>
      <c r="CS128" s="106">
        <f t="shared" si="1378"/>
        <v>360873.19999999995</v>
      </c>
      <c r="CT128" s="16" t="str">
        <f t="shared" si="875"/>
        <v>Bonus</v>
      </c>
      <c r="CU128" s="106">
        <f>+VLOOKUP($BD128,'Jan-25'!$A:$J,6,0)</f>
        <v>24574.999999999996</v>
      </c>
      <c r="CV128" s="106">
        <f>+VLOOKUP($BD128,'Feb-25'!$A:$J,6,0)</f>
        <v>24574.999999999996</v>
      </c>
      <c r="CW128" s="106">
        <f>+VLOOKUP($BD128,'Mar-25'!$A:$J,6,0)</f>
        <v>24574.999999999996</v>
      </c>
      <c r="CX128" s="106">
        <f>+VLOOKUP($BD128,'Apr-25'!$A:$J,6,0)</f>
        <v>24574.999999999996</v>
      </c>
      <c r="CY128" s="106">
        <f>+VLOOKUP($BD128,'May-25'!$A:$J,6,0)</f>
        <v>24574.999999999996</v>
      </c>
      <c r="CZ128" s="106">
        <f>+VLOOKUP($BD128,'June-25'!$A:$J,6,0)</f>
        <v>24574.999999999996</v>
      </c>
      <c r="DA128" s="106">
        <f>+VLOOKUP($BD128,'July-25'!$A:$J,6,0)</f>
        <v>24574.999999999996</v>
      </c>
      <c r="DB128" s="106">
        <f>+VLOOKUP($BD128,'Aug-25'!$A:$J,6,0)</f>
        <v>24574.999999999996</v>
      </c>
      <c r="DC128" s="106">
        <f>+VLOOKUP($BD128,'Sep-25'!$A:$J,6,0)</f>
        <v>24574.999999999996</v>
      </c>
      <c r="DD128" s="106">
        <f>+VLOOKUP($BD128,'Oct-25'!$A:$J,6,0)</f>
        <v>24574.999999999996</v>
      </c>
      <c r="DE128" s="106">
        <f>+VLOOKUP($BD128,'Nov-25'!$A:$J,6,0)</f>
        <v>0</v>
      </c>
      <c r="DF128" s="106">
        <f>+VLOOKUP($BD128,'Dec-25'!$A:$J,6,0)</f>
        <v>0</v>
      </c>
      <c r="DG128" s="106">
        <f t="shared" si="1379"/>
        <v>245749.99999999997</v>
      </c>
      <c r="DH128" s="118">
        <f t="shared" si="1191"/>
        <v>0</v>
      </c>
      <c r="DI128" s="106">
        <f>+_xlfn.XLOOKUP($CT128,Budget!$A:$A,Budget!BQ:BQ)</f>
        <v>24574.999999999996</v>
      </c>
      <c r="DJ128" s="106">
        <f>+_xlfn.XLOOKUP($CT128,Budget!$A:$A,Budget!BR:BR)</f>
        <v>24574.999999999996</v>
      </c>
      <c r="DK128" s="106">
        <f>+_xlfn.XLOOKUP($CT128,Budget!$A:$A,Budget!BS:BS)</f>
        <v>24574.999999999996</v>
      </c>
      <c r="DL128" s="106">
        <f>+_xlfn.XLOOKUP($CT128,Budget!$A:$A,Budget!BT:BT)</f>
        <v>24574.999999999996</v>
      </c>
      <c r="DM128" s="106">
        <f>+_xlfn.XLOOKUP($CT128,Budget!$A:$A,Budget!BU:BU)</f>
        <v>24574.999999999996</v>
      </c>
      <c r="DN128" s="106">
        <f>+_xlfn.XLOOKUP($CT128,Budget!$A:$A,Budget!BV:BV)</f>
        <v>24574.999999999996</v>
      </c>
      <c r="DO128" s="106">
        <f>+_xlfn.XLOOKUP($CT128,Budget!$A:$A,Budget!BW:BW)</f>
        <v>24574.999999999996</v>
      </c>
      <c r="DP128" s="106">
        <f>+_xlfn.XLOOKUP($CT128,Budget!$A:$A,Budget!BX:BX)</f>
        <v>24574.999999999996</v>
      </c>
      <c r="DQ128" s="106">
        <f>+_xlfn.XLOOKUP($CT128,Budget!$A:$A,Budget!BY:BY)</f>
        <v>24574.999999999996</v>
      </c>
      <c r="DR128" s="106">
        <f>+_xlfn.XLOOKUP($CT128,Budget!$A:$A,Budget!BZ:BZ)</f>
        <v>24574.999999999996</v>
      </c>
      <c r="DS128" s="106">
        <f>+_xlfn.XLOOKUP($CT128,Budget!$A:$A,Budget!CA:CA)</f>
        <v>24574.999999999996</v>
      </c>
      <c r="DT128" s="106">
        <f>+_xlfn.XLOOKUP($CT128,Budget!$A:$A,Budget!CB:CB)</f>
        <v>24574.999999999996</v>
      </c>
      <c r="DU128" s="106">
        <f t="shared" si="1380"/>
        <v>294899.99999999994</v>
      </c>
    </row>
    <row r="129" spans="1:125" ht="14.45" hidden="1" customHeight="1" outlineLevel="1">
      <c r="A129" s="58">
        <f t="shared" ref="A129:M129" si="1381">+SUM(A130:A132)</f>
        <v>161958.33333333334</v>
      </c>
      <c r="B129" s="58">
        <f t="shared" si="1381"/>
        <v>161958.33333333334</v>
      </c>
      <c r="C129" s="58">
        <f t="shared" si="1381"/>
        <v>161958.33333333334</v>
      </c>
      <c r="D129" s="58">
        <f t="shared" si="1381"/>
        <v>161958.33333333334</v>
      </c>
      <c r="E129" s="58">
        <f t="shared" si="1381"/>
        <v>188010.73333333334</v>
      </c>
      <c r="F129" s="58">
        <f t="shared" si="1381"/>
        <v>161958.33333333334</v>
      </c>
      <c r="G129" s="58">
        <f t="shared" si="1381"/>
        <v>161958.33333333334</v>
      </c>
      <c r="H129" s="58">
        <f t="shared" si="1381"/>
        <v>161958.33333333334</v>
      </c>
      <c r="I129" s="58">
        <f t="shared" si="1381"/>
        <v>161958.33333333334</v>
      </c>
      <c r="J129" s="58">
        <f t="shared" si="1381"/>
        <v>161958.33333333334</v>
      </c>
      <c r="K129" s="58">
        <f t="shared" si="1381"/>
        <v>161958.33333333334</v>
      </c>
      <c r="L129" s="58">
        <f t="shared" si="1381"/>
        <v>161958.33333333334</v>
      </c>
      <c r="M129" s="58">
        <f t="shared" si="1381"/>
        <v>1969552.3999999997</v>
      </c>
      <c r="N129" s="20" t="s">
        <v>106</v>
      </c>
      <c r="O129" s="58">
        <f t="shared" ref="O129" si="1382">+SUM(O130:O132)</f>
        <v>0</v>
      </c>
      <c r="P129" s="58">
        <f t="shared" ref="P129" si="1383">+SUM(P130:P132)</f>
        <v>3000</v>
      </c>
      <c r="Q129" s="58">
        <f t="shared" ref="Q129" si="1384">+SUM(Q130:Q132)</f>
        <v>0</v>
      </c>
      <c r="R129" s="58">
        <f t="shared" ref="R129" si="1385">+SUM(R130:R132)</f>
        <v>0</v>
      </c>
      <c r="S129" s="58">
        <f t="shared" ref="S129" si="1386">+SUM(S130:S132)</f>
        <v>0</v>
      </c>
      <c r="T129" s="58">
        <f t="shared" ref="T129" si="1387">+SUM(T130:T132)</f>
        <v>340000</v>
      </c>
      <c r="U129" s="58">
        <f t="shared" ref="U129" si="1388">+SUM(U130:U132)</f>
        <v>372482</v>
      </c>
      <c r="V129" s="58">
        <f t="shared" ref="V129" si="1389">+SUM(V130:V132)</f>
        <v>37711.800000000003</v>
      </c>
      <c r="W129" s="58">
        <f t="shared" ref="W129" si="1390">+SUM(W130:W132)</f>
        <v>91432.5</v>
      </c>
      <c r="X129" s="58">
        <f t="shared" ref="X129" si="1391">+SUM(X130:X132)</f>
        <v>142000</v>
      </c>
      <c r="Y129" s="58">
        <f t="shared" ref="Y129" si="1392">+SUM(Y130:Y132)</f>
        <v>0</v>
      </c>
      <c r="Z129" s="58">
        <f t="shared" ref="Z129" si="1393">+SUM(Z130:Z132)</f>
        <v>0</v>
      </c>
      <c r="AA129" s="58">
        <f t="shared" ref="AA129" si="1394">+SUM(AA130:AA132)</f>
        <v>986626.3</v>
      </c>
      <c r="AB129" s="118">
        <f t="shared" si="1189"/>
        <v>-0.41078838174273857</v>
      </c>
      <c r="AC129" s="58">
        <f t="shared" ref="AC129" si="1395">+SUM(AC130:AC132)</f>
        <v>241000</v>
      </c>
      <c r="AD129" s="58">
        <f t="shared" ref="AD129" si="1396">+SUM(AD130:AD132)</f>
        <v>241000</v>
      </c>
      <c r="AE129" s="58">
        <f t="shared" ref="AE129" si="1397">+SUM(AE130:AE132)</f>
        <v>241000</v>
      </c>
      <c r="AF129" s="58">
        <f t="shared" ref="AF129" si="1398">+SUM(AF130:AF132)</f>
        <v>241000</v>
      </c>
      <c r="AG129" s="58">
        <f t="shared" ref="AG129" si="1399">+SUM(AG130:AG132)</f>
        <v>241000</v>
      </c>
      <c r="AH129" s="58">
        <f t="shared" ref="AH129" si="1400">+SUM(AH130:AH132)</f>
        <v>241000</v>
      </c>
      <c r="AI129" s="58">
        <f t="shared" ref="AI129" si="1401">+SUM(AI130:AI132)</f>
        <v>241000</v>
      </c>
      <c r="AJ129" s="58">
        <f t="shared" ref="AJ129" si="1402">+SUM(AJ130:AJ132)</f>
        <v>241000</v>
      </c>
      <c r="AK129" s="58">
        <f t="shared" ref="AK129" si="1403">+SUM(AK130:AK132)</f>
        <v>241000</v>
      </c>
      <c r="AL129" s="58">
        <f t="shared" ref="AL129" si="1404">+SUM(AL130:AL132)</f>
        <v>241000</v>
      </c>
      <c r="AM129" s="58">
        <f t="shared" ref="AM129" si="1405">+SUM(AM130:AM132)</f>
        <v>241000</v>
      </c>
      <c r="AN129" s="58">
        <f t="shared" ref="AN129" si="1406">+SUM(AN130:AN132)</f>
        <v>241000</v>
      </c>
      <c r="AO129" s="58">
        <f t="shared" ref="AO129" si="1407">+SUM(AO130:AO132)</f>
        <v>2892000</v>
      </c>
      <c r="AQ129" s="58">
        <f t="shared" ref="AQ129:BC129" si="1408">+SUM(AQ130:AQ132)</f>
        <v>98175</v>
      </c>
      <c r="AR129" s="58">
        <f t="shared" si="1408"/>
        <v>98175</v>
      </c>
      <c r="AS129" s="58">
        <f t="shared" si="1408"/>
        <v>98175</v>
      </c>
      <c r="AT129" s="58">
        <f t="shared" si="1408"/>
        <v>98175</v>
      </c>
      <c r="AU129" s="58">
        <f t="shared" si="1408"/>
        <v>117122.2</v>
      </c>
      <c r="AV129" s="58">
        <f t="shared" si="1408"/>
        <v>98175</v>
      </c>
      <c r="AW129" s="58">
        <f t="shared" si="1408"/>
        <v>98175</v>
      </c>
      <c r="AX129" s="58">
        <f t="shared" si="1408"/>
        <v>98175</v>
      </c>
      <c r="AY129" s="58">
        <f t="shared" si="1408"/>
        <v>98175</v>
      </c>
      <c r="AZ129" s="58">
        <f t="shared" si="1408"/>
        <v>98175</v>
      </c>
      <c r="BA129" s="58">
        <f t="shared" si="1408"/>
        <v>98175</v>
      </c>
      <c r="BB129" s="58">
        <f t="shared" si="1408"/>
        <v>98175</v>
      </c>
      <c r="BC129" s="58">
        <f t="shared" si="1408"/>
        <v>1197047.2</v>
      </c>
      <c r="BD129" s="20" t="str">
        <f t="shared" si="871"/>
        <v>Training Expenses</v>
      </c>
      <c r="BE129" s="58">
        <f t="shared" ref="BE129:BQ129" si="1409">+SUM(BE130:BE132)</f>
        <v>0</v>
      </c>
      <c r="BF129" s="58">
        <f t="shared" si="1409"/>
        <v>3000</v>
      </c>
      <c r="BG129" s="58">
        <f t="shared" si="1409"/>
        <v>0</v>
      </c>
      <c r="BH129" s="58">
        <f t="shared" si="1409"/>
        <v>0</v>
      </c>
      <c r="BI129" s="58">
        <f t="shared" si="1409"/>
        <v>0</v>
      </c>
      <c r="BJ129" s="58">
        <f t="shared" si="1409"/>
        <v>204000</v>
      </c>
      <c r="BK129" s="58">
        <f t="shared" si="1409"/>
        <v>328889.2</v>
      </c>
      <c r="BL129" s="58">
        <f t="shared" si="1409"/>
        <v>37711.800000000003</v>
      </c>
      <c r="BM129" s="58">
        <f t="shared" si="1409"/>
        <v>82860</v>
      </c>
      <c r="BN129" s="58">
        <f t="shared" si="1409"/>
        <v>142000</v>
      </c>
      <c r="BO129" s="58">
        <f t="shared" si="1409"/>
        <v>0</v>
      </c>
      <c r="BP129" s="58">
        <f t="shared" si="1409"/>
        <v>0</v>
      </c>
      <c r="BQ129" s="58">
        <f t="shared" si="1409"/>
        <v>798461</v>
      </c>
      <c r="BR129" s="118">
        <f t="shared" si="1190"/>
        <v>-1.7980636237897647E-2</v>
      </c>
      <c r="BS129" s="58">
        <f t="shared" ref="BS129:CE129" si="1410">+SUM(BS130:BS132)</f>
        <v>144600</v>
      </c>
      <c r="BT129" s="58">
        <f t="shared" si="1410"/>
        <v>144600</v>
      </c>
      <c r="BU129" s="58">
        <f t="shared" si="1410"/>
        <v>144600</v>
      </c>
      <c r="BV129" s="58">
        <f t="shared" si="1410"/>
        <v>144600</v>
      </c>
      <c r="BW129" s="58">
        <f t="shared" si="1410"/>
        <v>144600</v>
      </c>
      <c r="BX129" s="58">
        <f t="shared" si="1410"/>
        <v>144600</v>
      </c>
      <c r="BY129" s="58">
        <f t="shared" si="1410"/>
        <v>144600</v>
      </c>
      <c r="BZ129" s="58">
        <f t="shared" si="1410"/>
        <v>144600</v>
      </c>
      <c r="CA129" s="58">
        <f t="shared" si="1410"/>
        <v>144600</v>
      </c>
      <c r="CB129" s="58">
        <f t="shared" si="1410"/>
        <v>144600</v>
      </c>
      <c r="CC129" s="58">
        <f t="shared" si="1410"/>
        <v>144600</v>
      </c>
      <c r="CD129" s="58">
        <f t="shared" si="1410"/>
        <v>144600</v>
      </c>
      <c r="CE129" s="58">
        <f t="shared" si="1410"/>
        <v>1735200</v>
      </c>
      <c r="CF129" s="22"/>
      <c r="CG129" s="58">
        <f t="shared" ref="CG129:CS129" si="1411">+SUM(CG130:CG132)</f>
        <v>63783.333333333336</v>
      </c>
      <c r="CH129" s="58">
        <f t="shared" si="1411"/>
        <v>63783.333333333336</v>
      </c>
      <c r="CI129" s="58">
        <f t="shared" si="1411"/>
        <v>63783.333333333336</v>
      </c>
      <c r="CJ129" s="58">
        <f t="shared" si="1411"/>
        <v>63783.333333333336</v>
      </c>
      <c r="CK129" s="58">
        <f t="shared" si="1411"/>
        <v>70888.53333333334</v>
      </c>
      <c r="CL129" s="58">
        <f t="shared" si="1411"/>
        <v>63783.333333333336</v>
      </c>
      <c r="CM129" s="58">
        <f t="shared" si="1411"/>
        <v>63783.333333333336</v>
      </c>
      <c r="CN129" s="58">
        <f t="shared" si="1411"/>
        <v>63783.333333333336</v>
      </c>
      <c r="CO129" s="58">
        <f t="shared" si="1411"/>
        <v>63783.333333333336</v>
      </c>
      <c r="CP129" s="58">
        <f t="shared" si="1411"/>
        <v>63783.333333333336</v>
      </c>
      <c r="CQ129" s="58">
        <f t="shared" si="1411"/>
        <v>63783.333333333336</v>
      </c>
      <c r="CR129" s="58">
        <f t="shared" si="1411"/>
        <v>63783.333333333336</v>
      </c>
      <c r="CS129" s="58">
        <f t="shared" si="1411"/>
        <v>772505.20000000007</v>
      </c>
      <c r="CT129" s="20" t="str">
        <f t="shared" si="875"/>
        <v>Training Expenses</v>
      </c>
      <c r="CU129" s="58">
        <f t="shared" ref="CU129:DG129" si="1412">+SUM(CU130:CU132)</f>
        <v>0</v>
      </c>
      <c r="CV129" s="58">
        <f t="shared" si="1412"/>
        <v>0</v>
      </c>
      <c r="CW129" s="58">
        <f t="shared" si="1412"/>
        <v>0</v>
      </c>
      <c r="CX129" s="58">
        <f t="shared" si="1412"/>
        <v>0</v>
      </c>
      <c r="CY129" s="58">
        <f t="shared" si="1412"/>
        <v>0</v>
      </c>
      <c r="CZ129" s="58">
        <f t="shared" si="1412"/>
        <v>136000</v>
      </c>
      <c r="DA129" s="58">
        <f t="shared" si="1412"/>
        <v>43592.800000000003</v>
      </c>
      <c r="DB129" s="58">
        <f t="shared" si="1412"/>
        <v>0</v>
      </c>
      <c r="DC129" s="58">
        <f t="shared" si="1412"/>
        <v>8572.5</v>
      </c>
      <c r="DD129" s="58">
        <f t="shared" si="1412"/>
        <v>0</v>
      </c>
      <c r="DE129" s="58">
        <f t="shared" si="1412"/>
        <v>0</v>
      </c>
      <c r="DF129" s="58">
        <f t="shared" si="1412"/>
        <v>0</v>
      </c>
      <c r="DG129" s="58">
        <f t="shared" si="1412"/>
        <v>188165.3</v>
      </c>
      <c r="DH129" s="118">
        <f t="shared" si="1191"/>
        <v>-1</v>
      </c>
      <c r="DI129" s="58">
        <f t="shared" ref="DI129:DU129" si="1413">+SUM(DI130:DI132)</f>
        <v>96400</v>
      </c>
      <c r="DJ129" s="58">
        <f t="shared" si="1413"/>
        <v>96400</v>
      </c>
      <c r="DK129" s="58">
        <f t="shared" si="1413"/>
        <v>96400</v>
      </c>
      <c r="DL129" s="58">
        <f t="shared" si="1413"/>
        <v>96400</v>
      </c>
      <c r="DM129" s="58">
        <f t="shared" si="1413"/>
        <v>96400</v>
      </c>
      <c r="DN129" s="58">
        <f t="shared" si="1413"/>
        <v>96400</v>
      </c>
      <c r="DO129" s="58">
        <f t="shared" si="1413"/>
        <v>96400</v>
      </c>
      <c r="DP129" s="58">
        <f t="shared" si="1413"/>
        <v>96400</v>
      </c>
      <c r="DQ129" s="58">
        <f t="shared" si="1413"/>
        <v>96400</v>
      </c>
      <c r="DR129" s="58">
        <f t="shared" si="1413"/>
        <v>96400</v>
      </c>
      <c r="DS129" s="58">
        <f t="shared" si="1413"/>
        <v>96400</v>
      </c>
      <c r="DT129" s="58">
        <f t="shared" si="1413"/>
        <v>96400</v>
      </c>
      <c r="DU129" s="58">
        <f t="shared" si="1413"/>
        <v>1156800</v>
      </c>
    </row>
    <row r="130" spans="1:125" ht="14.45" hidden="1" customHeight="1" outlineLevel="2">
      <c r="A130" s="106">
        <f t="shared" ref="A130:A132" si="1414">+AQ130+CG130</f>
        <v>0</v>
      </c>
      <c r="B130" s="106">
        <f t="shared" ref="B130:B132" si="1415">+AR130+CH130</f>
        <v>0</v>
      </c>
      <c r="C130" s="106">
        <f t="shared" ref="C130:C132" si="1416">+AS130+CI130</f>
        <v>0</v>
      </c>
      <c r="D130" s="106">
        <f t="shared" ref="D130:D132" si="1417">+AT130+CJ130</f>
        <v>0</v>
      </c>
      <c r="E130" s="106">
        <f t="shared" ref="E130:E132" si="1418">+AU130+CK130</f>
        <v>26052.400000000001</v>
      </c>
      <c r="F130" s="106">
        <f t="shared" ref="F130:F132" si="1419">+AV130+CL130</f>
        <v>0</v>
      </c>
      <c r="G130" s="106">
        <f t="shared" ref="G130:G132" si="1420">+AW130+CM130</f>
        <v>0</v>
      </c>
      <c r="H130" s="106">
        <f t="shared" ref="H130:H132" si="1421">+AX130+CN130</f>
        <v>0</v>
      </c>
      <c r="I130" s="106">
        <f t="shared" ref="I130:I132" si="1422">+AY130+CO130</f>
        <v>0</v>
      </c>
      <c r="J130" s="106">
        <f t="shared" ref="J130:J132" si="1423">+AZ130+CP130</f>
        <v>0</v>
      </c>
      <c r="K130" s="106">
        <f t="shared" ref="K130:K132" si="1424">+BA130+CQ130</f>
        <v>0</v>
      </c>
      <c r="L130" s="106">
        <f t="shared" ref="L130:L132" si="1425">+BB130+CR130</f>
        <v>0</v>
      </c>
      <c r="M130" s="106">
        <f t="shared" ref="M130:M132" si="1426">+SUM(A130:L130)</f>
        <v>26052.400000000001</v>
      </c>
      <c r="N130" s="16" t="s">
        <v>107</v>
      </c>
      <c r="O130" s="106">
        <f t="shared" ref="O130:O132" si="1427">+BE130+CU130</f>
        <v>0</v>
      </c>
      <c r="P130" s="106">
        <f t="shared" ref="P130:P132" si="1428">+BF130+CV130</f>
        <v>3000</v>
      </c>
      <c r="Q130" s="106">
        <f t="shared" ref="Q130:Q132" si="1429">+BG130+CW130</f>
        <v>0</v>
      </c>
      <c r="R130" s="106">
        <f t="shared" ref="R130:R132" si="1430">+BH130+CX130</f>
        <v>0</v>
      </c>
      <c r="S130" s="106">
        <f t="shared" ref="S130:S132" si="1431">+BI130+CY130</f>
        <v>0</v>
      </c>
      <c r="T130" s="106">
        <f t="shared" ref="T130:T132" si="1432">+BJ130+CZ130</f>
        <v>0</v>
      </c>
      <c r="U130" s="106">
        <f t="shared" ref="U130:U132" si="1433">+BK130+DA130</f>
        <v>266000</v>
      </c>
      <c r="V130" s="106">
        <f t="shared" ref="V130:V132" si="1434">+BL130+DB130</f>
        <v>37711.800000000003</v>
      </c>
      <c r="W130" s="106">
        <f t="shared" ref="W130:W132" si="1435">+BM130+DC130</f>
        <v>31432.5</v>
      </c>
      <c r="X130" s="106">
        <f t="shared" ref="X130:X132" si="1436">+BN130+DD130</f>
        <v>142000</v>
      </c>
      <c r="Y130" s="106">
        <f t="shared" ref="Y130:Y132" si="1437">+BO130+DE130</f>
        <v>0</v>
      </c>
      <c r="Z130" s="106">
        <f t="shared" ref="Z130:Z132" si="1438">+BP130+DF130</f>
        <v>0</v>
      </c>
      <c r="AA130" s="106">
        <f t="shared" ref="AA130:AA132" si="1439">+SUM(O130:Z130)</f>
        <v>480144.3</v>
      </c>
      <c r="AB130" s="118">
        <f t="shared" si="1189"/>
        <v>0</v>
      </c>
      <c r="AC130" s="106">
        <f t="shared" ref="AC130:AC132" si="1440">+BS130+DI130</f>
        <v>0</v>
      </c>
      <c r="AD130" s="106">
        <f t="shared" ref="AD130:AD132" si="1441">+BT130+DJ130</f>
        <v>0</v>
      </c>
      <c r="AE130" s="106">
        <f t="shared" ref="AE130:AE132" si="1442">+BU130+DK130</f>
        <v>0</v>
      </c>
      <c r="AF130" s="106">
        <f t="shared" ref="AF130:AF132" si="1443">+BV130+DL130</f>
        <v>0</v>
      </c>
      <c r="AG130" s="106">
        <f t="shared" ref="AG130:AG132" si="1444">+BW130+DM130</f>
        <v>0</v>
      </c>
      <c r="AH130" s="106">
        <f t="shared" ref="AH130:AH132" si="1445">+BX130+DN130</f>
        <v>0</v>
      </c>
      <c r="AI130" s="106">
        <f t="shared" ref="AI130:AI132" si="1446">+BY130+DO130</f>
        <v>0</v>
      </c>
      <c r="AJ130" s="106">
        <f t="shared" ref="AJ130:AJ132" si="1447">+BZ130+DP130</f>
        <v>0</v>
      </c>
      <c r="AK130" s="106">
        <f t="shared" ref="AK130:AK132" si="1448">+CA130+DQ130</f>
        <v>0</v>
      </c>
      <c r="AL130" s="106">
        <f t="shared" ref="AL130:AL132" si="1449">+CB130+DR130</f>
        <v>0</v>
      </c>
      <c r="AM130" s="106">
        <f t="shared" ref="AM130:AM132" si="1450">+CC130+DS130</f>
        <v>0</v>
      </c>
      <c r="AN130" s="106">
        <f t="shared" ref="AN130:AN132" si="1451">+CD130+DT130</f>
        <v>0</v>
      </c>
      <c r="AO130" s="106">
        <f t="shared" ref="AO130:AO132" si="1452">+SUM(AC130:AN130)</f>
        <v>0</v>
      </c>
      <c r="AQ130" s="106">
        <v>0</v>
      </c>
      <c r="AR130" s="106">
        <v>0</v>
      </c>
      <c r="AS130" s="106">
        <v>0</v>
      </c>
      <c r="AT130" s="106">
        <v>0</v>
      </c>
      <c r="AU130" s="106">
        <v>18947.2</v>
      </c>
      <c r="AV130" s="106">
        <v>0</v>
      </c>
      <c r="AW130" s="106">
        <v>0</v>
      </c>
      <c r="AX130" s="106">
        <v>0</v>
      </c>
      <c r="AY130" s="106">
        <v>0</v>
      </c>
      <c r="AZ130" s="106">
        <v>0</v>
      </c>
      <c r="BA130" s="106">
        <v>0</v>
      </c>
      <c r="BB130" s="106">
        <v>0</v>
      </c>
      <c r="BC130" s="106">
        <f t="shared" ref="BC130:BC132" si="1453">+SUM(AQ130:BB130)</f>
        <v>18947.2</v>
      </c>
      <c r="BD130" s="16" t="str">
        <f t="shared" si="871"/>
        <v>Training Expenses - Others</v>
      </c>
      <c r="BE130" s="106">
        <f>+VLOOKUP($BD130,'Jan-25'!$A:$J,2,0)</f>
        <v>0</v>
      </c>
      <c r="BF130" s="106">
        <f>+VLOOKUP($BD130,'Feb-25'!$A:$J,2,0)</f>
        <v>3000</v>
      </c>
      <c r="BG130" s="106">
        <f>+VLOOKUP($BD130,'Mar-25'!$A:$J,2,0)</f>
        <v>0</v>
      </c>
      <c r="BH130" s="106">
        <f>+VLOOKUP($BD130,'Apr-25'!$A:$J,2,0)</f>
        <v>0</v>
      </c>
      <c r="BI130" s="106">
        <f>+VLOOKUP($BD130,'May-25'!$A:$J,2,0)</f>
        <v>0</v>
      </c>
      <c r="BJ130" s="106">
        <f>+VLOOKUP($BD130,'June-25'!$A:$J,2,0)</f>
        <v>0</v>
      </c>
      <c r="BK130" s="106">
        <f>+VLOOKUP($BD130,'July-25'!$A:$J,2,0)</f>
        <v>265000</v>
      </c>
      <c r="BL130" s="106">
        <f>+VLOOKUP($BD130,'Aug-25'!$A:$J,2,0)</f>
        <v>37711.800000000003</v>
      </c>
      <c r="BM130" s="106">
        <f>+VLOOKUP($BD130,'Sep-25'!$A:$J,2,0)</f>
        <v>22860</v>
      </c>
      <c r="BN130" s="106">
        <f>+VLOOKUP($BD130,'Oct-25'!$A:$J,2,0)</f>
        <v>142000</v>
      </c>
      <c r="BO130" s="106">
        <f>+VLOOKUP($BD130,'Nov-25'!$A:$J,2,0)</f>
        <v>0</v>
      </c>
      <c r="BP130" s="106">
        <f>+VLOOKUP($BD130,'Dec-25'!$A:$J,2,0)</f>
        <v>0</v>
      </c>
      <c r="BQ130" s="106">
        <f t="shared" ref="BQ130:BQ132" si="1454">+SUM(BE130:BP130)</f>
        <v>470571.8</v>
      </c>
      <c r="BR130" s="118">
        <f t="shared" si="1190"/>
        <v>0</v>
      </c>
      <c r="BS130" s="106" cm="1">
        <f t="array" ref="BS130:CD130">+_xlfn.XLOOKUP(BD130,Budget!A:A,Budget!Q:AB)</f>
        <v>0</v>
      </c>
      <c r="BT130" s="106">
        <v>0</v>
      </c>
      <c r="BU130" s="106">
        <v>0</v>
      </c>
      <c r="BV130" s="106">
        <v>0</v>
      </c>
      <c r="BW130" s="106">
        <v>0</v>
      </c>
      <c r="BX130" s="106">
        <v>0</v>
      </c>
      <c r="BY130" s="106">
        <v>0</v>
      </c>
      <c r="BZ130" s="106">
        <v>0</v>
      </c>
      <c r="CA130" s="106">
        <v>0</v>
      </c>
      <c r="CB130" s="106">
        <v>0</v>
      </c>
      <c r="CC130" s="106">
        <v>0</v>
      </c>
      <c r="CD130" s="106">
        <v>0</v>
      </c>
      <c r="CE130" s="106">
        <f t="shared" ref="CE130:CE132" si="1455">+SUM(BS130:CD130)</f>
        <v>0</v>
      </c>
      <c r="CF130" s="22"/>
      <c r="CG130" s="106">
        <v>0</v>
      </c>
      <c r="CH130" s="106">
        <v>0</v>
      </c>
      <c r="CI130" s="106">
        <v>0</v>
      </c>
      <c r="CJ130" s="106">
        <v>0</v>
      </c>
      <c r="CK130" s="106">
        <v>7105.2</v>
      </c>
      <c r="CL130" s="106">
        <v>0</v>
      </c>
      <c r="CM130" s="106">
        <v>0</v>
      </c>
      <c r="CN130" s="106">
        <v>0</v>
      </c>
      <c r="CO130" s="106">
        <v>0</v>
      </c>
      <c r="CP130" s="106">
        <v>0</v>
      </c>
      <c r="CQ130" s="106">
        <v>0</v>
      </c>
      <c r="CR130" s="106">
        <v>0</v>
      </c>
      <c r="CS130" s="106">
        <f t="shared" ref="CS130:CS132" si="1456">+SUM(CG130:CR130)</f>
        <v>7105.2</v>
      </c>
      <c r="CT130" s="16" t="str">
        <f t="shared" si="875"/>
        <v>Training Expenses - Others</v>
      </c>
      <c r="CU130" s="106">
        <f>+VLOOKUP($BD130,'Jan-25'!$A:$J,6,0)</f>
        <v>0</v>
      </c>
      <c r="CV130" s="106">
        <f>+VLOOKUP($BD130,'Feb-25'!$A:$J,6,0)</f>
        <v>0</v>
      </c>
      <c r="CW130" s="106">
        <f>+VLOOKUP($BD130,'Mar-25'!$A:$J,6,0)</f>
        <v>0</v>
      </c>
      <c r="CX130" s="106">
        <f>+VLOOKUP($BD130,'Apr-25'!$A:$J,6,0)</f>
        <v>0</v>
      </c>
      <c r="CY130" s="106">
        <f>+VLOOKUP($BD130,'May-25'!$A:$J,6,0)</f>
        <v>0</v>
      </c>
      <c r="CZ130" s="106">
        <f>+VLOOKUP($BD130,'June-25'!$A:$J,6,0)</f>
        <v>0</v>
      </c>
      <c r="DA130" s="106">
        <f>+VLOOKUP($BD130,'July-25'!$A:$J,6,0)</f>
        <v>1000</v>
      </c>
      <c r="DB130" s="106">
        <f>+VLOOKUP($BD130,'Aug-25'!$A:$J,6,0)</f>
        <v>0</v>
      </c>
      <c r="DC130" s="106">
        <f>+VLOOKUP($BD130,'Sep-25'!$A:$J,6,0)</f>
        <v>8572.5</v>
      </c>
      <c r="DD130" s="106">
        <f>+VLOOKUP($BD130,'Oct-25'!$A:$J,6,0)</f>
        <v>0</v>
      </c>
      <c r="DE130" s="106">
        <f>+VLOOKUP($BD130,'Nov-25'!$A:$J,6,0)</f>
        <v>0</v>
      </c>
      <c r="DF130" s="106">
        <f>+VLOOKUP($BD130,'Dec-25'!$A:$J,6,0)</f>
        <v>0</v>
      </c>
      <c r="DG130" s="106">
        <f t="shared" ref="DG130:DG132" si="1457">+SUM(CU130:DF130)</f>
        <v>9572.5</v>
      </c>
      <c r="DH130" s="118">
        <f t="shared" si="1191"/>
        <v>0</v>
      </c>
      <c r="DI130" s="106">
        <f>+_xlfn.XLOOKUP($CT130,Budget!$A:$A,Budget!BQ:BQ)</f>
        <v>0</v>
      </c>
      <c r="DJ130" s="106">
        <f>+_xlfn.XLOOKUP($CT130,Budget!$A:$A,Budget!BR:BR)</f>
        <v>0</v>
      </c>
      <c r="DK130" s="106">
        <f>+_xlfn.XLOOKUP($CT130,Budget!$A:$A,Budget!BS:BS)</f>
        <v>0</v>
      </c>
      <c r="DL130" s="106">
        <f>+_xlfn.XLOOKUP($CT130,Budget!$A:$A,Budget!BT:BT)</f>
        <v>0</v>
      </c>
      <c r="DM130" s="106">
        <f>+_xlfn.XLOOKUP($CT130,Budget!$A:$A,Budget!BU:BU)</f>
        <v>0</v>
      </c>
      <c r="DN130" s="106">
        <f>+_xlfn.XLOOKUP($CT130,Budget!$A:$A,Budget!BV:BV)</f>
        <v>0</v>
      </c>
      <c r="DO130" s="106">
        <f>+_xlfn.XLOOKUP($CT130,Budget!$A:$A,Budget!BW:BW)</f>
        <v>0</v>
      </c>
      <c r="DP130" s="106">
        <f>+_xlfn.XLOOKUP($CT130,Budget!$A:$A,Budget!BX:BX)</f>
        <v>0</v>
      </c>
      <c r="DQ130" s="106">
        <f>+_xlfn.XLOOKUP($CT130,Budget!$A:$A,Budget!BY:BY)</f>
        <v>0</v>
      </c>
      <c r="DR130" s="106">
        <f>+_xlfn.XLOOKUP($CT130,Budget!$A:$A,Budget!BZ:BZ)</f>
        <v>0</v>
      </c>
      <c r="DS130" s="106">
        <f>+_xlfn.XLOOKUP($CT130,Budget!$A:$A,Budget!CA:CA)</f>
        <v>0</v>
      </c>
      <c r="DT130" s="106">
        <f>+_xlfn.XLOOKUP($CT130,Budget!$A:$A,Budget!CB:CB)</f>
        <v>0</v>
      </c>
      <c r="DU130" s="106">
        <f t="shared" ref="DU130:DU132" si="1458">+SUM(DI130:DT130)</f>
        <v>0</v>
      </c>
    </row>
    <row r="131" spans="1:125" ht="14.45" hidden="1" customHeight="1" outlineLevel="2">
      <c r="A131" s="106">
        <f t="shared" si="1414"/>
        <v>0</v>
      </c>
      <c r="B131" s="106">
        <f t="shared" si="1415"/>
        <v>0</v>
      </c>
      <c r="C131" s="106">
        <f t="shared" si="1416"/>
        <v>0</v>
      </c>
      <c r="D131" s="106">
        <f t="shared" si="1417"/>
        <v>0</v>
      </c>
      <c r="E131" s="106">
        <f t="shared" si="1418"/>
        <v>0</v>
      </c>
      <c r="F131" s="106">
        <f t="shared" si="1419"/>
        <v>0</v>
      </c>
      <c r="G131" s="106">
        <f t="shared" si="1420"/>
        <v>0</v>
      </c>
      <c r="H131" s="106">
        <f t="shared" si="1421"/>
        <v>0</v>
      </c>
      <c r="I131" s="106">
        <f t="shared" si="1422"/>
        <v>0</v>
      </c>
      <c r="J131" s="106">
        <f t="shared" si="1423"/>
        <v>0</v>
      </c>
      <c r="K131" s="106">
        <f t="shared" si="1424"/>
        <v>0</v>
      </c>
      <c r="L131" s="106">
        <f t="shared" si="1425"/>
        <v>0</v>
      </c>
      <c r="M131" s="106">
        <f t="shared" si="1426"/>
        <v>0</v>
      </c>
      <c r="N131" s="16" t="s">
        <v>108</v>
      </c>
      <c r="O131" s="106">
        <f t="shared" si="1427"/>
        <v>0</v>
      </c>
      <c r="P131" s="106">
        <f t="shared" si="1428"/>
        <v>0</v>
      </c>
      <c r="Q131" s="106">
        <f t="shared" si="1429"/>
        <v>0</v>
      </c>
      <c r="R131" s="106">
        <f t="shared" si="1430"/>
        <v>0</v>
      </c>
      <c r="S131" s="106">
        <f t="shared" si="1431"/>
        <v>0</v>
      </c>
      <c r="T131" s="106">
        <f t="shared" si="1432"/>
        <v>0</v>
      </c>
      <c r="U131" s="106">
        <f t="shared" si="1433"/>
        <v>0</v>
      </c>
      <c r="V131" s="106">
        <f t="shared" si="1434"/>
        <v>0</v>
      </c>
      <c r="W131" s="106">
        <f t="shared" si="1435"/>
        <v>0</v>
      </c>
      <c r="X131" s="106">
        <f t="shared" si="1436"/>
        <v>0</v>
      </c>
      <c r="Y131" s="106">
        <f t="shared" si="1437"/>
        <v>0</v>
      </c>
      <c r="Z131" s="106">
        <f t="shared" si="1438"/>
        <v>0</v>
      </c>
      <c r="AA131" s="106">
        <f t="shared" si="1439"/>
        <v>0</v>
      </c>
      <c r="AB131" s="118">
        <f t="shared" si="1189"/>
        <v>0</v>
      </c>
      <c r="AC131" s="106">
        <f t="shared" si="1440"/>
        <v>0</v>
      </c>
      <c r="AD131" s="106">
        <f t="shared" si="1441"/>
        <v>0</v>
      </c>
      <c r="AE131" s="106">
        <f t="shared" si="1442"/>
        <v>0</v>
      </c>
      <c r="AF131" s="106">
        <f t="shared" si="1443"/>
        <v>0</v>
      </c>
      <c r="AG131" s="106">
        <f t="shared" si="1444"/>
        <v>0</v>
      </c>
      <c r="AH131" s="106">
        <f t="shared" si="1445"/>
        <v>0</v>
      </c>
      <c r="AI131" s="106">
        <f t="shared" si="1446"/>
        <v>0</v>
      </c>
      <c r="AJ131" s="106">
        <f t="shared" si="1447"/>
        <v>0</v>
      </c>
      <c r="AK131" s="106">
        <f t="shared" si="1448"/>
        <v>0</v>
      </c>
      <c r="AL131" s="106">
        <f t="shared" si="1449"/>
        <v>0</v>
      </c>
      <c r="AM131" s="106">
        <f t="shared" si="1450"/>
        <v>0</v>
      </c>
      <c r="AN131" s="106">
        <f t="shared" si="1451"/>
        <v>0</v>
      </c>
      <c r="AO131" s="106">
        <f t="shared" si="1452"/>
        <v>0</v>
      </c>
      <c r="AQ131" s="106">
        <v>0</v>
      </c>
      <c r="AR131" s="106">
        <v>0</v>
      </c>
      <c r="AS131" s="106">
        <v>0</v>
      </c>
      <c r="AT131" s="106">
        <v>0</v>
      </c>
      <c r="AU131" s="106">
        <v>0</v>
      </c>
      <c r="AV131" s="106">
        <v>0</v>
      </c>
      <c r="AW131" s="106">
        <v>0</v>
      </c>
      <c r="AX131" s="106">
        <v>0</v>
      </c>
      <c r="AY131" s="106">
        <v>0</v>
      </c>
      <c r="AZ131" s="106">
        <v>0</v>
      </c>
      <c r="BA131" s="106">
        <v>0</v>
      </c>
      <c r="BB131" s="106">
        <v>0</v>
      </c>
      <c r="BC131" s="106">
        <f t="shared" si="1453"/>
        <v>0</v>
      </c>
      <c r="BD131" s="16" t="str">
        <f t="shared" si="871"/>
        <v>Training Expenses - Senior Management MBIL</v>
      </c>
      <c r="BE131" s="106">
        <f>+VLOOKUP($BD131,'Jan-25'!$A:$J,2,0)</f>
        <v>0</v>
      </c>
      <c r="BF131" s="106">
        <f>+VLOOKUP($BD131,'Feb-25'!$A:$J,2,0)</f>
        <v>0</v>
      </c>
      <c r="BG131" s="106">
        <f>+VLOOKUP($BD131,'Mar-25'!$A:$J,2,0)</f>
        <v>0</v>
      </c>
      <c r="BH131" s="106">
        <f>+VLOOKUP($BD131,'Apr-25'!$A:$J,2,0)</f>
        <v>0</v>
      </c>
      <c r="BI131" s="106">
        <f>+VLOOKUP($BD131,'May-25'!$A:$J,2,0)</f>
        <v>0</v>
      </c>
      <c r="BJ131" s="106">
        <f>+VLOOKUP($BD131,'June-25'!$A:$J,2,0)</f>
        <v>0</v>
      </c>
      <c r="BK131" s="106">
        <f>+VLOOKUP($BD131,'July-25'!$A:$J,2,0)</f>
        <v>0</v>
      </c>
      <c r="BL131" s="106">
        <f>+VLOOKUP($BD131,'Aug-25'!$A:$J,2,0)</f>
        <v>0</v>
      </c>
      <c r="BM131" s="106">
        <f>+VLOOKUP($BD131,'Sep-25'!$A:$J,2,0)</f>
        <v>0</v>
      </c>
      <c r="BN131" s="106">
        <f>+VLOOKUP($BD131,'Oct-25'!$A:$J,2,0)</f>
        <v>0</v>
      </c>
      <c r="BO131" s="106">
        <f>+VLOOKUP($BD131,'Nov-25'!$A:$J,2,0)</f>
        <v>0</v>
      </c>
      <c r="BP131" s="106">
        <f>+VLOOKUP($BD131,'Dec-25'!$A:$J,2,0)</f>
        <v>0</v>
      </c>
      <c r="BQ131" s="106">
        <f t="shared" si="1454"/>
        <v>0</v>
      </c>
      <c r="BR131" s="118">
        <f t="shared" si="1190"/>
        <v>0</v>
      </c>
      <c r="BS131" s="106" cm="1">
        <f t="array" ref="BS131:CD131">+_xlfn.XLOOKUP(BD131,Budget!A:A,Budget!Q:AB)</f>
        <v>0</v>
      </c>
      <c r="BT131" s="106">
        <v>0</v>
      </c>
      <c r="BU131" s="106">
        <v>0</v>
      </c>
      <c r="BV131" s="106">
        <v>0</v>
      </c>
      <c r="BW131" s="106">
        <v>0</v>
      </c>
      <c r="BX131" s="106">
        <v>0</v>
      </c>
      <c r="BY131" s="106">
        <v>0</v>
      </c>
      <c r="BZ131" s="106">
        <v>0</v>
      </c>
      <c r="CA131" s="106">
        <v>0</v>
      </c>
      <c r="CB131" s="106">
        <v>0</v>
      </c>
      <c r="CC131" s="106">
        <v>0</v>
      </c>
      <c r="CD131" s="106">
        <v>0</v>
      </c>
      <c r="CE131" s="106">
        <f t="shared" si="1455"/>
        <v>0</v>
      </c>
      <c r="CF131" s="22"/>
      <c r="CG131" s="106">
        <v>0</v>
      </c>
      <c r="CH131" s="106">
        <v>0</v>
      </c>
      <c r="CI131" s="106">
        <v>0</v>
      </c>
      <c r="CJ131" s="106">
        <v>0</v>
      </c>
      <c r="CK131" s="106">
        <v>0</v>
      </c>
      <c r="CL131" s="106">
        <v>0</v>
      </c>
      <c r="CM131" s="106">
        <v>0</v>
      </c>
      <c r="CN131" s="106">
        <v>0</v>
      </c>
      <c r="CO131" s="106">
        <v>0</v>
      </c>
      <c r="CP131" s="106">
        <v>0</v>
      </c>
      <c r="CQ131" s="106">
        <v>0</v>
      </c>
      <c r="CR131" s="106">
        <v>0</v>
      </c>
      <c r="CS131" s="106">
        <f t="shared" si="1456"/>
        <v>0</v>
      </c>
      <c r="CT131" s="16" t="str">
        <f t="shared" si="875"/>
        <v>Training Expenses - Senior Management MBIL</v>
      </c>
      <c r="CU131" s="106">
        <f>+VLOOKUP($BD131,'Jan-25'!$A:$J,6,0)</f>
        <v>0</v>
      </c>
      <c r="CV131" s="106">
        <f>+VLOOKUP($BD131,'Feb-25'!$A:$J,6,0)</f>
        <v>0</v>
      </c>
      <c r="CW131" s="106">
        <f>+VLOOKUP($BD131,'Mar-25'!$A:$J,6,0)</f>
        <v>0</v>
      </c>
      <c r="CX131" s="106">
        <f>+VLOOKUP($BD131,'Apr-25'!$A:$J,6,0)</f>
        <v>0</v>
      </c>
      <c r="CY131" s="106">
        <f>+VLOOKUP($BD131,'May-25'!$A:$J,6,0)</f>
        <v>0</v>
      </c>
      <c r="CZ131" s="106">
        <f>+VLOOKUP($BD131,'June-25'!$A:$J,6,0)</f>
        <v>0</v>
      </c>
      <c r="DA131" s="106">
        <f>+VLOOKUP($BD131,'July-25'!$A:$J,6,0)</f>
        <v>0</v>
      </c>
      <c r="DB131" s="106">
        <f>+VLOOKUP($BD131,'Aug-25'!$A:$J,6,0)</f>
        <v>0</v>
      </c>
      <c r="DC131" s="106">
        <f>+VLOOKUP($BD131,'Sep-25'!$A:$J,6,0)</f>
        <v>0</v>
      </c>
      <c r="DD131" s="106">
        <f>+VLOOKUP($BD131,'Oct-25'!$A:$J,6,0)</f>
        <v>0</v>
      </c>
      <c r="DE131" s="106">
        <f>+VLOOKUP($BD131,'Nov-25'!$A:$J,6,0)</f>
        <v>0</v>
      </c>
      <c r="DF131" s="106">
        <f>+VLOOKUP($BD131,'Dec-25'!$A:$J,6,0)</f>
        <v>0</v>
      </c>
      <c r="DG131" s="106">
        <f t="shared" si="1457"/>
        <v>0</v>
      </c>
      <c r="DH131" s="118">
        <f t="shared" si="1191"/>
        <v>0</v>
      </c>
      <c r="DI131" s="106">
        <f>+_xlfn.XLOOKUP($CT131,Budget!$A:$A,Budget!BQ:BQ)</f>
        <v>0</v>
      </c>
      <c r="DJ131" s="106">
        <f>+_xlfn.XLOOKUP($CT131,Budget!$A:$A,Budget!BR:BR)</f>
        <v>0</v>
      </c>
      <c r="DK131" s="106">
        <f>+_xlfn.XLOOKUP($CT131,Budget!$A:$A,Budget!BS:BS)</f>
        <v>0</v>
      </c>
      <c r="DL131" s="106">
        <f>+_xlfn.XLOOKUP($CT131,Budget!$A:$A,Budget!BT:BT)</f>
        <v>0</v>
      </c>
      <c r="DM131" s="106">
        <f>+_xlfn.XLOOKUP($CT131,Budget!$A:$A,Budget!BU:BU)</f>
        <v>0</v>
      </c>
      <c r="DN131" s="106">
        <f>+_xlfn.XLOOKUP($CT131,Budget!$A:$A,Budget!BV:BV)</f>
        <v>0</v>
      </c>
      <c r="DO131" s="106">
        <f>+_xlfn.XLOOKUP($CT131,Budget!$A:$A,Budget!BW:BW)</f>
        <v>0</v>
      </c>
      <c r="DP131" s="106">
        <f>+_xlfn.XLOOKUP($CT131,Budget!$A:$A,Budget!BX:BX)</f>
        <v>0</v>
      </c>
      <c r="DQ131" s="106">
        <f>+_xlfn.XLOOKUP($CT131,Budget!$A:$A,Budget!BY:BY)</f>
        <v>0</v>
      </c>
      <c r="DR131" s="106">
        <f>+_xlfn.XLOOKUP($CT131,Budget!$A:$A,Budget!BZ:BZ)</f>
        <v>0</v>
      </c>
      <c r="DS131" s="106">
        <f>+_xlfn.XLOOKUP($CT131,Budget!$A:$A,Budget!CA:CA)</f>
        <v>0</v>
      </c>
      <c r="DT131" s="106">
        <f>+_xlfn.XLOOKUP($CT131,Budget!$A:$A,Budget!CB:CB)</f>
        <v>0</v>
      </c>
      <c r="DU131" s="106">
        <f t="shared" si="1458"/>
        <v>0</v>
      </c>
    </row>
    <row r="132" spans="1:125" ht="14.45" hidden="1" customHeight="1" outlineLevel="2">
      <c r="A132" s="106">
        <f t="shared" si="1414"/>
        <v>161958.33333333334</v>
      </c>
      <c r="B132" s="106">
        <f t="shared" si="1415"/>
        <v>161958.33333333334</v>
      </c>
      <c r="C132" s="106">
        <f t="shared" si="1416"/>
        <v>161958.33333333334</v>
      </c>
      <c r="D132" s="106">
        <f t="shared" si="1417"/>
        <v>161958.33333333334</v>
      </c>
      <c r="E132" s="106">
        <f t="shared" si="1418"/>
        <v>161958.33333333334</v>
      </c>
      <c r="F132" s="106">
        <f t="shared" si="1419"/>
        <v>161958.33333333334</v>
      </c>
      <c r="G132" s="106">
        <f t="shared" si="1420"/>
        <v>161958.33333333334</v>
      </c>
      <c r="H132" s="106">
        <f t="shared" si="1421"/>
        <v>161958.33333333334</v>
      </c>
      <c r="I132" s="106">
        <f t="shared" si="1422"/>
        <v>161958.33333333334</v>
      </c>
      <c r="J132" s="106">
        <f t="shared" si="1423"/>
        <v>161958.33333333334</v>
      </c>
      <c r="K132" s="106">
        <f t="shared" si="1424"/>
        <v>161958.33333333334</v>
      </c>
      <c r="L132" s="106">
        <f t="shared" si="1425"/>
        <v>161958.33333333334</v>
      </c>
      <c r="M132" s="106">
        <f t="shared" si="1426"/>
        <v>1943499.9999999998</v>
      </c>
      <c r="N132" s="16" t="s">
        <v>109</v>
      </c>
      <c r="O132" s="106">
        <f t="shared" si="1427"/>
        <v>0</v>
      </c>
      <c r="P132" s="106">
        <f t="shared" si="1428"/>
        <v>0</v>
      </c>
      <c r="Q132" s="106">
        <f t="shared" si="1429"/>
        <v>0</v>
      </c>
      <c r="R132" s="106">
        <f t="shared" si="1430"/>
        <v>0</v>
      </c>
      <c r="S132" s="106">
        <f t="shared" si="1431"/>
        <v>0</v>
      </c>
      <c r="T132" s="106">
        <f t="shared" si="1432"/>
        <v>340000</v>
      </c>
      <c r="U132" s="106">
        <f t="shared" si="1433"/>
        <v>106482</v>
      </c>
      <c r="V132" s="106">
        <f t="shared" si="1434"/>
        <v>0</v>
      </c>
      <c r="W132" s="106">
        <f t="shared" si="1435"/>
        <v>60000</v>
      </c>
      <c r="X132" s="106">
        <f t="shared" si="1436"/>
        <v>0</v>
      </c>
      <c r="Y132" s="106">
        <f t="shared" si="1437"/>
        <v>0</v>
      </c>
      <c r="Z132" s="106">
        <f t="shared" si="1438"/>
        <v>0</v>
      </c>
      <c r="AA132" s="106">
        <f t="shared" si="1439"/>
        <v>506482</v>
      </c>
      <c r="AB132" s="118">
        <f t="shared" si="1189"/>
        <v>-1</v>
      </c>
      <c r="AC132" s="106">
        <f t="shared" si="1440"/>
        <v>241000</v>
      </c>
      <c r="AD132" s="106">
        <f t="shared" si="1441"/>
        <v>241000</v>
      </c>
      <c r="AE132" s="106">
        <f t="shared" si="1442"/>
        <v>241000</v>
      </c>
      <c r="AF132" s="106">
        <f t="shared" si="1443"/>
        <v>241000</v>
      </c>
      <c r="AG132" s="106">
        <f t="shared" si="1444"/>
        <v>241000</v>
      </c>
      <c r="AH132" s="106">
        <f t="shared" si="1445"/>
        <v>241000</v>
      </c>
      <c r="AI132" s="106">
        <f t="shared" si="1446"/>
        <v>241000</v>
      </c>
      <c r="AJ132" s="106">
        <f t="shared" si="1447"/>
        <v>241000</v>
      </c>
      <c r="AK132" s="106">
        <f t="shared" si="1448"/>
        <v>241000</v>
      </c>
      <c r="AL132" s="106">
        <f t="shared" si="1449"/>
        <v>241000</v>
      </c>
      <c r="AM132" s="106">
        <f t="shared" si="1450"/>
        <v>241000</v>
      </c>
      <c r="AN132" s="106">
        <f t="shared" si="1451"/>
        <v>241000</v>
      </c>
      <c r="AO132" s="106">
        <f t="shared" si="1452"/>
        <v>2892000</v>
      </c>
      <c r="AQ132" s="106">
        <v>98175</v>
      </c>
      <c r="AR132" s="106">
        <v>98175</v>
      </c>
      <c r="AS132" s="106">
        <v>98175</v>
      </c>
      <c r="AT132" s="106">
        <v>98175</v>
      </c>
      <c r="AU132" s="106">
        <v>98175</v>
      </c>
      <c r="AV132" s="106">
        <v>98175</v>
      </c>
      <c r="AW132" s="106">
        <v>98175</v>
      </c>
      <c r="AX132" s="106">
        <v>98175</v>
      </c>
      <c r="AY132" s="106">
        <v>98175</v>
      </c>
      <c r="AZ132" s="106">
        <v>98175</v>
      </c>
      <c r="BA132" s="106">
        <v>98175</v>
      </c>
      <c r="BB132" s="106">
        <v>98175</v>
      </c>
      <c r="BC132" s="106">
        <f t="shared" si="1453"/>
        <v>1178100</v>
      </c>
      <c r="BD132" s="16" t="str">
        <f t="shared" si="871"/>
        <v>Training Expenses MBIL</v>
      </c>
      <c r="BE132" s="106">
        <f>+VLOOKUP($BD132,'Jan-25'!$A:$J,2,0)</f>
        <v>0</v>
      </c>
      <c r="BF132" s="106">
        <f>+VLOOKUP($BD132,'Feb-25'!$A:$J,2,0)</f>
        <v>0</v>
      </c>
      <c r="BG132" s="106">
        <f>+VLOOKUP($BD132,'Mar-25'!$A:$J,2,0)</f>
        <v>0</v>
      </c>
      <c r="BH132" s="106">
        <f>+VLOOKUP($BD132,'Apr-25'!$A:$J,2,0)</f>
        <v>0</v>
      </c>
      <c r="BI132" s="106">
        <f>+VLOOKUP($BD132,'May-25'!$A:$J,2,0)</f>
        <v>0</v>
      </c>
      <c r="BJ132" s="106">
        <f>+VLOOKUP($BD132,'June-25'!$A:$J,2,0)</f>
        <v>204000</v>
      </c>
      <c r="BK132" s="106">
        <f>+VLOOKUP($BD132,'July-25'!$A:$J,2,0)</f>
        <v>63889.2</v>
      </c>
      <c r="BL132" s="106">
        <f>+VLOOKUP($BD132,'Aug-25'!$A:$J,2,0)</f>
        <v>0</v>
      </c>
      <c r="BM132" s="106">
        <f>+VLOOKUP($BD132,'Sep-25'!$A:$J,2,0)</f>
        <v>60000</v>
      </c>
      <c r="BN132" s="106">
        <f>+VLOOKUP($BD132,'Oct-25'!$A:$J,2,0)</f>
        <v>0</v>
      </c>
      <c r="BO132" s="106">
        <f>+VLOOKUP($BD132,'Nov-25'!$A:$J,2,0)</f>
        <v>0</v>
      </c>
      <c r="BP132" s="106">
        <f>+VLOOKUP($BD132,'Dec-25'!$A:$J,2,0)</f>
        <v>0</v>
      </c>
      <c r="BQ132" s="106">
        <f t="shared" si="1454"/>
        <v>327889.2</v>
      </c>
      <c r="BR132" s="118">
        <f t="shared" si="1190"/>
        <v>-1</v>
      </c>
      <c r="BS132" s="106" cm="1">
        <f t="array" ref="BS132:CD132">+_xlfn.XLOOKUP(BD132,Budget!A:A,Budget!Q:AB)</f>
        <v>144600</v>
      </c>
      <c r="BT132" s="106">
        <v>144600</v>
      </c>
      <c r="BU132" s="106">
        <v>144600</v>
      </c>
      <c r="BV132" s="106">
        <v>144600</v>
      </c>
      <c r="BW132" s="106">
        <v>144600</v>
      </c>
      <c r="BX132" s="106">
        <v>144600</v>
      </c>
      <c r="BY132" s="106">
        <v>144600</v>
      </c>
      <c r="BZ132" s="106">
        <v>144600</v>
      </c>
      <c r="CA132" s="106">
        <v>144600</v>
      </c>
      <c r="CB132" s="106">
        <v>144600</v>
      </c>
      <c r="CC132" s="106">
        <v>144600</v>
      </c>
      <c r="CD132" s="106">
        <v>144600</v>
      </c>
      <c r="CE132" s="106">
        <f t="shared" si="1455"/>
        <v>1735200</v>
      </c>
      <c r="CF132" s="22"/>
      <c r="CG132" s="106">
        <v>63783.333333333336</v>
      </c>
      <c r="CH132" s="106">
        <v>63783.333333333336</v>
      </c>
      <c r="CI132" s="106">
        <v>63783.333333333336</v>
      </c>
      <c r="CJ132" s="106">
        <v>63783.333333333336</v>
      </c>
      <c r="CK132" s="106">
        <v>63783.333333333336</v>
      </c>
      <c r="CL132" s="106">
        <v>63783.333333333336</v>
      </c>
      <c r="CM132" s="106">
        <v>63783.333333333336</v>
      </c>
      <c r="CN132" s="106">
        <v>63783.333333333336</v>
      </c>
      <c r="CO132" s="106">
        <v>63783.333333333336</v>
      </c>
      <c r="CP132" s="106">
        <v>63783.333333333336</v>
      </c>
      <c r="CQ132" s="106">
        <v>63783.333333333336</v>
      </c>
      <c r="CR132" s="106">
        <v>63783.333333333336</v>
      </c>
      <c r="CS132" s="106">
        <f t="shared" si="1456"/>
        <v>765400.00000000012</v>
      </c>
      <c r="CT132" s="16" t="str">
        <f t="shared" si="875"/>
        <v>Training Expenses MBIL</v>
      </c>
      <c r="CU132" s="106">
        <f>+VLOOKUP($BD132,'Jan-25'!$A:$J,6,0)</f>
        <v>0</v>
      </c>
      <c r="CV132" s="106">
        <f>+VLOOKUP($BD132,'Feb-25'!$A:$J,6,0)</f>
        <v>0</v>
      </c>
      <c r="CW132" s="106">
        <f>+VLOOKUP($BD132,'Mar-25'!$A:$J,6,0)</f>
        <v>0</v>
      </c>
      <c r="CX132" s="106">
        <f>+VLOOKUP($BD132,'Apr-25'!$A:$J,6,0)</f>
        <v>0</v>
      </c>
      <c r="CY132" s="106">
        <f>+VLOOKUP($BD132,'May-25'!$A:$J,6,0)</f>
        <v>0</v>
      </c>
      <c r="CZ132" s="106">
        <f>+VLOOKUP($BD132,'June-25'!$A:$J,6,0)</f>
        <v>136000</v>
      </c>
      <c r="DA132" s="106">
        <f>+VLOOKUP($BD132,'July-25'!$A:$J,6,0)</f>
        <v>42592.800000000003</v>
      </c>
      <c r="DB132" s="106">
        <f>+VLOOKUP($BD132,'Aug-25'!$A:$J,6,0)</f>
        <v>0</v>
      </c>
      <c r="DC132" s="106">
        <f>+VLOOKUP($BD132,'Sep-25'!$A:$J,6,0)</f>
        <v>0</v>
      </c>
      <c r="DD132" s="106">
        <f>+VLOOKUP($BD132,'Oct-25'!$A:$J,6,0)</f>
        <v>0</v>
      </c>
      <c r="DE132" s="106">
        <f>+VLOOKUP($BD132,'Nov-25'!$A:$J,6,0)</f>
        <v>0</v>
      </c>
      <c r="DF132" s="106">
        <f>+VLOOKUP($BD132,'Dec-25'!$A:$J,6,0)</f>
        <v>0</v>
      </c>
      <c r="DG132" s="106">
        <f t="shared" si="1457"/>
        <v>178592.8</v>
      </c>
      <c r="DH132" s="118">
        <f t="shared" si="1191"/>
        <v>-1</v>
      </c>
      <c r="DI132" s="106">
        <f>+_xlfn.XLOOKUP($CT132,Budget!$A:$A,Budget!BQ:BQ)</f>
        <v>96400</v>
      </c>
      <c r="DJ132" s="106">
        <f>+_xlfn.XLOOKUP($CT132,Budget!$A:$A,Budget!BR:BR)</f>
        <v>96400</v>
      </c>
      <c r="DK132" s="106">
        <f>+_xlfn.XLOOKUP($CT132,Budget!$A:$A,Budget!BS:BS)</f>
        <v>96400</v>
      </c>
      <c r="DL132" s="106">
        <f>+_xlfn.XLOOKUP($CT132,Budget!$A:$A,Budget!BT:BT)</f>
        <v>96400</v>
      </c>
      <c r="DM132" s="106">
        <f>+_xlfn.XLOOKUP($CT132,Budget!$A:$A,Budget!BU:BU)</f>
        <v>96400</v>
      </c>
      <c r="DN132" s="106">
        <f>+_xlfn.XLOOKUP($CT132,Budget!$A:$A,Budget!BV:BV)</f>
        <v>96400</v>
      </c>
      <c r="DO132" s="106">
        <f>+_xlfn.XLOOKUP($CT132,Budget!$A:$A,Budget!BW:BW)</f>
        <v>96400</v>
      </c>
      <c r="DP132" s="106">
        <f>+_xlfn.XLOOKUP($CT132,Budget!$A:$A,Budget!BX:BX)</f>
        <v>96400</v>
      </c>
      <c r="DQ132" s="106">
        <f>+_xlfn.XLOOKUP($CT132,Budget!$A:$A,Budget!BY:BY)</f>
        <v>96400</v>
      </c>
      <c r="DR132" s="106">
        <f>+_xlfn.XLOOKUP($CT132,Budget!$A:$A,Budget!BZ:BZ)</f>
        <v>96400</v>
      </c>
      <c r="DS132" s="106">
        <f>+_xlfn.XLOOKUP($CT132,Budget!$A:$A,Budget!CA:CA)</f>
        <v>96400</v>
      </c>
      <c r="DT132" s="106">
        <f>+_xlfn.XLOOKUP($CT132,Budget!$A:$A,Budget!CB:CB)</f>
        <v>96400</v>
      </c>
      <c r="DU132" s="106">
        <f t="shared" si="1458"/>
        <v>1156800</v>
      </c>
    </row>
    <row r="133" spans="1:125" ht="14.45" hidden="1" customHeight="1" outlineLevel="1">
      <c r="A133" s="58">
        <f t="shared" ref="A133:M133" si="1459">+SUM(A134:A137)</f>
        <v>0</v>
      </c>
      <c r="B133" s="58">
        <f t="shared" si="1459"/>
        <v>177229.367</v>
      </c>
      <c r="C133" s="58">
        <f t="shared" si="1459"/>
        <v>0</v>
      </c>
      <c r="D133" s="58">
        <f t="shared" si="1459"/>
        <v>130535.524</v>
      </c>
      <c r="E133" s="58">
        <f t="shared" si="1459"/>
        <v>227353.36800000002</v>
      </c>
      <c r="F133" s="58">
        <f t="shared" si="1459"/>
        <v>135262.67000000001</v>
      </c>
      <c r="G133" s="58">
        <f t="shared" si="1459"/>
        <v>91212.209999999992</v>
      </c>
      <c r="H133" s="58">
        <f t="shared" si="1459"/>
        <v>370675.92200000002</v>
      </c>
      <c r="I133" s="58">
        <f t="shared" si="1459"/>
        <v>292029.3</v>
      </c>
      <c r="J133" s="58">
        <f t="shared" si="1459"/>
        <v>226738.24</v>
      </c>
      <c r="K133" s="58">
        <f t="shared" si="1459"/>
        <v>502110.05799999996</v>
      </c>
      <c r="L133" s="58">
        <f t="shared" si="1459"/>
        <v>555792.52300000004</v>
      </c>
      <c r="M133" s="58">
        <f t="shared" si="1459"/>
        <v>2708939.182</v>
      </c>
      <c r="N133" s="20" t="s">
        <v>110</v>
      </c>
      <c r="O133" s="58">
        <f t="shared" ref="O133" si="1460">+SUM(O134:O137)</f>
        <v>97979.35</v>
      </c>
      <c r="P133" s="58">
        <f t="shared" ref="P133" si="1461">+SUM(P134:P137)</f>
        <v>177178.80349999998</v>
      </c>
      <c r="Q133" s="58">
        <f t="shared" ref="Q133" si="1462">+SUM(Q134:Q137)</f>
        <v>465345.57999999996</v>
      </c>
      <c r="R133" s="58">
        <f t="shared" ref="R133" si="1463">+SUM(R134:R137)</f>
        <v>185627.23</v>
      </c>
      <c r="S133" s="58">
        <f t="shared" ref="S133" si="1464">+SUM(S134:S137)</f>
        <v>6536.6100000000006</v>
      </c>
      <c r="T133" s="58">
        <f t="shared" ref="T133" si="1465">+SUM(T134:T137)</f>
        <v>379635.95999999996</v>
      </c>
      <c r="U133" s="58">
        <f t="shared" ref="U133" si="1466">+SUM(U134:U137)</f>
        <v>253578.68350000001</v>
      </c>
      <c r="V133" s="58">
        <f t="shared" ref="V133" si="1467">+SUM(V134:V137)</f>
        <v>215815.53999999998</v>
      </c>
      <c r="W133" s="58">
        <f t="shared" ref="W133" si="1468">+SUM(W134:W137)</f>
        <v>111011.42</v>
      </c>
      <c r="X133" s="58">
        <f t="shared" ref="X133" si="1469">+SUM(X134:X137)</f>
        <v>606171.84</v>
      </c>
      <c r="Y133" s="58">
        <f t="shared" ref="Y133" si="1470">+SUM(Y134:Y137)</f>
        <v>0</v>
      </c>
      <c r="Z133" s="58">
        <f t="shared" ref="Z133" si="1471">+SUM(Z134:Z137)</f>
        <v>0</v>
      </c>
      <c r="AA133" s="58">
        <f t="shared" ref="AA133" si="1472">+SUM(AA134:AA137)</f>
        <v>2498881.017</v>
      </c>
      <c r="AB133" s="118">
        <f t="shared" si="1189"/>
        <v>1.6852068619087963</v>
      </c>
      <c r="AC133" s="58">
        <f t="shared" ref="AC133" si="1473">+SUM(AC134:AC137)</f>
        <v>225744.93183333328</v>
      </c>
      <c r="AD133" s="58">
        <f t="shared" ref="AD133" si="1474">+SUM(AD134:AD137)</f>
        <v>225744.93183333328</v>
      </c>
      <c r="AE133" s="58">
        <f t="shared" ref="AE133" si="1475">+SUM(AE134:AE137)</f>
        <v>225744.93183333328</v>
      </c>
      <c r="AF133" s="58">
        <f t="shared" ref="AF133" si="1476">+SUM(AF134:AF137)</f>
        <v>225744.93183333328</v>
      </c>
      <c r="AG133" s="58">
        <f t="shared" ref="AG133" si="1477">+SUM(AG134:AG137)</f>
        <v>225744.93183333328</v>
      </c>
      <c r="AH133" s="58">
        <f t="shared" ref="AH133" si="1478">+SUM(AH134:AH137)</f>
        <v>225744.93183333328</v>
      </c>
      <c r="AI133" s="58">
        <f t="shared" ref="AI133" si="1479">+SUM(AI134:AI137)</f>
        <v>225744.93183333328</v>
      </c>
      <c r="AJ133" s="58">
        <f t="shared" ref="AJ133" si="1480">+SUM(AJ134:AJ137)</f>
        <v>225744.93183333328</v>
      </c>
      <c r="AK133" s="58">
        <f t="shared" ref="AK133" si="1481">+SUM(AK134:AK137)</f>
        <v>225744.93183333328</v>
      </c>
      <c r="AL133" s="58">
        <f t="shared" ref="AL133" si="1482">+SUM(AL134:AL137)</f>
        <v>225744.93183333328</v>
      </c>
      <c r="AM133" s="58">
        <f t="shared" ref="AM133" si="1483">+SUM(AM134:AM137)</f>
        <v>225744.93183333328</v>
      </c>
      <c r="AN133" s="58">
        <f t="shared" ref="AN133" si="1484">+SUM(AN134:AN137)</f>
        <v>225744.93183333328</v>
      </c>
      <c r="AO133" s="58">
        <f t="shared" ref="AO133" si="1485">+SUM(AO134:AO137)</f>
        <v>2708939.1819999996</v>
      </c>
      <c r="AQ133" s="58">
        <f t="shared" ref="AQ133:BC133" si="1486">+SUM(AQ134:AQ137)</f>
        <v>0</v>
      </c>
      <c r="AR133" s="58">
        <f t="shared" si="1486"/>
        <v>145027.00599999999</v>
      </c>
      <c r="AS133" s="58">
        <f t="shared" si="1486"/>
        <v>0</v>
      </c>
      <c r="AT133" s="58">
        <f t="shared" si="1486"/>
        <v>52934.272000000004</v>
      </c>
      <c r="AU133" s="58">
        <f t="shared" si="1486"/>
        <v>152248.97400000002</v>
      </c>
      <c r="AV133" s="58">
        <f t="shared" si="1486"/>
        <v>111668.57</v>
      </c>
      <c r="AW133" s="58">
        <f t="shared" si="1486"/>
        <v>69875.709999999992</v>
      </c>
      <c r="AX133" s="58">
        <f t="shared" si="1486"/>
        <v>233674.20600000001</v>
      </c>
      <c r="AY133" s="58">
        <f t="shared" si="1486"/>
        <v>270598.3</v>
      </c>
      <c r="AZ133" s="58">
        <f t="shared" si="1486"/>
        <v>219833.24</v>
      </c>
      <c r="BA133" s="58">
        <f t="shared" si="1486"/>
        <v>239640.22399999999</v>
      </c>
      <c r="BB133" s="58">
        <f t="shared" si="1486"/>
        <v>451337.66399999999</v>
      </c>
      <c r="BC133" s="58">
        <f t="shared" si="1486"/>
        <v>1946838.1659999997</v>
      </c>
      <c r="BD133" s="20" t="str">
        <f t="shared" si="871"/>
        <v>Travelling - Operational</v>
      </c>
      <c r="BE133" s="58">
        <f t="shared" ref="BE133:BQ133" si="1487">+SUM(BE134:BE137)</f>
        <v>67236.800000000003</v>
      </c>
      <c r="BF133" s="58">
        <f t="shared" si="1487"/>
        <v>158255.67799999999</v>
      </c>
      <c r="BG133" s="58">
        <f t="shared" si="1487"/>
        <v>410345.1</v>
      </c>
      <c r="BH133" s="58">
        <f t="shared" si="1487"/>
        <v>112241.54000000001</v>
      </c>
      <c r="BI133" s="58">
        <f t="shared" si="1487"/>
        <v>4043.5599999999977</v>
      </c>
      <c r="BJ133" s="58">
        <f t="shared" si="1487"/>
        <v>212382.28999999998</v>
      </c>
      <c r="BK133" s="58">
        <f t="shared" si="1487"/>
        <v>181447.68800000002</v>
      </c>
      <c r="BL133" s="58">
        <f t="shared" si="1487"/>
        <v>189304.81999999998</v>
      </c>
      <c r="BM133" s="58">
        <f t="shared" si="1487"/>
        <v>60046.71</v>
      </c>
      <c r="BN133" s="58">
        <f t="shared" si="1487"/>
        <v>392247.29399999999</v>
      </c>
      <c r="BO133" s="58">
        <f t="shared" si="1487"/>
        <v>0</v>
      </c>
      <c r="BP133" s="58">
        <f t="shared" si="1487"/>
        <v>0</v>
      </c>
      <c r="BQ133" s="58">
        <f t="shared" si="1487"/>
        <v>1787551.48</v>
      </c>
      <c r="BR133" s="118">
        <f t="shared" si="1190"/>
        <v>1.4177497699621329</v>
      </c>
      <c r="BS133" s="58">
        <f t="shared" ref="BS133:CE133" si="1488">+SUM(BS134:BS137)</f>
        <v>162236.5138333333</v>
      </c>
      <c r="BT133" s="58">
        <f t="shared" si="1488"/>
        <v>162236.5138333333</v>
      </c>
      <c r="BU133" s="58">
        <f t="shared" si="1488"/>
        <v>162236.5138333333</v>
      </c>
      <c r="BV133" s="58">
        <f t="shared" si="1488"/>
        <v>162236.5138333333</v>
      </c>
      <c r="BW133" s="58">
        <f t="shared" si="1488"/>
        <v>162236.5138333333</v>
      </c>
      <c r="BX133" s="58">
        <f t="shared" si="1488"/>
        <v>162236.5138333333</v>
      </c>
      <c r="BY133" s="58">
        <f t="shared" si="1488"/>
        <v>162236.5138333333</v>
      </c>
      <c r="BZ133" s="58">
        <f t="shared" si="1488"/>
        <v>162236.5138333333</v>
      </c>
      <c r="CA133" s="58">
        <f t="shared" si="1488"/>
        <v>162236.5138333333</v>
      </c>
      <c r="CB133" s="58">
        <f t="shared" si="1488"/>
        <v>162236.5138333333</v>
      </c>
      <c r="CC133" s="58">
        <f t="shared" si="1488"/>
        <v>162236.5138333333</v>
      </c>
      <c r="CD133" s="58">
        <f t="shared" si="1488"/>
        <v>162236.5138333333</v>
      </c>
      <c r="CE133" s="58">
        <f t="shared" si="1488"/>
        <v>1946838.1659999995</v>
      </c>
      <c r="CF133" s="22"/>
      <c r="CG133" s="58">
        <f t="shared" ref="CG133:CS133" si="1489">+SUM(CG134:CG137)</f>
        <v>0</v>
      </c>
      <c r="CH133" s="58">
        <f t="shared" si="1489"/>
        <v>32202.360999999994</v>
      </c>
      <c r="CI133" s="58">
        <f t="shared" si="1489"/>
        <v>0</v>
      </c>
      <c r="CJ133" s="58">
        <f t="shared" si="1489"/>
        <v>77601.251999999993</v>
      </c>
      <c r="CK133" s="58">
        <f t="shared" si="1489"/>
        <v>75104.394</v>
      </c>
      <c r="CL133" s="58">
        <f t="shared" si="1489"/>
        <v>23594.1</v>
      </c>
      <c r="CM133" s="58">
        <f t="shared" si="1489"/>
        <v>21336.5</v>
      </c>
      <c r="CN133" s="58">
        <f t="shared" si="1489"/>
        <v>137001.71599999999</v>
      </c>
      <c r="CO133" s="58">
        <f t="shared" si="1489"/>
        <v>21431</v>
      </c>
      <c r="CP133" s="58">
        <f t="shared" si="1489"/>
        <v>6905</v>
      </c>
      <c r="CQ133" s="58">
        <f t="shared" si="1489"/>
        <v>262469.83399999997</v>
      </c>
      <c r="CR133" s="58">
        <f t="shared" si="1489"/>
        <v>104454.859</v>
      </c>
      <c r="CS133" s="58">
        <f t="shared" si="1489"/>
        <v>762101.01599999983</v>
      </c>
      <c r="CT133" s="20" t="str">
        <f t="shared" si="875"/>
        <v>Travelling - Operational</v>
      </c>
      <c r="CU133" s="58">
        <f t="shared" ref="CU133:DG133" si="1490">+SUM(CU134:CU137)</f>
        <v>30742.55</v>
      </c>
      <c r="CV133" s="58">
        <f t="shared" si="1490"/>
        <v>18923.125500000002</v>
      </c>
      <c r="CW133" s="58">
        <f t="shared" si="1490"/>
        <v>55000.480000000003</v>
      </c>
      <c r="CX133" s="58">
        <f t="shared" si="1490"/>
        <v>73385.69</v>
      </c>
      <c r="CY133" s="58">
        <f t="shared" si="1490"/>
        <v>2493.0500000000011</v>
      </c>
      <c r="CZ133" s="58">
        <f t="shared" si="1490"/>
        <v>167253.66999999998</v>
      </c>
      <c r="DA133" s="58">
        <f t="shared" si="1490"/>
        <v>72130.99549999999</v>
      </c>
      <c r="DB133" s="58">
        <f t="shared" si="1490"/>
        <v>26510.720000000001</v>
      </c>
      <c r="DC133" s="58">
        <f t="shared" si="1490"/>
        <v>50964.71</v>
      </c>
      <c r="DD133" s="58">
        <f t="shared" si="1490"/>
        <v>213924.54600000003</v>
      </c>
      <c r="DE133" s="58">
        <f t="shared" si="1490"/>
        <v>0</v>
      </c>
      <c r="DF133" s="58">
        <f t="shared" si="1490"/>
        <v>0</v>
      </c>
      <c r="DG133" s="58">
        <f t="shared" si="1490"/>
        <v>711329.53700000001</v>
      </c>
      <c r="DH133" s="118">
        <f t="shared" si="1191"/>
        <v>2.368443943919373</v>
      </c>
      <c r="DI133" s="58">
        <f t="shared" ref="DI133:DU133" si="1491">+SUM(DI134:DI137)</f>
        <v>63508.417999999983</v>
      </c>
      <c r="DJ133" s="58">
        <f t="shared" si="1491"/>
        <v>63508.417999999983</v>
      </c>
      <c r="DK133" s="58">
        <f t="shared" si="1491"/>
        <v>63508.417999999983</v>
      </c>
      <c r="DL133" s="58">
        <f t="shared" si="1491"/>
        <v>63508.417999999983</v>
      </c>
      <c r="DM133" s="58">
        <f t="shared" si="1491"/>
        <v>63508.417999999983</v>
      </c>
      <c r="DN133" s="58">
        <f t="shared" si="1491"/>
        <v>63508.417999999983</v>
      </c>
      <c r="DO133" s="58">
        <f t="shared" si="1491"/>
        <v>63508.417999999983</v>
      </c>
      <c r="DP133" s="58">
        <f t="shared" si="1491"/>
        <v>63508.417999999983</v>
      </c>
      <c r="DQ133" s="58">
        <f t="shared" si="1491"/>
        <v>63508.417999999983</v>
      </c>
      <c r="DR133" s="58">
        <f t="shared" si="1491"/>
        <v>63508.417999999983</v>
      </c>
      <c r="DS133" s="58">
        <f t="shared" si="1491"/>
        <v>63508.417999999983</v>
      </c>
      <c r="DT133" s="58">
        <f t="shared" si="1491"/>
        <v>63508.417999999983</v>
      </c>
      <c r="DU133" s="58">
        <f t="shared" si="1491"/>
        <v>762101.01599999971</v>
      </c>
    </row>
    <row r="134" spans="1:125" ht="14.45" hidden="1" customHeight="1" outlineLevel="2">
      <c r="A134" s="106">
        <f t="shared" ref="A134:A137" si="1492">+AQ134+CG134</f>
        <v>0</v>
      </c>
      <c r="B134" s="106">
        <f t="shared" ref="B134:B137" si="1493">+AR134+CH134</f>
        <v>0</v>
      </c>
      <c r="C134" s="106">
        <f t="shared" ref="C134:C137" si="1494">+AS134+CI134</f>
        <v>0</v>
      </c>
      <c r="D134" s="106">
        <f t="shared" ref="D134:D137" si="1495">+AT134+CJ134</f>
        <v>0</v>
      </c>
      <c r="E134" s="106">
        <f t="shared" ref="E134:E137" si="1496">+AU134+CK134</f>
        <v>0</v>
      </c>
      <c r="F134" s="106">
        <f t="shared" ref="F134:F137" si="1497">+AV134+CL134</f>
        <v>0</v>
      </c>
      <c r="G134" s="106">
        <f t="shared" ref="G134:G137" si="1498">+AW134+CM134</f>
        <v>0</v>
      </c>
      <c r="H134" s="106">
        <f t="shared" ref="H134:H137" si="1499">+AX134+CN134</f>
        <v>0</v>
      </c>
      <c r="I134" s="106">
        <f t="shared" ref="I134:I137" si="1500">+AY134+CO134</f>
        <v>0</v>
      </c>
      <c r="J134" s="106">
        <f t="shared" ref="J134:J137" si="1501">+AZ134+CP134</f>
        <v>0</v>
      </c>
      <c r="K134" s="106">
        <f t="shared" ref="K134:K137" si="1502">+BA134+CQ134</f>
        <v>0</v>
      </c>
      <c r="L134" s="106">
        <f t="shared" ref="L134:L137" si="1503">+BB134+CR134</f>
        <v>0</v>
      </c>
      <c r="M134" s="106">
        <f t="shared" ref="M134:M137" si="1504">+SUM(A134:L134)</f>
        <v>0</v>
      </c>
      <c r="N134" s="16" t="s">
        <v>111</v>
      </c>
      <c r="O134" s="106">
        <f t="shared" ref="O134:O137" si="1505">+BE134+CU134</f>
        <v>0</v>
      </c>
      <c r="P134" s="106">
        <f t="shared" ref="P134:P137" si="1506">+BF134+CV134</f>
        <v>0</v>
      </c>
      <c r="Q134" s="106">
        <f t="shared" ref="Q134:Q137" si="1507">+BG134+CW134</f>
        <v>0</v>
      </c>
      <c r="R134" s="106">
        <f t="shared" ref="R134:R137" si="1508">+BH134+CX134</f>
        <v>0</v>
      </c>
      <c r="S134" s="106">
        <f t="shared" ref="S134:S137" si="1509">+BI134+CY134</f>
        <v>0</v>
      </c>
      <c r="T134" s="106">
        <f t="shared" ref="T134:T137" si="1510">+BJ134+CZ134</f>
        <v>0</v>
      </c>
      <c r="U134" s="106">
        <f t="shared" ref="U134:U137" si="1511">+BK134+DA134</f>
        <v>0</v>
      </c>
      <c r="V134" s="106">
        <f t="shared" ref="V134:V137" si="1512">+BL134+DB134</f>
        <v>0</v>
      </c>
      <c r="W134" s="106">
        <f t="shared" ref="W134:W137" si="1513">+BM134+DC134</f>
        <v>0</v>
      </c>
      <c r="X134" s="106">
        <f t="shared" ref="X134:X137" si="1514">+BN134+DD134</f>
        <v>0</v>
      </c>
      <c r="Y134" s="106">
        <f t="shared" ref="Y134:Y137" si="1515">+BO134+DE134</f>
        <v>0</v>
      </c>
      <c r="Z134" s="106">
        <f t="shared" ref="Z134:Z137" si="1516">+BP134+DF134</f>
        <v>0</v>
      </c>
      <c r="AA134" s="106">
        <f t="shared" ref="AA134:AA137" si="1517">+SUM(O134:Z134)</f>
        <v>0</v>
      </c>
      <c r="AB134" s="118">
        <f t="shared" si="1189"/>
        <v>0</v>
      </c>
      <c r="AC134" s="106">
        <f t="shared" ref="AC134:AC137" si="1518">+BS134+DI134</f>
        <v>0</v>
      </c>
      <c r="AD134" s="106">
        <f t="shared" ref="AD134:AD137" si="1519">+BT134+DJ134</f>
        <v>0</v>
      </c>
      <c r="AE134" s="106">
        <f t="shared" ref="AE134:AE137" si="1520">+BU134+DK134</f>
        <v>0</v>
      </c>
      <c r="AF134" s="106">
        <f t="shared" ref="AF134:AF137" si="1521">+BV134+DL134</f>
        <v>0</v>
      </c>
      <c r="AG134" s="106">
        <f t="shared" ref="AG134:AG137" si="1522">+BW134+DM134</f>
        <v>0</v>
      </c>
      <c r="AH134" s="106">
        <f t="shared" ref="AH134:AH137" si="1523">+BX134+DN134</f>
        <v>0</v>
      </c>
      <c r="AI134" s="106">
        <f t="shared" ref="AI134:AI137" si="1524">+BY134+DO134</f>
        <v>0</v>
      </c>
      <c r="AJ134" s="106">
        <f t="shared" ref="AJ134:AJ137" si="1525">+BZ134+DP134</f>
        <v>0</v>
      </c>
      <c r="AK134" s="106">
        <f t="shared" ref="AK134:AK137" si="1526">+CA134+DQ134</f>
        <v>0</v>
      </c>
      <c r="AL134" s="106">
        <f t="shared" ref="AL134:AL137" si="1527">+CB134+DR134</f>
        <v>0</v>
      </c>
      <c r="AM134" s="106">
        <f t="shared" ref="AM134:AM137" si="1528">+CC134+DS134</f>
        <v>0</v>
      </c>
      <c r="AN134" s="106">
        <f t="shared" ref="AN134:AN137" si="1529">+CD134+DT134</f>
        <v>0</v>
      </c>
      <c r="AO134" s="106">
        <f t="shared" ref="AO134:AO137" si="1530">+SUM(AC134:AN134)</f>
        <v>0</v>
      </c>
      <c r="AQ134" s="106">
        <v>0</v>
      </c>
      <c r="AR134" s="106">
        <v>0</v>
      </c>
      <c r="AS134" s="106">
        <v>0</v>
      </c>
      <c r="AT134" s="106">
        <v>0</v>
      </c>
      <c r="AU134" s="106">
        <v>0</v>
      </c>
      <c r="AV134" s="106">
        <v>0</v>
      </c>
      <c r="AW134" s="106">
        <v>0</v>
      </c>
      <c r="AX134" s="106">
        <v>0</v>
      </c>
      <c r="AY134" s="106">
        <v>0</v>
      </c>
      <c r="AZ134" s="106">
        <v>0</v>
      </c>
      <c r="BA134" s="106">
        <v>0</v>
      </c>
      <c r="BB134" s="106">
        <v>0</v>
      </c>
      <c r="BC134" s="106">
        <f t="shared" ref="BC134:BC137" si="1531">+SUM(AQ134:BB134)</f>
        <v>0</v>
      </c>
      <c r="BD134" s="16" t="str">
        <f t="shared" ref="BD134:BD197" si="1532">N134</f>
        <v>Travel Costs - Other</v>
      </c>
      <c r="BE134" s="106">
        <f>+VLOOKUP($BD134,'Jan-25'!$A:$J,2,0)</f>
        <v>0</v>
      </c>
      <c r="BF134" s="106">
        <f>+VLOOKUP($BD134,'Feb-25'!$A:$J,2,0)</f>
        <v>0</v>
      </c>
      <c r="BG134" s="106">
        <f>+VLOOKUP($BD134,'Mar-25'!$A:$J,2,0)</f>
        <v>0</v>
      </c>
      <c r="BH134" s="106">
        <f>+VLOOKUP($BD134,'Apr-25'!$A:$J,2,0)</f>
        <v>0</v>
      </c>
      <c r="BI134" s="106">
        <f>+VLOOKUP($BD134,'May-25'!$A:$J,2,0)</f>
        <v>0</v>
      </c>
      <c r="BJ134" s="106">
        <f>+VLOOKUP($BD134,'June-25'!$A:$J,2,0)</f>
        <v>0</v>
      </c>
      <c r="BK134" s="106">
        <f>+VLOOKUP($BD134,'July-25'!$A:$J,2,0)</f>
        <v>0</v>
      </c>
      <c r="BL134" s="106">
        <f>+VLOOKUP($BD134,'Aug-25'!$A:$J,2,0)</f>
        <v>0</v>
      </c>
      <c r="BM134" s="106">
        <f>+VLOOKUP($BD134,'Sep-25'!$A:$J,2,0)</f>
        <v>0</v>
      </c>
      <c r="BN134" s="106">
        <f>+VLOOKUP($BD134,'Oct-25'!$A:$J,2,0)</f>
        <v>0</v>
      </c>
      <c r="BO134" s="106">
        <f>+VLOOKUP($BD134,'Nov-25'!$A:$J,2,0)</f>
        <v>0</v>
      </c>
      <c r="BP134" s="106">
        <f>+VLOOKUP($BD134,'Dec-25'!$A:$J,2,0)</f>
        <v>0</v>
      </c>
      <c r="BQ134" s="106">
        <f t="shared" ref="BQ134:BQ137" si="1533">+SUM(BE134:BP134)</f>
        <v>0</v>
      </c>
      <c r="BR134" s="118">
        <f t="shared" si="1190"/>
        <v>0</v>
      </c>
      <c r="BS134" s="106" cm="1">
        <f t="array" ref="BS134:CD134">+_xlfn.XLOOKUP(BD134,Budget!A:A,Budget!Q:AB)</f>
        <v>0</v>
      </c>
      <c r="BT134" s="106">
        <v>0</v>
      </c>
      <c r="BU134" s="106">
        <v>0</v>
      </c>
      <c r="BV134" s="106">
        <v>0</v>
      </c>
      <c r="BW134" s="106">
        <v>0</v>
      </c>
      <c r="BX134" s="106">
        <v>0</v>
      </c>
      <c r="BY134" s="106">
        <v>0</v>
      </c>
      <c r="BZ134" s="106">
        <v>0</v>
      </c>
      <c r="CA134" s="106">
        <v>0</v>
      </c>
      <c r="CB134" s="106">
        <v>0</v>
      </c>
      <c r="CC134" s="106">
        <v>0</v>
      </c>
      <c r="CD134" s="106">
        <v>0</v>
      </c>
      <c r="CE134" s="106">
        <f t="shared" ref="CE134:CE137" si="1534">+SUM(BS134:CD134)</f>
        <v>0</v>
      </c>
      <c r="CF134" s="22"/>
      <c r="CG134" s="106">
        <v>0</v>
      </c>
      <c r="CH134" s="106">
        <v>0</v>
      </c>
      <c r="CI134" s="106">
        <v>0</v>
      </c>
      <c r="CJ134" s="106">
        <v>0</v>
      </c>
      <c r="CK134" s="106">
        <v>0</v>
      </c>
      <c r="CL134" s="106">
        <v>0</v>
      </c>
      <c r="CM134" s="106">
        <v>0</v>
      </c>
      <c r="CN134" s="106">
        <v>0</v>
      </c>
      <c r="CO134" s="106">
        <v>0</v>
      </c>
      <c r="CP134" s="106">
        <v>0</v>
      </c>
      <c r="CQ134" s="106">
        <v>0</v>
      </c>
      <c r="CR134" s="106">
        <v>0</v>
      </c>
      <c r="CS134" s="106">
        <f t="shared" ref="CS134:CS137" si="1535">+SUM(CG134:CR134)</f>
        <v>0</v>
      </c>
      <c r="CT134" s="16" t="str">
        <f t="shared" ref="CT134:CT197" si="1536">BD134</f>
        <v>Travel Costs - Other</v>
      </c>
      <c r="CU134" s="106">
        <f>+VLOOKUP($BD134,'Jan-25'!$A:$J,6,0)</f>
        <v>0</v>
      </c>
      <c r="CV134" s="106">
        <f>+VLOOKUP($BD134,'Feb-25'!$A:$J,6,0)</f>
        <v>0</v>
      </c>
      <c r="CW134" s="106">
        <f>+VLOOKUP($BD134,'Mar-25'!$A:$J,6,0)</f>
        <v>0</v>
      </c>
      <c r="CX134" s="106">
        <f>+VLOOKUP($BD134,'Apr-25'!$A:$J,6,0)</f>
        <v>0</v>
      </c>
      <c r="CY134" s="106">
        <f>+VLOOKUP($BD134,'May-25'!$A:$J,6,0)</f>
        <v>0</v>
      </c>
      <c r="CZ134" s="106">
        <f>+VLOOKUP($BD134,'June-25'!$A:$J,6,0)</f>
        <v>0</v>
      </c>
      <c r="DA134" s="106">
        <f>+VLOOKUP($BD134,'July-25'!$A:$J,6,0)</f>
        <v>0</v>
      </c>
      <c r="DB134" s="106">
        <f>+VLOOKUP($BD134,'Aug-25'!$A:$J,6,0)</f>
        <v>0</v>
      </c>
      <c r="DC134" s="106">
        <f>+VLOOKUP($BD134,'Sep-25'!$A:$J,6,0)</f>
        <v>0</v>
      </c>
      <c r="DD134" s="106">
        <f>+VLOOKUP($BD134,'Oct-25'!$A:$J,6,0)</f>
        <v>0</v>
      </c>
      <c r="DE134" s="106">
        <f>+VLOOKUP($BD134,'Nov-25'!$A:$J,6,0)</f>
        <v>0</v>
      </c>
      <c r="DF134" s="106">
        <f>+VLOOKUP($BD134,'Dec-25'!$A:$J,6,0)</f>
        <v>0</v>
      </c>
      <c r="DG134" s="106">
        <f t="shared" ref="DG134:DG137" si="1537">+SUM(CU134:DF134)</f>
        <v>0</v>
      </c>
      <c r="DH134" s="118">
        <f t="shared" si="1191"/>
        <v>0</v>
      </c>
      <c r="DI134" s="106">
        <f>+_xlfn.XLOOKUP($CT134,Budget!$A:$A,Budget!BQ:BQ)</f>
        <v>0</v>
      </c>
      <c r="DJ134" s="106">
        <f>+_xlfn.XLOOKUP($CT134,Budget!$A:$A,Budget!BR:BR)</f>
        <v>0</v>
      </c>
      <c r="DK134" s="106">
        <f>+_xlfn.XLOOKUP($CT134,Budget!$A:$A,Budget!BS:BS)</f>
        <v>0</v>
      </c>
      <c r="DL134" s="106">
        <f>+_xlfn.XLOOKUP($CT134,Budget!$A:$A,Budget!BT:BT)</f>
        <v>0</v>
      </c>
      <c r="DM134" s="106">
        <f>+_xlfn.XLOOKUP($CT134,Budget!$A:$A,Budget!BU:BU)</f>
        <v>0</v>
      </c>
      <c r="DN134" s="106">
        <f>+_xlfn.XLOOKUP($CT134,Budget!$A:$A,Budget!BV:BV)</f>
        <v>0</v>
      </c>
      <c r="DO134" s="106">
        <f>+_xlfn.XLOOKUP($CT134,Budget!$A:$A,Budget!BW:BW)</f>
        <v>0</v>
      </c>
      <c r="DP134" s="106">
        <f>+_xlfn.XLOOKUP($CT134,Budget!$A:$A,Budget!BX:BX)</f>
        <v>0</v>
      </c>
      <c r="DQ134" s="106">
        <f>+_xlfn.XLOOKUP($CT134,Budget!$A:$A,Budget!BY:BY)</f>
        <v>0</v>
      </c>
      <c r="DR134" s="106">
        <f>+_xlfn.XLOOKUP($CT134,Budget!$A:$A,Budget!BZ:BZ)</f>
        <v>0</v>
      </c>
      <c r="DS134" s="106">
        <f>+_xlfn.XLOOKUP($CT134,Budget!$A:$A,Budget!CA:CA)</f>
        <v>0</v>
      </c>
      <c r="DT134" s="106">
        <f>+_xlfn.XLOOKUP($CT134,Budget!$A:$A,Budget!CB:CB)</f>
        <v>0</v>
      </c>
      <c r="DU134" s="106">
        <f t="shared" ref="DU134:DU137" si="1538">+SUM(DI134:DT134)</f>
        <v>0</v>
      </c>
    </row>
    <row r="135" spans="1:125" ht="14.45" hidden="1" customHeight="1" outlineLevel="2">
      <c r="A135" s="106">
        <f t="shared" si="1492"/>
        <v>0</v>
      </c>
      <c r="B135" s="106">
        <f t="shared" si="1493"/>
        <v>177229.367</v>
      </c>
      <c r="C135" s="106">
        <f t="shared" si="1494"/>
        <v>0</v>
      </c>
      <c r="D135" s="106">
        <f t="shared" si="1495"/>
        <v>130535.524</v>
      </c>
      <c r="E135" s="106">
        <f t="shared" si="1496"/>
        <v>227353.36800000002</v>
      </c>
      <c r="F135" s="106">
        <f t="shared" si="1497"/>
        <v>135262.67000000001</v>
      </c>
      <c r="G135" s="106">
        <f t="shared" si="1498"/>
        <v>91212.209999999992</v>
      </c>
      <c r="H135" s="106">
        <f t="shared" si="1499"/>
        <v>370675.92200000002</v>
      </c>
      <c r="I135" s="106">
        <f t="shared" si="1500"/>
        <v>292029.3</v>
      </c>
      <c r="J135" s="106">
        <f t="shared" si="1501"/>
        <v>226738.24</v>
      </c>
      <c r="K135" s="106">
        <f t="shared" si="1502"/>
        <v>502110.05799999996</v>
      </c>
      <c r="L135" s="106">
        <f t="shared" si="1503"/>
        <v>555792.52300000004</v>
      </c>
      <c r="M135" s="106">
        <f t="shared" si="1504"/>
        <v>2708939.182</v>
      </c>
      <c r="N135" s="16" t="s">
        <v>112</v>
      </c>
      <c r="O135" s="106">
        <f t="shared" si="1505"/>
        <v>97979.35</v>
      </c>
      <c r="P135" s="106">
        <f t="shared" si="1506"/>
        <v>177178.80349999998</v>
      </c>
      <c r="Q135" s="106">
        <f t="shared" si="1507"/>
        <v>465345.57999999996</v>
      </c>
      <c r="R135" s="106">
        <f t="shared" si="1508"/>
        <v>185627.23</v>
      </c>
      <c r="S135" s="106">
        <f t="shared" si="1509"/>
        <v>63023.26</v>
      </c>
      <c r="T135" s="106">
        <f t="shared" si="1510"/>
        <v>379635.95999999996</v>
      </c>
      <c r="U135" s="106">
        <f t="shared" si="1511"/>
        <v>2046.2099999999964</v>
      </c>
      <c r="V135" s="106">
        <f t="shared" si="1512"/>
        <v>215815.53999999998</v>
      </c>
      <c r="W135" s="106">
        <f t="shared" si="1513"/>
        <v>111011.42</v>
      </c>
      <c r="X135" s="106">
        <f t="shared" si="1514"/>
        <v>185157.96</v>
      </c>
      <c r="Y135" s="106">
        <f t="shared" si="1515"/>
        <v>0</v>
      </c>
      <c r="Z135" s="106">
        <f t="shared" si="1516"/>
        <v>0</v>
      </c>
      <c r="AA135" s="106">
        <f t="shared" si="1517"/>
        <v>1882821.3134999997</v>
      </c>
      <c r="AB135" s="118">
        <f t="shared" si="1189"/>
        <v>-0.17979128702343808</v>
      </c>
      <c r="AC135" s="106">
        <f t="shared" si="1518"/>
        <v>225744.93183333328</v>
      </c>
      <c r="AD135" s="106">
        <f t="shared" si="1519"/>
        <v>225744.93183333328</v>
      </c>
      <c r="AE135" s="106">
        <f t="shared" si="1520"/>
        <v>225744.93183333328</v>
      </c>
      <c r="AF135" s="106">
        <f t="shared" si="1521"/>
        <v>225744.93183333328</v>
      </c>
      <c r="AG135" s="106">
        <f t="shared" si="1522"/>
        <v>225744.93183333328</v>
      </c>
      <c r="AH135" s="106">
        <f t="shared" si="1523"/>
        <v>225744.93183333328</v>
      </c>
      <c r="AI135" s="106">
        <f t="shared" si="1524"/>
        <v>225744.93183333328</v>
      </c>
      <c r="AJ135" s="106">
        <f t="shared" si="1525"/>
        <v>225744.93183333328</v>
      </c>
      <c r="AK135" s="106">
        <f t="shared" si="1526"/>
        <v>225744.93183333328</v>
      </c>
      <c r="AL135" s="106">
        <f t="shared" si="1527"/>
        <v>225744.93183333328</v>
      </c>
      <c r="AM135" s="106">
        <f t="shared" si="1528"/>
        <v>225744.93183333328</v>
      </c>
      <c r="AN135" s="106">
        <f t="shared" si="1529"/>
        <v>225744.93183333328</v>
      </c>
      <c r="AO135" s="106">
        <f t="shared" si="1530"/>
        <v>2708939.1819999996</v>
      </c>
      <c r="AQ135" s="106">
        <v>0</v>
      </c>
      <c r="AR135" s="106">
        <v>145027.00599999999</v>
      </c>
      <c r="AS135" s="106">
        <v>0</v>
      </c>
      <c r="AT135" s="106">
        <v>52934.272000000004</v>
      </c>
      <c r="AU135" s="106">
        <v>152248.97400000002</v>
      </c>
      <c r="AV135" s="106">
        <v>111668.57</v>
      </c>
      <c r="AW135" s="106">
        <v>69875.709999999992</v>
      </c>
      <c r="AX135" s="106">
        <v>233674.20600000001</v>
      </c>
      <c r="AY135" s="106">
        <v>270598.3</v>
      </c>
      <c r="AZ135" s="106">
        <v>219833.24</v>
      </c>
      <c r="BA135" s="106">
        <v>239640.22399999999</v>
      </c>
      <c r="BB135" s="106">
        <v>451337.66399999999</v>
      </c>
      <c r="BC135" s="106">
        <f t="shared" si="1531"/>
        <v>1946838.1659999997</v>
      </c>
      <c r="BD135" s="16" t="str">
        <f t="shared" si="1532"/>
        <v>Travelling Domestic</v>
      </c>
      <c r="BE135" s="106">
        <f>+VLOOKUP($BD135,'Jan-25'!$A:$J,2,0)</f>
        <v>67236.800000000003</v>
      </c>
      <c r="BF135" s="106">
        <f>+VLOOKUP($BD135,'Feb-25'!$A:$J,2,0)</f>
        <v>158255.67799999999</v>
      </c>
      <c r="BG135" s="106">
        <f>+VLOOKUP($BD135,'Mar-25'!$A:$J,2,0)</f>
        <v>410345.1</v>
      </c>
      <c r="BH135" s="106">
        <f>+VLOOKUP($BD135,'Apr-25'!$A:$J,2,0)</f>
        <v>112241.54000000001</v>
      </c>
      <c r="BI135" s="106">
        <f>+VLOOKUP($BD135,'May-25'!$A:$J,2,0)</f>
        <v>45124.76</v>
      </c>
      <c r="BJ135" s="106">
        <f>+VLOOKUP($BD135,'June-25'!$A:$J,2,0)</f>
        <v>212382.28999999998</v>
      </c>
      <c r="BK135" s="106">
        <f>+VLOOKUP($BD135,'July-25'!$A:$J,2,0)</f>
        <v>-1485.0199999999932</v>
      </c>
      <c r="BL135" s="106">
        <f>+VLOOKUP($BD135,'Aug-25'!$A:$J,2,0)</f>
        <v>189304.81999999998</v>
      </c>
      <c r="BM135" s="106">
        <f>+VLOOKUP($BD135,'Sep-25'!$A:$J,2,0)</f>
        <v>60046.71</v>
      </c>
      <c r="BN135" s="106">
        <f>+VLOOKUP($BD135,'Oct-25'!$A:$J,2,0)</f>
        <v>139638.96599999999</v>
      </c>
      <c r="BO135" s="106">
        <f>+VLOOKUP($BD135,'Nov-25'!$A:$J,2,0)</f>
        <v>0</v>
      </c>
      <c r="BP135" s="106">
        <f>+VLOOKUP($BD135,'Dec-25'!$A:$J,2,0)</f>
        <v>0</v>
      </c>
      <c r="BQ135" s="106">
        <f t="shared" si="1533"/>
        <v>1393091.6440000001</v>
      </c>
      <c r="BR135" s="118">
        <f t="shared" si="1190"/>
        <v>-0.13928768129564184</v>
      </c>
      <c r="BS135" s="106" cm="1">
        <f t="array" ref="BS135:CD135">+_xlfn.XLOOKUP(BD135,Budget!A:A,Budget!Q:AB)</f>
        <v>162236.5138333333</v>
      </c>
      <c r="BT135" s="106">
        <v>162236.5138333333</v>
      </c>
      <c r="BU135" s="106">
        <v>162236.5138333333</v>
      </c>
      <c r="BV135" s="106">
        <v>162236.5138333333</v>
      </c>
      <c r="BW135" s="106">
        <v>162236.5138333333</v>
      </c>
      <c r="BX135" s="106">
        <v>162236.5138333333</v>
      </c>
      <c r="BY135" s="106">
        <v>162236.5138333333</v>
      </c>
      <c r="BZ135" s="106">
        <v>162236.5138333333</v>
      </c>
      <c r="CA135" s="106">
        <v>162236.5138333333</v>
      </c>
      <c r="CB135" s="106">
        <v>162236.5138333333</v>
      </c>
      <c r="CC135" s="106">
        <v>162236.5138333333</v>
      </c>
      <c r="CD135" s="106">
        <v>162236.5138333333</v>
      </c>
      <c r="CE135" s="106">
        <f t="shared" si="1534"/>
        <v>1946838.1659999995</v>
      </c>
      <c r="CF135" s="22"/>
      <c r="CG135" s="106">
        <v>0</v>
      </c>
      <c r="CH135" s="106">
        <v>32202.360999999994</v>
      </c>
      <c r="CI135" s="106">
        <v>0</v>
      </c>
      <c r="CJ135" s="106">
        <v>77601.251999999993</v>
      </c>
      <c r="CK135" s="106">
        <v>75104.394</v>
      </c>
      <c r="CL135" s="106">
        <v>23594.1</v>
      </c>
      <c r="CM135" s="106">
        <v>21336.5</v>
      </c>
      <c r="CN135" s="106">
        <v>137001.71599999999</v>
      </c>
      <c r="CO135" s="106">
        <v>21431</v>
      </c>
      <c r="CP135" s="106">
        <v>6905</v>
      </c>
      <c r="CQ135" s="106">
        <v>262469.83399999997</v>
      </c>
      <c r="CR135" s="106">
        <v>104454.859</v>
      </c>
      <c r="CS135" s="106">
        <f t="shared" si="1535"/>
        <v>762101.01599999983</v>
      </c>
      <c r="CT135" s="16" t="str">
        <f t="shared" si="1536"/>
        <v>Travelling Domestic</v>
      </c>
      <c r="CU135" s="106">
        <f>+VLOOKUP($BD135,'Jan-25'!$A:$J,6,0)</f>
        <v>30742.55</v>
      </c>
      <c r="CV135" s="106">
        <f>+VLOOKUP($BD135,'Feb-25'!$A:$J,6,0)</f>
        <v>18923.125500000002</v>
      </c>
      <c r="CW135" s="106">
        <f>+VLOOKUP($BD135,'Mar-25'!$A:$J,6,0)</f>
        <v>55000.480000000003</v>
      </c>
      <c r="CX135" s="106">
        <f>+VLOOKUP($BD135,'Apr-25'!$A:$J,6,0)</f>
        <v>73385.69</v>
      </c>
      <c r="CY135" s="106">
        <f>+VLOOKUP($BD135,'May-25'!$A:$J,6,0)</f>
        <v>17898.5</v>
      </c>
      <c r="CZ135" s="106">
        <f>+VLOOKUP($BD135,'June-25'!$A:$J,6,0)</f>
        <v>167253.66999999998</v>
      </c>
      <c r="DA135" s="106">
        <f>+VLOOKUP($BD135,'July-25'!$A:$J,6,0)</f>
        <v>3531.2299999999896</v>
      </c>
      <c r="DB135" s="106">
        <f>+VLOOKUP($BD135,'Aug-25'!$A:$J,6,0)</f>
        <v>26510.720000000001</v>
      </c>
      <c r="DC135" s="106">
        <f>+VLOOKUP($BD135,'Sep-25'!$A:$J,6,0)</f>
        <v>50964.71</v>
      </c>
      <c r="DD135" s="106">
        <f>+VLOOKUP($BD135,'Oct-25'!$A:$J,6,0)</f>
        <v>45518.994000000006</v>
      </c>
      <c r="DE135" s="106">
        <f>+VLOOKUP($BD135,'Nov-25'!$A:$J,6,0)</f>
        <v>0</v>
      </c>
      <c r="DF135" s="106">
        <f>+VLOOKUP($BD135,'Dec-25'!$A:$J,6,0)</f>
        <v>0</v>
      </c>
      <c r="DG135" s="106">
        <f t="shared" si="1537"/>
        <v>489729.66949999996</v>
      </c>
      <c r="DH135" s="118">
        <f t="shared" si="1191"/>
        <v>-0.28326046477807054</v>
      </c>
      <c r="DI135" s="106">
        <f>+_xlfn.XLOOKUP($CT135,Budget!$A:$A,Budget!BQ:BQ)</f>
        <v>63508.417999999983</v>
      </c>
      <c r="DJ135" s="106">
        <f>+_xlfn.XLOOKUP($CT135,Budget!$A:$A,Budget!BR:BR)</f>
        <v>63508.417999999983</v>
      </c>
      <c r="DK135" s="106">
        <f>+_xlfn.XLOOKUP($CT135,Budget!$A:$A,Budget!BS:BS)</f>
        <v>63508.417999999983</v>
      </c>
      <c r="DL135" s="106">
        <f>+_xlfn.XLOOKUP($CT135,Budget!$A:$A,Budget!BT:BT)</f>
        <v>63508.417999999983</v>
      </c>
      <c r="DM135" s="106">
        <f>+_xlfn.XLOOKUP($CT135,Budget!$A:$A,Budget!BU:BU)</f>
        <v>63508.417999999983</v>
      </c>
      <c r="DN135" s="106">
        <f>+_xlfn.XLOOKUP($CT135,Budget!$A:$A,Budget!BV:BV)</f>
        <v>63508.417999999983</v>
      </c>
      <c r="DO135" s="106">
        <f>+_xlfn.XLOOKUP($CT135,Budget!$A:$A,Budget!BW:BW)</f>
        <v>63508.417999999983</v>
      </c>
      <c r="DP135" s="106">
        <f>+_xlfn.XLOOKUP($CT135,Budget!$A:$A,Budget!BX:BX)</f>
        <v>63508.417999999983</v>
      </c>
      <c r="DQ135" s="106">
        <f>+_xlfn.XLOOKUP($CT135,Budget!$A:$A,Budget!BY:BY)</f>
        <v>63508.417999999983</v>
      </c>
      <c r="DR135" s="106">
        <f>+_xlfn.XLOOKUP($CT135,Budget!$A:$A,Budget!BZ:BZ)</f>
        <v>63508.417999999983</v>
      </c>
      <c r="DS135" s="106">
        <f>+_xlfn.XLOOKUP($CT135,Budget!$A:$A,Budget!CA:CA)</f>
        <v>63508.417999999983</v>
      </c>
      <c r="DT135" s="106">
        <f>+_xlfn.XLOOKUP($CT135,Budget!$A:$A,Budget!CB:CB)</f>
        <v>63508.417999999983</v>
      </c>
      <c r="DU135" s="106">
        <f t="shared" si="1538"/>
        <v>762101.01599999971</v>
      </c>
    </row>
    <row r="136" spans="1:125" ht="14.45" hidden="1" customHeight="1" outlineLevel="2">
      <c r="A136" s="106">
        <f t="shared" si="1492"/>
        <v>0</v>
      </c>
      <c r="B136" s="106">
        <f t="shared" si="1493"/>
        <v>0</v>
      </c>
      <c r="C136" s="106">
        <f t="shared" si="1494"/>
        <v>0</v>
      </c>
      <c r="D136" s="106">
        <f t="shared" si="1495"/>
        <v>0</v>
      </c>
      <c r="E136" s="106">
        <f t="shared" si="1496"/>
        <v>0</v>
      </c>
      <c r="F136" s="106">
        <f t="shared" si="1497"/>
        <v>0</v>
      </c>
      <c r="G136" s="106">
        <f t="shared" si="1498"/>
        <v>0</v>
      </c>
      <c r="H136" s="106">
        <f t="shared" si="1499"/>
        <v>0</v>
      </c>
      <c r="I136" s="106">
        <f t="shared" si="1500"/>
        <v>0</v>
      </c>
      <c r="J136" s="106">
        <f t="shared" si="1501"/>
        <v>0</v>
      </c>
      <c r="K136" s="106">
        <f t="shared" si="1502"/>
        <v>0</v>
      </c>
      <c r="L136" s="106">
        <f t="shared" si="1503"/>
        <v>0</v>
      </c>
      <c r="M136" s="106">
        <f t="shared" si="1504"/>
        <v>0</v>
      </c>
      <c r="N136" s="16" t="s">
        <v>113</v>
      </c>
      <c r="O136" s="106">
        <f t="shared" si="1505"/>
        <v>0</v>
      </c>
      <c r="P136" s="106">
        <f t="shared" si="1506"/>
        <v>0</v>
      </c>
      <c r="Q136" s="106">
        <f t="shared" si="1507"/>
        <v>0</v>
      </c>
      <c r="R136" s="106">
        <f t="shared" si="1508"/>
        <v>0</v>
      </c>
      <c r="S136" s="106">
        <f t="shared" si="1509"/>
        <v>0</v>
      </c>
      <c r="T136" s="106">
        <f t="shared" si="1510"/>
        <v>0</v>
      </c>
      <c r="U136" s="106">
        <f t="shared" si="1511"/>
        <v>0</v>
      </c>
      <c r="V136" s="106">
        <f t="shared" si="1512"/>
        <v>0</v>
      </c>
      <c r="W136" s="106">
        <f t="shared" si="1513"/>
        <v>0</v>
      </c>
      <c r="X136" s="106">
        <f t="shared" si="1514"/>
        <v>0</v>
      </c>
      <c r="Y136" s="106">
        <f t="shared" si="1515"/>
        <v>0</v>
      </c>
      <c r="Z136" s="106">
        <f t="shared" si="1516"/>
        <v>0</v>
      </c>
      <c r="AA136" s="106">
        <f t="shared" si="1517"/>
        <v>0</v>
      </c>
      <c r="AB136" s="118">
        <f t="shared" si="1189"/>
        <v>0</v>
      </c>
      <c r="AC136" s="106">
        <f t="shared" si="1518"/>
        <v>0</v>
      </c>
      <c r="AD136" s="106">
        <f t="shared" si="1519"/>
        <v>0</v>
      </c>
      <c r="AE136" s="106">
        <f t="shared" si="1520"/>
        <v>0</v>
      </c>
      <c r="AF136" s="106">
        <f t="shared" si="1521"/>
        <v>0</v>
      </c>
      <c r="AG136" s="106">
        <f t="shared" si="1522"/>
        <v>0</v>
      </c>
      <c r="AH136" s="106">
        <f t="shared" si="1523"/>
        <v>0</v>
      </c>
      <c r="AI136" s="106">
        <f t="shared" si="1524"/>
        <v>0</v>
      </c>
      <c r="AJ136" s="106">
        <f t="shared" si="1525"/>
        <v>0</v>
      </c>
      <c r="AK136" s="106">
        <f t="shared" si="1526"/>
        <v>0</v>
      </c>
      <c r="AL136" s="106">
        <f t="shared" si="1527"/>
        <v>0</v>
      </c>
      <c r="AM136" s="106">
        <f t="shared" si="1528"/>
        <v>0</v>
      </c>
      <c r="AN136" s="106">
        <f t="shared" si="1529"/>
        <v>0</v>
      </c>
      <c r="AO136" s="106">
        <f t="shared" si="1530"/>
        <v>0</v>
      </c>
      <c r="AQ136" s="106">
        <v>0</v>
      </c>
      <c r="AR136" s="106">
        <v>0</v>
      </c>
      <c r="AS136" s="106">
        <v>0</v>
      </c>
      <c r="AT136" s="106">
        <v>0</v>
      </c>
      <c r="AU136" s="106">
        <v>0</v>
      </c>
      <c r="AV136" s="106">
        <v>0</v>
      </c>
      <c r="AW136" s="106">
        <v>0</v>
      </c>
      <c r="AX136" s="106">
        <v>0</v>
      </c>
      <c r="AY136" s="106">
        <v>0</v>
      </c>
      <c r="AZ136" s="106">
        <v>0</v>
      </c>
      <c r="BA136" s="106">
        <v>0</v>
      </c>
      <c r="BB136" s="106">
        <v>0</v>
      </c>
      <c r="BC136" s="106">
        <f t="shared" si="1531"/>
        <v>0</v>
      </c>
      <c r="BD136" s="16" t="str">
        <f t="shared" si="1532"/>
        <v>Travelling Expenses - Directors</v>
      </c>
      <c r="BE136" s="106">
        <f>+VLOOKUP($BD136,'Jan-25'!$A:$J,2,0)</f>
        <v>0</v>
      </c>
      <c r="BF136" s="106">
        <f>+VLOOKUP($BD136,'Feb-25'!$A:$J,2,0)</f>
        <v>0</v>
      </c>
      <c r="BG136" s="106">
        <f>+VLOOKUP($BD136,'Mar-25'!$A:$J,2,0)</f>
        <v>0</v>
      </c>
      <c r="BH136" s="106">
        <f>+VLOOKUP($BD136,'Apr-25'!$A:$J,2,0)</f>
        <v>0</v>
      </c>
      <c r="BI136" s="106">
        <f>+VLOOKUP($BD136,'May-25'!$A:$J,2,0)</f>
        <v>0</v>
      </c>
      <c r="BJ136" s="106">
        <f>+VLOOKUP($BD136,'June-25'!$A:$J,2,0)</f>
        <v>0</v>
      </c>
      <c r="BK136" s="106">
        <f>+VLOOKUP($BD136,'July-25'!$A:$J,2,0)</f>
        <v>0</v>
      </c>
      <c r="BL136" s="106">
        <f>+VLOOKUP($BD136,'Aug-25'!$A:$J,2,0)</f>
        <v>0</v>
      </c>
      <c r="BM136" s="106">
        <f>+VLOOKUP($BD136,'Sep-25'!$A:$J,2,0)</f>
        <v>0</v>
      </c>
      <c r="BN136" s="106">
        <f>+VLOOKUP($BD136,'Oct-25'!$A:$J,2,0)</f>
        <v>0</v>
      </c>
      <c r="BO136" s="106">
        <f>+VLOOKUP($BD136,'Nov-25'!$A:$J,2,0)</f>
        <v>0</v>
      </c>
      <c r="BP136" s="106">
        <f>+VLOOKUP($BD136,'Dec-25'!$A:$J,2,0)</f>
        <v>0</v>
      </c>
      <c r="BQ136" s="106">
        <f t="shared" si="1533"/>
        <v>0</v>
      </c>
      <c r="BR136" s="118">
        <f t="shared" si="1190"/>
        <v>0</v>
      </c>
      <c r="BS136" s="106" cm="1">
        <f t="array" ref="BS136:CD136">+_xlfn.XLOOKUP(BD136,Budget!A:A,Budget!Q:AB)</f>
        <v>0</v>
      </c>
      <c r="BT136" s="106">
        <v>0</v>
      </c>
      <c r="BU136" s="106">
        <v>0</v>
      </c>
      <c r="BV136" s="106">
        <v>0</v>
      </c>
      <c r="BW136" s="106">
        <v>0</v>
      </c>
      <c r="BX136" s="106">
        <v>0</v>
      </c>
      <c r="BY136" s="106">
        <v>0</v>
      </c>
      <c r="BZ136" s="106">
        <v>0</v>
      </c>
      <c r="CA136" s="106">
        <v>0</v>
      </c>
      <c r="CB136" s="106">
        <v>0</v>
      </c>
      <c r="CC136" s="106">
        <v>0</v>
      </c>
      <c r="CD136" s="106">
        <v>0</v>
      </c>
      <c r="CE136" s="106">
        <f t="shared" si="1534"/>
        <v>0</v>
      </c>
      <c r="CF136" s="22"/>
      <c r="CG136" s="106">
        <v>0</v>
      </c>
      <c r="CH136" s="106">
        <v>0</v>
      </c>
      <c r="CI136" s="106">
        <v>0</v>
      </c>
      <c r="CJ136" s="106">
        <v>0</v>
      </c>
      <c r="CK136" s="106">
        <v>0</v>
      </c>
      <c r="CL136" s="106">
        <v>0</v>
      </c>
      <c r="CM136" s="106">
        <v>0</v>
      </c>
      <c r="CN136" s="106">
        <v>0</v>
      </c>
      <c r="CO136" s="106">
        <v>0</v>
      </c>
      <c r="CP136" s="106">
        <v>0</v>
      </c>
      <c r="CQ136" s="106">
        <v>0</v>
      </c>
      <c r="CR136" s="106">
        <v>0</v>
      </c>
      <c r="CS136" s="106">
        <f t="shared" si="1535"/>
        <v>0</v>
      </c>
      <c r="CT136" s="16" t="str">
        <f t="shared" si="1536"/>
        <v>Travelling Expenses - Directors</v>
      </c>
      <c r="CU136" s="106">
        <f>+VLOOKUP($BD136,'Jan-25'!$A:$J,6,0)</f>
        <v>0</v>
      </c>
      <c r="CV136" s="106">
        <f>+VLOOKUP($BD136,'Feb-25'!$A:$J,6,0)</f>
        <v>0</v>
      </c>
      <c r="CW136" s="106">
        <f>+VLOOKUP($BD136,'Mar-25'!$A:$J,6,0)</f>
        <v>0</v>
      </c>
      <c r="CX136" s="106">
        <f>+VLOOKUP($BD136,'Apr-25'!$A:$J,6,0)</f>
        <v>0</v>
      </c>
      <c r="CY136" s="106">
        <f>+VLOOKUP($BD136,'May-25'!$A:$J,6,0)</f>
        <v>0</v>
      </c>
      <c r="CZ136" s="106">
        <f>+VLOOKUP($BD136,'June-25'!$A:$J,6,0)</f>
        <v>0</v>
      </c>
      <c r="DA136" s="106">
        <f>+VLOOKUP($BD136,'July-25'!$A:$J,6,0)</f>
        <v>0</v>
      </c>
      <c r="DB136" s="106">
        <f>+VLOOKUP($BD136,'Aug-25'!$A:$J,6,0)</f>
        <v>0</v>
      </c>
      <c r="DC136" s="106">
        <f>+VLOOKUP($BD136,'Sep-25'!$A:$J,6,0)</f>
        <v>0</v>
      </c>
      <c r="DD136" s="106">
        <f>+VLOOKUP($BD136,'Oct-25'!$A:$J,6,0)</f>
        <v>0</v>
      </c>
      <c r="DE136" s="106">
        <f>+VLOOKUP($BD136,'Nov-25'!$A:$J,6,0)</f>
        <v>0</v>
      </c>
      <c r="DF136" s="106">
        <f>+VLOOKUP($BD136,'Dec-25'!$A:$J,6,0)</f>
        <v>0</v>
      </c>
      <c r="DG136" s="106">
        <f t="shared" si="1537"/>
        <v>0</v>
      </c>
      <c r="DH136" s="118">
        <f t="shared" si="1191"/>
        <v>0</v>
      </c>
      <c r="DI136" s="106">
        <f>+_xlfn.XLOOKUP($CT136,Budget!$A:$A,Budget!BQ:BQ)</f>
        <v>0</v>
      </c>
      <c r="DJ136" s="106">
        <f>+_xlfn.XLOOKUP($CT136,Budget!$A:$A,Budget!BR:BR)</f>
        <v>0</v>
      </c>
      <c r="DK136" s="106">
        <f>+_xlfn.XLOOKUP($CT136,Budget!$A:$A,Budget!BS:BS)</f>
        <v>0</v>
      </c>
      <c r="DL136" s="106">
        <f>+_xlfn.XLOOKUP($CT136,Budget!$A:$A,Budget!BT:BT)</f>
        <v>0</v>
      </c>
      <c r="DM136" s="106">
        <f>+_xlfn.XLOOKUP($CT136,Budget!$A:$A,Budget!BU:BU)</f>
        <v>0</v>
      </c>
      <c r="DN136" s="106">
        <f>+_xlfn.XLOOKUP($CT136,Budget!$A:$A,Budget!BV:BV)</f>
        <v>0</v>
      </c>
      <c r="DO136" s="106">
        <f>+_xlfn.XLOOKUP($CT136,Budget!$A:$A,Budget!BW:BW)</f>
        <v>0</v>
      </c>
      <c r="DP136" s="106">
        <f>+_xlfn.XLOOKUP($CT136,Budget!$A:$A,Budget!BX:BX)</f>
        <v>0</v>
      </c>
      <c r="DQ136" s="106">
        <f>+_xlfn.XLOOKUP($CT136,Budget!$A:$A,Budget!BY:BY)</f>
        <v>0</v>
      </c>
      <c r="DR136" s="106">
        <f>+_xlfn.XLOOKUP($CT136,Budget!$A:$A,Budget!BZ:BZ)</f>
        <v>0</v>
      </c>
      <c r="DS136" s="106">
        <f>+_xlfn.XLOOKUP($CT136,Budget!$A:$A,Budget!CA:CA)</f>
        <v>0</v>
      </c>
      <c r="DT136" s="106">
        <f>+_xlfn.XLOOKUP($CT136,Budget!$A:$A,Budget!CB:CB)</f>
        <v>0</v>
      </c>
      <c r="DU136" s="106">
        <f t="shared" si="1538"/>
        <v>0</v>
      </c>
    </row>
    <row r="137" spans="1:125" ht="14.45" hidden="1" customHeight="1" outlineLevel="2">
      <c r="A137" s="106">
        <f t="shared" si="1492"/>
        <v>0</v>
      </c>
      <c r="B137" s="106">
        <f t="shared" si="1493"/>
        <v>0</v>
      </c>
      <c r="C137" s="106">
        <f t="shared" si="1494"/>
        <v>0</v>
      </c>
      <c r="D137" s="106">
        <f t="shared" si="1495"/>
        <v>0</v>
      </c>
      <c r="E137" s="106">
        <f t="shared" si="1496"/>
        <v>0</v>
      </c>
      <c r="F137" s="106">
        <f t="shared" si="1497"/>
        <v>0</v>
      </c>
      <c r="G137" s="106">
        <f t="shared" si="1498"/>
        <v>0</v>
      </c>
      <c r="H137" s="106">
        <f t="shared" si="1499"/>
        <v>0</v>
      </c>
      <c r="I137" s="106">
        <f t="shared" si="1500"/>
        <v>0</v>
      </c>
      <c r="J137" s="106">
        <f t="shared" si="1501"/>
        <v>0</v>
      </c>
      <c r="K137" s="106">
        <f t="shared" si="1502"/>
        <v>0</v>
      </c>
      <c r="L137" s="106">
        <f t="shared" si="1503"/>
        <v>0</v>
      </c>
      <c r="M137" s="106">
        <f t="shared" si="1504"/>
        <v>0</v>
      </c>
      <c r="N137" s="16" t="s">
        <v>114</v>
      </c>
      <c r="O137" s="106">
        <f t="shared" si="1505"/>
        <v>0</v>
      </c>
      <c r="P137" s="106">
        <f t="shared" si="1506"/>
        <v>0</v>
      </c>
      <c r="Q137" s="106">
        <f t="shared" si="1507"/>
        <v>0</v>
      </c>
      <c r="R137" s="106">
        <f t="shared" si="1508"/>
        <v>0</v>
      </c>
      <c r="S137" s="106">
        <f t="shared" si="1509"/>
        <v>-56486.65</v>
      </c>
      <c r="T137" s="106">
        <f t="shared" si="1510"/>
        <v>0</v>
      </c>
      <c r="U137" s="106">
        <f t="shared" si="1511"/>
        <v>251532.47350000002</v>
      </c>
      <c r="V137" s="106">
        <f t="shared" si="1512"/>
        <v>0</v>
      </c>
      <c r="W137" s="106">
        <f t="shared" si="1513"/>
        <v>0</v>
      </c>
      <c r="X137" s="106">
        <f t="shared" si="1514"/>
        <v>421013.88</v>
      </c>
      <c r="Y137" s="106">
        <f t="shared" si="1515"/>
        <v>0</v>
      </c>
      <c r="Z137" s="106">
        <f t="shared" si="1516"/>
        <v>0</v>
      </c>
      <c r="AA137" s="106">
        <f t="shared" si="1517"/>
        <v>616059.70350000006</v>
      </c>
      <c r="AB137" s="118">
        <f t="shared" si="1189"/>
        <v>0</v>
      </c>
      <c r="AC137" s="106">
        <f t="shared" si="1518"/>
        <v>0</v>
      </c>
      <c r="AD137" s="106">
        <f t="shared" si="1519"/>
        <v>0</v>
      </c>
      <c r="AE137" s="106">
        <f t="shared" si="1520"/>
        <v>0</v>
      </c>
      <c r="AF137" s="106">
        <f t="shared" si="1521"/>
        <v>0</v>
      </c>
      <c r="AG137" s="106">
        <f t="shared" si="1522"/>
        <v>0</v>
      </c>
      <c r="AH137" s="106">
        <f t="shared" si="1523"/>
        <v>0</v>
      </c>
      <c r="AI137" s="106">
        <f t="shared" si="1524"/>
        <v>0</v>
      </c>
      <c r="AJ137" s="106">
        <f t="shared" si="1525"/>
        <v>0</v>
      </c>
      <c r="AK137" s="106">
        <f t="shared" si="1526"/>
        <v>0</v>
      </c>
      <c r="AL137" s="106">
        <f t="shared" si="1527"/>
        <v>0</v>
      </c>
      <c r="AM137" s="106">
        <f t="shared" si="1528"/>
        <v>0</v>
      </c>
      <c r="AN137" s="106">
        <f t="shared" si="1529"/>
        <v>0</v>
      </c>
      <c r="AO137" s="106">
        <f t="shared" si="1530"/>
        <v>0</v>
      </c>
      <c r="AQ137" s="106">
        <v>0</v>
      </c>
      <c r="AR137" s="106">
        <v>0</v>
      </c>
      <c r="AS137" s="106">
        <v>0</v>
      </c>
      <c r="AT137" s="106">
        <v>0</v>
      </c>
      <c r="AU137" s="106">
        <v>0</v>
      </c>
      <c r="AV137" s="106">
        <v>0</v>
      </c>
      <c r="AW137" s="106">
        <v>0</v>
      </c>
      <c r="AX137" s="106">
        <v>0</v>
      </c>
      <c r="AY137" s="106">
        <v>0</v>
      </c>
      <c r="AZ137" s="106">
        <v>0</v>
      </c>
      <c r="BA137" s="106">
        <v>0</v>
      </c>
      <c r="BB137" s="106">
        <v>0</v>
      </c>
      <c r="BC137" s="106">
        <f t="shared" si="1531"/>
        <v>0</v>
      </c>
      <c r="BD137" s="16" t="str">
        <f t="shared" si="1532"/>
        <v>Travelling Foreign</v>
      </c>
      <c r="BE137" s="106">
        <f>+VLOOKUP($BD137,'Jan-25'!$A:$J,2,0)</f>
        <v>0</v>
      </c>
      <c r="BF137" s="106">
        <f>+VLOOKUP($BD137,'Feb-25'!$A:$J,2,0)</f>
        <v>0</v>
      </c>
      <c r="BG137" s="106">
        <f>+VLOOKUP($BD137,'Mar-25'!$A:$J,2,0)</f>
        <v>0</v>
      </c>
      <c r="BH137" s="106">
        <f>+VLOOKUP($BD137,'Apr-25'!$A:$J,2,0)</f>
        <v>0</v>
      </c>
      <c r="BI137" s="106">
        <f>+VLOOKUP($BD137,'May-25'!$A:$J,2,0)</f>
        <v>-41081.200000000004</v>
      </c>
      <c r="BJ137" s="106">
        <f>+VLOOKUP($BD137,'June-25'!$A:$J,2,0)</f>
        <v>0</v>
      </c>
      <c r="BK137" s="106">
        <f>+VLOOKUP($BD137,'July-25'!$A:$J,2,0)</f>
        <v>182932.70800000001</v>
      </c>
      <c r="BL137" s="106">
        <f>+VLOOKUP($BD137,'Aug-25'!$A:$J,2,0)</f>
        <v>0</v>
      </c>
      <c r="BM137" s="106">
        <f>+VLOOKUP($BD137,'Sep-25'!$A:$J,2,0)</f>
        <v>0</v>
      </c>
      <c r="BN137" s="106">
        <f>+VLOOKUP($BD137,'Oct-25'!$A:$J,2,0)</f>
        <v>252608.32799999998</v>
      </c>
      <c r="BO137" s="106">
        <f>+VLOOKUP($BD137,'Nov-25'!$A:$J,2,0)</f>
        <v>0</v>
      </c>
      <c r="BP137" s="106">
        <f>+VLOOKUP($BD137,'Dec-25'!$A:$J,2,0)</f>
        <v>0</v>
      </c>
      <c r="BQ137" s="106">
        <f t="shared" si="1533"/>
        <v>394459.83600000001</v>
      </c>
      <c r="BR137" s="118">
        <f t="shared" si="1190"/>
        <v>0</v>
      </c>
      <c r="BS137" s="106" cm="1">
        <f t="array" ref="BS137:CD137">+_xlfn.XLOOKUP(BD137,Budget!A:A,Budget!Q:AB)</f>
        <v>0</v>
      </c>
      <c r="BT137" s="106">
        <v>0</v>
      </c>
      <c r="BU137" s="106">
        <v>0</v>
      </c>
      <c r="BV137" s="106">
        <v>0</v>
      </c>
      <c r="BW137" s="106">
        <v>0</v>
      </c>
      <c r="BX137" s="106">
        <v>0</v>
      </c>
      <c r="BY137" s="106">
        <v>0</v>
      </c>
      <c r="BZ137" s="106">
        <v>0</v>
      </c>
      <c r="CA137" s="106">
        <v>0</v>
      </c>
      <c r="CB137" s="106">
        <v>0</v>
      </c>
      <c r="CC137" s="106">
        <v>0</v>
      </c>
      <c r="CD137" s="106">
        <v>0</v>
      </c>
      <c r="CE137" s="106">
        <f t="shared" si="1534"/>
        <v>0</v>
      </c>
      <c r="CF137" s="22"/>
      <c r="CG137" s="106">
        <v>0</v>
      </c>
      <c r="CH137" s="106">
        <v>0</v>
      </c>
      <c r="CI137" s="106">
        <v>0</v>
      </c>
      <c r="CJ137" s="106">
        <v>0</v>
      </c>
      <c r="CK137" s="106">
        <v>0</v>
      </c>
      <c r="CL137" s="106">
        <v>0</v>
      </c>
      <c r="CM137" s="106">
        <v>0</v>
      </c>
      <c r="CN137" s="106">
        <v>0</v>
      </c>
      <c r="CO137" s="106">
        <v>0</v>
      </c>
      <c r="CP137" s="106">
        <v>0</v>
      </c>
      <c r="CQ137" s="106">
        <v>0</v>
      </c>
      <c r="CR137" s="106">
        <v>0</v>
      </c>
      <c r="CS137" s="106">
        <f t="shared" si="1535"/>
        <v>0</v>
      </c>
      <c r="CT137" s="16" t="str">
        <f t="shared" si="1536"/>
        <v>Travelling Foreign</v>
      </c>
      <c r="CU137" s="106">
        <f>+VLOOKUP($BD137,'Jan-25'!$A:$J,6,0)</f>
        <v>0</v>
      </c>
      <c r="CV137" s="106">
        <f>+VLOOKUP($BD137,'Feb-25'!$A:$J,6,0)</f>
        <v>0</v>
      </c>
      <c r="CW137" s="106">
        <f>+VLOOKUP($BD137,'Mar-25'!$A:$J,6,0)</f>
        <v>0</v>
      </c>
      <c r="CX137" s="106">
        <f>+VLOOKUP($BD137,'Apr-25'!$A:$J,6,0)</f>
        <v>0</v>
      </c>
      <c r="CY137" s="106">
        <f>+VLOOKUP($BD137,'May-25'!$A:$J,6,0)</f>
        <v>-15405.449999999999</v>
      </c>
      <c r="CZ137" s="106">
        <f>+VLOOKUP($BD137,'June-25'!$A:$J,6,0)</f>
        <v>0</v>
      </c>
      <c r="DA137" s="106">
        <f>+VLOOKUP($BD137,'July-25'!$A:$J,6,0)</f>
        <v>68599.765499999994</v>
      </c>
      <c r="DB137" s="106">
        <f>+VLOOKUP($BD137,'Aug-25'!$A:$J,6,0)</f>
        <v>0</v>
      </c>
      <c r="DC137" s="106">
        <f>+VLOOKUP($BD137,'Sep-25'!$A:$J,6,0)</f>
        <v>0</v>
      </c>
      <c r="DD137" s="106">
        <f>+VLOOKUP($BD137,'Oct-25'!$A:$J,6,0)</f>
        <v>168405.55200000003</v>
      </c>
      <c r="DE137" s="106">
        <f>+VLOOKUP($BD137,'Nov-25'!$A:$J,6,0)</f>
        <v>0</v>
      </c>
      <c r="DF137" s="106">
        <f>+VLOOKUP($BD137,'Dec-25'!$A:$J,6,0)</f>
        <v>0</v>
      </c>
      <c r="DG137" s="106">
        <f t="shared" si="1537"/>
        <v>221599.86750000002</v>
      </c>
      <c r="DH137" s="118">
        <f t="shared" si="1191"/>
        <v>0</v>
      </c>
      <c r="DI137" s="106">
        <f>+_xlfn.XLOOKUP($CT137,Budget!$A:$A,Budget!BQ:BQ)</f>
        <v>0</v>
      </c>
      <c r="DJ137" s="106">
        <f>+_xlfn.XLOOKUP($CT137,Budget!$A:$A,Budget!BR:BR)</f>
        <v>0</v>
      </c>
      <c r="DK137" s="106">
        <f>+_xlfn.XLOOKUP($CT137,Budget!$A:$A,Budget!BS:BS)</f>
        <v>0</v>
      </c>
      <c r="DL137" s="106">
        <f>+_xlfn.XLOOKUP($CT137,Budget!$A:$A,Budget!BT:BT)</f>
        <v>0</v>
      </c>
      <c r="DM137" s="106">
        <f>+_xlfn.XLOOKUP($CT137,Budget!$A:$A,Budget!BU:BU)</f>
        <v>0</v>
      </c>
      <c r="DN137" s="106">
        <f>+_xlfn.XLOOKUP($CT137,Budget!$A:$A,Budget!BV:BV)</f>
        <v>0</v>
      </c>
      <c r="DO137" s="106">
        <f>+_xlfn.XLOOKUP($CT137,Budget!$A:$A,Budget!BW:BW)</f>
        <v>0</v>
      </c>
      <c r="DP137" s="106">
        <f>+_xlfn.XLOOKUP($CT137,Budget!$A:$A,Budget!BX:BX)</f>
        <v>0</v>
      </c>
      <c r="DQ137" s="106">
        <f>+_xlfn.XLOOKUP($CT137,Budget!$A:$A,Budget!BY:BY)</f>
        <v>0</v>
      </c>
      <c r="DR137" s="106">
        <f>+_xlfn.XLOOKUP($CT137,Budget!$A:$A,Budget!BZ:BZ)</f>
        <v>0</v>
      </c>
      <c r="DS137" s="106">
        <f>+_xlfn.XLOOKUP($CT137,Budget!$A:$A,Budget!CA:CA)</f>
        <v>0</v>
      </c>
      <c r="DT137" s="106">
        <f>+_xlfn.XLOOKUP($CT137,Budget!$A:$A,Budget!CB:CB)</f>
        <v>0</v>
      </c>
      <c r="DU137" s="106">
        <f t="shared" si="1538"/>
        <v>0</v>
      </c>
    </row>
    <row r="138" spans="1:125" ht="14.45" hidden="1" customHeight="1" outlineLevel="1">
      <c r="A138" s="58">
        <f t="shared" ref="A138:M138" si="1539">+SUM(A139:A145)</f>
        <v>145334.08833333335</v>
      </c>
      <c r="B138" s="58">
        <f t="shared" si="1539"/>
        <v>176947.37333333335</v>
      </c>
      <c r="C138" s="58">
        <f t="shared" si="1539"/>
        <v>220277.08333333334</v>
      </c>
      <c r="D138" s="58">
        <f t="shared" si="1539"/>
        <v>286218.14833333337</v>
      </c>
      <c r="E138" s="58">
        <f t="shared" si="1539"/>
        <v>417219.65833333333</v>
      </c>
      <c r="F138" s="58">
        <f t="shared" si="1539"/>
        <v>135801.91333333333</v>
      </c>
      <c r="G138" s="58">
        <f t="shared" si="1539"/>
        <v>243463.15833333333</v>
      </c>
      <c r="H138" s="58">
        <f t="shared" si="1539"/>
        <v>175052.95833333334</v>
      </c>
      <c r="I138" s="58">
        <f t="shared" si="1539"/>
        <v>211866.98833333334</v>
      </c>
      <c r="J138" s="58">
        <f t="shared" si="1539"/>
        <v>217186.93</v>
      </c>
      <c r="K138" s="58">
        <f t="shared" si="1539"/>
        <v>165973.01633333333</v>
      </c>
      <c r="L138" s="58">
        <f t="shared" si="1539"/>
        <v>178072.80833333335</v>
      </c>
      <c r="M138" s="58">
        <f t="shared" si="1539"/>
        <v>2573414.1246666671</v>
      </c>
      <c r="N138" s="20" t="s">
        <v>115</v>
      </c>
      <c r="O138" s="58">
        <f t="shared" ref="O138" si="1540">+SUM(O139:O145)</f>
        <v>180523.08333333331</v>
      </c>
      <c r="P138" s="58">
        <f t="shared" ref="P138" si="1541">+SUM(P139:P145)</f>
        <v>151965.34333333332</v>
      </c>
      <c r="Q138" s="58">
        <f t="shared" ref="Q138" si="1542">+SUM(Q139:Q145)</f>
        <v>195863.08333333331</v>
      </c>
      <c r="R138" s="58">
        <f t="shared" ref="R138" si="1543">+SUM(R139:R145)</f>
        <v>175774.82893333334</v>
      </c>
      <c r="S138" s="58">
        <f t="shared" ref="S138" si="1544">+SUM(S139:S145)</f>
        <v>276247.05500000005</v>
      </c>
      <c r="T138" s="58">
        <f t="shared" ref="T138" si="1545">+SUM(T139:T145)</f>
        <v>329396.15500000003</v>
      </c>
      <c r="U138" s="58">
        <f t="shared" ref="U138" si="1546">+SUM(U139:U145)</f>
        <v>96157.852100456628</v>
      </c>
      <c r="V138" s="58">
        <f t="shared" ref="V138" si="1547">+SUM(V139:V145)</f>
        <v>87770.824999999997</v>
      </c>
      <c r="W138" s="58">
        <f t="shared" ref="W138" si="1548">+SUM(W139:W145)</f>
        <v>153388.75</v>
      </c>
      <c r="X138" s="58">
        <f t="shared" ref="X138" si="1549">+SUM(X139:X145)</f>
        <v>160462.72</v>
      </c>
      <c r="Y138" s="58">
        <f t="shared" ref="Y138" si="1550">+SUM(Y139:Y145)</f>
        <v>0</v>
      </c>
      <c r="Z138" s="58">
        <f t="shared" ref="Z138" si="1551">+SUM(Z139:Z145)</f>
        <v>0</v>
      </c>
      <c r="AA138" s="58">
        <f t="shared" ref="AA138" si="1552">+SUM(AA139:AA145)</f>
        <v>1807549.6960337898</v>
      </c>
      <c r="AB138" s="118">
        <f t="shared" si="1189"/>
        <v>-0.63252377518820713</v>
      </c>
      <c r="AC138" s="58">
        <f t="shared" ref="AC138" si="1553">+SUM(AC139:AC145)</f>
        <v>141494.83458333332</v>
      </c>
      <c r="AD138" s="58">
        <f t="shared" ref="AD138" si="1554">+SUM(AD139:AD145)</f>
        <v>141494.83458333332</v>
      </c>
      <c r="AE138" s="58">
        <f t="shared" ref="AE138" si="1555">+SUM(AE139:AE145)</f>
        <v>164494.83458333332</v>
      </c>
      <c r="AF138" s="58">
        <f t="shared" ref="AF138" si="1556">+SUM(AF139:AF145)</f>
        <v>195161.50124999997</v>
      </c>
      <c r="AG138" s="58">
        <f t="shared" ref="AG138" si="1557">+SUM(AG139:AG145)</f>
        <v>141494.83458333332</v>
      </c>
      <c r="AH138" s="58">
        <f t="shared" ref="AH138" si="1558">+SUM(AH139:AH145)</f>
        <v>145328.16791666663</v>
      </c>
      <c r="AI138" s="58">
        <f t="shared" ref="AI138" si="1559">+SUM(AI139:AI145)</f>
        <v>141494.83458333332</v>
      </c>
      <c r="AJ138" s="58">
        <f t="shared" ref="AJ138" si="1560">+SUM(AJ139:AJ145)</f>
        <v>141494.83458333332</v>
      </c>
      <c r="AK138" s="58">
        <f t="shared" ref="AK138" si="1561">+SUM(AK139:AK145)</f>
        <v>164494.83458333332</v>
      </c>
      <c r="AL138" s="58">
        <f t="shared" ref="AL138" si="1562">+SUM(AL139:AL145)</f>
        <v>436661.50124999997</v>
      </c>
      <c r="AM138" s="58">
        <f t="shared" ref="AM138" si="1563">+SUM(AM139:AM145)</f>
        <v>141494.83458333332</v>
      </c>
      <c r="AN138" s="58">
        <f t="shared" ref="AN138" si="1564">+SUM(AN139:AN145)</f>
        <v>195328.16791666663</v>
      </c>
      <c r="AO138" s="58">
        <f t="shared" ref="AO138" si="1565">+SUM(AO139:AO145)</f>
        <v>2150438.0149999997</v>
      </c>
      <c r="AQ138" s="58">
        <f t="shared" ref="AQ138:BC138" si="1566">+SUM(AQ139:AQ145)</f>
        <v>92267.53333333334</v>
      </c>
      <c r="AR138" s="58">
        <f t="shared" si="1566"/>
        <v>124672.93333333335</v>
      </c>
      <c r="AS138" s="58">
        <f t="shared" si="1566"/>
        <v>172917.73333333334</v>
      </c>
      <c r="AT138" s="58">
        <f t="shared" si="1566"/>
        <v>229913.92333333334</v>
      </c>
      <c r="AU138" s="58">
        <f t="shared" si="1566"/>
        <v>348500.93333333341</v>
      </c>
      <c r="AV138" s="58">
        <f t="shared" si="1566"/>
        <v>80560.133333333346</v>
      </c>
      <c r="AW138" s="58">
        <f t="shared" si="1566"/>
        <v>194002.93333333335</v>
      </c>
      <c r="AX138" s="58">
        <f t="shared" si="1566"/>
        <v>107759.53333333334</v>
      </c>
      <c r="AY138" s="58">
        <f t="shared" si="1566"/>
        <v>151017.69333333333</v>
      </c>
      <c r="AZ138" s="58">
        <f t="shared" si="1566"/>
        <v>170535.21</v>
      </c>
      <c r="BA138" s="58">
        <f t="shared" si="1566"/>
        <v>116160.55733333335</v>
      </c>
      <c r="BB138" s="58">
        <f t="shared" si="1566"/>
        <v>130165.63333333335</v>
      </c>
      <c r="BC138" s="58">
        <f t="shared" si="1566"/>
        <v>1918474.7506666668</v>
      </c>
      <c r="BD138" s="20" t="str">
        <f t="shared" si="1532"/>
        <v>Employee Benefit Expenses</v>
      </c>
      <c r="BE138" s="58">
        <f t="shared" ref="BE138:BQ138" si="1567">+SUM(BE139:BE145)</f>
        <v>101282.25</v>
      </c>
      <c r="BF138" s="58">
        <f t="shared" si="1567"/>
        <v>83813.45</v>
      </c>
      <c r="BG138" s="58">
        <f t="shared" si="1567"/>
        <v>103258.85</v>
      </c>
      <c r="BH138" s="58">
        <f t="shared" si="1567"/>
        <v>92969.246799999994</v>
      </c>
      <c r="BI138" s="58">
        <f t="shared" si="1567"/>
        <v>174879.04</v>
      </c>
      <c r="BJ138" s="58">
        <f t="shared" si="1567"/>
        <v>209932.84000000003</v>
      </c>
      <c r="BK138" s="58">
        <f t="shared" si="1567"/>
        <v>40220.016073059356</v>
      </c>
      <c r="BL138" s="58">
        <f t="shared" si="1567"/>
        <v>33504</v>
      </c>
      <c r="BM138" s="58">
        <f t="shared" si="1567"/>
        <v>93607</v>
      </c>
      <c r="BN138" s="58">
        <f t="shared" si="1567"/>
        <v>101614.97</v>
      </c>
      <c r="BO138" s="58">
        <f t="shared" si="1567"/>
        <v>0</v>
      </c>
      <c r="BP138" s="58">
        <f t="shared" si="1567"/>
        <v>0</v>
      </c>
      <c r="BQ138" s="58">
        <f t="shared" si="1567"/>
        <v>1035081.6628730593</v>
      </c>
      <c r="BR138" s="118">
        <f t="shared" si="1190"/>
        <v>-0.65721007011849386</v>
      </c>
      <c r="BS138" s="58">
        <f t="shared" ref="BS138:CE138" si="1568">+SUM(BS139:BS145)</f>
        <v>87893.441666666666</v>
      </c>
      <c r="BT138" s="58">
        <f t="shared" si="1568"/>
        <v>87893.441666666666</v>
      </c>
      <c r="BU138" s="58">
        <f t="shared" si="1568"/>
        <v>104143.44166666667</v>
      </c>
      <c r="BV138" s="58">
        <f t="shared" si="1568"/>
        <v>125810.10833333334</v>
      </c>
      <c r="BW138" s="58">
        <f t="shared" si="1568"/>
        <v>87893.441666666666</v>
      </c>
      <c r="BX138" s="58">
        <f t="shared" si="1568"/>
        <v>90601.774999999994</v>
      </c>
      <c r="BY138" s="58">
        <f t="shared" si="1568"/>
        <v>87893.441666666666</v>
      </c>
      <c r="BZ138" s="58">
        <f t="shared" si="1568"/>
        <v>87893.441666666666</v>
      </c>
      <c r="CA138" s="58">
        <f t="shared" si="1568"/>
        <v>104143.44166666667</v>
      </c>
      <c r="CB138" s="58">
        <f t="shared" si="1568"/>
        <v>296435.10833333334</v>
      </c>
      <c r="CC138" s="58">
        <f t="shared" si="1568"/>
        <v>87893.441666666666</v>
      </c>
      <c r="CD138" s="58">
        <f t="shared" si="1568"/>
        <v>120601.77499999999</v>
      </c>
      <c r="CE138" s="58">
        <f t="shared" si="1568"/>
        <v>1369096.2999999998</v>
      </c>
      <c r="CF138" s="22"/>
      <c r="CG138" s="58">
        <f t="shared" ref="CG138:CS138" si="1569">+SUM(CG139:CG145)</f>
        <v>53066.555</v>
      </c>
      <c r="CH138" s="58">
        <f t="shared" si="1569"/>
        <v>52274.44</v>
      </c>
      <c r="CI138" s="58">
        <f t="shared" si="1569"/>
        <v>47359.35</v>
      </c>
      <c r="CJ138" s="58">
        <f t="shared" si="1569"/>
        <v>56304.224999999999</v>
      </c>
      <c r="CK138" s="58">
        <f t="shared" si="1569"/>
        <v>68718.724999999991</v>
      </c>
      <c r="CL138" s="58">
        <f t="shared" si="1569"/>
        <v>55241.78</v>
      </c>
      <c r="CM138" s="58">
        <f t="shared" si="1569"/>
        <v>49460.224999999999</v>
      </c>
      <c r="CN138" s="58">
        <f t="shared" si="1569"/>
        <v>67293.425000000003</v>
      </c>
      <c r="CO138" s="58">
        <f t="shared" si="1569"/>
        <v>60849.294999999998</v>
      </c>
      <c r="CP138" s="58">
        <f t="shared" si="1569"/>
        <v>46651.72</v>
      </c>
      <c r="CQ138" s="58">
        <f t="shared" si="1569"/>
        <v>49812.459000000003</v>
      </c>
      <c r="CR138" s="58">
        <f t="shared" si="1569"/>
        <v>47907.175000000003</v>
      </c>
      <c r="CS138" s="58">
        <f t="shared" si="1569"/>
        <v>654939.37399999984</v>
      </c>
      <c r="CT138" s="20" t="str">
        <f t="shared" si="1536"/>
        <v>Employee Benefit Expenses</v>
      </c>
      <c r="CU138" s="58">
        <f t="shared" ref="CU138:DG138" si="1570">+SUM(CU139:CU145)</f>
        <v>79240.833333333328</v>
      </c>
      <c r="CV138" s="58">
        <f t="shared" si="1570"/>
        <v>68151.893333333326</v>
      </c>
      <c r="CW138" s="58">
        <f t="shared" si="1570"/>
        <v>92604.233333333337</v>
      </c>
      <c r="CX138" s="58">
        <f t="shared" si="1570"/>
        <v>82805.58213333333</v>
      </c>
      <c r="CY138" s="58">
        <f t="shared" si="1570"/>
        <v>101368.015</v>
      </c>
      <c r="CZ138" s="58">
        <f t="shared" si="1570"/>
        <v>119463.315</v>
      </c>
      <c r="DA138" s="58">
        <f t="shared" si="1570"/>
        <v>55937.836027397258</v>
      </c>
      <c r="DB138" s="58">
        <f t="shared" si="1570"/>
        <v>54266.824999999997</v>
      </c>
      <c r="DC138" s="58">
        <f t="shared" si="1570"/>
        <v>59781.75</v>
      </c>
      <c r="DD138" s="58">
        <f t="shared" si="1570"/>
        <v>58847.75</v>
      </c>
      <c r="DE138" s="58">
        <f t="shared" si="1570"/>
        <v>0</v>
      </c>
      <c r="DF138" s="58">
        <f t="shared" si="1570"/>
        <v>0</v>
      </c>
      <c r="DG138" s="58">
        <f t="shared" si="1570"/>
        <v>772468.03316073061</v>
      </c>
      <c r="DH138" s="118">
        <f t="shared" si="1191"/>
        <v>-0.58033756145341431</v>
      </c>
      <c r="DI138" s="58">
        <f t="shared" ref="DI138:DU138" si="1571">+SUM(DI139:DI145)</f>
        <v>53601.392916666671</v>
      </c>
      <c r="DJ138" s="58">
        <f t="shared" si="1571"/>
        <v>53601.392916666671</v>
      </c>
      <c r="DK138" s="58">
        <f t="shared" si="1571"/>
        <v>60351.392916666671</v>
      </c>
      <c r="DL138" s="58">
        <f t="shared" si="1571"/>
        <v>69351.392916666664</v>
      </c>
      <c r="DM138" s="58">
        <f t="shared" si="1571"/>
        <v>53601.392916666671</v>
      </c>
      <c r="DN138" s="58">
        <f t="shared" si="1571"/>
        <v>54726.392916666671</v>
      </c>
      <c r="DO138" s="58">
        <f t="shared" si="1571"/>
        <v>53601.392916666671</v>
      </c>
      <c r="DP138" s="58">
        <f t="shared" si="1571"/>
        <v>53601.392916666671</v>
      </c>
      <c r="DQ138" s="58">
        <f t="shared" si="1571"/>
        <v>60351.392916666671</v>
      </c>
      <c r="DR138" s="58">
        <f t="shared" si="1571"/>
        <v>140226.39291666666</v>
      </c>
      <c r="DS138" s="58">
        <f t="shared" si="1571"/>
        <v>53601.392916666671</v>
      </c>
      <c r="DT138" s="58">
        <f t="shared" si="1571"/>
        <v>74726.392916666664</v>
      </c>
      <c r="DU138" s="58">
        <f t="shared" si="1571"/>
        <v>781341.71499999997</v>
      </c>
    </row>
    <row r="139" spans="1:125" ht="14.45" hidden="1" customHeight="1" outlineLevel="2">
      <c r="A139" s="106">
        <f t="shared" ref="A139:A145" si="1572">+AQ139+CG139</f>
        <v>16180.7</v>
      </c>
      <c r="B139" s="106">
        <f t="shared" ref="B139:B145" si="1573">+AR139+CH139</f>
        <v>15730.7</v>
      </c>
      <c r="C139" s="106">
        <f t="shared" ref="C139:C145" si="1574">+AS139+CI139</f>
        <v>15605.7</v>
      </c>
      <c r="D139" s="106">
        <f t="shared" ref="D139:D145" si="1575">+AT139+CJ139</f>
        <v>15605.7</v>
      </c>
      <c r="E139" s="106">
        <f t="shared" ref="E139:E145" si="1576">+AU139+CK139</f>
        <v>15605.7</v>
      </c>
      <c r="F139" s="106">
        <f t="shared" ref="F139:F145" si="1577">+AV139+CL139</f>
        <v>15605.7</v>
      </c>
      <c r="G139" s="106">
        <f t="shared" ref="G139:G145" si="1578">+AW139+CM139</f>
        <v>15645.7</v>
      </c>
      <c r="H139" s="106">
        <f t="shared" ref="H139:H145" si="1579">+AX139+CN139</f>
        <v>47957.2</v>
      </c>
      <c r="I139" s="106">
        <f t="shared" ref="I139:I145" si="1580">+AY139+CO139</f>
        <v>15605.7</v>
      </c>
      <c r="J139" s="106">
        <f t="shared" ref="J139:J145" si="1581">+AZ139+CP139</f>
        <v>15605.7</v>
      </c>
      <c r="K139" s="106">
        <f t="shared" ref="K139:K145" si="1582">+BA139+CQ139</f>
        <v>10475.058000000001</v>
      </c>
      <c r="L139" s="106">
        <f t="shared" ref="L139:L145" si="1583">+BB139+CR139</f>
        <v>932.5</v>
      </c>
      <c r="M139" s="106">
        <f t="shared" ref="M139:M145" si="1584">+SUM(A139:L139)</f>
        <v>200556.05799999999</v>
      </c>
      <c r="N139" s="16" t="s">
        <v>116</v>
      </c>
      <c r="O139" s="106">
        <f t="shared" ref="O139:O145" si="1585">+BE139+CU139</f>
        <v>0</v>
      </c>
      <c r="P139" s="106">
        <f t="shared" ref="P139:P145" si="1586">+BF139+CV139</f>
        <v>0</v>
      </c>
      <c r="Q139" s="106">
        <f t="shared" ref="Q139:Q145" si="1587">+BG139+CW139</f>
        <v>618</v>
      </c>
      <c r="R139" s="106">
        <f t="shared" ref="R139:R145" si="1588">+BH139+CX139</f>
        <v>39984.445599999999</v>
      </c>
      <c r="S139" s="106">
        <f t="shared" ref="S139:S145" si="1589">+BI139+CY139</f>
        <v>35293.436999999998</v>
      </c>
      <c r="T139" s="106">
        <f t="shared" ref="T139:T145" si="1590">+BJ139+CZ139</f>
        <v>34755.936999999998</v>
      </c>
      <c r="U139" s="106">
        <f t="shared" ref="U139:U145" si="1591">+BK139+DA139</f>
        <v>36023.93710045662</v>
      </c>
      <c r="V139" s="106">
        <f t="shared" ref="V139:V145" si="1592">+BL139+DB139</f>
        <v>34245.75</v>
      </c>
      <c r="W139" s="106">
        <f t="shared" ref="W139:W145" si="1593">+BM139+DC139</f>
        <v>36048.75</v>
      </c>
      <c r="X139" s="106">
        <f t="shared" ref="X139:X145" si="1594">+BN139+DD139</f>
        <v>34276.25</v>
      </c>
      <c r="Y139" s="106">
        <f t="shared" ref="Y139:Y145" si="1595">+BO139+DE139</f>
        <v>0</v>
      </c>
      <c r="Z139" s="106">
        <f t="shared" ref="Z139:Z145" si="1596">+BP139+DF139</f>
        <v>0</v>
      </c>
      <c r="AA139" s="106">
        <f t="shared" ref="AA139:AA145" si="1597">+SUM(O139:Z139)</f>
        <v>251246.50670045661</v>
      </c>
      <c r="AB139" s="118">
        <f t="shared" si="1189"/>
        <v>-4.1223776223776223E-2</v>
      </c>
      <c r="AC139" s="106">
        <f t="shared" ref="AC139:AC145" si="1598">+BS139+DI139</f>
        <v>35750</v>
      </c>
      <c r="AD139" s="106">
        <f t="shared" ref="AD139:AD145" si="1599">+BT139+DJ139</f>
        <v>35750</v>
      </c>
      <c r="AE139" s="106">
        <f t="shared" ref="AE139:AE145" si="1600">+BU139+DK139</f>
        <v>35750</v>
      </c>
      <c r="AF139" s="106">
        <f t="shared" ref="AF139:AF145" si="1601">+BV139+DL139</f>
        <v>35750</v>
      </c>
      <c r="AG139" s="106">
        <f t="shared" ref="AG139:AG145" si="1602">+BW139+DM139</f>
        <v>35750</v>
      </c>
      <c r="AH139" s="106">
        <f t="shared" ref="AH139:AH145" si="1603">+BX139+DN139</f>
        <v>35750</v>
      </c>
      <c r="AI139" s="106">
        <f t="shared" ref="AI139:AI145" si="1604">+BY139+DO139</f>
        <v>35750</v>
      </c>
      <c r="AJ139" s="106">
        <f t="shared" ref="AJ139:AJ145" si="1605">+BZ139+DP139</f>
        <v>35750</v>
      </c>
      <c r="AK139" s="106">
        <f t="shared" ref="AK139:AK145" si="1606">+CA139+DQ139</f>
        <v>35750</v>
      </c>
      <c r="AL139" s="106">
        <f t="shared" ref="AL139:AL145" si="1607">+CB139+DR139</f>
        <v>35750</v>
      </c>
      <c r="AM139" s="106">
        <f t="shared" ref="AM139:AM145" si="1608">+CC139+DS139</f>
        <v>35750</v>
      </c>
      <c r="AN139" s="106">
        <f t="shared" ref="AN139:AN145" si="1609">+CD139+DT139</f>
        <v>35750</v>
      </c>
      <c r="AO139" s="106">
        <f t="shared" ref="AO139:AO145" si="1610">+SUM(AC139:AN139)</f>
        <v>429000</v>
      </c>
      <c r="AQ139" s="106">
        <v>11349.6</v>
      </c>
      <c r="AR139" s="106">
        <v>11349.6</v>
      </c>
      <c r="AS139" s="106">
        <v>11349.6</v>
      </c>
      <c r="AT139" s="106">
        <v>11349.6</v>
      </c>
      <c r="AU139" s="106">
        <v>11349.6</v>
      </c>
      <c r="AV139" s="106">
        <v>11349.6</v>
      </c>
      <c r="AW139" s="106">
        <v>11349.6</v>
      </c>
      <c r="AX139" s="106">
        <v>30162.6</v>
      </c>
      <c r="AY139" s="106">
        <v>11349.6</v>
      </c>
      <c r="AZ139" s="106">
        <v>11349.6</v>
      </c>
      <c r="BA139" s="106">
        <v>7618.2240000000011</v>
      </c>
      <c r="BB139" s="106">
        <v>0</v>
      </c>
      <c r="BC139" s="106">
        <f t="shared" ref="BC139:BC145" si="1611">+SUM(AQ139:BB139)</f>
        <v>139927.22400000002</v>
      </c>
      <c r="BD139" s="16" t="str">
        <f t="shared" si="1532"/>
        <v>Medical Expenses</v>
      </c>
      <c r="BE139" s="106">
        <f>+VLOOKUP($BD139,'Jan-25'!$A:$J,2,0)</f>
        <v>0</v>
      </c>
      <c r="BF139" s="106">
        <f>+VLOOKUP($BD139,'Feb-25'!$A:$J,2,0)</f>
        <v>0</v>
      </c>
      <c r="BG139" s="106">
        <f>+VLOOKUP($BD139,'Mar-25'!$A:$J,2,0)</f>
        <v>618</v>
      </c>
      <c r="BH139" s="106">
        <f>+VLOOKUP($BD139,'Apr-25'!$A:$J,2,0)</f>
        <v>29079.596799999999</v>
      </c>
      <c r="BI139" s="106">
        <f>+VLOOKUP($BD139,'May-25'!$A:$J,2,0)</f>
        <v>24906.135999999999</v>
      </c>
      <c r="BJ139" s="106">
        <f>+VLOOKUP($BD139,'June-25'!$A:$J,2,0)</f>
        <v>25416.135999999999</v>
      </c>
      <c r="BK139" s="106">
        <f>+VLOOKUP($BD139,'July-25'!$A:$J,2,0)</f>
        <v>26166.136073059359</v>
      </c>
      <c r="BL139" s="106">
        <f>+VLOOKUP($BD139,'Aug-25'!$A:$J,2,0)</f>
        <v>24906</v>
      </c>
      <c r="BM139" s="106">
        <f>+VLOOKUP($BD139,'Sep-25'!$A:$J,2,0)</f>
        <v>24906</v>
      </c>
      <c r="BN139" s="106">
        <f>+VLOOKUP($BD139,'Oct-25'!$A:$J,2,0)</f>
        <v>24906</v>
      </c>
      <c r="BO139" s="106">
        <f>+VLOOKUP($BD139,'Nov-25'!$A:$J,2,0)</f>
        <v>0</v>
      </c>
      <c r="BP139" s="106">
        <f>+VLOOKUP($BD139,'Dec-25'!$A:$J,2,0)</f>
        <v>0</v>
      </c>
      <c r="BQ139" s="106">
        <f t="shared" ref="BQ139:BQ145" si="1612">+SUM(BE139:BP139)</f>
        <v>180904.00487305934</v>
      </c>
      <c r="BR139" s="118">
        <f t="shared" si="1190"/>
        <v>-2.3294117647058823E-2</v>
      </c>
      <c r="BS139" s="106" cm="1">
        <f t="array" ref="BS139:CD139">+_xlfn.XLOOKUP(BD139,Budget!A:A,Budget!Q:AB)</f>
        <v>25500</v>
      </c>
      <c r="BT139" s="106">
        <v>25500</v>
      </c>
      <c r="BU139" s="106">
        <v>25500</v>
      </c>
      <c r="BV139" s="106">
        <v>25500</v>
      </c>
      <c r="BW139" s="106">
        <v>25500</v>
      </c>
      <c r="BX139" s="106">
        <v>25500</v>
      </c>
      <c r="BY139" s="106">
        <v>25500</v>
      </c>
      <c r="BZ139" s="106">
        <v>25500</v>
      </c>
      <c r="CA139" s="106">
        <v>25500</v>
      </c>
      <c r="CB139" s="106">
        <v>25500</v>
      </c>
      <c r="CC139" s="106">
        <v>25500</v>
      </c>
      <c r="CD139" s="106">
        <v>25500</v>
      </c>
      <c r="CE139" s="106">
        <f t="shared" ref="CE139:CE145" si="1613">+SUM(BS139:CD139)</f>
        <v>306000</v>
      </c>
      <c r="CF139" s="22"/>
      <c r="CG139" s="106">
        <v>4831.0999999999995</v>
      </c>
      <c r="CH139" s="106">
        <v>4381.0999999999995</v>
      </c>
      <c r="CI139" s="106">
        <v>4256.0999999999995</v>
      </c>
      <c r="CJ139" s="106">
        <v>4256.0999999999995</v>
      </c>
      <c r="CK139" s="106">
        <v>4256.0999999999995</v>
      </c>
      <c r="CL139" s="106">
        <v>4256.0999999999995</v>
      </c>
      <c r="CM139" s="106">
        <v>4296.0999999999995</v>
      </c>
      <c r="CN139" s="106">
        <v>17794.599999999999</v>
      </c>
      <c r="CO139" s="106">
        <v>4256.0999999999995</v>
      </c>
      <c r="CP139" s="106">
        <v>4256.0999999999995</v>
      </c>
      <c r="CQ139" s="106">
        <v>2856.8340000000003</v>
      </c>
      <c r="CR139" s="106">
        <v>932.5</v>
      </c>
      <c r="CS139" s="106">
        <f t="shared" ref="CS139:CS145" si="1614">+SUM(CG139:CR139)</f>
        <v>60628.833999999988</v>
      </c>
      <c r="CT139" s="16" t="str">
        <f t="shared" si="1536"/>
        <v>Medical Expenses</v>
      </c>
      <c r="CU139" s="106">
        <f>+VLOOKUP($BD139,'Jan-25'!$A:$J,6,0)</f>
        <v>0</v>
      </c>
      <c r="CV139" s="106">
        <f>+VLOOKUP($BD139,'Feb-25'!$A:$J,6,0)</f>
        <v>0</v>
      </c>
      <c r="CW139" s="106">
        <f>+VLOOKUP($BD139,'Mar-25'!$A:$J,6,0)</f>
        <v>0</v>
      </c>
      <c r="CX139" s="106">
        <f>+VLOOKUP($BD139,'Apr-25'!$A:$J,6,0)</f>
        <v>10904.8488</v>
      </c>
      <c r="CY139" s="106">
        <f>+VLOOKUP($BD139,'May-25'!$A:$J,6,0)</f>
        <v>10387.300999999999</v>
      </c>
      <c r="CZ139" s="106">
        <f>+VLOOKUP($BD139,'June-25'!$A:$J,6,0)</f>
        <v>9339.8009999999995</v>
      </c>
      <c r="DA139" s="106">
        <f>+VLOOKUP($BD139,'July-25'!$A:$J,6,0)</f>
        <v>9857.8010273972595</v>
      </c>
      <c r="DB139" s="106">
        <f>+VLOOKUP($BD139,'Aug-25'!$A:$J,6,0)</f>
        <v>9339.75</v>
      </c>
      <c r="DC139" s="106">
        <f>+VLOOKUP($BD139,'Sep-25'!$A:$J,6,0)</f>
        <v>11142.75</v>
      </c>
      <c r="DD139" s="106">
        <f>+VLOOKUP($BD139,'Oct-25'!$A:$J,6,0)</f>
        <v>9370.25</v>
      </c>
      <c r="DE139" s="106">
        <f>+VLOOKUP($BD139,'Nov-25'!$A:$J,6,0)</f>
        <v>0</v>
      </c>
      <c r="DF139" s="106">
        <f>+VLOOKUP($BD139,'Dec-25'!$A:$J,6,0)</f>
        <v>0</v>
      </c>
      <c r="DG139" s="106">
        <f t="shared" ref="DG139:DG145" si="1615">+SUM(CU139:DF139)</f>
        <v>70342.501827397267</v>
      </c>
      <c r="DH139" s="118">
        <f t="shared" si="1191"/>
        <v>-8.5829268292682934E-2</v>
      </c>
      <c r="DI139" s="106">
        <f>+_xlfn.XLOOKUP($CT139,Budget!$A:$A,Budget!BQ:BQ)</f>
        <v>10250</v>
      </c>
      <c r="DJ139" s="106">
        <f>+_xlfn.XLOOKUP($CT139,Budget!$A:$A,Budget!BR:BR)</f>
        <v>10250</v>
      </c>
      <c r="DK139" s="106">
        <f>+_xlfn.XLOOKUP($CT139,Budget!$A:$A,Budget!BS:BS)</f>
        <v>10250</v>
      </c>
      <c r="DL139" s="106">
        <f>+_xlfn.XLOOKUP($CT139,Budget!$A:$A,Budget!BT:BT)</f>
        <v>10250</v>
      </c>
      <c r="DM139" s="106">
        <f>+_xlfn.XLOOKUP($CT139,Budget!$A:$A,Budget!BU:BU)</f>
        <v>10250</v>
      </c>
      <c r="DN139" s="106">
        <f>+_xlfn.XLOOKUP($CT139,Budget!$A:$A,Budget!BV:BV)</f>
        <v>10250</v>
      </c>
      <c r="DO139" s="106">
        <f>+_xlfn.XLOOKUP($CT139,Budget!$A:$A,Budget!BW:BW)</f>
        <v>10250</v>
      </c>
      <c r="DP139" s="106">
        <f>+_xlfn.XLOOKUP($CT139,Budget!$A:$A,Budget!BX:BX)</f>
        <v>10250</v>
      </c>
      <c r="DQ139" s="106">
        <f>+_xlfn.XLOOKUP($CT139,Budget!$A:$A,Budget!BY:BY)</f>
        <v>10250</v>
      </c>
      <c r="DR139" s="106">
        <f>+_xlfn.XLOOKUP($CT139,Budget!$A:$A,Budget!BZ:BZ)</f>
        <v>10250</v>
      </c>
      <c r="DS139" s="106">
        <f>+_xlfn.XLOOKUP($CT139,Budget!$A:$A,Budget!CA:CA)</f>
        <v>10250</v>
      </c>
      <c r="DT139" s="106">
        <f>+_xlfn.XLOOKUP($CT139,Budget!$A:$A,Budget!CB:CB)</f>
        <v>10250</v>
      </c>
      <c r="DU139" s="106">
        <f t="shared" ref="DU139:DU145" si="1616">+SUM(DI139:DT139)</f>
        <v>123000</v>
      </c>
    </row>
    <row r="140" spans="1:125" ht="14.45" hidden="1" customHeight="1" outlineLevel="2">
      <c r="A140" s="106">
        <f t="shared" si="1572"/>
        <v>24057.93</v>
      </c>
      <c r="B140" s="106">
        <f t="shared" si="1573"/>
        <v>56770.214999999997</v>
      </c>
      <c r="C140" s="106">
        <f t="shared" si="1574"/>
        <v>21022.825000000001</v>
      </c>
      <c r="D140" s="106">
        <f t="shared" si="1575"/>
        <v>16107</v>
      </c>
      <c r="E140" s="106">
        <f t="shared" si="1576"/>
        <v>30429.85</v>
      </c>
      <c r="F140" s="106">
        <f t="shared" si="1577"/>
        <v>28349.755000000001</v>
      </c>
      <c r="G140" s="106">
        <f t="shared" si="1578"/>
        <v>17371</v>
      </c>
      <c r="H140" s="106">
        <f t="shared" si="1579"/>
        <v>30599.300000000003</v>
      </c>
      <c r="I140" s="106">
        <f t="shared" si="1580"/>
        <v>18643.87</v>
      </c>
      <c r="J140" s="106">
        <f t="shared" si="1581"/>
        <v>36577.919999999998</v>
      </c>
      <c r="K140" s="106">
        <f t="shared" si="1582"/>
        <v>50051.5</v>
      </c>
      <c r="L140" s="106">
        <f t="shared" si="1583"/>
        <v>86693.85</v>
      </c>
      <c r="M140" s="106">
        <f t="shared" si="1584"/>
        <v>416675.01500000001</v>
      </c>
      <c r="N140" s="16" t="s">
        <v>117</v>
      </c>
      <c r="O140" s="106">
        <f t="shared" si="1585"/>
        <v>45263</v>
      </c>
      <c r="P140" s="106">
        <f t="shared" si="1586"/>
        <v>39762.400000000001</v>
      </c>
      <c r="Q140" s="106">
        <f t="shared" si="1587"/>
        <v>39152.699999999997</v>
      </c>
      <c r="R140" s="106">
        <f t="shared" si="1588"/>
        <v>49789.3</v>
      </c>
      <c r="S140" s="106">
        <f t="shared" si="1589"/>
        <v>19037.5</v>
      </c>
      <c r="T140" s="106">
        <f t="shared" si="1590"/>
        <v>69224.100000000006</v>
      </c>
      <c r="U140" s="106">
        <f t="shared" si="1591"/>
        <v>30872.035</v>
      </c>
      <c r="V140" s="106">
        <f t="shared" si="1592"/>
        <v>20300.5</v>
      </c>
      <c r="W140" s="106">
        <f t="shared" si="1593"/>
        <v>21961</v>
      </c>
      <c r="X140" s="106">
        <f t="shared" si="1594"/>
        <v>28025.5</v>
      </c>
      <c r="Y140" s="106">
        <f t="shared" si="1595"/>
        <v>0</v>
      </c>
      <c r="Z140" s="106">
        <f t="shared" si="1596"/>
        <v>0</v>
      </c>
      <c r="AA140" s="106">
        <f t="shared" si="1597"/>
        <v>363388.03499999997</v>
      </c>
      <c r="AB140" s="118">
        <f t="shared" si="1189"/>
        <v>-0.1928817714208278</v>
      </c>
      <c r="AC140" s="106">
        <f t="shared" si="1598"/>
        <v>34722.917916666665</v>
      </c>
      <c r="AD140" s="106">
        <f t="shared" si="1599"/>
        <v>34722.917916666665</v>
      </c>
      <c r="AE140" s="106">
        <f t="shared" si="1600"/>
        <v>34722.917916666665</v>
      </c>
      <c r="AF140" s="106">
        <f t="shared" si="1601"/>
        <v>34722.917916666665</v>
      </c>
      <c r="AG140" s="106">
        <f t="shared" si="1602"/>
        <v>34722.917916666665</v>
      </c>
      <c r="AH140" s="106">
        <f t="shared" si="1603"/>
        <v>34722.917916666665</v>
      </c>
      <c r="AI140" s="106">
        <f t="shared" si="1604"/>
        <v>34722.917916666665</v>
      </c>
      <c r="AJ140" s="106">
        <f t="shared" si="1605"/>
        <v>34722.917916666665</v>
      </c>
      <c r="AK140" s="106">
        <f t="shared" si="1606"/>
        <v>34722.917916666665</v>
      </c>
      <c r="AL140" s="106">
        <f t="shared" si="1607"/>
        <v>34722.917916666665</v>
      </c>
      <c r="AM140" s="106">
        <f t="shared" si="1608"/>
        <v>34722.917916666665</v>
      </c>
      <c r="AN140" s="106">
        <f t="shared" si="1609"/>
        <v>34722.917916666665</v>
      </c>
      <c r="AO140" s="106">
        <f t="shared" si="1610"/>
        <v>416675.01499999996</v>
      </c>
      <c r="AQ140" s="106">
        <v>11019.6</v>
      </c>
      <c r="AR140" s="106">
        <v>41635</v>
      </c>
      <c r="AS140" s="106">
        <v>12763.2</v>
      </c>
      <c r="AT140" s="106">
        <v>6817</v>
      </c>
      <c r="AU140" s="106">
        <v>8283.7999999999993</v>
      </c>
      <c r="AV140" s="106">
        <v>11522.2</v>
      </c>
      <c r="AW140" s="106">
        <v>5965</v>
      </c>
      <c r="AX140" s="106">
        <v>14858.6</v>
      </c>
      <c r="AY140" s="106">
        <v>5862.8</v>
      </c>
      <c r="AZ140" s="106">
        <v>17936.8</v>
      </c>
      <c r="BA140" s="106">
        <v>36854</v>
      </c>
      <c r="BB140" s="106">
        <v>73477.3</v>
      </c>
      <c r="BC140" s="106">
        <f t="shared" si="1611"/>
        <v>246995.3</v>
      </c>
      <c r="BD140" s="16" t="str">
        <f t="shared" si="1532"/>
        <v>Refreshment Expenses</v>
      </c>
      <c r="BE140" s="106">
        <f>+VLOOKUP($BD140,'Jan-25'!$A:$J,2,0)</f>
        <v>20892</v>
      </c>
      <c r="BF140" s="106">
        <f>+VLOOKUP($BD140,'Feb-25'!$A:$J,2,0)</f>
        <v>30814.2</v>
      </c>
      <c r="BG140" s="106">
        <f>+VLOOKUP($BD140,'Mar-25'!$A:$J,2,0)</f>
        <v>19589.599999999999</v>
      </c>
      <c r="BH140" s="106">
        <f>+VLOOKUP($BD140,'Apr-25'!$A:$J,2,0)</f>
        <v>27360.400000000001</v>
      </c>
      <c r="BI140" s="106">
        <f>+VLOOKUP($BD140,'May-25'!$A:$J,2,0)</f>
        <v>4943</v>
      </c>
      <c r="BJ140" s="106">
        <f>+VLOOKUP($BD140,'June-25'!$A:$J,2,0)</f>
        <v>35986.800000000003</v>
      </c>
      <c r="BK140" s="106">
        <f>+VLOOKUP($BD140,'July-25'!$A:$J,2,0)</f>
        <v>7292</v>
      </c>
      <c r="BL140" s="106">
        <f>+VLOOKUP($BD140,'Aug-25'!$A:$J,2,0)</f>
        <v>8598</v>
      </c>
      <c r="BM140" s="106">
        <f>+VLOOKUP($BD140,'Sep-25'!$A:$J,2,0)</f>
        <v>19503</v>
      </c>
      <c r="BN140" s="106">
        <f>+VLOOKUP($BD140,'Oct-25'!$A:$J,2,0)</f>
        <v>14298</v>
      </c>
      <c r="BO140" s="106">
        <f>+VLOOKUP($BD140,'Nov-25'!$A:$J,2,0)</f>
        <v>0</v>
      </c>
      <c r="BP140" s="106">
        <f>+VLOOKUP($BD140,'Dec-25'!$A:$J,2,0)</f>
        <v>0</v>
      </c>
      <c r="BQ140" s="106">
        <f t="shared" si="1612"/>
        <v>189277</v>
      </c>
      <c r="BR140" s="118">
        <f t="shared" si="1190"/>
        <v>-0.30534710579513047</v>
      </c>
      <c r="BS140" s="106" cm="1">
        <f t="array" ref="BS140:CD140">+_xlfn.XLOOKUP(BD140,Budget!A:A,Budget!Q:AB)</f>
        <v>20582.941666666666</v>
      </c>
      <c r="BT140" s="106">
        <v>20582.941666666666</v>
      </c>
      <c r="BU140" s="106">
        <v>20582.941666666666</v>
      </c>
      <c r="BV140" s="106">
        <v>20582.941666666666</v>
      </c>
      <c r="BW140" s="106">
        <v>20582.941666666666</v>
      </c>
      <c r="BX140" s="106">
        <v>20582.941666666666</v>
      </c>
      <c r="BY140" s="106">
        <v>20582.941666666666</v>
      </c>
      <c r="BZ140" s="106">
        <v>20582.941666666666</v>
      </c>
      <c r="CA140" s="106">
        <v>20582.941666666666</v>
      </c>
      <c r="CB140" s="106">
        <v>20582.941666666666</v>
      </c>
      <c r="CC140" s="106">
        <v>20582.941666666666</v>
      </c>
      <c r="CD140" s="106">
        <v>20582.941666666666</v>
      </c>
      <c r="CE140" s="106">
        <f t="shared" si="1613"/>
        <v>246995.29999999993</v>
      </c>
      <c r="CF140" s="22"/>
      <c r="CG140" s="106">
        <v>13038.33</v>
      </c>
      <c r="CH140" s="106">
        <v>15135.215</v>
      </c>
      <c r="CI140" s="106">
        <v>8259.625</v>
      </c>
      <c r="CJ140" s="106">
        <v>9290</v>
      </c>
      <c r="CK140" s="106">
        <v>22146.05</v>
      </c>
      <c r="CL140" s="106">
        <v>16827.555</v>
      </c>
      <c r="CM140" s="106">
        <v>11406</v>
      </c>
      <c r="CN140" s="106">
        <v>15740.7</v>
      </c>
      <c r="CO140" s="106">
        <v>12781.07</v>
      </c>
      <c r="CP140" s="106">
        <v>18641.12</v>
      </c>
      <c r="CQ140" s="106">
        <v>13197.5</v>
      </c>
      <c r="CR140" s="106">
        <v>13216.55</v>
      </c>
      <c r="CS140" s="106">
        <f t="shared" si="1614"/>
        <v>169679.71499999997</v>
      </c>
      <c r="CT140" s="16" t="str">
        <f t="shared" si="1536"/>
        <v>Refreshment Expenses</v>
      </c>
      <c r="CU140" s="106">
        <f>+VLOOKUP($BD140,'Jan-25'!$A:$J,6,0)</f>
        <v>24371</v>
      </c>
      <c r="CV140" s="106">
        <f>+VLOOKUP($BD140,'Feb-25'!$A:$J,6,0)</f>
        <v>8948.2000000000007</v>
      </c>
      <c r="CW140" s="106">
        <f>+VLOOKUP($BD140,'Mar-25'!$A:$J,6,0)</f>
        <v>19563.099999999999</v>
      </c>
      <c r="CX140" s="106">
        <f>+VLOOKUP($BD140,'Apr-25'!$A:$J,6,0)</f>
        <v>22428.9</v>
      </c>
      <c r="CY140" s="106">
        <f>+VLOOKUP($BD140,'May-25'!$A:$J,6,0)</f>
        <v>14094.5</v>
      </c>
      <c r="CZ140" s="106">
        <f>+VLOOKUP($BD140,'June-25'!$A:$J,6,0)</f>
        <v>33237.300000000003</v>
      </c>
      <c r="DA140" s="106">
        <f>+VLOOKUP($BD140,'July-25'!$A:$J,6,0)</f>
        <v>23580.035</v>
      </c>
      <c r="DB140" s="106">
        <f>+VLOOKUP($BD140,'Aug-25'!$A:$J,6,0)</f>
        <v>11702.5</v>
      </c>
      <c r="DC140" s="106">
        <f>+VLOOKUP($BD140,'Sep-25'!$A:$J,6,0)</f>
        <v>2458</v>
      </c>
      <c r="DD140" s="106">
        <f>+VLOOKUP($BD140,'Oct-25'!$A:$J,6,0)</f>
        <v>13727.5</v>
      </c>
      <c r="DE140" s="106">
        <f>+VLOOKUP($BD140,'Nov-25'!$A:$J,6,0)</f>
        <v>0</v>
      </c>
      <c r="DF140" s="106">
        <f>+VLOOKUP($BD140,'Dec-25'!$A:$J,6,0)</f>
        <v>0</v>
      </c>
      <c r="DG140" s="106">
        <f t="shared" si="1615"/>
        <v>174111.035</v>
      </c>
      <c r="DH140" s="118">
        <f t="shared" si="1191"/>
        <v>-2.9170929477338969E-2</v>
      </c>
      <c r="DI140" s="106">
        <f>+_xlfn.XLOOKUP($CT140,Budget!$A:$A,Budget!BQ:BQ)</f>
        <v>14139.976249999998</v>
      </c>
      <c r="DJ140" s="106">
        <f>+_xlfn.XLOOKUP($CT140,Budget!$A:$A,Budget!BR:BR)</f>
        <v>14139.976249999998</v>
      </c>
      <c r="DK140" s="106">
        <f>+_xlfn.XLOOKUP($CT140,Budget!$A:$A,Budget!BS:BS)</f>
        <v>14139.976249999998</v>
      </c>
      <c r="DL140" s="106">
        <f>+_xlfn.XLOOKUP($CT140,Budget!$A:$A,Budget!BT:BT)</f>
        <v>14139.976249999998</v>
      </c>
      <c r="DM140" s="106">
        <f>+_xlfn.XLOOKUP($CT140,Budget!$A:$A,Budget!BU:BU)</f>
        <v>14139.976249999998</v>
      </c>
      <c r="DN140" s="106">
        <f>+_xlfn.XLOOKUP($CT140,Budget!$A:$A,Budget!BV:BV)</f>
        <v>14139.976249999998</v>
      </c>
      <c r="DO140" s="106">
        <f>+_xlfn.XLOOKUP($CT140,Budget!$A:$A,Budget!BW:BW)</f>
        <v>14139.976249999998</v>
      </c>
      <c r="DP140" s="106">
        <f>+_xlfn.XLOOKUP($CT140,Budget!$A:$A,Budget!BX:BX)</f>
        <v>14139.976249999998</v>
      </c>
      <c r="DQ140" s="106">
        <f>+_xlfn.XLOOKUP($CT140,Budget!$A:$A,Budget!BY:BY)</f>
        <v>14139.976249999998</v>
      </c>
      <c r="DR140" s="106">
        <f>+_xlfn.XLOOKUP($CT140,Budget!$A:$A,Budget!BZ:BZ)</f>
        <v>14139.976249999998</v>
      </c>
      <c r="DS140" s="106">
        <f>+_xlfn.XLOOKUP($CT140,Budget!$A:$A,Budget!CA:CA)</f>
        <v>14139.976249999998</v>
      </c>
      <c r="DT140" s="106">
        <f>+_xlfn.XLOOKUP($CT140,Budget!$A:$A,Budget!CB:CB)</f>
        <v>14139.976249999998</v>
      </c>
      <c r="DU140" s="106">
        <f t="shared" si="1616"/>
        <v>169679.71499999997</v>
      </c>
    </row>
    <row r="141" spans="1:125" ht="14.45" hidden="1" customHeight="1" outlineLevel="2">
      <c r="A141" s="106">
        <f t="shared" si="1572"/>
        <v>11500</v>
      </c>
      <c r="B141" s="106">
        <f t="shared" si="1573"/>
        <v>11500</v>
      </c>
      <c r="C141" s="106">
        <f t="shared" si="1574"/>
        <v>11500</v>
      </c>
      <c r="D141" s="106">
        <f t="shared" si="1575"/>
        <v>11500</v>
      </c>
      <c r="E141" s="106">
        <f t="shared" si="1576"/>
        <v>11500</v>
      </c>
      <c r="F141" s="106">
        <f t="shared" si="1577"/>
        <v>11500</v>
      </c>
      <c r="G141" s="106">
        <f t="shared" si="1578"/>
        <v>12500</v>
      </c>
      <c r="H141" s="106">
        <f t="shared" si="1579"/>
        <v>12500</v>
      </c>
      <c r="I141" s="106">
        <f t="shared" si="1580"/>
        <v>12500</v>
      </c>
      <c r="J141" s="106">
        <f t="shared" si="1581"/>
        <v>12500</v>
      </c>
      <c r="K141" s="106">
        <f t="shared" si="1582"/>
        <v>12500</v>
      </c>
      <c r="L141" s="106">
        <f t="shared" si="1583"/>
        <v>12500</v>
      </c>
      <c r="M141" s="106">
        <f t="shared" si="1584"/>
        <v>144000</v>
      </c>
      <c r="N141" s="16" t="s">
        <v>227</v>
      </c>
      <c r="O141" s="106">
        <f t="shared" si="1585"/>
        <v>22500</v>
      </c>
      <c r="P141" s="106">
        <f t="shared" si="1586"/>
        <v>22500</v>
      </c>
      <c r="Q141" s="106">
        <f t="shared" si="1587"/>
        <v>22500</v>
      </c>
      <c r="R141" s="106">
        <f t="shared" si="1588"/>
        <v>22500</v>
      </c>
      <c r="S141" s="106">
        <f t="shared" si="1589"/>
        <v>22500</v>
      </c>
      <c r="T141" s="106">
        <f t="shared" si="1590"/>
        <v>22500</v>
      </c>
      <c r="U141" s="106">
        <f t="shared" si="1591"/>
        <v>22500</v>
      </c>
      <c r="V141" s="106">
        <f t="shared" si="1592"/>
        <v>24750</v>
      </c>
      <c r="W141" s="106">
        <f t="shared" si="1593"/>
        <v>23250</v>
      </c>
      <c r="X141" s="106">
        <f t="shared" si="1594"/>
        <v>23250</v>
      </c>
      <c r="Y141" s="106">
        <f t="shared" si="1595"/>
        <v>0</v>
      </c>
      <c r="Z141" s="106">
        <f t="shared" si="1596"/>
        <v>0</v>
      </c>
      <c r="AA141" s="106">
        <f t="shared" si="1597"/>
        <v>228750</v>
      </c>
      <c r="AB141" s="118">
        <f t="shared" si="1189"/>
        <v>0</v>
      </c>
      <c r="AC141" s="106">
        <f t="shared" si="1598"/>
        <v>0</v>
      </c>
      <c r="AD141" s="106">
        <f t="shared" si="1599"/>
        <v>0</v>
      </c>
      <c r="AE141" s="106">
        <f t="shared" si="1600"/>
        <v>0</v>
      </c>
      <c r="AF141" s="106">
        <f t="shared" si="1601"/>
        <v>0</v>
      </c>
      <c r="AG141" s="106">
        <f t="shared" si="1602"/>
        <v>0</v>
      </c>
      <c r="AH141" s="106">
        <f t="shared" si="1603"/>
        <v>0</v>
      </c>
      <c r="AI141" s="106">
        <f t="shared" si="1604"/>
        <v>0</v>
      </c>
      <c r="AJ141" s="106">
        <f t="shared" si="1605"/>
        <v>0</v>
      </c>
      <c r="AK141" s="106">
        <f t="shared" si="1606"/>
        <v>0</v>
      </c>
      <c r="AL141" s="106">
        <f t="shared" si="1607"/>
        <v>0</v>
      </c>
      <c r="AM141" s="106">
        <f t="shared" si="1608"/>
        <v>0</v>
      </c>
      <c r="AN141" s="106">
        <f t="shared" si="1609"/>
        <v>0</v>
      </c>
      <c r="AO141" s="106">
        <f t="shared" si="1610"/>
        <v>0</v>
      </c>
      <c r="AQ141" s="106">
        <v>0</v>
      </c>
      <c r="AR141" s="106">
        <v>0</v>
      </c>
      <c r="AS141" s="106">
        <v>0</v>
      </c>
      <c r="AT141" s="106">
        <v>0</v>
      </c>
      <c r="AU141" s="106">
        <v>0</v>
      </c>
      <c r="AV141" s="106">
        <v>0</v>
      </c>
      <c r="AW141" s="106">
        <v>0</v>
      </c>
      <c r="AX141" s="106">
        <v>0</v>
      </c>
      <c r="AY141" s="106">
        <v>0</v>
      </c>
      <c r="AZ141" s="106">
        <v>0</v>
      </c>
      <c r="BA141" s="106">
        <v>0</v>
      </c>
      <c r="BB141" s="106">
        <v>0</v>
      </c>
      <c r="BC141" s="106">
        <f t="shared" si="1611"/>
        <v>0</v>
      </c>
      <c r="BD141" s="16" t="str">
        <f t="shared" si="1532"/>
        <v>Staff Accommedation -Rent</v>
      </c>
      <c r="BE141" s="106">
        <f>+VLOOKUP($BD141,'Jan-25'!$A:$J,2,0)</f>
        <v>0</v>
      </c>
      <c r="BF141" s="106">
        <f>+VLOOKUP($BD141,'Feb-25'!$A:$J,2,0)</f>
        <v>0</v>
      </c>
      <c r="BG141" s="106">
        <f>+VLOOKUP($BD141,'Mar-25'!$A:$J,2,0)</f>
        <v>0</v>
      </c>
      <c r="BH141" s="106">
        <f>+VLOOKUP($BD141,'Apr-25'!$A:$J,2,0)</f>
        <v>0</v>
      </c>
      <c r="BI141" s="106">
        <f>+VLOOKUP($BD141,'May-25'!$A:$J,2,0)</f>
        <v>0</v>
      </c>
      <c r="BJ141" s="106">
        <f>+VLOOKUP($BD141,'June-25'!$A:$J,2,0)</f>
        <v>0</v>
      </c>
      <c r="BK141" s="106">
        <f>+VLOOKUP($BD141,'July-25'!$A:$J,2,0)</f>
        <v>0</v>
      </c>
      <c r="BL141" s="106">
        <f>+VLOOKUP($BD141,'Aug-25'!$A:$J,2,0)</f>
        <v>0</v>
      </c>
      <c r="BM141" s="106">
        <f>+VLOOKUP($BD141,'Sep-25'!$A:$J,2,0)</f>
        <v>0</v>
      </c>
      <c r="BN141" s="106">
        <f>+VLOOKUP($BD141,'Oct-25'!$A:$J,2,0)</f>
        <v>0</v>
      </c>
      <c r="BO141" s="106">
        <f>+VLOOKUP($BD141,'Nov-25'!$A:$J,2,0)</f>
        <v>0</v>
      </c>
      <c r="BP141" s="106">
        <f>+VLOOKUP($BD141,'Dec-25'!$A:$J,2,0)</f>
        <v>0</v>
      </c>
      <c r="BQ141" s="106">
        <f t="shared" si="1612"/>
        <v>0</v>
      </c>
      <c r="BR141" s="118">
        <f t="shared" si="1190"/>
        <v>0</v>
      </c>
      <c r="BS141" s="106" cm="1">
        <f t="array" ref="BS141:CD141">+_xlfn.XLOOKUP(BD141,Budget!A:A,Budget!Q:AB)</f>
        <v>0</v>
      </c>
      <c r="BT141" s="106">
        <v>0</v>
      </c>
      <c r="BU141" s="106">
        <v>0</v>
      </c>
      <c r="BV141" s="106">
        <v>0</v>
      </c>
      <c r="BW141" s="106">
        <v>0</v>
      </c>
      <c r="BX141" s="106">
        <v>0</v>
      </c>
      <c r="BY141" s="106">
        <v>0</v>
      </c>
      <c r="BZ141" s="106">
        <v>0</v>
      </c>
      <c r="CA141" s="106">
        <v>0</v>
      </c>
      <c r="CB141" s="106">
        <v>0</v>
      </c>
      <c r="CC141" s="106">
        <v>0</v>
      </c>
      <c r="CD141" s="106">
        <v>0</v>
      </c>
      <c r="CE141" s="106">
        <f t="shared" si="1613"/>
        <v>0</v>
      </c>
      <c r="CF141" s="22"/>
      <c r="CG141" s="106">
        <v>11500</v>
      </c>
      <c r="CH141" s="106">
        <v>11500</v>
      </c>
      <c r="CI141" s="106">
        <v>11500</v>
      </c>
      <c r="CJ141" s="106">
        <v>11500</v>
      </c>
      <c r="CK141" s="106">
        <v>11500</v>
      </c>
      <c r="CL141" s="106">
        <v>11500</v>
      </c>
      <c r="CM141" s="106">
        <v>12500</v>
      </c>
      <c r="CN141" s="106">
        <v>12500</v>
      </c>
      <c r="CO141" s="106">
        <v>12500</v>
      </c>
      <c r="CP141" s="106">
        <v>12500</v>
      </c>
      <c r="CQ141" s="106">
        <v>12500</v>
      </c>
      <c r="CR141" s="106">
        <v>12500</v>
      </c>
      <c r="CS141" s="106">
        <f t="shared" si="1614"/>
        <v>144000</v>
      </c>
      <c r="CT141" s="16" t="str">
        <f t="shared" si="1536"/>
        <v>Staff Accommedation -Rent</v>
      </c>
      <c r="CU141" s="106">
        <f>+VLOOKUP($BD141,'Jan-25'!$A:$J,6,0)</f>
        <v>22500</v>
      </c>
      <c r="CV141" s="106">
        <f>+VLOOKUP($BD141,'Feb-25'!$A:$J,6,0)</f>
        <v>22500</v>
      </c>
      <c r="CW141" s="106">
        <f>+VLOOKUP($BD141,'Mar-25'!$A:$J,6,0)</f>
        <v>22500</v>
      </c>
      <c r="CX141" s="106">
        <f>+VLOOKUP($BD141,'Apr-25'!$A:$J,6,0)</f>
        <v>22500</v>
      </c>
      <c r="CY141" s="106">
        <f>+VLOOKUP($BD141,'May-25'!$A:$J,6,0)</f>
        <v>22500</v>
      </c>
      <c r="CZ141" s="106">
        <f>+VLOOKUP($BD141,'June-25'!$A:$J,6,0)</f>
        <v>22500</v>
      </c>
      <c r="DA141" s="106">
        <f>+VLOOKUP($BD141,'July-25'!$A:$J,6,0)</f>
        <v>22500</v>
      </c>
      <c r="DB141" s="106">
        <f>+VLOOKUP($BD141,'Aug-25'!$A:$J,6,0)</f>
        <v>24750</v>
      </c>
      <c r="DC141" s="106">
        <f>+VLOOKUP($BD141,'Sep-25'!$A:$J,6,0)</f>
        <v>23250</v>
      </c>
      <c r="DD141" s="106">
        <f>+VLOOKUP($BD141,'Oct-25'!$A:$J,6,0)</f>
        <v>23250</v>
      </c>
      <c r="DE141" s="106">
        <f>+VLOOKUP($BD141,'Nov-25'!$A:$J,6,0)</f>
        <v>0</v>
      </c>
      <c r="DF141" s="106">
        <f>+VLOOKUP($BD141,'Dec-25'!$A:$J,6,0)</f>
        <v>0</v>
      </c>
      <c r="DG141" s="106">
        <f t="shared" si="1615"/>
        <v>228750</v>
      </c>
      <c r="DH141" s="118">
        <f t="shared" si="1191"/>
        <v>0</v>
      </c>
      <c r="DI141" s="106">
        <f>+_xlfn.XLOOKUP($CT141,Budget!$A:$A,Budget!BQ:BQ)</f>
        <v>0</v>
      </c>
      <c r="DJ141" s="106">
        <f>+_xlfn.XLOOKUP($CT141,Budget!$A:$A,Budget!BR:BR)</f>
        <v>0</v>
      </c>
      <c r="DK141" s="106">
        <f>+_xlfn.XLOOKUP($CT141,Budget!$A:$A,Budget!BS:BS)</f>
        <v>0</v>
      </c>
      <c r="DL141" s="106">
        <f>+_xlfn.XLOOKUP($CT141,Budget!$A:$A,Budget!BT:BT)</f>
        <v>0</v>
      </c>
      <c r="DM141" s="106">
        <f>+_xlfn.XLOOKUP($CT141,Budget!$A:$A,Budget!BU:BU)</f>
        <v>0</v>
      </c>
      <c r="DN141" s="106">
        <f>+_xlfn.XLOOKUP($CT141,Budget!$A:$A,Budget!BV:BV)</f>
        <v>0</v>
      </c>
      <c r="DO141" s="106">
        <f>+_xlfn.XLOOKUP($CT141,Budget!$A:$A,Budget!BW:BW)</f>
        <v>0</v>
      </c>
      <c r="DP141" s="106">
        <f>+_xlfn.XLOOKUP($CT141,Budget!$A:$A,Budget!BX:BX)</f>
        <v>0</v>
      </c>
      <c r="DQ141" s="106">
        <f>+_xlfn.XLOOKUP($CT141,Budget!$A:$A,Budget!BY:BY)</f>
        <v>0</v>
      </c>
      <c r="DR141" s="106">
        <f>+_xlfn.XLOOKUP($CT141,Budget!$A:$A,Budget!BZ:BZ)</f>
        <v>0</v>
      </c>
      <c r="DS141" s="106">
        <f>+_xlfn.XLOOKUP($CT141,Budget!$A:$A,Budget!CA:CA)</f>
        <v>0</v>
      </c>
      <c r="DT141" s="106">
        <f>+_xlfn.XLOOKUP($CT141,Budget!$A:$A,Budget!CB:CB)</f>
        <v>0</v>
      </c>
      <c r="DU141" s="106">
        <f t="shared" si="1616"/>
        <v>0</v>
      </c>
    </row>
    <row r="142" spans="1:125" ht="14.45" hidden="1" customHeight="1" outlineLevel="2">
      <c r="A142" s="106">
        <f t="shared" si="1572"/>
        <v>0</v>
      </c>
      <c r="B142" s="106">
        <f t="shared" si="1573"/>
        <v>0</v>
      </c>
      <c r="C142" s="106">
        <f t="shared" si="1574"/>
        <v>0</v>
      </c>
      <c r="D142" s="106">
        <f t="shared" si="1575"/>
        <v>0</v>
      </c>
      <c r="E142" s="106">
        <f t="shared" si="1576"/>
        <v>3913.5</v>
      </c>
      <c r="F142" s="106">
        <f t="shared" si="1577"/>
        <v>1400</v>
      </c>
      <c r="G142" s="106">
        <f t="shared" si="1578"/>
        <v>0</v>
      </c>
      <c r="H142" s="106">
        <f t="shared" si="1579"/>
        <v>0</v>
      </c>
      <c r="I142" s="106">
        <f t="shared" si="1580"/>
        <v>0</v>
      </c>
      <c r="J142" s="106">
        <f t="shared" si="1581"/>
        <v>0</v>
      </c>
      <c r="K142" s="106">
        <f t="shared" si="1582"/>
        <v>0</v>
      </c>
      <c r="L142" s="106">
        <f t="shared" si="1583"/>
        <v>0</v>
      </c>
      <c r="M142" s="106">
        <f t="shared" si="1584"/>
        <v>5313.5</v>
      </c>
      <c r="N142" s="16" t="s">
        <v>228</v>
      </c>
      <c r="O142" s="106">
        <f t="shared" si="1585"/>
        <v>0</v>
      </c>
      <c r="P142" s="106">
        <f t="shared" si="1586"/>
        <v>9731.86</v>
      </c>
      <c r="Q142" s="106">
        <f t="shared" si="1587"/>
        <v>683.3</v>
      </c>
      <c r="R142" s="106">
        <f t="shared" si="1588"/>
        <v>0</v>
      </c>
      <c r="S142" s="106">
        <f t="shared" si="1589"/>
        <v>0</v>
      </c>
      <c r="T142" s="106">
        <f t="shared" si="1590"/>
        <v>0</v>
      </c>
      <c r="U142" s="106">
        <f t="shared" si="1591"/>
        <v>6761.88</v>
      </c>
      <c r="V142" s="106">
        <f t="shared" si="1592"/>
        <v>8474.5750000000007</v>
      </c>
      <c r="W142" s="106">
        <f t="shared" si="1593"/>
        <v>0</v>
      </c>
      <c r="X142" s="106">
        <f t="shared" si="1594"/>
        <v>0</v>
      </c>
      <c r="Y142" s="106">
        <f t="shared" si="1595"/>
        <v>0</v>
      </c>
      <c r="Z142" s="106">
        <f t="shared" si="1596"/>
        <v>0</v>
      </c>
      <c r="AA142" s="106">
        <f t="shared" si="1597"/>
        <v>25651.615000000002</v>
      </c>
      <c r="AB142" s="118">
        <f t="shared" si="1189"/>
        <v>0</v>
      </c>
      <c r="AC142" s="106">
        <f t="shared" si="1598"/>
        <v>0</v>
      </c>
      <c r="AD142" s="106">
        <f t="shared" si="1599"/>
        <v>0</v>
      </c>
      <c r="AE142" s="106">
        <f t="shared" si="1600"/>
        <v>0</v>
      </c>
      <c r="AF142" s="106">
        <f t="shared" si="1601"/>
        <v>0</v>
      </c>
      <c r="AG142" s="106">
        <f t="shared" si="1602"/>
        <v>0</v>
      </c>
      <c r="AH142" s="106">
        <f t="shared" si="1603"/>
        <v>0</v>
      </c>
      <c r="AI142" s="106">
        <f t="shared" si="1604"/>
        <v>0</v>
      </c>
      <c r="AJ142" s="106">
        <f t="shared" si="1605"/>
        <v>0</v>
      </c>
      <c r="AK142" s="106">
        <f t="shared" si="1606"/>
        <v>0</v>
      </c>
      <c r="AL142" s="106">
        <f t="shared" si="1607"/>
        <v>0</v>
      </c>
      <c r="AM142" s="106">
        <f t="shared" si="1608"/>
        <v>0</v>
      </c>
      <c r="AN142" s="106">
        <f t="shared" si="1609"/>
        <v>0</v>
      </c>
      <c r="AO142" s="106">
        <f t="shared" si="1610"/>
        <v>0</v>
      </c>
      <c r="AQ142" s="106">
        <v>0</v>
      </c>
      <c r="AR142" s="106">
        <v>0</v>
      </c>
      <c r="AS142" s="106">
        <v>0</v>
      </c>
      <c r="AT142" s="106">
        <v>0</v>
      </c>
      <c r="AU142" s="106">
        <v>0</v>
      </c>
      <c r="AV142" s="106">
        <v>0</v>
      </c>
      <c r="AW142" s="106">
        <v>0</v>
      </c>
      <c r="AX142" s="106">
        <v>0</v>
      </c>
      <c r="AY142" s="106">
        <v>0</v>
      </c>
      <c r="AZ142" s="106">
        <v>0</v>
      </c>
      <c r="BA142" s="106">
        <v>0</v>
      </c>
      <c r="BB142" s="106">
        <v>0</v>
      </c>
      <c r="BC142" s="106">
        <f t="shared" si="1611"/>
        <v>0</v>
      </c>
      <c r="BD142" s="16" t="str">
        <f t="shared" si="1532"/>
        <v>Staff Accommedation -Maintanence</v>
      </c>
      <c r="BE142" s="106">
        <f>+VLOOKUP($BD142,'Jan-25'!$A:$J,2,0)</f>
        <v>0</v>
      </c>
      <c r="BF142" s="106">
        <f>+VLOOKUP($BD142,'Feb-25'!$A:$J,2,0)</f>
        <v>0</v>
      </c>
      <c r="BG142" s="106">
        <f>+VLOOKUP($BD142,'Mar-25'!$A:$J,2,0)</f>
        <v>0</v>
      </c>
      <c r="BH142" s="106">
        <f>+VLOOKUP($BD142,'Apr-25'!$A:$J,2,0)</f>
        <v>0</v>
      </c>
      <c r="BI142" s="106">
        <f>+VLOOKUP($BD142,'May-25'!$A:$J,2,0)</f>
        <v>0</v>
      </c>
      <c r="BJ142" s="106">
        <f>+VLOOKUP($BD142,'June-25'!$A:$J,2,0)</f>
        <v>0</v>
      </c>
      <c r="BK142" s="106">
        <f>+VLOOKUP($BD142,'July-25'!$A:$J,2,0)</f>
        <v>6761.88</v>
      </c>
      <c r="BL142" s="106">
        <f>+VLOOKUP($BD142,'Aug-25'!$A:$J,2,0)</f>
        <v>0</v>
      </c>
      <c r="BM142" s="106">
        <f>+VLOOKUP($BD142,'Sep-25'!$A:$J,2,0)</f>
        <v>0</v>
      </c>
      <c r="BN142" s="106">
        <f>+VLOOKUP($BD142,'Oct-25'!$A:$J,2,0)</f>
        <v>0</v>
      </c>
      <c r="BO142" s="106">
        <f>+VLOOKUP($BD142,'Nov-25'!$A:$J,2,0)</f>
        <v>0</v>
      </c>
      <c r="BP142" s="106">
        <f>+VLOOKUP($BD142,'Dec-25'!$A:$J,2,0)</f>
        <v>0</v>
      </c>
      <c r="BQ142" s="106">
        <f t="shared" si="1612"/>
        <v>6761.88</v>
      </c>
      <c r="BR142" s="118">
        <f t="shared" si="1190"/>
        <v>0</v>
      </c>
      <c r="BS142" s="106" cm="1">
        <f t="array" ref="BS142:CD142">+_xlfn.XLOOKUP(BD142,Budget!A:A,Budget!Q:AB)</f>
        <v>0</v>
      </c>
      <c r="BT142" s="106">
        <v>0</v>
      </c>
      <c r="BU142" s="106">
        <v>0</v>
      </c>
      <c r="BV142" s="106">
        <v>0</v>
      </c>
      <c r="BW142" s="106">
        <v>0</v>
      </c>
      <c r="BX142" s="106">
        <v>0</v>
      </c>
      <c r="BY142" s="106">
        <v>0</v>
      </c>
      <c r="BZ142" s="106">
        <v>0</v>
      </c>
      <c r="CA142" s="106">
        <v>0</v>
      </c>
      <c r="CB142" s="106">
        <v>0</v>
      </c>
      <c r="CC142" s="106">
        <v>0</v>
      </c>
      <c r="CD142" s="106">
        <v>0</v>
      </c>
      <c r="CE142" s="106">
        <f t="shared" si="1613"/>
        <v>0</v>
      </c>
      <c r="CF142" s="22"/>
      <c r="CG142" s="106">
        <v>0</v>
      </c>
      <c r="CH142" s="106">
        <v>0</v>
      </c>
      <c r="CI142" s="106">
        <v>0</v>
      </c>
      <c r="CJ142" s="106">
        <v>0</v>
      </c>
      <c r="CK142" s="106">
        <v>3913.5</v>
      </c>
      <c r="CL142" s="106">
        <v>1400</v>
      </c>
      <c r="CM142" s="106">
        <v>0</v>
      </c>
      <c r="CN142" s="106">
        <v>0</v>
      </c>
      <c r="CO142" s="106">
        <v>0</v>
      </c>
      <c r="CP142" s="106">
        <v>0</v>
      </c>
      <c r="CQ142" s="106">
        <v>0</v>
      </c>
      <c r="CR142" s="106">
        <v>0</v>
      </c>
      <c r="CS142" s="106">
        <f t="shared" si="1614"/>
        <v>5313.5</v>
      </c>
      <c r="CT142" s="16" t="str">
        <f t="shared" si="1536"/>
        <v>Staff Accommedation -Maintanence</v>
      </c>
      <c r="CU142" s="106">
        <f>+VLOOKUP($BD142,'Jan-25'!$A:$J,6,0)</f>
        <v>0</v>
      </c>
      <c r="CV142" s="106">
        <f>+VLOOKUP($BD142,'Feb-25'!$A:$J,6,0)</f>
        <v>9731.86</v>
      </c>
      <c r="CW142" s="106">
        <f>+VLOOKUP($BD142,'Mar-25'!$A:$J,6,0)</f>
        <v>683.3</v>
      </c>
      <c r="CX142" s="106">
        <f>+VLOOKUP($BD142,'Apr-25'!$A:$J,6,0)</f>
        <v>0</v>
      </c>
      <c r="CY142" s="106">
        <f>+VLOOKUP($BD142,'May-25'!$A:$J,6,0)</f>
        <v>0</v>
      </c>
      <c r="CZ142" s="106">
        <f>+VLOOKUP($BD142,'June-25'!$A:$J,6,0)</f>
        <v>0</v>
      </c>
      <c r="DA142" s="106">
        <f>+VLOOKUP($BD142,'July-25'!$A:$J,6,0)</f>
        <v>0</v>
      </c>
      <c r="DB142" s="106">
        <f>+VLOOKUP($BD142,'Aug-25'!$A:$J,6,0)</f>
        <v>8474.5750000000007</v>
      </c>
      <c r="DC142" s="106">
        <f>+VLOOKUP($BD142,'Sep-25'!$A:$J,6,0)</f>
        <v>0</v>
      </c>
      <c r="DD142" s="106">
        <f>+VLOOKUP($BD142,'Oct-25'!$A:$J,6,0)</f>
        <v>0</v>
      </c>
      <c r="DE142" s="106">
        <f>+VLOOKUP($BD142,'Nov-25'!$A:$J,6,0)</f>
        <v>0</v>
      </c>
      <c r="DF142" s="106">
        <f>+VLOOKUP($BD142,'Dec-25'!$A:$J,6,0)</f>
        <v>0</v>
      </c>
      <c r="DG142" s="106">
        <f t="shared" si="1615"/>
        <v>18889.735000000001</v>
      </c>
      <c r="DH142" s="118">
        <f t="shared" si="1191"/>
        <v>0</v>
      </c>
      <c r="DI142" s="106">
        <f>+_xlfn.XLOOKUP($CT142,Budget!$A:$A,Budget!BQ:BQ)</f>
        <v>0</v>
      </c>
      <c r="DJ142" s="106">
        <f>+_xlfn.XLOOKUP($CT142,Budget!$A:$A,Budget!BR:BR)</f>
        <v>0</v>
      </c>
      <c r="DK142" s="106">
        <f>+_xlfn.XLOOKUP($CT142,Budget!$A:$A,Budget!BS:BS)</f>
        <v>0</v>
      </c>
      <c r="DL142" s="106">
        <f>+_xlfn.XLOOKUP($CT142,Budget!$A:$A,Budget!BT:BT)</f>
        <v>0</v>
      </c>
      <c r="DM142" s="106">
        <f>+_xlfn.XLOOKUP($CT142,Budget!$A:$A,Budget!BU:BU)</f>
        <v>0</v>
      </c>
      <c r="DN142" s="106">
        <f>+_xlfn.XLOOKUP($CT142,Budget!$A:$A,Budget!BV:BV)</f>
        <v>0</v>
      </c>
      <c r="DO142" s="106">
        <f>+_xlfn.XLOOKUP($CT142,Budget!$A:$A,Budget!BW:BW)</f>
        <v>0</v>
      </c>
      <c r="DP142" s="106">
        <f>+_xlfn.XLOOKUP($CT142,Budget!$A:$A,Budget!BX:BX)</f>
        <v>0</v>
      </c>
      <c r="DQ142" s="106">
        <f>+_xlfn.XLOOKUP($CT142,Budget!$A:$A,Budget!BY:BY)</f>
        <v>0</v>
      </c>
      <c r="DR142" s="106">
        <f>+_xlfn.XLOOKUP($CT142,Budget!$A:$A,Budget!BZ:BZ)</f>
        <v>0</v>
      </c>
      <c r="DS142" s="106">
        <f>+_xlfn.XLOOKUP($CT142,Budget!$A:$A,Budget!CA:CA)</f>
        <v>0</v>
      </c>
      <c r="DT142" s="106">
        <f>+_xlfn.XLOOKUP($CT142,Budget!$A:$A,Budget!CB:CB)</f>
        <v>0</v>
      </c>
      <c r="DU142" s="106">
        <f t="shared" si="1616"/>
        <v>0</v>
      </c>
    </row>
    <row r="143" spans="1:125" ht="14.45" hidden="1" customHeight="1" outlineLevel="2">
      <c r="A143" s="106">
        <f t="shared" si="1572"/>
        <v>0</v>
      </c>
      <c r="B143" s="106">
        <f t="shared" si="1573"/>
        <v>0</v>
      </c>
      <c r="C143" s="106">
        <f t="shared" si="1574"/>
        <v>88964.6</v>
      </c>
      <c r="D143" s="106">
        <f t="shared" si="1575"/>
        <v>120000</v>
      </c>
      <c r="E143" s="106">
        <f t="shared" si="1576"/>
        <v>250000</v>
      </c>
      <c r="F143" s="106">
        <f t="shared" si="1577"/>
        <v>0</v>
      </c>
      <c r="G143" s="106">
        <f t="shared" si="1578"/>
        <v>0</v>
      </c>
      <c r="H143" s="106">
        <f t="shared" si="1579"/>
        <v>0</v>
      </c>
      <c r="I143" s="106">
        <f t="shared" si="1580"/>
        <v>30000</v>
      </c>
      <c r="J143" s="106">
        <f t="shared" si="1581"/>
        <v>0</v>
      </c>
      <c r="K143" s="106">
        <f t="shared" si="1582"/>
        <v>0</v>
      </c>
      <c r="L143" s="106">
        <f t="shared" si="1583"/>
        <v>0</v>
      </c>
      <c r="M143" s="106">
        <f t="shared" si="1584"/>
        <v>488964.6</v>
      </c>
      <c r="N143" s="16" t="s">
        <v>118</v>
      </c>
      <c r="O143" s="106">
        <f t="shared" si="1585"/>
        <v>0</v>
      </c>
      <c r="P143" s="106">
        <f t="shared" si="1586"/>
        <v>10000</v>
      </c>
      <c r="Q143" s="106">
        <f t="shared" si="1587"/>
        <v>0</v>
      </c>
      <c r="R143" s="106">
        <f t="shared" si="1588"/>
        <v>0</v>
      </c>
      <c r="S143" s="106">
        <f t="shared" si="1589"/>
        <v>0</v>
      </c>
      <c r="T143" s="106">
        <f t="shared" si="1590"/>
        <v>0</v>
      </c>
      <c r="U143" s="106">
        <f t="shared" si="1591"/>
        <v>0</v>
      </c>
      <c r="V143" s="106">
        <f t="shared" si="1592"/>
        <v>0</v>
      </c>
      <c r="W143" s="106">
        <f t="shared" si="1593"/>
        <v>0</v>
      </c>
      <c r="X143" s="106">
        <f t="shared" si="1594"/>
        <v>0</v>
      </c>
      <c r="Y143" s="106">
        <f t="shared" si="1595"/>
        <v>0</v>
      </c>
      <c r="Z143" s="106">
        <f t="shared" si="1596"/>
        <v>0</v>
      </c>
      <c r="AA143" s="106">
        <f t="shared" si="1597"/>
        <v>10000</v>
      </c>
      <c r="AB143" s="118">
        <f t="shared" si="1189"/>
        <v>0</v>
      </c>
      <c r="AC143" s="106">
        <f t="shared" si="1598"/>
        <v>0</v>
      </c>
      <c r="AD143" s="106">
        <f t="shared" si="1599"/>
        <v>0</v>
      </c>
      <c r="AE143" s="106">
        <f t="shared" si="1600"/>
        <v>0</v>
      </c>
      <c r="AF143" s="106">
        <f t="shared" si="1601"/>
        <v>0</v>
      </c>
      <c r="AG143" s="106">
        <f t="shared" si="1602"/>
        <v>0</v>
      </c>
      <c r="AH143" s="106">
        <f t="shared" si="1603"/>
        <v>0</v>
      </c>
      <c r="AI143" s="106">
        <f t="shared" si="1604"/>
        <v>0</v>
      </c>
      <c r="AJ143" s="106">
        <f t="shared" si="1605"/>
        <v>0</v>
      </c>
      <c r="AK143" s="106">
        <f t="shared" si="1606"/>
        <v>0</v>
      </c>
      <c r="AL143" s="106">
        <f t="shared" si="1607"/>
        <v>0</v>
      </c>
      <c r="AM143" s="106">
        <f t="shared" si="1608"/>
        <v>0</v>
      </c>
      <c r="AN143" s="106">
        <f t="shared" si="1609"/>
        <v>0</v>
      </c>
      <c r="AO143" s="106">
        <f t="shared" si="1610"/>
        <v>0</v>
      </c>
      <c r="AQ143" s="106">
        <v>0</v>
      </c>
      <c r="AR143" s="106">
        <v>0</v>
      </c>
      <c r="AS143" s="106">
        <v>88964.6</v>
      </c>
      <c r="AT143" s="106">
        <v>120000</v>
      </c>
      <c r="AU143" s="106">
        <v>250000</v>
      </c>
      <c r="AV143" s="106">
        <v>0</v>
      </c>
      <c r="AW143" s="106">
        <v>0</v>
      </c>
      <c r="AX143" s="106">
        <v>0</v>
      </c>
      <c r="AY143" s="106">
        <v>30000</v>
      </c>
      <c r="AZ143" s="106">
        <v>0</v>
      </c>
      <c r="BA143" s="106">
        <v>0</v>
      </c>
      <c r="BB143" s="106">
        <v>0</v>
      </c>
      <c r="BC143" s="106">
        <f t="shared" si="1611"/>
        <v>488964.6</v>
      </c>
      <c r="BD143" s="16" t="str">
        <f t="shared" si="1532"/>
        <v>Staff Recruitment Expenses</v>
      </c>
      <c r="BE143" s="106">
        <f>+VLOOKUP($BD143,'Jan-25'!$A:$J,2,0)</f>
        <v>0</v>
      </c>
      <c r="BF143" s="106">
        <f>+VLOOKUP($BD143,'Feb-25'!$A:$J,2,0)</f>
        <v>10000</v>
      </c>
      <c r="BG143" s="106">
        <f>+VLOOKUP($BD143,'Mar-25'!$A:$J,2,0)</f>
        <v>0</v>
      </c>
      <c r="BH143" s="106">
        <f>+VLOOKUP($BD143,'Apr-25'!$A:$J,2,0)</f>
        <v>0</v>
      </c>
      <c r="BI143" s="106">
        <f>+VLOOKUP($BD143,'May-25'!$A:$J,2,0)</f>
        <v>0</v>
      </c>
      <c r="BJ143" s="106">
        <f>+VLOOKUP($BD143,'June-25'!$A:$J,2,0)</f>
        <v>0</v>
      </c>
      <c r="BK143" s="106">
        <f>+VLOOKUP($BD143,'July-25'!$A:$J,2,0)</f>
        <v>0</v>
      </c>
      <c r="BL143" s="106">
        <f>+VLOOKUP($BD143,'Aug-25'!$A:$J,2,0)</f>
        <v>0</v>
      </c>
      <c r="BM143" s="106">
        <f>+VLOOKUP($BD143,'Sep-25'!$A:$J,2,0)</f>
        <v>0</v>
      </c>
      <c r="BN143" s="106">
        <f>+VLOOKUP($BD143,'Oct-25'!$A:$J,2,0)</f>
        <v>0</v>
      </c>
      <c r="BO143" s="106">
        <f>+VLOOKUP($BD143,'Nov-25'!$A:$J,2,0)</f>
        <v>0</v>
      </c>
      <c r="BP143" s="106">
        <f>+VLOOKUP($BD143,'Dec-25'!$A:$J,2,0)</f>
        <v>0</v>
      </c>
      <c r="BQ143" s="106">
        <f t="shared" si="1612"/>
        <v>10000</v>
      </c>
      <c r="BR143" s="118">
        <f t="shared" si="1190"/>
        <v>0</v>
      </c>
      <c r="BS143" s="106" cm="1">
        <f t="array" ref="BS143:CD143">+_xlfn.XLOOKUP(BD143,Budget!A:A,Budget!Q:AB)</f>
        <v>0</v>
      </c>
      <c r="BT143" s="106">
        <v>0</v>
      </c>
      <c r="BU143" s="106">
        <v>0</v>
      </c>
      <c r="BV143" s="106">
        <v>0</v>
      </c>
      <c r="BW143" s="106">
        <v>0</v>
      </c>
      <c r="BX143" s="106">
        <v>0</v>
      </c>
      <c r="BY143" s="106">
        <v>0</v>
      </c>
      <c r="BZ143" s="106">
        <v>0</v>
      </c>
      <c r="CA143" s="106">
        <v>0</v>
      </c>
      <c r="CB143" s="106">
        <v>0</v>
      </c>
      <c r="CC143" s="106">
        <v>0</v>
      </c>
      <c r="CD143" s="106">
        <v>0</v>
      </c>
      <c r="CE143" s="106">
        <f t="shared" si="1613"/>
        <v>0</v>
      </c>
      <c r="CF143" s="22"/>
      <c r="CG143" s="106">
        <v>0</v>
      </c>
      <c r="CH143" s="106">
        <v>0</v>
      </c>
      <c r="CI143" s="106">
        <v>0</v>
      </c>
      <c r="CJ143" s="106">
        <v>0</v>
      </c>
      <c r="CK143" s="106">
        <v>0</v>
      </c>
      <c r="CL143" s="106">
        <v>0</v>
      </c>
      <c r="CM143" s="106">
        <v>0</v>
      </c>
      <c r="CN143" s="106">
        <v>0</v>
      </c>
      <c r="CO143" s="106">
        <v>0</v>
      </c>
      <c r="CP143" s="106">
        <v>0</v>
      </c>
      <c r="CQ143" s="106">
        <v>0</v>
      </c>
      <c r="CR143" s="106">
        <v>0</v>
      </c>
      <c r="CS143" s="106">
        <f t="shared" si="1614"/>
        <v>0</v>
      </c>
      <c r="CT143" s="16" t="str">
        <f t="shared" si="1536"/>
        <v>Staff Recruitment Expenses</v>
      </c>
      <c r="CU143" s="106">
        <f>+VLOOKUP($BD143,'Jan-25'!$A:$J,6,0)</f>
        <v>0</v>
      </c>
      <c r="CV143" s="106">
        <f>+VLOOKUP($BD143,'Feb-25'!$A:$J,6,0)</f>
        <v>0</v>
      </c>
      <c r="CW143" s="106">
        <f>+VLOOKUP($BD143,'Mar-25'!$A:$J,6,0)</f>
        <v>0</v>
      </c>
      <c r="CX143" s="106">
        <f>+VLOOKUP($BD143,'Apr-25'!$A:$J,6,0)</f>
        <v>0</v>
      </c>
      <c r="CY143" s="106">
        <f>+VLOOKUP($BD143,'May-25'!$A:$J,6,0)</f>
        <v>0</v>
      </c>
      <c r="CZ143" s="106">
        <f>+VLOOKUP($BD143,'June-25'!$A:$J,6,0)</f>
        <v>0</v>
      </c>
      <c r="DA143" s="106">
        <f>+VLOOKUP($BD143,'July-25'!$A:$J,6,0)</f>
        <v>0</v>
      </c>
      <c r="DB143" s="106">
        <f>+VLOOKUP($BD143,'Aug-25'!$A:$J,6,0)</f>
        <v>0</v>
      </c>
      <c r="DC143" s="106">
        <f>+VLOOKUP($BD143,'Sep-25'!$A:$J,6,0)</f>
        <v>0</v>
      </c>
      <c r="DD143" s="106">
        <f>+VLOOKUP($BD143,'Oct-25'!$A:$J,6,0)</f>
        <v>0</v>
      </c>
      <c r="DE143" s="106">
        <f>+VLOOKUP($BD143,'Nov-25'!$A:$J,6,0)</f>
        <v>0</v>
      </c>
      <c r="DF143" s="106">
        <f>+VLOOKUP($BD143,'Dec-25'!$A:$J,6,0)</f>
        <v>0</v>
      </c>
      <c r="DG143" s="106">
        <f t="shared" si="1615"/>
        <v>0</v>
      </c>
      <c r="DH143" s="118">
        <f t="shared" si="1191"/>
        <v>0</v>
      </c>
      <c r="DI143" s="106">
        <f>+_xlfn.XLOOKUP($CT143,Budget!$A:$A,Budget!BQ:BQ)</f>
        <v>0</v>
      </c>
      <c r="DJ143" s="106">
        <f>+_xlfn.XLOOKUP($CT143,Budget!$A:$A,Budget!BR:BR)</f>
        <v>0</v>
      </c>
      <c r="DK143" s="106">
        <f>+_xlfn.XLOOKUP($CT143,Budget!$A:$A,Budget!BS:BS)</f>
        <v>0</v>
      </c>
      <c r="DL143" s="106">
        <f>+_xlfn.XLOOKUP($CT143,Budget!$A:$A,Budget!BT:BT)</f>
        <v>0</v>
      </c>
      <c r="DM143" s="106">
        <f>+_xlfn.XLOOKUP($CT143,Budget!$A:$A,Budget!BU:BU)</f>
        <v>0</v>
      </c>
      <c r="DN143" s="106">
        <f>+_xlfn.XLOOKUP($CT143,Budget!$A:$A,Budget!BV:BV)</f>
        <v>0</v>
      </c>
      <c r="DO143" s="106">
        <f>+_xlfn.XLOOKUP($CT143,Budget!$A:$A,Budget!BW:BW)</f>
        <v>0</v>
      </c>
      <c r="DP143" s="106">
        <f>+_xlfn.XLOOKUP($CT143,Budget!$A:$A,Budget!BX:BX)</f>
        <v>0</v>
      </c>
      <c r="DQ143" s="106">
        <f>+_xlfn.XLOOKUP($CT143,Budget!$A:$A,Budget!BY:BY)</f>
        <v>0</v>
      </c>
      <c r="DR143" s="106">
        <f>+_xlfn.XLOOKUP($CT143,Budget!$A:$A,Budget!BZ:BZ)</f>
        <v>0</v>
      </c>
      <c r="DS143" s="106">
        <f>+_xlfn.XLOOKUP($CT143,Budget!$A:$A,Budget!CA:CA)</f>
        <v>0</v>
      </c>
      <c r="DT143" s="106">
        <f>+_xlfn.XLOOKUP($CT143,Budget!$A:$A,Budget!CB:CB)</f>
        <v>0</v>
      </c>
      <c r="DU143" s="106">
        <f t="shared" si="1616"/>
        <v>0</v>
      </c>
    </row>
    <row r="144" spans="1:125" ht="14.45" hidden="1" customHeight="1" outlineLevel="2">
      <c r="A144" s="106">
        <f t="shared" si="1572"/>
        <v>77946.458333333343</v>
      </c>
      <c r="B144" s="106">
        <f t="shared" si="1573"/>
        <v>77946.458333333343</v>
      </c>
      <c r="C144" s="106">
        <f t="shared" si="1574"/>
        <v>77946.458333333343</v>
      </c>
      <c r="D144" s="106">
        <f t="shared" si="1575"/>
        <v>77946.458333333343</v>
      </c>
      <c r="E144" s="106">
        <f t="shared" si="1576"/>
        <v>77946.458333333343</v>
      </c>
      <c r="F144" s="106">
        <f t="shared" si="1577"/>
        <v>77946.458333333343</v>
      </c>
      <c r="G144" s="106">
        <f t="shared" si="1578"/>
        <v>77946.458333333343</v>
      </c>
      <c r="H144" s="106">
        <f t="shared" si="1579"/>
        <v>77946.458333333343</v>
      </c>
      <c r="I144" s="106">
        <f t="shared" si="1580"/>
        <v>77946.458333333343</v>
      </c>
      <c r="J144" s="106">
        <f t="shared" si="1581"/>
        <v>1248.81</v>
      </c>
      <c r="K144" s="106">
        <f t="shared" si="1582"/>
        <v>77946.458333333343</v>
      </c>
      <c r="L144" s="106">
        <f t="shared" si="1583"/>
        <v>77946.458333333343</v>
      </c>
      <c r="M144" s="106">
        <f t="shared" si="1584"/>
        <v>858659.85166666703</v>
      </c>
      <c r="N144" s="16" t="s">
        <v>119</v>
      </c>
      <c r="O144" s="106">
        <f t="shared" si="1585"/>
        <v>63501.083333333328</v>
      </c>
      <c r="P144" s="106">
        <f t="shared" si="1586"/>
        <v>63501.083333333328</v>
      </c>
      <c r="Q144" s="106">
        <f t="shared" si="1587"/>
        <v>63501.083333333328</v>
      </c>
      <c r="R144" s="106">
        <f t="shared" si="1588"/>
        <v>63501.083333333328</v>
      </c>
      <c r="S144" s="106">
        <f t="shared" si="1589"/>
        <v>199416.11800000002</v>
      </c>
      <c r="T144" s="106">
        <f t="shared" si="1590"/>
        <v>199416.11800000002</v>
      </c>
      <c r="U144" s="106">
        <f t="shared" si="1591"/>
        <v>0</v>
      </c>
      <c r="V144" s="106">
        <f t="shared" si="1592"/>
        <v>0</v>
      </c>
      <c r="W144" s="106">
        <f t="shared" si="1593"/>
        <v>723.5</v>
      </c>
      <c r="X144" s="106">
        <f t="shared" si="1594"/>
        <v>0</v>
      </c>
      <c r="Y144" s="106">
        <f t="shared" si="1595"/>
        <v>0</v>
      </c>
      <c r="Z144" s="106">
        <f t="shared" si="1596"/>
        <v>0</v>
      </c>
      <c r="AA144" s="106">
        <f t="shared" si="1597"/>
        <v>653560.06933333329</v>
      </c>
      <c r="AB144" s="118">
        <f t="shared" si="1189"/>
        <v>-1</v>
      </c>
      <c r="AC144" s="106">
        <f t="shared" si="1598"/>
        <v>63501.083333333328</v>
      </c>
      <c r="AD144" s="106">
        <f t="shared" si="1599"/>
        <v>63501.083333333328</v>
      </c>
      <c r="AE144" s="106">
        <f t="shared" si="1600"/>
        <v>63501.083333333328</v>
      </c>
      <c r="AF144" s="106">
        <f t="shared" si="1601"/>
        <v>63501.083333333328</v>
      </c>
      <c r="AG144" s="106">
        <f t="shared" si="1602"/>
        <v>63501.083333333328</v>
      </c>
      <c r="AH144" s="106">
        <f t="shared" si="1603"/>
        <v>63501.083333333328</v>
      </c>
      <c r="AI144" s="106">
        <f t="shared" si="1604"/>
        <v>63501.083333333328</v>
      </c>
      <c r="AJ144" s="106">
        <f t="shared" si="1605"/>
        <v>63501.083333333328</v>
      </c>
      <c r="AK144" s="106">
        <f t="shared" si="1606"/>
        <v>63501.083333333328</v>
      </c>
      <c r="AL144" s="106">
        <f t="shared" si="1607"/>
        <v>63501.083333333328</v>
      </c>
      <c r="AM144" s="106">
        <f t="shared" si="1608"/>
        <v>63501.083333333328</v>
      </c>
      <c r="AN144" s="106">
        <f t="shared" si="1609"/>
        <v>63501.083333333328</v>
      </c>
      <c r="AO144" s="106">
        <f t="shared" si="1610"/>
        <v>762013</v>
      </c>
      <c r="AQ144" s="106">
        <v>56688.333333333343</v>
      </c>
      <c r="AR144" s="106">
        <v>56688.333333333343</v>
      </c>
      <c r="AS144" s="106">
        <v>56688.333333333343</v>
      </c>
      <c r="AT144" s="106">
        <v>56688.333333333343</v>
      </c>
      <c r="AU144" s="106">
        <v>56688.333333333343</v>
      </c>
      <c r="AV144" s="106">
        <v>56688.333333333343</v>
      </c>
      <c r="AW144" s="106">
        <v>56688.333333333343</v>
      </c>
      <c r="AX144" s="106">
        <v>56688.333333333343</v>
      </c>
      <c r="AY144" s="106">
        <v>56688.333333333343</v>
      </c>
      <c r="AZ144" s="106">
        <v>1248.81</v>
      </c>
      <c r="BA144" s="106">
        <v>56688.333333333343</v>
      </c>
      <c r="BB144" s="106">
        <v>56688.333333333343</v>
      </c>
      <c r="BC144" s="106">
        <f t="shared" si="1611"/>
        <v>624820.47666666692</v>
      </c>
      <c r="BD144" s="16" t="str">
        <f t="shared" si="1532"/>
        <v>Staff Uniform</v>
      </c>
      <c r="BE144" s="106">
        <f>+VLOOKUP($BD144,'Jan-25'!$A:$J,2,0)</f>
        <v>36529.25</v>
      </c>
      <c r="BF144" s="106">
        <f>+VLOOKUP($BD144,'Feb-25'!$A:$J,2,0)</f>
        <v>36529.25</v>
      </c>
      <c r="BG144" s="106">
        <f>+VLOOKUP($BD144,'Mar-25'!$A:$J,2,0)</f>
        <v>36529.25</v>
      </c>
      <c r="BH144" s="106">
        <f>+VLOOKUP($BD144,'Apr-25'!$A:$J,2,0)</f>
        <v>36529.25</v>
      </c>
      <c r="BI144" s="106">
        <f>+VLOOKUP($BD144,'May-25'!$A:$J,2,0)</f>
        <v>145029.90400000001</v>
      </c>
      <c r="BJ144" s="106">
        <f>+VLOOKUP($BD144,'June-25'!$A:$J,2,0)</f>
        <v>145029.90400000001</v>
      </c>
      <c r="BK144" s="106">
        <f>+VLOOKUP($BD144,'July-25'!$A:$J,2,0)</f>
        <v>0</v>
      </c>
      <c r="BL144" s="106">
        <f>+VLOOKUP($BD144,'Aug-25'!$A:$J,2,0)</f>
        <v>0</v>
      </c>
      <c r="BM144" s="106">
        <f>+VLOOKUP($BD144,'Sep-25'!$A:$J,2,0)</f>
        <v>0</v>
      </c>
      <c r="BN144" s="106">
        <f>+VLOOKUP($BD144,'Oct-25'!$A:$J,2,0)</f>
        <v>0</v>
      </c>
      <c r="BO144" s="106">
        <f>+VLOOKUP($BD144,'Nov-25'!$A:$J,2,0)</f>
        <v>0</v>
      </c>
      <c r="BP144" s="106">
        <f>+VLOOKUP($BD144,'Dec-25'!$A:$J,2,0)</f>
        <v>0</v>
      </c>
      <c r="BQ144" s="106">
        <f t="shared" si="1612"/>
        <v>436176.80799999996</v>
      </c>
      <c r="BR144" s="118">
        <f t="shared" si="1190"/>
        <v>-1</v>
      </c>
      <c r="BS144" s="106" cm="1">
        <f t="array" ref="BS144:CD144">+_xlfn.XLOOKUP(BD144,Budget!A:A,Budget!Q:AB)</f>
        <v>36529.25</v>
      </c>
      <c r="BT144" s="106">
        <v>36529.25</v>
      </c>
      <c r="BU144" s="106">
        <v>36529.25</v>
      </c>
      <c r="BV144" s="106">
        <v>36529.25</v>
      </c>
      <c r="BW144" s="106">
        <v>36529.25</v>
      </c>
      <c r="BX144" s="106">
        <v>36529.25</v>
      </c>
      <c r="BY144" s="106">
        <v>36529.25</v>
      </c>
      <c r="BZ144" s="106">
        <v>36529.25</v>
      </c>
      <c r="CA144" s="106">
        <v>36529.25</v>
      </c>
      <c r="CB144" s="106">
        <v>36529.25</v>
      </c>
      <c r="CC144" s="106">
        <v>36529.25</v>
      </c>
      <c r="CD144" s="106">
        <v>36529.25</v>
      </c>
      <c r="CE144" s="106">
        <f t="shared" si="1613"/>
        <v>438351</v>
      </c>
      <c r="CF144" s="22"/>
      <c r="CG144" s="106">
        <v>21258.125</v>
      </c>
      <c r="CH144" s="106">
        <v>21258.125</v>
      </c>
      <c r="CI144" s="106">
        <v>21258.125</v>
      </c>
      <c r="CJ144" s="106">
        <v>21258.125</v>
      </c>
      <c r="CK144" s="106">
        <v>21258.125</v>
      </c>
      <c r="CL144" s="106">
        <v>21258.125</v>
      </c>
      <c r="CM144" s="106">
        <v>21258.125</v>
      </c>
      <c r="CN144" s="106">
        <v>21258.125</v>
      </c>
      <c r="CO144" s="106">
        <v>21258.125</v>
      </c>
      <c r="CP144" s="106">
        <v>0</v>
      </c>
      <c r="CQ144" s="106">
        <v>21258.125</v>
      </c>
      <c r="CR144" s="106">
        <v>21258.125</v>
      </c>
      <c r="CS144" s="106">
        <f t="shared" si="1614"/>
        <v>233839.375</v>
      </c>
      <c r="CT144" s="16" t="str">
        <f t="shared" si="1536"/>
        <v>Staff Uniform</v>
      </c>
      <c r="CU144" s="106">
        <f>+VLOOKUP($BD144,'Jan-25'!$A:$J,6,0)</f>
        <v>26971.833333333332</v>
      </c>
      <c r="CV144" s="106">
        <f>+VLOOKUP($BD144,'Feb-25'!$A:$J,6,0)</f>
        <v>26971.833333333332</v>
      </c>
      <c r="CW144" s="106">
        <f>+VLOOKUP($BD144,'Mar-25'!$A:$J,6,0)</f>
        <v>26971.833333333332</v>
      </c>
      <c r="CX144" s="106">
        <f>+VLOOKUP($BD144,'Apr-25'!$A:$J,6,0)</f>
        <v>26971.833333333332</v>
      </c>
      <c r="CY144" s="106">
        <f>+VLOOKUP($BD144,'May-25'!$A:$J,6,0)</f>
        <v>54386.214</v>
      </c>
      <c r="CZ144" s="106">
        <f>+VLOOKUP($BD144,'June-25'!$A:$J,6,0)</f>
        <v>54386.214</v>
      </c>
      <c r="DA144" s="106">
        <f>+VLOOKUP($BD144,'July-25'!$A:$J,6,0)</f>
        <v>0</v>
      </c>
      <c r="DB144" s="106">
        <f>+VLOOKUP($BD144,'Aug-25'!$A:$J,6,0)</f>
        <v>0</v>
      </c>
      <c r="DC144" s="106">
        <f>+VLOOKUP($BD144,'Sep-25'!$A:$J,6,0)</f>
        <v>723.5</v>
      </c>
      <c r="DD144" s="106">
        <f>+VLOOKUP($BD144,'Oct-25'!$A:$J,6,0)</f>
        <v>0</v>
      </c>
      <c r="DE144" s="106">
        <f>+VLOOKUP($BD144,'Nov-25'!$A:$J,6,0)</f>
        <v>0</v>
      </c>
      <c r="DF144" s="106">
        <f>+VLOOKUP($BD144,'Dec-25'!$A:$J,6,0)</f>
        <v>0</v>
      </c>
      <c r="DG144" s="106">
        <f t="shared" si="1615"/>
        <v>217383.26133333333</v>
      </c>
      <c r="DH144" s="118">
        <f t="shared" si="1191"/>
        <v>-1</v>
      </c>
      <c r="DI144" s="106">
        <f>+_xlfn.XLOOKUP($CT144,Budget!$A:$A,Budget!BQ:BQ)</f>
        <v>26971.833333333332</v>
      </c>
      <c r="DJ144" s="106">
        <f>+_xlfn.XLOOKUP($CT144,Budget!$A:$A,Budget!BR:BR)</f>
        <v>26971.833333333332</v>
      </c>
      <c r="DK144" s="106">
        <f>+_xlfn.XLOOKUP($CT144,Budget!$A:$A,Budget!BS:BS)</f>
        <v>26971.833333333332</v>
      </c>
      <c r="DL144" s="106">
        <f>+_xlfn.XLOOKUP($CT144,Budget!$A:$A,Budget!BT:BT)</f>
        <v>26971.833333333332</v>
      </c>
      <c r="DM144" s="106">
        <f>+_xlfn.XLOOKUP($CT144,Budget!$A:$A,Budget!BU:BU)</f>
        <v>26971.833333333332</v>
      </c>
      <c r="DN144" s="106">
        <f>+_xlfn.XLOOKUP($CT144,Budget!$A:$A,Budget!BV:BV)</f>
        <v>26971.833333333332</v>
      </c>
      <c r="DO144" s="106">
        <f>+_xlfn.XLOOKUP($CT144,Budget!$A:$A,Budget!BW:BW)</f>
        <v>26971.833333333332</v>
      </c>
      <c r="DP144" s="106">
        <f>+_xlfn.XLOOKUP($CT144,Budget!$A:$A,Budget!BX:BX)</f>
        <v>26971.833333333332</v>
      </c>
      <c r="DQ144" s="106">
        <f>+_xlfn.XLOOKUP($CT144,Budget!$A:$A,Budget!BY:BY)</f>
        <v>26971.833333333332</v>
      </c>
      <c r="DR144" s="106">
        <f>+_xlfn.XLOOKUP($CT144,Budget!$A:$A,Budget!BZ:BZ)</f>
        <v>26971.833333333332</v>
      </c>
      <c r="DS144" s="106">
        <f>+_xlfn.XLOOKUP($CT144,Budget!$A:$A,Budget!CA:CA)</f>
        <v>26971.833333333332</v>
      </c>
      <c r="DT144" s="106">
        <f>+_xlfn.XLOOKUP($CT144,Budget!$A:$A,Budget!CB:CB)</f>
        <v>26971.833333333332</v>
      </c>
      <c r="DU144" s="106">
        <f t="shared" si="1616"/>
        <v>323662</v>
      </c>
    </row>
    <row r="145" spans="1:125" ht="14.45" hidden="1" customHeight="1" outlineLevel="2">
      <c r="A145" s="106">
        <f t="shared" si="1572"/>
        <v>15649</v>
      </c>
      <c r="B145" s="106">
        <f t="shared" si="1573"/>
        <v>15000</v>
      </c>
      <c r="C145" s="106">
        <f t="shared" si="1574"/>
        <v>5237.5</v>
      </c>
      <c r="D145" s="106">
        <f t="shared" si="1575"/>
        <v>45058.99</v>
      </c>
      <c r="E145" s="106">
        <f t="shared" si="1576"/>
        <v>27824.15</v>
      </c>
      <c r="F145" s="106">
        <f t="shared" si="1577"/>
        <v>1000</v>
      </c>
      <c r="G145" s="106">
        <f t="shared" si="1578"/>
        <v>120000</v>
      </c>
      <c r="H145" s="106">
        <f t="shared" si="1579"/>
        <v>6050</v>
      </c>
      <c r="I145" s="106">
        <f t="shared" si="1580"/>
        <v>57170.96</v>
      </c>
      <c r="J145" s="106">
        <f t="shared" si="1581"/>
        <v>151254.5</v>
      </c>
      <c r="K145" s="106">
        <f t="shared" si="1582"/>
        <v>15000</v>
      </c>
      <c r="L145" s="106">
        <f t="shared" si="1583"/>
        <v>0</v>
      </c>
      <c r="M145" s="106">
        <f t="shared" si="1584"/>
        <v>459245.1</v>
      </c>
      <c r="N145" s="16" t="s">
        <v>120</v>
      </c>
      <c r="O145" s="106">
        <f t="shared" si="1585"/>
        <v>49259</v>
      </c>
      <c r="P145" s="106">
        <f t="shared" si="1586"/>
        <v>6470</v>
      </c>
      <c r="Q145" s="106">
        <f t="shared" si="1587"/>
        <v>69408</v>
      </c>
      <c r="R145" s="106">
        <f t="shared" si="1588"/>
        <v>0</v>
      </c>
      <c r="S145" s="106">
        <f t="shared" si="1589"/>
        <v>0</v>
      </c>
      <c r="T145" s="106">
        <f t="shared" si="1590"/>
        <v>3500</v>
      </c>
      <c r="U145" s="106">
        <f t="shared" si="1591"/>
        <v>0</v>
      </c>
      <c r="V145" s="106">
        <f t="shared" si="1592"/>
        <v>0</v>
      </c>
      <c r="W145" s="106">
        <f t="shared" si="1593"/>
        <v>71405.5</v>
      </c>
      <c r="X145" s="106">
        <f t="shared" si="1594"/>
        <v>74910.97</v>
      </c>
      <c r="Y145" s="106">
        <f t="shared" si="1595"/>
        <v>0</v>
      </c>
      <c r="Z145" s="106">
        <f t="shared" si="1596"/>
        <v>0</v>
      </c>
      <c r="AA145" s="106">
        <f t="shared" si="1597"/>
        <v>274953.46999999997</v>
      </c>
      <c r="AB145" s="118">
        <f t="shared" si="1189"/>
        <v>-0.75251383027049346</v>
      </c>
      <c r="AC145" s="106">
        <f t="shared" si="1598"/>
        <v>7520.8333333333339</v>
      </c>
      <c r="AD145" s="106">
        <f t="shared" si="1599"/>
        <v>7520.8333333333339</v>
      </c>
      <c r="AE145" s="106">
        <f t="shared" si="1600"/>
        <v>30520.833333333336</v>
      </c>
      <c r="AF145" s="106">
        <f t="shared" si="1601"/>
        <v>61187.500000000007</v>
      </c>
      <c r="AG145" s="106">
        <f t="shared" si="1602"/>
        <v>7520.8333333333339</v>
      </c>
      <c r="AH145" s="106">
        <f t="shared" si="1603"/>
        <v>11354.166666666666</v>
      </c>
      <c r="AI145" s="106">
        <f t="shared" si="1604"/>
        <v>7520.8333333333339</v>
      </c>
      <c r="AJ145" s="106">
        <f t="shared" si="1605"/>
        <v>7520.8333333333339</v>
      </c>
      <c r="AK145" s="106">
        <f t="shared" si="1606"/>
        <v>30520.833333333336</v>
      </c>
      <c r="AL145" s="106">
        <f t="shared" si="1607"/>
        <v>302687.5</v>
      </c>
      <c r="AM145" s="106">
        <f t="shared" si="1608"/>
        <v>7520.8333333333339</v>
      </c>
      <c r="AN145" s="106">
        <f t="shared" si="1609"/>
        <v>61354.166666666657</v>
      </c>
      <c r="AO145" s="106">
        <f t="shared" si="1610"/>
        <v>542750</v>
      </c>
      <c r="AQ145" s="106">
        <v>13210</v>
      </c>
      <c r="AR145" s="106">
        <v>15000</v>
      </c>
      <c r="AS145" s="106">
        <v>3152</v>
      </c>
      <c r="AT145" s="106">
        <v>35058.99</v>
      </c>
      <c r="AU145" s="106">
        <v>22179.200000000001</v>
      </c>
      <c r="AV145" s="106">
        <v>1000</v>
      </c>
      <c r="AW145" s="106">
        <v>120000</v>
      </c>
      <c r="AX145" s="106">
        <v>6050</v>
      </c>
      <c r="AY145" s="106">
        <v>47116.959999999999</v>
      </c>
      <c r="AZ145" s="106">
        <v>140000</v>
      </c>
      <c r="BA145" s="106">
        <v>15000</v>
      </c>
      <c r="BB145" s="106">
        <v>0</v>
      </c>
      <c r="BC145" s="106">
        <f t="shared" si="1611"/>
        <v>417767.15</v>
      </c>
      <c r="BD145" s="16" t="str">
        <f t="shared" si="1532"/>
        <v>Staff Welfare Expenses</v>
      </c>
      <c r="BE145" s="106">
        <f>+VLOOKUP($BD145,'Jan-25'!$A:$J,2,0)</f>
        <v>43861</v>
      </c>
      <c r="BF145" s="106">
        <f>+VLOOKUP($BD145,'Feb-25'!$A:$J,2,0)</f>
        <v>6470</v>
      </c>
      <c r="BG145" s="106">
        <f>+VLOOKUP($BD145,'Mar-25'!$A:$J,2,0)</f>
        <v>46522</v>
      </c>
      <c r="BH145" s="106">
        <f>+VLOOKUP($BD145,'Apr-25'!$A:$J,2,0)</f>
        <v>0</v>
      </c>
      <c r="BI145" s="106">
        <f>+VLOOKUP($BD145,'May-25'!$A:$J,2,0)</f>
        <v>0</v>
      </c>
      <c r="BJ145" s="106">
        <f>+VLOOKUP($BD145,'June-25'!$A:$J,2,0)</f>
        <v>3500</v>
      </c>
      <c r="BK145" s="106">
        <f>+VLOOKUP($BD145,'July-25'!$A:$J,2,0)</f>
        <v>0</v>
      </c>
      <c r="BL145" s="106">
        <f>+VLOOKUP($BD145,'Aug-25'!$A:$J,2,0)</f>
        <v>0</v>
      </c>
      <c r="BM145" s="106">
        <f>+VLOOKUP($BD145,'Sep-25'!$A:$J,2,0)</f>
        <v>49198</v>
      </c>
      <c r="BN145" s="106">
        <f>+VLOOKUP($BD145,'Oct-25'!$A:$J,2,0)</f>
        <v>62410.97</v>
      </c>
      <c r="BO145" s="106">
        <f>+VLOOKUP($BD145,'Nov-25'!$A:$J,2,0)</f>
        <v>0</v>
      </c>
      <c r="BP145" s="106">
        <f>+VLOOKUP($BD145,'Dec-25'!$A:$J,2,0)</f>
        <v>0</v>
      </c>
      <c r="BQ145" s="106">
        <f t="shared" si="1612"/>
        <v>211961.97</v>
      </c>
      <c r="BR145" s="118">
        <f t="shared" si="1190"/>
        <v>-0.7081184235397282</v>
      </c>
      <c r="BS145" s="106" cm="1">
        <f t="array" ref="BS145:CD145">+_xlfn.XLOOKUP(BD145,Budget!A:A,Budget!Q:AB)</f>
        <v>5281.25</v>
      </c>
      <c r="BT145" s="106">
        <v>5281.25</v>
      </c>
      <c r="BU145" s="106">
        <v>21531.25</v>
      </c>
      <c r="BV145" s="106">
        <v>43197.916666666672</v>
      </c>
      <c r="BW145" s="106">
        <v>5281.25</v>
      </c>
      <c r="BX145" s="106">
        <v>7989.583333333333</v>
      </c>
      <c r="BY145" s="106">
        <v>5281.25</v>
      </c>
      <c r="BZ145" s="106">
        <v>5281.25</v>
      </c>
      <c r="CA145" s="106">
        <v>21531.25</v>
      </c>
      <c r="CB145" s="106">
        <v>213822.91666666669</v>
      </c>
      <c r="CC145" s="106">
        <v>5281.25</v>
      </c>
      <c r="CD145" s="106">
        <v>37989.583333333328</v>
      </c>
      <c r="CE145" s="106">
        <f t="shared" si="1613"/>
        <v>377750</v>
      </c>
      <c r="CF145" s="22"/>
      <c r="CG145" s="106">
        <v>2439</v>
      </c>
      <c r="CH145" s="106">
        <v>0</v>
      </c>
      <c r="CI145" s="106">
        <v>2085.5</v>
      </c>
      <c r="CJ145" s="106">
        <v>10000</v>
      </c>
      <c r="CK145" s="106">
        <v>5644.95</v>
      </c>
      <c r="CL145" s="106">
        <v>0</v>
      </c>
      <c r="CM145" s="106">
        <v>0</v>
      </c>
      <c r="CN145" s="106">
        <v>0</v>
      </c>
      <c r="CO145" s="106">
        <v>10054</v>
      </c>
      <c r="CP145" s="106">
        <v>11254.5</v>
      </c>
      <c r="CQ145" s="106">
        <v>0</v>
      </c>
      <c r="CR145" s="106">
        <v>0</v>
      </c>
      <c r="CS145" s="106">
        <f t="shared" si="1614"/>
        <v>41477.949999999997</v>
      </c>
      <c r="CT145" s="16" t="str">
        <f t="shared" si="1536"/>
        <v>Staff Welfare Expenses</v>
      </c>
      <c r="CU145" s="106">
        <f>+VLOOKUP($BD145,'Jan-25'!$A:$J,6,0)</f>
        <v>5398</v>
      </c>
      <c r="CV145" s="106">
        <f>+VLOOKUP($BD145,'Feb-25'!$A:$J,6,0)</f>
        <v>0</v>
      </c>
      <c r="CW145" s="106">
        <f>+VLOOKUP($BD145,'Mar-25'!$A:$J,6,0)</f>
        <v>22886</v>
      </c>
      <c r="CX145" s="106">
        <f>+VLOOKUP($BD145,'Apr-25'!$A:$J,6,0)</f>
        <v>0</v>
      </c>
      <c r="CY145" s="106">
        <f>+VLOOKUP($BD145,'May-25'!$A:$J,6,0)</f>
        <v>0</v>
      </c>
      <c r="CZ145" s="106">
        <f>+VLOOKUP($BD145,'June-25'!$A:$J,6,0)</f>
        <v>0</v>
      </c>
      <c r="DA145" s="106">
        <f>+VLOOKUP($BD145,'July-25'!$A:$J,6,0)</f>
        <v>0</v>
      </c>
      <c r="DB145" s="106">
        <f>+VLOOKUP($BD145,'Aug-25'!$A:$J,6,0)</f>
        <v>0</v>
      </c>
      <c r="DC145" s="106">
        <f>+VLOOKUP($BD145,'Sep-25'!$A:$J,6,0)</f>
        <v>22207.5</v>
      </c>
      <c r="DD145" s="106">
        <f>+VLOOKUP($BD145,'Oct-25'!$A:$J,6,0)</f>
        <v>12500</v>
      </c>
      <c r="DE145" s="106">
        <f>+VLOOKUP($BD145,'Nov-25'!$A:$J,6,0)</f>
        <v>0</v>
      </c>
      <c r="DF145" s="106">
        <f>+VLOOKUP($BD145,'Dec-25'!$A:$J,6,0)</f>
        <v>0</v>
      </c>
      <c r="DG145" s="106">
        <f t="shared" si="1615"/>
        <v>62991.5</v>
      </c>
      <c r="DH145" s="118">
        <f t="shared" si="1191"/>
        <v>-0.85933653733442739</v>
      </c>
      <c r="DI145" s="106">
        <f>+_xlfn.XLOOKUP($CT145,Budget!$A:$A,Budget!BQ:BQ)</f>
        <v>2239.5833333333335</v>
      </c>
      <c r="DJ145" s="106">
        <f>+_xlfn.XLOOKUP($CT145,Budget!$A:$A,Budget!BR:BR)</f>
        <v>2239.5833333333335</v>
      </c>
      <c r="DK145" s="106">
        <f>+_xlfn.XLOOKUP($CT145,Budget!$A:$A,Budget!BS:BS)</f>
        <v>8989.5833333333339</v>
      </c>
      <c r="DL145" s="106">
        <f>+_xlfn.XLOOKUP($CT145,Budget!$A:$A,Budget!BT:BT)</f>
        <v>17989.583333333336</v>
      </c>
      <c r="DM145" s="106">
        <f>+_xlfn.XLOOKUP($CT145,Budget!$A:$A,Budget!BU:BU)</f>
        <v>2239.5833333333335</v>
      </c>
      <c r="DN145" s="106">
        <f>+_xlfn.XLOOKUP($CT145,Budget!$A:$A,Budget!BV:BV)</f>
        <v>3364.5833333333335</v>
      </c>
      <c r="DO145" s="106">
        <f>+_xlfn.XLOOKUP($CT145,Budget!$A:$A,Budget!BW:BW)</f>
        <v>2239.5833333333335</v>
      </c>
      <c r="DP145" s="106">
        <f>+_xlfn.XLOOKUP($CT145,Budget!$A:$A,Budget!BX:BX)</f>
        <v>2239.5833333333335</v>
      </c>
      <c r="DQ145" s="106">
        <f>+_xlfn.XLOOKUP($CT145,Budget!$A:$A,Budget!BY:BY)</f>
        <v>8989.5833333333339</v>
      </c>
      <c r="DR145" s="106">
        <f>+_xlfn.XLOOKUP($CT145,Budget!$A:$A,Budget!BZ:BZ)</f>
        <v>88864.583333333328</v>
      </c>
      <c r="DS145" s="106">
        <f>+_xlfn.XLOOKUP($CT145,Budget!$A:$A,Budget!CA:CA)</f>
        <v>2239.5833333333335</v>
      </c>
      <c r="DT145" s="106">
        <f>+_xlfn.XLOOKUP($CT145,Budget!$A:$A,Budget!CB:CB)</f>
        <v>23364.583333333332</v>
      </c>
      <c r="DU145" s="106">
        <f t="shared" si="1616"/>
        <v>165000.00000000003</v>
      </c>
    </row>
    <row r="146" spans="1:125" ht="14.45" hidden="1" customHeight="1" outlineLevel="1">
      <c r="A146" s="58">
        <f t="shared" ref="A146:M146" si="1617">+SUM(A147:A149)</f>
        <v>111435</v>
      </c>
      <c r="B146" s="58">
        <f t="shared" si="1617"/>
        <v>82026</v>
      </c>
      <c r="C146" s="58">
        <f t="shared" si="1617"/>
        <v>100619</v>
      </c>
      <c r="D146" s="58">
        <f t="shared" si="1617"/>
        <v>130536</v>
      </c>
      <c r="E146" s="58">
        <f t="shared" si="1617"/>
        <v>99207</v>
      </c>
      <c r="F146" s="58">
        <f t="shared" si="1617"/>
        <v>86278</v>
      </c>
      <c r="G146" s="58">
        <f t="shared" si="1617"/>
        <v>83946</v>
      </c>
      <c r="H146" s="58">
        <f t="shared" si="1617"/>
        <v>121970</v>
      </c>
      <c r="I146" s="58">
        <f t="shared" si="1617"/>
        <v>91241</v>
      </c>
      <c r="J146" s="58">
        <f t="shared" si="1617"/>
        <v>109110</v>
      </c>
      <c r="K146" s="58">
        <f t="shared" si="1617"/>
        <v>231638</v>
      </c>
      <c r="L146" s="58">
        <f t="shared" si="1617"/>
        <v>138688.5</v>
      </c>
      <c r="M146" s="58">
        <f t="shared" si="1617"/>
        <v>1386694.5</v>
      </c>
      <c r="N146" s="20" t="s">
        <v>121</v>
      </c>
      <c r="O146" s="58">
        <f t="shared" ref="O146" si="1618">+SUM(O147:O149)</f>
        <v>153191</v>
      </c>
      <c r="P146" s="58">
        <f t="shared" ref="P146" si="1619">+SUM(P147:P149)</f>
        <v>114171</v>
      </c>
      <c r="Q146" s="58">
        <f t="shared" ref="Q146" si="1620">+SUM(Q147:Q149)</f>
        <v>22634</v>
      </c>
      <c r="R146" s="58">
        <f t="shared" ref="R146" si="1621">+SUM(R147:R149)</f>
        <v>143434</v>
      </c>
      <c r="S146" s="58">
        <f t="shared" ref="S146" si="1622">+SUM(S147:S149)</f>
        <v>135320</v>
      </c>
      <c r="T146" s="58">
        <f t="shared" ref="T146" si="1623">+SUM(T147:T149)</f>
        <v>160838</v>
      </c>
      <c r="U146" s="58">
        <f t="shared" ref="U146" si="1624">+SUM(U147:U149)</f>
        <v>114317</v>
      </c>
      <c r="V146" s="58">
        <f t="shared" ref="V146" si="1625">+SUM(V147:V149)</f>
        <v>81707</v>
      </c>
      <c r="W146" s="58">
        <f t="shared" ref="W146" si="1626">+SUM(W147:W149)</f>
        <v>116516</v>
      </c>
      <c r="X146" s="58">
        <f t="shared" ref="X146" si="1627">+SUM(X147:X149)</f>
        <v>111897</v>
      </c>
      <c r="Y146" s="58">
        <f t="shared" ref="Y146" si="1628">+SUM(Y147:Y149)</f>
        <v>0</v>
      </c>
      <c r="Z146" s="58">
        <f t="shared" ref="Z146" si="1629">+SUM(Z147:Z149)</f>
        <v>0</v>
      </c>
      <c r="AA146" s="58">
        <f t="shared" ref="AA146" si="1630">+SUM(AA147:AA149)</f>
        <v>1154025</v>
      </c>
      <c r="AB146" s="118">
        <f t="shared" si="1189"/>
        <v>9.1902812099785344E-3</v>
      </c>
      <c r="AC146" s="58">
        <f t="shared" ref="AC146" si="1631">+SUM(AC147:AC149)</f>
        <v>110878</v>
      </c>
      <c r="AD146" s="58">
        <f t="shared" ref="AD146" si="1632">+SUM(AD147:AD149)</f>
        <v>110878</v>
      </c>
      <c r="AE146" s="58">
        <f t="shared" ref="AE146" si="1633">+SUM(AE147:AE149)</f>
        <v>110878</v>
      </c>
      <c r="AF146" s="58">
        <f t="shared" ref="AF146" si="1634">+SUM(AF147:AF149)</f>
        <v>110878</v>
      </c>
      <c r="AG146" s="58">
        <f t="shared" ref="AG146" si="1635">+SUM(AG147:AG149)</f>
        <v>110878</v>
      </c>
      <c r="AH146" s="58">
        <f t="shared" ref="AH146" si="1636">+SUM(AH147:AH149)</f>
        <v>110878</v>
      </c>
      <c r="AI146" s="58">
        <f t="shared" ref="AI146" si="1637">+SUM(AI147:AI149)</f>
        <v>110878</v>
      </c>
      <c r="AJ146" s="58">
        <f t="shared" ref="AJ146" si="1638">+SUM(AJ147:AJ149)</f>
        <v>110878</v>
      </c>
      <c r="AK146" s="58">
        <f t="shared" ref="AK146" si="1639">+SUM(AK147:AK149)</f>
        <v>110878</v>
      </c>
      <c r="AL146" s="58">
        <f t="shared" ref="AL146" si="1640">+SUM(AL147:AL149)</f>
        <v>110878</v>
      </c>
      <c r="AM146" s="58">
        <f t="shared" ref="AM146" si="1641">+SUM(AM147:AM149)</f>
        <v>110878</v>
      </c>
      <c r="AN146" s="58">
        <f t="shared" ref="AN146" si="1642">+SUM(AN147:AN149)</f>
        <v>110878</v>
      </c>
      <c r="AO146" s="58">
        <f t="shared" ref="AO146" si="1643">+SUM(AO147:AO149)</f>
        <v>1330536</v>
      </c>
      <c r="AQ146" s="58">
        <f t="shared" ref="AQ146:BC146" si="1644">+SUM(AQ147:AQ149)</f>
        <v>83372</v>
      </c>
      <c r="AR146" s="58">
        <f t="shared" si="1644"/>
        <v>58021</v>
      </c>
      <c r="AS146" s="58">
        <f t="shared" si="1644"/>
        <v>79021</v>
      </c>
      <c r="AT146" s="58">
        <f t="shared" si="1644"/>
        <v>58400</v>
      </c>
      <c r="AU146" s="58">
        <f t="shared" si="1644"/>
        <v>61956</v>
      </c>
      <c r="AV146" s="58">
        <f t="shared" si="1644"/>
        <v>55528</v>
      </c>
      <c r="AW146" s="58">
        <f t="shared" si="1644"/>
        <v>52616</v>
      </c>
      <c r="AX146" s="58">
        <f t="shared" si="1644"/>
        <v>95011</v>
      </c>
      <c r="AY146" s="58">
        <f t="shared" si="1644"/>
        <v>51190</v>
      </c>
      <c r="AZ146" s="58">
        <f t="shared" si="1644"/>
        <v>94781</v>
      </c>
      <c r="BA146" s="58">
        <f t="shared" si="1644"/>
        <v>115004</v>
      </c>
      <c r="BB146" s="58">
        <f t="shared" si="1644"/>
        <v>105636</v>
      </c>
      <c r="BC146" s="58">
        <f t="shared" si="1644"/>
        <v>910536</v>
      </c>
      <c r="BD146" s="20" t="str">
        <f t="shared" si="1532"/>
        <v>Daily Allowance</v>
      </c>
      <c r="BE146" s="58">
        <f t="shared" ref="BE146:BQ146" si="1645">+SUM(BE147:BE149)</f>
        <v>80696</v>
      </c>
      <c r="BF146" s="58">
        <f t="shared" si="1645"/>
        <v>80342</v>
      </c>
      <c r="BG146" s="58">
        <f t="shared" si="1645"/>
        <v>3150</v>
      </c>
      <c r="BH146" s="58">
        <f t="shared" si="1645"/>
        <v>133366</v>
      </c>
      <c r="BI146" s="58">
        <f t="shared" si="1645"/>
        <v>109635</v>
      </c>
      <c r="BJ146" s="58">
        <f t="shared" si="1645"/>
        <v>84269</v>
      </c>
      <c r="BK146" s="58">
        <f t="shared" si="1645"/>
        <v>85276</v>
      </c>
      <c r="BL146" s="58">
        <f t="shared" si="1645"/>
        <v>74914</v>
      </c>
      <c r="BM146" s="58">
        <f t="shared" si="1645"/>
        <v>100619</v>
      </c>
      <c r="BN146" s="58">
        <f t="shared" si="1645"/>
        <v>78343</v>
      </c>
      <c r="BO146" s="58">
        <f t="shared" si="1645"/>
        <v>0</v>
      </c>
      <c r="BP146" s="58">
        <f t="shared" si="1645"/>
        <v>0</v>
      </c>
      <c r="BQ146" s="58">
        <f t="shared" si="1645"/>
        <v>830610</v>
      </c>
      <c r="BR146" s="118">
        <f t="shared" si="1190"/>
        <v>3.2486359682648465E-2</v>
      </c>
      <c r="BS146" s="58">
        <f t="shared" ref="BS146:CE146" si="1646">+SUM(BS147:BS149)</f>
        <v>75878</v>
      </c>
      <c r="BT146" s="58">
        <f t="shared" si="1646"/>
        <v>75878</v>
      </c>
      <c r="BU146" s="58">
        <f t="shared" si="1646"/>
        <v>75878</v>
      </c>
      <c r="BV146" s="58">
        <f t="shared" si="1646"/>
        <v>75878</v>
      </c>
      <c r="BW146" s="58">
        <f t="shared" si="1646"/>
        <v>75878</v>
      </c>
      <c r="BX146" s="58">
        <f t="shared" si="1646"/>
        <v>75878</v>
      </c>
      <c r="BY146" s="58">
        <f t="shared" si="1646"/>
        <v>75878</v>
      </c>
      <c r="BZ146" s="58">
        <f t="shared" si="1646"/>
        <v>75878</v>
      </c>
      <c r="CA146" s="58">
        <f t="shared" si="1646"/>
        <v>75878</v>
      </c>
      <c r="CB146" s="58">
        <f t="shared" si="1646"/>
        <v>75878</v>
      </c>
      <c r="CC146" s="58">
        <f t="shared" si="1646"/>
        <v>75878</v>
      </c>
      <c r="CD146" s="58">
        <f t="shared" si="1646"/>
        <v>75878</v>
      </c>
      <c r="CE146" s="58">
        <f t="shared" si="1646"/>
        <v>910536</v>
      </c>
      <c r="CF146" s="22"/>
      <c r="CG146" s="58">
        <f t="shared" ref="CG146:CS146" si="1647">+SUM(CG147:CG149)</f>
        <v>28063</v>
      </c>
      <c r="CH146" s="58">
        <f t="shared" si="1647"/>
        <v>24005</v>
      </c>
      <c r="CI146" s="58">
        <f t="shared" si="1647"/>
        <v>21598</v>
      </c>
      <c r="CJ146" s="58">
        <f t="shared" si="1647"/>
        <v>72136</v>
      </c>
      <c r="CK146" s="58">
        <f t="shared" si="1647"/>
        <v>37251</v>
      </c>
      <c r="CL146" s="58">
        <f t="shared" si="1647"/>
        <v>30750</v>
      </c>
      <c r="CM146" s="58">
        <f t="shared" si="1647"/>
        <v>31330</v>
      </c>
      <c r="CN146" s="58">
        <f t="shared" si="1647"/>
        <v>26959</v>
      </c>
      <c r="CO146" s="58">
        <f t="shared" si="1647"/>
        <v>40051</v>
      </c>
      <c r="CP146" s="58">
        <f t="shared" si="1647"/>
        <v>14329</v>
      </c>
      <c r="CQ146" s="58">
        <f t="shared" si="1647"/>
        <v>116634</v>
      </c>
      <c r="CR146" s="58">
        <f t="shared" si="1647"/>
        <v>33052.5</v>
      </c>
      <c r="CS146" s="58">
        <f t="shared" si="1647"/>
        <v>476158.5</v>
      </c>
      <c r="CT146" s="20" t="str">
        <f t="shared" si="1536"/>
        <v>Daily Allowance</v>
      </c>
      <c r="CU146" s="58">
        <f t="shared" ref="CU146:DG146" si="1648">+SUM(CU147:CU149)</f>
        <v>72495</v>
      </c>
      <c r="CV146" s="58">
        <f t="shared" si="1648"/>
        <v>33829</v>
      </c>
      <c r="CW146" s="58">
        <f t="shared" si="1648"/>
        <v>19484</v>
      </c>
      <c r="CX146" s="58">
        <f t="shared" si="1648"/>
        <v>10068</v>
      </c>
      <c r="CY146" s="58">
        <f t="shared" si="1648"/>
        <v>25685</v>
      </c>
      <c r="CZ146" s="58">
        <f t="shared" si="1648"/>
        <v>76569</v>
      </c>
      <c r="DA146" s="58">
        <f t="shared" si="1648"/>
        <v>29041</v>
      </c>
      <c r="DB146" s="58">
        <f t="shared" si="1648"/>
        <v>6793</v>
      </c>
      <c r="DC146" s="58">
        <f t="shared" si="1648"/>
        <v>15897</v>
      </c>
      <c r="DD146" s="58">
        <f t="shared" si="1648"/>
        <v>33554</v>
      </c>
      <c r="DE146" s="58">
        <f t="shared" si="1648"/>
        <v>0</v>
      </c>
      <c r="DF146" s="58">
        <f t="shared" si="1648"/>
        <v>0</v>
      </c>
      <c r="DG146" s="58">
        <f t="shared" si="1648"/>
        <v>323415</v>
      </c>
      <c r="DH146" s="118">
        <f t="shared" si="1191"/>
        <v>-4.1314285714285713E-2</v>
      </c>
      <c r="DI146" s="58">
        <f t="shared" ref="DI146:DU146" si="1649">+SUM(DI147:DI149)</f>
        <v>35000</v>
      </c>
      <c r="DJ146" s="58">
        <f t="shared" si="1649"/>
        <v>35000</v>
      </c>
      <c r="DK146" s="58">
        <f t="shared" si="1649"/>
        <v>35000</v>
      </c>
      <c r="DL146" s="58">
        <f t="shared" si="1649"/>
        <v>35000</v>
      </c>
      <c r="DM146" s="58">
        <f t="shared" si="1649"/>
        <v>35000</v>
      </c>
      <c r="DN146" s="58">
        <f t="shared" si="1649"/>
        <v>35000</v>
      </c>
      <c r="DO146" s="58">
        <f t="shared" si="1649"/>
        <v>35000</v>
      </c>
      <c r="DP146" s="58">
        <f t="shared" si="1649"/>
        <v>35000</v>
      </c>
      <c r="DQ146" s="58">
        <f t="shared" si="1649"/>
        <v>35000</v>
      </c>
      <c r="DR146" s="58">
        <f t="shared" si="1649"/>
        <v>35000</v>
      </c>
      <c r="DS146" s="58">
        <f t="shared" si="1649"/>
        <v>35000</v>
      </c>
      <c r="DT146" s="58">
        <f t="shared" si="1649"/>
        <v>35000</v>
      </c>
      <c r="DU146" s="58">
        <f t="shared" si="1649"/>
        <v>420000</v>
      </c>
    </row>
    <row r="147" spans="1:125" ht="14.45" hidden="1" customHeight="1" outlineLevel="2">
      <c r="A147" s="106">
        <f t="shared" ref="A147:A149" si="1650">+AQ147+CG147</f>
        <v>0</v>
      </c>
      <c r="B147" s="106">
        <f t="shared" ref="B147:B149" si="1651">+AR147+CH147</f>
        <v>0</v>
      </c>
      <c r="C147" s="106">
        <f t="shared" ref="C147:C149" si="1652">+AS147+CI147</f>
        <v>0</v>
      </c>
      <c r="D147" s="106">
        <f t="shared" ref="D147:D149" si="1653">+AT147+CJ147</f>
        <v>0</v>
      </c>
      <c r="E147" s="106">
        <f t="shared" ref="E147:E149" si="1654">+AU147+CK147</f>
        <v>0</v>
      </c>
      <c r="F147" s="106">
        <f t="shared" ref="F147:F149" si="1655">+AV147+CL147</f>
        <v>0</v>
      </c>
      <c r="G147" s="106">
        <f t="shared" ref="G147:G149" si="1656">+AW147+CM147</f>
        <v>0</v>
      </c>
      <c r="H147" s="106">
        <f t="shared" ref="H147:H149" si="1657">+AX147+CN147</f>
        <v>0</v>
      </c>
      <c r="I147" s="106">
        <f t="shared" ref="I147:I149" si="1658">+AY147+CO147</f>
        <v>0</v>
      </c>
      <c r="J147" s="106">
        <f t="shared" ref="J147:J149" si="1659">+AZ147+CP147</f>
        <v>0</v>
      </c>
      <c r="K147" s="106">
        <f t="shared" ref="K147:K149" si="1660">+BA147+CQ147</f>
        <v>0</v>
      </c>
      <c r="L147" s="106">
        <f t="shared" ref="L147:L149" si="1661">+BB147+CR147</f>
        <v>0</v>
      </c>
      <c r="M147" s="106">
        <f t="shared" ref="M147:M149" si="1662">+SUM(A147:L147)</f>
        <v>0</v>
      </c>
      <c r="N147" s="16" t="s">
        <v>122</v>
      </c>
      <c r="O147" s="106">
        <f t="shared" ref="O147:O149" si="1663">+BE147+CU147</f>
        <v>0</v>
      </c>
      <c r="P147" s="106">
        <f t="shared" ref="P147:P149" si="1664">+BF147+CV147</f>
        <v>0</v>
      </c>
      <c r="Q147" s="106">
        <f t="shared" ref="Q147:Q149" si="1665">+BG147+CW147</f>
        <v>0</v>
      </c>
      <c r="R147" s="106">
        <f t="shared" ref="R147:R149" si="1666">+BH147+CX147</f>
        <v>0</v>
      </c>
      <c r="S147" s="106">
        <f t="shared" ref="S147:S149" si="1667">+BI147+CY147</f>
        <v>0</v>
      </c>
      <c r="T147" s="106">
        <f t="shared" ref="T147:T149" si="1668">+BJ147+CZ147</f>
        <v>0</v>
      </c>
      <c r="U147" s="106">
        <f t="shared" ref="U147:U149" si="1669">+BK147+DA147</f>
        <v>0</v>
      </c>
      <c r="V147" s="106">
        <f t="shared" ref="V147:V149" si="1670">+BL147+DB147</f>
        <v>0</v>
      </c>
      <c r="W147" s="106">
        <f t="shared" ref="W147:W149" si="1671">+BM147+DC147</f>
        <v>0</v>
      </c>
      <c r="X147" s="106">
        <f t="shared" ref="X147:X149" si="1672">+BN147+DD147</f>
        <v>0</v>
      </c>
      <c r="Y147" s="106">
        <f t="shared" ref="Y147:Y149" si="1673">+BO147+DE147</f>
        <v>0</v>
      </c>
      <c r="Z147" s="106">
        <f t="shared" ref="Z147:Z149" si="1674">+BP147+DF147</f>
        <v>0</v>
      </c>
      <c r="AA147" s="106">
        <f t="shared" ref="AA147:AA149" si="1675">+SUM(O147:Z147)</f>
        <v>0</v>
      </c>
      <c r="AB147" s="118">
        <f t="shared" si="1189"/>
        <v>0</v>
      </c>
      <c r="AC147" s="106">
        <f t="shared" ref="AC147:AC149" si="1676">+BS147+DI147</f>
        <v>0</v>
      </c>
      <c r="AD147" s="106">
        <f t="shared" ref="AD147:AD149" si="1677">+BT147+DJ147</f>
        <v>0</v>
      </c>
      <c r="AE147" s="106">
        <f t="shared" ref="AE147:AE149" si="1678">+BU147+DK147</f>
        <v>0</v>
      </c>
      <c r="AF147" s="106">
        <f t="shared" ref="AF147:AF149" si="1679">+BV147+DL147</f>
        <v>0</v>
      </c>
      <c r="AG147" s="106">
        <f t="shared" ref="AG147:AG149" si="1680">+BW147+DM147</f>
        <v>0</v>
      </c>
      <c r="AH147" s="106">
        <f t="shared" ref="AH147:AH149" si="1681">+BX147+DN147</f>
        <v>0</v>
      </c>
      <c r="AI147" s="106">
        <f t="shared" ref="AI147:AI149" si="1682">+BY147+DO147</f>
        <v>0</v>
      </c>
      <c r="AJ147" s="106">
        <f t="shared" ref="AJ147:AJ149" si="1683">+BZ147+DP147</f>
        <v>0</v>
      </c>
      <c r="AK147" s="106">
        <f t="shared" ref="AK147:AK149" si="1684">+CA147+DQ147</f>
        <v>0</v>
      </c>
      <c r="AL147" s="106">
        <f t="shared" ref="AL147:AL149" si="1685">+CB147+DR147</f>
        <v>0</v>
      </c>
      <c r="AM147" s="106">
        <f t="shared" ref="AM147:AM149" si="1686">+CC147+DS147</f>
        <v>0</v>
      </c>
      <c r="AN147" s="106">
        <f t="shared" ref="AN147:AN149" si="1687">+CD147+DT147</f>
        <v>0</v>
      </c>
      <c r="AO147" s="106">
        <f t="shared" ref="AO147:AO149" si="1688">+SUM(AC147:AN147)</f>
        <v>0</v>
      </c>
      <c r="AQ147" s="106">
        <v>0</v>
      </c>
      <c r="AR147" s="106">
        <v>0</v>
      </c>
      <c r="AS147" s="106">
        <v>0</v>
      </c>
      <c r="AT147" s="106">
        <v>0</v>
      </c>
      <c r="AU147" s="106">
        <v>0</v>
      </c>
      <c r="AV147" s="106">
        <v>0</v>
      </c>
      <c r="AW147" s="106">
        <v>0</v>
      </c>
      <c r="AX147" s="106">
        <v>0</v>
      </c>
      <c r="AY147" s="106">
        <v>0</v>
      </c>
      <c r="AZ147" s="106">
        <v>0</v>
      </c>
      <c r="BA147" s="106">
        <v>0</v>
      </c>
      <c r="BB147" s="106">
        <v>0</v>
      </c>
      <c r="BC147" s="106">
        <f t="shared" ref="BC147:BC149" si="1689">+SUM(AQ147:BB147)</f>
        <v>0</v>
      </c>
      <c r="BD147" s="16" t="str">
        <f t="shared" si="1532"/>
        <v>Daily Allowance to Consultant</v>
      </c>
      <c r="BE147" s="106">
        <f>+VLOOKUP($BD147,'Jan-25'!$A:$J,2,0)</f>
        <v>0</v>
      </c>
      <c r="BF147" s="106">
        <f>+VLOOKUP($BD147,'Feb-25'!$A:$J,2,0)</f>
        <v>0</v>
      </c>
      <c r="BG147" s="106">
        <f>+VLOOKUP($BD147,'Mar-25'!$A:$J,2,0)</f>
        <v>0</v>
      </c>
      <c r="BH147" s="106">
        <f>+VLOOKUP($BD147,'Apr-25'!$A:$J,2,0)</f>
        <v>0</v>
      </c>
      <c r="BI147" s="106">
        <f>+VLOOKUP($BD147,'May-25'!$A:$J,2,0)</f>
        <v>0</v>
      </c>
      <c r="BJ147" s="106">
        <f>+VLOOKUP($BD147,'June-25'!$A:$J,2,0)</f>
        <v>0</v>
      </c>
      <c r="BK147" s="106">
        <f>+VLOOKUP($BD147,'July-25'!$A:$J,2,0)</f>
        <v>0</v>
      </c>
      <c r="BL147" s="106">
        <f>+VLOOKUP($BD147,'Aug-25'!$A:$J,2,0)</f>
        <v>0</v>
      </c>
      <c r="BM147" s="106">
        <f>+VLOOKUP($BD147,'Sep-25'!$A:$J,2,0)</f>
        <v>0</v>
      </c>
      <c r="BN147" s="106">
        <f>+VLOOKUP($BD147,'Oct-25'!$A:$J,2,0)</f>
        <v>0</v>
      </c>
      <c r="BO147" s="106">
        <f>+VLOOKUP($BD147,'Nov-25'!$A:$J,2,0)</f>
        <v>0</v>
      </c>
      <c r="BP147" s="106">
        <f>+VLOOKUP($BD147,'Dec-25'!$A:$J,2,0)</f>
        <v>0</v>
      </c>
      <c r="BQ147" s="106">
        <f t="shared" ref="BQ147:BQ149" si="1690">+SUM(BE147:BP147)</f>
        <v>0</v>
      </c>
      <c r="BR147" s="118">
        <f t="shared" si="1190"/>
        <v>0</v>
      </c>
      <c r="BS147" s="106" cm="1">
        <f t="array" ref="BS147:CD147">+_xlfn.XLOOKUP(BD147,Budget!A:A,Budget!Q:AB)</f>
        <v>0</v>
      </c>
      <c r="BT147" s="106">
        <v>0</v>
      </c>
      <c r="BU147" s="106">
        <v>0</v>
      </c>
      <c r="BV147" s="106">
        <v>0</v>
      </c>
      <c r="BW147" s="106">
        <v>0</v>
      </c>
      <c r="BX147" s="106">
        <v>0</v>
      </c>
      <c r="BY147" s="106">
        <v>0</v>
      </c>
      <c r="BZ147" s="106">
        <v>0</v>
      </c>
      <c r="CA147" s="106">
        <v>0</v>
      </c>
      <c r="CB147" s="106">
        <v>0</v>
      </c>
      <c r="CC147" s="106">
        <v>0</v>
      </c>
      <c r="CD147" s="106">
        <v>0</v>
      </c>
      <c r="CE147" s="106">
        <f t="shared" ref="CE147:CE148" si="1691">+SUM(BS147:CD147)</f>
        <v>0</v>
      </c>
      <c r="CF147" s="22"/>
      <c r="CG147" s="106">
        <v>0</v>
      </c>
      <c r="CH147" s="106">
        <v>0</v>
      </c>
      <c r="CI147" s="106">
        <v>0</v>
      </c>
      <c r="CJ147" s="106">
        <v>0</v>
      </c>
      <c r="CK147" s="106">
        <v>0</v>
      </c>
      <c r="CL147" s="106">
        <v>0</v>
      </c>
      <c r="CM147" s="106">
        <v>0</v>
      </c>
      <c r="CN147" s="106">
        <v>0</v>
      </c>
      <c r="CO147" s="106">
        <v>0</v>
      </c>
      <c r="CP147" s="106">
        <v>0</v>
      </c>
      <c r="CQ147" s="106">
        <v>0</v>
      </c>
      <c r="CR147" s="106">
        <v>0</v>
      </c>
      <c r="CS147" s="106">
        <f t="shared" ref="CS147:CS149" si="1692">+SUM(CG147:CR147)</f>
        <v>0</v>
      </c>
      <c r="CT147" s="16" t="str">
        <f t="shared" si="1536"/>
        <v>Daily Allowance to Consultant</v>
      </c>
      <c r="CU147" s="106">
        <f>+VLOOKUP($BD147,'Jan-25'!$A:$J,6,0)</f>
        <v>0</v>
      </c>
      <c r="CV147" s="106">
        <f>+VLOOKUP($BD147,'Feb-25'!$A:$J,6,0)</f>
        <v>0</v>
      </c>
      <c r="CW147" s="106">
        <f>+VLOOKUP($BD147,'Mar-25'!$A:$J,6,0)</f>
        <v>0</v>
      </c>
      <c r="CX147" s="106">
        <f>+VLOOKUP($BD147,'Apr-25'!$A:$J,6,0)</f>
        <v>0</v>
      </c>
      <c r="CY147" s="106">
        <f>+VLOOKUP($BD147,'May-25'!$A:$J,6,0)</f>
        <v>0</v>
      </c>
      <c r="CZ147" s="106">
        <f>+VLOOKUP($BD147,'June-25'!$A:$J,6,0)</f>
        <v>0</v>
      </c>
      <c r="DA147" s="106">
        <f>+VLOOKUP($BD147,'July-25'!$A:$J,6,0)</f>
        <v>0</v>
      </c>
      <c r="DB147" s="106">
        <f>+VLOOKUP($BD147,'Aug-25'!$A:$J,6,0)</f>
        <v>0</v>
      </c>
      <c r="DC147" s="106">
        <f>+VLOOKUP($BD147,'Sep-25'!$A:$J,6,0)</f>
        <v>0</v>
      </c>
      <c r="DD147" s="106">
        <f>+VLOOKUP($BD147,'Oct-25'!$A:$J,6,0)</f>
        <v>0</v>
      </c>
      <c r="DE147" s="106">
        <f>+VLOOKUP($BD147,'Nov-25'!$A:$J,6,0)</f>
        <v>0</v>
      </c>
      <c r="DF147" s="106">
        <f>+VLOOKUP($BD147,'Dec-25'!$A:$J,6,0)</f>
        <v>0</v>
      </c>
      <c r="DG147" s="106">
        <f t="shared" ref="DG147:DG149" si="1693">+SUM(CU147:DF147)</f>
        <v>0</v>
      </c>
      <c r="DH147" s="118">
        <f t="shared" si="1191"/>
        <v>0</v>
      </c>
      <c r="DI147" s="106">
        <f>+_xlfn.XLOOKUP($CT147,Budget!$A:$A,Budget!BQ:BQ)</f>
        <v>0</v>
      </c>
      <c r="DJ147" s="106">
        <f>+_xlfn.XLOOKUP($CT147,Budget!$A:$A,Budget!BR:BR)</f>
        <v>0</v>
      </c>
      <c r="DK147" s="106">
        <f>+_xlfn.XLOOKUP($CT147,Budget!$A:$A,Budget!BS:BS)</f>
        <v>0</v>
      </c>
      <c r="DL147" s="106">
        <f>+_xlfn.XLOOKUP($CT147,Budget!$A:$A,Budget!BT:BT)</f>
        <v>0</v>
      </c>
      <c r="DM147" s="106">
        <f>+_xlfn.XLOOKUP($CT147,Budget!$A:$A,Budget!BU:BU)</f>
        <v>0</v>
      </c>
      <c r="DN147" s="106">
        <f>+_xlfn.XLOOKUP($CT147,Budget!$A:$A,Budget!BV:BV)</f>
        <v>0</v>
      </c>
      <c r="DO147" s="106">
        <f>+_xlfn.XLOOKUP($CT147,Budget!$A:$A,Budget!BW:BW)</f>
        <v>0</v>
      </c>
      <c r="DP147" s="106">
        <f>+_xlfn.XLOOKUP($CT147,Budget!$A:$A,Budget!BX:BX)</f>
        <v>0</v>
      </c>
      <c r="DQ147" s="106">
        <f>+_xlfn.XLOOKUP($CT147,Budget!$A:$A,Budget!BY:BY)</f>
        <v>0</v>
      </c>
      <c r="DR147" s="106">
        <f>+_xlfn.XLOOKUP($CT147,Budget!$A:$A,Budget!BZ:BZ)</f>
        <v>0</v>
      </c>
      <c r="DS147" s="106">
        <f>+_xlfn.XLOOKUP($CT147,Budget!$A:$A,Budget!CA:CA)</f>
        <v>0</v>
      </c>
      <c r="DT147" s="106">
        <f>+_xlfn.XLOOKUP($CT147,Budget!$A:$A,Budget!CB:CB)</f>
        <v>0</v>
      </c>
      <c r="DU147" s="106">
        <f t="shared" ref="DU147:DU149" si="1694">+SUM(DI147:DT147)</f>
        <v>0</v>
      </c>
    </row>
    <row r="148" spans="1:125" ht="14.45" hidden="1" customHeight="1" outlineLevel="2">
      <c r="A148" s="106">
        <f t="shared" si="1650"/>
        <v>111435</v>
      </c>
      <c r="B148" s="106">
        <f t="shared" si="1651"/>
        <v>82026</v>
      </c>
      <c r="C148" s="106">
        <f t="shared" si="1652"/>
        <v>100619</v>
      </c>
      <c r="D148" s="106">
        <f t="shared" si="1653"/>
        <v>130536</v>
      </c>
      <c r="E148" s="106">
        <f t="shared" si="1654"/>
        <v>99207</v>
      </c>
      <c r="F148" s="106">
        <f t="shared" si="1655"/>
        <v>86278</v>
      </c>
      <c r="G148" s="106">
        <f t="shared" si="1656"/>
        <v>83946</v>
      </c>
      <c r="H148" s="106">
        <f t="shared" si="1657"/>
        <v>121970</v>
      </c>
      <c r="I148" s="106">
        <f t="shared" si="1658"/>
        <v>91241</v>
      </c>
      <c r="J148" s="106">
        <f t="shared" si="1659"/>
        <v>109110</v>
      </c>
      <c r="K148" s="106">
        <f t="shared" si="1660"/>
        <v>231638</v>
      </c>
      <c r="L148" s="106">
        <f t="shared" si="1661"/>
        <v>138688.5</v>
      </c>
      <c r="M148" s="106">
        <f t="shared" si="1662"/>
        <v>1386694.5</v>
      </c>
      <c r="N148" s="16" t="s">
        <v>123</v>
      </c>
      <c r="O148" s="106">
        <f t="shared" si="1663"/>
        <v>153191</v>
      </c>
      <c r="P148" s="106">
        <f t="shared" si="1664"/>
        <v>114171</v>
      </c>
      <c r="Q148" s="106">
        <f t="shared" si="1665"/>
        <v>22634</v>
      </c>
      <c r="R148" s="106">
        <f t="shared" si="1666"/>
        <v>143434</v>
      </c>
      <c r="S148" s="106">
        <f t="shared" si="1667"/>
        <v>135320</v>
      </c>
      <c r="T148" s="106">
        <f t="shared" si="1668"/>
        <v>160838</v>
      </c>
      <c r="U148" s="106">
        <f t="shared" si="1669"/>
        <v>114317</v>
      </c>
      <c r="V148" s="106">
        <f t="shared" si="1670"/>
        <v>81707</v>
      </c>
      <c r="W148" s="106">
        <f t="shared" si="1671"/>
        <v>116516</v>
      </c>
      <c r="X148" s="106">
        <f t="shared" si="1672"/>
        <v>111897</v>
      </c>
      <c r="Y148" s="106">
        <f t="shared" si="1673"/>
        <v>0</v>
      </c>
      <c r="Z148" s="106">
        <f t="shared" si="1674"/>
        <v>0</v>
      </c>
      <c r="AA148" s="106">
        <f t="shared" si="1675"/>
        <v>1154025</v>
      </c>
      <c r="AB148" s="118">
        <f t="shared" si="1189"/>
        <v>9.1902812099785344E-3</v>
      </c>
      <c r="AC148" s="106">
        <f t="shared" si="1676"/>
        <v>110878</v>
      </c>
      <c r="AD148" s="106">
        <f t="shared" si="1677"/>
        <v>110878</v>
      </c>
      <c r="AE148" s="106">
        <f t="shared" si="1678"/>
        <v>110878</v>
      </c>
      <c r="AF148" s="106">
        <f t="shared" si="1679"/>
        <v>110878</v>
      </c>
      <c r="AG148" s="106">
        <f t="shared" si="1680"/>
        <v>110878</v>
      </c>
      <c r="AH148" s="106">
        <f t="shared" si="1681"/>
        <v>110878</v>
      </c>
      <c r="AI148" s="106">
        <f t="shared" si="1682"/>
        <v>110878</v>
      </c>
      <c r="AJ148" s="106">
        <f t="shared" si="1683"/>
        <v>110878</v>
      </c>
      <c r="AK148" s="106">
        <f t="shared" si="1684"/>
        <v>110878</v>
      </c>
      <c r="AL148" s="106">
        <f t="shared" si="1685"/>
        <v>110878</v>
      </c>
      <c r="AM148" s="106">
        <f t="shared" si="1686"/>
        <v>110878</v>
      </c>
      <c r="AN148" s="106">
        <f t="shared" si="1687"/>
        <v>110878</v>
      </c>
      <c r="AO148" s="106">
        <f t="shared" si="1688"/>
        <v>1330536</v>
      </c>
      <c r="AQ148" s="106">
        <v>83372</v>
      </c>
      <c r="AR148" s="106">
        <v>58021</v>
      </c>
      <c r="AS148" s="106">
        <v>79021</v>
      </c>
      <c r="AT148" s="106">
        <v>58400</v>
      </c>
      <c r="AU148" s="106">
        <v>61956</v>
      </c>
      <c r="AV148" s="106">
        <v>55528</v>
      </c>
      <c r="AW148" s="106">
        <v>52616</v>
      </c>
      <c r="AX148" s="106">
        <v>95011</v>
      </c>
      <c r="AY148" s="106">
        <v>51190</v>
      </c>
      <c r="AZ148" s="106">
        <v>94781</v>
      </c>
      <c r="BA148" s="106">
        <v>115004</v>
      </c>
      <c r="BB148" s="106">
        <v>105636</v>
      </c>
      <c r="BC148" s="106">
        <f t="shared" si="1689"/>
        <v>910536</v>
      </c>
      <c r="BD148" s="16" t="str">
        <f t="shared" si="1532"/>
        <v>Daily Allowance to Drivers</v>
      </c>
      <c r="BE148" s="106">
        <f>+VLOOKUP($BD148,'Jan-25'!$A:$J,2,0)</f>
        <v>80696</v>
      </c>
      <c r="BF148" s="106">
        <f>+VLOOKUP($BD148,'Feb-25'!$A:$J,2,0)</f>
        <v>80342</v>
      </c>
      <c r="BG148" s="106">
        <f>+VLOOKUP($BD148,'Mar-25'!$A:$J,2,0)</f>
        <v>3150</v>
      </c>
      <c r="BH148" s="106">
        <f>+VLOOKUP($BD148,'Apr-25'!$A:$J,2,0)</f>
        <v>133366</v>
      </c>
      <c r="BI148" s="106">
        <f>+VLOOKUP($BD148,'May-25'!$A:$J,2,0)</f>
        <v>109635</v>
      </c>
      <c r="BJ148" s="106">
        <f>+VLOOKUP($BD148,'June-25'!$A:$J,2,0)</f>
        <v>84269</v>
      </c>
      <c r="BK148" s="106">
        <f>+VLOOKUP($BD148,'July-25'!$A:$J,2,0)</f>
        <v>85276</v>
      </c>
      <c r="BL148" s="106">
        <f>+VLOOKUP($BD148,'Aug-25'!$A:$J,2,0)</f>
        <v>74914</v>
      </c>
      <c r="BM148" s="106">
        <f>+VLOOKUP($BD148,'Sep-25'!$A:$J,2,0)</f>
        <v>100619</v>
      </c>
      <c r="BN148" s="106">
        <f>+VLOOKUP($BD148,'Oct-25'!$A:$J,2,0)</f>
        <v>78343</v>
      </c>
      <c r="BO148" s="106">
        <f>+VLOOKUP($BD148,'Nov-25'!$A:$J,2,0)</f>
        <v>0</v>
      </c>
      <c r="BP148" s="106">
        <f>+VLOOKUP($BD148,'Dec-25'!$A:$J,2,0)</f>
        <v>0</v>
      </c>
      <c r="BQ148" s="106">
        <f t="shared" si="1690"/>
        <v>830610</v>
      </c>
      <c r="BR148" s="118">
        <f t="shared" si="1190"/>
        <v>3.2486359682648465E-2</v>
      </c>
      <c r="BS148" s="106" cm="1">
        <f t="array" ref="BS148:CD148">+_xlfn.XLOOKUP(BD148,Budget!A:A,Budget!Q:AB)</f>
        <v>75878</v>
      </c>
      <c r="BT148" s="106">
        <v>75878</v>
      </c>
      <c r="BU148" s="106">
        <v>75878</v>
      </c>
      <c r="BV148" s="106">
        <v>75878</v>
      </c>
      <c r="BW148" s="106">
        <v>75878</v>
      </c>
      <c r="BX148" s="106">
        <v>75878</v>
      </c>
      <c r="BY148" s="106">
        <v>75878</v>
      </c>
      <c r="BZ148" s="106">
        <v>75878</v>
      </c>
      <c r="CA148" s="106">
        <v>75878</v>
      </c>
      <c r="CB148" s="106">
        <v>75878</v>
      </c>
      <c r="CC148" s="106">
        <v>75878</v>
      </c>
      <c r="CD148" s="106">
        <v>75878</v>
      </c>
      <c r="CE148" s="106">
        <f t="shared" si="1691"/>
        <v>910536</v>
      </c>
      <c r="CF148" s="22"/>
      <c r="CG148" s="106">
        <v>28063</v>
      </c>
      <c r="CH148" s="106">
        <v>24005</v>
      </c>
      <c r="CI148" s="106">
        <v>21598</v>
      </c>
      <c r="CJ148" s="106">
        <v>72136</v>
      </c>
      <c r="CK148" s="106">
        <v>37251</v>
      </c>
      <c r="CL148" s="106">
        <v>30750</v>
      </c>
      <c r="CM148" s="106">
        <v>31330</v>
      </c>
      <c r="CN148" s="106">
        <v>26959</v>
      </c>
      <c r="CO148" s="106">
        <v>40051</v>
      </c>
      <c r="CP148" s="106">
        <v>14329</v>
      </c>
      <c r="CQ148" s="106">
        <v>116634</v>
      </c>
      <c r="CR148" s="106">
        <v>33052.5</v>
      </c>
      <c r="CS148" s="106">
        <f t="shared" si="1692"/>
        <v>476158.5</v>
      </c>
      <c r="CT148" s="16" t="str">
        <f t="shared" si="1536"/>
        <v>Daily Allowance to Drivers</v>
      </c>
      <c r="CU148" s="106">
        <f>+VLOOKUP($BD148,'Jan-25'!$A:$J,6,0)</f>
        <v>72495</v>
      </c>
      <c r="CV148" s="106">
        <f>+VLOOKUP($BD148,'Feb-25'!$A:$J,6,0)</f>
        <v>33829</v>
      </c>
      <c r="CW148" s="106">
        <f>+VLOOKUP($BD148,'Mar-25'!$A:$J,6,0)</f>
        <v>19484</v>
      </c>
      <c r="CX148" s="106">
        <f>+VLOOKUP($BD148,'Apr-25'!$A:$J,6,0)</f>
        <v>10068</v>
      </c>
      <c r="CY148" s="106">
        <f>+VLOOKUP($BD148,'May-25'!$A:$J,6,0)</f>
        <v>25685</v>
      </c>
      <c r="CZ148" s="106">
        <f>+VLOOKUP($BD148,'June-25'!$A:$J,6,0)</f>
        <v>76569</v>
      </c>
      <c r="DA148" s="106">
        <f>+VLOOKUP($BD148,'July-25'!$A:$J,6,0)</f>
        <v>29041</v>
      </c>
      <c r="DB148" s="106">
        <f>+VLOOKUP($BD148,'Aug-25'!$A:$J,6,0)</f>
        <v>6793</v>
      </c>
      <c r="DC148" s="106">
        <f>+VLOOKUP($BD148,'Sep-25'!$A:$J,6,0)</f>
        <v>15897</v>
      </c>
      <c r="DD148" s="106">
        <f>+VLOOKUP($BD148,'Oct-25'!$A:$J,6,0)</f>
        <v>33554</v>
      </c>
      <c r="DE148" s="106">
        <f>+VLOOKUP($BD148,'Nov-25'!$A:$J,6,0)</f>
        <v>0</v>
      </c>
      <c r="DF148" s="106">
        <f>+VLOOKUP($BD148,'Dec-25'!$A:$J,6,0)</f>
        <v>0</v>
      </c>
      <c r="DG148" s="106">
        <f t="shared" si="1693"/>
        <v>323415</v>
      </c>
      <c r="DH148" s="118">
        <f t="shared" si="1191"/>
        <v>-4.1314285714285713E-2</v>
      </c>
      <c r="DI148" s="106">
        <f>+_xlfn.XLOOKUP($CT148,Budget!$A:$A,Budget!BQ:BQ)</f>
        <v>35000</v>
      </c>
      <c r="DJ148" s="106">
        <f>+_xlfn.XLOOKUP($CT148,Budget!$A:$A,Budget!BR:BR)</f>
        <v>35000</v>
      </c>
      <c r="DK148" s="106">
        <f>+_xlfn.XLOOKUP($CT148,Budget!$A:$A,Budget!BS:BS)</f>
        <v>35000</v>
      </c>
      <c r="DL148" s="106">
        <f>+_xlfn.XLOOKUP($CT148,Budget!$A:$A,Budget!BT:BT)</f>
        <v>35000</v>
      </c>
      <c r="DM148" s="106">
        <f>+_xlfn.XLOOKUP($CT148,Budget!$A:$A,Budget!BU:BU)</f>
        <v>35000</v>
      </c>
      <c r="DN148" s="106">
        <f>+_xlfn.XLOOKUP($CT148,Budget!$A:$A,Budget!BV:BV)</f>
        <v>35000</v>
      </c>
      <c r="DO148" s="106">
        <f>+_xlfn.XLOOKUP($CT148,Budget!$A:$A,Budget!BW:BW)</f>
        <v>35000</v>
      </c>
      <c r="DP148" s="106">
        <f>+_xlfn.XLOOKUP($CT148,Budget!$A:$A,Budget!BX:BX)</f>
        <v>35000</v>
      </c>
      <c r="DQ148" s="106">
        <f>+_xlfn.XLOOKUP($CT148,Budget!$A:$A,Budget!BY:BY)</f>
        <v>35000</v>
      </c>
      <c r="DR148" s="106">
        <f>+_xlfn.XLOOKUP($CT148,Budget!$A:$A,Budget!BZ:BZ)</f>
        <v>35000</v>
      </c>
      <c r="DS148" s="106">
        <f>+_xlfn.XLOOKUP($CT148,Budget!$A:$A,Budget!CA:CA)</f>
        <v>35000</v>
      </c>
      <c r="DT148" s="106">
        <f>+_xlfn.XLOOKUP($CT148,Budget!$A:$A,Budget!CB:CB)</f>
        <v>35000</v>
      </c>
      <c r="DU148" s="106">
        <f t="shared" si="1694"/>
        <v>420000</v>
      </c>
    </row>
    <row r="149" spans="1:125" ht="14.45" hidden="1" customHeight="1" outlineLevel="2">
      <c r="A149" s="106">
        <f t="shared" si="1650"/>
        <v>0</v>
      </c>
      <c r="B149" s="106">
        <f t="shared" si="1651"/>
        <v>0</v>
      </c>
      <c r="C149" s="106">
        <f t="shared" si="1652"/>
        <v>0</v>
      </c>
      <c r="D149" s="106">
        <f t="shared" si="1653"/>
        <v>0</v>
      </c>
      <c r="E149" s="106">
        <f t="shared" si="1654"/>
        <v>0</v>
      </c>
      <c r="F149" s="106">
        <f t="shared" si="1655"/>
        <v>0</v>
      </c>
      <c r="G149" s="106">
        <f t="shared" si="1656"/>
        <v>0</v>
      </c>
      <c r="H149" s="106">
        <f t="shared" si="1657"/>
        <v>0</v>
      </c>
      <c r="I149" s="106">
        <f t="shared" si="1658"/>
        <v>0</v>
      </c>
      <c r="J149" s="106">
        <f t="shared" si="1659"/>
        <v>0</v>
      </c>
      <c r="K149" s="106">
        <f t="shared" si="1660"/>
        <v>0</v>
      </c>
      <c r="L149" s="106">
        <f t="shared" si="1661"/>
        <v>0</v>
      </c>
      <c r="M149" s="106">
        <f t="shared" si="1662"/>
        <v>0</v>
      </c>
      <c r="N149" s="16" t="s">
        <v>124</v>
      </c>
      <c r="O149" s="106">
        <f t="shared" si="1663"/>
        <v>0</v>
      </c>
      <c r="P149" s="106">
        <f t="shared" si="1664"/>
        <v>0</v>
      </c>
      <c r="Q149" s="106">
        <f t="shared" si="1665"/>
        <v>0</v>
      </c>
      <c r="R149" s="106">
        <f t="shared" si="1666"/>
        <v>0</v>
      </c>
      <c r="S149" s="106">
        <f t="shared" si="1667"/>
        <v>0</v>
      </c>
      <c r="T149" s="106">
        <f t="shared" si="1668"/>
        <v>0</v>
      </c>
      <c r="U149" s="106">
        <f t="shared" si="1669"/>
        <v>0</v>
      </c>
      <c r="V149" s="106">
        <f t="shared" si="1670"/>
        <v>0</v>
      </c>
      <c r="W149" s="106">
        <f t="shared" si="1671"/>
        <v>0</v>
      </c>
      <c r="X149" s="106">
        <f t="shared" si="1672"/>
        <v>0</v>
      </c>
      <c r="Y149" s="106">
        <f t="shared" si="1673"/>
        <v>0</v>
      </c>
      <c r="Z149" s="106">
        <f t="shared" si="1674"/>
        <v>0</v>
      </c>
      <c r="AA149" s="106">
        <f t="shared" si="1675"/>
        <v>0</v>
      </c>
      <c r="AB149" s="118">
        <f t="shared" si="1189"/>
        <v>0</v>
      </c>
      <c r="AC149" s="106">
        <f t="shared" si="1676"/>
        <v>0</v>
      </c>
      <c r="AD149" s="106">
        <f t="shared" si="1677"/>
        <v>0</v>
      </c>
      <c r="AE149" s="106">
        <f t="shared" si="1678"/>
        <v>0</v>
      </c>
      <c r="AF149" s="106">
        <f t="shared" si="1679"/>
        <v>0</v>
      </c>
      <c r="AG149" s="106">
        <f t="shared" si="1680"/>
        <v>0</v>
      </c>
      <c r="AH149" s="106">
        <f t="shared" si="1681"/>
        <v>0</v>
      </c>
      <c r="AI149" s="106">
        <f t="shared" si="1682"/>
        <v>0</v>
      </c>
      <c r="AJ149" s="106">
        <f t="shared" si="1683"/>
        <v>0</v>
      </c>
      <c r="AK149" s="106">
        <f t="shared" si="1684"/>
        <v>0</v>
      </c>
      <c r="AL149" s="106">
        <f t="shared" si="1685"/>
        <v>0</v>
      </c>
      <c r="AM149" s="106">
        <f t="shared" si="1686"/>
        <v>0</v>
      </c>
      <c r="AN149" s="106">
        <f t="shared" si="1687"/>
        <v>0</v>
      </c>
      <c r="AO149" s="106">
        <f t="shared" si="1688"/>
        <v>0</v>
      </c>
      <c r="AQ149" s="106">
        <v>0</v>
      </c>
      <c r="AR149" s="106">
        <v>0</v>
      </c>
      <c r="AS149" s="106">
        <v>0</v>
      </c>
      <c r="AT149" s="106">
        <v>0</v>
      </c>
      <c r="AU149" s="106">
        <v>0</v>
      </c>
      <c r="AV149" s="106">
        <v>0</v>
      </c>
      <c r="AW149" s="106">
        <v>0</v>
      </c>
      <c r="AX149" s="106">
        <v>0</v>
      </c>
      <c r="AY149" s="106">
        <v>0</v>
      </c>
      <c r="AZ149" s="106">
        <v>0</v>
      </c>
      <c r="BA149" s="106">
        <v>0</v>
      </c>
      <c r="BB149" s="106">
        <v>0</v>
      </c>
      <c r="BC149" s="106">
        <f t="shared" si="1689"/>
        <v>0</v>
      </c>
      <c r="BD149" s="16" t="str">
        <f t="shared" si="1532"/>
        <v>Daily Allowance to Others</v>
      </c>
      <c r="BE149" s="106">
        <f>+VLOOKUP($BD149,'Jan-25'!$A:$J,2,0)</f>
        <v>0</v>
      </c>
      <c r="BF149" s="106">
        <f>+VLOOKUP($BD149,'Feb-25'!$A:$J,2,0)</f>
        <v>0</v>
      </c>
      <c r="BG149" s="106">
        <f>+VLOOKUP($BD149,'Mar-25'!$A:$J,2,0)</f>
        <v>0</v>
      </c>
      <c r="BH149" s="106">
        <f>+VLOOKUP($BD149,'Apr-25'!$A:$J,2,0)</f>
        <v>0</v>
      </c>
      <c r="BI149" s="106">
        <f>+VLOOKUP($BD149,'May-25'!$A:$J,2,0)</f>
        <v>0</v>
      </c>
      <c r="BJ149" s="106">
        <f>+VLOOKUP($BD149,'June-25'!$A:$J,2,0)</f>
        <v>0</v>
      </c>
      <c r="BK149" s="106">
        <f>+VLOOKUP($BD149,'July-25'!$A:$J,2,0)</f>
        <v>0</v>
      </c>
      <c r="BL149" s="106">
        <f>+VLOOKUP($BD149,'Aug-25'!$A:$J,2,0)</f>
        <v>0</v>
      </c>
      <c r="BM149" s="106">
        <f>+VLOOKUP($BD149,'Sep-25'!$A:$J,2,0)</f>
        <v>0</v>
      </c>
      <c r="BN149" s="106">
        <f>+VLOOKUP($BD149,'Oct-25'!$A:$J,2,0)</f>
        <v>0</v>
      </c>
      <c r="BO149" s="106">
        <f>+VLOOKUP($BD149,'Nov-25'!$A:$J,2,0)</f>
        <v>0</v>
      </c>
      <c r="BP149" s="106">
        <f>+VLOOKUP($BD149,'Dec-25'!$A:$J,2,0)</f>
        <v>0</v>
      </c>
      <c r="BQ149" s="106">
        <f t="shared" si="1690"/>
        <v>0</v>
      </c>
      <c r="BR149" s="118">
        <f t="shared" si="1190"/>
        <v>0</v>
      </c>
      <c r="BS149" s="106" cm="1">
        <f t="array" ref="BS149:CD149">+_xlfn.XLOOKUP(BD149,Budget!A:A,Budget!Q:AB)</f>
        <v>0</v>
      </c>
      <c r="BT149" s="106">
        <v>0</v>
      </c>
      <c r="BU149" s="106">
        <v>0</v>
      </c>
      <c r="BV149" s="106">
        <v>0</v>
      </c>
      <c r="BW149" s="106">
        <v>0</v>
      </c>
      <c r="BX149" s="106">
        <v>0</v>
      </c>
      <c r="BY149" s="106">
        <v>0</v>
      </c>
      <c r="BZ149" s="106">
        <v>0</v>
      </c>
      <c r="CA149" s="106">
        <v>0</v>
      </c>
      <c r="CB149" s="106">
        <v>0</v>
      </c>
      <c r="CC149" s="106">
        <v>0</v>
      </c>
      <c r="CD149" s="106">
        <v>0</v>
      </c>
      <c r="CE149" s="106"/>
      <c r="CF149" s="22"/>
      <c r="CG149" s="106">
        <v>0</v>
      </c>
      <c r="CH149" s="106">
        <v>0</v>
      </c>
      <c r="CI149" s="106">
        <v>0</v>
      </c>
      <c r="CJ149" s="106">
        <v>0</v>
      </c>
      <c r="CK149" s="106">
        <v>0</v>
      </c>
      <c r="CL149" s="106">
        <v>0</v>
      </c>
      <c r="CM149" s="106">
        <v>0</v>
      </c>
      <c r="CN149" s="106">
        <v>0</v>
      </c>
      <c r="CO149" s="106">
        <v>0</v>
      </c>
      <c r="CP149" s="106">
        <v>0</v>
      </c>
      <c r="CQ149" s="106">
        <v>0</v>
      </c>
      <c r="CR149" s="106">
        <v>0</v>
      </c>
      <c r="CS149" s="106">
        <f t="shared" si="1692"/>
        <v>0</v>
      </c>
      <c r="CT149" s="16" t="str">
        <f t="shared" si="1536"/>
        <v>Daily Allowance to Others</v>
      </c>
      <c r="CU149" s="106">
        <f>+VLOOKUP($BD149,'Jan-25'!$A:$J,6,0)</f>
        <v>0</v>
      </c>
      <c r="CV149" s="106">
        <f>+VLOOKUP($BD149,'Feb-25'!$A:$J,6,0)</f>
        <v>0</v>
      </c>
      <c r="CW149" s="106">
        <f>+VLOOKUP($BD149,'Mar-25'!$A:$J,6,0)</f>
        <v>0</v>
      </c>
      <c r="CX149" s="106">
        <f>+VLOOKUP($BD149,'Apr-25'!$A:$J,6,0)</f>
        <v>0</v>
      </c>
      <c r="CY149" s="106">
        <f>+VLOOKUP($BD149,'May-25'!$A:$J,6,0)</f>
        <v>0</v>
      </c>
      <c r="CZ149" s="106">
        <f>+VLOOKUP($BD149,'June-25'!$A:$J,6,0)</f>
        <v>0</v>
      </c>
      <c r="DA149" s="106">
        <f>+VLOOKUP($BD149,'July-25'!$A:$J,6,0)</f>
        <v>0</v>
      </c>
      <c r="DB149" s="106">
        <f>+VLOOKUP($BD149,'Aug-25'!$A:$J,6,0)</f>
        <v>0</v>
      </c>
      <c r="DC149" s="106">
        <f>+VLOOKUP($BD149,'Sep-25'!$A:$J,6,0)</f>
        <v>0</v>
      </c>
      <c r="DD149" s="106">
        <f>+VLOOKUP($BD149,'Oct-25'!$A:$J,6,0)</f>
        <v>0</v>
      </c>
      <c r="DE149" s="106">
        <f>+VLOOKUP($BD149,'Nov-25'!$A:$J,6,0)</f>
        <v>0</v>
      </c>
      <c r="DF149" s="106">
        <f>+VLOOKUP($BD149,'Dec-25'!$A:$J,6,0)</f>
        <v>0</v>
      </c>
      <c r="DG149" s="106">
        <f t="shared" si="1693"/>
        <v>0</v>
      </c>
      <c r="DH149" s="118">
        <f t="shared" si="1191"/>
        <v>0</v>
      </c>
      <c r="DI149" s="106">
        <f>+_xlfn.XLOOKUP($CT149,Budget!$A:$A,Budget!BQ:BQ)</f>
        <v>0</v>
      </c>
      <c r="DJ149" s="106">
        <f>+_xlfn.XLOOKUP($CT149,Budget!$A:$A,Budget!BR:BR)</f>
        <v>0</v>
      </c>
      <c r="DK149" s="106">
        <f>+_xlfn.XLOOKUP($CT149,Budget!$A:$A,Budget!BS:BS)</f>
        <v>0</v>
      </c>
      <c r="DL149" s="106">
        <f>+_xlfn.XLOOKUP($CT149,Budget!$A:$A,Budget!BT:BT)</f>
        <v>0</v>
      </c>
      <c r="DM149" s="106">
        <f>+_xlfn.XLOOKUP($CT149,Budget!$A:$A,Budget!BU:BU)</f>
        <v>0</v>
      </c>
      <c r="DN149" s="106">
        <f>+_xlfn.XLOOKUP($CT149,Budget!$A:$A,Budget!BV:BV)</f>
        <v>0</v>
      </c>
      <c r="DO149" s="106">
        <f>+_xlfn.XLOOKUP($CT149,Budget!$A:$A,Budget!BW:BW)</f>
        <v>0</v>
      </c>
      <c r="DP149" s="106">
        <f>+_xlfn.XLOOKUP($CT149,Budget!$A:$A,Budget!BX:BX)</f>
        <v>0</v>
      </c>
      <c r="DQ149" s="106">
        <f>+_xlfn.XLOOKUP($CT149,Budget!$A:$A,Budget!BY:BY)</f>
        <v>0</v>
      </c>
      <c r="DR149" s="106">
        <f>+_xlfn.XLOOKUP($CT149,Budget!$A:$A,Budget!BZ:BZ)</f>
        <v>0</v>
      </c>
      <c r="DS149" s="106">
        <f>+_xlfn.XLOOKUP($CT149,Budget!$A:$A,Budget!CA:CA)</f>
        <v>0</v>
      </c>
      <c r="DT149" s="106">
        <f>+_xlfn.XLOOKUP($CT149,Budget!$A:$A,Budget!CB:CB)</f>
        <v>0</v>
      </c>
      <c r="DU149" s="106">
        <f t="shared" si="1694"/>
        <v>0</v>
      </c>
    </row>
    <row r="150" spans="1:125" ht="14.45" hidden="1" customHeight="1" outlineLevel="1">
      <c r="A150" s="58">
        <f t="shared" ref="A150:M150" si="1695">+SUM(A151:A154)</f>
        <v>175288.5</v>
      </c>
      <c r="B150" s="58">
        <f t="shared" si="1695"/>
        <v>165343.5</v>
      </c>
      <c r="C150" s="58">
        <f t="shared" si="1695"/>
        <v>191036</v>
      </c>
      <c r="D150" s="58">
        <f t="shared" si="1695"/>
        <v>162651.5</v>
      </c>
      <c r="E150" s="58">
        <f t="shared" si="1695"/>
        <v>188512</v>
      </c>
      <c r="F150" s="58">
        <f t="shared" si="1695"/>
        <v>152542</v>
      </c>
      <c r="G150" s="58">
        <f t="shared" si="1695"/>
        <v>181920.5</v>
      </c>
      <c r="H150" s="58">
        <f t="shared" si="1695"/>
        <v>168084</v>
      </c>
      <c r="I150" s="58">
        <f t="shared" si="1695"/>
        <v>175889</v>
      </c>
      <c r="J150" s="58">
        <f t="shared" si="1695"/>
        <v>267421</v>
      </c>
      <c r="K150" s="58">
        <f t="shared" si="1695"/>
        <v>169303.5</v>
      </c>
      <c r="L150" s="58">
        <f t="shared" si="1695"/>
        <v>209039</v>
      </c>
      <c r="M150" s="58">
        <f t="shared" si="1695"/>
        <v>2207030.5</v>
      </c>
      <c r="N150" s="20" t="s">
        <v>125</v>
      </c>
      <c r="O150" s="58">
        <f t="shared" ref="O150" si="1696">+SUM(O151:O154)</f>
        <v>177489</v>
      </c>
      <c r="P150" s="58">
        <f t="shared" ref="P150" si="1697">+SUM(P151:P154)</f>
        <v>210284.5</v>
      </c>
      <c r="Q150" s="58">
        <f t="shared" ref="Q150" si="1698">+SUM(Q151:Q154)</f>
        <v>196047.5</v>
      </c>
      <c r="R150" s="58">
        <f t="shared" ref="R150" si="1699">+SUM(R151:R154)</f>
        <v>199146.5</v>
      </c>
      <c r="S150" s="58">
        <f t="shared" ref="S150" si="1700">+SUM(S151:S154)</f>
        <v>199559.5</v>
      </c>
      <c r="T150" s="58">
        <f t="shared" ref="T150" si="1701">+SUM(T151:T154)</f>
        <v>219029.5</v>
      </c>
      <c r="U150" s="58">
        <f t="shared" ref="U150" si="1702">+SUM(U151:U154)</f>
        <v>211841.5</v>
      </c>
      <c r="V150" s="58">
        <f t="shared" ref="V150" si="1703">+SUM(V151:V154)</f>
        <v>215908</v>
      </c>
      <c r="W150" s="58">
        <f t="shared" ref="W150" si="1704">+SUM(W151:W154)</f>
        <v>263343</v>
      </c>
      <c r="X150" s="58">
        <f t="shared" ref="X150" si="1705">+SUM(X151:X154)</f>
        <v>209521</v>
      </c>
      <c r="Y150" s="58">
        <f t="shared" ref="Y150" si="1706">+SUM(Y151:Y154)</f>
        <v>0</v>
      </c>
      <c r="Z150" s="58">
        <f t="shared" ref="Z150" si="1707">+SUM(Z151:Z154)</f>
        <v>0</v>
      </c>
      <c r="AA150" s="58">
        <f t="shared" ref="AA150" si="1708">+SUM(AA151:AA154)</f>
        <v>2102170</v>
      </c>
      <c r="AB150" s="118">
        <f t="shared" si="1189"/>
        <v>0.16708560794156974</v>
      </c>
      <c r="AC150" s="58">
        <f t="shared" ref="AC150" si="1709">+SUM(AC151:AC154)</f>
        <v>179524.96249999999</v>
      </c>
      <c r="AD150" s="58">
        <f t="shared" ref="AD150" si="1710">+SUM(AD151:AD154)</f>
        <v>179524.96249999999</v>
      </c>
      <c r="AE150" s="58">
        <f t="shared" ref="AE150" si="1711">+SUM(AE151:AE154)</f>
        <v>179524.96249999999</v>
      </c>
      <c r="AF150" s="58">
        <f t="shared" ref="AF150" si="1712">+SUM(AF151:AF154)</f>
        <v>179524.96249999999</v>
      </c>
      <c r="AG150" s="58">
        <f t="shared" ref="AG150" si="1713">+SUM(AG151:AG154)</f>
        <v>179524.96249999999</v>
      </c>
      <c r="AH150" s="58">
        <f t="shared" ref="AH150" si="1714">+SUM(AH151:AH154)</f>
        <v>179524.96249999999</v>
      </c>
      <c r="AI150" s="58">
        <f t="shared" ref="AI150" si="1715">+SUM(AI151:AI154)</f>
        <v>179524.96249999999</v>
      </c>
      <c r="AJ150" s="58">
        <f t="shared" ref="AJ150" si="1716">+SUM(AJ151:AJ154)</f>
        <v>179524.96249999999</v>
      </c>
      <c r="AK150" s="58">
        <f t="shared" ref="AK150" si="1717">+SUM(AK151:AK154)</f>
        <v>179524.96249999999</v>
      </c>
      <c r="AL150" s="58">
        <f t="shared" ref="AL150" si="1718">+SUM(AL151:AL154)</f>
        <v>179524.96249999999</v>
      </c>
      <c r="AM150" s="58">
        <f t="shared" ref="AM150" si="1719">+SUM(AM151:AM154)</f>
        <v>179524.96249999999</v>
      </c>
      <c r="AN150" s="58">
        <f t="shared" ref="AN150" si="1720">+SUM(AN151:AN154)</f>
        <v>179524.96249999999</v>
      </c>
      <c r="AO150" s="58">
        <f t="shared" ref="AO150" si="1721">+SUM(AO151:AO154)</f>
        <v>2154299.5499999998</v>
      </c>
      <c r="AQ150" s="58">
        <f t="shared" ref="AQ150:BC150" si="1722">+SUM(AQ151:AQ154)</f>
        <v>126327</v>
      </c>
      <c r="AR150" s="58">
        <f t="shared" si="1722"/>
        <v>116475</v>
      </c>
      <c r="AS150" s="58">
        <f t="shared" si="1722"/>
        <v>139987</v>
      </c>
      <c r="AT150" s="58">
        <f t="shared" si="1722"/>
        <v>113790</v>
      </c>
      <c r="AU150" s="58">
        <f t="shared" si="1722"/>
        <v>139020</v>
      </c>
      <c r="AV150" s="58">
        <f t="shared" si="1722"/>
        <v>103050</v>
      </c>
      <c r="AW150" s="58">
        <f t="shared" si="1722"/>
        <v>127564</v>
      </c>
      <c r="AX150" s="58">
        <f t="shared" si="1722"/>
        <v>115564</v>
      </c>
      <c r="AY150" s="58">
        <f t="shared" si="1722"/>
        <v>119757</v>
      </c>
      <c r="AZ150" s="58">
        <f t="shared" si="1722"/>
        <v>174501</v>
      </c>
      <c r="BA150" s="58">
        <f t="shared" si="1722"/>
        <v>111282</v>
      </c>
      <c r="BB150" s="58">
        <f t="shared" si="1722"/>
        <v>137133</v>
      </c>
      <c r="BC150" s="58">
        <f t="shared" si="1722"/>
        <v>1524450</v>
      </c>
      <c r="BD150" s="20" t="str">
        <f t="shared" si="1532"/>
        <v>"Outside sourced services</v>
      </c>
      <c r="BE150" s="58">
        <f t="shared" ref="BE150:BQ150" si="1723">+SUM(BE151:BE154)</f>
        <v>118837</v>
      </c>
      <c r="BF150" s="58">
        <f t="shared" si="1723"/>
        <v>151405</v>
      </c>
      <c r="BG150" s="58">
        <f t="shared" si="1723"/>
        <v>137088</v>
      </c>
      <c r="BH150" s="58">
        <f t="shared" si="1723"/>
        <v>139003</v>
      </c>
      <c r="BI150" s="58">
        <f t="shared" si="1723"/>
        <v>138737</v>
      </c>
      <c r="BJ150" s="58">
        <f t="shared" si="1723"/>
        <v>155913</v>
      </c>
      <c r="BK150" s="58">
        <f t="shared" si="1723"/>
        <v>140283</v>
      </c>
      <c r="BL150" s="58">
        <f t="shared" si="1723"/>
        <v>152450</v>
      </c>
      <c r="BM150" s="58">
        <f t="shared" si="1723"/>
        <v>201316</v>
      </c>
      <c r="BN150" s="58">
        <f t="shared" si="1723"/>
        <v>147416</v>
      </c>
      <c r="BO150" s="58">
        <f t="shared" si="1723"/>
        <v>0</v>
      </c>
      <c r="BP150" s="58">
        <f t="shared" si="1723"/>
        <v>0</v>
      </c>
      <c r="BQ150" s="58">
        <f t="shared" si="1723"/>
        <v>1482448</v>
      </c>
      <c r="BR150" s="118">
        <f t="shared" si="1190"/>
        <v>0.17159675020507173</v>
      </c>
      <c r="BS150" s="58">
        <f t="shared" ref="BS150:CE150" si="1724">+SUM(BS151:BS154)</f>
        <v>125824.8625</v>
      </c>
      <c r="BT150" s="58">
        <f t="shared" si="1724"/>
        <v>125824.8625</v>
      </c>
      <c r="BU150" s="58">
        <f t="shared" si="1724"/>
        <v>125824.8625</v>
      </c>
      <c r="BV150" s="58">
        <f t="shared" si="1724"/>
        <v>125824.8625</v>
      </c>
      <c r="BW150" s="58">
        <f t="shared" si="1724"/>
        <v>125824.8625</v>
      </c>
      <c r="BX150" s="58">
        <f t="shared" si="1724"/>
        <v>125824.8625</v>
      </c>
      <c r="BY150" s="58">
        <f t="shared" si="1724"/>
        <v>125824.8625</v>
      </c>
      <c r="BZ150" s="58">
        <f t="shared" si="1724"/>
        <v>125824.8625</v>
      </c>
      <c r="CA150" s="58">
        <f t="shared" si="1724"/>
        <v>125824.8625</v>
      </c>
      <c r="CB150" s="58">
        <f t="shared" si="1724"/>
        <v>125824.8625</v>
      </c>
      <c r="CC150" s="58">
        <f t="shared" si="1724"/>
        <v>125824.8625</v>
      </c>
      <c r="CD150" s="58">
        <f t="shared" si="1724"/>
        <v>125824.8625</v>
      </c>
      <c r="CE150" s="58">
        <f t="shared" si="1724"/>
        <v>1509898.35</v>
      </c>
      <c r="CF150" s="22"/>
      <c r="CG150" s="58">
        <f t="shared" ref="CG150:CS150" si="1725">+SUM(CG151:CG154)</f>
        <v>48961.5</v>
      </c>
      <c r="CH150" s="58">
        <f t="shared" si="1725"/>
        <v>48868.5</v>
      </c>
      <c r="CI150" s="58">
        <f t="shared" si="1725"/>
        <v>51049</v>
      </c>
      <c r="CJ150" s="58">
        <f t="shared" si="1725"/>
        <v>48861.5</v>
      </c>
      <c r="CK150" s="58">
        <f t="shared" si="1725"/>
        <v>49492</v>
      </c>
      <c r="CL150" s="58">
        <f t="shared" si="1725"/>
        <v>49492</v>
      </c>
      <c r="CM150" s="58">
        <f t="shared" si="1725"/>
        <v>54356.5</v>
      </c>
      <c r="CN150" s="58">
        <f t="shared" si="1725"/>
        <v>52520</v>
      </c>
      <c r="CO150" s="58">
        <f t="shared" si="1725"/>
        <v>56132</v>
      </c>
      <c r="CP150" s="58">
        <f t="shared" si="1725"/>
        <v>92920</v>
      </c>
      <c r="CQ150" s="58">
        <f t="shared" si="1725"/>
        <v>58021.5</v>
      </c>
      <c r="CR150" s="58">
        <f t="shared" si="1725"/>
        <v>71906</v>
      </c>
      <c r="CS150" s="58">
        <f t="shared" si="1725"/>
        <v>682580.5</v>
      </c>
      <c r="CT150" s="20" t="str">
        <f t="shared" si="1536"/>
        <v>"Outside sourced services</v>
      </c>
      <c r="CU150" s="58">
        <f t="shared" ref="CU150:DG150" si="1726">+SUM(CU151:CU154)</f>
        <v>58652</v>
      </c>
      <c r="CV150" s="58">
        <f t="shared" si="1726"/>
        <v>58879.5</v>
      </c>
      <c r="CW150" s="58">
        <f t="shared" si="1726"/>
        <v>58959.5</v>
      </c>
      <c r="CX150" s="58">
        <f t="shared" si="1726"/>
        <v>60143.5</v>
      </c>
      <c r="CY150" s="58">
        <f t="shared" si="1726"/>
        <v>60822.5</v>
      </c>
      <c r="CZ150" s="58">
        <f t="shared" si="1726"/>
        <v>63116.5</v>
      </c>
      <c r="DA150" s="58">
        <f t="shared" si="1726"/>
        <v>71558.5</v>
      </c>
      <c r="DB150" s="58">
        <f t="shared" si="1726"/>
        <v>63458</v>
      </c>
      <c r="DC150" s="58">
        <f t="shared" si="1726"/>
        <v>62027</v>
      </c>
      <c r="DD150" s="58">
        <f t="shared" si="1726"/>
        <v>62105</v>
      </c>
      <c r="DE150" s="58">
        <f t="shared" si="1726"/>
        <v>0</v>
      </c>
      <c r="DF150" s="58">
        <f t="shared" si="1726"/>
        <v>0</v>
      </c>
      <c r="DG150" s="58">
        <f t="shared" si="1726"/>
        <v>619722</v>
      </c>
      <c r="DH150" s="118">
        <f t="shared" si="1191"/>
        <v>0.15651553721501452</v>
      </c>
      <c r="DI150" s="58">
        <f t="shared" ref="DI150:DU150" si="1727">+SUM(DI151:DI154)</f>
        <v>53700.1</v>
      </c>
      <c r="DJ150" s="58">
        <f t="shared" si="1727"/>
        <v>53700.1</v>
      </c>
      <c r="DK150" s="58">
        <f t="shared" si="1727"/>
        <v>53700.1</v>
      </c>
      <c r="DL150" s="58">
        <f t="shared" si="1727"/>
        <v>53700.1</v>
      </c>
      <c r="DM150" s="58">
        <f t="shared" si="1727"/>
        <v>53700.1</v>
      </c>
      <c r="DN150" s="58">
        <f t="shared" si="1727"/>
        <v>53700.1</v>
      </c>
      <c r="DO150" s="58">
        <f t="shared" si="1727"/>
        <v>53700.1</v>
      </c>
      <c r="DP150" s="58">
        <f t="shared" si="1727"/>
        <v>53700.1</v>
      </c>
      <c r="DQ150" s="58">
        <f t="shared" si="1727"/>
        <v>53700.1</v>
      </c>
      <c r="DR150" s="58">
        <f t="shared" si="1727"/>
        <v>53700.1</v>
      </c>
      <c r="DS150" s="58">
        <f t="shared" si="1727"/>
        <v>53700.1</v>
      </c>
      <c r="DT150" s="58">
        <f t="shared" si="1727"/>
        <v>53700.1</v>
      </c>
      <c r="DU150" s="58">
        <f t="shared" si="1727"/>
        <v>644401.19999999995</v>
      </c>
    </row>
    <row r="151" spans="1:125" ht="14.45" hidden="1" customHeight="1" outlineLevel="2">
      <c r="A151" s="106">
        <f t="shared" ref="A151:A154" si="1728">+AQ151+CG151</f>
        <v>75951</v>
      </c>
      <c r="B151" s="106">
        <f t="shared" ref="B151:B154" si="1729">+AR151+CH151</f>
        <v>89781</v>
      </c>
      <c r="C151" s="106">
        <f t="shared" ref="C151:C154" si="1730">+AS151+CI151</f>
        <v>91273.5</v>
      </c>
      <c r="D151" s="106">
        <f t="shared" ref="D151:D154" si="1731">+AT151+CJ151</f>
        <v>86039</v>
      </c>
      <c r="E151" s="106">
        <f t="shared" ref="E151:E154" si="1732">+AU151+CK151</f>
        <v>77299.5</v>
      </c>
      <c r="F151" s="106">
        <f t="shared" ref="F151:F154" si="1733">+AV151+CL151</f>
        <v>76329.5</v>
      </c>
      <c r="G151" s="106">
        <f t="shared" ref="G151:G154" si="1734">+AW151+CM151</f>
        <v>93658</v>
      </c>
      <c r="H151" s="106">
        <f t="shared" ref="H151:H154" si="1735">+AX151+CN151</f>
        <v>91871.5</v>
      </c>
      <c r="I151" s="106">
        <f t="shared" ref="I151:I154" si="1736">+AY151+CO151</f>
        <v>99676.5</v>
      </c>
      <c r="J151" s="106">
        <f t="shared" ref="J151:J154" si="1737">+AZ151+CP151</f>
        <v>191158.5</v>
      </c>
      <c r="K151" s="106">
        <f t="shared" ref="K151:K154" si="1738">+BA151+CQ151</f>
        <v>93091</v>
      </c>
      <c r="L151" s="106">
        <f t="shared" ref="L151:L154" si="1739">+BB151+CR151</f>
        <v>102476.5</v>
      </c>
      <c r="M151" s="106">
        <f t="shared" ref="M151:M154" si="1740">+SUM(A151:L151)</f>
        <v>1168605.5</v>
      </c>
      <c r="N151" s="16" t="s">
        <v>126</v>
      </c>
      <c r="O151" s="106">
        <f t="shared" ref="O151:O154" si="1741">+BE151+CU151</f>
        <v>105647.5</v>
      </c>
      <c r="P151" s="106">
        <f t="shared" ref="P151:P154" si="1742">+BF151+CV151</f>
        <v>122443</v>
      </c>
      <c r="Q151" s="106">
        <f t="shared" ref="Q151:Q154" si="1743">+BG151+CW151</f>
        <v>103245</v>
      </c>
      <c r="R151" s="106">
        <f t="shared" ref="R151:R154" si="1744">+BH151+CX151</f>
        <v>100769</v>
      </c>
      <c r="S151" s="106">
        <f t="shared" ref="S151:S154" si="1745">+BI151+CY151</f>
        <v>101257</v>
      </c>
      <c r="T151" s="106">
        <f t="shared" ref="T151:T154" si="1746">+BJ151+CZ151</f>
        <v>116727</v>
      </c>
      <c r="U151" s="106">
        <f t="shared" ref="U151:U154" si="1747">+BK151+DA151</f>
        <v>109539</v>
      </c>
      <c r="V151" s="106">
        <f t="shared" ref="V151:V154" si="1748">+BL151+DB151</f>
        <v>113605.5</v>
      </c>
      <c r="W151" s="106">
        <f t="shared" ref="W151:W154" si="1749">+BM151+DC151</f>
        <v>107040.5</v>
      </c>
      <c r="X151" s="106">
        <f t="shared" ref="X151:X154" si="1750">+BN151+DD151</f>
        <v>107118.5</v>
      </c>
      <c r="Y151" s="106">
        <f t="shared" ref="Y151:Y154" si="1751">+BO151+DE151</f>
        <v>0</v>
      </c>
      <c r="Z151" s="106">
        <f t="shared" ref="Z151:Z154" si="1752">+BP151+DF151</f>
        <v>0</v>
      </c>
      <c r="AA151" s="106">
        <f t="shared" ref="AA151:AA154" si="1753">+SUM(O151:Z151)</f>
        <v>1087392</v>
      </c>
      <c r="AB151" s="118">
        <f t="shared" si="1189"/>
        <v>7.0291707783391347E-2</v>
      </c>
      <c r="AC151" s="106">
        <f t="shared" ref="AC151:AC154" si="1754">+BS151+DI151</f>
        <v>100083.46249999999</v>
      </c>
      <c r="AD151" s="106">
        <f t="shared" ref="AD151:AD154" si="1755">+BT151+DJ151</f>
        <v>100083.46249999999</v>
      </c>
      <c r="AE151" s="106">
        <f t="shared" ref="AE151:AE154" si="1756">+BU151+DK151</f>
        <v>100083.46249999999</v>
      </c>
      <c r="AF151" s="106">
        <f t="shared" ref="AF151:AF154" si="1757">+BV151+DL151</f>
        <v>100083.46249999999</v>
      </c>
      <c r="AG151" s="106">
        <f t="shared" ref="AG151:AG154" si="1758">+BW151+DM151</f>
        <v>100083.46249999999</v>
      </c>
      <c r="AH151" s="106">
        <f t="shared" ref="AH151:AH154" si="1759">+BX151+DN151</f>
        <v>100083.46249999999</v>
      </c>
      <c r="AI151" s="106">
        <f t="shared" ref="AI151:AI154" si="1760">+BY151+DO151</f>
        <v>100083.46249999999</v>
      </c>
      <c r="AJ151" s="106">
        <f t="shared" ref="AJ151:AJ154" si="1761">+BZ151+DP151</f>
        <v>100083.46249999999</v>
      </c>
      <c r="AK151" s="106">
        <f t="shared" ref="AK151:AK154" si="1762">+CA151+DQ151</f>
        <v>100083.46249999999</v>
      </c>
      <c r="AL151" s="106">
        <f t="shared" ref="AL151:AL154" si="1763">+CB151+DR151</f>
        <v>100083.46249999999</v>
      </c>
      <c r="AM151" s="106">
        <f t="shared" ref="AM151:AM154" si="1764">+CC151+DS151</f>
        <v>100083.46249999999</v>
      </c>
      <c r="AN151" s="106">
        <f t="shared" ref="AN151:AN154" si="1765">+CD151+DT151</f>
        <v>100083.46249999999</v>
      </c>
      <c r="AO151" s="106">
        <f t="shared" ref="AO151:AO154" si="1766">+SUM(AC151:AN151)</f>
        <v>1201001.55</v>
      </c>
      <c r="AQ151" s="106">
        <v>46102</v>
      </c>
      <c r="AR151" s="106">
        <v>60025</v>
      </c>
      <c r="AS151" s="106">
        <v>59537</v>
      </c>
      <c r="AT151" s="106">
        <v>56340</v>
      </c>
      <c r="AU151" s="106">
        <v>46970</v>
      </c>
      <c r="AV151" s="106">
        <v>46000</v>
      </c>
      <c r="AW151" s="106">
        <v>58514</v>
      </c>
      <c r="AX151" s="106">
        <v>58514</v>
      </c>
      <c r="AY151" s="106">
        <v>62707</v>
      </c>
      <c r="AZ151" s="106">
        <v>117451</v>
      </c>
      <c r="BA151" s="106">
        <v>54232</v>
      </c>
      <c r="BB151" s="106">
        <v>64083</v>
      </c>
      <c r="BC151" s="106">
        <f t="shared" ref="BC151:BC154" si="1767">+SUM(AQ151:BB151)</f>
        <v>730475</v>
      </c>
      <c r="BD151" s="16" t="str">
        <f t="shared" si="1532"/>
        <v>Cleaning Service</v>
      </c>
      <c r="BE151" s="106">
        <f>+VLOOKUP($BD151,'Jan-25'!$A:$J,2,0)</f>
        <v>66276</v>
      </c>
      <c r="BF151" s="106">
        <f>+VLOOKUP($BD151,'Feb-25'!$A:$J,2,0)</f>
        <v>82844</v>
      </c>
      <c r="BG151" s="106">
        <f>+VLOOKUP($BD151,'Mar-25'!$A:$J,2,0)</f>
        <v>63566</v>
      </c>
      <c r="BH151" s="106">
        <f>+VLOOKUP($BD151,'Apr-25'!$A:$J,2,0)</f>
        <v>61481</v>
      </c>
      <c r="BI151" s="106">
        <f>+VLOOKUP($BD151,'May-25'!$A:$J,2,0)</f>
        <v>61215</v>
      </c>
      <c r="BJ151" s="106">
        <f>+VLOOKUP($BD151,'June-25'!$A:$J,2,0)</f>
        <v>74391</v>
      </c>
      <c r="BK151" s="106">
        <f>+VLOOKUP($BD151,'July-25'!$A:$J,2,0)</f>
        <v>58761</v>
      </c>
      <c r="BL151" s="106">
        <f>+VLOOKUP($BD151,'Aug-25'!$A:$J,2,0)</f>
        <v>70928</v>
      </c>
      <c r="BM151" s="106">
        <f>+VLOOKUP($BD151,'Sep-25'!$A:$J,2,0)</f>
        <v>65794</v>
      </c>
      <c r="BN151" s="106">
        <f>+VLOOKUP($BD151,'Oct-25'!$A:$J,2,0)</f>
        <v>65794</v>
      </c>
      <c r="BO151" s="106">
        <f>+VLOOKUP($BD151,'Nov-25'!$A:$J,2,0)</f>
        <v>0</v>
      </c>
      <c r="BP151" s="106">
        <f>+VLOOKUP($BD151,'Dec-25'!$A:$J,2,0)</f>
        <v>0</v>
      </c>
      <c r="BQ151" s="106">
        <f t="shared" ref="BQ151:BQ154" si="1768">+SUM(BE151:BP151)</f>
        <v>671050</v>
      </c>
      <c r="BR151" s="118">
        <f t="shared" si="1190"/>
        <v>-3.0500216518032742E-2</v>
      </c>
      <c r="BS151" s="106" cm="1">
        <f t="array" ref="BS151:CD151">+_xlfn.XLOOKUP(BD151,Budget!A:A,Budget!Q:AB)</f>
        <v>67863.862500000003</v>
      </c>
      <c r="BT151" s="106">
        <v>67863.862500000003</v>
      </c>
      <c r="BU151" s="106">
        <v>67863.862500000003</v>
      </c>
      <c r="BV151" s="106">
        <v>67863.862500000003</v>
      </c>
      <c r="BW151" s="106">
        <v>67863.862500000003</v>
      </c>
      <c r="BX151" s="106">
        <v>67863.862500000003</v>
      </c>
      <c r="BY151" s="106">
        <v>67863.862500000003</v>
      </c>
      <c r="BZ151" s="106">
        <v>67863.862500000003</v>
      </c>
      <c r="CA151" s="106">
        <v>67863.862500000003</v>
      </c>
      <c r="CB151" s="106">
        <v>67863.862500000003</v>
      </c>
      <c r="CC151" s="106">
        <v>67863.862500000003</v>
      </c>
      <c r="CD151" s="106">
        <v>67863.862500000003</v>
      </c>
      <c r="CE151" s="106">
        <f t="shared" ref="CE151:CE154" si="1769">+SUM(BS151:CD151)</f>
        <v>814366.35000000021</v>
      </c>
      <c r="CF151" s="22"/>
      <c r="CG151" s="106">
        <v>29849</v>
      </c>
      <c r="CH151" s="106">
        <v>29756</v>
      </c>
      <c r="CI151" s="106">
        <v>31736.5</v>
      </c>
      <c r="CJ151" s="106">
        <v>29699</v>
      </c>
      <c r="CK151" s="106">
        <v>30329.5</v>
      </c>
      <c r="CL151" s="106">
        <v>30329.5</v>
      </c>
      <c r="CM151" s="106">
        <v>35144</v>
      </c>
      <c r="CN151" s="106">
        <v>33357.5</v>
      </c>
      <c r="CO151" s="106">
        <v>36969.5</v>
      </c>
      <c r="CP151" s="106">
        <v>73707.5</v>
      </c>
      <c r="CQ151" s="106">
        <v>38859</v>
      </c>
      <c r="CR151" s="106">
        <v>38393.5</v>
      </c>
      <c r="CS151" s="106">
        <f t="shared" ref="CS151:CS154" si="1770">+SUM(CG151:CR151)</f>
        <v>438130.5</v>
      </c>
      <c r="CT151" s="16" t="str">
        <f t="shared" si="1536"/>
        <v>Cleaning Service</v>
      </c>
      <c r="CU151" s="106">
        <f>+VLOOKUP($BD151,'Jan-25'!$A:$J,6,0)</f>
        <v>39371.5</v>
      </c>
      <c r="CV151" s="106">
        <f>+VLOOKUP($BD151,'Feb-25'!$A:$J,6,0)</f>
        <v>39599</v>
      </c>
      <c r="CW151" s="106">
        <f>+VLOOKUP($BD151,'Mar-25'!$A:$J,6,0)</f>
        <v>39679</v>
      </c>
      <c r="CX151" s="106">
        <f>+VLOOKUP($BD151,'Apr-25'!$A:$J,6,0)</f>
        <v>39288</v>
      </c>
      <c r="CY151" s="106">
        <f>+VLOOKUP($BD151,'May-25'!$A:$J,6,0)</f>
        <v>40042</v>
      </c>
      <c r="CZ151" s="106">
        <f>+VLOOKUP($BD151,'June-25'!$A:$J,6,0)</f>
        <v>42336</v>
      </c>
      <c r="DA151" s="106">
        <f>+VLOOKUP($BD151,'July-25'!$A:$J,6,0)</f>
        <v>50778</v>
      </c>
      <c r="DB151" s="106">
        <f>+VLOOKUP($BD151,'Aug-25'!$A:$J,6,0)</f>
        <v>42677.5</v>
      </c>
      <c r="DC151" s="106">
        <f>+VLOOKUP($BD151,'Sep-25'!$A:$J,6,0)</f>
        <v>41246.5</v>
      </c>
      <c r="DD151" s="106">
        <f>+VLOOKUP($BD151,'Oct-25'!$A:$J,6,0)</f>
        <v>41324.5</v>
      </c>
      <c r="DE151" s="106">
        <f>+VLOOKUP($BD151,'Nov-25'!$A:$J,6,0)</f>
        <v>0</v>
      </c>
      <c r="DF151" s="106">
        <f>+VLOOKUP($BD151,'Dec-25'!$A:$J,6,0)</f>
        <v>0</v>
      </c>
      <c r="DG151" s="106">
        <f t="shared" ref="DG151:DG154" si="1771">+SUM(CU151:DF151)</f>
        <v>416342</v>
      </c>
      <c r="DH151" s="118">
        <f t="shared" si="1191"/>
        <v>0.28258885895541852</v>
      </c>
      <c r="DI151" s="106">
        <f>+_xlfn.XLOOKUP($CT151,Budget!$A:$A,Budget!BQ:BQ)</f>
        <v>32219.599999999999</v>
      </c>
      <c r="DJ151" s="106">
        <f>+_xlfn.XLOOKUP($CT151,Budget!$A:$A,Budget!BR:BR)</f>
        <v>32219.599999999999</v>
      </c>
      <c r="DK151" s="106">
        <f>+_xlfn.XLOOKUP($CT151,Budget!$A:$A,Budget!BS:BS)</f>
        <v>32219.599999999999</v>
      </c>
      <c r="DL151" s="106">
        <f>+_xlfn.XLOOKUP($CT151,Budget!$A:$A,Budget!BT:BT)</f>
        <v>32219.599999999999</v>
      </c>
      <c r="DM151" s="106">
        <f>+_xlfn.XLOOKUP($CT151,Budget!$A:$A,Budget!BU:BU)</f>
        <v>32219.599999999999</v>
      </c>
      <c r="DN151" s="106">
        <f>+_xlfn.XLOOKUP($CT151,Budget!$A:$A,Budget!BV:BV)</f>
        <v>32219.599999999999</v>
      </c>
      <c r="DO151" s="106">
        <f>+_xlfn.XLOOKUP($CT151,Budget!$A:$A,Budget!BW:BW)</f>
        <v>32219.599999999999</v>
      </c>
      <c r="DP151" s="106">
        <f>+_xlfn.XLOOKUP($CT151,Budget!$A:$A,Budget!BX:BX)</f>
        <v>32219.599999999999</v>
      </c>
      <c r="DQ151" s="106">
        <f>+_xlfn.XLOOKUP($CT151,Budget!$A:$A,Budget!BY:BY)</f>
        <v>32219.599999999999</v>
      </c>
      <c r="DR151" s="106">
        <f>+_xlfn.XLOOKUP($CT151,Budget!$A:$A,Budget!BZ:BZ)</f>
        <v>32219.599999999999</v>
      </c>
      <c r="DS151" s="106">
        <f>+_xlfn.XLOOKUP($CT151,Budget!$A:$A,Budget!CA:CA)</f>
        <v>32219.599999999999</v>
      </c>
      <c r="DT151" s="106">
        <f>+_xlfn.XLOOKUP($CT151,Budget!$A:$A,Budget!CB:CB)</f>
        <v>32219.599999999999</v>
      </c>
      <c r="DU151" s="106">
        <f t="shared" ref="DU151:DU154" si="1772">+SUM(DI151:DT151)</f>
        <v>386635.19999999995</v>
      </c>
    </row>
    <row r="152" spans="1:125" ht="14.45" hidden="1" customHeight="1" outlineLevel="2">
      <c r="A152" s="106">
        <f t="shared" si="1728"/>
        <v>11587.5</v>
      </c>
      <c r="B152" s="106">
        <f t="shared" si="1729"/>
        <v>11812.5</v>
      </c>
      <c r="C152" s="106">
        <f t="shared" si="1730"/>
        <v>11812.5</v>
      </c>
      <c r="D152" s="106">
        <f t="shared" si="1731"/>
        <v>11812.5</v>
      </c>
      <c r="E152" s="106">
        <f t="shared" si="1732"/>
        <v>11812.5</v>
      </c>
      <c r="F152" s="106">
        <f t="shared" si="1733"/>
        <v>11812.5</v>
      </c>
      <c r="G152" s="106">
        <f t="shared" si="1734"/>
        <v>11812.5</v>
      </c>
      <c r="H152" s="106">
        <f t="shared" si="1735"/>
        <v>11812.5</v>
      </c>
      <c r="I152" s="106">
        <f t="shared" si="1736"/>
        <v>11812.5</v>
      </c>
      <c r="J152" s="106">
        <f t="shared" si="1737"/>
        <v>11812.5</v>
      </c>
      <c r="K152" s="106">
        <f t="shared" si="1738"/>
        <v>11812.5</v>
      </c>
      <c r="L152" s="106">
        <f t="shared" si="1739"/>
        <v>11812.5</v>
      </c>
      <c r="M152" s="106">
        <f t="shared" si="1740"/>
        <v>141525</v>
      </c>
      <c r="N152" s="16" t="s">
        <v>229</v>
      </c>
      <c r="O152" s="106">
        <f t="shared" si="1741"/>
        <v>7441.5</v>
      </c>
      <c r="P152" s="106">
        <f t="shared" si="1742"/>
        <v>7441.5</v>
      </c>
      <c r="Q152" s="106">
        <f t="shared" si="1743"/>
        <v>12402.5</v>
      </c>
      <c r="R152" s="106">
        <f t="shared" si="1744"/>
        <v>12402.5</v>
      </c>
      <c r="S152" s="106">
        <f t="shared" si="1745"/>
        <v>12402.5</v>
      </c>
      <c r="T152" s="106">
        <f t="shared" si="1746"/>
        <v>12402.5</v>
      </c>
      <c r="U152" s="106">
        <f t="shared" si="1747"/>
        <v>12402.5</v>
      </c>
      <c r="V152" s="106">
        <f t="shared" si="1748"/>
        <v>12402.5</v>
      </c>
      <c r="W152" s="106">
        <f t="shared" si="1749"/>
        <v>12402.5</v>
      </c>
      <c r="X152" s="106">
        <f t="shared" si="1750"/>
        <v>12402.5</v>
      </c>
      <c r="Y152" s="106">
        <f t="shared" si="1751"/>
        <v>0</v>
      </c>
      <c r="Z152" s="106">
        <f t="shared" si="1752"/>
        <v>0</v>
      </c>
      <c r="AA152" s="106">
        <f t="shared" si="1753"/>
        <v>114103</v>
      </c>
      <c r="AB152" s="118">
        <f t="shared" si="1189"/>
        <v>0.66666666666666663</v>
      </c>
      <c r="AC152" s="106">
        <f t="shared" si="1754"/>
        <v>7441.5</v>
      </c>
      <c r="AD152" s="106">
        <f t="shared" si="1755"/>
        <v>7441.5</v>
      </c>
      <c r="AE152" s="106">
        <f t="shared" si="1756"/>
        <v>7441.5</v>
      </c>
      <c r="AF152" s="106">
        <f t="shared" si="1757"/>
        <v>7441.5</v>
      </c>
      <c r="AG152" s="106">
        <f t="shared" si="1758"/>
        <v>7441.5</v>
      </c>
      <c r="AH152" s="106">
        <f t="shared" si="1759"/>
        <v>7441.5</v>
      </c>
      <c r="AI152" s="106">
        <f t="shared" si="1760"/>
        <v>7441.5</v>
      </c>
      <c r="AJ152" s="106">
        <f t="shared" si="1761"/>
        <v>7441.5</v>
      </c>
      <c r="AK152" s="106">
        <f t="shared" si="1762"/>
        <v>7441.5</v>
      </c>
      <c r="AL152" s="106">
        <f t="shared" si="1763"/>
        <v>7441.5</v>
      </c>
      <c r="AM152" s="106">
        <f t="shared" si="1764"/>
        <v>7441.5</v>
      </c>
      <c r="AN152" s="106">
        <f t="shared" si="1765"/>
        <v>7441.5</v>
      </c>
      <c r="AO152" s="106">
        <f t="shared" si="1766"/>
        <v>89298</v>
      </c>
      <c r="AQ152" s="106">
        <v>9225</v>
      </c>
      <c r="AR152" s="106">
        <v>9450</v>
      </c>
      <c r="AS152" s="106">
        <v>9450</v>
      </c>
      <c r="AT152" s="106">
        <v>9450</v>
      </c>
      <c r="AU152" s="106">
        <v>9450</v>
      </c>
      <c r="AV152" s="106">
        <v>9450</v>
      </c>
      <c r="AW152" s="106">
        <v>9450</v>
      </c>
      <c r="AX152" s="106">
        <v>9450</v>
      </c>
      <c r="AY152" s="106">
        <v>9450</v>
      </c>
      <c r="AZ152" s="106">
        <v>9450</v>
      </c>
      <c r="BA152" s="106">
        <v>9450</v>
      </c>
      <c r="BB152" s="106">
        <v>9450</v>
      </c>
      <c r="BC152" s="106">
        <f t="shared" si="1767"/>
        <v>113175</v>
      </c>
      <c r="BD152" s="16" t="str">
        <f t="shared" si="1532"/>
        <v>Pest Contol</v>
      </c>
      <c r="BE152" s="106">
        <f>+VLOOKUP($BD152,'Jan-25'!$A:$J,2,0)</f>
        <v>4961</v>
      </c>
      <c r="BF152" s="106">
        <f>+VLOOKUP($BD152,'Feb-25'!$A:$J,2,0)</f>
        <v>4961</v>
      </c>
      <c r="BG152" s="106">
        <f>+VLOOKUP($BD152,'Mar-25'!$A:$J,2,0)</f>
        <v>9922</v>
      </c>
      <c r="BH152" s="106">
        <f>+VLOOKUP($BD152,'Apr-25'!$A:$J,2,0)</f>
        <v>9922</v>
      </c>
      <c r="BI152" s="106">
        <f>+VLOOKUP($BD152,'May-25'!$A:$J,2,0)</f>
        <v>9922</v>
      </c>
      <c r="BJ152" s="106">
        <f>+VLOOKUP($BD152,'June-25'!$A:$J,2,0)</f>
        <v>9922</v>
      </c>
      <c r="BK152" s="106">
        <f>+VLOOKUP($BD152,'July-25'!$A:$J,2,0)</f>
        <v>9922</v>
      </c>
      <c r="BL152" s="106">
        <f>+VLOOKUP($BD152,'Aug-25'!$A:$J,2,0)</f>
        <v>9922</v>
      </c>
      <c r="BM152" s="106">
        <f>+VLOOKUP($BD152,'Sep-25'!$A:$J,2,0)</f>
        <v>9922</v>
      </c>
      <c r="BN152" s="106">
        <f>+VLOOKUP($BD152,'Oct-25'!$A:$J,2,0)</f>
        <v>9922</v>
      </c>
      <c r="BO152" s="106">
        <f>+VLOOKUP($BD152,'Nov-25'!$A:$J,2,0)</f>
        <v>0</v>
      </c>
      <c r="BP152" s="106">
        <f>+VLOOKUP($BD152,'Dec-25'!$A:$J,2,0)</f>
        <v>0</v>
      </c>
      <c r="BQ152" s="106">
        <f t="shared" si="1768"/>
        <v>89298</v>
      </c>
      <c r="BR152" s="118">
        <f t="shared" si="1190"/>
        <v>1</v>
      </c>
      <c r="BS152" s="106" cm="1">
        <f t="array" ref="BS152:CD152">+_xlfn.XLOOKUP(BD152,Budget!A:A,Budget!Q:AB)</f>
        <v>4961</v>
      </c>
      <c r="BT152" s="106">
        <v>4961</v>
      </c>
      <c r="BU152" s="106">
        <v>4961</v>
      </c>
      <c r="BV152" s="106">
        <v>4961</v>
      </c>
      <c r="BW152" s="106">
        <v>4961</v>
      </c>
      <c r="BX152" s="106">
        <v>4961</v>
      </c>
      <c r="BY152" s="106">
        <v>4961</v>
      </c>
      <c r="BZ152" s="106">
        <v>4961</v>
      </c>
      <c r="CA152" s="106">
        <v>4961</v>
      </c>
      <c r="CB152" s="106">
        <v>4961</v>
      </c>
      <c r="CC152" s="106">
        <v>4961</v>
      </c>
      <c r="CD152" s="106">
        <v>4961</v>
      </c>
      <c r="CE152" s="106">
        <f t="shared" si="1769"/>
        <v>59532</v>
      </c>
      <c r="CF152" s="22"/>
      <c r="CG152" s="106">
        <v>2362.5</v>
      </c>
      <c r="CH152" s="106">
        <v>2362.5</v>
      </c>
      <c r="CI152" s="106">
        <v>2362.5</v>
      </c>
      <c r="CJ152" s="106">
        <v>2362.5</v>
      </c>
      <c r="CK152" s="106">
        <v>2362.5</v>
      </c>
      <c r="CL152" s="106">
        <v>2362.5</v>
      </c>
      <c r="CM152" s="106">
        <v>2362.5</v>
      </c>
      <c r="CN152" s="106">
        <v>2362.5</v>
      </c>
      <c r="CO152" s="106">
        <v>2362.5</v>
      </c>
      <c r="CP152" s="106">
        <v>2362.5</v>
      </c>
      <c r="CQ152" s="106">
        <v>2362.5</v>
      </c>
      <c r="CR152" s="106">
        <v>2362.5</v>
      </c>
      <c r="CS152" s="106">
        <f t="shared" si="1770"/>
        <v>28350</v>
      </c>
      <c r="CT152" s="16" t="str">
        <f t="shared" si="1536"/>
        <v>Pest Contol</v>
      </c>
      <c r="CU152" s="106">
        <f>+VLOOKUP($BD152,'Jan-25'!$A:$J,6,0)</f>
        <v>2480.5</v>
      </c>
      <c r="CV152" s="106">
        <f>+VLOOKUP($BD152,'Feb-25'!$A:$J,6,0)</f>
        <v>2480.5</v>
      </c>
      <c r="CW152" s="106">
        <f>+VLOOKUP($BD152,'Mar-25'!$A:$J,6,0)</f>
        <v>2480.5</v>
      </c>
      <c r="CX152" s="106">
        <f>+VLOOKUP($BD152,'Apr-25'!$A:$J,6,0)</f>
        <v>2480.5</v>
      </c>
      <c r="CY152" s="106">
        <f>+VLOOKUP($BD152,'May-25'!$A:$J,6,0)</f>
        <v>2480.5</v>
      </c>
      <c r="CZ152" s="106">
        <f>+VLOOKUP($BD152,'June-25'!$A:$J,6,0)</f>
        <v>2480.5</v>
      </c>
      <c r="DA152" s="106">
        <f>+VLOOKUP($BD152,'July-25'!$A:$J,6,0)</f>
        <v>2480.5</v>
      </c>
      <c r="DB152" s="106">
        <f>+VLOOKUP($BD152,'Aug-25'!$A:$J,6,0)</f>
        <v>2480.5</v>
      </c>
      <c r="DC152" s="106">
        <f>+VLOOKUP($BD152,'Sep-25'!$A:$J,6,0)</f>
        <v>2480.5</v>
      </c>
      <c r="DD152" s="106">
        <f>+VLOOKUP($BD152,'Oct-25'!$A:$J,6,0)</f>
        <v>2480.5</v>
      </c>
      <c r="DE152" s="106">
        <f>+VLOOKUP($BD152,'Nov-25'!$A:$J,6,0)</f>
        <v>0</v>
      </c>
      <c r="DF152" s="106">
        <f>+VLOOKUP($BD152,'Dec-25'!$A:$J,6,0)</f>
        <v>0</v>
      </c>
      <c r="DG152" s="106">
        <f t="shared" si="1771"/>
        <v>24805</v>
      </c>
      <c r="DH152" s="118">
        <f t="shared" si="1191"/>
        <v>0</v>
      </c>
      <c r="DI152" s="106">
        <f>+_xlfn.XLOOKUP($CT152,Budget!$A:$A,Budget!BQ:BQ)</f>
        <v>2480.5</v>
      </c>
      <c r="DJ152" s="106">
        <f>+_xlfn.XLOOKUP($CT152,Budget!$A:$A,Budget!BR:BR)</f>
        <v>2480.5</v>
      </c>
      <c r="DK152" s="106">
        <f>+_xlfn.XLOOKUP($CT152,Budget!$A:$A,Budget!BS:BS)</f>
        <v>2480.5</v>
      </c>
      <c r="DL152" s="106">
        <f>+_xlfn.XLOOKUP($CT152,Budget!$A:$A,Budget!BT:BT)</f>
        <v>2480.5</v>
      </c>
      <c r="DM152" s="106">
        <f>+_xlfn.XLOOKUP($CT152,Budget!$A:$A,Budget!BU:BU)</f>
        <v>2480.5</v>
      </c>
      <c r="DN152" s="106">
        <f>+_xlfn.XLOOKUP($CT152,Budget!$A:$A,Budget!BV:BV)</f>
        <v>2480.5</v>
      </c>
      <c r="DO152" s="106">
        <f>+_xlfn.XLOOKUP($CT152,Budget!$A:$A,Budget!BW:BW)</f>
        <v>2480.5</v>
      </c>
      <c r="DP152" s="106">
        <f>+_xlfn.XLOOKUP($CT152,Budget!$A:$A,Budget!BX:BX)</f>
        <v>2480.5</v>
      </c>
      <c r="DQ152" s="106">
        <f>+_xlfn.XLOOKUP($CT152,Budget!$A:$A,Budget!BY:BY)</f>
        <v>2480.5</v>
      </c>
      <c r="DR152" s="106">
        <f>+_xlfn.XLOOKUP($CT152,Budget!$A:$A,Budget!BZ:BZ)</f>
        <v>2480.5</v>
      </c>
      <c r="DS152" s="106">
        <f>+_xlfn.XLOOKUP($CT152,Budget!$A:$A,Budget!CA:CA)</f>
        <v>2480.5</v>
      </c>
      <c r="DT152" s="106">
        <f>+_xlfn.XLOOKUP($CT152,Budget!$A:$A,Budget!CB:CB)</f>
        <v>2480.5</v>
      </c>
      <c r="DU152" s="106">
        <f t="shared" si="1772"/>
        <v>29766</v>
      </c>
    </row>
    <row r="153" spans="1:125" ht="14.45" hidden="1" customHeight="1" outlineLevel="2">
      <c r="A153" s="106">
        <f t="shared" si="1728"/>
        <v>63000</v>
      </c>
      <c r="B153" s="106">
        <f t="shared" si="1729"/>
        <v>63000</v>
      </c>
      <c r="C153" s="106">
        <f t="shared" si="1730"/>
        <v>63000</v>
      </c>
      <c r="D153" s="106">
        <f t="shared" si="1731"/>
        <v>63000</v>
      </c>
      <c r="E153" s="106">
        <f t="shared" si="1732"/>
        <v>63000</v>
      </c>
      <c r="F153" s="106">
        <f t="shared" si="1733"/>
        <v>63000</v>
      </c>
      <c r="G153" s="106">
        <f t="shared" si="1734"/>
        <v>63000</v>
      </c>
      <c r="H153" s="106">
        <f t="shared" si="1735"/>
        <v>63000</v>
      </c>
      <c r="I153" s="106">
        <f t="shared" si="1736"/>
        <v>63000</v>
      </c>
      <c r="J153" s="106">
        <f t="shared" si="1737"/>
        <v>63000</v>
      </c>
      <c r="K153" s="106">
        <f t="shared" si="1738"/>
        <v>63000</v>
      </c>
      <c r="L153" s="106">
        <f t="shared" si="1739"/>
        <v>79000</v>
      </c>
      <c r="M153" s="106">
        <f t="shared" si="1740"/>
        <v>772000</v>
      </c>
      <c r="N153" s="16" t="s">
        <v>127</v>
      </c>
      <c r="O153" s="106">
        <f t="shared" si="1741"/>
        <v>63000</v>
      </c>
      <c r="P153" s="106">
        <f t="shared" si="1742"/>
        <v>79000</v>
      </c>
      <c r="Q153" s="106">
        <f t="shared" si="1743"/>
        <v>79000</v>
      </c>
      <c r="R153" s="106">
        <f t="shared" si="1744"/>
        <v>84500</v>
      </c>
      <c r="S153" s="106">
        <f t="shared" si="1745"/>
        <v>84500</v>
      </c>
      <c r="T153" s="106">
        <f t="shared" si="1746"/>
        <v>88500</v>
      </c>
      <c r="U153" s="106">
        <f t="shared" si="1747"/>
        <v>88500</v>
      </c>
      <c r="V153" s="106">
        <f t="shared" si="1748"/>
        <v>88500</v>
      </c>
      <c r="W153" s="106">
        <f t="shared" si="1749"/>
        <v>88500</v>
      </c>
      <c r="X153" s="106">
        <f t="shared" si="1750"/>
        <v>88500</v>
      </c>
      <c r="Y153" s="106">
        <f t="shared" si="1751"/>
        <v>0</v>
      </c>
      <c r="Z153" s="106">
        <f t="shared" si="1752"/>
        <v>0</v>
      </c>
      <c r="AA153" s="106">
        <f t="shared" si="1753"/>
        <v>832500</v>
      </c>
      <c r="AB153" s="118">
        <f t="shared" si="1189"/>
        <v>0.40476190476190477</v>
      </c>
      <c r="AC153" s="106">
        <f t="shared" si="1754"/>
        <v>63000</v>
      </c>
      <c r="AD153" s="106">
        <f t="shared" si="1755"/>
        <v>63000</v>
      </c>
      <c r="AE153" s="106">
        <f t="shared" si="1756"/>
        <v>63000</v>
      </c>
      <c r="AF153" s="106">
        <f t="shared" si="1757"/>
        <v>63000</v>
      </c>
      <c r="AG153" s="106">
        <f t="shared" si="1758"/>
        <v>63000</v>
      </c>
      <c r="AH153" s="106">
        <f t="shared" si="1759"/>
        <v>63000</v>
      </c>
      <c r="AI153" s="106">
        <f t="shared" si="1760"/>
        <v>63000</v>
      </c>
      <c r="AJ153" s="106">
        <f t="shared" si="1761"/>
        <v>63000</v>
      </c>
      <c r="AK153" s="106">
        <f t="shared" si="1762"/>
        <v>63000</v>
      </c>
      <c r="AL153" s="106">
        <f t="shared" si="1763"/>
        <v>63000</v>
      </c>
      <c r="AM153" s="106">
        <f t="shared" si="1764"/>
        <v>63000</v>
      </c>
      <c r="AN153" s="106">
        <f t="shared" si="1765"/>
        <v>63000</v>
      </c>
      <c r="AO153" s="106">
        <f t="shared" si="1766"/>
        <v>756000</v>
      </c>
      <c r="AQ153" s="106">
        <v>47000</v>
      </c>
      <c r="AR153" s="106">
        <v>47000</v>
      </c>
      <c r="AS153" s="106">
        <v>47000</v>
      </c>
      <c r="AT153" s="106">
        <v>47000</v>
      </c>
      <c r="AU153" s="106">
        <v>47000</v>
      </c>
      <c r="AV153" s="106">
        <v>47000</v>
      </c>
      <c r="AW153" s="106">
        <v>47000</v>
      </c>
      <c r="AX153" s="106">
        <v>47000</v>
      </c>
      <c r="AY153" s="106">
        <v>47000</v>
      </c>
      <c r="AZ153" s="106">
        <v>47000</v>
      </c>
      <c r="BA153" s="106">
        <v>47000</v>
      </c>
      <c r="BB153" s="106">
        <v>63000</v>
      </c>
      <c r="BC153" s="106">
        <f t="shared" si="1767"/>
        <v>580000</v>
      </c>
      <c r="BD153" s="16" t="str">
        <f t="shared" si="1532"/>
        <v>Security Service</v>
      </c>
      <c r="BE153" s="106">
        <f>+VLOOKUP($BD153,'Jan-25'!$A:$J,2,0)</f>
        <v>47000</v>
      </c>
      <c r="BF153" s="106">
        <f>+VLOOKUP($BD153,'Feb-25'!$A:$J,2,0)</f>
        <v>63000</v>
      </c>
      <c r="BG153" s="106">
        <f>+VLOOKUP($BD153,'Mar-25'!$A:$J,2,0)</f>
        <v>63000</v>
      </c>
      <c r="BH153" s="106">
        <f>+VLOOKUP($BD153,'Apr-25'!$A:$J,2,0)</f>
        <v>67000</v>
      </c>
      <c r="BI153" s="106">
        <f>+VLOOKUP($BD153,'May-25'!$A:$J,2,0)</f>
        <v>67000</v>
      </c>
      <c r="BJ153" s="106">
        <f>+VLOOKUP($BD153,'June-25'!$A:$J,2,0)</f>
        <v>71000</v>
      </c>
      <c r="BK153" s="106">
        <f>+VLOOKUP($BD153,'July-25'!$A:$J,2,0)</f>
        <v>71000</v>
      </c>
      <c r="BL153" s="106">
        <f>+VLOOKUP($BD153,'Aug-25'!$A:$J,2,0)</f>
        <v>71000</v>
      </c>
      <c r="BM153" s="106">
        <f>+VLOOKUP($BD153,'Sep-25'!$A:$J,2,0)</f>
        <v>71000</v>
      </c>
      <c r="BN153" s="106">
        <f>+VLOOKUP($BD153,'Oct-25'!$A:$J,2,0)</f>
        <v>71000</v>
      </c>
      <c r="BO153" s="106">
        <f>+VLOOKUP($BD153,'Nov-25'!$A:$J,2,0)</f>
        <v>0</v>
      </c>
      <c r="BP153" s="106">
        <f>+VLOOKUP($BD153,'Dec-25'!$A:$J,2,0)</f>
        <v>0</v>
      </c>
      <c r="BQ153" s="106">
        <f t="shared" si="1768"/>
        <v>662000</v>
      </c>
      <c r="BR153" s="118">
        <f t="shared" si="1190"/>
        <v>0.51063829787234039</v>
      </c>
      <c r="BS153" s="106" cm="1">
        <f t="array" ref="BS153:CD153">+_xlfn.XLOOKUP(BD153,Budget!A:A,Budget!Q:AB)</f>
        <v>47000</v>
      </c>
      <c r="BT153" s="106">
        <v>47000</v>
      </c>
      <c r="BU153" s="106">
        <v>47000</v>
      </c>
      <c r="BV153" s="106">
        <v>47000</v>
      </c>
      <c r="BW153" s="106">
        <v>47000</v>
      </c>
      <c r="BX153" s="106">
        <v>47000</v>
      </c>
      <c r="BY153" s="106">
        <v>47000</v>
      </c>
      <c r="BZ153" s="106">
        <v>47000</v>
      </c>
      <c r="CA153" s="106">
        <v>47000</v>
      </c>
      <c r="CB153" s="106">
        <v>47000</v>
      </c>
      <c r="CC153" s="106">
        <v>47000</v>
      </c>
      <c r="CD153" s="106">
        <v>47000</v>
      </c>
      <c r="CE153" s="106">
        <f t="shared" si="1769"/>
        <v>564000</v>
      </c>
      <c r="CF153" s="22"/>
      <c r="CG153" s="106">
        <v>16000</v>
      </c>
      <c r="CH153" s="106">
        <v>16000</v>
      </c>
      <c r="CI153" s="106">
        <v>16000</v>
      </c>
      <c r="CJ153" s="106">
        <v>16000</v>
      </c>
      <c r="CK153" s="106">
        <v>16000</v>
      </c>
      <c r="CL153" s="106">
        <v>16000</v>
      </c>
      <c r="CM153" s="106">
        <v>16000</v>
      </c>
      <c r="CN153" s="106">
        <v>16000</v>
      </c>
      <c r="CO153" s="106">
        <v>16000</v>
      </c>
      <c r="CP153" s="106">
        <v>16000</v>
      </c>
      <c r="CQ153" s="106">
        <v>16000</v>
      </c>
      <c r="CR153" s="106">
        <v>16000</v>
      </c>
      <c r="CS153" s="106">
        <f t="shared" si="1770"/>
        <v>192000</v>
      </c>
      <c r="CT153" s="16" t="str">
        <f t="shared" si="1536"/>
        <v>Security Service</v>
      </c>
      <c r="CU153" s="106">
        <f>+VLOOKUP($BD153,'Jan-25'!$A:$J,6,0)</f>
        <v>16000</v>
      </c>
      <c r="CV153" s="106">
        <f>+VLOOKUP($BD153,'Feb-25'!$A:$J,6,0)</f>
        <v>16000</v>
      </c>
      <c r="CW153" s="106">
        <f>+VLOOKUP($BD153,'Mar-25'!$A:$J,6,0)</f>
        <v>16000</v>
      </c>
      <c r="CX153" s="106">
        <f>+VLOOKUP($BD153,'Apr-25'!$A:$J,6,0)</f>
        <v>17500</v>
      </c>
      <c r="CY153" s="106">
        <f>+VLOOKUP($BD153,'May-25'!$A:$J,6,0)</f>
        <v>17500</v>
      </c>
      <c r="CZ153" s="106">
        <f>+VLOOKUP($BD153,'June-25'!$A:$J,6,0)</f>
        <v>17500</v>
      </c>
      <c r="DA153" s="106">
        <f>+VLOOKUP($BD153,'July-25'!$A:$J,6,0)</f>
        <v>17500</v>
      </c>
      <c r="DB153" s="106">
        <f>+VLOOKUP($BD153,'Aug-25'!$A:$J,6,0)</f>
        <v>17500</v>
      </c>
      <c r="DC153" s="106">
        <f>+VLOOKUP($BD153,'Sep-25'!$A:$J,6,0)</f>
        <v>17500</v>
      </c>
      <c r="DD153" s="106">
        <f>+VLOOKUP($BD153,'Oct-25'!$A:$J,6,0)</f>
        <v>17500</v>
      </c>
      <c r="DE153" s="106">
        <f>+VLOOKUP($BD153,'Nov-25'!$A:$J,6,0)</f>
        <v>0</v>
      </c>
      <c r="DF153" s="106">
        <f>+VLOOKUP($BD153,'Dec-25'!$A:$J,6,0)</f>
        <v>0</v>
      </c>
      <c r="DG153" s="106">
        <f t="shared" si="1771"/>
        <v>170500</v>
      </c>
      <c r="DH153" s="118">
        <f t="shared" si="1191"/>
        <v>9.375E-2</v>
      </c>
      <c r="DI153" s="106">
        <f>+_xlfn.XLOOKUP($CT153,Budget!$A:$A,Budget!BQ:BQ)</f>
        <v>16000</v>
      </c>
      <c r="DJ153" s="106">
        <f>+_xlfn.XLOOKUP($CT153,Budget!$A:$A,Budget!BR:BR)</f>
        <v>16000</v>
      </c>
      <c r="DK153" s="106">
        <f>+_xlfn.XLOOKUP($CT153,Budget!$A:$A,Budget!BS:BS)</f>
        <v>16000</v>
      </c>
      <c r="DL153" s="106">
        <f>+_xlfn.XLOOKUP($CT153,Budget!$A:$A,Budget!BT:BT)</f>
        <v>16000</v>
      </c>
      <c r="DM153" s="106">
        <f>+_xlfn.XLOOKUP($CT153,Budget!$A:$A,Budget!BU:BU)</f>
        <v>16000</v>
      </c>
      <c r="DN153" s="106">
        <f>+_xlfn.XLOOKUP($CT153,Budget!$A:$A,Budget!BV:BV)</f>
        <v>16000</v>
      </c>
      <c r="DO153" s="106">
        <f>+_xlfn.XLOOKUP($CT153,Budget!$A:$A,Budget!BW:BW)</f>
        <v>16000</v>
      </c>
      <c r="DP153" s="106">
        <f>+_xlfn.XLOOKUP($CT153,Budget!$A:$A,Budget!BX:BX)</f>
        <v>16000</v>
      </c>
      <c r="DQ153" s="106">
        <f>+_xlfn.XLOOKUP($CT153,Budget!$A:$A,Budget!BY:BY)</f>
        <v>16000</v>
      </c>
      <c r="DR153" s="106">
        <f>+_xlfn.XLOOKUP($CT153,Budget!$A:$A,Budget!BZ:BZ)</f>
        <v>16000</v>
      </c>
      <c r="DS153" s="106">
        <f>+_xlfn.XLOOKUP($CT153,Budget!$A:$A,Budget!CA:CA)</f>
        <v>16000</v>
      </c>
      <c r="DT153" s="106">
        <f>+_xlfn.XLOOKUP($CT153,Budget!$A:$A,Budget!CB:CB)</f>
        <v>16000</v>
      </c>
      <c r="DU153" s="106">
        <f t="shared" si="1772"/>
        <v>192000</v>
      </c>
    </row>
    <row r="154" spans="1:125" ht="14.45" hidden="1" customHeight="1" outlineLevel="2">
      <c r="A154" s="106">
        <f t="shared" si="1728"/>
        <v>24750</v>
      </c>
      <c r="B154" s="106">
        <f t="shared" si="1729"/>
        <v>750</v>
      </c>
      <c r="C154" s="106">
        <f t="shared" si="1730"/>
        <v>24950</v>
      </c>
      <c r="D154" s="106">
        <f t="shared" si="1731"/>
        <v>1800</v>
      </c>
      <c r="E154" s="106">
        <f t="shared" si="1732"/>
        <v>36400</v>
      </c>
      <c r="F154" s="106">
        <f t="shared" si="1733"/>
        <v>1400</v>
      </c>
      <c r="G154" s="106">
        <f t="shared" si="1734"/>
        <v>13450</v>
      </c>
      <c r="H154" s="106">
        <f t="shared" si="1735"/>
        <v>1400</v>
      </c>
      <c r="I154" s="106">
        <f t="shared" si="1736"/>
        <v>1400</v>
      </c>
      <c r="J154" s="106">
        <f t="shared" si="1737"/>
        <v>1450</v>
      </c>
      <c r="K154" s="106">
        <f t="shared" si="1738"/>
        <v>1400</v>
      </c>
      <c r="L154" s="106">
        <f t="shared" si="1739"/>
        <v>15750</v>
      </c>
      <c r="M154" s="106">
        <f t="shared" si="1740"/>
        <v>124900</v>
      </c>
      <c r="N154" s="16" t="s">
        <v>128</v>
      </c>
      <c r="O154" s="106">
        <f t="shared" si="1741"/>
        <v>1400</v>
      </c>
      <c r="P154" s="106">
        <f t="shared" si="1742"/>
        <v>1400</v>
      </c>
      <c r="Q154" s="106">
        <f t="shared" si="1743"/>
        <v>1400</v>
      </c>
      <c r="R154" s="106">
        <f t="shared" si="1744"/>
        <v>1475</v>
      </c>
      <c r="S154" s="106">
        <f t="shared" si="1745"/>
        <v>1400</v>
      </c>
      <c r="T154" s="106">
        <f t="shared" si="1746"/>
        <v>1400</v>
      </c>
      <c r="U154" s="106">
        <f t="shared" si="1747"/>
        <v>1400</v>
      </c>
      <c r="V154" s="106">
        <f t="shared" si="1748"/>
        <v>1400</v>
      </c>
      <c r="W154" s="106">
        <f t="shared" si="1749"/>
        <v>55400</v>
      </c>
      <c r="X154" s="106">
        <f t="shared" si="1750"/>
        <v>1500</v>
      </c>
      <c r="Y154" s="106">
        <f t="shared" si="1751"/>
        <v>0</v>
      </c>
      <c r="Z154" s="106">
        <f t="shared" si="1752"/>
        <v>0</v>
      </c>
      <c r="AA154" s="106">
        <f t="shared" si="1753"/>
        <v>68175</v>
      </c>
      <c r="AB154" s="118">
        <f t="shared" si="1189"/>
        <v>-0.83333333333333337</v>
      </c>
      <c r="AC154" s="106">
        <f t="shared" si="1754"/>
        <v>9000</v>
      </c>
      <c r="AD154" s="106">
        <f t="shared" si="1755"/>
        <v>9000</v>
      </c>
      <c r="AE154" s="106">
        <f t="shared" si="1756"/>
        <v>9000</v>
      </c>
      <c r="AF154" s="106">
        <f t="shared" si="1757"/>
        <v>9000</v>
      </c>
      <c r="AG154" s="106">
        <f t="shared" si="1758"/>
        <v>9000</v>
      </c>
      <c r="AH154" s="106">
        <f t="shared" si="1759"/>
        <v>9000</v>
      </c>
      <c r="AI154" s="106">
        <f t="shared" si="1760"/>
        <v>9000</v>
      </c>
      <c r="AJ154" s="106">
        <f t="shared" si="1761"/>
        <v>9000</v>
      </c>
      <c r="AK154" s="106">
        <f t="shared" si="1762"/>
        <v>9000</v>
      </c>
      <c r="AL154" s="106">
        <f t="shared" si="1763"/>
        <v>9000</v>
      </c>
      <c r="AM154" s="106">
        <f t="shared" si="1764"/>
        <v>9000</v>
      </c>
      <c r="AN154" s="106">
        <f t="shared" si="1765"/>
        <v>9000</v>
      </c>
      <c r="AO154" s="106">
        <f t="shared" si="1766"/>
        <v>108000</v>
      </c>
      <c r="AQ154" s="106">
        <v>24000</v>
      </c>
      <c r="AR154" s="106">
        <v>0</v>
      </c>
      <c r="AS154" s="106">
        <v>24000</v>
      </c>
      <c r="AT154" s="106">
        <v>1000</v>
      </c>
      <c r="AU154" s="106">
        <v>35600</v>
      </c>
      <c r="AV154" s="106">
        <v>600</v>
      </c>
      <c r="AW154" s="106">
        <v>12600</v>
      </c>
      <c r="AX154" s="106">
        <v>600</v>
      </c>
      <c r="AY154" s="106">
        <v>600</v>
      </c>
      <c r="AZ154" s="106">
        <v>600</v>
      </c>
      <c r="BA154" s="106">
        <v>600</v>
      </c>
      <c r="BB154" s="106">
        <v>600</v>
      </c>
      <c r="BC154" s="106">
        <f t="shared" si="1767"/>
        <v>100800</v>
      </c>
      <c r="BD154" s="16" t="str">
        <f t="shared" si="1532"/>
        <v>Waste Disposal</v>
      </c>
      <c r="BE154" s="106">
        <f>+VLOOKUP($BD154,'Jan-25'!$A:$J,2,0)</f>
        <v>600</v>
      </c>
      <c r="BF154" s="106">
        <f>+VLOOKUP($BD154,'Feb-25'!$A:$J,2,0)</f>
        <v>600</v>
      </c>
      <c r="BG154" s="106">
        <f>+VLOOKUP($BD154,'Mar-25'!$A:$J,2,0)</f>
        <v>600</v>
      </c>
      <c r="BH154" s="106">
        <f>+VLOOKUP($BD154,'Apr-25'!$A:$J,2,0)</f>
        <v>600</v>
      </c>
      <c r="BI154" s="106">
        <f>+VLOOKUP($BD154,'May-25'!$A:$J,2,0)</f>
        <v>600</v>
      </c>
      <c r="BJ154" s="106">
        <f>+VLOOKUP($BD154,'June-25'!$A:$J,2,0)</f>
        <v>600</v>
      </c>
      <c r="BK154" s="106">
        <f>+VLOOKUP($BD154,'July-25'!$A:$J,2,0)</f>
        <v>600</v>
      </c>
      <c r="BL154" s="106">
        <f>+VLOOKUP($BD154,'Aug-25'!$A:$J,2,0)</f>
        <v>600</v>
      </c>
      <c r="BM154" s="106">
        <f>+VLOOKUP($BD154,'Sep-25'!$A:$J,2,0)</f>
        <v>54600</v>
      </c>
      <c r="BN154" s="106">
        <f>+VLOOKUP($BD154,'Oct-25'!$A:$J,2,0)</f>
        <v>700</v>
      </c>
      <c r="BO154" s="106">
        <f>+VLOOKUP($BD154,'Nov-25'!$A:$J,2,0)</f>
        <v>0</v>
      </c>
      <c r="BP154" s="106">
        <f>+VLOOKUP($BD154,'Dec-25'!$A:$J,2,0)</f>
        <v>0</v>
      </c>
      <c r="BQ154" s="106">
        <f t="shared" si="1768"/>
        <v>60100</v>
      </c>
      <c r="BR154" s="118">
        <f t="shared" si="1190"/>
        <v>-0.8833333333333333</v>
      </c>
      <c r="BS154" s="106" cm="1">
        <f t="array" ref="BS154:CD154">+_xlfn.XLOOKUP(BD154,Budget!A:A,Budget!Q:AB)</f>
        <v>6000</v>
      </c>
      <c r="BT154" s="106">
        <v>6000</v>
      </c>
      <c r="BU154" s="106">
        <v>6000</v>
      </c>
      <c r="BV154" s="106">
        <v>6000</v>
      </c>
      <c r="BW154" s="106">
        <v>6000</v>
      </c>
      <c r="BX154" s="106">
        <v>6000</v>
      </c>
      <c r="BY154" s="106">
        <v>6000</v>
      </c>
      <c r="BZ154" s="106">
        <v>6000</v>
      </c>
      <c r="CA154" s="106">
        <v>6000</v>
      </c>
      <c r="CB154" s="106">
        <v>6000</v>
      </c>
      <c r="CC154" s="106">
        <v>6000</v>
      </c>
      <c r="CD154" s="106">
        <v>6000</v>
      </c>
      <c r="CE154" s="106">
        <f t="shared" si="1769"/>
        <v>72000</v>
      </c>
      <c r="CF154" s="22"/>
      <c r="CG154" s="106">
        <v>750</v>
      </c>
      <c r="CH154" s="106">
        <v>750</v>
      </c>
      <c r="CI154" s="106">
        <v>950</v>
      </c>
      <c r="CJ154" s="106">
        <v>800</v>
      </c>
      <c r="CK154" s="106">
        <v>800</v>
      </c>
      <c r="CL154" s="106">
        <v>800</v>
      </c>
      <c r="CM154" s="106">
        <v>850</v>
      </c>
      <c r="CN154" s="106">
        <v>800</v>
      </c>
      <c r="CO154" s="106">
        <v>800</v>
      </c>
      <c r="CP154" s="106">
        <v>850</v>
      </c>
      <c r="CQ154" s="106">
        <v>800</v>
      </c>
      <c r="CR154" s="106">
        <v>15150</v>
      </c>
      <c r="CS154" s="106">
        <f t="shared" si="1770"/>
        <v>24100</v>
      </c>
      <c r="CT154" s="16" t="str">
        <f t="shared" si="1536"/>
        <v>Waste Disposal</v>
      </c>
      <c r="CU154" s="106">
        <f>+VLOOKUP($BD154,'Jan-25'!$A:$J,6,0)</f>
        <v>800</v>
      </c>
      <c r="CV154" s="106">
        <f>+VLOOKUP($BD154,'Feb-25'!$A:$J,6,0)</f>
        <v>800</v>
      </c>
      <c r="CW154" s="106">
        <f>+VLOOKUP($BD154,'Mar-25'!$A:$J,6,0)</f>
        <v>800</v>
      </c>
      <c r="CX154" s="106">
        <f>+VLOOKUP($BD154,'Apr-25'!$A:$J,6,0)</f>
        <v>875</v>
      </c>
      <c r="CY154" s="106">
        <f>+VLOOKUP($BD154,'May-25'!$A:$J,6,0)</f>
        <v>800</v>
      </c>
      <c r="CZ154" s="106">
        <f>+VLOOKUP($BD154,'June-25'!$A:$J,6,0)</f>
        <v>800</v>
      </c>
      <c r="DA154" s="106">
        <f>+VLOOKUP($BD154,'July-25'!$A:$J,6,0)</f>
        <v>800</v>
      </c>
      <c r="DB154" s="106">
        <f>+VLOOKUP($BD154,'Aug-25'!$A:$J,6,0)</f>
        <v>800</v>
      </c>
      <c r="DC154" s="106">
        <f>+VLOOKUP($BD154,'Sep-25'!$A:$J,6,0)</f>
        <v>800</v>
      </c>
      <c r="DD154" s="106">
        <f>+VLOOKUP($BD154,'Oct-25'!$A:$J,6,0)</f>
        <v>800</v>
      </c>
      <c r="DE154" s="106">
        <f>+VLOOKUP($BD154,'Nov-25'!$A:$J,6,0)</f>
        <v>0</v>
      </c>
      <c r="DF154" s="106">
        <f>+VLOOKUP($BD154,'Dec-25'!$A:$J,6,0)</f>
        <v>0</v>
      </c>
      <c r="DG154" s="106">
        <f t="shared" si="1771"/>
        <v>8075</v>
      </c>
      <c r="DH154" s="118">
        <f t="shared" si="1191"/>
        <v>-0.73333333333333328</v>
      </c>
      <c r="DI154" s="106">
        <f>+_xlfn.XLOOKUP($CT154,Budget!$A:$A,Budget!BQ:BQ)</f>
        <v>3000</v>
      </c>
      <c r="DJ154" s="106">
        <f>+_xlfn.XLOOKUP($CT154,Budget!$A:$A,Budget!BR:BR)</f>
        <v>3000</v>
      </c>
      <c r="DK154" s="106">
        <f>+_xlfn.XLOOKUP($CT154,Budget!$A:$A,Budget!BS:BS)</f>
        <v>3000</v>
      </c>
      <c r="DL154" s="106">
        <f>+_xlfn.XLOOKUP($CT154,Budget!$A:$A,Budget!BT:BT)</f>
        <v>3000</v>
      </c>
      <c r="DM154" s="106">
        <f>+_xlfn.XLOOKUP($CT154,Budget!$A:$A,Budget!BU:BU)</f>
        <v>3000</v>
      </c>
      <c r="DN154" s="106">
        <f>+_xlfn.XLOOKUP($CT154,Budget!$A:$A,Budget!BV:BV)</f>
        <v>3000</v>
      </c>
      <c r="DO154" s="106">
        <f>+_xlfn.XLOOKUP($CT154,Budget!$A:$A,Budget!BW:BW)</f>
        <v>3000</v>
      </c>
      <c r="DP154" s="106">
        <f>+_xlfn.XLOOKUP($CT154,Budget!$A:$A,Budget!BX:BX)</f>
        <v>3000</v>
      </c>
      <c r="DQ154" s="106">
        <f>+_xlfn.XLOOKUP($CT154,Budget!$A:$A,Budget!BY:BY)</f>
        <v>3000</v>
      </c>
      <c r="DR154" s="106">
        <f>+_xlfn.XLOOKUP($CT154,Budget!$A:$A,Budget!BZ:BZ)</f>
        <v>3000</v>
      </c>
      <c r="DS154" s="106">
        <f>+_xlfn.XLOOKUP($CT154,Budget!$A:$A,Budget!CA:CA)</f>
        <v>3000</v>
      </c>
      <c r="DT154" s="106">
        <f>+_xlfn.XLOOKUP($CT154,Budget!$A:$A,Budget!CB:CB)</f>
        <v>3000</v>
      </c>
      <c r="DU154" s="106">
        <f t="shared" si="1772"/>
        <v>36000</v>
      </c>
    </row>
    <row r="155" spans="1:125" ht="15" hidden="1" customHeight="1" outlineLevel="2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18">
        <f t="shared" si="1189"/>
        <v>0</v>
      </c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06"/>
      <c r="BC155" s="106"/>
      <c r="BD155" s="16">
        <f t="shared" si="1532"/>
        <v>0</v>
      </c>
      <c r="BE155" s="106"/>
      <c r="BF155" s="106"/>
      <c r="BG155" s="106"/>
      <c r="BH155" s="106"/>
      <c r="BI155" s="106"/>
      <c r="BJ155" s="106"/>
      <c r="BK155" s="106"/>
      <c r="BL155" s="106"/>
      <c r="BM155" s="106"/>
      <c r="BN155" s="106"/>
      <c r="BO155" s="106"/>
      <c r="BP155" s="106"/>
      <c r="BQ155" s="106"/>
      <c r="BR155" s="118">
        <f t="shared" si="1190"/>
        <v>0</v>
      </c>
      <c r="BS155" s="106"/>
      <c r="BT155" s="106"/>
      <c r="BU155" s="106"/>
      <c r="BV155" s="106"/>
      <c r="BW155" s="106"/>
      <c r="BX155" s="106"/>
      <c r="BY155" s="106"/>
      <c r="BZ155" s="106"/>
      <c r="CA155" s="106"/>
      <c r="CB155" s="106"/>
      <c r="CC155" s="106"/>
      <c r="CD155" s="106"/>
      <c r="CE155" s="106"/>
      <c r="CF155" s="22"/>
      <c r="CG155" s="106"/>
      <c r="CH155" s="106"/>
      <c r="CI155" s="106"/>
      <c r="CJ155" s="106"/>
      <c r="CK155" s="106"/>
      <c r="CL155" s="106"/>
      <c r="CM155" s="106"/>
      <c r="CN155" s="106"/>
      <c r="CO155" s="106"/>
      <c r="CP155" s="106"/>
      <c r="CQ155" s="106"/>
      <c r="CR155" s="106"/>
      <c r="CS155" s="106"/>
      <c r="CT155" s="16">
        <f t="shared" si="1536"/>
        <v>0</v>
      </c>
      <c r="CU155" s="106"/>
      <c r="CV155" s="106"/>
      <c r="CW155" s="106"/>
      <c r="CX155" s="106"/>
      <c r="CY155" s="106"/>
      <c r="CZ155" s="106"/>
      <c r="DA155" s="106"/>
      <c r="DB155" s="106"/>
      <c r="DC155" s="106"/>
      <c r="DD155" s="106"/>
      <c r="DE155" s="106"/>
      <c r="DF155" s="106"/>
      <c r="DG155" s="106"/>
      <c r="DH155" s="118">
        <f t="shared" si="1191"/>
        <v>0</v>
      </c>
      <c r="DI155" s="106"/>
      <c r="DJ155" s="106"/>
      <c r="DK155" s="106"/>
      <c r="DL155" s="106"/>
      <c r="DM155" s="106"/>
      <c r="DN155" s="106"/>
      <c r="DO155" s="106"/>
      <c r="DP155" s="106"/>
      <c r="DQ155" s="106"/>
      <c r="DR155" s="106"/>
      <c r="DS155" s="106"/>
      <c r="DT155" s="106"/>
      <c r="DU155" s="106"/>
    </row>
    <row r="156" spans="1:125" ht="14.45" customHeight="1" collapsed="1">
      <c r="A156" s="58">
        <f>+A157+A164+A172+A178+A182+A187+A193+A205+A209+A214</f>
        <v>1074015.6671666666</v>
      </c>
      <c r="B156" s="58">
        <f t="shared" ref="B156:L156" si="1773">+B157+B164+B172+B178+B182+B187+B193+B205+B209+B214</f>
        <v>1108679.5413333334</v>
      </c>
      <c r="C156" s="58">
        <f t="shared" si="1773"/>
        <v>1575375.8878333333</v>
      </c>
      <c r="D156" s="58">
        <f t="shared" si="1773"/>
        <v>1001237.7973333334</v>
      </c>
      <c r="E156" s="58">
        <f t="shared" si="1773"/>
        <v>989583.54033333319</v>
      </c>
      <c r="F156" s="58">
        <f t="shared" si="1773"/>
        <v>1515008.9688333333</v>
      </c>
      <c r="G156" s="58">
        <f t="shared" si="1773"/>
        <v>1163561.2446648334</v>
      </c>
      <c r="H156" s="58">
        <f t="shared" si="1773"/>
        <v>1205958.2706923075</v>
      </c>
      <c r="I156" s="58">
        <f t="shared" si="1773"/>
        <v>1315343.0938333333</v>
      </c>
      <c r="J156" s="58">
        <f t="shared" si="1773"/>
        <v>1074965.2423333335</v>
      </c>
      <c r="K156" s="58">
        <f t="shared" si="1773"/>
        <v>1237536.6784999999</v>
      </c>
      <c r="L156" s="58">
        <f t="shared" si="1773"/>
        <v>1316756.4015000002</v>
      </c>
      <c r="M156" s="58">
        <f>+M157+M164+M172+M178+M182+M187+M193+M205+M209+M214</f>
        <v>1798084.5885000003</v>
      </c>
      <c r="N156" s="19" t="s">
        <v>129</v>
      </c>
      <c r="O156" s="58">
        <f>+O157+O164+O172+O178+O182+O187+O193+O205+O209+O214</f>
        <v>1354234.5686666667</v>
      </c>
      <c r="P156" s="58">
        <f t="shared" ref="P156" si="1774">+P157+P164+P172+P178+P182+P187+P193+P205+P209+P214</f>
        <v>1458983.8835</v>
      </c>
      <c r="Q156" s="58">
        <f t="shared" ref="Q156" si="1775">+Q157+Q164+Q172+Q178+Q182+Q187+Q193+Q205+Q209+Q214</f>
        <v>1464612.0966666667</v>
      </c>
      <c r="R156" s="58">
        <f t="shared" ref="R156" si="1776">+R157+R164+R172+R178+R182+R187+R193+R205+R209+R214</f>
        <v>1311640.6470000001</v>
      </c>
      <c r="S156" s="58">
        <f t="shared" ref="S156" si="1777">+S157+S164+S172+S178+S182+S187+S193+S205+S209+S214</f>
        <v>1447206.1700000002</v>
      </c>
      <c r="T156" s="58">
        <f t="shared" ref="T156" si="1778">+T157+T164+T172+T178+T182+T187+T193+T205+T209+T214</f>
        <v>1463059.1265</v>
      </c>
      <c r="U156" s="58">
        <f t="shared" ref="U156" si="1779">+U157+U164+U172+U178+U182+U187+U193+U205+U209+U214</f>
        <v>1248490.8788966597</v>
      </c>
      <c r="V156" s="58">
        <f t="shared" ref="V156" si="1780">+V157+V164+V172+V178+V182+V187+V193+V205+V209+V214</f>
        <v>1253259.7149999999</v>
      </c>
      <c r="W156" s="58">
        <f t="shared" ref="W156" si="1781">+W157+W164+W172+W178+W182+W187+W193+W205+W209+W214</f>
        <v>1497038.9925000002</v>
      </c>
      <c r="X156" s="58">
        <f t="shared" ref="X156" si="1782">+X157+X164+X172+X178+X182+X187+X193+X205+X209+X214</f>
        <v>1513740.4663750001</v>
      </c>
      <c r="Y156" s="58">
        <f t="shared" ref="Y156" si="1783">+Y157+Y164+Y172+Y178+Y182+Y187+Y193+Y205+Y209+Y214</f>
        <v>0</v>
      </c>
      <c r="Z156" s="58">
        <f t="shared" ref="Z156" si="1784">+Z157+Z164+Z172+Z178+Z182+Z187+Z193+Z205+Z209+Z214</f>
        <v>0</v>
      </c>
      <c r="AA156" s="58">
        <f>+AA157+AA164+AA172+AA178+AA182+AA187+AA193+AA205+AA209+AA214</f>
        <v>14012266.545104994</v>
      </c>
      <c r="AB156" s="118">
        <f t="shared" si="1189"/>
        <v>0.38864877057173763</v>
      </c>
      <c r="AC156" s="58">
        <f>+AC157+AC164+AC172+AC178+AC182+AC187+AC193+AC205+AC209+AC214</f>
        <v>1160363.7227908205</v>
      </c>
      <c r="AD156" s="58">
        <f t="shared" ref="AD156" si="1785">+AD157+AD164+AD172+AD178+AD182+AD187+AD193+AD205+AD209+AD214</f>
        <v>1120363.7227908205</v>
      </c>
      <c r="AE156" s="58">
        <f t="shared" ref="AE156" si="1786">+AE157+AE164+AE172+AE178+AE182+AE187+AE193+AE205+AE209+AE214</f>
        <v>1065990.730245366</v>
      </c>
      <c r="AF156" s="58">
        <f t="shared" ref="AF156" si="1787">+AF157+AF164+AF172+AF178+AF182+AF187+AF193+AF205+AF209+AF214</f>
        <v>1065990.730245366</v>
      </c>
      <c r="AG156" s="58">
        <f t="shared" ref="AG156" si="1788">+AG157+AG164+AG172+AG178+AG182+AG187+AG193+AG205+AG209+AG214</f>
        <v>1065990.730245366</v>
      </c>
      <c r="AH156" s="58">
        <f t="shared" ref="AH156" si="1789">+AH157+AH164+AH172+AH178+AH182+AH187+AH193+AH205+AH209+AH214</f>
        <v>1065980.1885786992</v>
      </c>
      <c r="AI156" s="58">
        <f t="shared" ref="AI156" si="1790">+AI157+AI164+AI172+AI178+AI182+AI187+AI193+AI205+AI209+AI214</f>
        <v>1090980.1885786992</v>
      </c>
      <c r="AJ156" s="58">
        <f t="shared" ref="AJ156" si="1791">+AJ157+AJ164+AJ172+AJ178+AJ182+AJ187+AJ193+AJ205+AJ209+AJ214</f>
        <v>1065980.1885786992</v>
      </c>
      <c r="AK156" s="58">
        <f t="shared" ref="AK156" si="1792">+AK157+AK164+AK172+AK178+AK182+AK187+AK193+AK205+AK209+AK214</f>
        <v>1067190.4274393246</v>
      </c>
      <c r="AL156" s="58">
        <f t="shared" ref="AL156" si="1793">+AL157+AL164+AL172+AL178+AL182+AL187+AL193+AL205+AL209+AL214</f>
        <v>1090081.5947518244</v>
      </c>
      <c r="AM156" s="58">
        <f t="shared" ref="AM156" si="1794">+AM157+AM164+AM172+AM178+AM182+AM187+AM193+AM205+AM209+AM214</f>
        <v>1081081.5947518244</v>
      </c>
      <c r="AN156" s="58">
        <f t="shared" ref="AN156" si="1795">+AN157+AN164+AN172+AN178+AN182+AN187+AN193+AN205+AN209+AN214</f>
        <v>1081081.5947518244</v>
      </c>
      <c r="AO156" s="58">
        <f>+AO157+AO164+AO172+AO178+AO182+AO187+AO193+AO205+AO209+AO214</f>
        <v>1551179.3935941663</v>
      </c>
      <c r="AQ156" s="58">
        <f t="shared" ref="AQ156:BC156" si="1796">+AQ157+AQ164+AQ172+AQ178+AQ182+AQ187+AQ193+AQ205+AQ209+AQ214</f>
        <v>771591.17266666656</v>
      </c>
      <c r="AR156" s="58">
        <f t="shared" si="1796"/>
        <v>772372.48933333333</v>
      </c>
      <c r="AS156" s="58">
        <f t="shared" si="1796"/>
        <v>1254867.5793333333</v>
      </c>
      <c r="AT156" s="58">
        <f t="shared" si="1796"/>
        <v>729956.16533333331</v>
      </c>
      <c r="AU156" s="58">
        <f t="shared" si="1796"/>
        <v>670263.73933333333</v>
      </c>
      <c r="AV156" s="58">
        <f t="shared" si="1796"/>
        <v>1223358.1773333333</v>
      </c>
      <c r="AW156" s="58">
        <f t="shared" si="1796"/>
        <v>777134.87066533323</v>
      </c>
      <c r="AX156" s="58">
        <f t="shared" si="1796"/>
        <v>754107.06656410254</v>
      </c>
      <c r="AY156" s="58">
        <f t="shared" si="1796"/>
        <v>1012808.8833333333</v>
      </c>
      <c r="AZ156" s="58">
        <f t="shared" si="1796"/>
        <v>750066.5353333333</v>
      </c>
      <c r="BA156" s="58">
        <f t="shared" si="1796"/>
        <v>822080.55799999996</v>
      </c>
      <c r="BB156" s="58">
        <f t="shared" si="1796"/>
        <v>826883.48200000008</v>
      </c>
      <c r="BC156" s="58">
        <f t="shared" si="1796"/>
        <v>10365490.719229437</v>
      </c>
      <c r="BD156" s="19" t="str">
        <f t="shared" si="1532"/>
        <v>Administrative Expenses</v>
      </c>
      <c r="BE156" s="58">
        <f t="shared" ref="BE156:BQ156" si="1797">+BE157+BE164+BE172+BE178+BE182+BE187+BE193+BE205+BE209+BE214</f>
        <v>888231.36849999998</v>
      </c>
      <c r="BF156" s="58">
        <f t="shared" si="1797"/>
        <v>999716.87049999996</v>
      </c>
      <c r="BG156" s="58">
        <f t="shared" si="1797"/>
        <v>1156133.75</v>
      </c>
      <c r="BH156" s="58">
        <f t="shared" si="1797"/>
        <v>834932.87599999993</v>
      </c>
      <c r="BI156" s="58">
        <f t="shared" si="1797"/>
        <v>950141.29</v>
      </c>
      <c r="BJ156" s="58">
        <f t="shared" si="1797"/>
        <v>1011343.014</v>
      </c>
      <c r="BK156" s="58">
        <f t="shared" si="1797"/>
        <v>725272.80779353017</v>
      </c>
      <c r="BL156" s="58">
        <f t="shared" si="1797"/>
        <v>829961.5399999998</v>
      </c>
      <c r="BM156" s="58">
        <f t="shared" si="1797"/>
        <v>888789.78600000008</v>
      </c>
      <c r="BN156" s="58">
        <f t="shared" si="1797"/>
        <v>794731.85537500004</v>
      </c>
      <c r="BO156" s="58">
        <f t="shared" si="1797"/>
        <v>0</v>
      </c>
      <c r="BP156" s="58">
        <f t="shared" si="1797"/>
        <v>0</v>
      </c>
      <c r="BQ156" s="58">
        <f t="shared" si="1797"/>
        <v>9079255.158168532</v>
      </c>
      <c r="BR156" s="118">
        <f t="shared" si="1190"/>
        <v>9.6327319351845256E-2</v>
      </c>
      <c r="BS156" s="58">
        <f t="shared" ref="BS156:CE156" si="1798">+BS157+BS164+BS172+BS178+BS182+BS187+BS193+BS205+BS209+BS214</f>
        <v>796376.85094286606</v>
      </c>
      <c r="BT156" s="58">
        <f t="shared" si="1798"/>
        <v>756376.85094286618</v>
      </c>
      <c r="BU156" s="58">
        <f t="shared" si="1798"/>
        <v>702003.85839741153</v>
      </c>
      <c r="BV156" s="58">
        <f t="shared" si="1798"/>
        <v>702003.85839741153</v>
      </c>
      <c r="BW156" s="58">
        <f t="shared" si="1798"/>
        <v>702003.85839741153</v>
      </c>
      <c r="BX156" s="58">
        <f t="shared" si="1798"/>
        <v>701993.3167307449</v>
      </c>
      <c r="BY156" s="58">
        <f t="shared" si="1798"/>
        <v>726993.31673074479</v>
      </c>
      <c r="BZ156" s="58">
        <f t="shared" si="1798"/>
        <v>701993.3167307449</v>
      </c>
      <c r="CA156" s="58">
        <f t="shared" si="1798"/>
        <v>701993.3167307449</v>
      </c>
      <c r="CB156" s="58">
        <f t="shared" si="1798"/>
        <v>724903.81416824483</v>
      </c>
      <c r="CC156" s="58">
        <f t="shared" si="1798"/>
        <v>715903.81416824483</v>
      </c>
      <c r="CD156" s="58">
        <f t="shared" si="1798"/>
        <v>715903.81416824483</v>
      </c>
      <c r="CE156" s="58">
        <f t="shared" si="1798"/>
        <v>8648449.9865056816</v>
      </c>
      <c r="CF156" s="22"/>
      <c r="CG156" s="58">
        <f t="shared" ref="CG156:CS156" si="1799">+CG157+CG164+CG172+CG178+CG182+CG187+CG193+CG205+CG209+CG214</f>
        <v>302424.49450000003</v>
      </c>
      <c r="CH156" s="58">
        <f t="shared" si="1799"/>
        <v>336307.05200000003</v>
      </c>
      <c r="CI156" s="58">
        <f t="shared" si="1799"/>
        <v>320508.30850000004</v>
      </c>
      <c r="CJ156" s="58">
        <f t="shared" si="1799"/>
        <v>271281.63199999998</v>
      </c>
      <c r="CK156" s="58">
        <f t="shared" si="1799"/>
        <v>319319.80099999998</v>
      </c>
      <c r="CL156" s="58">
        <f t="shared" si="1799"/>
        <v>291650.79149999999</v>
      </c>
      <c r="CM156" s="58">
        <f t="shared" si="1799"/>
        <v>386426.37399950001</v>
      </c>
      <c r="CN156" s="58">
        <f t="shared" si="1799"/>
        <v>451851.20412820514</v>
      </c>
      <c r="CO156" s="58">
        <f t="shared" si="1799"/>
        <v>302534.21049999999</v>
      </c>
      <c r="CP156" s="58">
        <f t="shared" si="1799"/>
        <v>324898.70699999999</v>
      </c>
      <c r="CQ156" s="58">
        <f t="shared" si="1799"/>
        <v>415456.12050000002</v>
      </c>
      <c r="CR156" s="58">
        <f t="shared" si="1799"/>
        <v>489872.91950000002</v>
      </c>
      <c r="CS156" s="58">
        <f t="shared" si="1799"/>
        <v>4212531.615127705</v>
      </c>
      <c r="CT156" s="19" t="str">
        <f t="shared" si="1536"/>
        <v>Administrative Expenses</v>
      </c>
      <c r="CU156" s="58">
        <f t="shared" ref="CU156:DG156" si="1800">+CU157+CU164+CU172+CU178+CU182+CU187+CU193+CU205+CU209+CU214</f>
        <v>466003.20016666665</v>
      </c>
      <c r="CV156" s="58">
        <f t="shared" si="1800"/>
        <v>459267.01299999998</v>
      </c>
      <c r="CW156" s="58">
        <f t="shared" si="1800"/>
        <v>308478.34666666668</v>
      </c>
      <c r="CX156" s="58">
        <f t="shared" si="1800"/>
        <v>476707.77100000007</v>
      </c>
      <c r="CY156" s="58">
        <f t="shared" si="1800"/>
        <v>497064.88</v>
      </c>
      <c r="CZ156" s="58">
        <f t="shared" si="1800"/>
        <v>451716.11249999999</v>
      </c>
      <c r="DA156" s="58">
        <f t="shared" si="1800"/>
        <v>523218.07110312942</v>
      </c>
      <c r="DB156" s="58">
        <f t="shared" si="1800"/>
        <v>423298.17499999999</v>
      </c>
      <c r="DC156" s="58">
        <f t="shared" si="1800"/>
        <v>608249.20650000009</v>
      </c>
      <c r="DD156" s="58">
        <f t="shared" si="1800"/>
        <v>719008.61100000003</v>
      </c>
      <c r="DE156" s="58">
        <f t="shared" si="1800"/>
        <v>0</v>
      </c>
      <c r="DF156" s="58">
        <f t="shared" si="1800"/>
        <v>0</v>
      </c>
      <c r="DG156" s="58">
        <f t="shared" si="1800"/>
        <v>4933011.3869364634</v>
      </c>
      <c r="DH156" s="118">
        <f t="shared" si="1191"/>
        <v>0.96892759973231124</v>
      </c>
      <c r="DI156" s="58">
        <f t="shared" ref="DI156:DU156" si="1801">+DI157+DI164+DI172+DI178+DI182+DI187+DI193+DI205+DI209+DI214</f>
        <v>363986.87184795458</v>
      </c>
      <c r="DJ156" s="58">
        <f t="shared" si="1801"/>
        <v>363986.87184795458</v>
      </c>
      <c r="DK156" s="58">
        <f t="shared" si="1801"/>
        <v>363986.87184795458</v>
      </c>
      <c r="DL156" s="58">
        <f t="shared" si="1801"/>
        <v>363986.87184795458</v>
      </c>
      <c r="DM156" s="58">
        <f t="shared" si="1801"/>
        <v>363986.87184795458</v>
      </c>
      <c r="DN156" s="58">
        <f t="shared" si="1801"/>
        <v>363986.87184795458</v>
      </c>
      <c r="DO156" s="58">
        <f t="shared" si="1801"/>
        <v>363986.87184795458</v>
      </c>
      <c r="DP156" s="58">
        <f t="shared" si="1801"/>
        <v>363986.87184795458</v>
      </c>
      <c r="DQ156" s="58">
        <f t="shared" si="1801"/>
        <v>365197.1107085796</v>
      </c>
      <c r="DR156" s="58">
        <f t="shared" si="1801"/>
        <v>365177.78058357962</v>
      </c>
      <c r="DS156" s="58">
        <f t="shared" si="1801"/>
        <v>365177.78058357962</v>
      </c>
      <c r="DT156" s="58">
        <f t="shared" si="1801"/>
        <v>365177.78058357962</v>
      </c>
      <c r="DU156" s="58">
        <f t="shared" si="1801"/>
        <v>4372625.4272429543</v>
      </c>
    </row>
    <row r="157" spans="1:125" ht="14.45" customHeight="1" outlineLevel="1">
      <c r="A157" s="58">
        <f t="shared" ref="A157:M157" si="1802">+SUM(A158:A162)</f>
        <v>50813.621500000008</v>
      </c>
      <c r="B157" s="58">
        <f t="shared" si="1802"/>
        <v>76000.315000000002</v>
      </c>
      <c r="C157" s="58">
        <f t="shared" si="1802"/>
        <v>229321.08000000002</v>
      </c>
      <c r="D157" s="58">
        <f t="shared" si="1802"/>
        <v>92985</v>
      </c>
      <c r="E157" s="58">
        <f t="shared" si="1802"/>
        <v>61799.784</v>
      </c>
      <c r="F157" s="58">
        <f t="shared" si="1802"/>
        <v>595821.98</v>
      </c>
      <c r="G157" s="58">
        <f t="shared" si="1802"/>
        <v>88328.709999999992</v>
      </c>
      <c r="H157" s="58">
        <f t="shared" si="1802"/>
        <v>186300.65</v>
      </c>
      <c r="I157" s="58">
        <f t="shared" si="1802"/>
        <v>111098.058</v>
      </c>
      <c r="J157" s="58">
        <f t="shared" si="1802"/>
        <v>19685.38</v>
      </c>
      <c r="K157" s="58">
        <f t="shared" si="1802"/>
        <v>48044.12</v>
      </c>
      <c r="L157" s="58">
        <f t="shared" si="1802"/>
        <v>237885.89</v>
      </c>
      <c r="M157" s="58">
        <f t="shared" si="1802"/>
        <v>1798084.5885000003</v>
      </c>
      <c r="N157" s="20" t="s">
        <v>130</v>
      </c>
      <c r="O157" s="58">
        <f t="shared" ref="O157" si="1803">+SUM(O158:O162)</f>
        <v>28122.905999999999</v>
      </c>
      <c r="P157" s="58">
        <f t="shared" ref="P157" si="1804">+SUM(P158:P162)</f>
        <v>219989.37449999998</v>
      </c>
      <c r="Q157" s="58">
        <f t="shared" ref="Q157" si="1805">+SUM(Q158:Q162)</f>
        <v>59353.913499999995</v>
      </c>
      <c r="R157" s="58">
        <f t="shared" ref="R157" si="1806">+SUM(R158:R162)</f>
        <v>17677.66</v>
      </c>
      <c r="S157" s="58">
        <f t="shared" ref="S157" si="1807">+SUM(S158:S162)</f>
        <v>31531.489999999998</v>
      </c>
      <c r="T157" s="58">
        <f t="shared" ref="T157" si="1808">+SUM(T158:T162)</f>
        <v>55530.922999999995</v>
      </c>
      <c r="U157" s="58">
        <f t="shared" ref="U157" si="1809">+SUM(U158:U162)</f>
        <v>107578.96666666667</v>
      </c>
      <c r="V157" s="58">
        <f t="shared" ref="V157" si="1810">+SUM(V158:V162)</f>
        <v>160087.829</v>
      </c>
      <c r="W157" s="58">
        <f t="shared" ref="W157" si="1811">+SUM(W158:W162)</f>
        <v>347759.37</v>
      </c>
      <c r="X157" s="58">
        <f t="shared" ref="X157" si="1812">+SUM(X158:X162)</f>
        <v>395024.4</v>
      </c>
      <c r="Y157" s="58">
        <f t="shared" ref="Y157" si="1813">+SUM(Y158:Y162)</f>
        <v>0</v>
      </c>
      <c r="Z157" s="58">
        <f t="shared" ref="Z157" si="1814">+SUM(Z158:Z162)</f>
        <v>0</v>
      </c>
      <c r="AA157" s="58">
        <f t="shared" ref="AA157" si="1815">+SUM(AA158:AA162)</f>
        <v>1422656.8326666667</v>
      </c>
      <c r="AB157" s="118">
        <f t="shared" si="1189"/>
        <v>2.2532701235669266</v>
      </c>
      <c r="AC157" s="58">
        <f t="shared" ref="AC157" si="1816">+SUM(AC158:AC162)</f>
        <v>165171.93308555556</v>
      </c>
      <c r="AD157" s="58">
        <f t="shared" ref="AD157" si="1817">+SUM(AD158:AD162)</f>
        <v>125171.93308555556</v>
      </c>
      <c r="AE157" s="58">
        <f t="shared" ref="AE157" si="1818">+SUM(AE158:AE162)</f>
        <v>125171.93308555556</v>
      </c>
      <c r="AF157" s="58">
        <f t="shared" ref="AF157" si="1819">+SUM(AF158:AF162)</f>
        <v>125171.93308555556</v>
      </c>
      <c r="AG157" s="58">
        <f t="shared" ref="AG157" si="1820">+SUM(AG158:AG162)</f>
        <v>125171.93308555556</v>
      </c>
      <c r="AH157" s="58">
        <f t="shared" ref="AH157" si="1821">+SUM(AH158:AH162)</f>
        <v>125171.93308555556</v>
      </c>
      <c r="AI157" s="58">
        <f t="shared" ref="AI157" si="1822">+SUM(AI158:AI162)</f>
        <v>150171.93308555556</v>
      </c>
      <c r="AJ157" s="58">
        <f t="shared" ref="AJ157" si="1823">+SUM(AJ158:AJ162)</f>
        <v>125171.93308555556</v>
      </c>
      <c r="AK157" s="58">
        <f t="shared" ref="AK157" si="1824">+SUM(AK158:AK162)</f>
        <v>120532.54811805555</v>
      </c>
      <c r="AL157" s="58">
        <f t="shared" ref="AL157" si="1825">+SUM(AL158:AL162)</f>
        <v>121423.79359722219</v>
      </c>
      <c r="AM157" s="58">
        <f t="shared" ref="AM157" si="1826">+SUM(AM158:AM162)</f>
        <v>121423.79359722219</v>
      </c>
      <c r="AN157" s="58">
        <f t="shared" ref="AN157" si="1827">+SUM(AN158:AN162)</f>
        <v>121423.79359722219</v>
      </c>
      <c r="AO157" s="58">
        <f t="shared" ref="AO157" si="1828">+SUM(AO158:AO162)</f>
        <v>1551179.3935941663</v>
      </c>
      <c r="AQ157" s="58">
        <f t="shared" ref="AQ157:BC157" si="1829">+SUM(AQ158:AQ162)</f>
        <v>40492.712000000007</v>
      </c>
      <c r="AR157" s="58">
        <f t="shared" si="1829"/>
        <v>57378.2</v>
      </c>
      <c r="AS157" s="58">
        <f t="shared" si="1829"/>
        <v>218104.83000000002</v>
      </c>
      <c r="AT157" s="58">
        <f t="shared" si="1829"/>
        <v>84982</v>
      </c>
      <c r="AU157" s="58">
        <f t="shared" si="1829"/>
        <v>53280.682000000001</v>
      </c>
      <c r="AV157" s="58">
        <f t="shared" si="1829"/>
        <v>587793.98</v>
      </c>
      <c r="AW157" s="58">
        <f t="shared" si="1829"/>
        <v>38285.1</v>
      </c>
      <c r="AX157" s="58">
        <f t="shared" si="1829"/>
        <v>48287.199999999997</v>
      </c>
      <c r="AY157" s="58">
        <f t="shared" si="1829"/>
        <v>107020.914</v>
      </c>
      <c r="AZ157" s="58">
        <f t="shared" si="1829"/>
        <v>8149.43</v>
      </c>
      <c r="BA157" s="58">
        <f t="shared" si="1829"/>
        <v>12053.84</v>
      </c>
      <c r="BB157" s="58">
        <f t="shared" si="1829"/>
        <v>113182.44</v>
      </c>
      <c r="BC157" s="58">
        <f t="shared" si="1829"/>
        <v>1369011.3280000002</v>
      </c>
      <c r="BD157" s="20" t="str">
        <f t="shared" si="1532"/>
        <v>Repair and Maintenance</v>
      </c>
      <c r="BE157" s="58">
        <f t="shared" ref="BE157:BQ157" si="1830">+SUM(BE158:BE162)</f>
        <v>19098.448</v>
      </c>
      <c r="BF157" s="58">
        <f t="shared" si="1830"/>
        <v>156083.86599999998</v>
      </c>
      <c r="BG157" s="58">
        <f t="shared" si="1830"/>
        <v>44372.637999999999</v>
      </c>
      <c r="BH157" s="58">
        <f t="shared" si="1830"/>
        <v>15087.380000000001</v>
      </c>
      <c r="BI157" s="58">
        <f t="shared" si="1830"/>
        <v>30091.21</v>
      </c>
      <c r="BJ157" s="58">
        <f t="shared" si="1830"/>
        <v>43177.724000000002</v>
      </c>
      <c r="BK157" s="58">
        <f t="shared" si="1830"/>
        <v>20226.378888888892</v>
      </c>
      <c r="BL157" s="58">
        <f t="shared" si="1830"/>
        <v>73836.042000000001</v>
      </c>
      <c r="BM157" s="58">
        <f t="shared" si="1830"/>
        <v>71376.37</v>
      </c>
      <c r="BN157" s="58">
        <f t="shared" si="1830"/>
        <v>51155.7</v>
      </c>
      <c r="BO157" s="58">
        <f t="shared" si="1830"/>
        <v>0</v>
      </c>
      <c r="BP157" s="58">
        <f t="shared" si="1830"/>
        <v>0</v>
      </c>
      <c r="BQ157" s="58">
        <f t="shared" si="1830"/>
        <v>524505.75688888889</v>
      </c>
      <c r="BR157" s="118">
        <f t="shared" si="1190"/>
        <v>-0.43208213406236184</v>
      </c>
      <c r="BS157" s="58">
        <f t="shared" ref="BS157:CE157" si="1831">+SUM(BS158:BS162)</f>
        <v>129184.63180555555</v>
      </c>
      <c r="BT157" s="58">
        <f t="shared" si="1831"/>
        <v>89184.631805555546</v>
      </c>
      <c r="BU157" s="58">
        <f t="shared" si="1831"/>
        <v>89184.631805555546</v>
      </c>
      <c r="BV157" s="58">
        <f t="shared" si="1831"/>
        <v>89184.631805555546</v>
      </c>
      <c r="BW157" s="58">
        <f t="shared" si="1831"/>
        <v>89184.631805555546</v>
      </c>
      <c r="BX157" s="58">
        <f t="shared" si="1831"/>
        <v>89184.631805555546</v>
      </c>
      <c r="BY157" s="58">
        <f t="shared" si="1831"/>
        <v>114184.63180555555</v>
      </c>
      <c r="BZ157" s="58">
        <f t="shared" si="1831"/>
        <v>89184.631805555546</v>
      </c>
      <c r="CA157" s="58">
        <f t="shared" si="1831"/>
        <v>89184.631805555546</v>
      </c>
      <c r="CB157" s="58">
        <f t="shared" si="1831"/>
        <v>90075.877284722184</v>
      </c>
      <c r="CC157" s="58">
        <f t="shared" si="1831"/>
        <v>90075.877284722184</v>
      </c>
      <c r="CD157" s="58">
        <f t="shared" si="1831"/>
        <v>90075.877284722184</v>
      </c>
      <c r="CE157" s="58">
        <f t="shared" si="1831"/>
        <v>1137889.3181041665</v>
      </c>
      <c r="CF157" s="22"/>
      <c r="CG157" s="58">
        <f t="shared" ref="CG157:CS157" si="1832">+SUM(CG158:CG162)</f>
        <v>10320.9095</v>
      </c>
      <c r="CH157" s="58">
        <f t="shared" si="1832"/>
        <v>18622.114999999998</v>
      </c>
      <c r="CI157" s="58">
        <f t="shared" si="1832"/>
        <v>11216.25</v>
      </c>
      <c r="CJ157" s="58">
        <f t="shared" si="1832"/>
        <v>8003</v>
      </c>
      <c r="CK157" s="58">
        <f t="shared" si="1832"/>
        <v>8519.1020000000008</v>
      </c>
      <c r="CL157" s="58">
        <f t="shared" si="1832"/>
        <v>8028</v>
      </c>
      <c r="CM157" s="58">
        <f t="shared" si="1832"/>
        <v>50043.61</v>
      </c>
      <c r="CN157" s="58">
        <f t="shared" si="1832"/>
        <v>138013.45000000001</v>
      </c>
      <c r="CO157" s="58">
        <f t="shared" si="1832"/>
        <v>4077.1439999999998</v>
      </c>
      <c r="CP157" s="58">
        <f t="shared" si="1832"/>
        <v>11535.95</v>
      </c>
      <c r="CQ157" s="58">
        <f t="shared" si="1832"/>
        <v>35990.28</v>
      </c>
      <c r="CR157" s="58">
        <f t="shared" si="1832"/>
        <v>124703.45</v>
      </c>
      <c r="CS157" s="58">
        <f t="shared" si="1832"/>
        <v>429073.26049999997</v>
      </c>
      <c r="CT157" s="20" t="str">
        <f t="shared" si="1536"/>
        <v>Repair and Maintenance</v>
      </c>
      <c r="CU157" s="58">
        <f t="shared" ref="CU157:DG157" si="1833">+SUM(CU158:CU162)</f>
        <v>9024.4580000000005</v>
      </c>
      <c r="CV157" s="58">
        <f t="shared" si="1833"/>
        <v>63905.508499999996</v>
      </c>
      <c r="CW157" s="58">
        <f t="shared" si="1833"/>
        <v>14981.2755</v>
      </c>
      <c r="CX157" s="58">
        <f t="shared" si="1833"/>
        <v>2590.2799999999997</v>
      </c>
      <c r="CY157" s="58">
        <f t="shared" si="1833"/>
        <v>1440.28</v>
      </c>
      <c r="CZ157" s="58">
        <f t="shared" si="1833"/>
        <v>12353.199000000001</v>
      </c>
      <c r="DA157" s="58">
        <f t="shared" si="1833"/>
        <v>87352.587777777779</v>
      </c>
      <c r="DB157" s="58">
        <f t="shared" si="1833"/>
        <v>86251.786999999997</v>
      </c>
      <c r="DC157" s="58">
        <f t="shared" si="1833"/>
        <v>276383</v>
      </c>
      <c r="DD157" s="58">
        <f t="shared" si="1833"/>
        <v>343868.7</v>
      </c>
      <c r="DE157" s="58">
        <f t="shared" si="1833"/>
        <v>0</v>
      </c>
      <c r="DF157" s="58">
        <f t="shared" si="1833"/>
        <v>0</v>
      </c>
      <c r="DG157" s="58">
        <f t="shared" si="1833"/>
        <v>898151.07577777782</v>
      </c>
      <c r="DH157" s="118">
        <f t="shared" si="1191"/>
        <v>9.9694276510136692</v>
      </c>
      <c r="DI157" s="58">
        <f t="shared" ref="DI157:DU157" si="1834">+SUM(DI158:DI162)</f>
        <v>35987.30128</v>
      </c>
      <c r="DJ157" s="58">
        <f t="shared" si="1834"/>
        <v>35987.30128</v>
      </c>
      <c r="DK157" s="58">
        <f t="shared" si="1834"/>
        <v>35987.30128</v>
      </c>
      <c r="DL157" s="58">
        <f t="shared" si="1834"/>
        <v>35987.30128</v>
      </c>
      <c r="DM157" s="58">
        <f t="shared" si="1834"/>
        <v>35987.30128</v>
      </c>
      <c r="DN157" s="58">
        <f t="shared" si="1834"/>
        <v>35987.30128</v>
      </c>
      <c r="DO157" s="58">
        <f t="shared" si="1834"/>
        <v>35987.30128</v>
      </c>
      <c r="DP157" s="58">
        <f t="shared" si="1834"/>
        <v>35987.30128</v>
      </c>
      <c r="DQ157" s="58">
        <f t="shared" si="1834"/>
        <v>31347.916312500001</v>
      </c>
      <c r="DR157" s="58">
        <f t="shared" si="1834"/>
        <v>31347.916312500001</v>
      </c>
      <c r="DS157" s="58">
        <f t="shared" si="1834"/>
        <v>31347.916312500001</v>
      </c>
      <c r="DT157" s="58">
        <f t="shared" si="1834"/>
        <v>31347.916312500001</v>
      </c>
      <c r="DU157" s="58">
        <f t="shared" si="1834"/>
        <v>413290.07549000002</v>
      </c>
    </row>
    <row r="158" spans="1:125" ht="14.45" hidden="1" customHeight="1" outlineLevel="2">
      <c r="A158" s="106">
        <f t="shared" ref="A158:A162" si="1835">+AQ158+CG158</f>
        <v>0</v>
      </c>
      <c r="B158" s="106">
        <f t="shared" ref="B158:B162" si="1836">+AR158+CH158</f>
        <v>29564</v>
      </c>
      <c r="C158" s="106">
        <f t="shared" ref="C158:C162" si="1837">+AS158+CI158</f>
        <v>0</v>
      </c>
      <c r="D158" s="106">
        <f t="shared" ref="D158:D162" si="1838">+AT158+CJ158</f>
        <v>24477</v>
      </c>
      <c r="E158" s="106">
        <f t="shared" ref="E158:E162" si="1839">+AU158+CK158</f>
        <v>21306.91</v>
      </c>
      <c r="F158" s="106">
        <f t="shared" ref="F158:F162" si="1840">+AV158+CL158</f>
        <v>505837.76</v>
      </c>
      <c r="G158" s="106">
        <f t="shared" ref="G158:G162" si="1841">+AW158+CM158</f>
        <v>47590.61</v>
      </c>
      <c r="H158" s="106">
        <f t="shared" ref="H158:H162" si="1842">+AX158+CN158</f>
        <v>103070</v>
      </c>
      <c r="I158" s="106">
        <f t="shared" ref="I158:I162" si="1843">+AY158+CO158</f>
        <v>78500</v>
      </c>
      <c r="J158" s="106">
        <f t="shared" ref="J158:J162" si="1844">+AZ158+CP158</f>
        <v>0</v>
      </c>
      <c r="K158" s="106">
        <f t="shared" ref="K158:K162" si="1845">+BA158+CQ158</f>
        <v>30675</v>
      </c>
      <c r="L158" s="106">
        <f t="shared" ref="L158:L162" si="1846">+BB158+CR158</f>
        <v>199284</v>
      </c>
      <c r="M158" s="106">
        <f t="shared" ref="M158:M162" si="1847">+SUM(A158:L158)</f>
        <v>1040305.28</v>
      </c>
      <c r="N158" s="16" t="s">
        <v>131</v>
      </c>
      <c r="O158" s="106">
        <f t="shared" ref="O158:O162" si="1848">+BE158+CU158</f>
        <v>1960</v>
      </c>
      <c r="P158" s="106">
        <f t="shared" ref="P158:P162" si="1849">+BF158+CV158</f>
        <v>0</v>
      </c>
      <c r="Q158" s="106">
        <f t="shared" ref="Q158:Q162" si="1850">+BG158+CW158</f>
        <v>0</v>
      </c>
      <c r="R158" s="106">
        <f t="shared" ref="R158:R162" si="1851">+BH158+CX158</f>
        <v>0</v>
      </c>
      <c r="S158" s="106">
        <f t="shared" ref="S158:S162" si="1852">+BI158+CY158</f>
        <v>3058.06</v>
      </c>
      <c r="T158" s="106">
        <f t="shared" ref="T158:T162" si="1853">+BJ158+CZ158</f>
        <v>0</v>
      </c>
      <c r="U158" s="106">
        <f t="shared" ref="U158:U162" si="1854">+BK158+DA158</f>
        <v>0</v>
      </c>
      <c r="V158" s="106">
        <f t="shared" ref="V158:V162" si="1855">+BL158+DB158</f>
        <v>64957.42</v>
      </c>
      <c r="W158" s="106">
        <f t="shared" ref="W158:W162" si="1856">+BM158+DC158</f>
        <v>102480</v>
      </c>
      <c r="X158" s="106">
        <f t="shared" ref="X158:X162" si="1857">+BN158+DD158</f>
        <v>295000</v>
      </c>
      <c r="Y158" s="106">
        <f t="shared" ref="Y158:Y162" si="1858">+BO158+DE158</f>
        <v>0</v>
      </c>
      <c r="Z158" s="106">
        <f t="shared" ref="Z158:Z162" si="1859">+BP158+DF158</f>
        <v>0</v>
      </c>
      <c r="AA158" s="106">
        <f t="shared" ref="AA158:AA162" si="1860">+SUM(O158:Z158)</f>
        <v>467455.48</v>
      </c>
      <c r="AB158" s="118">
        <f t="shared" ref="AB158:AB221" si="1861">IFERROR((X158-AL158)/AL158,0)</f>
        <v>2.940689286668448</v>
      </c>
      <c r="AC158" s="106">
        <f t="shared" ref="AC158:AC162" si="1862">+BS158+DI158</f>
        <v>74860</v>
      </c>
      <c r="AD158" s="106">
        <f t="shared" ref="AD158:AD162" si="1863">+BT158+DJ158</f>
        <v>74860</v>
      </c>
      <c r="AE158" s="106">
        <f t="shared" ref="AE158:AE162" si="1864">+BU158+DK158</f>
        <v>74860</v>
      </c>
      <c r="AF158" s="106">
        <f t="shared" ref="AF158:AF162" si="1865">+BV158+DL158</f>
        <v>74860</v>
      </c>
      <c r="AG158" s="106">
        <f t="shared" ref="AG158:AG162" si="1866">+BW158+DM158</f>
        <v>74860</v>
      </c>
      <c r="AH158" s="106">
        <f t="shared" ref="AH158:AH162" si="1867">+BX158+DN158</f>
        <v>74860</v>
      </c>
      <c r="AI158" s="106">
        <f t="shared" ref="AI158:AI162" si="1868">+BY158+DO158</f>
        <v>74860</v>
      </c>
      <c r="AJ158" s="106">
        <f t="shared" ref="AJ158:AJ162" si="1869">+BZ158+DP158</f>
        <v>74860</v>
      </c>
      <c r="AK158" s="106">
        <f t="shared" ref="AK158:AK162" si="1870">+CA158+DQ158</f>
        <v>74860</v>
      </c>
      <c r="AL158" s="106">
        <f t="shared" ref="AL158:AL162" si="1871">+CB158+DR158</f>
        <v>74860</v>
      </c>
      <c r="AM158" s="106">
        <f t="shared" ref="AM158:AM162" si="1872">+CC158+DS158</f>
        <v>74860</v>
      </c>
      <c r="AN158" s="106">
        <f t="shared" ref="AN158:AN162" si="1873">+CD158+DT158</f>
        <v>74860</v>
      </c>
      <c r="AO158" s="106">
        <f t="shared" ref="AO158:AO162" si="1874">+SUM(AC158:AN158)</f>
        <v>898320</v>
      </c>
      <c r="AQ158" s="106">
        <v>0</v>
      </c>
      <c r="AR158" s="106">
        <v>29564</v>
      </c>
      <c r="AS158" s="106">
        <v>0</v>
      </c>
      <c r="AT158" s="106">
        <v>24477</v>
      </c>
      <c r="AU158" s="106">
        <v>21306.91</v>
      </c>
      <c r="AV158" s="106">
        <v>505837.76</v>
      </c>
      <c r="AW158" s="106">
        <v>9600</v>
      </c>
      <c r="AX158" s="106">
        <v>4000</v>
      </c>
      <c r="AY158" s="106">
        <v>78500</v>
      </c>
      <c r="AZ158" s="106">
        <v>0</v>
      </c>
      <c r="BA158" s="106">
        <v>0</v>
      </c>
      <c r="BB158" s="106">
        <v>79952</v>
      </c>
      <c r="BC158" s="106">
        <f t="shared" ref="BC158:BC162" si="1875">+SUM(AQ158:BB158)</f>
        <v>753237.67</v>
      </c>
      <c r="BD158" s="16" t="str">
        <f t="shared" si="1532"/>
        <v>Repair and Maintenance - Building</v>
      </c>
      <c r="BE158" s="106">
        <f>+VLOOKUP($BD158,'Jan-25'!$A:$J,2,0)</f>
        <v>1960</v>
      </c>
      <c r="BF158" s="106">
        <f>+VLOOKUP($BD158,'Feb-25'!$A:$J,2,0)</f>
        <v>0</v>
      </c>
      <c r="BG158" s="106">
        <f>+VLOOKUP($BD158,'Mar-25'!$A:$J,2,0)</f>
        <v>0</v>
      </c>
      <c r="BH158" s="106">
        <f>+VLOOKUP($BD158,'Apr-25'!$A:$J,2,0)</f>
        <v>0</v>
      </c>
      <c r="BI158" s="106">
        <f>+VLOOKUP($BD158,'May-25'!$A:$J,2,0)</f>
        <v>2758.06</v>
      </c>
      <c r="BJ158" s="106">
        <f>+VLOOKUP($BD158,'June-25'!$A:$J,2,0)</f>
        <v>0</v>
      </c>
      <c r="BK158" s="106">
        <f>+VLOOKUP($BD158,'July-25'!$A:$J,2,0)</f>
        <v>0</v>
      </c>
      <c r="BL158" s="106">
        <f>+VLOOKUP($BD158,'Aug-25'!$A:$J,2,0)</f>
        <v>0</v>
      </c>
      <c r="BM158" s="106">
        <f>+VLOOKUP($BD158,'Sep-25'!$A:$J,2,0)</f>
        <v>0</v>
      </c>
      <c r="BN158" s="106">
        <f>+VLOOKUP($BD158,'Oct-25'!$A:$J,2,0)</f>
        <v>0</v>
      </c>
      <c r="BO158" s="106">
        <f>+VLOOKUP($BD158,'Nov-25'!$A:$J,2,0)</f>
        <v>0</v>
      </c>
      <c r="BP158" s="106">
        <f>+VLOOKUP($BD158,'Dec-25'!$A:$J,2,0)</f>
        <v>0</v>
      </c>
      <c r="BQ158" s="106">
        <f t="shared" ref="BQ158:BQ162" si="1876">+SUM(BE158:BP158)</f>
        <v>4718.0599999999995</v>
      </c>
      <c r="BR158" s="118">
        <f t="shared" ref="BR158:BR221" si="1877">IFERROR((BN158-CB158)/CB158,0)</f>
        <v>-1</v>
      </c>
      <c r="BS158" s="106" cm="1">
        <f t="array" ref="BS158:CD158">+_xlfn.XLOOKUP(BD158,Budget!A:A,Budget!Q:AB)</f>
        <v>64260</v>
      </c>
      <c r="BT158" s="106">
        <v>64260</v>
      </c>
      <c r="BU158" s="106">
        <v>64260</v>
      </c>
      <c r="BV158" s="106">
        <v>64260</v>
      </c>
      <c r="BW158" s="106">
        <v>64260</v>
      </c>
      <c r="BX158" s="106">
        <v>64260</v>
      </c>
      <c r="BY158" s="106">
        <v>64260</v>
      </c>
      <c r="BZ158" s="106">
        <v>64260</v>
      </c>
      <c r="CA158" s="106">
        <v>64260</v>
      </c>
      <c r="CB158" s="106">
        <v>64260</v>
      </c>
      <c r="CC158" s="106">
        <v>64260</v>
      </c>
      <c r="CD158" s="106">
        <v>64260</v>
      </c>
      <c r="CE158" s="106">
        <f t="shared" ref="CE158:CE162" si="1878">+SUM(BS158:CD158)</f>
        <v>771120</v>
      </c>
      <c r="CF158" s="22"/>
      <c r="CG158" s="106">
        <v>0</v>
      </c>
      <c r="CH158" s="106">
        <v>0</v>
      </c>
      <c r="CI158" s="106">
        <v>0</v>
      </c>
      <c r="CJ158" s="106">
        <v>0</v>
      </c>
      <c r="CK158" s="106">
        <v>0</v>
      </c>
      <c r="CL158" s="106">
        <v>0</v>
      </c>
      <c r="CM158" s="106">
        <v>37990.61</v>
      </c>
      <c r="CN158" s="106">
        <v>99070</v>
      </c>
      <c r="CO158" s="106">
        <v>0</v>
      </c>
      <c r="CP158" s="106">
        <v>0</v>
      </c>
      <c r="CQ158" s="106">
        <v>30675</v>
      </c>
      <c r="CR158" s="106">
        <v>119332</v>
      </c>
      <c r="CS158" s="106">
        <f t="shared" ref="CS158:CS162" si="1879">+SUM(CG158:CR158)</f>
        <v>287067.61</v>
      </c>
      <c r="CT158" s="16" t="str">
        <f t="shared" si="1536"/>
        <v>Repair and Maintenance - Building</v>
      </c>
      <c r="CU158" s="106">
        <f>+VLOOKUP($BD158,'Jan-25'!$A:$J,6,0)</f>
        <v>0</v>
      </c>
      <c r="CV158" s="106">
        <f>+VLOOKUP($BD158,'Feb-25'!$A:$J,6,0)</f>
        <v>0</v>
      </c>
      <c r="CW158" s="106">
        <f>+VLOOKUP($BD158,'Mar-25'!$A:$J,6,0)</f>
        <v>0</v>
      </c>
      <c r="CX158" s="106">
        <f>+VLOOKUP($BD158,'Apr-25'!$A:$J,6,0)</f>
        <v>0</v>
      </c>
      <c r="CY158" s="106">
        <f>+VLOOKUP($BD158,'May-25'!$A:$J,6,0)</f>
        <v>300</v>
      </c>
      <c r="CZ158" s="106">
        <f>+VLOOKUP($BD158,'June-25'!$A:$J,6,0)</f>
        <v>0</v>
      </c>
      <c r="DA158" s="106">
        <f>+VLOOKUP($BD158,'July-25'!$A:$J,6,0)</f>
        <v>0</v>
      </c>
      <c r="DB158" s="106">
        <f>+VLOOKUP($BD158,'Aug-25'!$A:$J,6,0)</f>
        <v>64957.42</v>
      </c>
      <c r="DC158" s="106">
        <f>+VLOOKUP($BD158,'Sep-25'!$A:$J,6,0)</f>
        <v>102480</v>
      </c>
      <c r="DD158" s="106">
        <f>+VLOOKUP($BD158,'Oct-25'!$A:$J,6,0)</f>
        <v>295000</v>
      </c>
      <c r="DE158" s="106">
        <f>+VLOOKUP($BD158,'Nov-25'!$A:$J,6,0)</f>
        <v>0</v>
      </c>
      <c r="DF158" s="106">
        <f>+VLOOKUP($BD158,'Dec-25'!$A:$J,6,0)</f>
        <v>0</v>
      </c>
      <c r="DG158" s="106">
        <f t="shared" ref="DG158:DG162" si="1880">+SUM(CU158:DF158)</f>
        <v>462737.42</v>
      </c>
      <c r="DH158" s="118">
        <f t="shared" ref="DH158:DH221" si="1881">IFERROR((DD158-DR158)/DR158,0)</f>
        <v>26.830188679245282</v>
      </c>
      <c r="DI158" s="106">
        <f>+_xlfn.XLOOKUP($CT158,Budget!$A:$A,Budget!BQ:BQ)</f>
        <v>10600</v>
      </c>
      <c r="DJ158" s="106">
        <f>+_xlfn.XLOOKUP($CT158,Budget!$A:$A,Budget!BR:BR)</f>
        <v>10600</v>
      </c>
      <c r="DK158" s="106">
        <f>+_xlfn.XLOOKUP($CT158,Budget!$A:$A,Budget!BS:BS)</f>
        <v>10600</v>
      </c>
      <c r="DL158" s="106">
        <f>+_xlfn.XLOOKUP($CT158,Budget!$A:$A,Budget!BT:BT)</f>
        <v>10600</v>
      </c>
      <c r="DM158" s="106">
        <f>+_xlfn.XLOOKUP($CT158,Budget!$A:$A,Budget!BU:BU)</f>
        <v>10600</v>
      </c>
      <c r="DN158" s="106">
        <f>+_xlfn.XLOOKUP($CT158,Budget!$A:$A,Budget!BV:BV)</f>
        <v>10600</v>
      </c>
      <c r="DO158" s="106">
        <f>+_xlfn.XLOOKUP($CT158,Budget!$A:$A,Budget!BW:BW)</f>
        <v>10600</v>
      </c>
      <c r="DP158" s="106">
        <f>+_xlfn.XLOOKUP($CT158,Budget!$A:$A,Budget!BX:BX)</f>
        <v>10600</v>
      </c>
      <c r="DQ158" s="106">
        <f>+_xlfn.XLOOKUP($CT158,Budget!$A:$A,Budget!BY:BY)</f>
        <v>10600</v>
      </c>
      <c r="DR158" s="106">
        <f>+_xlfn.XLOOKUP($CT158,Budget!$A:$A,Budget!BZ:BZ)</f>
        <v>10600</v>
      </c>
      <c r="DS158" s="106">
        <f>+_xlfn.XLOOKUP($CT158,Budget!$A:$A,Budget!CA:CA)</f>
        <v>10600</v>
      </c>
      <c r="DT158" s="106">
        <f>+_xlfn.XLOOKUP($CT158,Budget!$A:$A,Budget!CB:CB)</f>
        <v>10600</v>
      </c>
      <c r="DU158" s="106">
        <f t="shared" ref="DU158:DU162" si="1882">+SUM(DI158:DT158)</f>
        <v>127200</v>
      </c>
    </row>
    <row r="159" spans="1:125" ht="14.45" hidden="1" customHeight="1" outlineLevel="2">
      <c r="A159" s="106">
        <f t="shared" si="1835"/>
        <v>458.33150000000006</v>
      </c>
      <c r="B159" s="106">
        <f t="shared" si="1836"/>
        <v>1958.15</v>
      </c>
      <c r="C159" s="106">
        <f t="shared" si="1837"/>
        <v>6924.57</v>
      </c>
      <c r="D159" s="106">
        <f t="shared" si="1838"/>
        <v>0</v>
      </c>
      <c r="E159" s="106">
        <f t="shared" si="1839"/>
        <v>2885.5939999999996</v>
      </c>
      <c r="F159" s="106">
        <f t="shared" si="1840"/>
        <v>2396.61</v>
      </c>
      <c r="G159" s="106">
        <f t="shared" si="1841"/>
        <v>1154.0999999999999</v>
      </c>
      <c r="H159" s="106">
        <f t="shared" si="1842"/>
        <v>9000</v>
      </c>
      <c r="I159" s="106">
        <f t="shared" si="1843"/>
        <v>410.16800000000001</v>
      </c>
      <c r="J159" s="106">
        <f t="shared" si="1844"/>
        <v>1243.23</v>
      </c>
      <c r="K159" s="106">
        <f t="shared" si="1845"/>
        <v>0</v>
      </c>
      <c r="L159" s="106">
        <f t="shared" si="1846"/>
        <v>0</v>
      </c>
      <c r="M159" s="106">
        <f t="shared" si="1847"/>
        <v>26430.753499999999</v>
      </c>
      <c r="N159" s="16" t="s">
        <v>132</v>
      </c>
      <c r="O159" s="106">
        <f t="shared" si="1848"/>
        <v>0</v>
      </c>
      <c r="P159" s="106">
        <f t="shared" si="1849"/>
        <v>0</v>
      </c>
      <c r="Q159" s="106">
        <f t="shared" si="1850"/>
        <v>1550</v>
      </c>
      <c r="R159" s="106">
        <f t="shared" si="1851"/>
        <v>3350</v>
      </c>
      <c r="S159" s="106">
        <f t="shared" si="1852"/>
        <v>0</v>
      </c>
      <c r="T159" s="106">
        <f t="shared" si="1853"/>
        <v>8156.3130000000001</v>
      </c>
      <c r="U159" s="106">
        <f t="shared" si="1854"/>
        <v>0</v>
      </c>
      <c r="V159" s="106">
        <f t="shared" si="1855"/>
        <v>5550</v>
      </c>
      <c r="W159" s="106">
        <f t="shared" si="1856"/>
        <v>3072.88</v>
      </c>
      <c r="X159" s="106">
        <f t="shared" si="1857"/>
        <v>2200</v>
      </c>
      <c r="Y159" s="106">
        <f t="shared" si="1858"/>
        <v>0</v>
      </c>
      <c r="Z159" s="106">
        <f t="shared" si="1859"/>
        <v>0</v>
      </c>
      <c r="AA159" s="106">
        <f t="shared" si="1860"/>
        <v>23879.193000000003</v>
      </c>
      <c r="AB159" s="118">
        <f t="shared" si="1861"/>
        <v>-0.72413793103448276</v>
      </c>
      <c r="AC159" s="106">
        <f t="shared" si="1862"/>
        <v>7975</v>
      </c>
      <c r="AD159" s="106">
        <f t="shared" si="1863"/>
        <v>7975</v>
      </c>
      <c r="AE159" s="106">
        <f t="shared" si="1864"/>
        <v>7975</v>
      </c>
      <c r="AF159" s="106">
        <f t="shared" si="1865"/>
        <v>7975</v>
      </c>
      <c r="AG159" s="106">
        <f t="shared" si="1866"/>
        <v>7975</v>
      </c>
      <c r="AH159" s="106">
        <f t="shared" si="1867"/>
        <v>7975</v>
      </c>
      <c r="AI159" s="106">
        <f t="shared" si="1868"/>
        <v>7975</v>
      </c>
      <c r="AJ159" s="106">
        <f t="shared" si="1869"/>
        <v>7975</v>
      </c>
      <c r="AK159" s="106">
        <f t="shared" si="1870"/>
        <v>7975</v>
      </c>
      <c r="AL159" s="106">
        <f t="shared" si="1871"/>
        <v>7975</v>
      </c>
      <c r="AM159" s="106">
        <f t="shared" si="1872"/>
        <v>7975</v>
      </c>
      <c r="AN159" s="106">
        <f t="shared" si="1873"/>
        <v>7975</v>
      </c>
      <c r="AO159" s="106">
        <f t="shared" si="1874"/>
        <v>95700</v>
      </c>
      <c r="AQ159" s="106">
        <v>333.33200000000005</v>
      </c>
      <c r="AR159" s="106">
        <v>1833.2</v>
      </c>
      <c r="AS159" s="106">
        <v>6074.57</v>
      </c>
      <c r="AT159" s="106">
        <v>0</v>
      </c>
      <c r="AU159" s="106">
        <v>2669.4919999999997</v>
      </c>
      <c r="AV159" s="106">
        <v>2396.61</v>
      </c>
      <c r="AW159" s="106">
        <v>1154.0999999999999</v>
      </c>
      <c r="AX159" s="106">
        <v>4500</v>
      </c>
      <c r="AY159" s="106">
        <v>298.30400000000003</v>
      </c>
      <c r="AZ159" s="106">
        <v>1243.23</v>
      </c>
      <c r="BA159" s="106">
        <v>0</v>
      </c>
      <c r="BB159" s="106">
        <v>0</v>
      </c>
      <c r="BC159" s="106">
        <f t="shared" si="1875"/>
        <v>20502.838</v>
      </c>
      <c r="BD159" s="16" t="str">
        <f t="shared" si="1532"/>
        <v>Repair and Maintenance - Computer</v>
      </c>
      <c r="BE159" s="106">
        <f>+VLOOKUP($BD159,'Jan-25'!$A:$J,2,0)</f>
        <v>0</v>
      </c>
      <c r="BF159" s="106">
        <f>+VLOOKUP($BD159,'Feb-25'!$A:$J,2,0)</f>
        <v>0</v>
      </c>
      <c r="BG159" s="106">
        <f>+VLOOKUP($BD159,'Mar-25'!$A:$J,2,0)</f>
        <v>1550</v>
      </c>
      <c r="BH159" s="106">
        <f>+VLOOKUP($BD159,'Apr-25'!$A:$J,2,0)</f>
        <v>3350</v>
      </c>
      <c r="BI159" s="106">
        <f>+VLOOKUP($BD159,'May-25'!$A:$J,2,0)</f>
        <v>0</v>
      </c>
      <c r="BJ159" s="106">
        <f>+VLOOKUP($BD159,'June-25'!$A:$J,2,0)</f>
        <v>5931.8640000000005</v>
      </c>
      <c r="BK159" s="106">
        <f>+VLOOKUP($BD159,'July-25'!$A:$J,2,0)</f>
        <v>0</v>
      </c>
      <c r="BL159" s="106">
        <f>+VLOOKUP($BD159,'Aug-25'!$A:$J,2,0)</f>
        <v>5550</v>
      </c>
      <c r="BM159" s="106">
        <f>+VLOOKUP($BD159,'Sep-25'!$A:$J,2,0)</f>
        <v>3072.88</v>
      </c>
      <c r="BN159" s="106">
        <f>+VLOOKUP($BD159,'Oct-25'!$A:$J,2,0)</f>
        <v>2200</v>
      </c>
      <c r="BO159" s="106">
        <f>+VLOOKUP($BD159,'Nov-25'!$A:$J,2,0)</f>
        <v>0</v>
      </c>
      <c r="BP159" s="106">
        <f>+VLOOKUP($BD159,'Dec-25'!$A:$J,2,0)</f>
        <v>0</v>
      </c>
      <c r="BQ159" s="106">
        <f t="shared" si="1876"/>
        <v>21654.744000000002</v>
      </c>
      <c r="BR159" s="118">
        <f t="shared" si="1877"/>
        <v>-0.62068965517241381</v>
      </c>
      <c r="BS159" s="106" cm="1">
        <f t="array" ref="BS159:CD159">+_xlfn.XLOOKUP(BD159,Budget!A:A,Budget!Q:AB)</f>
        <v>5800</v>
      </c>
      <c r="BT159" s="106">
        <v>5800</v>
      </c>
      <c r="BU159" s="106">
        <v>5800</v>
      </c>
      <c r="BV159" s="106">
        <v>5800</v>
      </c>
      <c r="BW159" s="106">
        <v>5800</v>
      </c>
      <c r="BX159" s="106">
        <v>5800</v>
      </c>
      <c r="BY159" s="106">
        <v>5800</v>
      </c>
      <c r="BZ159" s="106">
        <v>5800</v>
      </c>
      <c r="CA159" s="106">
        <v>5800</v>
      </c>
      <c r="CB159" s="106">
        <v>5800</v>
      </c>
      <c r="CC159" s="106">
        <v>5800</v>
      </c>
      <c r="CD159" s="106">
        <v>5800</v>
      </c>
      <c r="CE159" s="106">
        <f t="shared" si="1878"/>
        <v>69600</v>
      </c>
      <c r="CF159" s="22"/>
      <c r="CG159" s="106">
        <v>124.9995</v>
      </c>
      <c r="CH159" s="106">
        <v>124.94999999999999</v>
      </c>
      <c r="CI159" s="106">
        <v>850</v>
      </c>
      <c r="CJ159" s="106">
        <v>0</v>
      </c>
      <c r="CK159" s="106">
        <v>216.102</v>
      </c>
      <c r="CL159" s="106">
        <v>0</v>
      </c>
      <c r="CM159" s="106">
        <v>0</v>
      </c>
      <c r="CN159" s="106">
        <v>4500</v>
      </c>
      <c r="CO159" s="106">
        <v>111.86399999999999</v>
      </c>
      <c r="CP159" s="106">
        <v>0</v>
      </c>
      <c r="CQ159" s="106">
        <v>0</v>
      </c>
      <c r="CR159" s="106">
        <v>0</v>
      </c>
      <c r="CS159" s="106">
        <f t="shared" si="1879"/>
        <v>5927.9154999999992</v>
      </c>
      <c r="CT159" s="16" t="str">
        <f t="shared" si="1536"/>
        <v>Repair and Maintenance - Computer</v>
      </c>
      <c r="CU159" s="106">
        <f>+VLOOKUP($BD159,'Jan-25'!$A:$J,6,0)</f>
        <v>0</v>
      </c>
      <c r="CV159" s="106">
        <f>+VLOOKUP($BD159,'Feb-25'!$A:$J,6,0)</f>
        <v>0</v>
      </c>
      <c r="CW159" s="106">
        <f>+VLOOKUP($BD159,'Mar-25'!$A:$J,6,0)</f>
        <v>0</v>
      </c>
      <c r="CX159" s="106">
        <f>+VLOOKUP($BD159,'Apr-25'!$A:$J,6,0)</f>
        <v>0</v>
      </c>
      <c r="CY159" s="106">
        <f>+VLOOKUP($BD159,'May-25'!$A:$J,6,0)</f>
        <v>0</v>
      </c>
      <c r="CZ159" s="106">
        <f>+VLOOKUP($BD159,'June-25'!$A:$J,6,0)</f>
        <v>2224.4490000000001</v>
      </c>
      <c r="DA159" s="106">
        <f>+VLOOKUP($BD159,'July-25'!$A:$J,6,0)</f>
        <v>0</v>
      </c>
      <c r="DB159" s="106">
        <f>+VLOOKUP($BD159,'Aug-25'!$A:$J,6,0)</f>
        <v>0</v>
      </c>
      <c r="DC159" s="106">
        <f>+VLOOKUP($BD159,'Sep-25'!$A:$J,6,0)</f>
        <v>0</v>
      </c>
      <c r="DD159" s="106">
        <f>+VLOOKUP($BD159,'Oct-25'!$A:$J,6,0)</f>
        <v>0</v>
      </c>
      <c r="DE159" s="106">
        <f>+VLOOKUP($BD159,'Nov-25'!$A:$J,6,0)</f>
        <v>0</v>
      </c>
      <c r="DF159" s="106">
        <f>+VLOOKUP($BD159,'Dec-25'!$A:$J,6,0)</f>
        <v>0</v>
      </c>
      <c r="DG159" s="106">
        <f t="shared" si="1880"/>
        <v>2224.4490000000001</v>
      </c>
      <c r="DH159" s="118">
        <f t="shared" si="1881"/>
        <v>-1</v>
      </c>
      <c r="DI159" s="106">
        <f>+_xlfn.XLOOKUP($CT159,Budget!$A:$A,Budget!BQ:BQ)</f>
        <v>2175</v>
      </c>
      <c r="DJ159" s="106">
        <f>+_xlfn.XLOOKUP($CT159,Budget!$A:$A,Budget!BR:BR)</f>
        <v>2175</v>
      </c>
      <c r="DK159" s="106">
        <f>+_xlfn.XLOOKUP($CT159,Budget!$A:$A,Budget!BS:BS)</f>
        <v>2175</v>
      </c>
      <c r="DL159" s="106">
        <f>+_xlfn.XLOOKUP($CT159,Budget!$A:$A,Budget!BT:BT)</f>
        <v>2175</v>
      </c>
      <c r="DM159" s="106">
        <f>+_xlfn.XLOOKUP($CT159,Budget!$A:$A,Budget!BU:BU)</f>
        <v>2175</v>
      </c>
      <c r="DN159" s="106">
        <f>+_xlfn.XLOOKUP($CT159,Budget!$A:$A,Budget!BV:BV)</f>
        <v>2175</v>
      </c>
      <c r="DO159" s="106">
        <f>+_xlfn.XLOOKUP($CT159,Budget!$A:$A,Budget!BW:BW)</f>
        <v>2175</v>
      </c>
      <c r="DP159" s="106">
        <f>+_xlfn.XLOOKUP($CT159,Budget!$A:$A,Budget!BX:BX)</f>
        <v>2175</v>
      </c>
      <c r="DQ159" s="106">
        <f>+_xlfn.XLOOKUP($CT159,Budget!$A:$A,Budget!BY:BY)</f>
        <v>2175</v>
      </c>
      <c r="DR159" s="106">
        <f>+_xlfn.XLOOKUP($CT159,Budget!$A:$A,Budget!BZ:BZ)</f>
        <v>2175</v>
      </c>
      <c r="DS159" s="106">
        <f>+_xlfn.XLOOKUP($CT159,Budget!$A:$A,Budget!CA:CA)</f>
        <v>2175</v>
      </c>
      <c r="DT159" s="106">
        <f>+_xlfn.XLOOKUP($CT159,Budget!$A:$A,Budget!CB:CB)</f>
        <v>2175</v>
      </c>
      <c r="DU159" s="106">
        <f t="shared" si="1882"/>
        <v>26100</v>
      </c>
    </row>
    <row r="160" spans="1:125" ht="14.45" hidden="1" customHeight="1" outlineLevel="2">
      <c r="A160" s="106">
        <f t="shared" si="1835"/>
        <v>1097.22</v>
      </c>
      <c r="B160" s="106">
        <f t="shared" si="1836"/>
        <v>7673.165</v>
      </c>
      <c r="C160" s="106">
        <f t="shared" si="1837"/>
        <v>1238.5</v>
      </c>
      <c r="D160" s="106">
        <f t="shared" si="1838"/>
        <v>1187.5</v>
      </c>
      <c r="E160" s="106">
        <f t="shared" si="1839"/>
        <v>1187.5</v>
      </c>
      <c r="F160" s="106">
        <f t="shared" si="1840"/>
        <v>1187.5</v>
      </c>
      <c r="G160" s="106">
        <f t="shared" si="1841"/>
        <v>1187.5</v>
      </c>
      <c r="H160" s="106">
        <f t="shared" si="1842"/>
        <v>1187.5</v>
      </c>
      <c r="I160" s="106">
        <f t="shared" si="1843"/>
        <v>1187.5</v>
      </c>
      <c r="J160" s="106">
        <f t="shared" si="1844"/>
        <v>957</v>
      </c>
      <c r="K160" s="106">
        <f t="shared" si="1845"/>
        <v>12094.12</v>
      </c>
      <c r="L160" s="106">
        <f t="shared" si="1846"/>
        <v>1187.5</v>
      </c>
      <c r="M160" s="106">
        <f t="shared" si="1847"/>
        <v>31372.505000000005</v>
      </c>
      <c r="N160" s="16" t="s">
        <v>133</v>
      </c>
      <c r="O160" s="106">
        <f t="shared" si="1848"/>
        <v>8695.43</v>
      </c>
      <c r="P160" s="106">
        <f t="shared" si="1849"/>
        <v>60505.64</v>
      </c>
      <c r="Q160" s="106">
        <f t="shared" si="1850"/>
        <v>7950.2834999999995</v>
      </c>
      <c r="R160" s="106">
        <f t="shared" si="1851"/>
        <v>1187.5</v>
      </c>
      <c r="S160" s="106">
        <f t="shared" si="1852"/>
        <v>1187.5</v>
      </c>
      <c r="T160" s="106">
        <f t="shared" si="1853"/>
        <v>14959.44</v>
      </c>
      <c r="U160" s="106">
        <f t="shared" si="1854"/>
        <v>4501.91</v>
      </c>
      <c r="V160" s="106">
        <f t="shared" si="1855"/>
        <v>3431.23</v>
      </c>
      <c r="W160" s="106">
        <f t="shared" si="1856"/>
        <v>1187.5</v>
      </c>
      <c r="X160" s="106">
        <f t="shared" si="1857"/>
        <v>1187.5</v>
      </c>
      <c r="Y160" s="106">
        <f t="shared" si="1858"/>
        <v>0</v>
      </c>
      <c r="Z160" s="106">
        <f t="shared" si="1859"/>
        <v>0</v>
      </c>
      <c r="AA160" s="106">
        <f t="shared" si="1860"/>
        <v>104793.93350000001</v>
      </c>
      <c r="AB160" s="118">
        <f t="shared" si="1861"/>
        <v>0.18782995276465692</v>
      </c>
      <c r="AC160" s="106">
        <f t="shared" si="1862"/>
        <v>40999.722222222219</v>
      </c>
      <c r="AD160" s="106">
        <f t="shared" si="1863"/>
        <v>999.72222222222217</v>
      </c>
      <c r="AE160" s="106">
        <f t="shared" si="1864"/>
        <v>999.72222222222217</v>
      </c>
      <c r="AF160" s="106">
        <f t="shared" si="1865"/>
        <v>999.72222222222217</v>
      </c>
      <c r="AG160" s="106">
        <f t="shared" si="1866"/>
        <v>999.72222222222217</v>
      </c>
      <c r="AH160" s="106">
        <f t="shared" si="1867"/>
        <v>999.72222222222194</v>
      </c>
      <c r="AI160" s="106">
        <f t="shared" si="1868"/>
        <v>25999.722222222223</v>
      </c>
      <c r="AJ160" s="106">
        <f t="shared" si="1869"/>
        <v>999.72222222222217</v>
      </c>
      <c r="AK160" s="106">
        <f t="shared" si="1870"/>
        <v>999.72222222222217</v>
      </c>
      <c r="AL160" s="106">
        <f t="shared" si="1871"/>
        <v>999.72222222222217</v>
      </c>
      <c r="AM160" s="106">
        <f t="shared" si="1872"/>
        <v>999.72222222222217</v>
      </c>
      <c r="AN160" s="106">
        <f t="shared" si="1873"/>
        <v>999.72222222222217</v>
      </c>
      <c r="AO160" s="106">
        <f t="shared" si="1874"/>
        <v>76996.666666666628</v>
      </c>
      <c r="AQ160" s="106">
        <v>847.22</v>
      </c>
      <c r="AR160" s="106">
        <v>847</v>
      </c>
      <c r="AS160" s="106">
        <v>847</v>
      </c>
      <c r="AT160" s="106">
        <v>847</v>
      </c>
      <c r="AU160" s="106">
        <v>847</v>
      </c>
      <c r="AV160" s="106">
        <v>847</v>
      </c>
      <c r="AW160" s="106">
        <v>847</v>
      </c>
      <c r="AX160" s="106">
        <v>847</v>
      </c>
      <c r="AY160" s="106">
        <v>847.22</v>
      </c>
      <c r="AZ160" s="106">
        <v>957</v>
      </c>
      <c r="BA160" s="106">
        <v>11753.84</v>
      </c>
      <c r="BB160" s="106">
        <v>847</v>
      </c>
      <c r="BC160" s="106">
        <f t="shared" si="1875"/>
        <v>21181.279999999999</v>
      </c>
      <c r="BD160" s="16" t="str">
        <f t="shared" si="1532"/>
        <v>Repair and Maintenance - Generator</v>
      </c>
      <c r="BE160" s="106">
        <f>+VLOOKUP($BD160,'Jan-25'!$A:$J,2,0)</f>
        <v>6340.04</v>
      </c>
      <c r="BF160" s="106">
        <f>+VLOOKUP($BD160,'Feb-25'!$A:$J,2,0)</f>
        <v>60165.14</v>
      </c>
      <c r="BG160" s="106">
        <f>+VLOOKUP($BD160,'Mar-25'!$A:$J,2,0)</f>
        <v>5765.6080000000002</v>
      </c>
      <c r="BH160" s="106">
        <f>+VLOOKUP($BD160,'Apr-25'!$A:$J,2,0)</f>
        <v>847.22</v>
      </c>
      <c r="BI160" s="106">
        <f>+VLOOKUP($BD160,'May-25'!$A:$J,2,0)</f>
        <v>847.22</v>
      </c>
      <c r="BJ160" s="106">
        <f>+VLOOKUP($BD160,'June-25'!$A:$J,2,0)</f>
        <v>7955.6900000000005</v>
      </c>
      <c r="BK160" s="106">
        <f>+VLOOKUP($BD160,'July-25'!$A:$J,2,0)</f>
        <v>4161.6322222222216</v>
      </c>
      <c r="BL160" s="106">
        <f>+VLOOKUP($BD160,'Aug-25'!$A:$J,2,0)</f>
        <v>3090.73</v>
      </c>
      <c r="BM160" s="106">
        <f>+VLOOKUP($BD160,'Sep-25'!$A:$J,2,0)</f>
        <v>847</v>
      </c>
      <c r="BN160" s="106">
        <f>+VLOOKUP($BD160,'Oct-25'!$A:$J,2,0)</f>
        <v>847</v>
      </c>
      <c r="BO160" s="106">
        <f>+VLOOKUP($BD160,'Nov-25'!$A:$J,2,0)</f>
        <v>0</v>
      </c>
      <c r="BP160" s="106">
        <f>+VLOOKUP($BD160,'Dec-25'!$A:$J,2,0)</f>
        <v>0</v>
      </c>
      <c r="BQ160" s="106">
        <f t="shared" si="1876"/>
        <v>90867.280222222224</v>
      </c>
      <c r="BR160" s="118">
        <f t="shared" si="1877"/>
        <v>-0.15276465684912471</v>
      </c>
      <c r="BS160" s="106" cm="1">
        <f t="array" ref="BS160:CD160">+_xlfn.XLOOKUP(BD160,Budget!A:A,Budget!Q:AB)</f>
        <v>40999.722222222219</v>
      </c>
      <c r="BT160" s="106">
        <v>999.72222222222217</v>
      </c>
      <c r="BU160" s="106">
        <v>999.72222222222217</v>
      </c>
      <c r="BV160" s="106">
        <v>999.72222222222217</v>
      </c>
      <c r="BW160" s="106">
        <v>999.72222222222217</v>
      </c>
      <c r="BX160" s="106">
        <v>999.72222222222194</v>
      </c>
      <c r="BY160" s="106">
        <v>25999.722222222223</v>
      </c>
      <c r="BZ160" s="106">
        <v>999.72222222222217</v>
      </c>
      <c r="CA160" s="106">
        <v>999.72222222222217</v>
      </c>
      <c r="CB160" s="106">
        <v>999.72222222222217</v>
      </c>
      <c r="CC160" s="106">
        <v>999.72222222222217</v>
      </c>
      <c r="CD160" s="106">
        <v>999.72222222222217</v>
      </c>
      <c r="CE160" s="106">
        <f t="shared" si="1878"/>
        <v>76996.666666666628</v>
      </c>
      <c r="CF160" s="22"/>
      <c r="CG160" s="106">
        <v>250</v>
      </c>
      <c r="CH160" s="106">
        <v>6826.165</v>
      </c>
      <c r="CI160" s="106">
        <v>391.5</v>
      </c>
      <c r="CJ160" s="106">
        <v>340.5</v>
      </c>
      <c r="CK160" s="106">
        <v>340.5</v>
      </c>
      <c r="CL160" s="106">
        <v>340.5</v>
      </c>
      <c r="CM160" s="106">
        <v>340.5</v>
      </c>
      <c r="CN160" s="106">
        <v>340.5</v>
      </c>
      <c r="CO160" s="106">
        <v>340.28</v>
      </c>
      <c r="CP160" s="106">
        <v>0</v>
      </c>
      <c r="CQ160" s="106">
        <v>340.28</v>
      </c>
      <c r="CR160" s="106">
        <v>340.5</v>
      </c>
      <c r="CS160" s="106">
        <f t="shared" si="1879"/>
        <v>10191.225000000002</v>
      </c>
      <c r="CT160" s="16" t="str">
        <f t="shared" si="1536"/>
        <v>Repair and Maintenance - Generator</v>
      </c>
      <c r="CU160" s="106">
        <f>+VLOOKUP($BD160,'Jan-25'!$A:$J,6,0)</f>
        <v>2355.39</v>
      </c>
      <c r="CV160" s="106">
        <f>+VLOOKUP($BD160,'Feb-25'!$A:$J,6,0)</f>
        <v>340.5</v>
      </c>
      <c r="CW160" s="106">
        <f>+VLOOKUP($BD160,'Mar-25'!$A:$J,6,0)</f>
        <v>2184.6754999999998</v>
      </c>
      <c r="CX160" s="106">
        <f>+VLOOKUP($BD160,'Apr-25'!$A:$J,6,0)</f>
        <v>340.28</v>
      </c>
      <c r="CY160" s="106">
        <f>+VLOOKUP($BD160,'May-25'!$A:$J,6,0)</f>
        <v>340.28</v>
      </c>
      <c r="CZ160" s="106">
        <f>+VLOOKUP($BD160,'June-25'!$A:$J,6,0)</f>
        <v>7003.75</v>
      </c>
      <c r="DA160" s="106">
        <f>+VLOOKUP($BD160,'July-25'!$A:$J,6,0)</f>
        <v>340.277777777778</v>
      </c>
      <c r="DB160" s="106">
        <f>+VLOOKUP($BD160,'Aug-25'!$A:$J,6,0)</f>
        <v>340.5</v>
      </c>
      <c r="DC160" s="106">
        <f>+VLOOKUP($BD160,'Sep-25'!$A:$J,6,0)</f>
        <v>340.5</v>
      </c>
      <c r="DD160" s="106">
        <f>+VLOOKUP($BD160,'Oct-25'!$A:$J,6,0)</f>
        <v>340.5</v>
      </c>
      <c r="DE160" s="106">
        <f>+VLOOKUP($BD160,'Nov-25'!$A:$J,6,0)</f>
        <v>0</v>
      </c>
      <c r="DF160" s="106">
        <f>+VLOOKUP($BD160,'Dec-25'!$A:$J,6,0)</f>
        <v>0</v>
      </c>
      <c r="DG160" s="106">
        <f t="shared" si="1880"/>
        <v>13926.653277777776</v>
      </c>
      <c r="DH160" s="118">
        <f t="shared" si="1881"/>
        <v>0</v>
      </c>
      <c r="DI160" s="106">
        <f>+_xlfn.XLOOKUP($CT160,Budget!$A:$A,Budget!BQ:BQ)</f>
        <v>0</v>
      </c>
      <c r="DJ160" s="106">
        <f>+_xlfn.XLOOKUP($CT160,Budget!$A:$A,Budget!BR:BR)</f>
        <v>0</v>
      </c>
      <c r="DK160" s="106">
        <f>+_xlfn.XLOOKUP($CT160,Budget!$A:$A,Budget!BS:BS)</f>
        <v>0</v>
      </c>
      <c r="DL160" s="106">
        <f>+_xlfn.XLOOKUP($CT160,Budget!$A:$A,Budget!BT:BT)</f>
        <v>0</v>
      </c>
      <c r="DM160" s="106">
        <f>+_xlfn.XLOOKUP($CT160,Budget!$A:$A,Budget!BU:BU)</f>
        <v>0</v>
      </c>
      <c r="DN160" s="106">
        <f>+_xlfn.XLOOKUP($CT160,Budget!$A:$A,Budget!BV:BV)</f>
        <v>0</v>
      </c>
      <c r="DO160" s="106">
        <f>+_xlfn.XLOOKUP($CT160,Budget!$A:$A,Budget!BW:BW)</f>
        <v>0</v>
      </c>
      <c r="DP160" s="106">
        <f>+_xlfn.XLOOKUP($CT160,Budget!$A:$A,Budget!BX:BX)</f>
        <v>0</v>
      </c>
      <c r="DQ160" s="106">
        <f>+_xlfn.XLOOKUP($CT160,Budget!$A:$A,Budget!BY:BY)</f>
        <v>0</v>
      </c>
      <c r="DR160" s="106">
        <f>+_xlfn.XLOOKUP($CT160,Budget!$A:$A,Budget!BZ:BZ)</f>
        <v>0</v>
      </c>
      <c r="DS160" s="106">
        <f>+_xlfn.XLOOKUP($CT160,Budget!$A:$A,Budget!CA:CA)</f>
        <v>0</v>
      </c>
      <c r="DT160" s="106">
        <f>+_xlfn.XLOOKUP($CT160,Budget!$A:$A,Budget!CB:CB)</f>
        <v>0</v>
      </c>
      <c r="DU160" s="106">
        <f t="shared" si="1882"/>
        <v>0</v>
      </c>
    </row>
    <row r="161" spans="1:125" ht="14.45" hidden="1" customHeight="1" outlineLevel="2">
      <c r="A161" s="106">
        <f t="shared" si="1835"/>
        <v>973.61</v>
      </c>
      <c r="B161" s="106">
        <f t="shared" si="1836"/>
        <v>633.5</v>
      </c>
      <c r="C161" s="106">
        <f t="shared" si="1837"/>
        <v>179751.84</v>
      </c>
      <c r="D161" s="106">
        <f t="shared" si="1838"/>
        <v>300</v>
      </c>
      <c r="E161" s="106">
        <f t="shared" si="1839"/>
        <v>300</v>
      </c>
      <c r="F161" s="106">
        <f t="shared" si="1840"/>
        <v>300</v>
      </c>
      <c r="G161" s="106">
        <f t="shared" si="1841"/>
        <v>300</v>
      </c>
      <c r="H161" s="106">
        <f t="shared" si="1842"/>
        <v>300</v>
      </c>
      <c r="I161" s="106">
        <f t="shared" si="1843"/>
        <v>300</v>
      </c>
      <c r="J161" s="106">
        <f t="shared" si="1844"/>
        <v>300</v>
      </c>
      <c r="K161" s="106">
        <f t="shared" si="1845"/>
        <v>300</v>
      </c>
      <c r="L161" s="106">
        <f t="shared" si="1846"/>
        <v>300</v>
      </c>
      <c r="M161" s="106">
        <f t="shared" si="1847"/>
        <v>184058.94999999998</v>
      </c>
      <c r="N161" s="16" t="s">
        <v>134</v>
      </c>
      <c r="O161" s="106">
        <f t="shared" si="1848"/>
        <v>2300</v>
      </c>
      <c r="P161" s="106">
        <f t="shared" si="1849"/>
        <v>54520</v>
      </c>
      <c r="Q161" s="106">
        <f t="shared" si="1850"/>
        <v>31558.46</v>
      </c>
      <c r="R161" s="106">
        <f t="shared" si="1851"/>
        <v>1249.99</v>
      </c>
      <c r="S161" s="106">
        <f t="shared" si="1852"/>
        <v>6545.76</v>
      </c>
      <c r="T161" s="106">
        <f t="shared" si="1853"/>
        <v>300</v>
      </c>
      <c r="U161" s="106">
        <f t="shared" si="1854"/>
        <v>300</v>
      </c>
      <c r="V161" s="106">
        <f t="shared" si="1855"/>
        <v>12359.179</v>
      </c>
      <c r="W161" s="106">
        <f t="shared" si="1856"/>
        <v>45164.5</v>
      </c>
      <c r="X161" s="106">
        <f t="shared" si="1857"/>
        <v>36800.400000000001</v>
      </c>
      <c r="Y161" s="106">
        <f t="shared" si="1858"/>
        <v>0</v>
      </c>
      <c r="Z161" s="106">
        <f t="shared" si="1859"/>
        <v>0</v>
      </c>
      <c r="AA161" s="106">
        <f t="shared" si="1860"/>
        <v>191098.28899999999</v>
      </c>
      <c r="AB161" s="118">
        <f t="shared" si="1861"/>
        <v>2.2566725663716816</v>
      </c>
      <c r="AC161" s="106">
        <f t="shared" si="1862"/>
        <v>11300</v>
      </c>
      <c r="AD161" s="106">
        <f t="shared" si="1863"/>
        <v>11300</v>
      </c>
      <c r="AE161" s="106">
        <f t="shared" si="1864"/>
        <v>11300</v>
      </c>
      <c r="AF161" s="106">
        <f t="shared" si="1865"/>
        <v>11300</v>
      </c>
      <c r="AG161" s="106">
        <f t="shared" si="1866"/>
        <v>11300</v>
      </c>
      <c r="AH161" s="106">
        <f t="shared" si="1867"/>
        <v>11300</v>
      </c>
      <c r="AI161" s="106">
        <f t="shared" si="1868"/>
        <v>11300</v>
      </c>
      <c r="AJ161" s="106">
        <f t="shared" si="1869"/>
        <v>11300</v>
      </c>
      <c r="AK161" s="106">
        <f t="shared" si="1870"/>
        <v>11300</v>
      </c>
      <c r="AL161" s="106">
        <f t="shared" si="1871"/>
        <v>11300</v>
      </c>
      <c r="AM161" s="106">
        <f t="shared" si="1872"/>
        <v>11300</v>
      </c>
      <c r="AN161" s="106">
        <f t="shared" si="1873"/>
        <v>11300</v>
      </c>
      <c r="AO161" s="106">
        <f t="shared" si="1874"/>
        <v>135600</v>
      </c>
      <c r="AQ161" s="106">
        <v>300</v>
      </c>
      <c r="AR161" s="106">
        <v>300</v>
      </c>
      <c r="AS161" s="106">
        <v>179418.34</v>
      </c>
      <c r="AT161" s="106">
        <v>300</v>
      </c>
      <c r="AU161" s="106">
        <v>300</v>
      </c>
      <c r="AV161" s="106">
        <v>300</v>
      </c>
      <c r="AW161" s="106">
        <v>300</v>
      </c>
      <c r="AX161" s="106">
        <v>300</v>
      </c>
      <c r="AY161" s="106">
        <v>300</v>
      </c>
      <c r="AZ161" s="106">
        <v>300</v>
      </c>
      <c r="BA161" s="106">
        <v>300</v>
      </c>
      <c r="BB161" s="106">
        <v>300</v>
      </c>
      <c r="BC161" s="106">
        <f t="shared" si="1875"/>
        <v>182718.34</v>
      </c>
      <c r="BD161" s="16" t="str">
        <f t="shared" si="1532"/>
        <v>Repair and Maintenance - Machinery</v>
      </c>
      <c r="BE161" s="106">
        <f>+VLOOKUP($BD161,'Jan-25'!$A:$J,2,0)</f>
        <v>2300</v>
      </c>
      <c r="BF161" s="106">
        <f>+VLOOKUP($BD161,'Feb-25'!$A:$J,2,0)</f>
        <v>9520</v>
      </c>
      <c r="BG161" s="106">
        <f>+VLOOKUP($BD161,'Mar-25'!$A:$J,2,0)</f>
        <v>20011.86</v>
      </c>
      <c r="BH161" s="106">
        <f>+VLOOKUP($BD161,'Apr-25'!$A:$J,2,0)</f>
        <v>1249.99</v>
      </c>
      <c r="BI161" s="106">
        <f>+VLOOKUP($BD161,'May-25'!$A:$J,2,0)</f>
        <v>6545.76</v>
      </c>
      <c r="BJ161" s="106">
        <f>+VLOOKUP($BD161,'June-25'!$A:$J,2,0)</f>
        <v>300</v>
      </c>
      <c r="BK161" s="106">
        <f>+VLOOKUP($BD161,'July-25'!$A:$J,2,0)</f>
        <v>300</v>
      </c>
      <c r="BL161" s="106">
        <f>+VLOOKUP($BD161,'Aug-25'!$A:$J,2,0)</f>
        <v>9055.3119999999999</v>
      </c>
      <c r="BM161" s="106">
        <f>+VLOOKUP($BD161,'Sep-25'!$A:$J,2,0)</f>
        <v>22622</v>
      </c>
      <c r="BN161" s="106">
        <f>+VLOOKUP($BD161,'Oct-25'!$A:$J,2,0)</f>
        <v>17163.2</v>
      </c>
      <c r="BO161" s="106">
        <f>+VLOOKUP($BD161,'Nov-25'!$A:$J,2,0)</f>
        <v>0</v>
      </c>
      <c r="BP161" s="106">
        <f>+VLOOKUP($BD161,'Dec-25'!$A:$J,2,0)</f>
        <v>0</v>
      </c>
      <c r="BQ161" s="106">
        <f t="shared" si="1876"/>
        <v>89068.121999999988</v>
      </c>
      <c r="BR161" s="118">
        <f t="shared" si="1877"/>
        <v>56.210666666666668</v>
      </c>
      <c r="BS161" s="106" cm="1">
        <f t="array" ref="BS161:CD161">+_xlfn.XLOOKUP(BD161,Budget!A:A,Budget!Q:AB)</f>
        <v>300</v>
      </c>
      <c r="BT161" s="106">
        <v>300</v>
      </c>
      <c r="BU161" s="106">
        <v>300</v>
      </c>
      <c r="BV161" s="106">
        <v>300</v>
      </c>
      <c r="BW161" s="106">
        <v>300</v>
      </c>
      <c r="BX161" s="106">
        <v>300</v>
      </c>
      <c r="BY161" s="106">
        <v>300</v>
      </c>
      <c r="BZ161" s="106">
        <v>300</v>
      </c>
      <c r="CA161" s="106">
        <v>300</v>
      </c>
      <c r="CB161" s="106">
        <v>300</v>
      </c>
      <c r="CC161" s="106">
        <v>300</v>
      </c>
      <c r="CD161" s="106">
        <v>300</v>
      </c>
      <c r="CE161" s="106">
        <f t="shared" si="1878"/>
        <v>3600</v>
      </c>
      <c r="CF161" s="22"/>
      <c r="CG161" s="106">
        <v>673.61</v>
      </c>
      <c r="CH161" s="106">
        <v>333.5</v>
      </c>
      <c r="CI161" s="106">
        <v>333.5</v>
      </c>
      <c r="CJ161" s="106">
        <v>0</v>
      </c>
      <c r="CK161" s="106">
        <v>0</v>
      </c>
      <c r="CL161" s="106">
        <v>0</v>
      </c>
      <c r="CM161" s="106">
        <v>0</v>
      </c>
      <c r="CN161" s="106">
        <v>0</v>
      </c>
      <c r="CO161" s="106">
        <v>0</v>
      </c>
      <c r="CP161" s="106">
        <v>0</v>
      </c>
      <c r="CQ161" s="106">
        <v>0</v>
      </c>
      <c r="CR161" s="106">
        <v>0</v>
      </c>
      <c r="CS161" s="106">
        <f t="shared" si="1879"/>
        <v>1340.6100000000001</v>
      </c>
      <c r="CT161" s="16" t="str">
        <f t="shared" si="1536"/>
        <v>Repair and Maintenance - Machinery</v>
      </c>
      <c r="CU161" s="106">
        <f>+VLOOKUP($BD161,'Jan-25'!$A:$J,6,0)</f>
        <v>0</v>
      </c>
      <c r="CV161" s="106">
        <f>+VLOOKUP($BD161,'Feb-25'!$A:$J,6,0)</f>
        <v>45000</v>
      </c>
      <c r="CW161" s="106">
        <f>+VLOOKUP($BD161,'Mar-25'!$A:$J,6,0)</f>
        <v>11546.6</v>
      </c>
      <c r="CX161" s="106">
        <f>+VLOOKUP($BD161,'Apr-25'!$A:$J,6,0)</f>
        <v>0</v>
      </c>
      <c r="CY161" s="106">
        <f>+VLOOKUP($BD161,'May-25'!$A:$J,6,0)</f>
        <v>0</v>
      </c>
      <c r="CZ161" s="106">
        <f>+VLOOKUP($BD161,'June-25'!$A:$J,6,0)</f>
        <v>0</v>
      </c>
      <c r="DA161" s="106">
        <f>+VLOOKUP($BD161,'July-25'!$A:$J,6,0)</f>
        <v>0</v>
      </c>
      <c r="DB161" s="106">
        <f>+VLOOKUP($BD161,'Aug-25'!$A:$J,6,0)</f>
        <v>3303.8669999999997</v>
      </c>
      <c r="DC161" s="106">
        <f>+VLOOKUP($BD161,'Sep-25'!$A:$J,6,0)</f>
        <v>22542.5</v>
      </c>
      <c r="DD161" s="106">
        <f>+VLOOKUP($BD161,'Oct-25'!$A:$J,6,0)</f>
        <v>19637.2</v>
      </c>
      <c r="DE161" s="106">
        <f>+VLOOKUP($BD161,'Nov-25'!$A:$J,6,0)</f>
        <v>0</v>
      </c>
      <c r="DF161" s="106">
        <f>+VLOOKUP($BD161,'Dec-25'!$A:$J,6,0)</f>
        <v>0</v>
      </c>
      <c r="DG161" s="106">
        <f t="shared" si="1880"/>
        <v>102030.167</v>
      </c>
      <c r="DH161" s="118">
        <f t="shared" si="1881"/>
        <v>0.78520000000000012</v>
      </c>
      <c r="DI161" s="106">
        <f>+_xlfn.XLOOKUP($CT161,Budget!$A:$A,Budget!BQ:BQ)</f>
        <v>11000</v>
      </c>
      <c r="DJ161" s="106">
        <f>+_xlfn.XLOOKUP($CT161,Budget!$A:$A,Budget!BR:BR)</f>
        <v>11000</v>
      </c>
      <c r="DK161" s="106">
        <f>+_xlfn.XLOOKUP($CT161,Budget!$A:$A,Budget!BS:BS)</f>
        <v>11000</v>
      </c>
      <c r="DL161" s="106">
        <f>+_xlfn.XLOOKUP($CT161,Budget!$A:$A,Budget!BT:BT)</f>
        <v>11000</v>
      </c>
      <c r="DM161" s="106">
        <f>+_xlfn.XLOOKUP($CT161,Budget!$A:$A,Budget!BU:BU)</f>
        <v>11000</v>
      </c>
      <c r="DN161" s="106">
        <f>+_xlfn.XLOOKUP($CT161,Budget!$A:$A,Budget!BV:BV)</f>
        <v>11000</v>
      </c>
      <c r="DO161" s="106">
        <f>+_xlfn.XLOOKUP($CT161,Budget!$A:$A,Budget!BW:BW)</f>
        <v>11000</v>
      </c>
      <c r="DP161" s="106">
        <f>+_xlfn.XLOOKUP($CT161,Budget!$A:$A,Budget!BX:BX)</f>
        <v>11000</v>
      </c>
      <c r="DQ161" s="106">
        <f>+_xlfn.XLOOKUP($CT161,Budget!$A:$A,Budget!BY:BY)</f>
        <v>11000</v>
      </c>
      <c r="DR161" s="106">
        <f>+_xlfn.XLOOKUP($CT161,Budget!$A:$A,Budget!BZ:BZ)</f>
        <v>11000</v>
      </c>
      <c r="DS161" s="106">
        <f>+_xlfn.XLOOKUP($CT161,Budget!$A:$A,Budget!CA:CA)</f>
        <v>11000</v>
      </c>
      <c r="DT161" s="106">
        <f>+_xlfn.XLOOKUP($CT161,Budget!$A:$A,Budget!CB:CB)</f>
        <v>11000</v>
      </c>
      <c r="DU161" s="106">
        <f t="shared" si="1882"/>
        <v>132000</v>
      </c>
    </row>
    <row r="162" spans="1:125" ht="14.45" hidden="1" customHeight="1" outlineLevel="2">
      <c r="A162" s="106">
        <f t="shared" si="1835"/>
        <v>48284.460000000006</v>
      </c>
      <c r="B162" s="106">
        <f t="shared" si="1836"/>
        <v>36171.5</v>
      </c>
      <c r="C162" s="106">
        <f t="shared" si="1837"/>
        <v>41406.17</v>
      </c>
      <c r="D162" s="106">
        <f t="shared" si="1838"/>
        <v>67020.5</v>
      </c>
      <c r="E162" s="106">
        <f t="shared" si="1839"/>
        <v>36119.78</v>
      </c>
      <c r="F162" s="106">
        <f t="shared" si="1840"/>
        <v>86100.11</v>
      </c>
      <c r="G162" s="106">
        <f t="shared" si="1841"/>
        <v>38096.5</v>
      </c>
      <c r="H162" s="106">
        <f t="shared" si="1842"/>
        <v>72743.149999999994</v>
      </c>
      <c r="I162" s="106">
        <f t="shared" si="1843"/>
        <v>30700.39</v>
      </c>
      <c r="J162" s="106">
        <f t="shared" si="1844"/>
        <v>17185.150000000001</v>
      </c>
      <c r="K162" s="106">
        <f t="shared" si="1845"/>
        <v>4975</v>
      </c>
      <c r="L162" s="106">
        <f t="shared" si="1846"/>
        <v>37114.39</v>
      </c>
      <c r="M162" s="106">
        <f t="shared" si="1847"/>
        <v>515917.10000000009</v>
      </c>
      <c r="N162" s="16" t="s">
        <v>135</v>
      </c>
      <c r="O162" s="106">
        <f t="shared" si="1848"/>
        <v>15167.475999999999</v>
      </c>
      <c r="P162" s="106">
        <f t="shared" si="1849"/>
        <v>104963.73449999999</v>
      </c>
      <c r="Q162" s="106">
        <f t="shared" si="1850"/>
        <v>18295.169999999998</v>
      </c>
      <c r="R162" s="106">
        <f t="shared" si="1851"/>
        <v>11890.17</v>
      </c>
      <c r="S162" s="106">
        <f t="shared" si="1852"/>
        <v>20740.169999999998</v>
      </c>
      <c r="T162" s="106">
        <f t="shared" si="1853"/>
        <v>32115.17</v>
      </c>
      <c r="U162" s="106">
        <f t="shared" si="1854"/>
        <v>102777.05666666667</v>
      </c>
      <c r="V162" s="106">
        <f t="shared" si="1855"/>
        <v>73790</v>
      </c>
      <c r="W162" s="106">
        <f t="shared" si="1856"/>
        <v>195854.49</v>
      </c>
      <c r="X162" s="106">
        <f t="shared" si="1857"/>
        <v>59836.5</v>
      </c>
      <c r="Y162" s="106">
        <f t="shared" si="1858"/>
        <v>0</v>
      </c>
      <c r="Z162" s="106">
        <f t="shared" si="1859"/>
        <v>0</v>
      </c>
      <c r="AA162" s="106">
        <f t="shared" si="1860"/>
        <v>635429.93716666661</v>
      </c>
      <c r="AB162" s="118">
        <f t="shared" si="1861"/>
        <v>1.2760978943098964</v>
      </c>
      <c r="AC162" s="106">
        <f t="shared" si="1862"/>
        <v>30037.210863333334</v>
      </c>
      <c r="AD162" s="106">
        <f t="shared" si="1863"/>
        <v>30037.210863333334</v>
      </c>
      <c r="AE162" s="106">
        <f t="shared" si="1864"/>
        <v>30037.210863333334</v>
      </c>
      <c r="AF162" s="106">
        <f t="shared" si="1865"/>
        <v>30037.210863333334</v>
      </c>
      <c r="AG162" s="106">
        <f t="shared" si="1866"/>
        <v>30037.210863333334</v>
      </c>
      <c r="AH162" s="106">
        <f t="shared" si="1867"/>
        <v>30037.210863333334</v>
      </c>
      <c r="AI162" s="106">
        <f t="shared" si="1868"/>
        <v>30037.210863333334</v>
      </c>
      <c r="AJ162" s="106">
        <f t="shared" si="1869"/>
        <v>30037.210863333334</v>
      </c>
      <c r="AK162" s="106">
        <f t="shared" si="1870"/>
        <v>25397.825895833335</v>
      </c>
      <c r="AL162" s="106">
        <f t="shared" si="1871"/>
        <v>26289.071374999967</v>
      </c>
      <c r="AM162" s="106">
        <f t="shared" si="1872"/>
        <v>26289.071374999967</v>
      </c>
      <c r="AN162" s="106">
        <f t="shared" si="1873"/>
        <v>26289.071374999967</v>
      </c>
      <c r="AO162" s="106">
        <f t="shared" si="1874"/>
        <v>344562.72692749987</v>
      </c>
      <c r="AQ162" s="106">
        <v>39012.160000000003</v>
      </c>
      <c r="AR162" s="106">
        <v>24834</v>
      </c>
      <c r="AS162" s="106">
        <v>31764.92</v>
      </c>
      <c r="AT162" s="106">
        <v>59358</v>
      </c>
      <c r="AU162" s="106">
        <v>28157.279999999999</v>
      </c>
      <c r="AV162" s="106">
        <v>78412.61</v>
      </c>
      <c r="AW162" s="106">
        <v>26384</v>
      </c>
      <c r="AX162" s="106">
        <v>38640.199999999997</v>
      </c>
      <c r="AY162" s="106">
        <v>27075.39</v>
      </c>
      <c r="AZ162" s="106">
        <v>5649.2</v>
      </c>
      <c r="BA162" s="106">
        <v>0</v>
      </c>
      <c r="BB162" s="106">
        <v>32083.440000000002</v>
      </c>
      <c r="BC162" s="106">
        <f t="shared" si="1875"/>
        <v>391371.20000000007</v>
      </c>
      <c r="BD162" s="16" t="str">
        <f t="shared" si="1532"/>
        <v>Repair and Maintenance - Others</v>
      </c>
      <c r="BE162" s="106">
        <f>+VLOOKUP($BD162,'Jan-25'!$A:$J,2,0)</f>
        <v>8498.4079999999994</v>
      </c>
      <c r="BF162" s="106">
        <f>+VLOOKUP($BD162,'Feb-25'!$A:$J,2,0)</f>
        <v>86398.725999999995</v>
      </c>
      <c r="BG162" s="106">
        <f>+VLOOKUP($BD162,'Mar-25'!$A:$J,2,0)</f>
        <v>17045.169999999998</v>
      </c>
      <c r="BH162" s="106">
        <f>+VLOOKUP($BD162,'Apr-25'!$A:$J,2,0)</f>
        <v>9640.17</v>
      </c>
      <c r="BI162" s="106">
        <f>+VLOOKUP($BD162,'May-25'!$A:$J,2,0)</f>
        <v>19940.169999999998</v>
      </c>
      <c r="BJ162" s="106">
        <f>+VLOOKUP($BD162,'June-25'!$A:$J,2,0)</f>
        <v>28990.17</v>
      </c>
      <c r="BK162" s="106">
        <f>+VLOOKUP($BD162,'July-25'!$A:$J,2,0)</f>
        <v>15764.74666666667</v>
      </c>
      <c r="BL162" s="106">
        <f>+VLOOKUP($BD162,'Aug-25'!$A:$J,2,0)</f>
        <v>56140</v>
      </c>
      <c r="BM162" s="106">
        <f>+VLOOKUP($BD162,'Sep-25'!$A:$J,2,0)</f>
        <v>44834.49</v>
      </c>
      <c r="BN162" s="106">
        <f>+VLOOKUP($BD162,'Oct-25'!$A:$J,2,0)</f>
        <v>30945.5</v>
      </c>
      <c r="BO162" s="106">
        <f>+VLOOKUP($BD162,'Nov-25'!$A:$J,2,0)</f>
        <v>0</v>
      </c>
      <c r="BP162" s="106">
        <f>+VLOOKUP($BD162,'Dec-25'!$A:$J,2,0)</f>
        <v>0</v>
      </c>
      <c r="BQ162" s="106">
        <f t="shared" si="1876"/>
        <v>318197.55066666665</v>
      </c>
      <c r="BR162" s="118">
        <f t="shared" si="1877"/>
        <v>0.65341117856001185</v>
      </c>
      <c r="BS162" s="106" cm="1">
        <f t="array" ref="BS162:CD162">+_xlfn.XLOOKUP(BD162,Budget!A:A,Budget!Q:AB)</f>
        <v>17824.909583333334</v>
      </c>
      <c r="BT162" s="106">
        <v>17824.909583333334</v>
      </c>
      <c r="BU162" s="106">
        <v>17824.909583333334</v>
      </c>
      <c r="BV162" s="106">
        <v>17824.909583333334</v>
      </c>
      <c r="BW162" s="106">
        <v>17824.909583333334</v>
      </c>
      <c r="BX162" s="106">
        <v>17824.909583333334</v>
      </c>
      <c r="BY162" s="106">
        <v>17824.909583333334</v>
      </c>
      <c r="BZ162" s="106">
        <v>17824.909583333334</v>
      </c>
      <c r="CA162" s="106">
        <v>17824.909583333334</v>
      </c>
      <c r="CB162" s="106">
        <v>18716.155062499965</v>
      </c>
      <c r="CC162" s="106">
        <v>18716.155062499965</v>
      </c>
      <c r="CD162" s="106">
        <v>18716.155062499965</v>
      </c>
      <c r="CE162" s="106">
        <f t="shared" si="1878"/>
        <v>216572.65143749991</v>
      </c>
      <c r="CF162" s="22"/>
      <c r="CG162" s="106">
        <v>9272.2999999999993</v>
      </c>
      <c r="CH162" s="106">
        <v>11337.5</v>
      </c>
      <c r="CI162" s="106">
        <v>9641.25</v>
      </c>
      <c r="CJ162" s="106">
        <v>7662.5</v>
      </c>
      <c r="CK162" s="106">
        <v>7962.5</v>
      </c>
      <c r="CL162" s="106">
        <v>7687.5</v>
      </c>
      <c r="CM162" s="106">
        <v>11712.5</v>
      </c>
      <c r="CN162" s="106">
        <v>34102.949999999997</v>
      </c>
      <c r="CO162" s="106">
        <v>3625</v>
      </c>
      <c r="CP162" s="106">
        <v>11535.95</v>
      </c>
      <c r="CQ162" s="106">
        <v>4975</v>
      </c>
      <c r="CR162" s="106">
        <v>5030.95</v>
      </c>
      <c r="CS162" s="106">
        <f t="shared" si="1879"/>
        <v>124545.9</v>
      </c>
      <c r="CT162" s="16" t="str">
        <f t="shared" si="1536"/>
        <v>Repair and Maintenance - Others</v>
      </c>
      <c r="CU162" s="106">
        <f>+VLOOKUP($BD162,'Jan-25'!$A:$J,6,0)</f>
        <v>6669.0680000000002</v>
      </c>
      <c r="CV162" s="106">
        <f>+VLOOKUP($BD162,'Feb-25'!$A:$J,6,0)</f>
        <v>18565.0085</v>
      </c>
      <c r="CW162" s="106">
        <f>+VLOOKUP($BD162,'Mar-25'!$A:$J,6,0)</f>
        <v>1250</v>
      </c>
      <c r="CX162" s="106">
        <f>+VLOOKUP($BD162,'Apr-25'!$A:$J,6,0)</f>
        <v>2250</v>
      </c>
      <c r="CY162" s="106">
        <f>+VLOOKUP($BD162,'May-25'!$A:$J,6,0)</f>
        <v>800</v>
      </c>
      <c r="CZ162" s="106">
        <f>+VLOOKUP($BD162,'June-25'!$A:$J,6,0)</f>
        <v>3125</v>
      </c>
      <c r="DA162" s="106">
        <f>+VLOOKUP($BD162,'July-25'!$A:$J,6,0)</f>
        <v>87012.31</v>
      </c>
      <c r="DB162" s="106">
        <f>+VLOOKUP($BD162,'Aug-25'!$A:$J,6,0)</f>
        <v>17650</v>
      </c>
      <c r="DC162" s="106">
        <f>+VLOOKUP($BD162,'Sep-25'!$A:$J,6,0)</f>
        <v>151020</v>
      </c>
      <c r="DD162" s="106">
        <f>+VLOOKUP($BD162,'Oct-25'!$A:$J,6,0)</f>
        <v>28891</v>
      </c>
      <c r="DE162" s="106">
        <f>+VLOOKUP($BD162,'Nov-25'!$A:$J,6,0)</f>
        <v>0</v>
      </c>
      <c r="DF162" s="106">
        <f>+VLOOKUP($BD162,'Dec-25'!$A:$J,6,0)</f>
        <v>0</v>
      </c>
      <c r="DG162" s="106">
        <f t="shared" si="1880"/>
        <v>317232.38650000002</v>
      </c>
      <c r="DH162" s="118">
        <f t="shared" si="1881"/>
        <v>2.8150428194105306</v>
      </c>
      <c r="DI162" s="106">
        <f>+_xlfn.XLOOKUP($CT162,Budget!$A:$A,Budget!BQ:BQ)</f>
        <v>12212.30128</v>
      </c>
      <c r="DJ162" s="106">
        <f>+_xlfn.XLOOKUP($CT162,Budget!$A:$A,Budget!BR:BR)</f>
        <v>12212.30128</v>
      </c>
      <c r="DK162" s="106">
        <f>+_xlfn.XLOOKUP($CT162,Budget!$A:$A,Budget!BS:BS)</f>
        <v>12212.30128</v>
      </c>
      <c r="DL162" s="106">
        <f>+_xlfn.XLOOKUP($CT162,Budget!$A:$A,Budget!BT:BT)</f>
        <v>12212.30128</v>
      </c>
      <c r="DM162" s="106">
        <f>+_xlfn.XLOOKUP($CT162,Budget!$A:$A,Budget!BU:BU)</f>
        <v>12212.30128</v>
      </c>
      <c r="DN162" s="106">
        <f>+_xlfn.XLOOKUP($CT162,Budget!$A:$A,Budget!BV:BV)</f>
        <v>12212.30128</v>
      </c>
      <c r="DO162" s="106">
        <f>+_xlfn.XLOOKUP($CT162,Budget!$A:$A,Budget!BW:BW)</f>
        <v>12212.30128</v>
      </c>
      <c r="DP162" s="106">
        <f>+_xlfn.XLOOKUP($CT162,Budget!$A:$A,Budget!BX:BX)</f>
        <v>12212.30128</v>
      </c>
      <c r="DQ162" s="106">
        <f>+_xlfn.XLOOKUP($CT162,Budget!$A:$A,Budget!BY:BY)</f>
        <v>7572.9163125000005</v>
      </c>
      <c r="DR162" s="106">
        <f>+_xlfn.XLOOKUP($CT162,Budget!$A:$A,Budget!BZ:BZ)</f>
        <v>7572.9163125000005</v>
      </c>
      <c r="DS162" s="106">
        <f>+_xlfn.XLOOKUP($CT162,Budget!$A:$A,Budget!CA:CA)</f>
        <v>7572.9163125000005</v>
      </c>
      <c r="DT162" s="106">
        <f>+_xlfn.XLOOKUP($CT162,Budget!$A:$A,Budget!CB:CB)</f>
        <v>7572.9163125000005</v>
      </c>
      <c r="DU162" s="106">
        <f t="shared" si="1882"/>
        <v>127990.07549000002</v>
      </c>
    </row>
    <row r="163" spans="1:125" ht="14.45" hidden="1" customHeight="1" outlineLevel="2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18">
        <f t="shared" si="1861"/>
        <v>0</v>
      </c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  <c r="BC163" s="106"/>
      <c r="BD163" s="16">
        <f t="shared" si="1532"/>
        <v>0</v>
      </c>
      <c r="BE163" s="106"/>
      <c r="BF163" s="106"/>
      <c r="BG163" s="106"/>
      <c r="BH163" s="106"/>
      <c r="BI163" s="106"/>
      <c r="BJ163" s="106"/>
      <c r="BK163" s="106"/>
      <c r="BL163" s="106"/>
      <c r="BM163" s="106"/>
      <c r="BN163" s="106"/>
      <c r="BO163" s="106"/>
      <c r="BP163" s="106"/>
      <c r="BQ163" s="106"/>
      <c r="BR163" s="118">
        <f t="shared" si="1877"/>
        <v>0</v>
      </c>
      <c r="BS163" s="106"/>
      <c r="BT163" s="106"/>
      <c r="BU163" s="106"/>
      <c r="BV163" s="106"/>
      <c r="BW163" s="106"/>
      <c r="BX163" s="106"/>
      <c r="BY163" s="106"/>
      <c r="BZ163" s="106"/>
      <c r="CA163" s="106"/>
      <c r="CB163" s="106"/>
      <c r="CC163" s="106"/>
      <c r="CD163" s="106"/>
      <c r="CE163" s="106"/>
      <c r="CF163" s="22"/>
      <c r="CG163" s="106"/>
      <c r="CH163" s="106"/>
      <c r="CI163" s="106"/>
      <c r="CJ163" s="106"/>
      <c r="CK163" s="106"/>
      <c r="CL163" s="106"/>
      <c r="CM163" s="106"/>
      <c r="CN163" s="106"/>
      <c r="CO163" s="106"/>
      <c r="CP163" s="106"/>
      <c r="CQ163" s="106"/>
      <c r="CR163" s="106"/>
      <c r="CS163" s="106"/>
      <c r="CT163" s="16">
        <f t="shared" si="1536"/>
        <v>0</v>
      </c>
      <c r="CU163" s="106"/>
      <c r="CV163" s="106"/>
      <c r="CW163" s="106"/>
      <c r="CX163" s="106"/>
      <c r="CY163" s="106"/>
      <c r="CZ163" s="106"/>
      <c r="DA163" s="106"/>
      <c r="DB163" s="106"/>
      <c r="DC163" s="106"/>
      <c r="DD163" s="106"/>
      <c r="DE163" s="106"/>
      <c r="DF163" s="106"/>
      <c r="DG163" s="106"/>
      <c r="DH163" s="118">
        <f t="shared" si="1881"/>
        <v>0</v>
      </c>
      <c r="DI163" s="106"/>
      <c r="DJ163" s="106"/>
      <c r="DK163" s="106"/>
      <c r="DL163" s="106"/>
      <c r="DM163" s="106"/>
      <c r="DN163" s="106"/>
      <c r="DO163" s="106"/>
      <c r="DP163" s="106"/>
      <c r="DQ163" s="106"/>
      <c r="DR163" s="106"/>
      <c r="DS163" s="106"/>
      <c r="DT163" s="106"/>
      <c r="DU163" s="106"/>
    </row>
    <row r="164" spans="1:125" ht="14.45" customHeight="1" outlineLevel="1" collapsed="1">
      <c r="A164" s="58">
        <f t="shared" ref="A164:L164" si="1883">+SUM(A165:A171)</f>
        <v>42919.288500000002</v>
      </c>
      <c r="B164" s="58">
        <f t="shared" si="1883"/>
        <v>49425.23</v>
      </c>
      <c r="C164" s="58">
        <f t="shared" si="1883"/>
        <v>18560.129999999997</v>
      </c>
      <c r="D164" s="58">
        <f t="shared" si="1883"/>
        <v>30420.29</v>
      </c>
      <c r="E164" s="58">
        <f t="shared" si="1883"/>
        <v>40412.211000000003</v>
      </c>
      <c r="F164" s="58">
        <f t="shared" si="1883"/>
        <v>38565.040000000001</v>
      </c>
      <c r="G164" s="58">
        <f t="shared" si="1883"/>
        <v>71384.060500000007</v>
      </c>
      <c r="H164" s="58">
        <f t="shared" si="1883"/>
        <v>51569.843999999997</v>
      </c>
      <c r="I164" s="58">
        <f t="shared" si="1883"/>
        <v>186122.57599999997</v>
      </c>
      <c r="J164" s="58">
        <f t="shared" si="1883"/>
        <v>141675.77600000001</v>
      </c>
      <c r="K164" s="58">
        <f t="shared" si="1883"/>
        <v>105685.58299999998</v>
      </c>
      <c r="L164" s="58">
        <f t="shared" si="1883"/>
        <v>46325.86</v>
      </c>
      <c r="M164" s="58"/>
      <c r="N164" s="20" t="s">
        <v>136</v>
      </c>
      <c r="O164" s="58">
        <f t="shared" ref="O164" si="1884">+SUM(O165:O171)</f>
        <v>150017.25</v>
      </c>
      <c r="P164" s="58">
        <f t="shared" ref="P164" si="1885">+SUM(P165:P171)</f>
        <v>83278.2745</v>
      </c>
      <c r="Q164" s="58">
        <f t="shared" ref="Q164" si="1886">+SUM(Q165:Q171)</f>
        <v>12813.7785</v>
      </c>
      <c r="R164" s="58">
        <f t="shared" ref="R164" si="1887">+SUM(R165:R171)</f>
        <v>193294.71000000002</v>
      </c>
      <c r="S164" s="58">
        <f t="shared" ref="S164" si="1888">+SUM(S165:S171)</f>
        <v>119058.75199999999</v>
      </c>
      <c r="T164" s="58">
        <f t="shared" ref="T164" si="1889">+SUM(T165:T171)</f>
        <v>60895.603499999997</v>
      </c>
      <c r="U164" s="58">
        <f t="shared" ref="U164" si="1890">+SUM(U165:U171)</f>
        <v>45778.441500000001</v>
      </c>
      <c r="V164" s="58">
        <f t="shared" ref="V164" si="1891">+SUM(V165:V171)</f>
        <v>44888.607499999998</v>
      </c>
      <c r="W164" s="58">
        <f t="shared" ref="W164" si="1892">+SUM(W165:W171)</f>
        <v>31317.95</v>
      </c>
      <c r="X164" s="58">
        <f t="shared" ref="X164" si="1893">+SUM(X165:X171)</f>
        <v>29156.010000000002</v>
      </c>
      <c r="Y164" s="58">
        <f t="shared" ref="Y164" si="1894">+SUM(Y165:Y171)</f>
        <v>0</v>
      </c>
      <c r="Z164" s="58">
        <f t="shared" ref="Z164:AA164" si="1895">+SUM(Z165:Z171)</f>
        <v>0</v>
      </c>
      <c r="AA164" s="58">
        <f t="shared" si="1895"/>
        <v>770499.37750000006</v>
      </c>
      <c r="AB164" s="118">
        <f t="shared" si="1861"/>
        <v>9.335037500000018E-2</v>
      </c>
      <c r="AC164" s="58">
        <f t="shared" ref="AC164" si="1896">+SUM(AC165:AC171)</f>
        <v>17666.666666666668</v>
      </c>
      <c r="AD164" s="58">
        <f t="shared" ref="AD164" si="1897">+SUM(AD165:AD171)</f>
        <v>17666.666666666668</v>
      </c>
      <c r="AE164" s="58">
        <f t="shared" ref="AE164" si="1898">+SUM(AE165:AE171)</f>
        <v>17666.666666666668</v>
      </c>
      <c r="AF164" s="58">
        <f t="shared" ref="AF164" si="1899">+SUM(AF165:AF171)</f>
        <v>17666.666666666668</v>
      </c>
      <c r="AG164" s="58">
        <f t="shared" ref="AG164" si="1900">+SUM(AG165:AG171)</f>
        <v>17666.666666666668</v>
      </c>
      <c r="AH164" s="58">
        <f t="shared" ref="AH164" si="1901">+SUM(AH165:AH171)</f>
        <v>17666.666666666668</v>
      </c>
      <c r="AI164" s="58">
        <f t="shared" ref="AI164" si="1902">+SUM(AI165:AI171)</f>
        <v>17666.666666666668</v>
      </c>
      <c r="AJ164" s="58">
        <f t="shared" ref="AJ164" si="1903">+SUM(AJ165:AJ171)</f>
        <v>17666.666666666668</v>
      </c>
      <c r="AK164" s="58">
        <f t="shared" ref="AK164" si="1904">+SUM(AK165:AK171)</f>
        <v>17666.666666666668</v>
      </c>
      <c r="AL164" s="58">
        <f t="shared" ref="AL164" si="1905">+SUM(AL165:AL171)</f>
        <v>26666.666666666664</v>
      </c>
      <c r="AM164" s="58">
        <f t="shared" ref="AM164" si="1906">+SUM(AM165:AM171)</f>
        <v>17666.666666666668</v>
      </c>
      <c r="AN164" s="58">
        <f t="shared" ref="AN164" si="1907">+SUM(AN165:AN171)</f>
        <v>17666.666666666668</v>
      </c>
      <c r="AO164" s="58"/>
      <c r="AQ164" s="58">
        <f t="shared" ref="AQ164:BC164" si="1908">+SUM(AQ165:AQ171)</f>
        <v>38518.918000000005</v>
      </c>
      <c r="AR164" s="58">
        <f t="shared" si="1908"/>
        <v>40605.072</v>
      </c>
      <c r="AS164" s="58">
        <f t="shared" si="1908"/>
        <v>17735.129999999997</v>
      </c>
      <c r="AT164" s="58">
        <f t="shared" si="1908"/>
        <v>26110.29</v>
      </c>
      <c r="AU164" s="58">
        <f t="shared" si="1908"/>
        <v>34772.088000000003</v>
      </c>
      <c r="AV164" s="58">
        <f t="shared" si="1908"/>
        <v>34736.199999999997</v>
      </c>
      <c r="AW164" s="58">
        <f t="shared" si="1908"/>
        <v>62341.004000000001</v>
      </c>
      <c r="AX164" s="58">
        <f t="shared" si="1908"/>
        <v>47871.062000000005</v>
      </c>
      <c r="AY164" s="58">
        <f t="shared" si="1908"/>
        <v>173180.82800000001</v>
      </c>
      <c r="AZ164" s="58">
        <f t="shared" si="1908"/>
        <v>119774.178</v>
      </c>
      <c r="BA164" s="58">
        <f t="shared" si="1908"/>
        <v>82336.703999999998</v>
      </c>
      <c r="BB164" s="58">
        <f t="shared" si="1908"/>
        <v>43706.83</v>
      </c>
      <c r="BC164" s="58">
        <f t="shared" si="1908"/>
        <v>721688.304</v>
      </c>
      <c r="BD164" s="20" t="str">
        <f t="shared" si="1532"/>
        <v>Company Vehicle Expenses</v>
      </c>
      <c r="BE164" s="58">
        <f t="shared" ref="BE164:BQ164" si="1909">+SUM(BE165:BE171)</f>
        <v>47235.05</v>
      </c>
      <c r="BF164" s="58">
        <f t="shared" si="1909"/>
        <v>76540.665999999997</v>
      </c>
      <c r="BG164" s="58">
        <f t="shared" si="1909"/>
        <v>11346.828000000001</v>
      </c>
      <c r="BH164" s="58">
        <f t="shared" si="1909"/>
        <v>63607.19</v>
      </c>
      <c r="BI164" s="58">
        <f t="shared" si="1909"/>
        <v>89315.456000000006</v>
      </c>
      <c r="BJ164" s="58">
        <f t="shared" si="1909"/>
        <v>54215.928</v>
      </c>
      <c r="BK164" s="58">
        <f t="shared" si="1909"/>
        <v>40559.712</v>
      </c>
      <c r="BL164" s="58">
        <f t="shared" si="1909"/>
        <v>36936.229999999996</v>
      </c>
      <c r="BM164" s="58">
        <f t="shared" si="1909"/>
        <v>31317.95</v>
      </c>
      <c r="BN164" s="58">
        <f t="shared" si="1909"/>
        <v>29156.010000000002</v>
      </c>
      <c r="BO164" s="58">
        <f t="shared" si="1909"/>
        <v>0</v>
      </c>
      <c r="BP164" s="58">
        <f t="shared" si="1909"/>
        <v>0</v>
      </c>
      <c r="BQ164" s="58">
        <f t="shared" si="1909"/>
        <v>480231.02</v>
      </c>
      <c r="BR164" s="118">
        <f t="shared" si="1877"/>
        <v>9.335037500000018E-2</v>
      </c>
      <c r="BS164" s="58">
        <f t="shared" ref="BS164:CE164" si="1910">+SUM(BS165:BS171)</f>
        <v>17666.666666666668</v>
      </c>
      <c r="BT164" s="58">
        <f t="shared" si="1910"/>
        <v>17666.666666666668</v>
      </c>
      <c r="BU164" s="58">
        <f t="shared" si="1910"/>
        <v>17666.666666666668</v>
      </c>
      <c r="BV164" s="58">
        <f t="shared" si="1910"/>
        <v>17666.666666666668</v>
      </c>
      <c r="BW164" s="58">
        <f t="shared" si="1910"/>
        <v>17666.666666666668</v>
      </c>
      <c r="BX164" s="58">
        <f t="shared" si="1910"/>
        <v>17666.666666666668</v>
      </c>
      <c r="BY164" s="58">
        <f t="shared" si="1910"/>
        <v>17666.666666666668</v>
      </c>
      <c r="BZ164" s="58">
        <f t="shared" si="1910"/>
        <v>17666.666666666668</v>
      </c>
      <c r="CA164" s="58">
        <f t="shared" si="1910"/>
        <v>17666.666666666668</v>
      </c>
      <c r="CB164" s="58">
        <f t="shared" si="1910"/>
        <v>26666.666666666664</v>
      </c>
      <c r="CC164" s="58">
        <f t="shared" si="1910"/>
        <v>17666.666666666668</v>
      </c>
      <c r="CD164" s="58">
        <f t="shared" si="1910"/>
        <v>17666.666666666668</v>
      </c>
      <c r="CE164" s="58">
        <f t="shared" si="1910"/>
        <v>221000</v>
      </c>
      <c r="CF164" s="22"/>
      <c r="CG164" s="58">
        <f t="shared" ref="CG164:CS164" si="1911">+SUM(CG165:CG171)</f>
        <v>4400.3705</v>
      </c>
      <c r="CH164" s="58">
        <f t="shared" si="1911"/>
        <v>8820.1579999999994</v>
      </c>
      <c r="CI164" s="58">
        <f t="shared" si="1911"/>
        <v>825</v>
      </c>
      <c r="CJ164" s="58">
        <f t="shared" si="1911"/>
        <v>4310</v>
      </c>
      <c r="CK164" s="58">
        <f t="shared" si="1911"/>
        <v>5640.1229999999996</v>
      </c>
      <c r="CL164" s="58">
        <f t="shared" si="1911"/>
        <v>3828.8399999999997</v>
      </c>
      <c r="CM164" s="58">
        <f t="shared" si="1911"/>
        <v>9043.0564999999988</v>
      </c>
      <c r="CN164" s="58">
        <f t="shared" si="1911"/>
        <v>3698.7820000000002</v>
      </c>
      <c r="CO164" s="58">
        <f t="shared" si="1911"/>
        <v>12941.748000000001</v>
      </c>
      <c r="CP164" s="58">
        <f t="shared" si="1911"/>
        <v>21901.597999999998</v>
      </c>
      <c r="CQ164" s="58">
        <f t="shared" si="1911"/>
        <v>23348.878999999997</v>
      </c>
      <c r="CR164" s="58">
        <f t="shared" si="1911"/>
        <v>2619.0300000000002</v>
      </c>
      <c r="CS164" s="58">
        <f t="shared" si="1911"/>
        <v>101377.58499999999</v>
      </c>
      <c r="CT164" s="20" t="str">
        <f t="shared" si="1536"/>
        <v>Company Vehicle Expenses</v>
      </c>
      <c r="CU164" s="58">
        <f t="shared" ref="CU164:DG164" si="1912">+SUM(CU165:CU171)</f>
        <v>102782.2</v>
      </c>
      <c r="CV164" s="58">
        <f t="shared" si="1912"/>
        <v>6737.6084999999994</v>
      </c>
      <c r="CW164" s="58">
        <f t="shared" si="1912"/>
        <v>1466.9504999999995</v>
      </c>
      <c r="CX164" s="58">
        <f t="shared" si="1912"/>
        <v>129687.52</v>
      </c>
      <c r="CY164" s="58">
        <f t="shared" si="1912"/>
        <v>29743.295999999998</v>
      </c>
      <c r="CZ164" s="58">
        <f t="shared" si="1912"/>
        <v>6679.6754999999994</v>
      </c>
      <c r="DA164" s="58">
        <f t="shared" si="1912"/>
        <v>5218.7294999999995</v>
      </c>
      <c r="DB164" s="58">
        <f t="shared" si="1912"/>
        <v>7952.3774999999996</v>
      </c>
      <c r="DC164" s="58">
        <f t="shared" si="1912"/>
        <v>0</v>
      </c>
      <c r="DD164" s="58">
        <f t="shared" si="1912"/>
        <v>0</v>
      </c>
      <c r="DE164" s="58">
        <f t="shared" si="1912"/>
        <v>0</v>
      </c>
      <c r="DF164" s="58">
        <f t="shared" si="1912"/>
        <v>0</v>
      </c>
      <c r="DG164" s="58">
        <f t="shared" si="1912"/>
        <v>290268.35749999998</v>
      </c>
      <c r="DH164" s="118">
        <f t="shared" si="1881"/>
        <v>0</v>
      </c>
      <c r="DI164" s="58">
        <f t="shared" ref="DI164:DU164" si="1913">+SUM(DI165:DI171)</f>
        <v>0</v>
      </c>
      <c r="DJ164" s="58">
        <f t="shared" si="1913"/>
        <v>0</v>
      </c>
      <c r="DK164" s="58">
        <f t="shared" si="1913"/>
        <v>0</v>
      </c>
      <c r="DL164" s="58">
        <f t="shared" si="1913"/>
        <v>0</v>
      </c>
      <c r="DM164" s="58">
        <f t="shared" si="1913"/>
        <v>0</v>
      </c>
      <c r="DN164" s="58">
        <f t="shared" si="1913"/>
        <v>0</v>
      </c>
      <c r="DO164" s="58">
        <f t="shared" si="1913"/>
        <v>0</v>
      </c>
      <c r="DP164" s="58">
        <f t="shared" si="1913"/>
        <v>0</v>
      </c>
      <c r="DQ164" s="58">
        <f t="shared" si="1913"/>
        <v>0</v>
      </c>
      <c r="DR164" s="58">
        <f t="shared" si="1913"/>
        <v>0</v>
      </c>
      <c r="DS164" s="58">
        <f t="shared" si="1913"/>
        <v>0</v>
      </c>
      <c r="DT164" s="58">
        <f t="shared" si="1913"/>
        <v>0</v>
      </c>
      <c r="DU164" s="58">
        <f t="shared" si="1913"/>
        <v>0</v>
      </c>
    </row>
    <row r="165" spans="1:125" ht="14.45" hidden="1" customHeight="1" outlineLevel="2">
      <c r="A165" s="106">
        <f t="shared" ref="A165:A171" si="1914">+AQ165+CG165</f>
        <v>27828.038500000002</v>
      </c>
      <c r="B165" s="106">
        <f t="shared" ref="B165:B171" si="1915">+AR165+CH165</f>
        <v>36659.68</v>
      </c>
      <c r="C165" s="106">
        <f t="shared" ref="C165:C171" si="1916">+AS165+CI165</f>
        <v>18560.129999999997</v>
      </c>
      <c r="D165" s="106">
        <f t="shared" ref="D165:D171" si="1917">+AT165+CJ165</f>
        <v>24360.29</v>
      </c>
      <c r="E165" s="106">
        <f t="shared" ref="E165:E171" si="1918">+AU165+CK165</f>
        <v>29625.63</v>
      </c>
      <c r="F165" s="106">
        <f t="shared" ref="F165:F171" si="1919">+AV165+CL165</f>
        <v>26642.49</v>
      </c>
      <c r="G165" s="106">
        <f t="shared" ref="G165:G171" si="1920">+AW165+CM165</f>
        <v>32726.085000000003</v>
      </c>
      <c r="H165" s="106">
        <f t="shared" ref="H165:H171" si="1921">+AX165+CN165</f>
        <v>25257.304</v>
      </c>
      <c r="I165" s="106">
        <f t="shared" ref="I165:I171" si="1922">+AY165+CO165</f>
        <v>24469.000500000002</v>
      </c>
      <c r="J165" s="106">
        <f t="shared" ref="J165:J171" si="1923">+AZ165+CP165</f>
        <v>39857.046000000002</v>
      </c>
      <c r="K165" s="106">
        <f t="shared" ref="K165:K171" si="1924">+BA165+CQ165</f>
        <v>39458.902999999991</v>
      </c>
      <c r="L165" s="106">
        <f t="shared" ref="L165:L171" si="1925">+BB165+CR165</f>
        <v>21328.109999999997</v>
      </c>
      <c r="M165" s="106">
        <f t="shared" ref="M165:M171" si="1926">+SUM(A165:L165)</f>
        <v>346772.70699999999</v>
      </c>
      <c r="N165" s="16" t="s">
        <v>137</v>
      </c>
      <c r="O165" s="106">
        <f t="shared" ref="O165:O171" si="1927">+BE165+CU165</f>
        <v>19432.8</v>
      </c>
      <c r="P165" s="106">
        <f t="shared" ref="P165:P171" si="1928">+BF165+CV165</f>
        <v>20352.2</v>
      </c>
      <c r="Q165" s="106">
        <f t="shared" ref="Q165:Q171" si="1929">+BG165+CW165</f>
        <v>0</v>
      </c>
      <c r="R165" s="106">
        <f t="shared" ref="R165:R171" si="1930">+BH165+CX165</f>
        <v>18829.2</v>
      </c>
      <c r="S165" s="106">
        <f t="shared" ref="S165:S171" si="1931">+BI165+CY165</f>
        <v>22808.751999999997</v>
      </c>
      <c r="T165" s="106">
        <f t="shared" ref="T165:T171" si="1932">+BJ165+CZ165</f>
        <v>38492.143499999998</v>
      </c>
      <c r="U165" s="106">
        <f t="shared" ref="U165:U171" si="1933">+BK165+DA165</f>
        <v>40617.5</v>
      </c>
      <c r="V165" s="106">
        <f t="shared" ref="V165:V171" si="1934">+BL165+DB165</f>
        <v>43872.977500000001</v>
      </c>
      <c r="W165" s="106">
        <f t="shared" ref="W165:W171" si="1935">+BM165+DC165</f>
        <v>20405.43</v>
      </c>
      <c r="X165" s="106">
        <f t="shared" ref="X165:X171" si="1936">+BN165+DD165</f>
        <v>12000</v>
      </c>
      <c r="Y165" s="106">
        <f t="shared" ref="Y165:Y171" si="1937">+BO165+DE165</f>
        <v>0</v>
      </c>
      <c r="Z165" s="106">
        <f t="shared" ref="Z165:Z171" si="1938">+BP165+DF165</f>
        <v>0</v>
      </c>
      <c r="AA165" s="106">
        <f t="shared" ref="AA165:AA171" si="1939">+SUM(O165:Z165)</f>
        <v>236811.003</v>
      </c>
      <c r="AB165" s="118">
        <f t="shared" si="1861"/>
        <v>-0.25</v>
      </c>
      <c r="AC165" s="106">
        <f t="shared" ref="AC165:AC171" si="1940">+BS165+DI165</f>
        <v>16000</v>
      </c>
      <c r="AD165" s="106">
        <f t="shared" ref="AD165:AD171" si="1941">+BT165+DJ165</f>
        <v>16000</v>
      </c>
      <c r="AE165" s="106">
        <f t="shared" ref="AE165:AE171" si="1942">+BU165+DK165</f>
        <v>16000</v>
      </c>
      <c r="AF165" s="106">
        <f t="shared" ref="AF165:AF171" si="1943">+BV165+DL165</f>
        <v>16000</v>
      </c>
      <c r="AG165" s="106">
        <f t="shared" ref="AG165:AG171" si="1944">+BW165+DM165</f>
        <v>16000</v>
      </c>
      <c r="AH165" s="106">
        <f t="shared" ref="AH165:AH171" si="1945">+BX165+DN165</f>
        <v>16000</v>
      </c>
      <c r="AI165" s="106">
        <f t="shared" ref="AI165:AI171" si="1946">+BY165+DO165</f>
        <v>16000</v>
      </c>
      <c r="AJ165" s="106">
        <f t="shared" ref="AJ165:AJ171" si="1947">+BZ165+DP165</f>
        <v>16000</v>
      </c>
      <c r="AK165" s="106">
        <f t="shared" ref="AK165:AK171" si="1948">+CA165+DQ165</f>
        <v>16000</v>
      </c>
      <c r="AL165" s="106">
        <f t="shared" ref="AL165:AL171" si="1949">+CB165+DR165</f>
        <v>16000</v>
      </c>
      <c r="AM165" s="106">
        <f t="shared" ref="AM165:AM171" si="1950">+CC165+DS165</f>
        <v>16000</v>
      </c>
      <c r="AN165" s="106">
        <f t="shared" ref="AN165:AN171" si="1951">+CD165+DT165</f>
        <v>16000</v>
      </c>
      <c r="AO165" s="106">
        <f t="shared" ref="AO165:AO171" si="1952">+SUM(AC165:AN165)</f>
        <v>192000</v>
      </c>
      <c r="AQ165" s="106">
        <v>23427.668000000001</v>
      </c>
      <c r="AR165" s="106">
        <v>27839.522000000001</v>
      </c>
      <c r="AS165" s="106">
        <v>17735.129999999997</v>
      </c>
      <c r="AT165" s="106">
        <v>23760.29</v>
      </c>
      <c r="AU165" s="106">
        <v>28050.63</v>
      </c>
      <c r="AV165" s="106">
        <v>22813.65</v>
      </c>
      <c r="AW165" s="106">
        <v>31626.400000000001</v>
      </c>
      <c r="AX165" s="106">
        <v>22837.302</v>
      </c>
      <c r="AY165" s="106">
        <v>15362.844000000001</v>
      </c>
      <c r="AZ165" s="106">
        <v>17982.448</v>
      </c>
      <c r="BA165" s="106">
        <v>16860.023999999998</v>
      </c>
      <c r="BB165" s="106">
        <v>18784.079999999998</v>
      </c>
      <c r="BC165" s="106">
        <f t="shared" ref="BC165:BC171" si="1953">+SUM(AQ165:BB165)</f>
        <v>267079.98800000001</v>
      </c>
      <c r="BD165" s="16" t="str">
        <f t="shared" si="1532"/>
        <v>Fuel Expenses For Company Car</v>
      </c>
      <c r="BE165" s="106">
        <f>+VLOOKUP($BD165,'Jan-25'!$A:$J,2,0)</f>
        <v>18982.8</v>
      </c>
      <c r="BF165" s="106">
        <f>+VLOOKUP($BD165,'Feb-25'!$A:$J,2,0)</f>
        <v>14801.6</v>
      </c>
      <c r="BG165" s="106">
        <f>+VLOOKUP($BD165,'Mar-25'!$A:$J,2,0)</f>
        <v>0</v>
      </c>
      <c r="BH165" s="106">
        <f>+VLOOKUP($BD165,'Apr-25'!$A:$J,2,0)</f>
        <v>18829.2</v>
      </c>
      <c r="BI165" s="106">
        <f>+VLOOKUP($BD165,'May-25'!$A:$J,2,0)</f>
        <v>19315.455999999998</v>
      </c>
      <c r="BJ165" s="106">
        <f>+VLOOKUP($BD165,'June-25'!$A:$J,2,0)</f>
        <v>31812.468000000001</v>
      </c>
      <c r="BK165" s="106">
        <f>+VLOOKUP($BD165,'July-25'!$A:$J,2,0)</f>
        <v>36806.300000000003</v>
      </c>
      <c r="BL165" s="106">
        <f>+VLOOKUP($BD165,'Aug-25'!$A:$J,2,0)</f>
        <v>35920.6</v>
      </c>
      <c r="BM165" s="106">
        <f>+VLOOKUP($BD165,'Sep-25'!$A:$J,2,0)</f>
        <v>20405.43</v>
      </c>
      <c r="BN165" s="106">
        <f>+VLOOKUP($BD165,'Oct-25'!$A:$J,2,0)</f>
        <v>12000</v>
      </c>
      <c r="BO165" s="106">
        <f>+VLOOKUP($BD165,'Nov-25'!$A:$J,2,0)</f>
        <v>0</v>
      </c>
      <c r="BP165" s="106">
        <f>+VLOOKUP($BD165,'Dec-25'!$A:$J,2,0)</f>
        <v>0</v>
      </c>
      <c r="BQ165" s="106">
        <f t="shared" ref="BQ165:BQ171" si="1954">+SUM(BE165:BP165)</f>
        <v>208873.85400000002</v>
      </c>
      <c r="BR165" s="118">
        <f t="shared" si="1877"/>
        <v>-0.25</v>
      </c>
      <c r="BS165" s="106" cm="1">
        <f t="array" ref="BS165:CD165">+_xlfn.XLOOKUP(BD165,Budget!A:A,Budget!Q:AB)</f>
        <v>16000</v>
      </c>
      <c r="BT165" s="106">
        <v>16000</v>
      </c>
      <c r="BU165" s="106">
        <v>16000</v>
      </c>
      <c r="BV165" s="106">
        <v>16000</v>
      </c>
      <c r="BW165" s="106">
        <v>16000</v>
      </c>
      <c r="BX165" s="106">
        <v>16000</v>
      </c>
      <c r="BY165" s="106">
        <v>16000</v>
      </c>
      <c r="BZ165" s="106">
        <v>16000</v>
      </c>
      <c r="CA165" s="106">
        <v>16000</v>
      </c>
      <c r="CB165" s="106">
        <v>16000</v>
      </c>
      <c r="CC165" s="106">
        <v>16000</v>
      </c>
      <c r="CD165" s="106">
        <v>16000</v>
      </c>
      <c r="CE165" s="106">
        <f t="shared" ref="CE165:CE171" si="1955">+SUM(BS165:CD165)</f>
        <v>192000</v>
      </c>
      <c r="CF165" s="22"/>
      <c r="CG165" s="106">
        <v>4400.3705</v>
      </c>
      <c r="CH165" s="106">
        <v>8820.1579999999994</v>
      </c>
      <c r="CI165" s="106">
        <v>825</v>
      </c>
      <c r="CJ165" s="106">
        <v>600</v>
      </c>
      <c r="CK165" s="106">
        <v>1575</v>
      </c>
      <c r="CL165" s="106">
        <v>3828.8399999999997</v>
      </c>
      <c r="CM165" s="106">
        <v>1099.6849999999999</v>
      </c>
      <c r="CN165" s="106">
        <v>2420.002</v>
      </c>
      <c r="CO165" s="106">
        <v>9106.156500000001</v>
      </c>
      <c r="CP165" s="106">
        <v>21874.597999999998</v>
      </c>
      <c r="CQ165" s="106">
        <v>22598.878999999997</v>
      </c>
      <c r="CR165" s="106">
        <v>2544.0300000000002</v>
      </c>
      <c r="CS165" s="106">
        <f t="shared" ref="CS165:CS171" si="1956">+SUM(CG165:CR165)</f>
        <v>79692.718999999997</v>
      </c>
      <c r="CT165" s="16" t="str">
        <f t="shared" si="1536"/>
        <v>Fuel Expenses For Company Car</v>
      </c>
      <c r="CU165" s="106">
        <f>+VLOOKUP($BD165,'Jan-25'!$A:$J,6,0)</f>
        <v>450</v>
      </c>
      <c r="CV165" s="106">
        <f>+VLOOKUP($BD165,'Feb-25'!$A:$J,6,0)</f>
        <v>5550.5999999999995</v>
      </c>
      <c r="CW165" s="106">
        <f>+VLOOKUP($BD165,'Mar-25'!$A:$J,6,0)</f>
        <v>0</v>
      </c>
      <c r="CX165" s="106">
        <f>+VLOOKUP($BD165,'Apr-25'!$A:$J,6,0)</f>
        <v>0</v>
      </c>
      <c r="CY165" s="106">
        <f>+VLOOKUP($BD165,'May-25'!$A:$J,6,0)</f>
        <v>3493.2959999999998</v>
      </c>
      <c r="CZ165" s="106">
        <f>+VLOOKUP($BD165,'June-25'!$A:$J,6,0)</f>
        <v>6679.6754999999994</v>
      </c>
      <c r="DA165" s="106">
        <f>+VLOOKUP($BD165,'July-25'!$A:$J,6,0)</f>
        <v>3811.2</v>
      </c>
      <c r="DB165" s="106">
        <f>+VLOOKUP($BD165,'Aug-25'!$A:$J,6,0)</f>
        <v>7952.3774999999996</v>
      </c>
      <c r="DC165" s="106">
        <f>+VLOOKUP($BD165,'Sep-25'!$A:$J,6,0)</f>
        <v>0</v>
      </c>
      <c r="DD165" s="106">
        <f>+VLOOKUP($BD165,'Oct-25'!$A:$J,6,0)</f>
        <v>0</v>
      </c>
      <c r="DE165" s="106">
        <f>+VLOOKUP($BD165,'Nov-25'!$A:$J,6,0)</f>
        <v>0</v>
      </c>
      <c r="DF165" s="106">
        <f>+VLOOKUP($BD165,'Dec-25'!$A:$J,6,0)</f>
        <v>0</v>
      </c>
      <c r="DG165" s="106">
        <f t="shared" ref="DG165:DG171" si="1957">+SUM(CU165:DF165)</f>
        <v>27937.148999999998</v>
      </c>
      <c r="DH165" s="118">
        <f t="shared" si="1881"/>
        <v>0</v>
      </c>
      <c r="DI165" s="106">
        <f>+_xlfn.XLOOKUP($CT165,Budget!$A:$A,Budget!BQ:BQ)</f>
        <v>0</v>
      </c>
      <c r="DJ165" s="106">
        <f>+_xlfn.XLOOKUP($CT165,Budget!$A:$A,Budget!BR:BR)</f>
        <v>0</v>
      </c>
      <c r="DK165" s="106">
        <f>+_xlfn.XLOOKUP($CT165,Budget!$A:$A,Budget!BS:BS)</f>
        <v>0</v>
      </c>
      <c r="DL165" s="106">
        <f>+_xlfn.XLOOKUP($CT165,Budget!$A:$A,Budget!BT:BT)</f>
        <v>0</v>
      </c>
      <c r="DM165" s="106">
        <f>+_xlfn.XLOOKUP($CT165,Budget!$A:$A,Budget!BU:BU)</f>
        <v>0</v>
      </c>
      <c r="DN165" s="106">
        <f>+_xlfn.XLOOKUP($CT165,Budget!$A:$A,Budget!BV:BV)</f>
        <v>0</v>
      </c>
      <c r="DO165" s="106">
        <f>+_xlfn.XLOOKUP($CT165,Budget!$A:$A,Budget!BW:BW)</f>
        <v>0</v>
      </c>
      <c r="DP165" s="106">
        <f>+_xlfn.XLOOKUP($CT165,Budget!$A:$A,Budget!BX:BX)</f>
        <v>0</v>
      </c>
      <c r="DQ165" s="106">
        <f>+_xlfn.XLOOKUP($CT165,Budget!$A:$A,Budget!BY:BY)</f>
        <v>0</v>
      </c>
      <c r="DR165" s="106">
        <f>+_xlfn.XLOOKUP($CT165,Budget!$A:$A,Budget!BZ:BZ)</f>
        <v>0</v>
      </c>
      <c r="DS165" s="106">
        <f>+_xlfn.XLOOKUP($CT165,Budget!$A:$A,Budget!CA:CA)</f>
        <v>0</v>
      </c>
      <c r="DT165" s="106">
        <f>+_xlfn.XLOOKUP($CT165,Budget!$A:$A,Budget!CB:CB)</f>
        <v>0</v>
      </c>
      <c r="DU165" s="106">
        <f t="shared" ref="DU165:DU171" si="1958">+SUM(DI165:DT165)</f>
        <v>0</v>
      </c>
    </row>
    <row r="166" spans="1:125" ht="14.45" hidden="1" customHeight="1" outlineLevel="2">
      <c r="A166" s="106">
        <f t="shared" si="1914"/>
        <v>0</v>
      </c>
      <c r="B166" s="106">
        <f t="shared" si="1915"/>
        <v>6214.83</v>
      </c>
      <c r="C166" s="106">
        <f t="shared" si="1916"/>
        <v>0</v>
      </c>
      <c r="D166" s="106">
        <f t="shared" si="1917"/>
        <v>0</v>
      </c>
      <c r="E166" s="106">
        <f t="shared" si="1918"/>
        <v>0</v>
      </c>
      <c r="F166" s="106">
        <f t="shared" si="1919"/>
        <v>0</v>
      </c>
      <c r="G166" s="106">
        <f t="shared" si="1920"/>
        <v>0</v>
      </c>
      <c r="H166" s="106">
        <f t="shared" si="1921"/>
        <v>0</v>
      </c>
      <c r="I166" s="106">
        <f t="shared" si="1922"/>
        <v>750</v>
      </c>
      <c r="J166" s="106">
        <f t="shared" si="1923"/>
        <v>0</v>
      </c>
      <c r="K166" s="106">
        <f t="shared" si="1924"/>
        <v>0</v>
      </c>
      <c r="L166" s="106">
        <f t="shared" si="1925"/>
        <v>0</v>
      </c>
      <c r="M166" s="106">
        <f t="shared" si="1926"/>
        <v>6964.83</v>
      </c>
      <c r="N166" s="16" t="s">
        <v>138</v>
      </c>
      <c r="O166" s="106">
        <f t="shared" si="1927"/>
        <v>0</v>
      </c>
      <c r="P166" s="106">
        <f t="shared" si="1928"/>
        <v>0</v>
      </c>
      <c r="Q166" s="106">
        <f t="shared" si="1929"/>
        <v>0</v>
      </c>
      <c r="R166" s="106">
        <f t="shared" si="1930"/>
        <v>0</v>
      </c>
      <c r="S166" s="106">
        <f t="shared" si="1931"/>
        <v>0</v>
      </c>
      <c r="T166" s="106">
        <f t="shared" si="1932"/>
        <v>0</v>
      </c>
      <c r="U166" s="106">
        <f t="shared" si="1933"/>
        <v>0</v>
      </c>
      <c r="V166" s="106">
        <f t="shared" si="1934"/>
        <v>0</v>
      </c>
      <c r="W166" s="106">
        <f t="shared" si="1935"/>
        <v>0</v>
      </c>
      <c r="X166" s="106">
        <f t="shared" si="1936"/>
        <v>0</v>
      </c>
      <c r="Y166" s="106">
        <f t="shared" si="1937"/>
        <v>0</v>
      </c>
      <c r="Z166" s="106">
        <f t="shared" si="1938"/>
        <v>0</v>
      </c>
      <c r="AA166" s="106">
        <f t="shared" si="1939"/>
        <v>0</v>
      </c>
      <c r="AB166" s="118">
        <f t="shared" si="1861"/>
        <v>0</v>
      </c>
      <c r="AC166" s="106">
        <f t="shared" si="1940"/>
        <v>0</v>
      </c>
      <c r="AD166" s="106">
        <f t="shared" si="1941"/>
        <v>0</v>
      </c>
      <c r="AE166" s="106">
        <f t="shared" si="1942"/>
        <v>0</v>
      </c>
      <c r="AF166" s="106">
        <f t="shared" si="1943"/>
        <v>0</v>
      </c>
      <c r="AG166" s="106">
        <f t="shared" si="1944"/>
        <v>0</v>
      </c>
      <c r="AH166" s="106">
        <f t="shared" si="1945"/>
        <v>0</v>
      </c>
      <c r="AI166" s="106">
        <f t="shared" si="1946"/>
        <v>0</v>
      </c>
      <c r="AJ166" s="106">
        <f t="shared" si="1947"/>
        <v>0</v>
      </c>
      <c r="AK166" s="106">
        <f t="shared" si="1948"/>
        <v>0</v>
      </c>
      <c r="AL166" s="106">
        <f t="shared" si="1949"/>
        <v>0</v>
      </c>
      <c r="AM166" s="106">
        <f t="shared" si="1950"/>
        <v>0</v>
      </c>
      <c r="AN166" s="106">
        <f t="shared" si="1951"/>
        <v>0</v>
      </c>
      <c r="AO166" s="106">
        <f t="shared" si="1952"/>
        <v>0</v>
      </c>
      <c r="AQ166" s="106">
        <v>0</v>
      </c>
      <c r="AR166" s="106">
        <v>6214.83</v>
      </c>
      <c r="AS166" s="106">
        <v>0</v>
      </c>
      <c r="AT166" s="106">
        <v>0</v>
      </c>
      <c r="AU166" s="106">
        <v>0</v>
      </c>
      <c r="AV166" s="106">
        <v>0</v>
      </c>
      <c r="AW166" s="106">
        <v>0</v>
      </c>
      <c r="AX166" s="106">
        <v>0</v>
      </c>
      <c r="AY166" s="106">
        <v>0</v>
      </c>
      <c r="AZ166" s="106">
        <v>0</v>
      </c>
      <c r="BA166" s="106">
        <v>0</v>
      </c>
      <c r="BB166" s="106">
        <v>0</v>
      </c>
      <c r="BC166" s="106">
        <f t="shared" si="1953"/>
        <v>6214.83</v>
      </c>
      <c r="BD166" s="16" t="str">
        <f t="shared" si="1532"/>
        <v>Fuel Expenses For Courtesy Car</v>
      </c>
      <c r="BE166" s="106">
        <f>+VLOOKUP($BD166,'Jan-25'!$A:$J,2,0)</f>
        <v>0</v>
      </c>
      <c r="BF166" s="106">
        <f>+VLOOKUP($BD166,'Feb-25'!$A:$J,2,0)</f>
        <v>0</v>
      </c>
      <c r="BG166" s="106">
        <f>+VLOOKUP($BD166,'Mar-25'!$A:$J,2,0)</f>
        <v>0</v>
      </c>
      <c r="BH166" s="106">
        <f>+VLOOKUP($BD166,'Apr-25'!$A:$J,2,0)</f>
        <v>0</v>
      </c>
      <c r="BI166" s="106">
        <f>+VLOOKUP($BD166,'May-25'!$A:$J,2,0)</f>
        <v>0</v>
      </c>
      <c r="BJ166" s="106">
        <f>+VLOOKUP($BD166,'June-25'!$A:$J,2,0)</f>
        <v>0</v>
      </c>
      <c r="BK166" s="106">
        <f>+VLOOKUP($BD166,'July-25'!$A:$J,2,0)</f>
        <v>0</v>
      </c>
      <c r="BL166" s="106">
        <f>+VLOOKUP($BD166,'Aug-25'!$A:$J,2,0)</f>
        <v>0</v>
      </c>
      <c r="BM166" s="106">
        <f>+VLOOKUP($BD166,'Sep-25'!$A:$J,2,0)</f>
        <v>0</v>
      </c>
      <c r="BN166" s="106">
        <f>+VLOOKUP($BD166,'Oct-25'!$A:$J,2,0)</f>
        <v>0</v>
      </c>
      <c r="BO166" s="106">
        <f>+VLOOKUP($BD166,'Nov-25'!$A:$J,2,0)</f>
        <v>0</v>
      </c>
      <c r="BP166" s="106">
        <f>+VLOOKUP($BD166,'Dec-25'!$A:$J,2,0)</f>
        <v>0</v>
      </c>
      <c r="BQ166" s="106">
        <f t="shared" si="1954"/>
        <v>0</v>
      </c>
      <c r="BR166" s="118">
        <f t="shared" si="1877"/>
        <v>0</v>
      </c>
      <c r="BS166" s="106" cm="1">
        <f t="array" ref="BS166:CD166">+_xlfn.XLOOKUP(BD166,Budget!A:A,Budget!Q:AB)</f>
        <v>0</v>
      </c>
      <c r="BT166" s="106">
        <v>0</v>
      </c>
      <c r="BU166" s="106">
        <v>0</v>
      </c>
      <c r="BV166" s="106">
        <v>0</v>
      </c>
      <c r="BW166" s="106">
        <v>0</v>
      </c>
      <c r="BX166" s="106">
        <v>0</v>
      </c>
      <c r="BY166" s="106">
        <v>0</v>
      </c>
      <c r="BZ166" s="106">
        <v>0</v>
      </c>
      <c r="CA166" s="106">
        <v>0</v>
      </c>
      <c r="CB166" s="106">
        <v>0</v>
      </c>
      <c r="CC166" s="106">
        <v>0</v>
      </c>
      <c r="CD166" s="106">
        <v>0</v>
      </c>
      <c r="CE166" s="106">
        <f t="shared" si="1955"/>
        <v>0</v>
      </c>
      <c r="CF166" s="22"/>
      <c r="CG166" s="106">
        <v>0</v>
      </c>
      <c r="CH166" s="106">
        <v>0</v>
      </c>
      <c r="CI166" s="106">
        <v>0</v>
      </c>
      <c r="CJ166" s="106">
        <v>0</v>
      </c>
      <c r="CK166" s="106">
        <v>0</v>
      </c>
      <c r="CL166" s="106">
        <v>0</v>
      </c>
      <c r="CM166" s="106">
        <v>0</v>
      </c>
      <c r="CN166" s="106">
        <v>0</v>
      </c>
      <c r="CO166" s="106">
        <v>750</v>
      </c>
      <c r="CP166" s="106">
        <v>0</v>
      </c>
      <c r="CQ166" s="106">
        <v>0</v>
      </c>
      <c r="CR166" s="106">
        <v>0</v>
      </c>
      <c r="CS166" s="106">
        <f t="shared" si="1956"/>
        <v>750</v>
      </c>
      <c r="CT166" s="16" t="str">
        <f t="shared" si="1536"/>
        <v>Fuel Expenses For Courtesy Car</v>
      </c>
      <c r="CU166" s="106">
        <f>+VLOOKUP($BD166,'Jan-25'!$A:$J,6,0)</f>
        <v>0</v>
      </c>
      <c r="CV166" s="106">
        <f>+VLOOKUP($BD166,'Feb-25'!$A:$J,6,0)</f>
        <v>0</v>
      </c>
      <c r="CW166" s="106">
        <f>+VLOOKUP($BD166,'Mar-25'!$A:$J,6,0)</f>
        <v>0</v>
      </c>
      <c r="CX166" s="106">
        <f>+VLOOKUP($BD166,'Apr-25'!$A:$J,6,0)</f>
        <v>0</v>
      </c>
      <c r="CY166" s="106">
        <f>+VLOOKUP($BD166,'May-25'!$A:$J,6,0)</f>
        <v>0</v>
      </c>
      <c r="CZ166" s="106">
        <f>+VLOOKUP($BD166,'June-25'!$A:$J,6,0)</f>
        <v>0</v>
      </c>
      <c r="DA166" s="106">
        <f>+VLOOKUP($BD166,'July-25'!$A:$J,6,0)</f>
        <v>0</v>
      </c>
      <c r="DB166" s="106">
        <f>+VLOOKUP($BD166,'Aug-25'!$A:$J,6,0)</f>
        <v>0</v>
      </c>
      <c r="DC166" s="106">
        <f>+VLOOKUP($BD166,'Sep-25'!$A:$J,6,0)</f>
        <v>0</v>
      </c>
      <c r="DD166" s="106">
        <f>+VLOOKUP($BD166,'Oct-25'!$A:$J,6,0)</f>
        <v>0</v>
      </c>
      <c r="DE166" s="106">
        <f>+VLOOKUP($BD166,'Nov-25'!$A:$J,6,0)</f>
        <v>0</v>
      </c>
      <c r="DF166" s="106">
        <f>+VLOOKUP($BD166,'Dec-25'!$A:$J,6,0)</f>
        <v>0</v>
      </c>
      <c r="DG166" s="106">
        <f t="shared" si="1957"/>
        <v>0</v>
      </c>
      <c r="DH166" s="118">
        <f t="shared" si="1881"/>
        <v>0</v>
      </c>
      <c r="DI166" s="106">
        <f>+_xlfn.XLOOKUP($CT166,Budget!$A:$A,Budget!BQ:BQ)</f>
        <v>0</v>
      </c>
      <c r="DJ166" s="106">
        <f>+_xlfn.XLOOKUP($CT166,Budget!$A:$A,Budget!BR:BR)</f>
        <v>0</v>
      </c>
      <c r="DK166" s="106">
        <f>+_xlfn.XLOOKUP($CT166,Budget!$A:$A,Budget!BS:BS)</f>
        <v>0</v>
      </c>
      <c r="DL166" s="106">
        <f>+_xlfn.XLOOKUP($CT166,Budget!$A:$A,Budget!BT:BT)</f>
        <v>0</v>
      </c>
      <c r="DM166" s="106">
        <f>+_xlfn.XLOOKUP($CT166,Budget!$A:$A,Budget!BU:BU)</f>
        <v>0</v>
      </c>
      <c r="DN166" s="106">
        <f>+_xlfn.XLOOKUP($CT166,Budget!$A:$A,Budget!BV:BV)</f>
        <v>0</v>
      </c>
      <c r="DO166" s="106">
        <f>+_xlfn.XLOOKUP($CT166,Budget!$A:$A,Budget!BW:BW)</f>
        <v>0</v>
      </c>
      <c r="DP166" s="106">
        <f>+_xlfn.XLOOKUP($CT166,Budget!$A:$A,Budget!BX:BX)</f>
        <v>0</v>
      </c>
      <c r="DQ166" s="106">
        <f>+_xlfn.XLOOKUP($CT166,Budget!$A:$A,Budget!BY:BY)</f>
        <v>0</v>
      </c>
      <c r="DR166" s="106">
        <f>+_xlfn.XLOOKUP($CT166,Budget!$A:$A,Budget!BZ:BZ)</f>
        <v>0</v>
      </c>
      <c r="DS166" s="106">
        <f>+_xlfn.XLOOKUP($CT166,Budget!$A:$A,Budget!CA:CA)</f>
        <v>0</v>
      </c>
      <c r="DT166" s="106">
        <f>+_xlfn.XLOOKUP($CT166,Budget!$A:$A,Budget!CB:CB)</f>
        <v>0</v>
      </c>
      <c r="DU166" s="106">
        <f t="shared" si="1958"/>
        <v>0</v>
      </c>
    </row>
    <row r="167" spans="1:125" ht="14.45" hidden="1" customHeight="1" outlineLevel="2">
      <c r="A167" s="106">
        <f t="shared" si="1914"/>
        <v>0</v>
      </c>
      <c r="B167" s="106">
        <f t="shared" si="1915"/>
        <v>0</v>
      </c>
      <c r="C167" s="106">
        <f t="shared" si="1916"/>
        <v>0</v>
      </c>
      <c r="D167" s="106">
        <f t="shared" si="1917"/>
        <v>0</v>
      </c>
      <c r="E167" s="106">
        <f t="shared" si="1918"/>
        <v>0</v>
      </c>
      <c r="F167" s="106">
        <f t="shared" si="1919"/>
        <v>0</v>
      </c>
      <c r="G167" s="106">
        <f t="shared" si="1920"/>
        <v>0</v>
      </c>
      <c r="H167" s="106">
        <f t="shared" si="1921"/>
        <v>0</v>
      </c>
      <c r="I167" s="106">
        <f t="shared" si="1922"/>
        <v>0</v>
      </c>
      <c r="J167" s="106">
        <f t="shared" si="1923"/>
        <v>0</v>
      </c>
      <c r="K167" s="106">
        <f t="shared" si="1924"/>
        <v>0</v>
      </c>
      <c r="L167" s="106">
        <f t="shared" si="1925"/>
        <v>0</v>
      </c>
      <c r="M167" s="106">
        <f t="shared" si="1926"/>
        <v>0</v>
      </c>
      <c r="N167" s="16" t="s">
        <v>139</v>
      </c>
      <c r="O167" s="106">
        <f t="shared" si="1927"/>
        <v>0</v>
      </c>
      <c r="P167" s="106">
        <f t="shared" si="1928"/>
        <v>0</v>
      </c>
      <c r="Q167" s="106">
        <f t="shared" si="1929"/>
        <v>0</v>
      </c>
      <c r="R167" s="106">
        <f t="shared" si="1930"/>
        <v>0</v>
      </c>
      <c r="S167" s="106">
        <f t="shared" si="1931"/>
        <v>0</v>
      </c>
      <c r="T167" s="106">
        <f t="shared" si="1932"/>
        <v>0</v>
      </c>
      <c r="U167" s="106">
        <f t="shared" si="1933"/>
        <v>0</v>
      </c>
      <c r="V167" s="106">
        <f t="shared" si="1934"/>
        <v>0</v>
      </c>
      <c r="W167" s="106">
        <f t="shared" si="1935"/>
        <v>0</v>
      </c>
      <c r="X167" s="106">
        <f t="shared" si="1936"/>
        <v>0</v>
      </c>
      <c r="Y167" s="106">
        <f t="shared" si="1937"/>
        <v>0</v>
      </c>
      <c r="Z167" s="106">
        <f t="shared" si="1938"/>
        <v>0</v>
      </c>
      <c r="AA167" s="106">
        <f t="shared" si="1939"/>
        <v>0</v>
      </c>
      <c r="AB167" s="118">
        <f t="shared" si="1861"/>
        <v>0</v>
      </c>
      <c r="AC167" s="106">
        <f t="shared" si="1940"/>
        <v>0</v>
      </c>
      <c r="AD167" s="106">
        <f t="shared" si="1941"/>
        <v>0</v>
      </c>
      <c r="AE167" s="106">
        <f t="shared" si="1942"/>
        <v>0</v>
      </c>
      <c r="AF167" s="106">
        <f t="shared" si="1943"/>
        <v>0</v>
      </c>
      <c r="AG167" s="106">
        <f t="shared" si="1944"/>
        <v>0</v>
      </c>
      <c r="AH167" s="106">
        <f t="shared" si="1945"/>
        <v>0</v>
      </c>
      <c r="AI167" s="106">
        <f t="shared" si="1946"/>
        <v>0</v>
      </c>
      <c r="AJ167" s="106">
        <f t="shared" si="1947"/>
        <v>0</v>
      </c>
      <c r="AK167" s="106">
        <f t="shared" si="1948"/>
        <v>0</v>
      </c>
      <c r="AL167" s="106">
        <f t="shared" si="1949"/>
        <v>0</v>
      </c>
      <c r="AM167" s="106">
        <f t="shared" si="1950"/>
        <v>0</v>
      </c>
      <c r="AN167" s="106">
        <f t="shared" si="1951"/>
        <v>0</v>
      </c>
      <c r="AO167" s="106">
        <f t="shared" si="1952"/>
        <v>0</v>
      </c>
      <c r="AQ167" s="106">
        <v>0</v>
      </c>
      <c r="AR167" s="106">
        <v>0</v>
      </c>
      <c r="AS167" s="106">
        <v>0</v>
      </c>
      <c r="AT167" s="106">
        <v>0</v>
      </c>
      <c r="AU167" s="106">
        <v>0</v>
      </c>
      <c r="AV167" s="106">
        <v>0</v>
      </c>
      <c r="AW167" s="106">
        <v>0</v>
      </c>
      <c r="AX167" s="106">
        <v>0</v>
      </c>
      <c r="AY167" s="106">
        <v>0</v>
      </c>
      <c r="AZ167" s="106">
        <v>0</v>
      </c>
      <c r="BA167" s="106">
        <v>0</v>
      </c>
      <c r="BB167" s="106">
        <v>0</v>
      </c>
      <c r="BC167" s="106">
        <f t="shared" si="1953"/>
        <v>0</v>
      </c>
      <c r="BD167" s="16" t="str">
        <f t="shared" si="1532"/>
        <v>Fuel Expenses For Scooter</v>
      </c>
      <c r="BE167" s="106">
        <f>+VLOOKUP($BD167,'Jan-25'!$A:$J,2,0)</f>
        <v>0</v>
      </c>
      <c r="BF167" s="106">
        <f>+VLOOKUP($BD167,'Feb-25'!$A:$J,2,0)</f>
        <v>0</v>
      </c>
      <c r="BG167" s="106">
        <f>+VLOOKUP($BD167,'Mar-25'!$A:$J,2,0)</f>
        <v>0</v>
      </c>
      <c r="BH167" s="106">
        <f>+VLOOKUP($BD167,'Apr-25'!$A:$J,2,0)</f>
        <v>0</v>
      </c>
      <c r="BI167" s="106">
        <f>+VLOOKUP($BD167,'May-25'!$A:$J,2,0)</f>
        <v>0</v>
      </c>
      <c r="BJ167" s="106">
        <f>+VLOOKUP($BD167,'June-25'!$A:$J,2,0)</f>
        <v>0</v>
      </c>
      <c r="BK167" s="106">
        <f>+VLOOKUP($BD167,'July-25'!$A:$J,2,0)</f>
        <v>0</v>
      </c>
      <c r="BL167" s="106">
        <f>+VLOOKUP($BD167,'Aug-25'!$A:$J,2,0)</f>
        <v>0</v>
      </c>
      <c r="BM167" s="106">
        <f>+VLOOKUP($BD167,'Sep-25'!$A:$J,2,0)</f>
        <v>0</v>
      </c>
      <c r="BN167" s="106">
        <f>+VLOOKUP($BD167,'Oct-25'!$A:$J,2,0)</f>
        <v>0</v>
      </c>
      <c r="BO167" s="106">
        <f>+VLOOKUP($BD167,'Nov-25'!$A:$J,2,0)</f>
        <v>0</v>
      </c>
      <c r="BP167" s="106">
        <f>+VLOOKUP($BD167,'Dec-25'!$A:$J,2,0)</f>
        <v>0</v>
      </c>
      <c r="BQ167" s="106">
        <f t="shared" si="1954"/>
        <v>0</v>
      </c>
      <c r="BR167" s="118">
        <f t="shared" si="1877"/>
        <v>0</v>
      </c>
      <c r="BS167" s="106" cm="1">
        <f t="array" ref="BS167:CD167">+_xlfn.XLOOKUP(BD167,Budget!A:A,Budget!Q:AB)</f>
        <v>0</v>
      </c>
      <c r="BT167" s="106">
        <v>0</v>
      </c>
      <c r="BU167" s="106">
        <v>0</v>
      </c>
      <c r="BV167" s="106">
        <v>0</v>
      </c>
      <c r="BW167" s="106">
        <v>0</v>
      </c>
      <c r="BX167" s="106">
        <v>0</v>
      </c>
      <c r="BY167" s="106">
        <v>0</v>
      </c>
      <c r="BZ167" s="106">
        <v>0</v>
      </c>
      <c r="CA167" s="106">
        <v>0</v>
      </c>
      <c r="CB167" s="106">
        <v>0</v>
      </c>
      <c r="CC167" s="106">
        <v>0</v>
      </c>
      <c r="CD167" s="106">
        <v>0</v>
      </c>
      <c r="CE167" s="106">
        <f t="shared" si="1955"/>
        <v>0</v>
      </c>
      <c r="CF167" s="22"/>
      <c r="CG167" s="106">
        <v>0</v>
      </c>
      <c r="CH167" s="106">
        <v>0</v>
      </c>
      <c r="CI167" s="106">
        <v>0</v>
      </c>
      <c r="CJ167" s="106">
        <v>0</v>
      </c>
      <c r="CK167" s="106">
        <v>0</v>
      </c>
      <c r="CL167" s="106">
        <v>0</v>
      </c>
      <c r="CM167" s="106">
        <v>0</v>
      </c>
      <c r="CN167" s="106">
        <v>0</v>
      </c>
      <c r="CO167" s="106">
        <v>0</v>
      </c>
      <c r="CP167" s="106">
        <v>0</v>
      </c>
      <c r="CQ167" s="106">
        <v>0</v>
      </c>
      <c r="CR167" s="106">
        <v>0</v>
      </c>
      <c r="CS167" s="106">
        <f t="shared" si="1956"/>
        <v>0</v>
      </c>
      <c r="CT167" s="16" t="str">
        <f t="shared" si="1536"/>
        <v>Fuel Expenses For Scooter</v>
      </c>
      <c r="CU167" s="106">
        <f>+VLOOKUP($BD167,'Jan-25'!$A:$J,6,0)</f>
        <v>0</v>
      </c>
      <c r="CV167" s="106">
        <f>+VLOOKUP($BD167,'Feb-25'!$A:$J,6,0)</f>
        <v>0</v>
      </c>
      <c r="CW167" s="106">
        <f>+VLOOKUP($BD167,'Mar-25'!$A:$J,6,0)</f>
        <v>0</v>
      </c>
      <c r="CX167" s="106">
        <f>+VLOOKUP($BD167,'Apr-25'!$A:$J,6,0)</f>
        <v>0</v>
      </c>
      <c r="CY167" s="106">
        <f>+VLOOKUP($BD167,'May-25'!$A:$J,6,0)</f>
        <v>0</v>
      </c>
      <c r="CZ167" s="106">
        <f>+VLOOKUP($BD167,'June-25'!$A:$J,6,0)</f>
        <v>0</v>
      </c>
      <c r="DA167" s="106">
        <f>+VLOOKUP($BD167,'July-25'!$A:$J,6,0)</f>
        <v>0</v>
      </c>
      <c r="DB167" s="106">
        <f>+VLOOKUP($BD167,'Aug-25'!$A:$J,6,0)</f>
        <v>0</v>
      </c>
      <c r="DC167" s="106">
        <f>+VLOOKUP($BD167,'Sep-25'!$A:$J,6,0)</f>
        <v>0</v>
      </c>
      <c r="DD167" s="106">
        <f>+VLOOKUP($BD167,'Oct-25'!$A:$J,6,0)</f>
        <v>0</v>
      </c>
      <c r="DE167" s="106">
        <f>+VLOOKUP($BD167,'Nov-25'!$A:$J,6,0)</f>
        <v>0</v>
      </c>
      <c r="DF167" s="106">
        <f>+VLOOKUP($BD167,'Dec-25'!$A:$J,6,0)</f>
        <v>0</v>
      </c>
      <c r="DG167" s="106">
        <f t="shared" si="1957"/>
        <v>0</v>
      </c>
      <c r="DH167" s="118">
        <f t="shared" si="1881"/>
        <v>0</v>
      </c>
      <c r="DI167" s="106">
        <f>+_xlfn.XLOOKUP($CT167,Budget!$A:$A,Budget!BQ:BQ)</f>
        <v>0</v>
      </c>
      <c r="DJ167" s="106">
        <f>+_xlfn.XLOOKUP($CT167,Budget!$A:$A,Budget!BR:BR)</f>
        <v>0</v>
      </c>
      <c r="DK167" s="106">
        <f>+_xlfn.XLOOKUP($CT167,Budget!$A:$A,Budget!BS:BS)</f>
        <v>0</v>
      </c>
      <c r="DL167" s="106">
        <f>+_xlfn.XLOOKUP($CT167,Budget!$A:$A,Budget!BT:BT)</f>
        <v>0</v>
      </c>
      <c r="DM167" s="106">
        <f>+_xlfn.XLOOKUP($CT167,Budget!$A:$A,Budget!BU:BU)</f>
        <v>0</v>
      </c>
      <c r="DN167" s="106">
        <f>+_xlfn.XLOOKUP($CT167,Budget!$A:$A,Budget!BV:BV)</f>
        <v>0</v>
      </c>
      <c r="DO167" s="106">
        <f>+_xlfn.XLOOKUP($CT167,Budget!$A:$A,Budget!BW:BW)</f>
        <v>0</v>
      </c>
      <c r="DP167" s="106">
        <f>+_xlfn.XLOOKUP($CT167,Budget!$A:$A,Budget!BX:BX)</f>
        <v>0</v>
      </c>
      <c r="DQ167" s="106">
        <f>+_xlfn.XLOOKUP($CT167,Budget!$A:$A,Budget!BY:BY)</f>
        <v>0</v>
      </c>
      <c r="DR167" s="106">
        <f>+_xlfn.XLOOKUP($CT167,Budget!$A:$A,Budget!BZ:BZ)</f>
        <v>0</v>
      </c>
      <c r="DS167" s="106">
        <f>+_xlfn.XLOOKUP($CT167,Budget!$A:$A,Budget!CA:CA)</f>
        <v>0</v>
      </c>
      <c r="DT167" s="106">
        <f>+_xlfn.XLOOKUP($CT167,Budget!$A:$A,Budget!CB:CB)</f>
        <v>0</v>
      </c>
      <c r="DU167" s="106">
        <f t="shared" si="1958"/>
        <v>0</v>
      </c>
    </row>
    <row r="168" spans="1:125" ht="14.45" hidden="1" customHeight="1" outlineLevel="2">
      <c r="A168" s="106">
        <f t="shared" si="1914"/>
        <v>0</v>
      </c>
      <c r="B168" s="106">
        <f t="shared" si="1915"/>
        <v>0</v>
      </c>
      <c r="C168" s="106">
        <f t="shared" si="1916"/>
        <v>0</v>
      </c>
      <c r="D168" s="106">
        <f t="shared" si="1917"/>
        <v>0</v>
      </c>
      <c r="E168" s="106">
        <f t="shared" si="1918"/>
        <v>0</v>
      </c>
      <c r="F168" s="106">
        <f t="shared" si="1919"/>
        <v>0</v>
      </c>
      <c r="G168" s="106">
        <f t="shared" si="1920"/>
        <v>0</v>
      </c>
      <c r="H168" s="106">
        <f t="shared" si="1921"/>
        <v>25587.54</v>
      </c>
      <c r="I168" s="106">
        <f t="shared" si="1922"/>
        <v>147047.07999999999</v>
      </c>
      <c r="J168" s="106">
        <f t="shared" si="1923"/>
        <v>100349.73</v>
      </c>
      <c r="K168" s="106">
        <f t="shared" si="1924"/>
        <v>63476.68</v>
      </c>
      <c r="L168" s="106">
        <f t="shared" si="1925"/>
        <v>24722.75</v>
      </c>
      <c r="M168" s="106">
        <f t="shared" si="1926"/>
        <v>361183.77999999997</v>
      </c>
      <c r="N168" s="16" t="s">
        <v>140</v>
      </c>
      <c r="O168" s="106">
        <f t="shared" si="1927"/>
        <v>119242.33</v>
      </c>
      <c r="P168" s="106">
        <f t="shared" si="1928"/>
        <v>30887.439999999999</v>
      </c>
      <c r="Q168" s="106">
        <f t="shared" si="1929"/>
        <v>7434.96</v>
      </c>
      <c r="R168" s="106">
        <f t="shared" si="1930"/>
        <v>174465.51</v>
      </c>
      <c r="S168" s="106">
        <f t="shared" si="1931"/>
        <v>0</v>
      </c>
      <c r="T168" s="106">
        <f t="shared" si="1932"/>
        <v>0</v>
      </c>
      <c r="U168" s="106">
        <f t="shared" si="1933"/>
        <v>0</v>
      </c>
      <c r="V168" s="106">
        <f t="shared" si="1934"/>
        <v>0</v>
      </c>
      <c r="W168" s="106">
        <f t="shared" si="1935"/>
        <v>0</v>
      </c>
      <c r="X168" s="106">
        <f t="shared" si="1936"/>
        <v>0</v>
      </c>
      <c r="Y168" s="106">
        <f t="shared" si="1937"/>
        <v>0</v>
      </c>
      <c r="Z168" s="106">
        <f t="shared" si="1938"/>
        <v>0</v>
      </c>
      <c r="AA168" s="106">
        <f t="shared" si="1939"/>
        <v>332030.24</v>
      </c>
      <c r="AB168" s="118">
        <f t="shared" si="1861"/>
        <v>0</v>
      </c>
      <c r="AC168" s="106">
        <f t="shared" si="1940"/>
        <v>0</v>
      </c>
      <c r="AD168" s="106">
        <f t="shared" si="1941"/>
        <v>0</v>
      </c>
      <c r="AE168" s="106">
        <f t="shared" si="1942"/>
        <v>0</v>
      </c>
      <c r="AF168" s="106">
        <f t="shared" si="1943"/>
        <v>0</v>
      </c>
      <c r="AG168" s="106">
        <f t="shared" si="1944"/>
        <v>0</v>
      </c>
      <c r="AH168" s="106">
        <f t="shared" si="1945"/>
        <v>0</v>
      </c>
      <c r="AI168" s="106">
        <f t="shared" si="1946"/>
        <v>0</v>
      </c>
      <c r="AJ168" s="106">
        <f t="shared" si="1947"/>
        <v>0</v>
      </c>
      <c r="AK168" s="106">
        <f t="shared" si="1948"/>
        <v>0</v>
      </c>
      <c r="AL168" s="106">
        <f t="shared" si="1949"/>
        <v>0</v>
      </c>
      <c r="AM168" s="106">
        <f t="shared" si="1950"/>
        <v>0</v>
      </c>
      <c r="AN168" s="106">
        <f t="shared" si="1951"/>
        <v>0</v>
      </c>
      <c r="AO168" s="106">
        <f t="shared" si="1952"/>
        <v>0</v>
      </c>
      <c r="AQ168" s="106">
        <v>0</v>
      </c>
      <c r="AR168" s="106">
        <v>0</v>
      </c>
      <c r="AS168" s="106">
        <v>0</v>
      </c>
      <c r="AT168" s="106">
        <v>0</v>
      </c>
      <c r="AU168" s="106">
        <v>0</v>
      </c>
      <c r="AV168" s="106">
        <v>0</v>
      </c>
      <c r="AW168" s="106">
        <v>0</v>
      </c>
      <c r="AX168" s="106">
        <v>24833.760000000002</v>
      </c>
      <c r="AY168" s="106">
        <v>147047.07999999999</v>
      </c>
      <c r="AZ168" s="106">
        <v>100349.73</v>
      </c>
      <c r="BA168" s="106">
        <v>63476.68</v>
      </c>
      <c r="BB168" s="106">
        <v>24722.75</v>
      </c>
      <c r="BC168" s="106">
        <f t="shared" si="1953"/>
        <v>360430</v>
      </c>
      <c r="BD168" s="16" t="str">
        <f t="shared" si="1532"/>
        <v>Repair and Maintenance - Courtesy Car</v>
      </c>
      <c r="BE168" s="106">
        <f>+VLOOKUP($BD168,'Jan-25'!$A:$J,2,0)</f>
        <v>19564.75</v>
      </c>
      <c r="BF168" s="106">
        <f>+VLOOKUP($BD168,'Feb-25'!$A:$J,2,0)</f>
        <v>30887.439999999999</v>
      </c>
      <c r="BG168" s="106">
        <f>+VLOOKUP($BD168,'Mar-25'!$A:$J,2,0)</f>
        <v>7434.96</v>
      </c>
      <c r="BH168" s="106">
        <f>+VLOOKUP($BD168,'Apr-25'!$A:$J,2,0)</f>
        <v>44777.99</v>
      </c>
      <c r="BI168" s="106">
        <f>+VLOOKUP($BD168,'May-25'!$A:$J,2,0)</f>
        <v>0</v>
      </c>
      <c r="BJ168" s="106">
        <f>+VLOOKUP($BD168,'June-25'!$A:$J,2,0)</f>
        <v>0</v>
      </c>
      <c r="BK168" s="106">
        <f>+VLOOKUP($BD168,'July-25'!$A:$J,2,0)</f>
        <v>0</v>
      </c>
      <c r="BL168" s="106">
        <f>+VLOOKUP($BD168,'Aug-25'!$A:$J,2,0)</f>
        <v>0</v>
      </c>
      <c r="BM168" s="106">
        <f>+VLOOKUP($BD168,'Sep-25'!$A:$J,2,0)</f>
        <v>0</v>
      </c>
      <c r="BN168" s="106">
        <f>+VLOOKUP($BD168,'Oct-25'!$A:$J,2,0)</f>
        <v>0</v>
      </c>
      <c r="BO168" s="106">
        <f>+VLOOKUP($BD168,'Nov-25'!$A:$J,2,0)</f>
        <v>0</v>
      </c>
      <c r="BP168" s="106">
        <f>+VLOOKUP($BD168,'Dec-25'!$A:$J,2,0)</f>
        <v>0</v>
      </c>
      <c r="BQ168" s="106">
        <f t="shared" si="1954"/>
        <v>102665.14</v>
      </c>
      <c r="BR168" s="118">
        <f t="shared" si="1877"/>
        <v>0</v>
      </c>
      <c r="BS168" s="106" cm="1">
        <f t="array" ref="BS168:CD168">+_xlfn.XLOOKUP(BD168,Budget!A:A,Budget!Q:AB)</f>
        <v>0</v>
      </c>
      <c r="BT168" s="106">
        <v>0</v>
      </c>
      <c r="BU168" s="106">
        <v>0</v>
      </c>
      <c r="BV168" s="106">
        <v>0</v>
      </c>
      <c r="BW168" s="106">
        <v>0</v>
      </c>
      <c r="BX168" s="106">
        <v>0</v>
      </c>
      <c r="BY168" s="106">
        <v>0</v>
      </c>
      <c r="BZ168" s="106">
        <v>0</v>
      </c>
      <c r="CA168" s="106">
        <v>0</v>
      </c>
      <c r="CB168" s="106">
        <v>0</v>
      </c>
      <c r="CC168" s="106">
        <v>0</v>
      </c>
      <c r="CD168" s="106">
        <v>0</v>
      </c>
      <c r="CE168" s="106">
        <f t="shared" si="1955"/>
        <v>0</v>
      </c>
      <c r="CF168" s="22"/>
      <c r="CG168" s="106">
        <v>0</v>
      </c>
      <c r="CH168" s="106">
        <v>0</v>
      </c>
      <c r="CI168" s="106">
        <v>0</v>
      </c>
      <c r="CJ168" s="106">
        <v>0</v>
      </c>
      <c r="CK168" s="106">
        <v>0</v>
      </c>
      <c r="CL168" s="106">
        <v>0</v>
      </c>
      <c r="CM168" s="106">
        <v>0</v>
      </c>
      <c r="CN168" s="106">
        <v>753.78</v>
      </c>
      <c r="CO168" s="106">
        <v>0</v>
      </c>
      <c r="CP168" s="106">
        <v>0</v>
      </c>
      <c r="CQ168" s="106">
        <v>0</v>
      </c>
      <c r="CR168" s="106">
        <v>0</v>
      </c>
      <c r="CS168" s="106">
        <f t="shared" si="1956"/>
        <v>753.78</v>
      </c>
      <c r="CT168" s="16" t="str">
        <f t="shared" si="1536"/>
        <v>Repair and Maintenance - Courtesy Car</v>
      </c>
      <c r="CU168" s="106">
        <f>+VLOOKUP($BD168,'Jan-25'!$A:$J,6,0)</f>
        <v>99677.58</v>
      </c>
      <c r="CV168" s="106">
        <f>+VLOOKUP($BD168,'Feb-25'!$A:$J,6,0)</f>
        <v>0</v>
      </c>
      <c r="CW168" s="106">
        <f>+VLOOKUP($BD168,'Mar-25'!$A:$J,6,0)</f>
        <v>0</v>
      </c>
      <c r="CX168" s="106">
        <f>+VLOOKUP($BD168,'Apr-25'!$A:$J,6,0)</f>
        <v>129687.52</v>
      </c>
      <c r="CY168" s="106">
        <f>+VLOOKUP($BD168,'May-25'!$A:$J,6,0)</f>
        <v>0</v>
      </c>
      <c r="CZ168" s="106">
        <f>+VLOOKUP($BD168,'June-25'!$A:$J,6,0)</f>
        <v>0</v>
      </c>
      <c r="DA168" s="106">
        <f>+VLOOKUP($BD168,'July-25'!$A:$J,6,0)</f>
        <v>0</v>
      </c>
      <c r="DB168" s="106">
        <f>+VLOOKUP($BD168,'Aug-25'!$A:$J,6,0)</f>
        <v>0</v>
      </c>
      <c r="DC168" s="106">
        <f>+VLOOKUP($BD168,'Sep-25'!$A:$J,6,0)</f>
        <v>0</v>
      </c>
      <c r="DD168" s="106">
        <f>+VLOOKUP($BD168,'Oct-25'!$A:$J,6,0)</f>
        <v>0</v>
      </c>
      <c r="DE168" s="106">
        <f>+VLOOKUP($BD168,'Nov-25'!$A:$J,6,0)</f>
        <v>0</v>
      </c>
      <c r="DF168" s="106">
        <f>+VLOOKUP($BD168,'Dec-25'!$A:$J,6,0)</f>
        <v>0</v>
      </c>
      <c r="DG168" s="106">
        <f t="shared" si="1957"/>
        <v>229365.1</v>
      </c>
      <c r="DH168" s="118">
        <f t="shared" si="1881"/>
        <v>0</v>
      </c>
      <c r="DI168" s="106">
        <f>+_xlfn.XLOOKUP($CT168,Budget!$A:$A,Budget!BQ:BQ)</f>
        <v>0</v>
      </c>
      <c r="DJ168" s="106">
        <f>+_xlfn.XLOOKUP($CT168,Budget!$A:$A,Budget!BR:BR)</f>
        <v>0</v>
      </c>
      <c r="DK168" s="106">
        <f>+_xlfn.XLOOKUP($CT168,Budget!$A:$A,Budget!BS:BS)</f>
        <v>0</v>
      </c>
      <c r="DL168" s="106">
        <f>+_xlfn.XLOOKUP($CT168,Budget!$A:$A,Budget!BT:BT)</f>
        <v>0</v>
      </c>
      <c r="DM168" s="106">
        <f>+_xlfn.XLOOKUP($CT168,Budget!$A:$A,Budget!BU:BU)</f>
        <v>0</v>
      </c>
      <c r="DN168" s="106">
        <f>+_xlfn.XLOOKUP($CT168,Budget!$A:$A,Budget!BV:BV)</f>
        <v>0</v>
      </c>
      <c r="DO168" s="106">
        <f>+_xlfn.XLOOKUP($CT168,Budget!$A:$A,Budget!BW:BW)</f>
        <v>0</v>
      </c>
      <c r="DP168" s="106">
        <f>+_xlfn.XLOOKUP($CT168,Budget!$A:$A,Budget!BX:BX)</f>
        <v>0</v>
      </c>
      <c r="DQ168" s="106">
        <f>+_xlfn.XLOOKUP($CT168,Budget!$A:$A,Budget!BY:BY)</f>
        <v>0</v>
      </c>
      <c r="DR168" s="106">
        <f>+_xlfn.XLOOKUP($CT168,Budget!$A:$A,Budget!BZ:BZ)</f>
        <v>0</v>
      </c>
      <c r="DS168" s="106">
        <f>+_xlfn.XLOOKUP($CT168,Budget!$A:$A,Budget!CA:CA)</f>
        <v>0</v>
      </c>
      <c r="DT168" s="106">
        <f>+_xlfn.XLOOKUP($CT168,Budget!$A:$A,Budget!CB:CB)</f>
        <v>0</v>
      </c>
      <c r="DU168" s="106">
        <f t="shared" si="1958"/>
        <v>0</v>
      </c>
    </row>
    <row r="169" spans="1:125" ht="14.45" hidden="1" customHeight="1" outlineLevel="2">
      <c r="A169" s="106">
        <f t="shared" si="1914"/>
        <v>0</v>
      </c>
      <c r="B169" s="106">
        <f t="shared" si="1915"/>
        <v>0</v>
      </c>
      <c r="C169" s="106">
        <f t="shared" si="1916"/>
        <v>0</v>
      </c>
      <c r="D169" s="106">
        <f t="shared" si="1917"/>
        <v>0</v>
      </c>
      <c r="E169" s="106">
        <f t="shared" si="1918"/>
        <v>0</v>
      </c>
      <c r="F169" s="106">
        <f t="shared" si="1919"/>
        <v>0</v>
      </c>
      <c r="G169" s="106">
        <f t="shared" si="1920"/>
        <v>0</v>
      </c>
      <c r="H169" s="106">
        <f t="shared" si="1921"/>
        <v>0</v>
      </c>
      <c r="I169" s="106">
        <f t="shared" si="1922"/>
        <v>0</v>
      </c>
      <c r="J169" s="106">
        <f t="shared" si="1923"/>
        <v>0</v>
      </c>
      <c r="K169" s="106">
        <f t="shared" si="1924"/>
        <v>0</v>
      </c>
      <c r="L169" s="106">
        <f t="shared" si="1925"/>
        <v>0</v>
      </c>
      <c r="M169" s="106">
        <f t="shared" si="1926"/>
        <v>0</v>
      </c>
      <c r="N169" s="16" t="s">
        <v>141</v>
      </c>
      <c r="O169" s="106">
        <f t="shared" si="1927"/>
        <v>0</v>
      </c>
      <c r="P169" s="106">
        <f t="shared" si="1928"/>
        <v>0</v>
      </c>
      <c r="Q169" s="106">
        <f t="shared" si="1929"/>
        <v>0</v>
      </c>
      <c r="R169" s="106">
        <f t="shared" si="1930"/>
        <v>0</v>
      </c>
      <c r="S169" s="106">
        <f t="shared" si="1931"/>
        <v>0</v>
      </c>
      <c r="T169" s="106">
        <f t="shared" si="1932"/>
        <v>0</v>
      </c>
      <c r="U169" s="106">
        <f t="shared" si="1933"/>
        <v>0</v>
      </c>
      <c r="V169" s="106">
        <f t="shared" si="1934"/>
        <v>0</v>
      </c>
      <c r="W169" s="106">
        <f t="shared" si="1935"/>
        <v>0</v>
      </c>
      <c r="X169" s="106">
        <f t="shared" si="1936"/>
        <v>13156.01</v>
      </c>
      <c r="Y169" s="106">
        <f t="shared" si="1937"/>
        <v>0</v>
      </c>
      <c r="Z169" s="106">
        <f t="shared" si="1938"/>
        <v>0</v>
      </c>
      <c r="AA169" s="106">
        <f t="shared" si="1939"/>
        <v>13156.01</v>
      </c>
      <c r="AB169" s="118">
        <f t="shared" si="1861"/>
        <v>0</v>
      </c>
      <c r="AC169" s="106">
        <f t="shared" si="1940"/>
        <v>0</v>
      </c>
      <c r="AD169" s="106">
        <f t="shared" si="1941"/>
        <v>0</v>
      </c>
      <c r="AE169" s="106">
        <f t="shared" si="1942"/>
        <v>0</v>
      </c>
      <c r="AF169" s="106">
        <f t="shared" si="1943"/>
        <v>0</v>
      </c>
      <c r="AG169" s="106">
        <f t="shared" si="1944"/>
        <v>0</v>
      </c>
      <c r="AH169" s="106">
        <f t="shared" si="1945"/>
        <v>0</v>
      </c>
      <c r="AI169" s="106">
        <f t="shared" si="1946"/>
        <v>0</v>
      </c>
      <c r="AJ169" s="106">
        <f t="shared" si="1947"/>
        <v>0</v>
      </c>
      <c r="AK169" s="106">
        <f t="shared" si="1948"/>
        <v>0</v>
      </c>
      <c r="AL169" s="106">
        <f t="shared" si="1949"/>
        <v>0</v>
      </c>
      <c r="AM169" s="106">
        <f t="shared" si="1950"/>
        <v>0</v>
      </c>
      <c r="AN169" s="106">
        <f t="shared" si="1951"/>
        <v>0</v>
      </c>
      <c r="AO169" s="106">
        <f t="shared" si="1952"/>
        <v>0</v>
      </c>
      <c r="AQ169" s="106">
        <v>0</v>
      </c>
      <c r="AR169" s="106">
        <v>0</v>
      </c>
      <c r="AS169" s="106">
        <v>0</v>
      </c>
      <c r="AT169" s="106">
        <v>0</v>
      </c>
      <c r="AU169" s="106">
        <v>0</v>
      </c>
      <c r="AV169" s="106">
        <v>0</v>
      </c>
      <c r="AW169" s="106">
        <v>0</v>
      </c>
      <c r="AX169" s="106">
        <v>0</v>
      </c>
      <c r="AY169" s="106">
        <v>0</v>
      </c>
      <c r="AZ169" s="106">
        <v>0</v>
      </c>
      <c r="BA169" s="106">
        <v>0</v>
      </c>
      <c r="BB169" s="106">
        <v>0</v>
      </c>
      <c r="BC169" s="106">
        <f t="shared" si="1953"/>
        <v>0</v>
      </c>
      <c r="BD169" s="16" t="str">
        <f t="shared" si="1532"/>
        <v>Repair and Maintenance - Flatbed</v>
      </c>
      <c r="BE169" s="106">
        <f>+VLOOKUP($BD169,'Jan-25'!$A:$J,2,0)</f>
        <v>0</v>
      </c>
      <c r="BF169" s="106">
        <f>+VLOOKUP($BD169,'Feb-25'!$A:$J,2,0)</f>
        <v>0</v>
      </c>
      <c r="BG169" s="106">
        <f>+VLOOKUP($BD169,'Mar-25'!$A:$J,2,0)</f>
        <v>0</v>
      </c>
      <c r="BH169" s="106">
        <f>+VLOOKUP($BD169,'Apr-25'!$A:$J,2,0)</f>
        <v>0</v>
      </c>
      <c r="BI169" s="106">
        <f>+VLOOKUP($BD169,'May-25'!$A:$J,2,0)</f>
        <v>0</v>
      </c>
      <c r="BJ169" s="106">
        <f>+VLOOKUP($BD169,'June-25'!$A:$J,2,0)</f>
        <v>0</v>
      </c>
      <c r="BK169" s="106">
        <f>+VLOOKUP($BD169,'July-25'!$A:$J,2,0)</f>
        <v>0</v>
      </c>
      <c r="BL169" s="106">
        <f>+VLOOKUP($BD169,'Aug-25'!$A:$J,2,0)</f>
        <v>0</v>
      </c>
      <c r="BM169" s="106">
        <f>+VLOOKUP($BD169,'Sep-25'!$A:$J,2,0)</f>
        <v>0</v>
      </c>
      <c r="BN169" s="106">
        <f>+VLOOKUP($BD169,'Oct-25'!$A:$J,2,0)</f>
        <v>13156.01</v>
      </c>
      <c r="BO169" s="106">
        <f>+VLOOKUP($BD169,'Nov-25'!$A:$J,2,0)</f>
        <v>0</v>
      </c>
      <c r="BP169" s="106">
        <f>+VLOOKUP($BD169,'Dec-25'!$A:$J,2,0)</f>
        <v>0</v>
      </c>
      <c r="BQ169" s="106">
        <f t="shared" si="1954"/>
        <v>13156.01</v>
      </c>
      <c r="BR169" s="118">
        <f t="shared" si="1877"/>
        <v>0</v>
      </c>
      <c r="BS169" s="106" cm="1">
        <f t="array" ref="BS169:CD169">+_xlfn.XLOOKUP(BD169,Budget!A:A,Budget!Q:AB)</f>
        <v>0</v>
      </c>
      <c r="BT169" s="106">
        <v>0</v>
      </c>
      <c r="BU169" s="106">
        <v>0</v>
      </c>
      <c r="BV169" s="106">
        <v>0</v>
      </c>
      <c r="BW169" s="106">
        <v>0</v>
      </c>
      <c r="BX169" s="106">
        <v>0</v>
      </c>
      <c r="BY169" s="106">
        <v>0</v>
      </c>
      <c r="BZ169" s="106">
        <v>0</v>
      </c>
      <c r="CA169" s="106">
        <v>0</v>
      </c>
      <c r="CB169" s="106">
        <v>0</v>
      </c>
      <c r="CC169" s="106">
        <v>0</v>
      </c>
      <c r="CD169" s="106">
        <v>0</v>
      </c>
      <c r="CE169" s="106">
        <f t="shared" si="1955"/>
        <v>0</v>
      </c>
      <c r="CF169" s="22"/>
      <c r="CG169" s="106">
        <v>0</v>
      </c>
      <c r="CH169" s="106">
        <v>0</v>
      </c>
      <c r="CI169" s="106">
        <v>0</v>
      </c>
      <c r="CJ169" s="106">
        <v>0</v>
      </c>
      <c r="CK169" s="106">
        <v>0</v>
      </c>
      <c r="CL169" s="106">
        <v>0</v>
      </c>
      <c r="CM169" s="106">
        <v>0</v>
      </c>
      <c r="CN169" s="106">
        <v>0</v>
      </c>
      <c r="CO169" s="106">
        <v>0</v>
      </c>
      <c r="CP169" s="106">
        <v>0</v>
      </c>
      <c r="CQ169" s="106">
        <v>0</v>
      </c>
      <c r="CR169" s="106">
        <v>0</v>
      </c>
      <c r="CS169" s="106">
        <f t="shared" si="1956"/>
        <v>0</v>
      </c>
      <c r="CT169" s="16" t="str">
        <f t="shared" si="1536"/>
        <v>Repair and Maintenance - Flatbed</v>
      </c>
      <c r="CU169" s="106">
        <f>+VLOOKUP($BD169,'Jan-25'!$A:$J,6,0)</f>
        <v>0</v>
      </c>
      <c r="CV169" s="106">
        <f>+VLOOKUP($BD169,'Feb-25'!$A:$J,6,0)</f>
        <v>0</v>
      </c>
      <c r="CW169" s="106">
        <f>+VLOOKUP($BD169,'Mar-25'!$A:$J,6,0)</f>
        <v>0</v>
      </c>
      <c r="CX169" s="106">
        <f>+VLOOKUP($BD169,'Apr-25'!$A:$J,6,0)</f>
        <v>0</v>
      </c>
      <c r="CY169" s="106">
        <f>+VLOOKUP($BD169,'May-25'!$A:$J,6,0)</f>
        <v>0</v>
      </c>
      <c r="CZ169" s="106">
        <f>+VLOOKUP($BD169,'June-25'!$A:$J,6,0)</f>
        <v>0</v>
      </c>
      <c r="DA169" s="106">
        <f>+VLOOKUP($BD169,'July-25'!$A:$J,6,0)</f>
        <v>0</v>
      </c>
      <c r="DB169" s="106">
        <f>+VLOOKUP($BD169,'Aug-25'!$A:$J,6,0)</f>
        <v>0</v>
      </c>
      <c r="DC169" s="106">
        <f>+VLOOKUP($BD169,'Sep-25'!$A:$J,6,0)</f>
        <v>0</v>
      </c>
      <c r="DD169" s="106">
        <f>+VLOOKUP($BD169,'Oct-25'!$A:$J,6,0)</f>
        <v>0</v>
      </c>
      <c r="DE169" s="106">
        <f>+VLOOKUP($BD169,'Nov-25'!$A:$J,6,0)</f>
        <v>0</v>
      </c>
      <c r="DF169" s="106">
        <f>+VLOOKUP($BD169,'Dec-25'!$A:$J,6,0)</f>
        <v>0</v>
      </c>
      <c r="DG169" s="106">
        <f t="shared" si="1957"/>
        <v>0</v>
      </c>
      <c r="DH169" s="118">
        <f t="shared" si="1881"/>
        <v>0</v>
      </c>
      <c r="DI169" s="106">
        <f>+_xlfn.XLOOKUP($CT169,Budget!$A:$A,Budget!BQ:BQ)</f>
        <v>0</v>
      </c>
      <c r="DJ169" s="106">
        <f>+_xlfn.XLOOKUP($CT169,Budget!$A:$A,Budget!BR:BR)</f>
        <v>0</v>
      </c>
      <c r="DK169" s="106">
        <f>+_xlfn.XLOOKUP($CT169,Budget!$A:$A,Budget!BS:BS)</f>
        <v>0</v>
      </c>
      <c r="DL169" s="106">
        <f>+_xlfn.XLOOKUP($CT169,Budget!$A:$A,Budget!BT:BT)</f>
        <v>0</v>
      </c>
      <c r="DM169" s="106">
        <f>+_xlfn.XLOOKUP($CT169,Budget!$A:$A,Budget!BU:BU)</f>
        <v>0</v>
      </c>
      <c r="DN169" s="106">
        <f>+_xlfn.XLOOKUP($CT169,Budget!$A:$A,Budget!BV:BV)</f>
        <v>0</v>
      </c>
      <c r="DO169" s="106">
        <f>+_xlfn.XLOOKUP($CT169,Budget!$A:$A,Budget!BW:BW)</f>
        <v>0</v>
      </c>
      <c r="DP169" s="106">
        <f>+_xlfn.XLOOKUP($CT169,Budget!$A:$A,Budget!BX:BX)</f>
        <v>0</v>
      </c>
      <c r="DQ169" s="106">
        <f>+_xlfn.XLOOKUP($CT169,Budget!$A:$A,Budget!BY:BY)</f>
        <v>0</v>
      </c>
      <c r="DR169" s="106">
        <f>+_xlfn.XLOOKUP($CT169,Budget!$A:$A,Budget!BZ:BZ)</f>
        <v>0</v>
      </c>
      <c r="DS169" s="106">
        <f>+_xlfn.XLOOKUP($CT169,Budget!$A:$A,Budget!CA:CA)</f>
        <v>0</v>
      </c>
      <c r="DT169" s="106">
        <f>+_xlfn.XLOOKUP($CT169,Budget!$A:$A,Budget!CB:CB)</f>
        <v>0</v>
      </c>
      <c r="DU169" s="106">
        <f t="shared" si="1958"/>
        <v>0</v>
      </c>
    </row>
    <row r="170" spans="1:125" ht="14.45" hidden="1" customHeight="1" outlineLevel="2">
      <c r="A170" s="106">
        <f t="shared" si="1914"/>
        <v>15091.25</v>
      </c>
      <c r="B170" s="106">
        <f t="shared" si="1915"/>
        <v>6550.72</v>
      </c>
      <c r="C170" s="106">
        <f t="shared" si="1916"/>
        <v>0</v>
      </c>
      <c r="D170" s="106">
        <f t="shared" si="1917"/>
        <v>6060</v>
      </c>
      <c r="E170" s="106">
        <f t="shared" si="1918"/>
        <v>10786.581</v>
      </c>
      <c r="F170" s="106">
        <f t="shared" si="1919"/>
        <v>11922.55</v>
      </c>
      <c r="G170" s="106">
        <f t="shared" si="1920"/>
        <v>38657.9755</v>
      </c>
      <c r="H170" s="106">
        <f t="shared" si="1921"/>
        <v>725</v>
      </c>
      <c r="I170" s="106">
        <f t="shared" si="1922"/>
        <v>13856.495500000001</v>
      </c>
      <c r="J170" s="106">
        <f t="shared" si="1923"/>
        <v>1469</v>
      </c>
      <c r="K170" s="106">
        <f t="shared" si="1924"/>
        <v>2750</v>
      </c>
      <c r="L170" s="106">
        <f t="shared" si="1925"/>
        <v>275</v>
      </c>
      <c r="M170" s="106">
        <f t="shared" si="1926"/>
        <v>108144.572</v>
      </c>
      <c r="N170" s="16" t="s">
        <v>142</v>
      </c>
      <c r="O170" s="106">
        <f t="shared" si="1927"/>
        <v>11342.119999999999</v>
      </c>
      <c r="P170" s="106">
        <f t="shared" si="1928"/>
        <v>32038.6345</v>
      </c>
      <c r="Q170" s="106">
        <f t="shared" si="1929"/>
        <v>5378.8184999999994</v>
      </c>
      <c r="R170" s="106">
        <f t="shared" si="1930"/>
        <v>0</v>
      </c>
      <c r="S170" s="106">
        <f t="shared" si="1931"/>
        <v>96250</v>
      </c>
      <c r="T170" s="106">
        <f t="shared" si="1932"/>
        <v>22403.46</v>
      </c>
      <c r="U170" s="106">
        <f t="shared" si="1933"/>
        <v>5160.9415000000008</v>
      </c>
      <c r="V170" s="106">
        <f t="shared" si="1934"/>
        <v>1015.63</v>
      </c>
      <c r="W170" s="106">
        <f t="shared" si="1935"/>
        <v>10912.52</v>
      </c>
      <c r="X170" s="106">
        <f t="shared" si="1936"/>
        <v>4000</v>
      </c>
      <c r="Y170" s="106">
        <f t="shared" si="1937"/>
        <v>0</v>
      </c>
      <c r="Z170" s="106">
        <f t="shared" si="1938"/>
        <v>0</v>
      </c>
      <c r="AA170" s="106">
        <f t="shared" si="1939"/>
        <v>188502.12450000001</v>
      </c>
      <c r="AB170" s="118">
        <f t="shared" si="1861"/>
        <v>-0.625</v>
      </c>
      <c r="AC170" s="106">
        <f t="shared" si="1940"/>
        <v>1666.6666666666667</v>
      </c>
      <c r="AD170" s="106">
        <f t="shared" si="1941"/>
        <v>1666.6666666666667</v>
      </c>
      <c r="AE170" s="106">
        <f t="shared" si="1942"/>
        <v>1666.6666666666667</v>
      </c>
      <c r="AF170" s="106">
        <f t="shared" si="1943"/>
        <v>1666.6666666666667</v>
      </c>
      <c r="AG170" s="106">
        <f t="shared" si="1944"/>
        <v>1666.6666666666667</v>
      </c>
      <c r="AH170" s="106">
        <f t="shared" si="1945"/>
        <v>1666.6666666666667</v>
      </c>
      <c r="AI170" s="106">
        <f t="shared" si="1946"/>
        <v>1666.6666666666667</v>
      </c>
      <c r="AJ170" s="106">
        <f t="shared" si="1947"/>
        <v>1666.6666666666667</v>
      </c>
      <c r="AK170" s="106">
        <f t="shared" si="1948"/>
        <v>1666.6666666666667</v>
      </c>
      <c r="AL170" s="106">
        <f t="shared" si="1949"/>
        <v>10666.666666666666</v>
      </c>
      <c r="AM170" s="106">
        <f t="shared" si="1950"/>
        <v>1666.6666666666667</v>
      </c>
      <c r="AN170" s="106">
        <f t="shared" si="1951"/>
        <v>1666.6666666666667</v>
      </c>
      <c r="AO170" s="106">
        <f t="shared" si="1952"/>
        <v>29000</v>
      </c>
      <c r="AQ170" s="106">
        <v>15091.25</v>
      </c>
      <c r="AR170" s="106">
        <v>6550.72</v>
      </c>
      <c r="AS170" s="106">
        <v>0</v>
      </c>
      <c r="AT170" s="106">
        <v>2350</v>
      </c>
      <c r="AU170" s="106">
        <v>6721.4579999999996</v>
      </c>
      <c r="AV170" s="106">
        <v>11922.55</v>
      </c>
      <c r="AW170" s="106">
        <v>30714.603999999999</v>
      </c>
      <c r="AX170" s="106">
        <v>200</v>
      </c>
      <c r="AY170" s="106">
        <v>10770.904</v>
      </c>
      <c r="AZ170" s="106">
        <v>1442</v>
      </c>
      <c r="BA170" s="106">
        <v>2000</v>
      </c>
      <c r="BB170" s="106">
        <v>200</v>
      </c>
      <c r="BC170" s="106">
        <f t="shared" si="1953"/>
        <v>87963.48599999999</v>
      </c>
      <c r="BD170" s="16" t="str">
        <f t="shared" si="1532"/>
        <v>Repair and Maintenance - Own Car</v>
      </c>
      <c r="BE170" s="106">
        <f>+VLOOKUP($BD170,'Jan-25'!$A:$J,2,0)</f>
        <v>8687.5</v>
      </c>
      <c r="BF170" s="106">
        <f>+VLOOKUP($BD170,'Feb-25'!$A:$J,2,0)</f>
        <v>30851.626</v>
      </c>
      <c r="BG170" s="106">
        <f>+VLOOKUP($BD170,'Mar-25'!$A:$J,2,0)</f>
        <v>3911.8680000000004</v>
      </c>
      <c r="BH170" s="106">
        <f>+VLOOKUP($BD170,'Apr-25'!$A:$J,2,0)</f>
        <v>0</v>
      </c>
      <c r="BI170" s="106">
        <f>+VLOOKUP($BD170,'May-25'!$A:$J,2,0)</f>
        <v>70000</v>
      </c>
      <c r="BJ170" s="106">
        <f>+VLOOKUP($BD170,'June-25'!$A:$J,2,0)</f>
        <v>22403.46</v>
      </c>
      <c r="BK170" s="106">
        <f>+VLOOKUP($BD170,'July-25'!$A:$J,2,0)</f>
        <v>3753.4120000000003</v>
      </c>
      <c r="BL170" s="106">
        <f>+VLOOKUP($BD170,'Aug-25'!$A:$J,2,0)</f>
        <v>1015.63</v>
      </c>
      <c r="BM170" s="106">
        <f>+VLOOKUP($BD170,'Sep-25'!$A:$J,2,0)</f>
        <v>10912.52</v>
      </c>
      <c r="BN170" s="106">
        <f>+VLOOKUP($BD170,'Oct-25'!$A:$J,2,0)</f>
        <v>4000</v>
      </c>
      <c r="BO170" s="106">
        <f>+VLOOKUP($BD170,'Nov-25'!$A:$J,2,0)</f>
        <v>0</v>
      </c>
      <c r="BP170" s="106">
        <f>+VLOOKUP($BD170,'Dec-25'!$A:$J,2,0)</f>
        <v>0</v>
      </c>
      <c r="BQ170" s="106">
        <f t="shared" si="1954"/>
        <v>155536.016</v>
      </c>
      <c r="BR170" s="118">
        <f t="shared" si="1877"/>
        <v>-0.625</v>
      </c>
      <c r="BS170" s="106" cm="1">
        <f t="array" ref="BS170:CD170">+_xlfn.XLOOKUP(BD170,Budget!A:A,Budget!Q:AB)</f>
        <v>1666.6666666666667</v>
      </c>
      <c r="BT170" s="106">
        <v>1666.6666666666667</v>
      </c>
      <c r="BU170" s="106">
        <v>1666.6666666666667</v>
      </c>
      <c r="BV170" s="106">
        <v>1666.6666666666667</v>
      </c>
      <c r="BW170" s="106">
        <v>1666.6666666666667</v>
      </c>
      <c r="BX170" s="106">
        <v>1666.6666666666667</v>
      </c>
      <c r="BY170" s="106">
        <v>1666.6666666666667</v>
      </c>
      <c r="BZ170" s="106">
        <v>1666.6666666666667</v>
      </c>
      <c r="CA170" s="106">
        <v>1666.6666666666667</v>
      </c>
      <c r="CB170" s="106">
        <v>10666.666666666666</v>
      </c>
      <c r="CC170" s="106">
        <v>1666.6666666666667</v>
      </c>
      <c r="CD170" s="106">
        <v>1666.6666666666667</v>
      </c>
      <c r="CE170" s="106">
        <f t="shared" si="1955"/>
        <v>29000</v>
      </c>
      <c r="CF170" s="22"/>
      <c r="CG170" s="106">
        <v>0</v>
      </c>
      <c r="CH170" s="106">
        <v>0</v>
      </c>
      <c r="CI170" s="106">
        <v>0</v>
      </c>
      <c r="CJ170" s="106">
        <v>3710</v>
      </c>
      <c r="CK170" s="106">
        <v>4065.123</v>
      </c>
      <c r="CL170" s="106">
        <v>0</v>
      </c>
      <c r="CM170" s="106">
        <v>7943.3714999999993</v>
      </c>
      <c r="CN170" s="106">
        <v>525</v>
      </c>
      <c r="CO170" s="106">
        <v>3085.5915</v>
      </c>
      <c r="CP170" s="106">
        <v>27</v>
      </c>
      <c r="CQ170" s="106">
        <v>750</v>
      </c>
      <c r="CR170" s="106">
        <v>75</v>
      </c>
      <c r="CS170" s="106">
        <f t="shared" si="1956"/>
        <v>20181.085999999999</v>
      </c>
      <c r="CT170" s="16" t="str">
        <f t="shared" si="1536"/>
        <v>Repair and Maintenance - Own Car</v>
      </c>
      <c r="CU170" s="106">
        <f>+VLOOKUP($BD170,'Jan-25'!$A:$J,6,0)</f>
        <v>2654.62</v>
      </c>
      <c r="CV170" s="106">
        <f>+VLOOKUP($BD170,'Feb-25'!$A:$J,6,0)</f>
        <v>1187.0084999999999</v>
      </c>
      <c r="CW170" s="106">
        <f>+VLOOKUP($BD170,'Mar-25'!$A:$J,6,0)</f>
        <v>1466.9504999999995</v>
      </c>
      <c r="CX170" s="106">
        <f>+VLOOKUP($BD170,'Apr-25'!$A:$J,6,0)</f>
        <v>0</v>
      </c>
      <c r="CY170" s="106">
        <f>+VLOOKUP($BD170,'May-25'!$A:$J,6,0)</f>
        <v>26250</v>
      </c>
      <c r="CZ170" s="106">
        <f>+VLOOKUP($BD170,'June-25'!$A:$J,6,0)</f>
        <v>0</v>
      </c>
      <c r="DA170" s="106">
        <f>+VLOOKUP($BD170,'July-25'!$A:$J,6,0)</f>
        <v>1407.5295000000001</v>
      </c>
      <c r="DB170" s="106">
        <f>+VLOOKUP($BD170,'Aug-25'!$A:$J,6,0)</f>
        <v>0</v>
      </c>
      <c r="DC170" s="106">
        <f>+VLOOKUP($BD170,'Sep-25'!$A:$J,6,0)</f>
        <v>0</v>
      </c>
      <c r="DD170" s="106">
        <f>+VLOOKUP($BD170,'Oct-25'!$A:$J,6,0)</f>
        <v>0</v>
      </c>
      <c r="DE170" s="106">
        <f>+VLOOKUP($BD170,'Nov-25'!$A:$J,6,0)</f>
        <v>0</v>
      </c>
      <c r="DF170" s="106">
        <f>+VLOOKUP($BD170,'Dec-25'!$A:$J,6,0)</f>
        <v>0</v>
      </c>
      <c r="DG170" s="106">
        <f t="shared" si="1957"/>
        <v>32966.108499999995</v>
      </c>
      <c r="DH170" s="118">
        <f t="shared" si="1881"/>
        <v>0</v>
      </c>
      <c r="DI170" s="106">
        <f>+_xlfn.XLOOKUP($CT170,Budget!$A:$A,Budget!BQ:BQ)</f>
        <v>0</v>
      </c>
      <c r="DJ170" s="106">
        <f>+_xlfn.XLOOKUP($CT170,Budget!$A:$A,Budget!BR:BR)</f>
        <v>0</v>
      </c>
      <c r="DK170" s="106">
        <f>+_xlfn.XLOOKUP($CT170,Budget!$A:$A,Budget!BS:BS)</f>
        <v>0</v>
      </c>
      <c r="DL170" s="106">
        <f>+_xlfn.XLOOKUP($CT170,Budget!$A:$A,Budget!BT:BT)</f>
        <v>0</v>
      </c>
      <c r="DM170" s="106">
        <f>+_xlfn.XLOOKUP($CT170,Budget!$A:$A,Budget!BU:BU)</f>
        <v>0</v>
      </c>
      <c r="DN170" s="106">
        <f>+_xlfn.XLOOKUP($CT170,Budget!$A:$A,Budget!BV:BV)</f>
        <v>0</v>
      </c>
      <c r="DO170" s="106">
        <f>+_xlfn.XLOOKUP($CT170,Budget!$A:$A,Budget!BW:BW)</f>
        <v>0</v>
      </c>
      <c r="DP170" s="106">
        <f>+_xlfn.XLOOKUP($CT170,Budget!$A:$A,Budget!BX:BX)</f>
        <v>0</v>
      </c>
      <c r="DQ170" s="106">
        <f>+_xlfn.XLOOKUP($CT170,Budget!$A:$A,Budget!BY:BY)</f>
        <v>0</v>
      </c>
      <c r="DR170" s="106">
        <f>+_xlfn.XLOOKUP($CT170,Budget!$A:$A,Budget!BZ:BZ)</f>
        <v>0</v>
      </c>
      <c r="DS170" s="106">
        <f>+_xlfn.XLOOKUP($CT170,Budget!$A:$A,Budget!CA:CA)</f>
        <v>0</v>
      </c>
      <c r="DT170" s="106">
        <f>+_xlfn.XLOOKUP($CT170,Budget!$A:$A,Budget!CB:CB)</f>
        <v>0</v>
      </c>
      <c r="DU170" s="106">
        <f t="shared" si="1958"/>
        <v>0</v>
      </c>
    </row>
    <row r="171" spans="1:125" ht="14.45" hidden="1" customHeight="1" outlineLevel="2">
      <c r="A171" s="106">
        <f t="shared" si="1914"/>
        <v>0</v>
      </c>
      <c r="B171" s="106">
        <f t="shared" si="1915"/>
        <v>0</v>
      </c>
      <c r="C171" s="106">
        <f t="shared" si="1916"/>
        <v>0</v>
      </c>
      <c r="D171" s="106">
        <f t="shared" si="1917"/>
        <v>0</v>
      </c>
      <c r="E171" s="106">
        <f t="shared" si="1918"/>
        <v>0</v>
      </c>
      <c r="F171" s="106">
        <f t="shared" si="1919"/>
        <v>0</v>
      </c>
      <c r="G171" s="106">
        <f t="shared" si="1920"/>
        <v>0</v>
      </c>
      <c r="H171" s="106">
        <f t="shared" si="1921"/>
        <v>0</v>
      </c>
      <c r="I171" s="106">
        <f t="shared" si="1922"/>
        <v>0</v>
      </c>
      <c r="J171" s="106">
        <f t="shared" si="1923"/>
        <v>0</v>
      </c>
      <c r="K171" s="106">
        <f t="shared" si="1924"/>
        <v>0</v>
      </c>
      <c r="L171" s="106">
        <f t="shared" si="1925"/>
        <v>0</v>
      </c>
      <c r="M171" s="106">
        <f t="shared" si="1926"/>
        <v>0</v>
      </c>
      <c r="N171" s="16" t="s">
        <v>143</v>
      </c>
      <c r="O171" s="106">
        <f t="shared" si="1927"/>
        <v>0</v>
      </c>
      <c r="P171" s="106">
        <f t="shared" si="1928"/>
        <v>0</v>
      </c>
      <c r="Q171" s="106">
        <f t="shared" si="1929"/>
        <v>0</v>
      </c>
      <c r="R171" s="106">
        <f t="shared" si="1930"/>
        <v>0</v>
      </c>
      <c r="S171" s="106">
        <f t="shared" si="1931"/>
        <v>0</v>
      </c>
      <c r="T171" s="106">
        <f t="shared" si="1932"/>
        <v>0</v>
      </c>
      <c r="U171" s="106">
        <f t="shared" si="1933"/>
        <v>0</v>
      </c>
      <c r="V171" s="106">
        <f t="shared" si="1934"/>
        <v>0</v>
      </c>
      <c r="W171" s="106">
        <f t="shared" si="1935"/>
        <v>0</v>
      </c>
      <c r="X171" s="106">
        <f t="shared" si="1936"/>
        <v>0</v>
      </c>
      <c r="Y171" s="106">
        <f t="shared" si="1937"/>
        <v>0</v>
      </c>
      <c r="Z171" s="106">
        <f t="shared" si="1938"/>
        <v>0</v>
      </c>
      <c r="AA171" s="106">
        <f t="shared" si="1939"/>
        <v>0</v>
      </c>
      <c r="AB171" s="118">
        <f t="shared" si="1861"/>
        <v>0</v>
      </c>
      <c r="AC171" s="106">
        <f t="shared" si="1940"/>
        <v>0</v>
      </c>
      <c r="AD171" s="106">
        <f t="shared" si="1941"/>
        <v>0</v>
      </c>
      <c r="AE171" s="106">
        <f t="shared" si="1942"/>
        <v>0</v>
      </c>
      <c r="AF171" s="106">
        <f t="shared" si="1943"/>
        <v>0</v>
      </c>
      <c r="AG171" s="106">
        <f t="shared" si="1944"/>
        <v>0</v>
      </c>
      <c r="AH171" s="106">
        <f t="shared" si="1945"/>
        <v>0</v>
      </c>
      <c r="AI171" s="106">
        <f t="shared" si="1946"/>
        <v>0</v>
      </c>
      <c r="AJ171" s="106">
        <f t="shared" si="1947"/>
        <v>0</v>
      </c>
      <c r="AK171" s="106">
        <f t="shared" si="1948"/>
        <v>0</v>
      </c>
      <c r="AL171" s="106">
        <f t="shared" si="1949"/>
        <v>0</v>
      </c>
      <c r="AM171" s="106">
        <f t="shared" si="1950"/>
        <v>0</v>
      </c>
      <c r="AN171" s="106">
        <f t="shared" si="1951"/>
        <v>0</v>
      </c>
      <c r="AO171" s="106">
        <f t="shared" si="1952"/>
        <v>0</v>
      </c>
      <c r="AQ171" s="106">
        <v>0</v>
      </c>
      <c r="AR171" s="106">
        <v>0</v>
      </c>
      <c r="AS171" s="106">
        <v>0</v>
      </c>
      <c r="AT171" s="106">
        <v>0</v>
      </c>
      <c r="AU171" s="106">
        <v>0</v>
      </c>
      <c r="AV171" s="106">
        <v>0</v>
      </c>
      <c r="AW171" s="106">
        <v>0</v>
      </c>
      <c r="AX171" s="106">
        <v>0</v>
      </c>
      <c r="AY171" s="106">
        <v>0</v>
      </c>
      <c r="AZ171" s="106">
        <v>0</v>
      </c>
      <c r="BA171" s="106">
        <v>0</v>
      </c>
      <c r="BB171" s="106">
        <v>0</v>
      </c>
      <c r="BC171" s="106">
        <f t="shared" si="1953"/>
        <v>0</v>
      </c>
      <c r="BD171" s="16" t="str">
        <f t="shared" si="1532"/>
        <v>Repair and Maintenance - Pickup Vehicle</v>
      </c>
      <c r="BE171" s="106">
        <f>+VLOOKUP($BD171,'Jan-25'!$A:$J,2,0)</f>
        <v>0</v>
      </c>
      <c r="BF171" s="106">
        <f>+VLOOKUP($BD171,'Feb-25'!$A:$J,2,0)</f>
        <v>0</v>
      </c>
      <c r="BG171" s="106">
        <f>+VLOOKUP($BD171,'Mar-25'!$A:$J,2,0)</f>
        <v>0</v>
      </c>
      <c r="BH171" s="106">
        <f>+VLOOKUP($BD171,'Apr-25'!$A:$J,2,0)</f>
        <v>0</v>
      </c>
      <c r="BI171" s="106">
        <f>+VLOOKUP($BD171,'May-25'!$A:$J,2,0)</f>
        <v>0</v>
      </c>
      <c r="BJ171" s="106">
        <f>+VLOOKUP($BD171,'June-25'!$A:$J,2,0)</f>
        <v>0</v>
      </c>
      <c r="BK171" s="106">
        <f>+VLOOKUP($BD171,'July-25'!$A:$J,2,0)</f>
        <v>0</v>
      </c>
      <c r="BL171" s="106">
        <f>+VLOOKUP($BD171,'Aug-25'!$A:$J,2,0)</f>
        <v>0</v>
      </c>
      <c r="BM171" s="106">
        <f>+VLOOKUP($BD171,'Sep-25'!$A:$J,2,0)</f>
        <v>0</v>
      </c>
      <c r="BN171" s="106">
        <f>+VLOOKUP($BD171,'Oct-25'!$A:$J,2,0)</f>
        <v>0</v>
      </c>
      <c r="BO171" s="106">
        <f>+VLOOKUP($BD171,'Nov-25'!$A:$J,2,0)</f>
        <v>0</v>
      </c>
      <c r="BP171" s="106">
        <f>+VLOOKUP($BD171,'Dec-25'!$A:$J,2,0)</f>
        <v>0</v>
      </c>
      <c r="BQ171" s="106">
        <f t="shared" si="1954"/>
        <v>0</v>
      </c>
      <c r="BR171" s="118">
        <f t="shared" si="1877"/>
        <v>0</v>
      </c>
      <c r="BS171" s="106" cm="1">
        <f t="array" ref="BS171:CD171">+_xlfn.XLOOKUP(BD171,Budget!A:A,Budget!Q:AB)</f>
        <v>0</v>
      </c>
      <c r="BT171" s="106">
        <v>0</v>
      </c>
      <c r="BU171" s="106">
        <v>0</v>
      </c>
      <c r="BV171" s="106">
        <v>0</v>
      </c>
      <c r="BW171" s="106">
        <v>0</v>
      </c>
      <c r="BX171" s="106">
        <v>0</v>
      </c>
      <c r="BY171" s="106">
        <v>0</v>
      </c>
      <c r="BZ171" s="106">
        <v>0</v>
      </c>
      <c r="CA171" s="106">
        <v>0</v>
      </c>
      <c r="CB171" s="106">
        <v>0</v>
      </c>
      <c r="CC171" s="106">
        <v>0</v>
      </c>
      <c r="CD171" s="106">
        <v>0</v>
      </c>
      <c r="CE171" s="106">
        <f t="shared" si="1955"/>
        <v>0</v>
      </c>
      <c r="CF171" s="22"/>
      <c r="CG171" s="106">
        <v>0</v>
      </c>
      <c r="CH171" s="106">
        <v>0</v>
      </c>
      <c r="CI171" s="106">
        <v>0</v>
      </c>
      <c r="CJ171" s="106">
        <v>0</v>
      </c>
      <c r="CK171" s="106">
        <v>0</v>
      </c>
      <c r="CL171" s="106">
        <v>0</v>
      </c>
      <c r="CM171" s="106">
        <v>0</v>
      </c>
      <c r="CN171" s="106">
        <v>0</v>
      </c>
      <c r="CO171" s="106">
        <v>0</v>
      </c>
      <c r="CP171" s="106">
        <v>0</v>
      </c>
      <c r="CQ171" s="106">
        <v>0</v>
      </c>
      <c r="CR171" s="106">
        <v>0</v>
      </c>
      <c r="CS171" s="106">
        <f t="shared" si="1956"/>
        <v>0</v>
      </c>
      <c r="CT171" s="16" t="str">
        <f t="shared" si="1536"/>
        <v>Repair and Maintenance - Pickup Vehicle</v>
      </c>
      <c r="CU171" s="106">
        <f>+VLOOKUP($BD171,'Jan-25'!$A:$J,6,0)</f>
        <v>0</v>
      </c>
      <c r="CV171" s="106">
        <f>+VLOOKUP($BD171,'Feb-25'!$A:$J,6,0)</f>
        <v>0</v>
      </c>
      <c r="CW171" s="106">
        <f>+VLOOKUP($BD171,'Mar-25'!$A:$J,6,0)</f>
        <v>0</v>
      </c>
      <c r="CX171" s="106">
        <f>+VLOOKUP($BD171,'Apr-25'!$A:$J,6,0)</f>
        <v>0</v>
      </c>
      <c r="CY171" s="106">
        <f>+VLOOKUP($BD171,'May-25'!$A:$J,6,0)</f>
        <v>0</v>
      </c>
      <c r="CZ171" s="106">
        <f>+VLOOKUP($BD171,'June-25'!$A:$J,6,0)</f>
        <v>0</v>
      </c>
      <c r="DA171" s="106">
        <f>+VLOOKUP($BD171,'July-25'!$A:$J,6,0)</f>
        <v>0</v>
      </c>
      <c r="DB171" s="106">
        <f>+VLOOKUP($BD171,'Aug-25'!$A:$J,6,0)</f>
        <v>0</v>
      </c>
      <c r="DC171" s="106">
        <f>+VLOOKUP($BD171,'Sep-25'!$A:$J,6,0)</f>
        <v>0</v>
      </c>
      <c r="DD171" s="106">
        <f>+VLOOKUP($BD171,'Oct-25'!$A:$J,6,0)</f>
        <v>0</v>
      </c>
      <c r="DE171" s="106">
        <f>+VLOOKUP($BD171,'Nov-25'!$A:$J,6,0)</f>
        <v>0</v>
      </c>
      <c r="DF171" s="106">
        <f>+VLOOKUP($BD171,'Dec-25'!$A:$J,6,0)</f>
        <v>0</v>
      </c>
      <c r="DG171" s="106">
        <f t="shared" si="1957"/>
        <v>0</v>
      </c>
      <c r="DH171" s="118">
        <f t="shared" si="1881"/>
        <v>0</v>
      </c>
      <c r="DI171" s="106"/>
      <c r="DJ171" s="106"/>
      <c r="DK171" s="106"/>
      <c r="DL171" s="106"/>
      <c r="DM171" s="106"/>
      <c r="DN171" s="106"/>
      <c r="DO171" s="106"/>
      <c r="DP171" s="106"/>
      <c r="DQ171" s="106"/>
      <c r="DR171" s="106"/>
      <c r="DS171" s="106"/>
      <c r="DT171" s="106"/>
      <c r="DU171" s="106">
        <f t="shared" si="1958"/>
        <v>0</v>
      </c>
    </row>
    <row r="172" spans="1:125" ht="14.45" customHeight="1" outlineLevel="1" collapsed="1">
      <c r="A172" s="58">
        <f t="shared" ref="A172:L172" si="1959">+SUM(A173:A177)</f>
        <v>65684.131500000003</v>
      </c>
      <c r="B172" s="58">
        <f t="shared" si="1959"/>
        <v>66549</v>
      </c>
      <c r="C172" s="58">
        <f t="shared" si="1959"/>
        <v>60349.285499999998</v>
      </c>
      <c r="D172" s="58">
        <f t="shared" si="1959"/>
        <v>67537</v>
      </c>
      <c r="E172" s="58">
        <f t="shared" si="1959"/>
        <v>67197</v>
      </c>
      <c r="F172" s="58">
        <f t="shared" si="1959"/>
        <v>66850</v>
      </c>
      <c r="G172" s="58">
        <f t="shared" si="1959"/>
        <v>67908</v>
      </c>
      <c r="H172" s="58">
        <f t="shared" si="1959"/>
        <v>85324</v>
      </c>
      <c r="I172" s="58">
        <f t="shared" si="1959"/>
        <v>90988.181500000006</v>
      </c>
      <c r="J172" s="58">
        <f t="shared" si="1959"/>
        <v>79078</v>
      </c>
      <c r="K172" s="58">
        <f t="shared" si="1959"/>
        <v>66179.546000000002</v>
      </c>
      <c r="L172" s="58">
        <f t="shared" si="1959"/>
        <v>64319.39</v>
      </c>
      <c r="M172" s="58"/>
      <c r="N172" s="20" t="s">
        <v>144</v>
      </c>
      <c r="O172" s="58">
        <f t="shared" ref="O172" si="1960">+SUM(O173:O177)</f>
        <v>48239.85</v>
      </c>
      <c r="P172" s="58">
        <f t="shared" ref="P172" si="1961">+SUM(P173:P177)</f>
        <v>69489.69</v>
      </c>
      <c r="Q172" s="58">
        <f t="shared" ref="Q172" si="1962">+SUM(Q173:Q177)</f>
        <v>127557.07150000001</v>
      </c>
      <c r="R172" s="58">
        <f t="shared" ref="R172" si="1963">+SUM(R173:R177)</f>
        <v>48089.481500000002</v>
      </c>
      <c r="S172" s="58">
        <f t="shared" ref="S172" si="1964">+SUM(S173:S177)</f>
        <v>243068.29149999999</v>
      </c>
      <c r="T172" s="58">
        <f t="shared" ref="T172" si="1965">+SUM(T173:T177)</f>
        <v>124588.84149999999</v>
      </c>
      <c r="U172" s="58">
        <f t="shared" ref="U172" si="1966">+SUM(U173:U177)</f>
        <v>136968.47877777778</v>
      </c>
      <c r="V172" s="58">
        <f t="shared" ref="V172" si="1967">+SUM(V173:V177)</f>
        <v>74353.288499999995</v>
      </c>
      <c r="W172" s="58">
        <f t="shared" ref="W172" si="1968">+SUM(W173:W177)</f>
        <v>147904.26</v>
      </c>
      <c r="X172" s="58">
        <f t="shared" ref="X172" si="1969">+SUM(X173:X177)</f>
        <v>77959.120000000024</v>
      </c>
      <c r="Y172" s="58">
        <f t="shared" ref="Y172" si="1970">+SUM(Y173:Y177)</f>
        <v>0</v>
      </c>
      <c r="Z172" s="58">
        <f t="shared" ref="Z172:AA172" si="1971">+SUM(Z173:Z177)</f>
        <v>0</v>
      </c>
      <c r="AA172" s="58">
        <f t="shared" si="1971"/>
        <v>1098218.3732777778</v>
      </c>
      <c r="AB172" s="118">
        <f t="shared" si="1861"/>
        <v>0.30203123173277702</v>
      </c>
      <c r="AC172" s="58">
        <f t="shared" ref="AC172" si="1972">+SUM(AC173:AC177)</f>
        <v>59875</v>
      </c>
      <c r="AD172" s="58">
        <f t="shared" ref="AD172" si="1973">+SUM(AD173:AD177)</f>
        <v>59875</v>
      </c>
      <c r="AE172" s="58">
        <f t="shared" ref="AE172" si="1974">+SUM(AE173:AE177)</f>
        <v>59875</v>
      </c>
      <c r="AF172" s="58">
        <f t="shared" ref="AF172" si="1975">+SUM(AF173:AF177)</f>
        <v>59875</v>
      </c>
      <c r="AG172" s="58">
        <f t="shared" ref="AG172" si="1976">+SUM(AG173:AG177)</f>
        <v>59875</v>
      </c>
      <c r="AH172" s="58">
        <f t="shared" ref="AH172" si="1977">+SUM(AH173:AH177)</f>
        <v>59875</v>
      </c>
      <c r="AI172" s="58">
        <f t="shared" ref="AI172" si="1978">+SUM(AI173:AI177)</f>
        <v>59875</v>
      </c>
      <c r="AJ172" s="58">
        <f t="shared" ref="AJ172" si="1979">+SUM(AJ173:AJ177)</f>
        <v>59875</v>
      </c>
      <c r="AK172" s="58">
        <f t="shared" ref="AK172" si="1980">+SUM(AK173:AK177)</f>
        <v>59875</v>
      </c>
      <c r="AL172" s="58">
        <f t="shared" ref="AL172" si="1981">+SUM(AL173:AL177)</f>
        <v>59875</v>
      </c>
      <c r="AM172" s="58">
        <f t="shared" ref="AM172" si="1982">+SUM(AM173:AM177)</f>
        <v>59875</v>
      </c>
      <c r="AN172" s="58">
        <f t="shared" ref="AN172" si="1983">+SUM(AN173:AN177)</f>
        <v>59875</v>
      </c>
      <c r="AO172" s="58"/>
      <c r="AQ172" s="58">
        <f t="shared" ref="AQ172:BC172" si="1984">+SUM(AQ173:AQ177)</f>
        <v>45153.732000000004</v>
      </c>
      <c r="AR172" s="58">
        <f t="shared" si="1984"/>
        <v>46047</v>
      </c>
      <c r="AS172" s="58">
        <f t="shared" si="1984"/>
        <v>41462.843999999997</v>
      </c>
      <c r="AT172" s="58">
        <f t="shared" si="1984"/>
        <v>47035</v>
      </c>
      <c r="AU172" s="58">
        <f t="shared" si="1984"/>
        <v>46695</v>
      </c>
      <c r="AV172" s="58">
        <f t="shared" si="1984"/>
        <v>46348</v>
      </c>
      <c r="AW172" s="58">
        <f t="shared" si="1984"/>
        <v>47406</v>
      </c>
      <c r="AX172" s="58">
        <f t="shared" si="1984"/>
        <v>64822</v>
      </c>
      <c r="AY172" s="58">
        <f t="shared" si="1984"/>
        <v>70486.131999999998</v>
      </c>
      <c r="AZ172" s="58">
        <f t="shared" si="1984"/>
        <v>58576</v>
      </c>
      <c r="BA172" s="58">
        <f t="shared" si="1984"/>
        <v>45972.487999999998</v>
      </c>
      <c r="BB172" s="58">
        <f t="shared" si="1984"/>
        <v>44321.69</v>
      </c>
      <c r="BC172" s="58">
        <f t="shared" si="1984"/>
        <v>604325.88599999994</v>
      </c>
      <c r="BD172" s="20" t="str">
        <f t="shared" si="1532"/>
        <v>System Updation charge -Mercedes</v>
      </c>
      <c r="BE172" s="58">
        <f t="shared" ref="BE172:BQ172" si="1985">+SUM(BE173:BE177)</f>
        <v>27867.8</v>
      </c>
      <c r="BF172" s="58">
        <f t="shared" si="1985"/>
        <v>49117.64</v>
      </c>
      <c r="BG172" s="58">
        <f t="shared" si="1985"/>
        <v>107185.19200000001</v>
      </c>
      <c r="BH172" s="58">
        <f t="shared" si="1985"/>
        <v>27717.601999999999</v>
      </c>
      <c r="BI172" s="58">
        <f t="shared" si="1985"/>
        <v>123062.41200000001</v>
      </c>
      <c r="BJ172" s="58">
        <f t="shared" si="1985"/>
        <v>98620.611999999994</v>
      </c>
      <c r="BK172" s="58">
        <f t="shared" si="1985"/>
        <v>42427.743999999999</v>
      </c>
      <c r="BL172" s="58">
        <f t="shared" si="1985"/>
        <v>53912.437999999995</v>
      </c>
      <c r="BM172" s="58">
        <f t="shared" si="1985"/>
        <v>127463.36000000002</v>
      </c>
      <c r="BN172" s="58">
        <f t="shared" si="1985"/>
        <v>57518.220000000016</v>
      </c>
      <c r="BO172" s="58">
        <f t="shared" si="1985"/>
        <v>0</v>
      </c>
      <c r="BP172" s="58">
        <f t="shared" si="1985"/>
        <v>0</v>
      </c>
      <c r="BQ172" s="58">
        <f t="shared" si="1985"/>
        <v>714893.02</v>
      </c>
      <c r="BR172" s="118">
        <f t="shared" si="1877"/>
        <v>0.59995048678720486</v>
      </c>
      <c r="BS172" s="58">
        <f t="shared" ref="BS172:CE172" si="1986">+SUM(BS173:BS177)</f>
        <v>35950</v>
      </c>
      <c r="BT172" s="58">
        <f t="shared" si="1986"/>
        <v>35950</v>
      </c>
      <c r="BU172" s="58">
        <f t="shared" si="1986"/>
        <v>35950</v>
      </c>
      <c r="BV172" s="58">
        <f t="shared" si="1986"/>
        <v>35950</v>
      </c>
      <c r="BW172" s="58">
        <f t="shared" si="1986"/>
        <v>35950</v>
      </c>
      <c r="BX172" s="58">
        <f t="shared" si="1986"/>
        <v>35950</v>
      </c>
      <c r="BY172" s="58">
        <f t="shared" si="1986"/>
        <v>35950</v>
      </c>
      <c r="BZ172" s="58">
        <f t="shared" si="1986"/>
        <v>35950</v>
      </c>
      <c r="CA172" s="58">
        <f t="shared" si="1986"/>
        <v>35950</v>
      </c>
      <c r="CB172" s="58">
        <f t="shared" si="1986"/>
        <v>35950</v>
      </c>
      <c r="CC172" s="58">
        <f t="shared" si="1986"/>
        <v>35950</v>
      </c>
      <c r="CD172" s="58">
        <f t="shared" si="1986"/>
        <v>35950</v>
      </c>
      <c r="CE172" s="58">
        <f t="shared" si="1986"/>
        <v>431400</v>
      </c>
      <c r="CF172" s="22"/>
      <c r="CG172" s="58">
        <f t="shared" ref="CG172:CS172" si="1987">+SUM(CG173:CG177)</f>
        <v>20530.3995</v>
      </c>
      <c r="CH172" s="58">
        <f t="shared" si="1987"/>
        <v>20502</v>
      </c>
      <c r="CI172" s="58">
        <f t="shared" si="1987"/>
        <v>18886.441500000001</v>
      </c>
      <c r="CJ172" s="58">
        <f t="shared" si="1987"/>
        <v>20502</v>
      </c>
      <c r="CK172" s="58">
        <f t="shared" si="1987"/>
        <v>20502</v>
      </c>
      <c r="CL172" s="58">
        <f t="shared" si="1987"/>
        <v>20502</v>
      </c>
      <c r="CM172" s="58">
        <f t="shared" si="1987"/>
        <v>20502</v>
      </c>
      <c r="CN172" s="58">
        <f t="shared" si="1987"/>
        <v>20502</v>
      </c>
      <c r="CO172" s="58">
        <f t="shared" si="1987"/>
        <v>20502.049500000001</v>
      </c>
      <c r="CP172" s="58">
        <f t="shared" si="1987"/>
        <v>20502</v>
      </c>
      <c r="CQ172" s="58">
        <f t="shared" si="1987"/>
        <v>20207.058000000001</v>
      </c>
      <c r="CR172" s="58">
        <f t="shared" si="1987"/>
        <v>19997.7</v>
      </c>
      <c r="CS172" s="58">
        <f t="shared" si="1987"/>
        <v>243637.64850000001</v>
      </c>
      <c r="CT172" s="20" t="str">
        <f t="shared" si="1536"/>
        <v>System Updation charge -Mercedes</v>
      </c>
      <c r="CU172" s="58">
        <f t="shared" ref="CU172:DG172" si="1988">+SUM(CU173:CU177)</f>
        <v>20372.05</v>
      </c>
      <c r="CV172" s="58">
        <f t="shared" si="1988"/>
        <v>20372.05</v>
      </c>
      <c r="CW172" s="58">
        <f t="shared" si="1988"/>
        <v>20371.879499999999</v>
      </c>
      <c r="CX172" s="58">
        <f t="shared" si="1988"/>
        <v>20371.879499999999</v>
      </c>
      <c r="CY172" s="58">
        <f t="shared" si="1988"/>
        <v>120005.8795</v>
      </c>
      <c r="CZ172" s="58">
        <f t="shared" si="1988"/>
        <v>25968.229500000001</v>
      </c>
      <c r="DA172" s="58">
        <f t="shared" si="1988"/>
        <v>94540.734777777776</v>
      </c>
      <c r="DB172" s="58">
        <f t="shared" si="1988"/>
        <v>20440.8505</v>
      </c>
      <c r="DC172" s="58">
        <f t="shared" si="1988"/>
        <v>20440.900000000001</v>
      </c>
      <c r="DD172" s="58">
        <f t="shared" si="1988"/>
        <v>20440.900000000001</v>
      </c>
      <c r="DE172" s="58">
        <f t="shared" si="1988"/>
        <v>0</v>
      </c>
      <c r="DF172" s="58">
        <f t="shared" si="1988"/>
        <v>0</v>
      </c>
      <c r="DG172" s="58">
        <f t="shared" si="1988"/>
        <v>383325.35327777779</v>
      </c>
      <c r="DH172" s="118">
        <f t="shared" si="1881"/>
        <v>-0.14562591431556943</v>
      </c>
      <c r="DI172" s="58">
        <f t="shared" ref="DI172:DU172" si="1989">+SUM(DI173:DI177)</f>
        <v>23925</v>
      </c>
      <c r="DJ172" s="58">
        <f t="shared" si="1989"/>
        <v>23925</v>
      </c>
      <c r="DK172" s="58">
        <f t="shared" si="1989"/>
        <v>23925</v>
      </c>
      <c r="DL172" s="58">
        <f t="shared" si="1989"/>
        <v>23925</v>
      </c>
      <c r="DM172" s="58">
        <f t="shared" si="1989"/>
        <v>23925</v>
      </c>
      <c r="DN172" s="58">
        <f t="shared" si="1989"/>
        <v>23925</v>
      </c>
      <c r="DO172" s="58">
        <f t="shared" si="1989"/>
        <v>23925</v>
      </c>
      <c r="DP172" s="58">
        <f t="shared" si="1989"/>
        <v>23925</v>
      </c>
      <c r="DQ172" s="58">
        <f t="shared" si="1989"/>
        <v>23925</v>
      </c>
      <c r="DR172" s="58">
        <f t="shared" si="1989"/>
        <v>23925</v>
      </c>
      <c r="DS172" s="58">
        <f t="shared" si="1989"/>
        <v>23925</v>
      </c>
      <c r="DT172" s="58">
        <f t="shared" si="1989"/>
        <v>23925</v>
      </c>
      <c r="DU172" s="58">
        <f t="shared" si="1989"/>
        <v>287100</v>
      </c>
    </row>
    <row r="173" spans="1:125" ht="14.45" hidden="1" customHeight="1" outlineLevel="2">
      <c r="A173" s="106">
        <f t="shared" ref="A173:A177" si="1990">+AQ173+CG173</f>
        <v>38150</v>
      </c>
      <c r="B173" s="106">
        <f t="shared" ref="B173:B177" si="1991">+AR173+CH173</f>
        <v>38150</v>
      </c>
      <c r="C173" s="106">
        <f t="shared" ref="C173:C177" si="1992">+AS173+CI173</f>
        <v>38150</v>
      </c>
      <c r="D173" s="106">
        <f t="shared" ref="D173:D177" si="1993">+AT173+CJ173</f>
        <v>38150</v>
      </c>
      <c r="E173" s="106">
        <f t="shared" ref="E173:E177" si="1994">+AU173+CK173</f>
        <v>38150</v>
      </c>
      <c r="F173" s="106">
        <f t="shared" ref="F173:F177" si="1995">+AV173+CL173</f>
        <v>38150</v>
      </c>
      <c r="G173" s="106">
        <f t="shared" ref="G173:G177" si="1996">+AW173+CM173</f>
        <v>38150</v>
      </c>
      <c r="H173" s="106">
        <f t="shared" ref="H173:H177" si="1997">+AX173+CN173</f>
        <v>38150</v>
      </c>
      <c r="I173" s="106">
        <f t="shared" ref="I173:I177" si="1998">+AY173+CO173</f>
        <v>38150</v>
      </c>
      <c r="J173" s="106">
        <f t="shared" ref="J173:J177" si="1999">+AZ173+CP173</f>
        <v>38150</v>
      </c>
      <c r="K173" s="106">
        <f t="shared" ref="K173:K177" si="2000">+BA173+CQ173</f>
        <v>38150</v>
      </c>
      <c r="L173" s="106">
        <f t="shared" ref="L173:L177" si="2001">+BB173+CR173</f>
        <v>38150</v>
      </c>
      <c r="M173" s="106">
        <f t="shared" ref="M173:M177" si="2002">+SUM(A173:L173)</f>
        <v>457800</v>
      </c>
      <c r="N173" s="16" t="s">
        <v>145</v>
      </c>
      <c r="O173" s="106">
        <f t="shared" ref="O173:O177" si="2003">+BE173+CU173</f>
        <v>38150</v>
      </c>
      <c r="P173" s="106">
        <f t="shared" ref="P173:P177" si="2004">+BF173+CV173</f>
        <v>38150</v>
      </c>
      <c r="Q173" s="106">
        <f t="shared" ref="Q173:Q177" si="2005">+BG173+CW173</f>
        <v>38150</v>
      </c>
      <c r="R173" s="106">
        <f t="shared" ref="R173:R177" si="2006">+BH173+CX173</f>
        <v>38150</v>
      </c>
      <c r="S173" s="106">
        <f t="shared" ref="S173:S177" si="2007">+BI173+CY173</f>
        <v>38150</v>
      </c>
      <c r="T173" s="106">
        <f t="shared" ref="T173:T177" si="2008">+BJ173+CZ173</f>
        <v>38150</v>
      </c>
      <c r="U173" s="106">
        <f t="shared" ref="U173:U177" si="2009">+BK173+DA173</f>
        <v>38150</v>
      </c>
      <c r="V173" s="106">
        <f t="shared" ref="V173:V177" si="2010">+BL173+DB173</f>
        <v>38150</v>
      </c>
      <c r="W173" s="106">
        <f t="shared" ref="W173:W177" si="2011">+BM173+DC173</f>
        <v>38150</v>
      </c>
      <c r="X173" s="106">
        <f t="shared" ref="X173:X177" si="2012">+BN173+DD173</f>
        <v>38150</v>
      </c>
      <c r="Y173" s="106">
        <f t="shared" ref="Y173:Y177" si="2013">+BO173+DE173</f>
        <v>0</v>
      </c>
      <c r="Z173" s="106">
        <f t="shared" ref="Z173:Z177" si="2014">+BP173+DF173</f>
        <v>0</v>
      </c>
      <c r="AA173" s="106">
        <f t="shared" ref="AA173:AA177" si="2015">+SUM(O173:Z173)</f>
        <v>381500</v>
      </c>
      <c r="AB173" s="118">
        <f t="shared" si="1861"/>
        <v>0</v>
      </c>
      <c r="AC173" s="106">
        <f t="shared" ref="AC173:AC177" si="2016">+BS173+DI173</f>
        <v>38150</v>
      </c>
      <c r="AD173" s="106">
        <f t="shared" ref="AD173:AD177" si="2017">+BT173+DJ173</f>
        <v>38150</v>
      </c>
      <c r="AE173" s="106">
        <f t="shared" ref="AE173:AE177" si="2018">+BU173+DK173</f>
        <v>38150</v>
      </c>
      <c r="AF173" s="106">
        <f t="shared" ref="AF173:AF177" si="2019">+BV173+DL173</f>
        <v>38150</v>
      </c>
      <c r="AG173" s="106">
        <f t="shared" ref="AG173:AG177" si="2020">+BW173+DM173</f>
        <v>38150</v>
      </c>
      <c r="AH173" s="106">
        <f t="shared" ref="AH173:AH177" si="2021">+BX173+DN173</f>
        <v>38150</v>
      </c>
      <c r="AI173" s="106">
        <f t="shared" ref="AI173:AI177" si="2022">+BY173+DO173</f>
        <v>38150</v>
      </c>
      <c r="AJ173" s="106">
        <f t="shared" ref="AJ173:AJ177" si="2023">+BZ173+DP173</f>
        <v>38150</v>
      </c>
      <c r="AK173" s="106">
        <f t="shared" ref="AK173:AK177" si="2024">+CA173+DQ173</f>
        <v>38150</v>
      </c>
      <c r="AL173" s="106">
        <f t="shared" ref="AL173:AL177" si="2025">+CB173+DR173</f>
        <v>38150</v>
      </c>
      <c r="AM173" s="106">
        <f t="shared" ref="AM173:AM177" si="2026">+CC173+DS173</f>
        <v>38150</v>
      </c>
      <c r="AN173" s="106">
        <f t="shared" ref="AN173:AN177" si="2027">+CD173+DT173</f>
        <v>38150</v>
      </c>
      <c r="AO173" s="106">
        <f t="shared" ref="AO173:AO177" si="2028">+SUM(AC173:AN173)</f>
        <v>457800</v>
      </c>
      <c r="AQ173" s="106">
        <v>20150</v>
      </c>
      <c r="AR173" s="106">
        <v>20150</v>
      </c>
      <c r="AS173" s="106">
        <v>20150</v>
      </c>
      <c r="AT173" s="106">
        <v>20150</v>
      </c>
      <c r="AU173" s="106">
        <v>20150</v>
      </c>
      <c r="AV173" s="106">
        <v>20150</v>
      </c>
      <c r="AW173" s="106">
        <v>20150</v>
      </c>
      <c r="AX173" s="106">
        <v>20150</v>
      </c>
      <c r="AY173" s="106">
        <v>20150</v>
      </c>
      <c r="AZ173" s="106">
        <v>20150</v>
      </c>
      <c r="BA173" s="106">
        <v>20150</v>
      </c>
      <c r="BB173" s="106">
        <v>20150</v>
      </c>
      <c r="BC173" s="106">
        <f t="shared" ref="BC173:BC177" si="2029">+SUM(AQ173:BB173)</f>
        <v>241800</v>
      </c>
      <c r="BD173" s="16" t="str">
        <f t="shared" si="1532"/>
        <v>Ewnet Charge</v>
      </c>
      <c r="BE173" s="106">
        <f>+VLOOKUP($BD173,'Jan-25'!$A:$J,2,0)</f>
        <v>20150</v>
      </c>
      <c r="BF173" s="106">
        <f>+VLOOKUP($BD173,'Feb-25'!$A:$J,2,0)</f>
        <v>20150</v>
      </c>
      <c r="BG173" s="106">
        <f>+VLOOKUP($BD173,'Mar-25'!$A:$J,2,0)</f>
        <v>20150</v>
      </c>
      <c r="BH173" s="106">
        <f>+VLOOKUP($BD173,'Apr-25'!$A:$J,2,0)</f>
        <v>20150</v>
      </c>
      <c r="BI173" s="106">
        <f>+VLOOKUP($BD173,'May-25'!$A:$J,2,0)</f>
        <v>20150</v>
      </c>
      <c r="BJ173" s="106">
        <f>+VLOOKUP($BD173,'June-25'!$A:$J,2,0)</f>
        <v>20150</v>
      </c>
      <c r="BK173" s="106">
        <f>+VLOOKUP($BD173,'July-25'!$A:$J,2,0)</f>
        <v>20150</v>
      </c>
      <c r="BL173" s="106">
        <f>+VLOOKUP($BD173,'Aug-25'!$A:$J,2,0)</f>
        <v>20150</v>
      </c>
      <c r="BM173" s="106">
        <f>+VLOOKUP($BD173,'Sep-25'!$A:$J,2,0)</f>
        <v>20150</v>
      </c>
      <c r="BN173" s="106">
        <f>+VLOOKUP($BD173,'Oct-25'!$A:$J,2,0)</f>
        <v>20150</v>
      </c>
      <c r="BO173" s="106">
        <f>+VLOOKUP($BD173,'Nov-25'!$A:$J,2,0)</f>
        <v>0</v>
      </c>
      <c r="BP173" s="106">
        <f>+VLOOKUP($BD173,'Dec-25'!$A:$J,2,0)</f>
        <v>0</v>
      </c>
      <c r="BQ173" s="106">
        <f t="shared" ref="BQ173:BQ177" si="2030">+SUM(BE173:BP173)</f>
        <v>201500</v>
      </c>
      <c r="BR173" s="118">
        <f t="shared" si="1877"/>
        <v>0</v>
      </c>
      <c r="BS173" s="106" cm="1">
        <f t="array" ref="BS173:CD173">+_xlfn.XLOOKUP(BD173,Budget!A:A,Budget!Q:AB)</f>
        <v>20150</v>
      </c>
      <c r="BT173" s="106">
        <v>20150</v>
      </c>
      <c r="BU173" s="106">
        <v>20150</v>
      </c>
      <c r="BV173" s="106">
        <v>20150</v>
      </c>
      <c r="BW173" s="106">
        <v>20150</v>
      </c>
      <c r="BX173" s="106">
        <v>20150</v>
      </c>
      <c r="BY173" s="106">
        <v>20150</v>
      </c>
      <c r="BZ173" s="106">
        <v>20150</v>
      </c>
      <c r="CA173" s="106">
        <v>20150</v>
      </c>
      <c r="CB173" s="106">
        <v>20150</v>
      </c>
      <c r="CC173" s="106">
        <v>20150</v>
      </c>
      <c r="CD173" s="106">
        <v>20150</v>
      </c>
      <c r="CE173" s="106">
        <f t="shared" ref="CE173:CE177" si="2031">+SUM(BS173:CD173)</f>
        <v>241800</v>
      </c>
      <c r="CF173" s="22"/>
      <c r="CG173" s="106">
        <v>18000</v>
      </c>
      <c r="CH173" s="106">
        <v>18000</v>
      </c>
      <c r="CI173" s="106">
        <v>18000</v>
      </c>
      <c r="CJ173" s="106">
        <v>18000</v>
      </c>
      <c r="CK173" s="106">
        <v>18000</v>
      </c>
      <c r="CL173" s="106">
        <v>18000</v>
      </c>
      <c r="CM173" s="106">
        <v>18000</v>
      </c>
      <c r="CN173" s="106">
        <v>18000</v>
      </c>
      <c r="CO173" s="106">
        <v>18000</v>
      </c>
      <c r="CP173" s="106">
        <v>18000</v>
      </c>
      <c r="CQ173" s="106">
        <v>18000</v>
      </c>
      <c r="CR173" s="106">
        <v>18000</v>
      </c>
      <c r="CS173" s="106">
        <f t="shared" ref="CS173:CS177" si="2032">+SUM(CG173:CR173)</f>
        <v>216000</v>
      </c>
      <c r="CT173" s="16" t="str">
        <f t="shared" si="1536"/>
        <v>Ewnet Charge</v>
      </c>
      <c r="CU173" s="106">
        <f>+VLOOKUP($BD173,'Jan-25'!$A:$J,6,0)</f>
        <v>18000</v>
      </c>
      <c r="CV173" s="106">
        <f>+VLOOKUP($BD173,'Feb-25'!$A:$J,6,0)</f>
        <v>18000</v>
      </c>
      <c r="CW173" s="106">
        <f>+VLOOKUP($BD173,'Mar-25'!$A:$J,6,0)</f>
        <v>18000</v>
      </c>
      <c r="CX173" s="106">
        <f>+VLOOKUP($BD173,'Apr-25'!$A:$J,6,0)</f>
        <v>18000</v>
      </c>
      <c r="CY173" s="106">
        <f>+VLOOKUP($BD173,'May-25'!$A:$J,6,0)</f>
        <v>18000</v>
      </c>
      <c r="CZ173" s="106">
        <f>+VLOOKUP($BD173,'June-25'!$A:$J,6,0)</f>
        <v>18000</v>
      </c>
      <c r="DA173" s="106">
        <f>+VLOOKUP($BD173,'July-25'!$A:$J,6,0)</f>
        <v>18000</v>
      </c>
      <c r="DB173" s="106">
        <f>+VLOOKUP($BD173,'Aug-25'!$A:$J,6,0)</f>
        <v>18000</v>
      </c>
      <c r="DC173" s="106">
        <f>+VLOOKUP($BD173,'Sep-25'!$A:$J,6,0)</f>
        <v>18000</v>
      </c>
      <c r="DD173" s="106">
        <f>+VLOOKUP($BD173,'Oct-25'!$A:$J,6,0)</f>
        <v>18000</v>
      </c>
      <c r="DE173" s="106">
        <f>+VLOOKUP($BD173,'Nov-25'!$A:$J,6,0)</f>
        <v>0</v>
      </c>
      <c r="DF173" s="106">
        <f>+VLOOKUP($BD173,'Dec-25'!$A:$J,6,0)</f>
        <v>0</v>
      </c>
      <c r="DG173" s="106">
        <f t="shared" ref="DG173:DG177" si="2033">+SUM(CU173:DF173)</f>
        <v>180000</v>
      </c>
      <c r="DH173" s="118">
        <f t="shared" si="1881"/>
        <v>0</v>
      </c>
      <c r="DI173" s="106">
        <f>+_xlfn.XLOOKUP($CT173,Budget!$A:$A,Budget!BQ:BQ)</f>
        <v>18000</v>
      </c>
      <c r="DJ173" s="106">
        <f>+_xlfn.XLOOKUP($CT173,Budget!$A:$A,Budget!BR:BR)</f>
        <v>18000</v>
      </c>
      <c r="DK173" s="106">
        <f>+_xlfn.XLOOKUP($CT173,Budget!$A:$A,Budget!BS:BS)</f>
        <v>18000</v>
      </c>
      <c r="DL173" s="106">
        <f>+_xlfn.XLOOKUP($CT173,Budget!$A:$A,Budget!BT:BT)</f>
        <v>18000</v>
      </c>
      <c r="DM173" s="106">
        <f>+_xlfn.XLOOKUP($CT173,Budget!$A:$A,Budget!BU:BU)</f>
        <v>18000</v>
      </c>
      <c r="DN173" s="106">
        <f>+_xlfn.XLOOKUP($CT173,Budget!$A:$A,Budget!BV:BV)</f>
        <v>18000</v>
      </c>
      <c r="DO173" s="106">
        <f>+_xlfn.XLOOKUP($CT173,Budget!$A:$A,Budget!BW:BW)</f>
        <v>18000</v>
      </c>
      <c r="DP173" s="106">
        <f>+_xlfn.XLOOKUP($CT173,Budget!$A:$A,Budget!BX:BX)</f>
        <v>18000</v>
      </c>
      <c r="DQ173" s="106">
        <f>+_xlfn.XLOOKUP($CT173,Budget!$A:$A,Budget!BY:BY)</f>
        <v>18000</v>
      </c>
      <c r="DR173" s="106">
        <f>+_xlfn.XLOOKUP($CT173,Budget!$A:$A,Budget!BZ:BZ)</f>
        <v>18000</v>
      </c>
      <c r="DS173" s="106">
        <f>+_xlfn.XLOOKUP($CT173,Budget!$A:$A,Budget!CA:CA)</f>
        <v>18000</v>
      </c>
      <c r="DT173" s="106">
        <f>+_xlfn.XLOOKUP($CT173,Budget!$A:$A,Budget!CB:CB)</f>
        <v>18000</v>
      </c>
      <c r="DU173" s="106">
        <f t="shared" ref="DU173:DU177" si="2034">+SUM(DI173:DT173)</f>
        <v>216000</v>
      </c>
    </row>
    <row r="174" spans="1:125" ht="14.45" hidden="1" customHeight="1" outlineLevel="2">
      <c r="A174" s="106">
        <f t="shared" si="1990"/>
        <v>0</v>
      </c>
      <c r="B174" s="106">
        <f t="shared" si="1991"/>
        <v>0</v>
      </c>
      <c r="C174" s="106">
        <f t="shared" si="1992"/>
        <v>0</v>
      </c>
      <c r="D174" s="106">
        <f t="shared" si="1993"/>
        <v>0</v>
      </c>
      <c r="E174" s="106">
        <f t="shared" si="1994"/>
        <v>0</v>
      </c>
      <c r="F174" s="106">
        <f t="shared" si="1995"/>
        <v>0</v>
      </c>
      <c r="G174" s="106">
        <f t="shared" si="1996"/>
        <v>0</v>
      </c>
      <c r="H174" s="106">
        <f t="shared" si="1997"/>
        <v>0</v>
      </c>
      <c r="I174" s="106">
        <f t="shared" si="1998"/>
        <v>0</v>
      </c>
      <c r="J174" s="106">
        <f t="shared" si="1999"/>
        <v>0</v>
      </c>
      <c r="K174" s="106">
        <f t="shared" si="2000"/>
        <v>0</v>
      </c>
      <c r="L174" s="106">
        <f t="shared" si="2001"/>
        <v>0</v>
      </c>
      <c r="M174" s="106">
        <f t="shared" si="2002"/>
        <v>0</v>
      </c>
      <c r="N174" s="16" t="s">
        <v>146</v>
      </c>
      <c r="O174" s="106">
        <f t="shared" si="2003"/>
        <v>0</v>
      </c>
      <c r="P174" s="106">
        <f t="shared" si="2004"/>
        <v>0</v>
      </c>
      <c r="Q174" s="106">
        <f t="shared" si="2005"/>
        <v>0</v>
      </c>
      <c r="R174" s="106">
        <f t="shared" si="2006"/>
        <v>0</v>
      </c>
      <c r="S174" s="106">
        <f t="shared" si="2007"/>
        <v>0</v>
      </c>
      <c r="T174" s="106">
        <f t="shared" si="2008"/>
        <v>0</v>
      </c>
      <c r="U174" s="106">
        <f t="shared" si="2009"/>
        <v>0</v>
      </c>
      <c r="V174" s="106">
        <f t="shared" si="2010"/>
        <v>0</v>
      </c>
      <c r="W174" s="106">
        <f t="shared" si="2011"/>
        <v>0</v>
      </c>
      <c r="X174" s="106">
        <f t="shared" si="2012"/>
        <v>0</v>
      </c>
      <c r="Y174" s="106">
        <f t="shared" si="2013"/>
        <v>0</v>
      </c>
      <c r="Z174" s="106">
        <f t="shared" si="2014"/>
        <v>0</v>
      </c>
      <c r="AA174" s="106">
        <f t="shared" si="2015"/>
        <v>0</v>
      </c>
      <c r="AB174" s="118">
        <f t="shared" si="1861"/>
        <v>0</v>
      </c>
      <c r="AC174" s="106">
        <f t="shared" si="2016"/>
        <v>0</v>
      </c>
      <c r="AD174" s="106">
        <f t="shared" si="2017"/>
        <v>0</v>
      </c>
      <c r="AE174" s="106">
        <f t="shared" si="2018"/>
        <v>0</v>
      </c>
      <c r="AF174" s="106">
        <f t="shared" si="2019"/>
        <v>0</v>
      </c>
      <c r="AG174" s="106">
        <f t="shared" si="2020"/>
        <v>0</v>
      </c>
      <c r="AH174" s="106">
        <f t="shared" si="2021"/>
        <v>0</v>
      </c>
      <c r="AI174" s="106">
        <f t="shared" si="2022"/>
        <v>0</v>
      </c>
      <c r="AJ174" s="106">
        <f t="shared" si="2023"/>
        <v>0</v>
      </c>
      <c r="AK174" s="106">
        <f t="shared" si="2024"/>
        <v>0</v>
      </c>
      <c r="AL174" s="106">
        <f t="shared" si="2025"/>
        <v>0</v>
      </c>
      <c r="AM174" s="106">
        <f t="shared" si="2026"/>
        <v>0</v>
      </c>
      <c r="AN174" s="106">
        <f t="shared" si="2027"/>
        <v>0</v>
      </c>
      <c r="AO174" s="106">
        <f t="shared" si="2028"/>
        <v>0</v>
      </c>
      <c r="AQ174" s="106">
        <v>0</v>
      </c>
      <c r="AR174" s="106">
        <v>0</v>
      </c>
      <c r="AS174" s="106">
        <v>0</v>
      </c>
      <c r="AT174" s="106">
        <v>0</v>
      </c>
      <c r="AU174" s="106">
        <v>0</v>
      </c>
      <c r="AV174" s="106">
        <v>0</v>
      </c>
      <c r="AW174" s="106">
        <v>0</v>
      </c>
      <c r="AX174" s="106">
        <v>0</v>
      </c>
      <c r="AY174" s="106">
        <v>0</v>
      </c>
      <c r="AZ174" s="106">
        <v>0</v>
      </c>
      <c r="BA174" s="106">
        <v>0</v>
      </c>
      <c r="BB174" s="106">
        <v>0</v>
      </c>
      <c r="BC174" s="106">
        <f t="shared" si="2029"/>
        <v>0</v>
      </c>
      <c r="BD174" s="16" t="str">
        <f t="shared" si="1532"/>
        <v>Edealer Charges</v>
      </c>
      <c r="BE174" s="106">
        <f>+VLOOKUP($BD174,'Jan-25'!$A:$J,2,0)</f>
        <v>0</v>
      </c>
      <c r="BF174" s="106">
        <f>+VLOOKUP($BD174,'Feb-25'!$A:$J,2,0)</f>
        <v>0</v>
      </c>
      <c r="BG174" s="106">
        <f>+VLOOKUP($BD174,'Mar-25'!$A:$J,2,0)</f>
        <v>0</v>
      </c>
      <c r="BH174" s="106">
        <f>+VLOOKUP($BD174,'Apr-25'!$A:$J,2,0)</f>
        <v>0</v>
      </c>
      <c r="BI174" s="106">
        <f>+VLOOKUP($BD174,'May-25'!$A:$J,2,0)</f>
        <v>0</v>
      </c>
      <c r="BJ174" s="106">
        <f>+VLOOKUP($BD174,'June-25'!$A:$J,2,0)</f>
        <v>0</v>
      </c>
      <c r="BK174" s="106">
        <f>+VLOOKUP($BD174,'July-25'!$A:$J,2,0)</f>
        <v>0</v>
      </c>
      <c r="BL174" s="106">
        <f>+VLOOKUP($BD174,'Aug-25'!$A:$J,2,0)</f>
        <v>0</v>
      </c>
      <c r="BM174" s="106">
        <f>+VLOOKUP($BD174,'Sep-25'!$A:$J,2,0)</f>
        <v>0</v>
      </c>
      <c r="BN174" s="106">
        <f>+VLOOKUP($BD174,'Oct-25'!$A:$J,2,0)</f>
        <v>0</v>
      </c>
      <c r="BO174" s="106">
        <f>+VLOOKUP($BD174,'Nov-25'!$A:$J,2,0)</f>
        <v>0</v>
      </c>
      <c r="BP174" s="106">
        <f>+VLOOKUP($BD174,'Dec-25'!$A:$J,2,0)</f>
        <v>0</v>
      </c>
      <c r="BQ174" s="106">
        <f t="shared" si="2030"/>
        <v>0</v>
      </c>
      <c r="BR174" s="118">
        <f t="shared" si="1877"/>
        <v>0</v>
      </c>
      <c r="BS174" s="106" cm="1">
        <f t="array" ref="BS174:CD174">+_xlfn.XLOOKUP(BD174,Budget!A:A,Budget!Q:AB)</f>
        <v>0</v>
      </c>
      <c r="BT174" s="106">
        <v>0</v>
      </c>
      <c r="BU174" s="106">
        <v>0</v>
      </c>
      <c r="BV174" s="106">
        <v>0</v>
      </c>
      <c r="BW174" s="106">
        <v>0</v>
      </c>
      <c r="BX174" s="106">
        <v>0</v>
      </c>
      <c r="BY174" s="106">
        <v>0</v>
      </c>
      <c r="BZ174" s="106">
        <v>0</v>
      </c>
      <c r="CA174" s="106">
        <v>0</v>
      </c>
      <c r="CB174" s="106">
        <v>0</v>
      </c>
      <c r="CC174" s="106">
        <v>0</v>
      </c>
      <c r="CD174" s="106">
        <v>0</v>
      </c>
      <c r="CE174" s="106">
        <f t="shared" si="2031"/>
        <v>0</v>
      </c>
      <c r="CF174" s="22"/>
      <c r="CG174" s="106">
        <v>0</v>
      </c>
      <c r="CH174" s="106">
        <v>0</v>
      </c>
      <c r="CI174" s="106">
        <v>0</v>
      </c>
      <c r="CJ174" s="106">
        <v>0</v>
      </c>
      <c r="CK174" s="106">
        <v>0</v>
      </c>
      <c r="CL174" s="106">
        <v>0</v>
      </c>
      <c r="CM174" s="106">
        <v>0</v>
      </c>
      <c r="CN174" s="106">
        <v>0</v>
      </c>
      <c r="CO174" s="106">
        <v>0</v>
      </c>
      <c r="CP174" s="106">
        <v>0</v>
      </c>
      <c r="CQ174" s="106">
        <v>0</v>
      </c>
      <c r="CR174" s="106">
        <v>0</v>
      </c>
      <c r="CS174" s="106">
        <f t="shared" si="2032"/>
        <v>0</v>
      </c>
      <c r="CT174" s="16" t="str">
        <f t="shared" si="1536"/>
        <v>Edealer Charges</v>
      </c>
      <c r="CU174" s="106">
        <f>+VLOOKUP($BD174,'Jan-25'!$A:$J,6,0)</f>
        <v>0</v>
      </c>
      <c r="CV174" s="106">
        <f>+VLOOKUP($BD174,'Feb-25'!$A:$J,6,0)</f>
        <v>0</v>
      </c>
      <c r="CW174" s="106">
        <f>+VLOOKUP($BD174,'Mar-25'!$A:$J,6,0)</f>
        <v>0</v>
      </c>
      <c r="CX174" s="106">
        <f>+VLOOKUP($BD174,'Apr-25'!$A:$J,6,0)</f>
        <v>0</v>
      </c>
      <c r="CY174" s="106">
        <f>+VLOOKUP($BD174,'May-25'!$A:$J,6,0)</f>
        <v>0</v>
      </c>
      <c r="CZ174" s="106">
        <f>+VLOOKUP($BD174,'June-25'!$A:$J,6,0)</f>
        <v>0</v>
      </c>
      <c r="DA174" s="106">
        <f>+VLOOKUP($BD174,'July-25'!$A:$J,6,0)</f>
        <v>0</v>
      </c>
      <c r="DB174" s="106">
        <f>+VLOOKUP($BD174,'Aug-25'!$A:$J,6,0)</f>
        <v>0</v>
      </c>
      <c r="DC174" s="106">
        <f>+VLOOKUP($BD174,'Sep-25'!$A:$J,6,0)</f>
        <v>0</v>
      </c>
      <c r="DD174" s="106">
        <f>+VLOOKUP($BD174,'Oct-25'!$A:$J,6,0)</f>
        <v>0</v>
      </c>
      <c r="DE174" s="106">
        <f>+VLOOKUP($BD174,'Nov-25'!$A:$J,6,0)</f>
        <v>0</v>
      </c>
      <c r="DF174" s="106">
        <f>+VLOOKUP($BD174,'Dec-25'!$A:$J,6,0)</f>
        <v>0</v>
      </c>
      <c r="DG174" s="106">
        <f t="shared" si="2033"/>
        <v>0</v>
      </c>
      <c r="DH174" s="118">
        <f t="shared" si="1881"/>
        <v>0</v>
      </c>
      <c r="DI174" s="106">
        <f>+_xlfn.XLOOKUP($CT174,Budget!$A:$A,Budget!BQ:BQ)</f>
        <v>0</v>
      </c>
      <c r="DJ174" s="106">
        <f>+_xlfn.XLOOKUP($CT174,Budget!$A:$A,Budget!BR:BR)</f>
        <v>0</v>
      </c>
      <c r="DK174" s="106">
        <f>+_xlfn.XLOOKUP($CT174,Budget!$A:$A,Budget!BS:BS)</f>
        <v>0</v>
      </c>
      <c r="DL174" s="106">
        <f>+_xlfn.XLOOKUP($CT174,Budget!$A:$A,Budget!BT:BT)</f>
        <v>0</v>
      </c>
      <c r="DM174" s="106">
        <f>+_xlfn.XLOOKUP($CT174,Budget!$A:$A,Budget!BU:BU)</f>
        <v>0</v>
      </c>
      <c r="DN174" s="106">
        <f>+_xlfn.XLOOKUP($CT174,Budget!$A:$A,Budget!BV:BV)</f>
        <v>0</v>
      </c>
      <c r="DO174" s="106">
        <f>+_xlfn.XLOOKUP($CT174,Budget!$A:$A,Budget!BW:BW)</f>
        <v>0</v>
      </c>
      <c r="DP174" s="106">
        <f>+_xlfn.XLOOKUP($CT174,Budget!$A:$A,Budget!BX:BX)</f>
        <v>0</v>
      </c>
      <c r="DQ174" s="106">
        <f>+_xlfn.XLOOKUP($CT174,Budget!$A:$A,Budget!BY:BY)</f>
        <v>0</v>
      </c>
      <c r="DR174" s="106">
        <f>+_xlfn.XLOOKUP($CT174,Budget!$A:$A,Budget!BZ:BZ)</f>
        <v>0</v>
      </c>
      <c r="DS174" s="106">
        <f>+_xlfn.XLOOKUP($CT174,Budget!$A:$A,Budget!CA:CA)</f>
        <v>0</v>
      </c>
      <c r="DT174" s="106">
        <f>+_xlfn.XLOOKUP($CT174,Budget!$A:$A,Budget!CB:CB)</f>
        <v>0</v>
      </c>
      <c r="DU174" s="106">
        <f t="shared" si="2034"/>
        <v>0</v>
      </c>
    </row>
    <row r="175" spans="1:125" ht="14.45" hidden="1" customHeight="1" outlineLevel="2">
      <c r="A175" s="106">
        <f t="shared" si="1990"/>
        <v>0</v>
      </c>
      <c r="B175" s="106">
        <f t="shared" si="1991"/>
        <v>0</v>
      </c>
      <c r="C175" s="106">
        <f t="shared" si="1992"/>
        <v>0</v>
      </c>
      <c r="D175" s="106">
        <f t="shared" si="1993"/>
        <v>0</v>
      </c>
      <c r="E175" s="106">
        <f t="shared" si="1994"/>
        <v>0</v>
      </c>
      <c r="F175" s="106">
        <f t="shared" si="1995"/>
        <v>0</v>
      </c>
      <c r="G175" s="106">
        <f t="shared" si="1996"/>
        <v>0</v>
      </c>
      <c r="H175" s="106">
        <f t="shared" si="1997"/>
        <v>0</v>
      </c>
      <c r="I175" s="106">
        <f t="shared" si="1998"/>
        <v>0</v>
      </c>
      <c r="J175" s="106">
        <f t="shared" si="1999"/>
        <v>0</v>
      </c>
      <c r="K175" s="106">
        <f t="shared" si="2000"/>
        <v>0</v>
      </c>
      <c r="L175" s="106">
        <f t="shared" si="2001"/>
        <v>0</v>
      </c>
      <c r="M175" s="106">
        <f t="shared" si="2002"/>
        <v>0</v>
      </c>
      <c r="N175" s="16" t="s">
        <v>230</v>
      </c>
      <c r="O175" s="106">
        <f t="shared" si="2003"/>
        <v>0</v>
      </c>
      <c r="P175" s="106">
        <f t="shared" si="2004"/>
        <v>0</v>
      </c>
      <c r="Q175" s="106">
        <f t="shared" si="2005"/>
        <v>0</v>
      </c>
      <c r="R175" s="106">
        <f t="shared" si="2006"/>
        <v>0</v>
      </c>
      <c r="S175" s="106">
        <f t="shared" si="2007"/>
        <v>78877.600000000006</v>
      </c>
      <c r="T175" s="106">
        <f t="shared" si="2008"/>
        <v>0</v>
      </c>
      <c r="U175" s="106">
        <f t="shared" si="2009"/>
        <v>0</v>
      </c>
      <c r="V175" s="106">
        <f t="shared" si="2010"/>
        <v>0</v>
      </c>
      <c r="W175" s="106">
        <f t="shared" si="2011"/>
        <v>0</v>
      </c>
      <c r="X175" s="106">
        <f t="shared" si="2012"/>
        <v>0</v>
      </c>
      <c r="Y175" s="106">
        <f t="shared" si="2013"/>
        <v>0</v>
      </c>
      <c r="Z175" s="106">
        <f t="shared" si="2014"/>
        <v>0</v>
      </c>
      <c r="AA175" s="106">
        <f t="shared" si="2015"/>
        <v>78877.600000000006</v>
      </c>
      <c r="AB175" s="118">
        <f t="shared" si="1861"/>
        <v>0</v>
      </c>
      <c r="AC175" s="106">
        <f t="shared" si="2016"/>
        <v>0</v>
      </c>
      <c r="AD175" s="106">
        <f t="shared" si="2017"/>
        <v>0</v>
      </c>
      <c r="AE175" s="106">
        <f t="shared" si="2018"/>
        <v>0</v>
      </c>
      <c r="AF175" s="106">
        <f t="shared" si="2019"/>
        <v>0</v>
      </c>
      <c r="AG175" s="106">
        <f t="shared" si="2020"/>
        <v>0</v>
      </c>
      <c r="AH175" s="106">
        <f t="shared" si="2021"/>
        <v>0</v>
      </c>
      <c r="AI175" s="106">
        <f t="shared" si="2022"/>
        <v>0</v>
      </c>
      <c r="AJ175" s="106">
        <f t="shared" si="2023"/>
        <v>0</v>
      </c>
      <c r="AK175" s="106">
        <f t="shared" si="2024"/>
        <v>0</v>
      </c>
      <c r="AL175" s="106">
        <f t="shared" si="2025"/>
        <v>0</v>
      </c>
      <c r="AM175" s="106">
        <f t="shared" si="2026"/>
        <v>0</v>
      </c>
      <c r="AN175" s="106">
        <f t="shared" si="2027"/>
        <v>0</v>
      </c>
      <c r="AO175" s="106">
        <f t="shared" si="2028"/>
        <v>0</v>
      </c>
      <c r="AQ175" s="106">
        <v>0</v>
      </c>
      <c r="AR175" s="106">
        <v>0</v>
      </c>
      <c r="AS175" s="106">
        <v>0</v>
      </c>
      <c r="AT175" s="106">
        <v>0</v>
      </c>
      <c r="AU175" s="106">
        <v>0</v>
      </c>
      <c r="AV175" s="106">
        <v>0</v>
      </c>
      <c r="AW175" s="106">
        <v>0</v>
      </c>
      <c r="AX175" s="106">
        <v>0</v>
      </c>
      <c r="AY175" s="106">
        <v>0</v>
      </c>
      <c r="AZ175" s="106">
        <v>0</v>
      </c>
      <c r="BA175" s="106">
        <v>0</v>
      </c>
      <c r="BB175" s="106">
        <v>0</v>
      </c>
      <c r="BC175" s="106">
        <f t="shared" si="2029"/>
        <v>0</v>
      </c>
      <c r="BD175" s="16" t="str">
        <f t="shared" si="1532"/>
        <v>Xentry Finance Charge</v>
      </c>
      <c r="BE175" s="106">
        <f>+VLOOKUP($BD175,'Jan-25'!$A:$J,2,0)</f>
        <v>0</v>
      </c>
      <c r="BF175" s="106">
        <f>+VLOOKUP($BD175,'Feb-25'!$A:$J,2,0)</f>
        <v>0</v>
      </c>
      <c r="BG175" s="106">
        <f>+VLOOKUP($BD175,'Mar-25'!$A:$J,2,0)</f>
        <v>0</v>
      </c>
      <c r="BH175" s="106">
        <f>+VLOOKUP($BD175,'Apr-25'!$A:$J,2,0)</f>
        <v>0</v>
      </c>
      <c r="BI175" s="106">
        <f>+VLOOKUP($BD175,'May-25'!$A:$J,2,0)</f>
        <v>0</v>
      </c>
      <c r="BJ175" s="106">
        <f>+VLOOKUP($BD175,'June-25'!$A:$J,2,0)</f>
        <v>0</v>
      </c>
      <c r="BK175" s="106">
        <f>+VLOOKUP($BD175,'July-25'!$A:$J,2,0)</f>
        <v>0</v>
      </c>
      <c r="BL175" s="106">
        <f>+VLOOKUP($BD175,'Aug-25'!$A:$J,2,0)</f>
        <v>0</v>
      </c>
      <c r="BM175" s="106">
        <f>+VLOOKUP($BD175,'Sep-25'!$A:$J,2,0)</f>
        <v>0</v>
      </c>
      <c r="BN175" s="106">
        <f>+VLOOKUP($BD175,'Oct-25'!$A:$J,2,0)</f>
        <v>0</v>
      </c>
      <c r="BO175" s="106">
        <f>+VLOOKUP($BD175,'Nov-25'!$A:$J,2,0)</f>
        <v>0</v>
      </c>
      <c r="BP175" s="106">
        <f>+VLOOKUP($BD175,'Dec-25'!$A:$J,2,0)</f>
        <v>0</v>
      </c>
      <c r="BQ175" s="106">
        <f t="shared" si="2030"/>
        <v>0</v>
      </c>
      <c r="BR175" s="118">
        <f t="shared" si="1877"/>
        <v>0</v>
      </c>
      <c r="BS175" s="106" cm="1">
        <f t="array" ref="BS175:CD175">+_xlfn.XLOOKUP(BD175,Budget!A:A,Budget!Q:AB)</f>
        <v>0</v>
      </c>
      <c r="BT175" s="106">
        <v>0</v>
      </c>
      <c r="BU175" s="106">
        <v>0</v>
      </c>
      <c r="BV175" s="106">
        <v>0</v>
      </c>
      <c r="BW175" s="106">
        <v>0</v>
      </c>
      <c r="BX175" s="106">
        <v>0</v>
      </c>
      <c r="BY175" s="106">
        <v>0</v>
      </c>
      <c r="BZ175" s="106">
        <v>0</v>
      </c>
      <c r="CA175" s="106">
        <v>0</v>
      </c>
      <c r="CB175" s="106">
        <v>0</v>
      </c>
      <c r="CC175" s="106">
        <v>0</v>
      </c>
      <c r="CD175" s="106">
        <v>0</v>
      </c>
      <c r="CE175" s="106">
        <f t="shared" si="2031"/>
        <v>0</v>
      </c>
      <c r="CF175" s="22"/>
      <c r="CG175" s="106">
        <v>0</v>
      </c>
      <c r="CH175" s="106">
        <v>0</v>
      </c>
      <c r="CI175" s="106">
        <v>0</v>
      </c>
      <c r="CJ175" s="106">
        <v>0</v>
      </c>
      <c r="CK175" s="106">
        <v>0</v>
      </c>
      <c r="CL175" s="106">
        <v>0</v>
      </c>
      <c r="CM175" s="106">
        <v>0</v>
      </c>
      <c r="CN175" s="106">
        <v>0</v>
      </c>
      <c r="CO175" s="106">
        <v>0</v>
      </c>
      <c r="CP175" s="106">
        <v>0</v>
      </c>
      <c r="CQ175" s="106">
        <v>0</v>
      </c>
      <c r="CR175" s="106">
        <v>0</v>
      </c>
      <c r="CS175" s="106">
        <f t="shared" si="2032"/>
        <v>0</v>
      </c>
      <c r="CT175" s="16" t="str">
        <f t="shared" si="1536"/>
        <v>Xentry Finance Charge</v>
      </c>
      <c r="CU175" s="106">
        <f>+VLOOKUP($BD175,'Jan-25'!$A:$J,6,0)</f>
        <v>0</v>
      </c>
      <c r="CV175" s="106">
        <f>+VLOOKUP($BD175,'Feb-25'!$A:$J,6,0)</f>
        <v>0</v>
      </c>
      <c r="CW175" s="106">
        <f>+VLOOKUP($BD175,'Mar-25'!$A:$J,6,0)</f>
        <v>0</v>
      </c>
      <c r="CX175" s="106">
        <f>+VLOOKUP($BD175,'Apr-25'!$A:$J,6,0)</f>
        <v>0</v>
      </c>
      <c r="CY175" s="106">
        <f>+VLOOKUP($BD175,'May-25'!$A:$J,6,0)</f>
        <v>78877.600000000006</v>
      </c>
      <c r="CZ175" s="106">
        <f>+VLOOKUP($BD175,'June-25'!$A:$J,6,0)</f>
        <v>0</v>
      </c>
      <c r="DA175" s="106">
        <f>+VLOOKUP($BD175,'July-25'!$A:$J,6,0)</f>
        <v>0</v>
      </c>
      <c r="DB175" s="106">
        <f>+VLOOKUP($BD175,'Aug-25'!$A:$J,6,0)</f>
        <v>0</v>
      </c>
      <c r="DC175" s="106">
        <f>+VLOOKUP($BD175,'Sep-25'!$A:$J,6,0)</f>
        <v>0</v>
      </c>
      <c r="DD175" s="106">
        <f>+VLOOKUP($BD175,'Oct-25'!$A:$J,6,0)</f>
        <v>0</v>
      </c>
      <c r="DE175" s="106">
        <f>+VLOOKUP($BD175,'Nov-25'!$A:$J,6,0)</f>
        <v>0</v>
      </c>
      <c r="DF175" s="106">
        <f>+VLOOKUP($BD175,'Dec-25'!$A:$J,6,0)</f>
        <v>0</v>
      </c>
      <c r="DG175" s="106">
        <f t="shared" si="2033"/>
        <v>78877.600000000006</v>
      </c>
      <c r="DH175" s="118">
        <f t="shared" si="1881"/>
        <v>0</v>
      </c>
      <c r="DI175" s="106">
        <f>+_xlfn.XLOOKUP($CT175,Budget!$A:$A,Budget!BQ:BQ)</f>
        <v>0</v>
      </c>
      <c r="DJ175" s="106">
        <f>+_xlfn.XLOOKUP($CT175,Budget!$A:$A,Budget!BR:BR)</f>
        <v>0</v>
      </c>
      <c r="DK175" s="106">
        <f>+_xlfn.XLOOKUP($CT175,Budget!$A:$A,Budget!BS:BS)</f>
        <v>0</v>
      </c>
      <c r="DL175" s="106">
        <f>+_xlfn.XLOOKUP($CT175,Budget!$A:$A,Budget!BT:BT)</f>
        <v>0</v>
      </c>
      <c r="DM175" s="106">
        <f>+_xlfn.XLOOKUP($CT175,Budget!$A:$A,Budget!BU:BU)</f>
        <v>0</v>
      </c>
      <c r="DN175" s="106">
        <f>+_xlfn.XLOOKUP($CT175,Budget!$A:$A,Budget!BV:BV)</f>
        <v>0</v>
      </c>
      <c r="DO175" s="106">
        <f>+_xlfn.XLOOKUP($CT175,Budget!$A:$A,Budget!BW:BW)</f>
        <v>0</v>
      </c>
      <c r="DP175" s="106">
        <f>+_xlfn.XLOOKUP($CT175,Budget!$A:$A,Budget!BX:BX)</f>
        <v>0</v>
      </c>
      <c r="DQ175" s="106">
        <f>+_xlfn.XLOOKUP($CT175,Budget!$A:$A,Budget!BY:BY)</f>
        <v>0</v>
      </c>
      <c r="DR175" s="106">
        <f>+_xlfn.XLOOKUP($CT175,Budget!$A:$A,Budget!BZ:BZ)</f>
        <v>0</v>
      </c>
      <c r="DS175" s="106">
        <f>+_xlfn.XLOOKUP($CT175,Budget!$A:$A,Budget!CA:CA)</f>
        <v>0</v>
      </c>
      <c r="DT175" s="106">
        <f>+_xlfn.XLOOKUP($CT175,Budget!$A:$A,Budget!CB:CB)</f>
        <v>0</v>
      </c>
      <c r="DU175" s="106">
        <f t="shared" si="2034"/>
        <v>0</v>
      </c>
    </row>
    <row r="176" spans="1:125" ht="14.45" hidden="1" customHeight="1" outlineLevel="2">
      <c r="A176" s="106">
        <f t="shared" si="1990"/>
        <v>0</v>
      </c>
      <c r="B176" s="106">
        <f t="shared" si="1991"/>
        <v>0</v>
      </c>
      <c r="C176" s="106">
        <f t="shared" si="1992"/>
        <v>0</v>
      </c>
      <c r="D176" s="106">
        <f t="shared" si="1993"/>
        <v>0</v>
      </c>
      <c r="E176" s="106">
        <f t="shared" si="1994"/>
        <v>0</v>
      </c>
      <c r="F176" s="106">
        <f t="shared" si="1995"/>
        <v>0</v>
      </c>
      <c r="G176" s="106">
        <f t="shared" si="1996"/>
        <v>0</v>
      </c>
      <c r="H176" s="106">
        <f t="shared" si="1997"/>
        <v>0</v>
      </c>
      <c r="I176" s="106">
        <f t="shared" si="1998"/>
        <v>0</v>
      </c>
      <c r="J176" s="106">
        <f t="shared" si="1999"/>
        <v>0</v>
      </c>
      <c r="K176" s="106">
        <f t="shared" si="2000"/>
        <v>0</v>
      </c>
      <c r="L176" s="106">
        <f t="shared" si="2001"/>
        <v>0</v>
      </c>
      <c r="M176" s="106">
        <f t="shared" si="2002"/>
        <v>0</v>
      </c>
      <c r="N176" s="16" t="s">
        <v>231</v>
      </c>
      <c r="O176" s="106">
        <f t="shared" si="2003"/>
        <v>0</v>
      </c>
      <c r="P176" s="106">
        <f t="shared" si="2004"/>
        <v>0</v>
      </c>
      <c r="Q176" s="106">
        <f t="shared" si="2005"/>
        <v>0</v>
      </c>
      <c r="R176" s="106">
        <f t="shared" si="2006"/>
        <v>0</v>
      </c>
      <c r="S176" s="106">
        <f t="shared" si="2007"/>
        <v>20756.400000000001</v>
      </c>
      <c r="T176" s="106">
        <f t="shared" si="2008"/>
        <v>0</v>
      </c>
      <c r="U176" s="106">
        <f t="shared" si="2009"/>
        <v>0</v>
      </c>
      <c r="V176" s="106">
        <f t="shared" si="2010"/>
        <v>0</v>
      </c>
      <c r="W176" s="106">
        <f t="shared" si="2011"/>
        <v>0</v>
      </c>
      <c r="X176" s="106">
        <f t="shared" si="2012"/>
        <v>0</v>
      </c>
      <c r="Y176" s="106">
        <f t="shared" si="2013"/>
        <v>0</v>
      </c>
      <c r="Z176" s="106">
        <f t="shared" si="2014"/>
        <v>0</v>
      </c>
      <c r="AA176" s="106">
        <f t="shared" si="2015"/>
        <v>20756.400000000001</v>
      </c>
      <c r="AB176" s="118">
        <f t="shared" si="1861"/>
        <v>0</v>
      </c>
      <c r="AC176" s="106">
        <f t="shared" si="2016"/>
        <v>0</v>
      </c>
      <c r="AD176" s="106">
        <f t="shared" si="2017"/>
        <v>0</v>
      </c>
      <c r="AE176" s="106">
        <f t="shared" si="2018"/>
        <v>0</v>
      </c>
      <c r="AF176" s="106">
        <f t="shared" si="2019"/>
        <v>0</v>
      </c>
      <c r="AG176" s="106">
        <f t="shared" si="2020"/>
        <v>0</v>
      </c>
      <c r="AH176" s="106">
        <f t="shared" si="2021"/>
        <v>0</v>
      </c>
      <c r="AI176" s="106">
        <f t="shared" si="2022"/>
        <v>0</v>
      </c>
      <c r="AJ176" s="106">
        <f t="shared" si="2023"/>
        <v>0</v>
      </c>
      <c r="AK176" s="106">
        <f t="shared" si="2024"/>
        <v>0</v>
      </c>
      <c r="AL176" s="106">
        <f t="shared" si="2025"/>
        <v>0</v>
      </c>
      <c r="AM176" s="106">
        <f t="shared" si="2026"/>
        <v>0</v>
      </c>
      <c r="AN176" s="106">
        <f t="shared" si="2027"/>
        <v>0</v>
      </c>
      <c r="AO176" s="106">
        <f t="shared" si="2028"/>
        <v>0</v>
      </c>
      <c r="AQ176" s="106">
        <v>0</v>
      </c>
      <c r="AR176" s="106">
        <v>0</v>
      </c>
      <c r="AS176" s="106">
        <v>0</v>
      </c>
      <c r="AT176" s="106">
        <v>0</v>
      </c>
      <c r="AU176" s="106">
        <v>0</v>
      </c>
      <c r="AV176" s="106">
        <v>0</v>
      </c>
      <c r="AW176" s="106">
        <v>0</v>
      </c>
      <c r="AX176" s="106">
        <v>0</v>
      </c>
      <c r="AY176" s="106">
        <v>0</v>
      </c>
      <c r="AZ176" s="106">
        <v>0</v>
      </c>
      <c r="BA176" s="106">
        <v>0</v>
      </c>
      <c r="BB176" s="106">
        <v>0</v>
      </c>
      <c r="BC176" s="106">
        <f t="shared" si="2029"/>
        <v>0</v>
      </c>
      <c r="BD176" s="16" t="str">
        <f t="shared" si="1532"/>
        <v>Xentry Finance Charge Interest</v>
      </c>
      <c r="BE176" s="106">
        <f>+VLOOKUP($BD176,'Jan-25'!$A:$J,2,0)</f>
        <v>0</v>
      </c>
      <c r="BF176" s="106">
        <f>+VLOOKUP($BD176,'Feb-25'!$A:$J,2,0)</f>
        <v>0</v>
      </c>
      <c r="BG176" s="106">
        <f>+VLOOKUP($BD176,'Mar-25'!$A:$J,2,0)</f>
        <v>0</v>
      </c>
      <c r="BH176" s="106">
        <f>+VLOOKUP($BD176,'Apr-25'!$A:$J,2,0)</f>
        <v>0</v>
      </c>
      <c r="BI176" s="106">
        <f>+VLOOKUP($BD176,'May-25'!$A:$J,2,0)</f>
        <v>0</v>
      </c>
      <c r="BJ176" s="106">
        <f>+VLOOKUP($BD176,'June-25'!$A:$J,2,0)</f>
        <v>0</v>
      </c>
      <c r="BK176" s="106">
        <f>+VLOOKUP($BD176,'July-25'!$A:$J,2,0)</f>
        <v>0</v>
      </c>
      <c r="BL176" s="106">
        <f>+VLOOKUP($BD176,'Aug-25'!$A:$J,2,0)</f>
        <v>0</v>
      </c>
      <c r="BM176" s="106">
        <f>+VLOOKUP($BD176,'Sep-25'!$A:$J,2,0)</f>
        <v>0</v>
      </c>
      <c r="BN176" s="106">
        <f>+VLOOKUP($BD176,'Oct-25'!$A:$J,2,0)</f>
        <v>0</v>
      </c>
      <c r="BO176" s="106">
        <f>+VLOOKUP($BD176,'Nov-25'!$A:$J,2,0)</f>
        <v>0</v>
      </c>
      <c r="BP176" s="106">
        <f>+VLOOKUP($BD176,'Dec-25'!$A:$J,2,0)</f>
        <v>0</v>
      </c>
      <c r="BQ176" s="106">
        <f t="shared" si="2030"/>
        <v>0</v>
      </c>
      <c r="BR176" s="118">
        <f t="shared" si="1877"/>
        <v>0</v>
      </c>
      <c r="BS176" s="106" cm="1">
        <f t="array" ref="BS176:CD176">+_xlfn.XLOOKUP(BD176,Budget!A:A,Budget!Q:AB)</f>
        <v>0</v>
      </c>
      <c r="BT176" s="106">
        <v>0</v>
      </c>
      <c r="BU176" s="106">
        <v>0</v>
      </c>
      <c r="BV176" s="106">
        <v>0</v>
      </c>
      <c r="BW176" s="106">
        <v>0</v>
      </c>
      <c r="BX176" s="106">
        <v>0</v>
      </c>
      <c r="BY176" s="106">
        <v>0</v>
      </c>
      <c r="BZ176" s="106">
        <v>0</v>
      </c>
      <c r="CA176" s="106">
        <v>0</v>
      </c>
      <c r="CB176" s="106">
        <v>0</v>
      </c>
      <c r="CC176" s="106">
        <v>0</v>
      </c>
      <c r="CD176" s="106">
        <v>0</v>
      </c>
      <c r="CE176" s="106">
        <f t="shared" si="2031"/>
        <v>0</v>
      </c>
      <c r="CF176" s="22"/>
      <c r="CG176" s="106">
        <v>0</v>
      </c>
      <c r="CH176" s="106">
        <v>0</v>
      </c>
      <c r="CI176" s="106">
        <v>0</v>
      </c>
      <c r="CJ176" s="106">
        <v>0</v>
      </c>
      <c r="CK176" s="106">
        <v>0</v>
      </c>
      <c r="CL176" s="106">
        <v>0</v>
      </c>
      <c r="CM176" s="106">
        <v>0</v>
      </c>
      <c r="CN176" s="106">
        <v>0</v>
      </c>
      <c r="CO176" s="106">
        <v>0</v>
      </c>
      <c r="CP176" s="106">
        <v>0</v>
      </c>
      <c r="CQ176" s="106">
        <v>0</v>
      </c>
      <c r="CR176" s="106">
        <v>0</v>
      </c>
      <c r="CS176" s="106">
        <f t="shared" si="2032"/>
        <v>0</v>
      </c>
      <c r="CT176" s="16" t="str">
        <f t="shared" si="1536"/>
        <v>Xentry Finance Charge Interest</v>
      </c>
      <c r="CU176" s="106">
        <f>+VLOOKUP($BD176,'Jan-25'!$A:$J,6,0)</f>
        <v>0</v>
      </c>
      <c r="CV176" s="106">
        <f>+VLOOKUP($BD176,'Feb-25'!$A:$J,6,0)</f>
        <v>0</v>
      </c>
      <c r="CW176" s="106">
        <f>+VLOOKUP($BD176,'Mar-25'!$A:$J,6,0)</f>
        <v>0</v>
      </c>
      <c r="CX176" s="106">
        <f>+VLOOKUP($BD176,'Apr-25'!$A:$J,6,0)</f>
        <v>0</v>
      </c>
      <c r="CY176" s="106">
        <f>+VLOOKUP($BD176,'May-25'!$A:$J,6,0)</f>
        <v>20756.400000000001</v>
      </c>
      <c r="CZ176" s="106">
        <f>+VLOOKUP($BD176,'June-25'!$A:$J,6,0)</f>
        <v>0</v>
      </c>
      <c r="DA176" s="106">
        <f>+VLOOKUP($BD176,'July-25'!$A:$J,6,0)</f>
        <v>0</v>
      </c>
      <c r="DB176" s="106">
        <f>+VLOOKUP($BD176,'Aug-25'!$A:$J,6,0)</f>
        <v>0</v>
      </c>
      <c r="DC176" s="106">
        <f>+VLOOKUP($BD176,'Sep-25'!$A:$J,6,0)</f>
        <v>0</v>
      </c>
      <c r="DD176" s="106">
        <f>+VLOOKUP($BD176,'Oct-25'!$A:$J,6,0)</f>
        <v>0</v>
      </c>
      <c r="DE176" s="106">
        <f>+VLOOKUP($BD176,'Nov-25'!$A:$J,6,0)</f>
        <v>0</v>
      </c>
      <c r="DF176" s="106">
        <f>+VLOOKUP($BD176,'Dec-25'!$A:$J,6,0)</f>
        <v>0</v>
      </c>
      <c r="DG176" s="106">
        <f t="shared" si="2033"/>
        <v>20756.400000000001</v>
      </c>
      <c r="DH176" s="118">
        <f t="shared" si="1881"/>
        <v>0</v>
      </c>
      <c r="DI176" s="106">
        <f>+_xlfn.XLOOKUP($CT176,Budget!$A:$A,Budget!BQ:BQ)</f>
        <v>0</v>
      </c>
      <c r="DJ176" s="106">
        <f>+_xlfn.XLOOKUP($CT176,Budget!$A:$A,Budget!BR:BR)</f>
        <v>0</v>
      </c>
      <c r="DK176" s="106">
        <f>+_xlfn.XLOOKUP($CT176,Budget!$A:$A,Budget!BS:BS)</f>
        <v>0</v>
      </c>
      <c r="DL176" s="106">
        <f>+_xlfn.XLOOKUP($CT176,Budget!$A:$A,Budget!BT:BT)</f>
        <v>0</v>
      </c>
      <c r="DM176" s="106">
        <f>+_xlfn.XLOOKUP($CT176,Budget!$A:$A,Budget!BU:BU)</f>
        <v>0</v>
      </c>
      <c r="DN176" s="106">
        <f>+_xlfn.XLOOKUP($CT176,Budget!$A:$A,Budget!BV:BV)</f>
        <v>0</v>
      </c>
      <c r="DO176" s="106">
        <f>+_xlfn.XLOOKUP($CT176,Budget!$A:$A,Budget!BW:BW)</f>
        <v>0</v>
      </c>
      <c r="DP176" s="106">
        <f>+_xlfn.XLOOKUP($CT176,Budget!$A:$A,Budget!BX:BX)</f>
        <v>0</v>
      </c>
      <c r="DQ176" s="106">
        <f>+_xlfn.XLOOKUP($CT176,Budget!$A:$A,Budget!BY:BY)</f>
        <v>0</v>
      </c>
      <c r="DR176" s="106">
        <f>+_xlfn.XLOOKUP($CT176,Budget!$A:$A,Budget!BZ:BZ)</f>
        <v>0</v>
      </c>
      <c r="DS176" s="106">
        <f>+_xlfn.XLOOKUP($CT176,Budget!$A:$A,Budget!CA:CA)</f>
        <v>0</v>
      </c>
      <c r="DT176" s="106">
        <f>+_xlfn.XLOOKUP($CT176,Budget!$A:$A,Budget!CB:CB)</f>
        <v>0</v>
      </c>
      <c r="DU176" s="106">
        <f t="shared" si="2034"/>
        <v>0</v>
      </c>
    </row>
    <row r="177" spans="1:125" ht="14.45" hidden="1" customHeight="1" outlineLevel="2">
      <c r="A177" s="106">
        <f t="shared" si="1990"/>
        <v>27534.131500000003</v>
      </c>
      <c r="B177" s="106">
        <f t="shared" si="1991"/>
        <v>28399</v>
      </c>
      <c r="C177" s="106">
        <f t="shared" si="1992"/>
        <v>22199.285500000002</v>
      </c>
      <c r="D177" s="106">
        <f t="shared" si="1993"/>
        <v>29387</v>
      </c>
      <c r="E177" s="106">
        <f t="shared" si="1994"/>
        <v>29047</v>
      </c>
      <c r="F177" s="106">
        <f t="shared" si="1995"/>
        <v>28700</v>
      </c>
      <c r="G177" s="106">
        <f t="shared" si="1996"/>
        <v>29758</v>
      </c>
      <c r="H177" s="106">
        <f t="shared" si="1997"/>
        <v>47174</v>
      </c>
      <c r="I177" s="106">
        <f t="shared" si="1998"/>
        <v>52838.181499999999</v>
      </c>
      <c r="J177" s="106">
        <f t="shared" si="1999"/>
        <v>40928</v>
      </c>
      <c r="K177" s="106">
        <f t="shared" si="2000"/>
        <v>28029.546000000002</v>
      </c>
      <c r="L177" s="106">
        <f t="shared" si="2001"/>
        <v>26169.390000000003</v>
      </c>
      <c r="M177" s="106">
        <f t="shared" si="2002"/>
        <v>390163.53450000007</v>
      </c>
      <c r="N177" s="16" t="s">
        <v>232</v>
      </c>
      <c r="O177" s="106">
        <f t="shared" si="2003"/>
        <v>10089.85</v>
      </c>
      <c r="P177" s="106">
        <f t="shared" si="2004"/>
        <v>31339.69</v>
      </c>
      <c r="Q177" s="106">
        <f t="shared" si="2005"/>
        <v>89407.071500000005</v>
      </c>
      <c r="R177" s="106">
        <f t="shared" si="2006"/>
        <v>9939.4814999999999</v>
      </c>
      <c r="S177" s="106">
        <f t="shared" si="2007"/>
        <v>105284.29150000001</v>
      </c>
      <c r="T177" s="106">
        <f t="shared" si="2008"/>
        <v>86438.841499999995</v>
      </c>
      <c r="U177" s="106">
        <f t="shared" si="2009"/>
        <v>98818.478777777782</v>
      </c>
      <c r="V177" s="106">
        <f t="shared" si="2010"/>
        <v>36203.288499999995</v>
      </c>
      <c r="W177" s="106">
        <f t="shared" si="2011"/>
        <v>109754.26000000001</v>
      </c>
      <c r="X177" s="106">
        <f t="shared" si="2012"/>
        <v>39809.120000000017</v>
      </c>
      <c r="Y177" s="106">
        <f t="shared" si="2013"/>
        <v>0</v>
      </c>
      <c r="Z177" s="106">
        <f t="shared" si="2014"/>
        <v>0</v>
      </c>
      <c r="AA177" s="106">
        <f t="shared" si="2015"/>
        <v>617084.37327777781</v>
      </c>
      <c r="AB177" s="118">
        <f t="shared" si="1861"/>
        <v>0.83241058688147374</v>
      </c>
      <c r="AC177" s="106">
        <f t="shared" si="2016"/>
        <v>21725</v>
      </c>
      <c r="AD177" s="106">
        <f t="shared" si="2017"/>
        <v>21725</v>
      </c>
      <c r="AE177" s="106">
        <f t="shared" si="2018"/>
        <v>21725</v>
      </c>
      <c r="AF177" s="106">
        <f t="shared" si="2019"/>
        <v>21725</v>
      </c>
      <c r="AG177" s="106">
        <f t="shared" si="2020"/>
        <v>21725</v>
      </c>
      <c r="AH177" s="106">
        <f t="shared" si="2021"/>
        <v>21725</v>
      </c>
      <c r="AI177" s="106">
        <f t="shared" si="2022"/>
        <v>21725</v>
      </c>
      <c r="AJ177" s="106">
        <f t="shared" si="2023"/>
        <v>21725</v>
      </c>
      <c r="AK177" s="106">
        <f t="shared" si="2024"/>
        <v>21725</v>
      </c>
      <c r="AL177" s="106">
        <f t="shared" si="2025"/>
        <v>21725</v>
      </c>
      <c r="AM177" s="106">
        <f t="shared" si="2026"/>
        <v>21725</v>
      </c>
      <c r="AN177" s="106">
        <f t="shared" si="2027"/>
        <v>21725</v>
      </c>
      <c r="AO177" s="106">
        <f t="shared" si="2028"/>
        <v>260700</v>
      </c>
      <c r="AQ177" s="106">
        <v>25003.732000000004</v>
      </c>
      <c r="AR177" s="106">
        <v>25897</v>
      </c>
      <c r="AS177" s="106">
        <v>21312.844000000001</v>
      </c>
      <c r="AT177" s="106">
        <v>26885</v>
      </c>
      <c r="AU177" s="106">
        <v>26545</v>
      </c>
      <c r="AV177" s="106">
        <v>26198</v>
      </c>
      <c r="AW177" s="106">
        <v>27256</v>
      </c>
      <c r="AX177" s="106">
        <v>44672</v>
      </c>
      <c r="AY177" s="106">
        <v>50336.131999999998</v>
      </c>
      <c r="AZ177" s="106">
        <v>38426</v>
      </c>
      <c r="BA177" s="106">
        <v>25822.488000000001</v>
      </c>
      <c r="BB177" s="106">
        <v>24171.690000000002</v>
      </c>
      <c r="BC177" s="106">
        <f t="shared" si="2029"/>
        <v>362525.886</v>
      </c>
      <c r="BD177" s="16" t="str">
        <f t="shared" si="1532"/>
        <v>Other Software Charges</v>
      </c>
      <c r="BE177" s="106">
        <f>+VLOOKUP($BD177,'Jan-25'!$A:$J,2,0)</f>
        <v>7717.8</v>
      </c>
      <c r="BF177" s="106">
        <f>+VLOOKUP($BD177,'Feb-25'!$A:$J,2,0)</f>
        <v>28967.64</v>
      </c>
      <c r="BG177" s="106">
        <f>+VLOOKUP($BD177,'Mar-25'!$A:$J,2,0)</f>
        <v>87035.19200000001</v>
      </c>
      <c r="BH177" s="106">
        <f>+VLOOKUP($BD177,'Apr-25'!$A:$J,2,0)</f>
        <v>7567.6019999999999</v>
      </c>
      <c r="BI177" s="106">
        <f>+VLOOKUP($BD177,'May-25'!$A:$J,2,0)</f>
        <v>102912.41200000001</v>
      </c>
      <c r="BJ177" s="106">
        <f>+VLOOKUP($BD177,'June-25'!$A:$J,2,0)</f>
        <v>78470.611999999994</v>
      </c>
      <c r="BK177" s="106">
        <f>+VLOOKUP($BD177,'July-25'!$A:$J,2,0)</f>
        <v>22277.743999999999</v>
      </c>
      <c r="BL177" s="106">
        <f>+VLOOKUP($BD177,'Aug-25'!$A:$J,2,0)</f>
        <v>33762.437999999995</v>
      </c>
      <c r="BM177" s="106">
        <f>+VLOOKUP($BD177,'Sep-25'!$A:$J,2,0)</f>
        <v>107313.36000000002</v>
      </c>
      <c r="BN177" s="106">
        <f>+VLOOKUP($BD177,'Oct-25'!$A:$J,2,0)</f>
        <v>37368.220000000016</v>
      </c>
      <c r="BO177" s="106">
        <f>+VLOOKUP($BD177,'Nov-25'!$A:$J,2,0)</f>
        <v>0</v>
      </c>
      <c r="BP177" s="106">
        <f>+VLOOKUP($BD177,'Dec-25'!$A:$J,2,0)</f>
        <v>0</v>
      </c>
      <c r="BQ177" s="106">
        <f t="shared" si="2030"/>
        <v>513393.02000000008</v>
      </c>
      <c r="BR177" s="118">
        <f t="shared" si="1877"/>
        <v>1.3650772151898745</v>
      </c>
      <c r="BS177" s="106" cm="1">
        <f t="array" ref="BS177:CD177">+_xlfn.XLOOKUP(BD177,Budget!A:A,Budget!Q:AB)</f>
        <v>15800</v>
      </c>
      <c r="BT177" s="106">
        <v>15800</v>
      </c>
      <c r="BU177" s="106">
        <v>15800</v>
      </c>
      <c r="BV177" s="106">
        <v>15800</v>
      </c>
      <c r="BW177" s="106">
        <v>15800</v>
      </c>
      <c r="BX177" s="106">
        <v>15800</v>
      </c>
      <c r="BY177" s="106">
        <v>15800</v>
      </c>
      <c r="BZ177" s="106">
        <v>15800</v>
      </c>
      <c r="CA177" s="106">
        <v>15800</v>
      </c>
      <c r="CB177" s="106">
        <v>15800</v>
      </c>
      <c r="CC177" s="106">
        <v>15800</v>
      </c>
      <c r="CD177" s="106">
        <v>15800</v>
      </c>
      <c r="CE177" s="106">
        <f t="shared" si="2031"/>
        <v>189600</v>
      </c>
      <c r="CF177" s="22"/>
      <c r="CG177" s="106">
        <v>2530.3995</v>
      </c>
      <c r="CH177" s="106">
        <v>2502</v>
      </c>
      <c r="CI177" s="106">
        <v>886.44150000000036</v>
      </c>
      <c r="CJ177" s="106">
        <v>2502</v>
      </c>
      <c r="CK177" s="106">
        <v>2502</v>
      </c>
      <c r="CL177" s="106">
        <v>2502</v>
      </c>
      <c r="CM177" s="106">
        <v>2502</v>
      </c>
      <c r="CN177" s="106">
        <v>2502</v>
      </c>
      <c r="CO177" s="106">
        <v>2502.0495000000001</v>
      </c>
      <c r="CP177" s="106">
        <v>2502</v>
      </c>
      <c r="CQ177" s="106">
        <v>2207.058</v>
      </c>
      <c r="CR177" s="106">
        <v>1997.6999999999998</v>
      </c>
      <c r="CS177" s="106">
        <f t="shared" si="2032"/>
        <v>27637.648500000003</v>
      </c>
      <c r="CT177" s="16" t="str">
        <f t="shared" si="1536"/>
        <v>Other Software Charges</v>
      </c>
      <c r="CU177" s="106">
        <f>+VLOOKUP($BD177,'Jan-25'!$A:$J,6,0)</f>
        <v>2372.0500000000002</v>
      </c>
      <c r="CV177" s="106">
        <f>+VLOOKUP($BD177,'Feb-25'!$A:$J,6,0)</f>
        <v>2372.0500000000002</v>
      </c>
      <c r="CW177" s="106">
        <f>+VLOOKUP($BD177,'Mar-25'!$A:$J,6,0)</f>
        <v>2371.8795</v>
      </c>
      <c r="CX177" s="106">
        <f>+VLOOKUP($BD177,'Apr-25'!$A:$J,6,0)</f>
        <v>2371.8795</v>
      </c>
      <c r="CY177" s="106">
        <f>+VLOOKUP($BD177,'May-25'!$A:$J,6,0)</f>
        <v>2371.8795</v>
      </c>
      <c r="CZ177" s="106">
        <f>+VLOOKUP($BD177,'June-25'!$A:$J,6,0)</f>
        <v>7968.2295000000004</v>
      </c>
      <c r="DA177" s="106">
        <f>+VLOOKUP($BD177,'July-25'!$A:$J,6,0)</f>
        <v>76540.734777777776</v>
      </c>
      <c r="DB177" s="106">
        <f>+VLOOKUP($BD177,'Aug-25'!$A:$J,6,0)</f>
        <v>2440.8505000000005</v>
      </c>
      <c r="DC177" s="106">
        <f>+VLOOKUP($BD177,'Sep-25'!$A:$J,6,0)</f>
        <v>2440.9</v>
      </c>
      <c r="DD177" s="106">
        <f>+VLOOKUP($BD177,'Oct-25'!$A:$J,6,0)</f>
        <v>2440.9</v>
      </c>
      <c r="DE177" s="106">
        <f>+VLOOKUP($BD177,'Nov-25'!$A:$J,6,0)</f>
        <v>0</v>
      </c>
      <c r="DF177" s="106">
        <f>+VLOOKUP($BD177,'Dec-25'!$A:$J,6,0)</f>
        <v>0</v>
      </c>
      <c r="DG177" s="106">
        <f t="shared" si="2033"/>
        <v>103691.35327777776</v>
      </c>
      <c r="DH177" s="118">
        <f t="shared" si="1881"/>
        <v>-0.5880337552742616</v>
      </c>
      <c r="DI177" s="106">
        <f>+_xlfn.XLOOKUP($CT177,Budget!$A:$A,Budget!BQ:BQ)</f>
        <v>5925</v>
      </c>
      <c r="DJ177" s="106">
        <f>+_xlfn.XLOOKUP($CT177,Budget!$A:$A,Budget!BR:BR)</f>
        <v>5925</v>
      </c>
      <c r="DK177" s="106">
        <f>+_xlfn.XLOOKUP($CT177,Budget!$A:$A,Budget!BS:BS)</f>
        <v>5925</v>
      </c>
      <c r="DL177" s="106">
        <f>+_xlfn.XLOOKUP($CT177,Budget!$A:$A,Budget!BT:BT)</f>
        <v>5925</v>
      </c>
      <c r="DM177" s="106">
        <f>+_xlfn.XLOOKUP($CT177,Budget!$A:$A,Budget!BU:BU)</f>
        <v>5925</v>
      </c>
      <c r="DN177" s="106">
        <f>+_xlfn.XLOOKUP($CT177,Budget!$A:$A,Budget!BV:BV)</f>
        <v>5925</v>
      </c>
      <c r="DO177" s="106">
        <f>+_xlfn.XLOOKUP($CT177,Budget!$A:$A,Budget!BW:BW)</f>
        <v>5925</v>
      </c>
      <c r="DP177" s="106">
        <f>+_xlfn.XLOOKUP($CT177,Budget!$A:$A,Budget!BX:BX)</f>
        <v>5925</v>
      </c>
      <c r="DQ177" s="106">
        <f>+_xlfn.XLOOKUP($CT177,Budget!$A:$A,Budget!BY:BY)</f>
        <v>5925</v>
      </c>
      <c r="DR177" s="106">
        <f>+_xlfn.XLOOKUP($CT177,Budget!$A:$A,Budget!BZ:BZ)</f>
        <v>5925</v>
      </c>
      <c r="DS177" s="106">
        <f>+_xlfn.XLOOKUP($CT177,Budget!$A:$A,Budget!CA:CA)</f>
        <v>5925</v>
      </c>
      <c r="DT177" s="106">
        <f>+_xlfn.XLOOKUP($CT177,Budget!$A:$A,Budget!CB:CB)</f>
        <v>5925</v>
      </c>
      <c r="DU177" s="106">
        <f t="shared" si="2034"/>
        <v>71100</v>
      </c>
    </row>
    <row r="178" spans="1:125" ht="14.45" customHeight="1" outlineLevel="1" collapsed="1">
      <c r="A178" s="58">
        <f t="shared" ref="A178:L178" si="2035">+SUM(A179:A181)</f>
        <v>311295.87899999996</v>
      </c>
      <c r="B178" s="58">
        <f t="shared" si="2035"/>
        <v>320088.71999999997</v>
      </c>
      <c r="C178" s="58">
        <f t="shared" si="2035"/>
        <v>340575.22899999999</v>
      </c>
      <c r="D178" s="58">
        <f t="shared" si="2035"/>
        <v>233058.03</v>
      </c>
      <c r="E178" s="58">
        <f t="shared" si="2035"/>
        <v>191912</v>
      </c>
      <c r="F178" s="58">
        <f t="shared" si="2035"/>
        <v>191739.78</v>
      </c>
      <c r="G178" s="58">
        <f t="shared" si="2035"/>
        <v>282052.77999999997</v>
      </c>
      <c r="H178" s="58">
        <f t="shared" si="2035"/>
        <v>252708.89999999997</v>
      </c>
      <c r="I178" s="58">
        <f t="shared" si="2035"/>
        <v>194892</v>
      </c>
      <c r="J178" s="58">
        <f t="shared" si="2035"/>
        <v>234712.83000000002</v>
      </c>
      <c r="K178" s="58">
        <f t="shared" si="2035"/>
        <v>289431.23</v>
      </c>
      <c r="L178" s="58">
        <f t="shared" si="2035"/>
        <v>299862</v>
      </c>
      <c r="M178" s="58"/>
      <c r="N178" s="20" t="s">
        <v>147</v>
      </c>
      <c r="O178" s="58">
        <f t="shared" ref="O178" si="2036">+SUM(O179:O181)</f>
        <v>486540</v>
      </c>
      <c r="P178" s="58">
        <f t="shared" ref="P178" si="2037">+SUM(P179:P181)</f>
        <v>298469</v>
      </c>
      <c r="Q178" s="58">
        <f t="shared" ref="Q178" si="2038">+SUM(Q179:Q181)</f>
        <v>238483</v>
      </c>
      <c r="R178" s="58">
        <f t="shared" ref="R178" si="2039">+SUM(R179:R181)</f>
        <v>293072</v>
      </c>
      <c r="S178" s="58">
        <f t="shared" ref="S178" si="2040">+SUM(S179:S181)</f>
        <v>339765.5</v>
      </c>
      <c r="T178" s="58">
        <f t="shared" ref="T178" si="2041">+SUM(T179:T181)</f>
        <v>345768.5</v>
      </c>
      <c r="U178" s="58">
        <f t="shared" ref="U178" si="2042">+SUM(U179:U181)</f>
        <v>261079.77499999999</v>
      </c>
      <c r="V178" s="58">
        <f t="shared" ref="V178" si="2043">+SUM(V179:V181)</f>
        <v>253735.5</v>
      </c>
      <c r="W178" s="58">
        <f t="shared" ref="W178" si="2044">+SUM(W179:W181)</f>
        <v>261297.5</v>
      </c>
      <c r="X178" s="58">
        <f t="shared" ref="X178" si="2045">+SUM(X179:X181)</f>
        <v>270490.5</v>
      </c>
      <c r="Y178" s="58">
        <f t="shared" ref="Y178" si="2046">+SUM(Y179:Y181)</f>
        <v>0</v>
      </c>
      <c r="Z178" s="58">
        <f t="shared" ref="Z178:AA178" si="2047">+SUM(Z179:Z181)</f>
        <v>0</v>
      </c>
      <c r="AA178" s="58">
        <f t="shared" si="2047"/>
        <v>3048701.2749999999</v>
      </c>
      <c r="AB178" s="118">
        <f t="shared" si="1861"/>
        <v>0.15249467405198125</v>
      </c>
      <c r="AC178" s="58">
        <f t="shared" ref="AC178" si="2048">+SUM(AC179:AC181)</f>
        <v>289072.99254545453</v>
      </c>
      <c r="AD178" s="58">
        <f t="shared" ref="AD178" si="2049">+SUM(AD179:AD181)</f>
        <v>289072.99254545453</v>
      </c>
      <c r="AE178" s="58">
        <f t="shared" ref="AE178" si="2050">+SUM(AE179:AE181)</f>
        <v>234700</v>
      </c>
      <c r="AF178" s="58">
        <f t="shared" ref="AF178" si="2051">+SUM(AF179:AF181)</f>
        <v>234700</v>
      </c>
      <c r="AG178" s="58">
        <f t="shared" ref="AG178" si="2052">+SUM(AG179:AG181)</f>
        <v>234700</v>
      </c>
      <c r="AH178" s="58">
        <f t="shared" ref="AH178" si="2053">+SUM(AH179:AH181)</f>
        <v>234700</v>
      </c>
      <c r="AI178" s="58">
        <f t="shared" ref="AI178" si="2054">+SUM(AI179:AI181)</f>
        <v>234700</v>
      </c>
      <c r="AJ178" s="58">
        <f t="shared" ref="AJ178" si="2055">+SUM(AJ179:AJ181)</f>
        <v>234700</v>
      </c>
      <c r="AK178" s="58">
        <f t="shared" ref="AK178" si="2056">+SUM(AK179:AK181)</f>
        <v>234700</v>
      </c>
      <c r="AL178" s="58">
        <f t="shared" ref="AL178" si="2057">+SUM(AL179:AL181)</f>
        <v>234700</v>
      </c>
      <c r="AM178" s="58">
        <f t="shared" ref="AM178" si="2058">+SUM(AM179:AM181)</f>
        <v>234700</v>
      </c>
      <c r="AN178" s="58">
        <f t="shared" ref="AN178" si="2059">+SUM(AN179:AN181)</f>
        <v>234700</v>
      </c>
      <c r="AO178" s="58"/>
      <c r="AQ178" s="58">
        <f t="shared" ref="AQ178:BC178" si="2060">+SUM(AQ179:AQ181)</f>
        <v>239840.91199999998</v>
      </c>
      <c r="AR178" s="58">
        <f t="shared" si="2060"/>
        <v>225667</v>
      </c>
      <c r="AS178" s="58">
        <f t="shared" si="2060"/>
        <v>281418.712</v>
      </c>
      <c r="AT178" s="58">
        <f t="shared" si="2060"/>
        <v>185608.78</v>
      </c>
      <c r="AU178" s="58">
        <f t="shared" si="2060"/>
        <v>144391</v>
      </c>
      <c r="AV178" s="58">
        <f t="shared" si="2060"/>
        <v>134857.78</v>
      </c>
      <c r="AW178" s="58">
        <f t="shared" si="2060"/>
        <v>213663.47999999998</v>
      </c>
      <c r="AX178" s="58">
        <f t="shared" si="2060"/>
        <v>185399.59999999998</v>
      </c>
      <c r="AY178" s="58">
        <f t="shared" si="2060"/>
        <v>192768</v>
      </c>
      <c r="AZ178" s="58">
        <f t="shared" si="2060"/>
        <v>190627</v>
      </c>
      <c r="BA178" s="58">
        <f t="shared" si="2060"/>
        <v>216436.22999999998</v>
      </c>
      <c r="BB178" s="58">
        <f t="shared" si="2060"/>
        <v>204548</v>
      </c>
      <c r="BC178" s="58">
        <f t="shared" si="2060"/>
        <v>2415226.4940000004</v>
      </c>
      <c r="BD178" s="20" t="str">
        <f t="shared" si="1532"/>
        <v>Utilities</v>
      </c>
      <c r="BE178" s="58">
        <f t="shared" ref="BE178:BQ178" si="2061">+SUM(BE179:BE181)</f>
        <v>393661</v>
      </c>
      <c r="BF178" s="58">
        <f t="shared" si="2061"/>
        <v>191651</v>
      </c>
      <c r="BG178" s="58">
        <f t="shared" si="2061"/>
        <v>187026</v>
      </c>
      <c r="BH178" s="58">
        <f t="shared" si="2061"/>
        <v>208107</v>
      </c>
      <c r="BI178" s="58">
        <f t="shared" si="2061"/>
        <v>240554</v>
      </c>
      <c r="BJ178" s="58">
        <f t="shared" si="2061"/>
        <v>242901</v>
      </c>
      <c r="BK178" s="58">
        <f t="shared" si="2061"/>
        <v>176097.78</v>
      </c>
      <c r="BL178" s="58">
        <f t="shared" si="2061"/>
        <v>190878</v>
      </c>
      <c r="BM178" s="58">
        <f t="shared" si="2061"/>
        <v>194340</v>
      </c>
      <c r="BN178" s="58">
        <f t="shared" si="2061"/>
        <v>193243</v>
      </c>
      <c r="BO178" s="58">
        <f t="shared" si="2061"/>
        <v>0</v>
      </c>
      <c r="BP178" s="58">
        <f t="shared" si="2061"/>
        <v>0</v>
      </c>
      <c r="BQ178" s="58">
        <f t="shared" si="2061"/>
        <v>2218458.7800000003</v>
      </c>
      <c r="BR178" s="118">
        <f t="shared" si="1877"/>
        <v>0.20776875</v>
      </c>
      <c r="BS178" s="58">
        <f t="shared" ref="BS178:CE178" si="2062">+SUM(BS179:BS181)</f>
        <v>214372.99254545456</v>
      </c>
      <c r="BT178" s="58">
        <f t="shared" si="2062"/>
        <v>214372.99254545456</v>
      </c>
      <c r="BU178" s="58">
        <f t="shared" si="2062"/>
        <v>160000</v>
      </c>
      <c r="BV178" s="58">
        <f t="shared" si="2062"/>
        <v>160000</v>
      </c>
      <c r="BW178" s="58">
        <f t="shared" si="2062"/>
        <v>160000</v>
      </c>
      <c r="BX178" s="58">
        <f t="shared" si="2062"/>
        <v>160000</v>
      </c>
      <c r="BY178" s="58">
        <f t="shared" si="2062"/>
        <v>160000</v>
      </c>
      <c r="BZ178" s="58">
        <f t="shared" si="2062"/>
        <v>160000</v>
      </c>
      <c r="CA178" s="58">
        <f t="shared" si="2062"/>
        <v>160000</v>
      </c>
      <c r="CB178" s="58">
        <f t="shared" si="2062"/>
        <v>160000</v>
      </c>
      <c r="CC178" s="58">
        <f t="shared" si="2062"/>
        <v>160000</v>
      </c>
      <c r="CD178" s="58">
        <f t="shared" si="2062"/>
        <v>160000</v>
      </c>
      <c r="CE178" s="58">
        <f t="shared" si="2062"/>
        <v>2028745.9850909091</v>
      </c>
      <c r="CF178" s="22"/>
      <c r="CG178" s="58">
        <f t="shared" ref="CG178:CS178" si="2063">+SUM(CG179:CG181)</f>
        <v>71454.967000000004</v>
      </c>
      <c r="CH178" s="58">
        <f t="shared" si="2063"/>
        <v>94421.72</v>
      </c>
      <c r="CI178" s="58">
        <f t="shared" si="2063"/>
        <v>59156.517</v>
      </c>
      <c r="CJ178" s="58">
        <f t="shared" si="2063"/>
        <v>47449.25</v>
      </c>
      <c r="CK178" s="58">
        <f t="shared" si="2063"/>
        <v>47521</v>
      </c>
      <c r="CL178" s="58">
        <f t="shared" si="2063"/>
        <v>56882</v>
      </c>
      <c r="CM178" s="58">
        <f t="shared" si="2063"/>
        <v>68389.3</v>
      </c>
      <c r="CN178" s="58">
        <f t="shared" si="2063"/>
        <v>67309.3</v>
      </c>
      <c r="CO178" s="58">
        <f t="shared" si="2063"/>
        <v>2124</v>
      </c>
      <c r="CP178" s="58">
        <f t="shared" si="2063"/>
        <v>44085.83</v>
      </c>
      <c r="CQ178" s="58">
        <f t="shared" si="2063"/>
        <v>72995</v>
      </c>
      <c r="CR178" s="58">
        <f t="shared" si="2063"/>
        <v>95314</v>
      </c>
      <c r="CS178" s="58">
        <f t="shared" si="2063"/>
        <v>727102.88400000008</v>
      </c>
      <c r="CT178" s="20" t="str">
        <f t="shared" si="1536"/>
        <v>Utilities</v>
      </c>
      <c r="CU178" s="58">
        <f t="shared" ref="CU178:DG178" si="2064">+SUM(CU179:CU181)</f>
        <v>92879</v>
      </c>
      <c r="CV178" s="58">
        <f t="shared" si="2064"/>
        <v>106818</v>
      </c>
      <c r="CW178" s="58">
        <f t="shared" si="2064"/>
        <v>51457</v>
      </c>
      <c r="CX178" s="58">
        <f t="shared" si="2064"/>
        <v>84965</v>
      </c>
      <c r="CY178" s="58">
        <f t="shared" si="2064"/>
        <v>99211.5</v>
      </c>
      <c r="CZ178" s="58">
        <f t="shared" si="2064"/>
        <v>102867.5</v>
      </c>
      <c r="DA178" s="58">
        <f t="shared" si="2064"/>
        <v>84981.994999999995</v>
      </c>
      <c r="DB178" s="58">
        <f t="shared" si="2064"/>
        <v>62857.5</v>
      </c>
      <c r="DC178" s="58">
        <f t="shared" si="2064"/>
        <v>66957.5</v>
      </c>
      <c r="DD178" s="58">
        <f t="shared" si="2064"/>
        <v>77247.5</v>
      </c>
      <c r="DE178" s="58">
        <f t="shared" si="2064"/>
        <v>0</v>
      </c>
      <c r="DF178" s="58">
        <f t="shared" si="2064"/>
        <v>0</v>
      </c>
      <c r="DG178" s="58">
        <f t="shared" si="2064"/>
        <v>830242.495</v>
      </c>
      <c r="DH178" s="118">
        <f t="shared" si="1881"/>
        <v>3.4103078982597054E-2</v>
      </c>
      <c r="DI178" s="58">
        <f t="shared" ref="DI178:DU178" si="2065">+SUM(DI179:DI181)</f>
        <v>74700</v>
      </c>
      <c r="DJ178" s="58">
        <f t="shared" si="2065"/>
        <v>74700</v>
      </c>
      <c r="DK178" s="58">
        <f t="shared" si="2065"/>
        <v>74700</v>
      </c>
      <c r="DL178" s="58">
        <f t="shared" si="2065"/>
        <v>74700</v>
      </c>
      <c r="DM178" s="58">
        <f t="shared" si="2065"/>
        <v>74700</v>
      </c>
      <c r="DN178" s="58">
        <f t="shared" si="2065"/>
        <v>74700</v>
      </c>
      <c r="DO178" s="58">
        <f t="shared" si="2065"/>
        <v>74700</v>
      </c>
      <c r="DP178" s="58">
        <f t="shared" si="2065"/>
        <v>74700</v>
      </c>
      <c r="DQ178" s="58">
        <f t="shared" si="2065"/>
        <v>74700</v>
      </c>
      <c r="DR178" s="58">
        <f t="shared" si="2065"/>
        <v>74700</v>
      </c>
      <c r="DS178" s="58">
        <f t="shared" si="2065"/>
        <v>74700</v>
      </c>
      <c r="DT178" s="58">
        <f t="shared" si="2065"/>
        <v>74700</v>
      </c>
      <c r="DU178" s="58">
        <f t="shared" si="2065"/>
        <v>896400</v>
      </c>
    </row>
    <row r="179" spans="1:125" ht="14.45" hidden="1" customHeight="1" outlineLevel="2">
      <c r="A179" s="106">
        <f t="shared" ref="A179:A181" si="2066">+AQ179+CG179</f>
        <v>280617.27899999998</v>
      </c>
      <c r="B179" s="106">
        <f t="shared" ref="B179:B181" si="2067">+AR179+CH179</f>
        <v>258344.5</v>
      </c>
      <c r="C179" s="106">
        <f t="shared" ref="C179:C181" si="2068">+AS179+CI179</f>
        <v>296823.22899999999</v>
      </c>
      <c r="D179" s="106">
        <f t="shared" ref="D179:D181" si="2069">+AT179+CJ179</f>
        <v>232403.03</v>
      </c>
      <c r="E179" s="106">
        <f t="shared" ref="E179:E181" si="2070">+AU179+CK179</f>
        <v>178775</v>
      </c>
      <c r="F179" s="106">
        <f t="shared" ref="F179:F181" si="2071">+AV179+CL179</f>
        <v>191739.78</v>
      </c>
      <c r="G179" s="106">
        <f t="shared" ref="G179:G181" si="2072">+AW179+CM179</f>
        <v>254183.97999999998</v>
      </c>
      <c r="H179" s="106">
        <f t="shared" ref="H179:H181" si="2073">+AX179+CN179</f>
        <v>246077.09999999998</v>
      </c>
      <c r="I179" s="106">
        <f t="shared" ref="I179:I181" si="2074">+AY179+CO179</f>
        <v>194892</v>
      </c>
      <c r="J179" s="106">
        <f t="shared" ref="J179:J181" si="2075">+AZ179+CP179</f>
        <v>229975.83000000002</v>
      </c>
      <c r="K179" s="106">
        <f t="shared" ref="K179:K181" si="2076">+BA179+CQ179</f>
        <v>282799.43</v>
      </c>
      <c r="L179" s="106">
        <f t="shared" ref="L179:L181" si="2077">+BB179+CR179</f>
        <v>269062</v>
      </c>
      <c r="M179" s="106">
        <f t="shared" ref="M179:M181" si="2078">+SUM(A179:L179)</f>
        <v>2915693.1580000003</v>
      </c>
      <c r="N179" s="16" t="s">
        <v>148</v>
      </c>
      <c r="O179" s="106">
        <f t="shared" ref="O179:O181" si="2079">+BE179+CU179</f>
        <v>468500</v>
      </c>
      <c r="P179" s="106">
        <f t="shared" ref="P179:P181" si="2080">+BF179+CV179</f>
        <v>298469</v>
      </c>
      <c r="Q179" s="106">
        <f t="shared" ref="Q179:Q181" si="2081">+BG179+CW179</f>
        <v>238483</v>
      </c>
      <c r="R179" s="106">
        <f t="shared" ref="R179:R181" si="2082">+BH179+CX179</f>
        <v>292417</v>
      </c>
      <c r="S179" s="106">
        <f t="shared" ref="S179:S181" si="2083">+BI179+CY179</f>
        <v>320165.5</v>
      </c>
      <c r="T179" s="106">
        <f t="shared" ref="T179:T181" si="2084">+BJ179+CZ179</f>
        <v>321198.5</v>
      </c>
      <c r="U179" s="106">
        <f t="shared" ref="U179:U181" si="2085">+BK179+DA179</f>
        <v>249029.77499999999</v>
      </c>
      <c r="V179" s="106">
        <f t="shared" ref="V179:V181" si="2086">+BL179+DB179</f>
        <v>239735.5</v>
      </c>
      <c r="W179" s="106">
        <f t="shared" ref="W179:W181" si="2087">+BM179+DC179</f>
        <v>245271.5</v>
      </c>
      <c r="X179" s="106">
        <f t="shared" ref="X179:X181" si="2088">+BN179+DD179</f>
        <v>241126.5</v>
      </c>
      <c r="Y179" s="106">
        <f t="shared" ref="Y179:Y181" si="2089">+BO179+DE179</f>
        <v>0</v>
      </c>
      <c r="Z179" s="106">
        <f t="shared" ref="Z179:Z181" si="2090">+BP179+DF179</f>
        <v>0</v>
      </c>
      <c r="AA179" s="106">
        <f t="shared" ref="AA179:AA181" si="2091">+SUM(O179:Z179)</f>
        <v>2914396.2749999999</v>
      </c>
      <c r="AB179" s="118">
        <f t="shared" si="1861"/>
        <v>0.14822142857142856</v>
      </c>
      <c r="AC179" s="106">
        <f t="shared" ref="AC179:AC181" si="2092">+BS179+DI179</f>
        <v>264372.99254545453</v>
      </c>
      <c r="AD179" s="106">
        <f t="shared" ref="AD179:AD181" si="2093">+BT179+DJ179</f>
        <v>264372.99254545453</v>
      </c>
      <c r="AE179" s="106">
        <f t="shared" ref="AE179:AE181" si="2094">+BU179+DK179</f>
        <v>210000</v>
      </c>
      <c r="AF179" s="106">
        <f t="shared" ref="AF179:AF181" si="2095">+BV179+DL179</f>
        <v>210000</v>
      </c>
      <c r="AG179" s="106">
        <f t="shared" ref="AG179:AG181" si="2096">+BW179+DM179</f>
        <v>210000</v>
      </c>
      <c r="AH179" s="106">
        <f t="shared" ref="AH179:AH181" si="2097">+BX179+DN179</f>
        <v>210000</v>
      </c>
      <c r="AI179" s="106">
        <f t="shared" ref="AI179:AI181" si="2098">+BY179+DO179</f>
        <v>210000</v>
      </c>
      <c r="AJ179" s="106">
        <f t="shared" ref="AJ179:AJ181" si="2099">+BZ179+DP179</f>
        <v>210000</v>
      </c>
      <c r="AK179" s="106">
        <f t="shared" ref="AK179:AK181" si="2100">+CA179+DQ179</f>
        <v>210000</v>
      </c>
      <c r="AL179" s="106">
        <f t="shared" ref="AL179:AL181" si="2101">+CB179+DR179</f>
        <v>210000</v>
      </c>
      <c r="AM179" s="106">
        <f t="shared" ref="AM179:AM181" si="2102">+CC179+DS179</f>
        <v>210000</v>
      </c>
      <c r="AN179" s="106">
        <f t="shared" ref="AN179:AN181" si="2103">+CD179+DT179</f>
        <v>210000</v>
      </c>
      <c r="AO179" s="106">
        <f t="shared" ref="AO179:AO181" si="2104">+SUM(AC179:AN179)</f>
        <v>2628745.9850909091</v>
      </c>
      <c r="AQ179" s="106">
        <v>228220.11199999999</v>
      </c>
      <c r="AR179" s="106">
        <v>211141</v>
      </c>
      <c r="AS179" s="106">
        <v>252366.712</v>
      </c>
      <c r="AT179" s="106">
        <v>184953.78</v>
      </c>
      <c r="AU179" s="106">
        <v>139654</v>
      </c>
      <c r="AV179" s="106">
        <v>134857.78</v>
      </c>
      <c r="AW179" s="106">
        <v>202294.68</v>
      </c>
      <c r="AX179" s="106">
        <v>178767.8</v>
      </c>
      <c r="AY179" s="106">
        <v>192768</v>
      </c>
      <c r="AZ179" s="106">
        <v>185890</v>
      </c>
      <c r="BA179" s="106">
        <v>209804.43</v>
      </c>
      <c r="BB179" s="106">
        <v>204548</v>
      </c>
      <c r="BC179" s="106">
        <f t="shared" ref="BC179:BC181" si="2105">+SUM(AQ179:BB179)</f>
        <v>2325266.2940000002</v>
      </c>
      <c r="BD179" s="16" t="str">
        <f t="shared" si="1532"/>
        <v>Electricity</v>
      </c>
      <c r="BE179" s="106">
        <f>+VLOOKUP($BD179,'Jan-25'!$A:$J,2,0)</f>
        <v>388921</v>
      </c>
      <c r="BF179" s="106">
        <f>+VLOOKUP($BD179,'Feb-25'!$A:$J,2,0)</f>
        <v>191651</v>
      </c>
      <c r="BG179" s="106">
        <f>+VLOOKUP($BD179,'Mar-25'!$A:$J,2,0)</f>
        <v>187026</v>
      </c>
      <c r="BH179" s="106">
        <f>+VLOOKUP($BD179,'Apr-25'!$A:$J,2,0)</f>
        <v>207452</v>
      </c>
      <c r="BI179" s="106">
        <f>+VLOOKUP($BD179,'May-25'!$A:$J,2,0)</f>
        <v>240554</v>
      </c>
      <c r="BJ179" s="106">
        <f>+VLOOKUP($BD179,'June-25'!$A:$J,2,0)</f>
        <v>223931</v>
      </c>
      <c r="BK179" s="106">
        <f>+VLOOKUP($BD179,'July-25'!$A:$J,2,0)</f>
        <v>174547.78</v>
      </c>
      <c r="BL179" s="106">
        <f>+VLOOKUP($BD179,'Aug-25'!$A:$J,2,0)</f>
        <v>190878</v>
      </c>
      <c r="BM179" s="106">
        <f>+VLOOKUP($BD179,'Sep-25'!$A:$J,2,0)</f>
        <v>193714</v>
      </c>
      <c r="BN179" s="106">
        <f>+VLOOKUP($BD179,'Oct-25'!$A:$J,2,0)</f>
        <v>175779</v>
      </c>
      <c r="BO179" s="106">
        <f>+VLOOKUP($BD179,'Nov-25'!$A:$J,2,0)</f>
        <v>0</v>
      </c>
      <c r="BP179" s="106">
        <f>+VLOOKUP($BD179,'Dec-25'!$A:$J,2,0)</f>
        <v>0</v>
      </c>
      <c r="BQ179" s="106">
        <f t="shared" ref="BQ179:BQ181" si="2106">+SUM(BE179:BP179)</f>
        <v>2174453.7800000003</v>
      </c>
      <c r="BR179" s="118">
        <f t="shared" si="1877"/>
        <v>0.17186000000000001</v>
      </c>
      <c r="BS179" s="106" cm="1">
        <f t="array" ref="BS179:CD179">+_xlfn.XLOOKUP(BD179,Budget!A:A,Budget!Q:AB)</f>
        <v>204372.99254545456</v>
      </c>
      <c r="BT179" s="106">
        <v>204372.99254545456</v>
      </c>
      <c r="BU179" s="106">
        <v>150000</v>
      </c>
      <c r="BV179" s="106">
        <v>150000</v>
      </c>
      <c r="BW179" s="106">
        <v>150000</v>
      </c>
      <c r="BX179" s="106">
        <v>150000</v>
      </c>
      <c r="BY179" s="106">
        <v>150000</v>
      </c>
      <c r="BZ179" s="106">
        <v>150000</v>
      </c>
      <c r="CA179" s="106">
        <v>150000</v>
      </c>
      <c r="CB179" s="106">
        <v>150000</v>
      </c>
      <c r="CC179" s="106">
        <v>150000</v>
      </c>
      <c r="CD179" s="106">
        <v>150000</v>
      </c>
      <c r="CE179" s="106">
        <f t="shared" ref="CE179:CE181" si="2107">+SUM(BS179:CD179)</f>
        <v>1908745.9850909091</v>
      </c>
      <c r="CF179" s="22"/>
      <c r="CG179" s="106">
        <v>52397.167000000001</v>
      </c>
      <c r="CH179" s="106">
        <v>47203.5</v>
      </c>
      <c r="CI179" s="106">
        <v>44456.517</v>
      </c>
      <c r="CJ179" s="106">
        <v>47449.25</v>
      </c>
      <c r="CK179" s="106">
        <v>39121</v>
      </c>
      <c r="CL179" s="106">
        <v>56882</v>
      </c>
      <c r="CM179" s="106">
        <v>51889.3</v>
      </c>
      <c r="CN179" s="106">
        <v>67309.3</v>
      </c>
      <c r="CO179" s="106">
        <v>2124</v>
      </c>
      <c r="CP179" s="106">
        <v>44085.83</v>
      </c>
      <c r="CQ179" s="106">
        <v>72995</v>
      </c>
      <c r="CR179" s="106">
        <v>64514</v>
      </c>
      <c r="CS179" s="106">
        <f t="shared" ref="CS179:CS181" si="2108">+SUM(CG179:CR179)</f>
        <v>590426.86400000006</v>
      </c>
      <c r="CT179" s="16" t="str">
        <f t="shared" si="1536"/>
        <v>Electricity</v>
      </c>
      <c r="CU179" s="106">
        <f>+VLOOKUP($BD179,'Jan-25'!$A:$J,6,0)</f>
        <v>79579</v>
      </c>
      <c r="CV179" s="106">
        <f>+VLOOKUP($BD179,'Feb-25'!$A:$J,6,0)</f>
        <v>106818</v>
      </c>
      <c r="CW179" s="106">
        <f>+VLOOKUP($BD179,'Mar-25'!$A:$J,6,0)</f>
        <v>51457</v>
      </c>
      <c r="CX179" s="106">
        <f>+VLOOKUP($BD179,'Apr-25'!$A:$J,6,0)</f>
        <v>84965</v>
      </c>
      <c r="CY179" s="106">
        <f>+VLOOKUP($BD179,'May-25'!$A:$J,6,0)</f>
        <v>79611.5</v>
      </c>
      <c r="CZ179" s="106">
        <f>+VLOOKUP($BD179,'June-25'!$A:$J,6,0)</f>
        <v>97267.5</v>
      </c>
      <c r="DA179" s="106">
        <f>+VLOOKUP($BD179,'July-25'!$A:$J,6,0)</f>
        <v>74481.994999999995</v>
      </c>
      <c r="DB179" s="106">
        <f>+VLOOKUP($BD179,'Aug-25'!$A:$J,6,0)</f>
        <v>48857.5</v>
      </c>
      <c r="DC179" s="106">
        <f>+VLOOKUP($BD179,'Sep-25'!$A:$J,6,0)</f>
        <v>51557.5</v>
      </c>
      <c r="DD179" s="106">
        <f>+VLOOKUP($BD179,'Oct-25'!$A:$J,6,0)</f>
        <v>65347.5</v>
      </c>
      <c r="DE179" s="106">
        <f>+VLOOKUP($BD179,'Nov-25'!$A:$J,6,0)</f>
        <v>0</v>
      </c>
      <c r="DF179" s="106">
        <f>+VLOOKUP($BD179,'Dec-25'!$A:$J,6,0)</f>
        <v>0</v>
      </c>
      <c r="DG179" s="106">
        <f t="shared" ref="DG179:DG181" si="2109">+SUM(CU179:DF179)</f>
        <v>739942.495</v>
      </c>
      <c r="DH179" s="118">
        <f t="shared" si="1881"/>
        <v>8.9124999999999996E-2</v>
      </c>
      <c r="DI179" s="106">
        <f>+_xlfn.XLOOKUP($CT179,Budget!$A:$A,Budget!BQ:BQ)</f>
        <v>60000</v>
      </c>
      <c r="DJ179" s="106">
        <f>+_xlfn.XLOOKUP($CT179,Budget!$A:$A,Budget!BR:BR)</f>
        <v>60000</v>
      </c>
      <c r="DK179" s="106">
        <f>+_xlfn.XLOOKUP($CT179,Budget!$A:$A,Budget!BS:BS)</f>
        <v>60000</v>
      </c>
      <c r="DL179" s="106">
        <f>+_xlfn.XLOOKUP($CT179,Budget!$A:$A,Budget!BT:BT)</f>
        <v>60000</v>
      </c>
      <c r="DM179" s="106">
        <f>+_xlfn.XLOOKUP($CT179,Budget!$A:$A,Budget!BU:BU)</f>
        <v>60000</v>
      </c>
      <c r="DN179" s="106">
        <f>+_xlfn.XLOOKUP($CT179,Budget!$A:$A,Budget!BV:BV)</f>
        <v>60000</v>
      </c>
      <c r="DO179" s="106">
        <f>+_xlfn.XLOOKUP($CT179,Budget!$A:$A,Budget!BW:BW)</f>
        <v>60000</v>
      </c>
      <c r="DP179" s="106">
        <f>+_xlfn.XLOOKUP($CT179,Budget!$A:$A,Budget!BX:BX)</f>
        <v>60000</v>
      </c>
      <c r="DQ179" s="106">
        <f>+_xlfn.XLOOKUP($CT179,Budget!$A:$A,Budget!BY:BY)</f>
        <v>60000</v>
      </c>
      <c r="DR179" s="106">
        <f>+_xlfn.XLOOKUP($CT179,Budget!$A:$A,Budget!BZ:BZ)</f>
        <v>60000</v>
      </c>
      <c r="DS179" s="106">
        <f>+_xlfn.XLOOKUP($CT179,Budget!$A:$A,Budget!CA:CA)</f>
        <v>60000</v>
      </c>
      <c r="DT179" s="106">
        <f>+_xlfn.XLOOKUP($CT179,Budget!$A:$A,Budget!CB:CB)</f>
        <v>60000</v>
      </c>
      <c r="DU179" s="106">
        <f t="shared" ref="DU179:DU181" si="2110">+SUM(DI179:DT179)</f>
        <v>720000</v>
      </c>
    </row>
    <row r="180" spans="1:125" ht="14.45" hidden="1" customHeight="1" outlineLevel="2">
      <c r="A180" s="106">
        <f t="shared" si="2066"/>
        <v>15978.600000000002</v>
      </c>
      <c r="B180" s="106">
        <f t="shared" si="2067"/>
        <v>53344.22</v>
      </c>
      <c r="C180" s="106">
        <f t="shared" si="2068"/>
        <v>29052</v>
      </c>
      <c r="D180" s="106">
        <f t="shared" si="2069"/>
        <v>0</v>
      </c>
      <c r="E180" s="106">
        <f t="shared" si="2070"/>
        <v>4737</v>
      </c>
      <c r="F180" s="106">
        <f t="shared" si="2071"/>
        <v>0</v>
      </c>
      <c r="G180" s="106">
        <f t="shared" si="2072"/>
        <v>11368.8</v>
      </c>
      <c r="H180" s="106">
        <f t="shared" si="2073"/>
        <v>6631.8</v>
      </c>
      <c r="I180" s="106">
        <f t="shared" si="2074"/>
        <v>0</v>
      </c>
      <c r="J180" s="106">
        <f t="shared" si="2075"/>
        <v>4737</v>
      </c>
      <c r="K180" s="106">
        <f t="shared" si="2076"/>
        <v>6631.8</v>
      </c>
      <c r="L180" s="106">
        <f t="shared" si="2077"/>
        <v>0</v>
      </c>
      <c r="M180" s="106">
        <f t="shared" si="2078"/>
        <v>132481.22</v>
      </c>
      <c r="N180" s="16" t="s">
        <v>149</v>
      </c>
      <c r="O180" s="106">
        <f t="shared" si="2079"/>
        <v>4740</v>
      </c>
      <c r="P180" s="106">
        <f t="shared" si="2080"/>
        <v>0</v>
      </c>
      <c r="Q180" s="106">
        <f t="shared" si="2081"/>
        <v>0</v>
      </c>
      <c r="R180" s="106">
        <f t="shared" si="2082"/>
        <v>0</v>
      </c>
      <c r="S180" s="106">
        <f t="shared" si="2083"/>
        <v>0</v>
      </c>
      <c r="T180" s="106">
        <f t="shared" si="2084"/>
        <v>18970</v>
      </c>
      <c r="U180" s="106">
        <f t="shared" si="2085"/>
        <v>0</v>
      </c>
      <c r="V180" s="106">
        <f t="shared" si="2086"/>
        <v>0</v>
      </c>
      <c r="W180" s="106">
        <f t="shared" si="2087"/>
        <v>0</v>
      </c>
      <c r="X180" s="106">
        <f t="shared" si="2088"/>
        <v>17464</v>
      </c>
      <c r="Y180" s="106">
        <f t="shared" si="2089"/>
        <v>0</v>
      </c>
      <c r="Z180" s="106">
        <f t="shared" si="2090"/>
        <v>0</v>
      </c>
      <c r="AA180" s="106">
        <f t="shared" si="2091"/>
        <v>41174</v>
      </c>
      <c r="AB180" s="118">
        <f t="shared" si="1861"/>
        <v>0.74639999999999995</v>
      </c>
      <c r="AC180" s="106">
        <f t="shared" si="2092"/>
        <v>10000</v>
      </c>
      <c r="AD180" s="106">
        <f t="shared" si="2093"/>
        <v>10000</v>
      </c>
      <c r="AE180" s="106">
        <f t="shared" si="2094"/>
        <v>10000</v>
      </c>
      <c r="AF180" s="106">
        <f t="shared" si="2095"/>
        <v>10000</v>
      </c>
      <c r="AG180" s="106">
        <f t="shared" si="2096"/>
        <v>10000</v>
      </c>
      <c r="AH180" s="106">
        <f t="shared" si="2097"/>
        <v>10000</v>
      </c>
      <c r="AI180" s="106">
        <f t="shared" si="2098"/>
        <v>10000</v>
      </c>
      <c r="AJ180" s="106">
        <f t="shared" si="2099"/>
        <v>10000</v>
      </c>
      <c r="AK180" s="106">
        <f t="shared" si="2100"/>
        <v>10000</v>
      </c>
      <c r="AL180" s="106">
        <f t="shared" si="2101"/>
        <v>10000</v>
      </c>
      <c r="AM180" s="106">
        <f t="shared" si="2102"/>
        <v>10000</v>
      </c>
      <c r="AN180" s="106">
        <f t="shared" si="2103"/>
        <v>10000</v>
      </c>
      <c r="AO180" s="106">
        <f t="shared" si="2104"/>
        <v>120000</v>
      </c>
      <c r="AQ180" s="106">
        <v>11620.800000000001</v>
      </c>
      <c r="AR180" s="106">
        <v>14526</v>
      </c>
      <c r="AS180" s="106">
        <v>29052</v>
      </c>
      <c r="AT180" s="106">
        <v>0</v>
      </c>
      <c r="AU180" s="106">
        <v>4737</v>
      </c>
      <c r="AV180" s="106">
        <v>0</v>
      </c>
      <c r="AW180" s="106">
        <v>11368.8</v>
      </c>
      <c r="AX180" s="106">
        <v>6631.8</v>
      </c>
      <c r="AY180" s="106">
        <v>0</v>
      </c>
      <c r="AZ180" s="106">
        <v>4737</v>
      </c>
      <c r="BA180" s="106">
        <v>6631.8</v>
      </c>
      <c r="BB180" s="106">
        <v>0</v>
      </c>
      <c r="BC180" s="106">
        <f t="shared" si="2105"/>
        <v>89305.200000000012</v>
      </c>
      <c r="BD180" s="16" t="str">
        <f t="shared" si="1532"/>
        <v>Diesel Expenses</v>
      </c>
      <c r="BE180" s="106">
        <f>+VLOOKUP($BD180,'Jan-25'!$A:$J,2,0)</f>
        <v>4740</v>
      </c>
      <c r="BF180" s="106">
        <f>+VLOOKUP($BD180,'Feb-25'!$A:$J,2,0)</f>
        <v>0</v>
      </c>
      <c r="BG180" s="106">
        <f>+VLOOKUP($BD180,'Mar-25'!$A:$J,2,0)</f>
        <v>0</v>
      </c>
      <c r="BH180" s="106">
        <f>+VLOOKUP($BD180,'Apr-25'!$A:$J,2,0)</f>
        <v>0</v>
      </c>
      <c r="BI180" s="106">
        <f>+VLOOKUP($BD180,'May-25'!$A:$J,2,0)</f>
        <v>0</v>
      </c>
      <c r="BJ180" s="106">
        <f>+VLOOKUP($BD180,'June-25'!$A:$J,2,0)</f>
        <v>18970</v>
      </c>
      <c r="BK180" s="106">
        <f>+VLOOKUP($BD180,'July-25'!$A:$J,2,0)</f>
        <v>0</v>
      </c>
      <c r="BL180" s="106">
        <f>+VLOOKUP($BD180,'Aug-25'!$A:$J,2,0)</f>
        <v>0</v>
      </c>
      <c r="BM180" s="106">
        <f>+VLOOKUP($BD180,'Sep-25'!$A:$J,2,0)</f>
        <v>0</v>
      </c>
      <c r="BN180" s="106">
        <f>+VLOOKUP($BD180,'Oct-25'!$A:$J,2,0)</f>
        <v>17464</v>
      </c>
      <c r="BO180" s="106">
        <f>+VLOOKUP($BD180,'Nov-25'!$A:$J,2,0)</f>
        <v>0</v>
      </c>
      <c r="BP180" s="106">
        <f>+VLOOKUP($BD180,'Dec-25'!$A:$J,2,0)</f>
        <v>0</v>
      </c>
      <c r="BQ180" s="106">
        <f t="shared" si="2106"/>
        <v>41174</v>
      </c>
      <c r="BR180" s="118">
        <f t="shared" si="1877"/>
        <v>0.74639999999999995</v>
      </c>
      <c r="BS180" s="106" cm="1">
        <f t="array" ref="BS180:CD180">+_xlfn.XLOOKUP(BD180,Budget!A:A,Budget!Q:AB)</f>
        <v>10000</v>
      </c>
      <c r="BT180" s="106">
        <v>10000</v>
      </c>
      <c r="BU180" s="106">
        <v>10000</v>
      </c>
      <c r="BV180" s="106">
        <v>10000</v>
      </c>
      <c r="BW180" s="106">
        <v>10000</v>
      </c>
      <c r="BX180" s="106">
        <v>10000</v>
      </c>
      <c r="BY180" s="106">
        <v>10000</v>
      </c>
      <c r="BZ180" s="106">
        <v>10000</v>
      </c>
      <c r="CA180" s="106">
        <v>10000</v>
      </c>
      <c r="CB180" s="106">
        <v>10000</v>
      </c>
      <c r="CC180" s="106">
        <v>10000</v>
      </c>
      <c r="CD180" s="106">
        <v>10000</v>
      </c>
      <c r="CE180" s="106">
        <f t="shared" si="2107"/>
        <v>120000</v>
      </c>
      <c r="CF180" s="22"/>
      <c r="CG180" s="106">
        <v>4357.8</v>
      </c>
      <c r="CH180" s="106">
        <v>38818.22</v>
      </c>
      <c r="CI180" s="106">
        <v>0</v>
      </c>
      <c r="CJ180" s="106">
        <v>0</v>
      </c>
      <c r="CK180" s="106">
        <v>0</v>
      </c>
      <c r="CL180" s="106">
        <v>0</v>
      </c>
      <c r="CM180" s="106">
        <v>0</v>
      </c>
      <c r="CN180" s="106">
        <v>0</v>
      </c>
      <c r="CO180" s="106">
        <v>0</v>
      </c>
      <c r="CP180" s="106">
        <v>0</v>
      </c>
      <c r="CQ180" s="106">
        <v>0</v>
      </c>
      <c r="CR180" s="106">
        <v>0</v>
      </c>
      <c r="CS180" s="106">
        <f t="shared" si="2108"/>
        <v>43176.020000000004</v>
      </c>
      <c r="CT180" s="16" t="str">
        <f t="shared" si="1536"/>
        <v>Diesel Expenses</v>
      </c>
      <c r="CU180" s="106">
        <f>+VLOOKUP($BD180,'Jan-25'!$A:$J,6,0)</f>
        <v>0</v>
      </c>
      <c r="CV180" s="106">
        <f>+VLOOKUP($BD180,'Feb-25'!$A:$J,6,0)</f>
        <v>0</v>
      </c>
      <c r="CW180" s="106">
        <f>+VLOOKUP($BD180,'Mar-25'!$A:$J,6,0)</f>
        <v>0</v>
      </c>
      <c r="CX180" s="106">
        <f>+VLOOKUP($BD180,'Apr-25'!$A:$J,6,0)</f>
        <v>0</v>
      </c>
      <c r="CY180" s="106">
        <f>+VLOOKUP($BD180,'May-25'!$A:$J,6,0)</f>
        <v>0</v>
      </c>
      <c r="CZ180" s="106">
        <f>+VLOOKUP($BD180,'June-25'!$A:$J,6,0)</f>
        <v>0</v>
      </c>
      <c r="DA180" s="106">
        <f>+VLOOKUP($BD180,'July-25'!$A:$J,6,0)</f>
        <v>0</v>
      </c>
      <c r="DB180" s="106">
        <f>+VLOOKUP($BD180,'Aug-25'!$A:$J,6,0)</f>
        <v>0</v>
      </c>
      <c r="DC180" s="106">
        <f>+VLOOKUP($BD180,'Sep-25'!$A:$J,6,0)</f>
        <v>0</v>
      </c>
      <c r="DD180" s="106">
        <f>+VLOOKUP($BD180,'Oct-25'!$A:$J,6,0)</f>
        <v>0</v>
      </c>
      <c r="DE180" s="106">
        <f>+VLOOKUP($BD180,'Nov-25'!$A:$J,6,0)</f>
        <v>0</v>
      </c>
      <c r="DF180" s="106">
        <f>+VLOOKUP($BD180,'Dec-25'!$A:$J,6,0)</f>
        <v>0</v>
      </c>
      <c r="DG180" s="106">
        <f t="shared" si="2109"/>
        <v>0</v>
      </c>
      <c r="DH180" s="118">
        <f t="shared" si="1881"/>
        <v>0</v>
      </c>
      <c r="DI180" s="106">
        <f>+_xlfn.XLOOKUP($CT180,Budget!$A:$A,Budget!BQ:BQ)</f>
        <v>0</v>
      </c>
      <c r="DJ180" s="106">
        <f>+_xlfn.XLOOKUP($CT180,Budget!$A:$A,Budget!BR:BR)</f>
        <v>0</v>
      </c>
      <c r="DK180" s="106">
        <f>+_xlfn.XLOOKUP($CT180,Budget!$A:$A,Budget!BS:BS)</f>
        <v>0</v>
      </c>
      <c r="DL180" s="106">
        <f>+_xlfn.XLOOKUP($CT180,Budget!$A:$A,Budget!BT:BT)</f>
        <v>0</v>
      </c>
      <c r="DM180" s="106">
        <f>+_xlfn.XLOOKUP($CT180,Budget!$A:$A,Budget!BU:BU)</f>
        <v>0</v>
      </c>
      <c r="DN180" s="106">
        <f>+_xlfn.XLOOKUP($CT180,Budget!$A:$A,Budget!BV:BV)</f>
        <v>0</v>
      </c>
      <c r="DO180" s="106">
        <f>+_xlfn.XLOOKUP($CT180,Budget!$A:$A,Budget!BW:BW)</f>
        <v>0</v>
      </c>
      <c r="DP180" s="106">
        <f>+_xlfn.XLOOKUP($CT180,Budget!$A:$A,Budget!BX:BX)</f>
        <v>0</v>
      </c>
      <c r="DQ180" s="106">
        <f>+_xlfn.XLOOKUP($CT180,Budget!$A:$A,Budget!BY:BY)</f>
        <v>0</v>
      </c>
      <c r="DR180" s="106">
        <f>+_xlfn.XLOOKUP($CT180,Budget!$A:$A,Budget!BZ:BZ)</f>
        <v>0</v>
      </c>
      <c r="DS180" s="106">
        <f>+_xlfn.XLOOKUP($CT180,Budget!$A:$A,Budget!CA:CA)</f>
        <v>0</v>
      </c>
      <c r="DT180" s="106">
        <f>+_xlfn.XLOOKUP($CT180,Budget!$A:$A,Budget!CB:CB)</f>
        <v>0</v>
      </c>
      <c r="DU180" s="106">
        <f t="shared" si="2110"/>
        <v>0</v>
      </c>
    </row>
    <row r="181" spans="1:125" ht="14.45" hidden="1" customHeight="1" outlineLevel="2">
      <c r="A181" s="106">
        <f t="shared" si="2066"/>
        <v>14700</v>
      </c>
      <c r="B181" s="106">
        <f t="shared" si="2067"/>
        <v>8400</v>
      </c>
      <c r="C181" s="106">
        <f t="shared" si="2068"/>
        <v>14700</v>
      </c>
      <c r="D181" s="106">
        <f t="shared" si="2069"/>
        <v>655</v>
      </c>
      <c r="E181" s="106">
        <f t="shared" si="2070"/>
        <v>8400</v>
      </c>
      <c r="F181" s="106">
        <f t="shared" si="2071"/>
        <v>0</v>
      </c>
      <c r="G181" s="106">
        <f t="shared" si="2072"/>
        <v>16500</v>
      </c>
      <c r="H181" s="106">
        <f t="shared" si="2073"/>
        <v>0</v>
      </c>
      <c r="I181" s="106">
        <f t="shared" si="2074"/>
        <v>0</v>
      </c>
      <c r="J181" s="106">
        <f t="shared" si="2075"/>
        <v>0</v>
      </c>
      <c r="K181" s="106">
        <f t="shared" si="2076"/>
        <v>0</v>
      </c>
      <c r="L181" s="106">
        <f t="shared" si="2077"/>
        <v>30800</v>
      </c>
      <c r="M181" s="106">
        <f t="shared" si="2078"/>
        <v>94155</v>
      </c>
      <c r="N181" s="16" t="s">
        <v>150</v>
      </c>
      <c r="O181" s="106">
        <f t="shared" si="2079"/>
        <v>13300</v>
      </c>
      <c r="P181" s="106">
        <f t="shared" si="2080"/>
        <v>0</v>
      </c>
      <c r="Q181" s="106">
        <f t="shared" si="2081"/>
        <v>0</v>
      </c>
      <c r="R181" s="106">
        <f t="shared" si="2082"/>
        <v>655</v>
      </c>
      <c r="S181" s="106">
        <f t="shared" si="2083"/>
        <v>19600</v>
      </c>
      <c r="T181" s="106">
        <f t="shared" si="2084"/>
        <v>5600</v>
      </c>
      <c r="U181" s="106">
        <f t="shared" si="2085"/>
        <v>12050</v>
      </c>
      <c r="V181" s="106">
        <f t="shared" si="2086"/>
        <v>14000</v>
      </c>
      <c r="W181" s="106">
        <f t="shared" si="2087"/>
        <v>16026</v>
      </c>
      <c r="X181" s="106">
        <f t="shared" si="2088"/>
        <v>11900</v>
      </c>
      <c r="Y181" s="106">
        <f t="shared" si="2089"/>
        <v>0</v>
      </c>
      <c r="Z181" s="106">
        <f t="shared" si="2090"/>
        <v>0</v>
      </c>
      <c r="AA181" s="106">
        <f t="shared" si="2091"/>
        <v>93131</v>
      </c>
      <c r="AB181" s="118">
        <f t="shared" si="1861"/>
        <v>-0.19047619047619047</v>
      </c>
      <c r="AC181" s="106">
        <f t="shared" si="2092"/>
        <v>14700</v>
      </c>
      <c r="AD181" s="106">
        <f t="shared" si="2093"/>
        <v>14700</v>
      </c>
      <c r="AE181" s="106">
        <f t="shared" si="2094"/>
        <v>14700</v>
      </c>
      <c r="AF181" s="106">
        <f t="shared" si="2095"/>
        <v>14700</v>
      </c>
      <c r="AG181" s="106">
        <f t="shared" si="2096"/>
        <v>14700</v>
      </c>
      <c r="AH181" s="106">
        <f t="shared" si="2097"/>
        <v>14700</v>
      </c>
      <c r="AI181" s="106">
        <f t="shared" si="2098"/>
        <v>14700</v>
      </c>
      <c r="AJ181" s="106">
        <f t="shared" si="2099"/>
        <v>14700</v>
      </c>
      <c r="AK181" s="106">
        <f t="shared" si="2100"/>
        <v>14700</v>
      </c>
      <c r="AL181" s="106">
        <f t="shared" si="2101"/>
        <v>14700</v>
      </c>
      <c r="AM181" s="106">
        <f t="shared" si="2102"/>
        <v>14700</v>
      </c>
      <c r="AN181" s="106">
        <f t="shared" si="2103"/>
        <v>14700</v>
      </c>
      <c r="AO181" s="106">
        <f t="shared" si="2104"/>
        <v>176400</v>
      </c>
      <c r="AQ181" s="106">
        <v>0</v>
      </c>
      <c r="AR181" s="106">
        <v>0</v>
      </c>
      <c r="AS181" s="106">
        <v>0</v>
      </c>
      <c r="AT181" s="106">
        <v>655</v>
      </c>
      <c r="AU181" s="106">
        <v>0</v>
      </c>
      <c r="AV181" s="106">
        <v>0</v>
      </c>
      <c r="AW181" s="106">
        <v>0</v>
      </c>
      <c r="AX181" s="106">
        <v>0</v>
      </c>
      <c r="AY181" s="106">
        <v>0</v>
      </c>
      <c r="AZ181" s="106">
        <v>0</v>
      </c>
      <c r="BA181" s="106">
        <v>0</v>
      </c>
      <c r="BB181" s="106">
        <v>0</v>
      </c>
      <c r="BC181" s="106">
        <f t="shared" si="2105"/>
        <v>655</v>
      </c>
      <c r="BD181" s="16" t="str">
        <f t="shared" si="1532"/>
        <v>Water</v>
      </c>
      <c r="BE181" s="106">
        <f>+VLOOKUP($BD181,'Jan-25'!$A:$J,2,0)</f>
        <v>0</v>
      </c>
      <c r="BF181" s="106">
        <f>+VLOOKUP($BD181,'Feb-25'!$A:$J,2,0)</f>
        <v>0</v>
      </c>
      <c r="BG181" s="106">
        <f>+VLOOKUP($BD181,'Mar-25'!$A:$J,2,0)</f>
        <v>0</v>
      </c>
      <c r="BH181" s="106">
        <f>+VLOOKUP($BD181,'Apr-25'!$A:$J,2,0)</f>
        <v>655</v>
      </c>
      <c r="BI181" s="106">
        <f>+VLOOKUP($BD181,'May-25'!$A:$J,2,0)</f>
        <v>0</v>
      </c>
      <c r="BJ181" s="106">
        <f>+VLOOKUP($BD181,'June-25'!$A:$J,2,0)</f>
        <v>0</v>
      </c>
      <c r="BK181" s="106">
        <f>+VLOOKUP($BD181,'July-25'!$A:$J,2,0)</f>
        <v>1550</v>
      </c>
      <c r="BL181" s="106">
        <f>+VLOOKUP($BD181,'Aug-25'!$A:$J,2,0)</f>
        <v>0</v>
      </c>
      <c r="BM181" s="106">
        <f>+VLOOKUP($BD181,'Sep-25'!$A:$J,2,0)</f>
        <v>626</v>
      </c>
      <c r="BN181" s="106">
        <f>+VLOOKUP($BD181,'Oct-25'!$A:$J,2,0)</f>
        <v>0</v>
      </c>
      <c r="BO181" s="106">
        <f>+VLOOKUP($BD181,'Nov-25'!$A:$J,2,0)</f>
        <v>0</v>
      </c>
      <c r="BP181" s="106">
        <f>+VLOOKUP($BD181,'Dec-25'!$A:$J,2,0)</f>
        <v>0</v>
      </c>
      <c r="BQ181" s="106">
        <f t="shared" si="2106"/>
        <v>2831</v>
      </c>
      <c r="BR181" s="118">
        <f t="shared" si="1877"/>
        <v>0</v>
      </c>
      <c r="BS181" s="106" cm="1">
        <f t="array" ref="BS181:CD181">+_xlfn.XLOOKUP(BD181,Budget!A:A,Budget!Q:AB)</f>
        <v>0</v>
      </c>
      <c r="BT181" s="106">
        <v>0</v>
      </c>
      <c r="BU181" s="106">
        <v>0</v>
      </c>
      <c r="BV181" s="106">
        <v>0</v>
      </c>
      <c r="BW181" s="106">
        <v>0</v>
      </c>
      <c r="BX181" s="106">
        <v>0</v>
      </c>
      <c r="BY181" s="106">
        <v>0</v>
      </c>
      <c r="BZ181" s="106">
        <v>0</v>
      </c>
      <c r="CA181" s="106">
        <v>0</v>
      </c>
      <c r="CB181" s="106">
        <v>0</v>
      </c>
      <c r="CC181" s="106">
        <v>0</v>
      </c>
      <c r="CD181" s="106">
        <v>0</v>
      </c>
      <c r="CE181" s="106">
        <f t="shared" si="2107"/>
        <v>0</v>
      </c>
      <c r="CF181" s="22"/>
      <c r="CG181" s="106">
        <v>14700</v>
      </c>
      <c r="CH181" s="106">
        <v>8400</v>
      </c>
      <c r="CI181" s="106">
        <v>14700</v>
      </c>
      <c r="CJ181" s="106">
        <v>0</v>
      </c>
      <c r="CK181" s="106">
        <v>8400</v>
      </c>
      <c r="CL181" s="106">
        <v>0</v>
      </c>
      <c r="CM181" s="106">
        <v>16500</v>
      </c>
      <c r="CN181" s="106">
        <v>0</v>
      </c>
      <c r="CO181" s="106">
        <v>0</v>
      </c>
      <c r="CP181" s="106">
        <v>0</v>
      </c>
      <c r="CQ181" s="106">
        <v>0</v>
      </c>
      <c r="CR181" s="106">
        <v>30800</v>
      </c>
      <c r="CS181" s="106">
        <f t="shared" si="2108"/>
        <v>93500</v>
      </c>
      <c r="CT181" s="16" t="str">
        <f t="shared" si="1536"/>
        <v>Water</v>
      </c>
      <c r="CU181" s="106">
        <f>+VLOOKUP($BD181,'Jan-25'!$A:$J,6,0)</f>
        <v>13300</v>
      </c>
      <c r="CV181" s="106">
        <f>+VLOOKUP($BD181,'Feb-25'!$A:$J,6,0)</f>
        <v>0</v>
      </c>
      <c r="CW181" s="106">
        <f>+VLOOKUP($BD181,'Mar-25'!$A:$J,6,0)</f>
        <v>0</v>
      </c>
      <c r="CX181" s="106">
        <f>+VLOOKUP($BD181,'Apr-25'!$A:$J,6,0)</f>
        <v>0</v>
      </c>
      <c r="CY181" s="106">
        <f>+VLOOKUP($BD181,'May-25'!$A:$J,6,0)</f>
        <v>19600</v>
      </c>
      <c r="CZ181" s="106">
        <f>+VLOOKUP($BD181,'June-25'!$A:$J,6,0)</f>
        <v>5600</v>
      </c>
      <c r="DA181" s="106">
        <f>+VLOOKUP($BD181,'July-25'!$A:$J,6,0)</f>
        <v>10500</v>
      </c>
      <c r="DB181" s="106">
        <f>+VLOOKUP($BD181,'Aug-25'!$A:$J,6,0)</f>
        <v>14000</v>
      </c>
      <c r="DC181" s="106">
        <f>+VLOOKUP($BD181,'Sep-25'!$A:$J,6,0)</f>
        <v>15400</v>
      </c>
      <c r="DD181" s="106">
        <f>+VLOOKUP($BD181,'Oct-25'!$A:$J,6,0)</f>
        <v>11900</v>
      </c>
      <c r="DE181" s="106">
        <f>+VLOOKUP($BD181,'Nov-25'!$A:$J,6,0)</f>
        <v>0</v>
      </c>
      <c r="DF181" s="106">
        <f>+VLOOKUP($BD181,'Dec-25'!$A:$J,6,0)</f>
        <v>0</v>
      </c>
      <c r="DG181" s="106">
        <f t="shared" si="2109"/>
        <v>90300</v>
      </c>
      <c r="DH181" s="118">
        <f t="shared" si="1881"/>
        <v>-0.19047619047619047</v>
      </c>
      <c r="DI181" s="106">
        <f>+_xlfn.XLOOKUP($CT181,Budget!$A:$A,Budget!BQ:BQ)</f>
        <v>14700</v>
      </c>
      <c r="DJ181" s="106">
        <f>+_xlfn.XLOOKUP($CT181,Budget!$A:$A,Budget!BR:BR)</f>
        <v>14700</v>
      </c>
      <c r="DK181" s="106">
        <f>+_xlfn.XLOOKUP($CT181,Budget!$A:$A,Budget!BS:BS)</f>
        <v>14700</v>
      </c>
      <c r="DL181" s="106">
        <f>+_xlfn.XLOOKUP($CT181,Budget!$A:$A,Budget!BT:BT)</f>
        <v>14700</v>
      </c>
      <c r="DM181" s="106">
        <f>+_xlfn.XLOOKUP($CT181,Budget!$A:$A,Budget!BU:BU)</f>
        <v>14700</v>
      </c>
      <c r="DN181" s="106">
        <f>+_xlfn.XLOOKUP($CT181,Budget!$A:$A,Budget!BV:BV)</f>
        <v>14700</v>
      </c>
      <c r="DO181" s="106">
        <f>+_xlfn.XLOOKUP($CT181,Budget!$A:$A,Budget!BW:BW)</f>
        <v>14700</v>
      </c>
      <c r="DP181" s="106">
        <f>+_xlfn.XLOOKUP($CT181,Budget!$A:$A,Budget!BX:BX)</f>
        <v>14700</v>
      </c>
      <c r="DQ181" s="106">
        <f>+_xlfn.XLOOKUP($CT181,Budget!$A:$A,Budget!BY:BY)</f>
        <v>14700</v>
      </c>
      <c r="DR181" s="106">
        <f>+_xlfn.XLOOKUP($CT181,Budget!$A:$A,Budget!BZ:BZ)</f>
        <v>14700</v>
      </c>
      <c r="DS181" s="106">
        <f>+_xlfn.XLOOKUP($CT181,Budget!$A:$A,Budget!CA:CA)</f>
        <v>14700</v>
      </c>
      <c r="DT181" s="106">
        <f>+_xlfn.XLOOKUP($CT181,Budget!$A:$A,Budget!CB:CB)</f>
        <v>14700</v>
      </c>
      <c r="DU181" s="106">
        <f t="shared" si="2110"/>
        <v>176400</v>
      </c>
    </row>
    <row r="182" spans="1:125" ht="14.45" customHeight="1" outlineLevel="1" collapsed="1">
      <c r="A182" s="107">
        <f t="shared" ref="A182:L182" si="2111">+SUM(A183:A186)</f>
        <v>73713.127500000002</v>
      </c>
      <c r="B182" s="107">
        <f t="shared" si="2111"/>
        <v>78848.23000000001</v>
      </c>
      <c r="C182" s="107">
        <f t="shared" si="2111"/>
        <v>71082.510000000009</v>
      </c>
      <c r="D182" s="107">
        <f t="shared" si="2111"/>
        <v>50534.42</v>
      </c>
      <c r="E182" s="107">
        <f t="shared" si="2111"/>
        <v>48836.95</v>
      </c>
      <c r="F182" s="107">
        <f t="shared" si="2111"/>
        <v>50601.03</v>
      </c>
      <c r="G182" s="107">
        <f t="shared" si="2111"/>
        <v>78572.209999999992</v>
      </c>
      <c r="H182" s="107">
        <f t="shared" si="2111"/>
        <v>19034.32</v>
      </c>
      <c r="I182" s="107">
        <f t="shared" si="2111"/>
        <v>73208.595000000001</v>
      </c>
      <c r="J182" s="107">
        <f t="shared" si="2111"/>
        <v>33781.08</v>
      </c>
      <c r="K182" s="107">
        <f t="shared" si="2111"/>
        <v>33536.065000000002</v>
      </c>
      <c r="L182" s="107">
        <f t="shared" si="2111"/>
        <v>33860.5</v>
      </c>
      <c r="M182" s="107"/>
      <c r="N182" s="20" t="s">
        <v>151</v>
      </c>
      <c r="O182" s="107">
        <f t="shared" ref="O182" si="2112">+SUM(O183:O186)</f>
        <v>34088.590000000004</v>
      </c>
      <c r="P182" s="107">
        <f t="shared" ref="P182" si="2113">+SUM(P183:P186)</f>
        <v>74076.5</v>
      </c>
      <c r="Q182" s="107">
        <f t="shared" ref="Q182" si="2114">+SUM(Q183:Q186)</f>
        <v>86392.365000000005</v>
      </c>
      <c r="R182" s="107">
        <f t="shared" ref="R182" si="2115">+SUM(R183:R186)</f>
        <v>80332.592000000004</v>
      </c>
      <c r="S182" s="107">
        <f t="shared" ref="S182" si="2116">+SUM(S183:S186)</f>
        <v>84529.349000000002</v>
      </c>
      <c r="T182" s="107">
        <f t="shared" ref="T182" si="2117">+SUM(T183:T186)</f>
        <v>77453.219500000007</v>
      </c>
      <c r="U182" s="107">
        <f t="shared" ref="U182" si="2118">+SUM(U183:U186)</f>
        <v>74829.042164835162</v>
      </c>
      <c r="V182" s="107">
        <f t="shared" ref="V182" si="2119">+SUM(V183:V186)</f>
        <v>44229.5815</v>
      </c>
      <c r="W182" s="107">
        <f t="shared" ref="W182" si="2120">+SUM(W183:W186)</f>
        <v>75010.150000000009</v>
      </c>
      <c r="X182" s="107">
        <f t="shared" ref="X182" si="2121">+SUM(X183:X186)</f>
        <v>71293.25</v>
      </c>
      <c r="Y182" s="107">
        <f t="shared" ref="Y182" si="2122">+SUM(Y183:Y186)</f>
        <v>0</v>
      </c>
      <c r="Z182" s="107">
        <f t="shared" ref="Z182:AA182" si="2123">+SUM(Z183:Z186)</f>
        <v>0</v>
      </c>
      <c r="AA182" s="107">
        <f t="shared" si="2123"/>
        <v>702234.63916483521</v>
      </c>
      <c r="AB182" s="118">
        <f t="shared" si="1861"/>
        <v>0.32617015834631574</v>
      </c>
      <c r="AC182" s="107">
        <f t="shared" ref="AC182" si="2124">+SUM(AC183:AC186)</f>
        <v>53758.75</v>
      </c>
      <c r="AD182" s="107">
        <f t="shared" ref="AD182" si="2125">+SUM(AD183:AD186)</f>
        <v>53758.75</v>
      </c>
      <c r="AE182" s="107">
        <f t="shared" ref="AE182" si="2126">+SUM(AE183:AE186)</f>
        <v>53758.75</v>
      </c>
      <c r="AF182" s="107">
        <f t="shared" ref="AF182" si="2127">+SUM(AF183:AF186)</f>
        <v>53758.75</v>
      </c>
      <c r="AG182" s="107">
        <f t="shared" ref="AG182" si="2128">+SUM(AG183:AG186)</f>
        <v>53758.75</v>
      </c>
      <c r="AH182" s="107">
        <f t="shared" ref="AH182" si="2129">+SUM(AH183:AH186)</f>
        <v>53758.75</v>
      </c>
      <c r="AI182" s="107">
        <f t="shared" ref="AI182" si="2130">+SUM(AI183:AI186)</f>
        <v>53758.75</v>
      </c>
      <c r="AJ182" s="107">
        <f t="shared" ref="AJ182" si="2131">+SUM(AJ183:AJ186)</f>
        <v>53758.75</v>
      </c>
      <c r="AK182" s="107">
        <f t="shared" ref="AK182" si="2132">+SUM(AK183:AK186)</f>
        <v>53758.75</v>
      </c>
      <c r="AL182" s="107">
        <f t="shared" ref="AL182" si="2133">+SUM(AL183:AL186)</f>
        <v>53758.75</v>
      </c>
      <c r="AM182" s="107">
        <f t="shared" ref="AM182" si="2134">+SUM(AM183:AM186)</f>
        <v>53758.75</v>
      </c>
      <c r="AN182" s="107">
        <f t="shared" ref="AN182" si="2135">+SUM(AN183:AN186)</f>
        <v>53758.75</v>
      </c>
      <c r="AO182" s="107"/>
      <c r="AQ182" s="107">
        <f t="shared" ref="AQ182:BC182" si="2136">+SUM(AQ183:AQ186)</f>
        <v>58986.770000000004</v>
      </c>
      <c r="AR182" s="107">
        <f t="shared" si="2136"/>
        <v>67008.48000000001</v>
      </c>
      <c r="AS182" s="107">
        <f t="shared" si="2136"/>
        <v>59242.76</v>
      </c>
      <c r="AT182" s="107">
        <f t="shared" si="2136"/>
        <v>46194.67</v>
      </c>
      <c r="AU182" s="107">
        <f t="shared" si="2136"/>
        <v>12343.2</v>
      </c>
      <c r="AV182" s="107">
        <f t="shared" si="2136"/>
        <v>46875.53</v>
      </c>
      <c r="AW182" s="107">
        <f t="shared" si="2136"/>
        <v>66150.209999999992</v>
      </c>
      <c r="AX182" s="107">
        <f t="shared" si="2136"/>
        <v>19034.32</v>
      </c>
      <c r="AY182" s="107">
        <f t="shared" si="2136"/>
        <v>61983.1</v>
      </c>
      <c r="AZ182" s="107">
        <f t="shared" si="2136"/>
        <v>32982.080000000002</v>
      </c>
      <c r="BA182" s="107">
        <f t="shared" si="2136"/>
        <v>29411.07</v>
      </c>
      <c r="BB182" s="107">
        <f t="shared" si="2136"/>
        <v>29336</v>
      </c>
      <c r="BC182" s="107">
        <f t="shared" si="2136"/>
        <v>529548.19000000006</v>
      </c>
      <c r="BD182" s="20" t="str">
        <f t="shared" si="1532"/>
        <v>Telephone &amp; Internet Expenses</v>
      </c>
      <c r="BE182" s="107">
        <f t="shared" ref="BE182:BQ182" si="2137">+SUM(BE183:BE186)</f>
        <v>24350.04</v>
      </c>
      <c r="BF182" s="107">
        <f t="shared" si="2137"/>
        <v>58302</v>
      </c>
      <c r="BG182" s="107">
        <f t="shared" si="2137"/>
        <v>79253.950000000012</v>
      </c>
      <c r="BH182" s="107">
        <f t="shared" si="2137"/>
        <v>68517.046000000002</v>
      </c>
      <c r="BI182" s="107">
        <f t="shared" si="2137"/>
        <v>69973.072</v>
      </c>
      <c r="BJ182" s="107">
        <f t="shared" si="2137"/>
        <v>51696.945999999996</v>
      </c>
      <c r="BK182" s="107">
        <f t="shared" si="2137"/>
        <v>53730.237483516481</v>
      </c>
      <c r="BL182" s="107">
        <f t="shared" si="2137"/>
        <v>32115.332000000002</v>
      </c>
      <c r="BM182" s="107">
        <f t="shared" si="2137"/>
        <v>54501.200000000004</v>
      </c>
      <c r="BN182" s="107">
        <f t="shared" si="2137"/>
        <v>51798</v>
      </c>
      <c r="BO182" s="107">
        <f t="shared" si="2137"/>
        <v>0</v>
      </c>
      <c r="BP182" s="107">
        <f t="shared" si="2137"/>
        <v>0</v>
      </c>
      <c r="BQ182" s="107">
        <f t="shared" si="2137"/>
        <v>544237.82348351658</v>
      </c>
      <c r="BR182" s="118">
        <f t="shared" si="1877"/>
        <v>0.43807434964879649</v>
      </c>
      <c r="BS182" s="107">
        <f t="shared" ref="BS182:CE182" si="2138">+SUM(BS183:BS186)</f>
        <v>36019</v>
      </c>
      <c r="BT182" s="107">
        <f t="shared" si="2138"/>
        <v>36019</v>
      </c>
      <c r="BU182" s="107">
        <f t="shared" si="2138"/>
        <v>36019</v>
      </c>
      <c r="BV182" s="107">
        <f t="shared" si="2138"/>
        <v>36019</v>
      </c>
      <c r="BW182" s="107">
        <f t="shared" si="2138"/>
        <v>36019</v>
      </c>
      <c r="BX182" s="107">
        <f t="shared" si="2138"/>
        <v>36019</v>
      </c>
      <c r="BY182" s="107">
        <f t="shared" si="2138"/>
        <v>36019</v>
      </c>
      <c r="BZ182" s="107">
        <f t="shared" si="2138"/>
        <v>36019</v>
      </c>
      <c r="CA182" s="107">
        <f t="shared" si="2138"/>
        <v>36019</v>
      </c>
      <c r="CB182" s="107">
        <f t="shared" si="2138"/>
        <v>36019</v>
      </c>
      <c r="CC182" s="107">
        <f t="shared" si="2138"/>
        <v>36019</v>
      </c>
      <c r="CD182" s="107">
        <f t="shared" si="2138"/>
        <v>36019</v>
      </c>
      <c r="CE182" s="107">
        <f t="shared" si="2138"/>
        <v>432228</v>
      </c>
      <c r="CF182" s="22"/>
      <c r="CG182" s="107">
        <f t="shared" ref="CG182:CS182" si="2139">+SUM(CG183:CG186)</f>
        <v>14726.3575</v>
      </c>
      <c r="CH182" s="107">
        <f t="shared" si="2139"/>
        <v>11839.75</v>
      </c>
      <c r="CI182" s="107">
        <f t="shared" si="2139"/>
        <v>11839.75</v>
      </c>
      <c r="CJ182" s="107">
        <f t="shared" si="2139"/>
        <v>4339.75</v>
      </c>
      <c r="CK182" s="107">
        <f t="shared" si="2139"/>
        <v>36493.75</v>
      </c>
      <c r="CL182" s="107">
        <f t="shared" si="2139"/>
        <v>3725.5</v>
      </c>
      <c r="CM182" s="107">
        <f t="shared" si="2139"/>
        <v>12422</v>
      </c>
      <c r="CN182" s="107">
        <f t="shared" si="2139"/>
        <v>0</v>
      </c>
      <c r="CO182" s="107">
        <f t="shared" si="2139"/>
        <v>11225.495000000001</v>
      </c>
      <c r="CP182" s="107">
        <f t="shared" si="2139"/>
        <v>799</v>
      </c>
      <c r="CQ182" s="107">
        <f t="shared" si="2139"/>
        <v>4124.9949999999999</v>
      </c>
      <c r="CR182" s="107">
        <f t="shared" si="2139"/>
        <v>4524.5</v>
      </c>
      <c r="CS182" s="107">
        <f t="shared" si="2139"/>
        <v>116060.8475</v>
      </c>
      <c r="CT182" s="20" t="str">
        <f t="shared" si="1536"/>
        <v>Telephone &amp; Internet Expenses</v>
      </c>
      <c r="CU182" s="107">
        <f t="shared" ref="CU182:DG182" si="2140">+SUM(CU183:CU186)</f>
        <v>9738.5499999999993</v>
      </c>
      <c r="CV182" s="107">
        <f t="shared" si="2140"/>
        <v>15774.5</v>
      </c>
      <c r="CW182" s="107">
        <f t="shared" si="2140"/>
        <v>7138.415</v>
      </c>
      <c r="CX182" s="107">
        <f t="shared" si="2140"/>
        <v>11815.546</v>
      </c>
      <c r="CY182" s="107">
        <f t="shared" si="2140"/>
        <v>14556.277</v>
      </c>
      <c r="CZ182" s="107">
        <f t="shared" si="2140"/>
        <v>25756.273500000003</v>
      </c>
      <c r="DA182" s="107">
        <f t="shared" si="2140"/>
        <v>21098.804681318681</v>
      </c>
      <c r="DB182" s="107">
        <f t="shared" si="2140"/>
        <v>12114.2495</v>
      </c>
      <c r="DC182" s="107">
        <f t="shared" si="2140"/>
        <v>20508.949999999997</v>
      </c>
      <c r="DD182" s="107">
        <f t="shared" si="2140"/>
        <v>19495.25</v>
      </c>
      <c r="DE182" s="107">
        <f t="shared" si="2140"/>
        <v>0</v>
      </c>
      <c r="DF182" s="107">
        <f t="shared" si="2140"/>
        <v>0</v>
      </c>
      <c r="DG182" s="107">
        <f t="shared" si="2140"/>
        <v>157996.81568131867</v>
      </c>
      <c r="DH182" s="118">
        <f t="shared" si="1881"/>
        <v>9.8958553530912222E-2</v>
      </c>
      <c r="DI182" s="107">
        <f t="shared" ref="DI182:DU182" si="2141">+SUM(DI183:DI186)</f>
        <v>17739.75</v>
      </c>
      <c r="DJ182" s="107">
        <f t="shared" si="2141"/>
        <v>17739.75</v>
      </c>
      <c r="DK182" s="107">
        <f t="shared" si="2141"/>
        <v>17739.75</v>
      </c>
      <c r="DL182" s="107">
        <f t="shared" si="2141"/>
        <v>17739.75</v>
      </c>
      <c r="DM182" s="107">
        <f t="shared" si="2141"/>
        <v>17739.75</v>
      </c>
      <c r="DN182" s="107">
        <f t="shared" si="2141"/>
        <v>17739.75</v>
      </c>
      <c r="DO182" s="107">
        <f t="shared" si="2141"/>
        <v>17739.75</v>
      </c>
      <c r="DP182" s="107">
        <f t="shared" si="2141"/>
        <v>17739.75</v>
      </c>
      <c r="DQ182" s="107">
        <f t="shared" si="2141"/>
        <v>17739.75</v>
      </c>
      <c r="DR182" s="107">
        <f t="shared" si="2141"/>
        <v>17739.75</v>
      </c>
      <c r="DS182" s="107">
        <f t="shared" si="2141"/>
        <v>17739.75</v>
      </c>
      <c r="DT182" s="107">
        <f t="shared" si="2141"/>
        <v>17739.75</v>
      </c>
      <c r="DU182" s="107">
        <f t="shared" si="2141"/>
        <v>212877</v>
      </c>
    </row>
    <row r="183" spans="1:125" ht="14.45" hidden="1" customHeight="1" outlineLevel="2">
      <c r="A183" s="106">
        <f t="shared" ref="A183:A186" si="2142">+AQ183+CG183</f>
        <v>2252.25</v>
      </c>
      <c r="B183" s="106">
        <f t="shared" ref="B183:B186" si="2143">+AR183+CH183</f>
        <v>8678.25</v>
      </c>
      <c r="C183" s="106">
        <f t="shared" ref="C183:C186" si="2144">+AS183+CI183</f>
        <v>2252.25</v>
      </c>
      <c r="D183" s="106">
        <f t="shared" ref="D183:D186" si="2145">+AT183+CJ183</f>
        <v>2252.25</v>
      </c>
      <c r="E183" s="106">
        <f t="shared" ref="E183:E186" si="2146">+AU183+CK183</f>
        <v>2252.25</v>
      </c>
      <c r="F183" s="106">
        <f t="shared" ref="F183:F186" si="2147">+AV183+CL183</f>
        <v>4975</v>
      </c>
      <c r="G183" s="106">
        <f t="shared" ref="G183:G186" si="2148">+AW183+CM183</f>
        <v>4975</v>
      </c>
      <c r="H183" s="106">
        <f t="shared" ref="H183:H186" si="2149">+AX183+CN183</f>
        <v>4975</v>
      </c>
      <c r="I183" s="106">
        <f t="shared" ref="I183:I186" si="2150">+AY183+CO183</f>
        <v>4975</v>
      </c>
      <c r="J183" s="106">
        <f t="shared" ref="J183:J186" si="2151">+AZ183+CP183</f>
        <v>4975</v>
      </c>
      <c r="K183" s="106">
        <f t="shared" ref="K183:K186" si="2152">+BA183+CQ183</f>
        <v>4975</v>
      </c>
      <c r="L183" s="106">
        <f t="shared" ref="L183:L186" si="2153">+BB183+CR183</f>
        <v>4975</v>
      </c>
      <c r="M183" s="106">
        <f t="shared" ref="M183:M186" si="2154">+SUM(A183:L183)</f>
        <v>52512.25</v>
      </c>
      <c r="N183" s="16" t="s">
        <v>152</v>
      </c>
      <c r="O183" s="106">
        <f t="shared" ref="O183:O186" si="2155">+BE183+CU183</f>
        <v>28295.350000000002</v>
      </c>
      <c r="P183" s="106">
        <f t="shared" ref="P183:P186" si="2156">+BF183+CV183</f>
        <v>4975</v>
      </c>
      <c r="Q183" s="106">
        <f t="shared" ref="Q183:Q186" si="2157">+BG183+CW183</f>
        <v>4975</v>
      </c>
      <c r="R183" s="106">
        <f t="shared" ref="R183:R186" si="2158">+BH183+CX183</f>
        <v>4975</v>
      </c>
      <c r="S183" s="106">
        <f t="shared" ref="S183:S186" si="2159">+BI183+CY183</f>
        <v>7828.3449999999993</v>
      </c>
      <c r="T183" s="106">
        <f t="shared" ref="T183:T186" si="2160">+BJ183+CZ183</f>
        <v>2791.9814999999999</v>
      </c>
      <c r="U183" s="106">
        <f t="shared" ref="U183:U186" si="2161">+BK183+DA183</f>
        <v>2791.9814999999999</v>
      </c>
      <c r="V183" s="106">
        <f t="shared" ref="V183:V186" si="2162">+BL183+DB183</f>
        <v>2791.9814999999999</v>
      </c>
      <c r="W183" s="106">
        <f t="shared" ref="W183:W186" si="2163">+BM183+DC183</f>
        <v>2791.8</v>
      </c>
      <c r="X183" s="106">
        <f t="shared" ref="X183:X186" si="2164">+BN183+DD183</f>
        <v>2791.8</v>
      </c>
      <c r="Y183" s="106">
        <f t="shared" ref="Y183:Y186" si="2165">+BO183+DE183</f>
        <v>0</v>
      </c>
      <c r="Z183" s="106">
        <f t="shared" ref="Z183:Z186" si="2166">+BP183+DF183</f>
        <v>0</v>
      </c>
      <c r="AA183" s="106">
        <f t="shared" ref="AA183:AA186" si="2167">+SUM(O183:Z183)</f>
        <v>65008.239500000018</v>
      </c>
      <c r="AB183" s="118">
        <f t="shared" si="1861"/>
        <v>0.23956043956043965</v>
      </c>
      <c r="AC183" s="106">
        <f t="shared" ref="AC183:AC186" si="2168">+BS183+DI183</f>
        <v>2252.25</v>
      </c>
      <c r="AD183" s="106">
        <f t="shared" ref="AD183:AD186" si="2169">+BT183+DJ183</f>
        <v>2252.25</v>
      </c>
      <c r="AE183" s="106">
        <f t="shared" ref="AE183:AE186" si="2170">+BU183+DK183</f>
        <v>2252.25</v>
      </c>
      <c r="AF183" s="106">
        <f t="shared" ref="AF183:AF186" si="2171">+BV183+DL183</f>
        <v>2252.25</v>
      </c>
      <c r="AG183" s="106">
        <f t="shared" ref="AG183:AG186" si="2172">+BW183+DM183</f>
        <v>2252.25</v>
      </c>
      <c r="AH183" s="106">
        <f t="shared" ref="AH183:AH186" si="2173">+BX183+DN183</f>
        <v>2252.25</v>
      </c>
      <c r="AI183" s="106">
        <f t="shared" ref="AI183:AI186" si="2174">+BY183+DO183</f>
        <v>2252.25</v>
      </c>
      <c r="AJ183" s="106">
        <f t="shared" ref="AJ183:AJ186" si="2175">+BZ183+DP183</f>
        <v>2252.25</v>
      </c>
      <c r="AK183" s="106">
        <f t="shared" ref="AK183:AK186" si="2176">+CA183+DQ183</f>
        <v>2252.25</v>
      </c>
      <c r="AL183" s="106">
        <f t="shared" ref="AL183:AL186" si="2177">+CB183+DR183</f>
        <v>2252.25</v>
      </c>
      <c r="AM183" s="106">
        <f t="shared" ref="AM183:AM186" si="2178">+CC183+DS183</f>
        <v>2252.25</v>
      </c>
      <c r="AN183" s="106">
        <f t="shared" ref="AN183:AN186" si="2179">+CD183+DT183</f>
        <v>2252.25</v>
      </c>
      <c r="AO183" s="106">
        <f t="shared" ref="AO183:AO186" si="2180">+SUM(AC183:AN183)</f>
        <v>27027</v>
      </c>
      <c r="AQ183" s="106">
        <v>1638</v>
      </c>
      <c r="AR183" s="106">
        <v>8064</v>
      </c>
      <c r="AS183" s="106">
        <v>1638</v>
      </c>
      <c r="AT183" s="106">
        <v>1638</v>
      </c>
      <c r="AU183" s="106">
        <v>1638</v>
      </c>
      <c r="AV183" s="106">
        <v>4975</v>
      </c>
      <c r="AW183" s="106">
        <v>4975</v>
      </c>
      <c r="AX183" s="106">
        <v>4975</v>
      </c>
      <c r="AY183" s="106">
        <v>4975</v>
      </c>
      <c r="AZ183" s="106">
        <v>4975</v>
      </c>
      <c r="BA183" s="106">
        <v>4975</v>
      </c>
      <c r="BB183" s="106">
        <v>4975</v>
      </c>
      <c r="BC183" s="106">
        <f t="shared" ref="BC183:BC186" si="2181">+SUM(AQ183:BB183)</f>
        <v>49441</v>
      </c>
      <c r="BD183" s="16" t="str">
        <f t="shared" si="1532"/>
        <v>Email Service</v>
      </c>
      <c r="BE183" s="106">
        <f>+VLOOKUP($BD183,'Jan-25'!$A:$J,2,0)</f>
        <v>18556.800000000003</v>
      </c>
      <c r="BF183" s="106">
        <f>+VLOOKUP($BD183,'Feb-25'!$A:$J,2,0)</f>
        <v>4975</v>
      </c>
      <c r="BG183" s="106">
        <f>+VLOOKUP($BD183,'Mar-25'!$A:$J,2,0)</f>
        <v>4975</v>
      </c>
      <c r="BH183" s="106">
        <f>+VLOOKUP($BD183,'Apr-25'!$A:$J,2,0)</f>
        <v>4975</v>
      </c>
      <c r="BI183" s="106">
        <f>+VLOOKUP($BD183,'May-25'!$A:$J,2,0)</f>
        <v>7050.16</v>
      </c>
      <c r="BJ183" s="106">
        <f>+VLOOKUP($BD183,'June-25'!$A:$J,2,0)</f>
        <v>2030.5320000000002</v>
      </c>
      <c r="BK183" s="106">
        <f>+VLOOKUP($BD183,'July-25'!$A:$J,2,0)</f>
        <v>2030.5320000000002</v>
      </c>
      <c r="BL183" s="106">
        <f>+VLOOKUP($BD183,'Aug-25'!$A:$J,2,0)</f>
        <v>2030.5320000000002</v>
      </c>
      <c r="BM183" s="106">
        <f>+VLOOKUP($BD183,'Sep-25'!$A:$J,2,0)</f>
        <v>2030.4</v>
      </c>
      <c r="BN183" s="106">
        <f>+VLOOKUP($BD183,'Oct-25'!$A:$J,2,0)</f>
        <v>2030.4</v>
      </c>
      <c r="BO183" s="106">
        <f>+VLOOKUP($BD183,'Nov-25'!$A:$J,2,0)</f>
        <v>0</v>
      </c>
      <c r="BP183" s="106">
        <f>+VLOOKUP($BD183,'Dec-25'!$A:$J,2,0)</f>
        <v>0</v>
      </c>
      <c r="BQ183" s="106">
        <f t="shared" ref="BQ183:BQ186" si="2182">+SUM(BE183:BP183)</f>
        <v>50684.356000000007</v>
      </c>
      <c r="BR183" s="118">
        <f t="shared" si="1877"/>
        <v>0.23956043956043963</v>
      </c>
      <c r="BS183" s="106" cm="1">
        <f t="array" ref="BS183:CD183">+_xlfn.XLOOKUP(BD183,Budget!A:A,Budget!Q:AB)</f>
        <v>1638</v>
      </c>
      <c r="BT183" s="106">
        <v>1638</v>
      </c>
      <c r="BU183" s="106">
        <v>1638</v>
      </c>
      <c r="BV183" s="106">
        <v>1638</v>
      </c>
      <c r="BW183" s="106">
        <v>1638</v>
      </c>
      <c r="BX183" s="106">
        <v>1638</v>
      </c>
      <c r="BY183" s="106">
        <v>1638</v>
      </c>
      <c r="BZ183" s="106">
        <v>1638</v>
      </c>
      <c r="CA183" s="106">
        <v>1638</v>
      </c>
      <c r="CB183" s="106">
        <v>1638</v>
      </c>
      <c r="CC183" s="106">
        <v>1638</v>
      </c>
      <c r="CD183" s="106">
        <v>1638</v>
      </c>
      <c r="CE183" s="106">
        <f t="shared" ref="CE183:CE186" si="2183">+SUM(BS183:CD183)</f>
        <v>19656</v>
      </c>
      <c r="CF183" s="22"/>
      <c r="CG183" s="106">
        <v>614.25</v>
      </c>
      <c r="CH183" s="106">
        <v>614.25</v>
      </c>
      <c r="CI183" s="106">
        <v>614.25</v>
      </c>
      <c r="CJ183" s="106">
        <v>614.25</v>
      </c>
      <c r="CK183" s="106">
        <v>614.25</v>
      </c>
      <c r="CL183" s="106">
        <v>0</v>
      </c>
      <c r="CM183" s="106">
        <v>0</v>
      </c>
      <c r="CN183" s="106">
        <v>0</v>
      </c>
      <c r="CO183" s="106">
        <v>0</v>
      </c>
      <c r="CP183" s="106">
        <v>0</v>
      </c>
      <c r="CQ183" s="106">
        <v>0</v>
      </c>
      <c r="CR183" s="106">
        <v>0</v>
      </c>
      <c r="CS183" s="106">
        <f t="shared" ref="CS183:CS186" si="2184">+SUM(CG183:CR183)</f>
        <v>3071.25</v>
      </c>
      <c r="CT183" s="16" t="str">
        <f t="shared" si="1536"/>
        <v>Email Service</v>
      </c>
      <c r="CU183" s="106">
        <f>+VLOOKUP($BD183,'Jan-25'!$A:$J,6,0)</f>
        <v>9738.5499999999993</v>
      </c>
      <c r="CV183" s="106">
        <f>+VLOOKUP($BD183,'Feb-25'!$A:$J,6,0)</f>
        <v>0</v>
      </c>
      <c r="CW183" s="106">
        <f>+VLOOKUP($BD183,'Mar-25'!$A:$J,6,0)</f>
        <v>0</v>
      </c>
      <c r="CX183" s="106">
        <f>+VLOOKUP($BD183,'Apr-25'!$A:$J,6,0)</f>
        <v>0</v>
      </c>
      <c r="CY183" s="106">
        <f>+VLOOKUP($BD183,'May-25'!$A:$J,6,0)</f>
        <v>778.18499999999995</v>
      </c>
      <c r="CZ183" s="106">
        <f>+VLOOKUP($BD183,'June-25'!$A:$J,6,0)</f>
        <v>761.44949999999994</v>
      </c>
      <c r="DA183" s="106">
        <f>+VLOOKUP($BD183,'July-25'!$A:$J,6,0)</f>
        <v>761.44949999999994</v>
      </c>
      <c r="DB183" s="106">
        <f>+VLOOKUP($BD183,'Aug-25'!$A:$J,6,0)</f>
        <v>761.44949999999994</v>
      </c>
      <c r="DC183" s="106">
        <f>+VLOOKUP($BD183,'Sep-25'!$A:$J,6,0)</f>
        <v>761.4</v>
      </c>
      <c r="DD183" s="106">
        <f>+VLOOKUP($BD183,'Oct-25'!$A:$J,6,0)</f>
        <v>761.4</v>
      </c>
      <c r="DE183" s="106">
        <f>+VLOOKUP($BD183,'Nov-25'!$A:$J,6,0)</f>
        <v>0</v>
      </c>
      <c r="DF183" s="106">
        <f>+VLOOKUP($BD183,'Dec-25'!$A:$J,6,0)</f>
        <v>0</v>
      </c>
      <c r="DG183" s="106">
        <f t="shared" ref="DG183:DG186" si="2185">+SUM(CU183:DF183)</f>
        <v>14323.8835</v>
      </c>
      <c r="DH183" s="118">
        <f t="shared" si="1881"/>
        <v>0.23956043956043951</v>
      </c>
      <c r="DI183" s="106">
        <f>+_xlfn.XLOOKUP($CT183,Budget!$A:$A,Budget!BQ:BQ)</f>
        <v>614.25</v>
      </c>
      <c r="DJ183" s="106">
        <f>+_xlfn.XLOOKUP($CT183,Budget!$A:$A,Budget!BR:BR)</f>
        <v>614.25</v>
      </c>
      <c r="DK183" s="106">
        <f>+_xlfn.XLOOKUP($CT183,Budget!$A:$A,Budget!BS:BS)</f>
        <v>614.25</v>
      </c>
      <c r="DL183" s="106">
        <f>+_xlfn.XLOOKUP($CT183,Budget!$A:$A,Budget!BT:BT)</f>
        <v>614.25</v>
      </c>
      <c r="DM183" s="106">
        <f>+_xlfn.XLOOKUP($CT183,Budget!$A:$A,Budget!BU:BU)</f>
        <v>614.25</v>
      </c>
      <c r="DN183" s="106">
        <f>+_xlfn.XLOOKUP($CT183,Budget!$A:$A,Budget!BV:BV)</f>
        <v>614.25</v>
      </c>
      <c r="DO183" s="106">
        <f>+_xlfn.XLOOKUP($CT183,Budget!$A:$A,Budget!BW:BW)</f>
        <v>614.25</v>
      </c>
      <c r="DP183" s="106">
        <f>+_xlfn.XLOOKUP($CT183,Budget!$A:$A,Budget!BX:BX)</f>
        <v>614.25</v>
      </c>
      <c r="DQ183" s="106">
        <f>+_xlfn.XLOOKUP($CT183,Budget!$A:$A,Budget!BY:BY)</f>
        <v>614.25</v>
      </c>
      <c r="DR183" s="106">
        <f>+_xlfn.XLOOKUP($CT183,Budget!$A:$A,Budget!BZ:BZ)</f>
        <v>614.25</v>
      </c>
      <c r="DS183" s="106">
        <f>+_xlfn.XLOOKUP($CT183,Budget!$A:$A,Budget!CA:CA)</f>
        <v>614.25</v>
      </c>
      <c r="DT183" s="106">
        <f>+_xlfn.XLOOKUP($CT183,Budget!$A:$A,Budget!CB:CB)</f>
        <v>614.25</v>
      </c>
      <c r="DU183" s="106">
        <f t="shared" ref="DU183:DU186" si="2186">+SUM(DI183:DT183)</f>
        <v>7371</v>
      </c>
    </row>
    <row r="184" spans="1:125" ht="14.45" hidden="1" customHeight="1" outlineLevel="2">
      <c r="A184" s="106">
        <f t="shared" si="2142"/>
        <v>31604.995000000003</v>
      </c>
      <c r="B184" s="106">
        <f t="shared" si="2143"/>
        <v>31205.5</v>
      </c>
      <c r="C184" s="106">
        <f t="shared" si="2144"/>
        <v>31255.5</v>
      </c>
      <c r="D184" s="106">
        <f t="shared" si="2145"/>
        <v>8705.5</v>
      </c>
      <c r="E184" s="106">
        <f t="shared" si="2146"/>
        <v>9504.5</v>
      </c>
      <c r="F184" s="106">
        <f t="shared" si="2147"/>
        <v>14271.03</v>
      </c>
      <c r="G184" s="106">
        <f t="shared" si="2148"/>
        <v>33462</v>
      </c>
      <c r="H184" s="106">
        <f t="shared" si="2149"/>
        <v>1998</v>
      </c>
      <c r="I184" s="106">
        <f t="shared" si="2150"/>
        <v>31205.495000000003</v>
      </c>
      <c r="J184" s="106">
        <f t="shared" si="2151"/>
        <v>799</v>
      </c>
      <c r="K184" s="106">
        <f t="shared" si="2152"/>
        <v>9104.994999999999</v>
      </c>
      <c r="L184" s="106">
        <f t="shared" si="2153"/>
        <v>9429.5</v>
      </c>
      <c r="M184" s="106">
        <f t="shared" si="2154"/>
        <v>212546.01499999998</v>
      </c>
      <c r="N184" s="16" t="s">
        <v>153</v>
      </c>
      <c r="O184" s="106">
        <f t="shared" si="2155"/>
        <v>0</v>
      </c>
      <c r="P184" s="106">
        <f t="shared" si="2156"/>
        <v>43131.5</v>
      </c>
      <c r="Q184" s="106">
        <f t="shared" si="2157"/>
        <v>18821.564999999999</v>
      </c>
      <c r="R184" s="106">
        <f t="shared" si="2158"/>
        <v>31482.305</v>
      </c>
      <c r="S184" s="106">
        <f t="shared" si="2159"/>
        <v>31482.305</v>
      </c>
      <c r="T184" s="106">
        <f t="shared" si="2160"/>
        <v>38694.285000000003</v>
      </c>
      <c r="U184" s="106">
        <f t="shared" si="2161"/>
        <v>36659.34466483516</v>
      </c>
      <c r="V184" s="106">
        <f t="shared" si="2162"/>
        <v>33358.65</v>
      </c>
      <c r="W184" s="106">
        <f t="shared" si="2163"/>
        <v>32653.550000000003</v>
      </c>
      <c r="X184" s="106">
        <f t="shared" si="2164"/>
        <v>36796.15</v>
      </c>
      <c r="Y184" s="106">
        <f t="shared" si="2165"/>
        <v>0</v>
      </c>
      <c r="Z184" s="106">
        <f t="shared" si="2166"/>
        <v>0</v>
      </c>
      <c r="AA184" s="106">
        <f t="shared" si="2167"/>
        <v>303079.65466483519</v>
      </c>
      <c r="AB184" s="118">
        <f t="shared" si="1861"/>
        <v>0.16052386734581242</v>
      </c>
      <c r="AC184" s="106">
        <f t="shared" si="2168"/>
        <v>31706.5</v>
      </c>
      <c r="AD184" s="106">
        <f t="shared" si="2169"/>
        <v>31706.5</v>
      </c>
      <c r="AE184" s="106">
        <f t="shared" si="2170"/>
        <v>31706.5</v>
      </c>
      <c r="AF184" s="106">
        <f t="shared" si="2171"/>
        <v>31706.5</v>
      </c>
      <c r="AG184" s="106">
        <f t="shared" si="2172"/>
        <v>31706.5</v>
      </c>
      <c r="AH184" s="106">
        <f t="shared" si="2173"/>
        <v>31706.5</v>
      </c>
      <c r="AI184" s="106">
        <f t="shared" si="2174"/>
        <v>31706.5</v>
      </c>
      <c r="AJ184" s="106">
        <f t="shared" si="2175"/>
        <v>31706.5</v>
      </c>
      <c r="AK184" s="106">
        <f t="shared" si="2176"/>
        <v>31706.5</v>
      </c>
      <c r="AL184" s="106">
        <f t="shared" si="2177"/>
        <v>31706.5</v>
      </c>
      <c r="AM184" s="106">
        <f t="shared" si="2178"/>
        <v>31706.5</v>
      </c>
      <c r="AN184" s="106">
        <f t="shared" si="2179"/>
        <v>31706.5</v>
      </c>
      <c r="AO184" s="106">
        <f t="shared" si="2180"/>
        <v>380478</v>
      </c>
      <c r="AQ184" s="106">
        <v>19980</v>
      </c>
      <c r="AR184" s="106">
        <v>19980</v>
      </c>
      <c r="AS184" s="106">
        <v>20030</v>
      </c>
      <c r="AT184" s="106">
        <v>4980</v>
      </c>
      <c r="AU184" s="106">
        <v>4980</v>
      </c>
      <c r="AV184" s="106">
        <v>10545.53</v>
      </c>
      <c r="AW184" s="106">
        <v>21040</v>
      </c>
      <c r="AX184" s="106">
        <v>1998</v>
      </c>
      <c r="AY184" s="106">
        <v>19980</v>
      </c>
      <c r="AZ184" s="106">
        <v>0</v>
      </c>
      <c r="BA184" s="106">
        <v>4980</v>
      </c>
      <c r="BB184" s="106">
        <v>4905</v>
      </c>
      <c r="BC184" s="106">
        <f t="shared" si="2181"/>
        <v>133398.53</v>
      </c>
      <c r="BD184" s="16" t="str">
        <f t="shared" si="1532"/>
        <v>Internet Charges</v>
      </c>
      <c r="BE184" s="106">
        <f>+VLOOKUP($BD184,'Jan-25'!$A:$J,2,0)</f>
        <v>0</v>
      </c>
      <c r="BF184" s="106">
        <f>+VLOOKUP($BD184,'Feb-25'!$A:$J,2,0)</f>
        <v>27357</v>
      </c>
      <c r="BG184" s="106">
        <f>+VLOOKUP($BD184,'Mar-25'!$A:$J,2,0)</f>
        <v>11683.15</v>
      </c>
      <c r="BH184" s="106">
        <f>+VLOOKUP($BD184,'Apr-25'!$A:$J,2,0)</f>
        <v>19857.310000000001</v>
      </c>
      <c r="BI184" s="106">
        <f>+VLOOKUP($BD184,'May-25'!$A:$J,2,0)</f>
        <v>19857.310000000001</v>
      </c>
      <c r="BJ184" s="106">
        <f>+VLOOKUP($BD184,'June-25'!$A:$J,2,0)</f>
        <v>23508.63</v>
      </c>
      <c r="BK184" s="106">
        <f>+VLOOKUP($BD184,'July-25'!$A:$J,2,0)</f>
        <v>25970.457483516482</v>
      </c>
      <c r="BL184" s="106">
        <f>+VLOOKUP($BD184,'Aug-25'!$A:$J,2,0)</f>
        <v>24209.200000000001</v>
      </c>
      <c r="BM184" s="106">
        <f>+VLOOKUP($BD184,'Sep-25'!$A:$J,2,0)</f>
        <v>23696.400000000001</v>
      </c>
      <c r="BN184" s="106">
        <f>+VLOOKUP($BD184,'Oct-25'!$A:$J,2,0)</f>
        <v>26709.200000000001</v>
      </c>
      <c r="BO184" s="106">
        <f>+VLOOKUP($BD184,'Nov-25'!$A:$J,2,0)</f>
        <v>0</v>
      </c>
      <c r="BP184" s="106">
        <f>+VLOOKUP($BD184,'Dec-25'!$A:$J,2,0)</f>
        <v>0</v>
      </c>
      <c r="BQ184" s="106">
        <f t="shared" si="2182"/>
        <v>202848.65748351649</v>
      </c>
      <c r="BR184" s="118">
        <f t="shared" si="1877"/>
        <v>0.33672989339872883</v>
      </c>
      <c r="BS184" s="106" cm="1">
        <f t="array" ref="BS184:CD184">+_xlfn.XLOOKUP(BD184,Budget!A:A,Budget!Q:AB)</f>
        <v>19981</v>
      </c>
      <c r="BT184" s="106">
        <v>19981</v>
      </c>
      <c r="BU184" s="106">
        <v>19981</v>
      </c>
      <c r="BV184" s="106">
        <v>19981</v>
      </c>
      <c r="BW184" s="106">
        <v>19981</v>
      </c>
      <c r="BX184" s="106">
        <v>19981</v>
      </c>
      <c r="BY184" s="106">
        <v>19981</v>
      </c>
      <c r="BZ184" s="106">
        <v>19981</v>
      </c>
      <c r="CA184" s="106">
        <v>19981</v>
      </c>
      <c r="CB184" s="106">
        <v>19981</v>
      </c>
      <c r="CC184" s="106">
        <v>19981</v>
      </c>
      <c r="CD184" s="106">
        <v>19981</v>
      </c>
      <c r="CE184" s="106">
        <f t="shared" si="2183"/>
        <v>239772</v>
      </c>
      <c r="CF184" s="22"/>
      <c r="CG184" s="106">
        <v>11624.995000000001</v>
      </c>
      <c r="CH184" s="106">
        <v>11225.5</v>
      </c>
      <c r="CI184" s="106">
        <v>11225.5</v>
      </c>
      <c r="CJ184" s="106">
        <v>3725.5</v>
      </c>
      <c r="CK184" s="106">
        <v>4524.5</v>
      </c>
      <c r="CL184" s="106">
        <v>3725.5</v>
      </c>
      <c r="CM184" s="106">
        <v>12422</v>
      </c>
      <c r="CN184" s="106">
        <v>0</v>
      </c>
      <c r="CO184" s="106">
        <v>11225.495000000001</v>
      </c>
      <c r="CP184" s="106">
        <v>799</v>
      </c>
      <c r="CQ184" s="106">
        <v>4124.9949999999999</v>
      </c>
      <c r="CR184" s="106">
        <v>4524.5</v>
      </c>
      <c r="CS184" s="106">
        <f t="shared" si="2184"/>
        <v>79147.485000000001</v>
      </c>
      <c r="CT184" s="16" t="str">
        <f t="shared" si="1536"/>
        <v>Internet Charges</v>
      </c>
      <c r="CU184" s="106">
        <f>+VLOOKUP($BD184,'Jan-25'!$A:$J,6,0)</f>
        <v>0</v>
      </c>
      <c r="CV184" s="106">
        <f>+VLOOKUP($BD184,'Feb-25'!$A:$J,6,0)</f>
        <v>15774.5</v>
      </c>
      <c r="CW184" s="106">
        <f>+VLOOKUP($BD184,'Mar-25'!$A:$J,6,0)</f>
        <v>7138.415</v>
      </c>
      <c r="CX184" s="106">
        <f>+VLOOKUP($BD184,'Apr-25'!$A:$J,6,0)</f>
        <v>11624.995000000001</v>
      </c>
      <c r="CY184" s="106">
        <f>+VLOOKUP($BD184,'May-25'!$A:$J,6,0)</f>
        <v>11624.995000000001</v>
      </c>
      <c r="CZ184" s="106">
        <f>+VLOOKUP($BD184,'June-25'!$A:$J,6,0)</f>
        <v>15185.655000000001</v>
      </c>
      <c r="DA184" s="106">
        <f>+VLOOKUP($BD184,'July-25'!$A:$J,6,0)</f>
        <v>10688.88718131868</v>
      </c>
      <c r="DB184" s="106">
        <f>+VLOOKUP($BD184,'Aug-25'!$A:$J,6,0)</f>
        <v>9149.4499999999989</v>
      </c>
      <c r="DC184" s="106">
        <f>+VLOOKUP($BD184,'Sep-25'!$A:$J,6,0)</f>
        <v>8957.15</v>
      </c>
      <c r="DD184" s="106">
        <f>+VLOOKUP($BD184,'Oct-25'!$A:$J,6,0)</f>
        <v>10086.949999999999</v>
      </c>
      <c r="DE184" s="106">
        <f>+VLOOKUP($BD184,'Nov-25'!$A:$J,6,0)</f>
        <v>0</v>
      </c>
      <c r="DF184" s="106">
        <f>+VLOOKUP($BD184,'Dec-25'!$A:$J,6,0)</f>
        <v>0</v>
      </c>
      <c r="DG184" s="106">
        <f t="shared" si="2185"/>
        <v>100230.99718131867</v>
      </c>
      <c r="DH184" s="118">
        <f t="shared" si="1881"/>
        <v>-0.13974244168692176</v>
      </c>
      <c r="DI184" s="106">
        <f>+_xlfn.XLOOKUP($CT184,Budget!$A:$A,Budget!BQ:BQ)</f>
        <v>11725.5</v>
      </c>
      <c r="DJ184" s="106">
        <f>+_xlfn.XLOOKUP($CT184,Budget!$A:$A,Budget!BR:BR)</f>
        <v>11725.5</v>
      </c>
      <c r="DK184" s="106">
        <f>+_xlfn.XLOOKUP($CT184,Budget!$A:$A,Budget!BS:BS)</f>
        <v>11725.5</v>
      </c>
      <c r="DL184" s="106">
        <f>+_xlfn.XLOOKUP($CT184,Budget!$A:$A,Budget!BT:BT)</f>
        <v>11725.5</v>
      </c>
      <c r="DM184" s="106">
        <f>+_xlfn.XLOOKUP($CT184,Budget!$A:$A,Budget!BU:BU)</f>
        <v>11725.5</v>
      </c>
      <c r="DN184" s="106">
        <f>+_xlfn.XLOOKUP($CT184,Budget!$A:$A,Budget!BV:BV)</f>
        <v>11725.5</v>
      </c>
      <c r="DO184" s="106">
        <f>+_xlfn.XLOOKUP($CT184,Budget!$A:$A,Budget!BW:BW)</f>
        <v>11725.5</v>
      </c>
      <c r="DP184" s="106">
        <f>+_xlfn.XLOOKUP($CT184,Budget!$A:$A,Budget!BX:BX)</f>
        <v>11725.5</v>
      </c>
      <c r="DQ184" s="106">
        <f>+_xlfn.XLOOKUP($CT184,Budget!$A:$A,Budget!BY:BY)</f>
        <v>11725.5</v>
      </c>
      <c r="DR184" s="106">
        <f>+_xlfn.XLOOKUP($CT184,Budget!$A:$A,Budget!BZ:BZ)</f>
        <v>11725.5</v>
      </c>
      <c r="DS184" s="106">
        <f>+_xlfn.XLOOKUP($CT184,Budget!$A:$A,Budget!CA:CA)</f>
        <v>11725.5</v>
      </c>
      <c r="DT184" s="106">
        <f>+_xlfn.XLOOKUP($CT184,Budget!$A:$A,Budget!CB:CB)</f>
        <v>11725.5</v>
      </c>
      <c r="DU184" s="106">
        <f t="shared" si="2186"/>
        <v>140706</v>
      </c>
    </row>
    <row r="185" spans="1:125" ht="14.45" hidden="1" customHeight="1" outlineLevel="2">
      <c r="A185" s="106">
        <f t="shared" si="2142"/>
        <v>39855.882500000007</v>
      </c>
      <c r="B185" s="106">
        <f t="shared" si="2143"/>
        <v>38964.480000000003</v>
      </c>
      <c r="C185" s="106">
        <f t="shared" si="2144"/>
        <v>37574.76</v>
      </c>
      <c r="D185" s="106">
        <f t="shared" si="2145"/>
        <v>39576.67</v>
      </c>
      <c r="E185" s="106">
        <f t="shared" si="2146"/>
        <v>37080.199999999997</v>
      </c>
      <c r="F185" s="106">
        <f t="shared" si="2147"/>
        <v>31355</v>
      </c>
      <c r="G185" s="106">
        <f t="shared" si="2148"/>
        <v>40135.209999999992</v>
      </c>
      <c r="H185" s="106">
        <f t="shared" si="2149"/>
        <v>12061.32</v>
      </c>
      <c r="I185" s="106">
        <f t="shared" si="2150"/>
        <v>37028.1</v>
      </c>
      <c r="J185" s="106">
        <f t="shared" si="2151"/>
        <v>28007.08</v>
      </c>
      <c r="K185" s="106">
        <f t="shared" si="2152"/>
        <v>19456.07</v>
      </c>
      <c r="L185" s="106">
        <f t="shared" si="2153"/>
        <v>19456</v>
      </c>
      <c r="M185" s="106">
        <f t="shared" si="2154"/>
        <v>380550.77250000002</v>
      </c>
      <c r="N185" s="16" t="s">
        <v>154</v>
      </c>
      <c r="O185" s="106">
        <f t="shared" si="2155"/>
        <v>5793.24</v>
      </c>
      <c r="P185" s="106">
        <f t="shared" si="2156"/>
        <v>25970</v>
      </c>
      <c r="Q185" s="106">
        <f t="shared" si="2157"/>
        <v>62595.8</v>
      </c>
      <c r="R185" s="106">
        <f t="shared" si="2158"/>
        <v>43875.286999999997</v>
      </c>
      <c r="S185" s="106">
        <f t="shared" si="2159"/>
        <v>45218.699000000001</v>
      </c>
      <c r="T185" s="106">
        <f t="shared" si="2160"/>
        <v>35966.953000000001</v>
      </c>
      <c r="U185" s="106">
        <f t="shared" si="2161"/>
        <v>35377.716</v>
      </c>
      <c r="V185" s="106">
        <f t="shared" si="2162"/>
        <v>8078.9500000000007</v>
      </c>
      <c r="W185" s="106">
        <f t="shared" si="2163"/>
        <v>39564.800000000003</v>
      </c>
      <c r="X185" s="106">
        <f t="shared" si="2164"/>
        <v>31705.300000000003</v>
      </c>
      <c r="Y185" s="106">
        <f t="shared" si="2165"/>
        <v>0</v>
      </c>
      <c r="Z185" s="106">
        <f t="shared" si="2166"/>
        <v>0</v>
      </c>
      <c r="AA185" s="106">
        <f t="shared" si="2167"/>
        <v>334146.745</v>
      </c>
      <c r="AB185" s="118">
        <f t="shared" si="1861"/>
        <v>0.60127777777777791</v>
      </c>
      <c r="AC185" s="106">
        <f t="shared" si="2168"/>
        <v>19800</v>
      </c>
      <c r="AD185" s="106">
        <f t="shared" si="2169"/>
        <v>19800</v>
      </c>
      <c r="AE185" s="106">
        <f t="shared" si="2170"/>
        <v>19800</v>
      </c>
      <c r="AF185" s="106">
        <f t="shared" si="2171"/>
        <v>19800</v>
      </c>
      <c r="AG185" s="106">
        <f t="shared" si="2172"/>
        <v>19800</v>
      </c>
      <c r="AH185" s="106">
        <f t="shared" si="2173"/>
        <v>19800</v>
      </c>
      <c r="AI185" s="106">
        <f t="shared" si="2174"/>
        <v>19800</v>
      </c>
      <c r="AJ185" s="106">
        <f t="shared" si="2175"/>
        <v>19800</v>
      </c>
      <c r="AK185" s="106">
        <f t="shared" si="2176"/>
        <v>19800</v>
      </c>
      <c r="AL185" s="106">
        <f t="shared" si="2177"/>
        <v>19800</v>
      </c>
      <c r="AM185" s="106">
        <f t="shared" si="2178"/>
        <v>19800</v>
      </c>
      <c r="AN185" s="106">
        <f t="shared" si="2179"/>
        <v>19800</v>
      </c>
      <c r="AO185" s="106">
        <f t="shared" si="2180"/>
        <v>237600</v>
      </c>
      <c r="AQ185" s="106">
        <v>37368.770000000004</v>
      </c>
      <c r="AR185" s="106">
        <v>38964.480000000003</v>
      </c>
      <c r="AS185" s="106">
        <v>37574.76</v>
      </c>
      <c r="AT185" s="106">
        <v>39576.67</v>
      </c>
      <c r="AU185" s="106">
        <v>5725.2</v>
      </c>
      <c r="AV185" s="106">
        <v>31355</v>
      </c>
      <c r="AW185" s="106">
        <v>40135.209999999992</v>
      </c>
      <c r="AX185" s="106">
        <v>12061.32</v>
      </c>
      <c r="AY185" s="106">
        <v>37028.1</v>
      </c>
      <c r="AZ185" s="106">
        <v>28007.08</v>
      </c>
      <c r="BA185" s="106">
        <v>19456.07</v>
      </c>
      <c r="BB185" s="106">
        <v>19456</v>
      </c>
      <c r="BC185" s="106">
        <f t="shared" si="2181"/>
        <v>346708.66000000003</v>
      </c>
      <c r="BD185" s="16" t="str">
        <f t="shared" si="1532"/>
        <v>Mobile Expenses</v>
      </c>
      <c r="BE185" s="106">
        <f>+VLOOKUP($BD185,'Jan-25'!$A:$J,2,0)</f>
        <v>5793.24</v>
      </c>
      <c r="BF185" s="106">
        <f>+VLOOKUP($BD185,'Feb-25'!$A:$J,2,0)</f>
        <v>25970</v>
      </c>
      <c r="BG185" s="106">
        <f>+VLOOKUP($BD185,'Mar-25'!$A:$J,2,0)</f>
        <v>62595.8</v>
      </c>
      <c r="BH185" s="106">
        <f>+VLOOKUP($BD185,'Apr-25'!$A:$J,2,0)</f>
        <v>43684.735999999997</v>
      </c>
      <c r="BI185" s="106">
        <f>+VLOOKUP($BD185,'May-25'!$A:$J,2,0)</f>
        <v>43065.601999999999</v>
      </c>
      <c r="BJ185" s="106">
        <f>+VLOOKUP($BD185,'June-25'!$A:$J,2,0)</f>
        <v>26157.784</v>
      </c>
      <c r="BK185" s="106">
        <f>+VLOOKUP($BD185,'July-25'!$A:$J,2,0)</f>
        <v>25729.248</v>
      </c>
      <c r="BL185" s="106">
        <f>+VLOOKUP($BD185,'Aug-25'!$A:$J,2,0)</f>
        <v>5875.6</v>
      </c>
      <c r="BM185" s="106">
        <f>+VLOOKUP($BD185,'Sep-25'!$A:$J,2,0)</f>
        <v>28774.400000000001</v>
      </c>
      <c r="BN185" s="106">
        <f>+VLOOKUP($BD185,'Oct-25'!$A:$J,2,0)</f>
        <v>23058.400000000001</v>
      </c>
      <c r="BO185" s="106">
        <f>+VLOOKUP($BD185,'Nov-25'!$A:$J,2,0)</f>
        <v>0</v>
      </c>
      <c r="BP185" s="106">
        <f>+VLOOKUP($BD185,'Dec-25'!$A:$J,2,0)</f>
        <v>0</v>
      </c>
      <c r="BQ185" s="106">
        <f t="shared" si="2182"/>
        <v>290704.81000000006</v>
      </c>
      <c r="BR185" s="118">
        <f t="shared" si="1877"/>
        <v>0.60127777777777791</v>
      </c>
      <c r="BS185" s="106" cm="1">
        <f t="array" ref="BS185:CD185">+_xlfn.XLOOKUP(BD185,Budget!A:A,Budget!Q:AB)</f>
        <v>14400</v>
      </c>
      <c r="BT185" s="106">
        <v>14400</v>
      </c>
      <c r="BU185" s="106">
        <v>14400</v>
      </c>
      <c r="BV185" s="106">
        <v>14400</v>
      </c>
      <c r="BW185" s="106">
        <v>14400</v>
      </c>
      <c r="BX185" s="106">
        <v>14400</v>
      </c>
      <c r="BY185" s="106">
        <v>14400</v>
      </c>
      <c r="BZ185" s="106">
        <v>14400</v>
      </c>
      <c r="CA185" s="106">
        <v>14400</v>
      </c>
      <c r="CB185" s="106">
        <v>14400</v>
      </c>
      <c r="CC185" s="106">
        <v>14400</v>
      </c>
      <c r="CD185" s="106">
        <v>14400</v>
      </c>
      <c r="CE185" s="106">
        <f t="shared" si="2183"/>
        <v>172800</v>
      </c>
      <c r="CF185" s="22"/>
      <c r="CG185" s="106">
        <v>2487.1124999999997</v>
      </c>
      <c r="CH185" s="106">
        <v>0</v>
      </c>
      <c r="CI185" s="106">
        <v>0</v>
      </c>
      <c r="CJ185" s="106">
        <v>0</v>
      </c>
      <c r="CK185" s="106">
        <v>31355</v>
      </c>
      <c r="CL185" s="106">
        <v>0</v>
      </c>
      <c r="CM185" s="106">
        <v>0</v>
      </c>
      <c r="CN185" s="106">
        <v>0</v>
      </c>
      <c r="CO185" s="106">
        <v>0</v>
      </c>
      <c r="CP185" s="106">
        <v>0</v>
      </c>
      <c r="CQ185" s="106">
        <v>0</v>
      </c>
      <c r="CR185" s="106">
        <v>0</v>
      </c>
      <c r="CS185" s="106">
        <f t="shared" si="2184"/>
        <v>33842.112500000003</v>
      </c>
      <c r="CT185" s="16" t="str">
        <f t="shared" si="1536"/>
        <v>Mobile Expenses</v>
      </c>
      <c r="CU185" s="106">
        <f>+VLOOKUP($BD185,'Jan-25'!$A:$J,6,0)</f>
        <v>0</v>
      </c>
      <c r="CV185" s="106">
        <f>+VLOOKUP($BD185,'Feb-25'!$A:$J,6,0)</f>
        <v>0</v>
      </c>
      <c r="CW185" s="106">
        <f>+VLOOKUP($BD185,'Mar-25'!$A:$J,6,0)</f>
        <v>0</v>
      </c>
      <c r="CX185" s="106">
        <f>+VLOOKUP($BD185,'Apr-25'!$A:$J,6,0)</f>
        <v>190.55099999999999</v>
      </c>
      <c r="CY185" s="106">
        <f>+VLOOKUP($BD185,'May-25'!$A:$J,6,0)</f>
        <v>2153.0969999999998</v>
      </c>
      <c r="CZ185" s="106">
        <f>+VLOOKUP($BD185,'June-25'!$A:$J,6,0)</f>
        <v>9809.1689999999999</v>
      </c>
      <c r="DA185" s="106">
        <f>+VLOOKUP($BD185,'July-25'!$A:$J,6,0)</f>
        <v>9648.4680000000008</v>
      </c>
      <c r="DB185" s="106">
        <f>+VLOOKUP($BD185,'Aug-25'!$A:$J,6,0)</f>
        <v>2203.35</v>
      </c>
      <c r="DC185" s="106">
        <f>+VLOOKUP($BD185,'Sep-25'!$A:$J,6,0)</f>
        <v>10790.4</v>
      </c>
      <c r="DD185" s="106">
        <f>+VLOOKUP($BD185,'Oct-25'!$A:$J,6,0)</f>
        <v>8646.9</v>
      </c>
      <c r="DE185" s="106">
        <f>+VLOOKUP($BD185,'Nov-25'!$A:$J,6,0)</f>
        <v>0</v>
      </c>
      <c r="DF185" s="106">
        <f>+VLOOKUP($BD185,'Dec-25'!$A:$J,6,0)</f>
        <v>0</v>
      </c>
      <c r="DG185" s="106">
        <f t="shared" si="2185"/>
        <v>43441.934999999998</v>
      </c>
      <c r="DH185" s="118">
        <f t="shared" si="1881"/>
        <v>0.60127777777777769</v>
      </c>
      <c r="DI185" s="106">
        <f>+_xlfn.XLOOKUP($CT185,Budget!$A:$A,Budget!BQ:BQ)</f>
        <v>5400</v>
      </c>
      <c r="DJ185" s="106">
        <f>+_xlfn.XLOOKUP($CT185,Budget!$A:$A,Budget!BR:BR)</f>
        <v>5400</v>
      </c>
      <c r="DK185" s="106">
        <f>+_xlfn.XLOOKUP($CT185,Budget!$A:$A,Budget!BS:BS)</f>
        <v>5400</v>
      </c>
      <c r="DL185" s="106">
        <f>+_xlfn.XLOOKUP($CT185,Budget!$A:$A,Budget!BT:BT)</f>
        <v>5400</v>
      </c>
      <c r="DM185" s="106">
        <f>+_xlfn.XLOOKUP($CT185,Budget!$A:$A,Budget!BU:BU)</f>
        <v>5400</v>
      </c>
      <c r="DN185" s="106">
        <f>+_xlfn.XLOOKUP($CT185,Budget!$A:$A,Budget!BV:BV)</f>
        <v>5400</v>
      </c>
      <c r="DO185" s="106">
        <f>+_xlfn.XLOOKUP($CT185,Budget!$A:$A,Budget!BW:BW)</f>
        <v>5400</v>
      </c>
      <c r="DP185" s="106">
        <f>+_xlfn.XLOOKUP($CT185,Budget!$A:$A,Budget!BX:BX)</f>
        <v>5400</v>
      </c>
      <c r="DQ185" s="106">
        <f>+_xlfn.XLOOKUP($CT185,Budget!$A:$A,Budget!BY:BY)</f>
        <v>5400</v>
      </c>
      <c r="DR185" s="106">
        <f>+_xlfn.XLOOKUP($CT185,Budget!$A:$A,Budget!BZ:BZ)</f>
        <v>5400</v>
      </c>
      <c r="DS185" s="106">
        <f>+_xlfn.XLOOKUP($CT185,Budget!$A:$A,Budget!CA:CA)</f>
        <v>5400</v>
      </c>
      <c r="DT185" s="106">
        <f>+_xlfn.XLOOKUP($CT185,Budget!$A:$A,Budget!CB:CB)</f>
        <v>5400</v>
      </c>
      <c r="DU185" s="106">
        <f t="shared" si="2186"/>
        <v>64800</v>
      </c>
    </row>
    <row r="186" spans="1:125" ht="14.45" hidden="1" customHeight="1" outlineLevel="2">
      <c r="A186" s="106">
        <f t="shared" si="2142"/>
        <v>0</v>
      </c>
      <c r="B186" s="106">
        <f t="shared" si="2143"/>
        <v>0</v>
      </c>
      <c r="C186" s="106">
        <f t="shared" si="2144"/>
        <v>0</v>
      </c>
      <c r="D186" s="106">
        <f t="shared" si="2145"/>
        <v>0</v>
      </c>
      <c r="E186" s="106">
        <f t="shared" si="2146"/>
        <v>0</v>
      </c>
      <c r="F186" s="106">
        <f t="shared" si="2147"/>
        <v>0</v>
      </c>
      <c r="G186" s="106">
        <f t="shared" si="2148"/>
        <v>0</v>
      </c>
      <c r="H186" s="106">
        <f t="shared" si="2149"/>
        <v>0</v>
      </c>
      <c r="I186" s="106">
        <f t="shared" si="2150"/>
        <v>0</v>
      </c>
      <c r="J186" s="106">
        <f t="shared" si="2151"/>
        <v>0</v>
      </c>
      <c r="K186" s="106">
        <f t="shared" si="2152"/>
        <v>0</v>
      </c>
      <c r="L186" s="106">
        <f t="shared" si="2153"/>
        <v>0</v>
      </c>
      <c r="M186" s="106">
        <f t="shared" si="2154"/>
        <v>0</v>
      </c>
      <c r="N186" s="16" t="s">
        <v>155</v>
      </c>
      <c r="O186" s="106">
        <f t="shared" si="2155"/>
        <v>0</v>
      </c>
      <c r="P186" s="106">
        <f t="shared" si="2156"/>
        <v>0</v>
      </c>
      <c r="Q186" s="106">
        <f t="shared" si="2157"/>
        <v>0</v>
      </c>
      <c r="R186" s="106">
        <f t="shared" si="2158"/>
        <v>0</v>
      </c>
      <c r="S186" s="106">
        <f t="shared" si="2159"/>
        <v>0</v>
      </c>
      <c r="T186" s="106">
        <f t="shared" si="2160"/>
        <v>0</v>
      </c>
      <c r="U186" s="106">
        <f t="shared" si="2161"/>
        <v>0</v>
      </c>
      <c r="V186" s="106">
        <f t="shared" si="2162"/>
        <v>0</v>
      </c>
      <c r="W186" s="106">
        <f t="shared" si="2163"/>
        <v>0</v>
      </c>
      <c r="X186" s="106">
        <f t="shared" si="2164"/>
        <v>0</v>
      </c>
      <c r="Y186" s="106">
        <f t="shared" si="2165"/>
        <v>0</v>
      </c>
      <c r="Z186" s="106">
        <f t="shared" si="2166"/>
        <v>0</v>
      </c>
      <c r="AA186" s="106">
        <f t="shared" si="2167"/>
        <v>0</v>
      </c>
      <c r="AB186" s="118">
        <f t="shared" si="1861"/>
        <v>0</v>
      </c>
      <c r="AC186" s="106">
        <f t="shared" si="2168"/>
        <v>0</v>
      </c>
      <c r="AD186" s="106">
        <f t="shared" si="2169"/>
        <v>0</v>
      </c>
      <c r="AE186" s="106">
        <f t="shared" si="2170"/>
        <v>0</v>
      </c>
      <c r="AF186" s="106">
        <f t="shared" si="2171"/>
        <v>0</v>
      </c>
      <c r="AG186" s="106">
        <f t="shared" si="2172"/>
        <v>0</v>
      </c>
      <c r="AH186" s="106">
        <f t="shared" si="2173"/>
        <v>0</v>
      </c>
      <c r="AI186" s="106">
        <f t="shared" si="2174"/>
        <v>0</v>
      </c>
      <c r="AJ186" s="106">
        <f t="shared" si="2175"/>
        <v>0</v>
      </c>
      <c r="AK186" s="106">
        <f t="shared" si="2176"/>
        <v>0</v>
      </c>
      <c r="AL186" s="106">
        <f t="shared" si="2177"/>
        <v>0</v>
      </c>
      <c r="AM186" s="106">
        <f t="shared" si="2178"/>
        <v>0</v>
      </c>
      <c r="AN186" s="106">
        <f t="shared" si="2179"/>
        <v>0</v>
      </c>
      <c r="AO186" s="106">
        <f t="shared" si="2180"/>
        <v>0</v>
      </c>
      <c r="AQ186" s="106">
        <v>0</v>
      </c>
      <c r="AR186" s="106">
        <v>0</v>
      </c>
      <c r="AS186" s="106">
        <v>0</v>
      </c>
      <c r="AT186" s="106">
        <v>0</v>
      </c>
      <c r="AU186" s="106">
        <v>0</v>
      </c>
      <c r="AV186" s="106">
        <v>0</v>
      </c>
      <c r="AW186" s="106">
        <v>0</v>
      </c>
      <c r="AX186" s="106">
        <v>0</v>
      </c>
      <c r="AY186" s="106">
        <v>0</v>
      </c>
      <c r="AZ186" s="106">
        <v>0</v>
      </c>
      <c r="BA186" s="106">
        <v>0</v>
      </c>
      <c r="BB186" s="106">
        <v>0</v>
      </c>
      <c r="BC186" s="106">
        <f t="shared" si="2181"/>
        <v>0</v>
      </c>
      <c r="BD186" s="16" t="str">
        <f t="shared" si="1532"/>
        <v>Telephone</v>
      </c>
      <c r="BE186" s="106">
        <f>+VLOOKUP($BD186,'Jan-25'!$A:$J,2,0)</f>
        <v>0</v>
      </c>
      <c r="BF186" s="106">
        <f>+VLOOKUP($BD186,'Feb-25'!$A:$J,2,0)</f>
        <v>0</v>
      </c>
      <c r="BG186" s="106">
        <f>+VLOOKUP($BD186,'Mar-25'!$A:$J,2,0)</f>
        <v>0</v>
      </c>
      <c r="BH186" s="106">
        <f>+VLOOKUP($BD186,'Apr-25'!$A:$J,2,0)</f>
        <v>0</v>
      </c>
      <c r="BI186" s="106">
        <f>+VLOOKUP($BD186,'May-25'!$A:$J,2,0)</f>
        <v>0</v>
      </c>
      <c r="BJ186" s="106">
        <f>+VLOOKUP($BD186,'June-25'!$A:$J,2,0)</f>
        <v>0</v>
      </c>
      <c r="BK186" s="106">
        <f>+VLOOKUP($BD186,'July-25'!$A:$J,2,0)</f>
        <v>0</v>
      </c>
      <c r="BL186" s="106">
        <f>+VLOOKUP($BD186,'Aug-25'!$A:$J,2,0)</f>
        <v>0</v>
      </c>
      <c r="BM186" s="106">
        <f>+VLOOKUP($BD186,'Sep-25'!$A:$J,2,0)</f>
        <v>0</v>
      </c>
      <c r="BN186" s="106">
        <f>+VLOOKUP($BD186,'Oct-25'!$A:$J,2,0)</f>
        <v>0</v>
      </c>
      <c r="BO186" s="106">
        <f>+VLOOKUP($BD186,'Nov-25'!$A:$J,2,0)</f>
        <v>0</v>
      </c>
      <c r="BP186" s="106">
        <f>+VLOOKUP($BD186,'Dec-25'!$A:$J,2,0)</f>
        <v>0</v>
      </c>
      <c r="BQ186" s="106">
        <f t="shared" si="2182"/>
        <v>0</v>
      </c>
      <c r="BR186" s="118">
        <f t="shared" si="1877"/>
        <v>0</v>
      </c>
      <c r="BS186" s="106" cm="1">
        <f t="array" ref="BS186:CD186">+_xlfn.XLOOKUP(BD186,Budget!A:A,Budget!Q:AB)</f>
        <v>0</v>
      </c>
      <c r="BT186" s="106">
        <v>0</v>
      </c>
      <c r="BU186" s="106">
        <v>0</v>
      </c>
      <c r="BV186" s="106">
        <v>0</v>
      </c>
      <c r="BW186" s="106">
        <v>0</v>
      </c>
      <c r="BX186" s="106">
        <v>0</v>
      </c>
      <c r="BY186" s="106">
        <v>0</v>
      </c>
      <c r="BZ186" s="106">
        <v>0</v>
      </c>
      <c r="CA186" s="106">
        <v>0</v>
      </c>
      <c r="CB186" s="106">
        <v>0</v>
      </c>
      <c r="CC186" s="106">
        <v>0</v>
      </c>
      <c r="CD186" s="106">
        <v>0</v>
      </c>
      <c r="CE186" s="106">
        <f t="shared" si="2183"/>
        <v>0</v>
      </c>
      <c r="CF186" s="22"/>
      <c r="CG186" s="106">
        <v>0</v>
      </c>
      <c r="CH186" s="106">
        <v>0</v>
      </c>
      <c r="CI186" s="106">
        <v>0</v>
      </c>
      <c r="CJ186" s="106">
        <v>0</v>
      </c>
      <c r="CK186" s="106">
        <v>0</v>
      </c>
      <c r="CL186" s="106">
        <v>0</v>
      </c>
      <c r="CM186" s="106">
        <v>0</v>
      </c>
      <c r="CN186" s="106">
        <v>0</v>
      </c>
      <c r="CO186" s="106">
        <v>0</v>
      </c>
      <c r="CP186" s="106">
        <v>0</v>
      </c>
      <c r="CQ186" s="106">
        <v>0</v>
      </c>
      <c r="CR186" s="106">
        <v>0</v>
      </c>
      <c r="CS186" s="106">
        <f t="shared" si="2184"/>
        <v>0</v>
      </c>
      <c r="CT186" s="16" t="str">
        <f t="shared" si="1536"/>
        <v>Telephone</v>
      </c>
      <c r="CU186" s="106">
        <f>+VLOOKUP($BD186,'Jan-25'!$A:$J,6,0)</f>
        <v>0</v>
      </c>
      <c r="CV186" s="106">
        <f>+VLOOKUP($BD186,'Feb-25'!$A:$J,6,0)</f>
        <v>0</v>
      </c>
      <c r="CW186" s="106">
        <f>+VLOOKUP($BD186,'Mar-25'!$A:$J,6,0)</f>
        <v>0</v>
      </c>
      <c r="CX186" s="106">
        <f>+VLOOKUP($BD186,'Apr-25'!$A:$J,6,0)</f>
        <v>0</v>
      </c>
      <c r="CY186" s="106">
        <f>+VLOOKUP($BD186,'May-25'!$A:$J,6,0)</f>
        <v>0</v>
      </c>
      <c r="CZ186" s="106">
        <f>+VLOOKUP($BD186,'June-25'!$A:$J,6,0)</f>
        <v>0</v>
      </c>
      <c r="DA186" s="106">
        <f>+VLOOKUP($BD186,'July-25'!$A:$J,6,0)</f>
        <v>0</v>
      </c>
      <c r="DB186" s="106">
        <f>+VLOOKUP($BD186,'Aug-25'!$A:$J,6,0)</f>
        <v>0</v>
      </c>
      <c r="DC186" s="106">
        <f>+VLOOKUP($BD186,'Sep-25'!$A:$J,6,0)</f>
        <v>0</v>
      </c>
      <c r="DD186" s="106">
        <f>+VLOOKUP($BD186,'Oct-25'!$A:$J,6,0)</f>
        <v>0</v>
      </c>
      <c r="DE186" s="106">
        <f>+VLOOKUP($BD186,'Nov-25'!$A:$J,6,0)</f>
        <v>0</v>
      </c>
      <c r="DF186" s="106">
        <f>+VLOOKUP($BD186,'Dec-25'!$A:$J,6,0)</f>
        <v>0</v>
      </c>
      <c r="DG186" s="106">
        <f t="shared" si="2185"/>
        <v>0</v>
      </c>
      <c r="DH186" s="118">
        <f t="shared" si="1881"/>
        <v>0</v>
      </c>
      <c r="DI186" s="106">
        <f>+_xlfn.XLOOKUP($CT186,Budget!$A:$A,Budget!BQ:BQ)</f>
        <v>0</v>
      </c>
      <c r="DJ186" s="106">
        <f>+_xlfn.XLOOKUP($CT186,Budget!$A:$A,Budget!BR:BR)</f>
        <v>0</v>
      </c>
      <c r="DK186" s="106">
        <f>+_xlfn.XLOOKUP($CT186,Budget!$A:$A,Budget!BS:BS)</f>
        <v>0</v>
      </c>
      <c r="DL186" s="106">
        <f>+_xlfn.XLOOKUP($CT186,Budget!$A:$A,Budget!BT:BT)</f>
        <v>0</v>
      </c>
      <c r="DM186" s="106">
        <f>+_xlfn.XLOOKUP($CT186,Budget!$A:$A,Budget!BU:BU)</f>
        <v>0</v>
      </c>
      <c r="DN186" s="106">
        <f>+_xlfn.XLOOKUP($CT186,Budget!$A:$A,Budget!BV:BV)</f>
        <v>0</v>
      </c>
      <c r="DO186" s="106">
        <f>+_xlfn.XLOOKUP($CT186,Budget!$A:$A,Budget!BW:BW)</f>
        <v>0</v>
      </c>
      <c r="DP186" s="106">
        <f>+_xlfn.XLOOKUP($CT186,Budget!$A:$A,Budget!BX:BX)</f>
        <v>0</v>
      </c>
      <c r="DQ186" s="106">
        <f>+_xlfn.XLOOKUP($CT186,Budget!$A:$A,Budget!BY:BY)</f>
        <v>0</v>
      </c>
      <c r="DR186" s="106">
        <f>+_xlfn.XLOOKUP($CT186,Budget!$A:$A,Budget!BZ:BZ)</f>
        <v>0</v>
      </c>
      <c r="DS186" s="106">
        <f>+_xlfn.XLOOKUP($CT186,Budget!$A:$A,Budget!CA:CA)</f>
        <v>0</v>
      </c>
      <c r="DT186" s="106">
        <f>+_xlfn.XLOOKUP($CT186,Budget!$A:$A,Budget!CB:CB)</f>
        <v>0</v>
      </c>
      <c r="DU186" s="106">
        <f t="shared" si="2186"/>
        <v>0</v>
      </c>
    </row>
    <row r="187" spans="1:125" ht="14.45" customHeight="1" outlineLevel="1" collapsed="1">
      <c r="A187" s="107">
        <f t="shared" ref="A187:L187" si="2187">+SUM(A188:A192)</f>
        <v>30616.666666666646</v>
      </c>
      <c r="B187" s="107">
        <f t="shared" si="2187"/>
        <v>39172.664833333314</v>
      </c>
      <c r="C187" s="107">
        <f t="shared" si="2187"/>
        <v>289172.66483333329</v>
      </c>
      <c r="D187" s="107">
        <f t="shared" si="2187"/>
        <v>39172.664833333314</v>
      </c>
      <c r="E187" s="107">
        <f t="shared" si="2187"/>
        <v>44172.664833333314</v>
      </c>
      <c r="F187" s="107">
        <f t="shared" si="2187"/>
        <v>41672.664833333314</v>
      </c>
      <c r="G187" s="107">
        <f t="shared" si="2187"/>
        <v>39172.664833333314</v>
      </c>
      <c r="H187" s="107">
        <f t="shared" si="2187"/>
        <v>92847.481499999994</v>
      </c>
      <c r="I187" s="107">
        <f t="shared" si="2187"/>
        <v>133889.15</v>
      </c>
      <c r="J187" s="107">
        <f t="shared" si="2187"/>
        <v>42847.483333333315</v>
      </c>
      <c r="K187" s="107">
        <f t="shared" si="2187"/>
        <v>34847.481500000002</v>
      </c>
      <c r="L187" s="107">
        <f t="shared" si="2187"/>
        <v>21389.15</v>
      </c>
      <c r="M187" s="107"/>
      <c r="N187" s="20" t="s">
        <v>156</v>
      </c>
      <c r="O187" s="107">
        <f t="shared" ref="O187" si="2188">+SUM(O188:O192)</f>
        <v>32846.75</v>
      </c>
      <c r="P187" s="107">
        <f t="shared" ref="P187" si="2189">+SUM(P188:P192)</f>
        <v>24596.75</v>
      </c>
      <c r="Q187" s="107">
        <f t="shared" ref="Q187" si="2190">+SUM(Q188:Q192)</f>
        <v>113457.60000000001</v>
      </c>
      <c r="R187" s="107">
        <f t="shared" ref="R187" si="2191">+SUM(R188:R192)</f>
        <v>61457.599999999999</v>
      </c>
      <c r="S187" s="107">
        <f t="shared" ref="S187" si="2192">+SUM(S188:S192)</f>
        <v>24290.75</v>
      </c>
      <c r="T187" s="107">
        <f t="shared" ref="T187" si="2193">+SUM(T188:T192)</f>
        <v>114040.75</v>
      </c>
      <c r="U187" s="107">
        <f t="shared" ref="U187" si="2194">+SUM(U188:U192)</f>
        <v>24290.75</v>
      </c>
      <c r="V187" s="107">
        <f t="shared" ref="V187" si="2195">+SUM(V188:V192)</f>
        <v>49457.599999999999</v>
      </c>
      <c r="W187" s="107">
        <f t="shared" ref="W187" si="2196">+SUM(W188:W192)</f>
        <v>26457.599999999999</v>
      </c>
      <c r="X187" s="107">
        <f t="shared" ref="X187" si="2197">+SUM(X188:X192)</f>
        <v>31040.75</v>
      </c>
      <c r="Y187" s="107">
        <f t="shared" ref="Y187" si="2198">+SUM(Y188:Y192)</f>
        <v>0</v>
      </c>
      <c r="Z187" s="107">
        <f t="shared" ref="Z187:AA187" si="2199">+SUM(Z188:Z192)</f>
        <v>0</v>
      </c>
      <c r="AA187" s="107">
        <f t="shared" si="2199"/>
        <v>501936.89999999997</v>
      </c>
      <c r="AB187" s="118">
        <f t="shared" si="1861"/>
        <v>-0.30227317682811689</v>
      </c>
      <c r="AC187" s="107">
        <f t="shared" ref="AC187" si="2200">+SUM(AC188:AC192)</f>
        <v>44488.399999999994</v>
      </c>
      <c r="AD187" s="107">
        <f t="shared" ref="AD187" si="2201">+SUM(AD188:AD192)</f>
        <v>44488.399999999994</v>
      </c>
      <c r="AE187" s="107">
        <f t="shared" ref="AE187" si="2202">+SUM(AE188:AE192)</f>
        <v>44488.399999999994</v>
      </c>
      <c r="AF187" s="107">
        <f t="shared" ref="AF187" si="2203">+SUM(AF188:AF192)</f>
        <v>44488.399999999994</v>
      </c>
      <c r="AG187" s="107">
        <f t="shared" ref="AG187" si="2204">+SUM(AG188:AG192)</f>
        <v>44488.399999999994</v>
      </c>
      <c r="AH187" s="107">
        <f t="shared" ref="AH187" si="2205">+SUM(AH188:AH192)</f>
        <v>44488.399999999994</v>
      </c>
      <c r="AI187" s="107">
        <f t="shared" ref="AI187" si="2206">+SUM(AI188:AI192)</f>
        <v>44488.399999999994</v>
      </c>
      <c r="AJ187" s="107">
        <f t="shared" ref="AJ187" si="2207">+SUM(AJ188:AJ192)</f>
        <v>44488.399999999994</v>
      </c>
      <c r="AK187" s="107">
        <f t="shared" ref="AK187" si="2208">+SUM(AK188:AK192)</f>
        <v>44488.399999999994</v>
      </c>
      <c r="AL187" s="107">
        <f t="shared" ref="AL187" si="2209">+SUM(AL188:AL192)</f>
        <v>44488.399999999994</v>
      </c>
      <c r="AM187" s="107">
        <f t="shared" ref="AM187" si="2210">+SUM(AM188:AM192)</f>
        <v>44488.399999999994</v>
      </c>
      <c r="AN187" s="107">
        <f t="shared" ref="AN187" si="2211">+SUM(AN188:AN192)</f>
        <v>44488.399999999994</v>
      </c>
      <c r="AO187" s="107"/>
      <c r="AQ187" s="107">
        <f t="shared" ref="AQ187:BC187" si="2212">+SUM(AQ188:AQ192)</f>
        <v>22266.666666666653</v>
      </c>
      <c r="AR187" s="107">
        <f t="shared" si="2212"/>
        <v>28315.665333333323</v>
      </c>
      <c r="AS187" s="107">
        <f t="shared" si="2212"/>
        <v>278315.66533333331</v>
      </c>
      <c r="AT187" s="107">
        <f t="shared" si="2212"/>
        <v>28315.665333333323</v>
      </c>
      <c r="AU187" s="107">
        <f t="shared" si="2212"/>
        <v>33315.665333333323</v>
      </c>
      <c r="AV187" s="107">
        <f t="shared" si="2212"/>
        <v>30815.665333333323</v>
      </c>
      <c r="AW187" s="107">
        <f t="shared" si="2212"/>
        <v>28315.665333333323</v>
      </c>
      <c r="AX187" s="107">
        <f t="shared" si="2212"/>
        <v>83715.531999999992</v>
      </c>
      <c r="AY187" s="107">
        <f t="shared" si="2212"/>
        <v>127882.2</v>
      </c>
      <c r="AZ187" s="107">
        <f t="shared" si="2212"/>
        <v>33715.533333333318</v>
      </c>
      <c r="BA187" s="107">
        <f t="shared" si="2212"/>
        <v>25715.531999999999</v>
      </c>
      <c r="BB187" s="107">
        <f t="shared" si="2212"/>
        <v>15382.2</v>
      </c>
      <c r="BC187" s="107">
        <f t="shared" si="2212"/>
        <v>736071.65599999996</v>
      </c>
      <c r="BD187" s="20" t="str">
        <f t="shared" si="1532"/>
        <v>Professional Fees</v>
      </c>
      <c r="BE187" s="107">
        <f t="shared" ref="BE187:BQ187" si="2213">+SUM(BE188:BE192)</f>
        <v>23715</v>
      </c>
      <c r="BF187" s="107">
        <f t="shared" si="2213"/>
        <v>17715</v>
      </c>
      <c r="BG187" s="107">
        <f t="shared" si="2213"/>
        <v>110332.8</v>
      </c>
      <c r="BH187" s="107">
        <f t="shared" si="2213"/>
        <v>58332.800000000003</v>
      </c>
      <c r="BI187" s="107">
        <f t="shared" si="2213"/>
        <v>17666</v>
      </c>
      <c r="BJ187" s="107">
        <f t="shared" si="2213"/>
        <v>109666</v>
      </c>
      <c r="BK187" s="107">
        <f t="shared" si="2213"/>
        <v>17666</v>
      </c>
      <c r="BL187" s="107">
        <f t="shared" si="2213"/>
        <v>46332.800000000003</v>
      </c>
      <c r="BM187" s="107">
        <f t="shared" si="2213"/>
        <v>23332.800000000003</v>
      </c>
      <c r="BN187" s="107">
        <f t="shared" si="2213"/>
        <v>26666.000000000004</v>
      </c>
      <c r="BO187" s="107">
        <f t="shared" si="2213"/>
        <v>0</v>
      </c>
      <c r="BP187" s="107">
        <f t="shared" si="2213"/>
        <v>0</v>
      </c>
      <c r="BQ187" s="107">
        <f t="shared" si="2213"/>
        <v>451425.2</v>
      </c>
      <c r="BR187" s="118">
        <f t="shared" si="1877"/>
        <v>-0.17583572346948867</v>
      </c>
      <c r="BS187" s="107">
        <f t="shared" ref="BS187:CE187" si="2214">+SUM(BS188:BS192)</f>
        <v>32355.200000000004</v>
      </c>
      <c r="BT187" s="107">
        <f t="shared" si="2214"/>
        <v>32355.200000000004</v>
      </c>
      <c r="BU187" s="107">
        <f t="shared" si="2214"/>
        <v>32355.200000000004</v>
      </c>
      <c r="BV187" s="107">
        <f t="shared" si="2214"/>
        <v>32355.200000000004</v>
      </c>
      <c r="BW187" s="107">
        <f t="shared" si="2214"/>
        <v>32355.200000000004</v>
      </c>
      <c r="BX187" s="107">
        <f t="shared" si="2214"/>
        <v>32355.200000000004</v>
      </c>
      <c r="BY187" s="107">
        <f t="shared" si="2214"/>
        <v>32355.200000000004</v>
      </c>
      <c r="BZ187" s="107">
        <f t="shared" si="2214"/>
        <v>32355.200000000004</v>
      </c>
      <c r="CA187" s="107">
        <f t="shared" si="2214"/>
        <v>32355.200000000004</v>
      </c>
      <c r="CB187" s="107">
        <f t="shared" si="2214"/>
        <v>32355.200000000004</v>
      </c>
      <c r="CC187" s="107">
        <f t="shared" si="2214"/>
        <v>32355.200000000004</v>
      </c>
      <c r="CD187" s="107">
        <f t="shared" si="2214"/>
        <v>32355.200000000004</v>
      </c>
      <c r="CE187" s="107">
        <f t="shared" si="2214"/>
        <v>388262.40000000008</v>
      </c>
      <c r="CF187" s="22"/>
      <c r="CG187" s="107">
        <f t="shared" ref="CG187:CS187" si="2215">+SUM(CG188:CG192)</f>
        <v>8349.9999999999945</v>
      </c>
      <c r="CH187" s="107">
        <f t="shared" si="2215"/>
        <v>10856.999499999994</v>
      </c>
      <c r="CI187" s="107">
        <f t="shared" si="2215"/>
        <v>10856.999499999994</v>
      </c>
      <c r="CJ187" s="107">
        <f t="shared" si="2215"/>
        <v>10856.999499999994</v>
      </c>
      <c r="CK187" s="107">
        <f t="shared" si="2215"/>
        <v>10856.999499999994</v>
      </c>
      <c r="CL187" s="107">
        <f t="shared" si="2215"/>
        <v>10856.999499999994</v>
      </c>
      <c r="CM187" s="107">
        <f t="shared" si="2215"/>
        <v>10856.999499999994</v>
      </c>
      <c r="CN187" s="107">
        <f t="shared" si="2215"/>
        <v>9131.9494999999988</v>
      </c>
      <c r="CO187" s="107">
        <f t="shared" si="2215"/>
        <v>6006.95</v>
      </c>
      <c r="CP187" s="107">
        <f t="shared" si="2215"/>
        <v>9131.9499999999935</v>
      </c>
      <c r="CQ187" s="107">
        <f t="shared" si="2215"/>
        <v>9131.9494999999988</v>
      </c>
      <c r="CR187" s="107">
        <f t="shared" si="2215"/>
        <v>6006.95</v>
      </c>
      <c r="CS187" s="107">
        <f t="shared" si="2215"/>
        <v>112901.74599999996</v>
      </c>
      <c r="CT187" s="20" t="str">
        <f t="shared" si="1536"/>
        <v>Professional Fees</v>
      </c>
      <c r="CU187" s="107">
        <f t="shared" ref="CU187:DG187" si="2216">+SUM(CU188:CU192)</f>
        <v>9131.75</v>
      </c>
      <c r="CV187" s="107">
        <f t="shared" si="2216"/>
        <v>6881.75</v>
      </c>
      <c r="CW187" s="107">
        <f t="shared" si="2216"/>
        <v>3124.7999999999997</v>
      </c>
      <c r="CX187" s="107">
        <f t="shared" si="2216"/>
        <v>3124.7999999999997</v>
      </c>
      <c r="CY187" s="107">
        <f t="shared" si="2216"/>
        <v>6624.7499999999991</v>
      </c>
      <c r="CZ187" s="107">
        <f t="shared" si="2216"/>
        <v>4374.75</v>
      </c>
      <c r="DA187" s="107">
        <f t="shared" si="2216"/>
        <v>6624.7499999999991</v>
      </c>
      <c r="DB187" s="107">
        <f t="shared" si="2216"/>
        <v>3124.7999999999997</v>
      </c>
      <c r="DC187" s="107">
        <f t="shared" si="2216"/>
        <v>3124.7999999999997</v>
      </c>
      <c r="DD187" s="107">
        <f t="shared" si="2216"/>
        <v>4374.75</v>
      </c>
      <c r="DE187" s="107">
        <f t="shared" si="2216"/>
        <v>0</v>
      </c>
      <c r="DF187" s="107">
        <f t="shared" si="2216"/>
        <v>0</v>
      </c>
      <c r="DG187" s="107">
        <f t="shared" si="2216"/>
        <v>50511.700000000004</v>
      </c>
      <c r="DH187" s="118">
        <f t="shared" si="1881"/>
        <v>-0.63943971911779252</v>
      </c>
      <c r="DI187" s="107">
        <f t="shared" ref="DI187:DU187" si="2217">+SUM(DI188:DI192)</f>
        <v>12133.199999999999</v>
      </c>
      <c r="DJ187" s="107">
        <f t="shared" si="2217"/>
        <v>12133.199999999999</v>
      </c>
      <c r="DK187" s="107">
        <f t="shared" si="2217"/>
        <v>12133.199999999999</v>
      </c>
      <c r="DL187" s="107">
        <f t="shared" si="2217"/>
        <v>12133.199999999999</v>
      </c>
      <c r="DM187" s="107">
        <f t="shared" si="2217"/>
        <v>12133.199999999999</v>
      </c>
      <c r="DN187" s="107">
        <f t="shared" si="2217"/>
        <v>12133.199999999999</v>
      </c>
      <c r="DO187" s="107">
        <f t="shared" si="2217"/>
        <v>12133.199999999999</v>
      </c>
      <c r="DP187" s="107">
        <f t="shared" si="2217"/>
        <v>12133.199999999999</v>
      </c>
      <c r="DQ187" s="107">
        <f t="shared" si="2217"/>
        <v>12133.199999999999</v>
      </c>
      <c r="DR187" s="107">
        <f t="shared" si="2217"/>
        <v>12133.199999999999</v>
      </c>
      <c r="DS187" s="107">
        <f t="shared" si="2217"/>
        <v>12133.199999999999</v>
      </c>
      <c r="DT187" s="107">
        <f t="shared" si="2217"/>
        <v>12133.199999999999</v>
      </c>
      <c r="DU187" s="107">
        <f t="shared" si="2217"/>
        <v>145598.39999999999</v>
      </c>
    </row>
    <row r="188" spans="1:125" ht="14.45" hidden="1" customHeight="1" outlineLevel="2">
      <c r="A188" s="106">
        <f t="shared" ref="A188:A192" si="2218">+AQ188+CG188</f>
        <v>11458.333333333314</v>
      </c>
      <c r="B188" s="106">
        <f t="shared" ref="B188:B192" si="2219">+AR188+CH188</f>
        <v>11458.333333333314</v>
      </c>
      <c r="C188" s="106">
        <f t="shared" ref="C188:C192" si="2220">+AS188+CI188</f>
        <v>11458.333333333314</v>
      </c>
      <c r="D188" s="106">
        <f t="shared" ref="D188:D192" si="2221">+AT188+CJ188</f>
        <v>11458.333333333314</v>
      </c>
      <c r="E188" s="106">
        <f t="shared" ref="E188:E192" si="2222">+AU188+CK188</f>
        <v>11458.333333333314</v>
      </c>
      <c r="F188" s="106">
        <f t="shared" ref="F188:F192" si="2223">+AV188+CL188</f>
        <v>11458.333333333314</v>
      </c>
      <c r="G188" s="106">
        <f t="shared" ref="G188:G192" si="2224">+AW188+CM188</f>
        <v>11458.333333333314</v>
      </c>
      <c r="H188" s="106">
        <f t="shared" ref="H188:H192" si="2225">+AX188+CN188</f>
        <v>11458.3315</v>
      </c>
      <c r="I188" s="106">
        <f t="shared" ref="I188:I192" si="2226">+AY188+CO188</f>
        <v>27500</v>
      </c>
      <c r="J188" s="106">
        <f t="shared" ref="J188:J192" si="2227">+AZ188+CP188</f>
        <v>11458.333333333314</v>
      </c>
      <c r="K188" s="106">
        <f t="shared" ref="K188:K192" si="2228">+BA188+CQ188</f>
        <v>11458.3315</v>
      </c>
      <c r="L188" s="106">
        <f t="shared" ref="L188:L192" si="2229">+BB188+CR188</f>
        <v>0</v>
      </c>
      <c r="M188" s="106">
        <f t="shared" ref="M188:M192" si="2230">+SUM(A188:L188)</f>
        <v>142083.32966666651</v>
      </c>
      <c r="N188" s="16" t="s">
        <v>157</v>
      </c>
      <c r="O188" s="106">
        <f t="shared" ref="O188:O192" si="2231">+BE188+CU188</f>
        <v>11457.6</v>
      </c>
      <c r="P188" s="106">
        <f t="shared" ref="P188:P192" si="2232">+BF188+CV188</f>
        <v>11457.6</v>
      </c>
      <c r="Q188" s="106">
        <f t="shared" ref="Q188:Q192" si="2233">+BG188+CW188</f>
        <v>11457.6</v>
      </c>
      <c r="R188" s="106">
        <f t="shared" ref="R188:R192" si="2234">+BH188+CX188</f>
        <v>11457.6</v>
      </c>
      <c r="S188" s="106">
        <f t="shared" ref="S188:S192" si="2235">+BI188+CY188</f>
        <v>11457.6</v>
      </c>
      <c r="T188" s="106">
        <f t="shared" ref="T188:T192" si="2236">+BJ188+CZ188</f>
        <v>11457.6</v>
      </c>
      <c r="U188" s="106">
        <f t="shared" ref="U188:U192" si="2237">+BK188+DA188</f>
        <v>11457.6</v>
      </c>
      <c r="V188" s="106">
        <f t="shared" ref="V188:V192" si="2238">+BL188+DB188</f>
        <v>11457.6</v>
      </c>
      <c r="W188" s="106">
        <f t="shared" ref="W188:W192" si="2239">+BM188+DC188</f>
        <v>11457.6</v>
      </c>
      <c r="X188" s="106">
        <f t="shared" ref="X188:X192" si="2240">+BN188+DD188</f>
        <v>11457.6</v>
      </c>
      <c r="Y188" s="106">
        <f t="shared" ref="Y188:Y192" si="2241">+BO188+DE188</f>
        <v>0</v>
      </c>
      <c r="Z188" s="106">
        <f t="shared" ref="Z188:Z192" si="2242">+BP188+DF188</f>
        <v>0</v>
      </c>
      <c r="AA188" s="106">
        <f t="shared" ref="AA188:AA192" si="2243">+SUM(O188:Z188)</f>
        <v>114576.00000000003</v>
      </c>
      <c r="AB188" s="118">
        <f t="shared" si="1861"/>
        <v>0</v>
      </c>
      <c r="AC188" s="106">
        <f t="shared" ref="AC188:AC192" si="2244">+BS188+DI188</f>
        <v>11457.6</v>
      </c>
      <c r="AD188" s="106">
        <f t="shared" ref="AD188:AD192" si="2245">+BT188+DJ188</f>
        <v>11457.6</v>
      </c>
      <c r="AE188" s="106">
        <f t="shared" ref="AE188:AE192" si="2246">+BU188+DK188</f>
        <v>11457.6</v>
      </c>
      <c r="AF188" s="106">
        <f t="shared" ref="AF188:AF192" si="2247">+BV188+DL188</f>
        <v>11457.6</v>
      </c>
      <c r="AG188" s="106">
        <f t="shared" ref="AG188:AG192" si="2248">+BW188+DM188</f>
        <v>11457.6</v>
      </c>
      <c r="AH188" s="106">
        <f t="shared" ref="AH188:AH192" si="2249">+BX188+DN188</f>
        <v>11457.6</v>
      </c>
      <c r="AI188" s="106">
        <f t="shared" ref="AI188:AI192" si="2250">+BY188+DO188</f>
        <v>11457.6</v>
      </c>
      <c r="AJ188" s="106">
        <f t="shared" ref="AJ188:AJ192" si="2251">+BZ188+DP188</f>
        <v>11457.6</v>
      </c>
      <c r="AK188" s="106">
        <f t="shared" ref="AK188:AK192" si="2252">+CA188+DQ188</f>
        <v>11457.6</v>
      </c>
      <c r="AL188" s="106">
        <f t="shared" ref="AL188:AL192" si="2253">+CB188+DR188</f>
        <v>11457.6</v>
      </c>
      <c r="AM188" s="106">
        <f t="shared" ref="AM188:AM192" si="2254">+CC188+DS188</f>
        <v>11457.6</v>
      </c>
      <c r="AN188" s="106">
        <f t="shared" ref="AN188:AN192" si="2255">+CD188+DT188</f>
        <v>11457.6</v>
      </c>
      <c r="AO188" s="106">
        <f t="shared" ref="AO188:AO192" si="2256">+SUM(AC188:AN188)</f>
        <v>137491.20000000004</v>
      </c>
      <c r="AQ188" s="106">
        <v>8333.3333333333194</v>
      </c>
      <c r="AR188" s="106">
        <v>8333.3333333333194</v>
      </c>
      <c r="AS188" s="106">
        <v>8333.3333333333194</v>
      </c>
      <c r="AT188" s="106">
        <v>8333.3333333333194</v>
      </c>
      <c r="AU188" s="106">
        <v>8333.3333333333194</v>
      </c>
      <c r="AV188" s="106">
        <v>8333.3333333333194</v>
      </c>
      <c r="AW188" s="106">
        <v>8333.3333333333194</v>
      </c>
      <c r="AX188" s="106">
        <v>8333.3320000000003</v>
      </c>
      <c r="AY188" s="106">
        <v>27500</v>
      </c>
      <c r="AZ188" s="106">
        <v>8333.3333333333194</v>
      </c>
      <c r="BA188" s="106">
        <v>8333.3320000000003</v>
      </c>
      <c r="BB188" s="106">
        <v>0</v>
      </c>
      <c r="BC188" s="106">
        <f t="shared" ref="BC188:BC192" si="2257">+SUM(AQ188:BB188)</f>
        <v>110833.33066666654</v>
      </c>
      <c r="BD188" s="16" t="str">
        <f t="shared" si="1532"/>
        <v>Audit Fees</v>
      </c>
      <c r="BE188" s="106">
        <f>+VLOOKUP($BD188,'Jan-25'!$A:$J,2,0)</f>
        <v>8332.8000000000011</v>
      </c>
      <c r="BF188" s="106">
        <f>+VLOOKUP($BD188,'Feb-25'!$A:$J,2,0)</f>
        <v>8332.8000000000011</v>
      </c>
      <c r="BG188" s="106">
        <f>+VLOOKUP($BD188,'Mar-25'!$A:$J,2,0)</f>
        <v>8332.8000000000011</v>
      </c>
      <c r="BH188" s="106">
        <f>+VLOOKUP($BD188,'Apr-25'!$A:$J,2,0)</f>
        <v>8332.8000000000011</v>
      </c>
      <c r="BI188" s="106">
        <f>+VLOOKUP($BD188,'May-25'!$A:$J,2,0)</f>
        <v>8332.8000000000011</v>
      </c>
      <c r="BJ188" s="106">
        <f>+VLOOKUP($BD188,'June-25'!$A:$J,2,0)</f>
        <v>8332.8000000000011</v>
      </c>
      <c r="BK188" s="106">
        <f>+VLOOKUP($BD188,'July-25'!$A:$J,2,0)</f>
        <v>8332.8000000000011</v>
      </c>
      <c r="BL188" s="106">
        <f>+VLOOKUP($BD188,'Aug-25'!$A:$J,2,0)</f>
        <v>8332.8000000000011</v>
      </c>
      <c r="BM188" s="106">
        <f>+VLOOKUP($BD188,'Sep-25'!$A:$J,2,0)</f>
        <v>8332.8000000000011</v>
      </c>
      <c r="BN188" s="106">
        <f>+VLOOKUP($BD188,'Oct-25'!$A:$J,2,0)</f>
        <v>8332.8000000000011</v>
      </c>
      <c r="BO188" s="106">
        <f>+VLOOKUP($BD188,'Nov-25'!$A:$J,2,0)</f>
        <v>0</v>
      </c>
      <c r="BP188" s="106">
        <f>+VLOOKUP($BD188,'Dec-25'!$A:$J,2,0)</f>
        <v>0</v>
      </c>
      <c r="BQ188" s="106">
        <f t="shared" ref="BQ188:BQ192" si="2258">+SUM(BE188:BP188)</f>
        <v>83328.000000000015</v>
      </c>
      <c r="BR188" s="118">
        <f t="shared" si="1877"/>
        <v>0</v>
      </c>
      <c r="BS188" s="106" cm="1">
        <f t="array" ref="BS188:CD188">+_xlfn.XLOOKUP(BD188,Budget!A:A,Budget!Q:AB)</f>
        <v>8332.8000000000011</v>
      </c>
      <c r="BT188" s="106">
        <v>8332.8000000000011</v>
      </c>
      <c r="BU188" s="106">
        <v>8332.8000000000011</v>
      </c>
      <c r="BV188" s="106">
        <v>8332.8000000000011</v>
      </c>
      <c r="BW188" s="106">
        <v>8332.8000000000011</v>
      </c>
      <c r="BX188" s="106">
        <v>8332.8000000000011</v>
      </c>
      <c r="BY188" s="106">
        <v>8332.8000000000011</v>
      </c>
      <c r="BZ188" s="106">
        <v>8332.8000000000011</v>
      </c>
      <c r="CA188" s="106">
        <v>8332.8000000000011</v>
      </c>
      <c r="CB188" s="106">
        <v>8332.8000000000011</v>
      </c>
      <c r="CC188" s="106">
        <v>8332.8000000000011</v>
      </c>
      <c r="CD188" s="106">
        <v>8332.8000000000011</v>
      </c>
      <c r="CE188" s="106">
        <f t="shared" ref="CE188:CE191" si="2259">+SUM(BS188:CD188)</f>
        <v>99993.60000000002</v>
      </c>
      <c r="CF188" s="22"/>
      <c r="CG188" s="106">
        <v>3124.999999999995</v>
      </c>
      <c r="CH188" s="106">
        <v>3124.999999999995</v>
      </c>
      <c r="CI188" s="106">
        <v>3124.999999999995</v>
      </c>
      <c r="CJ188" s="106">
        <v>3124.999999999995</v>
      </c>
      <c r="CK188" s="106">
        <v>3124.999999999995</v>
      </c>
      <c r="CL188" s="106">
        <v>3124.999999999995</v>
      </c>
      <c r="CM188" s="106">
        <v>3124.999999999995</v>
      </c>
      <c r="CN188" s="106">
        <v>3124.9995000000004</v>
      </c>
      <c r="CO188" s="106">
        <v>0</v>
      </c>
      <c r="CP188" s="106">
        <v>3124.999999999995</v>
      </c>
      <c r="CQ188" s="106">
        <v>3124.9995000000004</v>
      </c>
      <c r="CR188" s="106">
        <v>0</v>
      </c>
      <c r="CS188" s="106">
        <f t="shared" ref="CS188:CS192" si="2260">+SUM(CG188:CR188)</f>
        <v>31249.998999999967</v>
      </c>
      <c r="CT188" s="16" t="str">
        <f t="shared" si="1536"/>
        <v>Audit Fees</v>
      </c>
      <c r="CU188" s="106">
        <f>+VLOOKUP($BD188,'Jan-25'!$A:$J,6,0)</f>
        <v>3124.7999999999997</v>
      </c>
      <c r="CV188" s="106">
        <f>+VLOOKUP($BD188,'Feb-25'!$A:$J,6,0)</f>
        <v>3124.7999999999997</v>
      </c>
      <c r="CW188" s="106">
        <f>+VLOOKUP($BD188,'Mar-25'!$A:$J,6,0)</f>
        <v>3124.7999999999997</v>
      </c>
      <c r="CX188" s="106">
        <f>+VLOOKUP($BD188,'Apr-25'!$A:$J,6,0)</f>
        <v>3124.7999999999997</v>
      </c>
      <c r="CY188" s="106">
        <f>+VLOOKUP($BD188,'May-25'!$A:$J,6,0)</f>
        <v>3124.7999999999997</v>
      </c>
      <c r="CZ188" s="106">
        <f>+VLOOKUP($BD188,'June-25'!$A:$J,6,0)</f>
        <v>3124.7999999999997</v>
      </c>
      <c r="DA188" s="106">
        <f>+VLOOKUP($BD188,'July-25'!$A:$J,6,0)</f>
        <v>3124.7999999999997</v>
      </c>
      <c r="DB188" s="106">
        <f>+VLOOKUP($BD188,'Aug-25'!$A:$J,6,0)</f>
        <v>3124.7999999999997</v>
      </c>
      <c r="DC188" s="106">
        <f>+VLOOKUP($BD188,'Sep-25'!$A:$J,6,0)</f>
        <v>3124.7999999999997</v>
      </c>
      <c r="DD188" s="106">
        <f>+VLOOKUP($BD188,'Oct-25'!$A:$J,6,0)</f>
        <v>3124.7999999999997</v>
      </c>
      <c r="DE188" s="106">
        <f>+VLOOKUP($BD188,'Nov-25'!$A:$J,6,0)</f>
        <v>0</v>
      </c>
      <c r="DF188" s="106">
        <f>+VLOOKUP($BD188,'Dec-25'!$A:$J,6,0)</f>
        <v>0</v>
      </c>
      <c r="DG188" s="106">
        <f t="shared" ref="DG188:DG192" si="2261">+SUM(CU188:DF188)</f>
        <v>31247.999999999996</v>
      </c>
      <c r="DH188" s="118">
        <f t="shared" si="1881"/>
        <v>0</v>
      </c>
      <c r="DI188" s="106">
        <f>+_xlfn.XLOOKUP($CT188,Budget!$A:$A,Budget!BQ:BQ)</f>
        <v>3124.7999999999997</v>
      </c>
      <c r="DJ188" s="106">
        <f>+_xlfn.XLOOKUP($CT188,Budget!$A:$A,Budget!BR:BR)</f>
        <v>3124.7999999999997</v>
      </c>
      <c r="DK188" s="106">
        <f>+_xlfn.XLOOKUP($CT188,Budget!$A:$A,Budget!BS:BS)</f>
        <v>3124.7999999999997</v>
      </c>
      <c r="DL188" s="106">
        <f>+_xlfn.XLOOKUP($CT188,Budget!$A:$A,Budget!BT:BT)</f>
        <v>3124.7999999999997</v>
      </c>
      <c r="DM188" s="106">
        <f>+_xlfn.XLOOKUP($CT188,Budget!$A:$A,Budget!BU:BU)</f>
        <v>3124.7999999999997</v>
      </c>
      <c r="DN188" s="106">
        <f>+_xlfn.XLOOKUP($CT188,Budget!$A:$A,Budget!BV:BV)</f>
        <v>3124.7999999999997</v>
      </c>
      <c r="DO188" s="106">
        <f>+_xlfn.XLOOKUP($CT188,Budget!$A:$A,Budget!BW:BW)</f>
        <v>3124.7999999999997</v>
      </c>
      <c r="DP188" s="106">
        <f>+_xlfn.XLOOKUP($CT188,Budget!$A:$A,Budget!BX:BX)</f>
        <v>3124.7999999999997</v>
      </c>
      <c r="DQ188" s="106">
        <f>+_xlfn.XLOOKUP($CT188,Budget!$A:$A,Budget!BY:BY)</f>
        <v>3124.7999999999997</v>
      </c>
      <c r="DR188" s="106">
        <f>+_xlfn.XLOOKUP($CT188,Budget!$A:$A,Budget!BZ:BZ)</f>
        <v>3124.7999999999997</v>
      </c>
      <c r="DS188" s="106">
        <f>+_xlfn.XLOOKUP($CT188,Budget!$A:$A,Budget!CA:CA)</f>
        <v>3124.7999999999997</v>
      </c>
      <c r="DT188" s="106">
        <f>+_xlfn.XLOOKUP($CT188,Budget!$A:$A,Budget!CB:CB)</f>
        <v>3124.7999999999997</v>
      </c>
      <c r="DU188" s="106">
        <f t="shared" ref="DU188:DU192" si="2262">+SUM(DI188:DT188)</f>
        <v>37497.599999999999</v>
      </c>
    </row>
    <row r="189" spans="1:125" ht="14.45" hidden="1" customHeight="1" outlineLevel="2">
      <c r="A189" s="106">
        <f t="shared" si="2218"/>
        <v>14575</v>
      </c>
      <c r="B189" s="106">
        <f t="shared" si="2219"/>
        <v>14575</v>
      </c>
      <c r="C189" s="106">
        <f t="shared" si="2220"/>
        <v>14575</v>
      </c>
      <c r="D189" s="106">
        <f t="shared" si="2221"/>
        <v>14575</v>
      </c>
      <c r="E189" s="106">
        <f t="shared" si="2222"/>
        <v>14575</v>
      </c>
      <c r="F189" s="106">
        <f t="shared" si="2223"/>
        <v>14575</v>
      </c>
      <c r="G189" s="106">
        <f t="shared" si="2224"/>
        <v>14575</v>
      </c>
      <c r="H189" s="106">
        <f t="shared" si="2225"/>
        <v>8250</v>
      </c>
      <c r="I189" s="106">
        <f t="shared" si="2226"/>
        <v>8250</v>
      </c>
      <c r="J189" s="106">
        <f t="shared" si="2227"/>
        <v>8250</v>
      </c>
      <c r="K189" s="106">
        <f t="shared" si="2228"/>
        <v>8250</v>
      </c>
      <c r="L189" s="106">
        <f t="shared" si="2229"/>
        <v>8250</v>
      </c>
      <c r="M189" s="106">
        <f t="shared" si="2230"/>
        <v>143275</v>
      </c>
      <c r="N189" s="16" t="s">
        <v>158</v>
      </c>
      <c r="O189" s="106">
        <f t="shared" si="2231"/>
        <v>8250</v>
      </c>
      <c r="P189" s="106">
        <f t="shared" si="2232"/>
        <v>0</v>
      </c>
      <c r="Q189" s="106">
        <f t="shared" si="2233"/>
        <v>0</v>
      </c>
      <c r="R189" s="106">
        <f t="shared" si="2234"/>
        <v>40000</v>
      </c>
      <c r="S189" s="106">
        <f t="shared" si="2235"/>
        <v>8250</v>
      </c>
      <c r="T189" s="106">
        <f t="shared" si="2236"/>
        <v>43000</v>
      </c>
      <c r="U189" s="106">
        <f t="shared" si="2237"/>
        <v>8250</v>
      </c>
      <c r="V189" s="106">
        <f t="shared" si="2238"/>
        <v>18000</v>
      </c>
      <c r="W189" s="106">
        <f t="shared" si="2239"/>
        <v>15000</v>
      </c>
      <c r="X189" s="106">
        <f t="shared" si="2240"/>
        <v>15000</v>
      </c>
      <c r="Y189" s="106">
        <f t="shared" si="2241"/>
        <v>0</v>
      </c>
      <c r="Z189" s="106">
        <f t="shared" si="2242"/>
        <v>0</v>
      </c>
      <c r="AA189" s="106">
        <f t="shared" si="2243"/>
        <v>155750</v>
      </c>
      <c r="AB189" s="118">
        <f t="shared" si="1861"/>
        <v>2.9159519725557463E-2</v>
      </c>
      <c r="AC189" s="106">
        <f t="shared" si="2244"/>
        <v>14575</v>
      </c>
      <c r="AD189" s="106">
        <f t="shared" si="2245"/>
        <v>14575</v>
      </c>
      <c r="AE189" s="106">
        <f t="shared" si="2246"/>
        <v>14575</v>
      </c>
      <c r="AF189" s="106">
        <f t="shared" si="2247"/>
        <v>14575</v>
      </c>
      <c r="AG189" s="106">
        <f t="shared" si="2248"/>
        <v>14575</v>
      </c>
      <c r="AH189" s="106">
        <f t="shared" si="2249"/>
        <v>14575</v>
      </c>
      <c r="AI189" s="106">
        <f t="shared" si="2250"/>
        <v>14575</v>
      </c>
      <c r="AJ189" s="106">
        <f t="shared" si="2251"/>
        <v>14575</v>
      </c>
      <c r="AK189" s="106">
        <f t="shared" si="2252"/>
        <v>14575</v>
      </c>
      <c r="AL189" s="106">
        <f t="shared" si="2253"/>
        <v>14575</v>
      </c>
      <c r="AM189" s="106">
        <f t="shared" si="2254"/>
        <v>14575</v>
      </c>
      <c r="AN189" s="106">
        <f t="shared" si="2255"/>
        <v>14575</v>
      </c>
      <c r="AO189" s="106">
        <f t="shared" si="2256"/>
        <v>174900</v>
      </c>
      <c r="AQ189" s="106">
        <v>10600</v>
      </c>
      <c r="AR189" s="106">
        <v>10600</v>
      </c>
      <c r="AS189" s="106">
        <v>10600</v>
      </c>
      <c r="AT189" s="106">
        <v>10600</v>
      </c>
      <c r="AU189" s="106">
        <v>10600</v>
      </c>
      <c r="AV189" s="106">
        <v>10600</v>
      </c>
      <c r="AW189" s="106">
        <v>10600</v>
      </c>
      <c r="AX189" s="106">
        <v>6000</v>
      </c>
      <c r="AY189" s="106">
        <v>6000</v>
      </c>
      <c r="AZ189" s="106">
        <v>6000</v>
      </c>
      <c r="BA189" s="106">
        <v>6000</v>
      </c>
      <c r="BB189" s="106">
        <v>6000</v>
      </c>
      <c r="BC189" s="106">
        <f t="shared" si="2257"/>
        <v>104200</v>
      </c>
      <c r="BD189" s="16" t="str">
        <f t="shared" si="1532"/>
        <v>Consultancy Fees</v>
      </c>
      <c r="BE189" s="106">
        <f>+VLOOKUP($BD189,'Jan-25'!$A:$J,2,0)</f>
        <v>6000</v>
      </c>
      <c r="BF189" s="106">
        <f>+VLOOKUP($BD189,'Feb-25'!$A:$J,2,0)</f>
        <v>0</v>
      </c>
      <c r="BG189" s="106">
        <f>+VLOOKUP($BD189,'Mar-25'!$A:$J,2,0)</f>
        <v>0</v>
      </c>
      <c r="BH189" s="106">
        <f>+VLOOKUP($BD189,'Apr-25'!$A:$J,2,0)</f>
        <v>40000</v>
      </c>
      <c r="BI189" s="106">
        <f>+VLOOKUP($BD189,'May-25'!$A:$J,2,0)</f>
        <v>6000</v>
      </c>
      <c r="BJ189" s="106">
        <f>+VLOOKUP($BD189,'June-25'!$A:$J,2,0)</f>
        <v>43000</v>
      </c>
      <c r="BK189" s="106">
        <f>+VLOOKUP($BD189,'July-25'!$A:$J,2,0)</f>
        <v>6000</v>
      </c>
      <c r="BL189" s="106">
        <f>+VLOOKUP($BD189,'Aug-25'!$A:$J,2,0)</f>
        <v>18000</v>
      </c>
      <c r="BM189" s="106">
        <f>+VLOOKUP($BD189,'Sep-25'!$A:$J,2,0)</f>
        <v>15000</v>
      </c>
      <c r="BN189" s="106">
        <f>+VLOOKUP($BD189,'Oct-25'!$A:$J,2,0)</f>
        <v>15000</v>
      </c>
      <c r="BO189" s="106">
        <f>+VLOOKUP($BD189,'Nov-25'!$A:$J,2,0)</f>
        <v>0</v>
      </c>
      <c r="BP189" s="106">
        <f>+VLOOKUP($BD189,'Dec-25'!$A:$J,2,0)</f>
        <v>0</v>
      </c>
      <c r="BQ189" s="106">
        <f t="shared" si="2258"/>
        <v>149000</v>
      </c>
      <c r="BR189" s="118">
        <f t="shared" si="1877"/>
        <v>0.41509433962264153</v>
      </c>
      <c r="BS189" s="106" cm="1">
        <f t="array" ref="BS189:CD189">+_xlfn.XLOOKUP(BD189,Budget!A:A,Budget!Q:AB)</f>
        <v>10600</v>
      </c>
      <c r="BT189" s="106">
        <v>10600</v>
      </c>
      <c r="BU189" s="106">
        <v>10600</v>
      </c>
      <c r="BV189" s="106">
        <v>10600</v>
      </c>
      <c r="BW189" s="106">
        <v>10600</v>
      </c>
      <c r="BX189" s="106">
        <v>10600</v>
      </c>
      <c r="BY189" s="106">
        <v>10600</v>
      </c>
      <c r="BZ189" s="106">
        <v>10600</v>
      </c>
      <c r="CA189" s="106">
        <v>10600</v>
      </c>
      <c r="CB189" s="106">
        <v>10600</v>
      </c>
      <c r="CC189" s="106">
        <v>10600</v>
      </c>
      <c r="CD189" s="106">
        <v>10600</v>
      </c>
      <c r="CE189" s="106">
        <f t="shared" si="2259"/>
        <v>127200</v>
      </c>
      <c r="CF189" s="22"/>
      <c r="CG189" s="106">
        <v>3975</v>
      </c>
      <c r="CH189" s="106">
        <v>3975</v>
      </c>
      <c r="CI189" s="106">
        <v>3975</v>
      </c>
      <c r="CJ189" s="106">
        <v>3975</v>
      </c>
      <c r="CK189" s="106">
        <v>3975</v>
      </c>
      <c r="CL189" s="106">
        <v>3975</v>
      </c>
      <c r="CM189" s="106">
        <v>3975</v>
      </c>
      <c r="CN189" s="106">
        <v>2250</v>
      </c>
      <c r="CO189" s="106">
        <v>2250</v>
      </c>
      <c r="CP189" s="106">
        <v>2250</v>
      </c>
      <c r="CQ189" s="106">
        <v>2250</v>
      </c>
      <c r="CR189" s="106">
        <v>2250</v>
      </c>
      <c r="CS189" s="106">
        <f t="shared" si="2260"/>
        <v>39075</v>
      </c>
      <c r="CT189" s="16" t="str">
        <f t="shared" si="1536"/>
        <v>Consultancy Fees</v>
      </c>
      <c r="CU189" s="106">
        <f>+VLOOKUP($BD189,'Jan-25'!$A:$J,6,0)</f>
        <v>2250</v>
      </c>
      <c r="CV189" s="106">
        <f>+VLOOKUP($BD189,'Feb-25'!$A:$J,6,0)</f>
        <v>0</v>
      </c>
      <c r="CW189" s="106">
        <f>+VLOOKUP($BD189,'Mar-25'!$A:$J,6,0)</f>
        <v>0</v>
      </c>
      <c r="CX189" s="106">
        <f>+VLOOKUP($BD189,'Apr-25'!$A:$J,6,0)</f>
        <v>0</v>
      </c>
      <c r="CY189" s="106">
        <f>+VLOOKUP($BD189,'May-25'!$A:$J,6,0)</f>
        <v>2250</v>
      </c>
      <c r="CZ189" s="106">
        <f>+VLOOKUP($BD189,'June-25'!$A:$J,6,0)</f>
        <v>0</v>
      </c>
      <c r="DA189" s="106">
        <f>+VLOOKUP($BD189,'July-25'!$A:$J,6,0)</f>
        <v>2250</v>
      </c>
      <c r="DB189" s="106">
        <f>+VLOOKUP($BD189,'Aug-25'!$A:$J,6,0)</f>
        <v>0</v>
      </c>
      <c r="DC189" s="106">
        <f>+VLOOKUP($BD189,'Sep-25'!$A:$J,6,0)</f>
        <v>0</v>
      </c>
      <c r="DD189" s="106">
        <f>+VLOOKUP($BD189,'Oct-25'!$A:$J,6,0)</f>
        <v>0</v>
      </c>
      <c r="DE189" s="106">
        <f>+VLOOKUP($BD189,'Nov-25'!$A:$J,6,0)</f>
        <v>0</v>
      </c>
      <c r="DF189" s="106">
        <f>+VLOOKUP($BD189,'Dec-25'!$A:$J,6,0)</f>
        <v>0</v>
      </c>
      <c r="DG189" s="106">
        <f t="shared" si="2261"/>
        <v>6750</v>
      </c>
      <c r="DH189" s="118">
        <f t="shared" si="1881"/>
        <v>-1</v>
      </c>
      <c r="DI189" s="106">
        <f>+_xlfn.XLOOKUP($CT189,Budget!$A:$A,Budget!BQ:BQ)</f>
        <v>3975</v>
      </c>
      <c r="DJ189" s="106">
        <f>+_xlfn.XLOOKUP($CT189,Budget!$A:$A,Budget!BR:BR)</f>
        <v>3975</v>
      </c>
      <c r="DK189" s="106">
        <f>+_xlfn.XLOOKUP($CT189,Budget!$A:$A,Budget!BS:BS)</f>
        <v>3975</v>
      </c>
      <c r="DL189" s="106">
        <f>+_xlfn.XLOOKUP($CT189,Budget!$A:$A,Budget!BT:BT)</f>
        <v>3975</v>
      </c>
      <c r="DM189" s="106">
        <f>+_xlfn.XLOOKUP($CT189,Budget!$A:$A,Budget!BU:BU)</f>
        <v>3975</v>
      </c>
      <c r="DN189" s="106">
        <f>+_xlfn.XLOOKUP($CT189,Budget!$A:$A,Budget!BV:BV)</f>
        <v>3975</v>
      </c>
      <c r="DO189" s="106">
        <f>+_xlfn.XLOOKUP($CT189,Budget!$A:$A,Budget!BW:BW)</f>
        <v>3975</v>
      </c>
      <c r="DP189" s="106">
        <f>+_xlfn.XLOOKUP($CT189,Budget!$A:$A,Budget!BX:BX)</f>
        <v>3975</v>
      </c>
      <c r="DQ189" s="106">
        <f>+_xlfn.XLOOKUP($CT189,Budget!$A:$A,Budget!BY:BY)</f>
        <v>3975</v>
      </c>
      <c r="DR189" s="106">
        <f>+_xlfn.XLOOKUP($CT189,Budget!$A:$A,Budget!BZ:BZ)</f>
        <v>3975</v>
      </c>
      <c r="DS189" s="106">
        <f>+_xlfn.XLOOKUP($CT189,Budget!$A:$A,Budget!CA:CA)</f>
        <v>3975</v>
      </c>
      <c r="DT189" s="106">
        <f>+_xlfn.XLOOKUP($CT189,Budget!$A:$A,Budget!CB:CB)</f>
        <v>3975</v>
      </c>
      <c r="DU189" s="106">
        <f t="shared" si="2262"/>
        <v>47700</v>
      </c>
    </row>
    <row r="190" spans="1:125" ht="14.45" hidden="1" customHeight="1" outlineLevel="2">
      <c r="A190" s="106">
        <f t="shared" si="2218"/>
        <v>0</v>
      </c>
      <c r="B190" s="106">
        <f t="shared" si="2219"/>
        <v>0</v>
      </c>
      <c r="C190" s="106">
        <f t="shared" si="2220"/>
        <v>0</v>
      </c>
      <c r="D190" s="106">
        <f t="shared" si="2221"/>
        <v>0</v>
      </c>
      <c r="E190" s="106">
        <f t="shared" si="2222"/>
        <v>5000</v>
      </c>
      <c r="F190" s="106">
        <f t="shared" si="2223"/>
        <v>2500</v>
      </c>
      <c r="G190" s="106">
        <f t="shared" si="2224"/>
        <v>0</v>
      </c>
      <c r="H190" s="106">
        <f t="shared" si="2225"/>
        <v>60000</v>
      </c>
      <c r="I190" s="106">
        <f t="shared" si="2226"/>
        <v>70000</v>
      </c>
      <c r="J190" s="106">
        <f t="shared" si="2227"/>
        <v>0</v>
      </c>
      <c r="K190" s="106">
        <f t="shared" si="2228"/>
        <v>0</v>
      </c>
      <c r="L190" s="106">
        <f t="shared" si="2229"/>
        <v>0</v>
      </c>
      <c r="M190" s="106">
        <f t="shared" si="2230"/>
        <v>137500</v>
      </c>
      <c r="N190" s="16" t="s">
        <v>159</v>
      </c>
      <c r="O190" s="106">
        <f t="shared" si="2231"/>
        <v>0</v>
      </c>
      <c r="P190" s="106">
        <f t="shared" si="2232"/>
        <v>0</v>
      </c>
      <c r="Q190" s="106">
        <f t="shared" si="2233"/>
        <v>0</v>
      </c>
      <c r="R190" s="106">
        <f t="shared" si="2234"/>
        <v>0</v>
      </c>
      <c r="S190" s="106">
        <f t="shared" si="2235"/>
        <v>0</v>
      </c>
      <c r="T190" s="106">
        <f t="shared" si="2236"/>
        <v>0</v>
      </c>
      <c r="U190" s="106">
        <f t="shared" si="2237"/>
        <v>0</v>
      </c>
      <c r="V190" s="106">
        <f t="shared" si="2238"/>
        <v>0</v>
      </c>
      <c r="W190" s="106">
        <f t="shared" si="2239"/>
        <v>0</v>
      </c>
      <c r="X190" s="106">
        <f t="shared" si="2240"/>
        <v>0</v>
      </c>
      <c r="Y190" s="106">
        <f t="shared" si="2241"/>
        <v>0</v>
      </c>
      <c r="Z190" s="106">
        <f t="shared" si="2242"/>
        <v>0</v>
      </c>
      <c r="AA190" s="106">
        <f t="shared" si="2243"/>
        <v>0</v>
      </c>
      <c r="AB190" s="118">
        <f t="shared" si="1861"/>
        <v>-1</v>
      </c>
      <c r="AC190" s="106">
        <f t="shared" si="2244"/>
        <v>9166.85</v>
      </c>
      <c r="AD190" s="106">
        <f t="shared" si="2245"/>
        <v>9166.85</v>
      </c>
      <c r="AE190" s="106">
        <f t="shared" si="2246"/>
        <v>9166.85</v>
      </c>
      <c r="AF190" s="106">
        <f t="shared" si="2247"/>
        <v>9166.85</v>
      </c>
      <c r="AG190" s="106">
        <f t="shared" si="2248"/>
        <v>9166.85</v>
      </c>
      <c r="AH190" s="106">
        <f t="shared" si="2249"/>
        <v>9166.85</v>
      </c>
      <c r="AI190" s="106">
        <f t="shared" si="2250"/>
        <v>9166.85</v>
      </c>
      <c r="AJ190" s="106">
        <f t="shared" si="2251"/>
        <v>9166.85</v>
      </c>
      <c r="AK190" s="106">
        <f t="shared" si="2252"/>
        <v>9166.85</v>
      </c>
      <c r="AL190" s="106">
        <f t="shared" si="2253"/>
        <v>9166.85</v>
      </c>
      <c r="AM190" s="106">
        <f t="shared" si="2254"/>
        <v>9166.85</v>
      </c>
      <c r="AN190" s="106">
        <f t="shared" si="2255"/>
        <v>9166.85</v>
      </c>
      <c r="AO190" s="106">
        <f t="shared" si="2256"/>
        <v>110002.20000000003</v>
      </c>
      <c r="AQ190" s="106">
        <v>0</v>
      </c>
      <c r="AR190" s="106">
        <v>0</v>
      </c>
      <c r="AS190" s="106">
        <v>0</v>
      </c>
      <c r="AT190" s="106">
        <v>0</v>
      </c>
      <c r="AU190" s="106">
        <v>5000</v>
      </c>
      <c r="AV190" s="106">
        <v>2500</v>
      </c>
      <c r="AW190" s="106">
        <v>0</v>
      </c>
      <c r="AX190" s="106">
        <v>60000</v>
      </c>
      <c r="AY190" s="106">
        <v>70000</v>
      </c>
      <c r="AZ190" s="106">
        <v>0</v>
      </c>
      <c r="BA190" s="106">
        <v>0</v>
      </c>
      <c r="BB190" s="106">
        <v>0</v>
      </c>
      <c r="BC190" s="106">
        <f t="shared" si="2257"/>
        <v>137500</v>
      </c>
      <c r="BD190" s="16" t="str">
        <f t="shared" si="1532"/>
        <v>Legal Fees</v>
      </c>
      <c r="BE190" s="106">
        <f>+VLOOKUP($BD190,'Jan-25'!$A:$J,2,0)</f>
        <v>0</v>
      </c>
      <c r="BF190" s="106">
        <f>+VLOOKUP($BD190,'Feb-25'!$A:$J,2,0)</f>
        <v>0</v>
      </c>
      <c r="BG190" s="106">
        <f>+VLOOKUP($BD190,'Mar-25'!$A:$J,2,0)</f>
        <v>0</v>
      </c>
      <c r="BH190" s="106">
        <f>+VLOOKUP($BD190,'Apr-25'!$A:$J,2,0)</f>
        <v>0</v>
      </c>
      <c r="BI190" s="106">
        <f>+VLOOKUP($BD190,'May-25'!$A:$J,2,0)</f>
        <v>0</v>
      </c>
      <c r="BJ190" s="106">
        <f>+VLOOKUP($BD190,'June-25'!$A:$J,2,0)</f>
        <v>0</v>
      </c>
      <c r="BK190" s="106">
        <f>+VLOOKUP($BD190,'July-25'!$A:$J,2,0)</f>
        <v>0</v>
      </c>
      <c r="BL190" s="106">
        <f>+VLOOKUP($BD190,'Aug-25'!$A:$J,2,0)</f>
        <v>0</v>
      </c>
      <c r="BM190" s="106">
        <f>+VLOOKUP($BD190,'Sep-25'!$A:$J,2,0)</f>
        <v>0</v>
      </c>
      <c r="BN190" s="106">
        <f>+VLOOKUP($BD190,'Oct-25'!$A:$J,2,0)</f>
        <v>0</v>
      </c>
      <c r="BO190" s="106">
        <f>+VLOOKUP($BD190,'Nov-25'!$A:$J,2,0)</f>
        <v>0</v>
      </c>
      <c r="BP190" s="106">
        <f>+VLOOKUP($BD190,'Dec-25'!$A:$J,2,0)</f>
        <v>0</v>
      </c>
      <c r="BQ190" s="106">
        <f t="shared" si="2258"/>
        <v>0</v>
      </c>
      <c r="BR190" s="118">
        <f t="shared" si="1877"/>
        <v>-1</v>
      </c>
      <c r="BS190" s="106" cm="1">
        <f t="array" ref="BS190:CD190">+_xlfn.XLOOKUP(BD190,Budget!A:A,Budget!Q:AB)</f>
        <v>6666.8</v>
      </c>
      <c r="BT190" s="106">
        <v>6666.8</v>
      </c>
      <c r="BU190" s="106">
        <v>6666.8</v>
      </c>
      <c r="BV190" s="106">
        <v>6666.8</v>
      </c>
      <c r="BW190" s="106">
        <v>6666.8</v>
      </c>
      <c r="BX190" s="106">
        <v>6666.8</v>
      </c>
      <c r="BY190" s="106">
        <v>6666.8</v>
      </c>
      <c r="BZ190" s="106">
        <v>6666.8</v>
      </c>
      <c r="CA190" s="106">
        <v>6666.8</v>
      </c>
      <c r="CB190" s="106">
        <v>6666.8</v>
      </c>
      <c r="CC190" s="106">
        <v>6666.8</v>
      </c>
      <c r="CD190" s="106">
        <v>6666.8</v>
      </c>
      <c r="CE190" s="106">
        <f t="shared" si="2259"/>
        <v>80001.60000000002</v>
      </c>
      <c r="CF190" s="22"/>
      <c r="CG190" s="106">
        <v>0</v>
      </c>
      <c r="CH190" s="106">
        <v>0</v>
      </c>
      <c r="CI190" s="106">
        <v>0</v>
      </c>
      <c r="CJ190" s="106">
        <v>0</v>
      </c>
      <c r="CK190" s="106">
        <v>0</v>
      </c>
      <c r="CL190" s="106">
        <v>0</v>
      </c>
      <c r="CM190" s="106">
        <v>0</v>
      </c>
      <c r="CN190" s="106">
        <v>0</v>
      </c>
      <c r="CO190" s="106">
        <v>0</v>
      </c>
      <c r="CP190" s="106">
        <v>0</v>
      </c>
      <c r="CQ190" s="106">
        <v>0</v>
      </c>
      <c r="CR190" s="106">
        <v>0</v>
      </c>
      <c r="CS190" s="106">
        <f t="shared" si="2260"/>
        <v>0</v>
      </c>
      <c r="CT190" s="16" t="str">
        <f t="shared" si="1536"/>
        <v>Legal Fees</v>
      </c>
      <c r="CU190" s="106">
        <f>+VLOOKUP($BD190,'Jan-25'!$A:$J,6,0)</f>
        <v>0</v>
      </c>
      <c r="CV190" s="106">
        <f>+VLOOKUP($BD190,'Feb-25'!$A:$J,6,0)</f>
        <v>0</v>
      </c>
      <c r="CW190" s="106">
        <f>+VLOOKUP($BD190,'Mar-25'!$A:$J,6,0)</f>
        <v>0</v>
      </c>
      <c r="CX190" s="106">
        <f>+VLOOKUP($BD190,'Apr-25'!$A:$J,6,0)</f>
        <v>0</v>
      </c>
      <c r="CY190" s="106">
        <f>+VLOOKUP($BD190,'May-25'!$A:$J,6,0)</f>
        <v>0</v>
      </c>
      <c r="CZ190" s="106">
        <f>+VLOOKUP($BD190,'June-25'!$A:$J,6,0)</f>
        <v>0</v>
      </c>
      <c r="DA190" s="106">
        <f>+VLOOKUP($BD190,'July-25'!$A:$J,6,0)</f>
        <v>0</v>
      </c>
      <c r="DB190" s="106">
        <f>+VLOOKUP($BD190,'Aug-25'!$A:$J,6,0)</f>
        <v>0</v>
      </c>
      <c r="DC190" s="106">
        <f>+VLOOKUP($BD190,'Sep-25'!$A:$J,6,0)</f>
        <v>0</v>
      </c>
      <c r="DD190" s="106">
        <f>+VLOOKUP($BD190,'Oct-25'!$A:$J,6,0)</f>
        <v>0</v>
      </c>
      <c r="DE190" s="106">
        <f>+VLOOKUP($BD190,'Nov-25'!$A:$J,6,0)</f>
        <v>0</v>
      </c>
      <c r="DF190" s="106">
        <f>+VLOOKUP($BD190,'Dec-25'!$A:$J,6,0)</f>
        <v>0</v>
      </c>
      <c r="DG190" s="106">
        <f t="shared" si="2261"/>
        <v>0</v>
      </c>
      <c r="DH190" s="118">
        <f t="shared" si="1881"/>
        <v>-1</v>
      </c>
      <c r="DI190" s="106">
        <f>+_xlfn.XLOOKUP($CT190,Budget!$A:$A,Budget!BQ:BQ)</f>
        <v>2500.0499999999997</v>
      </c>
      <c r="DJ190" s="106">
        <f>+_xlfn.XLOOKUP($CT190,Budget!$A:$A,Budget!BR:BR)</f>
        <v>2500.0499999999997</v>
      </c>
      <c r="DK190" s="106">
        <f>+_xlfn.XLOOKUP($CT190,Budget!$A:$A,Budget!BS:BS)</f>
        <v>2500.0499999999997</v>
      </c>
      <c r="DL190" s="106">
        <f>+_xlfn.XLOOKUP($CT190,Budget!$A:$A,Budget!BT:BT)</f>
        <v>2500.0499999999997</v>
      </c>
      <c r="DM190" s="106">
        <f>+_xlfn.XLOOKUP($CT190,Budget!$A:$A,Budget!BU:BU)</f>
        <v>2500.0499999999997</v>
      </c>
      <c r="DN190" s="106">
        <f>+_xlfn.XLOOKUP($CT190,Budget!$A:$A,Budget!BV:BV)</f>
        <v>2500.0499999999997</v>
      </c>
      <c r="DO190" s="106">
        <f>+_xlfn.XLOOKUP($CT190,Budget!$A:$A,Budget!BW:BW)</f>
        <v>2500.0499999999997</v>
      </c>
      <c r="DP190" s="106">
        <f>+_xlfn.XLOOKUP($CT190,Budget!$A:$A,Budget!BX:BX)</f>
        <v>2500.0499999999997</v>
      </c>
      <c r="DQ190" s="106">
        <f>+_xlfn.XLOOKUP($CT190,Budget!$A:$A,Budget!BY:BY)</f>
        <v>2500.0499999999997</v>
      </c>
      <c r="DR190" s="106">
        <f>+_xlfn.XLOOKUP($CT190,Budget!$A:$A,Budget!BZ:BZ)</f>
        <v>2500.0499999999997</v>
      </c>
      <c r="DS190" s="106">
        <f>+_xlfn.XLOOKUP($CT190,Budget!$A:$A,Budget!CA:CA)</f>
        <v>2500.0499999999997</v>
      </c>
      <c r="DT190" s="106">
        <f>+_xlfn.XLOOKUP($CT190,Budget!$A:$A,Budget!CB:CB)</f>
        <v>2500.0499999999997</v>
      </c>
      <c r="DU190" s="106">
        <f t="shared" si="2262"/>
        <v>30000.599999999995</v>
      </c>
    </row>
    <row r="191" spans="1:125" ht="14.45" hidden="1" customHeight="1" outlineLevel="2">
      <c r="A191" s="106">
        <f t="shared" si="2218"/>
        <v>4583.3333333333321</v>
      </c>
      <c r="B191" s="106">
        <f t="shared" si="2219"/>
        <v>13139.3315</v>
      </c>
      <c r="C191" s="106">
        <f t="shared" si="2220"/>
        <v>263139.33149999997</v>
      </c>
      <c r="D191" s="106">
        <f t="shared" si="2221"/>
        <v>13139.3315</v>
      </c>
      <c r="E191" s="106">
        <f t="shared" si="2222"/>
        <v>13139.3315</v>
      </c>
      <c r="F191" s="106">
        <f t="shared" si="2223"/>
        <v>13139.3315</v>
      </c>
      <c r="G191" s="106">
        <f t="shared" si="2224"/>
        <v>13139.3315</v>
      </c>
      <c r="H191" s="106">
        <f t="shared" si="2225"/>
        <v>13139.150000000001</v>
      </c>
      <c r="I191" s="106">
        <f t="shared" si="2226"/>
        <v>28139.15</v>
      </c>
      <c r="J191" s="106">
        <f t="shared" si="2227"/>
        <v>23139.15</v>
      </c>
      <c r="K191" s="106">
        <f t="shared" si="2228"/>
        <v>15139.150000000001</v>
      </c>
      <c r="L191" s="106">
        <f t="shared" si="2229"/>
        <v>13139.150000000001</v>
      </c>
      <c r="M191" s="106">
        <f t="shared" si="2230"/>
        <v>426115.07233333332</v>
      </c>
      <c r="N191" s="16" t="s">
        <v>160</v>
      </c>
      <c r="O191" s="106">
        <f t="shared" si="2231"/>
        <v>13139.150000000001</v>
      </c>
      <c r="P191" s="106">
        <f t="shared" si="2232"/>
        <v>13139.150000000001</v>
      </c>
      <c r="Q191" s="106">
        <f t="shared" si="2233"/>
        <v>102000</v>
      </c>
      <c r="R191" s="106">
        <f t="shared" si="2234"/>
        <v>10000</v>
      </c>
      <c r="S191" s="106">
        <f t="shared" si="2235"/>
        <v>4583.1500000000005</v>
      </c>
      <c r="T191" s="106">
        <f t="shared" si="2236"/>
        <v>59583.149999999994</v>
      </c>
      <c r="U191" s="106">
        <f t="shared" si="2237"/>
        <v>4583.1500000000005</v>
      </c>
      <c r="V191" s="106">
        <f t="shared" si="2238"/>
        <v>20000</v>
      </c>
      <c r="W191" s="106">
        <f t="shared" si="2239"/>
        <v>0</v>
      </c>
      <c r="X191" s="106">
        <f t="shared" si="2240"/>
        <v>4583.1500000000005</v>
      </c>
      <c r="Y191" s="106">
        <f t="shared" si="2241"/>
        <v>0</v>
      </c>
      <c r="Z191" s="106">
        <f t="shared" si="2242"/>
        <v>0</v>
      </c>
      <c r="AA191" s="106">
        <f t="shared" si="2243"/>
        <v>231610.89999999997</v>
      </c>
      <c r="AB191" s="118">
        <f t="shared" si="1861"/>
        <v>-0.50660193025045885</v>
      </c>
      <c r="AC191" s="106">
        <f t="shared" si="2244"/>
        <v>9288.9500000000007</v>
      </c>
      <c r="AD191" s="106">
        <f t="shared" si="2245"/>
        <v>9288.9500000000007</v>
      </c>
      <c r="AE191" s="106">
        <f t="shared" si="2246"/>
        <v>9288.9500000000007</v>
      </c>
      <c r="AF191" s="106">
        <f t="shared" si="2247"/>
        <v>9288.9500000000007</v>
      </c>
      <c r="AG191" s="106">
        <f t="shared" si="2248"/>
        <v>9288.9500000000007</v>
      </c>
      <c r="AH191" s="106">
        <f t="shared" si="2249"/>
        <v>9288.9500000000007</v>
      </c>
      <c r="AI191" s="106">
        <f t="shared" si="2250"/>
        <v>9288.9500000000007</v>
      </c>
      <c r="AJ191" s="106">
        <f t="shared" si="2251"/>
        <v>9288.9500000000007</v>
      </c>
      <c r="AK191" s="106">
        <f t="shared" si="2252"/>
        <v>9288.9500000000007</v>
      </c>
      <c r="AL191" s="106">
        <f t="shared" si="2253"/>
        <v>9288.9500000000007</v>
      </c>
      <c r="AM191" s="106">
        <f t="shared" si="2254"/>
        <v>9288.9500000000007</v>
      </c>
      <c r="AN191" s="106">
        <f t="shared" si="2255"/>
        <v>9288.9500000000007</v>
      </c>
      <c r="AO191" s="106">
        <f t="shared" si="2256"/>
        <v>111467.39999999998</v>
      </c>
      <c r="AQ191" s="106">
        <v>3333.3333333333321</v>
      </c>
      <c r="AR191" s="106">
        <v>9382.3320000000003</v>
      </c>
      <c r="AS191" s="106">
        <v>259382.33199999999</v>
      </c>
      <c r="AT191" s="106">
        <v>9382.3320000000003</v>
      </c>
      <c r="AU191" s="106">
        <v>9382.3320000000003</v>
      </c>
      <c r="AV191" s="106">
        <v>9382.3320000000003</v>
      </c>
      <c r="AW191" s="106">
        <v>9382.3320000000003</v>
      </c>
      <c r="AX191" s="106">
        <v>9382.2000000000007</v>
      </c>
      <c r="AY191" s="106">
        <v>24382.2</v>
      </c>
      <c r="AZ191" s="106">
        <v>19382.2</v>
      </c>
      <c r="BA191" s="106">
        <v>11382.2</v>
      </c>
      <c r="BB191" s="106">
        <v>9382.2000000000007</v>
      </c>
      <c r="BC191" s="106">
        <f t="shared" si="2257"/>
        <v>383538.32533333334</v>
      </c>
      <c r="BD191" s="16" t="str">
        <f t="shared" si="1532"/>
        <v>Other Professional Fees</v>
      </c>
      <c r="BE191" s="106">
        <f>+VLOOKUP($BD191,'Jan-25'!$A:$J,2,0)</f>
        <v>9382.2000000000007</v>
      </c>
      <c r="BF191" s="106">
        <f>+VLOOKUP($BD191,'Feb-25'!$A:$J,2,0)</f>
        <v>9382.2000000000007</v>
      </c>
      <c r="BG191" s="106">
        <f>+VLOOKUP($BD191,'Mar-25'!$A:$J,2,0)</f>
        <v>102000</v>
      </c>
      <c r="BH191" s="106">
        <f>+VLOOKUP($BD191,'Apr-25'!$A:$J,2,0)</f>
        <v>10000</v>
      </c>
      <c r="BI191" s="106">
        <f>+VLOOKUP($BD191,'May-25'!$A:$J,2,0)</f>
        <v>3333.2000000000003</v>
      </c>
      <c r="BJ191" s="106">
        <f>+VLOOKUP($BD191,'June-25'!$A:$J,2,0)</f>
        <v>58333.2</v>
      </c>
      <c r="BK191" s="106">
        <f>+VLOOKUP($BD191,'July-25'!$A:$J,2,0)</f>
        <v>3333.2000000000003</v>
      </c>
      <c r="BL191" s="106">
        <f>+VLOOKUP($BD191,'Aug-25'!$A:$J,2,0)</f>
        <v>20000</v>
      </c>
      <c r="BM191" s="106">
        <f>+VLOOKUP($BD191,'Sep-25'!$A:$J,2,0)</f>
        <v>0</v>
      </c>
      <c r="BN191" s="106">
        <f>+VLOOKUP($BD191,'Oct-25'!$A:$J,2,0)</f>
        <v>3333.2000000000003</v>
      </c>
      <c r="BO191" s="106">
        <f>+VLOOKUP($BD191,'Nov-25'!$A:$J,2,0)</f>
        <v>0</v>
      </c>
      <c r="BP191" s="106">
        <f>+VLOOKUP($BD191,'Dec-25'!$A:$J,2,0)</f>
        <v>0</v>
      </c>
      <c r="BQ191" s="106">
        <f t="shared" si="2258"/>
        <v>219097.2</v>
      </c>
      <c r="BR191" s="118">
        <f t="shared" si="1877"/>
        <v>-0.50660193025045885</v>
      </c>
      <c r="BS191" s="106" cm="1">
        <f t="array" ref="BS191:CD191">+_xlfn.XLOOKUP(BD191,Budget!A:A,Budget!Q:AB)</f>
        <v>6755.6</v>
      </c>
      <c r="BT191" s="106">
        <v>6755.6</v>
      </c>
      <c r="BU191" s="106">
        <v>6755.6</v>
      </c>
      <c r="BV191" s="106">
        <v>6755.6</v>
      </c>
      <c r="BW191" s="106">
        <v>6755.6</v>
      </c>
      <c r="BX191" s="106">
        <v>6755.6</v>
      </c>
      <c r="BY191" s="106">
        <v>6755.6</v>
      </c>
      <c r="BZ191" s="106">
        <v>6755.6</v>
      </c>
      <c r="CA191" s="106">
        <v>6755.6</v>
      </c>
      <c r="CB191" s="106">
        <v>6755.6</v>
      </c>
      <c r="CC191" s="106">
        <v>6755.6</v>
      </c>
      <c r="CD191" s="106">
        <v>6755.6</v>
      </c>
      <c r="CE191" s="106">
        <f t="shared" si="2259"/>
        <v>81067.200000000012</v>
      </c>
      <c r="CF191" s="22"/>
      <c r="CG191" s="106">
        <v>1249.9999999999995</v>
      </c>
      <c r="CH191" s="106">
        <v>3756.9994999999999</v>
      </c>
      <c r="CI191" s="106">
        <v>3756.9994999999999</v>
      </c>
      <c r="CJ191" s="106">
        <v>3756.9994999999999</v>
      </c>
      <c r="CK191" s="106">
        <v>3756.9994999999999</v>
      </c>
      <c r="CL191" s="106">
        <v>3756.9994999999999</v>
      </c>
      <c r="CM191" s="106">
        <v>3756.9994999999999</v>
      </c>
      <c r="CN191" s="106">
        <v>3756.95</v>
      </c>
      <c r="CO191" s="106">
        <v>3756.95</v>
      </c>
      <c r="CP191" s="106">
        <v>3756.95</v>
      </c>
      <c r="CQ191" s="106">
        <v>3756.95</v>
      </c>
      <c r="CR191" s="106">
        <v>3756.95</v>
      </c>
      <c r="CS191" s="106">
        <f t="shared" si="2260"/>
        <v>42576.746999999988</v>
      </c>
      <c r="CT191" s="16" t="str">
        <f t="shared" si="1536"/>
        <v>Other Professional Fees</v>
      </c>
      <c r="CU191" s="106">
        <f>+VLOOKUP($BD191,'Jan-25'!$A:$J,6,0)</f>
        <v>3756.95</v>
      </c>
      <c r="CV191" s="106">
        <f>+VLOOKUP($BD191,'Feb-25'!$A:$J,6,0)</f>
        <v>3756.95</v>
      </c>
      <c r="CW191" s="106">
        <f>+VLOOKUP($BD191,'Mar-25'!$A:$J,6,0)</f>
        <v>0</v>
      </c>
      <c r="CX191" s="106">
        <f>+VLOOKUP($BD191,'Apr-25'!$A:$J,6,0)</f>
        <v>0</v>
      </c>
      <c r="CY191" s="106">
        <f>+VLOOKUP($BD191,'May-25'!$A:$J,6,0)</f>
        <v>1249.95</v>
      </c>
      <c r="CZ191" s="106">
        <f>+VLOOKUP($BD191,'June-25'!$A:$J,6,0)</f>
        <v>1249.95</v>
      </c>
      <c r="DA191" s="106">
        <f>+VLOOKUP($BD191,'July-25'!$A:$J,6,0)</f>
        <v>1249.95</v>
      </c>
      <c r="DB191" s="106">
        <f>+VLOOKUP($BD191,'Aug-25'!$A:$J,6,0)</f>
        <v>0</v>
      </c>
      <c r="DC191" s="106">
        <f>+VLOOKUP($BD191,'Sep-25'!$A:$J,6,0)</f>
        <v>0</v>
      </c>
      <c r="DD191" s="106">
        <f>+VLOOKUP($BD191,'Oct-25'!$A:$J,6,0)</f>
        <v>1249.95</v>
      </c>
      <c r="DE191" s="106">
        <f>+VLOOKUP($BD191,'Nov-25'!$A:$J,6,0)</f>
        <v>0</v>
      </c>
      <c r="DF191" s="106">
        <f>+VLOOKUP($BD191,'Dec-25'!$A:$J,6,0)</f>
        <v>0</v>
      </c>
      <c r="DG191" s="106">
        <f t="shared" si="2261"/>
        <v>12513.700000000003</v>
      </c>
      <c r="DH191" s="118">
        <f t="shared" si="1881"/>
        <v>-0.50660193025045885</v>
      </c>
      <c r="DI191" s="106">
        <f>+_xlfn.XLOOKUP($CT191,Budget!$A:$A,Budget!BQ:BQ)</f>
        <v>2533.35</v>
      </c>
      <c r="DJ191" s="106">
        <f>+_xlfn.XLOOKUP($CT191,Budget!$A:$A,Budget!BR:BR)</f>
        <v>2533.35</v>
      </c>
      <c r="DK191" s="106">
        <f>+_xlfn.XLOOKUP($CT191,Budget!$A:$A,Budget!BS:BS)</f>
        <v>2533.35</v>
      </c>
      <c r="DL191" s="106">
        <f>+_xlfn.XLOOKUP($CT191,Budget!$A:$A,Budget!BT:BT)</f>
        <v>2533.35</v>
      </c>
      <c r="DM191" s="106">
        <f>+_xlfn.XLOOKUP($CT191,Budget!$A:$A,Budget!BU:BU)</f>
        <v>2533.35</v>
      </c>
      <c r="DN191" s="106">
        <f>+_xlfn.XLOOKUP($CT191,Budget!$A:$A,Budget!BV:BV)</f>
        <v>2533.35</v>
      </c>
      <c r="DO191" s="106">
        <f>+_xlfn.XLOOKUP($CT191,Budget!$A:$A,Budget!BW:BW)</f>
        <v>2533.35</v>
      </c>
      <c r="DP191" s="106">
        <f>+_xlfn.XLOOKUP($CT191,Budget!$A:$A,Budget!BX:BX)</f>
        <v>2533.35</v>
      </c>
      <c r="DQ191" s="106">
        <f>+_xlfn.XLOOKUP($CT191,Budget!$A:$A,Budget!BY:BY)</f>
        <v>2533.35</v>
      </c>
      <c r="DR191" s="106">
        <f>+_xlfn.XLOOKUP($CT191,Budget!$A:$A,Budget!BZ:BZ)</f>
        <v>2533.35</v>
      </c>
      <c r="DS191" s="106">
        <f>+_xlfn.XLOOKUP($CT191,Budget!$A:$A,Budget!CA:CA)</f>
        <v>2533.35</v>
      </c>
      <c r="DT191" s="106">
        <f>+_xlfn.XLOOKUP($CT191,Budget!$A:$A,Budget!CB:CB)</f>
        <v>2533.35</v>
      </c>
      <c r="DU191" s="106">
        <f t="shared" si="2262"/>
        <v>30400.199999999993</v>
      </c>
    </row>
    <row r="192" spans="1:125" ht="14.45" hidden="1" customHeight="1" outlineLevel="2">
      <c r="A192" s="106">
        <f t="shared" si="2218"/>
        <v>0</v>
      </c>
      <c r="B192" s="106">
        <f t="shared" si="2219"/>
        <v>0</v>
      </c>
      <c r="C192" s="106">
        <f t="shared" si="2220"/>
        <v>0</v>
      </c>
      <c r="D192" s="106">
        <f t="shared" si="2221"/>
        <v>0</v>
      </c>
      <c r="E192" s="106">
        <f t="shared" si="2222"/>
        <v>0</v>
      </c>
      <c r="F192" s="106">
        <f t="shared" si="2223"/>
        <v>0</v>
      </c>
      <c r="G192" s="106">
        <f t="shared" si="2224"/>
        <v>0</v>
      </c>
      <c r="H192" s="106">
        <f t="shared" si="2225"/>
        <v>0</v>
      </c>
      <c r="I192" s="106">
        <f t="shared" si="2226"/>
        <v>0</v>
      </c>
      <c r="J192" s="106">
        <f t="shared" si="2227"/>
        <v>0</v>
      </c>
      <c r="K192" s="106">
        <f t="shared" si="2228"/>
        <v>0</v>
      </c>
      <c r="L192" s="106">
        <f t="shared" si="2229"/>
        <v>0</v>
      </c>
      <c r="M192" s="106">
        <f t="shared" si="2230"/>
        <v>0</v>
      </c>
      <c r="N192" s="16" t="s">
        <v>161</v>
      </c>
      <c r="O192" s="106">
        <f t="shared" si="2231"/>
        <v>0</v>
      </c>
      <c r="P192" s="106">
        <f t="shared" si="2232"/>
        <v>0</v>
      </c>
      <c r="Q192" s="106">
        <f t="shared" si="2233"/>
        <v>0</v>
      </c>
      <c r="R192" s="106">
        <f t="shared" si="2234"/>
        <v>0</v>
      </c>
      <c r="S192" s="106">
        <f t="shared" si="2235"/>
        <v>0</v>
      </c>
      <c r="T192" s="106">
        <f t="shared" si="2236"/>
        <v>0</v>
      </c>
      <c r="U192" s="106">
        <f t="shared" si="2237"/>
        <v>0</v>
      </c>
      <c r="V192" s="106">
        <f t="shared" si="2238"/>
        <v>0</v>
      </c>
      <c r="W192" s="106">
        <f t="shared" si="2239"/>
        <v>0</v>
      </c>
      <c r="X192" s="106">
        <f t="shared" si="2240"/>
        <v>0</v>
      </c>
      <c r="Y192" s="106">
        <f t="shared" si="2241"/>
        <v>0</v>
      </c>
      <c r="Z192" s="106">
        <f t="shared" si="2242"/>
        <v>0</v>
      </c>
      <c r="AA192" s="106">
        <f t="shared" si="2243"/>
        <v>0</v>
      </c>
      <c r="AB192" s="118">
        <f t="shared" si="1861"/>
        <v>0</v>
      </c>
      <c r="AC192" s="106">
        <f t="shared" si="2244"/>
        <v>0</v>
      </c>
      <c r="AD192" s="106">
        <f t="shared" si="2245"/>
        <v>0</v>
      </c>
      <c r="AE192" s="106">
        <f t="shared" si="2246"/>
        <v>0</v>
      </c>
      <c r="AF192" s="106">
        <f t="shared" si="2247"/>
        <v>0</v>
      </c>
      <c r="AG192" s="106">
        <f t="shared" si="2248"/>
        <v>0</v>
      </c>
      <c r="AH192" s="106">
        <f t="shared" si="2249"/>
        <v>0</v>
      </c>
      <c r="AI192" s="106">
        <f t="shared" si="2250"/>
        <v>0</v>
      </c>
      <c r="AJ192" s="106">
        <f t="shared" si="2251"/>
        <v>0</v>
      </c>
      <c r="AK192" s="106">
        <f t="shared" si="2252"/>
        <v>0</v>
      </c>
      <c r="AL192" s="106">
        <f t="shared" si="2253"/>
        <v>0</v>
      </c>
      <c r="AM192" s="106">
        <f t="shared" si="2254"/>
        <v>0</v>
      </c>
      <c r="AN192" s="106">
        <f t="shared" si="2255"/>
        <v>0</v>
      </c>
      <c r="AO192" s="106">
        <f t="shared" si="2256"/>
        <v>0</v>
      </c>
      <c r="AQ192" s="106">
        <v>0</v>
      </c>
      <c r="AR192" s="106">
        <v>0</v>
      </c>
      <c r="AS192" s="106">
        <v>0</v>
      </c>
      <c r="AT192" s="106">
        <v>0</v>
      </c>
      <c r="AU192" s="106">
        <v>0</v>
      </c>
      <c r="AV192" s="106">
        <v>0</v>
      </c>
      <c r="AW192" s="106">
        <v>0</v>
      </c>
      <c r="AX192" s="106">
        <v>0</v>
      </c>
      <c r="AY192" s="106">
        <v>0</v>
      </c>
      <c r="AZ192" s="106">
        <v>0</v>
      </c>
      <c r="BA192" s="106">
        <v>0</v>
      </c>
      <c r="BB192" s="106">
        <v>0</v>
      </c>
      <c r="BC192" s="106">
        <f t="shared" si="2257"/>
        <v>0</v>
      </c>
      <c r="BD192" s="16" t="str">
        <f t="shared" si="1532"/>
        <v>Professional Fee - Trainer</v>
      </c>
      <c r="BE192" s="106">
        <f>+VLOOKUP($BD192,'Jan-25'!$A:$J,2,0)</f>
        <v>0</v>
      </c>
      <c r="BF192" s="106">
        <f>+VLOOKUP($BD192,'Feb-25'!$A:$J,2,0)</f>
        <v>0</v>
      </c>
      <c r="BG192" s="106">
        <f>+VLOOKUP($BD192,'Mar-25'!$A:$J,2,0)</f>
        <v>0</v>
      </c>
      <c r="BH192" s="106">
        <f>+VLOOKUP($BD192,'Apr-25'!$A:$J,2,0)</f>
        <v>0</v>
      </c>
      <c r="BI192" s="106">
        <f>+VLOOKUP($BD192,'May-25'!$A:$J,2,0)</f>
        <v>0</v>
      </c>
      <c r="BJ192" s="106">
        <f>+VLOOKUP($BD192,'June-25'!$A:$J,2,0)</f>
        <v>0</v>
      </c>
      <c r="BK192" s="106">
        <f>+VLOOKUP($BD192,'July-25'!$A:$J,2,0)</f>
        <v>0</v>
      </c>
      <c r="BL192" s="106">
        <f>+VLOOKUP($BD192,'Aug-25'!$A:$J,2,0)</f>
        <v>0</v>
      </c>
      <c r="BM192" s="106">
        <f>+VLOOKUP($BD192,'Sep-25'!$A:$J,2,0)</f>
        <v>0</v>
      </c>
      <c r="BN192" s="106">
        <f>+VLOOKUP($BD192,'Oct-25'!$A:$J,2,0)</f>
        <v>0</v>
      </c>
      <c r="BO192" s="106">
        <f>+VLOOKUP($BD192,'Nov-25'!$A:$J,2,0)</f>
        <v>0</v>
      </c>
      <c r="BP192" s="106">
        <f>+VLOOKUP($BD192,'Dec-25'!$A:$J,2,0)</f>
        <v>0</v>
      </c>
      <c r="BQ192" s="106">
        <f t="shared" si="2258"/>
        <v>0</v>
      </c>
      <c r="BR192" s="118">
        <f t="shared" si="1877"/>
        <v>0</v>
      </c>
      <c r="BS192" s="106" cm="1">
        <f t="array" ref="BS192:CD192">+_xlfn.XLOOKUP(BD192,Budget!A:A,Budget!Q:AB)</f>
        <v>0</v>
      </c>
      <c r="BT192" s="106">
        <v>0</v>
      </c>
      <c r="BU192" s="106">
        <v>0</v>
      </c>
      <c r="BV192" s="106">
        <v>0</v>
      </c>
      <c r="BW192" s="106">
        <v>0</v>
      </c>
      <c r="BX192" s="106">
        <v>0</v>
      </c>
      <c r="BY192" s="106">
        <v>0</v>
      </c>
      <c r="BZ192" s="106">
        <v>0</v>
      </c>
      <c r="CA192" s="106">
        <v>0</v>
      </c>
      <c r="CB192" s="106">
        <v>0</v>
      </c>
      <c r="CC192" s="106">
        <v>0</v>
      </c>
      <c r="CD192" s="106">
        <v>0</v>
      </c>
      <c r="CE192" s="106"/>
      <c r="CF192" s="22"/>
      <c r="CG192" s="106">
        <v>0</v>
      </c>
      <c r="CH192" s="106">
        <v>0</v>
      </c>
      <c r="CI192" s="106">
        <v>0</v>
      </c>
      <c r="CJ192" s="106">
        <v>0</v>
      </c>
      <c r="CK192" s="106">
        <v>0</v>
      </c>
      <c r="CL192" s="106">
        <v>0</v>
      </c>
      <c r="CM192" s="106">
        <v>0</v>
      </c>
      <c r="CN192" s="106">
        <v>0</v>
      </c>
      <c r="CO192" s="106">
        <v>0</v>
      </c>
      <c r="CP192" s="106">
        <v>0</v>
      </c>
      <c r="CQ192" s="106">
        <v>0</v>
      </c>
      <c r="CR192" s="106">
        <v>0</v>
      </c>
      <c r="CS192" s="106">
        <f t="shared" si="2260"/>
        <v>0</v>
      </c>
      <c r="CT192" s="16" t="str">
        <f t="shared" si="1536"/>
        <v>Professional Fee - Trainer</v>
      </c>
      <c r="CU192" s="106">
        <f>+VLOOKUP($BD192,'Jan-25'!$A:$J,6,0)</f>
        <v>0</v>
      </c>
      <c r="CV192" s="106">
        <f>+VLOOKUP($BD192,'Feb-25'!$A:$J,6,0)</f>
        <v>0</v>
      </c>
      <c r="CW192" s="106">
        <f>+VLOOKUP($BD192,'Mar-25'!$A:$J,6,0)</f>
        <v>0</v>
      </c>
      <c r="CX192" s="106">
        <f>+VLOOKUP($BD192,'Apr-25'!$A:$J,6,0)</f>
        <v>0</v>
      </c>
      <c r="CY192" s="106">
        <f>+VLOOKUP($BD192,'May-25'!$A:$J,6,0)</f>
        <v>0</v>
      </c>
      <c r="CZ192" s="106">
        <f>+VLOOKUP($BD192,'June-25'!$A:$J,6,0)</f>
        <v>0</v>
      </c>
      <c r="DA192" s="106">
        <f>+VLOOKUP($BD192,'July-25'!$A:$J,6,0)</f>
        <v>0</v>
      </c>
      <c r="DB192" s="106">
        <f>+VLOOKUP($BD192,'Aug-25'!$A:$J,6,0)</f>
        <v>0</v>
      </c>
      <c r="DC192" s="106">
        <f>+VLOOKUP($BD192,'Sep-25'!$A:$J,6,0)</f>
        <v>0</v>
      </c>
      <c r="DD192" s="106">
        <f>+VLOOKUP($BD192,'Oct-25'!$A:$J,6,0)</f>
        <v>0</v>
      </c>
      <c r="DE192" s="106">
        <f>+VLOOKUP($BD192,'Nov-25'!$A:$J,6,0)</f>
        <v>0</v>
      </c>
      <c r="DF192" s="106">
        <f>+VLOOKUP($BD192,'Dec-25'!$A:$J,6,0)</f>
        <v>0</v>
      </c>
      <c r="DG192" s="106">
        <f t="shared" si="2261"/>
        <v>0</v>
      </c>
      <c r="DH192" s="118">
        <f t="shared" si="1881"/>
        <v>0</v>
      </c>
      <c r="DI192" s="106">
        <f>+_xlfn.XLOOKUP($CT192,Budget!$A:$A,Budget!BQ:BQ)</f>
        <v>0</v>
      </c>
      <c r="DJ192" s="106">
        <f>+_xlfn.XLOOKUP($CT192,Budget!$A:$A,Budget!BR:BR)</f>
        <v>0</v>
      </c>
      <c r="DK192" s="106">
        <f>+_xlfn.XLOOKUP($CT192,Budget!$A:$A,Budget!BS:BS)</f>
        <v>0</v>
      </c>
      <c r="DL192" s="106">
        <f>+_xlfn.XLOOKUP($CT192,Budget!$A:$A,Budget!BT:BT)</f>
        <v>0</v>
      </c>
      <c r="DM192" s="106">
        <f>+_xlfn.XLOOKUP($CT192,Budget!$A:$A,Budget!BU:BU)</f>
        <v>0</v>
      </c>
      <c r="DN192" s="106">
        <f>+_xlfn.XLOOKUP($CT192,Budget!$A:$A,Budget!BV:BV)</f>
        <v>0</v>
      </c>
      <c r="DO192" s="106">
        <f>+_xlfn.XLOOKUP($CT192,Budget!$A:$A,Budget!BW:BW)</f>
        <v>0</v>
      </c>
      <c r="DP192" s="106">
        <f>+_xlfn.XLOOKUP($CT192,Budget!$A:$A,Budget!BX:BX)</f>
        <v>0</v>
      </c>
      <c r="DQ192" s="106">
        <f>+_xlfn.XLOOKUP($CT192,Budget!$A:$A,Budget!BY:BY)</f>
        <v>0</v>
      </c>
      <c r="DR192" s="106">
        <f>+_xlfn.XLOOKUP($CT192,Budget!$A:$A,Budget!BZ:BZ)</f>
        <v>0</v>
      </c>
      <c r="DS192" s="106">
        <f>+_xlfn.XLOOKUP($CT192,Budget!$A:$A,Budget!CA:CA)</f>
        <v>0</v>
      </c>
      <c r="DT192" s="106">
        <f>+_xlfn.XLOOKUP($CT192,Budget!$A:$A,Budget!CB:CB)</f>
        <v>0</v>
      </c>
      <c r="DU192" s="106">
        <f t="shared" si="2262"/>
        <v>0</v>
      </c>
    </row>
    <row r="193" spans="1:125" ht="14.45" customHeight="1" outlineLevel="1" collapsed="1">
      <c r="A193" s="58">
        <f t="shared" ref="A193:L193" si="2263">+SUM(A194:A204)</f>
        <v>130132.10149999999</v>
      </c>
      <c r="B193" s="58">
        <f t="shared" si="2263"/>
        <v>111548.26149999999</v>
      </c>
      <c r="C193" s="58">
        <f t="shared" si="2263"/>
        <v>176742.85099999997</v>
      </c>
      <c r="D193" s="58">
        <f t="shared" si="2263"/>
        <v>92008.255000000005</v>
      </c>
      <c r="E193" s="58">
        <f t="shared" si="2263"/>
        <v>150030.79300000001</v>
      </c>
      <c r="F193" s="58">
        <f t="shared" si="2263"/>
        <v>139367.28150000001</v>
      </c>
      <c r="G193" s="58">
        <f t="shared" si="2263"/>
        <v>121661.91099999999</v>
      </c>
      <c r="H193" s="58">
        <f t="shared" si="2263"/>
        <v>107552.14199999999</v>
      </c>
      <c r="I193" s="58">
        <f t="shared" si="2263"/>
        <v>96502.853000000003</v>
      </c>
      <c r="J193" s="58">
        <f t="shared" si="2263"/>
        <v>69217.011500000008</v>
      </c>
      <c r="K193" s="58">
        <f t="shared" si="2263"/>
        <v>167712.29900000003</v>
      </c>
      <c r="L193" s="58">
        <f t="shared" si="2263"/>
        <v>121385.28000000001</v>
      </c>
      <c r="M193" s="58"/>
      <c r="N193" s="20" t="s">
        <v>162</v>
      </c>
      <c r="O193" s="58">
        <f t="shared" ref="O193" si="2264">+SUM(O194:O204)</f>
        <v>124098.41016666667</v>
      </c>
      <c r="P193" s="58">
        <f t="shared" ref="P193" si="2265">+SUM(P194:P204)</f>
        <v>101778.1505</v>
      </c>
      <c r="Q193" s="58">
        <f t="shared" ref="Q193" si="2266">+SUM(Q194:Q204)</f>
        <v>314333.31416666671</v>
      </c>
      <c r="R193" s="58">
        <f t="shared" ref="R193" si="2267">+SUM(R194:R204)</f>
        <v>110470.54949999999</v>
      </c>
      <c r="S193" s="58">
        <f t="shared" ref="S193" si="2268">+SUM(S194:S204)</f>
        <v>98115.983500000002</v>
      </c>
      <c r="T193" s="58">
        <f t="shared" ref="T193" si="2269">+SUM(T194:T204)</f>
        <v>176373.93499999997</v>
      </c>
      <c r="U193" s="58">
        <f t="shared" ref="U193" si="2270">+SUM(U194:U204)</f>
        <v>88409.677287379978</v>
      </c>
      <c r="V193" s="58">
        <f t="shared" ref="V193" si="2271">+SUM(V194:V204)</f>
        <v>107096.68049999999</v>
      </c>
      <c r="W193" s="58">
        <f t="shared" ref="W193" si="2272">+SUM(W194:W204)</f>
        <v>67615.918999999994</v>
      </c>
      <c r="X193" s="58">
        <f t="shared" ref="X193" si="2273">+SUM(X194:X204)</f>
        <v>91036.127000000008</v>
      </c>
      <c r="Y193" s="58">
        <f t="shared" ref="Y193" si="2274">+SUM(Y194:Y204)</f>
        <v>0</v>
      </c>
      <c r="Z193" s="58">
        <f t="shared" ref="Z193:AA193" si="2275">+SUM(Z194:Z204)</f>
        <v>0</v>
      </c>
      <c r="AA193" s="58">
        <f t="shared" si="2275"/>
        <v>1279328.7466207133</v>
      </c>
      <c r="AB193" s="118">
        <f t="shared" si="1861"/>
        <v>-0.18963884439185247</v>
      </c>
      <c r="AC193" s="58">
        <f t="shared" ref="AC193" si="2276">+SUM(AC194:AC204)</f>
        <v>112340.19099999999</v>
      </c>
      <c r="AD193" s="58">
        <f t="shared" ref="AD193" si="2277">+SUM(AD194:AD204)</f>
        <v>112340.19099999999</v>
      </c>
      <c r="AE193" s="58">
        <f t="shared" ref="AE193" si="2278">+SUM(AE194:AE204)</f>
        <v>112340.19099999999</v>
      </c>
      <c r="AF193" s="58">
        <f t="shared" ref="AF193" si="2279">+SUM(AF194:AF204)</f>
        <v>112340.19099999999</v>
      </c>
      <c r="AG193" s="58">
        <f t="shared" ref="AG193" si="2280">+SUM(AG194:AG204)</f>
        <v>112340.19099999999</v>
      </c>
      <c r="AH193" s="58">
        <f t="shared" ref="AH193" si="2281">+SUM(AH194:AH204)</f>
        <v>112340.19099999999</v>
      </c>
      <c r="AI193" s="58">
        <f t="shared" ref="AI193" si="2282">+SUM(AI194:AI204)</f>
        <v>112340.19099999999</v>
      </c>
      <c r="AJ193" s="58">
        <f t="shared" ref="AJ193" si="2283">+SUM(AJ194:AJ204)</f>
        <v>112340.19099999999</v>
      </c>
      <c r="AK193" s="58">
        <f t="shared" ref="AK193" si="2284">+SUM(AK194:AK204)</f>
        <v>112340.19099999999</v>
      </c>
      <c r="AL193" s="58">
        <f t="shared" ref="AL193" si="2285">+SUM(AL194:AL204)</f>
        <v>112340.19099999999</v>
      </c>
      <c r="AM193" s="58">
        <f t="shared" ref="AM193" si="2286">+SUM(AM194:AM204)</f>
        <v>112340.19099999999</v>
      </c>
      <c r="AN193" s="58">
        <f t="shared" ref="AN193" si="2287">+SUM(AN194:AN204)</f>
        <v>112340.19099999999</v>
      </c>
      <c r="AO193" s="58"/>
      <c r="AQ193" s="58">
        <f t="shared" ref="AQ193:BC193" si="2288">+SUM(AQ194:AQ204)</f>
        <v>93082.752000000008</v>
      </c>
      <c r="AR193" s="58">
        <f t="shared" si="2288"/>
        <v>83909.072000000015</v>
      </c>
      <c r="AS193" s="58">
        <f t="shared" si="2288"/>
        <v>134525.53799999997</v>
      </c>
      <c r="AT193" s="58">
        <f t="shared" si="2288"/>
        <v>80647.66</v>
      </c>
      <c r="AU193" s="58">
        <f t="shared" si="2288"/>
        <v>124404.004</v>
      </c>
      <c r="AV193" s="58">
        <f t="shared" si="2288"/>
        <v>116199.882</v>
      </c>
      <c r="AW193" s="58">
        <f t="shared" si="2288"/>
        <v>94796.077999999994</v>
      </c>
      <c r="AX193" s="58">
        <f t="shared" si="2288"/>
        <v>83603.135999999999</v>
      </c>
      <c r="AY193" s="58">
        <f t="shared" si="2288"/>
        <v>66509.933999999994</v>
      </c>
      <c r="AZ193" s="58">
        <f t="shared" si="2288"/>
        <v>51002.182000000001</v>
      </c>
      <c r="BA193" s="58">
        <f t="shared" si="2288"/>
        <v>112382.132</v>
      </c>
      <c r="BB193" s="58">
        <f t="shared" si="2288"/>
        <v>78183.990000000005</v>
      </c>
      <c r="BC193" s="58">
        <f t="shared" si="2288"/>
        <v>1119246.3600000001</v>
      </c>
      <c r="BD193" s="20" t="str">
        <f t="shared" si="1532"/>
        <v>General Expenses</v>
      </c>
      <c r="BE193" s="58">
        <f t="shared" ref="BE193:BQ193" si="2289">+SUM(BE194:BE204)</f>
        <v>89705.717999999993</v>
      </c>
      <c r="BF193" s="58">
        <f t="shared" si="2289"/>
        <v>56198.054000000004</v>
      </c>
      <c r="BG193" s="58">
        <f t="shared" si="2289"/>
        <v>299744.45999999996</v>
      </c>
      <c r="BH193" s="58">
        <f t="shared" si="2289"/>
        <v>81441.975999999981</v>
      </c>
      <c r="BI193" s="58">
        <f t="shared" si="2289"/>
        <v>67107.258000000002</v>
      </c>
      <c r="BJ193" s="58">
        <f t="shared" si="2289"/>
        <v>97796.771999999983</v>
      </c>
      <c r="BK193" s="58">
        <f t="shared" si="2289"/>
        <v>60568.728754458156</v>
      </c>
      <c r="BL193" s="58">
        <f t="shared" si="2289"/>
        <v>71819.883999999976</v>
      </c>
      <c r="BM193" s="58">
        <f t="shared" si="2289"/>
        <v>47778.408000000003</v>
      </c>
      <c r="BN193" s="58">
        <f t="shared" si="2289"/>
        <v>57273.666000000005</v>
      </c>
      <c r="BO193" s="58">
        <f t="shared" si="2289"/>
        <v>0</v>
      </c>
      <c r="BP193" s="58">
        <f t="shared" si="2289"/>
        <v>0</v>
      </c>
      <c r="BQ193" s="58">
        <f t="shared" si="2289"/>
        <v>929434.92475445825</v>
      </c>
      <c r="BR193" s="118">
        <f t="shared" si="1877"/>
        <v>-0.29484062977794301</v>
      </c>
      <c r="BS193" s="58">
        <f t="shared" ref="BS193:CE193" si="2290">+SUM(BS194:BS204)</f>
        <v>81220.881999999998</v>
      </c>
      <c r="BT193" s="58">
        <f t="shared" si="2290"/>
        <v>81220.881999999998</v>
      </c>
      <c r="BU193" s="58">
        <f t="shared" si="2290"/>
        <v>81220.881999999998</v>
      </c>
      <c r="BV193" s="58">
        <f t="shared" si="2290"/>
        <v>81220.881999999998</v>
      </c>
      <c r="BW193" s="58">
        <f t="shared" si="2290"/>
        <v>81220.881999999998</v>
      </c>
      <c r="BX193" s="58">
        <f t="shared" si="2290"/>
        <v>81220.881999999998</v>
      </c>
      <c r="BY193" s="58">
        <f t="shared" si="2290"/>
        <v>81220.881999999998</v>
      </c>
      <c r="BZ193" s="58">
        <f t="shared" si="2290"/>
        <v>81220.881999999998</v>
      </c>
      <c r="CA193" s="58">
        <f t="shared" si="2290"/>
        <v>81220.881999999998</v>
      </c>
      <c r="CB193" s="58">
        <f t="shared" si="2290"/>
        <v>81220.881999999998</v>
      </c>
      <c r="CC193" s="58">
        <f t="shared" si="2290"/>
        <v>81220.881999999998</v>
      </c>
      <c r="CD193" s="58">
        <f t="shared" si="2290"/>
        <v>81220.881999999998</v>
      </c>
      <c r="CE193" s="58">
        <f t="shared" si="2290"/>
        <v>974650.58400000003</v>
      </c>
      <c r="CF193" s="22"/>
      <c r="CG193" s="58">
        <f t="shared" ref="CG193:CS193" si="2291">+SUM(CG194:CG204)</f>
        <v>37049.349500000004</v>
      </c>
      <c r="CH193" s="58">
        <f t="shared" si="2291"/>
        <v>27639.189500000004</v>
      </c>
      <c r="CI193" s="58">
        <f t="shared" si="2291"/>
        <v>42217.313000000002</v>
      </c>
      <c r="CJ193" s="58">
        <f t="shared" si="2291"/>
        <v>11360.594999999999</v>
      </c>
      <c r="CK193" s="58">
        <f t="shared" si="2291"/>
        <v>25626.789000000001</v>
      </c>
      <c r="CL193" s="58">
        <f t="shared" si="2291"/>
        <v>23167.3995</v>
      </c>
      <c r="CM193" s="58">
        <f t="shared" si="2291"/>
        <v>26865.832999999999</v>
      </c>
      <c r="CN193" s="58">
        <f t="shared" si="2291"/>
        <v>23949.006000000001</v>
      </c>
      <c r="CO193" s="58">
        <f t="shared" si="2291"/>
        <v>29992.918999999998</v>
      </c>
      <c r="CP193" s="58">
        <f t="shared" si="2291"/>
        <v>18214.8295</v>
      </c>
      <c r="CQ193" s="58">
        <f t="shared" si="2291"/>
        <v>55330.167000000009</v>
      </c>
      <c r="CR193" s="58">
        <f t="shared" si="2291"/>
        <v>43201.290000000008</v>
      </c>
      <c r="CS193" s="58">
        <f t="shared" si="2291"/>
        <v>364614.68000000005</v>
      </c>
      <c r="CT193" s="20" t="str">
        <f t="shared" si="1536"/>
        <v>General Expenses</v>
      </c>
      <c r="CU193" s="58">
        <f t="shared" ref="CU193:DG193" si="2292">+SUM(CU194:CU204)</f>
        <v>34392.692166666668</v>
      </c>
      <c r="CV193" s="58">
        <f t="shared" si="2292"/>
        <v>45580.096499999992</v>
      </c>
      <c r="CW193" s="58">
        <f t="shared" si="2292"/>
        <v>14588.85416666667</v>
      </c>
      <c r="CX193" s="58">
        <f t="shared" si="2292"/>
        <v>29028.573500000002</v>
      </c>
      <c r="CY193" s="58">
        <f t="shared" si="2292"/>
        <v>31008.725499999997</v>
      </c>
      <c r="CZ193" s="58">
        <f t="shared" si="2292"/>
        <v>78577.163</v>
      </c>
      <c r="DA193" s="58">
        <f t="shared" si="2292"/>
        <v>27840.948532921808</v>
      </c>
      <c r="DB193" s="58">
        <f t="shared" si="2292"/>
        <v>35276.796500000004</v>
      </c>
      <c r="DC193" s="58">
        <f t="shared" si="2292"/>
        <v>19837.510999999999</v>
      </c>
      <c r="DD193" s="58">
        <f t="shared" si="2292"/>
        <v>33762.461000000003</v>
      </c>
      <c r="DE193" s="58">
        <f t="shared" si="2292"/>
        <v>0</v>
      </c>
      <c r="DF193" s="58">
        <f t="shared" si="2292"/>
        <v>0</v>
      </c>
      <c r="DG193" s="58">
        <f t="shared" si="2292"/>
        <v>349893.82186625514</v>
      </c>
      <c r="DH193" s="118">
        <f t="shared" si="1881"/>
        <v>8.4936076183439735E-2</v>
      </c>
      <c r="DI193" s="58">
        <f t="shared" ref="DI193:DU193" si="2293">+SUM(DI194:DI204)</f>
        <v>31119.309000000001</v>
      </c>
      <c r="DJ193" s="58">
        <f t="shared" si="2293"/>
        <v>31119.309000000001</v>
      </c>
      <c r="DK193" s="58">
        <f t="shared" si="2293"/>
        <v>31119.309000000001</v>
      </c>
      <c r="DL193" s="58">
        <f t="shared" si="2293"/>
        <v>31119.309000000001</v>
      </c>
      <c r="DM193" s="58">
        <f t="shared" si="2293"/>
        <v>31119.309000000001</v>
      </c>
      <c r="DN193" s="58">
        <f t="shared" si="2293"/>
        <v>31119.309000000001</v>
      </c>
      <c r="DO193" s="58">
        <f t="shared" si="2293"/>
        <v>31119.309000000001</v>
      </c>
      <c r="DP193" s="58">
        <f t="shared" si="2293"/>
        <v>31119.309000000001</v>
      </c>
      <c r="DQ193" s="58">
        <f t="shared" si="2293"/>
        <v>31119.309000000001</v>
      </c>
      <c r="DR193" s="58">
        <f t="shared" si="2293"/>
        <v>31119.309000000001</v>
      </c>
      <c r="DS193" s="58">
        <f t="shared" si="2293"/>
        <v>31119.309000000001</v>
      </c>
      <c r="DT193" s="58">
        <f t="shared" si="2293"/>
        <v>31119.309000000001</v>
      </c>
      <c r="DU193" s="58">
        <f t="shared" si="2293"/>
        <v>373431.70799999998</v>
      </c>
    </row>
    <row r="194" spans="1:125" ht="14.45" hidden="1" customHeight="1" outlineLevel="2">
      <c r="A194" s="106">
        <f t="shared" ref="A194:A204" si="2294">+AQ194+CG194</f>
        <v>25208</v>
      </c>
      <c r="B194" s="106">
        <f t="shared" ref="B194:B204" si="2295">+AR194+CH194</f>
        <v>25208</v>
      </c>
      <c r="C194" s="106">
        <f t="shared" ref="C194:C204" si="2296">+AS194+CI194</f>
        <v>25208</v>
      </c>
      <c r="D194" s="106">
        <f t="shared" ref="D194:D204" si="2297">+AT194+CJ194</f>
        <v>25208</v>
      </c>
      <c r="E194" s="106">
        <f t="shared" ref="E194:E204" si="2298">+AU194+CK194</f>
        <v>25208</v>
      </c>
      <c r="F194" s="106">
        <f t="shared" ref="F194:F204" si="2299">+AV194+CL194</f>
        <v>25208</v>
      </c>
      <c r="G194" s="106">
        <f t="shared" ref="G194:G204" si="2300">+AW194+CM194</f>
        <v>25208</v>
      </c>
      <c r="H194" s="106">
        <f t="shared" ref="H194:H204" si="2301">+AX194+CN194</f>
        <v>25208</v>
      </c>
      <c r="I194" s="106">
        <f t="shared" ref="I194:I204" si="2302">+AY194+CO194</f>
        <v>20425.5</v>
      </c>
      <c r="J194" s="106">
        <f t="shared" ref="J194:J204" si="2303">+AZ194+CP194</f>
        <v>25502</v>
      </c>
      <c r="K194" s="106">
        <f t="shared" ref="K194:K204" si="2304">+BA194+CQ194</f>
        <v>25502</v>
      </c>
      <c r="L194" s="106">
        <f t="shared" ref="L194:L204" si="2305">+BB194+CR194</f>
        <v>18008</v>
      </c>
      <c r="M194" s="106">
        <f t="shared" ref="M194:M204" si="2306">+SUM(A194:L194)</f>
        <v>291101.5</v>
      </c>
      <c r="N194" s="16" t="s">
        <v>163</v>
      </c>
      <c r="O194" s="106">
        <f t="shared" ref="O194:O204" si="2307">+BE194+CU194</f>
        <v>18008.166666666668</v>
      </c>
      <c r="P194" s="106">
        <f t="shared" ref="P194:P204" si="2308">+BF194+CV194</f>
        <v>24185</v>
      </c>
      <c r="Q194" s="106">
        <f t="shared" ref="Q194:Q204" si="2309">+BG194+CW194</f>
        <v>17746.706666666672</v>
      </c>
      <c r="R194" s="106">
        <f t="shared" ref="R194:R204" si="2310">+BH194+CX194</f>
        <v>17872.955000000002</v>
      </c>
      <c r="S194" s="106">
        <f t="shared" ref="S194:S204" si="2311">+BI194+CY194</f>
        <v>18071.544999999998</v>
      </c>
      <c r="T194" s="106">
        <f t="shared" ref="T194:T204" si="2312">+BJ194+CZ194</f>
        <v>18071.544999999998</v>
      </c>
      <c r="U194" s="106">
        <f t="shared" ref="U194:U204" si="2313">+BK194+DA194</f>
        <v>18071.544999999998</v>
      </c>
      <c r="V194" s="106">
        <f t="shared" ref="V194:V204" si="2314">+BL194+DB194</f>
        <v>18072</v>
      </c>
      <c r="W194" s="106">
        <f t="shared" ref="W194:W204" si="2315">+BM194+DC194</f>
        <v>18072</v>
      </c>
      <c r="X194" s="106">
        <f t="shared" ref="X194:X204" si="2316">+BN194+DD194</f>
        <v>18072</v>
      </c>
      <c r="Y194" s="106">
        <f t="shared" ref="Y194:Y204" si="2317">+BO194+DE194</f>
        <v>0</v>
      </c>
      <c r="Z194" s="106">
        <f t="shared" ref="Z194:Z204" si="2318">+BP194+DF194</f>
        <v>0</v>
      </c>
      <c r="AA194" s="106">
        <f t="shared" ref="AA194:AA204" si="2319">+SUM(O194:Z194)</f>
        <v>186243.46333333332</v>
      </c>
      <c r="AB194" s="118">
        <f t="shared" si="1861"/>
        <v>3.544688058195751E-3</v>
      </c>
      <c r="AC194" s="106">
        <f t="shared" ref="AC194:AC204" si="2320">+BS194+DI194</f>
        <v>18008.166666666668</v>
      </c>
      <c r="AD194" s="106">
        <f t="shared" ref="AD194:AD204" si="2321">+BT194+DJ194</f>
        <v>18008.166666666668</v>
      </c>
      <c r="AE194" s="106">
        <f t="shared" ref="AE194:AE204" si="2322">+BU194+DK194</f>
        <v>18008.166666666668</v>
      </c>
      <c r="AF194" s="106">
        <f t="shared" ref="AF194:AF204" si="2323">+BV194+DL194</f>
        <v>18008.166666666668</v>
      </c>
      <c r="AG194" s="106">
        <f t="shared" ref="AG194:AG204" si="2324">+BW194+DM194</f>
        <v>18008.166666666668</v>
      </c>
      <c r="AH194" s="106">
        <f t="shared" ref="AH194:AH204" si="2325">+BX194+DN194</f>
        <v>18008.166666666668</v>
      </c>
      <c r="AI194" s="106">
        <f t="shared" ref="AI194:AI204" si="2326">+BY194+DO194</f>
        <v>18008.166666666668</v>
      </c>
      <c r="AJ194" s="106">
        <f t="shared" ref="AJ194:AJ204" si="2327">+BZ194+DP194</f>
        <v>18008.166666666668</v>
      </c>
      <c r="AK194" s="106">
        <f t="shared" ref="AK194:AK204" si="2328">+CA194+DQ194</f>
        <v>18008.166666666668</v>
      </c>
      <c r="AL194" s="106">
        <f t="shared" ref="AL194:AL204" si="2329">+CB194+DR194</f>
        <v>18008.166666666668</v>
      </c>
      <c r="AM194" s="106">
        <f t="shared" ref="AM194:AM204" si="2330">+CC194+DS194</f>
        <v>18008.166666666668</v>
      </c>
      <c r="AN194" s="106">
        <f t="shared" ref="AN194:AN204" si="2331">+CD194+DT194</f>
        <v>18008.166666666668</v>
      </c>
      <c r="AO194" s="106">
        <f t="shared" ref="AO194:AO204" si="2332">+SUM(AC194:AN194)</f>
        <v>216097.99999999997</v>
      </c>
      <c r="AQ194" s="106">
        <v>19325</v>
      </c>
      <c r="AR194" s="106">
        <v>19325</v>
      </c>
      <c r="AS194" s="106">
        <v>19325</v>
      </c>
      <c r="AT194" s="106">
        <v>19325</v>
      </c>
      <c r="AU194" s="106">
        <v>19325</v>
      </c>
      <c r="AV194" s="106">
        <v>19325</v>
      </c>
      <c r="AW194" s="106">
        <v>19325</v>
      </c>
      <c r="AX194" s="106">
        <v>19325</v>
      </c>
      <c r="AY194" s="106">
        <v>14542.5</v>
      </c>
      <c r="AZ194" s="106">
        <v>19325</v>
      </c>
      <c r="BA194" s="106">
        <v>19325</v>
      </c>
      <c r="BB194" s="106">
        <v>11831</v>
      </c>
      <c r="BC194" s="106">
        <f t="shared" ref="BC194:BC204" si="2333">+SUM(AQ194:BB194)</f>
        <v>219623.5</v>
      </c>
      <c r="BD194" s="16" t="str">
        <f t="shared" si="1532"/>
        <v>Corporation or PunchayathTaxes</v>
      </c>
      <c r="BE194" s="106">
        <f>+VLOOKUP($BD194,'Jan-25'!$A:$J,2,0)</f>
        <v>11831</v>
      </c>
      <c r="BF194" s="106">
        <f>+VLOOKUP($BD194,'Feb-25'!$A:$J,2,0)</f>
        <v>11831</v>
      </c>
      <c r="BG194" s="106">
        <f>+VLOOKUP($BD194,'Mar-25'!$A:$J,2,0)</f>
        <v>11569.54</v>
      </c>
      <c r="BH194" s="106">
        <f>+VLOOKUP($BD194,'Apr-25'!$A:$J,2,0)</f>
        <v>11752.09</v>
      </c>
      <c r="BI194" s="106">
        <f>+VLOOKUP($BD194,'May-25'!$A:$J,2,0)</f>
        <v>11882.67</v>
      </c>
      <c r="BJ194" s="106">
        <f>+VLOOKUP($BD194,'June-25'!$A:$J,2,0)</f>
        <v>11882.67</v>
      </c>
      <c r="BK194" s="106">
        <f>+VLOOKUP($BD194,'July-25'!$A:$J,2,0)</f>
        <v>11882.67</v>
      </c>
      <c r="BL194" s="106">
        <f>+VLOOKUP($BD194,'Aug-25'!$A:$J,2,0)</f>
        <v>11883</v>
      </c>
      <c r="BM194" s="106">
        <f>+VLOOKUP($BD194,'Sep-25'!$A:$J,2,0)</f>
        <v>11883</v>
      </c>
      <c r="BN194" s="106">
        <f>+VLOOKUP($BD194,'Oct-25'!$A:$J,2,0)</f>
        <v>11883</v>
      </c>
      <c r="BO194" s="106">
        <f>+VLOOKUP($BD194,'Nov-25'!$A:$J,2,0)</f>
        <v>0</v>
      </c>
      <c r="BP194" s="106">
        <f>+VLOOKUP($BD194,'Dec-25'!$A:$J,2,0)</f>
        <v>0</v>
      </c>
      <c r="BQ194" s="106">
        <f t="shared" ref="BQ194:BQ204" si="2334">+SUM(BE194:BP194)</f>
        <v>118280.64</v>
      </c>
      <c r="BR194" s="118">
        <f t="shared" si="1877"/>
        <v>4.3952328628180208E-3</v>
      </c>
      <c r="BS194" s="106" cm="1">
        <f t="array" ref="BS194:CD194">+_xlfn.XLOOKUP(BD194,Budget!A:A,Budget!Q:AB)</f>
        <v>11831</v>
      </c>
      <c r="BT194" s="106">
        <v>11831</v>
      </c>
      <c r="BU194" s="106">
        <v>11831</v>
      </c>
      <c r="BV194" s="106">
        <v>11831</v>
      </c>
      <c r="BW194" s="106">
        <v>11831</v>
      </c>
      <c r="BX194" s="106">
        <v>11831</v>
      </c>
      <c r="BY194" s="106">
        <v>11831</v>
      </c>
      <c r="BZ194" s="106">
        <v>11831</v>
      </c>
      <c r="CA194" s="106">
        <v>11831</v>
      </c>
      <c r="CB194" s="106">
        <v>11831</v>
      </c>
      <c r="CC194" s="106">
        <v>11831</v>
      </c>
      <c r="CD194" s="106">
        <v>11831</v>
      </c>
      <c r="CE194" s="106">
        <f t="shared" ref="CE194:CE204" si="2335">+SUM(BS194:CD194)</f>
        <v>141972</v>
      </c>
      <c r="CF194" s="22"/>
      <c r="CG194" s="106">
        <v>5883</v>
      </c>
      <c r="CH194" s="106">
        <v>5883</v>
      </c>
      <c r="CI194" s="106">
        <v>5883</v>
      </c>
      <c r="CJ194" s="106">
        <v>5883</v>
      </c>
      <c r="CK194" s="106">
        <v>5883</v>
      </c>
      <c r="CL194" s="106">
        <v>5883</v>
      </c>
      <c r="CM194" s="106">
        <v>5883</v>
      </c>
      <c r="CN194" s="106">
        <v>5883</v>
      </c>
      <c r="CO194" s="106">
        <v>5883</v>
      </c>
      <c r="CP194" s="106">
        <v>6177</v>
      </c>
      <c r="CQ194" s="106">
        <v>6177</v>
      </c>
      <c r="CR194" s="106">
        <v>6177</v>
      </c>
      <c r="CS194" s="106">
        <f t="shared" ref="CS194:CS204" si="2336">+SUM(CG194:CR194)</f>
        <v>71478</v>
      </c>
      <c r="CT194" s="16" t="str">
        <f t="shared" si="1536"/>
        <v>Corporation or PunchayathTaxes</v>
      </c>
      <c r="CU194" s="106">
        <f>+VLOOKUP($BD194,'Jan-25'!$A:$J,6,0)</f>
        <v>6177.166666666667</v>
      </c>
      <c r="CV194" s="106">
        <f>+VLOOKUP($BD194,'Feb-25'!$A:$J,6,0)</f>
        <v>12354</v>
      </c>
      <c r="CW194" s="106">
        <f>+VLOOKUP($BD194,'Mar-25'!$A:$J,6,0)</f>
        <v>6177.1666666666715</v>
      </c>
      <c r="CX194" s="106">
        <f>+VLOOKUP($BD194,'Apr-25'!$A:$J,6,0)</f>
        <v>6120.8649999999998</v>
      </c>
      <c r="CY194" s="106">
        <f>+VLOOKUP($BD194,'May-25'!$A:$J,6,0)</f>
        <v>6188.875</v>
      </c>
      <c r="CZ194" s="106">
        <f>+VLOOKUP($BD194,'June-25'!$A:$J,6,0)</f>
        <v>6188.875</v>
      </c>
      <c r="DA194" s="106">
        <f>+VLOOKUP($BD194,'July-25'!$A:$J,6,0)</f>
        <v>6188.875</v>
      </c>
      <c r="DB194" s="106">
        <f>+VLOOKUP($BD194,'Aug-25'!$A:$J,6,0)</f>
        <v>6189</v>
      </c>
      <c r="DC194" s="106">
        <f>+VLOOKUP($BD194,'Sep-25'!$A:$J,6,0)</f>
        <v>6189</v>
      </c>
      <c r="DD194" s="106">
        <f>+VLOOKUP($BD194,'Oct-25'!$A:$J,6,0)</f>
        <v>6189</v>
      </c>
      <c r="DE194" s="106">
        <f>+VLOOKUP($BD194,'Nov-25'!$A:$J,6,0)</f>
        <v>0</v>
      </c>
      <c r="DF194" s="106">
        <f>+VLOOKUP($BD194,'Dec-25'!$A:$J,6,0)</f>
        <v>0</v>
      </c>
      <c r="DG194" s="106">
        <f t="shared" ref="DG194:DG204" si="2337">+SUM(CU194:DF194)</f>
        <v>67962.823333333334</v>
      </c>
      <c r="DH194" s="118">
        <f t="shared" si="1881"/>
        <v>1.9156571243557775E-3</v>
      </c>
      <c r="DI194" s="106">
        <f>+_xlfn.XLOOKUP($CT194,Budget!$A:$A,Budget!BQ:BQ)</f>
        <v>6177.166666666667</v>
      </c>
      <c r="DJ194" s="106">
        <f>+_xlfn.XLOOKUP($CT194,Budget!$A:$A,Budget!BR:BR)</f>
        <v>6177.166666666667</v>
      </c>
      <c r="DK194" s="106">
        <f>+_xlfn.XLOOKUP($CT194,Budget!$A:$A,Budget!BS:BS)</f>
        <v>6177.166666666667</v>
      </c>
      <c r="DL194" s="106">
        <f>+_xlfn.XLOOKUP($CT194,Budget!$A:$A,Budget!BT:BT)</f>
        <v>6177.166666666667</v>
      </c>
      <c r="DM194" s="106">
        <f>+_xlfn.XLOOKUP($CT194,Budget!$A:$A,Budget!BU:BU)</f>
        <v>6177.166666666667</v>
      </c>
      <c r="DN194" s="106">
        <f>+_xlfn.XLOOKUP($CT194,Budget!$A:$A,Budget!BV:BV)</f>
        <v>6177.166666666667</v>
      </c>
      <c r="DO194" s="106">
        <f>+_xlfn.XLOOKUP($CT194,Budget!$A:$A,Budget!BW:BW)</f>
        <v>6177.166666666667</v>
      </c>
      <c r="DP194" s="106">
        <f>+_xlfn.XLOOKUP($CT194,Budget!$A:$A,Budget!BX:BX)</f>
        <v>6177.166666666667</v>
      </c>
      <c r="DQ194" s="106">
        <f>+_xlfn.XLOOKUP($CT194,Budget!$A:$A,Budget!BY:BY)</f>
        <v>6177.166666666667</v>
      </c>
      <c r="DR194" s="106">
        <f>+_xlfn.XLOOKUP($CT194,Budget!$A:$A,Budget!BZ:BZ)</f>
        <v>6177.166666666667</v>
      </c>
      <c r="DS194" s="106">
        <f>+_xlfn.XLOOKUP($CT194,Budget!$A:$A,Budget!CA:CA)</f>
        <v>6177.166666666667</v>
      </c>
      <c r="DT194" s="106">
        <f>+_xlfn.XLOOKUP($CT194,Budget!$A:$A,Budget!CB:CB)</f>
        <v>6177.166666666667</v>
      </c>
      <c r="DU194" s="106">
        <f t="shared" ref="DU194:DU204" si="2338">+SUM(DI194:DT194)</f>
        <v>74126</v>
      </c>
    </row>
    <row r="195" spans="1:125" ht="14.45" hidden="1" customHeight="1" outlineLevel="2">
      <c r="A195" s="106">
        <f t="shared" si="2294"/>
        <v>145.75</v>
      </c>
      <c r="B195" s="106">
        <f t="shared" si="2295"/>
        <v>145.75</v>
      </c>
      <c r="C195" s="106">
        <f t="shared" si="2296"/>
        <v>145.75</v>
      </c>
      <c r="D195" s="106">
        <f t="shared" si="2297"/>
        <v>145.75</v>
      </c>
      <c r="E195" s="106">
        <f t="shared" si="2298"/>
        <v>300.75</v>
      </c>
      <c r="F195" s="106">
        <f t="shared" si="2299"/>
        <v>145.75</v>
      </c>
      <c r="G195" s="106">
        <f t="shared" si="2300"/>
        <v>145.75</v>
      </c>
      <c r="H195" s="106">
        <f t="shared" si="2301"/>
        <v>145.75</v>
      </c>
      <c r="I195" s="106">
        <f t="shared" si="2302"/>
        <v>145.75</v>
      </c>
      <c r="J195" s="106">
        <f t="shared" si="2303"/>
        <v>145.75</v>
      </c>
      <c r="K195" s="106">
        <f t="shared" si="2304"/>
        <v>145.75</v>
      </c>
      <c r="L195" s="106">
        <f t="shared" si="2305"/>
        <v>145.75</v>
      </c>
      <c r="M195" s="106">
        <f t="shared" si="2306"/>
        <v>1904</v>
      </c>
      <c r="N195" s="16" t="s">
        <v>164</v>
      </c>
      <c r="O195" s="106">
        <f t="shared" si="2307"/>
        <v>145.75</v>
      </c>
      <c r="P195" s="106">
        <f t="shared" si="2308"/>
        <v>145.75</v>
      </c>
      <c r="Q195" s="106">
        <f t="shared" si="2309"/>
        <v>145.75</v>
      </c>
      <c r="R195" s="106">
        <f t="shared" si="2310"/>
        <v>145.75</v>
      </c>
      <c r="S195" s="106">
        <f t="shared" si="2311"/>
        <v>145.75</v>
      </c>
      <c r="T195" s="106">
        <f t="shared" si="2312"/>
        <v>145.75</v>
      </c>
      <c r="U195" s="106">
        <f t="shared" si="2313"/>
        <v>4747.9447873799691</v>
      </c>
      <c r="V195" s="106">
        <f t="shared" si="2314"/>
        <v>1291.4000000000001</v>
      </c>
      <c r="W195" s="106">
        <f t="shared" si="2315"/>
        <v>1442.1000000000001</v>
      </c>
      <c r="X195" s="106">
        <f t="shared" si="2316"/>
        <v>3583.25</v>
      </c>
      <c r="Y195" s="106">
        <f t="shared" si="2317"/>
        <v>0</v>
      </c>
      <c r="Z195" s="106">
        <f t="shared" si="2318"/>
        <v>0</v>
      </c>
      <c r="AA195" s="106">
        <f t="shared" si="2319"/>
        <v>11939.194787379969</v>
      </c>
      <c r="AB195" s="118">
        <f t="shared" si="1861"/>
        <v>4.1348220683066632</v>
      </c>
      <c r="AC195" s="106">
        <f t="shared" si="2320"/>
        <v>697.83333333333337</v>
      </c>
      <c r="AD195" s="106">
        <f t="shared" si="2321"/>
        <v>697.83333333333337</v>
      </c>
      <c r="AE195" s="106">
        <f t="shared" si="2322"/>
        <v>697.83333333333337</v>
      </c>
      <c r="AF195" s="106">
        <f t="shared" si="2323"/>
        <v>697.83333333333337</v>
      </c>
      <c r="AG195" s="106">
        <f t="shared" si="2324"/>
        <v>697.83333333333337</v>
      </c>
      <c r="AH195" s="106">
        <f t="shared" si="2325"/>
        <v>697.83333333333337</v>
      </c>
      <c r="AI195" s="106">
        <f t="shared" si="2326"/>
        <v>697.83333333333337</v>
      </c>
      <c r="AJ195" s="106">
        <f t="shared" si="2327"/>
        <v>697.83333333333337</v>
      </c>
      <c r="AK195" s="106">
        <f t="shared" si="2328"/>
        <v>697.83333333333337</v>
      </c>
      <c r="AL195" s="106">
        <f t="shared" si="2329"/>
        <v>697.83333333333337</v>
      </c>
      <c r="AM195" s="106">
        <f t="shared" si="2330"/>
        <v>697.83333333333337</v>
      </c>
      <c r="AN195" s="106">
        <f t="shared" si="2331"/>
        <v>697.83333333333337</v>
      </c>
      <c r="AO195" s="106">
        <f t="shared" si="2332"/>
        <v>8373.9999999999982</v>
      </c>
      <c r="AQ195" s="106">
        <v>106</v>
      </c>
      <c r="AR195" s="106">
        <v>106</v>
      </c>
      <c r="AS195" s="106">
        <v>106</v>
      </c>
      <c r="AT195" s="106">
        <v>106</v>
      </c>
      <c r="AU195" s="106">
        <v>106</v>
      </c>
      <c r="AV195" s="106">
        <v>106</v>
      </c>
      <c r="AW195" s="106">
        <v>106</v>
      </c>
      <c r="AX195" s="106">
        <v>106</v>
      </c>
      <c r="AY195" s="106">
        <v>106</v>
      </c>
      <c r="AZ195" s="106">
        <v>106</v>
      </c>
      <c r="BA195" s="106">
        <v>106</v>
      </c>
      <c r="BB195" s="106">
        <v>106</v>
      </c>
      <c r="BC195" s="106">
        <f t="shared" si="2333"/>
        <v>1272</v>
      </c>
      <c r="BD195" s="16" t="str">
        <f t="shared" si="1532"/>
        <v>License Fees</v>
      </c>
      <c r="BE195" s="106">
        <f>+VLOOKUP($BD195,'Jan-25'!$A:$J,2,0)</f>
        <v>106</v>
      </c>
      <c r="BF195" s="106">
        <f>+VLOOKUP($BD195,'Feb-25'!$A:$J,2,0)</f>
        <v>106</v>
      </c>
      <c r="BG195" s="106">
        <f>+VLOOKUP($BD195,'Mar-25'!$A:$J,2,0)</f>
        <v>106</v>
      </c>
      <c r="BH195" s="106">
        <f>+VLOOKUP($BD195,'Apr-25'!$A:$J,2,0)</f>
        <v>106</v>
      </c>
      <c r="BI195" s="106">
        <f>+VLOOKUP($BD195,'May-25'!$A:$J,2,0)</f>
        <v>106</v>
      </c>
      <c r="BJ195" s="106">
        <f>+VLOOKUP($BD195,'June-25'!$A:$J,2,0)</f>
        <v>106</v>
      </c>
      <c r="BK195" s="106">
        <f>+VLOOKUP($BD195,'July-25'!$A:$J,2,0)</f>
        <v>3453.0507544581596</v>
      </c>
      <c r="BL195" s="106">
        <f>+VLOOKUP($BD195,'Aug-25'!$A:$J,2,0)</f>
        <v>939.2</v>
      </c>
      <c r="BM195" s="106">
        <f>+VLOOKUP($BD195,'Sep-25'!$A:$J,2,0)</f>
        <v>1048.8000000000002</v>
      </c>
      <c r="BN195" s="106">
        <f>+VLOOKUP($BD195,'Oct-25'!$A:$J,2,0)</f>
        <v>2606</v>
      </c>
      <c r="BO195" s="106">
        <f>+VLOOKUP($BD195,'Nov-25'!$A:$J,2,0)</f>
        <v>0</v>
      </c>
      <c r="BP195" s="106">
        <f>+VLOOKUP($BD195,'Dec-25'!$A:$J,2,0)</f>
        <v>0</v>
      </c>
      <c r="BQ195" s="106">
        <f t="shared" si="2334"/>
        <v>8683.0507544581596</v>
      </c>
      <c r="BR195" s="118">
        <f t="shared" si="1877"/>
        <v>23.584905660377359</v>
      </c>
      <c r="BS195" s="106" cm="1">
        <f t="array" ref="BS195:CD195">+_xlfn.XLOOKUP(BD195,Budget!A:A,Budget!Q:AB)</f>
        <v>106</v>
      </c>
      <c r="BT195" s="106">
        <v>106</v>
      </c>
      <c r="BU195" s="106">
        <v>106</v>
      </c>
      <c r="BV195" s="106">
        <v>106</v>
      </c>
      <c r="BW195" s="106">
        <v>106</v>
      </c>
      <c r="BX195" s="106">
        <v>106</v>
      </c>
      <c r="BY195" s="106">
        <v>106</v>
      </c>
      <c r="BZ195" s="106">
        <v>106</v>
      </c>
      <c r="CA195" s="106">
        <v>106</v>
      </c>
      <c r="CB195" s="106">
        <v>106</v>
      </c>
      <c r="CC195" s="106">
        <v>106</v>
      </c>
      <c r="CD195" s="106">
        <v>106</v>
      </c>
      <c r="CE195" s="106">
        <f t="shared" si="2335"/>
        <v>1272</v>
      </c>
      <c r="CF195" s="22"/>
      <c r="CG195" s="106">
        <v>39.75</v>
      </c>
      <c r="CH195" s="106">
        <v>39.75</v>
      </c>
      <c r="CI195" s="106">
        <v>39.75</v>
      </c>
      <c r="CJ195" s="106">
        <v>39.75</v>
      </c>
      <c r="CK195" s="106">
        <v>194.75</v>
      </c>
      <c r="CL195" s="106">
        <v>39.75</v>
      </c>
      <c r="CM195" s="106">
        <v>39.75</v>
      </c>
      <c r="CN195" s="106">
        <v>39.75</v>
      </c>
      <c r="CO195" s="106">
        <v>39.75</v>
      </c>
      <c r="CP195" s="106">
        <v>39.75</v>
      </c>
      <c r="CQ195" s="106">
        <v>39.75</v>
      </c>
      <c r="CR195" s="106">
        <v>39.75</v>
      </c>
      <c r="CS195" s="106">
        <f t="shared" si="2336"/>
        <v>632</v>
      </c>
      <c r="CT195" s="16" t="str">
        <f t="shared" si="1536"/>
        <v>License Fees</v>
      </c>
      <c r="CU195" s="106">
        <f>+VLOOKUP($BD195,'Jan-25'!$A:$J,6,0)</f>
        <v>39.75</v>
      </c>
      <c r="CV195" s="106">
        <f>+VLOOKUP($BD195,'Feb-25'!$A:$J,6,0)</f>
        <v>39.75</v>
      </c>
      <c r="CW195" s="106">
        <f>+VLOOKUP($BD195,'Mar-25'!$A:$J,6,0)</f>
        <v>39.75</v>
      </c>
      <c r="CX195" s="106">
        <f>+VLOOKUP($BD195,'Apr-25'!$A:$J,6,0)</f>
        <v>39.75</v>
      </c>
      <c r="CY195" s="106">
        <f>+VLOOKUP($BD195,'May-25'!$A:$J,6,0)</f>
        <v>39.75</v>
      </c>
      <c r="CZ195" s="106">
        <f>+VLOOKUP($BD195,'June-25'!$A:$J,6,0)</f>
        <v>39.75</v>
      </c>
      <c r="DA195" s="106">
        <f>+VLOOKUP($BD195,'July-25'!$A:$J,6,0)</f>
        <v>1294.8940329218099</v>
      </c>
      <c r="DB195" s="106">
        <f>+VLOOKUP($BD195,'Aug-25'!$A:$J,6,0)</f>
        <v>352.2</v>
      </c>
      <c r="DC195" s="106">
        <f>+VLOOKUP($BD195,'Sep-25'!$A:$J,6,0)</f>
        <v>393.3</v>
      </c>
      <c r="DD195" s="106">
        <f>+VLOOKUP($BD195,'Oct-25'!$A:$J,6,0)</f>
        <v>977.25</v>
      </c>
      <c r="DE195" s="106">
        <f>+VLOOKUP($BD195,'Nov-25'!$A:$J,6,0)</f>
        <v>0</v>
      </c>
      <c r="DF195" s="106">
        <f>+VLOOKUP($BD195,'Dec-25'!$A:$J,6,0)</f>
        <v>0</v>
      </c>
      <c r="DG195" s="106">
        <f t="shared" si="2337"/>
        <v>3256.1440329218099</v>
      </c>
      <c r="DH195" s="118">
        <f t="shared" si="1881"/>
        <v>0.6512250070402702</v>
      </c>
      <c r="DI195" s="106">
        <f>+_xlfn.XLOOKUP($CT195,Budget!$A:$A,Budget!BQ:BQ)</f>
        <v>591.83333333333337</v>
      </c>
      <c r="DJ195" s="106">
        <f>+_xlfn.XLOOKUP($CT195,Budget!$A:$A,Budget!BR:BR)</f>
        <v>591.83333333333337</v>
      </c>
      <c r="DK195" s="106">
        <f>+_xlfn.XLOOKUP($CT195,Budget!$A:$A,Budget!BS:BS)</f>
        <v>591.83333333333337</v>
      </c>
      <c r="DL195" s="106">
        <f>+_xlfn.XLOOKUP($CT195,Budget!$A:$A,Budget!BT:BT)</f>
        <v>591.83333333333337</v>
      </c>
      <c r="DM195" s="106">
        <f>+_xlfn.XLOOKUP($CT195,Budget!$A:$A,Budget!BU:BU)</f>
        <v>591.83333333333337</v>
      </c>
      <c r="DN195" s="106">
        <f>+_xlfn.XLOOKUP($CT195,Budget!$A:$A,Budget!BV:BV)</f>
        <v>591.83333333333337</v>
      </c>
      <c r="DO195" s="106">
        <f>+_xlfn.XLOOKUP($CT195,Budget!$A:$A,Budget!BW:BW)</f>
        <v>591.83333333333337</v>
      </c>
      <c r="DP195" s="106">
        <f>+_xlfn.XLOOKUP($CT195,Budget!$A:$A,Budget!BX:BX)</f>
        <v>591.83333333333337</v>
      </c>
      <c r="DQ195" s="106">
        <f>+_xlfn.XLOOKUP($CT195,Budget!$A:$A,Budget!BY:BY)</f>
        <v>591.83333333333337</v>
      </c>
      <c r="DR195" s="106">
        <f>+_xlfn.XLOOKUP($CT195,Budget!$A:$A,Budget!BZ:BZ)</f>
        <v>591.83333333333337</v>
      </c>
      <c r="DS195" s="106">
        <f>+_xlfn.XLOOKUP($CT195,Budget!$A:$A,Budget!CA:CA)</f>
        <v>591.83333333333337</v>
      </c>
      <c r="DT195" s="106">
        <f>+_xlfn.XLOOKUP($CT195,Budget!$A:$A,Budget!CB:CB)</f>
        <v>591.83333333333337</v>
      </c>
      <c r="DU195" s="106">
        <f t="shared" si="2338"/>
        <v>7101.9999999999991</v>
      </c>
    </row>
    <row r="196" spans="1:125" ht="14.45" hidden="1" customHeight="1" outlineLevel="2">
      <c r="A196" s="106">
        <f t="shared" si="2294"/>
        <v>1375.06</v>
      </c>
      <c r="B196" s="106">
        <f t="shared" si="2295"/>
        <v>1375</v>
      </c>
      <c r="C196" s="106">
        <f t="shared" si="2296"/>
        <v>41731.26</v>
      </c>
      <c r="D196" s="106">
        <f t="shared" si="2297"/>
        <v>1375</v>
      </c>
      <c r="E196" s="106">
        <f t="shared" si="2298"/>
        <v>1375</v>
      </c>
      <c r="F196" s="106">
        <f t="shared" si="2299"/>
        <v>1375</v>
      </c>
      <c r="G196" s="106">
        <f t="shared" si="2300"/>
        <v>1375</v>
      </c>
      <c r="H196" s="106">
        <f t="shared" si="2301"/>
        <v>20615</v>
      </c>
      <c r="I196" s="106">
        <f t="shared" si="2302"/>
        <v>1375.06</v>
      </c>
      <c r="J196" s="106">
        <f t="shared" si="2303"/>
        <v>0</v>
      </c>
      <c r="K196" s="106">
        <f t="shared" si="2304"/>
        <v>15862.560000000001</v>
      </c>
      <c r="L196" s="106">
        <f t="shared" si="2305"/>
        <v>1375</v>
      </c>
      <c r="M196" s="106">
        <f t="shared" si="2306"/>
        <v>89208.94</v>
      </c>
      <c r="N196" s="16" t="s">
        <v>233</v>
      </c>
      <c r="O196" s="106">
        <f t="shared" si="2307"/>
        <v>1375</v>
      </c>
      <c r="P196" s="106">
        <f t="shared" si="2308"/>
        <v>1375</v>
      </c>
      <c r="Q196" s="106">
        <f t="shared" si="2309"/>
        <v>244908.06</v>
      </c>
      <c r="R196" s="106">
        <f t="shared" si="2310"/>
        <v>25990.06</v>
      </c>
      <c r="S196" s="106">
        <f t="shared" si="2311"/>
        <v>3115.06</v>
      </c>
      <c r="T196" s="106">
        <f t="shared" si="2312"/>
        <v>1375.06</v>
      </c>
      <c r="U196" s="106">
        <f t="shared" si="2313"/>
        <v>1375.059</v>
      </c>
      <c r="V196" s="106">
        <f t="shared" si="2314"/>
        <v>6375</v>
      </c>
      <c r="W196" s="106">
        <f t="shared" si="2315"/>
        <v>1569.6999999999998</v>
      </c>
      <c r="X196" s="106">
        <f t="shared" si="2316"/>
        <v>1375</v>
      </c>
      <c r="Y196" s="106">
        <f t="shared" si="2317"/>
        <v>0</v>
      </c>
      <c r="Z196" s="106">
        <f t="shared" si="2318"/>
        <v>0</v>
      </c>
      <c r="AA196" s="106">
        <f t="shared" si="2319"/>
        <v>288832.99900000001</v>
      </c>
      <c r="AB196" s="118">
        <f t="shared" si="1861"/>
        <v>-0.84057861961026747</v>
      </c>
      <c r="AC196" s="106">
        <f t="shared" si="2320"/>
        <v>8624.9409999999989</v>
      </c>
      <c r="AD196" s="106">
        <f t="shared" si="2321"/>
        <v>8624.9409999999989</v>
      </c>
      <c r="AE196" s="106">
        <f t="shared" si="2322"/>
        <v>8624.9409999999989</v>
      </c>
      <c r="AF196" s="106">
        <f t="shared" si="2323"/>
        <v>8624.9409999999989</v>
      </c>
      <c r="AG196" s="106">
        <f t="shared" si="2324"/>
        <v>8624.9409999999989</v>
      </c>
      <c r="AH196" s="106">
        <f t="shared" si="2325"/>
        <v>8624.9409999999989</v>
      </c>
      <c r="AI196" s="106">
        <f t="shared" si="2326"/>
        <v>8624.9409999999989</v>
      </c>
      <c r="AJ196" s="106">
        <f t="shared" si="2327"/>
        <v>8624.9409999999989</v>
      </c>
      <c r="AK196" s="106">
        <f t="shared" si="2328"/>
        <v>8624.9409999999989</v>
      </c>
      <c r="AL196" s="106">
        <f t="shared" si="2329"/>
        <v>8624.9409999999989</v>
      </c>
      <c r="AM196" s="106">
        <f t="shared" si="2330"/>
        <v>8624.9409999999989</v>
      </c>
      <c r="AN196" s="106">
        <f t="shared" si="2331"/>
        <v>8624.9409999999989</v>
      </c>
      <c r="AO196" s="106">
        <f t="shared" si="2332"/>
        <v>103499.29199999996</v>
      </c>
      <c r="AQ196" s="106">
        <v>0</v>
      </c>
      <c r="AR196" s="106">
        <v>0</v>
      </c>
      <c r="AS196" s="106">
        <v>40356.26</v>
      </c>
      <c r="AT196" s="106">
        <v>0</v>
      </c>
      <c r="AU196" s="106">
        <v>0</v>
      </c>
      <c r="AV196" s="106">
        <v>0</v>
      </c>
      <c r="AW196" s="106">
        <v>0</v>
      </c>
      <c r="AX196" s="106">
        <v>19240</v>
      </c>
      <c r="AY196" s="106">
        <v>0</v>
      </c>
      <c r="AZ196" s="106">
        <v>0</v>
      </c>
      <c r="BA196" s="106">
        <v>7460</v>
      </c>
      <c r="BB196" s="106">
        <v>0</v>
      </c>
      <c r="BC196" s="106">
        <f t="shared" si="2333"/>
        <v>67056.260000000009</v>
      </c>
      <c r="BD196" s="16" t="str">
        <f t="shared" si="1532"/>
        <v>Fees and Taxes</v>
      </c>
      <c r="BE196" s="106">
        <f>+VLOOKUP($BD196,'Jan-25'!$A:$J,2,0)</f>
        <v>0</v>
      </c>
      <c r="BF196" s="106">
        <f>+VLOOKUP($BD196,'Feb-25'!$A:$J,2,0)</f>
        <v>0</v>
      </c>
      <c r="BG196" s="106">
        <f>+VLOOKUP($BD196,'Mar-25'!$A:$J,2,0)</f>
        <v>243533</v>
      </c>
      <c r="BH196" s="106">
        <f>+VLOOKUP($BD196,'Apr-25'!$A:$J,2,0)</f>
        <v>24615</v>
      </c>
      <c r="BI196" s="106">
        <f>+VLOOKUP($BD196,'May-25'!$A:$J,2,0)</f>
        <v>1740</v>
      </c>
      <c r="BJ196" s="106">
        <f>+VLOOKUP($BD196,'June-25'!$A:$J,2,0)</f>
        <v>0</v>
      </c>
      <c r="BK196" s="106">
        <f>+VLOOKUP($BD196,'July-25'!$A:$J,2,0)</f>
        <v>0</v>
      </c>
      <c r="BL196" s="106">
        <f>+VLOOKUP($BD196,'Aug-25'!$A:$J,2,0)</f>
        <v>0</v>
      </c>
      <c r="BM196" s="106">
        <f>+VLOOKUP($BD196,'Sep-25'!$A:$J,2,0)</f>
        <v>141.6</v>
      </c>
      <c r="BN196" s="106">
        <f>+VLOOKUP($BD196,'Oct-25'!$A:$J,2,0)</f>
        <v>0</v>
      </c>
      <c r="BO196" s="106">
        <f>+VLOOKUP($BD196,'Nov-25'!$A:$J,2,0)</f>
        <v>0</v>
      </c>
      <c r="BP196" s="106">
        <f>+VLOOKUP($BD196,'Dec-25'!$A:$J,2,0)</f>
        <v>0</v>
      </c>
      <c r="BQ196" s="106">
        <f t="shared" si="2334"/>
        <v>270029.59999999998</v>
      </c>
      <c r="BR196" s="118">
        <f t="shared" si="1877"/>
        <v>-1</v>
      </c>
      <c r="BS196" s="106" cm="1">
        <f t="array" ref="BS196:CD196">+_xlfn.XLOOKUP(BD196,Budget!A:A,Budget!Q:AB)</f>
        <v>7249.8819999999996</v>
      </c>
      <c r="BT196" s="106">
        <v>7249.8819999999996</v>
      </c>
      <c r="BU196" s="106">
        <v>7249.8819999999996</v>
      </c>
      <c r="BV196" s="106">
        <v>7249.8819999999996</v>
      </c>
      <c r="BW196" s="106">
        <v>7249.8819999999996</v>
      </c>
      <c r="BX196" s="106">
        <v>7249.8819999999996</v>
      </c>
      <c r="BY196" s="106">
        <v>7249.8819999999996</v>
      </c>
      <c r="BZ196" s="106">
        <v>7249.8819999999996</v>
      </c>
      <c r="CA196" s="106">
        <v>7249.8819999999996</v>
      </c>
      <c r="CB196" s="106">
        <v>7249.8819999999996</v>
      </c>
      <c r="CC196" s="106">
        <v>7249.8819999999996</v>
      </c>
      <c r="CD196" s="106">
        <v>7249.8819999999996</v>
      </c>
      <c r="CE196" s="106">
        <f t="shared" si="2335"/>
        <v>86998.583999999988</v>
      </c>
      <c r="CF196" s="22"/>
      <c r="CG196" s="106">
        <v>1375.06</v>
      </c>
      <c r="CH196" s="106">
        <v>1375</v>
      </c>
      <c r="CI196" s="106">
        <v>1375</v>
      </c>
      <c r="CJ196" s="106">
        <v>1375</v>
      </c>
      <c r="CK196" s="106">
        <v>1375</v>
      </c>
      <c r="CL196" s="106">
        <v>1375</v>
      </c>
      <c r="CM196" s="106">
        <v>1375</v>
      </c>
      <c r="CN196" s="106">
        <v>1375</v>
      </c>
      <c r="CO196" s="106">
        <v>1375.06</v>
      </c>
      <c r="CP196" s="106">
        <v>0</v>
      </c>
      <c r="CQ196" s="106">
        <v>8402.5600000000013</v>
      </c>
      <c r="CR196" s="106">
        <v>1375</v>
      </c>
      <c r="CS196" s="106">
        <f t="shared" si="2336"/>
        <v>22152.68</v>
      </c>
      <c r="CT196" s="16" t="str">
        <f t="shared" si="1536"/>
        <v>Fees and Taxes</v>
      </c>
      <c r="CU196" s="106">
        <f>+VLOOKUP($BD196,'Jan-25'!$A:$J,6,0)</f>
        <v>1375</v>
      </c>
      <c r="CV196" s="106">
        <f>+VLOOKUP($BD196,'Feb-25'!$A:$J,6,0)</f>
        <v>1375</v>
      </c>
      <c r="CW196" s="106">
        <f>+VLOOKUP($BD196,'Mar-25'!$A:$J,6,0)</f>
        <v>1375.06</v>
      </c>
      <c r="CX196" s="106">
        <f>+VLOOKUP($BD196,'Apr-25'!$A:$J,6,0)</f>
        <v>1375.06</v>
      </c>
      <c r="CY196" s="106">
        <f>+VLOOKUP($BD196,'May-25'!$A:$J,6,0)</f>
        <v>1375.06</v>
      </c>
      <c r="CZ196" s="106">
        <f>+VLOOKUP($BD196,'June-25'!$A:$J,6,0)</f>
        <v>1375.06</v>
      </c>
      <c r="DA196" s="106">
        <f>+VLOOKUP($BD196,'July-25'!$A:$J,6,0)</f>
        <v>1375.059</v>
      </c>
      <c r="DB196" s="106">
        <f>+VLOOKUP($BD196,'Aug-25'!$A:$J,6,0)</f>
        <v>6375</v>
      </c>
      <c r="DC196" s="106">
        <f>+VLOOKUP($BD196,'Sep-25'!$A:$J,6,0)</f>
        <v>1428.1</v>
      </c>
      <c r="DD196" s="106">
        <f>+VLOOKUP($BD196,'Oct-25'!$A:$J,6,0)</f>
        <v>1375</v>
      </c>
      <c r="DE196" s="106">
        <f>+VLOOKUP($BD196,'Nov-25'!$A:$J,6,0)</f>
        <v>0</v>
      </c>
      <c r="DF196" s="106">
        <f>+VLOOKUP($BD196,'Dec-25'!$A:$J,6,0)</f>
        <v>0</v>
      </c>
      <c r="DG196" s="106">
        <f t="shared" si="2337"/>
        <v>18803.398999999998</v>
      </c>
      <c r="DH196" s="118">
        <f t="shared" si="1881"/>
        <v>-4.2907249797986177E-5</v>
      </c>
      <c r="DI196" s="106">
        <f>+_xlfn.XLOOKUP($CT196,Budget!$A:$A,Budget!BQ:BQ)</f>
        <v>1375.059</v>
      </c>
      <c r="DJ196" s="106">
        <f>+_xlfn.XLOOKUP($CT196,Budget!$A:$A,Budget!BR:BR)</f>
        <v>1375.059</v>
      </c>
      <c r="DK196" s="106">
        <f>+_xlfn.XLOOKUP($CT196,Budget!$A:$A,Budget!BS:BS)</f>
        <v>1375.059</v>
      </c>
      <c r="DL196" s="106">
        <f>+_xlfn.XLOOKUP($CT196,Budget!$A:$A,Budget!BT:BT)</f>
        <v>1375.059</v>
      </c>
      <c r="DM196" s="106">
        <f>+_xlfn.XLOOKUP($CT196,Budget!$A:$A,Budget!BU:BU)</f>
        <v>1375.059</v>
      </c>
      <c r="DN196" s="106">
        <f>+_xlfn.XLOOKUP($CT196,Budget!$A:$A,Budget!BV:BV)</f>
        <v>1375.059</v>
      </c>
      <c r="DO196" s="106">
        <f>+_xlfn.XLOOKUP($CT196,Budget!$A:$A,Budget!BW:BW)</f>
        <v>1375.059</v>
      </c>
      <c r="DP196" s="106">
        <f>+_xlfn.XLOOKUP($CT196,Budget!$A:$A,Budget!BX:BX)</f>
        <v>1375.059</v>
      </c>
      <c r="DQ196" s="106">
        <f>+_xlfn.XLOOKUP($CT196,Budget!$A:$A,Budget!BY:BY)</f>
        <v>1375.059</v>
      </c>
      <c r="DR196" s="106">
        <f>+_xlfn.XLOOKUP($CT196,Budget!$A:$A,Budget!BZ:BZ)</f>
        <v>1375.059</v>
      </c>
      <c r="DS196" s="106">
        <f>+_xlfn.XLOOKUP($CT196,Budget!$A:$A,Budget!CA:CA)</f>
        <v>1375.059</v>
      </c>
      <c r="DT196" s="106">
        <f>+_xlfn.XLOOKUP($CT196,Budget!$A:$A,Budget!CB:CB)</f>
        <v>1375.059</v>
      </c>
      <c r="DU196" s="106">
        <f t="shared" si="2338"/>
        <v>16500.707999999995</v>
      </c>
    </row>
    <row r="197" spans="1:125" ht="14.45" hidden="1" customHeight="1" outlineLevel="2">
      <c r="A197" s="106">
        <f t="shared" si="2294"/>
        <v>0</v>
      </c>
      <c r="B197" s="106">
        <f t="shared" si="2295"/>
        <v>0</v>
      </c>
      <c r="C197" s="106">
        <f t="shared" si="2296"/>
        <v>0</v>
      </c>
      <c r="D197" s="106">
        <f t="shared" si="2297"/>
        <v>0</v>
      </c>
      <c r="E197" s="106">
        <f t="shared" si="2298"/>
        <v>0</v>
      </c>
      <c r="F197" s="106">
        <f t="shared" si="2299"/>
        <v>0</v>
      </c>
      <c r="G197" s="106">
        <f t="shared" si="2300"/>
        <v>0</v>
      </c>
      <c r="H197" s="106">
        <f t="shared" si="2301"/>
        <v>0</v>
      </c>
      <c r="I197" s="106">
        <f t="shared" si="2302"/>
        <v>0</v>
      </c>
      <c r="J197" s="106">
        <f t="shared" si="2303"/>
        <v>0</v>
      </c>
      <c r="K197" s="106">
        <f t="shared" si="2304"/>
        <v>0</v>
      </c>
      <c r="L197" s="106">
        <f t="shared" si="2305"/>
        <v>0</v>
      </c>
      <c r="M197" s="106">
        <f t="shared" si="2306"/>
        <v>0</v>
      </c>
      <c r="N197" s="16" t="s">
        <v>165</v>
      </c>
      <c r="O197" s="106">
        <f t="shared" si="2307"/>
        <v>0</v>
      </c>
      <c r="P197" s="106">
        <f t="shared" si="2308"/>
        <v>0</v>
      </c>
      <c r="Q197" s="106">
        <f t="shared" si="2309"/>
        <v>0</v>
      </c>
      <c r="R197" s="106">
        <f t="shared" si="2310"/>
        <v>0</v>
      </c>
      <c r="S197" s="106">
        <f t="shared" si="2311"/>
        <v>0</v>
      </c>
      <c r="T197" s="106">
        <f t="shared" si="2312"/>
        <v>0</v>
      </c>
      <c r="U197" s="106">
        <f t="shared" si="2313"/>
        <v>0</v>
      </c>
      <c r="V197" s="106">
        <f t="shared" si="2314"/>
        <v>0</v>
      </c>
      <c r="W197" s="106">
        <f t="shared" si="2315"/>
        <v>0</v>
      </c>
      <c r="X197" s="106">
        <f t="shared" si="2316"/>
        <v>0</v>
      </c>
      <c r="Y197" s="106">
        <f t="shared" si="2317"/>
        <v>0</v>
      </c>
      <c r="Z197" s="106">
        <f t="shared" si="2318"/>
        <v>0</v>
      </c>
      <c r="AA197" s="106">
        <f t="shared" si="2319"/>
        <v>0</v>
      </c>
      <c r="AB197" s="118">
        <f t="shared" si="1861"/>
        <v>0</v>
      </c>
      <c r="AC197" s="106">
        <f t="shared" si="2320"/>
        <v>0</v>
      </c>
      <c r="AD197" s="106">
        <f t="shared" si="2321"/>
        <v>0</v>
      </c>
      <c r="AE197" s="106">
        <f t="shared" si="2322"/>
        <v>0</v>
      </c>
      <c r="AF197" s="106">
        <f t="shared" si="2323"/>
        <v>0</v>
      </c>
      <c r="AG197" s="106">
        <f t="shared" si="2324"/>
        <v>0</v>
      </c>
      <c r="AH197" s="106">
        <f t="shared" si="2325"/>
        <v>0</v>
      </c>
      <c r="AI197" s="106">
        <f t="shared" si="2326"/>
        <v>0</v>
      </c>
      <c r="AJ197" s="106">
        <f t="shared" si="2327"/>
        <v>0</v>
      </c>
      <c r="AK197" s="106">
        <f t="shared" si="2328"/>
        <v>0</v>
      </c>
      <c r="AL197" s="106">
        <f t="shared" si="2329"/>
        <v>0</v>
      </c>
      <c r="AM197" s="106">
        <f t="shared" si="2330"/>
        <v>0</v>
      </c>
      <c r="AN197" s="106">
        <f t="shared" si="2331"/>
        <v>0</v>
      </c>
      <c r="AO197" s="106">
        <f t="shared" si="2332"/>
        <v>0</v>
      </c>
      <c r="AQ197" s="106">
        <v>0</v>
      </c>
      <c r="AR197" s="106">
        <v>0</v>
      </c>
      <c r="AS197" s="106">
        <v>0</v>
      </c>
      <c r="AT197" s="106">
        <v>0</v>
      </c>
      <c r="AU197" s="106">
        <v>0</v>
      </c>
      <c r="AV197" s="106">
        <v>0</v>
      </c>
      <c r="AW197" s="106">
        <v>0</v>
      </c>
      <c r="AX197" s="106">
        <v>0</v>
      </c>
      <c r="AY197" s="106">
        <v>0</v>
      </c>
      <c r="AZ197" s="106">
        <v>0</v>
      </c>
      <c r="BA197" s="106">
        <v>0</v>
      </c>
      <c r="BB197" s="106">
        <v>0</v>
      </c>
      <c r="BC197" s="106">
        <f t="shared" si="2333"/>
        <v>0</v>
      </c>
      <c r="BD197" s="16" t="str">
        <f t="shared" si="1532"/>
        <v>Lux Elements Expenses</v>
      </c>
      <c r="BE197" s="106">
        <f>+VLOOKUP($BD197,'Jan-25'!$A:$J,2,0)</f>
        <v>0</v>
      </c>
      <c r="BF197" s="106">
        <f>+VLOOKUP($BD197,'Feb-25'!$A:$J,2,0)</f>
        <v>0</v>
      </c>
      <c r="BG197" s="106">
        <f>+VLOOKUP($BD197,'Mar-25'!$A:$J,2,0)</f>
        <v>0</v>
      </c>
      <c r="BH197" s="106">
        <f>+VLOOKUP($BD197,'Apr-25'!$A:$J,2,0)</f>
        <v>0</v>
      </c>
      <c r="BI197" s="106">
        <f>+VLOOKUP($BD197,'May-25'!$A:$J,2,0)</f>
        <v>0</v>
      </c>
      <c r="BJ197" s="106">
        <f>+VLOOKUP($BD197,'June-25'!$A:$J,2,0)</f>
        <v>0</v>
      </c>
      <c r="BK197" s="106">
        <f>+VLOOKUP($BD197,'July-25'!$A:$J,2,0)</f>
        <v>0</v>
      </c>
      <c r="BL197" s="106">
        <f>+VLOOKUP($BD197,'Aug-25'!$A:$J,2,0)</f>
        <v>0</v>
      </c>
      <c r="BM197" s="106">
        <f>+VLOOKUP($BD197,'Sep-25'!$A:$J,2,0)</f>
        <v>0</v>
      </c>
      <c r="BN197" s="106">
        <f>+VLOOKUP($BD197,'Oct-25'!$A:$J,2,0)</f>
        <v>0</v>
      </c>
      <c r="BO197" s="106">
        <f>+VLOOKUP($BD197,'Nov-25'!$A:$J,2,0)</f>
        <v>0</v>
      </c>
      <c r="BP197" s="106">
        <f>+VLOOKUP($BD197,'Dec-25'!$A:$J,2,0)</f>
        <v>0</v>
      </c>
      <c r="BQ197" s="106">
        <f t="shared" si="2334"/>
        <v>0</v>
      </c>
      <c r="BR197" s="118">
        <f t="shared" si="1877"/>
        <v>0</v>
      </c>
      <c r="BS197" s="106" cm="1">
        <f t="array" ref="BS197:CD197">+_xlfn.XLOOKUP(BD197,Budget!A:A,Budget!Q:AB)</f>
        <v>0</v>
      </c>
      <c r="BT197" s="106">
        <v>0</v>
      </c>
      <c r="BU197" s="106">
        <v>0</v>
      </c>
      <c r="BV197" s="106">
        <v>0</v>
      </c>
      <c r="BW197" s="106">
        <v>0</v>
      </c>
      <c r="BX197" s="106">
        <v>0</v>
      </c>
      <c r="BY197" s="106">
        <v>0</v>
      </c>
      <c r="BZ197" s="106">
        <v>0</v>
      </c>
      <c r="CA197" s="106">
        <v>0</v>
      </c>
      <c r="CB197" s="106">
        <v>0</v>
      </c>
      <c r="CC197" s="106">
        <v>0</v>
      </c>
      <c r="CD197" s="106">
        <v>0</v>
      </c>
      <c r="CE197" s="106">
        <f t="shared" si="2335"/>
        <v>0</v>
      </c>
      <c r="CF197" s="22"/>
      <c r="CG197" s="106">
        <v>0</v>
      </c>
      <c r="CH197" s="106">
        <v>0</v>
      </c>
      <c r="CI197" s="106">
        <v>0</v>
      </c>
      <c r="CJ197" s="106">
        <v>0</v>
      </c>
      <c r="CK197" s="106">
        <v>0</v>
      </c>
      <c r="CL197" s="106">
        <v>0</v>
      </c>
      <c r="CM197" s="106">
        <v>0</v>
      </c>
      <c r="CN197" s="106">
        <v>0</v>
      </c>
      <c r="CO197" s="106">
        <v>0</v>
      </c>
      <c r="CP197" s="106">
        <v>0</v>
      </c>
      <c r="CQ197" s="106">
        <v>0</v>
      </c>
      <c r="CR197" s="106">
        <v>0</v>
      </c>
      <c r="CS197" s="106">
        <f t="shared" si="2336"/>
        <v>0</v>
      </c>
      <c r="CT197" s="16" t="str">
        <f t="shared" si="1536"/>
        <v>Lux Elements Expenses</v>
      </c>
      <c r="CU197" s="106">
        <f>+VLOOKUP($BD197,'Jan-25'!$A:$J,6,0)</f>
        <v>0</v>
      </c>
      <c r="CV197" s="106">
        <f>+VLOOKUP($BD197,'Feb-25'!$A:$J,6,0)</f>
        <v>0</v>
      </c>
      <c r="CW197" s="106">
        <f>+VLOOKUP($BD197,'Mar-25'!$A:$J,6,0)</f>
        <v>0</v>
      </c>
      <c r="CX197" s="106">
        <f>+VLOOKUP($BD197,'Apr-25'!$A:$J,6,0)</f>
        <v>0</v>
      </c>
      <c r="CY197" s="106">
        <f>+VLOOKUP($BD197,'May-25'!$A:$J,6,0)</f>
        <v>0</v>
      </c>
      <c r="CZ197" s="106">
        <f>+VLOOKUP($BD197,'June-25'!$A:$J,6,0)</f>
        <v>0</v>
      </c>
      <c r="DA197" s="106">
        <f>+VLOOKUP($BD197,'July-25'!$A:$J,6,0)</f>
        <v>0</v>
      </c>
      <c r="DB197" s="106">
        <f>+VLOOKUP($BD197,'Aug-25'!$A:$J,6,0)</f>
        <v>0</v>
      </c>
      <c r="DC197" s="106">
        <f>+VLOOKUP($BD197,'Sep-25'!$A:$J,6,0)</f>
        <v>0</v>
      </c>
      <c r="DD197" s="106">
        <f>+VLOOKUP($BD197,'Oct-25'!$A:$J,6,0)</f>
        <v>0</v>
      </c>
      <c r="DE197" s="106">
        <f>+VLOOKUP($BD197,'Nov-25'!$A:$J,6,0)</f>
        <v>0</v>
      </c>
      <c r="DF197" s="106">
        <f>+VLOOKUP($BD197,'Dec-25'!$A:$J,6,0)</f>
        <v>0</v>
      </c>
      <c r="DG197" s="106">
        <f t="shared" si="2337"/>
        <v>0</v>
      </c>
      <c r="DH197" s="118">
        <f t="shared" si="1881"/>
        <v>0</v>
      </c>
      <c r="DI197" s="106">
        <f>+_xlfn.XLOOKUP($CT197,Budget!$A:$A,Budget!BQ:BQ)</f>
        <v>0</v>
      </c>
      <c r="DJ197" s="106">
        <f>+_xlfn.XLOOKUP($CT197,Budget!$A:$A,Budget!BR:BR)</f>
        <v>0</v>
      </c>
      <c r="DK197" s="106">
        <f>+_xlfn.XLOOKUP($CT197,Budget!$A:$A,Budget!BS:BS)</f>
        <v>0</v>
      </c>
      <c r="DL197" s="106">
        <f>+_xlfn.XLOOKUP($CT197,Budget!$A:$A,Budget!BT:BT)</f>
        <v>0</v>
      </c>
      <c r="DM197" s="106">
        <f>+_xlfn.XLOOKUP($CT197,Budget!$A:$A,Budget!BU:BU)</f>
        <v>0</v>
      </c>
      <c r="DN197" s="106">
        <f>+_xlfn.XLOOKUP($CT197,Budget!$A:$A,Budget!BV:BV)</f>
        <v>0</v>
      </c>
      <c r="DO197" s="106">
        <f>+_xlfn.XLOOKUP($CT197,Budget!$A:$A,Budget!BW:BW)</f>
        <v>0</v>
      </c>
      <c r="DP197" s="106">
        <f>+_xlfn.XLOOKUP($CT197,Budget!$A:$A,Budget!BX:BX)</f>
        <v>0</v>
      </c>
      <c r="DQ197" s="106">
        <f>+_xlfn.XLOOKUP($CT197,Budget!$A:$A,Budget!BY:BY)</f>
        <v>0</v>
      </c>
      <c r="DR197" s="106">
        <f>+_xlfn.XLOOKUP($CT197,Budget!$A:$A,Budget!BZ:BZ)</f>
        <v>0</v>
      </c>
      <c r="DS197" s="106">
        <f>+_xlfn.XLOOKUP($CT197,Budget!$A:$A,Budget!CA:CA)</f>
        <v>0</v>
      </c>
      <c r="DT197" s="106">
        <f>+_xlfn.XLOOKUP($CT197,Budget!$A:$A,Budget!CB:CB)</f>
        <v>0</v>
      </c>
      <c r="DU197" s="106">
        <f t="shared" si="2338"/>
        <v>0</v>
      </c>
    </row>
    <row r="198" spans="1:125" ht="14.45" hidden="1" customHeight="1" outlineLevel="2">
      <c r="A198" s="106">
        <f t="shared" si="2294"/>
        <v>86477.324999999997</v>
      </c>
      <c r="B198" s="106">
        <f t="shared" si="2295"/>
        <v>65127.378000000004</v>
      </c>
      <c r="C198" s="106">
        <f t="shared" si="2296"/>
        <v>83632.84</v>
      </c>
      <c r="D198" s="106">
        <f t="shared" si="2297"/>
        <v>41905.395000000004</v>
      </c>
      <c r="E198" s="106">
        <f t="shared" si="2298"/>
        <v>91958.625</v>
      </c>
      <c r="F198" s="106">
        <f t="shared" si="2299"/>
        <v>93496.794999999998</v>
      </c>
      <c r="G198" s="106">
        <f t="shared" si="2300"/>
        <v>50068.18</v>
      </c>
      <c r="H198" s="106">
        <f t="shared" si="2301"/>
        <v>31314.246999999996</v>
      </c>
      <c r="I198" s="106">
        <f t="shared" si="2302"/>
        <v>60356.05</v>
      </c>
      <c r="J198" s="106">
        <f t="shared" si="2303"/>
        <v>23651.114999999998</v>
      </c>
      <c r="K198" s="106">
        <f t="shared" si="2304"/>
        <v>102386.65</v>
      </c>
      <c r="L198" s="106">
        <f t="shared" si="2305"/>
        <v>58906.735000000001</v>
      </c>
      <c r="M198" s="106">
        <f t="shared" si="2306"/>
        <v>789281.33500000008</v>
      </c>
      <c r="N198" s="16" t="s">
        <v>166</v>
      </c>
      <c r="O198" s="106">
        <f t="shared" si="2307"/>
        <v>70670.764999999999</v>
      </c>
      <c r="P198" s="106">
        <f t="shared" si="2308"/>
        <v>42420.45</v>
      </c>
      <c r="Q198" s="106">
        <f t="shared" si="2309"/>
        <v>27489.26</v>
      </c>
      <c r="R198" s="106">
        <f t="shared" si="2310"/>
        <v>52744.36</v>
      </c>
      <c r="S198" s="106">
        <f t="shared" si="2311"/>
        <v>50418.525000000001</v>
      </c>
      <c r="T198" s="106">
        <f t="shared" si="2312"/>
        <v>124490.45</v>
      </c>
      <c r="U198" s="106">
        <f t="shared" si="2313"/>
        <v>51529.05</v>
      </c>
      <c r="V198" s="106">
        <f t="shared" si="2314"/>
        <v>59168.244999999995</v>
      </c>
      <c r="W198" s="106">
        <f t="shared" si="2315"/>
        <v>33931.695</v>
      </c>
      <c r="X198" s="106">
        <f t="shared" si="2316"/>
        <v>46353.565000000002</v>
      </c>
      <c r="Y198" s="106">
        <f t="shared" si="2317"/>
        <v>0</v>
      </c>
      <c r="Z198" s="106">
        <f t="shared" si="2318"/>
        <v>0</v>
      </c>
      <c r="AA198" s="106">
        <f t="shared" si="2319"/>
        <v>559216.36499999999</v>
      </c>
      <c r="AB198" s="118">
        <f t="shared" si="1861"/>
        <v>-0.22990488769271661</v>
      </c>
      <c r="AC198" s="106">
        <f t="shared" si="2320"/>
        <v>60192</v>
      </c>
      <c r="AD198" s="106">
        <f t="shared" si="2321"/>
        <v>60192</v>
      </c>
      <c r="AE198" s="106">
        <f t="shared" si="2322"/>
        <v>60192</v>
      </c>
      <c r="AF198" s="106">
        <f t="shared" si="2323"/>
        <v>60192</v>
      </c>
      <c r="AG198" s="106">
        <f t="shared" si="2324"/>
        <v>60192</v>
      </c>
      <c r="AH198" s="106">
        <f t="shared" si="2325"/>
        <v>60192</v>
      </c>
      <c r="AI198" s="106">
        <f t="shared" si="2326"/>
        <v>60192</v>
      </c>
      <c r="AJ198" s="106">
        <f t="shared" si="2327"/>
        <v>60192</v>
      </c>
      <c r="AK198" s="106">
        <f t="shared" si="2328"/>
        <v>60192</v>
      </c>
      <c r="AL198" s="106">
        <f t="shared" si="2329"/>
        <v>60192</v>
      </c>
      <c r="AM198" s="106">
        <f t="shared" si="2330"/>
        <v>60192</v>
      </c>
      <c r="AN198" s="106">
        <f t="shared" si="2331"/>
        <v>60192</v>
      </c>
      <c r="AO198" s="106">
        <f t="shared" si="2332"/>
        <v>722304</v>
      </c>
      <c r="AQ198" s="106">
        <v>60997.59</v>
      </c>
      <c r="AR198" s="106">
        <v>52552.184000000001</v>
      </c>
      <c r="AS198" s="106">
        <v>58791.199999999997</v>
      </c>
      <c r="AT198" s="106">
        <v>38000.050000000003</v>
      </c>
      <c r="AU198" s="106">
        <v>78714.05</v>
      </c>
      <c r="AV198" s="106">
        <v>88305.01</v>
      </c>
      <c r="AW198" s="106">
        <v>41980.75</v>
      </c>
      <c r="AX198" s="106">
        <v>24389.935999999998</v>
      </c>
      <c r="AY198" s="106">
        <v>41145</v>
      </c>
      <c r="AZ198" s="106">
        <v>19876</v>
      </c>
      <c r="BA198" s="106">
        <v>67984.33</v>
      </c>
      <c r="BB198" s="106">
        <v>43843.270000000004</v>
      </c>
      <c r="BC198" s="106">
        <f t="shared" si="2333"/>
        <v>616579.37</v>
      </c>
      <c r="BD198" s="16" t="str">
        <f t="shared" ref="BD198:BD250" si="2339">N198</f>
        <v>Office Expenses</v>
      </c>
      <c r="BE198" s="106">
        <f>+VLOOKUP($BD198,'Jan-25'!$A:$J,2,0)</f>
        <v>55084.34</v>
      </c>
      <c r="BF198" s="106">
        <f>+VLOOKUP($BD198,'Feb-25'!$A:$J,2,0)</f>
        <v>28752.3</v>
      </c>
      <c r="BG198" s="106">
        <f>+VLOOKUP($BD198,'Mar-25'!$A:$J,2,0)</f>
        <v>22854.46</v>
      </c>
      <c r="BH198" s="106">
        <f>+VLOOKUP($BD198,'Apr-25'!$A:$J,2,0)</f>
        <v>36142.71</v>
      </c>
      <c r="BI198" s="106">
        <f>+VLOOKUP($BD198,'May-25'!$A:$J,2,0)</f>
        <v>37297.58</v>
      </c>
      <c r="BJ198" s="106">
        <f>+VLOOKUP($BD198,'June-25'!$A:$J,2,0)</f>
        <v>65569.81</v>
      </c>
      <c r="BK198" s="106">
        <f>+VLOOKUP($BD198,'July-25'!$A:$J,2,0)</f>
        <v>38350</v>
      </c>
      <c r="BL198" s="106">
        <f>+VLOOKUP($BD198,'Aug-25'!$A:$J,2,0)</f>
        <v>39395</v>
      </c>
      <c r="BM198" s="106">
        <f>+VLOOKUP($BD198,'Sep-25'!$A:$J,2,0)</f>
        <v>23187</v>
      </c>
      <c r="BN198" s="106">
        <f>+VLOOKUP($BD198,'Oct-25'!$A:$J,2,0)</f>
        <v>33526.33</v>
      </c>
      <c r="BO198" s="106">
        <f>+VLOOKUP($BD198,'Nov-25'!$A:$J,2,0)</f>
        <v>0</v>
      </c>
      <c r="BP198" s="106">
        <f>+VLOOKUP($BD198,'Dec-25'!$A:$J,2,0)</f>
        <v>0</v>
      </c>
      <c r="BQ198" s="106">
        <f t="shared" si="2334"/>
        <v>380159.53</v>
      </c>
      <c r="BR198" s="118">
        <f t="shared" si="1877"/>
        <v>-0.23413902595029235</v>
      </c>
      <c r="BS198" s="106" cm="1">
        <f t="array" ref="BS198:CD198">+_xlfn.XLOOKUP(BD198,Budget!A:A,Budget!Q:AB)</f>
        <v>43776</v>
      </c>
      <c r="BT198" s="106">
        <v>43776</v>
      </c>
      <c r="BU198" s="106">
        <v>43776</v>
      </c>
      <c r="BV198" s="106">
        <v>43776</v>
      </c>
      <c r="BW198" s="106">
        <v>43776</v>
      </c>
      <c r="BX198" s="106">
        <v>43776</v>
      </c>
      <c r="BY198" s="106">
        <v>43776</v>
      </c>
      <c r="BZ198" s="106">
        <v>43776</v>
      </c>
      <c r="CA198" s="106">
        <v>43776</v>
      </c>
      <c r="CB198" s="106">
        <v>43776</v>
      </c>
      <c r="CC198" s="106">
        <v>43776</v>
      </c>
      <c r="CD198" s="106">
        <v>43776</v>
      </c>
      <c r="CE198" s="106">
        <f t="shared" si="2335"/>
        <v>525312</v>
      </c>
      <c r="CF198" s="22"/>
      <c r="CG198" s="106">
        <v>25479.735000000001</v>
      </c>
      <c r="CH198" s="106">
        <v>12575.194000000001</v>
      </c>
      <c r="CI198" s="106">
        <v>24841.640000000003</v>
      </c>
      <c r="CJ198" s="106">
        <v>3905.3449999999998</v>
      </c>
      <c r="CK198" s="106">
        <v>13244.575000000001</v>
      </c>
      <c r="CL198" s="106">
        <v>5191.7849999999999</v>
      </c>
      <c r="CM198" s="106">
        <v>8087.43</v>
      </c>
      <c r="CN198" s="106">
        <v>6924.3109999999997</v>
      </c>
      <c r="CO198" s="106">
        <v>19211.05</v>
      </c>
      <c r="CP198" s="106">
        <v>3775.1149999999998</v>
      </c>
      <c r="CQ198" s="106">
        <v>34402.32</v>
      </c>
      <c r="CR198" s="106">
        <v>15063.465</v>
      </c>
      <c r="CS198" s="106">
        <f t="shared" si="2336"/>
        <v>172701.965</v>
      </c>
      <c r="CT198" s="16" t="str">
        <f t="shared" ref="CT198:CT250" si="2340">BD198</f>
        <v>Office Expenses</v>
      </c>
      <c r="CU198" s="106">
        <f>+VLOOKUP($BD198,'Jan-25'!$A:$J,6,0)</f>
        <v>15586.424999999999</v>
      </c>
      <c r="CV198" s="106">
        <f>+VLOOKUP($BD198,'Feb-25'!$A:$J,6,0)</f>
        <v>13668.15</v>
      </c>
      <c r="CW198" s="106">
        <f>+VLOOKUP($BD198,'Mar-25'!$A:$J,6,0)</f>
        <v>4634.7999999999993</v>
      </c>
      <c r="CX198" s="106">
        <f>+VLOOKUP($BD198,'Apr-25'!$A:$J,6,0)</f>
        <v>16601.650000000001</v>
      </c>
      <c r="CY198" s="106">
        <f>+VLOOKUP($BD198,'May-25'!$A:$J,6,0)</f>
        <v>13120.945</v>
      </c>
      <c r="CZ198" s="106">
        <f>+VLOOKUP($BD198,'June-25'!$A:$J,6,0)</f>
        <v>58920.639999999999</v>
      </c>
      <c r="DA198" s="106">
        <f>+VLOOKUP($BD198,'July-25'!$A:$J,6,0)</f>
        <v>13179.05</v>
      </c>
      <c r="DB198" s="106">
        <f>+VLOOKUP($BD198,'Aug-25'!$A:$J,6,0)</f>
        <v>19773.244999999999</v>
      </c>
      <c r="DC198" s="106">
        <f>+VLOOKUP($BD198,'Sep-25'!$A:$J,6,0)</f>
        <v>10744.695</v>
      </c>
      <c r="DD198" s="106">
        <f>+VLOOKUP($BD198,'Oct-25'!$A:$J,6,0)</f>
        <v>12827.234999999999</v>
      </c>
      <c r="DE198" s="106">
        <f>+VLOOKUP($BD198,'Nov-25'!$A:$J,6,0)</f>
        <v>0</v>
      </c>
      <c r="DF198" s="106">
        <f>+VLOOKUP($BD198,'Dec-25'!$A:$J,6,0)</f>
        <v>0</v>
      </c>
      <c r="DG198" s="106">
        <f t="shared" si="2337"/>
        <v>179056.83499999999</v>
      </c>
      <c r="DH198" s="118">
        <f t="shared" si="1881"/>
        <v>-0.21861385233918137</v>
      </c>
      <c r="DI198" s="106">
        <f>+_xlfn.XLOOKUP($CT198,Budget!$A:$A,Budget!BQ:BQ)</f>
        <v>16416</v>
      </c>
      <c r="DJ198" s="106">
        <f>+_xlfn.XLOOKUP($CT198,Budget!$A:$A,Budget!BR:BR)</f>
        <v>16416</v>
      </c>
      <c r="DK198" s="106">
        <f>+_xlfn.XLOOKUP($CT198,Budget!$A:$A,Budget!BS:BS)</f>
        <v>16416</v>
      </c>
      <c r="DL198" s="106">
        <f>+_xlfn.XLOOKUP($CT198,Budget!$A:$A,Budget!BT:BT)</f>
        <v>16416</v>
      </c>
      <c r="DM198" s="106">
        <f>+_xlfn.XLOOKUP($CT198,Budget!$A:$A,Budget!BU:BU)</f>
        <v>16416</v>
      </c>
      <c r="DN198" s="106">
        <f>+_xlfn.XLOOKUP($CT198,Budget!$A:$A,Budget!BV:BV)</f>
        <v>16416</v>
      </c>
      <c r="DO198" s="106">
        <f>+_xlfn.XLOOKUP($CT198,Budget!$A:$A,Budget!BW:BW)</f>
        <v>16416</v>
      </c>
      <c r="DP198" s="106">
        <f>+_xlfn.XLOOKUP($CT198,Budget!$A:$A,Budget!BX:BX)</f>
        <v>16416</v>
      </c>
      <c r="DQ198" s="106">
        <f>+_xlfn.XLOOKUP($CT198,Budget!$A:$A,Budget!BY:BY)</f>
        <v>16416</v>
      </c>
      <c r="DR198" s="106">
        <f>+_xlfn.XLOOKUP($CT198,Budget!$A:$A,Budget!BZ:BZ)</f>
        <v>16416</v>
      </c>
      <c r="DS198" s="106">
        <f>+_xlfn.XLOOKUP($CT198,Budget!$A:$A,Budget!CA:CA)</f>
        <v>16416</v>
      </c>
      <c r="DT198" s="106">
        <f>+_xlfn.XLOOKUP($CT198,Budget!$A:$A,Budget!CB:CB)</f>
        <v>16416</v>
      </c>
      <c r="DU198" s="106">
        <f t="shared" si="2338"/>
        <v>196992</v>
      </c>
    </row>
    <row r="199" spans="1:125" ht="14.45" hidden="1" customHeight="1" outlineLevel="2">
      <c r="A199" s="106">
        <f t="shared" si="2294"/>
        <v>6790.5250000000005</v>
      </c>
      <c r="B199" s="106">
        <f t="shared" si="2295"/>
        <v>13203.869999999999</v>
      </c>
      <c r="C199" s="106">
        <f t="shared" si="2296"/>
        <v>10785.55</v>
      </c>
      <c r="D199" s="106">
        <f t="shared" si="2297"/>
        <v>9054.1</v>
      </c>
      <c r="E199" s="106">
        <f t="shared" si="2298"/>
        <v>20596.725000000002</v>
      </c>
      <c r="F199" s="106">
        <f t="shared" si="2299"/>
        <v>10769.970000000001</v>
      </c>
      <c r="G199" s="106">
        <f t="shared" si="2300"/>
        <v>28793.87</v>
      </c>
      <c r="H199" s="106">
        <f t="shared" si="2301"/>
        <v>19475.12</v>
      </c>
      <c r="I199" s="106">
        <f t="shared" si="2302"/>
        <v>3727.67</v>
      </c>
      <c r="J199" s="106">
        <f t="shared" si="2303"/>
        <v>18210.935000000001</v>
      </c>
      <c r="K199" s="106">
        <f t="shared" si="2304"/>
        <v>11029.485000000001</v>
      </c>
      <c r="L199" s="106">
        <f t="shared" si="2305"/>
        <v>28764.41</v>
      </c>
      <c r="M199" s="106">
        <f t="shared" si="2306"/>
        <v>181202.23</v>
      </c>
      <c r="N199" s="16" t="s">
        <v>167</v>
      </c>
      <c r="O199" s="106">
        <f t="shared" si="2307"/>
        <v>28600.840000000004</v>
      </c>
      <c r="P199" s="106">
        <f t="shared" si="2308"/>
        <v>19297.919999999998</v>
      </c>
      <c r="Q199" s="106">
        <f t="shared" si="2309"/>
        <v>13964.69</v>
      </c>
      <c r="R199" s="106">
        <f t="shared" si="2310"/>
        <v>10849.095000000001</v>
      </c>
      <c r="S199" s="106">
        <f t="shared" si="2311"/>
        <v>14239.56</v>
      </c>
      <c r="T199" s="106">
        <f t="shared" si="2312"/>
        <v>23277.31</v>
      </c>
      <c r="U199" s="106">
        <f t="shared" si="2313"/>
        <v>1301.2550000000001</v>
      </c>
      <c r="V199" s="106">
        <f t="shared" si="2314"/>
        <v>20909.544999999998</v>
      </c>
      <c r="W199" s="106">
        <f t="shared" si="2315"/>
        <v>8502.5400000000009</v>
      </c>
      <c r="X199" s="106">
        <f t="shared" si="2316"/>
        <v>16926.27</v>
      </c>
      <c r="Y199" s="106">
        <f t="shared" si="2317"/>
        <v>0</v>
      </c>
      <c r="Z199" s="106">
        <f t="shared" si="2318"/>
        <v>0</v>
      </c>
      <c r="AA199" s="106">
        <f t="shared" si="2319"/>
        <v>157869.02500000002</v>
      </c>
      <c r="AB199" s="118">
        <f t="shared" si="1861"/>
        <v>-8.6794173185864562E-2</v>
      </c>
      <c r="AC199" s="106">
        <f t="shared" si="2320"/>
        <v>18535</v>
      </c>
      <c r="AD199" s="106">
        <f t="shared" si="2321"/>
        <v>18535</v>
      </c>
      <c r="AE199" s="106">
        <f t="shared" si="2322"/>
        <v>18535</v>
      </c>
      <c r="AF199" s="106">
        <f t="shared" si="2323"/>
        <v>18535</v>
      </c>
      <c r="AG199" s="106">
        <f t="shared" si="2324"/>
        <v>18535</v>
      </c>
      <c r="AH199" s="106">
        <f t="shared" si="2325"/>
        <v>18535</v>
      </c>
      <c r="AI199" s="106">
        <f t="shared" si="2326"/>
        <v>18535</v>
      </c>
      <c r="AJ199" s="106">
        <f t="shared" si="2327"/>
        <v>18535</v>
      </c>
      <c r="AK199" s="106">
        <f t="shared" si="2328"/>
        <v>18535</v>
      </c>
      <c r="AL199" s="106">
        <f t="shared" si="2329"/>
        <v>18535</v>
      </c>
      <c r="AM199" s="106">
        <f t="shared" si="2330"/>
        <v>18535</v>
      </c>
      <c r="AN199" s="106">
        <f t="shared" si="2331"/>
        <v>18535</v>
      </c>
      <c r="AO199" s="106">
        <f t="shared" si="2332"/>
        <v>222420</v>
      </c>
      <c r="AQ199" s="106">
        <v>4342.3500000000004</v>
      </c>
      <c r="AR199" s="106">
        <v>7294.21</v>
      </c>
      <c r="AS199" s="106">
        <v>10785.55</v>
      </c>
      <c r="AT199" s="106">
        <v>9054.1</v>
      </c>
      <c r="AU199" s="106">
        <v>17357.740000000002</v>
      </c>
      <c r="AV199" s="106">
        <v>1904.09</v>
      </c>
      <c r="AW199" s="106">
        <v>17879.21</v>
      </c>
      <c r="AX199" s="106">
        <v>12364.51</v>
      </c>
      <c r="AY199" s="106">
        <v>800</v>
      </c>
      <c r="AZ199" s="106">
        <v>11618.79</v>
      </c>
      <c r="BA199" s="106">
        <v>6186.45</v>
      </c>
      <c r="BB199" s="106">
        <v>19412.37</v>
      </c>
      <c r="BC199" s="106">
        <f t="shared" si="2333"/>
        <v>118999.36999999998</v>
      </c>
      <c r="BD199" s="16" t="str">
        <f t="shared" si="2339"/>
        <v>Office Stationery</v>
      </c>
      <c r="BE199" s="106">
        <f>+VLOOKUP($BD199,'Jan-25'!$A:$J,2,0)</f>
        <v>18398.900000000001</v>
      </c>
      <c r="BF199" s="106">
        <f>+VLOOKUP($BD199,'Feb-25'!$A:$J,2,0)</f>
        <v>11783.99</v>
      </c>
      <c r="BG199" s="106">
        <f>+VLOOKUP($BD199,'Mar-25'!$A:$J,2,0)</f>
        <v>12828.6</v>
      </c>
      <c r="BH199" s="106">
        <f>+VLOOKUP($BD199,'Apr-25'!$A:$J,2,0)</f>
        <v>6255.93</v>
      </c>
      <c r="BI199" s="106">
        <f>+VLOOKUP($BD199,'May-25'!$A:$J,2,0)</f>
        <v>7103.53</v>
      </c>
      <c r="BJ199" s="106">
        <f>+VLOOKUP($BD199,'June-25'!$A:$J,2,0)</f>
        <v>13865.222000000002</v>
      </c>
      <c r="BK199" s="106">
        <f>+VLOOKUP($BD199,'July-25'!$A:$J,2,0)</f>
        <v>325</v>
      </c>
      <c r="BL199" s="106">
        <f>+VLOOKUP($BD199,'Aug-25'!$A:$J,2,0)</f>
        <v>18470.379999999997</v>
      </c>
      <c r="BM199" s="106">
        <f>+VLOOKUP($BD199,'Sep-25'!$A:$J,2,0)</f>
        <v>8302.5400000000009</v>
      </c>
      <c r="BN199" s="106">
        <f>+VLOOKUP($BD199,'Oct-25'!$A:$J,2,0)</f>
        <v>6251.11</v>
      </c>
      <c r="BO199" s="106">
        <f>+VLOOKUP($BD199,'Nov-25'!$A:$J,2,0)</f>
        <v>0</v>
      </c>
      <c r="BP199" s="106">
        <f>+VLOOKUP($BD199,'Dec-25'!$A:$J,2,0)</f>
        <v>0</v>
      </c>
      <c r="BQ199" s="106">
        <f t="shared" si="2334"/>
        <v>103585.202</v>
      </c>
      <c r="BR199" s="118">
        <f t="shared" si="1877"/>
        <v>-0.53626780415430264</v>
      </c>
      <c r="BS199" s="106" cm="1">
        <f t="array" ref="BS199:CD199">+_xlfn.XLOOKUP(BD199,Budget!A:A,Budget!Q:AB)</f>
        <v>13480</v>
      </c>
      <c r="BT199" s="106">
        <v>13480</v>
      </c>
      <c r="BU199" s="106">
        <v>13480</v>
      </c>
      <c r="BV199" s="106">
        <v>13480</v>
      </c>
      <c r="BW199" s="106">
        <v>13480</v>
      </c>
      <c r="BX199" s="106">
        <v>13480</v>
      </c>
      <c r="BY199" s="106">
        <v>13480</v>
      </c>
      <c r="BZ199" s="106">
        <v>13480</v>
      </c>
      <c r="CA199" s="106">
        <v>13480</v>
      </c>
      <c r="CB199" s="106">
        <v>13480</v>
      </c>
      <c r="CC199" s="106">
        <v>13480</v>
      </c>
      <c r="CD199" s="106">
        <v>13480</v>
      </c>
      <c r="CE199" s="106">
        <f t="shared" si="2335"/>
        <v>161760</v>
      </c>
      <c r="CF199" s="22"/>
      <c r="CG199" s="106">
        <v>2448.1750000000002</v>
      </c>
      <c r="CH199" s="106">
        <v>5909.66</v>
      </c>
      <c r="CI199" s="106">
        <v>0</v>
      </c>
      <c r="CJ199" s="106">
        <v>0</v>
      </c>
      <c r="CK199" s="106">
        <v>3238.9850000000001</v>
      </c>
      <c r="CL199" s="106">
        <v>8865.880000000001</v>
      </c>
      <c r="CM199" s="106">
        <v>10914.66</v>
      </c>
      <c r="CN199" s="106">
        <v>7110.61</v>
      </c>
      <c r="CO199" s="106">
        <v>2927.67</v>
      </c>
      <c r="CP199" s="106">
        <v>6592.1450000000004</v>
      </c>
      <c r="CQ199" s="106">
        <v>4843.0349999999999</v>
      </c>
      <c r="CR199" s="106">
        <v>9352.0400000000009</v>
      </c>
      <c r="CS199" s="106">
        <f t="shared" si="2336"/>
        <v>62202.860000000008</v>
      </c>
      <c r="CT199" s="16" t="str">
        <f t="shared" si="2340"/>
        <v>Office Stationery</v>
      </c>
      <c r="CU199" s="106">
        <f>+VLOOKUP($BD199,'Jan-25'!$A:$J,6,0)</f>
        <v>10201.94</v>
      </c>
      <c r="CV199" s="106">
        <f>+VLOOKUP($BD199,'Feb-25'!$A:$J,6,0)</f>
        <v>7513.93</v>
      </c>
      <c r="CW199" s="106">
        <f>+VLOOKUP($BD199,'Mar-25'!$A:$J,6,0)</f>
        <v>1136.0900000000001</v>
      </c>
      <c r="CX199" s="106">
        <f>+VLOOKUP($BD199,'Apr-25'!$A:$J,6,0)</f>
        <v>4593.165</v>
      </c>
      <c r="CY199" s="106">
        <f>+VLOOKUP($BD199,'May-25'!$A:$J,6,0)</f>
        <v>7136.03</v>
      </c>
      <c r="CZ199" s="106">
        <f>+VLOOKUP($BD199,'June-25'!$A:$J,6,0)</f>
        <v>9412.0879999999997</v>
      </c>
      <c r="DA199" s="106">
        <f>+VLOOKUP($BD199,'July-25'!$A:$J,6,0)</f>
        <v>976.255</v>
      </c>
      <c r="DB199" s="106">
        <f>+VLOOKUP($BD199,'Aug-25'!$A:$J,6,0)</f>
        <v>2439.165</v>
      </c>
      <c r="DC199" s="106">
        <f>+VLOOKUP($BD199,'Sep-25'!$A:$J,6,0)</f>
        <v>200</v>
      </c>
      <c r="DD199" s="106">
        <f>+VLOOKUP($BD199,'Oct-25'!$A:$J,6,0)</f>
        <v>10675.16</v>
      </c>
      <c r="DE199" s="106">
        <f>+VLOOKUP($BD199,'Nov-25'!$A:$J,6,0)</f>
        <v>0</v>
      </c>
      <c r="DF199" s="106">
        <f>+VLOOKUP($BD199,'Dec-25'!$A:$J,6,0)</f>
        <v>0</v>
      </c>
      <c r="DG199" s="106">
        <f t="shared" si="2337"/>
        <v>54283.823000000004</v>
      </c>
      <c r="DH199" s="118">
        <f t="shared" si="1881"/>
        <v>1.1118021760633037</v>
      </c>
      <c r="DI199" s="106">
        <f>+_xlfn.XLOOKUP($CT199,Budget!$A:$A,Budget!BQ:BQ)</f>
        <v>5055</v>
      </c>
      <c r="DJ199" s="106">
        <f>+_xlfn.XLOOKUP($CT199,Budget!$A:$A,Budget!BR:BR)</f>
        <v>5055</v>
      </c>
      <c r="DK199" s="106">
        <f>+_xlfn.XLOOKUP($CT199,Budget!$A:$A,Budget!BS:BS)</f>
        <v>5055</v>
      </c>
      <c r="DL199" s="106">
        <f>+_xlfn.XLOOKUP($CT199,Budget!$A:$A,Budget!BT:BT)</f>
        <v>5055</v>
      </c>
      <c r="DM199" s="106">
        <f>+_xlfn.XLOOKUP($CT199,Budget!$A:$A,Budget!BU:BU)</f>
        <v>5055</v>
      </c>
      <c r="DN199" s="106">
        <f>+_xlfn.XLOOKUP($CT199,Budget!$A:$A,Budget!BV:BV)</f>
        <v>5055</v>
      </c>
      <c r="DO199" s="106">
        <f>+_xlfn.XLOOKUP($CT199,Budget!$A:$A,Budget!BW:BW)</f>
        <v>5055</v>
      </c>
      <c r="DP199" s="106">
        <f>+_xlfn.XLOOKUP($CT199,Budget!$A:$A,Budget!BX:BX)</f>
        <v>5055</v>
      </c>
      <c r="DQ199" s="106">
        <f>+_xlfn.XLOOKUP($CT199,Budget!$A:$A,Budget!BY:BY)</f>
        <v>5055</v>
      </c>
      <c r="DR199" s="106">
        <f>+_xlfn.XLOOKUP($CT199,Budget!$A:$A,Budget!BZ:BZ)</f>
        <v>5055</v>
      </c>
      <c r="DS199" s="106">
        <f>+_xlfn.XLOOKUP($CT199,Budget!$A:$A,Budget!CA:CA)</f>
        <v>5055</v>
      </c>
      <c r="DT199" s="106">
        <f>+_xlfn.XLOOKUP($CT199,Budget!$A:$A,Budget!CB:CB)</f>
        <v>5055</v>
      </c>
      <c r="DU199" s="106">
        <f t="shared" si="2338"/>
        <v>60660</v>
      </c>
    </row>
    <row r="200" spans="1:125" ht="14.45" hidden="1" customHeight="1" outlineLevel="2">
      <c r="A200" s="106">
        <f t="shared" si="2294"/>
        <v>6455.44</v>
      </c>
      <c r="B200" s="106">
        <f t="shared" si="2295"/>
        <v>3400.64</v>
      </c>
      <c r="C200" s="106">
        <f t="shared" si="2296"/>
        <v>14691.764999999999</v>
      </c>
      <c r="D200" s="106">
        <f t="shared" si="2297"/>
        <v>9890.51</v>
      </c>
      <c r="E200" s="106">
        <f t="shared" si="2298"/>
        <v>8899.57</v>
      </c>
      <c r="F200" s="106">
        <f t="shared" si="2299"/>
        <v>4214.37</v>
      </c>
      <c r="G200" s="106">
        <f t="shared" si="2300"/>
        <v>14282.04</v>
      </c>
      <c r="H200" s="106">
        <f t="shared" si="2301"/>
        <v>10289.965</v>
      </c>
      <c r="I200" s="106">
        <f t="shared" si="2302"/>
        <v>9342.7800000000007</v>
      </c>
      <c r="J200" s="106">
        <f t="shared" si="2303"/>
        <v>1602.94</v>
      </c>
      <c r="K200" s="106">
        <f t="shared" si="2304"/>
        <v>5153.9745000000003</v>
      </c>
      <c r="L200" s="106">
        <f t="shared" si="2305"/>
        <v>11077</v>
      </c>
      <c r="M200" s="106">
        <f t="shared" si="2306"/>
        <v>99300.994500000001</v>
      </c>
      <c r="N200" s="16" t="s">
        <v>168</v>
      </c>
      <c r="O200" s="106">
        <f t="shared" si="2307"/>
        <v>3667.665</v>
      </c>
      <c r="P200" s="106">
        <f t="shared" si="2308"/>
        <v>12374.16</v>
      </c>
      <c r="Q200" s="106">
        <f t="shared" si="2309"/>
        <v>7039.7999999999993</v>
      </c>
      <c r="R200" s="106">
        <f t="shared" si="2310"/>
        <v>2735.59</v>
      </c>
      <c r="S200" s="106">
        <f t="shared" si="2311"/>
        <v>9291.7799999999988</v>
      </c>
      <c r="T200" s="106">
        <f t="shared" si="2312"/>
        <v>3720.2449999999999</v>
      </c>
      <c r="U200" s="106">
        <f t="shared" si="2313"/>
        <v>4336.68</v>
      </c>
      <c r="V200" s="106">
        <f t="shared" si="2314"/>
        <v>488.98</v>
      </c>
      <c r="W200" s="106">
        <f t="shared" si="2315"/>
        <v>4135.93</v>
      </c>
      <c r="X200" s="106">
        <f t="shared" si="2316"/>
        <v>3237.5450000000001</v>
      </c>
      <c r="Y200" s="106">
        <f t="shared" si="2317"/>
        <v>0</v>
      </c>
      <c r="Z200" s="106">
        <f t="shared" si="2318"/>
        <v>0</v>
      </c>
      <c r="AA200" s="106">
        <f t="shared" si="2319"/>
        <v>51028.375</v>
      </c>
      <c r="AB200" s="118">
        <f t="shared" si="1861"/>
        <v>-0.1824381313131313</v>
      </c>
      <c r="AC200" s="106">
        <f t="shared" si="2320"/>
        <v>3960</v>
      </c>
      <c r="AD200" s="106">
        <f t="shared" si="2321"/>
        <v>3960</v>
      </c>
      <c r="AE200" s="106">
        <f t="shared" si="2322"/>
        <v>3960</v>
      </c>
      <c r="AF200" s="106">
        <f t="shared" si="2323"/>
        <v>3960</v>
      </c>
      <c r="AG200" s="106">
        <f t="shared" si="2324"/>
        <v>3960</v>
      </c>
      <c r="AH200" s="106">
        <f t="shared" si="2325"/>
        <v>3960</v>
      </c>
      <c r="AI200" s="106">
        <f t="shared" si="2326"/>
        <v>3960</v>
      </c>
      <c r="AJ200" s="106">
        <f t="shared" si="2327"/>
        <v>3960</v>
      </c>
      <c r="AK200" s="106">
        <f t="shared" si="2328"/>
        <v>3960</v>
      </c>
      <c r="AL200" s="106">
        <f t="shared" si="2329"/>
        <v>3960</v>
      </c>
      <c r="AM200" s="106">
        <f t="shared" si="2330"/>
        <v>3960</v>
      </c>
      <c r="AN200" s="106">
        <f t="shared" si="2331"/>
        <v>3960</v>
      </c>
      <c r="AO200" s="106">
        <f t="shared" si="2332"/>
        <v>47520</v>
      </c>
      <c r="AQ200" s="106">
        <v>6009.19</v>
      </c>
      <c r="AR200" s="106">
        <v>2925.64</v>
      </c>
      <c r="AS200" s="106">
        <v>4852.88</v>
      </c>
      <c r="AT200" s="106">
        <v>9740.51</v>
      </c>
      <c r="AU200" s="106">
        <v>7388.22</v>
      </c>
      <c r="AV200" s="106">
        <v>2432.21</v>
      </c>
      <c r="AW200" s="106">
        <v>13782.04</v>
      </c>
      <c r="AX200" s="106">
        <v>8177.21</v>
      </c>
      <c r="AY200" s="106">
        <v>9042.7800000000007</v>
      </c>
      <c r="AZ200" s="106">
        <v>0</v>
      </c>
      <c r="BA200" s="106">
        <v>4076.2759999999998</v>
      </c>
      <c r="BB200" s="106">
        <v>0</v>
      </c>
      <c r="BC200" s="106">
        <f t="shared" si="2333"/>
        <v>68426.956000000006</v>
      </c>
      <c r="BD200" s="16" t="str">
        <f t="shared" si="2339"/>
        <v>Printing</v>
      </c>
      <c r="BE200" s="106">
        <f>+VLOOKUP($BD200,'Jan-25'!$A:$J,2,0)</f>
        <v>2652.55</v>
      </c>
      <c r="BF200" s="106">
        <f>+VLOOKUP($BD200,'Feb-25'!$A:$J,2,0)</f>
        <v>1737.29</v>
      </c>
      <c r="BG200" s="106">
        <f>+VLOOKUP($BD200,'Mar-25'!$A:$J,2,0)</f>
        <v>6249.32</v>
      </c>
      <c r="BH200" s="106">
        <f>+VLOOKUP($BD200,'Apr-25'!$A:$J,2,0)</f>
        <v>2585.59</v>
      </c>
      <c r="BI200" s="106">
        <f>+VLOOKUP($BD200,'May-25'!$A:$J,2,0)</f>
        <v>6180</v>
      </c>
      <c r="BJ200" s="106">
        <f>+VLOOKUP($BD200,'June-25'!$A:$J,2,0)</f>
        <v>1101.7</v>
      </c>
      <c r="BK200" s="106">
        <f>+VLOOKUP($BD200,'July-25'!$A:$J,2,0)</f>
        <v>1170.77</v>
      </c>
      <c r="BL200" s="106">
        <f>+VLOOKUP($BD200,'Aug-25'!$A:$J,2,0)</f>
        <v>338.98</v>
      </c>
      <c r="BM200" s="106">
        <f>+VLOOKUP($BD200,'Sep-25'!$A:$J,2,0)</f>
        <v>3243</v>
      </c>
      <c r="BN200" s="106">
        <f>+VLOOKUP($BD200,'Oct-25'!$A:$J,2,0)</f>
        <v>1587.41</v>
      </c>
      <c r="BO200" s="106">
        <f>+VLOOKUP($BD200,'Nov-25'!$A:$J,2,0)</f>
        <v>0</v>
      </c>
      <c r="BP200" s="106">
        <f>+VLOOKUP($BD200,'Dec-25'!$A:$J,2,0)</f>
        <v>0</v>
      </c>
      <c r="BQ200" s="106">
        <f t="shared" si="2334"/>
        <v>26846.61</v>
      </c>
      <c r="BR200" s="118">
        <f t="shared" si="1877"/>
        <v>-0.44881597222222219</v>
      </c>
      <c r="BS200" s="106" cm="1">
        <f t="array" ref="BS200:CD200">+_xlfn.XLOOKUP(BD200,Budget!A:A,Budget!Q:AB)</f>
        <v>2880</v>
      </c>
      <c r="BT200" s="106">
        <v>2880</v>
      </c>
      <c r="BU200" s="106">
        <v>2880</v>
      </c>
      <c r="BV200" s="106">
        <v>2880</v>
      </c>
      <c r="BW200" s="106">
        <v>2880</v>
      </c>
      <c r="BX200" s="106">
        <v>2880</v>
      </c>
      <c r="BY200" s="106">
        <v>2880</v>
      </c>
      <c r="BZ200" s="106">
        <v>2880</v>
      </c>
      <c r="CA200" s="106">
        <v>2880</v>
      </c>
      <c r="CB200" s="106">
        <v>2880</v>
      </c>
      <c r="CC200" s="106">
        <v>2880</v>
      </c>
      <c r="CD200" s="106">
        <v>2880</v>
      </c>
      <c r="CE200" s="106">
        <f t="shared" si="2335"/>
        <v>34560</v>
      </c>
      <c r="CF200" s="22"/>
      <c r="CG200" s="106">
        <v>446.25</v>
      </c>
      <c r="CH200" s="106">
        <v>475</v>
      </c>
      <c r="CI200" s="106">
        <v>9838.8850000000002</v>
      </c>
      <c r="CJ200" s="106">
        <v>150</v>
      </c>
      <c r="CK200" s="106">
        <v>1511.35</v>
      </c>
      <c r="CL200" s="106">
        <v>1782.16</v>
      </c>
      <c r="CM200" s="106">
        <v>500</v>
      </c>
      <c r="CN200" s="106">
        <v>2112.7550000000001</v>
      </c>
      <c r="CO200" s="106">
        <v>300</v>
      </c>
      <c r="CP200" s="106">
        <v>1602.94</v>
      </c>
      <c r="CQ200" s="106">
        <v>1077.6985</v>
      </c>
      <c r="CR200" s="106">
        <v>11077</v>
      </c>
      <c r="CS200" s="106">
        <f t="shared" si="2336"/>
        <v>30874.038499999999</v>
      </c>
      <c r="CT200" s="16" t="str">
        <f t="shared" si="2340"/>
        <v>Printing</v>
      </c>
      <c r="CU200" s="106">
        <f>+VLOOKUP($BD200,'Jan-25'!$A:$J,6,0)</f>
        <v>1015.115</v>
      </c>
      <c r="CV200" s="106">
        <f>+VLOOKUP($BD200,'Feb-25'!$A:$J,6,0)</f>
        <v>10636.869999999999</v>
      </c>
      <c r="CW200" s="106">
        <f>+VLOOKUP($BD200,'Mar-25'!$A:$J,6,0)</f>
        <v>790.48</v>
      </c>
      <c r="CX200" s="106">
        <f>+VLOOKUP($BD200,'Apr-25'!$A:$J,6,0)</f>
        <v>150</v>
      </c>
      <c r="CY200" s="106">
        <f>+VLOOKUP($BD200,'May-25'!$A:$J,6,0)</f>
        <v>3111.7799999999997</v>
      </c>
      <c r="CZ200" s="106">
        <f>+VLOOKUP($BD200,'June-25'!$A:$J,6,0)</f>
        <v>2618.5450000000001</v>
      </c>
      <c r="DA200" s="106">
        <f>+VLOOKUP($BD200,'July-25'!$A:$J,6,0)</f>
        <v>3165.91</v>
      </c>
      <c r="DB200" s="106">
        <f>+VLOOKUP($BD200,'Aug-25'!$A:$J,6,0)</f>
        <v>150</v>
      </c>
      <c r="DC200" s="106">
        <f>+VLOOKUP($BD200,'Sep-25'!$A:$J,6,0)</f>
        <v>892.93</v>
      </c>
      <c r="DD200" s="106">
        <f>+VLOOKUP($BD200,'Oct-25'!$A:$J,6,0)</f>
        <v>1650.135</v>
      </c>
      <c r="DE200" s="106">
        <f>+VLOOKUP($BD200,'Nov-25'!$A:$J,6,0)</f>
        <v>0</v>
      </c>
      <c r="DF200" s="106">
        <f>+VLOOKUP($BD200,'Dec-25'!$A:$J,6,0)</f>
        <v>0</v>
      </c>
      <c r="DG200" s="106">
        <f t="shared" si="2337"/>
        <v>24181.764999999999</v>
      </c>
      <c r="DH200" s="118">
        <f t="shared" si="1881"/>
        <v>0.52790277777777772</v>
      </c>
      <c r="DI200" s="106">
        <f>+_xlfn.XLOOKUP($CT200,Budget!$A:$A,Budget!BQ:BQ)</f>
        <v>1080</v>
      </c>
      <c r="DJ200" s="106">
        <f>+_xlfn.XLOOKUP($CT200,Budget!$A:$A,Budget!BR:BR)</f>
        <v>1080</v>
      </c>
      <c r="DK200" s="106">
        <f>+_xlfn.XLOOKUP($CT200,Budget!$A:$A,Budget!BS:BS)</f>
        <v>1080</v>
      </c>
      <c r="DL200" s="106">
        <f>+_xlfn.XLOOKUP($CT200,Budget!$A:$A,Budget!BT:BT)</f>
        <v>1080</v>
      </c>
      <c r="DM200" s="106">
        <f>+_xlfn.XLOOKUP($CT200,Budget!$A:$A,Budget!BU:BU)</f>
        <v>1080</v>
      </c>
      <c r="DN200" s="106">
        <f>+_xlfn.XLOOKUP($CT200,Budget!$A:$A,Budget!BV:BV)</f>
        <v>1080</v>
      </c>
      <c r="DO200" s="106">
        <f>+_xlfn.XLOOKUP($CT200,Budget!$A:$A,Budget!BW:BW)</f>
        <v>1080</v>
      </c>
      <c r="DP200" s="106">
        <f>+_xlfn.XLOOKUP($CT200,Budget!$A:$A,Budget!BX:BX)</f>
        <v>1080</v>
      </c>
      <c r="DQ200" s="106">
        <f>+_xlfn.XLOOKUP($CT200,Budget!$A:$A,Budget!BY:BY)</f>
        <v>1080</v>
      </c>
      <c r="DR200" s="106">
        <f>+_xlfn.XLOOKUP($CT200,Budget!$A:$A,Budget!BZ:BZ)</f>
        <v>1080</v>
      </c>
      <c r="DS200" s="106">
        <f>+_xlfn.XLOOKUP($CT200,Budget!$A:$A,Budget!CA:CA)</f>
        <v>1080</v>
      </c>
      <c r="DT200" s="106">
        <f>+_xlfn.XLOOKUP($CT200,Budget!$A:$A,Budget!CB:CB)</f>
        <v>1080</v>
      </c>
      <c r="DU200" s="106">
        <f t="shared" si="2338"/>
        <v>12960</v>
      </c>
    </row>
    <row r="201" spans="1:125" ht="14.45" hidden="1" customHeight="1" outlineLevel="2">
      <c r="A201" s="106">
        <f t="shared" si="2294"/>
        <v>3620</v>
      </c>
      <c r="B201" s="106">
        <f t="shared" si="2295"/>
        <v>2464</v>
      </c>
      <c r="C201" s="106">
        <f t="shared" si="2296"/>
        <v>10</v>
      </c>
      <c r="D201" s="106">
        <f t="shared" si="2297"/>
        <v>403</v>
      </c>
      <c r="E201" s="106">
        <f t="shared" si="2298"/>
        <v>1675</v>
      </c>
      <c r="F201" s="106">
        <f t="shared" si="2299"/>
        <v>4048</v>
      </c>
      <c r="G201" s="106">
        <f t="shared" si="2300"/>
        <v>426.5</v>
      </c>
      <c r="H201" s="106">
        <f t="shared" si="2301"/>
        <v>500</v>
      </c>
      <c r="I201" s="106">
        <f t="shared" si="2302"/>
        <v>1125</v>
      </c>
      <c r="J201" s="106">
        <f t="shared" si="2303"/>
        <v>0</v>
      </c>
      <c r="K201" s="106">
        <f t="shared" si="2304"/>
        <v>7571.5</v>
      </c>
      <c r="L201" s="106">
        <f t="shared" si="2305"/>
        <v>2778.5</v>
      </c>
      <c r="M201" s="106">
        <f t="shared" si="2306"/>
        <v>24621.5</v>
      </c>
      <c r="N201" s="16" t="s">
        <v>169</v>
      </c>
      <c r="O201" s="106">
        <f t="shared" si="2307"/>
        <v>1640</v>
      </c>
      <c r="P201" s="106">
        <f t="shared" si="2308"/>
        <v>2010</v>
      </c>
      <c r="Q201" s="106">
        <f t="shared" si="2309"/>
        <v>770</v>
      </c>
      <c r="R201" s="106">
        <f t="shared" si="2310"/>
        <v>154</v>
      </c>
      <c r="S201" s="106">
        <f t="shared" si="2311"/>
        <v>2700</v>
      </c>
      <c r="T201" s="106">
        <f t="shared" si="2312"/>
        <v>40</v>
      </c>
      <c r="U201" s="106">
        <f t="shared" si="2313"/>
        <v>2665.5</v>
      </c>
      <c r="V201" s="106">
        <f t="shared" si="2314"/>
        <v>800</v>
      </c>
      <c r="W201" s="106">
        <f t="shared" si="2315"/>
        <v>0</v>
      </c>
      <c r="X201" s="106">
        <f t="shared" si="2316"/>
        <v>1530</v>
      </c>
      <c r="Y201" s="106">
        <f t="shared" si="2317"/>
        <v>0</v>
      </c>
      <c r="Z201" s="106">
        <f t="shared" si="2318"/>
        <v>0</v>
      </c>
      <c r="AA201" s="106">
        <f t="shared" si="2319"/>
        <v>12309.5</v>
      </c>
      <c r="AB201" s="118">
        <f t="shared" si="1861"/>
        <v>-0.25365853658536586</v>
      </c>
      <c r="AC201" s="106">
        <f t="shared" si="2320"/>
        <v>2050</v>
      </c>
      <c r="AD201" s="106">
        <f t="shared" si="2321"/>
        <v>2050</v>
      </c>
      <c r="AE201" s="106">
        <f t="shared" si="2322"/>
        <v>2050</v>
      </c>
      <c r="AF201" s="106">
        <f t="shared" si="2323"/>
        <v>2050</v>
      </c>
      <c r="AG201" s="106">
        <f t="shared" si="2324"/>
        <v>2050</v>
      </c>
      <c r="AH201" s="106">
        <f t="shared" si="2325"/>
        <v>2050</v>
      </c>
      <c r="AI201" s="106">
        <f t="shared" si="2326"/>
        <v>2050</v>
      </c>
      <c r="AJ201" s="106">
        <f t="shared" si="2327"/>
        <v>2050</v>
      </c>
      <c r="AK201" s="106">
        <f t="shared" si="2328"/>
        <v>2050</v>
      </c>
      <c r="AL201" s="106">
        <f t="shared" si="2329"/>
        <v>2050</v>
      </c>
      <c r="AM201" s="106">
        <f t="shared" si="2330"/>
        <v>2050</v>
      </c>
      <c r="AN201" s="106">
        <f t="shared" si="2331"/>
        <v>2050</v>
      </c>
      <c r="AO201" s="106">
        <f t="shared" si="2332"/>
        <v>24600</v>
      </c>
      <c r="AQ201" s="106">
        <v>2260</v>
      </c>
      <c r="AR201" s="106">
        <v>1250</v>
      </c>
      <c r="AS201" s="106">
        <v>-90</v>
      </c>
      <c r="AT201" s="106">
        <v>403</v>
      </c>
      <c r="AU201" s="106">
        <v>1500</v>
      </c>
      <c r="AV201" s="106">
        <v>4048</v>
      </c>
      <c r="AW201" s="106">
        <v>360</v>
      </c>
      <c r="AX201" s="106">
        <v>0</v>
      </c>
      <c r="AY201" s="106">
        <v>870</v>
      </c>
      <c r="AZ201" s="106">
        <v>0</v>
      </c>
      <c r="BA201" s="106">
        <v>7200</v>
      </c>
      <c r="BB201" s="106">
        <v>2662</v>
      </c>
      <c r="BC201" s="106">
        <f t="shared" si="2333"/>
        <v>20463</v>
      </c>
      <c r="BD201" s="16" t="str">
        <f t="shared" si="2339"/>
        <v>Postage</v>
      </c>
      <c r="BE201" s="106">
        <f>+VLOOKUP($BD201,'Jan-25'!$A:$J,2,0)</f>
        <v>1640</v>
      </c>
      <c r="BF201" s="106">
        <f>+VLOOKUP($BD201,'Feb-25'!$A:$J,2,0)</f>
        <v>2010</v>
      </c>
      <c r="BG201" s="106">
        <f>+VLOOKUP($BD201,'Mar-25'!$A:$J,2,0)</f>
        <v>270</v>
      </c>
      <c r="BH201" s="106">
        <f>+VLOOKUP($BD201,'Apr-25'!$A:$J,2,0)</f>
        <v>0</v>
      </c>
      <c r="BI201" s="106">
        <f>+VLOOKUP($BD201,'May-25'!$A:$J,2,0)</f>
        <v>2700</v>
      </c>
      <c r="BJ201" s="106">
        <f>+VLOOKUP($BD201,'June-25'!$A:$J,2,0)</f>
        <v>0</v>
      </c>
      <c r="BK201" s="106">
        <f>+VLOOKUP($BD201,'July-25'!$A:$J,2,0)</f>
        <v>2200</v>
      </c>
      <c r="BL201" s="106">
        <f>+VLOOKUP($BD201,'Aug-25'!$A:$J,2,0)</f>
        <v>800</v>
      </c>
      <c r="BM201" s="106">
        <f>+VLOOKUP($BD201,'Sep-25'!$A:$J,2,0)</f>
        <v>0</v>
      </c>
      <c r="BN201" s="106">
        <f>+VLOOKUP($BD201,'Oct-25'!$A:$J,2,0)</f>
        <v>1450</v>
      </c>
      <c r="BO201" s="106">
        <f>+VLOOKUP($BD201,'Nov-25'!$A:$J,2,0)</f>
        <v>0</v>
      </c>
      <c r="BP201" s="106">
        <f>+VLOOKUP($BD201,'Dec-25'!$A:$J,2,0)</f>
        <v>0</v>
      </c>
      <c r="BQ201" s="106">
        <f t="shared" si="2334"/>
        <v>11070</v>
      </c>
      <c r="BR201" s="118">
        <f t="shared" si="1877"/>
        <v>-0.14705882352941177</v>
      </c>
      <c r="BS201" s="106" cm="1">
        <f t="array" ref="BS201:CD201">+_xlfn.XLOOKUP(BD201,Budget!A:A,Budget!Q:AB)</f>
        <v>1700</v>
      </c>
      <c r="BT201" s="106">
        <v>1700</v>
      </c>
      <c r="BU201" s="106">
        <v>1700</v>
      </c>
      <c r="BV201" s="106">
        <v>1700</v>
      </c>
      <c r="BW201" s="106">
        <v>1700</v>
      </c>
      <c r="BX201" s="106">
        <v>1700</v>
      </c>
      <c r="BY201" s="106">
        <v>1700</v>
      </c>
      <c r="BZ201" s="106">
        <v>1700</v>
      </c>
      <c r="CA201" s="106">
        <v>1700</v>
      </c>
      <c r="CB201" s="106">
        <v>1700</v>
      </c>
      <c r="CC201" s="106">
        <v>1700</v>
      </c>
      <c r="CD201" s="106">
        <v>1700</v>
      </c>
      <c r="CE201" s="106">
        <f t="shared" si="2335"/>
        <v>20400</v>
      </c>
      <c r="CF201" s="22"/>
      <c r="CG201" s="106">
        <v>1360</v>
      </c>
      <c r="CH201" s="106">
        <v>1214</v>
      </c>
      <c r="CI201" s="106">
        <v>100</v>
      </c>
      <c r="CJ201" s="106">
        <v>0</v>
      </c>
      <c r="CK201" s="106">
        <v>175</v>
      </c>
      <c r="CL201" s="106">
        <v>0</v>
      </c>
      <c r="CM201" s="106">
        <v>66.5</v>
      </c>
      <c r="CN201" s="106">
        <v>500</v>
      </c>
      <c r="CO201" s="106">
        <v>255</v>
      </c>
      <c r="CP201" s="106">
        <v>0</v>
      </c>
      <c r="CQ201" s="106">
        <v>371.5</v>
      </c>
      <c r="CR201" s="106">
        <v>116.5</v>
      </c>
      <c r="CS201" s="106">
        <f t="shared" si="2336"/>
        <v>4158.5</v>
      </c>
      <c r="CT201" s="16" t="str">
        <f t="shared" si="2340"/>
        <v>Postage</v>
      </c>
      <c r="CU201" s="106">
        <f>+VLOOKUP($BD201,'Jan-25'!$A:$J,6,0)</f>
        <v>0</v>
      </c>
      <c r="CV201" s="106">
        <f>+VLOOKUP($BD201,'Feb-25'!$A:$J,6,0)</f>
        <v>0</v>
      </c>
      <c r="CW201" s="106">
        <f>+VLOOKUP($BD201,'Mar-25'!$A:$J,6,0)</f>
        <v>500</v>
      </c>
      <c r="CX201" s="106">
        <f>+VLOOKUP($BD201,'Apr-25'!$A:$J,6,0)</f>
        <v>154</v>
      </c>
      <c r="CY201" s="106">
        <f>+VLOOKUP($BD201,'May-25'!$A:$J,6,0)</f>
        <v>0</v>
      </c>
      <c r="CZ201" s="106">
        <f>+VLOOKUP($BD201,'June-25'!$A:$J,6,0)</f>
        <v>40</v>
      </c>
      <c r="DA201" s="106">
        <f>+VLOOKUP($BD201,'July-25'!$A:$J,6,0)</f>
        <v>465.5</v>
      </c>
      <c r="DB201" s="106">
        <f>+VLOOKUP($BD201,'Aug-25'!$A:$J,6,0)</f>
        <v>0</v>
      </c>
      <c r="DC201" s="106">
        <f>+VLOOKUP($BD201,'Sep-25'!$A:$J,6,0)</f>
        <v>0</v>
      </c>
      <c r="DD201" s="106">
        <f>+VLOOKUP($BD201,'Oct-25'!$A:$J,6,0)</f>
        <v>80</v>
      </c>
      <c r="DE201" s="106">
        <f>+VLOOKUP($BD201,'Nov-25'!$A:$J,6,0)</f>
        <v>0</v>
      </c>
      <c r="DF201" s="106">
        <f>+VLOOKUP($BD201,'Dec-25'!$A:$J,6,0)</f>
        <v>0</v>
      </c>
      <c r="DG201" s="106">
        <f t="shared" si="2337"/>
        <v>1239.5</v>
      </c>
      <c r="DH201" s="118">
        <f t="shared" si="1881"/>
        <v>-0.77142857142857146</v>
      </c>
      <c r="DI201" s="106">
        <f>+_xlfn.XLOOKUP($CT201,Budget!$A:$A,Budget!BQ:BQ)</f>
        <v>350</v>
      </c>
      <c r="DJ201" s="106">
        <f>+_xlfn.XLOOKUP($CT201,Budget!$A:$A,Budget!BR:BR)</f>
        <v>350</v>
      </c>
      <c r="DK201" s="106">
        <f>+_xlfn.XLOOKUP($CT201,Budget!$A:$A,Budget!BS:BS)</f>
        <v>350</v>
      </c>
      <c r="DL201" s="106">
        <f>+_xlfn.XLOOKUP($CT201,Budget!$A:$A,Budget!BT:BT)</f>
        <v>350</v>
      </c>
      <c r="DM201" s="106">
        <f>+_xlfn.XLOOKUP($CT201,Budget!$A:$A,Budget!BU:BU)</f>
        <v>350</v>
      </c>
      <c r="DN201" s="106">
        <f>+_xlfn.XLOOKUP($CT201,Budget!$A:$A,Budget!BV:BV)</f>
        <v>350</v>
      </c>
      <c r="DO201" s="106">
        <f>+_xlfn.XLOOKUP($CT201,Budget!$A:$A,Budget!BW:BW)</f>
        <v>350</v>
      </c>
      <c r="DP201" s="106">
        <f>+_xlfn.XLOOKUP($CT201,Budget!$A:$A,Budget!BX:BX)</f>
        <v>350</v>
      </c>
      <c r="DQ201" s="106">
        <f>+_xlfn.XLOOKUP($CT201,Budget!$A:$A,Budget!BY:BY)</f>
        <v>350</v>
      </c>
      <c r="DR201" s="106">
        <f>+_xlfn.XLOOKUP($CT201,Budget!$A:$A,Budget!BZ:BZ)</f>
        <v>350</v>
      </c>
      <c r="DS201" s="106">
        <f>+_xlfn.XLOOKUP($CT201,Budget!$A:$A,Budget!CA:CA)</f>
        <v>350</v>
      </c>
      <c r="DT201" s="106">
        <f>+_xlfn.XLOOKUP($CT201,Budget!$A:$A,Budget!CB:CB)</f>
        <v>350</v>
      </c>
      <c r="DU201" s="106">
        <f t="shared" si="2338"/>
        <v>4200</v>
      </c>
    </row>
    <row r="202" spans="1:125" ht="14.45" hidden="1" customHeight="1" outlineLevel="2">
      <c r="A202" s="106">
        <f t="shared" si="2294"/>
        <v>0</v>
      </c>
      <c r="B202" s="106">
        <f t="shared" si="2295"/>
        <v>0</v>
      </c>
      <c r="C202" s="106">
        <f t="shared" si="2296"/>
        <v>0</v>
      </c>
      <c r="D202" s="106">
        <f t="shared" si="2297"/>
        <v>3999</v>
      </c>
      <c r="E202" s="106">
        <f t="shared" si="2298"/>
        <v>0</v>
      </c>
      <c r="F202" s="106">
        <f t="shared" si="2299"/>
        <v>0</v>
      </c>
      <c r="G202" s="106">
        <f t="shared" si="2300"/>
        <v>1185.5899999999999</v>
      </c>
      <c r="H202" s="106">
        <f t="shared" si="2301"/>
        <v>0</v>
      </c>
      <c r="I202" s="106">
        <f t="shared" si="2302"/>
        <v>0</v>
      </c>
      <c r="J202" s="106">
        <f t="shared" si="2303"/>
        <v>0</v>
      </c>
      <c r="K202" s="106">
        <f t="shared" si="2304"/>
        <v>0</v>
      </c>
      <c r="L202" s="106">
        <f t="shared" si="2305"/>
        <v>0</v>
      </c>
      <c r="M202" s="106">
        <f t="shared" si="2306"/>
        <v>5184.59</v>
      </c>
      <c r="N202" s="16" t="s">
        <v>170</v>
      </c>
      <c r="O202" s="106">
        <f t="shared" si="2307"/>
        <v>0</v>
      </c>
      <c r="P202" s="106">
        <f t="shared" si="2308"/>
        <v>0</v>
      </c>
      <c r="Q202" s="106">
        <f t="shared" si="2309"/>
        <v>2500</v>
      </c>
      <c r="R202" s="106">
        <f t="shared" si="2310"/>
        <v>0</v>
      </c>
      <c r="S202" s="106">
        <f t="shared" si="2311"/>
        <v>0</v>
      </c>
      <c r="T202" s="106">
        <f t="shared" si="2312"/>
        <v>5315.56</v>
      </c>
      <c r="U202" s="106">
        <f t="shared" si="2313"/>
        <v>4213</v>
      </c>
      <c r="V202" s="106">
        <f t="shared" si="2314"/>
        <v>0</v>
      </c>
      <c r="W202" s="106">
        <f t="shared" si="2315"/>
        <v>0</v>
      </c>
      <c r="X202" s="106">
        <f t="shared" si="2316"/>
        <v>0</v>
      </c>
      <c r="Y202" s="106">
        <f t="shared" si="2317"/>
        <v>0</v>
      </c>
      <c r="Z202" s="106">
        <f t="shared" si="2318"/>
        <v>0</v>
      </c>
      <c r="AA202" s="106">
        <f t="shared" si="2319"/>
        <v>12028.560000000001</v>
      </c>
      <c r="AB202" s="118">
        <f t="shared" si="1861"/>
        <v>-1</v>
      </c>
      <c r="AC202" s="106">
        <f t="shared" si="2320"/>
        <v>272.25</v>
      </c>
      <c r="AD202" s="106">
        <f t="shared" si="2321"/>
        <v>272.25</v>
      </c>
      <c r="AE202" s="106">
        <f t="shared" si="2322"/>
        <v>272.25</v>
      </c>
      <c r="AF202" s="106">
        <f t="shared" si="2323"/>
        <v>272.25</v>
      </c>
      <c r="AG202" s="106">
        <f t="shared" si="2324"/>
        <v>272.25</v>
      </c>
      <c r="AH202" s="106">
        <f t="shared" si="2325"/>
        <v>272.25</v>
      </c>
      <c r="AI202" s="106">
        <f t="shared" si="2326"/>
        <v>272.25</v>
      </c>
      <c r="AJ202" s="106">
        <f t="shared" si="2327"/>
        <v>272.25</v>
      </c>
      <c r="AK202" s="106">
        <f t="shared" si="2328"/>
        <v>272.25</v>
      </c>
      <c r="AL202" s="106">
        <f t="shared" si="2329"/>
        <v>272.25</v>
      </c>
      <c r="AM202" s="106">
        <f t="shared" si="2330"/>
        <v>272.25</v>
      </c>
      <c r="AN202" s="106">
        <f t="shared" si="2331"/>
        <v>272.25</v>
      </c>
      <c r="AO202" s="106">
        <f t="shared" si="2332"/>
        <v>3267</v>
      </c>
      <c r="AQ202" s="106">
        <v>0</v>
      </c>
      <c r="AR202" s="106">
        <v>0</v>
      </c>
      <c r="AS202" s="106">
        <v>0</v>
      </c>
      <c r="AT202" s="106">
        <v>3999</v>
      </c>
      <c r="AU202" s="106">
        <v>0</v>
      </c>
      <c r="AV202" s="106">
        <v>0</v>
      </c>
      <c r="AW202" s="106">
        <v>1185.5899999999999</v>
      </c>
      <c r="AX202" s="106">
        <v>0</v>
      </c>
      <c r="AY202" s="106">
        <v>0</v>
      </c>
      <c r="AZ202" s="106">
        <v>0</v>
      </c>
      <c r="BA202" s="106">
        <v>0</v>
      </c>
      <c r="BB202" s="106">
        <v>0</v>
      </c>
      <c r="BC202" s="106">
        <f t="shared" si="2333"/>
        <v>5184.59</v>
      </c>
      <c r="BD202" s="16" t="str">
        <f t="shared" si="2339"/>
        <v>Subscription and Periodicals</v>
      </c>
      <c r="BE202" s="106">
        <f>+VLOOKUP($BD202,'Jan-25'!$A:$J,2,0)</f>
        <v>0</v>
      </c>
      <c r="BF202" s="106">
        <f>+VLOOKUP($BD202,'Feb-25'!$A:$J,2,0)</f>
        <v>0</v>
      </c>
      <c r="BG202" s="106">
        <f>+VLOOKUP($BD202,'Mar-25'!$A:$J,2,0)</f>
        <v>2500</v>
      </c>
      <c r="BH202" s="106">
        <f>+VLOOKUP($BD202,'Apr-25'!$A:$J,2,0)</f>
        <v>0</v>
      </c>
      <c r="BI202" s="106">
        <f>+VLOOKUP($BD202,'May-25'!$A:$J,2,0)</f>
        <v>0</v>
      </c>
      <c r="BJ202" s="106">
        <f>+VLOOKUP($BD202,'June-25'!$A:$J,2,0)</f>
        <v>5315.56</v>
      </c>
      <c r="BK202" s="106">
        <f>+VLOOKUP($BD202,'July-25'!$A:$J,2,0)</f>
        <v>3064</v>
      </c>
      <c r="BL202" s="106">
        <f>+VLOOKUP($BD202,'Aug-25'!$A:$J,2,0)</f>
        <v>0</v>
      </c>
      <c r="BM202" s="106">
        <f>+VLOOKUP($BD202,'Sep-25'!$A:$J,2,0)</f>
        <v>0</v>
      </c>
      <c r="BN202" s="106">
        <f>+VLOOKUP($BD202,'Oct-25'!$A:$J,2,0)</f>
        <v>0</v>
      </c>
      <c r="BO202" s="106">
        <f>+VLOOKUP($BD202,'Nov-25'!$A:$J,2,0)</f>
        <v>0</v>
      </c>
      <c r="BP202" s="106">
        <f>+VLOOKUP($BD202,'Dec-25'!$A:$J,2,0)</f>
        <v>0</v>
      </c>
      <c r="BQ202" s="106">
        <f t="shared" si="2334"/>
        <v>10879.560000000001</v>
      </c>
      <c r="BR202" s="118">
        <f t="shared" si="1877"/>
        <v>-1</v>
      </c>
      <c r="BS202" s="106" cm="1">
        <f t="array" ref="BS202:CD202">+_xlfn.XLOOKUP(BD202,Budget!A:A,Budget!Q:AB)</f>
        <v>198</v>
      </c>
      <c r="BT202" s="106">
        <v>198</v>
      </c>
      <c r="BU202" s="106">
        <v>198</v>
      </c>
      <c r="BV202" s="106">
        <v>198</v>
      </c>
      <c r="BW202" s="106">
        <v>198</v>
      </c>
      <c r="BX202" s="106">
        <v>198</v>
      </c>
      <c r="BY202" s="106">
        <v>198</v>
      </c>
      <c r="BZ202" s="106">
        <v>198</v>
      </c>
      <c r="CA202" s="106">
        <v>198</v>
      </c>
      <c r="CB202" s="106">
        <v>198</v>
      </c>
      <c r="CC202" s="106">
        <v>198</v>
      </c>
      <c r="CD202" s="106">
        <v>198</v>
      </c>
      <c r="CE202" s="106">
        <f t="shared" si="2335"/>
        <v>2376</v>
      </c>
      <c r="CF202" s="22"/>
      <c r="CG202" s="106">
        <v>0</v>
      </c>
      <c r="CH202" s="106">
        <v>0</v>
      </c>
      <c r="CI202" s="106">
        <v>0</v>
      </c>
      <c r="CJ202" s="106">
        <v>0</v>
      </c>
      <c r="CK202" s="106">
        <v>0</v>
      </c>
      <c r="CL202" s="106">
        <v>0</v>
      </c>
      <c r="CM202" s="106">
        <v>0</v>
      </c>
      <c r="CN202" s="106">
        <v>0</v>
      </c>
      <c r="CO202" s="106">
        <v>0</v>
      </c>
      <c r="CP202" s="106">
        <v>0</v>
      </c>
      <c r="CQ202" s="106">
        <v>0</v>
      </c>
      <c r="CR202" s="106">
        <v>0</v>
      </c>
      <c r="CS202" s="106">
        <f t="shared" si="2336"/>
        <v>0</v>
      </c>
      <c r="CT202" s="16" t="str">
        <f t="shared" si="2340"/>
        <v>Subscription and Periodicals</v>
      </c>
      <c r="CU202" s="106">
        <f>+VLOOKUP($BD202,'Jan-25'!$A:$J,6,0)</f>
        <v>0</v>
      </c>
      <c r="CV202" s="106">
        <f>+VLOOKUP($BD202,'Feb-25'!$A:$J,6,0)</f>
        <v>0</v>
      </c>
      <c r="CW202" s="106">
        <f>+VLOOKUP($BD202,'Mar-25'!$A:$J,6,0)</f>
        <v>0</v>
      </c>
      <c r="CX202" s="106">
        <f>+VLOOKUP($BD202,'Apr-25'!$A:$J,6,0)</f>
        <v>0</v>
      </c>
      <c r="CY202" s="106">
        <f>+VLOOKUP($BD202,'May-25'!$A:$J,6,0)</f>
        <v>0</v>
      </c>
      <c r="CZ202" s="106">
        <f>+VLOOKUP($BD202,'June-25'!$A:$J,6,0)</f>
        <v>0</v>
      </c>
      <c r="DA202" s="106">
        <f>+VLOOKUP($BD202,'July-25'!$A:$J,6,0)</f>
        <v>1149</v>
      </c>
      <c r="DB202" s="106">
        <f>+VLOOKUP($BD202,'Aug-25'!$A:$J,6,0)</f>
        <v>0</v>
      </c>
      <c r="DC202" s="106">
        <f>+VLOOKUP($BD202,'Sep-25'!$A:$J,6,0)</f>
        <v>0</v>
      </c>
      <c r="DD202" s="106">
        <f>+VLOOKUP($BD202,'Oct-25'!$A:$J,6,0)</f>
        <v>0</v>
      </c>
      <c r="DE202" s="106">
        <f>+VLOOKUP($BD202,'Nov-25'!$A:$J,6,0)</f>
        <v>0</v>
      </c>
      <c r="DF202" s="106">
        <f>+VLOOKUP($BD202,'Dec-25'!$A:$J,6,0)</f>
        <v>0</v>
      </c>
      <c r="DG202" s="106">
        <f t="shared" si="2337"/>
        <v>1149</v>
      </c>
      <c r="DH202" s="118">
        <f t="shared" si="1881"/>
        <v>-1</v>
      </c>
      <c r="DI202" s="106">
        <f>+_xlfn.XLOOKUP($CT202,Budget!$A:$A,Budget!BQ:BQ)</f>
        <v>74.25</v>
      </c>
      <c r="DJ202" s="106">
        <f>+_xlfn.XLOOKUP($CT202,Budget!$A:$A,Budget!BR:BR)</f>
        <v>74.25</v>
      </c>
      <c r="DK202" s="106">
        <f>+_xlfn.XLOOKUP($CT202,Budget!$A:$A,Budget!BS:BS)</f>
        <v>74.25</v>
      </c>
      <c r="DL202" s="106">
        <f>+_xlfn.XLOOKUP($CT202,Budget!$A:$A,Budget!BT:BT)</f>
        <v>74.25</v>
      </c>
      <c r="DM202" s="106">
        <f>+_xlfn.XLOOKUP($CT202,Budget!$A:$A,Budget!BU:BU)</f>
        <v>74.25</v>
      </c>
      <c r="DN202" s="106">
        <f>+_xlfn.XLOOKUP($CT202,Budget!$A:$A,Budget!BV:BV)</f>
        <v>74.25</v>
      </c>
      <c r="DO202" s="106">
        <f>+_xlfn.XLOOKUP($CT202,Budget!$A:$A,Budget!BW:BW)</f>
        <v>74.25</v>
      </c>
      <c r="DP202" s="106">
        <f>+_xlfn.XLOOKUP($CT202,Budget!$A:$A,Budget!BX:BX)</f>
        <v>74.25</v>
      </c>
      <c r="DQ202" s="106">
        <f>+_xlfn.XLOOKUP($CT202,Budget!$A:$A,Budget!BY:BY)</f>
        <v>74.25</v>
      </c>
      <c r="DR202" s="106">
        <f>+_xlfn.XLOOKUP($CT202,Budget!$A:$A,Budget!BZ:BZ)</f>
        <v>74.25</v>
      </c>
      <c r="DS202" s="106">
        <f>+_xlfn.XLOOKUP($CT202,Budget!$A:$A,Budget!CA:CA)</f>
        <v>74.25</v>
      </c>
      <c r="DT202" s="106">
        <f>+_xlfn.XLOOKUP($CT202,Budget!$A:$A,Budget!CB:CB)</f>
        <v>74.25</v>
      </c>
      <c r="DU202" s="106">
        <f t="shared" si="2338"/>
        <v>891</v>
      </c>
    </row>
    <row r="203" spans="1:125" ht="14.45" hidden="1" customHeight="1" outlineLevel="2">
      <c r="A203" s="106">
        <f t="shared" si="2294"/>
        <v>0.77</v>
      </c>
      <c r="B203" s="106">
        <f t="shared" si="2295"/>
        <v>3.7484999999999999</v>
      </c>
      <c r="C203" s="106">
        <f t="shared" si="2296"/>
        <v>4.9359999999999999</v>
      </c>
      <c r="D203" s="106">
        <f t="shared" si="2297"/>
        <v>3.3000000000000003</v>
      </c>
      <c r="E203" s="106">
        <f t="shared" si="2298"/>
        <v>3.2969999999999997</v>
      </c>
      <c r="F203" s="106">
        <f t="shared" si="2299"/>
        <v>8.3230000000000004</v>
      </c>
      <c r="G203" s="106">
        <f t="shared" si="2300"/>
        <v>3.2210000000000001</v>
      </c>
      <c r="H203" s="106">
        <f t="shared" si="2301"/>
        <v>7.17</v>
      </c>
      <c r="I203" s="106">
        <f t="shared" si="2302"/>
        <v>5.0429999999999993</v>
      </c>
      <c r="J203" s="106">
        <f t="shared" si="2303"/>
        <v>7.1709999999999994</v>
      </c>
      <c r="K203" s="106">
        <f t="shared" si="2304"/>
        <v>4.8019999999999996</v>
      </c>
      <c r="L203" s="106">
        <f t="shared" si="2305"/>
        <v>5.1150000000000002</v>
      </c>
      <c r="M203" s="106">
        <f t="shared" si="2306"/>
        <v>56.896500000000003</v>
      </c>
      <c r="N203" s="16" t="s">
        <v>234</v>
      </c>
      <c r="O203" s="106">
        <f t="shared" si="2307"/>
        <v>-3.599999999999999E-2</v>
      </c>
      <c r="P203" s="106">
        <f t="shared" si="2308"/>
        <v>1.1434999999999995</v>
      </c>
      <c r="Q203" s="106">
        <f t="shared" si="2309"/>
        <v>-8.0484999999999989</v>
      </c>
      <c r="R203" s="106">
        <f t="shared" si="2310"/>
        <v>1.9935000000000003</v>
      </c>
      <c r="S203" s="106">
        <f t="shared" si="2311"/>
        <v>-1.5804999999999998</v>
      </c>
      <c r="T203" s="106">
        <f t="shared" si="2312"/>
        <v>1.0065000000000004</v>
      </c>
      <c r="U203" s="106">
        <f t="shared" si="2313"/>
        <v>11.084</v>
      </c>
      <c r="V203" s="106">
        <f t="shared" si="2314"/>
        <v>7.2459999999999996</v>
      </c>
      <c r="W203" s="106">
        <f t="shared" si="2315"/>
        <v>-1.746</v>
      </c>
      <c r="X203" s="106">
        <f t="shared" si="2316"/>
        <v>2.3209999999999997</v>
      </c>
      <c r="Y203" s="106">
        <f t="shared" si="2317"/>
        <v>0</v>
      </c>
      <c r="Z203" s="106">
        <f t="shared" si="2318"/>
        <v>0</v>
      </c>
      <c r="AA203" s="106">
        <f t="shared" si="2319"/>
        <v>13.383500000000002</v>
      </c>
      <c r="AB203" s="118">
        <f t="shared" si="1861"/>
        <v>0</v>
      </c>
      <c r="AC203" s="106">
        <f t="shared" si="2320"/>
        <v>0</v>
      </c>
      <c r="AD203" s="106">
        <f t="shared" si="2321"/>
        <v>0</v>
      </c>
      <c r="AE203" s="106">
        <f t="shared" si="2322"/>
        <v>0</v>
      </c>
      <c r="AF203" s="106">
        <f t="shared" si="2323"/>
        <v>0</v>
      </c>
      <c r="AG203" s="106">
        <f t="shared" si="2324"/>
        <v>0</v>
      </c>
      <c r="AH203" s="106">
        <f t="shared" si="2325"/>
        <v>0</v>
      </c>
      <c r="AI203" s="106">
        <f t="shared" si="2326"/>
        <v>0</v>
      </c>
      <c r="AJ203" s="106">
        <f t="shared" si="2327"/>
        <v>0</v>
      </c>
      <c r="AK203" s="106">
        <f t="shared" si="2328"/>
        <v>0</v>
      </c>
      <c r="AL203" s="106">
        <f t="shared" si="2329"/>
        <v>0</v>
      </c>
      <c r="AM203" s="106">
        <f t="shared" si="2330"/>
        <v>0</v>
      </c>
      <c r="AN203" s="106">
        <f t="shared" si="2331"/>
        <v>0</v>
      </c>
      <c r="AO203" s="106">
        <f t="shared" si="2332"/>
        <v>0</v>
      </c>
      <c r="AQ203" s="106">
        <v>-0.42</v>
      </c>
      <c r="AR203" s="106">
        <v>4.5579999999999998</v>
      </c>
      <c r="AS203" s="106">
        <v>3.6480000000000001</v>
      </c>
      <c r="AT203" s="106">
        <v>2.4000000000000004</v>
      </c>
      <c r="AU203" s="106">
        <v>2.6659999999999999</v>
      </c>
      <c r="AV203" s="106">
        <v>6.0640000000000001</v>
      </c>
      <c r="AW203" s="106">
        <v>3.7280000000000002</v>
      </c>
      <c r="AX203" s="106">
        <v>3.5900000000000003</v>
      </c>
      <c r="AY203" s="106">
        <v>3.6539999999999995</v>
      </c>
      <c r="AZ203" s="106">
        <v>5.2279999999999998</v>
      </c>
      <c r="BA203" s="106">
        <v>3.6559999999999997</v>
      </c>
      <c r="BB203" s="106">
        <v>4.58</v>
      </c>
      <c r="BC203" s="106">
        <f t="shared" si="2333"/>
        <v>43.351999999999997</v>
      </c>
      <c r="BD203" s="16" t="str">
        <f t="shared" si="2339"/>
        <v>Miscellanioues Expense</v>
      </c>
      <c r="BE203" s="106">
        <f>+VLOOKUP($BD203,'Jan-25'!$A:$J,2,0)</f>
        <v>1.2000000000000011E-2</v>
      </c>
      <c r="BF203" s="106">
        <f>+VLOOKUP($BD203,'Feb-25'!$A:$J,2,0)</f>
        <v>0.21799999999999953</v>
      </c>
      <c r="BG203" s="106">
        <f>+VLOOKUP($BD203,'Mar-25'!$A:$J,2,0)</f>
        <v>-4.347999999999999</v>
      </c>
      <c r="BH203" s="106">
        <f>+VLOOKUP($BD203,'Apr-25'!$A:$J,2,0)</f>
        <v>1.5680000000000003</v>
      </c>
      <c r="BI203" s="106">
        <f>+VLOOKUP($BD203,'May-25'!$A:$J,2,0)</f>
        <v>-0.95399999999999996</v>
      </c>
      <c r="BJ203" s="106">
        <f>+VLOOKUP($BD203,'June-25'!$A:$J,2,0)</f>
        <v>1.6220000000000003</v>
      </c>
      <c r="BK203" s="106">
        <f>+VLOOKUP($BD203,'July-25'!$A:$J,2,0)</f>
        <v>7.9220000000000006</v>
      </c>
      <c r="BL203" s="106">
        <f>+VLOOKUP($BD203,'Aug-25'!$A:$J,2,0)</f>
        <v>4.7679999999999998</v>
      </c>
      <c r="BM203" s="106">
        <f>+VLOOKUP($BD203,'Sep-25'!$A:$J,2,0)</f>
        <v>-1.1320000000000001</v>
      </c>
      <c r="BN203" s="106">
        <f>+VLOOKUP($BD203,'Oct-25'!$A:$J,2,0)</f>
        <v>1.6879999999999999</v>
      </c>
      <c r="BO203" s="106">
        <f>+VLOOKUP($BD203,'Nov-25'!$A:$J,2,0)</f>
        <v>0</v>
      </c>
      <c r="BP203" s="106">
        <f>+VLOOKUP($BD203,'Dec-25'!$A:$J,2,0)</f>
        <v>0</v>
      </c>
      <c r="BQ203" s="106">
        <f t="shared" si="2334"/>
        <v>11.364000000000004</v>
      </c>
      <c r="BR203" s="118">
        <f t="shared" si="1877"/>
        <v>0</v>
      </c>
      <c r="BS203" s="106" cm="1">
        <f t="array" ref="BS203:CD203">+_xlfn.XLOOKUP(BD203,Budget!A:A,Budget!Q:AB)</f>
        <v>0</v>
      </c>
      <c r="BT203" s="106">
        <v>0</v>
      </c>
      <c r="BU203" s="106">
        <v>0</v>
      </c>
      <c r="BV203" s="106">
        <v>0</v>
      </c>
      <c r="BW203" s="106">
        <v>0</v>
      </c>
      <c r="BX203" s="106">
        <v>0</v>
      </c>
      <c r="BY203" s="106">
        <v>0</v>
      </c>
      <c r="BZ203" s="106">
        <v>0</v>
      </c>
      <c r="CA203" s="106">
        <v>0</v>
      </c>
      <c r="CB203" s="106">
        <v>0</v>
      </c>
      <c r="CC203" s="106">
        <v>0</v>
      </c>
      <c r="CD203" s="106">
        <v>0</v>
      </c>
      <c r="CE203" s="106">
        <f t="shared" si="2335"/>
        <v>0</v>
      </c>
      <c r="CF203" s="22"/>
      <c r="CG203" s="106">
        <v>1.19</v>
      </c>
      <c r="CH203" s="106">
        <v>-0.8095</v>
      </c>
      <c r="CI203" s="106">
        <v>1.2880000000000003</v>
      </c>
      <c r="CJ203" s="106">
        <v>0.89999999999999991</v>
      </c>
      <c r="CK203" s="106">
        <v>0.63100000000000001</v>
      </c>
      <c r="CL203" s="106">
        <v>2.2590000000000003</v>
      </c>
      <c r="CM203" s="106">
        <v>-0.50700000000000012</v>
      </c>
      <c r="CN203" s="106">
        <v>3.58</v>
      </c>
      <c r="CO203" s="106">
        <v>1.389</v>
      </c>
      <c r="CP203" s="106">
        <v>1.9430000000000001</v>
      </c>
      <c r="CQ203" s="106">
        <v>1.1459999999999997</v>
      </c>
      <c r="CR203" s="106">
        <v>0.53499999999999981</v>
      </c>
      <c r="CS203" s="106">
        <f t="shared" si="2336"/>
        <v>13.544499999999999</v>
      </c>
      <c r="CT203" s="16" t="str">
        <f t="shared" si="2340"/>
        <v>Miscellanioues Expense</v>
      </c>
      <c r="CU203" s="106">
        <f>+VLOOKUP($BD203,'Jan-25'!$A:$J,6,0)</f>
        <v>-4.8000000000000001E-2</v>
      </c>
      <c r="CV203" s="106">
        <f>+VLOOKUP($BD203,'Feb-25'!$A:$J,6,0)</f>
        <v>0.9255000000000001</v>
      </c>
      <c r="CW203" s="106">
        <f>+VLOOKUP($BD203,'Mar-25'!$A:$J,6,0)</f>
        <v>-3.7004999999999995</v>
      </c>
      <c r="CX203" s="106">
        <f>+VLOOKUP($BD203,'Apr-25'!$A:$J,6,0)</f>
        <v>0.42549999999999999</v>
      </c>
      <c r="CY203" s="106">
        <f>+VLOOKUP($BD203,'May-25'!$A:$J,6,0)</f>
        <v>-0.62649999999999995</v>
      </c>
      <c r="CZ203" s="106">
        <f>+VLOOKUP($BD203,'June-25'!$A:$J,6,0)</f>
        <v>-0.61549999999999983</v>
      </c>
      <c r="DA203" s="106">
        <f>+VLOOKUP($BD203,'July-25'!$A:$J,6,0)</f>
        <v>3.1619999999999999</v>
      </c>
      <c r="DB203" s="106">
        <f>+VLOOKUP($BD203,'Aug-25'!$A:$J,6,0)</f>
        <v>2.4779999999999998</v>
      </c>
      <c r="DC203" s="106">
        <f>+VLOOKUP($BD203,'Sep-25'!$A:$J,6,0)</f>
        <v>-0.61399999999999999</v>
      </c>
      <c r="DD203" s="106">
        <f>+VLOOKUP($BD203,'Oct-25'!$A:$J,6,0)</f>
        <v>0.6329999999999999</v>
      </c>
      <c r="DE203" s="106">
        <f>+VLOOKUP($BD203,'Nov-25'!$A:$J,6,0)</f>
        <v>0</v>
      </c>
      <c r="DF203" s="106">
        <f>+VLOOKUP($BD203,'Dec-25'!$A:$J,6,0)</f>
        <v>0</v>
      </c>
      <c r="DG203" s="106">
        <f t="shared" si="2337"/>
        <v>2.0195000000000003</v>
      </c>
      <c r="DH203" s="118">
        <f t="shared" si="1881"/>
        <v>0</v>
      </c>
      <c r="DI203" s="106">
        <f>+_xlfn.XLOOKUP($CT203,Budget!$A:$A,Budget!BQ:BQ)</f>
        <v>0</v>
      </c>
      <c r="DJ203" s="106">
        <f>+_xlfn.XLOOKUP($CT203,Budget!$A:$A,Budget!BR:BR)</f>
        <v>0</v>
      </c>
      <c r="DK203" s="106">
        <f>+_xlfn.XLOOKUP($CT203,Budget!$A:$A,Budget!BS:BS)</f>
        <v>0</v>
      </c>
      <c r="DL203" s="106">
        <f>+_xlfn.XLOOKUP($CT203,Budget!$A:$A,Budget!BT:BT)</f>
        <v>0</v>
      </c>
      <c r="DM203" s="106">
        <f>+_xlfn.XLOOKUP($CT203,Budget!$A:$A,Budget!BU:BU)</f>
        <v>0</v>
      </c>
      <c r="DN203" s="106">
        <f>+_xlfn.XLOOKUP($CT203,Budget!$A:$A,Budget!BV:BV)</f>
        <v>0</v>
      </c>
      <c r="DO203" s="106">
        <f>+_xlfn.XLOOKUP($CT203,Budget!$A:$A,Budget!BW:BW)</f>
        <v>0</v>
      </c>
      <c r="DP203" s="106">
        <f>+_xlfn.XLOOKUP($CT203,Budget!$A:$A,Budget!BX:BX)</f>
        <v>0</v>
      </c>
      <c r="DQ203" s="106">
        <f>+_xlfn.XLOOKUP($CT203,Budget!$A:$A,Budget!BY:BY)</f>
        <v>0</v>
      </c>
      <c r="DR203" s="106">
        <f>+_xlfn.XLOOKUP($CT203,Budget!$A:$A,Budget!BZ:BZ)</f>
        <v>0</v>
      </c>
      <c r="DS203" s="106">
        <f>+_xlfn.XLOOKUP($CT203,Budget!$A:$A,Budget!CA:CA)</f>
        <v>0</v>
      </c>
      <c r="DT203" s="106">
        <f>+_xlfn.XLOOKUP($CT203,Budget!$A:$A,Budget!CB:CB)</f>
        <v>0</v>
      </c>
      <c r="DU203" s="106">
        <f t="shared" si="2338"/>
        <v>0</v>
      </c>
    </row>
    <row r="204" spans="1:125" ht="14.45" hidden="1" customHeight="1" outlineLevel="2">
      <c r="A204" s="106">
        <f t="shared" si="2294"/>
        <v>59.231499999999997</v>
      </c>
      <c r="B204" s="106">
        <f t="shared" si="2295"/>
        <v>619.875</v>
      </c>
      <c r="C204" s="106">
        <f t="shared" si="2296"/>
        <v>532.75</v>
      </c>
      <c r="D204" s="106">
        <f t="shared" si="2297"/>
        <v>24.200000000000003</v>
      </c>
      <c r="E204" s="106">
        <f t="shared" si="2298"/>
        <v>13.826000000000001</v>
      </c>
      <c r="F204" s="106">
        <f t="shared" si="2299"/>
        <v>101.07350000000001</v>
      </c>
      <c r="G204" s="106">
        <f t="shared" si="2300"/>
        <v>173.76</v>
      </c>
      <c r="H204" s="106">
        <f t="shared" si="2301"/>
        <v>-3.11</v>
      </c>
      <c r="I204" s="106">
        <f t="shared" si="2302"/>
        <v>0</v>
      </c>
      <c r="J204" s="106">
        <f t="shared" si="2303"/>
        <v>97.100499999999997</v>
      </c>
      <c r="K204" s="106">
        <f t="shared" si="2304"/>
        <v>55.577500000000001</v>
      </c>
      <c r="L204" s="106">
        <f t="shared" si="2305"/>
        <v>324.77</v>
      </c>
      <c r="M204" s="106">
        <f t="shared" si="2306"/>
        <v>1999.0540000000001</v>
      </c>
      <c r="N204" s="16" t="s">
        <v>171</v>
      </c>
      <c r="O204" s="106">
        <f t="shared" si="2307"/>
        <v>-9.7405000000000008</v>
      </c>
      <c r="P204" s="106">
        <f t="shared" si="2308"/>
        <v>-31.273</v>
      </c>
      <c r="Q204" s="106">
        <f t="shared" si="2309"/>
        <v>-222.904</v>
      </c>
      <c r="R204" s="106">
        <f t="shared" si="2310"/>
        <v>-23.254000000000001</v>
      </c>
      <c r="S204" s="106">
        <f t="shared" si="2311"/>
        <v>135.34400000000002</v>
      </c>
      <c r="T204" s="106">
        <f t="shared" si="2312"/>
        <v>-62.991500000000002</v>
      </c>
      <c r="U204" s="106">
        <f t="shared" si="2313"/>
        <v>158.55950000000001</v>
      </c>
      <c r="V204" s="106">
        <f t="shared" si="2314"/>
        <v>-15.735500000000002</v>
      </c>
      <c r="W204" s="106">
        <f t="shared" si="2315"/>
        <v>-36.300000000000004</v>
      </c>
      <c r="X204" s="106">
        <f t="shared" si="2316"/>
        <v>-43.824000000000005</v>
      </c>
      <c r="Y204" s="106">
        <f t="shared" si="2317"/>
        <v>0</v>
      </c>
      <c r="Z204" s="106">
        <f t="shared" si="2318"/>
        <v>0</v>
      </c>
      <c r="AA204" s="106">
        <f t="shared" si="2319"/>
        <v>-152.11900000000003</v>
      </c>
      <c r="AB204" s="118">
        <f t="shared" si="1861"/>
        <v>0</v>
      </c>
      <c r="AC204" s="106">
        <f t="shared" si="2320"/>
        <v>0</v>
      </c>
      <c r="AD204" s="106">
        <f t="shared" si="2321"/>
        <v>0</v>
      </c>
      <c r="AE204" s="106">
        <f t="shared" si="2322"/>
        <v>0</v>
      </c>
      <c r="AF204" s="106">
        <f t="shared" si="2323"/>
        <v>0</v>
      </c>
      <c r="AG204" s="106">
        <f t="shared" si="2324"/>
        <v>0</v>
      </c>
      <c r="AH204" s="106">
        <f t="shared" si="2325"/>
        <v>0</v>
      </c>
      <c r="AI204" s="106">
        <f t="shared" si="2326"/>
        <v>0</v>
      </c>
      <c r="AJ204" s="106">
        <f t="shared" si="2327"/>
        <v>0</v>
      </c>
      <c r="AK204" s="106">
        <f t="shared" si="2328"/>
        <v>0</v>
      </c>
      <c r="AL204" s="106">
        <f t="shared" si="2329"/>
        <v>0</v>
      </c>
      <c r="AM204" s="106">
        <f t="shared" si="2330"/>
        <v>0</v>
      </c>
      <c r="AN204" s="106">
        <f t="shared" si="2331"/>
        <v>0</v>
      </c>
      <c r="AO204" s="106">
        <f t="shared" si="2332"/>
        <v>0</v>
      </c>
      <c r="AQ204" s="106">
        <v>43.042000000000002</v>
      </c>
      <c r="AR204" s="106">
        <v>451.48</v>
      </c>
      <c r="AS204" s="106">
        <v>395</v>
      </c>
      <c r="AT204" s="106">
        <v>17.600000000000001</v>
      </c>
      <c r="AU204" s="106">
        <v>10.328000000000001</v>
      </c>
      <c r="AV204" s="106">
        <v>73.50800000000001</v>
      </c>
      <c r="AW204" s="106">
        <v>173.76</v>
      </c>
      <c r="AX204" s="106">
        <v>-3.11</v>
      </c>
      <c r="AY204" s="106">
        <v>0</v>
      </c>
      <c r="AZ204" s="106">
        <v>71.164000000000001</v>
      </c>
      <c r="BA204" s="106">
        <v>40.42</v>
      </c>
      <c r="BB204" s="106">
        <v>324.77</v>
      </c>
      <c r="BC204" s="106">
        <f t="shared" si="2333"/>
        <v>1597.9620000000002</v>
      </c>
      <c r="BD204" s="16" t="str">
        <f t="shared" si="2339"/>
        <v>Round Off</v>
      </c>
      <c r="BE204" s="106">
        <f>+VLOOKUP($BD204,'Jan-25'!$A:$J,2,0)</f>
        <v>-7.0840000000000005</v>
      </c>
      <c r="BF204" s="106">
        <f>+VLOOKUP($BD204,'Feb-25'!$A:$J,2,0)</f>
        <v>-22.744</v>
      </c>
      <c r="BG204" s="106">
        <f>+VLOOKUP($BD204,'Mar-25'!$A:$J,2,0)</f>
        <v>-162.11199999999999</v>
      </c>
      <c r="BH204" s="106">
        <f>+VLOOKUP($BD204,'Apr-25'!$A:$J,2,0)</f>
        <v>-16.912000000000003</v>
      </c>
      <c r="BI204" s="106">
        <f>+VLOOKUP($BD204,'May-25'!$A:$J,2,0)</f>
        <v>98.432000000000016</v>
      </c>
      <c r="BJ204" s="106">
        <f>+VLOOKUP($BD204,'June-25'!$A:$J,2,0)</f>
        <v>-45.812000000000005</v>
      </c>
      <c r="BK204" s="106">
        <f>+VLOOKUP($BD204,'July-25'!$A:$J,2,0)</f>
        <v>115.31600000000002</v>
      </c>
      <c r="BL204" s="106">
        <f>+VLOOKUP($BD204,'Aug-25'!$A:$J,2,0)</f>
        <v>-11.444000000000001</v>
      </c>
      <c r="BM204" s="106">
        <f>+VLOOKUP($BD204,'Sep-25'!$A:$J,2,0)</f>
        <v>-26.400000000000002</v>
      </c>
      <c r="BN204" s="106">
        <f>+VLOOKUP($BD204,'Oct-25'!$A:$J,2,0)</f>
        <v>-31.872000000000003</v>
      </c>
      <c r="BO204" s="106">
        <f>+VLOOKUP($BD204,'Nov-25'!$A:$J,2,0)</f>
        <v>0</v>
      </c>
      <c r="BP204" s="106">
        <f>+VLOOKUP($BD204,'Dec-25'!$A:$J,2,0)</f>
        <v>0</v>
      </c>
      <c r="BQ204" s="106">
        <f t="shared" si="2334"/>
        <v>-110.63199999999999</v>
      </c>
      <c r="BR204" s="118">
        <f t="shared" si="1877"/>
        <v>0</v>
      </c>
      <c r="BS204" s="106" cm="1">
        <f t="array" ref="BS204:CD204">+_xlfn.XLOOKUP(BD204,Budget!A:A,Budget!Q:AB)</f>
        <v>0</v>
      </c>
      <c r="BT204" s="106">
        <v>0</v>
      </c>
      <c r="BU204" s="106">
        <v>0</v>
      </c>
      <c r="BV204" s="106">
        <v>0</v>
      </c>
      <c r="BW204" s="106">
        <v>0</v>
      </c>
      <c r="BX204" s="106">
        <v>0</v>
      </c>
      <c r="BY204" s="106">
        <v>0</v>
      </c>
      <c r="BZ204" s="106">
        <v>0</v>
      </c>
      <c r="CA204" s="106">
        <v>0</v>
      </c>
      <c r="CB204" s="106">
        <v>0</v>
      </c>
      <c r="CC204" s="106">
        <v>0</v>
      </c>
      <c r="CD204" s="106">
        <v>0</v>
      </c>
      <c r="CE204" s="106">
        <f t="shared" si="2335"/>
        <v>0</v>
      </c>
      <c r="CF204" s="22"/>
      <c r="CG204" s="106">
        <v>16.189499999999999</v>
      </c>
      <c r="CH204" s="106">
        <v>168.39500000000001</v>
      </c>
      <c r="CI204" s="106">
        <v>137.75</v>
      </c>
      <c r="CJ204" s="106">
        <v>6.6</v>
      </c>
      <c r="CK204" s="106">
        <v>3.4979999999999998</v>
      </c>
      <c r="CL204" s="106">
        <v>27.5655</v>
      </c>
      <c r="CM204" s="106">
        <v>0</v>
      </c>
      <c r="CN204" s="106">
        <v>0</v>
      </c>
      <c r="CO204" s="106">
        <v>0</v>
      </c>
      <c r="CP204" s="106">
        <v>25.936499999999999</v>
      </c>
      <c r="CQ204" s="106">
        <v>15.157499999999999</v>
      </c>
      <c r="CR204" s="106">
        <v>0</v>
      </c>
      <c r="CS204" s="106">
        <f t="shared" si="2336"/>
        <v>401.0920000000001</v>
      </c>
      <c r="CT204" s="16" t="str">
        <f t="shared" si="2340"/>
        <v>Round Off</v>
      </c>
      <c r="CU204" s="106">
        <f>+VLOOKUP($BD204,'Jan-25'!$A:$J,6,0)</f>
        <v>-2.6564999999999999</v>
      </c>
      <c r="CV204" s="106">
        <f>+VLOOKUP($BD204,'Feb-25'!$A:$J,6,0)</f>
        <v>-8.5289999999999999</v>
      </c>
      <c r="CW204" s="106">
        <f>+VLOOKUP($BD204,'Mar-25'!$A:$J,6,0)</f>
        <v>-60.791999999999994</v>
      </c>
      <c r="CX204" s="106">
        <f>+VLOOKUP($BD204,'Apr-25'!$A:$J,6,0)</f>
        <v>-6.3419999999999996</v>
      </c>
      <c r="CY204" s="106">
        <f>+VLOOKUP($BD204,'May-25'!$A:$J,6,0)</f>
        <v>36.911999999999999</v>
      </c>
      <c r="CZ204" s="106">
        <f>+VLOOKUP($BD204,'June-25'!$A:$J,6,0)</f>
        <v>-17.179500000000001</v>
      </c>
      <c r="DA204" s="106">
        <f>+VLOOKUP($BD204,'July-25'!$A:$J,6,0)</f>
        <v>43.243500000000004</v>
      </c>
      <c r="DB204" s="106">
        <f>+VLOOKUP($BD204,'Aug-25'!$A:$J,6,0)</f>
        <v>-4.2915000000000001</v>
      </c>
      <c r="DC204" s="106">
        <f>+VLOOKUP($BD204,'Sep-25'!$A:$J,6,0)</f>
        <v>-9.9</v>
      </c>
      <c r="DD204" s="106">
        <f>+VLOOKUP($BD204,'Oct-25'!$A:$J,6,0)</f>
        <v>-11.952</v>
      </c>
      <c r="DE204" s="106">
        <f>+VLOOKUP($BD204,'Nov-25'!$A:$J,6,0)</f>
        <v>0</v>
      </c>
      <c r="DF204" s="106">
        <f>+VLOOKUP($BD204,'Dec-25'!$A:$J,6,0)</f>
        <v>0</v>
      </c>
      <c r="DG204" s="106">
        <f t="shared" si="2337"/>
        <v>-41.486999999999981</v>
      </c>
      <c r="DH204" s="118">
        <f t="shared" si="1881"/>
        <v>0</v>
      </c>
      <c r="DI204" s="106">
        <f>+_xlfn.XLOOKUP($CT204,Budget!$A:$A,Budget!BQ:BQ)</f>
        <v>0</v>
      </c>
      <c r="DJ204" s="106">
        <f>+_xlfn.XLOOKUP($CT204,Budget!$A:$A,Budget!BR:BR)</f>
        <v>0</v>
      </c>
      <c r="DK204" s="106">
        <f>+_xlfn.XLOOKUP($CT204,Budget!$A:$A,Budget!BS:BS)</f>
        <v>0</v>
      </c>
      <c r="DL204" s="106">
        <f>+_xlfn.XLOOKUP($CT204,Budget!$A:$A,Budget!BT:BT)</f>
        <v>0</v>
      </c>
      <c r="DM204" s="106">
        <f>+_xlfn.XLOOKUP($CT204,Budget!$A:$A,Budget!BU:BU)</f>
        <v>0</v>
      </c>
      <c r="DN204" s="106">
        <f>+_xlfn.XLOOKUP($CT204,Budget!$A:$A,Budget!BV:BV)</f>
        <v>0</v>
      </c>
      <c r="DO204" s="106">
        <f>+_xlfn.XLOOKUP($CT204,Budget!$A:$A,Budget!BW:BW)</f>
        <v>0</v>
      </c>
      <c r="DP204" s="106">
        <f>+_xlfn.XLOOKUP($CT204,Budget!$A:$A,Budget!BX:BX)</f>
        <v>0</v>
      </c>
      <c r="DQ204" s="106">
        <f>+_xlfn.XLOOKUP($CT204,Budget!$A:$A,Budget!BY:BY)</f>
        <v>0</v>
      </c>
      <c r="DR204" s="106">
        <f>+_xlfn.XLOOKUP($CT204,Budget!$A:$A,Budget!BZ:BZ)</f>
        <v>0</v>
      </c>
      <c r="DS204" s="106">
        <f>+_xlfn.XLOOKUP($CT204,Budget!$A:$A,Budget!CA:CA)</f>
        <v>0</v>
      </c>
      <c r="DT204" s="106">
        <f>+_xlfn.XLOOKUP($CT204,Budget!$A:$A,Budget!CB:CB)</f>
        <v>0</v>
      </c>
      <c r="DU204" s="106">
        <f t="shared" si="2338"/>
        <v>0</v>
      </c>
    </row>
    <row r="205" spans="1:125" ht="14.45" customHeight="1" outlineLevel="1" collapsed="1">
      <c r="A205" s="58">
        <f t="shared" ref="A205:L205" si="2341">+SUM(A206:A208)</f>
        <v>98531.350999999981</v>
      </c>
      <c r="B205" s="58">
        <f t="shared" si="2341"/>
        <v>108287.62</v>
      </c>
      <c r="C205" s="58">
        <f t="shared" si="2341"/>
        <v>127262.63750000001</v>
      </c>
      <c r="D205" s="58">
        <f t="shared" si="2341"/>
        <v>127262.63750000001</v>
      </c>
      <c r="E205" s="58">
        <f t="shared" si="2341"/>
        <v>127262.63750000001</v>
      </c>
      <c r="F205" s="58">
        <f t="shared" si="2341"/>
        <v>127231.6925</v>
      </c>
      <c r="G205" s="58">
        <f t="shared" si="2341"/>
        <v>127271.4083315</v>
      </c>
      <c r="H205" s="58">
        <f t="shared" si="2341"/>
        <v>127361.43319230768</v>
      </c>
      <c r="I205" s="58">
        <f t="shared" si="2341"/>
        <v>132540.18033333332</v>
      </c>
      <c r="J205" s="58">
        <f t="shared" si="2341"/>
        <v>164237.18150000001</v>
      </c>
      <c r="K205" s="58">
        <f t="shared" si="2341"/>
        <v>203169.85399999996</v>
      </c>
      <c r="L205" s="58">
        <f t="shared" si="2341"/>
        <v>203247.8315</v>
      </c>
      <c r="M205" s="58"/>
      <c r="N205" s="20" t="s">
        <v>172</v>
      </c>
      <c r="O205" s="58">
        <f t="shared" ref="O205" si="2342">+SUM(O206:O208)</f>
        <v>194188</v>
      </c>
      <c r="P205" s="58">
        <f t="shared" ref="P205" si="2343">+SUM(P206:P208)</f>
        <v>199839.3315</v>
      </c>
      <c r="Q205" s="58">
        <f t="shared" ref="Q205" si="2344">+SUM(Q206:Q208)</f>
        <v>204566.24400000001</v>
      </c>
      <c r="R205" s="58">
        <f t="shared" ref="R205" si="2345">+SUM(R206:R208)</f>
        <v>204566.24400000001</v>
      </c>
      <c r="S205" s="58">
        <f t="shared" ref="S205" si="2346">+SUM(S206:S208)</f>
        <v>204566.24400000001</v>
      </c>
      <c r="T205" s="58">
        <f t="shared" ref="T205" si="2347">+SUM(T206:T208)</f>
        <v>204527.54400000002</v>
      </c>
      <c r="U205" s="58">
        <f t="shared" ref="U205" si="2348">+SUM(U206:U208)</f>
        <v>204475.93750000009</v>
      </c>
      <c r="V205" s="58">
        <f t="shared" ref="V205" si="2349">+SUM(V206:V208)</f>
        <v>211410.818</v>
      </c>
      <c r="W205" s="58">
        <f t="shared" ref="W205" si="2350">+SUM(W206:W208)</f>
        <v>228671.93350000001</v>
      </c>
      <c r="X205" s="58">
        <f t="shared" ref="X205" si="2351">+SUM(X206:X208)</f>
        <v>226943.45</v>
      </c>
      <c r="Y205" s="58">
        <f t="shared" ref="Y205" si="2352">+SUM(Y206:Y208)</f>
        <v>0</v>
      </c>
      <c r="Z205" s="58">
        <f t="shared" ref="Z205:AA205" si="2353">+SUM(Z206:Z208)</f>
        <v>0</v>
      </c>
      <c r="AA205" s="58">
        <f t="shared" si="2353"/>
        <v>2083755.7465000004</v>
      </c>
      <c r="AB205" s="118">
        <f t="shared" si="1861"/>
        <v>0.65855155890190031</v>
      </c>
      <c r="AC205" s="58">
        <f t="shared" ref="AC205" si="2354">+SUM(AC206:AC208)</f>
        <v>136960.48209939391</v>
      </c>
      <c r="AD205" s="58">
        <f t="shared" ref="AD205" si="2355">+SUM(AD206:AD208)</f>
        <v>136960.48209939391</v>
      </c>
      <c r="AE205" s="58">
        <f t="shared" ref="AE205" si="2356">+SUM(AE206:AE208)</f>
        <v>136960.48209939391</v>
      </c>
      <c r="AF205" s="58">
        <f t="shared" ref="AF205" si="2357">+SUM(AF206:AF208)</f>
        <v>136960.48209939391</v>
      </c>
      <c r="AG205" s="58">
        <f t="shared" ref="AG205" si="2358">+SUM(AG206:AG208)</f>
        <v>136960.48209939391</v>
      </c>
      <c r="AH205" s="58">
        <f t="shared" ref="AH205" si="2359">+SUM(AH206:AH208)</f>
        <v>136949.94043272725</v>
      </c>
      <c r="AI205" s="58">
        <f t="shared" ref="AI205" si="2360">+SUM(AI206:AI208)</f>
        <v>136949.94043272725</v>
      </c>
      <c r="AJ205" s="58">
        <f t="shared" ref="AJ205" si="2361">+SUM(AJ206:AJ208)</f>
        <v>136949.94043272725</v>
      </c>
      <c r="AK205" s="58">
        <f t="shared" ref="AK205" si="2362">+SUM(AK206:AK208)</f>
        <v>136949.94043272725</v>
      </c>
      <c r="AL205" s="58">
        <f t="shared" ref="AL205" si="2363">+SUM(AL206:AL208)</f>
        <v>136832.31539106058</v>
      </c>
      <c r="AM205" s="58">
        <f t="shared" ref="AM205" si="2364">+SUM(AM206:AM208)</f>
        <v>136832.31539106058</v>
      </c>
      <c r="AN205" s="58">
        <f t="shared" ref="AN205" si="2365">+SUM(AN206:AN208)</f>
        <v>136832.31539106058</v>
      </c>
      <c r="AO205" s="58"/>
      <c r="AQ205" s="58">
        <f t="shared" ref="AQ205:BC205" si="2366">+SUM(AQ206:AQ208)</f>
        <v>77210.709999999992</v>
      </c>
      <c r="AR205" s="58">
        <f t="shared" si="2366"/>
        <v>77604</v>
      </c>
      <c r="AS205" s="58">
        <f t="shared" si="2366"/>
        <v>75224.100000000006</v>
      </c>
      <c r="AT205" s="58">
        <f t="shared" si="2366"/>
        <v>75224.100000000006</v>
      </c>
      <c r="AU205" s="58">
        <f t="shared" si="2366"/>
        <v>75224.100000000006</v>
      </c>
      <c r="AV205" s="58">
        <f t="shared" si="2366"/>
        <v>75193.14</v>
      </c>
      <c r="AW205" s="58">
        <f t="shared" si="2366"/>
        <v>74839.333332000009</v>
      </c>
      <c r="AX205" s="58">
        <f t="shared" si="2366"/>
        <v>75336.216564102549</v>
      </c>
      <c r="AY205" s="58">
        <f t="shared" si="2366"/>
        <v>65139.775333333317</v>
      </c>
      <c r="AZ205" s="58">
        <f t="shared" si="2366"/>
        <v>106902.132</v>
      </c>
      <c r="BA205" s="58">
        <f t="shared" si="2366"/>
        <v>151384.56199999998</v>
      </c>
      <c r="BB205" s="58">
        <f t="shared" si="2366"/>
        <v>151384.33199999999</v>
      </c>
      <c r="BC205" s="58">
        <f t="shared" si="2366"/>
        <v>1080666.5012294359</v>
      </c>
      <c r="BD205" s="20" t="str">
        <f t="shared" si="2339"/>
        <v>Insurance</v>
      </c>
      <c r="BE205" s="58">
        <f t="shared" ref="BE205:BQ205" si="2367">+SUM(BE206:BE208)</f>
        <v>148648</v>
      </c>
      <c r="BF205" s="58">
        <f t="shared" si="2367"/>
        <v>151384.33199999999</v>
      </c>
      <c r="BG205" s="58">
        <f t="shared" si="2367"/>
        <v>151384.57199999999</v>
      </c>
      <c r="BH205" s="58">
        <f t="shared" si="2367"/>
        <v>151384.57199999999</v>
      </c>
      <c r="BI205" s="58">
        <f t="shared" si="2367"/>
        <v>151384.57199999999</v>
      </c>
      <c r="BJ205" s="58">
        <f t="shared" si="2367"/>
        <v>151330.72200000001</v>
      </c>
      <c r="BK205" s="58">
        <f t="shared" si="2367"/>
        <v>151258.91666666672</v>
      </c>
      <c r="BL205" s="58">
        <f t="shared" si="2367"/>
        <v>158193.50399999999</v>
      </c>
      <c r="BM205" s="58">
        <f t="shared" si="2367"/>
        <v>175442.38800000001</v>
      </c>
      <c r="BN205" s="58">
        <f t="shared" si="2367"/>
        <v>154066.4</v>
      </c>
      <c r="BO205" s="58">
        <f t="shared" si="2367"/>
        <v>0</v>
      </c>
      <c r="BP205" s="58">
        <f t="shared" si="2367"/>
        <v>0</v>
      </c>
      <c r="BQ205" s="58">
        <f t="shared" si="2367"/>
        <v>1544477.9786666667</v>
      </c>
      <c r="BR205" s="118">
        <f t="shared" si="1877"/>
        <v>0.78396445244833302</v>
      </c>
      <c r="BS205" s="58">
        <f t="shared" ref="BS205:CE205" si="2368">+SUM(BS206:BS208)</f>
        <v>86470.647093939362</v>
      </c>
      <c r="BT205" s="58">
        <f t="shared" si="2368"/>
        <v>86470.647093939362</v>
      </c>
      <c r="BU205" s="58">
        <f t="shared" si="2368"/>
        <v>86470.647093939362</v>
      </c>
      <c r="BV205" s="58">
        <f t="shared" si="2368"/>
        <v>86470.647093939362</v>
      </c>
      <c r="BW205" s="58">
        <f t="shared" si="2368"/>
        <v>86470.647093939362</v>
      </c>
      <c r="BX205" s="58">
        <f t="shared" si="2368"/>
        <v>86460.105427272705</v>
      </c>
      <c r="BY205" s="58">
        <f t="shared" si="2368"/>
        <v>86460.105427272705</v>
      </c>
      <c r="BZ205" s="58">
        <f t="shared" si="2368"/>
        <v>86460.105427272705</v>
      </c>
      <c r="CA205" s="58">
        <f t="shared" si="2368"/>
        <v>86460.105427272705</v>
      </c>
      <c r="CB205" s="58">
        <f t="shared" si="2368"/>
        <v>86361.810510606039</v>
      </c>
      <c r="CC205" s="58">
        <f t="shared" si="2368"/>
        <v>86361.810510606039</v>
      </c>
      <c r="CD205" s="58">
        <f t="shared" si="2368"/>
        <v>86361.810510606039</v>
      </c>
      <c r="CE205" s="58">
        <f t="shared" si="2368"/>
        <v>1037279.0887106055</v>
      </c>
      <c r="CF205" s="22"/>
      <c r="CG205" s="58">
        <f t="shared" ref="CG205:CS205" si="2369">+SUM(CG206:CG208)</f>
        <v>21320.640999999992</v>
      </c>
      <c r="CH205" s="58">
        <f t="shared" si="2369"/>
        <v>30683.62</v>
      </c>
      <c r="CI205" s="58">
        <f t="shared" si="2369"/>
        <v>52038.537500000006</v>
      </c>
      <c r="CJ205" s="58">
        <f t="shared" si="2369"/>
        <v>52038.537500000006</v>
      </c>
      <c r="CK205" s="58">
        <f t="shared" si="2369"/>
        <v>52038.537500000006</v>
      </c>
      <c r="CL205" s="58">
        <f t="shared" si="2369"/>
        <v>52038.552500000005</v>
      </c>
      <c r="CM205" s="58">
        <f t="shared" si="2369"/>
        <v>52432.074999500001</v>
      </c>
      <c r="CN205" s="58">
        <f t="shared" si="2369"/>
        <v>52025.216628205126</v>
      </c>
      <c r="CO205" s="58">
        <f t="shared" si="2369"/>
        <v>67400.404999999999</v>
      </c>
      <c r="CP205" s="58">
        <f t="shared" si="2369"/>
        <v>57335.049500000001</v>
      </c>
      <c r="CQ205" s="58">
        <f t="shared" si="2369"/>
        <v>51785.292000000001</v>
      </c>
      <c r="CR205" s="58">
        <f t="shared" si="2369"/>
        <v>51863.499499999998</v>
      </c>
      <c r="CS205" s="58">
        <f t="shared" si="2369"/>
        <v>592999.96362770523</v>
      </c>
      <c r="CT205" s="20" t="str">
        <f t="shared" si="2340"/>
        <v>Insurance</v>
      </c>
      <c r="CU205" s="58">
        <f t="shared" ref="CU205:DG205" si="2370">+SUM(CU206:CU208)</f>
        <v>45540</v>
      </c>
      <c r="CV205" s="58">
        <f t="shared" si="2370"/>
        <v>48454.999499999998</v>
      </c>
      <c r="CW205" s="58">
        <f t="shared" si="2370"/>
        <v>53181.671999999999</v>
      </c>
      <c r="CX205" s="58">
        <f t="shared" si="2370"/>
        <v>53181.671999999999</v>
      </c>
      <c r="CY205" s="58">
        <f t="shared" si="2370"/>
        <v>53181.671999999999</v>
      </c>
      <c r="CZ205" s="58">
        <f t="shared" si="2370"/>
        <v>53196.822</v>
      </c>
      <c r="DA205" s="58">
        <f t="shared" si="2370"/>
        <v>53217.020833333358</v>
      </c>
      <c r="DB205" s="58">
        <f t="shared" si="2370"/>
        <v>53217.313999999998</v>
      </c>
      <c r="DC205" s="58">
        <f t="shared" si="2370"/>
        <v>53229.5455</v>
      </c>
      <c r="DD205" s="58">
        <f t="shared" si="2370"/>
        <v>72877.05</v>
      </c>
      <c r="DE205" s="58">
        <f t="shared" si="2370"/>
        <v>0</v>
      </c>
      <c r="DF205" s="58">
        <f t="shared" si="2370"/>
        <v>0</v>
      </c>
      <c r="DG205" s="58">
        <f t="shared" si="2370"/>
        <v>539277.76783333323</v>
      </c>
      <c r="DH205" s="118">
        <f t="shared" si="1881"/>
        <v>0.4439532588908725</v>
      </c>
      <c r="DI205" s="58">
        <f t="shared" ref="DI205:DU205" si="2371">+SUM(DI206:DI208)</f>
        <v>50489.83500545453</v>
      </c>
      <c r="DJ205" s="58">
        <f t="shared" si="2371"/>
        <v>50489.83500545453</v>
      </c>
      <c r="DK205" s="58">
        <f t="shared" si="2371"/>
        <v>50489.83500545453</v>
      </c>
      <c r="DL205" s="58">
        <f t="shared" si="2371"/>
        <v>50489.83500545453</v>
      </c>
      <c r="DM205" s="58">
        <f t="shared" si="2371"/>
        <v>50489.83500545453</v>
      </c>
      <c r="DN205" s="58">
        <f t="shared" si="2371"/>
        <v>50489.83500545453</v>
      </c>
      <c r="DO205" s="58">
        <f t="shared" si="2371"/>
        <v>50489.83500545453</v>
      </c>
      <c r="DP205" s="58">
        <f t="shared" si="2371"/>
        <v>50489.83500545453</v>
      </c>
      <c r="DQ205" s="58">
        <f t="shared" si="2371"/>
        <v>50489.83500545453</v>
      </c>
      <c r="DR205" s="58">
        <f t="shared" si="2371"/>
        <v>50470.504880454529</v>
      </c>
      <c r="DS205" s="58">
        <f t="shared" si="2371"/>
        <v>50470.504880454529</v>
      </c>
      <c r="DT205" s="58">
        <f t="shared" si="2371"/>
        <v>50470.504880454529</v>
      </c>
      <c r="DU205" s="58">
        <f t="shared" si="2371"/>
        <v>605820.02969045436</v>
      </c>
    </row>
    <row r="206" spans="1:125" ht="14.45" customHeight="1" outlineLevel="2">
      <c r="A206" s="106">
        <f t="shared" ref="A206:A208" si="2372">+AQ206+CG206</f>
        <v>74957.75</v>
      </c>
      <c r="B206" s="106">
        <f t="shared" ref="B206:B208" si="2373">+AR206+CH206</f>
        <v>68348.62</v>
      </c>
      <c r="C206" s="106">
        <f t="shared" ref="C206:C208" si="2374">+AS206+CI206</f>
        <v>100791</v>
      </c>
      <c r="D206" s="106">
        <f t="shared" ref="D206:D208" si="2375">+AT206+CJ206</f>
        <v>100791</v>
      </c>
      <c r="E206" s="106">
        <f t="shared" ref="E206:E208" si="2376">+AU206+CK206</f>
        <v>100791</v>
      </c>
      <c r="F206" s="106">
        <f t="shared" ref="F206:F208" si="2377">+AV206+CL206</f>
        <v>100791</v>
      </c>
      <c r="G206" s="106">
        <f t="shared" ref="G206:G208" si="2378">+AW206+CM206</f>
        <v>100791</v>
      </c>
      <c r="H206" s="106">
        <f t="shared" ref="H206:H208" si="2379">+AX206+CN206</f>
        <v>102373</v>
      </c>
      <c r="I206" s="106">
        <f t="shared" ref="I206:I208" si="2380">+AY206+CO206</f>
        <v>106067.66</v>
      </c>
      <c r="J206" s="106">
        <f t="shared" ref="J206:J208" si="2381">+AZ206+CP206</f>
        <v>139575</v>
      </c>
      <c r="K206" s="106">
        <f t="shared" ref="K206:K208" si="2382">+BA206+CQ206</f>
        <v>194188.15999999997</v>
      </c>
      <c r="L206" s="106">
        <f t="shared" ref="L206:L208" si="2383">+BB206+CR206</f>
        <v>194188</v>
      </c>
      <c r="M206" s="106">
        <f t="shared" ref="M206:M208" si="2384">+SUM(A206:L206)</f>
        <v>1383653.19</v>
      </c>
      <c r="N206" s="16" t="s">
        <v>173</v>
      </c>
      <c r="O206" s="106">
        <f t="shared" ref="O206:O208" si="2385">+BE206+CU206</f>
        <v>194188</v>
      </c>
      <c r="P206" s="106">
        <f t="shared" ref="P206:P208" si="2386">+BF206+CV206</f>
        <v>193901</v>
      </c>
      <c r="Q206" s="106">
        <f t="shared" ref="Q206:Q208" si="2387">+BG206+CW206</f>
        <v>148022.09</v>
      </c>
      <c r="R206" s="106">
        <f t="shared" ref="R206:R208" si="2388">+BH206+CX206</f>
        <v>198628.26</v>
      </c>
      <c r="S206" s="106">
        <f t="shared" ref="S206:S208" si="2389">+BI206+CY206</f>
        <v>198628.26</v>
      </c>
      <c r="T206" s="106">
        <f t="shared" ref="T206:T208" si="2390">+BJ206+CZ206</f>
        <v>198628.26</v>
      </c>
      <c r="U206" s="106">
        <f t="shared" ref="U206:U208" si="2391">+BK206+DA206</f>
        <v>148022.0833333334</v>
      </c>
      <c r="V206" s="106">
        <f t="shared" ref="V206:V208" si="2392">+BL206+DB206</f>
        <v>163934</v>
      </c>
      <c r="W206" s="106">
        <f t="shared" ref="W206:W208" si="2393">+BM206+DC206</f>
        <v>181217</v>
      </c>
      <c r="X206" s="106">
        <f t="shared" ref="X206:X208" si="2394">+BN206+DD206</f>
        <v>180400</v>
      </c>
      <c r="Y206" s="106">
        <f t="shared" ref="Y206:Y208" si="2395">+BO206+DE206</f>
        <v>0</v>
      </c>
      <c r="Z206" s="106">
        <f t="shared" ref="Z206:Z208" si="2396">+BP206+DF206</f>
        <v>0</v>
      </c>
      <c r="AA206" s="106">
        <f t="shared" ref="AA206:AA208" si="2397">+SUM(O206:Z206)</f>
        <v>1805568.9533333336</v>
      </c>
      <c r="AB206" s="118">
        <f t="shared" si="1861"/>
        <v>0.58886933202707903</v>
      </c>
      <c r="AC206" s="106">
        <f t="shared" ref="AC206:AC208" si="2398">+BS206+DI206</f>
        <v>113539.8590454545</v>
      </c>
      <c r="AD206" s="106">
        <f t="shared" ref="AD206:AD208" si="2399">+BT206+DJ206</f>
        <v>113539.8590454545</v>
      </c>
      <c r="AE206" s="106">
        <f t="shared" ref="AE206:AE208" si="2400">+BU206+DK206</f>
        <v>113539.8590454545</v>
      </c>
      <c r="AF206" s="106">
        <f t="shared" ref="AF206:AF208" si="2401">+BV206+DL206</f>
        <v>113539.8590454545</v>
      </c>
      <c r="AG206" s="106">
        <f t="shared" ref="AG206:AG208" si="2402">+BW206+DM206</f>
        <v>113539.8590454545</v>
      </c>
      <c r="AH206" s="106">
        <f t="shared" ref="AH206:AH208" si="2403">+BX206+DN206</f>
        <v>113539.8590454545</v>
      </c>
      <c r="AI206" s="106">
        <f t="shared" ref="AI206:AI208" si="2404">+BY206+DO206</f>
        <v>113539.8590454545</v>
      </c>
      <c r="AJ206" s="106">
        <f t="shared" ref="AJ206:AJ208" si="2405">+BZ206+DP206</f>
        <v>113539.8590454545</v>
      </c>
      <c r="AK206" s="106">
        <f t="shared" ref="AK206:AK208" si="2406">+CA206+DQ206</f>
        <v>113539.8590454545</v>
      </c>
      <c r="AL206" s="106">
        <f t="shared" ref="AL206:AL208" si="2407">+CB206+DR206</f>
        <v>113539.8590454545</v>
      </c>
      <c r="AM206" s="106">
        <f t="shared" ref="AM206:AM208" si="2408">+CC206+DS206</f>
        <v>113539.8590454545</v>
      </c>
      <c r="AN206" s="106">
        <f t="shared" ref="AN206:AN208" si="2409">+CD206+DT206</f>
        <v>113539.8590454545</v>
      </c>
      <c r="AO206" s="106">
        <f t="shared" ref="AO206:AO208" si="2410">+SUM(AC206:AN206)</f>
        <v>1362478.3085454542</v>
      </c>
      <c r="AQ206" s="106">
        <v>55251.33</v>
      </c>
      <c r="AR206" s="106">
        <v>55251</v>
      </c>
      <c r="AS206" s="106">
        <v>55251</v>
      </c>
      <c r="AT206" s="106">
        <v>55251</v>
      </c>
      <c r="AU206" s="106">
        <v>55251</v>
      </c>
      <c r="AV206" s="106">
        <v>55251</v>
      </c>
      <c r="AW206" s="106">
        <v>55251</v>
      </c>
      <c r="AX206" s="106">
        <v>56833</v>
      </c>
      <c r="AY206" s="106">
        <v>45539.83</v>
      </c>
      <c r="AZ206" s="106">
        <v>94035</v>
      </c>
      <c r="BA206" s="106">
        <v>148648.32999999999</v>
      </c>
      <c r="BB206" s="106">
        <v>148648</v>
      </c>
      <c r="BC206" s="106">
        <f t="shared" ref="BC206:BC208" si="2411">+SUM(AQ206:BB206)</f>
        <v>880461.49</v>
      </c>
      <c r="BD206" s="16" t="str">
        <f t="shared" si="2339"/>
        <v>Demo Car Insurance</v>
      </c>
      <c r="BE206" s="106">
        <f>+VLOOKUP($BD206,'Jan-25'!$A:$J,2,0)</f>
        <v>148648</v>
      </c>
      <c r="BF206" s="106">
        <f>+VLOOKUP($BD206,'Feb-25'!$A:$J,2,0)</f>
        <v>148648</v>
      </c>
      <c r="BG206" s="106">
        <f>+VLOOKUP($BD206,'Mar-25'!$A:$J,2,0)</f>
        <v>98042.17</v>
      </c>
      <c r="BH206" s="106">
        <f>+VLOOKUP($BD206,'Apr-25'!$A:$J,2,0)</f>
        <v>148648.34</v>
      </c>
      <c r="BI206" s="106">
        <f>+VLOOKUP($BD206,'May-25'!$A:$J,2,0)</f>
        <v>148648.34</v>
      </c>
      <c r="BJ206" s="106">
        <f>+VLOOKUP($BD206,'June-25'!$A:$J,2,0)</f>
        <v>148648.34</v>
      </c>
      <c r="BK206" s="106">
        <f>+VLOOKUP($BD206,'July-25'!$A:$J,2,0)</f>
        <v>98042.166666666701</v>
      </c>
      <c r="BL206" s="106">
        <f>+VLOOKUP($BD206,'Aug-25'!$A:$J,2,0)</f>
        <v>113954</v>
      </c>
      <c r="BM206" s="106">
        <f>+VLOOKUP($BD206,'Sep-25'!$A:$J,2,0)</f>
        <v>131237</v>
      </c>
      <c r="BN206" s="106">
        <f>+VLOOKUP($BD206,'Oct-25'!$A:$J,2,0)</f>
        <v>115022</v>
      </c>
      <c r="BO206" s="106">
        <f>+VLOOKUP($BD206,'Nov-25'!$A:$J,2,0)</f>
        <v>0</v>
      </c>
      <c r="BP206" s="106">
        <f>+VLOOKUP($BD206,'Dec-25'!$A:$J,2,0)</f>
        <v>0</v>
      </c>
      <c r="BQ206" s="106">
        <f t="shared" ref="BQ206:BQ208" si="2412">+SUM(BE206:BP206)</f>
        <v>1299538.3566666667</v>
      </c>
      <c r="BR206" s="118">
        <f t="shared" si="1877"/>
        <v>0.68842321053601885</v>
      </c>
      <c r="BS206" s="106" cm="1">
        <f t="array" ref="BS206:CD206">+_xlfn.XLOOKUP(BD206,Budget!A:A,Budget!Q:AB)</f>
        <v>68123.915427272703</v>
      </c>
      <c r="BT206" s="106">
        <v>68123.915427272703</v>
      </c>
      <c r="BU206" s="106">
        <v>68123.915427272703</v>
      </c>
      <c r="BV206" s="106">
        <v>68123.915427272703</v>
      </c>
      <c r="BW206" s="106">
        <v>68123.915427272703</v>
      </c>
      <c r="BX206" s="106">
        <v>68123.915427272703</v>
      </c>
      <c r="BY206" s="106">
        <v>68123.915427272703</v>
      </c>
      <c r="BZ206" s="106">
        <v>68123.915427272703</v>
      </c>
      <c r="CA206" s="106">
        <v>68123.915427272703</v>
      </c>
      <c r="CB206" s="106">
        <v>68123.915427272703</v>
      </c>
      <c r="CC206" s="106">
        <v>68123.915427272703</v>
      </c>
      <c r="CD206" s="106">
        <v>68123.915427272703</v>
      </c>
      <c r="CE206" s="106">
        <f t="shared" ref="CE206:CE208" si="2413">+SUM(BS206:CD206)</f>
        <v>817486.9851272722</v>
      </c>
      <c r="CF206" s="22"/>
      <c r="CG206" s="106">
        <v>19706.419999999998</v>
      </c>
      <c r="CH206" s="106">
        <v>13097.62</v>
      </c>
      <c r="CI206" s="106">
        <v>45540</v>
      </c>
      <c r="CJ206" s="106">
        <v>45540</v>
      </c>
      <c r="CK206" s="106">
        <v>45540</v>
      </c>
      <c r="CL206" s="106">
        <v>45540</v>
      </c>
      <c r="CM206" s="106">
        <v>45540</v>
      </c>
      <c r="CN206" s="106">
        <v>45540</v>
      </c>
      <c r="CO206" s="106">
        <v>60527.83</v>
      </c>
      <c r="CP206" s="106">
        <v>45540</v>
      </c>
      <c r="CQ206" s="106">
        <v>45539.83</v>
      </c>
      <c r="CR206" s="106">
        <v>45540</v>
      </c>
      <c r="CS206" s="106">
        <f t="shared" ref="CS206:CS208" si="2414">+SUM(CG206:CR206)</f>
        <v>503191.70000000007</v>
      </c>
      <c r="CT206" s="16" t="str">
        <f t="shared" si="2340"/>
        <v>Demo Car Insurance</v>
      </c>
      <c r="CU206" s="106">
        <f>+VLOOKUP($BD206,'Jan-25'!$A:$J,6,0)</f>
        <v>45540</v>
      </c>
      <c r="CV206" s="106">
        <f>+VLOOKUP($BD206,'Feb-25'!$A:$J,6,0)</f>
        <v>45253</v>
      </c>
      <c r="CW206" s="106">
        <f>+VLOOKUP($BD206,'Mar-25'!$A:$J,6,0)</f>
        <v>49979.92</v>
      </c>
      <c r="CX206" s="106">
        <f>+VLOOKUP($BD206,'Apr-25'!$A:$J,6,0)</f>
        <v>49979.92</v>
      </c>
      <c r="CY206" s="106">
        <f>+VLOOKUP($BD206,'May-25'!$A:$J,6,0)</f>
        <v>49979.92</v>
      </c>
      <c r="CZ206" s="106">
        <f>+VLOOKUP($BD206,'June-25'!$A:$J,6,0)</f>
        <v>49979.92</v>
      </c>
      <c r="DA206" s="106">
        <f>+VLOOKUP($BD206,'July-25'!$A:$J,6,0)</f>
        <v>49979.916666666701</v>
      </c>
      <c r="DB206" s="106">
        <f>+VLOOKUP($BD206,'Aug-25'!$A:$J,6,0)</f>
        <v>49980</v>
      </c>
      <c r="DC206" s="106">
        <f>+VLOOKUP($BD206,'Sep-25'!$A:$J,6,0)</f>
        <v>49980</v>
      </c>
      <c r="DD206" s="106">
        <f>+VLOOKUP($BD206,'Oct-25'!$A:$J,6,0)</f>
        <v>65378</v>
      </c>
      <c r="DE206" s="106">
        <f>+VLOOKUP($BD206,'Nov-25'!$A:$J,6,0)</f>
        <v>0</v>
      </c>
      <c r="DF206" s="106">
        <f>+VLOOKUP($BD206,'Dec-25'!$A:$J,6,0)</f>
        <v>0</v>
      </c>
      <c r="DG206" s="106">
        <f t="shared" ref="DG206:DG208" si="2415">+SUM(CU206:DF206)</f>
        <v>506030.59666666662</v>
      </c>
      <c r="DH206" s="118">
        <f t="shared" si="1881"/>
        <v>0.43953851426366919</v>
      </c>
      <c r="DI206" s="106">
        <f>+_xlfn.XLOOKUP($CT206,Budget!$A:$A,Budget!BQ:BQ)</f>
        <v>45415.943618181802</v>
      </c>
      <c r="DJ206" s="106">
        <f>+_xlfn.XLOOKUP($CT206,Budget!$A:$A,Budget!BR:BR)</f>
        <v>45415.943618181802</v>
      </c>
      <c r="DK206" s="106">
        <f>+_xlfn.XLOOKUP($CT206,Budget!$A:$A,Budget!BS:BS)</f>
        <v>45415.943618181802</v>
      </c>
      <c r="DL206" s="106">
        <f>+_xlfn.XLOOKUP($CT206,Budget!$A:$A,Budget!BT:BT)</f>
        <v>45415.943618181802</v>
      </c>
      <c r="DM206" s="106">
        <f>+_xlfn.XLOOKUP($CT206,Budget!$A:$A,Budget!BU:BU)</f>
        <v>45415.943618181802</v>
      </c>
      <c r="DN206" s="106">
        <f>+_xlfn.XLOOKUP($CT206,Budget!$A:$A,Budget!BV:BV)</f>
        <v>45415.943618181802</v>
      </c>
      <c r="DO206" s="106">
        <f>+_xlfn.XLOOKUP($CT206,Budget!$A:$A,Budget!BW:BW)</f>
        <v>45415.943618181802</v>
      </c>
      <c r="DP206" s="106">
        <f>+_xlfn.XLOOKUP($CT206,Budget!$A:$A,Budget!BX:BX)</f>
        <v>45415.943618181802</v>
      </c>
      <c r="DQ206" s="106">
        <f>+_xlfn.XLOOKUP($CT206,Budget!$A:$A,Budget!BY:BY)</f>
        <v>45415.943618181802</v>
      </c>
      <c r="DR206" s="106">
        <f>+_xlfn.XLOOKUP($CT206,Budget!$A:$A,Budget!BZ:BZ)</f>
        <v>45415.943618181802</v>
      </c>
      <c r="DS206" s="106">
        <f>+_xlfn.XLOOKUP($CT206,Budget!$A:$A,Budget!CA:CA)</f>
        <v>45415.943618181802</v>
      </c>
      <c r="DT206" s="106">
        <f>+_xlfn.XLOOKUP($CT206,Budget!$A:$A,Budget!CB:CB)</f>
        <v>45415.943618181802</v>
      </c>
      <c r="DU206" s="106">
        <f t="shared" ref="DU206:DU208" si="2416">+SUM(DI206:DT206)</f>
        <v>544991.32341818162</v>
      </c>
    </row>
    <row r="207" spans="1:125" ht="14.45" customHeight="1" outlineLevel="2">
      <c r="A207" s="106">
        <f t="shared" si="2372"/>
        <v>18506.4185</v>
      </c>
      <c r="B207" s="106">
        <f t="shared" si="2373"/>
        <v>34871.85</v>
      </c>
      <c r="C207" s="106">
        <f t="shared" si="2374"/>
        <v>23784.35</v>
      </c>
      <c r="D207" s="106">
        <f t="shared" si="2375"/>
        <v>23784.35</v>
      </c>
      <c r="E207" s="106">
        <f t="shared" si="2376"/>
        <v>23784.35</v>
      </c>
      <c r="F207" s="106">
        <f t="shared" si="2377"/>
        <v>23784.35</v>
      </c>
      <c r="G207" s="106">
        <f t="shared" si="2378"/>
        <v>23784.35</v>
      </c>
      <c r="H207" s="106">
        <f t="shared" si="2379"/>
        <v>23784.35</v>
      </c>
      <c r="I207" s="106">
        <f t="shared" si="2380"/>
        <v>23784.353499999997</v>
      </c>
      <c r="J207" s="106">
        <f t="shared" si="2381"/>
        <v>16121.849999999999</v>
      </c>
      <c r="K207" s="106">
        <f t="shared" si="2382"/>
        <v>5856.5</v>
      </c>
      <c r="L207" s="106">
        <f t="shared" si="2383"/>
        <v>5856.5</v>
      </c>
      <c r="M207" s="106">
        <f t="shared" si="2384"/>
        <v>247703.57200000001</v>
      </c>
      <c r="N207" s="16" t="s">
        <v>174</v>
      </c>
      <c r="O207" s="106">
        <f t="shared" si="2385"/>
        <v>0</v>
      </c>
      <c r="P207" s="106">
        <f t="shared" si="2386"/>
        <v>0</v>
      </c>
      <c r="Q207" s="106">
        <f t="shared" si="2387"/>
        <v>50606.17</v>
      </c>
      <c r="R207" s="106">
        <f t="shared" si="2388"/>
        <v>0</v>
      </c>
      <c r="S207" s="106">
        <f t="shared" si="2389"/>
        <v>0</v>
      </c>
      <c r="T207" s="106">
        <f t="shared" si="2390"/>
        <v>0</v>
      </c>
      <c r="U207" s="106">
        <f t="shared" si="2391"/>
        <v>50606.166666666701</v>
      </c>
      <c r="V207" s="106">
        <f t="shared" si="2392"/>
        <v>41629</v>
      </c>
      <c r="W207" s="106">
        <f t="shared" si="2393"/>
        <v>41629</v>
      </c>
      <c r="X207" s="106">
        <f t="shared" si="2394"/>
        <v>41049</v>
      </c>
      <c r="Y207" s="106">
        <f t="shared" si="2395"/>
        <v>0</v>
      </c>
      <c r="Z207" s="106">
        <f t="shared" si="2396"/>
        <v>0</v>
      </c>
      <c r="AA207" s="106">
        <f t="shared" si="2397"/>
        <v>225519.3366666667</v>
      </c>
      <c r="AB207" s="118">
        <f t="shared" si="1861"/>
        <v>0.96808896026023805</v>
      </c>
      <c r="AC207" s="106">
        <f t="shared" si="2398"/>
        <v>20857.288887272727</v>
      </c>
      <c r="AD207" s="106">
        <f t="shared" si="2399"/>
        <v>20857.288887272727</v>
      </c>
      <c r="AE207" s="106">
        <f t="shared" si="2400"/>
        <v>20857.288887272727</v>
      </c>
      <c r="AF207" s="106">
        <f t="shared" si="2401"/>
        <v>20857.288887272727</v>
      </c>
      <c r="AG207" s="106">
        <f t="shared" si="2402"/>
        <v>20857.288887272727</v>
      </c>
      <c r="AH207" s="106">
        <f t="shared" si="2403"/>
        <v>20857.288887272727</v>
      </c>
      <c r="AI207" s="106">
        <f t="shared" si="2404"/>
        <v>20857.288887272727</v>
      </c>
      <c r="AJ207" s="106">
        <f t="shared" si="2405"/>
        <v>20857.288887272727</v>
      </c>
      <c r="AK207" s="106">
        <f t="shared" si="2406"/>
        <v>20857.288887272727</v>
      </c>
      <c r="AL207" s="106">
        <f t="shared" si="2407"/>
        <v>20857.288887272727</v>
      </c>
      <c r="AM207" s="106">
        <f t="shared" si="2408"/>
        <v>20857.288887272727</v>
      </c>
      <c r="AN207" s="106">
        <f t="shared" si="2409"/>
        <v>20857.288887272727</v>
      </c>
      <c r="AO207" s="106">
        <f t="shared" si="2410"/>
        <v>250287.46664727278</v>
      </c>
      <c r="AQ207" s="106">
        <v>17692.777999999998</v>
      </c>
      <c r="AR207" s="106">
        <v>17692.8</v>
      </c>
      <c r="AS207" s="106">
        <v>17692.8</v>
      </c>
      <c r="AT207" s="106">
        <v>17692.8</v>
      </c>
      <c r="AU207" s="106">
        <v>17692.8</v>
      </c>
      <c r="AV207" s="106">
        <v>17692.8</v>
      </c>
      <c r="AW207" s="106">
        <v>17692.8</v>
      </c>
      <c r="AX207" s="106">
        <v>17692.8</v>
      </c>
      <c r="AY207" s="106">
        <v>17692.777999999998</v>
      </c>
      <c r="AZ207" s="106">
        <v>10130.799999999999</v>
      </c>
      <c r="BA207" s="106">
        <v>0</v>
      </c>
      <c r="BB207" s="106">
        <v>0</v>
      </c>
      <c r="BC207" s="106">
        <f t="shared" si="2411"/>
        <v>169365.95599999998</v>
      </c>
      <c r="BD207" s="16" t="str">
        <f t="shared" si="2339"/>
        <v>Premises Insurance</v>
      </c>
      <c r="BE207" s="106">
        <f>+VLOOKUP($BD207,'Jan-25'!$A:$J,2,0)</f>
        <v>0</v>
      </c>
      <c r="BF207" s="106">
        <f>+VLOOKUP($BD207,'Feb-25'!$A:$J,2,0)</f>
        <v>0</v>
      </c>
      <c r="BG207" s="106">
        <f>+VLOOKUP($BD207,'Mar-25'!$A:$J,2,0)</f>
        <v>50606.17</v>
      </c>
      <c r="BH207" s="106">
        <f>+VLOOKUP($BD207,'Apr-25'!$A:$J,2,0)</f>
        <v>0</v>
      </c>
      <c r="BI207" s="106">
        <f>+VLOOKUP($BD207,'May-25'!$A:$J,2,0)</f>
        <v>0</v>
      </c>
      <c r="BJ207" s="106">
        <f>+VLOOKUP($BD207,'June-25'!$A:$J,2,0)</f>
        <v>0</v>
      </c>
      <c r="BK207" s="106">
        <f>+VLOOKUP($BD207,'July-25'!$A:$J,2,0)</f>
        <v>50606.166666666701</v>
      </c>
      <c r="BL207" s="106">
        <f>+VLOOKUP($BD207,'Aug-25'!$A:$J,2,0)</f>
        <v>41629</v>
      </c>
      <c r="BM207" s="106">
        <f>+VLOOKUP($BD207,'Sep-25'!$A:$J,2,0)</f>
        <v>41629</v>
      </c>
      <c r="BN207" s="106">
        <f>+VLOOKUP($BD207,'Oct-25'!$A:$J,2,0)</f>
        <v>37241</v>
      </c>
      <c r="BO207" s="106">
        <f>+VLOOKUP($BD207,'Nov-25'!$A:$J,2,0)</f>
        <v>0</v>
      </c>
      <c r="BP207" s="106">
        <f>+VLOOKUP($BD207,'Dec-25'!$A:$J,2,0)</f>
        <v>0</v>
      </c>
      <c r="BQ207" s="106">
        <f t="shared" si="2412"/>
        <v>221711.3366666667</v>
      </c>
      <c r="BR207" s="118">
        <f t="shared" si="1877"/>
        <v>1.3030921459492888</v>
      </c>
      <c r="BS207" s="106" cm="1">
        <f t="array" ref="BS207:CD207">+_xlfn.XLOOKUP(BD207,Budget!A:A,Budget!Q:AB)</f>
        <v>16170</v>
      </c>
      <c r="BT207" s="106">
        <v>16170</v>
      </c>
      <c r="BU207" s="106">
        <v>16170</v>
      </c>
      <c r="BV207" s="106">
        <v>16170</v>
      </c>
      <c r="BW207" s="106">
        <v>16170</v>
      </c>
      <c r="BX207" s="106">
        <v>16170</v>
      </c>
      <c r="BY207" s="106">
        <v>16170</v>
      </c>
      <c r="BZ207" s="106">
        <v>16170</v>
      </c>
      <c r="CA207" s="106">
        <v>16170</v>
      </c>
      <c r="CB207" s="106">
        <v>16170</v>
      </c>
      <c r="CC207" s="106">
        <v>16170</v>
      </c>
      <c r="CD207" s="106">
        <v>16170</v>
      </c>
      <c r="CE207" s="106">
        <f t="shared" si="2413"/>
        <v>194040</v>
      </c>
      <c r="CF207" s="22"/>
      <c r="CG207" s="106">
        <v>813.64050000000009</v>
      </c>
      <c r="CH207" s="106">
        <v>17179.05</v>
      </c>
      <c r="CI207" s="106">
        <v>6091.55</v>
      </c>
      <c r="CJ207" s="106">
        <v>6091.55</v>
      </c>
      <c r="CK207" s="106">
        <v>6091.55</v>
      </c>
      <c r="CL207" s="106">
        <v>6091.55</v>
      </c>
      <c r="CM207" s="106">
        <v>6091.55</v>
      </c>
      <c r="CN207" s="106">
        <v>6091.55</v>
      </c>
      <c r="CO207" s="106">
        <v>6091.5754999999999</v>
      </c>
      <c r="CP207" s="106">
        <v>5991.05</v>
      </c>
      <c r="CQ207" s="106">
        <v>5856.5</v>
      </c>
      <c r="CR207" s="106">
        <v>5856.5</v>
      </c>
      <c r="CS207" s="106">
        <f t="shared" si="2414"/>
        <v>78337.616000000009</v>
      </c>
      <c r="CT207" s="16" t="str">
        <f t="shared" si="2340"/>
        <v>Premises Insurance</v>
      </c>
      <c r="CU207" s="106">
        <f>+VLOOKUP($BD207,'Jan-25'!$A:$J,6,0)</f>
        <v>0</v>
      </c>
      <c r="CV207" s="106">
        <f>+VLOOKUP($BD207,'Feb-25'!$A:$J,6,0)</f>
        <v>0</v>
      </c>
      <c r="CW207" s="106">
        <f>+VLOOKUP($BD207,'Mar-25'!$A:$J,6,0)</f>
        <v>0</v>
      </c>
      <c r="CX207" s="106">
        <f>+VLOOKUP($BD207,'Apr-25'!$A:$J,6,0)</f>
        <v>0</v>
      </c>
      <c r="CY207" s="106">
        <f>+VLOOKUP($BD207,'May-25'!$A:$J,6,0)</f>
        <v>0</v>
      </c>
      <c r="CZ207" s="106">
        <f>+VLOOKUP($BD207,'June-25'!$A:$J,6,0)</f>
        <v>0</v>
      </c>
      <c r="DA207" s="106">
        <f>+VLOOKUP($BD207,'July-25'!$A:$J,6,0)</f>
        <v>0</v>
      </c>
      <c r="DB207" s="106">
        <f>+VLOOKUP($BD207,'Aug-25'!$A:$J,6,0)</f>
        <v>0</v>
      </c>
      <c r="DC207" s="106">
        <f>+VLOOKUP($BD207,'Sep-25'!$A:$J,6,0)</f>
        <v>0</v>
      </c>
      <c r="DD207" s="106">
        <f>+VLOOKUP($BD207,'Oct-25'!$A:$J,6,0)</f>
        <v>3808</v>
      </c>
      <c r="DE207" s="106">
        <f>+VLOOKUP($BD207,'Nov-25'!$A:$J,6,0)</f>
        <v>0</v>
      </c>
      <c r="DF207" s="106">
        <f>+VLOOKUP($BD207,'Dec-25'!$A:$J,6,0)</f>
        <v>0</v>
      </c>
      <c r="DG207" s="106">
        <f t="shared" si="2415"/>
        <v>3808</v>
      </c>
      <c r="DH207" s="118">
        <f t="shared" si="1881"/>
        <v>-0.18759007785080994</v>
      </c>
      <c r="DI207" s="106">
        <f>+_xlfn.XLOOKUP($CT207,Budget!$A:$A,Budget!BQ:BQ)</f>
        <v>4687.2888872727272</v>
      </c>
      <c r="DJ207" s="106">
        <f>+_xlfn.XLOOKUP($CT207,Budget!$A:$A,Budget!BR:BR)</f>
        <v>4687.2888872727272</v>
      </c>
      <c r="DK207" s="106">
        <f>+_xlfn.XLOOKUP($CT207,Budget!$A:$A,Budget!BS:BS)</f>
        <v>4687.2888872727272</v>
      </c>
      <c r="DL207" s="106">
        <f>+_xlfn.XLOOKUP($CT207,Budget!$A:$A,Budget!BT:BT)</f>
        <v>4687.2888872727272</v>
      </c>
      <c r="DM207" s="106">
        <f>+_xlfn.XLOOKUP($CT207,Budget!$A:$A,Budget!BU:BU)</f>
        <v>4687.2888872727272</v>
      </c>
      <c r="DN207" s="106">
        <f>+_xlfn.XLOOKUP($CT207,Budget!$A:$A,Budget!BV:BV)</f>
        <v>4687.2888872727272</v>
      </c>
      <c r="DO207" s="106">
        <f>+_xlfn.XLOOKUP($CT207,Budget!$A:$A,Budget!BW:BW)</f>
        <v>4687.2888872727272</v>
      </c>
      <c r="DP207" s="106">
        <f>+_xlfn.XLOOKUP($CT207,Budget!$A:$A,Budget!BX:BX)</f>
        <v>4687.2888872727272</v>
      </c>
      <c r="DQ207" s="106">
        <f>+_xlfn.XLOOKUP($CT207,Budget!$A:$A,Budget!BY:BY)</f>
        <v>4687.2888872727272</v>
      </c>
      <c r="DR207" s="106">
        <f>+_xlfn.XLOOKUP($CT207,Budget!$A:$A,Budget!BZ:BZ)</f>
        <v>4687.2888872727272</v>
      </c>
      <c r="DS207" s="106">
        <f>+_xlfn.XLOOKUP($CT207,Budget!$A:$A,Budget!CA:CA)</f>
        <v>4687.2888872727272</v>
      </c>
      <c r="DT207" s="106">
        <f>+_xlfn.XLOOKUP($CT207,Budget!$A:$A,Budget!CB:CB)</f>
        <v>4687.2888872727272</v>
      </c>
      <c r="DU207" s="106">
        <f t="shared" si="2416"/>
        <v>56247.466647272726</v>
      </c>
    </row>
    <row r="208" spans="1:125" ht="14.45" customHeight="1" outlineLevel="2">
      <c r="A208" s="106">
        <f t="shared" si="2372"/>
        <v>5067.1824999999835</v>
      </c>
      <c r="B208" s="106">
        <f t="shared" si="2373"/>
        <v>5067.1499999999987</v>
      </c>
      <c r="C208" s="106">
        <f t="shared" si="2374"/>
        <v>2687.287499999999</v>
      </c>
      <c r="D208" s="106">
        <f t="shared" si="2375"/>
        <v>2687.2874999999995</v>
      </c>
      <c r="E208" s="106">
        <f t="shared" si="2376"/>
        <v>2687.2874999999995</v>
      </c>
      <c r="F208" s="106">
        <f t="shared" si="2377"/>
        <v>2656.3424999999997</v>
      </c>
      <c r="G208" s="106">
        <f t="shared" si="2378"/>
        <v>2696.0583314999994</v>
      </c>
      <c r="H208" s="106">
        <f t="shared" si="2379"/>
        <v>1204.0831923076712</v>
      </c>
      <c r="I208" s="106">
        <f t="shared" si="2380"/>
        <v>2688.1668333333137</v>
      </c>
      <c r="J208" s="106">
        <f t="shared" si="2381"/>
        <v>8540.3315000000002</v>
      </c>
      <c r="K208" s="106">
        <f t="shared" si="2382"/>
        <v>3125.1940000000004</v>
      </c>
      <c r="L208" s="106">
        <f t="shared" si="2383"/>
        <v>3203.3315000000021</v>
      </c>
      <c r="M208" s="106">
        <f t="shared" si="2384"/>
        <v>42309.702857140968</v>
      </c>
      <c r="N208" s="16" t="s">
        <v>235</v>
      </c>
      <c r="O208" s="106">
        <f t="shared" si="2385"/>
        <v>0</v>
      </c>
      <c r="P208" s="106">
        <f t="shared" si="2386"/>
        <v>5938.3315000000011</v>
      </c>
      <c r="Q208" s="106">
        <f t="shared" si="2387"/>
        <v>5937.9840000000004</v>
      </c>
      <c r="R208" s="106">
        <f t="shared" si="2388"/>
        <v>5937.9840000000004</v>
      </c>
      <c r="S208" s="106">
        <f t="shared" si="2389"/>
        <v>5937.9840000000004</v>
      </c>
      <c r="T208" s="106">
        <f t="shared" si="2390"/>
        <v>5899.2840000000006</v>
      </c>
      <c r="U208" s="106">
        <f t="shared" si="2391"/>
        <v>5847.6874999999764</v>
      </c>
      <c r="V208" s="106">
        <f t="shared" si="2392"/>
        <v>5847.8179999999993</v>
      </c>
      <c r="W208" s="106">
        <f t="shared" si="2393"/>
        <v>5825.9335000000001</v>
      </c>
      <c r="X208" s="106">
        <f t="shared" si="2394"/>
        <v>5494.4500000000007</v>
      </c>
      <c r="Y208" s="106">
        <f t="shared" si="2395"/>
        <v>0</v>
      </c>
      <c r="Z208" s="106">
        <f t="shared" si="2396"/>
        <v>0</v>
      </c>
      <c r="AA208" s="106">
        <f t="shared" si="2397"/>
        <v>52667.456499999971</v>
      </c>
      <c r="AB208" s="118">
        <f t="shared" si="1861"/>
        <v>1.2562924702354914</v>
      </c>
      <c r="AC208" s="106">
        <f t="shared" si="2398"/>
        <v>2563.3341666666665</v>
      </c>
      <c r="AD208" s="106">
        <f t="shared" si="2399"/>
        <v>2563.3341666666665</v>
      </c>
      <c r="AE208" s="106">
        <f t="shared" si="2400"/>
        <v>2563.3341666666665</v>
      </c>
      <c r="AF208" s="106">
        <f t="shared" si="2401"/>
        <v>2563.3341666666665</v>
      </c>
      <c r="AG208" s="106">
        <f t="shared" si="2402"/>
        <v>2563.3341666666665</v>
      </c>
      <c r="AH208" s="106">
        <f t="shared" si="2403"/>
        <v>2552.7925</v>
      </c>
      <c r="AI208" s="106">
        <f t="shared" si="2404"/>
        <v>2552.7925</v>
      </c>
      <c r="AJ208" s="106">
        <f t="shared" si="2405"/>
        <v>2552.7925</v>
      </c>
      <c r="AK208" s="106">
        <f t="shared" si="2406"/>
        <v>2552.7925</v>
      </c>
      <c r="AL208" s="106">
        <f t="shared" si="2407"/>
        <v>2435.1674583333338</v>
      </c>
      <c r="AM208" s="106">
        <f t="shared" si="2408"/>
        <v>2435.1674583333338</v>
      </c>
      <c r="AN208" s="106">
        <f t="shared" si="2409"/>
        <v>2435.1674583333338</v>
      </c>
      <c r="AO208" s="106">
        <f t="shared" si="2410"/>
        <v>30333.343208333332</v>
      </c>
      <c r="AQ208" s="106">
        <v>4266.6019999999899</v>
      </c>
      <c r="AR208" s="106">
        <v>4660.1999999999989</v>
      </c>
      <c r="AS208" s="106">
        <v>2280.2999999999993</v>
      </c>
      <c r="AT208" s="106">
        <v>2280.2999999999993</v>
      </c>
      <c r="AU208" s="106">
        <v>2280.2999999999993</v>
      </c>
      <c r="AV208" s="106">
        <v>2249.34</v>
      </c>
      <c r="AW208" s="106">
        <v>1895.5333319999995</v>
      </c>
      <c r="AX208" s="106">
        <v>810.41656410254893</v>
      </c>
      <c r="AY208" s="106">
        <v>1907.1673333333185</v>
      </c>
      <c r="AZ208" s="106">
        <v>2736.3320000000003</v>
      </c>
      <c r="BA208" s="106">
        <v>2736.232</v>
      </c>
      <c r="BB208" s="106">
        <v>2736.3320000000012</v>
      </c>
      <c r="BC208" s="106">
        <f t="shared" si="2411"/>
        <v>30839.05522943586</v>
      </c>
      <c r="BD208" s="16" t="str">
        <f t="shared" si="2339"/>
        <v>Company Vehicle Insurance</v>
      </c>
      <c r="BE208" s="106">
        <f>+VLOOKUP($BD208,'Jan-25'!$A:$J,2,0)</f>
        <v>0</v>
      </c>
      <c r="BF208" s="106">
        <f>+VLOOKUP($BD208,'Feb-25'!$A:$J,2,0)</f>
        <v>2736.3320000000003</v>
      </c>
      <c r="BG208" s="106">
        <f>+VLOOKUP($BD208,'Mar-25'!$A:$J,2,0)</f>
        <v>2736.232</v>
      </c>
      <c r="BH208" s="106">
        <f>+VLOOKUP($BD208,'Apr-25'!$A:$J,2,0)</f>
        <v>2736.232</v>
      </c>
      <c r="BI208" s="106">
        <f>+VLOOKUP($BD208,'May-25'!$A:$J,2,0)</f>
        <v>2736.232</v>
      </c>
      <c r="BJ208" s="106">
        <f>+VLOOKUP($BD208,'June-25'!$A:$J,2,0)</f>
        <v>2682.3820000000005</v>
      </c>
      <c r="BK208" s="106">
        <f>+VLOOKUP($BD208,'July-25'!$A:$J,2,0)</f>
        <v>2610.5833333333157</v>
      </c>
      <c r="BL208" s="106">
        <f>+VLOOKUP($BD208,'Aug-25'!$A:$J,2,0)</f>
        <v>2610.503999999999</v>
      </c>
      <c r="BM208" s="106">
        <f>+VLOOKUP($BD208,'Sep-25'!$A:$J,2,0)</f>
        <v>2576.3879999999999</v>
      </c>
      <c r="BN208" s="106">
        <f>+VLOOKUP($BD208,'Oct-25'!$A:$J,2,0)</f>
        <v>1803.4</v>
      </c>
      <c r="BO208" s="106">
        <f>+VLOOKUP($BD208,'Nov-25'!$A:$J,2,0)</f>
        <v>0</v>
      </c>
      <c r="BP208" s="106">
        <f>+VLOOKUP($BD208,'Dec-25'!$A:$J,2,0)</f>
        <v>0</v>
      </c>
      <c r="BQ208" s="106">
        <f t="shared" si="2412"/>
        <v>23228.285333333315</v>
      </c>
      <c r="BR208" s="118">
        <f t="shared" si="1877"/>
        <v>-0.1279054655456611</v>
      </c>
      <c r="BS208" s="106" cm="1">
        <f t="array" ref="BS208:CD208">+_xlfn.XLOOKUP(BD208,Budget!A:A,Budget!Q:AB)</f>
        <v>2176.7316666666666</v>
      </c>
      <c r="BT208" s="106">
        <v>2176.7316666666666</v>
      </c>
      <c r="BU208" s="106">
        <v>2176.7316666666666</v>
      </c>
      <c r="BV208" s="106">
        <v>2176.7316666666666</v>
      </c>
      <c r="BW208" s="106">
        <v>2176.7316666666666</v>
      </c>
      <c r="BX208" s="106">
        <v>2166.19</v>
      </c>
      <c r="BY208" s="106">
        <v>2166.19</v>
      </c>
      <c r="BZ208" s="106">
        <v>2166.19</v>
      </c>
      <c r="CA208" s="106">
        <v>2166.19</v>
      </c>
      <c r="CB208" s="106">
        <v>2067.8950833333338</v>
      </c>
      <c r="CC208" s="106">
        <v>2067.8950833333338</v>
      </c>
      <c r="CD208" s="106">
        <v>2067.8950833333338</v>
      </c>
      <c r="CE208" s="106">
        <f t="shared" si="2413"/>
        <v>25752.10358333333</v>
      </c>
      <c r="CF208" s="22"/>
      <c r="CG208" s="106">
        <v>800.58049999999355</v>
      </c>
      <c r="CH208" s="106">
        <v>406.94999999999959</v>
      </c>
      <c r="CI208" s="106">
        <v>406.98749999999973</v>
      </c>
      <c r="CJ208" s="106">
        <v>406.98750000000018</v>
      </c>
      <c r="CK208" s="106">
        <v>406.98750000000018</v>
      </c>
      <c r="CL208" s="106">
        <v>407.0024999999996</v>
      </c>
      <c r="CM208" s="106">
        <v>800.52499950000004</v>
      </c>
      <c r="CN208" s="106">
        <v>393.66662820512221</v>
      </c>
      <c r="CO208" s="106">
        <v>780.99949999999512</v>
      </c>
      <c r="CP208" s="106">
        <v>5803.9995000000008</v>
      </c>
      <c r="CQ208" s="106">
        <v>388.96200000000044</v>
      </c>
      <c r="CR208" s="106">
        <v>466.99950000000081</v>
      </c>
      <c r="CS208" s="106">
        <f t="shared" si="2414"/>
        <v>11470.647627705112</v>
      </c>
      <c r="CT208" s="16" t="str">
        <f t="shared" si="2340"/>
        <v>Company Vehicle Insurance</v>
      </c>
      <c r="CU208" s="106">
        <f>+VLOOKUP($BD208,'Jan-25'!$A:$J,6,0)</f>
        <v>0</v>
      </c>
      <c r="CV208" s="106">
        <f>+VLOOKUP($BD208,'Feb-25'!$A:$J,6,0)</f>
        <v>3201.9995000000008</v>
      </c>
      <c r="CW208" s="106">
        <f>+VLOOKUP($BD208,'Mar-25'!$A:$J,6,0)</f>
        <v>3201.7520000000004</v>
      </c>
      <c r="CX208" s="106">
        <f>+VLOOKUP($BD208,'Apr-25'!$A:$J,6,0)</f>
        <v>3201.7520000000004</v>
      </c>
      <c r="CY208" s="106">
        <f>+VLOOKUP($BD208,'May-25'!$A:$J,6,0)</f>
        <v>3201.7520000000004</v>
      </c>
      <c r="CZ208" s="106">
        <f>+VLOOKUP($BD208,'June-25'!$A:$J,6,0)</f>
        <v>3216.902</v>
      </c>
      <c r="DA208" s="106">
        <f>+VLOOKUP($BD208,'July-25'!$A:$J,6,0)</f>
        <v>3237.1041666666606</v>
      </c>
      <c r="DB208" s="106">
        <f>+VLOOKUP($BD208,'Aug-25'!$A:$J,6,0)</f>
        <v>3237.3139999999999</v>
      </c>
      <c r="DC208" s="106">
        <f>+VLOOKUP($BD208,'Sep-25'!$A:$J,6,0)</f>
        <v>3249.5455000000002</v>
      </c>
      <c r="DD208" s="106">
        <f>+VLOOKUP($BD208,'Oct-25'!$A:$J,6,0)</f>
        <v>3691.05</v>
      </c>
      <c r="DE208" s="106">
        <f>+VLOOKUP($BD208,'Nov-25'!$A:$J,6,0)</f>
        <v>0</v>
      </c>
      <c r="DF208" s="106">
        <f>+VLOOKUP($BD208,'Dec-25'!$A:$J,6,0)</f>
        <v>0</v>
      </c>
      <c r="DG208" s="106">
        <f t="shared" si="2415"/>
        <v>29439.171166666663</v>
      </c>
      <c r="DH208" s="118">
        <f t="shared" si="1881"/>
        <v>9.0498982533058765</v>
      </c>
      <c r="DI208" s="106">
        <f>+_xlfn.XLOOKUP($CT208,Budget!$A:$A,Budget!BQ:BQ)</f>
        <v>386.60249999999996</v>
      </c>
      <c r="DJ208" s="106">
        <f>+_xlfn.XLOOKUP($CT208,Budget!$A:$A,Budget!BR:BR)</f>
        <v>386.60249999999996</v>
      </c>
      <c r="DK208" s="106">
        <f>+_xlfn.XLOOKUP($CT208,Budget!$A:$A,Budget!BS:BS)</f>
        <v>386.60249999999996</v>
      </c>
      <c r="DL208" s="106">
        <f>+_xlfn.XLOOKUP($CT208,Budget!$A:$A,Budget!BT:BT)</f>
        <v>386.60249999999996</v>
      </c>
      <c r="DM208" s="106">
        <f>+_xlfn.XLOOKUP($CT208,Budget!$A:$A,Budget!BU:BU)</f>
        <v>386.60249999999996</v>
      </c>
      <c r="DN208" s="106">
        <f>+_xlfn.XLOOKUP($CT208,Budget!$A:$A,Budget!BV:BV)</f>
        <v>386.60249999999996</v>
      </c>
      <c r="DO208" s="106">
        <f>+_xlfn.XLOOKUP($CT208,Budget!$A:$A,Budget!BW:BW)</f>
        <v>386.60249999999996</v>
      </c>
      <c r="DP208" s="106">
        <f>+_xlfn.XLOOKUP($CT208,Budget!$A:$A,Budget!BX:BX)</f>
        <v>386.60249999999996</v>
      </c>
      <c r="DQ208" s="106">
        <f>+_xlfn.XLOOKUP($CT208,Budget!$A:$A,Budget!BY:BY)</f>
        <v>386.60249999999996</v>
      </c>
      <c r="DR208" s="106">
        <f>+_xlfn.XLOOKUP($CT208,Budget!$A:$A,Budget!BZ:BZ)</f>
        <v>367.27237499999995</v>
      </c>
      <c r="DS208" s="106">
        <f>+_xlfn.XLOOKUP($CT208,Budget!$A:$A,Budget!CA:CA)</f>
        <v>367.27237499999995</v>
      </c>
      <c r="DT208" s="106">
        <f>+_xlfn.XLOOKUP($CT208,Budget!$A:$A,Budget!CB:CB)</f>
        <v>367.27237499999995</v>
      </c>
      <c r="DU208" s="106">
        <f t="shared" si="2416"/>
        <v>4581.2396249999993</v>
      </c>
    </row>
    <row r="209" spans="1:125" ht="14.45" customHeight="1" outlineLevel="1">
      <c r="A209" s="58">
        <f t="shared" ref="A209:L209" si="2417">+SUM(A210:A213)</f>
        <v>257259.5</v>
      </c>
      <c r="B209" s="58">
        <f t="shared" si="2417"/>
        <v>257259.5</v>
      </c>
      <c r="C209" s="58">
        <f t="shared" si="2417"/>
        <v>257259.5</v>
      </c>
      <c r="D209" s="58">
        <f t="shared" si="2417"/>
        <v>257259.5</v>
      </c>
      <c r="E209" s="58">
        <f t="shared" si="2417"/>
        <v>257259.5</v>
      </c>
      <c r="F209" s="58">
        <f t="shared" si="2417"/>
        <v>257259.5</v>
      </c>
      <c r="G209" s="58">
        <f t="shared" si="2417"/>
        <v>281259.5</v>
      </c>
      <c r="H209" s="58">
        <f t="shared" si="2417"/>
        <v>281259.5</v>
      </c>
      <c r="I209" s="58">
        <f t="shared" si="2417"/>
        <v>292401.5</v>
      </c>
      <c r="J209" s="58">
        <f t="shared" si="2417"/>
        <v>286830.5</v>
      </c>
      <c r="K209" s="58">
        <f t="shared" si="2417"/>
        <v>286830.5</v>
      </c>
      <c r="L209" s="58">
        <f t="shared" si="2417"/>
        <v>286830.5</v>
      </c>
      <c r="M209" s="58"/>
      <c r="N209" s="20" t="s">
        <v>175</v>
      </c>
      <c r="O209" s="58">
        <f t="shared" ref="O209" si="2418">+SUM(O210:O213)</f>
        <v>228442.81249999994</v>
      </c>
      <c r="P209" s="58">
        <f t="shared" ref="P209" si="2419">+SUM(P210:P213)</f>
        <v>375016.81249999994</v>
      </c>
      <c r="Q209" s="58">
        <f t="shared" ref="Q209" si="2420">+SUM(Q210:Q213)</f>
        <v>301729.81</v>
      </c>
      <c r="R209" s="58">
        <f t="shared" ref="R209" si="2421">+SUM(R210:R213)</f>
        <v>301729.81</v>
      </c>
      <c r="S209" s="58">
        <f t="shared" ref="S209" si="2422">+SUM(S210:S213)</f>
        <v>301729.81</v>
      </c>
      <c r="T209" s="58">
        <f t="shared" ref="T209" si="2423">+SUM(T210:T213)</f>
        <v>301729.81</v>
      </c>
      <c r="U209" s="58">
        <f t="shared" ref="U209" si="2424">+SUM(U210:U213)</f>
        <v>301729.81</v>
      </c>
      <c r="V209" s="58">
        <f t="shared" ref="V209" si="2425">+SUM(V210:V213)</f>
        <v>301729.81</v>
      </c>
      <c r="W209" s="58">
        <f t="shared" ref="W209" si="2426">+SUM(W210:W213)</f>
        <v>307579.31</v>
      </c>
      <c r="X209" s="58">
        <f t="shared" ref="X209" si="2427">+SUM(X210:X213)</f>
        <v>320696.85937499994</v>
      </c>
      <c r="Y209" s="58">
        <f t="shared" ref="Y209" si="2428">+SUM(Y210:Y213)</f>
        <v>0</v>
      </c>
      <c r="Z209" s="58">
        <f t="shared" ref="Z209:AA209" si="2429">+SUM(Z210:Z213)</f>
        <v>0</v>
      </c>
      <c r="AA209" s="58">
        <f t="shared" si="2429"/>
        <v>3042114.6543749999</v>
      </c>
      <c r="AB209" s="118">
        <f t="shared" si="1861"/>
        <v>8.0892032935721517E-2</v>
      </c>
      <c r="AC209" s="58">
        <f t="shared" ref="AC209" si="2430">+SUM(AC210:AC213)</f>
        <v>277729.30739374994</v>
      </c>
      <c r="AD209" s="58">
        <f t="shared" ref="AD209" si="2431">+SUM(AD210:AD213)</f>
        <v>277729.30739374994</v>
      </c>
      <c r="AE209" s="58">
        <f t="shared" ref="AE209" si="2432">+SUM(AE210:AE213)</f>
        <v>277729.30739374994</v>
      </c>
      <c r="AF209" s="58">
        <f t="shared" ref="AF209" si="2433">+SUM(AF210:AF213)</f>
        <v>277729.30739374994</v>
      </c>
      <c r="AG209" s="58">
        <f t="shared" ref="AG209" si="2434">+SUM(AG210:AG213)</f>
        <v>277729.30739374994</v>
      </c>
      <c r="AH209" s="58">
        <f t="shared" ref="AH209" si="2435">+SUM(AH210:AH213)</f>
        <v>277729.30739374994</v>
      </c>
      <c r="AI209" s="58">
        <f t="shared" ref="AI209" si="2436">+SUM(AI210:AI213)</f>
        <v>277729.30739374994</v>
      </c>
      <c r="AJ209" s="58">
        <f t="shared" ref="AJ209" si="2437">+SUM(AJ210:AJ213)</f>
        <v>277729.30739374994</v>
      </c>
      <c r="AK209" s="58">
        <f t="shared" ref="AK209" si="2438">+SUM(AK210:AK213)</f>
        <v>283578.93122187501</v>
      </c>
      <c r="AL209" s="58">
        <f t="shared" ref="AL209" si="2439">+SUM(AL210:AL213)</f>
        <v>296696.47809687495</v>
      </c>
      <c r="AM209" s="58">
        <f t="shared" ref="AM209" si="2440">+SUM(AM210:AM213)</f>
        <v>296696.47809687495</v>
      </c>
      <c r="AN209" s="58">
        <f t="shared" ref="AN209" si="2441">+SUM(AN210:AN213)</f>
        <v>296696.47809687495</v>
      </c>
      <c r="AO209" s="58"/>
      <c r="AQ209" s="58">
        <f t="shared" ref="AQ209:BC209" si="2442">+SUM(AQ210:AQ213)</f>
        <v>145838</v>
      </c>
      <c r="AR209" s="58">
        <f t="shared" si="2442"/>
        <v>145838</v>
      </c>
      <c r="AS209" s="58">
        <f t="shared" si="2442"/>
        <v>145838</v>
      </c>
      <c r="AT209" s="58">
        <f t="shared" si="2442"/>
        <v>145838</v>
      </c>
      <c r="AU209" s="58">
        <f t="shared" si="2442"/>
        <v>145838</v>
      </c>
      <c r="AV209" s="58">
        <f t="shared" si="2442"/>
        <v>145838</v>
      </c>
      <c r="AW209" s="58">
        <f t="shared" si="2442"/>
        <v>145838</v>
      </c>
      <c r="AX209" s="58">
        <f t="shared" si="2442"/>
        <v>145838</v>
      </c>
      <c r="AY209" s="58">
        <f t="shared" si="2442"/>
        <v>145838</v>
      </c>
      <c r="AZ209" s="58">
        <f t="shared" si="2442"/>
        <v>145838</v>
      </c>
      <c r="BA209" s="58">
        <f t="shared" si="2442"/>
        <v>145838</v>
      </c>
      <c r="BB209" s="58">
        <f t="shared" si="2442"/>
        <v>145838</v>
      </c>
      <c r="BC209" s="58">
        <f t="shared" si="2442"/>
        <v>1750056</v>
      </c>
      <c r="BD209" s="20" t="str">
        <f t="shared" si="2339"/>
        <v>Rent Expenses</v>
      </c>
      <c r="BE209" s="58">
        <f t="shared" ref="BE209:BQ209" si="2443">+SUM(BE210:BE213)</f>
        <v>87450.312499999956</v>
      </c>
      <c r="BF209" s="58">
        <f t="shared" si="2443"/>
        <v>234024.31249999994</v>
      </c>
      <c r="BG209" s="58">
        <f t="shared" si="2443"/>
        <v>160737.31</v>
      </c>
      <c r="BH209" s="58">
        <f t="shared" si="2443"/>
        <v>160737.31</v>
      </c>
      <c r="BI209" s="58">
        <f t="shared" si="2443"/>
        <v>160737.31</v>
      </c>
      <c r="BJ209" s="58">
        <f t="shared" si="2443"/>
        <v>160737.31</v>
      </c>
      <c r="BK209" s="58">
        <f t="shared" si="2443"/>
        <v>160737.31</v>
      </c>
      <c r="BL209" s="58">
        <f t="shared" si="2443"/>
        <v>160737.31</v>
      </c>
      <c r="BM209" s="58">
        <f t="shared" si="2443"/>
        <v>160737.31</v>
      </c>
      <c r="BN209" s="58">
        <f t="shared" si="2443"/>
        <v>173854.85937499994</v>
      </c>
      <c r="BO209" s="58">
        <f t="shared" si="2443"/>
        <v>0</v>
      </c>
      <c r="BP209" s="58">
        <f t="shared" si="2443"/>
        <v>0</v>
      </c>
      <c r="BQ209" s="58">
        <f t="shared" si="2443"/>
        <v>1620490.6543750002</v>
      </c>
      <c r="BR209" s="118">
        <f t="shared" si="1877"/>
        <v>2.7705298903236858E-6</v>
      </c>
      <c r="BS209" s="58">
        <f t="shared" ref="BS209:CE209" si="2444">+SUM(BS210:BS213)</f>
        <v>160736.83083124994</v>
      </c>
      <c r="BT209" s="58">
        <f t="shared" si="2444"/>
        <v>160736.83083124994</v>
      </c>
      <c r="BU209" s="58">
        <f t="shared" si="2444"/>
        <v>160736.83083124994</v>
      </c>
      <c r="BV209" s="58">
        <f t="shared" si="2444"/>
        <v>160736.83083124994</v>
      </c>
      <c r="BW209" s="58">
        <f t="shared" si="2444"/>
        <v>160736.83083124994</v>
      </c>
      <c r="BX209" s="58">
        <f t="shared" si="2444"/>
        <v>160736.83083124994</v>
      </c>
      <c r="BY209" s="58">
        <f t="shared" si="2444"/>
        <v>160736.83083124994</v>
      </c>
      <c r="BZ209" s="58">
        <f t="shared" si="2444"/>
        <v>160736.83083124994</v>
      </c>
      <c r="CA209" s="58">
        <f t="shared" si="2444"/>
        <v>160736.83083124994</v>
      </c>
      <c r="CB209" s="58">
        <f t="shared" si="2444"/>
        <v>173854.37770624994</v>
      </c>
      <c r="CC209" s="58">
        <f t="shared" si="2444"/>
        <v>173854.37770624994</v>
      </c>
      <c r="CD209" s="58">
        <f t="shared" si="2444"/>
        <v>173854.37770624994</v>
      </c>
      <c r="CE209" s="58">
        <f t="shared" si="2444"/>
        <v>1968194.6105999995</v>
      </c>
      <c r="CF209" s="22"/>
      <c r="CG209" s="58">
        <f t="shared" ref="CG209:CS209" si="2445">+SUM(CG210:CG213)</f>
        <v>111421.5</v>
      </c>
      <c r="CH209" s="58">
        <f t="shared" si="2445"/>
        <v>111421.5</v>
      </c>
      <c r="CI209" s="58">
        <f t="shared" si="2445"/>
        <v>111421.5</v>
      </c>
      <c r="CJ209" s="58">
        <f t="shared" si="2445"/>
        <v>111421.5</v>
      </c>
      <c r="CK209" s="58">
        <f t="shared" si="2445"/>
        <v>111421.5</v>
      </c>
      <c r="CL209" s="58">
        <f t="shared" si="2445"/>
        <v>111421.5</v>
      </c>
      <c r="CM209" s="58">
        <f t="shared" si="2445"/>
        <v>135421.5</v>
      </c>
      <c r="CN209" s="58">
        <f t="shared" si="2445"/>
        <v>135421.5</v>
      </c>
      <c r="CO209" s="58">
        <f t="shared" si="2445"/>
        <v>146563.5</v>
      </c>
      <c r="CP209" s="58">
        <f t="shared" si="2445"/>
        <v>140992.5</v>
      </c>
      <c r="CQ209" s="58">
        <f t="shared" si="2445"/>
        <v>140992.5</v>
      </c>
      <c r="CR209" s="58">
        <f t="shared" si="2445"/>
        <v>140992.5</v>
      </c>
      <c r="CS209" s="58">
        <f t="shared" si="2445"/>
        <v>1508913</v>
      </c>
      <c r="CT209" s="20" t="str">
        <f t="shared" si="2340"/>
        <v>Rent Expenses</v>
      </c>
      <c r="CU209" s="58">
        <f t="shared" ref="CU209:DG209" si="2446">+SUM(CU210:CU213)</f>
        <v>140992.5</v>
      </c>
      <c r="CV209" s="58">
        <f t="shared" si="2446"/>
        <v>140992.5</v>
      </c>
      <c r="CW209" s="58">
        <f t="shared" si="2446"/>
        <v>140992.5</v>
      </c>
      <c r="CX209" s="58">
        <f t="shared" si="2446"/>
        <v>140992.5</v>
      </c>
      <c r="CY209" s="58">
        <f t="shared" si="2446"/>
        <v>140992.5</v>
      </c>
      <c r="CZ209" s="58">
        <f t="shared" si="2446"/>
        <v>140992.5</v>
      </c>
      <c r="DA209" s="58">
        <f t="shared" si="2446"/>
        <v>140992.5</v>
      </c>
      <c r="DB209" s="58">
        <f t="shared" si="2446"/>
        <v>140992.5</v>
      </c>
      <c r="DC209" s="58">
        <f t="shared" si="2446"/>
        <v>146842</v>
      </c>
      <c r="DD209" s="58">
        <f t="shared" si="2446"/>
        <v>146842</v>
      </c>
      <c r="DE209" s="58">
        <f t="shared" si="2446"/>
        <v>0</v>
      </c>
      <c r="DF209" s="58">
        <f t="shared" si="2446"/>
        <v>0</v>
      </c>
      <c r="DG209" s="58">
        <f t="shared" si="2446"/>
        <v>1421624</v>
      </c>
      <c r="DH209" s="118">
        <f t="shared" si="1881"/>
        <v>0.19537194115907985</v>
      </c>
      <c r="DI209" s="58">
        <f t="shared" ref="DI209:DU209" si="2447">+SUM(DI210:DI213)</f>
        <v>116992.47656250001</v>
      </c>
      <c r="DJ209" s="58">
        <f t="shared" si="2447"/>
        <v>116992.47656250001</v>
      </c>
      <c r="DK209" s="58">
        <f t="shared" si="2447"/>
        <v>116992.47656250001</v>
      </c>
      <c r="DL209" s="58">
        <f t="shared" si="2447"/>
        <v>116992.47656250001</v>
      </c>
      <c r="DM209" s="58">
        <f t="shared" si="2447"/>
        <v>116992.47656250001</v>
      </c>
      <c r="DN209" s="58">
        <f t="shared" si="2447"/>
        <v>116992.47656250001</v>
      </c>
      <c r="DO209" s="58">
        <f t="shared" si="2447"/>
        <v>116992.47656250001</v>
      </c>
      <c r="DP209" s="58">
        <f t="shared" si="2447"/>
        <v>116992.47656250001</v>
      </c>
      <c r="DQ209" s="58">
        <f t="shared" si="2447"/>
        <v>122842.10039062503</v>
      </c>
      <c r="DR209" s="58">
        <f t="shared" si="2447"/>
        <v>122842.10039062503</v>
      </c>
      <c r="DS209" s="58">
        <f t="shared" si="2447"/>
        <v>122842.10039062503</v>
      </c>
      <c r="DT209" s="58">
        <f t="shared" si="2447"/>
        <v>122842.10039062503</v>
      </c>
      <c r="DU209" s="58">
        <f t="shared" si="2447"/>
        <v>1427308.2140625</v>
      </c>
    </row>
    <row r="210" spans="1:125" ht="14.45" customHeight="1" outlineLevel="2">
      <c r="A210" s="106">
        <f t="shared" ref="A210:A213" si="2448">+AQ210+CG210</f>
        <v>0</v>
      </c>
      <c r="B210" s="106">
        <f t="shared" ref="B210:B213" si="2449">+AR210+CH210</f>
        <v>0</v>
      </c>
      <c r="C210" s="106">
        <f t="shared" ref="C210:C213" si="2450">+AS210+CI210</f>
        <v>0</v>
      </c>
      <c r="D210" s="106">
        <f t="shared" ref="D210:D213" si="2451">+AT210+CJ210</f>
        <v>0</v>
      </c>
      <c r="E210" s="106">
        <f t="shared" ref="E210:E213" si="2452">+AU210+CK210</f>
        <v>0</v>
      </c>
      <c r="F210" s="106">
        <f t="shared" ref="F210:F213" si="2453">+AV210+CL210</f>
        <v>0</v>
      </c>
      <c r="G210" s="106">
        <f t="shared" ref="G210:G213" si="2454">+AW210+CM210</f>
        <v>0</v>
      </c>
      <c r="H210" s="106">
        <f t="shared" ref="H210:H213" si="2455">+AX210+CN210</f>
        <v>0</v>
      </c>
      <c r="I210" s="106">
        <f t="shared" ref="I210:I213" si="2456">+AY210+CO210</f>
        <v>0</v>
      </c>
      <c r="J210" s="106">
        <f t="shared" ref="J210:J213" si="2457">+AZ210+CP210</f>
        <v>0</v>
      </c>
      <c r="K210" s="106">
        <f t="shared" ref="K210:K213" si="2458">+BA210+CQ210</f>
        <v>0</v>
      </c>
      <c r="L210" s="106">
        <f t="shared" ref="L210:L213" si="2459">+BB210+CR210</f>
        <v>0</v>
      </c>
      <c r="M210" s="106">
        <f t="shared" ref="M210:M213" si="2460">+SUM(A210:L210)</f>
        <v>0</v>
      </c>
      <c r="N210" s="16" t="s">
        <v>176</v>
      </c>
      <c r="O210" s="106">
        <f t="shared" ref="O210:O213" si="2461">+BE210+CU210</f>
        <v>0</v>
      </c>
      <c r="P210" s="106">
        <f t="shared" ref="P210:P213" si="2462">+BF210+CV210</f>
        <v>0</v>
      </c>
      <c r="Q210" s="106">
        <f t="shared" ref="Q210:Q213" si="2463">+BG210+CW210</f>
        <v>0</v>
      </c>
      <c r="R210" s="106">
        <f t="shared" ref="R210:R213" si="2464">+BH210+CX210</f>
        <v>0</v>
      </c>
      <c r="S210" s="106">
        <f t="shared" ref="S210:S213" si="2465">+BI210+CY210</f>
        <v>0</v>
      </c>
      <c r="T210" s="106">
        <f t="shared" ref="T210:T213" si="2466">+BJ210+CZ210</f>
        <v>0</v>
      </c>
      <c r="U210" s="106">
        <f t="shared" ref="U210:U213" si="2467">+BK210+DA210</f>
        <v>0</v>
      </c>
      <c r="V210" s="106">
        <f t="shared" ref="V210:V213" si="2468">+BL210+DB210</f>
        <v>0</v>
      </c>
      <c r="W210" s="106">
        <f t="shared" ref="W210:W213" si="2469">+BM210+DC210</f>
        <v>0</v>
      </c>
      <c r="X210" s="106">
        <f t="shared" ref="X210:X213" si="2470">+BN210+DD210</f>
        <v>0</v>
      </c>
      <c r="Y210" s="106">
        <f t="shared" ref="Y210:Y213" si="2471">+BO210+DE210</f>
        <v>0</v>
      </c>
      <c r="Z210" s="106">
        <f t="shared" ref="Z210:Z213" si="2472">+BP210+DF210</f>
        <v>0</v>
      </c>
      <c r="AA210" s="106">
        <f t="shared" ref="AA210:AA213" si="2473">+SUM(O210:Z210)</f>
        <v>0</v>
      </c>
      <c r="AB210" s="118">
        <f t="shared" si="1861"/>
        <v>0</v>
      </c>
      <c r="AC210" s="106">
        <f t="shared" ref="AC210:AC213" si="2474">+BS210+DI210</f>
        <v>0</v>
      </c>
      <c r="AD210" s="106">
        <f t="shared" ref="AD210:AD213" si="2475">+BT210+DJ210</f>
        <v>0</v>
      </c>
      <c r="AE210" s="106">
        <f t="shared" ref="AE210:AE213" si="2476">+BU210+DK210</f>
        <v>0</v>
      </c>
      <c r="AF210" s="106">
        <f t="shared" ref="AF210:AF213" si="2477">+BV210+DL210</f>
        <v>0</v>
      </c>
      <c r="AG210" s="106">
        <f t="shared" ref="AG210:AG213" si="2478">+BW210+DM210</f>
        <v>0</v>
      </c>
      <c r="AH210" s="106">
        <f t="shared" ref="AH210:AH213" si="2479">+BX210+DN210</f>
        <v>0</v>
      </c>
      <c r="AI210" s="106">
        <f t="shared" ref="AI210:AI213" si="2480">+BY210+DO210</f>
        <v>0</v>
      </c>
      <c r="AJ210" s="106">
        <f t="shared" ref="AJ210:AJ213" si="2481">+BZ210+DP210</f>
        <v>0</v>
      </c>
      <c r="AK210" s="106">
        <f t="shared" ref="AK210:AK213" si="2482">+CA210+DQ210</f>
        <v>0</v>
      </c>
      <c r="AL210" s="106">
        <f t="shared" ref="AL210:AL213" si="2483">+CB210+DR210</f>
        <v>0</v>
      </c>
      <c r="AM210" s="106">
        <f t="shared" ref="AM210:AM213" si="2484">+CC210+DS210</f>
        <v>0</v>
      </c>
      <c r="AN210" s="106">
        <f t="shared" ref="AN210:AN213" si="2485">+CD210+DT210</f>
        <v>0</v>
      </c>
      <c r="AO210" s="106">
        <f t="shared" ref="AO210:AO213" si="2486">+SUM(AC210:AN210)</f>
        <v>0</v>
      </c>
      <c r="AQ210" s="106">
        <v>0</v>
      </c>
      <c r="AR210" s="106">
        <v>0</v>
      </c>
      <c r="AS210" s="106">
        <v>0</v>
      </c>
      <c r="AT210" s="106">
        <v>0</v>
      </c>
      <c r="AU210" s="106">
        <v>0</v>
      </c>
      <c r="AV210" s="106">
        <v>0</v>
      </c>
      <c r="AW210" s="106">
        <v>0</v>
      </c>
      <c r="AX210" s="106">
        <v>0</v>
      </c>
      <c r="AY210" s="106">
        <v>0</v>
      </c>
      <c r="AZ210" s="106">
        <v>0</v>
      </c>
      <c r="BA210" s="106">
        <v>0</v>
      </c>
      <c r="BB210" s="106">
        <v>0</v>
      </c>
      <c r="BC210" s="106">
        <f t="shared" ref="BC210:BC213" si="2487">+SUM(AQ210:BB210)</f>
        <v>0</v>
      </c>
      <c r="BD210" s="16" t="str">
        <f t="shared" si="2339"/>
        <v>Rent Machinery</v>
      </c>
      <c r="BE210" s="106">
        <f>+VLOOKUP($BD210,'Jan-25'!$A:$J,2,0)</f>
        <v>0</v>
      </c>
      <c r="BF210" s="106">
        <f>+VLOOKUP($BD210,'Feb-25'!$A:$J,2,0)</f>
        <v>0</v>
      </c>
      <c r="BG210" s="106">
        <f>+VLOOKUP($BD210,'Mar-25'!$A:$J,2,0)</f>
        <v>0</v>
      </c>
      <c r="BH210" s="106">
        <f>+VLOOKUP($BD210,'Apr-25'!$A:$J,2,0)</f>
        <v>0</v>
      </c>
      <c r="BI210" s="106">
        <f>+VLOOKUP($BD210,'May-25'!$A:$J,2,0)</f>
        <v>0</v>
      </c>
      <c r="BJ210" s="106">
        <f>+VLOOKUP($BD210,'June-25'!$A:$J,2,0)</f>
        <v>0</v>
      </c>
      <c r="BK210" s="106">
        <f>+VLOOKUP($BD210,'July-25'!$A:$J,2,0)</f>
        <v>0</v>
      </c>
      <c r="BL210" s="106">
        <f>+VLOOKUP($BD210,'Aug-25'!$A:$J,2,0)</f>
        <v>0</v>
      </c>
      <c r="BM210" s="106">
        <f>+VLOOKUP($BD210,'Sep-25'!$A:$J,2,0)</f>
        <v>0</v>
      </c>
      <c r="BN210" s="106">
        <f>+VLOOKUP($BD210,'Oct-25'!$A:$J,2,0)</f>
        <v>0</v>
      </c>
      <c r="BO210" s="106">
        <f>+VLOOKUP($BD210,'Nov-25'!$A:$J,2,0)</f>
        <v>0</v>
      </c>
      <c r="BP210" s="106">
        <f>+VLOOKUP($BD210,'Dec-25'!$A:$J,2,0)</f>
        <v>0</v>
      </c>
      <c r="BQ210" s="106">
        <f t="shared" ref="BQ210:BQ213" si="2488">+SUM(BE210:BP210)</f>
        <v>0</v>
      </c>
      <c r="BR210" s="118">
        <f t="shared" si="1877"/>
        <v>0</v>
      </c>
      <c r="BS210" s="106" cm="1">
        <f t="array" ref="BS210:CD210">+_xlfn.XLOOKUP(BD210,Budget!A:A,Budget!Q:AB)</f>
        <v>0</v>
      </c>
      <c r="BT210" s="106">
        <v>0</v>
      </c>
      <c r="BU210" s="106">
        <v>0</v>
      </c>
      <c r="BV210" s="106">
        <v>0</v>
      </c>
      <c r="BW210" s="106">
        <v>0</v>
      </c>
      <c r="BX210" s="106">
        <v>0</v>
      </c>
      <c r="BY210" s="106">
        <v>0</v>
      </c>
      <c r="BZ210" s="106">
        <v>0</v>
      </c>
      <c r="CA210" s="106">
        <v>0</v>
      </c>
      <c r="CB210" s="106">
        <v>0</v>
      </c>
      <c r="CC210" s="106">
        <v>0</v>
      </c>
      <c r="CD210" s="106">
        <v>0</v>
      </c>
      <c r="CE210" s="106">
        <f t="shared" ref="CE210:CE213" si="2489">+SUM(BS210:CD210)</f>
        <v>0</v>
      </c>
      <c r="CF210" s="22"/>
      <c r="CG210" s="106">
        <v>0</v>
      </c>
      <c r="CH210" s="106">
        <v>0</v>
      </c>
      <c r="CI210" s="106">
        <v>0</v>
      </c>
      <c r="CJ210" s="106">
        <v>0</v>
      </c>
      <c r="CK210" s="106">
        <v>0</v>
      </c>
      <c r="CL210" s="106">
        <v>0</v>
      </c>
      <c r="CM210" s="106">
        <v>0</v>
      </c>
      <c r="CN210" s="106">
        <v>0</v>
      </c>
      <c r="CO210" s="106">
        <v>0</v>
      </c>
      <c r="CP210" s="106">
        <v>0</v>
      </c>
      <c r="CQ210" s="106">
        <v>0</v>
      </c>
      <c r="CR210" s="106">
        <v>0</v>
      </c>
      <c r="CS210" s="106">
        <f t="shared" ref="CS210:CS213" si="2490">+SUM(CG210:CR210)</f>
        <v>0</v>
      </c>
      <c r="CT210" s="16" t="str">
        <f t="shared" si="2340"/>
        <v>Rent Machinery</v>
      </c>
      <c r="CU210" s="106">
        <f>+VLOOKUP($BD210,'Jan-25'!$A:$J,6,0)</f>
        <v>0</v>
      </c>
      <c r="CV210" s="106">
        <f>+VLOOKUP($BD210,'Feb-25'!$A:$J,6,0)</f>
        <v>0</v>
      </c>
      <c r="CW210" s="106">
        <f>+VLOOKUP($BD210,'Mar-25'!$A:$J,6,0)</f>
        <v>0</v>
      </c>
      <c r="CX210" s="106">
        <f>+VLOOKUP($BD210,'Apr-25'!$A:$J,6,0)</f>
        <v>0</v>
      </c>
      <c r="CY210" s="106">
        <f>+VLOOKUP($BD210,'May-25'!$A:$J,6,0)</f>
        <v>0</v>
      </c>
      <c r="CZ210" s="106">
        <f>+VLOOKUP($BD210,'June-25'!$A:$J,6,0)</f>
        <v>0</v>
      </c>
      <c r="DA210" s="106">
        <f>+VLOOKUP($BD210,'July-25'!$A:$J,6,0)</f>
        <v>0</v>
      </c>
      <c r="DB210" s="106">
        <f>+VLOOKUP($BD210,'Aug-25'!$A:$J,6,0)</f>
        <v>0</v>
      </c>
      <c r="DC210" s="106">
        <f>+VLOOKUP($BD210,'Sep-25'!$A:$J,6,0)</f>
        <v>0</v>
      </c>
      <c r="DD210" s="106">
        <f>+VLOOKUP($BD210,'Oct-25'!$A:$J,6,0)</f>
        <v>0</v>
      </c>
      <c r="DE210" s="106">
        <f>+VLOOKUP($BD210,'Nov-25'!$A:$J,6,0)</f>
        <v>0</v>
      </c>
      <c r="DF210" s="106">
        <f>+VLOOKUP($BD210,'Dec-25'!$A:$J,6,0)</f>
        <v>0</v>
      </c>
      <c r="DG210" s="106">
        <f t="shared" ref="DG210:DG213" si="2491">+SUM(CU210:DF210)</f>
        <v>0</v>
      </c>
      <c r="DH210" s="118">
        <f t="shared" si="1881"/>
        <v>0</v>
      </c>
      <c r="DI210" s="106">
        <f>+_xlfn.XLOOKUP($CT210,Budget!$A:$A,Budget!BQ:BQ)</f>
        <v>0</v>
      </c>
      <c r="DJ210" s="106">
        <f>+_xlfn.XLOOKUP($CT210,Budget!$A:$A,Budget!BR:BR)</f>
        <v>0</v>
      </c>
      <c r="DK210" s="106">
        <f>+_xlfn.XLOOKUP($CT210,Budget!$A:$A,Budget!BS:BS)</f>
        <v>0</v>
      </c>
      <c r="DL210" s="106">
        <f>+_xlfn.XLOOKUP($CT210,Budget!$A:$A,Budget!BT:BT)</f>
        <v>0</v>
      </c>
      <c r="DM210" s="106">
        <f>+_xlfn.XLOOKUP($CT210,Budget!$A:$A,Budget!BU:BU)</f>
        <v>0</v>
      </c>
      <c r="DN210" s="106">
        <f>+_xlfn.XLOOKUP($CT210,Budget!$A:$A,Budget!BV:BV)</f>
        <v>0</v>
      </c>
      <c r="DO210" s="106">
        <f>+_xlfn.XLOOKUP($CT210,Budget!$A:$A,Budget!BW:BW)</f>
        <v>0</v>
      </c>
      <c r="DP210" s="106">
        <f>+_xlfn.XLOOKUP($CT210,Budget!$A:$A,Budget!BX:BX)</f>
        <v>0</v>
      </c>
      <c r="DQ210" s="106">
        <f>+_xlfn.XLOOKUP($CT210,Budget!$A:$A,Budget!BY:BY)</f>
        <v>0</v>
      </c>
      <c r="DR210" s="106">
        <f>+_xlfn.XLOOKUP($CT210,Budget!$A:$A,Budget!BZ:BZ)</f>
        <v>0</v>
      </c>
      <c r="DS210" s="106">
        <f>+_xlfn.XLOOKUP($CT210,Budget!$A:$A,Budget!CA:CA)</f>
        <v>0</v>
      </c>
      <c r="DT210" s="106">
        <f>+_xlfn.XLOOKUP($CT210,Budget!$A:$A,Budget!CB:CB)</f>
        <v>0</v>
      </c>
      <c r="DU210" s="106">
        <f t="shared" ref="DU210:DU213" si="2492">+SUM(DI210:DT210)</f>
        <v>0</v>
      </c>
    </row>
    <row r="211" spans="1:125" ht="14.45" customHeight="1" outlineLevel="2">
      <c r="A211" s="106">
        <f t="shared" si="2448"/>
        <v>0</v>
      </c>
      <c r="B211" s="106">
        <f t="shared" si="2449"/>
        <v>0</v>
      </c>
      <c r="C211" s="106">
        <f t="shared" si="2450"/>
        <v>0</v>
      </c>
      <c r="D211" s="106">
        <f t="shared" si="2451"/>
        <v>0</v>
      </c>
      <c r="E211" s="106">
        <f t="shared" si="2452"/>
        <v>0</v>
      </c>
      <c r="F211" s="106">
        <f t="shared" si="2453"/>
        <v>0</v>
      </c>
      <c r="G211" s="106">
        <f t="shared" si="2454"/>
        <v>0</v>
      </c>
      <c r="H211" s="106">
        <f t="shared" si="2455"/>
        <v>0</v>
      </c>
      <c r="I211" s="106">
        <f t="shared" si="2456"/>
        <v>0</v>
      </c>
      <c r="J211" s="106">
        <f t="shared" si="2457"/>
        <v>0</v>
      </c>
      <c r="K211" s="106">
        <f t="shared" si="2458"/>
        <v>0</v>
      </c>
      <c r="L211" s="106">
        <f t="shared" si="2459"/>
        <v>0</v>
      </c>
      <c r="M211" s="106">
        <f t="shared" si="2460"/>
        <v>0</v>
      </c>
      <c r="N211" s="16" t="s">
        <v>177</v>
      </c>
      <c r="O211" s="106">
        <f t="shared" si="2461"/>
        <v>0</v>
      </c>
      <c r="P211" s="106">
        <f t="shared" si="2462"/>
        <v>0</v>
      </c>
      <c r="Q211" s="106">
        <f t="shared" si="2463"/>
        <v>0</v>
      </c>
      <c r="R211" s="106">
        <f t="shared" si="2464"/>
        <v>0</v>
      </c>
      <c r="S211" s="106">
        <f t="shared" si="2465"/>
        <v>0</v>
      </c>
      <c r="T211" s="106">
        <f t="shared" si="2466"/>
        <v>0</v>
      </c>
      <c r="U211" s="106">
        <f t="shared" si="2467"/>
        <v>0</v>
      </c>
      <c r="V211" s="106">
        <f t="shared" si="2468"/>
        <v>0</v>
      </c>
      <c r="W211" s="106">
        <f t="shared" si="2469"/>
        <v>0</v>
      </c>
      <c r="X211" s="106">
        <f t="shared" si="2470"/>
        <v>0</v>
      </c>
      <c r="Y211" s="106">
        <f t="shared" si="2471"/>
        <v>0</v>
      </c>
      <c r="Z211" s="106">
        <f t="shared" si="2472"/>
        <v>0</v>
      </c>
      <c r="AA211" s="106">
        <f t="shared" si="2473"/>
        <v>0</v>
      </c>
      <c r="AB211" s="118">
        <f t="shared" si="1861"/>
        <v>0</v>
      </c>
      <c r="AC211" s="106">
        <f t="shared" si="2474"/>
        <v>0</v>
      </c>
      <c r="AD211" s="106">
        <f t="shared" si="2475"/>
        <v>0</v>
      </c>
      <c r="AE211" s="106">
        <f t="shared" si="2476"/>
        <v>0</v>
      </c>
      <c r="AF211" s="106">
        <f t="shared" si="2477"/>
        <v>0</v>
      </c>
      <c r="AG211" s="106">
        <f t="shared" si="2478"/>
        <v>0</v>
      </c>
      <c r="AH211" s="106">
        <f t="shared" si="2479"/>
        <v>0</v>
      </c>
      <c r="AI211" s="106">
        <f t="shared" si="2480"/>
        <v>0</v>
      </c>
      <c r="AJ211" s="106">
        <f t="shared" si="2481"/>
        <v>0</v>
      </c>
      <c r="AK211" s="106">
        <f t="shared" si="2482"/>
        <v>0</v>
      </c>
      <c r="AL211" s="106">
        <f t="shared" si="2483"/>
        <v>0</v>
      </c>
      <c r="AM211" s="106">
        <f t="shared" si="2484"/>
        <v>0</v>
      </c>
      <c r="AN211" s="106">
        <f t="shared" si="2485"/>
        <v>0</v>
      </c>
      <c r="AO211" s="106">
        <f t="shared" si="2486"/>
        <v>0</v>
      </c>
      <c r="AQ211" s="106">
        <v>0</v>
      </c>
      <c r="AR211" s="106">
        <v>0</v>
      </c>
      <c r="AS211" s="106">
        <v>0</v>
      </c>
      <c r="AT211" s="106">
        <v>0</v>
      </c>
      <c r="AU211" s="106">
        <v>0</v>
      </c>
      <c r="AV211" s="106">
        <v>0</v>
      </c>
      <c r="AW211" s="106">
        <v>0</v>
      </c>
      <c r="AX211" s="106">
        <v>0</v>
      </c>
      <c r="AY211" s="106">
        <v>0</v>
      </c>
      <c r="AZ211" s="106">
        <v>0</v>
      </c>
      <c r="BA211" s="106">
        <v>0</v>
      </c>
      <c r="BB211" s="106">
        <v>0</v>
      </c>
      <c r="BC211" s="106">
        <f t="shared" si="2487"/>
        <v>0</v>
      </c>
      <c r="BD211" s="16" t="str">
        <f t="shared" si="2339"/>
        <v>Rent Service</v>
      </c>
      <c r="BE211" s="106">
        <f>+VLOOKUP($BD211,'Jan-25'!$A:$J,2,0)</f>
        <v>0</v>
      </c>
      <c r="BF211" s="106">
        <f>+VLOOKUP($BD211,'Feb-25'!$A:$J,2,0)</f>
        <v>0</v>
      </c>
      <c r="BG211" s="106">
        <f>+VLOOKUP($BD211,'Mar-25'!$A:$J,2,0)</f>
        <v>0</v>
      </c>
      <c r="BH211" s="106">
        <f>+VLOOKUP($BD211,'Apr-25'!$A:$J,2,0)</f>
        <v>0</v>
      </c>
      <c r="BI211" s="106">
        <f>+VLOOKUP($BD211,'May-25'!$A:$J,2,0)</f>
        <v>0</v>
      </c>
      <c r="BJ211" s="106">
        <f>+VLOOKUP($BD211,'June-25'!$A:$J,2,0)</f>
        <v>0</v>
      </c>
      <c r="BK211" s="106">
        <f>+VLOOKUP($BD211,'July-25'!$A:$J,2,0)</f>
        <v>0</v>
      </c>
      <c r="BL211" s="106">
        <f>+VLOOKUP($BD211,'Aug-25'!$A:$J,2,0)</f>
        <v>0</v>
      </c>
      <c r="BM211" s="106">
        <f>+VLOOKUP($BD211,'Sep-25'!$A:$J,2,0)</f>
        <v>0</v>
      </c>
      <c r="BN211" s="106">
        <f>+VLOOKUP($BD211,'Oct-25'!$A:$J,2,0)</f>
        <v>0</v>
      </c>
      <c r="BO211" s="106">
        <f>+VLOOKUP($BD211,'Nov-25'!$A:$J,2,0)</f>
        <v>0</v>
      </c>
      <c r="BP211" s="106">
        <f>+VLOOKUP($BD211,'Dec-25'!$A:$J,2,0)</f>
        <v>0</v>
      </c>
      <c r="BQ211" s="106">
        <f t="shared" si="2488"/>
        <v>0</v>
      </c>
      <c r="BR211" s="118">
        <f t="shared" si="1877"/>
        <v>0</v>
      </c>
      <c r="BS211" s="106" cm="1">
        <f t="array" ref="BS211:CD211">+_xlfn.XLOOKUP(BD211,Budget!A:A,Budget!Q:AB)</f>
        <v>0</v>
      </c>
      <c r="BT211" s="106">
        <v>0</v>
      </c>
      <c r="BU211" s="106">
        <v>0</v>
      </c>
      <c r="BV211" s="106">
        <v>0</v>
      </c>
      <c r="BW211" s="106">
        <v>0</v>
      </c>
      <c r="BX211" s="106">
        <v>0</v>
      </c>
      <c r="BY211" s="106">
        <v>0</v>
      </c>
      <c r="BZ211" s="106">
        <v>0</v>
      </c>
      <c r="CA211" s="106">
        <v>0</v>
      </c>
      <c r="CB211" s="106">
        <v>0</v>
      </c>
      <c r="CC211" s="106">
        <v>0</v>
      </c>
      <c r="CD211" s="106">
        <v>0</v>
      </c>
      <c r="CE211" s="106">
        <f t="shared" si="2489"/>
        <v>0</v>
      </c>
      <c r="CF211" s="22"/>
      <c r="CG211" s="106">
        <v>0</v>
      </c>
      <c r="CH211" s="106">
        <v>0</v>
      </c>
      <c r="CI211" s="106">
        <v>0</v>
      </c>
      <c r="CJ211" s="106">
        <v>0</v>
      </c>
      <c r="CK211" s="106">
        <v>0</v>
      </c>
      <c r="CL211" s="106">
        <v>0</v>
      </c>
      <c r="CM211" s="106">
        <v>0</v>
      </c>
      <c r="CN211" s="106">
        <v>0</v>
      </c>
      <c r="CO211" s="106">
        <v>0</v>
      </c>
      <c r="CP211" s="106">
        <v>0</v>
      </c>
      <c r="CQ211" s="106">
        <v>0</v>
      </c>
      <c r="CR211" s="106">
        <v>0</v>
      </c>
      <c r="CS211" s="106">
        <f t="shared" si="2490"/>
        <v>0</v>
      </c>
      <c r="CT211" s="16" t="str">
        <f t="shared" si="2340"/>
        <v>Rent Service</v>
      </c>
      <c r="CU211" s="106">
        <f>+VLOOKUP($BD211,'Jan-25'!$A:$J,6,0)</f>
        <v>0</v>
      </c>
      <c r="CV211" s="106">
        <f>+VLOOKUP($BD211,'Feb-25'!$A:$J,6,0)</f>
        <v>0</v>
      </c>
      <c r="CW211" s="106">
        <f>+VLOOKUP($BD211,'Mar-25'!$A:$J,6,0)</f>
        <v>0</v>
      </c>
      <c r="CX211" s="106">
        <f>+VLOOKUP($BD211,'Apr-25'!$A:$J,6,0)</f>
        <v>0</v>
      </c>
      <c r="CY211" s="106">
        <f>+VLOOKUP($BD211,'May-25'!$A:$J,6,0)</f>
        <v>0</v>
      </c>
      <c r="CZ211" s="106">
        <f>+VLOOKUP($BD211,'June-25'!$A:$J,6,0)</f>
        <v>0</v>
      </c>
      <c r="DA211" s="106">
        <f>+VLOOKUP($BD211,'July-25'!$A:$J,6,0)</f>
        <v>0</v>
      </c>
      <c r="DB211" s="106">
        <f>+VLOOKUP($BD211,'Aug-25'!$A:$J,6,0)</f>
        <v>0</v>
      </c>
      <c r="DC211" s="106">
        <f>+VLOOKUP($BD211,'Sep-25'!$A:$J,6,0)</f>
        <v>0</v>
      </c>
      <c r="DD211" s="106">
        <f>+VLOOKUP($BD211,'Oct-25'!$A:$J,6,0)</f>
        <v>0</v>
      </c>
      <c r="DE211" s="106">
        <f>+VLOOKUP($BD211,'Nov-25'!$A:$J,6,0)</f>
        <v>0</v>
      </c>
      <c r="DF211" s="106">
        <f>+VLOOKUP($BD211,'Dec-25'!$A:$J,6,0)</f>
        <v>0</v>
      </c>
      <c r="DG211" s="106">
        <f t="shared" si="2491"/>
        <v>0</v>
      </c>
      <c r="DH211" s="118">
        <f t="shared" si="1881"/>
        <v>0</v>
      </c>
      <c r="DI211" s="106">
        <f>+_xlfn.XLOOKUP($CT211,Budget!$A:$A,Budget!BQ:BQ)</f>
        <v>0</v>
      </c>
      <c r="DJ211" s="106">
        <f>+_xlfn.XLOOKUP($CT211,Budget!$A:$A,Budget!BR:BR)</f>
        <v>0</v>
      </c>
      <c r="DK211" s="106">
        <f>+_xlfn.XLOOKUP($CT211,Budget!$A:$A,Budget!BS:BS)</f>
        <v>0</v>
      </c>
      <c r="DL211" s="106">
        <f>+_xlfn.XLOOKUP($CT211,Budget!$A:$A,Budget!BT:BT)</f>
        <v>0</v>
      </c>
      <c r="DM211" s="106">
        <f>+_xlfn.XLOOKUP($CT211,Budget!$A:$A,Budget!BU:BU)</f>
        <v>0</v>
      </c>
      <c r="DN211" s="106">
        <f>+_xlfn.XLOOKUP($CT211,Budget!$A:$A,Budget!BV:BV)</f>
        <v>0</v>
      </c>
      <c r="DO211" s="106">
        <f>+_xlfn.XLOOKUP($CT211,Budget!$A:$A,Budget!BW:BW)</f>
        <v>0</v>
      </c>
      <c r="DP211" s="106">
        <f>+_xlfn.XLOOKUP($CT211,Budget!$A:$A,Budget!BX:BX)</f>
        <v>0</v>
      </c>
      <c r="DQ211" s="106">
        <f>+_xlfn.XLOOKUP($CT211,Budget!$A:$A,Budget!BY:BY)</f>
        <v>0</v>
      </c>
      <c r="DR211" s="106">
        <f>+_xlfn.XLOOKUP($CT211,Budget!$A:$A,Budget!BZ:BZ)</f>
        <v>0</v>
      </c>
      <c r="DS211" s="106">
        <f>+_xlfn.XLOOKUP($CT211,Budget!$A:$A,Budget!CA:CA)</f>
        <v>0</v>
      </c>
      <c r="DT211" s="106">
        <f>+_xlfn.XLOOKUP($CT211,Budget!$A:$A,Budget!CB:CB)</f>
        <v>0</v>
      </c>
      <c r="DU211" s="106">
        <f t="shared" si="2492"/>
        <v>0</v>
      </c>
    </row>
    <row r="212" spans="1:125" ht="14.45" customHeight="1" outlineLevel="2">
      <c r="A212" s="106">
        <f t="shared" si="2448"/>
        <v>187462.5</v>
      </c>
      <c r="B212" s="106">
        <f t="shared" si="2449"/>
        <v>187462.5</v>
      </c>
      <c r="C212" s="106">
        <f t="shared" si="2450"/>
        <v>187462.5</v>
      </c>
      <c r="D212" s="106">
        <f t="shared" si="2451"/>
        <v>187462.5</v>
      </c>
      <c r="E212" s="106">
        <f t="shared" si="2452"/>
        <v>187462.5</v>
      </c>
      <c r="F212" s="106">
        <f t="shared" si="2453"/>
        <v>187462.5</v>
      </c>
      <c r="G212" s="106">
        <f t="shared" si="2454"/>
        <v>187462.5</v>
      </c>
      <c r="H212" s="106">
        <f t="shared" si="2455"/>
        <v>187462.5</v>
      </c>
      <c r="I212" s="106">
        <f t="shared" si="2456"/>
        <v>198604.5</v>
      </c>
      <c r="J212" s="106">
        <f t="shared" si="2457"/>
        <v>193033.5</v>
      </c>
      <c r="K212" s="106">
        <f t="shared" si="2458"/>
        <v>193033.5</v>
      </c>
      <c r="L212" s="106">
        <f t="shared" si="2459"/>
        <v>193033.5</v>
      </c>
      <c r="M212" s="106">
        <f t="shared" si="2460"/>
        <v>2277405</v>
      </c>
      <c r="N212" s="16" t="s">
        <v>178</v>
      </c>
      <c r="O212" s="106">
        <f t="shared" si="2461"/>
        <v>204442.81249999994</v>
      </c>
      <c r="P212" s="106">
        <f t="shared" si="2462"/>
        <v>204442.81249999994</v>
      </c>
      <c r="Q212" s="106">
        <f t="shared" si="2463"/>
        <v>204442.81</v>
      </c>
      <c r="R212" s="106">
        <f t="shared" si="2464"/>
        <v>204442.81</v>
      </c>
      <c r="S212" s="106">
        <f t="shared" si="2465"/>
        <v>204442.81</v>
      </c>
      <c r="T212" s="106">
        <f t="shared" si="2466"/>
        <v>204442.81</v>
      </c>
      <c r="U212" s="106">
        <f t="shared" si="2467"/>
        <v>204442.81</v>
      </c>
      <c r="V212" s="106">
        <f t="shared" si="2468"/>
        <v>204442.81</v>
      </c>
      <c r="W212" s="106">
        <f t="shared" si="2469"/>
        <v>210292.31</v>
      </c>
      <c r="X212" s="106">
        <f t="shared" si="2470"/>
        <v>223409.85937499994</v>
      </c>
      <c r="Y212" s="106">
        <f t="shared" si="2471"/>
        <v>0</v>
      </c>
      <c r="Z212" s="106">
        <f t="shared" si="2472"/>
        <v>0</v>
      </c>
      <c r="AA212" s="106">
        <f t="shared" si="2473"/>
        <v>2069244.6543750002</v>
      </c>
      <c r="AB212" s="118">
        <f t="shared" si="1861"/>
        <v>-4.4935608563270585E-7</v>
      </c>
      <c r="AC212" s="106">
        <f t="shared" si="2474"/>
        <v>204442.78906249997</v>
      </c>
      <c r="AD212" s="106">
        <f t="shared" si="2475"/>
        <v>204442.78906249997</v>
      </c>
      <c r="AE212" s="106">
        <f t="shared" si="2476"/>
        <v>204442.78906249997</v>
      </c>
      <c r="AF212" s="106">
        <f t="shared" si="2477"/>
        <v>204442.78906249997</v>
      </c>
      <c r="AG212" s="106">
        <f t="shared" si="2478"/>
        <v>204442.78906249997</v>
      </c>
      <c r="AH212" s="106">
        <f t="shared" si="2479"/>
        <v>204442.78906249997</v>
      </c>
      <c r="AI212" s="106">
        <f t="shared" si="2480"/>
        <v>204442.78906249997</v>
      </c>
      <c r="AJ212" s="106">
        <f t="shared" si="2481"/>
        <v>204442.78906249997</v>
      </c>
      <c r="AK212" s="106">
        <f t="shared" si="2482"/>
        <v>210292.41289062498</v>
      </c>
      <c r="AL212" s="106">
        <f t="shared" si="2483"/>
        <v>223409.95976562495</v>
      </c>
      <c r="AM212" s="106">
        <f t="shared" si="2484"/>
        <v>223409.95976562495</v>
      </c>
      <c r="AN212" s="106">
        <f t="shared" si="2485"/>
        <v>223409.95976562495</v>
      </c>
      <c r="AO212" s="106">
        <f t="shared" si="2486"/>
        <v>2516064.6046874998</v>
      </c>
      <c r="AQ212" s="106">
        <v>76041</v>
      </c>
      <c r="AR212" s="106">
        <v>76041</v>
      </c>
      <c r="AS212" s="106">
        <v>76041</v>
      </c>
      <c r="AT212" s="106">
        <v>76041</v>
      </c>
      <c r="AU212" s="106">
        <v>76041</v>
      </c>
      <c r="AV212" s="106">
        <v>76041</v>
      </c>
      <c r="AW212" s="106">
        <v>76041</v>
      </c>
      <c r="AX212" s="106">
        <v>76041</v>
      </c>
      <c r="AY212" s="106">
        <v>76041</v>
      </c>
      <c r="AZ212" s="106">
        <v>76041</v>
      </c>
      <c r="BA212" s="106">
        <v>76041</v>
      </c>
      <c r="BB212" s="106">
        <v>76041</v>
      </c>
      <c r="BC212" s="106">
        <f t="shared" si="2487"/>
        <v>912492</v>
      </c>
      <c r="BD212" s="16" t="str">
        <f t="shared" si="2339"/>
        <v>Rent Showroom</v>
      </c>
      <c r="BE212" s="106">
        <f>+VLOOKUP($BD212,'Jan-25'!$A:$J,2,0)</f>
        <v>87450.312499999956</v>
      </c>
      <c r="BF212" s="106">
        <f>+VLOOKUP($BD212,'Feb-25'!$A:$J,2,0)</f>
        <v>87450.312499999956</v>
      </c>
      <c r="BG212" s="106">
        <f>+VLOOKUP($BD212,'Mar-25'!$A:$J,2,0)</f>
        <v>87450.31</v>
      </c>
      <c r="BH212" s="106">
        <f>+VLOOKUP($BD212,'Apr-25'!$A:$J,2,0)</f>
        <v>87450.31</v>
      </c>
      <c r="BI212" s="106">
        <f>+VLOOKUP($BD212,'May-25'!$A:$J,2,0)</f>
        <v>87450.31</v>
      </c>
      <c r="BJ212" s="106">
        <f>+VLOOKUP($BD212,'June-25'!$A:$J,2,0)</f>
        <v>87450.31</v>
      </c>
      <c r="BK212" s="106">
        <f>+VLOOKUP($BD212,'July-25'!$A:$J,2,0)</f>
        <v>87450.31</v>
      </c>
      <c r="BL212" s="106">
        <f>+VLOOKUP($BD212,'Aug-25'!$A:$J,2,0)</f>
        <v>87450.31</v>
      </c>
      <c r="BM212" s="106">
        <f>+VLOOKUP($BD212,'Sep-25'!$A:$J,2,0)</f>
        <v>87450.31</v>
      </c>
      <c r="BN212" s="106">
        <f>+VLOOKUP($BD212,'Oct-25'!$A:$J,2,0)</f>
        <v>100567.85937499994</v>
      </c>
      <c r="BO212" s="106">
        <f>+VLOOKUP($BD212,'Nov-25'!$A:$J,2,0)</f>
        <v>0</v>
      </c>
      <c r="BP212" s="106">
        <f>+VLOOKUP($BD212,'Dec-25'!$A:$J,2,0)</f>
        <v>0</v>
      </c>
      <c r="BQ212" s="106">
        <f t="shared" si="2488"/>
        <v>887620.65437500016</v>
      </c>
      <c r="BR212" s="118">
        <f t="shared" si="1877"/>
        <v>0</v>
      </c>
      <c r="BS212" s="106" cm="1">
        <f t="array" ref="BS212:CD212">+_xlfn.XLOOKUP(BD212,Budget!A:A,Budget!Q:AB)</f>
        <v>87450.312499999956</v>
      </c>
      <c r="BT212" s="106">
        <v>87450.312499999956</v>
      </c>
      <c r="BU212" s="106">
        <v>87450.312499999956</v>
      </c>
      <c r="BV212" s="106">
        <v>87450.312499999956</v>
      </c>
      <c r="BW212" s="106">
        <v>87450.312499999956</v>
      </c>
      <c r="BX212" s="106">
        <v>87450.312499999956</v>
      </c>
      <c r="BY212" s="106">
        <v>87450.312499999956</v>
      </c>
      <c r="BZ212" s="106">
        <v>87450.312499999956</v>
      </c>
      <c r="CA212" s="106">
        <v>87450.312499999956</v>
      </c>
      <c r="CB212" s="106">
        <v>100567.85937499994</v>
      </c>
      <c r="CC212" s="106">
        <v>100567.85937499994</v>
      </c>
      <c r="CD212" s="106">
        <v>100567.85937499994</v>
      </c>
      <c r="CE212" s="106">
        <f t="shared" si="2489"/>
        <v>1088756.3906249998</v>
      </c>
      <c r="CF212" s="22"/>
      <c r="CG212" s="106">
        <v>111421.5</v>
      </c>
      <c r="CH212" s="106">
        <v>111421.5</v>
      </c>
      <c r="CI212" s="106">
        <v>111421.5</v>
      </c>
      <c r="CJ212" s="106">
        <v>111421.5</v>
      </c>
      <c r="CK212" s="106">
        <v>111421.5</v>
      </c>
      <c r="CL212" s="106">
        <v>111421.5</v>
      </c>
      <c r="CM212" s="106">
        <v>111421.5</v>
      </c>
      <c r="CN212" s="106">
        <v>111421.5</v>
      </c>
      <c r="CO212" s="106">
        <v>122563.5</v>
      </c>
      <c r="CP212" s="106">
        <v>116992.5</v>
      </c>
      <c r="CQ212" s="106">
        <v>116992.5</v>
      </c>
      <c r="CR212" s="106">
        <v>116992.5</v>
      </c>
      <c r="CS212" s="106">
        <f t="shared" si="2490"/>
        <v>1364913</v>
      </c>
      <c r="CT212" s="16" t="str">
        <f t="shared" si="2340"/>
        <v>Rent Showroom</v>
      </c>
      <c r="CU212" s="106">
        <f>+VLOOKUP($BD212,'Jan-25'!$A:$J,6,0)</f>
        <v>116992.5</v>
      </c>
      <c r="CV212" s="106">
        <f>+VLOOKUP($BD212,'Feb-25'!$A:$J,6,0)</f>
        <v>116992.5</v>
      </c>
      <c r="CW212" s="106">
        <f>+VLOOKUP($BD212,'Mar-25'!$A:$J,6,0)</f>
        <v>116992.5</v>
      </c>
      <c r="CX212" s="106">
        <f>+VLOOKUP($BD212,'Apr-25'!$A:$J,6,0)</f>
        <v>116992.5</v>
      </c>
      <c r="CY212" s="106">
        <f>+VLOOKUP($BD212,'May-25'!$A:$J,6,0)</f>
        <v>116992.5</v>
      </c>
      <c r="CZ212" s="106">
        <f>+VLOOKUP($BD212,'June-25'!$A:$J,6,0)</f>
        <v>116992.5</v>
      </c>
      <c r="DA212" s="106">
        <f>+VLOOKUP($BD212,'July-25'!$A:$J,6,0)</f>
        <v>116992.5</v>
      </c>
      <c r="DB212" s="106">
        <f>+VLOOKUP($BD212,'Aug-25'!$A:$J,6,0)</f>
        <v>116992.5</v>
      </c>
      <c r="DC212" s="106">
        <f>+VLOOKUP($BD212,'Sep-25'!$A:$J,6,0)</f>
        <v>122842</v>
      </c>
      <c r="DD212" s="106">
        <f>+VLOOKUP($BD212,'Oct-25'!$A:$J,6,0)</f>
        <v>122842</v>
      </c>
      <c r="DE212" s="106">
        <f>+VLOOKUP($BD212,'Nov-25'!$A:$J,6,0)</f>
        <v>0</v>
      </c>
      <c r="DF212" s="106">
        <f>+VLOOKUP($BD212,'Dec-25'!$A:$J,6,0)</f>
        <v>0</v>
      </c>
      <c r="DG212" s="106">
        <f t="shared" si="2491"/>
        <v>1181624</v>
      </c>
      <c r="DH212" s="118">
        <f t="shared" si="1881"/>
        <v>-8.1723305533658054E-7</v>
      </c>
      <c r="DI212" s="106">
        <f>+_xlfn.XLOOKUP($CT212,Budget!$A:$A,Budget!BQ:BQ)</f>
        <v>116992.47656250001</v>
      </c>
      <c r="DJ212" s="106">
        <f>+_xlfn.XLOOKUP($CT212,Budget!$A:$A,Budget!BR:BR)</f>
        <v>116992.47656250001</v>
      </c>
      <c r="DK212" s="106">
        <f>+_xlfn.XLOOKUP($CT212,Budget!$A:$A,Budget!BS:BS)</f>
        <v>116992.47656250001</v>
      </c>
      <c r="DL212" s="106">
        <f>+_xlfn.XLOOKUP($CT212,Budget!$A:$A,Budget!BT:BT)</f>
        <v>116992.47656250001</v>
      </c>
      <c r="DM212" s="106">
        <f>+_xlfn.XLOOKUP($CT212,Budget!$A:$A,Budget!BU:BU)</f>
        <v>116992.47656250001</v>
      </c>
      <c r="DN212" s="106">
        <f>+_xlfn.XLOOKUP($CT212,Budget!$A:$A,Budget!BV:BV)</f>
        <v>116992.47656250001</v>
      </c>
      <c r="DO212" s="106">
        <f>+_xlfn.XLOOKUP($CT212,Budget!$A:$A,Budget!BW:BW)</f>
        <v>116992.47656250001</v>
      </c>
      <c r="DP212" s="106">
        <f>+_xlfn.XLOOKUP($CT212,Budget!$A:$A,Budget!BX:BX)</f>
        <v>116992.47656250001</v>
      </c>
      <c r="DQ212" s="106">
        <f>+_xlfn.XLOOKUP($CT212,Budget!$A:$A,Budget!BY:BY)</f>
        <v>122842.10039062503</v>
      </c>
      <c r="DR212" s="106">
        <f>+_xlfn.XLOOKUP($CT212,Budget!$A:$A,Budget!BZ:BZ)</f>
        <v>122842.10039062503</v>
      </c>
      <c r="DS212" s="106">
        <f>+_xlfn.XLOOKUP($CT212,Budget!$A:$A,Budget!CA:CA)</f>
        <v>122842.10039062503</v>
      </c>
      <c r="DT212" s="106">
        <f>+_xlfn.XLOOKUP($CT212,Budget!$A:$A,Budget!CB:CB)</f>
        <v>122842.10039062503</v>
      </c>
      <c r="DU212" s="106">
        <f t="shared" si="2492"/>
        <v>1427308.2140625</v>
      </c>
    </row>
    <row r="213" spans="1:125" ht="14.45" customHeight="1" outlineLevel="2">
      <c r="A213" s="106">
        <f t="shared" si="2448"/>
        <v>69797</v>
      </c>
      <c r="B213" s="106">
        <f t="shared" si="2449"/>
        <v>69797</v>
      </c>
      <c r="C213" s="106">
        <f t="shared" si="2450"/>
        <v>69797</v>
      </c>
      <c r="D213" s="106">
        <f t="shared" si="2451"/>
        <v>69797</v>
      </c>
      <c r="E213" s="106">
        <f t="shared" si="2452"/>
        <v>69797</v>
      </c>
      <c r="F213" s="106">
        <f t="shared" si="2453"/>
        <v>69797</v>
      </c>
      <c r="G213" s="106">
        <f t="shared" si="2454"/>
        <v>93797</v>
      </c>
      <c r="H213" s="106">
        <f t="shared" si="2455"/>
        <v>93797</v>
      </c>
      <c r="I213" s="106">
        <f t="shared" si="2456"/>
        <v>93797</v>
      </c>
      <c r="J213" s="106">
        <f t="shared" si="2457"/>
        <v>93797</v>
      </c>
      <c r="K213" s="106">
        <f t="shared" si="2458"/>
        <v>93797</v>
      </c>
      <c r="L213" s="106">
        <f t="shared" si="2459"/>
        <v>93797</v>
      </c>
      <c r="M213" s="106">
        <f t="shared" si="2460"/>
        <v>981564</v>
      </c>
      <c r="N213" s="16" t="s">
        <v>179</v>
      </c>
      <c r="O213" s="106">
        <f t="shared" si="2461"/>
        <v>24000</v>
      </c>
      <c r="P213" s="106">
        <f t="shared" si="2462"/>
        <v>170574</v>
      </c>
      <c r="Q213" s="106">
        <f t="shared" si="2463"/>
        <v>97287</v>
      </c>
      <c r="R213" s="106">
        <f t="shared" si="2464"/>
        <v>97287</v>
      </c>
      <c r="S213" s="106">
        <f t="shared" si="2465"/>
        <v>97287</v>
      </c>
      <c r="T213" s="106">
        <f t="shared" si="2466"/>
        <v>97287</v>
      </c>
      <c r="U213" s="106">
        <f t="shared" si="2467"/>
        <v>97287</v>
      </c>
      <c r="V213" s="106">
        <f t="shared" si="2468"/>
        <v>97287</v>
      </c>
      <c r="W213" s="106">
        <f t="shared" si="2469"/>
        <v>97287</v>
      </c>
      <c r="X213" s="106">
        <f t="shared" si="2470"/>
        <v>97287</v>
      </c>
      <c r="Y213" s="106">
        <f t="shared" si="2471"/>
        <v>0</v>
      </c>
      <c r="Z213" s="106">
        <f t="shared" si="2472"/>
        <v>0</v>
      </c>
      <c r="AA213" s="106">
        <f t="shared" si="2473"/>
        <v>972870</v>
      </c>
      <c r="AB213" s="118">
        <f t="shared" si="1861"/>
        <v>0.32748835959527345</v>
      </c>
      <c r="AC213" s="106">
        <f t="shared" si="2474"/>
        <v>73286.518331250001</v>
      </c>
      <c r="AD213" s="106">
        <f t="shared" si="2475"/>
        <v>73286.518331250001</v>
      </c>
      <c r="AE213" s="106">
        <f t="shared" si="2476"/>
        <v>73286.518331250001</v>
      </c>
      <c r="AF213" s="106">
        <f t="shared" si="2477"/>
        <v>73286.518331250001</v>
      </c>
      <c r="AG213" s="106">
        <f t="shared" si="2478"/>
        <v>73286.518331250001</v>
      </c>
      <c r="AH213" s="106">
        <f t="shared" si="2479"/>
        <v>73286.518331250001</v>
      </c>
      <c r="AI213" s="106">
        <f t="shared" si="2480"/>
        <v>73286.518331250001</v>
      </c>
      <c r="AJ213" s="106">
        <f t="shared" si="2481"/>
        <v>73286.518331250001</v>
      </c>
      <c r="AK213" s="106">
        <f t="shared" si="2482"/>
        <v>73286.518331250001</v>
      </c>
      <c r="AL213" s="106">
        <f t="shared" si="2483"/>
        <v>73286.518331250001</v>
      </c>
      <c r="AM213" s="106">
        <f t="shared" si="2484"/>
        <v>73286.518331250001</v>
      </c>
      <c r="AN213" s="106">
        <f t="shared" si="2485"/>
        <v>73286.518331250001</v>
      </c>
      <c r="AO213" s="106">
        <f t="shared" si="2486"/>
        <v>879438.21997499978</v>
      </c>
      <c r="AQ213" s="106">
        <v>69797</v>
      </c>
      <c r="AR213" s="106">
        <v>69797</v>
      </c>
      <c r="AS213" s="106">
        <v>69797</v>
      </c>
      <c r="AT213" s="106">
        <v>69797</v>
      </c>
      <c r="AU213" s="106">
        <v>69797</v>
      </c>
      <c r="AV213" s="106">
        <v>69797</v>
      </c>
      <c r="AW213" s="106">
        <v>69797</v>
      </c>
      <c r="AX213" s="106">
        <v>69797</v>
      </c>
      <c r="AY213" s="106">
        <v>69797</v>
      </c>
      <c r="AZ213" s="106">
        <v>69797</v>
      </c>
      <c r="BA213" s="106">
        <v>69797</v>
      </c>
      <c r="BB213" s="106">
        <v>69797</v>
      </c>
      <c r="BC213" s="106">
        <f t="shared" si="2487"/>
        <v>837564</v>
      </c>
      <c r="BD213" s="16" t="str">
        <f t="shared" si="2339"/>
        <v>Rent Yard</v>
      </c>
      <c r="BE213" s="106">
        <f>+VLOOKUP($BD213,'Jan-25'!$A:$J,2,0)</f>
        <v>0</v>
      </c>
      <c r="BF213" s="106">
        <f>+VLOOKUP($BD213,'Feb-25'!$A:$J,2,0)</f>
        <v>146574</v>
      </c>
      <c r="BG213" s="106">
        <f>+VLOOKUP($BD213,'Mar-25'!$A:$J,2,0)</f>
        <v>73287</v>
      </c>
      <c r="BH213" s="106">
        <f>+VLOOKUP($BD213,'Apr-25'!$A:$J,2,0)</f>
        <v>73287</v>
      </c>
      <c r="BI213" s="106">
        <f>+VLOOKUP($BD213,'May-25'!$A:$J,2,0)</f>
        <v>73287</v>
      </c>
      <c r="BJ213" s="106">
        <f>+VLOOKUP($BD213,'June-25'!$A:$J,2,0)</f>
        <v>73287</v>
      </c>
      <c r="BK213" s="106">
        <f>+VLOOKUP($BD213,'July-25'!$A:$J,2,0)</f>
        <v>73287</v>
      </c>
      <c r="BL213" s="106">
        <f>+VLOOKUP($BD213,'Aug-25'!$A:$J,2,0)</f>
        <v>73287</v>
      </c>
      <c r="BM213" s="106">
        <f>+VLOOKUP($BD213,'Sep-25'!$A:$J,2,0)</f>
        <v>73287</v>
      </c>
      <c r="BN213" s="106">
        <f>+VLOOKUP($BD213,'Oct-25'!$A:$J,2,0)</f>
        <v>73287</v>
      </c>
      <c r="BO213" s="106">
        <f>+VLOOKUP($BD213,'Nov-25'!$A:$J,2,0)</f>
        <v>0</v>
      </c>
      <c r="BP213" s="106">
        <f>+VLOOKUP($BD213,'Dec-25'!$A:$J,2,0)</f>
        <v>0</v>
      </c>
      <c r="BQ213" s="106">
        <f t="shared" si="2488"/>
        <v>732870</v>
      </c>
      <c r="BR213" s="118">
        <f t="shared" si="1877"/>
        <v>6.5724059617852197E-6</v>
      </c>
      <c r="BS213" s="106" cm="1">
        <f t="array" ref="BS213:CD213">+_xlfn.XLOOKUP(BD213,Budget!A:A,Budget!Q:AB)</f>
        <v>73286.518331250001</v>
      </c>
      <c r="BT213" s="106">
        <v>73286.518331250001</v>
      </c>
      <c r="BU213" s="106">
        <v>73286.518331250001</v>
      </c>
      <c r="BV213" s="106">
        <v>73286.518331250001</v>
      </c>
      <c r="BW213" s="106">
        <v>73286.518331250001</v>
      </c>
      <c r="BX213" s="106">
        <v>73286.518331250001</v>
      </c>
      <c r="BY213" s="106">
        <v>73286.518331250001</v>
      </c>
      <c r="BZ213" s="106">
        <v>73286.518331250001</v>
      </c>
      <c r="CA213" s="106">
        <v>73286.518331250001</v>
      </c>
      <c r="CB213" s="106">
        <v>73286.518331250001</v>
      </c>
      <c r="CC213" s="106">
        <v>73286.518331250001</v>
      </c>
      <c r="CD213" s="106">
        <v>73286.518331250001</v>
      </c>
      <c r="CE213" s="106">
        <f t="shared" si="2489"/>
        <v>879438.21997499978</v>
      </c>
      <c r="CF213" s="22"/>
      <c r="CG213" s="106">
        <v>0</v>
      </c>
      <c r="CH213" s="106">
        <v>0</v>
      </c>
      <c r="CI213" s="106">
        <v>0</v>
      </c>
      <c r="CJ213" s="106">
        <v>0</v>
      </c>
      <c r="CK213" s="106">
        <v>0</v>
      </c>
      <c r="CL213" s="106">
        <v>0</v>
      </c>
      <c r="CM213" s="106">
        <v>24000</v>
      </c>
      <c r="CN213" s="106">
        <v>24000</v>
      </c>
      <c r="CO213" s="106">
        <v>24000</v>
      </c>
      <c r="CP213" s="106">
        <v>24000</v>
      </c>
      <c r="CQ213" s="106">
        <v>24000</v>
      </c>
      <c r="CR213" s="106">
        <v>24000</v>
      </c>
      <c r="CS213" s="106">
        <f t="shared" si="2490"/>
        <v>144000</v>
      </c>
      <c r="CT213" s="16" t="str">
        <f t="shared" si="2340"/>
        <v>Rent Yard</v>
      </c>
      <c r="CU213" s="106">
        <f>+VLOOKUP($BD213,'Jan-25'!$A:$J,6,0)</f>
        <v>24000</v>
      </c>
      <c r="CV213" s="106">
        <f>+VLOOKUP($BD213,'Feb-25'!$A:$J,6,0)</f>
        <v>24000</v>
      </c>
      <c r="CW213" s="106">
        <f>+VLOOKUP($BD213,'Mar-25'!$A:$J,6,0)</f>
        <v>24000</v>
      </c>
      <c r="CX213" s="106">
        <f>+VLOOKUP($BD213,'Apr-25'!$A:$J,6,0)</f>
        <v>24000</v>
      </c>
      <c r="CY213" s="106">
        <f>+VLOOKUP($BD213,'May-25'!$A:$J,6,0)</f>
        <v>24000</v>
      </c>
      <c r="CZ213" s="106">
        <f>+VLOOKUP($BD213,'June-25'!$A:$J,6,0)</f>
        <v>24000</v>
      </c>
      <c r="DA213" s="106">
        <f>+VLOOKUP($BD213,'July-25'!$A:$J,6,0)</f>
        <v>24000</v>
      </c>
      <c r="DB213" s="106">
        <f>+VLOOKUP($BD213,'Aug-25'!$A:$J,6,0)</f>
        <v>24000</v>
      </c>
      <c r="DC213" s="106">
        <f>+VLOOKUP($BD213,'Sep-25'!$A:$J,6,0)</f>
        <v>24000</v>
      </c>
      <c r="DD213" s="106">
        <f>+VLOOKUP($BD213,'Oct-25'!$A:$J,6,0)</f>
        <v>24000</v>
      </c>
      <c r="DE213" s="106">
        <f>+VLOOKUP($BD213,'Nov-25'!$A:$J,6,0)</f>
        <v>0</v>
      </c>
      <c r="DF213" s="106">
        <f>+VLOOKUP($BD213,'Dec-25'!$A:$J,6,0)</f>
        <v>0</v>
      </c>
      <c r="DG213" s="106">
        <f t="shared" si="2491"/>
        <v>240000</v>
      </c>
      <c r="DH213" s="118">
        <f t="shared" si="1881"/>
        <v>0</v>
      </c>
      <c r="DI213" s="106">
        <f>+_xlfn.XLOOKUP($CT213,Budget!$A:$A,Budget!BQ:BQ)</f>
        <v>0</v>
      </c>
      <c r="DJ213" s="106">
        <f>+_xlfn.XLOOKUP($CT213,Budget!$A:$A,Budget!BR:BR)</f>
        <v>0</v>
      </c>
      <c r="DK213" s="106">
        <f>+_xlfn.XLOOKUP($CT213,Budget!$A:$A,Budget!BS:BS)</f>
        <v>0</v>
      </c>
      <c r="DL213" s="106">
        <f>+_xlfn.XLOOKUP($CT213,Budget!$A:$A,Budget!BT:BT)</f>
        <v>0</v>
      </c>
      <c r="DM213" s="106">
        <f>+_xlfn.XLOOKUP($CT213,Budget!$A:$A,Budget!BU:BU)</f>
        <v>0</v>
      </c>
      <c r="DN213" s="106">
        <f>+_xlfn.XLOOKUP($CT213,Budget!$A:$A,Budget!BV:BV)</f>
        <v>0</v>
      </c>
      <c r="DO213" s="106">
        <f>+_xlfn.XLOOKUP($CT213,Budget!$A:$A,Budget!BW:BW)</f>
        <v>0</v>
      </c>
      <c r="DP213" s="106">
        <f>+_xlfn.XLOOKUP($CT213,Budget!$A:$A,Budget!BX:BX)</f>
        <v>0</v>
      </c>
      <c r="DQ213" s="106">
        <f>+_xlfn.XLOOKUP($CT213,Budget!$A:$A,Budget!BY:BY)</f>
        <v>0</v>
      </c>
      <c r="DR213" s="106">
        <f>+_xlfn.XLOOKUP($CT213,Budget!$A:$A,Budget!BZ:BZ)</f>
        <v>0</v>
      </c>
      <c r="DS213" s="106">
        <f>+_xlfn.XLOOKUP($CT213,Budget!$A:$A,Budget!CA:CA)</f>
        <v>0</v>
      </c>
      <c r="DT213" s="106">
        <f>+_xlfn.XLOOKUP($CT213,Budget!$A:$A,Budget!CB:CB)</f>
        <v>0</v>
      </c>
      <c r="DU213" s="106">
        <f t="shared" si="2492"/>
        <v>0</v>
      </c>
    </row>
    <row r="214" spans="1:125" ht="14.45" customHeight="1" outlineLevel="1">
      <c r="A214" s="58">
        <f t="shared" ref="A214:L214" si="2493">+A215+A216</f>
        <v>13050</v>
      </c>
      <c r="B214" s="58">
        <f t="shared" si="2493"/>
        <v>1500</v>
      </c>
      <c r="C214" s="58">
        <f t="shared" si="2493"/>
        <v>5050</v>
      </c>
      <c r="D214" s="58">
        <f t="shared" si="2493"/>
        <v>11000</v>
      </c>
      <c r="E214" s="58">
        <f t="shared" si="2493"/>
        <v>700</v>
      </c>
      <c r="F214" s="58">
        <f t="shared" si="2493"/>
        <v>5900</v>
      </c>
      <c r="G214" s="58">
        <f t="shared" si="2493"/>
        <v>5950</v>
      </c>
      <c r="H214" s="58">
        <f t="shared" si="2493"/>
        <v>2000</v>
      </c>
      <c r="I214" s="58">
        <f t="shared" si="2493"/>
        <v>3700</v>
      </c>
      <c r="J214" s="58">
        <f t="shared" si="2493"/>
        <v>2900</v>
      </c>
      <c r="K214" s="58">
        <f t="shared" si="2493"/>
        <v>2100</v>
      </c>
      <c r="L214" s="58">
        <f t="shared" si="2493"/>
        <v>1650</v>
      </c>
      <c r="M214" s="58"/>
      <c r="N214" s="20" t="s">
        <v>180</v>
      </c>
      <c r="O214" s="58">
        <f t="shared" ref="O214" si="2494">+O215+O216</f>
        <v>27650</v>
      </c>
      <c r="P214" s="58">
        <f t="shared" ref="P214" si="2495">+P215+P216</f>
        <v>12450</v>
      </c>
      <c r="Q214" s="58">
        <f t="shared" ref="Q214" si="2496">+Q215+Q216</f>
        <v>5925</v>
      </c>
      <c r="R214" s="58">
        <f t="shared" ref="R214" si="2497">+R215+R216</f>
        <v>950</v>
      </c>
      <c r="S214" s="58">
        <f t="shared" ref="S214" si="2498">+S215+S216</f>
        <v>550</v>
      </c>
      <c r="T214" s="58">
        <f t="shared" ref="T214" si="2499">+T215+T216</f>
        <v>2150</v>
      </c>
      <c r="U214" s="58">
        <f t="shared" ref="U214" si="2500">+U215+U216</f>
        <v>3350</v>
      </c>
      <c r="V214" s="58">
        <f t="shared" ref="V214" si="2501">+V215+V216</f>
        <v>6270</v>
      </c>
      <c r="W214" s="58">
        <f t="shared" ref="W214" si="2502">+W215+W216</f>
        <v>3425</v>
      </c>
      <c r="X214" s="58">
        <f t="shared" ref="X214" si="2503">+X215+X216</f>
        <v>100</v>
      </c>
      <c r="Y214" s="58">
        <f t="shared" ref="Y214" si="2504">+Y215+Y216</f>
        <v>0</v>
      </c>
      <c r="Z214" s="58">
        <f t="shared" ref="Z214:AA214" si="2505">+Z215+Z216</f>
        <v>0</v>
      </c>
      <c r="AA214" s="58">
        <f t="shared" si="2505"/>
        <v>62820</v>
      </c>
      <c r="AB214" s="118">
        <f t="shared" si="1861"/>
        <v>-0.96969696969696972</v>
      </c>
      <c r="AC214" s="58">
        <f t="shared" ref="AC214" si="2506">+AC215+AC216</f>
        <v>3300</v>
      </c>
      <c r="AD214" s="58">
        <f t="shared" ref="AD214" si="2507">+AD215+AD216</f>
        <v>3300</v>
      </c>
      <c r="AE214" s="58">
        <f t="shared" ref="AE214" si="2508">+AE215+AE216</f>
        <v>3300</v>
      </c>
      <c r="AF214" s="58">
        <f t="shared" ref="AF214" si="2509">+AF215+AF216</f>
        <v>3300</v>
      </c>
      <c r="AG214" s="58">
        <f t="shared" ref="AG214" si="2510">+AG215+AG216</f>
        <v>3300</v>
      </c>
      <c r="AH214" s="58">
        <f t="shared" ref="AH214" si="2511">+AH215+AH216</f>
        <v>3300</v>
      </c>
      <c r="AI214" s="58">
        <f t="shared" ref="AI214" si="2512">+AI215+AI216</f>
        <v>3300</v>
      </c>
      <c r="AJ214" s="58">
        <f t="shared" ref="AJ214" si="2513">+AJ215+AJ216</f>
        <v>3300</v>
      </c>
      <c r="AK214" s="58">
        <f t="shared" ref="AK214" si="2514">+AK215+AK216</f>
        <v>3300</v>
      </c>
      <c r="AL214" s="58">
        <f t="shared" ref="AL214" si="2515">+AL215+AL216</f>
        <v>3300</v>
      </c>
      <c r="AM214" s="58">
        <f t="shared" ref="AM214" si="2516">+AM215+AM216</f>
        <v>3300</v>
      </c>
      <c r="AN214" s="58">
        <f t="shared" ref="AN214" si="2517">+AN215+AN216</f>
        <v>3300</v>
      </c>
      <c r="AO214" s="58"/>
      <c r="AQ214" s="58">
        <f t="shared" ref="AQ214:BC214" si="2518">+AQ215+AQ216</f>
        <v>10200</v>
      </c>
      <c r="AR214" s="58">
        <f t="shared" si="2518"/>
        <v>0</v>
      </c>
      <c r="AS214" s="58">
        <f t="shared" si="2518"/>
        <v>3000</v>
      </c>
      <c r="AT214" s="58">
        <f t="shared" si="2518"/>
        <v>10000</v>
      </c>
      <c r="AU214" s="58">
        <f t="shared" si="2518"/>
        <v>0</v>
      </c>
      <c r="AV214" s="58">
        <f t="shared" si="2518"/>
        <v>4700</v>
      </c>
      <c r="AW214" s="58">
        <f t="shared" si="2518"/>
        <v>5500</v>
      </c>
      <c r="AX214" s="58">
        <f t="shared" si="2518"/>
        <v>200</v>
      </c>
      <c r="AY214" s="58">
        <f t="shared" si="2518"/>
        <v>2000</v>
      </c>
      <c r="AZ214" s="58">
        <f t="shared" si="2518"/>
        <v>2500</v>
      </c>
      <c r="BA214" s="58">
        <f t="shared" si="2518"/>
        <v>550</v>
      </c>
      <c r="BB214" s="58">
        <f t="shared" si="2518"/>
        <v>1000</v>
      </c>
      <c r="BC214" s="58">
        <f t="shared" si="2518"/>
        <v>39650</v>
      </c>
      <c r="BD214" s="20" t="str">
        <f t="shared" si="2339"/>
        <v>Donation</v>
      </c>
      <c r="BE214" s="58">
        <f t="shared" ref="BE214:BQ214" si="2519">+BE215+BE216</f>
        <v>26500</v>
      </c>
      <c r="BF214" s="58">
        <f t="shared" si="2519"/>
        <v>8700</v>
      </c>
      <c r="BG214" s="58">
        <f t="shared" si="2519"/>
        <v>4750</v>
      </c>
      <c r="BH214" s="58">
        <f t="shared" si="2519"/>
        <v>0</v>
      </c>
      <c r="BI214" s="58">
        <f t="shared" si="2519"/>
        <v>250</v>
      </c>
      <c r="BJ214" s="58">
        <f t="shared" si="2519"/>
        <v>1200</v>
      </c>
      <c r="BK214" s="58">
        <f t="shared" si="2519"/>
        <v>2000</v>
      </c>
      <c r="BL214" s="58">
        <f t="shared" si="2519"/>
        <v>5200</v>
      </c>
      <c r="BM214" s="58">
        <f t="shared" si="2519"/>
        <v>2500</v>
      </c>
      <c r="BN214" s="58">
        <f t="shared" si="2519"/>
        <v>0</v>
      </c>
      <c r="BO214" s="58">
        <f t="shared" si="2519"/>
        <v>0</v>
      </c>
      <c r="BP214" s="58">
        <f t="shared" si="2519"/>
        <v>0</v>
      </c>
      <c r="BQ214" s="58">
        <f t="shared" si="2519"/>
        <v>51100</v>
      </c>
      <c r="BR214" s="118">
        <f t="shared" si="1877"/>
        <v>-1</v>
      </c>
      <c r="BS214" s="58">
        <f t="shared" ref="BS214:CE214" si="2520">+BS215+BS216</f>
        <v>2400</v>
      </c>
      <c r="BT214" s="58">
        <f t="shared" si="2520"/>
        <v>2400</v>
      </c>
      <c r="BU214" s="58">
        <f t="shared" si="2520"/>
        <v>2400</v>
      </c>
      <c r="BV214" s="58">
        <f t="shared" si="2520"/>
        <v>2400</v>
      </c>
      <c r="BW214" s="58">
        <f t="shared" si="2520"/>
        <v>2400</v>
      </c>
      <c r="BX214" s="58">
        <f t="shared" si="2520"/>
        <v>2400</v>
      </c>
      <c r="BY214" s="58">
        <f t="shared" si="2520"/>
        <v>2400</v>
      </c>
      <c r="BZ214" s="58">
        <f t="shared" si="2520"/>
        <v>2400</v>
      </c>
      <c r="CA214" s="58">
        <f t="shared" si="2520"/>
        <v>2400</v>
      </c>
      <c r="CB214" s="58">
        <f t="shared" si="2520"/>
        <v>2400</v>
      </c>
      <c r="CC214" s="58">
        <f t="shared" si="2520"/>
        <v>2400</v>
      </c>
      <c r="CD214" s="58">
        <f t="shared" si="2520"/>
        <v>2400</v>
      </c>
      <c r="CE214" s="58">
        <f t="shared" si="2520"/>
        <v>28800</v>
      </c>
      <c r="CF214" s="22"/>
      <c r="CG214" s="58">
        <f t="shared" ref="CG214:CS214" si="2521">+CG215+CG216</f>
        <v>2850</v>
      </c>
      <c r="CH214" s="58">
        <f t="shared" si="2521"/>
        <v>1500</v>
      </c>
      <c r="CI214" s="58">
        <f t="shared" si="2521"/>
        <v>2050</v>
      </c>
      <c r="CJ214" s="58">
        <f t="shared" si="2521"/>
        <v>1000</v>
      </c>
      <c r="CK214" s="58">
        <f t="shared" si="2521"/>
        <v>700</v>
      </c>
      <c r="CL214" s="58">
        <f t="shared" si="2521"/>
        <v>1200</v>
      </c>
      <c r="CM214" s="58">
        <f t="shared" si="2521"/>
        <v>450</v>
      </c>
      <c r="CN214" s="58">
        <f t="shared" si="2521"/>
        <v>1800</v>
      </c>
      <c r="CO214" s="58">
        <f t="shared" si="2521"/>
        <v>1700</v>
      </c>
      <c r="CP214" s="58">
        <f t="shared" si="2521"/>
        <v>400</v>
      </c>
      <c r="CQ214" s="58">
        <f t="shared" si="2521"/>
        <v>1550</v>
      </c>
      <c r="CR214" s="58">
        <f t="shared" si="2521"/>
        <v>650</v>
      </c>
      <c r="CS214" s="58">
        <f t="shared" si="2521"/>
        <v>15850</v>
      </c>
      <c r="CT214" s="20" t="str">
        <f t="shared" si="2340"/>
        <v>Donation</v>
      </c>
      <c r="CU214" s="58">
        <f t="shared" ref="CU214:DG214" si="2522">+CU215+CU216</f>
        <v>1150</v>
      </c>
      <c r="CV214" s="58">
        <f t="shared" si="2522"/>
        <v>3750</v>
      </c>
      <c r="CW214" s="58">
        <f t="shared" si="2522"/>
        <v>1175</v>
      </c>
      <c r="CX214" s="58">
        <f t="shared" si="2522"/>
        <v>950</v>
      </c>
      <c r="CY214" s="58">
        <f t="shared" si="2522"/>
        <v>300</v>
      </c>
      <c r="CZ214" s="58">
        <f t="shared" si="2522"/>
        <v>950</v>
      </c>
      <c r="DA214" s="58">
        <f t="shared" si="2522"/>
        <v>1350</v>
      </c>
      <c r="DB214" s="58">
        <f t="shared" si="2522"/>
        <v>1070</v>
      </c>
      <c r="DC214" s="58">
        <f t="shared" si="2522"/>
        <v>925</v>
      </c>
      <c r="DD214" s="58">
        <f t="shared" si="2522"/>
        <v>100</v>
      </c>
      <c r="DE214" s="58">
        <f t="shared" si="2522"/>
        <v>0</v>
      </c>
      <c r="DF214" s="58">
        <f t="shared" si="2522"/>
        <v>0</v>
      </c>
      <c r="DG214" s="58">
        <f t="shared" si="2522"/>
        <v>11720</v>
      </c>
      <c r="DH214" s="118">
        <f t="shared" si="1881"/>
        <v>-0.88888888888888884</v>
      </c>
      <c r="DI214" s="58">
        <f t="shared" ref="DI214:DU214" si="2523">+DI215+DI216</f>
        <v>900</v>
      </c>
      <c r="DJ214" s="58">
        <f t="shared" si="2523"/>
        <v>900</v>
      </c>
      <c r="DK214" s="58">
        <f t="shared" si="2523"/>
        <v>900</v>
      </c>
      <c r="DL214" s="58">
        <f t="shared" si="2523"/>
        <v>900</v>
      </c>
      <c r="DM214" s="58">
        <f t="shared" si="2523"/>
        <v>900</v>
      </c>
      <c r="DN214" s="58">
        <f t="shared" si="2523"/>
        <v>900</v>
      </c>
      <c r="DO214" s="58">
        <f t="shared" si="2523"/>
        <v>900</v>
      </c>
      <c r="DP214" s="58">
        <f t="shared" si="2523"/>
        <v>900</v>
      </c>
      <c r="DQ214" s="58">
        <f t="shared" si="2523"/>
        <v>900</v>
      </c>
      <c r="DR214" s="58">
        <f t="shared" si="2523"/>
        <v>900</v>
      </c>
      <c r="DS214" s="58">
        <f t="shared" si="2523"/>
        <v>900</v>
      </c>
      <c r="DT214" s="58">
        <f t="shared" si="2523"/>
        <v>900</v>
      </c>
      <c r="DU214" s="58">
        <f t="shared" si="2523"/>
        <v>10800</v>
      </c>
    </row>
    <row r="215" spans="1:125" ht="14.45" customHeight="1" outlineLevel="1">
      <c r="A215" s="106">
        <f t="shared" ref="A215:A217" si="2524">+AQ215+CG215</f>
        <v>0</v>
      </c>
      <c r="B215" s="106">
        <f t="shared" ref="B215:B217" si="2525">+AR215+CH215</f>
        <v>0</v>
      </c>
      <c r="C215" s="106">
        <f t="shared" ref="C215:C217" si="2526">+AS215+CI215</f>
        <v>0</v>
      </c>
      <c r="D215" s="106">
        <f t="shared" ref="D215:D217" si="2527">+AT215+CJ215</f>
        <v>0</v>
      </c>
      <c r="E215" s="106">
        <f t="shared" ref="E215:E217" si="2528">+AU215+CK215</f>
        <v>0</v>
      </c>
      <c r="F215" s="106">
        <f t="shared" ref="F215:F217" si="2529">+AV215+CL215</f>
        <v>0</v>
      </c>
      <c r="G215" s="106">
        <f t="shared" ref="G215:G217" si="2530">+AW215+CM215</f>
        <v>0</v>
      </c>
      <c r="H215" s="106">
        <f t="shared" ref="H215:H217" si="2531">+AX215+CN215</f>
        <v>0</v>
      </c>
      <c r="I215" s="106">
        <f t="shared" ref="I215:I217" si="2532">+AY215+CO215</f>
        <v>0</v>
      </c>
      <c r="J215" s="106">
        <f t="shared" ref="J215:J217" si="2533">+AZ215+CP215</f>
        <v>0</v>
      </c>
      <c r="K215" s="106">
        <f t="shared" ref="K215:K217" si="2534">+BA215+CQ215</f>
        <v>0</v>
      </c>
      <c r="L215" s="106">
        <f t="shared" ref="L215:L217" si="2535">+BB215+CR215</f>
        <v>0</v>
      </c>
      <c r="M215" s="106">
        <f t="shared" ref="M215:M217" si="2536">+SUM(A215:L215)</f>
        <v>0</v>
      </c>
      <c r="N215" s="16" t="s">
        <v>181</v>
      </c>
      <c r="O215" s="106">
        <f t="shared" ref="O215:O217" si="2537">+BE215+CU215</f>
        <v>0</v>
      </c>
      <c r="P215" s="106">
        <f t="shared" ref="P215:P217" si="2538">+BF215+CV215</f>
        <v>0</v>
      </c>
      <c r="Q215" s="106">
        <f t="shared" ref="Q215:Q217" si="2539">+BG215+CW215</f>
        <v>0</v>
      </c>
      <c r="R215" s="106">
        <f t="shared" ref="R215:R217" si="2540">+BH215+CX215</f>
        <v>0</v>
      </c>
      <c r="S215" s="106">
        <f t="shared" ref="S215:S217" si="2541">+BI215+CY215</f>
        <v>0</v>
      </c>
      <c r="T215" s="106">
        <f t="shared" ref="T215:T217" si="2542">+BJ215+CZ215</f>
        <v>0</v>
      </c>
      <c r="U215" s="106">
        <f t="shared" ref="U215:U217" si="2543">+BK215+DA215</f>
        <v>0</v>
      </c>
      <c r="V215" s="106">
        <f t="shared" ref="V215:V217" si="2544">+BL215+DB215</f>
        <v>0</v>
      </c>
      <c r="W215" s="106">
        <f t="shared" ref="W215:W217" si="2545">+BM215+DC215</f>
        <v>0</v>
      </c>
      <c r="X215" s="106">
        <f t="shared" ref="X215:X217" si="2546">+BN215+DD215</f>
        <v>0</v>
      </c>
      <c r="Y215" s="106">
        <f t="shared" ref="Y215:Y217" si="2547">+BO215+DE215</f>
        <v>0</v>
      </c>
      <c r="Z215" s="106">
        <f t="shared" ref="Z215:Z217" si="2548">+BP215+DF215</f>
        <v>0</v>
      </c>
      <c r="AA215" s="106">
        <f t="shared" ref="AA215:AA217" si="2549">+SUM(O215:Z215)</f>
        <v>0</v>
      </c>
      <c r="AB215" s="118">
        <f t="shared" si="1861"/>
        <v>0</v>
      </c>
      <c r="AC215" s="106">
        <f t="shared" ref="AC215:AC217" si="2550">+BS215+DI215</f>
        <v>0</v>
      </c>
      <c r="AD215" s="106">
        <f t="shared" ref="AD215:AD217" si="2551">+BT215+DJ215</f>
        <v>0</v>
      </c>
      <c r="AE215" s="106">
        <f t="shared" ref="AE215:AE217" si="2552">+BU215+DK215</f>
        <v>0</v>
      </c>
      <c r="AF215" s="106">
        <f t="shared" ref="AF215:AF217" si="2553">+BV215+DL215</f>
        <v>0</v>
      </c>
      <c r="AG215" s="106">
        <f t="shared" ref="AG215:AG217" si="2554">+BW215+DM215</f>
        <v>0</v>
      </c>
      <c r="AH215" s="106">
        <f t="shared" ref="AH215:AH217" si="2555">+BX215+DN215</f>
        <v>0</v>
      </c>
      <c r="AI215" s="106">
        <f t="shared" ref="AI215:AI217" si="2556">+BY215+DO215</f>
        <v>0</v>
      </c>
      <c r="AJ215" s="106">
        <f t="shared" ref="AJ215:AJ217" si="2557">+BZ215+DP215</f>
        <v>0</v>
      </c>
      <c r="AK215" s="106">
        <f t="shared" ref="AK215:AK217" si="2558">+CA215+DQ215</f>
        <v>0</v>
      </c>
      <c r="AL215" s="106">
        <f t="shared" ref="AL215:AL217" si="2559">+CB215+DR215</f>
        <v>0</v>
      </c>
      <c r="AM215" s="106">
        <f t="shared" ref="AM215:AM217" si="2560">+CC215+DS215</f>
        <v>0</v>
      </c>
      <c r="AN215" s="106">
        <f t="shared" ref="AN215:AN217" si="2561">+CD215+DT215</f>
        <v>0</v>
      </c>
      <c r="AO215" s="106">
        <f t="shared" ref="AO215:AO217" si="2562">+SUM(AC215:AN215)</f>
        <v>0</v>
      </c>
      <c r="AQ215" s="106">
        <v>0</v>
      </c>
      <c r="AR215" s="106">
        <v>0</v>
      </c>
      <c r="AS215" s="106">
        <v>0</v>
      </c>
      <c r="AT215" s="106">
        <v>0</v>
      </c>
      <c r="AU215" s="106">
        <v>0</v>
      </c>
      <c r="AV215" s="106">
        <v>0</v>
      </c>
      <c r="AW215" s="106">
        <v>0</v>
      </c>
      <c r="AX215" s="106">
        <v>0</v>
      </c>
      <c r="AY215" s="106">
        <v>0</v>
      </c>
      <c r="AZ215" s="106">
        <v>0</v>
      </c>
      <c r="BA215" s="106">
        <v>0</v>
      </c>
      <c r="BB215" s="106">
        <v>0</v>
      </c>
      <c r="BC215" s="106">
        <f t="shared" ref="BC215:BC217" si="2563">+SUM(AQ215:BB215)</f>
        <v>0</v>
      </c>
      <c r="BD215" s="16" t="str">
        <f t="shared" si="2339"/>
        <v>CSR Expenses</v>
      </c>
      <c r="BE215" s="106">
        <f>+VLOOKUP($BD215,'Jan-25'!$A:$J,2,0)</f>
        <v>0</v>
      </c>
      <c r="BF215" s="106">
        <f>+VLOOKUP($BD215,'Feb-25'!$A:$J,2,0)</f>
        <v>0</v>
      </c>
      <c r="BG215" s="106">
        <f>+VLOOKUP($BD215,'Mar-25'!$A:$J,2,0)</f>
        <v>0</v>
      </c>
      <c r="BH215" s="106">
        <f>+VLOOKUP($BD215,'Apr-25'!$A:$J,2,0)</f>
        <v>0</v>
      </c>
      <c r="BI215" s="106">
        <f>+VLOOKUP($BD215,'May-25'!$A:$J,2,0)</f>
        <v>0</v>
      </c>
      <c r="BJ215" s="106">
        <f>+VLOOKUP($BD215,'June-25'!$A:$J,2,0)</f>
        <v>0</v>
      </c>
      <c r="BK215" s="106">
        <f>+VLOOKUP($BD215,'July-25'!$A:$J,2,0)</f>
        <v>0</v>
      </c>
      <c r="BL215" s="106">
        <f>+VLOOKUP($BD215,'Aug-25'!$A:$J,2,0)</f>
        <v>0</v>
      </c>
      <c r="BM215" s="106">
        <f>+VLOOKUP($BD215,'Sep-25'!$A:$J,2,0)</f>
        <v>0</v>
      </c>
      <c r="BN215" s="106">
        <f>+VLOOKUP($BD215,'Oct-25'!$A:$J,2,0)</f>
        <v>0</v>
      </c>
      <c r="BO215" s="106">
        <f>+VLOOKUP($BD215,'Nov-25'!$A:$J,2,0)</f>
        <v>0</v>
      </c>
      <c r="BP215" s="106">
        <f>+VLOOKUP($BD215,'Dec-25'!$A:$J,2,0)</f>
        <v>0</v>
      </c>
      <c r="BQ215" s="106">
        <f t="shared" ref="BQ215:BQ216" si="2564">+SUM(BE215:BP215)</f>
        <v>0</v>
      </c>
      <c r="BR215" s="118">
        <f t="shared" si="1877"/>
        <v>0</v>
      </c>
      <c r="BS215" s="106" cm="1">
        <f t="array" ref="BS215:CD215">+_xlfn.XLOOKUP(BD215,Budget!A:A,Budget!Q:AB)</f>
        <v>0</v>
      </c>
      <c r="BT215" s="106">
        <v>0</v>
      </c>
      <c r="BU215" s="106">
        <v>0</v>
      </c>
      <c r="BV215" s="106">
        <v>0</v>
      </c>
      <c r="BW215" s="106">
        <v>0</v>
      </c>
      <c r="BX215" s="106">
        <v>0</v>
      </c>
      <c r="BY215" s="106">
        <v>0</v>
      </c>
      <c r="BZ215" s="106">
        <v>0</v>
      </c>
      <c r="CA215" s="106">
        <v>0</v>
      </c>
      <c r="CB215" s="106">
        <v>0</v>
      </c>
      <c r="CC215" s="106">
        <v>0</v>
      </c>
      <c r="CD215" s="106">
        <v>0</v>
      </c>
      <c r="CE215" s="106">
        <f t="shared" ref="CE215:CE217" si="2565">+SUM(BS215:CD215)</f>
        <v>0</v>
      </c>
      <c r="CF215" s="22"/>
      <c r="CG215" s="106">
        <v>0</v>
      </c>
      <c r="CH215" s="106">
        <v>0</v>
      </c>
      <c r="CI215" s="106">
        <v>0</v>
      </c>
      <c r="CJ215" s="106">
        <v>0</v>
      </c>
      <c r="CK215" s="106">
        <v>0</v>
      </c>
      <c r="CL215" s="106">
        <v>0</v>
      </c>
      <c r="CM215" s="106">
        <v>0</v>
      </c>
      <c r="CN215" s="106">
        <v>0</v>
      </c>
      <c r="CO215" s="106">
        <v>0</v>
      </c>
      <c r="CP215" s="106">
        <v>0</v>
      </c>
      <c r="CQ215" s="106">
        <v>0</v>
      </c>
      <c r="CR215" s="106">
        <v>0</v>
      </c>
      <c r="CS215" s="106">
        <f t="shared" ref="CS215:CS217" si="2566">+SUM(CG215:CR215)</f>
        <v>0</v>
      </c>
      <c r="CT215" s="16" t="str">
        <f t="shared" si="2340"/>
        <v>CSR Expenses</v>
      </c>
      <c r="CU215" s="106">
        <f>+VLOOKUP($BD215,'Jan-25'!$A:$J,6,0)</f>
        <v>0</v>
      </c>
      <c r="CV215" s="106">
        <f>+VLOOKUP($BD215,'Feb-25'!$A:$J,6,0)</f>
        <v>0</v>
      </c>
      <c r="CW215" s="106">
        <f>+VLOOKUP($BD215,'Mar-25'!$A:$J,6,0)</f>
        <v>0</v>
      </c>
      <c r="CX215" s="106">
        <f>+VLOOKUP($BD215,'Apr-25'!$A:$J,6,0)</f>
        <v>0</v>
      </c>
      <c r="CY215" s="106">
        <f>+VLOOKUP($BD215,'May-25'!$A:$J,6,0)</f>
        <v>0</v>
      </c>
      <c r="CZ215" s="106">
        <f>+VLOOKUP($BD215,'June-25'!$A:$J,6,0)</f>
        <v>0</v>
      </c>
      <c r="DA215" s="106">
        <f>+VLOOKUP($BD215,'July-25'!$A:$J,6,0)</f>
        <v>0</v>
      </c>
      <c r="DB215" s="106">
        <f>+VLOOKUP($BD215,'Aug-25'!$A:$J,6,0)</f>
        <v>0</v>
      </c>
      <c r="DC215" s="106">
        <f>+VLOOKUP($BD215,'Sep-25'!$A:$J,6,0)</f>
        <v>0</v>
      </c>
      <c r="DD215" s="106">
        <f>+VLOOKUP($BD215,'Oct-25'!$A:$J,6,0)</f>
        <v>0</v>
      </c>
      <c r="DE215" s="106">
        <f>+VLOOKUP($BD215,'Nov-25'!$A:$J,6,0)</f>
        <v>0</v>
      </c>
      <c r="DF215" s="106">
        <f>+VLOOKUP($BD215,'Dec-25'!$A:$J,6,0)</f>
        <v>0</v>
      </c>
      <c r="DG215" s="106">
        <f t="shared" ref="DG215:DG217" si="2567">+SUM(CU215:DF215)</f>
        <v>0</v>
      </c>
      <c r="DH215" s="118">
        <f t="shared" si="1881"/>
        <v>0</v>
      </c>
      <c r="DI215" s="106">
        <f>+_xlfn.XLOOKUP($CT215,Budget!$A:$A,Budget!BQ:BQ)</f>
        <v>0</v>
      </c>
      <c r="DJ215" s="106">
        <f>+_xlfn.XLOOKUP($CT215,Budget!$A:$A,Budget!BR:BR)</f>
        <v>0</v>
      </c>
      <c r="DK215" s="106">
        <f>+_xlfn.XLOOKUP($CT215,Budget!$A:$A,Budget!BS:BS)</f>
        <v>0</v>
      </c>
      <c r="DL215" s="106">
        <f>+_xlfn.XLOOKUP($CT215,Budget!$A:$A,Budget!BT:BT)</f>
        <v>0</v>
      </c>
      <c r="DM215" s="106">
        <f>+_xlfn.XLOOKUP($CT215,Budget!$A:$A,Budget!BU:BU)</f>
        <v>0</v>
      </c>
      <c r="DN215" s="106">
        <f>+_xlfn.XLOOKUP($CT215,Budget!$A:$A,Budget!BV:BV)</f>
        <v>0</v>
      </c>
      <c r="DO215" s="106">
        <f>+_xlfn.XLOOKUP($CT215,Budget!$A:$A,Budget!BW:BW)</f>
        <v>0</v>
      </c>
      <c r="DP215" s="106">
        <f>+_xlfn.XLOOKUP($CT215,Budget!$A:$A,Budget!BX:BX)</f>
        <v>0</v>
      </c>
      <c r="DQ215" s="106">
        <f>+_xlfn.XLOOKUP($CT215,Budget!$A:$A,Budget!BY:BY)</f>
        <v>0</v>
      </c>
      <c r="DR215" s="106">
        <f>+_xlfn.XLOOKUP($CT215,Budget!$A:$A,Budget!BZ:BZ)</f>
        <v>0</v>
      </c>
      <c r="DS215" s="106">
        <f>+_xlfn.XLOOKUP($CT215,Budget!$A:$A,Budget!CA:CA)</f>
        <v>0</v>
      </c>
      <c r="DT215" s="106">
        <f>+_xlfn.XLOOKUP($CT215,Budget!$A:$A,Budget!CB:CB)</f>
        <v>0</v>
      </c>
      <c r="DU215" s="106">
        <f t="shared" ref="DU215:DU217" si="2568">+SUM(DI215:DT215)</f>
        <v>0</v>
      </c>
    </row>
    <row r="216" spans="1:125" ht="14.45" customHeight="1" outlineLevel="1">
      <c r="A216" s="106">
        <f t="shared" si="2524"/>
        <v>13050</v>
      </c>
      <c r="B216" s="106">
        <f t="shared" si="2525"/>
        <v>1500</v>
      </c>
      <c r="C216" s="106">
        <f t="shared" si="2526"/>
        <v>5050</v>
      </c>
      <c r="D216" s="106">
        <f t="shared" si="2527"/>
        <v>11000</v>
      </c>
      <c r="E216" s="106">
        <f t="shared" si="2528"/>
        <v>700</v>
      </c>
      <c r="F216" s="106">
        <f t="shared" si="2529"/>
        <v>5900</v>
      </c>
      <c r="G216" s="106">
        <f t="shared" si="2530"/>
        <v>5950</v>
      </c>
      <c r="H216" s="106">
        <f t="shared" si="2531"/>
        <v>2000</v>
      </c>
      <c r="I216" s="106">
        <f t="shared" si="2532"/>
        <v>3700</v>
      </c>
      <c r="J216" s="106">
        <f t="shared" si="2533"/>
        <v>2900</v>
      </c>
      <c r="K216" s="106">
        <f t="shared" si="2534"/>
        <v>2100</v>
      </c>
      <c r="L216" s="106">
        <f t="shared" si="2535"/>
        <v>1650</v>
      </c>
      <c r="M216" s="106">
        <f t="shared" si="2536"/>
        <v>55500</v>
      </c>
      <c r="N216" s="16" t="s">
        <v>182</v>
      </c>
      <c r="O216" s="106">
        <f t="shared" si="2537"/>
        <v>27650</v>
      </c>
      <c r="P216" s="106">
        <f t="shared" si="2538"/>
        <v>12450</v>
      </c>
      <c r="Q216" s="106">
        <f t="shared" si="2539"/>
        <v>5925</v>
      </c>
      <c r="R216" s="106">
        <f t="shared" si="2540"/>
        <v>950</v>
      </c>
      <c r="S216" s="106">
        <f t="shared" si="2541"/>
        <v>550</v>
      </c>
      <c r="T216" s="106">
        <f t="shared" si="2542"/>
        <v>2150</v>
      </c>
      <c r="U216" s="106">
        <f t="shared" si="2543"/>
        <v>3350</v>
      </c>
      <c r="V216" s="106">
        <f t="shared" si="2544"/>
        <v>6270</v>
      </c>
      <c r="W216" s="106">
        <f t="shared" si="2545"/>
        <v>3425</v>
      </c>
      <c r="X216" s="106">
        <f t="shared" si="2546"/>
        <v>100</v>
      </c>
      <c r="Y216" s="106">
        <f t="shared" si="2547"/>
        <v>0</v>
      </c>
      <c r="Z216" s="106">
        <f t="shared" si="2548"/>
        <v>0</v>
      </c>
      <c r="AA216" s="106">
        <f t="shared" si="2549"/>
        <v>62820</v>
      </c>
      <c r="AB216" s="118">
        <f t="shared" si="1861"/>
        <v>-0.96969696969696972</v>
      </c>
      <c r="AC216" s="106">
        <f t="shared" si="2550"/>
        <v>3300</v>
      </c>
      <c r="AD216" s="106">
        <f t="shared" si="2551"/>
        <v>3300</v>
      </c>
      <c r="AE216" s="106">
        <f t="shared" si="2552"/>
        <v>3300</v>
      </c>
      <c r="AF216" s="106">
        <f t="shared" si="2553"/>
        <v>3300</v>
      </c>
      <c r="AG216" s="106">
        <f t="shared" si="2554"/>
        <v>3300</v>
      </c>
      <c r="AH216" s="106">
        <f t="shared" si="2555"/>
        <v>3300</v>
      </c>
      <c r="AI216" s="106">
        <f t="shared" si="2556"/>
        <v>3300</v>
      </c>
      <c r="AJ216" s="106">
        <f t="shared" si="2557"/>
        <v>3300</v>
      </c>
      <c r="AK216" s="106">
        <f t="shared" si="2558"/>
        <v>3300</v>
      </c>
      <c r="AL216" s="106">
        <f t="shared" si="2559"/>
        <v>3300</v>
      </c>
      <c r="AM216" s="106">
        <f t="shared" si="2560"/>
        <v>3300</v>
      </c>
      <c r="AN216" s="106">
        <f t="shared" si="2561"/>
        <v>3300</v>
      </c>
      <c r="AO216" s="106">
        <f t="shared" si="2562"/>
        <v>39600</v>
      </c>
      <c r="AQ216" s="106">
        <v>10200</v>
      </c>
      <c r="AR216" s="106">
        <v>0</v>
      </c>
      <c r="AS216" s="106">
        <v>3000</v>
      </c>
      <c r="AT216" s="106">
        <v>10000</v>
      </c>
      <c r="AU216" s="106">
        <v>0</v>
      </c>
      <c r="AV216" s="106">
        <v>4700</v>
      </c>
      <c r="AW216" s="106">
        <v>5500</v>
      </c>
      <c r="AX216" s="106">
        <v>200</v>
      </c>
      <c r="AY216" s="106">
        <v>2000</v>
      </c>
      <c r="AZ216" s="106">
        <v>2500</v>
      </c>
      <c r="BA216" s="106">
        <v>550</v>
      </c>
      <c r="BB216" s="106">
        <v>1000</v>
      </c>
      <c r="BC216" s="106">
        <f t="shared" si="2563"/>
        <v>39650</v>
      </c>
      <c r="BD216" s="16" t="str">
        <f t="shared" si="2339"/>
        <v>Other Donation</v>
      </c>
      <c r="BE216" s="106">
        <f>+VLOOKUP($BD216,'Jan-25'!$A:$J,2,0)</f>
        <v>26500</v>
      </c>
      <c r="BF216" s="106">
        <f>+VLOOKUP($BD216,'Feb-25'!$A:$J,2,0)</f>
        <v>8700</v>
      </c>
      <c r="BG216" s="106">
        <f>+VLOOKUP($BD216,'Mar-25'!$A:$J,2,0)</f>
        <v>4750</v>
      </c>
      <c r="BH216" s="106">
        <f>+VLOOKUP($BD216,'Apr-25'!$A:$J,2,0)</f>
        <v>0</v>
      </c>
      <c r="BI216" s="106">
        <f>+VLOOKUP($BD216,'May-25'!$A:$J,2,0)</f>
        <v>250</v>
      </c>
      <c r="BJ216" s="106">
        <f>+VLOOKUP($BD216,'June-25'!$A:$J,2,0)</f>
        <v>1200</v>
      </c>
      <c r="BK216" s="106">
        <f>+VLOOKUP($BD216,'July-25'!$A:$J,2,0)</f>
        <v>2000</v>
      </c>
      <c r="BL216" s="106">
        <f>+VLOOKUP($BD216,'Aug-25'!$A:$J,2,0)</f>
        <v>5200</v>
      </c>
      <c r="BM216" s="106">
        <f>+VLOOKUP($BD216,'Sep-25'!$A:$J,2,0)</f>
        <v>2500</v>
      </c>
      <c r="BN216" s="106">
        <f>+VLOOKUP($BD216,'Oct-25'!$A:$J,2,0)</f>
        <v>0</v>
      </c>
      <c r="BO216" s="106">
        <f>+VLOOKUP($BD216,'Nov-25'!$A:$J,2,0)</f>
        <v>0</v>
      </c>
      <c r="BP216" s="106">
        <f>+VLOOKUP($BD216,'Dec-25'!$A:$J,2,0)</f>
        <v>0</v>
      </c>
      <c r="BQ216" s="106">
        <f t="shared" si="2564"/>
        <v>51100</v>
      </c>
      <c r="BR216" s="118">
        <f t="shared" si="1877"/>
        <v>-1</v>
      </c>
      <c r="BS216" s="106" cm="1">
        <f t="array" ref="BS216:CD216">+_xlfn.XLOOKUP(BD216,Budget!A:A,Budget!Q:AB)</f>
        <v>2400</v>
      </c>
      <c r="BT216" s="106">
        <v>2400</v>
      </c>
      <c r="BU216" s="106">
        <v>2400</v>
      </c>
      <c r="BV216" s="106">
        <v>2400</v>
      </c>
      <c r="BW216" s="106">
        <v>2400</v>
      </c>
      <c r="BX216" s="106">
        <v>2400</v>
      </c>
      <c r="BY216" s="106">
        <v>2400</v>
      </c>
      <c r="BZ216" s="106">
        <v>2400</v>
      </c>
      <c r="CA216" s="106">
        <v>2400</v>
      </c>
      <c r="CB216" s="106">
        <v>2400</v>
      </c>
      <c r="CC216" s="106">
        <v>2400</v>
      </c>
      <c r="CD216" s="106">
        <v>2400</v>
      </c>
      <c r="CE216" s="106">
        <f t="shared" si="2565"/>
        <v>28800</v>
      </c>
      <c r="CF216" s="22"/>
      <c r="CG216" s="106">
        <v>2850</v>
      </c>
      <c r="CH216" s="106">
        <v>1500</v>
      </c>
      <c r="CI216" s="106">
        <v>2050</v>
      </c>
      <c r="CJ216" s="106">
        <v>1000</v>
      </c>
      <c r="CK216" s="106">
        <v>700</v>
      </c>
      <c r="CL216" s="106">
        <v>1200</v>
      </c>
      <c r="CM216" s="106">
        <v>450</v>
      </c>
      <c r="CN216" s="106">
        <v>1800</v>
      </c>
      <c r="CO216" s="106">
        <v>1700</v>
      </c>
      <c r="CP216" s="106">
        <v>400</v>
      </c>
      <c r="CQ216" s="106">
        <v>1550</v>
      </c>
      <c r="CR216" s="106">
        <v>650</v>
      </c>
      <c r="CS216" s="106">
        <f t="shared" si="2566"/>
        <v>15850</v>
      </c>
      <c r="CT216" s="16" t="str">
        <f t="shared" si="2340"/>
        <v>Other Donation</v>
      </c>
      <c r="CU216" s="106">
        <f>+VLOOKUP($BD216,'Jan-25'!$A:$J,6,0)</f>
        <v>1150</v>
      </c>
      <c r="CV216" s="106">
        <f>+VLOOKUP($BD216,'Feb-25'!$A:$J,6,0)</f>
        <v>3750</v>
      </c>
      <c r="CW216" s="106">
        <f>+VLOOKUP($BD216,'Mar-25'!$A:$J,6,0)</f>
        <v>1175</v>
      </c>
      <c r="CX216" s="106">
        <f>+VLOOKUP($BD216,'Apr-25'!$A:$J,6,0)</f>
        <v>950</v>
      </c>
      <c r="CY216" s="106">
        <f>+VLOOKUP($BD216,'May-25'!$A:$J,6,0)</f>
        <v>300</v>
      </c>
      <c r="CZ216" s="106">
        <f>+VLOOKUP($BD216,'June-25'!$A:$J,6,0)</f>
        <v>950</v>
      </c>
      <c r="DA216" s="106">
        <f>+VLOOKUP($BD216,'July-25'!$A:$J,6,0)</f>
        <v>1350</v>
      </c>
      <c r="DB216" s="106">
        <f>+VLOOKUP($BD216,'Aug-25'!$A:$J,6,0)</f>
        <v>1070</v>
      </c>
      <c r="DC216" s="106">
        <f>+VLOOKUP($BD216,'Sep-25'!$A:$J,6,0)</f>
        <v>925</v>
      </c>
      <c r="DD216" s="106">
        <f>+VLOOKUP($BD216,'Oct-25'!$A:$J,6,0)</f>
        <v>100</v>
      </c>
      <c r="DE216" s="106">
        <f>+VLOOKUP($BD216,'Nov-25'!$A:$J,6,0)</f>
        <v>0</v>
      </c>
      <c r="DF216" s="106">
        <f>+VLOOKUP($BD216,'Dec-25'!$A:$J,6,0)</f>
        <v>0</v>
      </c>
      <c r="DG216" s="106">
        <f t="shared" si="2567"/>
        <v>11720</v>
      </c>
      <c r="DH216" s="118">
        <f t="shared" si="1881"/>
        <v>-0.88888888888888884</v>
      </c>
      <c r="DI216" s="106">
        <f>+_xlfn.XLOOKUP($CT216,Budget!$A:$A,Budget!BQ:BQ)</f>
        <v>900</v>
      </c>
      <c r="DJ216" s="106">
        <f>+_xlfn.XLOOKUP($CT216,Budget!$A:$A,Budget!BR:BR)</f>
        <v>900</v>
      </c>
      <c r="DK216" s="106">
        <f>+_xlfn.XLOOKUP($CT216,Budget!$A:$A,Budget!BS:BS)</f>
        <v>900</v>
      </c>
      <c r="DL216" s="106">
        <f>+_xlfn.XLOOKUP($CT216,Budget!$A:$A,Budget!BT:BT)</f>
        <v>900</v>
      </c>
      <c r="DM216" s="106">
        <f>+_xlfn.XLOOKUP($CT216,Budget!$A:$A,Budget!BU:BU)</f>
        <v>900</v>
      </c>
      <c r="DN216" s="106">
        <f>+_xlfn.XLOOKUP($CT216,Budget!$A:$A,Budget!BV:BV)</f>
        <v>900</v>
      </c>
      <c r="DO216" s="106">
        <f>+_xlfn.XLOOKUP($CT216,Budget!$A:$A,Budget!BW:BW)</f>
        <v>900</v>
      </c>
      <c r="DP216" s="106">
        <f>+_xlfn.XLOOKUP($CT216,Budget!$A:$A,Budget!BX:BX)</f>
        <v>900</v>
      </c>
      <c r="DQ216" s="106">
        <f>+_xlfn.XLOOKUP($CT216,Budget!$A:$A,Budget!BY:BY)</f>
        <v>900</v>
      </c>
      <c r="DR216" s="106">
        <f>+_xlfn.XLOOKUP($CT216,Budget!$A:$A,Budget!BZ:BZ)</f>
        <v>900</v>
      </c>
      <c r="DS216" s="106">
        <f>+_xlfn.XLOOKUP($CT216,Budget!$A:$A,Budget!CA:CA)</f>
        <v>900</v>
      </c>
      <c r="DT216" s="106">
        <f>+_xlfn.XLOOKUP($CT216,Budget!$A:$A,Budget!CB:CB)</f>
        <v>900</v>
      </c>
      <c r="DU216" s="106">
        <f t="shared" si="2568"/>
        <v>10800</v>
      </c>
    </row>
    <row r="217" spans="1:125" ht="14.45" customHeight="1" outlineLevel="1">
      <c r="A217" s="106">
        <f t="shared" si="2524"/>
        <v>0</v>
      </c>
      <c r="B217" s="106">
        <f t="shared" si="2525"/>
        <v>0</v>
      </c>
      <c r="C217" s="106">
        <f t="shared" si="2526"/>
        <v>0</v>
      </c>
      <c r="D217" s="106">
        <f t="shared" si="2527"/>
        <v>0</v>
      </c>
      <c r="E217" s="106">
        <f t="shared" si="2528"/>
        <v>0</v>
      </c>
      <c r="F217" s="106">
        <f t="shared" si="2529"/>
        <v>0</v>
      </c>
      <c r="G217" s="106">
        <f t="shared" si="2530"/>
        <v>0</v>
      </c>
      <c r="H217" s="106">
        <f t="shared" si="2531"/>
        <v>0</v>
      </c>
      <c r="I217" s="106">
        <f t="shared" si="2532"/>
        <v>0</v>
      </c>
      <c r="J217" s="106">
        <f t="shared" si="2533"/>
        <v>0</v>
      </c>
      <c r="K217" s="106">
        <f t="shared" si="2534"/>
        <v>0</v>
      </c>
      <c r="L217" s="106">
        <f t="shared" si="2535"/>
        <v>0</v>
      </c>
      <c r="M217" s="106">
        <f t="shared" si="2536"/>
        <v>0</v>
      </c>
      <c r="N217" s="16"/>
      <c r="O217" s="106">
        <f t="shared" si="2537"/>
        <v>0</v>
      </c>
      <c r="P217" s="106">
        <f t="shared" si="2538"/>
        <v>0</v>
      </c>
      <c r="Q217" s="106">
        <f t="shared" si="2539"/>
        <v>0</v>
      </c>
      <c r="R217" s="106">
        <f t="shared" si="2540"/>
        <v>0</v>
      </c>
      <c r="S217" s="106">
        <f t="shared" si="2541"/>
        <v>0</v>
      </c>
      <c r="T217" s="106">
        <f t="shared" si="2542"/>
        <v>0</v>
      </c>
      <c r="U217" s="106">
        <f t="shared" si="2543"/>
        <v>0</v>
      </c>
      <c r="V217" s="106">
        <f t="shared" si="2544"/>
        <v>0</v>
      </c>
      <c r="W217" s="106">
        <f t="shared" si="2545"/>
        <v>0</v>
      </c>
      <c r="X217" s="106">
        <f t="shared" si="2546"/>
        <v>0</v>
      </c>
      <c r="Y217" s="106">
        <f t="shared" si="2547"/>
        <v>0</v>
      </c>
      <c r="Z217" s="106">
        <f t="shared" si="2548"/>
        <v>0</v>
      </c>
      <c r="AA217" s="106">
        <f t="shared" si="2549"/>
        <v>0</v>
      </c>
      <c r="AB217" s="118">
        <f t="shared" si="1861"/>
        <v>0</v>
      </c>
      <c r="AC217" s="106">
        <f t="shared" si="2550"/>
        <v>0</v>
      </c>
      <c r="AD217" s="106">
        <f t="shared" si="2551"/>
        <v>0</v>
      </c>
      <c r="AE217" s="106">
        <f t="shared" si="2552"/>
        <v>0</v>
      </c>
      <c r="AF217" s="106">
        <f t="shared" si="2553"/>
        <v>0</v>
      </c>
      <c r="AG217" s="106">
        <f t="shared" si="2554"/>
        <v>0</v>
      </c>
      <c r="AH217" s="106">
        <f t="shared" si="2555"/>
        <v>0</v>
      </c>
      <c r="AI217" s="106">
        <f t="shared" si="2556"/>
        <v>0</v>
      </c>
      <c r="AJ217" s="106">
        <f t="shared" si="2557"/>
        <v>0</v>
      </c>
      <c r="AK217" s="106">
        <f t="shared" si="2558"/>
        <v>0</v>
      </c>
      <c r="AL217" s="106">
        <f t="shared" si="2559"/>
        <v>0</v>
      </c>
      <c r="AM217" s="106">
        <f t="shared" si="2560"/>
        <v>0</v>
      </c>
      <c r="AN217" s="106">
        <f t="shared" si="2561"/>
        <v>0</v>
      </c>
      <c r="AO217" s="106">
        <f t="shared" si="2562"/>
        <v>0</v>
      </c>
      <c r="AQ217" s="106">
        <v>0</v>
      </c>
      <c r="AR217" s="106">
        <v>0</v>
      </c>
      <c r="AS217" s="106">
        <v>0</v>
      </c>
      <c r="AT217" s="106">
        <v>0</v>
      </c>
      <c r="AU217" s="106">
        <v>0</v>
      </c>
      <c r="AV217" s="106">
        <v>0</v>
      </c>
      <c r="AW217" s="106">
        <v>0</v>
      </c>
      <c r="AX217" s="106">
        <v>0</v>
      </c>
      <c r="AY217" s="106">
        <v>0</v>
      </c>
      <c r="AZ217" s="106">
        <v>0</v>
      </c>
      <c r="BA217" s="106">
        <v>0</v>
      </c>
      <c r="BB217" s="106">
        <v>0</v>
      </c>
      <c r="BC217" s="106">
        <f t="shared" si="2563"/>
        <v>0</v>
      </c>
      <c r="BD217" s="16">
        <f t="shared" si="2339"/>
        <v>0</v>
      </c>
      <c r="BE217" s="106"/>
      <c r="BF217" s="106"/>
      <c r="BG217" s="106"/>
      <c r="BH217" s="106"/>
      <c r="BI217" s="106"/>
      <c r="BJ217" s="106"/>
      <c r="BK217" s="106"/>
      <c r="BL217" s="106"/>
      <c r="BM217" s="106"/>
      <c r="BN217" s="106"/>
      <c r="BO217" s="106"/>
      <c r="BP217" s="106"/>
      <c r="BQ217" s="106"/>
      <c r="BR217" s="118">
        <f t="shared" si="1877"/>
        <v>0</v>
      </c>
      <c r="BS217" s="106"/>
      <c r="BT217" s="106"/>
      <c r="BU217" s="106"/>
      <c r="BV217" s="106"/>
      <c r="BW217" s="106"/>
      <c r="BX217" s="106"/>
      <c r="BY217" s="106"/>
      <c r="BZ217" s="106"/>
      <c r="CA217" s="106"/>
      <c r="CB217" s="106"/>
      <c r="CC217" s="106"/>
      <c r="CD217" s="106"/>
      <c r="CE217" s="106">
        <f t="shared" si="2565"/>
        <v>0</v>
      </c>
      <c r="CF217" s="22"/>
      <c r="CG217" s="106"/>
      <c r="CH217" s="106"/>
      <c r="CI217" s="106"/>
      <c r="CJ217" s="106"/>
      <c r="CK217" s="106"/>
      <c r="CL217" s="106"/>
      <c r="CM217" s="106"/>
      <c r="CN217" s="106"/>
      <c r="CO217" s="106"/>
      <c r="CP217" s="106"/>
      <c r="CQ217" s="106"/>
      <c r="CR217" s="106"/>
      <c r="CS217" s="106">
        <f t="shared" si="2566"/>
        <v>0</v>
      </c>
      <c r="CT217" s="16">
        <f t="shared" si="2340"/>
        <v>0</v>
      </c>
      <c r="CU217" s="106"/>
      <c r="CV217" s="106"/>
      <c r="CW217" s="106"/>
      <c r="CX217" s="106"/>
      <c r="CY217" s="106"/>
      <c r="CZ217" s="106"/>
      <c r="DA217" s="106"/>
      <c r="DB217" s="106"/>
      <c r="DC217" s="106"/>
      <c r="DD217" s="106"/>
      <c r="DE217" s="106"/>
      <c r="DF217" s="106"/>
      <c r="DG217" s="106">
        <f t="shared" si="2567"/>
        <v>0</v>
      </c>
      <c r="DH217" s="118">
        <f t="shared" si="1881"/>
        <v>0</v>
      </c>
      <c r="DI217" s="106"/>
      <c r="DJ217" s="106"/>
      <c r="DK217" s="106"/>
      <c r="DL217" s="106"/>
      <c r="DM217" s="106"/>
      <c r="DN217" s="106"/>
      <c r="DO217" s="106"/>
      <c r="DP217" s="106"/>
      <c r="DQ217" s="106"/>
      <c r="DR217" s="106"/>
      <c r="DS217" s="106"/>
      <c r="DT217" s="106"/>
      <c r="DU217" s="106">
        <f t="shared" si="2568"/>
        <v>0</v>
      </c>
    </row>
    <row r="218" spans="1:125" ht="14.45" customHeight="1">
      <c r="A218" s="58">
        <f t="shared" ref="A218:L218" si="2569">+A219+A223+A227</f>
        <v>149355.02545890413</v>
      </c>
      <c r="B218" s="58">
        <f t="shared" si="2569"/>
        <v>255158.61174657533</v>
      </c>
      <c r="C218" s="58">
        <f t="shared" si="2569"/>
        <v>523316.20859589044</v>
      </c>
      <c r="D218" s="58">
        <f t="shared" si="2569"/>
        <v>696382.32107534236</v>
      </c>
      <c r="E218" s="58">
        <f t="shared" si="2569"/>
        <v>832221.07768493157</v>
      </c>
      <c r="F218" s="58">
        <f t="shared" si="2569"/>
        <v>1111225.3687602738</v>
      </c>
      <c r="G218" s="58">
        <f t="shared" si="2569"/>
        <v>894768.43813698622</v>
      </c>
      <c r="H218" s="58">
        <f t="shared" si="2569"/>
        <v>802924.57935616432</v>
      </c>
      <c r="I218" s="58">
        <f t="shared" si="2569"/>
        <v>731062.57635616441</v>
      </c>
      <c r="J218" s="58">
        <f t="shared" si="2569"/>
        <v>999148.13930136978</v>
      </c>
      <c r="K218" s="58">
        <f t="shared" si="2569"/>
        <v>1248952.3941712328</v>
      </c>
      <c r="L218" s="58">
        <f t="shared" si="2569"/>
        <v>1161706.687671233</v>
      </c>
      <c r="M218" s="58"/>
      <c r="N218" s="17" t="s">
        <v>183</v>
      </c>
      <c r="O218" s="58">
        <f t="shared" ref="O218" si="2570">+O219+O223+O227</f>
        <v>1162274.1490890412</v>
      </c>
      <c r="P218" s="58">
        <f t="shared" ref="P218" si="2571">+P219+P223+P227</f>
        <v>908924.39866438368</v>
      </c>
      <c r="Q218" s="58">
        <f t="shared" ref="Q218" si="2572">+Q219+Q223+Q227</f>
        <v>853630.73478767124</v>
      </c>
      <c r="R218" s="58">
        <f t="shared" ref="R218" si="2573">+R219+R223+R227</f>
        <v>344181.80608219176</v>
      </c>
      <c r="S218" s="58">
        <f t="shared" ref="S218" si="2574">+S219+S223+S227</f>
        <v>611820.22734931507</v>
      </c>
      <c r="T218" s="58">
        <f t="shared" ref="T218" si="2575">+T219+T223+T227</f>
        <v>817162.37440410955</v>
      </c>
      <c r="U218" s="58">
        <f t="shared" ref="U218" si="2576">+U219+U223+U227</f>
        <v>758413.69652739726</v>
      </c>
      <c r="V218" s="58">
        <f t="shared" ref="V218" si="2577">+V219+V223+V227</f>
        <v>1000005.823267123</v>
      </c>
      <c r="W218" s="58">
        <f t="shared" ref="W218" si="2578">+W219+W223+W227</f>
        <v>1013516.0570410958</v>
      </c>
      <c r="X218" s="58">
        <f t="shared" ref="X218" si="2579">+X219+X223+X227</f>
        <v>1026615.4766575341</v>
      </c>
      <c r="Y218" s="58">
        <f t="shared" ref="Y218" si="2580">+Y219+Y223+Y227</f>
        <v>0</v>
      </c>
      <c r="Z218" s="58">
        <f t="shared" ref="Z218:AA218" si="2581">+Z219+Z223+Z227</f>
        <v>0</v>
      </c>
      <c r="AA218" s="58">
        <f t="shared" si="2581"/>
        <v>8496544.7438698616</v>
      </c>
      <c r="AB218" s="118">
        <f t="shared" si="1861"/>
        <v>0.94158955396223953</v>
      </c>
      <c r="AC218" s="58">
        <f t="shared" ref="AC218" si="2582">+AC219+AC223+AC227</f>
        <v>528750</v>
      </c>
      <c r="AD218" s="58">
        <f t="shared" ref="AD218" si="2583">+AD219+AD223+AD227</f>
        <v>528750</v>
      </c>
      <c r="AE218" s="58">
        <f t="shared" ref="AE218" si="2584">+AE219+AE223+AE227</f>
        <v>528750</v>
      </c>
      <c r="AF218" s="58">
        <f t="shared" ref="AF218" si="2585">+AF219+AF223+AF227</f>
        <v>528750</v>
      </c>
      <c r="AG218" s="58">
        <f t="shared" ref="AG218" si="2586">+AG219+AG223+AG227</f>
        <v>528750</v>
      </c>
      <c r="AH218" s="58">
        <f t="shared" ref="AH218" si="2587">+AH219+AH223+AH227</f>
        <v>528750</v>
      </c>
      <c r="AI218" s="58">
        <f t="shared" ref="AI218" si="2588">+AI219+AI223+AI227</f>
        <v>528750</v>
      </c>
      <c r="AJ218" s="58">
        <f t="shared" ref="AJ218" si="2589">+AJ219+AJ223+AJ227</f>
        <v>528750</v>
      </c>
      <c r="AK218" s="58">
        <f t="shared" ref="AK218" si="2590">+AK219+AK223+AK227</f>
        <v>528750</v>
      </c>
      <c r="AL218" s="58">
        <f t="shared" ref="AL218" si="2591">+AL219+AL223+AL227</f>
        <v>528750</v>
      </c>
      <c r="AM218" s="58">
        <f t="shared" ref="AM218" si="2592">+AM219+AM223+AM227</f>
        <v>528750</v>
      </c>
      <c r="AN218" s="58">
        <f t="shared" ref="AN218" si="2593">+AN219+AN223+AN227</f>
        <v>528750</v>
      </c>
      <c r="AO218" s="58"/>
      <c r="AQ218" s="58">
        <f t="shared" ref="AQ218:BC219" si="2594">+AQ219+AQ223+AQ227</f>
        <v>123920.09095890411</v>
      </c>
      <c r="AR218" s="58">
        <f t="shared" si="2594"/>
        <v>200623.18824657536</v>
      </c>
      <c r="AS218" s="58">
        <f t="shared" si="2594"/>
        <v>386955.31909589045</v>
      </c>
      <c r="AT218" s="58">
        <f t="shared" si="2594"/>
        <v>543956.16257534246</v>
      </c>
      <c r="AU218" s="58">
        <f t="shared" si="2594"/>
        <v>593603.88268493151</v>
      </c>
      <c r="AV218" s="58">
        <f t="shared" si="2594"/>
        <v>780938.09326027392</v>
      </c>
      <c r="AW218" s="58">
        <f t="shared" si="2594"/>
        <v>627520.40213698626</v>
      </c>
      <c r="AX218" s="58">
        <f t="shared" si="2594"/>
        <v>524075.67635616433</v>
      </c>
      <c r="AY218" s="58">
        <f t="shared" si="2594"/>
        <v>498190.31435616437</v>
      </c>
      <c r="AZ218" s="58">
        <f t="shared" si="2594"/>
        <v>664622.62830136984</v>
      </c>
      <c r="BA218" s="58">
        <f t="shared" si="2594"/>
        <v>864202.04767123295</v>
      </c>
      <c r="BB218" s="58">
        <f t="shared" si="2594"/>
        <v>759720.48967123288</v>
      </c>
      <c r="BC218" s="58">
        <f t="shared" si="2594"/>
        <v>3467476.8333150689</v>
      </c>
      <c r="BD218" s="17" t="str">
        <f t="shared" si="2339"/>
        <v>Inventory Cost</v>
      </c>
      <c r="BE218" s="58">
        <f t="shared" ref="BE218:BQ218" si="2595">+BE219+BE223+BE227</f>
        <v>796205.24158904108</v>
      </c>
      <c r="BF218" s="58">
        <f t="shared" si="2595"/>
        <v>603373.16216438368</v>
      </c>
      <c r="BG218" s="58">
        <f t="shared" si="2595"/>
        <v>580701.64528767113</v>
      </c>
      <c r="BH218" s="58">
        <f t="shared" si="2595"/>
        <v>287855.2100821918</v>
      </c>
      <c r="BI218" s="58">
        <f t="shared" si="2595"/>
        <v>430174.25084931508</v>
      </c>
      <c r="BJ218" s="58">
        <f t="shared" si="2595"/>
        <v>533005.2469041096</v>
      </c>
      <c r="BK218" s="58">
        <f t="shared" si="2595"/>
        <v>492824.95402739733</v>
      </c>
      <c r="BL218" s="58">
        <f t="shared" si="2595"/>
        <v>688025.83276712312</v>
      </c>
      <c r="BM218" s="58">
        <f t="shared" si="2595"/>
        <v>661187.41104109597</v>
      </c>
      <c r="BN218" s="58">
        <f t="shared" si="2595"/>
        <v>669900.50265753421</v>
      </c>
      <c r="BO218" s="58">
        <f t="shared" si="2595"/>
        <v>0</v>
      </c>
      <c r="BP218" s="58">
        <f t="shared" si="2595"/>
        <v>0</v>
      </c>
      <c r="BQ218" s="58">
        <f t="shared" si="2595"/>
        <v>5743253.4573698631</v>
      </c>
      <c r="BR218" s="118">
        <f t="shared" si="1877"/>
        <v>1.0549095173543994</v>
      </c>
      <c r="BS218" s="58">
        <f t="shared" ref="BS218:CE218" si="2596">+BS219+BS223+BS227</f>
        <v>326000</v>
      </c>
      <c r="BT218" s="58">
        <f t="shared" si="2596"/>
        <v>326000</v>
      </c>
      <c r="BU218" s="58">
        <f t="shared" si="2596"/>
        <v>326000</v>
      </c>
      <c r="BV218" s="58">
        <f t="shared" si="2596"/>
        <v>326000</v>
      </c>
      <c r="BW218" s="58">
        <f t="shared" si="2596"/>
        <v>326000</v>
      </c>
      <c r="BX218" s="58">
        <f t="shared" si="2596"/>
        <v>326000</v>
      </c>
      <c r="BY218" s="58">
        <f t="shared" si="2596"/>
        <v>326000</v>
      </c>
      <c r="BZ218" s="58">
        <f t="shared" si="2596"/>
        <v>326000</v>
      </c>
      <c r="CA218" s="58">
        <f t="shared" si="2596"/>
        <v>326000</v>
      </c>
      <c r="CB218" s="58">
        <f t="shared" si="2596"/>
        <v>326000</v>
      </c>
      <c r="CC218" s="58">
        <f t="shared" si="2596"/>
        <v>326000</v>
      </c>
      <c r="CD218" s="58">
        <f t="shared" si="2596"/>
        <v>326000</v>
      </c>
      <c r="CE218" s="58">
        <f t="shared" si="2596"/>
        <v>3912000</v>
      </c>
      <c r="CF218" s="22"/>
      <c r="CG218" s="58">
        <f t="shared" ref="CG218:CR218" si="2597">+CG219+CG223+CG227</f>
        <v>25434.934499999999</v>
      </c>
      <c r="CH218" s="58">
        <f t="shared" si="2597"/>
        <v>54535.423500000004</v>
      </c>
      <c r="CI218" s="58">
        <f t="shared" si="2597"/>
        <v>136360.88949999999</v>
      </c>
      <c r="CJ218" s="58">
        <f t="shared" si="2597"/>
        <v>152426.15849999996</v>
      </c>
      <c r="CK218" s="58">
        <f t="shared" si="2597"/>
        <v>238617.19500000001</v>
      </c>
      <c r="CL218" s="58">
        <f t="shared" si="2597"/>
        <v>330287.27549999999</v>
      </c>
      <c r="CM218" s="58">
        <f t="shared" si="2597"/>
        <v>267248.03599999996</v>
      </c>
      <c r="CN218" s="58">
        <f t="shared" si="2597"/>
        <v>278848.90299999999</v>
      </c>
      <c r="CO218" s="58">
        <f t="shared" si="2597"/>
        <v>232872.26200000005</v>
      </c>
      <c r="CP218" s="58">
        <f t="shared" si="2597"/>
        <v>334525.511</v>
      </c>
      <c r="CQ218" s="58">
        <f t="shared" si="2597"/>
        <v>384750.34650000004</v>
      </c>
      <c r="CR218" s="58">
        <f t="shared" si="2597"/>
        <v>401986.19800000009</v>
      </c>
      <c r="CS218" s="58">
        <f t="shared" ref="CS218" si="2598">+CS219+CS223+CS227</f>
        <v>2837893.1330000004</v>
      </c>
      <c r="CT218" s="17" t="str">
        <f t="shared" si="2340"/>
        <v>Inventory Cost</v>
      </c>
      <c r="CU218" s="58">
        <f t="shared" ref="CU218:DG218" si="2599">+CU219+CU223+CU227</f>
        <v>366068.90750000003</v>
      </c>
      <c r="CV218" s="58">
        <f t="shared" si="2599"/>
        <v>305551.23650000006</v>
      </c>
      <c r="CW218" s="58">
        <f t="shared" si="2599"/>
        <v>272929.08950000006</v>
      </c>
      <c r="CX218" s="58">
        <f t="shared" si="2599"/>
        <v>56326.596000000005</v>
      </c>
      <c r="CY218" s="58">
        <f t="shared" si="2599"/>
        <v>181645.97649999999</v>
      </c>
      <c r="CZ218" s="58">
        <f t="shared" si="2599"/>
        <v>284157.12749999994</v>
      </c>
      <c r="DA218" s="58">
        <f t="shared" si="2599"/>
        <v>265588.74249999999</v>
      </c>
      <c r="DB218" s="58">
        <f t="shared" si="2599"/>
        <v>311979.99050000001</v>
      </c>
      <c r="DC218" s="58">
        <f t="shared" si="2599"/>
        <v>352328.64600000001</v>
      </c>
      <c r="DD218" s="58">
        <f t="shared" si="2599"/>
        <v>356714.97399999999</v>
      </c>
      <c r="DE218" s="58">
        <f t="shared" si="2599"/>
        <v>0</v>
      </c>
      <c r="DF218" s="58">
        <f t="shared" si="2599"/>
        <v>0</v>
      </c>
      <c r="DG218" s="58">
        <f t="shared" si="2599"/>
        <v>2753291.2864999999</v>
      </c>
      <c r="DH218" s="118">
        <f t="shared" si="1881"/>
        <v>0.75938334895191117</v>
      </c>
      <c r="DI218" s="58">
        <f t="shared" ref="DI218:DU218" si="2600">+DI219+DI223+DI227</f>
        <v>202750</v>
      </c>
      <c r="DJ218" s="58">
        <f t="shared" si="2600"/>
        <v>202750</v>
      </c>
      <c r="DK218" s="58">
        <f t="shared" si="2600"/>
        <v>202750</v>
      </c>
      <c r="DL218" s="58">
        <f t="shared" si="2600"/>
        <v>202750</v>
      </c>
      <c r="DM218" s="58">
        <f t="shared" si="2600"/>
        <v>202750</v>
      </c>
      <c r="DN218" s="58">
        <f t="shared" si="2600"/>
        <v>202750</v>
      </c>
      <c r="DO218" s="58">
        <f t="shared" si="2600"/>
        <v>202750</v>
      </c>
      <c r="DP218" s="58">
        <f t="shared" si="2600"/>
        <v>202750</v>
      </c>
      <c r="DQ218" s="58">
        <f t="shared" si="2600"/>
        <v>202750</v>
      </c>
      <c r="DR218" s="58">
        <f t="shared" si="2600"/>
        <v>202750</v>
      </c>
      <c r="DS218" s="58">
        <f t="shared" si="2600"/>
        <v>202750</v>
      </c>
      <c r="DT218" s="58">
        <f t="shared" si="2600"/>
        <v>202750</v>
      </c>
      <c r="DU218" s="58">
        <f t="shared" si="2600"/>
        <v>2433000</v>
      </c>
    </row>
    <row r="219" spans="1:125" ht="14.45" hidden="1" customHeight="1" outlineLevel="1">
      <c r="A219" s="58">
        <f t="shared" ref="A219:L219" si="2601">+SUM(A220:A222)</f>
        <v>94112.150958904123</v>
      </c>
      <c r="B219" s="58">
        <f t="shared" si="2601"/>
        <v>133947.16424657535</v>
      </c>
      <c r="C219" s="58">
        <f t="shared" si="2601"/>
        <v>354780.67109589046</v>
      </c>
      <c r="D219" s="58">
        <f t="shared" si="2601"/>
        <v>637351.04657534242</v>
      </c>
      <c r="E219" s="58">
        <f t="shared" si="2601"/>
        <v>788998.81068493158</v>
      </c>
      <c r="F219" s="58">
        <f t="shared" si="2601"/>
        <v>1042460.337260274</v>
      </c>
      <c r="G219" s="58">
        <f t="shared" si="2601"/>
        <v>786183.61013698624</v>
      </c>
      <c r="H219" s="58">
        <f t="shared" si="2601"/>
        <v>738226.0883561644</v>
      </c>
      <c r="I219" s="58">
        <f t="shared" si="2601"/>
        <v>648612.09835616441</v>
      </c>
      <c r="J219" s="58">
        <f t="shared" si="2601"/>
        <v>910527.81630136981</v>
      </c>
      <c r="K219" s="58">
        <f t="shared" si="2601"/>
        <v>903385.06767123286</v>
      </c>
      <c r="L219" s="58">
        <f t="shared" si="2601"/>
        <v>1063907.5576712331</v>
      </c>
      <c r="M219" s="58"/>
      <c r="N219" s="20" t="s">
        <v>184</v>
      </c>
      <c r="O219" s="58">
        <f t="shared" ref="O219" si="2602">+SUM(O220:O222)</f>
        <v>1039206.8695890411</v>
      </c>
      <c r="P219" s="58">
        <f t="shared" ref="P219" si="2603">+SUM(P220:P222)</f>
        <v>832842.26616438362</v>
      </c>
      <c r="Q219" s="58">
        <f t="shared" ref="Q219" si="2604">+SUM(Q220:Q222)</f>
        <v>729359.37328767125</v>
      </c>
      <c r="R219" s="58">
        <f t="shared" ref="R219" si="2605">+SUM(R220:R222)</f>
        <v>277925.41808219178</v>
      </c>
      <c r="S219" s="58">
        <f t="shared" ref="S219" si="2606">+SUM(S220:S222)</f>
        <v>480531.20684931509</v>
      </c>
      <c r="T219" s="58">
        <f t="shared" ref="T219" si="2607">+SUM(T220:T222)</f>
        <v>733092.49890410958</v>
      </c>
      <c r="U219" s="58">
        <f t="shared" ref="U219" si="2608">+SUM(U220:U222)</f>
        <v>687491.68602739729</v>
      </c>
      <c r="V219" s="58">
        <f t="shared" ref="V219" si="2609">+SUM(V220:V222)</f>
        <v>915451.90876712301</v>
      </c>
      <c r="W219" s="58">
        <f t="shared" ref="W219" si="2610">+SUM(W220:W222)</f>
        <v>955106.51904109586</v>
      </c>
      <c r="X219" s="58">
        <f t="shared" ref="X219" si="2611">+SUM(X220:X222)</f>
        <v>960167.77465753409</v>
      </c>
      <c r="Y219" s="58">
        <f t="shared" ref="Y219" si="2612">+SUM(Y220:Y222)</f>
        <v>0</v>
      </c>
      <c r="Z219" s="58">
        <f t="shared" ref="Z219:AA219" si="2613">+SUM(Z220:Z222)</f>
        <v>0</v>
      </c>
      <c r="AA219" s="58">
        <f t="shared" si="2613"/>
        <v>7611175.5213698624</v>
      </c>
      <c r="AB219" s="118">
        <f t="shared" si="1861"/>
        <v>1.0873212492555089</v>
      </c>
      <c r="AC219" s="58">
        <f t="shared" ref="AC219" si="2614">+SUM(AC220:AC222)</f>
        <v>460000</v>
      </c>
      <c r="AD219" s="58">
        <f t="shared" ref="AD219" si="2615">+SUM(AD220:AD222)</f>
        <v>460000</v>
      </c>
      <c r="AE219" s="58">
        <f t="shared" ref="AE219" si="2616">+SUM(AE220:AE222)</f>
        <v>460000</v>
      </c>
      <c r="AF219" s="58">
        <f t="shared" ref="AF219" si="2617">+SUM(AF220:AF222)</f>
        <v>460000</v>
      </c>
      <c r="AG219" s="58">
        <f t="shared" ref="AG219" si="2618">+SUM(AG220:AG222)</f>
        <v>460000</v>
      </c>
      <c r="AH219" s="58">
        <f t="shared" ref="AH219" si="2619">+SUM(AH220:AH222)</f>
        <v>460000</v>
      </c>
      <c r="AI219" s="58">
        <f t="shared" ref="AI219" si="2620">+SUM(AI220:AI222)</f>
        <v>460000</v>
      </c>
      <c r="AJ219" s="58">
        <f t="shared" ref="AJ219" si="2621">+SUM(AJ220:AJ222)</f>
        <v>460000</v>
      </c>
      <c r="AK219" s="58">
        <f t="shared" ref="AK219" si="2622">+SUM(AK220:AK222)</f>
        <v>460000</v>
      </c>
      <c r="AL219" s="58">
        <f t="shared" ref="AL219" si="2623">+SUM(AL220:AL222)</f>
        <v>460000</v>
      </c>
      <c r="AM219" s="58">
        <f t="shared" ref="AM219" si="2624">+SUM(AM220:AM222)</f>
        <v>460000</v>
      </c>
      <c r="AN219" s="58">
        <f t="shared" ref="AN219" si="2625">+SUM(AN220:AN222)</f>
        <v>460000</v>
      </c>
      <c r="AO219" s="58"/>
      <c r="AQ219" s="58">
        <f t="shared" ref="AQ219:BB219" si="2626">+SUM(AQ220:AQ222)</f>
        <v>83743.454958904113</v>
      </c>
      <c r="AR219" s="58">
        <f t="shared" si="2626"/>
        <v>112469.40824657536</v>
      </c>
      <c r="AS219" s="58">
        <f t="shared" si="2626"/>
        <v>264384.01909589046</v>
      </c>
      <c r="AT219" s="58">
        <f t="shared" si="2626"/>
        <v>501024.32657534245</v>
      </c>
      <c r="AU219" s="58">
        <f t="shared" si="2626"/>
        <v>562169.50668493158</v>
      </c>
      <c r="AV219" s="58">
        <f t="shared" si="2626"/>
        <v>730927.16126027401</v>
      </c>
      <c r="AW219" s="58">
        <f t="shared" si="2626"/>
        <v>548549.61813698628</v>
      </c>
      <c r="AX219" s="58">
        <f t="shared" si="2626"/>
        <v>477022.22835616436</v>
      </c>
      <c r="AY219" s="58">
        <f t="shared" si="2626"/>
        <v>438226.33035616437</v>
      </c>
      <c r="AZ219" s="58">
        <f t="shared" si="2626"/>
        <v>600171.48430136987</v>
      </c>
      <c r="BA219" s="58">
        <f t="shared" si="2626"/>
        <v>612880.35567123292</v>
      </c>
      <c r="BB219" s="58">
        <f t="shared" si="2626"/>
        <v>688593.84967123298</v>
      </c>
      <c r="BC219" s="58">
        <f t="shared" si="2594"/>
        <v>2519310.2813150687</v>
      </c>
      <c r="BD219" s="20" t="str">
        <f t="shared" si="2339"/>
        <v>Finance Charge - Floor Funding</v>
      </c>
      <c r="BE219" s="58">
        <f t="shared" ref="BE219:BQ219" si="2627">+SUM(BE220:BE222)</f>
        <v>706701.76558904105</v>
      </c>
      <c r="BF219" s="58">
        <f t="shared" si="2627"/>
        <v>548040.70216438361</v>
      </c>
      <c r="BG219" s="58">
        <f t="shared" si="2627"/>
        <v>490322.47328767122</v>
      </c>
      <c r="BH219" s="58">
        <f t="shared" si="2627"/>
        <v>239668.74608219179</v>
      </c>
      <c r="BI219" s="58">
        <f t="shared" si="2627"/>
        <v>334691.32684931508</v>
      </c>
      <c r="BJ219" s="58">
        <f t="shared" si="2627"/>
        <v>471219.88290410955</v>
      </c>
      <c r="BK219" s="58">
        <f t="shared" si="2627"/>
        <v>441245.3100273973</v>
      </c>
      <c r="BL219" s="58">
        <f t="shared" si="2627"/>
        <v>626532.07676712307</v>
      </c>
      <c r="BM219" s="58">
        <f t="shared" si="2627"/>
        <v>618707.74704109598</v>
      </c>
      <c r="BN219" s="58">
        <f t="shared" si="2627"/>
        <v>625602.03465753421</v>
      </c>
      <c r="BO219" s="58">
        <f t="shared" si="2627"/>
        <v>0</v>
      </c>
      <c r="BP219" s="58">
        <f t="shared" si="2627"/>
        <v>0</v>
      </c>
      <c r="BQ219" s="58">
        <f t="shared" si="2627"/>
        <v>5102732.0653698631</v>
      </c>
      <c r="BR219" s="118">
        <f t="shared" si="1877"/>
        <v>1.2666740386142543</v>
      </c>
      <c r="BS219" s="58">
        <f t="shared" ref="BS219:CE219" si="2628">+SUM(BS220:BS222)</f>
        <v>276000</v>
      </c>
      <c r="BT219" s="58">
        <f t="shared" si="2628"/>
        <v>276000</v>
      </c>
      <c r="BU219" s="58">
        <f t="shared" si="2628"/>
        <v>276000</v>
      </c>
      <c r="BV219" s="58">
        <f t="shared" si="2628"/>
        <v>276000</v>
      </c>
      <c r="BW219" s="58">
        <f t="shared" si="2628"/>
        <v>276000</v>
      </c>
      <c r="BX219" s="58">
        <f t="shared" si="2628"/>
        <v>276000</v>
      </c>
      <c r="BY219" s="58">
        <f t="shared" si="2628"/>
        <v>276000</v>
      </c>
      <c r="BZ219" s="58">
        <f t="shared" si="2628"/>
        <v>276000</v>
      </c>
      <c r="CA219" s="58">
        <f t="shared" si="2628"/>
        <v>276000</v>
      </c>
      <c r="CB219" s="58">
        <f t="shared" si="2628"/>
        <v>276000</v>
      </c>
      <c r="CC219" s="58">
        <f t="shared" si="2628"/>
        <v>276000</v>
      </c>
      <c r="CD219" s="58">
        <f t="shared" si="2628"/>
        <v>276000</v>
      </c>
      <c r="CE219" s="58">
        <f t="shared" si="2628"/>
        <v>3312000</v>
      </c>
      <c r="CF219" s="22"/>
      <c r="CG219" s="58">
        <f t="shared" ref="CG219:CR219" si="2629">+SUM(CG220:CG222)</f>
        <v>10368.696</v>
      </c>
      <c r="CH219" s="58">
        <f t="shared" si="2629"/>
        <v>21477.756000000001</v>
      </c>
      <c r="CI219" s="58">
        <f t="shared" si="2629"/>
        <v>90396.652000000002</v>
      </c>
      <c r="CJ219" s="58">
        <f t="shared" si="2629"/>
        <v>136326.71999999997</v>
      </c>
      <c r="CK219" s="58">
        <f t="shared" si="2629"/>
        <v>226829.304</v>
      </c>
      <c r="CL219" s="58">
        <f t="shared" si="2629"/>
        <v>311533.17599999998</v>
      </c>
      <c r="CM219" s="58">
        <f t="shared" si="2629"/>
        <v>237633.992</v>
      </c>
      <c r="CN219" s="58">
        <f t="shared" si="2629"/>
        <v>261203.86000000002</v>
      </c>
      <c r="CO219" s="58">
        <f t="shared" si="2629"/>
        <v>210385.76800000004</v>
      </c>
      <c r="CP219" s="58">
        <f t="shared" si="2629"/>
        <v>310356.33199999999</v>
      </c>
      <c r="CQ219" s="58">
        <f t="shared" si="2629"/>
        <v>290504.71200000006</v>
      </c>
      <c r="CR219" s="58">
        <f t="shared" si="2629"/>
        <v>375313.7080000001</v>
      </c>
      <c r="CS219" s="58">
        <f t="shared" ref="CS219" si="2630">+SUM(CS220:CS222)</f>
        <v>2482330.6760000004</v>
      </c>
      <c r="CT219" s="20" t="str">
        <f t="shared" si="2340"/>
        <v>Finance Charge - Floor Funding</v>
      </c>
      <c r="CU219" s="58">
        <f t="shared" ref="CU219:DG219" si="2631">+SUM(CU220:CU222)</f>
        <v>332505.10400000005</v>
      </c>
      <c r="CV219" s="58">
        <f t="shared" si="2631"/>
        <v>284801.56400000001</v>
      </c>
      <c r="CW219" s="58">
        <f t="shared" si="2631"/>
        <v>239036.90000000002</v>
      </c>
      <c r="CX219" s="58">
        <f t="shared" si="2631"/>
        <v>38256.672000000006</v>
      </c>
      <c r="CY219" s="58">
        <f t="shared" si="2631"/>
        <v>145839.88</v>
      </c>
      <c r="CZ219" s="58">
        <f t="shared" si="2631"/>
        <v>261872.61599999998</v>
      </c>
      <c r="DA219" s="58">
        <f t="shared" si="2631"/>
        <v>246246.37600000002</v>
      </c>
      <c r="DB219" s="58">
        <f t="shared" si="2631"/>
        <v>288919.83200000005</v>
      </c>
      <c r="DC219" s="58">
        <f t="shared" si="2631"/>
        <v>336398.77200000006</v>
      </c>
      <c r="DD219" s="58">
        <f t="shared" si="2631"/>
        <v>334565.74</v>
      </c>
      <c r="DE219" s="58">
        <f t="shared" si="2631"/>
        <v>0</v>
      </c>
      <c r="DF219" s="58">
        <f t="shared" si="2631"/>
        <v>0</v>
      </c>
      <c r="DG219" s="58">
        <f t="shared" si="2631"/>
        <v>2508443.4560000002</v>
      </c>
      <c r="DH219" s="118">
        <f t="shared" si="1881"/>
        <v>0.81829206521739128</v>
      </c>
      <c r="DI219" s="58">
        <f t="shared" ref="DI219:DU219" si="2632">+SUM(DI220:DI222)</f>
        <v>184000</v>
      </c>
      <c r="DJ219" s="58">
        <f t="shared" si="2632"/>
        <v>184000</v>
      </c>
      <c r="DK219" s="58">
        <f t="shared" si="2632"/>
        <v>184000</v>
      </c>
      <c r="DL219" s="58">
        <f t="shared" si="2632"/>
        <v>184000</v>
      </c>
      <c r="DM219" s="58">
        <f t="shared" si="2632"/>
        <v>184000</v>
      </c>
      <c r="DN219" s="58">
        <f t="shared" si="2632"/>
        <v>184000</v>
      </c>
      <c r="DO219" s="58">
        <f t="shared" si="2632"/>
        <v>184000</v>
      </c>
      <c r="DP219" s="58">
        <f t="shared" si="2632"/>
        <v>184000</v>
      </c>
      <c r="DQ219" s="58">
        <f t="shared" si="2632"/>
        <v>184000</v>
      </c>
      <c r="DR219" s="58">
        <f t="shared" si="2632"/>
        <v>184000</v>
      </c>
      <c r="DS219" s="58">
        <f t="shared" si="2632"/>
        <v>184000</v>
      </c>
      <c r="DT219" s="58">
        <f t="shared" si="2632"/>
        <v>184000</v>
      </c>
      <c r="DU219" s="58">
        <f t="shared" si="2632"/>
        <v>2208000</v>
      </c>
    </row>
    <row r="220" spans="1:125" ht="14.45" hidden="1" customHeight="1" outlineLevel="2">
      <c r="A220" s="106">
        <f t="shared" ref="A220:A222" si="2633">+AQ220+CG220</f>
        <v>68190.410958904118</v>
      </c>
      <c r="B220" s="106">
        <f t="shared" ref="B220:B222" si="2634">+AR220+CH220</f>
        <v>80252.774246575354</v>
      </c>
      <c r="C220" s="106">
        <f t="shared" ref="C220:C222" si="2635">+AS220+CI220</f>
        <v>128789.04109589042</v>
      </c>
      <c r="D220" s="106">
        <f t="shared" ref="D220:D222" si="2636">+AT220+CJ220</f>
        <v>296534.24657534249</v>
      </c>
      <c r="E220" s="106">
        <f t="shared" ref="E220:E222" si="2637">+AU220+CK220</f>
        <v>221925.55068493154</v>
      </c>
      <c r="F220" s="106">
        <f t="shared" ref="F220:F222" si="2638">+AV220+CL220</f>
        <v>263627.39726027398</v>
      </c>
      <c r="G220" s="106">
        <f t="shared" ref="G220:G222" si="2639">+AW220+CM220</f>
        <v>192098.63013698632</v>
      </c>
      <c r="H220" s="106">
        <f t="shared" ref="H220:H222" si="2640">+AX220+CN220</f>
        <v>85216.438356164377</v>
      </c>
      <c r="I220" s="106">
        <f t="shared" ref="I220:I222" si="2641">+AY220+CO220</f>
        <v>122647.67835616437</v>
      </c>
      <c r="J220" s="106">
        <f t="shared" ref="J220:J222" si="2642">+AZ220+CP220</f>
        <v>134636.98630136988</v>
      </c>
      <c r="K220" s="106">
        <f t="shared" ref="K220:K222" si="2643">+BA220+CQ220</f>
        <v>177123.28767123289</v>
      </c>
      <c r="L220" s="106">
        <f t="shared" ref="L220:L222" si="2644">+BB220+CR220</f>
        <v>125623.287671233</v>
      </c>
      <c r="M220" s="106">
        <f t="shared" ref="M220:M222" si="2645">+SUM(A220:L220)</f>
        <v>1896665.7293150688</v>
      </c>
      <c r="N220" s="16" t="s">
        <v>185</v>
      </c>
      <c r="O220" s="106">
        <f t="shared" ref="O220:O222" si="2646">+BE220+CU220</f>
        <v>207944.10958904109</v>
      </c>
      <c r="P220" s="106">
        <f t="shared" ref="P220:P222" si="2647">+BF220+CV220</f>
        <v>120838.35616438357</v>
      </c>
      <c r="Q220" s="106">
        <f t="shared" ref="Q220:Q222" si="2648">+BG220+CW220</f>
        <v>131767.12328767125</v>
      </c>
      <c r="R220" s="106">
        <f t="shared" ref="R220:R222" si="2649">+BH220+CX220</f>
        <v>182283.73808219179</v>
      </c>
      <c r="S220" s="106">
        <f t="shared" ref="S220:S222" si="2650">+BI220+CY220</f>
        <v>115931.50684931508</v>
      </c>
      <c r="T220" s="106">
        <f t="shared" ref="T220:T222" si="2651">+BJ220+CZ220</f>
        <v>78410.95890410959</v>
      </c>
      <c r="U220" s="106">
        <f t="shared" ref="U220:U222" si="2652">+BK220+DA220</f>
        <v>71875.746027397268</v>
      </c>
      <c r="V220" s="106">
        <f t="shared" ref="V220:V222" si="2653">+BL220+DB220</f>
        <v>193152.32876712299</v>
      </c>
      <c r="W220" s="106">
        <f t="shared" ref="W220:W222" si="2654">+BM220+DC220</f>
        <v>114109.58904109587</v>
      </c>
      <c r="X220" s="106">
        <f t="shared" ref="X220:X222" si="2655">+BN220+DD220</f>
        <v>123753.42465753425</v>
      </c>
      <c r="Y220" s="106">
        <f t="shared" ref="Y220:Y222" si="2656">+BO220+DE220</f>
        <v>0</v>
      </c>
      <c r="Z220" s="106">
        <f t="shared" ref="Z220:Z222" si="2657">+BP220+DF220</f>
        <v>0</v>
      </c>
      <c r="AA220" s="106">
        <f t="shared" ref="AA220:AA222" si="2658">+SUM(O220:Z220)</f>
        <v>1340066.8813698629</v>
      </c>
      <c r="AB220" s="118">
        <f t="shared" si="1861"/>
        <v>0</v>
      </c>
      <c r="AC220" s="106">
        <f t="shared" ref="AC220:AC222" si="2659">+BS220+DI220</f>
        <v>0</v>
      </c>
      <c r="AD220" s="106">
        <f t="shared" ref="AD220:AD222" si="2660">+BT220+DJ220</f>
        <v>0</v>
      </c>
      <c r="AE220" s="106">
        <f t="shared" ref="AE220:AE222" si="2661">+BU220+DK220</f>
        <v>0</v>
      </c>
      <c r="AF220" s="106">
        <f t="shared" ref="AF220:AF222" si="2662">+BV220+DL220</f>
        <v>0</v>
      </c>
      <c r="AG220" s="106">
        <f t="shared" ref="AG220:AG222" si="2663">+BW220+DM220</f>
        <v>0</v>
      </c>
      <c r="AH220" s="106">
        <f t="shared" ref="AH220:AH222" si="2664">+BX220+DN220</f>
        <v>0</v>
      </c>
      <c r="AI220" s="106">
        <f t="shared" ref="AI220:AI222" si="2665">+BY220+DO220</f>
        <v>0</v>
      </c>
      <c r="AJ220" s="106">
        <f t="shared" ref="AJ220:AJ222" si="2666">+BZ220+DP220</f>
        <v>0</v>
      </c>
      <c r="AK220" s="106">
        <f t="shared" ref="AK220:AK222" si="2667">+CA220+DQ220</f>
        <v>0</v>
      </c>
      <c r="AL220" s="106">
        <f t="shared" ref="AL220:AL222" si="2668">+CB220+DR220</f>
        <v>0</v>
      </c>
      <c r="AM220" s="106">
        <f t="shared" ref="AM220:AM222" si="2669">+CC220+DS220</f>
        <v>0</v>
      </c>
      <c r="AN220" s="106">
        <f t="shared" ref="AN220:AN222" si="2670">+CD220+DT220</f>
        <v>0</v>
      </c>
      <c r="AO220" s="106">
        <f t="shared" ref="AO220:AO222" si="2671">+SUM(AC220:AN220)</f>
        <v>0</v>
      </c>
      <c r="AQ220" s="106">
        <v>68190.410958904118</v>
      </c>
      <c r="AR220" s="106">
        <v>80252.774246575354</v>
      </c>
      <c r="AS220" s="106">
        <v>128789.04109589042</v>
      </c>
      <c r="AT220" s="106">
        <v>296534.24657534249</v>
      </c>
      <c r="AU220" s="106">
        <v>221925.55068493154</v>
      </c>
      <c r="AV220" s="106">
        <v>263627.39726027398</v>
      </c>
      <c r="AW220" s="106">
        <v>192098.63013698632</v>
      </c>
      <c r="AX220" s="106">
        <v>85216.438356164377</v>
      </c>
      <c r="AY220" s="106">
        <v>122647.67835616437</v>
      </c>
      <c r="AZ220" s="106">
        <v>134636.98630136988</v>
      </c>
      <c r="BA220" s="106">
        <v>177123.28767123289</v>
      </c>
      <c r="BB220" s="106">
        <v>125623.287671233</v>
      </c>
      <c r="BC220" s="106">
        <f t="shared" ref="BC220:BC222" si="2672">+SUM(AQ220:BB220)</f>
        <v>1896665.7293150688</v>
      </c>
      <c r="BD220" s="16" t="str">
        <f t="shared" si="2339"/>
        <v>Interest - Floor Fund - POC</v>
      </c>
      <c r="BE220" s="106">
        <f>+VLOOKUP($BD220,'Jan-25'!$A:$J,2,0)</f>
        <v>207944.10958904109</v>
      </c>
      <c r="BF220" s="106">
        <f>+VLOOKUP($BD220,'Feb-25'!$A:$J,2,0)</f>
        <v>120838.35616438357</v>
      </c>
      <c r="BG220" s="106">
        <f>+VLOOKUP($BD220,'Mar-25'!$A:$J,2,0)</f>
        <v>131767.12328767125</v>
      </c>
      <c r="BH220" s="106">
        <f>+VLOOKUP($BD220,'Apr-25'!$A:$J,2,0)</f>
        <v>182283.73808219179</v>
      </c>
      <c r="BI220" s="106">
        <f>+VLOOKUP($BD220,'May-25'!$A:$J,2,0)</f>
        <v>115931.50684931508</v>
      </c>
      <c r="BJ220" s="106">
        <f>+VLOOKUP($BD220,'June-25'!$A:$J,2,0)</f>
        <v>78410.95890410959</v>
      </c>
      <c r="BK220" s="106">
        <f>+VLOOKUP($BD220,'July-25'!$A:$J,2,0)</f>
        <v>71875.746027397268</v>
      </c>
      <c r="BL220" s="106">
        <f>+VLOOKUP($BD220,'Aug-25'!$A:$J,2,0)</f>
        <v>193152.32876712299</v>
      </c>
      <c r="BM220" s="106">
        <f>+VLOOKUP($BD220,'Sep-25'!$A:$J,2,0)</f>
        <v>114109.58904109587</v>
      </c>
      <c r="BN220" s="106">
        <f>+VLOOKUP($BD220,'Oct-25'!$A:$J,2,0)</f>
        <v>123753.42465753425</v>
      </c>
      <c r="BO220" s="106">
        <f>+VLOOKUP($BD220,'Nov-25'!$A:$J,2,0)</f>
        <v>0</v>
      </c>
      <c r="BP220" s="106">
        <f>+VLOOKUP($BD220,'Dec-25'!$A:$J,2,0)</f>
        <v>0</v>
      </c>
      <c r="BQ220" s="106">
        <f t="shared" ref="BQ220:BQ222" si="2673">+SUM(BE220:BP220)</f>
        <v>1340066.8813698629</v>
      </c>
      <c r="BR220" s="118">
        <f t="shared" si="1877"/>
        <v>0</v>
      </c>
      <c r="BS220" s="106" cm="1">
        <f t="array" ref="BS220:CD220">+_xlfn.XLOOKUP(BD220,Budget!A:A,Budget!Q:AB)</f>
        <v>0</v>
      </c>
      <c r="BT220" s="106">
        <v>0</v>
      </c>
      <c r="BU220" s="106">
        <v>0</v>
      </c>
      <c r="BV220" s="106">
        <v>0</v>
      </c>
      <c r="BW220" s="106">
        <v>0</v>
      </c>
      <c r="BX220" s="106">
        <v>0</v>
      </c>
      <c r="BY220" s="106">
        <v>0</v>
      </c>
      <c r="BZ220" s="106">
        <v>0</v>
      </c>
      <c r="CA220" s="106">
        <v>0</v>
      </c>
      <c r="CB220" s="106">
        <v>0</v>
      </c>
      <c r="CC220" s="106">
        <v>0</v>
      </c>
      <c r="CD220" s="106">
        <v>0</v>
      </c>
      <c r="CE220" s="106">
        <f t="shared" ref="CE220:CE222" si="2674">+SUM(BS220:CD220)</f>
        <v>0</v>
      </c>
      <c r="CF220" s="22"/>
      <c r="CG220" s="106">
        <v>0</v>
      </c>
      <c r="CH220" s="106">
        <v>0</v>
      </c>
      <c r="CI220" s="106">
        <v>0</v>
      </c>
      <c r="CJ220" s="106">
        <v>0</v>
      </c>
      <c r="CK220" s="106">
        <v>0</v>
      </c>
      <c r="CL220" s="106">
        <v>0</v>
      </c>
      <c r="CM220" s="106">
        <v>0</v>
      </c>
      <c r="CN220" s="106">
        <v>0</v>
      </c>
      <c r="CO220" s="106">
        <v>0</v>
      </c>
      <c r="CP220" s="106">
        <v>0</v>
      </c>
      <c r="CQ220" s="106">
        <v>0</v>
      </c>
      <c r="CR220" s="106">
        <v>0</v>
      </c>
      <c r="CS220" s="106">
        <f t="shared" ref="CS220:CS222" si="2675">+SUM(CG220:CR220)</f>
        <v>0</v>
      </c>
      <c r="CT220" s="16" t="str">
        <f t="shared" si="2340"/>
        <v>Interest - Floor Fund - POC</v>
      </c>
      <c r="CU220" s="106">
        <f>+VLOOKUP($BD220,'Jan-25'!$A:$J,6,0)</f>
        <v>0</v>
      </c>
      <c r="CV220" s="106">
        <f>+VLOOKUP($BD220,'Feb-25'!$A:$J,6,0)</f>
        <v>0</v>
      </c>
      <c r="CW220" s="106">
        <f>+VLOOKUP($BD220,'Mar-25'!$A:$J,6,0)</f>
        <v>0</v>
      </c>
      <c r="CX220" s="106">
        <f>+VLOOKUP($BD220,'Apr-25'!$A:$J,6,0)</f>
        <v>0</v>
      </c>
      <c r="CY220" s="106">
        <f>+VLOOKUP($BD220,'May-25'!$A:$J,6,0)</f>
        <v>0</v>
      </c>
      <c r="CZ220" s="106">
        <f>+VLOOKUP($BD220,'June-25'!$A:$J,6,0)</f>
        <v>0</v>
      </c>
      <c r="DA220" s="106">
        <f>+VLOOKUP($BD220,'July-25'!$A:$J,6,0)</f>
        <v>0</v>
      </c>
      <c r="DB220" s="106">
        <f>+VLOOKUP($BD220,'Aug-25'!$A:$J,6,0)</f>
        <v>0</v>
      </c>
      <c r="DC220" s="106">
        <f>+VLOOKUP($BD220,'Sep-25'!$A:$J,6,0)</f>
        <v>0</v>
      </c>
      <c r="DD220" s="106">
        <f>+VLOOKUP($BD220,'Oct-25'!$A:$J,6,0)</f>
        <v>0</v>
      </c>
      <c r="DE220" s="106">
        <f>+VLOOKUP($BD220,'Nov-25'!$A:$J,6,0)</f>
        <v>0</v>
      </c>
      <c r="DF220" s="106">
        <f>+VLOOKUP($BD220,'Dec-25'!$A:$J,6,0)</f>
        <v>0</v>
      </c>
      <c r="DG220" s="106">
        <f t="shared" ref="DG220:DG222" si="2676">+SUM(CU220:DF220)</f>
        <v>0</v>
      </c>
      <c r="DH220" s="118">
        <f t="shared" si="1881"/>
        <v>0</v>
      </c>
      <c r="DI220" s="106"/>
      <c r="DJ220" s="106"/>
      <c r="DK220" s="106"/>
      <c r="DL220" s="106"/>
      <c r="DM220" s="106"/>
      <c r="DN220" s="106"/>
      <c r="DO220" s="106"/>
      <c r="DP220" s="106"/>
      <c r="DQ220" s="106"/>
      <c r="DR220" s="106"/>
      <c r="DS220" s="106"/>
      <c r="DT220" s="106"/>
      <c r="DU220" s="106">
        <f t="shared" ref="DU220:DU222" si="2677">+SUM(DI220:DT220)</f>
        <v>0</v>
      </c>
    </row>
    <row r="221" spans="1:125" ht="14.45" hidden="1" customHeight="1" outlineLevel="2">
      <c r="A221" s="106">
        <f t="shared" si="2633"/>
        <v>0</v>
      </c>
      <c r="B221" s="106">
        <f t="shared" si="2634"/>
        <v>0</v>
      </c>
      <c r="C221" s="106">
        <f t="shared" si="2635"/>
        <v>0</v>
      </c>
      <c r="D221" s="106">
        <f t="shared" si="2636"/>
        <v>0</v>
      </c>
      <c r="E221" s="106">
        <f t="shared" si="2637"/>
        <v>0</v>
      </c>
      <c r="F221" s="106">
        <f t="shared" si="2638"/>
        <v>0</v>
      </c>
      <c r="G221" s="106">
        <f t="shared" si="2639"/>
        <v>0</v>
      </c>
      <c r="H221" s="106">
        <f t="shared" si="2640"/>
        <v>0</v>
      </c>
      <c r="I221" s="106">
        <f t="shared" si="2641"/>
        <v>0</v>
      </c>
      <c r="J221" s="106">
        <f t="shared" si="2642"/>
        <v>0</v>
      </c>
      <c r="K221" s="106">
        <f t="shared" si="2643"/>
        <v>0</v>
      </c>
      <c r="L221" s="106">
        <f t="shared" si="2644"/>
        <v>0</v>
      </c>
      <c r="M221" s="106">
        <f t="shared" si="2645"/>
        <v>0</v>
      </c>
      <c r="N221" s="16" t="s">
        <v>236</v>
      </c>
      <c r="O221" s="106">
        <f t="shared" si="2646"/>
        <v>0</v>
      </c>
      <c r="P221" s="106">
        <f t="shared" si="2647"/>
        <v>0</v>
      </c>
      <c r="Q221" s="106">
        <f t="shared" si="2648"/>
        <v>453107</v>
      </c>
      <c r="R221" s="106">
        <f t="shared" si="2649"/>
        <v>32285</v>
      </c>
      <c r="S221" s="106">
        <f t="shared" si="2650"/>
        <v>323922</v>
      </c>
      <c r="T221" s="106">
        <f t="shared" si="2651"/>
        <v>332531</v>
      </c>
      <c r="U221" s="106">
        <f t="shared" si="2652"/>
        <v>323922</v>
      </c>
      <c r="V221" s="106">
        <f t="shared" si="2653"/>
        <v>333607</v>
      </c>
      <c r="W221" s="106">
        <f t="shared" si="2654"/>
        <v>300246</v>
      </c>
      <c r="X221" s="106">
        <f t="shared" si="2655"/>
        <v>290561</v>
      </c>
      <c r="Y221" s="106">
        <f t="shared" si="2656"/>
        <v>0</v>
      </c>
      <c r="Z221" s="106">
        <f t="shared" si="2657"/>
        <v>0</v>
      </c>
      <c r="AA221" s="106">
        <f t="shared" si="2658"/>
        <v>2390181</v>
      </c>
      <c r="AB221" s="118">
        <f t="shared" si="1861"/>
        <v>0</v>
      </c>
      <c r="AC221" s="106">
        <f t="shared" si="2659"/>
        <v>0</v>
      </c>
      <c r="AD221" s="106">
        <f t="shared" si="2660"/>
        <v>0</v>
      </c>
      <c r="AE221" s="106">
        <f t="shared" si="2661"/>
        <v>0</v>
      </c>
      <c r="AF221" s="106">
        <f t="shared" si="2662"/>
        <v>0</v>
      </c>
      <c r="AG221" s="106">
        <f t="shared" si="2663"/>
        <v>0</v>
      </c>
      <c r="AH221" s="106">
        <f t="shared" si="2664"/>
        <v>0</v>
      </c>
      <c r="AI221" s="106">
        <f t="shared" si="2665"/>
        <v>0</v>
      </c>
      <c r="AJ221" s="106">
        <f t="shared" si="2666"/>
        <v>0</v>
      </c>
      <c r="AK221" s="106">
        <f t="shared" si="2667"/>
        <v>0</v>
      </c>
      <c r="AL221" s="106">
        <f t="shared" si="2668"/>
        <v>0</v>
      </c>
      <c r="AM221" s="106">
        <f t="shared" si="2669"/>
        <v>0</v>
      </c>
      <c r="AN221" s="106">
        <f t="shared" si="2670"/>
        <v>0</v>
      </c>
      <c r="AO221" s="106">
        <f t="shared" si="2671"/>
        <v>0</v>
      </c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  <c r="BA221" s="106"/>
      <c r="BB221" s="106"/>
      <c r="BC221" s="106">
        <f t="shared" si="2672"/>
        <v>0</v>
      </c>
      <c r="BD221" s="16" t="str">
        <f t="shared" si="2339"/>
        <v>Interest on Unsecured Loan - Skyline</v>
      </c>
      <c r="BE221" s="106">
        <f>+VLOOKUP($BD221,'Jan-25'!$A:$J,2,0)</f>
        <v>0</v>
      </c>
      <c r="BF221" s="106">
        <f>+VLOOKUP($BD221,'Feb-25'!$A:$J,2,0)</f>
        <v>0</v>
      </c>
      <c r="BG221" s="106">
        <f>+VLOOKUP($BD221,'Mar-25'!$A:$J,2,0)</f>
        <v>271864.2</v>
      </c>
      <c r="BH221" s="106">
        <f>+VLOOKUP($BD221,'Apr-25'!$A:$J,2,0)</f>
        <v>19371</v>
      </c>
      <c r="BI221" s="106">
        <f>+VLOOKUP($BD221,'May-25'!$A:$J,2,0)</f>
        <v>194353.19999999998</v>
      </c>
      <c r="BJ221" s="106">
        <f>+VLOOKUP($BD221,'June-25'!$A:$J,2,0)</f>
        <v>199518.6</v>
      </c>
      <c r="BK221" s="106">
        <f>+VLOOKUP($BD221,'July-25'!$A:$J,2,0)</f>
        <v>194353.2</v>
      </c>
      <c r="BL221" s="106">
        <f>+VLOOKUP($BD221,'Aug-25'!$A:$J,2,0)</f>
        <v>200164.19999999998</v>
      </c>
      <c r="BM221" s="106">
        <f>+VLOOKUP($BD221,'Sep-25'!$A:$J,2,0)</f>
        <v>180147.6</v>
      </c>
      <c r="BN221" s="106">
        <f>+VLOOKUP($BD221,'Oct-25'!$A:$J,2,0)</f>
        <v>174336.6</v>
      </c>
      <c r="BO221" s="106">
        <f>+VLOOKUP($BD221,'Nov-25'!$A:$J,2,0)</f>
        <v>0</v>
      </c>
      <c r="BP221" s="106">
        <f>+VLOOKUP($BD221,'Dec-25'!$A:$J,2,0)</f>
        <v>0</v>
      </c>
      <c r="BQ221" s="106">
        <f t="shared" si="2673"/>
        <v>1434108.6</v>
      </c>
      <c r="BR221" s="118">
        <f t="shared" si="1877"/>
        <v>0</v>
      </c>
      <c r="BS221" s="106"/>
      <c r="BT221" s="106"/>
      <c r="BU221" s="106"/>
      <c r="BV221" s="106"/>
      <c r="BW221" s="106"/>
      <c r="BX221" s="106"/>
      <c r="BY221" s="106"/>
      <c r="BZ221" s="106"/>
      <c r="CA221" s="106"/>
      <c r="CB221" s="106"/>
      <c r="CC221" s="106"/>
      <c r="CD221" s="106"/>
      <c r="CE221" s="106">
        <f t="shared" si="2674"/>
        <v>0</v>
      </c>
      <c r="CF221" s="22"/>
      <c r="CG221" s="106">
        <v>0</v>
      </c>
      <c r="CH221" s="106">
        <v>0</v>
      </c>
      <c r="CI221" s="106">
        <v>0</v>
      </c>
      <c r="CJ221" s="106">
        <v>0</v>
      </c>
      <c r="CK221" s="106">
        <v>0</v>
      </c>
      <c r="CL221" s="106">
        <v>0</v>
      </c>
      <c r="CM221" s="106">
        <v>0</v>
      </c>
      <c r="CN221" s="106">
        <v>0</v>
      </c>
      <c r="CO221" s="106">
        <v>0</v>
      </c>
      <c r="CP221" s="106">
        <v>0</v>
      </c>
      <c r="CQ221" s="106">
        <v>0</v>
      </c>
      <c r="CR221" s="106">
        <v>0</v>
      </c>
      <c r="CS221" s="106">
        <f t="shared" si="2675"/>
        <v>0</v>
      </c>
      <c r="CT221" s="16" t="str">
        <f t="shared" si="2340"/>
        <v>Interest on Unsecured Loan - Skyline</v>
      </c>
      <c r="CU221" s="106">
        <f>+VLOOKUP($BD221,'Jan-25'!$A:$J,6,0)</f>
        <v>0</v>
      </c>
      <c r="CV221" s="106">
        <f>+VLOOKUP($BD221,'Feb-25'!$A:$J,6,0)</f>
        <v>0</v>
      </c>
      <c r="CW221" s="106">
        <f>+VLOOKUP($BD221,'Mar-25'!$A:$J,6,0)</f>
        <v>181242.80000000002</v>
      </c>
      <c r="CX221" s="106">
        <f>+VLOOKUP($BD221,'Apr-25'!$A:$J,6,0)</f>
        <v>12914</v>
      </c>
      <c r="CY221" s="106">
        <f>+VLOOKUP($BD221,'May-25'!$A:$J,6,0)</f>
        <v>129568.8</v>
      </c>
      <c r="CZ221" s="106">
        <f>+VLOOKUP($BD221,'June-25'!$A:$J,6,0)</f>
        <v>133012.4</v>
      </c>
      <c r="DA221" s="106">
        <f>+VLOOKUP($BD221,'July-25'!$A:$J,6,0)</f>
        <v>129568.80000000002</v>
      </c>
      <c r="DB221" s="106">
        <f>+VLOOKUP($BD221,'Aug-25'!$A:$J,6,0)</f>
        <v>133442.80000000002</v>
      </c>
      <c r="DC221" s="106">
        <f>+VLOOKUP($BD221,'Sep-25'!$A:$J,6,0)</f>
        <v>120098.40000000001</v>
      </c>
      <c r="DD221" s="106">
        <f>+VLOOKUP($BD221,'Oct-25'!$A:$J,6,0)</f>
        <v>116224.40000000001</v>
      </c>
      <c r="DE221" s="106">
        <f>+VLOOKUP($BD221,'Nov-25'!$A:$J,6,0)</f>
        <v>0</v>
      </c>
      <c r="DF221" s="106">
        <f>+VLOOKUP($BD221,'Dec-25'!$A:$J,6,0)</f>
        <v>0</v>
      </c>
      <c r="DG221" s="106">
        <f t="shared" si="2676"/>
        <v>956072.40000000014</v>
      </c>
      <c r="DH221" s="118">
        <f t="shared" si="1881"/>
        <v>0</v>
      </c>
      <c r="DI221" s="106"/>
      <c r="DJ221" s="106"/>
      <c r="DK221" s="106"/>
      <c r="DL221" s="106"/>
      <c r="DM221" s="106"/>
      <c r="DN221" s="106"/>
      <c r="DO221" s="106"/>
      <c r="DP221" s="106"/>
      <c r="DQ221" s="106"/>
      <c r="DR221" s="106"/>
      <c r="DS221" s="106"/>
      <c r="DT221" s="106"/>
      <c r="DU221" s="106">
        <f t="shared" si="2677"/>
        <v>0</v>
      </c>
    </row>
    <row r="222" spans="1:125" ht="14.45" hidden="1" customHeight="1" outlineLevel="2">
      <c r="A222" s="106">
        <f t="shared" si="2633"/>
        <v>25921.739999999998</v>
      </c>
      <c r="B222" s="106">
        <f t="shared" si="2634"/>
        <v>53694.39</v>
      </c>
      <c r="C222" s="106">
        <f t="shared" si="2635"/>
        <v>225991.63</v>
      </c>
      <c r="D222" s="106">
        <f t="shared" si="2636"/>
        <v>340816.79999999993</v>
      </c>
      <c r="E222" s="106">
        <f t="shared" si="2637"/>
        <v>567073.26</v>
      </c>
      <c r="F222" s="106">
        <f t="shared" si="2638"/>
        <v>778832.94</v>
      </c>
      <c r="G222" s="106">
        <f t="shared" si="2639"/>
        <v>594084.98</v>
      </c>
      <c r="H222" s="106">
        <f t="shared" si="2640"/>
        <v>653009.65</v>
      </c>
      <c r="I222" s="106">
        <f t="shared" si="2641"/>
        <v>525964.42000000004</v>
      </c>
      <c r="J222" s="106">
        <f t="shared" si="2642"/>
        <v>775890.83</v>
      </c>
      <c r="K222" s="106">
        <f t="shared" si="2643"/>
        <v>726261.78</v>
      </c>
      <c r="L222" s="106">
        <f t="shared" si="2644"/>
        <v>938284.27000000014</v>
      </c>
      <c r="M222" s="106">
        <f t="shared" si="2645"/>
        <v>6205826.6900000004</v>
      </c>
      <c r="N222" s="16" t="s">
        <v>237</v>
      </c>
      <c r="O222" s="106">
        <f t="shared" si="2646"/>
        <v>831262.76</v>
      </c>
      <c r="P222" s="106">
        <f t="shared" si="2647"/>
        <v>712003.91</v>
      </c>
      <c r="Q222" s="106">
        <f t="shared" si="2648"/>
        <v>144485.25</v>
      </c>
      <c r="R222" s="106">
        <f t="shared" si="2649"/>
        <v>63356.680000000008</v>
      </c>
      <c r="S222" s="106">
        <f t="shared" si="2650"/>
        <v>40677.699999999997</v>
      </c>
      <c r="T222" s="106">
        <f t="shared" si="2651"/>
        <v>322150.53999999998</v>
      </c>
      <c r="U222" s="106">
        <f t="shared" si="2652"/>
        <v>291693.94</v>
      </c>
      <c r="V222" s="106">
        <f t="shared" si="2653"/>
        <v>388692.58</v>
      </c>
      <c r="W222" s="106">
        <f t="shared" si="2654"/>
        <v>540750.93000000005</v>
      </c>
      <c r="X222" s="106">
        <f t="shared" si="2655"/>
        <v>545853.34999999986</v>
      </c>
      <c r="Y222" s="106">
        <f t="shared" si="2656"/>
        <v>0</v>
      </c>
      <c r="Z222" s="106">
        <f t="shared" si="2657"/>
        <v>0</v>
      </c>
      <c r="AA222" s="106">
        <f t="shared" si="2658"/>
        <v>3880927.6399999997</v>
      </c>
      <c r="AB222" s="118">
        <f t="shared" ref="AB222:AB250" si="2678">IFERROR((X222-AL222)/AL222,0)</f>
        <v>0.18663771739130405</v>
      </c>
      <c r="AC222" s="106">
        <f t="shared" si="2659"/>
        <v>460000</v>
      </c>
      <c r="AD222" s="106">
        <f t="shared" si="2660"/>
        <v>460000</v>
      </c>
      <c r="AE222" s="106">
        <f t="shared" si="2661"/>
        <v>460000</v>
      </c>
      <c r="AF222" s="106">
        <f t="shared" si="2662"/>
        <v>460000</v>
      </c>
      <c r="AG222" s="106">
        <f t="shared" si="2663"/>
        <v>460000</v>
      </c>
      <c r="AH222" s="106">
        <f t="shared" si="2664"/>
        <v>460000</v>
      </c>
      <c r="AI222" s="106">
        <f t="shared" si="2665"/>
        <v>460000</v>
      </c>
      <c r="AJ222" s="106">
        <f t="shared" si="2666"/>
        <v>460000</v>
      </c>
      <c r="AK222" s="106">
        <f t="shared" si="2667"/>
        <v>460000</v>
      </c>
      <c r="AL222" s="106">
        <f t="shared" si="2668"/>
        <v>460000</v>
      </c>
      <c r="AM222" s="106">
        <f t="shared" si="2669"/>
        <v>460000</v>
      </c>
      <c r="AN222" s="106">
        <f t="shared" si="2670"/>
        <v>460000</v>
      </c>
      <c r="AO222" s="106">
        <f t="shared" si="2671"/>
        <v>5520000</v>
      </c>
      <c r="AQ222" s="106">
        <v>15553.044</v>
      </c>
      <c r="AR222" s="106">
        <v>32216.633999999998</v>
      </c>
      <c r="AS222" s="106">
        <v>135594.978</v>
      </c>
      <c r="AT222" s="106">
        <v>204490.08</v>
      </c>
      <c r="AU222" s="106">
        <v>340243.95600000001</v>
      </c>
      <c r="AV222" s="106">
        <v>467299.76399999997</v>
      </c>
      <c r="AW222" s="106">
        <v>356450.98799999995</v>
      </c>
      <c r="AX222" s="106">
        <v>391805.79</v>
      </c>
      <c r="AY222" s="106">
        <v>315578.652</v>
      </c>
      <c r="AZ222" s="106">
        <v>465534.49799999996</v>
      </c>
      <c r="BA222" s="106">
        <v>435757.06800000003</v>
      </c>
      <c r="BB222" s="106">
        <v>562970.56200000003</v>
      </c>
      <c r="BC222" s="106">
        <f t="shared" si="2672"/>
        <v>3723496.014</v>
      </c>
      <c r="BD222" s="16" t="str">
        <f t="shared" si="2339"/>
        <v>Interest on Demo Vehicle</v>
      </c>
      <c r="BE222" s="106">
        <f>+VLOOKUP($BD222,'Jan-25'!$A:$J,2,0)</f>
        <v>498757.65599999996</v>
      </c>
      <c r="BF222" s="106">
        <f>+VLOOKUP($BD222,'Feb-25'!$A:$J,2,0)</f>
        <v>427202.34600000002</v>
      </c>
      <c r="BG222" s="106">
        <f>+VLOOKUP($BD222,'Mar-25'!$A:$J,2,0)</f>
        <v>86691.15</v>
      </c>
      <c r="BH222" s="106">
        <f>+VLOOKUP($BD222,'Apr-25'!$A:$J,2,0)</f>
        <v>38014.008000000002</v>
      </c>
      <c r="BI222" s="106">
        <f>+VLOOKUP($BD222,'May-25'!$A:$J,2,0)</f>
        <v>24406.62</v>
      </c>
      <c r="BJ222" s="106">
        <f>+VLOOKUP($BD222,'June-25'!$A:$J,2,0)</f>
        <v>193290.32399999999</v>
      </c>
      <c r="BK222" s="106">
        <f>+VLOOKUP($BD222,'July-25'!$A:$J,2,0)</f>
        <v>175016.364</v>
      </c>
      <c r="BL222" s="106">
        <f>+VLOOKUP($BD222,'Aug-25'!$A:$J,2,0)</f>
        <v>233215.54800000001</v>
      </c>
      <c r="BM222" s="106">
        <f>+VLOOKUP($BD222,'Sep-25'!$A:$J,2,0)</f>
        <v>324450.55800000002</v>
      </c>
      <c r="BN222" s="106">
        <f>+VLOOKUP($BD222,'Oct-25'!$A:$J,2,0)</f>
        <v>327512.00999999995</v>
      </c>
      <c r="BO222" s="106">
        <f>+VLOOKUP($BD222,'Nov-25'!$A:$J,2,0)</f>
        <v>0</v>
      </c>
      <c r="BP222" s="106">
        <f>+VLOOKUP($BD222,'Dec-25'!$A:$J,2,0)</f>
        <v>0</v>
      </c>
      <c r="BQ222" s="106">
        <f t="shared" si="2673"/>
        <v>2328556.5839999998</v>
      </c>
      <c r="BR222" s="118">
        <f t="shared" ref="BR222:BR250" si="2679">IFERROR((BN222-CB222)/CB222,0)</f>
        <v>0.18663771739130416</v>
      </c>
      <c r="BS222" s="106" cm="1">
        <f t="array" ref="BS222:CD222">+_xlfn.XLOOKUP(BD222,Budget!A:A,Budget!Q:AB)</f>
        <v>276000</v>
      </c>
      <c r="BT222" s="106">
        <v>276000</v>
      </c>
      <c r="BU222" s="106">
        <v>276000</v>
      </c>
      <c r="BV222" s="106">
        <v>276000</v>
      </c>
      <c r="BW222" s="106">
        <v>276000</v>
      </c>
      <c r="BX222" s="106">
        <v>276000</v>
      </c>
      <c r="BY222" s="106">
        <v>276000</v>
      </c>
      <c r="BZ222" s="106">
        <v>276000</v>
      </c>
      <c r="CA222" s="106">
        <v>276000</v>
      </c>
      <c r="CB222" s="106">
        <v>276000</v>
      </c>
      <c r="CC222" s="106">
        <v>276000</v>
      </c>
      <c r="CD222" s="106">
        <v>276000</v>
      </c>
      <c r="CE222" s="106">
        <f t="shared" si="2674"/>
        <v>3312000</v>
      </c>
      <c r="CF222" s="22"/>
      <c r="CG222" s="106">
        <v>10368.696</v>
      </c>
      <c r="CH222" s="106">
        <v>21477.756000000001</v>
      </c>
      <c r="CI222" s="106">
        <v>90396.652000000002</v>
      </c>
      <c r="CJ222" s="106">
        <v>136326.71999999997</v>
      </c>
      <c r="CK222" s="106">
        <v>226829.304</v>
      </c>
      <c r="CL222" s="106">
        <v>311533.17599999998</v>
      </c>
      <c r="CM222" s="106">
        <v>237633.992</v>
      </c>
      <c r="CN222" s="106">
        <v>261203.86000000002</v>
      </c>
      <c r="CO222" s="106">
        <v>210385.76800000004</v>
      </c>
      <c r="CP222" s="106">
        <v>310356.33199999999</v>
      </c>
      <c r="CQ222" s="106">
        <v>290504.71200000006</v>
      </c>
      <c r="CR222" s="106">
        <v>375313.7080000001</v>
      </c>
      <c r="CS222" s="106">
        <f t="shared" si="2675"/>
        <v>2482330.6760000004</v>
      </c>
      <c r="CT222" s="16" t="str">
        <f t="shared" si="2340"/>
        <v>Interest on Demo Vehicle</v>
      </c>
      <c r="CU222" s="106">
        <f>+VLOOKUP($BD222,'Jan-25'!$A:$J,6,0)</f>
        <v>332505.10400000005</v>
      </c>
      <c r="CV222" s="106">
        <f>+VLOOKUP($BD222,'Feb-25'!$A:$J,6,0)</f>
        <v>284801.56400000001</v>
      </c>
      <c r="CW222" s="106">
        <f>+VLOOKUP($BD222,'Mar-25'!$A:$J,6,0)</f>
        <v>57794.100000000006</v>
      </c>
      <c r="CX222" s="106">
        <f>+VLOOKUP($BD222,'Apr-25'!$A:$J,6,0)</f>
        <v>25342.672000000006</v>
      </c>
      <c r="CY222" s="106">
        <f>+VLOOKUP($BD222,'May-25'!$A:$J,6,0)</f>
        <v>16271.08</v>
      </c>
      <c r="CZ222" s="106">
        <f>+VLOOKUP($BD222,'June-25'!$A:$J,6,0)</f>
        <v>128860.216</v>
      </c>
      <c r="DA222" s="106">
        <f>+VLOOKUP($BD222,'July-25'!$A:$J,6,0)</f>
        <v>116677.576</v>
      </c>
      <c r="DB222" s="106">
        <f>+VLOOKUP($BD222,'Aug-25'!$A:$J,6,0)</f>
        <v>155477.03200000001</v>
      </c>
      <c r="DC222" s="106">
        <f>+VLOOKUP($BD222,'Sep-25'!$A:$J,6,0)</f>
        <v>216300.37200000003</v>
      </c>
      <c r="DD222" s="106">
        <f>+VLOOKUP($BD222,'Oct-25'!$A:$J,6,0)</f>
        <v>218341.33999999997</v>
      </c>
      <c r="DE222" s="106">
        <f>+VLOOKUP($BD222,'Nov-25'!$A:$J,6,0)</f>
        <v>0</v>
      </c>
      <c r="DF222" s="106">
        <f>+VLOOKUP($BD222,'Dec-25'!$A:$J,6,0)</f>
        <v>0</v>
      </c>
      <c r="DG222" s="106">
        <f t="shared" si="2676"/>
        <v>1552371.0559999999</v>
      </c>
      <c r="DH222" s="118">
        <f t="shared" ref="DH222:DH250" si="2680">IFERROR((DD222-DR222)/DR222,0)</f>
        <v>0.18663771739130416</v>
      </c>
      <c r="DI222" s="106">
        <f>+_xlfn.XLOOKUP($CT222,Budget!$A:$A,Budget!BQ:BQ)</f>
        <v>184000</v>
      </c>
      <c r="DJ222" s="106">
        <f>+_xlfn.XLOOKUP($CT222,Budget!$A:$A,Budget!BR:BR)</f>
        <v>184000</v>
      </c>
      <c r="DK222" s="106">
        <f>+_xlfn.XLOOKUP($CT222,Budget!$A:$A,Budget!BS:BS)</f>
        <v>184000</v>
      </c>
      <c r="DL222" s="106">
        <f>+_xlfn.XLOOKUP($CT222,Budget!$A:$A,Budget!BT:BT)</f>
        <v>184000</v>
      </c>
      <c r="DM222" s="106">
        <f>+_xlfn.XLOOKUP($CT222,Budget!$A:$A,Budget!BU:BU)</f>
        <v>184000</v>
      </c>
      <c r="DN222" s="106">
        <f>+_xlfn.XLOOKUP($CT222,Budget!$A:$A,Budget!BV:BV)</f>
        <v>184000</v>
      </c>
      <c r="DO222" s="106">
        <f>+_xlfn.XLOOKUP($CT222,Budget!$A:$A,Budget!BW:BW)</f>
        <v>184000</v>
      </c>
      <c r="DP222" s="106">
        <f>+_xlfn.XLOOKUP($CT222,Budget!$A:$A,Budget!BX:BX)</f>
        <v>184000</v>
      </c>
      <c r="DQ222" s="106">
        <f>+_xlfn.XLOOKUP($CT222,Budget!$A:$A,Budget!BY:BY)</f>
        <v>184000</v>
      </c>
      <c r="DR222" s="106">
        <f>+_xlfn.XLOOKUP($CT222,Budget!$A:$A,Budget!BZ:BZ)</f>
        <v>184000</v>
      </c>
      <c r="DS222" s="106">
        <f>+_xlfn.XLOOKUP($CT222,Budget!$A:$A,Budget!CA:CA)</f>
        <v>184000</v>
      </c>
      <c r="DT222" s="106">
        <f>+_xlfn.XLOOKUP($CT222,Budget!$A:$A,Budget!CB:CB)</f>
        <v>184000</v>
      </c>
      <c r="DU222" s="106">
        <f t="shared" si="2677"/>
        <v>2208000</v>
      </c>
    </row>
    <row r="223" spans="1:125" ht="14.45" hidden="1" customHeight="1" outlineLevel="1" collapsed="1">
      <c r="A223" s="58">
        <f t="shared" ref="A223:L223" si="2681">+SUM(A224:A226)</f>
        <v>49534.974499999997</v>
      </c>
      <c r="B223" s="58">
        <f t="shared" si="2681"/>
        <v>46490.647499999999</v>
      </c>
      <c r="C223" s="58">
        <f t="shared" si="2681"/>
        <v>43064.037500000006</v>
      </c>
      <c r="D223" s="58">
        <f t="shared" si="2681"/>
        <v>44009.674500000001</v>
      </c>
      <c r="E223" s="58">
        <f t="shared" si="2681"/>
        <v>38701.817000000003</v>
      </c>
      <c r="F223" s="58">
        <f t="shared" si="2681"/>
        <v>53016.881500000003</v>
      </c>
      <c r="G223" s="58">
        <f t="shared" si="2681"/>
        <v>94884.877999999997</v>
      </c>
      <c r="H223" s="58">
        <f t="shared" si="2681"/>
        <v>41118.891000000003</v>
      </c>
      <c r="I223" s="58">
        <f t="shared" si="2681"/>
        <v>42719.578000000001</v>
      </c>
      <c r="J223" s="58">
        <f t="shared" si="2681"/>
        <v>38174.323000000004</v>
      </c>
      <c r="K223" s="58">
        <f t="shared" si="2681"/>
        <v>313461.07650000002</v>
      </c>
      <c r="L223" s="58">
        <f t="shared" si="2681"/>
        <v>50959.48</v>
      </c>
      <c r="M223" s="58"/>
      <c r="N223" s="20" t="s">
        <v>186</v>
      </c>
      <c r="O223" s="58">
        <f t="shared" ref="O223" si="2682">+SUM(O224:O226)</f>
        <v>72859.429499999984</v>
      </c>
      <c r="P223" s="58">
        <f t="shared" ref="P223" si="2683">+SUM(P224:P226)</f>
        <v>39022.582499999997</v>
      </c>
      <c r="Q223" s="58">
        <f t="shared" ref="Q223" si="2684">+SUM(Q224:Q226)</f>
        <v>115136.9615</v>
      </c>
      <c r="R223" s="58">
        <f t="shared" ref="R223" si="2685">+SUM(R224:R226)</f>
        <v>63840.788</v>
      </c>
      <c r="S223" s="58">
        <f t="shared" ref="S223" si="2686">+SUM(S224:S226)</f>
        <v>104134.9705</v>
      </c>
      <c r="T223" s="58">
        <f t="shared" ref="T223" si="2687">+SUM(T224:T226)</f>
        <v>67526.425500000012</v>
      </c>
      <c r="U223" s="58">
        <f t="shared" ref="U223" si="2688">+SUM(U224:U226)</f>
        <v>70922.010500000004</v>
      </c>
      <c r="V223" s="58">
        <f t="shared" ref="V223" si="2689">+SUM(V224:V226)</f>
        <v>74298.064500000008</v>
      </c>
      <c r="W223" s="58">
        <f t="shared" ref="W223" si="2690">+SUM(W224:W226)</f>
        <v>57502.588000000003</v>
      </c>
      <c r="X223" s="58">
        <f t="shared" ref="X223" si="2691">+SUM(X224:X226)</f>
        <v>61157.051999999996</v>
      </c>
      <c r="Y223" s="58">
        <f t="shared" ref="Y223" si="2692">+SUM(Y224:Y226)</f>
        <v>0</v>
      </c>
      <c r="Z223" s="58">
        <f t="shared" ref="Z223:AA223" si="2693">+SUM(Z224:Z226)</f>
        <v>0</v>
      </c>
      <c r="AA223" s="58">
        <f t="shared" si="2693"/>
        <v>726400.87250000006</v>
      </c>
      <c r="AB223" s="118">
        <f t="shared" si="2678"/>
        <v>-0.11044288000000006</v>
      </c>
      <c r="AC223" s="58">
        <f t="shared" ref="AC223" si="2694">+SUM(AC224:AC226)</f>
        <v>68750</v>
      </c>
      <c r="AD223" s="58">
        <f t="shared" ref="AD223" si="2695">+SUM(AD224:AD226)</f>
        <v>68750</v>
      </c>
      <c r="AE223" s="58">
        <f t="shared" ref="AE223" si="2696">+SUM(AE224:AE226)</f>
        <v>68750</v>
      </c>
      <c r="AF223" s="58">
        <f t="shared" ref="AF223" si="2697">+SUM(AF224:AF226)</f>
        <v>68750</v>
      </c>
      <c r="AG223" s="58">
        <f t="shared" ref="AG223" si="2698">+SUM(AG224:AG226)</f>
        <v>68750</v>
      </c>
      <c r="AH223" s="58">
        <f t="shared" ref="AH223" si="2699">+SUM(AH224:AH226)</f>
        <v>68750</v>
      </c>
      <c r="AI223" s="58">
        <f t="shared" ref="AI223" si="2700">+SUM(AI224:AI226)</f>
        <v>68750</v>
      </c>
      <c r="AJ223" s="58">
        <f t="shared" ref="AJ223" si="2701">+SUM(AJ224:AJ226)</f>
        <v>68750</v>
      </c>
      <c r="AK223" s="58">
        <f t="shared" ref="AK223" si="2702">+SUM(AK224:AK226)</f>
        <v>68750</v>
      </c>
      <c r="AL223" s="58">
        <f t="shared" ref="AL223" si="2703">+SUM(AL224:AL226)</f>
        <v>68750</v>
      </c>
      <c r="AM223" s="58">
        <f t="shared" ref="AM223" si="2704">+SUM(AM224:AM226)</f>
        <v>68750</v>
      </c>
      <c r="AN223" s="58">
        <f t="shared" ref="AN223" si="2705">+SUM(AN224:AN226)</f>
        <v>68750</v>
      </c>
      <c r="AO223" s="58"/>
      <c r="AQ223" s="58">
        <f t="shared" ref="AQ223:BC223" si="2706">+SUM(AQ224:AQ226)</f>
        <v>36025.436000000002</v>
      </c>
      <c r="AR223" s="58">
        <f t="shared" si="2706"/>
        <v>33811.379999999997</v>
      </c>
      <c r="AS223" s="58">
        <f t="shared" si="2706"/>
        <v>31319.300000000003</v>
      </c>
      <c r="AT223" s="58">
        <f t="shared" si="2706"/>
        <v>32007.036</v>
      </c>
      <c r="AU223" s="58">
        <f t="shared" si="2706"/>
        <v>28146.776000000002</v>
      </c>
      <c r="AV223" s="58">
        <f t="shared" si="2706"/>
        <v>38557.732000000004</v>
      </c>
      <c r="AW223" s="58">
        <f t="shared" si="2706"/>
        <v>69007.184000000008</v>
      </c>
      <c r="AX223" s="58">
        <f t="shared" si="2706"/>
        <v>29904.648000000001</v>
      </c>
      <c r="AY223" s="58">
        <f t="shared" si="2706"/>
        <v>31068.784000000003</v>
      </c>
      <c r="AZ223" s="58">
        <f t="shared" si="2706"/>
        <v>27763.144</v>
      </c>
      <c r="BA223" s="58">
        <f t="shared" si="2706"/>
        <v>227971.69200000001</v>
      </c>
      <c r="BB223" s="58">
        <f t="shared" si="2706"/>
        <v>37061.440000000002</v>
      </c>
      <c r="BC223" s="58">
        <f t="shared" si="2706"/>
        <v>622644.55200000014</v>
      </c>
      <c r="BD223" s="20" t="str">
        <f t="shared" si="2339"/>
        <v>Finance Charge - Others</v>
      </c>
      <c r="BE223" s="58">
        <f t="shared" ref="BE223:BQ223" si="2707">+SUM(BE224:BE226)</f>
        <v>52988.675999999992</v>
      </c>
      <c r="BF223" s="58">
        <f t="shared" si="2707"/>
        <v>28380.059999999998</v>
      </c>
      <c r="BG223" s="58">
        <f t="shared" si="2707"/>
        <v>83735.972000000009</v>
      </c>
      <c r="BH223" s="58">
        <f t="shared" si="2707"/>
        <v>46429.664000000004</v>
      </c>
      <c r="BI223" s="58">
        <f t="shared" si="2707"/>
        <v>75734.524000000005</v>
      </c>
      <c r="BJ223" s="58">
        <f t="shared" si="2707"/>
        <v>49753.76400000001</v>
      </c>
      <c r="BK223" s="58">
        <f t="shared" si="2707"/>
        <v>51579.644</v>
      </c>
      <c r="BL223" s="58">
        <f t="shared" si="2707"/>
        <v>54034.956000000006</v>
      </c>
      <c r="BM223" s="58">
        <f t="shared" si="2707"/>
        <v>41820.064000000006</v>
      </c>
      <c r="BN223" s="58">
        <f t="shared" si="2707"/>
        <v>40771.367999999995</v>
      </c>
      <c r="BO223" s="58">
        <f t="shared" si="2707"/>
        <v>0</v>
      </c>
      <c r="BP223" s="58">
        <f t="shared" si="2707"/>
        <v>0</v>
      </c>
      <c r="BQ223" s="58">
        <f t="shared" si="2707"/>
        <v>525228.69200000004</v>
      </c>
      <c r="BR223" s="118">
        <f t="shared" si="2679"/>
        <v>-0.18457264000000009</v>
      </c>
      <c r="BS223" s="58">
        <f t="shared" ref="BS223:CE223" si="2708">+SUM(BS224:BS226)</f>
        <v>50000</v>
      </c>
      <c r="BT223" s="58">
        <f t="shared" si="2708"/>
        <v>50000</v>
      </c>
      <c r="BU223" s="58">
        <f t="shared" si="2708"/>
        <v>50000</v>
      </c>
      <c r="BV223" s="58">
        <f t="shared" si="2708"/>
        <v>50000</v>
      </c>
      <c r="BW223" s="58">
        <f t="shared" si="2708"/>
        <v>50000</v>
      </c>
      <c r="BX223" s="58">
        <f t="shared" si="2708"/>
        <v>50000</v>
      </c>
      <c r="BY223" s="58">
        <f t="shared" si="2708"/>
        <v>50000</v>
      </c>
      <c r="BZ223" s="58">
        <f t="shared" si="2708"/>
        <v>50000</v>
      </c>
      <c r="CA223" s="58">
        <f t="shared" si="2708"/>
        <v>50000</v>
      </c>
      <c r="CB223" s="58">
        <f t="shared" si="2708"/>
        <v>50000</v>
      </c>
      <c r="CC223" s="58">
        <f t="shared" si="2708"/>
        <v>50000</v>
      </c>
      <c r="CD223" s="58">
        <f t="shared" si="2708"/>
        <v>50000</v>
      </c>
      <c r="CE223" s="58">
        <f t="shared" si="2708"/>
        <v>600000</v>
      </c>
      <c r="CF223" s="22"/>
      <c r="CG223" s="58">
        <f t="shared" ref="CG223:CS223" si="2709">+SUM(CG224:CG226)</f>
        <v>13509.538499999999</v>
      </c>
      <c r="CH223" s="58">
        <f t="shared" si="2709"/>
        <v>12679.2675</v>
      </c>
      <c r="CI223" s="58">
        <f t="shared" si="2709"/>
        <v>11744.737499999999</v>
      </c>
      <c r="CJ223" s="58">
        <f t="shared" si="2709"/>
        <v>12002.638499999999</v>
      </c>
      <c r="CK223" s="58">
        <f t="shared" si="2709"/>
        <v>10555.040999999999</v>
      </c>
      <c r="CL223" s="58">
        <f t="shared" si="2709"/>
        <v>14459.1495</v>
      </c>
      <c r="CM223" s="58">
        <f t="shared" si="2709"/>
        <v>25877.693999999996</v>
      </c>
      <c r="CN223" s="58">
        <f t="shared" si="2709"/>
        <v>11214.243000000002</v>
      </c>
      <c r="CO223" s="58">
        <f t="shared" si="2709"/>
        <v>11650.794</v>
      </c>
      <c r="CP223" s="58">
        <f t="shared" si="2709"/>
        <v>10411.179</v>
      </c>
      <c r="CQ223" s="58">
        <f t="shared" si="2709"/>
        <v>85489.3845</v>
      </c>
      <c r="CR223" s="58">
        <f t="shared" si="2709"/>
        <v>13898.04</v>
      </c>
      <c r="CS223" s="58">
        <f t="shared" si="2709"/>
        <v>233491.70699999997</v>
      </c>
      <c r="CT223" s="20" t="str">
        <f t="shared" si="2340"/>
        <v>Finance Charge - Others</v>
      </c>
      <c r="CU223" s="58">
        <f t="shared" ref="CU223:DG223" si="2710">+SUM(CU224:CU226)</f>
        <v>19870.753499999995</v>
      </c>
      <c r="CV223" s="58">
        <f t="shared" si="2710"/>
        <v>10642.522499999999</v>
      </c>
      <c r="CW223" s="58">
        <f t="shared" si="2710"/>
        <v>31400.989499999996</v>
      </c>
      <c r="CX223" s="58">
        <f t="shared" si="2710"/>
        <v>17411.123999999996</v>
      </c>
      <c r="CY223" s="58">
        <f t="shared" si="2710"/>
        <v>28400.446499999998</v>
      </c>
      <c r="CZ223" s="58">
        <f t="shared" si="2710"/>
        <v>17772.661500000002</v>
      </c>
      <c r="DA223" s="58">
        <f t="shared" si="2710"/>
        <v>19342.366499999996</v>
      </c>
      <c r="DB223" s="58">
        <f t="shared" si="2710"/>
        <v>20263.108500000002</v>
      </c>
      <c r="DC223" s="58">
        <f t="shared" si="2710"/>
        <v>15682.523999999999</v>
      </c>
      <c r="DD223" s="58">
        <f t="shared" si="2710"/>
        <v>20385.683999999997</v>
      </c>
      <c r="DE223" s="58">
        <f t="shared" si="2710"/>
        <v>0</v>
      </c>
      <c r="DF223" s="58">
        <f t="shared" si="2710"/>
        <v>0</v>
      </c>
      <c r="DG223" s="58">
        <f t="shared" si="2710"/>
        <v>201172.18049999999</v>
      </c>
      <c r="DH223" s="118">
        <f t="shared" si="2680"/>
        <v>8.7236479999999866E-2</v>
      </c>
      <c r="DI223" s="58">
        <f t="shared" ref="DI223:DU223" si="2711">+SUM(DI224:DI226)</f>
        <v>18750</v>
      </c>
      <c r="DJ223" s="58">
        <f t="shared" si="2711"/>
        <v>18750</v>
      </c>
      <c r="DK223" s="58">
        <f t="shared" si="2711"/>
        <v>18750</v>
      </c>
      <c r="DL223" s="58">
        <f t="shared" si="2711"/>
        <v>18750</v>
      </c>
      <c r="DM223" s="58">
        <f t="shared" si="2711"/>
        <v>18750</v>
      </c>
      <c r="DN223" s="58">
        <f t="shared" si="2711"/>
        <v>18750</v>
      </c>
      <c r="DO223" s="58">
        <f t="shared" si="2711"/>
        <v>18750</v>
      </c>
      <c r="DP223" s="58">
        <f t="shared" si="2711"/>
        <v>18750</v>
      </c>
      <c r="DQ223" s="58">
        <f t="shared" si="2711"/>
        <v>18750</v>
      </c>
      <c r="DR223" s="58">
        <f t="shared" si="2711"/>
        <v>18750</v>
      </c>
      <c r="DS223" s="58">
        <f t="shared" si="2711"/>
        <v>18750</v>
      </c>
      <c r="DT223" s="58">
        <f t="shared" si="2711"/>
        <v>18750</v>
      </c>
      <c r="DU223" s="58">
        <f t="shared" si="2711"/>
        <v>225000</v>
      </c>
    </row>
    <row r="224" spans="1:125" ht="14.45" hidden="1" customHeight="1" outlineLevel="2">
      <c r="A224" s="106">
        <f t="shared" ref="A224:A226" si="2712">+AQ224+CG224</f>
        <v>49534.974499999997</v>
      </c>
      <c r="B224" s="106">
        <f t="shared" ref="B224:B226" si="2713">+AR224+CH224</f>
        <v>46490.647499999999</v>
      </c>
      <c r="C224" s="106">
        <f t="shared" ref="C224:C226" si="2714">+AS224+CI224</f>
        <v>43064.037500000006</v>
      </c>
      <c r="D224" s="106">
        <f t="shared" ref="D224:D226" si="2715">+AT224+CJ224</f>
        <v>44009.674500000001</v>
      </c>
      <c r="E224" s="106">
        <f t="shared" ref="E224:E226" si="2716">+AU224+CK224</f>
        <v>38701.817000000003</v>
      </c>
      <c r="F224" s="106">
        <f t="shared" ref="F224:F226" si="2717">+AV224+CL224</f>
        <v>53016.881500000003</v>
      </c>
      <c r="G224" s="106">
        <f t="shared" ref="G224:G226" si="2718">+AW224+CM224</f>
        <v>94884.877999999997</v>
      </c>
      <c r="H224" s="106">
        <f t="shared" ref="H224:H226" si="2719">+AX224+CN224</f>
        <v>41118.891000000003</v>
      </c>
      <c r="I224" s="106">
        <f t="shared" ref="I224:I226" si="2720">+AY224+CO224</f>
        <v>42719.578000000001</v>
      </c>
      <c r="J224" s="106">
        <f t="shared" ref="J224:J226" si="2721">+AZ224+CP224</f>
        <v>38174.323000000004</v>
      </c>
      <c r="K224" s="106">
        <f t="shared" ref="K224:K226" si="2722">+BA224+CQ224</f>
        <v>313461.07650000002</v>
      </c>
      <c r="L224" s="106">
        <f t="shared" ref="L224:L226" si="2723">+BB224+CR224</f>
        <v>50959.48</v>
      </c>
      <c r="M224" s="106">
        <f t="shared" ref="M224:M226" si="2724">+SUM(A224:L224)</f>
        <v>856136.25900000008</v>
      </c>
      <c r="N224" s="16" t="s">
        <v>187</v>
      </c>
      <c r="O224" s="106">
        <f t="shared" ref="O224:O226" si="2725">+BE224+CU224</f>
        <v>72859.429499999984</v>
      </c>
      <c r="P224" s="106">
        <f t="shared" ref="P224:P226" si="2726">+BF224+CV224</f>
        <v>39022.582499999997</v>
      </c>
      <c r="Q224" s="106">
        <f t="shared" ref="Q224:Q226" si="2727">+BG224+CW224</f>
        <v>115136.9615</v>
      </c>
      <c r="R224" s="106">
        <f t="shared" ref="R224:R226" si="2728">+BH224+CX224</f>
        <v>63840.788</v>
      </c>
      <c r="S224" s="106">
        <f t="shared" ref="S224:S226" si="2729">+BI224+CY224</f>
        <v>104134.9705</v>
      </c>
      <c r="T224" s="106">
        <f t="shared" ref="T224:T226" si="2730">+BJ224+CZ224</f>
        <v>67526.425500000012</v>
      </c>
      <c r="U224" s="106">
        <f t="shared" ref="U224:U226" si="2731">+BK224+DA224</f>
        <v>70922.010500000004</v>
      </c>
      <c r="V224" s="106">
        <f t="shared" ref="V224:V226" si="2732">+BL224+DB224</f>
        <v>74298.064500000008</v>
      </c>
      <c r="W224" s="106">
        <f t="shared" ref="W224:W226" si="2733">+BM224+DC224</f>
        <v>57502.588000000003</v>
      </c>
      <c r="X224" s="106">
        <f t="shared" ref="X224:X226" si="2734">+BN224+DD224</f>
        <v>61157.051999999996</v>
      </c>
      <c r="Y224" s="106">
        <f t="shared" ref="Y224:Y226" si="2735">+BO224+DE224</f>
        <v>0</v>
      </c>
      <c r="Z224" s="106">
        <f t="shared" ref="Z224:Z226" si="2736">+BP224+DF224</f>
        <v>0</v>
      </c>
      <c r="AA224" s="106">
        <f t="shared" ref="AA224:AA226" si="2737">+SUM(O224:Z224)</f>
        <v>726400.87250000006</v>
      </c>
      <c r="AB224" s="118">
        <f t="shared" si="2678"/>
        <v>-0.11044288000000006</v>
      </c>
      <c r="AC224" s="106">
        <f t="shared" ref="AC224:AC226" si="2738">+BS224+DI224</f>
        <v>68750</v>
      </c>
      <c r="AD224" s="106">
        <f t="shared" ref="AD224:AD226" si="2739">+BT224+DJ224</f>
        <v>68750</v>
      </c>
      <c r="AE224" s="106">
        <f t="shared" ref="AE224:AE226" si="2740">+BU224+DK224</f>
        <v>68750</v>
      </c>
      <c r="AF224" s="106">
        <f t="shared" ref="AF224:AF226" si="2741">+BV224+DL224</f>
        <v>68750</v>
      </c>
      <c r="AG224" s="106">
        <f t="shared" ref="AG224:AG226" si="2742">+BW224+DM224</f>
        <v>68750</v>
      </c>
      <c r="AH224" s="106">
        <f t="shared" ref="AH224:AH226" si="2743">+BX224+DN224</f>
        <v>68750</v>
      </c>
      <c r="AI224" s="106">
        <f t="shared" ref="AI224:AI226" si="2744">+BY224+DO224</f>
        <v>68750</v>
      </c>
      <c r="AJ224" s="106">
        <f t="shared" ref="AJ224:AJ226" si="2745">+BZ224+DP224</f>
        <v>68750</v>
      </c>
      <c r="AK224" s="106">
        <f t="shared" ref="AK224:AK226" si="2746">+CA224+DQ224</f>
        <v>68750</v>
      </c>
      <c r="AL224" s="106">
        <f t="shared" ref="AL224:AL226" si="2747">+CB224+DR224</f>
        <v>68750</v>
      </c>
      <c r="AM224" s="106">
        <f t="shared" ref="AM224:AM226" si="2748">+CC224+DS224</f>
        <v>68750</v>
      </c>
      <c r="AN224" s="106">
        <f t="shared" ref="AN224:AN226" si="2749">+CD224+DT224</f>
        <v>68750</v>
      </c>
      <c r="AO224" s="106">
        <f t="shared" ref="AO224:AO226" si="2750">+SUM(AC224:AN224)</f>
        <v>825000</v>
      </c>
      <c r="AQ224" s="106">
        <v>36025.436000000002</v>
      </c>
      <c r="AR224" s="106">
        <v>33811.379999999997</v>
      </c>
      <c r="AS224" s="106">
        <v>31319.300000000003</v>
      </c>
      <c r="AT224" s="106">
        <v>32007.036</v>
      </c>
      <c r="AU224" s="106">
        <v>28146.776000000002</v>
      </c>
      <c r="AV224" s="106">
        <v>38557.732000000004</v>
      </c>
      <c r="AW224" s="106">
        <v>69007.184000000008</v>
      </c>
      <c r="AX224" s="106">
        <v>29904.648000000001</v>
      </c>
      <c r="AY224" s="106">
        <v>31068.784000000003</v>
      </c>
      <c r="AZ224" s="106">
        <v>27763.144</v>
      </c>
      <c r="BA224" s="106">
        <v>227971.69200000001</v>
      </c>
      <c r="BB224" s="106">
        <v>37061.440000000002</v>
      </c>
      <c r="BC224" s="106">
        <f t="shared" ref="BC224:BC226" si="2751">+SUM(AQ224:BB224)</f>
        <v>622644.55200000014</v>
      </c>
      <c r="BD224" s="16" t="str">
        <f t="shared" si="2339"/>
        <v>Bank Charge</v>
      </c>
      <c r="BE224" s="106">
        <f>+VLOOKUP($BD224,'Jan-25'!$A:$J,2,0)</f>
        <v>52988.675999999992</v>
      </c>
      <c r="BF224" s="106">
        <f>+VLOOKUP($BD224,'Feb-25'!$A:$J,2,0)</f>
        <v>28380.059999999998</v>
      </c>
      <c r="BG224" s="106">
        <f>+VLOOKUP($BD224,'Mar-25'!$A:$J,2,0)</f>
        <v>83735.972000000009</v>
      </c>
      <c r="BH224" s="106">
        <f>+VLOOKUP($BD224,'Apr-25'!$A:$J,2,0)</f>
        <v>46429.664000000004</v>
      </c>
      <c r="BI224" s="106">
        <f>+VLOOKUP($BD224,'May-25'!$A:$J,2,0)</f>
        <v>75734.524000000005</v>
      </c>
      <c r="BJ224" s="106">
        <f>+VLOOKUP($BD224,'June-25'!$A:$J,2,0)</f>
        <v>49753.76400000001</v>
      </c>
      <c r="BK224" s="106">
        <f>+VLOOKUP($BD224,'July-25'!$A:$J,2,0)</f>
        <v>51579.644</v>
      </c>
      <c r="BL224" s="106">
        <f>+VLOOKUP($BD224,'Aug-25'!$A:$J,2,0)</f>
        <v>54034.956000000006</v>
      </c>
      <c r="BM224" s="106">
        <f>+VLOOKUP($BD224,'Sep-25'!$A:$J,2,0)</f>
        <v>41820.064000000006</v>
      </c>
      <c r="BN224" s="106">
        <f>+VLOOKUP($BD224,'Oct-25'!$A:$J,2,0)</f>
        <v>40771.367999999995</v>
      </c>
      <c r="BO224" s="106">
        <f>+VLOOKUP($BD224,'Nov-25'!$A:$J,2,0)</f>
        <v>0</v>
      </c>
      <c r="BP224" s="106">
        <f>+VLOOKUP($BD224,'Dec-25'!$A:$J,2,0)</f>
        <v>0</v>
      </c>
      <c r="BQ224" s="106">
        <f t="shared" ref="BQ224:BQ226" si="2752">+SUM(BE224:BP224)</f>
        <v>525228.69200000004</v>
      </c>
      <c r="BR224" s="118">
        <f t="shared" si="2679"/>
        <v>-0.18457264000000009</v>
      </c>
      <c r="BS224" s="106" cm="1">
        <f t="array" ref="BS224:CD224">+_xlfn.XLOOKUP(BD224,Budget!A:A,Budget!Q:AB)</f>
        <v>50000</v>
      </c>
      <c r="BT224" s="106">
        <v>50000</v>
      </c>
      <c r="BU224" s="106">
        <v>50000</v>
      </c>
      <c r="BV224" s="106">
        <v>50000</v>
      </c>
      <c r="BW224" s="106">
        <v>50000</v>
      </c>
      <c r="BX224" s="106">
        <v>50000</v>
      </c>
      <c r="BY224" s="106">
        <v>50000</v>
      </c>
      <c r="BZ224" s="106">
        <v>50000</v>
      </c>
      <c r="CA224" s="106">
        <v>50000</v>
      </c>
      <c r="CB224" s="106">
        <v>50000</v>
      </c>
      <c r="CC224" s="106">
        <v>50000</v>
      </c>
      <c r="CD224" s="106">
        <v>50000</v>
      </c>
      <c r="CE224" s="106">
        <f t="shared" ref="CE224:CE226" si="2753">+SUM(BS224:CD224)</f>
        <v>600000</v>
      </c>
      <c r="CF224" s="22"/>
      <c r="CG224" s="106">
        <v>13509.538499999999</v>
      </c>
      <c r="CH224" s="106">
        <v>12679.2675</v>
      </c>
      <c r="CI224" s="106">
        <v>11744.737499999999</v>
      </c>
      <c r="CJ224" s="106">
        <v>12002.638499999999</v>
      </c>
      <c r="CK224" s="106">
        <v>10555.040999999999</v>
      </c>
      <c r="CL224" s="106">
        <v>14459.1495</v>
      </c>
      <c r="CM224" s="106">
        <v>25877.693999999996</v>
      </c>
      <c r="CN224" s="106">
        <v>11214.243000000002</v>
      </c>
      <c r="CO224" s="106">
        <v>11650.794</v>
      </c>
      <c r="CP224" s="106">
        <v>10411.179</v>
      </c>
      <c r="CQ224" s="106">
        <v>85489.3845</v>
      </c>
      <c r="CR224" s="106">
        <v>13898.04</v>
      </c>
      <c r="CS224" s="106">
        <f t="shared" ref="CS224:CS226" si="2754">+SUM(CG224:CR224)</f>
        <v>233491.70699999997</v>
      </c>
      <c r="CT224" s="16" t="str">
        <f t="shared" si="2340"/>
        <v>Bank Charge</v>
      </c>
      <c r="CU224" s="106">
        <f>+VLOOKUP($BD224,'Jan-25'!$A:$J,6,0)</f>
        <v>19870.753499999995</v>
      </c>
      <c r="CV224" s="106">
        <f>+VLOOKUP($BD224,'Feb-25'!$A:$J,6,0)</f>
        <v>10642.522499999999</v>
      </c>
      <c r="CW224" s="106">
        <f>+VLOOKUP($BD224,'Mar-25'!$A:$J,6,0)</f>
        <v>31400.989499999996</v>
      </c>
      <c r="CX224" s="106">
        <f>+VLOOKUP($BD224,'Apr-25'!$A:$J,6,0)</f>
        <v>17411.123999999996</v>
      </c>
      <c r="CY224" s="106">
        <f>+VLOOKUP($BD224,'May-25'!$A:$J,6,0)</f>
        <v>28400.446499999998</v>
      </c>
      <c r="CZ224" s="106">
        <f>+VLOOKUP($BD224,'June-25'!$A:$J,6,0)</f>
        <v>17772.661500000002</v>
      </c>
      <c r="DA224" s="106">
        <f>+VLOOKUP($BD224,'July-25'!$A:$J,6,0)</f>
        <v>19342.366499999996</v>
      </c>
      <c r="DB224" s="106">
        <f>+VLOOKUP($BD224,'Aug-25'!$A:$J,6,0)</f>
        <v>20263.108500000002</v>
      </c>
      <c r="DC224" s="106">
        <f>+VLOOKUP($BD224,'Sep-25'!$A:$J,6,0)</f>
        <v>15682.523999999999</v>
      </c>
      <c r="DD224" s="106">
        <f>+VLOOKUP($BD224,'Oct-25'!$A:$J,6,0)</f>
        <v>20385.683999999997</v>
      </c>
      <c r="DE224" s="106">
        <f>+VLOOKUP($BD224,'Nov-25'!$A:$J,6,0)</f>
        <v>0</v>
      </c>
      <c r="DF224" s="106">
        <f>+VLOOKUP($BD224,'Dec-25'!$A:$J,6,0)</f>
        <v>0</v>
      </c>
      <c r="DG224" s="106">
        <f t="shared" ref="DG224:DG226" si="2755">+SUM(CU224:DF224)</f>
        <v>201172.18049999999</v>
      </c>
      <c r="DH224" s="118">
        <f t="shared" si="2680"/>
        <v>8.7236479999999866E-2</v>
      </c>
      <c r="DI224" s="106">
        <f>+_xlfn.XLOOKUP($CT224,Budget!$A:$A,Budget!BQ:BQ)</f>
        <v>18750</v>
      </c>
      <c r="DJ224" s="106">
        <f>+_xlfn.XLOOKUP($CT224,Budget!$A:$A,Budget!BR:BR)</f>
        <v>18750</v>
      </c>
      <c r="DK224" s="106">
        <f>+_xlfn.XLOOKUP($CT224,Budget!$A:$A,Budget!BS:BS)</f>
        <v>18750</v>
      </c>
      <c r="DL224" s="106">
        <f>+_xlfn.XLOOKUP($CT224,Budget!$A:$A,Budget!BT:BT)</f>
        <v>18750</v>
      </c>
      <c r="DM224" s="106">
        <f>+_xlfn.XLOOKUP($CT224,Budget!$A:$A,Budget!BU:BU)</f>
        <v>18750</v>
      </c>
      <c r="DN224" s="106">
        <f>+_xlfn.XLOOKUP($CT224,Budget!$A:$A,Budget!BV:BV)</f>
        <v>18750</v>
      </c>
      <c r="DO224" s="106">
        <f>+_xlfn.XLOOKUP($CT224,Budget!$A:$A,Budget!BW:BW)</f>
        <v>18750</v>
      </c>
      <c r="DP224" s="106">
        <f>+_xlfn.XLOOKUP($CT224,Budget!$A:$A,Budget!BX:BX)</f>
        <v>18750</v>
      </c>
      <c r="DQ224" s="106">
        <f>+_xlfn.XLOOKUP($CT224,Budget!$A:$A,Budget!BY:BY)</f>
        <v>18750</v>
      </c>
      <c r="DR224" s="106">
        <f>+_xlfn.XLOOKUP($CT224,Budget!$A:$A,Budget!BZ:BZ)</f>
        <v>18750</v>
      </c>
      <c r="DS224" s="106">
        <f>+_xlfn.XLOOKUP($CT224,Budget!$A:$A,Budget!CA:CA)</f>
        <v>18750</v>
      </c>
      <c r="DT224" s="106">
        <f>+_xlfn.XLOOKUP($CT224,Budget!$A:$A,Budget!CB:CB)</f>
        <v>18750</v>
      </c>
      <c r="DU224" s="106">
        <f t="shared" ref="DU224:DU226" si="2756">+SUM(DI224:DT224)</f>
        <v>225000</v>
      </c>
    </row>
    <row r="225" spans="1:125" ht="14.45" hidden="1" customHeight="1" outlineLevel="2">
      <c r="A225" s="106">
        <f t="shared" si="2712"/>
        <v>0</v>
      </c>
      <c r="B225" s="106">
        <f t="shared" si="2713"/>
        <v>0</v>
      </c>
      <c r="C225" s="106">
        <f t="shared" si="2714"/>
        <v>0</v>
      </c>
      <c r="D225" s="106">
        <f t="shared" si="2715"/>
        <v>0</v>
      </c>
      <c r="E225" s="106">
        <f t="shared" si="2716"/>
        <v>0</v>
      </c>
      <c r="F225" s="106">
        <f t="shared" si="2717"/>
        <v>0</v>
      </c>
      <c r="G225" s="106">
        <f t="shared" si="2718"/>
        <v>0</v>
      </c>
      <c r="H225" s="106">
        <f t="shared" si="2719"/>
        <v>0</v>
      </c>
      <c r="I225" s="106">
        <f t="shared" si="2720"/>
        <v>0</v>
      </c>
      <c r="J225" s="106">
        <f t="shared" si="2721"/>
        <v>0</v>
      </c>
      <c r="K225" s="106">
        <f t="shared" si="2722"/>
        <v>0</v>
      </c>
      <c r="L225" s="106">
        <f t="shared" si="2723"/>
        <v>0</v>
      </c>
      <c r="M225" s="106">
        <f t="shared" si="2724"/>
        <v>0</v>
      </c>
      <c r="N225" s="16" t="s">
        <v>188</v>
      </c>
      <c r="O225" s="106">
        <f t="shared" si="2725"/>
        <v>0</v>
      </c>
      <c r="P225" s="106">
        <f t="shared" si="2726"/>
        <v>0</v>
      </c>
      <c r="Q225" s="106">
        <f t="shared" si="2727"/>
        <v>0</v>
      </c>
      <c r="R225" s="106">
        <f t="shared" si="2728"/>
        <v>0</v>
      </c>
      <c r="S225" s="106">
        <f t="shared" si="2729"/>
        <v>0</v>
      </c>
      <c r="T225" s="106">
        <f t="shared" si="2730"/>
        <v>0</v>
      </c>
      <c r="U225" s="106">
        <f t="shared" si="2731"/>
        <v>0</v>
      </c>
      <c r="V225" s="106">
        <f t="shared" si="2732"/>
        <v>0</v>
      </c>
      <c r="W225" s="106">
        <f t="shared" si="2733"/>
        <v>0</v>
      </c>
      <c r="X225" s="106">
        <f t="shared" si="2734"/>
        <v>0</v>
      </c>
      <c r="Y225" s="106">
        <f t="shared" si="2735"/>
        <v>0</v>
      </c>
      <c r="Z225" s="106">
        <f t="shared" si="2736"/>
        <v>0</v>
      </c>
      <c r="AA225" s="106">
        <f t="shared" si="2737"/>
        <v>0</v>
      </c>
      <c r="AB225" s="118">
        <f t="shared" si="2678"/>
        <v>0</v>
      </c>
      <c r="AC225" s="106">
        <f t="shared" si="2738"/>
        <v>0</v>
      </c>
      <c r="AD225" s="106">
        <f t="shared" si="2739"/>
        <v>0</v>
      </c>
      <c r="AE225" s="106">
        <f t="shared" si="2740"/>
        <v>0</v>
      </c>
      <c r="AF225" s="106">
        <f t="shared" si="2741"/>
        <v>0</v>
      </c>
      <c r="AG225" s="106">
        <f t="shared" si="2742"/>
        <v>0</v>
      </c>
      <c r="AH225" s="106">
        <f t="shared" si="2743"/>
        <v>0</v>
      </c>
      <c r="AI225" s="106">
        <f t="shared" si="2744"/>
        <v>0</v>
      </c>
      <c r="AJ225" s="106">
        <f t="shared" si="2745"/>
        <v>0</v>
      </c>
      <c r="AK225" s="106">
        <f t="shared" si="2746"/>
        <v>0</v>
      </c>
      <c r="AL225" s="106">
        <f t="shared" si="2747"/>
        <v>0</v>
      </c>
      <c r="AM225" s="106">
        <f t="shared" si="2748"/>
        <v>0</v>
      </c>
      <c r="AN225" s="106">
        <f t="shared" si="2749"/>
        <v>0</v>
      </c>
      <c r="AO225" s="106">
        <f t="shared" si="2750"/>
        <v>0</v>
      </c>
      <c r="AQ225" s="106">
        <v>0</v>
      </c>
      <c r="AR225" s="106">
        <v>0</v>
      </c>
      <c r="AS225" s="106">
        <v>0</v>
      </c>
      <c r="AT225" s="106">
        <v>0</v>
      </c>
      <c r="AU225" s="106">
        <v>0</v>
      </c>
      <c r="AV225" s="106">
        <v>0</v>
      </c>
      <c r="AW225" s="106">
        <v>0</v>
      </c>
      <c r="AX225" s="106">
        <v>0</v>
      </c>
      <c r="AY225" s="106">
        <v>0</v>
      </c>
      <c r="AZ225" s="106">
        <v>0</v>
      </c>
      <c r="BA225" s="106">
        <v>0</v>
      </c>
      <c r="BB225" s="106">
        <v>0</v>
      </c>
      <c r="BC225" s="106">
        <f t="shared" si="2751"/>
        <v>0</v>
      </c>
      <c r="BD225" s="16" t="str">
        <f t="shared" si="2339"/>
        <v>Commission on Bank Guarantee</v>
      </c>
      <c r="BE225" s="106">
        <f>+VLOOKUP($BD225,'Jan-25'!$A:$J,2,0)</f>
        <v>0</v>
      </c>
      <c r="BF225" s="106">
        <f>+VLOOKUP($BD225,'Feb-25'!$A:$J,2,0)</f>
        <v>0</v>
      </c>
      <c r="BG225" s="106">
        <f>+VLOOKUP($BD225,'Mar-25'!$A:$J,2,0)</f>
        <v>0</v>
      </c>
      <c r="BH225" s="106">
        <f>+VLOOKUP($BD225,'Apr-25'!$A:$J,2,0)</f>
        <v>0</v>
      </c>
      <c r="BI225" s="106">
        <f>+VLOOKUP($BD225,'May-25'!$A:$J,2,0)</f>
        <v>0</v>
      </c>
      <c r="BJ225" s="106">
        <f>+VLOOKUP($BD225,'June-25'!$A:$J,2,0)</f>
        <v>0</v>
      </c>
      <c r="BK225" s="106">
        <f>+VLOOKUP($BD225,'July-25'!$A:$J,2,0)</f>
        <v>0</v>
      </c>
      <c r="BL225" s="106">
        <f>+VLOOKUP($BD225,'Aug-25'!$A:$J,2,0)</f>
        <v>0</v>
      </c>
      <c r="BM225" s="106">
        <f>+VLOOKUP($BD225,'Sep-25'!$A:$J,2,0)</f>
        <v>0</v>
      </c>
      <c r="BN225" s="106">
        <f>+VLOOKUP($BD225,'Oct-25'!$A:$J,2,0)</f>
        <v>0</v>
      </c>
      <c r="BO225" s="106">
        <f>+VLOOKUP($BD225,'Nov-25'!$A:$J,2,0)</f>
        <v>0</v>
      </c>
      <c r="BP225" s="106">
        <f>+VLOOKUP($BD225,'Dec-25'!$A:$J,2,0)</f>
        <v>0</v>
      </c>
      <c r="BQ225" s="106">
        <f t="shared" si="2752"/>
        <v>0</v>
      </c>
      <c r="BR225" s="118">
        <f t="shared" si="2679"/>
        <v>0</v>
      </c>
      <c r="BS225" s="106" cm="1">
        <f t="array" ref="BS225:CD225">+_xlfn.XLOOKUP(BD225,Budget!A:A,Budget!Q:AB)</f>
        <v>0</v>
      </c>
      <c r="BT225" s="106">
        <v>0</v>
      </c>
      <c r="BU225" s="106">
        <v>0</v>
      </c>
      <c r="BV225" s="106">
        <v>0</v>
      </c>
      <c r="BW225" s="106">
        <v>0</v>
      </c>
      <c r="BX225" s="106">
        <v>0</v>
      </c>
      <c r="BY225" s="106">
        <v>0</v>
      </c>
      <c r="BZ225" s="106">
        <v>0</v>
      </c>
      <c r="CA225" s="106">
        <v>0</v>
      </c>
      <c r="CB225" s="106">
        <v>0</v>
      </c>
      <c r="CC225" s="106">
        <v>0</v>
      </c>
      <c r="CD225" s="106">
        <v>0</v>
      </c>
      <c r="CE225" s="106">
        <f t="shared" si="2753"/>
        <v>0</v>
      </c>
      <c r="CF225" s="22"/>
      <c r="CG225" s="106">
        <v>0</v>
      </c>
      <c r="CH225" s="106">
        <v>0</v>
      </c>
      <c r="CI225" s="106">
        <v>0</v>
      </c>
      <c r="CJ225" s="106">
        <v>0</v>
      </c>
      <c r="CK225" s="106">
        <v>0</v>
      </c>
      <c r="CL225" s="106">
        <v>0</v>
      </c>
      <c r="CM225" s="106">
        <v>0</v>
      </c>
      <c r="CN225" s="106">
        <v>0</v>
      </c>
      <c r="CO225" s="106">
        <v>0</v>
      </c>
      <c r="CP225" s="106">
        <v>0</v>
      </c>
      <c r="CQ225" s="106">
        <v>0</v>
      </c>
      <c r="CR225" s="106">
        <v>0</v>
      </c>
      <c r="CS225" s="106">
        <f t="shared" si="2754"/>
        <v>0</v>
      </c>
      <c r="CT225" s="16" t="str">
        <f t="shared" si="2340"/>
        <v>Commission on Bank Guarantee</v>
      </c>
      <c r="CU225" s="106">
        <f>+VLOOKUP($BD225,'Jan-25'!$A:$J,6,0)</f>
        <v>0</v>
      </c>
      <c r="CV225" s="106">
        <f>+VLOOKUP($BD225,'Feb-25'!$A:$J,6,0)</f>
        <v>0</v>
      </c>
      <c r="CW225" s="106">
        <f>+VLOOKUP($BD225,'Mar-25'!$A:$J,6,0)</f>
        <v>0</v>
      </c>
      <c r="CX225" s="106">
        <f>+VLOOKUP($BD225,'Apr-25'!$A:$J,6,0)</f>
        <v>0</v>
      </c>
      <c r="CY225" s="106">
        <f>+VLOOKUP($BD225,'May-25'!$A:$J,6,0)</f>
        <v>0</v>
      </c>
      <c r="CZ225" s="106">
        <f>+VLOOKUP($BD225,'June-25'!$A:$J,6,0)</f>
        <v>0</v>
      </c>
      <c r="DA225" s="106">
        <f>+VLOOKUP($BD225,'July-25'!$A:$J,6,0)</f>
        <v>0</v>
      </c>
      <c r="DB225" s="106">
        <f>+VLOOKUP($BD225,'Aug-25'!$A:$J,6,0)</f>
        <v>0</v>
      </c>
      <c r="DC225" s="106">
        <f>+VLOOKUP($BD225,'Sep-25'!$A:$J,6,0)</f>
        <v>0</v>
      </c>
      <c r="DD225" s="106">
        <f>+VLOOKUP($BD225,'Oct-25'!$A:$J,6,0)</f>
        <v>0</v>
      </c>
      <c r="DE225" s="106">
        <f>+VLOOKUP($BD225,'Nov-25'!$A:$J,6,0)</f>
        <v>0</v>
      </c>
      <c r="DF225" s="106">
        <f>+VLOOKUP($BD225,'Dec-25'!$A:$J,6,0)</f>
        <v>0</v>
      </c>
      <c r="DG225" s="106">
        <f t="shared" si="2755"/>
        <v>0</v>
      </c>
      <c r="DH225" s="118">
        <f t="shared" si="2680"/>
        <v>0</v>
      </c>
      <c r="DI225" s="106">
        <f>+_xlfn.XLOOKUP($CT225,Budget!$A:$A,Budget!BQ:BQ)</f>
        <v>0</v>
      </c>
      <c r="DJ225" s="106">
        <f>+_xlfn.XLOOKUP($CT225,Budget!$A:$A,Budget!BR:BR)</f>
        <v>0</v>
      </c>
      <c r="DK225" s="106">
        <f>+_xlfn.XLOOKUP($CT225,Budget!$A:$A,Budget!BS:BS)</f>
        <v>0</v>
      </c>
      <c r="DL225" s="106">
        <f>+_xlfn.XLOOKUP($CT225,Budget!$A:$A,Budget!BT:BT)</f>
        <v>0</v>
      </c>
      <c r="DM225" s="106">
        <f>+_xlfn.XLOOKUP($CT225,Budget!$A:$A,Budget!BU:BU)</f>
        <v>0</v>
      </c>
      <c r="DN225" s="106">
        <f>+_xlfn.XLOOKUP($CT225,Budget!$A:$A,Budget!BV:BV)</f>
        <v>0</v>
      </c>
      <c r="DO225" s="106">
        <f>+_xlfn.XLOOKUP($CT225,Budget!$A:$A,Budget!BW:BW)</f>
        <v>0</v>
      </c>
      <c r="DP225" s="106">
        <f>+_xlfn.XLOOKUP($CT225,Budget!$A:$A,Budget!BX:BX)</f>
        <v>0</v>
      </c>
      <c r="DQ225" s="106">
        <f>+_xlfn.XLOOKUP($CT225,Budget!$A:$A,Budget!BY:BY)</f>
        <v>0</v>
      </c>
      <c r="DR225" s="106">
        <f>+_xlfn.XLOOKUP($CT225,Budget!$A:$A,Budget!BZ:BZ)</f>
        <v>0</v>
      </c>
      <c r="DS225" s="106">
        <f>+_xlfn.XLOOKUP($CT225,Budget!$A:$A,Budget!CA:CA)</f>
        <v>0</v>
      </c>
      <c r="DT225" s="106">
        <f>+_xlfn.XLOOKUP($CT225,Budget!$A:$A,Budget!CB:CB)</f>
        <v>0</v>
      </c>
      <c r="DU225" s="106">
        <f t="shared" si="2756"/>
        <v>0</v>
      </c>
    </row>
    <row r="226" spans="1:125" ht="14.45" hidden="1" customHeight="1" outlineLevel="2">
      <c r="A226" s="106">
        <f t="shared" si="2712"/>
        <v>0</v>
      </c>
      <c r="B226" s="106">
        <f t="shared" si="2713"/>
        <v>0</v>
      </c>
      <c r="C226" s="106">
        <f t="shared" si="2714"/>
        <v>0</v>
      </c>
      <c r="D226" s="106">
        <f t="shared" si="2715"/>
        <v>0</v>
      </c>
      <c r="E226" s="106">
        <f t="shared" si="2716"/>
        <v>0</v>
      </c>
      <c r="F226" s="106">
        <f t="shared" si="2717"/>
        <v>0</v>
      </c>
      <c r="G226" s="106">
        <f t="shared" si="2718"/>
        <v>0</v>
      </c>
      <c r="H226" s="106">
        <f t="shared" si="2719"/>
        <v>0</v>
      </c>
      <c r="I226" s="106">
        <f t="shared" si="2720"/>
        <v>0</v>
      </c>
      <c r="J226" s="106">
        <f t="shared" si="2721"/>
        <v>0</v>
      </c>
      <c r="K226" s="106">
        <f t="shared" si="2722"/>
        <v>0</v>
      </c>
      <c r="L226" s="106">
        <f t="shared" si="2723"/>
        <v>0</v>
      </c>
      <c r="M226" s="106">
        <f t="shared" si="2724"/>
        <v>0</v>
      </c>
      <c r="N226" s="16" t="s">
        <v>189</v>
      </c>
      <c r="O226" s="106">
        <f t="shared" si="2725"/>
        <v>0</v>
      </c>
      <c r="P226" s="106">
        <f t="shared" si="2726"/>
        <v>0</v>
      </c>
      <c r="Q226" s="106">
        <f t="shared" si="2727"/>
        <v>0</v>
      </c>
      <c r="R226" s="106">
        <f t="shared" si="2728"/>
        <v>0</v>
      </c>
      <c r="S226" s="106">
        <f t="shared" si="2729"/>
        <v>0</v>
      </c>
      <c r="T226" s="106">
        <f t="shared" si="2730"/>
        <v>0</v>
      </c>
      <c r="U226" s="106">
        <f t="shared" si="2731"/>
        <v>0</v>
      </c>
      <c r="V226" s="106">
        <f t="shared" si="2732"/>
        <v>0</v>
      </c>
      <c r="W226" s="106">
        <f t="shared" si="2733"/>
        <v>0</v>
      </c>
      <c r="X226" s="106">
        <f t="shared" si="2734"/>
        <v>0</v>
      </c>
      <c r="Y226" s="106">
        <f t="shared" si="2735"/>
        <v>0</v>
      </c>
      <c r="Z226" s="106">
        <f t="shared" si="2736"/>
        <v>0</v>
      </c>
      <c r="AA226" s="106">
        <f t="shared" si="2737"/>
        <v>0</v>
      </c>
      <c r="AB226" s="118">
        <f t="shared" si="2678"/>
        <v>0</v>
      </c>
      <c r="AC226" s="106">
        <f t="shared" si="2738"/>
        <v>0</v>
      </c>
      <c r="AD226" s="106">
        <f t="shared" si="2739"/>
        <v>0</v>
      </c>
      <c r="AE226" s="106">
        <f t="shared" si="2740"/>
        <v>0</v>
      </c>
      <c r="AF226" s="106">
        <f t="shared" si="2741"/>
        <v>0</v>
      </c>
      <c r="AG226" s="106">
        <f t="shared" si="2742"/>
        <v>0</v>
      </c>
      <c r="AH226" s="106">
        <f t="shared" si="2743"/>
        <v>0</v>
      </c>
      <c r="AI226" s="106">
        <f t="shared" si="2744"/>
        <v>0</v>
      </c>
      <c r="AJ226" s="106">
        <f t="shared" si="2745"/>
        <v>0</v>
      </c>
      <c r="AK226" s="106">
        <f t="shared" si="2746"/>
        <v>0</v>
      </c>
      <c r="AL226" s="106">
        <f t="shared" si="2747"/>
        <v>0</v>
      </c>
      <c r="AM226" s="106">
        <f t="shared" si="2748"/>
        <v>0</v>
      </c>
      <c r="AN226" s="106">
        <f t="shared" si="2749"/>
        <v>0</v>
      </c>
      <c r="AO226" s="106">
        <f t="shared" si="2750"/>
        <v>0</v>
      </c>
      <c r="AQ226" s="106">
        <v>0</v>
      </c>
      <c r="AR226" s="106">
        <v>0</v>
      </c>
      <c r="AS226" s="106">
        <v>0</v>
      </c>
      <c r="AT226" s="106">
        <v>0</v>
      </c>
      <c r="AU226" s="106">
        <v>0</v>
      </c>
      <c r="AV226" s="106">
        <v>0</v>
      </c>
      <c r="AW226" s="106">
        <v>0</v>
      </c>
      <c r="AX226" s="106">
        <v>0</v>
      </c>
      <c r="AY226" s="106">
        <v>0</v>
      </c>
      <c r="AZ226" s="106">
        <v>0</v>
      </c>
      <c r="BA226" s="106">
        <v>0</v>
      </c>
      <c r="BB226" s="106">
        <v>0</v>
      </c>
      <c r="BC226" s="106">
        <f t="shared" si="2751"/>
        <v>0</v>
      </c>
      <c r="BD226" s="16" t="str">
        <f t="shared" si="2339"/>
        <v>Commission on Credit Card</v>
      </c>
      <c r="BE226" s="106">
        <f>+VLOOKUP($BD226,'Jan-25'!$A:$J,2,0)</f>
        <v>0</v>
      </c>
      <c r="BF226" s="106">
        <f>+VLOOKUP($BD226,'Feb-25'!$A:$J,2,0)</f>
        <v>0</v>
      </c>
      <c r="BG226" s="106">
        <f>+VLOOKUP($BD226,'Mar-25'!$A:$J,2,0)</f>
        <v>0</v>
      </c>
      <c r="BH226" s="106">
        <f>+VLOOKUP($BD226,'Apr-25'!$A:$J,2,0)</f>
        <v>0</v>
      </c>
      <c r="BI226" s="106">
        <f>+VLOOKUP($BD226,'May-25'!$A:$J,2,0)</f>
        <v>0</v>
      </c>
      <c r="BJ226" s="106">
        <f>+VLOOKUP($BD226,'June-25'!$A:$J,2,0)</f>
        <v>0</v>
      </c>
      <c r="BK226" s="106">
        <f>+VLOOKUP($BD226,'July-25'!$A:$J,2,0)</f>
        <v>0</v>
      </c>
      <c r="BL226" s="106">
        <f>+VLOOKUP($BD226,'Aug-25'!$A:$J,2,0)</f>
        <v>0</v>
      </c>
      <c r="BM226" s="106">
        <f>+VLOOKUP($BD226,'Sep-25'!$A:$J,2,0)</f>
        <v>0</v>
      </c>
      <c r="BN226" s="106">
        <f>+VLOOKUP($BD226,'Oct-25'!$A:$J,2,0)</f>
        <v>0</v>
      </c>
      <c r="BO226" s="106">
        <f>+VLOOKUP($BD226,'Nov-25'!$A:$J,2,0)</f>
        <v>0</v>
      </c>
      <c r="BP226" s="106">
        <f>+VLOOKUP($BD226,'Dec-25'!$A:$J,2,0)</f>
        <v>0</v>
      </c>
      <c r="BQ226" s="106">
        <f t="shared" si="2752"/>
        <v>0</v>
      </c>
      <c r="BR226" s="118">
        <f t="shared" si="2679"/>
        <v>0</v>
      </c>
      <c r="BS226" s="106" cm="1">
        <f t="array" ref="BS226:CD226">+_xlfn.XLOOKUP(BD226,Budget!A:A,Budget!Q:AB)</f>
        <v>0</v>
      </c>
      <c r="BT226" s="106">
        <v>0</v>
      </c>
      <c r="BU226" s="106">
        <v>0</v>
      </c>
      <c r="BV226" s="106">
        <v>0</v>
      </c>
      <c r="BW226" s="106">
        <v>0</v>
      </c>
      <c r="BX226" s="106">
        <v>0</v>
      </c>
      <c r="BY226" s="106">
        <v>0</v>
      </c>
      <c r="BZ226" s="106">
        <v>0</v>
      </c>
      <c r="CA226" s="106">
        <v>0</v>
      </c>
      <c r="CB226" s="106">
        <v>0</v>
      </c>
      <c r="CC226" s="106">
        <v>0</v>
      </c>
      <c r="CD226" s="106">
        <v>0</v>
      </c>
      <c r="CE226" s="106">
        <f t="shared" si="2753"/>
        <v>0</v>
      </c>
      <c r="CF226" s="22"/>
      <c r="CG226" s="106">
        <v>0</v>
      </c>
      <c r="CH226" s="106">
        <v>0</v>
      </c>
      <c r="CI226" s="106">
        <v>0</v>
      </c>
      <c r="CJ226" s="106">
        <v>0</v>
      </c>
      <c r="CK226" s="106">
        <v>0</v>
      </c>
      <c r="CL226" s="106">
        <v>0</v>
      </c>
      <c r="CM226" s="106">
        <v>0</v>
      </c>
      <c r="CN226" s="106">
        <v>0</v>
      </c>
      <c r="CO226" s="106">
        <v>0</v>
      </c>
      <c r="CP226" s="106">
        <v>0</v>
      </c>
      <c r="CQ226" s="106">
        <v>0</v>
      </c>
      <c r="CR226" s="106">
        <v>0</v>
      </c>
      <c r="CS226" s="106">
        <f t="shared" si="2754"/>
        <v>0</v>
      </c>
      <c r="CT226" s="16" t="str">
        <f t="shared" si="2340"/>
        <v>Commission on Credit Card</v>
      </c>
      <c r="CU226" s="106">
        <f>+VLOOKUP($BD226,'Jan-25'!$A:$J,6,0)</f>
        <v>0</v>
      </c>
      <c r="CV226" s="106">
        <f>+VLOOKUP($BD226,'Feb-25'!$A:$J,6,0)</f>
        <v>0</v>
      </c>
      <c r="CW226" s="106">
        <f>+VLOOKUP($BD226,'Mar-25'!$A:$J,6,0)</f>
        <v>0</v>
      </c>
      <c r="CX226" s="106">
        <f>+VLOOKUP($BD226,'Apr-25'!$A:$J,6,0)</f>
        <v>0</v>
      </c>
      <c r="CY226" s="106">
        <f>+VLOOKUP($BD226,'May-25'!$A:$J,6,0)</f>
        <v>0</v>
      </c>
      <c r="CZ226" s="106">
        <f>+VLOOKUP($BD226,'June-25'!$A:$J,6,0)</f>
        <v>0</v>
      </c>
      <c r="DA226" s="106">
        <f>+VLOOKUP($BD226,'July-25'!$A:$J,6,0)</f>
        <v>0</v>
      </c>
      <c r="DB226" s="106">
        <f>+VLOOKUP($BD226,'Aug-25'!$A:$J,6,0)</f>
        <v>0</v>
      </c>
      <c r="DC226" s="106">
        <f>+VLOOKUP($BD226,'Sep-25'!$A:$J,6,0)</f>
        <v>0</v>
      </c>
      <c r="DD226" s="106">
        <f>+VLOOKUP($BD226,'Oct-25'!$A:$J,6,0)</f>
        <v>0</v>
      </c>
      <c r="DE226" s="106">
        <f>+VLOOKUP($BD226,'Nov-25'!$A:$J,6,0)</f>
        <v>0</v>
      </c>
      <c r="DF226" s="106">
        <f>+VLOOKUP($BD226,'Dec-25'!$A:$J,6,0)</f>
        <v>0</v>
      </c>
      <c r="DG226" s="106">
        <f t="shared" si="2755"/>
        <v>0</v>
      </c>
      <c r="DH226" s="118">
        <f t="shared" si="2680"/>
        <v>0</v>
      </c>
      <c r="DI226" s="106">
        <f>+_xlfn.XLOOKUP($CT226,Budget!$A:$A,Budget!BQ:BQ)</f>
        <v>0</v>
      </c>
      <c r="DJ226" s="106">
        <f>+_xlfn.XLOOKUP($CT226,Budget!$A:$A,Budget!BR:BR)</f>
        <v>0</v>
      </c>
      <c r="DK226" s="106">
        <f>+_xlfn.XLOOKUP($CT226,Budget!$A:$A,Budget!BS:BS)</f>
        <v>0</v>
      </c>
      <c r="DL226" s="106">
        <f>+_xlfn.XLOOKUP($CT226,Budget!$A:$A,Budget!BT:BT)</f>
        <v>0</v>
      </c>
      <c r="DM226" s="106">
        <f>+_xlfn.XLOOKUP($CT226,Budget!$A:$A,Budget!BU:BU)</f>
        <v>0</v>
      </c>
      <c r="DN226" s="106">
        <f>+_xlfn.XLOOKUP($CT226,Budget!$A:$A,Budget!BV:BV)</f>
        <v>0</v>
      </c>
      <c r="DO226" s="106">
        <f>+_xlfn.XLOOKUP($CT226,Budget!$A:$A,Budget!BW:BW)</f>
        <v>0</v>
      </c>
      <c r="DP226" s="106">
        <f>+_xlfn.XLOOKUP($CT226,Budget!$A:$A,Budget!BX:BX)</f>
        <v>0</v>
      </c>
      <c r="DQ226" s="106">
        <f>+_xlfn.XLOOKUP($CT226,Budget!$A:$A,Budget!BY:BY)</f>
        <v>0</v>
      </c>
      <c r="DR226" s="106">
        <f>+_xlfn.XLOOKUP($CT226,Budget!$A:$A,Budget!BZ:BZ)</f>
        <v>0</v>
      </c>
      <c r="DS226" s="106">
        <f>+_xlfn.XLOOKUP($CT226,Budget!$A:$A,Budget!CA:CA)</f>
        <v>0</v>
      </c>
      <c r="DT226" s="106">
        <f>+_xlfn.XLOOKUP($CT226,Budget!$A:$A,Budget!CB:CB)</f>
        <v>0</v>
      </c>
      <c r="DU226" s="106">
        <f t="shared" si="2756"/>
        <v>0</v>
      </c>
    </row>
    <row r="227" spans="1:125" ht="14.45" hidden="1" customHeight="1" outlineLevel="1" collapsed="1">
      <c r="A227" s="58">
        <f t="shared" ref="A227:L227" si="2757">+A228+A229</f>
        <v>5707.9</v>
      </c>
      <c r="B227" s="58">
        <f t="shared" si="2757"/>
        <v>74720.800000000003</v>
      </c>
      <c r="C227" s="58">
        <f t="shared" si="2757"/>
        <v>125471.5</v>
      </c>
      <c r="D227" s="58">
        <f t="shared" si="2757"/>
        <v>15021.600000000002</v>
      </c>
      <c r="E227" s="58">
        <f t="shared" si="2757"/>
        <v>4520.4500000000007</v>
      </c>
      <c r="F227" s="58">
        <f t="shared" si="2757"/>
        <v>15748.150000000001</v>
      </c>
      <c r="G227" s="58">
        <f t="shared" si="2757"/>
        <v>13699.95</v>
      </c>
      <c r="H227" s="58">
        <f t="shared" si="2757"/>
        <v>23579.599999999999</v>
      </c>
      <c r="I227" s="58">
        <f t="shared" si="2757"/>
        <v>39730.9</v>
      </c>
      <c r="J227" s="58">
        <f t="shared" si="2757"/>
        <v>50446</v>
      </c>
      <c r="K227" s="58">
        <f t="shared" si="2757"/>
        <v>32106.25</v>
      </c>
      <c r="L227" s="58">
        <f t="shared" si="2757"/>
        <v>46839.65</v>
      </c>
      <c r="M227" s="58"/>
      <c r="N227" s="20" t="s">
        <v>190</v>
      </c>
      <c r="O227" s="58">
        <f t="shared" ref="O227" si="2758">+O228+O229</f>
        <v>50207.850000000006</v>
      </c>
      <c r="P227" s="58">
        <f t="shared" ref="P227" si="2759">+P228+P229</f>
        <v>37059.550000000003</v>
      </c>
      <c r="Q227" s="58">
        <f t="shared" ref="Q227" si="2760">+Q228+Q229</f>
        <v>9134.4000000000015</v>
      </c>
      <c r="R227" s="58">
        <f t="shared" ref="R227" si="2761">+R228+R229</f>
        <v>2415.6000000000004</v>
      </c>
      <c r="S227" s="58">
        <f t="shared" ref="S227" si="2762">+S228+S229</f>
        <v>27154.050000000003</v>
      </c>
      <c r="T227" s="58">
        <f t="shared" ref="T227" si="2763">+T228+T229</f>
        <v>16543.45</v>
      </c>
      <c r="U227" s="58">
        <f t="shared" ref="U227" si="2764">+U228+U229</f>
        <v>0</v>
      </c>
      <c r="V227" s="58">
        <f t="shared" ref="V227" si="2765">+V228+V229</f>
        <v>10255.85</v>
      </c>
      <c r="W227" s="58">
        <f t="shared" ref="W227" si="2766">+W228+W229</f>
        <v>906.95</v>
      </c>
      <c r="X227" s="58">
        <f t="shared" ref="X227" si="2767">+X228+X229</f>
        <v>5290.65</v>
      </c>
      <c r="Y227" s="58">
        <f t="shared" ref="Y227" si="2768">+Y228+Y229</f>
        <v>0</v>
      </c>
      <c r="Z227" s="58">
        <f t="shared" ref="Z227:AA227" si="2769">+Z228+Z229</f>
        <v>0</v>
      </c>
      <c r="AA227" s="58">
        <f t="shared" si="2769"/>
        <v>158968.35000000003</v>
      </c>
      <c r="AB227" s="118">
        <f t="shared" si="2678"/>
        <v>0</v>
      </c>
      <c r="AC227" s="58">
        <f t="shared" ref="AC227" si="2770">+AC228+AC229</f>
        <v>0</v>
      </c>
      <c r="AD227" s="58">
        <f t="shared" ref="AD227" si="2771">+AD228+AD229</f>
        <v>0</v>
      </c>
      <c r="AE227" s="58">
        <f t="shared" ref="AE227" si="2772">+AE228+AE229</f>
        <v>0</v>
      </c>
      <c r="AF227" s="58">
        <f t="shared" ref="AF227" si="2773">+AF228+AF229</f>
        <v>0</v>
      </c>
      <c r="AG227" s="58">
        <f t="shared" ref="AG227" si="2774">+AG228+AG229</f>
        <v>0</v>
      </c>
      <c r="AH227" s="58">
        <f t="shared" ref="AH227" si="2775">+AH228+AH229</f>
        <v>0</v>
      </c>
      <c r="AI227" s="58">
        <f t="shared" ref="AI227" si="2776">+AI228+AI229</f>
        <v>0</v>
      </c>
      <c r="AJ227" s="58">
        <f t="shared" ref="AJ227" si="2777">+AJ228+AJ229</f>
        <v>0</v>
      </c>
      <c r="AK227" s="58">
        <f t="shared" ref="AK227" si="2778">+AK228+AK229</f>
        <v>0</v>
      </c>
      <c r="AL227" s="58">
        <f t="shared" ref="AL227" si="2779">+AL228+AL229</f>
        <v>0</v>
      </c>
      <c r="AM227" s="58">
        <f t="shared" ref="AM227" si="2780">+AM228+AM229</f>
        <v>0</v>
      </c>
      <c r="AN227" s="58">
        <f t="shared" ref="AN227" si="2781">+AN228+AN229</f>
        <v>0</v>
      </c>
      <c r="AO227" s="58"/>
      <c r="AQ227" s="58">
        <f t="shared" ref="AQ227:BC227" si="2782">+AQ228+AQ229</f>
        <v>4151.2</v>
      </c>
      <c r="AR227" s="58">
        <f t="shared" si="2782"/>
        <v>54342.400000000001</v>
      </c>
      <c r="AS227" s="58">
        <f t="shared" si="2782"/>
        <v>91252</v>
      </c>
      <c r="AT227" s="58">
        <f t="shared" si="2782"/>
        <v>10924.800000000001</v>
      </c>
      <c r="AU227" s="58">
        <f t="shared" si="2782"/>
        <v>3287.6000000000004</v>
      </c>
      <c r="AV227" s="58">
        <f t="shared" si="2782"/>
        <v>11453.2</v>
      </c>
      <c r="AW227" s="58">
        <f t="shared" si="2782"/>
        <v>9963.6</v>
      </c>
      <c r="AX227" s="58">
        <f t="shared" si="2782"/>
        <v>17148.8</v>
      </c>
      <c r="AY227" s="58">
        <f t="shared" si="2782"/>
        <v>28895.200000000001</v>
      </c>
      <c r="AZ227" s="58">
        <f t="shared" si="2782"/>
        <v>36688</v>
      </c>
      <c r="BA227" s="58">
        <f t="shared" si="2782"/>
        <v>23350</v>
      </c>
      <c r="BB227" s="58">
        <f t="shared" si="2782"/>
        <v>34065.200000000004</v>
      </c>
      <c r="BC227" s="58">
        <f t="shared" si="2782"/>
        <v>325522.00000000006</v>
      </c>
      <c r="BD227" s="20" t="str">
        <f t="shared" si="2339"/>
        <v>Financial Expenses</v>
      </c>
      <c r="BE227" s="58">
        <f t="shared" ref="BE227:BQ227" si="2783">+BE228+BE229</f>
        <v>36514.800000000003</v>
      </c>
      <c r="BF227" s="58">
        <f t="shared" si="2783"/>
        <v>26952.400000000001</v>
      </c>
      <c r="BG227" s="58">
        <f t="shared" si="2783"/>
        <v>6643.2000000000007</v>
      </c>
      <c r="BH227" s="58">
        <f t="shared" si="2783"/>
        <v>1756.8000000000002</v>
      </c>
      <c r="BI227" s="58">
        <f t="shared" si="2783"/>
        <v>19748.400000000001</v>
      </c>
      <c r="BJ227" s="58">
        <f t="shared" si="2783"/>
        <v>12031.6</v>
      </c>
      <c r="BK227" s="58">
        <f t="shared" si="2783"/>
        <v>0</v>
      </c>
      <c r="BL227" s="58">
        <f t="shared" si="2783"/>
        <v>7458.8</v>
      </c>
      <c r="BM227" s="58">
        <f t="shared" si="2783"/>
        <v>659.6</v>
      </c>
      <c r="BN227" s="58">
        <f t="shared" si="2783"/>
        <v>3527.1</v>
      </c>
      <c r="BO227" s="58">
        <f t="shared" si="2783"/>
        <v>0</v>
      </c>
      <c r="BP227" s="58">
        <f t="shared" si="2783"/>
        <v>0</v>
      </c>
      <c r="BQ227" s="58">
        <f t="shared" si="2783"/>
        <v>115292.70000000003</v>
      </c>
      <c r="BR227" s="118">
        <f t="shared" si="2679"/>
        <v>0</v>
      </c>
      <c r="BS227" s="58">
        <f t="shared" ref="BS227:CE227" si="2784">+BS228+BS229</f>
        <v>0</v>
      </c>
      <c r="BT227" s="58">
        <f t="shared" si="2784"/>
        <v>0</v>
      </c>
      <c r="BU227" s="58">
        <f t="shared" si="2784"/>
        <v>0</v>
      </c>
      <c r="BV227" s="58">
        <f t="shared" si="2784"/>
        <v>0</v>
      </c>
      <c r="BW227" s="58">
        <f t="shared" si="2784"/>
        <v>0</v>
      </c>
      <c r="BX227" s="58">
        <f t="shared" si="2784"/>
        <v>0</v>
      </c>
      <c r="BY227" s="58">
        <f t="shared" si="2784"/>
        <v>0</v>
      </c>
      <c r="BZ227" s="58">
        <f t="shared" si="2784"/>
        <v>0</v>
      </c>
      <c r="CA227" s="58">
        <f t="shared" si="2784"/>
        <v>0</v>
      </c>
      <c r="CB227" s="58">
        <f t="shared" si="2784"/>
        <v>0</v>
      </c>
      <c r="CC227" s="58">
        <f t="shared" si="2784"/>
        <v>0</v>
      </c>
      <c r="CD227" s="58">
        <f t="shared" si="2784"/>
        <v>0</v>
      </c>
      <c r="CE227" s="58">
        <f t="shared" si="2784"/>
        <v>0</v>
      </c>
      <c r="CF227" s="22"/>
      <c r="CG227" s="58">
        <f t="shared" ref="CG227:CS227" si="2785">+CG228+CG229</f>
        <v>1556.7</v>
      </c>
      <c r="CH227" s="58">
        <f t="shared" si="2785"/>
        <v>20378.399999999998</v>
      </c>
      <c r="CI227" s="58">
        <f t="shared" si="2785"/>
        <v>34219.5</v>
      </c>
      <c r="CJ227" s="58">
        <f t="shared" si="2785"/>
        <v>4096.8</v>
      </c>
      <c r="CK227" s="58">
        <f t="shared" si="2785"/>
        <v>1232.8499999999999</v>
      </c>
      <c r="CL227" s="58">
        <f t="shared" si="2785"/>
        <v>4294.95</v>
      </c>
      <c r="CM227" s="58">
        <f t="shared" si="2785"/>
        <v>3736.35</v>
      </c>
      <c r="CN227" s="58">
        <f t="shared" si="2785"/>
        <v>6430.8</v>
      </c>
      <c r="CO227" s="58">
        <f t="shared" si="2785"/>
        <v>10835.699999999999</v>
      </c>
      <c r="CP227" s="58">
        <f t="shared" si="2785"/>
        <v>13758</v>
      </c>
      <c r="CQ227" s="58">
        <f t="shared" si="2785"/>
        <v>8756.25</v>
      </c>
      <c r="CR227" s="58">
        <f t="shared" si="2785"/>
        <v>12774.449999999999</v>
      </c>
      <c r="CS227" s="58">
        <f t="shared" si="2785"/>
        <v>122070.75</v>
      </c>
      <c r="CT227" s="20" t="str">
        <f t="shared" si="2340"/>
        <v>Financial Expenses</v>
      </c>
      <c r="CU227" s="58">
        <f t="shared" ref="CU227:DG227" si="2786">+CU228+CU229</f>
        <v>13693.05</v>
      </c>
      <c r="CV227" s="58">
        <f t="shared" si="2786"/>
        <v>10107.15</v>
      </c>
      <c r="CW227" s="58">
        <f t="shared" si="2786"/>
        <v>2491.1999999999998</v>
      </c>
      <c r="CX227" s="58">
        <f t="shared" si="2786"/>
        <v>658.8</v>
      </c>
      <c r="CY227" s="58">
        <f t="shared" si="2786"/>
        <v>7405.65</v>
      </c>
      <c r="CZ227" s="58">
        <f t="shared" si="2786"/>
        <v>4511.8499999999995</v>
      </c>
      <c r="DA227" s="58">
        <f t="shared" si="2786"/>
        <v>0</v>
      </c>
      <c r="DB227" s="58">
        <f t="shared" si="2786"/>
        <v>2797.0499999999997</v>
      </c>
      <c r="DC227" s="58">
        <f t="shared" si="2786"/>
        <v>247.35</v>
      </c>
      <c r="DD227" s="58">
        <f t="shared" si="2786"/>
        <v>1763.55</v>
      </c>
      <c r="DE227" s="58">
        <f t="shared" si="2786"/>
        <v>0</v>
      </c>
      <c r="DF227" s="58">
        <f t="shared" si="2786"/>
        <v>0</v>
      </c>
      <c r="DG227" s="58">
        <f t="shared" si="2786"/>
        <v>43675.65</v>
      </c>
      <c r="DH227" s="118">
        <f t="shared" si="2680"/>
        <v>0</v>
      </c>
      <c r="DI227" s="58">
        <f t="shared" ref="DI227:DU227" si="2787">+DI228+DI229</f>
        <v>0</v>
      </c>
      <c r="DJ227" s="58">
        <f t="shared" si="2787"/>
        <v>0</v>
      </c>
      <c r="DK227" s="58">
        <f t="shared" si="2787"/>
        <v>0</v>
      </c>
      <c r="DL227" s="58">
        <f t="shared" si="2787"/>
        <v>0</v>
      </c>
      <c r="DM227" s="58">
        <f t="shared" si="2787"/>
        <v>0</v>
      </c>
      <c r="DN227" s="58">
        <f t="shared" si="2787"/>
        <v>0</v>
      </c>
      <c r="DO227" s="58">
        <f t="shared" si="2787"/>
        <v>0</v>
      </c>
      <c r="DP227" s="58">
        <f t="shared" si="2787"/>
        <v>0</v>
      </c>
      <c r="DQ227" s="58">
        <f t="shared" si="2787"/>
        <v>0</v>
      </c>
      <c r="DR227" s="58">
        <f t="shared" si="2787"/>
        <v>0</v>
      </c>
      <c r="DS227" s="58">
        <f t="shared" si="2787"/>
        <v>0</v>
      </c>
      <c r="DT227" s="58">
        <f t="shared" si="2787"/>
        <v>0</v>
      </c>
      <c r="DU227" s="58">
        <f t="shared" si="2787"/>
        <v>0</v>
      </c>
    </row>
    <row r="228" spans="1:125" ht="14.45" hidden="1" customHeight="1" outlineLevel="2">
      <c r="A228" s="106">
        <f t="shared" ref="A228:A229" si="2788">+AQ228+CG228</f>
        <v>0</v>
      </c>
      <c r="B228" s="106">
        <f t="shared" ref="B228:B229" si="2789">+AR228+CH228</f>
        <v>0</v>
      </c>
      <c r="C228" s="106">
        <f t="shared" ref="C228:C229" si="2790">+AS228+CI228</f>
        <v>0</v>
      </c>
      <c r="D228" s="106">
        <f t="shared" ref="D228:D229" si="2791">+AT228+CJ228</f>
        <v>0</v>
      </c>
      <c r="E228" s="106">
        <f t="shared" ref="E228:E229" si="2792">+AU228+CK228</f>
        <v>0</v>
      </c>
      <c r="F228" s="106">
        <f t="shared" ref="F228:F229" si="2793">+AV228+CL228</f>
        <v>0</v>
      </c>
      <c r="G228" s="106">
        <f t="shared" ref="G228:G229" si="2794">+AW228+CM228</f>
        <v>0</v>
      </c>
      <c r="H228" s="106">
        <f t="shared" ref="H228:H229" si="2795">+AX228+CN228</f>
        <v>0</v>
      </c>
      <c r="I228" s="106">
        <f t="shared" ref="I228:I229" si="2796">+AY228+CO228</f>
        <v>0</v>
      </c>
      <c r="J228" s="106">
        <f t="shared" ref="J228:J229" si="2797">+AZ228+CP228</f>
        <v>0</v>
      </c>
      <c r="K228" s="106">
        <f t="shared" ref="K228:K229" si="2798">+BA228+CQ228</f>
        <v>0</v>
      </c>
      <c r="L228" s="106">
        <f t="shared" ref="L228:L229" si="2799">+BB228+CR228</f>
        <v>0</v>
      </c>
      <c r="M228" s="106">
        <f t="shared" ref="M228:M229" si="2800">+SUM(A228:L228)</f>
        <v>0</v>
      </c>
      <c r="N228" s="16" t="s">
        <v>191</v>
      </c>
      <c r="O228" s="106">
        <f t="shared" ref="O228:O229" si="2801">+BE228+CU228</f>
        <v>0</v>
      </c>
      <c r="P228" s="106">
        <f t="shared" ref="P228:P229" si="2802">+BF228+CV228</f>
        <v>0</v>
      </c>
      <c r="Q228" s="106">
        <f t="shared" ref="Q228:Q229" si="2803">+BG228+CW228</f>
        <v>0</v>
      </c>
      <c r="R228" s="106">
        <f t="shared" ref="R228:R229" si="2804">+BH228+CX228</f>
        <v>0</v>
      </c>
      <c r="S228" s="106">
        <f t="shared" ref="S228:S229" si="2805">+BI228+CY228</f>
        <v>0</v>
      </c>
      <c r="T228" s="106">
        <f t="shared" ref="T228:T229" si="2806">+BJ228+CZ228</f>
        <v>0</v>
      </c>
      <c r="U228" s="106">
        <f t="shared" ref="U228:U229" si="2807">+BK228+DA228</f>
        <v>0</v>
      </c>
      <c r="V228" s="106">
        <f t="shared" ref="V228:V229" si="2808">+BL228+DB228</f>
        <v>0</v>
      </c>
      <c r="W228" s="106">
        <f t="shared" ref="W228:W229" si="2809">+BM228+DC228</f>
        <v>0</v>
      </c>
      <c r="X228" s="106">
        <f t="shared" ref="X228:X229" si="2810">+BN228+DD228</f>
        <v>0</v>
      </c>
      <c r="Y228" s="106">
        <f t="shared" ref="Y228:Y229" si="2811">+BO228+DE228</f>
        <v>0</v>
      </c>
      <c r="Z228" s="106">
        <f t="shared" ref="Z228:Z229" si="2812">+BP228+DF228</f>
        <v>0</v>
      </c>
      <c r="AA228" s="106">
        <f t="shared" ref="AA228:AA229" si="2813">+SUM(O228:Z228)</f>
        <v>0</v>
      </c>
      <c r="AB228" s="118">
        <f t="shared" si="2678"/>
        <v>0</v>
      </c>
      <c r="AC228" s="106">
        <f t="shared" ref="AC228:AC229" si="2814">+BS228+DI228</f>
        <v>0</v>
      </c>
      <c r="AD228" s="106">
        <f t="shared" ref="AD228:AD229" si="2815">+BT228+DJ228</f>
        <v>0</v>
      </c>
      <c r="AE228" s="106">
        <f t="shared" ref="AE228:AE229" si="2816">+BU228+DK228</f>
        <v>0</v>
      </c>
      <c r="AF228" s="106">
        <f t="shared" ref="AF228:AF229" si="2817">+BV228+DL228</f>
        <v>0</v>
      </c>
      <c r="AG228" s="106">
        <f t="shared" ref="AG228:AG229" si="2818">+BW228+DM228</f>
        <v>0</v>
      </c>
      <c r="AH228" s="106">
        <f t="shared" ref="AH228:AH229" si="2819">+BX228+DN228</f>
        <v>0</v>
      </c>
      <c r="AI228" s="106">
        <f t="shared" ref="AI228:AI229" si="2820">+BY228+DO228</f>
        <v>0</v>
      </c>
      <c r="AJ228" s="106">
        <f t="shared" ref="AJ228:AJ229" si="2821">+BZ228+DP228</f>
        <v>0</v>
      </c>
      <c r="AK228" s="106">
        <f t="shared" ref="AK228:AK229" si="2822">+CA228+DQ228</f>
        <v>0</v>
      </c>
      <c r="AL228" s="106">
        <f t="shared" ref="AL228:AL229" si="2823">+CB228+DR228</f>
        <v>0</v>
      </c>
      <c r="AM228" s="106">
        <f t="shared" ref="AM228:AM229" si="2824">+CC228+DS228</f>
        <v>0</v>
      </c>
      <c r="AN228" s="106">
        <f t="shared" ref="AN228:AN229" si="2825">+CD228+DT228</f>
        <v>0</v>
      </c>
      <c r="AO228" s="106">
        <f t="shared" ref="AO228:AO229" si="2826">+SUM(AC228:AN228)</f>
        <v>0</v>
      </c>
      <c r="AQ228" s="106">
        <v>0</v>
      </c>
      <c r="AR228" s="106">
        <v>0</v>
      </c>
      <c r="AS228" s="106">
        <v>0</v>
      </c>
      <c r="AT228" s="106">
        <v>0</v>
      </c>
      <c r="AU228" s="106">
        <v>0</v>
      </c>
      <c r="AV228" s="106">
        <v>0</v>
      </c>
      <c r="AW228" s="106">
        <v>0</v>
      </c>
      <c r="AX228" s="106">
        <v>0</v>
      </c>
      <c r="AY228" s="106">
        <v>0</v>
      </c>
      <c r="AZ228" s="106">
        <v>0</v>
      </c>
      <c r="BA228" s="106">
        <v>0</v>
      </c>
      <c r="BB228" s="106">
        <v>0</v>
      </c>
      <c r="BC228" s="106">
        <f t="shared" ref="BC228:BC229" si="2827">+SUM(AQ228:BB228)</f>
        <v>0</v>
      </c>
      <c r="BD228" s="16" t="str">
        <f t="shared" si="2339"/>
        <v>Interest on Other Short Term Borrowing</v>
      </c>
      <c r="BE228" s="106">
        <f>+VLOOKUP($BD228,'Jan-25'!$A:$J,2,0)</f>
        <v>0</v>
      </c>
      <c r="BF228" s="106">
        <f>+VLOOKUP($BD228,'Feb-25'!$A:$J,2,0)</f>
        <v>0</v>
      </c>
      <c r="BG228" s="106">
        <f>+VLOOKUP($BD228,'Mar-25'!$A:$J,2,0)</f>
        <v>0</v>
      </c>
      <c r="BH228" s="106">
        <f>+VLOOKUP($BD228,'Apr-25'!$A:$J,2,0)</f>
        <v>0</v>
      </c>
      <c r="BI228" s="106">
        <f>+VLOOKUP($BD228,'May-25'!$A:$J,2,0)</f>
        <v>0</v>
      </c>
      <c r="BJ228" s="106">
        <f>+VLOOKUP($BD228,'June-25'!$A:$J,2,0)</f>
        <v>0</v>
      </c>
      <c r="BK228" s="106">
        <f>+VLOOKUP($BD228,'July-25'!$A:$J,2,0)</f>
        <v>0</v>
      </c>
      <c r="BL228" s="106">
        <f>+VLOOKUP($BD228,'Aug-25'!$A:$J,2,0)</f>
        <v>0</v>
      </c>
      <c r="BM228" s="106">
        <f>+VLOOKUP($BD228,'Sep-25'!$A:$J,2,0)</f>
        <v>0</v>
      </c>
      <c r="BN228" s="106">
        <f>+VLOOKUP($BD228,'Oct-25'!$A:$J,2,0)</f>
        <v>0</v>
      </c>
      <c r="BO228" s="106">
        <f>+VLOOKUP($BD228,'Nov-25'!$A:$J,2,0)</f>
        <v>0</v>
      </c>
      <c r="BP228" s="106">
        <f>+VLOOKUP($BD228,'Dec-25'!$A:$J,2,0)</f>
        <v>0</v>
      </c>
      <c r="BQ228" s="106">
        <f t="shared" ref="BQ228:BQ229" si="2828">+SUM(BE228:BP228)</f>
        <v>0</v>
      </c>
      <c r="BR228" s="118">
        <f t="shared" si="2679"/>
        <v>0</v>
      </c>
      <c r="BS228" s="106" cm="1">
        <f t="array" ref="BS228:CD228">+_xlfn.XLOOKUP(BD228,Budget!A:A,Budget!Q:AB)</f>
        <v>0</v>
      </c>
      <c r="BT228" s="106">
        <v>0</v>
      </c>
      <c r="BU228" s="106">
        <v>0</v>
      </c>
      <c r="BV228" s="106">
        <v>0</v>
      </c>
      <c r="BW228" s="106">
        <v>0</v>
      </c>
      <c r="BX228" s="106">
        <v>0</v>
      </c>
      <c r="BY228" s="106">
        <v>0</v>
      </c>
      <c r="BZ228" s="106">
        <v>0</v>
      </c>
      <c r="CA228" s="106">
        <v>0</v>
      </c>
      <c r="CB228" s="106">
        <v>0</v>
      </c>
      <c r="CC228" s="106">
        <v>0</v>
      </c>
      <c r="CD228" s="106">
        <v>0</v>
      </c>
      <c r="CE228" s="106">
        <f t="shared" ref="CE228:CE229" si="2829">+SUM(BS228:CD228)</f>
        <v>0</v>
      </c>
      <c r="CF228" s="22"/>
      <c r="CG228" s="106">
        <v>0</v>
      </c>
      <c r="CH228" s="106">
        <v>0</v>
      </c>
      <c r="CI228" s="106">
        <v>0</v>
      </c>
      <c r="CJ228" s="106">
        <v>0</v>
      </c>
      <c r="CK228" s="106">
        <v>0</v>
      </c>
      <c r="CL228" s="106">
        <v>0</v>
      </c>
      <c r="CM228" s="106">
        <v>0</v>
      </c>
      <c r="CN228" s="106">
        <v>0</v>
      </c>
      <c r="CO228" s="106">
        <v>0</v>
      </c>
      <c r="CP228" s="106">
        <v>0</v>
      </c>
      <c r="CQ228" s="106">
        <v>0</v>
      </c>
      <c r="CR228" s="106">
        <v>0</v>
      </c>
      <c r="CS228" s="106">
        <f t="shared" ref="CS228:CS229" si="2830">+SUM(CG228:CR228)</f>
        <v>0</v>
      </c>
      <c r="CT228" s="16" t="str">
        <f t="shared" si="2340"/>
        <v>Interest on Other Short Term Borrowing</v>
      </c>
      <c r="CU228" s="106">
        <f>+VLOOKUP($BD228,'Jan-25'!$A:$J,6,0)</f>
        <v>0</v>
      </c>
      <c r="CV228" s="106">
        <f>+VLOOKUP($BD228,'Feb-25'!$A:$J,6,0)</f>
        <v>0</v>
      </c>
      <c r="CW228" s="106">
        <f>+VLOOKUP($BD228,'Mar-25'!$A:$J,6,0)</f>
        <v>0</v>
      </c>
      <c r="CX228" s="106">
        <f>+VLOOKUP($BD228,'Apr-25'!$A:$J,6,0)</f>
        <v>0</v>
      </c>
      <c r="CY228" s="106">
        <f>+VLOOKUP($BD228,'May-25'!$A:$J,6,0)</f>
        <v>0</v>
      </c>
      <c r="CZ228" s="106">
        <f>+VLOOKUP($BD228,'June-25'!$A:$J,6,0)</f>
        <v>0</v>
      </c>
      <c r="DA228" s="106">
        <f>+VLOOKUP($BD228,'July-25'!$A:$J,6,0)</f>
        <v>0</v>
      </c>
      <c r="DB228" s="106">
        <f>+VLOOKUP($BD228,'Aug-25'!$A:$J,6,0)</f>
        <v>0</v>
      </c>
      <c r="DC228" s="106">
        <f>+VLOOKUP($BD228,'Sep-25'!$A:$J,6,0)</f>
        <v>0</v>
      </c>
      <c r="DD228" s="106">
        <f>+VLOOKUP($BD228,'Oct-25'!$A:$J,6,0)</f>
        <v>0</v>
      </c>
      <c r="DE228" s="106">
        <f>+VLOOKUP($BD228,'Nov-25'!$A:$J,6,0)</f>
        <v>0</v>
      </c>
      <c r="DF228" s="106">
        <f>+VLOOKUP($BD228,'Dec-25'!$A:$J,6,0)</f>
        <v>0</v>
      </c>
      <c r="DG228" s="106">
        <f t="shared" ref="DG228:DG229" si="2831">+SUM(CU228:DF228)</f>
        <v>0</v>
      </c>
      <c r="DH228" s="118">
        <f t="shared" si="2680"/>
        <v>0</v>
      </c>
      <c r="DI228" s="106">
        <f>+_xlfn.XLOOKUP($CT228,Budget!$A:$A,Budget!BQ:BQ)</f>
        <v>0</v>
      </c>
      <c r="DJ228" s="106">
        <f>+_xlfn.XLOOKUP($CT228,Budget!$A:$A,Budget!BR:BR)</f>
        <v>0</v>
      </c>
      <c r="DK228" s="106">
        <f>+_xlfn.XLOOKUP($CT228,Budget!$A:$A,Budget!BS:BS)</f>
        <v>0</v>
      </c>
      <c r="DL228" s="106">
        <f>+_xlfn.XLOOKUP($CT228,Budget!$A:$A,Budget!BT:BT)</f>
        <v>0</v>
      </c>
      <c r="DM228" s="106">
        <f>+_xlfn.XLOOKUP($CT228,Budget!$A:$A,Budget!BU:BU)</f>
        <v>0</v>
      </c>
      <c r="DN228" s="106">
        <f>+_xlfn.XLOOKUP($CT228,Budget!$A:$A,Budget!BV:BV)</f>
        <v>0</v>
      </c>
      <c r="DO228" s="106">
        <f>+_xlfn.XLOOKUP($CT228,Budget!$A:$A,Budget!BW:BW)</f>
        <v>0</v>
      </c>
      <c r="DP228" s="106">
        <f>+_xlfn.XLOOKUP($CT228,Budget!$A:$A,Budget!BX:BX)</f>
        <v>0</v>
      </c>
      <c r="DQ228" s="106">
        <f>+_xlfn.XLOOKUP($CT228,Budget!$A:$A,Budget!BY:BY)</f>
        <v>0</v>
      </c>
      <c r="DR228" s="106">
        <f>+_xlfn.XLOOKUP($CT228,Budget!$A:$A,Budget!BZ:BZ)</f>
        <v>0</v>
      </c>
      <c r="DS228" s="106">
        <f>+_xlfn.XLOOKUP($CT228,Budget!$A:$A,Budget!CA:CA)</f>
        <v>0</v>
      </c>
      <c r="DT228" s="106">
        <f>+_xlfn.XLOOKUP($CT228,Budget!$A:$A,Budget!CB:CB)</f>
        <v>0</v>
      </c>
      <c r="DU228" s="106">
        <f t="shared" ref="DU228:DU229" si="2832">+SUM(DI228:DT228)</f>
        <v>0</v>
      </c>
    </row>
    <row r="229" spans="1:125" ht="14.45" hidden="1" customHeight="1" outlineLevel="2">
      <c r="A229" s="106">
        <f t="shared" si="2788"/>
        <v>5707.9</v>
      </c>
      <c r="B229" s="106">
        <f t="shared" si="2789"/>
        <v>74720.800000000003</v>
      </c>
      <c r="C229" s="106">
        <f t="shared" si="2790"/>
        <v>125471.5</v>
      </c>
      <c r="D229" s="106">
        <f t="shared" si="2791"/>
        <v>15021.600000000002</v>
      </c>
      <c r="E229" s="106">
        <f t="shared" si="2792"/>
        <v>4520.4500000000007</v>
      </c>
      <c r="F229" s="106">
        <f t="shared" si="2793"/>
        <v>15748.150000000001</v>
      </c>
      <c r="G229" s="106">
        <f t="shared" si="2794"/>
        <v>13699.95</v>
      </c>
      <c r="H229" s="106">
        <f t="shared" si="2795"/>
        <v>23579.599999999999</v>
      </c>
      <c r="I229" s="106">
        <f t="shared" si="2796"/>
        <v>39730.9</v>
      </c>
      <c r="J229" s="106">
        <f t="shared" si="2797"/>
        <v>50446</v>
      </c>
      <c r="K229" s="106">
        <f t="shared" si="2798"/>
        <v>32106.25</v>
      </c>
      <c r="L229" s="106">
        <f t="shared" si="2799"/>
        <v>46839.65</v>
      </c>
      <c r="M229" s="106">
        <f t="shared" si="2800"/>
        <v>447592.75000000006</v>
      </c>
      <c r="N229" s="16" t="s">
        <v>192</v>
      </c>
      <c r="O229" s="106">
        <f t="shared" si="2801"/>
        <v>50207.850000000006</v>
      </c>
      <c r="P229" s="106">
        <f t="shared" si="2802"/>
        <v>37059.550000000003</v>
      </c>
      <c r="Q229" s="106">
        <f t="shared" si="2803"/>
        <v>9134.4000000000015</v>
      </c>
      <c r="R229" s="106">
        <f t="shared" si="2804"/>
        <v>2415.6000000000004</v>
      </c>
      <c r="S229" s="106">
        <f t="shared" si="2805"/>
        <v>27154.050000000003</v>
      </c>
      <c r="T229" s="106">
        <f t="shared" si="2806"/>
        <v>16543.45</v>
      </c>
      <c r="U229" s="106">
        <f t="shared" si="2807"/>
        <v>0</v>
      </c>
      <c r="V229" s="106">
        <f t="shared" si="2808"/>
        <v>10255.85</v>
      </c>
      <c r="W229" s="106">
        <f t="shared" si="2809"/>
        <v>906.95</v>
      </c>
      <c r="X229" s="106">
        <f t="shared" si="2810"/>
        <v>5290.65</v>
      </c>
      <c r="Y229" s="106">
        <f t="shared" si="2811"/>
        <v>0</v>
      </c>
      <c r="Z229" s="106">
        <f t="shared" si="2812"/>
        <v>0</v>
      </c>
      <c r="AA229" s="106">
        <f t="shared" si="2813"/>
        <v>158968.35000000003</v>
      </c>
      <c r="AB229" s="118">
        <f t="shared" si="2678"/>
        <v>0</v>
      </c>
      <c r="AC229" s="106">
        <f t="shared" si="2814"/>
        <v>0</v>
      </c>
      <c r="AD229" s="106">
        <f t="shared" si="2815"/>
        <v>0</v>
      </c>
      <c r="AE229" s="106">
        <f t="shared" si="2816"/>
        <v>0</v>
      </c>
      <c r="AF229" s="106">
        <f t="shared" si="2817"/>
        <v>0</v>
      </c>
      <c r="AG229" s="106">
        <f t="shared" si="2818"/>
        <v>0</v>
      </c>
      <c r="AH229" s="106">
        <f t="shared" si="2819"/>
        <v>0</v>
      </c>
      <c r="AI229" s="106">
        <f t="shared" si="2820"/>
        <v>0</v>
      </c>
      <c r="AJ229" s="106">
        <f t="shared" si="2821"/>
        <v>0</v>
      </c>
      <c r="AK229" s="106">
        <f t="shared" si="2822"/>
        <v>0</v>
      </c>
      <c r="AL229" s="106">
        <f t="shared" si="2823"/>
        <v>0</v>
      </c>
      <c r="AM229" s="106">
        <f t="shared" si="2824"/>
        <v>0</v>
      </c>
      <c r="AN229" s="106">
        <f t="shared" si="2825"/>
        <v>0</v>
      </c>
      <c r="AO229" s="106">
        <f t="shared" si="2826"/>
        <v>0</v>
      </c>
      <c r="AQ229" s="106">
        <v>4151.2</v>
      </c>
      <c r="AR229" s="106">
        <v>54342.400000000001</v>
      </c>
      <c r="AS229" s="106">
        <v>91252</v>
      </c>
      <c r="AT229" s="106">
        <v>10924.800000000001</v>
      </c>
      <c r="AU229" s="106">
        <v>3287.6000000000004</v>
      </c>
      <c r="AV229" s="106">
        <v>11453.2</v>
      </c>
      <c r="AW229" s="106">
        <v>9963.6</v>
      </c>
      <c r="AX229" s="106">
        <v>17148.8</v>
      </c>
      <c r="AY229" s="106">
        <v>28895.200000000001</v>
      </c>
      <c r="AZ229" s="106">
        <v>36688</v>
      </c>
      <c r="BA229" s="106">
        <v>23350</v>
      </c>
      <c r="BB229" s="106">
        <v>34065.200000000004</v>
      </c>
      <c r="BC229" s="106">
        <f t="shared" si="2827"/>
        <v>325522.00000000006</v>
      </c>
      <c r="BD229" s="16" t="str">
        <f t="shared" si="2339"/>
        <v>Interest on Over Draft Facility</v>
      </c>
      <c r="BE229" s="106">
        <f>+VLOOKUP($BD229,'Jan-25'!$A:$J,2,0)</f>
        <v>36514.800000000003</v>
      </c>
      <c r="BF229" s="106">
        <f>+VLOOKUP($BD229,'Feb-25'!$A:$J,2,0)</f>
        <v>26952.400000000001</v>
      </c>
      <c r="BG229" s="106">
        <f>+VLOOKUP($BD229,'Mar-25'!$A:$J,2,0)</f>
        <v>6643.2000000000007</v>
      </c>
      <c r="BH229" s="106">
        <f>+VLOOKUP($BD229,'Apr-25'!$A:$J,2,0)</f>
        <v>1756.8000000000002</v>
      </c>
      <c r="BI229" s="106">
        <f>+VLOOKUP($BD229,'May-25'!$A:$J,2,0)</f>
        <v>19748.400000000001</v>
      </c>
      <c r="BJ229" s="106">
        <f>+VLOOKUP($BD229,'June-25'!$A:$J,2,0)</f>
        <v>12031.6</v>
      </c>
      <c r="BK229" s="106">
        <f>+VLOOKUP($BD229,'July-25'!$A:$J,2,0)</f>
        <v>0</v>
      </c>
      <c r="BL229" s="106">
        <f>+VLOOKUP($BD229,'Aug-25'!$A:$J,2,0)</f>
        <v>7458.8</v>
      </c>
      <c r="BM229" s="106">
        <f>+VLOOKUP($BD229,'Sep-25'!$A:$J,2,0)</f>
        <v>659.6</v>
      </c>
      <c r="BN229" s="106">
        <f>+VLOOKUP($BD229,'Oct-25'!$A:$J,2,0)</f>
        <v>3527.1</v>
      </c>
      <c r="BO229" s="106">
        <f>+VLOOKUP($BD229,'Nov-25'!$A:$J,2,0)</f>
        <v>0</v>
      </c>
      <c r="BP229" s="106">
        <f>+VLOOKUP($BD229,'Dec-25'!$A:$J,2,0)</f>
        <v>0</v>
      </c>
      <c r="BQ229" s="106">
        <f t="shared" si="2828"/>
        <v>115292.70000000003</v>
      </c>
      <c r="BR229" s="118">
        <f t="shared" si="2679"/>
        <v>0</v>
      </c>
      <c r="BS229" s="106" cm="1">
        <f t="array" ref="BS229:CD229">+_xlfn.XLOOKUP(BD229,Budget!A:A,Budget!Q:AB)</f>
        <v>0</v>
      </c>
      <c r="BT229" s="106">
        <v>0</v>
      </c>
      <c r="BU229" s="106">
        <v>0</v>
      </c>
      <c r="BV229" s="106">
        <v>0</v>
      </c>
      <c r="BW229" s="106">
        <v>0</v>
      </c>
      <c r="BX229" s="106">
        <v>0</v>
      </c>
      <c r="BY229" s="106">
        <v>0</v>
      </c>
      <c r="BZ229" s="106">
        <v>0</v>
      </c>
      <c r="CA229" s="106">
        <v>0</v>
      </c>
      <c r="CB229" s="106">
        <v>0</v>
      </c>
      <c r="CC229" s="106">
        <v>0</v>
      </c>
      <c r="CD229" s="106">
        <v>0</v>
      </c>
      <c r="CE229" s="106">
        <f t="shared" si="2829"/>
        <v>0</v>
      </c>
      <c r="CF229" s="22"/>
      <c r="CG229" s="106">
        <v>1556.7</v>
      </c>
      <c r="CH229" s="106">
        <v>20378.399999999998</v>
      </c>
      <c r="CI229" s="106">
        <v>34219.5</v>
      </c>
      <c r="CJ229" s="106">
        <v>4096.8</v>
      </c>
      <c r="CK229" s="106">
        <v>1232.8499999999999</v>
      </c>
      <c r="CL229" s="106">
        <v>4294.95</v>
      </c>
      <c r="CM229" s="106">
        <v>3736.35</v>
      </c>
      <c r="CN229" s="106">
        <v>6430.8</v>
      </c>
      <c r="CO229" s="106">
        <v>10835.699999999999</v>
      </c>
      <c r="CP229" s="106">
        <v>13758</v>
      </c>
      <c r="CQ229" s="106">
        <v>8756.25</v>
      </c>
      <c r="CR229" s="106">
        <v>12774.449999999999</v>
      </c>
      <c r="CS229" s="106">
        <f t="shared" si="2830"/>
        <v>122070.75</v>
      </c>
      <c r="CT229" s="16" t="str">
        <f t="shared" si="2340"/>
        <v>Interest on Over Draft Facility</v>
      </c>
      <c r="CU229" s="106">
        <f>+VLOOKUP($BD229,'Jan-25'!$A:$J,6,0)</f>
        <v>13693.05</v>
      </c>
      <c r="CV229" s="106">
        <f>+VLOOKUP($BD229,'Feb-25'!$A:$J,6,0)</f>
        <v>10107.15</v>
      </c>
      <c r="CW229" s="106">
        <f>+VLOOKUP($BD229,'Mar-25'!$A:$J,6,0)</f>
        <v>2491.1999999999998</v>
      </c>
      <c r="CX229" s="106">
        <f>+VLOOKUP($BD229,'Apr-25'!$A:$J,6,0)</f>
        <v>658.8</v>
      </c>
      <c r="CY229" s="106">
        <f>+VLOOKUP($BD229,'May-25'!$A:$J,6,0)</f>
        <v>7405.65</v>
      </c>
      <c r="CZ229" s="106">
        <f>+VLOOKUP($BD229,'June-25'!$A:$J,6,0)</f>
        <v>4511.8499999999995</v>
      </c>
      <c r="DA229" s="106">
        <f>+VLOOKUP($BD229,'July-25'!$A:$J,6,0)</f>
        <v>0</v>
      </c>
      <c r="DB229" s="106">
        <f>+VLOOKUP($BD229,'Aug-25'!$A:$J,6,0)</f>
        <v>2797.0499999999997</v>
      </c>
      <c r="DC229" s="106">
        <f>+VLOOKUP($BD229,'Sep-25'!$A:$J,6,0)</f>
        <v>247.35</v>
      </c>
      <c r="DD229" s="106">
        <f>+VLOOKUP($BD229,'Oct-25'!$A:$J,6,0)</f>
        <v>1763.55</v>
      </c>
      <c r="DE229" s="106">
        <f>+VLOOKUP($BD229,'Nov-25'!$A:$J,6,0)</f>
        <v>0</v>
      </c>
      <c r="DF229" s="106">
        <f>+VLOOKUP($BD229,'Dec-25'!$A:$J,6,0)</f>
        <v>0</v>
      </c>
      <c r="DG229" s="106">
        <f t="shared" si="2831"/>
        <v>43675.65</v>
      </c>
      <c r="DH229" s="118">
        <f t="shared" si="2680"/>
        <v>0</v>
      </c>
      <c r="DI229" s="106">
        <f>+_xlfn.XLOOKUP($CT229,Budget!$A:$A,Budget!BQ:BQ)</f>
        <v>0</v>
      </c>
      <c r="DJ229" s="106">
        <f>+_xlfn.XLOOKUP($CT229,Budget!$A:$A,Budget!BR:BR)</f>
        <v>0</v>
      </c>
      <c r="DK229" s="106">
        <f>+_xlfn.XLOOKUP($CT229,Budget!$A:$A,Budget!BS:BS)</f>
        <v>0</v>
      </c>
      <c r="DL229" s="106">
        <f>+_xlfn.XLOOKUP($CT229,Budget!$A:$A,Budget!BT:BT)</f>
        <v>0</v>
      </c>
      <c r="DM229" s="106">
        <f>+_xlfn.XLOOKUP($CT229,Budget!$A:$A,Budget!BU:BU)</f>
        <v>0</v>
      </c>
      <c r="DN229" s="106">
        <f>+_xlfn.XLOOKUP($CT229,Budget!$A:$A,Budget!BV:BV)</f>
        <v>0</v>
      </c>
      <c r="DO229" s="106">
        <f>+_xlfn.XLOOKUP($CT229,Budget!$A:$A,Budget!BW:BW)</f>
        <v>0</v>
      </c>
      <c r="DP229" s="106">
        <f>+_xlfn.XLOOKUP($CT229,Budget!$A:$A,Budget!BX:BX)</f>
        <v>0</v>
      </c>
      <c r="DQ229" s="106">
        <f>+_xlfn.XLOOKUP($CT229,Budget!$A:$A,Budget!BY:BY)</f>
        <v>0</v>
      </c>
      <c r="DR229" s="106">
        <f>+_xlfn.XLOOKUP($CT229,Budget!$A:$A,Budget!BZ:BZ)</f>
        <v>0</v>
      </c>
      <c r="DS229" s="106">
        <f>+_xlfn.XLOOKUP($CT229,Budget!$A:$A,Budget!CA:CA)</f>
        <v>0</v>
      </c>
      <c r="DT229" s="106">
        <f>+_xlfn.XLOOKUP($CT229,Budget!$A:$A,Budget!CB:CB)</f>
        <v>0</v>
      </c>
      <c r="DU229" s="106">
        <f t="shared" si="2832"/>
        <v>0</v>
      </c>
    </row>
    <row r="230" spans="1:125" ht="14.45" customHeight="1" collapsed="1">
      <c r="A230" s="58">
        <f t="shared" ref="A230:M230" si="2833">+A218+A156+A115+A104+A75</f>
        <v>8658771.7298306972</v>
      </c>
      <c r="B230" s="58">
        <f t="shared" si="2833"/>
        <v>9639699.6579517052</v>
      </c>
      <c r="C230" s="58">
        <f t="shared" si="2833"/>
        <v>13038920.781953923</v>
      </c>
      <c r="D230" s="58">
        <f t="shared" si="2833"/>
        <v>9561861.8805871382</v>
      </c>
      <c r="E230" s="58">
        <f t="shared" si="2833"/>
        <v>10528448.474723395</v>
      </c>
      <c r="F230" s="58">
        <f t="shared" si="2833"/>
        <v>12224123.874965403</v>
      </c>
      <c r="G230" s="58">
        <f t="shared" si="2833"/>
        <v>10558051.881840281</v>
      </c>
      <c r="H230" s="58">
        <f t="shared" si="2833"/>
        <v>10568525.311086934</v>
      </c>
      <c r="I230" s="58">
        <f t="shared" si="2833"/>
        <v>10630646.58922796</v>
      </c>
      <c r="J230" s="58">
        <f t="shared" si="2833"/>
        <v>11376848.287339833</v>
      </c>
      <c r="K230" s="58">
        <f t="shared" si="2833"/>
        <v>10298470.937709695</v>
      </c>
      <c r="L230" s="58">
        <f t="shared" si="2833"/>
        <v>12003369.096209696</v>
      </c>
      <c r="M230" s="58">
        <f t="shared" si="2833"/>
        <v>106901579.32925443</v>
      </c>
      <c r="N230" s="14" t="s">
        <v>193</v>
      </c>
      <c r="O230" s="58">
        <f t="shared" ref="O230:AA230" si="2834">+O218+O156+O115+O104+O75</f>
        <v>11297525.302499298</v>
      </c>
      <c r="P230" s="58">
        <f t="shared" si="2834"/>
        <v>10566186.073907973</v>
      </c>
      <c r="Q230" s="58">
        <f t="shared" si="2834"/>
        <v>11731099.265197929</v>
      </c>
      <c r="R230" s="58">
        <f t="shared" si="2834"/>
        <v>8906382.0622903667</v>
      </c>
      <c r="S230" s="58">
        <f t="shared" si="2834"/>
        <v>10126948.552624155</v>
      </c>
      <c r="T230" s="58">
        <f t="shared" si="2834"/>
        <v>11846496.243878948</v>
      </c>
      <c r="U230" s="58">
        <f t="shared" si="2834"/>
        <v>9936811.0248158351</v>
      </c>
      <c r="V230" s="58">
        <f t="shared" si="2834"/>
        <v>10947748.643541962</v>
      </c>
      <c r="W230" s="58">
        <f t="shared" si="2834"/>
        <v>11033239.733149268</v>
      </c>
      <c r="X230" s="58">
        <f t="shared" si="2834"/>
        <v>12314065.888307374</v>
      </c>
      <c r="Y230" s="58">
        <f t="shared" si="2834"/>
        <v>0</v>
      </c>
      <c r="Z230" s="58">
        <f t="shared" si="2834"/>
        <v>0</v>
      </c>
      <c r="AA230" s="58">
        <f t="shared" si="2834"/>
        <v>108706502.79021311</v>
      </c>
      <c r="AB230" s="118">
        <f t="shared" si="2678"/>
        <v>0.1598769789478991</v>
      </c>
      <c r="AC230" s="58">
        <f t="shared" ref="AC230:AO230" si="2835">+AC218+AC156+AC115+AC104+AC75</f>
        <v>10258815.431982327</v>
      </c>
      <c r="AD230" s="58">
        <f t="shared" si="2835"/>
        <v>10218815.431982327</v>
      </c>
      <c r="AE230" s="58">
        <f t="shared" si="2835"/>
        <v>11251442.439436872</v>
      </c>
      <c r="AF230" s="58">
        <f t="shared" si="2835"/>
        <v>10351109.106103539</v>
      </c>
      <c r="AG230" s="58">
        <f t="shared" si="2835"/>
        <v>10563442.439436872</v>
      </c>
      <c r="AH230" s="58">
        <f t="shared" si="2835"/>
        <v>10035265.231103539</v>
      </c>
      <c r="AI230" s="58">
        <f t="shared" si="2835"/>
        <v>10189431.897770206</v>
      </c>
      <c r="AJ230" s="58">
        <f t="shared" si="2835"/>
        <v>10829431.897770206</v>
      </c>
      <c r="AK230" s="58">
        <f t="shared" si="2835"/>
        <v>10853642.136630831</v>
      </c>
      <c r="AL230" s="58">
        <f t="shared" si="2835"/>
        <v>10616699.970609998</v>
      </c>
      <c r="AM230" s="58">
        <f t="shared" si="2835"/>
        <v>10046533.303943332</v>
      </c>
      <c r="AN230" s="58">
        <f t="shared" si="2835"/>
        <v>11297366.637276664</v>
      </c>
      <c r="AO230" s="58">
        <f t="shared" si="2835"/>
        <v>108697099.90389225</v>
      </c>
      <c r="AQ230" s="58">
        <f t="shared" ref="AQ230:BC230" si="2836">+AQ218+AQ156+AQ115+AQ104+AQ75</f>
        <v>5591378.6113178767</v>
      </c>
      <c r="AR230" s="58">
        <f t="shared" si="2836"/>
        <v>6266830.4834132418</v>
      </c>
      <c r="AS230" s="58">
        <f t="shared" si="2836"/>
        <v>8556278.9257994611</v>
      </c>
      <c r="AT230" s="58">
        <f t="shared" si="2836"/>
        <v>5983872.1816820092</v>
      </c>
      <c r="AU230" s="58">
        <f t="shared" si="2836"/>
        <v>6255427.5409849323</v>
      </c>
      <c r="AV230" s="58">
        <f t="shared" si="2836"/>
        <v>7985844.7024269411</v>
      </c>
      <c r="AW230" s="58">
        <f t="shared" si="2836"/>
        <v>6698143.987505218</v>
      </c>
      <c r="AX230" s="58">
        <f t="shared" si="2836"/>
        <v>6779443.9874492511</v>
      </c>
      <c r="AY230" s="58">
        <f t="shared" si="2836"/>
        <v>7159760.1654514018</v>
      </c>
      <c r="AZ230" s="58">
        <f t="shared" si="2836"/>
        <v>7489197.931468037</v>
      </c>
      <c r="BA230" s="58">
        <f t="shared" si="2836"/>
        <v>6453517.8068378996</v>
      </c>
      <c r="BB230" s="58">
        <f t="shared" si="2836"/>
        <v>7740508.5092621427</v>
      </c>
      <c r="BC230" s="58">
        <f t="shared" si="2836"/>
        <v>72815465.193958417</v>
      </c>
      <c r="BD230" s="14" t="str">
        <f t="shared" si="2339"/>
        <v>Total of Operating Cost</v>
      </c>
      <c r="BE230" s="58">
        <f t="shared" ref="BE230:BQ230" si="2837">+BE218+BE156+BE115+BE104+BE75</f>
        <v>7640287.8197300676</v>
      </c>
      <c r="BF230" s="58">
        <f t="shared" si="2837"/>
        <v>7523196.1158054098</v>
      </c>
      <c r="BG230" s="58">
        <f t="shared" si="2837"/>
        <v>8398822.135328697</v>
      </c>
      <c r="BH230" s="58">
        <f t="shared" si="2837"/>
        <v>6337754.893679468</v>
      </c>
      <c r="BI230" s="58">
        <f t="shared" si="2837"/>
        <v>6791494.715646591</v>
      </c>
      <c r="BJ230" s="58">
        <f t="shared" si="2837"/>
        <v>8152174.3063213853</v>
      </c>
      <c r="BK230" s="58">
        <f t="shared" si="2837"/>
        <v>6463424.2547278926</v>
      </c>
      <c r="BL230" s="58">
        <f t="shared" si="2837"/>
        <v>6930408.4855643995</v>
      </c>
      <c r="BM230" s="58">
        <f t="shared" si="2837"/>
        <v>7765298.1778383711</v>
      </c>
      <c r="BN230" s="58">
        <f t="shared" si="2837"/>
        <v>7613202.8902491648</v>
      </c>
      <c r="BO230" s="58">
        <f t="shared" si="2837"/>
        <v>0</v>
      </c>
      <c r="BP230" s="58">
        <f t="shared" si="2837"/>
        <v>0</v>
      </c>
      <c r="BQ230" s="58">
        <f t="shared" si="2837"/>
        <v>73616063.794891447</v>
      </c>
      <c r="BR230" s="118">
        <f t="shared" si="2679"/>
        <v>0.11944917471939237</v>
      </c>
      <c r="BS230" s="58">
        <f t="shared" ref="BS230:CE230" si="2838">+BS218+BS156+BS115+BS104+BS75</f>
        <v>6663778.6637401413</v>
      </c>
      <c r="BT230" s="58">
        <f t="shared" si="2838"/>
        <v>6490778.6637401422</v>
      </c>
      <c r="BU230" s="58">
        <f t="shared" si="2838"/>
        <v>7383655.6711946875</v>
      </c>
      <c r="BV230" s="58">
        <f t="shared" si="2838"/>
        <v>6474322.3378613535</v>
      </c>
      <c r="BW230" s="58">
        <f t="shared" si="2838"/>
        <v>6835405.6711946875</v>
      </c>
      <c r="BX230" s="58">
        <f t="shared" si="2838"/>
        <v>6439103.4628613535</v>
      </c>
      <c r="BY230" s="58">
        <f t="shared" si="2838"/>
        <v>6727395.1295280205</v>
      </c>
      <c r="BZ230" s="58">
        <f t="shared" si="2838"/>
        <v>7101395.1295280205</v>
      </c>
      <c r="CA230" s="58">
        <f t="shared" si="2838"/>
        <v>6718645.1295280205</v>
      </c>
      <c r="CB230" s="58">
        <f t="shared" si="2838"/>
        <v>6800847.2936321869</v>
      </c>
      <c r="CC230" s="58">
        <f t="shared" si="2838"/>
        <v>6317305.6269655209</v>
      </c>
      <c r="CD230" s="58">
        <f t="shared" si="2838"/>
        <v>7281013.9602988539</v>
      </c>
      <c r="CE230" s="58">
        <f t="shared" si="2838"/>
        <v>81233646.740072995</v>
      </c>
      <c r="CF230" s="22"/>
      <c r="CG230" s="58">
        <f t="shared" ref="CG230:CS230" si="2839">+CG218+CG156+CG115+CG104+CG75</f>
        <v>3067393.1185128195</v>
      </c>
      <c r="CH230" s="58">
        <f t="shared" si="2839"/>
        <v>3372869.1745384615</v>
      </c>
      <c r="CI230" s="58">
        <f t="shared" si="2839"/>
        <v>4482641.8561544623</v>
      </c>
      <c r="CJ230" s="58">
        <f t="shared" si="2839"/>
        <v>3577989.6989051285</v>
      </c>
      <c r="CK230" s="58">
        <f t="shared" si="2839"/>
        <v>4273020.9337384617</v>
      </c>
      <c r="CL230" s="58">
        <f t="shared" si="2839"/>
        <v>4238279.1725384612</v>
      </c>
      <c r="CM230" s="58">
        <f t="shared" si="2839"/>
        <v>3859907.8943350632</v>
      </c>
      <c r="CN230" s="58">
        <f t="shared" si="2839"/>
        <v>3789081.3236376811</v>
      </c>
      <c r="CO230" s="58">
        <f t="shared" si="2839"/>
        <v>3470886.4237765567</v>
      </c>
      <c r="CP230" s="58">
        <f t="shared" si="2839"/>
        <v>3887650.3558717947</v>
      </c>
      <c r="CQ230" s="58">
        <f t="shared" si="2839"/>
        <v>3844953.1308717951</v>
      </c>
      <c r="CR230" s="58">
        <f t="shared" si="2839"/>
        <v>4262860.5869475529</v>
      </c>
      <c r="CS230" s="58">
        <f t="shared" si="2839"/>
        <v>46127533.669828236</v>
      </c>
      <c r="CT230" s="14" t="str">
        <f t="shared" si="2340"/>
        <v>Total of Operating Cost</v>
      </c>
      <c r="CU230" s="58">
        <f t="shared" ref="CU230:DG230" si="2840">+CU218+CU156+CU115+CU104+CU75</f>
        <v>3657237.4827692308</v>
      </c>
      <c r="CV230" s="58">
        <f t="shared" si="2840"/>
        <v>3042989.9581025639</v>
      </c>
      <c r="CW230" s="58">
        <f t="shared" si="2840"/>
        <v>3332277.129869231</v>
      </c>
      <c r="CX230" s="58">
        <f t="shared" si="2840"/>
        <v>2568627.1686108978</v>
      </c>
      <c r="CY230" s="58">
        <f t="shared" si="2840"/>
        <v>3335453.8369775638</v>
      </c>
      <c r="CZ230" s="58">
        <f t="shared" si="2840"/>
        <v>3694321.9375575641</v>
      </c>
      <c r="DA230" s="58">
        <f t="shared" si="2840"/>
        <v>3473386.7700879443</v>
      </c>
      <c r="DB230" s="58">
        <f t="shared" si="2840"/>
        <v>4017340.1579775638</v>
      </c>
      <c r="DC230" s="58">
        <f t="shared" si="2840"/>
        <v>3267941.5553108975</v>
      </c>
      <c r="DD230" s="58">
        <f t="shared" si="2840"/>
        <v>4700862.9980582092</v>
      </c>
      <c r="DE230" s="58">
        <f t="shared" si="2840"/>
        <v>0</v>
      </c>
      <c r="DF230" s="58">
        <f t="shared" si="2840"/>
        <v>0</v>
      </c>
      <c r="DG230" s="58">
        <f t="shared" si="2840"/>
        <v>35090438.995321669</v>
      </c>
      <c r="DH230" s="118">
        <f t="shared" si="2680"/>
        <v>0.23192989771851855</v>
      </c>
      <c r="DI230" s="58">
        <f t="shared" ref="DI230:DU230" si="2841">+DI218+DI156+DI115+DI104+DI75</f>
        <v>3595036.768242185</v>
      </c>
      <c r="DJ230" s="58">
        <f t="shared" si="2841"/>
        <v>3728036.768242185</v>
      </c>
      <c r="DK230" s="58">
        <f t="shared" si="2841"/>
        <v>3867786.768242185</v>
      </c>
      <c r="DL230" s="58">
        <f t="shared" si="2841"/>
        <v>3876786.768242185</v>
      </c>
      <c r="DM230" s="58">
        <f t="shared" si="2841"/>
        <v>3728036.768242185</v>
      </c>
      <c r="DN230" s="58">
        <f t="shared" si="2841"/>
        <v>3596161.768242185</v>
      </c>
      <c r="DO230" s="58">
        <f t="shared" si="2841"/>
        <v>3462036.768242185</v>
      </c>
      <c r="DP230" s="58">
        <f t="shared" si="2841"/>
        <v>3728036.768242185</v>
      </c>
      <c r="DQ230" s="58">
        <f t="shared" si="2841"/>
        <v>4134997.0071028103</v>
      </c>
      <c r="DR230" s="58">
        <f t="shared" si="2841"/>
        <v>3815852.6769778104</v>
      </c>
      <c r="DS230" s="58">
        <f t="shared" si="2841"/>
        <v>3729227.6769778104</v>
      </c>
      <c r="DT230" s="58">
        <f t="shared" si="2841"/>
        <v>4016352.6769778104</v>
      </c>
      <c r="DU230" s="58">
        <f t="shared" si="2841"/>
        <v>45278349.183973722</v>
      </c>
    </row>
    <row r="231" spans="1:125" ht="14.45" customHeight="1">
      <c r="A231" s="108">
        <f t="shared" ref="A231:M231" si="2842">IFERROR(A230/A70,0)</f>
        <v>0.10583042839012084</v>
      </c>
      <c r="B231" s="108">
        <f t="shared" si="2842"/>
        <v>4.7620331828241116E-2</v>
      </c>
      <c r="C231" s="108">
        <f t="shared" si="2842"/>
        <v>4.4468018884768E-2</v>
      </c>
      <c r="D231" s="108">
        <f t="shared" si="2842"/>
        <v>8.9251977124392867E-2</v>
      </c>
      <c r="E231" s="108">
        <f t="shared" si="2842"/>
        <v>4.9646702103584163E-2</v>
      </c>
      <c r="F231" s="108">
        <f t="shared" si="2842"/>
        <v>8.0678727256606825E-2</v>
      </c>
      <c r="G231" s="108">
        <f t="shared" si="2842"/>
        <v>6.9076496448292612E-2</v>
      </c>
      <c r="H231" s="108">
        <f t="shared" si="2842"/>
        <v>6.2052087232266157E-2</v>
      </c>
      <c r="I231" s="108">
        <f t="shared" si="2842"/>
        <v>7.3386020994296031E-2</v>
      </c>
      <c r="J231" s="108">
        <f t="shared" si="2842"/>
        <v>6.2053682390329358E-2</v>
      </c>
      <c r="K231" s="108">
        <f t="shared" si="2842"/>
        <v>5.8048983440104847E-2</v>
      </c>
      <c r="L231" s="108">
        <f t="shared" si="2842"/>
        <v>5.5438613519616972E-2</v>
      </c>
      <c r="M231" s="108">
        <f t="shared" si="2842"/>
        <v>5.1064300344002854E-2</v>
      </c>
      <c r="N231" s="15" t="s">
        <v>58</v>
      </c>
      <c r="O231" s="48">
        <f t="shared" ref="O231:AA231" si="2843">IFERROR(O230/O70,0)</f>
        <v>6.2338116736210959E-2</v>
      </c>
      <c r="P231" s="48">
        <f t="shared" si="2843"/>
        <v>9.6740460626525832E-2</v>
      </c>
      <c r="Q231" s="48">
        <f t="shared" si="2843"/>
        <v>4.8436167194565921E-2</v>
      </c>
      <c r="R231" s="48">
        <f t="shared" si="2843"/>
        <v>6.4940191805538283E-2</v>
      </c>
      <c r="S231" s="48">
        <f t="shared" si="2843"/>
        <v>7.8852552208534529E-2</v>
      </c>
      <c r="T231" s="48">
        <f t="shared" si="2843"/>
        <v>7.2076856236335654E-2</v>
      </c>
      <c r="U231" s="48">
        <f t="shared" si="2843"/>
        <v>4.6732021988933677E-2</v>
      </c>
      <c r="V231" s="48">
        <f t="shared" si="2843"/>
        <v>6.9605020205257065E-2</v>
      </c>
      <c r="W231" s="48">
        <f t="shared" si="2843"/>
        <v>4.2957037897507773E-2</v>
      </c>
      <c r="X231" s="48">
        <f t="shared" si="2843"/>
        <v>5.3863419228450365E-2</v>
      </c>
      <c r="Y231" s="48">
        <f t="shared" si="2843"/>
        <v>0</v>
      </c>
      <c r="Z231" s="48">
        <f t="shared" si="2843"/>
        <v>0</v>
      </c>
      <c r="AA231" s="48">
        <f t="shared" si="2843"/>
        <v>5.9795793820393718E-2</v>
      </c>
      <c r="AB231" s="118">
        <f t="shared" si="2678"/>
        <v>-0.23252260589237109</v>
      </c>
      <c r="AC231" s="108">
        <f t="shared" ref="AC231:AO231" si="2844">IFERROR(AC230/AC70,0)</f>
        <v>6.8707504208374751E-2</v>
      </c>
      <c r="AD231" s="108">
        <f t="shared" si="2844"/>
        <v>6.4599183567797896E-2</v>
      </c>
      <c r="AE231" s="108">
        <f t="shared" si="2844"/>
        <v>5.5224062034658655E-2</v>
      </c>
      <c r="AF231" s="108">
        <f t="shared" si="2844"/>
        <v>7.689528231959715E-2</v>
      </c>
      <c r="AG231" s="108">
        <f t="shared" si="2844"/>
        <v>6.0401486878804381E-2</v>
      </c>
      <c r="AH231" s="108">
        <f t="shared" si="2844"/>
        <v>7.671330238159324E-2</v>
      </c>
      <c r="AI231" s="108">
        <f t="shared" si="2844"/>
        <v>6.6908032172266971E-2</v>
      </c>
      <c r="AJ231" s="108">
        <f t="shared" si="2844"/>
        <v>6.3000509322877263E-2</v>
      </c>
      <c r="AK231" s="108">
        <f t="shared" si="2844"/>
        <v>5.6868048270259673E-2</v>
      </c>
      <c r="AL231" s="108">
        <f t="shared" si="2844"/>
        <v>7.0182417934379848E-2</v>
      </c>
      <c r="AM231" s="108">
        <f t="shared" si="2844"/>
        <v>7.6851862280505889E-2</v>
      </c>
      <c r="AN231" s="108">
        <f t="shared" si="2844"/>
        <v>5.6608960949675928E-2</v>
      </c>
      <c r="AO231" s="108">
        <f t="shared" si="2844"/>
        <v>5.5794608442538272E-2</v>
      </c>
      <c r="AP231" s="32"/>
      <c r="AQ231" s="108">
        <f t="shared" ref="AQ231:BC231" si="2845">IFERROR(AQ230/AQ70,0)</f>
        <v>9.9023976343334985E-2</v>
      </c>
      <c r="AR231" s="108">
        <f t="shared" si="2845"/>
        <v>4.3133419298952376E-2</v>
      </c>
      <c r="AS231" s="108">
        <f t="shared" si="2845"/>
        <v>5.6700836698504675E-2</v>
      </c>
      <c r="AT231" s="108">
        <f t="shared" si="2845"/>
        <v>8.3744867623709265E-2</v>
      </c>
      <c r="AU231" s="108">
        <f t="shared" si="2845"/>
        <v>6.2351358345671994E-2</v>
      </c>
      <c r="AV231" s="108">
        <f t="shared" si="2845"/>
        <v>6.2917848711676799E-2</v>
      </c>
      <c r="AW231" s="108">
        <f t="shared" si="2845"/>
        <v>9.6018529641739556E-2</v>
      </c>
      <c r="AX231" s="108">
        <f t="shared" si="2845"/>
        <v>7.3749233167486092E-2</v>
      </c>
      <c r="AY231" s="108">
        <f t="shared" si="2845"/>
        <v>6.4389041840645936E-2</v>
      </c>
      <c r="AZ231" s="108">
        <f t="shared" si="2845"/>
        <v>5.3606994363656013E-2</v>
      </c>
      <c r="BA231" s="108">
        <f t="shared" si="2845"/>
        <v>7.7872731069703563E-2</v>
      </c>
      <c r="BB231" s="108">
        <f t="shared" si="2845"/>
        <v>5.2532083436800957E-2</v>
      </c>
      <c r="BC231" s="108">
        <f t="shared" si="2845"/>
        <v>5.626436092280581E-2</v>
      </c>
      <c r="BD231" s="15" t="str">
        <f t="shared" si="2339"/>
        <v>% to Sales</v>
      </c>
      <c r="BE231" s="108">
        <f t="shared" ref="BE231:BQ231" si="2846">IFERROR(BE230/BE70,0)</f>
        <v>7.1295208754633327E-2</v>
      </c>
      <c r="BF231" s="108">
        <f t="shared" si="2846"/>
        <v>9.0330150399414277E-2</v>
      </c>
      <c r="BG231" s="108">
        <f t="shared" si="2846"/>
        <v>7.950741904725532E-2</v>
      </c>
      <c r="BH231" s="108">
        <f t="shared" si="2846"/>
        <v>8.701728715816838E-2</v>
      </c>
      <c r="BI231" s="108">
        <f t="shared" si="2846"/>
        <v>0.16757026236913797</v>
      </c>
      <c r="BJ231" s="108">
        <f t="shared" si="2846"/>
        <v>6.8123997292332733E-2</v>
      </c>
      <c r="BK231" s="108">
        <f t="shared" si="2846"/>
        <v>5.8575935215815188E-2</v>
      </c>
      <c r="BL231" s="108">
        <f t="shared" si="2846"/>
        <v>0.11423324146342205</v>
      </c>
      <c r="BM231" s="108">
        <f t="shared" si="2846"/>
        <v>4.4321868331835761E-2</v>
      </c>
      <c r="BN231" s="108">
        <f t="shared" si="2846"/>
        <v>4.7048560510471474E-2</v>
      </c>
      <c r="BO231" s="108">
        <f t="shared" si="2846"/>
        <v>0</v>
      </c>
      <c r="BP231" s="108">
        <f t="shared" si="2846"/>
        <v>0</v>
      </c>
      <c r="BQ231" s="108">
        <f t="shared" si="2846"/>
        <v>7.0979567559426332E-2</v>
      </c>
      <c r="BR231" s="118">
        <f t="shared" si="2679"/>
        <v>-0.41443054174932703</v>
      </c>
      <c r="BS231" s="108">
        <f t="shared" ref="BS231:CE231" si="2847">IFERROR(BS230/BS70,0)</f>
        <v>8.6205560496151842E-2</v>
      </c>
      <c r="BT231" s="108">
        <f t="shared" si="2847"/>
        <v>7.8031557671391624E-2</v>
      </c>
      <c r="BU231" s="108">
        <f t="shared" si="2847"/>
        <v>5.5121220274000696E-2</v>
      </c>
      <c r="BV231" s="108">
        <f t="shared" si="2847"/>
        <v>9.3211154845692742E-2</v>
      </c>
      <c r="BW231" s="108">
        <f t="shared" si="2847"/>
        <v>7.1216126838438726E-2</v>
      </c>
      <c r="BX231" s="108">
        <f t="shared" si="2847"/>
        <v>8.6532381330375663E-2</v>
      </c>
      <c r="BY231" s="108">
        <f t="shared" si="2847"/>
        <v>6.8935874126075214E-2</v>
      </c>
      <c r="BZ231" s="108">
        <f t="shared" si="2847"/>
        <v>6.5087212487054374E-2</v>
      </c>
      <c r="CA231" s="108">
        <f t="shared" si="2847"/>
        <v>6.7881203002436372E-2</v>
      </c>
      <c r="CB231" s="108">
        <f t="shared" si="2847"/>
        <v>8.0346677661475185E-2</v>
      </c>
      <c r="CC231" s="108">
        <f t="shared" si="2847"/>
        <v>8.8343192098198423E-2</v>
      </c>
      <c r="CD231" s="108">
        <f t="shared" si="2847"/>
        <v>6.8696952908989237E-2</v>
      </c>
      <c r="CE231" s="108">
        <f t="shared" si="2847"/>
        <v>7.3708091305361961E-2</v>
      </c>
      <c r="CF231" s="32"/>
      <c r="CG231" s="108">
        <f t="shared" ref="CG231:CS231" si="2848">IFERROR(CG230/CG70,0)</f>
        <v>0.12098969820400624</v>
      </c>
      <c r="CH231" s="108">
        <f t="shared" si="2848"/>
        <v>5.9029411748277784E-2</v>
      </c>
      <c r="CI231" s="108">
        <f t="shared" si="2848"/>
        <v>3.149735898146943E-2</v>
      </c>
      <c r="CJ231" s="108">
        <f t="shared" si="2848"/>
        <v>0.10028072472386849</v>
      </c>
      <c r="CK231" s="108">
        <f t="shared" si="2848"/>
        <v>3.8240065531947906E-2</v>
      </c>
      <c r="CL231" s="108">
        <f t="shared" si="2848"/>
        <v>0.17234995793868962</v>
      </c>
      <c r="CM231" s="108">
        <f t="shared" si="2848"/>
        <v>4.6456261520892737E-2</v>
      </c>
      <c r="CN231" s="108">
        <f t="shared" si="2848"/>
        <v>4.8335433687603992E-2</v>
      </c>
      <c r="CO231" s="108">
        <f t="shared" si="2848"/>
        <v>0.10310391026526029</v>
      </c>
      <c r="CP231" s="108">
        <f t="shared" si="2848"/>
        <v>8.9098450086429415E-2</v>
      </c>
      <c r="CQ231" s="108">
        <f t="shared" si="2848"/>
        <v>4.0671244232894754E-2</v>
      </c>
      <c r="CR231" s="108">
        <f t="shared" si="2848"/>
        <v>6.163036155754955E-2</v>
      </c>
      <c r="CS231" s="108">
        <f t="shared" si="2848"/>
        <v>5.7709680847848242E-2</v>
      </c>
      <c r="CT231" s="15" t="str">
        <f t="shared" si="2340"/>
        <v>% to Sales</v>
      </c>
      <c r="CU231" s="108">
        <f t="shared" ref="CU231:DG231" si="2849">IFERROR(CU230/CU70,0)</f>
        <v>4.937828766829773E-2</v>
      </c>
      <c r="CV231" s="108">
        <f t="shared" si="2849"/>
        <v>0.11732486136342773</v>
      </c>
      <c r="CW231" s="108">
        <f t="shared" si="2849"/>
        <v>2.4401311018612117E-2</v>
      </c>
      <c r="CX231" s="108">
        <f t="shared" si="2849"/>
        <v>3.9938743812488804E-2</v>
      </c>
      <c r="CY231" s="108">
        <f t="shared" si="2849"/>
        <v>3.7946139029776671E-2</v>
      </c>
      <c r="CZ231" s="108">
        <f t="shared" si="2849"/>
        <v>8.2660855692379021E-2</v>
      </c>
      <c r="DA231" s="108">
        <f t="shared" si="2849"/>
        <v>3.3955863669437619E-2</v>
      </c>
      <c r="DB231" s="108">
        <f t="shared" si="2849"/>
        <v>4.1580930751393699E-2</v>
      </c>
      <c r="DC231" s="108">
        <f t="shared" si="2849"/>
        <v>4.0028104351464783E-2</v>
      </c>
      <c r="DD231" s="108">
        <f t="shared" si="2849"/>
        <v>7.0371527263967934E-2</v>
      </c>
      <c r="DE231" s="108">
        <f t="shared" si="2849"/>
        <v>0</v>
      </c>
      <c r="DF231" s="108">
        <f t="shared" si="2849"/>
        <v>0</v>
      </c>
      <c r="DG231" s="108">
        <f t="shared" si="2849"/>
        <v>4.4940616510747232E-2</v>
      </c>
      <c r="DH231" s="118">
        <f t="shared" si="2680"/>
        <v>0.22876712742710975</v>
      </c>
      <c r="DI231" s="108">
        <f t="shared" ref="DI231:DU231" si="2850">IFERROR(DI230/DI70,0)</f>
        <v>4.9923858124999013E-2</v>
      </c>
      <c r="DJ231" s="108">
        <f t="shared" si="2850"/>
        <v>4.9702823114000809E-2</v>
      </c>
      <c r="DK231" s="108">
        <f t="shared" si="2850"/>
        <v>5.5421457665719071E-2</v>
      </c>
      <c r="DL231" s="108">
        <f t="shared" si="2850"/>
        <v>5.9501540234419205E-2</v>
      </c>
      <c r="DM231" s="108">
        <f t="shared" si="2850"/>
        <v>4.724657001541533E-2</v>
      </c>
      <c r="DN231" s="108">
        <f t="shared" si="2850"/>
        <v>6.3758857525549467E-2</v>
      </c>
      <c r="DO231" s="108">
        <f t="shared" si="2850"/>
        <v>6.3290262022134433E-2</v>
      </c>
      <c r="DP231" s="108">
        <f t="shared" si="2850"/>
        <v>5.9374503601369234E-2</v>
      </c>
      <c r="DQ231" s="108">
        <f t="shared" si="2850"/>
        <v>4.5004282665153439E-2</v>
      </c>
      <c r="DR231" s="108">
        <f t="shared" si="2850"/>
        <v>5.7270027569273789E-2</v>
      </c>
      <c r="DS231" s="108">
        <f t="shared" si="2850"/>
        <v>6.2975338028880015E-2</v>
      </c>
      <c r="DT231" s="108">
        <f t="shared" si="2850"/>
        <v>4.2918424120042972E-2</v>
      </c>
      <c r="DU231" s="108">
        <f t="shared" si="2850"/>
        <v>5.3516364527571809E-2</v>
      </c>
    </row>
    <row r="232" spans="1:125" ht="14.4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18">
        <f t="shared" si="2678"/>
        <v>0</v>
      </c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  <c r="BA232" s="106"/>
      <c r="BB232" s="106"/>
      <c r="BC232" s="106"/>
      <c r="BD232" s="16">
        <f t="shared" si="2339"/>
        <v>0</v>
      </c>
      <c r="BE232" s="106"/>
      <c r="BF232" s="106"/>
      <c r="BG232" s="106"/>
      <c r="BH232" s="106"/>
      <c r="BI232" s="106"/>
      <c r="BJ232" s="106"/>
      <c r="BK232" s="106"/>
      <c r="BL232" s="106"/>
      <c r="BM232" s="106"/>
      <c r="BN232" s="106"/>
      <c r="BO232" s="106"/>
      <c r="BP232" s="106"/>
      <c r="BQ232" s="106"/>
      <c r="BR232" s="118">
        <f t="shared" si="2679"/>
        <v>0</v>
      </c>
      <c r="BS232" s="106"/>
      <c r="BT232" s="106"/>
      <c r="BU232" s="106"/>
      <c r="BV232" s="106"/>
      <c r="BW232" s="106"/>
      <c r="BX232" s="106"/>
      <c r="BY232" s="106"/>
      <c r="BZ232" s="106"/>
      <c r="CA232" s="106"/>
      <c r="CB232" s="106"/>
      <c r="CC232" s="106"/>
      <c r="CD232" s="106"/>
      <c r="CE232" s="106"/>
      <c r="CF232" s="22"/>
      <c r="CG232" s="106"/>
      <c r="CH232" s="106"/>
      <c r="CI232" s="106"/>
      <c r="CJ232" s="106"/>
      <c r="CK232" s="106"/>
      <c r="CL232" s="106"/>
      <c r="CM232" s="106"/>
      <c r="CN232" s="106"/>
      <c r="CO232" s="106"/>
      <c r="CP232" s="106"/>
      <c r="CQ232" s="106"/>
      <c r="CR232" s="106"/>
      <c r="CS232" s="106"/>
      <c r="CT232" s="16">
        <f t="shared" si="2340"/>
        <v>0</v>
      </c>
      <c r="CU232" s="106"/>
      <c r="CV232" s="106"/>
      <c r="CW232" s="106"/>
      <c r="CX232" s="106"/>
      <c r="CY232" s="106"/>
      <c r="CZ232" s="106"/>
      <c r="DA232" s="106"/>
      <c r="DB232" s="106"/>
      <c r="DC232" s="106"/>
      <c r="DD232" s="106"/>
      <c r="DE232" s="106"/>
      <c r="DF232" s="106"/>
      <c r="DG232" s="106"/>
      <c r="DH232" s="118">
        <f t="shared" si="2680"/>
        <v>0</v>
      </c>
      <c r="DI232" s="106"/>
      <c r="DJ232" s="106"/>
      <c r="DK232" s="106"/>
      <c r="DL232" s="106"/>
      <c r="DM232" s="106"/>
      <c r="DN232" s="106"/>
      <c r="DO232" s="106"/>
      <c r="DP232" s="106"/>
      <c r="DQ232" s="106"/>
      <c r="DR232" s="106"/>
      <c r="DS232" s="106"/>
      <c r="DT232" s="106"/>
      <c r="DU232" s="106"/>
    </row>
    <row r="233" spans="1:125" ht="14.45" customHeight="1">
      <c r="A233" s="58">
        <f t="shared" ref="A233:M233" si="2851">+A71-A230</f>
        <v>-3871908.5678306967</v>
      </c>
      <c r="B233" s="58">
        <f t="shared" si="2851"/>
        <v>2236499.200633293</v>
      </c>
      <c r="C233" s="58">
        <f t="shared" si="2851"/>
        <v>7798617.7694194093</v>
      </c>
      <c r="D233" s="58">
        <f t="shared" si="2851"/>
        <v>-4006882.143125141</v>
      </c>
      <c r="E233" s="58">
        <f t="shared" si="2851"/>
        <v>-566254.5541633945</v>
      </c>
      <c r="F233" s="58">
        <f t="shared" si="2851"/>
        <v>-4483007.7509654034</v>
      </c>
      <c r="G233" s="58">
        <f t="shared" si="2851"/>
        <v>-2372003.1226402801</v>
      </c>
      <c r="H233" s="58">
        <f t="shared" si="2851"/>
        <v>-1061919.9350869358</v>
      </c>
      <c r="I233" s="58">
        <f t="shared" si="2851"/>
        <v>-9615.7852703761309</v>
      </c>
      <c r="J233" s="58">
        <f t="shared" si="2851"/>
        <v>-3041126.1004728321</v>
      </c>
      <c r="K233" s="58">
        <f t="shared" si="2851"/>
        <v>-260350.27024969645</v>
      </c>
      <c r="L233" s="58">
        <f t="shared" si="2851"/>
        <v>2425075.4543903042</v>
      </c>
      <c r="M233" s="58">
        <f t="shared" si="2851"/>
        <v>14973283.368810475</v>
      </c>
      <c r="N233" s="14" t="s">
        <v>194</v>
      </c>
      <c r="O233" s="58">
        <f t="shared" ref="O233:AA233" si="2852">+O71-O230</f>
        <v>-281989.88267789036</v>
      </c>
      <c r="P233" s="58">
        <f t="shared" si="2852"/>
        <v>-5419953.4494079733</v>
      </c>
      <c r="Q233" s="58">
        <f t="shared" si="2852"/>
        <v>4101086.7845920734</v>
      </c>
      <c r="R233" s="58">
        <f t="shared" si="2852"/>
        <v>1054022.8463452272</v>
      </c>
      <c r="S233" s="58">
        <f t="shared" si="2852"/>
        <v>-1588515.7726241555</v>
      </c>
      <c r="T233" s="58">
        <f t="shared" si="2852"/>
        <v>-1563775.4998789486</v>
      </c>
      <c r="U233" s="58">
        <f t="shared" si="2852"/>
        <v>4207303.8661841676</v>
      </c>
      <c r="V233" s="58">
        <f t="shared" si="2852"/>
        <v>-3299424.1600419618</v>
      </c>
      <c r="W233" s="58">
        <f t="shared" si="2852"/>
        <v>4804366.3322587349</v>
      </c>
      <c r="X233" s="58">
        <f t="shared" si="2852"/>
        <v>1960917.361792624</v>
      </c>
      <c r="Y233" s="58">
        <f t="shared" si="2852"/>
        <v>0</v>
      </c>
      <c r="Z233" s="58">
        <f t="shared" si="2852"/>
        <v>0</v>
      </c>
      <c r="AA233" s="58">
        <f t="shared" si="2852"/>
        <v>3974038.4265418947</v>
      </c>
      <c r="AB233" s="118">
        <f t="shared" si="2678"/>
        <v>-1.8358927234403033</v>
      </c>
      <c r="AC233" s="58">
        <f t="shared" ref="AC233:AO233" si="2853">+AC71-AC230</f>
        <v>-506218.89773255959</v>
      </c>
      <c r="AD233" s="58">
        <f t="shared" si="2853"/>
        <v>-1737713.0108111557</v>
      </c>
      <c r="AE233" s="58">
        <f t="shared" si="2853"/>
        <v>6818080.7693014219</v>
      </c>
      <c r="AF233" s="58">
        <f t="shared" si="2853"/>
        <v>-2757416.8326601442</v>
      </c>
      <c r="AG233" s="58">
        <f t="shared" si="2853"/>
        <v>-1191375.0423415005</v>
      </c>
      <c r="AH233" s="58">
        <f t="shared" si="2853"/>
        <v>-1309489.5026164316</v>
      </c>
      <c r="AI233" s="58">
        <f t="shared" si="2853"/>
        <v>-1948038.7102230517</v>
      </c>
      <c r="AJ233" s="58">
        <f t="shared" si="2853"/>
        <v>441145.26894084178</v>
      </c>
      <c r="AK233" s="58">
        <f t="shared" si="2853"/>
        <v>1397929.6134135481</v>
      </c>
      <c r="AL233" s="58">
        <f t="shared" si="2853"/>
        <v>-2345895.9586608559</v>
      </c>
      <c r="AM233" s="58">
        <f t="shared" si="2853"/>
        <v>-2752330.6338594547</v>
      </c>
      <c r="AN233" s="58">
        <f t="shared" si="2853"/>
        <v>6280402.4037964307</v>
      </c>
      <c r="AO233" s="58">
        <f t="shared" si="2853"/>
        <v>18203975.486701548</v>
      </c>
      <c r="AQ233" s="58">
        <f t="shared" ref="AQ233:BC233" si="2854">+AQ71-AQ230</f>
        <v>-2123886.2073178771</v>
      </c>
      <c r="AR233" s="58">
        <f t="shared" si="2854"/>
        <v>2192596.872106757</v>
      </c>
      <c r="AS233" s="58">
        <f t="shared" si="2854"/>
        <v>2836015.355093874</v>
      </c>
      <c r="AT233" s="58">
        <f t="shared" si="2854"/>
        <v>-2117200.8803200116</v>
      </c>
      <c r="AU233" s="58">
        <f t="shared" si="2854"/>
        <v>-1275341.240424932</v>
      </c>
      <c r="AV233" s="58">
        <f t="shared" si="2854"/>
        <v>-1564960.2084269412</v>
      </c>
      <c r="AW233" s="58">
        <f t="shared" si="2854"/>
        <v>-2465387.781905218</v>
      </c>
      <c r="AX233" s="58">
        <f t="shared" si="2854"/>
        <v>-1663867.5582492519</v>
      </c>
      <c r="AY233" s="58">
        <f t="shared" si="2854"/>
        <v>177132.37952518277</v>
      </c>
      <c r="AZ233" s="58">
        <f t="shared" si="2854"/>
        <v>-1013914.989018037</v>
      </c>
      <c r="BA233" s="58">
        <f t="shared" si="2854"/>
        <v>-1763457.0863979002</v>
      </c>
      <c r="BB233" s="58">
        <f t="shared" si="2854"/>
        <v>1927252.2457378563</v>
      </c>
      <c r="BC233" s="58">
        <f t="shared" si="2854"/>
        <v>3289720.5400434881</v>
      </c>
      <c r="BD233" s="14" t="str">
        <f t="shared" si="2339"/>
        <v>EBITDA</v>
      </c>
      <c r="BE233" s="58">
        <f t="shared" ref="BE233:BQ233" si="2855">+BE71-BE230</f>
        <v>-1039800.6781462822</v>
      </c>
      <c r="BF233" s="58">
        <f t="shared" si="2855"/>
        <v>-3711887.0598054095</v>
      </c>
      <c r="BG233" s="58">
        <f t="shared" si="2855"/>
        <v>-774990.24625869468</v>
      </c>
      <c r="BH233" s="58">
        <f t="shared" si="2855"/>
        <v>-463401.15067946911</v>
      </c>
      <c r="BI233" s="58">
        <f t="shared" si="2855"/>
        <v>-3716826.8256465918</v>
      </c>
      <c r="BJ233" s="58">
        <f t="shared" si="2855"/>
        <v>-632282.3143213857</v>
      </c>
      <c r="BK233" s="58">
        <f t="shared" si="2855"/>
        <v>898998.42627210822</v>
      </c>
      <c r="BL233" s="58">
        <f t="shared" si="2855"/>
        <v>-3885589.0175643996</v>
      </c>
      <c r="BM233" s="58">
        <f t="shared" si="2855"/>
        <v>2723828.9255096288</v>
      </c>
      <c r="BN233" s="58">
        <f t="shared" si="2855"/>
        <v>2606608.8470508326</v>
      </c>
      <c r="BO233" s="58">
        <f t="shared" si="2855"/>
        <v>0</v>
      </c>
      <c r="BP233" s="58">
        <f t="shared" si="2855"/>
        <v>0</v>
      </c>
      <c r="BQ233" s="58">
        <f t="shared" si="2855"/>
        <v>-7995341.093589671</v>
      </c>
      <c r="BR233" s="118">
        <f t="shared" si="2679"/>
        <v>-2.1696142696355603</v>
      </c>
      <c r="BS233" s="58">
        <f t="shared" ref="BS233:CE233" si="2856">+BS71-BS230</f>
        <v>-1545725.3502110951</v>
      </c>
      <c r="BT233" s="58">
        <f t="shared" si="2856"/>
        <v>-2048723.4645323129</v>
      </c>
      <c r="BU233" s="58">
        <f t="shared" si="2856"/>
        <v>3931142.4610446952</v>
      </c>
      <c r="BV233" s="58">
        <f t="shared" si="2856"/>
        <v>-2590006.3658980108</v>
      </c>
      <c r="BW233" s="58">
        <f t="shared" si="2856"/>
        <v>-1660871.4047299465</v>
      </c>
      <c r="BX233" s="58">
        <f t="shared" si="2856"/>
        <v>-1540412.7429172713</v>
      </c>
      <c r="BY233" s="58">
        <f t="shared" si="2856"/>
        <v>-1558257.9461747156</v>
      </c>
      <c r="BZ233" s="58">
        <f t="shared" si="2856"/>
        <v>-58209.944798955694</v>
      </c>
      <c r="CA233" s="58">
        <f t="shared" si="2856"/>
        <v>-409295.26788065862</v>
      </c>
      <c r="CB233" s="58">
        <f t="shared" si="2856"/>
        <v>-2228605.5451965583</v>
      </c>
      <c r="CC233" s="58">
        <f t="shared" si="2856"/>
        <v>-2420422.6089475029</v>
      </c>
      <c r="CD233" s="58">
        <f t="shared" si="2856"/>
        <v>2211362.5652414644</v>
      </c>
      <c r="CE233" s="58">
        <f t="shared" si="2856"/>
        <v>-9918025.6150008738</v>
      </c>
      <c r="CF233" s="22"/>
      <c r="CG233" s="58">
        <f t="shared" ref="CG233:CS233" si="2857">+CG71-CG230</f>
        <v>-1748022.3605128194</v>
      </c>
      <c r="CH233" s="58">
        <f t="shared" si="2857"/>
        <v>43902.328526538331</v>
      </c>
      <c r="CI233" s="58">
        <f t="shared" si="2857"/>
        <v>4962602.414325539</v>
      </c>
      <c r="CJ233" s="58">
        <f t="shared" si="2857"/>
        <v>-1889681.2628051285</v>
      </c>
      <c r="CK233" s="58">
        <f t="shared" si="2857"/>
        <v>709086.68626153842</v>
      </c>
      <c r="CL233" s="58">
        <f t="shared" si="2857"/>
        <v>-2918047.5425384613</v>
      </c>
      <c r="CM233" s="58">
        <f t="shared" si="2857"/>
        <v>93384.659264937509</v>
      </c>
      <c r="CN233" s="58">
        <f t="shared" si="2857"/>
        <v>601947.62316231895</v>
      </c>
      <c r="CO233" s="58">
        <f t="shared" si="2857"/>
        <v>-186748.16479555704</v>
      </c>
      <c r="CP233" s="58">
        <f t="shared" si="2857"/>
        <v>-2027211.1114547946</v>
      </c>
      <c r="CQ233" s="58">
        <f t="shared" si="2857"/>
        <v>1503106.8161482057</v>
      </c>
      <c r="CR233" s="58">
        <f t="shared" si="2857"/>
        <v>497823.20865244698</v>
      </c>
      <c r="CS233" s="58">
        <f t="shared" si="2857"/>
        <v>-357856.70576522499</v>
      </c>
      <c r="CT233" s="14" t="str">
        <f t="shared" si="2340"/>
        <v>EBITDA</v>
      </c>
      <c r="CU233" s="58">
        <f t="shared" ref="CU233:DG233" si="2858">+CU71-CU230</f>
        <v>757810.79546839138</v>
      </c>
      <c r="CV233" s="58">
        <f t="shared" si="2858"/>
        <v>-1708066.3896025638</v>
      </c>
      <c r="CW233" s="58">
        <f t="shared" si="2858"/>
        <v>4876077.030850769</v>
      </c>
      <c r="CX233" s="58">
        <f t="shared" si="2858"/>
        <v>1517423.9970246954</v>
      </c>
      <c r="CY233" s="58">
        <f t="shared" si="2858"/>
        <v>2128311.0530224359</v>
      </c>
      <c r="CZ233" s="58">
        <f t="shared" si="2858"/>
        <v>-931493.18555756425</v>
      </c>
      <c r="DA233" s="58">
        <f t="shared" si="2858"/>
        <v>3308305.4399120556</v>
      </c>
      <c r="DB233" s="58">
        <f t="shared" si="2858"/>
        <v>586164.85752243595</v>
      </c>
      <c r="DC233" s="58">
        <f t="shared" si="2858"/>
        <v>2080537.4067491032</v>
      </c>
      <c r="DD233" s="58">
        <f t="shared" si="2858"/>
        <v>-645691.48525820859</v>
      </c>
      <c r="DE233" s="58">
        <f t="shared" si="2858"/>
        <v>0</v>
      </c>
      <c r="DF233" s="58">
        <f t="shared" si="2858"/>
        <v>0</v>
      </c>
      <c r="DG233" s="58">
        <f t="shared" si="2858"/>
        <v>11969379.520131558</v>
      </c>
      <c r="DH233" s="118">
        <f t="shared" si="2680"/>
        <v>4.5050661532091718</v>
      </c>
      <c r="DI233" s="58">
        <f t="shared" ref="DI233:DU233" si="2859">+DI71-DI230</f>
        <v>1039506.4524785364</v>
      </c>
      <c r="DJ233" s="58">
        <f t="shared" si="2859"/>
        <v>311010.45372115774</v>
      </c>
      <c r="DK233" s="58">
        <f t="shared" si="2859"/>
        <v>2886938.3082567276</v>
      </c>
      <c r="DL233" s="58">
        <f t="shared" si="2859"/>
        <v>-167410.46676213294</v>
      </c>
      <c r="DM233" s="58">
        <f t="shared" si="2859"/>
        <v>469496.362388446</v>
      </c>
      <c r="DN233" s="58">
        <f t="shared" si="2859"/>
        <v>230923.2403008407</v>
      </c>
      <c r="DO233" s="58">
        <f t="shared" si="2859"/>
        <v>-389780.76404833607</v>
      </c>
      <c r="DP233" s="58">
        <f t="shared" si="2859"/>
        <v>499355.21373979654</v>
      </c>
      <c r="DQ233" s="58">
        <f t="shared" si="2859"/>
        <v>1807224.8812942081</v>
      </c>
      <c r="DR233" s="58">
        <f t="shared" si="2859"/>
        <v>-117290.41346429661</v>
      </c>
      <c r="DS233" s="58">
        <f t="shared" si="2859"/>
        <v>-331908.02491195127</v>
      </c>
      <c r="DT233" s="58">
        <f t="shared" si="2859"/>
        <v>4069039.8385549653</v>
      </c>
      <c r="DU233" s="58">
        <f t="shared" si="2859"/>
        <v>10307105.081547961</v>
      </c>
    </row>
    <row r="234" spans="1:125" ht="14.45" customHeight="1">
      <c r="A234" s="108">
        <f t="shared" ref="A234:M234" si="2860">IFERROR(A233/A70,0)</f>
        <v>-4.7323772378615868E-2</v>
      </c>
      <c r="B234" s="108">
        <f t="shared" si="2860"/>
        <v>1.1048356053282235E-2</v>
      </c>
      <c r="C234" s="108">
        <f t="shared" si="2860"/>
        <v>2.6596455952519572E-2</v>
      </c>
      <c r="D234" s="108">
        <f t="shared" si="2860"/>
        <v>-3.7400890939912203E-2</v>
      </c>
      <c r="E234" s="108">
        <f t="shared" si="2860"/>
        <v>-2.6701627721160016E-3</v>
      </c>
      <c r="F234" s="108">
        <f t="shared" si="2860"/>
        <v>-2.9587671339792915E-2</v>
      </c>
      <c r="G234" s="108">
        <f t="shared" si="2860"/>
        <v>-1.5518929733450135E-2</v>
      </c>
      <c r="H234" s="108">
        <f t="shared" si="2860"/>
        <v>-6.2349615018256468E-3</v>
      </c>
      <c r="I234" s="108">
        <f t="shared" si="2860"/>
        <v>-6.6380178647225022E-5</v>
      </c>
      <c r="J234" s="108">
        <f t="shared" si="2860"/>
        <v>-1.6587465032620857E-2</v>
      </c>
      <c r="K234" s="108">
        <f t="shared" si="2860"/>
        <v>-1.4675060616049559E-3</v>
      </c>
      <c r="L234" s="108">
        <f t="shared" si="2860"/>
        <v>1.120042379720762E-2</v>
      </c>
      <c r="M234" s="108">
        <f t="shared" si="2860"/>
        <v>7.1523755203452104E-3</v>
      </c>
      <c r="N234" s="15" t="s">
        <v>58</v>
      </c>
      <c r="O234" s="48">
        <f t="shared" ref="O234:AA234" si="2861">IFERROR(O233/O70,0)</f>
        <v>-1.5559795401313158E-3</v>
      </c>
      <c r="P234" s="48">
        <f t="shared" si="2861"/>
        <v>-4.9623278409304833E-2</v>
      </c>
      <c r="Q234" s="48">
        <f t="shared" si="2861"/>
        <v>1.6932848379113508E-2</v>
      </c>
      <c r="R234" s="48">
        <f t="shared" si="2861"/>
        <v>7.685325571074395E-3</v>
      </c>
      <c r="S234" s="48">
        <f t="shared" si="2861"/>
        <v>-1.2368831760527613E-2</v>
      </c>
      <c r="T234" s="48">
        <f t="shared" si="2861"/>
        <v>-9.514376197849797E-3</v>
      </c>
      <c r="U234" s="48">
        <f t="shared" si="2861"/>
        <v>1.9786611247574588E-2</v>
      </c>
      <c r="V234" s="48">
        <f t="shared" si="2861"/>
        <v>-2.0977508052389165E-2</v>
      </c>
      <c r="W234" s="48">
        <f t="shared" si="2861"/>
        <v>1.8705416686295506E-2</v>
      </c>
      <c r="X234" s="48">
        <f t="shared" si="2861"/>
        <v>8.5773224610463071E-3</v>
      </c>
      <c r="Y234" s="48">
        <f t="shared" si="2861"/>
        <v>0</v>
      </c>
      <c r="Z234" s="48">
        <f t="shared" si="2861"/>
        <v>0</v>
      </c>
      <c r="AA234" s="48">
        <f t="shared" si="2861"/>
        <v>2.185984980552746E-3</v>
      </c>
      <c r="AB234" s="118">
        <f t="shared" si="2678"/>
        <v>-1.5531007001461574</v>
      </c>
      <c r="AC234" s="108">
        <f t="shared" ref="AC234:AO234" si="2862">IFERROR(AC233/AC70,0)</f>
        <v>-3.3903560578628978E-3</v>
      </c>
      <c r="AD234" s="108">
        <f t="shared" si="2862"/>
        <v>-1.0985112953719775E-2</v>
      </c>
      <c r="AE234" s="108">
        <f t="shared" si="2862"/>
        <v>3.3464341784435213E-2</v>
      </c>
      <c r="AF234" s="108">
        <f t="shared" si="2862"/>
        <v>-2.0484021919466206E-2</v>
      </c>
      <c r="AG234" s="108">
        <f t="shared" si="2862"/>
        <v>-6.8122512524015164E-3</v>
      </c>
      <c r="AH234" s="108">
        <f t="shared" si="2862"/>
        <v>-1.0010225127720892E-2</v>
      </c>
      <c r="AI234" s="108">
        <f t="shared" si="2862"/>
        <v>-1.2791629406242767E-2</v>
      </c>
      <c r="AJ234" s="108">
        <f t="shared" si="2862"/>
        <v>2.5663743851949599E-3</v>
      </c>
      <c r="AK234" s="108">
        <f t="shared" si="2862"/>
        <v>7.3245024788245487E-3</v>
      </c>
      <c r="AL234" s="108">
        <f t="shared" si="2862"/>
        <v>-1.5507704941938675E-2</v>
      </c>
      <c r="AM234" s="108">
        <f t="shared" si="2862"/>
        <v>-2.1054201327413168E-2</v>
      </c>
      <c r="AN234" s="108">
        <f t="shared" si="2862"/>
        <v>3.1469904964548989E-2</v>
      </c>
      <c r="AO234" s="108">
        <f t="shared" si="2862"/>
        <v>9.3441654402566833E-3</v>
      </c>
      <c r="AP234" s="32"/>
      <c r="AQ234" s="108">
        <f t="shared" ref="AQ234:BC234" si="2863">IFERROR(AQ233/AQ70,0)</f>
        <v>-3.7614275864572499E-2</v>
      </c>
      <c r="AR234" s="108">
        <f t="shared" si="2863"/>
        <v>1.5091233198100193E-2</v>
      </c>
      <c r="AS234" s="108">
        <f t="shared" si="2863"/>
        <v>1.8793735561700924E-2</v>
      </c>
      <c r="AT234" s="108">
        <f t="shared" si="2863"/>
        <v>-2.9630430275227142E-2</v>
      </c>
      <c r="AU234" s="108">
        <f t="shared" si="2863"/>
        <v>-1.2712042170378695E-2</v>
      </c>
      <c r="AV234" s="108">
        <f t="shared" si="2863"/>
        <v>-1.2329807716355511E-2</v>
      </c>
      <c r="AW234" s="108">
        <f t="shared" si="2863"/>
        <v>-3.5341567792038196E-2</v>
      </c>
      <c r="AX234" s="108">
        <f t="shared" si="2863"/>
        <v>-1.8100150505013433E-2</v>
      </c>
      <c r="AY234" s="108">
        <f t="shared" si="2863"/>
        <v>1.5929841130175753E-3</v>
      </c>
      <c r="AZ234" s="108">
        <f t="shared" si="2863"/>
        <v>-7.2575108307842478E-3</v>
      </c>
      <c r="BA234" s="108">
        <f t="shared" si="2863"/>
        <v>-2.1279126137456715E-2</v>
      </c>
      <c r="BB234" s="108">
        <f t="shared" si="2863"/>
        <v>1.3079576833449401E-2</v>
      </c>
      <c r="BC234" s="108">
        <f t="shared" si="2863"/>
        <v>2.5419603281684718E-3</v>
      </c>
      <c r="BD234" s="15" t="str">
        <f t="shared" si="2339"/>
        <v>% to Sales</v>
      </c>
      <c r="BE234" s="108">
        <f t="shared" ref="BE234:BQ234" si="2864">IFERROR(BE233/BE70,0)</f>
        <v>-9.7028813783965034E-3</v>
      </c>
      <c r="BF234" s="108">
        <f t="shared" si="2864"/>
        <v>-4.4568200963609556E-2</v>
      </c>
      <c r="BG234" s="108">
        <f t="shared" si="2864"/>
        <v>-7.3364423336980417E-3</v>
      </c>
      <c r="BH234" s="108">
        <f t="shared" si="2864"/>
        <v>-6.3624913986994585E-3</v>
      </c>
      <c r="BI234" s="108">
        <f t="shared" si="2864"/>
        <v>-9.1707300444384215E-2</v>
      </c>
      <c r="BJ234" s="108">
        <f t="shared" si="2864"/>
        <v>-5.2836945151454482E-3</v>
      </c>
      <c r="BK234" s="108">
        <f t="shared" si="2864"/>
        <v>8.1473335961065995E-3</v>
      </c>
      <c r="BL234" s="108">
        <f t="shared" si="2864"/>
        <v>-6.4045781629696763E-2</v>
      </c>
      <c r="BM234" s="108">
        <f t="shared" si="2864"/>
        <v>1.5546754835432445E-2</v>
      </c>
      <c r="BN234" s="108">
        <f t="shared" si="2864"/>
        <v>1.6108488875906959E-2</v>
      </c>
      <c r="BO234" s="108">
        <f t="shared" si="2864"/>
        <v>0</v>
      </c>
      <c r="BP234" s="108">
        <f t="shared" si="2864"/>
        <v>0</v>
      </c>
      <c r="BQ234" s="108">
        <f t="shared" si="2864"/>
        <v>-7.7089948043715896E-3</v>
      </c>
      <c r="BR234" s="118">
        <f t="shared" si="2679"/>
        <v>-1.6118101738780861</v>
      </c>
      <c r="BS234" s="108">
        <f t="shared" ref="BS234:CE234" si="2865">IFERROR(BS233/BS70,0)</f>
        <v>-1.9996180382328234E-2</v>
      </c>
      <c r="BT234" s="108">
        <f t="shared" si="2865"/>
        <v>-2.4629569340956135E-2</v>
      </c>
      <c r="BU234" s="108">
        <f t="shared" si="2865"/>
        <v>2.9347166115705547E-2</v>
      </c>
      <c r="BV234" s="108">
        <f t="shared" si="2865"/>
        <v>-3.7288456123239028E-2</v>
      </c>
      <c r="BW234" s="108">
        <f t="shared" si="2865"/>
        <v>-1.7304141745388281E-2</v>
      </c>
      <c r="BX234" s="108">
        <f t="shared" si="2865"/>
        <v>-2.0700953734490005E-2</v>
      </c>
      <c r="BY234" s="108">
        <f t="shared" si="2865"/>
        <v>-1.5967528525560683E-2</v>
      </c>
      <c r="BZ234" s="108">
        <f t="shared" si="2865"/>
        <v>-5.3351812944974722E-4</v>
      </c>
      <c r="CA234" s="108">
        <f t="shared" si="2865"/>
        <v>-4.1352764778179807E-3</v>
      </c>
      <c r="CB234" s="108">
        <f t="shared" si="2865"/>
        <v>-2.6329226880618777E-2</v>
      </c>
      <c r="CC234" s="108">
        <f t="shared" si="2865"/>
        <v>-3.3847952296045987E-2</v>
      </c>
      <c r="CD234" s="108">
        <f t="shared" si="2865"/>
        <v>2.0864383839590814E-2</v>
      </c>
      <c r="CE234" s="108">
        <f t="shared" si="2865"/>
        <v>-8.9992111266227054E-3</v>
      </c>
      <c r="CF234" s="32"/>
      <c r="CG234" s="108">
        <f t="shared" ref="CG234:CS234" si="2866">IFERROR(CG233/CG70,0)</f>
        <v>-6.8948677160376406E-2</v>
      </c>
      <c r="CH234" s="108">
        <f t="shared" si="2866"/>
        <v>7.6834543327812695E-4</v>
      </c>
      <c r="CI234" s="108">
        <f t="shared" si="2866"/>
        <v>3.486980997862086E-2</v>
      </c>
      <c r="CJ234" s="108">
        <f t="shared" si="2866"/>
        <v>-5.2962311934324519E-2</v>
      </c>
      <c r="CK234" s="108">
        <f t="shared" si="2866"/>
        <v>6.3457497098544924E-3</v>
      </c>
      <c r="CL234" s="108">
        <f t="shared" si="2866"/>
        <v>-0.11866263423095368</v>
      </c>
      <c r="CM234" s="108">
        <f t="shared" si="2866"/>
        <v>1.1239392937894815E-3</v>
      </c>
      <c r="CN234" s="108">
        <f t="shared" si="2866"/>
        <v>7.6787476798835944E-3</v>
      </c>
      <c r="CO234" s="108">
        <f t="shared" si="2866"/>
        <v>-5.5474203631051128E-3</v>
      </c>
      <c r="CP234" s="108">
        <f t="shared" si="2866"/>
        <v>-4.6460291305725279E-2</v>
      </c>
      <c r="CQ234" s="108">
        <f t="shared" si="2866"/>
        <v>1.5899601983921013E-2</v>
      </c>
      <c r="CR234" s="108">
        <f t="shared" si="2866"/>
        <v>7.1972854179026928E-3</v>
      </c>
      <c r="CS234" s="108">
        <f t="shared" si="2866"/>
        <v>-4.4771082769772479E-4</v>
      </c>
      <c r="CT234" s="15" t="str">
        <f t="shared" si="2340"/>
        <v>% to Sales</v>
      </c>
      <c r="CU234" s="48">
        <f t="shared" ref="CU234:DG234" si="2867">IFERROR(CU233/CU70,0)</f>
        <v>1.0231602304492979E-2</v>
      </c>
      <c r="CV234" s="48">
        <f t="shared" si="2867"/>
        <v>-6.5855837554130006E-2</v>
      </c>
      <c r="CW234" s="48">
        <f t="shared" si="2867"/>
        <v>3.5706115531024152E-2</v>
      </c>
      <c r="CX234" s="48">
        <f t="shared" si="2867"/>
        <v>2.359392947823816E-2</v>
      </c>
      <c r="CY234" s="48">
        <f t="shared" si="2867"/>
        <v>2.4212953038433249E-2</v>
      </c>
      <c r="CZ234" s="48">
        <f t="shared" si="2867"/>
        <v>-2.0842261473485481E-2</v>
      </c>
      <c r="DA234" s="48">
        <f t="shared" si="2867"/>
        <v>3.2342026940946837E-2</v>
      </c>
      <c r="DB234" s="48">
        <f t="shared" si="2867"/>
        <v>6.0670193190240388E-3</v>
      </c>
      <c r="DC234" s="48">
        <f t="shared" si="2867"/>
        <v>2.5483922222885699E-2</v>
      </c>
      <c r="DD234" s="48">
        <f t="shared" si="2867"/>
        <v>-9.6659477159256133E-3</v>
      </c>
      <c r="DE234" s="48">
        <f t="shared" si="2867"/>
        <v>0</v>
      </c>
      <c r="DF234" s="48">
        <f t="shared" si="2867"/>
        <v>0</v>
      </c>
      <c r="DG234" s="48">
        <f t="shared" si="2867"/>
        <v>1.532928371051555E-2</v>
      </c>
      <c r="DH234" s="118">
        <f t="shared" si="2680"/>
        <v>4.4909328330309259</v>
      </c>
      <c r="DI234" s="48">
        <f t="shared" ref="DI234:DU234" si="2868">IFERROR(DI233/DI70,0)</f>
        <v>1.443550539232299E-2</v>
      </c>
      <c r="DJ234" s="48">
        <f t="shared" si="2868"/>
        <v>4.1464445038712746E-3</v>
      </c>
      <c r="DK234" s="48">
        <f t="shared" si="2868"/>
        <v>4.1366895028525114E-2</v>
      </c>
      <c r="DL234" s="48">
        <f t="shared" si="2868"/>
        <v>-2.5694424839946915E-3</v>
      </c>
      <c r="DM234" s="48">
        <f t="shared" si="2868"/>
        <v>5.9500734935153685E-3</v>
      </c>
      <c r="DN234" s="48">
        <f t="shared" si="2868"/>
        <v>4.0941990173251775E-3</v>
      </c>
      <c r="DO234" s="48">
        <f t="shared" si="2868"/>
        <v>-7.1256685989307253E-3</v>
      </c>
      <c r="DP234" s="48">
        <f t="shared" si="2868"/>
        <v>7.9529709012327969E-3</v>
      </c>
      <c r="DQ234" s="48">
        <f t="shared" si="2868"/>
        <v>1.9669387730524346E-2</v>
      </c>
      <c r="DR234" s="48">
        <f t="shared" si="2868"/>
        <v>-1.7603471049180786E-3</v>
      </c>
      <c r="DS234" s="48">
        <f t="shared" si="2868"/>
        <v>-5.6049192685031207E-3</v>
      </c>
      <c r="DT234" s="48">
        <f t="shared" si="2868"/>
        <v>4.348143492315578E-2</v>
      </c>
      <c r="DU234" s="48">
        <f t="shared" si="2868"/>
        <v>1.2182396282312937E-2</v>
      </c>
    </row>
    <row r="235" spans="1:125" ht="14.4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18">
        <f t="shared" si="2678"/>
        <v>0</v>
      </c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  <c r="BB235" s="106"/>
      <c r="BC235" s="106"/>
      <c r="BD235" s="16">
        <f t="shared" si="2339"/>
        <v>0</v>
      </c>
      <c r="BE235" s="106"/>
      <c r="BF235" s="106"/>
      <c r="BG235" s="106"/>
      <c r="BH235" s="106"/>
      <c r="BI235" s="106"/>
      <c r="BJ235" s="106"/>
      <c r="BK235" s="106"/>
      <c r="BL235" s="106"/>
      <c r="BM235" s="106"/>
      <c r="BN235" s="106"/>
      <c r="BO235" s="106"/>
      <c r="BP235" s="106"/>
      <c r="BQ235" s="106"/>
      <c r="BR235" s="118">
        <f t="shared" si="2679"/>
        <v>0</v>
      </c>
      <c r="BS235" s="106"/>
      <c r="BT235" s="106"/>
      <c r="BU235" s="106"/>
      <c r="BV235" s="106"/>
      <c r="BW235" s="106"/>
      <c r="BX235" s="106"/>
      <c r="BY235" s="106"/>
      <c r="BZ235" s="106"/>
      <c r="CA235" s="106"/>
      <c r="CB235" s="106"/>
      <c r="CC235" s="106"/>
      <c r="CD235" s="106"/>
      <c r="CE235" s="106"/>
      <c r="CF235" s="22"/>
      <c r="CG235" s="106"/>
      <c r="CH235" s="106"/>
      <c r="CI235" s="106"/>
      <c r="CJ235" s="106"/>
      <c r="CK235" s="106"/>
      <c r="CL235" s="106"/>
      <c r="CM235" s="106"/>
      <c r="CN235" s="106"/>
      <c r="CO235" s="106"/>
      <c r="CP235" s="106"/>
      <c r="CQ235" s="106"/>
      <c r="CR235" s="106"/>
      <c r="CS235" s="106"/>
      <c r="CT235" s="16">
        <f t="shared" si="2340"/>
        <v>0</v>
      </c>
      <c r="CU235" s="106"/>
      <c r="CV235" s="106"/>
      <c r="CW235" s="106"/>
      <c r="CX235" s="106"/>
      <c r="CY235" s="106"/>
      <c r="CZ235" s="106"/>
      <c r="DA235" s="106"/>
      <c r="DB235" s="106"/>
      <c r="DC235" s="106"/>
      <c r="DD235" s="106"/>
      <c r="DE235" s="106"/>
      <c r="DF235" s="106"/>
      <c r="DG235" s="106"/>
      <c r="DH235" s="118">
        <f t="shared" si="2680"/>
        <v>0</v>
      </c>
      <c r="DI235" s="106"/>
      <c r="DJ235" s="106"/>
      <c r="DK235" s="106"/>
      <c r="DL235" s="106"/>
      <c r="DM235" s="106"/>
      <c r="DN235" s="106"/>
      <c r="DO235" s="106"/>
      <c r="DP235" s="106"/>
      <c r="DQ235" s="106"/>
      <c r="DR235" s="106"/>
      <c r="DS235" s="106"/>
      <c r="DT235" s="106"/>
      <c r="DU235" s="106"/>
    </row>
    <row r="236" spans="1:125" ht="14.45" customHeight="1">
      <c r="A236" s="58">
        <f t="shared" ref="A236:M236" si="2869">+SUM(A237:A239)</f>
        <v>374757.12400000001</v>
      </c>
      <c r="B236" s="58">
        <f t="shared" si="2869"/>
        <v>336015.34325000003</v>
      </c>
      <c r="C236" s="58">
        <f t="shared" si="2869"/>
        <v>343738.37524999998</v>
      </c>
      <c r="D236" s="58">
        <f t="shared" si="2869"/>
        <v>351334.80950000003</v>
      </c>
      <c r="E236" s="58">
        <f t="shared" si="2869"/>
        <v>347283.37675</v>
      </c>
      <c r="F236" s="58">
        <f t="shared" si="2869"/>
        <v>321328.91174999997</v>
      </c>
      <c r="G236" s="58">
        <f t="shared" si="2869"/>
        <v>350448.55625000002</v>
      </c>
      <c r="H236" s="58">
        <f t="shared" si="2869"/>
        <v>335382.30849999998</v>
      </c>
      <c r="I236" s="58">
        <f t="shared" si="2869"/>
        <v>320695.87699999998</v>
      </c>
      <c r="J236" s="58">
        <f t="shared" si="2869"/>
        <v>327659.27074999997</v>
      </c>
      <c r="K236" s="58">
        <f t="shared" si="2869"/>
        <v>313226.05775000004</v>
      </c>
      <c r="L236" s="58">
        <f t="shared" si="2869"/>
        <v>319556.41674999997</v>
      </c>
      <c r="M236" s="58">
        <f t="shared" si="2869"/>
        <v>4041426.4274999998</v>
      </c>
      <c r="N236" s="17" t="s">
        <v>195</v>
      </c>
      <c r="O236" s="58">
        <f t="shared" ref="O236:AA236" si="2870">+SUM(O237:O239)</f>
        <v>315884.80599999998</v>
      </c>
      <c r="P236" s="58">
        <f t="shared" si="2870"/>
        <v>281954.09625</v>
      </c>
      <c r="Q236" s="58">
        <f t="shared" si="2870"/>
        <v>326807.00524999999</v>
      </c>
      <c r="R236" s="58">
        <f t="shared" si="2870"/>
        <v>305386.96200000006</v>
      </c>
      <c r="S236" s="58">
        <f t="shared" si="2870"/>
        <v>291847.04024999996</v>
      </c>
      <c r="T236" s="58">
        <f t="shared" si="2870"/>
        <v>308912.33974999998</v>
      </c>
      <c r="U236" s="58">
        <f t="shared" si="2870"/>
        <v>259854.11500000002</v>
      </c>
      <c r="V236" s="58">
        <f t="shared" si="2870"/>
        <v>248037.451</v>
      </c>
      <c r="W236" s="58">
        <f t="shared" si="2870"/>
        <v>252989.19575000001</v>
      </c>
      <c r="X236" s="58">
        <f t="shared" si="2870"/>
        <v>249387.92475000001</v>
      </c>
      <c r="Y236" s="58">
        <f t="shared" si="2870"/>
        <v>0</v>
      </c>
      <c r="Z236" s="58">
        <f t="shared" si="2870"/>
        <v>0</v>
      </c>
      <c r="AA236" s="58">
        <f t="shared" si="2870"/>
        <v>2841060.9360000002</v>
      </c>
      <c r="AB236" s="118">
        <f t="shared" si="2678"/>
        <v>-0.11748309277497242</v>
      </c>
      <c r="AC236" s="58">
        <f t="shared" ref="AC236:AO236" si="2871">+SUM(AC237:AC239)</f>
        <v>317910.52643985534</v>
      </c>
      <c r="AD236" s="58">
        <f t="shared" si="2871"/>
        <v>283599.99180493073</v>
      </c>
      <c r="AE236" s="58">
        <f t="shared" si="2871"/>
        <v>310060.88398534851</v>
      </c>
      <c r="AF236" s="58">
        <f t="shared" si="2871"/>
        <v>296260.70589493064</v>
      </c>
      <c r="AG236" s="58">
        <f t="shared" si="2871"/>
        <v>302211.24153084157</v>
      </c>
      <c r="AH236" s="58">
        <f t="shared" si="2871"/>
        <v>288664.27771314979</v>
      </c>
      <c r="AI236" s="58">
        <f t="shared" si="2871"/>
        <v>294361.59907633468</v>
      </c>
      <c r="AJ236" s="58">
        <f t="shared" si="2871"/>
        <v>290436.77784908132</v>
      </c>
      <c r="AK236" s="58">
        <f t="shared" si="2871"/>
        <v>277269.63544047857</v>
      </c>
      <c r="AL236" s="58">
        <f t="shared" si="2871"/>
        <v>282587.13539457449</v>
      </c>
      <c r="AM236" s="58">
        <f t="shared" si="2871"/>
        <v>269673.20725869777</v>
      </c>
      <c r="AN236" s="58">
        <f t="shared" si="2871"/>
        <v>274737.4929400676</v>
      </c>
      <c r="AO236" s="58">
        <f t="shared" si="2871"/>
        <v>3487773.4753282908</v>
      </c>
      <c r="AQ236" s="58">
        <f t="shared" ref="AQ236:BB236" si="2872">+SUM(AQ237:AQ239)</f>
        <v>169455.3952</v>
      </c>
      <c r="AR236" s="58">
        <f t="shared" si="2872"/>
        <v>151937.3726</v>
      </c>
      <c r="AS236" s="58">
        <f t="shared" si="2872"/>
        <v>155429.52619999999</v>
      </c>
      <c r="AT236" s="58">
        <f t="shared" si="2872"/>
        <v>158864.43560000003</v>
      </c>
      <c r="AU236" s="58">
        <f t="shared" si="2872"/>
        <v>157032.4834</v>
      </c>
      <c r="AV236" s="58">
        <f t="shared" si="2872"/>
        <v>145296.5514</v>
      </c>
      <c r="AW236" s="58">
        <f t="shared" si="2872"/>
        <v>158463.69500000001</v>
      </c>
      <c r="AX236" s="58">
        <f t="shared" si="2872"/>
        <v>151651.13079999998</v>
      </c>
      <c r="AY236" s="58">
        <f t="shared" si="2872"/>
        <v>145010.30960000001</v>
      </c>
      <c r="AZ236" s="58">
        <f t="shared" si="2872"/>
        <v>148158.97459999999</v>
      </c>
      <c r="BA236" s="58">
        <f t="shared" si="2872"/>
        <v>141632.65220000001</v>
      </c>
      <c r="BB236" s="58">
        <f t="shared" si="2872"/>
        <v>144495.0754</v>
      </c>
      <c r="BC236" s="58">
        <f>+SUM(AQ236:BB236)</f>
        <v>1827427.602</v>
      </c>
      <c r="BD236" s="17" t="str">
        <f t="shared" si="2339"/>
        <v xml:space="preserve">Finance Charge </v>
      </c>
      <c r="BE236" s="58">
        <f t="shared" ref="BE236:BQ236" si="2873">+SUM(BE237:BE239)</f>
        <v>142834.8688</v>
      </c>
      <c r="BF236" s="58">
        <f t="shared" si="2873"/>
        <v>127492.28700000001</v>
      </c>
      <c r="BG236" s="58">
        <f t="shared" si="2873"/>
        <v>158371.11020000002</v>
      </c>
      <c r="BH236" s="58">
        <f t="shared" si="2873"/>
        <v>138088.01760000002</v>
      </c>
      <c r="BI236" s="58">
        <f t="shared" si="2873"/>
        <v>131965.6182</v>
      </c>
      <c r="BJ236" s="58">
        <f t="shared" si="2873"/>
        <v>148251.5258</v>
      </c>
      <c r="BK236" s="58">
        <f t="shared" si="2873"/>
        <v>117499.25200000001</v>
      </c>
      <c r="BL236" s="58">
        <f t="shared" si="2873"/>
        <v>112156.06479999999</v>
      </c>
      <c r="BM236" s="58">
        <f t="shared" si="2873"/>
        <v>114395.11460000002</v>
      </c>
      <c r="BN236" s="58">
        <f t="shared" si="2873"/>
        <v>112766.71380000001</v>
      </c>
      <c r="BO236" s="58">
        <f t="shared" si="2873"/>
        <v>0</v>
      </c>
      <c r="BP236" s="58">
        <f t="shared" si="2873"/>
        <v>0</v>
      </c>
      <c r="BQ236" s="58">
        <f t="shared" si="2873"/>
        <v>1303820.5728</v>
      </c>
      <c r="BR236" s="118">
        <f t="shared" si="2679"/>
        <v>-0.11748309277497224</v>
      </c>
      <c r="BS236" s="58">
        <f t="shared" ref="BS236:CE236" si="2874">+SUM(BS237:BS239)</f>
        <v>143750.84673802156</v>
      </c>
      <c r="BT236" s="58">
        <f t="shared" si="2874"/>
        <v>128236.51803353391</v>
      </c>
      <c r="BU236" s="58">
        <f t="shared" si="2874"/>
        <v>140201.44319337496</v>
      </c>
      <c r="BV236" s="58">
        <f t="shared" si="2874"/>
        <v>133961.36266553384</v>
      </c>
      <c r="BW236" s="58">
        <f t="shared" si="2874"/>
        <v>136652.03964872836</v>
      </c>
      <c r="BX236" s="58">
        <f t="shared" si="2874"/>
        <v>130526.45600942425</v>
      </c>
      <c r="BY236" s="58">
        <f t="shared" si="2874"/>
        <v>133102.63610408176</v>
      </c>
      <c r="BZ236" s="58">
        <f t="shared" si="2874"/>
        <v>131327.9343317585</v>
      </c>
      <c r="CA236" s="58">
        <f t="shared" si="2874"/>
        <v>125374.09602525987</v>
      </c>
      <c r="CB236" s="58">
        <f t="shared" si="2874"/>
        <v>127778.53078711193</v>
      </c>
      <c r="CC236" s="58">
        <f t="shared" si="2874"/>
        <v>121939.18936915031</v>
      </c>
      <c r="CD236" s="58">
        <f t="shared" si="2874"/>
        <v>124229.12724246536</v>
      </c>
      <c r="CE236" s="58">
        <f t="shared" si="2874"/>
        <v>1577080.1801484446</v>
      </c>
      <c r="CF236" s="22"/>
      <c r="CG236" s="58">
        <f t="shared" ref="CG236:CR236" si="2875">+SUM(CG237:CG239)</f>
        <v>205301.72880000001</v>
      </c>
      <c r="CH236" s="58">
        <f t="shared" si="2875"/>
        <v>184077.97065</v>
      </c>
      <c r="CI236" s="58">
        <f t="shared" si="2875"/>
        <v>188308.84904999999</v>
      </c>
      <c r="CJ236" s="58">
        <f t="shared" si="2875"/>
        <v>192470.37390000001</v>
      </c>
      <c r="CK236" s="58">
        <f t="shared" si="2875"/>
        <v>190250.89335</v>
      </c>
      <c r="CL236" s="58">
        <f t="shared" si="2875"/>
        <v>176032.36035</v>
      </c>
      <c r="CM236" s="58">
        <f t="shared" si="2875"/>
        <v>191984.86124999999</v>
      </c>
      <c r="CN236" s="58">
        <f t="shared" si="2875"/>
        <v>183731.1777</v>
      </c>
      <c r="CO236" s="58">
        <f t="shared" si="2875"/>
        <v>175685.5674</v>
      </c>
      <c r="CP236" s="58">
        <f t="shared" si="2875"/>
        <v>179500.29614999998</v>
      </c>
      <c r="CQ236" s="58">
        <f t="shared" si="2875"/>
        <v>171593.40555</v>
      </c>
      <c r="CR236" s="58">
        <f t="shared" si="2875"/>
        <v>175061.34135</v>
      </c>
      <c r="CS236" s="58">
        <f>+SUM(CG236:CR236)</f>
        <v>2213998.8255000003</v>
      </c>
      <c r="CT236" s="17" t="str">
        <f t="shared" si="2340"/>
        <v xml:space="preserve">Finance Charge </v>
      </c>
      <c r="CU236" s="58">
        <f t="shared" ref="CU236:DF236" si="2876">+SUM(CU237:CU239)</f>
        <v>173049.93720000001</v>
      </c>
      <c r="CV236" s="58">
        <f t="shared" si="2876"/>
        <v>154461.80924999999</v>
      </c>
      <c r="CW236" s="58">
        <f t="shared" si="2876"/>
        <v>168435.89504999999</v>
      </c>
      <c r="CX236" s="58">
        <f t="shared" si="2876"/>
        <v>167298.94440000001</v>
      </c>
      <c r="CY236" s="58">
        <f t="shared" si="2876"/>
        <v>159881.42204999999</v>
      </c>
      <c r="CZ236" s="58">
        <f t="shared" si="2876"/>
        <v>160660.81394999998</v>
      </c>
      <c r="DA236" s="58">
        <f t="shared" si="2876"/>
        <v>142354.86300000001</v>
      </c>
      <c r="DB236" s="58">
        <f t="shared" si="2876"/>
        <v>135881.38620000001</v>
      </c>
      <c r="DC236" s="58">
        <f t="shared" si="2876"/>
        <v>138594.08115000001</v>
      </c>
      <c r="DD236" s="58">
        <f t="shared" si="2876"/>
        <v>136621.21095000001</v>
      </c>
      <c r="DE236" s="58">
        <f t="shared" si="2876"/>
        <v>0</v>
      </c>
      <c r="DF236" s="58">
        <f t="shared" si="2876"/>
        <v>0</v>
      </c>
      <c r="DG236" s="58">
        <f>+SUM(CU236:DF236)</f>
        <v>1537240.3632</v>
      </c>
      <c r="DH236" s="118">
        <f t="shared" si="2680"/>
        <v>-0.11748309277497231</v>
      </c>
      <c r="DI236" s="58">
        <f t="shared" ref="DI236:DT236" si="2877">+SUM(DI237:DI239)</f>
        <v>174159.67970183381</v>
      </c>
      <c r="DJ236" s="58">
        <f t="shared" si="2877"/>
        <v>155363.47377139685</v>
      </c>
      <c r="DK236" s="58">
        <f t="shared" si="2877"/>
        <v>169859.44079197352</v>
      </c>
      <c r="DL236" s="58">
        <f t="shared" si="2877"/>
        <v>162299.34322939679</v>
      </c>
      <c r="DM236" s="58">
        <f t="shared" si="2877"/>
        <v>165559.20188211318</v>
      </c>
      <c r="DN236" s="58">
        <f t="shared" si="2877"/>
        <v>158137.82170372552</v>
      </c>
      <c r="DO236" s="58">
        <f t="shared" si="2877"/>
        <v>161258.96297225292</v>
      </c>
      <c r="DP236" s="58">
        <f t="shared" si="2877"/>
        <v>159108.84351732279</v>
      </c>
      <c r="DQ236" s="58">
        <f t="shared" si="2877"/>
        <v>151895.53941521869</v>
      </c>
      <c r="DR236" s="58">
        <f t="shared" si="2877"/>
        <v>154808.60460746253</v>
      </c>
      <c r="DS236" s="58">
        <f t="shared" si="2877"/>
        <v>147734.01788954748</v>
      </c>
      <c r="DT236" s="58">
        <f t="shared" si="2877"/>
        <v>150508.36569760225</v>
      </c>
      <c r="DU236" s="58">
        <f>+SUM(DI236:DT236)</f>
        <v>1910693.295179846</v>
      </c>
    </row>
    <row r="237" spans="1:125" ht="14.45" hidden="1" customHeight="1" outlineLevel="1">
      <c r="A237" s="106">
        <f t="shared" ref="A237:A239" si="2878">+AQ237+CG237</f>
        <v>0</v>
      </c>
      <c r="B237" s="106">
        <f t="shared" ref="B237:B239" si="2879">+AR237+CH237</f>
        <v>0</v>
      </c>
      <c r="C237" s="106">
        <f t="shared" ref="C237:C239" si="2880">+AS237+CI237</f>
        <v>0</v>
      </c>
      <c r="D237" s="106">
        <f t="shared" ref="D237:D239" si="2881">+AT237+CJ237</f>
        <v>0</v>
      </c>
      <c r="E237" s="106">
        <f t="shared" ref="E237:E239" si="2882">+AU237+CK237</f>
        <v>0</v>
      </c>
      <c r="F237" s="106">
        <f t="shared" ref="F237:F239" si="2883">+AV237+CL237</f>
        <v>0</v>
      </c>
      <c r="G237" s="106">
        <f t="shared" ref="G237:G239" si="2884">+AW237+CM237</f>
        <v>0</v>
      </c>
      <c r="H237" s="106">
        <f t="shared" ref="H237:H239" si="2885">+AX237+CN237</f>
        <v>0</v>
      </c>
      <c r="I237" s="106">
        <f t="shared" ref="I237:I239" si="2886">+AY237+CO237</f>
        <v>0</v>
      </c>
      <c r="J237" s="106">
        <f t="shared" ref="J237:J239" si="2887">+AZ237+CP237</f>
        <v>0</v>
      </c>
      <c r="K237" s="106">
        <f t="shared" ref="K237:K239" si="2888">+BA237+CQ237</f>
        <v>0</v>
      </c>
      <c r="L237" s="106">
        <f t="shared" ref="L237:L239" si="2889">+BB237+CR237</f>
        <v>0</v>
      </c>
      <c r="M237" s="106">
        <f t="shared" ref="M237:M239" si="2890">+SUM(A237:L237)</f>
        <v>0</v>
      </c>
      <c r="N237" s="21" t="s">
        <v>196</v>
      </c>
      <c r="O237" s="106">
        <f t="shared" ref="O237:O239" si="2891">+BE237+CU237</f>
        <v>0</v>
      </c>
      <c r="P237" s="106">
        <f t="shared" ref="P237:P239" si="2892">+BF237+CV237</f>
        <v>0</v>
      </c>
      <c r="Q237" s="106">
        <f t="shared" ref="Q237:Q239" si="2893">+BG237+CW237</f>
        <v>0</v>
      </c>
      <c r="R237" s="106">
        <f t="shared" ref="R237:R239" si="2894">+BH237+CX237</f>
        <v>0</v>
      </c>
      <c r="S237" s="106">
        <f t="shared" ref="S237:S239" si="2895">+BI237+CY237</f>
        <v>0</v>
      </c>
      <c r="T237" s="106">
        <f t="shared" ref="T237:T239" si="2896">+BJ237+CZ237</f>
        <v>0</v>
      </c>
      <c r="U237" s="106">
        <f t="shared" ref="U237:U239" si="2897">+BK237+DA237</f>
        <v>0</v>
      </c>
      <c r="V237" s="106">
        <f t="shared" ref="V237:V239" si="2898">+BL237+DB237</f>
        <v>0</v>
      </c>
      <c r="W237" s="106">
        <f t="shared" ref="W237:W239" si="2899">+BM237+DC237</f>
        <v>0</v>
      </c>
      <c r="X237" s="106">
        <f t="shared" ref="X237:X239" si="2900">+BN237+DD237</f>
        <v>0</v>
      </c>
      <c r="Y237" s="106">
        <f t="shared" ref="Y237:Y239" si="2901">+BO237+DE237</f>
        <v>0</v>
      </c>
      <c r="Z237" s="106">
        <f t="shared" ref="Z237:Z239" si="2902">+BP237+DF237</f>
        <v>0</v>
      </c>
      <c r="AA237" s="106">
        <f t="shared" ref="AA237:AA239" si="2903">+SUM(O237:Z237)</f>
        <v>0</v>
      </c>
      <c r="AB237" s="118">
        <f t="shared" si="2678"/>
        <v>0</v>
      </c>
      <c r="AC237" s="106">
        <f t="shared" ref="AC237:AC239" si="2904">+BS237+DI237</f>
        <v>0</v>
      </c>
      <c r="AD237" s="106">
        <f t="shared" ref="AD237:AD239" si="2905">+BT237+DJ237</f>
        <v>0</v>
      </c>
      <c r="AE237" s="106">
        <f t="shared" ref="AE237:AE239" si="2906">+BU237+DK237</f>
        <v>0</v>
      </c>
      <c r="AF237" s="106">
        <f t="shared" ref="AF237:AF239" si="2907">+BV237+DL237</f>
        <v>0</v>
      </c>
      <c r="AG237" s="106">
        <f t="shared" ref="AG237:AG239" si="2908">+BW237+DM237</f>
        <v>0</v>
      </c>
      <c r="AH237" s="106">
        <f t="shared" ref="AH237:AH239" si="2909">+BX237+DN237</f>
        <v>0</v>
      </c>
      <c r="AI237" s="106">
        <f t="shared" ref="AI237:AI239" si="2910">+BY237+DO237</f>
        <v>0</v>
      </c>
      <c r="AJ237" s="106">
        <f t="shared" ref="AJ237:AJ239" si="2911">+BZ237+DP237</f>
        <v>0</v>
      </c>
      <c r="AK237" s="106">
        <f t="shared" ref="AK237:AK239" si="2912">+CA237+DQ237</f>
        <v>0</v>
      </c>
      <c r="AL237" s="106">
        <f t="shared" ref="AL237:AL239" si="2913">+CB237+DR237</f>
        <v>0</v>
      </c>
      <c r="AM237" s="106">
        <f t="shared" ref="AM237:AM239" si="2914">+CC237+DS237</f>
        <v>0</v>
      </c>
      <c r="AN237" s="106">
        <f t="shared" ref="AN237:AN239" si="2915">+CD237+DT237</f>
        <v>0</v>
      </c>
      <c r="AO237" s="106">
        <f t="shared" ref="AO237:AO239" si="2916">+SUM(AC237:AN237)</f>
        <v>0</v>
      </c>
      <c r="AQ237" s="106">
        <v>0</v>
      </c>
      <c r="AR237" s="106">
        <v>0</v>
      </c>
      <c r="AS237" s="106">
        <v>0</v>
      </c>
      <c r="AT237" s="106">
        <v>0</v>
      </c>
      <c r="AU237" s="106">
        <v>0</v>
      </c>
      <c r="AV237" s="106">
        <v>0</v>
      </c>
      <c r="AW237" s="106">
        <v>0</v>
      </c>
      <c r="AX237" s="106">
        <v>0</v>
      </c>
      <c r="AY237" s="106">
        <v>0</v>
      </c>
      <c r="AZ237" s="106">
        <v>0</v>
      </c>
      <c r="BA237" s="106">
        <v>0</v>
      </c>
      <c r="BB237" s="106">
        <v>0</v>
      </c>
      <c r="BC237" s="106">
        <f>+SUM(AQ237:BB237)</f>
        <v>0</v>
      </c>
      <c r="BD237" s="21" t="s">
        <v>196</v>
      </c>
      <c r="BE237" s="106">
        <f>+VLOOKUP($BD237,'Jan-25'!$A:$J,2,0)</f>
        <v>0</v>
      </c>
      <c r="BF237" s="106">
        <f>+VLOOKUP($BD237,'Feb-25'!$A:$J,2,0)</f>
        <v>0</v>
      </c>
      <c r="BG237" s="106">
        <f>+VLOOKUP($BD237,'Mar-25'!$A:$J,2,0)</f>
        <v>0</v>
      </c>
      <c r="BH237" s="106">
        <f>+VLOOKUP($BD237,'Apr-25'!$A:$J,2,0)</f>
        <v>0</v>
      </c>
      <c r="BI237" s="106">
        <f>+VLOOKUP($BD237,'May-25'!$A:$J,2,0)</f>
        <v>0</v>
      </c>
      <c r="BJ237" s="106">
        <f>+VLOOKUP($BD237,'June-25'!$A:$J,2,0)</f>
        <v>0</v>
      </c>
      <c r="BK237" s="106">
        <f>+VLOOKUP($BD237,'July-25'!$A:$J,2,0)</f>
        <v>0</v>
      </c>
      <c r="BL237" s="106">
        <f>+VLOOKUP($BD237,'Aug-25'!$A:$J,2,0)</f>
        <v>0</v>
      </c>
      <c r="BM237" s="106">
        <f>+VLOOKUP($BD237,'Sep-25'!$A:$J,2,0)</f>
        <v>0</v>
      </c>
      <c r="BN237" s="106">
        <f>+VLOOKUP($BD237,'Oct-25'!$A:$J,2,0)</f>
        <v>0</v>
      </c>
      <c r="BO237" s="106">
        <f>+VLOOKUP($BD237,'Nov-25'!$A:$J,2,0)</f>
        <v>0</v>
      </c>
      <c r="BP237" s="106">
        <f>+VLOOKUP($BD237,'Dec-25'!$A:$J,2,0)</f>
        <v>0</v>
      </c>
      <c r="BQ237" s="106">
        <f t="shared" ref="BQ237:BQ239" si="2917">+SUM(BE237:BP237)</f>
        <v>0</v>
      </c>
      <c r="BR237" s="118">
        <f t="shared" si="2679"/>
        <v>0</v>
      </c>
      <c r="BS237" s="106" cm="1">
        <f t="array" ref="BS237:CD237">+_xlfn.XLOOKUP(BD237,Budget!A:A,Budget!Q:AB)</f>
        <v>0</v>
      </c>
      <c r="BT237" s="106">
        <v>0</v>
      </c>
      <c r="BU237" s="106">
        <v>0</v>
      </c>
      <c r="BV237" s="106">
        <v>0</v>
      </c>
      <c r="BW237" s="106">
        <v>0</v>
      </c>
      <c r="BX237" s="106">
        <v>0</v>
      </c>
      <c r="BY237" s="106">
        <v>0</v>
      </c>
      <c r="BZ237" s="106">
        <v>0</v>
      </c>
      <c r="CA237" s="106">
        <v>0</v>
      </c>
      <c r="CB237" s="106">
        <v>0</v>
      </c>
      <c r="CC237" s="106">
        <v>0</v>
      </c>
      <c r="CD237" s="106">
        <v>0</v>
      </c>
      <c r="CE237" s="106">
        <f t="shared" ref="CE237:CE239" si="2918">+SUM(BS237:CD237)</f>
        <v>0</v>
      </c>
      <c r="CF237" s="22"/>
      <c r="CG237" s="106">
        <v>0</v>
      </c>
      <c r="CH237" s="106">
        <v>0</v>
      </c>
      <c r="CI237" s="106">
        <v>0</v>
      </c>
      <c r="CJ237" s="106">
        <v>0</v>
      </c>
      <c r="CK237" s="106">
        <v>0</v>
      </c>
      <c r="CL237" s="106">
        <v>0</v>
      </c>
      <c r="CM237" s="106">
        <v>0</v>
      </c>
      <c r="CN237" s="106">
        <v>0</v>
      </c>
      <c r="CO237" s="106">
        <v>0</v>
      </c>
      <c r="CP237" s="106">
        <v>0</v>
      </c>
      <c r="CQ237" s="106">
        <v>0</v>
      </c>
      <c r="CR237" s="106">
        <v>0</v>
      </c>
      <c r="CS237" s="106">
        <f>+SUM(CG237:CR237)</f>
        <v>0</v>
      </c>
      <c r="CT237" s="21" t="s">
        <v>196</v>
      </c>
      <c r="CU237" s="106">
        <f>+VLOOKUP($BD237,'Jan-25'!$A:$J,6,0)</f>
        <v>0</v>
      </c>
      <c r="CV237" s="106">
        <f>+VLOOKUP($BD237,'Feb-25'!$A:$J,6,0)</f>
        <v>0</v>
      </c>
      <c r="CW237" s="106">
        <f>+VLOOKUP($BD237,'Mar-25'!$A:$J,6,0)</f>
        <v>0</v>
      </c>
      <c r="CX237" s="106">
        <f>+VLOOKUP($BD237,'Apr-25'!$A:$J,6,0)</f>
        <v>0</v>
      </c>
      <c r="CY237" s="106">
        <f>+VLOOKUP($BD237,'May-25'!$A:$J,6,0)</f>
        <v>0</v>
      </c>
      <c r="CZ237" s="106">
        <f>+VLOOKUP($BD237,'June-25'!$A:$J,6,0)</f>
        <v>0</v>
      </c>
      <c r="DA237" s="106">
        <f>+VLOOKUP($BD237,'July-25'!$A:$J,6,0)</f>
        <v>0</v>
      </c>
      <c r="DB237" s="106">
        <f>+VLOOKUP($BD237,'Aug-25'!$A:$J,6,0)</f>
        <v>0</v>
      </c>
      <c r="DC237" s="106">
        <f>+VLOOKUP($BD237,'Sep-25'!$A:$J,6,0)</f>
        <v>0</v>
      </c>
      <c r="DD237" s="106">
        <f>+VLOOKUP($BD237,'Oct-25'!$A:$J,6,0)</f>
        <v>0</v>
      </c>
      <c r="DE237" s="106">
        <f>+VLOOKUP($BD237,'Nov-25'!$A:$J,6,0)</f>
        <v>0</v>
      </c>
      <c r="DF237" s="106">
        <f>+VLOOKUP($BD237,'Dec-25'!$A:$J,6,0)</f>
        <v>0</v>
      </c>
      <c r="DG237" s="106">
        <f>+SUM(CU237:DF237)</f>
        <v>0</v>
      </c>
      <c r="DH237" s="118">
        <f t="shared" si="2680"/>
        <v>0</v>
      </c>
      <c r="DI237" s="106">
        <f>+_xlfn.XLOOKUP($CT237,Budget!$A:$A,Budget!BQ:BQ)</f>
        <v>0</v>
      </c>
      <c r="DJ237" s="106">
        <f>+_xlfn.XLOOKUP($CT237,Budget!$A:$A,Budget!BR:BR)</f>
        <v>0</v>
      </c>
      <c r="DK237" s="106">
        <f>+_xlfn.XLOOKUP($CT237,Budget!$A:$A,Budget!BS:BS)</f>
        <v>0</v>
      </c>
      <c r="DL237" s="106">
        <f>+_xlfn.XLOOKUP($CT237,Budget!$A:$A,Budget!BT:BT)</f>
        <v>0</v>
      </c>
      <c r="DM237" s="106">
        <f>+_xlfn.XLOOKUP($CT237,Budget!$A:$A,Budget!BU:BU)</f>
        <v>0</v>
      </c>
      <c r="DN237" s="106">
        <f>+_xlfn.XLOOKUP($CT237,Budget!$A:$A,Budget!BV:BV)</f>
        <v>0</v>
      </c>
      <c r="DO237" s="106">
        <f>+_xlfn.XLOOKUP($CT237,Budget!$A:$A,Budget!BW:BW)</f>
        <v>0</v>
      </c>
      <c r="DP237" s="106">
        <f>+_xlfn.XLOOKUP($CT237,Budget!$A:$A,Budget!BX:BX)</f>
        <v>0</v>
      </c>
      <c r="DQ237" s="106">
        <f>+_xlfn.XLOOKUP($CT237,Budget!$A:$A,Budget!BY:BY)</f>
        <v>0</v>
      </c>
      <c r="DR237" s="106">
        <f>+_xlfn.XLOOKUP($CT237,Budget!$A:$A,Budget!BZ:BZ)</f>
        <v>0</v>
      </c>
      <c r="DS237" s="106">
        <f>+_xlfn.XLOOKUP($CT237,Budget!$A:$A,Budget!CA:CA)</f>
        <v>0</v>
      </c>
      <c r="DT237" s="106">
        <f>+_xlfn.XLOOKUP($CT237,Budget!$A:$A,Budget!CB:CB)</f>
        <v>0</v>
      </c>
      <c r="DU237" s="106">
        <f>+SUM(DI237:DT237)</f>
        <v>0</v>
      </c>
    </row>
    <row r="238" spans="1:125" ht="14.45" hidden="1" customHeight="1" outlineLevel="1">
      <c r="A238" s="106">
        <f t="shared" si="2878"/>
        <v>374757.12400000001</v>
      </c>
      <c r="B238" s="106">
        <f t="shared" si="2879"/>
        <v>336015.34325000003</v>
      </c>
      <c r="C238" s="106">
        <f t="shared" si="2880"/>
        <v>343738.37524999998</v>
      </c>
      <c r="D238" s="106">
        <f t="shared" si="2881"/>
        <v>351334.80950000003</v>
      </c>
      <c r="E238" s="106">
        <f t="shared" si="2882"/>
        <v>347283.37675</v>
      </c>
      <c r="F238" s="106">
        <f t="shared" si="2883"/>
        <v>321328.91174999997</v>
      </c>
      <c r="G238" s="106">
        <f t="shared" si="2884"/>
        <v>350448.55625000002</v>
      </c>
      <c r="H238" s="106">
        <f t="shared" si="2885"/>
        <v>335382.30849999998</v>
      </c>
      <c r="I238" s="106">
        <f t="shared" si="2886"/>
        <v>320695.87699999998</v>
      </c>
      <c r="J238" s="106">
        <f t="shared" si="2887"/>
        <v>327659.27074999997</v>
      </c>
      <c r="K238" s="106">
        <f t="shared" si="2888"/>
        <v>313226.05775000004</v>
      </c>
      <c r="L238" s="106">
        <f t="shared" si="2889"/>
        <v>319556.41674999997</v>
      </c>
      <c r="M238" s="106">
        <f t="shared" si="2890"/>
        <v>4041426.4274999998</v>
      </c>
      <c r="N238" s="21" t="s">
        <v>197</v>
      </c>
      <c r="O238" s="106">
        <f t="shared" si="2891"/>
        <v>315884.80599999998</v>
      </c>
      <c r="P238" s="106">
        <f t="shared" si="2892"/>
        <v>281954.09625</v>
      </c>
      <c r="Q238" s="106">
        <f t="shared" si="2893"/>
        <v>288284.45525</v>
      </c>
      <c r="R238" s="106">
        <f t="shared" si="2894"/>
        <v>305386.96200000006</v>
      </c>
      <c r="S238" s="106">
        <f t="shared" si="2895"/>
        <v>291847.04024999996</v>
      </c>
      <c r="T238" s="106">
        <f t="shared" si="2896"/>
        <v>277761.98975000001</v>
      </c>
      <c r="U238" s="106">
        <f t="shared" si="2897"/>
        <v>259854.11500000002</v>
      </c>
      <c r="V238" s="106">
        <f t="shared" si="2898"/>
        <v>248037.451</v>
      </c>
      <c r="W238" s="106">
        <f t="shared" si="2899"/>
        <v>252989.19575000001</v>
      </c>
      <c r="X238" s="106">
        <f t="shared" si="2900"/>
        <v>249387.92475000001</v>
      </c>
      <c r="Y238" s="106">
        <f t="shared" si="2901"/>
        <v>0</v>
      </c>
      <c r="Z238" s="106">
        <f t="shared" si="2902"/>
        <v>0</v>
      </c>
      <c r="AA238" s="106">
        <f t="shared" si="2903"/>
        <v>2771388.0360000003</v>
      </c>
      <c r="AB238" s="118">
        <f t="shared" si="2678"/>
        <v>-0.11748309277497242</v>
      </c>
      <c r="AC238" s="106">
        <f t="shared" si="2904"/>
        <v>317910.52643985534</v>
      </c>
      <c r="AD238" s="106">
        <f t="shared" si="2905"/>
        <v>283599.99180493073</v>
      </c>
      <c r="AE238" s="106">
        <f t="shared" si="2906"/>
        <v>310060.88398534851</v>
      </c>
      <c r="AF238" s="106">
        <f t="shared" si="2907"/>
        <v>296260.70589493064</v>
      </c>
      <c r="AG238" s="106">
        <f t="shared" si="2908"/>
        <v>302211.24153084157</v>
      </c>
      <c r="AH238" s="106">
        <f t="shared" si="2909"/>
        <v>288664.27771314979</v>
      </c>
      <c r="AI238" s="106">
        <f t="shared" si="2910"/>
        <v>294361.59907633468</v>
      </c>
      <c r="AJ238" s="106">
        <f t="shared" si="2911"/>
        <v>290436.77784908132</v>
      </c>
      <c r="AK238" s="106">
        <f t="shared" si="2912"/>
        <v>277269.63544047857</v>
      </c>
      <c r="AL238" s="106">
        <f t="shared" si="2913"/>
        <v>282587.13539457449</v>
      </c>
      <c r="AM238" s="106">
        <f t="shared" si="2914"/>
        <v>269673.20725869777</v>
      </c>
      <c r="AN238" s="106">
        <f t="shared" si="2915"/>
        <v>274737.4929400676</v>
      </c>
      <c r="AO238" s="106">
        <f t="shared" si="2916"/>
        <v>3487773.4753282908</v>
      </c>
      <c r="AQ238" s="106">
        <v>169455.3952</v>
      </c>
      <c r="AR238" s="106">
        <v>151937.3726</v>
      </c>
      <c r="AS238" s="106">
        <v>155429.52619999999</v>
      </c>
      <c r="AT238" s="106">
        <v>158864.43560000003</v>
      </c>
      <c r="AU238" s="106">
        <v>157032.4834</v>
      </c>
      <c r="AV238" s="106">
        <v>145296.5514</v>
      </c>
      <c r="AW238" s="106">
        <v>158463.69500000001</v>
      </c>
      <c r="AX238" s="106">
        <v>151651.13079999998</v>
      </c>
      <c r="AY238" s="106">
        <v>145010.30960000001</v>
      </c>
      <c r="AZ238" s="106">
        <v>148158.97459999999</v>
      </c>
      <c r="BA238" s="106">
        <v>141632.65220000001</v>
      </c>
      <c r="BB238" s="106">
        <v>144495.0754</v>
      </c>
      <c r="BC238" s="106">
        <f t="shared" ref="BC238:BC240" si="2919">+SUM(AQ238:BB238)</f>
        <v>1827427.602</v>
      </c>
      <c r="BD238" s="21" t="s">
        <v>197</v>
      </c>
      <c r="BE238" s="106">
        <f>+VLOOKUP($BD238,'Jan-25'!$A:$J,2,0)</f>
        <v>142834.8688</v>
      </c>
      <c r="BF238" s="106">
        <f>+VLOOKUP($BD238,'Feb-25'!$A:$J,2,0)</f>
        <v>127492.28700000001</v>
      </c>
      <c r="BG238" s="106">
        <f>+VLOOKUP($BD238,'Mar-25'!$A:$J,2,0)</f>
        <v>130354.71020000002</v>
      </c>
      <c r="BH238" s="106">
        <f>+VLOOKUP($BD238,'Apr-25'!$A:$J,2,0)</f>
        <v>138088.01760000002</v>
      </c>
      <c r="BI238" s="106">
        <f>+VLOOKUP($BD238,'May-25'!$A:$J,2,0)</f>
        <v>131965.6182</v>
      </c>
      <c r="BJ238" s="106">
        <f>+VLOOKUP($BD238,'June-25'!$A:$J,2,0)</f>
        <v>125596.72580000001</v>
      </c>
      <c r="BK238" s="106">
        <f>+VLOOKUP($BD238,'July-25'!$A:$J,2,0)</f>
        <v>117499.25200000001</v>
      </c>
      <c r="BL238" s="106">
        <f>+VLOOKUP($BD238,'Aug-25'!$A:$J,2,0)</f>
        <v>112156.06479999999</v>
      </c>
      <c r="BM238" s="106">
        <f>+VLOOKUP($BD238,'Sep-25'!$A:$J,2,0)</f>
        <v>114395.11460000002</v>
      </c>
      <c r="BN238" s="106">
        <f>+VLOOKUP($BD238,'Oct-25'!$A:$J,2,0)</f>
        <v>112766.71380000001</v>
      </c>
      <c r="BO238" s="106">
        <f>+VLOOKUP($BD238,'Nov-25'!$A:$J,2,0)</f>
        <v>0</v>
      </c>
      <c r="BP238" s="106">
        <f>+VLOOKUP($BD238,'Dec-25'!$A:$J,2,0)</f>
        <v>0</v>
      </c>
      <c r="BQ238" s="106">
        <f t="shared" si="2917"/>
        <v>1253149.3728</v>
      </c>
      <c r="BR238" s="118">
        <f t="shared" si="2679"/>
        <v>-0.11748309277497224</v>
      </c>
      <c r="BS238" s="106" cm="1">
        <f t="array" ref="BS238:CD238">+_xlfn.XLOOKUP(BD238,Budget!A:A,Budget!Q:AB)</f>
        <v>143750.84673802156</v>
      </c>
      <c r="BT238" s="106">
        <v>128236.51803353391</v>
      </c>
      <c r="BU238" s="106">
        <v>140201.44319337496</v>
      </c>
      <c r="BV238" s="106">
        <v>133961.36266553384</v>
      </c>
      <c r="BW238" s="106">
        <v>136652.03964872836</v>
      </c>
      <c r="BX238" s="106">
        <v>130526.45600942425</v>
      </c>
      <c r="BY238" s="106">
        <v>133102.63610408176</v>
      </c>
      <c r="BZ238" s="106">
        <v>131327.9343317585</v>
      </c>
      <c r="CA238" s="106">
        <v>125374.09602525987</v>
      </c>
      <c r="CB238" s="106">
        <v>127778.53078711193</v>
      </c>
      <c r="CC238" s="106">
        <v>121939.18936915031</v>
      </c>
      <c r="CD238" s="106">
        <v>124229.12724246536</v>
      </c>
      <c r="CE238" s="106">
        <f t="shared" si="2918"/>
        <v>1577080.1801484446</v>
      </c>
      <c r="CF238" s="22"/>
      <c r="CG238" s="106">
        <v>205301.72880000001</v>
      </c>
      <c r="CH238" s="106">
        <v>184077.97065</v>
      </c>
      <c r="CI238" s="106">
        <v>188308.84904999999</v>
      </c>
      <c r="CJ238" s="106">
        <v>192470.37390000001</v>
      </c>
      <c r="CK238" s="106">
        <v>190250.89335</v>
      </c>
      <c r="CL238" s="106">
        <v>176032.36035</v>
      </c>
      <c r="CM238" s="106">
        <v>191984.86124999999</v>
      </c>
      <c r="CN238" s="106">
        <v>183731.1777</v>
      </c>
      <c r="CO238" s="106">
        <v>175685.5674</v>
      </c>
      <c r="CP238" s="106">
        <v>179500.29614999998</v>
      </c>
      <c r="CQ238" s="106">
        <v>171593.40555</v>
      </c>
      <c r="CR238" s="106">
        <v>175061.34135</v>
      </c>
      <c r="CS238" s="106">
        <f t="shared" ref="CS238:CS240" si="2920">+SUM(CG238:CR238)</f>
        <v>2213998.8255000003</v>
      </c>
      <c r="CT238" s="21" t="s">
        <v>197</v>
      </c>
      <c r="CU238" s="106">
        <f>+VLOOKUP($BD238,'Jan-25'!$A:$J,6,0)</f>
        <v>173049.93720000001</v>
      </c>
      <c r="CV238" s="106">
        <f>+VLOOKUP($BD238,'Feb-25'!$A:$J,6,0)</f>
        <v>154461.80924999999</v>
      </c>
      <c r="CW238" s="106">
        <f>+VLOOKUP($BD238,'Mar-25'!$A:$J,6,0)</f>
        <v>157929.74505</v>
      </c>
      <c r="CX238" s="106">
        <f>+VLOOKUP($BD238,'Apr-25'!$A:$J,6,0)</f>
        <v>167298.94440000001</v>
      </c>
      <c r="CY238" s="106">
        <f>+VLOOKUP($BD238,'May-25'!$A:$J,6,0)</f>
        <v>159881.42204999999</v>
      </c>
      <c r="CZ238" s="106">
        <f>+VLOOKUP($BD238,'June-25'!$A:$J,6,0)</f>
        <v>152165.26394999999</v>
      </c>
      <c r="DA238" s="106">
        <f>+VLOOKUP($BD238,'July-25'!$A:$J,6,0)</f>
        <v>142354.86300000001</v>
      </c>
      <c r="DB238" s="106">
        <f>+VLOOKUP($BD238,'Aug-25'!$A:$J,6,0)</f>
        <v>135881.38620000001</v>
      </c>
      <c r="DC238" s="106">
        <f>+VLOOKUP($BD238,'Sep-25'!$A:$J,6,0)</f>
        <v>138594.08115000001</v>
      </c>
      <c r="DD238" s="106">
        <f>+VLOOKUP($BD238,'Oct-25'!$A:$J,6,0)</f>
        <v>136621.21095000001</v>
      </c>
      <c r="DE238" s="106">
        <f>+VLOOKUP($BD238,'Nov-25'!$A:$J,6,0)</f>
        <v>0</v>
      </c>
      <c r="DF238" s="106">
        <f>+VLOOKUP($BD238,'Dec-25'!$A:$J,6,0)</f>
        <v>0</v>
      </c>
      <c r="DG238" s="106">
        <f t="shared" ref="DG238:DG240" si="2921">+SUM(CU238:DF238)</f>
        <v>1518238.6632000001</v>
      </c>
      <c r="DH238" s="118">
        <f t="shared" si="2680"/>
        <v>-0.11748309277497231</v>
      </c>
      <c r="DI238" s="106">
        <f>+_xlfn.XLOOKUP($CT238,Budget!$A:$A,Budget!BQ:BQ)</f>
        <v>174159.67970183381</v>
      </c>
      <c r="DJ238" s="106">
        <f>+_xlfn.XLOOKUP($CT238,Budget!$A:$A,Budget!BR:BR)</f>
        <v>155363.47377139685</v>
      </c>
      <c r="DK238" s="106">
        <f>+_xlfn.XLOOKUP($CT238,Budget!$A:$A,Budget!BS:BS)</f>
        <v>169859.44079197352</v>
      </c>
      <c r="DL238" s="106">
        <f>+_xlfn.XLOOKUP($CT238,Budget!$A:$A,Budget!BT:BT)</f>
        <v>162299.34322939679</v>
      </c>
      <c r="DM238" s="106">
        <f>+_xlfn.XLOOKUP($CT238,Budget!$A:$A,Budget!BU:BU)</f>
        <v>165559.20188211318</v>
      </c>
      <c r="DN238" s="106">
        <f>+_xlfn.XLOOKUP($CT238,Budget!$A:$A,Budget!BV:BV)</f>
        <v>158137.82170372552</v>
      </c>
      <c r="DO238" s="106">
        <f>+_xlfn.XLOOKUP($CT238,Budget!$A:$A,Budget!BW:BW)</f>
        <v>161258.96297225292</v>
      </c>
      <c r="DP238" s="106">
        <f>+_xlfn.XLOOKUP($CT238,Budget!$A:$A,Budget!BX:BX)</f>
        <v>159108.84351732279</v>
      </c>
      <c r="DQ238" s="106">
        <f>+_xlfn.XLOOKUP($CT238,Budget!$A:$A,Budget!BY:BY)</f>
        <v>151895.53941521869</v>
      </c>
      <c r="DR238" s="106">
        <f>+_xlfn.XLOOKUP($CT238,Budget!$A:$A,Budget!BZ:BZ)</f>
        <v>154808.60460746253</v>
      </c>
      <c r="DS238" s="106">
        <f>+_xlfn.XLOOKUP($CT238,Budget!$A:$A,Budget!CA:CA)</f>
        <v>147734.01788954748</v>
      </c>
      <c r="DT238" s="106">
        <f>+_xlfn.XLOOKUP($CT238,Budget!$A:$A,Budget!CB:CB)</f>
        <v>150508.36569760225</v>
      </c>
      <c r="DU238" s="106">
        <f t="shared" ref="DU238:DU240" si="2922">+SUM(DI238:DT238)</f>
        <v>1910693.295179846</v>
      </c>
    </row>
    <row r="239" spans="1:125" ht="14.45" hidden="1" customHeight="1" outlineLevel="1">
      <c r="A239" s="106">
        <f t="shared" si="2878"/>
        <v>0</v>
      </c>
      <c r="B239" s="106">
        <f t="shared" si="2879"/>
        <v>0</v>
      </c>
      <c r="C239" s="106">
        <f t="shared" si="2880"/>
        <v>0</v>
      </c>
      <c r="D239" s="106">
        <f t="shared" si="2881"/>
        <v>0</v>
      </c>
      <c r="E239" s="106">
        <f t="shared" si="2882"/>
        <v>0</v>
      </c>
      <c r="F239" s="106">
        <f t="shared" si="2883"/>
        <v>0</v>
      </c>
      <c r="G239" s="106">
        <f t="shared" si="2884"/>
        <v>0</v>
      </c>
      <c r="H239" s="106">
        <f t="shared" si="2885"/>
        <v>0</v>
      </c>
      <c r="I239" s="106">
        <f t="shared" si="2886"/>
        <v>0</v>
      </c>
      <c r="J239" s="106">
        <f t="shared" si="2887"/>
        <v>0</v>
      </c>
      <c r="K239" s="106">
        <f t="shared" si="2888"/>
        <v>0</v>
      </c>
      <c r="L239" s="106">
        <f t="shared" si="2889"/>
        <v>0</v>
      </c>
      <c r="M239" s="106">
        <f t="shared" si="2890"/>
        <v>0</v>
      </c>
      <c r="N239" s="21" t="s">
        <v>198</v>
      </c>
      <c r="O239" s="106">
        <f t="shared" si="2891"/>
        <v>0</v>
      </c>
      <c r="P239" s="106">
        <f t="shared" si="2892"/>
        <v>0</v>
      </c>
      <c r="Q239" s="106">
        <f t="shared" si="2893"/>
        <v>38522.550000000003</v>
      </c>
      <c r="R239" s="106">
        <f t="shared" si="2894"/>
        <v>0</v>
      </c>
      <c r="S239" s="106">
        <f t="shared" si="2895"/>
        <v>0</v>
      </c>
      <c r="T239" s="106">
        <f t="shared" si="2896"/>
        <v>31150.350000000002</v>
      </c>
      <c r="U239" s="106">
        <f t="shared" si="2897"/>
        <v>0</v>
      </c>
      <c r="V239" s="106">
        <f t="shared" si="2898"/>
        <v>0</v>
      </c>
      <c r="W239" s="106">
        <f t="shared" si="2899"/>
        <v>0</v>
      </c>
      <c r="X239" s="106">
        <f t="shared" si="2900"/>
        <v>0</v>
      </c>
      <c r="Y239" s="106">
        <f t="shared" si="2901"/>
        <v>0</v>
      </c>
      <c r="Z239" s="106">
        <f t="shared" si="2902"/>
        <v>0</v>
      </c>
      <c r="AA239" s="106">
        <f t="shared" si="2903"/>
        <v>69672.900000000009</v>
      </c>
      <c r="AB239" s="118">
        <f t="shared" si="2678"/>
        <v>0</v>
      </c>
      <c r="AC239" s="106">
        <f t="shared" si="2904"/>
        <v>0</v>
      </c>
      <c r="AD239" s="106">
        <f t="shared" si="2905"/>
        <v>0</v>
      </c>
      <c r="AE239" s="106">
        <f t="shared" si="2906"/>
        <v>0</v>
      </c>
      <c r="AF239" s="106">
        <f t="shared" si="2907"/>
        <v>0</v>
      </c>
      <c r="AG239" s="106">
        <f t="shared" si="2908"/>
        <v>0</v>
      </c>
      <c r="AH239" s="106">
        <f t="shared" si="2909"/>
        <v>0</v>
      </c>
      <c r="AI239" s="106">
        <f t="shared" si="2910"/>
        <v>0</v>
      </c>
      <c r="AJ239" s="106">
        <f t="shared" si="2911"/>
        <v>0</v>
      </c>
      <c r="AK239" s="106">
        <f t="shared" si="2912"/>
        <v>0</v>
      </c>
      <c r="AL239" s="106">
        <f t="shared" si="2913"/>
        <v>0</v>
      </c>
      <c r="AM239" s="106">
        <f t="shared" si="2914"/>
        <v>0</v>
      </c>
      <c r="AN239" s="106">
        <f t="shared" si="2915"/>
        <v>0</v>
      </c>
      <c r="AO239" s="106">
        <f t="shared" si="2916"/>
        <v>0</v>
      </c>
      <c r="AQ239" s="106">
        <v>0</v>
      </c>
      <c r="AR239" s="106">
        <v>0</v>
      </c>
      <c r="AS239" s="106">
        <v>0</v>
      </c>
      <c r="AT239" s="106">
        <v>0</v>
      </c>
      <c r="AU239" s="106">
        <v>0</v>
      </c>
      <c r="AV239" s="106">
        <v>0</v>
      </c>
      <c r="AW239" s="106">
        <v>0</v>
      </c>
      <c r="AX239" s="106">
        <v>0</v>
      </c>
      <c r="AY239" s="106">
        <v>0</v>
      </c>
      <c r="AZ239" s="106">
        <v>0</v>
      </c>
      <c r="BA239" s="106">
        <v>0</v>
      </c>
      <c r="BB239" s="106">
        <v>0</v>
      </c>
      <c r="BC239" s="106">
        <f t="shared" si="2919"/>
        <v>0</v>
      </c>
      <c r="BD239" s="21" t="s">
        <v>198</v>
      </c>
      <c r="BE239" s="106">
        <f>+VLOOKUP($BD239,'Jan-25'!$A:$J,2,0)</f>
        <v>0</v>
      </c>
      <c r="BF239" s="106">
        <f>+VLOOKUP($BD239,'Feb-25'!$A:$J,2,0)</f>
        <v>0</v>
      </c>
      <c r="BG239" s="106">
        <f>+VLOOKUP($BD239,'Mar-25'!$A:$J,2,0)</f>
        <v>28016.400000000001</v>
      </c>
      <c r="BH239" s="106">
        <f>+VLOOKUP($BD239,'Apr-25'!$A:$J,2,0)</f>
        <v>0</v>
      </c>
      <c r="BI239" s="106">
        <f>+VLOOKUP($BD239,'May-25'!$A:$J,2,0)</f>
        <v>0</v>
      </c>
      <c r="BJ239" s="106">
        <f>+VLOOKUP($BD239,'June-25'!$A:$J,2,0)</f>
        <v>22654.800000000003</v>
      </c>
      <c r="BK239" s="106">
        <f>+VLOOKUP($BD239,'July-25'!$A:$J,2,0)</f>
        <v>0</v>
      </c>
      <c r="BL239" s="106">
        <f>+VLOOKUP($BD239,'Aug-25'!$A:$J,2,0)</f>
        <v>0</v>
      </c>
      <c r="BM239" s="106">
        <f>+VLOOKUP($BD239,'Sep-25'!$A:$J,2,0)</f>
        <v>0</v>
      </c>
      <c r="BN239" s="106">
        <f>+VLOOKUP($BD239,'Oct-25'!$A:$J,2,0)</f>
        <v>0</v>
      </c>
      <c r="BO239" s="106">
        <f>+VLOOKUP($BD239,'Nov-25'!$A:$J,2,0)</f>
        <v>0</v>
      </c>
      <c r="BP239" s="106">
        <f>+VLOOKUP($BD239,'Dec-25'!$A:$J,2,0)</f>
        <v>0</v>
      </c>
      <c r="BQ239" s="106">
        <f t="shared" si="2917"/>
        <v>50671.200000000004</v>
      </c>
      <c r="BR239" s="118">
        <f t="shared" si="2679"/>
        <v>0</v>
      </c>
      <c r="BS239" s="106" cm="1">
        <f t="array" ref="BS239:CD239">+_xlfn.XLOOKUP(BD239,Budget!A:A,Budget!Q:AB)</f>
        <v>0</v>
      </c>
      <c r="BT239" s="106">
        <v>0</v>
      </c>
      <c r="BU239" s="106">
        <v>0</v>
      </c>
      <c r="BV239" s="106">
        <v>0</v>
      </c>
      <c r="BW239" s="106">
        <v>0</v>
      </c>
      <c r="BX239" s="106">
        <v>0</v>
      </c>
      <c r="BY239" s="106">
        <v>0</v>
      </c>
      <c r="BZ239" s="106">
        <v>0</v>
      </c>
      <c r="CA239" s="106">
        <v>0</v>
      </c>
      <c r="CB239" s="106">
        <v>0</v>
      </c>
      <c r="CC239" s="106">
        <v>0</v>
      </c>
      <c r="CD239" s="106">
        <v>0</v>
      </c>
      <c r="CE239" s="106">
        <f t="shared" si="2918"/>
        <v>0</v>
      </c>
      <c r="CF239" s="22"/>
      <c r="CG239" s="106">
        <v>0</v>
      </c>
      <c r="CH239" s="106">
        <v>0</v>
      </c>
      <c r="CI239" s="106">
        <v>0</v>
      </c>
      <c r="CJ239" s="106">
        <v>0</v>
      </c>
      <c r="CK239" s="106">
        <v>0</v>
      </c>
      <c r="CL239" s="106">
        <v>0</v>
      </c>
      <c r="CM239" s="106">
        <v>0</v>
      </c>
      <c r="CN239" s="106">
        <v>0</v>
      </c>
      <c r="CO239" s="106">
        <v>0</v>
      </c>
      <c r="CP239" s="106">
        <v>0</v>
      </c>
      <c r="CQ239" s="106">
        <v>0</v>
      </c>
      <c r="CR239" s="106">
        <v>0</v>
      </c>
      <c r="CS239" s="106">
        <f t="shared" si="2920"/>
        <v>0</v>
      </c>
      <c r="CT239" s="21" t="s">
        <v>198</v>
      </c>
      <c r="CU239" s="106">
        <f>+VLOOKUP($BD239,'Jan-25'!$A:$J,6,0)</f>
        <v>0</v>
      </c>
      <c r="CV239" s="106">
        <f>+VLOOKUP($BD239,'Feb-25'!$A:$J,6,0)</f>
        <v>0</v>
      </c>
      <c r="CW239" s="106">
        <f>+VLOOKUP($BD239,'Mar-25'!$A:$J,6,0)</f>
        <v>10506.15</v>
      </c>
      <c r="CX239" s="106">
        <f>+VLOOKUP($BD239,'Apr-25'!$A:$J,6,0)</f>
        <v>0</v>
      </c>
      <c r="CY239" s="106">
        <f>+VLOOKUP($BD239,'May-25'!$A:$J,6,0)</f>
        <v>0</v>
      </c>
      <c r="CZ239" s="106">
        <f>+VLOOKUP($BD239,'June-25'!$A:$J,6,0)</f>
        <v>8495.5499999999993</v>
      </c>
      <c r="DA239" s="106">
        <f>+VLOOKUP($BD239,'July-25'!$A:$J,6,0)</f>
        <v>0</v>
      </c>
      <c r="DB239" s="106">
        <f>+VLOOKUP($BD239,'Aug-25'!$A:$J,6,0)</f>
        <v>0</v>
      </c>
      <c r="DC239" s="106">
        <f>+VLOOKUP($BD239,'Sep-25'!$A:$J,6,0)</f>
        <v>0</v>
      </c>
      <c r="DD239" s="106">
        <f>+VLOOKUP($BD239,'Oct-25'!$A:$J,6,0)</f>
        <v>0</v>
      </c>
      <c r="DE239" s="106">
        <f>+VLOOKUP($BD239,'Nov-25'!$A:$J,6,0)</f>
        <v>0</v>
      </c>
      <c r="DF239" s="106">
        <f>+VLOOKUP($BD239,'Dec-25'!$A:$J,6,0)</f>
        <v>0</v>
      </c>
      <c r="DG239" s="106">
        <f t="shared" si="2921"/>
        <v>19001.699999999997</v>
      </c>
      <c r="DH239" s="118">
        <f t="shared" si="2680"/>
        <v>0</v>
      </c>
      <c r="DI239" s="106">
        <f>+_xlfn.XLOOKUP($CT239,Budget!$A:$A,Budget!BQ:BQ)</f>
        <v>0</v>
      </c>
      <c r="DJ239" s="106">
        <f>+_xlfn.XLOOKUP($CT239,Budget!$A:$A,Budget!BR:BR)</f>
        <v>0</v>
      </c>
      <c r="DK239" s="106">
        <f>+_xlfn.XLOOKUP($CT239,Budget!$A:$A,Budget!BS:BS)</f>
        <v>0</v>
      </c>
      <c r="DL239" s="106">
        <f>+_xlfn.XLOOKUP($CT239,Budget!$A:$A,Budget!BT:BT)</f>
        <v>0</v>
      </c>
      <c r="DM239" s="106">
        <f>+_xlfn.XLOOKUP($CT239,Budget!$A:$A,Budget!BU:BU)</f>
        <v>0</v>
      </c>
      <c r="DN239" s="106">
        <f>+_xlfn.XLOOKUP($CT239,Budget!$A:$A,Budget!BV:BV)</f>
        <v>0</v>
      </c>
      <c r="DO239" s="106">
        <f>+_xlfn.XLOOKUP($CT239,Budget!$A:$A,Budget!BW:BW)</f>
        <v>0</v>
      </c>
      <c r="DP239" s="106">
        <f>+_xlfn.XLOOKUP($CT239,Budget!$A:$A,Budget!BX:BX)</f>
        <v>0</v>
      </c>
      <c r="DQ239" s="106">
        <f>+_xlfn.XLOOKUP($CT239,Budget!$A:$A,Budget!BY:BY)</f>
        <v>0</v>
      </c>
      <c r="DR239" s="106">
        <f>+_xlfn.XLOOKUP($CT239,Budget!$A:$A,Budget!BZ:BZ)</f>
        <v>0</v>
      </c>
      <c r="DS239" s="106">
        <f>+_xlfn.XLOOKUP($CT239,Budget!$A:$A,Budget!CA:CA)</f>
        <v>0</v>
      </c>
      <c r="DT239" s="106">
        <f>+_xlfn.XLOOKUP($CT239,Budget!$A:$A,Budget!CB:CB)</f>
        <v>0</v>
      </c>
      <c r="DU239" s="106">
        <f t="shared" si="2922"/>
        <v>0</v>
      </c>
    </row>
    <row r="240" spans="1:125" ht="14.45" hidden="1" customHeight="1" outlineLevel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18">
        <f t="shared" si="2678"/>
        <v>0</v>
      </c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Q240" s="106">
        <v>0</v>
      </c>
      <c r="AR240" s="106">
        <v>0</v>
      </c>
      <c r="AS240" s="106">
        <v>0</v>
      </c>
      <c r="AT240" s="106">
        <v>0</v>
      </c>
      <c r="AU240" s="106">
        <v>0</v>
      </c>
      <c r="AV240" s="106">
        <v>0</v>
      </c>
      <c r="AW240" s="106">
        <v>0</v>
      </c>
      <c r="AX240" s="106">
        <v>0</v>
      </c>
      <c r="AY240" s="106">
        <v>0</v>
      </c>
      <c r="AZ240" s="106">
        <v>0</v>
      </c>
      <c r="BA240" s="106">
        <v>0</v>
      </c>
      <c r="BB240" s="106">
        <v>0</v>
      </c>
      <c r="BC240" s="106">
        <f t="shared" si="2919"/>
        <v>0</v>
      </c>
      <c r="BD240" s="16"/>
      <c r="BE240" s="106"/>
      <c r="BF240" s="106"/>
      <c r="BG240" s="106"/>
      <c r="BH240" s="106"/>
      <c r="BI240" s="106"/>
      <c r="BJ240" s="106"/>
      <c r="BK240" s="106"/>
      <c r="BL240" s="106"/>
      <c r="BM240" s="106"/>
      <c r="BN240" s="106"/>
      <c r="BO240" s="106"/>
      <c r="BP240" s="106"/>
      <c r="BQ240" s="106"/>
      <c r="BR240" s="118">
        <f t="shared" si="2679"/>
        <v>0</v>
      </c>
      <c r="BS240" s="106"/>
      <c r="BT240" s="106"/>
      <c r="BU240" s="106"/>
      <c r="BV240" s="106"/>
      <c r="BW240" s="106"/>
      <c r="BX240" s="106"/>
      <c r="BY240" s="106"/>
      <c r="BZ240" s="106"/>
      <c r="CA240" s="106"/>
      <c r="CB240" s="106"/>
      <c r="CC240" s="106"/>
      <c r="CD240" s="106"/>
      <c r="CE240" s="106"/>
      <c r="CF240" s="22"/>
      <c r="CG240" s="106">
        <v>0</v>
      </c>
      <c r="CH240" s="106">
        <v>0</v>
      </c>
      <c r="CI240" s="106">
        <v>0</v>
      </c>
      <c r="CJ240" s="106">
        <v>0</v>
      </c>
      <c r="CK240" s="106">
        <v>0</v>
      </c>
      <c r="CL240" s="106">
        <v>0</v>
      </c>
      <c r="CM240" s="106">
        <v>0</v>
      </c>
      <c r="CN240" s="106">
        <v>0</v>
      </c>
      <c r="CO240" s="106">
        <v>0</v>
      </c>
      <c r="CP240" s="106">
        <v>0</v>
      </c>
      <c r="CQ240" s="106">
        <v>0</v>
      </c>
      <c r="CR240" s="106">
        <v>0</v>
      </c>
      <c r="CS240" s="106">
        <f t="shared" si="2920"/>
        <v>0</v>
      </c>
      <c r="CT240" s="16">
        <f t="shared" si="2340"/>
        <v>0</v>
      </c>
      <c r="CU240" s="106"/>
      <c r="CV240" s="106"/>
      <c r="CW240" s="106"/>
      <c r="CX240" s="106"/>
      <c r="CY240" s="106"/>
      <c r="CZ240" s="106"/>
      <c r="DA240" s="106"/>
      <c r="DB240" s="106"/>
      <c r="DC240" s="106"/>
      <c r="DD240" s="106"/>
      <c r="DE240" s="106"/>
      <c r="DF240" s="106"/>
      <c r="DG240" s="106">
        <f t="shared" si="2921"/>
        <v>0</v>
      </c>
      <c r="DH240" s="118">
        <f t="shared" si="2680"/>
        <v>0</v>
      </c>
      <c r="DI240" s="106"/>
      <c r="DJ240" s="106"/>
      <c r="DK240" s="106"/>
      <c r="DL240" s="106"/>
      <c r="DM240" s="106"/>
      <c r="DN240" s="106"/>
      <c r="DO240" s="106"/>
      <c r="DP240" s="106"/>
      <c r="DQ240" s="106"/>
      <c r="DR240" s="106"/>
      <c r="DS240" s="106"/>
      <c r="DT240" s="106"/>
      <c r="DU240" s="106">
        <f t="shared" si="2922"/>
        <v>0</v>
      </c>
    </row>
    <row r="241" spans="1:125" ht="14.45" customHeight="1" collapsed="1">
      <c r="A241" s="58">
        <f t="shared" ref="A241:M241" si="2923">+SUM(A242:A247)</f>
        <v>929475</v>
      </c>
      <c r="B241" s="58">
        <f t="shared" si="2923"/>
        <v>929475</v>
      </c>
      <c r="C241" s="58">
        <f t="shared" si="2923"/>
        <v>929475</v>
      </c>
      <c r="D241" s="58">
        <f t="shared" si="2923"/>
        <v>929475</v>
      </c>
      <c r="E241" s="58">
        <f t="shared" si="2923"/>
        <v>929475</v>
      </c>
      <c r="F241" s="58">
        <f t="shared" si="2923"/>
        <v>929475</v>
      </c>
      <c r="G241" s="58">
        <f t="shared" si="2923"/>
        <v>929475</v>
      </c>
      <c r="H241" s="58">
        <f t="shared" si="2923"/>
        <v>929475</v>
      </c>
      <c r="I241" s="58">
        <f t="shared" si="2923"/>
        <v>929475</v>
      </c>
      <c r="J241" s="58">
        <f t="shared" si="2923"/>
        <v>929475</v>
      </c>
      <c r="K241" s="58">
        <f t="shared" si="2923"/>
        <v>929475</v>
      </c>
      <c r="L241" s="58">
        <f t="shared" si="2923"/>
        <v>929475</v>
      </c>
      <c r="M241" s="58">
        <f t="shared" si="2923"/>
        <v>11153700</v>
      </c>
      <c r="N241" s="17" t="s">
        <v>199</v>
      </c>
      <c r="O241" s="58">
        <f t="shared" ref="O241" si="2924">+SUM(O242:O247)</f>
        <v>1385680.2229854173</v>
      </c>
      <c r="P241" s="58">
        <f t="shared" ref="P241" si="2925">+SUM(P242:P247)</f>
        <v>1385680.2229854173</v>
      </c>
      <c r="Q241" s="58">
        <f t="shared" ref="Q241" si="2926">+SUM(Q242:Q247)</f>
        <v>1385680.2229854173</v>
      </c>
      <c r="R241" s="58">
        <f t="shared" ref="R241" si="2927">+SUM(R242:R247)</f>
        <v>1385680.2229854173</v>
      </c>
      <c r="S241" s="58">
        <f t="shared" ref="S241" si="2928">+SUM(S242:S247)</f>
        <v>1385680.2229854173</v>
      </c>
      <c r="T241" s="58">
        <f t="shared" ref="T241" si="2929">+SUM(T242:T247)</f>
        <v>1385680.2229854173</v>
      </c>
      <c r="U241" s="58">
        <f t="shared" ref="U241" si="2930">+SUM(U242:U247)</f>
        <v>1385680.2229854173</v>
      </c>
      <c r="V241" s="58">
        <f t="shared" ref="V241" si="2931">+SUM(V242:V247)</f>
        <v>1385680.2229854173</v>
      </c>
      <c r="W241" s="58">
        <f t="shared" ref="W241" si="2932">+SUM(W242:W247)</f>
        <v>1385680.2229854173</v>
      </c>
      <c r="X241" s="58">
        <f t="shared" ref="X241" si="2933">+SUM(X242:X247)</f>
        <v>1385680.2229854173</v>
      </c>
      <c r="Y241" s="58">
        <f t="shared" ref="Y241" si="2934">+SUM(Y242:Y247)</f>
        <v>0</v>
      </c>
      <c r="Z241" s="58">
        <f t="shared" ref="Z241" si="2935">+SUM(Z242:Z247)</f>
        <v>0</v>
      </c>
      <c r="AA241" s="58">
        <f t="shared" ref="AA241" si="2936">+SUM(AA242:AA247)</f>
        <v>13856802.229854172</v>
      </c>
      <c r="AB241" s="118">
        <f t="shared" si="2678"/>
        <v>0</v>
      </c>
      <c r="AC241" s="58">
        <f t="shared" ref="AC241" si="2937">+SUM(AC242:AC247)</f>
        <v>1385680.2229854173</v>
      </c>
      <c r="AD241" s="58">
        <f t="shared" ref="AD241" si="2938">+SUM(AD242:AD247)</f>
        <v>1385680.2229854173</v>
      </c>
      <c r="AE241" s="58">
        <f t="shared" ref="AE241" si="2939">+SUM(AE242:AE247)</f>
        <v>1385680.2229854173</v>
      </c>
      <c r="AF241" s="58">
        <f t="shared" ref="AF241" si="2940">+SUM(AF242:AF247)</f>
        <v>1385680.2229854173</v>
      </c>
      <c r="AG241" s="58">
        <f t="shared" ref="AG241" si="2941">+SUM(AG242:AG247)</f>
        <v>1385680.2229854173</v>
      </c>
      <c r="AH241" s="58">
        <f t="shared" ref="AH241" si="2942">+SUM(AH242:AH247)</f>
        <v>1385680.2229854173</v>
      </c>
      <c r="AI241" s="58">
        <f t="shared" ref="AI241" si="2943">+SUM(AI242:AI247)</f>
        <v>1385680.2229854173</v>
      </c>
      <c r="AJ241" s="58">
        <f t="shared" ref="AJ241" si="2944">+SUM(AJ242:AJ247)</f>
        <v>1385680.2229854173</v>
      </c>
      <c r="AK241" s="58">
        <f t="shared" ref="AK241" si="2945">+SUM(AK242:AK247)</f>
        <v>1385680.2229854173</v>
      </c>
      <c r="AL241" s="58">
        <f t="shared" ref="AL241" si="2946">+SUM(AL242:AL247)</f>
        <v>1385680.2229854173</v>
      </c>
      <c r="AM241" s="58">
        <f t="shared" ref="AM241" si="2947">+SUM(AM242:AM247)</f>
        <v>1385680.2229854173</v>
      </c>
      <c r="AN241" s="58">
        <f t="shared" ref="AN241" si="2948">+SUM(AN242:AN247)</f>
        <v>1385680.2229854173</v>
      </c>
      <c r="AO241" s="58">
        <f t="shared" ref="AO241" si="2949">+SUM(AO242:AO247)</f>
        <v>16628162.675825005</v>
      </c>
      <c r="AQ241" s="58">
        <f t="shared" ref="AQ241:BB241" si="2950">+SUM(AQ242:AQ247)</f>
        <v>484785</v>
      </c>
      <c r="AR241" s="58">
        <f t="shared" si="2950"/>
        <v>484785</v>
      </c>
      <c r="AS241" s="58">
        <f t="shared" si="2950"/>
        <v>484785</v>
      </c>
      <c r="AT241" s="58">
        <f t="shared" si="2950"/>
        <v>484785</v>
      </c>
      <c r="AU241" s="58">
        <f t="shared" si="2950"/>
        <v>484785</v>
      </c>
      <c r="AV241" s="58">
        <f t="shared" si="2950"/>
        <v>484785</v>
      </c>
      <c r="AW241" s="58">
        <f t="shared" si="2950"/>
        <v>484785</v>
      </c>
      <c r="AX241" s="58">
        <f t="shared" si="2950"/>
        <v>484785</v>
      </c>
      <c r="AY241" s="58">
        <f t="shared" si="2950"/>
        <v>484785</v>
      </c>
      <c r="AZ241" s="58">
        <f t="shared" si="2950"/>
        <v>484785</v>
      </c>
      <c r="BA241" s="58">
        <f t="shared" si="2950"/>
        <v>484785</v>
      </c>
      <c r="BB241" s="58">
        <f t="shared" si="2950"/>
        <v>484785</v>
      </c>
      <c r="BC241" s="58">
        <f>+SUM(AQ241:BB241)</f>
        <v>5817420</v>
      </c>
      <c r="BD241" s="17" t="str">
        <f t="shared" si="2339"/>
        <v>Depreciation</v>
      </c>
      <c r="BE241" s="58">
        <f t="shared" ref="BE241:BQ241" si="2951">+SUM(BE242:BE247)</f>
        <v>952163.96462113166</v>
      </c>
      <c r="BF241" s="58">
        <f t="shared" si="2951"/>
        <v>952163.96462113166</v>
      </c>
      <c r="BG241" s="58">
        <f t="shared" si="2951"/>
        <v>952163.96462113166</v>
      </c>
      <c r="BH241" s="58">
        <f t="shared" si="2951"/>
        <v>952163.96462113166</v>
      </c>
      <c r="BI241" s="58">
        <f t="shared" si="2951"/>
        <v>952163.96462113166</v>
      </c>
      <c r="BJ241" s="58">
        <f t="shared" si="2951"/>
        <v>952163.96462113166</v>
      </c>
      <c r="BK241" s="58">
        <f t="shared" si="2951"/>
        <v>952163.96462113166</v>
      </c>
      <c r="BL241" s="58">
        <f t="shared" si="2951"/>
        <v>952163.96462113166</v>
      </c>
      <c r="BM241" s="58">
        <f t="shared" si="2951"/>
        <v>952163.96462113166</v>
      </c>
      <c r="BN241" s="58">
        <f t="shared" si="2951"/>
        <v>952163.96462113166</v>
      </c>
      <c r="BO241" s="58">
        <f t="shared" si="2951"/>
        <v>0</v>
      </c>
      <c r="BP241" s="58">
        <f t="shared" si="2951"/>
        <v>0</v>
      </c>
      <c r="BQ241" s="58">
        <f t="shared" si="2951"/>
        <v>9521639.6462113168</v>
      </c>
      <c r="BR241" s="118">
        <f t="shared" si="2679"/>
        <v>0</v>
      </c>
      <c r="BS241" s="58">
        <f t="shared" ref="BS241:CE241" si="2952">+SUM(BS242:BS247)</f>
        <v>952163.96462113166</v>
      </c>
      <c r="BT241" s="58">
        <f t="shared" si="2952"/>
        <v>952163.96462113166</v>
      </c>
      <c r="BU241" s="58">
        <f t="shared" si="2952"/>
        <v>952163.96462113166</v>
      </c>
      <c r="BV241" s="58">
        <f t="shared" si="2952"/>
        <v>952163.96462113166</v>
      </c>
      <c r="BW241" s="58">
        <f t="shared" si="2952"/>
        <v>952163.96462113166</v>
      </c>
      <c r="BX241" s="58">
        <f t="shared" si="2952"/>
        <v>952163.96462113166</v>
      </c>
      <c r="BY241" s="58">
        <f t="shared" si="2952"/>
        <v>952163.96462113166</v>
      </c>
      <c r="BZ241" s="58">
        <f t="shared" si="2952"/>
        <v>952163.96462113166</v>
      </c>
      <c r="CA241" s="58">
        <f t="shared" si="2952"/>
        <v>952163.96462113166</v>
      </c>
      <c r="CB241" s="58">
        <f t="shared" si="2952"/>
        <v>952163.96462113166</v>
      </c>
      <c r="CC241" s="58">
        <f t="shared" si="2952"/>
        <v>952163.96462113166</v>
      </c>
      <c r="CD241" s="58">
        <f t="shared" si="2952"/>
        <v>952163.96462113166</v>
      </c>
      <c r="CE241" s="58">
        <f t="shared" si="2952"/>
        <v>11425967.575453581</v>
      </c>
      <c r="CF241" s="22"/>
      <c r="CG241" s="58">
        <f t="shared" ref="CG241:CR241" si="2953">+SUM(CG242:CG247)</f>
        <v>444690</v>
      </c>
      <c r="CH241" s="58">
        <f t="shared" si="2953"/>
        <v>444690</v>
      </c>
      <c r="CI241" s="58">
        <f t="shared" si="2953"/>
        <v>444690</v>
      </c>
      <c r="CJ241" s="58">
        <f t="shared" si="2953"/>
        <v>444690</v>
      </c>
      <c r="CK241" s="58">
        <f t="shared" si="2953"/>
        <v>444690</v>
      </c>
      <c r="CL241" s="58">
        <f t="shared" si="2953"/>
        <v>444690</v>
      </c>
      <c r="CM241" s="58">
        <f t="shared" si="2953"/>
        <v>444690</v>
      </c>
      <c r="CN241" s="58">
        <f t="shared" si="2953"/>
        <v>444690</v>
      </c>
      <c r="CO241" s="58">
        <f t="shared" si="2953"/>
        <v>444690</v>
      </c>
      <c r="CP241" s="58">
        <f t="shared" si="2953"/>
        <v>444690</v>
      </c>
      <c r="CQ241" s="58">
        <f t="shared" si="2953"/>
        <v>444690</v>
      </c>
      <c r="CR241" s="58">
        <f t="shared" si="2953"/>
        <v>444690</v>
      </c>
      <c r="CS241" s="58">
        <f>+SUM(CG241:CR241)</f>
        <v>5336280</v>
      </c>
      <c r="CT241" s="17" t="str">
        <f t="shared" si="2340"/>
        <v>Depreciation</v>
      </c>
      <c r="CU241" s="58">
        <f t="shared" ref="CU241:DF241" si="2954">+SUM(CU242:CU247)</f>
        <v>433516.25836428563</v>
      </c>
      <c r="CV241" s="58">
        <f t="shared" si="2954"/>
        <v>433516.25836428563</v>
      </c>
      <c r="CW241" s="58">
        <f t="shared" si="2954"/>
        <v>433516.25836428563</v>
      </c>
      <c r="CX241" s="58">
        <f t="shared" si="2954"/>
        <v>433516.25836428563</v>
      </c>
      <c r="CY241" s="58">
        <f t="shared" si="2954"/>
        <v>433516.25836428563</v>
      </c>
      <c r="CZ241" s="58">
        <f t="shared" si="2954"/>
        <v>433516.25836428563</v>
      </c>
      <c r="DA241" s="58">
        <f t="shared" si="2954"/>
        <v>433516.25836428563</v>
      </c>
      <c r="DB241" s="58">
        <f t="shared" si="2954"/>
        <v>433516.25836428563</v>
      </c>
      <c r="DC241" s="58">
        <f t="shared" si="2954"/>
        <v>433516.25836428563</v>
      </c>
      <c r="DD241" s="58">
        <f t="shared" si="2954"/>
        <v>433516.25836428563</v>
      </c>
      <c r="DE241" s="58">
        <f t="shared" si="2954"/>
        <v>0</v>
      </c>
      <c r="DF241" s="58">
        <f t="shared" si="2954"/>
        <v>0</v>
      </c>
      <c r="DG241" s="58">
        <f>+SUM(CU241:DF241)</f>
        <v>4335162.5836428571</v>
      </c>
      <c r="DH241" s="118">
        <f t="shared" si="2680"/>
        <v>0</v>
      </c>
      <c r="DI241" s="58">
        <f t="shared" ref="DI241:DT241" si="2955">+SUM(DI242:DI247)</f>
        <v>433516.25836428563</v>
      </c>
      <c r="DJ241" s="58">
        <f t="shared" si="2955"/>
        <v>433516.25836428563</v>
      </c>
      <c r="DK241" s="58">
        <f t="shared" si="2955"/>
        <v>433516.25836428563</v>
      </c>
      <c r="DL241" s="58">
        <f t="shared" si="2955"/>
        <v>433516.25836428563</v>
      </c>
      <c r="DM241" s="58">
        <f t="shared" si="2955"/>
        <v>433516.25836428563</v>
      </c>
      <c r="DN241" s="58">
        <f t="shared" si="2955"/>
        <v>433516.25836428563</v>
      </c>
      <c r="DO241" s="58">
        <f t="shared" si="2955"/>
        <v>433516.25836428563</v>
      </c>
      <c r="DP241" s="58">
        <f t="shared" si="2955"/>
        <v>433516.25836428563</v>
      </c>
      <c r="DQ241" s="58">
        <f t="shared" si="2955"/>
        <v>433516.25836428563</v>
      </c>
      <c r="DR241" s="58">
        <f t="shared" si="2955"/>
        <v>433516.25836428563</v>
      </c>
      <c r="DS241" s="58">
        <f t="shared" si="2955"/>
        <v>433516.25836428563</v>
      </c>
      <c r="DT241" s="58">
        <f t="shared" si="2955"/>
        <v>433516.25836428563</v>
      </c>
      <c r="DU241" s="58">
        <f>+SUM(DI241:DT241)</f>
        <v>5202195.1003714278</v>
      </c>
    </row>
    <row r="242" spans="1:125" ht="14.45" hidden="1" customHeight="1" outlineLevel="1">
      <c r="A242" s="106">
        <f t="shared" ref="A242:A247" si="2956">+AQ242+CG242</f>
        <v>0</v>
      </c>
      <c r="B242" s="106">
        <f t="shared" ref="B242:B247" si="2957">+AR242+CH242</f>
        <v>0</v>
      </c>
      <c r="C242" s="106">
        <f t="shared" ref="C242:C247" si="2958">+AS242+CI242</f>
        <v>0</v>
      </c>
      <c r="D242" s="106">
        <f t="shared" ref="D242:D247" si="2959">+AT242+CJ242</f>
        <v>0</v>
      </c>
      <c r="E242" s="106">
        <f t="shared" ref="E242:E247" si="2960">+AU242+CK242</f>
        <v>0</v>
      </c>
      <c r="F242" s="106">
        <f t="shared" ref="F242:F247" si="2961">+AV242+CL242</f>
        <v>0</v>
      </c>
      <c r="G242" s="106">
        <f t="shared" ref="G242:G247" si="2962">+AW242+CM242</f>
        <v>0</v>
      </c>
      <c r="H242" s="106">
        <f t="shared" ref="H242:H247" si="2963">+AX242+CN242</f>
        <v>0</v>
      </c>
      <c r="I242" s="106">
        <f t="shared" ref="I242:I247" si="2964">+AY242+CO242</f>
        <v>0</v>
      </c>
      <c r="J242" s="106">
        <f t="shared" ref="J242:J247" si="2965">+AZ242+CP242</f>
        <v>0</v>
      </c>
      <c r="K242" s="106">
        <f t="shared" ref="K242:K247" si="2966">+BA242+CQ242</f>
        <v>0</v>
      </c>
      <c r="L242" s="106">
        <f t="shared" ref="L242:L247" si="2967">+BB242+CR242</f>
        <v>0</v>
      </c>
      <c r="M242" s="106">
        <f t="shared" ref="M242:M247" si="2968">+SUM(A242:L242)</f>
        <v>0</v>
      </c>
      <c r="N242" s="16" t="s">
        <v>200</v>
      </c>
      <c r="O242" s="106">
        <f t="shared" ref="O242:O247" si="2969">+BE242+CU242</f>
        <v>0</v>
      </c>
      <c r="P242" s="106">
        <f t="shared" ref="P242:P247" si="2970">+BF242+CV242</f>
        <v>0</v>
      </c>
      <c r="Q242" s="106">
        <f t="shared" ref="Q242:Q247" si="2971">+BG242+CW242</f>
        <v>0</v>
      </c>
      <c r="R242" s="106">
        <f t="shared" ref="R242:R247" si="2972">+BH242+CX242</f>
        <v>0</v>
      </c>
      <c r="S242" s="106">
        <f t="shared" ref="S242:S247" si="2973">+BI242+CY242</f>
        <v>0</v>
      </c>
      <c r="T242" s="106">
        <f t="shared" ref="T242:T247" si="2974">+BJ242+CZ242</f>
        <v>0</v>
      </c>
      <c r="U242" s="106">
        <f t="shared" ref="U242:U247" si="2975">+BK242+DA242</f>
        <v>0</v>
      </c>
      <c r="V242" s="106">
        <f t="shared" ref="V242:V247" si="2976">+BL242+DB242</f>
        <v>0</v>
      </c>
      <c r="W242" s="106">
        <f t="shared" ref="W242:W247" si="2977">+BM242+DC242</f>
        <v>0</v>
      </c>
      <c r="X242" s="106">
        <f t="shared" ref="X242:X247" si="2978">+BN242+DD242</f>
        <v>0</v>
      </c>
      <c r="Y242" s="106">
        <f t="shared" ref="Y242:Y247" si="2979">+BO242+DE242</f>
        <v>0</v>
      </c>
      <c r="Z242" s="106">
        <f t="shared" ref="Z242:Z247" si="2980">+BP242+DF242</f>
        <v>0</v>
      </c>
      <c r="AA242" s="106">
        <f t="shared" ref="AA242:AA247" si="2981">+SUM(O242:Z242)</f>
        <v>0</v>
      </c>
      <c r="AB242" s="118">
        <f t="shared" si="2678"/>
        <v>0</v>
      </c>
      <c r="AC242" s="106">
        <f t="shared" ref="AC242:AC247" si="2982">+BS242+DI242</f>
        <v>0</v>
      </c>
      <c r="AD242" s="106">
        <f t="shared" ref="AD242:AD247" si="2983">+BT242+DJ242</f>
        <v>0</v>
      </c>
      <c r="AE242" s="106">
        <f t="shared" ref="AE242:AE247" si="2984">+BU242+DK242</f>
        <v>0</v>
      </c>
      <c r="AF242" s="106">
        <f t="shared" ref="AF242:AF247" si="2985">+BV242+DL242</f>
        <v>0</v>
      </c>
      <c r="AG242" s="106">
        <f t="shared" ref="AG242:AG247" si="2986">+BW242+DM242</f>
        <v>0</v>
      </c>
      <c r="AH242" s="106">
        <f t="shared" ref="AH242:AH247" si="2987">+BX242+DN242</f>
        <v>0</v>
      </c>
      <c r="AI242" s="106">
        <f t="shared" ref="AI242:AI247" si="2988">+BY242+DO242</f>
        <v>0</v>
      </c>
      <c r="AJ242" s="106">
        <f t="shared" ref="AJ242:AJ247" si="2989">+BZ242+DP242</f>
        <v>0</v>
      </c>
      <c r="AK242" s="106">
        <f t="shared" ref="AK242:AK247" si="2990">+CA242+DQ242</f>
        <v>0</v>
      </c>
      <c r="AL242" s="106">
        <f t="shared" ref="AL242:AL247" si="2991">+CB242+DR242</f>
        <v>0</v>
      </c>
      <c r="AM242" s="106">
        <f t="shared" ref="AM242:AM247" si="2992">+CC242+DS242</f>
        <v>0</v>
      </c>
      <c r="AN242" s="106">
        <f t="shared" ref="AN242:AN247" si="2993">+CD242+DT242</f>
        <v>0</v>
      </c>
      <c r="AO242" s="106">
        <f t="shared" ref="AO242:AO247" si="2994">+SUM(AC242:AN242)</f>
        <v>0</v>
      </c>
      <c r="AQ242" s="106">
        <v>0</v>
      </c>
      <c r="AR242" s="106">
        <v>0</v>
      </c>
      <c r="AS242" s="106">
        <v>0</v>
      </c>
      <c r="AT242" s="106">
        <v>0</v>
      </c>
      <c r="AU242" s="106">
        <v>0</v>
      </c>
      <c r="AV242" s="106">
        <v>0</v>
      </c>
      <c r="AW242" s="106">
        <v>0</v>
      </c>
      <c r="AX242" s="106">
        <v>0</v>
      </c>
      <c r="AY242" s="106">
        <v>0</v>
      </c>
      <c r="AZ242" s="106">
        <v>0</v>
      </c>
      <c r="BA242" s="106">
        <v>0</v>
      </c>
      <c r="BB242" s="106">
        <v>0</v>
      </c>
      <c r="BC242" s="106">
        <f t="shared" ref="BC242:BC248" si="2995">+SUM(AQ242:BB242)</f>
        <v>0</v>
      </c>
      <c r="BD242" s="16" t="str">
        <f t="shared" si="2339"/>
        <v>Amortization - Intangible Assets</v>
      </c>
      <c r="BE242" s="106">
        <f>+VLOOKUP($BD242,'Jan-25'!$A:$J,2,0)</f>
        <v>0</v>
      </c>
      <c r="BF242" s="106">
        <f>+VLOOKUP($BD242,'Feb-25'!$A:$J,2,0)</f>
        <v>0</v>
      </c>
      <c r="BG242" s="106">
        <f>+VLOOKUP($BD242,'Mar-25'!$A:$J,2,0)</f>
        <v>0</v>
      </c>
      <c r="BH242" s="106">
        <f>+VLOOKUP($BD242,'Apr-25'!$A:$J,2,0)</f>
        <v>0</v>
      </c>
      <c r="BI242" s="106">
        <f>+VLOOKUP($BD242,'May-25'!$A:$J,2,0)</f>
        <v>0</v>
      </c>
      <c r="BJ242" s="106">
        <f>+VLOOKUP($BD242,'June-25'!$A:$J,2,0)</f>
        <v>0</v>
      </c>
      <c r="BK242" s="106">
        <f>+VLOOKUP($BD242,'July-25'!$A:$J,2,0)</f>
        <v>0</v>
      </c>
      <c r="BL242" s="106">
        <f>+VLOOKUP($BD242,'Aug-25'!$A:$J,2,0)</f>
        <v>0</v>
      </c>
      <c r="BM242" s="106">
        <f>+VLOOKUP($BD242,'Sep-25'!$A:$J,2,0)</f>
        <v>0</v>
      </c>
      <c r="BN242" s="106">
        <f>+VLOOKUP($BD242,'Oct-25'!$A:$J,2,0)</f>
        <v>0</v>
      </c>
      <c r="BO242" s="106">
        <f>+VLOOKUP($BD242,'Nov-25'!$A:$J,2,0)</f>
        <v>0</v>
      </c>
      <c r="BP242" s="106">
        <f>+VLOOKUP($BD242,'Dec-25'!$A:$J,2,0)</f>
        <v>0</v>
      </c>
      <c r="BQ242" s="106">
        <f t="shared" ref="BQ242:BQ247" si="2996">+SUM(BE242:BP242)</f>
        <v>0</v>
      </c>
      <c r="BR242" s="118">
        <f t="shared" si="2679"/>
        <v>0</v>
      </c>
      <c r="BS242" s="106" cm="1">
        <f t="array" ref="BS242:CD242">+_xlfn.XLOOKUP(BD242,Budget!A:A,Budget!Q:AB)</f>
        <v>0</v>
      </c>
      <c r="BT242" s="106">
        <v>0</v>
      </c>
      <c r="BU242" s="106">
        <v>0</v>
      </c>
      <c r="BV242" s="106">
        <v>0</v>
      </c>
      <c r="BW242" s="106">
        <v>0</v>
      </c>
      <c r="BX242" s="106">
        <v>0</v>
      </c>
      <c r="BY242" s="106">
        <v>0</v>
      </c>
      <c r="BZ242" s="106">
        <v>0</v>
      </c>
      <c r="CA242" s="106">
        <v>0</v>
      </c>
      <c r="CB242" s="106">
        <v>0</v>
      </c>
      <c r="CC242" s="106">
        <v>0</v>
      </c>
      <c r="CD242" s="106">
        <v>0</v>
      </c>
      <c r="CE242" s="106">
        <f t="shared" ref="CE242:CE247" si="2997">+SUM(BS242:CD242)</f>
        <v>0</v>
      </c>
      <c r="CF242" s="22"/>
      <c r="CG242" s="106">
        <v>0</v>
      </c>
      <c r="CH242" s="106">
        <v>0</v>
      </c>
      <c r="CI242" s="106">
        <v>0</v>
      </c>
      <c r="CJ242" s="106">
        <v>0</v>
      </c>
      <c r="CK242" s="106">
        <v>0</v>
      </c>
      <c r="CL242" s="106">
        <v>0</v>
      </c>
      <c r="CM242" s="106">
        <v>0</v>
      </c>
      <c r="CN242" s="106">
        <v>0</v>
      </c>
      <c r="CO242" s="106">
        <v>0</v>
      </c>
      <c r="CP242" s="106">
        <v>0</v>
      </c>
      <c r="CQ242" s="106">
        <v>0</v>
      </c>
      <c r="CR242" s="106">
        <v>0</v>
      </c>
      <c r="CS242" s="106">
        <f t="shared" ref="CS242:CS248" si="2998">+SUM(CG242:CR242)</f>
        <v>0</v>
      </c>
      <c r="CT242" s="16" t="str">
        <f t="shared" si="2340"/>
        <v>Amortization - Intangible Assets</v>
      </c>
      <c r="CU242" s="106">
        <f>+VLOOKUP($BD242,'Jan-25'!$A:$J,6,0)</f>
        <v>0</v>
      </c>
      <c r="CV242" s="106">
        <f>+VLOOKUP($BD242,'Feb-25'!$A:$J,6,0)</f>
        <v>0</v>
      </c>
      <c r="CW242" s="106">
        <f>+VLOOKUP($BD242,'Mar-25'!$A:$J,6,0)</f>
        <v>0</v>
      </c>
      <c r="CX242" s="106">
        <f>+VLOOKUP($BD242,'Apr-25'!$A:$J,6,0)</f>
        <v>0</v>
      </c>
      <c r="CY242" s="106">
        <f>+VLOOKUP($BD242,'May-25'!$A:$J,6,0)</f>
        <v>0</v>
      </c>
      <c r="CZ242" s="106">
        <f>+VLOOKUP($BD242,'June-25'!$A:$J,6,0)</f>
        <v>0</v>
      </c>
      <c r="DA242" s="106">
        <f>+VLOOKUP($BD242,'July-25'!$A:$J,6,0)</f>
        <v>0</v>
      </c>
      <c r="DB242" s="106">
        <f>+VLOOKUP($BD242,'Aug-25'!$A:$J,6,0)</f>
        <v>0</v>
      </c>
      <c r="DC242" s="106">
        <f>+VLOOKUP($BD242,'Sep-25'!$A:$J,6,0)</f>
        <v>0</v>
      </c>
      <c r="DD242" s="106">
        <f>+VLOOKUP($BD242,'Oct-25'!$A:$J,6,0)</f>
        <v>0</v>
      </c>
      <c r="DE242" s="106">
        <f>+VLOOKUP($BD242,'Nov-25'!$A:$J,6,0)</f>
        <v>0</v>
      </c>
      <c r="DF242" s="106">
        <f>+VLOOKUP($BD242,'Dec-25'!$A:$J,6,0)</f>
        <v>0</v>
      </c>
      <c r="DG242" s="106">
        <f t="shared" ref="DG242:DG248" si="2999">+SUM(CU242:DF242)</f>
        <v>0</v>
      </c>
      <c r="DH242" s="118">
        <f t="shared" si="2680"/>
        <v>0</v>
      </c>
      <c r="DI242" s="106">
        <f>+_xlfn.XLOOKUP($CT242,Budget!$A:$A,Budget!BQ:BQ)</f>
        <v>0</v>
      </c>
      <c r="DJ242" s="106">
        <f>+_xlfn.XLOOKUP($CT242,Budget!$A:$A,Budget!BR:BR)</f>
        <v>0</v>
      </c>
      <c r="DK242" s="106">
        <f>+_xlfn.XLOOKUP($CT242,Budget!$A:$A,Budget!BS:BS)</f>
        <v>0</v>
      </c>
      <c r="DL242" s="106">
        <f>+_xlfn.XLOOKUP($CT242,Budget!$A:$A,Budget!BT:BT)</f>
        <v>0</v>
      </c>
      <c r="DM242" s="106">
        <f>+_xlfn.XLOOKUP($CT242,Budget!$A:$A,Budget!BU:BU)</f>
        <v>0</v>
      </c>
      <c r="DN242" s="106">
        <f>+_xlfn.XLOOKUP($CT242,Budget!$A:$A,Budget!BV:BV)</f>
        <v>0</v>
      </c>
      <c r="DO242" s="106">
        <f>+_xlfn.XLOOKUP($CT242,Budget!$A:$A,Budget!BW:BW)</f>
        <v>0</v>
      </c>
      <c r="DP242" s="106">
        <f>+_xlfn.XLOOKUP($CT242,Budget!$A:$A,Budget!BX:BX)</f>
        <v>0</v>
      </c>
      <c r="DQ242" s="106">
        <f>+_xlfn.XLOOKUP($CT242,Budget!$A:$A,Budget!BY:BY)</f>
        <v>0</v>
      </c>
      <c r="DR242" s="106">
        <f>+_xlfn.XLOOKUP($CT242,Budget!$A:$A,Budget!BZ:BZ)</f>
        <v>0</v>
      </c>
      <c r="DS242" s="106">
        <f>+_xlfn.XLOOKUP($CT242,Budget!$A:$A,Budget!CA:CA)</f>
        <v>0</v>
      </c>
      <c r="DT242" s="106">
        <f>+_xlfn.XLOOKUP($CT242,Budget!$A:$A,Budget!CB:CB)</f>
        <v>0</v>
      </c>
      <c r="DU242" s="106">
        <f t="shared" ref="DU242:DU248" si="3000">+SUM(DI242:DT242)</f>
        <v>0</v>
      </c>
    </row>
    <row r="243" spans="1:125" ht="14.45" hidden="1" customHeight="1" outlineLevel="1">
      <c r="A243" s="106">
        <f t="shared" si="2956"/>
        <v>929475</v>
      </c>
      <c r="B243" s="106">
        <f t="shared" si="2957"/>
        <v>929475</v>
      </c>
      <c r="C243" s="106">
        <f t="shared" si="2958"/>
        <v>929475</v>
      </c>
      <c r="D243" s="106">
        <f t="shared" si="2959"/>
        <v>929475</v>
      </c>
      <c r="E243" s="106">
        <f t="shared" si="2960"/>
        <v>929475</v>
      </c>
      <c r="F243" s="106">
        <f t="shared" si="2961"/>
        <v>929475</v>
      </c>
      <c r="G243" s="106">
        <f t="shared" si="2962"/>
        <v>929475</v>
      </c>
      <c r="H243" s="106">
        <f t="shared" si="2963"/>
        <v>929475</v>
      </c>
      <c r="I243" s="106">
        <f t="shared" si="2964"/>
        <v>929475</v>
      </c>
      <c r="J243" s="106">
        <f t="shared" si="2965"/>
        <v>929475</v>
      </c>
      <c r="K243" s="106">
        <f t="shared" si="2966"/>
        <v>929475</v>
      </c>
      <c r="L243" s="106">
        <f t="shared" si="2967"/>
        <v>929475</v>
      </c>
      <c r="M243" s="106">
        <f t="shared" si="2968"/>
        <v>11153700</v>
      </c>
      <c r="N243" s="16" t="s">
        <v>238</v>
      </c>
      <c r="O243" s="106">
        <f t="shared" si="2969"/>
        <v>1385680.2229854173</v>
      </c>
      <c r="P243" s="106">
        <f t="shared" si="2970"/>
        <v>1385680.2229854173</v>
      </c>
      <c r="Q243" s="106">
        <f t="shared" si="2971"/>
        <v>1385680.2229854173</v>
      </c>
      <c r="R243" s="106">
        <f t="shared" si="2972"/>
        <v>1385680.2229854173</v>
      </c>
      <c r="S243" s="106">
        <f t="shared" si="2973"/>
        <v>1385680.2229854173</v>
      </c>
      <c r="T243" s="106">
        <f t="shared" si="2974"/>
        <v>1385680.2229854173</v>
      </c>
      <c r="U243" s="106">
        <f t="shared" si="2975"/>
        <v>1385680.2229854173</v>
      </c>
      <c r="V243" s="106">
        <f t="shared" si="2976"/>
        <v>1385680.2229854173</v>
      </c>
      <c r="W243" s="106">
        <f t="shared" si="2977"/>
        <v>1385680.2229854173</v>
      </c>
      <c r="X243" s="106">
        <f t="shared" si="2978"/>
        <v>1385680.2229854173</v>
      </c>
      <c r="Y243" s="106">
        <f t="shared" si="2979"/>
        <v>0</v>
      </c>
      <c r="Z243" s="106">
        <f t="shared" si="2980"/>
        <v>0</v>
      </c>
      <c r="AA243" s="106">
        <f t="shared" si="2981"/>
        <v>13856802.229854172</v>
      </c>
      <c r="AB243" s="118">
        <f t="shared" si="2678"/>
        <v>0</v>
      </c>
      <c r="AC243" s="106">
        <f t="shared" si="2982"/>
        <v>1385680.2229854173</v>
      </c>
      <c r="AD243" s="106">
        <f t="shared" si="2983"/>
        <v>1385680.2229854173</v>
      </c>
      <c r="AE243" s="106">
        <f t="shared" si="2984"/>
        <v>1385680.2229854173</v>
      </c>
      <c r="AF243" s="106">
        <f t="shared" si="2985"/>
        <v>1385680.2229854173</v>
      </c>
      <c r="AG243" s="106">
        <f t="shared" si="2986"/>
        <v>1385680.2229854173</v>
      </c>
      <c r="AH243" s="106">
        <f t="shared" si="2987"/>
        <v>1385680.2229854173</v>
      </c>
      <c r="AI243" s="106">
        <f t="shared" si="2988"/>
        <v>1385680.2229854173</v>
      </c>
      <c r="AJ243" s="106">
        <f t="shared" si="2989"/>
        <v>1385680.2229854173</v>
      </c>
      <c r="AK243" s="106">
        <f t="shared" si="2990"/>
        <v>1385680.2229854173</v>
      </c>
      <c r="AL243" s="106">
        <f t="shared" si="2991"/>
        <v>1385680.2229854173</v>
      </c>
      <c r="AM243" s="106">
        <f t="shared" si="2992"/>
        <v>1385680.2229854173</v>
      </c>
      <c r="AN243" s="106">
        <f t="shared" si="2993"/>
        <v>1385680.2229854173</v>
      </c>
      <c r="AO243" s="106">
        <f t="shared" si="2994"/>
        <v>16628162.675825005</v>
      </c>
      <c r="AQ243" s="106">
        <v>484785</v>
      </c>
      <c r="AR243" s="106">
        <v>484785</v>
      </c>
      <c r="AS243" s="106">
        <v>484785</v>
      </c>
      <c r="AT243" s="106">
        <v>484785</v>
      </c>
      <c r="AU243" s="106">
        <v>484785</v>
      </c>
      <c r="AV243" s="106">
        <v>484785</v>
      </c>
      <c r="AW243" s="106">
        <v>484785</v>
      </c>
      <c r="AX243" s="106">
        <v>484785</v>
      </c>
      <c r="AY243" s="106">
        <v>484785</v>
      </c>
      <c r="AZ243" s="106">
        <v>484785</v>
      </c>
      <c r="BA243" s="106">
        <v>484785</v>
      </c>
      <c r="BB243" s="106">
        <v>484785</v>
      </c>
      <c r="BC243" s="106">
        <f t="shared" si="2995"/>
        <v>5817420</v>
      </c>
      <c r="BD243" s="16" t="str">
        <f t="shared" si="2339"/>
        <v>Depreciation  - Building</v>
      </c>
      <c r="BE243" s="106">
        <f>+VLOOKUP($BD243,'Jan-25'!$A:$J,2,0)</f>
        <v>952163.96462113166</v>
      </c>
      <c r="BF243" s="106">
        <f>+VLOOKUP($BD243,'Feb-25'!$A:$J,2,0)</f>
        <v>952163.96462113166</v>
      </c>
      <c r="BG243" s="106">
        <f>+VLOOKUP($BD243,'Mar-25'!$A:$J,2,0)</f>
        <v>952163.96462113166</v>
      </c>
      <c r="BH243" s="106">
        <f>+VLOOKUP($BD243,'Apr-25'!$A:$J,2,0)</f>
        <v>952163.96462113166</v>
      </c>
      <c r="BI243" s="106">
        <f>+VLOOKUP($BD243,'May-25'!$A:$J,2,0)</f>
        <v>952163.96462113166</v>
      </c>
      <c r="BJ243" s="106">
        <f>+VLOOKUP($BD243,'June-25'!$A:$J,2,0)</f>
        <v>952163.96462113166</v>
      </c>
      <c r="BK243" s="106">
        <f>+VLOOKUP($BD243,'July-25'!$A:$J,2,0)</f>
        <v>952163.96462113166</v>
      </c>
      <c r="BL243" s="106">
        <f>+VLOOKUP($BD243,'Aug-25'!$A:$J,2,0)</f>
        <v>952163.96462113166</v>
      </c>
      <c r="BM243" s="106">
        <f>+VLOOKUP($BD243,'Sep-25'!$A:$J,2,0)</f>
        <v>952163.96462113166</v>
      </c>
      <c r="BN243" s="106">
        <f>+VLOOKUP($BD243,'Oct-25'!$A:$J,2,0)</f>
        <v>952163.96462113166</v>
      </c>
      <c r="BO243" s="106">
        <f>+VLOOKUP($BD243,'Nov-25'!$A:$J,2,0)</f>
        <v>0</v>
      </c>
      <c r="BP243" s="106">
        <f>+VLOOKUP($BD243,'Dec-25'!$A:$J,2,0)</f>
        <v>0</v>
      </c>
      <c r="BQ243" s="106">
        <f t="shared" si="2996"/>
        <v>9521639.6462113168</v>
      </c>
      <c r="BR243" s="118">
        <f t="shared" si="2679"/>
        <v>0</v>
      </c>
      <c r="BS243" s="106" cm="1">
        <f t="array" ref="BS243:CD243">+_xlfn.XLOOKUP(BD243,Budget!A:A,Budget!Q:AB)</f>
        <v>952163.96462113166</v>
      </c>
      <c r="BT243" s="106">
        <v>952163.96462113166</v>
      </c>
      <c r="BU243" s="106">
        <v>952163.96462113166</v>
      </c>
      <c r="BV243" s="106">
        <v>952163.96462113166</v>
      </c>
      <c r="BW243" s="106">
        <v>952163.96462113166</v>
      </c>
      <c r="BX243" s="106">
        <v>952163.96462113166</v>
      </c>
      <c r="BY243" s="106">
        <v>952163.96462113166</v>
      </c>
      <c r="BZ243" s="106">
        <v>952163.96462113166</v>
      </c>
      <c r="CA243" s="106">
        <v>952163.96462113166</v>
      </c>
      <c r="CB243" s="106">
        <v>952163.96462113166</v>
      </c>
      <c r="CC243" s="106">
        <v>952163.96462113166</v>
      </c>
      <c r="CD243" s="106">
        <v>952163.96462113166</v>
      </c>
      <c r="CE243" s="106">
        <f t="shared" si="2997"/>
        <v>11425967.575453581</v>
      </c>
      <c r="CF243" s="22"/>
      <c r="CG243" s="106">
        <v>444690</v>
      </c>
      <c r="CH243" s="106">
        <v>444690</v>
      </c>
      <c r="CI243" s="106">
        <v>444690</v>
      </c>
      <c r="CJ243" s="106">
        <v>444690</v>
      </c>
      <c r="CK243" s="106">
        <v>444690</v>
      </c>
      <c r="CL243" s="106">
        <v>444690</v>
      </c>
      <c r="CM243" s="106">
        <v>444690</v>
      </c>
      <c r="CN243" s="106">
        <v>444690</v>
      </c>
      <c r="CO243" s="106">
        <v>444690</v>
      </c>
      <c r="CP243" s="106">
        <v>444690</v>
      </c>
      <c r="CQ243" s="106">
        <v>444690</v>
      </c>
      <c r="CR243" s="106">
        <v>444690</v>
      </c>
      <c r="CS243" s="106">
        <f t="shared" si="2998"/>
        <v>5336280</v>
      </c>
      <c r="CT243" s="16" t="str">
        <f t="shared" si="2340"/>
        <v>Depreciation  - Building</v>
      </c>
      <c r="CU243" s="106">
        <f>+VLOOKUP($BD243,'Jan-25'!$A:$J,6,0)</f>
        <v>433516.25836428563</v>
      </c>
      <c r="CV243" s="106">
        <f>+VLOOKUP($BD243,'Feb-25'!$A:$J,6,0)</f>
        <v>433516.25836428563</v>
      </c>
      <c r="CW243" s="106">
        <f>+VLOOKUP($BD243,'Mar-25'!$A:$J,6,0)</f>
        <v>433516.25836428563</v>
      </c>
      <c r="CX243" s="106">
        <f>+VLOOKUP($BD243,'Apr-25'!$A:$J,6,0)</f>
        <v>433516.25836428563</v>
      </c>
      <c r="CY243" s="106">
        <f>+VLOOKUP($BD243,'May-25'!$A:$J,6,0)</f>
        <v>433516.25836428563</v>
      </c>
      <c r="CZ243" s="106">
        <f>+VLOOKUP($BD243,'June-25'!$A:$J,6,0)</f>
        <v>433516.25836428563</v>
      </c>
      <c r="DA243" s="106">
        <f>+VLOOKUP($BD243,'July-25'!$A:$J,6,0)</f>
        <v>433516.25836428563</v>
      </c>
      <c r="DB243" s="106">
        <f>+VLOOKUP($BD243,'Aug-25'!$A:$J,6,0)</f>
        <v>433516.25836428563</v>
      </c>
      <c r="DC243" s="106">
        <f>+VLOOKUP($BD243,'Sep-25'!$A:$J,6,0)</f>
        <v>433516.25836428563</v>
      </c>
      <c r="DD243" s="106">
        <f>+VLOOKUP($BD243,'Oct-25'!$A:$J,6,0)</f>
        <v>433516.25836428563</v>
      </c>
      <c r="DE243" s="106">
        <f>+VLOOKUP($BD243,'Nov-25'!$A:$J,6,0)</f>
        <v>0</v>
      </c>
      <c r="DF243" s="106">
        <f>+VLOOKUP($BD243,'Dec-25'!$A:$J,6,0)</f>
        <v>0</v>
      </c>
      <c r="DG243" s="106">
        <f t="shared" si="2999"/>
        <v>4335162.5836428571</v>
      </c>
      <c r="DH243" s="118">
        <f t="shared" si="2680"/>
        <v>0</v>
      </c>
      <c r="DI243" s="106">
        <f>+_xlfn.XLOOKUP($CT243,Budget!$A:$A,Budget!BQ:BQ)</f>
        <v>433516.25836428563</v>
      </c>
      <c r="DJ243" s="106">
        <f>+_xlfn.XLOOKUP($CT243,Budget!$A:$A,Budget!BR:BR)</f>
        <v>433516.25836428563</v>
      </c>
      <c r="DK243" s="106">
        <f>+_xlfn.XLOOKUP($CT243,Budget!$A:$A,Budget!BS:BS)</f>
        <v>433516.25836428563</v>
      </c>
      <c r="DL243" s="106">
        <f>+_xlfn.XLOOKUP($CT243,Budget!$A:$A,Budget!BT:BT)</f>
        <v>433516.25836428563</v>
      </c>
      <c r="DM243" s="106">
        <f>+_xlfn.XLOOKUP($CT243,Budget!$A:$A,Budget!BU:BU)</f>
        <v>433516.25836428563</v>
      </c>
      <c r="DN243" s="106">
        <f>+_xlfn.XLOOKUP($CT243,Budget!$A:$A,Budget!BV:BV)</f>
        <v>433516.25836428563</v>
      </c>
      <c r="DO243" s="106">
        <f>+_xlfn.XLOOKUP($CT243,Budget!$A:$A,Budget!BW:BW)</f>
        <v>433516.25836428563</v>
      </c>
      <c r="DP243" s="106">
        <f>+_xlfn.XLOOKUP($CT243,Budget!$A:$A,Budget!BX:BX)</f>
        <v>433516.25836428563</v>
      </c>
      <c r="DQ243" s="106">
        <f>+_xlfn.XLOOKUP($CT243,Budget!$A:$A,Budget!BY:BY)</f>
        <v>433516.25836428563</v>
      </c>
      <c r="DR243" s="106">
        <f>+_xlfn.XLOOKUP($CT243,Budget!$A:$A,Budget!BZ:BZ)</f>
        <v>433516.25836428563</v>
      </c>
      <c r="DS243" s="106">
        <f>+_xlfn.XLOOKUP($CT243,Budget!$A:$A,Budget!CA:CA)</f>
        <v>433516.25836428563</v>
      </c>
      <c r="DT243" s="106">
        <f>+_xlfn.XLOOKUP($CT243,Budget!$A:$A,Budget!CB:CB)</f>
        <v>433516.25836428563</v>
      </c>
      <c r="DU243" s="106">
        <f t="shared" si="3000"/>
        <v>5202195.1003714278</v>
      </c>
    </row>
    <row r="244" spans="1:125" ht="14.45" hidden="1" customHeight="1" outlineLevel="1">
      <c r="A244" s="106">
        <f t="shared" si="2956"/>
        <v>0</v>
      </c>
      <c r="B244" s="106">
        <f t="shared" si="2957"/>
        <v>0</v>
      </c>
      <c r="C244" s="106">
        <f t="shared" si="2958"/>
        <v>0</v>
      </c>
      <c r="D244" s="106">
        <f t="shared" si="2959"/>
        <v>0</v>
      </c>
      <c r="E244" s="106">
        <f t="shared" si="2960"/>
        <v>0</v>
      </c>
      <c r="F244" s="106">
        <f t="shared" si="2961"/>
        <v>0</v>
      </c>
      <c r="G244" s="106">
        <f t="shared" si="2962"/>
        <v>0</v>
      </c>
      <c r="H244" s="106">
        <f t="shared" si="2963"/>
        <v>0</v>
      </c>
      <c r="I244" s="106">
        <f t="shared" si="2964"/>
        <v>0</v>
      </c>
      <c r="J244" s="106">
        <f t="shared" si="2965"/>
        <v>0</v>
      </c>
      <c r="K244" s="106">
        <f t="shared" si="2966"/>
        <v>0</v>
      </c>
      <c r="L244" s="106">
        <f t="shared" si="2967"/>
        <v>0</v>
      </c>
      <c r="M244" s="106">
        <f t="shared" si="2968"/>
        <v>0</v>
      </c>
      <c r="N244" s="16" t="s">
        <v>239</v>
      </c>
      <c r="O244" s="106">
        <f t="shared" si="2969"/>
        <v>0</v>
      </c>
      <c r="P244" s="106">
        <f t="shared" si="2970"/>
        <v>0</v>
      </c>
      <c r="Q244" s="106">
        <f t="shared" si="2971"/>
        <v>0</v>
      </c>
      <c r="R244" s="106">
        <f t="shared" si="2972"/>
        <v>0</v>
      </c>
      <c r="S244" s="106">
        <f t="shared" si="2973"/>
        <v>0</v>
      </c>
      <c r="T244" s="106">
        <f t="shared" si="2974"/>
        <v>0</v>
      </c>
      <c r="U244" s="106">
        <f t="shared" si="2975"/>
        <v>0</v>
      </c>
      <c r="V244" s="106">
        <f t="shared" si="2976"/>
        <v>0</v>
      </c>
      <c r="W244" s="106">
        <f t="shared" si="2977"/>
        <v>0</v>
      </c>
      <c r="X244" s="106">
        <f t="shared" si="2978"/>
        <v>0</v>
      </c>
      <c r="Y244" s="106">
        <f t="shared" si="2979"/>
        <v>0</v>
      </c>
      <c r="Z244" s="106">
        <f t="shared" si="2980"/>
        <v>0</v>
      </c>
      <c r="AA244" s="106">
        <f t="shared" si="2981"/>
        <v>0</v>
      </c>
      <c r="AB244" s="118">
        <f t="shared" si="2678"/>
        <v>0</v>
      </c>
      <c r="AC244" s="106">
        <f t="shared" si="2982"/>
        <v>0</v>
      </c>
      <c r="AD244" s="106">
        <f t="shared" si="2983"/>
        <v>0</v>
      </c>
      <c r="AE244" s="106">
        <f t="shared" si="2984"/>
        <v>0</v>
      </c>
      <c r="AF244" s="106">
        <f t="shared" si="2985"/>
        <v>0</v>
      </c>
      <c r="AG244" s="106">
        <f t="shared" si="2986"/>
        <v>0</v>
      </c>
      <c r="AH244" s="106">
        <f t="shared" si="2987"/>
        <v>0</v>
      </c>
      <c r="AI244" s="106">
        <f t="shared" si="2988"/>
        <v>0</v>
      </c>
      <c r="AJ244" s="106">
        <f t="shared" si="2989"/>
        <v>0</v>
      </c>
      <c r="AK244" s="106">
        <f t="shared" si="2990"/>
        <v>0</v>
      </c>
      <c r="AL244" s="106">
        <f t="shared" si="2991"/>
        <v>0</v>
      </c>
      <c r="AM244" s="106">
        <f t="shared" si="2992"/>
        <v>0</v>
      </c>
      <c r="AN244" s="106">
        <f t="shared" si="2993"/>
        <v>0</v>
      </c>
      <c r="AO244" s="106">
        <f t="shared" si="2994"/>
        <v>0</v>
      </c>
      <c r="AQ244" s="106">
        <v>0</v>
      </c>
      <c r="AR244" s="106">
        <v>0</v>
      </c>
      <c r="AS244" s="106">
        <v>0</v>
      </c>
      <c r="AT244" s="106">
        <v>0</v>
      </c>
      <c r="AU244" s="106">
        <v>0</v>
      </c>
      <c r="AV244" s="106">
        <v>0</v>
      </c>
      <c r="AW244" s="106">
        <v>0</v>
      </c>
      <c r="AX244" s="106">
        <v>0</v>
      </c>
      <c r="AY244" s="106">
        <v>0</v>
      </c>
      <c r="AZ244" s="106">
        <v>0</v>
      </c>
      <c r="BA244" s="106">
        <v>0</v>
      </c>
      <c r="BB244" s="106">
        <v>0</v>
      </c>
      <c r="BC244" s="106">
        <f t="shared" si="2995"/>
        <v>0</v>
      </c>
      <c r="BD244" s="16" t="str">
        <f t="shared" si="2339"/>
        <v>Depreciation  -Computer</v>
      </c>
      <c r="BE244" s="106">
        <f>+VLOOKUP($BD244,'Jan-25'!$A:$J,2,0)</f>
        <v>0</v>
      </c>
      <c r="BF244" s="106">
        <f>+VLOOKUP($BD244,'Feb-25'!$A:$J,2,0)</f>
        <v>0</v>
      </c>
      <c r="BG244" s="106">
        <f>+VLOOKUP($BD244,'Mar-25'!$A:$J,2,0)</f>
        <v>0</v>
      </c>
      <c r="BH244" s="106">
        <f>+VLOOKUP($BD244,'Apr-25'!$A:$J,2,0)</f>
        <v>0</v>
      </c>
      <c r="BI244" s="106">
        <f>+VLOOKUP($BD244,'May-25'!$A:$J,2,0)</f>
        <v>0</v>
      </c>
      <c r="BJ244" s="106">
        <f>+VLOOKUP($BD244,'June-25'!$A:$J,2,0)</f>
        <v>0</v>
      </c>
      <c r="BK244" s="106">
        <f>+VLOOKUP($BD244,'July-25'!$A:$J,2,0)</f>
        <v>0</v>
      </c>
      <c r="BL244" s="106">
        <f>+VLOOKUP($BD244,'Aug-25'!$A:$J,2,0)</f>
        <v>0</v>
      </c>
      <c r="BM244" s="106">
        <f>+VLOOKUP($BD244,'Sep-25'!$A:$J,2,0)</f>
        <v>0</v>
      </c>
      <c r="BN244" s="106">
        <f>+VLOOKUP($BD244,'Oct-25'!$A:$J,2,0)</f>
        <v>0</v>
      </c>
      <c r="BO244" s="106">
        <f>+VLOOKUP($BD244,'Nov-25'!$A:$J,2,0)</f>
        <v>0</v>
      </c>
      <c r="BP244" s="106">
        <f>+VLOOKUP($BD244,'Dec-25'!$A:$J,2,0)</f>
        <v>0</v>
      </c>
      <c r="BQ244" s="106">
        <f t="shared" si="2996"/>
        <v>0</v>
      </c>
      <c r="BR244" s="118">
        <f t="shared" si="2679"/>
        <v>0</v>
      </c>
      <c r="BS244" s="106" cm="1">
        <f t="array" ref="BS244:CD244">+_xlfn.XLOOKUP(BD244,Budget!A:A,Budget!Q:AB)</f>
        <v>0</v>
      </c>
      <c r="BT244" s="106">
        <v>0</v>
      </c>
      <c r="BU244" s="106">
        <v>0</v>
      </c>
      <c r="BV244" s="106">
        <v>0</v>
      </c>
      <c r="BW244" s="106">
        <v>0</v>
      </c>
      <c r="BX244" s="106">
        <v>0</v>
      </c>
      <c r="BY244" s="106">
        <v>0</v>
      </c>
      <c r="BZ244" s="106">
        <v>0</v>
      </c>
      <c r="CA244" s="106">
        <v>0</v>
      </c>
      <c r="CB244" s="106">
        <v>0</v>
      </c>
      <c r="CC244" s="106">
        <v>0</v>
      </c>
      <c r="CD244" s="106">
        <v>0</v>
      </c>
      <c r="CE244" s="106">
        <f t="shared" si="2997"/>
        <v>0</v>
      </c>
      <c r="CF244" s="22"/>
      <c r="CG244" s="106">
        <v>0</v>
      </c>
      <c r="CH244" s="106">
        <v>0</v>
      </c>
      <c r="CI244" s="106">
        <v>0</v>
      </c>
      <c r="CJ244" s="106">
        <v>0</v>
      </c>
      <c r="CK244" s="106">
        <v>0</v>
      </c>
      <c r="CL244" s="106">
        <v>0</v>
      </c>
      <c r="CM244" s="106">
        <v>0</v>
      </c>
      <c r="CN244" s="106">
        <v>0</v>
      </c>
      <c r="CO244" s="106">
        <v>0</v>
      </c>
      <c r="CP244" s="106">
        <v>0</v>
      </c>
      <c r="CQ244" s="106">
        <v>0</v>
      </c>
      <c r="CR244" s="106">
        <v>0</v>
      </c>
      <c r="CS244" s="106">
        <f t="shared" si="2998"/>
        <v>0</v>
      </c>
      <c r="CT244" s="16" t="str">
        <f t="shared" si="2340"/>
        <v>Depreciation  -Computer</v>
      </c>
      <c r="CU244" s="106">
        <f>+VLOOKUP($BD244,'Jan-25'!$A:$J,6,0)</f>
        <v>0</v>
      </c>
      <c r="CV244" s="106">
        <f>+VLOOKUP($BD244,'Feb-25'!$A:$J,6,0)</f>
        <v>0</v>
      </c>
      <c r="CW244" s="106">
        <f>+VLOOKUP($BD244,'Mar-25'!$A:$J,6,0)</f>
        <v>0</v>
      </c>
      <c r="CX244" s="106">
        <f>+VLOOKUP($BD244,'Apr-25'!$A:$J,6,0)</f>
        <v>0</v>
      </c>
      <c r="CY244" s="106">
        <f>+VLOOKUP($BD244,'May-25'!$A:$J,6,0)</f>
        <v>0</v>
      </c>
      <c r="CZ244" s="106">
        <f>+VLOOKUP($BD244,'June-25'!$A:$J,6,0)</f>
        <v>0</v>
      </c>
      <c r="DA244" s="106">
        <f>+VLOOKUP($BD244,'July-25'!$A:$J,6,0)</f>
        <v>0</v>
      </c>
      <c r="DB244" s="106">
        <f>+VLOOKUP($BD244,'Aug-25'!$A:$J,6,0)</f>
        <v>0</v>
      </c>
      <c r="DC244" s="106">
        <f>+VLOOKUP($BD244,'Sep-25'!$A:$J,6,0)</f>
        <v>0</v>
      </c>
      <c r="DD244" s="106">
        <f>+VLOOKUP($BD244,'Oct-25'!$A:$J,6,0)</f>
        <v>0</v>
      </c>
      <c r="DE244" s="106">
        <f>+VLOOKUP($BD244,'Nov-25'!$A:$J,6,0)</f>
        <v>0</v>
      </c>
      <c r="DF244" s="106">
        <f>+VLOOKUP($BD244,'Dec-25'!$A:$J,6,0)</f>
        <v>0</v>
      </c>
      <c r="DG244" s="106">
        <f t="shared" si="2999"/>
        <v>0</v>
      </c>
      <c r="DH244" s="118">
        <f t="shared" si="2680"/>
        <v>0</v>
      </c>
      <c r="DI244" s="106">
        <f>+_xlfn.XLOOKUP($CT244,Budget!$A:$A,Budget!BQ:BQ)</f>
        <v>0</v>
      </c>
      <c r="DJ244" s="106">
        <f>+_xlfn.XLOOKUP($CT244,Budget!$A:$A,Budget!BR:BR)</f>
        <v>0</v>
      </c>
      <c r="DK244" s="106">
        <f>+_xlfn.XLOOKUP($CT244,Budget!$A:$A,Budget!BS:BS)</f>
        <v>0</v>
      </c>
      <c r="DL244" s="106">
        <f>+_xlfn.XLOOKUP($CT244,Budget!$A:$A,Budget!BT:BT)</f>
        <v>0</v>
      </c>
      <c r="DM244" s="106">
        <f>+_xlfn.XLOOKUP($CT244,Budget!$A:$A,Budget!BU:BU)</f>
        <v>0</v>
      </c>
      <c r="DN244" s="106">
        <f>+_xlfn.XLOOKUP($CT244,Budget!$A:$A,Budget!BV:BV)</f>
        <v>0</v>
      </c>
      <c r="DO244" s="106">
        <f>+_xlfn.XLOOKUP($CT244,Budget!$A:$A,Budget!BW:BW)</f>
        <v>0</v>
      </c>
      <c r="DP244" s="106">
        <f>+_xlfn.XLOOKUP($CT244,Budget!$A:$A,Budget!BX:BX)</f>
        <v>0</v>
      </c>
      <c r="DQ244" s="106">
        <f>+_xlfn.XLOOKUP($CT244,Budget!$A:$A,Budget!BY:BY)</f>
        <v>0</v>
      </c>
      <c r="DR244" s="106">
        <f>+_xlfn.XLOOKUP($CT244,Budget!$A:$A,Budget!BZ:BZ)</f>
        <v>0</v>
      </c>
      <c r="DS244" s="106">
        <f>+_xlfn.XLOOKUP($CT244,Budget!$A:$A,Budget!CA:CA)</f>
        <v>0</v>
      </c>
      <c r="DT244" s="106">
        <f>+_xlfn.XLOOKUP($CT244,Budget!$A:$A,Budget!CB:CB)</f>
        <v>0</v>
      </c>
      <c r="DU244" s="106">
        <f t="shared" si="3000"/>
        <v>0</v>
      </c>
    </row>
    <row r="245" spans="1:125" ht="14.45" hidden="1" customHeight="1" outlineLevel="1">
      <c r="A245" s="106">
        <f t="shared" si="2956"/>
        <v>0</v>
      </c>
      <c r="B245" s="106">
        <f t="shared" si="2957"/>
        <v>0</v>
      </c>
      <c r="C245" s="106">
        <f t="shared" si="2958"/>
        <v>0</v>
      </c>
      <c r="D245" s="106">
        <f t="shared" si="2959"/>
        <v>0</v>
      </c>
      <c r="E245" s="106">
        <f t="shared" si="2960"/>
        <v>0</v>
      </c>
      <c r="F245" s="106">
        <f t="shared" si="2961"/>
        <v>0</v>
      </c>
      <c r="G245" s="106">
        <f t="shared" si="2962"/>
        <v>0</v>
      </c>
      <c r="H245" s="106">
        <f t="shared" si="2963"/>
        <v>0</v>
      </c>
      <c r="I245" s="106">
        <f t="shared" si="2964"/>
        <v>0</v>
      </c>
      <c r="J245" s="106">
        <f t="shared" si="2965"/>
        <v>0</v>
      </c>
      <c r="K245" s="106">
        <f t="shared" si="2966"/>
        <v>0</v>
      </c>
      <c r="L245" s="106">
        <f t="shared" si="2967"/>
        <v>0</v>
      </c>
      <c r="M245" s="106">
        <f t="shared" si="2968"/>
        <v>0</v>
      </c>
      <c r="N245" s="16" t="s">
        <v>240</v>
      </c>
      <c r="O245" s="106">
        <f t="shared" si="2969"/>
        <v>0</v>
      </c>
      <c r="P245" s="106">
        <f t="shared" si="2970"/>
        <v>0</v>
      </c>
      <c r="Q245" s="106">
        <f t="shared" si="2971"/>
        <v>0</v>
      </c>
      <c r="R245" s="106">
        <f t="shared" si="2972"/>
        <v>0</v>
      </c>
      <c r="S245" s="106">
        <f t="shared" si="2973"/>
        <v>0</v>
      </c>
      <c r="T245" s="106">
        <f t="shared" si="2974"/>
        <v>0</v>
      </c>
      <c r="U245" s="106">
        <f t="shared" si="2975"/>
        <v>0</v>
      </c>
      <c r="V245" s="106">
        <f t="shared" si="2976"/>
        <v>0</v>
      </c>
      <c r="W245" s="106">
        <f t="shared" si="2977"/>
        <v>0</v>
      </c>
      <c r="X245" s="106">
        <f t="shared" si="2978"/>
        <v>0</v>
      </c>
      <c r="Y245" s="106">
        <f t="shared" si="2979"/>
        <v>0</v>
      </c>
      <c r="Z245" s="106">
        <f t="shared" si="2980"/>
        <v>0</v>
      </c>
      <c r="AA245" s="106">
        <f t="shared" si="2981"/>
        <v>0</v>
      </c>
      <c r="AB245" s="118">
        <f t="shared" si="2678"/>
        <v>0</v>
      </c>
      <c r="AC245" s="106">
        <f t="shared" si="2982"/>
        <v>0</v>
      </c>
      <c r="AD245" s="106">
        <f t="shared" si="2983"/>
        <v>0</v>
      </c>
      <c r="AE245" s="106">
        <f t="shared" si="2984"/>
        <v>0</v>
      </c>
      <c r="AF245" s="106">
        <f t="shared" si="2985"/>
        <v>0</v>
      </c>
      <c r="AG245" s="106">
        <f t="shared" si="2986"/>
        <v>0</v>
      </c>
      <c r="AH245" s="106">
        <f t="shared" si="2987"/>
        <v>0</v>
      </c>
      <c r="AI245" s="106">
        <f t="shared" si="2988"/>
        <v>0</v>
      </c>
      <c r="AJ245" s="106">
        <f t="shared" si="2989"/>
        <v>0</v>
      </c>
      <c r="AK245" s="106">
        <f t="shared" si="2990"/>
        <v>0</v>
      </c>
      <c r="AL245" s="106">
        <f t="shared" si="2991"/>
        <v>0</v>
      </c>
      <c r="AM245" s="106">
        <f t="shared" si="2992"/>
        <v>0</v>
      </c>
      <c r="AN245" s="106">
        <f t="shared" si="2993"/>
        <v>0</v>
      </c>
      <c r="AO245" s="106">
        <f t="shared" si="2994"/>
        <v>0</v>
      </c>
      <c r="AQ245" s="106">
        <v>0</v>
      </c>
      <c r="AR245" s="106">
        <v>0</v>
      </c>
      <c r="AS245" s="106">
        <v>0</v>
      </c>
      <c r="AT245" s="106">
        <v>0</v>
      </c>
      <c r="AU245" s="106">
        <v>0</v>
      </c>
      <c r="AV245" s="106">
        <v>0</v>
      </c>
      <c r="AW245" s="106">
        <v>0</v>
      </c>
      <c r="AX245" s="106">
        <v>0</v>
      </c>
      <c r="AY245" s="106">
        <v>0</v>
      </c>
      <c r="AZ245" s="106">
        <v>0</v>
      </c>
      <c r="BA245" s="106">
        <v>0</v>
      </c>
      <c r="BB245" s="106">
        <v>0</v>
      </c>
      <c r="BC245" s="106">
        <f t="shared" si="2995"/>
        <v>0</v>
      </c>
      <c r="BD245" s="16" t="str">
        <f t="shared" si="2339"/>
        <v>Depreciation  - Furniture &amp; Fixures</v>
      </c>
      <c r="BE245" s="106">
        <f>+VLOOKUP($BD245,'Jan-25'!$A:$J,2,0)</f>
        <v>0</v>
      </c>
      <c r="BF245" s="106">
        <f>+VLOOKUP($BD245,'Feb-25'!$A:$J,2,0)</f>
        <v>0</v>
      </c>
      <c r="BG245" s="106">
        <f>+VLOOKUP($BD245,'Mar-25'!$A:$J,2,0)</f>
        <v>0</v>
      </c>
      <c r="BH245" s="106">
        <f>+VLOOKUP($BD245,'Apr-25'!$A:$J,2,0)</f>
        <v>0</v>
      </c>
      <c r="BI245" s="106">
        <f>+VLOOKUP($BD245,'May-25'!$A:$J,2,0)</f>
        <v>0</v>
      </c>
      <c r="BJ245" s="106">
        <f>+VLOOKUP($BD245,'June-25'!$A:$J,2,0)</f>
        <v>0</v>
      </c>
      <c r="BK245" s="106">
        <f>+VLOOKUP($BD245,'July-25'!$A:$J,2,0)</f>
        <v>0</v>
      </c>
      <c r="BL245" s="106">
        <f>+VLOOKUP($BD245,'Aug-25'!$A:$J,2,0)</f>
        <v>0</v>
      </c>
      <c r="BM245" s="106">
        <f>+VLOOKUP($BD245,'Sep-25'!$A:$J,2,0)</f>
        <v>0</v>
      </c>
      <c r="BN245" s="106">
        <f>+VLOOKUP($BD245,'Oct-25'!$A:$J,2,0)</f>
        <v>0</v>
      </c>
      <c r="BO245" s="106">
        <f>+VLOOKUP($BD245,'Nov-25'!$A:$J,2,0)</f>
        <v>0</v>
      </c>
      <c r="BP245" s="106">
        <f>+VLOOKUP($BD245,'Dec-25'!$A:$J,2,0)</f>
        <v>0</v>
      </c>
      <c r="BQ245" s="106">
        <f t="shared" si="2996"/>
        <v>0</v>
      </c>
      <c r="BR245" s="118">
        <f t="shared" si="2679"/>
        <v>0</v>
      </c>
      <c r="BS245" s="106" cm="1">
        <f t="array" ref="BS245:CD245">+_xlfn.XLOOKUP(BD245,Budget!A:A,Budget!Q:AB)</f>
        <v>0</v>
      </c>
      <c r="BT245" s="106">
        <v>0</v>
      </c>
      <c r="BU245" s="106">
        <v>0</v>
      </c>
      <c r="BV245" s="106">
        <v>0</v>
      </c>
      <c r="BW245" s="106">
        <v>0</v>
      </c>
      <c r="BX245" s="106">
        <v>0</v>
      </c>
      <c r="BY245" s="106">
        <v>0</v>
      </c>
      <c r="BZ245" s="106">
        <v>0</v>
      </c>
      <c r="CA245" s="106">
        <v>0</v>
      </c>
      <c r="CB245" s="106">
        <v>0</v>
      </c>
      <c r="CC245" s="106">
        <v>0</v>
      </c>
      <c r="CD245" s="106">
        <v>0</v>
      </c>
      <c r="CE245" s="106">
        <f t="shared" si="2997"/>
        <v>0</v>
      </c>
      <c r="CF245" s="22"/>
      <c r="CG245" s="106">
        <v>0</v>
      </c>
      <c r="CH245" s="106">
        <v>0</v>
      </c>
      <c r="CI245" s="106">
        <v>0</v>
      </c>
      <c r="CJ245" s="106">
        <v>0</v>
      </c>
      <c r="CK245" s="106">
        <v>0</v>
      </c>
      <c r="CL245" s="106">
        <v>0</v>
      </c>
      <c r="CM245" s="106">
        <v>0</v>
      </c>
      <c r="CN245" s="106">
        <v>0</v>
      </c>
      <c r="CO245" s="106">
        <v>0</v>
      </c>
      <c r="CP245" s="106">
        <v>0</v>
      </c>
      <c r="CQ245" s="106">
        <v>0</v>
      </c>
      <c r="CR245" s="106">
        <v>0</v>
      </c>
      <c r="CS245" s="106">
        <f t="shared" si="2998"/>
        <v>0</v>
      </c>
      <c r="CT245" s="16" t="str">
        <f t="shared" si="2340"/>
        <v>Depreciation  - Furniture &amp; Fixures</v>
      </c>
      <c r="CU245" s="106">
        <f>+VLOOKUP($BD245,'Jan-25'!$A:$J,6,0)</f>
        <v>0</v>
      </c>
      <c r="CV245" s="106">
        <f>+VLOOKUP($BD245,'Feb-25'!$A:$J,6,0)</f>
        <v>0</v>
      </c>
      <c r="CW245" s="106">
        <f>+VLOOKUP($BD245,'Mar-25'!$A:$J,6,0)</f>
        <v>0</v>
      </c>
      <c r="CX245" s="106">
        <f>+VLOOKUP($BD245,'Apr-25'!$A:$J,6,0)</f>
        <v>0</v>
      </c>
      <c r="CY245" s="106">
        <f>+VLOOKUP($BD245,'May-25'!$A:$J,6,0)</f>
        <v>0</v>
      </c>
      <c r="CZ245" s="106">
        <f>+VLOOKUP($BD245,'June-25'!$A:$J,6,0)</f>
        <v>0</v>
      </c>
      <c r="DA245" s="106">
        <f>+VLOOKUP($BD245,'July-25'!$A:$J,6,0)</f>
        <v>0</v>
      </c>
      <c r="DB245" s="106">
        <f>+VLOOKUP($BD245,'Aug-25'!$A:$J,6,0)</f>
        <v>0</v>
      </c>
      <c r="DC245" s="106">
        <f>+VLOOKUP($BD245,'Sep-25'!$A:$J,6,0)</f>
        <v>0</v>
      </c>
      <c r="DD245" s="106">
        <f>+VLOOKUP($BD245,'Oct-25'!$A:$J,6,0)</f>
        <v>0</v>
      </c>
      <c r="DE245" s="106">
        <f>+VLOOKUP($BD245,'Nov-25'!$A:$J,6,0)</f>
        <v>0</v>
      </c>
      <c r="DF245" s="106">
        <f>+VLOOKUP($BD245,'Dec-25'!$A:$J,6,0)</f>
        <v>0</v>
      </c>
      <c r="DG245" s="106">
        <f t="shared" si="2999"/>
        <v>0</v>
      </c>
      <c r="DH245" s="118">
        <f t="shared" si="2680"/>
        <v>0</v>
      </c>
      <c r="DI245" s="106">
        <f>+_xlfn.XLOOKUP($CT245,Budget!$A:$A,Budget!BQ:BQ)</f>
        <v>0</v>
      </c>
      <c r="DJ245" s="106">
        <f>+_xlfn.XLOOKUP($CT245,Budget!$A:$A,Budget!BR:BR)</f>
        <v>0</v>
      </c>
      <c r="DK245" s="106">
        <f>+_xlfn.XLOOKUP($CT245,Budget!$A:$A,Budget!BS:BS)</f>
        <v>0</v>
      </c>
      <c r="DL245" s="106">
        <f>+_xlfn.XLOOKUP($CT245,Budget!$A:$A,Budget!BT:BT)</f>
        <v>0</v>
      </c>
      <c r="DM245" s="106">
        <f>+_xlfn.XLOOKUP($CT245,Budget!$A:$A,Budget!BU:BU)</f>
        <v>0</v>
      </c>
      <c r="DN245" s="106">
        <f>+_xlfn.XLOOKUP($CT245,Budget!$A:$A,Budget!BV:BV)</f>
        <v>0</v>
      </c>
      <c r="DO245" s="106">
        <f>+_xlfn.XLOOKUP($CT245,Budget!$A:$A,Budget!BW:BW)</f>
        <v>0</v>
      </c>
      <c r="DP245" s="106">
        <f>+_xlfn.XLOOKUP($CT245,Budget!$A:$A,Budget!BX:BX)</f>
        <v>0</v>
      </c>
      <c r="DQ245" s="106">
        <f>+_xlfn.XLOOKUP($CT245,Budget!$A:$A,Budget!BY:BY)</f>
        <v>0</v>
      </c>
      <c r="DR245" s="106">
        <f>+_xlfn.XLOOKUP($CT245,Budget!$A:$A,Budget!BZ:BZ)</f>
        <v>0</v>
      </c>
      <c r="DS245" s="106">
        <f>+_xlfn.XLOOKUP($CT245,Budget!$A:$A,Budget!CA:CA)</f>
        <v>0</v>
      </c>
      <c r="DT245" s="106">
        <f>+_xlfn.XLOOKUP($CT245,Budget!$A:$A,Budget!CB:CB)</f>
        <v>0</v>
      </c>
      <c r="DU245" s="106">
        <f t="shared" si="3000"/>
        <v>0</v>
      </c>
    </row>
    <row r="246" spans="1:125" ht="14.45" hidden="1" customHeight="1" outlineLevel="1">
      <c r="A246" s="106">
        <f t="shared" si="2956"/>
        <v>0</v>
      </c>
      <c r="B246" s="106">
        <f t="shared" si="2957"/>
        <v>0</v>
      </c>
      <c r="C246" s="106">
        <f t="shared" si="2958"/>
        <v>0</v>
      </c>
      <c r="D246" s="106">
        <f t="shared" si="2959"/>
        <v>0</v>
      </c>
      <c r="E246" s="106">
        <f t="shared" si="2960"/>
        <v>0</v>
      </c>
      <c r="F246" s="106">
        <f t="shared" si="2961"/>
        <v>0</v>
      </c>
      <c r="G246" s="106">
        <f t="shared" si="2962"/>
        <v>0</v>
      </c>
      <c r="H246" s="106">
        <f t="shared" si="2963"/>
        <v>0</v>
      </c>
      <c r="I246" s="106">
        <f t="shared" si="2964"/>
        <v>0</v>
      </c>
      <c r="J246" s="106">
        <f t="shared" si="2965"/>
        <v>0</v>
      </c>
      <c r="K246" s="106">
        <f t="shared" si="2966"/>
        <v>0</v>
      </c>
      <c r="L246" s="106">
        <f t="shared" si="2967"/>
        <v>0</v>
      </c>
      <c r="M246" s="106">
        <f t="shared" si="2968"/>
        <v>0</v>
      </c>
      <c r="N246" s="16" t="s">
        <v>241</v>
      </c>
      <c r="O246" s="106">
        <f t="shared" si="2969"/>
        <v>0</v>
      </c>
      <c r="P246" s="106">
        <f t="shared" si="2970"/>
        <v>0</v>
      </c>
      <c r="Q246" s="106">
        <f t="shared" si="2971"/>
        <v>0</v>
      </c>
      <c r="R246" s="106">
        <f t="shared" si="2972"/>
        <v>0</v>
      </c>
      <c r="S246" s="106">
        <f t="shared" si="2973"/>
        <v>0</v>
      </c>
      <c r="T246" s="106">
        <f t="shared" si="2974"/>
        <v>0</v>
      </c>
      <c r="U246" s="106">
        <f t="shared" si="2975"/>
        <v>0</v>
      </c>
      <c r="V246" s="106">
        <f t="shared" si="2976"/>
        <v>0</v>
      </c>
      <c r="W246" s="106">
        <f t="shared" si="2977"/>
        <v>0</v>
      </c>
      <c r="X246" s="106">
        <f t="shared" si="2978"/>
        <v>0</v>
      </c>
      <c r="Y246" s="106">
        <f t="shared" si="2979"/>
        <v>0</v>
      </c>
      <c r="Z246" s="106">
        <f t="shared" si="2980"/>
        <v>0</v>
      </c>
      <c r="AA246" s="106">
        <f t="shared" si="2981"/>
        <v>0</v>
      </c>
      <c r="AB246" s="118">
        <f t="shared" si="2678"/>
        <v>0</v>
      </c>
      <c r="AC246" s="106">
        <f t="shared" si="2982"/>
        <v>0</v>
      </c>
      <c r="AD246" s="106">
        <f t="shared" si="2983"/>
        <v>0</v>
      </c>
      <c r="AE246" s="106">
        <f t="shared" si="2984"/>
        <v>0</v>
      </c>
      <c r="AF246" s="106">
        <f t="shared" si="2985"/>
        <v>0</v>
      </c>
      <c r="AG246" s="106">
        <f t="shared" si="2986"/>
        <v>0</v>
      </c>
      <c r="AH246" s="106">
        <f t="shared" si="2987"/>
        <v>0</v>
      </c>
      <c r="AI246" s="106">
        <f t="shared" si="2988"/>
        <v>0</v>
      </c>
      <c r="AJ246" s="106">
        <f t="shared" si="2989"/>
        <v>0</v>
      </c>
      <c r="AK246" s="106">
        <f t="shared" si="2990"/>
        <v>0</v>
      </c>
      <c r="AL246" s="106">
        <f t="shared" si="2991"/>
        <v>0</v>
      </c>
      <c r="AM246" s="106">
        <f t="shared" si="2992"/>
        <v>0</v>
      </c>
      <c r="AN246" s="106">
        <f t="shared" si="2993"/>
        <v>0</v>
      </c>
      <c r="AO246" s="106">
        <f t="shared" si="2994"/>
        <v>0</v>
      </c>
      <c r="AQ246" s="106">
        <v>0</v>
      </c>
      <c r="AR246" s="106">
        <v>0</v>
      </c>
      <c r="AS246" s="106">
        <v>0</v>
      </c>
      <c r="AT246" s="106">
        <v>0</v>
      </c>
      <c r="AU246" s="106">
        <v>0</v>
      </c>
      <c r="AV246" s="106">
        <v>0</v>
      </c>
      <c r="AW246" s="106">
        <v>0</v>
      </c>
      <c r="AX246" s="106">
        <v>0</v>
      </c>
      <c r="AY246" s="106">
        <v>0</v>
      </c>
      <c r="AZ246" s="106">
        <v>0</v>
      </c>
      <c r="BA246" s="106">
        <v>0</v>
      </c>
      <c r="BB246" s="106">
        <v>0</v>
      </c>
      <c r="BC246" s="106">
        <f t="shared" si="2995"/>
        <v>0</v>
      </c>
      <c r="BD246" s="16" t="str">
        <f t="shared" si="2339"/>
        <v>Depreciation  -Plant &amp; Machinery</v>
      </c>
      <c r="BE246" s="106">
        <f>+VLOOKUP($BD246,'Jan-25'!$A:$J,2,0)</f>
        <v>0</v>
      </c>
      <c r="BF246" s="106">
        <f>+VLOOKUP($BD246,'Feb-25'!$A:$J,2,0)</f>
        <v>0</v>
      </c>
      <c r="BG246" s="106">
        <f>+VLOOKUP($BD246,'Mar-25'!$A:$J,2,0)</f>
        <v>0</v>
      </c>
      <c r="BH246" s="106">
        <f>+VLOOKUP($BD246,'Apr-25'!$A:$J,2,0)</f>
        <v>0</v>
      </c>
      <c r="BI246" s="106">
        <f>+VLOOKUP($BD246,'May-25'!$A:$J,2,0)</f>
        <v>0</v>
      </c>
      <c r="BJ246" s="106">
        <f>+VLOOKUP($BD246,'June-25'!$A:$J,2,0)</f>
        <v>0</v>
      </c>
      <c r="BK246" s="106">
        <f>+VLOOKUP($BD246,'July-25'!$A:$J,2,0)</f>
        <v>0</v>
      </c>
      <c r="BL246" s="106">
        <f>+VLOOKUP($BD246,'Aug-25'!$A:$J,2,0)</f>
        <v>0</v>
      </c>
      <c r="BM246" s="106">
        <f>+VLOOKUP($BD246,'Sep-25'!$A:$J,2,0)</f>
        <v>0</v>
      </c>
      <c r="BN246" s="106">
        <f>+VLOOKUP($BD246,'Oct-25'!$A:$J,2,0)</f>
        <v>0</v>
      </c>
      <c r="BO246" s="106">
        <f>+VLOOKUP($BD246,'Nov-25'!$A:$J,2,0)</f>
        <v>0</v>
      </c>
      <c r="BP246" s="106">
        <f>+VLOOKUP($BD246,'Dec-25'!$A:$J,2,0)</f>
        <v>0</v>
      </c>
      <c r="BQ246" s="106">
        <f t="shared" si="2996"/>
        <v>0</v>
      </c>
      <c r="BR246" s="118">
        <f t="shared" si="2679"/>
        <v>0</v>
      </c>
      <c r="BS246" s="106" cm="1">
        <f t="array" ref="BS246:CD246">+_xlfn.XLOOKUP(BD246,Budget!A:A,Budget!Q:AB)</f>
        <v>0</v>
      </c>
      <c r="BT246" s="106">
        <v>0</v>
      </c>
      <c r="BU246" s="106">
        <v>0</v>
      </c>
      <c r="BV246" s="106">
        <v>0</v>
      </c>
      <c r="BW246" s="106">
        <v>0</v>
      </c>
      <c r="BX246" s="106">
        <v>0</v>
      </c>
      <c r="BY246" s="106">
        <v>0</v>
      </c>
      <c r="BZ246" s="106">
        <v>0</v>
      </c>
      <c r="CA246" s="106">
        <v>0</v>
      </c>
      <c r="CB246" s="106">
        <v>0</v>
      </c>
      <c r="CC246" s="106">
        <v>0</v>
      </c>
      <c r="CD246" s="106">
        <v>0</v>
      </c>
      <c r="CE246" s="106">
        <f t="shared" si="2997"/>
        <v>0</v>
      </c>
      <c r="CF246" s="22"/>
      <c r="CG246" s="106">
        <v>0</v>
      </c>
      <c r="CH246" s="106">
        <v>0</v>
      </c>
      <c r="CI246" s="106">
        <v>0</v>
      </c>
      <c r="CJ246" s="106">
        <v>0</v>
      </c>
      <c r="CK246" s="106">
        <v>0</v>
      </c>
      <c r="CL246" s="106">
        <v>0</v>
      </c>
      <c r="CM246" s="106">
        <v>0</v>
      </c>
      <c r="CN246" s="106">
        <v>0</v>
      </c>
      <c r="CO246" s="106">
        <v>0</v>
      </c>
      <c r="CP246" s="106">
        <v>0</v>
      </c>
      <c r="CQ246" s="106">
        <v>0</v>
      </c>
      <c r="CR246" s="106">
        <v>0</v>
      </c>
      <c r="CS246" s="106">
        <f t="shared" si="2998"/>
        <v>0</v>
      </c>
      <c r="CT246" s="16" t="str">
        <f t="shared" si="2340"/>
        <v>Depreciation  -Plant &amp; Machinery</v>
      </c>
      <c r="CU246" s="106">
        <f>+VLOOKUP($BD246,'Jan-25'!$A:$J,6,0)</f>
        <v>0</v>
      </c>
      <c r="CV246" s="106">
        <f>+VLOOKUP($BD246,'Feb-25'!$A:$J,6,0)</f>
        <v>0</v>
      </c>
      <c r="CW246" s="106">
        <f>+VLOOKUP($BD246,'Mar-25'!$A:$J,6,0)</f>
        <v>0</v>
      </c>
      <c r="CX246" s="106">
        <f>+VLOOKUP($BD246,'Apr-25'!$A:$J,6,0)</f>
        <v>0</v>
      </c>
      <c r="CY246" s="106">
        <f>+VLOOKUP($BD246,'May-25'!$A:$J,6,0)</f>
        <v>0</v>
      </c>
      <c r="CZ246" s="106">
        <f>+VLOOKUP($BD246,'June-25'!$A:$J,6,0)</f>
        <v>0</v>
      </c>
      <c r="DA246" s="106">
        <f>+VLOOKUP($BD246,'July-25'!$A:$J,6,0)</f>
        <v>0</v>
      </c>
      <c r="DB246" s="106">
        <f>+VLOOKUP($BD246,'Aug-25'!$A:$J,6,0)</f>
        <v>0</v>
      </c>
      <c r="DC246" s="106">
        <f>+VLOOKUP($BD246,'Sep-25'!$A:$J,6,0)</f>
        <v>0</v>
      </c>
      <c r="DD246" s="106">
        <f>+VLOOKUP($BD246,'Oct-25'!$A:$J,6,0)</f>
        <v>0</v>
      </c>
      <c r="DE246" s="106">
        <f>+VLOOKUP($BD246,'Nov-25'!$A:$J,6,0)</f>
        <v>0</v>
      </c>
      <c r="DF246" s="106">
        <f>+VLOOKUP($BD246,'Dec-25'!$A:$J,6,0)</f>
        <v>0</v>
      </c>
      <c r="DG246" s="106">
        <f t="shared" si="2999"/>
        <v>0</v>
      </c>
      <c r="DH246" s="118">
        <f t="shared" si="2680"/>
        <v>0</v>
      </c>
      <c r="DI246" s="106">
        <f>+_xlfn.XLOOKUP($CT246,Budget!$A:$A,Budget!BQ:BQ)</f>
        <v>0</v>
      </c>
      <c r="DJ246" s="106">
        <f>+_xlfn.XLOOKUP($CT246,Budget!$A:$A,Budget!BR:BR)</f>
        <v>0</v>
      </c>
      <c r="DK246" s="106">
        <f>+_xlfn.XLOOKUP($CT246,Budget!$A:$A,Budget!BS:BS)</f>
        <v>0</v>
      </c>
      <c r="DL246" s="106">
        <f>+_xlfn.XLOOKUP($CT246,Budget!$A:$A,Budget!BT:BT)</f>
        <v>0</v>
      </c>
      <c r="DM246" s="106">
        <f>+_xlfn.XLOOKUP($CT246,Budget!$A:$A,Budget!BU:BU)</f>
        <v>0</v>
      </c>
      <c r="DN246" s="106">
        <f>+_xlfn.XLOOKUP($CT246,Budget!$A:$A,Budget!BV:BV)</f>
        <v>0</v>
      </c>
      <c r="DO246" s="106">
        <f>+_xlfn.XLOOKUP($CT246,Budget!$A:$A,Budget!BW:BW)</f>
        <v>0</v>
      </c>
      <c r="DP246" s="106">
        <f>+_xlfn.XLOOKUP($CT246,Budget!$A:$A,Budget!BX:BX)</f>
        <v>0</v>
      </c>
      <c r="DQ246" s="106">
        <f>+_xlfn.XLOOKUP($CT246,Budget!$A:$A,Budget!BY:BY)</f>
        <v>0</v>
      </c>
      <c r="DR246" s="106">
        <f>+_xlfn.XLOOKUP($CT246,Budget!$A:$A,Budget!BZ:BZ)</f>
        <v>0</v>
      </c>
      <c r="DS246" s="106">
        <f>+_xlfn.XLOOKUP($CT246,Budget!$A:$A,Budget!CA:CA)</f>
        <v>0</v>
      </c>
      <c r="DT246" s="106">
        <f>+_xlfn.XLOOKUP($CT246,Budget!$A:$A,Budget!CB:CB)</f>
        <v>0</v>
      </c>
      <c r="DU246" s="106">
        <f t="shared" si="3000"/>
        <v>0</v>
      </c>
    </row>
    <row r="247" spans="1:125" ht="14.45" hidden="1" customHeight="1" outlineLevel="1">
      <c r="A247" s="106">
        <f t="shared" si="2956"/>
        <v>0</v>
      </c>
      <c r="B247" s="106">
        <f t="shared" si="2957"/>
        <v>0</v>
      </c>
      <c r="C247" s="106">
        <f t="shared" si="2958"/>
        <v>0</v>
      </c>
      <c r="D247" s="106">
        <f t="shared" si="2959"/>
        <v>0</v>
      </c>
      <c r="E247" s="106">
        <f t="shared" si="2960"/>
        <v>0</v>
      </c>
      <c r="F247" s="106">
        <f t="shared" si="2961"/>
        <v>0</v>
      </c>
      <c r="G247" s="106">
        <f t="shared" si="2962"/>
        <v>0</v>
      </c>
      <c r="H247" s="106">
        <f t="shared" si="2963"/>
        <v>0</v>
      </c>
      <c r="I247" s="106">
        <f t="shared" si="2964"/>
        <v>0</v>
      </c>
      <c r="J247" s="106">
        <f t="shared" si="2965"/>
        <v>0</v>
      </c>
      <c r="K247" s="106">
        <f t="shared" si="2966"/>
        <v>0</v>
      </c>
      <c r="L247" s="106">
        <f t="shared" si="2967"/>
        <v>0</v>
      </c>
      <c r="M247" s="106">
        <f t="shared" si="2968"/>
        <v>0</v>
      </c>
      <c r="N247" s="16" t="s">
        <v>242</v>
      </c>
      <c r="O247" s="106">
        <f t="shared" si="2969"/>
        <v>0</v>
      </c>
      <c r="P247" s="106">
        <f t="shared" si="2970"/>
        <v>0</v>
      </c>
      <c r="Q247" s="106">
        <f t="shared" si="2971"/>
        <v>0</v>
      </c>
      <c r="R247" s="106">
        <f t="shared" si="2972"/>
        <v>0</v>
      </c>
      <c r="S247" s="106">
        <f t="shared" si="2973"/>
        <v>0</v>
      </c>
      <c r="T247" s="106">
        <f t="shared" si="2974"/>
        <v>0</v>
      </c>
      <c r="U247" s="106">
        <f t="shared" si="2975"/>
        <v>0</v>
      </c>
      <c r="V247" s="106">
        <f t="shared" si="2976"/>
        <v>0</v>
      </c>
      <c r="W247" s="106">
        <f t="shared" si="2977"/>
        <v>0</v>
      </c>
      <c r="X247" s="106">
        <f t="shared" si="2978"/>
        <v>0</v>
      </c>
      <c r="Y247" s="106">
        <f t="shared" si="2979"/>
        <v>0</v>
      </c>
      <c r="Z247" s="106">
        <f t="shared" si="2980"/>
        <v>0</v>
      </c>
      <c r="AA247" s="106">
        <f t="shared" si="2981"/>
        <v>0</v>
      </c>
      <c r="AB247" s="118">
        <f t="shared" si="2678"/>
        <v>0</v>
      </c>
      <c r="AC247" s="106">
        <f t="shared" si="2982"/>
        <v>0</v>
      </c>
      <c r="AD247" s="106">
        <f t="shared" si="2983"/>
        <v>0</v>
      </c>
      <c r="AE247" s="106">
        <f t="shared" si="2984"/>
        <v>0</v>
      </c>
      <c r="AF247" s="106">
        <f t="shared" si="2985"/>
        <v>0</v>
      </c>
      <c r="AG247" s="106">
        <f t="shared" si="2986"/>
        <v>0</v>
      </c>
      <c r="AH247" s="106">
        <f t="shared" si="2987"/>
        <v>0</v>
      </c>
      <c r="AI247" s="106">
        <f t="shared" si="2988"/>
        <v>0</v>
      </c>
      <c r="AJ247" s="106">
        <f t="shared" si="2989"/>
        <v>0</v>
      </c>
      <c r="AK247" s="106">
        <f t="shared" si="2990"/>
        <v>0</v>
      </c>
      <c r="AL247" s="106">
        <f t="shared" si="2991"/>
        <v>0</v>
      </c>
      <c r="AM247" s="106">
        <f t="shared" si="2992"/>
        <v>0</v>
      </c>
      <c r="AN247" s="106">
        <f t="shared" si="2993"/>
        <v>0</v>
      </c>
      <c r="AO247" s="106">
        <f t="shared" si="2994"/>
        <v>0</v>
      </c>
      <c r="AQ247" s="106">
        <v>0</v>
      </c>
      <c r="AR247" s="106">
        <v>0</v>
      </c>
      <c r="AS247" s="106">
        <v>0</v>
      </c>
      <c r="AT247" s="106">
        <v>0</v>
      </c>
      <c r="AU247" s="106">
        <v>0</v>
      </c>
      <c r="AV247" s="106">
        <v>0</v>
      </c>
      <c r="AW247" s="106">
        <v>0</v>
      </c>
      <c r="AX247" s="106">
        <v>0</v>
      </c>
      <c r="AY247" s="106">
        <v>0</v>
      </c>
      <c r="AZ247" s="106">
        <v>0</v>
      </c>
      <c r="BA247" s="106">
        <v>0</v>
      </c>
      <c r="BB247" s="106">
        <v>0</v>
      </c>
      <c r="BC247" s="106">
        <f t="shared" si="2995"/>
        <v>0</v>
      </c>
      <c r="BD247" s="16" t="str">
        <f t="shared" si="2339"/>
        <v>Depreciation  -Vehicle</v>
      </c>
      <c r="BE247" s="106">
        <f>+VLOOKUP($BD247,'Jan-25'!$A:$J,2,0)</f>
        <v>0</v>
      </c>
      <c r="BF247" s="106">
        <f>+VLOOKUP($BD247,'Feb-25'!$A:$J,2,0)</f>
        <v>0</v>
      </c>
      <c r="BG247" s="106">
        <f>+VLOOKUP($BD247,'Mar-25'!$A:$J,2,0)</f>
        <v>0</v>
      </c>
      <c r="BH247" s="106">
        <f>+VLOOKUP($BD247,'Apr-25'!$A:$J,2,0)</f>
        <v>0</v>
      </c>
      <c r="BI247" s="106">
        <f>+VLOOKUP($BD247,'May-25'!$A:$J,2,0)</f>
        <v>0</v>
      </c>
      <c r="BJ247" s="106">
        <f>+VLOOKUP($BD247,'June-25'!$A:$J,2,0)</f>
        <v>0</v>
      </c>
      <c r="BK247" s="106">
        <f>+VLOOKUP($BD247,'July-25'!$A:$J,2,0)</f>
        <v>0</v>
      </c>
      <c r="BL247" s="106">
        <f>+VLOOKUP($BD247,'Aug-25'!$A:$J,2,0)</f>
        <v>0</v>
      </c>
      <c r="BM247" s="106">
        <f>+VLOOKUP($BD247,'Sep-25'!$A:$J,2,0)</f>
        <v>0</v>
      </c>
      <c r="BN247" s="106">
        <f>+VLOOKUP($BD247,'Oct-25'!$A:$J,2,0)</f>
        <v>0</v>
      </c>
      <c r="BO247" s="106">
        <f>+VLOOKUP($BD247,'Nov-25'!$A:$J,2,0)</f>
        <v>0</v>
      </c>
      <c r="BP247" s="106">
        <f>+VLOOKUP($BD247,'Dec-25'!$A:$J,2,0)</f>
        <v>0</v>
      </c>
      <c r="BQ247" s="106">
        <f t="shared" si="2996"/>
        <v>0</v>
      </c>
      <c r="BR247" s="118">
        <f t="shared" si="2679"/>
        <v>0</v>
      </c>
      <c r="BS247" s="106" cm="1">
        <f t="array" ref="BS247:CD247">+_xlfn.XLOOKUP(BD247,Budget!A:A,Budget!Q:AB)</f>
        <v>0</v>
      </c>
      <c r="BT247" s="106">
        <v>0</v>
      </c>
      <c r="BU247" s="106">
        <v>0</v>
      </c>
      <c r="BV247" s="106">
        <v>0</v>
      </c>
      <c r="BW247" s="106">
        <v>0</v>
      </c>
      <c r="BX247" s="106">
        <v>0</v>
      </c>
      <c r="BY247" s="106">
        <v>0</v>
      </c>
      <c r="BZ247" s="106">
        <v>0</v>
      </c>
      <c r="CA247" s="106">
        <v>0</v>
      </c>
      <c r="CB247" s="106">
        <v>0</v>
      </c>
      <c r="CC247" s="106">
        <v>0</v>
      </c>
      <c r="CD247" s="106">
        <v>0</v>
      </c>
      <c r="CE247" s="106">
        <f t="shared" si="2997"/>
        <v>0</v>
      </c>
      <c r="CF247" s="22"/>
      <c r="CG247" s="106">
        <v>0</v>
      </c>
      <c r="CH247" s="106">
        <v>0</v>
      </c>
      <c r="CI247" s="106">
        <v>0</v>
      </c>
      <c r="CJ247" s="106">
        <v>0</v>
      </c>
      <c r="CK247" s="106">
        <v>0</v>
      </c>
      <c r="CL247" s="106">
        <v>0</v>
      </c>
      <c r="CM247" s="106">
        <v>0</v>
      </c>
      <c r="CN247" s="106">
        <v>0</v>
      </c>
      <c r="CO247" s="106">
        <v>0</v>
      </c>
      <c r="CP247" s="106">
        <v>0</v>
      </c>
      <c r="CQ247" s="106">
        <v>0</v>
      </c>
      <c r="CR247" s="106">
        <v>0</v>
      </c>
      <c r="CS247" s="106">
        <f t="shared" si="2998"/>
        <v>0</v>
      </c>
      <c r="CT247" s="16" t="str">
        <f t="shared" si="2340"/>
        <v>Depreciation  -Vehicle</v>
      </c>
      <c r="CU247" s="106">
        <f>+VLOOKUP($BD247,'Jan-25'!$A:$J,6,0)</f>
        <v>0</v>
      </c>
      <c r="CV247" s="106">
        <f>+VLOOKUP($BD247,'Feb-25'!$A:$J,6,0)</f>
        <v>0</v>
      </c>
      <c r="CW247" s="106">
        <f>+VLOOKUP($BD247,'Mar-25'!$A:$J,6,0)</f>
        <v>0</v>
      </c>
      <c r="CX247" s="106">
        <f>+VLOOKUP($BD247,'Apr-25'!$A:$J,6,0)</f>
        <v>0</v>
      </c>
      <c r="CY247" s="106">
        <f>+VLOOKUP($BD247,'May-25'!$A:$J,6,0)</f>
        <v>0</v>
      </c>
      <c r="CZ247" s="106">
        <f>+VLOOKUP($BD247,'June-25'!$A:$J,6,0)</f>
        <v>0</v>
      </c>
      <c r="DA247" s="106">
        <f>+VLOOKUP($BD247,'July-25'!$A:$J,6,0)</f>
        <v>0</v>
      </c>
      <c r="DB247" s="106">
        <f>+VLOOKUP($BD247,'Aug-25'!$A:$J,6,0)</f>
        <v>0</v>
      </c>
      <c r="DC247" s="106">
        <f>+VLOOKUP($BD247,'Sep-25'!$A:$J,6,0)</f>
        <v>0</v>
      </c>
      <c r="DD247" s="106">
        <f>+VLOOKUP($BD247,'Oct-25'!$A:$J,6,0)</f>
        <v>0</v>
      </c>
      <c r="DE247" s="106">
        <f>+VLOOKUP($BD247,'Nov-25'!$A:$J,6,0)</f>
        <v>0</v>
      </c>
      <c r="DF247" s="106">
        <f>+VLOOKUP($BD247,'Dec-25'!$A:$J,6,0)</f>
        <v>0</v>
      </c>
      <c r="DG247" s="106">
        <f t="shared" si="2999"/>
        <v>0</v>
      </c>
      <c r="DH247" s="118">
        <f t="shared" si="2680"/>
        <v>0</v>
      </c>
      <c r="DI247" s="106">
        <f>+_xlfn.XLOOKUP($CT247,Budget!$A:$A,Budget!BQ:BQ)</f>
        <v>0</v>
      </c>
      <c r="DJ247" s="106">
        <f>+_xlfn.XLOOKUP($CT247,Budget!$A:$A,Budget!BR:BR)</f>
        <v>0</v>
      </c>
      <c r="DK247" s="106">
        <f>+_xlfn.XLOOKUP($CT247,Budget!$A:$A,Budget!BS:BS)</f>
        <v>0</v>
      </c>
      <c r="DL247" s="106">
        <f>+_xlfn.XLOOKUP($CT247,Budget!$A:$A,Budget!BT:BT)</f>
        <v>0</v>
      </c>
      <c r="DM247" s="106">
        <f>+_xlfn.XLOOKUP($CT247,Budget!$A:$A,Budget!BU:BU)</f>
        <v>0</v>
      </c>
      <c r="DN247" s="106">
        <f>+_xlfn.XLOOKUP($CT247,Budget!$A:$A,Budget!BV:BV)</f>
        <v>0</v>
      </c>
      <c r="DO247" s="106">
        <f>+_xlfn.XLOOKUP($CT247,Budget!$A:$A,Budget!BW:BW)</f>
        <v>0</v>
      </c>
      <c r="DP247" s="106">
        <f>+_xlfn.XLOOKUP($CT247,Budget!$A:$A,Budget!BX:BX)</f>
        <v>0</v>
      </c>
      <c r="DQ247" s="106">
        <f>+_xlfn.XLOOKUP($CT247,Budget!$A:$A,Budget!BY:BY)</f>
        <v>0</v>
      </c>
      <c r="DR247" s="106">
        <f>+_xlfn.XLOOKUP($CT247,Budget!$A:$A,Budget!BZ:BZ)</f>
        <v>0</v>
      </c>
      <c r="DS247" s="106">
        <f>+_xlfn.XLOOKUP($CT247,Budget!$A:$A,Budget!CA:CA)</f>
        <v>0</v>
      </c>
      <c r="DT247" s="106">
        <f>+_xlfn.XLOOKUP($CT247,Budget!$A:$A,Budget!CB:CB)</f>
        <v>0</v>
      </c>
      <c r="DU247" s="106">
        <f t="shared" si="3000"/>
        <v>0</v>
      </c>
    </row>
    <row r="248" spans="1:125" ht="14.45" hidden="1" customHeight="1" outlineLevel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18">
        <f t="shared" si="2678"/>
        <v>0</v>
      </c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Q248" s="106">
        <v>0</v>
      </c>
      <c r="AR248" s="106">
        <v>0</v>
      </c>
      <c r="AS248" s="106">
        <v>0</v>
      </c>
      <c r="AT248" s="106">
        <v>0</v>
      </c>
      <c r="AU248" s="106">
        <v>0</v>
      </c>
      <c r="AV248" s="106">
        <v>0</v>
      </c>
      <c r="AW248" s="106">
        <v>0</v>
      </c>
      <c r="AX248" s="106">
        <v>0</v>
      </c>
      <c r="AY248" s="106">
        <v>0</v>
      </c>
      <c r="AZ248" s="106">
        <v>0</v>
      </c>
      <c r="BA248" s="106">
        <v>0</v>
      </c>
      <c r="BB248" s="106">
        <v>0</v>
      </c>
      <c r="BC248" s="106">
        <f t="shared" si="2995"/>
        <v>0</v>
      </c>
      <c r="BD248" s="16">
        <f t="shared" si="2339"/>
        <v>0</v>
      </c>
      <c r="BE248" s="106"/>
      <c r="BF248" s="106"/>
      <c r="BG248" s="106"/>
      <c r="BH248" s="106"/>
      <c r="BI248" s="106"/>
      <c r="BJ248" s="106"/>
      <c r="BK248" s="106"/>
      <c r="BL248" s="106"/>
      <c r="BM248" s="106"/>
      <c r="BN248" s="106"/>
      <c r="BO248" s="106"/>
      <c r="BP248" s="106"/>
      <c r="BQ248" s="106"/>
      <c r="BR248" s="118">
        <f t="shared" si="2679"/>
        <v>0</v>
      </c>
      <c r="BS248" s="106"/>
      <c r="BT248" s="106"/>
      <c r="BU248" s="106"/>
      <c r="BV248" s="106"/>
      <c r="BW248" s="106"/>
      <c r="BX248" s="106"/>
      <c r="BY248" s="106"/>
      <c r="BZ248" s="106"/>
      <c r="CA248" s="106"/>
      <c r="CB248" s="106"/>
      <c r="CC248" s="106"/>
      <c r="CD248" s="106"/>
      <c r="CE248" s="106"/>
      <c r="CF248" s="22"/>
      <c r="CG248" s="106"/>
      <c r="CH248" s="106"/>
      <c r="CI248" s="106"/>
      <c r="CJ248" s="106"/>
      <c r="CK248" s="106"/>
      <c r="CL248" s="106"/>
      <c r="CM248" s="106"/>
      <c r="CN248" s="106"/>
      <c r="CO248" s="106"/>
      <c r="CP248" s="106"/>
      <c r="CQ248" s="106"/>
      <c r="CR248" s="106"/>
      <c r="CS248" s="106">
        <f t="shared" si="2998"/>
        <v>0</v>
      </c>
      <c r="CT248" s="16">
        <f t="shared" si="2340"/>
        <v>0</v>
      </c>
      <c r="CU248" s="106"/>
      <c r="CV248" s="106"/>
      <c r="CW248" s="106"/>
      <c r="CX248" s="106"/>
      <c r="CY248" s="106"/>
      <c r="CZ248" s="106"/>
      <c r="DA248" s="106"/>
      <c r="DB248" s="106"/>
      <c r="DC248" s="106"/>
      <c r="DD248" s="106"/>
      <c r="DE248" s="106"/>
      <c r="DF248" s="106"/>
      <c r="DG248" s="106">
        <f t="shared" si="2999"/>
        <v>0</v>
      </c>
      <c r="DH248" s="118">
        <f t="shared" si="2680"/>
        <v>0</v>
      </c>
      <c r="DI248" s="106"/>
      <c r="DJ248" s="106"/>
      <c r="DK248" s="106"/>
      <c r="DL248" s="106"/>
      <c r="DM248" s="106"/>
      <c r="DN248" s="106"/>
      <c r="DO248" s="106"/>
      <c r="DP248" s="106"/>
      <c r="DQ248" s="106"/>
      <c r="DR248" s="106"/>
      <c r="DS248" s="106"/>
      <c r="DT248" s="106"/>
      <c r="DU248" s="106">
        <f t="shared" si="3000"/>
        <v>0</v>
      </c>
    </row>
    <row r="249" spans="1:125" ht="14.45" customHeight="1" collapsed="1">
      <c r="A249" s="28">
        <f>+A233-A236-A241</f>
        <v>-5176140.6918306965</v>
      </c>
      <c r="B249" s="28">
        <f t="shared" ref="B249:L249" si="3001">+B233-B236-B241</f>
        <v>971008.8573832931</v>
      </c>
      <c r="C249" s="28">
        <f t="shared" si="3001"/>
        <v>6525404.3941694098</v>
      </c>
      <c r="D249" s="28">
        <f t="shared" si="3001"/>
        <v>-5287691.9526251415</v>
      </c>
      <c r="E249" s="28">
        <f t="shared" si="3001"/>
        <v>-1843012.9309133945</v>
      </c>
      <c r="F249" s="28">
        <f t="shared" si="3001"/>
        <v>-5733811.6627154034</v>
      </c>
      <c r="G249" s="28">
        <f t="shared" si="3001"/>
        <v>-3651926.67889028</v>
      </c>
      <c r="H249" s="28">
        <f t="shared" si="3001"/>
        <v>-2326777.243586936</v>
      </c>
      <c r="I249" s="28">
        <f t="shared" si="3001"/>
        <v>-1259786.662270376</v>
      </c>
      <c r="J249" s="28">
        <f t="shared" si="3001"/>
        <v>-4298260.3712228322</v>
      </c>
      <c r="K249" s="28">
        <f t="shared" si="3001"/>
        <v>-1503051.3279996966</v>
      </c>
      <c r="L249" s="28">
        <f t="shared" si="3001"/>
        <v>1176044.0376403043</v>
      </c>
      <c r="M249" s="28">
        <f>+M233-M236-M241</f>
        <v>-221843.05868952535</v>
      </c>
      <c r="N249" s="14" t="s">
        <v>201</v>
      </c>
      <c r="O249" s="58">
        <f>+O233-O236-O241</f>
        <v>-1983554.9116633078</v>
      </c>
      <c r="P249" s="58">
        <f t="shared" ref="P249:Z249" si="3002">+P233-P236-P241</f>
        <v>-7087587.7686433913</v>
      </c>
      <c r="Q249" s="58">
        <f t="shared" si="3002"/>
        <v>2388599.5563566564</v>
      </c>
      <c r="R249" s="58">
        <f t="shared" si="3002"/>
        <v>-637044.3386401902</v>
      </c>
      <c r="S249" s="58">
        <f t="shared" si="3002"/>
        <v>-3266043.0358595727</v>
      </c>
      <c r="T249" s="58">
        <f t="shared" si="3002"/>
        <v>-3258368.0626143659</v>
      </c>
      <c r="U249" s="58">
        <f t="shared" si="3002"/>
        <v>2561769.5281987498</v>
      </c>
      <c r="V249" s="58">
        <f t="shared" si="3002"/>
        <v>-4933141.8340273788</v>
      </c>
      <c r="W249" s="58">
        <f t="shared" si="3002"/>
        <v>3165696.9135233173</v>
      </c>
      <c r="X249" s="58">
        <f t="shared" si="3002"/>
        <v>325849.21405720664</v>
      </c>
      <c r="Y249" s="58">
        <f t="shared" si="3002"/>
        <v>0</v>
      </c>
      <c r="Z249" s="58">
        <f t="shared" si="3002"/>
        <v>0</v>
      </c>
      <c r="AA249" s="58">
        <f>+AA233-AA236-AA241</f>
        <v>-12723824.739312278</v>
      </c>
      <c r="AB249" s="118">
        <f t="shared" si="2678"/>
        <v>-1.0811748771341512</v>
      </c>
      <c r="AC249" s="28">
        <f>+AC233-AC236-AC241</f>
        <v>-2209809.647157832</v>
      </c>
      <c r="AD249" s="28">
        <f t="shared" ref="AD249:AN249" si="3003">+AD233-AD236-AD241</f>
        <v>-3406993.2256015036</v>
      </c>
      <c r="AE249" s="28">
        <f t="shared" si="3003"/>
        <v>5122339.6623306563</v>
      </c>
      <c r="AF249" s="28">
        <f t="shared" si="3003"/>
        <v>-4439357.7615404921</v>
      </c>
      <c r="AG249" s="28">
        <f t="shared" si="3003"/>
        <v>-2879266.5068577593</v>
      </c>
      <c r="AH249" s="28">
        <f t="shared" si="3003"/>
        <v>-2983834.0033149989</v>
      </c>
      <c r="AI249" s="28">
        <f t="shared" si="3003"/>
        <v>-3628080.5322848037</v>
      </c>
      <c r="AJ249" s="28">
        <f t="shared" si="3003"/>
        <v>-1234971.7318936568</v>
      </c>
      <c r="AK249" s="28">
        <f t="shared" si="3003"/>
        <v>-265020.24501234782</v>
      </c>
      <c r="AL249" s="28">
        <f t="shared" si="3003"/>
        <v>-4014163.3170408476</v>
      </c>
      <c r="AM249" s="28">
        <f t="shared" si="3003"/>
        <v>-4407684.0641035698</v>
      </c>
      <c r="AN249" s="28">
        <f t="shared" si="3003"/>
        <v>4619984.6878709458</v>
      </c>
      <c r="AO249" s="28">
        <f>+AO233-AO236-AO241</f>
        <v>-1911960.6644517481</v>
      </c>
      <c r="AQ249" s="58">
        <f t="shared" ref="AQ249:AR249" si="3004">+AQ233+AQ236+AQ241</f>
        <v>-1469645.8121178772</v>
      </c>
      <c r="AR249" s="58">
        <f t="shared" si="3004"/>
        <v>2829319.2447067569</v>
      </c>
      <c r="AS249" s="28">
        <f t="shared" ref="AS249:BC249" si="3005">+AS233-AS236-AS241</f>
        <v>2195800.8288938738</v>
      </c>
      <c r="AT249" s="28">
        <f t="shared" si="3005"/>
        <v>-2760850.3159200116</v>
      </c>
      <c r="AU249" s="28">
        <f t="shared" si="3005"/>
        <v>-1917158.723824932</v>
      </c>
      <c r="AV249" s="28">
        <f t="shared" si="3005"/>
        <v>-2195041.7598269414</v>
      </c>
      <c r="AW249" s="28">
        <f t="shared" si="3005"/>
        <v>-3108636.4769052179</v>
      </c>
      <c r="AX249" s="28">
        <f t="shared" si="3005"/>
        <v>-2300303.6890492518</v>
      </c>
      <c r="AY249" s="28">
        <f t="shared" si="3005"/>
        <v>-452662.93007481727</v>
      </c>
      <c r="AZ249" s="28">
        <f t="shared" si="3005"/>
        <v>-1646858.9636180371</v>
      </c>
      <c r="BA249" s="28">
        <f t="shared" si="3005"/>
        <v>-2389874.7385979001</v>
      </c>
      <c r="BB249" s="28">
        <f t="shared" si="3005"/>
        <v>1297972.1703378563</v>
      </c>
      <c r="BC249" s="28">
        <f t="shared" si="3005"/>
        <v>-4355127.0619565118</v>
      </c>
      <c r="BD249" s="14" t="str">
        <f t="shared" si="2339"/>
        <v>PBT</v>
      </c>
      <c r="BE249" s="58">
        <f t="shared" ref="BE249:BP249" si="3006">+BE233-BE236-BE241</f>
        <v>-2134799.5115674138</v>
      </c>
      <c r="BF249" s="58">
        <f t="shared" si="3006"/>
        <v>-4791543.3114265408</v>
      </c>
      <c r="BG249" s="58">
        <f t="shared" si="3006"/>
        <v>-1885525.3210798264</v>
      </c>
      <c r="BH249" s="58">
        <f t="shared" si="3006"/>
        <v>-1553653.1329006008</v>
      </c>
      <c r="BI249" s="58">
        <f t="shared" si="3006"/>
        <v>-4800956.4084677231</v>
      </c>
      <c r="BJ249" s="58">
        <f t="shared" si="3006"/>
        <v>-1732697.8047425174</v>
      </c>
      <c r="BK249" s="58">
        <f t="shared" si="3006"/>
        <v>-170664.79034902342</v>
      </c>
      <c r="BL249" s="58">
        <f t="shared" si="3006"/>
        <v>-4949909.0469855312</v>
      </c>
      <c r="BM249" s="58">
        <f t="shared" si="3006"/>
        <v>1657269.8462884971</v>
      </c>
      <c r="BN249" s="58">
        <f t="shared" si="3006"/>
        <v>1541678.1686297008</v>
      </c>
      <c r="BO249" s="58">
        <f t="shared" si="3006"/>
        <v>0</v>
      </c>
      <c r="BP249" s="58">
        <f t="shared" si="3006"/>
        <v>0</v>
      </c>
      <c r="BQ249" s="58">
        <f t="shared" ref="BQ249" si="3007">+BQ233-BQ236-BQ241</f>
        <v>-18820801.312600985</v>
      </c>
      <c r="BR249" s="118">
        <f t="shared" si="2679"/>
        <v>-1.4659681980461381</v>
      </c>
      <c r="BS249" s="58">
        <f>+BS233-BS236-BS241</f>
        <v>-2641640.1615702482</v>
      </c>
      <c r="BT249" s="58">
        <f t="shared" ref="BT249:CD249" si="3008">+BT233-BT236-BT241</f>
        <v>-3129123.9471869785</v>
      </c>
      <c r="BU249" s="58">
        <f t="shared" si="3008"/>
        <v>2838777.0532301883</v>
      </c>
      <c r="BV249" s="58">
        <f t="shared" si="3008"/>
        <v>-3676131.6931846766</v>
      </c>
      <c r="BW249" s="58">
        <f t="shared" si="3008"/>
        <v>-2749687.4089998067</v>
      </c>
      <c r="BX249" s="58">
        <f t="shared" si="3008"/>
        <v>-2623103.1635478274</v>
      </c>
      <c r="BY249" s="58">
        <f t="shared" si="3008"/>
        <v>-2643524.5468999292</v>
      </c>
      <c r="BZ249" s="58">
        <f t="shared" si="3008"/>
        <v>-1141701.8437518459</v>
      </c>
      <c r="CA249" s="58">
        <f t="shared" si="3008"/>
        <v>-1486833.3285270501</v>
      </c>
      <c r="CB249" s="58">
        <f t="shared" si="3008"/>
        <v>-3308548.0406048018</v>
      </c>
      <c r="CC249" s="58">
        <f t="shared" si="3008"/>
        <v>-3494525.7629377851</v>
      </c>
      <c r="CD249" s="58">
        <f t="shared" si="3008"/>
        <v>1134969.4733778676</v>
      </c>
      <c r="CE249" s="58">
        <f>+CE233-CE236-CE241</f>
        <v>-22921073.370602898</v>
      </c>
      <c r="CF249" s="22"/>
      <c r="CG249" s="58">
        <f t="shared" ref="CG249:CR249" si="3009">+CG233-CG236-CG241</f>
        <v>-2398014.0893128193</v>
      </c>
      <c r="CH249" s="58">
        <f t="shared" si="3009"/>
        <v>-584865.6421234617</v>
      </c>
      <c r="CI249" s="58">
        <f t="shared" si="3009"/>
        <v>4329603.5652755387</v>
      </c>
      <c r="CJ249" s="58">
        <f t="shared" si="3009"/>
        <v>-2526841.6367051285</v>
      </c>
      <c r="CK249" s="58">
        <f t="shared" si="3009"/>
        <v>74145.792911538389</v>
      </c>
      <c r="CL249" s="58">
        <f t="shared" si="3009"/>
        <v>-3538769.9028884615</v>
      </c>
      <c r="CM249" s="58">
        <f t="shared" si="3009"/>
        <v>-543290.20198506245</v>
      </c>
      <c r="CN249" s="58">
        <f t="shared" si="3009"/>
        <v>-26473.554537681048</v>
      </c>
      <c r="CO249" s="58">
        <f t="shared" si="3009"/>
        <v>-807123.7321955571</v>
      </c>
      <c r="CP249" s="58">
        <f t="shared" si="3009"/>
        <v>-2651401.4076047945</v>
      </c>
      <c r="CQ249" s="58">
        <f t="shared" si="3009"/>
        <v>886823.41059820564</v>
      </c>
      <c r="CR249" s="58">
        <f t="shared" si="3009"/>
        <v>-121928.13269755302</v>
      </c>
      <c r="CS249" s="58">
        <f>+CS233-CS236-CS241</f>
        <v>-7908135.5312652253</v>
      </c>
      <c r="CT249" s="14" t="str">
        <f t="shared" si="2340"/>
        <v>PBT</v>
      </c>
      <c r="CU249" s="58">
        <f t="shared" ref="CU249:DF249" si="3010">+CU233-CU236-CU241</f>
        <v>151244.59990410571</v>
      </c>
      <c r="CV249" s="58">
        <f t="shared" si="3010"/>
        <v>-2296044.4572168496</v>
      </c>
      <c r="CW249" s="58">
        <f t="shared" si="3010"/>
        <v>4274124.8774364833</v>
      </c>
      <c r="CX249" s="58">
        <f t="shared" si="3010"/>
        <v>916608.79426040989</v>
      </c>
      <c r="CY249" s="58">
        <f t="shared" si="3010"/>
        <v>1534913.3726081504</v>
      </c>
      <c r="CZ249" s="58">
        <f t="shared" si="3010"/>
        <v>-1525670.2578718497</v>
      </c>
      <c r="DA249" s="58">
        <f t="shared" si="3010"/>
        <v>2732434.3185477699</v>
      </c>
      <c r="DB249" s="58">
        <f t="shared" si="3010"/>
        <v>16767.21295815031</v>
      </c>
      <c r="DC249" s="58">
        <f t="shared" si="3010"/>
        <v>1508427.0672348177</v>
      </c>
      <c r="DD249" s="58">
        <f t="shared" si="3010"/>
        <v>-1215828.9545724941</v>
      </c>
      <c r="DE249" s="58">
        <f t="shared" si="3010"/>
        <v>0</v>
      </c>
      <c r="DF249" s="58">
        <f t="shared" si="3010"/>
        <v>0</v>
      </c>
      <c r="DG249" s="58">
        <f>+DG233-DG236-DG241</f>
        <v>6096976.5732887015</v>
      </c>
      <c r="DH249" s="118">
        <f t="shared" si="2680"/>
        <v>0.72307629266965534</v>
      </c>
      <c r="DI249" s="58">
        <f t="shared" ref="DI249:DT249" si="3011">+DI233-DI236-DI241</f>
        <v>431830.51441241702</v>
      </c>
      <c r="DJ249" s="58">
        <f t="shared" si="3011"/>
        <v>-277869.27841452474</v>
      </c>
      <c r="DK249" s="58">
        <f t="shared" si="3011"/>
        <v>2283562.6091004685</v>
      </c>
      <c r="DL249" s="58">
        <f t="shared" si="3011"/>
        <v>-763226.06835581537</v>
      </c>
      <c r="DM249" s="58">
        <f t="shared" si="3011"/>
        <v>-129579.09785795282</v>
      </c>
      <c r="DN249" s="58">
        <f t="shared" si="3011"/>
        <v>-360730.83976717049</v>
      </c>
      <c r="DO249" s="58">
        <f t="shared" si="3011"/>
        <v>-984555.98538487451</v>
      </c>
      <c r="DP249" s="58">
        <f t="shared" si="3011"/>
        <v>-93269.888141811884</v>
      </c>
      <c r="DQ249" s="58">
        <f t="shared" si="3011"/>
        <v>1221813.0835147039</v>
      </c>
      <c r="DR249" s="58">
        <f t="shared" si="3011"/>
        <v>-705615.27643604483</v>
      </c>
      <c r="DS249" s="58">
        <f t="shared" si="3011"/>
        <v>-913158.30116578448</v>
      </c>
      <c r="DT249" s="58">
        <f t="shared" si="3011"/>
        <v>3485015.2144930772</v>
      </c>
      <c r="DU249" s="58">
        <f>+DU233-DU236-DU241</f>
        <v>3194216.685996687</v>
      </c>
    </row>
    <row r="250" spans="1:125" ht="14.45" customHeight="1">
      <c r="A250" s="108">
        <f t="shared" ref="A250:M250" si="3012">IFERROR(A249/A70,0)</f>
        <v>-6.3264537271118235E-2</v>
      </c>
      <c r="B250" s="108">
        <f t="shared" si="3012"/>
        <v>4.7968054646402693E-3</v>
      </c>
      <c r="C250" s="108">
        <f t="shared" si="3012"/>
        <v>2.2254280908913557E-2</v>
      </c>
      <c r="D250" s="108">
        <f t="shared" si="3012"/>
        <v>-4.9356178439962622E-2</v>
      </c>
      <c r="E250" s="108">
        <f t="shared" si="3012"/>
        <v>-8.6906930469177919E-3</v>
      </c>
      <c r="F250" s="108">
        <f t="shared" si="3012"/>
        <v>-3.7842926986722522E-2</v>
      </c>
      <c r="G250" s="108">
        <f t="shared" si="3012"/>
        <v>-2.3892883184034878E-2</v>
      </c>
      <c r="H250" s="108">
        <f t="shared" si="3012"/>
        <v>-1.3661450414245093E-2</v>
      </c>
      <c r="I250" s="108">
        <f t="shared" si="3012"/>
        <v>-8.6966234527435342E-3</v>
      </c>
      <c r="J250" s="108">
        <f t="shared" si="3012"/>
        <v>-2.3444356219781033E-2</v>
      </c>
      <c r="K250" s="108">
        <f t="shared" si="3012"/>
        <v>-8.4721899179419236E-3</v>
      </c>
      <c r="L250" s="108">
        <f t="shared" si="3012"/>
        <v>5.4316625909119429E-3</v>
      </c>
      <c r="M250" s="108">
        <f t="shared" si="3012"/>
        <v>-1.0596906658659728E-4</v>
      </c>
      <c r="N250" s="15" t="s">
        <v>58</v>
      </c>
      <c r="O250" s="108">
        <f t="shared" ref="O250:AA250" si="3013">IFERROR(O249/O70,0)</f>
        <v>-1.0944970188170073E-2</v>
      </c>
      <c r="P250" s="108">
        <f t="shared" si="3013"/>
        <v>-6.4891579674395947E-2</v>
      </c>
      <c r="Q250" s="108">
        <f t="shared" si="3013"/>
        <v>9.8622136644757972E-3</v>
      </c>
      <c r="R250" s="108">
        <f t="shared" si="3013"/>
        <v>-4.6449592270565105E-3</v>
      </c>
      <c r="S250" s="108">
        <f t="shared" si="3013"/>
        <v>-2.5430743294701873E-2</v>
      </c>
      <c r="T250" s="108">
        <f t="shared" si="3013"/>
        <v>-1.9824674028447106E-2</v>
      </c>
      <c r="U250" s="108">
        <f t="shared" si="3013"/>
        <v>1.2047795779087286E-2</v>
      </c>
      <c r="V250" s="108">
        <f t="shared" si="3013"/>
        <v>-3.1364570763636246E-2</v>
      </c>
      <c r="W250" s="108">
        <f t="shared" si="3013"/>
        <v>1.2325388152100686E-2</v>
      </c>
      <c r="X250" s="108">
        <f t="shared" si="3013"/>
        <v>1.4253093154788128E-3</v>
      </c>
      <c r="Y250" s="108">
        <f t="shared" si="3013"/>
        <v>0</v>
      </c>
      <c r="Z250" s="108">
        <f t="shared" si="3013"/>
        <v>0</v>
      </c>
      <c r="AA250" s="108">
        <f t="shared" si="3013"/>
        <v>-6.9989483719021806E-3</v>
      </c>
      <c r="AB250" s="118">
        <f t="shared" si="2678"/>
        <v>-1.0537124921872629</v>
      </c>
      <c r="AC250" s="108">
        <f t="shared" ref="AC250:AO250" si="3014">IFERROR(AC249/AC70,0)</f>
        <v>-1.4800003629899149E-2</v>
      </c>
      <c r="AD250" s="108">
        <f t="shared" si="3014"/>
        <v>-2.15376216803028E-2</v>
      </c>
      <c r="AE250" s="108">
        <f t="shared" si="3014"/>
        <v>2.5141345636151027E-2</v>
      </c>
      <c r="AF250" s="108">
        <f t="shared" si="3014"/>
        <v>-3.2978656189612029E-2</v>
      </c>
      <c r="AG250" s="108">
        <f t="shared" si="3014"/>
        <v>-1.6463570387365217E-2</v>
      </c>
      <c r="AH250" s="108">
        <f t="shared" si="3014"/>
        <v>-2.280953765360641E-2</v>
      </c>
      <c r="AI250" s="108">
        <f t="shared" si="3014"/>
        <v>-2.3823480191354791E-2</v>
      </c>
      <c r="AJ250" s="108">
        <f t="shared" si="3014"/>
        <v>-7.1844810367823744E-3</v>
      </c>
      <c r="AK250" s="108">
        <f t="shared" si="3014"/>
        <v>-1.3885831038314123E-3</v>
      </c>
      <c r="AL250" s="108">
        <f t="shared" si="3014"/>
        <v>-2.6535899889165881E-2</v>
      </c>
      <c r="AM250" s="108">
        <f t="shared" si="3014"/>
        <v>-3.3716976634866759E-2</v>
      </c>
      <c r="AN250" s="108">
        <f t="shared" si="3014"/>
        <v>2.3149866794695082E-2</v>
      </c>
      <c r="AO250" s="108">
        <f t="shared" si="3014"/>
        <v>-9.8141621740545316E-4</v>
      </c>
      <c r="AQ250" s="108">
        <f t="shared" ref="AQ250:BC250" si="3015">IFERROR(AQ249/AQ70,0)</f>
        <v>-2.6027601106758325E-2</v>
      </c>
      <c r="AR250" s="108">
        <f t="shared" si="3015"/>
        <v>1.9473673914674555E-2</v>
      </c>
      <c r="AS250" s="108">
        <f t="shared" si="3015"/>
        <v>1.4551155391409784E-2</v>
      </c>
      <c r="AT250" s="108">
        <f t="shared" si="3015"/>
        <v>-3.8638366130776411E-2</v>
      </c>
      <c r="AU250" s="108">
        <f t="shared" si="3015"/>
        <v>-1.9109397369171364E-2</v>
      </c>
      <c r="AV250" s="108">
        <f t="shared" si="3015"/>
        <v>-1.7294013408328958E-2</v>
      </c>
      <c r="AW250" s="108">
        <f t="shared" si="3015"/>
        <v>-4.4562598872152706E-2</v>
      </c>
      <c r="AX250" s="108">
        <f t="shared" si="3015"/>
        <v>-2.5023531934740634E-2</v>
      </c>
      <c r="AY250" s="108">
        <f t="shared" si="3015"/>
        <v>-4.0708811008698352E-3</v>
      </c>
      <c r="AZ250" s="108">
        <f t="shared" si="3015"/>
        <v>-1.1788065956897895E-2</v>
      </c>
      <c r="BA250" s="108">
        <f t="shared" si="3015"/>
        <v>-2.8837926597478594E-2</v>
      </c>
      <c r="BB250" s="108">
        <f t="shared" si="3015"/>
        <v>8.8088763508553502E-3</v>
      </c>
      <c r="BC250" s="108">
        <f t="shared" si="3015"/>
        <v>-3.3651977670662628E-3</v>
      </c>
      <c r="BD250" s="15" t="str">
        <f t="shared" si="2339"/>
        <v>% to Sales</v>
      </c>
      <c r="BE250" s="108">
        <f t="shared" ref="BE250:BQ250" si="3016">IFERROR(BE249/BE70,0)</f>
        <v>-1.9920843352713553E-2</v>
      </c>
      <c r="BF250" s="108">
        <f t="shared" si="3016"/>
        <v>-5.7531509388298131E-2</v>
      </c>
      <c r="BG250" s="108">
        <f t="shared" si="3016"/>
        <v>-1.7849318560600447E-2</v>
      </c>
      <c r="BH250" s="108">
        <f t="shared" si="3016"/>
        <v>-2.1331636056898761E-2</v>
      </c>
      <c r="BI250" s="108">
        <f t="shared" si="3016"/>
        <v>-0.11845662238921992</v>
      </c>
      <c r="BJ250" s="108">
        <f t="shared" si="3016"/>
        <v>-1.4479364170020319E-2</v>
      </c>
      <c r="BK250" s="108">
        <f t="shared" si="3016"/>
        <v>-1.5466801047126901E-3</v>
      </c>
      <c r="BL250" s="108">
        <f t="shared" si="3016"/>
        <v>-8.1588863999006667E-2</v>
      </c>
      <c r="BM250" s="108">
        <f t="shared" si="3016"/>
        <v>9.4591726209756026E-3</v>
      </c>
      <c r="BN250" s="108">
        <f t="shared" si="3016"/>
        <v>9.5273618278776014E-3</v>
      </c>
      <c r="BO250" s="108">
        <f t="shared" si="3016"/>
        <v>0</v>
      </c>
      <c r="BP250" s="108">
        <f t="shared" si="3016"/>
        <v>0</v>
      </c>
      <c r="BQ250" s="108">
        <f t="shared" si="3016"/>
        <v>-1.8146750443114631E-2</v>
      </c>
      <c r="BR250" s="118">
        <f t="shared" si="2679"/>
        <v>-1.2437419683303756</v>
      </c>
      <c r="BS250" s="108">
        <f t="shared" ref="BS250:CE250" si="3017">IFERROR(BS249/BS70,0)</f>
        <v>-3.4173414551781495E-2</v>
      </c>
      <c r="BT250" s="108">
        <f t="shared" si="3017"/>
        <v>-3.7618046831557873E-2</v>
      </c>
      <c r="BU250" s="108">
        <f t="shared" si="3017"/>
        <v>2.11923283300346E-2</v>
      </c>
      <c r="BV250" s="108">
        <f t="shared" si="3017"/>
        <v>-5.2925458851927405E-2</v>
      </c>
      <c r="BW250" s="108">
        <f t="shared" si="3017"/>
        <v>-2.8648202711743741E-2</v>
      </c>
      <c r="BX250" s="108">
        <f t="shared" si="3017"/>
        <v>-3.5250771248854951E-2</v>
      </c>
      <c r="BY250" s="108">
        <f t="shared" si="3017"/>
        <v>-2.7088296718951403E-2</v>
      </c>
      <c r="BZ250" s="108">
        <f t="shared" si="3017"/>
        <v>-1.046416783543729E-2</v>
      </c>
      <c r="CA250" s="108">
        <f t="shared" si="3017"/>
        <v>-1.5022081544530537E-2</v>
      </c>
      <c r="CB250" s="108">
        <f t="shared" si="3017"/>
        <v>-3.9087900590693128E-2</v>
      </c>
      <c r="CC250" s="108">
        <f t="shared" si="3017"/>
        <v>-4.8868549188051037E-2</v>
      </c>
      <c r="CD250" s="108">
        <f t="shared" si="3017"/>
        <v>1.070852835757774E-2</v>
      </c>
      <c r="CE250" s="108">
        <f t="shared" si="3017"/>
        <v>-2.0797645269123134E-2</v>
      </c>
      <c r="CF250" s="32"/>
      <c r="CG250" s="108">
        <f t="shared" ref="CG250:CS250" si="3018">IFERROR(CG249/CG70,0)</f>
        <v>-9.4586833100669065E-2</v>
      </c>
      <c r="CH250" s="108">
        <f t="shared" si="3018"/>
        <v>-1.0235877236789342E-2</v>
      </c>
      <c r="CI250" s="108">
        <f t="shared" si="3018"/>
        <v>3.0422032836663566E-2</v>
      </c>
      <c r="CJ250" s="108">
        <f t="shared" si="3018"/>
        <v>-7.0820078288312341E-2</v>
      </c>
      <c r="CK250" s="108">
        <f t="shared" si="3018"/>
        <v>6.6354460317956604E-4</v>
      </c>
      <c r="CL250" s="108">
        <f t="shared" si="3018"/>
        <v>-0.14390435813416025</v>
      </c>
      <c r="CM250" s="108">
        <f t="shared" si="3018"/>
        <v>-6.538817089961832E-3</v>
      </c>
      <c r="CN250" s="108">
        <f t="shared" si="3018"/>
        <v>-3.3771002270354246E-4</v>
      </c>
      <c r="CO250" s="108">
        <f t="shared" si="3018"/>
        <v>-2.3975896268799934E-2</v>
      </c>
      <c r="CP250" s="108">
        <f t="shared" si="3018"/>
        <v>-6.0765689902581091E-2</v>
      </c>
      <c r="CQ250" s="108">
        <f t="shared" si="3018"/>
        <v>9.3806635077786533E-3</v>
      </c>
      <c r="CR250" s="108">
        <f t="shared" si="3018"/>
        <v>-1.7627775407893077E-3</v>
      </c>
      <c r="CS250" s="108">
        <f t="shared" si="3018"/>
        <v>-9.8937866671453528E-3</v>
      </c>
      <c r="CT250" s="46" t="str">
        <f t="shared" si="2340"/>
        <v>% to Sales</v>
      </c>
      <c r="CU250" s="108">
        <f t="shared" ref="CU250:DG250" si="3019">IFERROR(CU249/CU70,0)</f>
        <v>2.0420329271826957E-3</v>
      </c>
      <c r="CV250" s="108">
        <f t="shared" si="3019"/>
        <v>-8.8525792505475626E-2</v>
      </c>
      <c r="CW250" s="108">
        <f t="shared" si="3019"/>
        <v>3.1298192317758357E-2</v>
      </c>
      <c r="CX250" s="108">
        <f t="shared" si="3019"/>
        <v>1.4252050378349895E-2</v>
      </c>
      <c r="CY250" s="108">
        <f t="shared" si="3019"/>
        <v>1.7462102335204364E-2</v>
      </c>
      <c r="CZ250" s="108">
        <f t="shared" si="3019"/>
        <v>-3.413703817688319E-2</v>
      </c>
      <c r="DA250" s="108">
        <f t="shared" si="3019"/>
        <v>2.6712305121134428E-2</v>
      </c>
      <c r="DB250" s="108">
        <f t="shared" si="3019"/>
        <v>1.7354674821902719E-4</v>
      </c>
      <c r="DC250" s="108">
        <f t="shared" si="3019"/>
        <v>1.8476302293632983E-2</v>
      </c>
      <c r="DD250" s="108">
        <f t="shared" si="3019"/>
        <v>-1.8200858110598451E-2</v>
      </c>
      <c r="DE250" s="108">
        <f t="shared" si="3019"/>
        <v>0</v>
      </c>
      <c r="DF250" s="108">
        <f t="shared" si="3019"/>
        <v>0</v>
      </c>
      <c r="DG250" s="108">
        <f t="shared" si="3019"/>
        <v>7.8084485090570629E-3</v>
      </c>
      <c r="DH250" s="118">
        <f t="shared" si="2680"/>
        <v>0.71865258762087059</v>
      </c>
      <c r="DI250" s="108">
        <f t="shared" ref="DI250:DU250" si="3020">IFERROR(DI249/DI70,0)</f>
        <v>5.9967802070942594E-3</v>
      </c>
      <c r="DJ250" s="108">
        <f t="shared" si="3020"/>
        <v>-3.7046006926493296E-3</v>
      </c>
      <c r="DK250" s="108">
        <f t="shared" si="3020"/>
        <v>3.2721133829411775E-2</v>
      </c>
      <c r="DL250" s="108">
        <f t="shared" si="3020"/>
        <v>-1.1714115149753871E-2</v>
      </c>
      <c r="DM250" s="108">
        <f t="shared" si="3020"/>
        <v>-1.6421962282219655E-3</v>
      </c>
      <c r="DN250" s="108">
        <f t="shared" si="3020"/>
        <v>-6.3956483884842598E-3</v>
      </c>
      <c r="DO250" s="108">
        <f t="shared" si="3020"/>
        <v>-1.7998886338260404E-2</v>
      </c>
      <c r="DP250" s="108">
        <f t="shared" si="3020"/>
        <v>-1.485461022420785E-3</v>
      </c>
      <c r="DQ250" s="108">
        <f t="shared" si="3020"/>
        <v>1.3297910803810962E-2</v>
      </c>
      <c r="DR250" s="108">
        <f t="shared" si="3020"/>
        <v>-1.0590190386175652E-2</v>
      </c>
      <c r="DS250" s="108">
        <f t="shared" si="3020"/>
        <v>-1.5420472459969699E-2</v>
      </c>
      <c r="DT250" s="108">
        <f t="shared" si="3020"/>
        <v>3.7240594407402627E-2</v>
      </c>
      <c r="DU250" s="108">
        <f t="shared" si="3020"/>
        <v>3.775377583959186E-3</v>
      </c>
    </row>
    <row r="251" spans="1:125" ht="14.45" customHeight="1">
      <c r="AB251" s="118"/>
      <c r="BR251" s="118"/>
      <c r="DH251" s="118"/>
    </row>
    <row r="252" spans="1:125" ht="14.45" customHeight="1">
      <c r="AB252" s="118"/>
      <c r="BE252" s="109">
        <f>+BE71-BE27</f>
        <v>6644809.1715837847</v>
      </c>
      <c r="BF252" s="109">
        <f t="shared" ref="BF252:BM252" si="3021">+BF71-BF27</f>
        <v>4547802.8560000006</v>
      </c>
      <c r="BG252" s="109">
        <f t="shared" si="3021"/>
        <v>7481190.3590699993</v>
      </c>
      <c r="BH252" s="109">
        <f t="shared" si="3021"/>
        <v>5560057.1329999994</v>
      </c>
      <c r="BI252" s="109">
        <f t="shared" si="3021"/>
        <v>3052600.94</v>
      </c>
      <c r="BJ252" s="109">
        <f t="shared" si="3021"/>
        <v>7474582.6720000003</v>
      </c>
      <c r="BK252" s="109">
        <f t="shared" si="3021"/>
        <v>7560467.7110000001</v>
      </c>
      <c r="BL252" s="109">
        <f t="shared" si="3021"/>
        <v>2960073.7080000001</v>
      </c>
      <c r="BM252" s="109">
        <f t="shared" si="3021"/>
        <v>10489127.103348</v>
      </c>
      <c r="BN252" s="109">
        <f>+BN71-BN27</f>
        <v>9942471.6672999989</v>
      </c>
      <c r="BR252" s="118"/>
      <c r="CS252" s="109"/>
      <c r="CT252" t="s">
        <v>276</v>
      </c>
      <c r="DC252" s="32">
        <f>+DC249/DQ249</f>
        <v>1.2345808762299644</v>
      </c>
      <c r="DH252" s="118"/>
    </row>
    <row r="253" spans="1:125" ht="14.45" customHeight="1">
      <c r="AB253" s="118"/>
      <c r="BR253" s="118"/>
      <c r="CR253" s="109"/>
      <c r="CS253" s="109"/>
      <c r="CU253" s="109"/>
      <c r="CV253" s="109"/>
      <c r="CW253" s="109"/>
      <c r="CX253" s="109"/>
      <c r="CY253" s="109"/>
      <c r="CZ253" s="109"/>
      <c r="DA253" s="109"/>
      <c r="DB253" s="109"/>
      <c r="DC253" s="109"/>
      <c r="DH253" s="118"/>
    </row>
    <row r="254" spans="1:125" ht="14.45" customHeight="1">
      <c r="AB254" s="118"/>
      <c r="BR254" s="118"/>
      <c r="DH254" s="118"/>
    </row>
    <row r="255" spans="1:125" ht="14.45" customHeight="1">
      <c r="AB255" s="118"/>
      <c r="BR255" s="118"/>
      <c r="DH255" s="118"/>
    </row>
    <row r="256" spans="1:125" ht="14.45" customHeight="1">
      <c r="AB256" s="118"/>
      <c r="BR256" s="118"/>
      <c r="DH256" s="118"/>
    </row>
    <row r="257" spans="28:112" ht="14.45" customHeight="1">
      <c r="AB257" s="118"/>
      <c r="BR257" s="118"/>
      <c r="DH257" s="118"/>
    </row>
    <row r="258" spans="28:112" ht="14.45" customHeight="1">
      <c r="AB258" s="118"/>
      <c r="BR258" s="118"/>
      <c r="DH258" s="118"/>
    </row>
    <row r="259" spans="28:112" ht="14.45" customHeight="1">
      <c r="AB259" s="118"/>
      <c r="BR259" s="118"/>
      <c r="DH259" s="118"/>
    </row>
    <row r="260" spans="28:112" ht="14.45" customHeight="1">
      <c r="AB260" s="118"/>
      <c r="BR260" s="118"/>
      <c r="DH260" s="118"/>
    </row>
    <row r="261" spans="28:112" ht="14.45" customHeight="1">
      <c r="AB261" s="118"/>
      <c r="BR261" s="118"/>
      <c r="DH261" s="118"/>
    </row>
    <row r="262" spans="28:112">
      <c r="AB262" s="118"/>
      <c r="BR262" s="118"/>
      <c r="DH262" s="118"/>
    </row>
    <row r="263" spans="28:112">
      <c r="AB263" s="118"/>
      <c r="BR263" s="118"/>
      <c r="DH263" s="118"/>
    </row>
    <row r="264" spans="28:112">
      <c r="AB264" s="118"/>
      <c r="BR264" s="118"/>
      <c r="DH264" s="118"/>
    </row>
    <row r="265" spans="28:112">
      <c r="AB265" s="118"/>
      <c r="BR265" s="118"/>
      <c r="DH265" s="118"/>
    </row>
    <row r="266" spans="28:112">
      <c r="AB266" s="118"/>
      <c r="BR266" s="118"/>
      <c r="DH266" s="118"/>
    </row>
    <row r="267" spans="28:112" ht="14.45" customHeight="1">
      <c r="AB267" s="118"/>
      <c r="BR267" s="118"/>
      <c r="DH267" s="118"/>
    </row>
    <row r="268" spans="28:112" ht="14.45" customHeight="1">
      <c r="AB268" s="118"/>
      <c r="BR268" s="118"/>
      <c r="DH268" s="118"/>
    </row>
    <row r="269" spans="28:112" ht="14.45" customHeight="1">
      <c r="AB269" s="118"/>
      <c r="BR269" s="118"/>
      <c r="DH269" s="118"/>
    </row>
    <row r="270" spans="28:112" ht="14.45" customHeight="1">
      <c r="AB270" s="118"/>
      <c r="BR270" s="118"/>
      <c r="DH270" s="118"/>
    </row>
    <row r="271" spans="28:112" ht="14.45" customHeight="1">
      <c r="AB271" s="118"/>
      <c r="BR271" s="118"/>
      <c r="DH271" s="118"/>
    </row>
    <row r="272" spans="28:112">
      <c r="AB272" s="118"/>
      <c r="BR272" s="118"/>
      <c r="DH272" s="118"/>
    </row>
    <row r="273" spans="28:112">
      <c r="AB273" s="118"/>
      <c r="BR273" s="118"/>
      <c r="DH273" s="118"/>
    </row>
    <row r="274" spans="28:112">
      <c r="AB274" s="118"/>
      <c r="BR274" s="118"/>
      <c r="DH274" s="118"/>
    </row>
    <row r="275" spans="28:112">
      <c r="AB275" s="118"/>
      <c r="BR275" s="118"/>
      <c r="DH275" s="118"/>
    </row>
  </sheetData>
  <conditionalFormatting sqref="AB29:AB275">
    <cfRule type="cellIs" dxfId="11" priority="1" operator="greaterThan">
      <formula>0</formula>
    </cfRule>
  </conditionalFormatting>
  <conditionalFormatting sqref="BR29:BR275">
    <cfRule type="cellIs" dxfId="10" priority="2" operator="greaterThan">
      <formula>0</formula>
    </cfRule>
  </conditionalFormatting>
  <conditionalFormatting sqref="DH29:DH275">
    <cfRule type="cellIs" dxfId="9" priority="3" operator="greaterThan">
      <formula>0</formula>
    </cfRule>
  </conditionalFormatting>
  <pageMargins left="0.7" right="0.7" top="0.75" bottom="0.75" header="0.3" footer="0.3"/>
  <ignoredErrors>
    <ignoredError sqref="A8:N8 A13:N13 M9:N9 M10:N12 A17:N17 M14:N16 A22:N22 M18:N18 M19:N21 A27:N29 M23:N23 M24:N26 A38:N38 M31:N37 A43:N43 M39:N42 A47:N49 M44:N46 A54:N54 M50:N53 A57:N60 M55:N56 A71:N76 M61:N69 A87:N87 M77:N79 A90:N90 M88:M89 A103:N104 M92:N102 A114:N116 M105:N112 A129:N129 M117:N127 A133:N133 M130:N132 A138:N138 M134:N137 A146:N146 M139:N140 A150:N150 M147:N149 A155:N157 M151:N151 A163:N164 M158:N162 A172:N172 M165:N171 A178:N178 M173:N174 A182:N182 M179:N181 A187:N187 M183:N186 A193:N193 M188:N192 A205:N205 M194:N195 A209:N209 M206:N207 A214:N214 M210:N213 A218:N219 M215:N217 A223:N223 M220:N220 A227:N227 M224:N226 A230:N236 M228:N229 A240:N241 M237:N239 A248:N248 M242:M247 O10:AA12 O8:AA8 AC8:AO8 O14:AA16 O13:AA13 AC13:AO13 O9:AA9 AC9:AO9 AC10:AO12 O19:AA21 O17:AA17 AC17:AO17 AC14:AO16 O24:AA26 O22:AA22 AC22:AO22 O18:AA18 AC18:AO18 AC19:AO21 O31:AA37 O27:AA29 AC27:AO29 O23:AA23 AC23:AO23 AC24:AO26 O39:AA42 O38:AA38 AC38:AO38 AC31:AO37 O44:AA46 O43:AA43 AC43:AO43 AC39:AO42 O50:AA53 O47:AA49 AC47:AO49 AC44:AO46 O55:AA56 O54:AA54 AC54:AO54 AC50:AO53 O61:AA69 O57:AA60 AC57:AO60 AC55:AO56 O77:AA86 O71:AA76 AC71:AO76 AC61:AO69 O88:AA89 O87:AA87 AC87:AO87 AC77:AO86 O91:AA102 O90:AA90 AC90:AO90 AC88:AO89 O105:AA113 O103:AA104 AC103:AO104 AC91:AO102 O117:AA128 O114:AA116 AC114:AO116 AC105:AO113 O130:AA132 O129:AA129 AC129:AO129 AC117:AO128 O134:AA137 O133:AA133 AC133:AO133 AC130:AO132 O139:AA145 O138:AA138 AC138:AO138 AC134:AO137 O147:AA149 O146:AA146 AC146:AO146 AC139:AO145 O151:AA154 O150:AA150 AC150:AO150 AC147:AO149 O158:AA162 O155:AA157 AC155:AO157 AC151:AO154 O165:AA171 O163:AA163 AC163:AO164 AC158:AO162 O173:AA177 O172:Z172 AC172:AO172 AC165:AO171 O179:AA181 O178:Z178 AC178:AO178 AC173:AO177 O183:AA186 O182:Z182 AC182:AO182 AC179:AO181 O188:AA192 O187:Z187 AC187:AO187 AC183:AO186 O194:AA204 O193:Z193 AC193:AO193 AC188:AO192 O206:AA208 O205:Z205 AC205:AO205 AC194:AO204 O210:AA213 O209:Z209 AC209:AO209 AC206:AO208 O215:AA217 O214:Z214 AC214:AO214 AC210:AO213 O220:AA222 O218:Z219 AC218:AO219 AC215:AO217 O224:AA226 O223:Z223 AC223:AO223 AC220:AO222 O228:AA229 O227:Z227 AC227:AO227 AC224:AO226 O237:AA239 O230:AA236 AC230:AO236 AC228:AO229 O242:AA247 O240:AA241 AC240:AO241 AC237:AO239 O248:AA248 AC248:AO248 AC242:AO247 M30:N30 M81:N86 M80 M91 M113 M128 M143:N145 M141:M142 M153:N154 M152 M177 M175:M176 M197:N202 M196 M204:N204 M203 M208 M221:M222 N70 A250:N250 N249 O250:AA250 AC250:AO250 O164:Z16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1F78-C3F3-4E08-99DB-83043354C8A0}">
  <sheetPr>
    <tabColor rgb="FF92D050"/>
  </sheetPr>
  <dimension ref="A1:FK275"/>
  <sheetViews>
    <sheetView topLeftCell="EJ241" zoomScale="90" zoomScaleNormal="90" workbookViewId="0">
      <selection activeCell="FH249" sqref="EX249:FH249"/>
    </sheetView>
  </sheetViews>
  <sheetFormatPr defaultRowHeight="15" outlineLevelRow="2" outlineLevelCol="1"/>
  <cols>
    <col min="1" max="8" width="12" hidden="1" customWidth="1" outlineLevel="1"/>
    <col min="9" max="9" width="12" hidden="1" customWidth="1" outlineLevel="1" collapsed="1"/>
    <col min="10" max="10" width="12" bestFit="1" customWidth="1" collapsed="1"/>
    <col min="11" max="12" width="12" hidden="1" customWidth="1" outlineLevel="1"/>
    <col min="13" max="13" width="13.140625" bestFit="1" customWidth="1" collapsed="1"/>
    <col min="14" max="14" width="42.85546875" style="22" bestFit="1" customWidth="1"/>
    <col min="15" max="22" width="14.85546875" customWidth="1" outlineLevel="1"/>
    <col min="23" max="23" width="14.85546875" customWidth="1" outlineLevel="1" collapsed="1"/>
    <col min="24" max="24" width="12.28515625" customWidth="1"/>
    <col min="25" max="25" width="6.7109375" hidden="1" customWidth="1" outlineLevel="1"/>
    <col min="26" max="26" width="6.85546875" hidden="1" customWidth="1" outlineLevel="1"/>
    <col min="27" max="27" width="16" bestFit="1" customWidth="1" collapsed="1"/>
    <col min="28" max="28" width="7.42578125" bestFit="1" customWidth="1"/>
    <col min="29" max="36" width="14.85546875" hidden="1" customWidth="1" outlineLevel="1"/>
    <col min="37" max="37" width="14.85546875" hidden="1" customWidth="1" outlineLevel="1" collapsed="1"/>
    <col min="38" max="38" width="14.85546875" bestFit="1" customWidth="1" collapsed="1"/>
    <col min="39" max="40" width="14.85546875" hidden="1" customWidth="1" outlineLevel="1"/>
    <col min="41" max="41" width="16" bestFit="1" customWidth="1" collapsed="1"/>
    <col min="43" max="50" width="12" hidden="1" customWidth="1" outlineLevel="1"/>
    <col min="51" max="51" width="12" hidden="1" customWidth="1" outlineLevel="1" collapsed="1"/>
    <col min="52" max="52" width="12" bestFit="1" customWidth="1" collapsed="1"/>
    <col min="53" max="54" width="12" hidden="1" customWidth="1" outlineLevel="1"/>
    <col min="55" max="55" width="13.140625" bestFit="1" customWidth="1" collapsed="1"/>
    <col min="56" max="56" width="42.85546875" bestFit="1" customWidth="1"/>
    <col min="57" max="64" width="14.85546875" customWidth="1" outlineLevel="1"/>
    <col min="65" max="65" width="14.85546875" customWidth="1" outlineLevel="1" collapsed="1"/>
    <col min="66" max="66" width="14.85546875" bestFit="1" customWidth="1"/>
    <col min="67" max="67" width="6.7109375" hidden="1" customWidth="1" outlineLevel="1"/>
    <col min="68" max="68" width="6.85546875" hidden="1" customWidth="1" outlineLevel="1"/>
    <col min="69" max="69" width="16" bestFit="1" customWidth="1" collapsed="1"/>
    <col min="70" max="70" width="7.42578125" bestFit="1" customWidth="1"/>
    <col min="71" max="78" width="12" hidden="1" customWidth="1" outlineLevel="1"/>
    <col min="79" max="79" width="12" hidden="1" customWidth="1" outlineLevel="1" collapsed="1"/>
    <col min="80" max="80" width="12" bestFit="1" customWidth="1" collapsed="1"/>
    <col min="81" max="82" width="12" hidden="1" customWidth="1" outlineLevel="1"/>
    <col min="83" max="83" width="13.140625" bestFit="1" customWidth="1" collapsed="1"/>
    <col min="85" max="86" width="14.85546875" hidden="1" customWidth="1" outlineLevel="1"/>
    <col min="87" max="88" width="13.140625" hidden="1" customWidth="1" outlineLevel="1"/>
    <col min="89" max="91" width="14.85546875" hidden="1" customWidth="1" outlineLevel="1"/>
    <col min="92" max="92" width="13.140625" hidden="1" customWidth="1" outlineLevel="1"/>
    <col min="93" max="93" width="13.140625" hidden="1" customWidth="1" outlineLevel="1" collapsed="1"/>
    <col min="94" max="94" width="13.140625" bestFit="1" customWidth="1" collapsed="1"/>
    <col min="95" max="95" width="14.85546875" hidden="1" customWidth="1" outlineLevel="1"/>
    <col min="96" max="96" width="13.140625" hidden="1" customWidth="1" outlineLevel="1"/>
    <col min="97" max="97" width="13.140625" bestFit="1" customWidth="1" collapsed="1"/>
    <col min="98" max="98" width="42.85546875" bestFit="1" customWidth="1"/>
    <col min="99" max="102" width="13.140625" customWidth="1" outlineLevel="1"/>
    <col min="103" max="103" width="14.85546875" customWidth="1" outlineLevel="1"/>
    <col min="104" max="104" width="13.140625" customWidth="1" outlineLevel="1"/>
    <col min="105" max="105" width="14.85546875" customWidth="1" outlineLevel="1"/>
    <col min="106" max="107" width="13.140625" customWidth="1" outlineLevel="1"/>
    <col min="108" max="108" width="14.85546875" bestFit="1" customWidth="1"/>
    <col min="109" max="109" width="6.7109375" hidden="1" customWidth="1" outlineLevel="1"/>
    <col min="110" max="110" width="6.85546875" hidden="1" customWidth="1" outlineLevel="1"/>
    <col min="111" max="111" width="14.85546875" bestFit="1" customWidth="1" collapsed="1"/>
    <col min="112" max="112" width="7.42578125" bestFit="1" customWidth="1"/>
    <col min="113" max="120" width="14.85546875" hidden="1" customWidth="1" outlineLevel="1"/>
    <col min="121" max="121" width="14.85546875" hidden="1" customWidth="1" outlineLevel="1" collapsed="1"/>
    <col min="122" max="122" width="14.85546875" bestFit="1" customWidth="1" collapsed="1"/>
    <col min="123" max="124" width="14.85546875" hidden="1" customWidth="1" outlineLevel="1"/>
    <col min="125" max="125" width="13.140625" bestFit="1" customWidth="1" collapsed="1"/>
    <col min="127" max="127" width="12.140625" hidden="1" customWidth="1" outlineLevel="1"/>
    <col min="128" max="128" width="6.7109375" hidden="1" customWidth="1" outlineLevel="1"/>
    <col min="129" max="130" width="6.42578125" hidden="1" customWidth="1" outlineLevel="1"/>
    <col min="131" max="131" width="6.85546875" hidden="1" customWidth="1" outlineLevel="1"/>
    <col min="132" max="133" width="6.42578125" hidden="1" customWidth="1" outlineLevel="1"/>
    <col min="134" max="134" width="6.85546875" hidden="1" customWidth="1" outlineLevel="1"/>
    <col min="135" max="135" width="6.85546875" hidden="1" customWidth="1" outlineLevel="1" collapsed="1"/>
    <col min="136" max="136" width="6.42578125" bestFit="1" customWidth="1" collapsed="1"/>
    <col min="137" max="137" width="6.7109375" hidden="1" customWidth="1" outlineLevel="1"/>
    <col min="138" max="138" width="6.85546875" hidden="1" customWidth="1" outlineLevel="1"/>
    <col min="139" max="139" width="8.42578125" bestFit="1" customWidth="1" collapsed="1"/>
    <col min="140" max="140" width="42.85546875" bestFit="1" customWidth="1"/>
    <col min="141" max="141" width="13.85546875" hidden="1" customWidth="1" outlineLevel="1"/>
    <col min="142" max="144" width="13.140625" hidden="1" customWidth="1" outlineLevel="1"/>
    <col min="145" max="145" width="13.85546875" hidden="1" customWidth="1" outlineLevel="1"/>
    <col min="146" max="146" width="13.140625" hidden="1" customWidth="1" outlineLevel="1"/>
    <col min="147" max="148" width="13.85546875" hidden="1" customWidth="1" outlineLevel="1"/>
    <col min="149" max="149" width="13.140625" hidden="1" customWidth="1" outlineLevel="1" collapsed="1"/>
    <col min="150" max="150" width="13.140625" bestFit="1" customWidth="1" collapsed="1"/>
    <col min="151" max="151" width="6.7109375" hidden="1" customWidth="1" outlineLevel="1"/>
    <col min="152" max="152" width="6.85546875" hidden="1" customWidth="1" outlineLevel="1"/>
    <col min="153" max="153" width="14.85546875" bestFit="1" customWidth="1" collapsed="1"/>
    <col min="154" max="154" width="7.42578125" bestFit="1" customWidth="1"/>
    <col min="155" max="162" width="13.140625" hidden="1" customWidth="1" outlineLevel="1"/>
    <col min="163" max="163" width="13.140625" hidden="1" customWidth="1" outlineLevel="1" collapsed="1"/>
    <col min="164" max="164" width="13.28515625" bestFit="1" customWidth="1" collapsed="1"/>
    <col min="165" max="165" width="13.140625" hidden="1" customWidth="1" outlineLevel="1"/>
    <col min="166" max="166" width="14.85546875" hidden="1" customWidth="1" outlineLevel="1"/>
    <col min="167" max="167" width="14.85546875" bestFit="1" customWidth="1" collapsed="1"/>
  </cols>
  <sheetData>
    <row r="1" spans="1:167" ht="14.45" customHeight="1" thickBot="1">
      <c r="A1" s="23" t="s">
        <v>205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" t="s">
        <v>0</v>
      </c>
      <c r="O1" s="23" t="s">
        <v>205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C1" s="23" t="s">
        <v>205</v>
      </c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Q1" s="34" t="s">
        <v>209</v>
      </c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4" t="str">
        <f>N1</f>
        <v>BRIDGEWAY MOTORS - MIS REPORT</v>
      </c>
      <c r="BE1" s="34" t="s">
        <v>209</v>
      </c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S1" s="34" t="s">
        <v>209</v>
      </c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4" t="s">
        <v>209</v>
      </c>
      <c r="CF1" s="22"/>
      <c r="CG1" s="36" t="s">
        <v>210</v>
      </c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6" t="str">
        <f>BD1</f>
        <v>BRIDGEWAY MOTORS - MIS REPORT</v>
      </c>
      <c r="CU1" s="36" t="s">
        <v>210</v>
      </c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I1" s="36" t="s">
        <v>210</v>
      </c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6"/>
      <c r="DW1" s="36" t="s">
        <v>212</v>
      </c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6" t="str">
        <f>CT1</f>
        <v>BRIDGEWAY MOTORS - MIS REPORT</v>
      </c>
      <c r="EK1" s="36" t="s">
        <v>212</v>
      </c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Y1" s="36" t="s">
        <v>212</v>
      </c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6"/>
    </row>
    <row r="2" spans="1:167" ht="14.45" customHeight="1">
      <c r="A2" s="25">
        <v>45292</v>
      </c>
      <c r="B2" s="25">
        <v>45323</v>
      </c>
      <c r="C2" s="25">
        <v>45352</v>
      </c>
      <c r="D2" s="25">
        <v>45383</v>
      </c>
      <c r="E2" s="25">
        <v>45413</v>
      </c>
      <c r="F2" s="25">
        <v>45444</v>
      </c>
      <c r="G2" s="25">
        <v>45474</v>
      </c>
      <c r="H2" s="25">
        <v>45505</v>
      </c>
      <c r="I2" s="25">
        <v>45536</v>
      </c>
      <c r="J2" s="25">
        <v>45566</v>
      </c>
      <c r="K2" s="25">
        <v>45597</v>
      </c>
      <c r="L2" s="25">
        <v>45627</v>
      </c>
      <c r="M2" s="25" t="s">
        <v>245</v>
      </c>
      <c r="N2" s="2" t="s">
        <v>1</v>
      </c>
      <c r="O2" s="25">
        <v>45658</v>
      </c>
      <c r="P2" s="25">
        <v>45689</v>
      </c>
      <c r="Q2" s="25">
        <v>45717</v>
      </c>
      <c r="R2" s="25">
        <v>45748</v>
      </c>
      <c r="S2" s="25">
        <v>45778</v>
      </c>
      <c r="T2" s="25">
        <v>45809</v>
      </c>
      <c r="U2" s="25">
        <v>45839</v>
      </c>
      <c r="V2" s="25">
        <v>45870</v>
      </c>
      <c r="W2" s="25">
        <v>45901</v>
      </c>
      <c r="X2" s="25">
        <v>45931</v>
      </c>
      <c r="Y2" s="25">
        <v>45962</v>
      </c>
      <c r="Z2" s="25">
        <v>45992</v>
      </c>
      <c r="AA2" s="25" t="s">
        <v>207</v>
      </c>
      <c r="AC2" s="25">
        <v>45658</v>
      </c>
      <c r="AD2" s="25">
        <v>45689</v>
      </c>
      <c r="AE2" s="25">
        <v>45717</v>
      </c>
      <c r="AF2" s="25">
        <v>45748</v>
      </c>
      <c r="AG2" s="25">
        <v>45778</v>
      </c>
      <c r="AH2" s="25">
        <v>45809</v>
      </c>
      <c r="AI2" s="25">
        <v>45839</v>
      </c>
      <c r="AJ2" s="25">
        <v>45870</v>
      </c>
      <c r="AK2" s="25">
        <v>45901</v>
      </c>
      <c r="AL2" s="25">
        <v>45931</v>
      </c>
      <c r="AM2" s="25">
        <v>45962</v>
      </c>
      <c r="AN2" s="25">
        <v>45992</v>
      </c>
      <c r="AO2" s="25" t="s">
        <v>207</v>
      </c>
      <c r="AQ2" s="25">
        <v>45292</v>
      </c>
      <c r="AR2" s="25">
        <v>45323</v>
      </c>
      <c r="AS2" s="25">
        <v>45352</v>
      </c>
      <c r="AT2" s="25">
        <v>45383</v>
      </c>
      <c r="AU2" s="25">
        <v>45413</v>
      </c>
      <c r="AV2" s="25">
        <v>45444</v>
      </c>
      <c r="AW2" s="25">
        <v>45474</v>
      </c>
      <c r="AX2" s="25">
        <v>45505</v>
      </c>
      <c r="AY2" s="25">
        <v>45536</v>
      </c>
      <c r="AZ2" s="25">
        <v>45566</v>
      </c>
      <c r="BA2" s="25">
        <v>45597</v>
      </c>
      <c r="BB2" s="25">
        <v>45627</v>
      </c>
      <c r="BC2" s="25" t="s">
        <v>245</v>
      </c>
      <c r="BD2" s="2" t="s">
        <v>1</v>
      </c>
      <c r="BE2" s="25">
        <v>45658</v>
      </c>
      <c r="BF2" s="25">
        <v>45689</v>
      </c>
      <c r="BG2" s="25">
        <v>45717</v>
      </c>
      <c r="BH2" s="25">
        <v>45748</v>
      </c>
      <c r="BI2" s="25">
        <v>45778</v>
      </c>
      <c r="BJ2" s="25">
        <v>45809</v>
      </c>
      <c r="BK2" s="25">
        <v>45839</v>
      </c>
      <c r="BL2" s="25">
        <v>45870</v>
      </c>
      <c r="BM2" s="25">
        <v>45901</v>
      </c>
      <c r="BN2" s="25">
        <v>45931</v>
      </c>
      <c r="BO2" s="25">
        <v>45962</v>
      </c>
      <c r="BP2" s="25">
        <v>45992</v>
      </c>
      <c r="BQ2" s="25" t="s">
        <v>207</v>
      </c>
      <c r="BS2" s="25">
        <v>45658</v>
      </c>
      <c r="BT2" s="25">
        <v>45689</v>
      </c>
      <c r="BU2" s="25">
        <v>45717</v>
      </c>
      <c r="BV2" s="25">
        <v>45748</v>
      </c>
      <c r="BW2" s="25">
        <v>45778</v>
      </c>
      <c r="BX2" s="25">
        <v>45809</v>
      </c>
      <c r="BY2" s="25">
        <v>45839</v>
      </c>
      <c r="BZ2" s="25">
        <v>45870</v>
      </c>
      <c r="CA2" s="25">
        <v>45901</v>
      </c>
      <c r="CB2" s="25">
        <v>45931</v>
      </c>
      <c r="CC2" s="25">
        <v>45962</v>
      </c>
      <c r="CD2" s="25">
        <v>45992</v>
      </c>
      <c r="CE2" s="25" t="s">
        <v>207</v>
      </c>
      <c r="CF2" s="39"/>
      <c r="CG2" s="25">
        <v>45292</v>
      </c>
      <c r="CH2" s="25">
        <v>45323</v>
      </c>
      <c r="CI2" s="25">
        <v>45352</v>
      </c>
      <c r="CJ2" s="25">
        <v>45383</v>
      </c>
      <c r="CK2" s="25">
        <v>45413</v>
      </c>
      <c r="CL2" s="25">
        <v>45444</v>
      </c>
      <c r="CM2" s="25">
        <v>45474</v>
      </c>
      <c r="CN2" s="25">
        <v>45505</v>
      </c>
      <c r="CO2" s="25">
        <v>45536</v>
      </c>
      <c r="CP2" s="25">
        <v>45566</v>
      </c>
      <c r="CQ2" s="25">
        <v>45597</v>
      </c>
      <c r="CR2" s="25">
        <v>45627</v>
      </c>
      <c r="CS2" s="25" t="s">
        <v>245</v>
      </c>
      <c r="CT2" s="2" t="s">
        <v>1</v>
      </c>
      <c r="CU2" s="25">
        <v>45658</v>
      </c>
      <c r="CV2" s="25">
        <v>45689</v>
      </c>
      <c r="CW2" s="25">
        <v>45717</v>
      </c>
      <c r="CX2" s="25">
        <v>45748</v>
      </c>
      <c r="CY2" s="25">
        <v>45778</v>
      </c>
      <c r="CZ2" s="25">
        <v>45809</v>
      </c>
      <c r="DA2" s="25">
        <v>45839</v>
      </c>
      <c r="DB2" s="25">
        <v>45870</v>
      </c>
      <c r="DC2" s="25">
        <v>45901</v>
      </c>
      <c r="DD2" s="25">
        <v>45931</v>
      </c>
      <c r="DE2" s="25">
        <v>45962</v>
      </c>
      <c r="DF2" s="25">
        <v>45992</v>
      </c>
      <c r="DG2" s="25" t="s">
        <v>207</v>
      </c>
      <c r="DI2" s="25">
        <v>45658</v>
      </c>
      <c r="DJ2" s="25">
        <v>45689</v>
      </c>
      <c r="DK2" s="25">
        <v>45717</v>
      </c>
      <c r="DL2" s="25">
        <v>45748</v>
      </c>
      <c r="DM2" s="25">
        <v>45778</v>
      </c>
      <c r="DN2" s="25">
        <v>45809</v>
      </c>
      <c r="DO2" s="25">
        <v>45839</v>
      </c>
      <c r="DP2" s="25">
        <v>45870</v>
      </c>
      <c r="DQ2" s="25">
        <v>45901</v>
      </c>
      <c r="DR2" s="25">
        <v>45931</v>
      </c>
      <c r="DS2" s="25">
        <v>45962</v>
      </c>
      <c r="DT2" s="25">
        <v>45992</v>
      </c>
      <c r="DU2" s="25" t="s">
        <v>207</v>
      </c>
      <c r="DW2" s="25">
        <v>45292</v>
      </c>
      <c r="DX2" s="25">
        <v>45323</v>
      </c>
      <c r="DY2" s="25">
        <v>45352</v>
      </c>
      <c r="DZ2" s="25">
        <v>45383</v>
      </c>
      <c r="EA2" s="25">
        <v>45413</v>
      </c>
      <c r="EB2" s="25">
        <v>45444</v>
      </c>
      <c r="EC2" s="25">
        <v>45474</v>
      </c>
      <c r="ED2" s="25">
        <v>45505</v>
      </c>
      <c r="EE2" s="25">
        <v>45536</v>
      </c>
      <c r="EF2" s="25">
        <v>45566</v>
      </c>
      <c r="EG2" s="25">
        <v>45597</v>
      </c>
      <c r="EH2" s="25">
        <v>45627</v>
      </c>
      <c r="EI2" s="25" t="s">
        <v>245</v>
      </c>
      <c r="EJ2" s="2" t="s">
        <v>1</v>
      </c>
      <c r="EK2" s="25">
        <v>45658</v>
      </c>
      <c r="EL2" s="25">
        <v>45689</v>
      </c>
      <c r="EM2" s="25">
        <v>45717</v>
      </c>
      <c r="EN2" s="25">
        <v>45748</v>
      </c>
      <c r="EO2" s="25">
        <v>45778</v>
      </c>
      <c r="EP2" s="25">
        <v>45809</v>
      </c>
      <c r="EQ2" s="25">
        <v>45839</v>
      </c>
      <c r="ER2" s="25">
        <v>45870</v>
      </c>
      <c r="ES2" s="25">
        <v>45901</v>
      </c>
      <c r="ET2" s="25">
        <v>45931</v>
      </c>
      <c r="EU2" s="25">
        <v>45962</v>
      </c>
      <c r="EV2" s="25">
        <v>45992</v>
      </c>
      <c r="EW2" s="25" t="s">
        <v>207</v>
      </c>
      <c r="EY2" s="25">
        <v>45658</v>
      </c>
      <c r="EZ2" s="25">
        <v>45689</v>
      </c>
      <c r="FA2" s="25">
        <v>45717</v>
      </c>
      <c r="FB2" s="25">
        <v>45748</v>
      </c>
      <c r="FC2" s="25">
        <v>45778</v>
      </c>
      <c r="FD2" s="25">
        <v>45809</v>
      </c>
      <c r="FE2" s="25">
        <v>45839</v>
      </c>
      <c r="FF2" s="25">
        <v>45870</v>
      </c>
      <c r="FG2" s="25">
        <v>45901</v>
      </c>
      <c r="FH2" s="25">
        <v>45931</v>
      </c>
      <c r="FI2" s="25">
        <v>45962</v>
      </c>
      <c r="FJ2" s="25">
        <v>45992</v>
      </c>
      <c r="FK2" s="25" t="s">
        <v>207</v>
      </c>
    </row>
    <row r="3" spans="1:167" ht="14.45" customHeight="1">
      <c r="A3" s="26" t="s">
        <v>206</v>
      </c>
      <c r="B3" s="26" t="s">
        <v>206</v>
      </c>
      <c r="C3" s="26" t="s">
        <v>206</v>
      </c>
      <c r="D3" s="26" t="s">
        <v>206</v>
      </c>
      <c r="E3" s="26" t="s">
        <v>206</v>
      </c>
      <c r="F3" s="26" t="s">
        <v>206</v>
      </c>
      <c r="G3" s="26" t="s">
        <v>206</v>
      </c>
      <c r="H3" s="26" t="s">
        <v>206</v>
      </c>
      <c r="I3" s="26" t="s">
        <v>206</v>
      </c>
      <c r="J3" s="26" t="s">
        <v>206</v>
      </c>
      <c r="K3" s="26" t="s">
        <v>206</v>
      </c>
      <c r="L3" s="26" t="s">
        <v>206</v>
      </c>
      <c r="M3" s="26" t="s">
        <v>206</v>
      </c>
      <c r="N3" s="3" t="s">
        <v>2</v>
      </c>
      <c r="O3" s="26" t="s">
        <v>206</v>
      </c>
      <c r="P3" s="26" t="s">
        <v>206</v>
      </c>
      <c r="Q3" s="26" t="s">
        <v>206</v>
      </c>
      <c r="R3" s="26" t="s">
        <v>206</v>
      </c>
      <c r="S3" s="26" t="s">
        <v>206</v>
      </c>
      <c r="T3" s="26" t="s">
        <v>206</v>
      </c>
      <c r="U3" s="26" t="s">
        <v>206</v>
      </c>
      <c r="V3" s="26" t="s">
        <v>206</v>
      </c>
      <c r="W3" s="26" t="s">
        <v>206</v>
      </c>
      <c r="X3" s="26" t="s">
        <v>206</v>
      </c>
      <c r="Y3" s="26" t="s">
        <v>206</v>
      </c>
      <c r="Z3" s="26" t="s">
        <v>206</v>
      </c>
      <c r="AA3" s="26" t="s">
        <v>206</v>
      </c>
      <c r="AC3" s="26" t="s">
        <v>208</v>
      </c>
      <c r="AD3" s="26" t="s">
        <v>208</v>
      </c>
      <c r="AE3" s="26" t="s">
        <v>208</v>
      </c>
      <c r="AF3" s="26" t="s">
        <v>208</v>
      </c>
      <c r="AG3" s="26" t="s">
        <v>208</v>
      </c>
      <c r="AH3" s="26" t="s">
        <v>208</v>
      </c>
      <c r="AI3" s="26" t="s">
        <v>208</v>
      </c>
      <c r="AJ3" s="26" t="s">
        <v>208</v>
      </c>
      <c r="AK3" s="26" t="s">
        <v>208</v>
      </c>
      <c r="AL3" s="26" t="s">
        <v>208</v>
      </c>
      <c r="AM3" s="26" t="s">
        <v>208</v>
      </c>
      <c r="AN3" s="26" t="s">
        <v>208</v>
      </c>
      <c r="AO3" s="26" t="s">
        <v>208</v>
      </c>
      <c r="AQ3" s="26" t="s">
        <v>206</v>
      </c>
      <c r="AR3" s="26" t="s">
        <v>206</v>
      </c>
      <c r="AS3" s="26" t="s">
        <v>206</v>
      </c>
      <c r="AT3" s="26" t="s">
        <v>206</v>
      </c>
      <c r="AU3" s="26" t="s">
        <v>206</v>
      </c>
      <c r="AV3" s="26" t="s">
        <v>206</v>
      </c>
      <c r="AW3" s="26" t="s">
        <v>206</v>
      </c>
      <c r="AX3" s="26" t="s">
        <v>206</v>
      </c>
      <c r="AY3" s="26" t="s">
        <v>206</v>
      </c>
      <c r="AZ3" s="26" t="s">
        <v>206</v>
      </c>
      <c r="BA3" s="26" t="s">
        <v>206</v>
      </c>
      <c r="BB3" s="26" t="s">
        <v>206</v>
      </c>
      <c r="BC3" s="26" t="s">
        <v>206</v>
      </c>
      <c r="BD3" s="3" t="str">
        <f>N3</f>
        <v>Rs in Lakhs</v>
      </c>
      <c r="BE3" s="26" t="s">
        <v>206</v>
      </c>
      <c r="BF3" s="26" t="s">
        <v>206</v>
      </c>
      <c r="BG3" s="26" t="s">
        <v>206</v>
      </c>
      <c r="BH3" s="26" t="s">
        <v>206</v>
      </c>
      <c r="BI3" s="26" t="s">
        <v>206</v>
      </c>
      <c r="BJ3" s="26" t="s">
        <v>206</v>
      </c>
      <c r="BK3" s="26" t="s">
        <v>206</v>
      </c>
      <c r="BL3" s="26" t="s">
        <v>206</v>
      </c>
      <c r="BM3" s="26" t="s">
        <v>206</v>
      </c>
      <c r="BN3" s="26" t="s">
        <v>206</v>
      </c>
      <c r="BO3" s="26" t="s">
        <v>206</v>
      </c>
      <c r="BP3" s="26" t="s">
        <v>206</v>
      </c>
      <c r="BQ3" s="26" t="s">
        <v>206</v>
      </c>
      <c r="BS3" s="26" t="s">
        <v>208</v>
      </c>
      <c r="BT3" s="26" t="s">
        <v>208</v>
      </c>
      <c r="BU3" s="26" t="s">
        <v>208</v>
      </c>
      <c r="BV3" s="26" t="s">
        <v>208</v>
      </c>
      <c r="BW3" s="26" t="s">
        <v>208</v>
      </c>
      <c r="BX3" s="26" t="s">
        <v>208</v>
      </c>
      <c r="BY3" s="26" t="s">
        <v>208</v>
      </c>
      <c r="BZ3" s="26" t="s">
        <v>208</v>
      </c>
      <c r="CA3" s="26" t="s">
        <v>208</v>
      </c>
      <c r="CB3" s="26" t="s">
        <v>208</v>
      </c>
      <c r="CC3" s="26" t="s">
        <v>208</v>
      </c>
      <c r="CD3" s="26" t="s">
        <v>208</v>
      </c>
      <c r="CE3" s="26" t="s">
        <v>208</v>
      </c>
      <c r="CF3" s="41"/>
      <c r="CG3" s="42" t="s">
        <v>206</v>
      </c>
      <c r="CH3" s="26" t="s">
        <v>206</v>
      </c>
      <c r="CI3" s="26" t="s">
        <v>206</v>
      </c>
      <c r="CJ3" s="26" t="s">
        <v>206</v>
      </c>
      <c r="CK3" s="26" t="s">
        <v>206</v>
      </c>
      <c r="CL3" s="26" t="s">
        <v>206</v>
      </c>
      <c r="CM3" s="26" t="s">
        <v>206</v>
      </c>
      <c r="CN3" s="26" t="s">
        <v>206</v>
      </c>
      <c r="CO3" s="26" t="s">
        <v>206</v>
      </c>
      <c r="CP3" s="26" t="s">
        <v>206</v>
      </c>
      <c r="CQ3" s="26" t="s">
        <v>206</v>
      </c>
      <c r="CR3" s="26" t="s">
        <v>206</v>
      </c>
      <c r="CS3" s="26" t="s">
        <v>206</v>
      </c>
      <c r="CT3" s="3" t="str">
        <f>BD3</f>
        <v>Rs in Lakhs</v>
      </c>
      <c r="CU3" s="26" t="s">
        <v>206</v>
      </c>
      <c r="CV3" s="26" t="s">
        <v>206</v>
      </c>
      <c r="CW3" s="26" t="s">
        <v>206</v>
      </c>
      <c r="CX3" s="26" t="s">
        <v>206</v>
      </c>
      <c r="CY3" s="26" t="s">
        <v>206</v>
      </c>
      <c r="CZ3" s="26" t="s">
        <v>206</v>
      </c>
      <c r="DA3" s="26" t="s">
        <v>206</v>
      </c>
      <c r="DB3" s="26" t="s">
        <v>206</v>
      </c>
      <c r="DC3" s="26" t="s">
        <v>206</v>
      </c>
      <c r="DD3" s="26" t="s">
        <v>206</v>
      </c>
      <c r="DE3" s="26" t="s">
        <v>206</v>
      </c>
      <c r="DF3" s="26" t="s">
        <v>206</v>
      </c>
      <c r="DG3" s="26" t="s">
        <v>206</v>
      </c>
      <c r="DI3" s="26" t="s">
        <v>208</v>
      </c>
      <c r="DJ3" s="26" t="s">
        <v>208</v>
      </c>
      <c r="DK3" s="26" t="s">
        <v>208</v>
      </c>
      <c r="DL3" s="26" t="s">
        <v>208</v>
      </c>
      <c r="DM3" s="26" t="s">
        <v>208</v>
      </c>
      <c r="DN3" s="26" t="s">
        <v>208</v>
      </c>
      <c r="DO3" s="26" t="s">
        <v>208</v>
      </c>
      <c r="DP3" s="26" t="s">
        <v>208</v>
      </c>
      <c r="DQ3" s="26" t="s">
        <v>208</v>
      </c>
      <c r="DR3" s="26" t="s">
        <v>208</v>
      </c>
      <c r="DS3" s="26" t="s">
        <v>208</v>
      </c>
      <c r="DT3" s="26" t="s">
        <v>208</v>
      </c>
      <c r="DU3" s="26" t="s">
        <v>208</v>
      </c>
      <c r="DW3" s="42" t="s">
        <v>206</v>
      </c>
      <c r="DX3" s="26" t="s">
        <v>206</v>
      </c>
      <c r="DY3" s="26" t="s">
        <v>206</v>
      </c>
      <c r="DZ3" s="26" t="s">
        <v>206</v>
      </c>
      <c r="EA3" s="26" t="s">
        <v>206</v>
      </c>
      <c r="EB3" s="26" t="s">
        <v>206</v>
      </c>
      <c r="EC3" s="26" t="s">
        <v>206</v>
      </c>
      <c r="ED3" s="26" t="s">
        <v>206</v>
      </c>
      <c r="EE3" s="26" t="s">
        <v>206</v>
      </c>
      <c r="EF3" s="26" t="s">
        <v>206</v>
      </c>
      <c r="EG3" s="26" t="s">
        <v>206</v>
      </c>
      <c r="EH3" s="26" t="s">
        <v>206</v>
      </c>
      <c r="EI3" s="26" t="s">
        <v>206</v>
      </c>
      <c r="EJ3" s="3" t="str">
        <f>CT3</f>
        <v>Rs in Lakhs</v>
      </c>
      <c r="EK3" s="26" t="s">
        <v>206</v>
      </c>
      <c r="EL3" s="26" t="s">
        <v>206</v>
      </c>
      <c r="EM3" s="26" t="s">
        <v>206</v>
      </c>
      <c r="EN3" s="26" t="s">
        <v>206</v>
      </c>
      <c r="EO3" s="26" t="s">
        <v>206</v>
      </c>
      <c r="EP3" s="26" t="s">
        <v>206</v>
      </c>
      <c r="EQ3" s="26" t="s">
        <v>206</v>
      </c>
      <c r="ER3" s="26" t="s">
        <v>206</v>
      </c>
      <c r="ES3" s="26" t="s">
        <v>206</v>
      </c>
      <c r="ET3" s="26" t="s">
        <v>206</v>
      </c>
      <c r="EU3" s="26" t="s">
        <v>206</v>
      </c>
      <c r="EV3" s="26" t="s">
        <v>206</v>
      </c>
      <c r="EW3" s="26" t="s">
        <v>206</v>
      </c>
      <c r="EY3" s="26" t="s">
        <v>208</v>
      </c>
      <c r="EZ3" s="26" t="s">
        <v>208</v>
      </c>
      <c r="FA3" s="26" t="s">
        <v>208</v>
      </c>
      <c r="FB3" s="26" t="s">
        <v>208</v>
      </c>
      <c r="FC3" s="26" t="s">
        <v>208</v>
      </c>
      <c r="FD3" s="26" t="s">
        <v>208</v>
      </c>
      <c r="FE3" s="26" t="s">
        <v>208</v>
      </c>
      <c r="FF3" s="26" t="s">
        <v>208</v>
      </c>
      <c r="FG3" s="26" t="s">
        <v>208</v>
      </c>
      <c r="FH3" s="26" t="s">
        <v>208</v>
      </c>
      <c r="FI3" s="26" t="s">
        <v>208</v>
      </c>
      <c r="FJ3" s="26" t="s">
        <v>208</v>
      </c>
      <c r="FK3" s="26" t="s">
        <v>208</v>
      </c>
    </row>
    <row r="4" spans="1:167" ht="14.45" hidden="1" customHeight="1" outlineLevel="1">
      <c r="A4" s="105">
        <f>+AQ4+CG4+DW4</f>
        <v>0</v>
      </c>
      <c r="B4" s="105">
        <f t="shared" ref="B4:L4" si="0">+AR4+CH4+DX4</f>
        <v>0</v>
      </c>
      <c r="C4" s="105">
        <f t="shared" si="0"/>
        <v>0</v>
      </c>
      <c r="D4" s="105">
        <f t="shared" si="0"/>
        <v>0</v>
      </c>
      <c r="E4" s="105">
        <f t="shared" si="0"/>
        <v>0</v>
      </c>
      <c r="F4" s="105">
        <f t="shared" si="0"/>
        <v>0</v>
      </c>
      <c r="G4" s="105">
        <f t="shared" si="0"/>
        <v>0</v>
      </c>
      <c r="H4" s="105">
        <f t="shared" si="0"/>
        <v>0</v>
      </c>
      <c r="I4" s="105">
        <f t="shared" si="0"/>
        <v>0</v>
      </c>
      <c r="J4" s="105">
        <f t="shared" si="0"/>
        <v>0</v>
      </c>
      <c r="K4" s="105">
        <f t="shared" si="0"/>
        <v>0</v>
      </c>
      <c r="L4" s="105">
        <f t="shared" si="0"/>
        <v>0</v>
      </c>
      <c r="M4" s="105">
        <f>+SUM(A4:L4)</f>
        <v>0</v>
      </c>
      <c r="N4" s="4" t="s">
        <v>3</v>
      </c>
      <c r="O4" s="27">
        <f>+BE4+CU4+EK4</f>
        <v>0</v>
      </c>
      <c r="P4" s="27">
        <f t="shared" ref="P4:Z4" si="1">+BF4+CV4+EL4</f>
        <v>0</v>
      </c>
      <c r="Q4" s="27">
        <f t="shared" si="1"/>
        <v>0</v>
      </c>
      <c r="R4" s="27">
        <f t="shared" si="1"/>
        <v>0</v>
      </c>
      <c r="S4" s="27">
        <f t="shared" si="1"/>
        <v>0</v>
      </c>
      <c r="T4" s="27">
        <f t="shared" si="1"/>
        <v>0</v>
      </c>
      <c r="U4" s="27">
        <f t="shared" si="1"/>
        <v>0</v>
      </c>
      <c r="V4" s="27">
        <f t="shared" si="1"/>
        <v>0</v>
      </c>
      <c r="W4" s="27">
        <f t="shared" si="1"/>
        <v>0</v>
      </c>
      <c r="X4" s="27">
        <f t="shared" si="1"/>
        <v>0</v>
      </c>
      <c r="Y4" s="27">
        <f t="shared" si="1"/>
        <v>0</v>
      </c>
      <c r="Z4" s="27">
        <f t="shared" si="1"/>
        <v>0</v>
      </c>
      <c r="AA4" s="27">
        <f>+SUM(O4:Z4)</f>
        <v>0</v>
      </c>
      <c r="AC4" s="27">
        <f>+BS4+DI4+EY4</f>
        <v>0</v>
      </c>
      <c r="AD4" s="27">
        <f t="shared" ref="AD4:AN4" si="2">+BT4+DJ4+EZ4</f>
        <v>0</v>
      </c>
      <c r="AE4" s="27">
        <f t="shared" si="2"/>
        <v>0</v>
      </c>
      <c r="AF4" s="27">
        <f t="shared" si="2"/>
        <v>0</v>
      </c>
      <c r="AG4" s="27">
        <f t="shared" si="2"/>
        <v>0</v>
      </c>
      <c r="AH4" s="27">
        <f t="shared" si="2"/>
        <v>0</v>
      </c>
      <c r="AI4" s="27">
        <f t="shared" si="2"/>
        <v>0</v>
      </c>
      <c r="AJ4" s="27">
        <f t="shared" si="2"/>
        <v>0</v>
      </c>
      <c r="AK4" s="27">
        <f t="shared" si="2"/>
        <v>0</v>
      </c>
      <c r="AL4" s="27">
        <f t="shared" si="2"/>
        <v>0</v>
      </c>
      <c r="AM4" s="27">
        <f t="shared" si="2"/>
        <v>0</v>
      </c>
      <c r="AN4" s="27">
        <f t="shared" si="2"/>
        <v>0</v>
      </c>
      <c r="AO4" s="27">
        <f>+SUM(AC4:AN4)</f>
        <v>0</v>
      </c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>
        <f>+SUM(AQ4:BB4)</f>
        <v>0</v>
      </c>
      <c r="BD4" s="4" t="str">
        <f>N4</f>
        <v>No of Cars</v>
      </c>
      <c r="BE4" s="27">
        <f>+'Jan-25'!$D$4</f>
        <v>0</v>
      </c>
      <c r="BF4" s="27">
        <f>+'Feb-25'!$D$4</f>
        <v>0</v>
      </c>
      <c r="BG4" s="27">
        <f>+'Mar-25'!$D$4</f>
        <v>0</v>
      </c>
      <c r="BH4" s="27">
        <f>+'Apr-25'!$D$4</f>
        <v>0</v>
      </c>
      <c r="BI4" s="27">
        <f>+'May-25'!$D$4</f>
        <v>0</v>
      </c>
      <c r="BJ4" s="27">
        <f>+'June-25'!$D$4</f>
        <v>0</v>
      </c>
      <c r="BK4" s="27">
        <f>+'July-25'!$D$4</f>
        <v>0</v>
      </c>
      <c r="BL4" s="27">
        <f>+'Aug-25'!$D$4</f>
        <v>0</v>
      </c>
      <c r="BM4" s="27">
        <f>+'Sep-25'!$D$4</f>
        <v>0</v>
      </c>
      <c r="BN4" s="27">
        <f>+'Oct-25'!$D$4</f>
        <v>0</v>
      </c>
      <c r="BO4" s="27">
        <f>+'Nov-25'!$D$4</f>
        <v>0</v>
      </c>
      <c r="BP4" s="27">
        <f>+'Dec-25'!$D$4</f>
        <v>0</v>
      </c>
      <c r="BQ4" s="27">
        <f>+SUM(BE4:BP4)</f>
        <v>0</v>
      </c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>
        <f>+SUM(BS4:CD4)</f>
        <v>0</v>
      </c>
      <c r="CF4" s="22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105">
        <f>+SUM(CG4:CR4)</f>
        <v>0</v>
      </c>
      <c r="CT4" s="4" t="str">
        <f>BD4</f>
        <v>No of Cars</v>
      </c>
      <c r="CU4" s="27">
        <f>+'Jan-25'!$G$4</f>
        <v>0</v>
      </c>
      <c r="CV4" s="27">
        <f>+'Feb-25'!$G$4</f>
        <v>0</v>
      </c>
      <c r="CW4" s="27">
        <f>+'Mar-25'!$G$4</f>
        <v>0</v>
      </c>
      <c r="CX4" s="27">
        <f>+'Apr-25'!$G$4</f>
        <v>0</v>
      </c>
      <c r="CY4" s="27">
        <f>+'May-25'!$G$4</f>
        <v>0</v>
      </c>
      <c r="CZ4" s="27">
        <f>+'June-25'!$G$4</f>
        <v>0</v>
      </c>
      <c r="DA4" s="27">
        <f>+'July-25'!$G$4</f>
        <v>0</v>
      </c>
      <c r="DB4" s="27">
        <f>+'Aug-25'!$G$4</f>
        <v>0</v>
      </c>
      <c r="DC4" s="27">
        <f>+'Sep-25'!$G$4</f>
        <v>0</v>
      </c>
      <c r="DD4" s="27">
        <f>+'Oct-25'!$G$4</f>
        <v>0</v>
      </c>
      <c r="DE4" s="27">
        <f>+'Nov-25'!$G$4</f>
        <v>0</v>
      </c>
      <c r="DF4" s="27">
        <f>+'Dec-25'!$G$4</f>
        <v>0</v>
      </c>
      <c r="DG4" s="27">
        <f>+SUM(CU4:DF4)</f>
        <v>0</v>
      </c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105">
        <f>+SUM(DI4:DT4)</f>
        <v>0</v>
      </c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105">
        <f>+SUM(DW4:EH4)</f>
        <v>0</v>
      </c>
      <c r="EJ4" s="4" t="str">
        <f>CT4</f>
        <v>No of Cars</v>
      </c>
      <c r="EK4" s="27">
        <f>+'Jan-25'!$I$4</f>
        <v>0</v>
      </c>
      <c r="EL4" s="27">
        <f>+'Feb-25'!$I$4</f>
        <v>0</v>
      </c>
      <c r="EM4" s="27">
        <f>+'Mar-25'!$I$4</f>
        <v>0</v>
      </c>
      <c r="EN4" s="27">
        <f>+'Apr-25'!$I$4</f>
        <v>0</v>
      </c>
      <c r="EO4" s="27">
        <f>+'May-25'!$I$4</f>
        <v>0</v>
      </c>
      <c r="EP4" s="27">
        <f>+'June-25'!$I$4</f>
        <v>0</v>
      </c>
      <c r="EQ4" s="27">
        <f>+'July-25'!$I$4</f>
        <v>0</v>
      </c>
      <c r="ER4" s="27">
        <f>+'Aug-25'!$I$4</f>
        <v>0</v>
      </c>
      <c r="ES4" s="27">
        <f>+'Sep-25'!$I$4</f>
        <v>0</v>
      </c>
      <c r="ET4" s="27">
        <f>+'Oct-25'!$I$4</f>
        <v>0</v>
      </c>
      <c r="EU4" s="27">
        <f>+'Nov-25'!$I$4</f>
        <v>0</v>
      </c>
      <c r="EV4" s="27">
        <f>+'Dec-25'!$I$4</f>
        <v>0</v>
      </c>
      <c r="EW4" s="27">
        <f>+SUM(EK4:EV4)</f>
        <v>0</v>
      </c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105">
        <f>+SUM(EY4:FJ4)</f>
        <v>0</v>
      </c>
    </row>
    <row r="5" spans="1:167" ht="14.45" hidden="1" customHeight="1" outlineLevel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5" t="s">
        <v>4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5" t="str">
        <f>N5</f>
        <v>New Car Sales</v>
      </c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106"/>
      <c r="CT5" s="5" t="str">
        <f>BD5</f>
        <v>New Car Sales</v>
      </c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106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106"/>
      <c r="EJ5" s="5" t="str">
        <f>CT5</f>
        <v>New Car Sales</v>
      </c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106"/>
    </row>
    <row r="6" spans="1:167" ht="14.45" hidden="1" customHeight="1" outlineLevel="1">
      <c r="A6" s="58">
        <f>+A7+A8+A13</f>
        <v>0</v>
      </c>
      <c r="B6" s="58">
        <f t="shared" ref="B6:L6" si="3">+B7+B8+B13</f>
        <v>0</v>
      </c>
      <c r="C6" s="58">
        <f t="shared" si="3"/>
        <v>0</v>
      </c>
      <c r="D6" s="58">
        <f t="shared" si="3"/>
        <v>0</v>
      </c>
      <c r="E6" s="58">
        <f t="shared" si="3"/>
        <v>0</v>
      </c>
      <c r="F6" s="58">
        <f t="shared" si="3"/>
        <v>0</v>
      </c>
      <c r="G6" s="58">
        <f t="shared" si="3"/>
        <v>0</v>
      </c>
      <c r="H6" s="58">
        <f t="shared" si="3"/>
        <v>0</v>
      </c>
      <c r="I6" s="58">
        <f t="shared" si="3"/>
        <v>0</v>
      </c>
      <c r="J6" s="58">
        <f t="shared" si="3"/>
        <v>0</v>
      </c>
      <c r="K6" s="58">
        <f t="shared" si="3"/>
        <v>0</v>
      </c>
      <c r="L6" s="58">
        <f t="shared" si="3"/>
        <v>0</v>
      </c>
      <c r="M6" s="58">
        <f>+SUM(A6:L6)</f>
        <v>0</v>
      </c>
      <c r="N6" s="6" t="s">
        <v>5</v>
      </c>
      <c r="O6" s="28">
        <f>+O7+O8+O13</f>
        <v>0</v>
      </c>
      <c r="P6" s="28">
        <f t="shared" ref="P6:Z6" si="4">+P7+P8+P13</f>
        <v>0</v>
      </c>
      <c r="Q6" s="28">
        <f t="shared" si="4"/>
        <v>0</v>
      </c>
      <c r="R6" s="28">
        <f t="shared" si="4"/>
        <v>0</v>
      </c>
      <c r="S6" s="28">
        <f t="shared" si="4"/>
        <v>0</v>
      </c>
      <c r="T6" s="28">
        <f t="shared" si="4"/>
        <v>0</v>
      </c>
      <c r="U6" s="28">
        <f t="shared" si="4"/>
        <v>0</v>
      </c>
      <c r="V6" s="28">
        <f t="shared" si="4"/>
        <v>0</v>
      </c>
      <c r="W6" s="28">
        <f t="shared" si="4"/>
        <v>0</v>
      </c>
      <c r="X6" s="28">
        <f t="shared" si="4"/>
        <v>0</v>
      </c>
      <c r="Y6" s="28">
        <f t="shared" si="4"/>
        <v>0</v>
      </c>
      <c r="Z6" s="28">
        <f t="shared" si="4"/>
        <v>0</v>
      </c>
      <c r="AA6" s="28">
        <f>+SUM(O6:Z6)</f>
        <v>0</v>
      </c>
      <c r="AC6" s="28">
        <f>+AC7+AC8+AC13</f>
        <v>0</v>
      </c>
      <c r="AD6" s="28">
        <f t="shared" ref="AD6:AN6" si="5">+AD7+AD8+AD13</f>
        <v>0</v>
      </c>
      <c r="AE6" s="28">
        <f t="shared" si="5"/>
        <v>0</v>
      </c>
      <c r="AF6" s="28">
        <f t="shared" si="5"/>
        <v>0</v>
      </c>
      <c r="AG6" s="28">
        <f t="shared" si="5"/>
        <v>0</v>
      </c>
      <c r="AH6" s="28">
        <f t="shared" si="5"/>
        <v>0</v>
      </c>
      <c r="AI6" s="28">
        <f t="shared" si="5"/>
        <v>0</v>
      </c>
      <c r="AJ6" s="28">
        <f t="shared" si="5"/>
        <v>0</v>
      </c>
      <c r="AK6" s="28">
        <f t="shared" si="5"/>
        <v>0</v>
      </c>
      <c r="AL6" s="28">
        <f t="shared" si="5"/>
        <v>0</v>
      </c>
      <c r="AM6" s="28">
        <f t="shared" si="5"/>
        <v>0</v>
      </c>
      <c r="AN6" s="28">
        <f t="shared" si="5"/>
        <v>0</v>
      </c>
      <c r="AO6" s="28">
        <f>+SUM(AC6:AN6)</f>
        <v>0</v>
      </c>
      <c r="AQ6" s="58">
        <f t="shared" ref="AQ6:BB6" si="6">+AQ7+AQ8+AQ13</f>
        <v>0</v>
      </c>
      <c r="AR6" s="58">
        <f t="shared" si="6"/>
        <v>0</v>
      </c>
      <c r="AS6" s="58">
        <f t="shared" si="6"/>
        <v>0</v>
      </c>
      <c r="AT6" s="58">
        <f t="shared" si="6"/>
        <v>0</v>
      </c>
      <c r="AU6" s="58">
        <f t="shared" si="6"/>
        <v>0</v>
      </c>
      <c r="AV6" s="58">
        <f t="shared" si="6"/>
        <v>0</v>
      </c>
      <c r="AW6" s="58">
        <f t="shared" si="6"/>
        <v>0</v>
      </c>
      <c r="AX6" s="58">
        <f t="shared" si="6"/>
        <v>0</v>
      </c>
      <c r="AY6" s="58">
        <f t="shared" si="6"/>
        <v>0</v>
      </c>
      <c r="AZ6" s="58">
        <f t="shared" si="6"/>
        <v>0</v>
      </c>
      <c r="BA6" s="58">
        <f t="shared" si="6"/>
        <v>0</v>
      </c>
      <c r="BB6" s="58">
        <f t="shared" si="6"/>
        <v>0</v>
      </c>
      <c r="BC6" s="58">
        <f>+SUM(AQ6:BB6)</f>
        <v>0</v>
      </c>
      <c r="BD6" s="6" t="str">
        <f t="shared" ref="BD6:BD69" si="7">N6</f>
        <v>Total Commission</v>
      </c>
      <c r="BE6" s="28">
        <f t="shared" ref="BE6:BP6" si="8">+BE7+BE8+BE13</f>
        <v>0</v>
      </c>
      <c r="BF6" s="28">
        <f t="shared" si="8"/>
        <v>0</v>
      </c>
      <c r="BG6" s="28">
        <f t="shared" si="8"/>
        <v>0</v>
      </c>
      <c r="BH6" s="28">
        <f t="shared" si="8"/>
        <v>0</v>
      </c>
      <c r="BI6" s="28">
        <f t="shared" si="8"/>
        <v>0</v>
      </c>
      <c r="BJ6" s="28">
        <f t="shared" si="8"/>
        <v>0</v>
      </c>
      <c r="BK6" s="28">
        <f t="shared" si="8"/>
        <v>0</v>
      </c>
      <c r="BL6" s="28">
        <f t="shared" si="8"/>
        <v>0</v>
      </c>
      <c r="BM6" s="28">
        <f t="shared" si="8"/>
        <v>0</v>
      </c>
      <c r="BN6" s="28">
        <f t="shared" si="8"/>
        <v>0</v>
      </c>
      <c r="BO6" s="28">
        <f t="shared" si="8"/>
        <v>0</v>
      </c>
      <c r="BP6" s="28">
        <f t="shared" si="8"/>
        <v>0</v>
      </c>
      <c r="BQ6" s="28">
        <f>+SUM(BE6:BP6)</f>
        <v>0</v>
      </c>
      <c r="BS6" s="58">
        <f t="shared" ref="BS6:CD6" si="9">+BS7+BS8+BS13</f>
        <v>0</v>
      </c>
      <c r="BT6" s="58">
        <f t="shared" si="9"/>
        <v>0</v>
      </c>
      <c r="BU6" s="58">
        <f t="shared" si="9"/>
        <v>0</v>
      </c>
      <c r="BV6" s="58">
        <f t="shared" si="9"/>
        <v>0</v>
      </c>
      <c r="BW6" s="58">
        <f t="shared" si="9"/>
        <v>0</v>
      </c>
      <c r="BX6" s="58">
        <f t="shared" si="9"/>
        <v>0</v>
      </c>
      <c r="BY6" s="58">
        <f t="shared" si="9"/>
        <v>0</v>
      </c>
      <c r="BZ6" s="58">
        <f t="shared" si="9"/>
        <v>0</v>
      </c>
      <c r="CA6" s="58">
        <f t="shared" si="9"/>
        <v>0</v>
      </c>
      <c r="CB6" s="58">
        <f t="shared" si="9"/>
        <v>0</v>
      </c>
      <c r="CC6" s="58">
        <f t="shared" si="9"/>
        <v>0</v>
      </c>
      <c r="CD6" s="58">
        <f t="shared" si="9"/>
        <v>0</v>
      </c>
      <c r="CE6" s="58">
        <f>+SUM(BS6:CD6)</f>
        <v>0</v>
      </c>
      <c r="CF6" s="44"/>
      <c r="CG6" s="28">
        <f t="shared" ref="CG6:CR6" si="10">+CG7+CG8+CG13</f>
        <v>0</v>
      </c>
      <c r="CH6" s="28">
        <f t="shared" si="10"/>
        <v>0</v>
      </c>
      <c r="CI6" s="28">
        <f t="shared" si="10"/>
        <v>0</v>
      </c>
      <c r="CJ6" s="28">
        <f t="shared" si="10"/>
        <v>0</v>
      </c>
      <c r="CK6" s="28">
        <f t="shared" si="10"/>
        <v>0</v>
      </c>
      <c r="CL6" s="28">
        <f t="shared" si="10"/>
        <v>0</v>
      </c>
      <c r="CM6" s="28">
        <f t="shared" si="10"/>
        <v>0</v>
      </c>
      <c r="CN6" s="28">
        <f t="shared" si="10"/>
        <v>0</v>
      </c>
      <c r="CO6" s="28">
        <f t="shared" si="10"/>
        <v>0</v>
      </c>
      <c r="CP6" s="28">
        <f t="shared" si="10"/>
        <v>0</v>
      </c>
      <c r="CQ6" s="28">
        <f t="shared" si="10"/>
        <v>0</v>
      </c>
      <c r="CR6" s="28">
        <f t="shared" si="10"/>
        <v>0</v>
      </c>
      <c r="CS6" s="58">
        <f>+SUM(CG6:CR6)</f>
        <v>0</v>
      </c>
      <c r="CT6" s="6" t="str">
        <f t="shared" ref="CT6:CT69" si="11">BD6</f>
        <v>Total Commission</v>
      </c>
      <c r="CU6" s="28">
        <f t="shared" ref="CU6:DF6" si="12">+CU7+CU8+CU13</f>
        <v>0</v>
      </c>
      <c r="CV6" s="28">
        <f t="shared" si="12"/>
        <v>0</v>
      </c>
      <c r="CW6" s="28">
        <f t="shared" si="12"/>
        <v>0</v>
      </c>
      <c r="CX6" s="28">
        <f t="shared" si="12"/>
        <v>0</v>
      </c>
      <c r="CY6" s="28">
        <f t="shared" si="12"/>
        <v>0</v>
      </c>
      <c r="CZ6" s="28">
        <f t="shared" si="12"/>
        <v>0</v>
      </c>
      <c r="DA6" s="28">
        <f t="shared" si="12"/>
        <v>0</v>
      </c>
      <c r="DB6" s="28">
        <f t="shared" si="12"/>
        <v>0</v>
      </c>
      <c r="DC6" s="28">
        <f t="shared" si="12"/>
        <v>0</v>
      </c>
      <c r="DD6" s="28">
        <f t="shared" si="12"/>
        <v>0</v>
      </c>
      <c r="DE6" s="28">
        <f t="shared" si="12"/>
        <v>0</v>
      </c>
      <c r="DF6" s="28">
        <f t="shared" si="12"/>
        <v>0</v>
      </c>
      <c r="DG6" s="28">
        <f>+SUM(CU6:DF6)</f>
        <v>0</v>
      </c>
      <c r="DI6" s="28">
        <f t="shared" ref="DI6:DT6" si="13">+DI7+DI8+DI13</f>
        <v>0</v>
      </c>
      <c r="DJ6" s="28">
        <f t="shared" si="13"/>
        <v>0</v>
      </c>
      <c r="DK6" s="28">
        <f t="shared" si="13"/>
        <v>0</v>
      </c>
      <c r="DL6" s="28">
        <f t="shared" si="13"/>
        <v>0</v>
      </c>
      <c r="DM6" s="28">
        <f t="shared" si="13"/>
        <v>0</v>
      </c>
      <c r="DN6" s="28">
        <f t="shared" si="13"/>
        <v>0</v>
      </c>
      <c r="DO6" s="28">
        <f t="shared" si="13"/>
        <v>0</v>
      </c>
      <c r="DP6" s="28">
        <f t="shared" si="13"/>
        <v>0</v>
      </c>
      <c r="DQ6" s="28">
        <f t="shared" si="13"/>
        <v>0</v>
      </c>
      <c r="DR6" s="28">
        <f t="shared" si="13"/>
        <v>0</v>
      </c>
      <c r="DS6" s="28">
        <f t="shared" si="13"/>
        <v>0</v>
      </c>
      <c r="DT6" s="28">
        <f t="shared" si="13"/>
        <v>0</v>
      </c>
      <c r="DU6" s="58">
        <f>+SUM(DI6:DT6)</f>
        <v>0</v>
      </c>
      <c r="DW6" s="28">
        <f t="shared" ref="DW6:EH6" si="14">+DW7+DW8+DW13</f>
        <v>0</v>
      </c>
      <c r="DX6" s="28">
        <f t="shared" si="14"/>
        <v>0</v>
      </c>
      <c r="DY6" s="28">
        <f t="shared" si="14"/>
        <v>0</v>
      </c>
      <c r="DZ6" s="28">
        <f t="shared" si="14"/>
        <v>0</v>
      </c>
      <c r="EA6" s="28">
        <f t="shared" si="14"/>
        <v>0</v>
      </c>
      <c r="EB6" s="28">
        <f t="shared" si="14"/>
        <v>0</v>
      </c>
      <c r="EC6" s="28">
        <f t="shared" si="14"/>
        <v>0</v>
      </c>
      <c r="ED6" s="28">
        <f t="shared" si="14"/>
        <v>0</v>
      </c>
      <c r="EE6" s="28">
        <f t="shared" si="14"/>
        <v>0</v>
      </c>
      <c r="EF6" s="28">
        <f t="shared" si="14"/>
        <v>0</v>
      </c>
      <c r="EG6" s="28">
        <f t="shared" si="14"/>
        <v>0</v>
      </c>
      <c r="EH6" s="28">
        <f t="shared" si="14"/>
        <v>0</v>
      </c>
      <c r="EI6" s="58">
        <f>+SUM(DW6:EH6)</f>
        <v>0</v>
      </c>
      <c r="EJ6" s="6" t="str">
        <f t="shared" ref="EJ6:EJ8" si="15">CT6</f>
        <v>Total Commission</v>
      </c>
      <c r="EK6" s="28">
        <f t="shared" ref="EK6:EV6" si="16">+EK7+EK8+EK13</f>
        <v>0</v>
      </c>
      <c r="EL6" s="28">
        <f t="shared" si="16"/>
        <v>0</v>
      </c>
      <c r="EM6" s="28">
        <f t="shared" si="16"/>
        <v>0</v>
      </c>
      <c r="EN6" s="28">
        <f t="shared" si="16"/>
        <v>0</v>
      </c>
      <c r="EO6" s="28">
        <f t="shared" si="16"/>
        <v>0</v>
      </c>
      <c r="EP6" s="28">
        <f t="shared" si="16"/>
        <v>0</v>
      </c>
      <c r="EQ6" s="28">
        <f t="shared" si="16"/>
        <v>0</v>
      </c>
      <c r="ER6" s="28">
        <f t="shared" si="16"/>
        <v>0</v>
      </c>
      <c r="ES6" s="28">
        <f t="shared" si="16"/>
        <v>0</v>
      </c>
      <c r="ET6" s="28">
        <f t="shared" si="16"/>
        <v>0</v>
      </c>
      <c r="EU6" s="28">
        <f t="shared" si="16"/>
        <v>0</v>
      </c>
      <c r="EV6" s="28">
        <f t="shared" si="16"/>
        <v>0</v>
      </c>
      <c r="EW6" s="28">
        <f>+SUM(EK6:EV6)</f>
        <v>0</v>
      </c>
      <c r="EY6" s="28">
        <f t="shared" ref="EY6:FJ6" si="17">+EY7+EY8+EY13</f>
        <v>0</v>
      </c>
      <c r="EZ6" s="28">
        <f t="shared" si="17"/>
        <v>0</v>
      </c>
      <c r="FA6" s="28">
        <f t="shared" si="17"/>
        <v>0</v>
      </c>
      <c r="FB6" s="28">
        <f t="shared" si="17"/>
        <v>0</v>
      </c>
      <c r="FC6" s="28">
        <f t="shared" si="17"/>
        <v>0</v>
      </c>
      <c r="FD6" s="28">
        <f t="shared" si="17"/>
        <v>0</v>
      </c>
      <c r="FE6" s="28">
        <f t="shared" si="17"/>
        <v>0</v>
      </c>
      <c r="FF6" s="28">
        <f t="shared" si="17"/>
        <v>0</v>
      </c>
      <c r="FG6" s="28">
        <f t="shared" si="17"/>
        <v>0</v>
      </c>
      <c r="FH6" s="28">
        <f t="shared" si="17"/>
        <v>0</v>
      </c>
      <c r="FI6" s="28">
        <f t="shared" si="17"/>
        <v>0</v>
      </c>
      <c r="FJ6" s="28">
        <f t="shared" si="17"/>
        <v>0</v>
      </c>
      <c r="FK6" s="58">
        <f>+SUM(EY6:FJ6)</f>
        <v>0</v>
      </c>
    </row>
    <row r="7" spans="1:167" ht="14.45" hidden="1" customHeight="1" outlineLevel="1">
      <c r="A7" s="58">
        <f t="shared" ref="A7:L12" si="18">+AQ7+CG7+DW7</f>
        <v>0</v>
      </c>
      <c r="B7" s="58">
        <f t="shared" si="18"/>
        <v>0</v>
      </c>
      <c r="C7" s="58">
        <f t="shared" si="18"/>
        <v>0</v>
      </c>
      <c r="D7" s="58">
        <f t="shared" si="18"/>
        <v>0</v>
      </c>
      <c r="E7" s="58">
        <f t="shared" si="18"/>
        <v>0</v>
      </c>
      <c r="F7" s="58">
        <f t="shared" si="18"/>
        <v>0</v>
      </c>
      <c r="G7" s="58">
        <f t="shared" si="18"/>
        <v>0</v>
      </c>
      <c r="H7" s="58">
        <f t="shared" si="18"/>
        <v>0</v>
      </c>
      <c r="I7" s="58">
        <f t="shared" si="18"/>
        <v>0</v>
      </c>
      <c r="J7" s="58">
        <f t="shared" si="18"/>
        <v>0</v>
      </c>
      <c r="K7" s="58">
        <f t="shared" si="18"/>
        <v>0</v>
      </c>
      <c r="L7" s="58">
        <f t="shared" si="18"/>
        <v>0</v>
      </c>
      <c r="M7" s="58">
        <f t="shared" ref="M7:M8" si="19">+SUM(A7:L7)</f>
        <v>0</v>
      </c>
      <c r="N7" s="6" t="s">
        <v>6</v>
      </c>
      <c r="O7" s="28">
        <f t="shared" ref="O7:Z7" si="20">+BE7+CU7+EK7</f>
        <v>0</v>
      </c>
      <c r="P7" s="28">
        <f t="shared" si="20"/>
        <v>0</v>
      </c>
      <c r="Q7" s="28">
        <f t="shared" si="20"/>
        <v>0</v>
      </c>
      <c r="R7" s="28">
        <f t="shared" si="20"/>
        <v>0</v>
      </c>
      <c r="S7" s="28">
        <f t="shared" si="20"/>
        <v>0</v>
      </c>
      <c r="T7" s="28">
        <f t="shared" si="20"/>
        <v>0</v>
      </c>
      <c r="U7" s="28">
        <f t="shared" si="20"/>
        <v>0</v>
      </c>
      <c r="V7" s="28">
        <f t="shared" si="20"/>
        <v>0</v>
      </c>
      <c r="W7" s="28">
        <f t="shared" si="20"/>
        <v>0</v>
      </c>
      <c r="X7" s="28">
        <f t="shared" si="20"/>
        <v>0</v>
      </c>
      <c r="Y7" s="28">
        <f t="shared" si="20"/>
        <v>0</v>
      </c>
      <c r="Z7" s="28">
        <f t="shared" si="20"/>
        <v>0</v>
      </c>
      <c r="AA7" s="28">
        <f t="shared" ref="AA7:AA8" si="21">+SUM(O7:Z7)</f>
        <v>0</v>
      </c>
      <c r="AC7" s="28">
        <f t="shared" ref="AC7:AN7" si="22">+BS7+DI7+EY7</f>
        <v>0</v>
      </c>
      <c r="AD7" s="28">
        <f t="shared" si="22"/>
        <v>0</v>
      </c>
      <c r="AE7" s="28">
        <f t="shared" si="22"/>
        <v>0</v>
      </c>
      <c r="AF7" s="28">
        <f t="shared" si="22"/>
        <v>0</v>
      </c>
      <c r="AG7" s="28">
        <f t="shared" si="22"/>
        <v>0</v>
      </c>
      <c r="AH7" s="28">
        <f t="shared" si="22"/>
        <v>0</v>
      </c>
      <c r="AI7" s="28">
        <f t="shared" si="22"/>
        <v>0</v>
      </c>
      <c r="AJ7" s="28">
        <f t="shared" si="22"/>
        <v>0</v>
      </c>
      <c r="AK7" s="28">
        <f t="shared" si="22"/>
        <v>0</v>
      </c>
      <c r="AL7" s="28">
        <f t="shared" si="22"/>
        <v>0</v>
      </c>
      <c r="AM7" s="28">
        <f t="shared" si="22"/>
        <v>0</v>
      </c>
      <c r="AN7" s="28">
        <f t="shared" si="22"/>
        <v>0</v>
      </c>
      <c r="AO7" s="28">
        <f t="shared" ref="AO7:AO8" si="23">+SUM(AC7:AN7)</f>
        <v>0</v>
      </c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>
        <f t="shared" ref="BC7:BC8" si="24">+SUM(AQ7:BB7)</f>
        <v>0</v>
      </c>
      <c r="BD7" s="6" t="str">
        <f t="shared" si="7"/>
        <v>Fixed Commission</v>
      </c>
      <c r="BE7" s="28">
        <f>+VLOOKUP($BD7,'Jan-25'!$A:$J,4,0)</f>
        <v>0</v>
      </c>
      <c r="BF7" s="28">
        <f>+VLOOKUP($BD7,'Feb-25'!$A:$J,4,0)</f>
        <v>0</v>
      </c>
      <c r="BG7" s="28">
        <f>+VLOOKUP($BD7,'Mar-25'!$A:$J,4,0)</f>
        <v>0</v>
      </c>
      <c r="BH7" s="28">
        <f>+VLOOKUP($BD7,'Apr-25'!$A:$J,4,0)</f>
        <v>0</v>
      </c>
      <c r="BI7" s="28">
        <f>+VLOOKUP($BD7,'May-25'!$A:$J,4,0)</f>
        <v>0</v>
      </c>
      <c r="BJ7" s="28">
        <f>+VLOOKUP($BD7,'June-25'!$A:$J,4,0)</f>
        <v>0</v>
      </c>
      <c r="BK7" s="28">
        <f>+VLOOKUP($BD7,'July-25'!$A:$J,4,0)</f>
        <v>0</v>
      </c>
      <c r="BL7" s="28">
        <f>+VLOOKUP($BD7,'Aug-25'!$A:$J,4,0)</f>
        <v>0</v>
      </c>
      <c r="BM7" s="28">
        <f>+VLOOKUP($BD7,'Sep-25'!$A:$J,4,0)</f>
        <v>0</v>
      </c>
      <c r="BN7" s="28">
        <f>+VLOOKUP($BD7,'Oct-25'!$A:$J,4,0)</f>
        <v>0</v>
      </c>
      <c r="BO7" s="28">
        <f>+VLOOKUP($BD7,'Nov-25'!$A:$J,4,0)</f>
        <v>0</v>
      </c>
      <c r="BP7" s="28">
        <f>+VLOOKUP($BD7,'Dec-25'!$A:$J,4,0)</f>
        <v>0</v>
      </c>
      <c r="BQ7" s="28">
        <f>+SUM(BE7:BP7)</f>
        <v>0</v>
      </c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>
        <f t="shared" ref="CE7:CE8" si="25">+SUM(BS7:CD7)</f>
        <v>0</v>
      </c>
      <c r="CF7" s="22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58">
        <f t="shared" ref="CS7:CS8" si="26">+SUM(CG7:CR7)</f>
        <v>0</v>
      </c>
      <c r="CT7" s="6" t="str">
        <f t="shared" si="11"/>
        <v>Fixed Commission</v>
      </c>
      <c r="CU7" s="28">
        <f>+VLOOKUP($BD7,'Jan-25'!$A:$J,7,0)</f>
        <v>0</v>
      </c>
      <c r="CV7" s="28">
        <f>+VLOOKUP($BD7,'Feb-25'!$A:$J,7,0)</f>
        <v>0</v>
      </c>
      <c r="CW7" s="28">
        <f>+VLOOKUP($BD7,'Mar-25'!$A:$J,7,0)</f>
        <v>0</v>
      </c>
      <c r="CX7" s="28">
        <f>+VLOOKUP($BD7,'Apr-25'!$A:$J,7,0)</f>
        <v>0</v>
      </c>
      <c r="CY7" s="28">
        <f>+VLOOKUP($BD7,'May-25'!$A:$J,7,0)</f>
        <v>0</v>
      </c>
      <c r="CZ7" s="28">
        <f>+VLOOKUP($BD7,'June-25'!$A:$J,7,0)</f>
        <v>0</v>
      </c>
      <c r="DA7" s="28">
        <f>+VLOOKUP($BD7,'July-25'!$A:$J,7,0)</f>
        <v>0</v>
      </c>
      <c r="DB7" s="28">
        <f>+VLOOKUP($BD7,'Aug-25'!$A:$J,7,0)</f>
        <v>0</v>
      </c>
      <c r="DC7" s="28">
        <f>+VLOOKUP($BD7,'Sep-25'!$A:$J,7,0)</f>
        <v>0</v>
      </c>
      <c r="DD7" s="28">
        <f>+VLOOKUP($BD7,'Oct-25'!$A:$J,7,0)</f>
        <v>0</v>
      </c>
      <c r="DE7" s="28">
        <f>+VLOOKUP($BD7,'Nov-25'!$A:$J,7,0)</f>
        <v>0</v>
      </c>
      <c r="DF7" s="28">
        <f>+VLOOKUP($BD7,'Dec-25'!$A:$J,7,0)</f>
        <v>0</v>
      </c>
      <c r="DG7" s="28">
        <f>+SUM(CU7:DF7)</f>
        <v>0</v>
      </c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58">
        <f t="shared" ref="DU7:DU8" si="27">+SUM(DI7:DT7)</f>
        <v>0</v>
      </c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58">
        <f t="shared" ref="EI7:EI8" si="28">+SUM(DW7:EH7)</f>
        <v>0</v>
      </c>
      <c r="EJ7" s="6" t="str">
        <f t="shared" si="15"/>
        <v>Fixed Commission</v>
      </c>
      <c r="EK7" s="28">
        <f>+VLOOKUP($BD7,'Jan-25'!$A:$J,9,0)</f>
        <v>0</v>
      </c>
      <c r="EL7" s="28">
        <f>+VLOOKUP($BD7,'Feb-25'!$A:$J,9,0)</f>
        <v>0</v>
      </c>
      <c r="EM7" s="28">
        <f>+VLOOKUP($BD7,'Mar-25'!$A:$J,9,0)</f>
        <v>0</v>
      </c>
      <c r="EN7" s="28">
        <f>+VLOOKUP($BD7,'Apr-25'!$A:$J,9,0)</f>
        <v>0</v>
      </c>
      <c r="EO7" s="28">
        <f>+VLOOKUP($BD7,'May-25'!$A:$J,9,0)</f>
        <v>0</v>
      </c>
      <c r="EP7" s="28">
        <f>+VLOOKUP($BD7,'June-25'!$A:$J,9,0)</f>
        <v>0</v>
      </c>
      <c r="EQ7" s="28">
        <f>+VLOOKUP($BD7,'July-25'!$A:$J,9,0)</f>
        <v>0</v>
      </c>
      <c r="ER7" s="28">
        <f>+VLOOKUP($BD7,'Aug-25'!$A:$J,9,0)</f>
        <v>0</v>
      </c>
      <c r="ES7" s="28">
        <f>+VLOOKUP($BD7,'Sep-25'!$A:$J,9,0)</f>
        <v>0</v>
      </c>
      <c r="ET7" s="28">
        <f>+VLOOKUP($BD7,'Oct-25'!$A:$J,9,0)</f>
        <v>0</v>
      </c>
      <c r="EU7" s="28">
        <f>+VLOOKUP($BD7,'Nov-25'!$A:$J,9,0)</f>
        <v>0</v>
      </c>
      <c r="EV7" s="28">
        <f>+VLOOKUP($BD7,'Dec-25'!$A:$J,9,0)</f>
        <v>0</v>
      </c>
      <c r="EW7" s="28">
        <f>+SUM(EK7:EV7)</f>
        <v>0</v>
      </c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58">
        <f t="shared" ref="FK7:FK8" si="29">+SUM(EY7:FJ7)</f>
        <v>0</v>
      </c>
    </row>
    <row r="8" spans="1:167" ht="14.45" hidden="1" customHeight="1" outlineLevel="1">
      <c r="A8" s="58">
        <f>+SUM(A9:A12)</f>
        <v>0</v>
      </c>
      <c r="B8" s="58">
        <f t="shared" ref="B8:L8" si="30">+SUM(B9:B12)</f>
        <v>0</v>
      </c>
      <c r="C8" s="58">
        <f t="shared" si="30"/>
        <v>0</v>
      </c>
      <c r="D8" s="58">
        <f t="shared" si="30"/>
        <v>0</v>
      </c>
      <c r="E8" s="58">
        <f t="shared" si="30"/>
        <v>0</v>
      </c>
      <c r="F8" s="58">
        <f t="shared" si="30"/>
        <v>0</v>
      </c>
      <c r="G8" s="58">
        <f t="shared" si="30"/>
        <v>0</v>
      </c>
      <c r="H8" s="58">
        <f t="shared" si="30"/>
        <v>0</v>
      </c>
      <c r="I8" s="58">
        <f t="shared" si="30"/>
        <v>0</v>
      </c>
      <c r="J8" s="58">
        <f t="shared" si="30"/>
        <v>0</v>
      </c>
      <c r="K8" s="58">
        <f t="shared" si="30"/>
        <v>0</v>
      </c>
      <c r="L8" s="58">
        <f t="shared" si="30"/>
        <v>0</v>
      </c>
      <c r="M8" s="58">
        <f t="shared" si="19"/>
        <v>0</v>
      </c>
      <c r="N8" s="6" t="s">
        <v>219</v>
      </c>
      <c r="O8" s="28">
        <f>+SUM(O9:O12)</f>
        <v>0</v>
      </c>
      <c r="P8" s="28">
        <f t="shared" ref="P8:Z8" si="31">+SUM(P9:P12)</f>
        <v>0</v>
      </c>
      <c r="Q8" s="28">
        <f t="shared" si="31"/>
        <v>0</v>
      </c>
      <c r="R8" s="28">
        <f t="shared" si="31"/>
        <v>0</v>
      </c>
      <c r="S8" s="28">
        <f t="shared" si="31"/>
        <v>0</v>
      </c>
      <c r="T8" s="28">
        <f t="shared" si="31"/>
        <v>0</v>
      </c>
      <c r="U8" s="28">
        <f t="shared" si="31"/>
        <v>0</v>
      </c>
      <c r="V8" s="28">
        <f t="shared" si="31"/>
        <v>0</v>
      </c>
      <c r="W8" s="28">
        <f t="shared" si="31"/>
        <v>0</v>
      </c>
      <c r="X8" s="28">
        <f t="shared" si="31"/>
        <v>0</v>
      </c>
      <c r="Y8" s="28">
        <f t="shared" si="31"/>
        <v>0</v>
      </c>
      <c r="Z8" s="28">
        <f t="shared" si="31"/>
        <v>0</v>
      </c>
      <c r="AA8" s="28">
        <f t="shared" si="21"/>
        <v>0</v>
      </c>
      <c r="AC8" s="28">
        <f>+SUM(AC9:AC12)</f>
        <v>0</v>
      </c>
      <c r="AD8" s="28">
        <f t="shared" ref="AD8:AN8" si="32">+SUM(AD9:AD12)</f>
        <v>0</v>
      </c>
      <c r="AE8" s="28">
        <f t="shared" si="32"/>
        <v>0</v>
      </c>
      <c r="AF8" s="28">
        <f t="shared" si="32"/>
        <v>0</v>
      </c>
      <c r="AG8" s="28">
        <f t="shared" si="32"/>
        <v>0</v>
      </c>
      <c r="AH8" s="28">
        <f t="shared" si="32"/>
        <v>0</v>
      </c>
      <c r="AI8" s="28">
        <f t="shared" si="32"/>
        <v>0</v>
      </c>
      <c r="AJ8" s="28">
        <f t="shared" si="32"/>
        <v>0</v>
      </c>
      <c r="AK8" s="28">
        <f t="shared" si="32"/>
        <v>0</v>
      </c>
      <c r="AL8" s="28">
        <f t="shared" si="32"/>
        <v>0</v>
      </c>
      <c r="AM8" s="28">
        <f t="shared" si="32"/>
        <v>0</v>
      </c>
      <c r="AN8" s="28">
        <f t="shared" si="32"/>
        <v>0</v>
      </c>
      <c r="AO8" s="28">
        <f t="shared" si="23"/>
        <v>0</v>
      </c>
      <c r="AQ8" s="58">
        <f t="shared" ref="AQ8:BB8" si="33">+SUM(AQ9:AQ12)</f>
        <v>0</v>
      </c>
      <c r="AR8" s="58">
        <f t="shared" si="33"/>
        <v>0</v>
      </c>
      <c r="AS8" s="58">
        <f t="shared" si="33"/>
        <v>0</v>
      </c>
      <c r="AT8" s="58">
        <f t="shared" si="33"/>
        <v>0</v>
      </c>
      <c r="AU8" s="58">
        <f t="shared" si="33"/>
        <v>0</v>
      </c>
      <c r="AV8" s="58">
        <f t="shared" si="33"/>
        <v>0</v>
      </c>
      <c r="AW8" s="58">
        <f t="shared" si="33"/>
        <v>0</v>
      </c>
      <c r="AX8" s="58">
        <f t="shared" si="33"/>
        <v>0</v>
      </c>
      <c r="AY8" s="58">
        <f t="shared" si="33"/>
        <v>0</v>
      </c>
      <c r="AZ8" s="58">
        <f t="shared" si="33"/>
        <v>0</v>
      </c>
      <c r="BA8" s="58">
        <f t="shared" si="33"/>
        <v>0</v>
      </c>
      <c r="BB8" s="58">
        <f t="shared" si="33"/>
        <v>0</v>
      </c>
      <c r="BC8" s="58">
        <f t="shared" si="24"/>
        <v>0</v>
      </c>
      <c r="BD8" s="6" t="str">
        <f t="shared" si="7"/>
        <v>Target achievement bonus</v>
      </c>
      <c r="BE8" s="28">
        <f t="shared" ref="BE8:BP8" si="34">+SUM(BE9:BE12)</f>
        <v>0</v>
      </c>
      <c r="BF8" s="28">
        <f t="shared" si="34"/>
        <v>0</v>
      </c>
      <c r="BG8" s="28">
        <f t="shared" si="34"/>
        <v>0</v>
      </c>
      <c r="BH8" s="28">
        <f t="shared" si="34"/>
        <v>0</v>
      </c>
      <c r="BI8" s="28">
        <f t="shared" si="34"/>
        <v>0</v>
      </c>
      <c r="BJ8" s="28">
        <f t="shared" si="34"/>
        <v>0</v>
      </c>
      <c r="BK8" s="28">
        <f t="shared" si="34"/>
        <v>0</v>
      </c>
      <c r="BL8" s="28">
        <f t="shared" si="34"/>
        <v>0</v>
      </c>
      <c r="BM8" s="28">
        <f t="shared" si="34"/>
        <v>0</v>
      </c>
      <c r="BN8" s="28">
        <f t="shared" si="34"/>
        <v>0</v>
      </c>
      <c r="BO8" s="28">
        <f t="shared" si="34"/>
        <v>0</v>
      </c>
      <c r="BP8" s="28">
        <f t="shared" si="34"/>
        <v>0</v>
      </c>
      <c r="BQ8" s="28">
        <f t="shared" ref="BQ8" si="35">+SUM(BE8:BP8)</f>
        <v>0</v>
      </c>
      <c r="BS8" s="58">
        <f t="shared" ref="BS8:CD8" si="36">+SUM(BS9:BS12)</f>
        <v>0</v>
      </c>
      <c r="BT8" s="58">
        <f t="shared" si="36"/>
        <v>0</v>
      </c>
      <c r="BU8" s="58">
        <f t="shared" si="36"/>
        <v>0</v>
      </c>
      <c r="BV8" s="58">
        <f t="shared" si="36"/>
        <v>0</v>
      </c>
      <c r="BW8" s="58">
        <f t="shared" si="36"/>
        <v>0</v>
      </c>
      <c r="BX8" s="58">
        <f t="shared" si="36"/>
        <v>0</v>
      </c>
      <c r="BY8" s="58">
        <f t="shared" si="36"/>
        <v>0</v>
      </c>
      <c r="BZ8" s="58">
        <f t="shared" si="36"/>
        <v>0</v>
      </c>
      <c r="CA8" s="58">
        <f t="shared" si="36"/>
        <v>0</v>
      </c>
      <c r="CB8" s="58">
        <f t="shared" si="36"/>
        <v>0</v>
      </c>
      <c r="CC8" s="58">
        <f t="shared" si="36"/>
        <v>0</v>
      </c>
      <c r="CD8" s="58">
        <f t="shared" si="36"/>
        <v>0</v>
      </c>
      <c r="CE8" s="58">
        <f t="shared" si="25"/>
        <v>0</v>
      </c>
      <c r="CF8" s="22"/>
      <c r="CG8" s="28">
        <f t="shared" ref="CG8:CR8" si="37">+SUM(CG9:CG12)</f>
        <v>0</v>
      </c>
      <c r="CH8" s="28">
        <f t="shared" si="37"/>
        <v>0</v>
      </c>
      <c r="CI8" s="28">
        <f t="shared" si="37"/>
        <v>0</v>
      </c>
      <c r="CJ8" s="28">
        <f t="shared" si="37"/>
        <v>0</v>
      </c>
      <c r="CK8" s="28">
        <f t="shared" si="37"/>
        <v>0</v>
      </c>
      <c r="CL8" s="28">
        <f t="shared" si="37"/>
        <v>0</v>
      </c>
      <c r="CM8" s="28">
        <f t="shared" si="37"/>
        <v>0</v>
      </c>
      <c r="CN8" s="28">
        <f t="shared" si="37"/>
        <v>0</v>
      </c>
      <c r="CO8" s="28">
        <f t="shared" si="37"/>
        <v>0</v>
      </c>
      <c r="CP8" s="28">
        <f t="shared" si="37"/>
        <v>0</v>
      </c>
      <c r="CQ8" s="28">
        <f t="shared" si="37"/>
        <v>0</v>
      </c>
      <c r="CR8" s="28">
        <f t="shared" si="37"/>
        <v>0</v>
      </c>
      <c r="CS8" s="58">
        <f t="shared" si="26"/>
        <v>0</v>
      </c>
      <c r="CT8" s="6" t="str">
        <f t="shared" si="11"/>
        <v>Target achievement bonus</v>
      </c>
      <c r="CU8" s="28">
        <f t="shared" ref="CU8:DF8" si="38">+SUM(CU9:CU12)</f>
        <v>0</v>
      </c>
      <c r="CV8" s="28">
        <f t="shared" si="38"/>
        <v>0</v>
      </c>
      <c r="CW8" s="28">
        <f t="shared" si="38"/>
        <v>0</v>
      </c>
      <c r="CX8" s="28">
        <f t="shared" si="38"/>
        <v>0</v>
      </c>
      <c r="CY8" s="28">
        <f t="shared" si="38"/>
        <v>0</v>
      </c>
      <c r="CZ8" s="28">
        <f t="shared" si="38"/>
        <v>0</v>
      </c>
      <c r="DA8" s="28">
        <f t="shared" si="38"/>
        <v>0</v>
      </c>
      <c r="DB8" s="28">
        <f t="shared" si="38"/>
        <v>0</v>
      </c>
      <c r="DC8" s="28">
        <f t="shared" si="38"/>
        <v>0</v>
      </c>
      <c r="DD8" s="28">
        <f t="shared" si="38"/>
        <v>0</v>
      </c>
      <c r="DE8" s="28">
        <f t="shared" si="38"/>
        <v>0</v>
      </c>
      <c r="DF8" s="28">
        <f t="shared" si="38"/>
        <v>0</v>
      </c>
      <c r="DG8" s="28">
        <f t="shared" ref="DG8" si="39">+SUM(CU8:DF8)</f>
        <v>0</v>
      </c>
      <c r="DI8" s="28">
        <f t="shared" ref="DI8:DT8" si="40">+SUM(DI9:DI12)</f>
        <v>0</v>
      </c>
      <c r="DJ8" s="28">
        <f t="shared" si="40"/>
        <v>0</v>
      </c>
      <c r="DK8" s="28">
        <f t="shared" si="40"/>
        <v>0</v>
      </c>
      <c r="DL8" s="28">
        <f t="shared" si="40"/>
        <v>0</v>
      </c>
      <c r="DM8" s="28">
        <f t="shared" si="40"/>
        <v>0</v>
      </c>
      <c r="DN8" s="28">
        <f t="shared" si="40"/>
        <v>0</v>
      </c>
      <c r="DO8" s="28">
        <f t="shared" si="40"/>
        <v>0</v>
      </c>
      <c r="DP8" s="28">
        <f t="shared" si="40"/>
        <v>0</v>
      </c>
      <c r="DQ8" s="28">
        <f t="shared" si="40"/>
        <v>0</v>
      </c>
      <c r="DR8" s="28">
        <f t="shared" si="40"/>
        <v>0</v>
      </c>
      <c r="DS8" s="28">
        <f t="shared" si="40"/>
        <v>0</v>
      </c>
      <c r="DT8" s="28">
        <f t="shared" si="40"/>
        <v>0</v>
      </c>
      <c r="DU8" s="58">
        <f t="shared" si="27"/>
        <v>0</v>
      </c>
      <c r="DW8" s="28">
        <f t="shared" ref="DW8:EH8" si="41">+SUM(DW9:DW12)</f>
        <v>0</v>
      </c>
      <c r="DX8" s="28">
        <f t="shared" si="41"/>
        <v>0</v>
      </c>
      <c r="DY8" s="28">
        <f t="shared" si="41"/>
        <v>0</v>
      </c>
      <c r="DZ8" s="28">
        <f t="shared" si="41"/>
        <v>0</v>
      </c>
      <c r="EA8" s="28">
        <f t="shared" si="41"/>
        <v>0</v>
      </c>
      <c r="EB8" s="28">
        <f t="shared" si="41"/>
        <v>0</v>
      </c>
      <c r="EC8" s="28">
        <f t="shared" si="41"/>
        <v>0</v>
      </c>
      <c r="ED8" s="28">
        <f t="shared" si="41"/>
        <v>0</v>
      </c>
      <c r="EE8" s="28">
        <f t="shared" si="41"/>
        <v>0</v>
      </c>
      <c r="EF8" s="28">
        <f t="shared" si="41"/>
        <v>0</v>
      </c>
      <c r="EG8" s="28">
        <f t="shared" si="41"/>
        <v>0</v>
      </c>
      <c r="EH8" s="28">
        <f t="shared" si="41"/>
        <v>0</v>
      </c>
      <c r="EI8" s="58">
        <f t="shared" si="28"/>
        <v>0</v>
      </c>
      <c r="EJ8" s="6" t="str">
        <f t="shared" si="15"/>
        <v>Target achievement bonus</v>
      </c>
      <c r="EK8" s="28">
        <f t="shared" ref="EK8:EV8" si="42">+SUM(EK9:EK12)</f>
        <v>0</v>
      </c>
      <c r="EL8" s="28">
        <f t="shared" si="42"/>
        <v>0</v>
      </c>
      <c r="EM8" s="28">
        <f t="shared" si="42"/>
        <v>0</v>
      </c>
      <c r="EN8" s="28">
        <f t="shared" si="42"/>
        <v>0</v>
      </c>
      <c r="EO8" s="28">
        <f t="shared" si="42"/>
        <v>0</v>
      </c>
      <c r="EP8" s="28">
        <f t="shared" si="42"/>
        <v>0</v>
      </c>
      <c r="EQ8" s="28">
        <f t="shared" si="42"/>
        <v>0</v>
      </c>
      <c r="ER8" s="28">
        <f t="shared" si="42"/>
        <v>0</v>
      </c>
      <c r="ES8" s="28">
        <f t="shared" si="42"/>
        <v>0</v>
      </c>
      <c r="ET8" s="28">
        <f t="shared" si="42"/>
        <v>0</v>
      </c>
      <c r="EU8" s="28">
        <f t="shared" si="42"/>
        <v>0</v>
      </c>
      <c r="EV8" s="28">
        <f t="shared" si="42"/>
        <v>0</v>
      </c>
      <c r="EW8" s="28">
        <f t="shared" ref="EW8" si="43">+SUM(EK8:EV8)</f>
        <v>0</v>
      </c>
      <c r="EY8" s="28">
        <f t="shared" ref="EY8:FJ8" si="44">+SUM(EY9:EY12)</f>
        <v>0</v>
      </c>
      <c r="EZ8" s="28">
        <f t="shared" si="44"/>
        <v>0</v>
      </c>
      <c r="FA8" s="28">
        <f t="shared" si="44"/>
        <v>0</v>
      </c>
      <c r="FB8" s="28">
        <f t="shared" si="44"/>
        <v>0</v>
      </c>
      <c r="FC8" s="28">
        <f t="shared" si="44"/>
        <v>0</v>
      </c>
      <c r="FD8" s="28">
        <f t="shared" si="44"/>
        <v>0</v>
      </c>
      <c r="FE8" s="28">
        <f t="shared" si="44"/>
        <v>0</v>
      </c>
      <c r="FF8" s="28">
        <f t="shared" si="44"/>
        <v>0</v>
      </c>
      <c r="FG8" s="28">
        <f t="shared" si="44"/>
        <v>0</v>
      </c>
      <c r="FH8" s="28">
        <f t="shared" si="44"/>
        <v>0</v>
      </c>
      <c r="FI8" s="28">
        <f t="shared" si="44"/>
        <v>0</v>
      </c>
      <c r="FJ8" s="28">
        <f t="shared" si="44"/>
        <v>0</v>
      </c>
      <c r="FK8" s="58">
        <f t="shared" si="29"/>
        <v>0</v>
      </c>
    </row>
    <row r="9" spans="1:167" ht="14.45" hidden="1" customHeight="1" outlineLevel="1">
      <c r="A9" s="106">
        <f t="shared" si="18"/>
        <v>0</v>
      </c>
      <c r="B9" s="106">
        <f t="shared" si="18"/>
        <v>0</v>
      </c>
      <c r="C9" s="106">
        <f t="shared" si="18"/>
        <v>0</v>
      </c>
      <c r="D9" s="106">
        <f t="shared" si="18"/>
        <v>0</v>
      </c>
      <c r="E9" s="106">
        <f t="shared" si="18"/>
        <v>0</v>
      </c>
      <c r="F9" s="106">
        <f t="shared" si="18"/>
        <v>0</v>
      </c>
      <c r="G9" s="106">
        <f t="shared" si="18"/>
        <v>0</v>
      </c>
      <c r="H9" s="106">
        <f t="shared" si="18"/>
        <v>0</v>
      </c>
      <c r="I9" s="106">
        <f t="shared" si="18"/>
        <v>0</v>
      </c>
      <c r="J9" s="106">
        <f t="shared" si="18"/>
        <v>0</v>
      </c>
      <c r="K9" s="106">
        <f t="shared" si="18"/>
        <v>0</v>
      </c>
      <c r="L9" s="106">
        <f t="shared" si="18"/>
        <v>0</v>
      </c>
      <c r="M9" s="106">
        <f>+SUM(A9:L9)</f>
        <v>0</v>
      </c>
      <c r="N9" s="7" t="s">
        <v>7</v>
      </c>
      <c r="O9" s="22">
        <f t="shared" ref="O9:Z12" si="45">+BE9+CU9+EK9</f>
        <v>0</v>
      </c>
      <c r="P9" s="22">
        <f t="shared" si="45"/>
        <v>0</v>
      </c>
      <c r="Q9" s="22">
        <f t="shared" si="45"/>
        <v>0</v>
      </c>
      <c r="R9" s="22">
        <f t="shared" si="45"/>
        <v>0</v>
      </c>
      <c r="S9" s="22">
        <f t="shared" si="45"/>
        <v>0</v>
      </c>
      <c r="T9" s="22">
        <f t="shared" si="45"/>
        <v>0</v>
      </c>
      <c r="U9" s="22">
        <f t="shared" si="45"/>
        <v>0</v>
      </c>
      <c r="V9" s="22">
        <f t="shared" si="45"/>
        <v>0</v>
      </c>
      <c r="W9" s="22">
        <f t="shared" si="45"/>
        <v>0</v>
      </c>
      <c r="X9" s="22">
        <f t="shared" si="45"/>
        <v>0</v>
      </c>
      <c r="Y9" s="22">
        <f t="shared" si="45"/>
        <v>0</v>
      </c>
      <c r="Z9" s="22">
        <f t="shared" si="45"/>
        <v>0</v>
      </c>
      <c r="AA9" s="22">
        <f>+SUM(O9:Z9)</f>
        <v>0</v>
      </c>
      <c r="AC9" s="22">
        <f t="shared" ref="AC9:AN12" si="46">+BS9+DI9+EY9</f>
        <v>0</v>
      </c>
      <c r="AD9" s="22">
        <f t="shared" si="46"/>
        <v>0</v>
      </c>
      <c r="AE9" s="22">
        <f t="shared" si="46"/>
        <v>0</v>
      </c>
      <c r="AF9" s="22">
        <f t="shared" si="46"/>
        <v>0</v>
      </c>
      <c r="AG9" s="22">
        <f t="shared" si="46"/>
        <v>0</v>
      </c>
      <c r="AH9" s="22">
        <f t="shared" si="46"/>
        <v>0</v>
      </c>
      <c r="AI9" s="22">
        <f t="shared" si="46"/>
        <v>0</v>
      </c>
      <c r="AJ9" s="22">
        <f t="shared" si="46"/>
        <v>0</v>
      </c>
      <c r="AK9" s="22">
        <f t="shared" si="46"/>
        <v>0</v>
      </c>
      <c r="AL9" s="22">
        <f t="shared" si="46"/>
        <v>0</v>
      </c>
      <c r="AM9" s="22">
        <f t="shared" si="46"/>
        <v>0</v>
      </c>
      <c r="AN9" s="22">
        <f t="shared" si="46"/>
        <v>0</v>
      </c>
      <c r="AO9" s="22">
        <f>+SUM(AC9:AN9)</f>
        <v>0</v>
      </c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>
        <f>+SUM(AQ9:BB9)</f>
        <v>0</v>
      </c>
      <c r="BD9" s="7" t="s">
        <v>7</v>
      </c>
      <c r="BE9" s="22">
        <f>+VLOOKUP($BD9,'Jan-25'!$A:$J,4,0)</f>
        <v>0</v>
      </c>
      <c r="BF9" s="22">
        <f>+VLOOKUP($BD9,'Feb-25'!$A:$J,4,0)</f>
        <v>0</v>
      </c>
      <c r="BG9" s="22">
        <f>+VLOOKUP($BD9,'Mar-25'!$A:$J,4,0)</f>
        <v>0</v>
      </c>
      <c r="BH9" s="22">
        <f>+VLOOKUP($BD9,'Apr-25'!$A:$J,4,0)</f>
        <v>0</v>
      </c>
      <c r="BI9" s="22">
        <f>+VLOOKUP($BD9,'May-25'!$A:$J,4,0)</f>
        <v>0</v>
      </c>
      <c r="BJ9" s="22">
        <f>+VLOOKUP($BD9,'June-25'!$A:$J,4,0)</f>
        <v>0</v>
      </c>
      <c r="BK9" s="22">
        <f>+VLOOKUP($BD9,'July-25'!$A:$J,4,0)</f>
        <v>0</v>
      </c>
      <c r="BL9" s="22">
        <f>+VLOOKUP($BD9,'Aug-25'!$A:$J,4,0)</f>
        <v>0</v>
      </c>
      <c r="BM9" s="22">
        <f>+VLOOKUP($BD9,'Sep-25'!$A:$J,4,0)</f>
        <v>0</v>
      </c>
      <c r="BN9" s="22">
        <f>+VLOOKUP($BD9,'Oct-25'!$A:$J,4,0)</f>
        <v>0</v>
      </c>
      <c r="BO9" s="22">
        <f>+VLOOKUP($BD9,'Nov-25'!$A:$J,4,0)</f>
        <v>0</v>
      </c>
      <c r="BP9" s="22">
        <f>+VLOOKUP($BD9,'Dec-25'!$A:$J,4,0)</f>
        <v>0</v>
      </c>
      <c r="BQ9" s="22">
        <f>+SUM(BE9:BP9)</f>
        <v>0</v>
      </c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>
        <f>+SUM(BS9:CD9)</f>
        <v>0</v>
      </c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106">
        <f>+SUM(CG9:CR9)</f>
        <v>0</v>
      </c>
      <c r="CT9" s="7" t="s">
        <v>7</v>
      </c>
      <c r="CU9" s="22">
        <f>+VLOOKUP($BD9,'Jan-25'!$A:$J,7,0)</f>
        <v>0</v>
      </c>
      <c r="CV9" s="22">
        <f>+VLOOKUP($BD9,'Feb-25'!$A:$J,7,0)</f>
        <v>0</v>
      </c>
      <c r="CW9" s="22">
        <f>+VLOOKUP($BD9,'Mar-25'!$A:$J,7,0)</f>
        <v>0</v>
      </c>
      <c r="CX9" s="22">
        <f>+VLOOKUP($BD9,'Apr-25'!$A:$J,7,0)</f>
        <v>0</v>
      </c>
      <c r="CY9" s="22">
        <f>+VLOOKUP($BD9,'May-25'!$A:$J,7,0)</f>
        <v>0</v>
      </c>
      <c r="CZ9" s="22">
        <f>+VLOOKUP($BD9,'June-25'!$A:$J,7,0)</f>
        <v>0</v>
      </c>
      <c r="DA9" s="22">
        <f>+VLOOKUP($BD9,'July-25'!$A:$J,7,0)</f>
        <v>0</v>
      </c>
      <c r="DB9" s="22">
        <f>+VLOOKUP($BD9,'Aug-25'!$A:$J,7,0)</f>
        <v>0</v>
      </c>
      <c r="DC9" s="22">
        <f>+VLOOKUP($BD9,'Sep-25'!$A:$J,7,0)</f>
        <v>0</v>
      </c>
      <c r="DD9" s="22">
        <f>+VLOOKUP($BD9,'Oct-25'!$A:$J,7,0)</f>
        <v>0</v>
      </c>
      <c r="DE9" s="22">
        <f>+VLOOKUP($BD9,'Nov-25'!$A:$J,7,0)</f>
        <v>0</v>
      </c>
      <c r="DF9" s="22">
        <f>+VLOOKUP($BD9,'Dec-25'!$A:$J,7,0)</f>
        <v>0</v>
      </c>
      <c r="DG9" s="22">
        <f>+SUM(CU9:DF9)</f>
        <v>0</v>
      </c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106">
        <f>+SUM(DI9:DT9)</f>
        <v>0</v>
      </c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106">
        <f>+SUM(DW9:EH9)</f>
        <v>0</v>
      </c>
      <c r="EJ9" s="7" t="s">
        <v>7</v>
      </c>
      <c r="EK9" s="22">
        <f>+VLOOKUP($BD9,'Jan-25'!$A:$J,9,0)</f>
        <v>0</v>
      </c>
      <c r="EL9" s="22">
        <f>+VLOOKUP($BD9,'Feb-25'!$A:$J,9,0)</f>
        <v>0</v>
      </c>
      <c r="EM9" s="22">
        <f>+VLOOKUP($BD9,'Mar-25'!$A:$J,9,0)</f>
        <v>0</v>
      </c>
      <c r="EN9" s="22">
        <f>+VLOOKUP($BD9,'Apr-25'!$A:$J,9,0)</f>
        <v>0</v>
      </c>
      <c r="EO9" s="22">
        <f>+VLOOKUP($BD9,'May-25'!$A:$J,9,0)</f>
        <v>0</v>
      </c>
      <c r="EP9" s="22">
        <f>+VLOOKUP($BD9,'June-25'!$A:$J,9,0)</f>
        <v>0</v>
      </c>
      <c r="EQ9" s="22">
        <f>+VLOOKUP($BD9,'July-25'!$A:$J,9,0)</f>
        <v>0</v>
      </c>
      <c r="ER9" s="22">
        <f>+VLOOKUP($BD9,'Aug-25'!$A:$J,9,0)</f>
        <v>0</v>
      </c>
      <c r="ES9" s="22">
        <f>+VLOOKUP($BD9,'Sep-25'!$A:$J,9,0)</f>
        <v>0</v>
      </c>
      <c r="ET9" s="22">
        <f>+VLOOKUP($BD9,'Oct-25'!$A:$J,9,0)</f>
        <v>0</v>
      </c>
      <c r="EU9" s="22">
        <f>+VLOOKUP($BD9,'Nov-25'!$A:$J,9,0)</f>
        <v>0</v>
      </c>
      <c r="EV9" s="22">
        <f>+VLOOKUP($BD9,'Dec-25'!$A:$J,9,0)</f>
        <v>0</v>
      </c>
      <c r="EW9" s="22">
        <f>+SUM(EK9:EV9)</f>
        <v>0</v>
      </c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106">
        <f>+SUM(EY9:FJ9)</f>
        <v>0</v>
      </c>
    </row>
    <row r="10" spans="1:167" ht="14.45" hidden="1" customHeight="1" outlineLevel="1">
      <c r="A10" s="106">
        <f t="shared" si="18"/>
        <v>0</v>
      </c>
      <c r="B10" s="106">
        <f t="shared" si="18"/>
        <v>0</v>
      </c>
      <c r="C10" s="106">
        <f t="shared" si="18"/>
        <v>0</v>
      </c>
      <c r="D10" s="106">
        <f t="shared" si="18"/>
        <v>0</v>
      </c>
      <c r="E10" s="106">
        <f t="shared" si="18"/>
        <v>0</v>
      </c>
      <c r="F10" s="106">
        <f t="shared" si="18"/>
        <v>0</v>
      </c>
      <c r="G10" s="106">
        <f t="shared" si="18"/>
        <v>0</v>
      </c>
      <c r="H10" s="106">
        <f t="shared" si="18"/>
        <v>0</v>
      </c>
      <c r="I10" s="106">
        <f t="shared" si="18"/>
        <v>0</v>
      </c>
      <c r="J10" s="106">
        <f t="shared" si="18"/>
        <v>0</v>
      </c>
      <c r="K10" s="106">
        <f t="shared" si="18"/>
        <v>0</v>
      </c>
      <c r="L10" s="106">
        <f t="shared" si="18"/>
        <v>0</v>
      </c>
      <c r="M10" s="106">
        <f t="shared" ref="M10:M26" si="47">+SUM(A10:L10)</f>
        <v>0</v>
      </c>
      <c r="N10" s="7" t="s">
        <v>8</v>
      </c>
      <c r="O10" s="22">
        <f t="shared" si="45"/>
        <v>0</v>
      </c>
      <c r="P10" s="22">
        <f t="shared" si="45"/>
        <v>0</v>
      </c>
      <c r="Q10" s="22">
        <f t="shared" si="45"/>
        <v>0</v>
      </c>
      <c r="R10" s="22">
        <f t="shared" si="45"/>
        <v>0</v>
      </c>
      <c r="S10" s="22">
        <f t="shared" si="45"/>
        <v>0</v>
      </c>
      <c r="T10" s="22">
        <f t="shared" si="45"/>
        <v>0</v>
      </c>
      <c r="U10" s="22">
        <f t="shared" si="45"/>
        <v>0</v>
      </c>
      <c r="V10" s="22">
        <f t="shared" si="45"/>
        <v>0</v>
      </c>
      <c r="W10" s="22">
        <f t="shared" si="45"/>
        <v>0</v>
      </c>
      <c r="X10" s="22">
        <f t="shared" si="45"/>
        <v>0</v>
      </c>
      <c r="Y10" s="22">
        <f t="shared" si="45"/>
        <v>0</v>
      </c>
      <c r="Z10" s="22">
        <f t="shared" si="45"/>
        <v>0</v>
      </c>
      <c r="AA10" s="22">
        <f t="shared" ref="AA10:AA16" si="48">+SUM(O10:Z10)</f>
        <v>0</v>
      </c>
      <c r="AC10" s="22">
        <f t="shared" si="46"/>
        <v>0</v>
      </c>
      <c r="AD10" s="22">
        <f t="shared" si="46"/>
        <v>0</v>
      </c>
      <c r="AE10" s="22">
        <f t="shared" si="46"/>
        <v>0</v>
      </c>
      <c r="AF10" s="22">
        <f t="shared" si="46"/>
        <v>0</v>
      </c>
      <c r="AG10" s="22">
        <f t="shared" si="46"/>
        <v>0</v>
      </c>
      <c r="AH10" s="22">
        <f t="shared" si="46"/>
        <v>0</v>
      </c>
      <c r="AI10" s="22">
        <f t="shared" si="46"/>
        <v>0</v>
      </c>
      <c r="AJ10" s="22">
        <f t="shared" si="46"/>
        <v>0</v>
      </c>
      <c r="AK10" s="22">
        <f t="shared" si="46"/>
        <v>0</v>
      </c>
      <c r="AL10" s="22">
        <f t="shared" si="46"/>
        <v>0</v>
      </c>
      <c r="AM10" s="22">
        <f t="shared" si="46"/>
        <v>0</v>
      </c>
      <c r="AN10" s="22">
        <f t="shared" si="46"/>
        <v>0</v>
      </c>
      <c r="AO10" s="22">
        <f t="shared" ref="AO10:AO16" si="49">+SUM(AC10:AN10)</f>
        <v>0</v>
      </c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>
        <f t="shared" ref="BC10:BC16" si="50">+SUM(AQ10:BB10)</f>
        <v>0</v>
      </c>
      <c r="BD10" s="7" t="s">
        <v>8</v>
      </c>
      <c r="BE10" s="22">
        <f>+VLOOKUP($BD10,'Jan-25'!$A:$J,4,0)</f>
        <v>0</v>
      </c>
      <c r="BF10" s="22">
        <f>+VLOOKUP($BD10,'Feb-25'!$A:$J,4,0)</f>
        <v>0</v>
      </c>
      <c r="BG10" s="22">
        <f>+VLOOKUP($BD10,'Mar-25'!$A:$J,4,0)</f>
        <v>0</v>
      </c>
      <c r="BH10" s="22">
        <f>+VLOOKUP($BD10,'Apr-25'!$A:$J,4,0)</f>
        <v>0</v>
      </c>
      <c r="BI10" s="22">
        <f>+VLOOKUP($BD10,'May-25'!$A:$J,4,0)</f>
        <v>0</v>
      </c>
      <c r="BJ10" s="22">
        <f>+VLOOKUP($BD10,'June-25'!$A:$J,4,0)</f>
        <v>0</v>
      </c>
      <c r="BK10" s="22">
        <f>+VLOOKUP($BD10,'July-25'!$A:$J,4,0)</f>
        <v>0</v>
      </c>
      <c r="BL10" s="22">
        <f>+VLOOKUP($BD10,'Aug-25'!$A:$J,4,0)</f>
        <v>0</v>
      </c>
      <c r="BM10" s="22">
        <f>+VLOOKUP($BD10,'Sep-25'!$A:$J,4,0)</f>
        <v>0</v>
      </c>
      <c r="BN10" s="22">
        <f>+VLOOKUP($BD10,'Oct-25'!$A:$J,4,0)</f>
        <v>0</v>
      </c>
      <c r="BO10" s="22">
        <f>+VLOOKUP($BD10,'Nov-25'!$A:$J,4,0)</f>
        <v>0</v>
      </c>
      <c r="BP10" s="22">
        <f>+VLOOKUP($BD10,'Dec-25'!$A:$J,4,0)</f>
        <v>0</v>
      </c>
      <c r="BQ10" s="22">
        <f t="shared" ref="BQ10:BQ12" si="51">+SUM(BE10:BP10)</f>
        <v>0</v>
      </c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>
        <f t="shared" ref="CE10:CE16" si="52">+SUM(BS10:CD10)</f>
        <v>0</v>
      </c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106">
        <f t="shared" ref="CS10:CS16" si="53">+SUM(CG10:CR10)</f>
        <v>0</v>
      </c>
      <c r="CT10" s="7" t="s">
        <v>8</v>
      </c>
      <c r="CU10" s="22">
        <f>+VLOOKUP($BD10,'Jan-25'!$A:$J,7,0)</f>
        <v>0</v>
      </c>
      <c r="CV10" s="22">
        <f>+VLOOKUP($BD10,'Feb-25'!$A:$J,7,0)</f>
        <v>0</v>
      </c>
      <c r="CW10" s="22">
        <f>+VLOOKUP($BD10,'Mar-25'!$A:$J,7,0)</f>
        <v>0</v>
      </c>
      <c r="CX10" s="22">
        <f>+VLOOKUP($BD10,'Apr-25'!$A:$J,7,0)</f>
        <v>0</v>
      </c>
      <c r="CY10" s="22">
        <f>+VLOOKUP($BD10,'May-25'!$A:$J,7,0)</f>
        <v>0</v>
      </c>
      <c r="CZ10" s="22">
        <f>+VLOOKUP($BD10,'June-25'!$A:$J,7,0)</f>
        <v>0</v>
      </c>
      <c r="DA10" s="22">
        <f>+VLOOKUP($BD10,'July-25'!$A:$J,7,0)</f>
        <v>0</v>
      </c>
      <c r="DB10" s="22">
        <f>+VLOOKUP($BD10,'Aug-25'!$A:$J,7,0)</f>
        <v>0</v>
      </c>
      <c r="DC10" s="22">
        <f>+VLOOKUP($BD10,'Sep-25'!$A:$J,7,0)</f>
        <v>0</v>
      </c>
      <c r="DD10" s="22">
        <f>+VLOOKUP($BD10,'Oct-25'!$A:$J,7,0)</f>
        <v>0</v>
      </c>
      <c r="DE10" s="22">
        <f>+VLOOKUP($BD10,'Nov-25'!$A:$J,7,0)</f>
        <v>0</v>
      </c>
      <c r="DF10" s="22">
        <f>+VLOOKUP($BD10,'Dec-25'!$A:$J,7,0)</f>
        <v>0</v>
      </c>
      <c r="DG10" s="22">
        <f t="shared" ref="DG10:DG12" si="54">+SUM(CU10:DF10)</f>
        <v>0</v>
      </c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106">
        <f t="shared" ref="DU10:DU16" si="55">+SUM(DI10:DT10)</f>
        <v>0</v>
      </c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106">
        <f t="shared" ref="EI10:EI16" si="56">+SUM(DW10:EH10)</f>
        <v>0</v>
      </c>
      <c r="EJ10" s="7" t="s">
        <v>8</v>
      </c>
      <c r="EK10" s="22">
        <f>+VLOOKUP($BD10,'Jan-25'!$A:$J,9,0)</f>
        <v>0</v>
      </c>
      <c r="EL10" s="22">
        <f>+VLOOKUP($BD10,'Feb-25'!$A:$J,9,0)</f>
        <v>0</v>
      </c>
      <c r="EM10" s="22">
        <f>+VLOOKUP($BD10,'Mar-25'!$A:$J,9,0)</f>
        <v>0</v>
      </c>
      <c r="EN10" s="22">
        <f>+VLOOKUP($BD10,'Apr-25'!$A:$J,9,0)</f>
        <v>0</v>
      </c>
      <c r="EO10" s="22">
        <f>+VLOOKUP($BD10,'May-25'!$A:$J,9,0)</f>
        <v>0</v>
      </c>
      <c r="EP10" s="22">
        <f>+VLOOKUP($BD10,'June-25'!$A:$J,9,0)</f>
        <v>0</v>
      </c>
      <c r="EQ10" s="22">
        <f>+VLOOKUP($BD10,'July-25'!$A:$J,9,0)</f>
        <v>0</v>
      </c>
      <c r="ER10" s="22">
        <f>+VLOOKUP($BD10,'Aug-25'!$A:$J,9,0)</f>
        <v>0</v>
      </c>
      <c r="ES10" s="22">
        <f>+VLOOKUP($BD10,'Sep-25'!$A:$J,9,0)</f>
        <v>0</v>
      </c>
      <c r="ET10" s="22">
        <f>+VLOOKUP($BD10,'Oct-25'!$A:$J,9,0)</f>
        <v>0</v>
      </c>
      <c r="EU10" s="22">
        <f>+VLOOKUP($BD10,'Nov-25'!$A:$J,9,0)</f>
        <v>0</v>
      </c>
      <c r="EV10" s="22">
        <f>+VLOOKUP($BD10,'Dec-25'!$A:$J,9,0)</f>
        <v>0</v>
      </c>
      <c r="EW10" s="22">
        <f t="shared" ref="EW10:EW12" si="57">+SUM(EK10:EV10)</f>
        <v>0</v>
      </c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106">
        <f t="shared" ref="FK10:FK16" si="58">+SUM(EY10:FJ10)</f>
        <v>0</v>
      </c>
    </row>
    <row r="11" spans="1:167" ht="14.45" hidden="1" customHeight="1" outlineLevel="1">
      <c r="A11" s="106">
        <f t="shared" si="18"/>
        <v>0</v>
      </c>
      <c r="B11" s="106">
        <f t="shared" si="18"/>
        <v>0</v>
      </c>
      <c r="C11" s="106">
        <f t="shared" si="18"/>
        <v>0</v>
      </c>
      <c r="D11" s="106">
        <f t="shared" si="18"/>
        <v>0</v>
      </c>
      <c r="E11" s="106">
        <f t="shared" si="18"/>
        <v>0</v>
      </c>
      <c r="F11" s="106">
        <f t="shared" si="18"/>
        <v>0</v>
      </c>
      <c r="G11" s="106">
        <f t="shared" si="18"/>
        <v>0</v>
      </c>
      <c r="H11" s="106">
        <f t="shared" si="18"/>
        <v>0</v>
      </c>
      <c r="I11" s="106">
        <f t="shared" si="18"/>
        <v>0</v>
      </c>
      <c r="J11" s="106">
        <f t="shared" si="18"/>
        <v>0</v>
      </c>
      <c r="K11" s="106">
        <f t="shared" si="18"/>
        <v>0</v>
      </c>
      <c r="L11" s="106">
        <f t="shared" si="18"/>
        <v>0</v>
      </c>
      <c r="M11" s="106">
        <f t="shared" si="47"/>
        <v>0</v>
      </c>
      <c r="N11" s="7" t="s">
        <v>9</v>
      </c>
      <c r="O11" s="22">
        <f t="shared" si="45"/>
        <v>0</v>
      </c>
      <c r="P11" s="22">
        <f t="shared" si="45"/>
        <v>0</v>
      </c>
      <c r="Q11" s="22">
        <f t="shared" si="45"/>
        <v>0</v>
      </c>
      <c r="R11" s="22">
        <f t="shared" si="45"/>
        <v>0</v>
      </c>
      <c r="S11" s="22">
        <f t="shared" si="45"/>
        <v>0</v>
      </c>
      <c r="T11" s="22">
        <f t="shared" si="45"/>
        <v>0</v>
      </c>
      <c r="U11" s="22">
        <f t="shared" si="45"/>
        <v>0</v>
      </c>
      <c r="V11" s="22">
        <f t="shared" si="45"/>
        <v>0</v>
      </c>
      <c r="W11" s="22">
        <f t="shared" si="45"/>
        <v>0</v>
      </c>
      <c r="X11" s="22">
        <f t="shared" si="45"/>
        <v>0</v>
      </c>
      <c r="Y11" s="22">
        <f t="shared" si="45"/>
        <v>0</v>
      </c>
      <c r="Z11" s="22">
        <f t="shared" si="45"/>
        <v>0</v>
      </c>
      <c r="AA11" s="22">
        <f t="shared" si="48"/>
        <v>0</v>
      </c>
      <c r="AC11" s="22">
        <f t="shared" si="46"/>
        <v>0</v>
      </c>
      <c r="AD11" s="22">
        <f t="shared" si="46"/>
        <v>0</v>
      </c>
      <c r="AE11" s="22">
        <f t="shared" si="46"/>
        <v>0</v>
      </c>
      <c r="AF11" s="22">
        <f t="shared" si="46"/>
        <v>0</v>
      </c>
      <c r="AG11" s="22">
        <f t="shared" si="46"/>
        <v>0</v>
      </c>
      <c r="AH11" s="22">
        <f t="shared" si="46"/>
        <v>0</v>
      </c>
      <c r="AI11" s="22">
        <f t="shared" si="46"/>
        <v>0</v>
      </c>
      <c r="AJ11" s="22">
        <f t="shared" si="46"/>
        <v>0</v>
      </c>
      <c r="AK11" s="22">
        <f t="shared" si="46"/>
        <v>0</v>
      </c>
      <c r="AL11" s="22">
        <f t="shared" si="46"/>
        <v>0</v>
      </c>
      <c r="AM11" s="22">
        <f t="shared" si="46"/>
        <v>0</v>
      </c>
      <c r="AN11" s="22">
        <f t="shared" si="46"/>
        <v>0</v>
      </c>
      <c r="AO11" s="22">
        <f t="shared" si="49"/>
        <v>0</v>
      </c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>
        <f t="shared" si="50"/>
        <v>0</v>
      </c>
      <c r="BD11" s="7" t="s">
        <v>9</v>
      </c>
      <c r="BE11" s="22">
        <f>+VLOOKUP($BD11,'Jan-25'!$A:$J,4,0)</f>
        <v>0</v>
      </c>
      <c r="BF11" s="22">
        <f>+VLOOKUP($BD11,'Feb-25'!$A:$J,4,0)</f>
        <v>0</v>
      </c>
      <c r="BG11" s="22">
        <f>+VLOOKUP($BD11,'Mar-25'!$A:$J,4,0)</f>
        <v>0</v>
      </c>
      <c r="BH11" s="22">
        <f>+VLOOKUP($BD11,'Apr-25'!$A:$J,4,0)</f>
        <v>0</v>
      </c>
      <c r="BI11" s="22">
        <f>+VLOOKUP($BD11,'May-25'!$A:$J,4,0)</f>
        <v>0</v>
      </c>
      <c r="BJ11" s="22">
        <f>+VLOOKUP($BD11,'June-25'!$A:$J,4,0)</f>
        <v>0</v>
      </c>
      <c r="BK11" s="22">
        <f>+VLOOKUP($BD11,'July-25'!$A:$J,4,0)</f>
        <v>0</v>
      </c>
      <c r="BL11" s="22">
        <f>+VLOOKUP($BD11,'Aug-25'!$A:$J,4,0)</f>
        <v>0</v>
      </c>
      <c r="BM11" s="22">
        <f>+VLOOKUP($BD11,'Sep-25'!$A:$J,4,0)</f>
        <v>0</v>
      </c>
      <c r="BN11" s="22">
        <f>+VLOOKUP($BD11,'Oct-25'!$A:$J,4,0)</f>
        <v>0</v>
      </c>
      <c r="BO11" s="22">
        <f>+VLOOKUP($BD11,'Nov-25'!$A:$J,4,0)</f>
        <v>0</v>
      </c>
      <c r="BP11" s="22">
        <f>+VLOOKUP($BD11,'Dec-25'!$A:$J,4,0)</f>
        <v>0</v>
      </c>
      <c r="BQ11" s="22">
        <f t="shared" si="51"/>
        <v>0</v>
      </c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>
        <f t="shared" si="52"/>
        <v>0</v>
      </c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106">
        <f t="shared" si="53"/>
        <v>0</v>
      </c>
      <c r="CT11" s="7" t="s">
        <v>9</v>
      </c>
      <c r="CU11" s="22">
        <f>+VLOOKUP($BD11,'Jan-25'!$A:$J,7,0)</f>
        <v>0</v>
      </c>
      <c r="CV11" s="22">
        <f>+VLOOKUP($BD11,'Feb-25'!$A:$J,7,0)</f>
        <v>0</v>
      </c>
      <c r="CW11" s="22">
        <f>+VLOOKUP($BD11,'Mar-25'!$A:$J,7,0)</f>
        <v>0</v>
      </c>
      <c r="CX11" s="22">
        <f>+VLOOKUP($BD11,'Apr-25'!$A:$J,7,0)</f>
        <v>0</v>
      </c>
      <c r="CY11" s="22">
        <f>+VLOOKUP($BD11,'May-25'!$A:$J,7,0)</f>
        <v>0</v>
      </c>
      <c r="CZ11" s="22">
        <f>+VLOOKUP($BD11,'June-25'!$A:$J,7,0)</f>
        <v>0</v>
      </c>
      <c r="DA11" s="22">
        <f>+VLOOKUP($BD11,'July-25'!$A:$J,7,0)</f>
        <v>0</v>
      </c>
      <c r="DB11" s="22">
        <f>+VLOOKUP($BD11,'Aug-25'!$A:$J,7,0)</f>
        <v>0</v>
      </c>
      <c r="DC11" s="22">
        <f>+VLOOKUP($BD11,'Sep-25'!$A:$J,7,0)</f>
        <v>0</v>
      </c>
      <c r="DD11" s="22">
        <f>+VLOOKUP($BD11,'Oct-25'!$A:$J,7,0)</f>
        <v>0</v>
      </c>
      <c r="DE11" s="22">
        <f>+VLOOKUP($BD11,'Nov-25'!$A:$J,7,0)</f>
        <v>0</v>
      </c>
      <c r="DF11" s="22">
        <f>+VLOOKUP($BD11,'Dec-25'!$A:$J,7,0)</f>
        <v>0</v>
      </c>
      <c r="DG11" s="22">
        <f t="shared" si="54"/>
        <v>0</v>
      </c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106">
        <f t="shared" si="55"/>
        <v>0</v>
      </c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106">
        <f t="shared" si="56"/>
        <v>0</v>
      </c>
      <c r="EJ11" s="7" t="s">
        <v>9</v>
      </c>
      <c r="EK11" s="22">
        <f>+VLOOKUP($BD11,'Jan-25'!$A:$J,9,0)</f>
        <v>0</v>
      </c>
      <c r="EL11" s="22">
        <f>+VLOOKUP($BD11,'Feb-25'!$A:$J,9,0)</f>
        <v>0</v>
      </c>
      <c r="EM11" s="22">
        <f>+VLOOKUP($BD11,'Mar-25'!$A:$J,9,0)</f>
        <v>0</v>
      </c>
      <c r="EN11" s="22">
        <f>+VLOOKUP($BD11,'Apr-25'!$A:$J,9,0)</f>
        <v>0</v>
      </c>
      <c r="EO11" s="22">
        <f>+VLOOKUP($BD11,'May-25'!$A:$J,9,0)</f>
        <v>0</v>
      </c>
      <c r="EP11" s="22">
        <f>+VLOOKUP($BD11,'June-25'!$A:$J,9,0)</f>
        <v>0</v>
      </c>
      <c r="EQ11" s="22">
        <f>+VLOOKUP($BD11,'July-25'!$A:$J,9,0)</f>
        <v>0</v>
      </c>
      <c r="ER11" s="22">
        <f>+VLOOKUP($BD11,'Aug-25'!$A:$J,9,0)</f>
        <v>0</v>
      </c>
      <c r="ES11" s="22">
        <f>+VLOOKUP($BD11,'Sep-25'!$A:$J,9,0)</f>
        <v>0</v>
      </c>
      <c r="ET11" s="22">
        <f>+VLOOKUP($BD11,'Oct-25'!$A:$J,9,0)</f>
        <v>0</v>
      </c>
      <c r="EU11" s="22">
        <f>+VLOOKUP($BD11,'Nov-25'!$A:$J,9,0)</f>
        <v>0</v>
      </c>
      <c r="EV11" s="22">
        <f>+VLOOKUP($BD11,'Dec-25'!$A:$J,9,0)</f>
        <v>0</v>
      </c>
      <c r="EW11" s="22">
        <f t="shared" si="57"/>
        <v>0</v>
      </c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106">
        <f t="shared" si="58"/>
        <v>0</v>
      </c>
    </row>
    <row r="12" spans="1:167" ht="14.45" hidden="1" customHeight="1" outlineLevel="1">
      <c r="A12" s="106">
        <f t="shared" si="18"/>
        <v>0</v>
      </c>
      <c r="B12" s="106">
        <f t="shared" si="18"/>
        <v>0</v>
      </c>
      <c r="C12" s="106">
        <f t="shared" si="18"/>
        <v>0</v>
      </c>
      <c r="D12" s="106">
        <f t="shared" si="18"/>
        <v>0</v>
      </c>
      <c r="E12" s="106">
        <f t="shared" si="18"/>
        <v>0</v>
      </c>
      <c r="F12" s="106">
        <f t="shared" si="18"/>
        <v>0</v>
      </c>
      <c r="G12" s="106">
        <f t="shared" si="18"/>
        <v>0</v>
      </c>
      <c r="H12" s="106">
        <f t="shared" si="18"/>
        <v>0</v>
      </c>
      <c r="I12" s="106">
        <f t="shared" si="18"/>
        <v>0</v>
      </c>
      <c r="J12" s="106">
        <f t="shared" si="18"/>
        <v>0</v>
      </c>
      <c r="K12" s="106">
        <f t="shared" si="18"/>
        <v>0</v>
      </c>
      <c r="L12" s="106">
        <f t="shared" si="18"/>
        <v>0</v>
      </c>
      <c r="M12" s="106">
        <f t="shared" si="47"/>
        <v>0</v>
      </c>
      <c r="N12" s="7" t="s">
        <v>10</v>
      </c>
      <c r="O12" s="22">
        <f t="shared" si="45"/>
        <v>0</v>
      </c>
      <c r="P12" s="22">
        <f t="shared" si="45"/>
        <v>0</v>
      </c>
      <c r="Q12" s="22">
        <f t="shared" si="45"/>
        <v>0</v>
      </c>
      <c r="R12" s="22">
        <f t="shared" si="45"/>
        <v>0</v>
      </c>
      <c r="S12" s="22">
        <f t="shared" si="45"/>
        <v>0</v>
      </c>
      <c r="T12" s="22">
        <f t="shared" si="45"/>
        <v>0</v>
      </c>
      <c r="U12" s="22">
        <f t="shared" si="45"/>
        <v>0</v>
      </c>
      <c r="V12" s="22">
        <f t="shared" si="45"/>
        <v>0</v>
      </c>
      <c r="W12" s="22">
        <f t="shared" si="45"/>
        <v>0</v>
      </c>
      <c r="X12" s="22">
        <f t="shared" si="45"/>
        <v>0</v>
      </c>
      <c r="Y12" s="22">
        <f t="shared" si="45"/>
        <v>0</v>
      </c>
      <c r="Z12" s="22">
        <f t="shared" si="45"/>
        <v>0</v>
      </c>
      <c r="AA12" s="22">
        <f t="shared" si="48"/>
        <v>0</v>
      </c>
      <c r="AC12" s="22">
        <f t="shared" si="46"/>
        <v>0</v>
      </c>
      <c r="AD12" s="22">
        <f t="shared" si="46"/>
        <v>0</v>
      </c>
      <c r="AE12" s="22">
        <f t="shared" si="46"/>
        <v>0</v>
      </c>
      <c r="AF12" s="22">
        <f t="shared" si="46"/>
        <v>0</v>
      </c>
      <c r="AG12" s="22">
        <f t="shared" si="46"/>
        <v>0</v>
      </c>
      <c r="AH12" s="22">
        <f t="shared" si="46"/>
        <v>0</v>
      </c>
      <c r="AI12" s="22">
        <f t="shared" si="46"/>
        <v>0</v>
      </c>
      <c r="AJ12" s="22">
        <f t="shared" si="46"/>
        <v>0</v>
      </c>
      <c r="AK12" s="22">
        <f t="shared" si="46"/>
        <v>0</v>
      </c>
      <c r="AL12" s="22">
        <f t="shared" si="46"/>
        <v>0</v>
      </c>
      <c r="AM12" s="22">
        <f t="shared" si="46"/>
        <v>0</v>
      </c>
      <c r="AN12" s="22">
        <f t="shared" si="46"/>
        <v>0</v>
      </c>
      <c r="AO12" s="22">
        <f t="shared" si="49"/>
        <v>0</v>
      </c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>
        <f t="shared" si="50"/>
        <v>0</v>
      </c>
      <c r="BD12" s="7" t="s">
        <v>10</v>
      </c>
      <c r="BE12" s="22">
        <f>+VLOOKUP($BD12,'Jan-25'!$A:$J,4,0)</f>
        <v>0</v>
      </c>
      <c r="BF12" s="22">
        <f>+VLOOKUP($BD12,'Feb-25'!$A:$J,4,0)</f>
        <v>0</v>
      </c>
      <c r="BG12" s="22">
        <f>+VLOOKUP($BD12,'Mar-25'!$A:$J,4,0)</f>
        <v>0</v>
      </c>
      <c r="BH12" s="22">
        <f>+VLOOKUP($BD12,'Apr-25'!$A:$J,4,0)</f>
        <v>0</v>
      </c>
      <c r="BI12" s="22">
        <f>+VLOOKUP($BD12,'May-25'!$A:$J,4,0)</f>
        <v>0</v>
      </c>
      <c r="BJ12" s="22">
        <f>+VLOOKUP($BD12,'June-25'!$A:$J,4,0)</f>
        <v>0</v>
      </c>
      <c r="BK12" s="22">
        <f>+VLOOKUP($BD12,'July-25'!$A:$J,4,0)</f>
        <v>0</v>
      </c>
      <c r="BL12" s="22">
        <f>+VLOOKUP($BD12,'Aug-25'!$A:$J,4,0)</f>
        <v>0</v>
      </c>
      <c r="BM12" s="22">
        <f>+VLOOKUP($BD12,'Sep-25'!$A:$J,4,0)</f>
        <v>0</v>
      </c>
      <c r="BN12" s="22">
        <f>+VLOOKUP($BD12,'Oct-25'!$A:$J,4,0)</f>
        <v>0</v>
      </c>
      <c r="BO12" s="22">
        <f>+VLOOKUP($BD12,'Nov-25'!$A:$J,4,0)</f>
        <v>0</v>
      </c>
      <c r="BP12" s="22">
        <f>+VLOOKUP($BD12,'Dec-25'!$A:$J,4,0)</f>
        <v>0</v>
      </c>
      <c r="BQ12" s="22">
        <f t="shared" si="51"/>
        <v>0</v>
      </c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>
        <f t="shared" si="52"/>
        <v>0</v>
      </c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106">
        <f t="shared" si="53"/>
        <v>0</v>
      </c>
      <c r="CT12" s="7" t="s">
        <v>10</v>
      </c>
      <c r="CU12" s="22">
        <f>+VLOOKUP($BD12,'Jan-25'!$A:$J,7,0)</f>
        <v>0</v>
      </c>
      <c r="CV12" s="22">
        <f>+VLOOKUP($BD12,'Feb-25'!$A:$J,7,0)</f>
        <v>0</v>
      </c>
      <c r="CW12" s="22">
        <f>+VLOOKUP($BD12,'Mar-25'!$A:$J,7,0)</f>
        <v>0</v>
      </c>
      <c r="CX12" s="22">
        <f>+VLOOKUP($BD12,'Apr-25'!$A:$J,7,0)</f>
        <v>0</v>
      </c>
      <c r="CY12" s="22">
        <f>+VLOOKUP($BD12,'May-25'!$A:$J,7,0)</f>
        <v>0</v>
      </c>
      <c r="CZ12" s="22">
        <f>+VLOOKUP($BD12,'June-25'!$A:$J,7,0)</f>
        <v>0</v>
      </c>
      <c r="DA12" s="22">
        <f>+VLOOKUP($BD12,'July-25'!$A:$J,7,0)</f>
        <v>0</v>
      </c>
      <c r="DB12" s="22">
        <f>+VLOOKUP($BD12,'Aug-25'!$A:$J,7,0)</f>
        <v>0</v>
      </c>
      <c r="DC12" s="22">
        <f>+VLOOKUP($BD12,'Sep-25'!$A:$J,7,0)</f>
        <v>0</v>
      </c>
      <c r="DD12" s="22">
        <f>+VLOOKUP($BD12,'Oct-25'!$A:$J,7,0)</f>
        <v>0</v>
      </c>
      <c r="DE12" s="22">
        <f>+VLOOKUP($BD12,'Nov-25'!$A:$J,7,0)</f>
        <v>0</v>
      </c>
      <c r="DF12" s="22">
        <f>+VLOOKUP($BD12,'Dec-25'!$A:$J,7,0)</f>
        <v>0</v>
      </c>
      <c r="DG12" s="22">
        <f t="shared" si="54"/>
        <v>0</v>
      </c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106">
        <f t="shared" si="55"/>
        <v>0</v>
      </c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106">
        <f t="shared" si="56"/>
        <v>0</v>
      </c>
      <c r="EJ12" s="7" t="s">
        <v>10</v>
      </c>
      <c r="EK12" s="22">
        <f>+VLOOKUP($BD12,'Jan-25'!$A:$J,9,0)</f>
        <v>0</v>
      </c>
      <c r="EL12" s="22">
        <f>+VLOOKUP($BD12,'Feb-25'!$A:$J,9,0)</f>
        <v>0</v>
      </c>
      <c r="EM12" s="22">
        <f>+VLOOKUP($BD12,'Mar-25'!$A:$J,9,0)</f>
        <v>0</v>
      </c>
      <c r="EN12" s="22">
        <f>+VLOOKUP($BD12,'Apr-25'!$A:$J,9,0)</f>
        <v>0</v>
      </c>
      <c r="EO12" s="22">
        <f>+VLOOKUP($BD12,'May-25'!$A:$J,9,0)</f>
        <v>0</v>
      </c>
      <c r="EP12" s="22">
        <f>+VLOOKUP($BD12,'June-25'!$A:$J,9,0)</f>
        <v>0</v>
      </c>
      <c r="EQ12" s="22">
        <f>+VLOOKUP($BD12,'July-25'!$A:$J,9,0)</f>
        <v>0</v>
      </c>
      <c r="ER12" s="22">
        <f>+VLOOKUP($BD12,'Aug-25'!$A:$J,9,0)</f>
        <v>0</v>
      </c>
      <c r="ES12" s="22">
        <f>+VLOOKUP($BD12,'Sep-25'!$A:$J,9,0)</f>
        <v>0</v>
      </c>
      <c r="ET12" s="22">
        <f>+VLOOKUP($BD12,'Oct-25'!$A:$J,9,0)</f>
        <v>0</v>
      </c>
      <c r="EU12" s="22">
        <f>+VLOOKUP($BD12,'Nov-25'!$A:$J,9,0)</f>
        <v>0</v>
      </c>
      <c r="EV12" s="22">
        <f>+VLOOKUP($BD12,'Dec-25'!$A:$J,9,0)</f>
        <v>0</v>
      </c>
      <c r="EW12" s="22">
        <f t="shared" si="57"/>
        <v>0</v>
      </c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106">
        <f t="shared" si="58"/>
        <v>0</v>
      </c>
    </row>
    <row r="13" spans="1:167" ht="14.45" hidden="1" customHeight="1" outlineLevel="1">
      <c r="A13" s="58">
        <f>+SUM(A14:A17)</f>
        <v>0</v>
      </c>
      <c r="B13" s="58">
        <f t="shared" ref="B13:L13" si="59">+SUM(B14:B17)</f>
        <v>0</v>
      </c>
      <c r="C13" s="58">
        <f t="shared" si="59"/>
        <v>0</v>
      </c>
      <c r="D13" s="58">
        <f t="shared" si="59"/>
        <v>0</v>
      </c>
      <c r="E13" s="58">
        <f t="shared" si="59"/>
        <v>0</v>
      </c>
      <c r="F13" s="58">
        <f t="shared" si="59"/>
        <v>0</v>
      </c>
      <c r="G13" s="58">
        <f t="shared" si="59"/>
        <v>0</v>
      </c>
      <c r="H13" s="58">
        <f t="shared" si="59"/>
        <v>0</v>
      </c>
      <c r="I13" s="58">
        <f t="shared" si="59"/>
        <v>0</v>
      </c>
      <c r="J13" s="58">
        <f t="shared" si="59"/>
        <v>0</v>
      </c>
      <c r="K13" s="58">
        <f t="shared" si="59"/>
        <v>0</v>
      </c>
      <c r="L13" s="58">
        <f t="shared" si="59"/>
        <v>0</v>
      </c>
      <c r="M13" s="58">
        <f t="shared" si="47"/>
        <v>0</v>
      </c>
      <c r="N13" s="6" t="s">
        <v>11</v>
      </c>
      <c r="O13" s="28">
        <f>+SUM(O14:O17)</f>
        <v>0</v>
      </c>
      <c r="P13" s="28">
        <f t="shared" ref="P13:Z13" si="60">+SUM(P14:P17)</f>
        <v>0</v>
      </c>
      <c r="Q13" s="28">
        <f t="shared" si="60"/>
        <v>0</v>
      </c>
      <c r="R13" s="28">
        <f t="shared" si="60"/>
        <v>0</v>
      </c>
      <c r="S13" s="28">
        <f t="shared" si="60"/>
        <v>0</v>
      </c>
      <c r="T13" s="28">
        <f t="shared" si="60"/>
        <v>0</v>
      </c>
      <c r="U13" s="28">
        <f t="shared" si="60"/>
        <v>0</v>
      </c>
      <c r="V13" s="28">
        <f t="shared" si="60"/>
        <v>0</v>
      </c>
      <c r="W13" s="28">
        <f t="shared" si="60"/>
        <v>0</v>
      </c>
      <c r="X13" s="28">
        <f t="shared" si="60"/>
        <v>0</v>
      </c>
      <c r="Y13" s="28">
        <f t="shared" si="60"/>
        <v>0</v>
      </c>
      <c r="Z13" s="28">
        <f t="shared" si="60"/>
        <v>0</v>
      </c>
      <c r="AA13" s="28">
        <f t="shared" si="48"/>
        <v>0</v>
      </c>
      <c r="AC13" s="28">
        <f>+SUM(AC14:AC17)</f>
        <v>0</v>
      </c>
      <c r="AD13" s="28">
        <f t="shared" ref="AD13:AN13" si="61">+SUM(AD14:AD17)</f>
        <v>0</v>
      </c>
      <c r="AE13" s="28">
        <f t="shared" si="61"/>
        <v>0</v>
      </c>
      <c r="AF13" s="28">
        <f t="shared" si="61"/>
        <v>0</v>
      </c>
      <c r="AG13" s="28">
        <f t="shared" si="61"/>
        <v>0</v>
      </c>
      <c r="AH13" s="28">
        <f t="shared" si="61"/>
        <v>0</v>
      </c>
      <c r="AI13" s="28">
        <f t="shared" si="61"/>
        <v>0</v>
      </c>
      <c r="AJ13" s="28">
        <f t="shared" si="61"/>
        <v>0</v>
      </c>
      <c r="AK13" s="28">
        <f t="shared" si="61"/>
        <v>0</v>
      </c>
      <c r="AL13" s="28">
        <f t="shared" si="61"/>
        <v>0</v>
      </c>
      <c r="AM13" s="28">
        <f t="shared" si="61"/>
        <v>0</v>
      </c>
      <c r="AN13" s="28">
        <f t="shared" si="61"/>
        <v>0</v>
      </c>
      <c r="AO13" s="28">
        <f t="shared" si="49"/>
        <v>0</v>
      </c>
      <c r="AQ13" s="58">
        <f t="shared" ref="AQ13:BB13" si="62">+SUM(AQ14:AQ17)</f>
        <v>0</v>
      </c>
      <c r="AR13" s="58">
        <f t="shared" si="62"/>
        <v>0</v>
      </c>
      <c r="AS13" s="58">
        <f t="shared" si="62"/>
        <v>0</v>
      </c>
      <c r="AT13" s="58">
        <f t="shared" si="62"/>
        <v>0</v>
      </c>
      <c r="AU13" s="58">
        <f t="shared" si="62"/>
        <v>0</v>
      </c>
      <c r="AV13" s="58">
        <f t="shared" si="62"/>
        <v>0</v>
      </c>
      <c r="AW13" s="58">
        <f t="shared" si="62"/>
        <v>0</v>
      </c>
      <c r="AX13" s="58">
        <f t="shared" si="62"/>
        <v>0</v>
      </c>
      <c r="AY13" s="58">
        <f t="shared" si="62"/>
        <v>0</v>
      </c>
      <c r="AZ13" s="58">
        <f t="shared" si="62"/>
        <v>0</v>
      </c>
      <c r="BA13" s="58">
        <f t="shared" si="62"/>
        <v>0</v>
      </c>
      <c r="BB13" s="58">
        <f t="shared" si="62"/>
        <v>0</v>
      </c>
      <c r="BC13" s="58">
        <f t="shared" si="50"/>
        <v>0</v>
      </c>
      <c r="BD13" s="6" t="str">
        <f t="shared" si="7"/>
        <v>Quantitative Margin</v>
      </c>
      <c r="BE13" s="28">
        <f t="shared" ref="BE13:BP13" si="63">+SUM(BE14:BE17)</f>
        <v>0</v>
      </c>
      <c r="BF13" s="28">
        <f t="shared" si="63"/>
        <v>0</v>
      </c>
      <c r="BG13" s="28">
        <f t="shared" si="63"/>
        <v>0</v>
      </c>
      <c r="BH13" s="28">
        <f t="shared" si="63"/>
        <v>0</v>
      </c>
      <c r="BI13" s="28">
        <f t="shared" si="63"/>
        <v>0</v>
      </c>
      <c r="BJ13" s="28">
        <f t="shared" si="63"/>
        <v>0</v>
      </c>
      <c r="BK13" s="28">
        <f t="shared" si="63"/>
        <v>0</v>
      </c>
      <c r="BL13" s="28">
        <f t="shared" si="63"/>
        <v>0</v>
      </c>
      <c r="BM13" s="28">
        <f t="shared" si="63"/>
        <v>0</v>
      </c>
      <c r="BN13" s="28">
        <f t="shared" si="63"/>
        <v>0</v>
      </c>
      <c r="BO13" s="28">
        <f t="shared" si="63"/>
        <v>0</v>
      </c>
      <c r="BP13" s="28">
        <f t="shared" si="63"/>
        <v>0</v>
      </c>
      <c r="BQ13" s="28">
        <f t="shared" ref="BQ13:BQ16" si="64">+SUM(BE13:BP13)</f>
        <v>0</v>
      </c>
      <c r="BS13" s="58">
        <f t="shared" ref="BS13:CD13" si="65">+SUM(BS14:BS17)</f>
        <v>0</v>
      </c>
      <c r="BT13" s="58">
        <f t="shared" si="65"/>
        <v>0</v>
      </c>
      <c r="BU13" s="58">
        <f t="shared" si="65"/>
        <v>0</v>
      </c>
      <c r="BV13" s="58">
        <f t="shared" si="65"/>
        <v>0</v>
      </c>
      <c r="BW13" s="58">
        <f t="shared" si="65"/>
        <v>0</v>
      </c>
      <c r="BX13" s="58">
        <f t="shared" si="65"/>
        <v>0</v>
      </c>
      <c r="BY13" s="58">
        <f t="shared" si="65"/>
        <v>0</v>
      </c>
      <c r="BZ13" s="58">
        <f t="shared" si="65"/>
        <v>0</v>
      </c>
      <c r="CA13" s="58">
        <f t="shared" si="65"/>
        <v>0</v>
      </c>
      <c r="CB13" s="58">
        <f t="shared" si="65"/>
        <v>0</v>
      </c>
      <c r="CC13" s="58">
        <f t="shared" si="65"/>
        <v>0</v>
      </c>
      <c r="CD13" s="58">
        <f t="shared" si="65"/>
        <v>0</v>
      </c>
      <c r="CE13" s="58">
        <f t="shared" si="52"/>
        <v>0</v>
      </c>
      <c r="CF13" s="22"/>
      <c r="CG13" s="28">
        <f t="shared" ref="CG13:CR13" si="66">+SUM(CG14:CG17)</f>
        <v>0</v>
      </c>
      <c r="CH13" s="28">
        <f t="shared" si="66"/>
        <v>0</v>
      </c>
      <c r="CI13" s="28">
        <f t="shared" si="66"/>
        <v>0</v>
      </c>
      <c r="CJ13" s="28">
        <f t="shared" si="66"/>
        <v>0</v>
      </c>
      <c r="CK13" s="28">
        <f t="shared" si="66"/>
        <v>0</v>
      </c>
      <c r="CL13" s="28">
        <f t="shared" si="66"/>
        <v>0</v>
      </c>
      <c r="CM13" s="28">
        <f t="shared" si="66"/>
        <v>0</v>
      </c>
      <c r="CN13" s="28">
        <f t="shared" si="66"/>
        <v>0</v>
      </c>
      <c r="CO13" s="28">
        <f t="shared" si="66"/>
        <v>0</v>
      </c>
      <c r="CP13" s="28">
        <f t="shared" si="66"/>
        <v>0</v>
      </c>
      <c r="CQ13" s="28">
        <f t="shared" si="66"/>
        <v>0</v>
      </c>
      <c r="CR13" s="28">
        <f t="shared" si="66"/>
        <v>0</v>
      </c>
      <c r="CS13" s="58">
        <f t="shared" si="53"/>
        <v>0</v>
      </c>
      <c r="CT13" s="6" t="str">
        <f t="shared" si="11"/>
        <v>Quantitative Margin</v>
      </c>
      <c r="CU13" s="28">
        <f t="shared" ref="CU13:DF13" si="67">+SUM(CU14:CU17)</f>
        <v>0</v>
      </c>
      <c r="CV13" s="28">
        <f t="shared" si="67"/>
        <v>0</v>
      </c>
      <c r="CW13" s="28">
        <f t="shared" si="67"/>
        <v>0</v>
      </c>
      <c r="CX13" s="28">
        <f t="shared" si="67"/>
        <v>0</v>
      </c>
      <c r="CY13" s="28">
        <f t="shared" si="67"/>
        <v>0</v>
      </c>
      <c r="CZ13" s="28">
        <f t="shared" si="67"/>
        <v>0</v>
      </c>
      <c r="DA13" s="28">
        <f t="shared" si="67"/>
        <v>0</v>
      </c>
      <c r="DB13" s="28">
        <f t="shared" si="67"/>
        <v>0</v>
      </c>
      <c r="DC13" s="28">
        <f t="shared" si="67"/>
        <v>0</v>
      </c>
      <c r="DD13" s="28">
        <f t="shared" si="67"/>
        <v>0</v>
      </c>
      <c r="DE13" s="28">
        <f t="shared" si="67"/>
        <v>0</v>
      </c>
      <c r="DF13" s="28">
        <f t="shared" si="67"/>
        <v>0</v>
      </c>
      <c r="DG13" s="28">
        <f t="shared" ref="DG13:DG16" si="68">+SUM(CU13:DF13)</f>
        <v>0</v>
      </c>
      <c r="DI13" s="28">
        <f t="shared" ref="DI13:DT13" si="69">+SUM(DI14:DI17)</f>
        <v>0</v>
      </c>
      <c r="DJ13" s="28">
        <f t="shared" si="69"/>
        <v>0</v>
      </c>
      <c r="DK13" s="28">
        <f t="shared" si="69"/>
        <v>0</v>
      </c>
      <c r="DL13" s="28">
        <f t="shared" si="69"/>
        <v>0</v>
      </c>
      <c r="DM13" s="28">
        <f t="shared" si="69"/>
        <v>0</v>
      </c>
      <c r="DN13" s="28">
        <f t="shared" si="69"/>
        <v>0</v>
      </c>
      <c r="DO13" s="28">
        <f t="shared" si="69"/>
        <v>0</v>
      </c>
      <c r="DP13" s="28">
        <f t="shared" si="69"/>
        <v>0</v>
      </c>
      <c r="DQ13" s="28">
        <f t="shared" si="69"/>
        <v>0</v>
      </c>
      <c r="DR13" s="28">
        <f t="shared" si="69"/>
        <v>0</v>
      </c>
      <c r="DS13" s="28">
        <f t="shared" si="69"/>
        <v>0</v>
      </c>
      <c r="DT13" s="28">
        <f t="shared" si="69"/>
        <v>0</v>
      </c>
      <c r="DU13" s="58">
        <f t="shared" si="55"/>
        <v>0</v>
      </c>
      <c r="DW13" s="28">
        <f t="shared" ref="DW13:EH13" si="70">+SUM(DW14:DW17)</f>
        <v>0</v>
      </c>
      <c r="DX13" s="28">
        <f t="shared" si="70"/>
        <v>0</v>
      </c>
      <c r="DY13" s="28">
        <f t="shared" si="70"/>
        <v>0</v>
      </c>
      <c r="DZ13" s="28">
        <f t="shared" si="70"/>
        <v>0</v>
      </c>
      <c r="EA13" s="28">
        <f t="shared" si="70"/>
        <v>0</v>
      </c>
      <c r="EB13" s="28">
        <f t="shared" si="70"/>
        <v>0</v>
      </c>
      <c r="EC13" s="28">
        <f t="shared" si="70"/>
        <v>0</v>
      </c>
      <c r="ED13" s="28">
        <f t="shared" si="70"/>
        <v>0</v>
      </c>
      <c r="EE13" s="28">
        <f t="shared" si="70"/>
        <v>0</v>
      </c>
      <c r="EF13" s="28">
        <f t="shared" si="70"/>
        <v>0</v>
      </c>
      <c r="EG13" s="28">
        <f t="shared" si="70"/>
        <v>0</v>
      </c>
      <c r="EH13" s="28">
        <f t="shared" si="70"/>
        <v>0</v>
      </c>
      <c r="EI13" s="58">
        <f t="shared" si="56"/>
        <v>0</v>
      </c>
      <c r="EJ13" s="6" t="str">
        <f t="shared" ref="EJ13:EJ71" si="71">CT13</f>
        <v>Quantitative Margin</v>
      </c>
      <c r="EK13" s="28">
        <f t="shared" ref="EK13:EV13" si="72">+SUM(EK14:EK17)</f>
        <v>0</v>
      </c>
      <c r="EL13" s="28">
        <f t="shared" si="72"/>
        <v>0</v>
      </c>
      <c r="EM13" s="28">
        <f t="shared" si="72"/>
        <v>0</v>
      </c>
      <c r="EN13" s="28">
        <f t="shared" si="72"/>
        <v>0</v>
      </c>
      <c r="EO13" s="28">
        <f t="shared" si="72"/>
        <v>0</v>
      </c>
      <c r="EP13" s="28">
        <f t="shared" si="72"/>
        <v>0</v>
      </c>
      <c r="EQ13" s="28">
        <f t="shared" si="72"/>
        <v>0</v>
      </c>
      <c r="ER13" s="28">
        <f t="shared" si="72"/>
        <v>0</v>
      </c>
      <c r="ES13" s="28">
        <f t="shared" si="72"/>
        <v>0</v>
      </c>
      <c r="ET13" s="28">
        <f t="shared" si="72"/>
        <v>0</v>
      </c>
      <c r="EU13" s="28">
        <f t="shared" si="72"/>
        <v>0</v>
      </c>
      <c r="EV13" s="28">
        <f t="shared" si="72"/>
        <v>0</v>
      </c>
      <c r="EW13" s="28">
        <f t="shared" ref="EW13:EW16" si="73">+SUM(EK13:EV13)</f>
        <v>0</v>
      </c>
      <c r="EY13" s="28">
        <f t="shared" ref="EY13:FJ13" si="74">+SUM(EY14:EY17)</f>
        <v>0</v>
      </c>
      <c r="EZ13" s="28">
        <f t="shared" si="74"/>
        <v>0</v>
      </c>
      <c r="FA13" s="28">
        <f t="shared" si="74"/>
        <v>0</v>
      </c>
      <c r="FB13" s="28">
        <f t="shared" si="74"/>
        <v>0</v>
      </c>
      <c r="FC13" s="28">
        <f t="shared" si="74"/>
        <v>0</v>
      </c>
      <c r="FD13" s="28">
        <f t="shared" si="74"/>
        <v>0</v>
      </c>
      <c r="FE13" s="28">
        <f t="shared" si="74"/>
        <v>0</v>
      </c>
      <c r="FF13" s="28">
        <f t="shared" si="74"/>
        <v>0</v>
      </c>
      <c r="FG13" s="28">
        <f t="shared" si="74"/>
        <v>0</v>
      </c>
      <c r="FH13" s="28">
        <f t="shared" si="74"/>
        <v>0</v>
      </c>
      <c r="FI13" s="28">
        <f t="shared" si="74"/>
        <v>0</v>
      </c>
      <c r="FJ13" s="28">
        <f t="shared" si="74"/>
        <v>0</v>
      </c>
      <c r="FK13" s="58">
        <f t="shared" si="58"/>
        <v>0</v>
      </c>
    </row>
    <row r="14" spans="1:167" ht="14.45" hidden="1" customHeight="1" outlineLevel="1">
      <c r="A14" s="106">
        <f t="shared" ref="A14:L16" si="75">+AQ14+CG14+DW14</f>
        <v>0</v>
      </c>
      <c r="B14" s="106">
        <f t="shared" si="75"/>
        <v>0</v>
      </c>
      <c r="C14" s="106">
        <f t="shared" si="75"/>
        <v>0</v>
      </c>
      <c r="D14" s="106">
        <f t="shared" si="75"/>
        <v>0</v>
      </c>
      <c r="E14" s="106">
        <f t="shared" si="75"/>
        <v>0</v>
      </c>
      <c r="F14" s="106">
        <f t="shared" si="75"/>
        <v>0</v>
      </c>
      <c r="G14" s="106">
        <f t="shared" si="75"/>
        <v>0</v>
      </c>
      <c r="H14" s="106">
        <f t="shared" si="75"/>
        <v>0</v>
      </c>
      <c r="I14" s="106">
        <f t="shared" si="75"/>
        <v>0</v>
      </c>
      <c r="J14" s="106">
        <f t="shared" si="75"/>
        <v>0</v>
      </c>
      <c r="K14" s="106">
        <f t="shared" si="75"/>
        <v>0</v>
      </c>
      <c r="L14" s="106">
        <f t="shared" si="75"/>
        <v>0</v>
      </c>
      <c r="M14" s="106">
        <f t="shared" si="47"/>
        <v>0</v>
      </c>
      <c r="N14" s="7" t="s">
        <v>12</v>
      </c>
      <c r="O14" s="22">
        <f t="shared" ref="O14:Z16" si="76">+BE14+CU14+EK14</f>
        <v>0</v>
      </c>
      <c r="P14" s="22">
        <f t="shared" si="76"/>
        <v>0</v>
      </c>
      <c r="Q14" s="22">
        <f t="shared" si="76"/>
        <v>0</v>
      </c>
      <c r="R14" s="22">
        <f t="shared" si="76"/>
        <v>0</v>
      </c>
      <c r="S14" s="22">
        <f t="shared" si="76"/>
        <v>0</v>
      </c>
      <c r="T14" s="22">
        <f t="shared" si="76"/>
        <v>0</v>
      </c>
      <c r="U14" s="22">
        <f t="shared" si="76"/>
        <v>0</v>
      </c>
      <c r="V14" s="22">
        <f t="shared" si="76"/>
        <v>0</v>
      </c>
      <c r="W14" s="22">
        <f t="shared" si="76"/>
        <v>0</v>
      </c>
      <c r="X14" s="22">
        <f t="shared" si="76"/>
        <v>0</v>
      </c>
      <c r="Y14" s="22">
        <f t="shared" si="76"/>
        <v>0</v>
      </c>
      <c r="Z14" s="22">
        <f t="shared" si="76"/>
        <v>0</v>
      </c>
      <c r="AA14" s="22">
        <f t="shared" si="48"/>
        <v>0</v>
      </c>
      <c r="AC14" s="22">
        <f t="shared" ref="AC14:AN16" si="77">+BS14+DI14+EY14</f>
        <v>0</v>
      </c>
      <c r="AD14" s="22">
        <f t="shared" si="77"/>
        <v>0</v>
      </c>
      <c r="AE14" s="22">
        <f t="shared" si="77"/>
        <v>0</v>
      </c>
      <c r="AF14" s="22">
        <f t="shared" si="77"/>
        <v>0</v>
      </c>
      <c r="AG14" s="22">
        <f t="shared" si="77"/>
        <v>0</v>
      </c>
      <c r="AH14" s="22">
        <f t="shared" si="77"/>
        <v>0</v>
      </c>
      <c r="AI14" s="22">
        <f t="shared" si="77"/>
        <v>0</v>
      </c>
      <c r="AJ14" s="22">
        <f t="shared" si="77"/>
        <v>0</v>
      </c>
      <c r="AK14" s="22">
        <f t="shared" si="77"/>
        <v>0</v>
      </c>
      <c r="AL14" s="22">
        <f t="shared" si="77"/>
        <v>0</v>
      </c>
      <c r="AM14" s="22">
        <f t="shared" si="77"/>
        <v>0</v>
      </c>
      <c r="AN14" s="22">
        <f t="shared" si="77"/>
        <v>0</v>
      </c>
      <c r="AO14" s="22">
        <f t="shared" si="49"/>
        <v>0</v>
      </c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>
        <f t="shared" si="50"/>
        <v>0</v>
      </c>
      <c r="BD14" s="7" t="str">
        <f t="shared" si="7"/>
        <v>Digital and Lead Management</v>
      </c>
      <c r="BE14" s="22">
        <f>+VLOOKUP($BD14,'Jan-25'!$A:$J,4,0)</f>
        <v>0</v>
      </c>
      <c r="BF14" s="22">
        <f>+VLOOKUP($BD14,'Feb-25'!$A:$J,4,0)</f>
        <v>0</v>
      </c>
      <c r="BG14" s="22">
        <f>+VLOOKUP($BD14,'Mar-25'!$A:$J,4,0)</f>
        <v>0</v>
      </c>
      <c r="BH14" s="22">
        <f>+VLOOKUP($BD14,'Apr-25'!$A:$J,4,0)</f>
        <v>0</v>
      </c>
      <c r="BI14" s="22">
        <f>+VLOOKUP($BD14,'May-25'!$A:$J,4,0)</f>
        <v>0</v>
      </c>
      <c r="BJ14" s="22">
        <f>+VLOOKUP($BD14,'June-25'!$A:$J,4,0)</f>
        <v>0</v>
      </c>
      <c r="BK14" s="22">
        <f>+VLOOKUP($BD14,'July-25'!$A:$J,4,0)</f>
        <v>0</v>
      </c>
      <c r="BL14" s="22">
        <f>+VLOOKUP($BD14,'Aug-25'!$A:$J,4,0)</f>
        <v>0</v>
      </c>
      <c r="BM14" s="22">
        <f>+VLOOKUP($BD14,'Sep-25'!$A:$J,4,0)</f>
        <v>0</v>
      </c>
      <c r="BN14" s="22">
        <f>+VLOOKUP($BD14,'Oct-25'!$A:$J,4,0)</f>
        <v>0</v>
      </c>
      <c r="BO14" s="22">
        <f>+VLOOKUP($BD14,'Nov-25'!$A:$J,4,0)</f>
        <v>0</v>
      </c>
      <c r="BP14" s="22">
        <f>+VLOOKUP($BD14,'Dec-25'!$A:$J,4,0)</f>
        <v>0</v>
      </c>
      <c r="BQ14" s="22">
        <f t="shared" si="64"/>
        <v>0</v>
      </c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>
        <f t="shared" si="52"/>
        <v>0</v>
      </c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106">
        <f t="shared" si="53"/>
        <v>0</v>
      </c>
      <c r="CT14" s="7" t="str">
        <f t="shared" si="11"/>
        <v>Digital and Lead Management</v>
      </c>
      <c r="CU14" s="22">
        <f>+VLOOKUP($BD14,'Jan-25'!$A:$J,7,0)</f>
        <v>0</v>
      </c>
      <c r="CV14" s="22">
        <f>+VLOOKUP($BD14,'Feb-25'!$A:$J,7,0)</f>
        <v>0</v>
      </c>
      <c r="CW14" s="22">
        <f>+VLOOKUP($BD14,'Mar-25'!$A:$J,7,0)</f>
        <v>0</v>
      </c>
      <c r="CX14" s="22">
        <f>+VLOOKUP($BD14,'Apr-25'!$A:$J,7,0)</f>
        <v>0</v>
      </c>
      <c r="CY14" s="22">
        <f>+VLOOKUP($BD14,'May-25'!$A:$J,7,0)</f>
        <v>0</v>
      </c>
      <c r="CZ14" s="22">
        <f>+VLOOKUP($BD14,'June-25'!$A:$J,7,0)</f>
        <v>0</v>
      </c>
      <c r="DA14" s="22">
        <f>+VLOOKUP($BD14,'July-25'!$A:$J,7,0)</f>
        <v>0</v>
      </c>
      <c r="DB14" s="22">
        <f>+VLOOKUP($BD14,'Aug-25'!$A:$J,7,0)</f>
        <v>0</v>
      </c>
      <c r="DC14" s="22">
        <f>+VLOOKUP($BD14,'Sep-25'!$A:$J,7,0)</f>
        <v>0</v>
      </c>
      <c r="DD14" s="22">
        <f>+VLOOKUP($BD14,'Oct-25'!$A:$J,7,0)</f>
        <v>0</v>
      </c>
      <c r="DE14" s="22">
        <f>+VLOOKUP($BD14,'Nov-25'!$A:$J,7,0)</f>
        <v>0</v>
      </c>
      <c r="DF14" s="22">
        <f>+VLOOKUP($BD14,'Dec-25'!$A:$J,7,0)</f>
        <v>0</v>
      </c>
      <c r="DG14" s="22">
        <f t="shared" si="68"/>
        <v>0</v>
      </c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106">
        <f t="shared" si="55"/>
        <v>0</v>
      </c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106">
        <f t="shared" si="56"/>
        <v>0</v>
      </c>
      <c r="EJ14" s="7" t="str">
        <f t="shared" si="71"/>
        <v>Digital and Lead Management</v>
      </c>
      <c r="EK14" s="22">
        <f>+VLOOKUP($BD14,'Jan-25'!$A:$J,9,0)</f>
        <v>0</v>
      </c>
      <c r="EL14" s="22">
        <f>+VLOOKUP($BD14,'Feb-25'!$A:$J,9,0)</f>
        <v>0</v>
      </c>
      <c r="EM14" s="22">
        <f>+VLOOKUP($BD14,'Mar-25'!$A:$J,9,0)</f>
        <v>0</v>
      </c>
      <c r="EN14" s="22">
        <f>+VLOOKUP($BD14,'Apr-25'!$A:$J,9,0)</f>
        <v>0</v>
      </c>
      <c r="EO14" s="22">
        <f>+VLOOKUP($BD14,'May-25'!$A:$J,9,0)</f>
        <v>0</v>
      </c>
      <c r="EP14" s="22">
        <f>+VLOOKUP($BD14,'June-25'!$A:$J,9,0)</f>
        <v>0</v>
      </c>
      <c r="EQ14" s="22">
        <f>+VLOOKUP($BD14,'July-25'!$A:$J,9,0)</f>
        <v>0</v>
      </c>
      <c r="ER14" s="22">
        <f>+VLOOKUP($BD14,'Aug-25'!$A:$J,9,0)</f>
        <v>0</v>
      </c>
      <c r="ES14" s="22">
        <f>+VLOOKUP($BD14,'Sep-25'!$A:$J,9,0)</f>
        <v>0</v>
      </c>
      <c r="ET14" s="22">
        <f>+VLOOKUP($BD14,'Oct-25'!$A:$J,9,0)</f>
        <v>0</v>
      </c>
      <c r="EU14" s="22">
        <f>+VLOOKUP($BD14,'Nov-25'!$A:$J,9,0)</f>
        <v>0</v>
      </c>
      <c r="EV14" s="22">
        <f>+VLOOKUP($BD14,'Dec-25'!$A:$J,9,0)</f>
        <v>0</v>
      </c>
      <c r="EW14" s="22">
        <f t="shared" si="73"/>
        <v>0</v>
      </c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106">
        <f t="shared" si="58"/>
        <v>0</v>
      </c>
    </row>
    <row r="15" spans="1:167" ht="14.45" hidden="1" customHeight="1" outlineLevel="1">
      <c r="A15" s="106">
        <f t="shared" si="75"/>
        <v>0</v>
      </c>
      <c r="B15" s="106">
        <f t="shared" si="75"/>
        <v>0</v>
      </c>
      <c r="C15" s="106">
        <f t="shared" si="75"/>
        <v>0</v>
      </c>
      <c r="D15" s="106">
        <f t="shared" si="75"/>
        <v>0</v>
      </c>
      <c r="E15" s="106">
        <f t="shared" si="75"/>
        <v>0</v>
      </c>
      <c r="F15" s="106">
        <f t="shared" si="75"/>
        <v>0</v>
      </c>
      <c r="G15" s="106">
        <f t="shared" si="75"/>
        <v>0</v>
      </c>
      <c r="H15" s="106">
        <f t="shared" si="75"/>
        <v>0</v>
      </c>
      <c r="I15" s="106">
        <f t="shared" si="75"/>
        <v>0</v>
      </c>
      <c r="J15" s="106">
        <f t="shared" si="75"/>
        <v>0</v>
      </c>
      <c r="K15" s="106">
        <f t="shared" si="75"/>
        <v>0</v>
      </c>
      <c r="L15" s="106">
        <f t="shared" si="75"/>
        <v>0</v>
      </c>
      <c r="M15" s="106">
        <f t="shared" si="47"/>
        <v>0</v>
      </c>
      <c r="N15" s="7" t="s">
        <v>13</v>
      </c>
      <c r="O15" s="22">
        <f t="shared" si="76"/>
        <v>0</v>
      </c>
      <c r="P15" s="22">
        <f t="shared" si="76"/>
        <v>0</v>
      </c>
      <c r="Q15" s="22">
        <f t="shared" si="76"/>
        <v>0</v>
      </c>
      <c r="R15" s="22">
        <f t="shared" si="76"/>
        <v>0</v>
      </c>
      <c r="S15" s="22">
        <f t="shared" si="76"/>
        <v>0</v>
      </c>
      <c r="T15" s="22">
        <f t="shared" si="76"/>
        <v>0</v>
      </c>
      <c r="U15" s="22">
        <f t="shared" si="76"/>
        <v>0</v>
      </c>
      <c r="V15" s="22">
        <f t="shared" si="76"/>
        <v>0</v>
      </c>
      <c r="W15" s="22">
        <f t="shared" si="76"/>
        <v>0</v>
      </c>
      <c r="X15" s="22">
        <f t="shared" si="76"/>
        <v>0</v>
      </c>
      <c r="Y15" s="22">
        <f t="shared" si="76"/>
        <v>0</v>
      </c>
      <c r="Z15" s="22">
        <f t="shared" si="76"/>
        <v>0</v>
      </c>
      <c r="AA15" s="22">
        <f t="shared" si="48"/>
        <v>0</v>
      </c>
      <c r="AC15" s="22">
        <f t="shared" si="77"/>
        <v>0</v>
      </c>
      <c r="AD15" s="22">
        <f t="shared" si="77"/>
        <v>0</v>
      </c>
      <c r="AE15" s="22">
        <f t="shared" si="77"/>
        <v>0</v>
      </c>
      <c r="AF15" s="22">
        <f t="shared" si="77"/>
        <v>0</v>
      </c>
      <c r="AG15" s="22">
        <f t="shared" si="77"/>
        <v>0</v>
      </c>
      <c r="AH15" s="22">
        <f t="shared" si="77"/>
        <v>0</v>
      </c>
      <c r="AI15" s="22">
        <f t="shared" si="77"/>
        <v>0</v>
      </c>
      <c r="AJ15" s="22">
        <f t="shared" si="77"/>
        <v>0</v>
      </c>
      <c r="AK15" s="22">
        <f t="shared" si="77"/>
        <v>0</v>
      </c>
      <c r="AL15" s="22">
        <f t="shared" si="77"/>
        <v>0</v>
      </c>
      <c r="AM15" s="22">
        <f t="shared" si="77"/>
        <v>0</v>
      </c>
      <c r="AN15" s="22">
        <f t="shared" si="77"/>
        <v>0</v>
      </c>
      <c r="AO15" s="22">
        <f t="shared" si="49"/>
        <v>0</v>
      </c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>
        <f t="shared" si="50"/>
        <v>0</v>
      </c>
      <c r="BD15" s="7" t="str">
        <f t="shared" si="7"/>
        <v>Customer Experience</v>
      </c>
      <c r="BE15" s="22">
        <f>+VLOOKUP($BD15,'Jan-25'!$A:$J,4,0)</f>
        <v>0</v>
      </c>
      <c r="BF15" s="22">
        <f>+VLOOKUP($BD15,'Feb-25'!$A:$J,4,0)</f>
        <v>0</v>
      </c>
      <c r="BG15" s="22">
        <f>+VLOOKUP($BD15,'Mar-25'!$A:$J,4,0)</f>
        <v>0</v>
      </c>
      <c r="BH15" s="22">
        <f>+VLOOKUP($BD15,'Apr-25'!$A:$J,4,0)</f>
        <v>0</v>
      </c>
      <c r="BI15" s="22">
        <f>+VLOOKUP($BD15,'May-25'!$A:$J,4,0)</f>
        <v>0</v>
      </c>
      <c r="BJ15" s="22">
        <f>+VLOOKUP($BD15,'June-25'!$A:$J,4,0)</f>
        <v>0</v>
      </c>
      <c r="BK15" s="22">
        <f>+VLOOKUP($BD15,'July-25'!$A:$J,4,0)</f>
        <v>0</v>
      </c>
      <c r="BL15" s="22">
        <f>+VLOOKUP($BD15,'Aug-25'!$A:$J,4,0)</f>
        <v>0</v>
      </c>
      <c r="BM15" s="22">
        <f>+VLOOKUP($BD15,'Sep-25'!$A:$J,4,0)</f>
        <v>0</v>
      </c>
      <c r="BN15" s="22">
        <f>+VLOOKUP($BD15,'Oct-25'!$A:$J,4,0)</f>
        <v>0</v>
      </c>
      <c r="BO15" s="22">
        <f>+VLOOKUP($BD15,'Nov-25'!$A:$J,4,0)</f>
        <v>0</v>
      </c>
      <c r="BP15" s="22">
        <f>+VLOOKUP($BD15,'Dec-25'!$A:$J,4,0)</f>
        <v>0</v>
      </c>
      <c r="BQ15" s="22">
        <f t="shared" si="64"/>
        <v>0</v>
      </c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>
        <f t="shared" si="52"/>
        <v>0</v>
      </c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106">
        <f t="shared" si="53"/>
        <v>0</v>
      </c>
      <c r="CT15" s="7" t="str">
        <f t="shared" si="11"/>
        <v>Customer Experience</v>
      </c>
      <c r="CU15" s="22">
        <f>+VLOOKUP($BD15,'Jan-25'!$A:$J,7,0)</f>
        <v>0</v>
      </c>
      <c r="CV15" s="22">
        <f>+VLOOKUP($BD15,'Feb-25'!$A:$J,7,0)</f>
        <v>0</v>
      </c>
      <c r="CW15" s="22">
        <f>+VLOOKUP($BD15,'Mar-25'!$A:$J,7,0)</f>
        <v>0</v>
      </c>
      <c r="CX15" s="22">
        <f>+VLOOKUP($BD15,'Apr-25'!$A:$J,7,0)</f>
        <v>0</v>
      </c>
      <c r="CY15" s="22">
        <f>+VLOOKUP($BD15,'May-25'!$A:$J,7,0)</f>
        <v>0</v>
      </c>
      <c r="CZ15" s="22">
        <f>+VLOOKUP($BD15,'June-25'!$A:$J,7,0)</f>
        <v>0</v>
      </c>
      <c r="DA15" s="22">
        <f>+VLOOKUP($BD15,'July-25'!$A:$J,7,0)</f>
        <v>0</v>
      </c>
      <c r="DB15" s="22">
        <f>+VLOOKUP($BD15,'Aug-25'!$A:$J,7,0)</f>
        <v>0</v>
      </c>
      <c r="DC15" s="22">
        <f>+VLOOKUP($BD15,'Sep-25'!$A:$J,7,0)</f>
        <v>0</v>
      </c>
      <c r="DD15" s="22">
        <f>+VLOOKUP($BD15,'Oct-25'!$A:$J,7,0)</f>
        <v>0</v>
      </c>
      <c r="DE15" s="22">
        <f>+VLOOKUP($BD15,'Nov-25'!$A:$J,7,0)</f>
        <v>0</v>
      </c>
      <c r="DF15" s="22">
        <f>+VLOOKUP($BD15,'Dec-25'!$A:$J,7,0)</f>
        <v>0</v>
      </c>
      <c r="DG15" s="22">
        <f t="shared" si="68"/>
        <v>0</v>
      </c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106">
        <f t="shared" si="55"/>
        <v>0</v>
      </c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106">
        <f t="shared" si="56"/>
        <v>0</v>
      </c>
      <c r="EJ15" s="7" t="str">
        <f t="shared" si="71"/>
        <v>Customer Experience</v>
      </c>
      <c r="EK15" s="22">
        <f>+VLOOKUP($BD15,'Jan-25'!$A:$J,9,0)</f>
        <v>0</v>
      </c>
      <c r="EL15" s="22">
        <f>+VLOOKUP($BD15,'Feb-25'!$A:$J,9,0)</f>
        <v>0</v>
      </c>
      <c r="EM15" s="22">
        <f>+VLOOKUP($BD15,'Mar-25'!$A:$J,9,0)</f>
        <v>0</v>
      </c>
      <c r="EN15" s="22">
        <f>+VLOOKUP($BD15,'Apr-25'!$A:$J,9,0)</f>
        <v>0</v>
      </c>
      <c r="EO15" s="22">
        <f>+VLOOKUP($BD15,'May-25'!$A:$J,9,0)</f>
        <v>0</v>
      </c>
      <c r="EP15" s="22">
        <f>+VLOOKUP($BD15,'June-25'!$A:$J,9,0)</f>
        <v>0</v>
      </c>
      <c r="EQ15" s="22">
        <f>+VLOOKUP($BD15,'July-25'!$A:$J,9,0)</f>
        <v>0</v>
      </c>
      <c r="ER15" s="22">
        <f>+VLOOKUP($BD15,'Aug-25'!$A:$J,9,0)</f>
        <v>0</v>
      </c>
      <c r="ES15" s="22">
        <f>+VLOOKUP($BD15,'Sep-25'!$A:$J,9,0)</f>
        <v>0</v>
      </c>
      <c r="ET15" s="22">
        <f>+VLOOKUP($BD15,'Oct-25'!$A:$J,9,0)</f>
        <v>0</v>
      </c>
      <c r="EU15" s="22">
        <f>+VLOOKUP($BD15,'Nov-25'!$A:$J,9,0)</f>
        <v>0</v>
      </c>
      <c r="EV15" s="22">
        <f>+VLOOKUP($BD15,'Dec-25'!$A:$J,9,0)</f>
        <v>0</v>
      </c>
      <c r="EW15" s="22">
        <f t="shared" si="73"/>
        <v>0</v>
      </c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106">
        <f t="shared" si="58"/>
        <v>0</v>
      </c>
    </row>
    <row r="16" spans="1:167" ht="14.45" hidden="1" customHeight="1" outlineLevel="1">
      <c r="A16" s="106">
        <f t="shared" si="75"/>
        <v>0</v>
      </c>
      <c r="B16" s="106">
        <f t="shared" si="75"/>
        <v>0</v>
      </c>
      <c r="C16" s="106">
        <f t="shared" si="75"/>
        <v>0</v>
      </c>
      <c r="D16" s="106">
        <f t="shared" si="75"/>
        <v>0</v>
      </c>
      <c r="E16" s="106">
        <f t="shared" si="75"/>
        <v>0</v>
      </c>
      <c r="F16" s="106">
        <f t="shared" si="75"/>
        <v>0</v>
      </c>
      <c r="G16" s="106">
        <f t="shared" si="75"/>
        <v>0</v>
      </c>
      <c r="H16" s="106">
        <f t="shared" si="75"/>
        <v>0</v>
      </c>
      <c r="I16" s="106">
        <f t="shared" si="75"/>
        <v>0</v>
      </c>
      <c r="J16" s="106">
        <f t="shared" si="75"/>
        <v>0</v>
      </c>
      <c r="K16" s="106">
        <f t="shared" si="75"/>
        <v>0</v>
      </c>
      <c r="L16" s="106">
        <f t="shared" si="75"/>
        <v>0</v>
      </c>
      <c r="M16" s="106">
        <f t="shared" si="47"/>
        <v>0</v>
      </c>
      <c r="N16" s="7" t="s">
        <v>14</v>
      </c>
      <c r="O16" s="22">
        <f t="shared" si="76"/>
        <v>0</v>
      </c>
      <c r="P16" s="22">
        <f t="shared" si="76"/>
        <v>0</v>
      </c>
      <c r="Q16" s="22">
        <f t="shared" si="76"/>
        <v>0</v>
      </c>
      <c r="R16" s="22">
        <f t="shared" si="76"/>
        <v>0</v>
      </c>
      <c r="S16" s="22">
        <f t="shared" si="76"/>
        <v>0</v>
      </c>
      <c r="T16" s="22">
        <f t="shared" si="76"/>
        <v>0</v>
      </c>
      <c r="U16" s="22">
        <f t="shared" si="76"/>
        <v>0</v>
      </c>
      <c r="V16" s="22">
        <f t="shared" si="76"/>
        <v>0</v>
      </c>
      <c r="W16" s="22">
        <f t="shared" si="76"/>
        <v>0</v>
      </c>
      <c r="X16" s="22">
        <f t="shared" si="76"/>
        <v>0</v>
      </c>
      <c r="Y16" s="22">
        <f t="shared" si="76"/>
        <v>0</v>
      </c>
      <c r="Z16" s="22">
        <f t="shared" si="76"/>
        <v>0</v>
      </c>
      <c r="AA16" s="22">
        <f t="shared" si="48"/>
        <v>0</v>
      </c>
      <c r="AC16" s="22">
        <f t="shared" si="77"/>
        <v>0</v>
      </c>
      <c r="AD16" s="22">
        <f t="shared" si="77"/>
        <v>0</v>
      </c>
      <c r="AE16" s="22">
        <f t="shared" si="77"/>
        <v>0</v>
      </c>
      <c r="AF16" s="22">
        <f t="shared" si="77"/>
        <v>0</v>
      </c>
      <c r="AG16" s="22">
        <f t="shared" si="77"/>
        <v>0</v>
      </c>
      <c r="AH16" s="22">
        <f t="shared" si="77"/>
        <v>0</v>
      </c>
      <c r="AI16" s="22">
        <f t="shared" si="77"/>
        <v>0</v>
      </c>
      <c r="AJ16" s="22">
        <f t="shared" si="77"/>
        <v>0</v>
      </c>
      <c r="AK16" s="22">
        <f t="shared" si="77"/>
        <v>0</v>
      </c>
      <c r="AL16" s="22">
        <f t="shared" si="77"/>
        <v>0</v>
      </c>
      <c r="AM16" s="22">
        <f t="shared" si="77"/>
        <v>0</v>
      </c>
      <c r="AN16" s="22">
        <f t="shared" si="77"/>
        <v>0</v>
      </c>
      <c r="AO16" s="22">
        <f t="shared" si="49"/>
        <v>0</v>
      </c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>
        <f t="shared" si="50"/>
        <v>0</v>
      </c>
      <c r="BD16" s="7" t="str">
        <f t="shared" si="7"/>
        <v>Marketing And Process Steering</v>
      </c>
      <c r="BE16" s="22">
        <f>+VLOOKUP($BD16,'Jan-25'!$A:$J,4,0)</f>
        <v>0</v>
      </c>
      <c r="BF16" s="22">
        <f>+VLOOKUP($BD16,'Feb-25'!$A:$J,4,0)</f>
        <v>0</v>
      </c>
      <c r="BG16" s="22">
        <f>+VLOOKUP($BD16,'Mar-25'!$A:$J,4,0)</f>
        <v>0</v>
      </c>
      <c r="BH16" s="22">
        <f>+VLOOKUP($BD16,'Apr-25'!$A:$J,4,0)</f>
        <v>0</v>
      </c>
      <c r="BI16" s="22">
        <f>+VLOOKUP($BD16,'May-25'!$A:$J,4,0)</f>
        <v>0</v>
      </c>
      <c r="BJ16" s="22">
        <f>+VLOOKUP($BD16,'June-25'!$A:$J,4,0)</f>
        <v>0</v>
      </c>
      <c r="BK16" s="22">
        <f>+VLOOKUP($BD16,'July-25'!$A:$J,4,0)</f>
        <v>0</v>
      </c>
      <c r="BL16" s="22">
        <f>+VLOOKUP($BD16,'Aug-25'!$A:$J,4,0)</f>
        <v>0</v>
      </c>
      <c r="BM16" s="22">
        <f>+VLOOKUP($BD16,'Sep-25'!$A:$J,4,0)</f>
        <v>0</v>
      </c>
      <c r="BN16" s="22">
        <f>+VLOOKUP($BD16,'Oct-25'!$A:$J,4,0)</f>
        <v>0</v>
      </c>
      <c r="BO16" s="22">
        <f>+VLOOKUP($BD16,'Nov-25'!$A:$J,4,0)</f>
        <v>0</v>
      </c>
      <c r="BP16" s="22">
        <f>+VLOOKUP($BD16,'Dec-25'!$A:$J,4,0)</f>
        <v>0</v>
      </c>
      <c r="BQ16" s="22">
        <f t="shared" si="64"/>
        <v>0</v>
      </c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>
        <f t="shared" si="52"/>
        <v>0</v>
      </c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106">
        <f t="shared" si="53"/>
        <v>0</v>
      </c>
      <c r="CT16" s="7" t="str">
        <f t="shared" si="11"/>
        <v>Marketing And Process Steering</v>
      </c>
      <c r="CU16" s="22">
        <f>+VLOOKUP($BD16,'Jan-25'!$A:$J,7,0)</f>
        <v>0</v>
      </c>
      <c r="CV16" s="22">
        <f>+VLOOKUP($BD16,'Feb-25'!$A:$J,7,0)</f>
        <v>0</v>
      </c>
      <c r="CW16" s="22">
        <f>+VLOOKUP($BD16,'Mar-25'!$A:$J,7,0)</f>
        <v>0</v>
      </c>
      <c r="CX16" s="22">
        <f>+VLOOKUP($BD16,'Apr-25'!$A:$J,7,0)</f>
        <v>0</v>
      </c>
      <c r="CY16" s="22">
        <f>+VLOOKUP($BD16,'May-25'!$A:$J,7,0)</f>
        <v>0</v>
      </c>
      <c r="CZ16" s="22">
        <f>+VLOOKUP($BD16,'June-25'!$A:$J,7,0)</f>
        <v>0</v>
      </c>
      <c r="DA16" s="22">
        <f>+VLOOKUP($BD16,'July-25'!$A:$J,7,0)</f>
        <v>0</v>
      </c>
      <c r="DB16" s="22">
        <f>+VLOOKUP($BD16,'Aug-25'!$A:$J,7,0)</f>
        <v>0</v>
      </c>
      <c r="DC16" s="22">
        <f>+VLOOKUP($BD16,'Sep-25'!$A:$J,7,0)</f>
        <v>0</v>
      </c>
      <c r="DD16" s="22">
        <f>+VLOOKUP($BD16,'Oct-25'!$A:$J,7,0)</f>
        <v>0</v>
      </c>
      <c r="DE16" s="22">
        <f>+VLOOKUP($BD16,'Nov-25'!$A:$J,7,0)</f>
        <v>0</v>
      </c>
      <c r="DF16" s="22">
        <f>+VLOOKUP($BD16,'Dec-25'!$A:$J,7,0)</f>
        <v>0</v>
      </c>
      <c r="DG16" s="22">
        <f t="shared" si="68"/>
        <v>0</v>
      </c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106">
        <f t="shared" si="55"/>
        <v>0</v>
      </c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106">
        <f t="shared" si="56"/>
        <v>0</v>
      </c>
      <c r="EJ16" s="7" t="str">
        <f t="shared" si="71"/>
        <v>Marketing And Process Steering</v>
      </c>
      <c r="EK16" s="22">
        <f>+VLOOKUP($BD16,'Jan-25'!$A:$J,9,0)</f>
        <v>0</v>
      </c>
      <c r="EL16" s="22">
        <f>+VLOOKUP($BD16,'Feb-25'!$A:$J,9,0)</f>
        <v>0</v>
      </c>
      <c r="EM16" s="22">
        <f>+VLOOKUP($BD16,'Mar-25'!$A:$J,9,0)</f>
        <v>0</v>
      </c>
      <c r="EN16" s="22">
        <f>+VLOOKUP($BD16,'Apr-25'!$A:$J,9,0)</f>
        <v>0</v>
      </c>
      <c r="EO16" s="22">
        <f>+VLOOKUP($BD16,'May-25'!$A:$J,9,0)</f>
        <v>0</v>
      </c>
      <c r="EP16" s="22">
        <f>+VLOOKUP($BD16,'June-25'!$A:$J,9,0)</f>
        <v>0</v>
      </c>
      <c r="EQ16" s="22">
        <f>+VLOOKUP($BD16,'July-25'!$A:$J,9,0)</f>
        <v>0</v>
      </c>
      <c r="ER16" s="22">
        <f>+VLOOKUP($BD16,'Aug-25'!$A:$J,9,0)</f>
        <v>0</v>
      </c>
      <c r="ES16" s="22">
        <f>+VLOOKUP($BD16,'Sep-25'!$A:$J,9,0)</f>
        <v>0</v>
      </c>
      <c r="ET16" s="22">
        <f>+VLOOKUP($BD16,'Oct-25'!$A:$J,9,0)</f>
        <v>0</v>
      </c>
      <c r="EU16" s="22">
        <f>+VLOOKUP($BD16,'Nov-25'!$A:$J,9,0)</f>
        <v>0</v>
      </c>
      <c r="EV16" s="22">
        <f>+VLOOKUP($BD16,'Dec-25'!$A:$J,9,0)</f>
        <v>0</v>
      </c>
      <c r="EW16" s="22">
        <f t="shared" si="73"/>
        <v>0</v>
      </c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106">
        <f t="shared" si="58"/>
        <v>0</v>
      </c>
    </row>
    <row r="17" spans="1:167" ht="14.45" hidden="1" customHeight="1" outlineLevel="1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8" t="s">
        <v>15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8" t="str">
        <f t="shared" si="7"/>
        <v>Sales Demo Car</v>
      </c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106"/>
      <c r="CT17" s="8" t="str">
        <f t="shared" si="11"/>
        <v>Sales Demo Car</v>
      </c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106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106"/>
      <c r="EJ17" s="8" t="str">
        <f t="shared" si="71"/>
        <v>Sales Demo Car</v>
      </c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106"/>
    </row>
    <row r="18" spans="1:167" ht="14.45" hidden="1" customHeight="1" outlineLevel="1">
      <c r="A18" s="105">
        <f>+AQ18+CG18+DW18</f>
        <v>0</v>
      </c>
      <c r="B18" s="105">
        <f t="shared" ref="B18:L21" si="78">+AR18+CH18+DX18</f>
        <v>0</v>
      </c>
      <c r="C18" s="105">
        <f t="shared" si="78"/>
        <v>0</v>
      </c>
      <c r="D18" s="105">
        <f t="shared" si="78"/>
        <v>0</v>
      </c>
      <c r="E18" s="105">
        <f t="shared" si="78"/>
        <v>0</v>
      </c>
      <c r="F18" s="105">
        <f t="shared" si="78"/>
        <v>0</v>
      </c>
      <c r="G18" s="105">
        <f t="shared" si="78"/>
        <v>0</v>
      </c>
      <c r="H18" s="105">
        <f t="shared" si="78"/>
        <v>0</v>
      </c>
      <c r="I18" s="105">
        <f t="shared" si="78"/>
        <v>0</v>
      </c>
      <c r="J18" s="105">
        <f t="shared" si="78"/>
        <v>0</v>
      </c>
      <c r="K18" s="105">
        <f t="shared" si="78"/>
        <v>0</v>
      </c>
      <c r="L18" s="105">
        <f t="shared" si="78"/>
        <v>0</v>
      </c>
      <c r="M18" s="105">
        <f t="shared" si="47"/>
        <v>0</v>
      </c>
      <c r="N18" s="9" t="s">
        <v>16</v>
      </c>
      <c r="O18" s="27">
        <f>+BE18+CU18+EK18</f>
        <v>0</v>
      </c>
      <c r="P18" s="27">
        <f t="shared" ref="P18:Z21" si="79">+BF18+CV18+EL18</f>
        <v>0</v>
      </c>
      <c r="Q18" s="27">
        <f t="shared" si="79"/>
        <v>0</v>
      </c>
      <c r="R18" s="27">
        <f t="shared" si="79"/>
        <v>0</v>
      </c>
      <c r="S18" s="27">
        <f t="shared" si="79"/>
        <v>0</v>
      </c>
      <c r="T18" s="27">
        <f t="shared" si="79"/>
        <v>0</v>
      </c>
      <c r="U18" s="27">
        <f t="shared" si="79"/>
        <v>0</v>
      </c>
      <c r="V18" s="27">
        <f t="shared" si="79"/>
        <v>0</v>
      </c>
      <c r="W18" s="27">
        <f t="shared" si="79"/>
        <v>0</v>
      </c>
      <c r="X18" s="27">
        <f t="shared" si="79"/>
        <v>0</v>
      </c>
      <c r="Y18" s="27">
        <f t="shared" si="79"/>
        <v>0</v>
      </c>
      <c r="Z18" s="27">
        <f t="shared" si="79"/>
        <v>0</v>
      </c>
      <c r="AA18" s="27">
        <f t="shared" ref="AA18:AA21" si="80">+SUM(O18:Z18)</f>
        <v>0</v>
      </c>
      <c r="AC18" s="27">
        <f>+BS18+DI18+EY18</f>
        <v>0</v>
      </c>
      <c r="AD18" s="27">
        <f t="shared" ref="AD18:AN21" si="81">+BT18+DJ18+EZ18</f>
        <v>0</v>
      </c>
      <c r="AE18" s="27">
        <f t="shared" si="81"/>
        <v>0</v>
      </c>
      <c r="AF18" s="27">
        <f t="shared" si="81"/>
        <v>0</v>
      </c>
      <c r="AG18" s="27">
        <f t="shared" si="81"/>
        <v>0</v>
      </c>
      <c r="AH18" s="27">
        <f t="shared" si="81"/>
        <v>0</v>
      </c>
      <c r="AI18" s="27">
        <f t="shared" si="81"/>
        <v>0</v>
      </c>
      <c r="AJ18" s="27">
        <f t="shared" si="81"/>
        <v>0</v>
      </c>
      <c r="AK18" s="27">
        <f t="shared" si="81"/>
        <v>0</v>
      </c>
      <c r="AL18" s="27">
        <f t="shared" si="81"/>
        <v>0</v>
      </c>
      <c r="AM18" s="27">
        <f t="shared" si="81"/>
        <v>0</v>
      </c>
      <c r="AN18" s="27">
        <f t="shared" si="81"/>
        <v>0</v>
      </c>
      <c r="AO18" s="27">
        <f t="shared" ref="AO18:AO21" si="82">+SUM(AC18:AN18)</f>
        <v>0</v>
      </c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>
        <f t="shared" ref="BC18:BC21" si="83">+SUM(AQ18:BB18)</f>
        <v>0</v>
      </c>
      <c r="BD18" s="9" t="str">
        <f t="shared" si="7"/>
        <v>No of Cars Sold</v>
      </c>
      <c r="BE18" s="27">
        <f>+'Jan-25'!$D$18</f>
        <v>0</v>
      </c>
      <c r="BF18" s="27">
        <f>+'Feb-25'!$D$18</f>
        <v>0</v>
      </c>
      <c r="BG18" s="27">
        <f>+'Mar-25'!$D$18</f>
        <v>0</v>
      </c>
      <c r="BH18" s="27">
        <f>+'Apr-25'!$D$18</f>
        <v>0</v>
      </c>
      <c r="BI18" s="27">
        <f>+'May-25'!$D$18</f>
        <v>0</v>
      </c>
      <c r="BJ18" s="27">
        <f>+'June-25'!$D$18</f>
        <v>0</v>
      </c>
      <c r="BK18" s="27">
        <f>+'July-25'!$D$18</f>
        <v>0</v>
      </c>
      <c r="BL18" s="27">
        <f>+'Aug-25'!$D$18</f>
        <v>0</v>
      </c>
      <c r="BM18" s="27">
        <f>+'Sep-25'!$D$18</f>
        <v>0</v>
      </c>
      <c r="BN18" s="27">
        <f>+'Oct-25'!$D$18</f>
        <v>0</v>
      </c>
      <c r="BO18" s="27">
        <f>+'Nov-25'!$D$18</f>
        <v>0</v>
      </c>
      <c r="BP18" s="27">
        <f>+'Dec-25'!$D$18</f>
        <v>0</v>
      </c>
      <c r="BQ18" s="27">
        <f>+SUM(BE18:BP18)</f>
        <v>0</v>
      </c>
      <c r="BS18" s="105"/>
      <c r="BT18" s="105"/>
      <c r="BU18" s="105"/>
      <c r="BV18" s="105"/>
      <c r="BW18" s="105"/>
      <c r="BX18" s="105"/>
      <c r="BY18" s="105"/>
      <c r="BZ18" s="105"/>
      <c r="CA18" s="105"/>
      <c r="CB18" s="105"/>
      <c r="CC18" s="105"/>
      <c r="CD18" s="105"/>
      <c r="CE18" s="105">
        <f t="shared" ref="CE18:CE21" si="84">+SUM(BS18:CD18)</f>
        <v>0</v>
      </c>
      <c r="CF18" s="22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105">
        <f t="shared" ref="CS18:CS21" si="85">+SUM(CG18:CR18)</f>
        <v>0</v>
      </c>
      <c r="CT18" s="9" t="str">
        <f t="shared" si="11"/>
        <v>No of Cars Sold</v>
      </c>
      <c r="CU18" s="27">
        <f>+'Jan-25'!$G$18</f>
        <v>0</v>
      </c>
      <c r="CV18" s="27">
        <f>+'Feb-25'!$G$18</f>
        <v>0</v>
      </c>
      <c r="CW18" s="27">
        <f>+'Mar-25'!$G$18</f>
        <v>0</v>
      </c>
      <c r="CX18" s="27">
        <f>+'Apr-25'!$G$18</f>
        <v>0</v>
      </c>
      <c r="CY18" s="27">
        <f>+'May-25'!$G$18</f>
        <v>0</v>
      </c>
      <c r="CZ18" s="27">
        <f>+'June-25'!$G$18</f>
        <v>0</v>
      </c>
      <c r="DA18" s="27">
        <f>+'July-25'!$G$18</f>
        <v>0</v>
      </c>
      <c r="DB18" s="27">
        <f>+'Aug-25'!$G$18</f>
        <v>0</v>
      </c>
      <c r="DC18" s="27">
        <f>+'Sep-25'!$G$18</f>
        <v>0</v>
      </c>
      <c r="DD18" s="27">
        <f>+'Oct-25'!$G$18</f>
        <v>0</v>
      </c>
      <c r="DE18" s="27">
        <f>+'Nov-25'!$G$18</f>
        <v>0</v>
      </c>
      <c r="DF18" s="27">
        <f>+'Dec-25'!$G$18</f>
        <v>0</v>
      </c>
      <c r="DG18" s="27">
        <f>+SUM(CU18:DF18)</f>
        <v>0</v>
      </c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105">
        <f t="shared" ref="DU18:DU21" si="86">+SUM(DI18:DT18)</f>
        <v>0</v>
      </c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105">
        <f t="shared" ref="EI18:EI21" si="87">+SUM(DW18:EH18)</f>
        <v>0</v>
      </c>
      <c r="EJ18" s="9" t="str">
        <f t="shared" si="71"/>
        <v>No of Cars Sold</v>
      </c>
      <c r="EK18" s="27">
        <f>+'Jan-25'!$I$18</f>
        <v>0</v>
      </c>
      <c r="EL18" s="27">
        <f>+'Feb-25'!$I$18</f>
        <v>0</v>
      </c>
      <c r="EM18" s="27">
        <f>+'Mar-25'!$I$18</f>
        <v>0</v>
      </c>
      <c r="EN18" s="27">
        <f>+'Apr-25'!$I$18</f>
        <v>0</v>
      </c>
      <c r="EO18" s="27">
        <f>+'May-25'!$I$18</f>
        <v>0</v>
      </c>
      <c r="EP18" s="27">
        <f>+'June-25'!$I$18</f>
        <v>0</v>
      </c>
      <c r="EQ18" s="27">
        <f>+'July-25'!$I$18</f>
        <v>0</v>
      </c>
      <c r="ER18" s="27">
        <f>+'Aug-25'!$I$18</f>
        <v>0</v>
      </c>
      <c r="ES18" s="27">
        <f>+'Sep-25'!$I$18</f>
        <v>0</v>
      </c>
      <c r="ET18" s="27">
        <f>+'Oct-25'!$I$18</f>
        <v>0</v>
      </c>
      <c r="EU18" s="27">
        <f>+'Nov-25'!$I$18</f>
        <v>0</v>
      </c>
      <c r="EV18" s="27">
        <f>+'Dec-25'!$I$18</f>
        <v>0</v>
      </c>
      <c r="EW18" s="27">
        <f>+SUM(EK18:EV18)</f>
        <v>0</v>
      </c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105">
        <f t="shared" ref="FK18:FK21" si="88">+SUM(EY18:FJ18)</f>
        <v>0</v>
      </c>
    </row>
    <row r="19" spans="1:167" ht="14.45" hidden="1" customHeight="1" outlineLevel="1">
      <c r="A19" s="106">
        <f t="shared" ref="A19:A21" si="89">+AQ19+CG19+DW19</f>
        <v>0</v>
      </c>
      <c r="B19" s="106">
        <f t="shared" si="78"/>
        <v>0</v>
      </c>
      <c r="C19" s="106">
        <f t="shared" si="78"/>
        <v>0</v>
      </c>
      <c r="D19" s="106">
        <f t="shared" si="78"/>
        <v>0</v>
      </c>
      <c r="E19" s="106">
        <f t="shared" si="78"/>
        <v>0</v>
      </c>
      <c r="F19" s="106">
        <f t="shared" si="78"/>
        <v>0</v>
      </c>
      <c r="G19" s="106">
        <f t="shared" si="78"/>
        <v>0</v>
      </c>
      <c r="H19" s="106">
        <f t="shared" si="78"/>
        <v>0</v>
      </c>
      <c r="I19" s="106">
        <f t="shared" si="78"/>
        <v>0</v>
      </c>
      <c r="J19" s="106">
        <f t="shared" si="78"/>
        <v>0</v>
      </c>
      <c r="K19" s="106">
        <f t="shared" si="78"/>
        <v>0</v>
      </c>
      <c r="L19" s="106">
        <f t="shared" si="78"/>
        <v>0</v>
      </c>
      <c r="M19" s="106">
        <f t="shared" si="47"/>
        <v>0</v>
      </c>
      <c r="N19" s="7" t="s">
        <v>17</v>
      </c>
      <c r="O19" s="22">
        <f t="shared" ref="O19:O21" si="90">+BE19+CU19+EK19</f>
        <v>0</v>
      </c>
      <c r="P19" s="22">
        <f t="shared" si="79"/>
        <v>0</v>
      </c>
      <c r="Q19" s="22">
        <f t="shared" si="79"/>
        <v>0</v>
      </c>
      <c r="R19" s="22">
        <f t="shared" si="79"/>
        <v>0</v>
      </c>
      <c r="S19" s="22">
        <f t="shared" si="79"/>
        <v>0</v>
      </c>
      <c r="T19" s="22">
        <f t="shared" si="79"/>
        <v>0</v>
      </c>
      <c r="U19" s="22">
        <f t="shared" si="79"/>
        <v>0</v>
      </c>
      <c r="V19" s="22">
        <f t="shared" si="79"/>
        <v>0</v>
      </c>
      <c r="W19" s="22">
        <f t="shared" si="79"/>
        <v>0</v>
      </c>
      <c r="X19" s="22">
        <f t="shared" si="79"/>
        <v>0</v>
      </c>
      <c r="Y19" s="22">
        <f t="shared" si="79"/>
        <v>0</v>
      </c>
      <c r="Z19" s="22">
        <f t="shared" si="79"/>
        <v>0</v>
      </c>
      <c r="AA19" s="22">
        <f t="shared" si="80"/>
        <v>0</v>
      </c>
      <c r="AC19" s="22">
        <f t="shared" ref="AC19:AC21" si="91">+BS19+DI19+EY19</f>
        <v>0</v>
      </c>
      <c r="AD19" s="22">
        <f t="shared" si="81"/>
        <v>0</v>
      </c>
      <c r="AE19" s="22">
        <f t="shared" si="81"/>
        <v>0</v>
      </c>
      <c r="AF19" s="22">
        <f t="shared" si="81"/>
        <v>0</v>
      </c>
      <c r="AG19" s="22">
        <f t="shared" si="81"/>
        <v>0</v>
      </c>
      <c r="AH19" s="22">
        <f t="shared" si="81"/>
        <v>0</v>
      </c>
      <c r="AI19" s="22">
        <f t="shared" si="81"/>
        <v>0</v>
      </c>
      <c r="AJ19" s="22">
        <f t="shared" si="81"/>
        <v>0</v>
      </c>
      <c r="AK19" s="22">
        <f t="shared" si="81"/>
        <v>0</v>
      </c>
      <c r="AL19" s="22">
        <f t="shared" si="81"/>
        <v>0</v>
      </c>
      <c r="AM19" s="22">
        <f t="shared" si="81"/>
        <v>0</v>
      </c>
      <c r="AN19" s="22">
        <f t="shared" si="81"/>
        <v>0</v>
      </c>
      <c r="AO19" s="22">
        <f t="shared" si="82"/>
        <v>0</v>
      </c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>
        <f t="shared" si="83"/>
        <v>0</v>
      </c>
      <c r="BD19" s="7" t="str">
        <f t="shared" si="7"/>
        <v>Turnover.</v>
      </c>
      <c r="BE19" s="22">
        <f>+VLOOKUP($BD19,'Jan-25'!$A:$J,4,0)</f>
        <v>0</v>
      </c>
      <c r="BF19" s="22">
        <f>+VLOOKUP($BD19,'Feb-25'!$A:$J,4,0)</f>
        <v>0</v>
      </c>
      <c r="BG19" s="22">
        <f>+VLOOKUP($BD19,'Mar-25'!$A:$J,4,0)</f>
        <v>0</v>
      </c>
      <c r="BH19" s="22">
        <f>+VLOOKUP($BD19,'Apr-25'!$A:$J,4,0)</f>
        <v>0</v>
      </c>
      <c r="BI19" s="22">
        <f>+VLOOKUP($BD19,'May-25'!$A:$J,4,0)</f>
        <v>0</v>
      </c>
      <c r="BJ19" s="22">
        <f>+VLOOKUP($BD19,'June-25'!$A:$J,4,0)</f>
        <v>0</v>
      </c>
      <c r="BK19" s="22">
        <f>+VLOOKUP($BD19,'July-25'!$A:$J,4,0)</f>
        <v>0</v>
      </c>
      <c r="BL19" s="22">
        <f>+VLOOKUP($BD19,'Aug-25'!$A:$J,4,0)</f>
        <v>0</v>
      </c>
      <c r="BM19" s="22">
        <f>+VLOOKUP($BD19,'Sep-25'!$A:$J,4,0)</f>
        <v>0</v>
      </c>
      <c r="BN19" s="22">
        <f>+VLOOKUP($BD19,'Oct-25'!$A:$J,4,0)</f>
        <v>0</v>
      </c>
      <c r="BO19" s="22">
        <f>+VLOOKUP($BD19,'Nov-25'!$A:$J,4,0)</f>
        <v>0</v>
      </c>
      <c r="BP19" s="22">
        <f>+VLOOKUP($BD19,'Dec-25'!$A:$J,4,0)</f>
        <v>0</v>
      </c>
      <c r="BQ19" s="22">
        <f t="shared" ref="BQ19:BQ21" si="92">+SUM(BE19:BP19)</f>
        <v>0</v>
      </c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>
        <f t="shared" si="84"/>
        <v>0</v>
      </c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106">
        <f t="shared" si="85"/>
        <v>0</v>
      </c>
      <c r="CT19" s="7" t="str">
        <f t="shared" si="11"/>
        <v>Turnover.</v>
      </c>
      <c r="CU19" s="22">
        <f>+VLOOKUP($BD19,'Jan-25'!$A:$J,7,0)</f>
        <v>0</v>
      </c>
      <c r="CV19" s="22">
        <f>+VLOOKUP($BD19,'Feb-25'!$A:$J,7,0)</f>
        <v>0</v>
      </c>
      <c r="CW19" s="22">
        <f>+VLOOKUP($BD19,'Mar-25'!$A:$J,7,0)</f>
        <v>0</v>
      </c>
      <c r="CX19" s="22">
        <f>+VLOOKUP($BD19,'Apr-25'!$A:$J,7,0)</f>
        <v>0</v>
      </c>
      <c r="CY19" s="22">
        <f>+VLOOKUP($BD19,'May-25'!$A:$J,7,0)</f>
        <v>0</v>
      </c>
      <c r="CZ19" s="22">
        <f>+VLOOKUP($BD19,'June-25'!$A:$J,7,0)</f>
        <v>0</v>
      </c>
      <c r="DA19" s="22">
        <f>+VLOOKUP($BD19,'July-25'!$A:$J,7,0)</f>
        <v>0</v>
      </c>
      <c r="DB19" s="22">
        <f>+VLOOKUP($BD19,'Aug-25'!$A:$J,7,0)</f>
        <v>0</v>
      </c>
      <c r="DC19" s="22">
        <f>+VLOOKUP($BD19,'Sep-25'!$A:$J,7,0)</f>
        <v>0</v>
      </c>
      <c r="DD19" s="22">
        <f>+VLOOKUP($BD19,'Oct-25'!$A:$J,7,0)</f>
        <v>0</v>
      </c>
      <c r="DE19" s="22">
        <f>+VLOOKUP($BD19,'Nov-25'!$A:$J,7,0)</f>
        <v>0</v>
      </c>
      <c r="DF19" s="22">
        <f>+VLOOKUP($BD19,'Dec-25'!$A:$J,7,0)</f>
        <v>0</v>
      </c>
      <c r="DG19" s="22">
        <f t="shared" ref="DG19:DG21" si="93">+SUM(CU19:DF19)</f>
        <v>0</v>
      </c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106">
        <f t="shared" si="86"/>
        <v>0</v>
      </c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106">
        <f t="shared" si="87"/>
        <v>0</v>
      </c>
      <c r="EJ19" s="7" t="str">
        <f t="shared" si="71"/>
        <v>Turnover.</v>
      </c>
      <c r="EK19" s="22">
        <f>+VLOOKUP($BD19,'Jan-25'!$A:$J,9,0)</f>
        <v>0</v>
      </c>
      <c r="EL19" s="22">
        <f>+VLOOKUP($BD19,'Feb-25'!$A:$J,9,0)</f>
        <v>0</v>
      </c>
      <c r="EM19" s="22">
        <f>+VLOOKUP($BD19,'Mar-25'!$A:$J,9,0)</f>
        <v>0</v>
      </c>
      <c r="EN19" s="22">
        <f>+VLOOKUP($BD19,'Apr-25'!$A:$J,9,0)</f>
        <v>0</v>
      </c>
      <c r="EO19" s="22">
        <f>+VLOOKUP($BD19,'May-25'!$A:$J,9,0)</f>
        <v>0</v>
      </c>
      <c r="EP19" s="22">
        <f>+VLOOKUP($BD19,'June-25'!$A:$J,9,0)</f>
        <v>0</v>
      </c>
      <c r="EQ19" s="22">
        <f>+VLOOKUP($BD19,'July-25'!$A:$J,9,0)</f>
        <v>0</v>
      </c>
      <c r="ER19" s="22">
        <f>+VLOOKUP($BD19,'Aug-25'!$A:$J,9,0)</f>
        <v>0</v>
      </c>
      <c r="ES19" s="22">
        <f>+VLOOKUP($BD19,'Sep-25'!$A:$J,9,0)</f>
        <v>0</v>
      </c>
      <c r="ET19" s="22">
        <f>+VLOOKUP($BD19,'Oct-25'!$A:$J,9,0)</f>
        <v>0</v>
      </c>
      <c r="EU19" s="22">
        <f>+VLOOKUP($BD19,'Nov-25'!$A:$J,9,0)</f>
        <v>0</v>
      </c>
      <c r="EV19" s="22">
        <f>+VLOOKUP($BD19,'Dec-25'!$A:$J,9,0)</f>
        <v>0</v>
      </c>
      <c r="EW19" s="22">
        <f t="shared" ref="EW19:EW21" si="94">+SUM(EK19:EV19)</f>
        <v>0</v>
      </c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106">
        <f t="shared" si="88"/>
        <v>0</v>
      </c>
    </row>
    <row r="20" spans="1:167" ht="14.45" hidden="1" customHeight="1" outlineLevel="1">
      <c r="A20" s="106">
        <f t="shared" si="89"/>
        <v>0</v>
      </c>
      <c r="B20" s="106">
        <f t="shared" si="78"/>
        <v>0</v>
      </c>
      <c r="C20" s="106">
        <f t="shared" si="78"/>
        <v>0</v>
      </c>
      <c r="D20" s="106">
        <f t="shared" si="78"/>
        <v>0</v>
      </c>
      <c r="E20" s="106">
        <f t="shared" si="78"/>
        <v>0</v>
      </c>
      <c r="F20" s="106">
        <f t="shared" si="78"/>
        <v>0</v>
      </c>
      <c r="G20" s="106">
        <f t="shared" si="78"/>
        <v>0</v>
      </c>
      <c r="H20" s="106">
        <f t="shared" si="78"/>
        <v>0</v>
      </c>
      <c r="I20" s="106">
        <f t="shared" si="78"/>
        <v>0</v>
      </c>
      <c r="J20" s="106">
        <f t="shared" si="78"/>
        <v>0</v>
      </c>
      <c r="K20" s="106">
        <f t="shared" si="78"/>
        <v>0</v>
      </c>
      <c r="L20" s="106">
        <f t="shared" si="78"/>
        <v>0</v>
      </c>
      <c r="M20" s="106">
        <f t="shared" si="47"/>
        <v>0</v>
      </c>
      <c r="N20" s="7" t="s">
        <v>18</v>
      </c>
      <c r="O20" s="22">
        <f t="shared" si="90"/>
        <v>0</v>
      </c>
      <c r="P20" s="22">
        <f t="shared" si="79"/>
        <v>0</v>
      </c>
      <c r="Q20" s="22">
        <f t="shared" si="79"/>
        <v>0</v>
      </c>
      <c r="R20" s="22">
        <f t="shared" si="79"/>
        <v>0</v>
      </c>
      <c r="S20" s="22">
        <f t="shared" si="79"/>
        <v>0</v>
      </c>
      <c r="T20" s="22">
        <f t="shared" si="79"/>
        <v>0</v>
      </c>
      <c r="U20" s="22">
        <f t="shared" si="79"/>
        <v>0</v>
      </c>
      <c r="V20" s="22">
        <f t="shared" si="79"/>
        <v>0</v>
      </c>
      <c r="W20" s="22">
        <f t="shared" si="79"/>
        <v>0</v>
      </c>
      <c r="X20" s="22">
        <f t="shared" si="79"/>
        <v>0</v>
      </c>
      <c r="Y20" s="22">
        <f t="shared" si="79"/>
        <v>0</v>
      </c>
      <c r="Z20" s="22">
        <f t="shared" si="79"/>
        <v>0</v>
      </c>
      <c r="AA20" s="22">
        <f t="shared" si="80"/>
        <v>0</v>
      </c>
      <c r="AC20" s="22">
        <f t="shared" si="91"/>
        <v>0</v>
      </c>
      <c r="AD20" s="22">
        <f t="shared" si="81"/>
        <v>0</v>
      </c>
      <c r="AE20" s="22">
        <f t="shared" si="81"/>
        <v>0</v>
      </c>
      <c r="AF20" s="22">
        <f t="shared" si="81"/>
        <v>0</v>
      </c>
      <c r="AG20" s="22">
        <f t="shared" si="81"/>
        <v>0</v>
      </c>
      <c r="AH20" s="22">
        <f t="shared" si="81"/>
        <v>0</v>
      </c>
      <c r="AI20" s="22">
        <f t="shared" si="81"/>
        <v>0</v>
      </c>
      <c r="AJ20" s="22">
        <f t="shared" si="81"/>
        <v>0</v>
      </c>
      <c r="AK20" s="22">
        <f t="shared" si="81"/>
        <v>0</v>
      </c>
      <c r="AL20" s="22">
        <f t="shared" si="81"/>
        <v>0</v>
      </c>
      <c r="AM20" s="22">
        <f t="shared" si="81"/>
        <v>0</v>
      </c>
      <c r="AN20" s="22">
        <f t="shared" si="81"/>
        <v>0</v>
      </c>
      <c r="AO20" s="22">
        <f t="shared" si="82"/>
        <v>0</v>
      </c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>
        <f t="shared" si="83"/>
        <v>0</v>
      </c>
      <c r="BD20" s="7" t="str">
        <f t="shared" si="7"/>
        <v>Cost of goods sold - Demo Car</v>
      </c>
      <c r="BE20" s="22">
        <f>+VLOOKUP($BD20,'Jan-25'!$A:$J,4,0)</f>
        <v>0</v>
      </c>
      <c r="BF20" s="22">
        <f>+VLOOKUP($BD20,'Feb-25'!$A:$J,4,0)</f>
        <v>0</v>
      </c>
      <c r="BG20" s="22">
        <f>+VLOOKUP($BD20,'Mar-25'!$A:$J,4,0)</f>
        <v>0</v>
      </c>
      <c r="BH20" s="22">
        <f>+VLOOKUP($BD20,'Apr-25'!$A:$J,4,0)</f>
        <v>0</v>
      </c>
      <c r="BI20" s="22">
        <f>+VLOOKUP($BD20,'May-25'!$A:$J,4,0)</f>
        <v>0</v>
      </c>
      <c r="BJ20" s="22">
        <f>+VLOOKUP($BD20,'June-25'!$A:$J,4,0)</f>
        <v>0</v>
      </c>
      <c r="BK20" s="22">
        <f>+VLOOKUP($BD20,'July-25'!$A:$J,4,0)</f>
        <v>0</v>
      </c>
      <c r="BL20" s="22">
        <f>+VLOOKUP($BD20,'Aug-25'!$A:$J,4,0)</f>
        <v>0</v>
      </c>
      <c r="BM20" s="22">
        <f>+VLOOKUP($BD20,'Sep-25'!$A:$J,4,0)</f>
        <v>0</v>
      </c>
      <c r="BN20" s="22">
        <f>+VLOOKUP($BD20,'Oct-25'!$A:$J,4,0)</f>
        <v>0</v>
      </c>
      <c r="BO20" s="22">
        <f>+VLOOKUP($BD20,'Nov-25'!$A:$J,4,0)</f>
        <v>0</v>
      </c>
      <c r="BP20" s="22">
        <f>+VLOOKUP($BD20,'Dec-25'!$A:$J,4,0)</f>
        <v>0</v>
      </c>
      <c r="BQ20" s="22">
        <f t="shared" si="92"/>
        <v>0</v>
      </c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>
        <f t="shared" si="84"/>
        <v>0</v>
      </c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106">
        <f t="shared" si="85"/>
        <v>0</v>
      </c>
      <c r="CT20" s="7" t="str">
        <f t="shared" si="11"/>
        <v>Cost of goods sold - Demo Car</v>
      </c>
      <c r="CU20" s="22">
        <f>+VLOOKUP($BD20,'Jan-25'!$A:$J,7,0)</f>
        <v>0</v>
      </c>
      <c r="CV20" s="22">
        <f>+VLOOKUP($BD20,'Feb-25'!$A:$J,7,0)</f>
        <v>0</v>
      </c>
      <c r="CW20" s="22">
        <f>+VLOOKUP($BD20,'Mar-25'!$A:$J,7,0)</f>
        <v>0</v>
      </c>
      <c r="CX20" s="22">
        <f>+VLOOKUP($BD20,'Apr-25'!$A:$J,7,0)</f>
        <v>0</v>
      </c>
      <c r="CY20" s="22">
        <f>+VLOOKUP($BD20,'May-25'!$A:$J,7,0)</f>
        <v>0</v>
      </c>
      <c r="CZ20" s="22">
        <f>+VLOOKUP($BD20,'June-25'!$A:$J,7,0)</f>
        <v>0</v>
      </c>
      <c r="DA20" s="22">
        <f>+VLOOKUP($BD20,'July-25'!$A:$J,7,0)</f>
        <v>0</v>
      </c>
      <c r="DB20" s="22">
        <f>+VLOOKUP($BD20,'Aug-25'!$A:$J,7,0)</f>
        <v>0</v>
      </c>
      <c r="DC20" s="22">
        <f>+VLOOKUP($BD20,'Sep-25'!$A:$J,7,0)</f>
        <v>0</v>
      </c>
      <c r="DD20" s="22">
        <f>+VLOOKUP($BD20,'Oct-25'!$A:$J,7,0)</f>
        <v>0</v>
      </c>
      <c r="DE20" s="22">
        <f>+VLOOKUP($BD20,'Nov-25'!$A:$J,7,0)</f>
        <v>0</v>
      </c>
      <c r="DF20" s="22">
        <f>+VLOOKUP($BD20,'Dec-25'!$A:$J,7,0)</f>
        <v>0</v>
      </c>
      <c r="DG20" s="22">
        <f t="shared" si="93"/>
        <v>0</v>
      </c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106">
        <f t="shared" si="86"/>
        <v>0</v>
      </c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106">
        <f t="shared" si="87"/>
        <v>0</v>
      </c>
      <c r="EJ20" s="7" t="str">
        <f t="shared" si="71"/>
        <v>Cost of goods sold - Demo Car</v>
      </c>
      <c r="EK20" s="22">
        <f>+VLOOKUP($BD20,'Jan-25'!$A:$J,9,0)</f>
        <v>0</v>
      </c>
      <c r="EL20" s="22">
        <f>+VLOOKUP($BD20,'Feb-25'!$A:$J,9,0)</f>
        <v>0</v>
      </c>
      <c r="EM20" s="22">
        <f>+VLOOKUP($BD20,'Mar-25'!$A:$J,9,0)</f>
        <v>0</v>
      </c>
      <c r="EN20" s="22">
        <f>+VLOOKUP($BD20,'Apr-25'!$A:$J,9,0)</f>
        <v>0</v>
      </c>
      <c r="EO20" s="22">
        <f>+VLOOKUP($BD20,'May-25'!$A:$J,9,0)</f>
        <v>0</v>
      </c>
      <c r="EP20" s="22">
        <f>+VLOOKUP($BD20,'June-25'!$A:$J,9,0)</f>
        <v>0</v>
      </c>
      <c r="EQ20" s="22">
        <f>+VLOOKUP($BD20,'July-25'!$A:$J,9,0)</f>
        <v>0</v>
      </c>
      <c r="ER20" s="22">
        <f>+VLOOKUP($BD20,'Aug-25'!$A:$J,9,0)</f>
        <v>0</v>
      </c>
      <c r="ES20" s="22">
        <f>+VLOOKUP($BD20,'Sep-25'!$A:$J,9,0)</f>
        <v>0</v>
      </c>
      <c r="ET20" s="22">
        <f>+VLOOKUP($BD20,'Oct-25'!$A:$J,9,0)</f>
        <v>0</v>
      </c>
      <c r="EU20" s="22">
        <f>+VLOOKUP($BD20,'Nov-25'!$A:$J,9,0)</f>
        <v>0</v>
      </c>
      <c r="EV20" s="22">
        <f>+VLOOKUP($BD20,'Dec-25'!$A:$J,9,0)</f>
        <v>0</v>
      </c>
      <c r="EW20" s="22">
        <f t="shared" si="94"/>
        <v>0</v>
      </c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106">
        <f t="shared" si="88"/>
        <v>0</v>
      </c>
    </row>
    <row r="21" spans="1:167" ht="14.45" hidden="1" customHeight="1" outlineLevel="1">
      <c r="A21" s="106">
        <f t="shared" si="89"/>
        <v>0</v>
      </c>
      <c r="B21" s="106">
        <f t="shared" si="78"/>
        <v>0</v>
      </c>
      <c r="C21" s="106">
        <f t="shared" si="78"/>
        <v>0</v>
      </c>
      <c r="D21" s="106">
        <f t="shared" si="78"/>
        <v>0</v>
      </c>
      <c r="E21" s="106">
        <f t="shared" si="78"/>
        <v>0</v>
      </c>
      <c r="F21" s="106">
        <f t="shared" si="78"/>
        <v>0</v>
      </c>
      <c r="G21" s="106">
        <f t="shared" si="78"/>
        <v>0</v>
      </c>
      <c r="H21" s="106">
        <f t="shared" si="78"/>
        <v>0</v>
      </c>
      <c r="I21" s="106">
        <f t="shared" si="78"/>
        <v>0</v>
      </c>
      <c r="J21" s="106">
        <f t="shared" si="78"/>
        <v>0</v>
      </c>
      <c r="K21" s="106">
        <f t="shared" si="78"/>
        <v>0</v>
      </c>
      <c r="L21" s="106">
        <f t="shared" si="78"/>
        <v>0</v>
      </c>
      <c r="M21" s="106">
        <f t="shared" si="47"/>
        <v>0</v>
      </c>
      <c r="N21" s="7" t="s">
        <v>19</v>
      </c>
      <c r="O21" s="22">
        <f t="shared" si="90"/>
        <v>0</v>
      </c>
      <c r="P21" s="22">
        <f t="shared" si="79"/>
        <v>0</v>
      </c>
      <c r="Q21" s="22">
        <f t="shared" si="79"/>
        <v>0</v>
      </c>
      <c r="R21" s="22">
        <f t="shared" si="79"/>
        <v>0</v>
      </c>
      <c r="S21" s="22">
        <f t="shared" si="79"/>
        <v>0</v>
      </c>
      <c r="T21" s="22">
        <f t="shared" si="79"/>
        <v>0</v>
      </c>
      <c r="U21" s="22">
        <f t="shared" si="79"/>
        <v>0</v>
      </c>
      <c r="V21" s="22">
        <f t="shared" si="79"/>
        <v>0</v>
      </c>
      <c r="W21" s="22">
        <f t="shared" si="79"/>
        <v>0</v>
      </c>
      <c r="X21" s="22">
        <f t="shared" si="79"/>
        <v>0</v>
      </c>
      <c r="Y21" s="22">
        <f t="shared" si="79"/>
        <v>0</v>
      </c>
      <c r="Z21" s="22">
        <f t="shared" si="79"/>
        <v>0</v>
      </c>
      <c r="AA21" s="22">
        <f t="shared" si="80"/>
        <v>0</v>
      </c>
      <c r="AC21" s="22">
        <f t="shared" si="91"/>
        <v>0</v>
      </c>
      <c r="AD21" s="22">
        <f t="shared" si="81"/>
        <v>0</v>
      </c>
      <c r="AE21" s="22">
        <f t="shared" si="81"/>
        <v>0</v>
      </c>
      <c r="AF21" s="22">
        <f t="shared" si="81"/>
        <v>0</v>
      </c>
      <c r="AG21" s="22">
        <f t="shared" si="81"/>
        <v>0</v>
      </c>
      <c r="AH21" s="22">
        <f t="shared" si="81"/>
        <v>0</v>
      </c>
      <c r="AI21" s="22">
        <f t="shared" si="81"/>
        <v>0</v>
      </c>
      <c r="AJ21" s="22">
        <f t="shared" si="81"/>
        <v>0</v>
      </c>
      <c r="AK21" s="22">
        <f t="shared" si="81"/>
        <v>0</v>
      </c>
      <c r="AL21" s="22">
        <f t="shared" si="81"/>
        <v>0</v>
      </c>
      <c r="AM21" s="22">
        <f t="shared" si="81"/>
        <v>0</v>
      </c>
      <c r="AN21" s="22">
        <f t="shared" si="81"/>
        <v>0</v>
      </c>
      <c r="AO21" s="22">
        <f t="shared" si="82"/>
        <v>0</v>
      </c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>
        <f t="shared" si="83"/>
        <v>0</v>
      </c>
      <c r="BD21" s="7" t="str">
        <f t="shared" si="7"/>
        <v>Trade Discount</v>
      </c>
      <c r="BE21" s="22">
        <f>+VLOOKUP($BD21,'Jan-25'!$A:$J,4,0)</f>
        <v>0</v>
      </c>
      <c r="BF21" s="22">
        <f>+VLOOKUP($BD21,'Feb-25'!$A:$J,4,0)</f>
        <v>0</v>
      </c>
      <c r="BG21" s="22">
        <f>+VLOOKUP($BD21,'Mar-25'!$A:$J,4,0)</f>
        <v>0</v>
      </c>
      <c r="BH21" s="22">
        <f>+VLOOKUP($BD21,'Apr-25'!$A:$J,4,0)</f>
        <v>0</v>
      </c>
      <c r="BI21" s="22">
        <f>+VLOOKUP($BD21,'May-25'!$A:$J,4,0)</f>
        <v>0</v>
      </c>
      <c r="BJ21" s="22">
        <f>+VLOOKUP($BD21,'June-25'!$A:$J,4,0)</f>
        <v>0</v>
      </c>
      <c r="BK21" s="22">
        <f>+VLOOKUP($BD21,'July-25'!$A:$J,4,0)</f>
        <v>0</v>
      </c>
      <c r="BL21" s="22">
        <f>+VLOOKUP($BD21,'Aug-25'!$A:$J,4,0)</f>
        <v>0</v>
      </c>
      <c r="BM21" s="22">
        <f>+VLOOKUP($BD21,'Sep-25'!$A:$J,4,0)</f>
        <v>0</v>
      </c>
      <c r="BN21" s="22">
        <f>+VLOOKUP($BD21,'Oct-25'!$A:$J,4,0)</f>
        <v>0</v>
      </c>
      <c r="BO21" s="22">
        <f>+VLOOKUP($BD21,'Nov-25'!$A:$J,4,0)</f>
        <v>0</v>
      </c>
      <c r="BP21" s="22">
        <f>+VLOOKUP($BD21,'Dec-25'!$A:$J,4,0)</f>
        <v>0</v>
      </c>
      <c r="BQ21" s="22">
        <f t="shared" si="92"/>
        <v>0</v>
      </c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>
        <f t="shared" si="84"/>
        <v>0</v>
      </c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106">
        <f t="shared" si="85"/>
        <v>0</v>
      </c>
      <c r="CT21" s="7" t="str">
        <f t="shared" si="11"/>
        <v>Trade Discount</v>
      </c>
      <c r="CU21" s="22">
        <f>+VLOOKUP($BD21,'Jan-25'!$A:$J,7,0)</f>
        <v>0</v>
      </c>
      <c r="CV21" s="22">
        <f>+VLOOKUP($BD21,'Feb-25'!$A:$J,7,0)</f>
        <v>0</v>
      </c>
      <c r="CW21" s="22">
        <f>+VLOOKUP($BD21,'Mar-25'!$A:$J,7,0)</f>
        <v>0</v>
      </c>
      <c r="CX21" s="22">
        <f>+VLOOKUP($BD21,'Apr-25'!$A:$J,7,0)</f>
        <v>0</v>
      </c>
      <c r="CY21" s="22">
        <f>+VLOOKUP($BD21,'May-25'!$A:$J,7,0)</f>
        <v>0</v>
      </c>
      <c r="CZ21" s="22">
        <f>+VLOOKUP($BD21,'June-25'!$A:$J,7,0)</f>
        <v>0</v>
      </c>
      <c r="DA21" s="22">
        <f>+VLOOKUP($BD21,'July-25'!$A:$J,7,0)</f>
        <v>0</v>
      </c>
      <c r="DB21" s="22">
        <f>+VLOOKUP($BD21,'Aug-25'!$A:$J,7,0)</f>
        <v>0</v>
      </c>
      <c r="DC21" s="22">
        <f>+VLOOKUP($BD21,'Sep-25'!$A:$J,7,0)</f>
        <v>0</v>
      </c>
      <c r="DD21" s="22">
        <f>+VLOOKUP($BD21,'Oct-25'!$A:$J,7,0)</f>
        <v>0</v>
      </c>
      <c r="DE21" s="22">
        <f>+VLOOKUP($BD21,'Nov-25'!$A:$J,7,0)</f>
        <v>0</v>
      </c>
      <c r="DF21" s="22">
        <f>+VLOOKUP($BD21,'Dec-25'!$A:$J,7,0)</f>
        <v>0</v>
      </c>
      <c r="DG21" s="22">
        <f t="shared" si="93"/>
        <v>0</v>
      </c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106">
        <f t="shared" si="86"/>
        <v>0</v>
      </c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106">
        <f t="shared" si="87"/>
        <v>0</v>
      </c>
      <c r="EJ21" s="7" t="str">
        <f t="shared" si="71"/>
        <v>Trade Discount</v>
      </c>
      <c r="EK21" s="22">
        <f>+VLOOKUP($BD21,'Jan-25'!$A:$J,9,0)</f>
        <v>0</v>
      </c>
      <c r="EL21" s="22">
        <f>+VLOOKUP($BD21,'Feb-25'!$A:$J,9,0)</f>
        <v>0</v>
      </c>
      <c r="EM21" s="22">
        <f>+VLOOKUP($BD21,'Mar-25'!$A:$J,9,0)</f>
        <v>0</v>
      </c>
      <c r="EN21" s="22">
        <f>+VLOOKUP($BD21,'Apr-25'!$A:$J,9,0)</f>
        <v>0</v>
      </c>
      <c r="EO21" s="22">
        <f>+VLOOKUP($BD21,'May-25'!$A:$J,9,0)</f>
        <v>0</v>
      </c>
      <c r="EP21" s="22">
        <f>+VLOOKUP($BD21,'June-25'!$A:$J,9,0)</f>
        <v>0</v>
      </c>
      <c r="EQ21" s="22">
        <f>+VLOOKUP($BD21,'July-25'!$A:$J,9,0)</f>
        <v>0</v>
      </c>
      <c r="ER21" s="22">
        <f>+VLOOKUP($BD21,'Aug-25'!$A:$J,9,0)</f>
        <v>0</v>
      </c>
      <c r="ES21" s="22">
        <f>+VLOOKUP($BD21,'Sep-25'!$A:$J,9,0)</f>
        <v>0</v>
      </c>
      <c r="ET21" s="22">
        <f>+VLOOKUP($BD21,'Oct-25'!$A:$J,9,0)</f>
        <v>0</v>
      </c>
      <c r="EU21" s="22">
        <f>+VLOOKUP($BD21,'Nov-25'!$A:$J,9,0)</f>
        <v>0</v>
      </c>
      <c r="EV21" s="22">
        <f>+VLOOKUP($BD21,'Dec-25'!$A:$J,9,0)</f>
        <v>0</v>
      </c>
      <c r="EW21" s="22">
        <f t="shared" si="94"/>
        <v>0</v>
      </c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106">
        <f t="shared" si="88"/>
        <v>0</v>
      </c>
    </row>
    <row r="22" spans="1:167" ht="14.45" hidden="1" customHeight="1" outlineLevel="1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8" t="s">
        <v>243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8" t="str">
        <f t="shared" si="7"/>
        <v xml:space="preserve">Sales Used Car </v>
      </c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106"/>
      <c r="CT22" s="8" t="str">
        <f t="shared" si="11"/>
        <v xml:space="preserve">Sales Used Car </v>
      </c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106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106"/>
      <c r="EJ22" s="8" t="str">
        <f t="shared" si="71"/>
        <v xml:space="preserve">Sales Used Car </v>
      </c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106"/>
    </row>
    <row r="23" spans="1:167" ht="14.45" hidden="1" customHeight="1" outlineLevel="1">
      <c r="A23" s="105">
        <f>+AQ23+CG23+DW23</f>
        <v>0</v>
      </c>
      <c r="B23" s="105">
        <f t="shared" ref="B23:L26" si="95">+AR23+CH23+DX23</f>
        <v>0</v>
      </c>
      <c r="C23" s="105">
        <f t="shared" si="95"/>
        <v>0</v>
      </c>
      <c r="D23" s="105">
        <f t="shared" si="95"/>
        <v>0</v>
      </c>
      <c r="E23" s="105">
        <f t="shared" si="95"/>
        <v>0</v>
      </c>
      <c r="F23" s="105">
        <f t="shared" si="95"/>
        <v>0</v>
      </c>
      <c r="G23" s="105">
        <f t="shared" si="95"/>
        <v>0</v>
      </c>
      <c r="H23" s="105">
        <f t="shared" si="95"/>
        <v>0</v>
      </c>
      <c r="I23" s="105">
        <f t="shared" si="95"/>
        <v>0</v>
      </c>
      <c r="J23" s="105">
        <f t="shared" si="95"/>
        <v>0</v>
      </c>
      <c r="K23" s="105">
        <f t="shared" si="95"/>
        <v>0</v>
      </c>
      <c r="L23" s="105">
        <f t="shared" si="95"/>
        <v>0</v>
      </c>
      <c r="M23" s="105">
        <f t="shared" si="47"/>
        <v>0</v>
      </c>
      <c r="N23" s="9" t="s">
        <v>16</v>
      </c>
      <c r="O23" s="27">
        <f>+BE23+CU23+EK23</f>
        <v>0</v>
      </c>
      <c r="P23" s="27">
        <f t="shared" ref="P23:Z26" si="96">+BF23+CV23+EL23</f>
        <v>0</v>
      </c>
      <c r="Q23" s="27">
        <f t="shared" si="96"/>
        <v>0</v>
      </c>
      <c r="R23" s="27">
        <f t="shared" si="96"/>
        <v>0</v>
      </c>
      <c r="S23" s="27">
        <f t="shared" si="96"/>
        <v>0</v>
      </c>
      <c r="T23" s="27">
        <f t="shared" si="96"/>
        <v>0</v>
      </c>
      <c r="U23" s="27">
        <f t="shared" si="96"/>
        <v>0</v>
      </c>
      <c r="V23" s="27">
        <f t="shared" si="96"/>
        <v>0</v>
      </c>
      <c r="W23" s="27">
        <f t="shared" si="96"/>
        <v>0</v>
      </c>
      <c r="X23" s="27">
        <f t="shared" si="96"/>
        <v>0</v>
      </c>
      <c r="Y23" s="27">
        <f t="shared" si="96"/>
        <v>0</v>
      </c>
      <c r="Z23" s="27">
        <f t="shared" si="96"/>
        <v>0</v>
      </c>
      <c r="AA23" s="27">
        <f t="shared" ref="AA23:AA26" si="97">+SUM(O23:Z23)</f>
        <v>0</v>
      </c>
      <c r="AC23" s="27">
        <f>+BS23+DI23+EY23</f>
        <v>0</v>
      </c>
      <c r="AD23" s="27">
        <f t="shared" ref="AD23:AN26" si="98">+BT23+DJ23+EZ23</f>
        <v>0</v>
      </c>
      <c r="AE23" s="27">
        <f t="shared" si="98"/>
        <v>0</v>
      </c>
      <c r="AF23" s="27">
        <f t="shared" si="98"/>
        <v>0</v>
      </c>
      <c r="AG23" s="27">
        <f t="shared" si="98"/>
        <v>0</v>
      </c>
      <c r="AH23" s="27">
        <f t="shared" si="98"/>
        <v>0</v>
      </c>
      <c r="AI23" s="27">
        <f t="shared" si="98"/>
        <v>0</v>
      </c>
      <c r="AJ23" s="27">
        <f t="shared" si="98"/>
        <v>0</v>
      </c>
      <c r="AK23" s="27">
        <f t="shared" si="98"/>
        <v>0</v>
      </c>
      <c r="AL23" s="27">
        <f t="shared" si="98"/>
        <v>0</v>
      </c>
      <c r="AM23" s="27">
        <f t="shared" si="98"/>
        <v>0</v>
      </c>
      <c r="AN23" s="27">
        <f t="shared" si="98"/>
        <v>0</v>
      </c>
      <c r="AO23" s="27">
        <f t="shared" ref="AO23:AO26" si="99">+SUM(AC23:AN23)</f>
        <v>0</v>
      </c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>
        <f t="shared" ref="BC23:BC26" si="100">+SUM(AQ23:BB23)</f>
        <v>0</v>
      </c>
      <c r="BD23" s="9" t="str">
        <f t="shared" si="7"/>
        <v>No of Cars Sold</v>
      </c>
      <c r="BE23" s="27">
        <f>+'Jan-25'!$D$23</f>
        <v>0</v>
      </c>
      <c r="BF23" s="27">
        <f>+'Feb-25'!$D$23</f>
        <v>0</v>
      </c>
      <c r="BG23" s="27">
        <f>+'Mar-25'!$D$23</f>
        <v>0</v>
      </c>
      <c r="BH23" s="27">
        <f>+'Apr-25'!$D$23</f>
        <v>0</v>
      </c>
      <c r="BI23" s="27">
        <f>+'May-25'!$D$23</f>
        <v>0</v>
      </c>
      <c r="BJ23" s="27">
        <f>+'June-25'!$D$23</f>
        <v>0</v>
      </c>
      <c r="BK23" s="27">
        <f>+'July-25'!$D$23</f>
        <v>0</v>
      </c>
      <c r="BL23" s="27">
        <f>+'Aug-25'!$D$23</f>
        <v>0</v>
      </c>
      <c r="BM23" s="27">
        <f>+'Sep-25'!$D$23</f>
        <v>0</v>
      </c>
      <c r="BN23" s="27">
        <f>+'Oct-25'!$D$23</f>
        <v>0</v>
      </c>
      <c r="BO23" s="27">
        <f>+'Nov-25'!$D$23</f>
        <v>0</v>
      </c>
      <c r="BP23" s="27">
        <f>+'Dec-25'!$D$23</f>
        <v>0</v>
      </c>
      <c r="BQ23" s="27">
        <f>+SUM(BE23:BP23)</f>
        <v>0</v>
      </c>
      <c r="BS23" s="105"/>
      <c r="BT23" s="105"/>
      <c r="BU23" s="105"/>
      <c r="BV23" s="105"/>
      <c r="BW23" s="105"/>
      <c r="BX23" s="105"/>
      <c r="BY23" s="105"/>
      <c r="BZ23" s="105"/>
      <c r="CA23" s="105"/>
      <c r="CB23" s="105"/>
      <c r="CC23" s="105"/>
      <c r="CD23" s="105"/>
      <c r="CE23" s="105">
        <f t="shared" ref="CE23:CE26" si="101">+SUM(BS23:CD23)</f>
        <v>0</v>
      </c>
      <c r="CF23" s="22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105">
        <f t="shared" ref="CS23:CS26" si="102">+SUM(CG23:CR23)</f>
        <v>0</v>
      </c>
      <c r="CT23" s="9" t="str">
        <f t="shared" si="11"/>
        <v>No of Cars Sold</v>
      </c>
      <c r="CU23" s="27">
        <f>+'Jan-25'!$G$23</f>
        <v>0</v>
      </c>
      <c r="CV23" s="27">
        <f>+'Feb-25'!$G$23</f>
        <v>0</v>
      </c>
      <c r="CW23" s="27">
        <f>+'Mar-25'!$G$23</f>
        <v>0</v>
      </c>
      <c r="CX23" s="27">
        <f>+'Apr-25'!$G$23</f>
        <v>0</v>
      </c>
      <c r="CY23" s="27">
        <f>+'May-25'!$G$23</f>
        <v>0</v>
      </c>
      <c r="CZ23" s="27">
        <f>+'June-25'!$G$23</f>
        <v>0</v>
      </c>
      <c r="DA23" s="27">
        <f>+'July-25'!$G$23</f>
        <v>0</v>
      </c>
      <c r="DB23" s="27">
        <f>+'Aug-25'!$G$23</f>
        <v>0</v>
      </c>
      <c r="DC23" s="27">
        <f>+'Sep-25'!$G$23</f>
        <v>0</v>
      </c>
      <c r="DD23" s="27">
        <f>+'Oct-25'!$G$23</f>
        <v>0</v>
      </c>
      <c r="DE23" s="27">
        <f>+'Nov-25'!$G$23</f>
        <v>0</v>
      </c>
      <c r="DF23" s="27">
        <f>+'Dec-25'!$G$23</f>
        <v>0</v>
      </c>
      <c r="DG23" s="27">
        <f>+SUM(CU23:DF23)</f>
        <v>0</v>
      </c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105">
        <f t="shared" ref="DU23:DU26" si="103">+SUM(DI23:DT23)</f>
        <v>0</v>
      </c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105">
        <f t="shared" ref="EI23:EI26" si="104">+SUM(DW23:EH23)</f>
        <v>0</v>
      </c>
      <c r="EJ23" s="9" t="str">
        <f t="shared" si="71"/>
        <v>No of Cars Sold</v>
      </c>
      <c r="EK23" s="27">
        <f>+'Jan-25'!$I$23</f>
        <v>0</v>
      </c>
      <c r="EL23" s="27">
        <f>+'Feb-25'!$I$23</f>
        <v>0</v>
      </c>
      <c r="EM23" s="27">
        <f>+'Mar-25'!$I$23</f>
        <v>0</v>
      </c>
      <c r="EN23" s="27">
        <f>+'Apr-25'!$I$23</f>
        <v>0</v>
      </c>
      <c r="EO23" s="27">
        <f>+'May-25'!$I$23</f>
        <v>0</v>
      </c>
      <c r="EP23" s="27">
        <f>+'June-25'!$I$23</f>
        <v>0</v>
      </c>
      <c r="EQ23" s="27">
        <f>+'July-25'!$I$23</f>
        <v>0</v>
      </c>
      <c r="ER23" s="27">
        <f>+'Aug-25'!$I$23</f>
        <v>0</v>
      </c>
      <c r="ES23" s="27">
        <f>+'Sep-25'!$I$23</f>
        <v>0</v>
      </c>
      <c r="ET23" s="27">
        <f>+'Oct-25'!$I$23</f>
        <v>0</v>
      </c>
      <c r="EU23" s="27">
        <f>+'Nov-25'!$I$23</f>
        <v>0</v>
      </c>
      <c r="EV23" s="27">
        <f>+'Dec-25'!$I$23</f>
        <v>0</v>
      </c>
      <c r="EW23" s="27">
        <f>+SUM(EK23:EV23)</f>
        <v>0</v>
      </c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105">
        <f t="shared" ref="FK23:FK26" si="105">+SUM(EY23:FJ23)</f>
        <v>0</v>
      </c>
    </row>
    <row r="24" spans="1:167" ht="14.45" hidden="1" customHeight="1" outlineLevel="1">
      <c r="A24" s="106">
        <f t="shared" ref="A24:A26" si="106">+AQ24+CG24+DW24</f>
        <v>0</v>
      </c>
      <c r="B24" s="106">
        <f t="shared" si="95"/>
        <v>0</v>
      </c>
      <c r="C24" s="106">
        <f t="shared" si="95"/>
        <v>0</v>
      </c>
      <c r="D24" s="106">
        <f t="shared" si="95"/>
        <v>0</v>
      </c>
      <c r="E24" s="106">
        <f t="shared" si="95"/>
        <v>0</v>
      </c>
      <c r="F24" s="106">
        <f t="shared" si="95"/>
        <v>0</v>
      </c>
      <c r="G24" s="106">
        <f t="shared" si="95"/>
        <v>0</v>
      </c>
      <c r="H24" s="106">
        <f t="shared" si="95"/>
        <v>0</v>
      </c>
      <c r="I24" s="106">
        <f t="shared" si="95"/>
        <v>0</v>
      </c>
      <c r="J24" s="106">
        <f t="shared" si="95"/>
        <v>0</v>
      </c>
      <c r="K24" s="106">
        <f t="shared" si="95"/>
        <v>0</v>
      </c>
      <c r="L24" s="106">
        <f t="shared" si="95"/>
        <v>0</v>
      </c>
      <c r="M24" s="106">
        <f t="shared" si="47"/>
        <v>0</v>
      </c>
      <c r="N24" s="7" t="s">
        <v>21</v>
      </c>
      <c r="O24" s="22">
        <f t="shared" ref="O24:O26" si="107">+BE24+CU24+EK24</f>
        <v>0</v>
      </c>
      <c r="P24" s="22">
        <f t="shared" si="96"/>
        <v>0</v>
      </c>
      <c r="Q24" s="22">
        <f t="shared" si="96"/>
        <v>0</v>
      </c>
      <c r="R24" s="22">
        <f t="shared" si="96"/>
        <v>0</v>
      </c>
      <c r="S24" s="22">
        <f t="shared" si="96"/>
        <v>0</v>
      </c>
      <c r="T24" s="22">
        <f t="shared" si="96"/>
        <v>0</v>
      </c>
      <c r="U24" s="22">
        <f t="shared" si="96"/>
        <v>0</v>
      </c>
      <c r="V24" s="22">
        <f t="shared" si="96"/>
        <v>0</v>
      </c>
      <c r="W24" s="22">
        <f t="shared" si="96"/>
        <v>0</v>
      </c>
      <c r="X24" s="22">
        <f t="shared" si="96"/>
        <v>0</v>
      </c>
      <c r="Y24" s="22">
        <f t="shared" si="96"/>
        <v>0</v>
      </c>
      <c r="Z24" s="22">
        <f t="shared" si="96"/>
        <v>0</v>
      </c>
      <c r="AA24" s="22">
        <f t="shared" si="97"/>
        <v>0</v>
      </c>
      <c r="AC24" s="22">
        <f t="shared" ref="AC24:AC26" si="108">+BS24+DI24+EY24</f>
        <v>0</v>
      </c>
      <c r="AD24" s="22">
        <f t="shared" si="98"/>
        <v>0</v>
      </c>
      <c r="AE24" s="22">
        <f t="shared" si="98"/>
        <v>0</v>
      </c>
      <c r="AF24" s="22">
        <f t="shared" si="98"/>
        <v>0</v>
      </c>
      <c r="AG24" s="22">
        <f t="shared" si="98"/>
        <v>0</v>
      </c>
      <c r="AH24" s="22">
        <f t="shared" si="98"/>
        <v>0</v>
      </c>
      <c r="AI24" s="22">
        <f t="shared" si="98"/>
        <v>0</v>
      </c>
      <c r="AJ24" s="22">
        <f t="shared" si="98"/>
        <v>0</v>
      </c>
      <c r="AK24" s="22">
        <f t="shared" si="98"/>
        <v>0</v>
      </c>
      <c r="AL24" s="22">
        <f t="shared" si="98"/>
        <v>0</v>
      </c>
      <c r="AM24" s="22">
        <f t="shared" si="98"/>
        <v>0</v>
      </c>
      <c r="AN24" s="22">
        <f t="shared" si="98"/>
        <v>0</v>
      </c>
      <c r="AO24" s="22">
        <f t="shared" si="99"/>
        <v>0</v>
      </c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>
        <f t="shared" si="100"/>
        <v>0</v>
      </c>
      <c r="BD24" s="7" t="str">
        <f t="shared" si="7"/>
        <v>Turnover,</v>
      </c>
      <c r="BE24" s="22">
        <f>+VLOOKUP($BD24,'Jan-25'!$A:$J,4,0)</f>
        <v>0</v>
      </c>
      <c r="BF24" s="22">
        <f>+VLOOKUP($BD24,'Feb-25'!$A:$J,4,0)</f>
        <v>0</v>
      </c>
      <c r="BG24" s="22">
        <f>+VLOOKUP($BD24,'Mar-25'!$A:$J,4,0)</f>
        <v>0</v>
      </c>
      <c r="BH24" s="22">
        <f>+VLOOKUP($BD24,'Apr-25'!$A:$J,4,0)</f>
        <v>0</v>
      </c>
      <c r="BI24" s="22">
        <f>+VLOOKUP($BD24,'May-25'!$A:$J,4,0)</f>
        <v>0</v>
      </c>
      <c r="BJ24" s="22">
        <f>+VLOOKUP($BD24,'June-25'!$A:$J,4,0)</f>
        <v>0</v>
      </c>
      <c r="BK24" s="22">
        <f>+VLOOKUP($BD24,'July-25'!$A:$J,4,0)</f>
        <v>0</v>
      </c>
      <c r="BL24" s="22">
        <f>+VLOOKUP($BD24,'Aug-25'!$A:$J,4,0)</f>
        <v>0</v>
      </c>
      <c r="BM24" s="22">
        <f>+VLOOKUP($BD24,'Sep-25'!$A:$J,4,0)</f>
        <v>0</v>
      </c>
      <c r="BN24" s="22">
        <f>+VLOOKUP($BD24,'Oct-25'!$A:$J,4,0)</f>
        <v>0</v>
      </c>
      <c r="BO24" s="22">
        <f>+VLOOKUP($BD24,'Nov-25'!$A:$J,4,0)</f>
        <v>0</v>
      </c>
      <c r="BP24" s="22">
        <f>+VLOOKUP($BD24,'Dec-25'!$A:$J,4,0)</f>
        <v>0</v>
      </c>
      <c r="BQ24" s="22">
        <f t="shared" ref="BQ24:BQ26" si="109">+SUM(BE24:BP24)</f>
        <v>0</v>
      </c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>
        <f t="shared" si="101"/>
        <v>0</v>
      </c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106">
        <f t="shared" si="102"/>
        <v>0</v>
      </c>
      <c r="CT24" s="7" t="str">
        <f t="shared" si="11"/>
        <v>Turnover,</v>
      </c>
      <c r="CU24" s="22">
        <f>+VLOOKUP($BD24,'Jan-25'!$A:$J,7,0)</f>
        <v>0</v>
      </c>
      <c r="CV24" s="22">
        <f>+VLOOKUP($BD24,'Feb-25'!$A:$J,7,0)</f>
        <v>0</v>
      </c>
      <c r="CW24" s="22">
        <f>+VLOOKUP($BD24,'Mar-25'!$A:$J,7,0)</f>
        <v>0</v>
      </c>
      <c r="CX24" s="22">
        <f>+VLOOKUP($BD24,'Apr-25'!$A:$J,7,0)</f>
        <v>0</v>
      </c>
      <c r="CY24" s="22">
        <f>+VLOOKUP($BD24,'May-25'!$A:$J,7,0)</f>
        <v>0</v>
      </c>
      <c r="CZ24" s="22">
        <f>+VLOOKUP($BD24,'June-25'!$A:$J,7,0)</f>
        <v>0</v>
      </c>
      <c r="DA24" s="22">
        <f>+VLOOKUP($BD24,'July-25'!$A:$J,7,0)</f>
        <v>0</v>
      </c>
      <c r="DB24" s="22">
        <f>+VLOOKUP($BD24,'Aug-25'!$A:$J,7,0)</f>
        <v>0</v>
      </c>
      <c r="DC24" s="22">
        <f>+VLOOKUP($BD24,'Sep-25'!$A:$J,7,0)</f>
        <v>0</v>
      </c>
      <c r="DD24" s="22">
        <f>+VLOOKUP($BD24,'Oct-25'!$A:$J,7,0)</f>
        <v>0</v>
      </c>
      <c r="DE24" s="22">
        <f>+VLOOKUP($BD24,'Nov-25'!$A:$J,7,0)</f>
        <v>0</v>
      </c>
      <c r="DF24" s="22">
        <f>+VLOOKUP($BD24,'Dec-25'!$A:$J,7,0)</f>
        <v>0</v>
      </c>
      <c r="DG24" s="22">
        <f t="shared" ref="DG24:DG26" si="110">+SUM(CU24:DF24)</f>
        <v>0</v>
      </c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106">
        <f t="shared" si="103"/>
        <v>0</v>
      </c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106">
        <f t="shared" si="104"/>
        <v>0</v>
      </c>
      <c r="EJ24" s="7" t="str">
        <f t="shared" si="71"/>
        <v>Turnover,</v>
      </c>
      <c r="EK24" s="22">
        <f>+VLOOKUP($BD24,'Jan-25'!$A:$J,9,0)</f>
        <v>0</v>
      </c>
      <c r="EL24" s="22">
        <f>+VLOOKUP($BD24,'Feb-25'!$A:$J,9,0)</f>
        <v>0</v>
      </c>
      <c r="EM24" s="22">
        <f>+VLOOKUP($BD24,'Mar-25'!$A:$J,9,0)</f>
        <v>0</v>
      </c>
      <c r="EN24" s="22">
        <f>+VLOOKUP($BD24,'Apr-25'!$A:$J,9,0)</f>
        <v>0</v>
      </c>
      <c r="EO24" s="22">
        <f>+VLOOKUP($BD24,'May-25'!$A:$J,9,0)</f>
        <v>0</v>
      </c>
      <c r="EP24" s="22">
        <f>+VLOOKUP($BD24,'June-25'!$A:$J,9,0)</f>
        <v>0</v>
      </c>
      <c r="EQ24" s="22">
        <f>+VLOOKUP($BD24,'July-25'!$A:$J,9,0)</f>
        <v>0</v>
      </c>
      <c r="ER24" s="22">
        <f>+VLOOKUP($BD24,'Aug-25'!$A:$J,9,0)</f>
        <v>0</v>
      </c>
      <c r="ES24" s="22">
        <f>+VLOOKUP($BD24,'Sep-25'!$A:$J,9,0)</f>
        <v>0</v>
      </c>
      <c r="ET24" s="22">
        <f>+VLOOKUP($BD24,'Oct-25'!$A:$J,9,0)</f>
        <v>0</v>
      </c>
      <c r="EU24" s="22">
        <f>+VLOOKUP($BD24,'Nov-25'!$A:$J,9,0)</f>
        <v>0</v>
      </c>
      <c r="EV24" s="22">
        <f>+VLOOKUP($BD24,'Dec-25'!$A:$J,9,0)</f>
        <v>0</v>
      </c>
      <c r="EW24" s="22">
        <f t="shared" ref="EW24:EW26" si="111">+SUM(EK24:EV24)</f>
        <v>0</v>
      </c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106">
        <f t="shared" si="105"/>
        <v>0</v>
      </c>
    </row>
    <row r="25" spans="1:167" ht="14.45" hidden="1" customHeight="1" outlineLevel="1">
      <c r="A25" s="106">
        <f t="shared" si="106"/>
        <v>0</v>
      </c>
      <c r="B25" s="106">
        <f t="shared" si="95"/>
        <v>0</v>
      </c>
      <c r="C25" s="106">
        <f t="shared" si="95"/>
        <v>0</v>
      </c>
      <c r="D25" s="106">
        <f t="shared" si="95"/>
        <v>0</v>
      </c>
      <c r="E25" s="106">
        <f t="shared" si="95"/>
        <v>0</v>
      </c>
      <c r="F25" s="106">
        <f t="shared" si="95"/>
        <v>0</v>
      </c>
      <c r="G25" s="106">
        <f t="shared" si="95"/>
        <v>0</v>
      </c>
      <c r="H25" s="106">
        <f t="shared" si="95"/>
        <v>0</v>
      </c>
      <c r="I25" s="106">
        <f t="shared" si="95"/>
        <v>0</v>
      </c>
      <c r="J25" s="106">
        <f t="shared" si="95"/>
        <v>0</v>
      </c>
      <c r="K25" s="106">
        <f t="shared" si="95"/>
        <v>0</v>
      </c>
      <c r="L25" s="106">
        <f t="shared" si="95"/>
        <v>0</v>
      </c>
      <c r="M25" s="106">
        <f t="shared" si="47"/>
        <v>0</v>
      </c>
      <c r="N25" s="7" t="s">
        <v>22</v>
      </c>
      <c r="O25" s="22">
        <f t="shared" si="107"/>
        <v>0</v>
      </c>
      <c r="P25" s="22">
        <f t="shared" si="96"/>
        <v>0</v>
      </c>
      <c r="Q25" s="22">
        <f t="shared" si="96"/>
        <v>0</v>
      </c>
      <c r="R25" s="22">
        <f t="shared" si="96"/>
        <v>0</v>
      </c>
      <c r="S25" s="22">
        <f t="shared" si="96"/>
        <v>0</v>
      </c>
      <c r="T25" s="22">
        <f t="shared" si="96"/>
        <v>0</v>
      </c>
      <c r="U25" s="22">
        <f t="shared" si="96"/>
        <v>0</v>
      </c>
      <c r="V25" s="22">
        <f t="shared" si="96"/>
        <v>0</v>
      </c>
      <c r="W25" s="22">
        <f t="shared" si="96"/>
        <v>0</v>
      </c>
      <c r="X25" s="22">
        <f t="shared" si="96"/>
        <v>0</v>
      </c>
      <c r="Y25" s="22">
        <f t="shared" si="96"/>
        <v>0</v>
      </c>
      <c r="Z25" s="22">
        <f t="shared" si="96"/>
        <v>0</v>
      </c>
      <c r="AA25" s="22">
        <f t="shared" si="97"/>
        <v>0</v>
      </c>
      <c r="AC25" s="22">
        <f t="shared" si="108"/>
        <v>0</v>
      </c>
      <c r="AD25" s="22">
        <f t="shared" si="98"/>
        <v>0</v>
      </c>
      <c r="AE25" s="22">
        <f t="shared" si="98"/>
        <v>0</v>
      </c>
      <c r="AF25" s="22">
        <f t="shared" si="98"/>
        <v>0</v>
      </c>
      <c r="AG25" s="22">
        <f t="shared" si="98"/>
        <v>0</v>
      </c>
      <c r="AH25" s="22">
        <f t="shared" si="98"/>
        <v>0</v>
      </c>
      <c r="AI25" s="22">
        <f t="shared" si="98"/>
        <v>0</v>
      </c>
      <c r="AJ25" s="22">
        <f t="shared" si="98"/>
        <v>0</v>
      </c>
      <c r="AK25" s="22">
        <f t="shared" si="98"/>
        <v>0</v>
      </c>
      <c r="AL25" s="22">
        <f t="shared" si="98"/>
        <v>0</v>
      </c>
      <c r="AM25" s="22">
        <f t="shared" si="98"/>
        <v>0</v>
      </c>
      <c r="AN25" s="22">
        <f t="shared" si="98"/>
        <v>0</v>
      </c>
      <c r="AO25" s="22">
        <f t="shared" si="99"/>
        <v>0</v>
      </c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>
        <f t="shared" si="100"/>
        <v>0</v>
      </c>
      <c r="BD25" s="7" t="str">
        <f t="shared" si="7"/>
        <v>Cost of goods sold - Exchange</v>
      </c>
      <c r="BE25" s="22">
        <f>+VLOOKUP($BD25,'Jan-25'!$A:$J,4,0)</f>
        <v>0</v>
      </c>
      <c r="BF25" s="22">
        <f>+VLOOKUP($BD25,'Feb-25'!$A:$J,4,0)</f>
        <v>0</v>
      </c>
      <c r="BG25" s="22">
        <f>+VLOOKUP($BD25,'Mar-25'!$A:$J,4,0)</f>
        <v>0</v>
      </c>
      <c r="BH25" s="22">
        <f>+VLOOKUP($BD25,'Apr-25'!$A:$J,4,0)</f>
        <v>0</v>
      </c>
      <c r="BI25" s="22">
        <f>+VLOOKUP($BD25,'May-25'!$A:$J,4,0)</f>
        <v>0</v>
      </c>
      <c r="BJ25" s="22">
        <f>+VLOOKUP($BD25,'June-25'!$A:$J,4,0)</f>
        <v>0</v>
      </c>
      <c r="BK25" s="22">
        <f>+VLOOKUP($BD25,'July-25'!$A:$J,4,0)</f>
        <v>0</v>
      </c>
      <c r="BL25" s="22">
        <f>+VLOOKUP($BD25,'Aug-25'!$A:$J,4,0)</f>
        <v>0</v>
      </c>
      <c r="BM25" s="22">
        <f>+VLOOKUP($BD25,'Sep-25'!$A:$J,4,0)</f>
        <v>0</v>
      </c>
      <c r="BN25" s="22">
        <f>+VLOOKUP($BD25,'Oct-25'!$A:$J,4,0)</f>
        <v>0</v>
      </c>
      <c r="BO25" s="22">
        <f>+VLOOKUP($BD25,'Nov-25'!$A:$J,4,0)</f>
        <v>0</v>
      </c>
      <c r="BP25" s="22">
        <f>+VLOOKUP($BD25,'Dec-25'!$A:$J,4,0)</f>
        <v>0</v>
      </c>
      <c r="BQ25" s="22">
        <f t="shared" si="109"/>
        <v>0</v>
      </c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>
        <f t="shared" si="101"/>
        <v>0</v>
      </c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106">
        <f t="shared" si="102"/>
        <v>0</v>
      </c>
      <c r="CT25" s="7" t="str">
        <f t="shared" si="11"/>
        <v>Cost of goods sold - Exchange</v>
      </c>
      <c r="CU25" s="22">
        <f>+VLOOKUP($BD25,'Jan-25'!$A:$J,7,0)</f>
        <v>0</v>
      </c>
      <c r="CV25" s="22">
        <f>+VLOOKUP($BD25,'Feb-25'!$A:$J,7,0)</f>
        <v>0</v>
      </c>
      <c r="CW25" s="22">
        <f>+VLOOKUP($BD25,'Mar-25'!$A:$J,7,0)</f>
        <v>0</v>
      </c>
      <c r="CX25" s="22">
        <f>+VLOOKUP($BD25,'Apr-25'!$A:$J,7,0)</f>
        <v>0</v>
      </c>
      <c r="CY25" s="22">
        <f>+VLOOKUP($BD25,'May-25'!$A:$J,7,0)</f>
        <v>0</v>
      </c>
      <c r="CZ25" s="22">
        <f>+VLOOKUP($BD25,'June-25'!$A:$J,7,0)</f>
        <v>0</v>
      </c>
      <c r="DA25" s="22">
        <f>+VLOOKUP($BD25,'July-25'!$A:$J,7,0)</f>
        <v>0</v>
      </c>
      <c r="DB25" s="22">
        <f>+VLOOKUP($BD25,'Aug-25'!$A:$J,7,0)</f>
        <v>0</v>
      </c>
      <c r="DC25" s="22">
        <f>+VLOOKUP($BD25,'Sep-25'!$A:$J,7,0)</f>
        <v>0</v>
      </c>
      <c r="DD25" s="22">
        <f>+VLOOKUP($BD25,'Oct-25'!$A:$J,7,0)</f>
        <v>0</v>
      </c>
      <c r="DE25" s="22">
        <f>+VLOOKUP($BD25,'Nov-25'!$A:$J,7,0)</f>
        <v>0</v>
      </c>
      <c r="DF25" s="22">
        <f>+VLOOKUP($BD25,'Dec-25'!$A:$J,7,0)</f>
        <v>0</v>
      </c>
      <c r="DG25" s="22">
        <f t="shared" si="110"/>
        <v>0</v>
      </c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106">
        <f t="shared" si="103"/>
        <v>0</v>
      </c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106">
        <f t="shared" si="104"/>
        <v>0</v>
      </c>
      <c r="EJ25" s="7" t="str">
        <f t="shared" si="71"/>
        <v>Cost of goods sold - Exchange</v>
      </c>
      <c r="EK25" s="22">
        <f>+VLOOKUP($BD25,'Jan-25'!$A:$J,9,0)</f>
        <v>0</v>
      </c>
      <c r="EL25" s="22">
        <f>+VLOOKUP($BD25,'Feb-25'!$A:$J,9,0)</f>
        <v>0</v>
      </c>
      <c r="EM25" s="22">
        <f>+VLOOKUP($BD25,'Mar-25'!$A:$J,9,0)</f>
        <v>0</v>
      </c>
      <c r="EN25" s="22">
        <f>+VLOOKUP($BD25,'Apr-25'!$A:$J,9,0)</f>
        <v>0</v>
      </c>
      <c r="EO25" s="22">
        <f>+VLOOKUP($BD25,'May-25'!$A:$J,9,0)</f>
        <v>0</v>
      </c>
      <c r="EP25" s="22">
        <f>+VLOOKUP($BD25,'June-25'!$A:$J,9,0)</f>
        <v>0</v>
      </c>
      <c r="EQ25" s="22">
        <f>+VLOOKUP($BD25,'July-25'!$A:$J,9,0)</f>
        <v>0</v>
      </c>
      <c r="ER25" s="22">
        <f>+VLOOKUP($BD25,'Aug-25'!$A:$J,9,0)</f>
        <v>0</v>
      </c>
      <c r="ES25" s="22">
        <f>+VLOOKUP($BD25,'Sep-25'!$A:$J,9,0)</f>
        <v>0</v>
      </c>
      <c r="ET25" s="22">
        <f>+VLOOKUP($BD25,'Oct-25'!$A:$J,9,0)</f>
        <v>0</v>
      </c>
      <c r="EU25" s="22">
        <f>+VLOOKUP($BD25,'Nov-25'!$A:$J,9,0)</f>
        <v>0</v>
      </c>
      <c r="EV25" s="22">
        <f>+VLOOKUP($BD25,'Dec-25'!$A:$J,9,0)</f>
        <v>0</v>
      </c>
      <c r="EW25" s="22">
        <f t="shared" si="111"/>
        <v>0</v>
      </c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106">
        <f t="shared" si="105"/>
        <v>0</v>
      </c>
    </row>
    <row r="26" spans="1:167" ht="14.45" hidden="1" customHeight="1" outlineLevel="1">
      <c r="A26" s="106">
        <f t="shared" si="106"/>
        <v>0</v>
      </c>
      <c r="B26" s="106">
        <f t="shared" si="95"/>
        <v>0</v>
      </c>
      <c r="C26" s="106">
        <f t="shared" si="95"/>
        <v>0</v>
      </c>
      <c r="D26" s="106">
        <f t="shared" si="95"/>
        <v>0</v>
      </c>
      <c r="E26" s="106">
        <f t="shared" si="95"/>
        <v>0</v>
      </c>
      <c r="F26" s="106">
        <f t="shared" si="95"/>
        <v>0</v>
      </c>
      <c r="G26" s="106">
        <f t="shared" si="95"/>
        <v>0</v>
      </c>
      <c r="H26" s="106">
        <f t="shared" si="95"/>
        <v>0</v>
      </c>
      <c r="I26" s="106">
        <f t="shared" si="95"/>
        <v>0</v>
      </c>
      <c r="J26" s="106">
        <f t="shared" si="95"/>
        <v>0</v>
      </c>
      <c r="K26" s="106">
        <f t="shared" si="95"/>
        <v>0</v>
      </c>
      <c r="L26" s="106">
        <f t="shared" si="95"/>
        <v>0</v>
      </c>
      <c r="M26" s="106">
        <f t="shared" si="47"/>
        <v>0</v>
      </c>
      <c r="N26" s="7" t="s">
        <v>23</v>
      </c>
      <c r="O26" s="22">
        <f t="shared" si="107"/>
        <v>0</v>
      </c>
      <c r="P26" s="22">
        <f t="shared" si="96"/>
        <v>0</v>
      </c>
      <c r="Q26" s="22">
        <f t="shared" si="96"/>
        <v>0</v>
      </c>
      <c r="R26" s="22">
        <f t="shared" si="96"/>
        <v>0</v>
      </c>
      <c r="S26" s="22">
        <f t="shared" si="96"/>
        <v>0</v>
      </c>
      <c r="T26" s="22">
        <f t="shared" si="96"/>
        <v>0</v>
      </c>
      <c r="U26" s="22">
        <f t="shared" si="96"/>
        <v>0</v>
      </c>
      <c r="V26" s="22">
        <f t="shared" si="96"/>
        <v>0</v>
      </c>
      <c r="W26" s="22">
        <f t="shared" si="96"/>
        <v>0</v>
      </c>
      <c r="X26" s="22">
        <f t="shared" si="96"/>
        <v>0</v>
      </c>
      <c r="Y26" s="22">
        <f t="shared" si="96"/>
        <v>0</v>
      </c>
      <c r="Z26" s="22">
        <f t="shared" si="96"/>
        <v>0</v>
      </c>
      <c r="AA26" s="22">
        <f t="shared" si="97"/>
        <v>0</v>
      </c>
      <c r="AC26" s="22">
        <f t="shared" si="108"/>
        <v>0</v>
      </c>
      <c r="AD26" s="22">
        <f t="shared" si="98"/>
        <v>0</v>
      </c>
      <c r="AE26" s="22">
        <f t="shared" si="98"/>
        <v>0</v>
      </c>
      <c r="AF26" s="22">
        <f t="shared" si="98"/>
        <v>0</v>
      </c>
      <c r="AG26" s="22">
        <f t="shared" si="98"/>
        <v>0</v>
      </c>
      <c r="AH26" s="22">
        <f t="shared" si="98"/>
        <v>0</v>
      </c>
      <c r="AI26" s="22">
        <f t="shared" si="98"/>
        <v>0</v>
      </c>
      <c r="AJ26" s="22">
        <f t="shared" si="98"/>
        <v>0</v>
      </c>
      <c r="AK26" s="22">
        <f t="shared" si="98"/>
        <v>0</v>
      </c>
      <c r="AL26" s="22">
        <f t="shared" si="98"/>
        <v>0</v>
      </c>
      <c r="AM26" s="22">
        <f t="shared" si="98"/>
        <v>0</v>
      </c>
      <c r="AN26" s="22">
        <f t="shared" si="98"/>
        <v>0</v>
      </c>
      <c r="AO26" s="22">
        <f t="shared" si="99"/>
        <v>0</v>
      </c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>
        <f t="shared" si="100"/>
        <v>0</v>
      </c>
      <c r="BD26" s="7" t="str">
        <f t="shared" si="7"/>
        <v>Refurbishment expenses</v>
      </c>
      <c r="BE26" s="22">
        <f>+VLOOKUP($BD26,'Jan-25'!$A:$J,4,0)</f>
        <v>0</v>
      </c>
      <c r="BF26" s="22">
        <f>+VLOOKUP($BD26,'Feb-25'!$A:$J,4,0)</f>
        <v>0</v>
      </c>
      <c r="BG26" s="22">
        <f>+VLOOKUP($BD26,'Mar-25'!$A:$J,4,0)</f>
        <v>0</v>
      </c>
      <c r="BH26" s="22">
        <f>+VLOOKUP($BD26,'Apr-25'!$A:$J,4,0)</f>
        <v>0</v>
      </c>
      <c r="BI26" s="22">
        <f>+VLOOKUP($BD26,'May-25'!$A:$J,4,0)</f>
        <v>0</v>
      </c>
      <c r="BJ26" s="22">
        <f>+VLOOKUP($BD26,'June-25'!$A:$J,4,0)</f>
        <v>0</v>
      </c>
      <c r="BK26" s="22">
        <f>+VLOOKUP($BD26,'July-25'!$A:$J,4,0)</f>
        <v>0</v>
      </c>
      <c r="BL26" s="22">
        <f>+VLOOKUP($BD26,'Aug-25'!$A:$J,4,0)</f>
        <v>0</v>
      </c>
      <c r="BM26" s="22">
        <f>+VLOOKUP($BD26,'Sep-25'!$A:$J,4,0)</f>
        <v>0</v>
      </c>
      <c r="BN26" s="22">
        <f>+VLOOKUP($BD26,'Oct-25'!$A:$J,4,0)</f>
        <v>0</v>
      </c>
      <c r="BO26" s="22">
        <f>+VLOOKUP($BD26,'Nov-25'!$A:$J,4,0)</f>
        <v>0</v>
      </c>
      <c r="BP26" s="22">
        <f>+VLOOKUP($BD26,'Dec-25'!$A:$J,4,0)</f>
        <v>0</v>
      </c>
      <c r="BQ26" s="22">
        <f t="shared" si="109"/>
        <v>0</v>
      </c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>
        <f t="shared" si="101"/>
        <v>0</v>
      </c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106">
        <f t="shared" si="102"/>
        <v>0</v>
      </c>
      <c r="CT26" s="7" t="str">
        <f t="shared" si="11"/>
        <v>Refurbishment expenses</v>
      </c>
      <c r="CU26" s="22">
        <f>+VLOOKUP($BD26,'Jan-25'!$A:$J,7,0)</f>
        <v>0</v>
      </c>
      <c r="CV26" s="22">
        <f>+VLOOKUP($BD26,'Feb-25'!$A:$J,7,0)</f>
        <v>0</v>
      </c>
      <c r="CW26" s="22">
        <f>+VLOOKUP($BD26,'Mar-25'!$A:$J,7,0)</f>
        <v>0</v>
      </c>
      <c r="CX26" s="22">
        <f>+VLOOKUP($BD26,'Apr-25'!$A:$J,7,0)</f>
        <v>0</v>
      </c>
      <c r="CY26" s="22">
        <f>+VLOOKUP($BD26,'May-25'!$A:$J,7,0)</f>
        <v>0</v>
      </c>
      <c r="CZ26" s="22">
        <f>+VLOOKUP($BD26,'June-25'!$A:$J,7,0)</f>
        <v>0</v>
      </c>
      <c r="DA26" s="22">
        <f>+VLOOKUP($BD26,'July-25'!$A:$J,7,0)</f>
        <v>0</v>
      </c>
      <c r="DB26" s="22">
        <f>+VLOOKUP($BD26,'Aug-25'!$A:$J,7,0)</f>
        <v>0</v>
      </c>
      <c r="DC26" s="22">
        <f>+VLOOKUP($BD26,'Sep-25'!$A:$J,7,0)</f>
        <v>0</v>
      </c>
      <c r="DD26" s="22">
        <f>+VLOOKUP($BD26,'Oct-25'!$A:$J,7,0)</f>
        <v>0</v>
      </c>
      <c r="DE26" s="22">
        <f>+VLOOKUP($BD26,'Nov-25'!$A:$J,7,0)</f>
        <v>0</v>
      </c>
      <c r="DF26" s="22">
        <f>+VLOOKUP($BD26,'Dec-25'!$A:$J,7,0)</f>
        <v>0</v>
      </c>
      <c r="DG26" s="22">
        <f t="shared" si="110"/>
        <v>0</v>
      </c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106">
        <f t="shared" si="103"/>
        <v>0</v>
      </c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106">
        <f t="shared" si="104"/>
        <v>0</v>
      </c>
      <c r="EJ26" s="7" t="str">
        <f t="shared" si="71"/>
        <v>Refurbishment expenses</v>
      </c>
      <c r="EK26" s="22">
        <f>+VLOOKUP($BD26,'Jan-25'!$A:$J,9,0)</f>
        <v>0</v>
      </c>
      <c r="EL26" s="22">
        <f>+VLOOKUP($BD26,'Feb-25'!$A:$J,9,0)</f>
        <v>0</v>
      </c>
      <c r="EM26" s="22">
        <f>+VLOOKUP($BD26,'Mar-25'!$A:$J,9,0)</f>
        <v>0</v>
      </c>
      <c r="EN26" s="22">
        <f>+VLOOKUP($BD26,'Apr-25'!$A:$J,9,0)</f>
        <v>0</v>
      </c>
      <c r="EO26" s="22">
        <f>+VLOOKUP($BD26,'May-25'!$A:$J,9,0)</f>
        <v>0</v>
      </c>
      <c r="EP26" s="22">
        <f>+VLOOKUP($BD26,'June-25'!$A:$J,9,0)</f>
        <v>0</v>
      </c>
      <c r="EQ26" s="22">
        <f>+VLOOKUP($BD26,'July-25'!$A:$J,9,0)</f>
        <v>0</v>
      </c>
      <c r="ER26" s="22">
        <f>+VLOOKUP($BD26,'Aug-25'!$A:$J,9,0)</f>
        <v>0</v>
      </c>
      <c r="ES26" s="22">
        <f>+VLOOKUP($BD26,'Sep-25'!$A:$J,9,0)</f>
        <v>0</v>
      </c>
      <c r="ET26" s="22">
        <f>+VLOOKUP($BD26,'Oct-25'!$A:$J,9,0)</f>
        <v>0</v>
      </c>
      <c r="EU26" s="22">
        <f>+VLOOKUP($BD26,'Nov-25'!$A:$J,9,0)</f>
        <v>0</v>
      </c>
      <c r="EV26" s="22">
        <f>+VLOOKUP($BD26,'Dec-25'!$A:$J,9,0)</f>
        <v>0</v>
      </c>
      <c r="EW26" s="22">
        <f t="shared" si="111"/>
        <v>0</v>
      </c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106">
        <f t="shared" si="105"/>
        <v>0</v>
      </c>
    </row>
    <row r="27" spans="1:167" ht="14.45" hidden="1" customHeight="1" outlineLevel="1">
      <c r="A27" s="58">
        <f>+A24-A25-A26</f>
        <v>0</v>
      </c>
      <c r="B27" s="58">
        <f t="shared" ref="B27:L27" si="112">+B24-B25-B26</f>
        <v>0</v>
      </c>
      <c r="C27" s="58">
        <f t="shared" si="112"/>
        <v>0</v>
      </c>
      <c r="D27" s="58">
        <f t="shared" si="112"/>
        <v>0</v>
      </c>
      <c r="E27" s="58">
        <f t="shared" si="112"/>
        <v>0</v>
      </c>
      <c r="F27" s="58">
        <f t="shared" si="112"/>
        <v>0</v>
      </c>
      <c r="G27" s="58">
        <f t="shared" si="112"/>
        <v>0</v>
      </c>
      <c r="H27" s="58">
        <f t="shared" si="112"/>
        <v>0</v>
      </c>
      <c r="I27" s="58">
        <f t="shared" si="112"/>
        <v>0</v>
      </c>
      <c r="J27" s="58">
        <f t="shared" si="112"/>
        <v>0</v>
      </c>
      <c r="K27" s="58">
        <f t="shared" si="112"/>
        <v>0</v>
      </c>
      <c r="L27" s="58">
        <f t="shared" si="112"/>
        <v>0</v>
      </c>
      <c r="M27" s="58">
        <f>+M24-M25-M26</f>
        <v>0</v>
      </c>
      <c r="N27" s="10" t="s">
        <v>20</v>
      </c>
      <c r="O27" s="28">
        <f>+O24-O25-O26</f>
        <v>0</v>
      </c>
      <c r="P27" s="28">
        <f t="shared" ref="P27:Z27" si="113">+P24-P25-P26</f>
        <v>0</v>
      </c>
      <c r="Q27" s="28">
        <f t="shared" si="113"/>
        <v>0</v>
      </c>
      <c r="R27" s="28">
        <f t="shared" si="113"/>
        <v>0</v>
      </c>
      <c r="S27" s="28">
        <f t="shared" si="113"/>
        <v>0</v>
      </c>
      <c r="T27" s="28">
        <f t="shared" si="113"/>
        <v>0</v>
      </c>
      <c r="U27" s="28">
        <f t="shared" si="113"/>
        <v>0</v>
      </c>
      <c r="V27" s="28">
        <f t="shared" si="113"/>
        <v>0</v>
      </c>
      <c r="W27" s="28">
        <f t="shared" si="113"/>
        <v>0</v>
      </c>
      <c r="X27" s="28">
        <f t="shared" si="113"/>
        <v>0</v>
      </c>
      <c r="Y27" s="28">
        <f t="shared" si="113"/>
        <v>0</v>
      </c>
      <c r="Z27" s="28">
        <f t="shared" si="113"/>
        <v>0</v>
      </c>
      <c r="AA27" s="28">
        <f>+AA24-AA25-AA26</f>
        <v>0</v>
      </c>
      <c r="AC27" s="28">
        <f>+AC24-AC25-AC26</f>
        <v>0</v>
      </c>
      <c r="AD27" s="28">
        <f t="shared" ref="AD27:AN27" si="114">+AD24-AD25-AD26</f>
        <v>0</v>
      </c>
      <c r="AE27" s="28">
        <f t="shared" si="114"/>
        <v>0</v>
      </c>
      <c r="AF27" s="28">
        <f t="shared" si="114"/>
        <v>0</v>
      </c>
      <c r="AG27" s="28">
        <f t="shared" si="114"/>
        <v>0</v>
      </c>
      <c r="AH27" s="28">
        <f t="shared" si="114"/>
        <v>0</v>
      </c>
      <c r="AI27" s="28">
        <f t="shared" si="114"/>
        <v>0</v>
      </c>
      <c r="AJ27" s="28">
        <f t="shared" si="114"/>
        <v>0</v>
      </c>
      <c r="AK27" s="28">
        <f t="shared" si="114"/>
        <v>0</v>
      </c>
      <c r="AL27" s="28">
        <f t="shared" si="114"/>
        <v>0</v>
      </c>
      <c r="AM27" s="28">
        <f t="shared" si="114"/>
        <v>0</v>
      </c>
      <c r="AN27" s="28">
        <f t="shared" si="114"/>
        <v>0</v>
      </c>
      <c r="AO27" s="28">
        <f>+AO24-AO25-AO26</f>
        <v>0</v>
      </c>
      <c r="AQ27" s="58">
        <f t="shared" ref="AQ27:BB27" si="115">+AQ24-AQ25-AQ26</f>
        <v>0</v>
      </c>
      <c r="AR27" s="58">
        <f t="shared" si="115"/>
        <v>0</v>
      </c>
      <c r="AS27" s="58">
        <f t="shared" si="115"/>
        <v>0</v>
      </c>
      <c r="AT27" s="58">
        <f t="shared" si="115"/>
        <v>0</v>
      </c>
      <c r="AU27" s="58">
        <f t="shared" si="115"/>
        <v>0</v>
      </c>
      <c r="AV27" s="58">
        <f t="shared" si="115"/>
        <v>0</v>
      </c>
      <c r="AW27" s="58">
        <f t="shared" si="115"/>
        <v>0</v>
      </c>
      <c r="AX27" s="58">
        <f t="shared" si="115"/>
        <v>0</v>
      </c>
      <c r="AY27" s="58">
        <f t="shared" si="115"/>
        <v>0</v>
      </c>
      <c r="AZ27" s="58">
        <f t="shared" si="115"/>
        <v>0</v>
      </c>
      <c r="BA27" s="58">
        <f t="shared" si="115"/>
        <v>0</v>
      </c>
      <c r="BB27" s="58">
        <f t="shared" si="115"/>
        <v>0</v>
      </c>
      <c r="BC27" s="58">
        <f>+BC24-BC25-BC26</f>
        <v>0</v>
      </c>
      <c r="BD27" s="10" t="str">
        <f t="shared" si="7"/>
        <v>Gross Profit</v>
      </c>
      <c r="BE27" s="28">
        <f t="shared" ref="BE27:BQ27" si="116">+BE24-BE25-BE26</f>
        <v>0</v>
      </c>
      <c r="BF27" s="28">
        <f t="shared" si="116"/>
        <v>0</v>
      </c>
      <c r="BG27" s="28">
        <f t="shared" si="116"/>
        <v>0</v>
      </c>
      <c r="BH27" s="28">
        <f t="shared" si="116"/>
        <v>0</v>
      </c>
      <c r="BI27" s="28">
        <f t="shared" si="116"/>
        <v>0</v>
      </c>
      <c r="BJ27" s="28">
        <f t="shared" si="116"/>
        <v>0</v>
      </c>
      <c r="BK27" s="28">
        <f t="shared" si="116"/>
        <v>0</v>
      </c>
      <c r="BL27" s="28">
        <f t="shared" si="116"/>
        <v>0</v>
      </c>
      <c r="BM27" s="28">
        <f t="shared" si="116"/>
        <v>0</v>
      </c>
      <c r="BN27" s="28">
        <f t="shared" si="116"/>
        <v>0</v>
      </c>
      <c r="BO27" s="28">
        <f t="shared" si="116"/>
        <v>0</v>
      </c>
      <c r="BP27" s="28">
        <f t="shared" si="116"/>
        <v>0</v>
      </c>
      <c r="BQ27" s="28">
        <f t="shared" si="116"/>
        <v>0</v>
      </c>
      <c r="BS27" s="58">
        <f t="shared" ref="BS27:CD27" si="117">+BS24-BS25-BS26</f>
        <v>0</v>
      </c>
      <c r="BT27" s="58">
        <f t="shared" si="117"/>
        <v>0</v>
      </c>
      <c r="BU27" s="58">
        <f t="shared" si="117"/>
        <v>0</v>
      </c>
      <c r="BV27" s="58">
        <f t="shared" si="117"/>
        <v>0</v>
      </c>
      <c r="BW27" s="58">
        <f t="shared" si="117"/>
        <v>0</v>
      </c>
      <c r="BX27" s="58">
        <f t="shared" si="117"/>
        <v>0</v>
      </c>
      <c r="BY27" s="58">
        <f t="shared" si="117"/>
        <v>0</v>
      </c>
      <c r="BZ27" s="58">
        <f t="shared" si="117"/>
        <v>0</v>
      </c>
      <c r="CA27" s="58">
        <f t="shared" si="117"/>
        <v>0</v>
      </c>
      <c r="CB27" s="58">
        <f t="shared" si="117"/>
        <v>0</v>
      </c>
      <c r="CC27" s="58">
        <f t="shared" si="117"/>
        <v>0</v>
      </c>
      <c r="CD27" s="58">
        <f t="shared" si="117"/>
        <v>0</v>
      </c>
      <c r="CE27" s="58">
        <f>+CE24-CE25-CE26</f>
        <v>0</v>
      </c>
      <c r="CF27" s="22"/>
      <c r="CG27" s="28">
        <f t="shared" ref="CG27:CR27" si="118">+CG24-CG25-CG26</f>
        <v>0</v>
      </c>
      <c r="CH27" s="28">
        <f t="shared" si="118"/>
        <v>0</v>
      </c>
      <c r="CI27" s="28">
        <f t="shared" si="118"/>
        <v>0</v>
      </c>
      <c r="CJ27" s="28">
        <f t="shared" si="118"/>
        <v>0</v>
      </c>
      <c r="CK27" s="28">
        <f t="shared" si="118"/>
        <v>0</v>
      </c>
      <c r="CL27" s="28">
        <f t="shared" si="118"/>
        <v>0</v>
      </c>
      <c r="CM27" s="28">
        <f t="shared" si="118"/>
        <v>0</v>
      </c>
      <c r="CN27" s="28">
        <f t="shared" si="118"/>
        <v>0</v>
      </c>
      <c r="CO27" s="28">
        <f t="shared" si="118"/>
        <v>0</v>
      </c>
      <c r="CP27" s="28">
        <f t="shared" si="118"/>
        <v>0</v>
      </c>
      <c r="CQ27" s="28">
        <f t="shared" si="118"/>
        <v>0</v>
      </c>
      <c r="CR27" s="28">
        <f t="shared" si="118"/>
        <v>0</v>
      </c>
      <c r="CS27" s="58">
        <f>+CS24-CS25-CS26</f>
        <v>0</v>
      </c>
      <c r="CT27" s="10" t="str">
        <f t="shared" si="11"/>
        <v>Gross Profit</v>
      </c>
      <c r="CU27" s="28">
        <f t="shared" ref="CU27:DG27" si="119">+CU24-CU25-CU26</f>
        <v>0</v>
      </c>
      <c r="CV27" s="28">
        <f t="shared" si="119"/>
        <v>0</v>
      </c>
      <c r="CW27" s="28">
        <f t="shared" si="119"/>
        <v>0</v>
      </c>
      <c r="CX27" s="28">
        <f t="shared" si="119"/>
        <v>0</v>
      </c>
      <c r="CY27" s="28">
        <f t="shared" si="119"/>
        <v>0</v>
      </c>
      <c r="CZ27" s="28">
        <f t="shared" si="119"/>
        <v>0</v>
      </c>
      <c r="DA27" s="28">
        <f t="shared" si="119"/>
        <v>0</v>
      </c>
      <c r="DB27" s="28">
        <f t="shared" si="119"/>
        <v>0</v>
      </c>
      <c r="DC27" s="28">
        <f t="shared" si="119"/>
        <v>0</v>
      </c>
      <c r="DD27" s="28">
        <f t="shared" si="119"/>
        <v>0</v>
      </c>
      <c r="DE27" s="28">
        <f t="shared" si="119"/>
        <v>0</v>
      </c>
      <c r="DF27" s="28">
        <f t="shared" si="119"/>
        <v>0</v>
      </c>
      <c r="DG27" s="28">
        <f t="shared" si="119"/>
        <v>0</v>
      </c>
      <c r="DI27" s="28">
        <f t="shared" ref="DI27:DT27" si="120">+DI24-DI25-DI26</f>
        <v>0</v>
      </c>
      <c r="DJ27" s="28">
        <f t="shared" si="120"/>
        <v>0</v>
      </c>
      <c r="DK27" s="28">
        <f t="shared" si="120"/>
        <v>0</v>
      </c>
      <c r="DL27" s="28">
        <f t="shared" si="120"/>
        <v>0</v>
      </c>
      <c r="DM27" s="28">
        <f t="shared" si="120"/>
        <v>0</v>
      </c>
      <c r="DN27" s="28">
        <f t="shared" si="120"/>
        <v>0</v>
      </c>
      <c r="DO27" s="28">
        <f t="shared" si="120"/>
        <v>0</v>
      </c>
      <c r="DP27" s="28">
        <f t="shared" si="120"/>
        <v>0</v>
      </c>
      <c r="DQ27" s="28">
        <f t="shared" si="120"/>
        <v>0</v>
      </c>
      <c r="DR27" s="28">
        <f t="shared" si="120"/>
        <v>0</v>
      </c>
      <c r="DS27" s="28">
        <f t="shared" si="120"/>
        <v>0</v>
      </c>
      <c r="DT27" s="28">
        <f t="shared" si="120"/>
        <v>0</v>
      </c>
      <c r="DU27" s="58">
        <f>+DU24-DU25-DU26</f>
        <v>0</v>
      </c>
      <c r="DW27" s="28">
        <f t="shared" ref="DW27:EH27" si="121">+DW24-DW25-DW26</f>
        <v>0</v>
      </c>
      <c r="DX27" s="28">
        <f t="shared" si="121"/>
        <v>0</v>
      </c>
      <c r="DY27" s="28">
        <f t="shared" si="121"/>
        <v>0</v>
      </c>
      <c r="DZ27" s="28">
        <f t="shared" si="121"/>
        <v>0</v>
      </c>
      <c r="EA27" s="28">
        <f t="shared" si="121"/>
        <v>0</v>
      </c>
      <c r="EB27" s="28">
        <f t="shared" si="121"/>
        <v>0</v>
      </c>
      <c r="EC27" s="28">
        <f t="shared" si="121"/>
        <v>0</v>
      </c>
      <c r="ED27" s="28">
        <f t="shared" si="121"/>
        <v>0</v>
      </c>
      <c r="EE27" s="28">
        <f t="shared" si="121"/>
        <v>0</v>
      </c>
      <c r="EF27" s="28">
        <f t="shared" si="121"/>
        <v>0</v>
      </c>
      <c r="EG27" s="28">
        <f t="shared" si="121"/>
        <v>0</v>
      </c>
      <c r="EH27" s="28">
        <f t="shared" si="121"/>
        <v>0</v>
      </c>
      <c r="EI27" s="58">
        <f>+EI24-EI25-EI26</f>
        <v>0</v>
      </c>
      <c r="EJ27" s="10" t="str">
        <f t="shared" si="71"/>
        <v>Gross Profit</v>
      </c>
      <c r="EK27" s="28">
        <f t="shared" ref="EK27:EW27" si="122">+EK24-EK25-EK26</f>
        <v>0</v>
      </c>
      <c r="EL27" s="28">
        <f t="shared" si="122"/>
        <v>0</v>
      </c>
      <c r="EM27" s="28">
        <f t="shared" si="122"/>
        <v>0</v>
      </c>
      <c r="EN27" s="28">
        <f t="shared" si="122"/>
        <v>0</v>
      </c>
      <c r="EO27" s="28">
        <f t="shared" si="122"/>
        <v>0</v>
      </c>
      <c r="EP27" s="28">
        <f t="shared" si="122"/>
        <v>0</v>
      </c>
      <c r="EQ27" s="28">
        <f t="shared" si="122"/>
        <v>0</v>
      </c>
      <c r="ER27" s="28">
        <f t="shared" si="122"/>
        <v>0</v>
      </c>
      <c r="ES27" s="28">
        <f t="shared" si="122"/>
        <v>0</v>
      </c>
      <c r="ET27" s="28">
        <f t="shared" si="122"/>
        <v>0</v>
      </c>
      <c r="EU27" s="28">
        <f t="shared" si="122"/>
        <v>0</v>
      </c>
      <c r="EV27" s="28">
        <f t="shared" si="122"/>
        <v>0</v>
      </c>
      <c r="EW27" s="28">
        <f t="shared" si="122"/>
        <v>0</v>
      </c>
      <c r="EY27" s="28">
        <f t="shared" ref="EY27:FJ27" si="123">+EY24-EY25-EY26</f>
        <v>0</v>
      </c>
      <c r="EZ27" s="28">
        <f t="shared" si="123"/>
        <v>0</v>
      </c>
      <c r="FA27" s="28">
        <f t="shared" si="123"/>
        <v>0</v>
      </c>
      <c r="FB27" s="28">
        <f t="shared" si="123"/>
        <v>0</v>
      </c>
      <c r="FC27" s="28">
        <f t="shared" si="123"/>
        <v>0</v>
      </c>
      <c r="FD27" s="28">
        <f t="shared" si="123"/>
        <v>0</v>
      </c>
      <c r="FE27" s="28">
        <f t="shared" si="123"/>
        <v>0</v>
      </c>
      <c r="FF27" s="28">
        <f t="shared" si="123"/>
        <v>0</v>
      </c>
      <c r="FG27" s="28">
        <f t="shared" si="123"/>
        <v>0</v>
      </c>
      <c r="FH27" s="28">
        <f t="shared" si="123"/>
        <v>0</v>
      </c>
      <c r="FI27" s="28">
        <f t="shared" si="123"/>
        <v>0</v>
      </c>
      <c r="FJ27" s="28">
        <f t="shared" si="123"/>
        <v>0</v>
      </c>
      <c r="FK27" s="58">
        <f>+FK24-FK25-FK26</f>
        <v>0</v>
      </c>
    </row>
    <row r="28" spans="1:167" ht="14.45" hidden="1" customHeight="1" outlineLevel="1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1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1">
        <f t="shared" si="7"/>
        <v>0</v>
      </c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106"/>
      <c r="CT28" s="11">
        <f t="shared" si="11"/>
        <v>0</v>
      </c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106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106"/>
      <c r="EJ28" s="11">
        <f t="shared" si="71"/>
        <v>0</v>
      </c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106"/>
    </row>
    <row r="29" spans="1:167" ht="21.75" customHeight="1" collapsed="1">
      <c r="A29" s="58">
        <f>+SUM(A31:A37)</f>
        <v>26881066.189999979</v>
      </c>
      <c r="B29" s="58">
        <f t="shared" ref="B29:L29" si="124">+SUM(B31:B37)</f>
        <v>24521440.139999986</v>
      </c>
      <c r="C29" s="58">
        <f t="shared" si="124"/>
        <v>22401357.993438091</v>
      </c>
      <c r="D29" s="58">
        <f t="shared" si="124"/>
        <v>19026216.649999984</v>
      </c>
      <c r="E29" s="58">
        <f t="shared" si="124"/>
        <v>22696553.835169751</v>
      </c>
      <c r="F29" s="58">
        <f t="shared" si="124"/>
        <v>26648890.475382149</v>
      </c>
      <c r="G29" s="58">
        <f t="shared" si="124"/>
        <v>24879794.192530416</v>
      </c>
      <c r="H29" s="58">
        <f t="shared" si="124"/>
        <v>24412919.758633908</v>
      </c>
      <c r="I29" s="58">
        <f t="shared" si="124"/>
        <v>29540287.117720675</v>
      </c>
      <c r="J29" s="58">
        <f t="shared" si="124"/>
        <v>24669808.098212685</v>
      </c>
      <c r="K29" s="58">
        <f t="shared" si="124"/>
        <v>28186333.693762679</v>
      </c>
      <c r="L29" s="58">
        <f t="shared" si="124"/>
        <v>28598217.128836665</v>
      </c>
      <c r="M29" s="58">
        <f>+SUM(M31:M37)</f>
        <v>302462885.27368701</v>
      </c>
      <c r="N29" s="5" t="s">
        <v>24</v>
      </c>
      <c r="O29" s="28">
        <f>+SUM(O31:O37)</f>
        <v>23329708.113171846</v>
      </c>
      <c r="P29" s="28">
        <f t="shared" ref="P29:Z29" si="125">+SUM(P31:P37)</f>
        <v>26533513.421385035</v>
      </c>
      <c r="Q29" s="28">
        <f t="shared" si="125"/>
        <v>31366853.712692033</v>
      </c>
      <c r="R29" s="28">
        <f t="shared" si="125"/>
        <v>26877293.777410019</v>
      </c>
      <c r="S29" s="28">
        <f t="shared" si="125"/>
        <v>37502074.39847599</v>
      </c>
      <c r="T29" s="28">
        <f t="shared" si="125"/>
        <v>26588574.911837108</v>
      </c>
      <c r="U29" s="28">
        <f t="shared" si="125"/>
        <v>34906731.739999965</v>
      </c>
      <c r="V29" s="28">
        <f t="shared" si="125"/>
        <v>33978527.581017494</v>
      </c>
      <c r="W29" s="28">
        <f t="shared" si="125"/>
        <v>31974186.179999989</v>
      </c>
      <c r="X29" s="28">
        <f t="shared" si="125"/>
        <v>34434468.470965117</v>
      </c>
      <c r="Y29" s="28">
        <f t="shared" si="125"/>
        <v>0</v>
      </c>
      <c r="Z29" s="28">
        <f t="shared" si="125"/>
        <v>0</v>
      </c>
      <c r="AA29" s="28">
        <f>+SUM(AA31:AA37)</f>
        <v>307491932.30695462</v>
      </c>
      <c r="AB29" s="118">
        <f>IFERROR((X29-AL29)/AL29,0)</f>
        <v>0.19503818554002172</v>
      </c>
      <c r="AC29" s="28">
        <f>+SUM(AC31:AC37)</f>
        <v>31872554.140400007</v>
      </c>
      <c r="AD29" s="28">
        <f t="shared" ref="AD29:AN29" si="126">+SUM(AD31:AD37)</f>
        <v>30990862.406800006</v>
      </c>
      <c r="AE29" s="28">
        <f t="shared" si="126"/>
        <v>31598618.447799999</v>
      </c>
      <c r="AF29" s="28">
        <f t="shared" si="126"/>
        <v>27078558.167300001</v>
      </c>
      <c r="AG29" s="28">
        <f t="shared" si="126"/>
        <v>30739243.480299998</v>
      </c>
      <c r="AH29" s="28">
        <f t="shared" si="126"/>
        <v>32063465.007199999</v>
      </c>
      <c r="AI29" s="28">
        <f t="shared" si="126"/>
        <v>33504381.826000001</v>
      </c>
      <c r="AJ29" s="28">
        <f t="shared" si="126"/>
        <v>33646935.960900009</v>
      </c>
      <c r="AK29" s="28">
        <f t="shared" si="126"/>
        <v>34157091.663100004</v>
      </c>
      <c r="AL29" s="28">
        <f t="shared" si="126"/>
        <v>28814534.035499997</v>
      </c>
      <c r="AM29" s="28">
        <f t="shared" si="126"/>
        <v>26994477.500399999</v>
      </c>
      <c r="AN29" s="28">
        <f t="shared" si="126"/>
        <v>31918342.436524242</v>
      </c>
      <c r="AO29" s="28">
        <f>+SUM(AO31:AO37)</f>
        <v>373379065.07222432</v>
      </c>
      <c r="AQ29" s="58">
        <f t="shared" ref="AQ29:BB29" si="127">+SUM(AQ31:AQ37)</f>
        <v>15076730.486360021</v>
      </c>
      <c r="AR29" s="58">
        <f t="shared" si="127"/>
        <v>12720248.369797453</v>
      </c>
      <c r="AS29" s="58">
        <f t="shared" si="127"/>
        <v>13108766.366425555</v>
      </c>
      <c r="AT29" s="58">
        <f t="shared" si="127"/>
        <v>12579015.616088223</v>
      </c>
      <c r="AU29" s="58">
        <f t="shared" si="127"/>
        <v>11536987.281950152</v>
      </c>
      <c r="AV29" s="58">
        <f t="shared" si="127"/>
        <v>13381494.367692515</v>
      </c>
      <c r="AW29" s="58">
        <f t="shared" si="127"/>
        <v>14775461.085518498</v>
      </c>
      <c r="AX29" s="58">
        <f t="shared" si="127"/>
        <v>14826368.858191872</v>
      </c>
      <c r="AY29" s="58">
        <f t="shared" si="127"/>
        <v>19729499.844798654</v>
      </c>
      <c r="AZ29" s="58">
        <f t="shared" si="127"/>
        <v>15440997.247266747</v>
      </c>
      <c r="BA29" s="58">
        <f t="shared" si="127"/>
        <v>17314882.119703498</v>
      </c>
      <c r="BB29" s="58">
        <f t="shared" si="127"/>
        <v>20616289.574677084</v>
      </c>
      <c r="BC29" s="58">
        <f>+SUM(BC31:BC37)</f>
        <v>181106741.21847028</v>
      </c>
      <c r="BD29" s="5" t="str">
        <f t="shared" si="7"/>
        <v>Service</v>
      </c>
      <c r="BE29" s="28">
        <f t="shared" ref="BE29:BQ29" si="128">+SUM(BE31:BE37)</f>
        <v>12170039.369422494</v>
      </c>
      <c r="BF29" s="28">
        <f t="shared" si="128"/>
        <v>14996825.960538108</v>
      </c>
      <c r="BG29" s="28">
        <f t="shared" si="128"/>
        <v>20609734.06115295</v>
      </c>
      <c r="BH29" s="28">
        <f t="shared" si="128"/>
        <v>16960296.184590433</v>
      </c>
      <c r="BI29" s="28">
        <f t="shared" si="128"/>
        <v>23090403.116053849</v>
      </c>
      <c r="BJ29" s="28">
        <f t="shared" si="128"/>
        <v>14826436.501642695</v>
      </c>
      <c r="BK29" s="28">
        <f t="shared" si="128"/>
        <v>20874948.770122547</v>
      </c>
      <c r="BL29" s="28">
        <f t="shared" si="128"/>
        <v>20958331.186312914</v>
      </c>
      <c r="BM29" s="28">
        <f t="shared" si="128"/>
        <v>20544354.623817448</v>
      </c>
      <c r="BN29" s="28">
        <f t="shared" si="128"/>
        <v>19112819.831675582</v>
      </c>
      <c r="BO29" s="28">
        <f t="shared" si="128"/>
        <v>0</v>
      </c>
      <c r="BP29" s="28">
        <f t="shared" si="128"/>
        <v>0</v>
      </c>
      <c r="BQ29" s="28">
        <f t="shared" si="128"/>
        <v>184144189.60532904</v>
      </c>
      <c r="BR29" s="118">
        <f>IFERROR((BN29-CB29)/CB29,0)</f>
        <v>0.25173458770724499</v>
      </c>
      <c r="BS29" s="58">
        <f t="shared" ref="BS29:CD29" si="129">+SUM(BS31:BS37)</f>
        <v>15869976.719000001</v>
      </c>
      <c r="BT29" s="58">
        <f t="shared" si="129"/>
        <v>15535300.083600005</v>
      </c>
      <c r="BU29" s="58">
        <f t="shared" si="129"/>
        <v>14531270.1774</v>
      </c>
      <c r="BV29" s="58">
        <f t="shared" si="129"/>
        <v>13393237.368799999</v>
      </c>
      <c r="BW29" s="58">
        <f t="shared" si="129"/>
        <v>14867977.012</v>
      </c>
      <c r="BX29" s="58">
        <f t="shared" si="129"/>
        <v>15444910.664000001</v>
      </c>
      <c r="BY29" s="58">
        <f t="shared" si="129"/>
        <v>15782058.096000001</v>
      </c>
      <c r="BZ29" s="58">
        <f t="shared" si="129"/>
        <v>16568985.531000007</v>
      </c>
      <c r="CA29" s="58">
        <f t="shared" si="129"/>
        <v>17567353.473000005</v>
      </c>
      <c r="CB29" s="58">
        <f t="shared" si="129"/>
        <v>15269067.436000001</v>
      </c>
      <c r="CC29" s="58">
        <f t="shared" si="129"/>
        <v>12215253.948799999</v>
      </c>
      <c r="CD29" s="58">
        <f t="shared" si="129"/>
        <v>16141585.575199997</v>
      </c>
      <c r="CE29" s="58">
        <f>+SUM(CE31:CE37)</f>
        <v>183186976.0848</v>
      </c>
      <c r="CF29" s="22"/>
      <c r="CG29" s="28">
        <f t="shared" ref="CG29:CR29" si="130">+SUM(CG31:CG37)</f>
        <v>11804335.703639958</v>
      </c>
      <c r="CH29" s="28">
        <f t="shared" si="130"/>
        <v>11801191.770202529</v>
      </c>
      <c r="CI29" s="28">
        <f t="shared" si="130"/>
        <v>9292591.6270125359</v>
      </c>
      <c r="CJ29" s="28">
        <f t="shared" si="130"/>
        <v>6447201.0339117609</v>
      </c>
      <c r="CK29" s="28">
        <f t="shared" si="130"/>
        <v>11159566.553219596</v>
      </c>
      <c r="CL29" s="28">
        <f t="shared" si="130"/>
        <v>13267396.107689628</v>
      </c>
      <c r="CM29" s="28">
        <f t="shared" si="130"/>
        <v>10104333.107011914</v>
      </c>
      <c r="CN29" s="28">
        <f t="shared" si="130"/>
        <v>9586550.9004420377</v>
      </c>
      <c r="CO29" s="28">
        <f t="shared" si="130"/>
        <v>9810787.2729220185</v>
      </c>
      <c r="CP29" s="28">
        <f t="shared" si="130"/>
        <v>9228810.8509459402</v>
      </c>
      <c r="CQ29" s="28">
        <f t="shared" si="130"/>
        <v>10871451.574059179</v>
      </c>
      <c r="CR29" s="28">
        <f t="shared" si="130"/>
        <v>7981927.5541595817</v>
      </c>
      <c r="CS29" s="58">
        <f>+SUM(CS31:CS37)</f>
        <v>121356144.0552167</v>
      </c>
      <c r="CT29" s="5" t="str">
        <f t="shared" si="11"/>
        <v>Service</v>
      </c>
      <c r="CU29" s="28">
        <f t="shared" ref="CU29:DG29" si="131">+SUM(CU31:CU37)</f>
        <v>9099861.4062496535</v>
      </c>
      <c r="CV29" s="28">
        <f t="shared" si="131"/>
        <v>7744275.4452460883</v>
      </c>
      <c r="CW29" s="28">
        <f t="shared" si="131"/>
        <v>8649893.0215390846</v>
      </c>
      <c r="CX29" s="28">
        <f t="shared" si="131"/>
        <v>7738818.6548195863</v>
      </c>
      <c r="CY29" s="28">
        <f t="shared" si="131"/>
        <v>11018286.712422144</v>
      </c>
      <c r="CZ29" s="28">
        <f t="shared" si="131"/>
        <v>8462633.5867997501</v>
      </c>
      <c r="DA29" s="28">
        <f t="shared" si="131"/>
        <v>10556608.569877423</v>
      </c>
      <c r="DB29" s="28">
        <f t="shared" si="131"/>
        <v>9301946.2547045834</v>
      </c>
      <c r="DC29" s="28">
        <f t="shared" si="131"/>
        <v>8212922.8119980451</v>
      </c>
      <c r="DD29" s="28">
        <f t="shared" si="131"/>
        <v>10879225.050050931</v>
      </c>
      <c r="DE29" s="28">
        <f t="shared" si="131"/>
        <v>0</v>
      </c>
      <c r="DF29" s="28">
        <f t="shared" si="131"/>
        <v>0</v>
      </c>
      <c r="DG29" s="28">
        <f t="shared" si="131"/>
        <v>91664471.51370728</v>
      </c>
      <c r="DH29" s="118">
        <f>IFERROR((DD29-DR29)/DR29,0)</f>
        <v>5.7635360826022886E-2</v>
      </c>
      <c r="DI29" s="28">
        <f t="shared" ref="DI29:DT29" si="132">+SUM(DI31:DI37)</f>
        <v>12113621.621400002</v>
      </c>
      <c r="DJ29" s="28">
        <f t="shared" si="132"/>
        <v>11825870.243200002</v>
      </c>
      <c r="DK29" s="28">
        <f t="shared" si="132"/>
        <v>13016352.645399999</v>
      </c>
      <c r="DL29" s="28">
        <f t="shared" si="132"/>
        <v>10055628.718499999</v>
      </c>
      <c r="DM29" s="28">
        <f t="shared" si="132"/>
        <v>11550204.4683</v>
      </c>
      <c r="DN29" s="28">
        <f t="shared" si="132"/>
        <v>12297492.3432</v>
      </c>
      <c r="DO29" s="28">
        <f t="shared" si="132"/>
        <v>12861128.979999999</v>
      </c>
      <c r="DP29" s="28">
        <f t="shared" si="132"/>
        <v>12396799.929900002</v>
      </c>
      <c r="DQ29" s="28">
        <f t="shared" si="132"/>
        <v>12117439.020100001</v>
      </c>
      <c r="DR29" s="28">
        <f t="shared" si="132"/>
        <v>10286366.599499999</v>
      </c>
      <c r="DS29" s="28">
        <f t="shared" si="132"/>
        <v>11388687.9516</v>
      </c>
      <c r="DT29" s="28">
        <f t="shared" si="132"/>
        <v>12228270.978899999</v>
      </c>
      <c r="DU29" s="58">
        <f>+SUM(DU31:DU37)</f>
        <v>142137863.5</v>
      </c>
      <c r="DW29" s="28">
        <f t="shared" ref="DW29:EH29" si="133">+SUM(DW31:DW37)</f>
        <v>0</v>
      </c>
      <c r="DX29" s="28">
        <f t="shared" si="133"/>
        <v>0</v>
      </c>
      <c r="DY29" s="28">
        <f t="shared" si="133"/>
        <v>0</v>
      </c>
      <c r="DZ29" s="28">
        <f t="shared" si="133"/>
        <v>0</v>
      </c>
      <c r="EA29" s="28">
        <f t="shared" si="133"/>
        <v>0</v>
      </c>
      <c r="EB29" s="28">
        <f t="shared" si="133"/>
        <v>0</v>
      </c>
      <c r="EC29" s="28">
        <f t="shared" si="133"/>
        <v>0</v>
      </c>
      <c r="ED29" s="28">
        <f t="shared" si="133"/>
        <v>0</v>
      </c>
      <c r="EE29" s="28">
        <f t="shared" si="133"/>
        <v>0</v>
      </c>
      <c r="EF29" s="28">
        <f t="shared" si="133"/>
        <v>0</v>
      </c>
      <c r="EG29" s="28">
        <f t="shared" si="133"/>
        <v>0</v>
      </c>
      <c r="EH29" s="28">
        <f t="shared" si="133"/>
        <v>0</v>
      </c>
      <c r="EI29" s="58">
        <f>+SUM(EI31:EI37)</f>
        <v>0</v>
      </c>
      <c r="EJ29" s="5" t="str">
        <f t="shared" si="71"/>
        <v>Service</v>
      </c>
      <c r="EK29" s="28">
        <f t="shared" ref="EK29:EW29" si="134">+SUM(EK31:EK37)</f>
        <v>2059807.3374996975</v>
      </c>
      <c r="EL29" s="28">
        <f t="shared" si="134"/>
        <v>3792412.0156008443</v>
      </c>
      <c r="EM29" s="28">
        <f t="shared" si="134"/>
        <v>2107226.63</v>
      </c>
      <c r="EN29" s="28">
        <f t="shared" si="134"/>
        <v>2178178.9380000001</v>
      </c>
      <c r="EO29" s="28">
        <f t="shared" si="134"/>
        <v>3393384.5700000008</v>
      </c>
      <c r="EP29" s="28">
        <f t="shared" si="134"/>
        <v>3299504.8233946655</v>
      </c>
      <c r="EQ29" s="28">
        <f t="shared" si="134"/>
        <v>3475174.4</v>
      </c>
      <c r="ER29" s="28">
        <f t="shared" si="134"/>
        <v>3718250.1399999987</v>
      </c>
      <c r="ES29" s="28">
        <f t="shared" si="134"/>
        <v>3216908.7441844949</v>
      </c>
      <c r="ET29" s="28">
        <f t="shared" si="134"/>
        <v>4442423.5892386045</v>
      </c>
      <c r="EU29" s="28">
        <f t="shared" si="134"/>
        <v>0</v>
      </c>
      <c r="EV29" s="28">
        <f t="shared" si="134"/>
        <v>0</v>
      </c>
      <c r="EW29" s="28">
        <f t="shared" si="134"/>
        <v>31683271.187918309</v>
      </c>
      <c r="EX29" s="118">
        <f>IFERROR((ET29-FH29)/FH29,0)</f>
        <v>0.36308293370519606</v>
      </c>
      <c r="EY29" s="58">
        <f t="shared" ref="EY29:FJ29" si="135">+SUM(EY31:EY37)</f>
        <v>3888955.8</v>
      </c>
      <c r="EZ29" s="58">
        <f t="shared" si="135"/>
        <v>3629692.08</v>
      </c>
      <c r="FA29" s="58">
        <f t="shared" si="135"/>
        <v>4050995.625</v>
      </c>
      <c r="FB29" s="58">
        <f t="shared" si="135"/>
        <v>3629692.08</v>
      </c>
      <c r="FC29" s="58">
        <f t="shared" si="135"/>
        <v>4321062</v>
      </c>
      <c r="FD29" s="58">
        <f t="shared" si="135"/>
        <v>4321062</v>
      </c>
      <c r="FE29" s="58">
        <f t="shared" si="135"/>
        <v>4861194.75</v>
      </c>
      <c r="FF29" s="58">
        <f t="shared" si="135"/>
        <v>4681150.5</v>
      </c>
      <c r="FG29" s="58">
        <f t="shared" si="135"/>
        <v>4472299.17</v>
      </c>
      <c r="FH29" s="58">
        <f t="shared" si="135"/>
        <v>3259100</v>
      </c>
      <c r="FI29" s="58">
        <f t="shared" si="135"/>
        <v>3390535.6000000006</v>
      </c>
      <c r="FJ29" s="58">
        <f t="shared" si="135"/>
        <v>3548485.8824242419</v>
      </c>
      <c r="FK29" s="58">
        <f>+SUM(FK31:FK37)</f>
        <v>48054225.487424247</v>
      </c>
    </row>
    <row r="30" spans="1:167" ht="14.45" customHeight="1">
      <c r="A30" s="105">
        <f t="shared" ref="A30:L42" si="136">+AQ30+CG30+DW30</f>
        <v>469</v>
      </c>
      <c r="B30" s="105">
        <f t="shared" si="136"/>
        <v>417</v>
      </c>
      <c r="C30" s="105">
        <f t="shared" si="136"/>
        <v>399</v>
      </c>
      <c r="D30" s="105">
        <f t="shared" si="136"/>
        <v>399</v>
      </c>
      <c r="E30" s="105">
        <f t="shared" si="136"/>
        <v>517</v>
      </c>
      <c r="F30" s="105">
        <f t="shared" si="136"/>
        <v>448</v>
      </c>
      <c r="G30" s="105">
        <f t="shared" si="136"/>
        <v>566</v>
      </c>
      <c r="H30" s="105">
        <f t="shared" si="136"/>
        <v>587</v>
      </c>
      <c r="I30" s="105">
        <f t="shared" si="136"/>
        <v>522</v>
      </c>
      <c r="J30" s="105">
        <f t="shared" si="136"/>
        <v>560</v>
      </c>
      <c r="K30" s="105">
        <f t="shared" si="136"/>
        <v>528</v>
      </c>
      <c r="L30" s="105">
        <f t="shared" si="136"/>
        <v>690</v>
      </c>
      <c r="M30" s="105">
        <f t="shared" ref="M30:M46" si="137">+SUM(A30:L30)</f>
        <v>6102</v>
      </c>
      <c r="N30" s="12" t="s">
        <v>25</v>
      </c>
      <c r="O30" s="27">
        <f t="shared" ref="O30:Z37" si="138">+BE30+CU30+EK30</f>
        <v>913</v>
      </c>
      <c r="P30" s="27">
        <f t="shared" si="138"/>
        <v>726</v>
      </c>
      <c r="Q30" s="27">
        <f t="shared" si="138"/>
        <v>733</v>
      </c>
      <c r="R30" s="27">
        <f t="shared" si="138"/>
        <v>656</v>
      </c>
      <c r="S30" s="27">
        <f t="shared" si="138"/>
        <v>807</v>
      </c>
      <c r="T30" s="27">
        <f t="shared" si="138"/>
        <v>606</v>
      </c>
      <c r="U30" s="27">
        <f t="shared" si="138"/>
        <v>969</v>
      </c>
      <c r="V30" s="27">
        <f t="shared" si="138"/>
        <v>639</v>
      </c>
      <c r="W30" s="27">
        <f t="shared" si="138"/>
        <v>600</v>
      </c>
      <c r="X30" s="27">
        <f t="shared" si="138"/>
        <v>606</v>
      </c>
      <c r="Y30" s="27">
        <f t="shared" si="138"/>
        <v>0</v>
      </c>
      <c r="Z30" s="27">
        <f t="shared" si="138"/>
        <v>0</v>
      </c>
      <c r="AA30" s="27">
        <f t="shared" ref="AA30:AA37" si="139">+SUM(O30:Z30)</f>
        <v>7255</v>
      </c>
      <c r="AB30" s="118">
        <f t="shared" ref="AB30:AB93" si="140">IFERROR((X30-AL30)/AL30,0)</f>
        <v>-0.27878418723619397</v>
      </c>
      <c r="AC30" s="27">
        <f t="shared" ref="AC30:AN37" si="141">+BS30+DI30+EY30</f>
        <v>857.78115000000003</v>
      </c>
      <c r="AD30" s="27">
        <f t="shared" si="141"/>
        <v>849.74306000000013</v>
      </c>
      <c r="AE30" s="27">
        <f t="shared" si="141"/>
        <v>900.08170000000018</v>
      </c>
      <c r="AF30" s="27">
        <f t="shared" si="141"/>
        <v>706.13717600000007</v>
      </c>
      <c r="AG30" s="27">
        <f t="shared" si="141"/>
        <v>836.21572000000003</v>
      </c>
      <c r="AH30" s="27">
        <f t="shared" si="141"/>
        <v>888.02840000000003</v>
      </c>
      <c r="AI30" s="27">
        <f t="shared" si="141"/>
        <v>912.48703000000023</v>
      </c>
      <c r="AJ30" s="27">
        <f t="shared" si="141"/>
        <v>962.43052</v>
      </c>
      <c r="AK30" s="27">
        <f t="shared" si="141"/>
        <v>985.40244999999993</v>
      </c>
      <c r="AL30" s="27">
        <f t="shared" si="141"/>
        <v>840.2478000000001</v>
      </c>
      <c r="AM30" s="27">
        <f t="shared" si="141"/>
        <v>768.47424000000001</v>
      </c>
      <c r="AN30" s="27">
        <f t="shared" si="141"/>
        <v>923.19596000000001</v>
      </c>
      <c r="AO30" s="27">
        <f t="shared" ref="AO30:AO37" si="142">+SUM(AC30:AN30)</f>
        <v>10430.225205999999</v>
      </c>
      <c r="AQ30" s="105">
        <v>469</v>
      </c>
      <c r="AR30" s="105">
        <v>417</v>
      </c>
      <c r="AS30" s="105">
        <v>399</v>
      </c>
      <c r="AT30" s="105">
        <v>399</v>
      </c>
      <c r="AU30" s="105">
        <v>517</v>
      </c>
      <c r="AV30" s="105">
        <v>448</v>
      </c>
      <c r="AW30" s="105">
        <v>566</v>
      </c>
      <c r="AX30" s="105">
        <v>587</v>
      </c>
      <c r="AY30" s="105">
        <v>522</v>
      </c>
      <c r="AZ30" s="105">
        <v>560</v>
      </c>
      <c r="BA30" s="105">
        <v>528</v>
      </c>
      <c r="BB30" s="105">
        <v>690</v>
      </c>
      <c r="BC30" s="105">
        <f t="shared" ref="BC30:BC37" si="143">+SUM(AQ30:BB30)</f>
        <v>6102</v>
      </c>
      <c r="BD30" s="12" t="str">
        <f t="shared" si="7"/>
        <v>Throughputs</v>
      </c>
      <c r="BE30" s="27">
        <f>+'Jan-25'!$D$30</f>
        <v>420</v>
      </c>
      <c r="BF30" s="27">
        <f>+'Feb-25'!$D$30</f>
        <v>407</v>
      </c>
      <c r="BG30" s="27">
        <f>+'Mar-25'!$D$30</f>
        <v>386</v>
      </c>
      <c r="BH30" s="27">
        <f>+'Apr-25'!$D$30</f>
        <v>359</v>
      </c>
      <c r="BI30" s="27">
        <f>+'May-25'!$D$30</f>
        <v>450</v>
      </c>
      <c r="BJ30" s="27">
        <f>+'June-25'!$D$30</f>
        <v>292</v>
      </c>
      <c r="BK30" s="27">
        <f>+'July-25'!$D$30</f>
        <v>557</v>
      </c>
      <c r="BL30" s="27">
        <f>+'Aug-25'!$D$30</f>
        <v>345</v>
      </c>
      <c r="BM30" s="27">
        <f>+'Sep-25'!$D$30</f>
        <v>347</v>
      </c>
      <c r="BN30" s="27">
        <f>+'Oct-25'!$D$30</f>
        <v>335</v>
      </c>
      <c r="BO30" s="27">
        <f>+'Nov-25'!$D$30</f>
        <v>0</v>
      </c>
      <c r="BP30" s="27">
        <f>+'Dec-25'!$D$30</f>
        <v>0</v>
      </c>
      <c r="BQ30" s="27">
        <f t="shared" ref="BQ30:BQ37" si="144">+SUM(BE30:BP30)</f>
        <v>3898</v>
      </c>
      <c r="BR30" s="118">
        <f t="shared" ref="BR30:BR93" si="145">IFERROR((BN30-CB30)/CB30,0)</f>
        <v>-0.23466776813586082</v>
      </c>
      <c r="BS30" s="105">
        <f>+_xlfn.XLOOKUP($BD30,Budget!$A:$A,Budget!AQ:AQ)</f>
        <v>451.78114999999997</v>
      </c>
      <c r="BT30" s="105">
        <f>+_xlfn.XLOOKUP($BD30,Budget!$A:$A,Budget!AR:AR)</f>
        <v>452.91906000000006</v>
      </c>
      <c r="BU30" s="105">
        <f>+_xlfn.XLOOKUP($BD30,Budget!$A:$A,Budget!AS:AS)</f>
        <v>456.33279000000005</v>
      </c>
      <c r="BV30" s="105">
        <f>+_xlfn.XLOOKUP($BD30,Budget!$A:$A,Budget!AT:AT)</f>
        <v>364.40417600000001</v>
      </c>
      <c r="BW30" s="105">
        <f>+_xlfn.XLOOKUP($BD30,Budget!$A:$A,Budget!AU:AU)</f>
        <v>429.37192000000005</v>
      </c>
      <c r="BX30" s="105">
        <f>+_xlfn.XLOOKUP($BD30,Budget!$A:$A,Budget!AV:AV)</f>
        <v>458.5172</v>
      </c>
      <c r="BY30" s="105">
        <f>+_xlfn.XLOOKUP($BD30,Budget!$A:$A,Budget!AW:AW)</f>
        <v>459.30048000000011</v>
      </c>
      <c r="BZ30" s="105">
        <f>+_xlfn.XLOOKUP($BD30,Budget!$A:$A,Budget!AX:AX)</f>
        <v>508.39707000000004</v>
      </c>
      <c r="CA30" s="105">
        <f>+_xlfn.XLOOKUP($BD30,Budget!$A:$A,Budget!AY:AY)</f>
        <v>538.52144999999996</v>
      </c>
      <c r="CB30" s="105">
        <f>+_xlfn.XLOOKUP($BD30,Budget!$A:$A,Budget!AZ:AZ)</f>
        <v>437.71839999999997</v>
      </c>
      <c r="CC30" s="105">
        <f>+_xlfn.XLOOKUP($BD30,Budget!$A:$A,Budget!BA:BA)</f>
        <v>350.17471999999998</v>
      </c>
      <c r="CD30" s="105">
        <f>+_xlfn.XLOOKUP($BD30,Budget!$A:$A,Budget!BB:BB)</f>
        <v>462.73088000000001</v>
      </c>
      <c r="CE30" s="105">
        <f t="shared" ref="CE30:CE37" si="146">+SUM(BS30:CD30)</f>
        <v>5370.169296</v>
      </c>
      <c r="CF30" s="22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105">
        <f t="shared" ref="CS30:CS37" si="147">+SUM(CG30:CR30)</f>
        <v>0</v>
      </c>
      <c r="CT30" s="12" t="str">
        <f t="shared" si="11"/>
        <v>Throughputs</v>
      </c>
      <c r="CU30" s="27">
        <f>+'Jan-25'!$G$30</f>
        <v>417</v>
      </c>
      <c r="CV30" s="27">
        <f>+'Feb-25'!$G$30</f>
        <v>231</v>
      </c>
      <c r="CW30" s="27">
        <f>+'Mar-25'!$G$30</f>
        <v>263</v>
      </c>
      <c r="CX30" s="27">
        <f>+'Apr-25'!$G$30</f>
        <v>219</v>
      </c>
      <c r="CY30" s="27">
        <f>+'May-25'!$G$30</f>
        <v>257</v>
      </c>
      <c r="CZ30" s="27">
        <f>+'June-25'!$G$30</f>
        <v>224</v>
      </c>
      <c r="DA30" s="27">
        <f>+'July-25'!$G$30</f>
        <v>309</v>
      </c>
      <c r="DB30" s="27">
        <f>+'Aug-25'!$G$30</f>
        <v>222</v>
      </c>
      <c r="DC30" s="27">
        <f>+'Sep-25'!$G$30</f>
        <v>192</v>
      </c>
      <c r="DD30" s="27">
        <f>+'Oct-25'!$G$30</f>
        <v>192</v>
      </c>
      <c r="DE30" s="27">
        <f>+'Nov-25'!$G$30</f>
        <v>0</v>
      </c>
      <c r="DF30" s="27">
        <f>+'Dec-25'!$G$30</f>
        <v>0</v>
      </c>
      <c r="DG30" s="27">
        <f t="shared" ref="DG30:DG37" si="148">+SUM(CU30:DF30)</f>
        <v>2526</v>
      </c>
      <c r="DH30" s="118">
        <f t="shared" ref="DH30:DH93" si="149">IFERROR((DD30-DR30)/DR30,0)</f>
        <v>-0.25676287716380719</v>
      </c>
      <c r="DI30" s="27">
        <f>+_xlfn.XLOOKUP($CT30,Budget!$A:$A,Budget!CD:CD)</f>
        <v>295</v>
      </c>
      <c r="DJ30" s="27">
        <f>+_xlfn.XLOOKUP($CT30,Budget!$A:$A,Budget!CE:CE)</f>
        <v>293</v>
      </c>
      <c r="DK30" s="27">
        <f>+_xlfn.XLOOKUP($CT30,Budget!$A:$A,Budget!CF:CF)</f>
        <v>327.87391000000008</v>
      </c>
      <c r="DL30" s="27">
        <f>+_xlfn.XLOOKUP($CT30,Budget!$A:$A,Budget!CG:CG)</f>
        <v>237.90899999999999</v>
      </c>
      <c r="DM30" s="27">
        <f>+_xlfn.XLOOKUP($CT30,Budget!$A:$A,Budget!CH:CH)</f>
        <v>283.24380000000002</v>
      </c>
      <c r="DN30" s="27">
        <f>+_xlfn.XLOOKUP($CT30,Budget!$A:$A,Budget!CI:CI)</f>
        <v>305.91120000000001</v>
      </c>
      <c r="DO30" s="27">
        <f>+_xlfn.XLOOKUP($CT30,Budget!$A:$A,Budget!CJ:CJ)</f>
        <v>314.13655000000006</v>
      </c>
      <c r="DP30" s="27">
        <f>+_xlfn.XLOOKUP($CT30,Budget!$A:$A,Budget!CK:CK)</f>
        <v>320.13344999999998</v>
      </c>
      <c r="DQ30" s="27">
        <f>+_xlfn.XLOOKUP($CT30,Budget!$A:$A,Budget!CL:CL)</f>
        <v>318.95499999999998</v>
      </c>
      <c r="DR30" s="27">
        <f>+_xlfn.XLOOKUP($CT30,Budget!$A:$A,Budget!CM:CM)</f>
        <v>258.32940000000002</v>
      </c>
      <c r="DS30" s="27">
        <f>+_xlfn.XLOOKUP($CT30,Budget!$A:$A,Budget!CN:CN)</f>
        <v>268.94952000000001</v>
      </c>
      <c r="DT30" s="27">
        <f>+_xlfn.XLOOKUP($CT30,Budget!$A:$A,Budget!CO:CO)</f>
        <v>299.78507999999994</v>
      </c>
      <c r="DU30" s="105">
        <f t="shared" ref="DU30:DU37" si="150">+SUM(DI30:DT30)</f>
        <v>3523.2269099999999</v>
      </c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105">
        <f t="shared" ref="EI30:EI37" si="151">+SUM(DW30:EH30)</f>
        <v>0</v>
      </c>
      <c r="EJ30" s="12" t="str">
        <f t="shared" si="71"/>
        <v>Throughputs</v>
      </c>
      <c r="EK30" s="27">
        <f>+'Jan-25'!$I$30</f>
        <v>76</v>
      </c>
      <c r="EL30" s="27">
        <f>+'Feb-25'!$I$30</f>
        <v>88</v>
      </c>
      <c r="EM30" s="27">
        <f>+'Mar-25'!$I$30</f>
        <v>84</v>
      </c>
      <c r="EN30" s="27">
        <f>+'Apr-25'!$I$30</f>
        <v>78</v>
      </c>
      <c r="EO30" s="27">
        <f>+'May-25'!$I$30</f>
        <v>100</v>
      </c>
      <c r="EP30" s="27">
        <f>+'June-25'!$I$30</f>
        <v>90</v>
      </c>
      <c r="EQ30" s="27">
        <f>+'July-25'!$I$30</f>
        <v>103</v>
      </c>
      <c r="ER30" s="27">
        <f>+'Aug-25'!$I$30</f>
        <v>72</v>
      </c>
      <c r="ES30" s="27">
        <f>+'Sep-25'!$I$30</f>
        <v>61</v>
      </c>
      <c r="ET30" s="27">
        <f>+'Oct-25'!$I$30</f>
        <v>79</v>
      </c>
      <c r="EU30" s="27">
        <f>+'Nov-25'!$I$30</f>
        <v>0</v>
      </c>
      <c r="EV30" s="27">
        <f>+'Dec-25'!$I$30</f>
        <v>0</v>
      </c>
      <c r="EW30" s="27">
        <f t="shared" ref="EW30:EW37" si="152">+SUM(EK30:EV30)</f>
        <v>831</v>
      </c>
      <c r="EX30" s="118">
        <f t="shared" ref="EX30:EX93" si="153">IFERROR((ET30-FH30)/FH30,0)</f>
        <v>-0.45214979195561716</v>
      </c>
      <c r="EY30" s="105">
        <f>+_xlfn.XLOOKUP($EJ30,Budget!$A:$A,Budget!DE:DE)</f>
        <v>111</v>
      </c>
      <c r="EZ30" s="105">
        <f>+_xlfn.XLOOKUP($EJ30,Budget!$A:$A,Budget!DF:DF)</f>
        <v>103.82400000000003</v>
      </c>
      <c r="FA30" s="105">
        <f>+_xlfn.XLOOKUP($EJ30,Budget!$A:$A,Budget!DG:DG)</f>
        <v>115.875</v>
      </c>
      <c r="FB30" s="105">
        <f>+_xlfn.XLOOKUP($EJ30,Budget!$A:$A,Budget!DH:DH)</f>
        <v>103.82400000000003</v>
      </c>
      <c r="FC30" s="105">
        <f>+_xlfn.XLOOKUP($EJ30,Budget!$A:$A,Budget!DI:DI)</f>
        <v>123.6</v>
      </c>
      <c r="FD30" s="105">
        <f>+_xlfn.XLOOKUP($EJ30,Budget!$A:$A,Budget!DJ:DJ)</f>
        <v>123.6</v>
      </c>
      <c r="FE30" s="105">
        <f>+_xlfn.XLOOKUP($EJ30,Budget!$A:$A,Budget!DK:DK)</f>
        <v>139.05000000000001</v>
      </c>
      <c r="FF30" s="105">
        <f>+_xlfn.XLOOKUP($EJ30,Budget!$A:$A,Budget!DL:DL)</f>
        <v>133.9</v>
      </c>
      <c r="FG30" s="105">
        <f>+_xlfn.XLOOKUP($EJ30,Budget!$A:$A,Budget!DM:DM)</f>
        <v>127.92600000000002</v>
      </c>
      <c r="FH30" s="105">
        <f>+_xlfn.XLOOKUP($EJ30,Budget!$A:$A,Budget!DN:DN)</f>
        <v>144.19999999999999</v>
      </c>
      <c r="FI30" s="105">
        <f>+_xlfn.XLOOKUP($EJ30,Budget!$A:$A,Budget!DO:DO)</f>
        <v>149.35</v>
      </c>
      <c r="FJ30" s="105">
        <f>+_xlfn.XLOOKUP($EJ30,Budget!$A:$A,Budget!DP:DP)</f>
        <v>160.68</v>
      </c>
      <c r="FK30" s="105">
        <f t="shared" ref="FK30:FK37" si="154">+SUM(EY30:FJ30)</f>
        <v>1536.8290000000002</v>
      </c>
    </row>
    <row r="31" spans="1:167" ht="14.45" customHeight="1">
      <c r="A31" s="106">
        <f t="shared" si="136"/>
        <v>16487577.899999976</v>
      </c>
      <c r="B31" s="106">
        <f t="shared" si="136"/>
        <v>13648902.439999983</v>
      </c>
      <c r="C31" s="106">
        <f t="shared" si="136"/>
        <v>11335308.809999982</v>
      </c>
      <c r="D31" s="106">
        <f t="shared" si="136"/>
        <v>10797597.049999982</v>
      </c>
      <c r="E31" s="106">
        <f t="shared" si="136"/>
        <v>13619910.299999982</v>
      </c>
      <c r="F31" s="106">
        <f t="shared" si="136"/>
        <v>15015825.209999997</v>
      </c>
      <c r="G31" s="106">
        <f t="shared" si="136"/>
        <v>14068426.019999973</v>
      </c>
      <c r="H31" s="106">
        <f t="shared" si="136"/>
        <v>13613939.569999969</v>
      </c>
      <c r="I31" s="106">
        <f t="shared" si="136"/>
        <v>14192765.199999975</v>
      </c>
      <c r="J31" s="106">
        <f t="shared" si="136"/>
        <v>14355763.639999975</v>
      </c>
      <c r="K31" s="106">
        <f t="shared" si="136"/>
        <v>14611747.979999974</v>
      </c>
      <c r="L31" s="106">
        <f t="shared" si="136"/>
        <v>15885853.24999997</v>
      </c>
      <c r="M31" s="106">
        <f t="shared" si="137"/>
        <v>167633617.36999974</v>
      </c>
      <c r="N31" s="7" t="s">
        <v>26</v>
      </c>
      <c r="O31" s="22">
        <f t="shared" si="138"/>
        <v>11778267.089999979</v>
      </c>
      <c r="P31" s="22">
        <f t="shared" si="138"/>
        <v>15271095.089999981</v>
      </c>
      <c r="Q31" s="22">
        <f t="shared" si="138"/>
        <v>12600699.179999983</v>
      </c>
      <c r="R31" s="22">
        <f t="shared" si="138"/>
        <v>12565042.119999982</v>
      </c>
      <c r="S31" s="22">
        <f t="shared" si="138"/>
        <v>18392699.769999985</v>
      </c>
      <c r="T31" s="22">
        <f t="shared" si="138"/>
        <v>14847054.089999977</v>
      </c>
      <c r="U31" s="22">
        <f t="shared" si="138"/>
        <v>20591465.749999966</v>
      </c>
      <c r="V31" s="22">
        <f t="shared" si="138"/>
        <v>19725265.35999997</v>
      </c>
      <c r="W31" s="22">
        <f t="shared" si="138"/>
        <v>18737400.659999989</v>
      </c>
      <c r="X31" s="22">
        <f t="shared" si="138"/>
        <v>19257494.139999982</v>
      </c>
      <c r="Y31" s="22">
        <f t="shared" si="138"/>
        <v>0</v>
      </c>
      <c r="Z31" s="22">
        <f t="shared" si="138"/>
        <v>0</v>
      </c>
      <c r="AA31" s="22">
        <f t="shared" si="139"/>
        <v>163766483.24999979</v>
      </c>
      <c r="AB31" s="118">
        <f t="shared" si="140"/>
        <v>-5.0688911427839104E-3</v>
      </c>
      <c r="AC31" s="22">
        <f t="shared" si="141"/>
        <v>21584221.368000004</v>
      </c>
      <c r="AD31" s="22">
        <f t="shared" si="141"/>
        <v>20962885.712000005</v>
      </c>
      <c r="AE31" s="22">
        <f t="shared" si="141"/>
        <v>21404344.52</v>
      </c>
      <c r="AF31" s="22">
        <f t="shared" si="141"/>
        <v>18383626.436000001</v>
      </c>
      <c r="AG31" s="22">
        <f t="shared" si="141"/>
        <v>20875546.155999999</v>
      </c>
      <c r="AH31" s="22">
        <f t="shared" si="141"/>
        <v>21748168.544</v>
      </c>
      <c r="AI31" s="22">
        <f t="shared" si="141"/>
        <v>22771991.640000001</v>
      </c>
      <c r="AJ31" s="22">
        <f t="shared" si="141"/>
        <v>22819849.388000008</v>
      </c>
      <c r="AK31" s="22">
        <f t="shared" si="141"/>
        <v>23126722.572000004</v>
      </c>
      <c r="AL31" s="22">
        <f t="shared" si="141"/>
        <v>19355605.597777776</v>
      </c>
      <c r="AM31" s="22">
        <f t="shared" si="141"/>
        <v>18180053.740444444</v>
      </c>
      <c r="AN31" s="22">
        <f t="shared" si="141"/>
        <v>21441006.483999997</v>
      </c>
      <c r="AO31" s="22">
        <f t="shared" si="142"/>
        <v>252654022.15822226</v>
      </c>
      <c r="AQ31" s="106">
        <v>8879616.3599999845</v>
      </c>
      <c r="AR31" s="106">
        <v>6921139.3899999866</v>
      </c>
      <c r="AS31" s="106">
        <v>5840387.489999989</v>
      </c>
      <c r="AT31" s="106">
        <v>7210586.1199999861</v>
      </c>
      <c r="AU31" s="106">
        <v>6570363.0199999874</v>
      </c>
      <c r="AV31" s="106">
        <v>8150490.5999999959</v>
      </c>
      <c r="AW31" s="106">
        <v>8029778.0299999844</v>
      </c>
      <c r="AX31" s="106">
        <v>7721360.2099999823</v>
      </c>
      <c r="AY31" s="106">
        <v>8241441.639999981</v>
      </c>
      <c r="AZ31" s="106">
        <v>8447909.3499999791</v>
      </c>
      <c r="BA31" s="106">
        <v>7212051.5799999852</v>
      </c>
      <c r="BB31" s="106">
        <v>10962310.49999998</v>
      </c>
      <c r="BC31" s="106">
        <f t="shared" si="143"/>
        <v>94187434.289999828</v>
      </c>
      <c r="BD31" s="7" t="str">
        <f t="shared" si="7"/>
        <v>Parts Revenue</v>
      </c>
      <c r="BE31" s="22">
        <f>+VLOOKUP($BD31,'Jan-25'!$A:$J,4,0)</f>
        <v>5757220.329999988</v>
      </c>
      <c r="BF31" s="22">
        <f>+VLOOKUP($BD31,'Feb-25'!$A:$J,4,0)</f>
        <v>6960091.2099999869</v>
      </c>
      <c r="BG31" s="22">
        <f>+VLOOKUP($BD31,'Mar-25'!$A:$J,4,0)</f>
        <v>5730659.2799999909</v>
      </c>
      <c r="BH31" s="22">
        <f>+VLOOKUP($BD31,'Apr-25'!$A:$J,4,0)</f>
        <v>7175973.2399999863</v>
      </c>
      <c r="BI31" s="22">
        <f>+VLOOKUP($BD31,'May-25'!$A:$J,4,0)</f>
        <v>10374492.649999987</v>
      </c>
      <c r="BJ31" s="22">
        <f>+VLOOKUP($BD31,'June-25'!$A:$J,4,0)</f>
        <v>7714850.8399999803</v>
      </c>
      <c r="BK31" s="22">
        <f>+VLOOKUP($BD31,'July-25'!$A:$J,4,0)</f>
        <v>11616647.489999976</v>
      </c>
      <c r="BL31" s="22">
        <f>+VLOOKUP($BD31,'Aug-25'!$A:$J,4,0)</f>
        <v>11547300.48999998</v>
      </c>
      <c r="BM31" s="22">
        <f>+VLOOKUP($BD31,'Sep-25'!$A:$J,4,0)</f>
        <v>11442271.359999999</v>
      </c>
      <c r="BN31" s="22">
        <f>+VLOOKUP($BD31,'Oct-25'!$A:$J,4,0)</f>
        <v>9449285.0999999847</v>
      </c>
      <c r="BO31" s="22">
        <f>+VLOOKUP($BD31,'Nov-25'!$A:$J,4,0)</f>
        <v>0</v>
      </c>
      <c r="BP31" s="22">
        <f>+VLOOKUP($BD31,'Dec-25'!$A:$J,4,0)</f>
        <v>0</v>
      </c>
      <c r="BQ31" s="22">
        <f t="shared" si="144"/>
        <v>87768791.989999861</v>
      </c>
      <c r="BR31" s="118">
        <f t="shared" si="145"/>
        <v>-6.0047149214690683E-2</v>
      </c>
      <c r="BS31" s="106">
        <f>+_xlfn.XLOOKUP($BD31,Budget!$A:$A,Budget!AQ:AQ)</f>
        <v>10450644.600000001</v>
      </c>
      <c r="BT31" s="106">
        <f>+_xlfn.XLOOKUP($BD31,Budget!$A:$A,Budget!AR:AR)</f>
        <v>10223244.240000004</v>
      </c>
      <c r="BU31" s="106">
        <f>+_xlfn.XLOOKUP($BD31,Budget!$A:$A,Budget!AS:AS)</f>
        <v>9541043.1600000001</v>
      </c>
      <c r="BV31" s="106">
        <f>+_xlfn.XLOOKUP($BD31,Budget!$A:$A,Budget!AT:AT)</f>
        <v>8830758.8159999996</v>
      </c>
      <c r="BW31" s="106">
        <f>+_xlfn.XLOOKUP($BD31,Budget!$A:$A,Budget!AU:AU)</f>
        <v>9786791.5199999996</v>
      </c>
      <c r="BX31" s="106">
        <f>+_xlfn.XLOOKUP($BD31,Budget!$A:$A,Budget!AV:AV)</f>
        <v>10158350.4</v>
      </c>
      <c r="BY31" s="106">
        <f>+_xlfn.XLOOKUP($BD31,Budget!$A:$A,Budget!AW:AW)</f>
        <v>10386161.280000001</v>
      </c>
      <c r="BZ31" s="106">
        <f>+_xlfn.XLOOKUP($BD31,Budget!$A:$A,Budget!AX:AX)</f>
        <v>10886820.120000005</v>
      </c>
      <c r="CA31" s="106">
        <f>+_xlfn.XLOOKUP($BD31,Budget!$A:$A,Budget!AY:AY)</f>
        <v>11543142.600000001</v>
      </c>
      <c r="CB31" s="106">
        <f>+_xlfn.XLOOKUP($BD31,Budget!$A:$A,Budget!AZ:AZ)</f>
        <v>10052935.200000001</v>
      </c>
      <c r="CC31" s="106">
        <f>+_xlfn.XLOOKUP($BD31,Budget!$A:$A,Budget!BA:BA)</f>
        <v>8042348.1600000001</v>
      </c>
      <c r="CD31" s="106">
        <f>+_xlfn.XLOOKUP($BD31,Budget!$A:$A,Budget!BB:BB)</f>
        <v>10627388.639999999</v>
      </c>
      <c r="CE31" s="106">
        <f t="shared" si="146"/>
        <v>120529628.736</v>
      </c>
      <c r="CF31" s="22"/>
      <c r="CG31" s="43">
        <v>7607961.5399999917</v>
      </c>
      <c r="CH31" s="22">
        <v>6727763.0499999961</v>
      </c>
      <c r="CI31" s="22">
        <v>5494921.3199999928</v>
      </c>
      <c r="CJ31" s="22">
        <v>3587010.9299999955</v>
      </c>
      <c r="CK31" s="22">
        <v>7049547.2799999937</v>
      </c>
      <c r="CL31" s="22">
        <v>6865334.6100000003</v>
      </c>
      <c r="CM31" s="22">
        <v>6038647.98999999</v>
      </c>
      <c r="CN31" s="22">
        <v>5892579.3599999864</v>
      </c>
      <c r="CO31" s="22">
        <v>5951323.559999994</v>
      </c>
      <c r="CP31" s="22">
        <v>5907854.2899999944</v>
      </c>
      <c r="CQ31" s="22">
        <v>7399696.3999999883</v>
      </c>
      <c r="CR31" s="22">
        <v>4923542.7499999916</v>
      </c>
      <c r="CS31" s="106">
        <f t="shared" si="147"/>
        <v>73446183.079999909</v>
      </c>
      <c r="CT31" s="7" t="str">
        <f t="shared" si="11"/>
        <v>Parts Revenue</v>
      </c>
      <c r="CU31" s="22">
        <f>+VLOOKUP($BD31,'Jan-25'!$A:$J,7,0)</f>
        <v>4844094.5699999919</v>
      </c>
      <c r="CV31" s="22">
        <f>+VLOOKUP($BD31,'Feb-25'!$A:$J,7,0)</f>
        <v>5414609.969999996</v>
      </c>
      <c r="CW31" s="22">
        <f>+VLOOKUP($BD31,'Mar-25'!$A:$J,7,0)</f>
        <v>5570136.7099999934</v>
      </c>
      <c r="CX31" s="22">
        <f>+VLOOKUP($BD31,'Apr-25'!$A:$J,7,0)</f>
        <v>4461613.8799999962</v>
      </c>
      <c r="CY31" s="22">
        <f>+VLOOKUP($BD31,'May-25'!$A:$J,7,0)</f>
        <v>5779455.7499999981</v>
      </c>
      <c r="CZ31" s="22">
        <f>+VLOOKUP($BD31,'June-25'!$A:$J,7,0)</f>
        <v>4938994.1299999971</v>
      </c>
      <c r="DA31" s="22">
        <f>+VLOOKUP($BD31,'July-25'!$A:$J,7,0)</f>
        <v>6673204.4499999909</v>
      </c>
      <c r="DB31" s="22">
        <f>+VLOOKUP($BD31,'Aug-25'!$A:$J,7,0)</f>
        <v>5921428.8199999938</v>
      </c>
      <c r="DC31" s="22">
        <f>+VLOOKUP($BD31,'Sep-25'!$A:$J,7,0)</f>
        <v>5116092.9599999906</v>
      </c>
      <c r="DD31" s="22">
        <f>+VLOOKUP($BD31,'Oct-25'!$A:$J,7,0)</f>
        <v>7134450.9399999976</v>
      </c>
      <c r="DE31" s="22">
        <f>+VLOOKUP($BD31,'Nov-25'!$A:$J,7,0)</f>
        <v>0</v>
      </c>
      <c r="DF31" s="22">
        <f>+VLOOKUP($BD31,'Dec-25'!$A:$J,7,0)</f>
        <v>0</v>
      </c>
      <c r="DG31" s="22">
        <f t="shared" si="148"/>
        <v>55854082.17999994</v>
      </c>
      <c r="DH31" s="118">
        <f t="shared" si="149"/>
        <v>3.3425346796508666E-2</v>
      </c>
      <c r="DI31" s="22">
        <f>+_xlfn.XLOOKUP($CT31,Budget!$A:$A,Budget!CD:CD)</f>
        <v>8131176.768000002</v>
      </c>
      <c r="DJ31" s="22">
        <f>+_xlfn.XLOOKUP($CT31,Budget!$A:$A,Budget!CE:CE)</f>
        <v>7937401.472000001</v>
      </c>
      <c r="DK31" s="22">
        <f>+_xlfn.XLOOKUP($CT31,Budget!$A:$A,Budget!CF:CF)</f>
        <v>8735801.3599999994</v>
      </c>
      <c r="DL31" s="22">
        <f>+_xlfn.XLOOKUP($CT31,Budget!$A:$A,Budget!CG:CG)</f>
        <v>6750627.6200000001</v>
      </c>
      <c r="DM31" s="22">
        <f>+_xlfn.XLOOKUP($CT31,Budget!$A:$A,Budget!CH:CH)</f>
        <v>7752754.6359999999</v>
      </c>
      <c r="DN31" s="22">
        <f>+_xlfn.XLOOKUP($CT31,Budget!$A:$A,Budget!CI:CI)</f>
        <v>8253818.1439999994</v>
      </c>
      <c r="DO31" s="22">
        <f>+_xlfn.XLOOKUP($CT31,Budget!$A:$A,Budget!CJ:CJ)</f>
        <v>8632830.3599999994</v>
      </c>
      <c r="DP31" s="22">
        <f>+_xlfn.XLOOKUP($CT31,Budget!$A:$A,Budget!CK:CK)</f>
        <v>8319029.268000002</v>
      </c>
      <c r="DQ31" s="22">
        <f>+_xlfn.XLOOKUP($CT31,Budget!$A:$A,Budget!CL:CL)</f>
        <v>8130819.972000001</v>
      </c>
      <c r="DR31" s="22">
        <f>+_xlfn.XLOOKUP($CT31,Budget!$A:$A,Budget!CM:CM)</f>
        <v>6903692.6200000001</v>
      </c>
      <c r="DS31" s="22">
        <f>+_xlfn.XLOOKUP($CT31,Budget!$A:$A,Budget!CN:CN)</f>
        <v>7645609.1359999999</v>
      </c>
      <c r="DT31" s="22">
        <f>+_xlfn.XLOOKUP($CT31,Budget!$A:$A,Budget!CO:CO)</f>
        <v>8207898.6439999994</v>
      </c>
      <c r="DU31" s="106">
        <f t="shared" si="150"/>
        <v>95401460</v>
      </c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106">
        <f t="shared" si="151"/>
        <v>0</v>
      </c>
      <c r="EJ31" s="7" t="str">
        <f t="shared" si="71"/>
        <v>Parts Revenue</v>
      </c>
      <c r="EK31" s="22">
        <f>+VLOOKUP($BD31,'Jan-25'!$A:$J,9,0)</f>
        <v>1176952.19</v>
      </c>
      <c r="EL31" s="22">
        <f>+VLOOKUP($BD31,'Feb-25'!$A:$J,9,0)</f>
        <v>2896393.9099999992</v>
      </c>
      <c r="EM31" s="22">
        <f>+VLOOKUP($BD31,'Mar-25'!$A:$J,9,0)</f>
        <v>1299903.19</v>
      </c>
      <c r="EN31" s="22">
        <f>+VLOOKUP($BD31,'Apr-25'!$A:$J,9,0)</f>
        <v>927455.00000000023</v>
      </c>
      <c r="EO31" s="22">
        <f>+VLOOKUP($BD31,'May-25'!$A:$J,9,0)</f>
        <v>2238751.3700000006</v>
      </c>
      <c r="EP31" s="22">
        <f>+VLOOKUP($BD31,'June-25'!$A:$J,9,0)</f>
        <v>2193209.12</v>
      </c>
      <c r="EQ31" s="22">
        <f>+VLOOKUP($BD31,'July-25'!$A:$J,9,0)</f>
        <v>2301613.81</v>
      </c>
      <c r="ER31" s="22">
        <f>+VLOOKUP($BD31,'Aug-25'!$A:$J,9,0)</f>
        <v>2256536.0499999989</v>
      </c>
      <c r="ES31" s="22">
        <f>+VLOOKUP($BD31,'Sep-25'!$A:$J,9,0)</f>
        <v>2179036.3399999994</v>
      </c>
      <c r="ET31" s="22">
        <f>+VLOOKUP($BD31,'Oct-25'!$A:$J,9,0)</f>
        <v>2673758.0999999992</v>
      </c>
      <c r="EU31" s="22">
        <f>+VLOOKUP($BD31,'Nov-25'!$A:$J,9,0)</f>
        <v>0</v>
      </c>
      <c r="EV31" s="22">
        <f>+VLOOKUP($BD31,'Dec-25'!$A:$J,9,0)</f>
        <v>0</v>
      </c>
      <c r="EW31" s="22">
        <f t="shared" si="152"/>
        <v>20143609.079999998</v>
      </c>
      <c r="EX31" s="118">
        <f t="shared" si="153"/>
        <v>0.11454058673138515</v>
      </c>
      <c r="EY31" s="106">
        <f>+_xlfn.XLOOKUP($EJ31,Budget!$A:$A,Budget!DE:DE)</f>
        <v>3002400</v>
      </c>
      <c r="EZ31" s="106">
        <f>+_xlfn.XLOOKUP($EJ31,Budget!$A:$A,Budget!DF:DF)</f>
        <v>2802240</v>
      </c>
      <c r="FA31" s="106">
        <f>+_xlfn.XLOOKUP($EJ31,Budget!$A:$A,Budget!DG:DG)</f>
        <v>3127500</v>
      </c>
      <c r="FB31" s="106">
        <f>+_xlfn.XLOOKUP($EJ31,Budget!$A:$A,Budget!DH:DH)</f>
        <v>2802240</v>
      </c>
      <c r="FC31" s="106">
        <f>+_xlfn.XLOOKUP($EJ31,Budget!$A:$A,Budget!DI:DI)</f>
        <v>3336000</v>
      </c>
      <c r="FD31" s="106">
        <f>+_xlfn.XLOOKUP($EJ31,Budget!$A:$A,Budget!DJ:DJ)</f>
        <v>3336000</v>
      </c>
      <c r="FE31" s="106">
        <f>+_xlfn.XLOOKUP($EJ31,Budget!$A:$A,Budget!DK:DK)</f>
        <v>3753000</v>
      </c>
      <c r="FF31" s="106">
        <f>+_xlfn.XLOOKUP($EJ31,Budget!$A:$A,Budget!DL:DL)</f>
        <v>3614000</v>
      </c>
      <c r="FG31" s="106">
        <f>+_xlfn.XLOOKUP($EJ31,Budget!$A:$A,Budget!DM:DM)</f>
        <v>3452760</v>
      </c>
      <c r="FH31" s="106">
        <f>+_xlfn.XLOOKUP($EJ31,Budget!$A:$A,Budget!DN:DN)</f>
        <v>2398977.777777778</v>
      </c>
      <c r="FI31" s="106">
        <f>+_xlfn.XLOOKUP($EJ31,Budget!$A:$A,Budget!DO:DO)</f>
        <v>2492096.444444445</v>
      </c>
      <c r="FJ31" s="106">
        <f>+_xlfn.XLOOKUP($EJ31,Budget!$A:$A,Budget!DP:DP)</f>
        <v>2605719.1999999997</v>
      </c>
      <c r="FK31" s="106">
        <f t="shared" si="154"/>
        <v>36722933.422222227</v>
      </c>
    </row>
    <row r="32" spans="1:167" ht="14.45" customHeight="1">
      <c r="A32" s="106">
        <f t="shared" si="136"/>
        <v>5252472.5300000012</v>
      </c>
      <c r="B32" s="106">
        <f t="shared" si="136"/>
        <v>4027241.32</v>
      </c>
      <c r="C32" s="106">
        <f t="shared" si="136"/>
        <v>3324749.7499999991</v>
      </c>
      <c r="D32" s="106">
        <f t="shared" si="136"/>
        <v>3323971.71</v>
      </c>
      <c r="E32" s="106">
        <f t="shared" si="136"/>
        <v>3918159.7299999995</v>
      </c>
      <c r="F32" s="106">
        <f t="shared" si="136"/>
        <v>3736904.129999999</v>
      </c>
      <c r="G32" s="106">
        <f t="shared" si="136"/>
        <v>4699286.51</v>
      </c>
      <c r="H32" s="106">
        <f t="shared" si="136"/>
        <v>4380852.16</v>
      </c>
      <c r="I32" s="106">
        <f t="shared" si="136"/>
        <v>3973497.3699999996</v>
      </c>
      <c r="J32" s="106">
        <f t="shared" si="136"/>
        <v>4264955.3400000008</v>
      </c>
      <c r="K32" s="106">
        <f t="shared" si="136"/>
        <v>4110610.7699999991</v>
      </c>
      <c r="L32" s="106">
        <f t="shared" si="136"/>
        <v>4402137.51</v>
      </c>
      <c r="M32" s="106">
        <f t="shared" si="137"/>
        <v>49414838.829999998</v>
      </c>
      <c r="N32" s="7" t="s">
        <v>27</v>
      </c>
      <c r="O32" s="22">
        <f t="shared" si="138"/>
        <v>4396295.669999999</v>
      </c>
      <c r="P32" s="22">
        <f t="shared" si="138"/>
        <v>4463749.76</v>
      </c>
      <c r="Q32" s="22">
        <f t="shared" si="138"/>
        <v>4573581.92</v>
      </c>
      <c r="R32" s="22">
        <f t="shared" si="138"/>
        <v>4183213.0600000005</v>
      </c>
      <c r="S32" s="22">
        <f t="shared" si="138"/>
        <v>5917156.2100000009</v>
      </c>
      <c r="T32" s="22">
        <f t="shared" si="138"/>
        <v>4685510.4000000013</v>
      </c>
      <c r="U32" s="22">
        <f t="shared" si="138"/>
        <v>6540477.1300000008</v>
      </c>
      <c r="V32" s="22">
        <f t="shared" si="138"/>
        <v>6332457.1900000023</v>
      </c>
      <c r="W32" s="22">
        <f t="shared" si="138"/>
        <v>5206568.3899999997</v>
      </c>
      <c r="X32" s="22">
        <f t="shared" si="138"/>
        <v>6078991.6800000016</v>
      </c>
      <c r="Y32" s="22">
        <f t="shared" si="138"/>
        <v>0</v>
      </c>
      <c r="Z32" s="22">
        <f t="shared" si="138"/>
        <v>0</v>
      </c>
      <c r="AA32" s="22">
        <f t="shared" si="139"/>
        <v>52378001.410000011</v>
      </c>
      <c r="AB32" s="118">
        <f t="shared" si="140"/>
        <v>-6.3548595728910681E-2</v>
      </c>
      <c r="AC32" s="22">
        <f t="shared" si="141"/>
        <v>7036514.0330000008</v>
      </c>
      <c r="AD32" s="22">
        <f t="shared" si="141"/>
        <v>6849863.6952</v>
      </c>
      <c r="AE32" s="22">
        <f t="shared" si="141"/>
        <v>6995826.1367999995</v>
      </c>
      <c r="AF32" s="22">
        <f t="shared" si="141"/>
        <v>5968189.1050000004</v>
      </c>
      <c r="AG32" s="22">
        <f t="shared" si="141"/>
        <v>6794276.7469999995</v>
      </c>
      <c r="AH32" s="22">
        <f t="shared" si="141"/>
        <v>7093166.9680000003</v>
      </c>
      <c r="AI32" s="22">
        <f t="shared" si="141"/>
        <v>7404066.6490000002</v>
      </c>
      <c r="AJ32" s="22">
        <f t="shared" si="141"/>
        <v>7466062.9300000006</v>
      </c>
      <c r="AK32" s="22">
        <f t="shared" si="141"/>
        <v>7587425.6410000008</v>
      </c>
      <c r="AL32" s="22">
        <f t="shared" si="141"/>
        <v>6491518.5692222212</v>
      </c>
      <c r="AM32" s="22">
        <f t="shared" si="141"/>
        <v>6069031.233155556</v>
      </c>
      <c r="AN32" s="22">
        <f t="shared" si="141"/>
        <v>7181160.677824242</v>
      </c>
      <c r="AO32" s="22">
        <f t="shared" si="142"/>
        <v>82937102.385202035</v>
      </c>
      <c r="AQ32" s="106">
        <v>3106829.5100000012</v>
      </c>
      <c r="AR32" s="106">
        <v>2224622.35</v>
      </c>
      <c r="AS32" s="106">
        <v>1686057.0999999996</v>
      </c>
      <c r="AT32" s="106">
        <v>2087037.73</v>
      </c>
      <c r="AU32" s="106">
        <v>1911682.04</v>
      </c>
      <c r="AV32" s="106">
        <v>1709555.7199999997</v>
      </c>
      <c r="AW32" s="106">
        <v>2613089.6500000008</v>
      </c>
      <c r="AX32" s="106">
        <v>2447475.9000000008</v>
      </c>
      <c r="AY32" s="106">
        <v>2292160.8199999998</v>
      </c>
      <c r="AZ32" s="106">
        <v>2531552.7500000009</v>
      </c>
      <c r="BA32" s="106">
        <v>2187025.1199999996</v>
      </c>
      <c r="BB32" s="106">
        <v>2740487.1399999997</v>
      </c>
      <c r="BC32" s="106">
        <f t="shared" si="143"/>
        <v>27537575.830000002</v>
      </c>
      <c r="BD32" s="7" t="str">
        <f t="shared" si="7"/>
        <v>Labour Revenue</v>
      </c>
      <c r="BE32" s="22">
        <f>+VLOOKUP($BD32,'Jan-25'!$A:$J,4,0)</f>
        <v>2124220.2399999998</v>
      </c>
      <c r="BF32" s="22">
        <f>+VLOOKUP($BD32,'Feb-25'!$A:$J,4,0)</f>
        <v>2473823.4400000004</v>
      </c>
      <c r="BG32" s="22">
        <f>+VLOOKUP($BD32,'Mar-25'!$A:$J,4,0)</f>
        <v>2408534.0499999998</v>
      </c>
      <c r="BH32" s="22">
        <f>+VLOOKUP($BD32,'Apr-25'!$A:$J,4,0)</f>
        <v>2497415.62</v>
      </c>
      <c r="BI32" s="22">
        <f>+VLOOKUP($BD32,'May-25'!$A:$J,4,0)</f>
        <v>3327672.9700000007</v>
      </c>
      <c r="BJ32" s="22">
        <f>+VLOOKUP($BD32,'June-25'!$A:$J,4,0)</f>
        <v>2447453.620000001</v>
      </c>
      <c r="BK32" s="22">
        <f>+VLOOKUP($BD32,'July-25'!$A:$J,4,0)</f>
        <v>3984588.54</v>
      </c>
      <c r="BL32" s="22">
        <f>+VLOOKUP($BD32,'Aug-25'!$A:$J,4,0)</f>
        <v>3473587.9900000012</v>
      </c>
      <c r="BM32" s="22">
        <f>+VLOOKUP($BD32,'Sep-25'!$A:$J,4,0)</f>
        <v>3041485.61</v>
      </c>
      <c r="BN32" s="22">
        <f>+VLOOKUP($BD32,'Oct-25'!$A:$J,4,0)</f>
        <v>3111722.2100000018</v>
      </c>
      <c r="BO32" s="22">
        <f>+VLOOKUP($BD32,'Nov-25'!$A:$J,4,0)</f>
        <v>0</v>
      </c>
      <c r="BP32" s="22">
        <f>+VLOOKUP($BD32,'Dec-25'!$A:$J,4,0)</f>
        <v>0</v>
      </c>
      <c r="BQ32" s="22">
        <f t="shared" si="144"/>
        <v>28890504.290000003</v>
      </c>
      <c r="BR32" s="118">
        <f t="shared" si="145"/>
        <v>-9.9843647049889489E-2</v>
      </c>
      <c r="BS32" s="106">
        <f>+_xlfn.XLOOKUP($BD32,Budget!$A:$A,Budget!AQ:AQ)</f>
        <v>3590469.3140000002</v>
      </c>
      <c r="BT32" s="106">
        <f>+_xlfn.XLOOKUP($BD32,Budget!$A:$A,Budget!AR:AR)</f>
        <v>3522988.1016000002</v>
      </c>
      <c r="BU32" s="106">
        <f>+_xlfn.XLOOKUP($BD32,Budget!$A:$A,Budget!AS:AS)</f>
        <v>3320544.4643999999</v>
      </c>
      <c r="BV32" s="106">
        <f>+_xlfn.XLOOKUP($BD32,Budget!$A:$A,Budget!AT:AT)</f>
        <v>3017095.7600000002</v>
      </c>
      <c r="BW32" s="106">
        <f>+_xlfn.XLOOKUP($BD32,Budget!$A:$A,Budget!AU:AU)</f>
        <v>3368496.9760000003</v>
      </c>
      <c r="BX32" s="106">
        <f>+_xlfn.XLOOKUP($BD32,Budget!$A:$A,Budget!AV:AV)</f>
        <v>3508848.9439999997</v>
      </c>
      <c r="BY32" s="106">
        <f>+_xlfn.XLOOKUP($BD32,Budget!$A:$A,Budget!AW:AW)</f>
        <v>3578318.5920000002</v>
      </c>
      <c r="BZ32" s="106">
        <f>+_xlfn.XLOOKUP($BD32,Budget!$A:$A,Budget!AX:AX)</f>
        <v>3776971.8900000006</v>
      </c>
      <c r="CA32" s="106">
        <f>+_xlfn.XLOOKUP($BD32,Budget!$A:$A,Budget!AY:AY)</f>
        <v>4004160.9180000005</v>
      </c>
      <c r="CB32" s="106">
        <f>+_xlfn.XLOOKUP($BD32,Budget!$A:$A,Budget!AZ:AZ)</f>
        <v>3456868.5759999999</v>
      </c>
      <c r="CC32" s="106">
        <f>+_xlfn.XLOOKUP($BD32,Budget!$A:$A,Budget!BA:BA)</f>
        <v>2765494.8607999999</v>
      </c>
      <c r="CD32" s="106">
        <f>+_xlfn.XLOOKUP($BD32,Budget!$A:$A,Budget!BB:BB)</f>
        <v>3654403.9231999991</v>
      </c>
      <c r="CE32" s="106">
        <f t="shared" si="146"/>
        <v>41564662.319999993</v>
      </c>
      <c r="CF32" s="22"/>
      <c r="CG32" s="43">
        <v>2145643.0199999996</v>
      </c>
      <c r="CH32" s="22">
        <v>1802618.9699999997</v>
      </c>
      <c r="CI32" s="22">
        <v>1638692.6499999997</v>
      </c>
      <c r="CJ32" s="22">
        <v>1236933.9800000002</v>
      </c>
      <c r="CK32" s="22">
        <v>2006477.6899999995</v>
      </c>
      <c r="CL32" s="22">
        <v>2027348.4099999992</v>
      </c>
      <c r="CM32" s="22">
        <v>2086196.8599999985</v>
      </c>
      <c r="CN32" s="22">
        <v>1933376.2599999995</v>
      </c>
      <c r="CO32" s="22">
        <v>1681336.5499999998</v>
      </c>
      <c r="CP32" s="22">
        <v>1733402.5899999999</v>
      </c>
      <c r="CQ32" s="22">
        <v>1923585.6499999994</v>
      </c>
      <c r="CR32" s="22">
        <v>1661650.3699999996</v>
      </c>
      <c r="CS32" s="106">
        <f t="shared" si="147"/>
        <v>21877262.999999996</v>
      </c>
      <c r="CT32" s="7" t="str">
        <f t="shared" si="11"/>
        <v>Labour Revenue</v>
      </c>
      <c r="CU32" s="22">
        <f>+VLOOKUP($BD32,'Jan-25'!$A:$J,7,0)</f>
        <v>1749856.0199999996</v>
      </c>
      <c r="CV32" s="22">
        <f>+VLOOKUP($BD32,'Feb-25'!$A:$J,7,0)</f>
        <v>1364341.2099999993</v>
      </c>
      <c r="CW32" s="22">
        <f>+VLOOKUP($BD32,'Mar-25'!$A:$J,7,0)</f>
        <v>1705997.0700000003</v>
      </c>
      <c r="CX32" s="22">
        <f>+VLOOKUP($BD32,'Apr-25'!$A:$J,7,0)</f>
        <v>1314373.2400000002</v>
      </c>
      <c r="CY32" s="22">
        <f>+VLOOKUP($BD32,'May-25'!$A:$J,7,0)</f>
        <v>1908792.2400000002</v>
      </c>
      <c r="CZ32" s="22">
        <f>+VLOOKUP($BD32,'June-25'!$A:$J,7,0)</f>
        <v>1566064.87</v>
      </c>
      <c r="DA32" s="22">
        <f>+VLOOKUP($BD32,'July-25'!$A:$J,7,0)</f>
        <v>1909588.6400000006</v>
      </c>
      <c r="DB32" s="22">
        <f>+VLOOKUP($BD32,'Aug-25'!$A:$J,7,0)</f>
        <v>2068076.2000000011</v>
      </c>
      <c r="DC32" s="22">
        <f>+VLOOKUP($BD32,'Sep-25'!$A:$J,7,0)</f>
        <v>1466392.9</v>
      </c>
      <c r="DD32" s="22">
        <f>+VLOOKUP($BD32,'Oct-25'!$A:$J,7,0)</f>
        <v>1997722.9299999997</v>
      </c>
      <c r="DE32" s="22">
        <f>+VLOOKUP($BD32,'Nov-25'!$A:$J,7,0)</f>
        <v>0</v>
      </c>
      <c r="DF32" s="22">
        <f>+VLOOKUP($BD32,'Dec-25'!$A:$J,7,0)</f>
        <v>0</v>
      </c>
      <c r="DG32" s="22">
        <f t="shared" si="148"/>
        <v>17051205.32</v>
      </c>
      <c r="DH32" s="118">
        <f t="shared" si="149"/>
        <v>-8.1307235234201122E-2</v>
      </c>
      <c r="DI32" s="22">
        <f>+_xlfn.XLOOKUP($CT32,Budget!$A:$A,Budget!CD:CD)</f>
        <v>2559488.9190000002</v>
      </c>
      <c r="DJ32" s="22">
        <f>+_xlfn.XLOOKUP($CT32,Budget!$A:$A,Budget!CE:CE)</f>
        <v>2499423.5136000002</v>
      </c>
      <c r="DK32" s="22">
        <f>+_xlfn.XLOOKUP($CT32,Budget!$A:$A,Budget!CF:CF)</f>
        <v>2751786.0473999996</v>
      </c>
      <c r="DL32" s="22">
        <f>+_xlfn.XLOOKUP($CT32,Budget!$A:$A,Budget!CG:CG)</f>
        <v>2123641.2650000001</v>
      </c>
      <c r="DM32" s="22">
        <f>+_xlfn.XLOOKUP($CT32,Budget!$A:$A,Budget!CH:CH)</f>
        <v>2440717.7709999997</v>
      </c>
      <c r="DN32" s="22">
        <f>+_xlfn.XLOOKUP($CT32,Budget!$A:$A,Budget!CI:CI)</f>
        <v>2599256.0240000002</v>
      </c>
      <c r="DO32" s="22">
        <f>+_xlfn.XLOOKUP($CT32,Budget!$A:$A,Budget!CJ:CJ)</f>
        <v>2717553.3069999996</v>
      </c>
      <c r="DP32" s="22">
        <f>+_xlfn.XLOOKUP($CT32,Budget!$A:$A,Budget!CK:CK)</f>
        <v>2621940.54</v>
      </c>
      <c r="DQ32" s="22">
        <f>+_xlfn.XLOOKUP($CT32,Budget!$A:$A,Budget!CL:CL)</f>
        <v>2563725.5530000003</v>
      </c>
      <c r="DR32" s="22">
        <f>+_xlfn.XLOOKUP($CT32,Budget!$A:$A,Budget!CM:CM)</f>
        <v>2174527.7709999997</v>
      </c>
      <c r="DS32" s="22">
        <f>+_xlfn.XLOOKUP($CT32,Budget!$A:$A,Budget!CN:CN)</f>
        <v>2405097.2168000001</v>
      </c>
      <c r="DT32" s="22">
        <f>+_xlfn.XLOOKUP($CT32,Budget!$A:$A,Budget!CO:CO)</f>
        <v>2583990.0722000003</v>
      </c>
      <c r="DU32" s="106">
        <f t="shared" si="150"/>
        <v>30041147.999999996</v>
      </c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106">
        <f t="shared" si="151"/>
        <v>0</v>
      </c>
      <c r="EJ32" s="7" t="str">
        <f t="shared" si="71"/>
        <v>Labour Revenue</v>
      </c>
      <c r="EK32" s="22">
        <f>+VLOOKUP($BD32,'Jan-25'!$A:$J,9,0)</f>
        <v>522219.40999999992</v>
      </c>
      <c r="EL32" s="22">
        <f>+VLOOKUP($BD32,'Feb-25'!$A:$J,9,0)</f>
        <v>625585.1100000001</v>
      </c>
      <c r="EM32" s="22">
        <f>+VLOOKUP($BD32,'Mar-25'!$A:$J,9,0)</f>
        <v>459050.8</v>
      </c>
      <c r="EN32" s="22">
        <f>+VLOOKUP($BD32,'Apr-25'!$A:$J,9,0)</f>
        <v>371424.19999999995</v>
      </c>
      <c r="EO32" s="22">
        <f>+VLOOKUP($BD32,'May-25'!$A:$J,9,0)</f>
        <v>680691</v>
      </c>
      <c r="EP32" s="22">
        <f>+VLOOKUP($BD32,'June-25'!$A:$J,9,0)</f>
        <v>671991.91</v>
      </c>
      <c r="EQ32" s="22">
        <f>+VLOOKUP($BD32,'July-25'!$A:$J,9,0)</f>
        <v>646299.94999999995</v>
      </c>
      <c r="ER32" s="22">
        <f>+VLOOKUP($BD32,'Aug-25'!$A:$J,9,0)</f>
        <v>790792.99999999988</v>
      </c>
      <c r="ES32" s="22">
        <f>+VLOOKUP($BD32,'Sep-25'!$A:$J,9,0)</f>
        <v>698689.88</v>
      </c>
      <c r="ET32" s="22">
        <f>+VLOOKUP($BD32,'Oct-25'!$A:$J,9,0)</f>
        <v>969546.53999999992</v>
      </c>
      <c r="EU32" s="22">
        <f>+VLOOKUP($BD32,'Nov-25'!$A:$J,9,0)</f>
        <v>0</v>
      </c>
      <c r="EV32" s="22">
        <f>+VLOOKUP($BD32,'Dec-25'!$A:$J,9,0)</f>
        <v>0</v>
      </c>
      <c r="EW32" s="22">
        <f t="shared" si="152"/>
        <v>6436291.7999999998</v>
      </c>
      <c r="EX32" s="118">
        <f t="shared" si="153"/>
        <v>0.12721949852088191</v>
      </c>
      <c r="EY32" s="106">
        <f>+_xlfn.XLOOKUP($EJ32,Budget!$A:$A,Budget!DE:DE)</f>
        <v>886555.8</v>
      </c>
      <c r="EZ32" s="106">
        <f>+_xlfn.XLOOKUP($EJ32,Budget!$A:$A,Budget!DF:DF)</f>
        <v>827452.08</v>
      </c>
      <c r="FA32" s="106">
        <f>+_xlfn.XLOOKUP($EJ32,Budget!$A:$A,Budget!DG:DG)</f>
        <v>923495.625</v>
      </c>
      <c r="FB32" s="106">
        <f>+_xlfn.XLOOKUP($EJ32,Budget!$A:$A,Budget!DH:DH)</f>
        <v>827452.08</v>
      </c>
      <c r="FC32" s="106">
        <f>+_xlfn.XLOOKUP($EJ32,Budget!$A:$A,Budget!DI:DI)</f>
        <v>985062</v>
      </c>
      <c r="FD32" s="106">
        <f>+_xlfn.XLOOKUP($EJ32,Budget!$A:$A,Budget!DJ:DJ)</f>
        <v>985062</v>
      </c>
      <c r="FE32" s="106">
        <f>+_xlfn.XLOOKUP($EJ32,Budget!$A:$A,Budget!DK:DK)</f>
        <v>1108194.75</v>
      </c>
      <c r="FF32" s="106">
        <f>+_xlfn.XLOOKUP($EJ32,Budget!$A:$A,Budget!DL:DL)</f>
        <v>1067150.5</v>
      </c>
      <c r="FG32" s="106">
        <f>+_xlfn.XLOOKUP($EJ32,Budget!$A:$A,Budget!DM:DM)</f>
        <v>1019539.17</v>
      </c>
      <c r="FH32" s="106">
        <f>+_xlfn.XLOOKUP($EJ32,Budget!$A:$A,Budget!DN:DN)</f>
        <v>860122.22222222225</v>
      </c>
      <c r="FI32" s="106">
        <f>+_xlfn.XLOOKUP($EJ32,Budget!$A:$A,Budget!DO:DO)</f>
        <v>898439.15555555571</v>
      </c>
      <c r="FJ32" s="106">
        <f>+_xlfn.XLOOKUP($EJ32,Budget!$A:$A,Budget!DP:DP)</f>
        <v>942766.68242424238</v>
      </c>
      <c r="FK32" s="106">
        <f t="shared" si="154"/>
        <v>11331292.06520202</v>
      </c>
    </row>
    <row r="33" spans="1:167" ht="14.45" customHeight="1">
      <c r="A33" s="106">
        <f t="shared" si="136"/>
        <v>2358067.3599999994</v>
      </c>
      <c r="B33" s="106">
        <f t="shared" si="136"/>
        <v>3107710.05</v>
      </c>
      <c r="C33" s="106">
        <f t="shared" si="136"/>
        <v>3767254.77</v>
      </c>
      <c r="D33" s="106">
        <f t="shared" si="136"/>
        <v>1544498.04</v>
      </c>
      <c r="E33" s="106">
        <f t="shared" si="136"/>
        <v>2343547.6900000004</v>
      </c>
      <c r="F33" s="106">
        <f t="shared" si="136"/>
        <v>4896443.55</v>
      </c>
      <c r="G33" s="106">
        <f t="shared" si="136"/>
        <v>3119333.84</v>
      </c>
      <c r="H33" s="106">
        <f t="shared" si="136"/>
        <v>3617154.5</v>
      </c>
      <c r="I33" s="106">
        <f t="shared" si="136"/>
        <v>7530551.9000000004</v>
      </c>
      <c r="J33" s="106">
        <f t="shared" si="136"/>
        <v>3137719.9499999997</v>
      </c>
      <c r="K33" s="106">
        <f t="shared" si="136"/>
        <v>6038952.7600000007</v>
      </c>
      <c r="L33" s="106">
        <f t="shared" si="136"/>
        <v>3795582.57</v>
      </c>
      <c r="M33" s="106">
        <f t="shared" si="137"/>
        <v>45256816.980000004</v>
      </c>
      <c r="N33" s="7" t="s">
        <v>28</v>
      </c>
      <c r="O33" s="22">
        <f t="shared" si="138"/>
        <v>4076459.73</v>
      </c>
      <c r="P33" s="22">
        <f t="shared" si="138"/>
        <v>4192320.98</v>
      </c>
      <c r="Q33" s="22">
        <f t="shared" si="138"/>
        <v>9964813.5000000019</v>
      </c>
      <c r="R33" s="22">
        <f t="shared" si="138"/>
        <v>5795168.96</v>
      </c>
      <c r="S33" s="22">
        <f t="shared" si="138"/>
        <v>6626650.8599999994</v>
      </c>
      <c r="T33" s="22">
        <f t="shared" si="138"/>
        <v>3459252.04</v>
      </c>
      <c r="U33" s="22">
        <f t="shared" si="138"/>
        <v>3632567.7600000002</v>
      </c>
      <c r="V33" s="22">
        <f t="shared" si="138"/>
        <v>4436778.3499999996</v>
      </c>
      <c r="W33" s="22">
        <f t="shared" si="138"/>
        <v>4291361.29</v>
      </c>
      <c r="X33" s="22">
        <f t="shared" si="138"/>
        <v>4788729.0999999996</v>
      </c>
      <c r="Y33" s="22">
        <f t="shared" si="138"/>
        <v>0</v>
      </c>
      <c r="Z33" s="22">
        <f t="shared" si="138"/>
        <v>0</v>
      </c>
      <c r="AA33" s="22">
        <f t="shared" si="139"/>
        <v>51264102.57</v>
      </c>
      <c r="AB33" s="118">
        <f t="shared" si="140"/>
        <v>0.88273641466683228</v>
      </c>
      <c r="AC33" s="22">
        <f t="shared" si="141"/>
        <v>2787273.2052000007</v>
      </c>
      <c r="AD33" s="22">
        <f t="shared" si="141"/>
        <v>2724096.8568000006</v>
      </c>
      <c r="AE33" s="22">
        <f t="shared" si="141"/>
        <v>2741526.6779999998</v>
      </c>
      <c r="AF33" s="22">
        <f t="shared" si="141"/>
        <v>2337207.9654000001</v>
      </c>
      <c r="AG33" s="22">
        <f t="shared" si="141"/>
        <v>2630931.9233999997</v>
      </c>
      <c r="AH33" s="22">
        <f t="shared" si="141"/>
        <v>2761825.2815999999</v>
      </c>
      <c r="AI33" s="22">
        <f t="shared" si="141"/>
        <v>2852848.7459999998</v>
      </c>
      <c r="AJ33" s="22">
        <f t="shared" si="141"/>
        <v>2880877.4082000009</v>
      </c>
      <c r="AK33" s="22">
        <f t="shared" si="141"/>
        <v>2951094.3858000003</v>
      </c>
      <c r="AL33" s="22">
        <f t="shared" si="141"/>
        <v>2543494.173</v>
      </c>
      <c r="AM33" s="22">
        <f t="shared" si="141"/>
        <v>2353193.5943999998</v>
      </c>
      <c r="AN33" s="22">
        <f t="shared" si="141"/>
        <v>2825293.0925999996</v>
      </c>
      <c r="AO33" s="22">
        <f t="shared" si="142"/>
        <v>32389663.310400002</v>
      </c>
      <c r="AQ33" s="106">
        <v>1297444.0399999996</v>
      </c>
      <c r="AR33" s="106">
        <v>1465654.2000000002</v>
      </c>
      <c r="AS33" s="106">
        <v>3137334.08</v>
      </c>
      <c r="AT33" s="106">
        <v>993269</v>
      </c>
      <c r="AU33" s="106">
        <v>1486260.9100000004</v>
      </c>
      <c r="AV33" s="106">
        <v>1707649.27</v>
      </c>
      <c r="AW33" s="106">
        <v>2123853.08</v>
      </c>
      <c r="AX33" s="106">
        <v>2401313.52</v>
      </c>
      <c r="AY33" s="106">
        <v>6564030.0279999999</v>
      </c>
      <c r="AZ33" s="106">
        <v>2588360.5699999998</v>
      </c>
      <c r="BA33" s="106">
        <v>5364485.0500000007</v>
      </c>
      <c r="BB33" s="106">
        <v>2920345.09</v>
      </c>
      <c r="BC33" s="106">
        <f t="shared" si="143"/>
        <v>32049998.838</v>
      </c>
      <c r="BD33" s="7" t="str">
        <f t="shared" si="7"/>
        <v>Warranty Parts</v>
      </c>
      <c r="BE33" s="22">
        <f>+VLOOKUP($BD33,'Jan-25'!$A:$J,4,0)</f>
        <v>2558615.17</v>
      </c>
      <c r="BF33" s="22">
        <f>+VLOOKUP($BD33,'Feb-25'!$A:$J,4,0)</f>
        <v>3755948</v>
      </c>
      <c r="BG33" s="22">
        <f>+VLOOKUP($BD33,'Mar-25'!$A:$J,4,0)</f>
        <v>9018030.5600000005</v>
      </c>
      <c r="BH33" s="22">
        <f>+VLOOKUP($BD33,'Apr-25'!$A:$J,4,0)</f>
        <v>4785682.96</v>
      </c>
      <c r="BI33" s="22">
        <f>+VLOOKUP($BD33,'May-25'!$A:$J,4,0)</f>
        <v>3560311.49</v>
      </c>
      <c r="BJ33" s="22">
        <f>+VLOOKUP($BD33,'June-25'!$A:$J,4,0)</f>
        <v>1843594.84</v>
      </c>
      <c r="BK33" s="22">
        <f>+VLOOKUP($BD33,'July-25'!$A:$J,4,0)</f>
        <v>2407715.1</v>
      </c>
      <c r="BL33" s="22">
        <f>+VLOOKUP($BD33,'Aug-25'!$A:$J,4,0)</f>
        <v>3439648.77</v>
      </c>
      <c r="BM33" s="22">
        <f>+VLOOKUP($BD33,'Sep-25'!$A:$J,4,0)</f>
        <v>3106226.5300000003</v>
      </c>
      <c r="BN33" s="22">
        <f>+VLOOKUP($BD33,'Oct-25'!$A:$J,4,0)</f>
        <v>3515340.4400000004</v>
      </c>
      <c r="BO33" s="22">
        <f>+VLOOKUP($BD33,'Nov-25'!$A:$J,4,0)</f>
        <v>0</v>
      </c>
      <c r="BP33" s="22">
        <f>+VLOOKUP($BD33,'Dec-25'!$A:$J,4,0)</f>
        <v>0</v>
      </c>
      <c r="BQ33" s="22">
        <f t="shared" si="144"/>
        <v>37991113.859999999</v>
      </c>
      <c r="BR33" s="118">
        <f t="shared" si="145"/>
        <v>1.3312199339883675</v>
      </c>
      <c r="BS33" s="106">
        <f>+_xlfn.XLOOKUP($BD33,Budget!$A:$A,Budget!AQ:AQ)</f>
        <v>1567596.6900000002</v>
      </c>
      <c r="BT33" s="106">
        <f>+_xlfn.XLOOKUP($BD33,Budget!$A:$A,Budget!AR:AR)</f>
        <v>1533486.6360000006</v>
      </c>
      <c r="BU33" s="106">
        <f>+_xlfn.XLOOKUP($BD33,Budget!$A:$A,Budget!AS:AS)</f>
        <v>1431156.4739999999</v>
      </c>
      <c r="BV33" s="106">
        <f>+_xlfn.XLOOKUP($BD33,Budget!$A:$A,Budget!AT:AT)</f>
        <v>1324613.8223999999</v>
      </c>
      <c r="BW33" s="106">
        <f>+_xlfn.XLOOKUP($BD33,Budget!$A:$A,Budget!AU:AU)</f>
        <v>1468018.7279999999</v>
      </c>
      <c r="BX33" s="106">
        <f>+_xlfn.XLOOKUP($BD33,Budget!$A:$A,Budget!AV:AV)</f>
        <v>1523752.56</v>
      </c>
      <c r="BY33" s="106">
        <f>+_xlfn.XLOOKUP($BD33,Budget!$A:$A,Budget!AW:AW)</f>
        <v>1557924.192</v>
      </c>
      <c r="BZ33" s="106">
        <f>+_xlfn.XLOOKUP($BD33,Budget!$A:$A,Budget!AX:AX)</f>
        <v>1633023.0180000006</v>
      </c>
      <c r="CA33" s="106">
        <f>+_xlfn.XLOOKUP($BD33,Budget!$A:$A,Budget!AY:AY)</f>
        <v>1731471.3900000001</v>
      </c>
      <c r="CB33" s="106">
        <f>+_xlfn.XLOOKUP($BD33,Budget!$A:$A,Budget!AZ:AZ)</f>
        <v>1507940.28</v>
      </c>
      <c r="CC33" s="106">
        <f>+_xlfn.XLOOKUP($BD33,Budget!$A:$A,Budget!BA:BA)</f>
        <v>1206352.2239999999</v>
      </c>
      <c r="CD33" s="106">
        <f>+_xlfn.XLOOKUP($BD33,Budget!$A:$A,Budget!BB:BB)</f>
        <v>1594108.2959999999</v>
      </c>
      <c r="CE33" s="106">
        <f t="shared" si="146"/>
        <v>18079444.310400002</v>
      </c>
      <c r="CF33" s="22"/>
      <c r="CG33" s="43">
        <v>1060623.32</v>
      </c>
      <c r="CH33" s="22">
        <v>1642055.8499999999</v>
      </c>
      <c r="CI33" s="22">
        <v>629920.68999999983</v>
      </c>
      <c r="CJ33" s="22">
        <v>551229.04</v>
      </c>
      <c r="CK33" s="22">
        <v>857286.78</v>
      </c>
      <c r="CL33" s="22">
        <v>3188794.28</v>
      </c>
      <c r="CM33" s="22">
        <v>995480.76</v>
      </c>
      <c r="CN33" s="22">
        <v>1215840.98</v>
      </c>
      <c r="CO33" s="22">
        <v>966521.87199999997</v>
      </c>
      <c r="CP33" s="22">
        <v>549359.38</v>
      </c>
      <c r="CQ33" s="22">
        <v>674467.71</v>
      </c>
      <c r="CR33" s="22">
        <v>875237.48</v>
      </c>
      <c r="CS33" s="106">
        <f t="shared" si="147"/>
        <v>13206818.142000001</v>
      </c>
      <c r="CT33" s="7" t="str">
        <f t="shared" si="11"/>
        <v>Warranty Parts</v>
      </c>
      <c r="CU33" s="22">
        <f>+VLOOKUP($BD33,'Jan-25'!$A:$J,7,0)</f>
        <v>1274652.56</v>
      </c>
      <c r="CV33" s="22">
        <f>+VLOOKUP($BD33,'Feb-25'!$A:$J,7,0)</f>
        <v>337392.2</v>
      </c>
      <c r="CW33" s="22">
        <f>+VLOOKUP($BD33,'Mar-25'!$A:$J,7,0)</f>
        <v>624996.30000000005</v>
      </c>
      <c r="CX33" s="22">
        <f>+VLOOKUP($BD33,'Apr-25'!$A:$J,7,0)</f>
        <v>890704.14</v>
      </c>
      <c r="CY33" s="22">
        <f>+VLOOKUP($BD33,'May-25'!$A:$J,7,0)</f>
        <v>2707176.44</v>
      </c>
      <c r="CZ33" s="22">
        <f>+VLOOKUP($BD33,'June-25'!$A:$J,7,0)</f>
        <v>1444507.03</v>
      </c>
      <c r="DA33" s="22">
        <f>+VLOOKUP($BD33,'July-25'!$A:$J,7,0)</f>
        <v>855358.04</v>
      </c>
      <c r="DB33" s="22">
        <f>+VLOOKUP($BD33,'Aug-25'!$A:$J,7,0)</f>
        <v>516392.99</v>
      </c>
      <c r="DC33" s="22">
        <f>+VLOOKUP($BD33,'Sep-25'!$A:$J,7,0)</f>
        <v>951032.77</v>
      </c>
      <c r="DD33" s="22">
        <f>+VLOOKUP($BD33,'Oct-25'!$A:$J,7,0)</f>
        <v>869122.89000000013</v>
      </c>
      <c r="DE33" s="22">
        <f>+VLOOKUP($BD33,'Nov-25'!$A:$J,7,0)</f>
        <v>0</v>
      </c>
      <c r="DF33" s="22">
        <f>+VLOOKUP($BD33,'Dec-25'!$A:$J,7,0)</f>
        <v>0</v>
      </c>
      <c r="DG33" s="22">
        <f t="shared" si="148"/>
        <v>10471335.360000001</v>
      </c>
      <c r="DH33" s="118">
        <f t="shared" si="149"/>
        <v>-0.16071689182476939</v>
      </c>
      <c r="DI33" s="22">
        <f>+_xlfn.XLOOKUP($CT33,Budget!$A:$A,Budget!CD:CD)</f>
        <v>1219676.5152000003</v>
      </c>
      <c r="DJ33" s="22">
        <f>+_xlfn.XLOOKUP($CT33,Budget!$A:$A,Budget!CE:CE)</f>
        <v>1190610.2208</v>
      </c>
      <c r="DK33" s="22">
        <f>+_xlfn.XLOOKUP($CT33,Budget!$A:$A,Budget!CF:CF)</f>
        <v>1310370.2039999999</v>
      </c>
      <c r="DL33" s="22">
        <f>+_xlfn.XLOOKUP($CT33,Budget!$A:$A,Budget!CG:CG)</f>
        <v>1012594.1429999999</v>
      </c>
      <c r="DM33" s="22">
        <f>+_xlfn.XLOOKUP($CT33,Budget!$A:$A,Budget!CH:CH)</f>
        <v>1162913.1953999999</v>
      </c>
      <c r="DN33" s="22">
        <f>+_xlfn.XLOOKUP($CT33,Budget!$A:$A,Budget!CI:CI)</f>
        <v>1238072.7215999998</v>
      </c>
      <c r="DO33" s="22">
        <f>+_xlfn.XLOOKUP($CT33,Budget!$A:$A,Budget!CJ:CJ)</f>
        <v>1294924.5539999998</v>
      </c>
      <c r="DP33" s="22">
        <f>+_xlfn.XLOOKUP($CT33,Budget!$A:$A,Budget!CK:CK)</f>
        <v>1247854.3902000003</v>
      </c>
      <c r="DQ33" s="22">
        <f>+_xlfn.XLOOKUP($CT33,Budget!$A:$A,Budget!CL:CL)</f>
        <v>1219622.9958000001</v>
      </c>
      <c r="DR33" s="22">
        <f>+_xlfn.XLOOKUP($CT33,Budget!$A:$A,Budget!CM:CM)</f>
        <v>1035553.8929999999</v>
      </c>
      <c r="DS33" s="22">
        <f>+_xlfn.XLOOKUP($CT33,Budget!$A:$A,Budget!CN:CN)</f>
        <v>1146841.3703999999</v>
      </c>
      <c r="DT33" s="22">
        <f>+_xlfn.XLOOKUP($CT33,Budget!$A:$A,Budget!CO:CO)</f>
        <v>1231184.7965999998</v>
      </c>
      <c r="DU33" s="106">
        <f t="shared" si="150"/>
        <v>14310218.999999998</v>
      </c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106">
        <f t="shared" si="151"/>
        <v>0</v>
      </c>
      <c r="EJ33" s="7" t="str">
        <f t="shared" si="71"/>
        <v>Warranty Parts</v>
      </c>
      <c r="EK33" s="22">
        <f>+VLOOKUP($BD33,'Jan-25'!$A:$J,9,0)</f>
        <v>243192</v>
      </c>
      <c r="EL33" s="22">
        <f>+VLOOKUP($BD33,'Feb-25'!$A:$J,9,0)</f>
        <v>98980.78</v>
      </c>
      <c r="EM33" s="22">
        <f>+VLOOKUP($BD33,'Mar-25'!$A:$J,9,0)</f>
        <v>321786.64</v>
      </c>
      <c r="EN33" s="22">
        <f>+VLOOKUP($BD33,'Apr-25'!$A:$J,9,0)</f>
        <v>118781.86</v>
      </c>
      <c r="EO33" s="22">
        <f>+VLOOKUP($BD33,'May-25'!$A:$J,9,0)</f>
        <v>359162.93</v>
      </c>
      <c r="EP33" s="22">
        <f>+VLOOKUP($BD33,'June-25'!$A:$J,9,0)</f>
        <v>171150.17</v>
      </c>
      <c r="EQ33" s="22">
        <f>+VLOOKUP($BD33,'July-25'!$A:$J,9,0)</f>
        <v>369494.62</v>
      </c>
      <c r="ER33" s="22">
        <f>+VLOOKUP($BD33,'Aug-25'!$A:$J,9,0)</f>
        <v>480736.59</v>
      </c>
      <c r="ES33" s="22">
        <f>+VLOOKUP($BD33,'Sep-25'!$A:$J,9,0)</f>
        <v>234101.99</v>
      </c>
      <c r="ET33" s="22">
        <f>+VLOOKUP($BD33,'Oct-25'!$A:$J,9,0)</f>
        <v>404265.76999999996</v>
      </c>
      <c r="EU33" s="22">
        <f>+VLOOKUP($BD33,'Nov-25'!$A:$J,9,0)</f>
        <v>0</v>
      </c>
      <c r="EV33" s="22">
        <f>+VLOOKUP($BD33,'Dec-25'!$A:$J,9,0)</f>
        <v>0</v>
      </c>
      <c r="EW33" s="22">
        <f t="shared" si="152"/>
        <v>2801653.35</v>
      </c>
      <c r="EX33" s="118">
        <f t="shared" si="153"/>
        <v>0</v>
      </c>
      <c r="EY33" s="106">
        <f>+_xlfn.XLOOKUP($EJ33,Budget!$A:$A,Budget!DE:DE)</f>
        <v>0</v>
      </c>
      <c r="EZ33" s="106">
        <f>+_xlfn.XLOOKUP($EJ33,Budget!$A:$A,Budget!DF:DF)</f>
        <v>0</v>
      </c>
      <c r="FA33" s="106">
        <f>+_xlfn.XLOOKUP($EJ33,Budget!$A:$A,Budget!DG:DG)</f>
        <v>0</v>
      </c>
      <c r="FB33" s="106">
        <f>+_xlfn.XLOOKUP($EJ33,Budget!$A:$A,Budget!DH:DH)</f>
        <v>0</v>
      </c>
      <c r="FC33" s="106">
        <f>+_xlfn.XLOOKUP($EJ33,Budget!$A:$A,Budget!DI:DI)</f>
        <v>0</v>
      </c>
      <c r="FD33" s="106">
        <f>+_xlfn.XLOOKUP($EJ33,Budget!$A:$A,Budget!DJ:DJ)</f>
        <v>0</v>
      </c>
      <c r="FE33" s="106">
        <f>+_xlfn.XLOOKUP($EJ33,Budget!$A:$A,Budget!DK:DK)</f>
        <v>0</v>
      </c>
      <c r="FF33" s="106">
        <f>+_xlfn.XLOOKUP($EJ33,Budget!$A:$A,Budget!DL:DL)</f>
        <v>0</v>
      </c>
      <c r="FG33" s="106">
        <f>+_xlfn.XLOOKUP($EJ33,Budget!$A:$A,Budget!DM:DM)</f>
        <v>0</v>
      </c>
      <c r="FH33" s="106">
        <f>+_xlfn.XLOOKUP($EJ33,Budget!$A:$A,Budget!DN:DN)</f>
        <v>0</v>
      </c>
      <c r="FI33" s="106">
        <f>+_xlfn.XLOOKUP($EJ33,Budget!$A:$A,Budget!DO:DO)</f>
        <v>0</v>
      </c>
      <c r="FJ33" s="106">
        <f>+_xlfn.XLOOKUP($EJ33,Budget!$A:$A,Budget!DP:DP)</f>
        <v>0</v>
      </c>
      <c r="FK33" s="106">
        <f t="shared" si="154"/>
        <v>0</v>
      </c>
    </row>
    <row r="34" spans="1:167" ht="14.45" customHeight="1">
      <c r="A34" s="106">
        <f t="shared" si="136"/>
        <v>116704.8</v>
      </c>
      <c r="B34" s="106">
        <f t="shared" si="136"/>
        <v>621355.5</v>
      </c>
      <c r="C34" s="106">
        <f t="shared" si="136"/>
        <v>485198.7</v>
      </c>
      <c r="D34" s="106">
        <f t="shared" si="136"/>
        <v>300793.5</v>
      </c>
      <c r="E34" s="106">
        <f t="shared" si="136"/>
        <v>404654.7</v>
      </c>
      <c r="F34" s="106">
        <f t="shared" si="136"/>
        <v>427433.03</v>
      </c>
      <c r="G34" s="106">
        <f t="shared" si="136"/>
        <v>407081.1</v>
      </c>
      <c r="H34" s="106">
        <f t="shared" si="136"/>
        <v>254504.1</v>
      </c>
      <c r="I34" s="106">
        <f t="shared" si="136"/>
        <v>465538.2</v>
      </c>
      <c r="J34" s="106">
        <f t="shared" si="136"/>
        <v>308984.40000000002</v>
      </c>
      <c r="K34" s="106">
        <f t="shared" si="136"/>
        <v>600061.73</v>
      </c>
      <c r="L34" s="106">
        <f t="shared" si="136"/>
        <v>320163.59999999998</v>
      </c>
      <c r="M34" s="106">
        <f t="shared" si="137"/>
        <v>4712473.3599999994</v>
      </c>
      <c r="N34" s="7" t="s">
        <v>29</v>
      </c>
      <c r="O34" s="22">
        <f t="shared" si="138"/>
        <v>740246.39999999991</v>
      </c>
      <c r="P34" s="22">
        <f t="shared" si="138"/>
        <v>57217.2</v>
      </c>
      <c r="Q34" s="22">
        <f t="shared" si="138"/>
        <v>1482770.6300000001</v>
      </c>
      <c r="R34" s="22">
        <f t="shared" si="138"/>
        <v>1638210.4</v>
      </c>
      <c r="S34" s="22">
        <f t="shared" si="138"/>
        <v>2978382.3</v>
      </c>
      <c r="T34" s="22">
        <f t="shared" si="138"/>
        <v>599895.5</v>
      </c>
      <c r="U34" s="22">
        <f t="shared" si="138"/>
        <v>382592.4</v>
      </c>
      <c r="V34" s="22">
        <f t="shared" si="138"/>
        <v>497054.5</v>
      </c>
      <c r="W34" s="22">
        <f t="shared" si="138"/>
        <v>491488</v>
      </c>
      <c r="X34" s="22">
        <f t="shared" si="138"/>
        <v>762427.4</v>
      </c>
      <c r="Y34" s="22">
        <f t="shared" si="138"/>
        <v>0</v>
      </c>
      <c r="Z34" s="22">
        <f t="shared" si="138"/>
        <v>0</v>
      </c>
      <c r="AA34" s="22">
        <f t="shared" si="139"/>
        <v>9630284.7300000004</v>
      </c>
      <c r="AB34" s="118">
        <f t="shared" si="140"/>
        <v>0.7985354354495704</v>
      </c>
      <c r="AC34" s="22">
        <f t="shared" si="141"/>
        <v>464545.53420000011</v>
      </c>
      <c r="AD34" s="22">
        <f t="shared" si="141"/>
        <v>454016.14280000015</v>
      </c>
      <c r="AE34" s="22">
        <f t="shared" si="141"/>
        <v>456921.11300000001</v>
      </c>
      <c r="AF34" s="22">
        <f t="shared" si="141"/>
        <v>389534.66090000002</v>
      </c>
      <c r="AG34" s="22">
        <f t="shared" si="141"/>
        <v>438488.65390000003</v>
      </c>
      <c r="AH34" s="22">
        <f t="shared" si="141"/>
        <v>460304.21360000002</v>
      </c>
      <c r="AI34" s="22">
        <f t="shared" si="141"/>
        <v>475474.79100000003</v>
      </c>
      <c r="AJ34" s="22">
        <f t="shared" si="141"/>
        <v>480146.2347000002</v>
      </c>
      <c r="AK34" s="22">
        <f t="shared" si="141"/>
        <v>491849.06430000009</v>
      </c>
      <c r="AL34" s="22">
        <f t="shared" si="141"/>
        <v>423915.69550000003</v>
      </c>
      <c r="AM34" s="22">
        <f t="shared" si="141"/>
        <v>392198.93240000005</v>
      </c>
      <c r="AN34" s="22">
        <f t="shared" si="141"/>
        <v>470882.18209999998</v>
      </c>
      <c r="AO34" s="22">
        <f t="shared" si="142"/>
        <v>5398277.2184000015</v>
      </c>
      <c r="AQ34" s="106">
        <v>85780.800000000003</v>
      </c>
      <c r="AR34" s="106">
        <v>348451.2</v>
      </c>
      <c r="AS34" s="106">
        <v>320013</v>
      </c>
      <c r="AT34" s="106">
        <v>222710.39999999999</v>
      </c>
      <c r="AU34" s="106">
        <v>211122</v>
      </c>
      <c r="AV34" s="106">
        <v>241824.6</v>
      </c>
      <c r="AW34" s="106">
        <v>210456</v>
      </c>
      <c r="AX34" s="106">
        <v>186213.6</v>
      </c>
      <c r="AY34" s="106">
        <v>319680</v>
      </c>
      <c r="AZ34" s="106">
        <v>213120</v>
      </c>
      <c r="BA34" s="106">
        <v>444088.8</v>
      </c>
      <c r="BB34" s="106">
        <v>263469.59999999998</v>
      </c>
      <c r="BC34" s="106">
        <f t="shared" si="143"/>
        <v>3066930</v>
      </c>
      <c r="BD34" s="7" t="str">
        <f t="shared" si="7"/>
        <v>Warranty Labour</v>
      </c>
      <c r="BE34" s="22">
        <f>+VLOOKUP($BD34,'Jan-25'!$A:$J,4,0)</f>
        <v>548517.6</v>
      </c>
      <c r="BF34" s="22">
        <f>+VLOOKUP($BD34,'Feb-25'!$A:$J,4,0)</f>
        <v>39693.599999999999</v>
      </c>
      <c r="BG34" s="22">
        <f>+VLOOKUP($BD34,'Mar-25'!$A:$J,4,0)</f>
        <v>1358809.6</v>
      </c>
      <c r="BH34" s="22">
        <f>+VLOOKUP($BD34,'Apr-25'!$A:$J,4,0)</f>
        <v>867111.6</v>
      </c>
      <c r="BI34" s="22">
        <f>+VLOOKUP($BD34,'May-25'!$A:$J,4,0)</f>
        <v>2725840</v>
      </c>
      <c r="BJ34" s="22">
        <f>+VLOOKUP($BD34,'June-25'!$A:$J,4,0)</f>
        <v>394619</v>
      </c>
      <c r="BK34" s="22">
        <f>+VLOOKUP($BD34,'July-25'!$A:$J,4,0)</f>
        <v>220260.6</v>
      </c>
      <c r="BL34" s="22">
        <f>+VLOOKUP($BD34,'Aug-25'!$A:$J,4,0)</f>
        <v>336657</v>
      </c>
      <c r="BM34" s="22">
        <f>+VLOOKUP($BD34,'Sep-25'!$A:$J,4,0)</f>
        <v>354823</v>
      </c>
      <c r="BN34" s="22">
        <f>+VLOOKUP($BD34,'Oct-25'!$A:$J,4,0)</f>
        <v>583274.9</v>
      </c>
      <c r="BO34" s="22">
        <f>+VLOOKUP($BD34,'Nov-25'!$A:$J,4,0)</f>
        <v>0</v>
      </c>
      <c r="BP34" s="22">
        <f>+VLOOKUP($BD34,'Dec-25'!$A:$J,4,0)</f>
        <v>0</v>
      </c>
      <c r="BQ34" s="22">
        <f t="shared" si="144"/>
        <v>7429606.9000000004</v>
      </c>
      <c r="BR34" s="118">
        <f t="shared" si="145"/>
        <v>1.3208143229650977</v>
      </c>
      <c r="BS34" s="106">
        <f>+_xlfn.XLOOKUP($BD34,Budget!$A:$A,Budget!AQ:AQ)</f>
        <v>261266.11500000005</v>
      </c>
      <c r="BT34" s="106">
        <f>+_xlfn.XLOOKUP($BD34,Budget!$A:$A,Budget!AR:AR)</f>
        <v>255581.10600000012</v>
      </c>
      <c r="BU34" s="106">
        <f>+_xlfn.XLOOKUP($BD34,Budget!$A:$A,Budget!AS:AS)</f>
        <v>238526.07900000003</v>
      </c>
      <c r="BV34" s="106">
        <f>+_xlfn.XLOOKUP($BD34,Budget!$A:$A,Budget!AT:AT)</f>
        <v>220768.97039999999</v>
      </c>
      <c r="BW34" s="106">
        <f>+_xlfn.XLOOKUP($BD34,Budget!$A:$A,Budget!AU:AU)</f>
        <v>244669.788</v>
      </c>
      <c r="BX34" s="106">
        <f>+_xlfn.XLOOKUP($BD34,Budget!$A:$A,Budget!AV:AV)</f>
        <v>253958.76</v>
      </c>
      <c r="BY34" s="106">
        <f>+_xlfn.XLOOKUP($BD34,Budget!$A:$A,Budget!AW:AW)</f>
        <v>259654.03200000004</v>
      </c>
      <c r="BZ34" s="106">
        <f>+_xlfn.XLOOKUP($BD34,Budget!$A:$A,Budget!AX:AX)</f>
        <v>272170.50300000014</v>
      </c>
      <c r="CA34" s="106">
        <f>+_xlfn.XLOOKUP($BD34,Budget!$A:$A,Budget!AY:AY)</f>
        <v>288578.56500000006</v>
      </c>
      <c r="CB34" s="106">
        <f>+_xlfn.XLOOKUP($BD34,Budget!$A:$A,Budget!AZ:AZ)</f>
        <v>251323.38000000003</v>
      </c>
      <c r="CC34" s="106">
        <f>+_xlfn.XLOOKUP($BD34,Budget!$A:$A,Budget!BA:BA)</f>
        <v>201058.70400000003</v>
      </c>
      <c r="CD34" s="106">
        <f>+_xlfn.XLOOKUP($BD34,Budget!$A:$A,Budget!BB:BB)</f>
        <v>265684.71599999996</v>
      </c>
      <c r="CE34" s="106">
        <f t="shared" si="146"/>
        <v>3013240.7184000001</v>
      </c>
      <c r="CF34" s="22"/>
      <c r="CG34" s="43">
        <v>30924</v>
      </c>
      <c r="CH34" s="22">
        <v>272904.3</v>
      </c>
      <c r="CI34" s="22">
        <v>165185.70000000001</v>
      </c>
      <c r="CJ34" s="22">
        <v>78083.100000000006</v>
      </c>
      <c r="CK34" s="22">
        <v>193532.7</v>
      </c>
      <c r="CL34" s="22">
        <v>185608.43</v>
      </c>
      <c r="CM34" s="22">
        <v>196625.1</v>
      </c>
      <c r="CN34" s="22">
        <v>68290.5</v>
      </c>
      <c r="CO34" s="22">
        <v>145858.20000000001</v>
      </c>
      <c r="CP34" s="22">
        <v>95864.4</v>
      </c>
      <c r="CQ34" s="22">
        <v>155972.93</v>
      </c>
      <c r="CR34" s="22">
        <v>56694</v>
      </c>
      <c r="CS34" s="106">
        <f t="shared" si="147"/>
        <v>1645543.3599999999</v>
      </c>
      <c r="CT34" s="7" t="str">
        <f t="shared" si="11"/>
        <v>Warranty Labour</v>
      </c>
      <c r="CU34" s="22">
        <f>+VLOOKUP($BD34,'Jan-25'!$A:$J,7,0)</f>
        <v>191728.8</v>
      </c>
      <c r="CV34" s="22">
        <f>+VLOOKUP($BD34,'Feb-25'!$A:$J,7,0)</f>
        <v>17523.599999999999</v>
      </c>
      <c r="CW34" s="22">
        <f>+VLOOKUP($BD34,'Mar-25'!$A:$J,7,0)</f>
        <v>97475.03</v>
      </c>
      <c r="CX34" s="22">
        <f>+VLOOKUP($BD34,'Apr-25'!$A:$J,7,0)</f>
        <v>115042.8</v>
      </c>
      <c r="CY34" s="22">
        <f>+VLOOKUP($BD34,'May-25'!$A:$J,7,0)</f>
        <v>177929.3</v>
      </c>
      <c r="CZ34" s="22">
        <f>+VLOOKUP($BD34,'June-25'!$A:$J,7,0)</f>
        <v>151981.5</v>
      </c>
      <c r="DA34" s="22">
        <f>+VLOOKUP($BD34,'July-25'!$A:$J,7,0)</f>
        <v>72214.8</v>
      </c>
      <c r="DB34" s="22">
        <f>+VLOOKUP($BD34,'Aug-25'!$A:$J,7,0)</f>
        <v>100642.5</v>
      </c>
      <c r="DC34" s="22">
        <f>+VLOOKUP($BD34,'Sep-25'!$A:$J,7,0)</f>
        <v>90153</v>
      </c>
      <c r="DD34" s="22">
        <f>+VLOOKUP($BD34,'Oct-25'!$A:$J,7,0)</f>
        <v>107446.5</v>
      </c>
      <c r="DE34" s="22">
        <f>+VLOOKUP($BD34,'Nov-25'!$A:$J,7,0)</f>
        <v>0</v>
      </c>
      <c r="DF34" s="22">
        <f>+VLOOKUP($BD34,'Dec-25'!$A:$J,7,0)</f>
        <v>0</v>
      </c>
      <c r="DG34" s="22">
        <f t="shared" si="148"/>
        <v>1122137.83</v>
      </c>
      <c r="DH34" s="118">
        <f t="shared" si="149"/>
        <v>-0.37745490180876573</v>
      </c>
      <c r="DI34" s="22">
        <f>+_xlfn.XLOOKUP($CT34,Budget!$A:$A,Budget!CD:CD)</f>
        <v>203279.41920000006</v>
      </c>
      <c r="DJ34" s="22">
        <f>+_xlfn.XLOOKUP($CT34,Budget!$A:$A,Budget!CE:CE)</f>
        <v>198435.03680000003</v>
      </c>
      <c r="DK34" s="22">
        <f>+_xlfn.XLOOKUP($CT34,Budget!$A:$A,Budget!CF:CF)</f>
        <v>218395.03399999999</v>
      </c>
      <c r="DL34" s="22">
        <f>+_xlfn.XLOOKUP($CT34,Budget!$A:$A,Budget!CG:CG)</f>
        <v>168765.69050000003</v>
      </c>
      <c r="DM34" s="22">
        <f>+_xlfn.XLOOKUP($CT34,Budget!$A:$A,Budget!CH:CH)</f>
        <v>193818.8659</v>
      </c>
      <c r="DN34" s="22">
        <f>+_xlfn.XLOOKUP($CT34,Budget!$A:$A,Budget!CI:CI)</f>
        <v>206345.45360000001</v>
      </c>
      <c r="DO34" s="22">
        <f>+_xlfn.XLOOKUP($CT34,Budget!$A:$A,Budget!CJ:CJ)</f>
        <v>215820.75899999999</v>
      </c>
      <c r="DP34" s="22">
        <f>+_xlfn.XLOOKUP($CT34,Budget!$A:$A,Budget!CK:CK)</f>
        <v>207975.73170000006</v>
      </c>
      <c r="DQ34" s="22">
        <f>+_xlfn.XLOOKUP($CT34,Budget!$A:$A,Budget!CL:CL)</f>
        <v>203270.49930000002</v>
      </c>
      <c r="DR34" s="22">
        <f>+_xlfn.XLOOKUP($CT34,Budget!$A:$A,Budget!CM:CM)</f>
        <v>172592.31550000003</v>
      </c>
      <c r="DS34" s="22">
        <f>+_xlfn.XLOOKUP($CT34,Budget!$A:$A,Budget!CN:CN)</f>
        <v>191140.22840000002</v>
      </c>
      <c r="DT34" s="22">
        <f>+_xlfn.XLOOKUP($CT34,Budget!$A:$A,Budget!CO:CO)</f>
        <v>205197.46609999999</v>
      </c>
      <c r="DU34" s="106">
        <f t="shared" si="150"/>
        <v>2385036.5</v>
      </c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106">
        <f t="shared" si="151"/>
        <v>0</v>
      </c>
      <c r="EJ34" s="7" t="str">
        <f t="shared" si="71"/>
        <v>Warranty Labour</v>
      </c>
      <c r="EK34" s="22">
        <f>+VLOOKUP($BD34,'Jan-25'!$A:$J,9,0)</f>
        <v>0</v>
      </c>
      <c r="EL34" s="22">
        <f>+VLOOKUP($BD34,'Feb-25'!$A:$J,9,0)</f>
        <v>0</v>
      </c>
      <c r="EM34" s="22">
        <f>+VLOOKUP($BD34,'Mar-25'!$A:$J,9,0)</f>
        <v>26486</v>
      </c>
      <c r="EN34" s="22">
        <f>+VLOOKUP($BD34,'Apr-25'!$A:$J,9,0)</f>
        <v>656056</v>
      </c>
      <c r="EO34" s="22">
        <f>+VLOOKUP($BD34,'May-25'!$A:$J,9,0)</f>
        <v>74613</v>
      </c>
      <c r="EP34" s="22">
        <f>+VLOOKUP($BD34,'June-25'!$A:$J,9,0)</f>
        <v>53295</v>
      </c>
      <c r="EQ34" s="22">
        <f>+VLOOKUP($BD34,'July-25'!$A:$J,9,0)</f>
        <v>90117</v>
      </c>
      <c r="ER34" s="22">
        <f>+VLOOKUP($BD34,'Aug-25'!$A:$J,9,0)</f>
        <v>59755</v>
      </c>
      <c r="ES34" s="22">
        <f>+VLOOKUP($BD34,'Sep-25'!$A:$J,9,0)</f>
        <v>46512</v>
      </c>
      <c r="ET34" s="22">
        <f>+VLOOKUP($BD34,'Oct-25'!$A:$J,9,0)</f>
        <v>71706</v>
      </c>
      <c r="EU34" s="22">
        <f>+VLOOKUP($BD34,'Nov-25'!$A:$J,9,0)</f>
        <v>0</v>
      </c>
      <c r="EV34" s="22">
        <f>+VLOOKUP($BD34,'Dec-25'!$A:$J,9,0)</f>
        <v>0</v>
      </c>
      <c r="EW34" s="22">
        <f t="shared" si="152"/>
        <v>1078540</v>
      </c>
      <c r="EX34" s="118">
        <f t="shared" si="153"/>
        <v>0</v>
      </c>
      <c r="EY34" s="106">
        <f>+_xlfn.XLOOKUP($EJ34,Budget!$A:$A,Budget!DE:DE)</f>
        <v>0</v>
      </c>
      <c r="EZ34" s="106">
        <f>+_xlfn.XLOOKUP($EJ34,Budget!$A:$A,Budget!DF:DF)</f>
        <v>0</v>
      </c>
      <c r="FA34" s="106">
        <f>+_xlfn.XLOOKUP($EJ34,Budget!$A:$A,Budget!DG:DG)</f>
        <v>0</v>
      </c>
      <c r="FB34" s="106">
        <f>+_xlfn.XLOOKUP($EJ34,Budget!$A:$A,Budget!DH:DH)</f>
        <v>0</v>
      </c>
      <c r="FC34" s="106">
        <f>+_xlfn.XLOOKUP($EJ34,Budget!$A:$A,Budget!DI:DI)</f>
        <v>0</v>
      </c>
      <c r="FD34" s="106">
        <f>+_xlfn.XLOOKUP($EJ34,Budget!$A:$A,Budget!DJ:DJ)</f>
        <v>0</v>
      </c>
      <c r="FE34" s="106">
        <f>+_xlfn.XLOOKUP($EJ34,Budget!$A:$A,Budget!DK:DK)</f>
        <v>0</v>
      </c>
      <c r="FF34" s="106">
        <f>+_xlfn.XLOOKUP($EJ34,Budget!$A:$A,Budget!DL:DL)</f>
        <v>0</v>
      </c>
      <c r="FG34" s="106">
        <f>+_xlfn.XLOOKUP($EJ34,Budget!$A:$A,Budget!DM:DM)</f>
        <v>0</v>
      </c>
      <c r="FH34" s="106">
        <f>+_xlfn.XLOOKUP($EJ34,Budget!$A:$A,Budget!DN:DN)</f>
        <v>0</v>
      </c>
      <c r="FI34" s="106">
        <f>+_xlfn.XLOOKUP($EJ34,Budget!$A:$A,Budget!DO:DO)</f>
        <v>0</v>
      </c>
      <c r="FJ34" s="106">
        <f>+_xlfn.XLOOKUP($EJ34,Budget!$A:$A,Budget!DP:DP)</f>
        <v>0</v>
      </c>
      <c r="FK34" s="106">
        <f t="shared" si="154"/>
        <v>0</v>
      </c>
    </row>
    <row r="35" spans="1:167" ht="14.45" customHeight="1">
      <c r="A35" s="106">
        <f t="shared" si="136"/>
        <v>475961.27999999997</v>
      </c>
      <c r="B35" s="106">
        <f t="shared" si="136"/>
        <v>580892.85</v>
      </c>
      <c r="C35" s="106">
        <f t="shared" si="136"/>
        <v>756699.16999999993</v>
      </c>
      <c r="D35" s="106">
        <f t="shared" si="136"/>
        <v>768157.27999999991</v>
      </c>
      <c r="E35" s="106">
        <f t="shared" si="136"/>
        <v>540240.48</v>
      </c>
      <c r="F35" s="106">
        <f t="shared" si="136"/>
        <v>680318.35</v>
      </c>
      <c r="G35" s="106">
        <f t="shared" si="136"/>
        <v>463228.73000000004</v>
      </c>
      <c r="H35" s="106">
        <f t="shared" si="136"/>
        <v>502265.5</v>
      </c>
      <c r="I35" s="106">
        <f t="shared" si="136"/>
        <v>1284435.06</v>
      </c>
      <c r="J35" s="106">
        <f t="shared" si="136"/>
        <v>462912.32999999996</v>
      </c>
      <c r="K35" s="106">
        <f t="shared" si="136"/>
        <v>642930.04</v>
      </c>
      <c r="L35" s="106">
        <f t="shared" si="136"/>
        <v>496696.42</v>
      </c>
      <c r="M35" s="106">
        <f t="shared" si="137"/>
        <v>7654737.4899999993</v>
      </c>
      <c r="N35" s="7" t="s">
        <v>30</v>
      </c>
      <c r="O35" s="22">
        <f t="shared" si="138"/>
        <v>211620.97</v>
      </c>
      <c r="P35" s="22">
        <f t="shared" si="138"/>
        <v>402740.79000000004</v>
      </c>
      <c r="Q35" s="22">
        <f t="shared" si="138"/>
        <v>668858.42000000004</v>
      </c>
      <c r="R35" s="22">
        <f t="shared" si="138"/>
        <v>682967.24600000004</v>
      </c>
      <c r="S35" s="22">
        <f t="shared" si="138"/>
        <v>1097659.54</v>
      </c>
      <c r="T35" s="22">
        <f t="shared" si="138"/>
        <v>651985.42999999993</v>
      </c>
      <c r="U35" s="22">
        <f t="shared" si="138"/>
        <v>998684.53</v>
      </c>
      <c r="V35" s="22">
        <f t="shared" si="138"/>
        <v>507049.1</v>
      </c>
      <c r="W35" s="22">
        <f t="shared" si="138"/>
        <v>1142882.8</v>
      </c>
      <c r="X35" s="22">
        <f t="shared" si="138"/>
        <v>1040440.6</v>
      </c>
      <c r="Y35" s="22">
        <f t="shared" si="138"/>
        <v>0</v>
      </c>
      <c r="Z35" s="22">
        <f t="shared" si="138"/>
        <v>0</v>
      </c>
      <c r="AA35" s="22">
        <f t="shared" si="139"/>
        <v>7404889.425999999</v>
      </c>
      <c r="AB35" s="118">
        <f t="shared" si="140"/>
        <v>0</v>
      </c>
      <c r="AC35" s="22">
        <f t="shared" si="141"/>
        <v>0</v>
      </c>
      <c r="AD35" s="22">
        <f t="shared" si="141"/>
        <v>0</v>
      </c>
      <c r="AE35" s="22">
        <f t="shared" si="141"/>
        <v>0</v>
      </c>
      <c r="AF35" s="22">
        <f t="shared" si="141"/>
        <v>0</v>
      </c>
      <c r="AG35" s="22">
        <f t="shared" si="141"/>
        <v>0</v>
      </c>
      <c r="AH35" s="22">
        <f t="shared" si="141"/>
        <v>0</v>
      </c>
      <c r="AI35" s="22">
        <f t="shared" si="141"/>
        <v>0</v>
      </c>
      <c r="AJ35" s="22">
        <f t="shared" si="141"/>
        <v>0</v>
      </c>
      <c r="AK35" s="22">
        <f t="shared" si="141"/>
        <v>0</v>
      </c>
      <c r="AL35" s="22">
        <f t="shared" si="141"/>
        <v>0</v>
      </c>
      <c r="AM35" s="22">
        <f t="shared" si="141"/>
        <v>0</v>
      </c>
      <c r="AN35" s="22">
        <f t="shared" si="141"/>
        <v>0</v>
      </c>
      <c r="AO35" s="22">
        <f t="shared" si="142"/>
        <v>0</v>
      </c>
      <c r="AQ35" s="106">
        <v>405435.70999999996</v>
      </c>
      <c r="AR35" s="106">
        <v>312776.71999999997</v>
      </c>
      <c r="AS35" s="106">
        <v>445611.32</v>
      </c>
      <c r="AT35" s="106">
        <v>727204.91999999993</v>
      </c>
      <c r="AU35" s="106">
        <v>215353.95</v>
      </c>
      <c r="AV35" s="106">
        <v>347874.12</v>
      </c>
      <c r="AW35" s="106">
        <v>261126.2</v>
      </c>
      <c r="AX35" s="106">
        <v>399862.92</v>
      </c>
      <c r="AY35" s="106">
        <v>819979.32</v>
      </c>
      <c r="AZ35" s="106">
        <v>300757</v>
      </c>
      <c r="BA35" s="106">
        <v>358729.83999999997</v>
      </c>
      <c r="BB35" s="106">
        <v>371935.99</v>
      </c>
      <c r="BC35" s="106">
        <f t="shared" si="143"/>
        <v>4966648.01</v>
      </c>
      <c r="BD35" s="7" t="str">
        <f t="shared" si="7"/>
        <v>Internal Sales</v>
      </c>
      <c r="BE35" s="22">
        <f>+VLOOKUP($BD35,'Jan-25'!$A:$J,4,0)</f>
        <v>50334.85</v>
      </c>
      <c r="BF35" s="22">
        <f>+VLOOKUP($BD35,'Feb-25'!$A:$J,4,0)</f>
        <v>265017.98</v>
      </c>
      <c r="BG35" s="22">
        <f>+VLOOKUP($BD35,'Mar-25'!$A:$J,4,0)</f>
        <v>639641.80000000005</v>
      </c>
      <c r="BH35" s="22">
        <f>+VLOOKUP($BD35,'Apr-25'!$A:$J,4,0)</f>
        <v>157190.56</v>
      </c>
      <c r="BI35" s="22">
        <f>+VLOOKUP($BD35,'May-25'!$A:$J,4,0)</f>
        <v>891498.91</v>
      </c>
      <c r="BJ35" s="22">
        <f>+VLOOKUP($BD35,'June-25'!$A:$J,4,0)</f>
        <v>468490.17</v>
      </c>
      <c r="BK35" s="22">
        <f>+VLOOKUP($BD35,'July-25'!$A:$J,4,0)</f>
        <v>604172.04</v>
      </c>
      <c r="BL35" s="22">
        <f>+VLOOKUP($BD35,'Aug-25'!$A:$J,4,0)</f>
        <v>353757</v>
      </c>
      <c r="BM35" s="22">
        <f>+VLOOKUP($BD35,'Sep-25'!$A:$J,4,0)</f>
        <v>906249.43</v>
      </c>
      <c r="BN35" s="22">
        <f>+VLOOKUP($BD35,'Oct-25'!$A:$J,4,0)</f>
        <v>648903.65</v>
      </c>
      <c r="BO35" s="22">
        <f>+VLOOKUP($BD35,'Nov-25'!$A:$J,4,0)</f>
        <v>0</v>
      </c>
      <c r="BP35" s="22">
        <f>+VLOOKUP($BD35,'Dec-25'!$A:$J,4,0)</f>
        <v>0</v>
      </c>
      <c r="BQ35" s="22">
        <f t="shared" si="144"/>
        <v>4985256.3900000006</v>
      </c>
      <c r="BR35" s="118">
        <f t="shared" si="145"/>
        <v>0</v>
      </c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>
        <f t="shared" si="146"/>
        <v>0</v>
      </c>
      <c r="CF35" s="22"/>
      <c r="CG35" s="43">
        <v>70525.570000000007</v>
      </c>
      <c r="CH35" s="22">
        <v>268116.13</v>
      </c>
      <c r="CI35" s="22">
        <v>311087.84999999998</v>
      </c>
      <c r="CJ35" s="22">
        <v>40952.36</v>
      </c>
      <c r="CK35" s="22">
        <v>324886.53000000003</v>
      </c>
      <c r="CL35" s="22">
        <v>332444.23</v>
      </c>
      <c r="CM35" s="22">
        <v>202102.53000000003</v>
      </c>
      <c r="CN35" s="22">
        <v>102402.58</v>
      </c>
      <c r="CO35" s="22">
        <v>464455.74</v>
      </c>
      <c r="CP35" s="22">
        <v>162155.32999999999</v>
      </c>
      <c r="CQ35" s="22">
        <v>284200.2</v>
      </c>
      <c r="CR35" s="22">
        <v>124760.43</v>
      </c>
      <c r="CS35" s="106">
        <f t="shared" si="147"/>
        <v>2688089.4800000004</v>
      </c>
      <c r="CT35" s="7" t="str">
        <f t="shared" si="11"/>
        <v>Internal Sales</v>
      </c>
      <c r="CU35" s="22">
        <f>+VLOOKUP($BD35,'Jan-25'!$A:$J,7,0)</f>
        <v>159413.56</v>
      </c>
      <c r="CV35" s="22">
        <f>+VLOOKUP($BD35,'Feb-25'!$A:$J,7,0)</f>
        <v>133546.54</v>
      </c>
      <c r="CW35" s="22">
        <f>+VLOOKUP($BD35,'Mar-25'!$A:$J,7,0)</f>
        <v>29216.62</v>
      </c>
      <c r="CX35" s="22">
        <f>+VLOOKUP($BD35,'Apr-25'!$A:$J,7,0)</f>
        <v>421314.80799999996</v>
      </c>
      <c r="CY35" s="22">
        <f>+VLOOKUP($BD35,'May-25'!$A:$J,7,0)</f>
        <v>165994.35999999999</v>
      </c>
      <c r="CZ35" s="22">
        <f>+VLOOKUP($BD35,'June-25'!$A:$J,7,0)</f>
        <v>51500.990000000005</v>
      </c>
      <c r="DA35" s="22">
        <f>+VLOOKUP($BD35,'July-25'!$A:$J,7,0)</f>
        <v>326863.46999999997</v>
      </c>
      <c r="DB35" s="22">
        <f>+VLOOKUP($BD35,'Aug-25'!$A:$J,7,0)</f>
        <v>22862.6</v>
      </c>
      <c r="DC35" s="22">
        <f>+VLOOKUP($BD35,'Sep-25'!$A:$J,7,0)</f>
        <v>236633.37</v>
      </c>
      <c r="DD35" s="22">
        <f>+VLOOKUP($BD35,'Oct-25'!$A:$J,7,0)</f>
        <v>162002.03999999998</v>
      </c>
      <c r="DE35" s="22">
        <f>+VLOOKUP($BD35,'Nov-25'!$A:$J,7,0)</f>
        <v>0</v>
      </c>
      <c r="DF35" s="22">
        <f>+VLOOKUP($BD35,'Dec-25'!$A:$J,7,0)</f>
        <v>0</v>
      </c>
      <c r="DG35" s="22">
        <f t="shared" si="148"/>
        <v>1709348.358</v>
      </c>
      <c r="DH35" s="118">
        <f t="shared" si="149"/>
        <v>0</v>
      </c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106">
        <f t="shared" si="150"/>
        <v>0</v>
      </c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106">
        <f t="shared" si="151"/>
        <v>0</v>
      </c>
      <c r="EJ35" s="7" t="str">
        <f t="shared" si="71"/>
        <v>Internal Sales</v>
      </c>
      <c r="EK35" s="22">
        <f>+VLOOKUP($BD35,'Jan-25'!$A:$J,9,0)</f>
        <v>1872.56</v>
      </c>
      <c r="EL35" s="22">
        <f>+VLOOKUP($BD35,'Feb-25'!$A:$J,9,0)</f>
        <v>4176.2700000000004</v>
      </c>
      <c r="EM35" s="22">
        <f>+VLOOKUP($BD35,'Mar-25'!$A:$J,9,0)</f>
        <v>0</v>
      </c>
      <c r="EN35" s="22">
        <f>+VLOOKUP($BD35,'Apr-25'!$A:$J,9,0)</f>
        <v>104461.87800000001</v>
      </c>
      <c r="EO35" s="22">
        <f>+VLOOKUP($BD35,'May-25'!$A:$J,9,0)</f>
        <v>40166.269999999997</v>
      </c>
      <c r="EP35" s="22">
        <f>+VLOOKUP($BD35,'June-25'!$A:$J,9,0)</f>
        <v>131994.27000000002</v>
      </c>
      <c r="EQ35" s="22">
        <f>+VLOOKUP($BD35,'July-25'!$A:$J,9,0)</f>
        <v>67649.02</v>
      </c>
      <c r="ER35" s="22">
        <f>+VLOOKUP($BD35,'Aug-25'!$A:$J,9,0)</f>
        <v>130429.5</v>
      </c>
      <c r="ES35" s="22">
        <f>+VLOOKUP($BD35,'Sep-25'!$A:$J,9,0)</f>
        <v>0</v>
      </c>
      <c r="ET35" s="22">
        <f>+VLOOKUP($BD35,'Oct-25'!$A:$J,9,0)</f>
        <v>229534.91000000003</v>
      </c>
      <c r="EU35" s="22">
        <f>+VLOOKUP($BD35,'Nov-25'!$A:$J,9,0)</f>
        <v>0</v>
      </c>
      <c r="EV35" s="22">
        <f>+VLOOKUP($BD35,'Dec-25'!$A:$J,9,0)</f>
        <v>0</v>
      </c>
      <c r="EW35" s="22">
        <f t="shared" si="152"/>
        <v>710284.67800000007</v>
      </c>
      <c r="EX35" s="118">
        <f t="shared" si="153"/>
        <v>0</v>
      </c>
      <c r="EY35" s="106"/>
      <c r="EZ35" s="106"/>
      <c r="FA35" s="106"/>
      <c r="FB35" s="106"/>
      <c r="FC35" s="106"/>
      <c r="FD35" s="106"/>
      <c r="FE35" s="106"/>
      <c r="FF35" s="106"/>
      <c r="FG35" s="106"/>
      <c r="FH35" s="106"/>
      <c r="FI35" s="106"/>
      <c r="FJ35" s="106"/>
      <c r="FK35" s="106">
        <f t="shared" si="154"/>
        <v>0</v>
      </c>
    </row>
    <row r="36" spans="1:167" ht="14.45" customHeight="1">
      <c r="A36" s="106">
        <f t="shared" si="136"/>
        <v>2011629.6099999999</v>
      </c>
      <c r="B36" s="106">
        <f t="shared" si="136"/>
        <v>2366818.13</v>
      </c>
      <c r="C36" s="106">
        <f t="shared" si="136"/>
        <v>2459466.9334381106</v>
      </c>
      <c r="D36" s="106">
        <f t="shared" si="136"/>
        <v>2184377</v>
      </c>
      <c r="E36" s="106">
        <f t="shared" si="136"/>
        <v>1775208.7151697697</v>
      </c>
      <c r="F36" s="106">
        <f t="shared" si="136"/>
        <v>1714035.8753821501</v>
      </c>
      <c r="G36" s="106">
        <f t="shared" si="136"/>
        <v>1849420.5125304409</v>
      </c>
      <c r="H36" s="106">
        <f t="shared" si="136"/>
        <v>1881207.0886339415</v>
      </c>
      <c r="I36" s="106">
        <f t="shared" si="136"/>
        <v>2057451.8877206999</v>
      </c>
      <c r="J36" s="106">
        <f t="shared" si="136"/>
        <v>2019382.9382127142</v>
      </c>
      <c r="K36" s="106">
        <f t="shared" si="136"/>
        <v>1980694.7637627067</v>
      </c>
      <c r="L36" s="106">
        <f t="shared" si="136"/>
        <v>1816696.4888366945</v>
      </c>
      <c r="M36" s="106">
        <f t="shared" si="137"/>
        <v>24116389.943687227</v>
      </c>
      <c r="N36" s="7" t="s">
        <v>31</v>
      </c>
      <c r="O36" s="22">
        <f t="shared" si="138"/>
        <v>1953531.563171868</v>
      </c>
      <c r="P36" s="22">
        <f t="shared" si="138"/>
        <v>2028960.1513850586</v>
      </c>
      <c r="Q36" s="22">
        <f t="shared" si="138"/>
        <v>1847315.6426920434</v>
      </c>
      <c r="R36" s="22">
        <f t="shared" si="138"/>
        <v>1919821.5814100388</v>
      </c>
      <c r="S36" s="22">
        <f t="shared" si="138"/>
        <v>1988266.2984760059</v>
      </c>
      <c r="T36" s="22">
        <f t="shared" si="138"/>
        <v>1887437.4118371306</v>
      </c>
      <c r="U36" s="22">
        <f t="shared" si="138"/>
        <v>2210241.6</v>
      </c>
      <c r="V36" s="22">
        <f t="shared" si="138"/>
        <v>2043928.8910175224</v>
      </c>
      <c r="W36" s="22">
        <f t="shared" si="138"/>
        <v>1806038.1699999997</v>
      </c>
      <c r="X36" s="22">
        <f t="shared" si="138"/>
        <v>2340306.73096513</v>
      </c>
      <c r="Y36" s="22">
        <f t="shared" si="138"/>
        <v>0</v>
      </c>
      <c r="Z36" s="22">
        <f t="shared" si="138"/>
        <v>0</v>
      </c>
      <c r="AA36" s="22">
        <f t="shared" si="139"/>
        <v>20025848.040954798</v>
      </c>
      <c r="AB36" s="118">
        <f t="shared" si="140"/>
        <v>0</v>
      </c>
      <c r="AC36" s="22">
        <f t="shared" si="141"/>
        <v>0</v>
      </c>
      <c r="AD36" s="22">
        <f t="shared" si="141"/>
        <v>0</v>
      </c>
      <c r="AE36" s="22">
        <f t="shared" si="141"/>
        <v>0</v>
      </c>
      <c r="AF36" s="22">
        <f t="shared" si="141"/>
        <v>0</v>
      </c>
      <c r="AG36" s="22">
        <f t="shared" si="141"/>
        <v>0</v>
      </c>
      <c r="AH36" s="22">
        <f t="shared" si="141"/>
        <v>0</v>
      </c>
      <c r="AI36" s="22">
        <f t="shared" si="141"/>
        <v>0</v>
      </c>
      <c r="AJ36" s="22">
        <f t="shared" si="141"/>
        <v>0</v>
      </c>
      <c r="AK36" s="22">
        <f t="shared" si="141"/>
        <v>0</v>
      </c>
      <c r="AL36" s="22">
        <f t="shared" si="141"/>
        <v>0</v>
      </c>
      <c r="AM36" s="22">
        <f t="shared" si="141"/>
        <v>0</v>
      </c>
      <c r="AN36" s="22">
        <f t="shared" si="141"/>
        <v>0</v>
      </c>
      <c r="AO36" s="22">
        <f t="shared" si="142"/>
        <v>0</v>
      </c>
      <c r="AQ36" s="106">
        <v>1122971.3563600334</v>
      </c>
      <c r="AR36" s="106">
        <v>1279084.659797468</v>
      </c>
      <c r="AS36" s="106">
        <v>1406683.516425567</v>
      </c>
      <c r="AT36" s="106">
        <v>1231385.3760882351</v>
      </c>
      <c r="AU36" s="106">
        <v>1047373.1419501642</v>
      </c>
      <c r="AV36" s="106">
        <v>1046169.7276925202</v>
      </c>
      <c r="AW36" s="106">
        <v>1264140.6455185134</v>
      </c>
      <c r="AX36" s="106">
        <v>1507145.8681918907</v>
      </c>
      <c r="AY36" s="106">
        <v>1456160.5367986737</v>
      </c>
      <c r="AZ36" s="106">
        <v>1239208.0772667676</v>
      </c>
      <c r="BA36" s="106">
        <v>1547166.079703514</v>
      </c>
      <c r="BB36" s="106">
        <v>1476653.9646771052</v>
      </c>
      <c r="BC36" s="106">
        <f t="shared" si="143"/>
        <v>15624142.950470449</v>
      </c>
      <c r="BD36" s="7" t="str">
        <f t="shared" si="7"/>
        <v>Starease Sales</v>
      </c>
      <c r="BE36" s="22">
        <f>+VLOOKUP($BD36,'Jan-25'!$A:$J,4,0)</f>
        <v>957844.48942250747</v>
      </c>
      <c r="BF36" s="22">
        <f>+VLOOKUP($BD36,'Feb-25'!$A:$J,4,0)</f>
        <v>1384822.2805381208</v>
      </c>
      <c r="BG36" s="22">
        <f>+VLOOKUP($BD36,'Mar-25'!$A:$J,4,0)</f>
        <v>1225244.3511529523</v>
      </c>
      <c r="BH36" s="22">
        <f>+VLOOKUP($BD36,'Apr-25'!$A:$J,4,0)</f>
        <v>1384051.7945904487</v>
      </c>
      <c r="BI36" s="22">
        <f>+VLOOKUP($BD36,'May-25'!$A:$J,4,0)</f>
        <v>1709327.67605386</v>
      </c>
      <c r="BJ36" s="22">
        <f>+VLOOKUP($BD36,'June-25'!$A:$J,4,0)</f>
        <v>1499987.9916427133</v>
      </c>
      <c r="BK36" s="22">
        <f>+VLOOKUP($BD36,'July-25'!$A:$J,4,0)</f>
        <v>1490862.4301225697</v>
      </c>
      <c r="BL36" s="22">
        <f>+VLOOKUP($BD36,'Aug-25'!$A:$J,4,0)</f>
        <v>1371385.7463129323</v>
      </c>
      <c r="BM36" s="22">
        <f>+VLOOKUP($BD36,'Sep-25'!$A:$J,4,0)</f>
        <v>1394851.8238174487</v>
      </c>
      <c r="BN36" s="22">
        <f>+VLOOKUP($BD36,'Oct-25'!$A:$J,4,0)</f>
        <v>1638214.7116755908</v>
      </c>
      <c r="BO36" s="22">
        <f>+VLOOKUP($BD36,'Nov-25'!$A:$J,4,0)</f>
        <v>0</v>
      </c>
      <c r="BP36" s="22">
        <f>+VLOOKUP($BD36,'Dec-25'!$A:$J,4,0)</f>
        <v>0</v>
      </c>
      <c r="BQ36" s="22">
        <f t="shared" si="144"/>
        <v>14056593.295329146</v>
      </c>
      <c r="BR36" s="118">
        <f t="shared" si="145"/>
        <v>0</v>
      </c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>
        <f t="shared" si="146"/>
        <v>0</v>
      </c>
      <c r="CF36" s="22"/>
      <c r="CG36" s="43">
        <v>888658.25363996648</v>
      </c>
      <c r="CH36" s="22">
        <v>1087733.4702025319</v>
      </c>
      <c r="CI36" s="22">
        <v>1052783.4170125437</v>
      </c>
      <c r="CJ36" s="22">
        <v>952991.62391176505</v>
      </c>
      <c r="CK36" s="22">
        <v>727835.57321960561</v>
      </c>
      <c r="CL36" s="22">
        <v>667866.14768962981</v>
      </c>
      <c r="CM36" s="22">
        <v>585279.86701192753</v>
      </c>
      <c r="CN36" s="22">
        <v>374061.22044205095</v>
      </c>
      <c r="CO36" s="22">
        <v>601291.35092202609</v>
      </c>
      <c r="CP36" s="22">
        <v>780174.86094594642</v>
      </c>
      <c r="CQ36" s="22">
        <v>433528.68405919272</v>
      </c>
      <c r="CR36" s="22">
        <v>340042.52415958943</v>
      </c>
      <c r="CS36" s="106">
        <f t="shared" si="147"/>
        <v>8492246.9932167754</v>
      </c>
      <c r="CT36" s="7" t="str">
        <f t="shared" si="11"/>
        <v>Starease Sales</v>
      </c>
      <c r="CU36" s="22">
        <f>+VLOOKUP($BD36,'Jan-25'!$A:$J,7,0)</f>
        <v>880115.89624966297</v>
      </c>
      <c r="CV36" s="22">
        <f>+VLOOKUP($BD36,'Feb-25'!$A:$J,7,0)</f>
        <v>476861.92524609325</v>
      </c>
      <c r="CW36" s="22">
        <f>+VLOOKUP($BD36,'Mar-25'!$A:$J,7,0)</f>
        <v>622071.29153909127</v>
      </c>
      <c r="CX36" s="22">
        <f>+VLOOKUP($BD36,'Apr-25'!$A:$J,7,0)</f>
        <v>535769.78681959014</v>
      </c>
      <c r="CY36" s="22">
        <f>+VLOOKUP($BD36,'May-25'!$A:$J,7,0)</f>
        <v>278938.62242214597</v>
      </c>
      <c r="CZ36" s="22">
        <f>+VLOOKUP($BD36,'June-25'!$A:$J,7,0)</f>
        <v>309585.06679975166</v>
      </c>
      <c r="DA36" s="22">
        <f>+VLOOKUP($BD36,'July-25'!$A:$J,7,0)</f>
        <v>719379.16987743042</v>
      </c>
      <c r="DB36" s="22">
        <f>+VLOOKUP($BD36,'Aug-25'!$A:$J,7,0)</f>
        <v>672543.14470459009</v>
      </c>
      <c r="DC36" s="22">
        <f>+VLOOKUP($BD36,'Sep-25'!$A:$J,7,0)</f>
        <v>352617.81199805485</v>
      </c>
      <c r="DD36" s="22">
        <f>+VLOOKUP($BD36,'Oct-25'!$A:$J,7,0)</f>
        <v>608479.7500509338</v>
      </c>
      <c r="DE36" s="22">
        <f>+VLOOKUP($BD36,'Nov-25'!$A:$J,7,0)</f>
        <v>0</v>
      </c>
      <c r="DF36" s="22">
        <f>+VLOOKUP($BD36,'Dec-25'!$A:$J,7,0)</f>
        <v>0</v>
      </c>
      <c r="DG36" s="22">
        <f t="shared" si="148"/>
        <v>5456362.4657073449</v>
      </c>
      <c r="DH36" s="118">
        <f t="shared" si="149"/>
        <v>0</v>
      </c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106">
        <f t="shared" si="150"/>
        <v>0</v>
      </c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106">
        <f t="shared" si="151"/>
        <v>0</v>
      </c>
      <c r="EJ36" s="7" t="str">
        <f t="shared" si="71"/>
        <v>Starease Sales</v>
      </c>
      <c r="EK36" s="22">
        <f>+VLOOKUP($BD36,'Jan-25'!$A:$J,9,0)</f>
        <v>115571.17749969746</v>
      </c>
      <c r="EL36" s="22">
        <f>+VLOOKUP($BD36,'Feb-25'!$A:$J,9,0)</f>
        <v>167275.94560084477</v>
      </c>
      <c r="EM36" s="22">
        <f>+VLOOKUP($BD36,'Mar-25'!$A:$J,9,0)</f>
        <v>0</v>
      </c>
      <c r="EN36" s="22">
        <f>+VLOOKUP($BD36,'Apr-25'!$A:$J,9,0)</f>
        <v>0</v>
      </c>
      <c r="EO36" s="22">
        <f>+VLOOKUP($BD36,'May-25'!$A:$J,9,0)</f>
        <v>0</v>
      </c>
      <c r="EP36" s="22">
        <f>+VLOOKUP($BD36,'June-25'!$A:$J,9,0)</f>
        <v>77864.353394665435</v>
      </c>
      <c r="EQ36" s="22">
        <f>+VLOOKUP($BD36,'July-25'!$A:$J,9,0)</f>
        <v>0</v>
      </c>
      <c r="ER36" s="22">
        <f>+VLOOKUP($BD36,'Aug-25'!$A:$J,9,0)</f>
        <v>0</v>
      </c>
      <c r="ES36" s="22">
        <f>+VLOOKUP($BD36,'Sep-25'!$A:$J,9,0)</f>
        <v>58568.534184496151</v>
      </c>
      <c r="ET36" s="22">
        <f>+VLOOKUP($BD36,'Oct-25'!$A:$J,9,0)</f>
        <v>93612.269238605208</v>
      </c>
      <c r="EU36" s="22">
        <f>+VLOOKUP($BD36,'Nov-25'!$A:$J,9,0)</f>
        <v>0</v>
      </c>
      <c r="EV36" s="22">
        <f>+VLOOKUP($BD36,'Dec-25'!$A:$J,9,0)</f>
        <v>0</v>
      </c>
      <c r="EW36" s="22">
        <f t="shared" si="152"/>
        <v>512892.27991830901</v>
      </c>
      <c r="EX36" s="118">
        <f t="shared" si="153"/>
        <v>0</v>
      </c>
      <c r="EY36" s="106"/>
      <c r="EZ36" s="106"/>
      <c r="FA36" s="106"/>
      <c r="FB36" s="106"/>
      <c r="FC36" s="106"/>
      <c r="FD36" s="106"/>
      <c r="FE36" s="106"/>
      <c r="FF36" s="106"/>
      <c r="FG36" s="106"/>
      <c r="FH36" s="106"/>
      <c r="FI36" s="106"/>
      <c r="FJ36" s="106"/>
      <c r="FK36" s="106">
        <f t="shared" si="154"/>
        <v>0</v>
      </c>
    </row>
    <row r="37" spans="1:167" ht="14.45" customHeight="1">
      <c r="A37" s="106">
        <f t="shared" si="136"/>
        <v>178652.71000000002</v>
      </c>
      <c r="B37" s="106">
        <f t="shared" si="136"/>
        <v>168519.85</v>
      </c>
      <c r="C37" s="106">
        <f t="shared" si="136"/>
        <v>272679.86</v>
      </c>
      <c r="D37" s="106">
        <f t="shared" si="136"/>
        <v>106822.07</v>
      </c>
      <c r="E37" s="106">
        <f t="shared" si="136"/>
        <v>94832.22</v>
      </c>
      <c r="F37" s="106">
        <f t="shared" si="136"/>
        <v>177930.33</v>
      </c>
      <c r="G37" s="106">
        <f t="shared" si="136"/>
        <v>273017.48</v>
      </c>
      <c r="H37" s="106">
        <f t="shared" si="136"/>
        <v>162996.84</v>
      </c>
      <c r="I37" s="106">
        <f t="shared" si="136"/>
        <v>36047.5</v>
      </c>
      <c r="J37" s="106">
        <f t="shared" si="136"/>
        <v>120089.5</v>
      </c>
      <c r="K37" s="106">
        <f t="shared" si="136"/>
        <v>201335.65</v>
      </c>
      <c r="L37" s="106">
        <f t="shared" si="136"/>
        <v>1881087.29</v>
      </c>
      <c r="M37" s="106">
        <f t="shared" si="137"/>
        <v>3674011.3</v>
      </c>
      <c r="N37" s="7" t="s">
        <v>32</v>
      </c>
      <c r="O37" s="22">
        <f t="shared" si="138"/>
        <v>173286.69</v>
      </c>
      <c r="P37" s="22">
        <f t="shared" si="138"/>
        <v>117429.45</v>
      </c>
      <c r="Q37" s="22">
        <f t="shared" si="138"/>
        <v>228814.42</v>
      </c>
      <c r="R37" s="22">
        <f t="shared" si="138"/>
        <v>92870.41</v>
      </c>
      <c r="S37" s="22">
        <f t="shared" si="138"/>
        <v>501259.42</v>
      </c>
      <c r="T37" s="22">
        <f t="shared" si="138"/>
        <v>457440.04</v>
      </c>
      <c r="U37" s="22">
        <f t="shared" si="138"/>
        <v>550702.57000000007</v>
      </c>
      <c r="V37" s="22">
        <f t="shared" si="138"/>
        <v>435994.19</v>
      </c>
      <c r="W37" s="22">
        <f t="shared" si="138"/>
        <v>298446.87</v>
      </c>
      <c r="X37" s="22">
        <f t="shared" si="138"/>
        <v>166078.82</v>
      </c>
      <c r="Y37" s="22">
        <f t="shared" si="138"/>
        <v>0</v>
      </c>
      <c r="Z37" s="22">
        <f t="shared" si="138"/>
        <v>0</v>
      </c>
      <c r="AA37" s="22">
        <f t="shared" si="139"/>
        <v>3022322.88</v>
      </c>
      <c r="AB37" s="118">
        <f t="shared" si="140"/>
        <v>0</v>
      </c>
      <c r="AC37" s="22">
        <f t="shared" si="141"/>
        <v>0</v>
      </c>
      <c r="AD37" s="22">
        <f t="shared" si="141"/>
        <v>0</v>
      </c>
      <c r="AE37" s="22">
        <f t="shared" si="141"/>
        <v>0</v>
      </c>
      <c r="AF37" s="22">
        <f t="shared" si="141"/>
        <v>0</v>
      </c>
      <c r="AG37" s="22">
        <f t="shared" si="141"/>
        <v>0</v>
      </c>
      <c r="AH37" s="22">
        <f t="shared" si="141"/>
        <v>0</v>
      </c>
      <c r="AI37" s="22">
        <f t="shared" si="141"/>
        <v>0</v>
      </c>
      <c r="AJ37" s="22">
        <f t="shared" si="141"/>
        <v>0</v>
      </c>
      <c r="AK37" s="22">
        <f t="shared" si="141"/>
        <v>0</v>
      </c>
      <c r="AL37" s="22">
        <f t="shared" si="141"/>
        <v>0</v>
      </c>
      <c r="AM37" s="22">
        <f t="shared" si="141"/>
        <v>0</v>
      </c>
      <c r="AN37" s="22">
        <f t="shared" si="141"/>
        <v>0</v>
      </c>
      <c r="AO37" s="22">
        <f t="shared" si="142"/>
        <v>0</v>
      </c>
      <c r="AQ37" s="106">
        <v>178652.71000000002</v>
      </c>
      <c r="AR37" s="106">
        <v>168519.85</v>
      </c>
      <c r="AS37" s="106">
        <v>272679.86</v>
      </c>
      <c r="AT37" s="106">
        <v>106822.07</v>
      </c>
      <c r="AU37" s="106">
        <v>94832.22</v>
      </c>
      <c r="AV37" s="106">
        <v>177930.33</v>
      </c>
      <c r="AW37" s="106">
        <v>273017.48</v>
      </c>
      <c r="AX37" s="106">
        <v>162996.84</v>
      </c>
      <c r="AY37" s="106">
        <v>36047.5</v>
      </c>
      <c r="AZ37" s="106">
        <v>120089.5</v>
      </c>
      <c r="BA37" s="106">
        <v>201335.65</v>
      </c>
      <c r="BB37" s="106">
        <v>1881087.29</v>
      </c>
      <c r="BC37" s="106">
        <f t="shared" si="143"/>
        <v>3674011.3</v>
      </c>
      <c r="BD37" s="7" t="s">
        <v>32</v>
      </c>
      <c r="BE37" s="22">
        <f>+VLOOKUP($BD37,'Jan-25'!$A:$J,4,0)</f>
        <v>173286.69</v>
      </c>
      <c r="BF37" s="22">
        <f>+VLOOKUP($BD37,'Feb-25'!$A:$J,4,0)</f>
        <v>117429.45</v>
      </c>
      <c r="BG37" s="22">
        <f>+VLOOKUP($BD37,'Mar-25'!$A:$J,4,0)</f>
        <v>228814.42</v>
      </c>
      <c r="BH37" s="22">
        <f>+VLOOKUP($BD37,'Apr-25'!$A:$J,4,0)</f>
        <v>92870.41</v>
      </c>
      <c r="BI37" s="22">
        <f>+VLOOKUP($BD37,'May-25'!$A:$J,4,0)</f>
        <v>501259.42</v>
      </c>
      <c r="BJ37" s="22">
        <f>+VLOOKUP($BD37,'June-25'!$A:$J,4,0)</f>
        <v>457440.04</v>
      </c>
      <c r="BK37" s="22">
        <f>+VLOOKUP($BD37,'July-25'!$A:$J,4,0)</f>
        <v>550702.57000000007</v>
      </c>
      <c r="BL37" s="22">
        <f>+VLOOKUP($BD37,'Aug-25'!$A:$J,4,0)</f>
        <v>435994.19</v>
      </c>
      <c r="BM37" s="22">
        <f>+VLOOKUP($BD37,'Sep-25'!$A:$J,4,0)</f>
        <v>298446.87</v>
      </c>
      <c r="BN37" s="22">
        <f>+VLOOKUP($BD37,'Oct-25'!$A:$J,4,0)</f>
        <v>166078.82</v>
      </c>
      <c r="BO37" s="22">
        <f>+VLOOKUP($BD37,'Nov-25'!$A:$J,4,0)</f>
        <v>0</v>
      </c>
      <c r="BP37" s="22">
        <f>+VLOOKUP($BD37,'Dec-25'!$A:$J,4,0)</f>
        <v>0</v>
      </c>
      <c r="BQ37" s="22">
        <f t="shared" si="144"/>
        <v>3022322.88</v>
      </c>
      <c r="BR37" s="118">
        <f t="shared" si="145"/>
        <v>0</v>
      </c>
      <c r="BS37" s="106"/>
      <c r="BT37" s="106"/>
      <c r="BU37" s="106"/>
      <c r="BV37" s="106"/>
      <c r="BW37" s="106"/>
      <c r="BX37" s="106"/>
      <c r="BY37" s="106"/>
      <c r="BZ37" s="106"/>
      <c r="CA37" s="106"/>
      <c r="CB37" s="106"/>
      <c r="CC37" s="106"/>
      <c r="CD37" s="106"/>
      <c r="CE37" s="106">
        <f t="shared" si="146"/>
        <v>0</v>
      </c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106">
        <f t="shared" si="147"/>
        <v>0</v>
      </c>
      <c r="CT37" s="7" t="str">
        <f t="shared" si="11"/>
        <v>Other star package</v>
      </c>
      <c r="CU37" s="22">
        <f>+VLOOKUP($BD37,'Jan-25'!$A:$J,7,0)</f>
        <v>0</v>
      </c>
      <c r="CV37" s="22">
        <f>+VLOOKUP($BD37,'Feb-25'!$A:$J,7,0)</f>
        <v>0</v>
      </c>
      <c r="CW37" s="22">
        <f>+VLOOKUP($BD37,'Mar-25'!$A:$J,7,0)</f>
        <v>0</v>
      </c>
      <c r="CX37" s="22">
        <f>+VLOOKUP($BD37,'Apr-25'!$A:$J,7,0)</f>
        <v>0</v>
      </c>
      <c r="CY37" s="22">
        <f>+VLOOKUP($BD37,'May-25'!$A:$J,7,0)</f>
        <v>0</v>
      </c>
      <c r="CZ37" s="22">
        <f>+VLOOKUP($BD37,'June-25'!$A:$J,7,0)</f>
        <v>0</v>
      </c>
      <c r="DA37" s="22">
        <f>+VLOOKUP($BD37,'July-25'!$A:$J,7,0)</f>
        <v>0</v>
      </c>
      <c r="DB37" s="22">
        <f>+VLOOKUP($BD37,'Aug-25'!$A:$J,7,0)</f>
        <v>0</v>
      </c>
      <c r="DC37" s="22">
        <f>+VLOOKUP($BD37,'Sep-25'!$A:$J,7,0)</f>
        <v>0</v>
      </c>
      <c r="DD37" s="22">
        <f>+VLOOKUP($BD37,'Oct-25'!$A:$J,7,0)</f>
        <v>0</v>
      </c>
      <c r="DE37" s="22">
        <f>+VLOOKUP($BD37,'Nov-25'!$A:$J,7,0)</f>
        <v>0</v>
      </c>
      <c r="DF37" s="22">
        <f>+VLOOKUP($BD37,'Dec-25'!$A:$J,7,0)</f>
        <v>0</v>
      </c>
      <c r="DG37" s="22">
        <f t="shared" si="148"/>
        <v>0</v>
      </c>
      <c r="DH37" s="118">
        <f t="shared" si="149"/>
        <v>0</v>
      </c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106">
        <f t="shared" si="150"/>
        <v>0</v>
      </c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106">
        <f t="shared" si="151"/>
        <v>0</v>
      </c>
      <c r="EJ37" s="7" t="str">
        <f t="shared" si="71"/>
        <v>Other star package</v>
      </c>
      <c r="EK37" s="22">
        <f>+VLOOKUP($BD37,'Jan-25'!$A:$J,9,0)</f>
        <v>0</v>
      </c>
      <c r="EL37" s="22">
        <f>+VLOOKUP($BD37,'Feb-25'!$A:$J,9,0)</f>
        <v>0</v>
      </c>
      <c r="EM37" s="22">
        <f>+VLOOKUP($BD37,'Mar-25'!$A:$J,9,0)</f>
        <v>0</v>
      </c>
      <c r="EN37" s="22">
        <f>+VLOOKUP($BD37,'Apr-25'!$A:$J,9,0)</f>
        <v>0</v>
      </c>
      <c r="EO37" s="22">
        <f>+VLOOKUP($BD37,'May-25'!$A:$J,9,0)</f>
        <v>0</v>
      </c>
      <c r="EP37" s="22">
        <f>+VLOOKUP($BD37,'June-25'!$A:$J,9,0)</f>
        <v>0</v>
      </c>
      <c r="EQ37" s="22">
        <f>+VLOOKUP($BD37,'July-25'!$A:$J,9,0)</f>
        <v>0</v>
      </c>
      <c r="ER37" s="22">
        <f>+VLOOKUP($BD37,'Aug-25'!$A:$J,9,0)</f>
        <v>0</v>
      </c>
      <c r="ES37" s="22">
        <f>+VLOOKUP($BD37,'Sep-25'!$A:$J,9,0)</f>
        <v>0</v>
      </c>
      <c r="ET37" s="22">
        <f>+VLOOKUP($BD37,'Oct-25'!$A:$J,9,0)</f>
        <v>0</v>
      </c>
      <c r="EU37" s="22">
        <f>+VLOOKUP($BD37,'Nov-25'!$A:$J,9,0)</f>
        <v>0</v>
      </c>
      <c r="EV37" s="22">
        <f>+VLOOKUP($BD37,'Dec-25'!$A:$J,9,0)</f>
        <v>0</v>
      </c>
      <c r="EW37" s="22">
        <f t="shared" si="152"/>
        <v>0</v>
      </c>
      <c r="EX37" s="118">
        <f t="shared" si="153"/>
        <v>0</v>
      </c>
      <c r="EY37" s="106"/>
      <c r="EZ37" s="106"/>
      <c r="FA37" s="106"/>
      <c r="FB37" s="106"/>
      <c r="FC37" s="106"/>
      <c r="FD37" s="106"/>
      <c r="FE37" s="106"/>
      <c r="FF37" s="106"/>
      <c r="FG37" s="106"/>
      <c r="FH37" s="106"/>
      <c r="FI37" s="106"/>
      <c r="FJ37" s="106"/>
      <c r="FK37" s="106">
        <f t="shared" si="154"/>
        <v>0</v>
      </c>
    </row>
    <row r="38" spans="1:167" ht="14.45" customHeight="1">
      <c r="A38" s="59">
        <f>+SUM(A39:A42)</f>
        <v>18364578.140000004</v>
      </c>
      <c r="B38" s="59">
        <f t="shared" ref="B38:M38" si="155">+SUM(B39:B42)</f>
        <v>17069133.774000004</v>
      </c>
      <c r="C38" s="59">
        <f t="shared" si="155"/>
        <v>15841062.992000008</v>
      </c>
      <c r="D38" s="59">
        <f t="shared" si="155"/>
        <v>12772790.561999993</v>
      </c>
      <c r="E38" s="59">
        <f t="shared" si="155"/>
        <v>16395644.835999994</v>
      </c>
      <c r="F38" s="59">
        <f t="shared" si="155"/>
        <v>20144771.577999994</v>
      </c>
      <c r="G38" s="59">
        <f t="shared" si="155"/>
        <v>16892601.336000003</v>
      </c>
      <c r="H38" s="59">
        <f t="shared" si="155"/>
        <v>17106700.695999999</v>
      </c>
      <c r="I38" s="59">
        <f t="shared" si="155"/>
        <v>22719814.112000003</v>
      </c>
      <c r="J38" s="59">
        <f t="shared" si="155"/>
        <v>16028649.896999981</v>
      </c>
      <c r="K38" s="59">
        <f t="shared" si="155"/>
        <v>20245978.118999999</v>
      </c>
      <c r="L38" s="59">
        <f t="shared" si="155"/>
        <v>18312613.312000003</v>
      </c>
      <c r="M38" s="59">
        <f t="shared" si="155"/>
        <v>211894339.35399997</v>
      </c>
      <c r="N38" s="9" t="s">
        <v>33</v>
      </c>
      <c r="O38" s="29">
        <f>+SUM(O39:O42)</f>
        <v>16946415.449999996</v>
      </c>
      <c r="P38" s="29">
        <f t="shared" ref="P38:AA38" si="156">+SUM(P39:P42)</f>
        <v>20442853.754999992</v>
      </c>
      <c r="Q38" s="29">
        <f t="shared" si="156"/>
        <v>23517230.570000004</v>
      </c>
      <c r="R38" s="29">
        <f t="shared" si="156"/>
        <v>17920174.774</v>
      </c>
      <c r="S38" s="29">
        <f t="shared" si="156"/>
        <v>25415547.307999995</v>
      </c>
      <c r="T38" s="29">
        <f t="shared" si="156"/>
        <v>19959889.570000008</v>
      </c>
      <c r="U38" s="29">
        <f t="shared" si="156"/>
        <v>24698862.392000005</v>
      </c>
      <c r="V38" s="29">
        <f t="shared" si="156"/>
        <v>23818625.124000002</v>
      </c>
      <c r="W38" s="29">
        <f t="shared" si="156"/>
        <v>22748601.208000001</v>
      </c>
      <c r="X38" s="29">
        <f t="shared" si="156"/>
        <v>25383057.60800001</v>
      </c>
      <c r="Y38" s="29">
        <f t="shared" si="156"/>
        <v>0</v>
      </c>
      <c r="Z38" s="29">
        <f t="shared" si="156"/>
        <v>0</v>
      </c>
      <c r="AA38" s="29">
        <f t="shared" si="156"/>
        <v>220851257.75899997</v>
      </c>
      <c r="AB38" s="118">
        <f t="shared" si="140"/>
        <v>0.28300110621260455</v>
      </c>
      <c r="AC38" s="29">
        <f>+SUM(AC39:AC42)</f>
        <v>21741421.810779527</v>
      </c>
      <c r="AD38" s="29">
        <f t="shared" ref="AD38:AO38" si="157">+SUM(AD39:AD42)</f>
        <v>21261299.08096353</v>
      </c>
      <c r="AE38" s="29">
        <f t="shared" si="157"/>
        <v>21615260.529763523</v>
      </c>
      <c r="AF38" s="29">
        <f t="shared" si="157"/>
        <v>18752517.267728519</v>
      </c>
      <c r="AG38" s="29">
        <f t="shared" si="157"/>
        <v>21071747.957418524</v>
      </c>
      <c r="AH38" s="29">
        <f t="shared" si="157"/>
        <v>21918812.690327525</v>
      </c>
      <c r="AI38" s="29">
        <f t="shared" si="157"/>
        <v>22832394.072695527</v>
      </c>
      <c r="AJ38" s="29">
        <f t="shared" si="157"/>
        <v>22913022.919384532</v>
      </c>
      <c r="AK38" s="29">
        <f t="shared" si="157"/>
        <v>23249638.678826526</v>
      </c>
      <c r="AL38" s="29">
        <f t="shared" si="157"/>
        <v>19784127.609157193</v>
      </c>
      <c r="AM38" s="29">
        <f t="shared" si="157"/>
        <v>18599586.60208619</v>
      </c>
      <c r="AN38" s="29">
        <f t="shared" si="157"/>
        <v>21764763.26759652</v>
      </c>
      <c r="AO38" s="29">
        <f t="shared" si="157"/>
        <v>255504592.48672771</v>
      </c>
      <c r="AQ38" s="59">
        <f t="shared" ref="AQ38:BC38" si="158">+SUM(AQ39:AQ42)</f>
        <v>10430702.540000001</v>
      </c>
      <c r="AR38" s="59">
        <f t="shared" si="158"/>
        <v>8734869.4299999997</v>
      </c>
      <c r="AS38" s="59">
        <f t="shared" si="158"/>
        <v>9744120.6300000045</v>
      </c>
      <c r="AT38" s="59">
        <f t="shared" si="158"/>
        <v>8731191.2659999952</v>
      </c>
      <c r="AU38" s="59">
        <f t="shared" si="158"/>
        <v>8619252.0799999945</v>
      </c>
      <c r="AV38" s="59">
        <f t="shared" si="158"/>
        <v>10195301.327999998</v>
      </c>
      <c r="AW38" s="59">
        <f t="shared" si="158"/>
        <v>10345608.822000001</v>
      </c>
      <c r="AX38" s="59">
        <f t="shared" si="158"/>
        <v>10784401.25</v>
      </c>
      <c r="AY38" s="59">
        <f t="shared" si="158"/>
        <v>15703025.606000004</v>
      </c>
      <c r="AZ38" s="59">
        <f t="shared" si="158"/>
        <v>11460718.659999982</v>
      </c>
      <c r="BA38" s="59">
        <f t="shared" si="158"/>
        <v>13185385.140000001</v>
      </c>
      <c r="BB38" s="59">
        <f t="shared" si="158"/>
        <v>12937658.652000004</v>
      </c>
      <c r="BC38" s="59">
        <f t="shared" si="158"/>
        <v>130872235.40399998</v>
      </c>
      <c r="BD38" s="9" t="str">
        <f t="shared" si="7"/>
        <v>Cost of Good sold</v>
      </c>
      <c r="BE38" s="29">
        <f t="shared" ref="BE38:BP38" si="159">+SUM(BE39:BE42)</f>
        <v>8905594.089999998</v>
      </c>
      <c r="BF38" s="29">
        <f t="shared" si="159"/>
        <v>11500116.099999994</v>
      </c>
      <c r="BG38" s="29">
        <f t="shared" si="159"/>
        <v>16068047.850000003</v>
      </c>
      <c r="BH38" s="29">
        <f t="shared" si="159"/>
        <v>11592329.450000003</v>
      </c>
      <c r="BI38" s="29">
        <f t="shared" si="159"/>
        <v>14998722.955999995</v>
      </c>
      <c r="BJ38" s="29">
        <f t="shared" si="159"/>
        <v>11476474.712000007</v>
      </c>
      <c r="BK38" s="29">
        <f t="shared" si="159"/>
        <v>14928421.795999993</v>
      </c>
      <c r="BL38" s="29">
        <f t="shared" si="159"/>
        <v>15373717.436000003</v>
      </c>
      <c r="BM38" s="29">
        <f t="shared" si="159"/>
        <v>14561797.674000001</v>
      </c>
      <c r="BN38" s="29">
        <f t="shared" si="159"/>
        <v>14373793.618000012</v>
      </c>
      <c r="BO38" s="29">
        <f t="shared" si="159"/>
        <v>0</v>
      </c>
      <c r="BP38" s="29">
        <f t="shared" si="159"/>
        <v>0</v>
      </c>
      <c r="BQ38" s="29">
        <f t="shared" ref="BQ38" si="160">+SUM(BQ39:BQ42)</f>
        <v>133779015.68200001</v>
      </c>
      <c r="BR38" s="118">
        <f t="shared" si="145"/>
        <v>0.36431092184307018</v>
      </c>
      <c r="BS38" s="59">
        <f t="shared" ref="BS38:CE38" si="161">+SUM(BS39:BS42)</f>
        <v>10840044.459401006</v>
      </c>
      <c r="BT38" s="59">
        <f t="shared" si="161"/>
        <v>10702658.255847007</v>
      </c>
      <c r="BU38" s="59">
        <f t="shared" si="161"/>
        <v>10033983.823185004</v>
      </c>
      <c r="BV38" s="59">
        <f t="shared" si="161"/>
        <v>9336856.2466190029</v>
      </c>
      <c r="BW38" s="59">
        <f t="shared" si="161"/>
        <v>10274609.762731005</v>
      </c>
      <c r="BX38" s="59">
        <f t="shared" si="161"/>
        <v>10639102.308851004</v>
      </c>
      <c r="BY38" s="59">
        <f t="shared" si="161"/>
        <v>10862414.832771005</v>
      </c>
      <c r="BZ38" s="59">
        <f t="shared" si="161"/>
        <v>11353647.45992101</v>
      </c>
      <c r="CA38" s="59">
        <f t="shared" si="161"/>
        <v>11997280.660941007</v>
      </c>
      <c r="CB38" s="59">
        <f t="shared" si="161"/>
        <v>10535570.292571004</v>
      </c>
      <c r="CC38" s="59">
        <f t="shared" si="161"/>
        <v>8563901.7608990073</v>
      </c>
      <c r="CD38" s="59">
        <f t="shared" si="161"/>
        <v>11098904.158763004</v>
      </c>
      <c r="CE38" s="59">
        <f t="shared" si="161"/>
        <v>126238974.02250005</v>
      </c>
      <c r="CF38" s="22"/>
      <c r="CG38" s="29">
        <f t="shared" ref="CG38:CS38" si="162">+SUM(CG39:CG42)</f>
        <v>7933875.6000000061</v>
      </c>
      <c r="CH38" s="29">
        <f t="shared" si="162"/>
        <v>8334264.3440000042</v>
      </c>
      <c r="CI38" s="29">
        <f t="shared" si="162"/>
        <v>6096942.3620000035</v>
      </c>
      <c r="CJ38" s="29">
        <f t="shared" si="162"/>
        <v>4041599.2959999982</v>
      </c>
      <c r="CK38" s="29">
        <f t="shared" si="162"/>
        <v>7776392.7559999991</v>
      </c>
      <c r="CL38" s="29">
        <f t="shared" si="162"/>
        <v>9949470.25</v>
      </c>
      <c r="CM38" s="29">
        <f t="shared" si="162"/>
        <v>6546992.5140000032</v>
      </c>
      <c r="CN38" s="29">
        <f t="shared" si="162"/>
        <v>6322299.4459999995</v>
      </c>
      <c r="CO38" s="29">
        <f t="shared" si="162"/>
        <v>7016788.5059999963</v>
      </c>
      <c r="CP38" s="29">
        <f t="shared" si="162"/>
        <v>4567931.2369999997</v>
      </c>
      <c r="CQ38" s="29">
        <f t="shared" si="162"/>
        <v>7060592.9789999966</v>
      </c>
      <c r="CR38" s="29">
        <f t="shared" si="162"/>
        <v>5374954.6599999983</v>
      </c>
      <c r="CS38" s="59">
        <f t="shared" si="162"/>
        <v>81022103.950000018</v>
      </c>
      <c r="CT38" s="9" t="str">
        <f t="shared" si="11"/>
        <v>Cost of Good sold</v>
      </c>
      <c r="CU38" s="29">
        <f t="shared" ref="CU38:DF38" si="163">+SUM(CU39:CU42)</f>
        <v>6696049.8299999991</v>
      </c>
      <c r="CV38" s="29">
        <f t="shared" si="163"/>
        <v>6086173.205000001</v>
      </c>
      <c r="CW38" s="29">
        <f t="shared" si="163"/>
        <v>5954109.7199999997</v>
      </c>
      <c r="CX38" s="29">
        <f t="shared" si="163"/>
        <v>5137207.3459999971</v>
      </c>
      <c r="CY38" s="29">
        <f t="shared" si="163"/>
        <v>7732626.4700000016</v>
      </c>
      <c r="CZ38" s="29">
        <f t="shared" si="163"/>
        <v>5989670.700000002</v>
      </c>
      <c r="DA38" s="29">
        <f t="shared" si="163"/>
        <v>7187483.0240000105</v>
      </c>
      <c r="DB38" s="29">
        <f t="shared" si="163"/>
        <v>5728954.3639999991</v>
      </c>
      <c r="DC38" s="29">
        <f t="shared" si="163"/>
        <v>6002970.6539999992</v>
      </c>
      <c r="DD38" s="29">
        <f t="shared" si="163"/>
        <v>7904363.2699999977</v>
      </c>
      <c r="DE38" s="29">
        <f t="shared" si="163"/>
        <v>0</v>
      </c>
      <c r="DF38" s="29">
        <f t="shared" si="163"/>
        <v>0</v>
      </c>
      <c r="DG38" s="29">
        <f t="shared" ref="DG38" si="164">+SUM(DG39:DG42)</f>
        <v>64419608.583000004</v>
      </c>
      <c r="DH38" s="118">
        <f t="shared" si="149"/>
        <v>0.10417031472404763</v>
      </c>
      <c r="DI38" s="29">
        <f t="shared" ref="DI38:DU38" si="165">+SUM(DI39:DI42)</f>
        <v>8340795.6718913419</v>
      </c>
      <c r="DJ38" s="29">
        <f t="shared" si="165"/>
        <v>8154183.9456293415</v>
      </c>
      <c r="DK38" s="29">
        <f t="shared" si="165"/>
        <v>8923117.0270913374</v>
      </c>
      <c r="DL38" s="29">
        <f t="shared" si="165"/>
        <v>7011204.1416223403</v>
      </c>
      <c r="DM38" s="29">
        <f t="shared" si="165"/>
        <v>7976348.5152003402</v>
      </c>
      <c r="DN38" s="29">
        <f t="shared" si="165"/>
        <v>8458920.7019893397</v>
      </c>
      <c r="DO38" s="29">
        <f t="shared" si="165"/>
        <v>8823929.5604373384</v>
      </c>
      <c r="DP38" s="29">
        <f t="shared" si="165"/>
        <v>8521745.7799763419</v>
      </c>
      <c r="DQ38" s="29">
        <f t="shared" si="165"/>
        <v>8340495.5383983403</v>
      </c>
      <c r="DR38" s="29">
        <f t="shared" si="165"/>
        <v>7158644.9704323402</v>
      </c>
      <c r="DS38" s="29">
        <f t="shared" si="165"/>
        <v>7873139.93503334</v>
      </c>
      <c r="DT38" s="29">
        <f t="shared" si="165"/>
        <v>8414688.45334634</v>
      </c>
      <c r="DU38" s="59">
        <f t="shared" si="165"/>
        <v>97997214.241048098</v>
      </c>
      <c r="DW38" s="29">
        <f t="shared" ref="DW38:EI38" si="166">+SUM(DW39:DW42)</f>
        <v>0</v>
      </c>
      <c r="DX38" s="29">
        <f t="shared" si="166"/>
        <v>0</v>
      </c>
      <c r="DY38" s="29">
        <f t="shared" si="166"/>
        <v>0</v>
      </c>
      <c r="DZ38" s="29">
        <f t="shared" si="166"/>
        <v>0</v>
      </c>
      <c r="EA38" s="29">
        <f t="shared" si="166"/>
        <v>0</v>
      </c>
      <c r="EB38" s="29">
        <f t="shared" si="166"/>
        <v>0</v>
      </c>
      <c r="EC38" s="29">
        <f t="shared" si="166"/>
        <v>0</v>
      </c>
      <c r="ED38" s="29">
        <f t="shared" si="166"/>
        <v>0</v>
      </c>
      <c r="EE38" s="29">
        <f t="shared" si="166"/>
        <v>0</v>
      </c>
      <c r="EF38" s="29">
        <f t="shared" si="166"/>
        <v>0</v>
      </c>
      <c r="EG38" s="29">
        <f t="shared" si="166"/>
        <v>0</v>
      </c>
      <c r="EH38" s="29">
        <f t="shared" si="166"/>
        <v>0</v>
      </c>
      <c r="EI38" s="59">
        <f t="shared" si="166"/>
        <v>0</v>
      </c>
      <c r="EJ38" s="9" t="str">
        <f t="shared" si="71"/>
        <v>Cost of Good sold</v>
      </c>
      <c r="EK38" s="29">
        <f t="shared" ref="EK38:EV38" si="167">+SUM(EK39:EK42)</f>
        <v>1344771.5299999998</v>
      </c>
      <c r="EL38" s="29">
        <f t="shared" si="167"/>
        <v>2856564.4499999993</v>
      </c>
      <c r="EM38" s="29">
        <f t="shared" si="167"/>
        <v>1495073.0000000002</v>
      </c>
      <c r="EN38" s="29">
        <f t="shared" si="167"/>
        <v>1190637.9779999999</v>
      </c>
      <c r="EO38" s="29">
        <f t="shared" si="167"/>
        <v>2684197.8820000002</v>
      </c>
      <c r="EP38" s="29">
        <f t="shared" si="167"/>
        <v>2493744.1580000003</v>
      </c>
      <c r="EQ38" s="29">
        <f t="shared" si="167"/>
        <v>2582957.5720000002</v>
      </c>
      <c r="ER38" s="29">
        <f t="shared" si="167"/>
        <v>2715953.324</v>
      </c>
      <c r="ES38" s="29">
        <f t="shared" si="167"/>
        <v>2183832.88</v>
      </c>
      <c r="ET38" s="29">
        <f t="shared" si="167"/>
        <v>3104900.72</v>
      </c>
      <c r="EU38" s="29">
        <f t="shared" si="167"/>
        <v>0</v>
      </c>
      <c r="EV38" s="29">
        <f t="shared" si="167"/>
        <v>0</v>
      </c>
      <c r="EW38" s="29">
        <f t="shared" ref="EW38" si="168">+SUM(EW39:EW42)</f>
        <v>22652633.493999999</v>
      </c>
      <c r="EX38" s="118">
        <f t="shared" si="153"/>
        <v>0.48566073869752474</v>
      </c>
      <c r="EY38" s="59">
        <f t="shared" ref="EY38:FK38" si="169">+SUM(EY39:EY42)</f>
        <v>2560581.6794871795</v>
      </c>
      <c r="EZ38" s="59">
        <f t="shared" si="169"/>
        <v>2404456.8794871797</v>
      </c>
      <c r="FA38" s="59">
        <f t="shared" si="169"/>
        <v>2658159.6794871795</v>
      </c>
      <c r="FB38" s="59">
        <f t="shared" si="169"/>
        <v>2404456.8794871797</v>
      </c>
      <c r="FC38" s="59">
        <f t="shared" si="169"/>
        <v>2820789.6794871795</v>
      </c>
      <c r="FD38" s="59">
        <f t="shared" si="169"/>
        <v>2820789.6794871795</v>
      </c>
      <c r="FE38" s="59">
        <f t="shared" si="169"/>
        <v>3146049.6794871795</v>
      </c>
      <c r="FF38" s="59">
        <f t="shared" si="169"/>
        <v>3037629.6794871795</v>
      </c>
      <c r="FG38" s="59">
        <f t="shared" si="169"/>
        <v>2911862.4794871793</v>
      </c>
      <c r="FH38" s="59">
        <f t="shared" si="169"/>
        <v>2089912.3461538462</v>
      </c>
      <c r="FI38" s="59">
        <f t="shared" si="169"/>
        <v>2162544.9061538465</v>
      </c>
      <c r="FJ38" s="59">
        <f t="shared" si="169"/>
        <v>2251170.6554871793</v>
      </c>
      <c r="FK38" s="59">
        <f t="shared" si="169"/>
        <v>31268404.223179482</v>
      </c>
    </row>
    <row r="39" spans="1:167" ht="14.45" customHeight="1">
      <c r="A39" s="106">
        <f t="shared" si="136"/>
        <v>17028658.810000006</v>
      </c>
      <c r="B39" s="106">
        <f t="shared" si="136"/>
        <v>15877177.520000003</v>
      </c>
      <c r="C39" s="106">
        <f t="shared" si="136"/>
        <v>14630925.810000008</v>
      </c>
      <c r="D39" s="106">
        <f t="shared" si="136"/>
        <v>11596819.639999993</v>
      </c>
      <c r="E39" s="106">
        <f t="shared" si="136"/>
        <v>14859175.299999993</v>
      </c>
      <c r="F39" s="106">
        <f t="shared" si="136"/>
        <v>18831903.709999997</v>
      </c>
      <c r="G39" s="106">
        <f t="shared" si="136"/>
        <v>15693093.490000004</v>
      </c>
      <c r="H39" s="106">
        <f t="shared" si="136"/>
        <v>16270442.1</v>
      </c>
      <c r="I39" s="106">
        <f t="shared" si="136"/>
        <v>20869844.57</v>
      </c>
      <c r="J39" s="106">
        <f t="shared" si="136"/>
        <v>14302727.409999982</v>
      </c>
      <c r="K39" s="106">
        <f t="shared" si="136"/>
        <v>18608224.399999999</v>
      </c>
      <c r="L39" s="106">
        <f t="shared" si="136"/>
        <v>17035373.270000003</v>
      </c>
      <c r="M39" s="106">
        <f t="shared" si="137"/>
        <v>195604366.02999997</v>
      </c>
      <c r="N39" s="7" t="s">
        <v>34</v>
      </c>
      <c r="O39" s="22">
        <f t="shared" ref="O39:Z42" si="170">+BE39+CU39+EK39</f>
        <v>15054821.329999996</v>
      </c>
      <c r="P39" s="22">
        <f t="shared" si="170"/>
        <v>18477423.679999992</v>
      </c>
      <c r="Q39" s="22">
        <f t="shared" si="170"/>
        <v>21738798.670000002</v>
      </c>
      <c r="R39" s="22">
        <f t="shared" si="170"/>
        <v>16270106.390000001</v>
      </c>
      <c r="S39" s="22">
        <f t="shared" si="170"/>
        <v>23164203.809999995</v>
      </c>
      <c r="T39" s="22">
        <f t="shared" si="170"/>
        <v>17671545.820000008</v>
      </c>
      <c r="U39" s="22">
        <f t="shared" si="170"/>
        <v>21995814.360000003</v>
      </c>
      <c r="V39" s="22">
        <f t="shared" si="170"/>
        <v>21611506.630000003</v>
      </c>
      <c r="W39" s="22">
        <f t="shared" si="170"/>
        <v>21030522.73</v>
      </c>
      <c r="X39" s="22">
        <f t="shared" si="170"/>
        <v>23175384.910000011</v>
      </c>
      <c r="Y39" s="22">
        <f t="shared" si="170"/>
        <v>0</v>
      </c>
      <c r="Z39" s="22">
        <f t="shared" si="170"/>
        <v>0</v>
      </c>
      <c r="AA39" s="22">
        <f t="shared" ref="AA39:AA42" si="171">+SUM(O39:Z39)</f>
        <v>200190128.32999998</v>
      </c>
      <c r="AB39" s="118">
        <f t="shared" si="140"/>
        <v>0.32112626321565385</v>
      </c>
      <c r="AC39" s="22">
        <f t="shared" ref="AC39:AN42" si="172">+BS39+DI39+EY39</f>
        <v>19408296.388800003</v>
      </c>
      <c r="AD39" s="22">
        <f t="shared" si="172"/>
        <v>18953038.008800007</v>
      </c>
      <c r="AE39" s="22">
        <f t="shared" si="172"/>
        <v>19291891.168400001</v>
      </c>
      <c r="AF39" s="22">
        <f t="shared" si="172"/>
        <v>16560757.016239999</v>
      </c>
      <c r="AG39" s="22">
        <f t="shared" si="172"/>
        <v>18775536.9604</v>
      </c>
      <c r="AH39" s="22">
        <f t="shared" si="172"/>
        <v>19583180.806400001</v>
      </c>
      <c r="AI39" s="22">
        <f t="shared" si="172"/>
        <v>20457039.655200001</v>
      </c>
      <c r="AJ39" s="22">
        <f t="shared" si="172"/>
        <v>20533006.785600007</v>
      </c>
      <c r="AK39" s="22">
        <f t="shared" si="172"/>
        <v>20853226.279200003</v>
      </c>
      <c r="AL39" s="22">
        <f t="shared" si="172"/>
        <v>17542142.303333335</v>
      </c>
      <c r="AM39" s="22">
        <f t="shared" si="172"/>
        <v>16412382.773333335</v>
      </c>
      <c r="AN39" s="22">
        <f t="shared" si="172"/>
        <v>19432071.709999997</v>
      </c>
      <c r="AO39" s="22">
        <f t="shared" ref="AO39:AO42" si="173">+SUM(AC39:AN39)</f>
        <v>227802569.85570675</v>
      </c>
      <c r="AQ39" s="106">
        <v>9427713.2100000009</v>
      </c>
      <c r="AR39" s="106">
        <v>8039501.2999999998</v>
      </c>
      <c r="AS39" s="106">
        <v>8915887.2900000047</v>
      </c>
      <c r="AT39" s="106">
        <v>7856333.0799999954</v>
      </c>
      <c r="AU39" s="106">
        <v>7579596.3399999952</v>
      </c>
      <c r="AV39" s="106">
        <v>9321169.0799999963</v>
      </c>
      <c r="AW39" s="106">
        <v>9471726.9900000002</v>
      </c>
      <c r="AX39" s="106">
        <v>10105182.93</v>
      </c>
      <c r="AY39" s="106">
        <v>14383761.368000004</v>
      </c>
      <c r="AZ39" s="106">
        <v>10137997.673999982</v>
      </c>
      <c r="BA39" s="106">
        <v>11843997.830000002</v>
      </c>
      <c r="BB39" s="106">
        <v>12189699.170000004</v>
      </c>
      <c r="BC39" s="106">
        <f t="shared" ref="BC39:BC42" si="174">+SUM(AQ39:BB39)</f>
        <v>119272566.26199998</v>
      </c>
      <c r="BD39" s="7" t="str">
        <f t="shared" si="7"/>
        <v>Cost  of Goods Sold - Parts and Consumables</v>
      </c>
      <c r="BE39" s="22">
        <f>+VLOOKUP($BD39,'Jan-25'!$A:$J,4,0)</f>
        <v>7664598.9699999988</v>
      </c>
      <c r="BF39" s="22">
        <f>+VLOOKUP($BD39,'Feb-25'!$A:$J,4,0)</f>
        <v>10313236.199999994</v>
      </c>
      <c r="BG39" s="22">
        <f>+VLOOKUP($BD39,'Mar-25'!$A:$J,4,0)</f>
        <v>14927165.180000003</v>
      </c>
      <c r="BH39" s="22">
        <f>+VLOOKUP($BD39,'Apr-25'!$A:$J,4,0)</f>
        <v>10711025.320000002</v>
      </c>
      <c r="BI39" s="22">
        <f>+VLOOKUP($BD39,'May-25'!$A:$J,4,0)</f>
        <v>13383974.249999994</v>
      </c>
      <c r="BJ39" s="22">
        <f>+VLOOKUP($BD39,'June-25'!$A:$J,4,0)</f>
        <v>9925547.1300000064</v>
      </c>
      <c r="BK39" s="22">
        <f>+VLOOKUP($BD39,'July-25'!$A:$J,4,0)</f>
        <v>13143352.999999993</v>
      </c>
      <c r="BL39" s="22">
        <f>+VLOOKUP($BD39,'Aug-25'!$A:$J,4,0)</f>
        <v>13869870.800000003</v>
      </c>
      <c r="BM39" s="22">
        <f>+VLOOKUP($BD39,'Sep-25'!$A:$J,4,0)</f>
        <v>13504468.51</v>
      </c>
      <c r="BN39" s="22">
        <f>+VLOOKUP($BD39,'Oct-25'!$A:$J,4,0)</f>
        <v>13009454.220000012</v>
      </c>
      <c r="BO39" s="22">
        <f>+VLOOKUP($BD39,'Nov-25'!$A:$J,4,0)</f>
        <v>0</v>
      </c>
      <c r="BP39" s="22">
        <f>+VLOOKUP($BD39,'Dec-25'!$A:$J,4,0)</f>
        <v>0</v>
      </c>
      <c r="BQ39" s="22">
        <f t="shared" ref="BQ39:BQ42" si="175">+SUM(BE39:BP39)</f>
        <v>120452693.58</v>
      </c>
      <c r="BR39" s="118">
        <f t="shared" si="145"/>
        <v>0.38338640821711034</v>
      </c>
      <c r="BS39" s="106">
        <f>+_xlfn.XLOOKUP($BD39,Budget!$A:$A,Budget!AQ:AQ)</f>
        <v>9690597.7200000025</v>
      </c>
      <c r="BT39" s="106">
        <f>+_xlfn.XLOOKUP($BD39,Budget!$A:$A,Budget!AR:AR)</f>
        <v>9563380.2936000042</v>
      </c>
      <c r="BU39" s="106">
        <f>+_xlfn.XLOOKUP($BD39,Budget!$A:$A,Budget!AS:AS)</f>
        <v>8925212.192400001</v>
      </c>
      <c r="BV39" s="106">
        <f>+_xlfn.XLOOKUP($BD39,Budget!$A:$A,Budget!AT:AT)</f>
        <v>8260773.4742399985</v>
      </c>
      <c r="BW39" s="106">
        <f>+_xlfn.XLOOKUP($BD39,Budget!$A:$A,Budget!AU:AU)</f>
        <v>9155098.6128000002</v>
      </c>
      <c r="BX39" s="106">
        <f>+_xlfn.XLOOKUP($BD39,Budget!$A:$A,Budget!AV:AV)</f>
        <v>9502675.0559999999</v>
      </c>
      <c r="BY39" s="106">
        <f>+_xlfn.XLOOKUP($BD39,Budget!$A:$A,Budget!AW:AW)</f>
        <v>9715781.7792000007</v>
      </c>
      <c r="BZ39" s="106">
        <f>+_xlfn.XLOOKUP($BD39,Budget!$A:$A,Budget!AX:AX)</f>
        <v>10184125.366800005</v>
      </c>
      <c r="CA39" s="106">
        <f>+_xlfn.XLOOKUP($BD39,Budget!$A:$A,Budget!AY:AY)</f>
        <v>10798085.214000002</v>
      </c>
      <c r="CB39" s="106">
        <f>+_xlfn.XLOOKUP($BD39,Budget!$A:$A,Budget!AZ:AZ)</f>
        <v>9404063.9280000012</v>
      </c>
      <c r="CC39" s="106">
        <f>+_xlfn.XLOOKUP($BD39,Budget!$A:$A,Budget!BA:BA)</f>
        <v>7523251.1424000012</v>
      </c>
      <c r="CD39" s="106">
        <f>+_xlfn.XLOOKUP($BD39,Budget!$A:$A,Budget!BB:BB)</f>
        <v>9941439.0096000005</v>
      </c>
      <c r="CE39" s="106">
        <f t="shared" ref="CE39:CE42" si="176">+SUM(BS39:CD39)</f>
        <v>112664483.78904001</v>
      </c>
      <c r="CF39" s="22"/>
      <c r="CG39" s="22">
        <v>7600945.6000000061</v>
      </c>
      <c r="CH39" s="22">
        <v>7837676.2200000044</v>
      </c>
      <c r="CI39" s="22">
        <v>5715038.5200000033</v>
      </c>
      <c r="CJ39" s="22">
        <v>3740486.5599999982</v>
      </c>
      <c r="CK39" s="22">
        <v>7279578.959999999</v>
      </c>
      <c r="CL39" s="22">
        <v>9510734.6300000008</v>
      </c>
      <c r="CM39" s="22">
        <v>6221366.5000000037</v>
      </c>
      <c r="CN39" s="22">
        <v>6165259.1699999999</v>
      </c>
      <c r="CO39" s="22">
        <v>6486083.2019999959</v>
      </c>
      <c r="CP39" s="22">
        <v>4164729.7359999996</v>
      </c>
      <c r="CQ39" s="22">
        <v>6764226.5699999966</v>
      </c>
      <c r="CR39" s="22">
        <v>4845674.0999999987</v>
      </c>
      <c r="CS39" s="106">
        <f t="shared" ref="CS39:CS42" si="177">+SUM(CG39:CR39)</f>
        <v>76331799.768000007</v>
      </c>
      <c r="CT39" s="7" t="str">
        <f t="shared" si="11"/>
        <v>Cost  of Goods Sold - Parts and Consumables</v>
      </c>
      <c r="CU39" s="22">
        <f>+VLOOKUP($BD39,'Jan-25'!$A:$J,7,0)</f>
        <v>6191837.8299999991</v>
      </c>
      <c r="CV39" s="22">
        <f>+VLOOKUP($BD39,'Feb-25'!$A:$J,7,0)</f>
        <v>5621409.9500000011</v>
      </c>
      <c r="CW39" s="22">
        <f>+VLOOKUP($BD39,'Mar-25'!$A:$J,7,0)</f>
        <v>5481002.04</v>
      </c>
      <c r="CX39" s="22">
        <f>+VLOOKUP($BD39,'Apr-25'!$A:$J,7,0)</f>
        <v>4675930.4999999972</v>
      </c>
      <c r="CY39" s="22">
        <f>+VLOOKUP($BD39,'May-25'!$A:$J,7,0)</f>
        <v>7351759.1500000013</v>
      </c>
      <c r="CZ39" s="22">
        <f>+VLOOKUP($BD39,'June-25'!$A:$J,7,0)</f>
        <v>5532289.700000002</v>
      </c>
      <c r="DA39" s="22">
        <f>+VLOOKUP($BD39,'July-25'!$A:$J,7,0)</f>
        <v>6584609.6700000102</v>
      </c>
      <c r="DB39" s="22">
        <f>+VLOOKUP($BD39,'Aug-25'!$A:$J,7,0)</f>
        <v>5358972.6599999992</v>
      </c>
      <c r="DC39" s="22">
        <f>+VLOOKUP($BD39,'Sep-25'!$A:$J,7,0)</f>
        <v>5555207.9399999995</v>
      </c>
      <c r="DD39" s="22">
        <f>+VLOOKUP($BD39,'Oct-25'!$A:$J,7,0)</f>
        <v>7309894.9499999974</v>
      </c>
      <c r="DE39" s="22">
        <f>+VLOOKUP($BD39,'Nov-25'!$A:$J,7,0)</f>
        <v>0</v>
      </c>
      <c r="DF39" s="22">
        <f>+VLOOKUP($BD39,'Dec-25'!$A:$J,7,0)</f>
        <v>0</v>
      </c>
      <c r="DG39" s="22">
        <f t="shared" ref="DG39:DG42" si="178">+SUM(CU39:DF39)</f>
        <v>59662914.390000001</v>
      </c>
      <c r="DH39" s="118">
        <f t="shared" si="149"/>
        <v>0.1531903527481745</v>
      </c>
      <c r="DI39" s="22">
        <f>+_xlfn.XLOOKUP($CT39,Budget!$A:$A,Budget!CD:CD)</f>
        <v>7465898.668800002</v>
      </c>
      <c r="DJ39" s="22">
        <f>+_xlfn.XLOOKUP($CT39,Budget!$A:$A,Budget!CE:CE)</f>
        <v>7287977.7152000014</v>
      </c>
      <c r="DK39" s="22">
        <f>+_xlfn.XLOOKUP($CT39,Budget!$A:$A,Budget!CF:CF)</f>
        <v>8021053.9759999989</v>
      </c>
      <c r="DL39" s="22">
        <f>+_xlfn.XLOOKUP($CT39,Budget!$A:$A,Budget!CG:CG)</f>
        <v>6198303.5420000004</v>
      </c>
      <c r="DM39" s="22">
        <f>+_xlfn.XLOOKUP($CT39,Budget!$A:$A,Budget!CH:CH)</f>
        <v>7118438.3476</v>
      </c>
      <c r="DN39" s="22">
        <f>+_xlfn.XLOOKUP($CT39,Budget!$A:$A,Budget!CI:CI)</f>
        <v>7578505.7503999993</v>
      </c>
      <c r="DO39" s="22">
        <f>+_xlfn.XLOOKUP($CT39,Budget!$A:$A,Budget!CJ:CJ)</f>
        <v>7926507.8759999992</v>
      </c>
      <c r="DP39" s="22">
        <f>+_xlfn.XLOOKUP($CT39,Budget!$A:$A,Budget!CK:CK)</f>
        <v>7638381.418800002</v>
      </c>
      <c r="DQ39" s="22">
        <f>+_xlfn.XLOOKUP($CT39,Budget!$A:$A,Budget!CL:CL)</f>
        <v>7465571.065200001</v>
      </c>
      <c r="DR39" s="22">
        <f>+_xlfn.XLOOKUP($CT39,Budget!$A:$A,Budget!CM:CM)</f>
        <v>6338845.0420000004</v>
      </c>
      <c r="DS39" s="22">
        <f>+_xlfn.XLOOKUP($CT39,Budget!$A:$A,Budget!CN:CN)</f>
        <v>7020059.2976000002</v>
      </c>
      <c r="DT39" s="22">
        <f>+_xlfn.XLOOKUP($CT39,Budget!$A:$A,Budget!CO:CO)</f>
        <v>7536343.3003999991</v>
      </c>
      <c r="DU39" s="106">
        <f t="shared" ref="DU39:DU42" si="179">+SUM(DI39:DT39)</f>
        <v>87595886.000000015</v>
      </c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106">
        <f t="shared" ref="EI39:EI42" si="180">+SUM(DW39:EH39)</f>
        <v>0</v>
      </c>
      <c r="EJ39" s="7" t="str">
        <f t="shared" si="71"/>
        <v>Cost  of Goods Sold - Parts and Consumables</v>
      </c>
      <c r="EK39" s="22">
        <f>+VLOOKUP($BD39,'Jan-25'!$A:$J,9,0)</f>
        <v>1198384.5299999998</v>
      </c>
      <c r="EL39" s="22">
        <f>+VLOOKUP($BD39,'Feb-25'!$A:$J,9,0)</f>
        <v>2542777.5299999993</v>
      </c>
      <c r="EM39" s="22">
        <f>+VLOOKUP($BD39,'Mar-25'!$A:$J,9,0)</f>
        <v>1330631.4500000002</v>
      </c>
      <c r="EN39" s="22">
        <f>+VLOOKUP($BD39,'Apr-25'!$A:$J,9,0)</f>
        <v>883150.57</v>
      </c>
      <c r="EO39" s="22">
        <f>+VLOOKUP($BD39,'May-25'!$A:$J,9,0)</f>
        <v>2428470.41</v>
      </c>
      <c r="EP39" s="22">
        <f>+VLOOKUP($BD39,'June-25'!$A:$J,9,0)</f>
        <v>2213708.9900000002</v>
      </c>
      <c r="EQ39" s="22">
        <f>+VLOOKUP($BD39,'July-25'!$A:$J,9,0)</f>
        <v>2267851.69</v>
      </c>
      <c r="ER39" s="22">
        <f>+VLOOKUP($BD39,'Aug-25'!$A:$J,9,0)</f>
        <v>2382663.17</v>
      </c>
      <c r="ES39" s="22">
        <f>+VLOOKUP($BD39,'Sep-25'!$A:$J,9,0)</f>
        <v>1970846.2799999998</v>
      </c>
      <c r="ET39" s="22">
        <f>+VLOOKUP($BD39,'Oct-25'!$A:$J,9,0)</f>
        <v>2856035.74</v>
      </c>
      <c r="EU39" s="22">
        <f>+VLOOKUP($BD39,'Nov-25'!$A:$J,9,0)</f>
        <v>0</v>
      </c>
      <c r="EV39" s="22">
        <f>+VLOOKUP($BD39,'Dec-25'!$A:$J,9,0)</f>
        <v>0</v>
      </c>
      <c r="EW39" s="22">
        <f t="shared" ref="EW39:EW42" si="181">+SUM(EK39:EV39)</f>
        <v>20074520.359999999</v>
      </c>
      <c r="EX39" s="118">
        <f t="shared" si="153"/>
        <v>0.58736262111640136</v>
      </c>
      <c r="EY39" s="106">
        <f>+_xlfn.XLOOKUP($EJ39,Budget!$A:$A,Budget!DE:DE)</f>
        <v>2251800</v>
      </c>
      <c r="EZ39" s="106">
        <f>+_xlfn.XLOOKUP($EJ39,Budget!$A:$A,Budget!DF:DF)</f>
        <v>2101680</v>
      </c>
      <c r="FA39" s="106">
        <f>+_xlfn.XLOOKUP($EJ39,Budget!$A:$A,Budget!DG:DG)</f>
        <v>2345625</v>
      </c>
      <c r="FB39" s="106">
        <f>+_xlfn.XLOOKUP($EJ39,Budget!$A:$A,Budget!DH:DH)</f>
        <v>2101680</v>
      </c>
      <c r="FC39" s="106">
        <f>+_xlfn.XLOOKUP($EJ39,Budget!$A:$A,Budget!DI:DI)</f>
        <v>2502000</v>
      </c>
      <c r="FD39" s="106">
        <f>+_xlfn.XLOOKUP($EJ39,Budget!$A:$A,Budget!DJ:DJ)</f>
        <v>2502000</v>
      </c>
      <c r="FE39" s="106">
        <f>+_xlfn.XLOOKUP($EJ39,Budget!$A:$A,Budget!DK:DK)</f>
        <v>2814750</v>
      </c>
      <c r="FF39" s="106">
        <f>+_xlfn.XLOOKUP($EJ39,Budget!$A:$A,Budget!DL:DL)</f>
        <v>2710500</v>
      </c>
      <c r="FG39" s="106">
        <f>+_xlfn.XLOOKUP($EJ39,Budget!$A:$A,Budget!DM:DM)</f>
        <v>2589570</v>
      </c>
      <c r="FH39" s="106">
        <f>+_xlfn.XLOOKUP($EJ39,Budget!$A:$A,Budget!DN:DN)</f>
        <v>1799233.3333333335</v>
      </c>
      <c r="FI39" s="106">
        <f>+_xlfn.XLOOKUP($EJ39,Budget!$A:$A,Budget!DO:DO)</f>
        <v>1869072.3333333337</v>
      </c>
      <c r="FJ39" s="106">
        <f>+_xlfn.XLOOKUP($EJ39,Budget!$A:$A,Budget!DP:DP)</f>
        <v>1954289.4</v>
      </c>
      <c r="FK39" s="106">
        <f t="shared" ref="FK39:FK42" si="182">+SUM(EY39:FJ39)</f>
        <v>27542200.066666663</v>
      </c>
    </row>
    <row r="40" spans="1:167" ht="14.45" customHeight="1">
      <c r="A40" s="106">
        <f t="shared" si="136"/>
        <v>722343</v>
      </c>
      <c r="B40" s="106">
        <f t="shared" si="136"/>
        <v>701970.9</v>
      </c>
      <c r="C40" s="106">
        <f t="shared" si="136"/>
        <v>710194</v>
      </c>
      <c r="D40" s="106">
        <f t="shared" si="136"/>
        <v>706868</v>
      </c>
      <c r="E40" s="106">
        <f t="shared" si="136"/>
        <v>769081</v>
      </c>
      <c r="F40" s="106">
        <f t="shared" si="136"/>
        <v>819166</v>
      </c>
      <c r="G40" s="106">
        <f t="shared" si="136"/>
        <v>785241.67999999993</v>
      </c>
      <c r="H40" s="106">
        <f t="shared" si="136"/>
        <v>384141</v>
      </c>
      <c r="I40" s="106">
        <f t="shared" si="136"/>
        <v>765213.67</v>
      </c>
      <c r="J40" s="106">
        <f t="shared" si="136"/>
        <v>764413</v>
      </c>
      <c r="K40" s="106">
        <f t="shared" si="136"/>
        <v>733462</v>
      </c>
      <c r="L40" s="106">
        <f t="shared" si="136"/>
        <v>804231</v>
      </c>
      <c r="M40" s="106">
        <f t="shared" si="137"/>
        <v>8666325.25</v>
      </c>
      <c r="N40" s="7" t="s">
        <v>35</v>
      </c>
      <c r="O40" s="22">
        <f t="shared" si="170"/>
        <v>997662</v>
      </c>
      <c r="P40" s="22">
        <f t="shared" si="170"/>
        <v>1061576.57</v>
      </c>
      <c r="Q40" s="22">
        <f t="shared" si="170"/>
        <v>952979</v>
      </c>
      <c r="R40" s="22">
        <f t="shared" si="170"/>
        <v>1120274</v>
      </c>
      <c r="S40" s="22">
        <f t="shared" si="170"/>
        <v>1091669</v>
      </c>
      <c r="T40" s="22">
        <f t="shared" si="170"/>
        <v>1029674</v>
      </c>
      <c r="U40" s="22">
        <f t="shared" si="170"/>
        <v>1043126</v>
      </c>
      <c r="V40" s="22">
        <f t="shared" si="170"/>
        <v>1108696</v>
      </c>
      <c r="W40" s="22">
        <f t="shared" si="170"/>
        <v>1095263</v>
      </c>
      <c r="X40" s="22">
        <f t="shared" si="170"/>
        <v>1061386</v>
      </c>
      <c r="Y40" s="22">
        <f t="shared" si="170"/>
        <v>0</v>
      </c>
      <c r="Z40" s="22">
        <f t="shared" si="170"/>
        <v>0</v>
      </c>
      <c r="AA40" s="22">
        <f t="shared" si="171"/>
        <v>10562305.57</v>
      </c>
      <c r="AB40" s="118">
        <f t="shared" si="140"/>
        <v>-0.24497503998488121</v>
      </c>
      <c r="AC40" s="22">
        <f t="shared" si="172"/>
        <v>1405762.7975355233</v>
      </c>
      <c r="AD40" s="22">
        <f t="shared" si="172"/>
        <v>1405762.7975355233</v>
      </c>
      <c r="AE40" s="22">
        <f t="shared" si="172"/>
        <v>1405762.7975355233</v>
      </c>
      <c r="AF40" s="22">
        <f t="shared" si="172"/>
        <v>1405762.7975355233</v>
      </c>
      <c r="AG40" s="22">
        <f t="shared" si="172"/>
        <v>1405762.7975355233</v>
      </c>
      <c r="AH40" s="22">
        <f t="shared" si="172"/>
        <v>1405762.7975355233</v>
      </c>
      <c r="AI40" s="22">
        <f t="shared" si="172"/>
        <v>1405762.7975355233</v>
      </c>
      <c r="AJ40" s="22">
        <f t="shared" si="172"/>
        <v>1405762.7975355233</v>
      </c>
      <c r="AK40" s="22">
        <f t="shared" si="172"/>
        <v>1405762.7975355233</v>
      </c>
      <c r="AL40" s="22">
        <f t="shared" si="172"/>
        <v>1405762.7975355233</v>
      </c>
      <c r="AM40" s="22">
        <f t="shared" si="172"/>
        <v>1405762.7975355233</v>
      </c>
      <c r="AN40" s="22">
        <f t="shared" si="172"/>
        <v>1405762.7975355233</v>
      </c>
      <c r="AO40" s="22">
        <f t="shared" si="173"/>
        <v>16869153.570426282</v>
      </c>
      <c r="AQ40" s="106">
        <v>456165.00000000006</v>
      </c>
      <c r="AR40" s="106">
        <v>435792.9</v>
      </c>
      <c r="AS40" s="106">
        <v>445194</v>
      </c>
      <c r="AT40" s="106">
        <v>460534</v>
      </c>
      <c r="AU40" s="106">
        <v>486145</v>
      </c>
      <c r="AV40" s="106">
        <v>530567</v>
      </c>
      <c r="AW40" s="106">
        <v>489742</v>
      </c>
      <c r="AX40" s="106">
        <v>254435</v>
      </c>
      <c r="AY40" s="106">
        <v>501858.34</v>
      </c>
      <c r="AZ40" s="106">
        <v>508790</v>
      </c>
      <c r="BA40" s="106">
        <v>501900</v>
      </c>
      <c r="BB40" s="106">
        <v>548100</v>
      </c>
      <c r="BC40" s="106">
        <f t="shared" si="174"/>
        <v>5619223.2400000002</v>
      </c>
      <c r="BD40" s="7" t="str">
        <f t="shared" si="7"/>
        <v>Labour Cost</v>
      </c>
      <c r="BE40" s="22">
        <f>+VLOOKUP($BD40,'Jan-25'!$A:$J,4,0)</f>
        <v>559500</v>
      </c>
      <c r="BF40" s="22">
        <f>+VLOOKUP($BD40,'Feb-25'!$A:$J,4,0)</f>
        <v>560000</v>
      </c>
      <c r="BG40" s="22">
        <f>+VLOOKUP($BD40,'Mar-25'!$A:$J,4,0)</f>
        <v>512706</v>
      </c>
      <c r="BH40" s="22">
        <f>+VLOOKUP($BD40,'Apr-25'!$A:$J,4,0)</f>
        <v>668800</v>
      </c>
      <c r="BI40" s="22">
        <f>+VLOOKUP($BD40,'May-25'!$A:$J,4,0)</f>
        <v>642923</v>
      </c>
      <c r="BJ40" s="22">
        <f>+VLOOKUP($BD40,'June-25'!$A:$J,4,0)</f>
        <v>596483</v>
      </c>
      <c r="BK40" s="22">
        <f>+VLOOKUP($BD40,'July-25'!$A:$J,4,0)</f>
        <v>617947</v>
      </c>
      <c r="BL40" s="22">
        <f>+VLOOKUP($BD40,'Aug-25'!$A:$J,4,0)</f>
        <v>611116</v>
      </c>
      <c r="BM40" s="22">
        <f>+VLOOKUP($BD40,'Sep-25'!$A:$J,4,0)</f>
        <v>588828</v>
      </c>
      <c r="BN40" s="22">
        <f>+VLOOKUP($BD40,'Oct-25'!$A:$J,4,0)</f>
        <v>578768</v>
      </c>
      <c r="BO40" s="22">
        <f>+VLOOKUP($BD40,'Nov-25'!$A:$J,4,0)</f>
        <v>0</v>
      </c>
      <c r="BP40" s="22">
        <f>+VLOOKUP($BD40,'Dec-25'!$A:$J,4,0)</f>
        <v>0</v>
      </c>
      <c r="BQ40" s="22">
        <f t="shared" si="175"/>
        <v>5937071</v>
      </c>
      <c r="BR40" s="118">
        <f t="shared" si="145"/>
        <v>-0.14538632099045018</v>
      </c>
      <c r="BS40" s="106">
        <f>+_xlfn.XLOOKUP($BD40,Budget!$A:$A,Budget!AQ:AQ)</f>
        <v>677227.63421100425</v>
      </c>
      <c r="BT40" s="106">
        <f>+_xlfn.XLOOKUP($BD40,Budget!$A:$A,Budget!AR:AR)</f>
        <v>677227.63421100425</v>
      </c>
      <c r="BU40" s="106">
        <f>+_xlfn.XLOOKUP($BD40,Budget!$A:$A,Budget!AS:AS)</f>
        <v>677227.63421100425</v>
      </c>
      <c r="BV40" s="106">
        <f>+_xlfn.XLOOKUP($BD40,Budget!$A:$A,Budget!AT:AT)</f>
        <v>677227.63421100425</v>
      </c>
      <c r="BW40" s="106">
        <f>+_xlfn.XLOOKUP($BD40,Budget!$A:$A,Budget!AU:AU)</f>
        <v>677227.63421100425</v>
      </c>
      <c r="BX40" s="106">
        <f>+_xlfn.XLOOKUP($BD40,Budget!$A:$A,Budget!AV:AV)</f>
        <v>677227.63421100425</v>
      </c>
      <c r="BY40" s="106">
        <f>+_xlfn.XLOOKUP($BD40,Budget!$A:$A,Budget!AW:AW)</f>
        <v>677227.63421100425</v>
      </c>
      <c r="BZ40" s="106">
        <f>+_xlfn.XLOOKUP($BD40,Budget!$A:$A,Budget!AX:AX)</f>
        <v>677227.63421100425</v>
      </c>
      <c r="CA40" s="106">
        <f>+_xlfn.XLOOKUP($BD40,Budget!$A:$A,Budget!AY:AY)</f>
        <v>677227.63421100425</v>
      </c>
      <c r="CB40" s="106">
        <f>+_xlfn.XLOOKUP($BD40,Budget!$A:$A,Budget!AZ:AZ)</f>
        <v>677227.63421100425</v>
      </c>
      <c r="CC40" s="106">
        <f>+_xlfn.XLOOKUP($BD40,Budget!$A:$A,Budget!BA:BA)</f>
        <v>677227.63421100425</v>
      </c>
      <c r="CD40" s="106">
        <f>+_xlfn.XLOOKUP($BD40,Budget!$A:$A,Budget!BB:BB)</f>
        <v>677227.63421100425</v>
      </c>
      <c r="CE40" s="106">
        <f t="shared" si="176"/>
        <v>8126731.6105320491</v>
      </c>
      <c r="CF40" s="22"/>
      <c r="CG40" s="22">
        <v>266178</v>
      </c>
      <c r="CH40" s="22">
        <v>266178</v>
      </c>
      <c r="CI40" s="22">
        <v>265000</v>
      </c>
      <c r="CJ40" s="22">
        <v>246334</v>
      </c>
      <c r="CK40" s="22">
        <v>282936</v>
      </c>
      <c r="CL40" s="22">
        <v>288599</v>
      </c>
      <c r="CM40" s="22">
        <v>295499.68</v>
      </c>
      <c r="CN40" s="22">
        <v>129706</v>
      </c>
      <c r="CO40" s="22">
        <v>263355.33</v>
      </c>
      <c r="CP40" s="22">
        <v>255623</v>
      </c>
      <c r="CQ40" s="22">
        <v>231562</v>
      </c>
      <c r="CR40" s="22">
        <v>256131</v>
      </c>
      <c r="CS40" s="106">
        <f t="shared" si="177"/>
        <v>3047102.01</v>
      </c>
      <c r="CT40" s="7" t="str">
        <f t="shared" si="11"/>
        <v>Labour Cost</v>
      </c>
      <c r="CU40" s="22">
        <f>+VLOOKUP($BD40,'Jan-25'!$A:$J,7,0)</f>
        <v>291775</v>
      </c>
      <c r="CV40" s="22">
        <f>+VLOOKUP($BD40,'Feb-25'!$A:$J,7,0)</f>
        <v>350576.57</v>
      </c>
      <c r="CW40" s="22">
        <f>+VLOOKUP($BD40,'Mar-25'!$A:$J,7,0)</f>
        <v>315473</v>
      </c>
      <c r="CX40" s="22">
        <f>+VLOOKUP($BD40,'Apr-25'!$A:$J,7,0)</f>
        <v>245474</v>
      </c>
      <c r="CY40" s="22">
        <f>+VLOOKUP($BD40,'May-25'!$A:$J,7,0)</f>
        <v>242746</v>
      </c>
      <c r="CZ40" s="22">
        <f>+VLOOKUP($BD40,'June-25'!$A:$J,7,0)</f>
        <v>227591</v>
      </c>
      <c r="DA40" s="22">
        <f>+VLOOKUP($BD40,'July-25'!$A:$J,7,0)</f>
        <v>219965</v>
      </c>
      <c r="DB40" s="22">
        <f>+VLOOKUP($BD40,'Aug-25'!$A:$J,7,0)</f>
        <v>300484</v>
      </c>
      <c r="DC40" s="22">
        <f>+VLOOKUP($BD40,'Sep-25'!$A:$J,7,0)</f>
        <v>314428</v>
      </c>
      <c r="DD40" s="22">
        <f>+VLOOKUP($BD40,'Oct-25'!$A:$J,7,0)</f>
        <v>343618</v>
      </c>
      <c r="DE40" s="22">
        <f>+VLOOKUP($BD40,'Nov-25'!$A:$J,7,0)</f>
        <v>0</v>
      </c>
      <c r="DF40" s="22">
        <f>+VLOOKUP($BD40,'Dec-25'!$A:$J,7,0)</f>
        <v>0</v>
      </c>
      <c r="DG40" s="22">
        <f t="shared" si="178"/>
        <v>2852130.5700000003</v>
      </c>
      <c r="DH40" s="118">
        <f t="shared" si="149"/>
        <v>-0.3260085835379079</v>
      </c>
      <c r="DI40" s="22">
        <f>+_xlfn.XLOOKUP($CT40,Budget!$A:$A,Budget!CD:CD)</f>
        <v>509825.48383733968</v>
      </c>
      <c r="DJ40" s="22">
        <f>+_xlfn.XLOOKUP($CT40,Budget!$A:$A,Budget!CE:CE)</f>
        <v>509825.48383733968</v>
      </c>
      <c r="DK40" s="22">
        <f>+_xlfn.XLOOKUP($CT40,Budget!$A:$A,Budget!CF:CF)</f>
        <v>509825.48383733968</v>
      </c>
      <c r="DL40" s="22">
        <f>+_xlfn.XLOOKUP($CT40,Budget!$A:$A,Budget!CG:CG)</f>
        <v>509825.48383733968</v>
      </c>
      <c r="DM40" s="22">
        <f>+_xlfn.XLOOKUP($CT40,Budget!$A:$A,Budget!CH:CH)</f>
        <v>509825.48383733968</v>
      </c>
      <c r="DN40" s="22">
        <f>+_xlfn.XLOOKUP($CT40,Budget!$A:$A,Budget!CI:CI)</f>
        <v>509825.48383733968</v>
      </c>
      <c r="DO40" s="22">
        <f>+_xlfn.XLOOKUP($CT40,Budget!$A:$A,Budget!CJ:CJ)</f>
        <v>509825.48383733968</v>
      </c>
      <c r="DP40" s="22">
        <f>+_xlfn.XLOOKUP($CT40,Budget!$A:$A,Budget!CK:CK)</f>
        <v>509825.48383733968</v>
      </c>
      <c r="DQ40" s="22">
        <f>+_xlfn.XLOOKUP($CT40,Budget!$A:$A,Budget!CL:CL)</f>
        <v>509825.48383733968</v>
      </c>
      <c r="DR40" s="22">
        <f>+_xlfn.XLOOKUP($CT40,Budget!$A:$A,Budget!CM:CM)</f>
        <v>509825.48383733968</v>
      </c>
      <c r="DS40" s="22">
        <f>+_xlfn.XLOOKUP($CT40,Budget!$A:$A,Budget!CN:CN)</f>
        <v>509825.48383733968</v>
      </c>
      <c r="DT40" s="22">
        <f>+_xlfn.XLOOKUP($CT40,Budget!$A:$A,Budget!CO:CO)</f>
        <v>509825.48383733968</v>
      </c>
      <c r="DU40" s="106">
        <f t="shared" si="179"/>
        <v>6117905.8060480766</v>
      </c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106">
        <f t="shared" si="180"/>
        <v>0</v>
      </c>
      <c r="EJ40" s="7" t="str">
        <f t="shared" si="71"/>
        <v>Labour Cost</v>
      </c>
      <c r="EK40" s="22">
        <f>+VLOOKUP($BD40,'Jan-25'!$A:$J,9,0)</f>
        <v>146387</v>
      </c>
      <c r="EL40" s="22">
        <f>+VLOOKUP($BD40,'Feb-25'!$A:$J,9,0)</f>
        <v>151000</v>
      </c>
      <c r="EM40" s="22">
        <f>+VLOOKUP($BD40,'Mar-25'!$A:$J,9,0)</f>
        <v>124800</v>
      </c>
      <c r="EN40" s="22">
        <f>+VLOOKUP($BD40,'Apr-25'!$A:$J,9,0)</f>
        <v>206000</v>
      </c>
      <c r="EO40" s="22">
        <f>+VLOOKUP($BD40,'May-25'!$A:$J,9,0)</f>
        <v>206000</v>
      </c>
      <c r="EP40" s="22">
        <f>+VLOOKUP($BD40,'June-25'!$A:$J,9,0)</f>
        <v>205600</v>
      </c>
      <c r="EQ40" s="22">
        <f>+VLOOKUP($BD40,'July-25'!$A:$J,9,0)</f>
        <v>205214</v>
      </c>
      <c r="ER40" s="22">
        <f>+VLOOKUP($BD40,'Aug-25'!$A:$J,9,0)</f>
        <v>197096</v>
      </c>
      <c r="ES40" s="22">
        <f>+VLOOKUP($BD40,'Sep-25'!$A:$J,9,0)</f>
        <v>192007</v>
      </c>
      <c r="ET40" s="22">
        <f>+VLOOKUP($BD40,'Oct-25'!$A:$J,9,0)</f>
        <v>139000</v>
      </c>
      <c r="EU40" s="22">
        <f>+VLOOKUP($BD40,'Nov-25'!$A:$J,9,0)</f>
        <v>0</v>
      </c>
      <c r="EV40" s="22">
        <f>+VLOOKUP($BD40,'Dec-25'!$A:$J,9,0)</f>
        <v>0</v>
      </c>
      <c r="EW40" s="22">
        <f t="shared" si="181"/>
        <v>1773104</v>
      </c>
      <c r="EX40" s="118">
        <f t="shared" si="153"/>
        <v>-0.36445428329500146</v>
      </c>
      <c r="EY40" s="106">
        <f>+_xlfn.XLOOKUP($EJ40,Budget!$A:$A,Budget!DE:DE)</f>
        <v>218709.67948717947</v>
      </c>
      <c r="EZ40" s="106">
        <f>+_xlfn.XLOOKUP($EJ40,Budget!$A:$A,Budget!DF:DF)</f>
        <v>218709.67948717947</v>
      </c>
      <c r="FA40" s="106">
        <f>+_xlfn.XLOOKUP($EJ40,Budget!$A:$A,Budget!DG:DG)</f>
        <v>218709.67948717947</v>
      </c>
      <c r="FB40" s="106">
        <f>+_xlfn.XLOOKUP($EJ40,Budget!$A:$A,Budget!DH:DH)</f>
        <v>218709.67948717947</v>
      </c>
      <c r="FC40" s="106">
        <f>+_xlfn.XLOOKUP($EJ40,Budget!$A:$A,Budget!DI:DI)</f>
        <v>218709.67948717947</v>
      </c>
      <c r="FD40" s="106">
        <f>+_xlfn.XLOOKUP($EJ40,Budget!$A:$A,Budget!DJ:DJ)</f>
        <v>218709.67948717947</v>
      </c>
      <c r="FE40" s="106">
        <f>+_xlfn.XLOOKUP($EJ40,Budget!$A:$A,Budget!DK:DK)</f>
        <v>218709.67948717947</v>
      </c>
      <c r="FF40" s="106">
        <f>+_xlfn.XLOOKUP($EJ40,Budget!$A:$A,Budget!DL:DL)</f>
        <v>218709.67948717947</v>
      </c>
      <c r="FG40" s="106">
        <f>+_xlfn.XLOOKUP($EJ40,Budget!$A:$A,Budget!DM:DM)</f>
        <v>218709.67948717947</v>
      </c>
      <c r="FH40" s="106">
        <f>+_xlfn.XLOOKUP($EJ40,Budget!$A:$A,Budget!DN:DN)</f>
        <v>218709.67948717947</v>
      </c>
      <c r="FI40" s="106">
        <f>+_xlfn.XLOOKUP($EJ40,Budget!$A:$A,Budget!DO:DO)</f>
        <v>218709.67948717947</v>
      </c>
      <c r="FJ40" s="106">
        <f>+_xlfn.XLOOKUP($EJ40,Budget!$A:$A,Budget!DP:DP)</f>
        <v>218709.67948717947</v>
      </c>
      <c r="FK40" s="106">
        <f t="shared" si="182"/>
        <v>2624516.1538461535</v>
      </c>
    </row>
    <row r="41" spans="1:167" ht="14.45" customHeight="1">
      <c r="A41" s="106">
        <f t="shared" si="136"/>
        <v>444550</v>
      </c>
      <c r="B41" s="106">
        <f t="shared" si="136"/>
        <v>243185.18400000001</v>
      </c>
      <c r="C41" s="106">
        <f t="shared" si="136"/>
        <v>297772.18199999997</v>
      </c>
      <c r="D41" s="106">
        <f t="shared" si="136"/>
        <v>279756.402</v>
      </c>
      <c r="E41" s="106">
        <f t="shared" si="136"/>
        <v>379068.53599999996</v>
      </c>
      <c r="F41" s="106">
        <f t="shared" si="136"/>
        <v>78659.148000000001</v>
      </c>
      <c r="G41" s="106">
        <f t="shared" si="136"/>
        <v>68749.626000000004</v>
      </c>
      <c r="H41" s="106">
        <f t="shared" si="136"/>
        <v>19323.275999999998</v>
      </c>
      <c r="I41" s="106">
        <f t="shared" si="136"/>
        <v>520215.10200000001</v>
      </c>
      <c r="J41" s="106">
        <f t="shared" si="136"/>
        <v>210278.36699999997</v>
      </c>
      <c r="K41" s="106">
        <f t="shared" si="136"/>
        <v>388612.26899999997</v>
      </c>
      <c r="L41" s="106">
        <f t="shared" si="136"/>
        <v>171301.04199999999</v>
      </c>
      <c r="M41" s="106">
        <f t="shared" si="137"/>
        <v>3101471.1340000001</v>
      </c>
      <c r="N41" s="7" t="s">
        <v>36</v>
      </c>
      <c r="O41" s="22">
        <f t="shared" si="170"/>
        <v>0</v>
      </c>
      <c r="P41" s="22">
        <f t="shared" si="170"/>
        <v>126506.45499999999</v>
      </c>
      <c r="Q41" s="22">
        <f t="shared" si="170"/>
        <v>114152.55</v>
      </c>
      <c r="R41" s="22">
        <f t="shared" si="170"/>
        <v>303347.05399999995</v>
      </c>
      <c r="S41" s="22">
        <f t="shared" si="170"/>
        <v>479187.35800000001</v>
      </c>
      <c r="T41" s="22">
        <f t="shared" si="170"/>
        <v>148550.16</v>
      </c>
      <c r="U41" s="22">
        <f t="shared" si="170"/>
        <v>406264.93199999997</v>
      </c>
      <c r="V41" s="22">
        <f t="shared" si="170"/>
        <v>183108.74400000001</v>
      </c>
      <c r="W41" s="22">
        <f t="shared" si="170"/>
        <v>143896.73799999998</v>
      </c>
      <c r="X41" s="22">
        <f t="shared" si="170"/>
        <v>465414.54800000001</v>
      </c>
      <c r="Y41" s="22">
        <f t="shared" si="170"/>
        <v>0</v>
      </c>
      <c r="Z41" s="22">
        <f t="shared" si="170"/>
        <v>0</v>
      </c>
      <c r="AA41" s="22">
        <f t="shared" si="171"/>
        <v>2370428.5389999999</v>
      </c>
      <c r="AB41" s="118">
        <f t="shared" si="140"/>
        <v>-0.19848448097910149</v>
      </c>
      <c r="AC41" s="22">
        <f t="shared" si="172"/>
        <v>647526.64104000013</v>
      </c>
      <c r="AD41" s="22">
        <f t="shared" si="172"/>
        <v>628886.57136000006</v>
      </c>
      <c r="AE41" s="22">
        <f t="shared" si="172"/>
        <v>642130.33559999987</v>
      </c>
      <c r="AF41" s="22">
        <f t="shared" si="172"/>
        <v>551508.79307999997</v>
      </c>
      <c r="AG41" s="22">
        <f t="shared" si="172"/>
        <v>626266.3846799999</v>
      </c>
      <c r="AH41" s="22">
        <f t="shared" si="172"/>
        <v>652445.05631999997</v>
      </c>
      <c r="AI41" s="22">
        <f t="shared" si="172"/>
        <v>683159.74919999996</v>
      </c>
      <c r="AJ41" s="22">
        <f t="shared" si="172"/>
        <v>684595.48164000013</v>
      </c>
      <c r="AK41" s="22">
        <f t="shared" si="172"/>
        <v>693801.67716000008</v>
      </c>
      <c r="AL41" s="22">
        <f t="shared" si="172"/>
        <v>580668.16793333343</v>
      </c>
      <c r="AM41" s="22">
        <f t="shared" si="172"/>
        <v>545401.61221333337</v>
      </c>
      <c r="AN41" s="22">
        <f t="shared" si="172"/>
        <v>643230.1945199999</v>
      </c>
      <c r="AO41" s="22">
        <f t="shared" si="173"/>
        <v>7579620.6647466663</v>
      </c>
      <c r="AQ41" s="106">
        <v>418500</v>
      </c>
      <c r="AR41" s="106">
        <v>56075.06</v>
      </c>
      <c r="AS41" s="106">
        <v>189268.34</v>
      </c>
      <c r="AT41" s="106">
        <v>245117.81599999999</v>
      </c>
      <c r="AU41" s="106">
        <v>361631.74</v>
      </c>
      <c r="AV41" s="106">
        <v>55172.527999999998</v>
      </c>
      <c r="AW41" s="106">
        <v>57476.292000000001</v>
      </c>
      <c r="AX41" s="106">
        <v>0</v>
      </c>
      <c r="AY41" s="106">
        <v>450634.12800000003</v>
      </c>
      <c r="AZ41" s="106">
        <v>146491.86599999998</v>
      </c>
      <c r="BA41" s="106">
        <v>332407.86</v>
      </c>
      <c r="BB41" s="106">
        <v>119981.48199999999</v>
      </c>
      <c r="BC41" s="106">
        <f t="shared" si="174"/>
        <v>2432757.1119999997</v>
      </c>
      <c r="BD41" s="7" t="str">
        <f t="shared" si="7"/>
        <v>Consumables</v>
      </c>
      <c r="BE41" s="22">
        <f>+VLOOKUP($BD41,'Jan-25'!$A:$J,4,0)</f>
        <v>0</v>
      </c>
      <c r="BF41" s="22">
        <f>+VLOOKUP($BD41,'Feb-25'!$A:$J,4,0)</f>
        <v>17370.849999999999</v>
      </c>
      <c r="BG41" s="22">
        <f>+VLOOKUP($BD41,'Mar-25'!$A:$J,4,0)</f>
        <v>55830.32</v>
      </c>
      <c r="BH41" s="22">
        <f>+VLOOKUP($BD41,'Apr-25'!$A:$J,4,0)</f>
        <v>13220.8</v>
      </c>
      <c r="BI41" s="22">
        <f>+VLOOKUP($BD41,'May-25'!$A:$J,4,0)</f>
        <v>394141.56599999999</v>
      </c>
      <c r="BJ41" s="22">
        <f>+VLOOKUP($BD41,'June-25'!$A:$J,4,0)</f>
        <v>110992.99200000001</v>
      </c>
      <c r="BK41" s="22">
        <f>+VLOOKUP($BD41,'July-25'!$A:$J,4,0)</f>
        <v>189686.696</v>
      </c>
      <c r="BL41" s="22">
        <f>+VLOOKUP($BD41,'Aug-25'!$A:$J,4,0)</f>
        <v>134444.886</v>
      </c>
      <c r="BM41" s="22">
        <f>+VLOOKUP($BD41,'Sep-25'!$A:$J,4,0)</f>
        <v>40081.423999999999</v>
      </c>
      <c r="BN41" s="22">
        <f>+VLOOKUP($BD41,'Oct-25'!$A:$J,4,0)</f>
        <v>276298.24800000002</v>
      </c>
      <c r="BO41" s="22">
        <f>+VLOOKUP($BD41,'Nov-25'!$A:$J,4,0)</f>
        <v>0</v>
      </c>
      <c r="BP41" s="22">
        <f>+VLOOKUP($BD41,'Dec-25'!$A:$J,4,0)</f>
        <v>0</v>
      </c>
      <c r="BQ41" s="22">
        <f t="shared" si="175"/>
        <v>1232067.7819999999</v>
      </c>
      <c r="BR41" s="118">
        <f t="shared" si="145"/>
        <v>-8.3855469395644824E-2</v>
      </c>
      <c r="BS41" s="106">
        <f>+_xlfn.XLOOKUP($BD41,Budget!$A:$A,Budget!AQ:AQ)</f>
        <v>313519.33800000005</v>
      </c>
      <c r="BT41" s="106">
        <f>+_xlfn.XLOOKUP($BD41,Budget!$A:$A,Budget!AR:AR)</f>
        <v>306697.32720000012</v>
      </c>
      <c r="BU41" s="106">
        <f>+_xlfn.XLOOKUP($BD41,Budget!$A:$A,Budget!AS:AS)</f>
        <v>286231.29479999997</v>
      </c>
      <c r="BV41" s="106">
        <f>+_xlfn.XLOOKUP($BD41,Budget!$A:$A,Budget!AT:AT)</f>
        <v>264922.76447999995</v>
      </c>
      <c r="BW41" s="106">
        <f>+_xlfn.XLOOKUP($BD41,Budget!$A:$A,Budget!AU:AU)</f>
        <v>293603.74559999997</v>
      </c>
      <c r="BX41" s="106">
        <f>+_xlfn.XLOOKUP($BD41,Budget!$A:$A,Budget!AV:AV)</f>
        <v>304750.51199999999</v>
      </c>
      <c r="BY41" s="106">
        <f>+_xlfn.XLOOKUP($BD41,Budget!$A:$A,Budget!AW:AW)</f>
        <v>311584.83840000001</v>
      </c>
      <c r="BZ41" s="106">
        <f>+_xlfn.XLOOKUP($BD41,Budget!$A:$A,Budget!AX:AX)</f>
        <v>326604.60360000015</v>
      </c>
      <c r="CA41" s="106">
        <f>+_xlfn.XLOOKUP($BD41,Budget!$A:$A,Budget!AY:AY)</f>
        <v>346294.27800000005</v>
      </c>
      <c r="CB41" s="106">
        <f>+_xlfn.XLOOKUP($BD41,Budget!$A:$A,Budget!AZ:AZ)</f>
        <v>301588.05600000004</v>
      </c>
      <c r="CC41" s="106">
        <f>+_xlfn.XLOOKUP($BD41,Budget!$A:$A,Budget!BA:BA)</f>
        <v>241270.4448</v>
      </c>
      <c r="CD41" s="106">
        <f>+_xlfn.XLOOKUP($BD41,Budget!$A:$A,Budget!BB:BB)</f>
        <v>318821.65919999994</v>
      </c>
      <c r="CE41" s="106">
        <f t="shared" si="176"/>
        <v>3615888.8620800003</v>
      </c>
      <c r="CF41" s="22"/>
      <c r="CG41" s="22">
        <v>26050</v>
      </c>
      <c r="CH41" s="22">
        <v>187110.12400000001</v>
      </c>
      <c r="CI41" s="22">
        <v>108503.84199999999</v>
      </c>
      <c r="CJ41" s="22">
        <v>34638.586000000003</v>
      </c>
      <c r="CK41" s="22">
        <v>17436.796000000002</v>
      </c>
      <c r="CL41" s="22">
        <v>23486.62</v>
      </c>
      <c r="CM41" s="22">
        <v>11273.333999999999</v>
      </c>
      <c r="CN41" s="22">
        <v>19323.275999999998</v>
      </c>
      <c r="CO41" s="22">
        <v>69580.973999999987</v>
      </c>
      <c r="CP41" s="22">
        <v>63786.501000000004</v>
      </c>
      <c r="CQ41" s="22">
        <v>56204.409</v>
      </c>
      <c r="CR41" s="22">
        <v>51319.560000000005</v>
      </c>
      <c r="CS41" s="106">
        <f t="shared" si="177"/>
        <v>668714.022</v>
      </c>
      <c r="CT41" s="7" t="str">
        <f t="shared" si="11"/>
        <v>Consumables</v>
      </c>
      <c r="CU41" s="22">
        <f>+VLOOKUP($BD41,'Jan-25'!$A:$J,7,0)</f>
        <v>0</v>
      </c>
      <c r="CV41" s="22">
        <f>+VLOOKUP($BD41,'Feb-25'!$A:$J,7,0)</f>
        <v>13148.684999999999</v>
      </c>
      <c r="CW41" s="22">
        <f>+VLOOKUP($BD41,'Mar-25'!$A:$J,7,0)</f>
        <v>41230.679999999993</v>
      </c>
      <c r="CX41" s="22">
        <f>+VLOOKUP($BD41,'Apr-25'!$A:$J,7,0)</f>
        <v>188638.84599999996</v>
      </c>
      <c r="CY41" s="22">
        <f>+VLOOKUP($BD41,'May-25'!$A:$J,7,0)</f>
        <v>35318.319999999992</v>
      </c>
      <c r="CZ41" s="22">
        <f>+VLOOKUP($BD41,'June-25'!$A:$J,7,0)</f>
        <v>1502</v>
      </c>
      <c r="DA41" s="22">
        <f>+VLOOKUP($BD41,'July-25'!$A:$J,7,0)</f>
        <v>169016.35399999999</v>
      </c>
      <c r="DB41" s="22">
        <f>+VLOOKUP($BD41,'Aug-25'!$A:$J,7,0)</f>
        <v>10949.704</v>
      </c>
      <c r="DC41" s="22">
        <f>+VLOOKUP($BD41,'Sep-25'!$A:$J,7,0)</f>
        <v>82835.713999999993</v>
      </c>
      <c r="DD41" s="22">
        <f>+VLOOKUP($BD41,'Oct-25'!$A:$J,7,0)</f>
        <v>111531.31999999999</v>
      </c>
      <c r="DE41" s="22">
        <f>+VLOOKUP($BD41,'Nov-25'!$A:$J,7,0)</f>
        <v>0</v>
      </c>
      <c r="DF41" s="22">
        <f>+VLOOKUP($BD41,'Dec-25'!$A:$J,7,0)</f>
        <v>0</v>
      </c>
      <c r="DG41" s="22">
        <f t="shared" si="178"/>
        <v>654171.62299999991</v>
      </c>
      <c r="DH41" s="118">
        <f t="shared" si="149"/>
        <v>-0.46148954316180629</v>
      </c>
      <c r="DI41" s="22">
        <f>+_xlfn.XLOOKUP($CT41,Budget!$A:$A,Budget!CD:CD)</f>
        <v>243935.30304000006</v>
      </c>
      <c r="DJ41" s="22">
        <f>+_xlfn.XLOOKUP($CT41,Budget!$A:$A,Budget!CE:CE)</f>
        <v>238122.04416000002</v>
      </c>
      <c r="DK41" s="22">
        <f>+_xlfn.XLOOKUP($CT41,Budget!$A:$A,Budget!CF:CF)</f>
        <v>262074.04079999996</v>
      </c>
      <c r="DL41" s="22">
        <f>+_xlfn.XLOOKUP($CT41,Budget!$A:$A,Budget!CG:CG)</f>
        <v>202518.82860000001</v>
      </c>
      <c r="DM41" s="22">
        <f>+_xlfn.XLOOKUP($CT41,Budget!$A:$A,Budget!CH:CH)</f>
        <v>232582.63907999999</v>
      </c>
      <c r="DN41" s="22">
        <f>+_xlfn.XLOOKUP($CT41,Budget!$A:$A,Budget!CI:CI)</f>
        <v>247614.54431999999</v>
      </c>
      <c r="DO41" s="22">
        <f>+_xlfn.XLOOKUP($CT41,Budget!$A:$A,Budget!CJ:CJ)</f>
        <v>258984.91079999998</v>
      </c>
      <c r="DP41" s="22">
        <f>+_xlfn.XLOOKUP($CT41,Budget!$A:$A,Budget!CK:CK)</f>
        <v>249570.87804000004</v>
      </c>
      <c r="DQ41" s="22">
        <f>+_xlfn.XLOOKUP($CT41,Budget!$A:$A,Budget!CL:CL)</f>
        <v>243924.59916000001</v>
      </c>
      <c r="DR41" s="22">
        <f>+_xlfn.XLOOKUP($CT41,Budget!$A:$A,Budget!CM:CM)</f>
        <v>207110.77859999999</v>
      </c>
      <c r="DS41" s="22">
        <f>+_xlfn.XLOOKUP($CT41,Budget!$A:$A,Budget!CN:CN)</f>
        <v>229368.27408</v>
      </c>
      <c r="DT41" s="22">
        <f>+_xlfn.XLOOKUP($CT41,Budget!$A:$A,Budget!CO:CO)</f>
        <v>246236.95931999997</v>
      </c>
      <c r="DU41" s="106">
        <f t="shared" si="179"/>
        <v>2862043.8</v>
      </c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106">
        <f t="shared" si="180"/>
        <v>0</v>
      </c>
      <c r="EJ41" s="7" t="str">
        <f t="shared" si="71"/>
        <v>Consumables</v>
      </c>
      <c r="EK41" s="22">
        <f>+VLOOKUP($BD41,'Jan-25'!$A:$J,9,0)</f>
        <v>0</v>
      </c>
      <c r="EL41" s="22">
        <f>+VLOOKUP($BD41,'Feb-25'!$A:$J,9,0)</f>
        <v>95986.92</v>
      </c>
      <c r="EM41" s="22">
        <f>+VLOOKUP($BD41,'Mar-25'!$A:$J,9,0)</f>
        <v>17091.55</v>
      </c>
      <c r="EN41" s="22">
        <f>+VLOOKUP($BD41,'Apr-25'!$A:$J,9,0)</f>
        <v>101487.408</v>
      </c>
      <c r="EO41" s="22">
        <f>+VLOOKUP($BD41,'May-25'!$A:$J,9,0)</f>
        <v>49727.471999999994</v>
      </c>
      <c r="EP41" s="22">
        <f>+VLOOKUP($BD41,'June-25'!$A:$J,9,0)</f>
        <v>36055.167999999998</v>
      </c>
      <c r="EQ41" s="22">
        <f>+VLOOKUP($BD41,'July-25'!$A:$J,9,0)</f>
        <v>47561.881999999998</v>
      </c>
      <c r="ER41" s="22">
        <f>+VLOOKUP($BD41,'Aug-25'!$A:$J,9,0)</f>
        <v>37714.153999999995</v>
      </c>
      <c r="ES41" s="22">
        <f>+VLOOKUP($BD41,'Sep-25'!$A:$J,9,0)</f>
        <v>20979.599999999999</v>
      </c>
      <c r="ET41" s="22">
        <f>+VLOOKUP($BD41,'Oct-25'!$A:$J,9,0)</f>
        <v>77584.98</v>
      </c>
      <c r="EU41" s="22">
        <f>+VLOOKUP($BD41,'Nov-25'!$A:$J,9,0)</f>
        <v>0</v>
      </c>
      <c r="EV41" s="22">
        <f>+VLOOKUP($BD41,'Dec-25'!$A:$J,9,0)</f>
        <v>0</v>
      </c>
      <c r="EW41" s="22">
        <f t="shared" si="181"/>
        <v>484189.1339999999</v>
      </c>
      <c r="EX41" s="118">
        <f t="shared" si="153"/>
        <v>7.8028326879967191E-2</v>
      </c>
      <c r="EY41" s="106">
        <f>+_xlfn.XLOOKUP($EJ41,Budget!$A:$A,Budget!DE:DE)</f>
        <v>90072</v>
      </c>
      <c r="EZ41" s="106">
        <f>+_xlfn.XLOOKUP($EJ41,Budget!$A:$A,Budget!DF:DF)</f>
        <v>84067.199999999997</v>
      </c>
      <c r="FA41" s="106">
        <f>+_xlfn.XLOOKUP($EJ41,Budget!$A:$A,Budget!DG:DG)</f>
        <v>93825</v>
      </c>
      <c r="FB41" s="106">
        <f>+_xlfn.XLOOKUP($EJ41,Budget!$A:$A,Budget!DH:DH)</f>
        <v>84067.199999999997</v>
      </c>
      <c r="FC41" s="106">
        <f>+_xlfn.XLOOKUP($EJ41,Budget!$A:$A,Budget!DI:DI)</f>
        <v>100080</v>
      </c>
      <c r="FD41" s="106">
        <f>+_xlfn.XLOOKUP($EJ41,Budget!$A:$A,Budget!DJ:DJ)</f>
        <v>100080</v>
      </c>
      <c r="FE41" s="106">
        <f>+_xlfn.XLOOKUP($EJ41,Budget!$A:$A,Budget!DK:DK)</f>
        <v>112590</v>
      </c>
      <c r="FF41" s="106">
        <f>+_xlfn.XLOOKUP($EJ41,Budget!$A:$A,Budget!DL:DL)</f>
        <v>108420</v>
      </c>
      <c r="FG41" s="106">
        <f>+_xlfn.XLOOKUP($EJ41,Budget!$A:$A,Budget!DM:DM)</f>
        <v>103582.8</v>
      </c>
      <c r="FH41" s="106">
        <f>+_xlfn.XLOOKUP($EJ41,Budget!$A:$A,Budget!DN:DN)</f>
        <v>71969.333333333343</v>
      </c>
      <c r="FI41" s="106">
        <f>+_xlfn.XLOOKUP($EJ41,Budget!$A:$A,Budget!DO:DO)</f>
        <v>74762.893333333341</v>
      </c>
      <c r="FJ41" s="106">
        <f>+_xlfn.XLOOKUP($EJ41,Budget!$A:$A,Budget!DP:DP)</f>
        <v>78171.575999999986</v>
      </c>
      <c r="FK41" s="106">
        <f t="shared" si="182"/>
        <v>1101688.0026666666</v>
      </c>
    </row>
    <row r="42" spans="1:167" ht="14.45" customHeight="1">
      <c r="A42" s="106">
        <f t="shared" si="136"/>
        <v>169026.33000000002</v>
      </c>
      <c r="B42" s="106">
        <f t="shared" si="136"/>
        <v>246800.16999999998</v>
      </c>
      <c r="C42" s="106">
        <f t="shared" si="136"/>
        <v>202171</v>
      </c>
      <c r="D42" s="106">
        <f t="shared" si="136"/>
        <v>189346.52</v>
      </c>
      <c r="E42" s="106">
        <f t="shared" si="136"/>
        <v>388320</v>
      </c>
      <c r="F42" s="106">
        <f t="shared" si="136"/>
        <v>415042.72</v>
      </c>
      <c r="G42" s="106">
        <f t="shared" si="136"/>
        <v>345516.54000000004</v>
      </c>
      <c r="H42" s="106">
        <f t="shared" si="136"/>
        <v>432794.32</v>
      </c>
      <c r="I42" s="106">
        <f t="shared" si="136"/>
        <v>564540.77</v>
      </c>
      <c r="J42" s="106">
        <f t="shared" si="136"/>
        <v>751231.12</v>
      </c>
      <c r="K42" s="106">
        <f t="shared" si="136"/>
        <v>515679.45</v>
      </c>
      <c r="L42" s="106">
        <f t="shared" si="136"/>
        <v>301708</v>
      </c>
      <c r="M42" s="106">
        <f t="shared" si="137"/>
        <v>4522176.9400000004</v>
      </c>
      <c r="N42" s="7" t="s">
        <v>37</v>
      </c>
      <c r="O42" s="22">
        <f t="shared" si="170"/>
        <v>893932.12</v>
      </c>
      <c r="P42" s="22">
        <f t="shared" si="170"/>
        <v>777347.05</v>
      </c>
      <c r="Q42" s="22">
        <f t="shared" si="170"/>
        <v>711300.35</v>
      </c>
      <c r="R42" s="22">
        <f t="shared" si="170"/>
        <v>226447.33000000002</v>
      </c>
      <c r="S42" s="22">
        <f t="shared" si="170"/>
        <v>680487.1399999999</v>
      </c>
      <c r="T42" s="22">
        <f t="shared" si="170"/>
        <v>1110119.5899999999</v>
      </c>
      <c r="U42" s="22">
        <f t="shared" si="170"/>
        <v>1253657.1000000001</v>
      </c>
      <c r="V42" s="22">
        <f t="shared" si="170"/>
        <v>915313.75</v>
      </c>
      <c r="W42" s="22">
        <f t="shared" si="170"/>
        <v>478918.74</v>
      </c>
      <c r="X42" s="22">
        <f t="shared" si="170"/>
        <v>680872.15</v>
      </c>
      <c r="Y42" s="22">
        <f t="shared" si="170"/>
        <v>0</v>
      </c>
      <c r="Z42" s="22">
        <f t="shared" si="170"/>
        <v>0</v>
      </c>
      <c r="AA42" s="22">
        <f t="shared" si="171"/>
        <v>7728395.3200000003</v>
      </c>
      <c r="AB42" s="118">
        <f t="shared" si="140"/>
        <v>1.6642949951629673</v>
      </c>
      <c r="AC42" s="22">
        <f t="shared" si="172"/>
        <v>279835.98340400006</v>
      </c>
      <c r="AD42" s="22">
        <f t="shared" si="172"/>
        <v>273611.70326800004</v>
      </c>
      <c r="AE42" s="22">
        <f t="shared" si="172"/>
        <v>275476.22822799999</v>
      </c>
      <c r="AF42" s="22">
        <f t="shared" si="172"/>
        <v>234488.66087299999</v>
      </c>
      <c r="AG42" s="22">
        <f t="shared" si="172"/>
        <v>264181.81480300002</v>
      </c>
      <c r="AH42" s="22">
        <f t="shared" si="172"/>
        <v>277424.03007199999</v>
      </c>
      <c r="AI42" s="22">
        <f t="shared" si="172"/>
        <v>286431.87076000002</v>
      </c>
      <c r="AJ42" s="22">
        <f t="shared" si="172"/>
        <v>289657.85460900009</v>
      </c>
      <c r="AK42" s="22">
        <f t="shared" si="172"/>
        <v>296847.92493100005</v>
      </c>
      <c r="AL42" s="22">
        <f t="shared" si="172"/>
        <v>255554.34035499999</v>
      </c>
      <c r="AM42" s="22">
        <f t="shared" si="172"/>
        <v>236039.419004</v>
      </c>
      <c r="AN42" s="22">
        <f t="shared" si="172"/>
        <v>283698.56554099999</v>
      </c>
      <c r="AO42" s="22">
        <f t="shared" si="173"/>
        <v>3253248.3958480004</v>
      </c>
      <c r="AQ42" s="106">
        <v>128324.33000000002</v>
      </c>
      <c r="AR42" s="106">
        <v>203500.16999999998</v>
      </c>
      <c r="AS42" s="106">
        <v>193771</v>
      </c>
      <c r="AT42" s="106">
        <v>169206.37</v>
      </c>
      <c r="AU42" s="106">
        <v>191879</v>
      </c>
      <c r="AV42" s="106">
        <v>288392.71999999997</v>
      </c>
      <c r="AW42" s="106">
        <v>326663.54000000004</v>
      </c>
      <c r="AX42" s="106">
        <v>424783.32</v>
      </c>
      <c r="AY42" s="106">
        <v>366771.77</v>
      </c>
      <c r="AZ42" s="106">
        <v>667439.12</v>
      </c>
      <c r="BA42" s="106">
        <v>507079.45</v>
      </c>
      <c r="BB42" s="106">
        <v>79878</v>
      </c>
      <c r="BC42" s="106">
        <f t="shared" si="174"/>
        <v>3547688.79</v>
      </c>
      <c r="BD42" s="7" t="str">
        <f t="shared" si="7"/>
        <v>Direct Expenses [Sub contract other than Access]</v>
      </c>
      <c r="BE42" s="22">
        <f>+VLOOKUP($BD42,'Jan-25'!$A:$J,4,0)</f>
        <v>681495.12</v>
      </c>
      <c r="BF42" s="22">
        <f>+VLOOKUP($BD42,'Feb-25'!$A:$J,4,0)</f>
        <v>609509.05000000005</v>
      </c>
      <c r="BG42" s="22">
        <f>+VLOOKUP($BD42,'Mar-25'!$A:$J,4,0)</f>
        <v>572346.35</v>
      </c>
      <c r="BH42" s="22">
        <f>+VLOOKUP($BD42,'Apr-25'!$A:$J,4,0)</f>
        <v>199283.33000000002</v>
      </c>
      <c r="BI42" s="22">
        <f>+VLOOKUP($BD42,'May-25'!$A:$J,4,0)</f>
        <v>577684.1399999999</v>
      </c>
      <c r="BJ42" s="22">
        <f>+VLOOKUP($BD42,'June-25'!$A:$J,4,0)</f>
        <v>843451.59</v>
      </c>
      <c r="BK42" s="22">
        <f>+VLOOKUP($BD42,'July-25'!$A:$J,4,0)</f>
        <v>977435.1</v>
      </c>
      <c r="BL42" s="22">
        <f>+VLOOKUP($BD42,'Aug-25'!$A:$J,4,0)</f>
        <v>758285.75</v>
      </c>
      <c r="BM42" s="22">
        <f>+VLOOKUP($BD42,'Sep-25'!$A:$J,4,0)</f>
        <v>428419.74</v>
      </c>
      <c r="BN42" s="22">
        <f>+VLOOKUP($BD42,'Oct-25'!$A:$J,4,0)</f>
        <v>509273.15</v>
      </c>
      <c r="BO42" s="22">
        <f>+VLOOKUP($BD42,'Nov-25'!$A:$J,4,0)</f>
        <v>0</v>
      </c>
      <c r="BP42" s="22">
        <f>+VLOOKUP($BD42,'Dec-25'!$A:$J,4,0)</f>
        <v>0</v>
      </c>
      <c r="BQ42" s="22">
        <f t="shared" si="175"/>
        <v>6157183.3200000003</v>
      </c>
      <c r="BR42" s="118">
        <f t="shared" si="145"/>
        <v>2.3353258287358316</v>
      </c>
      <c r="BS42" s="106">
        <f>+_xlfn.XLOOKUP($BD42,Budget!$A:$A,Budget!AQ:AQ)</f>
        <v>158699.76719000001</v>
      </c>
      <c r="BT42" s="106">
        <f>+_xlfn.XLOOKUP($BD42,Budget!$A:$A,Budget!AR:AR)</f>
        <v>155353.00083600005</v>
      </c>
      <c r="BU42" s="106">
        <f>+_xlfn.XLOOKUP($BD42,Budget!$A:$A,Budget!AS:AS)</f>
        <v>145312.70177400002</v>
      </c>
      <c r="BV42" s="106">
        <f>+_xlfn.XLOOKUP($BD42,Budget!$A:$A,Budget!AT:AT)</f>
        <v>133932.37368799999</v>
      </c>
      <c r="BW42" s="106">
        <f>+_xlfn.XLOOKUP($BD42,Budget!$A:$A,Budget!AU:AU)</f>
        <v>148679.77012</v>
      </c>
      <c r="BX42" s="106">
        <f>+_xlfn.XLOOKUP($BD42,Budget!$A:$A,Budget!AV:AV)</f>
        <v>154449.10664000001</v>
      </c>
      <c r="BY42" s="106">
        <f>+_xlfn.XLOOKUP($BD42,Budget!$A:$A,Budget!AW:AW)</f>
        <v>157820.58096000002</v>
      </c>
      <c r="BZ42" s="106">
        <f>+_xlfn.XLOOKUP($BD42,Budget!$A:$A,Budget!AX:AX)</f>
        <v>165689.85531000007</v>
      </c>
      <c r="CA42" s="106">
        <f>+_xlfn.XLOOKUP($BD42,Budget!$A:$A,Budget!AY:AY)</f>
        <v>175673.53473000004</v>
      </c>
      <c r="CB42" s="106">
        <f>+_xlfn.XLOOKUP($BD42,Budget!$A:$A,Budget!AZ:AZ)</f>
        <v>152690.67436</v>
      </c>
      <c r="CC42" s="106">
        <f>+_xlfn.XLOOKUP($BD42,Budget!$A:$A,Budget!BA:BA)</f>
        <v>122152.53948799999</v>
      </c>
      <c r="CD42" s="106">
        <f>+_xlfn.XLOOKUP($BD42,Budget!$A:$A,Budget!BB:BB)</f>
        <v>161415.85575199997</v>
      </c>
      <c r="CE42" s="106">
        <f t="shared" si="176"/>
        <v>1831869.7608480002</v>
      </c>
      <c r="CF42" s="22"/>
      <c r="CG42" s="22">
        <v>40702</v>
      </c>
      <c r="CH42" s="22">
        <v>43300</v>
      </c>
      <c r="CI42" s="22">
        <v>8400</v>
      </c>
      <c r="CJ42" s="22">
        <v>20140.150000000001</v>
      </c>
      <c r="CK42" s="22">
        <v>196441</v>
      </c>
      <c r="CL42" s="22">
        <v>126650</v>
      </c>
      <c r="CM42" s="22">
        <v>18853</v>
      </c>
      <c r="CN42" s="22">
        <v>8011</v>
      </c>
      <c r="CO42" s="22">
        <v>197769</v>
      </c>
      <c r="CP42" s="22">
        <v>83792</v>
      </c>
      <c r="CQ42" s="22">
        <v>8600</v>
      </c>
      <c r="CR42" s="22">
        <v>221830</v>
      </c>
      <c r="CS42" s="106">
        <f t="shared" si="177"/>
        <v>974488.15</v>
      </c>
      <c r="CT42" s="7" t="str">
        <f t="shared" si="11"/>
        <v>Direct Expenses [Sub contract other than Access]</v>
      </c>
      <c r="CU42" s="22">
        <f>+VLOOKUP($BD42,'Jan-25'!$A:$J,7,0)</f>
        <v>212437</v>
      </c>
      <c r="CV42" s="22">
        <f>+VLOOKUP($BD42,'Feb-25'!$A:$J,7,0)</f>
        <v>101038</v>
      </c>
      <c r="CW42" s="22">
        <f>+VLOOKUP($BD42,'Mar-25'!$A:$J,7,0)</f>
        <v>116404</v>
      </c>
      <c r="CX42" s="22">
        <f>+VLOOKUP($BD42,'Apr-25'!$A:$J,7,0)</f>
        <v>27164</v>
      </c>
      <c r="CY42" s="22">
        <f>+VLOOKUP($BD42,'May-25'!$A:$J,7,0)</f>
        <v>102803</v>
      </c>
      <c r="CZ42" s="22">
        <f>+VLOOKUP($BD42,'June-25'!$A:$J,7,0)</f>
        <v>228288</v>
      </c>
      <c r="DA42" s="22">
        <f>+VLOOKUP($BD42,'July-25'!$A:$J,7,0)</f>
        <v>213892</v>
      </c>
      <c r="DB42" s="22">
        <f>+VLOOKUP($BD42,'Aug-25'!$A:$J,7,0)</f>
        <v>58548</v>
      </c>
      <c r="DC42" s="22">
        <f>+VLOOKUP($BD42,'Sep-25'!$A:$J,7,0)</f>
        <v>50499</v>
      </c>
      <c r="DD42" s="22">
        <f>+VLOOKUP($BD42,'Oct-25'!$A:$J,7,0)</f>
        <v>139319</v>
      </c>
      <c r="DE42" s="22">
        <f>+VLOOKUP($BD42,'Nov-25'!$A:$J,7,0)</f>
        <v>0</v>
      </c>
      <c r="DF42" s="22">
        <f>+VLOOKUP($BD42,'Dec-25'!$A:$J,7,0)</f>
        <v>0</v>
      </c>
      <c r="DG42" s="22">
        <f t="shared" si="178"/>
        <v>1250392</v>
      </c>
      <c r="DH42" s="118">
        <f t="shared" si="149"/>
        <v>0.35440438227014032</v>
      </c>
      <c r="DI42" s="22">
        <f>+_xlfn.XLOOKUP($CT42,Budget!$A:$A,Budget!CD:CD)</f>
        <v>121136.21621400003</v>
      </c>
      <c r="DJ42" s="22">
        <f>+_xlfn.XLOOKUP($CT42,Budget!$A:$A,Budget!CE:CE)</f>
        <v>118258.70243200002</v>
      </c>
      <c r="DK42" s="22">
        <f>+_xlfn.XLOOKUP($CT42,Budget!$A:$A,Budget!CF:CF)</f>
        <v>130163.52645399999</v>
      </c>
      <c r="DL42" s="22">
        <f>+_xlfn.XLOOKUP($CT42,Budget!$A:$A,Budget!CG:CG)</f>
        <v>100556.28718499999</v>
      </c>
      <c r="DM42" s="22">
        <f>+_xlfn.XLOOKUP($CT42,Budget!$A:$A,Budget!CH:CH)</f>
        <v>115502.044683</v>
      </c>
      <c r="DN42" s="22">
        <f>+_xlfn.XLOOKUP($CT42,Budget!$A:$A,Budget!CI:CI)</f>
        <v>122974.923432</v>
      </c>
      <c r="DO42" s="22">
        <f>+_xlfn.XLOOKUP($CT42,Budget!$A:$A,Budget!CJ:CJ)</f>
        <v>128611.28979999998</v>
      </c>
      <c r="DP42" s="22">
        <f>+_xlfn.XLOOKUP($CT42,Budget!$A:$A,Budget!CK:CK)</f>
        <v>123967.99929900002</v>
      </c>
      <c r="DQ42" s="22">
        <f>+_xlfn.XLOOKUP($CT42,Budget!$A:$A,Budget!CL:CL)</f>
        <v>121174.39020100002</v>
      </c>
      <c r="DR42" s="22">
        <f>+_xlfn.XLOOKUP($CT42,Budget!$A:$A,Budget!CM:CM)</f>
        <v>102863.66599499999</v>
      </c>
      <c r="DS42" s="22">
        <f>+_xlfn.XLOOKUP($CT42,Budget!$A:$A,Budget!CN:CN)</f>
        <v>113886.879516</v>
      </c>
      <c r="DT42" s="22">
        <f>+_xlfn.XLOOKUP($CT42,Budget!$A:$A,Budget!CO:CO)</f>
        <v>122282.70978899999</v>
      </c>
      <c r="DU42" s="106">
        <f t="shared" si="179"/>
        <v>1421378.6349999998</v>
      </c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106">
        <f t="shared" si="180"/>
        <v>0</v>
      </c>
      <c r="EJ42" s="7" t="str">
        <f t="shared" si="71"/>
        <v>Direct Expenses [Sub contract other than Access]</v>
      </c>
      <c r="EK42" s="22">
        <f>+VLOOKUP($BD42,'Jan-25'!$A:$J,9,0)</f>
        <v>0</v>
      </c>
      <c r="EL42" s="22">
        <f>+VLOOKUP($BD42,'Feb-25'!$A:$J,9,0)</f>
        <v>66800</v>
      </c>
      <c r="EM42" s="22">
        <f>+VLOOKUP($BD42,'Mar-25'!$A:$J,9,0)</f>
        <v>22550</v>
      </c>
      <c r="EN42" s="22">
        <f>+VLOOKUP($BD42,'Apr-25'!$A:$J,9,0)</f>
        <v>0</v>
      </c>
      <c r="EO42" s="22">
        <f>+VLOOKUP($BD42,'May-25'!$A:$J,9,0)</f>
        <v>0</v>
      </c>
      <c r="EP42" s="22">
        <f>+VLOOKUP($BD42,'June-25'!$A:$J,9,0)</f>
        <v>38380</v>
      </c>
      <c r="EQ42" s="22">
        <f>+VLOOKUP($BD42,'July-25'!$A:$J,9,0)</f>
        <v>62330</v>
      </c>
      <c r="ER42" s="22">
        <f>+VLOOKUP($BD42,'Aug-25'!$A:$J,9,0)</f>
        <v>98480</v>
      </c>
      <c r="ES42" s="22">
        <f>+VLOOKUP($BD42,'Sep-25'!$A:$J,9,0)</f>
        <v>0</v>
      </c>
      <c r="ET42" s="22">
        <f>+VLOOKUP($BD42,'Oct-25'!$A:$J,9,0)</f>
        <v>32280</v>
      </c>
      <c r="EU42" s="22">
        <f>+VLOOKUP($BD42,'Nov-25'!$A:$J,9,0)</f>
        <v>0</v>
      </c>
      <c r="EV42" s="22">
        <f>+VLOOKUP($BD42,'Dec-25'!$A:$J,9,0)</f>
        <v>0</v>
      </c>
      <c r="EW42" s="22">
        <f t="shared" si="181"/>
        <v>320820</v>
      </c>
      <c r="EX42" s="118">
        <f t="shared" si="153"/>
        <v>0</v>
      </c>
      <c r="EY42" s="106">
        <f>+_xlfn.XLOOKUP($EJ42,Budget!$A:$A,Budget!DE:DE)</f>
        <v>0</v>
      </c>
      <c r="EZ42" s="106">
        <f>+_xlfn.XLOOKUP($EJ42,Budget!$A:$A,Budget!DF:DF)</f>
        <v>0</v>
      </c>
      <c r="FA42" s="106">
        <f>+_xlfn.XLOOKUP($EJ42,Budget!$A:$A,Budget!DG:DG)</f>
        <v>0</v>
      </c>
      <c r="FB42" s="106">
        <f>+_xlfn.XLOOKUP($EJ42,Budget!$A:$A,Budget!DH:DH)</f>
        <v>0</v>
      </c>
      <c r="FC42" s="106">
        <f>+_xlfn.XLOOKUP($EJ42,Budget!$A:$A,Budget!DI:DI)</f>
        <v>0</v>
      </c>
      <c r="FD42" s="106">
        <f>+_xlfn.XLOOKUP($EJ42,Budget!$A:$A,Budget!DJ:DJ)</f>
        <v>0</v>
      </c>
      <c r="FE42" s="106">
        <f>+_xlfn.XLOOKUP($EJ42,Budget!$A:$A,Budget!DK:DK)</f>
        <v>0</v>
      </c>
      <c r="FF42" s="106">
        <f>+_xlfn.XLOOKUP($EJ42,Budget!$A:$A,Budget!DL:DL)</f>
        <v>0</v>
      </c>
      <c r="FG42" s="106">
        <f>+_xlfn.XLOOKUP($EJ42,Budget!$A:$A,Budget!DM:DM)</f>
        <v>0</v>
      </c>
      <c r="FH42" s="106">
        <f>+_xlfn.XLOOKUP($EJ42,Budget!$A:$A,Budget!DN:DN)</f>
        <v>0</v>
      </c>
      <c r="FI42" s="106">
        <f>+_xlfn.XLOOKUP($EJ42,Budget!$A:$A,Budget!DO:DO)</f>
        <v>0</v>
      </c>
      <c r="FJ42" s="106">
        <f>+_xlfn.XLOOKUP($EJ42,Budget!$A:$A,Budget!DP:DP)</f>
        <v>0</v>
      </c>
      <c r="FK42" s="106">
        <f t="shared" si="182"/>
        <v>0</v>
      </c>
    </row>
    <row r="43" spans="1:167" ht="14.45" customHeight="1">
      <c r="A43" s="59">
        <f>+A29-A38</f>
        <v>8516488.0499999747</v>
      </c>
      <c r="B43" s="59">
        <f t="shared" ref="B43:M43" si="183">+B29-B38</f>
        <v>7452306.3659999818</v>
      </c>
      <c r="C43" s="59">
        <f t="shared" si="183"/>
        <v>6560295.0014380831</v>
      </c>
      <c r="D43" s="59">
        <f t="shared" si="183"/>
        <v>6253426.0879999902</v>
      </c>
      <c r="E43" s="59">
        <f t="shared" si="183"/>
        <v>6300908.9991697576</v>
      </c>
      <c r="F43" s="59">
        <f t="shared" si="183"/>
        <v>6504118.8973821551</v>
      </c>
      <c r="G43" s="59">
        <f t="shared" si="183"/>
        <v>7987192.856530413</v>
      </c>
      <c r="H43" s="59">
        <f t="shared" si="183"/>
        <v>7306219.0626339093</v>
      </c>
      <c r="I43" s="59">
        <f t="shared" si="183"/>
        <v>6820473.0057206713</v>
      </c>
      <c r="J43" s="59">
        <f t="shared" si="183"/>
        <v>8641158.2012127042</v>
      </c>
      <c r="K43" s="59">
        <f t="shared" si="183"/>
        <v>7940355.5747626796</v>
      </c>
      <c r="L43" s="59">
        <f t="shared" si="183"/>
        <v>10285603.816836663</v>
      </c>
      <c r="M43" s="59">
        <f t="shared" si="183"/>
        <v>90568545.919687033</v>
      </c>
      <c r="N43" s="10" t="s">
        <v>20</v>
      </c>
      <c r="O43" s="29">
        <f>+O29-O38</f>
        <v>6383292.6631718501</v>
      </c>
      <c r="P43" s="29">
        <f t="shared" ref="P43:AA43" si="184">+P29-P38</f>
        <v>6090659.6663850434</v>
      </c>
      <c r="Q43" s="29">
        <f t="shared" si="184"/>
        <v>7849623.1426920295</v>
      </c>
      <c r="R43" s="29">
        <f t="shared" si="184"/>
        <v>8957119.003410019</v>
      </c>
      <c r="S43" s="29">
        <f t="shared" si="184"/>
        <v>12086527.090475995</v>
      </c>
      <c r="T43" s="29">
        <f t="shared" si="184"/>
        <v>6628685.3418371007</v>
      </c>
      <c r="U43" s="29">
        <f t="shared" si="184"/>
        <v>10207869.34799996</v>
      </c>
      <c r="V43" s="29">
        <f t="shared" si="184"/>
        <v>10159902.457017493</v>
      </c>
      <c r="W43" s="29">
        <f t="shared" si="184"/>
        <v>9225584.971999988</v>
      </c>
      <c r="X43" s="29">
        <f t="shared" si="184"/>
        <v>9051410.862965107</v>
      </c>
      <c r="Y43" s="29">
        <f t="shared" si="184"/>
        <v>0</v>
      </c>
      <c r="Z43" s="29">
        <f t="shared" si="184"/>
        <v>0</v>
      </c>
      <c r="AA43" s="29">
        <f t="shared" si="184"/>
        <v>86640674.547954649</v>
      </c>
      <c r="AB43" s="118">
        <f t="shared" si="140"/>
        <v>2.3259680274223828E-3</v>
      </c>
      <c r="AC43" s="29">
        <f>+AC29-AC38</f>
        <v>10131132.329620481</v>
      </c>
      <c r="AD43" s="29">
        <f t="shared" ref="AD43:AO43" si="185">+AD29-AD38</f>
        <v>9729563.3258364759</v>
      </c>
      <c r="AE43" s="29">
        <f t="shared" si="185"/>
        <v>9983357.9180364758</v>
      </c>
      <c r="AF43" s="29">
        <f t="shared" si="185"/>
        <v>8326040.8995714821</v>
      </c>
      <c r="AG43" s="29">
        <f t="shared" si="185"/>
        <v>9667495.5228814743</v>
      </c>
      <c r="AH43" s="29">
        <f t="shared" si="185"/>
        <v>10144652.316872474</v>
      </c>
      <c r="AI43" s="29">
        <f t="shared" si="185"/>
        <v>10671987.753304474</v>
      </c>
      <c r="AJ43" s="29">
        <f t="shared" si="185"/>
        <v>10733913.041515477</v>
      </c>
      <c r="AK43" s="29">
        <f t="shared" si="185"/>
        <v>10907452.984273478</v>
      </c>
      <c r="AL43" s="29">
        <f t="shared" si="185"/>
        <v>9030406.426342804</v>
      </c>
      <c r="AM43" s="29">
        <f t="shared" si="185"/>
        <v>8394890.8983138092</v>
      </c>
      <c r="AN43" s="29">
        <f t="shared" si="185"/>
        <v>10153579.168927722</v>
      </c>
      <c r="AO43" s="29">
        <f t="shared" si="185"/>
        <v>117874472.5854966</v>
      </c>
      <c r="AQ43" s="59">
        <f t="shared" ref="AQ43:BC43" si="186">+AQ29-AQ38</f>
        <v>4646027.94636002</v>
      </c>
      <c r="AR43" s="59">
        <f t="shared" si="186"/>
        <v>3985378.9397974536</v>
      </c>
      <c r="AS43" s="59">
        <f t="shared" si="186"/>
        <v>3364645.7364255507</v>
      </c>
      <c r="AT43" s="59">
        <f t="shared" si="186"/>
        <v>3847824.3500882275</v>
      </c>
      <c r="AU43" s="59">
        <f t="shared" si="186"/>
        <v>2917735.2019501571</v>
      </c>
      <c r="AV43" s="59">
        <f t="shared" si="186"/>
        <v>3186193.0396925174</v>
      </c>
      <c r="AW43" s="59">
        <f t="shared" si="186"/>
        <v>4429852.2635184973</v>
      </c>
      <c r="AX43" s="59">
        <f t="shared" si="186"/>
        <v>4041967.608191872</v>
      </c>
      <c r="AY43" s="59">
        <f t="shared" si="186"/>
        <v>4026474.23879865</v>
      </c>
      <c r="AZ43" s="59">
        <f t="shared" si="186"/>
        <v>3980278.5872667655</v>
      </c>
      <c r="BA43" s="59">
        <f t="shared" si="186"/>
        <v>4129496.9797034971</v>
      </c>
      <c r="BB43" s="59">
        <f t="shared" si="186"/>
        <v>7678630.9226770792</v>
      </c>
      <c r="BC43" s="59">
        <f t="shared" si="186"/>
        <v>50234505.814470291</v>
      </c>
      <c r="BD43" s="10" t="str">
        <f t="shared" si="7"/>
        <v>Gross Profit</v>
      </c>
      <c r="BE43" s="29">
        <f t="shared" ref="BE43:BP43" si="187">+BE29-BE38</f>
        <v>3264445.2794224955</v>
      </c>
      <c r="BF43" s="29">
        <f t="shared" si="187"/>
        <v>3496709.8605381139</v>
      </c>
      <c r="BG43" s="29">
        <f t="shared" si="187"/>
        <v>4541686.2111529466</v>
      </c>
      <c r="BH43" s="29">
        <f t="shared" si="187"/>
        <v>5367966.7345904298</v>
      </c>
      <c r="BI43" s="29">
        <f t="shared" si="187"/>
        <v>8091680.1600538548</v>
      </c>
      <c r="BJ43" s="29">
        <f t="shared" si="187"/>
        <v>3349961.7896426879</v>
      </c>
      <c r="BK43" s="29">
        <f t="shared" si="187"/>
        <v>5946526.9741225541</v>
      </c>
      <c r="BL43" s="29">
        <f t="shared" si="187"/>
        <v>5584613.7503129113</v>
      </c>
      <c r="BM43" s="29">
        <f t="shared" si="187"/>
        <v>5982556.949817447</v>
      </c>
      <c r="BN43" s="29">
        <f t="shared" si="187"/>
        <v>4739026.2136755697</v>
      </c>
      <c r="BO43" s="29">
        <f t="shared" si="187"/>
        <v>0</v>
      </c>
      <c r="BP43" s="29">
        <f t="shared" si="187"/>
        <v>0</v>
      </c>
      <c r="BQ43" s="29">
        <f t="shared" ref="BQ43" si="188">+BQ29-BQ38</f>
        <v>50365173.923329026</v>
      </c>
      <c r="BR43" s="118">
        <f t="shared" si="145"/>
        <v>1.1680730079765549E-3</v>
      </c>
      <c r="BS43" s="59">
        <f t="shared" ref="BS43:CE43" si="189">+BS29-BS38</f>
        <v>5029932.2595989946</v>
      </c>
      <c r="BT43" s="59">
        <f t="shared" si="189"/>
        <v>4832641.8277529981</v>
      </c>
      <c r="BU43" s="59">
        <f t="shared" si="189"/>
        <v>4497286.3542149961</v>
      </c>
      <c r="BV43" s="59">
        <f t="shared" si="189"/>
        <v>4056381.1221809965</v>
      </c>
      <c r="BW43" s="59">
        <f t="shared" si="189"/>
        <v>4593367.2492689956</v>
      </c>
      <c r="BX43" s="59">
        <f t="shared" si="189"/>
        <v>4805808.3551489972</v>
      </c>
      <c r="BY43" s="59">
        <f t="shared" si="189"/>
        <v>4919643.2632289957</v>
      </c>
      <c r="BZ43" s="59">
        <f t="shared" si="189"/>
        <v>5215338.0710789971</v>
      </c>
      <c r="CA43" s="59">
        <f t="shared" si="189"/>
        <v>5570072.8120589983</v>
      </c>
      <c r="CB43" s="59">
        <f t="shared" si="189"/>
        <v>4733497.1434289962</v>
      </c>
      <c r="CC43" s="59">
        <f t="shared" si="189"/>
        <v>3651352.1879009921</v>
      </c>
      <c r="CD43" s="59">
        <f t="shared" si="189"/>
        <v>5042681.4164369926</v>
      </c>
      <c r="CE43" s="59">
        <f t="shared" si="189"/>
        <v>56948002.062299952</v>
      </c>
      <c r="CF43" s="22"/>
      <c r="CG43" s="29">
        <f t="shared" ref="CG43:CS43" si="190">+CG29-CG38</f>
        <v>3870460.1036399519</v>
      </c>
      <c r="CH43" s="29">
        <f t="shared" si="190"/>
        <v>3466927.4262025245</v>
      </c>
      <c r="CI43" s="29">
        <f t="shared" si="190"/>
        <v>3195649.2650125325</v>
      </c>
      <c r="CJ43" s="29">
        <f t="shared" si="190"/>
        <v>2405601.7379117627</v>
      </c>
      <c r="CK43" s="29">
        <f t="shared" si="190"/>
        <v>3383173.7972195968</v>
      </c>
      <c r="CL43" s="29">
        <f t="shared" si="190"/>
        <v>3317925.8576896284</v>
      </c>
      <c r="CM43" s="29">
        <f t="shared" si="190"/>
        <v>3557340.593011911</v>
      </c>
      <c r="CN43" s="29">
        <f t="shared" si="190"/>
        <v>3264251.4544420382</v>
      </c>
      <c r="CO43" s="29">
        <f t="shared" si="190"/>
        <v>2793998.7669220222</v>
      </c>
      <c r="CP43" s="29">
        <f t="shared" si="190"/>
        <v>4660879.6139459405</v>
      </c>
      <c r="CQ43" s="29">
        <f t="shared" si="190"/>
        <v>3810858.5950591825</v>
      </c>
      <c r="CR43" s="29">
        <f t="shared" si="190"/>
        <v>2606972.8941595834</v>
      </c>
      <c r="CS43" s="59">
        <f t="shared" si="190"/>
        <v>40334040.105216682</v>
      </c>
      <c r="CT43" s="10" t="str">
        <f t="shared" si="11"/>
        <v>Gross Profit</v>
      </c>
      <c r="CU43" s="29">
        <f t="shared" ref="CU43:DF43" si="191">+CU29-CU38</f>
        <v>2403811.5762496544</v>
      </c>
      <c r="CV43" s="29">
        <f t="shared" si="191"/>
        <v>1658102.2402460873</v>
      </c>
      <c r="CW43" s="29">
        <f t="shared" si="191"/>
        <v>2695783.3015390849</v>
      </c>
      <c r="CX43" s="29">
        <f t="shared" si="191"/>
        <v>2601611.3088195892</v>
      </c>
      <c r="CY43" s="29">
        <f t="shared" si="191"/>
        <v>3285660.2424221421</v>
      </c>
      <c r="CZ43" s="29">
        <f t="shared" si="191"/>
        <v>2472962.8867997481</v>
      </c>
      <c r="DA43" s="29">
        <f t="shared" si="191"/>
        <v>3369125.5458774129</v>
      </c>
      <c r="DB43" s="29">
        <f t="shared" si="191"/>
        <v>3572991.8907045843</v>
      </c>
      <c r="DC43" s="29">
        <f t="shared" si="191"/>
        <v>2209952.1579980459</v>
      </c>
      <c r="DD43" s="29">
        <f t="shared" si="191"/>
        <v>2974861.7800509334</v>
      </c>
      <c r="DE43" s="29">
        <f t="shared" si="191"/>
        <v>0</v>
      </c>
      <c r="DF43" s="29">
        <f t="shared" si="191"/>
        <v>0</v>
      </c>
      <c r="DG43" s="29">
        <f t="shared" ref="DG43" si="192">+DG29-DG38</f>
        <v>27244862.930707276</v>
      </c>
      <c r="DH43" s="118">
        <f t="shared" si="149"/>
        <v>-4.8872587507824673E-2</v>
      </c>
      <c r="DI43" s="29">
        <f t="shared" ref="DI43:DU43" si="193">+DI29-DI38</f>
        <v>3772825.9495086605</v>
      </c>
      <c r="DJ43" s="29">
        <f t="shared" si="193"/>
        <v>3671686.2975706607</v>
      </c>
      <c r="DK43" s="29">
        <f t="shared" si="193"/>
        <v>4093235.6183086615</v>
      </c>
      <c r="DL43" s="29">
        <f t="shared" si="193"/>
        <v>3044424.5768776592</v>
      </c>
      <c r="DM43" s="29">
        <f t="shared" si="193"/>
        <v>3573855.9530996596</v>
      </c>
      <c r="DN43" s="29">
        <f t="shared" si="193"/>
        <v>3838571.6412106603</v>
      </c>
      <c r="DO43" s="29">
        <f t="shared" si="193"/>
        <v>4037199.4195626602</v>
      </c>
      <c r="DP43" s="29">
        <f t="shared" si="193"/>
        <v>3875054.1499236599</v>
      </c>
      <c r="DQ43" s="29">
        <f t="shared" si="193"/>
        <v>3776943.4817016609</v>
      </c>
      <c r="DR43" s="29">
        <f t="shared" si="193"/>
        <v>3127721.6290676584</v>
      </c>
      <c r="DS43" s="29">
        <f t="shared" si="193"/>
        <v>3515548.0165666603</v>
      </c>
      <c r="DT43" s="29">
        <f t="shared" si="193"/>
        <v>3813582.5255536586</v>
      </c>
      <c r="DU43" s="59">
        <f t="shared" si="193"/>
        <v>44140649.258951902</v>
      </c>
      <c r="DW43" s="29">
        <f t="shared" ref="DW43:EI43" si="194">+DW29-DW38</f>
        <v>0</v>
      </c>
      <c r="DX43" s="29">
        <f t="shared" si="194"/>
        <v>0</v>
      </c>
      <c r="DY43" s="29">
        <f t="shared" si="194"/>
        <v>0</v>
      </c>
      <c r="DZ43" s="29">
        <f t="shared" si="194"/>
        <v>0</v>
      </c>
      <c r="EA43" s="29">
        <f t="shared" si="194"/>
        <v>0</v>
      </c>
      <c r="EB43" s="29">
        <f t="shared" si="194"/>
        <v>0</v>
      </c>
      <c r="EC43" s="29">
        <f t="shared" si="194"/>
        <v>0</v>
      </c>
      <c r="ED43" s="29">
        <f t="shared" si="194"/>
        <v>0</v>
      </c>
      <c r="EE43" s="29">
        <f t="shared" si="194"/>
        <v>0</v>
      </c>
      <c r="EF43" s="29">
        <f t="shared" si="194"/>
        <v>0</v>
      </c>
      <c r="EG43" s="29">
        <f t="shared" si="194"/>
        <v>0</v>
      </c>
      <c r="EH43" s="29">
        <f t="shared" si="194"/>
        <v>0</v>
      </c>
      <c r="EI43" s="59">
        <f t="shared" si="194"/>
        <v>0</v>
      </c>
      <c r="EJ43" s="10" t="str">
        <f t="shared" si="71"/>
        <v>Gross Profit</v>
      </c>
      <c r="EK43" s="29">
        <f t="shared" ref="EK43:EV43" si="195">+EK29-EK38</f>
        <v>715035.80749969766</v>
      </c>
      <c r="EL43" s="29">
        <f t="shared" si="195"/>
        <v>935847.56560084503</v>
      </c>
      <c r="EM43" s="29">
        <f t="shared" si="195"/>
        <v>612153.62999999966</v>
      </c>
      <c r="EN43" s="29">
        <f t="shared" si="195"/>
        <v>987540.9600000002</v>
      </c>
      <c r="EO43" s="29">
        <f t="shared" si="195"/>
        <v>709186.68800000055</v>
      </c>
      <c r="EP43" s="29">
        <f t="shared" si="195"/>
        <v>805760.66539466521</v>
      </c>
      <c r="EQ43" s="29">
        <f t="shared" si="195"/>
        <v>892216.82799999975</v>
      </c>
      <c r="ER43" s="29">
        <f t="shared" si="195"/>
        <v>1002296.8159999987</v>
      </c>
      <c r="ES43" s="29">
        <f t="shared" si="195"/>
        <v>1033075.8641844951</v>
      </c>
      <c r="ET43" s="29">
        <f t="shared" si="195"/>
        <v>1337522.8692386043</v>
      </c>
      <c r="EU43" s="29">
        <f t="shared" si="195"/>
        <v>0</v>
      </c>
      <c r="EV43" s="29">
        <f t="shared" si="195"/>
        <v>0</v>
      </c>
      <c r="EW43" s="29">
        <f t="shared" ref="EW43" si="196">+EW29-EW38</f>
        <v>9030637.6939183101</v>
      </c>
      <c r="EX43" s="118">
        <f t="shared" si="153"/>
        <v>0.14397621702444077</v>
      </c>
      <c r="EY43" s="59">
        <f t="shared" ref="EY43:FK43" si="197">+EY29-EY38</f>
        <v>1328374.1205128203</v>
      </c>
      <c r="EZ43" s="59">
        <f t="shared" si="197"/>
        <v>1225235.2005128204</v>
      </c>
      <c r="FA43" s="59">
        <f t="shared" si="197"/>
        <v>1392835.9455128205</v>
      </c>
      <c r="FB43" s="59">
        <f t="shared" si="197"/>
        <v>1225235.2005128204</v>
      </c>
      <c r="FC43" s="59">
        <f t="shared" si="197"/>
        <v>1500272.3205128205</v>
      </c>
      <c r="FD43" s="59">
        <f t="shared" si="197"/>
        <v>1500272.3205128205</v>
      </c>
      <c r="FE43" s="59">
        <f t="shared" si="197"/>
        <v>1715145.0705128205</v>
      </c>
      <c r="FF43" s="59">
        <f t="shared" si="197"/>
        <v>1643520.8205128205</v>
      </c>
      <c r="FG43" s="59">
        <f t="shared" si="197"/>
        <v>1560436.6905128206</v>
      </c>
      <c r="FH43" s="59">
        <f t="shared" si="197"/>
        <v>1169187.6538461538</v>
      </c>
      <c r="FI43" s="59">
        <f t="shared" si="197"/>
        <v>1227990.693846154</v>
      </c>
      <c r="FJ43" s="59">
        <f t="shared" si="197"/>
        <v>1297315.2269370626</v>
      </c>
      <c r="FK43" s="59">
        <f t="shared" si="197"/>
        <v>16785821.264244765</v>
      </c>
    </row>
    <row r="44" spans="1:167" ht="14.45" customHeight="1">
      <c r="A44" s="106">
        <f t="shared" ref="A44:L46" si="198">+AQ44+CG44+DW44</f>
        <v>1159231.15774304</v>
      </c>
      <c r="B44" s="106">
        <f t="shared" si="198"/>
        <v>1159231.15774304</v>
      </c>
      <c r="C44" s="106">
        <f t="shared" si="198"/>
        <v>621838.19460416702</v>
      </c>
      <c r="D44" s="106">
        <f t="shared" si="198"/>
        <v>351279.08783539198</v>
      </c>
      <c r="E44" s="106">
        <f t="shared" si="198"/>
        <v>429792.68799255497</v>
      </c>
      <c r="F44" s="106">
        <f t="shared" si="198"/>
        <v>349775.43934204208</v>
      </c>
      <c r="G44" s="106">
        <f t="shared" si="198"/>
        <v>845907</v>
      </c>
      <c r="H44" s="106">
        <f t="shared" si="198"/>
        <v>791776</v>
      </c>
      <c r="I44" s="106">
        <f t="shared" si="198"/>
        <v>392141</v>
      </c>
      <c r="J44" s="106">
        <f t="shared" si="198"/>
        <v>911487.27894517605</v>
      </c>
      <c r="K44" s="106">
        <f t="shared" si="198"/>
        <v>736702.09442617896</v>
      </c>
      <c r="L44" s="106">
        <f t="shared" si="198"/>
        <v>547440.78040656005</v>
      </c>
      <c r="M44" s="106">
        <f t="shared" si="137"/>
        <v>8296601.8790381504</v>
      </c>
      <c r="N44" s="7" t="s">
        <v>38</v>
      </c>
      <c r="O44" s="22">
        <f t="shared" ref="O44:Z46" si="199">+BE44+CU44+EK44</f>
        <v>0</v>
      </c>
      <c r="P44" s="22">
        <f t="shared" si="199"/>
        <v>937661.965951522</v>
      </c>
      <c r="Q44" s="22">
        <f t="shared" si="199"/>
        <v>632909.40479212312</v>
      </c>
      <c r="R44" s="22">
        <f t="shared" si="199"/>
        <v>467948.69160355901</v>
      </c>
      <c r="S44" s="22">
        <f t="shared" si="199"/>
        <v>682759.28443311516</v>
      </c>
      <c r="T44" s="22">
        <f t="shared" si="199"/>
        <v>1144469.28024575</v>
      </c>
      <c r="U44" s="22">
        <f t="shared" si="199"/>
        <v>949666.90762517205</v>
      </c>
      <c r="V44" s="22">
        <f t="shared" si="199"/>
        <v>912922</v>
      </c>
      <c r="W44" s="22">
        <f t="shared" si="199"/>
        <v>802318.44273583498</v>
      </c>
      <c r="X44" s="22">
        <f t="shared" si="199"/>
        <v>608343.19999999995</v>
      </c>
      <c r="Y44" s="22">
        <f t="shared" si="199"/>
        <v>0</v>
      </c>
      <c r="Z44" s="22">
        <f t="shared" si="199"/>
        <v>0</v>
      </c>
      <c r="AA44" s="22">
        <f t="shared" ref="AA44:AA46" si="200">+SUM(O44:Z44)</f>
        <v>7138999.1773870764</v>
      </c>
      <c r="AB44" s="118">
        <f t="shared" si="140"/>
        <v>-0.2717652450752901</v>
      </c>
      <c r="AC44" s="22">
        <f t="shared" ref="AC44:AN46" si="201">+BS44+DI44+EY44</f>
        <v>796055.50378575013</v>
      </c>
      <c r="AD44" s="22">
        <f t="shared" si="201"/>
        <v>815711.1952372503</v>
      </c>
      <c r="AE44" s="22">
        <f t="shared" si="201"/>
        <v>845194.73241450009</v>
      </c>
      <c r="AF44" s="22">
        <f t="shared" si="201"/>
        <v>687949.20080250048</v>
      </c>
      <c r="AG44" s="22">
        <f t="shared" si="201"/>
        <v>825539.04096300039</v>
      </c>
      <c r="AH44" s="22">
        <f t="shared" si="201"/>
        <v>845194.73241450009</v>
      </c>
      <c r="AI44" s="22">
        <f t="shared" si="201"/>
        <v>913989.65249475022</v>
      </c>
      <c r="AJ44" s="22">
        <f t="shared" si="201"/>
        <v>894333.9610432504</v>
      </c>
      <c r="AK44" s="22">
        <f t="shared" si="201"/>
        <v>746916.27515700029</v>
      </c>
      <c r="AL44" s="22">
        <f t="shared" si="201"/>
        <v>835366.88668875024</v>
      </c>
      <c r="AM44" s="22">
        <f t="shared" si="201"/>
        <v>796055.50378575013</v>
      </c>
      <c r="AN44" s="22">
        <f t="shared" si="201"/>
        <v>825539.04096300039</v>
      </c>
      <c r="AO44" s="22">
        <f t="shared" ref="AO44:AO46" si="202">+SUM(AC44:AN44)</f>
        <v>9827845.725750003</v>
      </c>
      <c r="AQ44" s="106">
        <v>625984.82518124161</v>
      </c>
      <c r="AR44" s="106">
        <v>625984.82518124161</v>
      </c>
      <c r="AS44" s="106">
        <v>397976.44454666693</v>
      </c>
      <c r="AT44" s="106">
        <v>210767.45270123519</v>
      </c>
      <c r="AU44" s="106">
        <v>206300.49023642638</v>
      </c>
      <c r="AV44" s="106">
        <v>195874.24603154356</v>
      </c>
      <c r="AW44" s="106">
        <v>510555.81667409849</v>
      </c>
      <c r="AX44" s="106">
        <v>491753.16014207626</v>
      </c>
      <c r="AY44" s="106">
        <v>270268.5469309602</v>
      </c>
      <c r="AZ44" s="106">
        <v>646076.48939502367</v>
      </c>
      <c r="BA44" s="106">
        <v>468905.45923017355</v>
      </c>
      <c r="BB44" s="106">
        <v>391722.46599947836</v>
      </c>
      <c r="BC44" s="106">
        <f t="shared" ref="BC44:BC46" si="203">+SUM(AQ44:BB44)</f>
        <v>5042170.2222501663</v>
      </c>
      <c r="BD44" s="7" t="str">
        <f t="shared" si="7"/>
        <v>Monthly Target Incentive</v>
      </c>
      <c r="BE44" s="22">
        <f>+VLOOKUP($BD44,'Jan-25'!$A:$J,4,0)</f>
        <v>0</v>
      </c>
      <c r="BF44" s="22">
        <f>+VLOOKUP($BD44,'Feb-25'!$A:$J,4,0)</f>
        <v>427357.22413542401</v>
      </c>
      <c r="BG44" s="22">
        <f>+VLOOKUP($BD44,'Mar-25'!$A:$J,4,0)</f>
        <v>287840.23030468501</v>
      </c>
      <c r="BH44" s="22">
        <f>+VLOOKUP($BD44,'Apr-25'!$A:$J,4,0)</f>
        <v>267248.39093815553</v>
      </c>
      <c r="BI44" s="22">
        <f>+VLOOKUP($BD44,'May-25'!$A:$J,4,0)</f>
        <v>385113.72809031658</v>
      </c>
      <c r="BJ44" s="22">
        <f>+VLOOKUP($BD44,'June-25'!$A:$J,4,0)</f>
        <v>594691.0231845266</v>
      </c>
      <c r="BK44" s="22">
        <f>+VLOOKUP($BD44,'July-25'!$A:$J,4,0)</f>
        <v>535753.29861110111</v>
      </c>
      <c r="BL44" s="22">
        <f>+VLOOKUP($BD44,'Aug-25'!$A:$J,4,0)</f>
        <v>534430.56230356218</v>
      </c>
      <c r="BM44" s="22">
        <f>+VLOOKUP($BD44,'Sep-25'!$A:$J,4,0)</f>
        <v>497437.4344962177</v>
      </c>
      <c r="BN44" s="22">
        <f>+VLOOKUP($BD44,'Oct-25'!$A:$J,4,0)</f>
        <v>337299.20000000001</v>
      </c>
      <c r="BO44" s="22">
        <f>+VLOOKUP($BD44,'Nov-25'!$A:$J,4,0)</f>
        <v>0</v>
      </c>
      <c r="BP44" s="22">
        <f>+VLOOKUP($BD44,'Dec-25'!$A:$J,4,0)</f>
        <v>0</v>
      </c>
      <c r="BQ44" s="22">
        <f t="shared" ref="BQ44:BQ46" si="204">+SUM(BE44:BP44)</f>
        <v>3867171.092063989</v>
      </c>
      <c r="BR44" s="118">
        <f t="shared" si="145"/>
        <v>-0.26586595363125554</v>
      </c>
      <c r="BS44" s="106">
        <f>+_xlfn.XLOOKUP($BD44,Budget!$A:$A,Budget!AQ:AQ)</f>
        <v>437830.52708216262</v>
      </c>
      <c r="BT44" s="106">
        <f>+_xlfn.XLOOKUP($BD44,Budget!$A:$A,Budget!AR:AR)</f>
        <v>448641.15738048765</v>
      </c>
      <c r="BU44" s="106">
        <f>+_xlfn.XLOOKUP($BD44,Budget!$A:$A,Budget!AS:AS)</f>
        <v>464857.10282797506</v>
      </c>
      <c r="BV44" s="106">
        <f>+_xlfn.XLOOKUP($BD44,Budget!$A:$A,Budget!AT:AT)</f>
        <v>378372.0604413753</v>
      </c>
      <c r="BW44" s="106">
        <f>+_xlfn.XLOOKUP($BD44,Budget!$A:$A,Budget!AU:AU)</f>
        <v>454046.47252965026</v>
      </c>
      <c r="BX44" s="106">
        <f>+_xlfn.XLOOKUP($BD44,Budget!$A:$A,Budget!AV:AV)</f>
        <v>464857.10282797506</v>
      </c>
      <c r="BY44" s="106">
        <f>+_xlfn.XLOOKUP($BD44,Budget!$A:$A,Budget!AW:AW)</f>
        <v>502694.30887211266</v>
      </c>
      <c r="BZ44" s="106">
        <f>+_xlfn.XLOOKUP($BD44,Budget!$A:$A,Budget!AX:AX)</f>
        <v>491883.67857378768</v>
      </c>
      <c r="CA44" s="106">
        <f>+_xlfn.XLOOKUP($BD44,Budget!$A:$A,Budget!AY:AY)</f>
        <v>410803.95133635012</v>
      </c>
      <c r="CB44" s="106">
        <f>+_xlfn.XLOOKUP($BD44,Budget!$A:$A,Budget!AZ:AZ)</f>
        <v>459451.78767881269</v>
      </c>
      <c r="CC44" s="106">
        <f>+_xlfn.XLOOKUP($BD44,Budget!$A:$A,Budget!BA:BA)</f>
        <v>437830.52708216262</v>
      </c>
      <c r="CD44" s="106">
        <f>+_xlfn.XLOOKUP($BD44,Budget!$A:$A,Budget!BB:BB)</f>
        <v>454046.47252965026</v>
      </c>
      <c r="CE44" s="106">
        <f t="shared" ref="CE44:CE46" si="205">+SUM(BS44:CD44)</f>
        <v>5405315.149162503</v>
      </c>
      <c r="CF44" s="22"/>
      <c r="CG44" s="22">
        <v>533246.33256179839</v>
      </c>
      <c r="CH44" s="22">
        <v>533246.33256179839</v>
      </c>
      <c r="CI44" s="22">
        <v>223861.75005750012</v>
      </c>
      <c r="CJ44" s="22">
        <v>140511.63513415679</v>
      </c>
      <c r="CK44" s="22">
        <v>223492.19775612859</v>
      </c>
      <c r="CL44" s="22">
        <v>153901.19331049852</v>
      </c>
      <c r="CM44" s="22">
        <v>335351.18332590151</v>
      </c>
      <c r="CN44" s="22">
        <v>300022.83985792374</v>
      </c>
      <c r="CO44" s="22">
        <v>121872.45306903981</v>
      </c>
      <c r="CP44" s="22">
        <v>265410.78955015237</v>
      </c>
      <c r="CQ44" s="22">
        <v>267796.6351960054</v>
      </c>
      <c r="CR44" s="22">
        <v>155718.31440708163</v>
      </c>
      <c r="CS44" s="106">
        <f t="shared" ref="CS44:CS46" si="206">+SUM(CG44:CR44)</f>
        <v>3254431.656787985</v>
      </c>
      <c r="CT44" s="7" t="str">
        <f t="shared" si="11"/>
        <v>Monthly Target Incentive</v>
      </c>
      <c r="CU44" s="22">
        <f>+VLOOKUP($BD44,'Jan-25'!$A:$J,7,0)</f>
        <v>0</v>
      </c>
      <c r="CV44" s="22">
        <f>+VLOOKUP($BD44,'Feb-25'!$A:$J,7,0)</f>
        <v>332462.98313311819</v>
      </c>
      <c r="CW44" s="22">
        <f>+VLOOKUP($BD44,'Mar-25'!$A:$J,7,0)</f>
        <v>279777.48372347502</v>
      </c>
      <c r="CX44" s="22">
        <f>+VLOOKUP($BD44,'Apr-25'!$A:$J,7,0)</f>
        <v>166159.91873700774</v>
      </c>
      <c r="CY44" s="22">
        <f>+VLOOKUP($BD44,'May-25'!$A:$J,7,0)</f>
        <v>214540.39491902466</v>
      </c>
      <c r="CZ44" s="22">
        <f>+VLOOKUP($BD44,'June-25'!$A:$J,7,0)</f>
        <v>380717.07847459521</v>
      </c>
      <c r="DA44" s="22">
        <f>+VLOOKUP($BD44,'July-25'!$A:$J,7,0)</f>
        <v>307764.46470218076</v>
      </c>
      <c r="DB44" s="22">
        <f>+VLOOKUP($BD44,'Aug-25'!$A:$J,7,0)</f>
        <v>274054.7486967771</v>
      </c>
      <c r="DC44" s="22">
        <f>+VLOOKUP($BD44,'Sep-25'!$A:$J,7,0)</f>
        <v>216625.97953867546</v>
      </c>
      <c r="DD44" s="22">
        <f>+VLOOKUP($BD44,'Oct-25'!$A:$J,7,0)</f>
        <v>192742.39999999999</v>
      </c>
      <c r="DE44" s="22">
        <f>+VLOOKUP($BD44,'Nov-25'!$A:$J,7,0)</f>
        <v>0</v>
      </c>
      <c r="DF44" s="22">
        <f>+VLOOKUP($BD44,'Dec-25'!$A:$J,7,0)</f>
        <v>0</v>
      </c>
      <c r="DG44" s="22">
        <f t="shared" ref="DG44:DG46" si="207">+SUM(CU44:DF44)</f>
        <v>2364845.4519248544</v>
      </c>
      <c r="DH44" s="118">
        <f t="shared" si="149"/>
        <v>-0.34077759101582128</v>
      </c>
      <c r="DI44" s="22">
        <f>+_xlfn.XLOOKUP($CT44,Budget!$A:$A,Budget!CD:CD)</f>
        <v>278619.42632501258</v>
      </c>
      <c r="DJ44" s="22">
        <f>+_xlfn.XLOOKUP($CT44,Budget!$A:$A,Budget!CE:CE)</f>
        <v>285498.91833303758</v>
      </c>
      <c r="DK44" s="22">
        <f>+_xlfn.XLOOKUP($CT44,Budget!$A:$A,Budget!CF:CF)</f>
        <v>295818.15634507505</v>
      </c>
      <c r="DL44" s="22">
        <f>+_xlfn.XLOOKUP($CT44,Budget!$A:$A,Budget!CG:CG)</f>
        <v>240782.22028087519</v>
      </c>
      <c r="DM44" s="22">
        <f>+_xlfn.XLOOKUP($CT44,Budget!$A:$A,Budget!CH:CH)</f>
        <v>288938.66433705017</v>
      </c>
      <c r="DN44" s="22">
        <f>+_xlfn.XLOOKUP($CT44,Budget!$A:$A,Budget!CI:CI)</f>
        <v>295818.15634507505</v>
      </c>
      <c r="DO44" s="22">
        <f>+_xlfn.XLOOKUP($CT44,Budget!$A:$A,Budget!CJ:CJ)</f>
        <v>319896.37837316259</v>
      </c>
      <c r="DP44" s="22">
        <f>+_xlfn.XLOOKUP($CT44,Budget!$A:$A,Budget!CK:CK)</f>
        <v>313016.88636513765</v>
      </c>
      <c r="DQ44" s="22">
        <f>+_xlfn.XLOOKUP($CT44,Budget!$A:$A,Budget!CL:CL)</f>
        <v>261420.69630495008</v>
      </c>
      <c r="DR44" s="22">
        <f>+_xlfn.XLOOKUP($CT44,Budget!$A:$A,Budget!CM:CM)</f>
        <v>292378.41034106258</v>
      </c>
      <c r="DS44" s="22">
        <f>+_xlfn.XLOOKUP($CT44,Budget!$A:$A,Budget!CN:CN)</f>
        <v>278619.42632501258</v>
      </c>
      <c r="DT44" s="22">
        <f>+_xlfn.XLOOKUP($CT44,Budget!$A:$A,Budget!CO:CO)</f>
        <v>288938.66433705017</v>
      </c>
      <c r="DU44" s="106">
        <f t="shared" ref="DU44:DU46" si="208">+SUM(DI44:DT44)</f>
        <v>3439746.0040125009</v>
      </c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106">
        <f t="shared" ref="EI44:EI46" si="209">+SUM(DW44:EH44)</f>
        <v>0</v>
      </c>
      <c r="EJ44" s="7" t="str">
        <f t="shared" si="71"/>
        <v>Monthly Target Incentive</v>
      </c>
      <c r="EK44" s="22">
        <f>+VLOOKUP($BD44,'Jan-25'!$A:$J,9,0)</f>
        <v>0</v>
      </c>
      <c r="EL44" s="22">
        <f>+VLOOKUP($BD44,'Feb-25'!$A:$J,9,0)</f>
        <v>177841.75868297982</v>
      </c>
      <c r="EM44" s="22">
        <f>+VLOOKUP($BD44,'Mar-25'!$A:$J,9,0)</f>
        <v>65291.690763963074</v>
      </c>
      <c r="EN44" s="22">
        <f>+VLOOKUP($BD44,'Apr-25'!$A:$J,9,0)</f>
        <v>34540.381928395764</v>
      </c>
      <c r="EO44" s="22">
        <f>+VLOOKUP($BD44,'May-25'!$A:$J,9,0)</f>
        <v>83105.161423773825</v>
      </c>
      <c r="EP44" s="22">
        <f>+VLOOKUP($BD44,'June-25'!$A:$J,9,0)</f>
        <v>169061.1785866282</v>
      </c>
      <c r="EQ44" s="22">
        <f>+VLOOKUP($BD44,'July-25'!$A:$J,9,0)</f>
        <v>106149.14431189018</v>
      </c>
      <c r="ER44" s="22">
        <f>+VLOOKUP($BD44,'Aug-25'!$A:$J,9,0)</f>
        <v>104436.68899966079</v>
      </c>
      <c r="ES44" s="22">
        <f>+VLOOKUP($BD44,'Sep-25'!$A:$J,9,0)</f>
        <v>88255.028700941853</v>
      </c>
      <c r="ET44" s="22">
        <f>+VLOOKUP($BD44,'Oct-25'!$A:$J,9,0)</f>
        <v>78301.600000000006</v>
      </c>
      <c r="EU44" s="22">
        <f>+VLOOKUP($BD44,'Nov-25'!$A:$J,9,0)</f>
        <v>0</v>
      </c>
      <c r="EV44" s="22">
        <f>+VLOOKUP($BD44,'Dec-25'!$A:$J,9,0)</f>
        <v>0</v>
      </c>
      <c r="EW44" s="22">
        <f t="shared" ref="EW44:EW46" si="210">+SUM(EK44:EV44)</f>
        <v>906982.63339823345</v>
      </c>
      <c r="EX44" s="118">
        <f t="shared" si="153"/>
        <v>-6.2668137225620743E-2</v>
      </c>
      <c r="EY44" s="106">
        <f>+_xlfn.XLOOKUP($EJ44,Budget!$A:$A,Budget!DE:DE)</f>
        <v>79605.550378575019</v>
      </c>
      <c r="EZ44" s="106">
        <f>+_xlfn.XLOOKUP($EJ44,Budget!$A:$A,Budget!DF:DF)</f>
        <v>81571.119523725036</v>
      </c>
      <c r="FA44" s="106">
        <f>+_xlfn.XLOOKUP($EJ44,Budget!$A:$A,Budget!DG:DG)</f>
        <v>84519.473241450018</v>
      </c>
      <c r="FB44" s="106">
        <f>+_xlfn.XLOOKUP($EJ44,Budget!$A:$A,Budget!DH:DH)</f>
        <v>68794.920080250056</v>
      </c>
      <c r="FC44" s="106">
        <f>+_xlfn.XLOOKUP($EJ44,Budget!$A:$A,Budget!DI:DI)</f>
        <v>82553.904096300044</v>
      </c>
      <c r="FD44" s="106">
        <f>+_xlfn.XLOOKUP($EJ44,Budget!$A:$A,Budget!DJ:DJ)</f>
        <v>84519.473241450018</v>
      </c>
      <c r="FE44" s="106">
        <f>+_xlfn.XLOOKUP($EJ44,Budget!$A:$A,Budget!DK:DK)</f>
        <v>91398.965249475019</v>
      </c>
      <c r="FF44" s="106">
        <f>+_xlfn.XLOOKUP($EJ44,Budget!$A:$A,Budget!DL:DL)</f>
        <v>89433.396104325046</v>
      </c>
      <c r="FG44" s="106">
        <f>+_xlfn.XLOOKUP($EJ44,Budget!$A:$A,Budget!DM:DM)</f>
        <v>74691.62751570002</v>
      </c>
      <c r="FH44" s="106">
        <f>+_xlfn.XLOOKUP($EJ44,Budget!$A:$A,Budget!DN:DN)</f>
        <v>83536.688668875024</v>
      </c>
      <c r="FI44" s="106">
        <f>+_xlfn.XLOOKUP($EJ44,Budget!$A:$A,Budget!DO:DO)</f>
        <v>79605.550378575019</v>
      </c>
      <c r="FJ44" s="106">
        <f>+_xlfn.XLOOKUP($EJ44,Budget!$A:$A,Budget!DP:DP)</f>
        <v>82553.904096300044</v>
      </c>
      <c r="FK44" s="106">
        <f t="shared" ref="FK44:FK46" si="211">+SUM(EY44:FJ44)</f>
        <v>982784.57257500035</v>
      </c>
    </row>
    <row r="45" spans="1:167" ht="14.45" customHeight="1">
      <c r="A45" s="106">
        <f t="shared" si="198"/>
        <v>0</v>
      </c>
      <c r="B45" s="106">
        <f t="shared" si="198"/>
        <v>0</v>
      </c>
      <c r="C45" s="106">
        <f t="shared" si="198"/>
        <v>2930221.8739818502</v>
      </c>
      <c r="D45" s="106">
        <f t="shared" si="198"/>
        <v>0</v>
      </c>
      <c r="E45" s="106">
        <f t="shared" si="198"/>
        <v>0</v>
      </c>
      <c r="F45" s="106">
        <f t="shared" si="198"/>
        <v>991070.35648600012</v>
      </c>
      <c r="G45" s="106">
        <f t="shared" si="198"/>
        <v>0</v>
      </c>
      <c r="H45" s="106">
        <f t="shared" si="198"/>
        <v>0</v>
      </c>
      <c r="I45" s="106">
        <f t="shared" si="198"/>
        <v>1798126.7062392002</v>
      </c>
      <c r="J45" s="106">
        <f t="shared" si="198"/>
        <v>0</v>
      </c>
      <c r="K45" s="106">
        <f t="shared" si="198"/>
        <v>0</v>
      </c>
      <c r="L45" s="106">
        <f t="shared" si="198"/>
        <v>2152924.8332923702</v>
      </c>
      <c r="M45" s="106">
        <f t="shared" si="137"/>
        <v>7872343.7699994203</v>
      </c>
      <c r="N45" s="7" t="s">
        <v>39</v>
      </c>
      <c r="O45" s="22">
        <f t="shared" si="199"/>
        <v>0</v>
      </c>
      <c r="P45" s="22">
        <f t="shared" si="199"/>
        <v>0</v>
      </c>
      <c r="Q45" s="22">
        <f t="shared" si="199"/>
        <v>1381933.36530128</v>
      </c>
      <c r="R45" s="22">
        <f t="shared" si="199"/>
        <v>0</v>
      </c>
      <c r="S45" s="22">
        <f t="shared" si="199"/>
        <v>0</v>
      </c>
      <c r="T45" s="22">
        <f t="shared" si="199"/>
        <v>2284394.3045478002</v>
      </c>
      <c r="U45" s="22">
        <f t="shared" si="199"/>
        <v>0</v>
      </c>
      <c r="V45" s="22">
        <f t="shared" si="199"/>
        <v>0</v>
      </c>
      <c r="W45" s="22">
        <f t="shared" si="199"/>
        <v>2678972.2739264001</v>
      </c>
      <c r="X45" s="22">
        <f t="shared" si="199"/>
        <v>0</v>
      </c>
      <c r="Y45" s="22">
        <f t="shared" si="199"/>
        <v>0</v>
      </c>
      <c r="Z45" s="22">
        <f t="shared" si="199"/>
        <v>0</v>
      </c>
      <c r="AA45" s="22">
        <f t="shared" si="200"/>
        <v>6345299.9437754806</v>
      </c>
      <c r="AB45" s="118">
        <f t="shared" si="140"/>
        <v>0</v>
      </c>
      <c r="AC45" s="22">
        <f t="shared" si="201"/>
        <v>0</v>
      </c>
      <c r="AD45" s="22">
        <f t="shared" si="201"/>
        <v>0</v>
      </c>
      <c r="AE45" s="22">
        <f t="shared" si="201"/>
        <v>1720272.4723125</v>
      </c>
      <c r="AF45" s="22">
        <f t="shared" si="201"/>
        <v>0</v>
      </c>
      <c r="AG45" s="22">
        <f t="shared" si="201"/>
        <v>0</v>
      </c>
      <c r="AH45" s="22">
        <f t="shared" si="201"/>
        <v>1625446.6306200002</v>
      </c>
      <c r="AI45" s="22">
        <f t="shared" si="201"/>
        <v>0</v>
      </c>
      <c r="AJ45" s="22">
        <f t="shared" si="201"/>
        <v>0</v>
      </c>
      <c r="AK45" s="22">
        <f t="shared" si="201"/>
        <v>1763397.4340049999</v>
      </c>
      <c r="AL45" s="22">
        <f t="shared" si="201"/>
        <v>0</v>
      </c>
      <c r="AM45" s="22">
        <f t="shared" si="201"/>
        <v>0</v>
      </c>
      <c r="AN45" s="22">
        <f t="shared" si="201"/>
        <v>1691484.4823125</v>
      </c>
      <c r="AO45" s="22">
        <f t="shared" si="202"/>
        <v>6800601.0192499999</v>
      </c>
      <c r="AQ45" s="106">
        <v>0</v>
      </c>
      <c r="AR45" s="106">
        <v>0</v>
      </c>
      <c r="AS45" s="106">
        <v>1787435.3431289287</v>
      </c>
      <c r="AT45" s="106">
        <v>0</v>
      </c>
      <c r="AU45" s="106">
        <v>0</v>
      </c>
      <c r="AV45" s="106">
        <v>594642.21389160003</v>
      </c>
      <c r="AW45" s="106">
        <v>0</v>
      </c>
      <c r="AX45" s="106">
        <v>0</v>
      </c>
      <c r="AY45" s="106">
        <v>1078876.02374352</v>
      </c>
      <c r="AZ45" s="106">
        <v>0</v>
      </c>
      <c r="BA45" s="106">
        <v>0</v>
      </c>
      <c r="BB45" s="106">
        <v>1291754.8999754221</v>
      </c>
      <c r="BC45" s="106">
        <f t="shared" si="203"/>
        <v>4752708.4807394706</v>
      </c>
      <c r="BD45" s="7" t="str">
        <f t="shared" si="7"/>
        <v>Quarterly Target Incentive</v>
      </c>
      <c r="BE45" s="22">
        <f>+VLOOKUP($BD45,'Jan-25'!$A:$J,4,0)</f>
        <v>0</v>
      </c>
      <c r="BF45" s="22">
        <f>+VLOOKUP($BD45,'Feb-25'!$A:$J,4,0)</f>
        <v>0</v>
      </c>
      <c r="BG45" s="22">
        <f>+VLOOKUP($BD45,'Mar-25'!$A:$J,4,0)</f>
        <v>690966.68265064002</v>
      </c>
      <c r="BH45" s="22">
        <f>+VLOOKUP($BD45,'Apr-25'!$A:$J,4,0)</f>
        <v>0</v>
      </c>
      <c r="BI45" s="22">
        <f>+VLOOKUP($BD45,'May-25'!$A:$J,4,0)</f>
        <v>0</v>
      </c>
      <c r="BJ45" s="22">
        <f>+VLOOKUP($BD45,'June-25'!$A:$J,4,0)</f>
        <v>1142197.1522739001</v>
      </c>
      <c r="BK45" s="22">
        <f>+VLOOKUP($BD45,'July-25'!$A:$J,4,0)</f>
        <v>0</v>
      </c>
      <c r="BL45" s="22">
        <f>+VLOOKUP($BD45,'Aug-25'!$A:$J,4,0)</f>
        <v>0</v>
      </c>
      <c r="BM45" s="22">
        <f>+VLOOKUP($BD45,'Sep-25'!$A:$J,4,0)</f>
        <v>1339486.1369632001</v>
      </c>
      <c r="BN45" s="22">
        <f>+VLOOKUP($BD45,'Oct-25'!$A:$J,4,0)</f>
        <v>0</v>
      </c>
      <c r="BO45" s="22">
        <f>+VLOOKUP($BD45,'Nov-25'!$A:$J,4,0)</f>
        <v>0</v>
      </c>
      <c r="BP45" s="22">
        <f>+VLOOKUP($BD45,'Dec-25'!$A:$J,4,0)</f>
        <v>0</v>
      </c>
      <c r="BQ45" s="22">
        <f t="shared" si="204"/>
        <v>3172649.9718877403</v>
      </c>
      <c r="BR45" s="118">
        <f t="shared" si="145"/>
        <v>0</v>
      </c>
      <c r="BS45" s="106">
        <f>+_xlfn.XLOOKUP($BD45,Budget!$A:$A,Budget!AQ:AQ)</f>
        <v>0</v>
      </c>
      <c r="BT45" s="106">
        <f>+_xlfn.XLOOKUP($BD45,Budget!$A:$A,Budget!AR:AR)</f>
        <v>0</v>
      </c>
      <c r="BU45" s="106">
        <f>+_xlfn.XLOOKUP($BD45,Budget!$A:$A,Budget!AS:AS)</f>
        <v>946149.85977187508</v>
      </c>
      <c r="BV45" s="106">
        <f>+_xlfn.XLOOKUP($BD45,Budget!$A:$A,Budget!AT:AT)</f>
        <v>0</v>
      </c>
      <c r="BW45" s="106">
        <f>+_xlfn.XLOOKUP($BD45,Budget!$A:$A,Budget!AU:AU)</f>
        <v>0</v>
      </c>
      <c r="BX45" s="106">
        <f>+_xlfn.XLOOKUP($BD45,Budget!$A:$A,Budget!AV:AV)</f>
        <v>893995.64684100018</v>
      </c>
      <c r="BY45" s="106">
        <f>+_xlfn.XLOOKUP($BD45,Budget!$A:$A,Budget!AW:AW)</f>
        <v>0</v>
      </c>
      <c r="BZ45" s="106">
        <f>+_xlfn.XLOOKUP($BD45,Budget!$A:$A,Budget!AX:AX)</f>
        <v>0</v>
      </c>
      <c r="CA45" s="106">
        <f>+_xlfn.XLOOKUP($BD45,Budget!$A:$A,Budget!AY:AY)</f>
        <v>969868.58870274993</v>
      </c>
      <c r="CB45" s="106">
        <f>+_xlfn.XLOOKUP($BD45,Budget!$A:$A,Budget!AZ:AZ)</f>
        <v>0</v>
      </c>
      <c r="CC45" s="106">
        <f>+_xlfn.XLOOKUP($BD45,Budget!$A:$A,Budget!BA:BA)</f>
        <v>0</v>
      </c>
      <c r="CD45" s="106">
        <f>+_xlfn.XLOOKUP($BD45,Budget!$A:$A,Budget!BB:BB)</f>
        <v>930316.46527187503</v>
      </c>
      <c r="CE45" s="106">
        <f t="shared" si="205"/>
        <v>3740330.5605875002</v>
      </c>
      <c r="CF45" s="22"/>
      <c r="CG45" s="22">
        <v>0</v>
      </c>
      <c r="CH45" s="22">
        <v>0</v>
      </c>
      <c r="CI45" s="22">
        <v>1142786.5308529215</v>
      </c>
      <c r="CJ45" s="22">
        <v>0</v>
      </c>
      <c r="CK45" s="22">
        <v>0</v>
      </c>
      <c r="CL45" s="22">
        <v>396428.14259440004</v>
      </c>
      <c r="CM45" s="22">
        <v>0</v>
      </c>
      <c r="CN45" s="22">
        <v>0</v>
      </c>
      <c r="CO45" s="22">
        <v>719250.68249568017</v>
      </c>
      <c r="CP45" s="22">
        <v>0</v>
      </c>
      <c r="CQ45" s="22">
        <v>0</v>
      </c>
      <c r="CR45" s="22">
        <v>861169.93331694813</v>
      </c>
      <c r="CS45" s="106">
        <f t="shared" si="206"/>
        <v>3119635.2892599497</v>
      </c>
      <c r="CT45" s="7" t="str">
        <f t="shared" si="11"/>
        <v>Quarterly Target Incentive</v>
      </c>
      <c r="CU45" s="22">
        <f>+VLOOKUP($BD45,'Jan-25'!$A:$J,7,0)</f>
        <v>0</v>
      </c>
      <c r="CV45" s="22">
        <f>+VLOOKUP($BD45,'Feb-25'!$A:$J,7,0)</f>
        <v>0</v>
      </c>
      <c r="CW45" s="22">
        <f>+VLOOKUP($BD45,'Mar-25'!$A:$J,7,0)</f>
        <v>414580.00959038403</v>
      </c>
      <c r="CX45" s="22">
        <f>+VLOOKUP($BD45,'Apr-25'!$A:$J,7,0)</f>
        <v>0</v>
      </c>
      <c r="CY45" s="22">
        <f>+VLOOKUP($BD45,'May-25'!$A:$J,7,0)</f>
        <v>0</v>
      </c>
      <c r="CZ45" s="22">
        <f>+VLOOKUP($BD45,'June-25'!$A:$J,7,0)</f>
        <v>685318.29136434</v>
      </c>
      <c r="DA45" s="22">
        <f>+VLOOKUP($BD45,'July-25'!$A:$J,7,0)</f>
        <v>0</v>
      </c>
      <c r="DB45" s="22">
        <f>+VLOOKUP($BD45,'Aug-25'!$A:$J,7,0)</f>
        <v>0</v>
      </c>
      <c r="DC45" s="22">
        <f>+VLOOKUP($BD45,'Sep-25'!$A:$J,7,0)</f>
        <v>803691.68217792001</v>
      </c>
      <c r="DD45" s="22">
        <f>+VLOOKUP($BD45,'Oct-25'!$A:$J,7,0)</f>
        <v>0</v>
      </c>
      <c r="DE45" s="22">
        <f>+VLOOKUP($BD45,'Nov-25'!$A:$J,7,0)</f>
        <v>0</v>
      </c>
      <c r="DF45" s="22">
        <f>+VLOOKUP($BD45,'Dec-25'!$A:$J,7,0)</f>
        <v>0</v>
      </c>
      <c r="DG45" s="22">
        <f t="shared" si="207"/>
        <v>1903589.9831326441</v>
      </c>
      <c r="DH45" s="118">
        <f t="shared" si="149"/>
        <v>0</v>
      </c>
      <c r="DI45" s="22">
        <f>+_xlfn.XLOOKUP($CT45,Budget!$A:$A,Budget!CD:CD)</f>
        <v>0</v>
      </c>
      <c r="DJ45" s="22">
        <f>+_xlfn.XLOOKUP($CT45,Budget!$A:$A,Budget!CE:CE)</f>
        <v>0</v>
      </c>
      <c r="DK45" s="22">
        <f>+_xlfn.XLOOKUP($CT45,Budget!$A:$A,Budget!CF:CF)</f>
        <v>602095.36530937499</v>
      </c>
      <c r="DL45" s="22">
        <f>+_xlfn.XLOOKUP($CT45,Budget!$A:$A,Budget!CG:CG)</f>
        <v>0</v>
      </c>
      <c r="DM45" s="22">
        <f>+_xlfn.XLOOKUP($CT45,Budget!$A:$A,Budget!CH:CH)</f>
        <v>0</v>
      </c>
      <c r="DN45" s="22">
        <f>+_xlfn.XLOOKUP($CT45,Budget!$A:$A,Budget!CI:CI)</f>
        <v>568906.32071700017</v>
      </c>
      <c r="DO45" s="22">
        <f>+_xlfn.XLOOKUP($CT45,Budget!$A:$A,Budget!CJ:CJ)</f>
        <v>0</v>
      </c>
      <c r="DP45" s="22">
        <f>+_xlfn.XLOOKUP($CT45,Budget!$A:$A,Budget!CK:CK)</f>
        <v>0</v>
      </c>
      <c r="DQ45" s="22">
        <f>+_xlfn.XLOOKUP($CT45,Budget!$A:$A,Budget!CL:CL)</f>
        <v>617189.10190174996</v>
      </c>
      <c r="DR45" s="22">
        <f>+_xlfn.XLOOKUP($CT45,Budget!$A:$A,Budget!CM:CM)</f>
        <v>0</v>
      </c>
      <c r="DS45" s="22">
        <f>+_xlfn.XLOOKUP($CT45,Budget!$A:$A,Budget!CN:CN)</f>
        <v>0</v>
      </c>
      <c r="DT45" s="22">
        <f>+_xlfn.XLOOKUP($CT45,Budget!$A:$A,Budget!CO:CO)</f>
        <v>592019.56880937505</v>
      </c>
      <c r="DU45" s="106">
        <f t="shared" si="208"/>
        <v>2380210.3567375005</v>
      </c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106">
        <f t="shared" si="209"/>
        <v>0</v>
      </c>
      <c r="EJ45" s="7" t="str">
        <f t="shared" si="71"/>
        <v>Quarterly Target Incentive</v>
      </c>
      <c r="EK45" s="22">
        <f>+VLOOKUP($BD45,'Jan-25'!$A:$J,9,0)</f>
        <v>0</v>
      </c>
      <c r="EL45" s="22">
        <f>+VLOOKUP($BD45,'Feb-25'!$A:$J,9,0)</f>
        <v>0</v>
      </c>
      <c r="EM45" s="22">
        <f>+VLOOKUP($BD45,'Mar-25'!$A:$J,9,0)</f>
        <v>276386.673060256</v>
      </c>
      <c r="EN45" s="22">
        <f>+VLOOKUP($BD45,'Apr-25'!$A:$J,9,0)</f>
        <v>0</v>
      </c>
      <c r="EO45" s="22">
        <f>+VLOOKUP($BD45,'May-25'!$A:$J,9,0)</f>
        <v>0</v>
      </c>
      <c r="EP45" s="22">
        <f>+VLOOKUP($BD45,'June-25'!$A:$J,9,0)</f>
        <v>456878.86090956006</v>
      </c>
      <c r="EQ45" s="22">
        <f>+VLOOKUP($BD45,'July-25'!$A:$J,9,0)</f>
        <v>0</v>
      </c>
      <c r="ER45" s="22">
        <f>+VLOOKUP($BD45,'Aug-25'!$A:$J,9,0)</f>
        <v>0</v>
      </c>
      <c r="ES45" s="22">
        <f>+VLOOKUP($BD45,'Sep-25'!$A:$J,9,0)</f>
        <v>535794.45478528005</v>
      </c>
      <c r="ET45" s="22">
        <f>+VLOOKUP($BD45,'Oct-25'!$A:$J,9,0)</f>
        <v>0</v>
      </c>
      <c r="EU45" s="22">
        <f>+VLOOKUP($BD45,'Nov-25'!$A:$J,9,0)</f>
        <v>0</v>
      </c>
      <c r="EV45" s="22">
        <f>+VLOOKUP($BD45,'Dec-25'!$A:$J,9,0)</f>
        <v>0</v>
      </c>
      <c r="EW45" s="22">
        <f t="shared" si="210"/>
        <v>1269059.9887550962</v>
      </c>
      <c r="EX45" s="118">
        <f t="shared" si="153"/>
        <v>0</v>
      </c>
      <c r="EY45" s="106">
        <f>+_xlfn.XLOOKUP($EJ45,Budget!$A:$A,Budget!DE:DE)</f>
        <v>0</v>
      </c>
      <c r="EZ45" s="106">
        <f>+_xlfn.XLOOKUP($EJ45,Budget!$A:$A,Budget!DF:DF)</f>
        <v>0</v>
      </c>
      <c r="FA45" s="106">
        <f>+_xlfn.XLOOKUP($EJ45,Budget!$A:$A,Budget!DG:DG)</f>
        <v>172027.24723124999</v>
      </c>
      <c r="FB45" s="106">
        <f>+_xlfn.XLOOKUP($EJ45,Budget!$A:$A,Budget!DH:DH)</f>
        <v>0</v>
      </c>
      <c r="FC45" s="106">
        <f>+_xlfn.XLOOKUP($EJ45,Budget!$A:$A,Budget!DI:DI)</f>
        <v>0</v>
      </c>
      <c r="FD45" s="106">
        <f>+_xlfn.XLOOKUP($EJ45,Budget!$A:$A,Budget!DJ:DJ)</f>
        <v>162544.66306200004</v>
      </c>
      <c r="FE45" s="106">
        <f>+_xlfn.XLOOKUP($EJ45,Budget!$A:$A,Budget!DK:DK)</f>
        <v>0</v>
      </c>
      <c r="FF45" s="106">
        <f>+_xlfn.XLOOKUP($EJ45,Budget!$A:$A,Budget!DL:DL)</f>
        <v>0</v>
      </c>
      <c r="FG45" s="106">
        <f>+_xlfn.XLOOKUP($EJ45,Budget!$A:$A,Budget!DM:DM)</f>
        <v>176339.74340049998</v>
      </c>
      <c r="FH45" s="106">
        <f>+_xlfn.XLOOKUP($EJ45,Budget!$A:$A,Budget!DN:DN)</f>
        <v>0</v>
      </c>
      <c r="FI45" s="106">
        <f>+_xlfn.XLOOKUP($EJ45,Budget!$A:$A,Budget!DO:DO)</f>
        <v>0</v>
      </c>
      <c r="FJ45" s="106">
        <f>+_xlfn.XLOOKUP($EJ45,Budget!$A:$A,Budget!DP:DP)</f>
        <v>169148.44823124999</v>
      </c>
      <c r="FK45" s="106">
        <f t="shared" si="211"/>
        <v>680060.10192499997</v>
      </c>
    </row>
    <row r="46" spans="1:167" ht="14.45" customHeight="1">
      <c r="A46" s="106">
        <f t="shared" si="198"/>
        <v>0</v>
      </c>
      <c r="B46" s="106">
        <f t="shared" si="198"/>
        <v>0</v>
      </c>
      <c r="C46" s="106">
        <f t="shared" si="198"/>
        <v>1239680</v>
      </c>
      <c r="D46" s="106">
        <f t="shared" si="198"/>
        <v>0</v>
      </c>
      <c r="E46" s="106">
        <f t="shared" si="198"/>
        <v>0</v>
      </c>
      <c r="F46" s="106">
        <f t="shared" si="198"/>
        <v>2116850</v>
      </c>
      <c r="G46" s="106">
        <f t="shared" si="198"/>
        <v>0</v>
      </c>
      <c r="H46" s="106">
        <f t="shared" si="198"/>
        <v>0</v>
      </c>
      <c r="I46" s="106">
        <f t="shared" si="198"/>
        <v>2022640</v>
      </c>
      <c r="J46" s="106">
        <f t="shared" si="198"/>
        <v>0</v>
      </c>
      <c r="K46" s="106">
        <f t="shared" si="198"/>
        <v>0</v>
      </c>
      <c r="L46" s="106">
        <f t="shared" si="198"/>
        <v>2918137.5</v>
      </c>
      <c r="M46" s="106">
        <f t="shared" si="137"/>
        <v>8297307.5</v>
      </c>
      <c r="N46" s="7" t="s">
        <v>40</v>
      </c>
      <c r="O46" s="22">
        <f t="shared" si="199"/>
        <v>0</v>
      </c>
      <c r="P46" s="22">
        <f t="shared" si="199"/>
        <v>0</v>
      </c>
      <c r="Q46" s="22">
        <f t="shared" si="199"/>
        <v>2298900</v>
      </c>
      <c r="R46" s="22">
        <f t="shared" si="199"/>
        <v>0</v>
      </c>
      <c r="S46" s="22">
        <f t="shared" si="199"/>
        <v>0</v>
      </c>
      <c r="T46" s="22">
        <f t="shared" si="199"/>
        <v>1099650</v>
      </c>
      <c r="U46" s="22">
        <f t="shared" si="199"/>
        <v>0</v>
      </c>
      <c r="V46" s="22">
        <f t="shared" si="199"/>
        <v>0</v>
      </c>
      <c r="W46" s="22">
        <f t="shared" si="199"/>
        <v>3533100</v>
      </c>
      <c r="X46" s="22">
        <f t="shared" si="199"/>
        <v>0</v>
      </c>
      <c r="Y46" s="22">
        <f t="shared" si="199"/>
        <v>0</v>
      </c>
      <c r="Z46" s="22">
        <f t="shared" si="199"/>
        <v>0</v>
      </c>
      <c r="AA46" s="22">
        <f t="shared" si="200"/>
        <v>6931650</v>
      </c>
      <c r="AB46" s="118">
        <f t="shared" si="140"/>
        <v>0</v>
      </c>
      <c r="AC46" s="22">
        <f t="shared" si="201"/>
        <v>0</v>
      </c>
      <c r="AD46" s="22">
        <f t="shared" si="201"/>
        <v>0</v>
      </c>
      <c r="AE46" s="22">
        <f t="shared" si="201"/>
        <v>5195082.1050000004</v>
      </c>
      <c r="AF46" s="22">
        <f t="shared" si="201"/>
        <v>0</v>
      </c>
      <c r="AG46" s="22">
        <f t="shared" si="201"/>
        <v>0</v>
      </c>
      <c r="AH46" s="22">
        <f t="shared" si="201"/>
        <v>4984081.3166400008</v>
      </c>
      <c r="AI46" s="22">
        <f t="shared" si="201"/>
        <v>0</v>
      </c>
      <c r="AJ46" s="22">
        <f t="shared" si="201"/>
        <v>0</v>
      </c>
      <c r="AK46" s="22">
        <f t="shared" si="201"/>
        <v>5536008.6900000004</v>
      </c>
      <c r="AL46" s="22">
        <f t="shared" si="201"/>
        <v>0</v>
      </c>
      <c r="AM46" s="22">
        <f t="shared" si="201"/>
        <v>0</v>
      </c>
      <c r="AN46" s="22">
        <f t="shared" si="201"/>
        <v>5184929.79</v>
      </c>
      <c r="AO46" s="22">
        <f t="shared" si="202"/>
        <v>20900101.901640002</v>
      </c>
      <c r="AQ46" s="106">
        <v>0</v>
      </c>
      <c r="AR46" s="106">
        <v>0</v>
      </c>
      <c r="AS46" s="106">
        <v>756204.79999999993</v>
      </c>
      <c r="AT46" s="106">
        <v>0</v>
      </c>
      <c r="AU46" s="106">
        <v>0</v>
      </c>
      <c r="AV46" s="106">
        <v>1270110</v>
      </c>
      <c r="AW46" s="106">
        <v>0</v>
      </c>
      <c r="AX46" s="106">
        <v>0</v>
      </c>
      <c r="AY46" s="106">
        <v>1213584</v>
      </c>
      <c r="AZ46" s="106">
        <v>0</v>
      </c>
      <c r="BA46" s="106">
        <v>0</v>
      </c>
      <c r="BB46" s="106">
        <v>1750882.5</v>
      </c>
      <c r="BC46" s="106">
        <f t="shared" si="203"/>
        <v>4990781.3</v>
      </c>
      <c r="BD46" s="7" t="str">
        <f t="shared" si="7"/>
        <v>Qualitative Quarterly Incentive</v>
      </c>
      <c r="BE46" s="22">
        <f>+VLOOKUP($BD46,'Jan-25'!$A:$J,4,0)</f>
        <v>0</v>
      </c>
      <c r="BF46" s="22">
        <f>+VLOOKUP($BD46,'Feb-25'!$A:$J,4,0)</f>
        <v>0</v>
      </c>
      <c r="BG46" s="22">
        <f>+VLOOKUP($BD46,'Mar-25'!$A:$J,4,0)</f>
        <v>1149450</v>
      </c>
      <c r="BH46" s="22">
        <f>+VLOOKUP($BD46,'Apr-25'!$A:$J,4,0)</f>
        <v>0</v>
      </c>
      <c r="BI46" s="22">
        <f>+VLOOKUP($BD46,'May-25'!$A:$J,4,0)</f>
        <v>0</v>
      </c>
      <c r="BJ46" s="22">
        <f>+VLOOKUP($BD46,'June-25'!$A:$J,4,0)</f>
        <v>549825</v>
      </c>
      <c r="BK46" s="22">
        <f>+VLOOKUP($BD46,'July-25'!$A:$J,4,0)</f>
        <v>0</v>
      </c>
      <c r="BL46" s="22">
        <f>+VLOOKUP($BD46,'Aug-25'!$A:$J,4,0)</f>
        <v>0</v>
      </c>
      <c r="BM46" s="22">
        <f>+VLOOKUP($BD46,'Sep-25'!$A:$J,4,0)</f>
        <v>1766550</v>
      </c>
      <c r="BN46" s="22">
        <f>+VLOOKUP($BD46,'Oct-25'!$A:$J,4,0)</f>
        <v>0</v>
      </c>
      <c r="BO46" s="22">
        <f>+VLOOKUP($BD46,'Nov-25'!$A:$J,4,0)</f>
        <v>0</v>
      </c>
      <c r="BP46" s="22">
        <f>+VLOOKUP($BD46,'Dec-25'!$A:$J,4,0)</f>
        <v>0</v>
      </c>
      <c r="BQ46" s="22">
        <f t="shared" si="204"/>
        <v>3465825</v>
      </c>
      <c r="BR46" s="118">
        <f t="shared" si="145"/>
        <v>0</v>
      </c>
      <c r="BS46" s="106">
        <f>+_xlfn.XLOOKUP($BD46,Budget!$A:$A,Budget!AQ:AQ)</f>
        <v>0</v>
      </c>
      <c r="BT46" s="106">
        <f>+_xlfn.XLOOKUP($BD46,Budget!$A:$A,Budget!AR:AR)</f>
        <v>0</v>
      </c>
      <c r="BU46" s="106">
        <f>+_xlfn.XLOOKUP($BD46,Budget!$A:$A,Budget!AS:AS)</f>
        <v>2857295.1577500002</v>
      </c>
      <c r="BV46" s="106">
        <f>+_xlfn.XLOOKUP($BD46,Budget!$A:$A,Budget!AT:AT)</f>
        <v>0</v>
      </c>
      <c r="BW46" s="106">
        <f>+_xlfn.XLOOKUP($BD46,Budget!$A:$A,Budget!AU:AU)</f>
        <v>0</v>
      </c>
      <c r="BX46" s="106">
        <f>+_xlfn.XLOOKUP($BD46,Budget!$A:$A,Budget!AV:AV)</f>
        <v>2741244.7241520002</v>
      </c>
      <c r="BY46" s="106">
        <f>+_xlfn.XLOOKUP($BD46,Budget!$A:$A,Budget!AW:AW)</f>
        <v>0</v>
      </c>
      <c r="BZ46" s="106">
        <f>+_xlfn.XLOOKUP($BD46,Budget!$A:$A,Budget!AX:AX)</f>
        <v>0</v>
      </c>
      <c r="CA46" s="106">
        <f>+_xlfn.XLOOKUP($BD46,Budget!$A:$A,Budget!AY:AY)</f>
        <v>3044804.7795000006</v>
      </c>
      <c r="CB46" s="106">
        <f>+_xlfn.XLOOKUP($BD46,Budget!$A:$A,Budget!AZ:AZ)</f>
        <v>0</v>
      </c>
      <c r="CC46" s="106">
        <f>+_xlfn.XLOOKUP($BD46,Budget!$A:$A,Budget!BA:BA)</f>
        <v>0</v>
      </c>
      <c r="CD46" s="106">
        <f>+_xlfn.XLOOKUP($BD46,Budget!$A:$A,Budget!BB:BB)</f>
        <v>2851711.3844999997</v>
      </c>
      <c r="CE46" s="106">
        <f t="shared" si="205"/>
        <v>11495056.045901999</v>
      </c>
      <c r="CF46" s="22"/>
      <c r="CG46" s="22">
        <v>0</v>
      </c>
      <c r="CH46" s="22">
        <v>0</v>
      </c>
      <c r="CI46" s="22">
        <v>483475.20000000001</v>
      </c>
      <c r="CJ46" s="22">
        <v>0</v>
      </c>
      <c r="CK46" s="22">
        <v>0</v>
      </c>
      <c r="CL46" s="22">
        <v>846740</v>
      </c>
      <c r="CM46" s="22">
        <v>0</v>
      </c>
      <c r="CN46" s="22">
        <v>0</v>
      </c>
      <c r="CO46" s="22">
        <v>809056</v>
      </c>
      <c r="CP46" s="22">
        <v>0</v>
      </c>
      <c r="CQ46" s="22">
        <v>0</v>
      </c>
      <c r="CR46" s="22">
        <v>1167255</v>
      </c>
      <c r="CS46" s="106">
        <f t="shared" si="206"/>
        <v>3306526.2</v>
      </c>
      <c r="CT46" s="7" t="str">
        <f t="shared" si="11"/>
        <v>Qualitative Quarterly Incentive</v>
      </c>
      <c r="CU46" s="22">
        <f>+VLOOKUP($BD46,'Jan-25'!$A:$J,7,0)</f>
        <v>0</v>
      </c>
      <c r="CV46" s="22">
        <f>+VLOOKUP($BD46,'Feb-25'!$A:$J,7,0)</f>
        <v>0</v>
      </c>
      <c r="CW46" s="22">
        <f>+VLOOKUP($BD46,'Mar-25'!$A:$J,7,0)</f>
        <v>689670</v>
      </c>
      <c r="CX46" s="22">
        <f>+VLOOKUP($BD46,'Apr-25'!$A:$J,7,0)</f>
        <v>0</v>
      </c>
      <c r="CY46" s="22">
        <f>+VLOOKUP($BD46,'May-25'!$A:$J,7,0)</f>
        <v>0</v>
      </c>
      <c r="CZ46" s="22">
        <f>+VLOOKUP($BD46,'June-25'!$A:$J,7,0)</f>
        <v>329895</v>
      </c>
      <c r="DA46" s="22">
        <f>+VLOOKUP($BD46,'July-25'!$A:$J,7,0)</f>
        <v>0</v>
      </c>
      <c r="DB46" s="22">
        <f>+VLOOKUP($BD46,'Aug-25'!$A:$J,7,0)</f>
        <v>0</v>
      </c>
      <c r="DC46" s="22">
        <f>+VLOOKUP($BD46,'Sep-25'!$A:$J,7,0)</f>
        <v>1059930</v>
      </c>
      <c r="DD46" s="22">
        <f>+VLOOKUP($BD46,'Oct-25'!$A:$J,7,0)</f>
        <v>0</v>
      </c>
      <c r="DE46" s="22">
        <f>+VLOOKUP($BD46,'Nov-25'!$A:$J,7,0)</f>
        <v>0</v>
      </c>
      <c r="DF46" s="22">
        <f>+VLOOKUP($BD46,'Dec-25'!$A:$J,7,0)</f>
        <v>0</v>
      </c>
      <c r="DG46" s="22">
        <f t="shared" si="207"/>
        <v>2079495</v>
      </c>
      <c r="DH46" s="118">
        <f t="shared" si="149"/>
        <v>0</v>
      </c>
      <c r="DI46" s="22">
        <f>+_xlfn.XLOOKUP($CT46,Budget!$A:$A,Budget!CD:CD)</f>
        <v>0</v>
      </c>
      <c r="DJ46" s="22">
        <f>+_xlfn.XLOOKUP($CT46,Budget!$A:$A,Budget!CE:CE)</f>
        <v>0</v>
      </c>
      <c r="DK46" s="22">
        <f>+_xlfn.XLOOKUP($CT46,Budget!$A:$A,Budget!CF:CF)</f>
        <v>1818278.7367500002</v>
      </c>
      <c r="DL46" s="22">
        <f>+_xlfn.XLOOKUP($CT46,Budget!$A:$A,Budget!CG:CG)</f>
        <v>0</v>
      </c>
      <c r="DM46" s="22">
        <f>+_xlfn.XLOOKUP($CT46,Budget!$A:$A,Budget!CH:CH)</f>
        <v>0</v>
      </c>
      <c r="DN46" s="22">
        <f>+_xlfn.XLOOKUP($CT46,Budget!$A:$A,Budget!CI:CI)</f>
        <v>1744428.4608240002</v>
      </c>
      <c r="DO46" s="22">
        <f>+_xlfn.XLOOKUP($CT46,Budget!$A:$A,Budget!CJ:CJ)</f>
        <v>0</v>
      </c>
      <c r="DP46" s="22">
        <f>+_xlfn.XLOOKUP($CT46,Budget!$A:$A,Budget!CK:CK)</f>
        <v>0</v>
      </c>
      <c r="DQ46" s="22">
        <f>+_xlfn.XLOOKUP($CT46,Budget!$A:$A,Budget!CL:CL)</f>
        <v>1937603.0415000003</v>
      </c>
      <c r="DR46" s="22">
        <f>+_xlfn.XLOOKUP($CT46,Budget!$A:$A,Budget!CM:CM)</f>
        <v>0</v>
      </c>
      <c r="DS46" s="22">
        <f>+_xlfn.XLOOKUP($CT46,Budget!$A:$A,Budget!CN:CN)</f>
        <v>0</v>
      </c>
      <c r="DT46" s="22">
        <f>+_xlfn.XLOOKUP($CT46,Budget!$A:$A,Budget!CO:CO)</f>
        <v>1814725.4264999998</v>
      </c>
      <c r="DU46" s="106">
        <f t="shared" si="208"/>
        <v>7315035.6655740011</v>
      </c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106">
        <f t="shared" si="209"/>
        <v>0</v>
      </c>
      <c r="EJ46" s="7" t="str">
        <f t="shared" si="71"/>
        <v>Qualitative Quarterly Incentive</v>
      </c>
      <c r="EK46" s="22">
        <f>+VLOOKUP($BD46,'Jan-25'!$A:$J,9,0)</f>
        <v>0</v>
      </c>
      <c r="EL46" s="22">
        <f>+VLOOKUP($BD46,'Feb-25'!$A:$J,9,0)</f>
        <v>0</v>
      </c>
      <c r="EM46" s="22">
        <f>+VLOOKUP($BD46,'Mar-25'!$A:$J,9,0)</f>
        <v>459780</v>
      </c>
      <c r="EN46" s="22">
        <f>+VLOOKUP($BD46,'Apr-25'!$A:$J,9,0)</f>
        <v>0</v>
      </c>
      <c r="EO46" s="22">
        <f>+VLOOKUP($BD46,'May-25'!$A:$J,9,0)</f>
        <v>0</v>
      </c>
      <c r="EP46" s="22">
        <f>+VLOOKUP($BD46,'June-25'!$A:$J,9,0)</f>
        <v>219930</v>
      </c>
      <c r="EQ46" s="22">
        <f>+VLOOKUP($BD46,'July-25'!$A:$J,9,0)</f>
        <v>0</v>
      </c>
      <c r="ER46" s="22">
        <f>+VLOOKUP($BD46,'Aug-25'!$A:$J,9,0)</f>
        <v>0</v>
      </c>
      <c r="ES46" s="22">
        <f>+VLOOKUP($BD46,'Sep-25'!$A:$J,9,0)</f>
        <v>706620</v>
      </c>
      <c r="ET46" s="22">
        <f>+VLOOKUP($BD46,'Oct-25'!$A:$J,9,0)</f>
        <v>0</v>
      </c>
      <c r="EU46" s="22">
        <f>+VLOOKUP($BD46,'Nov-25'!$A:$J,9,0)</f>
        <v>0</v>
      </c>
      <c r="EV46" s="22">
        <f>+VLOOKUP($BD46,'Dec-25'!$A:$J,9,0)</f>
        <v>0</v>
      </c>
      <c r="EW46" s="22">
        <f t="shared" si="210"/>
        <v>1386330</v>
      </c>
      <c r="EX46" s="118">
        <f t="shared" si="153"/>
        <v>0</v>
      </c>
      <c r="EY46" s="106">
        <f>+_xlfn.XLOOKUP($EJ46,Budget!$A:$A,Budget!DE:DE)</f>
        <v>0</v>
      </c>
      <c r="EZ46" s="106">
        <f>+_xlfn.XLOOKUP($EJ46,Budget!$A:$A,Budget!DF:DF)</f>
        <v>0</v>
      </c>
      <c r="FA46" s="106">
        <f>+_xlfn.XLOOKUP($EJ46,Budget!$A:$A,Budget!DG:DG)</f>
        <v>519508.21050000004</v>
      </c>
      <c r="FB46" s="106">
        <f>+_xlfn.XLOOKUP($EJ46,Budget!$A:$A,Budget!DH:DH)</f>
        <v>0</v>
      </c>
      <c r="FC46" s="106">
        <f>+_xlfn.XLOOKUP($EJ46,Budget!$A:$A,Budget!DI:DI)</f>
        <v>0</v>
      </c>
      <c r="FD46" s="106">
        <f>+_xlfn.XLOOKUP($EJ46,Budget!$A:$A,Budget!DJ:DJ)</f>
        <v>498408.13166400004</v>
      </c>
      <c r="FE46" s="106">
        <f>+_xlfn.XLOOKUP($EJ46,Budget!$A:$A,Budget!DK:DK)</f>
        <v>0</v>
      </c>
      <c r="FF46" s="106">
        <f>+_xlfn.XLOOKUP($EJ46,Budget!$A:$A,Budget!DL:DL)</f>
        <v>0</v>
      </c>
      <c r="FG46" s="106">
        <f>+_xlfn.XLOOKUP($EJ46,Budget!$A:$A,Budget!DM:DM)</f>
        <v>553600.86900000006</v>
      </c>
      <c r="FH46" s="106">
        <f>+_xlfn.XLOOKUP($EJ46,Budget!$A:$A,Budget!DN:DN)</f>
        <v>0</v>
      </c>
      <c r="FI46" s="106">
        <f>+_xlfn.XLOOKUP($EJ46,Budget!$A:$A,Budget!DO:DO)</f>
        <v>0</v>
      </c>
      <c r="FJ46" s="106">
        <f>+_xlfn.XLOOKUP($EJ46,Budget!$A:$A,Budget!DP:DP)</f>
        <v>518492.97899999999</v>
      </c>
      <c r="FK46" s="106">
        <f t="shared" si="211"/>
        <v>2090010.190164</v>
      </c>
    </row>
    <row r="47" spans="1:167" ht="14.45" customHeight="1">
      <c r="A47" s="59">
        <f>+A43+A44+A45+A46</f>
        <v>9675719.2077430151</v>
      </c>
      <c r="B47" s="59">
        <f t="shared" ref="B47:M47" si="212">+B43+B44+B45+B46</f>
        <v>8611537.5237430222</v>
      </c>
      <c r="C47" s="59">
        <f t="shared" si="212"/>
        <v>11352035.070024099</v>
      </c>
      <c r="D47" s="59">
        <f t="shared" si="212"/>
        <v>6604705.1758353822</v>
      </c>
      <c r="E47" s="59">
        <f t="shared" si="212"/>
        <v>6730701.6871623127</v>
      </c>
      <c r="F47" s="59">
        <f t="shared" si="212"/>
        <v>9961814.6932101976</v>
      </c>
      <c r="G47" s="59">
        <f t="shared" si="212"/>
        <v>8833099.856530413</v>
      </c>
      <c r="H47" s="59">
        <f t="shared" si="212"/>
        <v>8097995.0626339093</v>
      </c>
      <c r="I47" s="59">
        <f t="shared" si="212"/>
        <v>11033380.711959872</v>
      </c>
      <c r="J47" s="59">
        <f t="shared" si="212"/>
        <v>9552645.4801578801</v>
      </c>
      <c r="K47" s="59">
        <f t="shared" si="212"/>
        <v>8677057.6691888589</v>
      </c>
      <c r="L47" s="59">
        <f t="shared" si="212"/>
        <v>15904106.930535594</v>
      </c>
      <c r="M47" s="59">
        <f t="shared" si="212"/>
        <v>115034799.0687246</v>
      </c>
      <c r="N47" s="10" t="s">
        <v>41</v>
      </c>
      <c r="O47" s="29">
        <f>+O43+O44+O45+O46</f>
        <v>6383292.6631718501</v>
      </c>
      <c r="P47" s="29">
        <f t="shared" ref="P47:AA47" si="213">+P43+P44+P45+P46</f>
        <v>7028321.6323365653</v>
      </c>
      <c r="Q47" s="29">
        <f t="shared" si="213"/>
        <v>12163365.912785431</v>
      </c>
      <c r="R47" s="29">
        <f t="shared" si="213"/>
        <v>9425067.6950135771</v>
      </c>
      <c r="S47" s="29">
        <f t="shared" si="213"/>
        <v>12769286.37490911</v>
      </c>
      <c r="T47" s="29">
        <f t="shared" si="213"/>
        <v>11157198.926630652</v>
      </c>
      <c r="U47" s="29">
        <f t="shared" si="213"/>
        <v>11157536.255625132</v>
      </c>
      <c r="V47" s="29">
        <f t="shared" si="213"/>
        <v>11072824.457017493</v>
      </c>
      <c r="W47" s="29">
        <f t="shared" si="213"/>
        <v>16239975.688662224</v>
      </c>
      <c r="X47" s="29">
        <f t="shared" si="213"/>
        <v>9659754.0629651062</v>
      </c>
      <c r="Y47" s="29">
        <f t="shared" si="213"/>
        <v>0</v>
      </c>
      <c r="Z47" s="29">
        <f t="shared" si="213"/>
        <v>0</v>
      </c>
      <c r="AA47" s="29">
        <f t="shared" si="213"/>
        <v>107056623.6691172</v>
      </c>
      <c r="AB47" s="118">
        <f t="shared" si="140"/>
        <v>-2.0882220129092185E-2</v>
      </c>
      <c r="AC47" s="29">
        <f>+AC43+AC44+AC45+AC46</f>
        <v>10927187.83340623</v>
      </c>
      <c r="AD47" s="29">
        <f t="shared" ref="AD47:AO47" si="214">+AD43+AD44+AD45+AD46</f>
        <v>10545274.521073727</v>
      </c>
      <c r="AE47" s="29">
        <f t="shared" si="214"/>
        <v>17743907.227763478</v>
      </c>
      <c r="AF47" s="29">
        <f t="shared" si="214"/>
        <v>9013990.1003739834</v>
      </c>
      <c r="AG47" s="29">
        <f t="shared" si="214"/>
        <v>10493034.563844474</v>
      </c>
      <c r="AH47" s="29">
        <f t="shared" si="214"/>
        <v>17599374.996546976</v>
      </c>
      <c r="AI47" s="29">
        <f t="shared" si="214"/>
        <v>11585977.405799225</v>
      </c>
      <c r="AJ47" s="29">
        <f t="shared" si="214"/>
        <v>11628247.002558727</v>
      </c>
      <c r="AK47" s="29">
        <f t="shared" si="214"/>
        <v>18953775.38343548</v>
      </c>
      <c r="AL47" s="29">
        <f t="shared" si="214"/>
        <v>9865773.3130315542</v>
      </c>
      <c r="AM47" s="29">
        <f t="shared" si="214"/>
        <v>9190946.4020995591</v>
      </c>
      <c r="AN47" s="29">
        <f t="shared" si="214"/>
        <v>17855532.482203223</v>
      </c>
      <c r="AO47" s="29">
        <f t="shared" si="214"/>
        <v>155403021.23213661</v>
      </c>
      <c r="AQ47" s="59">
        <f t="shared" ref="AQ47:BC47" si="215">+AQ43+AQ44+AQ45+AQ46</f>
        <v>5272012.771541262</v>
      </c>
      <c r="AR47" s="59">
        <f t="shared" si="215"/>
        <v>4611363.7649786957</v>
      </c>
      <c r="AS47" s="59">
        <f t="shared" si="215"/>
        <v>6306262.3241011463</v>
      </c>
      <c r="AT47" s="59">
        <f t="shared" si="215"/>
        <v>4058591.8027894627</v>
      </c>
      <c r="AU47" s="59">
        <f t="shared" si="215"/>
        <v>3124035.6921865833</v>
      </c>
      <c r="AV47" s="59">
        <f t="shared" si="215"/>
        <v>5246819.4996156609</v>
      </c>
      <c r="AW47" s="59">
        <f t="shared" si="215"/>
        <v>4940408.0801925957</v>
      </c>
      <c r="AX47" s="59">
        <f t="shared" si="215"/>
        <v>4533720.7683339482</v>
      </c>
      <c r="AY47" s="59">
        <f t="shared" si="215"/>
        <v>6589202.8094731309</v>
      </c>
      <c r="AZ47" s="59">
        <f t="shared" si="215"/>
        <v>4626355.0766617889</v>
      </c>
      <c r="BA47" s="59">
        <f t="shared" si="215"/>
        <v>4598402.4389336705</v>
      </c>
      <c r="BB47" s="59">
        <f t="shared" si="215"/>
        <v>11112990.78865198</v>
      </c>
      <c r="BC47" s="59">
        <f t="shared" si="215"/>
        <v>65020165.817459926</v>
      </c>
      <c r="BD47" s="10" t="str">
        <f t="shared" si="7"/>
        <v>Gross Profit 2</v>
      </c>
      <c r="BE47" s="29">
        <f t="shared" ref="BE47:BP47" si="216">+BE43+BE44+BE45+BE46</f>
        <v>3264445.2794224955</v>
      </c>
      <c r="BF47" s="29">
        <f t="shared" si="216"/>
        <v>3924067.0846735379</v>
      </c>
      <c r="BG47" s="29">
        <f t="shared" si="216"/>
        <v>6669943.1241082717</v>
      </c>
      <c r="BH47" s="29">
        <f t="shared" si="216"/>
        <v>5635215.1255285852</v>
      </c>
      <c r="BI47" s="29">
        <f t="shared" si="216"/>
        <v>8476793.8881441709</v>
      </c>
      <c r="BJ47" s="29">
        <f t="shared" si="216"/>
        <v>5636674.9651011145</v>
      </c>
      <c r="BK47" s="29">
        <f t="shared" si="216"/>
        <v>6482280.2727336548</v>
      </c>
      <c r="BL47" s="29">
        <f t="shared" si="216"/>
        <v>6119044.3126164731</v>
      </c>
      <c r="BM47" s="29">
        <f t="shared" si="216"/>
        <v>9586030.5212768652</v>
      </c>
      <c r="BN47" s="29">
        <f t="shared" si="216"/>
        <v>5076325.4136755699</v>
      </c>
      <c r="BO47" s="29">
        <f t="shared" si="216"/>
        <v>0</v>
      </c>
      <c r="BP47" s="29">
        <f t="shared" si="216"/>
        <v>0</v>
      </c>
      <c r="BQ47" s="29">
        <f t="shared" ref="BQ47" si="217">+BQ43+BQ44+BQ45+BQ46</f>
        <v>60870819.987280749</v>
      </c>
      <c r="BR47" s="118">
        <f t="shared" si="145"/>
        <v>-2.2458052058555424E-2</v>
      </c>
      <c r="BS47" s="59">
        <f t="shared" ref="BS47:CE47" si="218">+BS43+BS44+BS45+BS46</f>
        <v>5467762.7866811575</v>
      </c>
      <c r="BT47" s="59">
        <f t="shared" si="218"/>
        <v>5281282.9851334859</v>
      </c>
      <c r="BU47" s="59">
        <f t="shared" si="218"/>
        <v>8765588.4745648466</v>
      </c>
      <c r="BV47" s="59">
        <f t="shared" si="218"/>
        <v>4434753.1826223722</v>
      </c>
      <c r="BW47" s="59">
        <f t="shared" si="218"/>
        <v>5047413.7217986463</v>
      </c>
      <c r="BX47" s="59">
        <f t="shared" si="218"/>
        <v>8905905.8289699722</v>
      </c>
      <c r="BY47" s="59">
        <f t="shared" si="218"/>
        <v>5422337.5721011087</v>
      </c>
      <c r="BZ47" s="59">
        <f t="shared" si="218"/>
        <v>5707221.7496527843</v>
      </c>
      <c r="CA47" s="59">
        <f t="shared" si="218"/>
        <v>9995550.1315980982</v>
      </c>
      <c r="CB47" s="59">
        <f t="shared" si="218"/>
        <v>5192948.9311078088</v>
      </c>
      <c r="CC47" s="59">
        <f t="shared" si="218"/>
        <v>4089182.7149831546</v>
      </c>
      <c r="CD47" s="59">
        <f t="shared" si="218"/>
        <v>9278755.7387385182</v>
      </c>
      <c r="CE47" s="59">
        <f t="shared" si="218"/>
        <v>77588703.817951947</v>
      </c>
      <c r="CF47" s="22"/>
      <c r="CG47" s="29">
        <f t="shared" ref="CG47:CS47" si="219">+CG43+CG44+CG45+CG46</f>
        <v>4403706.4362017503</v>
      </c>
      <c r="CH47" s="29">
        <f t="shared" si="219"/>
        <v>4000173.7587643228</v>
      </c>
      <c r="CI47" s="29">
        <f t="shared" si="219"/>
        <v>5045772.7459229548</v>
      </c>
      <c r="CJ47" s="29">
        <f t="shared" si="219"/>
        <v>2546113.3730459195</v>
      </c>
      <c r="CK47" s="29">
        <f t="shared" si="219"/>
        <v>3606665.9949757252</v>
      </c>
      <c r="CL47" s="29">
        <f t="shared" si="219"/>
        <v>4714995.1935945265</v>
      </c>
      <c r="CM47" s="29">
        <f t="shared" si="219"/>
        <v>3892691.7763378127</v>
      </c>
      <c r="CN47" s="29">
        <f t="shared" si="219"/>
        <v>3564274.294299962</v>
      </c>
      <c r="CO47" s="29">
        <f t="shared" si="219"/>
        <v>4444177.9024867415</v>
      </c>
      <c r="CP47" s="29">
        <f t="shared" si="219"/>
        <v>4926290.4034960931</v>
      </c>
      <c r="CQ47" s="29">
        <f t="shared" si="219"/>
        <v>4078655.230255188</v>
      </c>
      <c r="CR47" s="29">
        <f t="shared" si="219"/>
        <v>4791116.1418836135</v>
      </c>
      <c r="CS47" s="59">
        <f t="shared" si="219"/>
        <v>50014633.251264617</v>
      </c>
      <c r="CT47" s="10" t="str">
        <f t="shared" si="11"/>
        <v>Gross Profit 2</v>
      </c>
      <c r="CU47" s="29">
        <f t="shared" ref="CU47:DF47" si="220">+CU43+CU44+CU45+CU46</f>
        <v>2403811.5762496544</v>
      </c>
      <c r="CV47" s="29">
        <f t="shared" si="220"/>
        <v>1990565.2233792054</v>
      </c>
      <c r="CW47" s="29">
        <f t="shared" si="220"/>
        <v>4079810.7948529441</v>
      </c>
      <c r="CX47" s="29">
        <f t="shared" si="220"/>
        <v>2767771.227556597</v>
      </c>
      <c r="CY47" s="29">
        <f t="shared" si="220"/>
        <v>3500200.6373411668</v>
      </c>
      <c r="CZ47" s="29">
        <f t="shared" si="220"/>
        <v>3868893.2566386834</v>
      </c>
      <c r="DA47" s="29">
        <f t="shared" si="220"/>
        <v>3676890.0105795935</v>
      </c>
      <c r="DB47" s="29">
        <f t="shared" si="220"/>
        <v>3847046.6394013613</v>
      </c>
      <c r="DC47" s="29">
        <f t="shared" si="220"/>
        <v>4290199.8197146412</v>
      </c>
      <c r="DD47" s="29">
        <f t="shared" si="220"/>
        <v>3167604.1800509333</v>
      </c>
      <c r="DE47" s="29">
        <f t="shared" si="220"/>
        <v>0</v>
      </c>
      <c r="DF47" s="29">
        <f t="shared" si="220"/>
        <v>0</v>
      </c>
      <c r="DG47" s="29">
        <f t="shared" ref="DG47" si="221">+DG43+DG44+DG45+DG46</f>
        <v>33592793.365764774</v>
      </c>
      <c r="DH47" s="118">
        <f t="shared" si="149"/>
        <v>-7.3827039106563713E-2</v>
      </c>
      <c r="DI47" s="29">
        <f t="shared" ref="DI47:DU47" si="222">+DI43+DI44+DI45+DI46</f>
        <v>4051445.3758336729</v>
      </c>
      <c r="DJ47" s="29">
        <f t="shared" si="222"/>
        <v>3957185.2159036985</v>
      </c>
      <c r="DK47" s="29">
        <f t="shared" si="222"/>
        <v>6809427.876713112</v>
      </c>
      <c r="DL47" s="29">
        <f t="shared" si="222"/>
        <v>3285206.7971585342</v>
      </c>
      <c r="DM47" s="29">
        <f t="shared" si="222"/>
        <v>3862794.6174367098</v>
      </c>
      <c r="DN47" s="29">
        <f t="shared" si="222"/>
        <v>6447724.5790967364</v>
      </c>
      <c r="DO47" s="29">
        <f t="shared" si="222"/>
        <v>4357095.797935823</v>
      </c>
      <c r="DP47" s="29">
        <f t="shared" si="222"/>
        <v>4188071.0362887974</v>
      </c>
      <c r="DQ47" s="29">
        <f t="shared" si="222"/>
        <v>6593156.3214083612</v>
      </c>
      <c r="DR47" s="29">
        <f t="shared" si="222"/>
        <v>3420100.039408721</v>
      </c>
      <c r="DS47" s="29">
        <f t="shared" si="222"/>
        <v>3794167.4428916727</v>
      </c>
      <c r="DT47" s="29">
        <f t="shared" si="222"/>
        <v>6509266.185200084</v>
      </c>
      <c r="DU47" s="59">
        <f t="shared" si="222"/>
        <v>57275641.285275906</v>
      </c>
      <c r="DW47" s="29">
        <f t="shared" ref="DW47:EI47" si="223">+DW43+DW44+DW45+DW46</f>
        <v>0</v>
      </c>
      <c r="DX47" s="29">
        <f t="shared" si="223"/>
        <v>0</v>
      </c>
      <c r="DY47" s="29">
        <f t="shared" si="223"/>
        <v>0</v>
      </c>
      <c r="DZ47" s="29">
        <f t="shared" si="223"/>
        <v>0</v>
      </c>
      <c r="EA47" s="29">
        <f t="shared" si="223"/>
        <v>0</v>
      </c>
      <c r="EB47" s="29">
        <f t="shared" si="223"/>
        <v>0</v>
      </c>
      <c r="EC47" s="29">
        <f t="shared" si="223"/>
        <v>0</v>
      </c>
      <c r="ED47" s="29">
        <f t="shared" si="223"/>
        <v>0</v>
      </c>
      <c r="EE47" s="29">
        <f t="shared" si="223"/>
        <v>0</v>
      </c>
      <c r="EF47" s="29">
        <f t="shared" si="223"/>
        <v>0</v>
      </c>
      <c r="EG47" s="29">
        <f t="shared" si="223"/>
        <v>0</v>
      </c>
      <c r="EH47" s="29">
        <f t="shared" si="223"/>
        <v>0</v>
      </c>
      <c r="EI47" s="59">
        <f t="shared" si="223"/>
        <v>0</v>
      </c>
      <c r="EJ47" s="10" t="str">
        <f t="shared" si="71"/>
        <v>Gross Profit 2</v>
      </c>
      <c r="EK47" s="29">
        <f t="shared" ref="EK47:EV47" si="224">+EK43+EK44+EK45+EK46</f>
        <v>715035.80749969766</v>
      </c>
      <c r="EL47" s="29">
        <f t="shared" si="224"/>
        <v>1113689.3242838248</v>
      </c>
      <c r="EM47" s="29">
        <f t="shared" si="224"/>
        <v>1413611.9938242186</v>
      </c>
      <c r="EN47" s="29">
        <f t="shared" si="224"/>
        <v>1022081.3419283959</v>
      </c>
      <c r="EO47" s="29">
        <f t="shared" si="224"/>
        <v>792291.8494237744</v>
      </c>
      <c r="EP47" s="29">
        <f t="shared" si="224"/>
        <v>1651630.7048908535</v>
      </c>
      <c r="EQ47" s="29">
        <f t="shared" si="224"/>
        <v>998365.97231188999</v>
      </c>
      <c r="ER47" s="29">
        <f t="shared" si="224"/>
        <v>1106733.5049996595</v>
      </c>
      <c r="ES47" s="29">
        <f t="shared" si="224"/>
        <v>2363745.3476707172</v>
      </c>
      <c r="ET47" s="29">
        <f t="shared" si="224"/>
        <v>1415824.4692386044</v>
      </c>
      <c r="EU47" s="29">
        <f t="shared" si="224"/>
        <v>0</v>
      </c>
      <c r="EV47" s="29">
        <f t="shared" si="224"/>
        <v>0</v>
      </c>
      <c r="EW47" s="29">
        <f t="shared" ref="EW47" si="225">+EW43+EW44+EW45+EW46</f>
        <v>12593010.316071639</v>
      </c>
      <c r="EX47" s="118">
        <f t="shared" si="153"/>
        <v>0.13019634183536985</v>
      </c>
      <c r="EY47" s="59">
        <f t="shared" ref="EY47:FK47" si="226">+EY43+EY44+EY45+EY46</f>
        <v>1407979.6708913953</v>
      </c>
      <c r="EZ47" s="59">
        <f t="shared" si="226"/>
        <v>1306806.3200365454</v>
      </c>
      <c r="FA47" s="59">
        <f t="shared" si="226"/>
        <v>2168890.8764855205</v>
      </c>
      <c r="FB47" s="59">
        <f t="shared" si="226"/>
        <v>1294030.1205930705</v>
      </c>
      <c r="FC47" s="59">
        <f t="shared" si="226"/>
        <v>1582826.2246091205</v>
      </c>
      <c r="FD47" s="59">
        <f t="shared" si="226"/>
        <v>2245744.5884802705</v>
      </c>
      <c r="FE47" s="59">
        <f t="shared" si="226"/>
        <v>1806544.0357622956</v>
      </c>
      <c r="FF47" s="59">
        <f t="shared" si="226"/>
        <v>1732954.2166171456</v>
      </c>
      <c r="FG47" s="59">
        <f t="shared" si="226"/>
        <v>2365068.9304290204</v>
      </c>
      <c r="FH47" s="59">
        <f t="shared" si="226"/>
        <v>1252724.3425150288</v>
      </c>
      <c r="FI47" s="59">
        <f t="shared" si="226"/>
        <v>1307596.244224729</v>
      </c>
      <c r="FJ47" s="59">
        <f t="shared" si="226"/>
        <v>2067510.5582646127</v>
      </c>
      <c r="FK47" s="59">
        <f t="shared" si="226"/>
        <v>20538676.128908765</v>
      </c>
    </row>
    <row r="48" spans="1:167" ht="14.45" hidden="1" customHeight="1" outlineLevel="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118">
        <f t="shared" si="140"/>
        <v>0</v>
      </c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">
        <f t="shared" si="7"/>
        <v>0</v>
      </c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118">
        <f t="shared" si="145"/>
        <v>0</v>
      </c>
      <c r="BS48" s="106"/>
      <c r="BT48" s="106"/>
      <c r="BU48" s="106"/>
      <c r="BV48" s="106"/>
      <c r="BW48" s="106"/>
      <c r="BX48" s="106"/>
      <c r="BY48" s="106"/>
      <c r="BZ48" s="106"/>
      <c r="CA48" s="106"/>
      <c r="CB48" s="106"/>
      <c r="CC48" s="106"/>
      <c r="CD48" s="106"/>
      <c r="CE48" s="106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106"/>
      <c r="CT48" s="10">
        <f t="shared" si="11"/>
        <v>0</v>
      </c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118">
        <f t="shared" si="149"/>
        <v>0</v>
      </c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106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106"/>
      <c r="EJ48" s="10">
        <f t="shared" si="71"/>
        <v>0</v>
      </c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118">
        <f t="shared" si="153"/>
        <v>0</v>
      </c>
      <c r="EY48" s="106"/>
      <c r="EZ48" s="106"/>
      <c r="FA48" s="106"/>
      <c r="FB48" s="106"/>
      <c r="FC48" s="106"/>
      <c r="FD48" s="106"/>
      <c r="FE48" s="106"/>
      <c r="FF48" s="106"/>
      <c r="FG48" s="106"/>
      <c r="FH48" s="106"/>
      <c r="FI48" s="106"/>
      <c r="FJ48" s="106"/>
      <c r="FK48" s="106"/>
    </row>
    <row r="49" spans="1:167" ht="14.45" hidden="1" customHeight="1" outlineLevel="1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5" t="s">
        <v>42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118">
        <f t="shared" si="140"/>
        <v>0</v>
      </c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5" t="str">
        <f t="shared" si="7"/>
        <v>Accessceries and VAS</v>
      </c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118">
        <f t="shared" si="145"/>
        <v>0</v>
      </c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E49" s="106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106"/>
      <c r="CT49" s="5" t="str">
        <f t="shared" si="11"/>
        <v>Accessceries and VAS</v>
      </c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118">
        <f t="shared" si="149"/>
        <v>0</v>
      </c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106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106"/>
      <c r="EJ49" s="5" t="str">
        <f t="shared" si="71"/>
        <v>Accessceries and VAS</v>
      </c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118">
        <f t="shared" si="153"/>
        <v>0</v>
      </c>
      <c r="EY49" s="106"/>
      <c r="EZ49" s="106"/>
      <c r="FA49" s="106"/>
      <c r="FB49" s="106"/>
      <c r="FC49" s="106"/>
      <c r="FD49" s="106"/>
      <c r="FE49" s="106"/>
      <c r="FF49" s="106"/>
      <c r="FG49" s="106"/>
      <c r="FH49" s="106"/>
      <c r="FI49" s="106"/>
      <c r="FJ49" s="106"/>
      <c r="FK49" s="106"/>
    </row>
    <row r="50" spans="1:167" ht="14.45" hidden="1" customHeight="1" outlineLevel="1">
      <c r="A50" s="105">
        <f t="shared" ref="A50:L56" si="227">+AQ50+CG50+DW50</f>
        <v>0</v>
      </c>
      <c r="B50" s="105">
        <f t="shared" si="227"/>
        <v>0</v>
      </c>
      <c r="C50" s="105">
        <f t="shared" si="227"/>
        <v>0</v>
      </c>
      <c r="D50" s="105">
        <f t="shared" si="227"/>
        <v>0</v>
      </c>
      <c r="E50" s="105">
        <f t="shared" si="227"/>
        <v>0</v>
      </c>
      <c r="F50" s="105">
        <f t="shared" si="227"/>
        <v>0</v>
      </c>
      <c r="G50" s="105">
        <f t="shared" si="227"/>
        <v>0</v>
      </c>
      <c r="H50" s="105">
        <f t="shared" si="227"/>
        <v>0</v>
      </c>
      <c r="I50" s="105">
        <f t="shared" si="227"/>
        <v>0</v>
      </c>
      <c r="J50" s="105">
        <f t="shared" si="227"/>
        <v>0</v>
      </c>
      <c r="K50" s="105">
        <f t="shared" si="227"/>
        <v>0</v>
      </c>
      <c r="L50" s="105">
        <f t="shared" si="227"/>
        <v>0</v>
      </c>
      <c r="M50" s="105">
        <f t="shared" ref="M50:M56" si="228">+SUM(A50:L50)</f>
        <v>0</v>
      </c>
      <c r="N50" s="13" t="s">
        <v>3</v>
      </c>
      <c r="O50" s="27">
        <f t="shared" ref="O50:Z53" si="229">+BE50+CU50+EK50</f>
        <v>0</v>
      </c>
      <c r="P50" s="27">
        <f t="shared" si="229"/>
        <v>0</v>
      </c>
      <c r="Q50" s="27">
        <f t="shared" si="229"/>
        <v>0</v>
      </c>
      <c r="R50" s="27">
        <f t="shared" si="229"/>
        <v>0</v>
      </c>
      <c r="S50" s="27">
        <f t="shared" si="229"/>
        <v>0</v>
      </c>
      <c r="T50" s="27">
        <f t="shared" si="229"/>
        <v>0</v>
      </c>
      <c r="U50" s="27">
        <f t="shared" si="229"/>
        <v>0</v>
      </c>
      <c r="V50" s="27">
        <f t="shared" si="229"/>
        <v>0</v>
      </c>
      <c r="W50" s="27">
        <f t="shared" si="229"/>
        <v>0</v>
      </c>
      <c r="X50" s="27">
        <f t="shared" si="229"/>
        <v>0</v>
      </c>
      <c r="Y50" s="27">
        <f t="shared" si="229"/>
        <v>0</v>
      </c>
      <c r="Z50" s="27">
        <f t="shared" si="229"/>
        <v>0</v>
      </c>
      <c r="AA50" s="27">
        <f t="shared" ref="AA50:AA53" si="230">+SUM(O50:Z50)</f>
        <v>0</v>
      </c>
      <c r="AB50" s="118">
        <f t="shared" si="140"/>
        <v>0</v>
      </c>
      <c r="AC50" s="27">
        <f t="shared" ref="AC50:AN53" si="231">+BS50+DI50+EY50</f>
        <v>0</v>
      </c>
      <c r="AD50" s="27">
        <f t="shared" si="231"/>
        <v>0</v>
      </c>
      <c r="AE50" s="27">
        <f t="shared" si="231"/>
        <v>0</v>
      </c>
      <c r="AF50" s="27">
        <f t="shared" si="231"/>
        <v>0</v>
      </c>
      <c r="AG50" s="27">
        <f t="shared" si="231"/>
        <v>0</v>
      </c>
      <c r="AH50" s="27">
        <f t="shared" si="231"/>
        <v>0</v>
      </c>
      <c r="AI50" s="27">
        <f t="shared" si="231"/>
        <v>0</v>
      </c>
      <c r="AJ50" s="27">
        <f t="shared" si="231"/>
        <v>0</v>
      </c>
      <c r="AK50" s="27">
        <f t="shared" si="231"/>
        <v>0</v>
      </c>
      <c r="AL50" s="27">
        <f t="shared" si="231"/>
        <v>0</v>
      </c>
      <c r="AM50" s="27">
        <f t="shared" si="231"/>
        <v>0</v>
      </c>
      <c r="AN50" s="27">
        <f t="shared" si="231"/>
        <v>0</v>
      </c>
      <c r="AO50" s="27">
        <f t="shared" ref="AO50:AO53" si="232">+SUM(AC50:AN50)</f>
        <v>0</v>
      </c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>
        <f t="shared" ref="BC50:BC53" si="233">+SUM(AQ50:BB50)</f>
        <v>0</v>
      </c>
      <c r="BD50" s="13" t="str">
        <f t="shared" si="7"/>
        <v>No of Cars</v>
      </c>
      <c r="BE50" s="27">
        <f>+'Jan-25'!$D$50</f>
        <v>0</v>
      </c>
      <c r="BF50" s="27">
        <f>+'Feb-25'!$D$50</f>
        <v>0</v>
      </c>
      <c r="BG50" s="27">
        <f>+'Mar-25'!$D$50</f>
        <v>0</v>
      </c>
      <c r="BH50" s="27">
        <f>+'Apr-25'!$D$50</f>
        <v>0</v>
      </c>
      <c r="BI50" s="27">
        <f>+'May-25'!$D$50</f>
        <v>0</v>
      </c>
      <c r="BJ50" s="27">
        <f>+'June-25'!$D$50</f>
        <v>0</v>
      </c>
      <c r="BK50" s="27">
        <f>+'July-25'!$D$50</f>
        <v>0</v>
      </c>
      <c r="BL50" s="27">
        <f>+'Aug-25'!$D$50</f>
        <v>0</v>
      </c>
      <c r="BM50" s="27">
        <f>+'Sep-25'!$D$50</f>
        <v>0</v>
      </c>
      <c r="BN50" s="27">
        <f>+'Oct-25'!$D$50</f>
        <v>0</v>
      </c>
      <c r="BO50" s="27">
        <f>+'Nov-25'!$D$50</f>
        <v>0</v>
      </c>
      <c r="BP50" s="27">
        <f>+'Dec-25'!$D$50</f>
        <v>0</v>
      </c>
      <c r="BQ50" s="27">
        <f t="shared" ref="BQ50:BQ53" si="234">+SUM(BE50:BP50)</f>
        <v>0</v>
      </c>
      <c r="BR50" s="118">
        <f t="shared" si="145"/>
        <v>0</v>
      </c>
      <c r="BS50" s="105"/>
      <c r="BT50" s="105"/>
      <c r="BU50" s="105"/>
      <c r="BV50" s="105"/>
      <c r="BW50" s="105"/>
      <c r="BX50" s="105"/>
      <c r="BY50" s="105"/>
      <c r="BZ50" s="105"/>
      <c r="CA50" s="105"/>
      <c r="CB50" s="105"/>
      <c r="CC50" s="105"/>
      <c r="CD50" s="105"/>
      <c r="CE50" s="105">
        <f t="shared" ref="CE50:CE53" si="235">+SUM(BS50:CD50)</f>
        <v>0</v>
      </c>
      <c r="CF50" s="22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105">
        <f t="shared" ref="CS50:CS53" si="236">+SUM(CG50:CR50)</f>
        <v>0</v>
      </c>
      <c r="CT50" s="13" t="str">
        <f t="shared" si="11"/>
        <v>No of Cars</v>
      </c>
      <c r="CU50" s="27">
        <f>+'Jan-25'!$G$50</f>
        <v>0</v>
      </c>
      <c r="CV50" s="27">
        <f>+'Feb-25'!$G$50</f>
        <v>0</v>
      </c>
      <c r="CW50" s="27">
        <f>+'Mar-25'!$G$50</f>
        <v>0</v>
      </c>
      <c r="CX50" s="27">
        <f>+'Apr-25'!$G$50</f>
        <v>0</v>
      </c>
      <c r="CY50" s="27">
        <f>+'May-25'!$G$50</f>
        <v>0</v>
      </c>
      <c r="CZ50" s="27">
        <f>+'June-25'!$G$50</f>
        <v>0</v>
      </c>
      <c r="DA50" s="27">
        <f>+'July-25'!$G$50</f>
        <v>0</v>
      </c>
      <c r="DB50" s="27">
        <f>+'Aug-25'!$G$50</f>
        <v>0</v>
      </c>
      <c r="DC50" s="27">
        <f>+'Sep-25'!$G$50</f>
        <v>0</v>
      </c>
      <c r="DD50" s="27">
        <f>+'Oct-25'!$G$50</f>
        <v>0</v>
      </c>
      <c r="DE50" s="27">
        <f>+'Nov-25'!$G$50</f>
        <v>0</v>
      </c>
      <c r="DF50" s="27">
        <f>+'Dec-25'!$G$50</f>
        <v>0</v>
      </c>
      <c r="DG50" s="27">
        <f t="shared" ref="DG50:DG53" si="237">+SUM(CU50:DF50)</f>
        <v>0</v>
      </c>
      <c r="DH50" s="118">
        <f t="shared" si="149"/>
        <v>0</v>
      </c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105">
        <f t="shared" ref="DU50:DU53" si="238">+SUM(DI50:DT50)</f>
        <v>0</v>
      </c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105">
        <f t="shared" ref="EI50:EI53" si="239">+SUM(DW50:EH50)</f>
        <v>0</v>
      </c>
      <c r="EJ50" s="13" t="str">
        <f t="shared" si="71"/>
        <v>No of Cars</v>
      </c>
      <c r="EK50" s="27">
        <f>+'Jan-25'!$I$50</f>
        <v>0</v>
      </c>
      <c r="EL50" s="27">
        <f>+'Feb-25'!$I$50</f>
        <v>0</v>
      </c>
      <c r="EM50" s="27">
        <f>+'Mar-25'!$I$50</f>
        <v>0</v>
      </c>
      <c r="EN50" s="27">
        <f>+'Apr-25'!$I$50</f>
        <v>0</v>
      </c>
      <c r="EO50" s="27">
        <f>+'May-25'!$I$50</f>
        <v>0</v>
      </c>
      <c r="EP50" s="27">
        <f>+'June-25'!$I$50</f>
        <v>0</v>
      </c>
      <c r="EQ50" s="27">
        <f>+'July-25'!$I$50</f>
        <v>0</v>
      </c>
      <c r="ER50" s="27">
        <f>+'Aug-25'!$I$50</f>
        <v>0</v>
      </c>
      <c r="ES50" s="27">
        <f>+'Sep-25'!$I$50</f>
        <v>0</v>
      </c>
      <c r="ET50" s="27">
        <f>+'Oct-25'!$I$50</f>
        <v>0</v>
      </c>
      <c r="EU50" s="27">
        <f>+'Nov-25'!$I$50</f>
        <v>0</v>
      </c>
      <c r="EV50" s="27">
        <f>+'Dec-25'!$I$50</f>
        <v>0</v>
      </c>
      <c r="EW50" s="27">
        <f t="shared" ref="EW50:EW53" si="240">+SUM(EK50:EV50)</f>
        <v>0</v>
      </c>
      <c r="EX50" s="118">
        <f t="shared" si="153"/>
        <v>0</v>
      </c>
      <c r="EY50" s="105"/>
      <c r="EZ50" s="105"/>
      <c r="FA50" s="105"/>
      <c r="FB50" s="105"/>
      <c r="FC50" s="105"/>
      <c r="FD50" s="105"/>
      <c r="FE50" s="105"/>
      <c r="FF50" s="105"/>
      <c r="FG50" s="105"/>
      <c r="FH50" s="105"/>
      <c r="FI50" s="105"/>
      <c r="FJ50" s="105"/>
      <c r="FK50" s="105">
        <f t="shared" ref="FK50:FK53" si="241">+SUM(EY50:FJ50)</f>
        <v>0</v>
      </c>
    </row>
    <row r="51" spans="1:167" ht="14.45" hidden="1" customHeight="1" outlineLevel="1">
      <c r="A51" s="106">
        <f t="shared" si="227"/>
        <v>0</v>
      </c>
      <c r="B51" s="106">
        <f t="shared" si="227"/>
        <v>0</v>
      </c>
      <c r="C51" s="106">
        <f t="shared" si="227"/>
        <v>0</v>
      </c>
      <c r="D51" s="106">
        <f t="shared" si="227"/>
        <v>0</v>
      </c>
      <c r="E51" s="106">
        <f t="shared" si="227"/>
        <v>0</v>
      </c>
      <c r="F51" s="106">
        <f t="shared" si="227"/>
        <v>0</v>
      </c>
      <c r="G51" s="106">
        <f t="shared" si="227"/>
        <v>0</v>
      </c>
      <c r="H51" s="106">
        <f t="shared" si="227"/>
        <v>0</v>
      </c>
      <c r="I51" s="106">
        <f t="shared" si="227"/>
        <v>0</v>
      </c>
      <c r="J51" s="106">
        <f t="shared" si="227"/>
        <v>0</v>
      </c>
      <c r="K51" s="106">
        <f t="shared" si="227"/>
        <v>0</v>
      </c>
      <c r="L51" s="106">
        <f t="shared" si="227"/>
        <v>0</v>
      </c>
      <c r="M51" s="106">
        <f t="shared" si="228"/>
        <v>0</v>
      </c>
      <c r="N51" s="7" t="s">
        <v>43</v>
      </c>
      <c r="O51" s="22">
        <f t="shared" si="229"/>
        <v>0</v>
      </c>
      <c r="P51" s="22">
        <f t="shared" si="229"/>
        <v>0</v>
      </c>
      <c r="Q51" s="22">
        <f t="shared" si="229"/>
        <v>0</v>
      </c>
      <c r="R51" s="22">
        <f t="shared" si="229"/>
        <v>0</v>
      </c>
      <c r="S51" s="22">
        <f t="shared" si="229"/>
        <v>0</v>
      </c>
      <c r="T51" s="22">
        <f t="shared" si="229"/>
        <v>0</v>
      </c>
      <c r="U51" s="22">
        <f t="shared" si="229"/>
        <v>0</v>
      </c>
      <c r="V51" s="22">
        <f t="shared" si="229"/>
        <v>0</v>
      </c>
      <c r="W51" s="22">
        <f t="shared" si="229"/>
        <v>0</v>
      </c>
      <c r="X51" s="22">
        <f t="shared" si="229"/>
        <v>0</v>
      </c>
      <c r="Y51" s="22">
        <f t="shared" si="229"/>
        <v>0</v>
      </c>
      <c r="Z51" s="22">
        <f t="shared" si="229"/>
        <v>0</v>
      </c>
      <c r="AA51" s="22">
        <f t="shared" si="230"/>
        <v>0</v>
      </c>
      <c r="AB51" s="118">
        <f t="shared" si="140"/>
        <v>0</v>
      </c>
      <c r="AC51" s="22">
        <f t="shared" si="231"/>
        <v>0</v>
      </c>
      <c r="AD51" s="22">
        <f t="shared" si="231"/>
        <v>0</v>
      </c>
      <c r="AE51" s="22">
        <f t="shared" si="231"/>
        <v>0</v>
      </c>
      <c r="AF51" s="22">
        <f t="shared" si="231"/>
        <v>0</v>
      </c>
      <c r="AG51" s="22">
        <f t="shared" si="231"/>
        <v>0</v>
      </c>
      <c r="AH51" s="22">
        <f t="shared" si="231"/>
        <v>0</v>
      </c>
      <c r="AI51" s="22">
        <f t="shared" si="231"/>
        <v>0</v>
      </c>
      <c r="AJ51" s="22">
        <f t="shared" si="231"/>
        <v>0</v>
      </c>
      <c r="AK51" s="22">
        <f t="shared" si="231"/>
        <v>0</v>
      </c>
      <c r="AL51" s="22">
        <f t="shared" si="231"/>
        <v>0</v>
      </c>
      <c r="AM51" s="22">
        <f t="shared" si="231"/>
        <v>0</v>
      </c>
      <c r="AN51" s="22">
        <f t="shared" si="231"/>
        <v>0</v>
      </c>
      <c r="AO51" s="22">
        <f t="shared" si="232"/>
        <v>0</v>
      </c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>
        <f t="shared" si="233"/>
        <v>0</v>
      </c>
      <c r="BD51" s="7" t="str">
        <f t="shared" si="7"/>
        <v>Sale Revenue Accsories &amp; Boutiques</v>
      </c>
      <c r="BE51" s="22">
        <f>+VLOOKUP($BD51,'Jan-25'!$A:$J,4,0)</f>
        <v>0</v>
      </c>
      <c r="BF51" s="22">
        <f>+VLOOKUP($BD51,'Feb-25'!$A:$J,4,0)</f>
        <v>0</v>
      </c>
      <c r="BG51" s="22">
        <f>+VLOOKUP($BD51,'Mar-25'!$A:$J,4,0)</f>
        <v>0</v>
      </c>
      <c r="BH51" s="22">
        <f>+VLOOKUP($BD51,'Apr-25'!$A:$J,4,0)</f>
        <v>0</v>
      </c>
      <c r="BI51" s="22">
        <f>+VLOOKUP($BD51,'May-25'!$A:$J,4,0)</f>
        <v>0</v>
      </c>
      <c r="BJ51" s="22">
        <f>+VLOOKUP($BD51,'June-25'!$A:$J,4,0)</f>
        <v>0</v>
      </c>
      <c r="BK51" s="22">
        <f>+VLOOKUP($BD51,'July-25'!$A:$J,4,0)</f>
        <v>0</v>
      </c>
      <c r="BL51" s="22">
        <f>+VLOOKUP($BD51,'Aug-25'!$A:$J,4,0)</f>
        <v>0</v>
      </c>
      <c r="BM51" s="22">
        <f>+VLOOKUP($BD51,'Sep-25'!$A:$J,4,0)</f>
        <v>0</v>
      </c>
      <c r="BN51" s="22">
        <f>+VLOOKUP($BD51,'Oct-25'!$A:$J,4,0)</f>
        <v>0</v>
      </c>
      <c r="BO51" s="22">
        <f>+VLOOKUP($BD51,'Nov-25'!$A:$J,4,0)</f>
        <v>0</v>
      </c>
      <c r="BP51" s="22">
        <f>+VLOOKUP($BD51,'Dec-25'!$A:$J,4,0)</f>
        <v>0</v>
      </c>
      <c r="BQ51" s="22">
        <f t="shared" si="234"/>
        <v>0</v>
      </c>
      <c r="BR51" s="118">
        <f t="shared" si="145"/>
        <v>0</v>
      </c>
      <c r="BS51" s="106"/>
      <c r="BT51" s="106"/>
      <c r="BU51" s="106"/>
      <c r="BV51" s="106"/>
      <c r="BW51" s="106"/>
      <c r="BX51" s="106"/>
      <c r="BY51" s="106"/>
      <c r="BZ51" s="106"/>
      <c r="CA51" s="106"/>
      <c r="CB51" s="106"/>
      <c r="CC51" s="106"/>
      <c r="CD51" s="106"/>
      <c r="CE51" s="106">
        <f t="shared" si="235"/>
        <v>0</v>
      </c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106">
        <f t="shared" si="236"/>
        <v>0</v>
      </c>
      <c r="CT51" s="7" t="str">
        <f t="shared" si="11"/>
        <v>Sale Revenue Accsories &amp; Boutiques</v>
      </c>
      <c r="CU51" s="22">
        <f>+VLOOKUP($BD51,'Jan-25'!$A:$J,7,0)</f>
        <v>0</v>
      </c>
      <c r="CV51" s="22">
        <f>+VLOOKUP($BD51,'Feb-25'!$A:$J,7,0)</f>
        <v>0</v>
      </c>
      <c r="CW51" s="22">
        <f>+VLOOKUP($BD51,'Mar-25'!$A:$J,7,0)</f>
        <v>0</v>
      </c>
      <c r="CX51" s="22">
        <f>+VLOOKUP($BD51,'Apr-25'!$A:$J,7,0)</f>
        <v>0</v>
      </c>
      <c r="CY51" s="22">
        <f>+VLOOKUP($BD51,'May-25'!$A:$J,7,0)</f>
        <v>0</v>
      </c>
      <c r="CZ51" s="22">
        <f>+VLOOKUP($BD51,'June-25'!$A:$J,7,0)</f>
        <v>0</v>
      </c>
      <c r="DA51" s="22">
        <f>+VLOOKUP($BD51,'July-25'!$A:$J,7,0)</f>
        <v>0</v>
      </c>
      <c r="DB51" s="22">
        <f>+VLOOKUP($BD51,'Aug-25'!$A:$J,7,0)</f>
        <v>0</v>
      </c>
      <c r="DC51" s="22">
        <f>+VLOOKUP($BD51,'Sep-25'!$A:$J,7,0)</f>
        <v>0</v>
      </c>
      <c r="DD51" s="22">
        <f>+VLOOKUP($BD51,'Oct-25'!$A:$J,7,0)</f>
        <v>0</v>
      </c>
      <c r="DE51" s="22">
        <f>+VLOOKUP($BD51,'Nov-25'!$A:$J,7,0)</f>
        <v>0</v>
      </c>
      <c r="DF51" s="22">
        <f>+VLOOKUP($BD51,'Dec-25'!$A:$J,7,0)</f>
        <v>0</v>
      </c>
      <c r="DG51" s="22">
        <f t="shared" si="237"/>
        <v>0</v>
      </c>
      <c r="DH51" s="118">
        <f t="shared" si="149"/>
        <v>0</v>
      </c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106">
        <f t="shared" si="238"/>
        <v>0</v>
      </c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106">
        <f t="shared" si="239"/>
        <v>0</v>
      </c>
      <c r="EJ51" s="7" t="str">
        <f t="shared" si="71"/>
        <v>Sale Revenue Accsories &amp; Boutiques</v>
      </c>
      <c r="EK51" s="22">
        <f>+VLOOKUP($BD51,'Jan-25'!$A:$J,9,0)</f>
        <v>0</v>
      </c>
      <c r="EL51" s="22">
        <f>+VLOOKUP($BD51,'Feb-25'!$A:$J,9,0)</f>
        <v>0</v>
      </c>
      <c r="EM51" s="22">
        <f>+VLOOKUP($BD51,'Mar-25'!$A:$J,9,0)</f>
        <v>0</v>
      </c>
      <c r="EN51" s="22">
        <f>+VLOOKUP($BD51,'Apr-25'!$A:$J,9,0)</f>
        <v>0</v>
      </c>
      <c r="EO51" s="22">
        <f>+VLOOKUP($BD51,'May-25'!$A:$J,9,0)</f>
        <v>0</v>
      </c>
      <c r="EP51" s="22">
        <f>+VLOOKUP($BD51,'June-25'!$A:$J,9,0)</f>
        <v>0</v>
      </c>
      <c r="EQ51" s="22">
        <f>+VLOOKUP($BD51,'July-25'!$A:$J,9,0)</f>
        <v>0</v>
      </c>
      <c r="ER51" s="22">
        <f>+VLOOKUP($BD51,'Aug-25'!$A:$J,9,0)</f>
        <v>0</v>
      </c>
      <c r="ES51" s="22">
        <f>+VLOOKUP($BD51,'Sep-25'!$A:$J,9,0)</f>
        <v>0</v>
      </c>
      <c r="ET51" s="22">
        <f>+VLOOKUP($BD51,'Oct-25'!$A:$J,9,0)</f>
        <v>0</v>
      </c>
      <c r="EU51" s="22">
        <f>+VLOOKUP($BD51,'Nov-25'!$A:$J,9,0)</f>
        <v>0</v>
      </c>
      <c r="EV51" s="22">
        <f>+VLOOKUP($BD51,'Dec-25'!$A:$J,9,0)</f>
        <v>0</v>
      </c>
      <c r="EW51" s="22">
        <f t="shared" si="240"/>
        <v>0</v>
      </c>
      <c r="EX51" s="118">
        <f t="shared" si="153"/>
        <v>0</v>
      </c>
      <c r="EY51" s="106"/>
      <c r="EZ51" s="106"/>
      <c r="FA51" s="106"/>
      <c r="FB51" s="106"/>
      <c r="FC51" s="106"/>
      <c r="FD51" s="106"/>
      <c r="FE51" s="106"/>
      <c r="FF51" s="106"/>
      <c r="FG51" s="106"/>
      <c r="FH51" s="106"/>
      <c r="FI51" s="106"/>
      <c r="FJ51" s="106"/>
      <c r="FK51" s="106">
        <f t="shared" si="241"/>
        <v>0</v>
      </c>
    </row>
    <row r="52" spans="1:167" ht="14.45" hidden="1" customHeight="1" outlineLevel="1">
      <c r="A52" s="106">
        <f t="shared" si="227"/>
        <v>0</v>
      </c>
      <c r="B52" s="106">
        <f t="shared" si="227"/>
        <v>0</v>
      </c>
      <c r="C52" s="106">
        <f t="shared" si="227"/>
        <v>0</v>
      </c>
      <c r="D52" s="106">
        <f t="shared" si="227"/>
        <v>0</v>
      </c>
      <c r="E52" s="106">
        <f t="shared" si="227"/>
        <v>0</v>
      </c>
      <c r="F52" s="106">
        <f t="shared" si="227"/>
        <v>0</v>
      </c>
      <c r="G52" s="106">
        <f t="shared" si="227"/>
        <v>0</v>
      </c>
      <c r="H52" s="106">
        <f t="shared" si="227"/>
        <v>0</v>
      </c>
      <c r="I52" s="106">
        <f t="shared" si="227"/>
        <v>0</v>
      </c>
      <c r="J52" s="106">
        <f t="shared" si="227"/>
        <v>0</v>
      </c>
      <c r="K52" s="106">
        <f t="shared" si="227"/>
        <v>0</v>
      </c>
      <c r="L52" s="106">
        <f t="shared" si="227"/>
        <v>0</v>
      </c>
      <c r="M52" s="106">
        <f t="shared" si="228"/>
        <v>0</v>
      </c>
      <c r="N52" s="10" t="s">
        <v>30</v>
      </c>
      <c r="O52" s="22">
        <f t="shared" si="229"/>
        <v>0</v>
      </c>
      <c r="P52" s="22">
        <f t="shared" si="229"/>
        <v>0</v>
      </c>
      <c r="Q52" s="22">
        <f t="shared" si="229"/>
        <v>0</v>
      </c>
      <c r="R52" s="22">
        <f t="shared" si="229"/>
        <v>0</v>
      </c>
      <c r="S52" s="22">
        <f t="shared" si="229"/>
        <v>0</v>
      </c>
      <c r="T52" s="22">
        <f t="shared" si="229"/>
        <v>0</v>
      </c>
      <c r="U52" s="22">
        <f t="shared" si="229"/>
        <v>0</v>
      </c>
      <c r="V52" s="22">
        <f t="shared" si="229"/>
        <v>0</v>
      </c>
      <c r="W52" s="22">
        <f t="shared" si="229"/>
        <v>0</v>
      </c>
      <c r="X52" s="22">
        <f t="shared" si="229"/>
        <v>0</v>
      </c>
      <c r="Y52" s="22">
        <f t="shared" si="229"/>
        <v>0</v>
      </c>
      <c r="Z52" s="22">
        <f t="shared" si="229"/>
        <v>0</v>
      </c>
      <c r="AA52" s="22">
        <f t="shared" si="230"/>
        <v>0</v>
      </c>
      <c r="AB52" s="118">
        <f t="shared" si="140"/>
        <v>0</v>
      </c>
      <c r="AC52" s="22">
        <f t="shared" si="231"/>
        <v>0</v>
      </c>
      <c r="AD52" s="22">
        <f t="shared" si="231"/>
        <v>0</v>
      </c>
      <c r="AE52" s="22">
        <f t="shared" si="231"/>
        <v>0</v>
      </c>
      <c r="AF52" s="22">
        <f t="shared" si="231"/>
        <v>0</v>
      </c>
      <c r="AG52" s="22">
        <f t="shared" si="231"/>
        <v>0</v>
      </c>
      <c r="AH52" s="22">
        <f t="shared" si="231"/>
        <v>0</v>
      </c>
      <c r="AI52" s="22">
        <f t="shared" si="231"/>
        <v>0</v>
      </c>
      <c r="AJ52" s="22">
        <f t="shared" si="231"/>
        <v>0</v>
      </c>
      <c r="AK52" s="22">
        <f t="shared" si="231"/>
        <v>0</v>
      </c>
      <c r="AL52" s="22">
        <f t="shared" si="231"/>
        <v>0</v>
      </c>
      <c r="AM52" s="22">
        <f t="shared" si="231"/>
        <v>0</v>
      </c>
      <c r="AN52" s="22">
        <f t="shared" si="231"/>
        <v>0</v>
      </c>
      <c r="AO52" s="22">
        <f t="shared" si="232"/>
        <v>0</v>
      </c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>
        <f t="shared" si="233"/>
        <v>0</v>
      </c>
      <c r="BD52" s="10" t="str">
        <f t="shared" si="7"/>
        <v>Internal Sales</v>
      </c>
      <c r="BE52" s="106">
        <f>+'Jan-25'!D52</f>
        <v>0</v>
      </c>
      <c r="BF52" s="106">
        <f>+'Feb-25'!D52</f>
        <v>0</v>
      </c>
      <c r="BG52" s="106">
        <f>+'Mar-25'!D52</f>
        <v>0</v>
      </c>
      <c r="BH52" s="106">
        <f>+'Apr-25'!D52</f>
        <v>0</v>
      </c>
      <c r="BI52" s="106">
        <f>+'May-25'!D52</f>
        <v>0</v>
      </c>
      <c r="BJ52" s="106">
        <f>+'June-25'!D52</f>
        <v>0</v>
      </c>
      <c r="BK52" s="106">
        <f>+'July-25'!D52</f>
        <v>0</v>
      </c>
      <c r="BL52" s="106">
        <f>+'Aug-25'!D52</f>
        <v>0</v>
      </c>
      <c r="BM52" s="106">
        <f>+'Sep-25'!D52</f>
        <v>0</v>
      </c>
      <c r="BN52" s="106">
        <f>+'Oct-25'!D52</f>
        <v>0</v>
      </c>
      <c r="BO52" s="106">
        <f>+'Nov-25'!D52</f>
        <v>0</v>
      </c>
      <c r="BP52" s="106">
        <f>+'Dec-25'!D52</f>
        <v>0</v>
      </c>
      <c r="BQ52" s="22">
        <f t="shared" si="234"/>
        <v>0</v>
      </c>
      <c r="BR52" s="118">
        <f t="shared" si="145"/>
        <v>0</v>
      </c>
      <c r="BS52" s="106"/>
      <c r="BT52" s="106"/>
      <c r="BU52" s="106"/>
      <c r="BV52" s="106"/>
      <c r="BW52" s="106"/>
      <c r="BX52" s="106"/>
      <c r="BY52" s="106"/>
      <c r="BZ52" s="106"/>
      <c r="CA52" s="106"/>
      <c r="CB52" s="106"/>
      <c r="CC52" s="106"/>
      <c r="CD52" s="106"/>
      <c r="CE52" s="106">
        <f t="shared" si="235"/>
        <v>0</v>
      </c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106">
        <f t="shared" si="236"/>
        <v>0</v>
      </c>
      <c r="CT52" s="10" t="str">
        <f t="shared" si="11"/>
        <v>Internal Sales</v>
      </c>
      <c r="CU52" s="106">
        <f>+'Jan-25'!G52</f>
        <v>0</v>
      </c>
      <c r="CV52" s="106">
        <f>+'Feb-25'!G52</f>
        <v>0</v>
      </c>
      <c r="CW52" s="106">
        <f>+'Mar-25'!G52</f>
        <v>0</v>
      </c>
      <c r="CX52" s="106">
        <f>+'Apr-25'!G52</f>
        <v>0</v>
      </c>
      <c r="CY52" s="106">
        <f>+'May-25'!G52</f>
        <v>0</v>
      </c>
      <c r="CZ52" s="106">
        <f>+'June-25'!G52</f>
        <v>0</v>
      </c>
      <c r="DA52" s="106">
        <f>+'July-25'!G52</f>
        <v>0</v>
      </c>
      <c r="DB52" s="106">
        <f>+'Aug-25'!G52</f>
        <v>0</v>
      </c>
      <c r="DC52" s="106">
        <f>+'Sep-25'!G52</f>
        <v>0</v>
      </c>
      <c r="DD52" s="106">
        <f>+'Oct-25'!G52</f>
        <v>0</v>
      </c>
      <c r="DE52" s="106">
        <f>+'Nov-25'!G52</f>
        <v>0</v>
      </c>
      <c r="DF52" s="106">
        <f>+'Dec-25'!G52</f>
        <v>0</v>
      </c>
      <c r="DG52" s="22">
        <f t="shared" si="237"/>
        <v>0</v>
      </c>
      <c r="DH52" s="118">
        <f t="shared" si="149"/>
        <v>0</v>
      </c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106">
        <f t="shared" si="238"/>
        <v>0</v>
      </c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106">
        <f t="shared" si="239"/>
        <v>0</v>
      </c>
      <c r="EJ52" s="10" t="str">
        <f t="shared" si="71"/>
        <v>Internal Sales</v>
      </c>
      <c r="EK52" s="106">
        <f>+'Jan-25'!I52</f>
        <v>0</v>
      </c>
      <c r="EL52" s="106">
        <f>+'Feb-25'!I52</f>
        <v>0</v>
      </c>
      <c r="EM52" s="106">
        <f>+'Mar-25'!I52</f>
        <v>0</v>
      </c>
      <c r="EN52" s="106">
        <f>+'Apr-25'!I52</f>
        <v>0</v>
      </c>
      <c r="EO52" s="106">
        <f>+'May-25'!I52</f>
        <v>0</v>
      </c>
      <c r="EP52" s="106">
        <f>+'June-25'!I52</f>
        <v>0</v>
      </c>
      <c r="EQ52" s="106">
        <f>+'July-25'!I52</f>
        <v>0</v>
      </c>
      <c r="ER52" s="106">
        <f>+'Aug-25'!I52</f>
        <v>0</v>
      </c>
      <c r="ES52" s="106">
        <f>+'Sep-25'!I52</f>
        <v>0</v>
      </c>
      <c r="ET52" s="106">
        <f>+'Oct-25'!I52</f>
        <v>0</v>
      </c>
      <c r="EU52" s="106">
        <f>+'Nov-25'!I52</f>
        <v>0</v>
      </c>
      <c r="EV52" s="106">
        <f>+'Dec-25'!I52</f>
        <v>0</v>
      </c>
      <c r="EW52" s="22">
        <f t="shared" si="240"/>
        <v>0</v>
      </c>
      <c r="EX52" s="118">
        <f t="shared" si="153"/>
        <v>0</v>
      </c>
      <c r="EY52" s="106"/>
      <c r="EZ52" s="106"/>
      <c r="FA52" s="106"/>
      <c r="FB52" s="106"/>
      <c r="FC52" s="106"/>
      <c r="FD52" s="106"/>
      <c r="FE52" s="106"/>
      <c r="FF52" s="106"/>
      <c r="FG52" s="106"/>
      <c r="FH52" s="106"/>
      <c r="FI52" s="106"/>
      <c r="FJ52" s="106"/>
      <c r="FK52" s="106">
        <f t="shared" si="241"/>
        <v>0</v>
      </c>
    </row>
    <row r="53" spans="1:167" ht="14.45" hidden="1" customHeight="1" outlineLevel="1">
      <c r="A53" s="106">
        <f t="shared" si="227"/>
        <v>0</v>
      </c>
      <c r="B53" s="106">
        <f t="shared" si="227"/>
        <v>0</v>
      </c>
      <c r="C53" s="106">
        <f t="shared" si="227"/>
        <v>0</v>
      </c>
      <c r="D53" s="106">
        <f t="shared" si="227"/>
        <v>0</v>
      </c>
      <c r="E53" s="106">
        <f t="shared" si="227"/>
        <v>0</v>
      </c>
      <c r="F53" s="106">
        <f t="shared" si="227"/>
        <v>0</v>
      </c>
      <c r="G53" s="106">
        <f t="shared" si="227"/>
        <v>0</v>
      </c>
      <c r="H53" s="106">
        <f t="shared" si="227"/>
        <v>0</v>
      </c>
      <c r="I53" s="106">
        <f t="shared" si="227"/>
        <v>0</v>
      </c>
      <c r="J53" s="106">
        <f t="shared" si="227"/>
        <v>0</v>
      </c>
      <c r="K53" s="106">
        <f t="shared" si="227"/>
        <v>0</v>
      </c>
      <c r="L53" s="106">
        <f t="shared" si="227"/>
        <v>0</v>
      </c>
      <c r="M53" s="106">
        <f t="shared" si="228"/>
        <v>0</v>
      </c>
      <c r="N53" s="10" t="s">
        <v>33</v>
      </c>
      <c r="O53" s="22">
        <f t="shared" si="229"/>
        <v>0</v>
      </c>
      <c r="P53" s="22">
        <f t="shared" si="229"/>
        <v>0</v>
      </c>
      <c r="Q53" s="22">
        <f t="shared" si="229"/>
        <v>0</v>
      </c>
      <c r="R53" s="22">
        <f t="shared" si="229"/>
        <v>0</v>
      </c>
      <c r="S53" s="22">
        <f t="shared" si="229"/>
        <v>0</v>
      </c>
      <c r="T53" s="22">
        <f t="shared" si="229"/>
        <v>0</v>
      </c>
      <c r="U53" s="22">
        <f t="shared" si="229"/>
        <v>0</v>
      </c>
      <c r="V53" s="22">
        <f t="shared" si="229"/>
        <v>0</v>
      </c>
      <c r="W53" s="22">
        <f t="shared" si="229"/>
        <v>0</v>
      </c>
      <c r="X53" s="22">
        <f t="shared" si="229"/>
        <v>0</v>
      </c>
      <c r="Y53" s="22">
        <f t="shared" si="229"/>
        <v>0</v>
      </c>
      <c r="Z53" s="22">
        <f t="shared" si="229"/>
        <v>0</v>
      </c>
      <c r="AA53" s="22">
        <f t="shared" si="230"/>
        <v>0</v>
      </c>
      <c r="AB53" s="118">
        <f t="shared" si="140"/>
        <v>0</v>
      </c>
      <c r="AC53" s="22">
        <f t="shared" si="231"/>
        <v>0</v>
      </c>
      <c r="AD53" s="22">
        <f t="shared" si="231"/>
        <v>0</v>
      </c>
      <c r="AE53" s="22">
        <f t="shared" si="231"/>
        <v>0</v>
      </c>
      <c r="AF53" s="22">
        <f t="shared" si="231"/>
        <v>0</v>
      </c>
      <c r="AG53" s="22">
        <f t="shared" si="231"/>
        <v>0</v>
      </c>
      <c r="AH53" s="22">
        <f t="shared" si="231"/>
        <v>0</v>
      </c>
      <c r="AI53" s="22">
        <f t="shared" si="231"/>
        <v>0</v>
      </c>
      <c r="AJ53" s="22">
        <f t="shared" si="231"/>
        <v>0</v>
      </c>
      <c r="AK53" s="22">
        <f t="shared" si="231"/>
        <v>0</v>
      </c>
      <c r="AL53" s="22">
        <f t="shared" si="231"/>
        <v>0</v>
      </c>
      <c r="AM53" s="22">
        <f t="shared" si="231"/>
        <v>0</v>
      </c>
      <c r="AN53" s="22">
        <f t="shared" si="231"/>
        <v>0</v>
      </c>
      <c r="AO53" s="22">
        <f t="shared" si="232"/>
        <v>0</v>
      </c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>
        <f t="shared" si="233"/>
        <v>0</v>
      </c>
      <c r="BD53" s="10" t="str">
        <f t="shared" si="7"/>
        <v>Cost of Good sold</v>
      </c>
      <c r="BE53" s="106">
        <f>+'Jan-25'!D53</f>
        <v>0</v>
      </c>
      <c r="BF53" s="106">
        <f>+'Feb-25'!D53</f>
        <v>0</v>
      </c>
      <c r="BG53" s="106">
        <f>+'Mar-25'!D53</f>
        <v>0</v>
      </c>
      <c r="BH53" s="106">
        <f>+'Apr-25'!D53</f>
        <v>0</v>
      </c>
      <c r="BI53" s="106">
        <f>+'May-25'!D53</f>
        <v>0</v>
      </c>
      <c r="BJ53" s="106">
        <f>+'June-25'!D53</f>
        <v>0</v>
      </c>
      <c r="BK53" s="106">
        <f>+'July-25'!D53</f>
        <v>0</v>
      </c>
      <c r="BL53" s="106">
        <f>+'Aug-25'!D53</f>
        <v>0</v>
      </c>
      <c r="BM53" s="106">
        <f>+'Sep-25'!D53</f>
        <v>0</v>
      </c>
      <c r="BN53" s="106">
        <f>+'Oct-25'!D53</f>
        <v>0</v>
      </c>
      <c r="BO53" s="106">
        <f>+'Nov-25'!D53</f>
        <v>0</v>
      </c>
      <c r="BP53" s="106">
        <f>+'Dec-25'!D53</f>
        <v>0</v>
      </c>
      <c r="BQ53" s="22">
        <f t="shared" si="234"/>
        <v>0</v>
      </c>
      <c r="BR53" s="118">
        <f t="shared" si="145"/>
        <v>0</v>
      </c>
      <c r="BS53" s="106"/>
      <c r="BT53" s="106"/>
      <c r="BU53" s="106"/>
      <c r="BV53" s="106"/>
      <c r="BW53" s="106"/>
      <c r="BX53" s="106"/>
      <c r="BY53" s="106"/>
      <c r="BZ53" s="106"/>
      <c r="CA53" s="106"/>
      <c r="CB53" s="106"/>
      <c r="CC53" s="106"/>
      <c r="CD53" s="106"/>
      <c r="CE53" s="106">
        <f t="shared" si="235"/>
        <v>0</v>
      </c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106">
        <f t="shared" si="236"/>
        <v>0</v>
      </c>
      <c r="CT53" s="10" t="str">
        <f t="shared" si="11"/>
        <v>Cost of Good sold</v>
      </c>
      <c r="CU53" s="106">
        <f>+'Jan-25'!G53</f>
        <v>0</v>
      </c>
      <c r="CV53" s="106">
        <f>+'Feb-25'!G53</f>
        <v>0</v>
      </c>
      <c r="CW53" s="106">
        <f>+'Mar-25'!G53</f>
        <v>0</v>
      </c>
      <c r="CX53" s="106">
        <f>+'Apr-25'!G53</f>
        <v>0</v>
      </c>
      <c r="CY53" s="106">
        <f>+'May-25'!G53</f>
        <v>0</v>
      </c>
      <c r="CZ53" s="106">
        <f>+'June-25'!G53</f>
        <v>0</v>
      </c>
      <c r="DA53" s="106">
        <f>+'July-25'!G53</f>
        <v>0</v>
      </c>
      <c r="DB53" s="106">
        <f>+'Aug-25'!G53</f>
        <v>0</v>
      </c>
      <c r="DC53" s="106">
        <f>+'Sep-25'!G53</f>
        <v>0</v>
      </c>
      <c r="DD53" s="106">
        <f>+'Oct-25'!G53</f>
        <v>0</v>
      </c>
      <c r="DE53" s="106">
        <f>+'Nov-25'!G53</f>
        <v>0</v>
      </c>
      <c r="DF53" s="106">
        <f>+'Dec-25'!G53</f>
        <v>0</v>
      </c>
      <c r="DG53" s="22">
        <f t="shared" si="237"/>
        <v>0</v>
      </c>
      <c r="DH53" s="118">
        <f t="shared" si="149"/>
        <v>0</v>
      </c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106">
        <f t="shared" si="238"/>
        <v>0</v>
      </c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106">
        <f t="shared" si="239"/>
        <v>0</v>
      </c>
      <c r="EJ53" s="10" t="str">
        <f t="shared" si="71"/>
        <v>Cost of Good sold</v>
      </c>
      <c r="EK53" s="106">
        <f>+'Jan-25'!I53</f>
        <v>0</v>
      </c>
      <c r="EL53" s="106">
        <f>+'Feb-25'!I53</f>
        <v>0</v>
      </c>
      <c r="EM53" s="106">
        <f>+'Mar-25'!I53</f>
        <v>0</v>
      </c>
      <c r="EN53" s="106">
        <f>+'Apr-25'!I53</f>
        <v>0</v>
      </c>
      <c r="EO53" s="106">
        <f>+'May-25'!I53</f>
        <v>0</v>
      </c>
      <c r="EP53" s="106">
        <f>+'June-25'!I53</f>
        <v>0</v>
      </c>
      <c r="EQ53" s="106">
        <f>+'July-25'!I53</f>
        <v>0</v>
      </c>
      <c r="ER53" s="106">
        <f>+'Aug-25'!I53</f>
        <v>0</v>
      </c>
      <c r="ES53" s="106">
        <f>+'Sep-25'!I53</f>
        <v>0</v>
      </c>
      <c r="ET53" s="106">
        <f>+'Oct-25'!I53</f>
        <v>0</v>
      </c>
      <c r="EU53" s="106">
        <f>+'Nov-25'!I53</f>
        <v>0</v>
      </c>
      <c r="EV53" s="106">
        <f>+'Dec-25'!I53</f>
        <v>0</v>
      </c>
      <c r="EW53" s="22">
        <f t="shared" si="240"/>
        <v>0</v>
      </c>
      <c r="EX53" s="118">
        <f t="shared" si="153"/>
        <v>0</v>
      </c>
      <c r="EY53" s="106"/>
      <c r="EZ53" s="106"/>
      <c r="FA53" s="106"/>
      <c r="FB53" s="106"/>
      <c r="FC53" s="106"/>
      <c r="FD53" s="106"/>
      <c r="FE53" s="106"/>
      <c r="FF53" s="106"/>
      <c r="FG53" s="106"/>
      <c r="FH53" s="106"/>
      <c r="FI53" s="106"/>
      <c r="FJ53" s="106"/>
      <c r="FK53" s="106">
        <f t="shared" si="241"/>
        <v>0</v>
      </c>
    </row>
    <row r="54" spans="1:167" ht="14.45" hidden="1" customHeight="1" outlineLevel="1">
      <c r="A54" s="58">
        <f>+A51+A52-A53</f>
        <v>0</v>
      </c>
      <c r="B54" s="58">
        <f t="shared" ref="B54:M54" si="242">+B51+B52-B53</f>
        <v>0</v>
      </c>
      <c r="C54" s="58">
        <f t="shared" si="242"/>
        <v>0</v>
      </c>
      <c r="D54" s="58">
        <f t="shared" si="242"/>
        <v>0</v>
      </c>
      <c r="E54" s="58">
        <f t="shared" si="242"/>
        <v>0</v>
      </c>
      <c r="F54" s="58">
        <f t="shared" si="242"/>
        <v>0</v>
      </c>
      <c r="G54" s="58">
        <f t="shared" si="242"/>
        <v>0</v>
      </c>
      <c r="H54" s="58">
        <f t="shared" si="242"/>
        <v>0</v>
      </c>
      <c r="I54" s="58">
        <f t="shared" si="242"/>
        <v>0</v>
      </c>
      <c r="J54" s="58">
        <f t="shared" si="242"/>
        <v>0</v>
      </c>
      <c r="K54" s="58">
        <f t="shared" si="242"/>
        <v>0</v>
      </c>
      <c r="L54" s="58">
        <f t="shared" si="242"/>
        <v>0</v>
      </c>
      <c r="M54" s="58">
        <f t="shared" si="242"/>
        <v>0</v>
      </c>
      <c r="N54" s="10" t="s">
        <v>20</v>
      </c>
      <c r="O54" s="28">
        <f>+O51+O52-O53</f>
        <v>0</v>
      </c>
      <c r="P54" s="28">
        <f t="shared" ref="P54:AA54" si="243">+P51+P52-P53</f>
        <v>0</v>
      </c>
      <c r="Q54" s="28">
        <f t="shared" si="243"/>
        <v>0</v>
      </c>
      <c r="R54" s="28">
        <f t="shared" si="243"/>
        <v>0</v>
      </c>
      <c r="S54" s="28">
        <f t="shared" si="243"/>
        <v>0</v>
      </c>
      <c r="T54" s="28">
        <f t="shared" si="243"/>
        <v>0</v>
      </c>
      <c r="U54" s="28">
        <f t="shared" si="243"/>
        <v>0</v>
      </c>
      <c r="V54" s="28">
        <f t="shared" si="243"/>
        <v>0</v>
      </c>
      <c r="W54" s="28">
        <f t="shared" si="243"/>
        <v>0</v>
      </c>
      <c r="X54" s="28">
        <f t="shared" si="243"/>
        <v>0</v>
      </c>
      <c r="Y54" s="28">
        <f t="shared" si="243"/>
        <v>0</v>
      </c>
      <c r="Z54" s="28">
        <f t="shared" si="243"/>
        <v>0</v>
      </c>
      <c r="AA54" s="28">
        <f t="shared" si="243"/>
        <v>0</v>
      </c>
      <c r="AB54" s="118">
        <f t="shared" si="140"/>
        <v>0</v>
      </c>
      <c r="AC54" s="28">
        <f>+AC51+AC52-AC53</f>
        <v>0</v>
      </c>
      <c r="AD54" s="28">
        <f t="shared" ref="AD54:AO54" si="244">+AD51+AD52-AD53</f>
        <v>0</v>
      </c>
      <c r="AE54" s="28">
        <f t="shared" si="244"/>
        <v>0</v>
      </c>
      <c r="AF54" s="28">
        <f t="shared" si="244"/>
        <v>0</v>
      </c>
      <c r="AG54" s="28">
        <f t="shared" si="244"/>
        <v>0</v>
      </c>
      <c r="AH54" s="28">
        <f t="shared" si="244"/>
        <v>0</v>
      </c>
      <c r="AI54" s="28">
        <f t="shared" si="244"/>
        <v>0</v>
      </c>
      <c r="AJ54" s="28">
        <f t="shared" si="244"/>
        <v>0</v>
      </c>
      <c r="AK54" s="28">
        <f t="shared" si="244"/>
        <v>0</v>
      </c>
      <c r="AL54" s="28">
        <f t="shared" si="244"/>
        <v>0</v>
      </c>
      <c r="AM54" s="28">
        <f t="shared" si="244"/>
        <v>0</v>
      </c>
      <c r="AN54" s="28">
        <f t="shared" si="244"/>
        <v>0</v>
      </c>
      <c r="AO54" s="28">
        <f t="shared" si="244"/>
        <v>0</v>
      </c>
      <c r="AQ54" s="58">
        <f t="shared" ref="AQ54:BC54" si="245">+AQ51+AQ52-AQ53</f>
        <v>0</v>
      </c>
      <c r="AR54" s="58">
        <f t="shared" si="245"/>
        <v>0</v>
      </c>
      <c r="AS54" s="58">
        <f t="shared" si="245"/>
        <v>0</v>
      </c>
      <c r="AT54" s="58">
        <f t="shared" si="245"/>
        <v>0</v>
      </c>
      <c r="AU54" s="58">
        <f t="shared" si="245"/>
        <v>0</v>
      </c>
      <c r="AV54" s="58">
        <f t="shared" si="245"/>
        <v>0</v>
      </c>
      <c r="AW54" s="58">
        <f t="shared" si="245"/>
        <v>0</v>
      </c>
      <c r="AX54" s="58">
        <f t="shared" si="245"/>
        <v>0</v>
      </c>
      <c r="AY54" s="58">
        <f t="shared" si="245"/>
        <v>0</v>
      </c>
      <c r="AZ54" s="58">
        <f t="shared" si="245"/>
        <v>0</v>
      </c>
      <c r="BA54" s="58">
        <f t="shared" si="245"/>
        <v>0</v>
      </c>
      <c r="BB54" s="58">
        <f t="shared" si="245"/>
        <v>0</v>
      </c>
      <c r="BC54" s="58">
        <f t="shared" si="245"/>
        <v>0</v>
      </c>
      <c r="BD54" s="10" t="str">
        <f t="shared" si="7"/>
        <v>Gross Profit</v>
      </c>
      <c r="BE54" s="28">
        <f t="shared" ref="BE54:BP54" si="246">+BE51+BE52-BE53</f>
        <v>0</v>
      </c>
      <c r="BF54" s="28">
        <f t="shared" si="246"/>
        <v>0</v>
      </c>
      <c r="BG54" s="28">
        <f t="shared" si="246"/>
        <v>0</v>
      </c>
      <c r="BH54" s="28">
        <f t="shared" si="246"/>
        <v>0</v>
      </c>
      <c r="BI54" s="28">
        <f t="shared" si="246"/>
        <v>0</v>
      </c>
      <c r="BJ54" s="28">
        <f t="shared" si="246"/>
        <v>0</v>
      </c>
      <c r="BK54" s="28">
        <f t="shared" si="246"/>
        <v>0</v>
      </c>
      <c r="BL54" s="28">
        <f t="shared" si="246"/>
        <v>0</v>
      </c>
      <c r="BM54" s="28">
        <f t="shared" si="246"/>
        <v>0</v>
      </c>
      <c r="BN54" s="28">
        <f t="shared" si="246"/>
        <v>0</v>
      </c>
      <c r="BO54" s="28">
        <f t="shared" si="246"/>
        <v>0</v>
      </c>
      <c r="BP54" s="28">
        <f t="shared" si="246"/>
        <v>0</v>
      </c>
      <c r="BQ54" s="28">
        <f t="shared" ref="BQ54" si="247">+BQ51+BQ52-BQ53</f>
        <v>0</v>
      </c>
      <c r="BR54" s="118">
        <f t="shared" si="145"/>
        <v>0</v>
      </c>
      <c r="BS54" s="58">
        <f t="shared" ref="BS54:CE54" si="248">+BS51+BS52-BS53</f>
        <v>0</v>
      </c>
      <c r="BT54" s="58">
        <f t="shared" si="248"/>
        <v>0</v>
      </c>
      <c r="BU54" s="58">
        <f t="shared" si="248"/>
        <v>0</v>
      </c>
      <c r="BV54" s="58">
        <f t="shared" si="248"/>
        <v>0</v>
      </c>
      <c r="BW54" s="58">
        <f t="shared" si="248"/>
        <v>0</v>
      </c>
      <c r="BX54" s="58">
        <f t="shared" si="248"/>
        <v>0</v>
      </c>
      <c r="BY54" s="58">
        <f t="shared" si="248"/>
        <v>0</v>
      </c>
      <c r="BZ54" s="58">
        <f t="shared" si="248"/>
        <v>0</v>
      </c>
      <c r="CA54" s="58">
        <f t="shared" si="248"/>
        <v>0</v>
      </c>
      <c r="CB54" s="58">
        <f t="shared" si="248"/>
        <v>0</v>
      </c>
      <c r="CC54" s="58">
        <f t="shared" si="248"/>
        <v>0</v>
      </c>
      <c r="CD54" s="58">
        <f t="shared" si="248"/>
        <v>0</v>
      </c>
      <c r="CE54" s="58">
        <f t="shared" si="248"/>
        <v>0</v>
      </c>
      <c r="CF54" s="22"/>
      <c r="CG54" s="28">
        <f t="shared" ref="CG54:CS54" si="249">+CG51+CG52-CG53</f>
        <v>0</v>
      </c>
      <c r="CH54" s="28">
        <f t="shared" si="249"/>
        <v>0</v>
      </c>
      <c r="CI54" s="28">
        <f t="shared" si="249"/>
        <v>0</v>
      </c>
      <c r="CJ54" s="28">
        <f t="shared" si="249"/>
        <v>0</v>
      </c>
      <c r="CK54" s="28">
        <f t="shared" si="249"/>
        <v>0</v>
      </c>
      <c r="CL54" s="28">
        <f t="shared" si="249"/>
        <v>0</v>
      </c>
      <c r="CM54" s="28">
        <f t="shared" si="249"/>
        <v>0</v>
      </c>
      <c r="CN54" s="28">
        <f t="shared" si="249"/>
        <v>0</v>
      </c>
      <c r="CO54" s="28">
        <f t="shared" si="249"/>
        <v>0</v>
      </c>
      <c r="CP54" s="28">
        <f t="shared" si="249"/>
        <v>0</v>
      </c>
      <c r="CQ54" s="28">
        <f t="shared" si="249"/>
        <v>0</v>
      </c>
      <c r="CR54" s="28">
        <f t="shared" si="249"/>
        <v>0</v>
      </c>
      <c r="CS54" s="58">
        <f t="shared" si="249"/>
        <v>0</v>
      </c>
      <c r="CT54" s="10" t="str">
        <f t="shared" si="11"/>
        <v>Gross Profit</v>
      </c>
      <c r="CU54" s="28">
        <f t="shared" ref="CU54:DF54" si="250">+CU51+CU52-CU53</f>
        <v>0</v>
      </c>
      <c r="CV54" s="28">
        <f t="shared" si="250"/>
        <v>0</v>
      </c>
      <c r="CW54" s="28">
        <f t="shared" si="250"/>
        <v>0</v>
      </c>
      <c r="CX54" s="28">
        <f t="shared" si="250"/>
        <v>0</v>
      </c>
      <c r="CY54" s="28">
        <f t="shared" si="250"/>
        <v>0</v>
      </c>
      <c r="CZ54" s="28">
        <f t="shared" si="250"/>
        <v>0</v>
      </c>
      <c r="DA54" s="28">
        <f t="shared" si="250"/>
        <v>0</v>
      </c>
      <c r="DB54" s="28">
        <f t="shared" si="250"/>
        <v>0</v>
      </c>
      <c r="DC54" s="28">
        <f t="shared" si="250"/>
        <v>0</v>
      </c>
      <c r="DD54" s="28">
        <f t="shared" si="250"/>
        <v>0</v>
      </c>
      <c r="DE54" s="28">
        <f t="shared" si="250"/>
        <v>0</v>
      </c>
      <c r="DF54" s="28">
        <f t="shared" si="250"/>
        <v>0</v>
      </c>
      <c r="DG54" s="28">
        <f t="shared" ref="DG54" si="251">+DG51+DG52-DG53</f>
        <v>0</v>
      </c>
      <c r="DH54" s="118">
        <f t="shared" si="149"/>
        <v>0</v>
      </c>
      <c r="DI54" s="28">
        <f t="shared" ref="DI54:DU54" si="252">+DI51+DI52-DI53</f>
        <v>0</v>
      </c>
      <c r="DJ54" s="28">
        <f t="shared" si="252"/>
        <v>0</v>
      </c>
      <c r="DK54" s="28">
        <f t="shared" si="252"/>
        <v>0</v>
      </c>
      <c r="DL54" s="28">
        <f t="shared" si="252"/>
        <v>0</v>
      </c>
      <c r="DM54" s="28">
        <f t="shared" si="252"/>
        <v>0</v>
      </c>
      <c r="DN54" s="28">
        <f t="shared" si="252"/>
        <v>0</v>
      </c>
      <c r="DO54" s="28">
        <f t="shared" si="252"/>
        <v>0</v>
      </c>
      <c r="DP54" s="28">
        <f t="shared" si="252"/>
        <v>0</v>
      </c>
      <c r="DQ54" s="28">
        <f t="shared" si="252"/>
        <v>0</v>
      </c>
      <c r="DR54" s="28">
        <f t="shared" si="252"/>
        <v>0</v>
      </c>
      <c r="DS54" s="28">
        <f t="shared" si="252"/>
        <v>0</v>
      </c>
      <c r="DT54" s="28">
        <f t="shared" si="252"/>
        <v>0</v>
      </c>
      <c r="DU54" s="58">
        <f t="shared" si="252"/>
        <v>0</v>
      </c>
      <c r="DW54" s="28">
        <f t="shared" ref="DW54:EI54" si="253">+DW51+DW52-DW53</f>
        <v>0</v>
      </c>
      <c r="DX54" s="28">
        <f t="shared" si="253"/>
        <v>0</v>
      </c>
      <c r="DY54" s="28">
        <f t="shared" si="253"/>
        <v>0</v>
      </c>
      <c r="DZ54" s="28">
        <f t="shared" si="253"/>
        <v>0</v>
      </c>
      <c r="EA54" s="28">
        <f t="shared" si="253"/>
        <v>0</v>
      </c>
      <c r="EB54" s="28">
        <f t="shared" si="253"/>
        <v>0</v>
      </c>
      <c r="EC54" s="28">
        <f t="shared" si="253"/>
        <v>0</v>
      </c>
      <c r="ED54" s="28">
        <f t="shared" si="253"/>
        <v>0</v>
      </c>
      <c r="EE54" s="28">
        <f t="shared" si="253"/>
        <v>0</v>
      </c>
      <c r="EF54" s="28">
        <f t="shared" si="253"/>
        <v>0</v>
      </c>
      <c r="EG54" s="28">
        <f t="shared" si="253"/>
        <v>0</v>
      </c>
      <c r="EH54" s="28">
        <f t="shared" si="253"/>
        <v>0</v>
      </c>
      <c r="EI54" s="58">
        <f t="shared" si="253"/>
        <v>0</v>
      </c>
      <c r="EJ54" s="10" t="str">
        <f t="shared" si="71"/>
        <v>Gross Profit</v>
      </c>
      <c r="EK54" s="28">
        <f t="shared" ref="EK54:EV54" si="254">+EK51+EK52-EK53</f>
        <v>0</v>
      </c>
      <c r="EL54" s="28">
        <f t="shared" si="254"/>
        <v>0</v>
      </c>
      <c r="EM54" s="28">
        <f t="shared" si="254"/>
        <v>0</v>
      </c>
      <c r="EN54" s="28">
        <f t="shared" si="254"/>
        <v>0</v>
      </c>
      <c r="EO54" s="28">
        <f t="shared" si="254"/>
        <v>0</v>
      </c>
      <c r="EP54" s="28">
        <f t="shared" si="254"/>
        <v>0</v>
      </c>
      <c r="EQ54" s="28">
        <f t="shared" si="254"/>
        <v>0</v>
      </c>
      <c r="ER54" s="28">
        <f t="shared" si="254"/>
        <v>0</v>
      </c>
      <c r="ES54" s="28">
        <f t="shared" si="254"/>
        <v>0</v>
      </c>
      <c r="ET54" s="28">
        <f t="shared" si="254"/>
        <v>0</v>
      </c>
      <c r="EU54" s="28">
        <f t="shared" si="254"/>
        <v>0</v>
      </c>
      <c r="EV54" s="28">
        <f t="shared" si="254"/>
        <v>0</v>
      </c>
      <c r="EW54" s="28">
        <f t="shared" ref="EW54" si="255">+EW51+EW52-EW53</f>
        <v>0</v>
      </c>
      <c r="EX54" s="118">
        <f t="shared" si="153"/>
        <v>0</v>
      </c>
      <c r="EY54" s="58">
        <f t="shared" ref="EY54:FK54" si="256">+EY51+EY52-EY53</f>
        <v>0</v>
      </c>
      <c r="EZ54" s="58">
        <f t="shared" si="256"/>
        <v>0</v>
      </c>
      <c r="FA54" s="58">
        <f t="shared" si="256"/>
        <v>0</v>
      </c>
      <c r="FB54" s="58">
        <f t="shared" si="256"/>
        <v>0</v>
      </c>
      <c r="FC54" s="58">
        <f t="shared" si="256"/>
        <v>0</v>
      </c>
      <c r="FD54" s="58">
        <f t="shared" si="256"/>
        <v>0</v>
      </c>
      <c r="FE54" s="58">
        <f t="shared" si="256"/>
        <v>0</v>
      </c>
      <c r="FF54" s="58">
        <f t="shared" si="256"/>
        <v>0</v>
      </c>
      <c r="FG54" s="58">
        <f t="shared" si="256"/>
        <v>0</v>
      </c>
      <c r="FH54" s="58">
        <f t="shared" si="256"/>
        <v>0</v>
      </c>
      <c r="FI54" s="58">
        <f t="shared" si="256"/>
        <v>0</v>
      </c>
      <c r="FJ54" s="58">
        <f t="shared" si="256"/>
        <v>0</v>
      </c>
      <c r="FK54" s="58">
        <f t="shared" si="256"/>
        <v>0</v>
      </c>
    </row>
    <row r="55" spans="1:167" ht="14.45" customHeight="1" collapsed="1">
      <c r="A55" s="106">
        <f t="shared" si="227"/>
        <v>415400</v>
      </c>
      <c r="B55" s="106">
        <f t="shared" si="227"/>
        <v>518260</v>
      </c>
      <c r="C55" s="106">
        <f t="shared" si="227"/>
        <v>372239</v>
      </c>
      <c r="D55" s="106">
        <f t="shared" si="227"/>
        <v>363995</v>
      </c>
      <c r="E55" s="106">
        <f t="shared" si="227"/>
        <v>483090</v>
      </c>
      <c r="F55" s="106">
        <f t="shared" si="227"/>
        <v>667887.5</v>
      </c>
      <c r="G55" s="106">
        <f t="shared" si="227"/>
        <v>760903.2</v>
      </c>
      <c r="H55" s="106">
        <f t="shared" si="227"/>
        <v>584876</v>
      </c>
      <c r="I55" s="106">
        <f t="shared" si="227"/>
        <v>620946.84000000008</v>
      </c>
      <c r="J55" s="106">
        <f t="shared" si="227"/>
        <v>607994</v>
      </c>
      <c r="K55" s="106">
        <f t="shared" si="227"/>
        <v>803552</v>
      </c>
      <c r="L55" s="106">
        <f t="shared" si="227"/>
        <v>630990</v>
      </c>
      <c r="M55" s="106">
        <f t="shared" si="228"/>
        <v>6830133.54</v>
      </c>
      <c r="N55" s="7" t="s">
        <v>44</v>
      </c>
      <c r="O55" s="22">
        <f t="shared" ref="O55:Z56" si="257">+BE55+CU55+EK55</f>
        <v>593580</v>
      </c>
      <c r="P55" s="22">
        <f t="shared" si="257"/>
        <v>477880</v>
      </c>
      <c r="Q55" s="22">
        <f t="shared" si="257"/>
        <v>633980</v>
      </c>
      <c r="R55" s="22">
        <f t="shared" si="257"/>
        <v>475640</v>
      </c>
      <c r="S55" s="22">
        <f t="shared" si="257"/>
        <v>767018</v>
      </c>
      <c r="T55" s="22">
        <f t="shared" si="257"/>
        <v>625958</v>
      </c>
      <c r="U55" s="22">
        <f t="shared" si="257"/>
        <v>610955</v>
      </c>
      <c r="V55" s="22">
        <f t="shared" si="257"/>
        <v>523992</v>
      </c>
      <c r="W55" s="22">
        <f t="shared" si="257"/>
        <v>545185</v>
      </c>
      <c r="X55" s="22">
        <f t="shared" si="257"/>
        <v>832030</v>
      </c>
      <c r="Y55" s="22">
        <f t="shared" si="257"/>
        <v>0</v>
      </c>
      <c r="Z55" s="22">
        <f t="shared" si="257"/>
        <v>0</v>
      </c>
      <c r="AA55" s="22">
        <f t="shared" ref="AA55:AA56" si="258">+SUM(O55:Z55)</f>
        <v>6086218</v>
      </c>
      <c r="AB55" s="118">
        <f t="shared" si="140"/>
        <v>0.86553811659192825</v>
      </c>
      <c r="AC55" s="22">
        <f t="shared" ref="AC55:AN56" si="259">+BS55+DI55+EY55</f>
        <v>550000</v>
      </c>
      <c r="AD55" s="22">
        <f t="shared" si="259"/>
        <v>489000</v>
      </c>
      <c r="AE55" s="22">
        <f t="shared" si="259"/>
        <v>568000</v>
      </c>
      <c r="AF55" s="22">
        <f t="shared" si="259"/>
        <v>546000</v>
      </c>
      <c r="AG55" s="22">
        <f t="shared" si="259"/>
        <v>462400</v>
      </c>
      <c r="AH55" s="22">
        <f t="shared" si="259"/>
        <v>529600</v>
      </c>
      <c r="AI55" s="22">
        <f t="shared" si="259"/>
        <v>537800</v>
      </c>
      <c r="AJ55" s="22">
        <f t="shared" si="259"/>
        <v>478800</v>
      </c>
      <c r="AK55" s="22">
        <f t="shared" si="259"/>
        <v>478800</v>
      </c>
      <c r="AL55" s="22">
        <f t="shared" si="259"/>
        <v>446000</v>
      </c>
      <c r="AM55" s="22">
        <f t="shared" si="259"/>
        <v>529600</v>
      </c>
      <c r="AN55" s="22">
        <f t="shared" si="259"/>
        <v>503400</v>
      </c>
      <c r="AO55" s="22">
        <f t="shared" ref="AO55:AO56" si="260">+SUM(AC55:AN55)</f>
        <v>6119400</v>
      </c>
      <c r="AQ55" s="106">
        <v>259740</v>
      </c>
      <c r="AR55" s="106">
        <v>424940</v>
      </c>
      <c r="AS55" s="106">
        <v>274690</v>
      </c>
      <c r="AT55" s="106">
        <v>292625</v>
      </c>
      <c r="AU55" s="106">
        <v>253560</v>
      </c>
      <c r="AV55" s="106">
        <v>315660</v>
      </c>
      <c r="AW55" s="106">
        <v>516995.2</v>
      </c>
      <c r="AX55" s="106">
        <v>440732.00000000006</v>
      </c>
      <c r="AY55" s="106">
        <v>505529.84000000008</v>
      </c>
      <c r="AZ55" s="106">
        <v>450929.99999999994</v>
      </c>
      <c r="BA55" s="106">
        <v>524581</v>
      </c>
      <c r="BB55" s="106">
        <v>494406.00000000006</v>
      </c>
      <c r="BC55" s="106">
        <f t="shared" ref="BC55:BC56" si="261">+SUM(AQ55:BB55)</f>
        <v>4754389.04</v>
      </c>
      <c r="BD55" s="7" t="str">
        <f t="shared" si="7"/>
        <v>VAS</v>
      </c>
      <c r="BE55" s="22">
        <f>+VLOOKUP($BD55,'Jan-25'!$A:$J,4,0)</f>
        <v>222270</v>
      </c>
      <c r="BF55" s="22">
        <f>+VLOOKUP($BD55,'Feb-25'!$A:$J,4,0)</f>
        <v>207731.99999999997</v>
      </c>
      <c r="BG55" s="22">
        <f>+VLOOKUP($BD55,'Mar-25'!$A:$J,4,0)</f>
        <v>386242</v>
      </c>
      <c r="BH55" s="22">
        <f>+VLOOKUP($BD55,'Apr-25'!$A:$J,4,0)</f>
        <v>235000</v>
      </c>
      <c r="BI55" s="22">
        <f>+VLOOKUP($BD55,'May-25'!$A:$J,4,0)</f>
        <v>489578</v>
      </c>
      <c r="BJ55" s="22">
        <f>+VLOOKUP($BD55,'June-25'!$A:$J,4,0)</f>
        <v>389813</v>
      </c>
      <c r="BK55" s="22">
        <f>+VLOOKUP($BD55,'July-25'!$A:$J,4,0)</f>
        <v>403785</v>
      </c>
      <c r="BL55" s="22">
        <f>+VLOOKUP($BD55,'Aug-25'!$A:$J,4,0)</f>
        <v>330638</v>
      </c>
      <c r="BM55" s="22">
        <f>+VLOOKUP($BD55,'Sep-25'!$A:$J,4,0)</f>
        <v>311965</v>
      </c>
      <c r="BN55" s="22">
        <f>+VLOOKUP($BD55,'Oct-25'!$A:$J,4,0)</f>
        <v>469640</v>
      </c>
      <c r="BO55" s="22">
        <f>+VLOOKUP($BD55,'Nov-25'!$A:$J,4,0)</f>
        <v>0</v>
      </c>
      <c r="BP55" s="22">
        <f>+VLOOKUP($BD55,'Dec-25'!$A:$J,4,0)</f>
        <v>0</v>
      </c>
      <c r="BQ55" s="22">
        <f t="shared" ref="BQ55:BQ56" si="262">+SUM(BE55:BP55)</f>
        <v>3446663</v>
      </c>
      <c r="BR55" s="118">
        <f t="shared" si="145"/>
        <v>1.1060089686098655</v>
      </c>
      <c r="BS55" s="106">
        <f>+_xlfn.XLOOKUP($BD55,Budget!$A:$A,Budget!AQ:AQ)</f>
        <v>275000</v>
      </c>
      <c r="BT55" s="106">
        <f>+_xlfn.XLOOKUP($BD55,Budget!$A:$A,Budget!AR:AR)</f>
        <v>244500</v>
      </c>
      <c r="BU55" s="106">
        <f>+_xlfn.XLOOKUP($BD55,Budget!$A:$A,Budget!AS:AS)</f>
        <v>284000</v>
      </c>
      <c r="BV55" s="106">
        <f>+_xlfn.XLOOKUP($BD55,Budget!$A:$A,Budget!AT:AT)</f>
        <v>273000</v>
      </c>
      <c r="BW55" s="106">
        <f>+_xlfn.XLOOKUP($BD55,Budget!$A:$A,Budget!AU:AU)</f>
        <v>231200</v>
      </c>
      <c r="BX55" s="106">
        <f>+_xlfn.XLOOKUP($BD55,Budget!$A:$A,Budget!AV:AV)</f>
        <v>264800</v>
      </c>
      <c r="BY55" s="106">
        <f>+_xlfn.XLOOKUP($BD55,Budget!$A:$A,Budget!AW:AW)</f>
        <v>268900</v>
      </c>
      <c r="BZ55" s="106">
        <f>+_xlfn.XLOOKUP($BD55,Budget!$A:$A,Budget!AX:AX)</f>
        <v>239400</v>
      </c>
      <c r="CA55" s="106">
        <f>+_xlfn.XLOOKUP($BD55,Budget!$A:$A,Budget!AY:AY)</f>
        <v>239400</v>
      </c>
      <c r="CB55" s="106">
        <f>+_xlfn.XLOOKUP($BD55,Budget!$A:$A,Budget!AZ:AZ)</f>
        <v>223000</v>
      </c>
      <c r="CC55" s="106">
        <f>+_xlfn.XLOOKUP($BD55,Budget!$A:$A,Budget!BA:BA)</f>
        <v>264800</v>
      </c>
      <c r="CD55" s="106">
        <f>+_xlfn.XLOOKUP($BD55,Budget!$A:$A,Budget!BB:BB)</f>
        <v>251700</v>
      </c>
      <c r="CE55" s="106">
        <f t="shared" ref="CE55:CE56" si="263">+SUM(BS55:CD55)</f>
        <v>3059700</v>
      </c>
      <c r="CF55" s="22"/>
      <c r="CG55" s="22">
        <v>155660</v>
      </c>
      <c r="CH55" s="22">
        <v>93320</v>
      </c>
      <c r="CI55" s="22">
        <v>97549</v>
      </c>
      <c r="CJ55" s="22">
        <v>71370</v>
      </c>
      <c r="CK55" s="22">
        <v>229530</v>
      </c>
      <c r="CL55" s="22">
        <v>352227.5</v>
      </c>
      <c r="CM55" s="22">
        <v>243908</v>
      </c>
      <c r="CN55" s="22">
        <v>144144</v>
      </c>
      <c r="CO55" s="22">
        <v>115416.99999999999</v>
      </c>
      <c r="CP55" s="22">
        <v>157064</v>
      </c>
      <c r="CQ55" s="22">
        <v>278971</v>
      </c>
      <c r="CR55" s="22">
        <v>136584</v>
      </c>
      <c r="CS55" s="106">
        <f t="shared" ref="CS55:CS56" si="264">+SUM(CG55:CR55)</f>
        <v>2075744.5</v>
      </c>
      <c r="CT55" s="7" t="str">
        <f t="shared" si="11"/>
        <v>VAS</v>
      </c>
      <c r="CU55" s="22">
        <f>+VLOOKUP($BD55,'Jan-25'!$A:$J,7,0)</f>
        <v>310540</v>
      </c>
      <c r="CV55" s="22">
        <f>+VLOOKUP($BD55,'Feb-25'!$A:$J,7,0)</f>
        <v>212238.00000000003</v>
      </c>
      <c r="CW55" s="22">
        <f>+VLOOKUP($BD55,'Mar-25'!$A:$J,7,0)</f>
        <v>211458</v>
      </c>
      <c r="CX55" s="22">
        <f>+VLOOKUP($BD55,'Apr-25'!$A:$J,7,0)</f>
        <v>219060</v>
      </c>
      <c r="CY55" s="22">
        <f>+VLOOKUP($BD55,'May-25'!$A:$J,7,0)</f>
        <v>250680</v>
      </c>
      <c r="CZ55" s="22">
        <f>+VLOOKUP($BD55,'June-25'!$A:$J,7,0)</f>
        <v>180010</v>
      </c>
      <c r="DA55" s="22">
        <f>+VLOOKUP($BD55,'July-25'!$A:$J,7,0)</f>
        <v>200000</v>
      </c>
      <c r="DB55" s="22">
        <f>+VLOOKUP($BD55,'Aug-25'!$A:$J,7,0)</f>
        <v>152164</v>
      </c>
      <c r="DC55" s="22">
        <f>+VLOOKUP($BD55,'Sep-25'!$A:$J,7,0)</f>
        <v>214710</v>
      </c>
      <c r="DD55" s="22">
        <f>+VLOOKUP($BD55,'Oct-25'!$A:$J,7,0)</f>
        <v>322940</v>
      </c>
      <c r="DE55" s="22">
        <f>+VLOOKUP($BD55,'Nov-25'!$A:$J,7,0)</f>
        <v>0</v>
      </c>
      <c r="DF55" s="22">
        <f>+VLOOKUP($BD55,'Dec-25'!$A:$J,7,0)</f>
        <v>0</v>
      </c>
      <c r="DG55" s="22">
        <f t="shared" ref="DG55:DG56" si="265">+SUM(CU55:DF55)</f>
        <v>2273800</v>
      </c>
      <c r="DH55" s="118">
        <f t="shared" si="149"/>
        <v>1.4136023916292975</v>
      </c>
      <c r="DI55" s="22">
        <f>+_xlfn.XLOOKUP($CT55,Budget!$A:$A,Budget!CD:CD)</f>
        <v>165000</v>
      </c>
      <c r="DJ55" s="22">
        <f>+_xlfn.XLOOKUP($CT55,Budget!$A:$A,Budget!CE:CE)</f>
        <v>146700</v>
      </c>
      <c r="DK55" s="22">
        <f>+_xlfn.XLOOKUP($CT55,Budget!$A:$A,Budget!CF:CF)</f>
        <v>170400</v>
      </c>
      <c r="DL55" s="22">
        <f>+_xlfn.XLOOKUP($CT55,Budget!$A:$A,Budget!CG:CG)</f>
        <v>163800</v>
      </c>
      <c r="DM55" s="22">
        <f>+_xlfn.XLOOKUP($CT55,Budget!$A:$A,Budget!CH:CH)</f>
        <v>138720</v>
      </c>
      <c r="DN55" s="22">
        <f>+_xlfn.XLOOKUP($CT55,Budget!$A:$A,Budget!CI:CI)</f>
        <v>158880</v>
      </c>
      <c r="DO55" s="22">
        <f>+_xlfn.XLOOKUP($CT55,Budget!$A:$A,Budget!CJ:CJ)</f>
        <v>161340</v>
      </c>
      <c r="DP55" s="22">
        <f>+_xlfn.XLOOKUP($CT55,Budget!$A:$A,Budget!CK:CK)</f>
        <v>143640</v>
      </c>
      <c r="DQ55" s="22">
        <f>+_xlfn.XLOOKUP($CT55,Budget!$A:$A,Budget!CL:CL)</f>
        <v>143640</v>
      </c>
      <c r="DR55" s="22">
        <f>+_xlfn.XLOOKUP($CT55,Budget!$A:$A,Budget!CM:CM)</f>
        <v>133800</v>
      </c>
      <c r="DS55" s="22">
        <f>+_xlfn.XLOOKUP($CT55,Budget!$A:$A,Budget!CN:CN)</f>
        <v>158880</v>
      </c>
      <c r="DT55" s="22">
        <f>+_xlfn.XLOOKUP($CT55,Budget!$A:$A,Budget!CO:CO)</f>
        <v>151020</v>
      </c>
      <c r="DU55" s="106">
        <f t="shared" ref="DU55:DU56" si="266">+SUM(DI55:DT55)</f>
        <v>1835820</v>
      </c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106">
        <f t="shared" ref="EI55:EI56" si="267">+SUM(DW55:EH55)</f>
        <v>0</v>
      </c>
      <c r="EJ55" s="7" t="str">
        <f t="shared" si="71"/>
        <v>VAS</v>
      </c>
      <c r="EK55" s="22">
        <f>+VLOOKUP($BD55,'Jan-25'!$A:$J,9,0)</f>
        <v>60770</v>
      </c>
      <c r="EL55" s="22">
        <f>+VLOOKUP($BD55,'Feb-25'!$A:$J,9,0)</f>
        <v>57909.999999999993</v>
      </c>
      <c r="EM55" s="22">
        <f>+VLOOKUP($BD55,'Mar-25'!$A:$J,9,0)</f>
        <v>36280</v>
      </c>
      <c r="EN55" s="22">
        <f>+VLOOKUP($BD55,'Apr-25'!$A:$J,9,0)</f>
        <v>21580</v>
      </c>
      <c r="EO55" s="22">
        <f>+VLOOKUP($BD55,'May-25'!$A:$J,9,0)</f>
        <v>26760</v>
      </c>
      <c r="EP55" s="22">
        <f>+VLOOKUP($BD55,'June-25'!$A:$J,9,0)</f>
        <v>56135</v>
      </c>
      <c r="EQ55" s="22">
        <f>+VLOOKUP($BD55,'July-25'!$A:$J,9,0)</f>
        <v>7170</v>
      </c>
      <c r="ER55" s="22">
        <f>+VLOOKUP($BD55,'Aug-25'!$A:$J,9,0)</f>
        <v>41190</v>
      </c>
      <c r="ES55" s="22">
        <f>+VLOOKUP($BD55,'Sep-25'!$A:$J,9,0)</f>
        <v>18510</v>
      </c>
      <c r="ET55" s="22">
        <f>+VLOOKUP($BD55,'Oct-25'!$A:$J,9,0)</f>
        <v>39450</v>
      </c>
      <c r="EU55" s="22">
        <f>+VLOOKUP($BD55,'Nov-25'!$A:$J,9,0)</f>
        <v>0</v>
      </c>
      <c r="EV55" s="22">
        <f>+VLOOKUP($BD55,'Dec-25'!$A:$J,9,0)</f>
        <v>0</v>
      </c>
      <c r="EW55" s="22">
        <f t="shared" ref="EW55:EW56" si="268">+SUM(EK55:EV55)</f>
        <v>365755</v>
      </c>
      <c r="EX55" s="118">
        <f t="shared" si="153"/>
        <v>-0.55773542600896864</v>
      </c>
      <c r="EY55" s="106">
        <f>+_xlfn.XLOOKUP($EJ55,Budget!$A:$A,Budget!DE:DE)</f>
        <v>110000</v>
      </c>
      <c r="EZ55" s="106">
        <f>+_xlfn.XLOOKUP($EJ55,Budget!$A:$A,Budget!DF:DF)</f>
        <v>97800</v>
      </c>
      <c r="FA55" s="106">
        <f>+_xlfn.XLOOKUP($EJ55,Budget!$A:$A,Budget!DG:DG)</f>
        <v>113600</v>
      </c>
      <c r="FB55" s="106">
        <f>+_xlfn.XLOOKUP($EJ55,Budget!$A:$A,Budget!DH:DH)</f>
        <v>109200</v>
      </c>
      <c r="FC55" s="106">
        <f>+_xlfn.XLOOKUP($EJ55,Budget!$A:$A,Budget!DI:DI)</f>
        <v>92480</v>
      </c>
      <c r="FD55" s="106">
        <f>+_xlfn.XLOOKUP($EJ55,Budget!$A:$A,Budget!DJ:DJ)</f>
        <v>105920</v>
      </c>
      <c r="FE55" s="106">
        <f>+_xlfn.XLOOKUP($EJ55,Budget!$A:$A,Budget!DK:DK)</f>
        <v>107560</v>
      </c>
      <c r="FF55" s="106">
        <f>+_xlfn.XLOOKUP($EJ55,Budget!$A:$A,Budget!DL:DL)</f>
        <v>95760</v>
      </c>
      <c r="FG55" s="106">
        <f>+_xlfn.XLOOKUP($EJ55,Budget!$A:$A,Budget!DM:DM)</f>
        <v>95760</v>
      </c>
      <c r="FH55" s="106">
        <f>+_xlfn.XLOOKUP($EJ55,Budget!$A:$A,Budget!DN:DN)</f>
        <v>89200</v>
      </c>
      <c r="FI55" s="106">
        <f>+_xlfn.XLOOKUP($EJ55,Budget!$A:$A,Budget!DO:DO)</f>
        <v>105920</v>
      </c>
      <c r="FJ55" s="106">
        <f>+_xlfn.XLOOKUP($EJ55,Budget!$A:$A,Budget!DP:DP)</f>
        <v>100680</v>
      </c>
      <c r="FK55" s="106">
        <f t="shared" ref="FK55:FK56" si="269">+SUM(EY55:FJ55)</f>
        <v>1223880</v>
      </c>
    </row>
    <row r="56" spans="1:167" ht="14.45" customHeight="1">
      <c r="A56" s="106">
        <f t="shared" si="227"/>
        <v>220687</v>
      </c>
      <c r="B56" s="106">
        <f t="shared" si="227"/>
        <v>259130</v>
      </c>
      <c r="C56" s="106">
        <f t="shared" si="227"/>
        <v>199854</v>
      </c>
      <c r="D56" s="106">
        <f t="shared" si="227"/>
        <v>196628.75</v>
      </c>
      <c r="E56" s="106">
        <f t="shared" si="227"/>
        <v>254223</v>
      </c>
      <c r="F56" s="106">
        <f t="shared" si="227"/>
        <v>333943.75</v>
      </c>
      <c r="G56" s="106">
        <f t="shared" si="227"/>
        <v>380451.6</v>
      </c>
      <c r="H56" s="106">
        <f t="shared" si="227"/>
        <v>292438</v>
      </c>
      <c r="I56" s="106">
        <f t="shared" si="227"/>
        <v>310473.42000000004</v>
      </c>
      <c r="J56" s="106">
        <f t="shared" si="227"/>
        <v>303997</v>
      </c>
      <c r="K56" s="106">
        <f t="shared" si="227"/>
        <v>401776</v>
      </c>
      <c r="L56" s="106">
        <f t="shared" si="227"/>
        <v>315495</v>
      </c>
      <c r="M56" s="106">
        <f t="shared" si="228"/>
        <v>3469097.52</v>
      </c>
      <c r="N56" s="10" t="s">
        <v>33</v>
      </c>
      <c r="O56" s="22">
        <f t="shared" si="257"/>
        <v>296790</v>
      </c>
      <c r="P56" s="22">
        <f t="shared" si="257"/>
        <v>238940</v>
      </c>
      <c r="Q56" s="22">
        <f t="shared" si="257"/>
        <v>316990</v>
      </c>
      <c r="R56" s="22">
        <f t="shared" si="257"/>
        <v>237820</v>
      </c>
      <c r="S56" s="22">
        <f t="shared" si="257"/>
        <v>383509</v>
      </c>
      <c r="T56" s="22">
        <f t="shared" si="257"/>
        <v>312979</v>
      </c>
      <c r="U56" s="22">
        <f t="shared" si="257"/>
        <v>305477.5</v>
      </c>
      <c r="V56" s="22">
        <f t="shared" si="257"/>
        <v>261996</v>
      </c>
      <c r="W56" s="22">
        <f t="shared" si="257"/>
        <v>272592.5</v>
      </c>
      <c r="X56" s="22">
        <f t="shared" si="257"/>
        <v>416015</v>
      </c>
      <c r="Y56" s="22">
        <f t="shared" si="257"/>
        <v>0</v>
      </c>
      <c r="Z56" s="22">
        <f t="shared" si="257"/>
        <v>0</v>
      </c>
      <c r="AA56" s="22">
        <f t="shared" si="258"/>
        <v>3043109</v>
      </c>
      <c r="AB56" s="118">
        <f t="shared" si="140"/>
        <v>0.86553811659192825</v>
      </c>
      <c r="AC56" s="22">
        <f t="shared" si="259"/>
        <v>275000</v>
      </c>
      <c r="AD56" s="22">
        <f t="shared" si="259"/>
        <v>244500</v>
      </c>
      <c r="AE56" s="22">
        <f t="shared" si="259"/>
        <v>284000</v>
      </c>
      <c r="AF56" s="22">
        <f t="shared" si="259"/>
        <v>273000</v>
      </c>
      <c r="AG56" s="22">
        <f t="shared" si="259"/>
        <v>231200</v>
      </c>
      <c r="AH56" s="22">
        <f t="shared" si="259"/>
        <v>264800</v>
      </c>
      <c r="AI56" s="22">
        <f t="shared" si="259"/>
        <v>268900</v>
      </c>
      <c r="AJ56" s="22">
        <f t="shared" si="259"/>
        <v>239400</v>
      </c>
      <c r="AK56" s="22">
        <f t="shared" si="259"/>
        <v>239400</v>
      </c>
      <c r="AL56" s="22">
        <f t="shared" si="259"/>
        <v>223000</v>
      </c>
      <c r="AM56" s="22">
        <f t="shared" si="259"/>
        <v>264800</v>
      </c>
      <c r="AN56" s="22">
        <f t="shared" si="259"/>
        <v>251700</v>
      </c>
      <c r="AO56" s="22">
        <f t="shared" si="260"/>
        <v>3059700</v>
      </c>
      <c r="AQ56" s="106">
        <v>142857</v>
      </c>
      <c r="AR56" s="106">
        <v>212470</v>
      </c>
      <c r="AS56" s="106">
        <v>151079.5</v>
      </c>
      <c r="AT56" s="106">
        <v>160943.75</v>
      </c>
      <c r="AU56" s="106">
        <v>139458</v>
      </c>
      <c r="AV56" s="106">
        <v>157830</v>
      </c>
      <c r="AW56" s="106">
        <v>258497.6</v>
      </c>
      <c r="AX56" s="106">
        <v>220366.00000000003</v>
      </c>
      <c r="AY56" s="106">
        <v>252764.92000000004</v>
      </c>
      <c r="AZ56" s="106">
        <v>225464.99999999997</v>
      </c>
      <c r="BA56" s="106">
        <v>262290.5</v>
      </c>
      <c r="BB56" s="106">
        <v>247203.00000000003</v>
      </c>
      <c r="BC56" s="106">
        <f t="shared" si="261"/>
        <v>2431225.27</v>
      </c>
      <c r="BD56" s="10" t="str">
        <f t="shared" si="7"/>
        <v>Cost of Good sold</v>
      </c>
      <c r="BE56" s="106">
        <f>+'Jan-25'!D56</f>
        <v>111135</v>
      </c>
      <c r="BF56" s="106">
        <f>+'Feb-25'!D56</f>
        <v>103865.99999999999</v>
      </c>
      <c r="BG56" s="106">
        <f>+'Mar-25'!D56</f>
        <v>193121</v>
      </c>
      <c r="BH56" s="106">
        <f>+'Apr-25'!D56</f>
        <v>117500</v>
      </c>
      <c r="BI56" s="106">
        <f>+'May-25'!D56</f>
        <v>244789</v>
      </c>
      <c r="BJ56" s="106">
        <f>+'June-25'!D56</f>
        <v>194906.5</v>
      </c>
      <c r="BK56" s="106">
        <f>+'July-25'!D56</f>
        <v>201892.5</v>
      </c>
      <c r="BL56" s="106">
        <f>+'Aug-25'!D56</f>
        <v>165319</v>
      </c>
      <c r="BM56" s="106">
        <f>+'Sep-25'!D56</f>
        <v>155982.5</v>
      </c>
      <c r="BN56" s="106">
        <f>+'Oct-25'!D56</f>
        <v>234820</v>
      </c>
      <c r="BO56" s="106">
        <f>+'Nov-25'!D56</f>
        <v>0</v>
      </c>
      <c r="BP56" s="106">
        <f>+'Dec-25'!D56</f>
        <v>0</v>
      </c>
      <c r="BQ56" s="22">
        <f t="shared" si="262"/>
        <v>1723331.5</v>
      </c>
      <c r="BR56" s="118">
        <f t="shared" si="145"/>
        <v>1.1060089686098655</v>
      </c>
      <c r="BS56" s="106">
        <f>+Budget!AQ16</f>
        <v>137500</v>
      </c>
      <c r="BT56" s="106">
        <f>+Budget!AR16</f>
        <v>122250</v>
      </c>
      <c r="BU56" s="106">
        <f>+Budget!AS16</f>
        <v>142000</v>
      </c>
      <c r="BV56" s="106">
        <f>+Budget!AT16</f>
        <v>136500</v>
      </c>
      <c r="BW56" s="106">
        <f>+Budget!AU16</f>
        <v>115600</v>
      </c>
      <c r="BX56" s="106">
        <f>+Budget!AV16</f>
        <v>132400</v>
      </c>
      <c r="BY56" s="106">
        <f>+Budget!AW16</f>
        <v>134450</v>
      </c>
      <c r="BZ56" s="106">
        <f>+Budget!AX16</f>
        <v>119700</v>
      </c>
      <c r="CA56" s="106">
        <f>+Budget!AY16</f>
        <v>119700</v>
      </c>
      <c r="CB56" s="106">
        <f>+Budget!AZ16</f>
        <v>111500</v>
      </c>
      <c r="CC56" s="106">
        <f>+Budget!BA16</f>
        <v>132400</v>
      </c>
      <c r="CD56" s="106">
        <f>+Budget!BB16</f>
        <v>125850</v>
      </c>
      <c r="CE56" s="106">
        <f t="shared" si="263"/>
        <v>1529850</v>
      </c>
      <c r="CF56" s="22"/>
      <c r="CG56" s="22">
        <v>77830</v>
      </c>
      <c r="CH56" s="22">
        <v>46660</v>
      </c>
      <c r="CI56" s="22">
        <v>48774.5</v>
      </c>
      <c r="CJ56" s="22">
        <v>35685</v>
      </c>
      <c r="CK56" s="22">
        <v>114765</v>
      </c>
      <c r="CL56" s="22">
        <v>176113.75</v>
      </c>
      <c r="CM56" s="22">
        <v>121954</v>
      </c>
      <c r="CN56" s="22">
        <v>72072</v>
      </c>
      <c r="CO56" s="22">
        <v>57708.499999999993</v>
      </c>
      <c r="CP56" s="22">
        <v>78532</v>
      </c>
      <c r="CQ56" s="22">
        <v>139485.5</v>
      </c>
      <c r="CR56" s="22">
        <v>68292</v>
      </c>
      <c r="CS56" s="106">
        <f t="shared" si="264"/>
        <v>1037872.25</v>
      </c>
      <c r="CT56" s="10" t="str">
        <f t="shared" si="11"/>
        <v>Cost of Good sold</v>
      </c>
      <c r="CU56" s="106">
        <f>+'Jan-25'!G56</f>
        <v>155270</v>
      </c>
      <c r="CV56" s="106">
        <f>+'Feb-25'!G56</f>
        <v>106119.00000000001</v>
      </c>
      <c r="CW56" s="106">
        <f>+'Mar-25'!G56</f>
        <v>105729</v>
      </c>
      <c r="CX56" s="106">
        <f>+'Apr-25'!G56</f>
        <v>109530</v>
      </c>
      <c r="CY56" s="106">
        <f>+'May-25'!G56</f>
        <v>125340</v>
      </c>
      <c r="CZ56" s="106">
        <f>+'June-25'!G56</f>
        <v>90005</v>
      </c>
      <c r="DA56" s="106">
        <f>+'July-25'!G56</f>
        <v>100000</v>
      </c>
      <c r="DB56" s="106">
        <f>+'Aug-25'!G56</f>
        <v>76082</v>
      </c>
      <c r="DC56" s="106">
        <f>+'Sep-25'!G56</f>
        <v>107355</v>
      </c>
      <c r="DD56" s="106">
        <f>+'Oct-25'!G56</f>
        <v>161470</v>
      </c>
      <c r="DE56" s="106">
        <f>+'Nov-25'!G56</f>
        <v>0</v>
      </c>
      <c r="DF56" s="106">
        <f>+'Dec-25'!G56</f>
        <v>0</v>
      </c>
      <c r="DG56" s="22">
        <f t="shared" si="265"/>
        <v>1136900</v>
      </c>
      <c r="DH56" s="118">
        <f t="shared" si="149"/>
        <v>1.4136023916292975</v>
      </c>
      <c r="DI56" s="22">
        <f>+Budget!CD16</f>
        <v>82500</v>
      </c>
      <c r="DJ56" s="22">
        <f>+Budget!CE16</f>
        <v>73350</v>
      </c>
      <c r="DK56" s="22">
        <f>+Budget!CF16</f>
        <v>85200</v>
      </c>
      <c r="DL56" s="22">
        <f>+Budget!CG16</f>
        <v>81900</v>
      </c>
      <c r="DM56" s="22">
        <f>+Budget!CH16</f>
        <v>69360</v>
      </c>
      <c r="DN56" s="22">
        <f>+Budget!CI16</f>
        <v>79440</v>
      </c>
      <c r="DO56" s="22">
        <f>+Budget!CJ16</f>
        <v>80670</v>
      </c>
      <c r="DP56" s="22">
        <f>+Budget!CK16</f>
        <v>71820</v>
      </c>
      <c r="DQ56" s="22">
        <f>+Budget!CL16</f>
        <v>71820</v>
      </c>
      <c r="DR56" s="22">
        <f>+Budget!CM16</f>
        <v>66900</v>
      </c>
      <c r="DS56" s="22">
        <f>+Budget!CN16</f>
        <v>79440</v>
      </c>
      <c r="DT56" s="22">
        <f>+Budget!CO16</f>
        <v>75510</v>
      </c>
      <c r="DU56" s="106">
        <f t="shared" si="266"/>
        <v>917910</v>
      </c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106">
        <f t="shared" si="267"/>
        <v>0</v>
      </c>
      <c r="EJ56" s="10" t="str">
        <f t="shared" si="71"/>
        <v>Cost of Good sold</v>
      </c>
      <c r="EK56" s="106">
        <f>+'Jan-25'!I56</f>
        <v>30385</v>
      </c>
      <c r="EL56" s="106">
        <f>+'Feb-25'!I56</f>
        <v>28954.999999999996</v>
      </c>
      <c r="EM56" s="106">
        <f>+'Mar-25'!I56</f>
        <v>18140</v>
      </c>
      <c r="EN56" s="106">
        <f>+'Apr-25'!I56</f>
        <v>10790</v>
      </c>
      <c r="EO56" s="106">
        <f>+'May-25'!I56</f>
        <v>13380</v>
      </c>
      <c r="EP56" s="106">
        <f>+'June-25'!I56</f>
        <v>28067.5</v>
      </c>
      <c r="EQ56" s="106">
        <f>+'July-25'!I56</f>
        <v>3585</v>
      </c>
      <c r="ER56" s="106">
        <f>+'Aug-25'!I56</f>
        <v>20595</v>
      </c>
      <c r="ES56" s="106">
        <f>+'Sep-25'!I56</f>
        <v>9255</v>
      </c>
      <c r="ET56" s="106">
        <f>+'Oct-25'!I56</f>
        <v>19725</v>
      </c>
      <c r="EU56" s="106">
        <f>+'Nov-25'!I56</f>
        <v>0</v>
      </c>
      <c r="EV56" s="106">
        <f>+'Dec-25'!I56</f>
        <v>0</v>
      </c>
      <c r="EW56" s="22">
        <f t="shared" si="268"/>
        <v>182877.5</v>
      </c>
      <c r="EX56" s="118">
        <f t="shared" si="153"/>
        <v>-0.55773542600896864</v>
      </c>
      <c r="EY56" s="106">
        <f>+Budget!DE16</f>
        <v>55000</v>
      </c>
      <c r="EZ56" s="106">
        <f>+Budget!DF16</f>
        <v>48900</v>
      </c>
      <c r="FA56" s="106">
        <f>+Budget!DG16</f>
        <v>56800</v>
      </c>
      <c r="FB56" s="106">
        <f>+Budget!DH16</f>
        <v>54600</v>
      </c>
      <c r="FC56" s="106">
        <f>+Budget!DI16</f>
        <v>46240</v>
      </c>
      <c r="FD56" s="106">
        <f>+Budget!DJ16</f>
        <v>52960</v>
      </c>
      <c r="FE56" s="106">
        <f>+Budget!DK16</f>
        <v>53780</v>
      </c>
      <c r="FF56" s="106">
        <f>+Budget!DL16</f>
        <v>47880</v>
      </c>
      <c r="FG56" s="106">
        <f>+Budget!DM16</f>
        <v>47880</v>
      </c>
      <c r="FH56" s="106">
        <f>+Budget!DN16</f>
        <v>44600</v>
      </c>
      <c r="FI56" s="106">
        <f>+Budget!DO16</f>
        <v>52960</v>
      </c>
      <c r="FJ56" s="106">
        <f>+Budget!DP16</f>
        <v>50340</v>
      </c>
      <c r="FK56" s="106">
        <f t="shared" si="269"/>
        <v>611940</v>
      </c>
    </row>
    <row r="57" spans="1:167" ht="14.45" customHeight="1">
      <c r="A57" s="58">
        <f>+A55-A56</f>
        <v>194713</v>
      </c>
      <c r="B57" s="58">
        <f t="shared" ref="B57:M57" si="270">+B55-B56</f>
        <v>259130</v>
      </c>
      <c r="C57" s="58">
        <f t="shared" si="270"/>
        <v>172385</v>
      </c>
      <c r="D57" s="58">
        <f t="shared" si="270"/>
        <v>167366.25</v>
      </c>
      <c r="E57" s="58">
        <f t="shared" si="270"/>
        <v>228867</v>
      </c>
      <c r="F57" s="58">
        <f t="shared" si="270"/>
        <v>333943.75</v>
      </c>
      <c r="G57" s="58">
        <f t="shared" si="270"/>
        <v>380451.6</v>
      </c>
      <c r="H57" s="58">
        <f t="shared" si="270"/>
        <v>292438</v>
      </c>
      <c r="I57" s="58">
        <f t="shared" si="270"/>
        <v>310473.42000000004</v>
      </c>
      <c r="J57" s="58">
        <f t="shared" si="270"/>
        <v>303997</v>
      </c>
      <c r="K57" s="58">
        <f t="shared" si="270"/>
        <v>401776</v>
      </c>
      <c r="L57" s="58">
        <f t="shared" si="270"/>
        <v>315495</v>
      </c>
      <c r="M57" s="58">
        <f t="shared" si="270"/>
        <v>3361036.02</v>
      </c>
      <c r="N57" s="10" t="s">
        <v>20</v>
      </c>
      <c r="O57" s="28">
        <f>+O55-O56</f>
        <v>296790</v>
      </c>
      <c r="P57" s="28">
        <f t="shared" ref="P57:AA57" si="271">+P55-P56</f>
        <v>238940</v>
      </c>
      <c r="Q57" s="28">
        <f t="shared" si="271"/>
        <v>316990</v>
      </c>
      <c r="R57" s="28">
        <f t="shared" si="271"/>
        <v>237820</v>
      </c>
      <c r="S57" s="28">
        <f t="shared" si="271"/>
        <v>383509</v>
      </c>
      <c r="T57" s="28">
        <f t="shared" si="271"/>
        <v>312979</v>
      </c>
      <c r="U57" s="28">
        <f t="shared" si="271"/>
        <v>305477.5</v>
      </c>
      <c r="V57" s="28">
        <f t="shared" si="271"/>
        <v>261996</v>
      </c>
      <c r="W57" s="28">
        <f t="shared" si="271"/>
        <v>272592.5</v>
      </c>
      <c r="X57" s="28">
        <f t="shared" si="271"/>
        <v>416015</v>
      </c>
      <c r="Y57" s="28">
        <f t="shared" si="271"/>
        <v>0</v>
      </c>
      <c r="Z57" s="28">
        <f t="shared" si="271"/>
        <v>0</v>
      </c>
      <c r="AA57" s="28">
        <f t="shared" si="271"/>
        <v>3043109</v>
      </c>
      <c r="AB57" s="118">
        <f t="shared" si="140"/>
        <v>0.86553811659192825</v>
      </c>
      <c r="AC57" s="28">
        <f>+AC55-AC56</f>
        <v>275000</v>
      </c>
      <c r="AD57" s="28">
        <f t="shared" ref="AD57:AO57" si="272">+AD55-AD56</f>
        <v>244500</v>
      </c>
      <c r="AE57" s="28">
        <f t="shared" si="272"/>
        <v>284000</v>
      </c>
      <c r="AF57" s="28">
        <f t="shared" si="272"/>
        <v>273000</v>
      </c>
      <c r="AG57" s="28">
        <f t="shared" si="272"/>
        <v>231200</v>
      </c>
      <c r="AH57" s="28">
        <f t="shared" si="272"/>
        <v>264800</v>
      </c>
      <c r="AI57" s="28">
        <f t="shared" si="272"/>
        <v>268900</v>
      </c>
      <c r="AJ57" s="28">
        <f t="shared" si="272"/>
        <v>239400</v>
      </c>
      <c r="AK57" s="28">
        <f t="shared" si="272"/>
        <v>239400</v>
      </c>
      <c r="AL57" s="28">
        <f t="shared" si="272"/>
        <v>223000</v>
      </c>
      <c r="AM57" s="28">
        <f t="shared" si="272"/>
        <v>264800</v>
      </c>
      <c r="AN57" s="28">
        <f t="shared" si="272"/>
        <v>251700</v>
      </c>
      <c r="AO57" s="28">
        <f t="shared" si="272"/>
        <v>3059700</v>
      </c>
      <c r="AQ57" s="58">
        <f t="shared" ref="AQ57:BC57" si="273">+AQ55-AQ56</f>
        <v>116883</v>
      </c>
      <c r="AR57" s="58">
        <f t="shared" si="273"/>
        <v>212470</v>
      </c>
      <c r="AS57" s="58">
        <f t="shared" si="273"/>
        <v>123610.5</v>
      </c>
      <c r="AT57" s="58">
        <f t="shared" si="273"/>
        <v>131681.25</v>
      </c>
      <c r="AU57" s="58">
        <f t="shared" si="273"/>
        <v>114102</v>
      </c>
      <c r="AV57" s="58">
        <f t="shared" si="273"/>
        <v>157830</v>
      </c>
      <c r="AW57" s="58">
        <f t="shared" si="273"/>
        <v>258497.6</v>
      </c>
      <c r="AX57" s="58">
        <f t="shared" si="273"/>
        <v>220366.00000000003</v>
      </c>
      <c r="AY57" s="58">
        <f t="shared" si="273"/>
        <v>252764.92000000004</v>
      </c>
      <c r="AZ57" s="58">
        <f t="shared" si="273"/>
        <v>225464.99999999997</v>
      </c>
      <c r="BA57" s="58">
        <f t="shared" si="273"/>
        <v>262290.5</v>
      </c>
      <c r="BB57" s="58">
        <f t="shared" si="273"/>
        <v>247203.00000000003</v>
      </c>
      <c r="BC57" s="58">
        <f t="shared" si="273"/>
        <v>2323163.77</v>
      </c>
      <c r="BD57" s="10" t="str">
        <f t="shared" si="7"/>
        <v>Gross Profit</v>
      </c>
      <c r="BE57" s="28">
        <f t="shared" ref="BE57:BP57" si="274">+BE55-BE56</f>
        <v>111135</v>
      </c>
      <c r="BF57" s="28">
        <f t="shared" si="274"/>
        <v>103865.99999999999</v>
      </c>
      <c r="BG57" s="28">
        <f t="shared" si="274"/>
        <v>193121</v>
      </c>
      <c r="BH57" s="28">
        <f t="shared" si="274"/>
        <v>117500</v>
      </c>
      <c r="BI57" s="28">
        <f t="shared" si="274"/>
        <v>244789</v>
      </c>
      <c r="BJ57" s="28">
        <f t="shared" si="274"/>
        <v>194906.5</v>
      </c>
      <c r="BK57" s="28">
        <f t="shared" si="274"/>
        <v>201892.5</v>
      </c>
      <c r="BL57" s="28">
        <f t="shared" si="274"/>
        <v>165319</v>
      </c>
      <c r="BM57" s="28">
        <f t="shared" si="274"/>
        <v>155982.5</v>
      </c>
      <c r="BN57" s="28">
        <f t="shared" si="274"/>
        <v>234820</v>
      </c>
      <c r="BO57" s="28">
        <f t="shared" si="274"/>
        <v>0</v>
      </c>
      <c r="BP57" s="28">
        <f t="shared" si="274"/>
        <v>0</v>
      </c>
      <c r="BQ57" s="28">
        <f t="shared" ref="BQ57" si="275">+BQ55-BQ56</f>
        <v>1723331.5</v>
      </c>
      <c r="BR57" s="118">
        <f t="shared" si="145"/>
        <v>1.1060089686098655</v>
      </c>
      <c r="BS57" s="58">
        <f t="shared" ref="BS57:CE57" si="276">+BS55-BS56</f>
        <v>137500</v>
      </c>
      <c r="BT57" s="58">
        <f t="shared" si="276"/>
        <v>122250</v>
      </c>
      <c r="BU57" s="58">
        <f t="shared" si="276"/>
        <v>142000</v>
      </c>
      <c r="BV57" s="58">
        <f t="shared" si="276"/>
        <v>136500</v>
      </c>
      <c r="BW57" s="58">
        <f t="shared" si="276"/>
        <v>115600</v>
      </c>
      <c r="BX57" s="58">
        <f t="shared" si="276"/>
        <v>132400</v>
      </c>
      <c r="BY57" s="58">
        <f t="shared" si="276"/>
        <v>134450</v>
      </c>
      <c r="BZ57" s="58">
        <f t="shared" si="276"/>
        <v>119700</v>
      </c>
      <c r="CA57" s="58">
        <f t="shared" si="276"/>
        <v>119700</v>
      </c>
      <c r="CB57" s="58">
        <f t="shared" si="276"/>
        <v>111500</v>
      </c>
      <c r="CC57" s="58">
        <f t="shared" si="276"/>
        <v>132400</v>
      </c>
      <c r="CD57" s="58">
        <f t="shared" si="276"/>
        <v>125850</v>
      </c>
      <c r="CE57" s="58">
        <f t="shared" si="276"/>
        <v>1529850</v>
      </c>
      <c r="CF57" s="22"/>
      <c r="CG57" s="28">
        <f t="shared" ref="CG57:CS57" si="277">+CG55-CG56</f>
        <v>77830</v>
      </c>
      <c r="CH57" s="28">
        <f t="shared" si="277"/>
        <v>46660</v>
      </c>
      <c r="CI57" s="28">
        <f t="shared" si="277"/>
        <v>48774.5</v>
      </c>
      <c r="CJ57" s="28">
        <f t="shared" si="277"/>
        <v>35685</v>
      </c>
      <c r="CK57" s="28">
        <f t="shared" si="277"/>
        <v>114765</v>
      </c>
      <c r="CL57" s="28">
        <f t="shared" si="277"/>
        <v>176113.75</v>
      </c>
      <c r="CM57" s="28">
        <f t="shared" si="277"/>
        <v>121954</v>
      </c>
      <c r="CN57" s="28">
        <f t="shared" si="277"/>
        <v>72072</v>
      </c>
      <c r="CO57" s="28">
        <f t="shared" si="277"/>
        <v>57708.499999999993</v>
      </c>
      <c r="CP57" s="28">
        <f t="shared" si="277"/>
        <v>78532</v>
      </c>
      <c r="CQ57" s="28">
        <f t="shared" si="277"/>
        <v>139485.5</v>
      </c>
      <c r="CR57" s="28">
        <f t="shared" si="277"/>
        <v>68292</v>
      </c>
      <c r="CS57" s="58">
        <f t="shared" si="277"/>
        <v>1037872.25</v>
      </c>
      <c r="CT57" s="10" t="str">
        <f t="shared" si="11"/>
        <v>Gross Profit</v>
      </c>
      <c r="CU57" s="28">
        <f t="shared" ref="CU57:DF57" si="278">+CU55-CU56</f>
        <v>155270</v>
      </c>
      <c r="CV57" s="28">
        <f t="shared" si="278"/>
        <v>106119.00000000001</v>
      </c>
      <c r="CW57" s="28">
        <f t="shared" si="278"/>
        <v>105729</v>
      </c>
      <c r="CX57" s="28">
        <f t="shared" si="278"/>
        <v>109530</v>
      </c>
      <c r="CY57" s="28">
        <f t="shared" si="278"/>
        <v>125340</v>
      </c>
      <c r="CZ57" s="28">
        <f t="shared" si="278"/>
        <v>90005</v>
      </c>
      <c r="DA57" s="28">
        <f t="shared" si="278"/>
        <v>100000</v>
      </c>
      <c r="DB57" s="28">
        <f t="shared" si="278"/>
        <v>76082</v>
      </c>
      <c r="DC57" s="28">
        <f t="shared" si="278"/>
        <v>107355</v>
      </c>
      <c r="DD57" s="28">
        <f t="shared" si="278"/>
        <v>161470</v>
      </c>
      <c r="DE57" s="28">
        <f t="shared" si="278"/>
        <v>0</v>
      </c>
      <c r="DF57" s="28">
        <f t="shared" si="278"/>
        <v>0</v>
      </c>
      <c r="DG57" s="28">
        <f t="shared" ref="DG57" si="279">+DG55-DG56</f>
        <v>1136900</v>
      </c>
      <c r="DH57" s="118">
        <f t="shared" si="149"/>
        <v>1.4136023916292975</v>
      </c>
      <c r="DI57" s="28">
        <f t="shared" ref="DI57:DU57" si="280">+DI55-DI56</f>
        <v>82500</v>
      </c>
      <c r="DJ57" s="28">
        <f t="shared" si="280"/>
        <v>73350</v>
      </c>
      <c r="DK57" s="28">
        <f t="shared" si="280"/>
        <v>85200</v>
      </c>
      <c r="DL57" s="28">
        <f t="shared" si="280"/>
        <v>81900</v>
      </c>
      <c r="DM57" s="28">
        <f t="shared" si="280"/>
        <v>69360</v>
      </c>
      <c r="DN57" s="28">
        <f t="shared" si="280"/>
        <v>79440</v>
      </c>
      <c r="DO57" s="28">
        <f t="shared" si="280"/>
        <v>80670</v>
      </c>
      <c r="DP57" s="28">
        <f t="shared" si="280"/>
        <v>71820</v>
      </c>
      <c r="DQ57" s="28">
        <f t="shared" si="280"/>
        <v>71820</v>
      </c>
      <c r="DR57" s="28">
        <f t="shared" si="280"/>
        <v>66900</v>
      </c>
      <c r="DS57" s="28">
        <f t="shared" si="280"/>
        <v>79440</v>
      </c>
      <c r="DT57" s="28">
        <f t="shared" si="280"/>
        <v>75510</v>
      </c>
      <c r="DU57" s="58">
        <f t="shared" si="280"/>
        <v>917910</v>
      </c>
      <c r="DW57" s="28">
        <f t="shared" ref="DW57:EI57" si="281">+DW55-DW56</f>
        <v>0</v>
      </c>
      <c r="DX57" s="28">
        <f t="shared" si="281"/>
        <v>0</v>
      </c>
      <c r="DY57" s="28">
        <f t="shared" si="281"/>
        <v>0</v>
      </c>
      <c r="DZ57" s="28">
        <f t="shared" si="281"/>
        <v>0</v>
      </c>
      <c r="EA57" s="28">
        <f t="shared" si="281"/>
        <v>0</v>
      </c>
      <c r="EB57" s="28">
        <f t="shared" si="281"/>
        <v>0</v>
      </c>
      <c r="EC57" s="28">
        <f t="shared" si="281"/>
        <v>0</v>
      </c>
      <c r="ED57" s="28">
        <f t="shared" si="281"/>
        <v>0</v>
      </c>
      <c r="EE57" s="28">
        <f t="shared" si="281"/>
        <v>0</v>
      </c>
      <c r="EF57" s="28">
        <f t="shared" si="281"/>
        <v>0</v>
      </c>
      <c r="EG57" s="28">
        <f t="shared" si="281"/>
        <v>0</v>
      </c>
      <c r="EH57" s="28">
        <f t="shared" si="281"/>
        <v>0</v>
      </c>
      <c r="EI57" s="58">
        <f t="shared" si="281"/>
        <v>0</v>
      </c>
      <c r="EJ57" s="10" t="str">
        <f t="shared" si="71"/>
        <v>Gross Profit</v>
      </c>
      <c r="EK57" s="28">
        <f t="shared" ref="EK57:EV57" si="282">+EK55-EK56</f>
        <v>30385</v>
      </c>
      <c r="EL57" s="28">
        <f t="shared" si="282"/>
        <v>28954.999999999996</v>
      </c>
      <c r="EM57" s="28">
        <f t="shared" si="282"/>
        <v>18140</v>
      </c>
      <c r="EN57" s="28">
        <f t="shared" si="282"/>
        <v>10790</v>
      </c>
      <c r="EO57" s="28">
        <f t="shared" si="282"/>
        <v>13380</v>
      </c>
      <c r="EP57" s="28">
        <f t="shared" si="282"/>
        <v>28067.5</v>
      </c>
      <c r="EQ57" s="28">
        <f t="shared" si="282"/>
        <v>3585</v>
      </c>
      <c r="ER57" s="28">
        <f t="shared" si="282"/>
        <v>20595</v>
      </c>
      <c r="ES57" s="28">
        <f t="shared" si="282"/>
        <v>9255</v>
      </c>
      <c r="ET57" s="28">
        <f t="shared" si="282"/>
        <v>19725</v>
      </c>
      <c r="EU57" s="28">
        <f t="shared" si="282"/>
        <v>0</v>
      </c>
      <c r="EV57" s="28">
        <f t="shared" si="282"/>
        <v>0</v>
      </c>
      <c r="EW57" s="28">
        <f t="shared" ref="EW57" si="283">+EW55-EW56</f>
        <v>182877.5</v>
      </c>
      <c r="EX57" s="118">
        <f t="shared" si="153"/>
        <v>-0.55773542600896864</v>
      </c>
      <c r="EY57" s="58">
        <f t="shared" ref="EY57:FK57" si="284">+EY55-EY56</f>
        <v>55000</v>
      </c>
      <c r="EZ57" s="58">
        <f t="shared" si="284"/>
        <v>48900</v>
      </c>
      <c r="FA57" s="58">
        <f t="shared" si="284"/>
        <v>56800</v>
      </c>
      <c r="FB57" s="58">
        <f t="shared" si="284"/>
        <v>54600</v>
      </c>
      <c r="FC57" s="58">
        <f t="shared" si="284"/>
        <v>46240</v>
      </c>
      <c r="FD57" s="58">
        <f t="shared" si="284"/>
        <v>52960</v>
      </c>
      <c r="FE57" s="58">
        <f t="shared" si="284"/>
        <v>53780</v>
      </c>
      <c r="FF57" s="58">
        <f t="shared" si="284"/>
        <v>47880</v>
      </c>
      <c r="FG57" s="58">
        <f t="shared" si="284"/>
        <v>47880</v>
      </c>
      <c r="FH57" s="58">
        <f t="shared" si="284"/>
        <v>44600</v>
      </c>
      <c r="FI57" s="58">
        <f t="shared" si="284"/>
        <v>52960</v>
      </c>
      <c r="FJ57" s="58">
        <f t="shared" si="284"/>
        <v>50340</v>
      </c>
      <c r="FK57" s="58">
        <f t="shared" si="284"/>
        <v>611940</v>
      </c>
    </row>
    <row r="58" spans="1:167" ht="14.45" customHeight="1">
      <c r="A58" s="58">
        <f>+A54+A57</f>
        <v>194713</v>
      </c>
      <c r="B58" s="58">
        <f t="shared" ref="B58:M58" si="285">+B54+B57</f>
        <v>259130</v>
      </c>
      <c r="C58" s="58">
        <f t="shared" si="285"/>
        <v>172385</v>
      </c>
      <c r="D58" s="58">
        <f t="shared" si="285"/>
        <v>167366.25</v>
      </c>
      <c r="E58" s="58">
        <f t="shared" si="285"/>
        <v>228867</v>
      </c>
      <c r="F58" s="58">
        <f t="shared" si="285"/>
        <v>333943.75</v>
      </c>
      <c r="G58" s="58">
        <f t="shared" si="285"/>
        <v>380451.6</v>
      </c>
      <c r="H58" s="58">
        <f t="shared" si="285"/>
        <v>292438</v>
      </c>
      <c r="I58" s="58">
        <f t="shared" si="285"/>
        <v>310473.42000000004</v>
      </c>
      <c r="J58" s="58">
        <f t="shared" si="285"/>
        <v>303997</v>
      </c>
      <c r="K58" s="58">
        <f t="shared" si="285"/>
        <v>401776</v>
      </c>
      <c r="L58" s="58">
        <f t="shared" si="285"/>
        <v>315495</v>
      </c>
      <c r="M58" s="58">
        <f t="shared" si="285"/>
        <v>3361036.02</v>
      </c>
      <c r="N58" s="10" t="s">
        <v>45</v>
      </c>
      <c r="O58" s="28">
        <f>+O54+O57</f>
        <v>296790</v>
      </c>
      <c r="P58" s="28">
        <f t="shared" ref="P58:AA58" si="286">+P54+P57</f>
        <v>238940</v>
      </c>
      <c r="Q58" s="28">
        <f t="shared" si="286"/>
        <v>316990</v>
      </c>
      <c r="R58" s="28">
        <f t="shared" si="286"/>
        <v>237820</v>
      </c>
      <c r="S58" s="28">
        <f t="shared" si="286"/>
        <v>383509</v>
      </c>
      <c r="T58" s="28">
        <f t="shared" si="286"/>
        <v>312979</v>
      </c>
      <c r="U58" s="28">
        <f t="shared" si="286"/>
        <v>305477.5</v>
      </c>
      <c r="V58" s="28">
        <f t="shared" si="286"/>
        <v>261996</v>
      </c>
      <c r="W58" s="28">
        <f t="shared" si="286"/>
        <v>272592.5</v>
      </c>
      <c r="X58" s="28">
        <f t="shared" si="286"/>
        <v>416015</v>
      </c>
      <c r="Y58" s="28">
        <f t="shared" si="286"/>
        <v>0</v>
      </c>
      <c r="Z58" s="28">
        <f t="shared" si="286"/>
        <v>0</v>
      </c>
      <c r="AA58" s="28">
        <f t="shared" si="286"/>
        <v>3043109</v>
      </c>
      <c r="AB58" s="118">
        <f t="shared" si="140"/>
        <v>0.86553811659192825</v>
      </c>
      <c r="AC58" s="28">
        <f>+AC54+AC57</f>
        <v>275000</v>
      </c>
      <c r="AD58" s="28">
        <f t="shared" ref="AD58:AO58" si="287">+AD54+AD57</f>
        <v>244500</v>
      </c>
      <c r="AE58" s="28">
        <f t="shared" si="287"/>
        <v>284000</v>
      </c>
      <c r="AF58" s="28">
        <f t="shared" si="287"/>
        <v>273000</v>
      </c>
      <c r="AG58" s="28">
        <f t="shared" si="287"/>
        <v>231200</v>
      </c>
      <c r="AH58" s="28">
        <f t="shared" si="287"/>
        <v>264800</v>
      </c>
      <c r="AI58" s="28">
        <f t="shared" si="287"/>
        <v>268900</v>
      </c>
      <c r="AJ58" s="28">
        <f t="shared" si="287"/>
        <v>239400</v>
      </c>
      <c r="AK58" s="28">
        <f t="shared" si="287"/>
        <v>239400</v>
      </c>
      <c r="AL58" s="28">
        <f t="shared" si="287"/>
        <v>223000</v>
      </c>
      <c r="AM58" s="28">
        <f t="shared" si="287"/>
        <v>264800</v>
      </c>
      <c r="AN58" s="28">
        <f t="shared" si="287"/>
        <v>251700</v>
      </c>
      <c r="AO58" s="28">
        <f t="shared" si="287"/>
        <v>3059700</v>
      </c>
      <c r="AQ58" s="58">
        <f t="shared" ref="AQ58:BC58" si="288">+AQ54+AQ57</f>
        <v>116883</v>
      </c>
      <c r="AR58" s="58">
        <f t="shared" si="288"/>
        <v>212470</v>
      </c>
      <c r="AS58" s="58">
        <f t="shared" si="288"/>
        <v>123610.5</v>
      </c>
      <c r="AT58" s="58">
        <f t="shared" si="288"/>
        <v>131681.25</v>
      </c>
      <c r="AU58" s="58">
        <f t="shared" si="288"/>
        <v>114102</v>
      </c>
      <c r="AV58" s="58">
        <f t="shared" si="288"/>
        <v>157830</v>
      </c>
      <c r="AW58" s="58">
        <f t="shared" si="288"/>
        <v>258497.6</v>
      </c>
      <c r="AX58" s="58">
        <f t="shared" si="288"/>
        <v>220366.00000000003</v>
      </c>
      <c r="AY58" s="58">
        <f t="shared" si="288"/>
        <v>252764.92000000004</v>
      </c>
      <c r="AZ58" s="58">
        <f t="shared" si="288"/>
        <v>225464.99999999997</v>
      </c>
      <c r="BA58" s="58">
        <f t="shared" si="288"/>
        <v>262290.5</v>
      </c>
      <c r="BB58" s="58">
        <f t="shared" si="288"/>
        <v>247203.00000000003</v>
      </c>
      <c r="BC58" s="58">
        <f t="shared" si="288"/>
        <v>2323163.77</v>
      </c>
      <c r="BD58" s="10" t="str">
        <f t="shared" si="7"/>
        <v>Total GP</v>
      </c>
      <c r="BE58" s="28">
        <f t="shared" ref="BE58:BP58" si="289">+BE54+BE57</f>
        <v>111135</v>
      </c>
      <c r="BF58" s="28">
        <f t="shared" si="289"/>
        <v>103865.99999999999</v>
      </c>
      <c r="BG58" s="28">
        <f t="shared" si="289"/>
        <v>193121</v>
      </c>
      <c r="BH58" s="28">
        <f t="shared" si="289"/>
        <v>117500</v>
      </c>
      <c r="BI58" s="28">
        <f t="shared" si="289"/>
        <v>244789</v>
      </c>
      <c r="BJ58" s="28">
        <f t="shared" si="289"/>
        <v>194906.5</v>
      </c>
      <c r="BK58" s="28">
        <f t="shared" si="289"/>
        <v>201892.5</v>
      </c>
      <c r="BL58" s="28">
        <f t="shared" si="289"/>
        <v>165319</v>
      </c>
      <c r="BM58" s="28">
        <f t="shared" si="289"/>
        <v>155982.5</v>
      </c>
      <c r="BN58" s="28">
        <f t="shared" si="289"/>
        <v>234820</v>
      </c>
      <c r="BO58" s="28">
        <f t="shared" si="289"/>
        <v>0</v>
      </c>
      <c r="BP58" s="28">
        <f t="shared" si="289"/>
        <v>0</v>
      </c>
      <c r="BQ58" s="28">
        <f t="shared" ref="BQ58" si="290">+BQ54+BQ57</f>
        <v>1723331.5</v>
      </c>
      <c r="BR58" s="118">
        <f t="shared" si="145"/>
        <v>1.1060089686098655</v>
      </c>
      <c r="BS58" s="58">
        <f t="shared" ref="BS58:CE58" si="291">+BS54+BS57</f>
        <v>137500</v>
      </c>
      <c r="BT58" s="58">
        <f t="shared" si="291"/>
        <v>122250</v>
      </c>
      <c r="BU58" s="58">
        <f t="shared" si="291"/>
        <v>142000</v>
      </c>
      <c r="BV58" s="58">
        <f t="shared" si="291"/>
        <v>136500</v>
      </c>
      <c r="BW58" s="58">
        <f t="shared" si="291"/>
        <v>115600</v>
      </c>
      <c r="BX58" s="58">
        <f t="shared" si="291"/>
        <v>132400</v>
      </c>
      <c r="BY58" s="58">
        <f t="shared" si="291"/>
        <v>134450</v>
      </c>
      <c r="BZ58" s="58">
        <f t="shared" si="291"/>
        <v>119700</v>
      </c>
      <c r="CA58" s="58">
        <f t="shared" si="291"/>
        <v>119700</v>
      </c>
      <c r="CB58" s="58">
        <f t="shared" si="291"/>
        <v>111500</v>
      </c>
      <c r="CC58" s="58">
        <f t="shared" si="291"/>
        <v>132400</v>
      </c>
      <c r="CD58" s="58">
        <f t="shared" si="291"/>
        <v>125850</v>
      </c>
      <c r="CE58" s="58">
        <f t="shared" si="291"/>
        <v>1529850</v>
      </c>
      <c r="CF58" s="22"/>
      <c r="CG58" s="28">
        <f t="shared" ref="CG58:CS58" si="292">+CG54+CG57</f>
        <v>77830</v>
      </c>
      <c r="CH58" s="28">
        <f t="shared" si="292"/>
        <v>46660</v>
      </c>
      <c r="CI58" s="28">
        <f t="shared" si="292"/>
        <v>48774.5</v>
      </c>
      <c r="CJ58" s="28">
        <f t="shared" si="292"/>
        <v>35685</v>
      </c>
      <c r="CK58" s="28">
        <f t="shared" si="292"/>
        <v>114765</v>
      </c>
      <c r="CL58" s="28">
        <f t="shared" si="292"/>
        <v>176113.75</v>
      </c>
      <c r="CM58" s="28">
        <f t="shared" si="292"/>
        <v>121954</v>
      </c>
      <c r="CN58" s="28">
        <f t="shared" si="292"/>
        <v>72072</v>
      </c>
      <c r="CO58" s="28">
        <f t="shared" si="292"/>
        <v>57708.499999999993</v>
      </c>
      <c r="CP58" s="28">
        <f t="shared" si="292"/>
        <v>78532</v>
      </c>
      <c r="CQ58" s="28">
        <f t="shared" si="292"/>
        <v>139485.5</v>
      </c>
      <c r="CR58" s="28">
        <f t="shared" si="292"/>
        <v>68292</v>
      </c>
      <c r="CS58" s="58">
        <f t="shared" si="292"/>
        <v>1037872.25</v>
      </c>
      <c r="CT58" s="10" t="str">
        <f t="shared" si="11"/>
        <v>Total GP</v>
      </c>
      <c r="CU58" s="28">
        <f t="shared" ref="CU58:DF58" si="293">+CU54+CU57</f>
        <v>155270</v>
      </c>
      <c r="CV58" s="28">
        <f t="shared" si="293"/>
        <v>106119.00000000001</v>
      </c>
      <c r="CW58" s="28">
        <f t="shared" si="293"/>
        <v>105729</v>
      </c>
      <c r="CX58" s="28">
        <f t="shared" si="293"/>
        <v>109530</v>
      </c>
      <c r="CY58" s="28">
        <f t="shared" si="293"/>
        <v>125340</v>
      </c>
      <c r="CZ58" s="28">
        <f t="shared" si="293"/>
        <v>90005</v>
      </c>
      <c r="DA58" s="28">
        <f t="shared" si="293"/>
        <v>100000</v>
      </c>
      <c r="DB58" s="28">
        <f t="shared" si="293"/>
        <v>76082</v>
      </c>
      <c r="DC58" s="28">
        <f t="shared" si="293"/>
        <v>107355</v>
      </c>
      <c r="DD58" s="28">
        <f t="shared" si="293"/>
        <v>161470</v>
      </c>
      <c r="DE58" s="28">
        <f t="shared" si="293"/>
        <v>0</v>
      </c>
      <c r="DF58" s="28">
        <f t="shared" si="293"/>
        <v>0</v>
      </c>
      <c r="DG58" s="28">
        <f t="shared" ref="DG58" si="294">+DG54+DG57</f>
        <v>1136900</v>
      </c>
      <c r="DH58" s="118">
        <f t="shared" si="149"/>
        <v>1.4136023916292975</v>
      </c>
      <c r="DI58" s="28">
        <f t="shared" ref="DI58:DU58" si="295">+DI54+DI57</f>
        <v>82500</v>
      </c>
      <c r="DJ58" s="28">
        <f t="shared" si="295"/>
        <v>73350</v>
      </c>
      <c r="DK58" s="28">
        <f t="shared" si="295"/>
        <v>85200</v>
      </c>
      <c r="DL58" s="28">
        <f t="shared" si="295"/>
        <v>81900</v>
      </c>
      <c r="DM58" s="28">
        <f t="shared" si="295"/>
        <v>69360</v>
      </c>
      <c r="DN58" s="28">
        <f t="shared" si="295"/>
        <v>79440</v>
      </c>
      <c r="DO58" s="28">
        <f t="shared" si="295"/>
        <v>80670</v>
      </c>
      <c r="DP58" s="28">
        <f t="shared" si="295"/>
        <v>71820</v>
      </c>
      <c r="DQ58" s="28">
        <f t="shared" si="295"/>
        <v>71820</v>
      </c>
      <c r="DR58" s="28">
        <f t="shared" si="295"/>
        <v>66900</v>
      </c>
      <c r="DS58" s="28">
        <f t="shared" si="295"/>
        <v>79440</v>
      </c>
      <c r="DT58" s="28">
        <f t="shared" si="295"/>
        <v>75510</v>
      </c>
      <c r="DU58" s="58">
        <f t="shared" si="295"/>
        <v>917910</v>
      </c>
      <c r="DW58" s="28">
        <f t="shared" ref="DW58:EI58" si="296">+DW54+DW57</f>
        <v>0</v>
      </c>
      <c r="DX58" s="28">
        <f t="shared" si="296"/>
        <v>0</v>
      </c>
      <c r="DY58" s="28">
        <f t="shared" si="296"/>
        <v>0</v>
      </c>
      <c r="DZ58" s="28">
        <f t="shared" si="296"/>
        <v>0</v>
      </c>
      <c r="EA58" s="28">
        <f t="shared" si="296"/>
        <v>0</v>
      </c>
      <c r="EB58" s="28">
        <f t="shared" si="296"/>
        <v>0</v>
      </c>
      <c r="EC58" s="28">
        <f t="shared" si="296"/>
        <v>0</v>
      </c>
      <c r="ED58" s="28">
        <f t="shared" si="296"/>
        <v>0</v>
      </c>
      <c r="EE58" s="28">
        <f t="shared" si="296"/>
        <v>0</v>
      </c>
      <c r="EF58" s="28">
        <f t="shared" si="296"/>
        <v>0</v>
      </c>
      <c r="EG58" s="28">
        <f t="shared" si="296"/>
        <v>0</v>
      </c>
      <c r="EH58" s="28">
        <f t="shared" si="296"/>
        <v>0</v>
      </c>
      <c r="EI58" s="58">
        <f t="shared" si="296"/>
        <v>0</v>
      </c>
      <c r="EJ58" s="10" t="str">
        <f t="shared" si="71"/>
        <v>Total GP</v>
      </c>
      <c r="EK58" s="28">
        <f t="shared" ref="EK58:EV58" si="297">+EK54+EK57</f>
        <v>30385</v>
      </c>
      <c r="EL58" s="28">
        <f t="shared" si="297"/>
        <v>28954.999999999996</v>
      </c>
      <c r="EM58" s="28">
        <f t="shared" si="297"/>
        <v>18140</v>
      </c>
      <c r="EN58" s="28">
        <f t="shared" si="297"/>
        <v>10790</v>
      </c>
      <c r="EO58" s="28">
        <f t="shared" si="297"/>
        <v>13380</v>
      </c>
      <c r="EP58" s="28">
        <f t="shared" si="297"/>
        <v>28067.5</v>
      </c>
      <c r="EQ58" s="28">
        <f t="shared" si="297"/>
        <v>3585</v>
      </c>
      <c r="ER58" s="28">
        <f t="shared" si="297"/>
        <v>20595</v>
      </c>
      <c r="ES58" s="28">
        <f t="shared" si="297"/>
        <v>9255</v>
      </c>
      <c r="ET58" s="28">
        <f t="shared" si="297"/>
        <v>19725</v>
      </c>
      <c r="EU58" s="28">
        <f t="shared" si="297"/>
        <v>0</v>
      </c>
      <c r="EV58" s="28">
        <f t="shared" si="297"/>
        <v>0</v>
      </c>
      <c r="EW58" s="28">
        <f t="shared" ref="EW58" si="298">+EW54+EW57</f>
        <v>182877.5</v>
      </c>
      <c r="EX58" s="118">
        <f t="shared" si="153"/>
        <v>-0.55773542600896864</v>
      </c>
      <c r="EY58" s="58">
        <f t="shared" ref="EY58:FK58" si="299">+EY54+EY57</f>
        <v>55000</v>
      </c>
      <c r="EZ58" s="58">
        <f t="shared" si="299"/>
        <v>48900</v>
      </c>
      <c r="FA58" s="58">
        <f t="shared" si="299"/>
        <v>56800</v>
      </c>
      <c r="FB58" s="58">
        <f t="shared" si="299"/>
        <v>54600</v>
      </c>
      <c r="FC58" s="58">
        <f t="shared" si="299"/>
        <v>46240</v>
      </c>
      <c r="FD58" s="58">
        <f t="shared" si="299"/>
        <v>52960</v>
      </c>
      <c r="FE58" s="58">
        <f t="shared" si="299"/>
        <v>53780</v>
      </c>
      <c r="FF58" s="58">
        <f t="shared" si="299"/>
        <v>47880</v>
      </c>
      <c r="FG58" s="58">
        <f t="shared" si="299"/>
        <v>47880</v>
      </c>
      <c r="FH58" s="58">
        <f t="shared" si="299"/>
        <v>44600</v>
      </c>
      <c r="FI58" s="58">
        <f t="shared" si="299"/>
        <v>52960</v>
      </c>
      <c r="FJ58" s="58">
        <f t="shared" si="299"/>
        <v>50340</v>
      </c>
      <c r="FK58" s="58">
        <f t="shared" si="299"/>
        <v>611940</v>
      </c>
    </row>
    <row r="59" spans="1:167" ht="14.4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118">
        <f t="shared" si="140"/>
        <v>0</v>
      </c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45">
        <f t="shared" si="7"/>
        <v>0</v>
      </c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118">
        <f t="shared" si="145"/>
        <v>0</v>
      </c>
      <c r="BS59" s="106"/>
      <c r="BT59" s="106"/>
      <c r="BU59" s="106"/>
      <c r="BV59" s="106"/>
      <c r="BW59" s="106"/>
      <c r="BX59" s="106"/>
      <c r="BY59" s="106"/>
      <c r="BZ59" s="106"/>
      <c r="CA59" s="106"/>
      <c r="CB59" s="106"/>
      <c r="CC59" s="106"/>
      <c r="CD59" s="106"/>
      <c r="CE59" s="106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106"/>
      <c r="CT59" s="45">
        <f t="shared" si="11"/>
        <v>0</v>
      </c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118">
        <f t="shared" si="149"/>
        <v>0</v>
      </c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106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106"/>
      <c r="EJ59" s="45">
        <f t="shared" si="71"/>
        <v>0</v>
      </c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118">
        <f t="shared" si="153"/>
        <v>0</v>
      </c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106"/>
    </row>
    <row r="60" spans="1:167" ht="14.45" customHeight="1">
      <c r="A60" s="58">
        <f>+SUM(A61:A69)</f>
        <v>98773.81</v>
      </c>
      <c r="B60" s="58">
        <f t="shared" ref="B60:M60" si="300">+SUM(B61:B69)</f>
        <v>69227.81</v>
      </c>
      <c r="C60" s="58">
        <f t="shared" si="300"/>
        <v>59981.45</v>
      </c>
      <c r="D60" s="58">
        <f t="shared" si="300"/>
        <v>106651.08</v>
      </c>
      <c r="E60" s="58">
        <f t="shared" si="300"/>
        <v>701450.66999999993</v>
      </c>
      <c r="F60" s="58">
        <f t="shared" si="300"/>
        <v>384084.82</v>
      </c>
      <c r="G60" s="58">
        <f t="shared" si="300"/>
        <v>52252.58</v>
      </c>
      <c r="H60" s="58">
        <f t="shared" si="300"/>
        <v>679321</v>
      </c>
      <c r="I60" s="58">
        <f t="shared" si="300"/>
        <v>37000</v>
      </c>
      <c r="J60" s="58">
        <f t="shared" si="300"/>
        <v>29600</v>
      </c>
      <c r="K60" s="58">
        <f t="shared" si="300"/>
        <v>56348</v>
      </c>
      <c r="L60" s="58">
        <f t="shared" si="300"/>
        <v>1195</v>
      </c>
      <c r="M60" s="58">
        <f t="shared" si="300"/>
        <v>2275886.2200000002</v>
      </c>
      <c r="N60" s="6" t="s">
        <v>46</v>
      </c>
      <c r="O60" s="28">
        <f>+SUM(O61:O69)</f>
        <v>126475.61900000001</v>
      </c>
      <c r="P60" s="28">
        <f t="shared" ref="P60:AA60" si="301">+SUM(P61:P69)</f>
        <v>69684.498299999992</v>
      </c>
      <c r="Q60" s="28">
        <f t="shared" si="301"/>
        <v>466209.8455</v>
      </c>
      <c r="R60" s="28">
        <f t="shared" si="301"/>
        <v>128348.6165</v>
      </c>
      <c r="S60" s="28">
        <f t="shared" si="301"/>
        <v>833166.8</v>
      </c>
      <c r="T60" s="28">
        <f t="shared" si="301"/>
        <v>141280.17360000001</v>
      </c>
      <c r="U60" s="28">
        <f t="shared" si="301"/>
        <v>284127.95400000003</v>
      </c>
      <c r="V60" s="28">
        <f t="shared" si="301"/>
        <v>199388.99790000002</v>
      </c>
      <c r="W60" s="28">
        <f t="shared" si="301"/>
        <v>114763.5558</v>
      </c>
      <c r="X60" s="28">
        <f t="shared" si="301"/>
        <v>76208.756300000008</v>
      </c>
      <c r="Y60" s="28">
        <f t="shared" si="301"/>
        <v>0</v>
      </c>
      <c r="Z60" s="28">
        <f t="shared" si="301"/>
        <v>0</v>
      </c>
      <c r="AA60" s="28">
        <f t="shared" si="301"/>
        <v>2439654.8169</v>
      </c>
      <c r="AB60" s="118">
        <f t="shared" si="140"/>
        <v>0</v>
      </c>
      <c r="AC60" s="28">
        <f>+SUM(AC61:AC69)</f>
        <v>0</v>
      </c>
      <c r="AD60" s="28">
        <f t="shared" ref="AD60:AO60" si="302">+SUM(AD61:AD69)</f>
        <v>0</v>
      </c>
      <c r="AE60" s="28">
        <f t="shared" si="302"/>
        <v>0</v>
      </c>
      <c r="AF60" s="28">
        <f t="shared" si="302"/>
        <v>0</v>
      </c>
      <c r="AG60" s="28">
        <f t="shared" si="302"/>
        <v>0</v>
      </c>
      <c r="AH60" s="28">
        <f t="shared" si="302"/>
        <v>0</v>
      </c>
      <c r="AI60" s="28">
        <f t="shared" si="302"/>
        <v>0</v>
      </c>
      <c r="AJ60" s="28">
        <f t="shared" si="302"/>
        <v>0</v>
      </c>
      <c r="AK60" s="28">
        <f t="shared" si="302"/>
        <v>0</v>
      </c>
      <c r="AL60" s="28">
        <f t="shared" si="302"/>
        <v>0</v>
      </c>
      <c r="AM60" s="28">
        <f t="shared" si="302"/>
        <v>0</v>
      </c>
      <c r="AN60" s="28">
        <f t="shared" si="302"/>
        <v>0</v>
      </c>
      <c r="AO60" s="28">
        <f t="shared" si="302"/>
        <v>0</v>
      </c>
      <c r="AQ60" s="58">
        <f t="shared" ref="AQ60:BC60" si="303">+SUM(AQ61:AQ69)</f>
        <v>98773.81</v>
      </c>
      <c r="AR60" s="58">
        <f t="shared" si="303"/>
        <v>69227.81</v>
      </c>
      <c r="AS60" s="58">
        <f t="shared" si="303"/>
        <v>59981.45</v>
      </c>
      <c r="AT60" s="58">
        <f t="shared" si="303"/>
        <v>48109.72</v>
      </c>
      <c r="AU60" s="58">
        <f t="shared" si="303"/>
        <v>642250.66999999993</v>
      </c>
      <c r="AV60" s="58">
        <f t="shared" si="303"/>
        <v>384084.82</v>
      </c>
      <c r="AW60" s="58">
        <f t="shared" si="303"/>
        <v>46777.5</v>
      </c>
      <c r="AX60" s="58">
        <f t="shared" si="303"/>
        <v>640361</v>
      </c>
      <c r="AY60" s="58">
        <f t="shared" si="303"/>
        <v>0</v>
      </c>
      <c r="AZ60" s="58">
        <f t="shared" si="303"/>
        <v>0</v>
      </c>
      <c r="BA60" s="58">
        <f t="shared" si="303"/>
        <v>7224</v>
      </c>
      <c r="BB60" s="58">
        <f t="shared" si="303"/>
        <v>1195</v>
      </c>
      <c r="BC60" s="58">
        <f t="shared" si="303"/>
        <v>1997985.78</v>
      </c>
      <c r="BD60" s="6" t="str">
        <f t="shared" si="7"/>
        <v>Other Source of Income</v>
      </c>
      <c r="BE60" s="28">
        <f t="shared" ref="BE60:BP60" si="304">+SUM(BE61:BE69)</f>
        <v>120813.746</v>
      </c>
      <c r="BF60" s="28">
        <f t="shared" si="304"/>
        <v>61256.332199999997</v>
      </c>
      <c r="BG60" s="28">
        <f t="shared" si="304"/>
        <v>434352.39699999994</v>
      </c>
      <c r="BH60" s="28">
        <f t="shared" si="304"/>
        <v>120553.27099999999</v>
      </c>
      <c r="BI60" s="28">
        <f t="shared" si="304"/>
        <v>789435.8</v>
      </c>
      <c r="BJ60" s="28">
        <f t="shared" si="304"/>
        <v>135898.92240000001</v>
      </c>
      <c r="BK60" s="28">
        <f t="shared" si="304"/>
        <v>248243.696</v>
      </c>
      <c r="BL60" s="28">
        <f t="shared" si="304"/>
        <v>162590.98860000001</v>
      </c>
      <c r="BM60" s="28">
        <f t="shared" si="304"/>
        <v>107411.9472</v>
      </c>
      <c r="BN60" s="28">
        <f t="shared" si="304"/>
        <v>67298.139800000004</v>
      </c>
      <c r="BO60" s="28">
        <f t="shared" si="304"/>
        <v>0</v>
      </c>
      <c r="BP60" s="28">
        <f t="shared" si="304"/>
        <v>0</v>
      </c>
      <c r="BQ60" s="28">
        <f t="shared" ref="BQ60" si="305">+SUM(BQ61:BQ69)</f>
        <v>2247855.2401999999</v>
      </c>
      <c r="BR60" s="118">
        <f t="shared" si="145"/>
        <v>0</v>
      </c>
      <c r="BS60" s="58">
        <f t="shared" ref="BS60:CE60" si="306">+SUM(BS61:BS69)</f>
        <v>0</v>
      </c>
      <c r="BT60" s="58">
        <f t="shared" si="306"/>
        <v>0</v>
      </c>
      <c r="BU60" s="58">
        <f t="shared" si="306"/>
        <v>0</v>
      </c>
      <c r="BV60" s="58">
        <f t="shared" si="306"/>
        <v>0</v>
      </c>
      <c r="BW60" s="58">
        <f t="shared" si="306"/>
        <v>0</v>
      </c>
      <c r="BX60" s="58">
        <f t="shared" si="306"/>
        <v>0</v>
      </c>
      <c r="BY60" s="58">
        <f t="shared" si="306"/>
        <v>0</v>
      </c>
      <c r="BZ60" s="58">
        <f t="shared" si="306"/>
        <v>0</v>
      </c>
      <c r="CA60" s="58">
        <f t="shared" si="306"/>
        <v>0</v>
      </c>
      <c r="CB60" s="58">
        <f t="shared" si="306"/>
        <v>0</v>
      </c>
      <c r="CC60" s="58">
        <f t="shared" si="306"/>
        <v>0</v>
      </c>
      <c r="CD60" s="58">
        <f t="shared" si="306"/>
        <v>0</v>
      </c>
      <c r="CE60" s="58">
        <f t="shared" si="306"/>
        <v>0</v>
      </c>
      <c r="CF60" s="22"/>
      <c r="CG60" s="28">
        <f t="shared" ref="CG60:CS60" si="307">+SUM(CG61:CG69)</f>
        <v>0</v>
      </c>
      <c r="CH60" s="28">
        <f t="shared" si="307"/>
        <v>0</v>
      </c>
      <c r="CI60" s="28">
        <f t="shared" si="307"/>
        <v>0</v>
      </c>
      <c r="CJ60" s="28">
        <f t="shared" si="307"/>
        <v>58541.36</v>
      </c>
      <c r="CK60" s="28">
        <f t="shared" si="307"/>
        <v>59200</v>
      </c>
      <c r="CL60" s="28">
        <f t="shared" si="307"/>
        <v>0</v>
      </c>
      <c r="CM60" s="28">
        <f t="shared" si="307"/>
        <v>5475.08</v>
      </c>
      <c r="CN60" s="28">
        <f t="shared" si="307"/>
        <v>38960</v>
      </c>
      <c r="CO60" s="28">
        <f t="shared" si="307"/>
        <v>37000</v>
      </c>
      <c r="CP60" s="28">
        <f t="shared" si="307"/>
        <v>29600</v>
      </c>
      <c r="CQ60" s="28">
        <f t="shared" si="307"/>
        <v>49124</v>
      </c>
      <c r="CR60" s="28">
        <f t="shared" si="307"/>
        <v>0</v>
      </c>
      <c r="CS60" s="58">
        <f t="shared" si="307"/>
        <v>277900.44</v>
      </c>
      <c r="CT60" s="6" t="str">
        <f t="shared" si="11"/>
        <v>Other Source of Income</v>
      </c>
      <c r="CU60" s="28">
        <f t="shared" ref="CU60:DF60" si="308">+SUM(CU61:CU69)</f>
        <v>5661.8729999999996</v>
      </c>
      <c r="CV60" s="28">
        <f t="shared" si="308"/>
        <v>8428.1660999999986</v>
      </c>
      <c r="CW60" s="28">
        <f t="shared" si="308"/>
        <v>31857.448499999999</v>
      </c>
      <c r="CX60" s="28">
        <f t="shared" si="308"/>
        <v>7795.3454999999985</v>
      </c>
      <c r="CY60" s="28">
        <f t="shared" si="308"/>
        <v>37000</v>
      </c>
      <c r="CZ60" s="28">
        <f t="shared" si="308"/>
        <v>5381.2511999999997</v>
      </c>
      <c r="DA60" s="28">
        <f t="shared" si="308"/>
        <v>26263.257999999998</v>
      </c>
      <c r="DB60" s="28">
        <f t="shared" si="308"/>
        <v>36798.009299999998</v>
      </c>
      <c r="DC60" s="28">
        <f t="shared" si="308"/>
        <v>7351.6085999999987</v>
      </c>
      <c r="DD60" s="28">
        <f t="shared" si="308"/>
        <v>5346.3698999999997</v>
      </c>
      <c r="DE60" s="28">
        <f t="shared" si="308"/>
        <v>0</v>
      </c>
      <c r="DF60" s="28">
        <f t="shared" si="308"/>
        <v>0</v>
      </c>
      <c r="DG60" s="28">
        <f t="shared" ref="DG60" si="309">+SUM(DG61:DG69)</f>
        <v>171883.33009999999</v>
      </c>
      <c r="DH60" s="118">
        <f t="shared" si="149"/>
        <v>0</v>
      </c>
      <c r="DI60" s="28">
        <f t="shared" ref="DI60:DU60" si="310">+SUM(DI61:DI69)</f>
        <v>0</v>
      </c>
      <c r="DJ60" s="28">
        <f t="shared" si="310"/>
        <v>0</v>
      </c>
      <c r="DK60" s="28">
        <f t="shared" si="310"/>
        <v>0</v>
      </c>
      <c r="DL60" s="28">
        <f t="shared" si="310"/>
        <v>0</v>
      </c>
      <c r="DM60" s="28">
        <f t="shared" si="310"/>
        <v>0</v>
      </c>
      <c r="DN60" s="28">
        <f t="shared" si="310"/>
        <v>0</v>
      </c>
      <c r="DO60" s="28">
        <f t="shared" si="310"/>
        <v>0</v>
      </c>
      <c r="DP60" s="28">
        <f t="shared" si="310"/>
        <v>0</v>
      </c>
      <c r="DQ60" s="28">
        <f t="shared" si="310"/>
        <v>0</v>
      </c>
      <c r="DR60" s="28">
        <f t="shared" si="310"/>
        <v>0</v>
      </c>
      <c r="DS60" s="28">
        <f t="shared" si="310"/>
        <v>0</v>
      </c>
      <c r="DT60" s="28">
        <f t="shared" si="310"/>
        <v>0</v>
      </c>
      <c r="DU60" s="58">
        <f t="shared" si="310"/>
        <v>0</v>
      </c>
      <c r="DW60" s="28">
        <f t="shared" ref="DW60:EI60" si="311">+SUM(DW61:DW69)</f>
        <v>0</v>
      </c>
      <c r="DX60" s="28">
        <f t="shared" si="311"/>
        <v>0</v>
      </c>
      <c r="DY60" s="28">
        <f t="shared" si="311"/>
        <v>0</v>
      </c>
      <c r="DZ60" s="28">
        <f t="shared" si="311"/>
        <v>0</v>
      </c>
      <c r="EA60" s="28">
        <f t="shared" si="311"/>
        <v>0</v>
      </c>
      <c r="EB60" s="28">
        <f t="shared" si="311"/>
        <v>0</v>
      </c>
      <c r="EC60" s="28">
        <f t="shared" si="311"/>
        <v>0</v>
      </c>
      <c r="ED60" s="28">
        <f t="shared" si="311"/>
        <v>0</v>
      </c>
      <c r="EE60" s="28">
        <f t="shared" si="311"/>
        <v>0</v>
      </c>
      <c r="EF60" s="28">
        <f t="shared" si="311"/>
        <v>0</v>
      </c>
      <c r="EG60" s="28">
        <f t="shared" si="311"/>
        <v>0</v>
      </c>
      <c r="EH60" s="28">
        <f t="shared" si="311"/>
        <v>0</v>
      </c>
      <c r="EI60" s="58">
        <f t="shared" si="311"/>
        <v>0</v>
      </c>
      <c r="EJ60" s="6" t="str">
        <f t="shared" si="71"/>
        <v>Other Source of Income</v>
      </c>
      <c r="EK60" s="28">
        <f t="shared" ref="EK60:EV60" si="312">+SUM(EK61:EK69)</f>
        <v>0</v>
      </c>
      <c r="EL60" s="28">
        <f t="shared" si="312"/>
        <v>0</v>
      </c>
      <c r="EM60" s="28">
        <f t="shared" si="312"/>
        <v>0</v>
      </c>
      <c r="EN60" s="28">
        <f t="shared" si="312"/>
        <v>0</v>
      </c>
      <c r="EO60" s="28">
        <f t="shared" si="312"/>
        <v>6731</v>
      </c>
      <c r="EP60" s="28">
        <f t="shared" si="312"/>
        <v>0</v>
      </c>
      <c r="EQ60" s="28">
        <f t="shared" si="312"/>
        <v>9621</v>
      </c>
      <c r="ER60" s="28">
        <f t="shared" si="312"/>
        <v>0</v>
      </c>
      <c r="ES60" s="28">
        <f t="shared" si="312"/>
        <v>0</v>
      </c>
      <c r="ET60" s="28">
        <f t="shared" si="312"/>
        <v>3564.2465999999999</v>
      </c>
      <c r="EU60" s="28">
        <f t="shared" si="312"/>
        <v>0</v>
      </c>
      <c r="EV60" s="28">
        <f t="shared" si="312"/>
        <v>0</v>
      </c>
      <c r="EW60" s="28">
        <f t="shared" ref="EW60" si="313">+SUM(EW61:EW69)</f>
        <v>19916.246599999999</v>
      </c>
      <c r="EX60" s="118">
        <f t="shared" si="153"/>
        <v>0</v>
      </c>
      <c r="EY60" s="28">
        <f t="shared" ref="EY60:FK60" si="314">+SUM(EY61:EY69)</f>
        <v>0</v>
      </c>
      <c r="EZ60" s="28">
        <f t="shared" si="314"/>
        <v>0</v>
      </c>
      <c r="FA60" s="28">
        <f t="shared" si="314"/>
        <v>0</v>
      </c>
      <c r="FB60" s="28">
        <f t="shared" si="314"/>
        <v>0</v>
      </c>
      <c r="FC60" s="28">
        <f t="shared" si="314"/>
        <v>0</v>
      </c>
      <c r="FD60" s="28">
        <f t="shared" si="314"/>
        <v>0</v>
      </c>
      <c r="FE60" s="28">
        <f t="shared" si="314"/>
        <v>0</v>
      </c>
      <c r="FF60" s="28">
        <f t="shared" si="314"/>
        <v>0</v>
      </c>
      <c r="FG60" s="28">
        <f t="shared" si="314"/>
        <v>0</v>
      </c>
      <c r="FH60" s="28">
        <f t="shared" si="314"/>
        <v>0</v>
      </c>
      <c r="FI60" s="28">
        <f t="shared" si="314"/>
        <v>0</v>
      </c>
      <c r="FJ60" s="28">
        <f t="shared" si="314"/>
        <v>0</v>
      </c>
      <c r="FK60" s="58">
        <f t="shared" si="314"/>
        <v>0</v>
      </c>
    </row>
    <row r="61" spans="1:167" ht="14.45" hidden="1" customHeight="1" outlineLevel="1">
      <c r="A61" s="106">
        <f t="shared" ref="A61:L69" si="315">+AQ61+CG61+DW61</f>
        <v>0</v>
      </c>
      <c r="B61" s="106">
        <f t="shared" si="315"/>
        <v>0</v>
      </c>
      <c r="C61" s="106">
        <f t="shared" si="315"/>
        <v>0</v>
      </c>
      <c r="D61" s="106">
        <f t="shared" si="315"/>
        <v>0</v>
      </c>
      <c r="E61" s="106">
        <f t="shared" si="315"/>
        <v>0</v>
      </c>
      <c r="F61" s="106">
        <f t="shared" si="315"/>
        <v>0</v>
      </c>
      <c r="G61" s="106">
        <f t="shared" si="315"/>
        <v>0</v>
      </c>
      <c r="H61" s="106">
        <f t="shared" si="315"/>
        <v>0</v>
      </c>
      <c r="I61" s="106">
        <f t="shared" si="315"/>
        <v>0</v>
      </c>
      <c r="J61" s="106">
        <f t="shared" si="315"/>
        <v>0</v>
      </c>
      <c r="K61" s="106">
        <f t="shared" si="315"/>
        <v>0</v>
      </c>
      <c r="L61" s="106">
        <f t="shared" si="315"/>
        <v>0</v>
      </c>
      <c r="M61" s="106">
        <f t="shared" ref="M61:M69" si="316">+SUM(A61:L61)</f>
        <v>0</v>
      </c>
      <c r="N61" s="7" t="s">
        <v>47</v>
      </c>
      <c r="O61" s="22">
        <f t="shared" ref="O61:Z69" si="317">+BE61+CU61+EK61</f>
        <v>0</v>
      </c>
      <c r="P61" s="22">
        <f t="shared" si="317"/>
        <v>0</v>
      </c>
      <c r="Q61" s="22">
        <f t="shared" si="317"/>
        <v>0</v>
      </c>
      <c r="R61" s="22">
        <f t="shared" si="317"/>
        <v>0</v>
      </c>
      <c r="S61" s="22">
        <f t="shared" si="317"/>
        <v>0</v>
      </c>
      <c r="T61" s="22">
        <f t="shared" si="317"/>
        <v>0</v>
      </c>
      <c r="U61" s="22">
        <f t="shared" si="317"/>
        <v>0</v>
      </c>
      <c r="V61" s="22">
        <f t="shared" si="317"/>
        <v>0</v>
      </c>
      <c r="W61" s="22">
        <f t="shared" si="317"/>
        <v>0</v>
      </c>
      <c r="X61" s="22">
        <f t="shared" si="317"/>
        <v>0</v>
      </c>
      <c r="Y61" s="22">
        <f t="shared" si="317"/>
        <v>0</v>
      </c>
      <c r="Z61" s="22">
        <f t="shared" si="317"/>
        <v>0</v>
      </c>
      <c r="AA61" s="22">
        <f t="shared" ref="AA61:AA69" si="318">+SUM(O61:Z61)</f>
        <v>0</v>
      </c>
      <c r="AB61" s="118">
        <f t="shared" si="140"/>
        <v>0</v>
      </c>
      <c r="AC61" s="22">
        <f t="shared" ref="AC61:AN69" si="319">+BS61+DI61+EY61</f>
        <v>0</v>
      </c>
      <c r="AD61" s="22">
        <f t="shared" si="319"/>
        <v>0</v>
      </c>
      <c r="AE61" s="22">
        <f t="shared" si="319"/>
        <v>0</v>
      </c>
      <c r="AF61" s="22">
        <f t="shared" si="319"/>
        <v>0</v>
      </c>
      <c r="AG61" s="22">
        <f t="shared" si="319"/>
        <v>0</v>
      </c>
      <c r="AH61" s="22">
        <f t="shared" si="319"/>
        <v>0</v>
      </c>
      <c r="AI61" s="22">
        <f t="shared" si="319"/>
        <v>0</v>
      </c>
      <c r="AJ61" s="22">
        <f t="shared" si="319"/>
        <v>0</v>
      </c>
      <c r="AK61" s="22">
        <f t="shared" si="319"/>
        <v>0</v>
      </c>
      <c r="AL61" s="22">
        <f t="shared" si="319"/>
        <v>0</v>
      </c>
      <c r="AM61" s="22">
        <f t="shared" si="319"/>
        <v>0</v>
      </c>
      <c r="AN61" s="22">
        <f t="shared" si="319"/>
        <v>0</v>
      </c>
      <c r="AO61" s="22">
        <f t="shared" ref="AO61:AO69" si="320">+SUM(AC61:AN61)</f>
        <v>0</v>
      </c>
      <c r="AQ61" s="106">
        <v>0</v>
      </c>
      <c r="AR61" s="106">
        <v>0</v>
      </c>
      <c r="AS61" s="106">
        <v>0</v>
      </c>
      <c r="AT61" s="106">
        <v>0</v>
      </c>
      <c r="AU61" s="106">
        <v>0</v>
      </c>
      <c r="AV61" s="106">
        <v>0</v>
      </c>
      <c r="AW61" s="106">
        <v>0</v>
      </c>
      <c r="AX61" s="106">
        <v>0</v>
      </c>
      <c r="AY61" s="106">
        <v>0</v>
      </c>
      <c r="AZ61" s="106">
        <v>0</v>
      </c>
      <c r="BA61" s="106">
        <v>0</v>
      </c>
      <c r="BB61" s="106">
        <v>0</v>
      </c>
      <c r="BC61" s="106">
        <f t="shared" ref="BC61:BC69" si="321">+SUM(AQ61:BB61)</f>
        <v>0</v>
      </c>
      <c r="BD61" s="7" t="str">
        <f t="shared" si="7"/>
        <v>Insurance Commission</v>
      </c>
      <c r="BE61" s="22">
        <f>+VLOOKUP($BD61,'Jan-25'!$A:$J,4,0)</f>
        <v>0</v>
      </c>
      <c r="BF61" s="22">
        <f>+VLOOKUP($BD61,'Feb-25'!$A:$J,4,0)</f>
        <v>0</v>
      </c>
      <c r="BG61" s="22">
        <f>+VLOOKUP($BD61,'Mar-25'!$A:$J,4,0)</f>
        <v>0</v>
      </c>
      <c r="BH61" s="22">
        <f>+VLOOKUP($BD61,'Apr-25'!$A:$J,4,0)</f>
        <v>0</v>
      </c>
      <c r="BI61" s="22">
        <f>+VLOOKUP($BD61,'May-25'!$A:$J,4,0)</f>
        <v>0</v>
      </c>
      <c r="BJ61" s="22">
        <f>+VLOOKUP($BD61,'June-25'!$A:$J,4,0)</f>
        <v>0</v>
      </c>
      <c r="BK61" s="22">
        <f>+VLOOKUP($BD61,'July-25'!$A:$J,4,0)</f>
        <v>0</v>
      </c>
      <c r="BL61" s="22">
        <f>+VLOOKUP($BD61,'Aug-25'!$A:$J,4,0)</f>
        <v>0</v>
      </c>
      <c r="BM61" s="22">
        <f>+VLOOKUP($BD61,'Sep-25'!$A:$J,4,0)</f>
        <v>0</v>
      </c>
      <c r="BN61" s="22">
        <f>+VLOOKUP($BD61,'Oct-25'!$A:$J,4,0)</f>
        <v>0</v>
      </c>
      <c r="BO61" s="22">
        <f>+VLOOKUP($BD61,'Nov-25'!$A:$J,4,0)</f>
        <v>0</v>
      </c>
      <c r="BP61" s="22">
        <f>+VLOOKUP($BD61,'Dec-25'!$A:$J,4,0)</f>
        <v>0</v>
      </c>
      <c r="BQ61" s="22">
        <f t="shared" ref="BQ61:BQ69" si="322">+SUM(BE61:BP61)</f>
        <v>0</v>
      </c>
      <c r="BR61" s="118">
        <f t="shared" si="145"/>
        <v>0</v>
      </c>
      <c r="BS61" s="106">
        <f>+_xlfn.XLOOKUP($BD61,Budget!$A:$A,Budget!AQ:AQ)</f>
        <v>0</v>
      </c>
      <c r="BT61" s="106">
        <f>+_xlfn.XLOOKUP($BD61,Budget!$A:$A,Budget!AR:AR)</f>
        <v>0</v>
      </c>
      <c r="BU61" s="106">
        <f>+_xlfn.XLOOKUP($BD61,Budget!$A:$A,Budget!AS:AS)</f>
        <v>0</v>
      </c>
      <c r="BV61" s="106">
        <f>+_xlfn.XLOOKUP($BD61,Budget!$A:$A,Budget!AT:AT)</f>
        <v>0</v>
      </c>
      <c r="BW61" s="106">
        <f>+_xlfn.XLOOKUP($BD61,Budget!$A:$A,Budget!AU:AU)</f>
        <v>0</v>
      </c>
      <c r="BX61" s="106">
        <f>+_xlfn.XLOOKUP($BD61,Budget!$A:$A,Budget!AV:AV)</f>
        <v>0</v>
      </c>
      <c r="BY61" s="106">
        <f>+_xlfn.XLOOKUP($BD61,Budget!$A:$A,Budget!AW:AW)</f>
        <v>0</v>
      </c>
      <c r="BZ61" s="106">
        <f>+_xlfn.XLOOKUP($BD61,Budget!$A:$A,Budget!AX:AX)</f>
        <v>0</v>
      </c>
      <c r="CA61" s="106">
        <f>+_xlfn.XLOOKUP($BD61,Budget!$A:$A,Budget!AY:AY)</f>
        <v>0</v>
      </c>
      <c r="CB61" s="106">
        <f>+_xlfn.XLOOKUP($BD61,Budget!$A:$A,Budget!AZ:AZ)</f>
        <v>0</v>
      </c>
      <c r="CC61" s="106">
        <f>+_xlfn.XLOOKUP($BD61,Budget!$A:$A,Budget!BA:BA)</f>
        <v>0</v>
      </c>
      <c r="CD61" s="106">
        <f>+_xlfn.XLOOKUP($BD61,Budget!$A:$A,Budget!BB:BB)</f>
        <v>0</v>
      </c>
      <c r="CE61" s="106">
        <f t="shared" ref="CE61:CE69" si="323">+SUM(BS61:CD61)</f>
        <v>0</v>
      </c>
      <c r="CF61" s="22"/>
      <c r="CG61" s="22">
        <v>0</v>
      </c>
      <c r="CH61" s="22">
        <v>0</v>
      </c>
      <c r="CI61" s="22">
        <v>0</v>
      </c>
      <c r="CJ61" s="22">
        <v>0</v>
      </c>
      <c r="CK61" s="22">
        <v>0</v>
      </c>
      <c r="CL61" s="22">
        <v>0</v>
      </c>
      <c r="CM61" s="22">
        <v>0</v>
      </c>
      <c r="CN61" s="22">
        <v>0</v>
      </c>
      <c r="CO61" s="22">
        <v>0</v>
      </c>
      <c r="CP61" s="22">
        <v>0</v>
      </c>
      <c r="CQ61" s="22">
        <v>0</v>
      </c>
      <c r="CR61" s="22">
        <v>0</v>
      </c>
      <c r="CS61" s="106">
        <f t="shared" ref="CS61:CS69" si="324">+SUM(CG61:CR61)</f>
        <v>0</v>
      </c>
      <c r="CT61" s="7" t="str">
        <f t="shared" si="11"/>
        <v>Insurance Commission</v>
      </c>
      <c r="CU61" s="22">
        <f>+VLOOKUP($BD61,'Jan-25'!$A:$J,7,0)</f>
        <v>0</v>
      </c>
      <c r="CV61" s="22">
        <f>+VLOOKUP($BD61,'Feb-25'!$A:$J,7,0)</f>
        <v>0</v>
      </c>
      <c r="CW61" s="22">
        <f>+VLOOKUP($BD61,'Mar-25'!$A:$J,7,0)</f>
        <v>0</v>
      </c>
      <c r="CX61" s="22">
        <f>+VLOOKUP($BD61,'Apr-25'!$A:$J,7,0)</f>
        <v>0</v>
      </c>
      <c r="CY61" s="22">
        <f>+VLOOKUP($BD61,'May-25'!$A:$J,7,0)</f>
        <v>0</v>
      </c>
      <c r="CZ61" s="22">
        <f>+VLOOKUP($BD61,'June-25'!$A:$J,7,0)</f>
        <v>0</v>
      </c>
      <c r="DA61" s="22">
        <f>+VLOOKUP($BD61,'July-25'!$A:$J,7,0)</f>
        <v>0</v>
      </c>
      <c r="DB61" s="22">
        <f>+VLOOKUP($BD61,'Aug-25'!$A:$J,7,0)</f>
        <v>0</v>
      </c>
      <c r="DC61" s="22">
        <f>+VLOOKUP($BD61,'Sep-25'!$A:$J,7,0)</f>
        <v>0</v>
      </c>
      <c r="DD61" s="22">
        <f>+VLOOKUP($BD61,'Oct-25'!$A:$J,7,0)</f>
        <v>0</v>
      </c>
      <c r="DE61" s="22">
        <f>+VLOOKUP($BD61,'Nov-25'!$A:$J,7,0)</f>
        <v>0</v>
      </c>
      <c r="DF61" s="22">
        <f>+VLOOKUP($BD61,'Dec-25'!$A:$J,7,0)</f>
        <v>0</v>
      </c>
      <c r="DG61" s="22">
        <f t="shared" ref="DG61:DG69" si="325">+SUM(CU61:DF61)</f>
        <v>0</v>
      </c>
      <c r="DH61" s="118">
        <f t="shared" si="149"/>
        <v>0</v>
      </c>
      <c r="DI61" s="22">
        <f>+_xlfn.XLOOKUP($CT61,Budget!$A:$A,Budget!CD:CD)</f>
        <v>0</v>
      </c>
      <c r="DJ61" s="22">
        <f>+_xlfn.XLOOKUP($CT61,Budget!$A:$A,Budget!CE:CE)</f>
        <v>0</v>
      </c>
      <c r="DK61" s="22">
        <f>+_xlfn.XLOOKUP($CT61,Budget!$A:$A,Budget!CF:CF)</f>
        <v>0</v>
      </c>
      <c r="DL61" s="22">
        <f>+_xlfn.XLOOKUP($CT61,Budget!$A:$A,Budget!CG:CG)</f>
        <v>0</v>
      </c>
      <c r="DM61" s="22">
        <f>+_xlfn.XLOOKUP($CT61,Budget!$A:$A,Budget!CH:CH)</f>
        <v>0</v>
      </c>
      <c r="DN61" s="22">
        <f>+_xlfn.XLOOKUP($CT61,Budget!$A:$A,Budget!CI:CI)</f>
        <v>0</v>
      </c>
      <c r="DO61" s="22">
        <f>+_xlfn.XLOOKUP($CT61,Budget!$A:$A,Budget!CJ:CJ)</f>
        <v>0</v>
      </c>
      <c r="DP61" s="22">
        <f>+_xlfn.XLOOKUP($CT61,Budget!$A:$A,Budget!CK:CK)</f>
        <v>0</v>
      </c>
      <c r="DQ61" s="22">
        <f>+_xlfn.XLOOKUP($CT61,Budget!$A:$A,Budget!CL:CL)</f>
        <v>0</v>
      </c>
      <c r="DR61" s="22">
        <f>+_xlfn.XLOOKUP($CT61,Budget!$A:$A,Budget!CM:CM)</f>
        <v>0</v>
      </c>
      <c r="DS61" s="22">
        <f>+_xlfn.XLOOKUP($CT61,Budget!$A:$A,Budget!CN:CN)</f>
        <v>0</v>
      </c>
      <c r="DT61" s="22">
        <f>+_xlfn.XLOOKUP($CT61,Budget!$A:$A,Budget!CO:CO)</f>
        <v>0</v>
      </c>
      <c r="DU61" s="106">
        <f t="shared" ref="DU61:DU69" si="326">+SUM(DI61:DT61)</f>
        <v>0</v>
      </c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106">
        <f t="shared" ref="EI61:EI69" si="327">+SUM(DW61:EH61)</f>
        <v>0</v>
      </c>
      <c r="EJ61" s="7" t="str">
        <f t="shared" si="71"/>
        <v>Insurance Commission</v>
      </c>
      <c r="EK61" s="22">
        <f>+VLOOKUP($BD61,'Jan-25'!$A:$J,9,0)</f>
        <v>0</v>
      </c>
      <c r="EL61" s="22">
        <f>+VLOOKUP($BD61,'Feb-25'!$A:$J,9,0)</f>
        <v>0</v>
      </c>
      <c r="EM61" s="22">
        <f>+VLOOKUP($BD61,'Mar-25'!$A:$J,9,0)</f>
        <v>0</v>
      </c>
      <c r="EN61" s="22">
        <f>+VLOOKUP($BD61,'Apr-25'!$A:$J,9,0)</f>
        <v>0</v>
      </c>
      <c r="EO61" s="22">
        <f>+VLOOKUP($BD61,'May-25'!$A:$J,9,0)</f>
        <v>0</v>
      </c>
      <c r="EP61" s="22">
        <f>+VLOOKUP($BD61,'June-25'!$A:$J,9,0)</f>
        <v>0</v>
      </c>
      <c r="EQ61" s="22">
        <f>+VLOOKUP($BD61,'July-25'!$A:$J,9,0)</f>
        <v>0</v>
      </c>
      <c r="ER61" s="22">
        <f>+VLOOKUP($BD61,'Aug-25'!$A:$J,9,0)</f>
        <v>0</v>
      </c>
      <c r="ES61" s="22">
        <f>+VLOOKUP($BD61,'Sep-25'!$A:$J,9,0)</f>
        <v>0</v>
      </c>
      <c r="ET61" s="22">
        <f>+VLOOKUP($BD61,'Oct-25'!$A:$J,9,0)</f>
        <v>0</v>
      </c>
      <c r="EU61" s="22">
        <f>+VLOOKUP($BD61,'Nov-25'!$A:$J,9,0)</f>
        <v>0</v>
      </c>
      <c r="EV61" s="22">
        <f>+VLOOKUP($BD61,'Dec-25'!$A:$J,9,0)</f>
        <v>0</v>
      </c>
      <c r="EW61" s="22">
        <f t="shared" ref="EW61:EW69" si="328">+SUM(EK61:EV61)</f>
        <v>0</v>
      </c>
      <c r="EX61" s="118">
        <f t="shared" si="153"/>
        <v>0</v>
      </c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106">
        <f t="shared" ref="FK61:FK69" si="329">+SUM(EY61:FJ61)</f>
        <v>0</v>
      </c>
    </row>
    <row r="62" spans="1:167" ht="14.45" hidden="1" customHeight="1" outlineLevel="1">
      <c r="A62" s="106">
        <f t="shared" si="315"/>
        <v>0</v>
      </c>
      <c r="B62" s="106">
        <f t="shared" si="315"/>
        <v>0</v>
      </c>
      <c r="C62" s="106">
        <f t="shared" si="315"/>
        <v>0</v>
      </c>
      <c r="D62" s="106">
        <f t="shared" si="315"/>
        <v>0</v>
      </c>
      <c r="E62" s="106">
        <f t="shared" si="315"/>
        <v>0</v>
      </c>
      <c r="F62" s="106">
        <f t="shared" si="315"/>
        <v>0</v>
      </c>
      <c r="G62" s="106">
        <f t="shared" si="315"/>
        <v>0</v>
      </c>
      <c r="H62" s="106">
        <f t="shared" si="315"/>
        <v>0</v>
      </c>
      <c r="I62" s="106">
        <f t="shared" si="315"/>
        <v>0</v>
      </c>
      <c r="J62" s="106">
        <f t="shared" si="315"/>
        <v>0</v>
      </c>
      <c r="K62" s="106">
        <f t="shared" si="315"/>
        <v>0</v>
      </c>
      <c r="L62" s="106">
        <f t="shared" si="315"/>
        <v>0</v>
      </c>
      <c r="M62" s="106">
        <f t="shared" si="316"/>
        <v>0</v>
      </c>
      <c r="N62" s="7" t="s">
        <v>48</v>
      </c>
      <c r="O62" s="22">
        <f t="shared" si="317"/>
        <v>0</v>
      </c>
      <c r="P62" s="22">
        <f t="shared" si="317"/>
        <v>0</v>
      </c>
      <c r="Q62" s="22">
        <f t="shared" si="317"/>
        <v>0</v>
      </c>
      <c r="R62" s="22">
        <f t="shared" si="317"/>
        <v>0</v>
      </c>
      <c r="S62" s="22">
        <f t="shared" si="317"/>
        <v>0</v>
      </c>
      <c r="T62" s="22">
        <f t="shared" si="317"/>
        <v>0</v>
      </c>
      <c r="U62" s="22">
        <f t="shared" si="317"/>
        <v>0</v>
      </c>
      <c r="V62" s="22">
        <f t="shared" si="317"/>
        <v>0</v>
      </c>
      <c r="W62" s="22">
        <f t="shared" si="317"/>
        <v>0</v>
      </c>
      <c r="X62" s="22">
        <f t="shared" si="317"/>
        <v>0</v>
      </c>
      <c r="Y62" s="22">
        <f t="shared" si="317"/>
        <v>0</v>
      </c>
      <c r="Z62" s="22">
        <f t="shared" si="317"/>
        <v>0</v>
      </c>
      <c r="AA62" s="22">
        <f t="shared" si="318"/>
        <v>0</v>
      </c>
      <c r="AB62" s="118">
        <f t="shared" si="140"/>
        <v>0</v>
      </c>
      <c r="AC62" s="22">
        <f t="shared" si="319"/>
        <v>0</v>
      </c>
      <c r="AD62" s="22">
        <f t="shared" si="319"/>
        <v>0</v>
      </c>
      <c r="AE62" s="22">
        <f t="shared" si="319"/>
        <v>0</v>
      </c>
      <c r="AF62" s="22">
        <f t="shared" si="319"/>
        <v>0</v>
      </c>
      <c r="AG62" s="22">
        <f t="shared" si="319"/>
        <v>0</v>
      </c>
      <c r="AH62" s="22">
        <f t="shared" si="319"/>
        <v>0</v>
      </c>
      <c r="AI62" s="22">
        <f t="shared" si="319"/>
        <v>0</v>
      </c>
      <c r="AJ62" s="22">
        <f t="shared" si="319"/>
        <v>0</v>
      </c>
      <c r="AK62" s="22">
        <f t="shared" si="319"/>
        <v>0</v>
      </c>
      <c r="AL62" s="22">
        <f t="shared" si="319"/>
        <v>0</v>
      </c>
      <c r="AM62" s="22">
        <f t="shared" si="319"/>
        <v>0</v>
      </c>
      <c r="AN62" s="22">
        <f t="shared" si="319"/>
        <v>0</v>
      </c>
      <c r="AO62" s="22">
        <f t="shared" si="320"/>
        <v>0</v>
      </c>
      <c r="AQ62" s="106">
        <v>0</v>
      </c>
      <c r="AR62" s="106">
        <v>0</v>
      </c>
      <c r="AS62" s="106">
        <v>0</v>
      </c>
      <c r="AT62" s="106">
        <v>0</v>
      </c>
      <c r="AU62" s="106">
        <v>0</v>
      </c>
      <c r="AV62" s="106">
        <v>0</v>
      </c>
      <c r="AW62" s="106">
        <v>0</v>
      </c>
      <c r="AX62" s="106">
        <v>0</v>
      </c>
      <c r="AY62" s="106">
        <v>0</v>
      </c>
      <c r="AZ62" s="106">
        <v>0</v>
      </c>
      <c r="BA62" s="106">
        <v>0</v>
      </c>
      <c r="BB62" s="106">
        <v>0</v>
      </c>
      <c r="BC62" s="106">
        <f t="shared" si="321"/>
        <v>0</v>
      </c>
      <c r="BD62" s="7" t="str">
        <f t="shared" si="7"/>
        <v>Insurance Renewal</v>
      </c>
      <c r="BE62" s="22">
        <f>+VLOOKUP($BD62,'Jan-25'!$A:$J,4,0)</f>
        <v>0</v>
      </c>
      <c r="BF62" s="22">
        <f>+VLOOKUP($BD62,'Feb-25'!$A:$J,4,0)</f>
        <v>0</v>
      </c>
      <c r="BG62" s="22">
        <f>+VLOOKUP($BD62,'Mar-25'!$A:$J,4,0)</f>
        <v>0</v>
      </c>
      <c r="BH62" s="22">
        <f>+VLOOKUP($BD62,'Apr-25'!$A:$J,4,0)</f>
        <v>0</v>
      </c>
      <c r="BI62" s="22">
        <f>+VLOOKUP($BD62,'May-25'!$A:$J,4,0)</f>
        <v>0</v>
      </c>
      <c r="BJ62" s="22">
        <f>+VLOOKUP($BD62,'June-25'!$A:$J,4,0)</f>
        <v>0</v>
      </c>
      <c r="BK62" s="22">
        <f>+VLOOKUP($BD62,'July-25'!$A:$J,4,0)</f>
        <v>0</v>
      </c>
      <c r="BL62" s="22">
        <f>+VLOOKUP($BD62,'Aug-25'!$A:$J,4,0)</f>
        <v>0</v>
      </c>
      <c r="BM62" s="22">
        <f>+VLOOKUP($BD62,'Sep-25'!$A:$J,4,0)</f>
        <v>0</v>
      </c>
      <c r="BN62" s="22">
        <f>+VLOOKUP($BD62,'Oct-25'!$A:$J,4,0)</f>
        <v>0</v>
      </c>
      <c r="BO62" s="22">
        <f>+VLOOKUP($BD62,'Nov-25'!$A:$J,4,0)</f>
        <v>0</v>
      </c>
      <c r="BP62" s="22">
        <f>+VLOOKUP($BD62,'Dec-25'!$A:$J,4,0)</f>
        <v>0</v>
      </c>
      <c r="BQ62" s="22">
        <f t="shared" si="322"/>
        <v>0</v>
      </c>
      <c r="BR62" s="118">
        <f t="shared" si="145"/>
        <v>0</v>
      </c>
      <c r="BS62" s="106">
        <f>+_xlfn.XLOOKUP($BD62,Budget!$A:$A,Budget!AQ:AQ)</f>
        <v>0</v>
      </c>
      <c r="BT62" s="106">
        <f>+_xlfn.XLOOKUP($BD62,Budget!$A:$A,Budget!AR:AR)</f>
        <v>0</v>
      </c>
      <c r="BU62" s="106">
        <f>+_xlfn.XLOOKUP($BD62,Budget!$A:$A,Budget!AS:AS)</f>
        <v>0</v>
      </c>
      <c r="BV62" s="106">
        <f>+_xlfn.XLOOKUP($BD62,Budget!$A:$A,Budget!AT:AT)</f>
        <v>0</v>
      </c>
      <c r="BW62" s="106">
        <f>+_xlfn.XLOOKUP($BD62,Budget!$A:$A,Budget!AU:AU)</f>
        <v>0</v>
      </c>
      <c r="BX62" s="106">
        <f>+_xlfn.XLOOKUP($BD62,Budget!$A:$A,Budget!AV:AV)</f>
        <v>0</v>
      </c>
      <c r="BY62" s="106">
        <f>+_xlfn.XLOOKUP($BD62,Budget!$A:$A,Budget!AW:AW)</f>
        <v>0</v>
      </c>
      <c r="BZ62" s="106">
        <f>+_xlfn.XLOOKUP($BD62,Budget!$A:$A,Budget!AX:AX)</f>
        <v>0</v>
      </c>
      <c r="CA62" s="106">
        <f>+_xlfn.XLOOKUP($BD62,Budget!$A:$A,Budget!AY:AY)</f>
        <v>0</v>
      </c>
      <c r="CB62" s="106">
        <f>+_xlfn.XLOOKUP($BD62,Budget!$A:$A,Budget!AZ:AZ)</f>
        <v>0</v>
      </c>
      <c r="CC62" s="106">
        <f>+_xlfn.XLOOKUP($BD62,Budget!$A:$A,Budget!BA:BA)</f>
        <v>0</v>
      </c>
      <c r="CD62" s="106">
        <f>+_xlfn.XLOOKUP($BD62,Budget!$A:$A,Budget!BB:BB)</f>
        <v>0</v>
      </c>
      <c r="CE62" s="106">
        <f t="shared" si="323"/>
        <v>0</v>
      </c>
      <c r="CF62" s="22"/>
      <c r="CG62" s="22">
        <v>0</v>
      </c>
      <c r="CH62" s="22">
        <v>0</v>
      </c>
      <c r="CI62" s="22">
        <v>0</v>
      </c>
      <c r="CJ62" s="22">
        <v>0</v>
      </c>
      <c r="CK62" s="22">
        <v>0</v>
      </c>
      <c r="CL62" s="22">
        <v>0</v>
      </c>
      <c r="CM62" s="22">
        <v>0</v>
      </c>
      <c r="CN62" s="22">
        <v>0</v>
      </c>
      <c r="CO62" s="22">
        <v>0</v>
      </c>
      <c r="CP62" s="22">
        <v>0</v>
      </c>
      <c r="CQ62" s="22">
        <v>0</v>
      </c>
      <c r="CR62" s="22">
        <v>0</v>
      </c>
      <c r="CS62" s="106">
        <f t="shared" si="324"/>
        <v>0</v>
      </c>
      <c r="CT62" s="7" t="str">
        <f t="shared" si="11"/>
        <v>Insurance Renewal</v>
      </c>
      <c r="CU62" s="22">
        <f>+VLOOKUP($BD62,'Jan-25'!$A:$J,7,0)</f>
        <v>0</v>
      </c>
      <c r="CV62" s="22">
        <f>+VLOOKUP($BD62,'Feb-25'!$A:$J,7,0)</f>
        <v>0</v>
      </c>
      <c r="CW62" s="22">
        <f>+VLOOKUP($BD62,'Mar-25'!$A:$J,7,0)</f>
        <v>0</v>
      </c>
      <c r="CX62" s="22">
        <f>+VLOOKUP($BD62,'Apr-25'!$A:$J,7,0)</f>
        <v>0</v>
      </c>
      <c r="CY62" s="22">
        <f>+VLOOKUP($BD62,'May-25'!$A:$J,7,0)</f>
        <v>0</v>
      </c>
      <c r="CZ62" s="22">
        <f>+VLOOKUP($BD62,'June-25'!$A:$J,7,0)</f>
        <v>0</v>
      </c>
      <c r="DA62" s="22">
        <f>+VLOOKUP($BD62,'July-25'!$A:$J,7,0)</f>
        <v>0</v>
      </c>
      <c r="DB62" s="22">
        <f>+VLOOKUP($BD62,'Aug-25'!$A:$J,7,0)</f>
        <v>0</v>
      </c>
      <c r="DC62" s="22">
        <f>+VLOOKUP($BD62,'Sep-25'!$A:$J,7,0)</f>
        <v>0</v>
      </c>
      <c r="DD62" s="22">
        <f>+VLOOKUP($BD62,'Oct-25'!$A:$J,7,0)</f>
        <v>0</v>
      </c>
      <c r="DE62" s="22">
        <f>+VLOOKUP($BD62,'Nov-25'!$A:$J,7,0)</f>
        <v>0</v>
      </c>
      <c r="DF62" s="22">
        <f>+VLOOKUP($BD62,'Dec-25'!$A:$J,7,0)</f>
        <v>0</v>
      </c>
      <c r="DG62" s="22">
        <f t="shared" si="325"/>
        <v>0</v>
      </c>
      <c r="DH62" s="118">
        <f t="shared" si="149"/>
        <v>0</v>
      </c>
      <c r="DI62" s="22">
        <f>+_xlfn.XLOOKUP($CT62,Budget!$A:$A,Budget!CD:CD)</f>
        <v>0</v>
      </c>
      <c r="DJ62" s="22">
        <f>+_xlfn.XLOOKUP($CT62,Budget!$A:$A,Budget!CE:CE)</f>
        <v>0</v>
      </c>
      <c r="DK62" s="22">
        <f>+_xlfn.XLOOKUP($CT62,Budget!$A:$A,Budget!CF:CF)</f>
        <v>0</v>
      </c>
      <c r="DL62" s="22">
        <f>+_xlfn.XLOOKUP($CT62,Budget!$A:$A,Budget!CG:CG)</f>
        <v>0</v>
      </c>
      <c r="DM62" s="22">
        <f>+_xlfn.XLOOKUP($CT62,Budget!$A:$A,Budget!CH:CH)</f>
        <v>0</v>
      </c>
      <c r="DN62" s="22">
        <f>+_xlfn.XLOOKUP($CT62,Budget!$A:$A,Budget!CI:CI)</f>
        <v>0</v>
      </c>
      <c r="DO62" s="22">
        <f>+_xlfn.XLOOKUP($CT62,Budget!$A:$A,Budget!CJ:CJ)</f>
        <v>0</v>
      </c>
      <c r="DP62" s="22">
        <f>+_xlfn.XLOOKUP($CT62,Budget!$A:$A,Budget!CK:CK)</f>
        <v>0</v>
      </c>
      <c r="DQ62" s="22">
        <f>+_xlfn.XLOOKUP($CT62,Budget!$A:$A,Budget!CL:CL)</f>
        <v>0</v>
      </c>
      <c r="DR62" s="22">
        <f>+_xlfn.XLOOKUP($CT62,Budget!$A:$A,Budget!CM:CM)</f>
        <v>0</v>
      </c>
      <c r="DS62" s="22">
        <f>+_xlfn.XLOOKUP($CT62,Budget!$A:$A,Budget!CN:CN)</f>
        <v>0</v>
      </c>
      <c r="DT62" s="22">
        <f>+_xlfn.XLOOKUP($CT62,Budget!$A:$A,Budget!CO:CO)</f>
        <v>0</v>
      </c>
      <c r="DU62" s="106">
        <f t="shared" si="326"/>
        <v>0</v>
      </c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106">
        <f t="shared" si="327"/>
        <v>0</v>
      </c>
      <c r="EJ62" s="7" t="str">
        <f t="shared" si="71"/>
        <v>Insurance Renewal</v>
      </c>
      <c r="EK62" s="22">
        <f>+VLOOKUP($BD62,'Jan-25'!$A:$J,9,0)</f>
        <v>0</v>
      </c>
      <c r="EL62" s="22">
        <f>+VLOOKUP($BD62,'Feb-25'!$A:$J,9,0)</f>
        <v>0</v>
      </c>
      <c r="EM62" s="22">
        <f>+VLOOKUP($BD62,'Mar-25'!$A:$J,9,0)</f>
        <v>0</v>
      </c>
      <c r="EN62" s="22">
        <f>+VLOOKUP($BD62,'Apr-25'!$A:$J,9,0)</f>
        <v>0</v>
      </c>
      <c r="EO62" s="22">
        <f>+VLOOKUP($BD62,'May-25'!$A:$J,9,0)</f>
        <v>0</v>
      </c>
      <c r="EP62" s="22">
        <f>+VLOOKUP($BD62,'June-25'!$A:$J,9,0)</f>
        <v>0</v>
      </c>
      <c r="EQ62" s="22">
        <f>+VLOOKUP($BD62,'July-25'!$A:$J,9,0)</f>
        <v>0</v>
      </c>
      <c r="ER62" s="22">
        <f>+VLOOKUP($BD62,'Aug-25'!$A:$J,9,0)</f>
        <v>0</v>
      </c>
      <c r="ES62" s="22">
        <f>+VLOOKUP($BD62,'Sep-25'!$A:$J,9,0)</f>
        <v>0</v>
      </c>
      <c r="ET62" s="22">
        <f>+VLOOKUP($BD62,'Oct-25'!$A:$J,9,0)</f>
        <v>0</v>
      </c>
      <c r="EU62" s="22">
        <f>+VLOOKUP($BD62,'Nov-25'!$A:$J,9,0)</f>
        <v>0</v>
      </c>
      <c r="EV62" s="22">
        <f>+VLOOKUP($BD62,'Dec-25'!$A:$J,9,0)</f>
        <v>0</v>
      </c>
      <c r="EW62" s="22">
        <f t="shared" si="328"/>
        <v>0</v>
      </c>
      <c r="EX62" s="118">
        <f t="shared" si="153"/>
        <v>0</v>
      </c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106">
        <f t="shared" si="329"/>
        <v>0</v>
      </c>
    </row>
    <row r="63" spans="1:167" ht="14.45" hidden="1" customHeight="1" outlineLevel="1">
      <c r="A63" s="106">
        <f t="shared" si="315"/>
        <v>0</v>
      </c>
      <c r="B63" s="106">
        <f t="shared" si="315"/>
        <v>0</v>
      </c>
      <c r="C63" s="106">
        <f t="shared" si="315"/>
        <v>0</v>
      </c>
      <c r="D63" s="106">
        <f t="shared" si="315"/>
        <v>0</v>
      </c>
      <c r="E63" s="106">
        <f t="shared" si="315"/>
        <v>0</v>
      </c>
      <c r="F63" s="106">
        <f t="shared" si="315"/>
        <v>0</v>
      </c>
      <c r="G63" s="106">
        <f t="shared" si="315"/>
        <v>0</v>
      </c>
      <c r="H63" s="106">
        <f t="shared" si="315"/>
        <v>0</v>
      </c>
      <c r="I63" s="106">
        <f t="shared" si="315"/>
        <v>0</v>
      </c>
      <c r="J63" s="106">
        <f t="shared" si="315"/>
        <v>0</v>
      </c>
      <c r="K63" s="106">
        <f t="shared" si="315"/>
        <v>0</v>
      </c>
      <c r="L63" s="106">
        <f t="shared" si="315"/>
        <v>0</v>
      </c>
      <c r="M63" s="106">
        <f t="shared" si="316"/>
        <v>0</v>
      </c>
      <c r="N63" s="7" t="s">
        <v>49</v>
      </c>
      <c r="O63" s="22">
        <f t="shared" si="317"/>
        <v>0</v>
      </c>
      <c r="P63" s="22">
        <f t="shared" si="317"/>
        <v>0</v>
      </c>
      <c r="Q63" s="22">
        <f t="shared" si="317"/>
        <v>0</v>
      </c>
      <c r="R63" s="22">
        <f t="shared" si="317"/>
        <v>0</v>
      </c>
      <c r="S63" s="22">
        <f t="shared" si="317"/>
        <v>0</v>
      </c>
      <c r="T63" s="22">
        <f t="shared" si="317"/>
        <v>0</v>
      </c>
      <c r="U63" s="22">
        <f t="shared" si="317"/>
        <v>0</v>
      </c>
      <c r="V63" s="22">
        <f t="shared" si="317"/>
        <v>0</v>
      </c>
      <c r="W63" s="22">
        <f t="shared" si="317"/>
        <v>0</v>
      </c>
      <c r="X63" s="22">
        <f t="shared" si="317"/>
        <v>0</v>
      </c>
      <c r="Y63" s="22">
        <f t="shared" si="317"/>
        <v>0</v>
      </c>
      <c r="Z63" s="22">
        <f t="shared" si="317"/>
        <v>0</v>
      </c>
      <c r="AA63" s="22">
        <f t="shared" si="318"/>
        <v>0</v>
      </c>
      <c r="AB63" s="118">
        <f t="shared" si="140"/>
        <v>0</v>
      </c>
      <c r="AC63" s="22">
        <f t="shared" si="319"/>
        <v>0</v>
      </c>
      <c r="AD63" s="22">
        <f t="shared" si="319"/>
        <v>0</v>
      </c>
      <c r="AE63" s="22">
        <f t="shared" si="319"/>
        <v>0</v>
      </c>
      <c r="AF63" s="22">
        <f t="shared" si="319"/>
        <v>0</v>
      </c>
      <c r="AG63" s="22">
        <f t="shared" si="319"/>
        <v>0</v>
      </c>
      <c r="AH63" s="22">
        <f t="shared" si="319"/>
        <v>0</v>
      </c>
      <c r="AI63" s="22">
        <f t="shared" si="319"/>
        <v>0</v>
      </c>
      <c r="AJ63" s="22">
        <f t="shared" si="319"/>
        <v>0</v>
      </c>
      <c r="AK63" s="22">
        <f t="shared" si="319"/>
        <v>0</v>
      </c>
      <c r="AL63" s="22">
        <f t="shared" si="319"/>
        <v>0</v>
      </c>
      <c r="AM63" s="22">
        <f t="shared" si="319"/>
        <v>0</v>
      </c>
      <c r="AN63" s="22">
        <f t="shared" si="319"/>
        <v>0</v>
      </c>
      <c r="AO63" s="22">
        <f t="shared" si="320"/>
        <v>0</v>
      </c>
      <c r="AQ63" s="106">
        <v>0</v>
      </c>
      <c r="AR63" s="106">
        <v>0</v>
      </c>
      <c r="AS63" s="106">
        <v>0</v>
      </c>
      <c r="AT63" s="106">
        <v>0</v>
      </c>
      <c r="AU63" s="106">
        <v>0</v>
      </c>
      <c r="AV63" s="106">
        <v>0</v>
      </c>
      <c r="AW63" s="106">
        <v>0</v>
      </c>
      <c r="AX63" s="106">
        <v>0</v>
      </c>
      <c r="AY63" s="106">
        <v>0</v>
      </c>
      <c r="AZ63" s="106">
        <v>0</v>
      </c>
      <c r="BA63" s="106">
        <v>0</v>
      </c>
      <c r="BB63" s="106">
        <v>0</v>
      </c>
      <c r="BC63" s="106">
        <f t="shared" si="321"/>
        <v>0</v>
      </c>
      <c r="BD63" s="7" t="str">
        <f t="shared" si="7"/>
        <v>Finance Commission</v>
      </c>
      <c r="BE63" s="22">
        <f>+VLOOKUP($BD63,'Jan-25'!$A:$J,4,0)</f>
        <v>0</v>
      </c>
      <c r="BF63" s="22">
        <f>+VLOOKUP($BD63,'Feb-25'!$A:$J,4,0)</f>
        <v>0</v>
      </c>
      <c r="BG63" s="22">
        <f>+VLOOKUP($BD63,'Mar-25'!$A:$J,4,0)</f>
        <v>0</v>
      </c>
      <c r="BH63" s="22">
        <f>+VLOOKUP($BD63,'Apr-25'!$A:$J,4,0)</f>
        <v>0</v>
      </c>
      <c r="BI63" s="22">
        <f>+VLOOKUP($BD63,'May-25'!$A:$J,4,0)</f>
        <v>0</v>
      </c>
      <c r="BJ63" s="22">
        <f>+VLOOKUP($BD63,'June-25'!$A:$J,4,0)</f>
        <v>0</v>
      </c>
      <c r="BK63" s="22">
        <f>+VLOOKUP($BD63,'July-25'!$A:$J,4,0)</f>
        <v>0</v>
      </c>
      <c r="BL63" s="22">
        <f>+VLOOKUP($BD63,'Aug-25'!$A:$J,4,0)</f>
        <v>0</v>
      </c>
      <c r="BM63" s="22">
        <f>+VLOOKUP($BD63,'Sep-25'!$A:$J,4,0)</f>
        <v>0</v>
      </c>
      <c r="BN63" s="22">
        <f>+VLOOKUP($BD63,'Oct-25'!$A:$J,4,0)</f>
        <v>0</v>
      </c>
      <c r="BO63" s="22">
        <f>+VLOOKUP($BD63,'Nov-25'!$A:$J,4,0)</f>
        <v>0</v>
      </c>
      <c r="BP63" s="22">
        <f>+VLOOKUP($BD63,'Dec-25'!$A:$J,4,0)</f>
        <v>0</v>
      </c>
      <c r="BQ63" s="22">
        <f t="shared" si="322"/>
        <v>0</v>
      </c>
      <c r="BR63" s="118">
        <f t="shared" si="145"/>
        <v>0</v>
      </c>
      <c r="BS63" s="106">
        <f>+_xlfn.XLOOKUP($BD63,Budget!$A:$A,Budget!AQ:AQ)</f>
        <v>0</v>
      </c>
      <c r="BT63" s="106">
        <f>+_xlfn.XLOOKUP($BD63,Budget!$A:$A,Budget!AR:AR)</f>
        <v>0</v>
      </c>
      <c r="BU63" s="106">
        <f>+_xlfn.XLOOKUP($BD63,Budget!$A:$A,Budget!AS:AS)</f>
        <v>0</v>
      </c>
      <c r="BV63" s="106">
        <f>+_xlfn.XLOOKUP($BD63,Budget!$A:$A,Budget!AT:AT)</f>
        <v>0</v>
      </c>
      <c r="BW63" s="106">
        <f>+_xlfn.XLOOKUP($BD63,Budget!$A:$A,Budget!AU:AU)</f>
        <v>0</v>
      </c>
      <c r="BX63" s="106">
        <f>+_xlfn.XLOOKUP($BD63,Budget!$A:$A,Budget!AV:AV)</f>
        <v>0</v>
      </c>
      <c r="BY63" s="106">
        <f>+_xlfn.XLOOKUP($BD63,Budget!$A:$A,Budget!AW:AW)</f>
        <v>0</v>
      </c>
      <c r="BZ63" s="106">
        <f>+_xlfn.XLOOKUP($BD63,Budget!$A:$A,Budget!AX:AX)</f>
        <v>0</v>
      </c>
      <c r="CA63" s="106">
        <f>+_xlfn.XLOOKUP($BD63,Budget!$A:$A,Budget!AY:AY)</f>
        <v>0</v>
      </c>
      <c r="CB63" s="106">
        <f>+_xlfn.XLOOKUP($BD63,Budget!$A:$A,Budget!AZ:AZ)</f>
        <v>0</v>
      </c>
      <c r="CC63" s="106">
        <f>+_xlfn.XLOOKUP($BD63,Budget!$A:$A,Budget!BA:BA)</f>
        <v>0</v>
      </c>
      <c r="CD63" s="106">
        <f>+_xlfn.XLOOKUP($BD63,Budget!$A:$A,Budget!BB:BB)</f>
        <v>0</v>
      </c>
      <c r="CE63" s="106">
        <f t="shared" si="323"/>
        <v>0</v>
      </c>
      <c r="CF63" s="22"/>
      <c r="CG63" s="22">
        <v>0</v>
      </c>
      <c r="CH63" s="22">
        <v>0</v>
      </c>
      <c r="CI63" s="22">
        <v>0</v>
      </c>
      <c r="CJ63" s="22">
        <v>0</v>
      </c>
      <c r="CK63" s="22">
        <v>0</v>
      </c>
      <c r="CL63" s="22">
        <v>0</v>
      </c>
      <c r="CM63" s="22">
        <v>0</v>
      </c>
      <c r="CN63" s="22">
        <v>0</v>
      </c>
      <c r="CO63" s="22">
        <v>0</v>
      </c>
      <c r="CP63" s="22">
        <v>0</v>
      </c>
      <c r="CQ63" s="22">
        <v>0</v>
      </c>
      <c r="CR63" s="22">
        <v>0</v>
      </c>
      <c r="CS63" s="106">
        <f t="shared" si="324"/>
        <v>0</v>
      </c>
      <c r="CT63" s="7" t="str">
        <f t="shared" si="11"/>
        <v>Finance Commission</v>
      </c>
      <c r="CU63" s="22">
        <f>+VLOOKUP($BD63,'Jan-25'!$A:$J,7,0)</f>
        <v>0</v>
      </c>
      <c r="CV63" s="22">
        <f>+VLOOKUP($BD63,'Feb-25'!$A:$J,7,0)</f>
        <v>0</v>
      </c>
      <c r="CW63" s="22">
        <f>+VLOOKUP($BD63,'Mar-25'!$A:$J,7,0)</f>
        <v>0</v>
      </c>
      <c r="CX63" s="22">
        <f>+VLOOKUP($BD63,'Apr-25'!$A:$J,7,0)</f>
        <v>0</v>
      </c>
      <c r="CY63" s="22">
        <f>+VLOOKUP($BD63,'May-25'!$A:$J,7,0)</f>
        <v>0</v>
      </c>
      <c r="CZ63" s="22">
        <f>+VLOOKUP($BD63,'June-25'!$A:$J,7,0)</f>
        <v>0</v>
      </c>
      <c r="DA63" s="22">
        <f>+VLOOKUP($BD63,'July-25'!$A:$J,7,0)</f>
        <v>0</v>
      </c>
      <c r="DB63" s="22">
        <f>+VLOOKUP($BD63,'Aug-25'!$A:$J,7,0)</f>
        <v>0</v>
      </c>
      <c r="DC63" s="22">
        <f>+VLOOKUP($BD63,'Sep-25'!$A:$J,7,0)</f>
        <v>0</v>
      </c>
      <c r="DD63" s="22">
        <f>+VLOOKUP($BD63,'Oct-25'!$A:$J,7,0)</f>
        <v>0</v>
      </c>
      <c r="DE63" s="22">
        <f>+VLOOKUP($BD63,'Nov-25'!$A:$J,7,0)</f>
        <v>0</v>
      </c>
      <c r="DF63" s="22">
        <f>+VLOOKUP($BD63,'Dec-25'!$A:$J,7,0)</f>
        <v>0</v>
      </c>
      <c r="DG63" s="22">
        <f t="shared" si="325"/>
        <v>0</v>
      </c>
      <c r="DH63" s="118">
        <f t="shared" si="149"/>
        <v>0</v>
      </c>
      <c r="DI63" s="22">
        <f>+_xlfn.XLOOKUP($CT63,Budget!$A:$A,Budget!CD:CD)</f>
        <v>0</v>
      </c>
      <c r="DJ63" s="22">
        <f>+_xlfn.XLOOKUP($CT63,Budget!$A:$A,Budget!CE:CE)</f>
        <v>0</v>
      </c>
      <c r="DK63" s="22">
        <f>+_xlfn.XLOOKUP($CT63,Budget!$A:$A,Budget!CF:CF)</f>
        <v>0</v>
      </c>
      <c r="DL63" s="22">
        <f>+_xlfn.XLOOKUP($CT63,Budget!$A:$A,Budget!CG:CG)</f>
        <v>0</v>
      </c>
      <c r="DM63" s="22">
        <f>+_xlfn.XLOOKUP($CT63,Budget!$A:$A,Budget!CH:CH)</f>
        <v>0</v>
      </c>
      <c r="DN63" s="22">
        <f>+_xlfn.XLOOKUP($CT63,Budget!$A:$A,Budget!CI:CI)</f>
        <v>0</v>
      </c>
      <c r="DO63" s="22">
        <f>+_xlfn.XLOOKUP($CT63,Budget!$A:$A,Budget!CJ:CJ)</f>
        <v>0</v>
      </c>
      <c r="DP63" s="22">
        <f>+_xlfn.XLOOKUP($CT63,Budget!$A:$A,Budget!CK:CK)</f>
        <v>0</v>
      </c>
      <c r="DQ63" s="22">
        <f>+_xlfn.XLOOKUP($CT63,Budget!$A:$A,Budget!CL:CL)</f>
        <v>0</v>
      </c>
      <c r="DR63" s="22">
        <f>+_xlfn.XLOOKUP($CT63,Budget!$A:$A,Budget!CM:CM)</f>
        <v>0</v>
      </c>
      <c r="DS63" s="22">
        <f>+_xlfn.XLOOKUP($CT63,Budget!$A:$A,Budget!CN:CN)</f>
        <v>0</v>
      </c>
      <c r="DT63" s="22">
        <f>+_xlfn.XLOOKUP($CT63,Budget!$A:$A,Budget!CO:CO)</f>
        <v>0</v>
      </c>
      <c r="DU63" s="106">
        <f t="shared" si="326"/>
        <v>0</v>
      </c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106">
        <f t="shared" si="327"/>
        <v>0</v>
      </c>
      <c r="EJ63" s="7" t="str">
        <f t="shared" si="71"/>
        <v>Finance Commission</v>
      </c>
      <c r="EK63" s="22">
        <f>+VLOOKUP($BD63,'Jan-25'!$A:$J,9,0)</f>
        <v>0</v>
      </c>
      <c r="EL63" s="22">
        <f>+VLOOKUP($BD63,'Feb-25'!$A:$J,9,0)</f>
        <v>0</v>
      </c>
      <c r="EM63" s="22">
        <f>+VLOOKUP($BD63,'Mar-25'!$A:$J,9,0)</f>
        <v>0</v>
      </c>
      <c r="EN63" s="22">
        <f>+VLOOKUP($BD63,'Apr-25'!$A:$J,9,0)</f>
        <v>0</v>
      </c>
      <c r="EO63" s="22">
        <f>+VLOOKUP($BD63,'May-25'!$A:$J,9,0)</f>
        <v>0</v>
      </c>
      <c r="EP63" s="22">
        <f>+VLOOKUP($BD63,'June-25'!$A:$J,9,0)</f>
        <v>0</v>
      </c>
      <c r="EQ63" s="22">
        <f>+VLOOKUP($BD63,'July-25'!$A:$J,9,0)</f>
        <v>0</v>
      </c>
      <c r="ER63" s="22">
        <f>+VLOOKUP($BD63,'Aug-25'!$A:$J,9,0)</f>
        <v>0</v>
      </c>
      <c r="ES63" s="22">
        <f>+VLOOKUP($BD63,'Sep-25'!$A:$J,9,0)</f>
        <v>0</v>
      </c>
      <c r="ET63" s="22">
        <f>+VLOOKUP($BD63,'Oct-25'!$A:$J,9,0)</f>
        <v>0</v>
      </c>
      <c r="EU63" s="22">
        <f>+VLOOKUP($BD63,'Nov-25'!$A:$J,9,0)</f>
        <v>0</v>
      </c>
      <c r="EV63" s="22">
        <f>+VLOOKUP($BD63,'Dec-25'!$A:$J,9,0)</f>
        <v>0</v>
      </c>
      <c r="EW63" s="22">
        <f t="shared" si="328"/>
        <v>0</v>
      </c>
      <c r="EX63" s="118">
        <f t="shared" si="153"/>
        <v>0</v>
      </c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106">
        <f t="shared" si="329"/>
        <v>0</v>
      </c>
    </row>
    <row r="64" spans="1:167" ht="14.45" hidden="1" customHeight="1" outlineLevel="1">
      <c r="A64" s="106">
        <f t="shared" si="315"/>
        <v>0</v>
      </c>
      <c r="B64" s="106">
        <f t="shared" si="315"/>
        <v>0</v>
      </c>
      <c r="C64" s="106">
        <f t="shared" si="315"/>
        <v>0</v>
      </c>
      <c r="D64" s="106">
        <f t="shared" si="315"/>
        <v>0</v>
      </c>
      <c r="E64" s="106">
        <f t="shared" si="315"/>
        <v>0</v>
      </c>
      <c r="F64" s="106">
        <f t="shared" si="315"/>
        <v>0</v>
      </c>
      <c r="G64" s="106">
        <f t="shared" si="315"/>
        <v>0</v>
      </c>
      <c r="H64" s="106">
        <f t="shared" si="315"/>
        <v>0</v>
      </c>
      <c r="I64" s="106">
        <f t="shared" si="315"/>
        <v>0</v>
      </c>
      <c r="J64" s="106">
        <f t="shared" si="315"/>
        <v>0</v>
      </c>
      <c r="K64" s="106">
        <f t="shared" si="315"/>
        <v>0</v>
      </c>
      <c r="L64" s="106">
        <f t="shared" si="315"/>
        <v>0</v>
      </c>
      <c r="M64" s="106">
        <f t="shared" si="316"/>
        <v>0</v>
      </c>
      <c r="N64" s="7" t="s">
        <v>50</v>
      </c>
      <c r="O64" s="22">
        <f t="shared" si="317"/>
        <v>0</v>
      </c>
      <c r="P64" s="22">
        <f t="shared" si="317"/>
        <v>0</v>
      </c>
      <c r="Q64" s="22">
        <f t="shared" si="317"/>
        <v>0</v>
      </c>
      <c r="R64" s="22">
        <f t="shared" si="317"/>
        <v>0</v>
      </c>
      <c r="S64" s="22">
        <f t="shared" si="317"/>
        <v>0</v>
      </c>
      <c r="T64" s="22">
        <f t="shared" si="317"/>
        <v>0</v>
      </c>
      <c r="U64" s="22">
        <f t="shared" si="317"/>
        <v>0</v>
      </c>
      <c r="V64" s="22">
        <f t="shared" si="317"/>
        <v>0</v>
      </c>
      <c r="W64" s="22">
        <f t="shared" si="317"/>
        <v>0</v>
      </c>
      <c r="X64" s="22">
        <f t="shared" si="317"/>
        <v>0</v>
      </c>
      <c r="Y64" s="22">
        <f t="shared" si="317"/>
        <v>0</v>
      </c>
      <c r="Z64" s="22">
        <f t="shared" si="317"/>
        <v>0</v>
      </c>
      <c r="AA64" s="22">
        <f t="shared" si="318"/>
        <v>0</v>
      </c>
      <c r="AB64" s="118">
        <f t="shared" si="140"/>
        <v>0</v>
      </c>
      <c r="AC64" s="22">
        <f t="shared" si="319"/>
        <v>0</v>
      </c>
      <c r="AD64" s="22">
        <f t="shared" si="319"/>
        <v>0</v>
      </c>
      <c r="AE64" s="22">
        <f t="shared" si="319"/>
        <v>0</v>
      </c>
      <c r="AF64" s="22">
        <f t="shared" si="319"/>
        <v>0</v>
      </c>
      <c r="AG64" s="22">
        <f t="shared" si="319"/>
        <v>0</v>
      </c>
      <c r="AH64" s="22">
        <f t="shared" si="319"/>
        <v>0</v>
      </c>
      <c r="AI64" s="22">
        <f t="shared" si="319"/>
        <v>0</v>
      </c>
      <c r="AJ64" s="22">
        <f t="shared" si="319"/>
        <v>0</v>
      </c>
      <c r="AK64" s="22">
        <f t="shared" si="319"/>
        <v>0</v>
      </c>
      <c r="AL64" s="22">
        <f t="shared" si="319"/>
        <v>0</v>
      </c>
      <c r="AM64" s="22">
        <f t="shared" si="319"/>
        <v>0</v>
      </c>
      <c r="AN64" s="22">
        <f t="shared" si="319"/>
        <v>0</v>
      </c>
      <c r="AO64" s="22">
        <f t="shared" si="320"/>
        <v>0</v>
      </c>
      <c r="AQ64" s="106">
        <v>0</v>
      </c>
      <c r="AR64" s="106">
        <v>0</v>
      </c>
      <c r="AS64" s="106">
        <v>0</v>
      </c>
      <c r="AT64" s="106">
        <v>0</v>
      </c>
      <c r="AU64" s="106">
        <v>0</v>
      </c>
      <c r="AV64" s="106">
        <v>0</v>
      </c>
      <c r="AW64" s="106">
        <v>0</v>
      </c>
      <c r="AX64" s="106">
        <v>0</v>
      </c>
      <c r="AY64" s="106">
        <v>0</v>
      </c>
      <c r="AZ64" s="106">
        <v>0</v>
      </c>
      <c r="BA64" s="106">
        <v>0</v>
      </c>
      <c r="BB64" s="106">
        <v>0</v>
      </c>
      <c r="BC64" s="106">
        <f t="shared" si="321"/>
        <v>0</v>
      </c>
      <c r="BD64" s="7" t="str">
        <f t="shared" si="7"/>
        <v>Dealer Incentive</v>
      </c>
      <c r="BE64" s="22">
        <f>+VLOOKUP($BD64,'Jan-25'!$A:$J,4,0)</f>
        <v>0</v>
      </c>
      <c r="BF64" s="22">
        <f>+VLOOKUP($BD64,'Feb-25'!$A:$J,4,0)</f>
        <v>0</v>
      </c>
      <c r="BG64" s="22">
        <f>+VLOOKUP($BD64,'Mar-25'!$A:$J,4,0)</f>
        <v>0</v>
      </c>
      <c r="BH64" s="22">
        <f>+VLOOKUP($BD64,'Apr-25'!$A:$J,4,0)</f>
        <v>0</v>
      </c>
      <c r="BI64" s="22">
        <f>+VLOOKUP($BD64,'May-25'!$A:$J,4,0)</f>
        <v>0</v>
      </c>
      <c r="BJ64" s="22">
        <f>+VLOOKUP($BD64,'June-25'!$A:$J,4,0)</f>
        <v>0</v>
      </c>
      <c r="BK64" s="22">
        <f>+VLOOKUP($BD64,'July-25'!$A:$J,4,0)</f>
        <v>0</v>
      </c>
      <c r="BL64" s="22">
        <f>+VLOOKUP($BD64,'Aug-25'!$A:$J,4,0)</f>
        <v>0</v>
      </c>
      <c r="BM64" s="22">
        <f>+VLOOKUP($BD64,'Sep-25'!$A:$J,4,0)</f>
        <v>0</v>
      </c>
      <c r="BN64" s="22">
        <f>+VLOOKUP($BD64,'Oct-25'!$A:$J,4,0)</f>
        <v>0</v>
      </c>
      <c r="BO64" s="22">
        <f>+VLOOKUP($BD64,'Nov-25'!$A:$J,4,0)</f>
        <v>0</v>
      </c>
      <c r="BP64" s="22">
        <f>+VLOOKUP($BD64,'Dec-25'!$A:$J,4,0)</f>
        <v>0</v>
      </c>
      <c r="BQ64" s="22">
        <f t="shared" si="322"/>
        <v>0</v>
      </c>
      <c r="BR64" s="118">
        <f t="shared" si="145"/>
        <v>0</v>
      </c>
      <c r="BS64" s="106">
        <f>+_xlfn.XLOOKUP($BD64,Budget!$A:$A,Budget!AQ:AQ)</f>
        <v>0</v>
      </c>
      <c r="BT64" s="106">
        <f>+_xlfn.XLOOKUP($BD64,Budget!$A:$A,Budget!AR:AR)</f>
        <v>0</v>
      </c>
      <c r="BU64" s="106">
        <f>+_xlfn.XLOOKUP($BD64,Budget!$A:$A,Budget!AS:AS)</f>
        <v>0</v>
      </c>
      <c r="BV64" s="106">
        <f>+_xlfn.XLOOKUP($BD64,Budget!$A:$A,Budget!AT:AT)</f>
        <v>0</v>
      </c>
      <c r="BW64" s="106">
        <f>+_xlfn.XLOOKUP($BD64,Budget!$A:$A,Budget!AU:AU)</f>
        <v>0</v>
      </c>
      <c r="BX64" s="106">
        <f>+_xlfn.XLOOKUP($BD64,Budget!$A:$A,Budget!AV:AV)</f>
        <v>0</v>
      </c>
      <c r="BY64" s="106">
        <f>+_xlfn.XLOOKUP($BD64,Budget!$A:$A,Budget!AW:AW)</f>
        <v>0</v>
      </c>
      <c r="BZ64" s="106">
        <f>+_xlfn.XLOOKUP($BD64,Budget!$A:$A,Budget!AX:AX)</f>
        <v>0</v>
      </c>
      <c r="CA64" s="106">
        <f>+_xlfn.XLOOKUP($BD64,Budget!$A:$A,Budget!AY:AY)</f>
        <v>0</v>
      </c>
      <c r="CB64" s="106">
        <f>+_xlfn.XLOOKUP($BD64,Budget!$A:$A,Budget!AZ:AZ)</f>
        <v>0</v>
      </c>
      <c r="CC64" s="106">
        <f>+_xlfn.XLOOKUP($BD64,Budget!$A:$A,Budget!BA:BA)</f>
        <v>0</v>
      </c>
      <c r="CD64" s="106">
        <f>+_xlfn.XLOOKUP($BD64,Budget!$A:$A,Budget!BB:BB)</f>
        <v>0</v>
      </c>
      <c r="CE64" s="106">
        <f t="shared" si="323"/>
        <v>0</v>
      </c>
      <c r="CF64" s="22"/>
      <c r="CG64" s="22">
        <v>0</v>
      </c>
      <c r="CH64" s="22">
        <v>0</v>
      </c>
      <c r="CI64" s="22">
        <v>0</v>
      </c>
      <c r="CJ64" s="22">
        <v>0</v>
      </c>
      <c r="CK64" s="22">
        <v>0</v>
      </c>
      <c r="CL64" s="22">
        <v>0</v>
      </c>
      <c r="CM64" s="22">
        <v>0</v>
      </c>
      <c r="CN64" s="22">
        <v>0</v>
      </c>
      <c r="CO64" s="22">
        <v>0</v>
      </c>
      <c r="CP64" s="22">
        <v>0</v>
      </c>
      <c r="CQ64" s="22">
        <v>0</v>
      </c>
      <c r="CR64" s="22">
        <v>0</v>
      </c>
      <c r="CS64" s="106">
        <f t="shared" si="324"/>
        <v>0</v>
      </c>
      <c r="CT64" s="7" t="str">
        <f t="shared" si="11"/>
        <v>Dealer Incentive</v>
      </c>
      <c r="CU64" s="22">
        <f>+VLOOKUP($BD64,'Jan-25'!$A:$J,7,0)</f>
        <v>0</v>
      </c>
      <c r="CV64" s="22">
        <f>+VLOOKUP($BD64,'Feb-25'!$A:$J,7,0)</f>
        <v>0</v>
      </c>
      <c r="CW64" s="22">
        <f>+VLOOKUP($BD64,'Mar-25'!$A:$J,7,0)</f>
        <v>0</v>
      </c>
      <c r="CX64" s="22">
        <f>+VLOOKUP($BD64,'Apr-25'!$A:$J,7,0)</f>
        <v>0</v>
      </c>
      <c r="CY64" s="22">
        <f>+VLOOKUP($BD64,'May-25'!$A:$J,7,0)</f>
        <v>0</v>
      </c>
      <c r="CZ64" s="22">
        <f>+VLOOKUP($BD64,'June-25'!$A:$J,7,0)</f>
        <v>0</v>
      </c>
      <c r="DA64" s="22">
        <f>+VLOOKUP($BD64,'July-25'!$A:$J,7,0)</f>
        <v>0</v>
      </c>
      <c r="DB64" s="22">
        <f>+VLOOKUP($BD64,'Aug-25'!$A:$J,7,0)</f>
        <v>0</v>
      </c>
      <c r="DC64" s="22">
        <f>+VLOOKUP($BD64,'Sep-25'!$A:$J,7,0)</f>
        <v>0</v>
      </c>
      <c r="DD64" s="22">
        <f>+VLOOKUP($BD64,'Oct-25'!$A:$J,7,0)</f>
        <v>0</v>
      </c>
      <c r="DE64" s="22">
        <f>+VLOOKUP($BD64,'Nov-25'!$A:$J,7,0)</f>
        <v>0</v>
      </c>
      <c r="DF64" s="22">
        <f>+VLOOKUP($BD64,'Dec-25'!$A:$J,7,0)</f>
        <v>0</v>
      </c>
      <c r="DG64" s="22">
        <f t="shared" si="325"/>
        <v>0</v>
      </c>
      <c r="DH64" s="118">
        <f t="shared" si="149"/>
        <v>0</v>
      </c>
      <c r="DI64" s="22">
        <f>+_xlfn.XLOOKUP($CT64,Budget!$A:$A,Budget!CD:CD)</f>
        <v>0</v>
      </c>
      <c r="DJ64" s="22">
        <f>+_xlfn.XLOOKUP($CT64,Budget!$A:$A,Budget!CE:CE)</f>
        <v>0</v>
      </c>
      <c r="DK64" s="22">
        <f>+_xlfn.XLOOKUP($CT64,Budget!$A:$A,Budget!CF:CF)</f>
        <v>0</v>
      </c>
      <c r="DL64" s="22">
        <f>+_xlfn.XLOOKUP($CT64,Budget!$A:$A,Budget!CG:CG)</f>
        <v>0</v>
      </c>
      <c r="DM64" s="22">
        <f>+_xlfn.XLOOKUP($CT64,Budget!$A:$A,Budget!CH:CH)</f>
        <v>0</v>
      </c>
      <c r="DN64" s="22">
        <f>+_xlfn.XLOOKUP($CT64,Budget!$A:$A,Budget!CI:CI)</f>
        <v>0</v>
      </c>
      <c r="DO64" s="22">
        <f>+_xlfn.XLOOKUP($CT64,Budget!$A:$A,Budget!CJ:CJ)</f>
        <v>0</v>
      </c>
      <c r="DP64" s="22">
        <f>+_xlfn.XLOOKUP($CT64,Budget!$A:$A,Budget!CK:CK)</f>
        <v>0</v>
      </c>
      <c r="DQ64" s="22">
        <f>+_xlfn.XLOOKUP($CT64,Budget!$A:$A,Budget!CL:CL)</f>
        <v>0</v>
      </c>
      <c r="DR64" s="22">
        <f>+_xlfn.XLOOKUP($CT64,Budget!$A:$A,Budget!CM:CM)</f>
        <v>0</v>
      </c>
      <c r="DS64" s="22">
        <f>+_xlfn.XLOOKUP($CT64,Budget!$A:$A,Budget!CN:CN)</f>
        <v>0</v>
      </c>
      <c r="DT64" s="22">
        <f>+_xlfn.XLOOKUP($CT64,Budget!$A:$A,Budget!CO:CO)</f>
        <v>0</v>
      </c>
      <c r="DU64" s="106">
        <f t="shared" si="326"/>
        <v>0</v>
      </c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106">
        <f t="shared" si="327"/>
        <v>0</v>
      </c>
      <c r="EJ64" s="7" t="str">
        <f t="shared" si="71"/>
        <v>Dealer Incentive</v>
      </c>
      <c r="EK64" s="22">
        <f>+VLOOKUP($BD64,'Jan-25'!$A:$J,9,0)</f>
        <v>0</v>
      </c>
      <c r="EL64" s="22">
        <f>+VLOOKUP($BD64,'Feb-25'!$A:$J,9,0)</f>
        <v>0</v>
      </c>
      <c r="EM64" s="22">
        <f>+VLOOKUP($BD64,'Mar-25'!$A:$J,9,0)</f>
        <v>0</v>
      </c>
      <c r="EN64" s="22">
        <f>+VLOOKUP($BD64,'Apr-25'!$A:$J,9,0)</f>
        <v>0</v>
      </c>
      <c r="EO64" s="22">
        <f>+VLOOKUP($BD64,'May-25'!$A:$J,9,0)</f>
        <v>0</v>
      </c>
      <c r="EP64" s="22">
        <f>+VLOOKUP($BD64,'June-25'!$A:$J,9,0)</f>
        <v>0</v>
      </c>
      <c r="EQ64" s="22">
        <f>+VLOOKUP($BD64,'July-25'!$A:$J,9,0)</f>
        <v>0</v>
      </c>
      <c r="ER64" s="22">
        <f>+VLOOKUP($BD64,'Aug-25'!$A:$J,9,0)</f>
        <v>0</v>
      </c>
      <c r="ES64" s="22">
        <f>+VLOOKUP($BD64,'Sep-25'!$A:$J,9,0)</f>
        <v>0</v>
      </c>
      <c r="ET64" s="22">
        <f>+VLOOKUP($BD64,'Oct-25'!$A:$J,9,0)</f>
        <v>0</v>
      </c>
      <c r="EU64" s="22">
        <f>+VLOOKUP($BD64,'Nov-25'!$A:$J,9,0)</f>
        <v>0</v>
      </c>
      <c r="EV64" s="22">
        <f>+VLOOKUP($BD64,'Dec-25'!$A:$J,9,0)</f>
        <v>0</v>
      </c>
      <c r="EW64" s="22">
        <f t="shared" si="328"/>
        <v>0</v>
      </c>
      <c r="EX64" s="118">
        <f t="shared" si="153"/>
        <v>0</v>
      </c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106">
        <f t="shared" si="329"/>
        <v>0</v>
      </c>
    </row>
    <row r="65" spans="1:167" ht="14.45" hidden="1" customHeight="1" outlineLevel="1">
      <c r="A65" s="106">
        <f t="shared" si="315"/>
        <v>0</v>
      </c>
      <c r="B65" s="106">
        <f t="shared" si="315"/>
        <v>0</v>
      </c>
      <c r="C65" s="106">
        <f t="shared" si="315"/>
        <v>0</v>
      </c>
      <c r="D65" s="106">
        <f t="shared" si="315"/>
        <v>0</v>
      </c>
      <c r="E65" s="106">
        <f t="shared" si="315"/>
        <v>0</v>
      </c>
      <c r="F65" s="106">
        <f t="shared" si="315"/>
        <v>0</v>
      </c>
      <c r="G65" s="106">
        <f t="shared" si="315"/>
        <v>0</v>
      </c>
      <c r="H65" s="106">
        <f t="shared" si="315"/>
        <v>0</v>
      </c>
      <c r="I65" s="106">
        <f t="shared" si="315"/>
        <v>0</v>
      </c>
      <c r="J65" s="106">
        <f t="shared" si="315"/>
        <v>0</v>
      </c>
      <c r="K65" s="106">
        <f t="shared" si="315"/>
        <v>0</v>
      </c>
      <c r="L65" s="106">
        <f t="shared" si="315"/>
        <v>0</v>
      </c>
      <c r="M65" s="106">
        <f t="shared" si="316"/>
        <v>0</v>
      </c>
      <c r="N65" s="7" t="s">
        <v>51</v>
      </c>
      <c r="O65" s="22">
        <f t="shared" si="317"/>
        <v>0</v>
      </c>
      <c r="P65" s="22">
        <f t="shared" si="317"/>
        <v>0</v>
      </c>
      <c r="Q65" s="22">
        <f t="shared" si="317"/>
        <v>58620.509999999995</v>
      </c>
      <c r="R65" s="22">
        <f t="shared" si="317"/>
        <v>0</v>
      </c>
      <c r="S65" s="22">
        <f t="shared" si="317"/>
        <v>0</v>
      </c>
      <c r="T65" s="22">
        <f t="shared" si="317"/>
        <v>0</v>
      </c>
      <c r="U65" s="22">
        <f t="shared" si="317"/>
        <v>0</v>
      </c>
      <c r="V65" s="22">
        <f t="shared" si="317"/>
        <v>0</v>
      </c>
      <c r="W65" s="22">
        <f t="shared" si="317"/>
        <v>0</v>
      </c>
      <c r="X65" s="22">
        <f t="shared" si="317"/>
        <v>0</v>
      </c>
      <c r="Y65" s="22">
        <f t="shared" si="317"/>
        <v>0</v>
      </c>
      <c r="Z65" s="22">
        <f t="shared" si="317"/>
        <v>0</v>
      </c>
      <c r="AA65" s="22">
        <f t="shared" si="318"/>
        <v>58620.509999999995</v>
      </c>
      <c r="AB65" s="118">
        <f t="shared" si="140"/>
        <v>0</v>
      </c>
      <c r="AC65" s="22">
        <f t="shared" si="319"/>
        <v>0</v>
      </c>
      <c r="AD65" s="22">
        <f t="shared" si="319"/>
        <v>0</v>
      </c>
      <c r="AE65" s="22">
        <f t="shared" si="319"/>
        <v>0</v>
      </c>
      <c r="AF65" s="22">
        <f t="shared" si="319"/>
        <v>0</v>
      </c>
      <c r="AG65" s="22">
        <f t="shared" si="319"/>
        <v>0</v>
      </c>
      <c r="AH65" s="22">
        <f t="shared" si="319"/>
        <v>0</v>
      </c>
      <c r="AI65" s="22">
        <f t="shared" si="319"/>
        <v>0</v>
      </c>
      <c r="AJ65" s="22">
        <f t="shared" si="319"/>
        <v>0</v>
      </c>
      <c r="AK65" s="22">
        <f t="shared" si="319"/>
        <v>0</v>
      </c>
      <c r="AL65" s="22">
        <f t="shared" si="319"/>
        <v>0</v>
      </c>
      <c r="AM65" s="22">
        <f t="shared" si="319"/>
        <v>0</v>
      </c>
      <c r="AN65" s="22">
        <f t="shared" si="319"/>
        <v>0</v>
      </c>
      <c r="AO65" s="22">
        <f t="shared" si="320"/>
        <v>0</v>
      </c>
      <c r="AQ65" s="106">
        <v>0</v>
      </c>
      <c r="AR65" s="106">
        <v>0</v>
      </c>
      <c r="AS65" s="106">
        <v>0</v>
      </c>
      <c r="AT65" s="106">
        <v>0</v>
      </c>
      <c r="AU65" s="106">
        <v>0</v>
      </c>
      <c r="AV65" s="106">
        <v>0</v>
      </c>
      <c r="AW65" s="106">
        <v>0</v>
      </c>
      <c r="AX65" s="106">
        <v>0</v>
      </c>
      <c r="AY65" s="106">
        <v>0</v>
      </c>
      <c r="AZ65" s="106">
        <v>0</v>
      </c>
      <c r="BA65" s="106">
        <v>0</v>
      </c>
      <c r="BB65" s="106">
        <v>0</v>
      </c>
      <c r="BC65" s="106">
        <f t="shared" si="321"/>
        <v>0</v>
      </c>
      <c r="BD65" s="7" t="str">
        <f t="shared" si="7"/>
        <v>Profit/Loss on sale of fixed Asset</v>
      </c>
      <c r="BE65" s="22">
        <f>+VLOOKUP($BD65,'Jan-25'!$A:$J,4,0)</f>
        <v>0</v>
      </c>
      <c r="BF65" s="22">
        <f>+VLOOKUP($BD65,'Feb-25'!$A:$J,4,0)</f>
        <v>0</v>
      </c>
      <c r="BG65" s="22">
        <f>+VLOOKUP($BD65,'Mar-25'!$A:$J,4,0)</f>
        <v>39080.339999999997</v>
      </c>
      <c r="BH65" s="22">
        <f>+VLOOKUP($BD65,'Apr-25'!$A:$J,4,0)</f>
        <v>0</v>
      </c>
      <c r="BI65" s="22">
        <f>+VLOOKUP($BD65,'May-25'!$A:$J,4,0)</f>
        <v>0</v>
      </c>
      <c r="BJ65" s="22">
        <f>+VLOOKUP($BD65,'June-25'!$A:$J,4,0)</f>
        <v>0</v>
      </c>
      <c r="BK65" s="22">
        <f>+VLOOKUP($BD65,'July-25'!$A:$J,4,0)</f>
        <v>0</v>
      </c>
      <c r="BL65" s="22">
        <f>+VLOOKUP($BD65,'Aug-25'!$A:$J,4,0)</f>
        <v>0</v>
      </c>
      <c r="BM65" s="22">
        <f>+VLOOKUP($BD65,'Sep-25'!$A:$J,4,0)</f>
        <v>0</v>
      </c>
      <c r="BN65" s="22">
        <f>+VLOOKUP($BD65,'Oct-25'!$A:$J,4,0)</f>
        <v>0</v>
      </c>
      <c r="BO65" s="22">
        <f>+VLOOKUP($BD65,'Nov-25'!$A:$J,4,0)</f>
        <v>0</v>
      </c>
      <c r="BP65" s="22">
        <f>+VLOOKUP($BD65,'Dec-25'!$A:$J,4,0)</f>
        <v>0</v>
      </c>
      <c r="BQ65" s="22">
        <f t="shared" si="322"/>
        <v>39080.339999999997</v>
      </c>
      <c r="BR65" s="118">
        <f t="shared" si="145"/>
        <v>0</v>
      </c>
      <c r="BS65" s="106"/>
      <c r="BT65" s="106"/>
      <c r="BU65" s="106"/>
      <c r="BV65" s="106"/>
      <c r="BW65" s="106"/>
      <c r="BX65" s="106"/>
      <c r="BY65" s="106"/>
      <c r="BZ65" s="106"/>
      <c r="CA65" s="106"/>
      <c r="CB65" s="106"/>
      <c r="CC65" s="106"/>
      <c r="CD65" s="106"/>
      <c r="CE65" s="106">
        <f t="shared" si="323"/>
        <v>0</v>
      </c>
      <c r="CF65" s="22"/>
      <c r="CG65" s="22">
        <v>0</v>
      </c>
      <c r="CH65" s="22">
        <v>0</v>
      </c>
      <c r="CI65" s="22">
        <v>0</v>
      </c>
      <c r="CJ65" s="22">
        <v>0</v>
      </c>
      <c r="CK65" s="22">
        <v>0</v>
      </c>
      <c r="CL65" s="22">
        <v>0</v>
      </c>
      <c r="CM65" s="22">
        <v>0</v>
      </c>
      <c r="CN65" s="22">
        <v>0</v>
      </c>
      <c r="CO65" s="22">
        <v>0</v>
      </c>
      <c r="CP65" s="22">
        <v>0</v>
      </c>
      <c r="CQ65" s="22">
        <v>0</v>
      </c>
      <c r="CR65" s="22">
        <v>0</v>
      </c>
      <c r="CS65" s="106">
        <f t="shared" si="324"/>
        <v>0</v>
      </c>
      <c r="CT65" s="7" t="str">
        <f t="shared" si="11"/>
        <v>Profit/Loss on sale of fixed Asset</v>
      </c>
      <c r="CU65" s="22">
        <f>+VLOOKUP($BD65,'Jan-25'!$A:$J,7,0)</f>
        <v>0</v>
      </c>
      <c r="CV65" s="22">
        <f>+VLOOKUP($BD65,'Feb-25'!$A:$J,7,0)</f>
        <v>0</v>
      </c>
      <c r="CW65" s="22">
        <f>+VLOOKUP($BD65,'Mar-25'!$A:$J,7,0)</f>
        <v>19540.169999999998</v>
      </c>
      <c r="CX65" s="22">
        <f>+VLOOKUP($BD65,'Apr-25'!$A:$J,7,0)</f>
        <v>0</v>
      </c>
      <c r="CY65" s="22">
        <f>+VLOOKUP($BD65,'May-25'!$A:$J,7,0)</f>
        <v>0</v>
      </c>
      <c r="CZ65" s="22">
        <f>+VLOOKUP($BD65,'June-25'!$A:$J,7,0)</f>
        <v>0</v>
      </c>
      <c r="DA65" s="22">
        <f>+VLOOKUP($BD65,'July-25'!$A:$J,7,0)</f>
        <v>0</v>
      </c>
      <c r="DB65" s="22">
        <f>+VLOOKUP($BD65,'Aug-25'!$A:$J,7,0)</f>
        <v>0</v>
      </c>
      <c r="DC65" s="22">
        <f>+VLOOKUP($BD65,'Sep-25'!$A:$J,7,0)</f>
        <v>0</v>
      </c>
      <c r="DD65" s="22">
        <f>+VLOOKUP($BD65,'Oct-25'!$A:$J,7,0)</f>
        <v>0</v>
      </c>
      <c r="DE65" s="22">
        <f>+VLOOKUP($BD65,'Nov-25'!$A:$J,7,0)</f>
        <v>0</v>
      </c>
      <c r="DF65" s="22">
        <f>+VLOOKUP($BD65,'Dec-25'!$A:$J,7,0)</f>
        <v>0</v>
      </c>
      <c r="DG65" s="22">
        <f t="shared" si="325"/>
        <v>19540.169999999998</v>
      </c>
      <c r="DH65" s="118">
        <f t="shared" si="149"/>
        <v>0</v>
      </c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106">
        <f t="shared" si="326"/>
        <v>0</v>
      </c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106">
        <f t="shared" si="327"/>
        <v>0</v>
      </c>
      <c r="EJ65" s="7" t="str">
        <f t="shared" si="71"/>
        <v>Profit/Loss on sale of fixed Asset</v>
      </c>
      <c r="EK65" s="22">
        <f>+VLOOKUP($BD65,'Jan-25'!$A:$J,9,0)</f>
        <v>0</v>
      </c>
      <c r="EL65" s="22">
        <f>+VLOOKUP($BD65,'Feb-25'!$A:$J,9,0)</f>
        <v>0</v>
      </c>
      <c r="EM65" s="22">
        <f>+VLOOKUP($BD65,'Mar-25'!$A:$J,9,0)</f>
        <v>0</v>
      </c>
      <c r="EN65" s="22">
        <f>+VLOOKUP($BD65,'Apr-25'!$A:$J,9,0)</f>
        <v>0</v>
      </c>
      <c r="EO65" s="22">
        <f>+VLOOKUP($BD65,'May-25'!$A:$J,9,0)</f>
        <v>0</v>
      </c>
      <c r="EP65" s="22">
        <f>+VLOOKUP($BD65,'June-25'!$A:$J,9,0)</f>
        <v>0</v>
      </c>
      <c r="EQ65" s="22">
        <f>+VLOOKUP($BD65,'July-25'!$A:$J,9,0)</f>
        <v>0</v>
      </c>
      <c r="ER65" s="22">
        <f>+VLOOKUP($BD65,'Aug-25'!$A:$J,9,0)</f>
        <v>0</v>
      </c>
      <c r="ES65" s="22">
        <f>+VLOOKUP($BD65,'Sep-25'!$A:$J,9,0)</f>
        <v>0</v>
      </c>
      <c r="ET65" s="22">
        <f>+VLOOKUP($BD65,'Oct-25'!$A:$J,9,0)</f>
        <v>0</v>
      </c>
      <c r="EU65" s="22">
        <f>+VLOOKUP($BD65,'Nov-25'!$A:$J,9,0)</f>
        <v>0</v>
      </c>
      <c r="EV65" s="22">
        <f>+VLOOKUP($BD65,'Dec-25'!$A:$J,9,0)</f>
        <v>0</v>
      </c>
      <c r="EW65" s="22">
        <f t="shared" si="328"/>
        <v>0</v>
      </c>
      <c r="EX65" s="118">
        <f t="shared" si="153"/>
        <v>0</v>
      </c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106">
        <f t="shared" si="329"/>
        <v>0</v>
      </c>
    </row>
    <row r="66" spans="1:167" ht="14.45" hidden="1" customHeight="1" outlineLevel="1">
      <c r="A66" s="106">
        <f t="shared" si="315"/>
        <v>82671.31</v>
      </c>
      <c r="B66" s="106">
        <f t="shared" si="315"/>
        <v>17870.990000000002</v>
      </c>
      <c r="C66" s="106">
        <f t="shared" si="315"/>
        <v>26929</v>
      </c>
      <c r="D66" s="106">
        <f t="shared" si="315"/>
        <v>59192.480000000003</v>
      </c>
      <c r="E66" s="106">
        <f t="shared" si="315"/>
        <v>61322.85</v>
      </c>
      <c r="F66" s="106">
        <f t="shared" si="315"/>
        <v>18700</v>
      </c>
      <c r="G66" s="106">
        <f t="shared" si="315"/>
        <v>27675.08</v>
      </c>
      <c r="H66" s="106">
        <f t="shared" si="315"/>
        <v>52486</v>
      </c>
      <c r="I66" s="106">
        <f t="shared" si="315"/>
        <v>37000</v>
      </c>
      <c r="J66" s="106">
        <f t="shared" si="315"/>
        <v>29600</v>
      </c>
      <c r="K66" s="106">
        <f t="shared" si="315"/>
        <v>56348</v>
      </c>
      <c r="L66" s="106">
        <f t="shared" si="315"/>
        <v>1195</v>
      </c>
      <c r="M66" s="106">
        <f t="shared" si="316"/>
        <v>470990.71</v>
      </c>
      <c r="N66" s="7" t="s">
        <v>52</v>
      </c>
      <c r="O66" s="22">
        <f t="shared" si="317"/>
        <v>109490</v>
      </c>
      <c r="P66" s="22">
        <f t="shared" si="317"/>
        <v>44400</v>
      </c>
      <c r="Q66" s="22">
        <f t="shared" si="317"/>
        <v>339280</v>
      </c>
      <c r="R66" s="22">
        <f t="shared" si="317"/>
        <v>33450</v>
      </c>
      <c r="S66" s="22">
        <f t="shared" si="317"/>
        <v>98032</v>
      </c>
      <c r="T66" s="22">
        <f t="shared" si="317"/>
        <v>86700</v>
      </c>
      <c r="U66" s="22">
        <f t="shared" si="317"/>
        <v>207781</v>
      </c>
      <c r="V66" s="22">
        <f t="shared" si="317"/>
        <v>96850</v>
      </c>
      <c r="W66" s="22">
        <f t="shared" si="317"/>
        <v>17030</v>
      </c>
      <c r="X66" s="22">
        <f t="shared" si="317"/>
        <v>37000</v>
      </c>
      <c r="Y66" s="22">
        <f t="shared" si="317"/>
        <v>0</v>
      </c>
      <c r="Z66" s="22">
        <f t="shared" si="317"/>
        <v>0</v>
      </c>
      <c r="AA66" s="22">
        <f t="shared" si="318"/>
        <v>1070013</v>
      </c>
      <c r="AB66" s="118">
        <f t="shared" si="140"/>
        <v>0</v>
      </c>
      <c r="AC66" s="22">
        <f t="shared" si="319"/>
        <v>0</v>
      </c>
      <c r="AD66" s="22">
        <f t="shared" si="319"/>
        <v>0</v>
      </c>
      <c r="AE66" s="22">
        <f t="shared" si="319"/>
        <v>0</v>
      </c>
      <c r="AF66" s="22">
        <f t="shared" si="319"/>
        <v>0</v>
      </c>
      <c r="AG66" s="22">
        <f t="shared" si="319"/>
        <v>0</v>
      </c>
      <c r="AH66" s="22">
        <f t="shared" si="319"/>
        <v>0</v>
      </c>
      <c r="AI66" s="22">
        <f t="shared" si="319"/>
        <v>0</v>
      </c>
      <c r="AJ66" s="22">
        <f t="shared" si="319"/>
        <v>0</v>
      </c>
      <c r="AK66" s="22">
        <f t="shared" si="319"/>
        <v>0</v>
      </c>
      <c r="AL66" s="22">
        <f t="shared" si="319"/>
        <v>0</v>
      </c>
      <c r="AM66" s="22">
        <f t="shared" si="319"/>
        <v>0</v>
      </c>
      <c r="AN66" s="22">
        <f t="shared" si="319"/>
        <v>0</v>
      </c>
      <c r="AO66" s="22">
        <f t="shared" si="320"/>
        <v>0</v>
      </c>
      <c r="AQ66" s="106">
        <v>82671.31</v>
      </c>
      <c r="AR66" s="106">
        <v>17870.990000000002</v>
      </c>
      <c r="AS66" s="106">
        <v>26929</v>
      </c>
      <c r="AT66" s="106">
        <v>651.12</v>
      </c>
      <c r="AU66" s="106">
        <v>2122.85</v>
      </c>
      <c r="AV66" s="106">
        <v>18700</v>
      </c>
      <c r="AW66" s="106">
        <v>22200</v>
      </c>
      <c r="AX66" s="106">
        <v>13526</v>
      </c>
      <c r="AY66" s="106">
        <v>0</v>
      </c>
      <c r="AZ66" s="106">
        <v>0</v>
      </c>
      <c r="BA66" s="106">
        <v>7224</v>
      </c>
      <c r="BB66" s="106">
        <v>1195</v>
      </c>
      <c r="BC66" s="106">
        <f t="shared" si="321"/>
        <v>193090.27000000002</v>
      </c>
      <c r="BD66" s="7" t="str">
        <f t="shared" si="7"/>
        <v>Sales of Scraps/Wastages/Dead Stock/Oil</v>
      </c>
      <c r="BE66" s="22">
        <f>+VLOOKUP($BD66,'Jan-25'!$A:$J,4,0)</f>
        <v>109490</v>
      </c>
      <c r="BF66" s="22">
        <f>+VLOOKUP($BD66,'Feb-25'!$A:$J,4,0)</f>
        <v>44400</v>
      </c>
      <c r="BG66" s="22">
        <f>+VLOOKUP($BD66,'Mar-25'!$A:$J,4,0)</f>
        <v>339280</v>
      </c>
      <c r="BH66" s="22">
        <f>+VLOOKUP($BD66,'Apr-25'!$A:$J,4,0)</f>
        <v>33450</v>
      </c>
      <c r="BI66" s="22">
        <f>+VLOOKUP($BD66,'May-25'!$A:$J,4,0)</f>
        <v>54301</v>
      </c>
      <c r="BJ66" s="22">
        <f>+VLOOKUP($BD66,'June-25'!$A:$J,4,0)</f>
        <v>86700</v>
      </c>
      <c r="BK66" s="22">
        <f>+VLOOKUP($BD66,'July-25'!$A:$J,4,0)</f>
        <v>183360</v>
      </c>
      <c r="BL66" s="22">
        <f>+VLOOKUP($BD66,'Aug-25'!$A:$J,4,0)</f>
        <v>69580</v>
      </c>
      <c r="BM66" s="22">
        <f>+VLOOKUP($BD66,'Sep-25'!$A:$J,4,0)</f>
        <v>17030</v>
      </c>
      <c r="BN66" s="22">
        <f>+VLOOKUP($BD66,'Oct-25'!$A:$J,4,0)</f>
        <v>37000</v>
      </c>
      <c r="BO66" s="22">
        <f>+VLOOKUP($BD66,'Nov-25'!$A:$J,4,0)</f>
        <v>0</v>
      </c>
      <c r="BP66" s="22">
        <f>+VLOOKUP($BD66,'Dec-25'!$A:$J,4,0)</f>
        <v>0</v>
      </c>
      <c r="BQ66" s="22">
        <f t="shared" si="322"/>
        <v>974591</v>
      </c>
      <c r="BR66" s="118">
        <f t="shared" si="145"/>
        <v>0</v>
      </c>
      <c r="BS66" s="106"/>
      <c r="BT66" s="106"/>
      <c r="BU66" s="106"/>
      <c r="BV66" s="106"/>
      <c r="BW66" s="106"/>
      <c r="BX66" s="106"/>
      <c r="BY66" s="106"/>
      <c r="BZ66" s="106"/>
      <c r="CA66" s="106"/>
      <c r="CB66" s="106"/>
      <c r="CC66" s="106"/>
      <c r="CD66" s="106"/>
      <c r="CE66" s="106">
        <f t="shared" si="323"/>
        <v>0</v>
      </c>
      <c r="CF66" s="22"/>
      <c r="CG66" s="22">
        <v>0</v>
      </c>
      <c r="CH66" s="22">
        <v>0</v>
      </c>
      <c r="CI66" s="22">
        <v>0</v>
      </c>
      <c r="CJ66" s="22">
        <v>58541.36</v>
      </c>
      <c r="CK66" s="22">
        <v>59200</v>
      </c>
      <c r="CL66" s="22">
        <v>0</v>
      </c>
      <c r="CM66" s="22">
        <v>5475.08</v>
      </c>
      <c r="CN66" s="22">
        <v>38960</v>
      </c>
      <c r="CO66" s="22">
        <v>37000</v>
      </c>
      <c r="CP66" s="22">
        <v>29600</v>
      </c>
      <c r="CQ66" s="22">
        <v>49124</v>
      </c>
      <c r="CR66" s="22">
        <v>0</v>
      </c>
      <c r="CS66" s="106">
        <f t="shared" si="324"/>
        <v>277900.44</v>
      </c>
      <c r="CT66" s="7" t="str">
        <f t="shared" si="11"/>
        <v>Sales of Scraps/Wastages/Dead Stock/Oil</v>
      </c>
      <c r="CU66" s="22">
        <f>+VLOOKUP($BD66,'Jan-25'!$A:$J,7,0)</f>
        <v>0</v>
      </c>
      <c r="CV66" s="22">
        <f>+VLOOKUP($BD66,'Feb-25'!$A:$J,7,0)</f>
        <v>0</v>
      </c>
      <c r="CW66" s="22">
        <f>+VLOOKUP($BD66,'Mar-25'!$A:$J,7,0)</f>
        <v>0</v>
      </c>
      <c r="CX66" s="22">
        <f>+VLOOKUP($BD66,'Apr-25'!$A:$J,7,0)</f>
        <v>0</v>
      </c>
      <c r="CY66" s="22">
        <f>+VLOOKUP($BD66,'May-25'!$A:$J,7,0)</f>
        <v>37000</v>
      </c>
      <c r="CZ66" s="22">
        <f>+VLOOKUP($BD66,'June-25'!$A:$J,7,0)</f>
        <v>0</v>
      </c>
      <c r="DA66" s="22">
        <f>+VLOOKUP($BD66,'July-25'!$A:$J,7,0)</f>
        <v>14800</v>
      </c>
      <c r="DB66" s="22">
        <f>+VLOOKUP($BD66,'Aug-25'!$A:$J,7,0)</f>
        <v>27270</v>
      </c>
      <c r="DC66" s="22">
        <f>+VLOOKUP($BD66,'Sep-25'!$A:$J,7,0)</f>
        <v>0</v>
      </c>
      <c r="DD66" s="22">
        <f>+VLOOKUP($BD66,'Oct-25'!$A:$J,7,0)</f>
        <v>0</v>
      </c>
      <c r="DE66" s="22">
        <f>+VLOOKUP($BD66,'Nov-25'!$A:$J,7,0)</f>
        <v>0</v>
      </c>
      <c r="DF66" s="22">
        <f>+VLOOKUP($BD66,'Dec-25'!$A:$J,7,0)</f>
        <v>0</v>
      </c>
      <c r="DG66" s="22">
        <f t="shared" si="325"/>
        <v>79070</v>
      </c>
      <c r="DH66" s="118">
        <f t="shared" si="149"/>
        <v>0</v>
      </c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106">
        <f t="shared" si="326"/>
        <v>0</v>
      </c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106">
        <f t="shared" si="327"/>
        <v>0</v>
      </c>
      <c r="EJ66" s="7" t="str">
        <f t="shared" si="71"/>
        <v>Sales of Scraps/Wastages/Dead Stock/Oil</v>
      </c>
      <c r="EK66" s="22">
        <f>+VLOOKUP($BD66,'Jan-25'!$A:$J,9,0)</f>
        <v>0</v>
      </c>
      <c r="EL66" s="22">
        <f>+VLOOKUP($BD66,'Feb-25'!$A:$J,9,0)</f>
        <v>0</v>
      </c>
      <c r="EM66" s="22">
        <f>+VLOOKUP($BD66,'Mar-25'!$A:$J,9,0)</f>
        <v>0</v>
      </c>
      <c r="EN66" s="22">
        <f>+VLOOKUP($BD66,'Apr-25'!$A:$J,9,0)</f>
        <v>0</v>
      </c>
      <c r="EO66" s="22">
        <f>+VLOOKUP($BD66,'May-25'!$A:$J,9,0)</f>
        <v>6731</v>
      </c>
      <c r="EP66" s="22">
        <f>+VLOOKUP($BD66,'June-25'!$A:$J,9,0)</f>
        <v>0</v>
      </c>
      <c r="EQ66" s="22">
        <f>+VLOOKUP($BD66,'July-25'!$A:$J,9,0)</f>
        <v>9621</v>
      </c>
      <c r="ER66" s="22">
        <f>+VLOOKUP($BD66,'Aug-25'!$A:$J,9,0)</f>
        <v>0</v>
      </c>
      <c r="ES66" s="22">
        <f>+VLOOKUP($BD66,'Sep-25'!$A:$J,9,0)</f>
        <v>0</v>
      </c>
      <c r="ET66" s="22">
        <f>+VLOOKUP($BD66,'Oct-25'!$A:$J,9,0)</f>
        <v>0</v>
      </c>
      <c r="EU66" s="22">
        <f>+VLOOKUP($BD66,'Nov-25'!$A:$J,9,0)</f>
        <v>0</v>
      </c>
      <c r="EV66" s="22">
        <f>+VLOOKUP($BD66,'Dec-25'!$A:$J,9,0)</f>
        <v>0</v>
      </c>
      <c r="EW66" s="22">
        <f t="shared" si="328"/>
        <v>16352</v>
      </c>
      <c r="EX66" s="118">
        <f t="shared" si="153"/>
        <v>0</v>
      </c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106">
        <f t="shared" si="329"/>
        <v>0</v>
      </c>
    </row>
    <row r="67" spans="1:167" ht="14.45" hidden="1" customHeight="1" outlineLevel="1">
      <c r="A67" s="106">
        <f t="shared" si="315"/>
        <v>16102.5</v>
      </c>
      <c r="B67" s="106">
        <f t="shared" si="315"/>
        <v>51356.82</v>
      </c>
      <c r="C67" s="106">
        <f t="shared" si="315"/>
        <v>33052.449999999997</v>
      </c>
      <c r="D67" s="106">
        <f t="shared" si="315"/>
        <v>47458.6</v>
      </c>
      <c r="E67" s="106">
        <f t="shared" si="315"/>
        <v>640127.81999999995</v>
      </c>
      <c r="F67" s="106">
        <f t="shared" si="315"/>
        <v>365384.82</v>
      </c>
      <c r="G67" s="106">
        <f t="shared" si="315"/>
        <v>24577.5</v>
      </c>
      <c r="H67" s="106">
        <f t="shared" si="315"/>
        <v>626835</v>
      </c>
      <c r="I67" s="106">
        <f t="shared" si="315"/>
        <v>0</v>
      </c>
      <c r="J67" s="106">
        <f t="shared" si="315"/>
        <v>0</v>
      </c>
      <c r="K67" s="106">
        <f t="shared" si="315"/>
        <v>0</v>
      </c>
      <c r="L67" s="106">
        <f t="shared" si="315"/>
        <v>0</v>
      </c>
      <c r="M67" s="106">
        <f t="shared" si="316"/>
        <v>1804895.51</v>
      </c>
      <c r="N67" s="7" t="s">
        <v>53</v>
      </c>
      <c r="O67" s="22">
        <f t="shared" si="317"/>
        <v>0</v>
      </c>
      <c r="P67" s="22">
        <f t="shared" si="317"/>
        <v>0</v>
      </c>
      <c r="Q67" s="22">
        <f t="shared" si="317"/>
        <v>31357.5</v>
      </c>
      <c r="R67" s="22">
        <f t="shared" si="317"/>
        <v>71512.58</v>
      </c>
      <c r="S67" s="22">
        <f t="shared" si="317"/>
        <v>735134.8</v>
      </c>
      <c r="T67" s="22">
        <f t="shared" si="317"/>
        <v>38436.42</v>
      </c>
      <c r="U67" s="22">
        <f t="shared" si="317"/>
        <v>43303.33</v>
      </c>
      <c r="V67" s="22">
        <f t="shared" si="317"/>
        <v>73954.97</v>
      </c>
      <c r="W67" s="22">
        <f t="shared" si="317"/>
        <v>39993.33</v>
      </c>
      <c r="X67" s="22">
        <f t="shared" si="317"/>
        <v>0</v>
      </c>
      <c r="Y67" s="22">
        <f t="shared" si="317"/>
        <v>0</v>
      </c>
      <c r="Z67" s="22">
        <f t="shared" si="317"/>
        <v>0</v>
      </c>
      <c r="AA67" s="22">
        <f t="shared" si="318"/>
        <v>1033692.9299999999</v>
      </c>
      <c r="AB67" s="118">
        <f t="shared" si="140"/>
        <v>0</v>
      </c>
      <c r="AC67" s="22">
        <f t="shared" si="319"/>
        <v>0</v>
      </c>
      <c r="AD67" s="22">
        <f t="shared" si="319"/>
        <v>0</v>
      </c>
      <c r="AE67" s="22">
        <f t="shared" si="319"/>
        <v>0</v>
      </c>
      <c r="AF67" s="22">
        <f t="shared" si="319"/>
        <v>0</v>
      </c>
      <c r="AG67" s="22">
        <f t="shared" si="319"/>
        <v>0</v>
      </c>
      <c r="AH67" s="22">
        <f t="shared" si="319"/>
        <v>0</v>
      </c>
      <c r="AI67" s="22">
        <f t="shared" si="319"/>
        <v>0</v>
      </c>
      <c r="AJ67" s="22">
        <f t="shared" si="319"/>
        <v>0</v>
      </c>
      <c r="AK67" s="22">
        <f t="shared" si="319"/>
        <v>0</v>
      </c>
      <c r="AL67" s="22">
        <f t="shared" si="319"/>
        <v>0</v>
      </c>
      <c r="AM67" s="22">
        <f t="shared" si="319"/>
        <v>0</v>
      </c>
      <c r="AN67" s="22">
        <f t="shared" si="319"/>
        <v>0</v>
      </c>
      <c r="AO67" s="22">
        <f t="shared" si="320"/>
        <v>0</v>
      </c>
      <c r="AQ67" s="106">
        <v>16102.5</v>
      </c>
      <c r="AR67" s="106">
        <v>51356.82</v>
      </c>
      <c r="AS67" s="106">
        <v>33052.449999999997</v>
      </c>
      <c r="AT67" s="106">
        <v>47458.6</v>
      </c>
      <c r="AU67" s="106">
        <v>640127.81999999995</v>
      </c>
      <c r="AV67" s="106">
        <v>365384.82</v>
      </c>
      <c r="AW67" s="106">
        <v>24577.5</v>
      </c>
      <c r="AX67" s="106">
        <v>626835</v>
      </c>
      <c r="AY67" s="106">
        <v>0</v>
      </c>
      <c r="AZ67" s="106">
        <v>0</v>
      </c>
      <c r="BA67" s="106">
        <v>0</v>
      </c>
      <c r="BB67" s="106">
        <v>0</v>
      </c>
      <c r="BC67" s="106">
        <f t="shared" si="321"/>
        <v>1804895.51</v>
      </c>
      <c r="BD67" s="7" t="str">
        <f t="shared" si="7"/>
        <v>Logistic and Facilitation</v>
      </c>
      <c r="BE67" s="22">
        <f>+VLOOKUP($BD67,'Jan-25'!$A:$J,4,0)</f>
        <v>0</v>
      </c>
      <c r="BF67" s="22">
        <f>+VLOOKUP($BD67,'Feb-25'!$A:$J,4,0)</f>
        <v>0</v>
      </c>
      <c r="BG67" s="22">
        <f>+VLOOKUP($BD67,'Mar-25'!$A:$J,4,0)</f>
        <v>31357.5</v>
      </c>
      <c r="BH67" s="22">
        <f>+VLOOKUP($BD67,'Apr-25'!$A:$J,4,0)</f>
        <v>71512.58</v>
      </c>
      <c r="BI67" s="22">
        <f>+VLOOKUP($BD67,'May-25'!$A:$J,4,0)</f>
        <v>735134.8</v>
      </c>
      <c r="BJ67" s="22">
        <f>+VLOOKUP($BD67,'June-25'!$A:$J,4,0)</f>
        <v>38436.42</v>
      </c>
      <c r="BK67" s="22">
        <f>+VLOOKUP($BD67,'July-25'!$A:$J,4,0)</f>
        <v>43303.33</v>
      </c>
      <c r="BL67" s="22">
        <f>+VLOOKUP($BD67,'Aug-25'!$A:$J,4,0)</f>
        <v>73954.97</v>
      </c>
      <c r="BM67" s="22">
        <f>+VLOOKUP($BD67,'Sep-25'!$A:$J,4,0)</f>
        <v>39993.33</v>
      </c>
      <c r="BN67" s="22">
        <f>+VLOOKUP($BD67,'Oct-25'!$A:$J,4,0)</f>
        <v>0</v>
      </c>
      <c r="BO67" s="22">
        <f>+VLOOKUP($BD67,'Nov-25'!$A:$J,4,0)</f>
        <v>0</v>
      </c>
      <c r="BP67" s="22">
        <f>+VLOOKUP($BD67,'Dec-25'!$A:$J,4,0)</f>
        <v>0</v>
      </c>
      <c r="BQ67" s="22">
        <f t="shared" si="322"/>
        <v>1033692.9299999999</v>
      </c>
      <c r="BR67" s="118">
        <f t="shared" si="145"/>
        <v>0</v>
      </c>
      <c r="BS67" s="106">
        <f>+_xlfn.XLOOKUP($BD67,Budget!$A:$A,Budget!AQ:AQ)</f>
        <v>0</v>
      </c>
      <c r="BT67" s="106">
        <f>+_xlfn.XLOOKUP($BD67,Budget!$A:$A,Budget!AR:AR)</f>
        <v>0</v>
      </c>
      <c r="BU67" s="106">
        <f>+_xlfn.XLOOKUP($BD67,Budget!$A:$A,Budget!AS:AS)</f>
        <v>0</v>
      </c>
      <c r="BV67" s="106">
        <f>+_xlfn.XLOOKUP($BD67,Budget!$A:$A,Budget!AT:AT)</f>
        <v>0</v>
      </c>
      <c r="BW67" s="106">
        <f>+_xlfn.XLOOKUP($BD67,Budget!$A:$A,Budget!AU:AU)</f>
        <v>0</v>
      </c>
      <c r="BX67" s="106">
        <f>+_xlfn.XLOOKUP($BD67,Budget!$A:$A,Budget!AV:AV)</f>
        <v>0</v>
      </c>
      <c r="BY67" s="106">
        <f>+_xlfn.XLOOKUP($BD67,Budget!$A:$A,Budget!AW:AW)</f>
        <v>0</v>
      </c>
      <c r="BZ67" s="106">
        <f>+_xlfn.XLOOKUP($BD67,Budget!$A:$A,Budget!AX:AX)</f>
        <v>0</v>
      </c>
      <c r="CA67" s="106">
        <f>+_xlfn.XLOOKUP($BD67,Budget!$A:$A,Budget!AY:AY)</f>
        <v>0</v>
      </c>
      <c r="CB67" s="106">
        <f>+_xlfn.XLOOKUP($BD67,Budget!$A:$A,Budget!AZ:AZ)</f>
        <v>0</v>
      </c>
      <c r="CC67" s="106">
        <f>+_xlfn.XLOOKUP($BD67,Budget!$A:$A,Budget!BA:BA)</f>
        <v>0</v>
      </c>
      <c r="CD67" s="106">
        <f>+_xlfn.XLOOKUP($BD67,Budget!$A:$A,Budget!BB:BB)</f>
        <v>0</v>
      </c>
      <c r="CE67" s="106">
        <f t="shared" si="323"/>
        <v>0</v>
      </c>
      <c r="CF67" s="22"/>
      <c r="CG67" s="22">
        <v>0</v>
      </c>
      <c r="CH67" s="22">
        <v>0</v>
      </c>
      <c r="CI67" s="22">
        <v>0</v>
      </c>
      <c r="CJ67" s="22">
        <v>0</v>
      </c>
      <c r="CK67" s="22">
        <v>0</v>
      </c>
      <c r="CL67" s="22">
        <v>0</v>
      </c>
      <c r="CM67" s="22">
        <v>0</v>
      </c>
      <c r="CN67" s="22">
        <v>0</v>
      </c>
      <c r="CO67" s="22">
        <v>0</v>
      </c>
      <c r="CP67" s="22">
        <v>0</v>
      </c>
      <c r="CQ67" s="22">
        <v>0</v>
      </c>
      <c r="CR67" s="22">
        <v>0</v>
      </c>
      <c r="CS67" s="106">
        <f t="shared" si="324"/>
        <v>0</v>
      </c>
      <c r="CT67" s="7" t="str">
        <f t="shared" si="11"/>
        <v>Logistic and Facilitation</v>
      </c>
      <c r="CU67" s="22">
        <f>+VLOOKUP($BD67,'Jan-25'!$A:$J,7,0)</f>
        <v>0</v>
      </c>
      <c r="CV67" s="22">
        <f>+VLOOKUP($BD67,'Feb-25'!$A:$J,7,0)</f>
        <v>0</v>
      </c>
      <c r="CW67" s="22">
        <f>+VLOOKUP($BD67,'Mar-25'!$A:$J,7,0)</f>
        <v>0</v>
      </c>
      <c r="CX67" s="22">
        <f>+VLOOKUP($BD67,'Apr-25'!$A:$J,7,0)</f>
        <v>0</v>
      </c>
      <c r="CY67" s="22">
        <f>+VLOOKUP($BD67,'May-25'!$A:$J,7,0)</f>
        <v>0</v>
      </c>
      <c r="CZ67" s="22">
        <f>+VLOOKUP($BD67,'June-25'!$A:$J,7,0)</f>
        <v>0</v>
      </c>
      <c r="DA67" s="22">
        <f>+VLOOKUP($BD67,'July-25'!$A:$J,7,0)</f>
        <v>0</v>
      </c>
      <c r="DB67" s="22">
        <f>+VLOOKUP($BD67,'Aug-25'!$A:$J,7,0)</f>
        <v>0</v>
      </c>
      <c r="DC67" s="22">
        <f>+VLOOKUP($BD67,'Sep-25'!$A:$J,7,0)</f>
        <v>0</v>
      </c>
      <c r="DD67" s="22">
        <f>+VLOOKUP($BD67,'Oct-25'!$A:$J,7,0)</f>
        <v>0</v>
      </c>
      <c r="DE67" s="22">
        <f>+VLOOKUP($BD67,'Nov-25'!$A:$J,7,0)</f>
        <v>0</v>
      </c>
      <c r="DF67" s="22">
        <f>+VLOOKUP($BD67,'Dec-25'!$A:$J,7,0)</f>
        <v>0</v>
      </c>
      <c r="DG67" s="22">
        <f t="shared" si="325"/>
        <v>0</v>
      </c>
      <c r="DH67" s="118">
        <f t="shared" si="149"/>
        <v>0</v>
      </c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106">
        <f t="shared" si="326"/>
        <v>0</v>
      </c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106">
        <f t="shared" si="327"/>
        <v>0</v>
      </c>
      <c r="EJ67" s="7" t="str">
        <f t="shared" si="71"/>
        <v>Logistic and Facilitation</v>
      </c>
      <c r="EK67" s="22">
        <f>+VLOOKUP($BD67,'Jan-25'!$A:$J,9,0)</f>
        <v>0</v>
      </c>
      <c r="EL67" s="22">
        <f>+VLOOKUP($BD67,'Feb-25'!$A:$J,9,0)</f>
        <v>0</v>
      </c>
      <c r="EM67" s="22">
        <f>+VLOOKUP($BD67,'Mar-25'!$A:$J,9,0)</f>
        <v>0</v>
      </c>
      <c r="EN67" s="22">
        <f>+VLOOKUP($BD67,'Apr-25'!$A:$J,9,0)</f>
        <v>0</v>
      </c>
      <c r="EO67" s="22">
        <f>+VLOOKUP($BD67,'May-25'!$A:$J,9,0)</f>
        <v>0</v>
      </c>
      <c r="EP67" s="22">
        <f>+VLOOKUP($BD67,'June-25'!$A:$J,9,0)</f>
        <v>0</v>
      </c>
      <c r="EQ67" s="22">
        <f>+VLOOKUP($BD67,'July-25'!$A:$J,9,0)</f>
        <v>0</v>
      </c>
      <c r="ER67" s="22">
        <f>+VLOOKUP($BD67,'Aug-25'!$A:$J,9,0)</f>
        <v>0</v>
      </c>
      <c r="ES67" s="22">
        <f>+VLOOKUP($BD67,'Sep-25'!$A:$J,9,0)</f>
        <v>0</v>
      </c>
      <c r="ET67" s="22">
        <f>+VLOOKUP($BD67,'Oct-25'!$A:$J,9,0)</f>
        <v>0</v>
      </c>
      <c r="EU67" s="22">
        <f>+VLOOKUP($BD67,'Nov-25'!$A:$J,9,0)</f>
        <v>0</v>
      </c>
      <c r="EV67" s="22">
        <f>+VLOOKUP($BD67,'Dec-25'!$A:$J,9,0)</f>
        <v>0</v>
      </c>
      <c r="EW67" s="22">
        <f t="shared" si="328"/>
        <v>0</v>
      </c>
      <c r="EX67" s="118">
        <f t="shared" si="153"/>
        <v>0</v>
      </c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106">
        <f t="shared" si="329"/>
        <v>0</v>
      </c>
    </row>
    <row r="68" spans="1:167" ht="14.45" hidden="1" customHeight="1" outlineLevel="1">
      <c r="A68" s="106">
        <f t="shared" si="315"/>
        <v>0</v>
      </c>
      <c r="B68" s="106">
        <f t="shared" si="315"/>
        <v>0</v>
      </c>
      <c r="C68" s="106">
        <f t="shared" si="315"/>
        <v>0</v>
      </c>
      <c r="D68" s="106">
        <f t="shared" si="315"/>
        <v>0</v>
      </c>
      <c r="E68" s="106">
        <f t="shared" si="315"/>
        <v>0</v>
      </c>
      <c r="F68" s="106">
        <f t="shared" si="315"/>
        <v>0</v>
      </c>
      <c r="G68" s="106">
        <f t="shared" si="315"/>
        <v>0</v>
      </c>
      <c r="H68" s="106">
        <f t="shared" si="315"/>
        <v>0</v>
      </c>
      <c r="I68" s="106">
        <f t="shared" si="315"/>
        <v>0</v>
      </c>
      <c r="J68" s="106">
        <f t="shared" si="315"/>
        <v>0</v>
      </c>
      <c r="K68" s="106">
        <f t="shared" si="315"/>
        <v>0</v>
      </c>
      <c r="L68" s="106">
        <f t="shared" si="315"/>
        <v>0</v>
      </c>
      <c r="M68" s="106">
        <f t="shared" si="316"/>
        <v>0</v>
      </c>
      <c r="N68" s="7" t="s">
        <v>54</v>
      </c>
      <c r="O68" s="22">
        <f t="shared" si="317"/>
        <v>16985.618999999999</v>
      </c>
      <c r="P68" s="22">
        <f t="shared" si="317"/>
        <v>25284.498299999996</v>
      </c>
      <c r="Q68" s="22">
        <f t="shared" si="317"/>
        <v>36951.835499999994</v>
      </c>
      <c r="R68" s="22">
        <f t="shared" si="317"/>
        <v>23386.036499999995</v>
      </c>
      <c r="S68" s="22">
        <f t="shared" si="317"/>
        <v>0</v>
      </c>
      <c r="T68" s="22">
        <f t="shared" si="317"/>
        <v>16143.7536</v>
      </c>
      <c r="U68" s="22">
        <f t="shared" si="317"/>
        <v>17170.973999999995</v>
      </c>
      <c r="V68" s="22">
        <f t="shared" si="317"/>
        <v>28584.027900000001</v>
      </c>
      <c r="W68" s="22">
        <f t="shared" si="317"/>
        <v>22054.825799999995</v>
      </c>
      <c r="X68" s="22">
        <f t="shared" si="317"/>
        <v>19603.356299999999</v>
      </c>
      <c r="Y68" s="22">
        <f t="shared" si="317"/>
        <v>0</v>
      </c>
      <c r="Z68" s="22">
        <f t="shared" si="317"/>
        <v>0</v>
      </c>
      <c r="AA68" s="22">
        <f t="shared" si="318"/>
        <v>206164.92689999996</v>
      </c>
      <c r="AB68" s="118">
        <f t="shared" si="140"/>
        <v>0</v>
      </c>
      <c r="AC68" s="22">
        <f t="shared" si="319"/>
        <v>0</v>
      </c>
      <c r="AD68" s="22">
        <f t="shared" si="319"/>
        <v>0</v>
      </c>
      <c r="AE68" s="22">
        <f t="shared" si="319"/>
        <v>0</v>
      </c>
      <c r="AF68" s="22">
        <f t="shared" si="319"/>
        <v>0</v>
      </c>
      <c r="AG68" s="22">
        <f t="shared" si="319"/>
        <v>0</v>
      </c>
      <c r="AH68" s="22">
        <f t="shared" si="319"/>
        <v>0</v>
      </c>
      <c r="AI68" s="22">
        <f t="shared" si="319"/>
        <v>0</v>
      </c>
      <c r="AJ68" s="22">
        <f t="shared" si="319"/>
        <v>0</v>
      </c>
      <c r="AK68" s="22">
        <f t="shared" si="319"/>
        <v>0</v>
      </c>
      <c r="AL68" s="22">
        <f t="shared" si="319"/>
        <v>0</v>
      </c>
      <c r="AM68" s="22">
        <f t="shared" si="319"/>
        <v>0</v>
      </c>
      <c r="AN68" s="22">
        <f t="shared" si="319"/>
        <v>0</v>
      </c>
      <c r="AO68" s="22">
        <f t="shared" si="320"/>
        <v>0</v>
      </c>
      <c r="AQ68" s="106">
        <v>0</v>
      </c>
      <c r="AR68" s="106">
        <v>0</v>
      </c>
      <c r="AS68" s="106">
        <v>0</v>
      </c>
      <c r="AT68" s="106">
        <v>0</v>
      </c>
      <c r="AU68" s="106">
        <v>0</v>
      </c>
      <c r="AV68" s="106">
        <v>0</v>
      </c>
      <c r="AW68" s="106">
        <v>0</v>
      </c>
      <c r="AX68" s="106">
        <v>0</v>
      </c>
      <c r="AY68" s="106">
        <v>0</v>
      </c>
      <c r="AZ68" s="106">
        <v>0</v>
      </c>
      <c r="BA68" s="106">
        <v>0</v>
      </c>
      <c r="BB68" s="106">
        <v>0</v>
      </c>
      <c r="BC68" s="106">
        <f t="shared" si="321"/>
        <v>0</v>
      </c>
      <c r="BD68" s="7" t="str">
        <f t="shared" si="7"/>
        <v>Bank Interest</v>
      </c>
      <c r="BE68" s="22">
        <f>+VLOOKUP($BD68,'Jan-25'!$A:$J,4,0)</f>
        <v>11323.745999999999</v>
      </c>
      <c r="BF68" s="22">
        <f>+VLOOKUP($BD68,'Feb-25'!$A:$J,4,0)</f>
        <v>16856.332199999997</v>
      </c>
      <c r="BG68" s="22">
        <f>+VLOOKUP($BD68,'Mar-25'!$A:$J,4,0)</f>
        <v>24634.556999999997</v>
      </c>
      <c r="BH68" s="22">
        <f>+VLOOKUP($BD68,'Apr-25'!$A:$J,4,0)</f>
        <v>15590.690999999997</v>
      </c>
      <c r="BI68" s="22">
        <f>+VLOOKUP($BD68,'May-25'!$A:$J,4,0)</f>
        <v>0</v>
      </c>
      <c r="BJ68" s="22">
        <f>+VLOOKUP($BD68,'June-25'!$A:$J,4,0)</f>
        <v>10762.502399999999</v>
      </c>
      <c r="BK68" s="22">
        <f>+VLOOKUP($BD68,'July-25'!$A:$J,4,0)</f>
        <v>11447.315999999997</v>
      </c>
      <c r="BL68" s="22">
        <f>+VLOOKUP($BD68,'Aug-25'!$A:$J,4,0)</f>
        <v>19056.018599999999</v>
      </c>
      <c r="BM68" s="22">
        <f>+VLOOKUP($BD68,'Sep-25'!$A:$J,4,0)</f>
        <v>14703.217199999997</v>
      </c>
      <c r="BN68" s="22">
        <f>+VLOOKUP($BD68,'Oct-25'!$A:$J,4,0)</f>
        <v>10692.739799999999</v>
      </c>
      <c r="BO68" s="22">
        <f>+VLOOKUP($BD68,'Nov-25'!$A:$J,4,0)</f>
        <v>0</v>
      </c>
      <c r="BP68" s="22">
        <f>+VLOOKUP($BD68,'Dec-25'!$A:$J,4,0)</f>
        <v>0</v>
      </c>
      <c r="BQ68" s="22">
        <f t="shared" si="322"/>
        <v>135067.12019999998</v>
      </c>
      <c r="BR68" s="118">
        <f t="shared" si="145"/>
        <v>0</v>
      </c>
      <c r="BS68" s="106"/>
      <c r="BT68" s="106"/>
      <c r="BU68" s="106"/>
      <c r="BV68" s="106"/>
      <c r="BW68" s="106"/>
      <c r="BX68" s="106"/>
      <c r="BY68" s="106"/>
      <c r="BZ68" s="106"/>
      <c r="CA68" s="106"/>
      <c r="CB68" s="106"/>
      <c r="CC68" s="106"/>
      <c r="CD68" s="106"/>
      <c r="CE68" s="106">
        <f t="shared" si="323"/>
        <v>0</v>
      </c>
      <c r="CF68" s="22"/>
      <c r="CG68" s="22">
        <v>0</v>
      </c>
      <c r="CH68" s="22">
        <v>0</v>
      </c>
      <c r="CI68" s="22">
        <v>0</v>
      </c>
      <c r="CJ68" s="22">
        <v>0</v>
      </c>
      <c r="CK68" s="22">
        <v>0</v>
      </c>
      <c r="CL68" s="22">
        <v>0</v>
      </c>
      <c r="CM68" s="22">
        <v>0</v>
      </c>
      <c r="CN68" s="22">
        <v>0</v>
      </c>
      <c r="CO68" s="22">
        <v>0</v>
      </c>
      <c r="CP68" s="22">
        <v>0</v>
      </c>
      <c r="CQ68" s="22">
        <v>0</v>
      </c>
      <c r="CR68" s="22">
        <v>0</v>
      </c>
      <c r="CS68" s="106">
        <f t="shared" si="324"/>
        <v>0</v>
      </c>
      <c r="CT68" s="7" t="str">
        <f t="shared" si="11"/>
        <v>Bank Interest</v>
      </c>
      <c r="CU68" s="22">
        <f>+VLOOKUP($BD68,'Jan-25'!$A:$J,7,0)</f>
        <v>5661.8729999999996</v>
      </c>
      <c r="CV68" s="22">
        <f>+VLOOKUP($BD68,'Feb-25'!$A:$J,7,0)</f>
        <v>8428.1660999999986</v>
      </c>
      <c r="CW68" s="22">
        <f>+VLOOKUP($BD68,'Mar-25'!$A:$J,7,0)</f>
        <v>12317.278499999999</v>
      </c>
      <c r="CX68" s="22">
        <f>+VLOOKUP($BD68,'Apr-25'!$A:$J,7,0)</f>
        <v>7795.3454999999985</v>
      </c>
      <c r="CY68" s="22">
        <f>+VLOOKUP($BD68,'May-25'!$A:$J,7,0)</f>
        <v>0</v>
      </c>
      <c r="CZ68" s="22">
        <f>+VLOOKUP($BD68,'June-25'!$A:$J,7,0)</f>
        <v>5381.2511999999997</v>
      </c>
      <c r="DA68" s="22">
        <f>+VLOOKUP($BD68,'July-25'!$A:$J,7,0)</f>
        <v>5723.6579999999985</v>
      </c>
      <c r="DB68" s="22">
        <f>+VLOOKUP($BD68,'Aug-25'!$A:$J,7,0)</f>
        <v>9528.0092999999997</v>
      </c>
      <c r="DC68" s="22">
        <f>+VLOOKUP($BD68,'Sep-25'!$A:$J,7,0)</f>
        <v>7351.6085999999987</v>
      </c>
      <c r="DD68" s="22">
        <f>+VLOOKUP($BD68,'Oct-25'!$A:$J,7,0)</f>
        <v>5346.3698999999997</v>
      </c>
      <c r="DE68" s="22">
        <f>+VLOOKUP($BD68,'Nov-25'!$A:$J,7,0)</f>
        <v>0</v>
      </c>
      <c r="DF68" s="22">
        <f>+VLOOKUP($BD68,'Dec-25'!$A:$J,7,0)</f>
        <v>0</v>
      </c>
      <c r="DG68" s="22">
        <f t="shared" si="325"/>
        <v>67533.560099999988</v>
      </c>
      <c r="DH68" s="118">
        <f t="shared" si="149"/>
        <v>0</v>
      </c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106">
        <f t="shared" si="326"/>
        <v>0</v>
      </c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106">
        <f t="shared" si="327"/>
        <v>0</v>
      </c>
      <c r="EJ68" s="7" t="str">
        <f t="shared" si="71"/>
        <v>Bank Interest</v>
      </c>
      <c r="EK68" s="22">
        <f>+VLOOKUP($BD68,'Jan-25'!$A:$J,9,0)</f>
        <v>0</v>
      </c>
      <c r="EL68" s="22">
        <f>+VLOOKUP($BD68,'Feb-25'!$A:$J,9,0)</f>
        <v>0</v>
      </c>
      <c r="EM68" s="22">
        <f>+VLOOKUP($BD68,'Mar-25'!$A:$J,9,0)</f>
        <v>0</v>
      </c>
      <c r="EN68" s="22">
        <f>+VLOOKUP($BD68,'Apr-25'!$A:$J,9,0)</f>
        <v>0</v>
      </c>
      <c r="EO68" s="22">
        <f>+VLOOKUP($BD68,'May-25'!$A:$J,9,0)</f>
        <v>0</v>
      </c>
      <c r="EP68" s="22">
        <f>+VLOOKUP($BD68,'June-25'!$A:$J,9,0)</f>
        <v>0</v>
      </c>
      <c r="EQ68" s="22">
        <f>+VLOOKUP($BD68,'July-25'!$A:$J,9,0)</f>
        <v>0</v>
      </c>
      <c r="ER68" s="22">
        <f>+VLOOKUP($BD68,'Aug-25'!$A:$J,9,0)</f>
        <v>0</v>
      </c>
      <c r="ES68" s="22">
        <f>+VLOOKUP($BD68,'Sep-25'!$A:$J,9,0)</f>
        <v>0</v>
      </c>
      <c r="ET68" s="22">
        <f>+VLOOKUP($BD68,'Oct-25'!$A:$J,9,0)</f>
        <v>3564.2465999999999</v>
      </c>
      <c r="EU68" s="22">
        <f>+VLOOKUP($BD68,'Nov-25'!$A:$J,9,0)</f>
        <v>0</v>
      </c>
      <c r="EV68" s="22">
        <f>+VLOOKUP($BD68,'Dec-25'!$A:$J,9,0)</f>
        <v>0</v>
      </c>
      <c r="EW68" s="22">
        <f t="shared" si="328"/>
        <v>3564.2465999999999</v>
      </c>
      <c r="EX68" s="118">
        <f t="shared" si="153"/>
        <v>0</v>
      </c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106">
        <f t="shared" si="329"/>
        <v>0</v>
      </c>
    </row>
    <row r="69" spans="1:167" ht="14.45" hidden="1" customHeight="1" outlineLevel="1">
      <c r="A69" s="106">
        <f t="shared" si="315"/>
        <v>0</v>
      </c>
      <c r="B69" s="106">
        <f t="shared" si="315"/>
        <v>0</v>
      </c>
      <c r="C69" s="106">
        <f t="shared" si="315"/>
        <v>0</v>
      </c>
      <c r="D69" s="106">
        <f t="shared" si="315"/>
        <v>0</v>
      </c>
      <c r="E69" s="106">
        <f t="shared" si="315"/>
        <v>0</v>
      </c>
      <c r="F69" s="106">
        <f t="shared" si="315"/>
        <v>0</v>
      </c>
      <c r="G69" s="106">
        <f t="shared" si="315"/>
        <v>0</v>
      </c>
      <c r="H69" s="106">
        <f t="shared" si="315"/>
        <v>0</v>
      </c>
      <c r="I69" s="106">
        <f t="shared" si="315"/>
        <v>0</v>
      </c>
      <c r="J69" s="106">
        <f t="shared" si="315"/>
        <v>0</v>
      </c>
      <c r="K69" s="106">
        <f t="shared" si="315"/>
        <v>0</v>
      </c>
      <c r="L69" s="106">
        <f t="shared" si="315"/>
        <v>0</v>
      </c>
      <c r="M69" s="106">
        <f t="shared" si="316"/>
        <v>0</v>
      </c>
      <c r="N69" s="7" t="s">
        <v>55</v>
      </c>
      <c r="O69" s="22">
        <f t="shared" si="317"/>
        <v>0</v>
      </c>
      <c r="P69" s="22">
        <f t="shared" si="317"/>
        <v>0</v>
      </c>
      <c r="Q69" s="22">
        <f t="shared" si="317"/>
        <v>0</v>
      </c>
      <c r="R69" s="22">
        <f t="shared" si="317"/>
        <v>0</v>
      </c>
      <c r="S69" s="22">
        <f t="shared" si="317"/>
        <v>0</v>
      </c>
      <c r="T69" s="22">
        <f t="shared" si="317"/>
        <v>0</v>
      </c>
      <c r="U69" s="22">
        <f t="shared" si="317"/>
        <v>15872.649999999998</v>
      </c>
      <c r="V69" s="22">
        <f t="shared" si="317"/>
        <v>0</v>
      </c>
      <c r="W69" s="22">
        <f t="shared" si="317"/>
        <v>35685.4</v>
      </c>
      <c r="X69" s="22">
        <f t="shared" si="317"/>
        <v>19605.400000000001</v>
      </c>
      <c r="Y69" s="22">
        <f t="shared" si="317"/>
        <v>0</v>
      </c>
      <c r="Z69" s="22">
        <f t="shared" si="317"/>
        <v>0</v>
      </c>
      <c r="AA69" s="22">
        <f t="shared" si="318"/>
        <v>71163.450000000012</v>
      </c>
      <c r="AB69" s="118">
        <f t="shared" si="140"/>
        <v>0</v>
      </c>
      <c r="AC69" s="22">
        <f t="shared" si="319"/>
        <v>0</v>
      </c>
      <c r="AD69" s="22">
        <f t="shared" si="319"/>
        <v>0</v>
      </c>
      <c r="AE69" s="22">
        <f t="shared" si="319"/>
        <v>0</v>
      </c>
      <c r="AF69" s="22">
        <f t="shared" si="319"/>
        <v>0</v>
      </c>
      <c r="AG69" s="22">
        <f t="shared" si="319"/>
        <v>0</v>
      </c>
      <c r="AH69" s="22">
        <f t="shared" si="319"/>
        <v>0</v>
      </c>
      <c r="AI69" s="22">
        <f t="shared" si="319"/>
        <v>0</v>
      </c>
      <c r="AJ69" s="22">
        <f t="shared" si="319"/>
        <v>0</v>
      </c>
      <c r="AK69" s="22">
        <f t="shared" si="319"/>
        <v>0</v>
      </c>
      <c r="AL69" s="22">
        <f t="shared" si="319"/>
        <v>0</v>
      </c>
      <c r="AM69" s="22">
        <f t="shared" si="319"/>
        <v>0</v>
      </c>
      <c r="AN69" s="22">
        <f t="shared" si="319"/>
        <v>0</v>
      </c>
      <c r="AO69" s="22">
        <f t="shared" si="320"/>
        <v>0</v>
      </c>
      <c r="AQ69" s="106">
        <v>0</v>
      </c>
      <c r="AR69" s="106">
        <v>0</v>
      </c>
      <c r="AS69" s="106">
        <v>0</v>
      </c>
      <c r="AT69" s="106">
        <v>0</v>
      </c>
      <c r="AU69" s="106">
        <v>0</v>
      </c>
      <c r="AV69" s="106">
        <v>0</v>
      </c>
      <c r="AW69" s="106">
        <v>0</v>
      </c>
      <c r="AX69" s="106">
        <v>0</v>
      </c>
      <c r="AY69" s="106">
        <v>0</v>
      </c>
      <c r="AZ69" s="106">
        <v>0</v>
      </c>
      <c r="BA69" s="106">
        <v>0</v>
      </c>
      <c r="BB69" s="106">
        <v>0</v>
      </c>
      <c r="BC69" s="106">
        <f t="shared" si="321"/>
        <v>0</v>
      </c>
      <c r="BD69" s="7" t="str">
        <f t="shared" si="7"/>
        <v>Others</v>
      </c>
      <c r="BE69" s="22">
        <f>+VLOOKUP($BD69,'Jan-25'!$A:$J,4,0)</f>
        <v>0</v>
      </c>
      <c r="BF69" s="22">
        <f>+VLOOKUP($BD69,'Feb-25'!$A:$J,4,0)</f>
        <v>0</v>
      </c>
      <c r="BG69" s="22">
        <f>+VLOOKUP($BD69,'Mar-25'!$A:$J,4,0)</f>
        <v>0</v>
      </c>
      <c r="BH69" s="22">
        <f>+VLOOKUP($BD69,'Apr-25'!$A:$J,4,0)</f>
        <v>0</v>
      </c>
      <c r="BI69" s="22">
        <f>+VLOOKUP($BD69,'May-25'!$A:$J,4,0)</f>
        <v>0</v>
      </c>
      <c r="BJ69" s="22">
        <f>+VLOOKUP($BD69,'June-25'!$A:$J,4,0)</f>
        <v>0</v>
      </c>
      <c r="BK69" s="22">
        <f>+VLOOKUP($BD69,'July-25'!$A:$J,4,0)</f>
        <v>10133.049999999999</v>
      </c>
      <c r="BL69" s="22">
        <f>+VLOOKUP($BD69,'Aug-25'!$A:$J,4,0)</f>
        <v>0</v>
      </c>
      <c r="BM69" s="22">
        <f>+VLOOKUP($BD69,'Sep-25'!$A:$J,4,0)</f>
        <v>35685.4</v>
      </c>
      <c r="BN69" s="22">
        <f>+VLOOKUP($BD69,'Oct-25'!$A:$J,4,0)</f>
        <v>19605.400000000001</v>
      </c>
      <c r="BO69" s="22">
        <f>+VLOOKUP($BD69,'Nov-25'!$A:$J,4,0)</f>
        <v>0</v>
      </c>
      <c r="BP69" s="22">
        <f>+VLOOKUP($BD69,'Dec-25'!$A:$J,4,0)</f>
        <v>0</v>
      </c>
      <c r="BQ69" s="22">
        <f t="shared" si="322"/>
        <v>65423.85</v>
      </c>
      <c r="BR69" s="118">
        <f t="shared" si="145"/>
        <v>0</v>
      </c>
      <c r="BS69" s="106"/>
      <c r="BT69" s="106"/>
      <c r="BU69" s="106"/>
      <c r="BV69" s="106"/>
      <c r="BW69" s="106"/>
      <c r="BX69" s="106"/>
      <c r="BY69" s="106"/>
      <c r="BZ69" s="106"/>
      <c r="CA69" s="106"/>
      <c r="CB69" s="106"/>
      <c r="CC69" s="106"/>
      <c r="CD69" s="106"/>
      <c r="CE69" s="106">
        <f t="shared" si="323"/>
        <v>0</v>
      </c>
      <c r="CF69" s="22"/>
      <c r="CG69" s="22">
        <v>0</v>
      </c>
      <c r="CH69" s="22">
        <v>0</v>
      </c>
      <c r="CI69" s="22">
        <v>0</v>
      </c>
      <c r="CJ69" s="22">
        <v>0</v>
      </c>
      <c r="CK69" s="22">
        <v>0</v>
      </c>
      <c r="CL69" s="22">
        <v>0</v>
      </c>
      <c r="CM69" s="22">
        <v>0</v>
      </c>
      <c r="CN69" s="22">
        <v>0</v>
      </c>
      <c r="CO69" s="22">
        <v>0</v>
      </c>
      <c r="CP69" s="22">
        <v>0</v>
      </c>
      <c r="CQ69" s="22">
        <v>0</v>
      </c>
      <c r="CR69" s="22">
        <v>0</v>
      </c>
      <c r="CS69" s="106">
        <f t="shared" si="324"/>
        <v>0</v>
      </c>
      <c r="CT69" s="7" t="str">
        <f t="shared" si="11"/>
        <v>Others</v>
      </c>
      <c r="CU69" s="22">
        <f>+VLOOKUP($BD69,'Jan-25'!$A:$J,7,0)</f>
        <v>0</v>
      </c>
      <c r="CV69" s="22">
        <f>+VLOOKUP($BD69,'Feb-25'!$A:$J,7,0)</f>
        <v>0</v>
      </c>
      <c r="CW69" s="22">
        <f>+VLOOKUP($BD69,'Mar-25'!$A:$J,7,0)</f>
        <v>0</v>
      </c>
      <c r="CX69" s="22">
        <f>+VLOOKUP($BD69,'Apr-25'!$A:$J,7,0)</f>
        <v>0</v>
      </c>
      <c r="CY69" s="22">
        <f>+VLOOKUP($BD69,'May-25'!$A:$J,7,0)</f>
        <v>0</v>
      </c>
      <c r="CZ69" s="22">
        <f>+VLOOKUP($BD69,'June-25'!$A:$J,7,0)</f>
        <v>0</v>
      </c>
      <c r="DA69" s="22">
        <f>+VLOOKUP($BD69,'July-25'!$A:$J,7,0)</f>
        <v>5739.5999999999995</v>
      </c>
      <c r="DB69" s="22">
        <f>+VLOOKUP($BD69,'Aug-25'!$A:$J,7,0)</f>
        <v>0</v>
      </c>
      <c r="DC69" s="22">
        <f>+VLOOKUP($BD69,'Sep-25'!$A:$J,7,0)</f>
        <v>0</v>
      </c>
      <c r="DD69" s="22">
        <f>+VLOOKUP($BD69,'Oct-25'!$A:$J,7,0)</f>
        <v>0</v>
      </c>
      <c r="DE69" s="22">
        <f>+VLOOKUP($BD69,'Nov-25'!$A:$J,7,0)</f>
        <v>0</v>
      </c>
      <c r="DF69" s="22">
        <f>+VLOOKUP($BD69,'Dec-25'!$A:$J,7,0)</f>
        <v>0</v>
      </c>
      <c r="DG69" s="22">
        <f t="shared" si="325"/>
        <v>5739.5999999999995</v>
      </c>
      <c r="DH69" s="118">
        <f t="shared" si="149"/>
        <v>0</v>
      </c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106">
        <f t="shared" si="326"/>
        <v>0</v>
      </c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106">
        <f t="shared" si="327"/>
        <v>0</v>
      </c>
      <c r="EJ69" s="7" t="str">
        <f t="shared" si="71"/>
        <v>Others</v>
      </c>
      <c r="EK69" s="22">
        <f>+VLOOKUP($BD69,'Jan-25'!$A:$J,9,0)</f>
        <v>0</v>
      </c>
      <c r="EL69" s="22">
        <f>+VLOOKUP($BD69,'Feb-25'!$A:$J,9,0)</f>
        <v>0</v>
      </c>
      <c r="EM69" s="22">
        <f>+VLOOKUP($BD69,'Mar-25'!$A:$J,9,0)</f>
        <v>0</v>
      </c>
      <c r="EN69" s="22">
        <f>+VLOOKUP($BD69,'Apr-25'!$A:$J,9,0)</f>
        <v>0</v>
      </c>
      <c r="EO69" s="22">
        <f>+VLOOKUP($BD69,'May-25'!$A:$J,9,0)</f>
        <v>0</v>
      </c>
      <c r="EP69" s="22">
        <f>+VLOOKUP($BD69,'June-25'!$A:$J,9,0)</f>
        <v>0</v>
      </c>
      <c r="EQ69" s="22">
        <f>+VLOOKUP($BD69,'July-25'!$A:$J,9,0)</f>
        <v>0</v>
      </c>
      <c r="ER69" s="22">
        <f>+VLOOKUP($BD69,'Aug-25'!$A:$J,9,0)</f>
        <v>0</v>
      </c>
      <c r="ES69" s="22">
        <f>+VLOOKUP($BD69,'Sep-25'!$A:$J,9,0)</f>
        <v>0</v>
      </c>
      <c r="ET69" s="22">
        <f>+VLOOKUP($BD69,'Oct-25'!$A:$J,9,0)</f>
        <v>0</v>
      </c>
      <c r="EU69" s="22">
        <f>+VLOOKUP($BD69,'Nov-25'!$A:$J,9,0)</f>
        <v>0</v>
      </c>
      <c r="EV69" s="22">
        <f>+VLOOKUP($BD69,'Dec-25'!$A:$J,9,0)</f>
        <v>0</v>
      </c>
      <c r="EW69" s="22">
        <f t="shared" si="328"/>
        <v>0</v>
      </c>
      <c r="EX69" s="118">
        <f t="shared" si="153"/>
        <v>0</v>
      </c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106">
        <f t="shared" si="329"/>
        <v>0</v>
      </c>
    </row>
    <row r="70" spans="1:167" ht="14.45" customHeight="1" collapsed="1">
      <c r="A70" s="58">
        <f t="shared" ref="A70:M70" si="330">+A60+A57+A51+A52+A29+A27+(A7/3.5%)+A8+A13+A44+A45+A46</f>
        <v>28333784.157743018</v>
      </c>
      <c r="B70" s="58">
        <f t="shared" si="330"/>
        <v>26009029.107743025</v>
      </c>
      <c r="C70" s="58">
        <f t="shared" si="330"/>
        <v>27425464.512024105</v>
      </c>
      <c r="D70" s="58">
        <f t="shared" si="330"/>
        <v>19651513.067835376</v>
      </c>
      <c r="E70" s="58">
        <f t="shared" si="330"/>
        <v>24056664.193162303</v>
      </c>
      <c r="F70" s="58">
        <f t="shared" si="330"/>
        <v>30824614.84121019</v>
      </c>
      <c r="G70" s="58">
        <f t="shared" si="330"/>
        <v>26158405.372530416</v>
      </c>
      <c r="H70" s="58">
        <f t="shared" si="330"/>
        <v>26176454.758633908</v>
      </c>
      <c r="I70" s="58">
        <f t="shared" si="330"/>
        <v>34100668.243959874</v>
      </c>
      <c r="J70" s="58">
        <f t="shared" si="330"/>
        <v>25914892.377157863</v>
      </c>
      <c r="K70" s="58">
        <f t="shared" si="330"/>
        <v>29381159.788188856</v>
      </c>
      <c r="L70" s="58">
        <f t="shared" si="330"/>
        <v>34533410.242535591</v>
      </c>
      <c r="M70" s="58">
        <f t="shared" si="330"/>
        <v>332566060.66272461</v>
      </c>
      <c r="N70" s="14" t="s">
        <v>56</v>
      </c>
      <c r="O70" s="58">
        <f t="shared" ref="O70:AA70" si="331">+O60+O57+O51+O52+O29+O27+(O7/3.5%)+O8+O13+O44+O45+O46</f>
        <v>23752973.732171845</v>
      </c>
      <c r="P70" s="58">
        <f t="shared" si="331"/>
        <v>27779799.885636557</v>
      </c>
      <c r="Q70" s="58">
        <f t="shared" si="331"/>
        <v>36463796.328285433</v>
      </c>
      <c r="R70" s="58">
        <f t="shared" si="331"/>
        <v>27711411.085513581</v>
      </c>
      <c r="S70" s="58">
        <f t="shared" si="331"/>
        <v>39401509.482909098</v>
      </c>
      <c r="T70" s="58">
        <f t="shared" si="331"/>
        <v>31571347.670230661</v>
      </c>
      <c r="U70" s="58">
        <f t="shared" si="331"/>
        <v>36446004.101625137</v>
      </c>
      <c r="V70" s="58">
        <f t="shared" si="331"/>
        <v>35352834.578917496</v>
      </c>
      <c r="W70" s="58">
        <f t="shared" si="331"/>
        <v>39375932.952462226</v>
      </c>
      <c r="X70" s="58">
        <f t="shared" si="331"/>
        <v>35535035.427265123</v>
      </c>
      <c r="Y70" s="58">
        <f t="shared" si="331"/>
        <v>0</v>
      </c>
      <c r="Z70" s="58">
        <f t="shared" si="331"/>
        <v>0</v>
      </c>
      <c r="AA70" s="58">
        <f t="shared" si="331"/>
        <v>333390645.24501717</v>
      </c>
      <c r="AB70" s="118">
        <f t="shared" si="140"/>
        <v>0.18954083233579438</v>
      </c>
      <c r="AC70" s="58">
        <f t="shared" ref="AC70:AO70" si="332">+AC60+AC57+AC51+AC52+AC29+AC27+(AC7/3.5%)+AC8+AC13+AC44+AC45+AC46</f>
        <v>32943609.644185759</v>
      </c>
      <c r="AD70" s="58">
        <f t="shared" si="332"/>
        <v>32051073.602037255</v>
      </c>
      <c r="AE70" s="58">
        <f t="shared" si="332"/>
        <v>39643167.757526994</v>
      </c>
      <c r="AF70" s="58">
        <f t="shared" si="332"/>
        <v>28039507.368102502</v>
      </c>
      <c r="AG70" s="58">
        <f t="shared" si="332"/>
        <v>31795982.521263</v>
      </c>
      <c r="AH70" s="58">
        <f t="shared" si="332"/>
        <v>39782987.686874494</v>
      </c>
      <c r="AI70" s="58">
        <f t="shared" si="332"/>
        <v>34687271.478494756</v>
      </c>
      <c r="AJ70" s="58">
        <f t="shared" si="332"/>
        <v>34780669.921943262</v>
      </c>
      <c r="AK70" s="58">
        <f t="shared" si="332"/>
        <v>42442814.062261999</v>
      </c>
      <c r="AL70" s="58">
        <f t="shared" si="332"/>
        <v>29872900.922188748</v>
      </c>
      <c r="AM70" s="58">
        <f t="shared" si="332"/>
        <v>28055333.004185751</v>
      </c>
      <c r="AN70" s="58">
        <f t="shared" si="332"/>
        <v>39871995.749799743</v>
      </c>
      <c r="AO70" s="58">
        <f t="shared" si="332"/>
        <v>413967313.71886432</v>
      </c>
      <c r="AQ70" s="58">
        <f t="shared" ref="AQ70:BC70" si="333">+AQ60+AQ57+AQ51+AQ52+AQ29+AQ27+(AQ7/3.5%)+AQ8+AQ13+AQ44+AQ45+AQ46</f>
        <v>15918372.121541264</v>
      </c>
      <c r="AR70" s="58">
        <f t="shared" si="333"/>
        <v>13627931.004978696</v>
      </c>
      <c r="AS70" s="58">
        <f t="shared" si="333"/>
        <v>16233974.90410115</v>
      </c>
      <c r="AT70" s="58">
        <f t="shared" si="333"/>
        <v>12969574.038789459</v>
      </c>
      <c r="AU70" s="58">
        <f t="shared" si="333"/>
        <v>12499640.442186577</v>
      </c>
      <c r="AV70" s="58">
        <f t="shared" si="333"/>
        <v>15984035.647615658</v>
      </c>
      <c r="AW70" s="58">
        <f t="shared" si="333"/>
        <v>15591292.002192596</v>
      </c>
      <c r="AX70" s="58">
        <f t="shared" si="333"/>
        <v>16178849.018333949</v>
      </c>
      <c r="AY70" s="58">
        <f t="shared" si="333"/>
        <v>22544993.335473139</v>
      </c>
      <c r="AZ70" s="58">
        <f t="shared" si="333"/>
        <v>16312538.736661771</v>
      </c>
      <c r="BA70" s="58">
        <f t="shared" si="333"/>
        <v>18053302.078933671</v>
      </c>
      <c r="BB70" s="58">
        <f t="shared" si="333"/>
        <v>24299047.440651983</v>
      </c>
      <c r="BC70" s="58">
        <f t="shared" si="333"/>
        <v>200213550.77145994</v>
      </c>
      <c r="BD70" s="14" t="str">
        <f t="shared" ref="BD70:BD133" si="334">N70</f>
        <v>Total Revenue</v>
      </c>
      <c r="BE70" s="58">
        <f t="shared" ref="BE70:BQ70" si="335">+BE60+BE57+BE51+BE52+BE29+BE27+(BE7/3.5%)+BE8+BE13+BE44+BE45+BE46</f>
        <v>12401988.115422493</v>
      </c>
      <c r="BF70" s="58">
        <f t="shared" si="335"/>
        <v>15589305.516873531</v>
      </c>
      <c r="BG70" s="58">
        <f t="shared" si="335"/>
        <v>23365464.371108275</v>
      </c>
      <c r="BH70" s="58">
        <f t="shared" si="335"/>
        <v>17465597.84652859</v>
      </c>
      <c r="BI70" s="58">
        <f t="shared" si="335"/>
        <v>24509741.644144166</v>
      </c>
      <c r="BJ70" s="58">
        <f t="shared" si="335"/>
        <v>17443955.099501122</v>
      </c>
      <c r="BK70" s="58">
        <f t="shared" si="335"/>
        <v>21860838.264733646</v>
      </c>
      <c r="BL70" s="58">
        <f t="shared" si="335"/>
        <v>21820671.737216476</v>
      </c>
      <c r="BM70" s="58">
        <f t="shared" si="335"/>
        <v>24411222.642476864</v>
      </c>
      <c r="BN70" s="58">
        <f t="shared" si="335"/>
        <v>19752237.171475582</v>
      </c>
      <c r="BO70" s="58">
        <f t="shared" si="335"/>
        <v>0</v>
      </c>
      <c r="BP70" s="58">
        <f t="shared" si="335"/>
        <v>0</v>
      </c>
      <c r="BQ70" s="58">
        <f t="shared" si="335"/>
        <v>198621022.40948078</v>
      </c>
      <c r="BR70" s="118">
        <f t="shared" si="145"/>
        <v>0.24698315655756903</v>
      </c>
      <c r="BS70" s="58">
        <f t="shared" ref="BS70:CE70" si="336">+BS60+BS57+BS51+BS52+BS29+BS27+(BS7/3.5%)+BS8+BS13+BS44+BS45+BS46</f>
        <v>16445307.246082162</v>
      </c>
      <c r="BT70" s="58">
        <f t="shared" si="336"/>
        <v>16106191.240980493</v>
      </c>
      <c r="BU70" s="58">
        <f t="shared" si="336"/>
        <v>18941572.297749851</v>
      </c>
      <c r="BV70" s="58">
        <f t="shared" si="336"/>
        <v>13908109.429241374</v>
      </c>
      <c r="BW70" s="58">
        <f t="shared" si="336"/>
        <v>15437623.48452965</v>
      </c>
      <c r="BX70" s="58">
        <f t="shared" si="336"/>
        <v>19677408.137820974</v>
      </c>
      <c r="BY70" s="58">
        <f t="shared" si="336"/>
        <v>16419202.404872114</v>
      </c>
      <c r="BZ70" s="58">
        <f t="shared" si="336"/>
        <v>17180569.209573794</v>
      </c>
      <c r="CA70" s="58">
        <f t="shared" si="336"/>
        <v>22112530.792539105</v>
      </c>
      <c r="CB70" s="58">
        <f t="shared" si="336"/>
        <v>15840019.223678814</v>
      </c>
      <c r="CC70" s="58">
        <f t="shared" si="336"/>
        <v>12785484.475882161</v>
      </c>
      <c r="CD70" s="58">
        <f t="shared" si="336"/>
        <v>20503509.897501521</v>
      </c>
      <c r="CE70" s="58">
        <f t="shared" si="336"/>
        <v>205357527.84045202</v>
      </c>
      <c r="CF70" s="22"/>
      <c r="CG70" s="58">
        <f t="shared" ref="CG70:CS70" si="337">+CG60+CG57+CG51+CG52+CG29+CG27+(CG7/3.5%)+CG8+CG13+CG44+CG45+CG46</f>
        <v>12415412.036201756</v>
      </c>
      <c r="CH70" s="58">
        <f t="shared" si="337"/>
        <v>12381098.102764327</v>
      </c>
      <c r="CI70" s="58">
        <f t="shared" si="337"/>
        <v>11191489.607922956</v>
      </c>
      <c r="CJ70" s="58">
        <f t="shared" si="337"/>
        <v>6681939.029045918</v>
      </c>
      <c r="CK70" s="58">
        <f t="shared" si="337"/>
        <v>11557023.750975724</v>
      </c>
      <c r="CL70" s="58">
        <f t="shared" si="337"/>
        <v>14840579.193594528</v>
      </c>
      <c r="CM70" s="58">
        <f t="shared" si="337"/>
        <v>10567113.370337816</v>
      </c>
      <c r="CN70" s="58">
        <f t="shared" si="337"/>
        <v>9997605.7402999606</v>
      </c>
      <c r="CO70" s="58">
        <f t="shared" si="337"/>
        <v>11555674.908486739</v>
      </c>
      <c r="CP70" s="58">
        <f t="shared" si="337"/>
        <v>9602353.6404960919</v>
      </c>
      <c r="CQ70" s="58">
        <f t="shared" si="337"/>
        <v>11327857.709255185</v>
      </c>
      <c r="CR70" s="58">
        <f t="shared" si="337"/>
        <v>10234362.801883612</v>
      </c>
      <c r="CS70" s="58">
        <f t="shared" si="337"/>
        <v>132352509.89126465</v>
      </c>
      <c r="CT70" s="14" t="str">
        <f t="shared" ref="CT70:CT133" si="338">BD70</f>
        <v>Total Revenue</v>
      </c>
      <c r="CU70" s="58">
        <f t="shared" ref="CU70:DG70" si="339">+CU60+CU57+CU51+CU52+CU29+CU27+(CU7/3.5%)+CU8+CU13+CU44+CU45+CU46</f>
        <v>9260793.2792496532</v>
      </c>
      <c r="CV70" s="58">
        <f t="shared" si="339"/>
        <v>8191285.5944792069</v>
      </c>
      <c r="CW70" s="58">
        <f t="shared" si="339"/>
        <v>10171506.963352943</v>
      </c>
      <c r="CX70" s="58">
        <f t="shared" si="339"/>
        <v>8022303.9190565934</v>
      </c>
      <c r="CY70" s="58">
        <f t="shared" si="339"/>
        <v>11395167.107341168</v>
      </c>
      <c r="CZ70" s="58">
        <f t="shared" si="339"/>
        <v>9953950.2078386862</v>
      </c>
      <c r="DA70" s="58">
        <f t="shared" si="339"/>
        <v>10990636.292579604</v>
      </c>
      <c r="DB70" s="58">
        <f t="shared" si="339"/>
        <v>9688881.0127013605</v>
      </c>
      <c r="DC70" s="58">
        <f t="shared" si="339"/>
        <v>10407877.08231464</v>
      </c>
      <c r="DD70" s="58">
        <f>+DD60+DD57+DD51+DD52+DD29+DD27+(DD7/3.5%)+DD8+DD13+DD44+DD45+DD46</f>
        <v>11238783.819950931</v>
      </c>
      <c r="DE70" s="58">
        <f t="shared" si="339"/>
        <v>0</v>
      </c>
      <c r="DF70" s="58">
        <f t="shared" si="339"/>
        <v>0</v>
      </c>
      <c r="DG70" s="58">
        <f t="shared" si="339"/>
        <v>99321185.278864786</v>
      </c>
      <c r="DH70" s="118">
        <f t="shared" si="149"/>
        <v>5.571656856503842E-2</v>
      </c>
      <c r="DI70" s="58">
        <f t="shared" ref="DI70:DU70" si="340">+DI60+DI57+DI51+DI52+DI29+DI27+(DI7/3.5%)+DI8+DI13+DI44+DI45+DI46</f>
        <v>12474741.047725014</v>
      </c>
      <c r="DJ70" s="58">
        <f t="shared" si="340"/>
        <v>12184719.161533039</v>
      </c>
      <c r="DK70" s="58">
        <f t="shared" si="340"/>
        <v>15817744.903804448</v>
      </c>
      <c r="DL70" s="58">
        <f t="shared" si="340"/>
        <v>10378310.938780874</v>
      </c>
      <c r="DM70" s="58">
        <f t="shared" si="340"/>
        <v>11908503.13263705</v>
      </c>
      <c r="DN70" s="58">
        <f t="shared" si="340"/>
        <v>14986085.281086074</v>
      </c>
      <c r="DO70" s="58">
        <f t="shared" si="340"/>
        <v>13261695.358373161</v>
      </c>
      <c r="DP70" s="58">
        <f t="shared" si="340"/>
        <v>12781636.81626514</v>
      </c>
      <c r="DQ70" s="58">
        <f t="shared" si="340"/>
        <v>15005471.859806702</v>
      </c>
      <c r="DR70" s="58">
        <f t="shared" si="340"/>
        <v>10645645.009841062</v>
      </c>
      <c r="DS70" s="58">
        <f t="shared" si="340"/>
        <v>11746747.377925012</v>
      </c>
      <c r="DT70" s="58">
        <f t="shared" si="340"/>
        <v>14999464.638546424</v>
      </c>
      <c r="DU70" s="58">
        <f t="shared" si="340"/>
        <v>156190765.526324</v>
      </c>
      <c r="DW70" s="58">
        <f t="shared" ref="DW70:EI70" si="341">+DW60+DW55+DW51+DW52+DW29+DW27+(DW7/3.5%)+DW8+DW13</f>
        <v>0</v>
      </c>
      <c r="DX70" s="58">
        <f t="shared" si="341"/>
        <v>0</v>
      </c>
      <c r="DY70" s="58">
        <f t="shared" si="341"/>
        <v>0</v>
      </c>
      <c r="DZ70" s="58">
        <f t="shared" si="341"/>
        <v>0</v>
      </c>
      <c r="EA70" s="58">
        <f t="shared" si="341"/>
        <v>0</v>
      </c>
      <c r="EB70" s="58">
        <f t="shared" si="341"/>
        <v>0</v>
      </c>
      <c r="EC70" s="58">
        <f t="shared" si="341"/>
        <v>0</v>
      </c>
      <c r="ED70" s="58">
        <f t="shared" si="341"/>
        <v>0</v>
      </c>
      <c r="EE70" s="58">
        <f t="shared" si="341"/>
        <v>0</v>
      </c>
      <c r="EF70" s="58">
        <f t="shared" si="341"/>
        <v>0</v>
      </c>
      <c r="EG70" s="58">
        <f t="shared" si="341"/>
        <v>0</v>
      </c>
      <c r="EH70" s="58">
        <f t="shared" si="341"/>
        <v>0</v>
      </c>
      <c r="EI70" s="58">
        <f t="shared" si="341"/>
        <v>0</v>
      </c>
      <c r="EJ70" s="14" t="str">
        <f t="shared" si="71"/>
        <v>Total Revenue</v>
      </c>
      <c r="EK70" s="58">
        <f t="shared" ref="EK70:ES70" si="342">+EK60+EK57+EK51+EK52+EK29+EK27+(EK7/3.5%)+EK8+EK13+EK44+EK45+EK46</f>
        <v>2090192.3374996975</v>
      </c>
      <c r="EL70" s="58">
        <f t="shared" si="342"/>
        <v>3999208.774283824</v>
      </c>
      <c r="EM70" s="58">
        <f t="shared" si="342"/>
        <v>2926824.9938242189</v>
      </c>
      <c r="EN70" s="58">
        <f t="shared" si="342"/>
        <v>2223509.319928396</v>
      </c>
      <c r="EO70" s="58">
        <f t="shared" si="342"/>
        <v>3496600.7314237747</v>
      </c>
      <c r="EP70" s="58">
        <f t="shared" si="342"/>
        <v>4173442.362890854</v>
      </c>
      <c r="EQ70" s="58">
        <f t="shared" si="342"/>
        <v>3594529.5443118899</v>
      </c>
      <c r="ER70" s="58">
        <f t="shared" si="342"/>
        <v>3843281.8289996595</v>
      </c>
      <c r="ES70" s="58">
        <f t="shared" si="342"/>
        <v>4556833.2276707161</v>
      </c>
      <c r="ET70" s="58">
        <f>+ET60+ET57+ET51+ET52+ET29+ET27+(ET7/3.5%)+ET8+ET13+ET44+ET45+ET46</f>
        <v>4544014.4358386043</v>
      </c>
      <c r="EU70" s="58">
        <f t="shared" ref="EU70:EW70" si="343">+EU60+EU55+EU51+EU52+EU29+EU27+(EU7/3.5%)+EU8+EU13</f>
        <v>0</v>
      </c>
      <c r="EV70" s="58">
        <f t="shared" si="343"/>
        <v>0</v>
      </c>
      <c r="EW70" s="58">
        <f t="shared" si="343"/>
        <v>32068942.434518307</v>
      </c>
      <c r="EX70" s="118">
        <f t="shared" si="153"/>
        <v>0.34151075153367061</v>
      </c>
      <c r="EY70" s="58">
        <f>+EY60+EY57+EY51+EY52+EY29+EY27+(EY7/3.5%)+EY8+EY13+EY44+EY45+EY46</f>
        <v>4023561.3503785748</v>
      </c>
      <c r="EZ70" s="58">
        <f t="shared" ref="EZ70:FJ70" si="344">+EZ60+EZ57+EZ51+EZ52+EZ29+EZ27+(EZ7/3.5%)+EZ8+EZ13+EZ44+EZ45+EZ46</f>
        <v>3760163.1995237251</v>
      </c>
      <c r="FA70" s="58">
        <f t="shared" si="344"/>
        <v>4883850.5559727</v>
      </c>
      <c r="FB70" s="58">
        <f t="shared" si="344"/>
        <v>3753087.0000802502</v>
      </c>
      <c r="FC70" s="58">
        <f t="shared" si="344"/>
        <v>4449855.9040962998</v>
      </c>
      <c r="FD70" s="58">
        <f t="shared" si="344"/>
        <v>5119494.2679674504</v>
      </c>
      <c r="FE70" s="58">
        <f t="shared" si="344"/>
        <v>5006373.7152494751</v>
      </c>
      <c r="FF70" s="58">
        <f t="shared" si="344"/>
        <v>4818463.8961043246</v>
      </c>
      <c r="FG70" s="58">
        <f t="shared" si="344"/>
        <v>5324811.4099161997</v>
      </c>
      <c r="FH70" s="58">
        <f t="shared" si="344"/>
        <v>3387236.688668875</v>
      </c>
      <c r="FI70" s="58">
        <f t="shared" si="344"/>
        <v>3523101.1503785755</v>
      </c>
      <c r="FJ70" s="58">
        <f t="shared" si="344"/>
        <v>4369021.213751792</v>
      </c>
      <c r="FK70" s="58">
        <f t="shared" ref="FK70" si="345">+FK60+FK55+FK51+FK52+FK29+FK27+(FK7/3.5%)+FK8+FK13</f>
        <v>49278105.487424247</v>
      </c>
    </row>
    <row r="71" spans="1:167" ht="14.45" customHeight="1">
      <c r="A71" s="58">
        <f>+A60+A58+A47+A27+A6</f>
        <v>9969206.0177430157</v>
      </c>
      <c r="B71" s="58">
        <f t="shared" ref="B71:M71" si="346">+B60+B58+B47+B27+B6</f>
        <v>8939895.3337430228</v>
      </c>
      <c r="C71" s="58">
        <f t="shared" si="346"/>
        <v>11584401.520024098</v>
      </c>
      <c r="D71" s="58">
        <f t="shared" si="346"/>
        <v>6878722.5058353823</v>
      </c>
      <c r="E71" s="58">
        <f t="shared" si="346"/>
        <v>7661019.3571623126</v>
      </c>
      <c r="F71" s="58">
        <f t="shared" si="346"/>
        <v>10679843.263210198</v>
      </c>
      <c r="G71" s="58">
        <f t="shared" si="346"/>
        <v>9265804.0365304127</v>
      </c>
      <c r="H71" s="58">
        <f t="shared" si="346"/>
        <v>9069754.0626339093</v>
      </c>
      <c r="I71" s="58">
        <f t="shared" si="346"/>
        <v>11380854.131959872</v>
      </c>
      <c r="J71" s="58">
        <f t="shared" si="346"/>
        <v>9886242.4801578801</v>
      </c>
      <c r="K71" s="58">
        <f t="shared" si="346"/>
        <v>9135181.6691888589</v>
      </c>
      <c r="L71" s="58">
        <f t="shared" si="346"/>
        <v>16220796.930535594</v>
      </c>
      <c r="M71" s="58">
        <f t="shared" si="346"/>
        <v>120671721.3087246</v>
      </c>
      <c r="N71" s="14" t="s">
        <v>57</v>
      </c>
      <c r="O71" s="28">
        <f>+O60+O58+O47+O27+O6</f>
        <v>6806558.2821718501</v>
      </c>
      <c r="P71" s="28">
        <f t="shared" ref="P71:AA71" si="347">+P60+P58+P47+P27+P6</f>
        <v>7336946.1306365654</v>
      </c>
      <c r="Q71" s="28">
        <f t="shared" si="347"/>
        <v>12946565.758285431</v>
      </c>
      <c r="R71" s="28">
        <f t="shared" si="347"/>
        <v>9791236.3115135767</v>
      </c>
      <c r="S71" s="28">
        <f t="shared" si="347"/>
        <v>13985962.174909111</v>
      </c>
      <c r="T71" s="28">
        <f t="shared" si="347"/>
        <v>11611458.100230651</v>
      </c>
      <c r="U71" s="28">
        <f t="shared" si="347"/>
        <v>11747141.709625132</v>
      </c>
      <c r="V71" s="28">
        <f t="shared" si="347"/>
        <v>11534209.454917492</v>
      </c>
      <c r="W71" s="28">
        <f t="shared" si="347"/>
        <v>16627331.744462224</v>
      </c>
      <c r="X71" s="28">
        <f t="shared" si="347"/>
        <v>10151977.819265107</v>
      </c>
      <c r="Y71" s="28">
        <f t="shared" si="347"/>
        <v>0</v>
      </c>
      <c r="Z71" s="28">
        <f t="shared" si="347"/>
        <v>0</v>
      </c>
      <c r="AA71" s="28">
        <f t="shared" si="347"/>
        <v>112539387.4860172</v>
      </c>
      <c r="AB71" s="118">
        <f t="shared" si="140"/>
        <v>6.2648356021551129E-3</v>
      </c>
      <c r="AC71" s="28">
        <f>+AC60+AC58+AC47+AC27+AC6</f>
        <v>11202187.83340623</v>
      </c>
      <c r="AD71" s="28">
        <f t="shared" ref="AD71:AO71" si="348">+AD60+AD58+AD47+AD27+AD6</f>
        <v>10789774.521073727</v>
      </c>
      <c r="AE71" s="28">
        <f t="shared" si="348"/>
        <v>18027907.227763478</v>
      </c>
      <c r="AF71" s="28">
        <f t="shared" si="348"/>
        <v>9286990.1003739834</v>
      </c>
      <c r="AG71" s="28">
        <f t="shared" si="348"/>
        <v>10724234.563844474</v>
      </c>
      <c r="AH71" s="28">
        <f t="shared" si="348"/>
        <v>17864174.996546976</v>
      </c>
      <c r="AI71" s="28">
        <f t="shared" si="348"/>
        <v>11854877.405799225</v>
      </c>
      <c r="AJ71" s="28">
        <f t="shared" si="348"/>
        <v>11867647.002558727</v>
      </c>
      <c r="AK71" s="28">
        <f t="shared" si="348"/>
        <v>19193175.38343548</v>
      </c>
      <c r="AL71" s="28">
        <f t="shared" si="348"/>
        <v>10088773.313031554</v>
      </c>
      <c r="AM71" s="28">
        <f t="shared" si="348"/>
        <v>9455746.4020995591</v>
      </c>
      <c r="AN71" s="28">
        <f t="shared" si="348"/>
        <v>18107232.482203223</v>
      </c>
      <c r="AO71" s="28">
        <f t="shared" si="348"/>
        <v>158462721.23213661</v>
      </c>
      <c r="AQ71" s="58">
        <f t="shared" ref="AQ71:BC71" si="349">+AQ60+AQ58+AQ47+AQ27+AQ6</f>
        <v>5487669.5815412616</v>
      </c>
      <c r="AR71" s="58">
        <f t="shared" si="349"/>
        <v>4893061.5749786953</v>
      </c>
      <c r="AS71" s="58">
        <f t="shared" si="349"/>
        <v>6489854.2741011465</v>
      </c>
      <c r="AT71" s="58">
        <f t="shared" si="349"/>
        <v>4238382.7727894625</v>
      </c>
      <c r="AU71" s="58">
        <f t="shared" si="349"/>
        <v>3880388.3621865832</v>
      </c>
      <c r="AV71" s="58">
        <f t="shared" si="349"/>
        <v>5788734.3196156612</v>
      </c>
      <c r="AW71" s="58">
        <f t="shared" si="349"/>
        <v>5245683.1801925953</v>
      </c>
      <c r="AX71" s="58">
        <f t="shared" si="349"/>
        <v>5394447.7683339482</v>
      </c>
      <c r="AY71" s="58">
        <f t="shared" si="349"/>
        <v>6841967.7294731308</v>
      </c>
      <c r="AZ71" s="58">
        <f t="shared" si="349"/>
        <v>4851820.0766617889</v>
      </c>
      <c r="BA71" s="58">
        <f t="shared" si="349"/>
        <v>4867916.9389336705</v>
      </c>
      <c r="BB71" s="58">
        <f t="shared" si="349"/>
        <v>11361388.78865198</v>
      </c>
      <c r="BC71" s="58">
        <f t="shared" si="349"/>
        <v>69341315.367459923</v>
      </c>
      <c r="BD71" s="14" t="str">
        <f t="shared" si="334"/>
        <v>Total Income</v>
      </c>
      <c r="BE71" s="28">
        <f t="shared" ref="BE71:BP71" si="350">+BE60+BE58+BE47+BE27+BE6</f>
        <v>3496394.0254224953</v>
      </c>
      <c r="BF71" s="28">
        <f t="shared" si="350"/>
        <v>4089189.4168735379</v>
      </c>
      <c r="BG71" s="28">
        <f t="shared" si="350"/>
        <v>7297416.5211082716</v>
      </c>
      <c r="BH71" s="28">
        <f t="shared" si="350"/>
        <v>5873268.3965285849</v>
      </c>
      <c r="BI71" s="28">
        <f t="shared" si="350"/>
        <v>9511018.6881441716</v>
      </c>
      <c r="BJ71" s="28">
        <f t="shared" si="350"/>
        <v>5967480.387501115</v>
      </c>
      <c r="BK71" s="28">
        <f t="shared" si="350"/>
        <v>6932416.4687336553</v>
      </c>
      <c r="BL71" s="28">
        <f t="shared" si="350"/>
        <v>6446954.3012164729</v>
      </c>
      <c r="BM71" s="28">
        <f t="shared" si="350"/>
        <v>9849424.9684768654</v>
      </c>
      <c r="BN71" s="28">
        <f t="shared" si="350"/>
        <v>5378443.5534755699</v>
      </c>
      <c r="BO71" s="28">
        <f t="shared" si="350"/>
        <v>0</v>
      </c>
      <c r="BP71" s="28">
        <f t="shared" si="350"/>
        <v>0</v>
      </c>
      <c r="BQ71" s="28">
        <f t="shared" ref="BQ71" si="351">+BQ60+BQ58+BQ47+BQ27+BQ6</f>
        <v>64842006.727480747</v>
      </c>
      <c r="BR71" s="118">
        <f t="shared" si="145"/>
        <v>1.3949539967068299E-2</v>
      </c>
      <c r="BS71" s="58">
        <f t="shared" ref="BS71:CE71" si="352">+BS60+BS58+BS47+BS27+BS6</f>
        <v>5605262.7866811575</v>
      </c>
      <c r="BT71" s="58">
        <f t="shared" si="352"/>
        <v>5403532.9851334859</v>
      </c>
      <c r="BU71" s="58">
        <f t="shared" si="352"/>
        <v>8907588.4745648466</v>
      </c>
      <c r="BV71" s="58">
        <f t="shared" si="352"/>
        <v>4571253.1826223722</v>
      </c>
      <c r="BW71" s="58">
        <f t="shared" si="352"/>
        <v>5163013.7217986463</v>
      </c>
      <c r="BX71" s="58">
        <f t="shared" si="352"/>
        <v>9038305.8289699722</v>
      </c>
      <c r="BY71" s="58">
        <f t="shared" si="352"/>
        <v>5556787.5721011087</v>
      </c>
      <c r="BZ71" s="58">
        <f t="shared" si="352"/>
        <v>5826921.7496527843</v>
      </c>
      <c r="CA71" s="58">
        <f t="shared" si="352"/>
        <v>10115250.131598098</v>
      </c>
      <c r="CB71" s="58">
        <f t="shared" si="352"/>
        <v>5304448.9311078088</v>
      </c>
      <c r="CC71" s="58">
        <f t="shared" si="352"/>
        <v>4221582.7149831541</v>
      </c>
      <c r="CD71" s="58">
        <f t="shared" si="352"/>
        <v>9404605.7387385182</v>
      </c>
      <c r="CE71" s="58">
        <f t="shared" si="352"/>
        <v>79118553.817951947</v>
      </c>
      <c r="CF71" s="22"/>
      <c r="CG71" s="28">
        <f t="shared" ref="CG71:CS71" si="353">+CG60+CG58+CG47+CG27+CG6</f>
        <v>4481536.4362017503</v>
      </c>
      <c r="CH71" s="28">
        <f t="shared" si="353"/>
        <v>4046833.7587643228</v>
      </c>
      <c r="CI71" s="28">
        <f t="shared" si="353"/>
        <v>5094547.2459229548</v>
      </c>
      <c r="CJ71" s="28">
        <f t="shared" si="353"/>
        <v>2640339.7330459193</v>
      </c>
      <c r="CK71" s="28">
        <f t="shared" si="353"/>
        <v>3780630.9949757252</v>
      </c>
      <c r="CL71" s="28">
        <f t="shared" si="353"/>
        <v>4891108.9435945265</v>
      </c>
      <c r="CM71" s="28">
        <f t="shared" si="353"/>
        <v>4020120.8563378127</v>
      </c>
      <c r="CN71" s="28">
        <f t="shared" si="353"/>
        <v>3675306.294299962</v>
      </c>
      <c r="CO71" s="28">
        <f t="shared" si="353"/>
        <v>4538886.4024867415</v>
      </c>
      <c r="CP71" s="28">
        <f t="shared" si="353"/>
        <v>5034422.4034960931</v>
      </c>
      <c r="CQ71" s="28">
        <f t="shared" si="353"/>
        <v>4267264.7302551884</v>
      </c>
      <c r="CR71" s="28">
        <f t="shared" si="353"/>
        <v>4859408.1418836135</v>
      </c>
      <c r="CS71" s="58">
        <f t="shared" si="353"/>
        <v>51330405.941264614</v>
      </c>
      <c r="CT71" s="14" t="str">
        <f t="shared" si="338"/>
        <v>Total Income</v>
      </c>
      <c r="CU71" s="28">
        <f t="shared" ref="CU71:DF71" si="354">+CU60+CU58+CU47+CU27+CU6</f>
        <v>2564743.4492496545</v>
      </c>
      <c r="CV71" s="28">
        <f t="shared" si="354"/>
        <v>2105112.3894792055</v>
      </c>
      <c r="CW71" s="28">
        <f t="shared" si="354"/>
        <v>4217397.243352944</v>
      </c>
      <c r="CX71" s="28">
        <f t="shared" si="354"/>
        <v>2885096.5730565968</v>
      </c>
      <c r="CY71" s="28">
        <f t="shared" si="354"/>
        <v>3662540.6373411668</v>
      </c>
      <c r="CZ71" s="28">
        <f t="shared" si="354"/>
        <v>3964279.5078386832</v>
      </c>
      <c r="DA71" s="28">
        <f t="shared" si="354"/>
        <v>3803153.2685795934</v>
      </c>
      <c r="DB71" s="28">
        <f t="shared" si="354"/>
        <v>3959926.6487013614</v>
      </c>
      <c r="DC71" s="28">
        <f t="shared" si="354"/>
        <v>4404906.4283146411</v>
      </c>
      <c r="DD71" s="28">
        <f t="shared" si="354"/>
        <v>3334420.5499509331</v>
      </c>
      <c r="DE71" s="28">
        <f t="shared" si="354"/>
        <v>0</v>
      </c>
      <c r="DF71" s="28">
        <f t="shared" si="354"/>
        <v>0</v>
      </c>
      <c r="DG71" s="28">
        <f t="shared" ref="DG71" si="355">+DG60+DG58+DG47+DG27+DG6</f>
        <v>34901576.695864774</v>
      </c>
      <c r="DH71" s="118">
        <f t="shared" si="149"/>
        <v>-4.3756664104787429E-2</v>
      </c>
      <c r="DI71" s="28">
        <f t="shared" ref="DI71:DU71" si="356">+DI60+DI58+DI47+DI27+DI6</f>
        <v>4133945.3758336729</v>
      </c>
      <c r="DJ71" s="28">
        <f t="shared" si="356"/>
        <v>4030535.2159036985</v>
      </c>
      <c r="DK71" s="28">
        <f t="shared" si="356"/>
        <v>6894627.876713112</v>
      </c>
      <c r="DL71" s="28">
        <f t="shared" si="356"/>
        <v>3367106.7971585342</v>
      </c>
      <c r="DM71" s="28">
        <f t="shared" si="356"/>
        <v>3932154.6174367098</v>
      </c>
      <c r="DN71" s="28">
        <f t="shared" si="356"/>
        <v>6527164.5790967364</v>
      </c>
      <c r="DO71" s="28">
        <f t="shared" si="356"/>
        <v>4437765.797935823</v>
      </c>
      <c r="DP71" s="28">
        <f t="shared" si="356"/>
        <v>4259891.0362887979</v>
      </c>
      <c r="DQ71" s="28">
        <f t="shared" si="356"/>
        <v>6664976.3214083612</v>
      </c>
      <c r="DR71" s="28">
        <f t="shared" si="356"/>
        <v>3487000.039408721</v>
      </c>
      <c r="DS71" s="28">
        <f t="shared" si="356"/>
        <v>3873607.4428916727</v>
      </c>
      <c r="DT71" s="28">
        <f t="shared" si="356"/>
        <v>6584776.185200084</v>
      </c>
      <c r="DU71" s="58">
        <f t="shared" si="356"/>
        <v>58193551.285275906</v>
      </c>
      <c r="DW71" s="28">
        <f t="shared" ref="DW71:EI71" si="357">+DW60+DW58+DW47+DW27+DW6</f>
        <v>0</v>
      </c>
      <c r="DX71" s="28">
        <f t="shared" si="357"/>
        <v>0</v>
      </c>
      <c r="DY71" s="28">
        <f t="shared" si="357"/>
        <v>0</v>
      </c>
      <c r="DZ71" s="28">
        <f t="shared" si="357"/>
        <v>0</v>
      </c>
      <c r="EA71" s="28">
        <f t="shared" si="357"/>
        <v>0</v>
      </c>
      <c r="EB71" s="28">
        <f t="shared" si="357"/>
        <v>0</v>
      </c>
      <c r="EC71" s="28">
        <f t="shared" si="357"/>
        <v>0</v>
      </c>
      <c r="ED71" s="28">
        <f t="shared" si="357"/>
        <v>0</v>
      </c>
      <c r="EE71" s="28">
        <f t="shared" si="357"/>
        <v>0</v>
      </c>
      <c r="EF71" s="28">
        <f t="shared" si="357"/>
        <v>0</v>
      </c>
      <c r="EG71" s="28">
        <f t="shared" si="357"/>
        <v>0</v>
      </c>
      <c r="EH71" s="28">
        <f t="shared" si="357"/>
        <v>0</v>
      </c>
      <c r="EI71" s="58">
        <f t="shared" si="357"/>
        <v>0</v>
      </c>
      <c r="EJ71" s="14" t="str">
        <f t="shared" si="71"/>
        <v>Total Income</v>
      </c>
      <c r="EK71" s="28">
        <f t="shared" ref="EK71:EV71" si="358">+EK60+EK58+EK47+EK27+EK6</f>
        <v>745420.80749969766</v>
      </c>
      <c r="EL71" s="28">
        <f t="shared" si="358"/>
        <v>1142644.3242838248</v>
      </c>
      <c r="EM71" s="28">
        <f t="shared" si="358"/>
        <v>1431751.9938242186</v>
      </c>
      <c r="EN71" s="28">
        <f t="shared" si="358"/>
        <v>1032871.3419283959</v>
      </c>
      <c r="EO71" s="28">
        <f t="shared" si="358"/>
        <v>812402.8494237744</v>
      </c>
      <c r="EP71" s="28">
        <f t="shared" si="358"/>
        <v>1679698.2048908535</v>
      </c>
      <c r="EQ71" s="28">
        <f t="shared" si="358"/>
        <v>1011571.97231189</v>
      </c>
      <c r="ER71" s="28">
        <f t="shared" si="358"/>
        <v>1127328.5049996595</v>
      </c>
      <c r="ES71" s="28">
        <f t="shared" si="358"/>
        <v>2373000.3476707172</v>
      </c>
      <c r="ET71" s="28">
        <f t="shared" si="358"/>
        <v>1439113.7158386044</v>
      </c>
      <c r="EU71" s="28">
        <f t="shared" si="358"/>
        <v>0</v>
      </c>
      <c r="EV71" s="28">
        <f t="shared" si="358"/>
        <v>0</v>
      </c>
      <c r="EW71" s="28">
        <f t="shared" ref="EW71" si="359">+EW60+EW58+EW47+EW27+EW6</f>
        <v>12795804.062671639</v>
      </c>
      <c r="EX71" s="118">
        <f t="shared" si="153"/>
        <v>0.10929369678572345</v>
      </c>
      <c r="EY71" s="58">
        <f t="shared" ref="EY71:FK71" si="360">+EY60+EY58+EY47+EY27+EY6</f>
        <v>1462979.6708913953</v>
      </c>
      <c r="EZ71" s="58">
        <f t="shared" si="360"/>
        <v>1355706.3200365454</v>
      </c>
      <c r="FA71" s="58">
        <f t="shared" si="360"/>
        <v>2225690.8764855205</v>
      </c>
      <c r="FB71" s="58">
        <f t="shared" si="360"/>
        <v>1348630.1205930705</v>
      </c>
      <c r="FC71" s="58">
        <f t="shared" si="360"/>
        <v>1629066.2246091205</v>
      </c>
      <c r="FD71" s="58">
        <f t="shared" si="360"/>
        <v>2298704.5884802705</v>
      </c>
      <c r="FE71" s="58">
        <f t="shared" si="360"/>
        <v>1860324.0357622956</v>
      </c>
      <c r="FF71" s="58">
        <f t="shared" si="360"/>
        <v>1780834.2166171456</v>
      </c>
      <c r="FG71" s="58">
        <f t="shared" si="360"/>
        <v>2412948.9304290204</v>
      </c>
      <c r="FH71" s="58">
        <f t="shared" si="360"/>
        <v>1297324.3425150288</v>
      </c>
      <c r="FI71" s="58">
        <f t="shared" si="360"/>
        <v>1360556.244224729</v>
      </c>
      <c r="FJ71" s="58">
        <f t="shared" si="360"/>
        <v>2117850.5582646127</v>
      </c>
      <c r="FK71" s="58">
        <f t="shared" si="360"/>
        <v>21150616.128908765</v>
      </c>
    </row>
    <row r="72" spans="1:167" ht="14.45" customHeight="1">
      <c r="A72" s="108">
        <f>+IFERROR(A71/A70,0)</f>
        <v>0.35184873161457486</v>
      </c>
      <c r="B72" s="108">
        <f t="shared" ref="B72:M72" si="361">+IFERROR(B71/B70,0)</f>
        <v>0.34372276245719485</v>
      </c>
      <c r="C72" s="108">
        <f t="shared" si="361"/>
        <v>0.42239581812534721</v>
      </c>
      <c r="D72" s="108">
        <f t="shared" si="361"/>
        <v>0.35003526100461624</v>
      </c>
      <c r="E72" s="108">
        <f t="shared" si="361"/>
        <v>0.31845725972846339</v>
      </c>
      <c r="F72" s="108">
        <f t="shared" si="361"/>
        <v>0.34647126389822885</v>
      </c>
      <c r="G72" s="108">
        <f t="shared" si="361"/>
        <v>0.35421899403167217</v>
      </c>
      <c r="H72" s="108">
        <f t="shared" si="361"/>
        <v>0.34648519619114532</v>
      </c>
      <c r="I72" s="108">
        <f t="shared" si="361"/>
        <v>0.33374284780990243</v>
      </c>
      <c r="J72" s="108">
        <f t="shared" si="361"/>
        <v>0.38148884958796514</v>
      </c>
      <c r="K72" s="108">
        <f t="shared" si="361"/>
        <v>0.31091970960456017</v>
      </c>
      <c r="L72" s="108">
        <f t="shared" si="361"/>
        <v>0.46971315073181125</v>
      </c>
      <c r="M72" s="108">
        <f t="shared" si="361"/>
        <v>0.3628503794652248</v>
      </c>
      <c r="N72" s="15" t="s">
        <v>58</v>
      </c>
      <c r="O72" s="108">
        <f>+IFERROR(O71/O70,0)</f>
        <v>0.28655604805190404</v>
      </c>
      <c r="P72" s="108">
        <f t="shared" ref="P72:AA72" si="362">+IFERROR(P71/P70,0)</f>
        <v>0.26411083452152967</v>
      </c>
      <c r="Q72" s="108">
        <f t="shared" si="362"/>
        <v>0.3550526018115841</v>
      </c>
      <c r="R72" s="108">
        <f t="shared" si="362"/>
        <v>0.35332868042335253</v>
      </c>
      <c r="S72" s="108">
        <f t="shared" si="362"/>
        <v>0.35496006012093773</v>
      </c>
      <c r="T72" s="108">
        <f t="shared" si="362"/>
        <v>0.36778468317269075</v>
      </c>
      <c r="U72" s="108">
        <f t="shared" si="362"/>
        <v>0.32231631420744211</v>
      </c>
      <c r="V72" s="108">
        <f t="shared" si="362"/>
        <v>0.32625982024637612</v>
      </c>
      <c r="W72" s="108">
        <f t="shared" si="362"/>
        <v>0.42227143581679877</v>
      </c>
      <c r="X72" s="108">
        <f t="shared" si="362"/>
        <v>0.28568925560928959</v>
      </c>
      <c r="Y72" s="108">
        <f t="shared" si="362"/>
        <v>0</v>
      </c>
      <c r="Z72" s="108">
        <f t="shared" si="362"/>
        <v>0</v>
      </c>
      <c r="AA72" s="108">
        <f t="shared" si="362"/>
        <v>0.33756012381004025</v>
      </c>
      <c r="AB72" s="118">
        <f t="shared" si="140"/>
        <v>-0.15407289245696315</v>
      </c>
      <c r="AC72" s="108">
        <f>+IFERROR(AC71/AC70,0)</f>
        <v>0.34004129949321787</v>
      </c>
      <c r="AD72" s="108">
        <f t="shared" ref="AD72:AO72" si="363">+IFERROR(AD71/AD70,0)</f>
        <v>0.33664315445545323</v>
      </c>
      <c r="AE72" s="108">
        <f t="shared" si="363"/>
        <v>0.45475445701083117</v>
      </c>
      <c r="AF72" s="108">
        <f t="shared" si="363"/>
        <v>0.33121088678393767</v>
      </c>
      <c r="AG72" s="108">
        <f t="shared" si="363"/>
        <v>0.33728269150584772</v>
      </c>
      <c r="AH72" s="108">
        <f t="shared" si="363"/>
        <v>0.4490405581690603</v>
      </c>
      <c r="AI72" s="108">
        <f t="shared" si="363"/>
        <v>0.34176448306546547</v>
      </c>
      <c r="AJ72" s="108">
        <f t="shared" si="363"/>
        <v>0.34121387049739893</v>
      </c>
      <c r="AK72" s="108">
        <f t="shared" si="363"/>
        <v>0.45221260200324653</v>
      </c>
      <c r="AL72" s="108">
        <f t="shared" si="363"/>
        <v>0.33772325424002925</v>
      </c>
      <c r="AM72" s="108">
        <f t="shared" si="363"/>
        <v>0.33703917899277108</v>
      </c>
      <c r="AN72" s="108">
        <f t="shared" si="363"/>
        <v>0.4541340893951657</v>
      </c>
      <c r="AO72" s="108">
        <f t="shared" si="363"/>
        <v>0.38279041842359723</v>
      </c>
      <c r="AP72" s="32"/>
      <c r="AQ72" s="108">
        <f t="shared" ref="AQ72:BC72" si="364">+IFERROR(AQ71/AQ70,0)</f>
        <v>0.34473811390017495</v>
      </c>
      <c r="AR72" s="108">
        <f t="shared" si="364"/>
        <v>0.35904654735859109</v>
      </c>
      <c r="AS72" s="108">
        <f t="shared" si="364"/>
        <v>0.39976988460550289</v>
      </c>
      <c r="AT72" s="108">
        <f t="shared" si="364"/>
        <v>0.32679429255835918</v>
      </c>
      <c r="AU72" s="108">
        <f t="shared" si="364"/>
        <v>0.3104399986650962</v>
      </c>
      <c r="AV72" s="108">
        <f t="shared" si="364"/>
        <v>0.36215724534367938</v>
      </c>
      <c r="AW72" s="108">
        <f t="shared" si="364"/>
        <v>0.3364495501370186</v>
      </c>
      <c r="AX72" s="108">
        <f t="shared" si="364"/>
        <v>0.33342592926239278</v>
      </c>
      <c r="AY72" s="108">
        <f t="shared" si="364"/>
        <v>0.30348058336782568</v>
      </c>
      <c r="AZ72" s="108">
        <f t="shared" si="364"/>
        <v>0.29742887695080344</v>
      </c>
      <c r="BA72" s="108">
        <f t="shared" si="364"/>
        <v>0.26964136076878836</v>
      </c>
      <c r="BB72" s="108">
        <f t="shared" si="364"/>
        <v>0.46756519227352628</v>
      </c>
      <c r="BC72" s="108">
        <f t="shared" si="364"/>
        <v>0.34633677441049809</v>
      </c>
      <c r="BD72" s="46" t="str">
        <f t="shared" si="334"/>
        <v>% to Sales</v>
      </c>
      <c r="BE72" s="108">
        <f t="shared" ref="BE72:BP72" si="365">+IFERROR(BE71/BE70,0)</f>
        <v>0.28192205901846934</v>
      </c>
      <c r="BF72" s="108">
        <f t="shared" si="365"/>
        <v>0.26230734989749777</v>
      </c>
      <c r="BG72" s="108">
        <f t="shared" si="365"/>
        <v>0.31231634883026888</v>
      </c>
      <c r="BH72" s="108">
        <f t="shared" si="365"/>
        <v>0.33627640165182998</v>
      </c>
      <c r="BI72" s="108">
        <f t="shared" si="365"/>
        <v>0.38805054848126197</v>
      </c>
      <c r="BJ72" s="108">
        <f t="shared" si="365"/>
        <v>0.34209445928187343</v>
      </c>
      <c r="BK72" s="108">
        <f t="shared" si="365"/>
        <v>0.31711576586325019</v>
      </c>
      <c r="BL72" s="108">
        <f t="shared" si="365"/>
        <v>0.29545168814490719</v>
      </c>
      <c r="BM72" s="108">
        <f t="shared" si="365"/>
        <v>0.40347937965787617</v>
      </c>
      <c r="BN72" s="108">
        <f t="shared" si="365"/>
        <v>0.27229541174417643</v>
      </c>
      <c r="BO72" s="108">
        <f t="shared" si="365"/>
        <v>0</v>
      </c>
      <c r="BP72" s="108">
        <f t="shared" si="365"/>
        <v>0</v>
      </c>
      <c r="BQ72" s="108">
        <f t="shared" ref="BQ72" si="366">+IFERROR(BQ71/BQ70,0)</f>
        <v>0.32646094527598024</v>
      </c>
      <c r="BR72" s="118">
        <f t="shared" si="145"/>
        <v>-0.18687791841055412</v>
      </c>
      <c r="BS72" s="108">
        <f t="shared" ref="BS72:CE72" si="367">+IFERROR(BS71/BS70,0)</f>
        <v>0.34084269164484743</v>
      </c>
      <c r="BT72" s="108">
        <f t="shared" si="367"/>
        <v>0.33549415279416095</v>
      </c>
      <c r="BU72" s="108">
        <f t="shared" si="367"/>
        <v>0.47026658265444082</v>
      </c>
      <c r="BV72" s="108">
        <f t="shared" si="367"/>
        <v>0.3286753822206383</v>
      </c>
      <c r="BW72" s="108">
        <f t="shared" si="367"/>
        <v>0.33444355777769846</v>
      </c>
      <c r="BX72" s="108">
        <f t="shared" si="367"/>
        <v>0.45932400068471879</v>
      </c>
      <c r="BY72" s="108">
        <f t="shared" si="367"/>
        <v>0.33843224750382689</v>
      </c>
      <c r="BZ72" s="108">
        <f t="shared" si="367"/>
        <v>0.33915766576614692</v>
      </c>
      <c r="CA72" s="108">
        <f t="shared" si="367"/>
        <v>0.45744425305723224</v>
      </c>
      <c r="CB72" s="108">
        <f t="shared" si="367"/>
        <v>0.33487642004741586</v>
      </c>
      <c r="CC72" s="108">
        <f t="shared" si="367"/>
        <v>0.33018558842619666</v>
      </c>
      <c r="CD72" s="108">
        <f t="shared" si="367"/>
        <v>0.45868272240961666</v>
      </c>
      <c r="CE72" s="108">
        <f t="shared" si="367"/>
        <v>0.38527223545182798</v>
      </c>
      <c r="CF72" s="32"/>
      <c r="CG72" s="108">
        <f t="shared" ref="CG72:CS72" si="368">+IFERROR(CG71/CG70,0)</f>
        <v>0.36096558238535797</v>
      </c>
      <c r="CH72" s="108">
        <f t="shared" si="368"/>
        <v>0.32685580270628711</v>
      </c>
      <c r="CI72" s="108">
        <f t="shared" si="368"/>
        <v>0.45521618876510389</v>
      </c>
      <c r="CJ72" s="108">
        <f t="shared" si="368"/>
        <v>0.39514573861996477</v>
      </c>
      <c r="CK72" s="108">
        <f t="shared" si="368"/>
        <v>0.3271284265256042</v>
      </c>
      <c r="CL72" s="108">
        <f t="shared" si="368"/>
        <v>0.32957668833475318</v>
      </c>
      <c r="CM72" s="108">
        <f t="shared" si="368"/>
        <v>0.38043699499074218</v>
      </c>
      <c r="CN72" s="108">
        <f t="shared" si="368"/>
        <v>0.36761864688111723</v>
      </c>
      <c r="CO72" s="108">
        <f t="shared" si="368"/>
        <v>0.3927841894507853</v>
      </c>
      <c r="CP72" s="108">
        <f t="shared" si="368"/>
        <v>0.52429045960819209</v>
      </c>
      <c r="CQ72" s="108">
        <f t="shared" si="368"/>
        <v>0.37670536122365933</v>
      </c>
      <c r="CR72" s="108">
        <f t="shared" si="368"/>
        <v>0.47481296451492322</v>
      </c>
      <c r="CS72" s="108">
        <f t="shared" si="368"/>
        <v>0.38783099756427403</v>
      </c>
      <c r="CT72" s="22"/>
      <c r="CU72" s="108">
        <f t="shared" ref="CU72:DF72" si="369">+IFERROR(CU71/CU70,0)</f>
        <v>0.2769464096554653</v>
      </c>
      <c r="CV72" s="108">
        <f t="shared" si="369"/>
        <v>0.2569941391004627</v>
      </c>
      <c r="CW72" s="108">
        <f t="shared" si="369"/>
        <v>0.41462855588143038</v>
      </c>
      <c r="CX72" s="108">
        <f t="shared" si="369"/>
        <v>0.35963441452313843</v>
      </c>
      <c r="CY72" s="108">
        <f t="shared" si="369"/>
        <v>0.32141175314415782</v>
      </c>
      <c r="CZ72" s="108">
        <f t="shared" si="369"/>
        <v>0.39826193873431603</v>
      </c>
      <c r="DA72" s="108">
        <f t="shared" si="369"/>
        <v>0.34603576784242379</v>
      </c>
      <c r="DB72" s="108">
        <f t="shared" si="369"/>
        <v>0.4087083579115286</v>
      </c>
      <c r="DC72" s="108">
        <f t="shared" si="369"/>
        <v>0.42322813706164758</v>
      </c>
      <c r="DD72" s="108">
        <f t="shared" si="369"/>
        <v>0.29668873459704037</v>
      </c>
      <c r="DE72" s="108">
        <f t="shared" si="369"/>
        <v>0</v>
      </c>
      <c r="DF72" s="108">
        <f t="shared" si="369"/>
        <v>0</v>
      </c>
      <c r="DG72" s="108">
        <f t="shared" ref="DG72" si="370">+IFERROR(DG71/DG70,0)</f>
        <v>0.35140112955631142</v>
      </c>
      <c r="DH72" s="118">
        <f t="shared" si="149"/>
        <v>-9.4223426658002388E-2</v>
      </c>
      <c r="DI72" s="108">
        <f t="shared" ref="DI72:DU72" si="371">+IFERROR(DI71/DI70,0)</f>
        <v>0.33138526563543935</v>
      </c>
      <c r="DJ72" s="108">
        <f t="shared" si="371"/>
        <v>0.33078605772285935</v>
      </c>
      <c r="DK72" s="108">
        <f t="shared" si="371"/>
        <v>0.43587931899539184</v>
      </c>
      <c r="DL72" s="108">
        <f t="shared" si="371"/>
        <v>0.32443687773668339</v>
      </c>
      <c r="DM72" s="108">
        <f t="shared" si="371"/>
        <v>0.3301972190493066</v>
      </c>
      <c r="DN72" s="108">
        <f t="shared" si="371"/>
        <v>0.43554834078881599</v>
      </c>
      <c r="DO72" s="108">
        <f t="shared" si="371"/>
        <v>0.334630352908379</v>
      </c>
      <c r="DP72" s="108">
        <f t="shared" si="371"/>
        <v>0.33328212165032867</v>
      </c>
      <c r="DQ72" s="108">
        <f t="shared" si="371"/>
        <v>0.44416972579589498</v>
      </c>
      <c r="DR72" s="108">
        <f t="shared" si="371"/>
        <v>0.32755178631123466</v>
      </c>
      <c r="DS72" s="108">
        <f t="shared" si="371"/>
        <v>0.32976000234508496</v>
      </c>
      <c r="DT72" s="108">
        <f t="shared" si="371"/>
        <v>0.4390007472852181</v>
      </c>
      <c r="DU72" s="108">
        <f t="shared" si="371"/>
        <v>0.37257997352902472</v>
      </c>
      <c r="DV72" s="32"/>
      <c r="DW72" s="108">
        <f t="shared" ref="DW72:EI72" si="372">+IFERROR(DW71/DW70,0)</f>
        <v>0</v>
      </c>
      <c r="DX72" s="108">
        <f t="shared" si="372"/>
        <v>0</v>
      </c>
      <c r="DY72" s="108">
        <f t="shared" si="372"/>
        <v>0</v>
      </c>
      <c r="DZ72" s="108">
        <f t="shared" si="372"/>
        <v>0</v>
      </c>
      <c r="EA72" s="108">
        <f t="shared" si="372"/>
        <v>0</v>
      </c>
      <c r="EB72" s="108">
        <f t="shared" si="372"/>
        <v>0</v>
      </c>
      <c r="EC72" s="108">
        <f t="shared" si="372"/>
        <v>0</v>
      </c>
      <c r="ED72" s="108">
        <f t="shared" si="372"/>
        <v>0</v>
      </c>
      <c r="EE72" s="108">
        <f t="shared" si="372"/>
        <v>0</v>
      </c>
      <c r="EF72" s="108">
        <f t="shared" si="372"/>
        <v>0</v>
      </c>
      <c r="EG72" s="108">
        <f t="shared" si="372"/>
        <v>0</v>
      </c>
      <c r="EH72" s="108">
        <f t="shared" si="372"/>
        <v>0</v>
      </c>
      <c r="EI72" s="108">
        <f t="shared" si="372"/>
        <v>0</v>
      </c>
      <c r="EJ72" s="22"/>
      <c r="EK72" s="108">
        <f t="shared" ref="EK72:EV72" si="373">+IFERROR(EK71/EK70,0)</f>
        <v>0.35662785387079504</v>
      </c>
      <c r="EL72" s="108">
        <f t="shared" si="373"/>
        <v>0.28571759784870165</v>
      </c>
      <c r="EM72" s="108">
        <f t="shared" si="373"/>
        <v>0.48918264564683694</v>
      </c>
      <c r="EN72" s="108">
        <f t="shared" si="373"/>
        <v>0.46452305491647661</v>
      </c>
      <c r="EO72" s="108">
        <f t="shared" si="373"/>
        <v>0.23234075372768498</v>
      </c>
      <c r="EP72" s="108">
        <f t="shared" si="373"/>
        <v>0.40247308069383819</v>
      </c>
      <c r="EQ72" s="108">
        <f t="shared" si="373"/>
        <v>0.28141985198386726</v>
      </c>
      <c r="ER72" s="108">
        <f t="shared" si="373"/>
        <v>0.29332444383686634</v>
      </c>
      <c r="ES72" s="108">
        <f t="shared" si="373"/>
        <v>0.52075646158411348</v>
      </c>
      <c r="ET72" s="108">
        <f t="shared" si="373"/>
        <v>0.31670535737922095</v>
      </c>
      <c r="EU72" s="108">
        <f t="shared" si="373"/>
        <v>0</v>
      </c>
      <c r="EV72" s="108">
        <f t="shared" si="373"/>
        <v>0</v>
      </c>
      <c r="EW72" s="108">
        <f t="shared" ref="EW72" si="374">+IFERROR(EW71/EW70,0)</f>
        <v>0.3990092310901564</v>
      </c>
      <c r="EX72" s="118">
        <f t="shared" si="153"/>
        <v>-0.17310115068587198</v>
      </c>
      <c r="EY72" s="108">
        <f t="shared" ref="EY72:FK72" si="375">+IFERROR(EY71/EY70,0)</f>
        <v>0.36360317228759154</v>
      </c>
      <c r="EZ72" s="108">
        <f t="shared" si="375"/>
        <v>0.36054454237737971</v>
      </c>
      <c r="FA72" s="108">
        <f t="shared" si="375"/>
        <v>0.45572460724942004</v>
      </c>
      <c r="FB72" s="108">
        <f t="shared" si="375"/>
        <v>0.35933889104202316</v>
      </c>
      <c r="FC72" s="108">
        <f t="shared" si="375"/>
        <v>0.36609415219703834</v>
      </c>
      <c r="FD72" s="108">
        <f t="shared" si="375"/>
        <v>0.44901009126296099</v>
      </c>
      <c r="FE72" s="108">
        <f t="shared" si="375"/>
        <v>0.37159112394980143</v>
      </c>
      <c r="FF72" s="108">
        <f t="shared" si="375"/>
        <v>0.36958546437526085</v>
      </c>
      <c r="FG72" s="108">
        <f t="shared" si="375"/>
        <v>0.45315199819762153</v>
      </c>
      <c r="FH72" s="108">
        <f t="shared" si="375"/>
        <v>0.38300374663952247</v>
      </c>
      <c r="FI72" s="108">
        <f t="shared" si="375"/>
        <v>0.38618143111744896</v>
      </c>
      <c r="FJ72" s="108">
        <f t="shared" si="375"/>
        <v>0.48474256696180229</v>
      </c>
      <c r="FK72" s="108">
        <f t="shared" si="375"/>
        <v>0.42920919787199191</v>
      </c>
    </row>
    <row r="73" spans="1:167" ht="14.4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16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118">
        <f t="shared" si="140"/>
        <v>0</v>
      </c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16">
        <f t="shared" si="334"/>
        <v>0</v>
      </c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118">
        <f t="shared" si="145"/>
        <v>0</v>
      </c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22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58"/>
      <c r="CT73" s="16">
        <f t="shared" si="338"/>
        <v>0</v>
      </c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118">
        <f t="shared" si="149"/>
        <v>0</v>
      </c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5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58"/>
      <c r="EJ73" s="16">
        <f t="shared" ref="EJ73:EJ136" si="376">CT73</f>
        <v>0</v>
      </c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118">
        <f t="shared" si="153"/>
        <v>0</v>
      </c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58"/>
    </row>
    <row r="74" spans="1:167" ht="14.4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6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118">
        <f t="shared" si="140"/>
        <v>0</v>
      </c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6">
        <f t="shared" si="334"/>
        <v>0</v>
      </c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118">
        <f t="shared" si="145"/>
        <v>0</v>
      </c>
      <c r="BS74" s="106"/>
      <c r="BT74" s="106"/>
      <c r="BU74" s="106"/>
      <c r="BV74" s="106"/>
      <c r="BW74" s="106"/>
      <c r="BX74" s="106"/>
      <c r="BY74" s="106"/>
      <c r="BZ74" s="106"/>
      <c r="CA74" s="106"/>
      <c r="CB74" s="106"/>
      <c r="CC74" s="106"/>
      <c r="CD74" s="106"/>
      <c r="CE74" s="106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106"/>
      <c r="CT74" s="16">
        <f t="shared" si="338"/>
        <v>0</v>
      </c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118">
        <f t="shared" si="149"/>
        <v>0</v>
      </c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106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106"/>
      <c r="EJ74" s="16">
        <f t="shared" si="376"/>
        <v>0</v>
      </c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118">
        <f t="shared" si="153"/>
        <v>0</v>
      </c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106"/>
    </row>
    <row r="75" spans="1:167" ht="14.45" customHeight="1">
      <c r="A75" s="58">
        <f t="shared" ref="A75:M75" si="377">+A76+A87+A90</f>
        <v>553267.32100000011</v>
      </c>
      <c r="B75" s="58">
        <f t="shared" si="377"/>
        <v>491605.71199999994</v>
      </c>
      <c r="C75" s="58">
        <f t="shared" si="377"/>
        <v>473305.32</v>
      </c>
      <c r="D75" s="58">
        <f t="shared" si="377"/>
        <v>333665.17100000003</v>
      </c>
      <c r="E75" s="58">
        <f t="shared" si="377"/>
        <v>387087.08</v>
      </c>
      <c r="F75" s="58">
        <f t="shared" si="377"/>
        <v>309567.27</v>
      </c>
      <c r="G75" s="58">
        <f t="shared" si="377"/>
        <v>524664.39199999976</v>
      </c>
      <c r="H75" s="58">
        <f t="shared" si="377"/>
        <v>120333.626</v>
      </c>
      <c r="I75" s="58">
        <f t="shared" si="377"/>
        <v>607786.52500000002</v>
      </c>
      <c r="J75" s="58">
        <f t="shared" si="377"/>
        <v>643803.99699999997</v>
      </c>
      <c r="K75" s="58">
        <f t="shared" si="377"/>
        <v>532307.77499999991</v>
      </c>
      <c r="L75" s="58">
        <f t="shared" si="377"/>
        <v>464153.52099999995</v>
      </c>
      <c r="M75" s="58">
        <f t="shared" si="377"/>
        <v>5441547.71</v>
      </c>
      <c r="N75" s="17" t="s">
        <v>59</v>
      </c>
      <c r="O75" s="28">
        <f>+O76+O87+O90</f>
        <v>498407.05631727795</v>
      </c>
      <c r="P75" s="28">
        <f t="shared" ref="P75:AA75" si="378">+P76+P87+P90</f>
        <v>67949.180682722013</v>
      </c>
      <c r="Q75" s="28">
        <f t="shared" si="378"/>
        <v>503960.01600000012</v>
      </c>
      <c r="R75" s="28">
        <f t="shared" si="378"/>
        <v>440376.70600000001</v>
      </c>
      <c r="S75" s="28">
        <f t="shared" si="378"/>
        <v>643398.60100000014</v>
      </c>
      <c r="T75" s="28">
        <f t="shared" si="378"/>
        <v>512006.52800000017</v>
      </c>
      <c r="U75" s="28">
        <f t="shared" si="378"/>
        <v>726773.64400000009</v>
      </c>
      <c r="V75" s="28">
        <f t="shared" si="378"/>
        <v>678328.01900000032</v>
      </c>
      <c r="W75" s="28">
        <f t="shared" si="378"/>
        <v>908688.66577777767</v>
      </c>
      <c r="X75" s="28">
        <f t="shared" si="378"/>
        <v>498392.22700000001</v>
      </c>
      <c r="Y75" s="28">
        <f t="shared" si="378"/>
        <v>0</v>
      </c>
      <c r="Z75" s="28">
        <f t="shared" si="378"/>
        <v>0</v>
      </c>
      <c r="AA75" s="28">
        <f t="shared" si="378"/>
        <v>5478280.6437777784</v>
      </c>
      <c r="AB75" s="118">
        <f t="shared" si="140"/>
        <v>-0.27443459065152459</v>
      </c>
      <c r="AC75" s="28">
        <f>+AC76+AC87+AC90</f>
        <v>741401.40330000012</v>
      </c>
      <c r="AD75" s="28">
        <f t="shared" ref="AD75:AO75" si="379">+AD76+AD87+AD90</f>
        <v>722736.36952000007</v>
      </c>
      <c r="AE75" s="28">
        <f t="shared" si="379"/>
        <v>737332.61367999995</v>
      </c>
      <c r="AF75" s="28">
        <f t="shared" si="379"/>
        <v>634568.91050000011</v>
      </c>
      <c r="AG75" s="28">
        <f t="shared" si="379"/>
        <v>717177.67470000009</v>
      </c>
      <c r="AH75" s="28">
        <f t="shared" si="379"/>
        <v>747066.69680000003</v>
      </c>
      <c r="AI75" s="28">
        <f t="shared" si="379"/>
        <v>778156.66490000009</v>
      </c>
      <c r="AJ75" s="28">
        <f t="shared" si="379"/>
        <v>784356.29300000006</v>
      </c>
      <c r="AK75" s="28">
        <f t="shared" si="379"/>
        <v>796492.56410000008</v>
      </c>
      <c r="AL75" s="28">
        <f t="shared" si="379"/>
        <v>686901.85692222218</v>
      </c>
      <c r="AM75" s="28">
        <f t="shared" si="379"/>
        <v>644653.12331555563</v>
      </c>
      <c r="AN75" s="28">
        <f t="shared" si="379"/>
        <v>755866.06778242416</v>
      </c>
      <c r="AO75" s="28">
        <f t="shared" si="379"/>
        <v>8746710.238520205</v>
      </c>
      <c r="AQ75" s="58">
        <f t="shared" ref="AQ75:BC75" si="380">+AQ76+AQ87+AQ90</f>
        <v>349554.57100000011</v>
      </c>
      <c r="AR75" s="58">
        <f t="shared" si="380"/>
        <v>298728.55499999999</v>
      </c>
      <c r="AS75" s="58">
        <f t="shared" si="380"/>
        <v>338555.5</v>
      </c>
      <c r="AT75" s="58">
        <f t="shared" si="380"/>
        <v>208703.77300000002</v>
      </c>
      <c r="AU75" s="58">
        <f t="shared" si="380"/>
        <v>330582.12</v>
      </c>
      <c r="AV75" s="58">
        <f t="shared" si="380"/>
        <v>137264.18</v>
      </c>
      <c r="AW75" s="58">
        <f t="shared" si="380"/>
        <v>310563.31999999995</v>
      </c>
      <c r="AX75" s="58">
        <f t="shared" si="380"/>
        <v>40507.4</v>
      </c>
      <c r="AY75" s="58">
        <f t="shared" si="380"/>
        <v>433521.98</v>
      </c>
      <c r="AZ75" s="58">
        <f t="shared" si="380"/>
        <v>511835.74</v>
      </c>
      <c r="BA75" s="58">
        <f t="shared" si="380"/>
        <v>338082.64</v>
      </c>
      <c r="BB75" s="58">
        <f t="shared" si="380"/>
        <v>278556.59999999998</v>
      </c>
      <c r="BC75" s="58">
        <f t="shared" si="380"/>
        <v>3576456.3790000007</v>
      </c>
      <c r="BD75" s="17" t="str">
        <f t="shared" si="334"/>
        <v>Selling &amp; Distribution Expenses</v>
      </c>
      <c r="BE75" s="28">
        <f t="shared" ref="BE75:BP75" si="381">+BE76+BE87+BE90</f>
        <v>199712.19131727799</v>
      </c>
      <c r="BF75" s="28">
        <f t="shared" si="381"/>
        <v>32365.508682722004</v>
      </c>
      <c r="BG75" s="28">
        <f t="shared" si="381"/>
        <v>279176.40500000003</v>
      </c>
      <c r="BH75" s="28">
        <f t="shared" si="381"/>
        <v>261853.16200000004</v>
      </c>
      <c r="BI75" s="28">
        <f t="shared" si="381"/>
        <v>357355.59700000007</v>
      </c>
      <c r="BJ75" s="28">
        <f t="shared" si="381"/>
        <v>262691.36200000008</v>
      </c>
      <c r="BK75" s="28">
        <f t="shared" si="381"/>
        <v>431971.304</v>
      </c>
      <c r="BL75" s="28">
        <f t="shared" si="381"/>
        <v>387120.29900000012</v>
      </c>
      <c r="BM75" s="28">
        <f t="shared" si="381"/>
        <v>616576.35422222211</v>
      </c>
      <c r="BN75" s="28">
        <f t="shared" si="381"/>
        <v>312607.91000000003</v>
      </c>
      <c r="BO75" s="28">
        <f t="shared" si="381"/>
        <v>0</v>
      </c>
      <c r="BP75" s="28">
        <f t="shared" si="381"/>
        <v>0</v>
      </c>
      <c r="BQ75" s="28">
        <f t="shared" ref="BQ75" si="382">+BQ76+BQ87+BQ90</f>
        <v>3141430.0932222228</v>
      </c>
      <c r="BR75" s="118">
        <f t="shared" si="145"/>
        <v>-0.14747991775312527</v>
      </c>
      <c r="BS75" s="58">
        <f t="shared" ref="BS75:CE75" si="383">+BS76+BS87+BS90</f>
        <v>380046.93140000006</v>
      </c>
      <c r="BT75" s="58">
        <f t="shared" si="383"/>
        <v>373298.81016000005</v>
      </c>
      <c r="BU75" s="58">
        <f t="shared" si="383"/>
        <v>353054.44644000003</v>
      </c>
      <c r="BV75" s="58">
        <f t="shared" si="383"/>
        <v>322709.57600000006</v>
      </c>
      <c r="BW75" s="58">
        <f t="shared" si="383"/>
        <v>357849.69760000007</v>
      </c>
      <c r="BX75" s="58">
        <f t="shared" si="383"/>
        <v>371884.89439999999</v>
      </c>
      <c r="BY75" s="58">
        <f t="shared" si="383"/>
        <v>378831.85920000006</v>
      </c>
      <c r="BZ75" s="58">
        <f t="shared" si="383"/>
        <v>398697.18900000007</v>
      </c>
      <c r="CA75" s="58">
        <f t="shared" si="383"/>
        <v>421416.09180000005</v>
      </c>
      <c r="CB75" s="58">
        <f t="shared" si="383"/>
        <v>366686.85759999999</v>
      </c>
      <c r="CC75" s="58">
        <f t="shared" si="383"/>
        <v>297549.48608</v>
      </c>
      <c r="CD75" s="58">
        <f t="shared" si="383"/>
        <v>386440.39231999993</v>
      </c>
      <c r="CE75" s="58">
        <f t="shared" si="383"/>
        <v>4408466.2320000008</v>
      </c>
      <c r="CF75" s="22"/>
      <c r="CG75" s="28">
        <f t="shared" ref="CG75:CS75" si="384">+CG76+CG87+CG90</f>
        <v>203712.75</v>
      </c>
      <c r="CH75" s="28">
        <f t="shared" si="384"/>
        <v>192877.15699999998</v>
      </c>
      <c r="CI75" s="28">
        <f t="shared" si="384"/>
        <v>134749.82</v>
      </c>
      <c r="CJ75" s="28">
        <f t="shared" si="384"/>
        <v>124961.39800000003</v>
      </c>
      <c r="CK75" s="28">
        <f t="shared" si="384"/>
        <v>56504.959999999999</v>
      </c>
      <c r="CL75" s="28">
        <f t="shared" si="384"/>
        <v>172303.09</v>
      </c>
      <c r="CM75" s="28">
        <f t="shared" si="384"/>
        <v>214101.07199999987</v>
      </c>
      <c r="CN75" s="28">
        <f t="shared" si="384"/>
        <v>79826.225999999995</v>
      </c>
      <c r="CO75" s="28">
        <f t="shared" si="384"/>
        <v>174264.54499999998</v>
      </c>
      <c r="CP75" s="28">
        <f t="shared" si="384"/>
        <v>131968.25700000001</v>
      </c>
      <c r="CQ75" s="28">
        <f t="shared" si="384"/>
        <v>194225.13499999995</v>
      </c>
      <c r="CR75" s="28">
        <f t="shared" si="384"/>
        <v>185596.92099999997</v>
      </c>
      <c r="CS75" s="58">
        <f t="shared" si="384"/>
        <v>1865091.331</v>
      </c>
      <c r="CT75" s="17" t="str">
        <f t="shared" si="338"/>
        <v>Selling &amp; Distribution Expenses</v>
      </c>
      <c r="CU75" s="28">
        <f t="shared" ref="CU75:DF75" si="385">+CU76+CU87+CU90</f>
        <v>77809.334999999992</v>
      </c>
      <c r="CV75" s="28">
        <f t="shared" si="385"/>
        <v>7030.6720000000005</v>
      </c>
      <c r="CW75" s="28">
        <f t="shared" si="385"/>
        <v>171366.53100000005</v>
      </c>
      <c r="CX75" s="28">
        <f t="shared" si="385"/>
        <v>141381.12400000001</v>
      </c>
      <c r="CY75" s="28">
        <f t="shared" si="385"/>
        <v>195725.90400000004</v>
      </c>
      <c r="CZ75" s="28">
        <f t="shared" si="385"/>
        <v>162237.11100000003</v>
      </c>
      <c r="DA75" s="28">
        <f t="shared" si="385"/>
        <v>229594.34500000009</v>
      </c>
      <c r="DB75" s="28">
        <f t="shared" si="385"/>
        <v>211228.4200000001</v>
      </c>
      <c r="DC75" s="28">
        <f t="shared" si="385"/>
        <v>112275.35133333322</v>
      </c>
      <c r="DD75" s="28">
        <f t="shared" si="385"/>
        <v>91281.277000000002</v>
      </c>
      <c r="DE75" s="28">
        <f t="shared" si="385"/>
        <v>0</v>
      </c>
      <c r="DF75" s="28">
        <f t="shared" si="385"/>
        <v>0</v>
      </c>
      <c r="DG75" s="28">
        <f t="shared" ref="DG75" si="386">+DG76+DG87+DG90</f>
        <v>1399930.0703333335</v>
      </c>
      <c r="DH75" s="118">
        <f t="shared" si="149"/>
        <v>-0.60941295549542696</v>
      </c>
      <c r="DI75" s="28">
        <f t="shared" ref="DI75:DU75" si="387">+DI76+DI87+DI90</f>
        <v>272198.89190000005</v>
      </c>
      <c r="DJ75" s="28">
        <f t="shared" si="387"/>
        <v>266192.35136000003</v>
      </c>
      <c r="DK75" s="28">
        <f t="shared" si="387"/>
        <v>291428.60473999998</v>
      </c>
      <c r="DL75" s="28">
        <f t="shared" si="387"/>
        <v>228614.12650000001</v>
      </c>
      <c r="DM75" s="28">
        <f t="shared" si="387"/>
        <v>260321.77709999998</v>
      </c>
      <c r="DN75" s="28">
        <f t="shared" si="387"/>
        <v>276175.60240000003</v>
      </c>
      <c r="DO75" s="28">
        <f t="shared" si="387"/>
        <v>288005.33069999999</v>
      </c>
      <c r="DP75" s="28">
        <f t="shared" si="387"/>
        <v>278444.054</v>
      </c>
      <c r="DQ75" s="28">
        <f t="shared" si="387"/>
        <v>272622.55530000001</v>
      </c>
      <c r="DR75" s="28">
        <f t="shared" si="387"/>
        <v>233702.77709999998</v>
      </c>
      <c r="DS75" s="28">
        <f t="shared" si="387"/>
        <v>256759.72168000002</v>
      </c>
      <c r="DT75" s="28">
        <f t="shared" si="387"/>
        <v>274649.00722000003</v>
      </c>
      <c r="DU75" s="58">
        <f t="shared" si="387"/>
        <v>3199114.8000000003</v>
      </c>
      <c r="DW75" s="28">
        <f t="shared" ref="DW75:EI75" si="388">+DW76+DW87+DW90</f>
        <v>0</v>
      </c>
      <c r="DX75" s="28">
        <f t="shared" si="388"/>
        <v>0</v>
      </c>
      <c r="DY75" s="28">
        <f t="shared" si="388"/>
        <v>0</v>
      </c>
      <c r="DZ75" s="28">
        <f t="shared" si="388"/>
        <v>0</v>
      </c>
      <c r="EA75" s="28">
        <f t="shared" si="388"/>
        <v>0</v>
      </c>
      <c r="EB75" s="28">
        <f t="shared" si="388"/>
        <v>0</v>
      </c>
      <c r="EC75" s="28">
        <f t="shared" si="388"/>
        <v>0</v>
      </c>
      <c r="ED75" s="28">
        <f t="shared" si="388"/>
        <v>0</v>
      </c>
      <c r="EE75" s="28">
        <f t="shared" si="388"/>
        <v>0</v>
      </c>
      <c r="EF75" s="28">
        <f t="shared" si="388"/>
        <v>0</v>
      </c>
      <c r="EG75" s="28">
        <f t="shared" si="388"/>
        <v>0</v>
      </c>
      <c r="EH75" s="28">
        <f t="shared" si="388"/>
        <v>0</v>
      </c>
      <c r="EI75" s="58">
        <f t="shared" si="388"/>
        <v>0</v>
      </c>
      <c r="EJ75" s="17" t="str">
        <f t="shared" si="376"/>
        <v>Selling &amp; Distribution Expenses</v>
      </c>
      <c r="EK75" s="28">
        <f t="shared" ref="EK75:EV75" si="389">+EK76+EK87+EK90</f>
        <v>220885.53</v>
      </c>
      <c r="EL75" s="28">
        <f t="shared" si="389"/>
        <v>28553</v>
      </c>
      <c r="EM75" s="28">
        <f t="shared" si="389"/>
        <v>53417.08</v>
      </c>
      <c r="EN75" s="28">
        <f t="shared" si="389"/>
        <v>37142.42</v>
      </c>
      <c r="EO75" s="28">
        <f t="shared" si="389"/>
        <v>90317.1</v>
      </c>
      <c r="EP75" s="28">
        <f t="shared" si="389"/>
        <v>87078.055000000008</v>
      </c>
      <c r="EQ75" s="28">
        <f t="shared" si="389"/>
        <v>65207.994999999995</v>
      </c>
      <c r="ER75" s="28">
        <f t="shared" si="389"/>
        <v>79979.299999999988</v>
      </c>
      <c r="ES75" s="28">
        <f t="shared" si="389"/>
        <v>179836.96022222226</v>
      </c>
      <c r="ET75" s="28">
        <f t="shared" si="389"/>
        <v>94503.040000000008</v>
      </c>
      <c r="EU75" s="28">
        <f t="shared" si="389"/>
        <v>0</v>
      </c>
      <c r="EV75" s="28">
        <f t="shared" si="389"/>
        <v>0</v>
      </c>
      <c r="EW75" s="28">
        <f t="shared" ref="EW75" si="390">+EW76+EW87+EW90</f>
        <v>936920.48022222216</v>
      </c>
      <c r="EX75" s="118">
        <f t="shared" si="153"/>
        <v>9.2366345153542806E-2</v>
      </c>
      <c r="EY75" s="28">
        <f t="shared" ref="EY75:FK75" si="391">+EY76+EY87+EY90</f>
        <v>89155.580000000016</v>
      </c>
      <c r="EZ75" s="28">
        <f t="shared" si="391"/>
        <v>83245.207999999999</v>
      </c>
      <c r="FA75" s="28">
        <f t="shared" si="391"/>
        <v>92849.5625</v>
      </c>
      <c r="FB75" s="28">
        <f t="shared" si="391"/>
        <v>83245.207999999999</v>
      </c>
      <c r="FC75" s="28">
        <f t="shared" si="391"/>
        <v>99006.200000000012</v>
      </c>
      <c r="FD75" s="28">
        <f t="shared" si="391"/>
        <v>99006.200000000012</v>
      </c>
      <c r="FE75" s="28">
        <f t="shared" si="391"/>
        <v>111319.47500000001</v>
      </c>
      <c r="FF75" s="28">
        <f t="shared" si="391"/>
        <v>107215.05</v>
      </c>
      <c r="FG75" s="28">
        <f t="shared" si="391"/>
        <v>102453.91700000002</v>
      </c>
      <c r="FH75" s="28">
        <f t="shared" si="391"/>
        <v>86512.222222222234</v>
      </c>
      <c r="FI75" s="28">
        <f t="shared" si="391"/>
        <v>90343.915555555577</v>
      </c>
      <c r="FJ75" s="28">
        <f t="shared" si="391"/>
        <v>94776.668242424246</v>
      </c>
      <c r="FK75" s="58">
        <f t="shared" si="391"/>
        <v>1139129.2065202021</v>
      </c>
    </row>
    <row r="76" spans="1:167" ht="14.45" hidden="1" customHeight="1" outlineLevel="1">
      <c r="A76" s="58">
        <f t="shared" ref="A76:M76" si="392">+SUM(A77:A86)</f>
        <v>29470.14</v>
      </c>
      <c r="B76" s="58">
        <f t="shared" si="392"/>
        <v>0</v>
      </c>
      <c r="C76" s="58">
        <f t="shared" si="392"/>
        <v>11500</v>
      </c>
      <c r="D76" s="58">
        <f t="shared" si="392"/>
        <v>0</v>
      </c>
      <c r="E76" s="58">
        <f t="shared" si="392"/>
        <v>0</v>
      </c>
      <c r="F76" s="58">
        <f t="shared" si="392"/>
        <v>0</v>
      </c>
      <c r="G76" s="58">
        <f t="shared" si="392"/>
        <v>60</v>
      </c>
      <c r="H76" s="58">
        <f t="shared" si="392"/>
        <v>11747</v>
      </c>
      <c r="I76" s="58">
        <f t="shared" si="392"/>
        <v>0</v>
      </c>
      <c r="J76" s="58">
        <f t="shared" si="392"/>
        <v>0</v>
      </c>
      <c r="K76" s="58">
        <f t="shared" si="392"/>
        <v>460</v>
      </c>
      <c r="L76" s="58">
        <f t="shared" si="392"/>
        <v>0</v>
      </c>
      <c r="M76" s="58">
        <f t="shared" si="392"/>
        <v>53237.14</v>
      </c>
      <c r="N76" s="18" t="s">
        <v>60</v>
      </c>
      <c r="O76" s="28">
        <f t="shared" ref="O76:AA76" si="393">+SUM(O77:O86)</f>
        <v>99855</v>
      </c>
      <c r="P76" s="28">
        <f t="shared" si="393"/>
        <v>6388.3</v>
      </c>
      <c r="Q76" s="28">
        <f t="shared" si="393"/>
        <v>23587</v>
      </c>
      <c r="R76" s="28">
        <f t="shared" si="393"/>
        <v>0</v>
      </c>
      <c r="S76" s="28">
        <f t="shared" si="393"/>
        <v>0</v>
      </c>
      <c r="T76" s="28">
        <f t="shared" si="393"/>
        <v>0</v>
      </c>
      <c r="U76" s="28">
        <f t="shared" si="393"/>
        <v>4000</v>
      </c>
      <c r="V76" s="28">
        <f t="shared" si="393"/>
        <v>0</v>
      </c>
      <c r="W76" s="28">
        <f t="shared" si="393"/>
        <v>0</v>
      </c>
      <c r="X76" s="28">
        <f t="shared" si="393"/>
        <v>0</v>
      </c>
      <c r="Y76" s="28">
        <f t="shared" si="393"/>
        <v>0</v>
      </c>
      <c r="Z76" s="28">
        <f t="shared" si="393"/>
        <v>0</v>
      </c>
      <c r="AA76" s="28">
        <f t="shared" si="393"/>
        <v>133830.29999999999</v>
      </c>
      <c r="AB76" s="118">
        <f t="shared" si="140"/>
        <v>-1</v>
      </c>
      <c r="AC76" s="28">
        <f t="shared" ref="AC76:AO76" si="394">+SUM(AC77:AC86)</f>
        <v>15000</v>
      </c>
      <c r="AD76" s="28">
        <f t="shared" si="394"/>
        <v>15000</v>
      </c>
      <c r="AE76" s="28">
        <f t="shared" si="394"/>
        <v>15000</v>
      </c>
      <c r="AF76" s="28">
        <f t="shared" si="394"/>
        <v>15000</v>
      </c>
      <c r="AG76" s="28">
        <f t="shared" si="394"/>
        <v>15000</v>
      </c>
      <c r="AH76" s="28">
        <f t="shared" si="394"/>
        <v>15000</v>
      </c>
      <c r="AI76" s="28">
        <f t="shared" si="394"/>
        <v>15000</v>
      </c>
      <c r="AJ76" s="28">
        <f t="shared" si="394"/>
        <v>15000</v>
      </c>
      <c r="AK76" s="28">
        <f t="shared" si="394"/>
        <v>15000</v>
      </c>
      <c r="AL76" s="28">
        <f t="shared" si="394"/>
        <v>15000</v>
      </c>
      <c r="AM76" s="28">
        <f t="shared" si="394"/>
        <v>15000</v>
      </c>
      <c r="AN76" s="28">
        <f t="shared" si="394"/>
        <v>15000</v>
      </c>
      <c r="AO76" s="28">
        <f t="shared" si="394"/>
        <v>180000</v>
      </c>
      <c r="AQ76" s="58">
        <f t="shared" ref="AQ76:BC76" si="395">+SUM(AQ77:AQ86)</f>
        <v>2000</v>
      </c>
      <c r="AR76" s="58">
        <f t="shared" si="395"/>
        <v>0</v>
      </c>
      <c r="AS76" s="58">
        <f t="shared" si="395"/>
        <v>11500</v>
      </c>
      <c r="AT76" s="58">
        <f t="shared" si="395"/>
        <v>0</v>
      </c>
      <c r="AU76" s="58">
        <f t="shared" si="395"/>
        <v>0</v>
      </c>
      <c r="AV76" s="58">
        <f t="shared" si="395"/>
        <v>0</v>
      </c>
      <c r="AW76" s="58">
        <f t="shared" si="395"/>
        <v>60</v>
      </c>
      <c r="AX76" s="58">
        <f t="shared" si="395"/>
        <v>0</v>
      </c>
      <c r="AY76" s="58">
        <f t="shared" si="395"/>
        <v>0</v>
      </c>
      <c r="AZ76" s="58">
        <f t="shared" si="395"/>
        <v>0</v>
      </c>
      <c r="BA76" s="58">
        <f t="shared" si="395"/>
        <v>0</v>
      </c>
      <c r="BB76" s="58">
        <f t="shared" si="395"/>
        <v>0</v>
      </c>
      <c r="BC76" s="58">
        <f t="shared" si="395"/>
        <v>13560</v>
      </c>
      <c r="BD76" s="18" t="str">
        <f t="shared" si="334"/>
        <v>Selling Expenses</v>
      </c>
      <c r="BE76" s="28">
        <f t="shared" ref="BE76:BQ76" si="396">+SUM(BE77:BE86)</f>
        <v>2130</v>
      </c>
      <c r="BF76" s="28">
        <f t="shared" si="396"/>
        <v>6388.3</v>
      </c>
      <c r="BG76" s="28">
        <f t="shared" si="396"/>
        <v>23587</v>
      </c>
      <c r="BH76" s="28">
        <f t="shared" si="396"/>
        <v>0</v>
      </c>
      <c r="BI76" s="28">
        <f t="shared" si="396"/>
        <v>0</v>
      </c>
      <c r="BJ76" s="28">
        <f t="shared" si="396"/>
        <v>0</v>
      </c>
      <c r="BK76" s="28">
        <f t="shared" si="396"/>
        <v>4000</v>
      </c>
      <c r="BL76" s="28">
        <f t="shared" si="396"/>
        <v>0</v>
      </c>
      <c r="BM76" s="28">
        <f t="shared" si="396"/>
        <v>0</v>
      </c>
      <c r="BN76" s="28">
        <f t="shared" si="396"/>
        <v>0</v>
      </c>
      <c r="BO76" s="28">
        <f t="shared" si="396"/>
        <v>0</v>
      </c>
      <c r="BP76" s="28">
        <f t="shared" si="396"/>
        <v>0</v>
      </c>
      <c r="BQ76" s="28">
        <f t="shared" si="396"/>
        <v>36105.300000000003</v>
      </c>
      <c r="BR76" s="118">
        <f t="shared" si="145"/>
        <v>-1</v>
      </c>
      <c r="BS76" s="58">
        <f t="shared" ref="BS76:CE76" si="397">+SUM(BS77:BS86)</f>
        <v>10000</v>
      </c>
      <c r="BT76" s="58">
        <f t="shared" si="397"/>
        <v>10000</v>
      </c>
      <c r="BU76" s="58">
        <f t="shared" si="397"/>
        <v>10000</v>
      </c>
      <c r="BV76" s="58">
        <f t="shared" si="397"/>
        <v>10000</v>
      </c>
      <c r="BW76" s="58">
        <f t="shared" si="397"/>
        <v>10000</v>
      </c>
      <c r="BX76" s="58">
        <f t="shared" si="397"/>
        <v>10000</v>
      </c>
      <c r="BY76" s="58">
        <f t="shared" si="397"/>
        <v>10000</v>
      </c>
      <c r="BZ76" s="58">
        <f t="shared" si="397"/>
        <v>10000</v>
      </c>
      <c r="CA76" s="58">
        <f t="shared" si="397"/>
        <v>10000</v>
      </c>
      <c r="CB76" s="58">
        <f t="shared" si="397"/>
        <v>10000</v>
      </c>
      <c r="CC76" s="58">
        <f t="shared" si="397"/>
        <v>10000</v>
      </c>
      <c r="CD76" s="58">
        <f t="shared" si="397"/>
        <v>10000</v>
      </c>
      <c r="CE76" s="58">
        <f t="shared" si="397"/>
        <v>120000</v>
      </c>
      <c r="CF76" s="22"/>
      <c r="CG76" s="28">
        <f t="shared" ref="CG76:CS76" si="398">+SUM(CG77:CG86)</f>
        <v>27470.14</v>
      </c>
      <c r="CH76" s="28">
        <f t="shared" si="398"/>
        <v>0</v>
      </c>
      <c r="CI76" s="28">
        <f t="shared" si="398"/>
        <v>0</v>
      </c>
      <c r="CJ76" s="28">
        <f t="shared" si="398"/>
        <v>0</v>
      </c>
      <c r="CK76" s="28">
        <f t="shared" si="398"/>
        <v>0</v>
      </c>
      <c r="CL76" s="28">
        <f t="shared" si="398"/>
        <v>0</v>
      </c>
      <c r="CM76" s="28">
        <f t="shared" si="398"/>
        <v>0</v>
      </c>
      <c r="CN76" s="28">
        <f t="shared" si="398"/>
        <v>11747</v>
      </c>
      <c r="CO76" s="28">
        <f t="shared" si="398"/>
        <v>0</v>
      </c>
      <c r="CP76" s="28">
        <f t="shared" si="398"/>
        <v>0</v>
      </c>
      <c r="CQ76" s="28">
        <f t="shared" si="398"/>
        <v>460</v>
      </c>
      <c r="CR76" s="28">
        <f t="shared" si="398"/>
        <v>0</v>
      </c>
      <c r="CS76" s="58">
        <f t="shared" si="398"/>
        <v>39677.14</v>
      </c>
      <c r="CT76" s="18" t="str">
        <f t="shared" si="338"/>
        <v>Selling Expenses</v>
      </c>
      <c r="CU76" s="28">
        <f t="shared" ref="CU76:DG76" si="399">+SUM(CU77:CU86)</f>
        <v>765</v>
      </c>
      <c r="CV76" s="28">
        <f t="shared" si="399"/>
        <v>0</v>
      </c>
      <c r="CW76" s="28">
        <f t="shared" si="399"/>
        <v>0</v>
      </c>
      <c r="CX76" s="28">
        <f t="shared" si="399"/>
        <v>0</v>
      </c>
      <c r="CY76" s="28">
        <f t="shared" si="399"/>
        <v>0</v>
      </c>
      <c r="CZ76" s="28">
        <f t="shared" si="399"/>
        <v>0</v>
      </c>
      <c r="DA76" s="28">
        <f t="shared" si="399"/>
        <v>0</v>
      </c>
      <c r="DB76" s="28">
        <f t="shared" si="399"/>
        <v>0</v>
      </c>
      <c r="DC76" s="28">
        <f t="shared" si="399"/>
        <v>0</v>
      </c>
      <c r="DD76" s="28">
        <f t="shared" si="399"/>
        <v>0</v>
      </c>
      <c r="DE76" s="28">
        <f t="shared" si="399"/>
        <v>0</v>
      </c>
      <c r="DF76" s="28">
        <f t="shared" si="399"/>
        <v>0</v>
      </c>
      <c r="DG76" s="28">
        <f t="shared" si="399"/>
        <v>765</v>
      </c>
      <c r="DH76" s="118">
        <f t="shared" si="149"/>
        <v>-1</v>
      </c>
      <c r="DI76" s="28">
        <f t="shared" ref="DI76:DU76" si="400">+SUM(DI77:DI86)</f>
        <v>5000</v>
      </c>
      <c r="DJ76" s="28">
        <f t="shared" si="400"/>
        <v>5000</v>
      </c>
      <c r="DK76" s="28">
        <f t="shared" si="400"/>
        <v>5000</v>
      </c>
      <c r="DL76" s="28">
        <f t="shared" si="400"/>
        <v>5000</v>
      </c>
      <c r="DM76" s="28">
        <f t="shared" si="400"/>
        <v>5000</v>
      </c>
      <c r="DN76" s="28">
        <f t="shared" si="400"/>
        <v>5000</v>
      </c>
      <c r="DO76" s="28">
        <f t="shared" si="400"/>
        <v>5000</v>
      </c>
      <c r="DP76" s="28">
        <f t="shared" si="400"/>
        <v>5000</v>
      </c>
      <c r="DQ76" s="28">
        <f t="shared" si="400"/>
        <v>5000</v>
      </c>
      <c r="DR76" s="28">
        <f t="shared" si="400"/>
        <v>5000</v>
      </c>
      <c r="DS76" s="28">
        <f t="shared" si="400"/>
        <v>5000</v>
      </c>
      <c r="DT76" s="28">
        <f t="shared" si="400"/>
        <v>5000</v>
      </c>
      <c r="DU76" s="58">
        <f t="shared" si="400"/>
        <v>60000</v>
      </c>
      <c r="DW76" s="28">
        <f t="shared" ref="DW76:EI76" si="401">+SUM(DW77:DW86)</f>
        <v>0</v>
      </c>
      <c r="DX76" s="28">
        <f t="shared" si="401"/>
        <v>0</v>
      </c>
      <c r="DY76" s="28">
        <f t="shared" si="401"/>
        <v>0</v>
      </c>
      <c r="DZ76" s="28">
        <f t="shared" si="401"/>
        <v>0</v>
      </c>
      <c r="EA76" s="28">
        <f t="shared" si="401"/>
        <v>0</v>
      </c>
      <c r="EB76" s="28">
        <f t="shared" si="401"/>
        <v>0</v>
      </c>
      <c r="EC76" s="28">
        <f t="shared" si="401"/>
        <v>0</v>
      </c>
      <c r="ED76" s="28">
        <f t="shared" si="401"/>
        <v>0</v>
      </c>
      <c r="EE76" s="28">
        <f t="shared" si="401"/>
        <v>0</v>
      </c>
      <c r="EF76" s="28">
        <f t="shared" si="401"/>
        <v>0</v>
      </c>
      <c r="EG76" s="28">
        <f t="shared" si="401"/>
        <v>0</v>
      </c>
      <c r="EH76" s="28">
        <f t="shared" si="401"/>
        <v>0</v>
      </c>
      <c r="EI76" s="58">
        <f t="shared" si="401"/>
        <v>0</v>
      </c>
      <c r="EJ76" s="18" t="str">
        <f t="shared" si="376"/>
        <v>Selling Expenses</v>
      </c>
      <c r="EK76" s="28">
        <f t="shared" ref="EK76:EW76" si="402">+SUM(EK77:EK86)</f>
        <v>96960</v>
      </c>
      <c r="EL76" s="28">
        <f t="shared" si="402"/>
        <v>0</v>
      </c>
      <c r="EM76" s="28">
        <f t="shared" si="402"/>
        <v>0</v>
      </c>
      <c r="EN76" s="28">
        <f t="shared" si="402"/>
        <v>0</v>
      </c>
      <c r="EO76" s="28">
        <f t="shared" si="402"/>
        <v>0</v>
      </c>
      <c r="EP76" s="28">
        <f t="shared" si="402"/>
        <v>0</v>
      </c>
      <c r="EQ76" s="28">
        <f t="shared" si="402"/>
        <v>0</v>
      </c>
      <c r="ER76" s="28">
        <f t="shared" si="402"/>
        <v>0</v>
      </c>
      <c r="ES76" s="28">
        <f t="shared" si="402"/>
        <v>0</v>
      </c>
      <c r="ET76" s="28">
        <f t="shared" si="402"/>
        <v>0</v>
      </c>
      <c r="EU76" s="28">
        <f t="shared" si="402"/>
        <v>0</v>
      </c>
      <c r="EV76" s="28">
        <f t="shared" si="402"/>
        <v>0</v>
      </c>
      <c r="EW76" s="28">
        <f t="shared" si="402"/>
        <v>96960</v>
      </c>
      <c r="EX76" s="118">
        <f t="shared" si="153"/>
        <v>0</v>
      </c>
      <c r="EY76" s="28">
        <f t="shared" ref="EY76:FK76" si="403">+SUM(EY77:EY86)</f>
        <v>0</v>
      </c>
      <c r="EZ76" s="28">
        <f t="shared" si="403"/>
        <v>0</v>
      </c>
      <c r="FA76" s="28">
        <f t="shared" si="403"/>
        <v>0</v>
      </c>
      <c r="FB76" s="28">
        <f t="shared" si="403"/>
        <v>0</v>
      </c>
      <c r="FC76" s="28">
        <f t="shared" si="403"/>
        <v>0</v>
      </c>
      <c r="FD76" s="28">
        <f t="shared" si="403"/>
        <v>0</v>
      </c>
      <c r="FE76" s="28">
        <f t="shared" si="403"/>
        <v>0</v>
      </c>
      <c r="FF76" s="28">
        <f t="shared" si="403"/>
        <v>0</v>
      </c>
      <c r="FG76" s="28">
        <f t="shared" si="403"/>
        <v>0</v>
      </c>
      <c r="FH76" s="28">
        <f t="shared" si="403"/>
        <v>0</v>
      </c>
      <c r="FI76" s="28">
        <f t="shared" si="403"/>
        <v>0</v>
      </c>
      <c r="FJ76" s="28">
        <f t="shared" si="403"/>
        <v>0</v>
      </c>
      <c r="FK76" s="58">
        <f t="shared" si="403"/>
        <v>0</v>
      </c>
    </row>
    <row r="77" spans="1:167" ht="14.45" hidden="1" customHeight="1" outlineLevel="2">
      <c r="A77" s="106">
        <f t="shared" ref="A77:L86" si="404">+AQ77+CG77+DW77</f>
        <v>0</v>
      </c>
      <c r="B77" s="106">
        <f t="shared" si="404"/>
        <v>0</v>
      </c>
      <c r="C77" s="106">
        <f t="shared" si="404"/>
        <v>0</v>
      </c>
      <c r="D77" s="106">
        <f t="shared" si="404"/>
        <v>0</v>
      </c>
      <c r="E77" s="106">
        <f t="shared" si="404"/>
        <v>0</v>
      </c>
      <c r="F77" s="106">
        <f t="shared" si="404"/>
        <v>0</v>
      </c>
      <c r="G77" s="106">
        <f t="shared" si="404"/>
        <v>0</v>
      </c>
      <c r="H77" s="106">
        <f t="shared" si="404"/>
        <v>0</v>
      </c>
      <c r="I77" s="106">
        <f t="shared" si="404"/>
        <v>0</v>
      </c>
      <c r="J77" s="106">
        <f t="shared" si="404"/>
        <v>0</v>
      </c>
      <c r="K77" s="106">
        <f t="shared" si="404"/>
        <v>460</v>
      </c>
      <c r="L77" s="106">
        <f t="shared" si="404"/>
        <v>0</v>
      </c>
      <c r="M77" s="106">
        <f>+SUM(A77:L77)</f>
        <v>460</v>
      </c>
      <c r="N77" s="16" t="s">
        <v>61</v>
      </c>
      <c r="O77" s="22">
        <f>+BE77+CU77+EK77</f>
        <v>600</v>
      </c>
      <c r="P77" s="22">
        <f t="shared" ref="P77:Z86" si="405">+BF77+CV77+EL77</f>
        <v>0</v>
      </c>
      <c r="Q77" s="22">
        <f t="shared" si="405"/>
        <v>0</v>
      </c>
      <c r="R77" s="22">
        <f t="shared" si="405"/>
        <v>0</v>
      </c>
      <c r="S77" s="22">
        <f t="shared" si="405"/>
        <v>0</v>
      </c>
      <c r="T77" s="22">
        <f t="shared" si="405"/>
        <v>0</v>
      </c>
      <c r="U77" s="22">
        <f t="shared" si="405"/>
        <v>0</v>
      </c>
      <c r="V77" s="22">
        <f t="shared" si="405"/>
        <v>0</v>
      </c>
      <c r="W77" s="22">
        <f t="shared" si="405"/>
        <v>0</v>
      </c>
      <c r="X77" s="22">
        <f t="shared" si="405"/>
        <v>0</v>
      </c>
      <c r="Y77" s="22">
        <f t="shared" si="405"/>
        <v>0</v>
      </c>
      <c r="Z77" s="22">
        <f t="shared" si="405"/>
        <v>0</v>
      </c>
      <c r="AA77" s="22">
        <f>+SUM(O77:Z77)</f>
        <v>600</v>
      </c>
      <c r="AB77" s="118">
        <f t="shared" si="140"/>
        <v>0</v>
      </c>
      <c r="AC77" s="22">
        <f>+BS77+DI77+EY77</f>
        <v>0</v>
      </c>
      <c r="AD77" s="22">
        <f t="shared" ref="AD77:AN86" si="406">+BT77+DJ77+EZ77</f>
        <v>0</v>
      </c>
      <c r="AE77" s="22">
        <f t="shared" si="406"/>
        <v>0</v>
      </c>
      <c r="AF77" s="22">
        <f t="shared" si="406"/>
        <v>0</v>
      </c>
      <c r="AG77" s="22">
        <f t="shared" si="406"/>
        <v>0</v>
      </c>
      <c r="AH77" s="22">
        <f t="shared" si="406"/>
        <v>0</v>
      </c>
      <c r="AI77" s="22">
        <f t="shared" si="406"/>
        <v>0</v>
      </c>
      <c r="AJ77" s="22">
        <f t="shared" si="406"/>
        <v>0</v>
      </c>
      <c r="AK77" s="22">
        <f t="shared" si="406"/>
        <v>0</v>
      </c>
      <c r="AL77" s="22">
        <f t="shared" si="406"/>
        <v>0</v>
      </c>
      <c r="AM77" s="22">
        <f t="shared" si="406"/>
        <v>0</v>
      </c>
      <c r="AN77" s="22">
        <f t="shared" si="406"/>
        <v>0</v>
      </c>
      <c r="AO77" s="22">
        <f>+SUM(AC77:AN77)</f>
        <v>0</v>
      </c>
      <c r="AQ77" s="106">
        <v>0</v>
      </c>
      <c r="AR77" s="106">
        <v>0</v>
      </c>
      <c r="AS77" s="106">
        <v>0</v>
      </c>
      <c r="AT77" s="106">
        <v>0</v>
      </c>
      <c r="AU77" s="106">
        <v>0</v>
      </c>
      <c r="AV77" s="106">
        <v>0</v>
      </c>
      <c r="AW77" s="106">
        <v>0</v>
      </c>
      <c r="AX77" s="106">
        <v>0</v>
      </c>
      <c r="AY77" s="106">
        <v>0</v>
      </c>
      <c r="AZ77" s="106">
        <v>0</v>
      </c>
      <c r="BA77" s="106">
        <v>0</v>
      </c>
      <c r="BB77" s="106">
        <v>0</v>
      </c>
      <c r="BC77" s="106">
        <f>+SUM(AQ77:BB77)</f>
        <v>0</v>
      </c>
      <c r="BD77" s="16" t="str">
        <f t="shared" si="334"/>
        <v>Demo Vehicle Expense</v>
      </c>
      <c r="BE77" s="22">
        <f>+VLOOKUP($BD77,'Jan-25'!$A:$J,4,0)</f>
        <v>0</v>
      </c>
      <c r="BF77" s="22">
        <f>+VLOOKUP($BD77,'Feb-25'!$A:$J,4,0)</f>
        <v>0</v>
      </c>
      <c r="BG77" s="22">
        <f>+VLOOKUP($BD77,'Mar-25'!$A:$J,4,0)</f>
        <v>0</v>
      </c>
      <c r="BH77" s="22">
        <f>+VLOOKUP($BD77,'Apr-25'!$A:$J,4,0)</f>
        <v>0</v>
      </c>
      <c r="BI77" s="22">
        <f>+VLOOKUP($BD77,'May-25'!$A:$J,4,0)</f>
        <v>0</v>
      </c>
      <c r="BJ77" s="22">
        <f>+VLOOKUP($BD77,'June-25'!$A:$J,4,0)</f>
        <v>0</v>
      </c>
      <c r="BK77" s="22">
        <f>+VLOOKUP($BD77,'July-25'!$A:$J,4,0)</f>
        <v>0</v>
      </c>
      <c r="BL77" s="22">
        <f>+VLOOKUP($BD77,'Aug-25'!$A:$J,4,0)</f>
        <v>0</v>
      </c>
      <c r="BM77" s="22">
        <f>+VLOOKUP($BD77,'Sep-25'!$A:$J,4,0)</f>
        <v>0</v>
      </c>
      <c r="BN77" s="22">
        <f>+VLOOKUP($BD77,'Oct-25'!$A:$J,4,0)</f>
        <v>0</v>
      </c>
      <c r="BO77" s="22">
        <f>+VLOOKUP($BD77,'Nov-25'!$A:$J,4,0)</f>
        <v>0</v>
      </c>
      <c r="BP77" s="22">
        <f>+VLOOKUP($BD77,'Dec-25'!$A:$J,4,0)</f>
        <v>0</v>
      </c>
      <c r="BQ77" s="22">
        <f t="shared" ref="BQ77:BQ86" si="407">+SUM(BE77:BP77)</f>
        <v>0</v>
      </c>
      <c r="BR77" s="118">
        <f t="shared" si="145"/>
        <v>0</v>
      </c>
      <c r="BS77" s="106">
        <f>+_xlfn.XLOOKUP($BD77,Budget!$A:$A,Budget!AQ:AQ)</f>
        <v>0</v>
      </c>
      <c r="BT77" s="106">
        <f>+_xlfn.XLOOKUP($BD77,Budget!$A:$A,Budget!AR:AR)</f>
        <v>0</v>
      </c>
      <c r="BU77" s="106">
        <f>+_xlfn.XLOOKUP($BD77,Budget!$A:$A,Budget!AS:AS)</f>
        <v>0</v>
      </c>
      <c r="BV77" s="106">
        <f>+_xlfn.XLOOKUP($BD77,Budget!$A:$A,Budget!AT:AT)</f>
        <v>0</v>
      </c>
      <c r="BW77" s="106">
        <f>+_xlfn.XLOOKUP($BD77,Budget!$A:$A,Budget!AU:AU)</f>
        <v>0</v>
      </c>
      <c r="BX77" s="106">
        <f>+_xlfn.XLOOKUP($BD77,Budget!$A:$A,Budget!AV:AV)</f>
        <v>0</v>
      </c>
      <c r="BY77" s="106">
        <f>+_xlfn.XLOOKUP($BD77,Budget!$A:$A,Budget!AW:AW)</f>
        <v>0</v>
      </c>
      <c r="BZ77" s="106">
        <f>+_xlfn.XLOOKUP($BD77,Budget!$A:$A,Budget!AX:AX)</f>
        <v>0</v>
      </c>
      <c r="CA77" s="106">
        <f>+_xlfn.XLOOKUP($BD77,Budget!$A:$A,Budget!AY:AY)</f>
        <v>0</v>
      </c>
      <c r="CB77" s="106">
        <f>+_xlfn.XLOOKUP($BD77,Budget!$A:$A,Budget!AZ:AZ)</f>
        <v>0</v>
      </c>
      <c r="CC77" s="106">
        <f>+_xlfn.XLOOKUP($BD77,Budget!$A:$A,Budget!BA:BA)</f>
        <v>0</v>
      </c>
      <c r="CD77" s="106">
        <f>+_xlfn.XLOOKUP($BD77,Budget!$A:$A,Budget!BB:BB)</f>
        <v>0</v>
      </c>
      <c r="CE77" s="106">
        <f>+SUM(BS77:CD77)</f>
        <v>0</v>
      </c>
      <c r="CF77" s="22"/>
      <c r="CG77" s="22">
        <v>0</v>
      </c>
      <c r="CH77" s="22">
        <v>0</v>
      </c>
      <c r="CI77" s="22">
        <v>0</v>
      </c>
      <c r="CJ77" s="22">
        <v>0</v>
      </c>
      <c r="CK77" s="22">
        <v>0</v>
      </c>
      <c r="CL77" s="22">
        <v>0</v>
      </c>
      <c r="CM77" s="22">
        <v>0</v>
      </c>
      <c r="CN77" s="22">
        <v>0</v>
      </c>
      <c r="CO77" s="22">
        <v>0</v>
      </c>
      <c r="CP77" s="22">
        <v>0</v>
      </c>
      <c r="CQ77" s="22">
        <v>460</v>
      </c>
      <c r="CR77" s="22">
        <v>0</v>
      </c>
      <c r="CS77" s="106">
        <f>+SUM(CG77:CR77)</f>
        <v>460</v>
      </c>
      <c r="CT77" s="16" t="str">
        <f t="shared" si="338"/>
        <v>Demo Vehicle Expense</v>
      </c>
      <c r="CU77" s="22">
        <f>+VLOOKUP($BD77,'Jan-25'!$A:$J,7,0)</f>
        <v>0</v>
      </c>
      <c r="CV77" s="22">
        <f>+VLOOKUP($BD77,'Feb-25'!$A:$J,7,0)</f>
        <v>0</v>
      </c>
      <c r="CW77" s="22">
        <f>+VLOOKUP($BD77,'Mar-25'!$A:$J,7,0)</f>
        <v>0</v>
      </c>
      <c r="CX77" s="22">
        <f>+VLOOKUP($BD77,'Apr-25'!$A:$J,7,0)</f>
        <v>0</v>
      </c>
      <c r="CY77" s="22">
        <f>+VLOOKUP($BD77,'May-25'!$A:$J,7,0)</f>
        <v>0</v>
      </c>
      <c r="CZ77" s="22">
        <f>+VLOOKUP($BD77,'June-25'!$A:$J,7,0)</f>
        <v>0</v>
      </c>
      <c r="DA77" s="22">
        <f>+VLOOKUP($BD77,'July-25'!$A:$J,7,0)</f>
        <v>0</v>
      </c>
      <c r="DB77" s="22">
        <f>+VLOOKUP($BD77,'Aug-25'!$A:$J,7,0)</f>
        <v>0</v>
      </c>
      <c r="DC77" s="22">
        <f>+VLOOKUP($BD77,'Sep-25'!$A:$J,7,0)</f>
        <v>0</v>
      </c>
      <c r="DD77" s="22">
        <f>+VLOOKUP($BD77,'Oct-25'!$A:$J,7,0)</f>
        <v>0</v>
      </c>
      <c r="DE77" s="22">
        <f>+VLOOKUP($BD77,'Nov-25'!$A:$J,7,0)</f>
        <v>0</v>
      </c>
      <c r="DF77" s="22">
        <f>+VLOOKUP($BD77,'Dec-25'!$A:$J,7,0)</f>
        <v>0</v>
      </c>
      <c r="DG77" s="22">
        <f t="shared" ref="DG77:DG86" si="408">+SUM(CU77:DF77)</f>
        <v>0</v>
      </c>
      <c r="DH77" s="118">
        <f t="shared" si="149"/>
        <v>0</v>
      </c>
      <c r="DI77" s="22">
        <f>+_xlfn.XLOOKUP($CT77,Budget!$A:$A,Budget!CD:CD)</f>
        <v>0</v>
      </c>
      <c r="DJ77" s="22">
        <f>+_xlfn.XLOOKUP($CT77,Budget!$A:$A,Budget!CE:CE)</f>
        <v>0</v>
      </c>
      <c r="DK77" s="22">
        <f>+_xlfn.XLOOKUP($CT77,Budget!$A:$A,Budget!CF:CF)</f>
        <v>0</v>
      </c>
      <c r="DL77" s="22">
        <f>+_xlfn.XLOOKUP($CT77,Budget!$A:$A,Budget!CG:CG)</f>
        <v>0</v>
      </c>
      <c r="DM77" s="22">
        <f>+_xlfn.XLOOKUP($CT77,Budget!$A:$A,Budget!CH:CH)</f>
        <v>0</v>
      </c>
      <c r="DN77" s="22">
        <f>+_xlfn.XLOOKUP($CT77,Budget!$A:$A,Budget!CI:CI)</f>
        <v>0</v>
      </c>
      <c r="DO77" s="22">
        <f>+_xlfn.XLOOKUP($CT77,Budget!$A:$A,Budget!CJ:CJ)</f>
        <v>0</v>
      </c>
      <c r="DP77" s="22">
        <f>+_xlfn.XLOOKUP($CT77,Budget!$A:$A,Budget!CK:CK)</f>
        <v>0</v>
      </c>
      <c r="DQ77" s="22">
        <f>+_xlfn.XLOOKUP($CT77,Budget!$A:$A,Budget!CL:CL)</f>
        <v>0</v>
      </c>
      <c r="DR77" s="22">
        <f>+_xlfn.XLOOKUP($CT77,Budget!$A:$A,Budget!CM:CM)</f>
        <v>0</v>
      </c>
      <c r="DS77" s="22">
        <f>+_xlfn.XLOOKUP($CT77,Budget!$A:$A,Budget!CN:CN)</f>
        <v>0</v>
      </c>
      <c r="DT77" s="22">
        <f>+_xlfn.XLOOKUP($CT77,Budget!$A:$A,Budget!CO:CO)</f>
        <v>0</v>
      </c>
      <c r="DU77" s="106">
        <f>+SUM(DI77:DT77)</f>
        <v>0</v>
      </c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106">
        <f>+SUM(DW77:EH77)</f>
        <v>0</v>
      </c>
      <c r="EJ77" s="16" t="str">
        <f t="shared" si="376"/>
        <v>Demo Vehicle Expense</v>
      </c>
      <c r="EK77" s="22">
        <f>+VLOOKUP($BD77,'Jan-25'!$A:$J,9,0)</f>
        <v>600</v>
      </c>
      <c r="EL77" s="22">
        <f>+VLOOKUP($BD77,'Feb-25'!$A:$J,9,0)</f>
        <v>0</v>
      </c>
      <c r="EM77" s="22">
        <f>+VLOOKUP($BD77,'Mar-25'!$A:$J,9,0)</f>
        <v>0</v>
      </c>
      <c r="EN77" s="22">
        <f>+VLOOKUP($BD77,'Apr-25'!$A:$J,9,0)</f>
        <v>0</v>
      </c>
      <c r="EO77" s="22">
        <f>+VLOOKUP($BD77,'May-25'!$A:$J,9,0)</f>
        <v>0</v>
      </c>
      <c r="EP77" s="22">
        <f>+VLOOKUP($BD77,'June-25'!$A:$J,9,0)</f>
        <v>0</v>
      </c>
      <c r="EQ77" s="22">
        <f>+VLOOKUP($BD77,'July-25'!$A:$J,9,0)</f>
        <v>0</v>
      </c>
      <c r="ER77" s="22">
        <f>+VLOOKUP($BD77,'Aug-25'!$A:$J,9,0)</f>
        <v>0</v>
      </c>
      <c r="ES77" s="22">
        <f>+VLOOKUP($BD77,'Sep-25'!$A:$J,9,0)</f>
        <v>0</v>
      </c>
      <c r="ET77" s="22">
        <f>+VLOOKUP($BD77,'Oct-25'!$A:$J,9,0)</f>
        <v>0</v>
      </c>
      <c r="EU77" s="22">
        <f>+VLOOKUP($BD77,'Nov-25'!$A:$J,9,0)</f>
        <v>0</v>
      </c>
      <c r="EV77" s="22">
        <f>+VLOOKUP($BD77,'Dec-25'!$A:$J,9,0)</f>
        <v>0</v>
      </c>
      <c r="EW77" s="22">
        <f t="shared" ref="EW77:EW86" si="409">+SUM(EK77:EV77)</f>
        <v>600</v>
      </c>
      <c r="EX77" s="118">
        <f t="shared" si="153"/>
        <v>0</v>
      </c>
      <c r="EY77" s="22">
        <f>+_xlfn.XLOOKUP($EJ77,Budget!$A:$A,Budget!DE:DE)</f>
        <v>0</v>
      </c>
      <c r="EZ77" s="22">
        <f>+_xlfn.XLOOKUP($EJ77,Budget!$A:$A,Budget!DF:DF)</f>
        <v>0</v>
      </c>
      <c r="FA77" s="22">
        <f>+_xlfn.XLOOKUP($EJ77,Budget!$A:$A,Budget!DG:DG)</f>
        <v>0</v>
      </c>
      <c r="FB77" s="22">
        <f>+_xlfn.XLOOKUP($EJ77,Budget!$A:$A,Budget!DH:DH)</f>
        <v>0</v>
      </c>
      <c r="FC77" s="22">
        <f>+_xlfn.XLOOKUP($EJ77,Budget!$A:$A,Budget!DI:DI)</f>
        <v>0</v>
      </c>
      <c r="FD77" s="22">
        <f>+_xlfn.XLOOKUP($EJ77,Budget!$A:$A,Budget!DJ:DJ)</f>
        <v>0</v>
      </c>
      <c r="FE77" s="22">
        <f>+_xlfn.XLOOKUP($EJ77,Budget!$A:$A,Budget!DK:DK)</f>
        <v>0</v>
      </c>
      <c r="FF77" s="22">
        <f>+_xlfn.XLOOKUP($EJ77,Budget!$A:$A,Budget!DL:DL)</f>
        <v>0</v>
      </c>
      <c r="FG77" s="22">
        <f>+_xlfn.XLOOKUP($EJ77,Budget!$A:$A,Budget!DM:DM)</f>
        <v>0</v>
      </c>
      <c r="FH77" s="22">
        <f>+_xlfn.XLOOKUP($EJ77,Budget!$A:$A,Budget!DN:DN)</f>
        <v>0</v>
      </c>
      <c r="FI77" s="22">
        <f>+_xlfn.XLOOKUP($EJ77,Budget!$A:$A,Budget!DO:DO)</f>
        <v>0</v>
      </c>
      <c r="FJ77" s="22">
        <f>+_xlfn.XLOOKUP($EJ77,Budget!$A:$A,Budget!DP:DP)</f>
        <v>0</v>
      </c>
      <c r="FK77" s="106">
        <f>+SUM(EY77:FJ77)</f>
        <v>0</v>
      </c>
    </row>
    <row r="78" spans="1:167" ht="14.45" hidden="1" customHeight="1" outlineLevel="2">
      <c r="A78" s="106">
        <f t="shared" si="404"/>
        <v>0</v>
      </c>
      <c r="B78" s="106">
        <f t="shared" si="404"/>
        <v>0</v>
      </c>
      <c r="C78" s="106">
        <f t="shared" si="404"/>
        <v>0</v>
      </c>
      <c r="D78" s="106">
        <f t="shared" si="404"/>
        <v>0</v>
      </c>
      <c r="E78" s="106">
        <f t="shared" si="404"/>
        <v>0</v>
      </c>
      <c r="F78" s="106">
        <f t="shared" si="404"/>
        <v>0</v>
      </c>
      <c r="G78" s="106">
        <f t="shared" si="404"/>
        <v>0</v>
      </c>
      <c r="H78" s="106">
        <f t="shared" si="404"/>
        <v>0</v>
      </c>
      <c r="I78" s="106">
        <f t="shared" si="404"/>
        <v>0</v>
      </c>
      <c r="J78" s="106">
        <f t="shared" si="404"/>
        <v>0</v>
      </c>
      <c r="K78" s="106">
        <f t="shared" si="404"/>
        <v>0</v>
      </c>
      <c r="L78" s="106">
        <f t="shared" si="404"/>
        <v>0</v>
      </c>
      <c r="M78" s="106">
        <f t="shared" ref="M78:M102" si="410">+SUM(A78:L78)</f>
        <v>0</v>
      </c>
      <c r="N78" s="16" t="s">
        <v>62</v>
      </c>
      <c r="O78" s="22">
        <f t="shared" ref="O78:O86" si="411">+BE78+CU78+EK78</f>
        <v>96560</v>
      </c>
      <c r="P78" s="22">
        <f t="shared" si="405"/>
        <v>0</v>
      </c>
      <c r="Q78" s="22">
        <f t="shared" si="405"/>
        <v>0</v>
      </c>
      <c r="R78" s="22">
        <f t="shared" si="405"/>
        <v>0</v>
      </c>
      <c r="S78" s="22">
        <f t="shared" si="405"/>
        <v>0</v>
      </c>
      <c r="T78" s="22">
        <f t="shared" si="405"/>
        <v>0</v>
      </c>
      <c r="U78" s="22">
        <f t="shared" si="405"/>
        <v>0</v>
      </c>
      <c r="V78" s="22">
        <f t="shared" si="405"/>
        <v>0</v>
      </c>
      <c r="W78" s="22">
        <f t="shared" si="405"/>
        <v>0</v>
      </c>
      <c r="X78" s="22">
        <f t="shared" si="405"/>
        <v>0</v>
      </c>
      <c r="Y78" s="22">
        <f t="shared" si="405"/>
        <v>0</v>
      </c>
      <c r="Z78" s="22">
        <f t="shared" si="405"/>
        <v>0</v>
      </c>
      <c r="AA78" s="22">
        <f t="shared" ref="AA78:AA86" si="412">+SUM(O78:Z78)</f>
        <v>96560</v>
      </c>
      <c r="AB78" s="118">
        <f t="shared" si="140"/>
        <v>0</v>
      </c>
      <c r="AC78" s="22">
        <f t="shared" ref="AC78:AC86" si="413">+BS78+DI78+EY78</f>
        <v>0</v>
      </c>
      <c r="AD78" s="22">
        <f t="shared" si="406"/>
        <v>0</v>
      </c>
      <c r="AE78" s="22">
        <f t="shared" si="406"/>
        <v>0</v>
      </c>
      <c r="AF78" s="22">
        <f t="shared" si="406"/>
        <v>0</v>
      </c>
      <c r="AG78" s="22">
        <f t="shared" si="406"/>
        <v>0</v>
      </c>
      <c r="AH78" s="22">
        <f t="shared" si="406"/>
        <v>0</v>
      </c>
      <c r="AI78" s="22">
        <f t="shared" si="406"/>
        <v>0</v>
      </c>
      <c r="AJ78" s="22">
        <f t="shared" si="406"/>
        <v>0</v>
      </c>
      <c r="AK78" s="22">
        <f t="shared" si="406"/>
        <v>0</v>
      </c>
      <c r="AL78" s="22">
        <f t="shared" si="406"/>
        <v>0</v>
      </c>
      <c r="AM78" s="22">
        <f t="shared" si="406"/>
        <v>0</v>
      </c>
      <c r="AN78" s="22">
        <f t="shared" si="406"/>
        <v>0</v>
      </c>
      <c r="AO78" s="22">
        <f t="shared" ref="AO78:AO86" si="414">+SUM(AC78:AN78)</f>
        <v>0</v>
      </c>
      <c r="AQ78" s="106">
        <v>0</v>
      </c>
      <c r="AR78" s="106">
        <v>0</v>
      </c>
      <c r="AS78" s="106">
        <v>0</v>
      </c>
      <c r="AT78" s="106">
        <v>0</v>
      </c>
      <c r="AU78" s="106">
        <v>0</v>
      </c>
      <c r="AV78" s="106">
        <v>0</v>
      </c>
      <c r="AW78" s="106">
        <v>0</v>
      </c>
      <c r="AX78" s="106">
        <v>0</v>
      </c>
      <c r="AY78" s="106">
        <v>0</v>
      </c>
      <c r="AZ78" s="106">
        <v>0</v>
      </c>
      <c r="BA78" s="106">
        <v>0</v>
      </c>
      <c r="BB78" s="106">
        <v>0</v>
      </c>
      <c r="BC78" s="106">
        <f t="shared" ref="BC78:BC86" si="415">+SUM(AQ78:BB78)</f>
        <v>0</v>
      </c>
      <c r="BD78" s="16" t="str">
        <f t="shared" si="334"/>
        <v>Demo Vehicle Fuel Expenses</v>
      </c>
      <c r="BE78" s="22">
        <f>+VLOOKUP($BD78,'Jan-25'!$A:$J,4,0)</f>
        <v>600</v>
      </c>
      <c r="BF78" s="22">
        <f>+VLOOKUP($BD78,'Feb-25'!$A:$J,4,0)</f>
        <v>0</v>
      </c>
      <c r="BG78" s="22">
        <f>+VLOOKUP($BD78,'Mar-25'!$A:$J,4,0)</f>
        <v>0</v>
      </c>
      <c r="BH78" s="22">
        <f>+VLOOKUP($BD78,'Apr-25'!$A:$J,4,0)</f>
        <v>0</v>
      </c>
      <c r="BI78" s="22">
        <f>+VLOOKUP($BD78,'May-25'!$A:$J,4,0)</f>
        <v>0</v>
      </c>
      <c r="BJ78" s="22">
        <f>+VLOOKUP($BD78,'June-25'!$A:$J,4,0)</f>
        <v>0</v>
      </c>
      <c r="BK78" s="22">
        <f>+VLOOKUP($BD78,'July-25'!$A:$J,4,0)</f>
        <v>0</v>
      </c>
      <c r="BL78" s="22">
        <f>+VLOOKUP($BD78,'Aug-25'!$A:$J,4,0)</f>
        <v>0</v>
      </c>
      <c r="BM78" s="22">
        <f>+VLOOKUP($BD78,'Sep-25'!$A:$J,4,0)</f>
        <v>0</v>
      </c>
      <c r="BN78" s="22">
        <f>+VLOOKUP($BD78,'Oct-25'!$A:$J,4,0)</f>
        <v>0</v>
      </c>
      <c r="BO78" s="22">
        <f>+VLOOKUP($BD78,'Nov-25'!$A:$J,4,0)</f>
        <v>0</v>
      </c>
      <c r="BP78" s="22">
        <f>+VLOOKUP($BD78,'Dec-25'!$A:$J,4,0)</f>
        <v>0</v>
      </c>
      <c r="BQ78" s="22">
        <f t="shared" si="407"/>
        <v>600</v>
      </c>
      <c r="BR78" s="118">
        <f t="shared" si="145"/>
        <v>0</v>
      </c>
      <c r="BS78" s="106">
        <f>+_xlfn.XLOOKUP($BD78,Budget!$A:$A,Budget!AQ:AQ)</f>
        <v>0</v>
      </c>
      <c r="BT78" s="106">
        <f>+_xlfn.XLOOKUP($BD78,Budget!$A:$A,Budget!AR:AR)</f>
        <v>0</v>
      </c>
      <c r="BU78" s="106">
        <f>+_xlfn.XLOOKUP($BD78,Budget!$A:$A,Budget!AS:AS)</f>
        <v>0</v>
      </c>
      <c r="BV78" s="106">
        <f>+_xlfn.XLOOKUP($BD78,Budget!$A:$A,Budget!AT:AT)</f>
        <v>0</v>
      </c>
      <c r="BW78" s="106">
        <f>+_xlfn.XLOOKUP($BD78,Budget!$A:$A,Budget!AU:AU)</f>
        <v>0</v>
      </c>
      <c r="BX78" s="106">
        <f>+_xlfn.XLOOKUP($BD78,Budget!$A:$A,Budget!AV:AV)</f>
        <v>0</v>
      </c>
      <c r="BY78" s="106">
        <f>+_xlfn.XLOOKUP($BD78,Budget!$A:$A,Budget!AW:AW)</f>
        <v>0</v>
      </c>
      <c r="BZ78" s="106">
        <f>+_xlfn.XLOOKUP($BD78,Budget!$A:$A,Budget!AX:AX)</f>
        <v>0</v>
      </c>
      <c r="CA78" s="106">
        <f>+_xlfn.XLOOKUP($BD78,Budget!$A:$A,Budget!AY:AY)</f>
        <v>0</v>
      </c>
      <c r="CB78" s="106">
        <f>+_xlfn.XLOOKUP($BD78,Budget!$A:$A,Budget!AZ:AZ)</f>
        <v>0</v>
      </c>
      <c r="CC78" s="106">
        <f>+_xlfn.XLOOKUP($BD78,Budget!$A:$A,Budget!BA:BA)</f>
        <v>0</v>
      </c>
      <c r="CD78" s="106">
        <f>+_xlfn.XLOOKUP($BD78,Budget!$A:$A,Budget!BB:BB)</f>
        <v>0</v>
      </c>
      <c r="CE78" s="106">
        <f t="shared" ref="CE78:CE86" si="416">+SUM(BS78:CD78)</f>
        <v>0</v>
      </c>
      <c r="CF78" s="22"/>
      <c r="CG78" s="22">
        <v>0</v>
      </c>
      <c r="CH78" s="22">
        <v>0</v>
      </c>
      <c r="CI78" s="22">
        <v>0</v>
      </c>
      <c r="CJ78" s="22">
        <v>0</v>
      </c>
      <c r="CK78" s="22">
        <v>0</v>
      </c>
      <c r="CL78" s="22">
        <v>0</v>
      </c>
      <c r="CM78" s="22">
        <v>0</v>
      </c>
      <c r="CN78" s="22">
        <v>0</v>
      </c>
      <c r="CO78" s="22">
        <v>0</v>
      </c>
      <c r="CP78" s="22">
        <v>0</v>
      </c>
      <c r="CQ78" s="22">
        <v>0</v>
      </c>
      <c r="CR78" s="22">
        <v>0</v>
      </c>
      <c r="CS78" s="106">
        <f t="shared" ref="CS78:CS86" si="417">+SUM(CG78:CR78)</f>
        <v>0</v>
      </c>
      <c r="CT78" s="16" t="str">
        <f t="shared" si="338"/>
        <v>Demo Vehicle Fuel Expenses</v>
      </c>
      <c r="CU78" s="22">
        <f>+VLOOKUP($BD78,'Jan-25'!$A:$J,7,0)</f>
        <v>0</v>
      </c>
      <c r="CV78" s="22">
        <f>+VLOOKUP($BD78,'Feb-25'!$A:$J,7,0)</f>
        <v>0</v>
      </c>
      <c r="CW78" s="22">
        <f>+VLOOKUP($BD78,'Mar-25'!$A:$J,7,0)</f>
        <v>0</v>
      </c>
      <c r="CX78" s="22">
        <f>+VLOOKUP($BD78,'Apr-25'!$A:$J,7,0)</f>
        <v>0</v>
      </c>
      <c r="CY78" s="22">
        <f>+VLOOKUP($BD78,'May-25'!$A:$J,7,0)</f>
        <v>0</v>
      </c>
      <c r="CZ78" s="22">
        <f>+VLOOKUP($BD78,'June-25'!$A:$J,7,0)</f>
        <v>0</v>
      </c>
      <c r="DA78" s="22">
        <f>+VLOOKUP($BD78,'July-25'!$A:$J,7,0)</f>
        <v>0</v>
      </c>
      <c r="DB78" s="22">
        <f>+VLOOKUP($BD78,'Aug-25'!$A:$J,7,0)</f>
        <v>0</v>
      </c>
      <c r="DC78" s="22">
        <f>+VLOOKUP($BD78,'Sep-25'!$A:$J,7,0)</f>
        <v>0</v>
      </c>
      <c r="DD78" s="22">
        <f>+VLOOKUP($BD78,'Oct-25'!$A:$J,7,0)</f>
        <v>0</v>
      </c>
      <c r="DE78" s="22">
        <f>+VLOOKUP($BD78,'Nov-25'!$A:$J,7,0)</f>
        <v>0</v>
      </c>
      <c r="DF78" s="22">
        <f>+VLOOKUP($BD78,'Dec-25'!$A:$J,7,0)</f>
        <v>0</v>
      </c>
      <c r="DG78" s="22">
        <f t="shared" si="408"/>
        <v>0</v>
      </c>
      <c r="DH78" s="118">
        <f t="shared" si="149"/>
        <v>0</v>
      </c>
      <c r="DI78" s="22">
        <f>+_xlfn.XLOOKUP($CT78,Budget!$A:$A,Budget!CD:CD)</f>
        <v>0</v>
      </c>
      <c r="DJ78" s="22">
        <f>+_xlfn.XLOOKUP($CT78,Budget!$A:$A,Budget!CE:CE)</f>
        <v>0</v>
      </c>
      <c r="DK78" s="22">
        <f>+_xlfn.XLOOKUP($CT78,Budget!$A:$A,Budget!CF:CF)</f>
        <v>0</v>
      </c>
      <c r="DL78" s="22">
        <f>+_xlfn.XLOOKUP($CT78,Budget!$A:$A,Budget!CG:CG)</f>
        <v>0</v>
      </c>
      <c r="DM78" s="22">
        <f>+_xlfn.XLOOKUP($CT78,Budget!$A:$A,Budget!CH:CH)</f>
        <v>0</v>
      </c>
      <c r="DN78" s="22">
        <f>+_xlfn.XLOOKUP($CT78,Budget!$A:$A,Budget!CI:CI)</f>
        <v>0</v>
      </c>
      <c r="DO78" s="22">
        <f>+_xlfn.XLOOKUP($CT78,Budget!$A:$A,Budget!CJ:CJ)</f>
        <v>0</v>
      </c>
      <c r="DP78" s="22">
        <f>+_xlfn.XLOOKUP($CT78,Budget!$A:$A,Budget!CK:CK)</f>
        <v>0</v>
      </c>
      <c r="DQ78" s="22">
        <f>+_xlfn.XLOOKUP($CT78,Budget!$A:$A,Budget!CL:CL)</f>
        <v>0</v>
      </c>
      <c r="DR78" s="22">
        <f>+_xlfn.XLOOKUP($CT78,Budget!$A:$A,Budget!CM:CM)</f>
        <v>0</v>
      </c>
      <c r="DS78" s="22">
        <f>+_xlfn.XLOOKUP($CT78,Budget!$A:$A,Budget!CN:CN)</f>
        <v>0</v>
      </c>
      <c r="DT78" s="22">
        <f>+_xlfn.XLOOKUP($CT78,Budget!$A:$A,Budget!CO:CO)</f>
        <v>0</v>
      </c>
      <c r="DU78" s="106">
        <f t="shared" ref="DU78:DU86" si="418">+SUM(DI78:DT78)</f>
        <v>0</v>
      </c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106">
        <f t="shared" ref="EI78:EI86" si="419">+SUM(DW78:EH78)</f>
        <v>0</v>
      </c>
      <c r="EJ78" s="16" t="str">
        <f t="shared" si="376"/>
        <v>Demo Vehicle Fuel Expenses</v>
      </c>
      <c r="EK78" s="22">
        <f>+VLOOKUP($BD78,'Jan-25'!$A:$J,9,0)</f>
        <v>95960</v>
      </c>
      <c r="EL78" s="22">
        <f>+VLOOKUP($BD78,'Feb-25'!$A:$J,9,0)</f>
        <v>0</v>
      </c>
      <c r="EM78" s="22">
        <f>+VLOOKUP($BD78,'Mar-25'!$A:$J,9,0)</f>
        <v>0</v>
      </c>
      <c r="EN78" s="22">
        <f>+VLOOKUP($BD78,'Apr-25'!$A:$J,9,0)</f>
        <v>0</v>
      </c>
      <c r="EO78" s="22">
        <f>+VLOOKUP($BD78,'May-25'!$A:$J,9,0)</f>
        <v>0</v>
      </c>
      <c r="EP78" s="22">
        <f>+VLOOKUP($BD78,'June-25'!$A:$J,9,0)</f>
        <v>0</v>
      </c>
      <c r="EQ78" s="22">
        <f>+VLOOKUP($BD78,'July-25'!$A:$J,9,0)</f>
        <v>0</v>
      </c>
      <c r="ER78" s="22">
        <f>+VLOOKUP($BD78,'Aug-25'!$A:$J,9,0)</f>
        <v>0</v>
      </c>
      <c r="ES78" s="22">
        <f>+VLOOKUP($BD78,'Sep-25'!$A:$J,9,0)</f>
        <v>0</v>
      </c>
      <c r="ET78" s="22">
        <f>+VLOOKUP($BD78,'Oct-25'!$A:$J,9,0)</f>
        <v>0</v>
      </c>
      <c r="EU78" s="22">
        <f>+VLOOKUP($BD78,'Nov-25'!$A:$J,9,0)</f>
        <v>0</v>
      </c>
      <c r="EV78" s="22">
        <f>+VLOOKUP($BD78,'Dec-25'!$A:$J,9,0)</f>
        <v>0</v>
      </c>
      <c r="EW78" s="22">
        <f t="shared" si="409"/>
        <v>95960</v>
      </c>
      <c r="EX78" s="118">
        <f t="shared" si="153"/>
        <v>0</v>
      </c>
      <c r="EY78" s="22">
        <f>+_xlfn.XLOOKUP($EJ78,Budget!$A:$A,Budget!DE:DE)</f>
        <v>0</v>
      </c>
      <c r="EZ78" s="22">
        <f>+_xlfn.XLOOKUP($EJ78,Budget!$A:$A,Budget!DF:DF)</f>
        <v>0</v>
      </c>
      <c r="FA78" s="22">
        <f>+_xlfn.XLOOKUP($EJ78,Budget!$A:$A,Budget!DG:DG)</f>
        <v>0</v>
      </c>
      <c r="FB78" s="22">
        <f>+_xlfn.XLOOKUP($EJ78,Budget!$A:$A,Budget!DH:DH)</f>
        <v>0</v>
      </c>
      <c r="FC78" s="22">
        <f>+_xlfn.XLOOKUP($EJ78,Budget!$A:$A,Budget!DI:DI)</f>
        <v>0</v>
      </c>
      <c r="FD78" s="22">
        <f>+_xlfn.XLOOKUP($EJ78,Budget!$A:$A,Budget!DJ:DJ)</f>
        <v>0</v>
      </c>
      <c r="FE78" s="22">
        <f>+_xlfn.XLOOKUP($EJ78,Budget!$A:$A,Budget!DK:DK)</f>
        <v>0</v>
      </c>
      <c r="FF78" s="22">
        <f>+_xlfn.XLOOKUP($EJ78,Budget!$A:$A,Budget!DL:DL)</f>
        <v>0</v>
      </c>
      <c r="FG78" s="22">
        <f>+_xlfn.XLOOKUP($EJ78,Budget!$A:$A,Budget!DM:DM)</f>
        <v>0</v>
      </c>
      <c r="FH78" s="22">
        <f>+_xlfn.XLOOKUP($EJ78,Budget!$A:$A,Budget!DN:DN)</f>
        <v>0</v>
      </c>
      <c r="FI78" s="22">
        <f>+_xlfn.XLOOKUP($EJ78,Budget!$A:$A,Budget!DO:DO)</f>
        <v>0</v>
      </c>
      <c r="FJ78" s="22">
        <f>+_xlfn.XLOOKUP($EJ78,Budget!$A:$A,Budget!DP:DP)</f>
        <v>0</v>
      </c>
      <c r="FK78" s="106">
        <f t="shared" ref="FK78:FK86" si="420">+SUM(EY78:FJ78)</f>
        <v>0</v>
      </c>
    </row>
    <row r="79" spans="1:167" ht="14.45" hidden="1" customHeight="1" outlineLevel="2">
      <c r="A79" s="106">
        <f t="shared" si="404"/>
        <v>0</v>
      </c>
      <c r="B79" s="106">
        <f t="shared" si="404"/>
        <v>0</v>
      </c>
      <c r="C79" s="106">
        <f t="shared" si="404"/>
        <v>0</v>
      </c>
      <c r="D79" s="106">
        <f t="shared" si="404"/>
        <v>0</v>
      </c>
      <c r="E79" s="106">
        <f t="shared" si="404"/>
        <v>0</v>
      </c>
      <c r="F79" s="106">
        <f t="shared" si="404"/>
        <v>0</v>
      </c>
      <c r="G79" s="106">
        <f t="shared" si="404"/>
        <v>0</v>
      </c>
      <c r="H79" s="106">
        <f t="shared" si="404"/>
        <v>0</v>
      </c>
      <c r="I79" s="106">
        <f t="shared" si="404"/>
        <v>0</v>
      </c>
      <c r="J79" s="106">
        <f t="shared" si="404"/>
        <v>0</v>
      </c>
      <c r="K79" s="106">
        <f t="shared" si="404"/>
        <v>0</v>
      </c>
      <c r="L79" s="106">
        <f t="shared" si="404"/>
        <v>0</v>
      </c>
      <c r="M79" s="106">
        <f t="shared" si="410"/>
        <v>0</v>
      </c>
      <c r="N79" s="16" t="s">
        <v>63</v>
      </c>
      <c r="O79" s="22">
        <f t="shared" si="411"/>
        <v>400</v>
      </c>
      <c r="P79" s="22">
        <f t="shared" si="405"/>
        <v>0</v>
      </c>
      <c r="Q79" s="22">
        <f t="shared" si="405"/>
        <v>0</v>
      </c>
      <c r="R79" s="22">
        <f t="shared" si="405"/>
        <v>0</v>
      </c>
      <c r="S79" s="22">
        <f t="shared" si="405"/>
        <v>0</v>
      </c>
      <c r="T79" s="22">
        <f t="shared" si="405"/>
        <v>0</v>
      </c>
      <c r="U79" s="22">
        <f t="shared" si="405"/>
        <v>0</v>
      </c>
      <c r="V79" s="22">
        <f t="shared" si="405"/>
        <v>0</v>
      </c>
      <c r="W79" s="22">
        <f t="shared" si="405"/>
        <v>0</v>
      </c>
      <c r="X79" s="22">
        <f t="shared" si="405"/>
        <v>0</v>
      </c>
      <c r="Y79" s="22">
        <f t="shared" si="405"/>
        <v>0</v>
      </c>
      <c r="Z79" s="22">
        <f t="shared" si="405"/>
        <v>0</v>
      </c>
      <c r="AA79" s="22">
        <f t="shared" si="412"/>
        <v>400</v>
      </c>
      <c r="AB79" s="118">
        <f t="shared" si="140"/>
        <v>0</v>
      </c>
      <c r="AC79" s="22">
        <f t="shared" si="413"/>
        <v>0</v>
      </c>
      <c r="AD79" s="22">
        <f t="shared" si="406"/>
        <v>0</v>
      </c>
      <c r="AE79" s="22">
        <f t="shared" si="406"/>
        <v>0</v>
      </c>
      <c r="AF79" s="22">
        <f t="shared" si="406"/>
        <v>0</v>
      </c>
      <c r="AG79" s="22">
        <f t="shared" si="406"/>
        <v>0</v>
      </c>
      <c r="AH79" s="22">
        <f t="shared" si="406"/>
        <v>0</v>
      </c>
      <c r="AI79" s="22">
        <f t="shared" si="406"/>
        <v>0</v>
      </c>
      <c r="AJ79" s="22">
        <f t="shared" si="406"/>
        <v>0</v>
      </c>
      <c r="AK79" s="22">
        <f t="shared" si="406"/>
        <v>0</v>
      </c>
      <c r="AL79" s="22">
        <f t="shared" si="406"/>
        <v>0</v>
      </c>
      <c r="AM79" s="22">
        <f t="shared" si="406"/>
        <v>0</v>
      </c>
      <c r="AN79" s="22">
        <f t="shared" si="406"/>
        <v>0</v>
      </c>
      <c r="AO79" s="22">
        <f t="shared" si="414"/>
        <v>0</v>
      </c>
      <c r="AQ79" s="106">
        <v>0</v>
      </c>
      <c r="AR79" s="106">
        <v>0</v>
      </c>
      <c r="AS79" s="106">
        <v>0</v>
      </c>
      <c r="AT79" s="106">
        <v>0</v>
      </c>
      <c r="AU79" s="106">
        <v>0</v>
      </c>
      <c r="AV79" s="106">
        <v>0</v>
      </c>
      <c r="AW79" s="106">
        <v>0</v>
      </c>
      <c r="AX79" s="106">
        <v>0</v>
      </c>
      <c r="AY79" s="106">
        <v>0</v>
      </c>
      <c r="AZ79" s="106">
        <v>0</v>
      </c>
      <c r="BA79" s="106">
        <v>0</v>
      </c>
      <c r="BB79" s="106">
        <v>0</v>
      </c>
      <c r="BC79" s="106">
        <f t="shared" si="415"/>
        <v>0</v>
      </c>
      <c r="BD79" s="16" t="str">
        <f t="shared" si="334"/>
        <v>Demo Vehicle Other Expenses</v>
      </c>
      <c r="BE79" s="22">
        <f>+VLOOKUP($BD79,'Jan-25'!$A:$J,4,0)</f>
        <v>0</v>
      </c>
      <c r="BF79" s="22">
        <f>+VLOOKUP($BD79,'Feb-25'!$A:$J,4,0)</f>
        <v>0</v>
      </c>
      <c r="BG79" s="22">
        <f>+VLOOKUP($BD79,'Mar-25'!$A:$J,4,0)</f>
        <v>0</v>
      </c>
      <c r="BH79" s="22">
        <f>+VLOOKUP($BD79,'Apr-25'!$A:$J,4,0)</f>
        <v>0</v>
      </c>
      <c r="BI79" s="22">
        <f>+VLOOKUP($BD79,'May-25'!$A:$J,4,0)</f>
        <v>0</v>
      </c>
      <c r="BJ79" s="22">
        <f>+VLOOKUP($BD79,'June-25'!$A:$J,4,0)</f>
        <v>0</v>
      </c>
      <c r="BK79" s="22">
        <f>+VLOOKUP($BD79,'July-25'!$A:$J,4,0)</f>
        <v>0</v>
      </c>
      <c r="BL79" s="22">
        <f>+VLOOKUP($BD79,'Aug-25'!$A:$J,4,0)</f>
        <v>0</v>
      </c>
      <c r="BM79" s="22">
        <f>+VLOOKUP($BD79,'Sep-25'!$A:$J,4,0)</f>
        <v>0</v>
      </c>
      <c r="BN79" s="22">
        <f>+VLOOKUP($BD79,'Oct-25'!$A:$J,4,0)</f>
        <v>0</v>
      </c>
      <c r="BO79" s="22">
        <f>+VLOOKUP($BD79,'Nov-25'!$A:$J,4,0)</f>
        <v>0</v>
      </c>
      <c r="BP79" s="22">
        <f>+VLOOKUP($BD79,'Dec-25'!$A:$J,4,0)</f>
        <v>0</v>
      </c>
      <c r="BQ79" s="22">
        <f t="shared" si="407"/>
        <v>0</v>
      </c>
      <c r="BR79" s="118">
        <f t="shared" si="145"/>
        <v>0</v>
      </c>
      <c r="BS79" s="106">
        <f>+_xlfn.XLOOKUP($BD79,Budget!$A:$A,Budget!AQ:AQ)</f>
        <v>0</v>
      </c>
      <c r="BT79" s="106">
        <f>+_xlfn.XLOOKUP($BD79,Budget!$A:$A,Budget!AR:AR)</f>
        <v>0</v>
      </c>
      <c r="BU79" s="106">
        <f>+_xlfn.XLOOKUP($BD79,Budget!$A:$A,Budget!AS:AS)</f>
        <v>0</v>
      </c>
      <c r="BV79" s="106">
        <f>+_xlfn.XLOOKUP($BD79,Budget!$A:$A,Budget!AT:AT)</f>
        <v>0</v>
      </c>
      <c r="BW79" s="106">
        <f>+_xlfn.XLOOKUP($BD79,Budget!$A:$A,Budget!AU:AU)</f>
        <v>0</v>
      </c>
      <c r="BX79" s="106">
        <f>+_xlfn.XLOOKUP($BD79,Budget!$A:$A,Budget!AV:AV)</f>
        <v>0</v>
      </c>
      <c r="BY79" s="106">
        <f>+_xlfn.XLOOKUP($BD79,Budget!$A:$A,Budget!AW:AW)</f>
        <v>0</v>
      </c>
      <c r="BZ79" s="106">
        <f>+_xlfn.XLOOKUP($BD79,Budget!$A:$A,Budget!AX:AX)</f>
        <v>0</v>
      </c>
      <c r="CA79" s="106">
        <f>+_xlfn.XLOOKUP($BD79,Budget!$A:$A,Budget!AY:AY)</f>
        <v>0</v>
      </c>
      <c r="CB79" s="106">
        <f>+_xlfn.XLOOKUP($BD79,Budget!$A:$A,Budget!AZ:AZ)</f>
        <v>0</v>
      </c>
      <c r="CC79" s="106">
        <f>+_xlfn.XLOOKUP($BD79,Budget!$A:$A,Budget!BA:BA)</f>
        <v>0</v>
      </c>
      <c r="CD79" s="106">
        <f>+_xlfn.XLOOKUP($BD79,Budget!$A:$A,Budget!BB:BB)</f>
        <v>0</v>
      </c>
      <c r="CE79" s="106">
        <f t="shared" si="416"/>
        <v>0</v>
      </c>
      <c r="CF79" s="22"/>
      <c r="CG79" s="22">
        <v>0</v>
      </c>
      <c r="CH79" s="22">
        <v>0</v>
      </c>
      <c r="CI79" s="22">
        <v>0</v>
      </c>
      <c r="CJ79" s="22">
        <v>0</v>
      </c>
      <c r="CK79" s="22">
        <v>0</v>
      </c>
      <c r="CL79" s="22">
        <v>0</v>
      </c>
      <c r="CM79" s="22">
        <v>0</v>
      </c>
      <c r="CN79" s="22">
        <v>0</v>
      </c>
      <c r="CO79" s="22">
        <v>0</v>
      </c>
      <c r="CP79" s="22">
        <v>0</v>
      </c>
      <c r="CQ79" s="22">
        <v>0</v>
      </c>
      <c r="CR79" s="22">
        <v>0</v>
      </c>
      <c r="CS79" s="106">
        <f t="shared" si="417"/>
        <v>0</v>
      </c>
      <c r="CT79" s="16" t="str">
        <f t="shared" si="338"/>
        <v>Demo Vehicle Other Expenses</v>
      </c>
      <c r="CU79" s="22">
        <f>+VLOOKUP($BD79,'Jan-25'!$A:$J,7,0)</f>
        <v>0</v>
      </c>
      <c r="CV79" s="22">
        <f>+VLOOKUP($BD79,'Feb-25'!$A:$J,7,0)</f>
        <v>0</v>
      </c>
      <c r="CW79" s="22">
        <f>+VLOOKUP($BD79,'Mar-25'!$A:$J,7,0)</f>
        <v>0</v>
      </c>
      <c r="CX79" s="22">
        <f>+VLOOKUP($BD79,'Apr-25'!$A:$J,7,0)</f>
        <v>0</v>
      </c>
      <c r="CY79" s="22">
        <f>+VLOOKUP($BD79,'May-25'!$A:$J,7,0)</f>
        <v>0</v>
      </c>
      <c r="CZ79" s="22">
        <f>+VLOOKUP($BD79,'June-25'!$A:$J,7,0)</f>
        <v>0</v>
      </c>
      <c r="DA79" s="22">
        <f>+VLOOKUP($BD79,'July-25'!$A:$J,7,0)</f>
        <v>0</v>
      </c>
      <c r="DB79" s="22">
        <f>+VLOOKUP($BD79,'Aug-25'!$A:$J,7,0)</f>
        <v>0</v>
      </c>
      <c r="DC79" s="22">
        <f>+VLOOKUP($BD79,'Sep-25'!$A:$J,7,0)</f>
        <v>0</v>
      </c>
      <c r="DD79" s="22">
        <f>+VLOOKUP($BD79,'Oct-25'!$A:$J,7,0)</f>
        <v>0</v>
      </c>
      <c r="DE79" s="22">
        <f>+VLOOKUP($BD79,'Nov-25'!$A:$J,7,0)</f>
        <v>0</v>
      </c>
      <c r="DF79" s="22">
        <f>+VLOOKUP($BD79,'Dec-25'!$A:$J,7,0)</f>
        <v>0</v>
      </c>
      <c r="DG79" s="22">
        <f t="shared" si="408"/>
        <v>0</v>
      </c>
      <c r="DH79" s="118">
        <f t="shared" si="149"/>
        <v>0</v>
      </c>
      <c r="DI79" s="22">
        <f>+_xlfn.XLOOKUP($CT79,Budget!$A:$A,Budget!CD:CD)</f>
        <v>0</v>
      </c>
      <c r="DJ79" s="22">
        <f>+_xlfn.XLOOKUP($CT79,Budget!$A:$A,Budget!CE:CE)</f>
        <v>0</v>
      </c>
      <c r="DK79" s="22">
        <f>+_xlfn.XLOOKUP($CT79,Budget!$A:$A,Budget!CF:CF)</f>
        <v>0</v>
      </c>
      <c r="DL79" s="22">
        <f>+_xlfn.XLOOKUP($CT79,Budget!$A:$A,Budget!CG:CG)</f>
        <v>0</v>
      </c>
      <c r="DM79" s="22">
        <f>+_xlfn.XLOOKUP($CT79,Budget!$A:$A,Budget!CH:CH)</f>
        <v>0</v>
      </c>
      <c r="DN79" s="22">
        <f>+_xlfn.XLOOKUP($CT79,Budget!$A:$A,Budget!CI:CI)</f>
        <v>0</v>
      </c>
      <c r="DO79" s="22">
        <f>+_xlfn.XLOOKUP($CT79,Budget!$A:$A,Budget!CJ:CJ)</f>
        <v>0</v>
      </c>
      <c r="DP79" s="22">
        <f>+_xlfn.XLOOKUP($CT79,Budget!$A:$A,Budget!CK:CK)</f>
        <v>0</v>
      </c>
      <c r="DQ79" s="22">
        <f>+_xlfn.XLOOKUP($CT79,Budget!$A:$A,Budget!CL:CL)</f>
        <v>0</v>
      </c>
      <c r="DR79" s="22">
        <f>+_xlfn.XLOOKUP($CT79,Budget!$A:$A,Budget!CM:CM)</f>
        <v>0</v>
      </c>
      <c r="DS79" s="22">
        <f>+_xlfn.XLOOKUP($CT79,Budget!$A:$A,Budget!CN:CN)</f>
        <v>0</v>
      </c>
      <c r="DT79" s="22">
        <f>+_xlfn.XLOOKUP($CT79,Budget!$A:$A,Budget!CO:CO)</f>
        <v>0</v>
      </c>
      <c r="DU79" s="106">
        <f t="shared" si="418"/>
        <v>0</v>
      </c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106">
        <f t="shared" si="419"/>
        <v>0</v>
      </c>
      <c r="EJ79" s="16" t="str">
        <f t="shared" si="376"/>
        <v>Demo Vehicle Other Expenses</v>
      </c>
      <c r="EK79" s="22">
        <f>+VLOOKUP($BD79,'Jan-25'!$A:$J,9,0)</f>
        <v>400</v>
      </c>
      <c r="EL79" s="22">
        <f>+VLOOKUP($BD79,'Feb-25'!$A:$J,9,0)</f>
        <v>0</v>
      </c>
      <c r="EM79" s="22">
        <f>+VLOOKUP($BD79,'Mar-25'!$A:$J,9,0)</f>
        <v>0</v>
      </c>
      <c r="EN79" s="22">
        <f>+VLOOKUP($BD79,'Apr-25'!$A:$J,9,0)</f>
        <v>0</v>
      </c>
      <c r="EO79" s="22">
        <f>+VLOOKUP($BD79,'May-25'!$A:$J,9,0)</f>
        <v>0</v>
      </c>
      <c r="EP79" s="22">
        <f>+VLOOKUP($BD79,'June-25'!$A:$J,9,0)</f>
        <v>0</v>
      </c>
      <c r="EQ79" s="22">
        <f>+VLOOKUP($BD79,'July-25'!$A:$J,9,0)</f>
        <v>0</v>
      </c>
      <c r="ER79" s="22">
        <f>+VLOOKUP($BD79,'Aug-25'!$A:$J,9,0)</f>
        <v>0</v>
      </c>
      <c r="ES79" s="22">
        <f>+VLOOKUP($BD79,'Sep-25'!$A:$J,9,0)</f>
        <v>0</v>
      </c>
      <c r="ET79" s="22">
        <f>+VLOOKUP($BD79,'Oct-25'!$A:$J,9,0)</f>
        <v>0</v>
      </c>
      <c r="EU79" s="22">
        <f>+VLOOKUP($BD79,'Nov-25'!$A:$J,9,0)</f>
        <v>0</v>
      </c>
      <c r="EV79" s="22">
        <f>+VLOOKUP($BD79,'Dec-25'!$A:$J,9,0)</f>
        <v>0</v>
      </c>
      <c r="EW79" s="22">
        <f t="shared" si="409"/>
        <v>400</v>
      </c>
      <c r="EX79" s="118">
        <f t="shared" si="153"/>
        <v>0</v>
      </c>
      <c r="EY79" s="22">
        <f>+_xlfn.XLOOKUP($EJ79,Budget!$A:$A,Budget!DE:DE)</f>
        <v>0</v>
      </c>
      <c r="EZ79" s="22">
        <f>+_xlfn.XLOOKUP($EJ79,Budget!$A:$A,Budget!DF:DF)</f>
        <v>0</v>
      </c>
      <c r="FA79" s="22">
        <f>+_xlfn.XLOOKUP($EJ79,Budget!$A:$A,Budget!DG:DG)</f>
        <v>0</v>
      </c>
      <c r="FB79" s="22">
        <f>+_xlfn.XLOOKUP($EJ79,Budget!$A:$A,Budget!DH:DH)</f>
        <v>0</v>
      </c>
      <c r="FC79" s="22">
        <f>+_xlfn.XLOOKUP($EJ79,Budget!$A:$A,Budget!DI:DI)</f>
        <v>0</v>
      </c>
      <c r="FD79" s="22">
        <f>+_xlfn.XLOOKUP($EJ79,Budget!$A:$A,Budget!DJ:DJ)</f>
        <v>0</v>
      </c>
      <c r="FE79" s="22">
        <f>+_xlfn.XLOOKUP($EJ79,Budget!$A:$A,Budget!DK:DK)</f>
        <v>0</v>
      </c>
      <c r="FF79" s="22">
        <f>+_xlfn.XLOOKUP($EJ79,Budget!$A:$A,Budget!DL:DL)</f>
        <v>0</v>
      </c>
      <c r="FG79" s="22">
        <f>+_xlfn.XLOOKUP($EJ79,Budget!$A:$A,Budget!DM:DM)</f>
        <v>0</v>
      </c>
      <c r="FH79" s="22">
        <f>+_xlfn.XLOOKUP($EJ79,Budget!$A:$A,Budget!DN:DN)</f>
        <v>0</v>
      </c>
      <c r="FI79" s="22">
        <f>+_xlfn.XLOOKUP($EJ79,Budget!$A:$A,Budget!DO:DO)</f>
        <v>0</v>
      </c>
      <c r="FJ79" s="22">
        <f>+_xlfn.XLOOKUP($EJ79,Budget!$A:$A,Budget!DP:DP)</f>
        <v>0</v>
      </c>
      <c r="FK79" s="106">
        <f t="shared" si="420"/>
        <v>0</v>
      </c>
    </row>
    <row r="80" spans="1:167" ht="14.45" hidden="1" customHeight="1" outlineLevel="2">
      <c r="A80" s="106">
        <f t="shared" si="404"/>
        <v>0</v>
      </c>
      <c r="B80" s="106">
        <f t="shared" si="404"/>
        <v>0</v>
      </c>
      <c r="C80" s="106">
        <f t="shared" si="404"/>
        <v>0</v>
      </c>
      <c r="D80" s="106">
        <f t="shared" si="404"/>
        <v>0</v>
      </c>
      <c r="E80" s="106">
        <f t="shared" si="404"/>
        <v>0</v>
      </c>
      <c r="F80" s="106">
        <f t="shared" si="404"/>
        <v>0</v>
      </c>
      <c r="G80" s="106">
        <f t="shared" si="404"/>
        <v>0</v>
      </c>
      <c r="H80" s="106">
        <f t="shared" si="404"/>
        <v>0</v>
      </c>
      <c r="I80" s="106">
        <f t="shared" si="404"/>
        <v>0</v>
      </c>
      <c r="J80" s="106">
        <f t="shared" si="404"/>
        <v>0</v>
      </c>
      <c r="K80" s="106">
        <f t="shared" si="404"/>
        <v>0</v>
      </c>
      <c r="L80" s="106">
        <f t="shared" si="404"/>
        <v>0</v>
      </c>
      <c r="M80" s="106">
        <f t="shared" si="410"/>
        <v>0</v>
      </c>
      <c r="N80" s="16" t="s">
        <v>221</v>
      </c>
      <c r="O80" s="22">
        <f t="shared" si="411"/>
        <v>0</v>
      </c>
      <c r="P80" s="22">
        <f t="shared" si="405"/>
        <v>0</v>
      </c>
      <c r="Q80" s="22">
        <f t="shared" si="405"/>
        <v>0</v>
      </c>
      <c r="R80" s="22">
        <f t="shared" si="405"/>
        <v>0</v>
      </c>
      <c r="S80" s="22">
        <f t="shared" si="405"/>
        <v>0</v>
      </c>
      <c r="T80" s="22">
        <f t="shared" si="405"/>
        <v>0</v>
      </c>
      <c r="U80" s="22">
        <f t="shared" si="405"/>
        <v>0</v>
      </c>
      <c r="V80" s="22">
        <f t="shared" si="405"/>
        <v>0</v>
      </c>
      <c r="W80" s="22">
        <f t="shared" si="405"/>
        <v>0</v>
      </c>
      <c r="X80" s="22">
        <f t="shared" si="405"/>
        <v>0</v>
      </c>
      <c r="Y80" s="22">
        <f t="shared" si="405"/>
        <v>0</v>
      </c>
      <c r="Z80" s="22">
        <f t="shared" si="405"/>
        <v>0</v>
      </c>
      <c r="AA80" s="22">
        <f t="shared" si="412"/>
        <v>0</v>
      </c>
      <c r="AB80" s="118">
        <f t="shared" si="140"/>
        <v>0</v>
      </c>
      <c r="AC80" s="22">
        <f t="shared" si="413"/>
        <v>0</v>
      </c>
      <c r="AD80" s="22">
        <f t="shared" si="406"/>
        <v>0</v>
      </c>
      <c r="AE80" s="22">
        <f t="shared" si="406"/>
        <v>0</v>
      </c>
      <c r="AF80" s="22">
        <f t="shared" si="406"/>
        <v>0</v>
      </c>
      <c r="AG80" s="22">
        <f t="shared" si="406"/>
        <v>0</v>
      </c>
      <c r="AH80" s="22">
        <f t="shared" si="406"/>
        <v>0</v>
      </c>
      <c r="AI80" s="22">
        <f t="shared" si="406"/>
        <v>0</v>
      </c>
      <c r="AJ80" s="22">
        <f t="shared" si="406"/>
        <v>0</v>
      </c>
      <c r="AK80" s="22">
        <f t="shared" si="406"/>
        <v>0</v>
      </c>
      <c r="AL80" s="22">
        <f t="shared" si="406"/>
        <v>0</v>
      </c>
      <c r="AM80" s="22">
        <f t="shared" si="406"/>
        <v>0</v>
      </c>
      <c r="AN80" s="22">
        <f t="shared" si="406"/>
        <v>0</v>
      </c>
      <c r="AO80" s="22">
        <f t="shared" si="414"/>
        <v>0</v>
      </c>
      <c r="AQ80" s="106">
        <v>0</v>
      </c>
      <c r="AR80" s="106">
        <v>0</v>
      </c>
      <c r="AS80" s="106">
        <v>0</v>
      </c>
      <c r="AT80" s="106">
        <v>0</v>
      </c>
      <c r="AU80" s="106">
        <v>0</v>
      </c>
      <c r="AV80" s="106">
        <v>0</v>
      </c>
      <c r="AW80" s="106">
        <v>0</v>
      </c>
      <c r="AX80" s="106">
        <v>0</v>
      </c>
      <c r="AY80" s="106">
        <v>0</v>
      </c>
      <c r="AZ80" s="106">
        <v>0</v>
      </c>
      <c r="BA80" s="106">
        <v>0</v>
      </c>
      <c r="BB80" s="106">
        <v>0</v>
      </c>
      <c r="BC80" s="106">
        <f t="shared" si="415"/>
        <v>0</v>
      </c>
      <c r="BD80" s="16" t="str">
        <f t="shared" si="334"/>
        <v>Demo Vehicle Repaire and Maintanence</v>
      </c>
      <c r="BE80" s="22">
        <f>+VLOOKUP($BD80,'Jan-25'!$A:$J,4,0)</f>
        <v>0</v>
      </c>
      <c r="BF80" s="22">
        <f>+VLOOKUP($BD80,'Feb-25'!$A:$J,4,0)</f>
        <v>0</v>
      </c>
      <c r="BG80" s="22">
        <f>+VLOOKUP($BD80,'Mar-25'!$A:$J,4,0)</f>
        <v>0</v>
      </c>
      <c r="BH80" s="22">
        <f>+VLOOKUP($BD80,'Apr-25'!$A:$J,4,0)</f>
        <v>0</v>
      </c>
      <c r="BI80" s="22">
        <f>+VLOOKUP($BD80,'May-25'!$A:$J,4,0)</f>
        <v>0</v>
      </c>
      <c r="BJ80" s="22">
        <f>+VLOOKUP($BD80,'June-25'!$A:$J,4,0)</f>
        <v>0</v>
      </c>
      <c r="BK80" s="22">
        <f>+VLOOKUP($BD80,'July-25'!$A:$J,4,0)</f>
        <v>0</v>
      </c>
      <c r="BL80" s="22">
        <f>+VLOOKUP($BD80,'Aug-25'!$A:$J,4,0)</f>
        <v>0</v>
      </c>
      <c r="BM80" s="22">
        <f>+VLOOKUP($BD80,'Sep-25'!$A:$J,4,0)</f>
        <v>0</v>
      </c>
      <c r="BN80" s="22">
        <f>+VLOOKUP($BD80,'Oct-25'!$A:$J,4,0)</f>
        <v>0</v>
      </c>
      <c r="BO80" s="22">
        <f>+VLOOKUP($BD80,'Nov-25'!$A:$J,4,0)</f>
        <v>0</v>
      </c>
      <c r="BP80" s="22">
        <f>+VLOOKUP($BD80,'Dec-25'!$A:$J,4,0)</f>
        <v>0</v>
      </c>
      <c r="BQ80" s="22">
        <f t="shared" si="407"/>
        <v>0</v>
      </c>
      <c r="BR80" s="118">
        <f t="shared" si="145"/>
        <v>0</v>
      </c>
      <c r="BS80" s="106">
        <f>+_xlfn.XLOOKUP($BD80,Budget!$A:$A,Budget!AQ:AQ)</f>
        <v>0</v>
      </c>
      <c r="BT80" s="106">
        <f>+_xlfn.XLOOKUP($BD80,Budget!$A:$A,Budget!AR:AR)</f>
        <v>0</v>
      </c>
      <c r="BU80" s="106">
        <f>+_xlfn.XLOOKUP($BD80,Budget!$A:$A,Budget!AS:AS)</f>
        <v>0</v>
      </c>
      <c r="BV80" s="106">
        <f>+_xlfn.XLOOKUP($BD80,Budget!$A:$A,Budget!AT:AT)</f>
        <v>0</v>
      </c>
      <c r="BW80" s="106">
        <f>+_xlfn.XLOOKUP($BD80,Budget!$A:$A,Budget!AU:AU)</f>
        <v>0</v>
      </c>
      <c r="BX80" s="106">
        <f>+_xlfn.XLOOKUP($BD80,Budget!$A:$A,Budget!AV:AV)</f>
        <v>0</v>
      </c>
      <c r="BY80" s="106">
        <f>+_xlfn.XLOOKUP($BD80,Budget!$A:$A,Budget!AW:AW)</f>
        <v>0</v>
      </c>
      <c r="BZ80" s="106">
        <f>+_xlfn.XLOOKUP($BD80,Budget!$A:$A,Budget!AX:AX)</f>
        <v>0</v>
      </c>
      <c r="CA80" s="106">
        <f>+_xlfn.XLOOKUP($BD80,Budget!$A:$A,Budget!AY:AY)</f>
        <v>0</v>
      </c>
      <c r="CB80" s="106">
        <f>+_xlfn.XLOOKUP($BD80,Budget!$A:$A,Budget!AZ:AZ)</f>
        <v>0</v>
      </c>
      <c r="CC80" s="106">
        <f>+_xlfn.XLOOKUP($BD80,Budget!$A:$A,Budget!BA:BA)</f>
        <v>0</v>
      </c>
      <c r="CD80" s="106">
        <f>+_xlfn.XLOOKUP($BD80,Budget!$A:$A,Budget!BB:BB)</f>
        <v>0</v>
      </c>
      <c r="CE80" s="106">
        <f t="shared" si="416"/>
        <v>0</v>
      </c>
      <c r="CF80" s="22"/>
      <c r="CG80" s="22">
        <v>0</v>
      </c>
      <c r="CH80" s="22">
        <v>0</v>
      </c>
      <c r="CI80" s="22">
        <v>0</v>
      </c>
      <c r="CJ80" s="22">
        <v>0</v>
      </c>
      <c r="CK80" s="22">
        <v>0</v>
      </c>
      <c r="CL80" s="22">
        <v>0</v>
      </c>
      <c r="CM80" s="22">
        <v>0</v>
      </c>
      <c r="CN80" s="22">
        <v>0</v>
      </c>
      <c r="CO80" s="22">
        <v>0</v>
      </c>
      <c r="CP80" s="22">
        <v>0</v>
      </c>
      <c r="CQ80" s="22">
        <v>0</v>
      </c>
      <c r="CR80" s="22">
        <v>0</v>
      </c>
      <c r="CS80" s="106">
        <f t="shared" si="417"/>
        <v>0</v>
      </c>
      <c r="CT80" s="16" t="str">
        <f t="shared" si="338"/>
        <v>Demo Vehicle Repaire and Maintanence</v>
      </c>
      <c r="CU80" s="22">
        <f>+VLOOKUP($BD80,'Jan-25'!$A:$J,7,0)</f>
        <v>0</v>
      </c>
      <c r="CV80" s="22">
        <f>+VLOOKUP($BD80,'Feb-25'!$A:$J,7,0)</f>
        <v>0</v>
      </c>
      <c r="CW80" s="22">
        <f>+VLOOKUP($BD80,'Mar-25'!$A:$J,7,0)</f>
        <v>0</v>
      </c>
      <c r="CX80" s="22">
        <f>+VLOOKUP($BD80,'Apr-25'!$A:$J,7,0)</f>
        <v>0</v>
      </c>
      <c r="CY80" s="22">
        <f>+VLOOKUP($BD80,'May-25'!$A:$J,7,0)</f>
        <v>0</v>
      </c>
      <c r="CZ80" s="22">
        <f>+VLOOKUP($BD80,'June-25'!$A:$J,7,0)</f>
        <v>0</v>
      </c>
      <c r="DA80" s="22">
        <f>+VLOOKUP($BD80,'July-25'!$A:$J,7,0)</f>
        <v>0</v>
      </c>
      <c r="DB80" s="22">
        <f>+VLOOKUP($BD80,'Aug-25'!$A:$J,7,0)</f>
        <v>0</v>
      </c>
      <c r="DC80" s="22">
        <f>+VLOOKUP($BD80,'Sep-25'!$A:$J,7,0)</f>
        <v>0</v>
      </c>
      <c r="DD80" s="22">
        <f>+VLOOKUP($BD80,'Oct-25'!$A:$J,7,0)</f>
        <v>0</v>
      </c>
      <c r="DE80" s="22">
        <f>+VLOOKUP($BD80,'Nov-25'!$A:$J,7,0)</f>
        <v>0</v>
      </c>
      <c r="DF80" s="22">
        <f>+VLOOKUP($BD80,'Dec-25'!$A:$J,7,0)</f>
        <v>0</v>
      </c>
      <c r="DG80" s="22">
        <f t="shared" si="408"/>
        <v>0</v>
      </c>
      <c r="DH80" s="118">
        <f t="shared" si="149"/>
        <v>0</v>
      </c>
      <c r="DI80" s="22">
        <f>+_xlfn.XLOOKUP($CT80,Budget!$A:$A,Budget!CD:CD)</f>
        <v>0</v>
      </c>
      <c r="DJ80" s="22">
        <f>+_xlfn.XLOOKUP($CT80,Budget!$A:$A,Budget!CE:CE)</f>
        <v>0</v>
      </c>
      <c r="DK80" s="22">
        <f>+_xlfn.XLOOKUP($CT80,Budget!$A:$A,Budget!CF:CF)</f>
        <v>0</v>
      </c>
      <c r="DL80" s="22">
        <f>+_xlfn.XLOOKUP($CT80,Budget!$A:$A,Budget!CG:CG)</f>
        <v>0</v>
      </c>
      <c r="DM80" s="22">
        <f>+_xlfn.XLOOKUP($CT80,Budget!$A:$A,Budget!CH:CH)</f>
        <v>0</v>
      </c>
      <c r="DN80" s="22">
        <f>+_xlfn.XLOOKUP($CT80,Budget!$A:$A,Budget!CI:CI)</f>
        <v>0</v>
      </c>
      <c r="DO80" s="22">
        <f>+_xlfn.XLOOKUP($CT80,Budget!$A:$A,Budget!CJ:CJ)</f>
        <v>0</v>
      </c>
      <c r="DP80" s="22">
        <f>+_xlfn.XLOOKUP($CT80,Budget!$A:$A,Budget!CK:CK)</f>
        <v>0</v>
      </c>
      <c r="DQ80" s="22">
        <f>+_xlfn.XLOOKUP($CT80,Budget!$A:$A,Budget!CL:CL)</f>
        <v>0</v>
      </c>
      <c r="DR80" s="22">
        <f>+_xlfn.XLOOKUP($CT80,Budget!$A:$A,Budget!CM:CM)</f>
        <v>0</v>
      </c>
      <c r="DS80" s="22">
        <f>+_xlfn.XLOOKUP($CT80,Budget!$A:$A,Budget!CN:CN)</f>
        <v>0</v>
      </c>
      <c r="DT80" s="22">
        <f>+_xlfn.XLOOKUP($CT80,Budget!$A:$A,Budget!CO:CO)</f>
        <v>0</v>
      </c>
      <c r="DU80" s="106">
        <f t="shared" si="418"/>
        <v>0</v>
      </c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106">
        <f t="shared" si="419"/>
        <v>0</v>
      </c>
      <c r="EJ80" s="16" t="str">
        <f t="shared" si="376"/>
        <v>Demo Vehicle Repaire and Maintanence</v>
      </c>
      <c r="EK80" s="22">
        <f>+VLOOKUP($BD80,'Jan-25'!$A:$J,9,0)</f>
        <v>0</v>
      </c>
      <c r="EL80" s="22">
        <f>+VLOOKUP($BD80,'Feb-25'!$A:$J,9,0)</f>
        <v>0</v>
      </c>
      <c r="EM80" s="22">
        <f>+VLOOKUP($BD80,'Mar-25'!$A:$J,9,0)</f>
        <v>0</v>
      </c>
      <c r="EN80" s="22">
        <f>+VLOOKUP($BD80,'Apr-25'!$A:$J,9,0)</f>
        <v>0</v>
      </c>
      <c r="EO80" s="22">
        <f>+VLOOKUP($BD80,'May-25'!$A:$J,9,0)</f>
        <v>0</v>
      </c>
      <c r="EP80" s="22">
        <f>+VLOOKUP($BD80,'June-25'!$A:$J,9,0)</f>
        <v>0</v>
      </c>
      <c r="EQ80" s="22">
        <f>+VLOOKUP($BD80,'July-25'!$A:$J,9,0)</f>
        <v>0</v>
      </c>
      <c r="ER80" s="22">
        <f>+VLOOKUP($BD80,'Aug-25'!$A:$J,9,0)</f>
        <v>0</v>
      </c>
      <c r="ES80" s="22">
        <f>+VLOOKUP($BD80,'Sep-25'!$A:$J,9,0)</f>
        <v>0</v>
      </c>
      <c r="ET80" s="22">
        <f>+VLOOKUP($BD80,'Oct-25'!$A:$J,9,0)</f>
        <v>0</v>
      </c>
      <c r="EU80" s="22">
        <f>+VLOOKUP($BD80,'Nov-25'!$A:$J,9,0)</f>
        <v>0</v>
      </c>
      <c r="EV80" s="22">
        <f>+VLOOKUP($BD80,'Dec-25'!$A:$J,9,0)</f>
        <v>0</v>
      </c>
      <c r="EW80" s="22">
        <f t="shared" si="409"/>
        <v>0</v>
      </c>
      <c r="EX80" s="118">
        <f t="shared" si="153"/>
        <v>0</v>
      </c>
      <c r="EY80" s="22">
        <f>+_xlfn.XLOOKUP($EJ80,Budget!$A:$A,Budget!DE:DE)</f>
        <v>0</v>
      </c>
      <c r="EZ80" s="22">
        <f>+_xlfn.XLOOKUP($EJ80,Budget!$A:$A,Budget!DF:DF)</f>
        <v>0</v>
      </c>
      <c r="FA80" s="22">
        <f>+_xlfn.XLOOKUP($EJ80,Budget!$A:$A,Budget!DG:DG)</f>
        <v>0</v>
      </c>
      <c r="FB80" s="22">
        <f>+_xlfn.XLOOKUP($EJ80,Budget!$A:$A,Budget!DH:DH)</f>
        <v>0</v>
      </c>
      <c r="FC80" s="22">
        <f>+_xlfn.XLOOKUP($EJ80,Budget!$A:$A,Budget!DI:DI)</f>
        <v>0</v>
      </c>
      <c r="FD80" s="22">
        <f>+_xlfn.XLOOKUP($EJ80,Budget!$A:$A,Budget!DJ:DJ)</f>
        <v>0</v>
      </c>
      <c r="FE80" s="22">
        <f>+_xlfn.XLOOKUP($EJ80,Budget!$A:$A,Budget!DK:DK)</f>
        <v>0</v>
      </c>
      <c r="FF80" s="22">
        <f>+_xlfn.XLOOKUP($EJ80,Budget!$A:$A,Budget!DL:DL)</f>
        <v>0</v>
      </c>
      <c r="FG80" s="22">
        <f>+_xlfn.XLOOKUP($EJ80,Budget!$A:$A,Budget!DM:DM)</f>
        <v>0</v>
      </c>
      <c r="FH80" s="22">
        <f>+_xlfn.XLOOKUP($EJ80,Budget!$A:$A,Budget!DN:DN)</f>
        <v>0</v>
      </c>
      <c r="FI80" s="22">
        <f>+_xlfn.XLOOKUP($EJ80,Budget!$A:$A,Budget!DO:DO)</f>
        <v>0</v>
      </c>
      <c r="FJ80" s="22">
        <f>+_xlfn.XLOOKUP($EJ80,Budget!$A:$A,Budget!DP:DP)</f>
        <v>0</v>
      </c>
      <c r="FK80" s="106">
        <f t="shared" si="420"/>
        <v>0</v>
      </c>
    </row>
    <row r="81" spans="1:167" ht="14.45" hidden="1" customHeight="1" outlineLevel="2">
      <c r="A81" s="106">
        <f t="shared" si="404"/>
        <v>29470.14</v>
      </c>
      <c r="B81" s="106">
        <f t="shared" si="404"/>
        <v>0</v>
      </c>
      <c r="C81" s="106">
        <f t="shared" si="404"/>
        <v>11500</v>
      </c>
      <c r="D81" s="106">
        <f t="shared" si="404"/>
        <v>0</v>
      </c>
      <c r="E81" s="106">
        <f t="shared" si="404"/>
        <v>0</v>
      </c>
      <c r="F81" s="106">
        <f t="shared" si="404"/>
        <v>0</v>
      </c>
      <c r="G81" s="106">
        <f t="shared" si="404"/>
        <v>60</v>
      </c>
      <c r="H81" s="106">
        <f t="shared" si="404"/>
        <v>11747</v>
      </c>
      <c r="I81" s="106">
        <f t="shared" si="404"/>
        <v>0</v>
      </c>
      <c r="J81" s="106">
        <f t="shared" si="404"/>
        <v>0</v>
      </c>
      <c r="K81" s="106">
        <f t="shared" si="404"/>
        <v>0</v>
      </c>
      <c r="L81" s="106">
        <f t="shared" si="404"/>
        <v>0</v>
      </c>
      <c r="M81" s="106">
        <f t="shared" si="410"/>
        <v>52777.14</v>
      </c>
      <c r="N81" s="16" t="s">
        <v>65</v>
      </c>
      <c r="O81" s="22">
        <f t="shared" si="411"/>
        <v>0</v>
      </c>
      <c r="P81" s="22">
        <f t="shared" si="405"/>
        <v>6388.3</v>
      </c>
      <c r="Q81" s="22">
        <f t="shared" si="405"/>
        <v>23587</v>
      </c>
      <c r="R81" s="22">
        <f t="shared" si="405"/>
        <v>0</v>
      </c>
      <c r="S81" s="22">
        <f t="shared" si="405"/>
        <v>0</v>
      </c>
      <c r="T81" s="22">
        <f t="shared" si="405"/>
        <v>0</v>
      </c>
      <c r="U81" s="22">
        <f t="shared" si="405"/>
        <v>4000</v>
      </c>
      <c r="V81" s="22">
        <f t="shared" si="405"/>
        <v>0</v>
      </c>
      <c r="W81" s="22">
        <f t="shared" si="405"/>
        <v>0</v>
      </c>
      <c r="X81" s="22">
        <f t="shared" si="405"/>
        <v>0</v>
      </c>
      <c r="Y81" s="22">
        <f t="shared" si="405"/>
        <v>0</v>
      </c>
      <c r="Z81" s="22">
        <f t="shared" si="405"/>
        <v>0</v>
      </c>
      <c r="AA81" s="22">
        <f t="shared" si="412"/>
        <v>33975.300000000003</v>
      </c>
      <c r="AB81" s="118">
        <f t="shared" si="140"/>
        <v>-1</v>
      </c>
      <c r="AC81" s="22">
        <f t="shared" si="413"/>
        <v>15000</v>
      </c>
      <c r="AD81" s="22">
        <f t="shared" si="406"/>
        <v>15000</v>
      </c>
      <c r="AE81" s="22">
        <f t="shared" si="406"/>
        <v>15000</v>
      </c>
      <c r="AF81" s="22">
        <f t="shared" si="406"/>
        <v>15000</v>
      </c>
      <c r="AG81" s="22">
        <f t="shared" si="406"/>
        <v>15000</v>
      </c>
      <c r="AH81" s="22">
        <f t="shared" si="406"/>
        <v>15000</v>
      </c>
      <c r="AI81" s="22">
        <f t="shared" si="406"/>
        <v>15000</v>
      </c>
      <c r="AJ81" s="22">
        <f t="shared" si="406"/>
        <v>15000</v>
      </c>
      <c r="AK81" s="22">
        <f t="shared" si="406"/>
        <v>15000</v>
      </c>
      <c r="AL81" s="22">
        <f t="shared" si="406"/>
        <v>15000</v>
      </c>
      <c r="AM81" s="22">
        <f t="shared" si="406"/>
        <v>15000</v>
      </c>
      <c r="AN81" s="22">
        <f t="shared" si="406"/>
        <v>15000</v>
      </c>
      <c r="AO81" s="22">
        <f t="shared" si="414"/>
        <v>180000</v>
      </c>
      <c r="AQ81" s="106">
        <v>2000</v>
      </c>
      <c r="AR81" s="106">
        <v>0</v>
      </c>
      <c r="AS81" s="106">
        <v>11500</v>
      </c>
      <c r="AT81" s="106">
        <v>0</v>
      </c>
      <c r="AU81" s="106">
        <v>0</v>
      </c>
      <c r="AV81" s="106">
        <v>0</v>
      </c>
      <c r="AW81" s="106">
        <v>60</v>
      </c>
      <c r="AX81" s="106">
        <v>0</v>
      </c>
      <c r="AY81" s="106">
        <v>0</v>
      </c>
      <c r="AZ81" s="106">
        <v>0</v>
      </c>
      <c r="BA81" s="106">
        <v>0</v>
      </c>
      <c r="BB81" s="106">
        <v>0</v>
      </c>
      <c r="BC81" s="106">
        <f t="shared" si="415"/>
        <v>13560</v>
      </c>
      <c r="BD81" s="16" t="str">
        <f t="shared" si="334"/>
        <v>Discount Customer Service</v>
      </c>
      <c r="BE81" s="22">
        <f>+VLOOKUP($BD81,'Jan-25'!$A:$J,4,0)</f>
        <v>0</v>
      </c>
      <c r="BF81" s="22">
        <f>+VLOOKUP($BD81,'Feb-25'!$A:$J,4,0)</f>
        <v>6388.3</v>
      </c>
      <c r="BG81" s="22">
        <f>+VLOOKUP($BD81,'Mar-25'!$A:$J,4,0)</f>
        <v>23587</v>
      </c>
      <c r="BH81" s="22">
        <f>+VLOOKUP($BD81,'Apr-25'!$A:$J,4,0)</f>
        <v>0</v>
      </c>
      <c r="BI81" s="22">
        <f>+VLOOKUP($BD81,'May-25'!$A:$J,4,0)</f>
        <v>0</v>
      </c>
      <c r="BJ81" s="22">
        <f>+VLOOKUP($BD81,'June-25'!$A:$J,4,0)</f>
        <v>0</v>
      </c>
      <c r="BK81" s="22">
        <f>+VLOOKUP($BD81,'July-25'!$A:$J,4,0)</f>
        <v>4000</v>
      </c>
      <c r="BL81" s="22">
        <f>+VLOOKUP($BD81,'Aug-25'!$A:$J,4,0)</f>
        <v>0</v>
      </c>
      <c r="BM81" s="22">
        <f>+VLOOKUP($BD81,'Sep-25'!$A:$J,4,0)</f>
        <v>0</v>
      </c>
      <c r="BN81" s="22">
        <f>+VLOOKUP($BD81,'Oct-25'!$A:$J,4,0)</f>
        <v>0</v>
      </c>
      <c r="BO81" s="22">
        <f>+VLOOKUP($BD81,'Nov-25'!$A:$J,4,0)</f>
        <v>0</v>
      </c>
      <c r="BP81" s="22">
        <f>+VLOOKUP($BD81,'Dec-25'!$A:$J,4,0)</f>
        <v>0</v>
      </c>
      <c r="BQ81" s="22">
        <f t="shared" si="407"/>
        <v>33975.300000000003</v>
      </c>
      <c r="BR81" s="118">
        <f t="shared" si="145"/>
        <v>-1</v>
      </c>
      <c r="BS81" s="106">
        <f>+_xlfn.XLOOKUP($BD81,Budget!$A:$A,Budget!AQ:AQ)</f>
        <v>10000</v>
      </c>
      <c r="BT81" s="106">
        <f>+_xlfn.XLOOKUP($BD81,Budget!$A:$A,Budget!AR:AR)</f>
        <v>10000</v>
      </c>
      <c r="BU81" s="106">
        <f>+_xlfn.XLOOKUP($BD81,Budget!$A:$A,Budget!AS:AS)</f>
        <v>10000</v>
      </c>
      <c r="BV81" s="106">
        <f>+_xlfn.XLOOKUP($BD81,Budget!$A:$A,Budget!AT:AT)</f>
        <v>10000</v>
      </c>
      <c r="BW81" s="106">
        <f>+_xlfn.XLOOKUP($BD81,Budget!$A:$A,Budget!AU:AU)</f>
        <v>10000</v>
      </c>
      <c r="BX81" s="106">
        <f>+_xlfn.XLOOKUP($BD81,Budget!$A:$A,Budget!AV:AV)</f>
        <v>10000</v>
      </c>
      <c r="BY81" s="106">
        <f>+_xlfn.XLOOKUP($BD81,Budget!$A:$A,Budget!AW:AW)</f>
        <v>10000</v>
      </c>
      <c r="BZ81" s="106">
        <f>+_xlfn.XLOOKUP($BD81,Budget!$A:$A,Budget!AX:AX)</f>
        <v>10000</v>
      </c>
      <c r="CA81" s="106">
        <f>+_xlfn.XLOOKUP($BD81,Budget!$A:$A,Budget!AY:AY)</f>
        <v>10000</v>
      </c>
      <c r="CB81" s="106">
        <f>+_xlfn.XLOOKUP($BD81,Budget!$A:$A,Budget!AZ:AZ)</f>
        <v>10000</v>
      </c>
      <c r="CC81" s="106">
        <f>+_xlfn.XLOOKUP($BD81,Budget!$A:$A,Budget!BA:BA)</f>
        <v>10000</v>
      </c>
      <c r="CD81" s="106">
        <f>+_xlfn.XLOOKUP($BD81,Budget!$A:$A,Budget!BB:BB)</f>
        <v>10000</v>
      </c>
      <c r="CE81" s="106">
        <f t="shared" si="416"/>
        <v>120000</v>
      </c>
      <c r="CF81" s="22"/>
      <c r="CG81" s="22">
        <v>27470.14</v>
      </c>
      <c r="CH81" s="22">
        <v>0</v>
      </c>
      <c r="CI81" s="22">
        <v>0</v>
      </c>
      <c r="CJ81" s="22">
        <v>0</v>
      </c>
      <c r="CK81" s="22">
        <v>0</v>
      </c>
      <c r="CL81" s="22">
        <v>0</v>
      </c>
      <c r="CM81" s="22">
        <v>0</v>
      </c>
      <c r="CN81" s="22">
        <v>11747</v>
      </c>
      <c r="CO81" s="22">
        <v>0</v>
      </c>
      <c r="CP81" s="22">
        <v>0</v>
      </c>
      <c r="CQ81" s="22">
        <v>0</v>
      </c>
      <c r="CR81" s="22">
        <v>0</v>
      </c>
      <c r="CS81" s="106">
        <f t="shared" si="417"/>
        <v>39217.14</v>
      </c>
      <c r="CT81" s="16" t="str">
        <f t="shared" si="338"/>
        <v>Discount Customer Service</v>
      </c>
      <c r="CU81" s="22">
        <f>+VLOOKUP($BD81,'Jan-25'!$A:$J,7,0)</f>
        <v>0</v>
      </c>
      <c r="CV81" s="22">
        <f>+VLOOKUP($BD81,'Feb-25'!$A:$J,7,0)</f>
        <v>0</v>
      </c>
      <c r="CW81" s="22">
        <f>+VLOOKUP($BD81,'Mar-25'!$A:$J,7,0)</f>
        <v>0</v>
      </c>
      <c r="CX81" s="22">
        <f>+VLOOKUP($BD81,'Apr-25'!$A:$J,7,0)</f>
        <v>0</v>
      </c>
      <c r="CY81" s="22">
        <f>+VLOOKUP($BD81,'May-25'!$A:$J,7,0)</f>
        <v>0</v>
      </c>
      <c r="CZ81" s="22">
        <f>+VLOOKUP($BD81,'June-25'!$A:$J,7,0)</f>
        <v>0</v>
      </c>
      <c r="DA81" s="22">
        <f>+VLOOKUP($BD81,'July-25'!$A:$J,7,0)</f>
        <v>0</v>
      </c>
      <c r="DB81" s="22">
        <f>+VLOOKUP($BD81,'Aug-25'!$A:$J,7,0)</f>
        <v>0</v>
      </c>
      <c r="DC81" s="22">
        <f>+VLOOKUP($BD81,'Sep-25'!$A:$J,7,0)</f>
        <v>0</v>
      </c>
      <c r="DD81" s="22">
        <f>+VLOOKUP($BD81,'Oct-25'!$A:$J,7,0)</f>
        <v>0</v>
      </c>
      <c r="DE81" s="22">
        <f>+VLOOKUP($BD81,'Nov-25'!$A:$J,7,0)</f>
        <v>0</v>
      </c>
      <c r="DF81" s="22">
        <f>+VLOOKUP($BD81,'Dec-25'!$A:$J,7,0)</f>
        <v>0</v>
      </c>
      <c r="DG81" s="22">
        <f t="shared" si="408"/>
        <v>0</v>
      </c>
      <c r="DH81" s="118">
        <f t="shared" si="149"/>
        <v>-1</v>
      </c>
      <c r="DI81" s="22">
        <f>+_xlfn.XLOOKUP($CT81,Budget!$A:$A,Budget!CD:CD)</f>
        <v>5000</v>
      </c>
      <c r="DJ81" s="22">
        <f>+_xlfn.XLOOKUP($CT81,Budget!$A:$A,Budget!CE:CE)</f>
        <v>5000</v>
      </c>
      <c r="DK81" s="22">
        <f>+_xlfn.XLOOKUP($CT81,Budget!$A:$A,Budget!CF:CF)</f>
        <v>5000</v>
      </c>
      <c r="DL81" s="22">
        <f>+_xlfn.XLOOKUP($CT81,Budget!$A:$A,Budget!CG:CG)</f>
        <v>5000</v>
      </c>
      <c r="DM81" s="22">
        <f>+_xlfn.XLOOKUP($CT81,Budget!$A:$A,Budget!CH:CH)</f>
        <v>5000</v>
      </c>
      <c r="DN81" s="22">
        <f>+_xlfn.XLOOKUP($CT81,Budget!$A:$A,Budget!CI:CI)</f>
        <v>5000</v>
      </c>
      <c r="DO81" s="22">
        <f>+_xlfn.XLOOKUP($CT81,Budget!$A:$A,Budget!CJ:CJ)</f>
        <v>5000</v>
      </c>
      <c r="DP81" s="22">
        <f>+_xlfn.XLOOKUP($CT81,Budget!$A:$A,Budget!CK:CK)</f>
        <v>5000</v>
      </c>
      <c r="DQ81" s="22">
        <f>+_xlfn.XLOOKUP($CT81,Budget!$A:$A,Budget!CL:CL)</f>
        <v>5000</v>
      </c>
      <c r="DR81" s="22">
        <f>+_xlfn.XLOOKUP($CT81,Budget!$A:$A,Budget!CM:CM)</f>
        <v>5000</v>
      </c>
      <c r="DS81" s="22">
        <f>+_xlfn.XLOOKUP($CT81,Budget!$A:$A,Budget!CN:CN)</f>
        <v>5000</v>
      </c>
      <c r="DT81" s="22">
        <f>+_xlfn.XLOOKUP($CT81,Budget!$A:$A,Budget!CO:CO)</f>
        <v>5000</v>
      </c>
      <c r="DU81" s="106">
        <f t="shared" si="418"/>
        <v>60000</v>
      </c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106">
        <f t="shared" si="419"/>
        <v>0</v>
      </c>
      <c r="EJ81" s="16" t="str">
        <f t="shared" si="376"/>
        <v>Discount Customer Service</v>
      </c>
      <c r="EK81" s="22">
        <f>+VLOOKUP($BD81,'Jan-25'!$A:$J,9,0)</f>
        <v>0</v>
      </c>
      <c r="EL81" s="22">
        <f>+VLOOKUP($BD81,'Feb-25'!$A:$J,9,0)</f>
        <v>0</v>
      </c>
      <c r="EM81" s="22">
        <f>+VLOOKUP($BD81,'Mar-25'!$A:$J,9,0)</f>
        <v>0</v>
      </c>
      <c r="EN81" s="22">
        <f>+VLOOKUP($BD81,'Apr-25'!$A:$J,9,0)</f>
        <v>0</v>
      </c>
      <c r="EO81" s="22">
        <f>+VLOOKUP($BD81,'May-25'!$A:$J,9,0)</f>
        <v>0</v>
      </c>
      <c r="EP81" s="22">
        <f>+VLOOKUP($BD81,'June-25'!$A:$J,9,0)</f>
        <v>0</v>
      </c>
      <c r="EQ81" s="22">
        <f>+VLOOKUP($BD81,'July-25'!$A:$J,9,0)</f>
        <v>0</v>
      </c>
      <c r="ER81" s="22">
        <f>+VLOOKUP($BD81,'Aug-25'!$A:$J,9,0)</f>
        <v>0</v>
      </c>
      <c r="ES81" s="22">
        <f>+VLOOKUP($BD81,'Sep-25'!$A:$J,9,0)</f>
        <v>0</v>
      </c>
      <c r="ET81" s="22">
        <f>+VLOOKUP($BD81,'Oct-25'!$A:$J,9,0)</f>
        <v>0</v>
      </c>
      <c r="EU81" s="22">
        <f>+VLOOKUP($BD81,'Nov-25'!$A:$J,9,0)</f>
        <v>0</v>
      </c>
      <c r="EV81" s="22">
        <f>+VLOOKUP($BD81,'Dec-25'!$A:$J,9,0)</f>
        <v>0</v>
      </c>
      <c r="EW81" s="22">
        <f t="shared" si="409"/>
        <v>0</v>
      </c>
      <c r="EX81" s="118">
        <f t="shared" si="153"/>
        <v>0</v>
      </c>
      <c r="EY81" s="22">
        <f>+_xlfn.XLOOKUP($EJ81,Budget!$A:$A,Budget!DE:DE)</f>
        <v>0</v>
      </c>
      <c r="EZ81" s="22">
        <f>+_xlfn.XLOOKUP($EJ81,Budget!$A:$A,Budget!DF:DF)</f>
        <v>0</v>
      </c>
      <c r="FA81" s="22">
        <f>+_xlfn.XLOOKUP($EJ81,Budget!$A:$A,Budget!DG:DG)</f>
        <v>0</v>
      </c>
      <c r="FB81" s="22">
        <f>+_xlfn.XLOOKUP($EJ81,Budget!$A:$A,Budget!DH:DH)</f>
        <v>0</v>
      </c>
      <c r="FC81" s="22">
        <f>+_xlfn.XLOOKUP($EJ81,Budget!$A:$A,Budget!DI:DI)</f>
        <v>0</v>
      </c>
      <c r="FD81" s="22">
        <f>+_xlfn.XLOOKUP($EJ81,Budget!$A:$A,Budget!DJ:DJ)</f>
        <v>0</v>
      </c>
      <c r="FE81" s="22">
        <f>+_xlfn.XLOOKUP($EJ81,Budget!$A:$A,Budget!DK:DK)</f>
        <v>0</v>
      </c>
      <c r="FF81" s="22">
        <f>+_xlfn.XLOOKUP($EJ81,Budget!$A:$A,Budget!DL:DL)</f>
        <v>0</v>
      </c>
      <c r="FG81" s="22">
        <f>+_xlfn.XLOOKUP($EJ81,Budget!$A:$A,Budget!DM:DM)</f>
        <v>0</v>
      </c>
      <c r="FH81" s="22">
        <f>+_xlfn.XLOOKUP($EJ81,Budget!$A:$A,Budget!DN:DN)</f>
        <v>0</v>
      </c>
      <c r="FI81" s="22">
        <f>+_xlfn.XLOOKUP($EJ81,Budget!$A:$A,Budget!DO:DO)</f>
        <v>0</v>
      </c>
      <c r="FJ81" s="22">
        <f>+_xlfn.XLOOKUP($EJ81,Budget!$A:$A,Budget!DP:DP)</f>
        <v>0</v>
      </c>
      <c r="FK81" s="106">
        <f t="shared" si="420"/>
        <v>0</v>
      </c>
    </row>
    <row r="82" spans="1:167" ht="14.45" hidden="1" customHeight="1" outlineLevel="2">
      <c r="A82" s="106">
        <f t="shared" si="404"/>
        <v>0</v>
      </c>
      <c r="B82" s="106">
        <f t="shared" si="404"/>
        <v>0</v>
      </c>
      <c r="C82" s="106">
        <f t="shared" si="404"/>
        <v>0</v>
      </c>
      <c r="D82" s="106">
        <f t="shared" si="404"/>
        <v>0</v>
      </c>
      <c r="E82" s="106">
        <f t="shared" si="404"/>
        <v>0</v>
      </c>
      <c r="F82" s="106">
        <f t="shared" si="404"/>
        <v>0</v>
      </c>
      <c r="G82" s="106">
        <f t="shared" si="404"/>
        <v>0</v>
      </c>
      <c r="H82" s="106">
        <f t="shared" si="404"/>
        <v>0</v>
      </c>
      <c r="I82" s="106">
        <f t="shared" si="404"/>
        <v>0</v>
      </c>
      <c r="J82" s="106">
        <f t="shared" si="404"/>
        <v>0</v>
      </c>
      <c r="K82" s="106">
        <f t="shared" si="404"/>
        <v>0</v>
      </c>
      <c r="L82" s="106">
        <f t="shared" si="404"/>
        <v>0</v>
      </c>
      <c r="M82" s="106">
        <f t="shared" si="410"/>
        <v>0</v>
      </c>
      <c r="N82" s="16" t="s">
        <v>66</v>
      </c>
      <c r="O82" s="22">
        <f t="shared" si="411"/>
        <v>2295</v>
      </c>
      <c r="P82" s="22">
        <f t="shared" si="405"/>
        <v>0</v>
      </c>
      <c r="Q82" s="22">
        <f t="shared" si="405"/>
        <v>0</v>
      </c>
      <c r="R82" s="22">
        <f t="shared" si="405"/>
        <v>0</v>
      </c>
      <c r="S82" s="22">
        <f t="shared" si="405"/>
        <v>0</v>
      </c>
      <c r="T82" s="22">
        <f t="shared" si="405"/>
        <v>0</v>
      </c>
      <c r="U82" s="22">
        <f t="shared" si="405"/>
        <v>0</v>
      </c>
      <c r="V82" s="22">
        <f t="shared" si="405"/>
        <v>0</v>
      </c>
      <c r="W82" s="22">
        <f t="shared" si="405"/>
        <v>0</v>
      </c>
      <c r="X82" s="22">
        <f t="shared" si="405"/>
        <v>0</v>
      </c>
      <c r="Y82" s="22">
        <f t="shared" si="405"/>
        <v>0</v>
      </c>
      <c r="Z82" s="22">
        <f t="shared" si="405"/>
        <v>0</v>
      </c>
      <c r="AA82" s="22">
        <f t="shared" si="412"/>
        <v>2295</v>
      </c>
      <c r="AB82" s="118">
        <f t="shared" si="140"/>
        <v>0</v>
      </c>
      <c r="AC82" s="22">
        <f t="shared" si="413"/>
        <v>0</v>
      </c>
      <c r="AD82" s="22">
        <f t="shared" si="406"/>
        <v>0</v>
      </c>
      <c r="AE82" s="22">
        <f t="shared" si="406"/>
        <v>0</v>
      </c>
      <c r="AF82" s="22">
        <f t="shared" si="406"/>
        <v>0</v>
      </c>
      <c r="AG82" s="22">
        <f t="shared" si="406"/>
        <v>0</v>
      </c>
      <c r="AH82" s="22">
        <f t="shared" si="406"/>
        <v>0</v>
      </c>
      <c r="AI82" s="22">
        <f t="shared" si="406"/>
        <v>0</v>
      </c>
      <c r="AJ82" s="22">
        <f t="shared" si="406"/>
        <v>0</v>
      </c>
      <c r="AK82" s="22">
        <f t="shared" si="406"/>
        <v>0</v>
      </c>
      <c r="AL82" s="22">
        <f t="shared" si="406"/>
        <v>0</v>
      </c>
      <c r="AM82" s="22">
        <f t="shared" si="406"/>
        <v>0</v>
      </c>
      <c r="AN82" s="22">
        <f t="shared" si="406"/>
        <v>0</v>
      </c>
      <c r="AO82" s="22">
        <f t="shared" si="414"/>
        <v>0</v>
      </c>
      <c r="AQ82" s="106">
        <v>0</v>
      </c>
      <c r="AR82" s="106">
        <v>0</v>
      </c>
      <c r="AS82" s="106">
        <v>0</v>
      </c>
      <c r="AT82" s="106">
        <v>0</v>
      </c>
      <c r="AU82" s="106">
        <v>0</v>
      </c>
      <c r="AV82" s="106">
        <v>0</v>
      </c>
      <c r="AW82" s="106">
        <v>0</v>
      </c>
      <c r="AX82" s="106">
        <v>0</v>
      </c>
      <c r="AY82" s="106">
        <v>0</v>
      </c>
      <c r="AZ82" s="106">
        <v>0</v>
      </c>
      <c r="BA82" s="106">
        <v>0</v>
      </c>
      <c r="BB82" s="106">
        <v>0</v>
      </c>
      <c r="BC82" s="106">
        <f t="shared" si="415"/>
        <v>0</v>
      </c>
      <c r="BD82" s="16" t="str">
        <f t="shared" si="334"/>
        <v>Discount Insurance</v>
      </c>
      <c r="BE82" s="22">
        <f>+VLOOKUP($BD82,'Jan-25'!$A:$J,4,0)</f>
        <v>1530</v>
      </c>
      <c r="BF82" s="22">
        <f>+VLOOKUP($BD82,'Feb-25'!$A:$J,4,0)</f>
        <v>0</v>
      </c>
      <c r="BG82" s="22">
        <f>+VLOOKUP($BD82,'Mar-25'!$A:$J,4,0)</f>
        <v>0</v>
      </c>
      <c r="BH82" s="22">
        <f>+VLOOKUP($BD82,'Apr-25'!$A:$J,4,0)</f>
        <v>0</v>
      </c>
      <c r="BI82" s="22">
        <f>+VLOOKUP($BD82,'May-25'!$A:$J,4,0)</f>
        <v>0</v>
      </c>
      <c r="BJ82" s="22">
        <f>+VLOOKUP($BD82,'June-25'!$A:$J,4,0)</f>
        <v>0</v>
      </c>
      <c r="BK82" s="22">
        <f>+VLOOKUP($BD82,'July-25'!$A:$J,4,0)</f>
        <v>0</v>
      </c>
      <c r="BL82" s="22">
        <f>+VLOOKUP($BD82,'Aug-25'!$A:$J,4,0)</f>
        <v>0</v>
      </c>
      <c r="BM82" s="22">
        <f>+VLOOKUP($BD82,'Sep-25'!$A:$J,4,0)</f>
        <v>0</v>
      </c>
      <c r="BN82" s="22">
        <f>+VLOOKUP($BD82,'Oct-25'!$A:$J,4,0)</f>
        <v>0</v>
      </c>
      <c r="BO82" s="22">
        <f>+VLOOKUP($BD82,'Nov-25'!$A:$J,4,0)</f>
        <v>0</v>
      </c>
      <c r="BP82" s="22">
        <f>+VLOOKUP($BD82,'Dec-25'!$A:$J,4,0)</f>
        <v>0</v>
      </c>
      <c r="BQ82" s="22">
        <f t="shared" si="407"/>
        <v>1530</v>
      </c>
      <c r="BR82" s="118">
        <f t="shared" si="145"/>
        <v>0</v>
      </c>
      <c r="BS82" s="106">
        <f>+_xlfn.XLOOKUP($BD82,Budget!$A:$A,Budget!AQ:AQ)</f>
        <v>0</v>
      </c>
      <c r="BT82" s="106">
        <f>+_xlfn.XLOOKUP($BD82,Budget!$A:$A,Budget!AR:AR)</f>
        <v>0</v>
      </c>
      <c r="BU82" s="106">
        <f>+_xlfn.XLOOKUP($BD82,Budget!$A:$A,Budget!AS:AS)</f>
        <v>0</v>
      </c>
      <c r="BV82" s="106">
        <f>+_xlfn.XLOOKUP($BD82,Budget!$A:$A,Budget!AT:AT)</f>
        <v>0</v>
      </c>
      <c r="BW82" s="106">
        <f>+_xlfn.XLOOKUP($BD82,Budget!$A:$A,Budget!AU:AU)</f>
        <v>0</v>
      </c>
      <c r="BX82" s="106">
        <f>+_xlfn.XLOOKUP($BD82,Budget!$A:$A,Budget!AV:AV)</f>
        <v>0</v>
      </c>
      <c r="BY82" s="106">
        <f>+_xlfn.XLOOKUP($BD82,Budget!$A:$A,Budget!AW:AW)</f>
        <v>0</v>
      </c>
      <c r="BZ82" s="106">
        <f>+_xlfn.XLOOKUP($BD82,Budget!$A:$A,Budget!AX:AX)</f>
        <v>0</v>
      </c>
      <c r="CA82" s="106">
        <f>+_xlfn.XLOOKUP($BD82,Budget!$A:$A,Budget!AY:AY)</f>
        <v>0</v>
      </c>
      <c r="CB82" s="106">
        <f>+_xlfn.XLOOKUP($BD82,Budget!$A:$A,Budget!AZ:AZ)</f>
        <v>0</v>
      </c>
      <c r="CC82" s="106">
        <f>+_xlfn.XLOOKUP($BD82,Budget!$A:$A,Budget!BA:BA)</f>
        <v>0</v>
      </c>
      <c r="CD82" s="106">
        <f>+_xlfn.XLOOKUP($BD82,Budget!$A:$A,Budget!BB:BB)</f>
        <v>0</v>
      </c>
      <c r="CE82" s="106">
        <f t="shared" si="416"/>
        <v>0</v>
      </c>
      <c r="CF82" s="22"/>
      <c r="CG82" s="22">
        <v>0</v>
      </c>
      <c r="CH82" s="22">
        <v>0</v>
      </c>
      <c r="CI82" s="22">
        <v>0</v>
      </c>
      <c r="CJ82" s="22">
        <v>0</v>
      </c>
      <c r="CK82" s="22">
        <v>0</v>
      </c>
      <c r="CL82" s="22">
        <v>0</v>
      </c>
      <c r="CM82" s="22">
        <v>0</v>
      </c>
      <c r="CN82" s="22">
        <v>0</v>
      </c>
      <c r="CO82" s="22">
        <v>0</v>
      </c>
      <c r="CP82" s="22">
        <v>0</v>
      </c>
      <c r="CQ82" s="22">
        <v>0</v>
      </c>
      <c r="CR82" s="22">
        <v>0</v>
      </c>
      <c r="CS82" s="106">
        <f t="shared" si="417"/>
        <v>0</v>
      </c>
      <c r="CT82" s="16" t="str">
        <f t="shared" si="338"/>
        <v>Discount Insurance</v>
      </c>
      <c r="CU82" s="22">
        <f>+VLOOKUP($BD82,'Jan-25'!$A:$J,7,0)</f>
        <v>765</v>
      </c>
      <c r="CV82" s="22">
        <f>+VLOOKUP($BD82,'Feb-25'!$A:$J,7,0)</f>
        <v>0</v>
      </c>
      <c r="CW82" s="22">
        <f>+VLOOKUP($BD82,'Mar-25'!$A:$J,7,0)</f>
        <v>0</v>
      </c>
      <c r="CX82" s="22">
        <f>+VLOOKUP($BD82,'Apr-25'!$A:$J,7,0)</f>
        <v>0</v>
      </c>
      <c r="CY82" s="22">
        <f>+VLOOKUP($BD82,'May-25'!$A:$J,7,0)</f>
        <v>0</v>
      </c>
      <c r="CZ82" s="22">
        <f>+VLOOKUP($BD82,'June-25'!$A:$J,7,0)</f>
        <v>0</v>
      </c>
      <c r="DA82" s="22">
        <f>+VLOOKUP($BD82,'July-25'!$A:$J,7,0)</f>
        <v>0</v>
      </c>
      <c r="DB82" s="22">
        <f>+VLOOKUP($BD82,'Aug-25'!$A:$J,7,0)</f>
        <v>0</v>
      </c>
      <c r="DC82" s="22">
        <f>+VLOOKUP($BD82,'Sep-25'!$A:$J,7,0)</f>
        <v>0</v>
      </c>
      <c r="DD82" s="22">
        <f>+VLOOKUP($BD82,'Oct-25'!$A:$J,7,0)</f>
        <v>0</v>
      </c>
      <c r="DE82" s="22">
        <f>+VLOOKUP($BD82,'Nov-25'!$A:$J,7,0)</f>
        <v>0</v>
      </c>
      <c r="DF82" s="22">
        <f>+VLOOKUP($BD82,'Dec-25'!$A:$J,7,0)</f>
        <v>0</v>
      </c>
      <c r="DG82" s="22">
        <f t="shared" si="408"/>
        <v>765</v>
      </c>
      <c r="DH82" s="118">
        <f t="shared" si="149"/>
        <v>0</v>
      </c>
      <c r="DI82" s="22">
        <f>+_xlfn.XLOOKUP($CT82,Budget!$A:$A,Budget!CD:CD)</f>
        <v>0</v>
      </c>
      <c r="DJ82" s="22">
        <f>+_xlfn.XLOOKUP($CT82,Budget!$A:$A,Budget!CE:CE)</f>
        <v>0</v>
      </c>
      <c r="DK82" s="22">
        <f>+_xlfn.XLOOKUP($CT82,Budget!$A:$A,Budget!CF:CF)</f>
        <v>0</v>
      </c>
      <c r="DL82" s="22">
        <f>+_xlfn.XLOOKUP($CT82,Budget!$A:$A,Budget!CG:CG)</f>
        <v>0</v>
      </c>
      <c r="DM82" s="22">
        <f>+_xlfn.XLOOKUP($CT82,Budget!$A:$A,Budget!CH:CH)</f>
        <v>0</v>
      </c>
      <c r="DN82" s="22">
        <f>+_xlfn.XLOOKUP($CT82,Budget!$A:$A,Budget!CI:CI)</f>
        <v>0</v>
      </c>
      <c r="DO82" s="22">
        <f>+_xlfn.XLOOKUP($CT82,Budget!$A:$A,Budget!CJ:CJ)</f>
        <v>0</v>
      </c>
      <c r="DP82" s="22">
        <f>+_xlfn.XLOOKUP($CT82,Budget!$A:$A,Budget!CK:CK)</f>
        <v>0</v>
      </c>
      <c r="DQ82" s="22">
        <f>+_xlfn.XLOOKUP($CT82,Budget!$A:$A,Budget!CL:CL)</f>
        <v>0</v>
      </c>
      <c r="DR82" s="22">
        <f>+_xlfn.XLOOKUP($CT82,Budget!$A:$A,Budget!CM:CM)</f>
        <v>0</v>
      </c>
      <c r="DS82" s="22">
        <f>+_xlfn.XLOOKUP($CT82,Budget!$A:$A,Budget!CN:CN)</f>
        <v>0</v>
      </c>
      <c r="DT82" s="22">
        <f>+_xlfn.XLOOKUP($CT82,Budget!$A:$A,Budget!CO:CO)</f>
        <v>0</v>
      </c>
      <c r="DU82" s="106">
        <f t="shared" si="418"/>
        <v>0</v>
      </c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106">
        <f t="shared" si="419"/>
        <v>0</v>
      </c>
      <c r="EJ82" s="16" t="str">
        <f t="shared" si="376"/>
        <v>Discount Insurance</v>
      </c>
      <c r="EK82" s="22">
        <f>+VLOOKUP($BD82,'Jan-25'!$A:$J,9,0)</f>
        <v>0</v>
      </c>
      <c r="EL82" s="22">
        <f>+VLOOKUP($BD82,'Feb-25'!$A:$J,9,0)</f>
        <v>0</v>
      </c>
      <c r="EM82" s="22">
        <f>+VLOOKUP($BD82,'Mar-25'!$A:$J,9,0)</f>
        <v>0</v>
      </c>
      <c r="EN82" s="22">
        <f>+VLOOKUP($BD82,'Apr-25'!$A:$J,9,0)</f>
        <v>0</v>
      </c>
      <c r="EO82" s="22">
        <f>+VLOOKUP($BD82,'May-25'!$A:$J,9,0)</f>
        <v>0</v>
      </c>
      <c r="EP82" s="22">
        <f>+VLOOKUP($BD82,'June-25'!$A:$J,9,0)</f>
        <v>0</v>
      </c>
      <c r="EQ82" s="22">
        <f>+VLOOKUP($BD82,'July-25'!$A:$J,9,0)</f>
        <v>0</v>
      </c>
      <c r="ER82" s="22">
        <f>+VLOOKUP($BD82,'Aug-25'!$A:$J,9,0)</f>
        <v>0</v>
      </c>
      <c r="ES82" s="22">
        <f>+VLOOKUP($BD82,'Sep-25'!$A:$J,9,0)</f>
        <v>0</v>
      </c>
      <c r="ET82" s="22">
        <f>+VLOOKUP($BD82,'Oct-25'!$A:$J,9,0)</f>
        <v>0</v>
      </c>
      <c r="EU82" s="22">
        <f>+VLOOKUP($BD82,'Nov-25'!$A:$J,9,0)</f>
        <v>0</v>
      </c>
      <c r="EV82" s="22">
        <f>+VLOOKUP($BD82,'Dec-25'!$A:$J,9,0)</f>
        <v>0</v>
      </c>
      <c r="EW82" s="22">
        <f t="shared" si="409"/>
        <v>0</v>
      </c>
      <c r="EX82" s="118">
        <f t="shared" si="153"/>
        <v>0</v>
      </c>
      <c r="EY82" s="22">
        <f>+_xlfn.XLOOKUP($EJ82,Budget!$A:$A,Budget!DE:DE)</f>
        <v>0</v>
      </c>
      <c r="EZ82" s="22">
        <f>+_xlfn.XLOOKUP($EJ82,Budget!$A:$A,Budget!DF:DF)</f>
        <v>0</v>
      </c>
      <c r="FA82" s="22">
        <f>+_xlfn.XLOOKUP($EJ82,Budget!$A:$A,Budget!DG:DG)</f>
        <v>0</v>
      </c>
      <c r="FB82" s="22">
        <f>+_xlfn.XLOOKUP($EJ82,Budget!$A:$A,Budget!DH:DH)</f>
        <v>0</v>
      </c>
      <c r="FC82" s="22">
        <f>+_xlfn.XLOOKUP($EJ82,Budget!$A:$A,Budget!DI:DI)</f>
        <v>0</v>
      </c>
      <c r="FD82" s="22">
        <f>+_xlfn.XLOOKUP($EJ82,Budget!$A:$A,Budget!DJ:DJ)</f>
        <v>0</v>
      </c>
      <c r="FE82" s="22">
        <f>+_xlfn.XLOOKUP($EJ82,Budget!$A:$A,Budget!DK:DK)</f>
        <v>0</v>
      </c>
      <c r="FF82" s="22">
        <f>+_xlfn.XLOOKUP($EJ82,Budget!$A:$A,Budget!DL:DL)</f>
        <v>0</v>
      </c>
      <c r="FG82" s="22">
        <f>+_xlfn.XLOOKUP($EJ82,Budget!$A:$A,Budget!DM:DM)</f>
        <v>0</v>
      </c>
      <c r="FH82" s="22">
        <f>+_xlfn.XLOOKUP($EJ82,Budget!$A:$A,Budget!DN:DN)</f>
        <v>0</v>
      </c>
      <c r="FI82" s="22">
        <f>+_xlfn.XLOOKUP($EJ82,Budget!$A:$A,Budget!DO:DO)</f>
        <v>0</v>
      </c>
      <c r="FJ82" s="22">
        <f>+_xlfn.XLOOKUP($EJ82,Budget!$A:$A,Budget!DP:DP)</f>
        <v>0</v>
      </c>
      <c r="FK82" s="106">
        <f t="shared" si="420"/>
        <v>0</v>
      </c>
    </row>
    <row r="83" spans="1:167" ht="14.45" hidden="1" customHeight="1" outlineLevel="2">
      <c r="A83" s="106">
        <f t="shared" si="404"/>
        <v>0</v>
      </c>
      <c r="B83" s="106">
        <f t="shared" si="404"/>
        <v>0</v>
      </c>
      <c r="C83" s="106">
        <f t="shared" si="404"/>
        <v>0</v>
      </c>
      <c r="D83" s="106">
        <f t="shared" si="404"/>
        <v>0</v>
      </c>
      <c r="E83" s="106">
        <f t="shared" si="404"/>
        <v>0</v>
      </c>
      <c r="F83" s="106">
        <f t="shared" si="404"/>
        <v>0</v>
      </c>
      <c r="G83" s="106">
        <f t="shared" si="404"/>
        <v>0</v>
      </c>
      <c r="H83" s="106">
        <f t="shared" si="404"/>
        <v>0</v>
      </c>
      <c r="I83" s="106">
        <f t="shared" si="404"/>
        <v>0</v>
      </c>
      <c r="J83" s="106">
        <f t="shared" si="404"/>
        <v>0</v>
      </c>
      <c r="K83" s="106">
        <f t="shared" si="404"/>
        <v>0</v>
      </c>
      <c r="L83" s="106">
        <f t="shared" si="404"/>
        <v>0</v>
      </c>
      <c r="M83" s="106">
        <f t="shared" si="410"/>
        <v>0</v>
      </c>
      <c r="N83" s="16" t="s">
        <v>67</v>
      </c>
      <c r="O83" s="22">
        <f t="shared" si="411"/>
        <v>0</v>
      </c>
      <c r="P83" s="22">
        <f t="shared" si="405"/>
        <v>0</v>
      </c>
      <c r="Q83" s="22">
        <f t="shared" si="405"/>
        <v>0</v>
      </c>
      <c r="R83" s="22">
        <f t="shared" si="405"/>
        <v>0</v>
      </c>
      <c r="S83" s="22">
        <f t="shared" si="405"/>
        <v>0</v>
      </c>
      <c r="T83" s="22">
        <f t="shared" si="405"/>
        <v>0</v>
      </c>
      <c r="U83" s="22">
        <f t="shared" si="405"/>
        <v>0</v>
      </c>
      <c r="V83" s="22">
        <f t="shared" si="405"/>
        <v>0</v>
      </c>
      <c r="W83" s="22">
        <f t="shared" si="405"/>
        <v>0</v>
      </c>
      <c r="X83" s="22">
        <f t="shared" si="405"/>
        <v>0</v>
      </c>
      <c r="Y83" s="22">
        <f t="shared" si="405"/>
        <v>0</v>
      </c>
      <c r="Z83" s="22">
        <f t="shared" si="405"/>
        <v>0</v>
      </c>
      <c r="AA83" s="22">
        <f t="shared" si="412"/>
        <v>0</v>
      </c>
      <c r="AB83" s="118">
        <f t="shared" si="140"/>
        <v>0</v>
      </c>
      <c r="AC83" s="22">
        <f t="shared" si="413"/>
        <v>0</v>
      </c>
      <c r="AD83" s="22">
        <f t="shared" si="406"/>
        <v>0</v>
      </c>
      <c r="AE83" s="22">
        <f t="shared" si="406"/>
        <v>0</v>
      </c>
      <c r="AF83" s="22">
        <f t="shared" si="406"/>
        <v>0</v>
      </c>
      <c r="AG83" s="22">
        <f t="shared" si="406"/>
        <v>0</v>
      </c>
      <c r="AH83" s="22">
        <f t="shared" si="406"/>
        <v>0</v>
      </c>
      <c r="AI83" s="22">
        <f t="shared" si="406"/>
        <v>0</v>
      </c>
      <c r="AJ83" s="22">
        <f t="shared" si="406"/>
        <v>0</v>
      </c>
      <c r="AK83" s="22">
        <f t="shared" si="406"/>
        <v>0</v>
      </c>
      <c r="AL83" s="22">
        <f t="shared" si="406"/>
        <v>0</v>
      </c>
      <c r="AM83" s="22">
        <f t="shared" si="406"/>
        <v>0</v>
      </c>
      <c r="AN83" s="22">
        <f t="shared" si="406"/>
        <v>0</v>
      </c>
      <c r="AO83" s="22">
        <f t="shared" si="414"/>
        <v>0</v>
      </c>
      <c r="AQ83" s="106">
        <v>0</v>
      </c>
      <c r="AR83" s="106">
        <v>0</v>
      </c>
      <c r="AS83" s="106">
        <v>0</v>
      </c>
      <c r="AT83" s="106">
        <v>0</v>
      </c>
      <c r="AU83" s="106">
        <v>0</v>
      </c>
      <c r="AV83" s="106">
        <v>0</v>
      </c>
      <c r="AW83" s="106">
        <v>0</v>
      </c>
      <c r="AX83" s="106">
        <v>0</v>
      </c>
      <c r="AY83" s="106">
        <v>0</v>
      </c>
      <c r="AZ83" s="106">
        <v>0</v>
      </c>
      <c r="BA83" s="106">
        <v>0</v>
      </c>
      <c r="BB83" s="106">
        <v>0</v>
      </c>
      <c r="BC83" s="106">
        <f t="shared" si="415"/>
        <v>0</v>
      </c>
      <c r="BD83" s="16" t="str">
        <f t="shared" si="334"/>
        <v>Discount New Car</v>
      </c>
      <c r="BE83" s="22">
        <f>+VLOOKUP($BD83,'Jan-25'!$A:$J,4,0)</f>
        <v>0</v>
      </c>
      <c r="BF83" s="22">
        <f>+VLOOKUP($BD83,'Feb-25'!$A:$J,4,0)</f>
        <v>0</v>
      </c>
      <c r="BG83" s="22">
        <f>+VLOOKUP($BD83,'Mar-25'!$A:$J,4,0)</f>
        <v>0</v>
      </c>
      <c r="BH83" s="22">
        <f>+VLOOKUP($BD83,'Apr-25'!$A:$J,4,0)</f>
        <v>0</v>
      </c>
      <c r="BI83" s="22">
        <f>+VLOOKUP($BD83,'May-25'!$A:$J,4,0)</f>
        <v>0</v>
      </c>
      <c r="BJ83" s="22">
        <f>+VLOOKUP($BD83,'June-25'!$A:$J,4,0)</f>
        <v>0</v>
      </c>
      <c r="BK83" s="22">
        <f>+VLOOKUP($BD83,'July-25'!$A:$J,4,0)</f>
        <v>0</v>
      </c>
      <c r="BL83" s="22">
        <f>+VLOOKUP($BD83,'Aug-25'!$A:$J,4,0)</f>
        <v>0</v>
      </c>
      <c r="BM83" s="22">
        <f>+VLOOKUP($BD83,'Sep-25'!$A:$J,4,0)</f>
        <v>0</v>
      </c>
      <c r="BN83" s="22">
        <f>+VLOOKUP($BD83,'Oct-25'!$A:$J,4,0)</f>
        <v>0</v>
      </c>
      <c r="BO83" s="22">
        <f>+VLOOKUP($BD83,'Nov-25'!$A:$J,4,0)</f>
        <v>0</v>
      </c>
      <c r="BP83" s="22">
        <f>+VLOOKUP($BD83,'Dec-25'!$A:$J,4,0)</f>
        <v>0</v>
      </c>
      <c r="BQ83" s="22">
        <f t="shared" si="407"/>
        <v>0</v>
      </c>
      <c r="BR83" s="118">
        <f t="shared" si="145"/>
        <v>0</v>
      </c>
      <c r="BS83" s="106">
        <f>+_xlfn.XLOOKUP($BD83,Budget!$A:$A,Budget!AQ:AQ)</f>
        <v>0</v>
      </c>
      <c r="BT83" s="106">
        <f>+_xlfn.XLOOKUP($BD83,Budget!$A:$A,Budget!AR:AR)</f>
        <v>0</v>
      </c>
      <c r="BU83" s="106">
        <f>+_xlfn.XLOOKUP($BD83,Budget!$A:$A,Budget!AS:AS)</f>
        <v>0</v>
      </c>
      <c r="BV83" s="106">
        <f>+_xlfn.XLOOKUP($BD83,Budget!$A:$A,Budget!AT:AT)</f>
        <v>0</v>
      </c>
      <c r="BW83" s="106">
        <f>+_xlfn.XLOOKUP($BD83,Budget!$A:$A,Budget!AU:AU)</f>
        <v>0</v>
      </c>
      <c r="BX83" s="106">
        <f>+_xlfn.XLOOKUP($BD83,Budget!$A:$A,Budget!AV:AV)</f>
        <v>0</v>
      </c>
      <c r="BY83" s="106">
        <f>+_xlfn.XLOOKUP($BD83,Budget!$A:$A,Budget!AW:AW)</f>
        <v>0</v>
      </c>
      <c r="BZ83" s="106">
        <f>+_xlfn.XLOOKUP($BD83,Budget!$A:$A,Budget!AX:AX)</f>
        <v>0</v>
      </c>
      <c r="CA83" s="106">
        <f>+_xlfn.XLOOKUP($BD83,Budget!$A:$A,Budget!AY:AY)</f>
        <v>0</v>
      </c>
      <c r="CB83" s="106">
        <f>+_xlfn.XLOOKUP($BD83,Budget!$A:$A,Budget!AZ:AZ)</f>
        <v>0</v>
      </c>
      <c r="CC83" s="106">
        <f>+_xlfn.XLOOKUP($BD83,Budget!$A:$A,Budget!BA:BA)</f>
        <v>0</v>
      </c>
      <c r="CD83" s="106">
        <f>+_xlfn.XLOOKUP($BD83,Budget!$A:$A,Budget!BB:BB)</f>
        <v>0</v>
      </c>
      <c r="CE83" s="106">
        <f t="shared" si="416"/>
        <v>0</v>
      </c>
      <c r="CF83" s="22"/>
      <c r="CG83" s="22">
        <v>0</v>
      </c>
      <c r="CH83" s="22">
        <v>0</v>
      </c>
      <c r="CI83" s="22">
        <v>0</v>
      </c>
      <c r="CJ83" s="22">
        <v>0</v>
      </c>
      <c r="CK83" s="22">
        <v>0</v>
      </c>
      <c r="CL83" s="22">
        <v>0</v>
      </c>
      <c r="CM83" s="22">
        <v>0</v>
      </c>
      <c r="CN83" s="22">
        <v>0</v>
      </c>
      <c r="CO83" s="22">
        <v>0</v>
      </c>
      <c r="CP83" s="22">
        <v>0</v>
      </c>
      <c r="CQ83" s="22">
        <v>0</v>
      </c>
      <c r="CR83" s="22">
        <v>0</v>
      </c>
      <c r="CS83" s="106">
        <f t="shared" si="417"/>
        <v>0</v>
      </c>
      <c r="CT83" s="16" t="str">
        <f t="shared" si="338"/>
        <v>Discount New Car</v>
      </c>
      <c r="CU83" s="22">
        <f>+VLOOKUP($BD83,'Jan-25'!$A:$J,7,0)</f>
        <v>0</v>
      </c>
      <c r="CV83" s="22">
        <f>+VLOOKUP($BD83,'Feb-25'!$A:$J,7,0)</f>
        <v>0</v>
      </c>
      <c r="CW83" s="22">
        <f>+VLOOKUP($BD83,'Mar-25'!$A:$J,7,0)</f>
        <v>0</v>
      </c>
      <c r="CX83" s="22">
        <f>+VLOOKUP($BD83,'Apr-25'!$A:$J,7,0)</f>
        <v>0</v>
      </c>
      <c r="CY83" s="22">
        <f>+VLOOKUP($BD83,'May-25'!$A:$J,7,0)</f>
        <v>0</v>
      </c>
      <c r="CZ83" s="22">
        <f>+VLOOKUP($BD83,'June-25'!$A:$J,7,0)</f>
        <v>0</v>
      </c>
      <c r="DA83" s="22">
        <f>+VLOOKUP($BD83,'July-25'!$A:$J,7,0)</f>
        <v>0</v>
      </c>
      <c r="DB83" s="22">
        <f>+VLOOKUP($BD83,'Aug-25'!$A:$J,7,0)</f>
        <v>0</v>
      </c>
      <c r="DC83" s="22">
        <f>+VLOOKUP($BD83,'Sep-25'!$A:$J,7,0)</f>
        <v>0</v>
      </c>
      <c r="DD83" s="22">
        <f>+VLOOKUP($BD83,'Oct-25'!$A:$J,7,0)</f>
        <v>0</v>
      </c>
      <c r="DE83" s="22">
        <f>+VLOOKUP($BD83,'Nov-25'!$A:$J,7,0)</f>
        <v>0</v>
      </c>
      <c r="DF83" s="22">
        <f>+VLOOKUP($BD83,'Dec-25'!$A:$J,7,0)</f>
        <v>0</v>
      </c>
      <c r="DG83" s="22">
        <f t="shared" si="408"/>
        <v>0</v>
      </c>
      <c r="DH83" s="118">
        <f t="shared" si="149"/>
        <v>0</v>
      </c>
      <c r="DI83" s="22">
        <f>+_xlfn.XLOOKUP($CT83,Budget!$A:$A,Budget!CD:CD)</f>
        <v>0</v>
      </c>
      <c r="DJ83" s="22">
        <f>+_xlfn.XLOOKUP($CT83,Budget!$A:$A,Budget!CE:CE)</f>
        <v>0</v>
      </c>
      <c r="DK83" s="22">
        <f>+_xlfn.XLOOKUP($CT83,Budget!$A:$A,Budget!CF:CF)</f>
        <v>0</v>
      </c>
      <c r="DL83" s="22">
        <f>+_xlfn.XLOOKUP($CT83,Budget!$A:$A,Budget!CG:CG)</f>
        <v>0</v>
      </c>
      <c r="DM83" s="22">
        <f>+_xlfn.XLOOKUP($CT83,Budget!$A:$A,Budget!CH:CH)</f>
        <v>0</v>
      </c>
      <c r="DN83" s="22">
        <f>+_xlfn.XLOOKUP($CT83,Budget!$A:$A,Budget!CI:CI)</f>
        <v>0</v>
      </c>
      <c r="DO83" s="22">
        <f>+_xlfn.XLOOKUP($CT83,Budget!$A:$A,Budget!CJ:CJ)</f>
        <v>0</v>
      </c>
      <c r="DP83" s="22">
        <f>+_xlfn.XLOOKUP($CT83,Budget!$A:$A,Budget!CK:CK)</f>
        <v>0</v>
      </c>
      <c r="DQ83" s="22">
        <f>+_xlfn.XLOOKUP($CT83,Budget!$A:$A,Budget!CL:CL)</f>
        <v>0</v>
      </c>
      <c r="DR83" s="22">
        <f>+_xlfn.XLOOKUP($CT83,Budget!$A:$A,Budget!CM:CM)</f>
        <v>0</v>
      </c>
      <c r="DS83" s="22">
        <f>+_xlfn.XLOOKUP($CT83,Budget!$A:$A,Budget!CN:CN)</f>
        <v>0</v>
      </c>
      <c r="DT83" s="22">
        <f>+_xlfn.XLOOKUP($CT83,Budget!$A:$A,Budget!CO:CO)</f>
        <v>0</v>
      </c>
      <c r="DU83" s="106">
        <f t="shared" si="418"/>
        <v>0</v>
      </c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106">
        <f t="shared" si="419"/>
        <v>0</v>
      </c>
      <c r="EJ83" s="16" t="str">
        <f t="shared" si="376"/>
        <v>Discount New Car</v>
      </c>
      <c r="EK83" s="22">
        <f>+VLOOKUP($BD83,'Jan-25'!$A:$J,9,0)</f>
        <v>0</v>
      </c>
      <c r="EL83" s="22">
        <f>+VLOOKUP($BD83,'Feb-25'!$A:$J,9,0)</f>
        <v>0</v>
      </c>
      <c r="EM83" s="22">
        <f>+VLOOKUP($BD83,'Mar-25'!$A:$J,9,0)</f>
        <v>0</v>
      </c>
      <c r="EN83" s="22">
        <f>+VLOOKUP($BD83,'Apr-25'!$A:$J,9,0)</f>
        <v>0</v>
      </c>
      <c r="EO83" s="22">
        <f>+VLOOKUP($BD83,'May-25'!$A:$J,9,0)</f>
        <v>0</v>
      </c>
      <c r="EP83" s="22">
        <f>+VLOOKUP($BD83,'June-25'!$A:$J,9,0)</f>
        <v>0</v>
      </c>
      <c r="EQ83" s="22">
        <f>+VLOOKUP($BD83,'July-25'!$A:$J,9,0)</f>
        <v>0</v>
      </c>
      <c r="ER83" s="22">
        <f>+VLOOKUP($BD83,'Aug-25'!$A:$J,9,0)</f>
        <v>0</v>
      </c>
      <c r="ES83" s="22">
        <f>+VLOOKUP($BD83,'Sep-25'!$A:$J,9,0)</f>
        <v>0</v>
      </c>
      <c r="ET83" s="22">
        <f>+VLOOKUP($BD83,'Oct-25'!$A:$J,9,0)</f>
        <v>0</v>
      </c>
      <c r="EU83" s="22">
        <f>+VLOOKUP($BD83,'Nov-25'!$A:$J,9,0)</f>
        <v>0</v>
      </c>
      <c r="EV83" s="22">
        <f>+VLOOKUP($BD83,'Dec-25'!$A:$J,9,0)</f>
        <v>0</v>
      </c>
      <c r="EW83" s="22">
        <f t="shared" si="409"/>
        <v>0</v>
      </c>
      <c r="EX83" s="118">
        <f t="shared" si="153"/>
        <v>0</v>
      </c>
      <c r="EY83" s="22">
        <f>+_xlfn.XLOOKUP($EJ83,Budget!$A:$A,Budget!DE:DE)</f>
        <v>0</v>
      </c>
      <c r="EZ83" s="22">
        <f>+_xlfn.XLOOKUP($EJ83,Budget!$A:$A,Budget!DF:DF)</f>
        <v>0</v>
      </c>
      <c r="FA83" s="22">
        <f>+_xlfn.XLOOKUP($EJ83,Budget!$A:$A,Budget!DG:DG)</f>
        <v>0</v>
      </c>
      <c r="FB83" s="22">
        <f>+_xlfn.XLOOKUP($EJ83,Budget!$A:$A,Budget!DH:DH)</f>
        <v>0</v>
      </c>
      <c r="FC83" s="22">
        <f>+_xlfn.XLOOKUP($EJ83,Budget!$A:$A,Budget!DI:DI)</f>
        <v>0</v>
      </c>
      <c r="FD83" s="22">
        <f>+_xlfn.XLOOKUP($EJ83,Budget!$A:$A,Budget!DJ:DJ)</f>
        <v>0</v>
      </c>
      <c r="FE83" s="22">
        <f>+_xlfn.XLOOKUP($EJ83,Budget!$A:$A,Budget!DK:DK)</f>
        <v>0</v>
      </c>
      <c r="FF83" s="22">
        <f>+_xlfn.XLOOKUP($EJ83,Budget!$A:$A,Budget!DL:DL)</f>
        <v>0</v>
      </c>
      <c r="FG83" s="22">
        <f>+_xlfn.XLOOKUP($EJ83,Budget!$A:$A,Budget!DM:DM)</f>
        <v>0</v>
      </c>
      <c r="FH83" s="22">
        <f>+_xlfn.XLOOKUP($EJ83,Budget!$A:$A,Budget!DN:DN)</f>
        <v>0</v>
      </c>
      <c r="FI83" s="22">
        <f>+_xlfn.XLOOKUP($EJ83,Budget!$A:$A,Budget!DO:DO)</f>
        <v>0</v>
      </c>
      <c r="FJ83" s="22">
        <f>+_xlfn.XLOOKUP($EJ83,Budget!$A:$A,Budget!DP:DP)</f>
        <v>0</v>
      </c>
      <c r="FK83" s="106">
        <f t="shared" si="420"/>
        <v>0</v>
      </c>
    </row>
    <row r="84" spans="1:167" ht="14.45" hidden="1" customHeight="1" outlineLevel="2">
      <c r="A84" s="106">
        <f t="shared" si="404"/>
        <v>0</v>
      </c>
      <c r="B84" s="106">
        <f t="shared" si="404"/>
        <v>0</v>
      </c>
      <c r="C84" s="106">
        <f t="shared" si="404"/>
        <v>0</v>
      </c>
      <c r="D84" s="106">
        <f t="shared" si="404"/>
        <v>0</v>
      </c>
      <c r="E84" s="106">
        <f t="shared" si="404"/>
        <v>0</v>
      </c>
      <c r="F84" s="106">
        <f t="shared" si="404"/>
        <v>0</v>
      </c>
      <c r="G84" s="106">
        <f t="shared" si="404"/>
        <v>0</v>
      </c>
      <c r="H84" s="106">
        <f t="shared" si="404"/>
        <v>0</v>
      </c>
      <c r="I84" s="106">
        <f t="shared" si="404"/>
        <v>0</v>
      </c>
      <c r="J84" s="106">
        <f t="shared" si="404"/>
        <v>0</v>
      </c>
      <c r="K84" s="106">
        <f t="shared" si="404"/>
        <v>0</v>
      </c>
      <c r="L84" s="106">
        <f t="shared" si="404"/>
        <v>0</v>
      </c>
      <c r="M84" s="106">
        <f t="shared" si="410"/>
        <v>0</v>
      </c>
      <c r="N84" s="16" t="s">
        <v>68</v>
      </c>
      <c r="O84" s="22">
        <f t="shared" si="411"/>
        <v>0</v>
      </c>
      <c r="P84" s="22">
        <f t="shared" si="405"/>
        <v>0</v>
      </c>
      <c r="Q84" s="22">
        <f t="shared" si="405"/>
        <v>0</v>
      </c>
      <c r="R84" s="22">
        <f t="shared" si="405"/>
        <v>0</v>
      </c>
      <c r="S84" s="22">
        <f t="shared" si="405"/>
        <v>0</v>
      </c>
      <c r="T84" s="22">
        <f t="shared" si="405"/>
        <v>0</v>
      </c>
      <c r="U84" s="22">
        <f t="shared" si="405"/>
        <v>0</v>
      </c>
      <c r="V84" s="22">
        <f t="shared" si="405"/>
        <v>0</v>
      </c>
      <c r="W84" s="22">
        <f t="shared" si="405"/>
        <v>0</v>
      </c>
      <c r="X84" s="22">
        <f t="shared" si="405"/>
        <v>0</v>
      </c>
      <c r="Y84" s="22">
        <f t="shared" si="405"/>
        <v>0</v>
      </c>
      <c r="Z84" s="22">
        <f t="shared" si="405"/>
        <v>0</v>
      </c>
      <c r="AA84" s="22">
        <f t="shared" si="412"/>
        <v>0</v>
      </c>
      <c r="AB84" s="118">
        <f t="shared" si="140"/>
        <v>0</v>
      </c>
      <c r="AC84" s="22">
        <f t="shared" si="413"/>
        <v>0</v>
      </c>
      <c r="AD84" s="22">
        <f t="shared" si="406"/>
        <v>0</v>
      </c>
      <c r="AE84" s="22">
        <f t="shared" si="406"/>
        <v>0</v>
      </c>
      <c r="AF84" s="22">
        <f t="shared" si="406"/>
        <v>0</v>
      </c>
      <c r="AG84" s="22">
        <f t="shared" si="406"/>
        <v>0</v>
      </c>
      <c r="AH84" s="22">
        <f t="shared" si="406"/>
        <v>0</v>
      </c>
      <c r="AI84" s="22">
        <f t="shared" si="406"/>
        <v>0</v>
      </c>
      <c r="AJ84" s="22">
        <f t="shared" si="406"/>
        <v>0</v>
      </c>
      <c r="AK84" s="22">
        <f t="shared" si="406"/>
        <v>0</v>
      </c>
      <c r="AL84" s="22">
        <f t="shared" si="406"/>
        <v>0</v>
      </c>
      <c r="AM84" s="22">
        <f t="shared" si="406"/>
        <v>0</v>
      </c>
      <c r="AN84" s="22">
        <f t="shared" si="406"/>
        <v>0</v>
      </c>
      <c r="AO84" s="22">
        <f t="shared" si="414"/>
        <v>0</v>
      </c>
      <c r="AQ84" s="106">
        <v>0</v>
      </c>
      <c r="AR84" s="106">
        <v>0</v>
      </c>
      <c r="AS84" s="106">
        <v>0</v>
      </c>
      <c r="AT84" s="106">
        <v>0</v>
      </c>
      <c r="AU84" s="106">
        <v>0</v>
      </c>
      <c r="AV84" s="106">
        <v>0</v>
      </c>
      <c r="AW84" s="106">
        <v>0</v>
      </c>
      <c r="AX84" s="106">
        <v>0</v>
      </c>
      <c r="AY84" s="106">
        <v>0</v>
      </c>
      <c r="AZ84" s="106">
        <v>0</v>
      </c>
      <c r="BA84" s="106">
        <v>0</v>
      </c>
      <c r="BB84" s="106">
        <v>0</v>
      </c>
      <c r="BC84" s="106">
        <f t="shared" si="415"/>
        <v>0</v>
      </c>
      <c r="BD84" s="16" t="str">
        <f t="shared" si="334"/>
        <v>Display Vehicle Expenses</v>
      </c>
      <c r="BE84" s="22">
        <f>+VLOOKUP($BD84,'Jan-25'!$A:$J,4,0)</f>
        <v>0</v>
      </c>
      <c r="BF84" s="22">
        <f>+VLOOKUP($BD84,'Feb-25'!$A:$J,4,0)</f>
        <v>0</v>
      </c>
      <c r="BG84" s="22">
        <f>+VLOOKUP($BD84,'Mar-25'!$A:$J,4,0)</f>
        <v>0</v>
      </c>
      <c r="BH84" s="22">
        <f>+VLOOKUP($BD84,'Apr-25'!$A:$J,4,0)</f>
        <v>0</v>
      </c>
      <c r="BI84" s="22">
        <f>+VLOOKUP($BD84,'May-25'!$A:$J,4,0)</f>
        <v>0</v>
      </c>
      <c r="BJ84" s="22">
        <f>+VLOOKUP($BD84,'June-25'!$A:$J,4,0)</f>
        <v>0</v>
      </c>
      <c r="BK84" s="22">
        <f>+VLOOKUP($BD84,'July-25'!$A:$J,4,0)</f>
        <v>0</v>
      </c>
      <c r="BL84" s="22">
        <f>+VLOOKUP($BD84,'Aug-25'!$A:$J,4,0)</f>
        <v>0</v>
      </c>
      <c r="BM84" s="22">
        <f>+VLOOKUP($BD84,'Sep-25'!$A:$J,4,0)</f>
        <v>0</v>
      </c>
      <c r="BN84" s="22">
        <f>+VLOOKUP($BD84,'Oct-25'!$A:$J,4,0)</f>
        <v>0</v>
      </c>
      <c r="BO84" s="22">
        <f>+VLOOKUP($BD84,'Nov-25'!$A:$J,4,0)</f>
        <v>0</v>
      </c>
      <c r="BP84" s="22">
        <f>+VLOOKUP($BD84,'Dec-25'!$A:$J,4,0)</f>
        <v>0</v>
      </c>
      <c r="BQ84" s="22">
        <f t="shared" si="407"/>
        <v>0</v>
      </c>
      <c r="BR84" s="118">
        <f t="shared" si="145"/>
        <v>0</v>
      </c>
      <c r="BS84" s="106">
        <f>+_xlfn.XLOOKUP($BD84,Budget!$A:$A,Budget!AQ:AQ)</f>
        <v>0</v>
      </c>
      <c r="BT84" s="106">
        <f>+_xlfn.XLOOKUP($BD84,Budget!$A:$A,Budget!AR:AR)</f>
        <v>0</v>
      </c>
      <c r="BU84" s="106">
        <f>+_xlfn.XLOOKUP($BD84,Budget!$A:$A,Budget!AS:AS)</f>
        <v>0</v>
      </c>
      <c r="BV84" s="106">
        <f>+_xlfn.XLOOKUP($BD84,Budget!$A:$A,Budget!AT:AT)</f>
        <v>0</v>
      </c>
      <c r="BW84" s="106">
        <f>+_xlfn.XLOOKUP($BD84,Budget!$A:$A,Budget!AU:AU)</f>
        <v>0</v>
      </c>
      <c r="BX84" s="106">
        <f>+_xlfn.XLOOKUP($BD84,Budget!$A:$A,Budget!AV:AV)</f>
        <v>0</v>
      </c>
      <c r="BY84" s="106">
        <f>+_xlfn.XLOOKUP($BD84,Budget!$A:$A,Budget!AW:AW)</f>
        <v>0</v>
      </c>
      <c r="BZ84" s="106">
        <f>+_xlfn.XLOOKUP($BD84,Budget!$A:$A,Budget!AX:AX)</f>
        <v>0</v>
      </c>
      <c r="CA84" s="106">
        <f>+_xlfn.XLOOKUP($BD84,Budget!$A:$A,Budget!AY:AY)</f>
        <v>0</v>
      </c>
      <c r="CB84" s="106">
        <f>+_xlfn.XLOOKUP($BD84,Budget!$A:$A,Budget!AZ:AZ)</f>
        <v>0</v>
      </c>
      <c r="CC84" s="106">
        <f>+_xlfn.XLOOKUP($BD84,Budget!$A:$A,Budget!BA:BA)</f>
        <v>0</v>
      </c>
      <c r="CD84" s="106">
        <f>+_xlfn.XLOOKUP($BD84,Budget!$A:$A,Budget!BB:BB)</f>
        <v>0</v>
      </c>
      <c r="CE84" s="106">
        <f t="shared" si="416"/>
        <v>0</v>
      </c>
      <c r="CF84" s="22"/>
      <c r="CG84" s="22">
        <v>0</v>
      </c>
      <c r="CH84" s="22">
        <v>0</v>
      </c>
      <c r="CI84" s="22">
        <v>0</v>
      </c>
      <c r="CJ84" s="22">
        <v>0</v>
      </c>
      <c r="CK84" s="22">
        <v>0</v>
      </c>
      <c r="CL84" s="22">
        <v>0</v>
      </c>
      <c r="CM84" s="22">
        <v>0</v>
      </c>
      <c r="CN84" s="22">
        <v>0</v>
      </c>
      <c r="CO84" s="22">
        <v>0</v>
      </c>
      <c r="CP84" s="22">
        <v>0</v>
      </c>
      <c r="CQ84" s="22">
        <v>0</v>
      </c>
      <c r="CR84" s="22">
        <v>0</v>
      </c>
      <c r="CS84" s="106">
        <f t="shared" si="417"/>
        <v>0</v>
      </c>
      <c r="CT84" s="16" t="str">
        <f t="shared" si="338"/>
        <v>Display Vehicle Expenses</v>
      </c>
      <c r="CU84" s="22">
        <f>+VLOOKUP($BD84,'Jan-25'!$A:$J,7,0)</f>
        <v>0</v>
      </c>
      <c r="CV84" s="22">
        <f>+VLOOKUP($BD84,'Feb-25'!$A:$J,7,0)</f>
        <v>0</v>
      </c>
      <c r="CW84" s="22">
        <f>+VLOOKUP($BD84,'Mar-25'!$A:$J,7,0)</f>
        <v>0</v>
      </c>
      <c r="CX84" s="22">
        <f>+VLOOKUP($BD84,'Apr-25'!$A:$J,7,0)</f>
        <v>0</v>
      </c>
      <c r="CY84" s="22">
        <f>+VLOOKUP($BD84,'May-25'!$A:$J,7,0)</f>
        <v>0</v>
      </c>
      <c r="CZ84" s="22">
        <f>+VLOOKUP($BD84,'June-25'!$A:$J,7,0)</f>
        <v>0</v>
      </c>
      <c r="DA84" s="22">
        <f>+VLOOKUP($BD84,'July-25'!$A:$J,7,0)</f>
        <v>0</v>
      </c>
      <c r="DB84" s="22">
        <f>+VLOOKUP($BD84,'Aug-25'!$A:$J,7,0)</f>
        <v>0</v>
      </c>
      <c r="DC84" s="22">
        <f>+VLOOKUP($BD84,'Sep-25'!$A:$J,7,0)</f>
        <v>0</v>
      </c>
      <c r="DD84" s="22">
        <f>+VLOOKUP($BD84,'Oct-25'!$A:$J,7,0)</f>
        <v>0</v>
      </c>
      <c r="DE84" s="22">
        <f>+VLOOKUP($BD84,'Nov-25'!$A:$J,7,0)</f>
        <v>0</v>
      </c>
      <c r="DF84" s="22">
        <f>+VLOOKUP($BD84,'Dec-25'!$A:$J,7,0)</f>
        <v>0</v>
      </c>
      <c r="DG84" s="22">
        <f t="shared" si="408"/>
        <v>0</v>
      </c>
      <c r="DH84" s="118">
        <f t="shared" si="149"/>
        <v>0</v>
      </c>
      <c r="DI84" s="22">
        <f>+_xlfn.XLOOKUP($CT84,Budget!$A:$A,Budget!CD:CD)</f>
        <v>0</v>
      </c>
      <c r="DJ84" s="22">
        <f>+_xlfn.XLOOKUP($CT84,Budget!$A:$A,Budget!CE:CE)</f>
        <v>0</v>
      </c>
      <c r="DK84" s="22">
        <f>+_xlfn.XLOOKUP($CT84,Budget!$A:$A,Budget!CF:CF)</f>
        <v>0</v>
      </c>
      <c r="DL84" s="22">
        <f>+_xlfn.XLOOKUP($CT84,Budget!$A:$A,Budget!CG:CG)</f>
        <v>0</v>
      </c>
      <c r="DM84" s="22">
        <f>+_xlfn.XLOOKUP($CT84,Budget!$A:$A,Budget!CH:CH)</f>
        <v>0</v>
      </c>
      <c r="DN84" s="22">
        <f>+_xlfn.XLOOKUP($CT84,Budget!$A:$A,Budget!CI:CI)</f>
        <v>0</v>
      </c>
      <c r="DO84" s="22">
        <f>+_xlfn.XLOOKUP($CT84,Budget!$A:$A,Budget!CJ:CJ)</f>
        <v>0</v>
      </c>
      <c r="DP84" s="22">
        <f>+_xlfn.XLOOKUP($CT84,Budget!$A:$A,Budget!CK:CK)</f>
        <v>0</v>
      </c>
      <c r="DQ84" s="22">
        <f>+_xlfn.XLOOKUP($CT84,Budget!$A:$A,Budget!CL:CL)</f>
        <v>0</v>
      </c>
      <c r="DR84" s="22">
        <f>+_xlfn.XLOOKUP($CT84,Budget!$A:$A,Budget!CM:CM)</f>
        <v>0</v>
      </c>
      <c r="DS84" s="22">
        <f>+_xlfn.XLOOKUP($CT84,Budget!$A:$A,Budget!CN:CN)</f>
        <v>0</v>
      </c>
      <c r="DT84" s="22">
        <f>+_xlfn.XLOOKUP($CT84,Budget!$A:$A,Budget!CO:CO)</f>
        <v>0</v>
      </c>
      <c r="DU84" s="106">
        <f t="shared" si="418"/>
        <v>0</v>
      </c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106">
        <f t="shared" si="419"/>
        <v>0</v>
      </c>
      <c r="EJ84" s="16" t="str">
        <f t="shared" si="376"/>
        <v>Display Vehicle Expenses</v>
      </c>
      <c r="EK84" s="22">
        <f>+VLOOKUP($BD84,'Jan-25'!$A:$J,9,0)</f>
        <v>0</v>
      </c>
      <c r="EL84" s="22">
        <f>+VLOOKUP($BD84,'Feb-25'!$A:$J,9,0)</f>
        <v>0</v>
      </c>
      <c r="EM84" s="22">
        <f>+VLOOKUP($BD84,'Mar-25'!$A:$J,9,0)</f>
        <v>0</v>
      </c>
      <c r="EN84" s="22">
        <f>+VLOOKUP($BD84,'Apr-25'!$A:$J,9,0)</f>
        <v>0</v>
      </c>
      <c r="EO84" s="22">
        <f>+VLOOKUP($BD84,'May-25'!$A:$J,9,0)</f>
        <v>0</v>
      </c>
      <c r="EP84" s="22">
        <f>+VLOOKUP($BD84,'June-25'!$A:$J,9,0)</f>
        <v>0</v>
      </c>
      <c r="EQ84" s="22">
        <f>+VLOOKUP($BD84,'July-25'!$A:$J,9,0)</f>
        <v>0</v>
      </c>
      <c r="ER84" s="22">
        <f>+VLOOKUP($BD84,'Aug-25'!$A:$J,9,0)</f>
        <v>0</v>
      </c>
      <c r="ES84" s="22">
        <f>+VLOOKUP($BD84,'Sep-25'!$A:$J,9,0)</f>
        <v>0</v>
      </c>
      <c r="ET84" s="22">
        <f>+VLOOKUP($BD84,'Oct-25'!$A:$J,9,0)</f>
        <v>0</v>
      </c>
      <c r="EU84" s="22">
        <f>+VLOOKUP($BD84,'Nov-25'!$A:$J,9,0)</f>
        <v>0</v>
      </c>
      <c r="EV84" s="22">
        <f>+VLOOKUP($BD84,'Dec-25'!$A:$J,9,0)</f>
        <v>0</v>
      </c>
      <c r="EW84" s="22">
        <f t="shared" si="409"/>
        <v>0</v>
      </c>
      <c r="EX84" s="118">
        <f t="shared" si="153"/>
        <v>0</v>
      </c>
      <c r="EY84" s="22">
        <f>+_xlfn.XLOOKUP($EJ84,Budget!$A:$A,Budget!DE:DE)</f>
        <v>0</v>
      </c>
      <c r="EZ84" s="22">
        <f>+_xlfn.XLOOKUP($EJ84,Budget!$A:$A,Budget!DF:DF)</f>
        <v>0</v>
      </c>
      <c r="FA84" s="22">
        <f>+_xlfn.XLOOKUP($EJ84,Budget!$A:$A,Budget!DG:DG)</f>
        <v>0</v>
      </c>
      <c r="FB84" s="22">
        <f>+_xlfn.XLOOKUP($EJ84,Budget!$A:$A,Budget!DH:DH)</f>
        <v>0</v>
      </c>
      <c r="FC84" s="22">
        <f>+_xlfn.XLOOKUP($EJ84,Budget!$A:$A,Budget!DI:DI)</f>
        <v>0</v>
      </c>
      <c r="FD84" s="22">
        <f>+_xlfn.XLOOKUP($EJ84,Budget!$A:$A,Budget!DJ:DJ)</f>
        <v>0</v>
      </c>
      <c r="FE84" s="22">
        <f>+_xlfn.XLOOKUP($EJ84,Budget!$A:$A,Budget!DK:DK)</f>
        <v>0</v>
      </c>
      <c r="FF84" s="22">
        <f>+_xlfn.XLOOKUP($EJ84,Budget!$A:$A,Budget!DL:DL)</f>
        <v>0</v>
      </c>
      <c r="FG84" s="22">
        <f>+_xlfn.XLOOKUP($EJ84,Budget!$A:$A,Budget!DM:DM)</f>
        <v>0</v>
      </c>
      <c r="FH84" s="22">
        <f>+_xlfn.XLOOKUP($EJ84,Budget!$A:$A,Budget!DN:DN)</f>
        <v>0</v>
      </c>
      <c r="FI84" s="22">
        <f>+_xlfn.XLOOKUP($EJ84,Budget!$A:$A,Budget!DO:DO)</f>
        <v>0</v>
      </c>
      <c r="FJ84" s="22">
        <f>+_xlfn.XLOOKUP($EJ84,Budget!$A:$A,Budget!DP:DP)</f>
        <v>0</v>
      </c>
      <c r="FK84" s="106">
        <f t="shared" si="420"/>
        <v>0</v>
      </c>
    </row>
    <row r="85" spans="1:167" ht="14.45" hidden="1" customHeight="1" outlineLevel="2">
      <c r="A85" s="106">
        <f t="shared" si="404"/>
        <v>0</v>
      </c>
      <c r="B85" s="106">
        <f t="shared" si="404"/>
        <v>0</v>
      </c>
      <c r="C85" s="106">
        <f t="shared" si="404"/>
        <v>0</v>
      </c>
      <c r="D85" s="106">
        <f t="shared" si="404"/>
        <v>0</v>
      </c>
      <c r="E85" s="106">
        <f t="shared" si="404"/>
        <v>0</v>
      </c>
      <c r="F85" s="106">
        <f t="shared" si="404"/>
        <v>0</v>
      </c>
      <c r="G85" s="106">
        <f t="shared" si="404"/>
        <v>0</v>
      </c>
      <c r="H85" s="106">
        <f t="shared" si="404"/>
        <v>0</v>
      </c>
      <c r="I85" s="106">
        <f t="shared" si="404"/>
        <v>0</v>
      </c>
      <c r="J85" s="106">
        <f t="shared" si="404"/>
        <v>0</v>
      </c>
      <c r="K85" s="106">
        <f t="shared" si="404"/>
        <v>0</v>
      </c>
      <c r="L85" s="106">
        <f t="shared" si="404"/>
        <v>0</v>
      </c>
      <c r="M85" s="106">
        <f t="shared" si="410"/>
        <v>0</v>
      </c>
      <c r="N85" s="16" t="s">
        <v>69</v>
      </c>
      <c r="O85" s="22">
        <f t="shared" si="411"/>
        <v>0</v>
      </c>
      <c r="P85" s="22">
        <f t="shared" si="405"/>
        <v>0</v>
      </c>
      <c r="Q85" s="22">
        <f t="shared" si="405"/>
        <v>0</v>
      </c>
      <c r="R85" s="22">
        <f t="shared" si="405"/>
        <v>0</v>
      </c>
      <c r="S85" s="22">
        <f t="shared" si="405"/>
        <v>0</v>
      </c>
      <c r="T85" s="22">
        <f t="shared" si="405"/>
        <v>0</v>
      </c>
      <c r="U85" s="22">
        <f t="shared" si="405"/>
        <v>0</v>
      </c>
      <c r="V85" s="22">
        <f t="shared" si="405"/>
        <v>0</v>
      </c>
      <c r="W85" s="22">
        <f t="shared" si="405"/>
        <v>0</v>
      </c>
      <c r="X85" s="22">
        <f t="shared" si="405"/>
        <v>0</v>
      </c>
      <c r="Y85" s="22">
        <f t="shared" si="405"/>
        <v>0</v>
      </c>
      <c r="Z85" s="22">
        <f t="shared" si="405"/>
        <v>0</v>
      </c>
      <c r="AA85" s="22">
        <f t="shared" si="412"/>
        <v>0</v>
      </c>
      <c r="AB85" s="118">
        <f t="shared" si="140"/>
        <v>0</v>
      </c>
      <c r="AC85" s="22">
        <f t="shared" si="413"/>
        <v>0</v>
      </c>
      <c r="AD85" s="22">
        <f t="shared" si="406"/>
        <v>0</v>
      </c>
      <c r="AE85" s="22">
        <f t="shared" si="406"/>
        <v>0</v>
      </c>
      <c r="AF85" s="22">
        <f t="shared" si="406"/>
        <v>0</v>
      </c>
      <c r="AG85" s="22">
        <f t="shared" si="406"/>
        <v>0</v>
      </c>
      <c r="AH85" s="22">
        <f t="shared" si="406"/>
        <v>0</v>
      </c>
      <c r="AI85" s="22">
        <f t="shared" si="406"/>
        <v>0</v>
      </c>
      <c r="AJ85" s="22">
        <f t="shared" si="406"/>
        <v>0</v>
      </c>
      <c r="AK85" s="22">
        <f t="shared" si="406"/>
        <v>0</v>
      </c>
      <c r="AL85" s="22">
        <f t="shared" si="406"/>
        <v>0</v>
      </c>
      <c r="AM85" s="22">
        <f t="shared" si="406"/>
        <v>0</v>
      </c>
      <c r="AN85" s="22">
        <f t="shared" si="406"/>
        <v>0</v>
      </c>
      <c r="AO85" s="22">
        <f t="shared" si="414"/>
        <v>0</v>
      </c>
      <c r="AQ85" s="106">
        <v>0</v>
      </c>
      <c r="AR85" s="106">
        <v>0</v>
      </c>
      <c r="AS85" s="106">
        <v>0</v>
      </c>
      <c r="AT85" s="106">
        <v>0</v>
      </c>
      <c r="AU85" s="106">
        <v>0</v>
      </c>
      <c r="AV85" s="106">
        <v>0</v>
      </c>
      <c r="AW85" s="106">
        <v>0</v>
      </c>
      <c r="AX85" s="106">
        <v>0</v>
      </c>
      <c r="AY85" s="106">
        <v>0</v>
      </c>
      <c r="AZ85" s="106">
        <v>0</v>
      </c>
      <c r="BA85" s="106">
        <v>0</v>
      </c>
      <c r="BB85" s="106">
        <v>0</v>
      </c>
      <c r="BC85" s="106">
        <f t="shared" si="415"/>
        <v>0</v>
      </c>
      <c r="BD85" s="16" t="str">
        <f t="shared" si="334"/>
        <v>Sale Commission (outsiders)</v>
      </c>
      <c r="BE85" s="22">
        <f>+VLOOKUP($BD85,'Jan-25'!$A:$J,4,0)</f>
        <v>0</v>
      </c>
      <c r="BF85" s="22">
        <f>+VLOOKUP($BD85,'Feb-25'!$A:$J,4,0)</f>
        <v>0</v>
      </c>
      <c r="BG85" s="22">
        <f>+VLOOKUP($BD85,'Mar-25'!$A:$J,4,0)</f>
        <v>0</v>
      </c>
      <c r="BH85" s="22">
        <f>+VLOOKUP($BD85,'Apr-25'!$A:$J,4,0)</f>
        <v>0</v>
      </c>
      <c r="BI85" s="22">
        <f>+VLOOKUP($BD85,'May-25'!$A:$J,4,0)</f>
        <v>0</v>
      </c>
      <c r="BJ85" s="22">
        <f>+VLOOKUP($BD85,'June-25'!$A:$J,4,0)</f>
        <v>0</v>
      </c>
      <c r="BK85" s="22">
        <f>+VLOOKUP($BD85,'July-25'!$A:$J,4,0)</f>
        <v>0</v>
      </c>
      <c r="BL85" s="22">
        <f>+VLOOKUP($BD85,'Aug-25'!$A:$J,4,0)</f>
        <v>0</v>
      </c>
      <c r="BM85" s="22">
        <f>+VLOOKUP($BD85,'Sep-25'!$A:$J,4,0)</f>
        <v>0</v>
      </c>
      <c r="BN85" s="22">
        <f>+VLOOKUP($BD85,'Oct-25'!$A:$J,4,0)</f>
        <v>0</v>
      </c>
      <c r="BO85" s="22">
        <f>+VLOOKUP($BD85,'Nov-25'!$A:$J,4,0)</f>
        <v>0</v>
      </c>
      <c r="BP85" s="22">
        <f>+VLOOKUP($BD85,'Dec-25'!$A:$J,4,0)</f>
        <v>0</v>
      </c>
      <c r="BQ85" s="22">
        <f t="shared" si="407"/>
        <v>0</v>
      </c>
      <c r="BR85" s="118">
        <f t="shared" si="145"/>
        <v>0</v>
      </c>
      <c r="BS85" s="106">
        <f>+_xlfn.XLOOKUP($BD85,Budget!$A:$A,Budget!AQ:AQ)</f>
        <v>0</v>
      </c>
      <c r="BT85" s="106">
        <f>+_xlfn.XLOOKUP($BD85,Budget!$A:$A,Budget!AR:AR)</f>
        <v>0</v>
      </c>
      <c r="BU85" s="106">
        <f>+_xlfn.XLOOKUP($BD85,Budget!$A:$A,Budget!AS:AS)</f>
        <v>0</v>
      </c>
      <c r="BV85" s="106">
        <f>+_xlfn.XLOOKUP($BD85,Budget!$A:$A,Budget!AT:AT)</f>
        <v>0</v>
      </c>
      <c r="BW85" s="106">
        <f>+_xlfn.XLOOKUP($BD85,Budget!$A:$A,Budget!AU:AU)</f>
        <v>0</v>
      </c>
      <c r="BX85" s="106">
        <f>+_xlfn.XLOOKUP($BD85,Budget!$A:$A,Budget!AV:AV)</f>
        <v>0</v>
      </c>
      <c r="BY85" s="106">
        <f>+_xlfn.XLOOKUP($BD85,Budget!$A:$A,Budget!AW:AW)</f>
        <v>0</v>
      </c>
      <c r="BZ85" s="106">
        <f>+_xlfn.XLOOKUP($BD85,Budget!$A:$A,Budget!AX:AX)</f>
        <v>0</v>
      </c>
      <c r="CA85" s="106">
        <f>+_xlfn.XLOOKUP($BD85,Budget!$A:$A,Budget!AY:AY)</f>
        <v>0</v>
      </c>
      <c r="CB85" s="106">
        <f>+_xlfn.XLOOKUP($BD85,Budget!$A:$A,Budget!AZ:AZ)</f>
        <v>0</v>
      </c>
      <c r="CC85" s="106">
        <f>+_xlfn.XLOOKUP($BD85,Budget!$A:$A,Budget!BA:BA)</f>
        <v>0</v>
      </c>
      <c r="CD85" s="106">
        <f>+_xlfn.XLOOKUP($BD85,Budget!$A:$A,Budget!BB:BB)</f>
        <v>0</v>
      </c>
      <c r="CE85" s="106">
        <f t="shared" si="416"/>
        <v>0</v>
      </c>
      <c r="CF85" s="22"/>
      <c r="CG85" s="22">
        <v>0</v>
      </c>
      <c r="CH85" s="22">
        <v>0</v>
      </c>
      <c r="CI85" s="22">
        <v>0</v>
      </c>
      <c r="CJ85" s="22">
        <v>0</v>
      </c>
      <c r="CK85" s="22">
        <v>0</v>
      </c>
      <c r="CL85" s="22">
        <v>0</v>
      </c>
      <c r="CM85" s="22">
        <v>0</v>
      </c>
      <c r="CN85" s="22">
        <v>0</v>
      </c>
      <c r="CO85" s="22">
        <v>0</v>
      </c>
      <c r="CP85" s="22">
        <v>0</v>
      </c>
      <c r="CQ85" s="22">
        <v>0</v>
      </c>
      <c r="CR85" s="22">
        <v>0</v>
      </c>
      <c r="CS85" s="106">
        <f t="shared" si="417"/>
        <v>0</v>
      </c>
      <c r="CT85" s="16" t="str">
        <f t="shared" si="338"/>
        <v>Sale Commission (outsiders)</v>
      </c>
      <c r="CU85" s="22">
        <f>+VLOOKUP($BD85,'Jan-25'!$A:$J,7,0)</f>
        <v>0</v>
      </c>
      <c r="CV85" s="22">
        <f>+VLOOKUP($BD85,'Feb-25'!$A:$J,7,0)</f>
        <v>0</v>
      </c>
      <c r="CW85" s="22">
        <f>+VLOOKUP($BD85,'Mar-25'!$A:$J,7,0)</f>
        <v>0</v>
      </c>
      <c r="CX85" s="22">
        <f>+VLOOKUP($BD85,'Apr-25'!$A:$J,7,0)</f>
        <v>0</v>
      </c>
      <c r="CY85" s="22">
        <f>+VLOOKUP($BD85,'May-25'!$A:$J,7,0)</f>
        <v>0</v>
      </c>
      <c r="CZ85" s="22">
        <f>+VLOOKUP($BD85,'June-25'!$A:$J,7,0)</f>
        <v>0</v>
      </c>
      <c r="DA85" s="22">
        <f>+VLOOKUP($BD85,'July-25'!$A:$J,7,0)</f>
        <v>0</v>
      </c>
      <c r="DB85" s="22">
        <f>+VLOOKUP($BD85,'Aug-25'!$A:$J,7,0)</f>
        <v>0</v>
      </c>
      <c r="DC85" s="22">
        <f>+VLOOKUP($BD85,'Sep-25'!$A:$J,7,0)</f>
        <v>0</v>
      </c>
      <c r="DD85" s="22">
        <f>+VLOOKUP($BD85,'Oct-25'!$A:$J,7,0)</f>
        <v>0</v>
      </c>
      <c r="DE85" s="22">
        <f>+VLOOKUP($BD85,'Nov-25'!$A:$J,7,0)</f>
        <v>0</v>
      </c>
      <c r="DF85" s="22">
        <f>+VLOOKUP($BD85,'Dec-25'!$A:$J,7,0)</f>
        <v>0</v>
      </c>
      <c r="DG85" s="22">
        <f t="shared" si="408"/>
        <v>0</v>
      </c>
      <c r="DH85" s="118">
        <f t="shared" si="149"/>
        <v>0</v>
      </c>
      <c r="DI85" s="22">
        <f>+_xlfn.XLOOKUP($CT85,Budget!$A:$A,Budget!CD:CD)</f>
        <v>0</v>
      </c>
      <c r="DJ85" s="22">
        <f>+_xlfn.XLOOKUP($CT85,Budget!$A:$A,Budget!CE:CE)</f>
        <v>0</v>
      </c>
      <c r="DK85" s="22">
        <f>+_xlfn.XLOOKUP($CT85,Budget!$A:$A,Budget!CF:CF)</f>
        <v>0</v>
      </c>
      <c r="DL85" s="22">
        <f>+_xlfn.XLOOKUP($CT85,Budget!$A:$A,Budget!CG:CG)</f>
        <v>0</v>
      </c>
      <c r="DM85" s="22">
        <f>+_xlfn.XLOOKUP($CT85,Budget!$A:$A,Budget!CH:CH)</f>
        <v>0</v>
      </c>
      <c r="DN85" s="22">
        <f>+_xlfn.XLOOKUP($CT85,Budget!$A:$A,Budget!CI:CI)</f>
        <v>0</v>
      </c>
      <c r="DO85" s="22">
        <f>+_xlfn.XLOOKUP($CT85,Budget!$A:$A,Budget!CJ:CJ)</f>
        <v>0</v>
      </c>
      <c r="DP85" s="22">
        <f>+_xlfn.XLOOKUP($CT85,Budget!$A:$A,Budget!CK:CK)</f>
        <v>0</v>
      </c>
      <c r="DQ85" s="22">
        <f>+_xlfn.XLOOKUP($CT85,Budget!$A:$A,Budget!CL:CL)</f>
        <v>0</v>
      </c>
      <c r="DR85" s="22">
        <f>+_xlfn.XLOOKUP($CT85,Budget!$A:$A,Budget!CM:CM)</f>
        <v>0</v>
      </c>
      <c r="DS85" s="22">
        <f>+_xlfn.XLOOKUP($CT85,Budget!$A:$A,Budget!CN:CN)</f>
        <v>0</v>
      </c>
      <c r="DT85" s="22">
        <f>+_xlfn.XLOOKUP($CT85,Budget!$A:$A,Budget!CO:CO)</f>
        <v>0</v>
      </c>
      <c r="DU85" s="106">
        <f t="shared" si="418"/>
        <v>0</v>
      </c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106">
        <f t="shared" si="419"/>
        <v>0</v>
      </c>
      <c r="EJ85" s="16" t="str">
        <f t="shared" si="376"/>
        <v>Sale Commission (outsiders)</v>
      </c>
      <c r="EK85" s="22">
        <f>+VLOOKUP($BD85,'Jan-25'!$A:$J,9,0)</f>
        <v>0</v>
      </c>
      <c r="EL85" s="22">
        <f>+VLOOKUP($BD85,'Feb-25'!$A:$J,9,0)</f>
        <v>0</v>
      </c>
      <c r="EM85" s="22">
        <f>+VLOOKUP($BD85,'Mar-25'!$A:$J,9,0)</f>
        <v>0</v>
      </c>
      <c r="EN85" s="22">
        <f>+VLOOKUP($BD85,'Apr-25'!$A:$J,9,0)</f>
        <v>0</v>
      </c>
      <c r="EO85" s="22">
        <f>+VLOOKUP($BD85,'May-25'!$A:$J,9,0)</f>
        <v>0</v>
      </c>
      <c r="EP85" s="22">
        <f>+VLOOKUP($BD85,'June-25'!$A:$J,9,0)</f>
        <v>0</v>
      </c>
      <c r="EQ85" s="22">
        <f>+VLOOKUP($BD85,'July-25'!$A:$J,9,0)</f>
        <v>0</v>
      </c>
      <c r="ER85" s="22">
        <f>+VLOOKUP($BD85,'Aug-25'!$A:$J,9,0)</f>
        <v>0</v>
      </c>
      <c r="ES85" s="22">
        <f>+VLOOKUP($BD85,'Sep-25'!$A:$J,9,0)</f>
        <v>0</v>
      </c>
      <c r="ET85" s="22">
        <f>+VLOOKUP($BD85,'Oct-25'!$A:$J,9,0)</f>
        <v>0</v>
      </c>
      <c r="EU85" s="22">
        <f>+VLOOKUP($BD85,'Nov-25'!$A:$J,9,0)</f>
        <v>0</v>
      </c>
      <c r="EV85" s="22">
        <f>+VLOOKUP($BD85,'Dec-25'!$A:$J,9,0)</f>
        <v>0</v>
      </c>
      <c r="EW85" s="22">
        <f t="shared" si="409"/>
        <v>0</v>
      </c>
      <c r="EX85" s="118">
        <f t="shared" si="153"/>
        <v>0</v>
      </c>
      <c r="EY85" s="22">
        <f>+_xlfn.XLOOKUP($EJ85,Budget!$A:$A,Budget!DE:DE)</f>
        <v>0</v>
      </c>
      <c r="EZ85" s="22">
        <f>+_xlfn.XLOOKUP($EJ85,Budget!$A:$A,Budget!DF:DF)</f>
        <v>0</v>
      </c>
      <c r="FA85" s="22">
        <f>+_xlfn.XLOOKUP($EJ85,Budget!$A:$A,Budget!DG:DG)</f>
        <v>0</v>
      </c>
      <c r="FB85" s="22">
        <f>+_xlfn.XLOOKUP($EJ85,Budget!$A:$A,Budget!DH:DH)</f>
        <v>0</v>
      </c>
      <c r="FC85" s="22">
        <f>+_xlfn.XLOOKUP($EJ85,Budget!$A:$A,Budget!DI:DI)</f>
        <v>0</v>
      </c>
      <c r="FD85" s="22">
        <f>+_xlfn.XLOOKUP($EJ85,Budget!$A:$A,Budget!DJ:DJ)</f>
        <v>0</v>
      </c>
      <c r="FE85" s="22">
        <f>+_xlfn.XLOOKUP($EJ85,Budget!$A:$A,Budget!DK:DK)</f>
        <v>0</v>
      </c>
      <c r="FF85" s="22">
        <f>+_xlfn.XLOOKUP($EJ85,Budget!$A:$A,Budget!DL:DL)</f>
        <v>0</v>
      </c>
      <c r="FG85" s="22">
        <f>+_xlfn.XLOOKUP($EJ85,Budget!$A:$A,Budget!DM:DM)</f>
        <v>0</v>
      </c>
      <c r="FH85" s="22">
        <f>+_xlfn.XLOOKUP($EJ85,Budget!$A:$A,Budget!DN:DN)</f>
        <v>0</v>
      </c>
      <c r="FI85" s="22">
        <f>+_xlfn.XLOOKUP($EJ85,Budget!$A:$A,Budget!DO:DO)</f>
        <v>0</v>
      </c>
      <c r="FJ85" s="22">
        <f>+_xlfn.XLOOKUP($EJ85,Budget!$A:$A,Budget!DP:DP)</f>
        <v>0</v>
      </c>
      <c r="FK85" s="106">
        <f t="shared" si="420"/>
        <v>0</v>
      </c>
    </row>
    <row r="86" spans="1:167" ht="14.45" hidden="1" customHeight="1" outlineLevel="2">
      <c r="A86" s="106">
        <f t="shared" si="404"/>
        <v>0</v>
      </c>
      <c r="B86" s="106">
        <f t="shared" si="404"/>
        <v>0</v>
      </c>
      <c r="C86" s="106">
        <f t="shared" si="404"/>
        <v>0</v>
      </c>
      <c r="D86" s="106">
        <f t="shared" si="404"/>
        <v>0</v>
      </c>
      <c r="E86" s="106">
        <f t="shared" si="404"/>
        <v>0</v>
      </c>
      <c r="F86" s="106">
        <f t="shared" si="404"/>
        <v>0</v>
      </c>
      <c r="G86" s="106">
        <f t="shared" si="404"/>
        <v>0</v>
      </c>
      <c r="H86" s="106">
        <f t="shared" si="404"/>
        <v>0</v>
      </c>
      <c r="I86" s="106">
        <f t="shared" si="404"/>
        <v>0</v>
      </c>
      <c r="J86" s="106">
        <f t="shared" si="404"/>
        <v>0</v>
      </c>
      <c r="K86" s="106">
        <f t="shared" si="404"/>
        <v>0</v>
      </c>
      <c r="L86" s="106">
        <f t="shared" si="404"/>
        <v>0</v>
      </c>
      <c r="M86" s="106">
        <f t="shared" si="410"/>
        <v>0</v>
      </c>
      <c r="N86" s="16" t="s">
        <v>70</v>
      </c>
      <c r="O86" s="22">
        <f t="shared" si="411"/>
        <v>0</v>
      </c>
      <c r="P86" s="22">
        <f t="shared" si="405"/>
        <v>0</v>
      </c>
      <c r="Q86" s="22">
        <f t="shared" si="405"/>
        <v>0</v>
      </c>
      <c r="R86" s="22">
        <f t="shared" si="405"/>
        <v>0</v>
      </c>
      <c r="S86" s="22">
        <f t="shared" si="405"/>
        <v>0</v>
      </c>
      <c r="T86" s="22">
        <f t="shared" si="405"/>
        <v>0</v>
      </c>
      <c r="U86" s="22">
        <f t="shared" si="405"/>
        <v>0</v>
      </c>
      <c r="V86" s="22">
        <f t="shared" si="405"/>
        <v>0</v>
      </c>
      <c r="W86" s="22">
        <f t="shared" si="405"/>
        <v>0</v>
      </c>
      <c r="X86" s="22">
        <f t="shared" si="405"/>
        <v>0</v>
      </c>
      <c r="Y86" s="22">
        <f t="shared" si="405"/>
        <v>0</v>
      </c>
      <c r="Z86" s="22">
        <f t="shared" si="405"/>
        <v>0</v>
      </c>
      <c r="AA86" s="22">
        <f t="shared" si="412"/>
        <v>0</v>
      </c>
      <c r="AB86" s="118">
        <f t="shared" si="140"/>
        <v>0</v>
      </c>
      <c r="AC86" s="22">
        <f t="shared" si="413"/>
        <v>0</v>
      </c>
      <c r="AD86" s="22">
        <f t="shared" si="406"/>
        <v>0</v>
      </c>
      <c r="AE86" s="22">
        <f t="shared" si="406"/>
        <v>0</v>
      </c>
      <c r="AF86" s="22">
        <f t="shared" si="406"/>
        <v>0</v>
      </c>
      <c r="AG86" s="22">
        <f t="shared" si="406"/>
        <v>0</v>
      </c>
      <c r="AH86" s="22">
        <f t="shared" si="406"/>
        <v>0</v>
      </c>
      <c r="AI86" s="22">
        <f t="shared" si="406"/>
        <v>0</v>
      </c>
      <c r="AJ86" s="22">
        <f t="shared" si="406"/>
        <v>0</v>
      </c>
      <c r="AK86" s="22">
        <f t="shared" si="406"/>
        <v>0</v>
      </c>
      <c r="AL86" s="22">
        <f t="shared" si="406"/>
        <v>0</v>
      </c>
      <c r="AM86" s="22">
        <f t="shared" si="406"/>
        <v>0</v>
      </c>
      <c r="AN86" s="22">
        <f t="shared" si="406"/>
        <v>0</v>
      </c>
      <c r="AO86" s="22">
        <f t="shared" si="414"/>
        <v>0</v>
      </c>
      <c r="AQ86" s="106">
        <v>0</v>
      </c>
      <c r="AR86" s="106">
        <v>0</v>
      </c>
      <c r="AS86" s="106">
        <v>0</v>
      </c>
      <c r="AT86" s="106">
        <v>0</v>
      </c>
      <c r="AU86" s="106">
        <v>0</v>
      </c>
      <c r="AV86" s="106">
        <v>0</v>
      </c>
      <c r="AW86" s="106">
        <v>0</v>
      </c>
      <c r="AX86" s="106">
        <v>0</v>
      </c>
      <c r="AY86" s="106">
        <v>0</v>
      </c>
      <c r="AZ86" s="106">
        <v>0</v>
      </c>
      <c r="BA86" s="106">
        <v>0</v>
      </c>
      <c r="BB86" s="106">
        <v>0</v>
      </c>
      <c r="BC86" s="106">
        <f t="shared" si="415"/>
        <v>0</v>
      </c>
      <c r="BD86" s="16" t="str">
        <f t="shared" si="334"/>
        <v>Sales promotion- Compl goods.</v>
      </c>
      <c r="BE86" s="22">
        <f>+VLOOKUP($BD86,'Jan-25'!$A:$J,4,0)</f>
        <v>0</v>
      </c>
      <c r="BF86" s="22">
        <f>+VLOOKUP($BD86,'Feb-25'!$A:$J,4,0)</f>
        <v>0</v>
      </c>
      <c r="BG86" s="22">
        <f>+VLOOKUP($BD86,'Mar-25'!$A:$J,4,0)</f>
        <v>0</v>
      </c>
      <c r="BH86" s="22">
        <f>+VLOOKUP($BD86,'Apr-25'!$A:$J,4,0)</f>
        <v>0</v>
      </c>
      <c r="BI86" s="22">
        <f>+VLOOKUP($BD86,'May-25'!$A:$J,4,0)</f>
        <v>0</v>
      </c>
      <c r="BJ86" s="22">
        <f>+VLOOKUP($BD86,'June-25'!$A:$J,4,0)</f>
        <v>0</v>
      </c>
      <c r="BK86" s="22">
        <f>+VLOOKUP($BD86,'July-25'!$A:$J,4,0)</f>
        <v>0</v>
      </c>
      <c r="BL86" s="22">
        <f>+VLOOKUP($BD86,'Aug-25'!$A:$J,4,0)</f>
        <v>0</v>
      </c>
      <c r="BM86" s="22">
        <f>+VLOOKUP($BD86,'Sep-25'!$A:$J,4,0)</f>
        <v>0</v>
      </c>
      <c r="BN86" s="22">
        <f>+VLOOKUP($BD86,'Oct-25'!$A:$J,4,0)</f>
        <v>0</v>
      </c>
      <c r="BO86" s="22">
        <f>+VLOOKUP($BD86,'Nov-25'!$A:$J,4,0)</f>
        <v>0</v>
      </c>
      <c r="BP86" s="22">
        <f>+VLOOKUP($BD86,'Dec-25'!$A:$J,4,0)</f>
        <v>0</v>
      </c>
      <c r="BQ86" s="22">
        <f t="shared" si="407"/>
        <v>0</v>
      </c>
      <c r="BR86" s="118">
        <f t="shared" si="145"/>
        <v>0</v>
      </c>
      <c r="BS86" s="106">
        <f>+_xlfn.XLOOKUP($BD86,Budget!$A:$A,Budget!AQ:AQ)</f>
        <v>0</v>
      </c>
      <c r="BT86" s="106">
        <f>+_xlfn.XLOOKUP($BD86,Budget!$A:$A,Budget!AR:AR)</f>
        <v>0</v>
      </c>
      <c r="BU86" s="106">
        <f>+_xlfn.XLOOKUP($BD86,Budget!$A:$A,Budget!AS:AS)</f>
        <v>0</v>
      </c>
      <c r="BV86" s="106">
        <f>+_xlfn.XLOOKUP($BD86,Budget!$A:$A,Budget!AT:AT)</f>
        <v>0</v>
      </c>
      <c r="BW86" s="106">
        <f>+_xlfn.XLOOKUP($BD86,Budget!$A:$A,Budget!AU:AU)</f>
        <v>0</v>
      </c>
      <c r="BX86" s="106">
        <f>+_xlfn.XLOOKUP($BD86,Budget!$A:$A,Budget!AV:AV)</f>
        <v>0</v>
      </c>
      <c r="BY86" s="106">
        <f>+_xlfn.XLOOKUP($BD86,Budget!$A:$A,Budget!AW:AW)</f>
        <v>0</v>
      </c>
      <c r="BZ86" s="106">
        <f>+_xlfn.XLOOKUP($BD86,Budget!$A:$A,Budget!AX:AX)</f>
        <v>0</v>
      </c>
      <c r="CA86" s="106">
        <f>+_xlfn.XLOOKUP($BD86,Budget!$A:$A,Budget!AY:AY)</f>
        <v>0</v>
      </c>
      <c r="CB86" s="106">
        <f>+_xlfn.XLOOKUP($BD86,Budget!$A:$A,Budget!AZ:AZ)</f>
        <v>0</v>
      </c>
      <c r="CC86" s="106">
        <f>+_xlfn.XLOOKUP($BD86,Budget!$A:$A,Budget!BA:BA)</f>
        <v>0</v>
      </c>
      <c r="CD86" s="106">
        <f>+_xlfn.XLOOKUP($BD86,Budget!$A:$A,Budget!BB:BB)</f>
        <v>0</v>
      </c>
      <c r="CE86" s="106">
        <f t="shared" si="416"/>
        <v>0</v>
      </c>
      <c r="CF86" s="22"/>
      <c r="CG86" s="22">
        <v>0</v>
      </c>
      <c r="CH86" s="22">
        <v>0</v>
      </c>
      <c r="CI86" s="22">
        <v>0</v>
      </c>
      <c r="CJ86" s="22">
        <v>0</v>
      </c>
      <c r="CK86" s="22">
        <v>0</v>
      </c>
      <c r="CL86" s="22">
        <v>0</v>
      </c>
      <c r="CM86" s="22">
        <v>0</v>
      </c>
      <c r="CN86" s="22">
        <v>0</v>
      </c>
      <c r="CO86" s="22">
        <v>0</v>
      </c>
      <c r="CP86" s="22">
        <v>0</v>
      </c>
      <c r="CQ86" s="22">
        <v>0</v>
      </c>
      <c r="CR86" s="22">
        <v>0</v>
      </c>
      <c r="CS86" s="106">
        <f t="shared" si="417"/>
        <v>0</v>
      </c>
      <c r="CT86" s="16" t="str">
        <f t="shared" si="338"/>
        <v>Sales promotion- Compl goods.</v>
      </c>
      <c r="CU86" s="22">
        <f>+VLOOKUP($BD86,'Jan-25'!$A:$J,7,0)</f>
        <v>0</v>
      </c>
      <c r="CV86" s="22">
        <f>+VLOOKUP($BD86,'Feb-25'!$A:$J,7,0)</f>
        <v>0</v>
      </c>
      <c r="CW86" s="22">
        <f>+VLOOKUP($BD86,'Mar-25'!$A:$J,7,0)</f>
        <v>0</v>
      </c>
      <c r="CX86" s="22">
        <f>+VLOOKUP($BD86,'Apr-25'!$A:$J,7,0)</f>
        <v>0</v>
      </c>
      <c r="CY86" s="22">
        <f>+VLOOKUP($BD86,'May-25'!$A:$J,7,0)</f>
        <v>0</v>
      </c>
      <c r="CZ86" s="22">
        <f>+VLOOKUP($BD86,'June-25'!$A:$J,7,0)</f>
        <v>0</v>
      </c>
      <c r="DA86" s="22">
        <f>+VLOOKUP($BD86,'July-25'!$A:$J,7,0)</f>
        <v>0</v>
      </c>
      <c r="DB86" s="22">
        <f>+VLOOKUP($BD86,'Aug-25'!$A:$J,7,0)</f>
        <v>0</v>
      </c>
      <c r="DC86" s="22">
        <f>+VLOOKUP($BD86,'Sep-25'!$A:$J,7,0)</f>
        <v>0</v>
      </c>
      <c r="DD86" s="22">
        <f>+VLOOKUP($BD86,'Oct-25'!$A:$J,7,0)</f>
        <v>0</v>
      </c>
      <c r="DE86" s="22">
        <f>+VLOOKUP($BD86,'Nov-25'!$A:$J,7,0)</f>
        <v>0</v>
      </c>
      <c r="DF86" s="22">
        <f>+VLOOKUP($BD86,'Dec-25'!$A:$J,7,0)</f>
        <v>0</v>
      </c>
      <c r="DG86" s="22">
        <f t="shared" si="408"/>
        <v>0</v>
      </c>
      <c r="DH86" s="118">
        <f t="shared" si="149"/>
        <v>0</v>
      </c>
      <c r="DI86" s="22">
        <f>+_xlfn.XLOOKUP($CT86,Budget!$A:$A,Budget!CD:CD)</f>
        <v>0</v>
      </c>
      <c r="DJ86" s="22">
        <f>+_xlfn.XLOOKUP($CT86,Budget!$A:$A,Budget!CE:CE)</f>
        <v>0</v>
      </c>
      <c r="DK86" s="22">
        <f>+_xlfn.XLOOKUP($CT86,Budget!$A:$A,Budget!CF:CF)</f>
        <v>0</v>
      </c>
      <c r="DL86" s="22">
        <f>+_xlfn.XLOOKUP($CT86,Budget!$A:$A,Budget!CG:CG)</f>
        <v>0</v>
      </c>
      <c r="DM86" s="22">
        <f>+_xlfn.XLOOKUP($CT86,Budget!$A:$A,Budget!CH:CH)</f>
        <v>0</v>
      </c>
      <c r="DN86" s="22">
        <f>+_xlfn.XLOOKUP($CT86,Budget!$A:$A,Budget!CI:CI)</f>
        <v>0</v>
      </c>
      <c r="DO86" s="22">
        <f>+_xlfn.XLOOKUP($CT86,Budget!$A:$A,Budget!CJ:CJ)</f>
        <v>0</v>
      </c>
      <c r="DP86" s="22">
        <f>+_xlfn.XLOOKUP($CT86,Budget!$A:$A,Budget!CK:CK)</f>
        <v>0</v>
      </c>
      <c r="DQ86" s="22">
        <f>+_xlfn.XLOOKUP($CT86,Budget!$A:$A,Budget!CL:CL)</f>
        <v>0</v>
      </c>
      <c r="DR86" s="22">
        <f>+_xlfn.XLOOKUP($CT86,Budget!$A:$A,Budget!CM:CM)</f>
        <v>0</v>
      </c>
      <c r="DS86" s="22">
        <f>+_xlfn.XLOOKUP($CT86,Budget!$A:$A,Budget!CN:CN)</f>
        <v>0</v>
      </c>
      <c r="DT86" s="22">
        <f>+_xlfn.XLOOKUP($CT86,Budget!$A:$A,Budget!CO:CO)</f>
        <v>0</v>
      </c>
      <c r="DU86" s="106">
        <f t="shared" si="418"/>
        <v>0</v>
      </c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106">
        <f t="shared" si="419"/>
        <v>0</v>
      </c>
      <c r="EJ86" s="16" t="str">
        <f t="shared" si="376"/>
        <v>Sales promotion- Compl goods.</v>
      </c>
      <c r="EK86" s="22">
        <f>+VLOOKUP($BD86,'Jan-25'!$A:$J,9,0)</f>
        <v>0</v>
      </c>
      <c r="EL86" s="22">
        <f>+VLOOKUP($BD86,'Feb-25'!$A:$J,9,0)</f>
        <v>0</v>
      </c>
      <c r="EM86" s="22">
        <f>+VLOOKUP($BD86,'Mar-25'!$A:$J,9,0)</f>
        <v>0</v>
      </c>
      <c r="EN86" s="22">
        <f>+VLOOKUP($BD86,'Apr-25'!$A:$J,9,0)</f>
        <v>0</v>
      </c>
      <c r="EO86" s="22">
        <f>+VLOOKUP($BD86,'May-25'!$A:$J,9,0)</f>
        <v>0</v>
      </c>
      <c r="EP86" s="22">
        <f>+VLOOKUP($BD86,'June-25'!$A:$J,9,0)</f>
        <v>0</v>
      </c>
      <c r="EQ86" s="22">
        <f>+VLOOKUP($BD86,'July-25'!$A:$J,9,0)</f>
        <v>0</v>
      </c>
      <c r="ER86" s="22">
        <f>+VLOOKUP($BD86,'Aug-25'!$A:$J,9,0)</f>
        <v>0</v>
      </c>
      <c r="ES86" s="22">
        <f>+VLOOKUP($BD86,'Sep-25'!$A:$J,9,0)</f>
        <v>0</v>
      </c>
      <c r="ET86" s="22">
        <f>+VLOOKUP($BD86,'Oct-25'!$A:$J,9,0)</f>
        <v>0</v>
      </c>
      <c r="EU86" s="22">
        <f>+VLOOKUP($BD86,'Nov-25'!$A:$J,9,0)</f>
        <v>0</v>
      </c>
      <c r="EV86" s="22">
        <f>+VLOOKUP($BD86,'Dec-25'!$A:$J,9,0)</f>
        <v>0</v>
      </c>
      <c r="EW86" s="22">
        <f t="shared" si="409"/>
        <v>0</v>
      </c>
      <c r="EX86" s="118">
        <f t="shared" si="153"/>
        <v>0</v>
      </c>
      <c r="EY86" s="22">
        <f>+_xlfn.XLOOKUP($EJ86,Budget!$A:$A,Budget!DE:DE)</f>
        <v>0</v>
      </c>
      <c r="EZ86" s="22">
        <f>+_xlfn.XLOOKUP($EJ86,Budget!$A:$A,Budget!DF:DF)</f>
        <v>0</v>
      </c>
      <c r="FA86" s="22">
        <f>+_xlfn.XLOOKUP($EJ86,Budget!$A:$A,Budget!DG:DG)</f>
        <v>0</v>
      </c>
      <c r="FB86" s="22">
        <f>+_xlfn.XLOOKUP($EJ86,Budget!$A:$A,Budget!DH:DH)</f>
        <v>0</v>
      </c>
      <c r="FC86" s="22">
        <f>+_xlfn.XLOOKUP($EJ86,Budget!$A:$A,Budget!DI:DI)</f>
        <v>0</v>
      </c>
      <c r="FD86" s="22">
        <f>+_xlfn.XLOOKUP($EJ86,Budget!$A:$A,Budget!DJ:DJ)</f>
        <v>0</v>
      </c>
      <c r="FE86" s="22">
        <f>+_xlfn.XLOOKUP($EJ86,Budget!$A:$A,Budget!DK:DK)</f>
        <v>0</v>
      </c>
      <c r="FF86" s="22">
        <f>+_xlfn.XLOOKUP($EJ86,Budget!$A:$A,Budget!DL:DL)</f>
        <v>0</v>
      </c>
      <c r="FG86" s="22">
        <f>+_xlfn.XLOOKUP($EJ86,Budget!$A:$A,Budget!DM:DM)</f>
        <v>0</v>
      </c>
      <c r="FH86" s="22">
        <f>+_xlfn.XLOOKUP($EJ86,Budget!$A:$A,Budget!DN:DN)</f>
        <v>0</v>
      </c>
      <c r="FI86" s="22">
        <f>+_xlfn.XLOOKUP($EJ86,Budget!$A:$A,Budget!DO:DO)</f>
        <v>0</v>
      </c>
      <c r="FJ86" s="22">
        <f>+_xlfn.XLOOKUP($EJ86,Budget!$A:$A,Budget!DP:DP)</f>
        <v>0</v>
      </c>
      <c r="FK86" s="106">
        <f t="shared" si="420"/>
        <v>0</v>
      </c>
    </row>
    <row r="87" spans="1:167" ht="14.45" hidden="1" customHeight="1" outlineLevel="1" collapsed="1">
      <c r="A87" s="58">
        <f t="shared" ref="A87:M87" si="421">+SUM(A88:A89)</f>
        <v>522377.1810000001</v>
      </c>
      <c r="B87" s="58">
        <f t="shared" si="421"/>
        <v>481605.71199999994</v>
      </c>
      <c r="C87" s="58">
        <f t="shared" si="421"/>
        <v>448348.46</v>
      </c>
      <c r="D87" s="58">
        <f t="shared" si="421"/>
        <v>332397.17100000003</v>
      </c>
      <c r="E87" s="58">
        <f t="shared" si="421"/>
        <v>386927.08</v>
      </c>
      <c r="F87" s="58">
        <f t="shared" si="421"/>
        <v>303317.27</v>
      </c>
      <c r="G87" s="58">
        <f t="shared" si="421"/>
        <v>488314.86599999981</v>
      </c>
      <c r="H87" s="58">
        <f t="shared" si="421"/>
        <v>79105</v>
      </c>
      <c r="I87" s="58">
        <f t="shared" si="421"/>
        <v>582000.42500000005</v>
      </c>
      <c r="J87" s="58">
        <f t="shared" si="421"/>
        <v>628009.71</v>
      </c>
      <c r="K87" s="58">
        <f t="shared" si="421"/>
        <v>513011.02499999997</v>
      </c>
      <c r="L87" s="58">
        <f t="shared" si="421"/>
        <v>428004.89999999997</v>
      </c>
      <c r="M87" s="58">
        <f t="shared" si="421"/>
        <v>5193418.8000000007</v>
      </c>
      <c r="N87" s="18" t="s">
        <v>71</v>
      </c>
      <c r="O87" s="28">
        <f t="shared" ref="O87:AA87" si="422">+SUM(O88:O89)</f>
        <v>250656.19131727799</v>
      </c>
      <c r="P87" s="28">
        <f t="shared" si="422"/>
        <v>36356.208682722005</v>
      </c>
      <c r="Q87" s="28">
        <f t="shared" si="422"/>
        <v>457358.1920000001</v>
      </c>
      <c r="R87" s="28">
        <f t="shared" si="422"/>
        <v>420943.90600000002</v>
      </c>
      <c r="S87" s="28">
        <f t="shared" si="422"/>
        <v>616303.92100000009</v>
      </c>
      <c r="T87" s="28">
        <f t="shared" si="422"/>
        <v>470861.04000000015</v>
      </c>
      <c r="U87" s="28">
        <f t="shared" si="422"/>
        <v>711208.61300000013</v>
      </c>
      <c r="V87" s="28">
        <f t="shared" si="422"/>
        <v>658271.21900000027</v>
      </c>
      <c r="W87" s="28">
        <f t="shared" si="422"/>
        <v>846797.41999999993</v>
      </c>
      <c r="X87" s="28">
        <f t="shared" si="422"/>
        <v>400589.06</v>
      </c>
      <c r="Y87" s="28">
        <f t="shared" si="422"/>
        <v>0</v>
      </c>
      <c r="Z87" s="28">
        <f t="shared" si="422"/>
        <v>0</v>
      </c>
      <c r="AA87" s="28">
        <f t="shared" si="422"/>
        <v>4869345.7710000006</v>
      </c>
      <c r="AB87" s="118">
        <f t="shared" si="140"/>
        <v>-0.38290392959933195</v>
      </c>
      <c r="AC87" s="28">
        <f t="shared" ref="AC87:AO87" si="423">+SUM(AC88:AC89)</f>
        <v>703651.40330000012</v>
      </c>
      <c r="AD87" s="28">
        <f t="shared" si="423"/>
        <v>684986.36952000007</v>
      </c>
      <c r="AE87" s="28">
        <f t="shared" si="423"/>
        <v>699582.61367999995</v>
      </c>
      <c r="AF87" s="28">
        <f t="shared" si="423"/>
        <v>596818.91050000011</v>
      </c>
      <c r="AG87" s="28">
        <f t="shared" si="423"/>
        <v>679427.67470000009</v>
      </c>
      <c r="AH87" s="28">
        <f t="shared" si="423"/>
        <v>709316.69680000003</v>
      </c>
      <c r="AI87" s="28">
        <f t="shared" si="423"/>
        <v>740406.66490000009</v>
      </c>
      <c r="AJ87" s="28">
        <f t="shared" si="423"/>
        <v>746606.29300000006</v>
      </c>
      <c r="AK87" s="28">
        <f t="shared" si="423"/>
        <v>758742.56410000008</v>
      </c>
      <c r="AL87" s="28">
        <f t="shared" si="423"/>
        <v>649151.85692222218</v>
      </c>
      <c r="AM87" s="28">
        <f t="shared" si="423"/>
        <v>606903.12331555563</v>
      </c>
      <c r="AN87" s="28">
        <f t="shared" si="423"/>
        <v>718116.06778242416</v>
      </c>
      <c r="AO87" s="28">
        <f t="shared" si="423"/>
        <v>8293710.2385202041</v>
      </c>
      <c r="AQ87" s="58">
        <f t="shared" ref="AQ87:BC87" si="424">+SUM(AQ88:AQ89)</f>
        <v>347554.57100000011</v>
      </c>
      <c r="AR87" s="58">
        <f t="shared" si="424"/>
        <v>288728.55499999999</v>
      </c>
      <c r="AS87" s="58">
        <f t="shared" si="424"/>
        <v>314798.64</v>
      </c>
      <c r="AT87" s="58">
        <f t="shared" si="424"/>
        <v>208703.77300000002</v>
      </c>
      <c r="AU87" s="58">
        <f t="shared" si="424"/>
        <v>330582.12</v>
      </c>
      <c r="AV87" s="58">
        <f t="shared" si="424"/>
        <v>133764.18</v>
      </c>
      <c r="AW87" s="58">
        <f t="shared" si="424"/>
        <v>276842.71999999997</v>
      </c>
      <c r="AX87" s="58">
        <f t="shared" si="424"/>
        <v>19880</v>
      </c>
      <c r="AY87" s="58">
        <f t="shared" si="424"/>
        <v>411621.18</v>
      </c>
      <c r="AZ87" s="58">
        <f t="shared" si="424"/>
        <v>497099.74</v>
      </c>
      <c r="BA87" s="58">
        <f t="shared" si="424"/>
        <v>320058.64</v>
      </c>
      <c r="BB87" s="58">
        <f t="shared" si="424"/>
        <v>270556.59999999998</v>
      </c>
      <c r="BC87" s="58">
        <f t="shared" si="424"/>
        <v>3420190.7190000005</v>
      </c>
      <c r="BD87" s="18" t="str">
        <f t="shared" si="334"/>
        <v>Incentive</v>
      </c>
      <c r="BE87" s="28">
        <f t="shared" ref="BE87:BQ87" si="425">+SUM(BE88:BE89)</f>
        <v>154492.791317278</v>
      </c>
      <c r="BF87" s="28">
        <f t="shared" si="425"/>
        <v>18465.208682722005</v>
      </c>
      <c r="BG87" s="28">
        <f t="shared" si="425"/>
        <v>240853.405</v>
      </c>
      <c r="BH87" s="28">
        <f t="shared" si="425"/>
        <v>251341.16200000004</v>
      </c>
      <c r="BI87" s="28">
        <f t="shared" si="425"/>
        <v>357355.59700000007</v>
      </c>
      <c r="BJ87" s="28">
        <f t="shared" si="425"/>
        <v>247055.36200000011</v>
      </c>
      <c r="BK87" s="28">
        <f t="shared" si="425"/>
        <v>426255.45400000003</v>
      </c>
      <c r="BL87" s="28">
        <f t="shared" si="425"/>
        <v>372384.29900000012</v>
      </c>
      <c r="BM87" s="28">
        <f t="shared" si="425"/>
        <v>560164.66199999989</v>
      </c>
      <c r="BN87" s="28">
        <f t="shared" si="425"/>
        <v>261269.64</v>
      </c>
      <c r="BO87" s="28">
        <f t="shared" si="425"/>
        <v>0</v>
      </c>
      <c r="BP87" s="28">
        <f t="shared" si="425"/>
        <v>0</v>
      </c>
      <c r="BQ87" s="28">
        <f t="shared" si="425"/>
        <v>2889637.5810000007</v>
      </c>
      <c r="BR87" s="118">
        <f t="shared" si="145"/>
        <v>-0.2442014087144746</v>
      </c>
      <c r="BS87" s="58">
        <f t="shared" ref="BS87:CE87" si="426">+SUM(BS88:BS89)</f>
        <v>359046.93140000006</v>
      </c>
      <c r="BT87" s="58">
        <f t="shared" si="426"/>
        <v>352298.81016000005</v>
      </c>
      <c r="BU87" s="58">
        <f t="shared" si="426"/>
        <v>332054.44644000003</v>
      </c>
      <c r="BV87" s="58">
        <f t="shared" si="426"/>
        <v>301709.57600000006</v>
      </c>
      <c r="BW87" s="58">
        <f t="shared" si="426"/>
        <v>336849.69760000007</v>
      </c>
      <c r="BX87" s="58">
        <f t="shared" si="426"/>
        <v>350884.89439999999</v>
      </c>
      <c r="BY87" s="58">
        <f t="shared" si="426"/>
        <v>357831.85920000006</v>
      </c>
      <c r="BZ87" s="58">
        <f t="shared" si="426"/>
        <v>377697.18900000007</v>
      </c>
      <c r="CA87" s="58">
        <f t="shared" si="426"/>
        <v>400416.09180000005</v>
      </c>
      <c r="CB87" s="58">
        <f t="shared" si="426"/>
        <v>345686.85759999999</v>
      </c>
      <c r="CC87" s="58">
        <f t="shared" si="426"/>
        <v>276549.48608</v>
      </c>
      <c r="CD87" s="58">
        <f t="shared" si="426"/>
        <v>365440.39231999993</v>
      </c>
      <c r="CE87" s="58">
        <f t="shared" si="426"/>
        <v>4156466.2320000012</v>
      </c>
      <c r="CF87" s="22"/>
      <c r="CG87" s="28">
        <f t="shared" ref="CG87:CS87" si="427">+SUM(CG88:CG89)</f>
        <v>174822.61</v>
      </c>
      <c r="CH87" s="28">
        <f t="shared" si="427"/>
        <v>192877.15699999998</v>
      </c>
      <c r="CI87" s="28">
        <f t="shared" si="427"/>
        <v>133549.82</v>
      </c>
      <c r="CJ87" s="28">
        <f t="shared" si="427"/>
        <v>123693.39800000003</v>
      </c>
      <c r="CK87" s="28">
        <f t="shared" si="427"/>
        <v>56344.959999999999</v>
      </c>
      <c r="CL87" s="28">
        <f t="shared" si="427"/>
        <v>169553.09</v>
      </c>
      <c r="CM87" s="28">
        <f t="shared" si="427"/>
        <v>211472.14599999986</v>
      </c>
      <c r="CN87" s="28">
        <f t="shared" si="427"/>
        <v>59225</v>
      </c>
      <c r="CO87" s="28">
        <f t="shared" si="427"/>
        <v>170379.245</v>
      </c>
      <c r="CP87" s="28">
        <f t="shared" si="427"/>
        <v>130909.97</v>
      </c>
      <c r="CQ87" s="28">
        <f t="shared" si="427"/>
        <v>192952.38499999995</v>
      </c>
      <c r="CR87" s="28">
        <f t="shared" si="427"/>
        <v>157448.29999999999</v>
      </c>
      <c r="CS87" s="58">
        <f t="shared" si="427"/>
        <v>1773228.081</v>
      </c>
      <c r="CT87" s="18" t="str">
        <f t="shared" si="338"/>
        <v>Incentive</v>
      </c>
      <c r="CU87" s="28">
        <f t="shared" ref="CU87:DG87" si="428">+SUM(CU88:CU89)</f>
        <v>44713.4</v>
      </c>
      <c r="CV87" s="28">
        <f t="shared" si="428"/>
        <v>1391</v>
      </c>
      <c r="CW87" s="28">
        <f t="shared" si="428"/>
        <v>170599.70700000005</v>
      </c>
      <c r="CX87" s="28">
        <f t="shared" si="428"/>
        <v>132460.32400000002</v>
      </c>
      <c r="CY87" s="28">
        <f t="shared" si="428"/>
        <v>190879.22400000005</v>
      </c>
      <c r="CZ87" s="28">
        <f t="shared" si="428"/>
        <v>156606.48700000002</v>
      </c>
      <c r="DA87" s="28">
        <f t="shared" si="428"/>
        <v>220323.16400000008</v>
      </c>
      <c r="DB87" s="28">
        <f t="shared" si="428"/>
        <v>206807.62000000011</v>
      </c>
      <c r="DC87" s="28">
        <f t="shared" si="428"/>
        <v>108548.06999999989</v>
      </c>
      <c r="DD87" s="28">
        <f t="shared" si="428"/>
        <v>89446.42</v>
      </c>
      <c r="DE87" s="28">
        <f t="shared" si="428"/>
        <v>0</v>
      </c>
      <c r="DF87" s="28">
        <f t="shared" si="428"/>
        <v>0</v>
      </c>
      <c r="DG87" s="28">
        <f t="shared" si="428"/>
        <v>1321775.4160000002</v>
      </c>
      <c r="DH87" s="118">
        <f t="shared" si="149"/>
        <v>-0.58866278374147285</v>
      </c>
      <c r="DI87" s="28">
        <f t="shared" ref="DI87:DU87" si="429">+SUM(DI88:DI89)</f>
        <v>255948.89190000005</v>
      </c>
      <c r="DJ87" s="28">
        <f t="shared" si="429"/>
        <v>249942.35136000003</v>
      </c>
      <c r="DK87" s="28">
        <f t="shared" si="429"/>
        <v>275178.60473999998</v>
      </c>
      <c r="DL87" s="28">
        <f t="shared" si="429"/>
        <v>212364.12650000001</v>
      </c>
      <c r="DM87" s="28">
        <f t="shared" si="429"/>
        <v>244071.77709999998</v>
      </c>
      <c r="DN87" s="28">
        <f t="shared" si="429"/>
        <v>259925.60240000003</v>
      </c>
      <c r="DO87" s="28">
        <f t="shared" si="429"/>
        <v>271755.33069999999</v>
      </c>
      <c r="DP87" s="28">
        <f t="shared" si="429"/>
        <v>262194.054</v>
      </c>
      <c r="DQ87" s="28">
        <f t="shared" si="429"/>
        <v>256372.55530000004</v>
      </c>
      <c r="DR87" s="28">
        <f t="shared" si="429"/>
        <v>217452.77709999998</v>
      </c>
      <c r="DS87" s="28">
        <f t="shared" si="429"/>
        <v>240509.72168000002</v>
      </c>
      <c r="DT87" s="28">
        <f t="shared" si="429"/>
        <v>258399.00722000003</v>
      </c>
      <c r="DU87" s="58">
        <f t="shared" si="429"/>
        <v>3004114.8000000003</v>
      </c>
      <c r="DW87" s="28">
        <f t="shared" ref="DW87:EI87" si="430">+SUM(DW88:DW89)</f>
        <v>0</v>
      </c>
      <c r="DX87" s="28">
        <f t="shared" si="430"/>
        <v>0</v>
      </c>
      <c r="DY87" s="28">
        <f t="shared" si="430"/>
        <v>0</v>
      </c>
      <c r="DZ87" s="28">
        <f t="shared" si="430"/>
        <v>0</v>
      </c>
      <c r="EA87" s="28">
        <f t="shared" si="430"/>
        <v>0</v>
      </c>
      <c r="EB87" s="28">
        <f t="shared" si="430"/>
        <v>0</v>
      </c>
      <c r="EC87" s="28">
        <f t="shared" si="430"/>
        <v>0</v>
      </c>
      <c r="ED87" s="28">
        <f t="shared" si="430"/>
        <v>0</v>
      </c>
      <c r="EE87" s="28">
        <f t="shared" si="430"/>
        <v>0</v>
      </c>
      <c r="EF87" s="28">
        <f t="shared" si="430"/>
        <v>0</v>
      </c>
      <c r="EG87" s="28">
        <f t="shared" si="430"/>
        <v>0</v>
      </c>
      <c r="EH87" s="28">
        <f t="shared" si="430"/>
        <v>0</v>
      </c>
      <c r="EI87" s="58">
        <f t="shared" si="430"/>
        <v>0</v>
      </c>
      <c r="EJ87" s="18" t="str">
        <f t="shared" si="376"/>
        <v>Incentive</v>
      </c>
      <c r="EK87" s="28">
        <f t="shared" ref="EK87:EW87" si="431">+SUM(EK88:EK89)</f>
        <v>51450</v>
      </c>
      <c r="EL87" s="28">
        <f t="shared" si="431"/>
        <v>16500</v>
      </c>
      <c r="EM87" s="28">
        <f t="shared" si="431"/>
        <v>45905.08</v>
      </c>
      <c r="EN87" s="28">
        <f t="shared" si="431"/>
        <v>37142.42</v>
      </c>
      <c r="EO87" s="28">
        <f t="shared" si="431"/>
        <v>68069.100000000006</v>
      </c>
      <c r="EP87" s="28">
        <f t="shared" si="431"/>
        <v>67199.191000000006</v>
      </c>
      <c r="EQ87" s="28">
        <f t="shared" si="431"/>
        <v>64629.994999999995</v>
      </c>
      <c r="ER87" s="28">
        <f t="shared" si="431"/>
        <v>79079.299999999988</v>
      </c>
      <c r="ES87" s="28">
        <f t="shared" si="431"/>
        <v>178084.68800000002</v>
      </c>
      <c r="ET87" s="28">
        <f t="shared" si="431"/>
        <v>49873</v>
      </c>
      <c r="EU87" s="28">
        <f t="shared" si="431"/>
        <v>0</v>
      </c>
      <c r="EV87" s="28">
        <f t="shared" si="431"/>
        <v>0</v>
      </c>
      <c r="EW87" s="28">
        <f t="shared" si="431"/>
        <v>657932.77399999998</v>
      </c>
      <c r="EX87" s="118">
        <f t="shared" si="153"/>
        <v>-0.42016380101019241</v>
      </c>
      <c r="EY87" s="28">
        <f t="shared" ref="EY87:FK87" si="432">+SUM(EY88:EY89)</f>
        <v>88655.580000000016</v>
      </c>
      <c r="EZ87" s="28">
        <f t="shared" si="432"/>
        <v>82745.207999999999</v>
      </c>
      <c r="FA87" s="28">
        <f t="shared" si="432"/>
        <v>92349.5625</v>
      </c>
      <c r="FB87" s="28">
        <f t="shared" si="432"/>
        <v>82745.207999999999</v>
      </c>
      <c r="FC87" s="28">
        <f t="shared" si="432"/>
        <v>98506.200000000012</v>
      </c>
      <c r="FD87" s="28">
        <f t="shared" si="432"/>
        <v>98506.200000000012</v>
      </c>
      <c r="FE87" s="28">
        <f t="shared" si="432"/>
        <v>110819.47500000001</v>
      </c>
      <c r="FF87" s="28">
        <f t="shared" si="432"/>
        <v>106715.05</v>
      </c>
      <c r="FG87" s="28">
        <f t="shared" si="432"/>
        <v>101953.91700000002</v>
      </c>
      <c r="FH87" s="28">
        <f t="shared" si="432"/>
        <v>86012.222222222234</v>
      </c>
      <c r="FI87" s="28">
        <f t="shared" si="432"/>
        <v>89843.915555555577</v>
      </c>
      <c r="FJ87" s="28">
        <f t="shared" si="432"/>
        <v>94276.668242424246</v>
      </c>
      <c r="FK87" s="58">
        <f t="shared" si="432"/>
        <v>1133129.2065202021</v>
      </c>
    </row>
    <row r="88" spans="1:167" ht="14.45" hidden="1" customHeight="1" outlineLevel="2">
      <c r="A88" s="106">
        <f t="shared" ref="A88:L89" si="433">+AQ88+CG88+DW88</f>
        <v>522377.1810000001</v>
      </c>
      <c r="B88" s="106">
        <f t="shared" si="433"/>
        <v>481605.71199999994</v>
      </c>
      <c r="C88" s="106">
        <f t="shared" si="433"/>
        <v>448348.46</v>
      </c>
      <c r="D88" s="106">
        <f t="shared" si="433"/>
        <v>332397.17100000003</v>
      </c>
      <c r="E88" s="106">
        <f t="shared" si="433"/>
        <v>386927.08</v>
      </c>
      <c r="F88" s="106">
        <f t="shared" si="433"/>
        <v>303317.27</v>
      </c>
      <c r="G88" s="106">
        <f t="shared" si="433"/>
        <v>488314.86599999981</v>
      </c>
      <c r="H88" s="106">
        <f t="shared" si="433"/>
        <v>79105</v>
      </c>
      <c r="I88" s="106">
        <f t="shared" si="433"/>
        <v>582000.42500000005</v>
      </c>
      <c r="J88" s="106">
        <f t="shared" si="433"/>
        <v>628009.71</v>
      </c>
      <c r="K88" s="106">
        <f t="shared" si="433"/>
        <v>513011.02499999997</v>
      </c>
      <c r="L88" s="106">
        <f t="shared" si="433"/>
        <v>428004.89999999997</v>
      </c>
      <c r="M88" s="106">
        <f t="shared" si="410"/>
        <v>5193418.8000000007</v>
      </c>
      <c r="N88" s="16" t="s">
        <v>222</v>
      </c>
      <c r="O88" s="22">
        <f t="shared" ref="O88:Z89" si="434">+BE88+CU88+EK88</f>
        <v>250656.19131727799</v>
      </c>
      <c r="P88" s="22">
        <f t="shared" si="434"/>
        <v>36356.208682722005</v>
      </c>
      <c r="Q88" s="22">
        <f t="shared" si="434"/>
        <v>457358.1920000001</v>
      </c>
      <c r="R88" s="22">
        <f t="shared" si="434"/>
        <v>420943.90600000002</v>
      </c>
      <c r="S88" s="22">
        <f t="shared" si="434"/>
        <v>616303.92100000009</v>
      </c>
      <c r="T88" s="22">
        <f t="shared" si="434"/>
        <v>470861.04000000015</v>
      </c>
      <c r="U88" s="22">
        <f t="shared" si="434"/>
        <v>711208.61300000013</v>
      </c>
      <c r="V88" s="22">
        <f t="shared" si="434"/>
        <v>658271.21900000027</v>
      </c>
      <c r="W88" s="22">
        <f t="shared" si="434"/>
        <v>846797.41999999993</v>
      </c>
      <c r="X88" s="22">
        <f t="shared" si="434"/>
        <v>400589.06</v>
      </c>
      <c r="Y88" s="22">
        <f t="shared" si="434"/>
        <v>0</v>
      </c>
      <c r="Z88" s="22">
        <f t="shared" si="434"/>
        <v>0</v>
      </c>
      <c r="AA88" s="22">
        <f t="shared" ref="AA88:AA89" si="435">+SUM(O88:Z88)</f>
        <v>4869345.7710000006</v>
      </c>
      <c r="AB88" s="118">
        <f t="shared" si="140"/>
        <v>-0.38290392959933195</v>
      </c>
      <c r="AC88" s="22">
        <f t="shared" ref="AC88:AN89" si="436">+BS88+DI88+EY88</f>
        <v>703651.40330000012</v>
      </c>
      <c r="AD88" s="22">
        <f t="shared" si="436"/>
        <v>684986.36952000007</v>
      </c>
      <c r="AE88" s="22">
        <f t="shared" si="436"/>
        <v>699582.61367999995</v>
      </c>
      <c r="AF88" s="22">
        <f t="shared" si="436"/>
        <v>596818.91050000011</v>
      </c>
      <c r="AG88" s="22">
        <f t="shared" si="436"/>
        <v>679427.67470000009</v>
      </c>
      <c r="AH88" s="22">
        <f t="shared" si="436"/>
        <v>709316.69680000003</v>
      </c>
      <c r="AI88" s="22">
        <f t="shared" si="436"/>
        <v>740406.66490000009</v>
      </c>
      <c r="AJ88" s="22">
        <f t="shared" si="436"/>
        <v>746606.29300000006</v>
      </c>
      <c r="AK88" s="22">
        <f t="shared" si="436"/>
        <v>758742.56410000008</v>
      </c>
      <c r="AL88" s="22">
        <f t="shared" si="436"/>
        <v>649151.85692222218</v>
      </c>
      <c r="AM88" s="22">
        <f t="shared" si="436"/>
        <v>606903.12331555563</v>
      </c>
      <c r="AN88" s="22">
        <f t="shared" si="436"/>
        <v>718116.06778242416</v>
      </c>
      <c r="AO88" s="22">
        <f t="shared" ref="AO88:AO89" si="437">+SUM(AC88:AN88)</f>
        <v>8293710.2385202041</v>
      </c>
      <c r="AQ88" s="106">
        <v>347554.57100000011</v>
      </c>
      <c r="AR88" s="106">
        <v>288728.55499999999</v>
      </c>
      <c r="AS88" s="106">
        <v>314798.64</v>
      </c>
      <c r="AT88" s="106">
        <v>208703.77300000002</v>
      </c>
      <c r="AU88" s="106">
        <v>330582.12</v>
      </c>
      <c r="AV88" s="106">
        <v>133764.18</v>
      </c>
      <c r="AW88" s="106">
        <v>276842.71999999997</v>
      </c>
      <c r="AX88" s="106">
        <v>19880</v>
      </c>
      <c r="AY88" s="106">
        <v>411621.18</v>
      </c>
      <c r="AZ88" s="106">
        <v>497099.74</v>
      </c>
      <c r="BA88" s="106">
        <v>320058.64</v>
      </c>
      <c r="BB88" s="106">
        <v>270556.59999999998</v>
      </c>
      <c r="BC88" s="106">
        <f t="shared" ref="BC88:BC89" si="438">+SUM(AQ88:BB88)</f>
        <v>3420190.7190000005</v>
      </c>
      <c r="BD88" s="16" t="str">
        <f t="shared" si="334"/>
        <v>Incentive to Employee</v>
      </c>
      <c r="BE88" s="22">
        <f>+VLOOKUP($BD88,'Jan-25'!$A:$J,4,0)</f>
        <v>154492.791317278</v>
      </c>
      <c r="BF88" s="22">
        <f>+VLOOKUP($BD88,'Feb-25'!$A:$J,4,0)</f>
        <v>18465.208682722005</v>
      </c>
      <c r="BG88" s="22">
        <f>+VLOOKUP($BD88,'Mar-25'!$A:$J,4,0)</f>
        <v>240853.405</v>
      </c>
      <c r="BH88" s="22">
        <f>+VLOOKUP($BD88,'Apr-25'!$A:$J,4,0)</f>
        <v>251341.16200000004</v>
      </c>
      <c r="BI88" s="22">
        <f>+VLOOKUP($BD88,'May-25'!$A:$J,4,0)</f>
        <v>357355.59700000007</v>
      </c>
      <c r="BJ88" s="22">
        <f>+VLOOKUP($BD88,'June-25'!$A:$J,4,0)</f>
        <v>247055.36200000011</v>
      </c>
      <c r="BK88" s="22">
        <f>+VLOOKUP($BD88,'July-25'!$A:$J,4,0)</f>
        <v>426255.45400000003</v>
      </c>
      <c r="BL88" s="22">
        <f>+VLOOKUP($BD88,'Aug-25'!$A:$J,4,0)</f>
        <v>372384.29900000012</v>
      </c>
      <c r="BM88" s="22">
        <f>+VLOOKUP($BD88,'Sep-25'!$A:$J,4,0)</f>
        <v>560164.66199999989</v>
      </c>
      <c r="BN88" s="22">
        <f>+VLOOKUP($BD88,'Oct-25'!$A:$J,4,0)</f>
        <v>261269.64</v>
      </c>
      <c r="BO88" s="22">
        <f>+VLOOKUP($BD88,'Nov-25'!$A:$J,4,0)</f>
        <v>0</v>
      </c>
      <c r="BP88" s="22">
        <f>+VLOOKUP($BD88,'Dec-25'!$A:$J,4,0)</f>
        <v>0</v>
      </c>
      <c r="BQ88" s="22">
        <f t="shared" ref="BQ88:BQ89" si="439">+SUM(BE88:BP88)</f>
        <v>2889637.5810000007</v>
      </c>
      <c r="BR88" s="118">
        <f t="shared" si="145"/>
        <v>-0.2442014087144746</v>
      </c>
      <c r="BS88" s="106">
        <f>+BS32*10%</f>
        <v>359046.93140000006</v>
      </c>
      <c r="BT88" s="106">
        <f t="shared" ref="BT88:CD88" si="440">+BT32*10%</f>
        <v>352298.81016000005</v>
      </c>
      <c r="BU88" s="106">
        <f t="shared" si="440"/>
        <v>332054.44644000003</v>
      </c>
      <c r="BV88" s="106">
        <f t="shared" si="440"/>
        <v>301709.57600000006</v>
      </c>
      <c r="BW88" s="106">
        <f t="shared" si="440"/>
        <v>336849.69760000007</v>
      </c>
      <c r="BX88" s="106">
        <f t="shared" si="440"/>
        <v>350884.89439999999</v>
      </c>
      <c r="BY88" s="106">
        <f t="shared" si="440"/>
        <v>357831.85920000006</v>
      </c>
      <c r="BZ88" s="106">
        <f t="shared" si="440"/>
        <v>377697.18900000007</v>
      </c>
      <c r="CA88" s="106">
        <f t="shared" si="440"/>
        <v>400416.09180000005</v>
      </c>
      <c r="CB88" s="106">
        <f t="shared" si="440"/>
        <v>345686.85759999999</v>
      </c>
      <c r="CC88" s="106">
        <f t="shared" si="440"/>
        <v>276549.48608</v>
      </c>
      <c r="CD88" s="106">
        <f t="shared" si="440"/>
        <v>365440.39231999993</v>
      </c>
      <c r="CE88" s="106">
        <f t="shared" ref="CE88:CE89" si="441">+SUM(BS88:CD88)</f>
        <v>4156466.2320000012</v>
      </c>
      <c r="CF88" s="22"/>
      <c r="CG88" s="22">
        <v>174822.61</v>
      </c>
      <c r="CH88" s="22">
        <v>192877.15699999998</v>
      </c>
      <c r="CI88" s="22">
        <v>133549.82</v>
      </c>
      <c r="CJ88" s="22">
        <v>123693.39800000003</v>
      </c>
      <c r="CK88" s="22">
        <v>56344.959999999999</v>
      </c>
      <c r="CL88" s="22">
        <v>169553.09</v>
      </c>
      <c r="CM88" s="22">
        <v>211472.14599999986</v>
      </c>
      <c r="CN88" s="22">
        <v>59225</v>
      </c>
      <c r="CO88" s="22">
        <v>170379.245</v>
      </c>
      <c r="CP88" s="22">
        <v>130909.97</v>
      </c>
      <c r="CQ88" s="22">
        <v>192952.38499999995</v>
      </c>
      <c r="CR88" s="22">
        <v>157448.29999999999</v>
      </c>
      <c r="CS88" s="106">
        <f t="shared" ref="CS88:CS89" si="442">+SUM(CG88:CR88)</f>
        <v>1773228.081</v>
      </c>
      <c r="CT88" s="16" t="str">
        <f t="shared" si="338"/>
        <v>Incentive to Employee</v>
      </c>
      <c r="CU88" s="22">
        <f>+VLOOKUP($BD88,'Jan-25'!$A:$J,7,0)</f>
        <v>44713.4</v>
      </c>
      <c r="CV88" s="22">
        <f>+VLOOKUP($BD88,'Feb-25'!$A:$J,7,0)</f>
        <v>1391</v>
      </c>
      <c r="CW88" s="22">
        <f>+VLOOKUP($BD88,'Mar-25'!$A:$J,7,0)</f>
        <v>170599.70700000005</v>
      </c>
      <c r="CX88" s="22">
        <f>+VLOOKUP($BD88,'Apr-25'!$A:$J,7,0)</f>
        <v>132460.32400000002</v>
      </c>
      <c r="CY88" s="22">
        <f>+VLOOKUP($BD88,'May-25'!$A:$J,7,0)</f>
        <v>190879.22400000005</v>
      </c>
      <c r="CZ88" s="22">
        <f>+VLOOKUP($BD88,'June-25'!$A:$J,7,0)</f>
        <v>156606.48700000002</v>
      </c>
      <c r="DA88" s="22">
        <f>+VLOOKUP($BD88,'July-25'!$A:$J,7,0)</f>
        <v>220323.16400000008</v>
      </c>
      <c r="DB88" s="22">
        <f>+VLOOKUP($BD88,'Aug-25'!$A:$J,7,0)</f>
        <v>206807.62000000011</v>
      </c>
      <c r="DC88" s="22">
        <f>+VLOOKUP($BD88,'Sep-25'!$A:$J,7,0)</f>
        <v>108548.06999999989</v>
      </c>
      <c r="DD88" s="22">
        <f>+VLOOKUP($BD88,'Oct-25'!$A:$J,7,0)</f>
        <v>89446.42</v>
      </c>
      <c r="DE88" s="22">
        <f>+VLOOKUP($BD88,'Nov-25'!$A:$J,7,0)</f>
        <v>0</v>
      </c>
      <c r="DF88" s="22">
        <f>+VLOOKUP($BD88,'Dec-25'!$A:$J,7,0)</f>
        <v>0</v>
      </c>
      <c r="DG88" s="22">
        <f t="shared" ref="DG88:DG89" si="443">+SUM(CU88:DF88)</f>
        <v>1321775.4160000002</v>
      </c>
      <c r="DH88" s="118">
        <f t="shared" si="149"/>
        <v>-0.58866278374147285</v>
      </c>
      <c r="DI88" s="22">
        <f>+DI32*10%</f>
        <v>255948.89190000005</v>
      </c>
      <c r="DJ88" s="22">
        <f t="shared" ref="DJ88:DT88" si="444">+DJ32*10%</f>
        <v>249942.35136000003</v>
      </c>
      <c r="DK88" s="22">
        <f t="shared" si="444"/>
        <v>275178.60473999998</v>
      </c>
      <c r="DL88" s="22">
        <f t="shared" si="444"/>
        <v>212364.12650000001</v>
      </c>
      <c r="DM88" s="22">
        <f t="shared" si="444"/>
        <v>244071.77709999998</v>
      </c>
      <c r="DN88" s="22">
        <f t="shared" si="444"/>
        <v>259925.60240000003</v>
      </c>
      <c r="DO88" s="22">
        <f t="shared" si="444"/>
        <v>271755.33069999999</v>
      </c>
      <c r="DP88" s="22">
        <f t="shared" si="444"/>
        <v>262194.054</v>
      </c>
      <c r="DQ88" s="22">
        <f t="shared" si="444"/>
        <v>256372.55530000004</v>
      </c>
      <c r="DR88" s="22">
        <f t="shared" si="444"/>
        <v>217452.77709999998</v>
      </c>
      <c r="DS88" s="22">
        <f t="shared" si="444"/>
        <v>240509.72168000002</v>
      </c>
      <c r="DT88" s="22">
        <f t="shared" si="444"/>
        <v>258399.00722000003</v>
      </c>
      <c r="DU88" s="106">
        <f t="shared" ref="DU88:DU89" si="445">+SUM(DI88:DT88)</f>
        <v>3004114.8000000003</v>
      </c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106">
        <f t="shared" ref="EI88:EI89" si="446">+SUM(DW88:EH88)</f>
        <v>0</v>
      </c>
      <c r="EJ88" s="16" t="str">
        <f t="shared" si="376"/>
        <v>Incentive to Employee</v>
      </c>
      <c r="EK88" s="22">
        <f>+VLOOKUP($BD88,'Jan-25'!$A:$J,9,0)</f>
        <v>51450</v>
      </c>
      <c r="EL88" s="22">
        <f>+VLOOKUP($BD88,'Feb-25'!$A:$J,9,0)</f>
        <v>16500</v>
      </c>
      <c r="EM88" s="22">
        <f>+VLOOKUP($BD88,'Mar-25'!$A:$J,9,0)</f>
        <v>45905.08</v>
      </c>
      <c r="EN88" s="22">
        <f>+VLOOKUP($BD88,'Apr-25'!$A:$J,9,0)</f>
        <v>37142.42</v>
      </c>
      <c r="EO88" s="22">
        <f>+VLOOKUP($BD88,'May-25'!$A:$J,9,0)</f>
        <v>68069.100000000006</v>
      </c>
      <c r="EP88" s="22">
        <f>+VLOOKUP($BD88,'June-25'!$A:$J,9,0)</f>
        <v>67199.191000000006</v>
      </c>
      <c r="EQ88" s="22">
        <f>+VLOOKUP($BD88,'July-25'!$A:$J,9,0)</f>
        <v>64629.994999999995</v>
      </c>
      <c r="ER88" s="22">
        <f>+VLOOKUP($BD88,'Aug-25'!$A:$J,9,0)</f>
        <v>79079.299999999988</v>
      </c>
      <c r="ES88" s="22">
        <f>+VLOOKUP($BD88,'Sep-25'!$A:$J,9,0)</f>
        <v>178084.68800000002</v>
      </c>
      <c r="ET88" s="22">
        <f>+VLOOKUP($BD88,'Oct-25'!$A:$J,9,0)</f>
        <v>49873</v>
      </c>
      <c r="EU88" s="22">
        <f>+VLOOKUP($BD88,'Nov-25'!$A:$J,9,0)</f>
        <v>0</v>
      </c>
      <c r="EV88" s="22">
        <f>+VLOOKUP($BD88,'Dec-25'!$A:$J,9,0)</f>
        <v>0</v>
      </c>
      <c r="EW88" s="22">
        <f t="shared" ref="EW88:EW89" si="447">+SUM(EK88:EV88)</f>
        <v>657932.77399999998</v>
      </c>
      <c r="EX88" s="118">
        <f t="shared" si="153"/>
        <v>-0.42016380101019241</v>
      </c>
      <c r="EY88" s="22">
        <f>+EY32*10%</f>
        <v>88655.580000000016</v>
      </c>
      <c r="EZ88" s="22">
        <f t="shared" ref="EZ88:FJ88" si="448">+EZ32*10%</f>
        <v>82745.207999999999</v>
      </c>
      <c r="FA88" s="22">
        <f t="shared" si="448"/>
        <v>92349.5625</v>
      </c>
      <c r="FB88" s="22">
        <f t="shared" si="448"/>
        <v>82745.207999999999</v>
      </c>
      <c r="FC88" s="22">
        <f t="shared" si="448"/>
        <v>98506.200000000012</v>
      </c>
      <c r="FD88" s="22">
        <f t="shared" si="448"/>
        <v>98506.200000000012</v>
      </c>
      <c r="FE88" s="22">
        <f t="shared" si="448"/>
        <v>110819.47500000001</v>
      </c>
      <c r="FF88" s="22">
        <f t="shared" si="448"/>
        <v>106715.05</v>
      </c>
      <c r="FG88" s="22">
        <f t="shared" si="448"/>
        <v>101953.91700000002</v>
      </c>
      <c r="FH88" s="22">
        <f t="shared" si="448"/>
        <v>86012.222222222234</v>
      </c>
      <c r="FI88" s="22">
        <f t="shared" si="448"/>
        <v>89843.915555555577</v>
      </c>
      <c r="FJ88" s="22">
        <f t="shared" si="448"/>
        <v>94276.668242424246</v>
      </c>
      <c r="FK88" s="106">
        <f t="shared" ref="FK88:FK89" si="449">+SUM(EY88:FJ88)</f>
        <v>1133129.2065202021</v>
      </c>
    </row>
    <row r="89" spans="1:167" ht="14.45" hidden="1" customHeight="1" outlineLevel="2">
      <c r="A89" s="106">
        <f t="shared" si="433"/>
        <v>0</v>
      </c>
      <c r="B89" s="106">
        <f t="shared" si="433"/>
        <v>0</v>
      </c>
      <c r="C89" s="106">
        <f t="shared" si="433"/>
        <v>0</v>
      </c>
      <c r="D89" s="106">
        <f t="shared" si="433"/>
        <v>0</v>
      </c>
      <c r="E89" s="106">
        <f t="shared" si="433"/>
        <v>0</v>
      </c>
      <c r="F89" s="106">
        <f t="shared" si="433"/>
        <v>0</v>
      </c>
      <c r="G89" s="106">
        <f t="shared" si="433"/>
        <v>0</v>
      </c>
      <c r="H89" s="106">
        <f t="shared" si="433"/>
        <v>0</v>
      </c>
      <c r="I89" s="106">
        <f t="shared" si="433"/>
        <v>0</v>
      </c>
      <c r="J89" s="106">
        <f t="shared" si="433"/>
        <v>0</v>
      </c>
      <c r="K89" s="106">
        <f t="shared" si="433"/>
        <v>0</v>
      </c>
      <c r="L89" s="106">
        <f t="shared" si="433"/>
        <v>0</v>
      </c>
      <c r="M89" s="106">
        <f t="shared" si="410"/>
        <v>0</v>
      </c>
      <c r="N89" s="16" t="s">
        <v>223</v>
      </c>
      <c r="O89" s="22">
        <f t="shared" si="434"/>
        <v>0</v>
      </c>
      <c r="P89" s="22">
        <f t="shared" si="434"/>
        <v>0</v>
      </c>
      <c r="Q89" s="22">
        <f t="shared" si="434"/>
        <v>0</v>
      </c>
      <c r="R89" s="22">
        <f t="shared" si="434"/>
        <v>0</v>
      </c>
      <c r="S89" s="22">
        <f t="shared" si="434"/>
        <v>0</v>
      </c>
      <c r="T89" s="22">
        <f t="shared" si="434"/>
        <v>0</v>
      </c>
      <c r="U89" s="22">
        <f t="shared" si="434"/>
        <v>0</v>
      </c>
      <c r="V89" s="22">
        <f t="shared" si="434"/>
        <v>0</v>
      </c>
      <c r="W89" s="22">
        <f t="shared" si="434"/>
        <v>0</v>
      </c>
      <c r="X89" s="22">
        <f t="shared" si="434"/>
        <v>0</v>
      </c>
      <c r="Y89" s="22">
        <f t="shared" si="434"/>
        <v>0</v>
      </c>
      <c r="Z89" s="22">
        <f t="shared" si="434"/>
        <v>0</v>
      </c>
      <c r="AA89" s="22">
        <f t="shared" si="435"/>
        <v>0</v>
      </c>
      <c r="AB89" s="118">
        <f t="shared" si="140"/>
        <v>0</v>
      </c>
      <c r="AC89" s="22">
        <f t="shared" si="436"/>
        <v>0</v>
      </c>
      <c r="AD89" s="22">
        <f t="shared" si="436"/>
        <v>0</v>
      </c>
      <c r="AE89" s="22">
        <f t="shared" si="436"/>
        <v>0</v>
      </c>
      <c r="AF89" s="22">
        <f t="shared" si="436"/>
        <v>0</v>
      </c>
      <c r="AG89" s="22">
        <f t="shared" si="436"/>
        <v>0</v>
      </c>
      <c r="AH89" s="22">
        <f t="shared" si="436"/>
        <v>0</v>
      </c>
      <c r="AI89" s="22">
        <f t="shared" si="436"/>
        <v>0</v>
      </c>
      <c r="AJ89" s="22">
        <f t="shared" si="436"/>
        <v>0</v>
      </c>
      <c r="AK89" s="22">
        <f t="shared" si="436"/>
        <v>0</v>
      </c>
      <c r="AL89" s="22">
        <f t="shared" si="436"/>
        <v>0</v>
      </c>
      <c r="AM89" s="22">
        <f t="shared" si="436"/>
        <v>0</v>
      </c>
      <c r="AN89" s="22">
        <f t="shared" si="436"/>
        <v>0</v>
      </c>
      <c r="AO89" s="22">
        <f t="shared" si="437"/>
        <v>0</v>
      </c>
      <c r="AQ89" s="106">
        <v>0</v>
      </c>
      <c r="AR89" s="106">
        <v>0</v>
      </c>
      <c r="AS89" s="106">
        <v>0</v>
      </c>
      <c r="AT89" s="106">
        <v>0</v>
      </c>
      <c r="AU89" s="106">
        <v>0</v>
      </c>
      <c r="AV89" s="106">
        <v>0</v>
      </c>
      <c r="AW89" s="106">
        <v>0</v>
      </c>
      <c r="AX89" s="106">
        <v>0</v>
      </c>
      <c r="AY89" s="106">
        <v>0</v>
      </c>
      <c r="AZ89" s="106">
        <v>0</v>
      </c>
      <c r="BA89" s="106">
        <v>0</v>
      </c>
      <c r="BB89" s="106">
        <v>0</v>
      </c>
      <c r="BC89" s="106">
        <f t="shared" si="438"/>
        <v>0</v>
      </c>
      <c r="BD89" s="16" t="str">
        <f t="shared" si="334"/>
        <v>XOXODAY MBIL Incentive</v>
      </c>
      <c r="BE89" s="22">
        <f>+VLOOKUP($BD89,'Jan-25'!$A:$J,4,0)</f>
        <v>0</v>
      </c>
      <c r="BF89" s="22">
        <f>+VLOOKUP($BD89,'Feb-25'!$A:$J,4,0)</f>
        <v>0</v>
      </c>
      <c r="BG89" s="22">
        <f>+VLOOKUP($BD89,'Mar-25'!$A:$J,4,0)</f>
        <v>0</v>
      </c>
      <c r="BH89" s="22">
        <f>+VLOOKUP($BD89,'Apr-25'!$A:$J,4,0)</f>
        <v>0</v>
      </c>
      <c r="BI89" s="22">
        <f>+VLOOKUP($BD89,'May-25'!$A:$J,4,0)</f>
        <v>0</v>
      </c>
      <c r="BJ89" s="22">
        <f>+VLOOKUP($BD89,'June-25'!$A:$J,4,0)</f>
        <v>0</v>
      </c>
      <c r="BK89" s="22">
        <f>+VLOOKUP($BD89,'July-25'!$A:$J,4,0)</f>
        <v>0</v>
      </c>
      <c r="BL89" s="22">
        <f>+VLOOKUP($BD89,'Aug-25'!$A:$J,4,0)</f>
        <v>0</v>
      </c>
      <c r="BM89" s="22">
        <f>+VLOOKUP($BD89,'Sep-25'!$A:$J,4,0)</f>
        <v>0</v>
      </c>
      <c r="BN89" s="22">
        <f>+VLOOKUP($BD89,'Oct-25'!$A:$J,4,0)</f>
        <v>0</v>
      </c>
      <c r="BO89" s="22">
        <f>+VLOOKUP($BD89,'Nov-25'!$A:$J,4,0)</f>
        <v>0</v>
      </c>
      <c r="BP89" s="22">
        <f>+VLOOKUP($BD89,'Dec-25'!$A:$J,4,0)</f>
        <v>0</v>
      </c>
      <c r="BQ89" s="22">
        <f t="shared" si="439"/>
        <v>0</v>
      </c>
      <c r="BR89" s="118">
        <f t="shared" si="145"/>
        <v>0</v>
      </c>
      <c r="BS89" s="106"/>
      <c r="BT89" s="106"/>
      <c r="BU89" s="106"/>
      <c r="BV89" s="106"/>
      <c r="BW89" s="106"/>
      <c r="BX89" s="106"/>
      <c r="BY89" s="106"/>
      <c r="BZ89" s="106"/>
      <c r="CA89" s="106"/>
      <c r="CB89" s="106"/>
      <c r="CC89" s="106"/>
      <c r="CD89" s="106"/>
      <c r="CE89" s="106">
        <f t="shared" si="441"/>
        <v>0</v>
      </c>
      <c r="CF89" s="22"/>
      <c r="CG89" s="22">
        <v>0</v>
      </c>
      <c r="CH89" s="22">
        <v>0</v>
      </c>
      <c r="CI89" s="22">
        <v>0</v>
      </c>
      <c r="CJ89" s="22">
        <v>0</v>
      </c>
      <c r="CK89" s="22">
        <v>0</v>
      </c>
      <c r="CL89" s="22">
        <v>0</v>
      </c>
      <c r="CM89" s="22">
        <v>0</v>
      </c>
      <c r="CN89" s="22">
        <v>0</v>
      </c>
      <c r="CO89" s="22">
        <v>0</v>
      </c>
      <c r="CP89" s="22">
        <v>0</v>
      </c>
      <c r="CQ89" s="22">
        <v>0</v>
      </c>
      <c r="CR89" s="22">
        <v>0</v>
      </c>
      <c r="CS89" s="106">
        <f t="shared" si="442"/>
        <v>0</v>
      </c>
      <c r="CT89" s="16" t="str">
        <f t="shared" si="338"/>
        <v>XOXODAY MBIL Incentive</v>
      </c>
      <c r="CU89" s="22">
        <f>+VLOOKUP($BD89,'Jan-25'!$A:$J,7,0)</f>
        <v>0</v>
      </c>
      <c r="CV89" s="22">
        <f>+VLOOKUP($BD89,'Feb-25'!$A:$J,7,0)</f>
        <v>0</v>
      </c>
      <c r="CW89" s="22">
        <f>+VLOOKUP($BD89,'Mar-25'!$A:$J,7,0)</f>
        <v>0</v>
      </c>
      <c r="CX89" s="22">
        <f>+VLOOKUP($BD89,'Apr-25'!$A:$J,7,0)</f>
        <v>0</v>
      </c>
      <c r="CY89" s="22">
        <f>+VLOOKUP($BD89,'May-25'!$A:$J,7,0)</f>
        <v>0</v>
      </c>
      <c r="CZ89" s="22">
        <f>+VLOOKUP($BD89,'June-25'!$A:$J,7,0)</f>
        <v>0</v>
      </c>
      <c r="DA89" s="22">
        <f>+VLOOKUP($BD89,'July-25'!$A:$J,7,0)</f>
        <v>0</v>
      </c>
      <c r="DB89" s="22">
        <f>+VLOOKUP($BD89,'Aug-25'!$A:$J,7,0)</f>
        <v>0</v>
      </c>
      <c r="DC89" s="22">
        <f>+VLOOKUP($BD89,'Sep-25'!$A:$J,7,0)</f>
        <v>0</v>
      </c>
      <c r="DD89" s="22">
        <f>+VLOOKUP($BD89,'Oct-25'!$A:$J,7,0)</f>
        <v>0</v>
      </c>
      <c r="DE89" s="22">
        <f>+VLOOKUP($BD89,'Nov-25'!$A:$J,7,0)</f>
        <v>0</v>
      </c>
      <c r="DF89" s="22">
        <f>+VLOOKUP($BD89,'Dec-25'!$A:$J,7,0)</f>
        <v>0</v>
      </c>
      <c r="DG89" s="22">
        <f t="shared" si="443"/>
        <v>0</v>
      </c>
      <c r="DH89" s="118">
        <f t="shared" si="149"/>
        <v>0</v>
      </c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106">
        <f t="shared" si="445"/>
        <v>0</v>
      </c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106">
        <f t="shared" si="446"/>
        <v>0</v>
      </c>
      <c r="EJ89" s="16" t="str">
        <f t="shared" si="376"/>
        <v>XOXODAY MBIL Incentive</v>
      </c>
      <c r="EK89" s="22">
        <f>+VLOOKUP($BD89,'Jan-25'!$A:$J,9,0)</f>
        <v>0</v>
      </c>
      <c r="EL89" s="22">
        <f>+VLOOKUP($BD89,'Feb-25'!$A:$J,9,0)</f>
        <v>0</v>
      </c>
      <c r="EM89" s="22">
        <f>+VLOOKUP($BD89,'Mar-25'!$A:$J,9,0)</f>
        <v>0</v>
      </c>
      <c r="EN89" s="22">
        <f>+VLOOKUP($BD89,'Apr-25'!$A:$J,9,0)</f>
        <v>0</v>
      </c>
      <c r="EO89" s="22">
        <f>+VLOOKUP($BD89,'May-25'!$A:$J,9,0)</f>
        <v>0</v>
      </c>
      <c r="EP89" s="22">
        <f>+VLOOKUP($BD89,'June-25'!$A:$J,9,0)</f>
        <v>0</v>
      </c>
      <c r="EQ89" s="22">
        <f>+VLOOKUP($BD89,'July-25'!$A:$J,9,0)</f>
        <v>0</v>
      </c>
      <c r="ER89" s="22">
        <f>+VLOOKUP($BD89,'Aug-25'!$A:$J,9,0)</f>
        <v>0</v>
      </c>
      <c r="ES89" s="22">
        <f>+VLOOKUP($BD89,'Sep-25'!$A:$J,9,0)</f>
        <v>0</v>
      </c>
      <c r="ET89" s="22">
        <f>+VLOOKUP($BD89,'Oct-25'!$A:$J,9,0)</f>
        <v>0</v>
      </c>
      <c r="EU89" s="22">
        <f>+VLOOKUP($BD89,'Nov-25'!$A:$J,9,0)</f>
        <v>0</v>
      </c>
      <c r="EV89" s="22">
        <f>+VLOOKUP($BD89,'Dec-25'!$A:$J,9,0)</f>
        <v>0</v>
      </c>
      <c r="EW89" s="22">
        <f t="shared" si="447"/>
        <v>0</v>
      </c>
      <c r="EX89" s="118">
        <f t="shared" si="153"/>
        <v>0</v>
      </c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106">
        <f t="shared" si="449"/>
        <v>0</v>
      </c>
    </row>
    <row r="90" spans="1:167" ht="14.45" hidden="1" customHeight="1" outlineLevel="1" collapsed="1">
      <c r="A90" s="58">
        <f t="shared" ref="A90:M90" si="450">+SUM(A91:A102)</f>
        <v>1420</v>
      </c>
      <c r="B90" s="58">
        <f t="shared" si="450"/>
        <v>10000</v>
      </c>
      <c r="C90" s="58">
        <f t="shared" si="450"/>
        <v>13456.86</v>
      </c>
      <c r="D90" s="58">
        <f t="shared" si="450"/>
        <v>1268</v>
      </c>
      <c r="E90" s="58">
        <f t="shared" si="450"/>
        <v>160</v>
      </c>
      <c r="F90" s="58">
        <f t="shared" si="450"/>
        <v>6250</v>
      </c>
      <c r="G90" s="58">
        <f t="shared" si="450"/>
        <v>36289.525999999998</v>
      </c>
      <c r="H90" s="58">
        <f t="shared" si="450"/>
        <v>29481.626</v>
      </c>
      <c r="I90" s="58">
        <f t="shared" si="450"/>
        <v>25786.1</v>
      </c>
      <c r="J90" s="58">
        <f t="shared" si="450"/>
        <v>15794.287</v>
      </c>
      <c r="K90" s="58">
        <f t="shared" si="450"/>
        <v>18836.75</v>
      </c>
      <c r="L90" s="58">
        <f t="shared" si="450"/>
        <v>36148.620999999999</v>
      </c>
      <c r="M90" s="58">
        <f t="shared" si="450"/>
        <v>194891.77</v>
      </c>
      <c r="N90" s="18" t="s">
        <v>72</v>
      </c>
      <c r="O90" s="28">
        <f t="shared" ref="O90:AA90" si="451">+SUM(O91:O102)</f>
        <v>147895.86499999999</v>
      </c>
      <c r="P90" s="28">
        <f t="shared" si="451"/>
        <v>25204.671999999999</v>
      </c>
      <c r="Q90" s="28">
        <f t="shared" si="451"/>
        <v>23014.824000000001</v>
      </c>
      <c r="R90" s="28">
        <f t="shared" si="451"/>
        <v>19432.8</v>
      </c>
      <c r="S90" s="28">
        <f t="shared" si="451"/>
        <v>27094.68</v>
      </c>
      <c r="T90" s="28">
        <f t="shared" si="451"/>
        <v>41145.488000000005</v>
      </c>
      <c r="U90" s="28">
        <f t="shared" si="451"/>
        <v>11565.030999999999</v>
      </c>
      <c r="V90" s="28">
        <f t="shared" si="451"/>
        <v>20056.8</v>
      </c>
      <c r="W90" s="28">
        <f t="shared" si="451"/>
        <v>61891.245777777782</v>
      </c>
      <c r="X90" s="28">
        <f t="shared" si="451"/>
        <v>97803.167000000001</v>
      </c>
      <c r="Y90" s="28">
        <f t="shared" si="451"/>
        <v>0</v>
      </c>
      <c r="Z90" s="28">
        <f t="shared" si="451"/>
        <v>0</v>
      </c>
      <c r="AA90" s="28">
        <f t="shared" si="451"/>
        <v>475104.57277777779</v>
      </c>
      <c r="AB90" s="118">
        <f t="shared" si="140"/>
        <v>3.2990403076923078</v>
      </c>
      <c r="AC90" s="28">
        <f t="shared" ref="AC90:AO90" si="452">+SUM(AC91:AC102)</f>
        <v>22750</v>
      </c>
      <c r="AD90" s="28">
        <f t="shared" si="452"/>
        <v>22750</v>
      </c>
      <c r="AE90" s="28">
        <f t="shared" si="452"/>
        <v>22750</v>
      </c>
      <c r="AF90" s="28">
        <f t="shared" si="452"/>
        <v>22750</v>
      </c>
      <c r="AG90" s="28">
        <f t="shared" si="452"/>
        <v>22750</v>
      </c>
      <c r="AH90" s="28">
        <f t="shared" si="452"/>
        <v>22750</v>
      </c>
      <c r="AI90" s="28">
        <f t="shared" si="452"/>
        <v>22750</v>
      </c>
      <c r="AJ90" s="28">
        <f t="shared" si="452"/>
        <v>22750</v>
      </c>
      <c r="AK90" s="28">
        <f t="shared" si="452"/>
        <v>22750</v>
      </c>
      <c r="AL90" s="28">
        <f t="shared" si="452"/>
        <v>22750</v>
      </c>
      <c r="AM90" s="28">
        <f t="shared" si="452"/>
        <v>22750</v>
      </c>
      <c r="AN90" s="28">
        <f t="shared" si="452"/>
        <v>22750</v>
      </c>
      <c r="AO90" s="28">
        <f t="shared" si="452"/>
        <v>273000</v>
      </c>
      <c r="AQ90" s="58">
        <f t="shared" ref="AQ90:BC90" si="453">+SUM(AQ91:AQ102)</f>
        <v>0</v>
      </c>
      <c r="AR90" s="58">
        <f t="shared" si="453"/>
        <v>10000</v>
      </c>
      <c r="AS90" s="58">
        <f t="shared" si="453"/>
        <v>12256.86</v>
      </c>
      <c r="AT90" s="58">
        <f t="shared" si="453"/>
        <v>0</v>
      </c>
      <c r="AU90" s="58">
        <f t="shared" si="453"/>
        <v>0</v>
      </c>
      <c r="AV90" s="58">
        <f t="shared" si="453"/>
        <v>3500</v>
      </c>
      <c r="AW90" s="58">
        <f t="shared" si="453"/>
        <v>33660.6</v>
      </c>
      <c r="AX90" s="58">
        <f t="shared" si="453"/>
        <v>20627.400000000001</v>
      </c>
      <c r="AY90" s="58">
        <f t="shared" si="453"/>
        <v>21900.799999999999</v>
      </c>
      <c r="AZ90" s="58">
        <f t="shared" si="453"/>
        <v>14736</v>
      </c>
      <c r="BA90" s="58">
        <f t="shared" si="453"/>
        <v>18024</v>
      </c>
      <c r="BB90" s="58">
        <f t="shared" si="453"/>
        <v>8000</v>
      </c>
      <c r="BC90" s="58">
        <f t="shared" si="453"/>
        <v>142705.66</v>
      </c>
      <c r="BD90" s="18" t="str">
        <f t="shared" si="334"/>
        <v>Delivery Expenses</v>
      </c>
      <c r="BE90" s="28">
        <f t="shared" ref="BE90:BQ90" si="454">+SUM(BE91:BE102)</f>
        <v>43089.4</v>
      </c>
      <c r="BF90" s="28">
        <f t="shared" si="454"/>
        <v>7512</v>
      </c>
      <c r="BG90" s="28">
        <f t="shared" si="454"/>
        <v>14736</v>
      </c>
      <c r="BH90" s="28">
        <f t="shared" si="454"/>
        <v>10512</v>
      </c>
      <c r="BI90" s="28">
        <f t="shared" si="454"/>
        <v>0</v>
      </c>
      <c r="BJ90" s="28">
        <f t="shared" si="454"/>
        <v>15636</v>
      </c>
      <c r="BK90" s="28">
        <f t="shared" si="454"/>
        <v>1715.85</v>
      </c>
      <c r="BL90" s="28">
        <f t="shared" si="454"/>
        <v>14736</v>
      </c>
      <c r="BM90" s="28">
        <f t="shared" si="454"/>
        <v>56411.692222222227</v>
      </c>
      <c r="BN90" s="28">
        <f t="shared" si="454"/>
        <v>51338.270000000004</v>
      </c>
      <c r="BO90" s="28">
        <f t="shared" si="454"/>
        <v>0</v>
      </c>
      <c r="BP90" s="28">
        <f t="shared" si="454"/>
        <v>0</v>
      </c>
      <c r="BQ90" s="28">
        <f t="shared" si="454"/>
        <v>215687.21222222224</v>
      </c>
      <c r="BR90" s="118">
        <f t="shared" si="145"/>
        <v>3.667115454545455</v>
      </c>
      <c r="BS90" s="58">
        <f t="shared" ref="BS90:CE90" si="455">+SUM(BS91:BS102)</f>
        <v>11000</v>
      </c>
      <c r="BT90" s="58">
        <f t="shared" si="455"/>
        <v>11000</v>
      </c>
      <c r="BU90" s="58">
        <f t="shared" si="455"/>
        <v>11000</v>
      </c>
      <c r="BV90" s="58">
        <f t="shared" si="455"/>
        <v>11000</v>
      </c>
      <c r="BW90" s="58">
        <f t="shared" si="455"/>
        <v>11000</v>
      </c>
      <c r="BX90" s="58">
        <f t="shared" si="455"/>
        <v>11000</v>
      </c>
      <c r="BY90" s="58">
        <f t="shared" si="455"/>
        <v>11000</v>
      </c>
      <c r="BZ90" s="58">
        <f t="shared" si="455"/>
        <v>11000</v>
      </c>
      <c r="CA90" s="58">
        <f t="shared" si="455"/>
        <v>11000</v>
      </c>
      <c r="CB90" s="58">
        <f t="shared" si="455"/>
        <v>11000</v>
      </c>
      <c r="CC90" s="58">
        <f t="shared" si="455"/>
        <v>11000</v>
      </c>
      <c r="CD90" s="58">
        <f t="shared" si="455"/>
        <v>11000</v>
      </c>
      <c r="CE90" s="58">
        <f t="shared" si="455"/>
        <v>132000</v>
      </c>
      <c r="CF90" s="22"/>
      <c r="CG90" s="28">
        <f t="shared" ref="CG90:CS90" si="456">+SUM(CG91:CG102)</f>
        <v>1420</v>
      </c>
      <c r="CH90" s="28">
        <f t="shared" si="456"/>
        <v>0</v>
      </c>
      <c r="CI90" s="28">
        <f t="shared" si="456"/>
        <v>1200</v>
      </c>
      <c r="CJ90" s="28">
        <f t="shared" si="456"/>
        <v>1268</v>
      </c>
      <c r="CK90" s="28">
        <f t="shared" si="456"/>
        <v>160</v>
      </c>
      <c r="CL90" s="28">
        <f t="shared" si="456"/>
        <v>2750</v>
      </c>
      <c r="CM90" s="28">
        <f t="shared" si="456"/>
        <v>2628.9259999999999</v>
      </c>
      <c r="CN90" s="28">
        <f t="shared" si="456"/>
        <v>8854.2260000000006</v>
      </c>
      <c r="CO90" s="28">
        <f t="shared" si="456"/>
        <v>3885.3</v>
      </c>
      <c r="CP90" s="28">
        <f t="shared" si="456"/>
        <v>1058.287</v>
      </c>
      <c r="CQ90" s="28">
        <f t="shared" si="456"/>
        <v>812.75</v>
      </c>
      <c r="CR90" s="28">
        <f t="shared" si="456"/>
        <v>28148.620999999999</v>
      </c>
      <c r="CS90" s="58">
        <f t="shared" si="456"/>
        <v>52186.11</v>
      </c>
      <c r="CT90" s="18" t="str">
        <f t="shared" si="338"/>
        <v>Delivery Expenses</v>
      </c>
      <c r="CU90" s="28">
        <f t="shared" ref="CU90:DG90" si="457">+SUM(CU91:CU102)</f>
        <v>32330.934999999998</v>
      </c>
      <c r="CV90" s="28">
        <f t="shared" si="457"/>
        <v>5639.6720000000005</v>
      </c>
      <c r="CW90" s="28">
        <f t="shared" si="457"/>
        <v>766.82400000000007</v>
      </c>
      <c r="CX90" s="28">
        <f t="shared" si="457"/>
        <v>8920.7999999999993</v>
      </c>
      <c r="CY90" s="28">
        <f t="shared" si="457"/>
        <v>4846.68</v>
      </c>
      <c r="CZ90" s="28">
        <f t="shared" si="457"/>
        <v>5630.6239999999998</v>
      </c>
      <c r="DA90" s="28">
        <f t="shared" si="457"/>
        <v>9271.1810000000005</v>
      </c>
      <c r="DB90" s="28">
        <f t="shared" si="457"/>
        <v>4420.8</v>
      </c>
      <c r="DC90" s="28">
        <f t="shared" si="457"/>
        <v>3727.2813333333334</v>
      </c>
      <c r="DD90" s="28">
        <f t="shared" si="457"/>
        <v>1834.857</v>
      </c>
      <c r="DE90" s="28">
        <f t="shared" si="457"/>
        <v>0</v>
      </c>
      <c r="DF90" s="28">
        <f t="shared" si="457"/>
        <v>0</v>
      </c>
      <c r="DG90" s="28">
        <f t="shared" si="457"/>
        <v>77389.654333333339</v>
      </c>
      <c r="DH90" s="118">
        <f t="shared" si="149"/>
        <v>-0.83690160000000002</v>
      </c>
      <c r="DI90" s="28">
        <f t="shared" ref="DI90:DU90" si="458">+SUM(DI91:DI102)</f>
        <v>11250</v>
      </c>
      <c r="DJ90" s="28">
        <f t="shared" si="458"/>
        <v>11250</v>
      </c>
      <c r="DK90" s="28">
        <f t="shared" si="458"/>
        <v>11250</v>
      </c>
      <c r="DL90" s="28">
        <f t="shared" si="458"/>
        <v>11250</v>
      </c>
      <c r="DM90" s="28">
        <f t="shared" si="458"/>
        <v>11250</v>
      </c>
      <c r="DN90" s="28">
        <f t="shared" si="458"/>
        <v>11250</v>
      </c>
      <c r="DO90" s="28">
        <f t="shared" si="458"/>
        <v>11250</v>
      </c>
      <c r="DP90" s="28">
        <f t="shared" si="458"/>
        <v>11250</v>
      </c>
      <c r="DQ90" s="28">
        <f t="shared" si="458"/>
        <v>11250</v>
      </c>
      <c r="DR90" s="28">
        <f t="shared" si="458"/>
        <v>11250</v>
      </c>
      <c r="DS90" s="28">
        <f t="shared" si="458"/>
        <v>11250</v>
      </c>
      <c r="DT90" s="28">
        <f t="shared" si="458"/>
        <v>11250</v>
      </c>
      <c r="DU90" s="58">
        <f t="shared" si="458"/>
        <v>135000</v>
      </c>
      <c r="DW90" s="28">
        <f t="shared" ref="DW90:EI90" si="459">+SUM(DW91:DW102)</f>
        <v>0</v>
      </c>
      <c r="DX90" s="28">
        <f t="shared" si="459"/>
        <v>0</v>
      </c>
      <c r="DY90" s="28">
        <f t="shared" si="459"/>
        <v>0</v>
      </c>
      <c r="DZ90" s="28">
        <f t="shared" si="459"/>
        <v>0</v>
      </c>
      <c r="EA90" s="28">
        <f t="shared" si="459"/>
        <v>0</v>
      </c>
      <c r="EB90" s="28">
        <f t="shared" si="459"/>
        <v>0</v>
      </c>
      <c r="EC90" s="28">
        <f t="shared" si="459"/>
        <v>0</v>
      </c>
      <c r="ED90" s="28">
        <f t="shared" si="459"/>
        <v>0</v>
      </c>
      <c r="EE90" s="28">
        <f t="shared" si="459"/>
        <v>0</v>
      </c>
      <c r="EF90" s="28">
        <f t="shared" si="459"/>
        <v>0</v>
      </c>
      <c r="EG90" s="28">
        <f t="shared" si="459"/>
        <v>0</v>
      </c>
      <c r="EH90" s="28">
        <f t="shared" si="459"/>
        <v>0</v>
      </c>
      <c r="EI90" s="58">
        <f t="shared" si="459"/>
        <v>0</v>
      </c>
      <c r="EJ90" s="18" t="str">
        <f t="shared" si="376"/>
        <v>Delivery Expenses</v>
      </c>
      <c r="EK90" s="28">
        <f t="shared" ref="EK90:EW90" si="460">+SUM(EK91:EK102)</f>
        <v>72475.53</v>
      </c>
      <c r="EL90" s="28">
        <f t="shared" si="460"/>
        <v>12053</v>
      </c>
      <c r="EM90" s="28">
        <f t="shared" si="460"/>
        <v>7512</v>
      </c>
      <c r="EN90" s="28">
        <f t="shared" si="460"/>
        <v>0</v>
      </c>
      <c r="EO90" s="28">
        <f t="shared" si="460"/>
        <v>22248</v>
      </c>
      <c r="EP90" s="28">
        <f t="shared" si="460"/>
        <v>19878.864000000001</v>
      </c>
      <c r="EQ90" s="28">
        <f t="shared" si="460"/>
        <v>578</v>
      </c>
      <c r="ER90" s="28">
        <f t="shared" si="460"/>
        <v>900</v>
      </c>
      <c r="ES90" s="28">
        <f t="shared" si="460"/>
        <v>1752.2722222222224</v>
      </c>
      <c r="ET90" s="28">
        <f t="shared" si="460"/>
        <v>44630.04</v>
      </c>
      <c r="EU90" s="28">
        <f t="shared" si="460"/>
        <v>0</v>
      </c>
      <c r="EV90" s="28">
        <f t="shared" si="460"/>
        <v>0</v>
      </c>
      <c r="EW90" s="28">
        <f t="shared" si="460"/>
        <v>182027.70622222222</v>
      </c>
      <c r="EX90" s="118">
        <f t="shared" si="153"/>
        <v>88.260080000000002</v>
      </c>
      <c r="EY90" s="28">
        <f t="shared" ref="EY90:FK90" si="461">+SUM(EY91:EY102)</f>
        <v>500</v>
      </c>
      <c r="EZ90" s="28">
        <f t="shared" si="461"/>
        <v>500</v>
      </c>
      <c r="FA90" s="28">
        <f t="shared" si="461"/>
        <v>500</v>
      </c>
      <c r="FB90" s="28">
        <f t="shared" si="461"/>
        <v>500</v>
      </c>
      <c r="FC90" s="28">
        <f t="shared" si="461"/>
        <v>500</v>
      </c>
      <c r="FD90" s="28">
        <f t="shared" si="461"/>
        <v>500</v>
      </c>
      <c r="FE90" s="28">
        <f t="shared" si="461"/>
        <v>500</v>
      </c>
      <c r="FF90" s="28">
        <f t="shared" si="461"/>
        <v>500</v>
      </c>
      <c r="FG90" s="28">
        <f t="shared" si="461"/>
        <v>500</v>
      </c>
      <c r="FH90" s="28">
        <f t="shared" si="461"/>
        <v>500</v>
      </c>
      <c r="FI90" s="28">
        <f t="shared" si="461"/>
        <v>500</v>
      </c>
      <c r="FJ90" s="28">
        <f t="shared" si="461"/>
        <v>500</v>
      </c>
      <c r="FK90" s="58">
        <f t="shared" si="461"/>
        <v>6000</v>
      </c>
    </row>
    <row r="91" spans="1:167" ht="14.45" hidden="1" customHeight="1" outlineLevel="2">
      <c r="A91" s="106">
        <f t="shared" ref="A91:L102" si="462">+AQ91+CG91+DW91</f>
        <v>0</v>
      </c>
      <c r="B91" s="106">
        <f t="shared" si="462"/>
        <v>0</v>
      </c>
      <c r="C91" s="106">
        <f t="shared" si="462"/>
        <v>0</v>
      </c>
      <c r="D91" s="106">
        <f t="shared" si="462"/>
        <v>0</v>
      </c>
      <c r="E91" s="106">
        <f t="shared" si="462"/>
        <v>0</v>
      </c>
      <c r="F91" s="106">
        <f t="shared" si="462"/>
        <v>0</v>
      </c>
      <c r="G91" s="106">
        <f t="shared" si="462"/>
        <v>0</v>
      </c>
      <c r="H91" s="106">
        <f t="shared" si="462"/>
        <v>0</v>
      </c>
      <c r="I91" s="106">
        <f t="shared" si="462"/>
        <v>0</v>
      </c>
      <c r="J91" s="106">
        <f t="shared" si="462"/>
        <v>0</v>
      </c>
      <c r="K91" s="106">
        <f t="shared" si="462"/>
        <v>0</v>
      </c>
      <c r="L91" s="106">
        <f t="shared" si="462"/>
        <v>0</v>
      </c>
      <c r="M91" s="106">
        <f t="shared" si="410"/>
        <v>0</v>
      </c>
      <c r="N91" s="16" t="s">
        <v>224</v>
      </c>
      <c r="O91" s="22">
        <f t="shared" ref="O91:Z102" si="463">+BE91+CU91+EK91</f>
        <v>0</v>
      </c>
      <c r="P91" s="22">
        <f t="shared" si="463"/>
        <v>0</v>
      </c>
      <c r="Q91" s="22">
        <f t="shared" si="463"/>
        <v>0</v>
      </c>
      <c r="R91" s="22">
        <f t="shared" si="463"/>
        <v>0</v>
      </c>
      <c r="S91" s="22">
        <f t="shared" si="463"/>
        <v>0</v>
      </c>
      <c r="T91" s="22">
        <f t="shared" si="463"/>
        <v>0</v>
      </c>
      <c r="U91" s="22">
        <f t="shared" si="463"/>
        <v>0</v>
      </c>
      <c r="V91" s="22">
        <f t="shared" si="463"/>
        <v>0</v>
      </c>
      <c r="W91" s="22">
        <f t="shared" si="463"/>
        <v>0</v>
      </c>
      <c r="X91" s="22">
        <f t="shared" si="463"/>
        <v>0</v>
      </c>
      <c r="Y91" s="22">
        <f t="shared" si="463"/>
        <v>0</v>
      </c>
      <c r="Z91" s="22">
        <f t="shared" si="463"/>
        <v>0</v>
      </c>
      <c r="AA91" s="22">
        <f t="shared" ref="AA91:AA102" si="464">+SUM(O91:Z91)</f>
        <v>0</v>
      </c>
      <c r="AB91" s="118">
        <f t="shared" si="140"/>
        <v>0</v>
      </c>
      <c r="AC91" s="22">
        <f t="shared" ref="AC91:AN102" si="465">+BS91+DI91+EY91</f>
        <v>0</v>
      </c>
      <c r="AD91" s="22">
        <f t="shared" si="465"/>
        <v>0</v>
      </c>
      <c r="AE91" s="22">
        <f t="shared" si="465"/>
        <v>0</v>
      </c>
      <c r="AF91" s="22">
        <f t="shared" si="465"/>
        <v>0</v>
      </c>
      <c r="AG91" s="22">
        <f t="shared" si="465"/>
        <v>0</v>
      </c>
      <c r="AH91" s="22">
        <f t="shared" si="465"/>
        <v>0</v>
      </c>
      <c r="AI91" s="22">
        <f t="shared" si="465"/>
        <v>0</v>
      </c>
      <c r="AJ91" s="22">
        <f t="shared" si="465"/>
        <v>0</v>
      </c>
      <c r="AK91" s="22">
        <f t="shared" si="465"/>
        <v>0</v>
      </c>
      <c r="AL91" s="22">
        <f t="shared" si="465"/>
        <v>0</v>
      </c>
      <c r="AM91" s="22">
        <f t="shared" si="465"/>
        <v>0</v>
      </c>
      <c r="AN91" s="22">
        <f t="shared" si="465"/>
        <v>0</v>
      </c>
      <c r="AO91" s="22">
        <f t="shared" ref="AO91:AO102" si="466">+SUM(AC91:AN91)</f>
        <v>0</v>
      </c>
      <c r="AQ91" s="106">
        <v>0</v>
      </c>
      <c r="AR91" s="106">
        <v>0</v>
      </c>
      <c r="AS91" s="106">
        <v>0</v>
      </c>
      <c r="AT91" s="106">
        <v>0</v>
      </c>
      <c r="AU91" s="106">
        <v>0</v>
      </c>
      <c r="AV91" s="106">
        <v>0</v>
      </c>
      <c r="AW91" s="106">
        <v>0</v>
      </c>
      <c r="AX91" s="106">
        <v>0</v>
      </c>
      <c r="AY91" s="106">
        <v>0</v>
      </c>
      <c r="AZ91" s="106">
        <v>0</v>
      </c>
      <c r="BA91" s="106">
        <v>0</v>
      </c>
      <c r="BB91" s="106">
        <v>0</v>
      </c>
      <c r="BC91" s="106">
        <f t="shared" ref="BC91:BC102" si="467">+SUM(AQ91:BB91)</f>
        <v>0</v>
      </c>
      <c r="BD91" s="16" t="str">
        <f t="shared" si="334"/>
        <v>"Registration -Expenses_x000D_"</v>
      </c>
      <c r="BE91" s="22">
        <f>+VLOOKUP($BD91,'Jan-25'!$A:$J,4,0)</f>
        <v>0</v>
      </c>
      <c r="BF91" s="22">
        <f>+VLOOKUP($BD91,'Feb-25'!$A:$J,4,0)</f>
        <v>0</v>
      </c>
      <c r="BG91" s="22">
        <f>+VLOOKUP($BD91,'Mar-25'!$A:$J,4,0)</f>
        <v>0</v>
      </c>
      <c r="BH91" s="22">
        <f>+VLOOKUP($BD91,'Apr-25'!$A:$J,4,0)</f>
        <v>0</v>
      </c>
      <c r="BI91" s="22">
        <f>+VLOOKUP($BD91,'May-25'!$A:$J,4,0)</f>
        <v>0</v>
      </c>
      <c r="BJ91" s="22">
        <f>+VLOOKUP($BD91,'June-25'!$A:$J,4,0)</f>
        <v>0</v>
      </c>
      <c r="BK91" s="22">
        <f>+VLOOKUP($BD91,'July-25'!$A:$J,4,0)</f>
        <v>0</v>
      </c>
      <c r="BL91" s="22">
        <f>+VLOOKUP($BD91,'Aug-25'!$A:$J,4,0)</f>
        <v>0</v>
      </c>
      <c r="BM91" s="22">
        <f>+VLOOKUP($BD91,'Sep-25'!$A:$J,4,0)</f>
        <v>0</v>
      </c>
      <c r="BN91" s="22">
        <f>+VLOOKUP($BD91,'Oct-25'!$A:$J,4,0)</f>
        <v>0</v>
      </c>
      <c r="BO91" s="22">
        <f>+VLOOKUP($BD91,'Nov-25'!$A:$J,4,0)</f>
        <v>0</v>
      </c>
      <c r="BP91" s="22">
        <f>+VLOOKUP($BD91,'Dec-25'!$A:$J,4,0)</f>
        <v>0</v>
      </c>
      <c r="BQ91" s="22">
        <f t="shared" ref="BQ91:BQ102" si="468">+SUM(BE91:BP91)</f>
        <v>0</v>
      </c>
      <c r="BR91" s="118">
        <f t="shared" si="145"/>
        <v>0</v>
      </c>
      <c r="BS91" s="106">
        <f>+_xlfn.XLOOKUP($BD91,Budget!$A:$A,Budget!AQ:AQ)</f>
        <v>0</v>
      </c>
      <c r="BT91" s="106">
        <f>+_xlfn.XLOOKUP($BD91,Budget!$A:$A,Budget!AR:AR)</f>
        <v>0</v>
      </c>
      <c r="BU91" s="106">
        <f>+_xlfn.XLOOKUP($BD91,Budget!$A:$A,Budget!AS:AS)</f>
        <v>0</v>
      </c>
      <c r="BV91" s="106">
        <f>+_xlfn.XLOOKUP($BD91,Budget!$A:$A,Budget!AT:AT)</f>
        <v>0</v>
      </c>
      <c r="BW91" s="106">
        <f>+_xlfn.XLOOKUP($BD91,Budget!$A:$A,Budget!AU:AU)</f>
        <v>0</v>
      </c>
      <c r="BX91" s="106">
        <f>+_xlfn.XLOOKUP($BD91,Budget!$A:$A,Budget!AV:AV)</f>
        <v>0</v>
      </c>
      <c r="BY91" s="106">
        <f>+_xlfn.XLOOKUP($BD91,Budget!$A:$A,Budget!AW:AW)</f>
        <v>0</v>
      </c>
      <c r="BZ91" s="106">
        <f>+_xlfn.XLOOKUP($BD91,Budget!$A:$A,Budget!AX:AX)</f>
        <v>0</v>
      </c>
      <c r="CA91" s="106">
        <f>+_xlfn.XLOOKUP($BD91,Budget!$A:$A,Budget!AY:AY)</f>
        <v>0</v>
      </c>
      <c r="CB91" s="106">
        <f>+_xlfn.XLOOKUP($BD91,Budget!$A:$A,Budget!AZ:AZ)</f>
        <v>0</v>
      </c>
      <c r="CC91" s="106">
        <f>+_xlfn.XLOOKUP($BD91,Budget!$A:$A,Budget!BA:BA)</f>
        <v>0</v>
      </c>
      <c r="CD91" s="106">
        <f>+_xlfn.XLOOKUP($BD91,Budget!$A:$A,Budget!BB:BB)</f>
        <v>0</v>
      </c>
      <c r="CE91" s="106">
        <f t="shared" ref="CE91:CE102" si="469">+SUM(BS91:CD91)</f>
        <v>0</v>
      </c>
      <c r="CF91" s="22"/>
      <c r="CG91" s="22">
        <v>0</v>
      </c>
      <c r="CH91" s="22">
        <v>0</v>
      </c>
      <c r="CI91" s="22">
        <v>0</v>
      </c>
      <c r="CJ91" s="22">
        <v>0</v>
      </c>
      <c r="CK91" s="22">
        <v>0</v>
      </c>
      <c r="CL91" s="22">
        <v>0</v>
      </c>
      <c r="CM91" s="22">
        <v>0</v>
      </c>
      <c r="CN91" s="22">
        <v>0</v>
      </c>
      <c r="CO91" s="22">
        <v>0</v>
      </c>
      <c r="CP91" s="22">
        <v>0</v>
      </c>
      <c r="CQ91" s="22">
        <v>0</v>
      </c>
      <c r="CR91" s="22">
        <v>0</v>
      </c>
      <c r="CS91" s="106">
        <f t="shared" ref="CS91:CS102" si="470">+SUM(CG91:CR91)</f>
        <v>0</v>
      </c>
      <c r="CT91" s="16" t="str">
        <f t="shared" si="338"/>
        <v>"Registration -Expenses_x000D_"</v>
      </c>
      <c r="CU91" s="22">
        <f>+VLOOKUP($BD91,'Jan-25'!$A:$J,7,0)</f>
        <v>0</v>
      </c>
      <c r="CV91" s="22">
        <f>+VLOOKUP($BD91,'Feb-25'!$A:$J,7,0)</f>
        <v>0</v>
      </c>
      <c r="CW91" s="22">
        <f>+VLOOKUP($BD91,'Mar-25'!$A:$J,7,0)</f>
        <v>0</v>
      </c>
      <c r="CX91" s="22">
        <f>+VLOOKUP($BD91,'Apr-25'!$A:$J,7,0)</f>
        <v>0</v>
      </c>
      <c r="CY91" s="22">
        <f>+VLOOKUP($BD91,'May-25'!$A:$J,7,0)</f>
        <v>0</v>
      </c>
      <c r="CZ91" s="22">
        <f>+VLOOKUP($BD91,'June-25'!$A:$J,7,0)</f>
        <v>0</v>
      </c>
      <c r="DA91" s="22">
        <f>+VLOOKUP($BD91,'July-25'!$A:$J,7,0)</f>
        <v>0</v>
      </c>
      <c r="DB91" s="22">
        <f>+VLOOKUP($BD91,'Aug-25'!$A:$J,7,0)</f>
        <v>0</v>
      </c>
      <c r="DC91" s="22">
        <f>+VLOOKUP($BD91,'Sep-25'!$A:$J,7,0)</f>
        <v>0</v>
      </c>
      <c r="DD91" s="22">
        <f>+VLOOKUP($BD91,'Oct-25'!$A:$J,7,0)</f>
        <v>0</v>
      </c>
      <c r="DE91" s="22">
        <f>+VLOOKUP($BD91,'Nov-25'!$A:$J,7,0)</f>
        <v>0</v>
      </c>
      <c r="DF91" s="22">
        <f>+VLOOKUP($BD91,'Dec-25'!$A:$J,7,0)</f>
        <v>0</v>
      </c>
      <c r="DG91" s="22">
        <f t="shared" ref="DG91:DG102" si="471">+SUM(CU91:DF91)</f>
        <v>0</v>
      </c>
      <c r="DH91" s="118">
        <f t="shared" si="149"/>
        <v>0</v>
      </c>
      <c r="DI91" s="22">
        <f>+_xlfn.XLOOKUP($CT91,Budget!$A:$A,Budget!CD:CD)</f>
        <v>0</v>
      </c>
      <c r="DJ91" s="22">
        <f>+_xlfn.XLOOKUP($CT91,Budget!$A:$A,Budget!CE:CE)</f>
        <v>0</v>
      </c>
      <c r="DK91" s="22">
        <f>+_xlfn.XLOOKUP($CT91,Budget!$A:$A,Budget!CF:CF)</f>
        <v>0</v>
      </c>
      <c r="DL91" s="22">
        <f>+_xlfn.XLOOKUP($CT91,Budget!$A:$A,Budget!CG:CG)</f>
        <v>0</v>
      </c>
      <c r="DM91" s="22">
        <f>+_xlfn.XLOOKUP($CT91,Budget!$A:$A,Budget!CH:CH)</f>
        <v>0</v>
      </c>
      <c r="DN91" s="22">
        <f>+_xlfn.XLOOKUP($CT91,Budget!$A:$A,Budget!CI:CI)</f>
        <v>0</v>
      </c>
      <c r="DO91" s="22">
        <f>+_xlfn.XLOOKUP($CT91,Budget!$A:$A,Budget!CJ:CJ)</f>
        <v>0</v>
      </c>
      <c r="DP91" s="22">
        <f>+_xlfn.XLOOKUP($CT91,Budget!$A:$A,Budget!CK:CK)</f>
        <v>0</v>
      </c>
      <c r="DQ91" s="22">
        <f>+_xlfn.XLOOKUP($CT91,Budget!$A:$A,Budget!CL:CL)</f>
        <v>0</v>
      </c>
      <c r="DR91" s="22">
        <f>+_xlfn.XLOOKUP($CT91,Budget!$A:$A,Budget!CM:CM)</f>
        <v>0</v>
      </c>
      <c r="DS91" s="22">
        <f>+_xlfn.XLOOKUP($CT91,Budget!$A:$A,Budget!CN:CN)</f>
        <v>0</v>
      </c>
      <c r="DT91" s="22">
        <f>+_xlfn.XLOOKUP($CT91,Budget!$A:$A,Budget!CO:CO)</f>
        <v>0</v>
      </c>
      <c r="DU91" s="106">
        <f t="shared" ref="DU91:DU102" si="472">+SUM(DI91:DT91)</f>
        <v>0</v>
      </c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106">
        <f t="shared" ref="EI91:EI102" si="473">+SUM(DW91:EH91)</f>
        <v>0</v>
      </c>
      <c r="EJ91" s="16" t="str">
        <f t="shared" si="376"/>
        <v>"Registration -Expenses_x000D_"</v>
      </c>
      <c r="EK91" s="22">
        <f>+VLOOKUP($BD91,'Jan-25'!$A:$J,9,0)</f>
        <v>0</v>
      </c>
      <c r="EL91" s="22">
        <f>+VLOOKUP($BD91,'Feb-25'!$A:$J,9,0)</f>
        <v>0</v>
      </c>
      <c r="EM91" s="22">
        <f>+VLOOKUP($BD91,'Mar-25'!$A:$J,9,0)</f>
        <v>0</v>
      </c>
      <c r="EN91" s="22">
        <f>+VLOOKUP($BD91,'Apr-25'!$A:$J,9,0)</f>
        <v>0</v>
      </c>
      <c r="EO91" s="22">
        <f>+VLOOKUP($BD91,'May-25'!$A:$J,9,0)</f>
        <v>0</v>
      </c>
      <c r="EP91" s="22">
        <f>+VLOOKUP($BD91,'June-25'!$A:$J,9,0)</f>
        <v>0</v>
      </c>
      <c r="EQ91" s="22">
        <f>+VLOOKUP($BD91,'July-25'!$A:$J,9,0)</f>
        <v>0</v>
      </c>
      <c r="ER91" s="22">
        <f>+VLOOKUP($BD91,'Aug-25'!$A:$J,9,0)</f>
        <v>0</v>
      </c>
      <c r="ES91" s="22">
        <f>+VLOOKUP($BD91,'Sep-25'!$A:$J,9,0)</f>
        <v>0</v>
      </c>
      <c r="ET91" s="22">
        <f>+VLOOKUP($BD91,'Oct-25'!$A:$J,9,0)</f>
        <v>0</v>
      </c>
      <c r="EU91" s="22">
        <f>+VLOOKUP($BD91,'Nov-25'!$A:$J,9,0)</f>
        <v>0</v>
      </c>
      <c r="EV91" s="22">
        <f>+VLOOKUP($BD91,'Dec-25'!$A:$J,9,0)</f>
        <v>0</v>
      </c>
      <c r="EW91" s="22">
        <f t="shared" ref="EW91:EW102" si="474">+SUM(EK91:EV91)</f>
        <v>0</v>
      </c>
      <c r="EX91" s="118">
        <f t="shared" si="153"/>
        <v>0</v>
      </c>
      <c r="EY91" s="22">
        <f>+_xlfn.XLOOKUP($EJ91,Budget!$A:$A,Budget!DE:DE)</f>
        <v>0</v>
      </c>
      <c r="EZ91" s="22">
        <f>+_xlfn.XLOOKUP($EJ91,Budget!$A:$A,Budget!DF:DF)</f>
        <v>0</v>
      </c>
      <c r="FA91" s="22">
        <f>+_xlfn.XLOOKUP($EJ91,Budget!$A:$A,Budget!DG:DG)</f>
        <v>0</v>
      </c>
      <c r="FB91" s="22">
        <f>+_xlfn.XLOOKUP($EJ91,Budget!$A:$A,Budget!DH:DH)</f>
        <v>0</v>
      </c>
      <c r="FC91" s="22">
        <f>+_xlfn.XLOOKUP($EJ91,Budget!$A:$A,Budget!DI:DI)</f>
        <v>0</v>
      </c>
      <c r="FD91" s="22">
        <f>+_xlfn.XLOOKUP($EJ91,Budget!$A:$A,Budget!DJ:DJ)</f>
        <v>0</v>
      </c>
      <c r="FE91" s="22">
        <f>+_xlfn.XLOOKUP($EJ91,Budget!$A:$A,Budget!DK:DK)</f>
        <v>0</v>
      </c>
      <c r="FF91" s="22">
        <f>+_xlfn.XLOOKUP($EJ91,Budget!$A:$A,Budget!DL:DL)</f>
        <v>0</v>
      </c>
      <c r="FG91" s="22">
        <f>+_xlfn.XLOOKUP($EJ91,Budget!$A:$A,Budget!DM:DM)</f>
        <v>0</v>
      </c>
      <c r="FH91" s="22">
        <f>+_xlfn.XLOOKUP($EJ91,Budget!$A:$A,Budget!DN:DN)</f>
        <v>0</v>
      </c>
      <c r="FI91" s="22">
        <f>+_xlfn.XLOOKUP($EJ91,Budget!$A:$A,Budget!DO:DO)</f>
        <v>0</v>
      </c>
      <c r="FJ91" s="22">
        <f>+_xlfn.XLOOKUP($EJ91,Budget!$A:$A,Budget!DP:DP)</f>
        <v>0</v>
      </c>
      <c r="FK91" s="106">
        <f t="shared" ref="FK91:FK102" si="475">+SUM(EY91:FJ91)</f>
        <v>0</v>
      </c>
    </row>
    <row r="92" spans="1:167" ht="14.45" hidden="1" customHeight="1" outlineLevel="2">
      <c r="A92" s="106">
        <f t="shared" si="462"/>
        <v>1420</v>
      </c>
      <c r="B92" s="106">
        <f t="shared" si="462"/>
        <v>10000</v>
      </c>
      <c r="C92" s="106">
        <f t="shared" si="462"/>
        <v>1200</v>
      </c>
      <c r="D92" s="106">
        <f t="shared" si="462"/>
        <v>1268</v>
      </c>
      <c r="E92" s="106">
        <f t="shared" si="462"/>
        <v>160</v>
      </c>
      <c r="F92" s="106">
        <f t="shared" si="462"/>
        <v>6250</v>
      </c>
      <c r="G92" s="106">
        <f t="shared" si="462"/>
        <v>13532</v>
      </c>
      <c r="H92" s="106">
        <f t="shared" si="462"/>
        <v>10022</v>
      </c>
      <c r="I92" s="106">
        <f t="shared" si="462"/>
        <v>3495</v>
      </c>
      <c r="J92" s="106">
        <f t="shared" si="462"/>
        <v>670</v>
      </c>
      <c r="K92" s="106">
        <f t="shared" si="462"/>
        <v>10832</v>
      </c>
      <c r="L92" s="106">
        <f t="shared" si="462"/>
        <v>740</v>
      </c>
      <c r="M92" s="106">
        <f t="shared" si="410"/>
        <v>59589</v>
      </c>
      <c r="N92" s="16" t="s">
        <v>73</v>
      </c>
      <c r="O92" s="22">
        <f t="shared" si="463"/>
        <v>1800</v>
      </c>
      <c r="P92" s="22">
        <f t="shared" si="463"/>
        <v>900</v>
      </c>
      <c r="Q92" s="22">
        <f t="shared" si="463"/>
        <v>900</v>
      </c>
      <c r="R92" s="22">
        <f t="shared" si="463"/>
        <v>8400</v>
      </c>
      <c r="S92" s="22">
        <f t="shared" si="463"/>
        <v>900</v>
      </c>
      <c r="T92" s="22">
        <f t="shared" si="463"/>
        <v>2250</v>
      </c>
      <c r="U92" s="22">
        <f t="shared" si="463"/>
        <v>5000</v>
      </c>
      <c r="V92" s="22">
        <f t="shared" si="463"/>
        <v>900</v>
      </c>
      <c r="W92" s="22">
        <f t="shared" si="463"/>
        <v>57687.245777777782</v>
      </c>
      <c r="X92" s="22">
        <f t="shared" si="463"/>
        <v>72755.167000000001</v>
      </c>
      <c r="Y92" s="22">
        <f t="shared" si="463"/>
        <v>0</v>
      </c>
      <c r="Z92" s="22">
        <f t="shared" si="463"/>
        <v>0</v>
      </c>
      <c r="AA92" s="22">
        <f t="shared" si="464"/>
        <v>151492.41277777776</v>
      </c>
      <c r="AB92" s="118">
        <f t="shared" si="140"/>
        <v>25.456424363636366</v>
      </c>
      <c r="AC92" s="22">
        <f t="shared" si="465"/>
        <v>2750</v>
      </c>
      <c r="AD92" s="22">
        <f t="shared" si="465"/>
        <v>2750</v>
      </c>
      <c r="AE92" s="22">
        <f t="shared" si="465"/>
        <v>2750</v>
      </c>
      <c r="AF92" s="22">
        <f t="shared" si="465"/>
        <v>2750</v>
      </c>
      <c r="AG92" s="22">
        <f t="shared" si="465"/>
        <v>2750</v>
      </c>
      <c r="AH92" s="22">
        <f t="shared" si="465"/>
        <v>2750</v>
      </c>
      <c r="AI92" s="22">
        <f t="shared" si="465"/>
        <v>2750</v>
      </c>
      <c r="AJ92" s="22">
        <f t="shared" si="465"/>
        <v>2750</v>
      </c>
      <c r="AK92" s="22">
        <f t="shared" si="465"/>
        <v>2750</v>
      </c>
      <c r="AL92" s="22">
        <f t="shared" si="465"/>
        <v>2750</v>
      </c>
      <c r="AM92" s="22">
        <f t="shared" si="465"/>
        <v>2750</v>
      </c>
      <c r="AN92" s="22">
        <f t="shared" si="465"/>
        <v>2750</v>
      </c>
      <c r="AO92" s="22">
        <f t="shared" si="466"/>
        <v>33000</v>
      </c>
      <c r="AQ92" s="106">
        <v>0</v>
      </c>
      <c r="AR92" s="106">
        <v>10000</v>
      </c>
      <c r="AS92" s="106">
        <v>0</v>
      </c>
      <c r="AT92" s="106">
        <v>0</v>
      </c>
      <c r="AU92" s="106">
        <v>0</v>
      </c>
      <c r="AV92" s="106">
        <v>3500</v>
      </c>
      <c r="AW92" s="106">
        <v>11112</v>
      </c>
      <c r="AX92" s="106">
        <v>8112</v>
      </c>
      <c r="AY92" s="106">
        <v>0</v>
      </c>
      <c r="AZ92" s="106">
        <v>0</v>
      </c>
      <c r="BA92" s="106">
        <v>10512</v>
      </c>
      <c r="BB92" s="106">
        <v>0</v>
      </c>
      <c r="BC92" s="106">
        <f t="shared" si="467"/>
        <v>43236</v>
      </c>
      <c r="BD92" s="16" t="str">
        <f t="shared" si="334"/>
        <v>Delivery Charges Customer Service</v>
      </c>
      <c r="BE92" s="22">
        <f>+VLOOKUP($BD92,'Jan-25'!$A:$J,4,0)</f>
        <v>900</v>
      </c>
      <c r="BF92" s="22">
        <f>+VLOOKUP($BD92,'Feb-25'!$A:$J,4,0)</f>
        <v>900</v>
      </c>
      <c r="BG92" s="22">
        <f>+VLOOKUP($BD92,'Mar-25'!$A:$J,4,0)</f>
        <v>0</v>
      </c>
      <c r="BH92" s="22">
        <f>+VLOOKUP($BD92,'Apr-25'!$A:$J,4,0)</f>
        <v>3900</v>
      </c>
      <c r="BI92" s="22">
        <f>+VLOOKUP($BD92,'May-25'!$A:$J,4,0)</f>
        <v>0</v>
      </c>
      <c r="BJ92" s="22">
        <f>+VLOOKUP($BD92,'June-25'!$A:$J,4,0)</f>
        <v>900</v>
      </c>
      <c r="BK92" s="22">
        <f>+VLOOKUP($BD92,'July-25'!$A:$J,4,0)</f>
        <v>0</v>
      </c>
      <c r="BL92" s="22">
        <f>+VLOOKUP($BD92,'Aug-25'!$A:$J,4,0)</f>
        <v>0</v>
      </c>
      <c r="BM92" s="22">
        <f>+VLOOKUP($BD92,'Sep-25'!$A:$J,4,0)</f>
        <v>52207.692222222227</v>
      </c>
      <c r="BN92" s="22">
        <f>+VLOOKUP($BD92,'Oct-25'!$A:$J,4,0)</f>
        <v>27550.27</v>
      </c>
      <c r="BO92" s="22">
        <f>+VLOOKUP($BD92,'Nov-25'!$A:$J,4,0)</f>
        <v>0</v>
      </c>
      <c r="BP92" s="22">
        <f>+VLOOKUP($BD92,'Dec-25'!$A:$J,4,0)</f>
        <v>0</v>
      </c>
      <c r="BQ92" s="22">
        <f t="shared" si="468"/>
        <v>86357.962222222224</v>
      </c>
      <c r="BR92" s="118">
        <f t="shared" si="145"/>
        <v>26.550270000000001</v>
      </c>
      <c r="BS92" s="106">
        <f>+_xlfn.XLOOKUP($BD92,Budget!$A:$A,Budget!AQ:AQ)</f>
        <v>1000</v>
      </c>
      <c r="BT92" s="106">
        <f>+_xlfn.XLOOKUP($BD92,Budget!$A:$A,Budget!AR:AR)</f>
        <v>1000</v>
      </c>
      <c r="BU92" s="106">
        <f>+_xlfn.XLOOKUP($BD92,Budget!$A:$A,Budget!AS:AS)</f>
        <v>1000</v>
      </c>
      <c r="BV92" s="106">
        <f>+_xlfn.XLOOKUP($BD92,Budget!$A:$A,Budget!AT:AT)</f>
        <v>1000</v>
      </c>
      <c r="BW92" s="106">
        <f>+_xlfn.XLOOKUP($BD92,Budget!$A:$A,Budget!AU:AU)</f>
        <v>1000</v>
      </c>
      <c r="BX92" s="106">
        <f>+_xlfn.XLOOKUP($BD92,Budget!$A:$A,Budget!AV:AV)</f>
        <v>1000</v>
      </c>
      <c r="BY92" s="106">
        <f>+_xlfn.XLOOKUP($BD92,Budget!$A:$A,Budget!AW:AW)</f>
        <v>1000</v>
      </c>
      <c r="BZ92" s="106">
        <f>+_xlfn.XLOOKUP($BD92,Budget!$A:$A,Budget!AX:AX)</f>
        <v>1000</v>
      </c>
      <c r="CA92" s="106">
        <f>+_xlfn.XLOOKUP($BD92,Budget!$A:$A,Budget!AY:AY)</f>
        <v>1000</v>
      </c>
      <c r="CB92" s="106">
        <f>+_xlfn.XLOOKUP($BD92,Budget!$A:$A,Budget!AZ:AZ)</f>
        <v>1000</v>
      </c>
      <c r="CC92" s="106">
        <f>+_xlfn.XLOOKUP($BD92,Budget!$A:$A,Budget!BA:BA)</f>
        <v>1000</v>
      </c>
      <c r="CD92" s="106">
        <f>+_xlfn.XLOOKUP($BD92,Budget!$A:$A,Budget!BB:BB)</f>
        <v>1000</v>
      </c>
      <c r="CE92" s="106">
        <f t="shared" si="469"/>
        <v>12000</v>
      </c>
      <c r="CF92" s="22"/>
      <c r="CG92" s="22">
        <v>1420</v>
      </c>
      <c r="CH92" s="22">
        <v>0</v>
      </c>
      <c r="CI92" s="22">
        <v>1200</v>
      </c>
      <c r="CJ92" s="22">
        <v>1268</v>
      </c>
      <c r="CK92" s="22">
        <v>160</v>
      </c>
      <c r="CL92" s="22">
        <v>2750</v>
      </c>
      <c r="CM92" s="22">
        <v>2420</v>
      </c>
      <c r="CN92" s="22">
        <v>1910</v>
      </c>
      <c r="CO92" s="22">
        <v>3495</v>
      </c>
      <c r="CP92" s="22">
        <v>670</v>
      </c>
      <c r="CQ92" s="22">
        <v>320</v>
      </c>
      <c r="CR92" s="22">
        <v>740</v>
      </c>
      <c r="CS92" s="106">
        <f t="shared" si="470"/>
        <v>16353</v>
      </c>
      <c r="CT92" s="16" t="str">
        <f t="shared" si="338"/>
        <v>Delivery Charges Customer Service</v>
      </c>
      <c r="CU92" s="22">
        <f>+VLOOKUP($BD92,'Jan-25'!$A:$J,7,0)</f>
        <v>900</v>
      </c>
      <c r="CV92" s="22">
        <f>+VLOOKUP($BD92,'Feb-25'!$A:$J,7,0)</f>
        <v>0</v>
      </c>
      <c r="CW92" s="22">
        <f>+VLOOKUP($BD92,'Mar-25'!$A:$J,7,0)</f>
        <v>0</v>
      </c>
      <c r="CX92" s="22">
        <f>+VLOOKUP($BD92,'Apr-25'!$A:$J,7,0)</f>
        <v>4500</v>
      </c>
      <c r="CY92" s="22">
        <f>+VLOOKUP($BD92,'May-25'!$A:$J,7,0)</f>
        <v>0</v>
      </c>
      <c r="CZ92" s="22">
        <f>+VLOOKUP($BD92,'June-25'!$A:$J,7,0)</f>
        <v>450</v>
      </c>
      <c r="DA92" s="22">
        <f>+VLOOKUP($BD92,'July-25'!$A:$J,7,0)</f>
        <v>5000</v>
      </c>
      <c r="DB92" s="22">
        <f>+VLOOKUP($BD92,'Aug-25'!$A:$J,7,0)</f>
        <v>0</v>
      </c>
      <c r="DC92" s="22">
        <f>+VLOOKUP($BD92,'Sep-25'!$A:$J,7,0)</f>
        <v>3727.2813333333334</v>
      </c>
      <c r="DD92" s="22">
        <f>+VLOOKUP($BD92,'Oct-25'!$A:$J,7,0)</f>
        <v>574.85699999999997</v>
      </c>
      <c r="DE92" s="22">
        <f>+VLOOKUP($BD92,'Nov-25'!$A:$J,7,0)</f>
        <v>0</v>
      </c>
      <c r="DF92" s="22">
        <f>+VLOOKUP($BD92,'Dec-25'!$A:$J,7,0)</f>
        <v>0</v>
      </c>
      <c r="DG92" s="22">
        <f t="shared" si="471"/>
        <v>15152.138333333332</v>
      </c>
      <c r="DH92" s="118">
        <f t="shared" si="149"/>
        <v>-0.54011439999999999</v>
      </c>
      <c r="DI92" s="22">
        <f>+_xlfn.XLOOKUP($CT92,Budget!$A:$A,Budget!CD:CD)</f>
        <v>1250</v>
      </c>
      <c r="DJ92" s="22">
        <f>+_xlfn.XLOOKUP($CT92,Budget!$A:$A,Budget!CE:CE)</f>
        <v>1250</v>
      </c>
      <c r="DK92" s="22">
        <f>+_xlfn.XLOOKUP($CT92,Budget!$A:$A,Budget!CF:CF)</f>
        <v>1250</v>
      </c>
      <c r="DL92" s="22">
        <f>+_xlfn.XLOOKUP($CT92,Budget!$A:$A,Budget!CG:CG)</f>
        <v>1250</v>
      </c>
      <c r="DM92" s="22">
        <f>+_xlfn.XLOOKUP($CT92,Budget!$A:$A,Budget!CH:CH)</f>
        <v>1250</v>
      </c>
      <c r="DN92" s="22">
        <f>+_xlfn.XLOOKUP($CT92,Budget!$A:$A,Budget!CI:CI)</f>
        <v>1250</v>
      </c>
      <c r="DO92" s="22">
        <f>+_xlfn.XLOOKUP($CT92,Budget!$A:$A,Budget!CJ:CJ)</f>
        <v>1250</v>
      </c>
      <c r="DP92" s="22">
        <f>+_xlfn.XLOOKUP($CT92,Budget!$A:$A,Budget!CK:CK)</f>
        <v>1250</v>
      </c>
      <c r="DQ92" s="22">
        <f>+_xlfn.XLOOKUP($CT92,Budget!$A:$A,Budget!CL:CL)</f>
        <v>1250</v>
      </c>
      <c r="DR92" s="22">
        <f>+_xlfn.XLOOKUP($CT92,Budget!$A:$A,Budget!CM:CM)</f>
        <v>1250</v>
      </c>
      <c r="DS92" s="22">
        <f>+_xlfn.XLOOKUP($CT92,Budget!$A:$A,Budget!CN:CN)</f>
        <v>1250</v>
      </c>
      <c r="DT92" s="22">
        <f>+_xlfn.XLOOKUP($CT92,Budget!$A:$A,Budget!CO:CO)</f>
        <v>1250</v>
      </c>
      <c r="DU92" s="106">
        <f t="shared" si="472"/>
        <v>15000</v>
      </c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106">
        <f t="shared" si="473"/>
        <v>0</v>
      </c>
      <c r="EJ92" s="16" t="str">
        <f t="shared" si="376"/>
        <v>Delivery Charges Customer Service</v>
      </c>
      <c r="EK92" s="22">
        <f>+VLOOKUP($BD92,'Jan-25'!$A:$J,9,0)</f>
        <v>0</v>
      </c>
      <c r="EL92" s="22">
        <f>+VLOOKUP($BD92,'Feb-25'!$A:$J,9,0)</f>
        <v>0</v>
      </c>
      <c r="EM92" s="22">
        <f>+VLOOKUP($BD92,'Mar-25'!$A:$J,9,0)</f>
        <v>900</v>
      </c>
      <c r="EN92" s="22">
        <f>+VLOOKUP($BD92,'Apr-25'!$A:$J,9,0)</f>
        <v>0</v>
      </c>
      <c r="EO92" s="22">
        <f>+VLOOKUP($BD92,'May-25'!$A:$J,9,0)</f>
        <v>900</v>
      </c>
      <c r="EP92" s="22">
        <f>+VLOOKUP($BD92,'June-25'!$A:$J,9,0)</f>
        <v>900</v>
      </c>
      <c r="EQ92" s="22">
        <f>+VLOOKUP($BD92,'July-25'!$A:$J,9,0)</f>
        <v>0</v>
      </c>
      <c r="ER92" s="22">
        <f>+VLOOKUP($BD92,'Aug-25'!$A:$J,9,0)</f>
        <v>900</v>
      </c>
      <c r="ES92" s="22">
        <f>+VLOOKUP($BD92,'Sep-25'!$A:$J,9,0)</f>
        <v>1752.2722222222224</v>
      </c>
      <c r="ET92" s="22">
        <f>+VLOOKUP($BD92,'Oct-25'!$A:$J,9,0)</f>
        <v>44630.04</v>
      </c>
      <c r="EU92" s="22">
        <f>+VLOOKUP($BD92,'Nov-25'!$A:$J,9,0)</f>
        <v>0</v>
      </c>
      <c r="EV92" s="22">
        <f>+VLOOKUP($BD92,'Dec-25'!$A:$J,9,0)</f>
        <v>0</v>
      </c>
      <c r="EW92" s="22">
        <f t="shared" si="474"/>
        <v>49982.312222222223</v>
      </c>
      <c r="EX92" s="118">
        <f t="shared" si="153"/>
        <v>88.260080000000002</v>
      </c>
      <c r="EY92" s="22">
        <f>+_xlfn.XLOOKUP($EJ92,Budget!$A:$A,Budget!DE:DE)</f>
        <v>500</v>
      </c>
      <c r="EZ92" s="22">
        <f>+_xlfn.XLOOKUP($EJ92,Budget!$A:$A,Budget!DF:DF)</f>
        <v>500</v>
      </c>
      <c r="FA92" s="22">
        <f>+_xlfn.XLOOKUP($EJ92,Budget!$A:$A,Budget!DG:DG)</f>
        <v>500</v>
      </c>
      <c r="FB92" s="22">
        <f>+_xlfn.XLOOKUP($EJ92,Budget!$A:$A,Budget!DH:DH)</f>
        <v>500</v>
      </c>
      <c r="FC92" s="22">
        <f>+_xlfn.XLOOKUP($EJ92,Budget!$A:$A,Budget!DI:DI)</f>
        <v>500</v>
      </c>
      <c r="FD92" s="22">
        <f>+_xlfn.XLOOKUP($EJ92,Budget!$A:$A,Budget!DJ:DJ)</f>
        <v>500</v>
      </c>
      <c r="FE92" s="22">
        <f>+_xlfn.XLOOKUP($EJ92,Budget!$A:$A,Budget!DK:DK)</f>
        <v>500</v>
      </c>
      <c r="FF92" s="22">
        <f>+_xlfn.XLOOKUP($EJ92,Budget!$A:$A,Budget!DL:DL)</f>
        <v>500</v>
      </c>
      <c r="FG92" s="22">
        <f>+_xlfn.XLOOKUP($EJ92,Budget!$A:$A,Budget!DM:DM)</f>
        <v>500</v>
      </c>
      <c r="FH92" s="22">
        <f>+_xlfn.XLOOKUP($EJ92,Budget!$A:$A,Budget!DN:DN)</f>
        <v>500</v>
      </c>
      <c r="FI92" s="22">
        <f>+_xlfn.XLOOKUP($EJ92,Budget!$A:$A,Budget!DO:DO)</f>
        <v>500</v>
      </c>
      <c r="FJ92" s="22">
        <f>+_xlfn.XLOOKUP($EJ92,Budget!$A:$A,Budget!DP:DP)</f>
        <v>500</v>
      </c>
      <c r="FK92" s="106">
        <f t="shared" si="475"/>
        <v>6000</v>
      </c>
    </row>
    <row r="93" spans="1:167" ht="14.45" hidden="1" customHeight="1" outlineLevel="2">
      <c r="A93" s="106">
        <f t="shared" si="462"/>
        <v>0</v>
      </c>
      <c r="B93" s="106">
        <f t="shared" si="462"/>
        <v>0</v>
      </c>
      <c r="C93" s="106">
        <f t="shared" si="462"/>
        <v>0</v>
      </c>
      <c r="D93" s="106">
        <f t="shared" si="462"/>
        <v>0</v>
      </c>
      <c r="E93" s="106">
        <f t="shared" si="462"/>
        <v>0</v>
      </c>
      <c r="F93" s="106">
        <f t="shared" si="462"/>
        <v>0</v>
      </c>
      <c r="G93" s="106">
        <f t="shared" si="462"/>
        <v>8389.9259999999995</v>
      </c>
      <c r="H93" s="106">
        <f t="shared" si="462"/>
        <v>208.92599999999999</v>
      </c>
      <c r="I93" s="106">
        <f t="shared" si="462"/>
        <v>390.3</v>
      </c>
      <c r="J93" s="106">
        <f t="shared" si="462"/>
        <v>141.91200000000001</v>
      </c>
      <c r="K93" s="106">
        <f t="shared" si="462"/>
        <v>492.75</v>
      </c>
      <c r="L93" s="106">
        <f t="shared" si="462"/>
        <v>8883.8209999999999</v>
      </c>
      <c r="M93" s="106">
        <f t="shared" si="410"/>
        <v>18507.634999999998</v>
      </c>
      <c r="N93" s="16" t="s">
        <v>74</v>
      </c>
      <c r="O93" s="22">
        <f t="shared" si="463"/>
        <v>41336.375</v>
      </c>
      <c r="P93" s="22">
        <f t="shared" si="463"/>
        <v>12336.871999999999</v>
      </c>
      <c r="Q93" s="22">
        <f t="shared" si="463"/>
        <v>283.82400000000001</v>
      </c>
      <c r="R93" s="22">
        <f t="shared" si="463"/>
        <v>0</v>
      </c>
      <c r="S93" s="22">
        <f t="shared" si="463"/>
        <v>425.87999999999994</v>
      </c>
      <c r="T93" s="22">
        <f t="shared" si="463"/>
        <v>283.82400000000001</v>
      </c>
      <c r="U93" s="22">
        <f t="shared" si="463"/>
        <v>2857.5990000000002</v>
      </c>
      <c r="V93" s="22">
        <f t="shared" si="463"/>
        <v>0</v>
      </c>
      <c r="W93" s="22">
        <f t="shared" si="463"/>
        <v>0</v>
      </c>
      <c r="X93" s="22">
        <f t="shared" si="463"/>
        <v>0</v>
      </c>
      <c r="Y93" s="22">
        <f t="shared" si="463"/>
        <v>0</v>
      </c>
      <c r="Z93" s="22">
        <f t="shared" si="463"/>
        <v>0</v>
      </c>
      <c r="AA93" s="22">
        <f t="shared" si="464"/>
        <v>57524.374000000003</v>
      </c>
      <c r="AB93" s="118">
        <f t="shared" si="140"/>
        <v>0</v>
      </c>
      <c r="AC93" s="22">
        <f t="shared" si="465"/>
        <v>0</v>
      </c>
      <c r="AD93" s="22">
        <f t="shared" si="465"/>
        <v>0</v>
      </c>
      <c r="AE93" s="22">
        <f t="shared" si="465"/>
        <v>0</v>
      </c>
      <c r="AF93" s="22">
        <f t="shared" si="465"/>
        <v>0</v>
      </c>
      <c r="AG93" s="22">
        <f t="shared" si="465"/>
        <v>0</v>
      </c>
      <c r="AH93" s="22">
        <f t="shared" si="465"/>
        <v>0</v>
      </c>
      <c r="AI93" s="22">
        <f t="shared" si="465"/>
        <v>0</v>
      </c>
      <c r="AJ93" s="22">
        <f t="shared" si="465"/>
        <v>0</v>
      </c>
      <c r="AK93" s="22">
        <f t="shared" si="465"/>
        <v>0</v>
      </c>
      <c r="AL93" s="22">
        <f t="shared" si="465"/>
        <v>0</v>
      </c>
      <c r="AM93" s="22">
        <f t="shared" si="465"/>
        <v>0</v>
      </c>
      <c r="AN93" s="22">
        <f t="shared" si="465"/>
        <v>0</v>
      </c>
      <c r="AO93" s="22">
        <f t="shared" si="466"/>
        <v>0</v>
      </c>
      <c r="AQ93" s="106">
        <v>0</v>
      </c>
      <c r="AR93" s="106">
        <v>0</v>
      </c>
      <c r="AS93" s="106">
        <v>0</v>
      </c>
      <c r="AT93" s="106">
        <v>0</v>
      </c>
      <c r="AU93" s="106">
        <v>0</v>
      </c>
      <c r="AV93" s="106">
        <v>0</v>
      </c>
      <c r="AW93" s="106">
        <v>8181</v>
      </c>
      <c r="AX93" s="106">
        <v>0</v>
      </c>
      <c r="AY93" s="106">
        <v>0</v>
      </c>
      <c r="AZ93" s="106">
        <v>0</v>
      </c>
      <c r="BA93" s="106">
        <v>0</v>
      </c>
      <c r="BB93" s="106">
        <v>8000</v>
      </c>
      <c r="BC93" s="106">
        <f t="shared" si="467"/>
        <v>16181</v>
      </c>
      <c r="BD93" s="16" t="str">
        <f t="shared" si="334"/>
        <v>Delivery Expenses Others</v>
      </c>
      <c r="BE93" s="22">
        <f>+VLOOKUP($BD93,'Jan-25'!$A:$J,4,0)</f>
        <v>0</v>
      </c>
      <c r="BF93" s="22">
        <f>+VLOOKUP($BD93,'Feb-25'!$A:$J,4,0)</f>
        <v>0</v>
      </c>
      <c r="BG93" s="22">
        <f>+VLOOKUP($BD93,'Mar-25'!$A:$J,4,0)</f>
        <v>0</v>
      </c>
      <c r="BH93" s="22">
        <f>+VLOOKUP($BD93,'Apr-25'!$A:$J,4,0)</f>
        <v>0</v>
      </c>
      <c r="BI93" s="22">
        <f>+VLOOKUP($BD93,'May-25'!$A:$J,4,0)</f>
        <v>0</v>
      </c>
      <c r="BJ93" s="22">
        <f>+VLOOKUP($BD93,'June-25'!$A:$J,4,0)</f>
        <v>0</v>
      </c>
      <c r="BK93" s="22">
        <f>+VLOOKUP($BD93,'July-25'!$A:$J,4,0)</f>
        <v>1715.85</v>
      </c>
      <c r="BL93" s="22">
        <f>+VLOOKUP($BD93,'Aug-25'!$A:$J,4,0)</f>
        <v>0</v>
      </c>
      <c r="BM93" s="22">
        <f>+VLOOKUP($BD93,'Sep-25'!$A:$J,4,0)</f>
        <v>0</v>
      </c>
      <c r="BN93" s="22">
        <f>+VLOOKUP($BD93,'Oct-25'!$A:$J,4,0)</f>
        <v>0</v>
      </c>
      <c r="BO93" s="22">
        <f>+VLOOKUP($BD93,'Nov-25'!$A:$J,4,0)</f>
        <v>0</v>
      </c>
      <c r="BP93" s="22">
        <f>+VLOOKUP($BD93,'Dec-25'!$A:$J,4,0)</f>
        <v>0</v>
      </c>
      <c r="BQ93" s="22">
        <f t="shared" si="468"/>
        <v>1715.85</v>
      </c>
      <c r="BR93" s="118">
        <f t="shared" si="145"/>
        <v>0</v>
      </c>
      <c r="BS93" s="106">
        <f>+_xlfn.XLOOKUP($BD93,Budget!$A:$A,Budget!AQ:AQ)</f>
        <v>0</v>
      </c>
      <c r="BT93" s="106">
        <f>+_xlfn.XLOOKUP($BD93,Budget!$A:$A,Budget!AR:AR)</f>
        <v>0</v>
      </c>
      <c r="BU93" s="106">
        <f>+_xlfn.XLOOKUP($BD93,Budget!$A:$A,Budget!AS:AS)</f>
        <v>0</v>
      </c>
      <c r="BV93" s="106">
        <f>+_xlfn.XLOOKUP($BD93,Budget!$A:$A,Budget!AT:AT)</f>
        <v>0</v>
      </c>
      <c r="BW93" s="106">
        <f>+_xlfn.XLOOKUP($BD93,Budget!$A:$A,Budget!AU:AU)</f>
        <v>0</v>
      </c>
      <c r="BX93" s="106">
        <f>+_xlfn.XLOOKUP($BD93,Budget!$A:$A,Budget!AV:AV)</f>
        <v>0</v>
      </c>
      <c r="BY93" s="106">
        <f>+_xlfn.XLOOKUP($BD93,Budget!$A:$A,Budget!AW:AW)</f>
        <v>0</v>
      </c>
      <c r="BZ93" s="106">
        <f>+_xlfn.XLOOKUP($BD93,Budget!$A:$A,Budget!AX:AX)</f>
        <v>0</v>
      </c>
      <c r="CA93" s="106">
        <f>+_xlfn.XLOOKUP($BD93,Budget!$A:$A,Budget!AY:AY)</f>
        <v>0</v>
      </c>
      <c r="CB93" s="106">
        <f>+_xlfn.XLOOKUP($BD93,Budget!$A:$A,Budget!AZ:AZ)</f>
        <v>0</v>
      </c>
      <c r="CC93" s="106">
        <f>+_xlfn.XLOOKUP($BD93,Budget!$A:$A,Budget!BA:BA)</f>
        <v>0</v>
      </c>
      <c r="CD93" s="106">
        <f>+_xlfn.XLOOKUP($BD93,Budget!$A:$A,Budget!BB:BB)</f>
        <v>0</v>
      </c>
      <c r="CE93" s="106">
        <f t="shared" si="469"/>
        <v>0</v>
      </c>
      <c r="CF93" s="22"/>
      <c r="CG93" s="22">
        <v>0</v>
      </c>
      <c r="CH93" s="22">
        <v>0</v>
      </c>
      <c r="CI93" s="22">
        <v>0</v>
      </c>
      <c r="CJ93" s="22">
        <v>0</v>
      </c>
      <c r="CK93" s="22">
        <v>0</v>
      </c>
      <c r="CL93" s="22">
        <v>0</v>
      </c>
      <c r="CM93" s="22">
        <v>208.92599999999999</v>
      </c>
      <c r="CN93" s="22">
        <v>208.92599999999999</v>
      </c>
      <c r="CO93" s="22">
        <v>390.3</v>
      </c>
      <c r="CP93" s="22">
        <v>141.91200000000001</v>
      </c>
      <c r="CQ93" s="22">
        <v>492.75</v>
      </c>
      <c r="CR93" s="22">
        <v>883.82100000000003</v>
      </c>
      <c r="CS93" s="106">
        <f t="shared" si="470"/>
        <v>2326.6350000000002</v>
      </c>
      <c r="CT93" s="16" t="str">
        <f t="shared" si="338"/>
        <v>Delivery Expenses Others</v>
      </c>
      <c r="CU93" s="22">
        <f>+VLOOKUP($BD93,'Jan-25'!$A:$J,7,0)</f>
        <v>486.375</v>
      </c>
      <c r="CV93" s="22">
        <f>+VLOOKUP($BD93,'Feb-25'!$A:$J,7,0)</f>
        <v>283.87200000000001</v>
      </c>
      <c r="CW93" s="22">
        <f>+VLOOKUP($BD93,'Mar-25'!$A:$J,7,0)</f>
        <v>283.82400000000001</v>
      </c>
      <c r="CX93" s="22">
        <f>+VLOOKUP($BD93,'Apr-25'!$A:$J,7,0)</f>
        <v>0</v>
      </c>
      <c r="CY93" s="22">
        <f>+VLOOKUP($BD93,'May-25'!$A:$J,7,0)</f>
        <v>425.87999999999994</v>
      </c>
      <c r="CZ93" s="22">
        <f>+VLOOKUP($BD93,'June-25'!$A:$J,7,0)</f>
        <v>283.82400000000001</v>
      </c>
      <c r="DA93" s="22">
        <f>+VLOOKUP($BD93,'July-25'!$A:$J,7,0)</f>
        <v>1141.749</v>
      </c>
      <c r="DB93" s="22">
        <f>+VLOOKUP($BD93,'Aug-25'!$A:$J,7,0)</f>
        <v>0</v>
      </c>
      <c r="DC93" s="22">
        <f>+VLOOKUP($BD93,'Sep-25'!$A:$J,7,0)</f>
        <v>0</v>
      </c>
      <c r="DD93" s="22">
        <f>+VLOOKUP($BD93,'Oct-25'!$A:$J,7,0)</f>
        <v>0</v>
      </c>
      <c r="DE93" s="22">
        <f>+VLOOKUP($BD93,'Nov-25'!$A:$J,7,0)</f>
        <v>0</v>
      </c>
      <c r="DF93" s="22">
        <f>+VLOOKUP($BD93,'Dec-25'!$A:$J,7,0)</f>
        <v>0</v>
      </c>
      <c r="DG93" s="22">
        <f t="shared" si="471"/>
        <v>2905.5240000000003</v>
      </c>
      <c r="DH93" s="118">
        <f t="shared" si="149"/>
        <v>0</v>
      </c>
      <c r="DI93" s="22">
        <f>+_xlfn.XLOOKUP($CT93,Budget!$A:$A,Budget!CD:CD)</f>
        <v>0</v>
      </c>
      <c r="DJ93" s="22">
        <f>+_xlfn.XLOOKUP($CT93,Budget!$A:$A,Budget!CE:CE)</f>
        <v>0</v>
      </c>
      <c r="DK93" s="22">
        <f>+_xlfn.XLOOKUP($CT93,Budget!$A:$A,Budget!CF:CF)</f>
        <v>0</v>
      </c>
      <c r="DL93" s="22">
        <f>+_xlfn.XLOOKUP($CT93,Budget!$A:$A,Budget!CG:CG)</f>
        <v>0</v>
      </c>
      <c r="DM93" s="22">
        <f>+_xlfn.XLOOKUP($CT93,Budget!$A:$A,Budget!CH:CH)</f>
        <v>0</v>
      </c>
      <c r="DN93" s="22">
        <f>+_xlfn.XLOOKUP($CT93,Budget!$A:$A,Budget!CI:CI)</f>
        <v>0</v>
      </c>
      <c r="DO93" s="22">
        <f>+_xlfn.XLOOKUP($CT93,Budget!$A:$A,Budget!CJ:CJ)</f>
        <v>0</v>
      </c>
      <c r="DP93" s="22">
        <f>+_xlfn.XLOOKUP($CT93,Budget!$A:$A,Budget!CK:CK)</f>
        <v>0</v>
      </c>
      <c r="DQ93" s="22">
        <f>+_xlfn.XLOOKUP($CT93,Budget!$A:$A,Budget!CL:CL)</f>
        <v>0</v>
      </c>
      <c r="DR93" s="22">
        <f>+_xlfn.XLOOKUP($CT93,Budget!$A:$A,Budget!CM:CM)</f>
        <v>0</v>
      </c>
      <c r="DS93" s="22">
        <f>+_xlfn.XLOOKUP($CT93,Budget!$A:$A,Budget!CN:CN)</f>
        <v>0</v>
      </c>
      <c r="DT93" s="22">
        <f>+_xlfn.XLOOKUP($CT93,Budget!$A:$A,Budget!CO:CO)</f>
        <v>0</v>
      </c>
      <c r="DU93" s="106">
        <f t="shared" si="472"/>
        <v>0</v>
      </c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106">
        <f t="shared" si="473"/>
        <v>0</v>
      </c>
      <c r="EJ93" s="16" t="str">
        <f t="shared" si="376"/>
        <v>Delivery Expenses Others</v>
      </c>
      <c r="EK93" s="22">
        <f>+VLOOKUP($BD93,'Jan-25'!$A:$J,9,0)</f>
        <v>40850</v>
      </c>
      <c r="EL93" s="22">
        <f>+VLOOKUP($BD93,'Feb-25'!$A:$J,9,0)</f>
        <v>12053</v>
      </c>
      <c r="EM93" s="22">
        <f>+VLOOKUP($BD93,'Mar-25'!$A:$J,9,0)</f>
        <v>0</v>
      </c>
      <c r="EN93" s="22">
        <f>+VLOOKUP($BD93,'Apr-25'!$A:$J,9,0)</f>
        <v>0</v>
      </c>
      <c r="EO93" s="22">
        <f>+VLOOKUP($BD93,'May-25'!$A:$J,9,0)</f>
        <v>0</v>
      </c>
      <c r="EP93" s="22">
        <f>+VLOOKUP($BD93,'June-25'!$A:$J,9,0)</f>
        <v>0</v>
      </c>
      <c r="EQ93" s="22">
        <f>+VLOOKUP($BD93,'July-25'!$A:$J,9,0)</f>
        <v>0</v>
      </c>
      <c r="ER93" s="22">
        <f>+VLOOKUP($BD93,'Aug-25'!$A:$J,9,0)</f>
        <v>0</v>
      </c>
      <c r="ES93" s="22">
        <f>+VLOOKUP($BD93,'Sep-25'!$A:$J,9,0)</f>
        <v>0</v>
      </c>
      <c r="ET93" s="22">
        <f>+VLOOKUP($BD93,'Oct-25'!$A:$J,9,0)</f>
        <v>0</v>
      </c>
      <c r="EU93" s="22">
        <f>+VLOOKUP($BD93,'Nov-25'!$A:$J,9,0)</f>
        <v>0</v>
      </c>
      <c r="EV93" s="22">
        <f>+VLOOKUP($BD93,'Dec-25'!$A:$J,9,0)</f>
        <v>0</v>
      </c>
      <c r="EW93" s="22">
        <f t="shared" si="474"/>
        <v>52903</v>
      </c>
      <c r="EX93" s="118">
        <f t="shared" si="153"/>
        <v>0</v>
      </c>
      <c r="EY93" s="22">
        <f>+_xlfn.XLOOKUP($EJ93,Budget!$A:$A,Budget!DE:DE)</f>
        <v>0</v>
      </c>
      <c r="EZ93" s="22">
        <f>+_xlfn.XLOOKUP($EJ93,Budget!$A:$A,Budget!DF:DF)</f>
        <v>0</v>
      </c>
      <c r="FA93" s="22">
        <f>+_xlfn.XLOOKUP($EJ93,Budget!$A:$A,Budget!DG:DG)</f>
        <v>0</v>
      </c>
      <c r="FB93" s="22">
        <f>+_xlfn.XLOOKUP($EJ93,Budget!$A:$A,Budget!DH:DH)</f>
        <v>0</v>
      </c>
      <c r="FC93" s="22">
        <f>+_xlfn.XLOOKUP($EJ93,Budget!$A:$A,Budget!DI:DI)</f>
        <v>0</v>
      </c>
      <c r="FD93" s="22">
        <f>+_xlfn.XLOOKUP($EJ93,Budget!$A:$A,Budget!DJ:DJ)</f>
        <v>0</v>
      </c>
      <c r="FE93" s="22">
        <f>+_xlfn.XLOOKUP($EJ93,Budget!$A:$A,Budget!DK:DK)</f>
        <v>0</v>
      </c>
      <c r="FF93" s="22">
        <f>+_xlfn.XLOOKUP($EJ93,Budget!$A:$A,Budget!DL:DL)</f>
        <v>0</v>
      </c>
      <c r="FG93" s="22">
        <f>+_xlfn.XLOOKUP($EJ93,Budget!$A:$A,Budget!DM:DM)</f>
        <v>0</v>
      </c>
      <c r="FH93" s="22">
        <f>+_xlfn.XLOOKUP($EJ93,Budget!$A:$A,Budget!DN:DN)</f>
        <v>0</v>
      </c>
      <c r="FI93" s="22">
        <f>+_xlfn.XLOOKUP($EJ93,Budget!$A:$A,Budget!DO:DO)</f>
        <v>0</v>
      </c>
      <c r="FJ93" s="22">
        <f>+_xlfn.XLOOKUP($EJ93,Budget!$A:$A,Budget!DP:DP)</f>
        <v>0</v>
      </c>
      <c r="FK93" s="106">
        <f t="shared" si="475"/>
        <v>0</v>
      </c>
    </row>
    <row r="94" spans="1:167" ht="14.45" hidden="1" customHeight="1" outlineLevel="2">
      <c r="A94" s="106">
        <f t="shared" si="462"/>
        <v>0</v>
      </c>
      <c r="B94" s="106">
        <f t="shared" si="462"/>
        <v>0</v>
      </c>
      <c r="C94" s="106">
        <f t="shared" si="462"/>
        <v>0</v>
      </c>
      <c r="D94" s="106">
        <f t="shared" si="462"/>
        <v>0</v>
      </c>
      <c r="E94" s="106">
        <f t="shared" si="462"/>
        <v>0</v>
      </c>
      <c r="F94" s="106">
        <f t="shared" si="462"/>
        <v>0</v>
      </c>
      <c r="G94" s="106">
        <f t="shared" si="462"/>
        <v>0</v>
      </c>
      <c r="H94" s="106">
        <f t="shared" si="462"/>
        <v>0</v>
      </c>
      <c r="I94" s="106">
        <f t="shared" si="462"/>
        <v>0</v>
      </c>
      <c r="J94" s="106">
        <f t="shared" si="462"/>
        <v>0</v>
      </c>
      <c r="K94" s="106">
        <f t="shared" si="462"/>
        <v>0</v>
      </c>
      <c r="L94" s="106">
        <f t="shared" si="462"/>
        <v>0</v>
      </c>
      <c r="M94" s="106">
        <f t="shared" si="410"/>
        <v>0</v>
      </c>
      <c r="N94" s="16" t="s">
        <v>75</v>
      </c>
      <c r="O94" s="22">
        <f t="shared" si="463"/>
        <v>0</v>
      </c>
      <c r="P94" s="22">
        <f t="shared" si="463"/>
        <v>0</v>
      </c>
      <c r="Q94" s="22">
        <f t="shared" si="463"/>
        <v>0</v>
      </c>
      <c r="R94" s="22">
        <f t="shared" si="463"/>
        <v>0</v>
      </c>
      <c r="S94" s="22">
        <f t="shared" si="463"/>
        <v>0</v>
      </c>
      <c r="T94" s="22">
        <f t="shared" si="463"/>
        <v>0</v>
      </c>
      <c r="U94" s="22">
        <f t="shared" si="463"/>
        <v>0</v>
      </c>
      <c r="V94" s="22">
        <f t="shared" si="463"/>
        <v>0</v>
      </c>
      <c r="W94" s="22">
        <f t="shared" si="463"/>
        <v>0</v>
      </c>
      <c r="X94" s="22">
        <f t="shared" si="463"/>
        <v>0</v>
      </c>
      <c r="Y94" s="22">
        <f t="shared" si="463"/>
        <v>0</v>
      </c>
      <c r="Z94" s="22">
        <f t="shared" si="463"/>
        <v>0</v>
      </c>
      <c r="AA94" s="22">
        <f t="shared" si="464"/>
        <v>0</v>
      </c>
      <c r="AB94" s="118">
        <f t="shared" ref="AB94:AB157" si="476">IFERROR((X94-AL94)/AL94,0)</f>
        <v>0</v>
      </c>
      <c r="AC94" s="22">
        <f t="shared" si="465"/>
        <v>0</v>
      </c>
      <c r="AD94" s="22">
        <f t="shared" si="465"/>
        <v>0</v>
      </c>
      <c r="AE94" s="22">
        <f t="shared" si="465"/>
        <v>0</v>
      </c>
      <c r="AF94" s="22">
        <f t="shared" si="465"/>
        <v>0</v>
      </c>
      <c r="AG94" s="22">
        <f t="shared" si="465"/>
        <v>0</v>
      </c>
      <c r="AH94" s="22">
        <f t="shared" si="465"/>
        <v>0</v>
      </c>
      <c r="AI94" s="22">
        <f t="shared" si="465"/>
        <v>0</v>
      </c>
      <c r="AJ94" s="22">
        <f t="shared" si="465"/>
        <v>0</v>
      </c>
      <c r="AK94" s="22">
        <f t="shared" si="465"/>
        <v>0</v>
      </c>
      <c r="AL94" s="22">
        <f t="shared" si="465"/>
        <v>0</v>
      </c>
      <c r="AM94" s="22">
        <f t="shared" si="465"/>
        <v>0</v>
      </c>
      <c r="AN94" s="22">
        <f t="shared" si="465"/>
        <v>0</v>
      </c>
      <c r="AO94" s="22">
        <f t="shared" si="466"/>
        <v>0</v>
      </c>
      <c r="AQ94" s="106">
        <v>0</v>
      </c>
      <c r="AR94" s="106">
        <v>0</v>
      </c>
      <c r="AS94" s="106">
        <v>0</v>
      </c>
      <c r="AT94" s="106">
        <v>0</v>
      </c>
      <c r="AU94" s="106">
        <v>0</v>
      </c>
      <c r="AV94" s="106">
        <v>0</v>
      </c>
      <c r="AW94" s="106">
        <v>0</v>
      </c>
      <c r="AX94" s="106">
        <v>0</v>
      </c>
      <c r="AY94" s="106">
        <v>0</v>
      </c>
      <c r="AZ94" s="106">
        <v>0</v>
      </c>
      <c r="BA94" s="106">
        <v>0</v>
      </c>
      <c r="BB94" s="106">
        <v>0</v>
      </c>
      <c r="BC94" s="106">
        <f t="shared" si="467"/>
        <v>0</v>
      </c>
      <c r="BD94" s="16" t="str">
        <f t="shared" si="334"/>
        <v>Delivery Polish - New  Car</v>
      </c>
      <c r="BE94" s="22">
        <f>+VLOOKUP($BD94,'Jan-25'!$A:$J,4,0)</f>
        <v>0</v>
      </c>
      <c r="BF94" s="22">
        <f>+VLOOKUP($BD94,'Feb-25'!$A:$J,4,0)</f>
        <v>0</v>
      </c>
      <c r="BG94" s="22">
        <f>+VLOOKUP($BD94,'Mar-25'!$A:$J,4,0)</f>
        <v>0</v>
      </c>
      <c r="BH94" s="22">
        <f>+VLOOKUP($BD94,'Apr-25'!$A:$J,4,0)</f>
        <v>0</v>
      </c>
      <c r="BI94" s="22">
        <f>+VLOOKUP($BD94,'May-25'!$A:$J,4,0)</f>
        <v>0</v>
      </c>
      <c r="BJ94" s="22">
        <f>+VLOOKUP($BD94,'June-25'!$A:$J,4,0)</f>
        <v>0</v>
      </c>
      <c r="BK94" s="22">
        <f>+VLOOKUP($BD94,'July-25'!$A:$J,4,0)</f>
        <v>0</v>
      </c>
      <c r="BL94" s="22">
        <f>+VLOOKUP($BD94,'Aug-25'!$A:$J,4,0)</f>
        <v>0</v>
      </c>
      <c r="BM94" s="22">
        <f>+VLOOKUP($BD94,'Sep-25'!$A:$J,4,0)</f>
        <v>0</v>
      </c>
      <c r="BN94" s="22">
        <f>+VLOOKUP($BD94,'Oct-25'!$A:$J,4,0)</f>
        <v>0</v>
      </c>
      <c r="BO94" s="22">
        <f>+VLOOKUP($BD94,'Nov-25'!$A:$J,4,0)</f>
        <v>0</v>
      </c>
      <c r="BP94" s="22">
        <f>+VLOOKUP($BD94,'Dec-25'!$A:$J,4,0)</f>
        <v>0</v>
      </c>
      <c r="BQ94" s="22">
        <f t="shared" si="468"/>
        <v>0</v>
      </c>
      <c r="BR94" s="118">
        <f t="shared" ref="BR94:BR157" si="477">IFERROR((BN94-CB94)/CB94,0)</f>
        <v>0</v>
      </c>
      <c r="BS94" s="106">
        <f>+_xlfn.XLOOKUP($BD94,Budget!$A:$A,Budget!AQ:AQ)</f>
        <v>0</v>
      </c>
      <c r="BT94" s="106">
        <f>+_xlfn.XLOOKUP($BD94,Budget!$A:$A,Budget!AR:AR)</f>
        <v>0</v>
      </c>
      <c r="BU94" s="106">
        <f>+_xlfn.XLOOKUP($BD94,Budget!$A:$A,Budget!AS:AS)</f>
        <v>0</v>
      </c>
      <c r="BV94" s="106">
        <f>+_xlfn.XLOOKUP($BD94,Budget!$A:$A,Budget!AT:AT)</f>
        <v>0</v>
      </c>
      <c r="BW94" s="106">
        <f>+_xlfn.XLOOKUP($BD94,Budget!$A:$A,Budget!AU:AU)</f>
        <v>0</v>
      </c>
      <c r="BX94" s="106">
        <f>+_xlfn.XLOOKUP($BD94,Budget!$A:$A,Budget!AV:AV)</f>
        <v>0</v>
      </c>
      <c r="BY94" s="106">
        <f>+_xlfn.XLOOKUP($BD94,Budget!$A:$A,Budget!AW:AW)</f>
        <v>0</v>
      </c>
      <c r="BZ94" s="106">
        <f>+_xlfn.XLOOKUP($BD94,Budget!$A:$A,Budget!AX:AX)</f>
        <v>0</v>
      </c>
      <c r="CA94" s="106">
        <f>+_xlfn.XLOOKUP($BD94,Budget!$A:$A,Budget!AY:AY)</f>
        <v>0</v>
      </c>
      <c r="CB94" s="106">
        <f>+_xlfn.XLOOKUP($BD94,Budget!$A:$A,Budget!AZ:AZ)</f>
        <v>0</v>
      </c>
      <c r="CC94" s="106">
        <f>+_xlfn.XLOOKUP($BD94,Budget!$A:$A,Budget!BA:BA)</f>
        <v>0</v>
      </c>
      <c r="CD94" s="106">
        <f>+_xlfn.XLOOKUP($BD94,Budget!$A:$A,Budget!BB:BB)</f>
        <v>0</v>
      </c>
      <c r="CE94" s="106">
        <f t="shared" si="469"/>
        <v>0</v>
      </c>
      <c r="CF94" s="22"/>
      <c r="CG94" s="22">
        <v>0</v>
      </c>
      <c r="CH94" s="22">
        <v>0</v>
      </c>
      <c r="CI94" s="22">
        <v>0</v>
      </c>
      <c r="CJ94" s="22">
        <v>0</v>
      </c>
      <c r="CK94" s="22">
        <v>0</v>
      </c>
      <c r="CL94" s="22">
        <v>0</v>
      </c>
      <c r="CM94" s="22">
        <v>0</v>
      </c>
      <c r="CN94" s="22">
        <v>0</v>
      </c>
      <c r="CO94" s="22">
        <v>0</v>
      </c>
      <c r="CP94" s="22">
        <v>0</v>
      </c>
      <c r="CQ94" s="22">
        <v>0</v>
      </c>
      <c r="CR94" s="22">
        <v>0</v>
      </c>
      <c r="CS94" s="106">
        <f t="shared" si="470"/>
        <v>0</v>
      </c>
      <c r="CT94" s="16" t="str">
        <f t="shared" si="338"/>
        <v>Delivery Polish - New  Car</v>
      </c>
      <c r="CU94" s="22">
        <f>+VLOOKUP($BD94,'Jan-25'!$A:$J,7,0)</f>
        <v>0</v>
      </c>
      <c r="CV94" s="22">
        <f>+VLOOKUP($BD94,'Feb-25'!$A:$J,7,0)</f>
        <v>0</v>
      </c>
      <c r="CW94" s="22">
        <f>+VLOOKUP($BD94,'Mar-25'!$A:$J,7,0)</f>
        <v>0</v>
      </c>
      <c r="CX94" s="22">
        <f>+VLOOKUP($BD94,'Apr-25'!$A:$J,7,0)</f>
        <v>0</v>
      </c>
      <c r="CY94" s="22">
        <f>+VLOOKUP($BD94,'May-25'!$A:$J,7,0)</f>
        <v>0</v>
      </c>
      <c r="CZ94" s="22">
        <f>+VLOOKUP($BD94,'June-25'!$A:$J,7,0)</f>
        <v>0</v>
      </c>
      <c r="DA94" s="22">
        <f>+VLOOKUP($BD94,'July-25'!$A:$J,7,0)</f>
        <v>0</v>
      </c>
      <c r="DB94" s="22">
        <f>+VLOOKUP($BD94,'Aug-25'!$A:$J,7,0)</f>
        <v>0</v>
      </c>
      <c r="DC94" s="22">
        <f>+VLOOKUP($BD94,'Sep-25'!$A:$J,7,0)</f>
        <v>0</v>
      </c>
      <c r="DD94" s="22">
        <f>+VLOOKUP($BD94,'Oct-25'!$A:$J,7,0)</f>
        <v>0</v>
      </c>
      <c r="DE94" s="22">
        <f>+VLOOKUP($BD94,'Nov-25'!$A:$J,7,0)</f>
        <v>0</v>
      </c>
      <c r="DF94" s="22">
        <f>+VLOOKUP($BD94,'Dec-25'!$A:$J,7,0)</f>
        <v>0</v>
      </c>
      <c r="DG94" s="22">
        <f t="shared" si="471"/>
        <v>0</v>
      </c>
      <c r="DH94" s="118">
        <f t="shared" ref="DH94:DH157" si="478">IFERROR((DD94-DR94)/DR94,0)</f>
        <v>0</v>
      </c>
      <c r="DI94" s="22">
        <f>+_xlfn.XLOOKUP($CT94,Budget!$A:$A,Budget!CD:CD)</f>
        <v>0</v>
      </c>
      <c r="DJ94" s="22">
        <f>+_xlfn.XLOOKUP($CT94,Budget!$A:$A,Budget!CE:CE)</f>
        <v>0</v>
      </c>
      <c r="DK94" s="22">
        <f>+_xlfn.XLOOKUP($CT94,Budget!$A:$A,Budget!CF:CF)</f>
        <v>0</v>
      </c>
      <c r="DL94" s="22">
        <f>+_xlfn.XLOOKUP($CT94,Budget!$A:$A,Budget!CG:CG)</f>
        <v>0</v>
      </c>
      <c r="DM94" s="22">
        <f>+_xlfn.XLOOKUP($CT94,Budget!$A:$A,Budget!CH:CH)</f>
        <v>0</v>
      </c>
      <c r="DN94" s="22">
        <f>+_xlfn.XLOOKUP($CT94,Budget!$A:$A,Budget!CI:CI)</f>
        <v>0</v>
      </c>
      <c r="DO94" s="22">
        <f>+_xlfn.XLOOKUP($CT94,Budget!$A:$A,Budget!CJ:CJ)</f>
        <v>0</v>
      </c>
      <c r="DP94" s="22">
        <f>+_xlfn.XLOOKUP($CT94,Budget!$A:$A,Budget!CK:CK)</f>
        <v>0</v>
      </c>
      <c r="DQ94" s="22">
        <f>+_xlfn.XLOOKUP($CT94,Budget!$A:$A,Budget!CL:CL)</f>
        <v>0</v>
      </c>
      <c r="DR94" s="22">
        <f>+_xlfn.XLOOKUP($CT94,Budget!$A:$A,Budget!CM:CM)</f>
        <v>0</v>
      </c>
      <c r="DS94" s="22">
        <f>+_xlfn.XLOOKUP($CT94,Budget!$A:$A,Budget!CN:CN)</f>
        <v>0</v>
      </c>
      <c r="DT94" s="22">
        <f>+_xlfn.XLOOKUP($CT94,Budget!$A:$A,Budget!CO:CO)</f>
        <v>0</v>
      </c>
      <c r="DU94" s="106">
        <f t="shared" si="472"/>
        <v>0</v>
      </c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106">
        <f t="shared" si="473"/>
        <v>0</v>
      </c>
      <c r="EJ94" s="16" t="str">
        <f t="shared" si="376"/>
        <v>Delivery Polish - New  Car</v>
      </c>
      <c r="EK94" s="22">
        <f>+VLOOKUP($BD94,'Jan-25'!$A:$J,9,0)</f>
        <v>0</v>
      </c>
      <c r="EL94" s="22">
        <f>+VLOOKUP($BD94,'Feb-25'!$A:$J,9,0)</f>
        <v>0</v>
      </c>
      <c r="EM94" s="22">
        <f>+VLOOKUP($BD94,'Mar-25'!$A:$J,9,0)</f>
        <v>0</v>
      </c>
      <c r="EN94" s="22">
        <f>+VLOOKUP($BD94,'Apr-25'!$A:$J,9,0)</f>
        <v>0</v>
      </c>
      <c r="EO94" s="22">
        <f>+VLOOKUP($BD94,'May-25'!$A:$J,9,0)</f>
        <v>0</v>
      </c>
      <c r="EP94" s="22">
        <f>+VLOOKUP($BD94,'June-25'!$A:$J,9,0)</f>
        <v>0</v>
      </c>
      <c r="EQ94" s="22">
        <f>+VLOOKUP($BD94,'July-25'!$A:$J,9,0)</f>
        <v>0</v>
      </c>
      <c r="ER94" s="22">
        <f>+VLOOKUP($BD94,'Aug-25'!$A:$J,9,0)</f>
        <v>0</v>
      </c>
      <c r="ES94" s="22">
        <f>+VLOOKUP($BD94,'Sep-25'!$A:$J,9,0)</f>
        <v>0</v>
      </c>
      <c r="ET94" s="22">
        <f>+VLOOKUP($BD94,'Oct-25'!$A:$J,9,0)</f>
        <v>0</v>
      </c>
      <c r="EU94" s="22">
        <f>+VLOOKUP($BD94,'Nov-25'!$A:$J,9,0)</f>
        <v>0</v>
      </c>
      <c r="EV94" s="22">
        <f>+VLOOKUP($BD94,'Dec-25'!$A:$J,9,0)</f>
        <v>0</v>
      </c>
      <c r="EW94" s="22">
        <f t="shared" si="474"/>
        <v>0</v>
      </c>
      <c r="EX94" s="118">
        <f t="shared" ref="EX94:EX157" si="479">IFERROR((ET94-FH94)/FH94,0)</f>
        <v>0</v>
      </c>
      <c r="EY94" s="22">
        <f>+_xlfn.XLOOKUP($EJ94,Budget!$A:$A,Budget!DE:DE)</f>
        <v>0</v>
      </c>
      <c r="EZ94" s="22">
        <f>+_xlfn.XLOOKUP($EJ94,Budget!$A:$A,Budget!DF:DF)</f>
        <v>0</v>
      </c>
      <c r="FA94" s="22">
        <f>+_xlfn.XLOOKUP($EJ94,Budget!$A:$A,Budget!DG:DG)</f>
        <v>0</v>
      </c>
      <c r="FB94" s="22">
        <f>+_xlfn.XLOOKUP($EJ94,Budget!$A:$A,Budget!DH:DH)</f>
        <v>0</v>
      </c>
      <c r="FC94" s="22">
        <f>+_xlfn.XLOOKUP($EJ94,Budget!$A:$A,Budget!DI:DI)</f>
        <v>0</v>
      </c>
      <c r="FD94" s="22">
        <f>+_xlfn.XLOOKUP($EJ94,Budget!$A:$A,Budget!DJ:DJ)</f>
        <v>0</v>
      </c>
      <c r="FE94" s="22">
        <f>+_xlfn.XLOOKUP($EJ94,Budget!$A:$A,Budget!DK:DK)</f>
        <v>0</v>
      </c>
      <c r="FF94" s="22">
        <f>+_xlfn.XLOOKUP($EJ94,Budget!$A:$A,Budget!DL:DL)</f>
        <v>0</v>
      </c>
      <c r="FG94" s="22">
        <f>+_xlfn.XLOOKUP($EJ94,Budget!$A:$A,Budget!DM:DM)</f>
        <v>0</v>
      </c>
      <c r="FH94" s="22">
        <f>+_xlfn.XLOOKUP($EJ94,Budget!$A:$A,Budget!DN:DN)</f>
        <v>0</v>
      </c>
      <c r="FI94" s="22">
        <f>+_xlfn.XLOOKUP($EJ94,Budget!$A:$A,Budget!DO:DO)</f>
        <v>0</v>
      </c>
      <c r="FJ94" s="22">
        <f>+_xlfn.XLOOKUP($EJ94,Budget!$A:$A,Budget!DP:DP)</f>
        <v>0</v>
      </c>
      <c r="FK94" s="106">
        <f t="shared" si="475"/>
        <v>0</v>
      </c>
    </row>
    <row r="95" spans="1:167" ht="14.45" hidden="1" customHeight="1" outlineLevel="2">
      <c r="A95" s="106">
        <f t="shared" si="462"/>
        <v>0</v>
      </c>
      <c r="B95" s="106">
        <f t="shared" si="462"/>
        <v>0</v>
      </c>
      <c r="C95" s="106">
        <f t="shared" si="462"/>
        <v>0</v>
      </c>
      <c r="D95" s="106">
        <f t="shared" si="462"/>
        <v>0</v>
      </c>
      <c r="E95" s="106">
        <f t="shared" si="462"/>
        <v>0</v>
      </c>
      <c r="F95" s="106">
        <f t="shared" si="462"/>
        <v>0</v>
      </c>
      <c r="G95" s="106">
        <f t="shared" si="462"/>
        <v>0</v>
      </c>
      <c r="H95" s="106">
        <f t="shared" si="462"/>
        <v>0</v>
      </c>
      <c r="I95" s="106">
        <f t="shared" si="462"/>
        <v>0</v>
      </c>
      <c r="J95" s="106">
        <f t="shared" si="462"/>
        <v>0</v>
      </c>
      <c r="K95" s="106">
        <f t="shared" si="462"/>
        <v>0</v>
      </c>
      <c r="L95" s="106">
        <f t="shared" si="462"/>
        <v>0</v>
      </c>
      <c r="M95" s="106">
        <f t="shared" si="410"/>
        <v>0</v>
      </c>
      <c r="N95" s="16" t="s">
        <v>76</v>
      </c>
      <c r="O95" s="22">
        <f t="shared" si="463"/>
        <v>0</v>
      </c>
      <c r="P95" s="22">
        <f t="shared" si="463"/>
        <v>0</v>
      </c>
      <c r="Q95" s="22">
        <f t="shared" si="463"/>
        <v>0</v>
      </c>
      <c r="R95" s="22">
        <f t="shared" si="463"/>
        <v>0</v>
      </c>
      <c r="S95" s="22">
        <f t="shared" si="463"/>
        <v>0</v>
      </c>
      <c r="T95" s="22">
        <f t="shared" si="463"/>
        <v>0</v>
      </c>
      <c r="U95" s="22">
        <f t="shared" si="463"/>
        <v>0</v>
      </c>
      <c r="V95" s="22">
        <f t="shared" si="463"/>
        <v>0</v>
      </c>
      <c r="W95" s="22">
        <f t="shared" si="463"/>
        <v>0</v>
      </c>
      <c r="X95" s="22">
        <f t="shared" si="463"/>
        <v>0</v>
      </c>
      <c r="Y95" s="22">
        <f t="shared" si="463"/>
        <v>0</v>
      </c>
      <c r="Z95" s="22">
        <f t="shared" si="463"/>
        <v>0</v>
      </c>
      <c r="AA95" s="22">
        <f t="shared" si="464"/>
        <v>0</v>
      </c>
      <c r="AB95" s="118">
        <f t="shared" si="476"/>
        <v>0</v>
      </c>
      <c r="AC95" s="22">
        <f t="shared" si="465"/>
        <v>0</v>
      </c>
      <c r="AD95" s="22">
        <f t="shared" si="465"/>
        <v>0</v>
      </c>
      <c r="AE95" s="22">
        <f t="shared" si="465"/>
        <v>0</v>
      </c>
      <c r="AF95" s="22">
        <f t="shared" si="465"/>
        <v>0</v>
      </c>
      <c r="AG95" s="22">
        <f t="shared" si="465"/>
        <v>0</v>
      </c>
      <c r="AH95" s="22">
        <f t="shared" si="465"/>
        <v>0</v>
      </c>
      <c r="AI95" s="22">
        <f t="shared" si="465"/>
        <v>0</v>
      </c>
      <c r="AJ95" s="22">
        <f t="shared" si="465"/>
        <v>0</v>
      </c>
      <c r="AK95" s="22">
        <f t="shared" si="465"/>
        <v>0</v>
      </c>
      <c r="AL95" s="22">
        <f t="shared" si="465"/>
        <v>0</v>
      </c>
      <c r="AM95" s="22">
        <f t="shared" si="465"/>
        <v>0</v>
      </c>
      <c r="AN95" s="22">
        <f t="shared" si="465"/>
        <v>0</v>
      </c>
      <c r="AO95" s="22">
        <f t="shared" si="466"/>
        <v>0</v>
      </c>
      <c r="AQ95" s="106">
        <v>0</v>
      </c>
      <c r="AR95" s="106">
        <v>0</v>
      </c>
      <c r="AS95" s="106">
        <v>0</v>
      </c>
      <c r="AT95" s="106">
        <v>0</v>
      </c>
      <c r="AU95" s="106">
        <v>0</v>
      </c>
      <c r="AV95" s="106">
        <v>0</v>
      </c>
      <c r="AW95" s="106">
        <v>0</v>
      </c>
      <c r="AX95" s="106">
        <v>0</v>
      </c>
      <c r="AY95" s="106">
        <v>0</v>
      </c>
      <c r="AZ95" s="106">
        <v>0</v>
      </c>
      <c r="BA95" s="106">
        <v>0</v>
      </c>
      <c r="BB95" s="106">
        <v>0</v>
      </c>
      <c r="BC95" s="106">
        <f t="shared" si="467"/>
        <v>0</v>
      </c>
      <c r="BD95" s="16" t="str">
        <f t="shared" si="334"/>
        <v>Flat Bed  Charges</v>
      </c>
      <c r="BE95" s="22">
        <f>+VLOOKUP($BD95,'Jan-25'!$A:$J,4,0)</f>
        <v>0</v>
      </c>
      <c r="BF95" s="22">
        <f>+VLOOKUP($BD95,'Feb-25'!$A:$J,4,0)</f>
        <v>0</v>
      </c>
      <c r="BG95" s="22">
        <f>+VLOOKUP($BD95,'Mar-25'!$A:$J,4,0)</f>
        <v>0</v>
      </c>
      <c r="BH95" s="22">
        <f>+VLOOKUP($BD95,'Apr-25'!$A:$J,4,0)</f>
        <v>0</v>
      </c>
      <c r="BI95" s="22">
        <f>+VLOOKUP($BD95,'May-25'!$A:$J,4,0)</f>
        <v>0</v>
      </c>
      <c r="BJ95" s="22">
        <f>+VLOOKUP($BD95,'June-25'!$A:$J,4,0)</f>
        <v>0</v>
      </c>
      <c r="BK95" s="22">
        <f>+VLOOKUP($BD95,'July-25'!$A:$J,4,0)</f>
        <v>0</v>
      </c>
      <c r="BL95" s="22">
        <f>+VLOOKUP($BD95,'Aug-25'!$A:$J,4,0)</f>
        <v>0</v>
      </c>
      <c r="BM95" s="22">
        <f>+VLOOKUP($BD95,'Sep-25'!$A:$J,4,0)</f>
        <v>0</v>
      </c>
      <c r="BN95" s="22">
        <f>+VLOOKUP($BD95,'Oct-25'!$A:$J,4,0)</f>
        <v>0</v>
      </c>
      <c r="BO95" s="22">
        <f>+VLOOKUP($BD95,'Nov-25'!$A:$J,4,0)</f>
        <v>0</v>
      </c>
      <c r="BP95" s="22">
        <f>+VLOOKUP($BD95,'Dec-25'!$A:$J,4,0)</f>
        <v>0</v>
      </c>
      <c r="BQ95" s="22">
        <f t="shared" si="468"/>
        <v>0</v>
      </c>
      <c r="BR95" s="118">
        <f t="shared" si="477"/>
        <v>0</v>
      </c>
      <c r="BS95" s="106">
        <f>+_xlfn.XLOOKUP($BD95,Budget!$A:$A,Budget!AQ:AQ)</f>
        <v>0</v>
      </c>
      <c r="BT95" s="106">
        <f>+_xlfn.XLOOKUP($BD95,Budget!$A:$A,Budget!AR:AR)</f>
        <v>0</v>
      </c>
      <c r="BU95" s="106">
        <f>+_xlfn.XLOOKUP($BD95,Budget!$A:$A,Budget!AS:AS)</f>
        <v>0</v>
      </c>
      <c r="BV95" s="106">
        <f>+_xlfn.XLOOKUP($BD95,Budget!$A:$A,Budget!AT:AT)</f>
        <v>0</v>
      </c>
      <c r="BW95" s="106">
        <f>+_xlfn.XLOOKUP($BD95,Budget!$A:$A,Budget!AU:AU)</f>
        <v>0</v>
      </c>
      <c r="BX95" s="106">
        <f>+_xlfn.XLOOKUP($BD95,Budget!$A:$A,Budget!AV:AV)</f>
        <v>0</v>
      </c>
      <c r="BY95" s="106">
        <f>+_xlfn.XLOOKUP($BD95,Budget!$A:$A,Budget!AW:AW)</f>
        <v>0</v>
      </c>
      <c r="BZ95" s="106">
        <f>+_xlfn.XLOOKUP($BD95,Budget!$A:$A,Budget!AX:AX)</f>
        <v>0</v>
      </c>
      <c r="CA95" s="106">
        <f>+_xlfn.XLOOKUP($BD95,Budget!$A:$A,Budget!AY:AY)</f>
        <v>0</v>
      </c>
      <c r="CB95" s="106">
        <f>+_xlfn.XLOOKUP($BD95,Budget!$A:$A,Budget!AZ:AZ)</f>
        <v>0</v>
      </c>
      <c r="CC95" s="106">
        <f>+_xlfn.XLOOKUP($BD95,Budget!$A:$A,Budget!BA:BA)</f>
        <v>0</v>
      </c>
      <c r="CD95" s="106">
        <f>+_xlfn.XLOOKUP($BD95,Budget!$A:$A,Budget!BB:BB)</f>
        <v>0</v>
      </c>
      <c r="CE95" s="106">
        <f t="shared" si="469"/>
        <v>0</v>
      </c>
      <c r="CF95" s="22"/>
      <c r="CG95" s="22">
        <v>0</v>
      </c>
      <c r="CH95" s="22">
        <v>0</v>
      </c>
      <c r="CI95" s="22">
        <v>0</v>
      </c>
      <c r="CJ95" s="22">
        <v>0</v>
      </c>
      <c r="CK95" s="22">
        <v>0</v>
      </c>
      <c r="CL95" s="22">
        <v>0</v>
      </c>
      <c r="CM95" s="22">
        <v>0</v>
      </c>
      <c r="CN95" s="22">
        <v>0</v>
      </c>
      <c r="CO95" s="22">
        <v>0</v>
      </c>
      <c r="CP95" s="22">
        <v>0</v>
      </c>
      <c r="CQ95" s="22">
        <v>0</v>
      </c>
      <c r="CR95" s="22">
        <v>0</v>
      </c>
      <c r="CS95" s="106">
        <f t="shared" si="470"/>
        <v>0</v>
      </c>
      <c r="CT95" s="16" t="str">
        <f t="shared" si="338"/>
        <v>Flat Bed  Charges</v>
      </c>
      <c r="CU95" s="22">
        <f>+VLOOKUP($BD95,'Jan-25'!$A:$J,7,0)</f>
        <v>0</v>
      </c>
      <c r="CV95" s="22">
        <f>+VLOOKUP($BD95,'Feb-25'!$A:$J,7,0)</f>
        <v>0</v>
      </c>
      <c r="CW95" s="22">
        <f>+VLOOKUP($BD95,'Mar-25'!$A:$J,7,0)</f>
        <v>0</v>
      </c>
      <c r="CX95" s="22">
        <f>+VLOOKUP($BD95,'Apr-25'!$A:$J,7,0)</f>
        <v>0</v>
      </c>
      <c r="CY95" s="22">
        <f>+VLOOKUP($BD95,'May-25'!$A:$J,7,0)</f>
        <v>0</v>
      </c>
      <c r="CZ95" s="22">
        <f>+VLOOKUP($BD95,'June-25'!$A:$J,7,0)</f>
        <v>0</v>
      </c>
      <c r="DA95" s="22">
        <f>+VLOOKUP($BD95,'July-25'!$A:$J,7,0)</f>
        <v>0</v>
      </c>
      <c r="DB95" s="22">
        <f>+VLOOKUP($BD95,'Aug-25'!$A:$J,7,0)</f>
        <v>0</v>
      </c>
      <c r="DC95" s="22">
        <f>+VLOOKUP($BD95,'Sep-25'!$A:$J,7,0)</f>
        <v>0</v>
      </c>
      <c r="DD95" s="22">
        <f>+VLOOKUP($BD95,'Oct-25'!$A:$J,7,0)</f>
        <v>0</v>
      </c>
      <c r="DE95" s="22">
        <f>+VLOOKUP($BD95,'Nov-25'!$A:$J,7,0)</f>
        <v>0</v>
      </c>
      <c r="DF95" s="22">
        <f>+VLOOKUP($BD95,'Dec-25'!$A:$J,7,0)</f>
        <v>0</v>
      </c>
      <c r="DG95" s="22">
        <f t="shared" si="471"/>
        <v>0</v>
      </c>
      <c r="DH95" s="118">
        <f t="shared" si="478"/>
        <v>0</v>
      </c>
      <c r="DI95" s="22">
        <f>+_xlfn.XLOOKUP($CT95,Budget!$A:$A,Budget!CD:CD)</f>
        <v>0</v>
      </c>
      <c r="DJ95" s="22">
        <f>+_xlfn.XLOOKUP($CT95,Budget!$A:$A,Budget!CE:CE)</f>
        <v>0</v>
      </c>
      <c r="DK95" s="22">
        <f>+_xlfn.XLOOKUP($CT95,Budget!$A:$A,Budget!CF:CF)</f>
        <v>0</v>
      </c>
      <c r="DL95" s="22">
        <f>+_xlfn.XLOOKUP($CT95,Budget!$A:$A,Budget!CG:CG)</f>
        <v>0</v>
      </c>
      <c r="DM95" s="22">
        <f>+_xlfn.XLOOKUP($CT95,Budget!$A:$A,Budget!CH:CH)</f>
        <v>0</v>
      </c>
      <c r="DN95" s="22">
        <f>+_xlfn.XLOOKUP($CT95,Budget!$A:$A,Budget!CI:CI)</f>
        <v>0</v>
      </c>
      <c r="DO95" s="22">
        <f>+_xlfn.XLOOKUP($CT95,Budget!$A:$A,Budget!CJ:CJ)</f>
        <v>0</v>
      </c>
      <c r="DP95" s="22">
        <f>+_xlfn.XLOOKUP($CT95,Budget!$A:$A,Budget!CK:CK)</f>
        <v>0</v>
      </c>
      <c r="DQ95" s="22">
        <f>+_xlfn.XLOOKUP($CT95,Budget!$A:$A,Budget!CL:CL)</f>
        <v>0</v>
      </c>
      <c r="DR95" s="22">
        <f>+_xlfn.XLOOKUP($CT95,Budget!$A:$A,Budget!CM:CM)</f>
        <v>0</v>
      </c>
      <c r="DS95" s="22">
        <f>+_xlfn.XLOOKUP($CT95,Budget!$A:$A,Budget!CN:CN)</f>
        <v>0</v>
      </c>
      <c r="DT95" s="22">
        <f>+_xlfn.XLOOKUP($CT95,Budget!$A:$A,Budget!CO:CO)</f>
        <v>0</v>
      </c>
      <c r="DU95" s="106">
        <f t="shared" si="472"/>
        <v>0</v>
      </c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106">
        <f t="shared" si="473"/>
        <v>0</v>
      </c>
      <c r="EJ95" s="16" t="str">
        <f t="shared" si="376"/>
        <v>Flat Bed  Charges</v>
      </c>
      <c r="EK95" s="22">
        <f>+VLOOKUP($BD95,'Jan-25'!$A:$J,9,0)</f>
        <v>0</v>
      </c>
      <c r="EL95" s="22">
        <f>+VLOOKUP($BD95,'Feb-25'!$A:$J,9,0)</f>
        <v>0</v>
      </c>
      <c r="EM95" s="22">
        <f>+VLOOKUP($BD95,'Mar-25'!$A:$J,9,0)</f>
        <v>0</v>
      </c>
      <c r="EN95" s="22">
        <f>+VLOOKUP($BD95,'Apr-25'!$A:$J,9,0)</f>
        <v>0</v>
      </c>
      <c r="EO95" s="22">
        <f>+VLOOKUP($BD95,'May-25'!$A:$J,9,0)</f>
        <v>0</v>
      </c>
      <c r="EP95" s="22">
        <f>+VLOOKUP($BD95,'June-25'!$A:$J,9,0)</f>
        <v>0</v>
      </c>
      <c r="EQ95" s="22">
        <f>+VLOOKUP($BD95,'July-25'!$A:$J,9,0)</f>
        <v>0</v>
      </c>
      <c r="ER95" s="22">
        <f>+VLOOKUP($BD95,'Aug-25'!$A:$J,9,0)</f>
        <v>0</v>
      </c>
      <c r="ES95" s="22">
        <f>+VLOOKUP($BD95,'Sep-25'!$A:$J,9,0)</f>
        <v>0</v>
      </c>
      <c r="ET95" s="22">
        <f>+VLOOKUP($BD95,'Oct-25'!$A:$J,9,0)</f>
        <v>0</v>
      </c>
      <c r="EU95" s="22">
        <f>+VLOOKUP($BD95,'Nov-25'!$A:$J,9,0)</f>
        <v>0</v>
      </c>
      <c r="EV95" s="22">
        <f>+VLOOKUP($BD95,'Dec-25'!$A:$J,9,0)</f>
        <v>0</v>
      </c>
      <c r="EW95" s="22">
        <f t="shared" si="474"/>
        <v>0</v>
      </c>
      <c r="EX95" s="118">
        <f t="shared" si="479"/>
        <v>0</v>
      </c>
      <c r="EY95" s="22">
        <f>+_xlfn.XLOOKUP($EJ95,Budget!$A:$A,Budget!DE:DE)</f>
        <v>0</v>
      </c>
      <c r="EZ95" s="22">
        <f>+_xlfn.XLOOKUP($EJ95,Budget!$A:$A,Budget!DF:DF)</f>
        <v>0</v>
      </c>
      <c r="FA95" s="22">
        <f>+_xlfn.XLOOKUP($EJ95,Budget!$A:$A,Budget!DG:DG)</f>
        <v>0</v>
      </c>
      <c r="FB95" s="22">
        <f>+_xlfn.XLOOKUP($EJ95,Budget!$A:$A,Budget!DH:DH)</f>
        <v>0</v>
      </c>
      <c r="FC95" s="22">
        <f>+_xlfn.XLOOKUP($EJ95,Budget!$A:$A,Budget!DI:DI)</f>
        <v>0</v>
      </c>
      <c r="FD95" s="22">
        <f>+_xlfn.XLOOKUP($EJ95,Budget!$A:$A,Budget!DJ:DJ)</f>
        <v>0</v>
      </c>
      <c r="FE95" s="22">
        <f>+_xlfn.XLOOKUP($EJ95,Budget!$A:$A,Budget!DK:DK)</f>
        <v>0</v>
      </c>
      <c r="FF95" s="22">
        <f>+_xlfn.XLOOKUP($EJ95,Budget!$A:$A,Budget!DL:DL)</f>
        <v>0</v>
      </c>
      <c r="FG95" s="22">
        <f>+_xlfn.XLOOKUP($EJ95,Budget!$A:$A,Budget!DM:DM)</f>
        <v>0</v>
      </c>
      <c r="FH95" s="22">
        <f>+_xlfn.XLOOKUP($EJ95,Budget!$A:$A,Budget!DN:DN)</f>
        <v>0</v>
      </c>
      <c r="FI95" s="22">
        <f>+_xlfn.XLOOKUP($EJ95,Budget!$A:$A,Budget!DO:DO)</f>
        <v>0</v>
      </c>
      <c r="FJ95" s="22">
        <f>+_xlfn.XLOOKUP($EJ95,Budget!$A:$A,Budget!DP:DP)</f>
        <v>0</v>
      </c>
      <c r="FK95" s="106">
        <f t="shared" si="475"/>
        <v>0</v>
      </c>
    </row>
    <row r="96" spans="1:167" ht="14.45" hidden="1" customHeight="1" outlineLevel="2">
      <c r="A96" s="106">
        <f t="shared" si="462"/>
        <v>0</v>
      </c>
      <c r="B96" s="106">
        <f t="shared" si="462"/>
        <v>0</v>
      </c>
      <c r="C96" s="106">
        <f t="shared" si="462"/>
        <v>0</v>
      </c>
      <c r="D96" s="106">
        <f t="shared" si="462"/>
        <v>0</v>
      </c>
      <c r="E96" s="106">
        <f t="shared" si="462"/>
        <v>0</v>
      </c>
      <c r="F96" s="106">
        <f t="shared" si="462"/>
        <v>0</v>
      </c>
      <c r="G96" s="106">
        <f t="shared" si="462"/>
        <v>0</v>
      </c>
      <c r="H96" s="106">
        <f t="shared" si="462"/>
        <v>0</v>
      </c>
      <c r="I96" s="106">
        <f t="shared" si="462"/>
        <v>0</v>
      </c>
      <c r="J96" s="106">
        <f t="shared" si="462"/>
        <v>0</v>
      </c>
      <c r="K96" s="106">
        <f t="shared" si="462"/>
        <v>0</v>
      </c>
      <c r="L96" s="106">
        <f t="shared" si="462"/>
        <v>0</v>
      </c>
      <c r="M96" s="106">
        <f t="shared" si="410"/>
        <v>0</v>
      </c>
      <c r="N96" s="16" t="s">
        <v>77</v>
      </c>
      <c r="O96" s="22">
        <f t="shared" si="463"/>
        <v>43318.9</v>
      </c>
      <c r="P96" s="22">
        <f t="shared" si="463"/>
        <v>0</v>
      </c>
      <c r="Q96" s="22">
        <f t="shared" si="463"/>
        <v>0</v>
      </c>
      <c r="R96" s="22">
        <f t="shared" si="463"/>
        <v>0</v>
      </c>
      <c r="S96" s="22">
        <f t="shared" si="463"/>
        <v>0</v>
      </c>
      <c r="T96" s="22">
        <f t="shared" si="463"/>
        <v>0</v>
      </c>
      <c r="U96" s="22">
        <f t="shared" si="463"/>
        <v>0</v>
      </c>
      <c r="V96" s="22">
        <f t="shared" si="463"/>
        <v>0</v>
      </c>
      <c r="W96" s="22">
        <f t="shared" si="463"/>
        <v>0</v>
      </c>
      <c r="X96" s="22">
        <f t="shared" si="463"/>
        <v>10577</v>
      </c>
      <c r="Y96" s="22">
        <f t="shared" si="463"/>
        <v>0</v>
      </c>
      <c r="Z96" s="22">
        <f t="shared" si="463"/>
        <v>0</v>
      </c>
      <c r="AA96" s="22">
        <f t="shared" si="464"/>
        <v>53895.9</v>
      </c>
      <c r="AB96" s="118">
        <f t="shared" si="476"/>
        <v>0</v>
      </c>
      <c r="AC96" s="22">
        <f t="shared" si="465"/>
        <v>0</v>
      </c>
      <c r="AD96" s="22">
        <f t="shared" si="465"/>
        <v>0</v>
      </c>
      <c r="AE96" s="22">
        <f t="shared" si="465"/>
        <v>0</v>
      </c>
      <c r="AF96" s="22">
        <f t="shared" si="465"/>
        <v>0</v>
      </c>
      <c r="AG96" s="22">
        <f t="shared" si="465"/>
        <v>0</v>
      </c>
      <c r="AH96" s="22">
        <f t="shared" si="465"/>
        <v>0</v>
      </c>
      <c r="AI96" s="22">
        <f t="shared" si="465"/>
        <v>0</v>
      </c>
      <c r="AJ96" s="22">
        <f t="shared" si="465"/>
        <v>0</v>
      </c>
      <c r="AK96" s="22">
        <f t="shared" si="465"/>
        <v>0</v>
      </c>
      <c r="AL96" s="22">
        <f t="shared" si="465"/>
        <v>0</v>
      </c>
      <c r="AM96" s="22">
        <f t="shared" si="465"/>
        <v>0</v>
      </c>
      <c r="AN96" s="22">
        <f t="shared" si="465"/>
        <v>0</v>
      </c>
      <c r="AO96" s="22">
        <f t="shared" si="466"/>
        <v>0</v>
      </c>
      <c r="AQ96" s="106">
        <v>0</v>
      </c>
      <c r="AR96" s="106">
        <v>0</v>
      </c>
      <c r="AS96" s="106">
        <v>0</v>
      </c>
      <c r="AT96" s="106">
        <v>0</v>
      </c>
      <c r="AU96" s="106">
        <v>0</v>
      </c>
      <c r="AV96" s="106">
        <v>0</v>
      </c>
      <c r="AW96" s="106">
        <v>0</v>
      </c>
      <c r="AX96" s="106">
        <v>0</v>
      </c>
      <c r="AY96" s="106">
        <v>0</v>
      </c>
      <c r="AZ96" s="106">
        <v>0</v>
      </c>
      <c r="BA96" s="106">
        <v>0</v>
      </c>
      <c r="BB96" s="106">
        <v>0</v>
      </c>
      <c r="BC96" s="106">
        <f t="shared" si="467"/>
        <v>0</v>
      </c>
      <c r="BD96" s="16" t="str">
        <f t="shared" si="334"/>
        <v>Flatbed Vehicle Expense (KL11CA7195)</v>
      </c>
      <c r="BE96" s="22">
        <f>+VLOOKUP($BD96,'Jan-25'!$A:$J,4,0)</f>
        <v>20841.400000000001</v>
      </c>
      <c r="BF96" s="22">
        <f>+VLOOKUP($BD96,'Feb-25'!$A:$J,4,0)</f>
        <v>0</v>
      </c>
      <c r="BG96" s="22">
        <f>+VLOOKUP($BD96,'Mar-25'!$A:$J,4,0)</f>
        <v>0</v>
      </c>
      <c r="BH96" s="22">
        <f>+VLOOKUP($BD96,'Apr-25'!$A:$J,4,0)</f>
        <v>0</v>
      </c>
      <c r="BI96" s="22">
        <f>+VLOOKUP($BD96,'May-25'!$A:$J,4,0)</f>
        <v>0</v>
      </c>
      <c r="BJ96" s="22">
        <f>+VLOOKUP($BD96,'June-25'!$A:$J,4,0)</f>
        <v>0</v>
      </c>
      <c r="BK96" s="22">
        <f>+VLOOKUP($BD96,'July-25'!$A:$J,4,0)</f>
        <v>0</v>
      </c>
      <c r="BL96" s="22">
        <f>+VLOOKUP($BD96,'Aug-25'!$A:$J,4,0)</f>
        <v>0</v>
      </c>
      <c r="BM96" s="22">
        <f>+VLOOKUP($BD96,'Sep-25'!$A:$J,4,0)</f>
        <v>0</v>
      </c>
      <c r="BN96" s="22">
        <f>+VLOOKUP($BD96,'Oct-25'!$A:$J,4,0)</f>
        <v>10577</v>
      </c>
      <c r="BO96" s="22">
        <f>+VLOOKUP($BD96,'Nov-25'!$A:$J,4,0)</f>
        <v>0</v>
      </c>
      <c r="BP96" s="22">
        <f>+VLOOKUP($BD96,'Dec-25'!$A:$J,4,0)</f>
        <v>0</v>
      </c>
      <c r="BQ96" s="22">
        <f t="shared" si="468"/>
        <v>31418.400000000001</v>
      </c>
      <c r="BR96" s="118">
        <f t="shared" si="477"/>
        <v>0</v>
      </c>
      <c r="BS96" s="106">
        <f>+_xlfn.XLOOKUP($BD96,Budget!$A:$A,Budget!AQ:AQ)</f>
        <v>0</v>
      </c>
      <c r="BT96" s="106">
        <f>+_xlfn.XLOOKUP($BD96,Budget!$A:$A,Budget!AR:AR)</f>
        <v>0</v>
      </c>
      <c r="BU96" s="106">
        <f>+_xlfn.XLOOKUP($BD96,Budget!$A:$A,Budget!AS:AS)</f>
        <v>0</v>
      </c>
      <c r="BV96" s="106">
        <f>+_xlfn.XLOOKUP($BD96,Budget!$A:$A,Budget!AT:AT)</f>
        <v>0</v>
      </c>
      <c r="BW96" s="106">
        <f>+_xlfn.XLOOKUP($BD96,Budget!$A:$A,Budget!AU:AU)</f>
        <v>0</v>
      </c>
      <c r="BX96" s="106">
        <f>+_xlfn.XLOOKUP($BD96,Budget!$A:$A,Budget!AV:AV)</f>
        <v>0</v>
      </c>
      <c r="BY96" s="106">
        <f>+_xlfn.XLOOKUP($BD96,Budget!$A:$A,Budget!AW:AW)</f>
        <v>0</v>
      </c>
      <c r="BZ96" s="106">
        <f>+_xlfn.XLOOKUP($BD96,Budget!$A:$A,Budget!AX:AX)</f>
        <v>0</v>
      </c>
      <c r="CA96" s="106">
        <f>+_xlfn.XLOOKUP($BD96,Budget!$A:$A,Budget!AY:AY)</f>
        <v>0</v>
      </c>
      <c r="CB96" s="106">
        <f>+_xlfn.XLOOKUP($BD96,Budget!$A:$A,Budget!AZ:AZ)</f>
        <v>0</v>
      </c>
      <c r="CC96" s="106">
        <f>+_xlfn.XLOOKUP($BD96,Budget!$A:$A,Budget!BA:BA)</f>
        <v>0</v>
      </c>
      <c r="CD96" s="106">
        <f>+_xlfn.XLOOKUP($BD96,Budget!$A:$A,Budget!BB:BB)</f>
        <v>0</v>
      </c>
      <c r="CE96" s="106">
        <f t="shared" si="469"/>
        <v>0</v>
      </c>
      <c r="CF96" s="22"/>
      <c r="CG96" s="22">
        <v>0</v>
      </c>
      <c r="CH96" s="22">
        <v>0</v>
      </c>
      <c r="CI96" s="22">
        <v>0</v>
      </c>
      <c r="CJ96" s="22">
        <v>0</v>
      </c>
      <c r="CK96" s="22">
        <v>0</v>
      </c>
      <c r="CL96" s="22">
        <v>0</v>
      </c>
      <c r="CM96" s="22">
        <v>0</v>
      </c>
      <c r="CN96" s="22">
        <v>0</v>
      </c>
      <c r="CO96" s="22">
        <v>0</v>
      </c>
      <c r="CP96" s="22">
        <v>0</v>
      </c>
      <c r="CQ96" s="22">
        <v>0</v>
      </c>
      <c r="CR96" s="22">
        <v>0</v>
      </c>
      <c r="CS96" s="106">
        <f t="shared" si="470"/>
        <v>0</v>
      </c>
      <c r="CT96" s="16" t="str">
        <f t="shared" si="338"/>
        <v>Flatbed Vehicle Expense (KL11CA7195)</v>
      </c>
      <c r="CU96" s="22">
        <f>+VLOOKUP($BD96,'Jan-25'!$A:$J,7,0)</f>
        <v>6937.5</v>
      </c>
      <c r="CV96" s="22">
        <f>+VLOOKUP($BD96,'Feb-25'!$A:$J,7,0)</f>
        <v>0</v>
      </c>
      <c r="CW96" s="22">
        <f>+VLOOKUP($BD96,'Mar-25'!$A:$J,7,0)</f>
        <v>0</v>
      </c>
      <c r="CX96" s="22">
        <f>+VLOOKUP($BD96,'Apr-25'!$A:$J,7,0)</f>
        <v>0</v>
      </c>
      <c r="CY96" s="22">
        <f>+VLOOKUP($BD96,'May-25'!$A:$J,7,0)</f>
        <v>0</v>
      </c>
      <c r="CZ96" s="22">
        <f>+VLOOKUP($BD96,'June-25'!$A:$J,7,0)</f>
        <v>0</v>
      </c>
      <c r="DA96" s="22">
        <f>+VLOOKUP($BD96,'July-25'!$A:$J,7,0)</f>
        <v>0</v>
      </c>
      <c r="DB96" s="22">
        <f>+VLOOKUP($BD96,'Aug-25'!$A:$J,7,0)</f>
        <v>0</v>
      </c>
      <c r="DC96" s="22">
        <f>+VLOOKUP($BD96,'Sep-25'!$A:$J,7,0)</f>
        <v>0</v>
      </c>
      <c r="DD96" s="22">
        <f>+VLOOKUP($BD96,'Oct-25'!$A:$J,7,0)</f>
        <v>0</v>
      </c>
      <c r="DE96" s="22">
        <f>+VLOOKUP($BD96,'Nov-25'!$A:$J,7,0)</f>
        <v>0</v>
      </c>
      <c r="DF96" s="22">
        <f>+VLOOKUP($BD96,'Dec-25'!$A:$J,7,0)</f>
        <v>0</v>
      </c>
      <c r="DG96" s="22">
        <f t="shared" si="471"/>
        <v>6937.5</v>
      </c>
      <c r="DH96" s="118">
        <f t="shared" si="478"/>
        <v>0</v>
      </c>
      <c r="DI96" s="22">
        <f>+_xlfn.XLOOKUP($CT96,Budget!$A:$A,Budget!CD:CD)</f>
        <v>0</v>
      </c>
      <c r="DJ96" s="22">
        <f>+_xlfn.XLOOKUP($CT96,Budget!$A:$A,Budget!CE:CE)</f>
        <v>0</v>
      </c>
      <c r="DK96" s="22">
        <f>+_xlfn.XLOOKUP($CT96,Budget!$A:$A,Budget!CF:CF)</f>
        <v>0</v>
      </c>
      <c r="DL96" s="22">
        <f>+_xlfn.XLOOKUP($CT96,Budget!$A:$A,Budget!CG:CG)</f>
        <v>0</v>
      </c>
      <c r="DM96" s="22">
        <f>+_xlfn.XLOOKUP($CT96,Budget!$A:$A,Budget!CH:CH)</f>
        <v>0</v>
      </c>
      <c r="DN96" s="22">
        <f>+_xlfn.XLOOKUP($CT96,Budget!$A:$A,Budget!CI:CI)</f>
        <v>0</v>
      </c>
      <c r="DO96" s="22">
        <f>+_xlfn.XLOOKUP($CT96,Budget!$A:$A,Budget!CJ:CJ)</f>
        <v>0</v>
      </c>
      <c r="DP96" s="22">
        <f>+_xlfn.XLOOKUP($CT96,Budget!$A:$A,Budget!CK:CK)</f>
        <v>0</v>
      </c>
      <c r="DQ96" s="22">
        <f>+_xlfn.XLOOKUP($CT96,Budget!$A:$A,Budget!CL:CL)</f>
        <v>0</v>
      </c>
      <c r="DR96" s="22">
        <f>+_xlfn.XLOOKUP($CT96,Budget!$A:$A,Budget!CM:CM)</f>
        <v>0</v>
      </c>
      <c r="DS96" s="22">
        <f>+_xlfn.XLOOKUP($CT96,Budget!$A:$A,Budget!CN:CN)</f>
        <v>0</v>
      </c>
      <c r="DT96" s="22">
        <f>+_xlfn.XLOOKUP($CT96,Budget!$A:$A,Budget!CO:CO)</f>
        <v>0</v>
      </c>
      <c r="DU96" s="106">
        <f t="shared" si="472"/>
        <v>0</v>
      </c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106">
        <f t="shared" si="473"/>
        <v>0</v>
      </c>
      <c r="EJ96" s="16" t="str">
        <f t="shared" si="376"/>
        <v>Flatbed Vehicle Expense (KL11CA7195)</v>
      </c>
      <c r="EK96" s="22">
        <f>+VLOOKUP($BD96,'Jan-25'!$A:$J,9,0)</f>
        <v>15540</v>
      </c>
      <c r="EL96" s="22">
        <f>+VLOOKUP($BD96,'Feb-25'!$A:$J,9,0)</f>
        <v>0</v>
      </c>
      <c r="EM96" s="22">
        <f>+VLOOKUP($BD96,'Mar-25'!$A:$J,9,0)</f>
        <v>0</v>
      </c>
      <c r="EN96" s="22">
        <f>+VLOOKUP($BD96,'Apr-25'!$A:$J,9,0)</f>
        <v>0</v>
      </c>
      <c r="EO96" s="22">
        <f>+VLOOKUP($BD96,'May-25'!$A:$J,9,0)</f>
        <v>0</v>
      </c>
      <c r="EP96" s="22">
        <f>+VLOOKUP($BD96,'June-25'!$A:$J,9,0)</f>
        <v>0</v>
      </c>
      <c r="EQ96" s="22">
        <f>+VLOOKUP($BD96,'July-25'!$A:$J,9,0)</f>
        <v>0</v>
      </c>
      <c r="ER96" s="22">
        <f>+VLOOKUP($BD96,'Aug-25'!$A:$J,9,0)</f>
        <v>0</v>
      </c>
      <c r="ES96" s="22">
        <f>+VLOOKUP($BD96,'Sep-25'!$A:$J,9,0)</f>
        <v>0</v>
      </c>
      <c r="ET96" s="22">
        <f>+VLOOKUP($BD96,'Oct-25'!$A:$J,9,0)</f>
        <v>0</v>
      </c>
      <c r="EU96" s="22">
        <f>+VLOOKUP($BD96,'Nov-25'!$A:$J,9,0)</f>
        <v>0</v>
      </c>
      <c r="EV96" s="22">
        <f>+VLOOKUP($BD96,'Dec-25'!$A:$J,9,0)</f>
        <v>0</v>
      </c>
      <c r="EW96" s="22">
        <f t="shared" si="474"/>
        <v>15540</v>
      </c>
      <c r="EX96" s="118">
        <f t="shared" si="479"/>
        <v>0</v>
      </c>
      <c r="EY96" s="22">
        <f>+_xlfn.XLOOKUP($EJ96,Budget!$A:$A,Budget!DE:DE)</f>
        <v>0</v>
      </c>
      <c r="EZ96" s="22">
        <f>+_xlfn.XLOOKUP($EJ96,Budget!$A:$A,Budget!DF:DF)</f>
        <v>0</v>
      </c>
      <c r="FA96" s="22">
        <f>+_xlfn.XLOOKUP($EJ96,Budget!$A:$A,Budget!DG:DG)</f>
        <v>0</v>
      </c>
      <c r="FB96" s="22">
        <f>+_xlfn.XLOOKUP($EJ96,Budget!$A:$A,Budget!DH:DH)</f>
        <v>0</v>
      </c>
      <c r="FC96" s="22">
        <f>+_xlfn.XLOOKUP($EJ96,Budget!$A:$A,Budget!DI:DI)</f>
        <v>0</v>
      </c>
      <c r="FD96" s="22">
        <f>+_xlfn.XLOOKUP($EJ96,Budget!$A:$A,Budget!DJ:DJ)</f>
        <v>0</v>
      </c>
      <c r="FE96" s="22">
        <f>+_xlfn.XLOOKUP($EJ96,Budget!$A:$A,Budget!DK:DK)</f>
        <v>0</v>
      </c>
      <c r="FF96" s="22">
        <f>+_xlfn.XLOOKUP($EJ96,Budget!$A:$A,Budget!DL:DL)</f>
        <v>0</v>
      </c>
      <c r="FG96" s="22">
        <f>+_xlfn.XLOOKUP($EJ96,Budget!$A:$A,Budget!DM:DM)</f>
        <v>0</v>
      </c>
      <c r="FH96" s="22">
        <f>+_xlfn.XLOOKUP($EJ96,Budget!$A:$A,Budget!DN:DN)</f>
        <v>0</v>
      </c>
      <c r="FI96" s="22">
        <f>+_xlfn.XLOOKUP($EJ96,Budget!$A:$A,Budget!DO:DO)</f>
        <v>0</v>
      </c>
      <c r="FJ96" s="22">
        <f>+_xlfn.XLOOKUP($EJ96,Budget!$A:$A,Budget!DP:DP)</f>
        <v>0</v>
      </c>
      <c r="FK96" s="106">
        <f t="shared" si="475"/>
        <v>0</v>
      </c>
    </row>
    <row r="97" spans="1:167" ht="14.45" hidden="1" customHeight="1" outlineLevel="2">
      <c r="A97" s="106">
        <f t="shared" si="462"/>
        <v>0</v>
      </c>
      <c r="B97" s="106">
        <f t="shared" si="462"/>
        <v>0</v>
      </c>
      <c r="C97" s="106">
        <f t="shared" si="462"/>
        <v>12256.86</v>
      </c>
      <c r="D97" s="106">
        <f t="shared" si="462"/>
        <v>0</v>
      </c>
      <c r="E97" s="106">
        <f t="shared" si="462"/>
        <v>0</v>
      </c>
      <c r="F97" s="106">
        <f t="shared" si="462"/>
        <v>0</v>
      </c>
      <c r="G97" s="106">
        <f t="shared" si="462"/>
        <v>0</v>
      </c>
      <c r="H97" s="106">
        <f t="shared" si="462"/>
        <v>19250.7</v>
      </c>
      <c r="I97" s="106">
        <f t="shared" si="462"/>
        <v>0</v>
      </c>
      <c r="J97" s="106">
        <f t="shared" si="462"/>
        <v>0</v>
      </c>
      <c r="K97" s="106">
        <f t="shared" si="462"/>
        <v>0</v>
      </c>
      <c r="L97" s="106">
        <f t="shared" si="462"/>
        <v>0</v>
      </c>
      <c r="M97" s="106">
        <f t="shared" si="410"/>
        <v>31507.56</v>
      </c>
      <c r="N97" s="16" t="s">
        <v>78</v>
      </c>
      <c r="O97" s="22">
        <f t="shared" si="463"/>
        <v>0</v>
      </c>
      <c r="P97" s="22">
        <f t="shared" si="463"/>
        <v>0</v>
      </c>
      <c r="Q97" s="22">
        <f t="shared" si="463"/>
        <v>0</v>
      </c>
      <c r="R97" s="22">
        <f t="shared" si="463"/>
        <v>0</v>
      </c>
      <c r="S97" s="22">
        <f t="shared" si="463"/>
        <v>0</v>
      </c>
      <c r="T97" s="22">
        <f t="shared" si="463"/>
        <v>0</v>
      </c>
      <c r="U97" s="22">
        <f t="shared" si="463"/>
        <v>0</v>
      </c>
      <c r="V97" s="22">
        <f t="shared" si="463"/>
        <v>0</v>
      </c>
      <c r="W97" s="22">
        <f t="shared" si="463"/>
        <v>0</v>
      </c>
      <c r="X97" s="22">
        <f t="shared" si="463"/>
        <v>0</v>
      </c>
      <c r="Y97" s="22">
        <f t="shared" si="463"/>
        <v>0</v>
      </c>
      <c r="Z97" s="22">
        <f t="shared" si="463"/>
        <v>0</v>
      </c>
      <c r="AA97" s="22">
        <f t="shared" si="464"/>
        <v>0</v>
      </c>
      <c r="AB97" s="118">
        <f t="shared" si="476"/>
        <v>0</v>
      </c>
      <c r="AC97" s="22">
        <f t="shared" si="465"/>
        <v>0</v>
      </c>
      <c r="AD97" s="22">
        <f t="shared" si="465"/>
        <v>0</v>
      </c>
      <c r="AE97" s="22">
        <f t="shared" si="465"/>
        <v>0</v>
      </c>
      <c r="AF97" s="22">
        <f t="shared" si="465"/>
        <v>0</v>
      </c>
      <c r="AG97" s="22">
        <f t="shared" si="465"/>
        <v>0</v>
      </c>
      <c r="AH97" s="22">
        <f t="shared" si="465"/>
        <v>0</v>
      </c>
      <c r="AI97" s="22">
        <f t="shared" si="465"/>
        <v>0</v>
      </c>
      <c r="AJ97" s="22">
        <f t="shared" si="465"/>
        <v>0</v>
      </c>
      <c r="AK97" s="22">
        <f t="shared" si="465"/>
        <v>0</v>
      </c>
      <c r="AL97" s="22">
        <f t="shared" si="465"/>
        <v>0</v>
      </c>
      <c r="AM97" s="22">
        <f t="shared" si="465"/>
        <v>0</v>
      </c>
      <c r="AN97" s="22">
        <f t="shared" si="465"/>
        <v>0</v>
      </c>
      <c r="AO97" s="22">
        <f t="shared" si="466"/>
        <v>0</v>
      </c>
      <c r="AQ97" s="106">
        <v>0</v>
      </c>
      <c r="AR97" s="106">
        <v>0</v>
      </c>
      <c r="AS97" s="106">
        <v>12256.86</v>
      </c>
      <c r="AT97" s="106">
        <v>0</v>
      </c>
      <c r="AU97" s="106">
        <v>0</v>
      </c>
      <c r="AV97" s="106">
        <v>0</v>
      </c>
      <c r="AW97" s="106">
        <v>0</v>
      </c>
      <c r="AX97" s="106">
        <v>12515.4</v>
      </c>
      <c r="AY97" s="106">
        <v>0</v>
      </c>
      <c r="AZ97" s="106">
        <v>0</v>
      </c>
      <c r="BA97" s="106">
        <v>0</v>
      </c>
      <c r="BB97" s="106">
        <v>0</v>
      </c>
      <c r="BC97" s="106">
        <f t="shared" si="467"/>
        <v>24772.260000000002</v>
      </c>
      <c r="BD97" s="16" t="str">
        <f t="shared" si="334"/>
        <v>Flatbed Vehicle Expenses (KL 11 BK 224 )</v>
      </c>
      <c r="BE97" s="22">
        <f>+VLOOKUP($BD97,'Jan-25'!$A:$J,4,0)</f>
        <v>0</v>
      </c>
      <c r="BF97" s="22">
        <f>+VLOOKUP($BD97,'Feb-25'!$A:$J,4,0)</f>
        <v>0</v>
      </c>
      <c r="BG97" s="22">
        <f>+VLOOKUP($BD97,'Mar-25'!$A:$J,4,0)</f>
        <v>0</v>
      </c>
      <c r="BH97" s="22">
        <f>+VLOOKUP($BD97,'Apr-25'!$A:$J,4,0)</f>
        <v>0</v>
      </c>
      <c r="BI97" s="22">
        <f>+VLOOKUP($BD97,'May-25'!$A:$J,4,0)</f>
        <v>0</v>
      </c>
      <c r="BJ97" s="22">
        <f>+VLOOKUP($BD97,'June-25'!$A:$J,4,0)</f>
        <v>0</v>
      </c>
      <c r="BK97" s="22">
        <f>+VLOOKUP($BD97,'July-25'!$A:$J,4,0)</f>
        <v>0</v>
      </c>
      <c r="BL97" s="22">
        <f>+VLOOKUP($BD97,'Aug-25'!$A:$J,4,0)</f>
        <v>0</v>
      </c>
      <c r="BM97" s="22">
        <f>+VLOOKUP($BD97,'Sep-25'!$A:$J,4,0)</f>
        <v>0</v>
      </c>
      <c r="BN97" s="22">
        <f>+VLOOKUP($BD97,'Oct-25'!$A:$J,4,0)</f>
        <v>0</v>
      </c>
      <c r="BO97" s="22">
        <f>+VLOOKUP($BD97,'Nov-25'!$A:$J,4,0)</f>
        <v>0</v>
      </c>
      <c r="BP97" s="22">
        <f>+VLOOKUP($BD97,'Dec-25'!$A:$J,4,0)</f>
        <v>0</v>
      </c>
      <c r="BQ97" s="22">
        <f t="shared" si="468"/>
        <v>0</v>
      </c>
      <c r="BR97" s="118">
        <f t="shared" si="477"/>
        <v>0</v>
      </c>
      <c r="BS97" s="106">
        <f>+_xlfn.XLOOKUP($BD97,Budget!$A:$A,Budget!AQ:AQ)</f>
        <v>0</v>
      </c>
      <c r="BT97" s="106">
        <f>+_xlfn.XLOOKUP($BD97,Budget!$A:$A,Budget!AR:AR)</f>
        <v>0</v>
      </c>
      <c r="BU97" s="106">
        <f>+_xlfn.XLOOKUP($BD97,Budget!$A:$A,Budget!AS:AS)</f>
        <v>0</v>
      </c>
      <c r="BV97" s="106">
        <f>+_xlfn.XLOOKUP($BD97,Budget!$A:$A,Budget!AT:AT)</f>
        <v>0</v>
      </c>
      <c r="BW97" s="106">
        <f>+_xlfn.XLOOKUP($BD97,Budget!$A:$A,Budget!AU:AU)</f>
        <v>0</v>
      </c>
      <c r="BX97" s="106">
        <f>+_xlfn.XLOOKUP($BD97,Budget!$A:$A,Budget!AV:AV)</f>
        <v>0</v>
      </c>
      <c r="BY97" s="106">
        <f>+_xlfn.XLOOKUP($BD97,Budget!$A:$A,Budget!AW:AW)</f>
        <v>0</v>
      </c>
      <c r="BZ97" s="106">
        <f>+_xlfn.XLOOKUP($BD97,Budget!$A:$A,Budget!AX:AX)</f>
        <v>0</v>
      </c>
      <c r="CA97" s="106">
        <f>+_xlfn.XLOOKUP($BD97,Budget!$A:$A,Budget!AY:AY)</f>
        <v>0</v>
      </c>
      <c r="CB97" s="106">
        <f>+_xlfn.XLOOKUP($BD97,Budget!$A:$A,Budget!AZ:AZ)</f>
        <v>0</v>
      </c>
      <c r="CC97" s="106">
        <f>+_xlfn.XLOOKUP($BD97,Budget!$A:$A,Budget!BA:BA)</f>
        <v>0</v>
      </c>
      <c r="CD97" s="106">
        <f>+_xlfn.XLOOKUP($BD97,Budget!$A:$A,Budget!BB:BB)</f>
        <v>0</v>
      </c>
      <c r="CE97" s="106">
        <f t="shared" si="469"/>
        <v>0</v>
      </c>
      <c r="CF97" s="22"/>
      <c r="CG97" s="22">
        <v>0</v>
      </c>
      <c r="CH97" s="22">
        <v>0</v>
      </c>
      <c r="CI97" s="22">
        <v>0</v>
      </c>
      <c r="CJ97" s="22">
        <v>0</v>
      </c>
      <c r="CK97" s="22">
        <v>0</v>
      </c>
      <c r="CL97" s="22">
        <v>0</v>
      </c>
      <c r="CM97" s="22">
        <v>0</v>
      </c>
      <c r="CN97" s="22">
        <v>6735.3</v>
      </c>
      <c r="CO97" s="22">
        <v>0</v>
      </c>
      <c r="CP97" s="22">
        <v>0</v>
      </c>
      <c r="CQ97" s="22">
        <v>0</v>
      </c>
      <c r="CR97" s="22">
        <v>0</v>
      </c>
      <c r="CS97" s="106">
        <f t="shared" si="470"/>
        <v>6735.3</v>
      </c>
      <c r="CT97" s="16" t="str">
        <f t="shared" si="338"/>
        <v>Flatbed Vehicle Expenses (KL 11 BK 224 )</v>
      </c>
      <c r="CU97" s="22">
        <f>+VLOOKUP($BD97,'Jan-25'!$A:$J,7,0)</f>
        <v>0</v>
      </c>
      <c r="CV97" s="22">
        <f>+VLOOKUP($BD97,'Feb-25'!$A:$J,7,0)</f>
        <v>0</v>
      </c>
      <c r="CW97" s="22">
        <f>+VLOOKUP($BD97,'Mar-25'!$A:$J,7,0)</f>
        <v>0</v>
      </c>
      <c r="CX97" s="22">
        <f>+VLOOKUP($BD97,'Apr-25'!$A:$J,7,0)</f>
        <v>0</v>
      </c>
      <c r="CY97" s="22">
        <f>+VLOOKUP($BD97,'May-25'!$A:$J,7,0)</f>
        <v>0</v>
      </c>
      <c r="CZ97" s="22">
        <f>+VLOOKUP($BD97,'June-25'!$A:$J,7,0)</f>
        <v>0</v>
      </c>
      <c r="DA97" s="22">
        <f>+VLOOKUP($BD97,'July-25'!$A:$J,7,0)</f>
        <v>0</v>
      </c>
      <c r="DB97" s="22">
        <f>+VLOOKUP($BD97,'Aug-25'!$A:$J,7,0)</f>
        <v>0</v>
      </c>
      <c r="DC97" s="22">
        <f>+VLOOKUP($BD97,'Sep-25'!$A:$J,7,0)</f>
        <v>0</v>
      </c>
      <c r="DD97" s="22">
        <f>+VLOOKUP($BD97,'Oct-25'!$A:$J,7,0)</f>
        <v>0</v>
      </c>
      <c r="DE97" s="22">
        <f>+VLOOKUP($BD97,'Nov-25'!$A:$J,7,0)</f>
        <v>0</v>
      </c>
      <c r="DF97" s="22">
        <f>+VLOOKUP($BD97,'Dec-25'!$A:$J,7,0)</f>
        <v>0</v>
      </c>
      <c r="DG97" s="22">
        <f t="shared" si="471"/>
        <v>0</v>
      </c>
      <c r="DH97" s="118">
        <f t="shared" si="478"/>
        <v>0</v>
      </c>
      <c r="DI97" s="22">
        <f>+_xlfn.XLOOKUP($CT97,Budget!$A:$A,Budget!CD:CD)</f>
        <v>0</v>
      </c>
      <c r="DJ97" s="22">
        <f>+_xlfn.XLOOKUP($CT97,Budget!$A:$A,Budget!CE:CE)</f>
        <v>0</v>
      </c>
      <c r="DK97" s="22">
        <f>+_xlfn.XLOOKUP($CT97,Budget!$A:$A,Budget!CF:CF)</f>
        <v>0</v>
      </c>
      <c r="DL97" s="22">
        <f>+_xlfn.XLOOKUP($CT97,Budget!$A:$A,Budget!CG:CG)</f>
        <v>0</v>
      </c>
      <c r="DM97" s="22">
        <f>+_xlfn.XLOOKUP($CT97,Budget!$A:$A,Budget!CH:CH)</f>
        <v>0</v>
      </c>
      <c r="DN97" s="22">
        <f>+_xlfn.XLOOKUP($CT97,Budget!$A:$A,Budget!CI:CI)</f>
        <v>0</v>
      </c>
      <c r="DO97" s="22">
        <f>+_xlfn.XLOOKUP($CT97,Budget!$A:$A,Budget!CJ:CJ)</f>
        <v>0</v>
      </c>
      <c r="DP97" s="22">
        <f>+_xlfn.XLOOKUP($CT97,Budget!$A:$A,Budget!CK:CK)</f>
        <v>0</v>
      </c>
      <c r="DQ97" s="22">
        <f>+_xlfn.XLOOKUP($CT97,Budget!$A:$A,Budget!CL:CL)</f>
        <v>0</v>
      </c>
      <c r="DR97" s="22">
        <f>+_xlfn.XLOOKUP($CT97,Budget!$A:$A,Budget!CM:CM)</f>
        <v>0</v>
      </c>
      <c r="DS97" s="22">
        <f>+_xlfn.XLOOKUP($CT97,Budget!$A:$A,Budget!CN:CN)</f>
        <v>0</v>
      </c>
      <c r="DT97" s="22">
        <f>+_xlfn.XLOOKUP($CT97,Budget!$A:$A,Budget!CO:CO)</f>
        <v>0</v>
      </c>
      <c r="DU97" s="106">
        <f t="shared" si="472"/>
        <v>0</v>
      </c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106">
        <f t="shared" si="473"/>
        <v>0</v>
      </c>
      <c r="EJ97" s="16" t="str">
        <f t="shared" si="376"/>
        <v>Flatbed Vehicle Expenses (KL 11 BK 224 )</v>
      </c>
      <c r="EK97" s="22">
        <f>+VLOOKUP($BD97,'Jan-25'!$A:$J,9,0)</f>
        <v>0</v>
      </c>
      <c r="EL97" s="22">
        <f>+VLOOKUP($BD97,'Feb-25'!$A:$J,9,0)</f>
        <v>0</v>
      </c>
      <c r="EM97" s="22">
        <f>+VLOOKUP($BD97,'Mar-25'!$A:$J,9,0)</f>
        <v>0</v>
      </c>
      <c r="EN97" s="22">
        <f>+VLOOKUP($BD97,'Apr-25'!$A:$J,9,0)</f>
        <v>0</v>
      </c>
      <c r="EO97" s="22">
        <f>+VLOOKUP($BD97,'May-25'!$A:$J,9,0)</f>
        <v>0</v>
      </c>
      <c r="EP97" s="22">
        <f>+VLOOKUP($BD97,'June-25'!$A:$J,9,0)</f>
        <v>0</v>
      </c>
      <c r="EQ97" s="22">
        <f>+VLOOKUP($BD97,'July-25'!$A:$J,9,0)</f>
        <v>0</v>
      </c>
      <c r="ER97" s="22">
        <f>+VLOOKUP($BD97,'Aug-25'!$A:$J,9,0)</f>
        <v>0</v>
      </c>
      <c r="ES97" s="22">
        <f>+VLOOKUP($BD97,'Sep-25'!$A:$J,9,0)</f>
        <v>0</v>
      </c>
      <c r="ET97" s="22">
        <f>+VLOOKUP($BD97,'Oct-25'!$A:$J,9,0)</f>
        <v>0</v>
      </c>
      <c r="EU97" s="22">
        <f>+VLOOKUP($BD97,'Nov-25'!$A:$J,9,0)</f>
        <v>0</v>
      </c>
      <c r="EV97" s="22">
        <f>+VLOOKUP($BD97,'Dec-25'!$A:$J,9,0)</f>
        <v>0</v>
      </c>
      <c r="EW97" s="22">
        <f t="shared" si="474"/>
        <v>0</v>
      </c>
      <c r="EX97" s="118">
        <f t="shared" si="479"/>
        <v>0</v>
      </c>
      <c r="EY97" s="22">
        <f>+_xlfn.XLOOKUP($EJ97,Budget!$A:$A,Budget!DE:DE)</f>
        <v>0</v>
      </c>
      <c r="EZ97" s="22">
        <f>+_xlfn.XLOOKUP($EJ97,Budget!$A:$A,Budget!DF:DF)</f>
        <v>0</v>
      </c>
      <c r="FA97" s="22">
        <f>+_xlfn.XLOOKUP($EJ97,Budget!$A:$A,Budget!DG:DG)</f>
        <v>0</v>
      </c>
      <c r="FB97" s="22">
        <f>+_xlfn.XLOOKUP($EJ97,Budget!$A:$A,Budget!DH:DH)</f>
        <v>0</v>
      </c>
      <c r="FC97" s="22">
        <f>+_xlfn.XLOOKUP($EJ97,Budget!$A:$A,Budget!DI:DI)</f>
        <v>0</v>
      </c>
      <c r="FD97" s="22">
        <f>+_xlfn.XLOOKUP($EJ97,Budget!$A:$A,Budget!DJ:DJ)</f>
        <v>0</v>
      </c>
      <c r="FE97" s="22">
        <f>+_xlfn.XLOOKUP($EJ97,Budget!$A:$A,Budget!DK:DK)</f>
        <v>0</v>
      </c>
      <c r="FF97" s="22">
        <f>+_xlfn.XLOOKUP($EJ97,Budget!$A:$A,Budget!DL:DL)</f>
        <v>0</v>
      </c>
      <c r="FG97" s="22">
        <f>+_xlfn.XLOOKUP($EJ97,Budget!$A:$A,Budget!DM:DM)</f>
        <v>0</v>
      </c>
      <c r="FH97" s="22">
        <f>+_xlfn.XLOOKUP($EJ97,Budget!$A:$A,Budget!DN:DN)</f>
        <v>0</v>
      </c>
      <c r="FI97" s="22">
        <f>+_xlfn.XLOOKUP($EJ97,Budget!$A:$A,Budget!DO:DO)</f>
        <v>0</v>
      </c>
      <c r="FJ97" s="22">
        <f>+_xlfn.XLOOKUP($EJ97,Budget!$A:$A,Budget!DP:DP)</f>
        <v>0</v>
      </c>
      <c r="FK97" s="106">
        <f t="shared" si="475"/>
        <v>0</v>
      </c>
    </row>
    <row r="98" spans="1:167" ht="14.45" hidden="1" customHeight="1" outlineLevel="2">
      <c r="A98" s="106">
        <f t="shared" si="462"/>
        <v>0</v>
      </c>
      <c r="B98" s="106">
        <f t="shared" si="462"/>
        <v>0</v>
      </c>
      <c r="C98" s="106">
        <f t="shared" si="462"/>
        <v>0</v>
      </c>
      <c r="D98" s="106">
        <f t="shared" si="462"/>
        <v>0</v>
      </c>
      <c r="E98" s="106">
        <f t="shared" si="462"/>
        <v>0</v>
      </c>
      <c r="F98" s="106">
        <f t="shared" si="462"/>
        <v>0</v>
      </c>
      <c r="G98" s="106">
        <f t="shared" si="462"/>
        <v>0</v>
      </c>
      <c r="H98" s="106">
        <f t="shared" si="462"/>
        <v>0</v>
      </c>
      <c r="I98" s="106">
        <f t="shared" si="462"/>
        <v>0</v>
      </c>
      <c r="J98" s="106">
        <f t="shared" si="462"/>
        <v>0</v>
      </c>
      <c r="K98" s="106">
        <f t="shared" si="462"/>
        <v>0</v>
      </c>
      <c r="L98" s="106">
        <f t="shared" si="462"/>
        <v>0</v>
      </c>
      <c r="M98" s="106">
        <f t="shared" si="410"/>
        <v>0</v>
      </c>
      <c r="N98" s="16" t="s">
        <v>79</v>
      </c>
      <c r="O98" s="22">
        <f t="shared" si="463"/>
        <v>8192</v>
      </c>
      <c r="P98" s="22">
        <f t="shared" si="463"/>
        <v>0</v>
      </c>
      <c r="Q98" s="22">
        <f t="shared" si="463"/>
        <v>0</v>
      </c>
      <c r="R98" s="22">
        <f t="shared" si="463"/>
        <v>0</v>
      </c>
      <c r="S98" s="22">
        <f t="shared" si="463"/>
        <v>0</v>
      </c>
      <c r="T98" s="22">
        <f t="shared" si="463"/>
        <v>0</v>
      </c>
      <c r="U98" s="22">
        <f t="shared" si="463"/>
        <v>0</v>
      </c>
      <c r="V98" s="22">
        <f t="shared" si="463"/>
        <v>0</v>
      </c>
      <c r="W98" s="22">
        <f t="shared" si="463"/>
        <v>0</v>
      </c>
      <c r="X98" s="22">
        <f t="shared" si="463"/>
        <v>0</v>
      </c>
      <c r="Y98" s="22">
        <f t="shared" si="463"/>
        <v>0</v>
      </c>
      <c r="Z98" s="22">
        <f t="shared" si="463"/>
        <v>0</v>
      </c>
      <c r="AA98" s="22">
        <f t="shared" si="464"/>
        <v>8192</v>
      </c>
      <c r="AB98" s="118">
        <f t="shared" si="476"/>
        <v>0</v>
      </c>
      <c r="AC98" s="22">
        <f t="shared" si="465"/>
        <v>0</v>
      </c>
      <c r="AD98" s="22">
        <f t="shared" si="465"/>
        <v>0</v>
      </c>
      <c r="AE98" s="22">
        <f t="shared" si="465"/>
        <v>0</v>
      </c>
      <c r="AF98" s="22">
        <f t="shared" si="465"/>
        <v>0</v>
      </c>
      <c r="AG98" s="22">
        <f t="shared" si="465"/>
        <v>0</v>
      </c>
      <c r="AH98" s="22">
        <f t="shared" si="465"/>
        <v>0</v>
      </c>
      <c r="AI98" s="22">
        <f t="shared" si="465"/>
        <v>0</v>
      </c>
      <c r="AJ98" s="22">
        <f t="shared" si="465"/>
        <v>0</v>
      </c>
      <c r="AK98" s="22">
        <f t="shared" si="465"/>
        <v>0</v>
      </c>
      <c r="AL98" s="22">
        <f t="shared" si="465"/>
        <v>0</v>
      </c>
      <c r="AM98" s="22">
        <f t="shared" si="465"/>
        <v>0</v>
      </c>
      <c r="AN98" s="22">
        <f t="shared" si="465"/>
        <v>0</v>
      </c>
      <c r="AO98" s="22">
        <f t="shared" si="466"/>
        <v>0</v>
      </c>
      <c r="AQ98" s="106">
        <v>0</v>
      </c>
      <c r="AR98" s="106">
        <v>0</v>
      </c>
      <c r="AS98" s="106">
        <v>0</v>
      </c>
      <c r="AT98" s="106">
        <v>0</v>
      </c>
      <c r="AU98" s="106">
        <v>0</v>
      </c>
      <c r="AV98" s="106">
        <v>0</v>
      </c>
      <c r="AW98" s="106">
        <v>0</v>
      </c>
      <c r="AX98" s="106">
        <v>0</v>
      </c>
      <c r="AY98" s="106">
        <v>0</v>
      </c>
      <c r="AZ98" s="106">
        <v>0</v>
      </c>
      <c r="BA98" s="106">
        <v>0</v>
      </c>
      <c r="BB98" s="106">
        <v>0</v>
      </c>
      <c r="BC98" s="106">
        <f t="shared" si="467"/>
        <v>0</v>
      </c>
      <c r="BD98" s="16" t="str">
        <f t="shared" si="334"/>
        <v>Fuel-New Car Delivery</v>
      </c>
      <c r="BE98" s="22">
        <f>+VLOOKUP($BD98,'Jan-25'!$A:$J,4,0)</f>
        <v>0</v>
      </c>
      <c r="BF98" s="22">
        <f>+VLOOKUP($BD98,'Feb-25'!$A:$J,4,0)</f>
        <v>0</v>
      </c>
      <c r="BG98" s="22">
        <f>+VLOOKUP($BD98,'Mar-25'!$A:$J,4,0)</f>
        <v>0</v>
      </c>
      <c r="BH98" s="22">
        <f>+VLOOKUP($BD98,'Apr-25'!$A:$J,4,0)</f>
        <v>0</v>
      </c>
      <c r="BI98" s="22">
        <f>+VLOOKUP($BD98,'May-25'!$A:$J,4,0)</f>
        <v>0</v>
      </c>
      <c r="BJ98" s="22">
        <f>+VLOOKUP($BD98,'June-25'!$A:$J,4,0)</f>
        <v>0</v>
      </c>
      <c r="BK98" s="22">
        <f>+VLOOKUP($BD98,'July-25'!$A:$J,4,0)</f>
        <v>0</v>
      </c>
      <c r="BL98" s="22">
        <f>+VLOOKUP($BD98,'Aug-25'!$A:$J,4,0)</f>
        <v>0</v>
      </c>
      <c r="BM98" s="22">
        <f>+VLOOKUP($BD98,'Sep-25'!$A:$J,4,0)</f>
        <v>0</v>
      </c>
      <c r="BN98" s="22">
        <f>+VLOOKUP($BD98,'Oct-25'!$A:$J,4,0)</f>
        <v>0</v>
      </c>
      <c r="BO98" s="22">
        <f>+VLOOKUP($BD98,'Nov-25'!$A:$J,4,0)</f>
        <v>0</v>
      </c>
      <c r="BP98" s="22">
        <f>+VLOOKUP($BD98,'Dec-25'!$A:$J,4,0)</f>
        <v>0</v>
      </c>
      <c r="BQ98" s="22">
        <f t="shared" si="468"/>
        <v>0</v>
      </c>
      <c r="BR98" s="118">
        <f t="shared" si="477"/>
        <v>0</v>
      </c>
      <c r="BS98" s="106">
        <f>+_xlfn.XLOOKUP($BD98,Budget!$A:$A,Budget!AQ:AQ)</f>
        <v>0</v>
      </c>
      <c r="BT98" s="106">
        <f>+_xlfn.XLOOKUP($BD98,Budget!$A:$A,Budget!AR:AR)</f>
        <v>0</v>
      </c>
      <c r="BU98" s="106">
        <f>+_xlfn.XLOOKUP($BD98,Budget!$A:$A,Budget!AS:AS)</f>
        <v>0</v>
      </c>
      <c r="BV98" s="106">
        <f>+_xlfn.XLOOKUP($BD98,Budget!$A:$A,Budget!AT:AT)</f>
        <v>0</v>
      </c>
      <c r="BW98" s="106">
        <f>+_xlfn.XLOOKUP($BD98,Budget!$A:$A,Budget!AU:AU)</f>
        <v>0</v>
      </c>
      <c r="BX98" s="106">
        <f>+_xlfn.XLOOKUP($BD98,Budget!$A:$A,Budget!AV:AV)</f>
        <v>0</v>
      </c>
      <c r="BY98" s="106">
        <f>+_xlfn.XLOOKUP($BD98,Budget!$A:$A,Budget!AW:AW)</f>
        <v>0</v>
      </c>
      <c r="BZ98" s="106">
        <f>+_xlfn.XLOOKUP($BD98,Budget!$A:$A,Budget!AX:AX)</f>
        <v>0</v>
      </c>
      <c r="CA98" s="106">
        <f>+_xlfn.XLOOKUP($BD98,Budget!$A:$A,Budget!AY:AY)</f>
        <v>0</v>
      </c>
      <c r="CB98" s="106">
        <f>+_xlfn.XLOOKUP($BD98,Budget!$A:$A,Budget!AZ:AZ)</f>
        <v>0</v>
      </c>
      <c r="CC98" s="106">
        <f>+_xlfn.XLOOKUP($BD98,Budget!$A:$A,Budget!BA:BA)</f>
        <v>0</v>
      </c>
      <c r="CD98" s="106">
        <f>+_xlfn.XLOOKUP($BD98,Budget!$A:$A,Budget!BB:BB)</f>
        <v>0</v>
      </c>
      <c r="CE98" s="106">
        <f t="shared" si="469"/>
        <v>0</v>
      </c>
      <c r="CF98" s="22"/>
      <c r="CG98" s="22">
        <v>0</v>
      </c>
      <c r="CH98" s="22">
        <v>0</v>
      </c>
      <c r="CI98" s="22">
        <v>0</v>
      </c>
      <c r="CJ98" s="22">
        <v>0</v>
      </c>
      <c r="CK98" s="22">
        <v>0</v>
      </c>
      <c r="CL98" s="22">
        <v>0</v>
      </c>
      <c r="CM98" s="22">
        <v>0</v>
      </c>
      <c r="CN98" s="22">
        <v>0</v>
      </c>
      <c r="CO98" s="22">
        <v>0</v>
      </c>
      <c r="CP98" s="22">
        <v>0</v>
      </c>
      <c r="CQ98" s="22">
        <v>0</v>
      </c>
      <c r="CR98" s="22">
        <v>0</v>
      </c>
      <c r="CS98" s="106">
        <f t="shared" si="470"/>
        <v>0</v>
      </c>
      <c r="CT98" s="16" t="str">
        <f t="shared" si="338"/>
        <v>Fuel-New Car Delivery</v>
      </c>
      <c r="CU98" s="22">
        <f>+VLOOKUP($BD98,'Jan-25'!$A:$J,7,0)</f>
        <v>0</v>
      </c>
      <c r="CV98" s="22">
        <f>+VLOOKUP($BD98,'Feb-25'!$A:$J,7,0)</f>
        <v>0</v>
      </c>
      <c r="CW98" s="22">
        <f>+VLOOKUP($BD98,'Mar-25'!$A:$J,7,0)</f>
        <v>0</v>
      </c>
      <c r="CX98" s="22">
        <f>+VLOOKUP($BD98,'Apr-25'!$A:$J,7,0)</f>
        <v>0</v>
      </c>
      <c r="CY98" s="22">
        <f>+VLOOKUP($BD98,'May-25'!$A:$J,7,0)</f>
        <v>0</v>
      </c>
      <c r="CZ98" s="22">
        <f>+VLOOKUP($BD98,'June-25'!$A:$J,7,0)</f>
        <v>0</v>
      </c>
      <c r="DA98" s="22">
        <f>+VLOOKUP($BD98,'July-25'!$A:$J,7,0)</f>
        <v>0</v>
      </c>
      <c r="DB98" s="22">
        <f>+VLOOKUP($BD98,'Aug-25'!$A:$J,7,0)</f>
        <v>0</v>
      </c>
      <c r="DC98" s="22">
        <f>+VLOOKUP($BD98,'Sep-25'!$A:$J,7,0)</f>
        <v>0</v>
      </c>
      <c r="DD98" s="22">
        <f>+VLOOKUP($BD98,'Oct-25'!$A:$J,7,0)</f>
        <v>0</v>
      </c>
      <c r="DE98" s="22">
        <f>+VLOOKUP($BD98,'Nov-25'!$A:$J,7,0)</f>
        <v>0</v>
      </c>
      <c r="DF98" s="22">
        <f>+VLOOKUP($BD98,'Dec-25'!$A:$J,7,0)</f>
        <v>0</v>
      </c>
      <c r="DG98" s="22">
        <f t="shared" si="471"/>
        <v>0</v>
      </c>
      <c r="DH98" s="118">
        <f t="shared" si="478"/>
        <v>0</v>
      </c>
      <c r="DI98" s="22">
        <f>+_xlfn.XLOOKUP($CT98,Budget!$A:$A,Budget!CD:CD)</f>
        <v>0</v>
      </c>
      <c r="DJ98" s="22">
        <f>+_xlfn.XLOOKUP($CT98,Budget!$A:$A,Budget!CE:CE)</f>
        <v>0</v>
      </c>
      <c r="DK98" s="22">
        <f>+_xlfn.XLOOKUP($CT98,Budget!$A:$A,Budget!CF:CF)</f>
        <v>0</v>
      </c>
      <c r="DL98" s="22">
        <f>+_xlfn.XLOOKUP($CT98,Budget!$A:$A,Budget!CG:CG)</f>
        <v>0</v>
      </c>
      <c r="DM98" s="22">
        <f>+_xlfn.XLOOKUP($CT98,Budget!$A:$A,Budget!CH:CH)</f>
        <v>0</v>
      </c>
      <c r="DN98" s="22">
        <f>+_xlfn.XLOOKUP($CT98,Budget!$A:$A,Budget!CI:CI)</f>
        <v>0</v>
      </c>
      <c r="DO98" s="22">
        <f>+_xlfn.XLOOKUP($CT98,Budget!$A:$A,Budget!CJ:CJ)</f>
        <v>0</v>
      </c>
      <c r="DP98" s="22">
        <f>+_xlfn.XLOOKUP($CT98,Budget!$A:$A,Budget!CK:CK)</f>
        <v>0</v>
      </c>
      <c r="DQ98" s="22">
        <f>+_xlfn.XLOOKUP($CT98,Budget!$A:$A,Budget!CL:CL)</f>
        <v>0</v>
      </c>
      <c r="DR98" s="22">
        <f>+_xlfn.XLOOKUP($CT98,Budget!$A:$A,Budget!CM:CM)</f>
        <v>0</v>
      </c>
      <c r="DS98" s="22">
        <f>+_xlfn.XLOOKUP($CT98,Budget!$A:$A,Budget!CN:CN)</f>
        <v>0</v>
      </c>
      <c r="DT98" s="22">
        <f>+_xlfn.XLOOKUP($CT98,Budget!$A:$A,Budget!CO:CO)</f>
        <v>0</v>
      </c>
      <c r="DU98" s="106">
        <f t="shared" si="472"/>
        <v>0</v>
      </c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106">
        <f t="shared" si="473"/>
        <v>0</v>
      </c>
      <c r="EJ98" s="16" t="str">
        <f t="shared" si="376"/>
        <v>Fuel-New Car Delivery</v>
      </c>
      <c r="EK98" s="22">
        <f>+VLOOKUP($BD98,'Jan-25'!$A:$J,9,0)</f>
        <v>8192</v>
      </c>
      <c r="EL98" s="22">
        <f>+VLOOKUP($BD98,'Feb-25'!$A:$J,9,0)</f>
        <v>0</v>
      </c>
      <c r="EM98" s="22">
        <f>+VLOOKUP($BD98,'Mar-25'!$A:$J,9,0)</f>
        <v>0</v>
      </c>
      <c r="EN98" s="22">
        <f>+VLOOKUP($BD98,'Apr-25'!$A:$J,9,0)</f>
        <v>0</v>
      </c>
      <c r="EO98" s="22">
        <f>+VLOOKUP($BD98,'May-25'!$A:$J,9,0)</f>
        <v>0</v>
      </c>
      <c r="EP98" s="22">
        <f>+VLOOKUP($BD98,'June-25'!$A:$J,9,0)</f>
        <v>0</v>
      </c>
      <c r="EQ98" s="22">
        <f>+VLOOKUP($BD98,'July-25'!$A:$J,9,0)</f>
        <v>0</v>
      </c>
      <c r="ER98" s="22">
        <f>+VLOOKUP($BD98,'Aug-25'!$A:$J,9,0)</f>
        <v>0</v>
      </c>
      <c r="ES98" s="22">
        <f>+VLOOKUP($BD98,'Sep-25'!$A:$J,9,0)</f>
        <v>0</v>
      </c>
      <c r="ET98" s="22">
        <f>+VLOOKUP($BD98,'Oct-25'!$A:$J,9,0)</f>
        <v>0</v>
      </c>
      <c r="EU98" s="22">
        <f>+VLOOKUP($BD98,'Nov-25'!$A:$J,9,0)</f>
        <v>0</v>
      </c>
      <c r="EV98" s="22">
        <f>+VLOOKUP($BD98,'Dec-25'!$A:$J,9,0)</f>
        <v>0</v>
      </c>
      <c r="EW98" s="22">
        <f t="shared" si="474"/>
        <v>8192</v>
      </c>
      <c r="EX98" s="118">
        <f t="shared" si="479"/>
        <v>0</v>
      </c>
      <c r="EY98" s="22">
        <f>+_xlfn.XLOOKUP($EJ98,Budget!$A:$A,Budget!DE:DE)</f>
        <v>0</v>
      </c>
      <c r="EZ98" s="22">
        <f>+_xlfn.XLOOKUP($EJ98,Budget!$A:$A,Budget!DF:DF)</f>
        <v>0</v>
      </c>
      <c r="FA98" s="22">
        <f>+_xlfn.XLOOKUP($EJ98,Budget!$A:$A,Budget!DG:DG)</f>
        <v>0</v>
      </c>
      <c r="FB98" s="22">
        <f>+_xlfn.XLOOKUP($EJ98,Budget!$A:$A,Budget!DH:DH)</f>
        <v>0</v>
      </c>
      <c r="FC98" s="22">
        <f>+_xlfn.XLOOKUP($EJ98,Budget!$A:$A,Budget!DI:DI)</f>
        <v>0</v>
      </c>
      <c r="FD98" s="22">
        <f>+_xlfn.XLOOKUP($EJ98,Budget!$A:$A,Budget!DJ:DJ)</f>
        <v>0</v>
      </c>
      <c r="FE98" s="22">
        <f>+_xlfn.XLOOKUP($EJ98,Budget!$A:$A,Budget!DK:DK)</f>
        <v>0</v>
      </c>
      <c r="FF98" s="22">
        <f>+_xlfn.XLOOKUP($EJ98,Budget!$A:$A,Budget!DL:DL)</f>
        <v>0</v>
      </c>
      <c r="FG98" s="22">
        <f>+_xlfn.XLOOKUP($EJ98,Budget!$A:$A,Budget!DM:DM)</f>
        <v>0</v>
      </c>
      <c r="FH98" s="22">
        <f>+_xlfn.XLOOKUP($EJ98,Budget!$A:$A,Budget!DN:DN)</f>
        <v>0</v>
      </c>
      <c r="FI98" s="22">
        <f>+_xlfn.XLOOKUP($EJ98,Budget!$A:$A,Budget!DO:DO)</f>
        <v>0</v>
      </c>
      <c r="FJ98" s="22">
        <f>+_xlfn.XLOOKUP($EJ98,Budget!$A:$A,Budget!DP:DP)</f>
        <v>0</v>
      </c>
      <c r="FK98" s="106">
        <f t="shared" si="475"/>
        <v>0</v>
      </c>
    </row>
    <row r="99" spans="1:167" ht="14.45" hidden="1" customHeight="1" outlineLevel="2">
      <c r="A99" s="106">
        <f t="shared" si="462"/>
        <v>0</v>
      </c>
      <c r="B99" s="106">
        <f t="shared" si="462"/>
        <v>0</v>
      </c>
      <c r="C99" s="106">
        <f t="shared" si="462"/>
        <v>0</v>
      </c>
      <c r="D99" s="106">
        <f t="shared" si="462"/>
        <v>0</v>
      </c>
      <c r="E99" s="106">
        <f t="shared" si="462"/>
        <v>0</v>
      </c>
      <c r="F99" s="106">
        <f t="shared" si="462"/>
        <v>0</v>
      </c>
      <c r="G99" s="106">
        <f t="shared" si="462"/>
        <v>0</v>
      </c>
      <c r="H99" s="106">
        <f t="shared" si="462"/>
        <v>0</v>
      </c>
      <c r="I99" s="106">
        <f t="shared" si="462"/>
        <v>0</v>
      </c>
      <c r="J99" s="106">
        <f t="shared" si="462"/>
        <v>0</v>
      </c>
      <c r="K99" s="106">
        <f t="shared" si="462"/>
        <v>0</v>
      </c>
      <c r="L99" s="106">
        <f t="shared" si="462"/>
        <v>0</v>
      </c>
      <c r="M99" s="106">
        <f t="shared" si="410"/>
        <v>0</v>
      </c>
      <c r="N99" s="16" t="s">
        <v>80</v>
      </c>
      <c r="O99" s="22">
        <f t="shared" si="463"/>
        <v>0</v>
      </c>
      <c r="P99" s="22">
        <f t="shared" si="463"/>
        <v>0</v>
      </c>
      <c r="Q99" s="22">
        <f t="shared" si="463"/>
        <v>0</v>
      </c>
      <c r="R99" s="22">
        <f t="shared" si="463"/>
        <v>0</v>
      </c>
      <c r="S99" s="22">
        <f t="shared" si="463"/>
        <v>0</v>
      </c>
      <c r="T99" s="22">
        <f t="shared" si="463"/>
        <v>0</v>
      </c>
      <c r="U99" s="22">
        <f t="shared" si="463"/>
        <v>0</v>
      </c>
      <c r="V99" s="22">
        <f t="shared" si="463"/>
        <v>0</v>
      </c>
      <c r="W99" s="22">
        <f t="shared" si="463"/>
        <v>0</v>
      </c>
      <c r="X99" s="22">
        <f t="shared" si="463"/>
        <v>0</v>
      </c>
      <c r="Y99" s="22">
        <f t="shared" si="463"/>
        <v>0</v>
      </c>
      <c r="Z99" s="22">
        <f t="shared" si="463"/>
        <v>0</v>
      </c>
      <c r="AA99" s="22">
        <f t="shared" si="464"/>
        <v>0</v>
      </c>
      <c r="AB99" s="118">
        <f t="shared" si="476"/>
        <v>0</v>
      </c>
      <c r="AC99" s="22">
        <f t="shared" si="465"/>
        <v>0</v>
      </c>
      <c r="AD99" s="22">
        <f t="shared" si="465"/>
        <v>0</v>
      </c>
      <c r="AE99" s="22">
        <f t="shared" si="465"/>
        <v>0</v>
      </c>
      <c r="AF99" s="22">
        <f t="shared" si="465"/>
        <v>0</v>
      </c>
      <c r="AG99" s="22">
        <f t="shared" si="465"/>
        <v>0</v>
      </c>
      <c r="AH99" s="22">
        <f t="shared" si="465"/>
        <v>0</v>
      </c>
      <c r="AI99" s="22">
        <f t="shared" si="465"/>
        <v>0</v>
      </c>
      <c r="AJ99" s="22">
        <f t="shared" si="465"/>
        <v>0</v>
      </c>
      <c r="AK99" s="22">
        <f t="shared" si="465"/>
        <v>0</v>
      </c>
      <c r="AL99" s="22">
        <f t="shared" si="465"/>
        <v>0</v>
      </c>
      <c r="AM99" s="22">
        <f t="shared" si="465"/>
        <v>0</v>
      </c>
      <c r="AN99" s="22">
        <f t="shared" si="465"/>
        <v>0</v>
      </c>
      <c r="AO99" s="22">
        <f t="shared" si="466"/>
        <v>0</v>
      </c>
      <c r="AQ99" s="106">
        <v>0</v>
      </c>
      <c r="AR99" s="106">
        <v>0</v>
      </c>
      <c r="AS99" s="106">
        <v>0</v>
      </c>
      <c r="AT99" s="106">
        <v>0</v>
      </c>
      <c r="AU99" s="106">
        <v>0</v>
      </c>
      <c r="AV99" s="106">
        <v>0</v>
      </c>
      <c r="AW99" s="106">
        <v>0</v>
      </c>
      <c r="AX99" s="106">
        <v>0</v>
      </c>
      <c r="AY99" s="106">
        <v>0</v>
      </c>
      <c r="AZ99" s="106">
        <v>0</v>
      </c>
      <c r="BA99" s="106">
        <v>0</v>
      </c>
      <c r="BB99" s="106">
        <v>0</v>
      </c>
      <c r="BC99" s="106">
        <f t="shared" si="467"/>
        <v>0</v>
      </c>
      <c r="BD99" s="16" t="str">
        <f t="shared" si="334"/>
        <v>New Car - PDI Transportation</v>
      </c>
      <c r="BE99" s="22">
        <f>+VLOOKUP($BD99,'Jan-25'!$A:$J,4,0)</f>
        <v>0</v>
      </c>
      <c r="BF99" s="22">
        <f>+VLOOKUP($BD99,'Feb-25'!$A:$J,4,0)</f>
        <v>0</v>
      </c>
      <c r="BG99" s="22">
        <f>+VLOOKUP($BD99,'Mar-25'!$A:$J,4,0)</f>
        <v>0</v>
      </c>
      <c r="BH99" s="22">
        <f>+VLOOKUP($BD99,'Apr-25'!$A:$J,4,0)</f>
        <v>0</v>
      </c>
      <c r="BI99" s="22">
        <f>+VLOOKUP($BD99,'May-25'!$A:$J,4,0)</f>
        <v>0</v>
      </c>
      <c r="BJ99" s="22">
        <f>+VLOOKUP($BD99,'June-25'!$A:$J,4,0)</f>
        <v>0</v>
      </c>
      <c r="BK99" s="22">
        <f>+VLOOKUP($BD99,'July-25'!$A:$J,4,0)</f>
        <v>0</v>
      </c>
      <c r="BL99" s="22">
        <f>+VLOOKUP($BD99,'Aug-25'!$A:$J,4,0)</f>
        <v>0</v>
      </c>
      <c r="BM99" s="22">
        <f>+VLOOKUP($BD99,'Sep-25'!$A:$J,4,0)</f>
        <v>0</v>
      </c>
      <c r="BN99" s="22">
        <f>+VLOOKUP($BD99,'Oct-25'!$A:$J,4,0)</f>
        <v>0</v>
      </c>
      <c r="BO99" s="22">
        <f>+VLOOKUP($BD99,'Nov-25'!$A:$J,4,0)</f>
        <v>0</v>
      </c>
      <c r="BP99" s="22">
        <f>+VLOOKUP($BD99,'Dec-25'!$A:$J,4,0)</f>
        <v>0</v>
      </c>
      <c r="BQ99" s="22">
        <f t="shared" si="468"/>
        <v>0</v>
      </c>
      <c r="BR99" s="118">
        <f t="shared" si="477"/>
        <v>0</v>
      </c>
      <c r="BS99" s="106">
        <f>+_xlfn.XLOOKUP($BD99,Budget!$A:$A,Budget!AQ:AQ)</f>
        <v>0</v>
      </c>
      <c r="BT99" s="106">
        <f>+_xlfn.XLOOKUP($BD99,Budget!$A:$A,Budget!AR:AR)</f>
        <v>0</v>
      </c>
      <c r="BU99" s="106">
        <f>+_xlfn.XLOOKUP($BD99,Budget!$A:$A,Budget!AS:AS)</f>
        <v>0</v>
      </c>
      <c r="BV99" s="106">
        <f>+_xlfn.XLOOKUP($BD99,Budget!$A:$A,Budget!AT:AT)</f>
        <v>0</v>
      </c>
      <c r="BW99" s="106">
        <f>+_xlfn.XLOOKUP($BD99,Budget!$A:$A,Budget!AU:AU)</f>
        <v>0</v>
      </c>
      <c r="BX99" s="106">
        <f>+_xlfn.XLOOKUP($BD99,Budget!$A:$A,Budget!AV:AV)</f>
        <v>0</v>
      </c>
      <c r="BY99" s="106">
        <f>+_xlfn.XLOOKUP($BD99,Budget!$A:$A,Budget!AW:AW)</f>
        <v>0</v>
      </c>
      <c r="BZ99" s="106">
        <f>+_xlfn.XLOOKUP($BD99,Budget!$A:$A,Budget!AX:AX)</f>
        <v>0</v>
      </c>
      <c r="CA99" s="106">
        <f>+_xlfn.XLOOKUP($BD99,Budget!$A:$A,Budget!AY:AY)</f>
        <v>0</v>
      </c>
      <c r="CB99" s="106">
        <f>+_xlfn.XLOOKUP($BD99,Budget!$A:$A,Budget!AZ:AZ)</f>
        <v>0</v>
      </c>
      <c r="CC99" s="106">
        <f>+_xlfn.XLOOKUP($BD99,Budget!$A:$A,Budget!BA:BA)</f>
        <v>0</v>
      </c>
      <c r="CD99" s="106">
        <f>+_xlfn.XLOOKUP($BD99,Budget!$A:$A,Budget!BB:BB)</f>
        <v>0</v>
      </c>
      <c r="CE99" s="106">
        <f t="shared" si="469"/>
        <v>0</v>
      </c>
      <c r="CF99" s="22"/>
      <c r="CG99" s="22">
        <v>0</v>
      </c>
      <c r="CH99" s="22">
        <v>0</v>
      </c>
      <c r="CI99" s="22">
        <v>0</v>
      </c>
      <c r="CJ99" s="22">
        <v>0</v>
      </c>
      <c r="CK99" s="22">
        <v>0</v>
      </c>
      <c r="CL99" s="22">
        <v>0</v>
      </c>
      <c r="CM99" s="22">
        <v>0</v>
      </c>
      <c r="CN99" s="22">
        <v>0</v>
      </c>
      <c r="CO99" s="22">
        <v>0</v>
      </c>
      <c r="CP99" s="22">
        <v>0</v>
      </c>
      <c r="CQ99" s="22">
        <v>0</v>
      </c>
      <c r="CR99" s="22">
        <v>0</v>
      </c>
      <c r="CS99" s="106">
        <f t="shared" si="470"/>
        <v>0</v>
      </c>
      <c r="CT99" s="16" t="str">
        <f t="shared" si="338"/>
        <v>New Car - PDI Transportation</v>
      </c>
      <c r="CU99" s="22">
        <f>+VLOOKUP($BD99,'Jan-25'!$A:$J,7,0)</f>
        <v>0</v>
      </c>
      <c r="CV99" s="22">
        <f>+VLOOKUP($BD99,'Feb-25'!$A:$J,7,0)</f>
        <v>0</v>
      </c>
      <c r="CW99" s="22">
        <f>+VLOOKUP($BD99,'Mar-25'!$A:$J,7,0)</f>
        <v>0</v>
      </c>
      <c r="CX99" s="22">
        <f>+VLOOKUP($BD99,'Apr-25'!$A:$J,7,0)</f>
        <v>0</v>
      </c>
      <c r="CY99" s="22">
        <f>+VLOOKUP($BD99,'May-25'!$A:$J,7,0)</f>
        <v>0</v>
      </c>
      <c r="CZ99" s="22">
        <f>+VLOOKUP($BD99,'June-25'!$A:$J,7,0)</f>
        <v>0</v>
      </c>
      <c r="DA99" s="22">
        <f>+VLOOKUP($BD99,'July-25'!$A:$J,7,0)</f>
        <v>0</v>
      </c>
      <c r="DB99" s="22">
        <f>+VLOOKUP($BD99,'Aug-25'!$A:$J,7,0)</f>
        <v>0</v>
      </c>
      <c r="DC99" s="22">
        <f>+VLOOKUP($BD99,'Sep-25'!$A:$J,7,0)</f>
        <v>0</v>
      </c>
      <c r="DD99" s="22">
        <f>+VLOOKUP($BD99,'Oct-25'!$A:$J,7,0)</f>
        <v>0</v>
      </c>
      <c r="DE99" s="22">
        <f>+VLOOKUP($BD99,'Nov-25'!$A:$J,7,0)</f>
        <v>0</v>
      </c>
      <c r="DF99" s="22">
        <f>+VLOOKUP($BD99,'Dec-25'!$A:$J,7,0)</f>
        <v>0</v>
      </c>
      <c r="DG99" s="22">
        <f t="shared" si="471"/>
        <v>0</v>
      </c>
      <c r="DH99" s="118">
        <f t="shared" si="478"/>
        <v>0</v>
      </c>
      <c r="DI99" s="22">
        <f>+_xlfn.XLOOKUP($CT99,Budget!$A:$A,Budget!CD:CD)</f>
        <v>0</v>
      </c>
      <c r="DJ99" s="22">
        <f>+_xlfn.XLOOKUP($CT99,Budget!$A:$A,Budget!CE:CE)</f>
        <v>0</v>
      </c>
      <c r="DK99" s="22">
        <f>+_xlfn.XLOOKUP($CT99,Budget!$A:$A,Budget!CF:CF)</f>
        <v>0</v>
      </c>
      <c r="DL99" s="22">
        <f>+_xlfn.XLOOKUP($CT99,Budget!$A:$A,Budget!CG:CG)</f>
        <v>0</v>
      </c>
      <c r="DM99" s="22">
        <f>+_xlfn.XLOOKUP($CT99,Budget!$A:$A,Budget!CH:CH)</f>
        <v>0</v>
      </c>
      <c r="DN99" s="22">
        <f>+_xlfn.XLOOKUP($CT99,Budget!$A:$A,Budget!CI:CI)</f>
        <v>0</v>
      </c>
      <c r="DO99" s="22">
        <f>+_xlfn.XLOOKUP($CT99,Budget!$A:$A,Budget!CJ:CJ)</f>
        <v>0</v>
      </c>
      <c r="DP99" s="22">
        <f>+_xlfn.XLOOKUP($CT99,Budget!$A:$A,Budget!CK:CK)</f>
        <v>0</v>
      </c>
      <c r="DQ99" s="22">
        <f>+_xlfn.XLOOKUP($CT99,Budget!$A:$A,Budget!CL:CL)</f>
        <v>0</v>
      </c>
      <c r="DR99" s="22">
        <f>+_xlfn.XLOOKUP($CT99,Budget!$A:$A,Budget!CM:CM)</f>
        <v>0</v>
      </c>
      <c r="DS99" s="22">
        <f>+_xlfn.XLOOKUP($CT99,Budget!$A:$A,Budget!CN:CN)</f>
        <v>0</v>
      </c>
      <c r="DT99" s="22">
        <f>+_xlfn.XLOOKUP($CT99,Budget!$A:$A,Budget!CO:CO)</f>
        <v>0</v>
      </c>
      <c r="DU99" s="106">
        <f t="shared" si="472"/>
        <v>0</v>
      </c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106">
        <f t="shared" si="473"/>
        <v>0</v>
      </c>
      <c r="EJ99" s="16" t="str">
        <f t="shared" si="376"/>
        <v>New Car - PDI Transportation</v>
      </c>
      <c r="EK99" s="22">
        <f>+VLOOKUP($BD99,'Jan-25'!$A:$J,9,0)</f>
        <v>0</v>
      </c>
      <c r="EL99" s="22">
        <f>+VLOOKUP($BD99,'Feb-25'!$A:$J,9,0)</f>
        <v>0</v>
      </c>
      <c r="EM99" s="22">
        <f>+VLOOKUP($BD99,'Mar-25'!$A:$J,9,0)</f>
        <v>0</v>
      </c>
      <c r="EN99" s="22">
        <f>+VLOOKUP($BD99,'Apr-25'!$A:$J,9,0)</f>
        <v>0</v>
      </c>
      <c r="EO99" s="22">
        <f>+VLOOKUP($BD99,'May-25'!$A:$J,9,0)</f>
        <v>0</v>
      </c>
      <c r="EP99" s="22">
        <f>+VLOOKUP($BD99,'June-25'!$A:$J,9,0)</f>
        <v>0</v>
      </c>
      <c r="EQ99" s="22">
        <f>+VLOOKUP($BD99,'July-25'!$A:$J,9,0)</f>
        <v>0</v>
      </c>
      <c r="ER99" s="22">
        <f>+VLOOKUP($BD99,'Aug-25'!$A:$J,9,0)</f>
        <v>0</v>
      </c>
      <c r="ES99" s="22">
        <f>+VLOOKUP($BD99,'Sep-25'!$A:$J,9,0)</f>
        <v>0</v>
      </c>
      <c r="ET99" s="22">
        <f>+VLOOKUP($BD99,'Oct-25'!$A:$J,9,0)</f>
        <v>0</v>
      </c>
      <c r="EU99" s="22">
        <f>+VLOOKUP($BD99,'Nov-25'!$A:$J,9,0)</f>
        <v>0</v>
      </c>
      <c r="EV99" s="22">
        <f>+VLOOKUP($BD99,'Dec-25'!$A:$J,9,0)</f>
        <v>0</v>
      </c>
      <c r="EW99" s="22">
        <f t="shared" si="474"/>
        <v>0</v>
      </c>
      <c r="EX99" s="118">
        <f t="shared" si="479"/>
        <v>0</v>
      </c>
      <c r="EY99" s="22">
        <f>+_xlfn.XLOOKUP($EJ99,Budget!$A:$A,Budget!DE:DE)</f>
        <v>0</v>
      </c>
      <c r="EZ99" s="22">
        <f>+_xlfn.XLOOKUP($EJ99,Budget!$A:$A,Budget!DF:DF)</f>
        <v>0</v>
      </c>
      <c r="FA99" s="22">
        <f>+_xlfn.XLOOKUP($EJ99,Budget!$A:$A,Budget!DG:DG)</f>
        <v>0</v>
      </c>
      <c r="FB99" s="22">
        <f>+_xlfn.XLOOKUP($EJ99,Budget!$A:$A,Budget!DH:DH)</f>
        <v>0</v>
      </c>
      <c r="FC99" s="22">
        <f>+_xlfn.XLOOKUP($EJ99,Budget!$A:$A,Budget!DI:DI)</f>
        <v>0</v>
      </c>
      <c r="FD99" s="22">
        <f>+_xlfn.XLOOKUP($EJ99,Budget!$A:$A,Budget!DJ:DJ)</f>
        <v>0</v>
      </c>
      <c r="FE99" s="22">
        <f>+_xlfn.XLOOKUP($EJ99,Budget!$A:$A,Budget!DK:DK)</f>
        <v>0</v>
      </c>
      <c r="FF99" s="22">
        <f>+_xlfn.XLOOKUP($EJ99,Budget!$A:$A,Budget!DL:DL)</f>
        <v>0</v>
      </c>
      <c r="FG99" s="22">
        <f>+_xlfn.XLOOKUP($EJ99,Budget!$A:$A,Budget!DM:DM)</f>
        <v>0</v>
      </c>
      <c r="FH99" s="22">
        <f>+_xlfn.XLOOKUP($EJ99,Budget!$A:$A,Budget!DN:DN)</f>
        <v>0</v>
      </c>
      <c r="FI99" s="22">
        <f>+_xlfn.XLOOKUP($EJ99,Budget!$A:$A,Budget!DO:DO)</f>
        <v>0</v>
      </c>
      <c r="FJ99" s="22">
        <f>+_xlfn.XLOOKUP($EJ99,Budget!$A:$A,Budget!DP:DP)</f>
        <v>0</v>
      </c>
      <c r="FK99" s="106">
        <f t="shared" si="475"/>
        <v>0</v>
      </c>
    </row>
    <row r="100" spans="1:167" ht="14.45" hidden="1" customHeight="1" outlineLevel="2">
      <c r="A100" s="106">
        <f t="shared" si="462"/>
        <v>0</v>
      </c>
      <c r="B100" s="106">
        <f t="shared" si="462"/>
        <v>0</v>
      </c>
      <c r="C100" s="106">
        <f t="shared" si="462"/>
        <v>0</v>
      </c>
      <c r="D100" s="106">
        <f t="shared" si="462"/>
        <v>0</v>
      </c>
      <c r="E100" s="106">
        <f t="shared" si="462"/>
        <v>0</v>
      </c>
      <c r="F100" s="106">
        <f t="shared" si="462"/>
        <v>0</v>
      </c>
      <c r="G100" s="106">
        <f t="shared" si="462"/>
        <v>0</v>
      </c>
      <c r="H100" s="106">
        <f t="shared" si="462"/>
        <v>0</v>
      </c>
      <c r="I100" s="106">
        <f t="shared" si="462"/>
        <v>0</v>
      </c>
      <c r="J100" s="106">
        <f t="shared" si="462"/>
        <v>0</v>
      </c>
      <c r="K100" s="106">
        <f t="shared" si="462"/>
        <v>0</v>
      </c>
      <c r="L100" s="106">
        <f t="shared" si="462"/>
        <v>0</v>
      </c>
      <c r="M100" s="106">
        <f t="shared" si="410"/>
        <v>0</v>
      </c>
      <c r="N100" s="16" t="s">
        <v>81</v>
      </c>
      <c r="O100" s="22">
        <f t="shared" si="463"/>
        <v>0</v>
      </c>
      <c r="P100" s="22">
        <f t="shared" si="463"/>
        <v>0</v>
      </c>
      <c r="Q100" s="22">
        <f t="shared" si="463"/>
        <v>0</v>
      </c>
      <c r="R100" s="22">
        <f t="shared" si="463"/>
        <v>0</v>
      </c>
      <c r="S100" s="22">
        <f t="shared" si="463"/>
        <v>0</v>
      </c>
      <c r="T100" s="22">
        <f t="shared" si="463"/>
        <v>0</v>
      </c>
      <c r="U100" s="22">
        <f t="shared" si="463"/>
        <v>0</v>
      </c>
      <c r="V100" s="22">
        <f t="shared" si="463"/>
        <v>0</v>
      </c>
      <c r="W100" s="22">
        <f t="shared" si="463"/>
        <v>0</v>
      </c>
      <c r="X100" s="22">
        <f t="shared" si="463"/>
        <v>0</v>
      </c>
      <c r="Y100" s="22">
        <f t="shared" si="463"/>
        <v>0</v>
      </c>
      <c r="Z100" s="22">
        <f t="shared" si="463"/>
        <v>0</v>
      </c>
      <c r="AA100" s="22">
        <f t="shared" si="464"/>
        <v>0</v>
      </c>
      <c r="AB100" s="118">
        <f t="shared" si="476"/>
        <v>0</v>
      </c>
      <c r="AC100" s="22">
        <f t="shared" si="465"/>
        <v>0</v>
      </c>
      <c r="AD100" s="22">
        <f t="shared" si="465"/>
        <v>0</v>
      </c>
      <c r="AE100" s="22">
        <f t="shared" si="465"/>
        <v>0</v>
      </c>
      <c r="AF100" s="22">
        <f t="shared" si="465"/>
        <v>0</v>
      </c>
      <c r="AG100" s="22">
        <f t="shared" si="465"/>
        <v>0</v>
      </c>
      <c r="AH100" s="22">
        <f t="shared" si="465"/>
        <v>0</v>
      </c>
      <c r="AI100" s="22">
        <f t="shared" si="465"/>
        <v>0</v>
      </c>
      <c r="AJ100" s="22">
        <f t="shared" si="465"/>
        <v>0</v>
      </c>
      <c r="AK100" s="22">
        <f t="shared" si="465"/>
        <v>0</v>
      </c>
      <c r="AL100" s="22">
        <f t="shared" si="465"/>
        <v>0</v>
      </c>
      <c r="AM100" s="22">
        <f t="shared" si="465"/>
        <v>0</v>
      </c>
      <c r="AN100" s="22">
        <f t="shared" si="465"/>
        <v>0</v>
      </c>
      <c r="AO100" s="22">
        <f t="shared" si="466"/>
        <v>0</v>
      </c>
      <c r="AQ100" s="106">
        <v>0</v>
      </c>
      <c r="AR100" s="106">
        <v>0</v>
      </c>
      <c r="AS100" s="106">
        <v>0</v>
      </c>
      <c r="AT100" s="106">
        <v>0</v>
      </c>
      <c r="AU100" s="106">
        <v>0</v>
      </c>
      <c r="AV100" s="106">
        <v>0</v>
      </c>
      <c r="AW100" s="106">
        <v>0</v>
      </c>
      <c r="AX100" s="106">
        <v>0</v>
      </c>
      <c r="AY100" s="106">
        <v>0</v>
      </c>
      <c r="AZ100" s="106">
        <v>0</v>
      </c>
      <c r="BA100" s="106">
        <v>0</v>
      </c>
      <c r="BB100" s="106">
        <v>0</v>
      </c>
      <c r="BC100" s="106">
        <f t="shared" si="467"/>
        <v>0</v>
      </c>
      <c r="BD100" s="16" t="str">
        <f t="shared" si="334"/>
        <v>New Car - PDI Washing</v>
      </c>
      <c r="BE100" s="22">
        <f>+VLOOKUP($BD100,'Jan-25'!$A:$J,4,0)</f>
        <v>0</v>
      </c>
      <c r="BF100" s="22">
        <f>+VLOOKUP($BD100,'Feb-25'!$A:$J,4,0)</f>
        <v>0</v>
      </c>
      <c r="BG100" s="22">
        <f>+VLOOKUP($BD100,'Mar-25'!$A:$J,4,0)</f>
        <v>0</v>
      </c>
      <c r="BH100" s="22">
        <f>+VLOOKUP($BD100,'Apr-25'!$A:$J,4,0)</f>
        <v>0</v>
      </c>
      <c r="BI100" s="22">
        <f>+VLOOKUP($BD100,'May-25'!$A:$J,4,0)</f>
        <v>0</v>
      </c>
      <c r="BJ100" s="22">
        <f>+VLOOKUP($BD100,'June-25'!$A:$J,4,0)</f>
        <v>0</v>
      </c>
      <c r="BK100" s="22">
        <f>+VLOOKUP($BD100,'July-25'!$A:$J,4,0)</f>
        <v>0</v>
      </c>
      <c r="BL100" s="22">
        <f>+VLOOKUP($BD100,'Aug-25'!$A:$J,4,0)</f>
        <v>0</v>
      </c>
      <c r="BM100" s="22">
        <f>+VLOOKUP($BD100,'Sep-25'!$A:$J,4,0)</f>
        <v>0</v>
      </c>
      <c r="BN100" s="22">
        <f>+VLOOKUP($BD100,'Oct-25'!$A:$J,4,0)</f>
        <v>0</v>
      </c>
      <c r="BO100" s="22">
        <f>+VLOOKUP($BD100,'Nov-25'!$A:$J,4,0)</f>
        <v>0</v>
      </c>
      <c r="BP100" s="22">
        <f>+VLOOKUP($BD100,'Dec-25'!$A:$J,4,0)</f>
        <v>0</v>
      </c>
      <c r="BQ100" s="22">
        <f t="shared" si="468"/>
        <v>0</v>
      </c>
      <c r="BR100" s="118">
        <f t="shared" si="477"/>
        <v>0</v>
      </c>
      <c r="BS100" s="106">
        <f>+_xlfn.XLOOKUP($BD100,Budget!$A:$A,Budget!AQ:AQ)</f>
        <v>0</v>
      </c>
      <c r="BT100" s="106">
        <f>+_xlfn.XLOOKUP($BD100,Budget!$A:$A,Budget!AR:AR)</f>
        <v>0</v>
      </c>
      <c r="BU100" s="106">
        <f>+_xlfn.XLOOKUP($BD100,Budget!$A:$A,Budget!AS:AS)</f>
        <v>0</v>
      </c>
      <c r="BV100" s="106">
        <f>+_xlfn.XLOOKUP($BD100,Budget!$A:$A,Budget!AT:AT)</f>
        <v>0</v>
      </c>
      <c r="BW100" s="106">
        <f>+_xlfn.XLOOKUP($BD100,Budget!$A:$A,Budget!AU:AU)</f>
        <v>0</v>
      </c>
      <c r="BX100" s="106">
        <f>+_xlfn.XLOOKUP($BD100,Budget!$A:$A,Budget!AV:AV)</f>
        <v>0</v>
      </c>
      <c r="BY100" s="106">
        <f>+_xlfn.XLOOKUP($BD100,Budget!$A:$A,Budget!AW:AW)</f>
        <v>0</v>
      </c>
      <c r="BZ100" s="106">
        <f>+_xlfn.XLOOKUP($BD100,Budget!$A:$A,Budget!AX:AX)</f>
        <v>0</v>
      </c>
      <c r="CA100" s="106">
        <f>+_xlfn.XLOOKUP($BD100,Budget!$A:$A,Budget!AY:AY)</f>
        <v>0</v>
      </c>
      <c r="CB100" s="106">
        <f>+_xlfn.XLOOKUP($BD100,Budget!$A:$A,Budget!AZ:AZ)</f>
        <v>0</v>
      </c>
      <c r="CC100" s="106">
        <f>+_xlfn.XLOOKUP($BD100,Budget!$A:$A,Budget!BA:BA)</f>
        <v>0</v>
      </c>
      <c r="CD100" s="106">
        <f>+_xlfn.XLOOKUP($BD100,Budget!$A:$A,Budget!BB:BB)</f>
        <v>0</v>
      </c>
      <c r="CE100" s="106">
        <f t="shared" si="469"/>
        <v>0</v>
      </c>
      <c r="CF100" s="22"/>
      <c r="CG100" s="22">
        <v>0</v>
      </c>
      <c r="CH100" s="22">
        <v>0</v>
      </c>
      <c r="CI100" s="22">
        <v>0</v>
      </c>
      <c r="CJ100" s="22">
        <v>0</v>
      </c>
      <c r="CK100" s="22">
        <v>0</v>
      </c>
      <c r="CL100" s="22">
        <v>0</v>
      </c>
      <c r="CM100" s="22">
        <v>0</v>
      </c>
      <c r="CN100" s="22">
        <v>0</v>
      </c>
      <c r="CO100" s="22">
        <v>0</v>
      </c>
      <c r="CP100" s="22">
        <v>0</v>
      </c>
      <c r="CQ100" s="22">
        <v>0</v>
      </c>
      <c r="CR100" s="22">
        <v>0</v>
      </c>
      <c r="CS100" s="106">
        <f t="shared" si="470"/>
        <v>0</v>
      </c>
      <c r="CT100" s="16" t="str">
        <f t="shared" si="338"/>
        <v>New Car - PDI Washing</v>
      </c>
      <c r="CU100" s="22">
        <f>+VLOOKUP($BD100,'Jan-25'!$A:$J,7,0)</f>
        <v>0</v>
      </c>
      <c r="CV100" s="22">
        <f>+VLOOKUP($BD100,'Feb-25'!$A:$J,7,0)</f>
        <v>0</v>
      </c>
      <c r="CW100" s="22">
        <f>+VLOOKUP($BD100,'Mar-25'!$A:$J,7,0)</f>
        <v>0</v>
      </c>
      <c r="CX100" s="22">
        <f>+VLOOKUP($BD100,'Apr-25'!$A:$J,7,0)</f>
        <v>0</v>
      </c>
      <c r="CY100" s="22">
        <f>+VLOOKUP($BD100,'May-25'!$A:$J,7,0)</f>
        <v>0</v>
      </c>
      <c r="CZ100" s="22">
        <f>+VLOOKUP($BD100,'June-25'!$A:$J,7,0)</f>
        <v>0</v>
      </c>
      <c r="DA100" s="22">
        <f>+VLOOKUP($BD100,'July-25'!$A:$J,7,0)</f>
        <v>0</v>
      </c>
      <c r="DB100" s="22">
        <f>+VLOOKUP($BD100,'Aug-25'!$A:$J,7,0)</f>
        <v>0</v>
      </c>
      <c r="DC100" s="22">
        <f>+VLOOKUP($BD100,'Sep-25'!$A:$J,7,0)</f>
        <v>0</v>
      </c>
      <c r="DD100" s="22">
        <f>+VLOOKUP($BD100,'Oct-25'!$A:$J,7,0)</f>
        <v>0</v>
      </c>
      <c r="DE100" s="22">
        <f>+VLOOKUP($BD100,'Nov-25'!$A:$J,7,0)</f>
        <v>0</v>
      </c>
      <c r="DF100" s="22">
        <f>+VLOOKUP($BD100,'Dec-25'!$A:$J,7,0)</f>
        <v>0</v>
      </c>
      <c r="DG100" s="22">
        <f t="shared" si="471"/>
        <v>0</v>
      </c>
      <c r="DH100" s="118">
        <f t="shared" si="478"/>
        <v>0</v>
      </c>
      <c r="DI100" s="22">
        <f>+_xlfn.XLOOKUP($CT100,Budget!$A:$A,Budget!CD:CD)</f>
        <v>0</v>
      </c>
      <c r="DJ100" s="22">
        <f>+_xlfn.XLOOKUP($CT100,Budget!$A:$A,Budget!CE:CE)</f>
        <v>0</v>
      </c>
      <c r="DK100" s="22">
        <f>+_xlfn.XLOOKUP($CT100,Budget!$A:$A,Budget!CF:CF)</f>
        <v>0</v>
      </c>
      <c r="DL100" s="22">
        <f>+_xlfn.XLOOKUP($CT100,Budget!$A:$A,Budget!CG:CG)</f>
        <v>0</v>
      </c>
      <c r="DM100" s="22">
        <f>+_xlfn.XLOOKUP($CT100,Budget!$A:$A,Budget!CH:CH)</f>
        <v>0</v>
      </c>
      <c r="DN100" s="22">
        <f>+_xlfn.XLOOKUP($CT100,Budget!$A:$A,Budget!CI:CI)</f>
        <v>0</v>
      </c>
      <c r="DO100" s="22">
        <f>+_xlfn.XLOOKUP($CT100,Budget!$A:$A,Budget!CJ:CJ)</f>
        <v>0</v>
      </c>
      <c r="DP100" s="22">
        <f>+_xlfn.XLOOKUP($CT100,Budget!$A:$A,Budget!CK:CK)</f>
        <v>0</v>
      </c>
      <c r="DQ100" s="22">
        <f>+_xlfn.XLOOKUP($CT100,Budget!$A:$A,Budget!CL:CL)</f>
        <v>0</v>
      </c>
      <c r="DR100" s="22">
        <f>+_xlfn.XLOOKUP($CT100,Budget!$A:$A,Budget!CM:CM)</f>
        <v>0</v>
      </c>
      <c r="DS100" s="22">
        <f>+_xlfn.XLOOKUP($CT100,Budget!$A:$A,Budget!CN:CN)</f>
        <v>0</v>
      </c>
      <c r="DT100" s="22">
        <f>+_xlfn.XLOOKUP($CT100,Budget!$A:$A,Budget!CO:CO)</f>
        <v>0</v>
      </c>
      <c r="DU100" s="106">
        <f t="shared" si="472"/>
        <v>0</v>
      </c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106">
        <f t="shared" si="473"/>
        <v>0</v>
      </c>
      <c r="EJ100" s="16" t="str">
        <f t="shared" si="376"/>
        <v>New Car - PDI Washing</v>
      </c>
      <c r="EK100" s="22">
        <f>+VLOOKUP($BD100,'Jan-25'!$A:$J,9,0)</f>
        <v>0</v>
      </c>
      <c r="EL100" s="22">
        <f>+VLOOKUP($BD100,'Feb-25'!$A:$J,9,0)</f>
        <v>0</v>
      </c>
      <c r="EM100" s="22">
        <f>+VLOOKUP($BD100,'Mar-25'!$A:$J,9,0)</f>
        <v>0</v>
      </c>
      <c r="EN100" s="22">
        <f>+VLOOKUP($BD100,'Apr-25'!$A:$J,9,0)</f>
        <v>0</v>
      </c>
      <c r="EO100" s="22">
        <f>+VLOOKUP($BD100,'May-25'!$A:$J,9,0)</f>
        <v>0</v>
      </c>
      <c r="EP100" s="22">
        <f>+VLOOKUP($BD100,'June-25'!$A:$J,9,0)</f>
        <v>0</v>
      </c>
      <c r="EQ100" s="22">
        <f>+VLOOKUP($BD100,'July-25'!$A:$J,9,0)</f>
        <v>0</v>
      </c>
      <c r="ER100" s="22">
        <f>+VLOOKUP($BD100,'Aug-25'!$A:$J,9,0)</f>
        <v>0</v>
      </c>
      <c r="ES100" s="22">
        <f>+VLOOKUP($BD100,'Sep-25'!$A:$J,9,0)</f>
        <v>0</v>
      </c>
      <c r="ET100" s="22">
        <f>+VLOOKUP($BD100,'Oct-25'!$A:$J,9,0)</f>
        <v>0</v>
      </c>
      <c r="EU100" s="22">
        <f>+VLOOKUP($BD100,'Nov-25'!$A:$J,9,0)</f>
        <v>0</v>
      </c>
      <c r="EV100" s="22">
        <f>+VLOOKUP($BD100,'Dec-25'!$A:$J,9,0)</f>
        <v>0</v>
      </c>
      <c r="EW100" s="22">
        <f t="shared" si="474"/>
        <v>0</v>
      </c>
      <c r="EX100" s="118">
        <f t="shared" si="479"/>
        <v>0</v>
      </c>
      <c r="EY100" s="22">
        <f>+_xlfn.XLOOKUP($EJ100,Budget!$A:$A,Budget!DE:DE)</f>
        <v>0</v>
      </c>
      <c r="EZ100" s="22">
        <f>+_xlfn.XLOOKUP($EJ100,Budget!$A:$A,Budget!DF:DF)</f>
        <v>0</v>
      </c>
      <c r="FA100" s="22">
        <f>+_xlfn.XLOOKUP($EJ100,Budget!$A:$A,Budget!DG:DG)</f>
        <v>0</v>
      </c>
      <c r="FB100" s="22">
        <f>+_xlfn.XLOOKUP($EJ100,Budget!$A:$A,Budget!DH:DH)</f>
        <v>0</v>
      </c>
      <c r="FC100" s="22">
        <f>+_xlfn.XLOOKUP($EJ100,Budget!$A:$A,Budget!DI:DI)</f>
        <v>0</v>
      </c>
      <c r="FD100" s="22">
        <f>+_xlfn.XLOOKUP($EJ100,Budget!$A:$A,Budget!DJ:DJ)</f>
        <v>0</v>
      </c>
      <c r="FE100" s="22">
        <f>+_xlfn.XLOOKUP($EJ100,Budget!$A:$A,Budget!DK:DK)</f>
        <v>0</v>
      </c>
      <c r="FF100" s="22">
        <f>+_xlfn.XLOOKUP($EJ100,Budget!$A:$A,Budget!DL:DL)</f>
        <v>0</v>
      </c>
      <c r="FG100" s="22">
        <f>+_xlfn.XLOOKUP($EJ100,Budget!$A:$A,Budget!DM:DM)</f>
        <v>0</v>
      </c>
      <c r="FH100" s="22">
        <f>+_xlfn.XLOOKUP($EJ100,Budget!$A:$A,Budget!DN:DN)</f>
        <v>0</v>
      </c>
      <c r="FI100" s="22">
        <f>+_xlfn.XLOOKUP($EJ100,Budget!$A:$A,Budget!DO:DO)</f>
        <v>0</v>
      </c>
      <c r="FJ100" s="22">
        <f>+_xlfn.XLOOKUP($EJ100,Budget!$A:$A,Budget!DP:DP)</f>
        <v>0</v>
      </c>
      <c r="FK100" s="106">
        <f t="shared" si="475"/>
        <v>0</v>
      </c>
    </row>
    <row r="101" spans="1:167" ht="14.45" hidden="1" customHeight="1" outlineLevel="2">
      <c r="A101" s="106">
        <f t="shared" si="462"/>
        <v>0</v>
      </c>
      <c r="B101" s="106">
        <f t="shared" si="462"/>
        <v>0</v>
      </c>
      <c r="C101" s="106">
        <f t="shared" si="462"/>
        <v>0</v>
      </c>
      <c r="D101" s="106">
        <f t="shared" si="462"/>
        <v>0</v>
      </c>
      <c r="E101" s="106">
        <f t="shared" si="462"/>
        <v>0</v>
      </c>
      <c r="F101" s="106">
        <f t="shared" si="462"/>
        <v>0</v>
      </c>
      <c r="G101" s="106">
        <f t="shared" si="462"/>
        <v>0</v>
      </c>
      <c r="H101" s="106">
        <f t="shared" si="462"/>
        <v>0</v>
      </c>
      <c r="I101" s="106">
        <f t="shared" si="462"/>
        <v>0</v>
      </c>
      <c r="J101" s="106">
        <f t="shared" si="462"/>
        <v>0</v>
      </c>
      <c r="K101" s="106">
        <f t="shared" si="462"/>
        <v>0</v>
      </c>
      <c r="L101" s="106">
        <f t="shared" si="462"/>
        <v>0</v>
      </c>
      <c r="M101" s="106">
        <f t="shared" si="410"/>
        <v>0</v>
      </c>
      <c r="N101" s="16" t="s">
        <v>82</v>
      </c>
      <c r="O101" s="22">
        <f t="shared" si="463"/>
        <v>0</v>
      </c>
      <c r="P101" s="22">
        <f t="shared" si="463"/>
        <v>0</v>
      </c>
      <c r="Q101" s="22">
        <f t="shared" si="463"/>
        <v>0</v>
      </c>
      <c r="R101" s="22">
        <f t="shared" si="463"/>
        <v>0</v>
      </c>
      <c r="S101" s="22">
        <f t="shared" si="463"/>
        <v>0</v>
      </c>
      <c r="T101" s="22">
        <f t="shared" si="463"/>
        <v>0</v>
      </c>
      <c r="U101" s="22">
        <f t="shared" si="463"/>
        <v>0</v>
      </c>
      <c r="V101" s="22">
        <f t="shared" si="463"/>
        <v>0</v>
      </c>
      <c r="W101" s="22">
        <f t="shared" si="463"/>
        <v>0</v>
      </c>
      <c r="X101" s="22">
        <f t="shared" si="463"/>
        <v>0</v>
      </c>
      <c r="Y101" s="22">
        <f t="shared" si="463"/>
        <v>0</v>
      </c>
      <c r="Z101" s="22">
        <f t="shared" si="463"/>
        <v>0</v>
      </c>
      <c r="AA101" s="22">
        <f t="shared" si="464"/>
        <v>0</v>
      </c>
      <c r="AB101" s="118">
        <f t="shared" si="476"/>
        <v>0</v>
      </c>
      <c r="AC101" s="22">
        <f t="shared" si="465"/>
        <v>0</v>
      </c>
      <c r="AD101" s="22">
        <f t="shared" si="465"/>
        <v>0</v>
      </c>
      <c r="AE101" s="22">
        <f t="shared" si="465"/>
        <v>0</v>
      </c>
      <c r="AF101" s="22">
        <f t="shared" si="465"/>
        <v>0</v>
      </c>
      <c r="AG101" s="22">
        <f t="shared" si="465"/>
        <v>0</v>
      </c>
      <c r="AH101" s="22">
        <f t="shared" si="465"/>
        <v>0</v>
      </c>
      <c r="AI101" s="22">
        <f t="shared" si="465"/>
        <v>0</v>
      </c>
      <c r="AJ101" s="22">
        <f t="shared" si="465"/>
        <v>0</v>
      </c>
      <c r="AK101" s="22">
        <f t="shared" si="465"/>
        <v>0</v>
      </c>
      <c r="AL101" s="22">
        <f t="shared" si="465"/>
        <v>0</v>
      </c>
      <c r="AM101" s="22">
        <f t="shared" si="465"/>
        <v>0</v>
      </c>
      <c r="AN101" s="22">
        <f t="shared" si="465"/>
        <v>0</v>
      </c>
      <c r="AO101" s="22">
        <f t="shared" si="466"/>
        <v>0</v>
      </c>
      <c r="AQ101" s="106">
        <v>0</v>
      </c>
      <c r="AR101" s="106">
        <v>0</v>
      </c>
      <c r="AS101" s="106">
        <v>0</v>
      </c>
      <c r="AT101" s="106">
        <v>0</v>
      </c>
      <c r="AU101" s="106">
        <v>0</v>
      </c>
      <c r="AV101" s="106">
        <v>0</v>
      </c>
      <c r="AW101" s="106">
        <v>0</v>
      </c>
      <c r="AX101" s="106">
        <v>0</v>
      </c>
      <c r="AY101" s="106">
        <v>0</v>
      </c>
      <c r="AZ101" s="106">
        <v>0</v>
      </c>
      <c r="BA101" s="106">
        <v>0</v>
      </c>
      <c r="BB101" s="106">
        <v>0</v>
      </c>
      <c r="BC101" s="106">
        <f t="shared" si="467"/>
        <v>0</v>
      </c>
      <c r="BD101" s="16" t="str">
        <f t="shared" si="334"/>
        <v>New Car Delivery-Gifts</v>
      </c>
      <c r="BE101" s="22">
        <f>+VLOOKUP($BD101,'Jan-25'!$A:$J,4,0)</f>
        <v>0</v>
      </c>
      <c r="BF101" s="22">
        <f>+VLOOKUP($BD101,'Feb-25'!$A:$J,4,0)</f>
        <v>0</v>
      </c>
      <c r="BG101" s="22">
        <f>+VLOOKUP($BD101,'Mar-25'!$A:$J,4,0)</f>
        <v>0</v>
      </c>
      <c r="BH101" s="22">
        <f>+VLOOKUP($BD101,'Apr-25'!$A:$J,4,0)</f>
        <v>0</v>
      </c>
      <c r="BI101" s="22">
        <f>+VLOOKUP($BD101,'May-25'!$A:$J,4,0)</f>
        <v>0</v>
      </c>
      <c r="BJ101" s="22">
        <f>+VLOOKUP($BD101,'June-25'!$A:$J,4,0)</f>
        <v>0</v>
      </c>
      <c r="BK101" s="22">
        <f>+VLOOKUP($BD101,'July-25'!$A:$J,4,0)</f>
        <v>0</v>
      </c>
      <c r="BL101" s="22">
        <f>+VLOOKUP($BD101,'Aug-25'!$A:$J,4,0)</f>
        <v>0</v>
      </c>
      <c r="BM101" s="22">
        <f>+VLOOKUP($BD101,'Sep-25'!$A:$J,4,0)</f>
        <v>0</v>
      </c>
      <c r="BN101" s="22">
        <f>+VLOOKUP($BD101,'Oct-25'!$A:$J,4,0)</f>
        <v>0</v>
      </c>
      <c r="BO101" s="22">
        <f>+VLOOKUP($BD101,'Nov-25'!$A:$J,4,0)</f>
        <v>0</v>
      </c>
      <c r="BP101" s="22">
        <f>+VLOOKUP($BD101,'Dec-25'!$A:$J,4,0)</f>
        <v>0</v>
      </c>
      <c r="BQ101" s="22">
        <f t="shared" si="468"/>
        <v>0</v>
      </c>
      <c r="BR101" s="118">
        <f t="shared" si="477"/>
        <v>0</v>
      </c>
      <c r="BS101" s="106">
        <f>+_xlfn.XLOOKUP($BD101,Budget!$A:$A,Budget!AQ:AQ)</f>
        <v>0</v>
      </c>
      <c r="BT101" s="106">
        <f>+_xlfn.XLOOKUP($BD101,Budget!$A:$A,Budget!AR:AR)</f>
        <v>0</v>
      </c>
      <c r="BU101" s="106">
        <f>+_xlfn.XLOOKUP($BD101,Budget!$A:$A,Budget!AS:AS)</f>
        <v>0</v>
      </c>
      <c r="BV101" s="106">
        <f>+_xlfn.XLOOKUP($BD101,Budget!$A:$A,Budget!AT:AT)</f>
        <v>0</v>
      </c>
      <c r="BW101" s="106">
        <f>+_xlfn.XLOOKUP($BD101,Budget!$A:$A,Budget!AU:AU)</f>
        <v>0</v>
      </c>
      <c r="BX101" s="106">
        <f>+_xlfn.XLOOKUP($BD101,Budget!$A:$A,Budget!AV:AV)</f>
        <v>0</v>
      </c>
      <c r="BY101" s="106">
        <f>+_xlfn.XLOOKUP($BD101,Budget!$A:$A,Budget!AW:AW)</f>
        <v>0</v>
      </c>
      <c r="BZ101" s="106">
        <f>+_xlfn.XLOOKUP($BD101,Budget!$A:$A,Budget!AX:AX)</f>
        <v>0</v>
      </c>
      <c r="CA101" s="106">
        <f>+_xlfn.XLOOKUP($BD101,Budget!$A:$A,Budget!AY:AY)</f>
        <v>0</v>
      </c>
      <c r="CB101" s="106">
        <f>+_xlfn.XLOOKUP($BD101,Budget!$A:$A,Budget!AZ:AZ)</f>
        <v>0</v>
      </c>
      <c r="CC101" s="106">
        <f>+_xlfn.XLOOKUP($BD101,Budget!$A:$A,Budget!BA:BA)</f>
        <v>0</v>
      </c>
      <c r="CD101" s="106">
        <f>+_xlfn.XLOOKUP($BD101,Budget!$A:$A,Budget!BB:BB)</f>
        <v>0</v>
      </c>
      <c r="CE101" s="106">
        <f t="shared" si="469"/>
        <v>0</v>
      </c>
      <c r="CF101" s="22"/>
      <c r="CG101" s="22">
        <v>0</v>
      </c>
      <c r="CH101" s="22">
        <v>0</v>
      </c>
      <c r="CI101" s="22">
        <v>0</v>
      </c>
      <c r="CJ101" s="22">
        <v>0</v>
      </c>
      <c r="CK101" s="22">
        <v>0</v>
      </c>
      <c r="CL101" s="22">
        <v>0</v>
      </c>
      <c r="CM101" s="22">
        <v>0</v>
      </c>
      <c r="CN101" s="22">
        <v>0</v>
      </c>
      <c r="CO101" s="22">
        <v>0</v>
      </c>
      <c r="CP101" s="22">
        <v>0</v>
      </c>
      <c r="CQ101" s="22">
        <v>0</v>
      </c>
      <c r="CR101" s="22">
        <v>0</v>
      </c>
      <c r="CS101" s="106">
        <f t="shared" si="470"/>
        <v>0</v>
      </c>
      <c r="CT101" s="16" t="str">
        <f t="shared" si="338"/>
        <v>New Car Delivery-Gifts</v>
      </c>
      <c r="CU101" s="22">
        <f>+VLOOKUP($BD101,'Jan-25'!$A:$J,7,0)</f>
        <v>0</v>
      </c>
      <c r="CV101" s="22">
        <f>+VLOOKUP($BD101,'Feb-25'!$A:$J,7,0)</f>
        <v>0</v>
      </c>
      <c r="CW101" s="22">
        <f>+VLOOKUP($BD101,'Mar-25'!$A:$J,7,0)</f>
        <v>0</v>
      </c>
      <c r="CX101" s="22">
        <f>+VLOOKUP($BD101,'Apr-25'!$A:$J,7,0)</f>
        <v>0</v>
      </c>
      <c r="CY101" s="22">
        <f>+VLOOKUP($BD101,'May-25'!$A:$J,7,0)</f>
        <v>0</v>
      </c>
      <c r="CZ101" s="22">
        <f>+VLOOKUP($BD101,'June-25'!$A:$J,7,0)</f>
        <v>0</v>
      </c>
      <c r="DA101" s="22">
        <f>+VLOOKUP($BD101,'July-25'!$A:$J,7,0)</f>
        <v>0</v>
      </c>
      <c r="DB101" s="22">
        <f>+VLOOKUP($BD101,'Aug-25'!$A:$J,7,0)</f>
        <v>0</v>
      </c>
      <c r="DC101" s="22">
        <f>+VLOOKUP($BD101,'Sep-25'!$A:$J,7,0)</f>
        <v>0</v>
      </c>
      <c r="DD101" s="22">
        <f>+VLOOKUP($BD101,'Oct-25'!$A:$J,7,0)</f>
        <v>0</v>
      </c>
      <c r="DE101" s="22">
        <f>+VLOOKUP($BD101,'Nov-25'!$A:$J,7,0)</f>
        <v>0</v>
      </c>
      <c r="DF101" s="22">
        <f>+VLOOKUP($BD101,'Dec-25'!$A:$J,7,0)</f>
        <v>0</v>
      </c>
      <c r="DG101" s="22">
        <f t="shared" si="471"/>
        <v>0</v>
      </c>
      <c r="DH101" s="118">
        <f t="shared" si="478"/>
        <v>0</v>
      </c>
      <c r="DI101" s="22">
        <f>+_xlfn.XLOOKUP($CT101,Budget!$A:$A,Budget!CD:CD)</f>
        <v>0</v>
      </c>
      <c r="DJ101" s="22">
        <f>+_xlfn.XLOOKUP($CT101,Budget!$A:$A,Budget!CE:CE)</f>
        <v>0</v>
      </c>
      <c r="DK101" s="22">
        <f>+_xlfn.XLOOKUP($CT101,Budget!$A:$A,Budget!CF:CF)</f>
        <v>0</v>
      </c>
      <c r="DL101" s="22">
        <f>+_xlfn.XLOOKUP($CT101,Budget!$A:$A,Budget!CG:CG)</f>
        <v>0</v>
      </c>
      <c r="DM101" s="22">
        <f>+_xlfn.XLOOKUP($CT101,Budget!$A:$A,Budget!CH:CH)</f>
        <v>0</v>
      </c>
      <c r="DN101" s="22">
        <f>+_xlfn.XLOOKUP($CT101,Budget!$A:$A,Budget!CI:CI)</f>
        <v>0</v>
      </c>
      <c r="DO101" s="22">
        <f>+_xlfn.XLOOKUP($CT101,Budget!$A:$A,Budget!CJ:CJ)</f>
        <v>0</v>
      </c>
      <c r="DP101" s="22">
        <f>+_xlfn.XLOOKUP($CT101,Budget!$A:$A,Budget!CK:CK)</f>
        <v>0</v>
      </c>
      <c r="DQ101" s="22">
        <f>+_xlfn.XLOOKUP($CT101,Budget!$A:$A,Budget!CL:CL)</f>
        <v>0</v>
      </c>
      <c r="DR101" s="22">
        <f>+_xlfn.XLOOKUP($CT101,Budget!$A:$A,Budget!CM:CM)</f>
        <v>0</v>
      </c>
      <c r="DS101" s="22">
        <f>+_xlfn.XLOOKUP($CT101,Budget!$A:$A,Budget!CN:CN)</f>
        <v>0</v>
      </c>
      <c r="DT101" s="22">
        <f>+_xlfn.XLOOKUP($CT101,Budget!$A:$A,Budget!CO:CO)</f>
        <v>0</v>
      </c>
      <c r="DU101" s="106">
        <f t="shared" si="472"/>
        <v>0</v>
      </c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106">
        <f t="shared" si="473"/>
        <v>0</v>
      </c>
      <c r="EJ101" s="16" t="str">
        <f t="shared" si="376"/>
        <v>New Car Delivery-Gifts</v>
      </c>
      <c r="EK101" s="22">
        <f>+VLOOKUP($BD101,'Jan-25'!$A:$J,9,0)</f>
        <v>0</v>
      </c>
      <c r="EL101" s="22">
        <f>+VLOOKUP($BD101,'Feb-25'!$A:$J,9,0)</f>
        <v>0</v>
      </c>
      <c r="EM101" s="22">
        <f>+VLOOKUP($BD101,'Mar-25'!$A:$J,9,0)</f>
        <v>0</v>
      </c>
      <c r="EN101" s="22">
        <f>+VLOOKUP($BD101,'Apr-25'!$A:$J,9,0)</f>
        <v>0</v>
      </c>
      <c r="EO101" s="22">
        <f>+VLOOKUP($BD101,'May-25'!$A:$J,9,0)</f>
        <v>0</v>
      </c>
      <c r="EP101" s="22">
        <f>+VLOOKUP($BD101,'June-25'!$A:$J,9,0)</f>
        <v>0</v>
      </c>
      <c r="EQ101" s="22">
        <f>+VLOOKUP($BD101,'July-25'!$A:$J,9,0)</f>
        <v>0</v>
      </c>
      <c r="ER101" s="22">
        <f>+VLOOKUP($BD101,'Aug-25'!$A:$J,9,0)</f>
        <v>0</v>
      </c>
      <c r="ES101" s="22">
        <f>+VLOOKUP($BD101,'Sep-25'!$A:$J,9,0)</f>
        <v>0</v>
      </c>
      <c r="ET101" s="22">
        <f>+VLOOKUP($BD101,'Oct-25'!$A:$J,9,0)</f>
        <v>0</v>
      </c>
      <c r="EU101" s="22">
        <f>+VLOOKUP($BD101,'Nov-25'!$A:$J,9,0)</f>
        <v>0</v>
      </c>
      <c r="EV101" s="22">
        <f>+VLOOKUP($BD101,'Dec-25'!$A:$J,9,0)</f>
        <v>0</v>
      </c>
      <c r="EW101" s="22">
        <f t="shared" si="474"/>
        <v>0</v>
      </c>
      <c r="EX101" s="118">
        <f t="shared" si="479"/>
        <v>0</v>
      </c>
      <c r="EY101" s="22">
        <f>+_xlfn.XLOOKUP($EJ101,Budget!$A:$A,Budget!DE:DE)</f>
        <v>0</v>
      </c>
      <c r="EZ101" s="22">
        <f>+_xlfn.XLOOKUP($EJ101,Budget!$A:$A,Budget!DF:DF)</f>
        <v>0</v>
      </c>
      <c r="FA101" s="22">
        <f>+_xlfn.XLOOKUP($EJ101,Budget!$A:$A,Budget!DG:DG)</f>
        <v>0</v>
      </c>
      <c r="FB101" s="22">
        <f>+_xlfn.XLOOKUP($EJ101,Budget!$A:$A,Budget!DH:DH)</f>
        <v>0</v>
      </c>
      <c r="FC101" s="22">
        <f>+_xlfn.XLOOKUP($EJ101,Budget!$A:$A,Budget!DI:DI)</f>
        <v>0</v>
      </c>
      <c r="FD101" s="22">
        <f>+_xlfn.XLOOKUP($EJ101,Budget!$A:$A,Budget!DJ:DJ)</f>
        <v>0</v>
      </c>
      <c r="FE101" s="22">
        <f>+_xlfn.XLOOKUP($EJ101,Budget!$A:$A,Budget!DK:DK)</f>
        <v>0</v>
      </c>
      <c r="FF101" s="22">
        <f>+_xlfn.XLOOKUP($EJ101,Budget!$A:$A,Budget!DL:DL)</f>
        <v>0</v>
      </c>
      <c r="FG101" s="22">
        <f>+_xlfn.XLOOKUP($EJ101,Budget!$A:$A,Budget!DM:DM)</f>
        <v>0</v>
      </c>
      <c r="FH101" s="22">
        <f>+_xlfn.XLOOKUP($EJ101,Budget!$A:$A,Budget!DN:DN)</f>
        <v>0</v>
      </c>
      <c r="FI101" s="22">
        <f>+_xlfn.XLOOKUP($EJ101,Budget!$A:$A,Budget!DO:DO)</f>
        <v>0</v>
      </c>
      <c r="FJ101" s="22">
        <f>+_xlfn.XLOOKUP($EJ101,Budget!$A:$A,Budget!DP:DP)</f>
        <v>0</v>
      </c>
      <c r="FK101" s="106">
        <f t="shared" si="475"/>
        <v>0</v>
      </c>
    </row>
    <row r="102" spans="1:167" ht="14.45" hidden="1" customHeight="1" outlineLevel="2">
      <c r="A102" s="106">
        <f t="shared" si="462"/>
        <v>0</v>
      </c>
      <c r="B102" s="106">
        <f t="shared" si="462"/>
        <v>0</v>
      </c>
      <c r="C102" s="106">
        <f t="shared" si="462"/>
        <v>0</v>
      </c>
      <c r="D102" s="106">
        <f t="shared" si="462"/>
        <v>0</v>
      </c>
      <c r="E102" s="106">
        <f t="shared" si="462"/>
        <v>0</v>
      </c>
      <c r="F102" s="106">
        <f t="shared" si="462"/>
        <v>0</v>
      </c>
      <c r="G102" s="106">
        <f t="shared" si="462"/>
        <v>14367.6</v>
      </c>
      <c r="H102" s="106">
        <f t="shared" si="462"/>
        <v>0</v>
      </c>
      <c r="I102" s="106">
        <f t="shared" si="462"/>
        <v>21900.799999999999</v>
      </c>
      <c r="J102" s="106">
        <f t="shared" si="462"/>
        <v>14982.375</v>
      </c>
      <c r="K102" s="106">
        <f t="shared" si="462"/>
        <v>7512</v>
      </c>
      <c r="L102" s="106">
        <f t="shared" si="462"/>
        <v>26524.799999999999</v>
      </c>
      <c r="M102" s="106">
        <f t="shared" si="410"/>
        <v>85287.574999999997</v>
      </c>
      <c r="N102" s="16" t="s">
        <v>83</v>
      </c>
      <c r="O102" s="22">
        <f t="shared" si="463"/>
        <v>53248.59</v>
      </c>
      <c r="P102" s="22">
        <f t="shared" si="463"/>
        <v>11967.8</v>
      </c>
      <c r="Q102" s="22">
        <f t="shared" si="463"/>
        <v>21831</v>
      </c>
      <c r="R102" s="22">
        <f t="shared" si="463"/>
        <v>11032.8</v>
      </c>
      <c r="S102" s="22">
        <f t="shared" si="463"/>
        <v>25768.799999999999</v>
      </c>
      <c r="T102" s="22">
        <f t="shared" si="463"/>
        <v>38611.664000000004</v>
      </c>
      <c r="U102" s="22">
        <f t="shared" si="463"/>
        <v>3707.4319999999998</v>
      </c>
      <c r="V102" s="22">
        <f t="shared" si="463"/>
        <v>19156.8</v>
      </c>
      <c r="W102" s="22">
        <f t="shared" si="463"/>
        <v>4204</v>
      </c>
      <c r="X102" s="22">
        <f t="shared" si="463"/>
        <v>14471</v>
      </c>
      <c r="Y102" s="22">
        <f t="shared" si="463"/>
        <v>0</v>
      </c>
      <c r="Z102" s="22">
        <f t="shared" si="463"/>
        <v>0</v>
      </c>
      <c r="AA102" s="22">
        <f t="shared" si="464"/>
        <v>203999.886</v>
      </c>
      <c r="AB102" s="118">
        <f t="shared" si="476"/>
        <v>-0.27644999999999997</v>
      </c>
      <c r="AC102" s="22">
        <f t="shared" si="465"/>
        <v>20000</v>
      </c>
      <c r="AD102" s="22">
        <f t="shared" si="465"/>
        <v>20000</v>
      </c>
      <c r="AE102" s="22">
        <f t="shared" si="465"/>
        <v>20000</v>
      </c>
      <c r="AF102" s="22">
        <f t="shared" si="465"/>
        <v>20000</v>
      </c>
      <c r="AG102" s="22">
        <f t="shared" si="465"/>
        <v>20000</v>
      </c>
      <c r="AH102" s="22">
        <f t="shared" si="465"/>
        <v>20000</v>
      </c>
      <c r="AI102" s="22">
        <f t="shared" si="465"/>
        <v>20000</v>
      </c>
      <c r="AJ102" s="22">
        <f t="shared" si="465"/>
        <v>20000</v>
      </c>
      <c r="AK102" s="22">
        <f t="shared" si="465"/>
        <v>20000</v>
      </c>
      <c r="AL102" s="22">
        <f t="shared" si="465"/>
        <v>20000</v>
      </c>
      <c r="AM102" s="22">
        <f t="shared" si="465"/>
        <v>20000</v>
      </c>
      <c r="AN102" s="22">
        <f t="shared" si="465"/>
        <v>20000</v>
      </c>
      <c r="AO102" s="22">
        <f t="shared" si="466"/>
        <v>240000</v>
      </c>
      <c r="AQ102" s="106">
        <v>0</v>
      </c>
      <c r="AR102" s="106">
        <v>0</v>
      </c>
      <c r="AS102" s="106">
        <v>0</v>
      </c>
      <c r="AT102" s="106">
        <v>0</v>
      </c>
      <c r="AU102" s="106">
        <v>0</v>
      </c>
      <c r="AV102" s="106">
        <v>0</v>
      </c>
      <c r="AW102" s="106">
        <v>14367.6</v>
      </c>
      <c r="AX102" s="106">
        <v>0</v>
      </c>
      <c r="AY102" s="106">
        <v>21900.799999999999</v>
      </c>
      <c r="AZ102" s="106">
        <v>14736</v>
      </c>
      <c r="BA102" s="106">
        <v>7512</v>
      </c>
      <c r="BB102" s="106">
        <v>0</v>
      </c>
      <c r="BC102" s="106">
        <f t="shared" si="467"/>
        <v>58516.4</v>
      </c>
      <c r="BD102" s="16" t="str">
        <f t="shared" si="334"/>
        <v>Refreshment Expenses -Delivery</v>
      </c>
      <c r="BE102" s="22">
        <f>+VLOOKUP($BD102,'Jan-25'!$A:$J,4,0)</f>
        <v>21348</v>
      </c>
      <c r="BF102" s="22">
        <f>+VLOOKUP($BD102,'Feb-25'!$A:$J,4,0)</f>
        <v>6612</v>
      </c>
      <c r="BG102" s="22">
        <f>+VLOOKUP($BD102,'Mar-25'!$A:$J,4,0)</f>
        <v>14736</v>
      </c>
      <c r="BH102" s="22">
        <f>+VLOOKUP($BD102,'Apr-25'!$A:$J,4,0)</f>
        <v>6612</v>
      </c>
      <c r="BI102" s="22">
        <f>+VLOOKUP($BD102,'May-25'!$A:$J,4,0)</f>
        <v>0</v>
      </c>
      <c r="BJ102" s="22">
        <f>+VLOOKUP($BD102,'June-25'!$A:$J,4,0)</f>
        <v>14736</v>
      </c>
      <c r="BK102" s="22">
        <f>+VLOOKUP($BD102,'July-25'!$A:$J,4,0)</f>
        <v>0</v>
      </c>
      <c r="BL102" s="22">
        <f>+VLOOKUP($BD102,'Aug-25'!$A:$J,4,0)</f>
        <v>14736</v>
      </c>
      <c r="BM102" s="22">
        <f>+VLOOKUP($BD102,'Sep-25'!$A:$J,4,0)</f>
        <v>4204</v>
      </c>
      <c r="BN102" s="22">
        <f>+VLOOKUP($BD102,'Oct-25'!$A:$J,4,0)</f>
        <v>13211</v>
      </c>
      <c r="BO102" s="22">
        <f>+VLOOKUP($BD102,'Nov-25'!$A:$J,4,0)</f>
        <v>0</v>
      </c>
      <c r="BP102" s="22">
        <f>+VLOOKUP($BD102,'Dec-25'!$A:$J,4,0)</f>
        <v>0</v>
      </c>
      <c r="BQ102" s="22">
        <f t="shared" si="468"/>
        <v>96195</v>
      </c>
      <c r="BR102" s="118">
        <f t="shared" si="477"/>
        <v>0.3211</v>
      </c>
      <c r="BS102" s="106">
        <f>+_xlfn.XLOOKUP($BD102,Budget!$A:$A,Budget!AQ:AQ)</f>
        <v>10000</v>
      </c>
      <c r="BT102" s="106">
        <f>+_xlfn.XLOOKUP($BD102,Budget!$A:$A,Budget!AR:AR)</f>
        <v>10000</v>
      </c>
      <c r="BU102" s="106">
        <f>+_xlfn.XLOOKUP($BD102,Budget!$A:$A,Budget!AS:AS)</f>
        <v>10000</v>
      </c>
      <c r="BV102" s="106">
        <f>+_xlfn.XLOOKUP($BD102,Budget!$A:$A,Budget!AT:AT)</f>
        <v>10000</v>
      </c>
      <c r="BW102" s="106">
        <f>+_xlfn.XLOOKUP($BD102,Budget!$A:$A,Budget!AU:AU)</f>
        <v>10000</v>
      </c>
      <c r="BX102" s="106">
        <f>+_xlfn.XLOOKUP($BD102,Budget!$A:$A,Budget!AV:AV)</f>
        <v>10000</v>
      </c>
      <c r="BY102" s="106">
        <f>+_xlfn.XLOOKUP($BD102,Budget!$A:$A,Budget!AW:AW)</f>
        <v>10000</v>
      </c>
      <c r="BZ102" s="106">
        <f>+_xlfn.XLOOKUP($BD102,Budget!$A:$A,Budget!AX:AX)</f>
        <v>10000</v>
      </c>
      <c r="CA102" s="106">
        <f>+_xlfn.XLOOKUP($BD102,Budget!$A:$A,Budget!AY:AY)</f>
        <v>10000</v>
      </c>
      <c r="CB102" s="106">
        <f>+_xlfn.XLOOKUP($BD102,Budget!$A:$A,Budget!AZ:AZ)</f>
        <v>10000</v>
      </c>
      <c r="CC102" s="106">
        <f>+_xlfn.XLOOKUP($BD102,Budget!$A:$A,Budget!BA:BA)</f>
        <v>10000</v>
      </c>
      <c r="CD102" s="106">
        <f>+_xlfn.XLOOKUP($BD102,Budget!$A:$A,Budget!BB:BB)</f>
        <v>10000</v>
      </c>
      <c r="CE102" s="106">
        <f t="shared" si="469"/>
        <v>120000</v>
      </c>
      <c r="CF102" s="22"/>
      <c r="CG102" s="22">
        <v>0</v>
      </c>
      <c r="CH102" s="22">
        <v>0</v>
      </c>
      <c r="CI102" s="22">
        <v>0</v>
      </c>
      <c r="CJ102" s="22">
        <v>0</v>
      </c>
      <c r="CK102" s="22">
        <v>0</v>
      </c>
      <c r="CL102" s="22">
        <v>0</v>
      </c>
      <c r="CM102" s="22">
        <v>0</v>
      </c>
      <c r="CN102" s="22">
        <v>0</v>
      </c>
      <c r="CO102" s="22">
        <v>0</v>
      </c>
      <c r="CP102" s="22">
        <v>246.375</v>
      </c>
      <c r="CQ102" s="22">
        <v>0</v>
      </c>
      <c r="CR102" s="22">
        <v>26524.799999999999</v>
      </c>
      <c r="CS102" s="106">
        <f t="shared" si="470"/>
        <v>26771.174999999999</v>
      </c>
      <c r="CT102" s="16" t="str">
        <f t="shared" si="338"/>
        <v>Refreshment Expenses -Delivery</v>
      </c>
      <c r="CU102" s="22">
        <f>+VLOOKUP($BD102,'Jan-25'!$A:$J,7,0)</f>
        <v>24007.059999999998</v>
      </c>
      <c r="CV102" s="22">
        <f>+VLOOKUP($BD102,'Feb-25'!$A:$J,7,0)</f>
        <v>5355.8</v>
      </c>
      <c r="CW102" s="22">
        <f>+VLOOKUP($BD102,'Mar-25'!$A:$J,7,0)</f>
        <v>483</v>
      </c>
      <c r="CX102" s="22">
        <f>+VLOOKUP($BD102,'Apr-25'!$A:$J,7,0)</f>
        <v>4420.8</v>
      </c>
      <c r="CY102" s="22">
        <f>+VLOOKUP($BD102,'May-25'!$A:$J,7,0)</f>
        <v>4420.8</v>
      </c>
      <c r="CZ102" s="22">
        <f>+VLOOKUP($BD102,'June-25'!$A:$J,7,0)</f>
        <v>4896.8</v>
      </c>
      <c r="DA102" s="22">
        <f>+VLOOKUP($BD102,'July-25'!$A:$J,7,0)</f>
        <v>3129.4319999999998</v>
      </c>
      <c r="DB102" s="22">
        <f>+VLOOKUP($BD102,'Aug-25'!$A:$J,7,0)</f>
        <v>4420.8</v>
      </c>
      <c r="DC102" s="22">
        <f>+VLOOKUP($BD102,'Sep-25'!$A:$J,7,0)</f>
        <v>0</v>
      </c>
      <c r="DD102" s="22">
        <f>+VLOOKUP($BD102,'Oct-25'!$A:$J,7,0)</f>
        <v>1260</v>
      </c>
      <c r="DE102" s="22">
        <f>+VLOOKUP($BD102,'Nov-25'!$A:$J,7,0)</f>
        <v>0</v>
      </c>
      <c r="DF102" s="22">
        <f>+VLOOKUP($BD102,'Dec-25'!$A:$J,7,0)</f>
        <v>0</v>
      </c>
      <c r="DG102" s="22">
        <f t="shared" si="471"/>
        <v>52394.492000000006</v>
      </c>
      <c r="DH102" s="118">
        <f t="shared" si="478"/>
        <v>-0.874</v>
      </c>
      <c r="DI102" s="22">
        <f>+_xlfn.XLOOKUP($CT102,Budget!$A:$A,Budget!CD:CD)</f>
        <v>10000</v>
      </c>
      <c r="DJ102" s="22">
        <f>+_xlfn.XLOOKUP($CT102,Budget!$A:$A,Budget!CE:CE)</f>
        <v>10000</v>
      </c>
      <c r="DK102" s="22">
        <f>+_xlfn.XLOOKUP($CT102,Budget!$A:$A,Budget!CF:CF)</f>
        <v>10000</v>
      </c>
      <c r="DL102" s="22">
        <f>+_xlfn.XLOOKUP($CT102,Budget!$A:$A,Budget!CG:CG)</f>
        <v>10000</v>
      </c>
      <c r="DM102" s="22">
        <f>+_xlfn.XLOOKUP($CT102,Budget!$A:$A,Budget!CH:CH)</f>
        <v>10000</v>
      </c>
      <c r="DN102" s="22">
        <f>+_xlfn.XLOOKUP($CT102,Budget!$A:$A,Budget!CI:CI)</f>
        <v>10000</v>
      </c>
      <c r="DO102" s="22">
        <f>+_xlfn.XLOOKUP($CT102,Budget!$A:$A,Budget!CJ:CJ)</f>
        <v>10000</v>
      </c>
      <c r="DP102" s="22">
        <f>+_xlfn.XLOOKUP($CT102,Budget!$A:$A,Budget!CK:CK)</f>
        <v>10000</v>
      </c>
      <c r="DQ102" s="22">
        <f>+_xlfn.XLOOKUP($CT102,Budget!$A:$A,Budget!CL:CL)</f>
        <v>10000</v>
      </c>
      <c r="DR102" s="22">
        <f>+_xlfn.XLOOKUP($CT102,Budget!$A:$A,Budget!CM:CM)</f>
        <v>10000</v>
      </c>
      <c r="DS102" s="22">
        <f>+_xlfn.XLOOKUP($CT102,Budget!$A:$A,Budget!CN:CN)</f>
        <v>10000</v>
      </c>
      <c r="DT102" s="22">
        <f>+_xlfn.XLOOKUP($CT102,Budget!$A:$A,Budget!CO:CO)</f>
        <v>10000</v>
      </c>
      <c r="DU102" s="106">
        <f t="shared" si="472"/>
        <v>120000</v>
      </c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106">
        <f t="shared" si="473"/>
        <v>0</v>
      </c>
      <c r="EJ102" s="16" t="str">
        <f t="shared" si="376"/>
        <v>Refreshment Expenses -Delivery</v>
      </c>
      <c r="EK102" s="22">
        <f>+VLOOKUP($BD102,'Jan-25'!$A:$J,9,0)</f>
        <v>7893.53</v>
      </c>
      <c r="EL102" s="22">
        <f>+VLOOKUP($BD102,'Feb-25'!$A:$J,9,0)</f>
        <v>0</v>
      </c>
      <c r="EM102" s="22">
        <f>+VLOOKUP($BD102,'Mar-25'!$A:$J,9,0)</f>
        <v>6612</v>
      </c>
      <c r="EN102" s="22">
        <f>+VLOOKUP($BD102,'Apr-25'!$A:$J,9,0)</f>
        <v>0</v>
      </c>
      <c r="EO102" s="22">
        <f>+VLOOKUP($BD102,'May-25'!$A:$J,9,0)</f>
        <v>21348</v>
      </c>
      <c r="EP102" s="22">
        <f>+VLOOKUP($BD102,'June-25'!$A:$J,9,0)</f>
        <v>18978.864000000001</v>
      </c>
      <c r="EQ102" s="22">
        <f>+VLOOKUP($BD102,'July-25'!$A:$J,9,0)</f>
        <v>578</v>
      </c>
      <c r="ER102" s="22">
        <f>+VLOOKUP($BD102,'Aug-25'!$A:$J,9,0)</f>
        <v>0</v>
      </c>
      <c r="ES102" s="22">
        <f>+VLOOKUP($BD102,'Sep-25'!$A:$J,9,0)</f>
        <v>0</v>
      </c>
      <c r="ET102" s="22">
        <f>+VLOOKUP($BD102,'Oct-25'!$A:$J,9,0)</f>
        <v>0</v>
      </c>
      <c r="EU102" s="22">
        <f>+VLOOKUP($BD102,'Nov-25'!$A:$J,9,0)</f>
        <v>0</v>
      </c>
      <c r="EV102" s="22">
        <f>+VLOOKUP($BD102,'Dec-25'!$A:$J,9,0)</f>
        <v>0</v>
      </c>
      <c r="EW102" s="22">
        <f t="shared" si="474"/>
        <v>55410.394</v>
      </c>
      <c r="EX102" s="118">
        <f t="shared" si="479"/>
        <v>0</v>
      </c>
      <c r="EY102" s="22">
        <f>+_xlfn.XLOOKUP($EJ102,Budget!$A:$A,Budget!DE:DE)</f>
        <v>0</v>
      </c>
      <c r="EZ102" s="22">
        <f>+_xlfn.XLOOKUP($EJ102,Budget!$A:$A,Budget!DF:DF)</f>
        <v>0</v>
      </c>
      <c r="FA102" s="22">
        <f>+_xlfn.XLOOKUP($EJ102,Budget!$A:$A,Budget!DG:DG)</f>
        <v>0</v>
      </c>
      <c r="FB102" s="22">
        <f>+_xlfn.XLOOKUP($EJ102,Budget!$A:$A,Budget!DH:DH)</f>
        <v>0</v>
      </c>
      <c r="FC102" s="22">
        <f>+_xlfn.XLOOKUP($EJ102,Budget!$A:$A,Budget!DI:DI)</f>
        <v>0</v>
      </c>
      <c r="FD102" s="22">
        <f>+_xlfn.XLOOKUP($EJ102,Budget!$A:$A,Budget!DJ:DJ)</f>
        <v>0</v>
      </c>
      <c r="FE102" s="22">
        <f>+_xlfn.XLOOKUP($EJ102,Budget!$A:$A,Budget!DK:DK)</f>
        <v>0</v>
      </c>
      <c r="FF102" s="22">
        <f>+_xlfn.XLOOKUP($EJ102,Budget!$A:$A,Budget!DL:DL)</f>
        <v>0</v>
      </c>
      <c r="FG102" s="22">
        <f>+_xlfn.XLOOKUP($EJ102,Budget!$A:$A,Budget!DM:DM)</f>
        <v>0</v>
      </c>
      <c r="FH102" s="22">
        <f>+_xlfn.XLOOKUP($EJ102,Budget!$A:$A,Budget!DN:DN)</f>
        <v>0</v>
      </c>
      <c r="FI102" s="22">
        <f>+_xlfn.XLOOKUP($EJ102,Budget!$A:$A,Budget!DO:DO)</f>
        <v>0</v>
      </c>
      <c r="FJ102" s="22">
        <f>+_xlfn.XLOOKUP($EJ102,Budget!$A:$A,Budget!DP:DP)</f>
        <v>0</v>
      </c>
      <c r="FK102" s="106">
        <f t="shared" si="475"/>
        <v>0</v>
      </c>
    </row>
    <row r="103" spans="1:167" ht="14.45" hidden="1" customHeight="1" outlineLevel="2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6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118">
        <f t="shared" si="476"/>
        <v>0</v>
      </c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6">
        <f t="shared" si="334"/>
        <v>0</v>
      </c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118">
        <f t="shared" si="477"/>
        <v>0</v>
      </c>
      <c r="BS103" s="106"/>
      <c r="BT103" s="106"/>
      <c r="BU103" s="106"/>
      <c r="BV103" s="106"/>
      <c r="BW103" s="106"/>
      <c r="BX103" s="106"/>
      <c r="BY103" s="106"/>
      <c r="BZ103" s="106"/>
      <c r="CA103" s="106"/>
      <c r="CB103" s="106"/>
      <c r="CC103" s="106"/>
      <c r="CD103" s="106"/>
      <c r="CE103" s="106"/>
      <c r="CF103" s="22"/>
      <c r="CG103" s="22">
        <v>0</v>
      </c>
      <c r="CH103" s="22">
        <v>0</v>
      </c>
      <c r="CI103" s="22">
        <v>0</v>
      </c>
      <c r="CJ103" s="22">
        <v>0</v>
      </c>
      <c r="CK103" s="22">
        <v>0</v>
      </c>
      <c r="CL103" s="22">
        <v>0</v>
      </c>
      <c r="CM103" s="22">
        <v>0</v>
      </c>
      <c r="CN103" s="22">
        <v>0</v>
      </c>
      <c r="CO103" s="22">
        <v>0</v>
      </c>
      <c r="CP103" s="22">
        <v>0</v>
      </c>
      <c r="CQ103" s="22">
        <v>0</v>
      </c>
      <c r="CR103" s="22">
        <v>0</v>
      </c>
      <c r="CS103" s="106"/>
      <c r="CT103" s="16">
        <f t="shared" si="338"/>
        <v>0</v>
      </c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118">
        <f t="shared" si="478"/>
        <v>0</v>
      </c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106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106"/>
      <c r="EJ103" s="16">
        <f t="shared" si="376"/>
        <v>0</v>
      </c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118">
        <f t="shared" si="479"/>
        <v>0</v>
      </c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106"/>
    </row>
    <row r="104" spans="1:167" ht="14.45" customHeight="1" collapsed="1">
      <c r="A104" s="58">
        <f t="shared" ref="A104:M104" si="480">+SUM(A105:A113)</f>
        <v>31098.7</v>
      </c>
      <c r="B104" s="58">
        <f t="shared" si="480"/>
        <v>22651</v>
      </c>
      <c r="C104" s="58">
        <f t="shared" si="480"/>
        <v>73800</v>
      </c>
      <c r="D104" s="58">
        <f t="shared" si="480"/>
        <v>81029</v>
      </c>
      <c r="E104" s="58">
        <f t="shared" si="480"/>
        <v>137435.20000000001</v>
      </c>
      <c r="F104" s="58">
        <f t="shared" si="480"/>
        <v>56673</v>
      </c>
      <c r="G104" s="58">
        <f t="shared" si="480"/>
        <v>31000</v>
      </c>
      <c r="H104" s="58">
        <f t="shared" si="480"/>
        <v>217238.76</v>
      </c>
      <c r="I104" s="58">
        <f t="shared" si="480"/>
        <v>305889</v>
      </c>
      <c r="J104" s="58">
        <f t="shared" si="480"/>
        <v>205136</v>
      </c>
      <c r="K104" s="58">
        <f t="shared" si="480"/>
        <v>29360</v>
      </c>
      <c r="L104" s="58">
        <f t="shared" si="480"/>
        <v>257230</v>
      </c>
      <c r="M104" s="58">
        <f t="shared" si="480"/>
        <v>1448540.6600000001</v>
      </c>
      <c r="N104" s="17" t="s">
        <v>84</v>
      </c>
      <c r="O104" s="28">
        <f t="shared" ref="O104:AA104" si="481">+SUM(O105:O113)</f>
        <v>71445.5</v>
      </c>
      <c r="P104" s="28">
        <f t="shared" si="481"/>
        <v>42973</v>
      </c>
      <c r="Q104" s="28">
        <f t="shared" si="481"/>
        <v>73752.850000000006</v>
      </c>
      <c r="R104" s="28">
        <f t="shared" si="481"/>
        <v>65298.82</v>
      </c>
      <c r="S104" s="28">
        <f t="shared" si="481"/>
        <v>273805.30799999996</v>
      </c>
      <c r="T104" s="28">
        <f t="shared" si="481"/>
        <v>120246.32</v>
      </c>
      <c r="U104" s="28">
        <f t="shared" si="481"/>
        <v>44948</v>
      </c>
      <c r="V104" s="28">
        <f t="shared" si="481"/>
        <v>280171.62</v>
      </c>
      <c r="W104" s="28">
        <f t="shared" si="481"/>
        <v>539603.39999999991</v>
      </c>
      <c r="X104" s="28">
        <f t="shared" si="481"/>
        <v>92211.34</v>
      </c>
      <c r="Y104" s="28">
        <f t="shared" si="481"/>
        <v>0</v>
      </c>
      <c r="Z104" s="28">
        <f t="shared" si="481"/>
        <v>0</v>
      </c>
      <c r="AA104" s="28">
        <f t="shared" si="481"/>
        <v>1604456.1579999998</v>
      </c>
      <c r="AB104" s="118">
        <f t="shared" si="476"/>
        <v>-3.9635251246488952E-4</v>
      </c>
      <c r="AC104" s="28">
        <f t="shared" ref="AC104:AO104" si="482">+SUM(AC105:AC113)</f>
        <v>100672.42539552003</v>
      </c>
      <c r="AD104" s="28">
        <f t="shared" si="482"/>
        <v>98384.443763520016</v>
      </c>
      <c r="AE104" s="28">
        <f t="shared" si="482"/>
        <v>99100.979067359993</v>
      </c>
      <c r="AF104" s="28">
        <f t="shared" si="482"/>
        <v>84531.234986495998</v>
      </c>
      <c r="AG104" s="28">
        <f t="shared" si="482"/>
        <v>95207.945564160007</v>
      </c>
      <c r="AH104" s="28">
        <f t="shared" si="482"/>
        <v>99894.115042560006</v>
      </c>
      <c r="AI104" s="28">
        <f t="shared" si="482"/>
        <v>103277.77406208</v>
      </c>
      <c r="AJ104" s="28">
        <f t="shared" si="482"/>
        <v>104242.44965424004</v>
      </c>
      <c r="AK104" s="28">
        <f t="shared" si="482"/>
        <v>106711.10337168002</v>
      </c>
      <c r="AL104" s="28">
        <f t="shared" si="482"/>
        <v>92247.902688000002</v>
      </c>
      <c r="AM104" s="28">
        <f t="shared" si="482"/>
        <v>85466.410656000007</v>
      </c>
      <c r="AN104" s="28">
        <f t="shared" si="482"/>
        <v>102468.58934399998</v>
      </c>
      <c r="AO104" s="28">
        <f t="shared" si="482"/>
        <v>1172205.3735956163</v>
      </c>
      <c r="AQ104" s="58">
        <f t="shared" ref="AQ104:BC104" si="483">+SUM(AQ105:AQ113)</f>
        <v>28018</v>
      </c>
      <c r="AR104" s="58">
        <f t="shared" si="483"/>
        <v>20151</v>
      </c>
      <c r="AS104" s="58">
        <f t="shared" si="483"/>
        <v>72801</v>
      </c>
      <c r="AT104" s="58">
        <f t="shared" si="483"/>
        <v>80790</v>
      </c>
      <c r="AU104" s="58">
        <f t="shared" si="483"/>
        <v>114596.79999999999</v>
      </c>
      <c r="AV104" s="58">
        <f t="shared" si="483"/>
        <v>53833</v>
      </c>
      <c r="AW104" s="58">
        <f t="shared" si="483"/>
        <v>31000</v>
      </c>
      <c r="AX104" s="58">
        <f t="shared" si="483"/>
        <v>216510.84</v>
      </c>
      <c r="AY104" s="58">
        <f t="shared" si="483"/>
        <v>280608</v>
      </c>
      <c r="AZ104" s="58">
        <f t="shared" si="483"/>
        <v>141136</v>
      </c>
      <c r="BA104" s="58">
        <f t="shared" si="483"/>
        <v>28000</v>
      </c>
      <c r="BB104" s="58">
        <f t="shared" si="483"/>
        <v>-148745</v>
      </c>
      <c r="BC104" s="58">
        <f t="shared" si="483"/>
        <v>918699.64</v>
      </c>
      <c r="BD104" s="17" t="str">
        <f t="shared" si="334"/>
        <v>Marketing Expenses</v>
      </c>
      <c r="BE104" s="28">
        <f t="shared" ref="BE104:BQ104" si="484">+SUM(BE105:BE113)</f>
        <v>56721.5</v>
      </c>
      <c r="BF104" s="28">
        <f t="shared" si="484"/>
        <v>10060</v>
      </c>
      <c r="BG104" s="28">
        <f t="shared" si="484"/>
        <v>29695.9</v>
      </c>
      <c r="BH104" s="28">
        <f t="shared" si="484"/>
        <v>50400.82</v>
      </c>
      <c r="BI104" s="28">
        <f t="shared" si="484"/>
        <v>78998.95</v>
      </c>
      <c r="BJ104" s="28">
        <f t="shared" si="484"/>
        <v>30913.215</v>
      </c>
      <c r="BK104" s="28">
        <f t="shared" si="484"/>
        <v>11320</v>
      </c>
      <c r="BL104" s="28">
        <f t="shared" si="484"/>
        <v>212694.81</v>
      </c>
      <c r="BM104" s="28">
        <f t="shared" si="484"/>
        <v>436249.11</v>
      </c>
      <c r="BN104" s="28">
        <f t="shared" si="484"/>
        <v>50410.51</v>
      </c>
      <c r="BO104" s="28">
        <f t="shared" si="484"/>
        <v>0</v>
      </c>
      <c r="BP104" s="28">
        <f t="shared" si="484"/>
        <v>0</v>
      </c>
      <c r="BQ104" s="28">
        <f t="shared" si="484"/>
        <v>967464.81499999994</v>
      </c>
      <c r="BR104" s="118">
        <f t="shared" si="477"/>
        <v>-6.6926505536101438E-2</v>
      </c>
      <c r="BS104" s="58">
        <f t="shared" ref="BS104:CE104" si="485">+SUM(BS105:BS113)</f>
        <v>56129.462088000007</v>
      </c>
      <c r="BT104" s="58">
        <f t="shared" si="485"/>
        <v>54941.573317440023</v>
      </c>
      <c r="BU104" s="58">
        <f t="shared" si="485"/>
        <v>51275.300676959996</v>
      </c>
      <c r="BV104" s="58">
        <f t="shared" si="485"/>
        <v>47458.103469695998</v>
      </c>
      <c r="BW104" s="58">
        <f t="shared" si="485"/>
        <v>52595.997045119999</v>
      </c>
      <c r="BX104" s="58">
        <f t="shared" si="485"/>
        <v>54592.822022400003</v>
      </c>
      <c r="BY104" s="58">
        <f t="shared" si="485"/>
        <v>55817.119111680011</v>
      </c>
      <c r="BZ104" s="58">
        <f t="shared" si="485"/>
        <v>58507.750746720027</v>
      </c>
      <c r="CA104" s="58">
        <f t="shared" si="485"/>
        <v>62034.947085600012</v>
      </c>
      <c r="CB104" s="58">
        <f t="shared" si="485"/>
        <v>54026.301571200005</v>
      </c>
      <c r="CC104" s="58">
        <f t="shared" si="485"/>
        <v>43221.041256960001</v>
      </c>
      <c r="CD104" s="58">
        <f t="shared" si="485"/>
        <v>57113.518803839994</v>
      </c>
      <c r="CE104" s="58">
        <f t="shared" si="485"/>
        <v>647713.93719561596</v>
      </c>
      <c r="CF104" s="22"/>
      <c r="CG104" s="28">
        <f t="shared" ref="CG104:CS104" si="486">+SUM(CG105:CG113)</f>
        <v>3080.7</v>
      </c>
      <c r="CH104" s="28">
        <f t="shared" si="486"/>
        <v>2500</v>
      </c>
      <c r="CI104" s="28">
        <f t="shared" si="486"/>
        <v>999</v>
      </c>
      <c r="CJ104" s="28">
        <f t="shared" si="486"/>
        <v>239</v>
      </c>
      <c r="CK104" s="28">
        <f t="shared" si="486"/>
        <v>22838.399999999998</v>
      </c>
      <c r="CL104" s="28">
        <f t="shared" si="486"/>
        <v>2840</v>
      </c>
      <c r="CM104" s="28">
        <f t="shared" si="486"/>
        <v>0</v>
      </c>
      <c r="CN104" s="28">
        <f t="shared" si="486"/>
        <v>727.92000000000041</v>
      </c>
      <c r="CO104" s="28">
        <f t="shared" si="486"/>
        <v>25281</v>
      </c>
      <c r="CP104" s="28">
        <f t="shared" si="486"/>
        <v>64000</v>
      </c>
      <c r="CQ104" s="28">
        <f t="shared" si="486"/>
        <v>1360</v>
      </c>
      <c r="CR104" s="28">
        <f t="shared" si="486"/>
        <v>405975</v>
      </c>
      <c r="CS104" s="58">
        <f t="shared" si="486"/>
        <v>529841.02</v>
      </c>
      <c r="CT104" s="17" t="str">
        <f t="shared" si="338"/>
        <v>Marketing Expenses</v>
      </c>
      <c r="CU104" s="28">
        <f t="shared" ref="CU104:DG104" si="487">+SUM(CU105:CU113)</f>
        <v>12250</v>
      </c>
      <c r="CV104" s="28">
        <f t="shared" si="487"/>
        <v>29075</v>
      </c>
      <c r="CW104" s="28">
        <f t="shared" si="487"/>
        <v>8347.9500000000007</v>
      </c>
      <c r="CX104" s="28">
        <f t="shared" si="487"/>
        <v>11198</v>
      </c>
      <c r="CY104" s="28">
        <f t="shared" si="487"/>
        <v>58637.599999999999</v>
      </c>
      <c r="CZ104" s="28">
        <f t="shared" si="487"/>
        <v>9432.9290000000001</v>
      </c>
      <c r="DA104" s="28">
        <f t="shared" si="487"/>
        <v>2700</v>
      </c>
      <c r="DB104" s="28">
        <f t="shared" si="487"/>
        <v>64261.89</v>
      </c>
      <c r="DC104" s="28">
        <f t="shared" si="487"/>
        <v>51239.29</v>
      </c>
      <c r="DD104" s="28">
        <f t="shared" si="487"/>
        <v>37319.29</v>
      </c>
      <c r="DE104" s="28">
        <f t="shared" si="487"/>
        <v>0</v>
      </c>
      <c r="DF104" s="28">
        <f t="shared" si="487"/>
        <v>0</v>
      </c>
      <c r="DG104" s="28">
        <f t="shared" si="487"/>
        <v>284461.94900000002</v>
      </c>
      <c r="DH104" s="118">
        <f t="shared" si="478"/>
        <v>7.1595205700936485E-3</v>
      </c>
      <c r="DI104" s="28">
        <f t="shared" ref="DI104:DU104" si="488">+SUM(DI105:DI113)</f>
        <v>43642.24330752001</v>
      </c>
      <c r="DJ104" s="28">
        <f t="shared" si="488"/>
        <v>42602.198446080001</v>
      </c>
      <c r="DK104" s="28">
        <f t="shared" si="488"/>
        <v>46887.428390399997</v>
      </c>
      <c r="DL104" s="28">
        <f t="shared" si="488"/>
        <v>36232.459516800001</v>
      </c>
      <c r="DM104" s="28">
        <f t="shared" si="488"/>
        <v>41611.148519040005</v>
      </c>
      <c r="DN104" s="28">
        <f t="shared" si="488"/>
        <v>44300.49302016</v>
      </c>
      <c r="DO104" s="28">
        <f t="shared" si="488"/>
        <v>46334.754950399998</v>
      </c>
      <c r="DP104" s="28">
        <f t="shared" si="488"/>
        <v>44650.498907520014</v>
      </c>
      <c r="DQ104" s="28">
        <f t="shared" si="488"/>
        <v>43640.32828608001</v>
      </c>
      <c r="DR104" s="28">
        <f t="shared" si="488"/>
        <v>37054.001116799998</v>
      </c>
      <c r="DS104" s="28">
        <f t="shared" si="488"/>
        <v>41036.069399040003</v>
      </c>
      <c r="DT104" s="28">
        <f t="shared" si="488"/>
        <v>44054.030540159998</v>
      </c>
      <c r="DU104" s="58">
        <f t="shared" si="488"/>
        <v>512045.65440000012</v>
      </c>
      <c r="DW104" s="28">
        <f t="shared" ref="DW104:EI104" si="489">+SUM(DW105:DW113)</f>
        <v>0</v>
      </c>
      <c r="DX104" s="28">
        <f t="shared" si="489"/>
        <v>0</v>
      </c>
      <c r="DY104" s="28">
        <f t="shared" si="489"/>
        <v>0</v>
      </c>
      <c r="DZ104" s="28">
        <f t="shared" si="489"/>
        <v>0</v>
      </c>
      <c r="EA104" s="28">
        <f t="shared" si="489"/>
        <v>0</v>
      </c>
      <c r="EB104" s="28">
        <f t="shared" si="489"/>
        <v>0</v>
      </c>
      <c r="EC104" s="28">
        <f t="shared" si="489"/>
        <v>0</v>
      </c>
      <c r="ED104" s="28">
        <f t="shared" si="489"/>
        <v>0</v>
      </c>
      <c r="EE104" s="28">
        <f t="shared" si="489"/>
        <v>0</v>
      </c>
      <c r="EF104" s="28">
        <f t="shared" si="489"/>
        <v>0</v>
      </c>
      <c r="EG104" s="28">
        <f t="shared" si="489"/>
        <v>0</v>
      </c>
      <c r="EH104" s="28">
        <f t="shared" si="489"/>
        <v>0</v>
      </c>
      <c r="EI104" s="58">
        <f t="shared" si="489"/>
        <v>0</v>
      </c>
      <c r="EJ104" s="17" t="str">
        <f t="shared" si="376"/>
        <v>Marketing Expenses</v>
      </c>
      <c r="EK104" s="28">
        <f t="shared" ref="EK104:EW104" si="490">+SUM(EK105:EK113)</f>
        <v>2474</v>
      </c>
      <c r="EL104" s="28">
        <f t="shared" si="490"/>
        <v>3838</v>
      </c>
      <c r="EM104" s="28">
        <f t="shared" si="490"/>
        <v>35709</v>
      </c>
      <c r="EN104" s="28">
        <f t="shared" si="490"/>
        <v>3700</v>
      </c>
      <c r="EO104" s="28">
        <f t="shared" si="490"/>
        <v>136168.75799999997</v>
      </c>
      <c r="EP104" s="28">
        <f t="shared" si="490"/>
        <v>79900.176000000007</v>
      </c>
      <c r="EQ104" s="28">
        <f t="shared" si="490"/>
        <v>30928</v>
      </c>
      <c r="ER104" s="28">
        <f t="shared" si="490"/>
        <v>3214.92</v>
      </c>
      <c r="ES104" s="28">
        <f t="shared" si="490"/>
        <v>52115</v>
      </c>
      <c r="ET104" s="28">
        <f t="shared" si="490"/>
        <v>4481.54</v>
      </c>
      <c r="EU104" s="28">
        <f t="shared" si="490"/>
        <v>0</v>
      </c>
      <c r="EV104" s="28">
        <f t="shared" si="490"/>
        <v>0</v>
      </c>
      <c r="EW104" s="28">
        <f t="shared" si="490"/>
        <v>352529.39399999997</v>
      </c>
      <c r="EX104" s="118">
        <f t="shared" si="479"/>
        <v>2.8382494004796155</v>
      </c>
      <c r="EY104" s="28">
        <f t="shared" ref="EY104:FK104" si="491">+SUM(EY105:EY113)</f>
        <v>900.72000000000014</v>
      </c>
      <c r="EZ104" s="28">
        <f t="shared" si="491"/>
        <v>840.67200000000003</v>
      </c>
      <c r="FA104" s="28">
        <f t="shared" si="491"/>
        <v>938.25</v>
      </c>
      <c r="FB104" s="28">
        <f t="shared" si="491"/>
        <v>840.67200000000003</v>
      </c>
      <c r="FC104" s="28">
        <f t="shared" si="491"/>
        <v>1000.8000000000001</v>
      </c>
      <c r="FD104" s="28">
        <f t="shared" si="491"/>
        <v>1000.8000000000001</v>
      </c>
      <c r="FE104" s="28">
        <f t="shared" si="491"/>
        <v>1125.9000000000001</v>
      </c>
      <c r="FF104" s="28">
        <f t="shared" si="491"/>
        <v>1084.2</v>
      </c>
      <c r="FG104" s="28">
        <f t="shared" si="491"/>
        <v>1035.8280000000002</v>
      </c>
      <c r="FH104" s="28">
        <f t="shared" si="491"/>
        <v>1167.6000000000001</v>
      </c>
      <c r="FI104" s="28">
        <f t="shared" si="491"/>
        <v>1209.3</v>
      </c>
      <c r="FJ104" s="28">
        <f t="shared" si="491"/>
        <v>1301.04</v>
      </c>
      <c r="FK104" s="58">
        <f t="shared" si="491"/>
        <v>12445.781999999999</v>
      </c>
    </row>
    <row r="105" spans="1:167" ht="14.45" hidden="1" customHeight="1" outlineLevel="1">
      <c r="A105" s="106">
        <f t="shared" ref="A105:L113" si="492">+AQ105+CG105+DW105</f>
        <v>5590.7</v>
      </c>
      <c r="B105" s="106">
        <f t="shared" si="492"/>
        <v>1000</v>
      </c>
      <c r="C105" s="106">
        <f t="shared" si="492"/>
        <v>1239</v>
      </c>
      <c r="D105" s="106">
        <f t="shared" si="492"/>
        <v>1109</v>
      </c>
      <c r="E105" s="106">
        <f t="shared" si="492"/>
        <v>0</v>
      </c>
      <c r="F105" s="106">
        <f t="shared" si="492"/>
        <v>2670</v>
      </c>
      <c r="G105" s="106">
        <f t="shared" si="492"/>
        <v>1000</v>
      </c>
      <c r="H105" s="106">
        <f t="shared" si="492"/>
        <v>1000</v>
      </c>
      <c r="I105" s="106">
        <f t="shared" si="492"/>
        <v>14064</v>
      </c>
      <c r="J105" s="106">
        <f t="shared" si="492"/>
        <v>0</v>
      </c>
      <c r="K105" s="106">
        <f t="shared" si="492"/>
        <v>1360</v>
      </c>
      <c r="L105" s="106">
        <f t="shared" si="492"/>
        <v>360</v>
      </c>
      <c r="M105" s="106">
        <f t="shared" ref="M105:M113" si="493">+SUM(A105:L105)</f>
        <v>29392.7</v>
      </c>
      <c r="N105" s="16" t="s">
        <v>85</v>
      </c>
      <c r="O105" s="22">
        <f t="shared" ref="O105:Z113" si="494">+BE105+CU105+EK105</f>
        <v>41721.5</v>
      </c>
      <c r="P105" s="22">
        <f t="shared" si="494"/>
        <v>1500</v>
      </c>
      <c r="Q105" s="22">
        <f t="shared" si="494"/>
        <v>0</v>
      </c>
      <c r="R105" s="22">
        <f t="shared" si="494"/>
        <v>1928</v>
      </c>
      <c r="S105" s="22">
        <f t="shared" si="494"/>
        <v>112</v>
      </c>
      <c r="T105" s="22">
        <f t="shared" si="494"/>
        <v>500</v>
      </c>
      <c r="U105" s="22">
        <f t="shared" si="494"/>
        <v>0</v>
      </c>
      <c r="V105" s="22">
        <f t="shared" si="494"/>
        <v>100792.26999999999</v>
      </c>
      <c r="W105" s="22">
        <f t="shared" si="494"/>
        <v>459044.39999999997</v>
      </c>
      <c r="X105" s="22">
        <f t="shared" si="494"/>
        <v>38089</v>
      </c>
      <c r="Y105" s="22">
        <f t="shared" si="494"/>
        <v>0</v>
      </c>
      <c r="Z105" s="22">
        <f t="shared" si="494"/>
        <v>0</v>
      </c>
      <c r="AA105" s="22">
        <f t="shared" ref="AA105:AA113" si="495">+SUM(O105:Z105)</f>
        <v>643687.16999999993</v>
      </c>
      <c r="AB105" s="118">
        <f t="shared" si="476"/>
        <v>0</v>
      </c>
      <c r="AC105" s="22">
        <f t="shared" ref="AC105:AN113" si="496">+BS105+DI105+EY105</f>
        <v>0</v>
      </c>
      <c r="AD105" s="22">
        <f t="shared" si="496"/>
        <v>0</v>
      </c>
      <c r="AE105" s="22">
        <f t="shared" si="496"/>
        <v>0</v>
      </c>
      <c r="AF105" s="22">
        <f t="shared" si="496"/>
        <v>0</v>
      </c>
      <c r="AG105" s="22">
        <f t="shared" si="496"/>
        <v>0</v>
      </c>
      <c r="AH105" s="22">
        <f t="shared" si="496"/>
        <v>0</v>
      </c>
      <c r="AI105" s="22">
        <f t="shared" si="496"/>
        <v>0</v>
      </c>
      <c r="AJ105" s="22">
        <f t="shared" si="496"/>
        <v>0</v>
      </c>
      <c r="AK105" s="22">
        <f t="shared" si="496"/>
        <v>0</v>
      </c>
      <c r="AL105" s="22">
        <f t="shared" si="496"/>
        <v>0</v>
      </c>
      <c r="AM105" s="22">
        <f t="shared" si="496"/>
        <v>0</v>
      </c>
      <c r="AN105" s="22">
        <f t="shared" si="496"/>
        <v>0</v>
      </c>
      <c r="AO105" s="22">
        <f t="shared" ref="AO105:AO113" si="497">+SUM(AC105:AN105)</f>
        <v>0</v>
      </c>
      <c r="AQ105" s="106">
        <v>4346</v>
      </c>
      <c r="AR105" s="106">
        <v>1000</v>
      </c>
      <c r="AS105" s="106">
        <v>240</v>
      </c>
      <c r="AT105" s="106">
        <v>870</v>
      </c>
      <c r="AU105" s="106">
        <v>0</v>
      </c>
      <c r="AV105" s="106">
        <v>1270</v>
      </c>
      <c r="AW105" s="106">
        <v>1000</v>
      </c>
      <c r="AX105" s="106">
        <v>1000</v>
      </c>
      <c r="AY105" s="106">
        <v>11718</v>
      </c>
      <c r="AZ105" s="106">
        <v>0</v>
      </c>
      <c r="BA105" s="106">
        <v>0</v>
      </c>
      <c r="BB105" s="106">
        <v>360</v>
      </c>
      <c r="BC105" s="106">
        <f t="shared" ref="BC105:BC113" si="498">+SUM(AQ105:BB105)</f>
        <v>21804</v>
      </c>
      <c r="BD105" s="16" t="str">
        <f t="shared" si="334"/>
        <v>CRM Activities</v>
      </c>
      <c r="BE105" s="22">
        <f>+VLOOKUP($BD105,'Jan-25'!$A:$J,4,0)</f>
        <v>41721.5</v>
      </c>
      <c r="BF105" s="22">
        <f>+VLOOKUP($BD105,'Feb-25'!$A:$J,4,0)</f>
        <v>0</v>
      </c>
      <c r="BG105" s="22">
        <f>+VLOOKUP($BD105,'Mar-25'!$A:$J,4,0)</f>
        <v>0</v>
      </c>
      <c r="BH105" s="22">
        <f>+VLOOKUP($BD105,'Apr-25'!$A:$J,4,0)</f>
        <v>0</v>
      </c>
      <c r="BI105" s="22">
        <f>+VLOOKUP($BD105,'May-25'!$A:$J,4,0)</f>
        <v>112</v>
      </c>
      <c r="BJ105" s="22">
        <f>+VLOOKUP($BD105,'June-25'!$A:$J,4,0)</f>
        <v>0</v>
      </c>
      <c r="BK105" s="22">
        <f>+VLOOKUP($BD105,'July-25'!$A:$J,4,0)</f>
        <v>0</v>
      </c>
      <c r="BL105" s="22">
        <f>+VLOOKUP($BD105,'Aug-25'!$A:$J,4,0)</f>
        <v>82562.59</v>
      </c>
      <c r="BM105" s="22">
        <f>+VLOOKUP($BD105,'Sep-25'!$A:$J,4,0)</f>
        <v>415202.70999999996</v>
      </c>
      <c r="BN105" s="22">
        <f>+VLOOKUP($BD105,'Oct-25'!$A:$J,4,0)</f>
        <v>11890.11</v>
      </c>
      <c r="BO105" s="22">
        <f>+VLOOKUP($BD105,'Nov-25'!$A:$J,4,0)</f>
        <v>0</v>
      </c>
      <c r="BP105" s="22">
        <f>+VLOOKUP($BD105,'Dec-25'!$A:$J,4,0)</f>
        <v>0</v>
      </c>
      <c r="BQ105" s="22">
        <f t="shared" ref="BQ105:BQ113" si="499">+SUM(BE105:BP105)</f>
        <v>551488.90999999992</v>
      </c>
      <c r="BR105" s="118">
        <f t="shared" si="477"/>
        <v>0</v>
      </c>
      <c r="BS105" s="106">
        <f>+_xlfn.XLOOKUP($BD105,Budget!$A:$A,Budget!AQ:AQ)</f>
        <v>0</v>
      </c>
      <c r="BT105" s="106">
        <f>+_xlfn.XLOOKUP($BD105,Budget!$A:$A,Budget!AR:AR)</f>
        <v>0</v>
      </c>
      <c r="BU105" s="106">
        <f>+_xlfn.XLOOKUP($BD105,Budget!$A:$A,Budget!AS:AS)</f>
        <v>0</v>
      </c>
      <c r="BV105" s="106">
        <f>+_xlfn.XLOOKUP($BD105,Budget!$A:$A,Budget!AT:AT)</f>
        <v>0</v>
      </c>
      <c r="BW105" s="106">
        <f>+_xlfn.XLOOKUP($BD105,Budget!$A:$A,Budget!AU:AU)</f>
        <v>0</v>
      </c>
      <c r="BX105" s="106">
        <f>+_xlfn.XLOOKUP($BD105,Budget!$A:$A,Budget!AV:AV)</f>
        <v>0</v>
      </c>
      <c r="BY105" s="106">
        <f>+_xlfn.XLOOKUP($BD105,Budget!$A:$A,Budget!AW:AW)</f>
        <v>0</v>
      </c>
      <c r="BZ105" s="106">
        <f>+_xlfn.XLOOKUP($BD105,Budget!$A:$A,Budget!AX:AX)</f>
        <v>0</v>
      </c>
      <c r="CA105" s="106">
        <f>+_xlfn.XLOOKUP($BD105,Budget!$A:$A,Budget!AY:AY)</f>
        <v>0</v>
      </c>
      <c r="CB105" s="106">
        <f>+_xlfn.XLOOKUP($BD105,Budget!$A:$A,Budget!AZ:AZ)</f>
        <v>0</v>
      </c>
      <c r="CC105" s="106">
        <f>+_xlfn.XLOOKUP($BD105,Budget!$A:$A,Budget!BA:BA)</f>
        <v>0</v>
      </c>
      <c r="CD105" s="106">
        <f>+_xlfn.XLOOKUP($BD105,Budget!$A:$A,Budget!BB:BB)</f>
        <v>0</v>
      </c>
      <c r="CE105" s="106">
        <f t="shared" ref="CE105:CE113" si="500">+SUM(BS105:CD105)</f>
        <v>0</v>
      </c>
      <c r="CF105" s="22"/>
      <c r="CG105" s="22">
        <v>1244.6999999999998</v>
      </c>
      <c r="CH105" s="22">
        <v>0</v>
      </c>
      <c r="CI105" s="22">
        <v>999</v>
      </c>
      <c r="CJ105" s="22">
        <v>239</v>
      </c>
      <c r="CK105" s="22">
        <v>0</v>
      </c>
      <c r="CL105" s="22">
        <v>1400</v>
      </c>
      <c r="CM105" s="22">
        <v>0</v>
      </c>
      <c r="CN105" s="22">
        <v>0</v>
      </c>
      <c r="CO105" s="22">
        <v>2346</v>
      </c>
      <c r="CP105" s="22">
        <v>0</v>
      </c>
      <c r="CQ105" s="22">
        <v>1360</v>
      </c>
      <c r="CR105" s="22">
        <v>0</v>
      </c>
      <c r="CS105" s="106">
        <f t="shared" ref="CS105:CS113" si="501">+SUM(CG105:CR105)</f>
        <v>7588.7</v>
      </c>
      <c r="CT105" s="16" t="str">
        <f t="shared" si="338"/>
        <v>CRM Activities</v>
      </c>
      <c r="CU105" s="22">
        <f>+VLOOKUP($BD105,'Jan-25'!$A:$J,7,0)</f>
        <v>0</v>
      </c>
      <c r="CV105" s="22">
        <f>+VLOOKUP($BD105,'Feb-25'!$A:$J,7,0)</f>
        <v>0</v>
      </c>
      <c r="CW105" s="22">
        <f>+VLOOKUP($BD105,'Mar-25'!$A:$J,7,0)</f>
        <v>0</v>
      </c>
      <c r="CX105" s="22">
        <f>+VLOOKUP($BD105,'Apr-25'!$A:$J,7,0)</f>
        <v>1928</v>
      </c>
      <c r="CY105" s="22">
        <f>+VLOOKUP($BD105,'May-25'!$A:$J,7,0)</f>
        <v>0</v>
      </c>
      <c r="CZ105" s="22">
        <f>+VLOOKUP($BD105,'June-25'!$A:$J,7,0)</f>
        <v>500</v>
      </c>
      <c r="DA105" s="22">
        <f>+VLOOKUP($BD105,'July-25'!$A:$J,7,0)</f>
        <v>0</v>
      </c>
      <c r="DB105" s="22">
        <f>+VLOOKUP($BD105,'Aug-25'!$A:$J,7,0)</f>
        <v>18229.68</v>
      </c>
      <c r="DC105" s="22">
        <f>+VLOOKUP($BD105,'Sep-25'!$A:$J,7,0)</f>
        <v>43841.69</v>
      </c>
      <c r="DD105" s="22">
        <f>+VLOOKUP($BD105,'Oct-25'!$A:$J,7,0)</f>
        <v>26198.89</v>
      </c>
      <c r="DE105" s="22">
        <f>+VLOOKUP($BD105,'Nov-25'!$A:$J,7,0)</f>
        <v>0</v>
      </c>
      <c r="DF105" s="22">
        <f>+VLOOKUP($BD105,'Dec-25'!$A:$J,7,0)</f>
        <v>0</v>
      </c>
      <c r="DG105" s="22">
        <f t="shared" ref="DG105:DG113" si="502">+SUM(CU105:DF105)</f>
        <v>90698.260000000009</v>
      </c>
      <c r="DH105" s="118">
        <f t="shared" si="478"/>
        <v>0</v>
      </c>
      <c r="DI105" s="22">
        <f>+_xlfn.XLOOKUP($CT105,Budget!$A:$A,Budget!CD:CD)</f>
        <v>0</v>
      </c>
      <c r="DJ105" s="22">
        <f>+_xlfn.XLOOKUP($CT105,Budget!$A:$A,Budget!CE:CE)</f>
        <v>0</v>
      </c>
      <c r="DK105" s="22">
        <f>+_xlfn.XLOOKUP($CT105,Budget!$A:$A,Budget!CF:CF)</f>
        <v>0</v>
      </c>
      <c r="DL105" s="22">
        <f>+_xlfn.XLOOKUP($CT105,Budget!$A:$A,Budget!CG:CG)</f>
        <v>0</v>
      </c>
      <c r="DM105" s="22">
        <f>+_xlfn.XLOOKUP($CT105,Budget!$A:$A,Budget!CH:CH)</f>
        <v>0</v>
      </c>
      <c r="DN105" s="22">
        <f>+_xlfn.XLOOKUP($CT105,Budget!$A:$A,Budget!CI:CI)</f>
        <v>0</v>
      </c>
      <c r="DO105" s="22">
        <f>+_xlfn.XLOOKUP($CT105,Budget!$A:$A,Budget!CJ:CJ)</f>
        <v>0</v>
      </c>
      <c r="DP105" s="22">
        <f>+_xlfn.XLOOKUP($CT105,Budget!$A:$A,Budget!CK:CK)</f>
        <v>0</v>
      </c>
      <c r="DQ105" s="22">
        <f>+_xlfn.XLOOKUP($CT105,Budget!$A:$A,Budget!CL:CL)</f>
        <v>0</v>
      </c>
      <c r="DR105" s="22">
        <f>+_xlfn.XLOOKUP($CT105,Budget!$A:$A,Budget!CM:CM)</f>
        <v>0</v>
      </c>
      <c r="DS105" s="22">
        <f>+_xlfn.XLOOKUP($CT105,Budget!$A:$A,Budget!CN:CN)</f>
        <v>0</v>
      </c>
      <c r="DT105" s="22">
        <f>+_xlfn.XLOOKUP($CT105,Budget!$A:$A,Budget!CO:CO)</f>
        <v>0</v>
      </c>
      <c r="DU105" s="106">
        <f t="shared" ref="DU105:DU113" si="503">+SUM(DI105:DT105)</f>
        <v>0</v>
      </c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106">
        <f t="shared" ref="EI105:EI113" si="504">+SUM(DW105:EH105)</f>
        <v>0</v>
      </c>
      <c r="EJ105" s="16" t="str">
        <f t="shared" si="376"/>
        <v>CRM Activities</v>
      </c>
      <c r="EK105" s="22">
        <f>+VLOOKUP($BD105,'Jan-25'!$A:$J,9,0)</f>
        <v>0</v>
      </c>
      <c r="EL105" s="22">
        <f>+VLOOKUP($BD105,'Feb-25'!$A:$J,9,0)</f>
        <v>1500</v>
      </c>
      <c r="EM105" s="22">
        <f>+VLOOKUP($BD105,'Mar-25'!$A:$J,9,0)</f>
        <v>0</v>
      </c>
      <c r="EN105" s="22">
        <f>+VLOOKUP($BD105,'Apr-25'!$A:$J,9,0)</f>
        <v>0</v>
      </c>
      <c r="EO105" s="22">
        <f>+VLOOKUP($BD105,'May-25'!$A:$J,9,0)</f>
        <v>0</v>
      </c>
      <c r="EP105" s="22">
        <f>+VLOOKUP($BD105,'June-25'!$A:$J,9,0)</f>
        <v>0</v>
      </c>
      <c r="EQ105" s="22">
        <f>+VLOOKUP($BD105,'July-25'!$A:$J,9,0)</f>
        <v>0</v>
      </c>
      <c r="ER105" s="22">
        <f>+VLOOKUP($BD105,'Aug-25'!$A:$J,9,0)</f>
        <v>0</v>
      </c>
      <c r="ES105" s="22">
        <f>+VLOOKUP($BD105,'Sep-25'!$A:$J,9,0)</f>
        <v>0</v>
      </c>
      <c r="ET105" s="22">
        <f>+VLOOKUP($BD105,'Oct-25'!$A:$J,9,0)</f>
        <v>0</v>
      </c>
      <c r="EU105" s="22">
        <f>+VLOOKUP($BD105,'Nov-25'!$A:$J,9,0)</f>
        <v>0</v>
      </c>
      <c r="EV105" s="22">
        <f>+VLOOKUP($BD105,'Dec-25'!$A:$J,9,0)</f>
        <v>0</v>
      </c>
      <c r="EW105" s="22">
        <f t="shared" ref="EW105:EW113" si="505">+SUM(EK105:EV105)</f>
        <v>1500</v>
      </c>
      <c r="EX105" s="118">
        <f t="shared" si="479"/>
        <v>0</v>
      </c>
      <c r="EY105" s="22">
        <f>+_xlfn.XLOOKUP($EJ105,Budget!$A:$A,Budget!DE:DE)</f>
        <v>0</v>
      </c>
      <c r="EZ105" s="22">
        <f>+_xlfn.XLOOKUP($EJ105,Budget!$A:$A,Budget!DF:DF)</f>
        <v>0</v>
      </c>
      <c r="FA105" s="22">
        <f>+_xlfn.XLOOKUP($EJ105,Budget!$A:$A,Budget!DG:DG)</f>
        <v>0</v>
      </c>
      <c r="FB105" s="22">
        <f>+_xlfn.XLOOKUP($EJ105,Budget!$A:$A,Budget!DH:DH)</f>
        <v>0</v>
      </c>
      <c r="FC105" s="22">
        <f>+_xlfn.XLOOKUP($EJ105,Budget!$A:$A,Budget!DI:DI)</f>
        <v>0</v>
      </c>
      <c r="FD105" s="22">
        <f>+_xlfn.XLOOKUP($EJ105,Budget!$A:$A,Budget!DJ:DJ)</f>
        <v>0</v>
      </c>
      <c r="FE105" s="22">
        <f>+_xlfn.XLOOKUP($EJ105,Budget!$A:$A,Budget!DK:DK)</f>
        <v>0</v>
      </c>
      <c r="FF105" s="22">
        <f>+_xlfn.XLOOKUP($EJ105,Budget!$A:$A,Budget!DL:DL)</f>
        <v>0</v>
      </c>
      <c r="FG105" s="22">
        <f>+_xlfn.XLOOKUP($EJ105,Budget!$A:$A,Budget!DM:DM)</f>
        <v>0</v>
      </c>
      <c r="FH105" s="22">
        <f>+_xlfn.XLOOKUP($EJ105,Budget!$A:$A,Budget!DN:DN)</f>
        <v>0</v>
      </c>
      <c r="FI105" s="22">
        <f>+_xlfn.XLOOKUP($EJ105,Budget!$A:$A,Budget!DO:DO)</f>
        <v>0</v>
      </c>
      <c r="FJ105" s="22">
        <f>+_xlfn.XLOOKUP($EJ105,Budget!$A:$A,Budget!DP:DP)</f>
        <v>0</v>
      </c>
      <c r="FK105" s="106">
        <f t="shared" ref="FK105:FK113" si="506">+SUM(EY105:FJ105)</f>
        <v>0</v>
      </c>
    </row>
    <row r="106" spans="1:167" ht="14.45" hidden="1" customHeight="1" outlineLevel="1">
      <c r="A106" s="106">
        <f t="shared" si="492"/>
        <v>25508</v>
      </c>
      <c r="B106" s="106">
        <f t="shared" si="492"/>
        <v>21651</v>
      </c>
      <c r="C106" s="106">
        <f t="shared" si="492"/>
        <v>30000</v>
      </c>
      <c r="D106" s="106">
        <f t="shared" si="492"/>
        <v>71500</v>
      </c>
      <c r="E106" s="106">
        <f t="shared" si="492"/>
        <v>63500</v>
      </c>
      <c r="F106" s="106">
        <f t="shared" si="492"/>
        <v>30000</v>
      </c>
      <c r="G106" s="106">
        <f t="shared" si="492"/>
        <v>30000</v>
      </c>
      <c r="H106" s="106">
        <f t="shared" si="492"/>
        <v>31485</v>
      </c>
      <c r="I106" s="106">
        <f t="shared" si="492"/>
        <v>70400</v>
      </c>
      <c r="J106" s="106">
        <f t="shared" si="492"/>
        <v>35000</v>
      </c>
      <c r="K106" s="106">
        <f t="shared" si="492"/>
        <v>28000</v>
      </c>
      <c r="L106" s="106">
        <f t="shared" si="492"/>
        <v>0</v>
      </c>
      <c r="M106" s="106">
        <f t="shared" si="493"/>
        <v>437044</v>
      </c>
      <c r="N106" s="16" t="s">
        <v>86</v>
      </c>
      <c r="O106" s="22">
        <f t="shared" si="494"/>
        <v>0</v>
      </c>
      <c r="P106" s="22">
        <f t="shared" si="494"/>
        <v>6210</v>
      </c>
      <c r="Q106" s="22">
        <f t="shared" si="494"/>
        <v>23095</v>
      </c>
      <c r="R106" s="22">
        <f t="shared" si="494"/>
        <v>59670.82</v>
      </c>
      <c r="S106" s="22">
        <f t="shared" si="494"/>
        <v>0</v>
      </c>
      <c r="T106" s="22">
        <f t="shared" si="494"/>
        <v>27826.43</v>
      </c>
      <c r="U106" s="22">
        <f t="shared" si="494"/>
        <v>8100</v>
      </c>
      <c r="V106" s="22">
        <f t="shared" si="494"/>
        <v>11961</v>
      </c>
      <c r="W106" s="22">
        <f t="shared" si="494"/>
        <v>0</v>
      </c>
      <c r="X106" s="22">
        <f t="shared" si="494"/>
        <v>42300</v>
      </c>
      <c r="Y106" s="22">
        <f t="shared" si="494"/>
        <v>0</v>
      </c>
      <c r="Z106" s="22">
        <f t="shared" si="494"/>
        <v>0</v>
      </c>
      <c r="AA106" s="22">
        <f t="shared" si="495"/>
        <v>179163.25</v>
      </c>
      <c r="AB106" s="118">
        <f t="shared" si="476"/>
        <v>-0.50108004434575126</v>
      </c>
      <c r="AC106" s="22">
        <f t="shared" si="496"/>
        <v>92909.106840000022</v>
      </c>
      <c r="AD106" s="22">
        <f t="shared" si="496"/>
        <v>90803.228560000018</v>
      </c>
      <c r="AE106" s="22">
        <f t="shared" si="496"/>
        <v>91384.222599999994</v>
      </c>
      <c r="AF106" s="22">
        <f t="shared" si="496"/>
        <v>77906.932180000003</v>
      </c>
      <c r="AG106" s="22">
        <f t="shared" si="496"/>
        <v>87697.730780000013</v>
      </c>
      <c r="AH106" s="22">
        <f t="shared" si="496"/>
        <v>92060.842720000001</v>
      </c>
      <c r="AI106" s="22">
        <f t="shared" si="496"/>
        <v>95094.958200000008</v>
      </c>
      <c r="AJ106" s="22">
        <f t="shared" si="496"/>
        <v>96029.246940000041</v>
      </c>
      <c r="AK106" s="22">
        <f t="shared" si="496"/>
        <v>98369.81286000002</v>
      </c>
      <c r="AL106" s="22">
        <f t="shared" si="496"/>
        <v>84783.1391</v>
      </c>
      <c r="AM106" s="22">
        <f t="shared" si="496"/>
        <v>78439.78648000001</v>
      </c>
      <c r="AN106" s="22">
        <f t="shared" si="496"/>
        <v>94176.436419999984</v>
      </c>
      <c r="AO106" s="22">
        <f t="shared" si="497"/>
        <v>1079655.4436800003</v>
      </c>
      <c r="AQ106" s="106">
        <v>23672</v>
      </c>
      <c r="AR106" s="106">
        <v>19151</v>
      </c>
      <c r="AS106" s="106">
        <v>30000</v>
      </c>
      <c r="AT106" s="106">
        <v>71500</v>
      </c>
      <c r="AU106" s="106">
        <v>63500</v>
      </c>
      <c r="AV106" s="106">
        <v>30000</v>
      </c>
      <c r="AW106" s="106">
        <v>30000</v>
      </c>
      <c r="AX106" s="106">
        <v>31485</v>
      </c>
      <c r="AY106" s="106">
        <v>70400</v>
      </c>
      <c r="AZ106" s="106">
        <v>35000</v>
      </c>
      <c r="BA106" s="106">
        <v>28000</v>
      </c>
      <c r="BB106" s="106">
        <v>0</v>
      </c>
      <c r="BC106" s="106">
        <f t="shared" si="498"/>
        <v>432708</v>
      </c>
      <c r="BD106" s="16" t="str">
        <f t="shared" si="334"/>
        <v>Digital Marketing</v>
      </c>
      <c r="BE106" s="22">
        <f>+VLOOKUP($BD106,'Jan-25'!$A:$J,4,0)</f>
        <v>0</v>
      </c>
      <c r="BF106" s="22">
        <f>+VLOOKUP($BD106,'Feb-25'!$A:$J,4,0)</f>
        <v>4140</v>
      </c>
      <c r="BG106" s="22">
        <f>+VLOOKUP($BD106,'Mar-25'!$A:$J,4,0)</f>
        <v>18730</v>
      </c>
      <c r="BH106" s="22">
        <f>+VLOOKUP($BD106,'Apr-25'!$A:$J,4,0)</f>
        <v>50400.82</v>
      </c>
      <c r="BI106" s="22">
        <f>+VLOOKUP($BD106,'May-25'!$A:$J,4,0)</f>
        <v>0</v>
      </c>
      <c r="BJ106" s="22">
        <f>+VLOOKUP($BD106,'June-25'!$A:$J,4,0)</f>
        <v>16838.215</v>
      </c>
      <c r="BK106" s="22">
        <f>+VLOOKUP($BD106,'July-25'!$A:$J,4,0)</f>
        <v>5400</v>
      </c>
      <c r="BL106" s="22">
        <f>+VLOOKUP($BD106,'Aug-25'!$A:$J,4,0)</f>
        <v>7974</v>
      </c>
      <c r="BM106" s="22">
        <f>+VLOOKUP($BD106,'Sep-25'!$A:$J,4,0)</f>
        <v>0</v>
      </c>
      <c r="BN106" s="22">
        <f>+VLOOKUP($BD106,'Oct-25'!$A:$J,4,0)</f>
        <v>34200</v>
      </c>
      <c r="BO106" s="22">
        <f>+VLOOKUP($BD106,'Nov-25'!$A:$J,4,0)</f>
        <v>0</v>
      </c>
      <c r="BP106" s="22">
        <f>+VLOOKUP($BD106,'Dec-25'!$A:$J,4,0)</f>
        <v>0</v>
      </c>
      <c r="BQ106" s="22">
        <f t="shared" si="499"/>
        <v>137683.035</v>
      </c>
      <c r="BR106" s="118">
        <f t="shared" si="477"/>
        <v>-0.31960170199843735</v>
      </c>
      <c r="BS106" s="106">
        <f>+_xlfn.XLOOKUP($BD106,Budget!$A:$A,Budget!AQ:AQ)</f>
        <v>52253.223000000005</v>
      </c>
      <c r="BT106" s="106">
        <f>+_xlfn.XLOOKUP($BD106,Budget!$A:$A,Budget!AR:AR)</f>
        <v>51116.221200000022</v>
      </c>
      <c r="BU106" s="106">
        <f>+_xlfn.XLOOKUP($BD106,Budget!$A:$A,Budget!AS:AS)</f>
        <v>47705.215799999998</v>
      </c>
      <c r="BV106" s="106">
        <f>+_xlfn.XLOOKUP($BD106,Budget!$A:$A,Budget!AT:AT)</f>
        <v>44153.79408</v>
      </c>
      <c r="BW106" s="106">
        <f>+_xlfn.XLOOKUP($BD106,Budget!$A:$A,Budget!AU:AU)</f>
        <v>48933.957600000002</v>
      </c>
      <c r="BX106" s="106">
        <f>+_xlfn.XLOOKUP($BD106,Budget!$A:$A,Budget!AV:AV)</f>
        <v>50791.752</v>
      </c>
      <c r="BY106" s="106">
        <f>+_xlfn.XLOOKUP($BD106,Budget!$A:$A,Budget!AW:AW)</f>
        <v>51930.806400000009</v>
      </c>
      <c r="BZ106" s="106">
        <f>+_xlfn.XLOOKUP($BD106,Budget!$A:$A,Budget!AX:AX)</f>
        <v>54434.100600000027</v>
      </c>
      <c r="CA106" s="106">
        <f>+_xlfn.XLOOKUP($BD106,Budget!$A:$A,Budget!AY:AY)</f>
        <v>57715.713000000011</v>
      </c>
      <c r="CB106" s="106">
        <f>+_xlfn.XLOOKUP($BD106,Budget!$A:$A,Budget!AZ:AZ)</f>
        <v>50264.676000000007</v>
      </c>
      <c r="CC106" s="106">
        <f>+_xlfn.XLOOKUP($BD106,Budget!$A:$A,Budget!BA:BA)</f>
        <v>40211.7408</v>
      </c>
      <c r="CD106" s="106">
        <f>+_xlfn.XLOOKUP($BD106,Budget!$A:$A,Budget!BB:BB)</f>
        <v>53136.943199999994</v>
      </c>
      <c r="CE106" s="106">
        <f t="shared" si="500"/>
        <v>602648.14367999998</v>
      </c>
      <c r="CF106" s="22"/>
      <c r="CG106" s="22">
        <v>1836</v>
      </c>
      <c r="CH106" s="22">
        <v>2500</v>
      </c>
      <c r="CI106" s="22">
        <v>0</v>
      </c>
      <c r="CJ106" s="22">
        <v>0</v>
      </c>
      <c r="CK106" s="22">
        <v>0</v>
      </c>
      <c r="CL106" s="22">
        <v>0</v>
      </c>
      <c r="CM106" s="22">
        <v>0</v>
      </c>
      <c r="CN106" s="22">
        <v>0</v>
      </c>
      <c r="CO106" s="22">
        <v>0</v>
      </c>
      <c r="CP106" s="22">
        <v>0</v>
      </c>
      <c r="CQ106" s="22">
        <v>0</v>
      </c>
      <c r="CR106" s="22">
        <v>0</v>
      </c>
      <c r="CS106" s="106">
        <f t="shared" si="501"/>
        <v>4336</v>
      </c>
      <c r="CT106" s="16" t="str">
        <f t="shared" si="338"/>
        <v>Digital Marketing</v>
      </c>
      <c r="CU106" s="22">
        <f>+VLOOKUP($BD106,'Jan-25'!$A:$J,7,0)</f>
        <v>0</v>
      </c>
      <c r="CV106" s="22">
        <f>+VLOOKUP($BD106,'Feb-25'!$A:$J,7,0)</f>
        <v>2070</v>
      </c>
      <c r="CW106" s="22">
        <f>+VLOOKUP($BD106,'Mar-25'!$A:$J,7,0)</f>
        <v>4365</v>
      </c>
      <c r="CX106" s="22">
        <f>+VLOOKUP($BD106,'Apr-25'!$A:$J,7,0)</f>
        <v>9270</v>
      </c>
      <c r="CY106" s="22">
        <f>+VLOOKUP($BD106,'May-25'!$A:$J,7,0)</f>
        <v>0</v>
      </c>
      <c r="CZ106" s="22">
        <f>+VLOOKUP($BD106,'June-25'!$A:$J,7,0)</f>
        <v>8932.9290000000001</v>
      </c>
      <c r="DA106" s="22">
        <f>+VLOOKUP($BD106,'July-25'!$A:$J,7,0)</f>
        <v>2700</v>
      </c>
      <c r="DB106" s="22">
        <f>+VLOOKUP($BD106,'Aug-25'!$A:$J,7,0)</f>
        <v>3987</v>
      </c>
      <c r="DC106" s="22">
        <f>+VLOOKUP($BD106,'Sep-25'!$A:$J,7,0)</f>
        <v>0</v>
      </c>
      <c r="DD106" s="22">
        <f>+VLOOKUP($BD106,'Oct-25'!$A:$J,7,0)</f>
        <v>8100</v>
      </c>
      <c r="DE106" s="22">
        <f>+VLOOKUP($BD106,'Nov-25'!$A:$J,7,0)</f>
        <v>0</v>
      </c>
      <c r="DF106" s="22">
        <f>+VLOOKUP($BD106,'Dec-25'!$A:$J,7,0)</f>
        <v>0</v>
      </c>
      <c r="DG106" s="22">
        <f t="shared" si="502"/>
        <v>39424.929000000004</v>
      </c>
      <c r="DH106" s="118">
        <f t="shared" si="478"/>
        <v>-0.76534297090417103</v>
      </c>
      <c r="DI106" s="22">
        <f>+_xlfn.XLOOKUP($CT106,Budget!$A:$A,Budget!CD:CD)</f>
        <v>40655.88384000001</v>
      </c>
      <c r="DJ106" s="22">
        <f>+_xlfn.XLOOKUP($CT106,Budget!$A:$A,Budget!CE:CE)</f>
        <v>39687.007360000003</v>
      </c>
      <c r="DK106" s="22">
        <f>+_xlfn.XLOOKUP($CT106,Budget!$A:$A,Budget!CF:CF)</f>
        <v>43679.006799999996</v>
      </c>
      <c r="DL106" s="22">
        <f>+_xlfn.XLOOKUP($CT106,Budget!$A:$A,Budget!CG:CG)</f>
        <v>33753.138100000004</v>
      </c>
      <c r="DM106" s="22">
        <f>+_xlfn.XLOOKUP($CT106,Budget!$A:$A,Budget!CH:CH)</f>
        <v>38763.773180000004</v>
      </c>
      <c r="DN106" s="22">
        <f>+_xlfn.XLOOKUP($CT106,Budget!$A:$A,Budget!CI:CI)</f>
        <v>41269.09072</v>
      </c>
      <c r="DO106" s="22">
        <f>+_xlfn.XLOOKUP($CT106,Budget!$A:$A,Budget!CJ:CJ)</f>
        <v>43164.1518</v>
      </c>
      <c r="DP106" s="22">
        <f>+_xlfn.XLOOKUP($CT106,Budget!$A:$A,Budget!CK:CK)</f>
        <v>41595.146340000014</v>
      </c>
      <c r="DQ106" s="22">
        <f>+_xlfn.XLOOKUP($CT106,Budget!$A:$A,Budget!CL:CL)</f>
        <v>40654.099860000009</v>
      </c>
      <c r="DR106" s="22">
        <f>+_xlfn.XLOOKUP($CT106,Budget!$A:$A,Budget!CM:CM)</f>
        <v>34518.463100000001</v>
      </c>
      <c r="DS106" s="22">
        <f>+_xlfn.XLOOKUP($CT106,Budget!$A:$A,Budget!CN:CN)</f>
        <v>38228.045680000003</v>
      </c>
      <c r="DT106" s="22">
        <f>+_xlfn.XLOOKUP($CT106,Budget!$A:$A,Budget!CO:CO)</f>
        <v>41039.493219999997</v>
      </c>
      <c r="DU106" s="106">
        <f t="shared" si="503"/>
        <v>477007.3000000001</v>
      </c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106">
        <f t="shared" si="504"/>
        <v>0</v>
      </c>
      <c r="EJ106" s="16" t="str">
        <f t="shared" si="376"/>
        <v>Digital Marketing</v>
      </c>
      <c r="EK106" s="22">
        <f>+VLOOKUP($BD106,'Jan-25'!$A:$J,9,0)</f>
        <v>0</v>
      </c>
      <c r="EL106" s="22">
        <f>+VLOOKUP($BD106,'Feb-25'!$A:$J,9,0)</f>
        <v>0</v>
      </c>
      <c r="EM106" s="22">
        <f>+VLOOKUP($BD106,'Mar-25'!$A:$J,9,0)</f>
        <v>0</v>
      </c>
      <c r="EN106" s="22">
        <f>+VLOOKUP($BD106,'Apr-25'!$A:$J,9,0)</f>
        <v>0</v>
      </c>
      <c r="EO106" s="22">
        <f>+VLOOKUP($BD106,'May-25'!$A:$J,9,0)</f>
        <v>0</v>
      </c>
      <c r="EP106" s="22">
        <f>+VLOOKUP($BD106,'June-25'!$A:$J,9,0)</f>
        <v>2055.2860000000001</v>
      </c>
      <c r="EQ106" s="22">
        <f>+VLOOKUP($BD106,'July-25'!$A:$J,9,0)</f>
        <v>0</v>
      </c>
      <c r="ER106" s="22">
        <f>+VLOOKUP($BD106,'Aug-25'!$A:$J,9,0)</f>
        <v>0</v>
      </c>
      <c r="ES106" s="22">
        <f>+VLOOKUP($BD106,'Sep-25'!$A:$J,9,0)</f>
        <v>0</v>
      </c>
      <c r="ET106" s="22">
        <f>+VLOOKUP($BD106,'Oct-25'!$A:$J,9,0)</f>
        <v>0</v>
      </c>
      <c r="EU106" s="22">
        <f>+VLOOKUP($BD106,'Nov-25'!$A:$J,9,0)</f>
        <v>0</v>
      </c>
      <c r="EV106" s="22">
        <f>+VLOOKUP($BD106,'Dec-25'!$A:$J,9,0)</f>
        <v>0</v>
      </c>
      <c r="EW106" s="22">
        <f t="shared" si="505"/>
        <v>2055.2860000000001</v>
      </c>
      <c r="EX106" s="118">
        <f t="shared" si="479"/>
        <v>0</v>
      </c>
      <c r="EY106" s="22">
        <f>+_xlfn.XLOOKUP($EJ106,Budget!$A:$A,Budget!DE:DE)</f>
        <v>0</v>
      </c>
      <c r="EZ106" s="22">
        <f>+_xlfn.XLOOKUP($EJ106,Budget!$A:$A,Budget!DF:DF)</f>
        <v>0</v>
      </c>
      <c r="FA106" s="22">
        <f>+_xlfn.XLOOKUP($EJ106,Budget!$A:$A,Budget!DG:DG)</f>
        <v>0</v>
      </c>
      <c r="FB106" s="22">
        <f>+_xlfn.XLOOKUP($EJ106,Budget!$A:$A,Budget!DH:DH)</f>
        <v>0</v>
      </c>
      <c r="FC106" s="22">
        <f>+_xlfn.XLOOKUP($EJ106,Budget!$A:$A,Budget!DI:DI)</f>
        <v>0</v>
      </c>
      <c r="FD106" s="22">
        <f>+_xlfn.XLOOKUP($EJ106,Budget!$A:$A,Budget!DJ:DJ)</f>
        <v>0</v>
      </c>
      <c r="FE106" s="22">
        <f>+_xlfn.XLOOKUP($EJ106,Budget!$A:$A,Budget!DK:DK)</f>
        <v>0</v>
      </c>
      <c r="FF106" s="22">
        <f>+_xlfn.XLOOKUP($EJ106,Budget!$A:$A,Budget!DL:DL)</f>
        <v>0</v>
      </c>
      <c r="FG106" s="22">
        <f>+_xlfn.XLOOKUP($EJ106,Budget!$A:$A,Budget!DM:DM)</f>
        <v>0</v>
      </c>
      <c r="FH106" s="22">
        <f>+_xlfn.XLOOKUP($EJ106,Budget!$A:$A,Budget!DN:DN)</f>
        <v>0</v>
      </c>
      <c r="FI106" s="22">
        <f>+_xlfn.XLOOKUP($EJ106,Budget!$A:$A,Budget!DO:DO)</f>
        <v>0</v>
      </c>
      <c r="FJ106" s="22">
        <f>+_xlfn.XLOOKUP($EJ106,Budget!$A:$A,Budget!DP:DP)</f>
        <v>0</v>
      </c>
      <c r="FK106" s="106">
        <f t="shared" si="506"/>
        <v>0</v>
      </c>
    </row>
    <row r="107" spans="1:167" ht="14.45" hidden="1" customHeight="1" outlineLevel="1">
      <c r="A107" s="106">
        <f t="shared" si="492"/>
        <v>0</v>
      </c>
      <c r="B107" s="106">
        <f t="shared" si="492"/>
        <v>0</v>
      </c>
      <c r="C107" s="106">
        <f t="shared" si="492"/>
        <v>0</v>
      </c>
      <c r="D107" s="106">
        <f t="shared" si="492"/>
        <v>0</v>
      </c>
      <c r="E107" s="106">
        <f t="shared" si="492"/>
        <v>0</v>
      </c>
      <c r="F107" s="106">
        <f t="shared" si="492"/>
        <v>0</v>
      </c>
      <c r="G107" s="106">
        <f t="shared" si="492"/>
        <v>0</v>
      </c>
      <c r="H107" s="106">
        <f t="shared" si="492"/>
        <v>0</v>
      </c>
      <c r="I107" s="106">
        <f t="shared" si="492"/>
        <v>0</v>
      </c>
      <c r="J107" s="106">
        <f t="shared" si="492"/>
        <v>0</v>
      </c>
      <c r="K107" s="106">
        <f t="shared" si="492"/>
        <v>0</v>
      </c>
      <c r="L107" s="106">
        <f t="shared" si="492"/>
        <v>0</v>
      </c>
      <c r="M107" s="106">
        <f t="shared" si="493"/>
        <v>0</v>
      </c>
      <c r="N107" s="16" t="s">
        <v>87</v>
      </c>
      <c r="O107" s="22">
        <f t="shared" si="494"/>
        <v>0</v>
      </c>
      <c r="P107" s="22">
        <f t="shared" si="494"/>
        <v>0</v>
      </c>
      <c r="Q107" s="22">
        <f t="shared" si="494"/>
        <v>0</v>
      </c>
      <c r="R107" s="22">
        <f t="shared" si="494"/>
        <v>0</v>
      </c>
      <c r="S107" s="22">
        <f t="shared" si="494"/>
        <v>0</v>
      </c>
      <c r="T107" s="22">
        <f t="shared" si="494"/>
        <v>0</v>
      </c>
      <c r="U107" s="22">
        <f t="shared" si="494"/>
        <v>0</v>
      </c>
      <c r="V107" s="22">
        <f t="shared" si="494"/>
        <v>0</v>
      </c>
      <c r="W107" s="22">
        <f t="shared" si="494"/>
        <v>0</v>
      </c>
      <c r="X107" s="22">
        <f t="shared" si="494"/>
        <v>0</v>
      </c>
      <c r="Y107" s="22">
        <f t="shared" si="494"/>
        <v>0</v>
      </c>
      <c r="Z107" s="22">
        <f t="shared" si="494"/>
        <v>0</v>
      </c>
      <c r="AA107" s="22">
        <f t="shared" si="495"/>
        <v>0</v>
      </c>
      <c r="AB107" s="118">
        <f t="shared" si="476"/>
        <v>0</v>
      </c>
      <c r="AC107" s="22">
        <f t="shared" si="496"/>
        <v>0</v>
      </c>
      <c r="AD107" s="22">
        <f t="shared" si="496"/>
        <v>0</v>
      </c>
      <c r="AE107" s="22">
        <f t="shared" si="496"/>
        <v>0</v>
      </c>
      <c r="AF107" s="22">
        <f t="shared" si="496"/>
        <v>0</v>
      </c>
      <c r="AG107" s="22">
        <f t="shared" si="496"/>
        <v>0</v>
      </c>
      <c r="AH107" s="22">
        <f t="shared" si="496"/>
        <v>0</v>
      </c>
      <c r="AI107" s="22">
        <f t="shared" si="496"/>
        <v>0</v>
      </c>
      <c r="AJ107" s="22">
        <f t="shared" si="496"/>
        <v>0</v>
      </c>
      <c r="AK107" s="22">
        <f t="shared" si="496"/>
        <v>0</v>
      </c>
      <c r="AL107" s="22">
        <f t="shared" si="496"/>
        <v>0</v>
      </c>
      <c r="AM107" s="22">
        <f t="shared" si="496"/>
        <v>0</v>
      </c>
      <c r="AN107" s="22">
        <f t="shared" si="496"/>
        <v>0</v>
      </c>
      <c r="AO107" s="22">
        <f t="shared" si="497"/>
        <v>0</v>
      </c>
      <c r="AQ107" s="106">
        <v>0</v>
      </c>
      <c r="AR107" s="106">
        <v>0</v>
      </c>
      <c r="AS107" s="106">
        <v>0</v>
      </c>
      <c r="AT107" s="106">
        <v>0</v>
      </c>
      <c r="AU107" s="106">
        <v>0</v>
      </c>
      <c r="AV107" s="106">
        <v>0</v>
      </c>
      <c r="AW107" s="106">
        <v>0</v>
      </c>
      <c r="AX107" s="106">
        <v>0</v>
      </c>
      <c r="AY107" s="106">
        <v>0</v>
      </c>
      <c r="AZ107" s="106">
        <v>0</v>
      </c>
      <c r="BA107" s="106">
        <v>0</v>
      </c>
      <c r="BB107" s="106">
        <v>0</v>
      </c>
      <c r="BC107" s="106">
        <f t="shared" si="498"/>
        <v>0</v>
      </c>
      <c r="BD107" s="16" t="str">
        <f t="shared" si="334"/>
        <v>Flexi Kit</v>
      </c>
      <c r="BE107" s="22">
        <f>+VLOOKUP($BD107,'Jan-25'!$A:$J,4,0)</f>
        <v>0</v>
      </c>
      <c r="BF107" s="22">
        <f>+VLOOKUP($BD107,'Feb-25'!$A:$J,4,0)</f>
        <v>0</v>
      </c>
      <c r="BG107" s="22">
        <f>+VLOOKUP($BD107,'Mar-25'!$A:$J,4,0)</f>
        <v>0</v>
      </c>
      <c r="BH107" s="22">
        <f>+VLOOKUP($BD107,'Apr-25'!$A:$J,4,0)</f>
        <v>0</v>
      </c>
      <c r="BI107" s="22">
        <f>+VLOOKUP($BD107,'May-25'!$A:$J,4,0)</f>
        <v>0</v>
      </c>
      <c r="BJ107" s="22">
        <f>+VLOOKUP($BD107,'June-25'!$A:$J,4,0)</f>
        <v>0</v>
      </c>
      <c r="BK107" s="22">
        <f>+VLOOKUP($BD107,'July-25'!$A:$J,4,0)</f>
        <v>0</v>
      </c>
      <c r="BL107" s="22">
        <f>+VLOOKUP($BD107,'Aug-25'!$A:$J,4,0)</f>
        <v>0</v>
      </c>
      <c r="BM107" s="22">
        <f>+VLOOKUP($BD107,'Sep-25'!$A:$J,4,0)</f>
        <v>0</v>
      </c>
      <c r="BN107" s="22">
        <f>+VLOOKUP($BD107,'Oct-25'!$A:$J,4,0)</f>
        <v>0</v>
      </c>
      <c r="BO107" s="22">
        <f>+VLOOKUP($BD107,'Nov-25'!$A:$J,4,0)</f>
        <v>0</v>
      </c>
      <c r="BP107" s="22">
        <f>+VLOOKUP($BD107,'Dec-25'!$A:$J,4,0)</f>
        <v>0</v>
      </c>
      <c r="BQ107" s="22">
        <f t="shared" si="499"/>
        <v>0</v>
      </c>
      <c r="BR107" s="118">
        <f t="shared" si="477"/>
        <v>0</v>
      </c>
      <c r="BS107" s="106">
        <f>+_xlfn.XLOOKUP($BD107,Budget!$A:$A,Budget!AQ:AQ)</f>
        <v>0</v>
      </c>
      <c r="BT107" s="106">
        <f>+_xlfn.XLOOKUP($BD107,Budget!$A:$A,Budget!AR:AR)</f>
        <v>0</v>
      </c>
      <c r="BU107" s="106">
        <f>+_xlfn.XLOOKUP($BD107,Budget!$A:$A,Budget!AS:AS)</f>
        <v>0</v>
      </c>
      <c r="BV107" s="106">
        <f>+_xlfn.XLOOKUP($BD107,Budget!$A:$A,Budget!AT:AT)</f>
        <v>0</v>
      </c>
      <c r="BW107" s="106">
        <f>+_xlfn.XLOOKUP($BD107,Budget!$A:$A,Budget!AU:AU)</f>
        <v>0</v>
      </c>
      <c r="BX107" s="106">
        <f>+_xlfn.XLOOKUP($BD107,Budget!$A:$A,Budget!AV:AV)</f>
        <v>0</v>
      </c>
      <c r="BY107" s="106">
        <f>+_xlfn.XLOOKUP($BD107,Budget!$A:$A,Budget!AW:AW)</f>
        <v>0</v>
      </c>
      <c r="BZ107" s="106">
        <f>+_xlfn.XLOOKUP($BD107,Budget!$A:$A,Budget!AX:AX)</f>
        <v>0</v>
      </c>
      <c r="CA107" s="106">
        <f>+_xlfn.XLOOKUP($BD107,Budget!$A:$A,Budget!AY:AY)</f>
        <v>0</v>
      </c>
      <c r="CB107" s="106">
        <f>+_xlfn.XLOOKUP($BD107,Budget!$A:$A,Budget!AZ:AZ)</f>
        <v>0</v>
      </c>
      <c r="CC107" s="106">
        <f>+_xlfn.XLOOKUP($BD107,Budget!$A:$A,Budget!BA:BA)</f>
        <v>0</v>
      </c>
      <c r="CD107" s="106">
        <f>+_xlfn.XLOOKUP($BD107,Budget!$A:$A,Budget!BB:BB)</f>
        <v>0</v>
      </c>
      <c r="CE107" s="106">
        <f t="shared" si="500"/>
        <v>0</v>
      </c>
      <c r="CF107" s="22"/>
      <c r="CG107" s="22">
        <v>0</v>
      </c>
      <c r="CH107" s="22">
        <v>0</v>
      </c>
      <c r="CI107" s="22">
        <v>0</v>
      </c>
      <c r="CJ107" s="22">
        <v>0</v>
      </c>
      <c r="CK107" s="22">
        <v>0</v>
      </c>
      <c r="CL107" s="22">
        <v>0</v>
      </c>
      <c r="CM107" s="22">
        <v>0</v>
      </c>
      <c r="CN107" s="22">
        <v>0</v>
      </c>
      <c r="CO107" s="22">
        <v>0</v>
      </c>
      <c r="CP107" s="22">
        <v>0</v>
      </c>
      <c r="CQ107" s="22">
        <v>0</v>
      </c>
      <c r="CR107" s="22">
        <v>0</v>
      </c>
      <c r="CS107" s="106">
        <f t="shared" si="501"/>
        <v>0</v>
      </c>
      <c r="CT107" s="16" t="str">
        <f t="shared" si="338"/>
        <v>Flexi Kit</v>
      </c>
      <c r="CU107" s="22">
        <f>+VLOOKUP($BD107,'Jan-25'!$A:$J,7,0)</f>
        <v>0</v>
      </c>
      <c r="CV107" s="22">
        <f>+VLOOKUP($BD107,'Feb-25'!$A:$J,7,0)</f>
        <v>0</v>
      </c>
      <c r="CW107" s="22">
        <f>+VLOOKUP($BD107,'Mar-25'!$A:$J,7,0)</f>
        <v>0</v>
      </c>
      <c r="CX107" s="22">
        <f>+VLOOKUP($BD107,'Apr-25'!$A:$J,7,0)</f>
        <v>0</v>
      </c>
      <c r="CY107" s="22">
        <f>+VLOOKUP($BD107,'May-25'!$A:$J,7,0)</f>
        <v>0</v>
      </c>
      <c r="CZ107" s="22">
        <f>+VLOOKUP($BD107,'June-25'!$A:$J,7,0)</f>
        <v>0</v>
      </c>
      <c r="DA107" s="22">
        <f>+VLOOKUP($BD107,'July-25'!$A:$J,7,0)</f>
        <v>0</v>
      </c>
      <c r="DB107" s="22">
        <f>+VLOOKUP($BD107,'Aug-25'!$A:$J,7,0)</f>
        <v>0</v>
      </c>
      <c r="DC107" s="22">
        <f>+VLOOKUP($BD107,'Sep-25'!$A:$J,7,0)</f>
        <v>0</v>
      </c>
      <c r="DD107" s="22">
        <f>+VLOOKUP($BD107,'Oct-25'!$A:$J,7,0)</f>
        <v>0</v>
      </c>
      <c r="DE107" s="22">
        <f>+VLOOKUP($BD107,'Nov-25'!$A:$J,7,0)</f>
        <v>0</v>
      </c>
      <c r="DF107" s="22">
        <f>+VLOOKUP($BD107,'Dec-25'!$A:$J,7,0)</f>
        <v>0</v>
      </c>
      <c r="DG107" s="22">
        <f t="shared" si="502"/>
        <v>0</v>
      </c>
      <c r="DH107" s="118">
        <f t="shared" si="478"/>
        <v>0</v>
      </c>
      <c r="DI107" s="22">
        <f>+_xlfn.XLOOKUP($CT107,Budget!$A:$A,Budget!CD:CD)</f>
        <v>0</v>
      </c>
      <c r="DJ107" s="22">
        <f>+_xlfn.XLOOKUP($CT107,Budget!$A:$A,Budget!CE:CE)</f>
        <v>0</v>
      </c>
      <c r="DK107" s="22">
        <f>+_xlfn.XLOOKUP($CT107,Budget!$A:$A,Budget!CF:CF)</f>
        <v>0</v>
      </c>
      <c r="DL107" s="22">
        <f>+_xlfn.XLOOKUP($CT107,Budget!$A:$A,Budget!CG:CG)</f>
        <v>0</v>
      </c>
      <c r="DM107" s="22">
        <f>+_xlfn.XLOOKUP($CT107,Budget!$A:$A,Budget!CH:CH)</f>
        <v>0</v>
      </c>
      <c r="DN107" s="22">
        <f>+_xlfn.XLOOKUP($CT107,Budget!$A:$A,Budget!CI:CI)</f>
        <v>0</v>
      </c>
      <c r="DO107" s="22">
        <f>+_xlfn.XLOOKUP($CT107,Budget!$A:$A,Budget!CJ:CJ)</f>
        <v>0</v>
      </c>
      <c r="DP107" s="22">
        <f>+_xlfn.XLOOKUP($CT107,Budget!$A:$A,Budget!CK:CK)</f>
        <v>0</v>
      </c>
      <c r="DQ107" s="22">
        <f>+_xlfn.XLOOKUP($CT107,Budget!$A:$A,Budget!CL:CL)</f>
        <v>0</v>
      </c>
      <c r="DR107" s="22">
        <f>+_xlfn.XLOOKUP($CT107,Budget!$A:$A,Budget!CM:CM)</f>
        <v>0</v>
      </c>
      <c r="DS107" s="22">
        <f>+_xlfn.XLOOKUP($CT107,Budget!$A:$A,Budget!CN:CN)</f>
        <v>0</v>
      </c>
      <c r="DT107" s="22">
        <f>+_xlfn.XLOOKUP($CT107,Budget!$A:$A,Budget!CO:CO)</f>
        <v>0</v>
      </c>
      <c r="DU107" s="106">
        <f t="shared" si="503"/>
        <v>0</v>
      </c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106">
        <f t="shared" si="504"/>
        <v>0</v>
      </c>
      <c r="EJ107" s="16" t="str">
        <f t="shared" si="376"/>
        <v>Flexi Kit</v>
      </c>
      <c r="EK107" s="22">
        <f>+VLOOKUP($BD107,'Jan-25'!$A:$J,9,0)</f>
        <v>0</v>
      </c>
      <c r="EL107" s="22">
        <f>+VLOOKUP($BD107,'Feb-25'!$A:$J,9,0)</f>
        <v>0</v>
      </c>
      <c r="EM107" s="22">
        <f>+VLOOKUP($BD107,'Mar-25'!$A:$J,9,0)</f>
        <v>0</v>
      </c>
      <c r="EN107" s="22">
        <f>+VLOOKUP($BD107,'Apr-25'!$A:$J,9,0)</f>
        <v>0</v>
      </c>
      <c r="EO107" s="22">
        <f>+VLOOKUP($BD107,'May-25'!$A:$J,9,0)</f>
        <v>0</v>
      </c>
      <c r="EP107" s="22">
        <f>+VLOOKUP($BD107,'June-25'!$A:$J,9,0)</f>
        <v>0</v>
      </c>
      <c r="EQ107" s="22">
        <f>+VLOOKUP($BD107,'July-25'!$A:$J,9,0)</f>
        <v>0</v>
      </c>
      <c r="ER107" s="22">
        <f>+VLOOKUP($BD107,'Aug-25'!$A:$J,9,0)</f>
        <v>0</v>
      </c>
      <c r="ES107" s="22">
        <f>+VLOOKUP($BD107,'Sep-25'!$A:$J,9,0)</f>
        <v>0</v>
      </c>
      <c r="ET107" s="22">
        <f>+VLOOKUP($BD107,'Oct-25'!$A:$J,9,0)</f>
        <v>0</v>
      </c>
      <c r="EU107" s="22">
        <f>+VLOOKUP($BD107,'Nov-25'!$A:$J,9,0)</f>
        <v>0</v>
      </c>
      <c r="EV107" s="22">
        <f>+VLOOKUP($BD107,'Dec-25'!$A:$J,9,0)</f>
        <v>0</v>
      </c>
      <c r="EW107" s="22">
        <f t="shared" si="505"/>
        <v>0</v>
      </c>
      <c r="EX107" s="118">
        <f t="shared" si="479"/>
        <v>0</v>
      </c>
      <c r="EY107" s="22">
        <f>+_xlfn.XLOOKUP($EJ107,Budget!$A:$A,Budget!DE:DE)</f>
        <v>0</v>
      </c>
      <c r="EZ107" s="22">
        <f>+_xlfn.XLOOKUP($EJ107,Budget!$A:$A,Budget!DF:DF)</f>
        <v>0</v>
      </c>
      <c r="FA107" s="22">
        <f>+_xlfn.XLOOKUP($EJ107,Budget!$A:$A,Budget!DG:DG)</f>
        <v>0</v>
      </c>
      <c r="FB107" s="22">
        <f>+_xlfn.XLOOKUP($EJ107,Budget!$A:$A,Budget!DH:DH)</f>
        <v>0</v>
      </c>
      <c r="FC107" s="22">
        <f>+_xlfn.XLOOKUP($EJ107,Budget!$A:$A,Budget!DI:DI)</f>
        <v>0</v>
      </c>
      <c r="FD107" s="22">
        <f>+_xlfn.XLOOKUP($EJ107,Budget!$A:$A,Budget!DJ:DJ)</f>
        <v>0</v>
      </c>
      <c r="FE107" s="22">
        <f>+_xlfn.XLOOKUP($EJ107,Budget!$A:$A,Budget!DK:DK)</f>
        <v>0</v>
      </c>
      <c r="FF107" s="22">
        <f>+_xlfn.XLOOKUP($EJ107,Budget!$A:$A,Budget!DL:DL)</f>
        <v>0</v>
      </c>
      <c r="FG107" s="22">
        <f>+_xlfn.XLOOKUP($EJ107,Budget!$A:$A,Budget!DM:DM)</f>
        <v>0</v>
      </c>
      <c r="FH107" s="22">
        <f>+_xlfn.XLOOKUP($EJ107,Budget!$A:$A,Budget!DN:DN)</f>
        <v>0</v>
      </c>
      <c r="FI107" s="22">
        <f>+_xlfn.XLOOKUP($EJ107,Budget!$A:$A,Budget!DO:DO)</f>
        <v>0</v>
      </c>
      <c r="FJ107" s="22">
        <f>+_xlfn.XLOOKUP($EJ107,Budget!$A:$A,Budget!DP:DP)</f>
        <v>0</v>
      </c>
      <c r="FK107" s="106">
        <f t="shared" si="506"/>
        <v>0</v>
      </c>
    </row>
    <row r="108" spans="1:167" ht="14.45" hidden="1" customHeight="1" outlineLevel="1">
      <c r="A108" s="106">
        <f t="shared" si="492"/>
        <v>0</v>
      </c>
      <c r="B108" s="106">
        <f t="shared" si="492"/>
        <v>0</v>
      </c>
      <c r="C108" s="106">
        <f t="shared" si="492"/>
        <v>0</v>
      </c>
      <c r="D108" s="106">
        <f t="shared" si="492"/>
        <v>0</v>
      </c>
      <c r="E108" s="106">
        <f t="shared" si="492"/>
        <v>68515.199999999997</v>
      </c>
      <c r="F108" s="106">
        <f t="shared" si="492"/>
        <v>0</v>
      </c>
      <c r="G108" s="106">
        <f t="shared" si="492"/>
        <v>0</v>
      </c>
      <c r="H108" s="106">
        <f t="shared" si="492"/>
        <v>0</v>
      </c>
      <c r="I108" s="106">
        <f t="shared" si="492"/>
        <v>0</v>
      </c>
      <c r="J108" s="106">
        <f t="shared" si="492"/>
        <v>0</v>
      </c>
      <c r="K108" s="106">
        <f t="shared" si="492"/>
        <v>0</v>
      </c>
      <c r="L108" s="106">
        <f t="shared" si="492"/>
        <v>0</v>
      </c>
      <c r="M108" s="106">
        <f t="shared" si="493"/>
        <v>68515.199999999997</v>
      </c>
      <c r="N108" s="16" t="s">
        <v>88</v>
      </c>
      <c r="O108" s="22">
        <f t="shared" si="494"/>
        <v>0</v>
      </c>
      <c r="P108" s="22">
        <f t="shared" si="494"/>
        <v>0</v>
      </c>
      <c r="Q108" s="22">
        <f t="shared" si="494"/>
        <v>0</v>
      </c>
      <c r="R108" s="22">
        <f t="shared" si="494"/>
        <v>0</v>
      </c>
      <c r="S108" s="22">
        <f t="shared" si="494"/>
        <v>0</v>
      </c>
      <c r="T108" s="22">
        <f t="shared" si="494"/>
        <v>28570.5</v>
      </c>
      <c r="U108" s="22">
        <f t="shared" si="494"/>
        <v>0</v>
      </c>
      <c r="V108" s="22">
        <f t="shared" si="494"/>
        <v>0</v>
      </c>
      <c r="W108" s="22">
        <f t="shared" si="494"/>
        <v>0</v>
      </c>
      <c r="X108" s="22">
        <f t="shared" si="494"/>
        <v>0</v>
      </c>
      <c r="Y108" s="22">
        <f t="shared" si="494"/>
        <v>0</v>
      </c>
      <c r="Z108" s="22">
        <f t="shared" si="494"/>
        <v>0</v>
      </c>
      <c r="AA108" s="22">
        <f t="shared" si="495"/>
        <v>28570.5</v>
      </c>
      <c r="AB108" s="118">
        <f t="shared" si="476"/>
        <v>0</v>
      </c>
      <c r="AC108" s="22">
        <f t="shared" si="496"/>
        <v>0</v>
      </c>
      <c r="AD108" s="22">
        <f t="shared" si="496"/>
        <v>0</v>
      </c>
      <c r="AE108" s="22">
        <f t="shared" si="496"/>
        <v>0</v>
      </c>
      <c r="AF108" s="22">
        <f t="shared" si="496"/>
        <v>0</v>
      </c>
      <c r="AG108" s="22">
        <f t="shared" si="496"/>
        <v>0</v>
      </c>
      <c r="AH108" s="22">
        <f t="shared" si="496"/>
        <v>0</v>
      </c>
      <c r="AI108" s="22">
        <f t="shared" si="496"/>
        <v>0</v>
      </c>
      <c r="AJ108" s="22">
        <f t="shared" si="496"/>
        <v>0</v>
      </c>
      <c r="AK108" s="22">
        <f t="shared" si="496"/>
        <v>0</v>
      </c>
      <c r="AL108" s="22">
        <f t="shared" si="496"/>
        <v>0</v>
      </c>
      <c r="AM108" s="22">
        <f t="shared" si="496"/>
        <v>0</v>
      </c>
      <c r="AN108" s="22">
        <f t="shared" si="496"/>
        <v>0</v>
      </c>
      <c r="AO108" s="22">
        <f t="shared" si="497"/>
        <v>0</v>
      </c>
      <c r="AQ108" s="106">
        <v>0</v>
      </c>
      <c r="AR108" s="106">
        <v>0</v>
      </c>
      <c r="AS108" s="106">
        <v>0</v>
      </c>
      <c r="AT108" s="106">
        <v>0</v>
      </c>
      <c r="AU108" s="106">
        <v>45676.799999999996</v>
      </c>
      <c r="AV108" s="106">
        <v>0</v>
      </c>
      <c r="AW108" s="106">
        <v>0</v>
      </c>
      <c r="AX108" s="106">
        <v>0</v>
      </c>
      <c r="AY108" s="106">
        <v>0</v>
      </c>
      <c r="AZ108" s="106">
        <v>0</v>
      </c>
      <c r="BA108" s="106">
        <v>0</v>
      </c>
      <c r="BB108" s="106">
        <v>0</v>
      </c>
      <c r="BC108" s="106">
        <f t="shared" si="498"/>
        <v>45676.799999999996</v>
      </c>
      <c r="BD108" s="16" t="str">
        <f t="shared" si="334"/>
        <v>print Advertisement</v>
      </c>
      <c r="BE108" s="22">
        <f>+VLOOKUP($BD108,'Jan-25'!$A:$J,4,0)</f>
        <v>0</v>
      </c>
      <c r="BF108" s="22">
        <f>+VLOOKUP($BD108,'Feb-25'!$A:$J,4,0)</f>
        <v>0</v>
      </c>
      <c r="BG108" s="22">
        <f>+VLOOKUP($BD108,'Mar-25'!$A:$J,4,0)</f>
        <v>0</v>
      </c>
      <c r="BH108" s="22">
        <f>+VLOOKUP($BD108,'Apr-25'!$A:$J,4,0)</f>
        <v>0</v>
      </c>
      <c r="BI108" s="22">
        <f>+VLOOKUP($BD108,'May-25'!$A:$J,4,0)</f>
        <v>0</v>
      </c>
      <c r="BJ108" s="22">
        <f>+VLOOKUP($BD108,'June-25'!$A:$J,4,0)</f>
        <v>0</v>
      </c>
      <c r="BK108" s="22">
        <f>+VLOOKUP($BD108,'July-25'!$A:$J,4,0)</f>
        <v>0</v>
      </c>
      <c r="BL108" s="22">
        <f>+VLOOKUP($BD108,'Aug-25'!$A:$J,4,0)</f>
        <v>0</v>
      </c>
      <c r="BM108" s="22">
        <f>+VLOOKUP($BD108,'Sep-25'!$A:$J,4,0)</f>
        <v>0</v>
      </c>
      <c r="BN108" s="22">
        <f>+VLOOKUP($BD108,'Oct-25'!$A:$J,4,0)</f>
        <v>0</v>
      </c>
      <c r="BO108" s="22">
        <f>+VLOOKUP($BD108,'Nov-25'!$A:$J,4,0)</f>
        <v>0</v>
      </c>
      <c r="BP108" s="22">
        <f>+VLOOKUP($BD108,'Dec-25'!$A:$J,4,0)</f>
        <v>0</v>
      </c>
      <c r="BQ108" s="22">
        <f t="shared" si="499"/>
        <v>0</v>
      </c>
      <c r="BR108" s="118">
        <f t="shared" si="477"/>
        <v>0</v>
      </c>
      <c r="BS108" s="106">
        <f>+_xlfn.XLOOKUP($BD108,Budget!$A:$A,Budget!AQ:AQ)</f>
        <v>0</v>
      </c>
      <c r="BT108" s="106">
        <f>+_xlfn.XLOOKUP($BD108,Budget!$A:$A,Budget!AR:AR)</f>
        <v>0</v>
      </c>
      <c r="BU108" s="106">
        <f>+_xlfn.XLOOKUP($BD108,Budget!$A:$A,Budget!AS:AS)</f>
        <v>0</v>
      </c>
      <c r="BV108" s="106">
        <f>+_xlfn.XLOOKUP($BD108,Budget!$A:$A,Budget!AT:AT)</f>
        <v>0</v>
      </c>
      <c r="BW108" s="106">
        <f>+_xlfn.XLOOKUP($BD108,Budget!$A:$A,Budget!AU:AU)</f>
        <v>0</v>
      </c>
      <c r="BX108" s="106">
        <f>+_xlfn.XLOOKUP($BD108,Budget!$A:$A,Budget!AV:AV)</f>
        <v>0</v>
      </c>
      <c r="BY108" s="106">
        <f>+_xlfn.XLOOKUP($BD108,Budget!$A:$A,Budget!AW:AW)</f>
        <v>0</v>
      </c>
      <c r="BZ108" s="106">
        <f>+_xlfn.XLOOKUP($BD108,Budget!$A:$A,Budget!AX:AX)</f>
        <v>0</v>
      </c>
      <c r="CA108" s="106">
        <f>+_xlfn.XLOOKUP($BD108,Budget!$A:$A,Budget!AY:AY)</f>
        <v>0</v>
      </c>
      <c r="CB108" s="106">
        <f>+_xlfn.XLOOKUP($BD108,Budget!$A:$A,Budget!AZ:AZ)</f>
        <v>0</v>
      </c>
      <c r="CC108" s="106">
        <f>+_xlfn.XLOOKUP($BD108,Budget!$A:$A,Budget!BA:BA)</f>
        <v>0</v>
      </c>
      <c r="CD108" s="106">
        <f>+_xlfn.XLOOKUP($BD108,Budget!$A:$A,Budget!BB:BB)</f>
        <v>0</v>
      </c>
      <c r="CE108" s="106">
        <f t="shared" si="500"/>
        <v>0</v>
      </c>
      <c r="CF108" s="22"/>
      <c r="CG108" s="22">
        <v>0</v>
      </c>
      <c r="CH108" s="22">
        <v>0</v>
      </c>
      <c r="CI108" s="22">
        <v>0</v>
      </c>
      <c r="CJ108" s="22">
        <v>0</v>
      </c>
      <c r="CK108" s="22">
        <v>22838.399999999998</v>
      </c>
      <c r="CL108" s="22">
        <v>0</v>
      </c>
      <c r="CM108" s="22">
        <v>0</v>
      </c>
      <c r="CN108" s="22">
        <v>0</v>
      </c>
      <c r="CO108" s="22">
        <v>0</v>
      </c>
      <c r="CP108" s="22">
        <v>0</v>
      </c>
      <c r="CQ108" s="22">
        <v>0</v>
      </c>
      <c r="CR108" s="22">
        <v>0</v>
      </c>
      <c r="CS108" s="106">
        <f t="shared" si="501"/>
        <v>22838.399999999998</v>
      </c>
      <c r="CT108" s="16" t="str">
        <f t="shared" si="338"/>
        <v>print Advertisement</v>
      </c>
      <c r="CU108" s="22">
        <f>+VLOOKUP($BD108,'Jan-25'!$A:$J,7,0)</f>
        <v>0</v>
      </c>
      <c r="CV108" s="22">
        <f>+VLOOKUP($BD108,'Feb-25'!$A:$J,7,0)</f>
        <v>0</v>
      </c>
      <c r="CW108" s="22">
        <f>+VLOOKUP($BD108,'Mar-25'!$A:$J,7,0)</f>
        <v>0</v>
      </c>
      <c r="CX108" s="22">
        <f>+VLOOKUP($BD108,'Apr-25'!$A:$J,7,0)</f>
        <v>0</v>
      </c>
      <c r="CY108" s="22">
        <f>+VLOOKUP($BD108,'May-25'!$A:$J,7,0)</f>
        <v>0</v>
      </c>
      <c r="CZ108" s="22">
        <f>+VLOOKUP($BD108,'June-25'!$A:$J,7,0)</f>
        <v>0</v>
      </c>
      <c r="DA108" s="22">
        <f>+VLOOKUP($BD108,'July-25'!$A:$J,7,0)</f>
        <v>0</v>
      </c>
      <c r="DB108" s="22">
        <f>+VLOOKUP($BD108,'Aug-25'!$A:$J,7,0)</f>
        <v>0</v>
      </c>
      <c r="DC108" s="22">
        <f>+VLOOKUP($BD108,'Sep-25'!$A:$J,7,0)</f>
        <v>0</v>
      </c>
      <c r="DD108" s="22">
        <f>+VLOOKUP($BD108,'Oct-25'!$A:$J,7,0)</f>
        <v>0</v>
      </c>
      <c r="DE108" s="22">
        <f>+VLOOKUP($BD108,'Nov-25'!$A:$J,7,0)</f>
        <v>0</v>
      </c>
      <c r="DF108" s="22">
        <f>+VLOOKUP($BD108,'Dec-25'!$A:$J,7,0)</f>
        <v>0</v>
      </c>
      <c r="DG108" s="22">
        <f t="shared" si="502"/>
        <v>0</v>
      </c>
      <c r="DH108" s="118">
        <f t="shared" si="478"/>
        <v>0</v>
      </c>
      <c r="DI108" s="22">
        <f>+_xlfn.XLOOKUP($CT108,Budget!$A:$A,Budget!CD:CD)</f>
        <v>0</v>
      </c>
      <c r="DJ108" s="22">
        <f>+_xlfn.XLOOKUP($CT108,Budget!$A:$A,Budget!CE:CE)</f>
        <v>0</v>
      </c>
      <c r="DK108" s="22">
        <f>+_xlfn.XLOOKUP($CT108,Budget!$A:$A,Budget!CF:CF)</f>
        <v>0</v>
      </c>
      <c r="DL108" s="22">
        <f>+_xlfn.XLOOKUP($CT108,Budget!$A:$A,Budget!CG:CG)</f>
        <v>0</v>
      </c>
      <c r="DM108" s="22">
        <f>+_xlfn.XLOOKUP($CT108,Budget!$A:$A,Budget!CH:CH)</f>
        <v>0</v>
      </c>
      <c r="DN108" s="22">
        <f>+_xlfn.XLOOKUP($CT108,Budget!$A:$A,Budget!CI:CI)</f>
        <v>0</v>
      </c>
      <c r="DO108" s="22">
        <f>+_xlfn.XLOOKUP($CT108,Budget!$A:$A,Budget!CJ:CJ)</f>
        <v>0</v>
      </c>
      <c r="DP108" s="22">
        <f>+_xlfn.XLOOKUP($CT108,Budget!$A:$A,Budget!CK:CK)</f>
        <v>0</v>
      </c>
      <c r="DQ108" s="22">
        <f>+_xlfn.XLOOKUP($CT108,Budget!$A:$A,Budget!CL:CL)</f>
        <v>0</v>
      </c>
      <c r="DR108" s="22">
        <f>+_xlfn.XLOOKUP($CT108,Budget!$A:$A,Budget!CM:CM)</f>
        <v>0</v>
      </c>
      <c r="DS108" s="22">
        <f>+_xlfn.XLOOKUP($CT108,Budget!$A:$A,Budget!CN:CN)</f>
        <v>0</v>
      </c>
      <c r="DT108" s="22">
        <f>+_xlfn.XLOOKUP($CT108,Budget!$A:$A,Budget!CO:CO)</f>
        <v>0</v>
      </c>
      <c r="DU108" s="106">
        <f t="shared" si="503"/>
        <v>0</v>
      </c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106">
        <f t="shared" si="504"/>
        <v>0</v>
      </c>
      <c r="EJ108" s="16" t="str">
        <f t="shared" si="376"/>
        <v>print Advertisement</v>
      </c>
      <c r="EK108" s="22">
        <f>+VLOOKUP($BD108,'Jan-25'!$A:$J,9,0)</f>
        <v>0</v>
      </c>
      <c r="EL108" s="22">
        <f>+VLOOKUP($BD108,'Feb-25'!$A:$J,9,0)</f>
        <v>0</v>
      </c>
      <c r="EM108" s="22">
        <f>+VLOOKUP($BD108,'Mar-25'!$A:$J,9,0)</f>
        <v>0</v>
      </c>
      <c r="EN108" s="22">
        <f>+VLOOKUP($BD108,'Apr-25'!$A:$J,9,0)</f>
        <v>0</v>
      </c>
      <c r="EO108" s="22">
        <f>+VLOOKUP($BD108,'May-25'!$A:$J,9,0)</f>
        <v>0</v>
      </c>
      <c r="EP108" s="22">
        <f>+VLOOKUP($BD108,'June-25'!$A:$J,9,0)</f>
        <v>28570.5</v>
      </c>
      <c r="EQ108" s="22">
        <f>+VLOOKUP($BD108,'July-25'!$A:$J,9,0)</f>
        <v>0</v>
      </c>
      <c r="ER108" s="22">
        <f>+VLOOKUP($BD108,'Aug-25'!$A:$J,9,0)</f>
        <v>0</v>
      </c>
      <c r="ES108" s="22">
        <f>+VLOOKUP($BD108,'Sep-25'!$A:$J,9,0)</f>
        <v>0</v>
      </c>
      <c r="ET108" s="22">
        <f>+VLOOKUP($BD108,'Oct-25'!$A:$J,9,0)</f>
        <v>0</v>
      </c>
      <c r="EU108" s="22">
        <f>+VLOOKUP($BD108,'Nov-25'!$A:$J,9,0)</f>
        <v>0</v>
      </c>
      <c r="EV108" s="22">
        <f>+VLOOKUP($BD108,'Dec-25'!$A:$J,9,0)</f>
        <v>0</v>
      </c>
      <c r="EW108" s="22">
        <f t="shared" si="505"/>
        <v>28570.5</v>
      </c>
      <c r="EX108" s="118">
        <f t="shared" si="479"/>
        <v>0</v>
      </c>
      <c r="EY108" s="22">
        <f>+_xlfn.XLOOKUP($EJ108,Budget!$A:$A,Budget!DE:DE)</f>
        <v>0</v>
      </c>
      <c r="EZ108" s="22">
        <f>+_xlfn.XLOOKUP($EJ108,Budget!$A:$A,Budget!DF:DF)</f>
        <v>0</v>
      </c>
      <c r="FA108" s="22">
        <f>+_xlfn.XLOOKUP($EJ108,Budget!$A:$A,Budget!DG:DG)</f>
        <v>0</v>
      </c>
      <c r="FB108" s="22">
        <f>+_xlfn.XLOOKUP($EJ108,Budget!$A:$A,Budget!DH:DH)</f>
        <v>0</v>
      </c>
      <c r="FC108" s="22">
        <f>+_xlfn.XLOOKUP($EJ108,Budget!$A:$A,Budget!DI:DI)</f>
        <v>0</v>
      </c>
      <c r="FD108" s="22">
        <f>+_xlfn.XLOOKUP($EJ108,Budget!$A:$A,Budget!DJ:DJ)</f>
        <v>0</v>
      </c>
      <c r="FE108" s="22">
        <f>+_xlfn.XLOOKUP($EJ108,Budget!$A:$A,Budget!DK:DK)</f>
        <v>0</v>
      </c>
      <c r="FF108" s="22">
        <f>+_xlfn.XLOOKUP($EJ108,Budget!$A:$A,Budget!DL:DL)</f>
        <v>0</v>
      </c>
      <c r="FG108" s="22">
        <f>+_xlfn.XLOOKUP($EJ108,Budget!$A:$A,Budget!DM:DM)</f>
        <v>0</v>
      </c>
      <c r="FH108" s="22">
        <f>+_xlfn.XLOOKUP($EJ108,Budget!$A:$A,Budget!DN:DN)</f>
        <v>0</v>
      </c>
      <c r="FI108" s="22">
        <f>+_xlfn.XLOOKUP($EJ108,Budget!$A:$A,Budget!DO:DO)</f>
        <v>0</v>
      </c>
      <c r="FJ108" s="22">
        <f>+_xlfn.XLOOKUP($EJ108,Budget!$A:$A,Budget!DP:DP)</f>
        <v>0</v>
      </c>
      <c r="FK108" s="106">
        <f t="shared" si="506"/>
        <v>0</v>
      </c>
    </row>
    <row r="109" spans="1:167" ht="14.45" hidden="1" customHeight="1" outlineLevel="1">
      <c r="A109" s="106">
        <f t="shared" si="492"/>
        <v>0</v>
      </c>
      <c r="B109" s="106">
        <f t="shared" si="492"/>
        <v>0</v>
      </c>
      <c r="C109" s="106">
        <f t="shared" si="492"/>
        <v>37141</v>
      </c>
      <c r="D109" s="106">
        <f t="shared" si="492"/>
        <v>0</v>
      </c>
      <c r="E109" s="106">
        <f t="shared" si="492"/>
        <v>0</v>
      </c>
      <c r="F109" s="106">
        <f t="shared" si="492"/>
        <v>17143</v>
      </c>
      <c r="G109" s="106">
        <f t="shared" si="492"/>
        <v>0</v>
      </c>
      <c r="H109" s="106">
        <f t="shared" si="492"/>
        <v>33750</v>
      </c>
      <c r="I109" s="106">
        <f t="shared" si="492"/>
        <v>195490</v>
      </c>
      <c r="J109" s="106">
        <f t="shared" si="492"/>
        <v>90160</v>
      </c>
      <c r="K109" s="106">
        <f t="shared" si="492"/>
        <v>0</v>
      </c>
      <c r="L109" s="106">
        <f t="shared" si="492"/>
        <v>37200</v>
      </c>
      <c r="M109" s="106">
        <f t="shared" si="493"/>
        <v>410884</v>
      </c>
      <c r="N109" s="16" t="s">
        <v>89</v>
      </c>
      <c r="O109" s="22">
        <f t="shared" si="494"/>
        <v>0</v>
      </c>
      <c r="P109" s="22">
        <f t="shared" si="494"/>
        <v>0</v>
      </c>
      <c r="Q109" s="22">
        <f t="shared" si="494"/>
        <v>0</v>
      </c>
      <c r="R109" s="22">
        <f t="shared" si="494"/>
        <v>0</v>
      </c>
      <c r="S109" s="22">
        <f t="shared" si="494"/>
        <v>91240</v>
      </c>
      <c r="T109" s="22">
        <f t="shared" si="494"/>
        <v>0</v>
      </c>
      <c r="U109" s="22">
        <f t="shared" si="494"/>
        <v>0</v>
      </c>
      <c r="V109" s="22">
        <f t="shared" si="494"/>
        <v>20461.949999999997</v>
      </c>
      <c r="W109" s="22">
        <f t="shared" si="494"/>
        <v>5094</v>
      </c>
      <c r="X109" s="22">
        <f t="shared" si="494"/>
        <v>0</v>
      </c>
      <c r="Y109" s="22">
        <f t="shared" si="494"/>
        <v>0</v>
      </c>
      <c r="Z109" s="22">
        <f t="shared" si="494"/>
        <v>0</v>
      </c>
      <c r="AA109" s="22">
        <f t="shared" si="495"/>
        <v>116795.95</v>
      </c>
      <c r="AB109" s="118">
        <f t="shared" si="476"/>
        <v>0</v>
      </c>
      <c r="AC109" s="22">
        <f t="shared" si="496"/>
        <v>0</v>
      </c>
      <c r="AD109" s="22">
        <f t="shared" si="496"/>
        <v>0</v>
      </c>
      <c r="AE109" s="22">
        <f t="shared" si="496"/>
        <v>0</v>
      </c>
      <c r="AF109" s="22">
        <f t="shared" si="496"/>
        <v>0</v>
      </c>
      <c r="AG109" s="22">
        <f t="shared" si="496"/>
        <v>0</v>
      </c>
      <c r="AH109" s="22">
        <f t="shared" si="496"/>
        <v>0</v>
      </c>
      <c r="AI109" s="22">
        <f t="shared" si="496"/>
        <v>0</v>
      </c>
      <c r="AJ109" s="22">
        <f t="shared" si="496"/>
        <v>0</v>
      </c>
      <c r="AK109" s="22">
        <f t="shared" si="496"/>
        <v>0</v>
      </c>
      <c r="AL109" s="22">
        <f t="shared" si="496"/>
        <v>0</v>
      </c>
      <c r="AM109" s="22">
        <f t="shared" si="496"/>
        <v>0</v>
      </c>
      <c r="AN109" s="22">
        <f t="shared" si="496"/>
        <v>0</v>
      </c>
      <c r="AO109" s="22">
        <f t="shared" si="497"/>
        <v>0</v>
      </c>
      <c r="AQ109" s="106">
        <v>0</v>
      </c>
      <c r="AR109" s="106">
        <v>0</v>
      </c>
      <c r="AS109" s="106">
        <v>37141</v>
      </c>
      <c r="AT109" s="106">
        <v>0</v>
      </c>
      <c r="AU109" s="106">
        <v>0</v>
      </c>
      <c r="AV109" s="106">
        <v>17143</v>
      </c>
      <c r="AW109" s="106">
        <v>0</v>
      </c>
      <c r="AX109" s="106">
        <v>33750</v>
      </c>
      <c r="AY109" s="106">
        <v>195490</v>
      </c>
      <c r="AZ109" s="106">
        <v>26160</v>
      </c>
      <c r="BA109" s="106">
        <v>0</v>
      </c>
      <c r="BB109" s="106">
        <v>34250</v>
      </c>
      <c r="BC109" s="106">
        <f t="shared" si="498"/>
        <v>343934</v>
      </c>
      <c r="BD109" s="16" t="str">
        <f t="shared" si="334"/>
        <v>Printing and other Charges</v>
      </c>
      <c r="BE109" s="22">
        <f>+VLOOKUP($BD109,'Jan-25'!$A:$J,4,0)</f>
        <v>0</v>
      </c>
      <c r="BF109" s="22">
        <f>+VLOOKUP($BD109,'Feb-25'!$A:$J,4,0)</f>
        <v>0</v>
      </c>
      <c r="BG109" s="22">
        <f>+VLOOKUP($BD109,'Mar-25'!$A:$J,4,0)</f>
        <v>0</v>
      </c>
      <c r="BH109" s="22">
        <f>+VLOOKUP($BD109,'Apr-25'!$A:$J,4,0)</f>
        <v>0</v>
      </c>
      <c r="BI109" s="22">
        <f>+VLOOKUP($BD109,'May-25'!$A:$J,4,0)</f>
        <v>48400</v>
      </c>
      <c r="BJ109" s="22">
        <f>+VLOOKUP($BD109,'June-25'!$A:$J,4,0)</f>
        <v>0</v>
      </c>
      <c r="BK109" s="22">
        <f>+VLOOKUP($BD109,'July-25'!$A:$J,4,0)</f>
        <v>0</v>
      </c>
      <c r="BL109" s="22">
        <f>+VLOOKUP($BD109,'Aug-25'!$A:$J,4,0)</f>
        <v>13641.3</v>
      </c>
      <c r="BM109" s="22">
        <f>+VLOOKUP($BD109,'Sep-25'!$A:$J,4,0)</f>
        <v>3056.4</v>
      </c>
      <c r="BN109" s="22">
        <f>+VLOOKUP($BD109,'Oct-25'!$A:$J,4,0)</f>
        <v>0</v>
      </c>
      <c r="BO109" s="22">
        <f>+VLOOKUP($BD109,'Nov-25'!$A:$J,4,0)</f>
        <v>0</v>
      </c>
      <c r="BP109" s="22">
        <f>+VLOOKUP($BD109,'Dec-25'!$A:$J,4,0)</f>
        <v>0</v>
      </c>
      <c r="BQ109" s="22">
        <f t="shared" si="499"/>
        <v>65097.700000000004</v>
      </c>
      <c r="BR109" s="118">
        <f t="shared" si="477"/>
        <v>0</v>
      </c>
      <c r="BS109" s="106">
        <f>+_xlfn.XLOOKUP($BD109,Budget!$A:$A,Budget!AQ:AQ)</f>
        <v>0</v>
      </c>
      <c r="BT109" s="106">
        <f>+_xlfn.XLOOKUP($BD109,Budget!$A:$A,Budget!AR:AR)</f>
        <v>0</v>
      </c>
      <c r="BU109" s="106">
        <f>+_xlfn.XLOOKUP($BD109,Budget!$A:$A,Budget!AS:AS)</f>
        <v>0</v>
      </c>
      <c r="BV109" s="106">
        <f>+_xlfn.XLOOKUP($BD109,Budget!$A:$A,Budget!AT:AT)</f>
        <v>0</v>
      </c>
      <c r="BW109" s="106">
        <f>+_xlfn.XLOOKUP($BD109,Budget!$A:$A,Budget!AU:AU)</f>
        <v>0</v>
      </c>
      <c r="BX109" s="106">
        <f>+_xlfn.XLOOKUP($BD109,Budget!$A:$A,Budget!AV:AV)</f>
        <v>0</v>
      </c>
      <c r="BY109" s="106">
        <f>+_xlfn.XLOOKUP($BD109,Budget!$A:$A,Budget!AW:AW)</f>
        <v>0</v>
      </c>
      <c r="BZ109" s="106">
        <f>+_xlfn.XLOOKUP($BD109,Budget!$A:$A,Budget!AX:AX)</f>
        <v>0</v>
      </c>
      <c r="CA109" s="106">
        <f>+_xlfn.XLOOKUP($BD109,Budget!$A:$A,Budget!AY:AY)</f>
        <v>0</v>
      </c>
      <c r="CB109" s="106">
        <f>+_xlfn.XLOOKUP($BD109,Budget!$A:$A,Budget!AZ:AZ)</f>
        <v>0</v>
      </c>
      <c r="CC109" s="106">
        <f>+_xlfn.XLOOKUP($BD109,Budget!$A:$A,Budget!BA:BA)</f>
        <v>0</v>
      </c>
      <c r="CD109" s="106">
        <f>+_xlfn.XLOOKUP($BD109,Budget!$A:$A,Budget!BB:BB)</f>
        <v>0</v>
      </c>
      <c r="CE109" s="106">
        <f t="shared" si="500"/>
        <v>0</v>
      </c>
      <c r="CF109" s="22"/>
      <c r="CG109" s="22">
        <v>0</v>
      </c>
      <c r="CH109" s="22">
        <v>0</v>
      </c>
      <c r="CI109" s="22">
        <v>0</v>
      </c>
      <c r="CJ109" s="22">
        <v>0</v>
      </c>
      <c r="CK109" s="22">
        <v>0</v>
      </c>
      <c r="CL109" s="22">
        <v>0</v>
      </c>
      <c r="CM109" s="22">
        <v>0</v>
      </c>
      <c r="CN109" s="22">
        <v>0</v>
      </c>
      <c r="CO109" s="22">
        <v>0</v>
      </c>
      <c r="CP109" s="22">
        <v>64000</v>
      </c>
      <c r="CQ109" s="22">
        <v>0</v>
      </c>
      <c r="CR109" s="22">
        <v>2950</v>
      </c>
      <c r="CS109" s="106">
        <f t="shared" si="501"/>
        <v>66950</v>
      </c>
      <c r="CT109" s="16" t="str">
        <f t="shared" si="338"/>
        <v>Printing and other Charges</v>
      </c>
      <c r="CU109" s="22">
        <f>+VLOOKUP($BD109,'Jan-25'!$A:$J,7,0)</f>
        <v>0</v>
      </c>
      <c r="CV109" s="22">
        <f>+VLOOKUP($BD109,'Feb-25'!$A:$J,7,0)</f>
        <v>0</v>
      </c>
      <c r="CW109" s="22">
        <f>+VLOOKUP($BD109,'Mar-25'!$A:$J,7,0)</f>
        <v>0</v>
      </c>
      <c r="CX109" s="22">
        <f>+VLOOKUP($BD109,'Apr-25'!$A:$J,7,0)</f>
        <v>0</v>
      </c>
      <c r="CY109" s="22">
        <f>+VLOOKUP($BD109,'May-25'!$A:$J,7,0)</f>
        <v>42840</v>
      </c>
      <c r="CZ109" s="22">
        <f>+VLOOKUP($BD109,'June-25'!$A:$J,7,0)</f>
        <v>0</v>
      </c>
      <c r="DA109" s="22">
        <f>+VLOOKUP($BD109,'July-25'!$A:$J,7,0)</f>
        <v>0</v>
      </c>
      <c r="DB109" s="22">
        <f>+VLOOKUP($BD109,'Aug-25'!$A:$J,7,0)</f>
        <v>6820.65</v>
      </c>
      <c r="DC109" s="22">
        <f>+VLOOKUP($BD109,'Sep-25'!$A:$J,7,0)</f>
        <v>2037.6000000000001</v>
      </c>
      <c r="DD109" s="22">
        <f>+VLOOKUP($BD109,'Oct-25'!$A:$J,7,0)</f>
        <v>0</v>
      </c>
      <c r="DE109" s="22">
        <f>+VLOOKUP($BD109,'Nov-25'!$A:$J,7,0)</f>
        <v>0</v>
      </c>
      <c r="DF109" s="22">
        <f>+VLOOKUP($BD109,'Dec-25'!$A:$J,7,0)</f>
        <v>0</v>
      </c>
      <c r="DG109" s="22">
        <f t="shared" si="502"/>
        <v>51698.25</v>
      </c>
      <c r="DH109" s="118">
        <f t="shared" si="478"/>
        <v>0</v>
      </c>
      <c r="DI109" s="22">
        <f>+_xlfn.XLOOKUP($CT109,Budget!$A:$A,Budget!CD:CD)</f>
        <v>0</v>
      </c>
      <c r="DJ109" s="22">
        <f>+_xlfn.XLOOKUP($CT109,Budget!$A:$A,Budget!CE:CE)</f>
        <v>0</v>
      </c>
      <c r="DK109" s="22">
        <f>+_xlfn.XLOOKUP($CT109,Budget!$A:$A,Budget!CF:CF)</f>
        <v>0</v>
      </c>
      <c r="DL109" s="22">
        <f>+_xlfn.XLOOKUP($CT109,Budget!$A:$A,Budget!CG:CG)</f>
        <v>0</v>
      </c>
      <c r="DM109" s="22">
        <f>+_xlfn.XLOOKUP($CT109,Budget!$A:$A,Budget!CH:CH)</f>
        <v>0</v>
      </c>
      <c r="DN109" s="22">
        <f>+_xlfn.XLOOKUP($CT109,Budget!$A:$A,Budget!CI:CI)</f>
        <v>0</v>
      </c>
      <c r="DO109" s="22">
        <f>+_xlfn.XLOOKUP($CT109,Budget!$A:$A,Budget!CJ:CJ)</f>
        <v>0</v>
      </c>
      <c r="DP109" s="22">
        <f>+_xlfn.XLOOKUP($CT109,Budget!$A:$A,Budget!CK:CK)</f>
        <v>0</v>
      </c>
      <c r="DQ109" s="22">
        <f>+_xlfn.XLOOKUP($CT109,Budget!$A:$A,Budget!CL:CL)</f>
        <v>0</v>
      </c>
      <c r="DR109" s="22">
        <f>+_xlfn.XLOOKUP($CT109,Budget!$A:$A,Budget!CM:CM)</f>
        <v>0</v>
      </c>
      <c r="DS109" s="22">
        <f>+_xlfn.XLOOKUP($CT109,Budget!$A:$A,Budget!CN:CN)</f>
        <v>0</v>
      </c>
      <c r="DT109" s="22">
        <f>+_xlfn.XLOOKUP($CT109,Budget!$A:$A,Budget!CO:CO)</f>
        <v>0</v>
      </c>
      <c r="DU109" s="106">
        <f t="shared" si="503"/>
        <v>0</v>
      </c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106">
        <f t="shared" si="504"/>
        <v>0</v>
      </c>
      <c r="EJ109" s="16" t="str">
        <f t="shared" si="376"/>
        <v>Printing and other Charges</v>
      </c>
      <c r="EK109" s="22">
        <f>+VLOOKUP($BD109,'Jan-25'!$A:$J,9,0)</f>
        <v>0</v>
      </c>
      <c r="EL109" s="22">
        <f>+VLOOKUP($BD109,'Feb-25'!$A:$J,9,0)</f>
        <v>0</v>
      </c>
      <c r="EM109" s="22">
        <f>+VLOOKUP($BD109,'Mar-25'!$A:$J,9,0)</f>
        <v>0</v>
      </c>
      <c r="EN109" s="22">
        <f>+VLOOKUP($BD109,'Apr-25'!$A:$J,9,0)</f>
        <v>0</v>
      </c>
      <c r="EO109" s="22">
        <f>+VLOOKUP($BD109,'May-25'!$A:$J,9,0)</f>
        <v>0</v>
      </c>
      <c r="EP109" s="22">
        <f>+VLOOKUP($BD109,'June-25'!$A:$J,9,0)</f>
        <v>0</v>
      </c>
      <c r="EQ109" s="22">
        <f>+VLOOKUP($BD109,'July-25'!$A:$J,9,0)</f>
        <v>0</v>
      </c>
      <c r="ER109" s="22">
        <f>+VLOOKUP($BD109,'Aug-25'!$A:$J,9,0)</f>
        <v>0</v>
      </c>
      <c r="ES109" s="22">
        <f>+VLOOKUP($BD109,'Sep-25'!$A:$J,9,0)</f>
        <v>0</v>
      </c>
      <c r="ET109" s="22">
        <f>+VLOOKUP($BD109,'Oct-25'!$A:$J,9,0)</f>
        <v>0</v>
      </c>
      <c r="EU109" s="22">
        <f>+VLOOKUP($BD109,'Nov-25'!$A:$J,9,0)</f>
        <v>0</v>
      </c>
      <c r="EV109" s="22">
        <f>+VLOOKUP($BD109,'Dec-25'!$A:$J,9,0)</f>
        <v>0</v>
      </c>
      <c r="EW109" s="22">
        <f t="shared" si="505"/>
        <v>0</v>
      </c>
      <c r="EX109" s="118">
        <f t="shared" si="479"/>
        <v>0</v>
      </c>
      <c r="EY109" s="22">
        <f>+_xlfn.XLOOKUP($EJ109,Budget!$A:$A,Budget!DE:DE)</f>
        <v>0</v>
      </c>
      <c r="EZ109" s="22">
        <f>+_xlfn.XLOOKUP($EJ109,Budget!$A:$A,Budget!DF:DF)</f>
        <v>0</v>
      </c>
      <c r="FA109" s="22">
        <f>+_xlfn.XLOOKUP($EJ109,Budget!$A:$A,Budget!DG:DG)</f>
        <v>0</v>
      </c>
      <c r="FB109" s="22">
        <f>+_xlfn.XLOOKUP($EJ109,Budget!$A:$A,Budget!DH:DH)</f>
        <v>0</v>
      </c>
      <c r="FC109" s="22">
        <f>+_xlfn.XLOOKUP($EJ109,Budget!$A:$A,Budget!DI:DI)</f>
        <v>0</v>
      </c>
      <c r="FD109" s="22">
        <f>+_xlfn.XLOOKUP($EJ109,Budget!$A:$A,Budget!DJ:DJ)</f>
        <v>0</v>
      </c>
      <c r="FE109" s="22">
        <f>+_xlfn.XLOOKUP($EJ109,Budget!$A:$A,Budget!DK:DK)</f>
        <v>0</v>
      </c>
      <c r="FF109" s="22">
        <f>+_xlfn.XLOOKUP($EJ109,Budget!$A:$A,Budget!DL:DL)</f>
        <v>0</v>
      </c>
      <c r="FG109" s="22">
        <f>+_xlfn.XLOOKUP($EJ109,Budget!$A:$A,Budget!DM:DM)</f>
        <v>0</v>
      </c>
      <c r="FH109" s="22">
        <f>+_xlfn.XLOOKUP($EJ109,Budget!$A:$A,Budget!DN:DN)</f>
        <v>0</v>
      </c>
      <c r="FI109" s="22">
        <f>+_xlfn.XLOOKUP($EJ109,Budget!$A:$A,Budget!DO:DO)</f>
        <v>0</v>
      </c>
      <c r="FJ109" s="22">
        <f>+_xlfn.XLOOKUP($EJ109,Budget!$A:$A,Budget!DP:DP)</f>
        <v>0</v>
      </c>
      <c r="FK109" s="106">
        <f t="shared" si="506"/>
        <v>0</v>
      </c>
    </row>
    <row r="110" spans="1:167" ht="14.45" hidden="1" customHeight="1" outlineLevel="1">
      <c r="A110" s="106">
        <f t="shared" si="492"/>
        <v>0</v>
      </c>
      <c r="B110" s="106">
        <f t="shared" si="492"/>
        <v>0</v>
      </c>
      <c r="C110" s="106">
        <f t="shared" si="492"/>
        <v>0</v>
      </c>
      <c r="D110" s="106">
        <f t="shared" si="492"/>
        <v>0</v>
      </c>
      <c r="E110" s="106">
        <f t="shared" si="492"/>
        <v>0</v>
      </c>
      <c r="F110" s="106">
        <f t="shared" si="492"/>
        <v>0</v>
      </c>
      <c r="G110" s="106">
        <f t="shared" si="492"/>
        <v>0</v>
      </c>
      <c r="H110" s="106">
        <f t="shared" si="492"/>
        <v>2183.7600000000011</v>
      </c>
      <c r="I110" s="106">
        <f t="shared" si="492"/>
        <v>22935</v>
      </c>
      <c r="J110" s="106">
        <f t="shared" si="492"/>
        <v>0</v>
      </c>
      <c r="K110" s="106">
        <f t="shared" si="492"/>
        <v>0</v>
      </c>
      <c r="L110" s="106">
        <f t="shared" si="492"/>
        <v>0</v>
      </c>
      <c r="M110" s="106">
        <f t="shared" si="493"/>
        <v>25118.760000000002</v>
      </c>
      <c r="N110" s="16" t="s">
        <v>90</v>
      </c>
      <c r="O110" s="22">
        <f t="shared" si="494"/>
        <v>0</v>
      </c>
      <c r="P110" s="22">
        <f t="shared" si="494"/>
        <v>0</v>
      </c>
      <c r="Q110" s="22">
        <f t="shared" si="494"/>
        <v>68.849999999999994</v>
      </c>
      <c r="R110" s="22">
        <f t="shared" si="494"/>
        <v>0</v>
      </c>
      <c r="S110" s="22">
        <f t="shared" si="494"/>
        <v>4050</v>
      </c>
      <c r="T110" s="22">
        <f t="shared" si="494"/>
        <v>0</v>
      </c>
      <c r="U110" s="22">
        <f t="shared" si="494"/>
        <v>0</v>
      </c>
      <c r="V110" s="22">
        <f t="shared" si="494"/>
        <v>105673.68</v>
      </c>
      <c r="W110" s="22">
        <f t="shared" si="494"/>
        <v>0</v>
      </c>
      <c r="X110" s="22">
        <f t="shared" si="494"/>
        <v>0</v>
      </c>
      <c r="Y110" s="22">
        <f t="shared" si="494"/>
        <v>0</v>
      </c>
      <c r="Z110" s="22">
        <f t="shared" si="494"/>
        <v>0</v>
      </c>
      <c r="AA110" s="22">
        <f t="shared" si="495"/>
        <v>109792.53</v>
      </c>
      <c r="AB110" s="118">
        <f t="shared" si="476"/>
        <v>0</v>
      </c>
      <c r="AC110" s="22">
        <f t="shared" si="496"/>
        <v>0</v>
      </c>
      <c r="AD110" s="22">
        <f t="shared" si="496"/>
        <v>0</v>
      </c>
      <c r="AE110" s="22">
        <f t="shared" si="496"/>
        <v>0</v>
      </c>
      <c r="AF110" s="22">
        <f t="shared" si="496"/>
        <v>0</v>
      </c>
      <c r="AG110" s="22">
        <f t="shared" si="496"/>
        <v>0</v>
      </c>
      <c r="AH110" s="22">
        <f t="shared" si="496"/>
        <v>0</v>
      </c>
      <c r="AI110" s="22">
        <f t="shared" si="496"/>
        <v>0</v>
      </c>
      <c r="AJ110" s="22">
        <f t="shared" si="496"/>
        <v>0</v>
      </c>
      <c r="AK110" s="22">
        <f t="shared" si="496"/>
        <v>0</v>
      </c>
      <c r="AL110" s="22">
        <f t="shared" si="496"/>
        <v>0</v>
      </c>
      <c r="AM110" s="22">
        <f t="shared" si="496"/>
        <v>0</v>
      </c>
      <c r="AN110" s="22">
        <f t="shared" si="496"/>
        <v>0</v>
      </c>
      <c r="AO110" s="22">
        <f t="shared" si="497"/>
        <v>0</v>
      </c>
      <c r="AQ110" s="106">
        <v>0</v>
      </c>
      <c r="AR110" s="106">
        <v>0</v>
      </c>
      <c r="AS110" s="106">
        <v>0</v>
      </c>
      <c r="AT110" s="106">
        <v>0</v>
      </c>
      <c r="AU110" s="106">
        <v>0</v>
      </c>
      <c r="AV110" s="106">
        <v>0</v>
      </c>
      <c r="AW110" s="106">
        <v>0</v>
      </c>
      <c r="AX110" s="106">
        <v>1455.8400000000008</v>
      </c>
      <c r="AY110" s="106">
        <v>0</v>
      </c>
      <c r="AZ110" s="106">
        <v>0</v>
      </c>
      <c r="BA110" s="106">
        <v>0</v>
      </c>
      <c r="BB110" s="106">
        <v>0</v>
      </c>
      <c r="BC110" s="106">
        <f t="shared" si="498"/>
        <v>1455.8400000000008</v>
      </c>
      <c r="BD110" s="16" t="str">
        <f t="shared" si="334"/>
        <v>Retail Activation Program</v>
      </c>
      <c r="BE110" s="22">
        <f>+VLOOKUP($BD110,'Jan-25'!$A:$J,4,0)</f>
        <v>0</v>
      </c>
      <c r="BF110" s="22">
        <f>+VLOOKUP($BD110,'Feb-25'!$A:$J,4,0)</f>
        <v>0</v>
      </c>
      <c r="BG110" s="22">
        <f>+VLOOKUP($BD110,'Mar-25'!$A:$J,4,0)</f>
        <v>45.9</v>
      </c>
      <c r="BH110" s="22">
        <f>+VLOOKUP($BD110,'Apr-25'!$A:$J,4,0)</f>
        <v>0</v>
      </c>
      <c r="BI110" s="22">
        <f>+VLOOKUP($BD110,'May-25'!$A:$J,4,0)</f>
        <v>2700</v>
      </c>
      <c r="BJ110" s="22">
        <f>+VLOOKUP($BD110,'June-25'!$A:$J,4,0)</f>
        <v>0</v>
      </c>
      <c r="BK110" s="22">
        <f>+VLOOKUP($BD110,'July-25'!$A:$J,4,0)</f>
        <v>0</v>
      </c>
      <c r="BL110" s="22">
        <f>+VLOOKUP($BD110,'Aug-25'!$A:$J,4,0)</f>
        <v>70449.119999999995</v>
      </c>
      <c r="BM110" s="22">
        <f>+VLOOKUP($BD110,'Sep-25'!$A:$J,4,0)</f>
        <v>0</v>
      </c>
      <c r="BN110" s="22">
        <f>+VLOOKUP($BD110,'Oct-25'!$A:$J,4,0)</f>
        <v>0</v>
      </c>
      <c r="BO110" s="22">
        <f>+VLOOKUP($BD110,'Nov-25'!$A:$J,4,0)</f>
        <v>0</v>
      </c>
      <c r="BP110" s="22">
        <f>+VLOOKUP($BD110,'Dec-25'!$A:$J,4,0)</f>
        <v>0</v>
      </c>
      <c r="BQ110" s="22">
        <f t="shared" si="499"/>
        <v>73195.01999999999</v>
      </c>
      <c r="BR110" s="118">
        <f t="shared" si="477"/>
        <v>0</v>
      </c>
      <c r="BS110" s="106">
        <f>+_xlfn.XLOOKUP($BD110,Budget!$A:$A,Budget!AQ:AQ)</f>
        <v>0</v>
      </c>
      <c r="BT110" s="106">
        <f>+_xlfn.XLOOKUP($BD110,Budget!$A:$A,Budget!AR:AR)</f>
        <v>0</v>
      </c>
      <c r="BU110" s="106">
        <f>+_xlfn.XLOOKUP($BD110,Budget!$A:$A,Budget!AS:AS)</f>
        <v>0</v>
      </c>
      <c r="BV110" s="106">
        <f>+_xlfn.XLOOKUP($BD110,Budget!$A:$A,Budget!AT:AT)</f>
        <v>0</v>
      </c>
      <c r="BW110" s="106">
        <f>+_xlfn.XLOOKUP($BD110,Budget!$A:$A,Budget!AU:AU)</f>
        <v>0</v>
      </c>
      <c r="BX110" s="106">
        <f>+_xlfn.XLOOKUP($BD110,Budget!$A:$A,Budget!AV:AV)</f>
        <v>0</v>
      </c>
      <c r="BY110" s="106">
        <f>+_xlfn.XLOOKUP($BD110,Budget!$A:$A,Budget!AW:AW)</f>
        <v>0</v>
      </c>
      <c r="BZ110" s="106">
        <f>+_xlfn.XLOOKUP($BD110,Budget!$A:$A,Budget!AX:AX)</f>
        <v>0</v>
      </c>
      <c r="CA110" s="106">
        <f>+_xlfn.XLOOKUP($BD110,Budget!$A:$A,Budget!AY:AY)</f>
        <v>0</v>
      </c>
      <c r="CB110" s="106">
        <f>+_xlfn.XLOOKUP($BD110,Budget!$A:$A,Budget!AZ:AZ)</f>
        <v>0</v>
      </c>
      <c r="CC110" s="106">
        <f>+_xlfn.XLOOKUP($BD110,Budget!$A:$A,Budget!BA:BA)</f>
        <v>0</v>
      </c>
      <c r="CD110" s="106">
        <f>+_xlfn.XLOOKUP($BD110,Budget!$A:$A,Budget!BB:BB)</f>
        <v>0</v>
      </c>
      <c r="CE110" s="106">
        <f t="shared" si="500"/>
        <v>0</v>
      </c>
      <c r="CF110" s="22"/>
      <c r="CG110" s="22">
        <v>0</v>
      </c>
      <c r="CH110" s="22">
        <v>0</v>
      </c>
      <c r="CI110" s="22">
        <v>0</v>
      </c>
      <c r="CJ110" s="22">
        <v>0</v>
      </c>
      <c r="CK110" s="22">
        <v>0</v>
      </c>
      <c r="CL110" s="22">
        <v>0</v>
      </c>
      <c r="CM110" s="22">
        <v>0</v>
      </c>
      <c r="CN110" s="22">
        <v>727.92000000000041</v>
      </c>
      <c r="CO110" s="22">
        <v>22935</v>
      </c>
      <c r="CP110" s="22">
        <v>0</v>
      </c>
      <c r="CQ110" s="22">
        <v>0</v>
      </c>
      <c r="CR110" s="22">
        <v>0</v>
      </c>
      <c r="CS110" s="106">
        <f t="shared" si="501"/>
        <v>23662.920000000002</v>
      </c>
      <c r="CT110" s="16" t="str">
        <f t="shared" si="338"/>
        <v>Retail Activation Program</v>
      </c>
      <c r="CU110" s="22">
        <f>+VLOOKUP($BD110,'Jan-25'!$A:$J,7,0)</f>
        <v>0</v>
      </c>
      <c r="CV110" s="22">
        <f>+VLOOKUP($BD110,'Feb-25'!$A:$J,7,0)</f>
        <v>0</v>
      </c>
      <c r="CW110" s="22">
        <f>+VLOOKUP($BD110,'Mar-25'!$A:$J,7,0)</f>
        <v>22.95</v>
      </c>
      <c r="CX110" s="22">
        <f>+VLOOKUP($BD110,'Apr-25'!$A:$J,7,0)</f>
        <v>0</v>
      </c>
      <c r="CY110" s="22">
        <f>+VLOOKUP($BD110,'May-25'!$A:$J,7,0)</f>
        <v>1350</v>
      </c>
      <c r="CZ110" s="22">
        <f>+VLOOKUP($BD110,'June-25'!$A:$J,7,0)</f>
        <v>0</v>
      </c>
      <c r="DA110" s="22">
        <f>+VLOOKUP($BD110,'July-25'!$A:$J,7,0)</f>
        <v>0</v>
      </c>
      <c r="DB110" s="22">
        <f>+VLOOKUP($BD110,'Aug-25'!$A:$J,7,0)</f>
        <v>35224.559999999998</v>
      </c>
      <c r="DC110" s="22">
        <f>+VLOOKUP($BD110,'Sep-25'!$A:$J,7,0)</f>
        <v>0</v>
      </c>
      <c r="DD110" s="22">
        <f>+VLOOKUP($BD110,'Oct-25'!$A:$J,7,0)</f>
        <v>0</v>
      </c>
      <c r="DE110" s="22">
        <f>+VLOOKUP($BD110,'Nov-25'!$A:$J,7,0)</f>
        <v>0</v>
      </c>
      <c r="DF110" s="22">
        <f>+VLOOKUP($BD110,'Dec-25'!$A:$J,7,0)</f>
        <v>0</v>
      </c>
      <c r="DG110" s="22">
        <f t="shared" si="502"/>
        <v>36597.509999999995</v>
      </c>
      <c r="DH110" s="118">
        <f t="shared" si="478"/>
        <v>0</v>
      </c>
      <c r="DI110" s="22">
        <f>+_xlfn.XLOOKUP($CT110,Budget!$A:$A,Budget!CD:CD)</f>
        <v>0</v>
      </c>
      <c r="DJ110" s="22">
        <f>+_xlfn.XLOOKUP($CT110,Budget!$A:$A,Budget!CE:CE)</f>
        <v>0</v>
      </c>
      <c r="DK110" s="22">
        <f>+_xlfn.XLOOKUP($CT110,Budget!$A:$A,Budget!CF:CF)</f>
        <v>0</v>
      </c>
      <c r="DL110" s="22">
        <f>+_xlfn.XLOOKUP($CT110,Budget!$A:$A,Budget!CG:CG)</f>
        <v>0</v>
      </c>
      <c r="DM110" s="22">
        <f>+_xlfn.XLOOKUP($CT110,Budget!$A:$A,Budget!CH:CH)</f>
        <v>0</v>
      </c>
      <c r="DN110" s="22">
        <f>+_xlfn.XLOOKUP($CT110,Budget!$A:$A,Budget!CI:CI)</f>
        <v>0</v>
      </c>
      <c r="DO110" s="22">
        <f>+_xlfn.XLOOKUP($CT110,Budget!$A:$A,Budget!CJ:CJ)</f>
        <v>0</v>
      </c>
      <c r="DP110" s="22">
        <f>+_xlfn.XLOOKUP($CT110,Budget!$A:$A,Budget!CK:CK)</f>
        <v>0</v>
      </c>
      <c r="DQ110" s="22">
        <f>+_xlfn.XLOOKUP($CT110,Budget!$A:$A,Budget!CL:CL)</f>
        <v>0</v>
      </c>
      <c r="DR110" s="22">
        <f>+_xlfn.XLOOKUP($CT110,Budget!$A:$A,Budget!CM:CM)</f>
        <v>0</v>
      </c>
      <c r="DS110" s="22">
        <f>+_xlfn.XLOOKUP($CT110,Budget!$A:$A,Budget!CN:CN)</f>
        <v>0</v>
      </c>
      <c r="DT110" s="22">
        <f>+_xlfn.XLOOKUP($CT110,Budget!$A:$A,Budget!CO:CO)</f>
        <v>0</v>
      </c>
      <c r="DU110" s="106">
        <f t="shared" si="503"/>
        <v>0</v>
      </c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106">
        <f t="shared" si="504"/>
        <v>0</v>
      </c>
      <c r="EJ110" s="16" t="str">
        <f t="shared" si="376"/>
        <v>Retail Activation Program</v>
      </c>
      <c r="EK110" s="22">
        <f>+VLOOKUP($BD110,'Jan-25'!$A:$J,9,0)</f>
        <v>0</v>
      </c>
      <c r="EL110" s="22">
        <f>+VLOOKUP($BD110,'Feb-25'!$A:$J,9,0)</f>
        <v>0</v>
      </c>
      <c r="EM110" s="22">
        <f>+VLOOKUP($BD110,'Mar-25'!$A:$J,9,0)</f>
        <v>0</v>
      </c>
      <c r="EN110" s="22">
        <f>+VLOOKUP($BD110,'Apr-25'!$A:$J,9,0)</f>
        <v>0</v>
      </c>
      <c r="EO110" s="22">
        <f>+VLOOKUP($BD110,'May-25'!$A:$J,9,0)</f>
        <v>0</v>
      </c>
      <c r="EP110" s="22">
        <f>+VLOOKUP($BD110,'June-25'!$A:$J,9,0)</f>
        <v>0</v>
      </c>
      <c r="EQ110" s="22">
        <f>+VLOOKUP($BD110,'July-25'!$A:$J,9,0)</f>
        <v>0</v>
      </c>
      <c r="ER110" s="22">
        <f>+VLOOKUP($BD110,'Aug-25'!$A:$J,9,0)</f>
        <v>0</v>
      </c>
      <c r="ES110" s="22">
        <f>+VLOOKUP($BD110,'Sep-25'!$A:$J,9,0)</f>
        <v>0</v>
      </c>
      <c r="ET110" s="22">
        <f>+VLOOKUP($BD110,'Oct-25'!$A:$J,9,0)</f>
        <v>0</v>
      </c>
      <c r="EU110" s="22">
        <f>+VLOOKUP($BD110,'Nov-25'!$A:$J,9,0)</f>
        <v>0</v>
      </c>
      <c r="EV110" s="22">
        <f>+VLOOKUP($BD110,'Dec-25'!$A:$J,9,0)</f>
        <v>0</v>
      </c>
      <c r="EW110" s="22">
        <f t="shared" si="505"/>
        <v>0</v>
      </c>
      <c r="EX110" s="118">
        <f t="shared" si="479"/>
        <v>0</v>
      </c>
      <c r="EY110" s="22">
        <f>+_xlfn.XLOOKUP($EJ110,Budget!$A:$A,Budget!DE:DE)</f>
        <v>0</v>
      </c>
      <c r="EZ110" s="22">
        <f>+_xlfn.XLOOKUP($EJ110,Budget!$A:$A,Budget!DF:DF)</f>
        <v>0</v>
      </c>
      <c r="FA110" s="22">
        <f>+_xlfn.XLOOKUP($EJ110,Budget!$A:$A,Budget!DG:DG)</f>
        <v>0</v>
      </c>
      <c r="FB110" s="22">
        <f>+_xlfn.XLOOKUP($EJ110,Budget!$A:$A,Budget!DH:DH)</f>
        <v>0</v>
      </c>
      <c r="FC110" s="22">
        <f>+_xlfn.XLOOKUP($EJ110,Budget!$A:$A,Budget!DI:DI)</f>
        <v>0</v>
      </c>
      <c r="FD110" s="22">
        <f>+_xlfn.XLOOKUP($EJ110,Budget!$A:$A,Budget!DJ:DJ)</f>
        <v>0</v>
      </c>
      <c r="FE110" s="22">
        <f>+_xlfn.XLOOKUP($EJ110,Budget!$A:$A,Budget!DK:DK)</f>
        <v>0</v>
      </c>
      <c r="FF110" s="22">
        <f>+_xlfn.XLOOKUP($EJ110,Budget!$A:$A,Budget!DL:DL)</f>
        <v>0</v>
      </c>
      <c r="FG110" s="22">
        <f>+_xlfn.XLOOKUP($EJ110,Budget!$A:$A,Budget!DM:DM)</f>
        <v>0</v>
      </c>
      <c r="FH110" s="22">
        <f>+_xlfn.XLOOKUP($EJ110,Budget!$A:$A,Budget!DN:DN)</f>
        <v>0</v>
      </c>
      <c r="FI110" s="22">
        <f>+_xlfn.XLOOKUP($EJ110,Budget!$A:$A,Budget!DO:DO)</f>
        <v>0</v>
      </c>
      <c r="FJ110" s="22">
        <f>+_xlfn.XLOOKUP($EJ110,Budget!$A:$A,Budget!DP:DP)</f>
        <v>0</v>
      </c>
      <c r="FK110" s="106">
        <f t="shared" si="506"/>
        <v>0</v>
      </c>
    </row>
    <row r="111" spans="1:167" ht="14.45" hidden="1" customHeight="1" outlineLevel="1">
      <c r="A111" s="106">
        <f t="shared" si="492"/>
        <v>0</v>
      </c>
      <c r="B111" s="106">
        <f t="shared" si="492"/>
        <v>0</v>
      </c>
      <c r="C111" s="106">
        <f t="shared" si="492"/>
        <v>0</v>
      </c>
      <c r="D111" s="106">
        <f t="shared" si="492"/>
        <v>0</v>
      </c>
      <c r="E111" s="106">
        <f t="shared" si="492"/>
        <v>0</v>
      </c>
      <c r="F111" s="106">
        <f t="shared" si="492"/>
        <v>0</v>
      </c>
      <c r="G111" s="106">
        <f t="shared" si="492"/>
        <v>0</v>
      </c>
      <c r="H111" s="106">
        <f t="shared" si="492"/>
        <v>0</v>
      </c>
      <c r="I111" s="106">
        <f t="shared" si="492"/>
        <v>0</v>
      </c>
      <c r="J111" s="106">
        <f t="shared" si="492"/>
        <v>0</v>
      </c>
      <c r="K111" s="106">
        <f t="shared" si="492"/>
        <v>0</v>
      </c>
      <c r="L111" s="106">
        <f t="shared" si="492"/>
        <v>0</v>
      </c>
      <c r="M111" s="106">
        <f t="shared" si="493"/>
        <v>0</v>
      </c>
      <c r="N111" s="16" t="s">
        <v>91</v>
      </c>
      <c r="O111" s="22">
        <f t="shared" si="494"/>
        <v>0</v>
      </c>
      <c r="P111" s="22">
        <f t="shared" si="494"/>
        <v>0</v>
      </c>
      <c r="Q111" s="22">
        <f t="shared" si="494"/>
        <v>0</v>
      </c>
      <c r="R111" s="22">
        <f t="shared" si="494"/>
        <v>0</v>
      </c>
      <c r="S111" s="22">
        <f t="shared" si="494"/>
        <v>0</v>
      </c>
      <c r="T111" s="22">
        <f t="shared" si="494"/>
        <v>0</v>
      </c>
      <c r="U111" s="22">
        <f t="shared" si="494"/>
        <v>0</v>
      </c>
      <c r="V111" s="22">
        <f t="shared" si="494"/>
        <v>0</v>
      </c>
      <c r="W111" s="22">
        <f t="shared" si="494"/>
        <v>0</v>
      </c>
      <c r="X111" s="22">
        <f t="shared" si="494"/>
        <v>0</v>
      </c>
      <c r="Y111" s="22">
        <f t="shared" si="494"/>
        <v>0</v>
      </c>
      <c r="Z111" s="22">
        <f t="shared" si="494"/>
        <v>0</v>
      </c>
      <c r="AA111" s="22">
        <f t="shared" si="495"/>
        <v>0</v>
      </c>
      <c r="AB111" s="118">
        <f t="shared" si="476"/>
        <v>0</v>
      </c>
      <c r="AC111" s="22">
        <f t="shared" si="496"/>
        <v>0</v>
      </c>
      <c r="AD111" s="22">
        <f t="shared" si="496"/>
        <v>0</v>
      </c>
      <c r="AE111" s="22">
        <f t="shared" si="496"/>
        <v>0</v>
      </c>
      <c r="AF111" s="22">
        <f t="shared" si="496"/>
        <v>0</v>
      </c>
      <c r="AG111" s="22">
        <f t="shared" si="496"/>
        <v>0</v>
      </c>
      <c r="AH111" s="22">
        <f t="shared" si="496"/>
        <v>0</v>
      </c>
      <c r="AI111" s="22">
        <f t="shared" si="496"/>
        <v>0</v>
      </c>
      <c r="AJ111" s="22">
        <f t="shared" si="496"/>
        <v>0</v>
      </c>
      <c r="AK111" s="22">
        <f t="shared" si="496"/>
        <v>0</v>
      </c>
      <c r="AL111" s="22">
        <f t="shared" si="496"/>
        <v>0</v>
      </c>
      <c r="AM111" s="22">
        <f t="shared" si="496"/>
        <v>0</v>
      </c>
      <c r="AN111" s="22">
        <f t="shared" si="496"/>
        <v>0</v>
      </c>
      <c r="AO111" s="22">
        <f t="shared" si="497"/>
        <v>0</v>
      </c>
      <c r="AQ111" s="106">
        <v>0</v>
      </c>
      <c r="AR111" s="106">
        <v>0</v>
      </c>
      <c r="AS111" s="106">
        <v>0</v>
      </c>
      <c r="AT111" s="106">
        <v>0</v>
      </c>
      <c r="AU111" s="106">
        <v>0</v>
      </c>
      <c r="AV111" s="106">
        <v>0</v>
      </c>
      <c r="AW111" s="106">
        <v>0</v>
      </c>
      <c r="AX111" s="106">
        <v>0</v>
      </c>
      <c r="AY111" s="106">
        <v>0</v>
      </c>
      <c r="AZ111" s="106">
        <v>0</v>
      </c>
      <c r="BA111" s="106">
        <v>0</v>
      </c>
      <c r="BB111" s="106">
        <v>0</v>
      </c>
      <c r="BC111" s="106">
        <f t="shared" si="498"/>
        <v>0</v>
      </c>
      <c r="BD111" s="16" t="str">
        <f t="shared" si="334"/>
        <v>Retention Program</v>
      </c>
      <c r="BE111" s="22">
        <f>+VLOOKUP($BD111,'Jan-25'!$A:$J,4,0)</f>
        <v>0</v>
      </c>
      <c r="BF111" s="22">
        <f>+VLOOKUP($BD111,'Feb-25'!$A:$J,4,0)</f>
        <v>0</v>
      </c>
      <c r="BG111" s="22">
        <f>+VLOOKUP($BD111,'Mar-25'!$A:$J,4,0)</f>
        <v>0</v>
      </c>
      <c r="BH111" s="22">
        <f>+VLOOKUP($BD111,'Apr-25'!$A:$J,4,0)</f>
        <v>0</v>
      </c>
      <c r="BI111" s="22">
        <f>+VLOOKUP($BD111,'May-25'!$A:$J,4,0)</f>
        <v>0</v>
      </c>
      <c r="BJ111" s="22">
        <f>+VLOOKUP($BD111,'June-25'!$A:$J,4,0)</f>
        <v>0</v>
      </c>
      <c r="BK111" s="22">
        <f>+VLOOKUP($BD111,'July-25'!$A:$J,4,0)</f>
        <v>0</v>
      </c>
      <c r="BL111" s="22">
        <f>+VLOOKUP($BD111,'Aug-25'!$A:$J,4,0)</f>
        <v>0</v>
      </c>
      <c r="BM111" s="22">
        <f>+VLOOKUP($BD111,'Sep-25'!$A:$J,4,0)</f>
        <v>0</v>
      </c>
      <c r="BN111" s="22">
        <f>+VLOOKUP($BD111,'Oct-25'!$A:$J,4,0)</f>
        <v>0</v>
      </c>
      <c r="BO111" s="22">
        <f>+VLOOKUP($BD111,'Nov-25'!$A:$J,4,0)</f>
        <v>0</v>
      </c>
      <c r="BP111" s="22">
        <f>+VLOOKUP($BD111,'Dec-25'!$A:$J,4,0)</f>
        <v>0</v>
      </c>
      <c r="BQ111" s="22">
        <f t="shared" si="499"/>
        <v>0</v>
      </c>
      <c r="BR111" s="118">
        <f t="shared" si="477"/>
        <v>0</v>
      </c>
      <c r="BS111" s="106">
        <f>+_xlfn.XLOOKUP($BD111,Budget!$A:$A,Budget!AQ:AQ)</f>
        <v>0</v>
      </c>
      <c r="BT111" s="106">
        <f>+_xlfn.XLOOKUP($BD111,Budget!$A:$A,Budget!AR:AR)</f>
        <v>0</v>
      </c>
      <c r="BU111" s="106">
        <f>+_xlfn.XLOOKUP($BD111,Budget!$A:$A,Budget!AS:AS)</f>
        <v>0</v>
      </c>
      <c r="BV111" s="106">
        <f>+_xlfn.XLOOKUP($BD111,Budget!$A:$A,Budget!AT:AT)</f>
        <v>0</v>
      </c>
      <c r="BW111" s="106">
        <f>+_xlfn.XLOOKUP($BD111,Budget!$A:$A,Budget!AU:AU)</f>
        <v>0</v>
      </c>
      <c r="BX111" s="106">
        <f>+_xlfn.XLOOKUP($BD111,Budget!$A:$A,Budget!AV:AV)</f>
        <v>0</v>
      </c>
      <c r="BY111" s="106">
        <f>+_xlfn.XLOOKUP($BD111,Budget!$A:$A,Budget!AW:AW)</f>
        <v>0</v>
      </c>
      <c r="BZ111" s="106">
        <f>+_xlfn.XLOOKUP($BD111,Budget!$A:$A,Budget!AX:AX)</f>
        <v>0</v>
      </c>
      <c r="CA111" s="106">
        <f>+_xlfn.XLOOKUP($BD111,Budget!$A:$A,Budget!AY:AY)</f>
        <v>0</v>
      </c>
      <c r="CB111" s="106">
        <f>+_xlfn.XLOOKUP($BD111,Budget!$A:$A,Budget!AZ:AZ)</f>
        <v>0</v>
      </c>
      <c r="CC111" s="106">
        <f>+_xlfn.XLOOKUP($BD111,Budget!$A:$A,Budget!BA:BA)</f>
        <v>0</v>
      </c>
      <c r="CD111" s="106">
        <f>+_xlfn.XLOOKUP($BD111,Budget!$A:$A,Budget!BB:BB)</f>
        <v>0</v>
      </c>
      <c r="CE111" s="106">
        <f t="shared" si="500"/>
        <v>0</v>
      </c>
      <c r="CF111" s="22"/>
      <c r="CG111" s="22">
        <v>0</v>
      </c>
      <c r="CH111" s="22">
        <v>0</v>
      </c>
      <c r="CI111" s="22">
        <v>0</v>
      </c>
      <c r="CJ111" s="22">
        <v>0</v>
      </c>
      <c r="CK111" s="22">
        <v>0</v>
      </c>
      <c r="CL111" s="22">
        <v>0</v>
      </c>
      <c r="CM111" s="22">
        <v>0</v>
      </c>
      <c r="CN111" s="22">
        <v>0</v>
      </c>
      <c r="CO111" s="22">
        <v>0</v>
      </c>
      <c r="CP111" s="22">
        <v>0</v>
      </c>
      <c r="CQ111" s="22">
        <v>0</v>
      </c>
      <c r="CR111" s="22">
        <v>0</v>
      </c>
      <c r="CS111" s="106">
        <f t="shared" si="501"/>
        <v>0</v>
      </c>
      <c r="CT111" s="16" t="str">
        <f t="shared" si="338"/>
        <v>Retention Program</v>
      </c>
      <c r="CU111" s="22">
        <f>+VLOOKUP($BD111,'Jan-25'!$A:$J,7,0)</f>
        <v>0</v>
      </c>
      <c r="CV111" s="22">
        <f>+VLOOKUP($BD111,'Feb-25'!$A:$J,7,0)</f>
        <v>0</v>
      </c>
      <c r="CW111" s="22">
        <f>+VLOOKUP($BD111,'Mar-25'!$A:$J,7,0)</f>
        <v>0</v>
      </c>
      <c r="CX111" s="22">
        <f>+VLOOKUP($BD111,'Apr-25'!$A:$J,7,0)</f>
        <v>0</v>
      </c>
      <c r="CY111" s="22">
        <f>+VLOOKUP($BD111,'May-25'!$A:$J,7,0)</f>
        <v>0</v>
      </c>
      <c r="CZ111" s="22">
        <f>+VLOOKUP($BD111,'June-25'!$A:$J,7,0)</f>
        <v>0</v>
      </c>
      <c r="DA111" s="22">
        <f>+VLOOKUP($BD111,'July-25'!$A:$J,7,0)</f>
        <v>0</v>
      </c>
      <c r="DB111" s="22">
        <f>+VLOOKUP($BD111,'Aug-25'!$A:$J,7,0)</f>
        <v>0</v>
      </c>
      <c r="DC111" s="22">
        <f>+VLOOKUP($BD111,'Sep-25'!$A:$J,7,0)</f>
        <v>0</v>
      </c>
      <c r="DD111" s="22">
        <f>+VLOOKUP($BD111,'Oct-25'!$A:$J,7,0)</f>
        <v>0</v>
      </c>
      <c r="DE111" s="22">
        <f>+VLOOKUP($BD111,'Nov-25'!$A:$J,7,0)</f>
        <v>0</v>
      </c>
      <c r="DF111" s="22">
        <f>+VLOOKUP($BD111,'Dec-25'!$A:$J,7,0)</f>
        <v>0</v>
      </c>
      <c r="DG111" s="22">
        <f t="shared" si="502"/>
        <v>0</v>
      </c>
      <c r="DH111" s="118">
        <f t="shared" si="478"/>
        <v>0</v>
      </c>
      <c r="DI111" s="22">
        <f>+_xlfn.XLOOKUP($CT111,Budget!$A:$A,Budget!CD:CD)</f>
        <v>0</v>
      </c>
      <c r="DJ111" s="22">
        <f>+_xlfn.XLOOKUP($CT111,Budget!$A:$A,Budget!CE:CE)</f>
        <v>0</v>
      </c>
      <c r="DK111" s="22">
        <f>+_xlfn.XLOOKUP($CT111,Budget!$A:$A,Budget!CF:CF)</f>
        <v>0</v>
      </c>
      <c r="DL111" s="22">
        <f>+_xlfn.XLOOKUP($CT111,Budget!$A:$A,Budget!CG:CG)</f>
        <v>0</v>
      </c>
      <c r="DM111" s="22">
        <f>+_xlfn.XLOOKUP($CT111,Budget!$A:$A,Budget!CH:CH)</f>
        <v>0</v>
      </c>
      <c r="DN111" s="22">
        <f>+_xlfn.XLOOKUP($CT111,Budget!$A:$A,Budget!CI:CI)</f>
        <v>0</v>
      </c>
      <c r="DO111" s="22">
        <f>+_xlfn.XLOOKUP($CT111,Budget!$A:$A,Budget!CJ:CJ)</f>
        <v>0</v>
      </c>
      <c r="DP111" s="22">
        <f>+_xlfn.XLOOKUP($CT111,Budget!$A:$A,Budget!CK:CK)</f>
        <v>0</v>
      </c>
      <c r="DQ111" s="22">
        <f>+_xlfn.XLOOKUP($CT111,Budget!$A:$A,Budget!CL:CL)</f>
        <v>0</v>
      </c>
      <c r="DR111" s="22">
        <f>+_xlfn.XLOOKUP($CT111,Budget!$A:$A,Budget!CM:CM)</f>
        <v>0</v>
      </c>
      <c r="DS111" s="22">
        <f>+_xlfn.XLOOKUP($CT111,Budget!$A:$A,Budget!CN:CN)</f>
        <v>0</v>
      </c>
      <c r="DT111" s="22">
        <f>+_xlfn.XLOOKUP($CT111,Budget!$A:$A,Budget!CO:CO)</f>
        <v>0</v>
      </c>
      <c r="DU111" s="106">
        <f t="shared" si="503"/>
        <v>0</v>
      </c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106">
        <f t="shared" si="504"/>
        <v>0</v>
      </c>
      <c r="EJ111" s="16" t="str">
        <f t="shared" si="376"/>
        <v>Retention Program</v>
      </c>
      <c r="EK111" s="22">
        <f>+VLOOKUP($BD111,'Jan-25'!$A:$J,9,0)</f>
        <v>0</v>
      </c>
      <c r="EL111" s="22">
        <f>+VLOOKUP($BD111,'Feb-25'!$A:$J,9,0)</f>
        <v>0</v>
      </c>
      <c r="EM111" s="22">
        <f>+VLOOKUP($BD111,'Mar-25'!$A:$J,9,0)</f>
        <v>0</v>
      </c>
      <c r="EN111" s="22">
        <f>+VLOOKUP($BD111,'Apr-25'!$A:$J,9,0)</f>
        <v>0</v>
      </c>
      <c r="EO111" s="22">
        <f>+VLOOKUP($BD111,'May-25'!$A:$J,9,0)</f>
        <v>0</v>
      </c>
      <c r="EP111" s="22">
        <f>+VLOOKUP($BD111,'June-25'!$A:$J,9,0)</f>
        <v>0</v>
      </c>
      <c r="EQ111" s="22">
        <f>+VLOOKUP($BD111,'July-25'!$A:$J,9,0)</f>
        <v>0</v>
      </c>
      <c r="ER111" s="22">
        <f>+VLOOKUP($BD111,'Aug-25'!$A:$J,9,0)</f>
        <v>0</v>
      </c>
      <c r="ES111" s="22">
        <f>+VLOOKUP($BD111,'Sep-25'!$A:$J,9,0)</f>
        <v>0</v>
      </c>
      <c r="ET111" s="22">
        <f>+VLOOKUP($BD111,'Oct-25'!$A:$J,9,0)</f>
        <v>0</v>
      </c>
      <c r="EU111" s="22">
        <f>+VLOOKUP($BD111,'Nov-25'!$A:$J,9,0)</f>
        <v>0</v>
      </c>
      <c r="EV111" s="22">
        <f>+VLOOKUP($BD111,'Dec-25'!$A:$J,9,0)</f>
        <v>0</v>
      </c>
      <c r="EW111" s="22">
        <f t="shared" si="505"/>
        <v>0</v>
      </c>
      <c r="EX111" s="118">
        <f t="shared" si="479"/>
        <v>0</v>
      </c>
      <c r="EY111" s="22">
        <f>+_xlfn.XLOOKUP($EJ111,Budget!$A:$A,Budget!DE:DE)</f>
        <v>0</v>
      </c>
      <c r="EZ111" s="22">
        <f>+_xlfn.XLOOKUP($EJ111,Budget!$A:$A,Budget!DF:DF)</f>
        <v>0</v>
      </c>
      <c r="FA111" s="22">
        <f>+_xlfn.XLOOKUP($EJ111,Budget!$A:$A,Budget!DG:DG)</f>
        <v>0</v>
      </c>
      <c r="FB111" s="22">
        <f>+_xlfn.XLOOKUP($EJ111,Budget!$A:$A,Budget!DH:DH)</f>
        <v>0</v>
      </c>
      <c r="FC111" s="22">
        <f>+_xlfn.XLOOKUP($EJ111,Budget!$A:$A,Budget!DI:DI)</f>
        <v>0</v>
      </c>
      <c r="FD111" s="22">
        <f>+_xlfn.XLOOKUP($EJ111,Budget!$A:$A,Budget!DJ:DJ)</f>
        <v>0</v>
      </c>
      <c r="FE111" s="22">
        <f>+_xlfn.XLOOKUP($EJ111,Budget!$A:$A,Budget!DK:DK)</f>
        <v>0</v>
      </c>
      <c r="FF111" s="22">
        <f>+_xlfn.XLOOKUP($EJ111,Budget!$A:$A,Budget!DL:DL)</f>
        <v>0</v>
      </c>
      <c r="FG111" s="22">
        <f>+_xlfn.XLOOKUP($EJ111,Budget!$A:$A,Budget!DM:DM)</f>
        <v>0</v>
      </c>
      <c r="FH111" s="22">
        <f>+_xlfn.XLOOKUP($EJ111,Budget!$A:$A,Budget!DN:DN)</f>
        <v>0</v>
      </c>
      <c r="FI111" s="22">
        <f>+_xlfn.XLOOKUP($EJ111,Budget!$A:$A,Budget!DO:DO)</f>
        <v>0</v>
      </c>
      <c r="FJ111" s="22">
        <f>+_xlfn.XLOOKUP($EJ111,Budget!$A:$A,Budget!DP:DP)</f>
        <v>0</v>
      </c>
      <c r="FK111" s="106">
        <f t="shared" si="506"/>
        <v>0</v>
      </c>
    </row>
    <row r="112" spans="1:167" ht="14.45" hidden="1" customHeight="1" outlineLevel="1">
      <c r="A112" s="106">
        <f t="shared" si="492"/>
        <v>0</v>
      </c>
      <c r="B112" s="106">
        <f t="shared" si="492"/>
        <v>0</v>
      </c>
      <c r="C112" s="106">
        <f t="shared" si="492"/>
        <v>5420</v>
      </c>
      <c r="D112" s="106">
        <f t="shared" si="492"/>
        <v>8420</v>
      </c>
      <c r="E112" s="106">
        <f t="shared" si="492"/>
        <v>5420</v>
      </c>
      <c r="F112" s="106">
        <f t="shared" si="492"/>
        <v>6860</v>
      </c>
      <c r="G112" s="106">
        <f t="shared" si="492"/>
        <v>0</v>
      </c>
      <c r="H112" s="106">
        <f t="shared" si="492"/>
        <v>148820</v>
      </c>
      <c r="I112" s="106">
        <f t="shared" si="492"/>
        <v>3000</v>
      </c>
      <c r="J112" s="106">
        <f t="shared" si="492"/>
        <v>79976</v>
      </c>
      <c r="K112" s="106">
        <f t="shared" si="492"/>
        <v>0</v>
      </c>
      <c r="L112" s="106">
        <f t="shared" si="492"/>
        <v>219670</v>
      </c>
      <c r="M112" s="106">
        <f t="shared" si="493"/>
        <v>477586</v>
      </c>
      <c r="N112" s="16" t="s">
        <v>92</v>
      </c>
      <c r="O112" s="22">
        <f t="shared" si="494"/>
        <v>29724</v>
      </c>
      <c r="P112" s="22">
        <f t="shared" si="494"/>
        <v>35263</v>
      </c>
      <c r="Q112" s="22">
        <f t="shared" si="494"/>
        <v>50589</v>
      </c>
      <c r="R112" s="22">
        <f t="shared" si="494"/>
        <v>3700</v>
      </c>
      <c r="S112" s="22">
        <f t="shared" si="494"/>
        <v>178403.30799999996</v>
      </c>
      <c r="T112" s="22">
        <f t="shared" si="494"/>
        <v>63349.39</v>
      </c>
      <c r="U112" s="22">
        <f t="shared" si="494"/>
        <v>36848</v>
      </c>
      <c r="V112" s="22">
        <f t="shared" si="494"/>
        <v>41282.720000000001</v>
      </c>
      <c r="W112" s="22">
        <f t="shared" si="494"/>
        <v>75465</v>
      </c>
      <c r="X112" s="22">
        <f t="shared" si="494"/>
        <v>11822.34</v>
      </c>
      <c r="Y112" s="22">
        <f t="shared" si="494"/>
        <v>0</v>
      </c>
      <c r="Z112" s="22">
        <f t="shared" si="494"/>
        <v>0</v>
      </c>
      <c r="AA112" s="22">
        <f t="shared" si="495"/>
        <v>526446.75799999991</v>
      </c>
      <c r="AB112" s="118">
        <f t="shared" si="476"/>
        <v>0.58375276867508985</v>
      </c>
      <c r="AC112" s="22">
        <f t="shared" si="496"/>
        <v>7763.3185555200025</v>
      </c>
      <c r="AD112" s="22">
        <f t="shared" si="496"/>
        <v>7581.2152035200033</v>
      </c>
      <c r="AE112" s="22">
        <f t="shared" si="496"/>
        <v>7716.75646736</v>
      </c>
      <c r="AF112" s="22">
        <f t="shared" si="496"/>
        <v>6624.3028064959999</v>
      </c>
      <c r="AG112" s="22">
        <f t="shared" si="496"/>
        <v>7510.2147841600008</v>
      </c>
      <c r="AH112" s="22">
        <f t="shared" si="496"/>
        <v>7833.2723225600002</v>
      </c>
      <c r="AI112" s="22">
        <f t="shared" si="496"/>
        <v>8182.8158620800004</v>
      </c>
      <c r="AJ112" s="22">
        <f t="shared" si="496"/>
        <v>8213.2027142400038</v>
      </c>
      <c r="AK112" s="22">
        <f t="shared" si="496"/>
        <v>8341.2905116800011</v>
      </c>
      <c r="AL112" s="22">
        <f t="shared" si="496"/>
        <v>7464.7635880000016</v>
      </c>
      <c r="AM112" s="22">
        <f t="shared" si="496"/>
        <v>7026.6241760000012</v>
      </c>
      <c r="AN112" s="22">
        <f t="shared" si="496"/>
        <v>8292.152924</v>
      </c>
      <c r="AO112" s="22">
        <f t="shared" si="497"/>
        <v>92549.929915615998</v>
      </c>
      <c r="AQ112" s="106">
        <v>0</v>
      </c>
      <c r="AR112" s="106">
        <v>0</v>
      </c>
      <c r="AS112" s="106">
        <v>5420</v>
      </c>
      <c r="AT112" s="106">
        <v>8420</v>
      </c>
      <c r="AU112" s="106">
        <v>5420</v>
      </c>
      <c r="AV112" s="106">
        <v>5420</v>
      </c>
      <c r="AW112" s="106">
        <v>0</v>
      </c>
      <c r="AX112" s="106">
        <v>148820</v>
      </c>
      <c r="AY112" s="106">
        <v>3000</v>
      </c>
      <c r="AZ112" s="106">
        <v>79976</v>
      </c>
      <c r="BA112" s="106">
        <v>0</v>
      </c>
      <c r="BB112" s="106">
        <v>-183355</v>
      </c>
      <c r="BC112" s="106">
        <f t="shared" si="498"/>
        <v>73121</v>
      </c>
      <c r="BD112" s="16" t="str">
        <f t="shared" si="334"/>
        <v>Service Compaign and Other Activities</v>
      </c>
      <c r="BE112" s="22">
        <f>+VLOOKUP($BD112,'Jan-25'!$A:$J,4,0)</f>
        <v>15000</v>
      </c>
      <c r="BF112" s="22">
        <f>+VLOOKUP($BD112,'Feb-25'!$A:$J,4,0)</f>
        <v>5920</v>
      </c>
      <c r="BG112" s="22">
        <f>+VLOOKUP($BD112,'Mar-25'!$A:$J,4,0)</f>
        <v>10920</v>
      </c>
      <c r="BH112" s="22">
        <f>+VLOOKUP($BD112,'Apr-25'!$A:$J,4,0)</f>
        <v>0</v>
      </c>
      <c r="BI112" s="22">
        <f>+VLOOKUP($BD112,'May-25'!$A:$J,4,0)</f>
        <v>27786.949999999997</v>
      </c>
      <c r="BJ112" s="22">
        <f>+VLOOKUP($BD112,'June-25'!$A:$J,4,0)</f>
        <v>14075</v>
      </c>
      <c r="BK112" s="22">
        <f>+VLOOKUP($BD112,'July-25'!$A:$J,4,0)</f>
        <v>5920</v>
      </c>
      <c r="BL112" s="22">
        <f>+VLOOKUP($BD112,'Aug-25'!$A:$J,4,0)</f>
        <v>38067.800000000003</v>
      </c>
      <c r="BM112" s="22">
        <f>+VLOOKUP($BD112,'Sep-25'!$A:$J,4,0)</f>
        <v>17990</v>
      </c>
      <c r="BN112" s="22">
        <f>+VLOOKUP($BD112,'Oct-25'!$A:$J,4,0)</f>
        <v>4320.3999999999996</v>
      </c>
      <c r="BO112" s="22">
        <f>+VLOOKUP($BD112,'Nov-25'!$A:$J,4,0)</f>
        <v>0</v>
      </c>
      <c r="BP112" s="22">
        <f>+VLOOKUP($BD112,'Dec-25'!$A:$J,4,0)</f>
        <v>0</v>
      </c>
      <c r="BQ112" s="22">
        <f t="shared" si="499"/>
        <v>140000.15</v>
      </c>
      <c r="BR112" s="118">
        <f t="shared" si="477"/>
        <v>0.14854599912285893</v>
      </c>
      <c r="BS112" s="106">
        <f>+_xlfn.XLOOKUP($BD112,Budget!$A:$A,Budget!AQ:AQ)</f>
        <v>3876.2390880000016</v>
      </c>
      <c r="BT112" s="106">
        <f>+_xlfn.XLOOKUP($BD112,Budget!$A:$A,Budget!AR:AR)</f>
        <v>3825.3521174400021</v>
      </c>
      <c r="BU112" s="106">
        <f>+_xlfn.XLOOKUP($BD112,Budget!$A:$A,Budget!AS:AS)</f>
        <v>3570.0848769600002</v>
      </c>
      <c r="BV112" s="106">
        <f>+_xlfn.XLOOKUP($BD112,Budget!$A:$A,Budget!AT:AT)</f>
        <v>3304.3093896959999</v>
      </c>
      <c r="BW112" s="106">
        <f>+_xlfn.XLOOKUP($BD112,Budget!$A:$A,Budget!AU:AU)</f>
        <v>3662.0394451200004</v>
      </c>
      <c r="BX112" s="106">
        <f>+_xlfn.XLOOKUP($BD112,Budget!$A:$A,Budget!AV:AV)</f>
        <v>3801.0700224000002</v>
      </c>
      <c r="BY112" s="106">
        <f>+_xlfn.XLOOKUP($BD112,Budget!$A:$A,Budget!AW:AW)</f>
        <v>3886.3127116800006</v>
      </c>
      <c r="BZ112" s="106">
        <f>+_xlfn.XLOOKUP($BD112,Budget!$A:$A,Budget!AX:AX)</f>
        <v>4073.6501467200019</v>
      </c>
      <c r="CA112" s="106">
        <f>+_xlfn.XLOOKUP($BD112,Budget!$A:$A,Budget!AY:AY)</f>
        <v>4319.234085600001</v>
      </c>
      <c r="CB112" s="106">
        <f>+_xlfn.XLOOKUP($BD112,Budget!$A:$A,Budget!AZ:AZ)</f>
        <v>3761.6255712000006</v>
      </c>
      <c r="CC112" s="106">
        <f>+_xlfn.XLOOKUP($BD112,Budget!$A:$A,Budget!BA:BA)</f>
        <v>3009.3004569600007</v>
      </c>
      <c r="CD112" s="106">
        <f>+_xlfn.XLOOKUP($BD112,Budget!$A:$A,Budget!BB:BB)</f>
        <v>3976.5756038400004</v>
      </c>
      <c r="CE112" s="106">
        <f t="shared" si="500"/>
        <v>45065.793515616009</v>
      </c>
      <c r="CF112" s="22"/>
      <c r="CG112" s="22">
        <v>0</v>
      </c>
      <c r="CH112" s="22">
        <v>0</v>
      </c>
      <c r="CI112" s="22">
        <v>0</v>
      </c>
      <c r="CJ112" s="22">
        <v>0</v>
      </c>
      <c r="CK112" s="22">
        <v>0</v>
      </c>
      <c r="CL112" s="22">
        <v>1440</v>
      </c>
      <c r="CM112" s="22">
        <v>0</v>
      </c>
      <c r="CN112" s="22">
        <v>0</v>
      </c>
      <c r="CO112" s="22">
        <v>0</v>
      </c>
      <c r="CP112" s="22">
        <v>0</v>
      </c>
      <c r="CQ112" s="22">
        <v>0</v>
      </c>
      <c r="CR112" s="22">
        <v>403025</v>
      </c>
      <c r="CS112" s="106">
        <f t="shared" si="501"/>
        <v>404465</v>
      </c>
      <c r="CT112" s="16" t="str">
        <f t="shared" si="338"/>
        <v>Service Compaign and Other Activities</v>
      </c>
      <c r="CU112" s="22">
        <f>+VLOOKUP($BD112,'Jan-25'!$A:$J,7,0)</f>
        <v>12250</v>
      </c>
      <c r="CV112" s="22">
        <f>+VLOOKUP($BD112,'Feb-25'!$A:$J,7,0)</f>
        <v>27005</v>
      </c>
      <c r="CW112" s="22">
        <f>+VLOOKUP($BD112,'Mar-25'!$A:$J,7,0)</f>
        <v>3960</v>
      </c>
      <c r="CX112" s="22">
        <f>+VLOOKUP($BD112,'Apr-25'!$A:$J,7,0)</f>
        <v>0</v>
      </c>
      <c r="CY112" s="22">
        <f>+VLOOKUP($BD112,'May-25'!$A:$J,7,0)</f>
        <v>14447.6</v>
      </c>
      <c r="CZ112" s="22">
        <f>+VLOOKUP($BD112,'June-25'!$A:$J,7,0)</f>
        <v>0</v>
      </c>
      <c r="DA112" s="22">
        <f>+VLOOKUP($BD112,'July-25'!$A:$J,7,0)</f>
        <v>0</v>
      </c>
      <c r="DB112" s="22">
        <f>+VLOOKUP($BD112,'Aug-25'!$A:$J,7,0)</f>
        <v>0</v>
      </c>
      <c r="DC112" s="22">
        <f>+VLOOKUP($BD112,'Sep-25'!$A:$J,7,0)</f>
        <v>5360</v>
      </c>
      <c r="DD112" s="22">
        <f>+VLOOKUP($BD112,'Oct-25'!$A:$J,7,0)</f>
        <v>3020.4</v>
      </c>
      <c r="DE112" s="22">
        <f>+VLOOKUP($BD112,'Nov-25'!$A:$J,7,0)</f>
        <v>0</v>
      </c>
      <c r="DF112" s="22">
        <f>+VLOOKUP($BD112,'Dec-25'!$A:$J,7,0)</f>
        <v>0</v>
      </c>
      <c r="DG112" s="22">
        <f t="shared" si="502"/>
        <v>66043</v>
      </c>
      <c r="DH112" s="118">
        <f t="shared" si="478"/>
        <v>0.19122646948592159</v>
      </c>
      <c r="DI112" s="22">
        <f>+_xlfn.XLOOKUP($CT112,Budget!$A:$A,Budget!CD:CD)</f>
        <v>2986.3594675200011</v>
      </c>
      <c r="DJ112" s="22">
        <f>+_xlfn.XLOOKUP($CT112,Budget!$A:$A,Budget!CE:CE)</f>
        <v>2915.1910860800008</v>
      </c>
      <c r="DK112" s="22">
        <f>+_xlfn.XLOOKUP($CT112,Budget!$A:$A,Budget!CF:CF)</f>
        <v>3208.4215903999998</v>
      </c>
      <c r="DL112" s="22">
        <f>+_xlfn.XLOOKUP($CT112,Budget!$A:$A,Budget!CG:CG)</f>
        <v>2479.3214168000004</v>
      </c>
      <c r="DM112" s="22">
        <f>+_xlfn.XLOOKUP($CT112,Budget!$A:$A,Budget!CH:CH)</f>
        <v>2847.3753390400002</v>
      </c>
      <c r="DN112" s="22">
        <f>+_xlfn.XLOOKUP($CT112,Budget!$A:$A,Budget!CI:CI)</f>
        <v>3031.4023001599999</v>
      </c>
      <c r="DO112" s="22">
        <f>+_xlfn.XLOOKUP($CT112,Budget!$A:$A,Budget!CJ:CJ)</f>
        <v>3170.6031504000002</v>
      </c>
      <c r="DP112" s="22">
        <f>+_xlfn.XLOOKUP($CT112,Budget!$A:$A,Budget!CK:CK)</f>
        <v>3055.3525675200012</v>
      </c>
      <c r="DQ112" s="22">
        <f>+_xlfn.XLOOKUP($CT112,Budget!$A:$A,Budget!CL:CL)</f>
        <v>2986.2284260800006</v>
      </c>
      <c r="DR112" s="22">
        <f>+_xlfn.XLOOKUP($CT112,Budget!$A:$A,Budget!CM:CM)</f>
        <v>2535.5380168000006</v>
      </c>
      <c r="DS112" s="22">
        <f>+_xlfn.XLOOKUP($CT112,Budget!$A:$A,Budget!CN:CN)</f>
        <v>2808.0237190400003</v>
      </c>
      <c r="DT112" s="22">
        <f>+_xlfn.XLOOKUP($CT112,Budget!$A:$A,Budget!CO:CO)</f>
        <v>3014.5373201599996</v>
      </c>
      <c r="DU112" s="106">
        <f t="shared" si="503"/>
        <v>35038.354399999997</v>
      </c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106">
        <f t="shared" si="504"/>
        <v>0</v>
      </c>
      <c r="EJ112" s="16" t="str">
        <f t="shared" si="376"/>
        <v>Service Compaign and Other Activities</v>
      </c>
      <c r="EK112" s="22">
        <f>+VLOOKUP($BD112,'Jan-25'!$A:$J,9,0)</f>
        <v>2474</v>
      </c>
      <c r="EL112" s="22">
        <f>+VLOOKUP($BD112,'Feb-25'!$A:$J,9,0)</f>
        <v>2338</v>
      </c>
      <c r="EM112" s="22">
        <f>+VLOOKUP($BD112,'Mar-25'!$A:$J,9,0)</f>
        <v>35709</v>
      </c>
      <c r="EN112" s="22">
        <f>+VLOOKUP($BD112,'Apr-25'!$A:$J,9,0)</f>
        <v>3700</v>
      </c>
      <c r="EO112" s="22">
        <f>+VLOOKUP($BD112,'May-25'!$A:$J,9,0)</f>
        <v>136168.75799999997</v>
      </c>
      <c r="EP112" s="22">
        <f>+VLOOKUP($BD112,'June-25'!$A:$J,9,0)</f>
        <v>49274.39</v>
      </c>
      <c r="EQ112" s="22">
        <f>+VLOOKUP($BD112,'July-25'!$A:$J,9,0)</f>
        <v>30928</v>
      </c>
      <c r="ER112" s="22">
        <f>+VLOOKUP($BD112,'Aug-25'!$A:$J,9,0)</f>
        <v>3214.92</v>
      </c>
      <c r="ES112" s="22">
        <f>+VLOOKUP($BD112,'Sep-25'!$A:$J,9,0)</f>
        <v>52115</v>
      </c>
      <c r="ET112" s="22">
        <f>+VLOOKUP($BD112,'Oct-25'!$A:$J,9,0)</f>
        <v>4481.54</v>
      </c>
      <c r="EU112" s="22">
        <f>+VLOOKUP($BD112,'Nov-25'!$A:$J,9,0)</f>
        <v>0</v>
      </c>
      <c r="EV112" s="22">
        <f>+VLOOKUP($BD112,'Dec-25'!$A:$J,9,0)</f>
        <v>0</v>
      </c>
      <c r="EW112" s="22">
        <f t="shared" si="505"/>
        <v>320403.60799999995</v>
      </c>
      <c r="EX112" s="118">
        <f t="shared" si="479"/>
        <v>2.8382494004796155</v>
      </c>
      <c r="EY112" s="22">
        <f>+_xlfn.XLOOKUP($EJ112,Budget!$A:$A,Budget!DE:DE)</f>
        <v>900.72000000000014</v>
      </c>
      <c r="EZ112" s="22">
        <f>+_xlfn.XLOOKUP($EJ112,Budget!$A:$A,Budget!DF:DF)</f>
        <v>840.67200000000003</v>
      </c>
      <c r="FA112" s="22">
        <f>+_xlfn.XLOOKUP($EJ112,Budget!$A:$A,Budget!DG:DG)</f>
        <v>938.25</v>
      </c>
      <c r="FB112" s="22">
        <f>+_xlfn.XLOOKUP($EJ112,Budget!$A:$A,Budget!DH:DH)</f>
        <v>840.67200000000003</v>
      </c>
      <c r="FC112" s="22">
        <f>+_xlfn.XLOOKUP($EJ112,Budget!$A:$A,Budget!DI:DI)</f>
        <v>1000.8000000000001</v>
      </c>
      <c r="FD112" s="22">
        <f>+_xlfn.XLOOKUP($EJ112,Budget!$A:$A,Budget!DJ:DJ)</f>
        <v>1000.8000000000001</v>
      </c>
      <c r="FE112" s="22">
        <f>+_xlfn.XLOOKUP($EJ112,Budget!$A:$A,Budget!DK:DK)</f>
        <v>1125.9000000000001</v>
      </c>
      <c r="FF112" s="22">
        <f>+_xlfn.XLOOKUP($EJ112,Budget!$A:$A,Budget!DL:DL)</f>
        <v>1084.2</v>
      </c>
      <c r="FG112" s="22">
        <f>+_xlfn.XLOOKUP($EJ112,Budget!$A:$A,Budget!DM:DM)</f>
        <v>1035.8280000000002</v>
      </c>
      <c r="FH112" s="22">
        <f>+_xlfn.XLOOKUP($EJ112,Budget!$A:$A,Budget!DN:DN)</f>
        <v>1167.6000000000001</v>
      </c>
      <c r="FI112" s="22">
        <f>+_xlfn.XLOOKUP($EJ112,Budget!$A:$A,Budget!DO:DO)</f>
        <v>1209.3</v>
      </c>
      <c r="FJ112" s="22">
        <f>+_xlfn.XLOOKUP($EJ112,Budget!$A:$A,Budget!DP:DP)</f>
        <v>1301.04</v>
      </c>
      <c r="FK112" s="106">
        <f t="shared" si="506"/>
        <v>12445.781999999999</v>
      </c>
    </row>
    <row r="113" spans="1:167" ht="14.45" hidden="1" customHeight="1" outlineLevel="1">
      <c r="A113" s="106">
        <f t="shared" si="492"/>
        <v>0</v>
      </c>
      <c r="B113" s="106">
        <f t="shared" si="492"/>
        <v>0</v>
      </c>
      <c r="C113" s="106">
        <f t="shared" si="492"/>
        <v>0</v>
      </c>
      <c r="D113" s="106">
        <f t="shared" si="492"/>
        <v>0</v>
      </c>
      <c r="E113" s="106">
        <f t="shared" si="492"/>
        <v>0</v>
      </c>
      <c r="F113" s="106">
        <f t="shared" si="492"/>
        <v>0</v>
      </c>
      <c r="G113" s="106">
        <f t="shared" si="492"/>
        <v>0</v>
      </c>
      <c r="H113" s="106">
        <f t="shared" si="492"/>
        <v>0</v>
      </c>
      <c r="I113" s="106">
        <f t="shared" si="492"/>
        <v>0</v>
      </c>
      <c r="J113" s="106">
        <f t="shared" si="492"/>
        <v>0</v>
      </c>
      <c r="K113" s="106">
        <f t="shared" si="492"/>
        <v>0</v>
      </c>
      <c r="L113" s="106">
        <f t="shared" si="492"/>
        <v>0</v>
      </c>
      <c r="M113" s="106">
        <f t="shared" si="493"/>
        <v>0</v>
      </c>
      <c r="N113" s="16" t="s">
        <v>225</v>
      </c>
      <c r="O113" s="22">
        <f t="shared" si="494"/>
        <v>0</v>
      </c>
      <c r="P113" s="22">
        <f t="shared" si="494"/>
        <v>0</v>
      </c>
      <c r="Q113" s="22">
        <f t="shared" si="494"/>
        <v>0</v>
      </c>
      <c r="R113" s="22">
        <f t="shared" si="494"/>
        <v>0</v>
      </c>
      <c r="S113" s="22">
        <f t="shared" si="494"/>
        <v>0</v>
      </c>
      <c r="T113" s="22">
        <f t="shared" si="494"/>
        <v>0</v>
      </c>
      <c r="U113" s="22">
        <f t="shared" si="494"/>
        <v>0</v>
      </c>
      <c r="V113" s="22">
        <f t="shared" si="494"/>
        <v>0</v>
      </c>
      <c r="W113" s="22">
        <f t="shared" si="494"/>
        <v>0</v>
      </c>
      <c r="X113" s="22">
        <f t="shared" si="494"/>
        <v>0</v>
      </c>
      <c r="Y113" s="22">
        <f t="shared" si="494"/>
        <v>0</v>
      </c>
      <c r="Z113" s="22">
        <f t="shared" si="494"/>
        <v>0</v>
      </c>
      <c r="AA113" s="22">
        <f t="shared" si="495"/>
        <v>0</v>
      </c>
      <c r="AB113" s="118">
        <f t="shared" si="476"/>
        <v>0</v>
      </c>
      <c r="AC113" s="22">
        <f t="shared" si="496"/>
        <v>0</v>
      </c>
      <c r="AD113" s="22">
        <f t="shared" si="496"/>
        <v>0</v>
      </c>
      <c r="AE113" s="22">
        <f t="shared" si="496"/>
        <v>0</v>
      </c>
      <c r="AF113" s="22">
        <f t="shared" si="496"/>
        <v>0</v>
      </c>
      <c r="AG113" s="22">
        <f t="shared" si="496"/>
        <v>0</v>
      </c>
      <c r="AH113" s="22">
        <f t="shared" si="496"/>
        <v>0</v>
      </c>
      <c r="AI113" s="22">
        <f t="shared" si="496"/>
        <v>0</v>
      </c>
      <c r="AJ113" s="22">
        <f t="shared" si="496"/>
        <v>0</v>
      </c>
      <c r="AK113" s="22">
        <f t="shared" si="496"/>
        <v>0</v>
      </c>
      <c r="AL113" s="22">
        <f t="shared" si="496"/>
        <v>0</v>
      </c>
      <c r="AM113" s="22">
        <f t="shared" si="496"/>
        <v>0</v>
      </c>
      <c r="AN113" s="22">
        <f t="shared" si="496"/>
        <v>0</v>
      </c>
      <c r="AO113" s="22">
        <f t="shared" si="497"/>
        <v>0</v>
      </c>
      <c r="AQ113" s="106">
        <v>0</v>
      </c>
      <c r="AR113" s="106">
        <v>0</v>
      </c>
      <c r="AS113" s="106">
        <v>0</v>
      </c>
      <c r="AT113" s="106">
        <v>0</v>
      </c>
      <c r="AU113" s="106">
        <v>0</v>
      </c>
      <c r="AV113" s="106">
        <v>0</v>
      </c>
      <c r="AW113" s="106">
        <v>0</v>
      </c>
      <c r="AX113" s="106">
        <v>0</v>
      </c>
      <c r="AY113" s="106">
        <v>0</v>
      </c>
      <c r="AZ113" s="106">
        <v>0</v>
      </c>
      <c r="BA113" s="106">
        <v>0</v>
      </c>
      <c r="BB113" s="106">
        <v>0</v>
      </c>
      <c r="BC113" s="106">
        <f t="shared" si="498"/>
        <v>0</v>
      </c>
      <c r="BD113" s="16" t="str">
        <f t="shared" si="334"/>
        <v>Sponcership</v>
      </c>
      <c r="BE113" s="22">
        <f>+VLOOKUP($BD113,'Jan-25'!$A:$J,4,0)</f>
        <v>0</v>
      </c>
      <c r="BF113" s="22">
        <f>+VLOOKUP($BD113,'Feb-25'!$A:$J,4,0)</f>
        <v>0</v>
      </c>
      <c r="BG113" s="22">
        <f>+VLOOKUP($BD113,'Mar-25'!$A:$J,4,0)</f>
        <v>0</v>
      </c>
      <c r="BH113" s="22">
        <f>+VLOOKUP($BD113,'Apr-25'!$A:$J,4,0)</f>
        <v>0</v>
      </c>
      <c r="BI113" s="22">
        <f>+VLOOKUP($BD113,'May-25'!$A:$J,4,0)</f>
        <v>0</v>
      </c>
      <c r="BJ113" s="22">
        <f>+VLOOKUP($BD113,'June-25'!$A:$J,4,0)</f>
        <v>0</v>
      </c>
      <c r="BK113" s="22">
        <f>+VLOOKUP($BD113,'July-25'!$A:$J,4,0)</f>
        <v>0</v>
      </c>
      <c r="BL113" s="22">
        <f>+VLOOKUP($BD113,'Aug-25'!$A:$J,4,0)</f>
        <v>0</v>
      </c>
      <c r="BM113" s="22">
        <f>+VLOOKUP($BD113,'Sep-25'!$A:$J,4,0)</f>
        <v>0</v>
      </c>
      <c r="BN113" s="22">
        <f>+VLOOKUP($BD113,'Oct-25'!$A:$J,4,0)</f>
        <v>0</v>
      </c>
      <c r="BO113" s="22">
        <f>+VLOOKUP($BD113,'Nov-25'!$A:$J,4,0)</f>
        <v>0</v>
      </c>
      <c r="BP113" s="22">
        <f>+VLOOKUP($BD113,'Dec-25'!$A:$J,4,0)</f>
        <v>0</v>
      </c>
      <c r="BQ113" s="22">
        <f t="shared" si="499"/>
        <v>0</v>
      </c>
      <c r="BR113" s="118">
        <f t="shared" si="477"/>
        <v>0</v>
      </c>
      <c r="BS113" s="106">
        <f>+_xlfn.XLOOKUP($BD113,Budget!$A:$A,Budget!AQ:AQ)</f>
        <v>0</v>
      </c>
      <c r="BT113" s="106">
        <f>+_xlfn.XLOOKUP($BD113,Budget!$A:$A,Budget!AR:AR)</f>
        <v>0</v>
      </c>
      <c r="BU113" s="106">
        <f>+_xlfn.XLOOKUP($BD113,Budget!$A:$A,Budget!AS:AS)</f>
        <v>0</v>
      </c>
      <c r="BV113" s="106">
        <f>+_xlfn.XLOOKUP($BD113,Budget!$A:$A,Budget!AT:AT)</f>
        <v>0</v>
      </c>
      <c r="BW113" s="106">
        <f>+_xlfn.XLOOKUP($BD113,Budget!$A:$A,Budget!AU:AU)</f>
        <v>0</v>
      </c>
      <c r="BX113" s="106">
        <f>+_xlfn.XLOOKUP($BD113,Budget!$A:$A,Budget!AV:AV)</f>
        <v>0</v>
      </c>
      <c r="BY113" s="106">
        <f>+_xlfn.XLOOKUP($BD113,Budget!$A:$A,Budget!AW:AW)</f>
        <v>0</v>
      </c>
      <c r="BZ113" s="106">
        <f>+_xlfn.XLOOKUP($BD113,Budget!$A:$A,Budget!AX:AX)</f>
        <v>0</v>
      </c>
      <c r="CA113" s="106">
        <f>+_xlfn.XLOOKUP($BD113,Budget!$A:$A,Budget!AY:AY)</f>
        <v>0</v>
      </c>
      <c r="CB113" s="106">
        <f>+_xlfn.XLOOKUP($BD113,Budget!$A:$A,Budget!AZ:AZ)</f>
        <v>0</v>
      </c>
      <c r="CC113" s="106">
        <f>+_xlfn.XLOOKUP($BD113,Budget!$A:$A,Budget!BA:BA)</f>
        <v>0</v>
      </c>
      <c r="CD113" s="106">
        <f>+_xlfn.XLOOKUP($BD113,Budget!$A:$A,Budget!BB:BB)</f>
        <v>0</v>
      </c>
      <c r="CE113" s="106">
        <f t="shared" si="500"/>
        <v>0</v>
      </c>
      <c r="CF113" s="22"/>
      <c r="CG113" s="22">
        <v>0</v>
      </c>
      <c r="CH113" s="22">
        <v>0</v>
      </c>
      <c r="CI113" s="22">
        <v>0</v>
      </c>
      <c r="CJ113" s="22">
        <v>0</v>
      </c>
      <c r="CK113" s="22">
        <v>0</v>
      </c>
      <c r="CL113" s="22">
        <v>0</v>
      </c>
      <c r="CM113" s="22">
        <v>0</v>
      </c>
      <c r="CN113" s="22">
        <v>0</v>
      </c>
      <c r="CO113" s="22">
        <v>0</v>
      </c>
      <c r="CP113" s="22">
        <v>0</v>
      </c>
      <c r="CQ113" s="22">
        <v>0</v>
      </c>
      <c r="CR113" s="22">
        <v>0</v>
      </c>
      <c r="CS113" s="106">
        <f t="shared" si="501"/>
        <v>0</v>
      </c>
      <c r="CT113" s="16" t="str">
        <f t="shared" si="338"/>
        <v>Sponcership</v>
      </c>
      <c r="CU113" s="22">
        <f>+VLOOKUP($BD113,'Jan-25'!$A:$J,7,0)</f>
        <v>0</v>
      </c>
      <c r="CV113" s="22">
        <f>+VLOOKUP($BD113,'Feb-25'!$A:$J,7,0)</f>
        <v>0</v>
      </c>
      <c r="CW113" s="22">
        <f>+VLOOKUP($BD113,'Mar-25'!$A:$J,7,0)</f>
        <v>0</v>
      </c>
      <c r="CX113" s="22">
        <f>+VLOOKUP($BD113,'Apr-25'!$A:$J,7,0)</f>
        <v>0</v>
      </c>
      <c r="CY113" s="22">
        <f>+VLOOKUP($BD113,'May-25'!$A:$J,7,0)</f>
        <v>0</v>
      </c>
      <c r="CZ113" s="22">
        <f>+VLOOKUP($BD113,'June-25'!$A:$J,7,0)</f>
        <v>0</v>
      </c>
      <c r="DA113" s="22">
        <f>+VLOOKUP($BD113,'July-25'!$A:$J,7,0)</f>
        <v>0</v>
      </c>
      <c r="DB113" s="22">
        <f>+VLOOKUP($BD113,'Aug-25'!$A:$J,7,0)</f>
        <v>0</v>
      </c>
      <c r="DC113" s="22">
        <f>+VLOOKUP($BD113,'Sep-25'!$A:$J,7,0)</f>
        <v>0</v>
      </c>
      <c r="DD113" s="22">
        <f>+VLOOKUP($BD113,'Oct-25'!$A:$J,7,0)</f>
        <v>0</v>
      </c>
      <c r="DE113" s="22">
        <f>+VLOOKUP($BD113,'Nov-25'!$A:$J,7,0)</f>
        <v>0</v>
      </c>
      <c r="DF113" s="22">
        <f>+VLOOKUP($BD113,'Dec-25'!$A:$J,7,0)</f>
        <v>0</v>
      </c>
      <c r="DG113" s="22">
        <f t="shared" si="502"/>
        <v>0</v>
      </c>
      <c r="DH113" s="118">
        <f t="shared" si="478"/>
        <v>0</v>
      </c>
      <c r="DI113" s="22">
        <f>+_xlfn.XLOOKUP($CT113,Budget!$A:$A,Budget!CD:CD)</f>
        <v>0</v>
      </c>
      <c r="DJ113" s="22">
        <f>+_xlfn.XLOOKUP($CT113,Budget!$A:$A,Budget!CE:CE)</f>
        <v>0</v>
      </c>
      <c r="DK113" s="22">
        <f>+_xlfn.XLOOKUP($CT113,Budget!$A:$A,Budget!CF:CF)</f>
        <v>0</v>
      </c>
      <c r="DL113" s="22">
        <f>+_xlfn.XLOOKUP($CT113,Budget!$A:$A,Budget!CG:CG)</f>
        <v>0</v>
      </c>
      <c r="DM113" s="22">
        <f>+_xlfn.XLOOKUP($CT113,Budget!$A:$A,Budget!CH:CH)</f>
        <v>0</v>
      </c>
      <c r="DN113" s="22">
        <f>+_xlfn.XLOOKUP($CT113,Budget!$A:$A,Budget!CI:CI)</f>
        <v>0</v>
      </c>
      <c r="DO113" s="22">
        <f>+_xlfn.XLOOKUP($CT113,Budget!$A:$A,Budget!CJ:CJ)</f>
        <v>0</v>
      </c>
      <c r="DP113" s="22">
        <f>+_xlfn.XLOOKUP($CT113,Budget!$A:$A,Budget!CK:CK)</f>
        <v>0</v>
      </c>
      <c r="DQ113" s="22">
        <f>+_xlfn.XLOOKUP($CT113,Budget!$A:$A,Budget!CL:CL)</f>
        <v>0</v>
      </c>
      <c r="DR113" s="22">
        <f>+_xlfn.XLOOKUP($CT113,Budget!$A:$A,Budget!CM:CM)</f>
        <v>0</v>
      </c>
      <c r="DS113" s="22">
        <f>+_xlfn.XLOOKUP($CT113,Budget!$A:$A,Budget!CN:CN)</f>
        <v>0</v>
      </c>
      <c r="DT113" s="22">
        <f>+_xlfn.XLOOKUP($CT113,Budget!$A:$A,Budget!CO:CO)</f>
        <v>0</v>
      </c>
      <c r="DU113" s="106">
        <f t="shared" si="503"/>
        <v>0</v>
      </c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106">
        <f t="shared" si="504"/>
        <v>0</v>
      </c>
      <c r="EJ113" s="16" t="str">
        <f t="shared" si="376"/>
        <v>Sponcership</v>
      </c>
      <c r="EK113" s="22">
        <f>+VLOOKUP($BD113,'Jan-25'!$A:$J,9,0)</f>
        <v>0</v>
      </c>
      <c r="EL113" s="22">
        <f>+VLOOKUP($BD113,'Feb-25'!$A:$J,9,0)</f>
        <v>0</v>
      </c>
      <c r="EM113" s="22">
        <f>+VLOOKUP($BD113,'Mar-25'!$A:$J,9,0)</f>
        <v>0</v>
      </c>
      <c r="EN113" s="22">
        <f>+VLOOKUP($BD113,'Apr-25'!$A:$J,9,0)</f>
        <v>0</v>
      </c>
      <c r="EO113" s="22">
        <f>+VLOOKUP($BD113,'May-25'!$A:$J,9,0)</f>
        <v>0</v>
      </c>
      <c r="EP113" s="22">
        <f>+VLOOKUP($BD113,'June-25'!$A:$J,9,0)</f>
        <v>0</v>
      </c>
      <c r="EQ113" s="22">
        <f>+VLOOKUP($BD113,'July-25'!$A:$J,9,0)</f>
        <v>0</v>
      </c>
      <c r="ER113" s="22">
        <f>+VLOOKUP($BD113,'Aug-25'!$A:$J,9,0)</f>
        <v>0</v>
      </c>
      <c r="ES113" s="22">
        <f>+VLOOKUP($BD113,'Sep-25'!$A:$J,9,0)</f>
        <v>0</v>
      </c>
      <c r="ET113" s="22">
        <f>+VLOOKUP($BD113,'Oct-25'!$A:$J,9,0)</f>
        <v>0</v>
      </c>
      <c r="EU113" s="22">
        <f>+VLOOKUP($BD113,'Nov-25'!$A:$J,9,0)</f>
        <v>0</v>
      </c>
      <c r="EV113" s="22">
        <f>+VLOOKUP($BD113,'Dec-25'!$A:$J,9,0)</f>
        <v>0</v>
      </c>
      <c r="EW113" s="22">
        <f t="shared" si="505"/>
        <v>0</v>
      </c>
      <c r="EX113" s="118">
        <f t="shared" si="479"/>
        <v>0</v>
      </c>
      <c r="EY113" s="22">
        <f>+_xlfn.XLOOKUP($EJ113,Budget!$A:$A,Budget!DE:DE)</f>
        <v>0</v>
      </c>
      <c r="EZ113" s="22">
        <f>+_xlfn.XLOOKUP($EJ113,Budget!$A:$A,Budget!DF:DF)</f>
        <v>0</v>
      </c>
      <c r="FA113" s="22">
        <f>+_xlfn.XLOOKUP($EJ113,Budget!$A:$A,Budget!DG:DG)</f>
        <v>0</v>
      </c>
      <c r="FB113" s="22">
        <f>+_xlfn.XLOOKUP($EJ113,Budget!$A:$A,Budget!DH:DH)</f>
        <v>0</v>
      </c>
      <c r="FC113" s="22">
        <f>+_xlfn.XLOOKUP($EJ113,Budget!$A:$A,Budget!DI:DI)</f>
        <v>0</v>
      </c>
      <c r="FD113" s="22">
        <f>+_xlfn.XLOOKUP($EJ113,Budget!$A:$A,Budget!DJ:DJ)</f>
        <v>0</v>
      </c>
      <c r="FE113" s="22">
        <f>+_xlfn.XLOOKUP($EJ113,Budget!$A:$A,Budget!DK:DK)</f>
        <v>0</v>
      </c>
      <c r="FF113" s="22">
        <f>+_xlfn.XLOOKUP($EJ113,Budget!$A:$A,Budget!DL:DL)</f>
        <v>0</v>
      </c>
      <c r="FG113" s="22">
        <f>+_xlfn.XLOOKUP($EJ113,Budget!$A:$A,Budget!DM:DM)</f>
        <v>0</v>
      </c>
      <c r="FH113" s="22">
        <f>+_xlfn.XLOOKUP($EJ113,Budget!$A:$A,Budget!DN:DN)</f>
        <v>0</v>
      </c>
      <c r="FI113" s="22">
        <f>+_xlfn.XLOOKUP($EJ113,Budget!$A:$A,Budget!DO:DO)</f>
        <v>0</v>
      </c>
      <c r="FJ113" s="22">
        <f>+_xlfn.XLOOKUP($EJ113,Budget!$A:$A,Budget!DP:DP)</f>
        <v>0</v>
      </c>
      <c r="FK113" s="106">
        <f t="shared" si="506"/>
        <v>0</v>
      </c>
    </row>
    <row r="114" spans="1:167" ht="14.45" hidden="1" customHeight="1" outlineLevel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6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118">
        <f t="shared" si="476"/>
        <v>0</v>
      </c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6">
        <f t="shared" si="334"/>
        <v>0</v>
      </c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118">
        <f t="shared" si="477"/>
        <v>0</v>
      </c>
      <c r="BS114" s="106"/>
      <c r="BT114" s="106"/>
      <c r="BU114" s="106"/>
      <c r="BV114" s="106"/>
      <c r="BW114" s="106"/>
      <c r="BX114" s="106"/>
      <c r="BY114" s="106"/>
      <c r="BZ114" s="106"/>
      <c r="CA114" s="106"/>
      <c r="CB114" s="106"/>
      <c r="CC114" s="106"/>
      <c r="CD114" s="106"/>
      <c r="CE114" s="106"/>
      <c r="CF114" s="22"/>
      <c r="CG114" s="22">
        <v>0</v>
      </c>
      <c r="CH114" s="22">
        <v>0</v>
      </c>
      <c r="CI114" s="22">
        <v>0</v>
      </c>
      <c r="CJ114" s="22">
        <v>0</v>
      </c>
      <c r="CK114" s="22">
        <v>0</v>
      </c>
      <c r="CL114" s="22">
        <v>0</v>
      </c>
      <c r="CM114" s="22">
        <v>0</v>
      </c>
      <c r="CN114" s="22">
        <v>0</v>
      </c>
      <c r="CO114" s="22">
        <v>0</v>
      </c>
      <c r="CP114" s="22">
        <v>0</v>
      </c>
      <c r="CQ114" s="22">
        <v>0</v>
      </c>
      <c r="CR114" s="22">
        <v>0</v>
      </c>
      <c r="CS114" s="106"/>
      <c r="CT114" s="16">
        <f t="shared" si="338"/>
        <v>0</v>
      </c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118">
        <f t="shared" si="478"/>
        <v>0</v>
      </c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106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106"/>
      <c r="EJ114" s="16">
        <f t="shared" si="376"/>
        <v>0</v>
      </c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118">
        <f t="shared" si="479"/>
        <v>0</v>
      </c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106"/>
    </row>
    <row r="115" spans="1:167" ht="14.45" customHeight="1" collapsed="1">
      <c r="A115" s="58">
        <f t="shared" ref="A115:M115" si="507">+A116+A129+A133+A138+A146+A150</f>
        <v>2751061.7074999986</v>
      </c>
      <c r="B115" s="58">
        <f t="shared" si="507"/>
        <v>2766076.5404615384</v>
      </c>
      <c r="C115" s="58">
        <f t="shared" si="507"/>
        <v>2623391.0109615386</v>
      </c>
      <c r="D115" s="58">
        <f t="shared" si="507"/>
        <v>2657754.6495615388</v>
      </c>
      <c r="E115" s="58">
        <f t="shared" si="507"/>
        <v>2907492.5191615392</v>
      </c>
      <c r="F115" s="58">
        <f t="shared" si="507"/>
        <v>2963394.8489615391</v>
      </c>
      <c r="G115" s="58">
        <f t="shared" si="507"/>
        <v>3062287.725961539</v>
      </c>
      <c r="H115" s="58">
        <f t="shared" si="507"/>
        <v>3312994.5043744417</v>
      </c>
      <c r="I115" s="58">
        <f t="shared" si="507"/>
        <v>3250794.2939615389</v>
      </c>
      <c r="J115" s="58">
        <f t="shared" si="507"/>
        <v>3243126.1029615393</v>
      </c>
      <c r="K115" s="58">
        <f t="shared" si="507"/>
        <v>3805328.6653615385</v>
      </c>
      <c r="L115" s="58">
        <f t="shared" si="507"/>
        <v>2992279.8351615388</v>
      </c>
      <c r="M115" s="58">
        <f t="shared" si="507"/>
        <v>36335982.404389821</v>
      </c>
      <c r="N115" s="19" t="s">
        <v>93</v>
      </c>
      <c r="O115" s="28">
        <f t="shared" ref="O115:AA115" si="508">+O116+O129+O133+O138+O146+O150</f>
        <v>3821815.3969230768</v>
      </c>
      <c r="P115" s="28">
        <f t="shared" si="508"/>
        <v>3273819.3928230763</v>
      </c>
      <c r="Q115" s="28">
        <f t="shared" si="508"/>
        <v>3588947.8269230765</v>
      </c>
      <c r="R115" s="28">
        <f t="shared" si="508"/>
        <v>3165546.3635443961</v>
      </c>
      <c r="S115" s="28">
        <f t="shared" si="508"/>
        <v>3085616.5993710631</v>
      </c>
      <c r="T115" s="28">
        <f t="shared" si="508"/>
        <v>3549466.0653710635</v>
      </c>
      <c r="U115" s="28">
        <f t="shared" si="508"/>
        <v>3303652.7091203784</v>
      </c>
      <c r="V115" s="28">
        <f t="shared" si="508"/>
        <v>3430566.8133710632</v>
      </c>
      <c r="W115" s="28">
        <f t="shared" si="508"/>
        <v>3634148.6323710633</v>
      </c>
      <c r="X115" s="28">
        <f t="shared" si="508"/>
        <v>3647293.502371063</v>
      </c>
      <c r="Y115" s="28">
        <f t="shared" si="508"/>
        <v>0</v>
      </c>
      <c r="Z115" s="28">
        <f t="shared" si="508"/>
        <v>0</v>
      </c>
      <c r="AA115" s="28">
        <f t="shared" si="508"/>
        <v>34500873.302189313</v>
      </c>
      <c r="AB115" s="118">
        <f t="shared" si="476"/>
        <v>-3.1439430386507018E-2</v>
      </c>
      <c r="AC115" s="28">
        <f t="shared" ref="AC115:AO115" si="509">+AC116+AC129+AC133+AC138+AC146+AC150</f>
        <v>3361434.4773543966</v>
      </c>
      <c r="AD115" s="28">
        <f t="shared" si="509"/>
        <v>3361434.4773543966</v>
      </c>
      <c r="AE115" s="28">
        <f t="shared" si="509"/>
        <v>3392934.4773543966</v>
      </c>
      <c r="AF115" s="28">
        <f t="shared" si="509"/>
        <v>3434934.4773543966</v>
      </c>
      <c r="AG115" s="28">
        <f t="shared" si="509"/>
        <v>3361434.4773543966</v>
      </c>
      <c r="AH115" s="28">
        <f t="shared" si="509"/>
        <v>3366684.4773543966</v>
      </c>
      <c r="AI115" s="28">
        <f t="shared" si="509"/>
        <v>3361434.4773543966</v>
      </c>
      <c r="AJ115" s="28">
        <f t="shared" si="509"/>
        <v>3361434.4773543966</v>
      </c>
      <c r="AK115" s="28">
        <f t="shared" si="509"/>
        <v>3392934.4773543966</v>
      </c>
      <c r="AL115" s="28">
        <f t="shared" si="509"/>
        <v>3765684.4773543966</v>
      </c>
      <c r="AM115" s="28">
        <f t="shared" si="509"/>
        <v>3361434.4773543966</v>
      </c>
      <c r="AN115" s="28">
        <f t="shared" si="509"/>
        <v>3406684.4773543966</v>
      </c>
      <c r="AO115" s="28">
        <f t="shared" si="509"/>
        <v>40928463.728252754</v>
      </c>
      <c r="AQ115" s="58">
        <f t="shared" ref="AQ115:BC115" si="510">+AQ116+AQ129+AQ133+AQ138+AQ146+AQ150</f>
        <v>1987442.3385128197</v>
      </c>
      <c r="AR115" s="58">
        <f t="shared" si="510"/>
        <v>1999049.434435898</v>
      </c>
      <c r="AS115" s="58">
        <f t="shared" si="510"/>
        <v>1932031.8774358977</v>
      </c>
      <c r="AT115" s="58">
        <f t="shared" si="510"/>
        <v>1895843.9798358977</v>
      </c>
      <c r="AU115" s="58">
        <f t="shared" si="510"/>
        <v>2082597.4362358977</v>
      </c>
      <c r="AV115" s="58">
        <f t="shared" si="510"/>
        <v>2099703.5374358976</v>
      </c>
      <c r="AW115" s="58">
        <f t="shared" si="510"/>
        <v>2220476.1474358975</v>
      </c>
      <c r="AX115" s="58">
        <f t="shared" si="510"/>
        <v>2492770.7186358976</v>
      </c>
      <c r="AY115" s="58">
        <f t="shared" si="510"/>
        <v>2463891.7234358978</v>
      </c>
      <c r="AZ115" s="58">
        <f t="shared" si="510"/>
        <v>2468302.6174358977</v>
      </c>
      <c r="BA115" s="58">
        <f t="shared" si="510"/>
        <v>2653105.8370358977</v>
      </c>
      <c r="BB115" s="58">
        <f t="shared" si="510"/>
        <v>2170520.9402358979</v>
      </c>
      <c r="BC115" s="58">
        <f t="shared" si="510"/>
        <v>26465736.588107694</v>
      </c>
      <c r="BD115" s="19" t="s">
        <v>211</v>
      </c>
      <c r="BE115" s="28">
        <f t="shared" ref="BE115:BQ115" si="511">+BE116+BE129+BE133+BE138+BE146+BE150</f>
        <v>2278029.2399999998</v>
      </c>
      <c r="BF115" s="28">
        <f t="shared" si="511"/>
        <v>1892773.5606</v>
      </c>
      <c r="BG115" s="28">
        <f t="shared" si="511"/>
        <v>2075883.57</v>
      </c>
      <c r="BH115" s="28">
        <f t="shared" si="511"/>
        <v>1844369.3631461805</v>
      </c>
      <c r="BI115" s="28">
        <f t="shared" si="511"/>
        <v>1731264.2259195137</v>
      </c>
      <c r="BJ115" s="28">
        <f t="shared" si="511"/>
        <v>1937459.309919514</v>
      </c>
      <c r="BK115" s="28">
        <f t="shared" si="511"/>
        <v>1875340.1917523902</v>
      </c>
      <c r="BL115" s="28">
        <f t="shared" si="511"/>
        <v>1854207.6119195137</v>
      </c>
      <c r="BM115" s="28">
        <f t="shared" si="511"/>
        <v>2116847.7979195137</v>
      </c>
      <c r="BN115" s="28">
        <f t="shared" si="511"/>
        <v>1965631.217919514</v>
      </c>
      <c r="BO115" s="28">
        <f t="shared" si="511"/>
        <v>0</v>
      </c>
      <c r="BP115" s="28">
        <f t="shared" si="511"/>
        <v>0</v>
      </c>
      <c r="BQ115" s="28">
        <f t="shared" si="511"/>
        <v>19571806.08909614</v>
      </c>
      <c r="BR115" s="118">
        <f t="shared" si="477"/>
        <v>-7.7113841162777599E-2</v>
      </c>
      <c r="BS115" s="58">
        <f t="shared" ref="BS115:CE115" si="512">+BS116+BS129+BS133+BS138+BS146+BS150</f>
        <v>1908498.9818528472</v>
      </c>
      <c r="BT115" s="58">
        <f t="shared" si="512"/>
        <v>1908498.9818528472</v>
      </c>
      <c r="BU115" s="58">
        <f t="shared" si="512"/>
        <v>1925748.9818528472</v>
      </c>
      <c r="BV115" s="58">
        <f t="shared" si="512"/>
        <v>1948748.9818528472</v>
      </c>
      <c r="BW115" s="58">
        <f t="shared" si="512"/>
        <v>1908498.9818528472</v>
      </c>
      <c r="BX115" s="58">
        <f t="shared" si="512"/>
        <v>1911373.9818528472</v>
      </c>
      <c r="BY115" s="58">
        <f t="shared" si="512"/>
        <v>1908498.9818528472</v>
      </c>
      <c r="BZ115" s="58">
        <f t="shared" si="512"/>
        <v>1908498.9818528472</v>
      </c>
      <c r="CA115" s="58">
        <f t="shared" si="512"/>
        <v>1925748.9818528472</v>
      </c>
      <c r="CB115" s="58">
        <f t="shared" si="512"/>
        <v>2129873.9818528472</v>
      </c>
      <c r="CC115" s="58">
        <f t="shared" si="512"/>
        <v>1908498.9818528472</v>
      </c>
      <c r="CD115" s="58">
        <f t="shared" si="512"/>
        <v>1931373.9818528472</v>
      </c>
      <c r="CE115" s="58">
        <f t="shared" si="512"/>
        <v>23223862.78223417</v>
      </c>
      <c r="CF115" s="22"/>
      <c r="CG115" s="28">
        <f t="shared" ref="CG115:CS115" si="513">+CG116+CG129+CG133+CG138+CG146+CG150</f>
        <v>763619.36898717913</v>
      </c>
      <c r="CH115" s="28">
        <f t="shared" si="513"/>
        <v>767027.10602564097</v>
      </c>
      <c r="CI115" s="28">
        <f t="shared" si="513"/>
        <v>691359.13352564105</v>
      </c>
      <c r="CJ115" s="28">
        <f t="shared" si="513"/>
        <v>761910.66972564114</v>
      </c>
      <c r="CK115" s="28">
        <f t="shared" si="513"/>
        <v>824895.08292564098</v>
      </c>
      <c r="CL115" s="28">
        <f t="shared" si="513"/>
        <v>863691.31152564101</v>
      </c>
      <c r="CM115" s="28">
        <f t="shared" si="513"/>
        <v>841811.57852564112</v>
      </c>
      <c r="CN115" s="28">
        <f t="shared" si="513"/>
        <v>820223.78573854407</v>
      </c>
      <c r="CO115" s="28">
        <f t="shared" si="513"/>
        <v>786902.57052564109</v>
      </c>
      <c r="CP115" s="28">
        <f t="shared" si="513"/>
        <v>774823.48552564101</v>
      </c>
      <c r="CQ115" s="28">
        <f t="shared" si="513"/>
        <v>1152222.8283256409</v>
      </c>
      <c r="CR115" s="28">
        <f t="shared" si="513"/>
        <v>821758.8949256409</v>
      </c>
      <c r="CS115" s="58">
        <f t="shared" si="513"/>
        <v>9870245.8162821345</v>
      </c>
      <c r="CT115" s="19" t="str">
        <f t="shared" si="338"/>
        <v>Personnel Expenses</v>
      </c>
      <c r="CU115" s="28">
        <f t="shared" ref="CU115:DG115" si="514">+CU116+CU129+CU133+CU138+CU146+CU150</f>
        <v>836482.2194871793</v>
      </c>
      <c r="CV115" s="28">
        <f t="shared" si="514"/>
        <v>874439.65478717943</v>
      </c>
      <c r="CW115" s="28">
        <f t="shared" si="514"/>
        <v>933530.3394871793</v>
      </c>
      <c r="CX115" s="28">
        <f t="shared" si="514"/>
        <v>820956.9362956516</v>
      </c>
      <c r="CY115" s="28">
        <f t="shared" si="514"/>
        <v>832310.30934898497</v>
      </c>
      <c r="CZ115" s="28">
        <f t="shared" si="514"/>
        <v>1012557.151348985</v>
      </c>
      <c r="DA115" s="28">
        <f t="shared" si="514"/>
        <v>890115.25326542335</v>
      </c>
      <c r="DB115" s="28">
        <f t="shared" si="514"/>
        <v>977746.13734898507</v>
      </c>
      <c r="DC115" s="28">
        <f t="shared" si="514"/>
        <v>968707.8303489848</v>
      </c>
      <c r="DD115" s="28">
        <f t="shared" si="514"/>
        <v>1073218.6403489849</v>
      </c>
      <c r="DE115" s="28">
        <f t="shared" si="514"/>
        <v>0</v>
      </c>
      <c r="DF115" s="28">
        <f t="shared" si="514"/>
        <v>0</v>
      </c>
      <c r="DG115" s="28">
        <f t="shared" si="514"/>
        <v>9220064.4720675386</v>
      </c>
      <c r="DH115" s="118">
        <f t="shared" si="478"/>
        <v>-7.9004593482971362E-3</v>
      </c>
      <c r="DI115" s="28">
        <f t="shared" ref="DI115:DU115" si="515">+DI116+DI129+DI133+DI138+DI146+DI150</f>
        <v>959848.41473231837</v>
      </c>
      <c r="DJ115" s="28">
        <f t="shared" si="515"/>
        <v>959848.41473231837</v>
      </c>
      <c r="DK115" s="28">
        <f t="shared" si="515"/>
        <v>969348.41473231837</v>
      </c>
      <c r="DL115" s="28">
        <f t="shared" si="515"/>
        <v>982015.081398985</v>
      </c>
      <c r="DM115" s="28">
        <f t="shared" si="515"/>
        <v>959848.41473231837</v>
      </c>
      <c r="DN115" s="28">
        <f t="shared" si="515"/>
        <v>961431.74806565174</v>
      </c>
      <c r="DO115" s="28">
        <f t="shared" si="515"/>
        <v>959848.41473231837</v>
      </c>
      <c r="DP115" s="28">
        <f t="shared" si="515"/>
        <v>959848.41473231837</v>
      </c>
      <c r="DQ115" s="28">
        <f t="shared" si="515"/>
        <v>969348.41473231837</v>
      </c>
      <c r="DR115" s="28">
        <f t="shared" si="515"/>
        <v>1081765.0813989849</v>
      </c>
      <c r="DS115" s="28">
        <f t="shared" si="515"/>
        <v>959848.41473231837</v>
      </c>
      <c r="DT115" s="28">
        <f t="shared" si="515"/>
        <v>971431.74806565174</v>
      </c>
      <c r="DU115" s="58">
        <f t="shared" si="515"/>
        <v>11694430.976787824</v>
      </c>
      <c r="DW115" s="28">
        <f t="shared" ref="DW115:EI115" si="516">+DW116+DW129+DW133+DW138+DW146+DW150</f>
        <v>0</v>
      </c>
      <c r="DX115" s="28">
        <f t="shared" si="516"/>
        <v>0</v>
      </c>
      <c r="DY115" s="28">
        <f t="shared" si="516"/>
        <v>0</v>
      </c>
      <c r="DZ115" s="28">
        <f t="shared" si="516"/>
        <v>0</v>
      </c>
      <c r="EA115" s="28">
        <f t="shared" si="516"/>
        <v>0</v>
      </c>
      <c r="EB115" s="28">
        <f t="shared" si="516"/>
        <v>0</v>
      </c>
      <c r="EC115" s="28">
        <f t="shared" si="516"/>
        <v>0</v>
      </c>
      <c r="ED115" s="28">
        <f t="shared" si="516"/>
        <v>0</v>
      </c>
      <c r="EE115" s="28">
        <f t="shared" si="516"/>
        <v>0</v>
      </c>
      <c r="EF115" s="28">
        <f t="shared" si="516"/>
        <v>0</v>
      </c>
      <c r="EG115" s="28">
        <f t="shared" si="516"/>
        <v>0</v>
      </c>
      <c r="EH115" s="28">
        <f t="shared" si="516"/>
        <v>0</v>
      </c>
      <c r="EI115" s="58">
        <f t="shared" si="516"/>
        <v>0</v>
      </c>
      <c r="EJ115" s="19" t="str">
        <f t="shared" si="376"/>
        <v>Personnel Expenses</v>
      </c>
      <c r="EK115" s="28">
        <f t="shared" ref="EK115:EW115" si="517">+EK116+EK129+EK133+EK138+EK146+EK150</f>
        <v>707303.93743589742</v>
      </c>
      <c r="EL115" s="28">
        <f t="shared" si="517"/>
        <v>506606.17743589747</v>
      </c>
      <c r="EM115" s="28">
        <f t="shared" si="517"/>
        <v>579533.91743589751</v>
      </c>
      <c r="EN115" s="28">
        <f t="shared" si="517"/>
        <v>500220.06410256412</v>
      </c>
      <c r="EO115" s="28">
        <f t="shared" si="517"/>
        <v>522042.06410256412</v>
      </c>
      <c r="EP115" s="28">
        <f t="shared" si="517"/>
        <v>599449.60410256416</v>
      </c>
      <c r="EQ115" s="28">
        <f t="shared" si="517"/>
        <v>538197.26410256408</v>
      </c>
      <c r="ER115" s="28">
        <f t="shared" si="517"/>
        <v>598613.06410256412</v>
      </c>
      <c r="ES115" s="28">
        <f t="shared" si="517"/>
        <v>548593.00410256418</v>
      </c>
      <c r="ET115" s="28">
        <f t="shared" si="517"/>
        <v>608443.64410256408</v>
      </c>
      <c r="EU115" s="28">
        <f t="shared" si="517"/>
        <v>0</v>
      </c>
      <c r="EV115" s="28">
        <f t="shared" si="517"/>
        <v>0</v>
      </c>
      <c r="EW115" s="28">
        <f t="shared" si="517"/>
        <v>5709002.7410256406</v>
      </c>
      <c r="EX115" s="118">
        <f t="shared" si="479"/>
        <v>9.8183702301937764E-2</v>
      </c>
      <c r="EY115" s="28">
        <f t="shared" ref="EY115:FK115" si="518">+EY116+EY129+EY133+EY138+EY146+EY150</f>
        <v>493087.08076923084</v>
      </c>
      <c r="EZ115" s="28">
        <f t="shared" si="518"/>
        <v>493087.08076923084</v>
      </c>
      <c r="FA115" s="28">
        <f t="shared" si="518"/>
        <v>497837.08076923084</v>
      </c>
      <c r="FB115" s="28">
        <f t="shared" si="518"/>
        <v>504170.4141025641</v>
      </c>
      <c r="FC115" s="28">
        <f t="shared" si="518"/>
        <v>493087.08076923084</v>
      </c>
      <c r="FD115" s="28">
        <f t="shared" si="518"/>
        <v>493878.74743589747</v>
      </c>
      <c r="FE115" s="28">
        <f t="shared" si="518"/>
        <v>493087.08076923084</v>
      </c>
      <c r="FF115" s="28">
        <f t="shared" si="518"/>
        <v>493087.08076923084</v>
      </c>
      <c r="FG115" s="28">
        <f t="shared" si="518"/>
        <v>497837.08076923084</v>
      </c>
      <c r="FH115" s="28">
        <f t="shared" si="518"/>
        <v>554045.4141025641</v>
      </c>
      <c r="FI115" s="28">
        <f t="shared" si="518"/>
        <v>493087.08076923084</v>
      </c>
      <c r="FJ115" s="28">
        <f t="shared" si="518"/>
        <v>503878.74743589747</v>
      </c>
      <c r="FK115" s="58">
        <f t="shared" si="518"/>
        <v>6010169.9692307692</v>
      </c>
    </row>
    <row r="116" spans="1:167" ht="14.45" hidden="1" customHeight="1" outlineLevel="1">
      <c r="A116" s="58">
        <f t="shared" ref="A116:M116" si="519">+SUM(A117:A128)</f>
        <v>2118123.7411666652</v>
      </c>
      <c r="B116" s="58">
        <f t="shared" si="519"/>
        <v>2142127.8533282052</v>
      </c>
      <c r="C116" s="58">
        <f t="shared" si="519"/>
        <v>2107003.8276282051</v>
      </c>
      <c r="D116" s="58">
        <f t="shared" si="519"/>
        <v>2093481.6676282051</v>
      </c>
      <c r="E116" s="58">
        <f t="shared" si="519"/>
        <v>2152271.5876282053</v>
      </c>
      <c r="F116" s="58">
        <f t="shared" si="519"/>
        <v>2165547.5876282053</v>
      </c>
      <c r="G116" s="58">
        <f t="shared" si="519"/>
        <v>2279201.5876282053</v>
      </c>
      <c r="H116" s="58">
        <f t="shared" si="519"/>
        <v>2342264.9692411083</v>
      </c>
      <c r="I116" s="58">
        <f t="shared" si="519"/>
        <v>2555412.2836282053</v>
      </c>
      <c r="J116" s="58">
        <f t="shared" si="519"/>
        <v>2396363.2576282052</v>
      </c>
      <c r="K116" s="58">
        <f t="shared" si="519"/>
        <v>2812471.3576282053</v>
      </c>
      <c r="L116" s="58">
        <f t="shared" si="519"/>
        <v>2263381.3776282053</v>
      </c>
      <c r="M116" s="58">
        <f t="shared" si="519"/>
        <v>27427651.098389823</v>
      </c>
      <c r="N116" s="20" t="s">
        <v>94</v>
      </c>
      <c r="O116" s="28">
        <f t="shared" ref="O116:AA116" si="520">+SUM(O117:O128)</f>
        <v>2567992.1435897434</v>
      </c>
      <c r="P116" s="28">
        <f t="shared" si="520"/>
        <v>2578507.8335897434</v>
      </c>
      <c r="Q116" s="28">
        <f t="shared" si="520"/>
        <v>2755858.5435897433</v>
      </c>
      <c r="R116" s="28">
        <f t="shared" si="520"/>
        <v>2490404.7223710632</v>
      </c>
      <c r="S116" s="28">
        <f t="shared" si="520"/>
        <v>2422375.1223710631</v>
      </c>
      <c r="T116" s="28">
        <f t="shared" si="520"/>
        <v>2671916.4783710632</v>
      </c>
      <c r="U116" s="28">
        <f t="shared" si="520"/>
        <v>2667166.4783710632</v>
      </c>
      <c r="V116" s="28">
        <f t="shared" si="520"/>
        <v>2637345.8783710632</v>
      </c>
      <c r="W116" s="28">
        <f t="shared" si="520"/>
        <v>2797424.3223710633</v>
      </c>
      <c r="X116" s="28">
        <f t="shared" si="520"/>
        <v>2707122.9723710632</v>
      </c>
      <c r="Y116" s="28">
        <f t="shared" si="520"/>
        <v>0</v>
      </c>
      <c r="Z116" s="28">
        <f t="shared" si="520"/>
        <v>0</v>
      </c>
      <c r="AA116" s="28">
        <f t="shared" si="520"/>
        <v>26296114.495366666</v>
      </c>
      <c r="AB116" s="118">
        <f t="shared" si="476"/>
        <v>3.9589730208700637E-2</v>
      </c>
      <c r="AC116" s="28">
        <f t="shared" ref="AC116:AO116" si="521">+SUM(AC117:AC128)</f>
        <v>2604030.1223710631</v>
      </c>
      <c r="AD116" s="28">
        <f t="shared" si="521"/>
        <v>2604030.1223710631</v>
      </c>
      <c r="AE116" s="28">
        <f t="shared" si="521"/>
        <v>2604030.1223710631</v>
      </c>
      <c r="AF116" s="28">
        <f t="shared" si="521"/>
        <v>2604030.1223710631</v>
      </c>
      <c r="AG116" s="28">
        <f t="shared" si="521"/>
        <v>2604030.1223710631</v>
      </c>
      <c r="AH116" s="28">
        <f t="shared" si="521"/>
        <v>2604030.1223710631</v>
      </c>
      <c r="AI116" s="28">
        <f t="shared" si="521"/>
        <v>2604030.1223710631</v>
      </c>
      <c r="AJ116" s="28">
        <f t="shared" si="521"/>
        <v>2604030.1223710631</v>
      </c>
      <c r="AK116" s="28">
        <f t="shared" si="521"/>
        <v>2604030.1223710631</v>
      </c>
      <c r="AL116" s="28">
        <f t="shared" si="521"/>
        <v>2604030.1223710631</v>
      </c>
      <c r="AM116" s="28">
        <f t="shared" si="521"/>
        <v>2604030.1223710631</v>
      </c>
      <c r="AN116" s="28">
        <f t="shared" si="521"/>
        <v>2604030.1223710631</v>
      </c>
      <c r="AO116" s="28">
        <f t="shared" si="521"/>
        <v>31248361.468452755</v>
      </c>
      <c r="AQ116" s="58">
        <f t="shared" ref="AQ116:BC116" si="522">+SUM(AQ117:AQ128)</f>
        <v>1567788.9385128198</v>
      </c>
      <c r="AR116" s="58">
        <f t="shared" si="522"/>
        <v>1603363.8612358978</v>
      </c>
      <c r="AS116" s="58">
        <f t="shared" si="522"/>
        <v>1569201.0374358976</v>
      </c>
      <c r="AT116" s="58">
        <f t="shared" si="522"/>
        <v>1517351.3974358977</v>
      </c>
      <c r="AU116" s="58">
        <f t="shared" si="522"/>
        <v>1555572.8774358977</v>
      </c>
      <c r="AV116" s="58">
        <f t="shared" si="522"/>
        <v>1595028.8774358977</v>
      </c>
      <c r="AW116" s="58">
        <f t="shared" si="522"/>
        <v>1709401.8774358975</v>
      </c>
      <c r="AX116" s="58">
        <f t="shared" si="522"/>
        <v>1787861.0974358977</v>
      </c>
      <c r="AY116" s="58">
        <f t="shared" si="522"/>
        <v>2018815.8234358979</v>
      </c>
      <c r="AZ116" s="58">
        <f t="shared" si="522"/>
        <v>1854440.4574358978</v>
      </c>
      <c r="BA116" s="58">
        <f t="shared" si="522"/>
        <v>1906778.2574358976</v>
      </c>
      <c r="BB116" s="58">
        <f t="shared" si="522"/>
        <v>1620333.7374358978</v>
      </c>
      <c r="BC116" s="58">
        <f t="shared" si="522"/>
        <v>20305938.240107693</v>
      </c>
      <c r="BD116" s="16" t="str">
        <f t="shared" si="334"/>
        <v>Salaries and Allowances</v>
      </c>
      <c r="BE116" s="28">
        <f t="shared" ref="BE116:BQ116" si="523">+SUM(BE117:BE128)</f>
        <v>1487718.2333333332</v>
      </c>
      <c r="BF116" s="28">
        <f t="shared" si="523"/>
        <v>1499515.9233333333</v>
      </c>
      <c r="BG116" s="28">
        <f t="shared" si="523"/>
        <v>1584534.6333333333</v>
      </c>
      <c r="BH116" s="28">
        <f t="shared" si="523"/>
        <v>1471242.927919514</v>
      </c>
      <c r="BI116" s="28">
        <f t="shared" si="523"/>
        <v>1413954.3279195139</v>
      </c>
      <c r="BJ116" s="28">
        <f t="shared" si="523"/>
        <v>1498053.231919514</v>
      </c>
      <c r="BK116" s="28">
        <f t="shared" si="523"/>
        <v>1534311.2319195138</v>
      </c>
      <c r="BL116" s="28">
        <f t="shared" si="523"/>
        <v>1515135.6319195139</v>
      </c>
      <c r="BM116" s="28">
        <f t="shared" si="523"/>
        <v>1604743.1279195137</v>
      </c>
      <c r="BN116" s="28">
        <f t="shared" si="523"/>
        <v>1556507.2279195138</v>
      </c>
      <c r="BO116" s="28">
        <f t="shared" si="523"/>
        <v>0</v>
      </c>
      <c r="BP116" s="28">
        <f t="shared" si="523"/>
        <v>0</v>
      </c>
      <c r="BQ116" s="28">
        <f t="shared" si="523"/>
        <v>15165716.497436598</v>
      </c>
      <c r="BR116" s="118">
        <f t="shared" si="477"/>
        <v>3.1830411691012264E-2</v>
      </c>
      <c r="BS116" s="58">
        <f t="shared" ref="BS116:CE116" si="524">+SUM(BS117:BS128)</f>
        <v>1508491.3279195139</v>
      </c>
      <c r="BT116" s="58">
        <f t="shared" si="524"/>
        <v>1508491.3279195139</v>
      </c>
      <c r="BU116" s="58">
        <f t="shared" si="524"/>
        <v>1508491.3279195139</v>
      </c>
      <c r="BV116" s="58">
        <f t="shared" si="524"/>
        <v>1508491.3279195139</v>
      </c>
      <c r="BW116" s="58">
        <f t="shared" si="524"/>
        <v>1508491.3279195139</v>
      </c>
      <c r="BX116" s="58">
        <f t="shared" si="524"/>
        <v>1508491.3279195139</v>
      </c>
      <c r="BY116" s="58">
        <f t="shared" si="524"/>
        <v>1508491.3279195139</v>
      </c>
      <c r="BZ116" s="58">
        <f t="shared" si="524"/>
        <v>1508491.3279195139</v>
      </c>
      <c r="CA116" s="58">
        <f t="shared" si="524"/>
        <v>1508491.3279195139</v>
      </c>
      <c r="CB116" s="58">
        <f t="shared" si="524"/>
        <v>1508491.3279195139</v>
      </c>
      <c r="CC116" s="58">
        <f t="shared" si="524"/>
        <v>1508491.3279195139</v>
      </c>
      <c r="CD116" s="58">
        <f t="shared" si="524"/>
        <v>1508491.3279195139</v>
      </c>
      <c r="CE116" s="58">
        <f t="shared" si="524"/>
        <v>18101895.935034167</v>
      </c>
      <c r="CF116" s="22"/>
      <c r="CG116" s="28">
        <f t="shared" ref="CG116:CS116" si="525">+SUM(CG117:CG128)</f>
        <v>550334.80265384575</v>
      </c>
      <c r="CH116" s="28">
        <f t="shared" si="525"/>
        <v>538763.99209230766</v>
      </c>
      <c r="CI116" s="28">
        <f t="shared" si="525"/>
        <v>537802.79019230767</v>
      </c>
      <c r="CJ116" s="28">
        <f t="shared" si="525"/>
        <v>576130.27019230777</v>
      </c>
      <c r="CK116" s="28">
        <f t="shared" si="525"/>
        <v>596698.71019230771</v>
      </c>
      <c r="CL116" s="28">
        <f t="shared" si="525"/>
        <v>570518.71019230771</v>
      </c>
      <c r="CM116" s="28">
        <f t="shared" si="525"/>
        <v>569799.71019230771</v>
      </c>
      <c r="CN116" s="28">
        <f t="shared" si="525"/>
        <v>554403.87180521071</v>
      </c>
      <c r="CO116" s="28">
        <f t="shared" si="525"/>
        <v>536596.46019230771</v>
      </c>
      <c r="CP116" s="28">
        <f t="shared" si="525"/>
        <v>541922.80019230768</v>
      </c>
      <c r="CQ116" s="28">
        <f t="shared" si="525"/>
        <v>905693.10019230761</v>
      </c>
      <c r="CR116" s="28">
        <f t="shared" si="525"/>
        <v>643047.64019230765</v>
      </c>
      <c r="CS116" s="58">
        <f t="shared" si="525"/>
        <v>7121712.858282133</v>
      </c>
      <c r="CT116" s="16" t="str">
        <f t="shared" si="338"/>
        <v>Salaries and Allowances</v>
      </c>
      <c r="CU116" s="28">
        <f t="shared" ref="CU116:DG116" si="526">+SUM(CU117:CU128)</f>
        <v>706369.01282051275</v>
      </c>
      <c r="CV116" s="28">
        <f t="shared" si="526"/>
        <v>717098.01282051275</v>
      </c>
      <c r="CW116" s="28">
        <f t="shared" si="526"/>
        <v>784678.01282051275</v>
      </c>
      <c r="CX116" s="28">
        <f t="shared" si="526"/>
        <v>666986.73034898494</v>
      </c>
      <c r="CY116" s="28">
        <f t="shared" si="526"/>
        <v>656245.73034898494</v>
      </c>
      <c r="CZ116" s="28">
        <f t="shared" si="526"/>
        <v>794302.18234898499</v>
      </c>
      <c r="DA116" s="28">
        <f t="shared" si="526"/>
        <v>724147.18234898499</v>
      </c>
      <c r="DB116" s="28">
        <f t="shared" si="526"/>
        <v>714084.18234898499</v>
      </c>
      <c r="DC116" s="28">
        <f t="shared" si="526"/>
        <v>786040.13034898485</v>
      </c>
      <c r="DD116" s="28">
        <f t="shared" si="526"/>
        <v>766048.6803489849</v>
      </c>
      <c r="DE116" s="28">
        <f t="shared" si="526"/>
        <v>0</v>
      </c>
      <c r="DF116" s="28">
        <f t="shared" si="526"/>
        <v>0</v>
      </c>
      <c r="DG116" s="28">
        <f t="shared" si="526"/>
        <v>7315999.856904435</v>
      </c>
      <c r="DH116" s="118">
        <f t="shared" si="478"/>
        <v>3.0516622043626089E-2</v>
      </c>
      <c r="DI116" s="28">
        <f t="shared" ref="DI116:DU116" si="527">+SUM(DI117:DI128)</f>
        <v>743363.73034898494</v>
      </c>
      <c r="DJ116" s="28">
        <f t="shared" si="527"/>
        <v>743363.73034898494</v>
      </c>
      <c r="DK116" s="28">
        <f t="shared" si="527"/>
        <v>743363.73034898494</v>
      </c>
      <c r="DL116" s="28">
        <f t="shared" si="527"/>
        <v>743363.73034898494</v>
      </c>
      <c r="DM116" s="28">
        <f t="shared" si="527"/>
        <v>743363.73034898494</v>
      </c>
      <c r="DN116" s="28">
        <f t="shared" si="527"/>
        <v>743363.73034898494</v>
      </c>
      <c r="DO116" s="28">
        <f t="shared" si="527"/>
        <v>743363.73034898494</v>
      </c>
      <c r="DP116" s="28">
        <f t="shared" si="527"/>
        <v>743363.73034898494</v>
      </c>
      <c r="DQ116" s="28">
        <f t="shared" si="527"/>
        <v>743363.73034898494</v>
      </c>
      <c r="DR116" s="28">
        <f t="shared" si="527"/>
        <v>743363.73034898494</v>
      </c>
      <c r="DS116" s="28">
        <f t="shared" si="527"/>
        <v>743363.73034898494</v>
      </c>
      <c r="DT116" s="28">
        <f t="shared" si="527"/>
        <v>743363.73034898494</v>
      </c>
      <c r="DU116" s="58">
        <f t="shared" si="527"/>
        <v>8920364.7641878221</v>
      </c>
      <c r="DW116" s="28">
        <f t="shared" ref="DW116:EI116" si="528">+SUM(DW117:DW128)</f>
        <v>0</v>
      </c>
      <c r="DX116" s="28">
        <f t="shared" si="528"/>
        <v>0</v>
      </c>
      <c r="DY116" s="28">
        <f t="shared" si="528"/>
        <v>0</v>
      </c>
      <c r="DZ116" s="28">
        <f t="shared" si="528"/>
        <v>0</v>
      </c>
      <c r="EA116" s="28">
        <f t="shared" si="528"/>
        <v>0</v>
      </c>
      <c r="EB116" s="28">
        <f t="shared" si="528"/>
        <v>0</v>
      </c>
      <c r="EC116" s="28">
        <f t="shared" si="528"/>
        <v>0</v>
      </c>
      <c r="ED116" s="28">
        <f t="shared" si="528"/>
        <v>0</v>
      </c>
      <c r="EE116" s="28">
        <f t="shared" si="528"/>
        <v>0</v>
      </c>
      <c r="EF116" s="28">
        <f t="shared" si="528"/>
        <v>0</v>
      </c>
      <c r="EG116" s="28">
        <f t="shared" si="528"/>
        <v>0</v>
      </c>
      <c r="EH116" s="28">
        <f t="shared" si="528"/>
        <v>0</v>
      </c>
      <c r="EI116" s="58">
        <f t="shared" si="528"/>
        <v>0</v>
      </c>
      <c r="EJ116" s="16" t="str">
        <f t="shared" si="376"/>
        <v>Salaries and Allowances</v>
      </c>
      <c r="EK116" s="28">
        <f t="shared" ref="EK116:EW116" si="529">+SUM(EK117:EK128)</f>
        <v>373904.89743589744</v>
      </c>
      <c r="EL116" s="28">
        <f t="shared" si="529"/>
        <v>361893.89743589744</v>
      </c>
      <c r="EM116" s="28">
        <f t="shared" si="529"/>
        <v>386645.89743589744</v>
      </c>
      <c r="EN116" s="28">
        <f t="shared" si="529"/>
        <v>352175.06410256412</v>
      </c>
      <c r="EO116" s="28">
        <f t="shared" si="529"/>
        <v>352175.06410256412</v>
      </c>
      <c r="EP116" s="28">
        <f t="shared" si="529"/>
        <v>379561.06410256412</v>
      </c>
      <c r="EQ116" s="28">
        <f t="shared" si="529"/>
        <v>408708.06410256412</v>
      </c>
      <c r="ER116" s="28">
        <f t="shared" si="529"/>
        <v>408126.06410256412</v>
      </c>
      <c r="ES116" s="28">
        <f t="shared" si="529"/>
        <v>406641.06410256412</v>
      </c>
      <c r="ET116" s="28">
        <f t="shared" si="529"/>
        <v>384567.06410256412</v>
      </c>
      <c r="EU116" s="28">
        <f t="shared" si="529"/>
        <v>0</v>
      </c>
      <c r="EV116" s="28">
        <f t="shared" si="529"/>
        <v>0</v>
      </c>
      <c r="EW116" s="28">
        <f t="shared" si="529"/>
        <v>3814398.1410256405</v>
      </c>
      <c r="EX116" s="118">
        <f t="shared" si="479"/>
        <v>9.1976983329422946E-2</v>
      </c>
      <c r="EY116" s="28">
        <f t="shared" ref="EY116:FK116" si="530">+SUM(EY117:EY128)</f>
        <v>352175.06410256412</v>
      </c>
      <c r="EZ116" s="28">
        <f t="shared" si="530"/>
        <v>352175.06410256412</v>
      </c>
      <c r="FA116" s="28">
        <f t="shared" si="530"/>
        <v>352175.06410256412</v>
      </c>
      <c r="FB116" s="28">
        <f t="shared" si="530"/>
        <v>352175.06410256412</v>
      </c>
      <c r="FC116" s="28">
        <f t="shared" si="530"/>
        <v>352175.06410256412</v>
      </c>
      <c r="FD116" s="28">
        <f t="shared" si="530"/>
        <v>352175.06410256412</v>
      </c>
      <c r="FE116" s="28">
        <f t="shared" si="530"/>
        <v>352175.06410256412</v>
      </c>
      <c r="FF116" s="28">
        <f t="shared" si="530"/>
        <v>352175.06410256412</v>
      </c>
      <c r="FG116" s="28">
        <f t="shared" si="530"/>
        <v>352175.06410256412</v>
      </c>
      <c r="FH116" s="28">
        <f t="shared" si="530"/>
        <v>352175.06410256412</v>
      </c>
      <c r="FI116" s="28">
        <f t="shared" si="530"/>
        <v>352175.06410256412</v>
      </c>
      <c r="FJ116" s="28">
        <f t="shared" si="530"/>
        <v>352175.06410256412</v>
      </c>
      <c r="FK116" s="58">
        <f t="shared" si="530"/>
        <v>4226100.769230769</v>
      </c>
    </row>
    <row r="117" spans="1:167" ht="14.45" hidden="1" customHeight="1" outlineLevel="2">
      <c r="A117" s="106">
        <f t="shared" ref="A117:L128" si="531">+AQ117+CG117+DW117</f>
        <v>802914.88439999893</v>
      </c>
      <c r="B117" s="106">
        <f t="shared" si="531"/>
        <v>795353.08570000005</v>
      </c>
      <c r="C117" s="106">
        <f t="shared" si="531"/>
        <v>800703.7300000001</v>
      </c>
      <c r="D117" s="106">
        <f t="shared" si="531"/>
        <v>791897.7300000001</v>
      </c>
      <c r="E117" s="106">
        <f t="shared" si="531"/>
        <v>780201.33</v>
      </c>
      <c r="F117" s="106">
        <f t="shared" si="531"/>
        <v>843998.53000000014</v>
      </c>
      <c r="G117" s="106">
        <f t="shared" si="531"/>
        <v>873957.33</v>
      </c>
      <c r="H117" s="106">
        <f t="shared" si="531"/>
        <v>917003.52161290299</v>
      </c>
      <c r="I117" s="106">
        <f t="shared" si="531"/>
        <v>962035.12800000003</v>
      </c>
      <c r="J117" s="106">
        <f t="shared" si="531"/>
        <v>928295.6</v>
      </c>
      <c r="K117" s="106">
        <f t="shared" si="531"/>
        <v>1127143.3999999999</v>
      </c>
      <c r="L117" s="106">
        <f t="shared" si="531"/>
        <v>888318.8</v>
      </c>
      <c r="M117" s="106">
        <f t="shared" ref="M117:M128" si="532">+SUM(A117:L117)</f>
        <v>10511823.069712903</v>
      </c>
      <c r="N117" s="16" t="s">
        <v>95</v>
      </c>
      <c r="O117" s="22">
        <f t="shared" ref="O117:Z128" si="533">+BE117+CU117+EK117</f>
        <v>1078412</v>
      </c>
      <c r="P117" s="22">
        <f t="shared" si="533"/>
        <v>1085151</v>
      </c>
      <c r="Q117" s="22">
        <f t="shared" si="533"/>
        <v>993987</v>
      </c>
      <c r="R117" s="22">
        <f t="shared" si="533"/>
        <v>999702.8</v>
      </c>
      <c r="S117" s="22">
        <f t="shared" si="533"/>
        <v>971148</v>
      </c>
      <c r="T117" s="22">
        <f t="shared" si="533"/>
        <v>1035279</v>
      </c>
      <c r="U117" s="22">
        <f t="shared" si="533"/>
        <v>1037329</v>
      </c>
      <c r="V117" s="22">
        <f t="shared" si="533"/>
        <v>1038361</v>
      </c>
      <c r="W117" s="22">
        <f t="shared" si="533"/>
        <v>1026613</v>
      </c>
      <c r="X117" s="22">
        <f t="shared" si="533"/>
        <v>1036078</v>
      </c>
      <c r="Y117" s="22">
        <f t="shared" si="533"/>
        <v>0</v>
      </c>
      <c r="Z117" s="22">
        <f t="shared" si="533"/>
        <v>0</v>
      </c>
      <c r="AA117" s="22">
        <f t="shared" ref="AA117:AA128" si="534">+SUM(O117:Z117)</f>
        <v>10302060.800000001</v>
      </c>
      <c r="AB117" s="118">
        <f t="shared" si="476"/>
        <v>-1.9422676509558964E-2</v>
      </c>
      <c r="AC117" s="22">
        <f t="shared" ref="AC117:AN128" si="535">+BS117+DI117+EY117</f>
        <v>1056600</v>
      </c>
      <c r="AD117" s="22">
        <f t="shared" si="535"/>
        <v>1056600</v>
      </c>
      <c r="AE117" s="22">
        <f t="shared" si="535"/>
        <v>1056600</v>
      </c>
      <c r="AF117" s="22">
        <f t="shared" si="535"/>
        <v>1056600</v>
      </c>
      <c r="AG117" s="22">
        <f t="shared" si="535"/>
        <v>1056600</v>
      </c>
      <c r="AH117" s="22">
        <f t="shared" si="535"/>
        <v>1056600</v>
      </c>
      <c r="AI117" s="22">
        <f t="shared" si="535"/>
        <v>1056600</v>
      </c>
      <c r="AJ117" s="22">
        <f t="shared" si="535"/>
        <v>1056600</v>
      </c>
      <c r="AK117" s="22">
        <f t="shared" si="535"/>
        <v>1056600</v>
      </c>
      <c r="AL117" s="22">
        <f t="shared" si="535"/>
        <v>1056600</v>
      </c>
      <c r="AM117" s="22">
        <f t="shared" si="535"/>
        <v>1056600</v>
      </c>
      <c r="AN117" s="22">
        <f t="shared" si="535"/>
        <v>1056600</v>
      </c>
      <c r="AO117" s="22">
        <f t="shared" ref="AO117:AO128" si="536">+SUM(AC117:AN117)</f>
        <v>12679200</v>
      </c>
      <c r="AQ117" s="106">
        <v>586943.67959999933</v>
      </c>
      <c r="AR117" s="106">
        <v>590890.98380000005</v>
      </c>
      <c r="AS117" s="106">
        <v>594010.82000000007</v>
      </c>
      <c r="AT117" s="106">
        <v>570716.82000000007</v>
      </c>
      <c r="AU117" s="106">
        <v>577746.41999999993</v>
      </c>
      <c r="AV117" s="106">
        <v>644829.62000000011</v>
      </c>
      <c r="AW117" s="106">
        <v>675147.41999999993</v>
      </c>
      <c r="AX117" s="106">
        <v>722260.38</v>
      </c>
      <c r="AY117" s="106">
        <v>780482.45799999998</v>
      </c>
      <c r="AZ117" s="106">
        <v>744034.6</v>
      </c>
      <c r="BA117" s="106">
        <v>776557.2</v>
      </c>
      <c r="BB117" s="106">
        <v>626147.80000000005</v>
      </c>
      <c r="BC117" s="106">
        <f t="shared" ref="BC117:BC128" si="537">+SUM(AQ117:BB117)</f>
        <v>7889768.2013999987</v>
      </c>
      <c r="BD117" s="16" t="str">
        <f t="shared" si="334"/>
        <v>Salaries &amp; Wages - basic Staff</v>
      </c>
      <c r="BE117" s="22">
        <f>+VLOOKUP($BD117,'Jan-25'!$A:$J,4,0)</f>
        <v>602817</v>
      </c>
      <c r="BF117" s="22">
        <f>+VLOOKUP($BD117,'Feb-25'!$A:$J,4,0)</f>
        <v>604846</v>
      </c>
      <c r="BG117" s="22">
        <f>+VLOOKUP($BD117,'Mar-25'!$A:$J,4,0)</f>
        <v>556032</v>
      </c>
      <c r="BH117" s="22">
        <f>+VLOOKUP($BD117,'Apr-25'!$A:$J,4,0)</f>
        <v>571975.80000000005</v>
      </c>
      <c r="BI117" s="22">
        <f>+VLOOKUP($BD117,'May-25'!$A:$J,4,0)</f>
        <v>555742</v>
      </c>
      <c r="BJ117" s="22">
        <f>+VLOOKUP($BD117,'June-25'!$A:$J,4,0)</f>
        <v>590205</v>
      </c>
      <c r="BK117" s="22">
        <f>+VLOOKUP($BD117,'July-25'!$A:$J,4,0)</f>
        <v>587741</v>
      </c>
      <c r="BL117" s="22">
        <f>+VLOOKUP($BD117,'Aug-25'!$A:$J,4,0)</f>
        <v>588068</v>
      </c>
      <c r="BM117" s="22">
        <f>+VLOOKUP($BD117,'Sep-25'!$A:$J,4,0)</f>
        <v>579810</v>
      </c>
      <c r="BN117" s="22">
        <f>+VLOOKUP($BD117,'Oct-25'!$A:$J,4,0)</f>
        <v>582877</v>
      </c>
      <c r="BO117" s="22">
        <f>+VLOOKUP($BD117,'Nov-25'!$A:$J,4,0)</f>
        <v>0</v>
      </c>
      <c r="BP117" s="22">
        <f>+VLOOKUP($BD117,'Dec-25'!$A:$J,4,0)</f>
        <v>0</v>
      </c>
      <c r="BQ117" s="22">
        <f t="shared" ref="BQ117:BQ128" si="538">+SUM(BE117:BP117)</f>
        <v>5820113.7999999998</v>
      </c>
      <c r="BR117" s="118">
        <f t="shared" si="477"/>
        <v>-1.4578191039729502E-2</v>
      </c>
      <c r="BS117" s="106">
        <f>+_xlfn.XLOOKUP($BD117,Budget!$A:$A,Budget!AQ:AQ)</f>
        <v>591500</v>
      </c>
      <c r="BT117" s="106">
        <f>+_xlfn.XLOOKUP($BD117,Budget!$A:$A,Budget!AR:AR)</f>
        <v>591500</v>
      </c>
      <c r="BU117" s="106">
        <f>+_xlfn.XLOOKUP($BD117,Budget!$A:$A,Budget!AS:AS)</f>
        <v>591500</v>
      </c>
      <c r="BV117" s="106">
        <f>+_xlfn.XLOOKUP($BD117,Budget!$A:$A,Budget!AT:AT)</f>
        <v>591500</v>
      </c>
      <c r="BW117" s="106">
        <f>+_xlfn.XLOOKUP($BD117,Budget!$A:$A,Budget!AU:AU)</f>
        <v>591500</v>
      </c>
      <c r="BX117" s="106">
        <f>+_xlfn.XLOOKUP($BD117,Budget!$A:$A,Budget!AV:AV)</f>
        <v>591500</v>
      </c>
      <c r="BY117" s="106">
        <f>+_xlfn.XLOOKUP($BD117,Budget!$A:$A,Budget!AW:AW)</f>
        <v>591500</v>
      </c>
      <c r="BZ117" s="106">
        <f>+_xlfn.XLOOKUP($BD117,Budget!$A:$A,Budget!AX:AX)</f>
        <v>591500</v>
      </c>
      <c r="CA117" s="106">
        <f>+_xlfn.XLOOKUP($BD117,Budget!$A:$A,Budget!AY:AY)</f>
        <v>591500</v>
      </c>
      <c r="CB117" s="106">
        <f>+_xlfn.XLOOKUP($BD117,Budget!$A:$A,Budget!AZ:AZ)</f>
        <v>591500</v>
      </c>
      <c r="CC117" s="106">
        <f>+_xlfn.XLOOKUP($BD117,Budget!$A:$A,Budget!BA:BA)</f>
        <v>591500</v>
      </c>
      <c r="CD117" s="106">
        <f>+_xlfn.XLOOKUP($BD117,Budget!$A:$A,Budget!BB:BB)</f>
        <v>591500</v>
      </c>
      <c r="CE117" s="106">
        <f t="shared" ref="CE117:CE128" si="539">+SUM(BS117:CD117)</f>
        <v>7098000</v>
      </c>
      <c r="CF117" s="22"/>
      <c r="CG117" s="22">
        <v>215971.20479999966</v>
      </c>
      <c r="CH117" s="22">
        <v>204462.10190000001</v>
      </c>
      <c r="CI117" s="22">
        <v>206692.91</v>
      </c>
      <c r="CJ117" s="22">
        <v>221180.91</v>
      </c>
      <c r="CK117" s="22">
        <v>202454.91</v>
      </c>
      <c r="CL117" s="22">
        <v>199168.91</v>
      </c>
      <c r="CM117" s="22">
        <v>198809.91</v>
      </c>
      <c r="CN117" s="22">
        <v>194743.14161290298</v>
      </c>
      <c r="CO117" s="22">
        <v>181552.67</v>
      </c>
      <c r="CP117" s="22">
        <v>184261</v>
      </c>
      <c r="CQ117" s="22">
        <v>350586.2</v>
      </c>
      <c r="CR117" s="22">
        <v>262171</v>
      </c>
      <c r="CS117" s="106">
        <f t="shared" ref="CS117:CS128" si="540">+SUM(CG117:CR117)</f>
        <v>2622054.8683129023</v>
      </c>
      <c r="CT117" s="16" t="str">
        <f t="shared" si="338"/>
        <v>Salaries &amp; Wages - basic Staff</v>
      </c>
      <c r="CU117" s="22">
        <f>+VLOOKUP($BD117,'Jan-25'!$A:$J,7,0)</f>
        <v>294240</v>
      </c>
      <c r="CV117" s="22">
        <f>+VLOOKUP($BD117,'Feb-25'!$A:$J,7,0)</f>
        <v>298305</v>
      </c>
      <c r="CW117" s="22">
        <f>+VLOOKUP($BD117,'Mar-25'!$A:$J,7,0)</f>
        <v>278955</v>
      </c>
      <c r="CX117" s="22">
        <f>+VLOOKUP($BD117,'Apr-25'!$A:$J,7,0)</f>
        <v>268727</v>
      </c>
      <c r="CY117" s="22">
        <f>+VLOOKUP($BD117,'May-25'!$A:$J,7,0)</f>
        <v>256406</v>
      </c>
      <c r="CZ117" s="22">
        <f>+VLOOKUP($BD117,'June-25'!$A:$J,7,0)</f>
        <v>266741</v>
      </c>
      <c r="DA117" s="22">
        <f>+VLOOKUP($BD117,'July-25'!$A:$J,7,0)</f>
        <v>270814</v>
      </c>
      <c r="DB117" s="22">
        <f>+VLOOKUP($BD117,'Aug-25'!$A:$J,7,0)</f>
        <v>271858</v>
      </c>
      <c r="DC117" s="22">
        <f>+VLOOKUP($BD117,'Sep-25'!$A:$J,7,0)</f>
        <v>269096</v>
      </c>
      <c r="DD117" s="22">
        <f>+VLOOKUP($BD117,'Oct-25'!$A:$J,7,0)</f>
        <v>279036</v>
      </c>
      <c r="DE117" s="22">
        <f>+VLOOKUP($BD117,'Nov-25'!$A:$J,7,0)</f>
        <v>0</v>
      </c>
      <c r="DF117" s="22">
        <f>+VLOOKUP($BD117,'Dec-25'!$A:$J,7,0)</f>
        <v>0</v>
      </c>
      <c r="DG117" s="22">
        <f t="shared" ref="DG117:DG128" si="541">+SUM(CU117:DF117)</f>
        <v>2754178</v>
      </c>
      <c r="DH117" s="118">
        <f t="shared" si="478"/>
        <v>-8.8415550473701407E-2</v>
      </c>
      <c r="DI117" s="22">
        <f>+_xlfn.XLOOKUP($CT117,Budget!$A:$A,Budget!CD:CD)</f>
        <v>306100</v>
      </c>
      <c r="DJ117" s="22">
        <f>+_xlfn.XLOOKUP($CT117,Budget!$A:$A,Budget!CE:CE)</f>
        <v>306100</v>
      </c>
      <c r="DK117" s="22">
        <f>+_xlfn.XLOOKUP($CT117,Budget!$A:$A,Budget!CF:CF)</f>
        <v>306100</v>
      </c>
      <c r="DL117" s="22">
        <f>+_xlfn.XLOOKUP($CT117,Budget!$A:$A,Budget!CG:CG)</f>
        <v>306100</v>
      </c>
      <c r="DM117" s="22">
        <f>+_xlfn.XLOOKUP($CT117,Budget!$A:$A,Budget!CH:CH)</f>
        <v>306100</v>
      </c>
      <c r="DN117" s="22">
        <f>+_xlfn.XLOOKUP($CT117,Budget!$A:$A,Budget!CI:CI)</f>
        <v>306100</v>
      </c>
      <c r="DO117" s="22">
        <f>+_xlfn.XLOOKUP($CT117,Budget!$A:$A,Budget!CJ:CJ)</f>
        <v>306100</v>
      </c>
      <c r="DP117" s="22">
        <f>+_xlfn.XLOOKUP($CT117,Budget!$A:$A,Budget!CK:CK)</f>
        <v>306100</v>
      </c>
      <c r="DQ117" s="22">
        <f>+_xlfn.XLOOKUP($CT117,Budget!$A:$A,Budget!CL:CL)</f>
        <v>306100</v>
      </c>
      <c r="DR117" s="22">
        <f>+_xlfn.XLOOKUP($CT117,Budget!$A:$A,Budget!CM:CM)</f>
        <v>306100</v>
      </c>
      <c r="DS117" s="22">
        <f>+_xlfn.XLOOKUP($CT117,Budget!$A:$A,Budget!CN:CN)</f>
        <v>306100</v>
      </c>
      <c r="DT117" s="22">
        <f>+_xlfn.XLOOKUP($CT117,Budget!$A:$A,Budget!CO:CO)</f>
        <v>306100</v>
      </c>
      <c r="DU117" s="106">
        <f t="shared" ref="DU117:DU128" si="542">+SUM(DI117:DT117)</f>
        <v>3673200</v>
      </c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106">
        <f t="shared" ref="EI117:EI128" si="543">+SUM(DW117:EH117)</f>
        <v>0</v>
      </c>
      <c r="EJ117" s="16" t="str">
        <f t="shared" si="376"/>
        <v>Salaries &amp; Wages - basic Staff</v>
      </c>
      <c r="EK117" s="22">
        <f>+VLOOKUP($BD117,'Jan-25'!$A:$J,9,0)</f>
        <v>181355</v>
      </c>
      <c r="EL117" s="22">
        <f>+VLOOKUP($BD117,'Feb-25'!$A:$J,9,0)</f>
        <v>182000</v>
      </c>
      <c r="EM117" s="22">
        <f>+VLOOKUP($BD117,'Mar-25'!$A:$J,9,0)</f>
        <v>159000</v>
      </c>
      <c r="EN117" s="22">
        <f>+VLOOKUP($BD117,'Apr-25'!$A:$J,9,0)</f>
        <v>159000</v>
      </c>
      <c r="EO117" s="22">
        <f>+VLOOKUP($BD117,'May-25'!$A:$J,9,0)</f>
        <v>159000</v>
      </c>
      <c r="EP117" s="22">
        <f>+VLOOKUP($BD117,'June-25'!$A:$J,9,0)</f>
        <v>178333</v>
      </c>
      <c r="EQ117" s="22">
        <f>+VLOOKUP($BD117,'July-25'!$A:$J,9,0)</f>
        <v>178774</v>
      </c>
      <c r="ER117" s="22">
        <f>+VLOOKUP($BD117,'Aug-25'!$A:$J,9,0)</f>
        <v>178435</v>
      </c>
      <c r="ES117" s="22">
        <f>+VLOOKUP($BD117,'Sep-25'!$A:$J,9,0)</f>
        <v>177707</v>
      </c>
      <c r="ET117" s="22">
        <f>+VLOOKUP($BD117,'Oct-25'!$A:$J,9,0)</f>
        <v>174165</v>
      </c>
      <c r="EU117" s="22">
        <f>+VLOOKUP($BD117,'Nov-25'!$A:$J,9,0)</f>
        <v>0</v>
      </c>
      <c r="EV117" s="22">
        <f>+VLOOKUP($BD117,'Dec-25'!$A:$J,9,0)</f>
        <v>0</v>
      </c>
      <c r="EW117" s="22">
        <f t="shared" ref="EW117:EW128" si="544">+SUM(EK117:EV117)</f>
        <v>1727769</v>
      </c>
      <c r="EX117" s="118">
        <f t="shared" si="479"/>
        <v>9.5377358490566042E-2</v>
      </c>
      <c r="EY117" s="22">
        <f>+_xlfn.XLOOKUP($EJ117,Budget!$A:$A,Budget!DE:DE)</f>
        <v>159000</v>
      </c>
      <c r="EZ117" s="22">
        <f>+_xlfn.XLOOKUP($EJ117,Budget!$A:$A,Budget!DF:DF)</f>
        <v>159000</v>
      </c>
      <c r="FA117" s="22">
        <f>+_xlfn.XLOOKUP($EJ117,Budget!$A:$A,Budget!DG:DG)</f>
        <v>159000</v>
      </c>
      <c r="FB117" s="22">
        <f>+_xlfn.XLOOKUP($EJ117,Budget!$A:$A,Budget!DH:DH)</f>
        <v>159000</v>
      </c>
      <c r="FC117" s="22">
        <f>+_xlfn.XLOOKUP($EJ117,Budget!$A:$A,Budget!DI:DI)</f>
        <v>159000</v>
      </c>
      <c r="FD117" s="22">
        <f>+_xlfn.XLOOKUP($EJ117,Budget!$A:$A,Budget!DJ:DJ)</f>
        <v>159000</v>
      </c>
      <c r="FE117" s="22">
        <f>+_xlfn.XLOOKUP($EJ117,Budget!$A:$A,Budget!DK:DK)</f>
        <v>159000</v>
      </c>
      <c r="FF117" s="22">
        <f>+_xlfn.XLOOKUP($EJ117,Budget!$A:$A,Budget!DL:DL)</f>
        <v>159000</v>
      </c>
      <c r="FG117" s="22">
        <f>+_xlfn.XLOOKUP($EJ117,Budget!$A:$A,Budget!DM:DM)</f>
        <v>159000</v>
      </c>
      <c r="FH117" s="22">
        <f>+_xlfn.XLOOKUP($EJ117,Budget!$A:$A,Budget!DN:DN)</f>
        <v>159000</v>
      </c>
      <c r="FI117" s="22">
        <f>+_xlfn.XLOOKUP($EJ117,Budget!$A:$A,Budget!DO:DO)</f>
        <v>159000</v>
      </c>
      <c r="FJ117" s="22">
        <f>+_xlfn.XLOOKUP($EJ117,Budget!$A:$A,Budget!DP:DP)</f>
        <v>159000</v>
      </c>
      <c r="FK117" s="106">
        <f t="shared" ref="FK117:FK128" si="545">+SUM(EY117:FJ117)</f>
        <v>1908000</v>
      </c>
    </row>
    <row r="118" spans="1:167" ht="14.45" hidden="1" customHeight="1" outlineLevel="2">
      <c r="A118" s="106">
        <f t="shared" si="531"/>
        <v>124334.49060000002</v>
      </c>
      <c r="B118" s="106">
        <f t="shared" si="531"/>
        <v>119511.96</v>
      </c>
      <c r="C118" s="106">
        <f t="shared" si="531"/>
        <v>123435.5</v>
      </c>
      <c r="D118" s="106">
        <f t="shared" si="531"/>
        <v>122023.5</v>
      </c>
      <c r="E118" s="106">
        <f t="shared" si="531"/>
        <v>123724.1</v>
      </c>
      <c r="F118" s="106">
        <f t="shared" si="531"/>
        <v>124366.7</v>
      </c>
      <c r="G118" s="106">
        <f t="shared" si="531"/>
        <v>137097.9</v>
      </c>
      <c r="H118" s="106">
        <f t="shared" si="531"/>
        <v>138981.95000000001</v>
      </c>
      <c r="I118" s="106">
        <f t="shared" si="531"/>
        <v>145575.552</v>
      </c>
      <c r="J118" s="106">
        <f t="shared" si="531"/>
        <v>141667.5</v>
      </c>
      <c r="K118" s="106">
        <f t="shared" si="531"/>
        <v>165393.1</v>
      </c>
      <c r="L118" s="106">
        <f t="shared" si="531"/>
        <v>134679</v>
      </c>
      <c r="M118" s="106">
        <f t="shared" si="532"/>
        <v>1600791.2526</v>
      </c>
      <c r="N118" s="16" t="s">
        <v>96</v>
      </c>
      <c r="O118" s="22">
        <f t="shared" si="533"/>
        <v>146008</v>
      </c>
      <c r="P118" s="22">
        <f t="shared" si="533"/>
        <v>147144</v>
      </c>
      <c r="Q118" s="22">
        <f t="shared" si="533"/>
        <v>151448</v>
      </c>
      <c r="R118" s="22">
        <f t="shared" si="533"/>
        <v>153330</v>
      </c>
      <c r="S118" s="22">
        <f t="shared" si="533"/>
        <v>148638</v>
      </c>
      <c r="T118" s="22">
        <f t="shared" si="533"/>
        <v>155831</v>
      </c>
      <c r="U118" s="22">
        <f t="shared" si="533"/>
        <v>159286</v>
      </c>
      <c r="V118" s="22">
        <f t="shared" si="533"/>
        <v>160399.6</v>
      </c>
      <c r="W118" s="22">
        <f t="shared" si="533"/>
        <v>158994</v>
      </c>
      <c r="X118" s="22">
        <f t="shared" si="533"/>
        <v>159045</v>
      </c>
      <c r="Y118" s="22">
        <f t="shared" si="533"/>
        <v>0</v>
      </c>
      <c r="Z118" s="22">
        <f t="shared" si="533"/>
        <v>0</v>
      </c>
      <c r="AA118" s="22">
        <f t="shared" si="534"/>
        <v>1540123.6</v>
      </c>
      <c r="AB118" s="118">
        <f t="shared" si="476"/>
        <v>-2.2825018432047185E-2</v>
      </c>
      <c r="AC118" s="22">
        <f t="shared" si="535"/>
        <v>162760</v>
      </c>
      <c r="AD118" s="22">
        <f t="shared" si="535"/>
        <v>162760</v>
      </c>
      <c r="AE118" s="22">
        <f t="shared" si="535"/>
        <v>162760</v>
      </c>
      <c r="AF118" s="22">
        <f t="shared" si="535"/>
        <v>162760</v>
      </c>
      <c r="AG118" s="22">
        <f t="shared" si="535"/>
        <v>162760</v>
      </c>
      <c r="AH118" s="22">
        <f t="shared" si="535"/>
        <v>162760</v>
      </c>
      <c r="AI118" s="22">
        <f t="shared" si="535"/>
        <v>162760</v>
      </c>
      <c r="AJ118" s="22">
        <f t="shared" si="535"/>
        <v>162760</v>
      </c>
      <c r="AK118" s="22">
        <f t="shared" si="535"/>
        <v>162760</v>
      </c>
      <c r="AL118" s="22">
        <f t="shared" si="535"/>
        <v>162760</v>
      </c>
      <c r="AM118" s="22">
        <f t="shared" si="535"/>
        <v>162760</v>
      </c>
      <c r="AN118" s="22">
        <f t="shared" si="535"/>
        <v>162760</v>
      </c>
      <c r="AO118" s="22">
        <f t="shared" si="536"/>
        <v>1953120</v>
      </c>
      <c r="AQ118" s="106">
        <v>87294.35040000001</v>
      </c>
      <c r="AR118" s="106">
        <v>87039.77</v>
      </c>
      <c r="AS118" s="106">
        <v>88353</v>
      </c>
      <c r="AT118" s="106">
        <v>84840</v>
      </c>
      <c r="AU118" s="106">
        <v>88863.6</v>
      </c>
      <c r="AV118" s="106">
        <v>90463.2</v>
      </c>
      <c r="AW118" s="106">
        <v>103151.4</v>
      </c>
      <c r="AX118" s="106">
        <v>105600.3</v>
      </c>
      <c r="AY118" s="106">
        <v>113970.652</v>
      </c>
      <c r="AZ118" s="106">
        <v>109844</v>
      </c>
      <c r="BA118" s="106">
        <v>109692</v>
      </c>
      <c r="BB118" s="106">
        <v>90071</v>
      </c>
      <c r="BC118" s="106">
        <f t="shared" si="537"/>
        <v>1159183.2724000001</v>
      </c>
      <c r="BD118" s="16" t="str">
        <f t="shared" si="334"/>
        <v>Conveyance  - Staff</v>
      </c>
      <c r="BE118" s="22">
        <f>+VLOOKUP($BD118,'Jan-25'!$A:$J,4,0)</f>
        <v>79758</v>
      </c>
      <c r="BF118" s="22">
        <f>+VLOOKUP($BD118,'Feb-25'!$A:$J,4,0)</f>
        <v>79834</v>
      </c>
      <c r="BG118" s="22">
        <f>+VLOOKUP($BD118,'Mar-25'!$A:$J,4,0)</f>
        <v>82783</v>
      </c>
      <c r="BH118" s="22">
        <f>+VLOOKUP($BD118,'Apr-25'!$A:$J,4,0)</f>
        <v>85674</v>
      </c>
      <c r="BI118" s="22">
        <f>+VLOOKUP($BD118,'May-25'!$A:$J,4,0)</f>
        <v>82489</v>
      </c>
      <c r="BJ118" s="22">
        <f>+VLOOKUP($BD118,'June-25'!$A:$J,4,0)</f>
        <v>87966</v>
      </c>
      <c r="BK118" s="22">
        <f>+VLOOKUP($BD118,'July-25'!$A:$J,4,0)</f>
        <v>87676</v>
      </c>
      <c r="BL118" s="22">
        <f>+VLOOKUP($BD118,'Aug-25'!$A:$J,4,0)</f>
        <v>87776.6</v>
      </c>
      <c r="BM118" s="22">
        <f>+VLOOKUP($BD118,'Sep-25'!$A:$J,4,0)</f>
        <v>86983</v>
      </c>
      <c r="BN118" s="22">
        <f>+VLOOKUP($BD118,'Oct-25'!$A:$J,4,0)</f>
        <v>86590</v>
      </c>
      <c r="BO118" s="22">
        <f>+VLOOKUP($BD118,'Nov-25'!$A:$J,4,0)</f>
        <v>0</v>
      </c>
      <c r="BP118" s="22">
        <f>+VLOOKUP($BD118,'Dec-25'!$A:$J,4,0)</f>
        <v>0</v>
      </c>
      <c r="BQ118" s="22">
        <f t="shared" si="538"/>
        <v>847529.6</v>
      </c>
      <c r="BR118" s="118">
        <f t="shared" si="477"/>
        <v>-3.8209485726979894E-2</v>
      </c>
      <c r="BS118" s="106">
        <f>+_xlfn.XLOOKUP($BD118,Budget!$A:$A,Budget!AQ:AQ)</f>
        <v>90030</v>
      </c>
      <c r="BT118" s="106">
        <f>+_xlfn.XLOOKUP($BD118,Budget!$A:$A,Budget!AR:AR)</f>
        <v>90030</v>
      </c>
      <c r="BU118" s="106">
        <f>+_xlfn.XLOOKUP($BD118,Budget!$A:$A,Budget!AS:AS)</f>
        <v>90030</v>
      </c>
      <c r="BV118" s="106">
        <f>+_xlfn.XLOOKUP($BD118,Budget!$A:$A,Budget!AT:AT)</f>
        <v>90030</v>
      </c>
      <c r="BW118" s="106">
        <f>+_xlfn.XLOOKUP($BD118,Budget!$A:$A,Budget!AU:AU)</f>
        <v>90030</v>
      </c>
      <c r="BX118" s="106">
        <f>+_xlfn.XLOOKUP($BD118,Budget!$A:$A,Budget!AV:AV)</f>
        <v>90030</v>
      </c>
      <c r="BY118" s="106">
        <f>+_xlfn.XLOOKUP($BD118,Budget!$A:$A,Budget!AW:AW)</f>
        <v>90030</v>
      </c>
      <c r="BZ118" s="106">
        <f>+_xlfn.XLOOKUP($BD118,Budget!$A:$A,Budget!AX:AX)</f>
        <v>90030</v>
      </c>
      <c r="CA118" s="106">
        <f>+_xlfn.XLOOKUP($BD118,Budget!$A:$A,Budget!AY:AY)</f>
        <v>90030</v>
      </c>
      <c r="CB118" s="106">
        <f>+_xlfn.XLOOKUP($BD118,Budget!$A:$A,Budget!AZ:AZ)</f>
        <v>90030</v>
      </c>
      <c r="CC118" s="106">
        <f>+_xlfn.XLOOKUP($BD118,Budget!$A:$A,Budget!BA:BA)</f>
        <v>90030</v>
      </c>
      <c r="CD118" s="106">
        <f>+_xlfn.XLOOKUP($BD118,Budget!$A:$A,Budget!BB:BB)</f>
        <v>90030</v>
      </c>
      <c r="CE118" s="106">
        <f t="shared" si="539"/>
        <v>1080360</v>
      </c>
      <c r="CF118" s="22"/>
      <c r="CG118" s="22">
        <v>37040.140200000002</v>
      </c>
      <c r="CH118" s="22">
        <v>32472.190000000002</v>
      </c>
      <c r="CI118" s="22">
        <v>35082.5</v>
      </c>
      <c r="CJ118" s="22">
        <v>37183.5</v>
      </c>
      <c r="CK118" s="22">
        <v>34860.5</v>
      </c>
      <c r="CL118" s="22">
        <v>33903.5</v>
      </c>
      <c r="CM118" s="22">
        <v>33946.5</v>
      </c>
      <c r="CN118" s="22">
        <v>33381.65</v>
      </c>
      <c r="CO118" s="22">
        <v>31604.9</v>
      </c>
      <c r="CP118" s="22">
        <v>31823.5</v>
      </c>
      <c r="CQ118" s="22">
        <v>55701.1</v>
      </c>
      <c r="CR118" s="22">
        <v>44608</v>
      </c>
      <c r="CS118" s="106">
        <f t="shared" si="540"/>
        <v>441607.98019999999</v>
      </c>
      <c r="CT118" s="16" t="str">
        <f t="shared" si="338"/>
        <v>Conveyance  - Staff</v>
      </c>
      <c r="CU118" s="22">
        <f>+VLOOKUP($BD118,'Jan-25'!$A:$J,7,0)</f>
        <v>43597</v>
      </c>
      <c r="CV118" s="22">
        <f>+VLOOKUP($BD118,'Feb-25'!$A:$J,7,0)</f>
        <v>44560</v>
      </c>
      <c r="CW118" s="22">
        <f>+VLOOKUP($BD118,'Mar-25'!$A:$J,7,0)</f>
        <v>45915</v>
      </c>
      <c r="CX118" s="22">
        <f>+VLOOKUP($BD118,'Apr-25'!$A:$J,7,0)</f>
        <v>44906</v>
      </c>
      <c r="CY118" s="22">
        <f>+VLOOKUP($BD118,'May-25'!$A:$J,7,0)</f>
        <v>43399</v>
      </c>
      <c r="CZ118" s="22">
        <f>+VLOOKUP($BD118,'June-25'!$A:$J,7,0)</f>
        <v>45215</v>
      </c>
      <c r="DA118" s="22">
        <f>+VLOOKUP($BD118,'July-25'!$A:$J,7,0)</f>
        <v>45892</v>
      </c>
      <c r="DB118" s="22">
        <f>+VLOOKUP($BD118,'Aug-25'!$A:$J,7,0)</f>
        <v>46954</v>
      </c>
      <c r="DC118" s="22">
        <f>+VLOOKUP($BD118,'Sep-25'!$A:$J,7,0)</f>
        <v>46452</v>
      </c>
      <c r="DD118" s="22">
        <f>+VLOOKUP($BD118,'Oct-25'!$A:$J,7,0)</f>
        <v>47424</v>
      </c>
      <c r="DE118" s="22">
        <f>+VLOOKUP($BD118,'Nov-25'!$A:$J,7,0)</f>
        <v>0</v>
      </c>
      <c r="DF118" s="22">
        <f>+VLOOKUP($BD118,'Dec-25'!$A:$J,7,0)</f>
        <v>0</v>
      </c>
      <c r="DG118" s="22">
        <f t="shared" si="541"/>
        <v>454314</v>
      </c>
      <c r="DH118" s="118">
        <f t="shared" si="478"/>
        <v>-5.1140456182472989E-2</v>
      </c>
      <c r="DI118" s="22">
        <f>+_xlfn.XLOOKUP($CT118,Budget!$A:$A,Budget!CD:CD)</f>
        <v>49980</v>
      </c>
      <c r="DJ118" s="22">
        <f>+_xlfn.XLOOKUP($CT118,Budget!$A:$A,Budget!CE:CE)</f>
        <v>49980</v>
      </c>
      <c r="DK118" s="22">
        <f>+_xlfn.XLOOKUP($CT118,Budget!$A:$A,Budget!CF:CF)</f>
        <v>49980</v>
      </c>
      <c r="DL118" s="22">
        <f>+_xlfn.XLOOKUP($CT118,Budget!$A:$A,Budget!CG:CG)</f>
        <v>49980</v>
      </c>
      <c r="DM118" s="22">
        <f>+_xlfn.XLOOKUP($CT118,Budget!$A:$A,Budget!CH:CH)</f>
        <v>49980</v>
      </c>
      <c r="DN118" s="22">
        <f>+_xlfn.XLOOKUP($CT118,Budget!$A:$A,Budget!CI:CI)</f>
        <v>49980</v>
      </c>
      <c r="DO118" s="22">
        <f>+_xlfn.XLOOKUP($CT118,Budget!$A:$A,Budget!CJ:CJ)</f>
        <v>49980</v>
      </c>
      <c r="DP118" s="22">
        <f>+_xlfn.XLOOKUP($CT118,Budget!$A:$A,Budget!CK:CK)</f>
        <v>49980</v>
      </c>
      <c r="DQ118" s="22">
        <f>+_xlfn.XLOOKUP($CT118,Budget!$A:$A,Budget!CL:CL)</f>
        <v>49980</v>
      </c>
      <c r="DR118" s="22">
        <f>+_xlfn.XLOOKUP($CT118,Budget!$A:$A,Budget!CM:CM)</f>
        <v>49980</v>
      </c>
      <c r="DS118" s="22">
        <f>+_xlfn.XLOOKUP($CT118,Budget!$A:$A,Budget!CN:CN)</f>
        <v>49980</v>
      </c>
      <c r="DT118" s="22">
        <f>+_xlfn.XLOOKUP($CT118,Budget!$A:$A,Budget!CO:CO)</f>
        <v>49980</v>
      </c>
      <c r="DU118" s="106">
        <f t="shared" si="542"/>
        <v>599760</v>
      </c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106">
        <f t="shared" si="543"/>
        <v>0</v>
      </c>
      <c r="EJ118" s="16" t="str">
        <f t="shared" si="376"/>
        <v>Conveyance  - Staff</v>
      </c>
      <c r="EK118" s="22">
        <f>+VLOOKUP($BD118,'Jan-25'!$A:$J,9,0)</f>
        <v>22653</v>
      </c>
      <c r="EL118" s="22">
        <f>+VLOOKUP($BD118,'Feb-25'!$A:$J,9,0)</f>
        <v>22750</v>
      </c>
      <c r="EM118" s="22">
        <f>+VLOOKUP($BD118,'Mar-25'!$A:$J,9,0)</f>
        <v>22750</v>
      </c>
      <c r="EN118" s="22">
        <f>+VLOOKUP($BD118,'Apr-25'!$A:$J,9,0)</f>
        <v>22750</v>
      </c>
      <c r="EO118" s="22">
        <f>+VLOOKUP($BD118,'May-25'!$A:$J,9,0)</f>
        <v>22750</v>
      </c>
      <c r="EP118" s="22">
        <f>+VLOOKUP($BD118,'June-25'!$A:$J,9,0)</f>
        <v>22650</v>
      </c>
      <c r="EQ118" s="22">
        <f>+VLOOKUP($BD118,'July-25'!$A:$J,9,0)</f>
        <v>25718</v>
      </c>
      <c r="ER118" s="22">
        <f>+VLOOKUP($BD118,'Aug-25'!$A:$J,9,0)</f>
        <v>25669</v>
      </c>
      <c r="ES118" s="22">
        <f>+VLOOKUP($BD118,'Sep-25'!$A:$J,9,0)</f>
        <v>25559</v>
      </c>
      <c r="ET118" s="22">
        <f>+VLOOKUP($BD118,'Oct-25'!$A:$J,9,0)</f>
        <v>25031</v>
      </c>
      <c r="EU118" s="22">
        <f>+VLOOKUP($BD118,'Nov-25'!$A:$J,9,0)</f>
        <v>0</v>
      </c>
      <c r="EV118" s="22">
        <f>+VLOOKUP($BD118,'Dec-25'!$A:$J,9,0)</f>
        <v>0</v>
      </c>
      <c r="EW118" s="22">
        <f t="shared" si="544"/>
        <v>238280</v>
      </c>
      <c r="EX118" s="118">
        <f t="shared" si="479"/>
        <v>0.10026373626373626</v>
      </c>
      <c r="EY118" s="22">
        <f>+_xlfn.XLOOKUP($EJ118,Budget!$A:$A,Budget!DE:DE)</f>
        <v>22750</v>
      </c>
      <c r="EZ118" s="22">
        <f>+_xlfn.XLOOKUP($EJ118,Budget!$A:$A,Budget!DF:DF)</f>
        <v>22750</v>
      </c>
      <c r="FA118" s="22">
        <f>+_xlfn.XLOOKUP($EJ118,Budget!$A:$A,Budget!DG:DG)</f>
        <v>22750</v>
      </c>
      <c r="FB118" s="22">
        <f>+_xlfn.XLOOKUP($EJ118,Budget!$A:$A,Budget!DH:DH)</f>
        <v>22750</v>
      </c>
      <c r="FC118" s="22">
        <f>+_xlfn.XLOOKUP($EJ118,Budget!$A:$A,Budget!DI:DI)</f>
        <v>22750</v>
      </c>
      <c r="FD118" s="22">
        <f>+_xlfn.XLOOKUP($EJ118,Budget!$A:$A,Budget!DJ:DJ)</f>
        <v>22750</v>
      </c>
      <c r="FE118" s="22">
        <f>+_xlfn.XLOOKUP($EJ118,Budget!$A:$A,Budget!DK:DK)</f>
        <v>22750</v>
      </c>
      <c r="FF118" s="22">
        <f>+_xlfn.XLOOKUP($EJ118,Budget!$A:$A,Budget!DL:DL)</f>
        <v>22750</v>
      </c>
      <c r="FG118" s="22">
        <f>+_xlfn.XLOOKUP($EJ118,Budget!$A:$A,Budget!DM:DM)</f>
        <v>22750</v>
      </c>
      <c r="FH118" s="22">
        <f>+_xlfn.XLOOKUP($EJ118,Budget!$A:$A,Budget!DN:DN)</f>
        <v>22750</v>
      </c>
      <c r="FI118" s="22">
        <f>+_xlfn.XLOOKUP($EJ118,Budget!$A:$A,Budget!DO:DO)</f>
        <v>22750</v>
      </c>
      <c r="FJ118" s="22">
        <f>+_xlfn.XLOOKUP($EJ118,Budget!$A:$A,Budget!DP:DP)</f>
        <v>22750</v>
      </c>
      <c r="FK118" s="106">
        <f t="shared" si="545"/>
        <v>273000</v>
      </c>
    </row>
    <row r="119" spans="1:167" ht="14.45" hidden="1" customHeight="1" outlineLevel="2">
      <c r="A119" s="106">
        <f t="shared" si="531"/>
        <v>10900.000000000002</v>
      </c>
      <c r="B119" s="106">
        <f t="shared" si="531"/>
        <v>10900.000000000002</v>
      </c>
      <c r="C119" s="106">
        <f t="shared" si="531"/>
        <v>10000</v>
      </c>
      <c r="D119" s="106">
        <f t="shared" si="531"/>
        <v>10000</v>
      </c>
      <c r="E119" s="106">
        <f t="shared" si="531"/>
        <v>10000</v>
      </c>
      <c r="F119" s="106">
        <f t="shared" si="531"/>
        <v>9200</v>
      </c>
      <c r="G119" s="106">
        <f t="shared" si="531"/>
        <v>9000</v>
      </c>
      <c r="H119" s="106">
        <f t="shared" si="531"/>
        <v>8758</v>
      </c>
      <c r="I119" s="106">
        <f t="shared" si="531"/>
        <v>6466.67</v>
      </c>
      <c r="J119" s="106">
        <f t="shared" si="531"/>
        <v>6371</v>
      </c>
      <c r="K119" s="106">
        <f t="shared" si="531"/>
        <v>11634.7</v>
      </c>
      <c r="L119" s="106">
        <f t="shared" si="531"/>
        <v>7500</v>
      </c>
      <c r="M119" s="106">
        <f t="shared" si="532"/>
        <v>110730.37</v>
      </c>
      <c r="N119" s="16" t="s">
        <v>97</v>
      </c>
      <c r="O119" s="22">
        <f t="shared" si="533"/>
        <v>7500</v>
      </c>
      <c r="P119" s="22">
        <f t="shared" si="533"/>
        <v>7500</v>
      </c>
      <c r="Q119" s="22">
        <f t="shared" si="533"/>
        <v>4500</v>
      </c>
      <c r="R119" s="22">
        <f t="shared" si="533"/>
        <v>4500</v>
      </c>
      <c r="S119" s="22">
        <f t="shared" si="533"/>
        <v>4500</v>
      </c>
      <c r="T119" s="22">
        <f t="shared" si="533"/>
        <v>4500</v>
      </c>
      <c r="U119" s="22">
        <f t="shared" si="533"/>
        <v>4500</v>
      </c>
      <c r="V119" s="22">
        <f t="shared" si="533"/>
        <v>4500</v>
      </c>
      <c r="W119" s="22">
        <f t="shared" si="533"/>
        <v>4500</v>
      </c>
      <c r="X119" s="22">
        <f t="shared" si="533"/>
        <v>4500</v>
      </c>
      <c r="Y119" s="22">
        <f t="shared" si="533"/>
        <v>0</v>
      </c>
      <c r="Z119" s="22">
        <f t="shared" si="533"/>
        <v>0</v>
      </c>
      <c r="AA119" s="22">
        <f t="shared" si="534"/>
        <v>51000</v>
      </c>
      <c r="AB119" s="118">
        <f t="shared" si="476"/>
        <v>0</v>
      </c>
      <c r="AC119" s="22">
        <f t="shared" si="535"/>
        <v>4500</v>
      </c>
      <c r="AD119" s="22">
        <f t="shared" si="535"/>
        <v>4500</v>
      </c>
      <c r="AE119" s="22">
        <f t="shared" si="535"/>
        <v>4500</v>
      </c>
      <c r="AF119" s="22">
        <f t="shared" si="535"/>
        <v>4500</v>
      </c>
      <c r="AG119" s="22">
        <f t="shared" si="535"/>
        <v>4500</v>
      </c>
      <c r="AH119" s="22">
        <f t="shared" si="535"/>
        <v>4500</v>
      </c>
      <c r="AI119" s="22">
        <f t="shared" si="535"/>
        <v>4500</v>
      </c>
      <c r="AJ119" s="22">
        <f t="shared" si="535"/>
        <v>4500</v>
      </c>
      <c r="AK119" s="22">
        <f t="shared" si="535"/>
        <v>4500</v>
      </c>
      <c r="AL119" s="22">
        <f t="shared" si="535"/>
        <v>4500</v>
      </c>
      <c r="AM119" s="22">
        <f t="shared" si="535"/>
        <v>4500</v>
      </c>
      <c r="AN119" s="22">
        <f t="shared" si="535"/>
        <v>4500</v>
      </c>
      <c r="AO119" s="22">
        <f t="shared" si="536"/>
        <v>54000</v>
      </c>
      <c r="AQ119" s="106">
        <v>7085.0000000000009</v>
      </c>
      <c r="AR119" s="106">
        <v>7085.0000000000009</v>
      </c>
      <c r="AS119" s="106">
        <v>6500</v>
      </c>
      <c r="AT119" s="106">
        <v>6500</v>
      </c>
      <c r="AU119" s="106">
        <v>6500</v>
      </c>
      <c r="AV119" s="106">
        <v>5700</v>
      </c>
      <c r="AW119" s="106">
        <v>5500</v>
      </c>
      <c r="AX119" s="106">
        <v>5500</v>
      </c>
      <c r="AY119" s="106">
        <v>5466.67</v>
      </c>
      <c r="AZ119" s="106">
        <v>5371</v>
      </c>
      <c r="BA119" s="106">
        <v>5734</v>
      </c>
      <c r="BB119" s="106">
        <v>4500</v>
      </c>
      <c r="BC119" s="106">
        <f t="shared" si="537"/>
        <v>71441.67</v>
      </c>
      <c r="BD119" s="16" t="str">
        <f t="shared" si="334"/>
        <v>Fuel Allowance - Staff</v>
      </c>
      <c r="BE119" s="22">
        <f>+VLOOKUP($BD119,'Jan-25'!$A:$J,4,0)</f>
        <v>4500</v>
      </c>
      <c r="BF119" s="22">
        <f>+VLOOKUP($BD119,'Feb-25'!$A:$J,4,0)</f>
        <v>4500</v>
      </c>
      <c r="BG119" s="22">
        <f>+VLOOKUP($BD119,'Mar-25'!$A:$J,4,0)</f>
        <v>1500</v>
      </c>
      <c r="BH119" s="22">
        <f>+VLOOKUP($BD119,'Apr-25'!$A:$J,4,0)</f>
        <v>1500</v>
      </c>
      <c r="BI119" s="22">
        <f>+VLOOKUP($BD119,'May-25'!$A:$J,4,0)</f>
        <v>1500</v>
      </c>
      <c r="BJ119" s="22">
        <f>+VLOOKUP($BD119,'June-25'!$A:$J,4,0)</f>
        <v>1500</v>
      </c>
      <c r="BK119" s="22">
        <f>+VLOOKUP($BD119,'July-25'!$A:$J,4,0)</f>
        <v>1500</v>
      </c>
      <c r="BL119" s="22">
        <f>+VLOOKUP($BD119,'Aug-25'!$A:$J,4,0)</f>
        <v>1500</v>
      </c>
      <c r="BM119" s="22">
        <f>+VLOOKUP($BD119,'Sep-25'!$A:$J,4,0)</f>
        <v>1500</v>
      </c>
      <c r="BN119" s="22">
        <f>+VLOOKUP($BD119,'Oct-25'!$A:$J,4,0)</f>
        <v>1500</v>
      </c>
      <c r="BO119" s="22">
        <f>+VLOOKUP($BD119,'Nov-25'!$A:$J,4,0)</f>
        <v>0</v>
      </c>
      <c r="BP119" s="22">
        <f>+VLOOKUP($BD119,'Dec-25'!$A:$J,4,0)</f>
        <v>0</v>
      </c>
      <c r="BQ119" s="22">
        <f t="shared" si="538"/>
        <v>21000</v>
      </c>
      <c r="BR119" s="118">
        <f t="shared" si="477"/>
        <v>0</v>
      </c>
      <c r="BS119" s="106">
        <f>+_xlfn.XLOOKUP($BD119,Budget!$A:$A,Budget!AQ:AQ)</f>
        <v>1500</v>
      </c>
      <c r="BT119" s="106">
        <f>+_xlfn.XLOOKUP($BD119,Budget!$A:$A,Budget!AR:AR)</f>
        <v>1500</v>
      </c>
      <c r="BU119" s="106">
        <f>+_xlfn.XLOOKUP($BD119,Budget!$A:$A,Budget!AS:AS)</f>
        <v>1500</v>
      </c>
      <c r="BV119" s="106">
        <f>+_xlfn.XLOOKUP($BD119,Budget!$A:$A,Budget!AT:AT)</f>
        <v>1500</v>
      </c>
      <c r="BW119" s="106">
        <f>+_xlfn.XLOOKUP($BD119,Budget!$A:$A,Budget!AU:AU)</f>
        <v>1500</v>
      </c>
      <c r="BX119" s="106">
        <f>+_xlfn.XLOOKUP($BD119,Budget!$A:$A,Budget!AV:AV)</f>
        <v>1500</v>
      </c>
      <c r="BY119" s="106">
        <f>+_xlfn.XLOOKUP($BD119,Budget!$A:$A,Budget!AW:AW)</f>
        <v>1500</v>
      </c>
      <c r="BZ119" s="106">
        <f>+_xlfn.XLOOKUP($BD119,Budget!$A:$A,Budget!AX:AX)</f>
        <v>1500</v>
      </c>
      <c r="CA119" s="106">
        <f>+_xlfn.XLOOKUP($BD119,Budget!$A:$A,Budget!AY:AY)</f>
        <v>1500</v>
      </c>
      <c r="CB119" s="106">
        <f>+_xlfn.XLOOKUP($BD119,Budget!$A:$A,Budget!AZ:AZ)</f>
        <v>1500</v>
      </c>
      <c r="CC119" s="106">
        <f>+_xlfn.XLOOKUP($BD119,Budget!$A:$A,Budget!BA:BA)</f>
        <v>1500</v>
      </c>
      <c r="CD119" s="106">
        <f>+_xlfn.XLOOKUP($BD119,Budget!$A:$A,Budget!BB:BB)</f>
        <v>1500</v>
      </c>
      <c r="CE119" s="106">
        <f t="shared" si="539"/>
        <v>18000</v>
      </c>
      <c r="CF119" s="22"/>
      <c r="CG119" s="22">
        <v>3815.0000000000005</v>
      </c>
      <c r="CH119" s="22">
        <v>3815.0000000000005</v>
      </c>
      <c r="CI119" s="22">
        <v>3500</v>
      </c>
      <c r="CJ119" s="22">
        <v>3500</v>
      </c>
      <c r="CK119" s="22">
        <v>3500</v>
      </c>
      <c r="CL119" s="22">
        <v>3500</v>
      </c>
      <c r="CM119" s="22">
        <v>3500</v>
      </c>
      <c r="CN119" s="22">
        <v>3258</v>
      </c>
      <c r="CO119" s="22">
        <v>1000</v>
      </c>
      <c r="CP119" s="22">
        <v>1000</v>
      </c>
      <c r="CQ119" s="22">
        <v>5900.7</v>
      </c>
      <c r="CR119" s="22">
        <v>3000</v>
      </c>
      <c r="CS119" s="106">
        <f t="shared" si="540"/>
        <v>39288.699999999997</v>
      </c>
      <c r="CT119" s="16" t="str">
        <f t="shared" si="338"/>
        <v>Fuel Allowance - Staff</v>
      </c>
      <c r="CU119" s="22">
        <f>+VLOOKUP($BD119,'Jan-25'!$A:$J,7,0)</f>
        <v>3000</v>
      </c>
      <c r="CV119" s="22">
        <f>+VLOOKUP($BD119,'Feb-25'!$A:$J,7,0)</f>
        <v>3000</v>
      </c>
      <c r="CW119" s="22">
        <f>+VLOOKUP($BD119,'Mar-25'!$A:$J,7,0)</f>
        <v>3000</v>
      </c>
      <c r="CX119" s="22">
        <f>+VLOOKUP($BD119,'Apr-25'!$A:$J,7,0)</f>
        <v>3000</v>
      </c>
      <c r="CY119" s="22">
        <f>+VLOOKUP($BD119,'May-25'!$A:$J,7,0)</f>
        <v>3000</v>
      </c>
      <c r="CZ119" s="22">
        <f>+VLOOKUP($BD119,'June-25'!$A:$J,7,0)</f>
        <v>3000</v>
      </c>
      <c r="DA119" s="22">
        <f>+VLOOKUP($BD119,'July-25'!$A:$J,7,0)</f>
        <v>3000</v>
      </c>
      <c r="DB119" s="22">
        <f>+VLOOKUP($BD119,'Aug-25'!$A:$J,7,0)</f>
        <v>3000</v>
      </c>
      <c r="DC119" s="22">
        <f>+VLOOKUP($BD119,'Sep-25'!$A:$J,7,0)</f>
        <v>3000</v>
      </c>
      <c r="DD119" s="22">
        <f>+VLOOKUP($BD119,'Oct-25'!$A:$J,7,0)</f>
        <v>3000</v>
      </c>
      <c r="DE119" s="22">
        <f>+VLOOKUP($BD119,'Nov-25'!$A:$J,7,0)</f>
        <v>0</v>
      </c>
      <c r="DF119" s="22">
        <f>+VLOOKUP($BD119,'Dec-25'!$A:$J,7,0)</f>
        <v>0</v>
      </c>
      <c r="DG119" s="22">
        <f t="shared" si="541"/>
        <v>30000</v>
      </c>
      <c r="DH119" s="118">
        <f t="shared" si="478"/>
        <v>0</v>
      </c>
      <c r="DI119" s="22">
        <f>+_xlfn.XLOOKUP($CT119,Budget!$A:$A,Budget!CD:CD)</f>
        <v>3000</v>
      </c>
      <c r="DJ119" s="22">
        <f>+_xlfn.XLOOKUP($CT119,Budget!$A:$A,Budget!CE:CE)</f>
        <v>3000</v>
      </c>
      <c r="DK119" s="22">
        <f>+_xlfn.XLOOKUP($CT119,Budget!$A:$A,Budget!CF:CF)</f>
        <v>3000</v>
      </c>
      <c r="DL119" s="22">
        <f>+_xlfn.XLOOKUP($CT119,Budget!$A:$A,Budget!CG:CG)</f>
        <v>3000</v>
      </c>
      <c r="DM119" s="22">
        <f>+_xlfn.XLOOKUP($CT119,Budget!$A:$A,Budget!CH:CH)</f>
        <v>3000</v>
      </c>
      <c r="DN119" s="22">
        <f>+_xlfn.XLOOKUP($CT119,Budget!$A:$A,Budget!CI:CI)</f>
        <v>3000</v>
      </c>
      <c r="DO119" s="22">
        <f>+_xlfn.XLOOKUP($CT119,Budget!$A:$A,Budget!CJ:CJ)</f>
        <v>3000</v>
      </c>
      <c r="DP119" s="22">
        <f>+_xlfn.XLOOKUP($CT119,Budget!$A:$A,Budget!CK:CK)</f>
        <v>3000</v>
      </c>
      <c r="DQ119" s="22">
        <f>+_xlfn.XLOOKUP($CT119,Budget!$A:$A,Budget!CL:CL)</f>
        <v>3000</v>
      </c>
      <c r="DR119" s="22">
        <f>+_xlfn.XLOOKUP($CT119,Budget!$A:$A,Budget!CM:CM)</f>
        <v>3000</v>
      </c>
      <c r="DS119" s="22">
        <f>+_xlfn.XLOOKUP($CT119,Budget!$A:$A,Budget!CN:CN)</f>
        <v>3000</v>
      </c>
      <c r="DT119" s="22">
        <f>+_xlfn.XLOOKUP($CT119,Budget!$A:$A,Budget!CO:CO)</f>
        <v>3000</v>
      </c>
      <c r="DU119" s="106">
        <f t="shared" si="542"/>
        <v>36000</v>
      </c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106">
        <f t="shared" si="543"/>
        <v>0</v>
      </c>
      <c r="EJ119" s="16" t="str">
        <f t="shared" si="376"/>
        <v>Fuel Allowance - Staff</v>
      </c>
      <c r="EK119" s="22">
        <f>+VLOOKUP($BD119,'Jan-25'!$A:$J,9,0)</f>
        <v>0</v>
      </c>
      <c r="EL119" s="22">
        <f>+VLOOKUP($BD119,'Feb-25'!$A:$J,9,0)</f>
        <v>0</v>
      </c>
      <c r="EM119" s="22">
        <f>+VLOOKUP($BD119,'Mar-25'!$A:$J,9,0)</f>
        <v>0</v>
      </c>
      <c r="EN119" s="22">
        <f>+VLOOKUP($BD119,'Apr-25'!$A:$J,9,0)</f>
        <v>0</v>
      </c>
      <c r="EO119" s="22">
        <f>+VLOOKUP($BD119,'May-25'!$A:$J,9,0)</f>
        <v>0</v>
      </c>
      <c r="EP119" s="22">
        <f>+VLOOKUP($BD119,'June-25'!$A:$J,9,0)</f>
        <v>0</v>
      </c>
      <c r="EQ119" s="22">
        <f>+VLOOKUP($BD119,'July-25'!$A:$J,9,0)</f>
        <v>0</v>
      </c>
      <c r="ER119" s="22">
        <f>+VLOOKUP($BD119,'Aug-25'!$A:$J,9,0)</f>
        <v>0</v>
      </c>
      <c r="ES119" s="22">
        <f>+VLOOKUP($BD119,'Sep-25'!$A:$J,9,0)</f>
        <v>0</v>
      </c>
      <c r="ET119" s="22">
        <f>+VLOOKUP($BD119,'Oct-25'!$A:$J,9,0)</f>
        <v>0</v>
      </c>
      <c r="EU119" s="22">
        <f>+VLOOKUP($BD119,'Nov-25'!$A:$J,9,0)</f>
        <v>0</v>
      </c>
      <c r="EV119" s="22">
        <f>+VLOOKUP($BD119,'Dec-25'!$A:$J,9,0)</f>
        <v>0</v>
      </c>
      <c r="EW119" s="22">
        <f t="shared" si="544"/>
        <v>0</v>
      </c>
      <c r="EX119" s="118">
        <f t="shared" si="479"/>
        <v>0</v>
      </c>
      <c r="EY119" s="22">
        <f>+_xlfn.XLOOKUP($EJ119,Budget!$A:$A,Budget!DE:DE)</f>
        <v>0</v>
      </c>
      <c r="EZ119" s="22">
        <f>+_xlfn.XLOOKUP($EJ119,Budget!$A:$A,Budget!DF:DF)</f>
        <v>0</v>
      </c>
      <c r="FA119" s="22">
        <f>+_xlfn.XLOOKUP($EJ119,Budget!$A:$A,Budget!DG:DG)</f>
        <v>0</v>
      </c>
      <c r="FB119" s="22">
        <f>+_xlfn.XLOOKUP($EJ119,Budget!$A:$A,Budget!DH:DH)</f>
        <v>0</v>
      </c>
      <c r="FC119" s="22">
        <f>+_xlfn.XLOOKUP($EJ119,Budget!$A:$A,Budget!DI:DI)</f>
        <v>0</v>
      </c>
      <c r="FD119" s="22">
        <f>+_xlfn.XLOOKUP($EJ119,Budget!$A:$A,Budget!DJ:DJ)</f>
        <v>0</v>
      </c>
      <c r="FE119" s="22">
        <f>+_xlfn.XLOOKUP($EJ119,Budget!$A:$A,Budget!DK:DK)</f>
        <v>0</v>
      </c>
      <c r="FF119" s="22">
        <f>+_xlfn.XLOOKUP($EJ119,Budget!$A:$A,Budget!DL:DL)</f>
        <v>0</v>
      </c>
      <c r="FG119" s="22">
        <f>+_xlfn.XLOOKUP($EJ119,Budget!$A:$A,Budget!DM:DM)</f>
        <v>0</v>
      </c>
      <c r="FH119" s="22">
        <f>+_xlfn.XLOOKUP($EJ119,Budget!$A:$A,Budget!DN:DN)</f>
        <v>0</v>
      </c>
      <c r="FI119" s="22">
        <f>+_xlfn.XLOOKUP($EJ119,Budget!$A:$A,Budget!DO:DO)</f>
        <v>0</v>
      </c>
      <c r="FJ119" s="22">
        <f>+_xlfn.XLOOKUP($EJ119,Budget!$A:$A,Budget!DP:DP)</f>
        <v>0</v>
      </c>
      <c r="FK119" s="106">
        <f t="shared" si="545"/>
        <v>0</v>
      </c>
    </row>
    <row r="120" spans="1:167" ht="14.45" hidden="1" customHeight="1" outlineLevel="2">
      <c r="A120" s="106">
        <f t="shared" si="531"/>
        <v>239898.24170000001</v>
      </c>
      <c r="B120" s="106">
        <f t="shared" si="531"/>
        <v>236939.84</v>
      </c>
      <c r="C120" s="106">
        <f t="shared" si="531"/>
        <v>240436</v>
      </c>
      <c r="D120" s="106">
        <f t="shared" si="531"/>
        <v>230349</v>
      </c>
      <c r="E120" s="106">
        <f t="shared" si="531"/>
        <v>234558</v>
      </c>
      <c r="F120" s="106">
        <f t="shared" si="531"/>
        <v>243638.2</v>
      </c>
      <c r="G120" s="106">
        <f t="shared" si="531"/>
        <v>276243</v>
      </c>
      <c r="H120" s="106">
        <f t="shared" si="531"/>
        <v>295835.19</v>
      </c>
      <c r="I120" s="106">
        <f t="shared" si="531"/>
        <v>315676.85800000001</v>
      </c>
      <c r="J120" s="106">
        <f t="shared" si="531"/>
        <v>307841</v>
      </c>
      <c r="K120" s="106">
        <f t="shared" si="531"/>
        <v>374146</v>
      </c>
      <c r="L120" s="106">
        <f t="shared" si="531"/>
        <v>303190.2</v>
      </c>
      <c r="M120" s="106">
        <f t="shared" si="532"/>
        <v>3298751.5296999998</v>
      </c>
      <c r="N120" s="16" t="s">
        <v>98</v>
      </c>
      <c r="O120" s="22">
        <f t="shared" si="533"/>
        <v>333063</v>
      </c>
      <c r="P120" s="22">
        <f t="shared" si="533"/>
        <v>332897</v>
      </c>
      <c r="Q120" s="22">
        <f t="shared" si="533"/>
        <v>562185</v>
      </c>
      <c r="R120" s="22">
        <f t="shared" si="533"/>
        <v>358784.8</v>
      </c>
      <c r="S120" s="22">
        <f t="shared" si="533"/>
        <v>349418</v>
      </c>
      <c r="T120" s="22">
        <f t="shared" si="533"/>
        <v>469688</v>
      </c>
      <c r="U120" s="22">
        <f t="shared" si="533"/>
        <v>376032</v>
      </c>
      <c r="V120" s="22">
        <f t="shared" si="533"/>
        <v>377907.4</v>
      </c>
      <c r="W120" s="22">
        <f t="shared" si="533"/>
        <v>374062</v>
      </c>
      <c r="X120" s="22">
        <f t="shared" si="533"/>
        <v>375458</v>
      </c>
      <c r="Y120" s="22">
        <f t="shared" si="533"/>
        <v>0</v>
      </c>
      <c r="Z120" s="22">
        <f t="shared" si="533"/>
        <v>0</v>
      </c>
      <c r="AA120" s="22">
        <f t="shared" si="534"/>
        <v>3909495.1999999997</v>
      </c>
      <c r="AB120" s="118">
        <f t="shared" si="476"/>
        <v>-1.4933753115571297E-2</v>
      </c>
      <c r="AC120" s="22">
        <f t="shared" si="535"/>
        <v>381150</v>
      </c>
      <c r="AD120" s="22">
        <f t="shared" si="535"/>
        <v>381150</v>
      </c>
      <c r="AE120" s="22">
        <f t="shared" si="535"/>
        <v>381150</v>
      </c>
      <c r="AF120" s="22">
        <f t="shared" si="535"/>
        <v>381150</v>
      </c>
      <c r="AG120" s="22">
        <f t="shared" si="535"/>
        <v>381150</v>
      </c>
      <c r="AH120" s="22">
        <f t="shared" si="535"/>
        <v>381150</v>
      </c>
      <c r="AI120" s="22">
        <f t="shared" si="535"/>
        <v>381150</v>
      </c>
      <c r="AJ120" s="22">
        <f t="shared" si="535"/>
        <v>381150</v>
      </c>
      <c r="AK120" s="22">
        <f t="shared" si="535"/>
        <v>381150</v>
      </c>
      <c r="AL120" s="22">
        <f t="shared" si="535"/>
        <v>381150</v>
      </c>
      <c r="AM120" s="22">
        <f t="shared" si="535"/>
        <v>381150</v>
      </c>
      <c r="AN120" s="22">
        <f t="shared" si="535"/>
        <v>381150</v>
      </c>
      <c r="AO120" s="22">
        <f t="shared" si="536"/>
        <v>4573800</v>
      </c>
      <c r="AQ120" s="106">
        <v>171620.9578</v>
      </c>
      <c r="AR120" s="106">
        <v>172320.28</v>
      </c>
      <c r="AS120" s="106">
        <v>175845</v>
      </c>
      <c r="AT120" s="106">
        <v>163135</v>
      </c>
      <c r="AU120" s="106">
        <v>170312</v>
      </c>
      <c r="AV120" s="106">
        <v>178571.2</v>
      </c>
      <c r="AW120" s="106">
        <v>211113</v>
      </c>
      <c r="AX120" s="106">
        <v>231741.46</v>
      </c>
      <c r="AY120" s="106">
        <v>254771.128</v>
      </c>
      <c r="AZ120" s="106">
        <v>246202</v>
      </c>
      <c r="BA120" s="106">
        <v>250331.2</v>
      </c>
      <c r="BB120" s="106">
        <v>207361.2</v>
      </c>
      <c r="BC120" s="106">
        <f t="shared" si="537"/>
        <v>2433324.4258000003</v>
      </c>
      <c r="BD120" s="16" t="str">
        <f t="shared" si="334"/>
        <v>HRA - Staff</v>
      </c>
      <c r="BE120" s="22">
        <f>+VLOOKUP($BD120,'Jan-25'!$A:$J,4,0)</f>
        <v>178229</v>
      </c>
      <c r="BF120" s="22">
        <f>+VLOOKUP($BD120,'Feb-25'!$A:$J,4,0)</f>
        <v>177192</v>
      </c>
      <c r="BG120" s="22">
        <f>+VLOOKUP($BD120,'Mar-25'!$A:$J,4,0)</f>
        <v>297788</v>
      </c>
      <c r="BH120" s="22">
        <f>+VLOOKUP($BD120,'Apr-25'!$A:$J,4,0)</f>
        <v>197986.8</v>
      </c>
      <c r="BI120" s="22">
        <f>+VLOOKUP($BD120,'May-25'!$A:$J,4,0)</f>
        <v>192569</v>
      </c>
      <c r="BJ120" s="22">
        <f>+VLOOKUP($BD120,'June-25'!$A:$J,4,0)</f>
        <v>206292</v>
      </c>
      <c r="BK120" s="22">
        <f>+VLOOKUP($BD120,'July-25'!$A:$J,4,0)</f>
        <v>205426</v>
      </c>
      <c r="BL120" s="22">
        <f>+VLOOKUP($BD120,'Aug-25'!$A:$J,4,0)</f>
        <v>205728.4</v>
      </c>
      <c r="BM120" s="22">
        <f>+VLOOKUP($BD120,'Sep-25'!$A:$J,4,0)</f>
        <v>202931</v>
      </c>
      <c r="BN120" s="22">
        <f>+VLOOKUP($BD120,'Oct-25'!$A:$J,4,0)</f>
        <v>202604</v>
      </c>
      <c r="BO120" s="22">
        <f>+VLOOKUP($BD120,'Nov-25'!$A:$J,4,0)</f>
        <v>0</v>
      </c>
      <c r="BP120" s="22">
        <f>+VLOOKUP($BD120,'Dec-25'!$A:$J,4,0)</f>
        <v>0</v>
      </c>
      <c r="BQ120" s="22">
        <f t="shared" si="538"/>
        <v>2066746.2</v>
      </c>
      <c r="BR120" s="118">
        <f t="shared" si="477"/>
        <v>-1.5673128309770197E-2</v>
      </c>
      <c r="BS120" s="106">
        <f>+_xlfn.XLOOKUP($BD120,Budget!$A:$A,Budget!AQ:AQ)</f>
        <v>205830</v>
      </c>
      <c r="BT120" s="106">
        <f>+_xlfn.XLOOKUP($BD120,Budget!$A:$A,Budget!AR:AR)</f>
        <v>205830</v>
      </c>
      <c r="BU120" s="106">
        <f>+_xlfn.XLOOKUP($BD120,Budget!$A:$A,Budget!AS:AS)</f>
        <v>205830</v>
      </c>
      <c r="BV120" s="106">
        <f>+_xlfn.XLOOKUP($BD120,Budget!$A:$A,Budget!AT:AT)</f>
        <v>205830</v>
      </c>
      <c r="BW120" s="106">
        <f>+_xlfn.XLOOKUP($BD120,Budget!$A:$A,Budget!AU:AU)</f>
        <v>205830</v>
      </c>
      <c r="BX120" s="106">
        <f>+_xlfn.XLOOKUP($BD120,Budget!$A:$A,Budget!AV:AV)</f>
        <v>205830</v>
      </c>
      <c r="BY120" s="106">
        <f>+_xlfn.XLOOKUP($BD120,Budget!$A:$A,Budget!AW:AW)</f>
        <v>205830</v>
      </c>
      <c r="BZ120" s="106">
        <f>+_xlfn.XLOOKUP($BD120,Budget!$A:$A,Budget!AX:AX)</f>
        <v>205830</v>
      </c>
      <c r="CA120" s="106">
        <f>+_xlfn.XLOOKUP($BD120,Budget!$A:$A,Budget!AY:AY)</f>
        <v>205830</v>
      </c>
      <c r="CB120" s="106">
        <f>+_xlfn.XLOOKUP($BD120,Budget!$A:$A,Budget!AZ:AZ)</f>
        <v>205830</v>
      </c>
      <c r="CC120" s="106">
        <f>+_xlfn.XLOOKUP($BD120,Budget!$A:$A,Budget!BA:BA)</f>
        <v>205830</v>
      </c>
      <c r="CD120" s="106">
        <f>+_xlfn.XLOOKUP($BD120,Budget!$A:$A,Budget!BB:BB)</f>
        <v>205830</v>
      </c>
      <c r="CE120" s="106">
        <f t="shared" si="539"/>
        <v>2469960</v>
      </c>
      <c r="CF120" s="22"/>
      <c r="CG120" s="22">
        <v>68277.283900000009</v>
      </c>
      <c r="CH120" s="22">
        <v>64619.560000000005</v>
      </c>
      <c r="CI120" s="22">
        <v>64591</v>
      </c>
      <c r="CJ120" s="22">
        <v>67214</v>
      </c>
      <c r="CK120" s="22">
        <v>64246</v>
      </c>
      <c r="CL120" s="22">
        <v>65067</v>
      </c>
      <c r="CM120" s="22">
        <v>65130</v>
      </c>
      <c r="CN120" s="22">
        <v>64093.729999999996</v>
      </c>
      <c r="CO120" s="22">
        <v>60905.73</v>
      </c>
      <c r="CP120" s="22">
        <v>61639</v>
      </c>
      <c r="CQ120" s="22">
        <v>123814.79999999999</v>
      </c>
      <c r="CR120" s="22">
        <v>95829</v>
      </c>
      <c r="CS120" s="106">
        <f t="shared" si="540"/>
        <v>865427.10389999999</v>
      </c>
      <c r="CT120" s="16" t="str">
        <f t="shared" si="338"/>
        <v>HRA - Staff</v>
      </c>
      <c r="CU120" s="22">
        <f>+VLOOKUP($BD120,'Jan-25'!$A:$J,7,0)</f>
        <v>95792</v>
      </c>
      <c r="CV120" s="22">
        <f>+VLOOKUP($BD120,'Feb-25'!$A:$J,7,0)</f>
        <v>96405</v>
      </c>
      <c r="CW120" s="22">
        <f>+VLOOKUP($BD120,'Mar-25'!$A:$J,7,0)</f>
        <v>175897</v>
      </c>
      <c r="CX120" s="22">
        <f>+VLOOKUP($BD120,'Apr-25'!$A:$J,7,0)</f>
        <v>98498</v>
      </c>
      <c r="CY120" s="22">
        <f>+VLOOKUP($BD120,'May-25'!$A:$J,7,0)</f>
        <v>94549</v>
      </c>
      <c r="CZ120" s="22">
        <f>+VLOOKUP($BD120,'June-25'!$A:$J,7,0)</f>
        <v>193363</v>
      </c>
      <c r="DA120" s="22">
        <f>+VLOOKUP($BD120,'July-25'!$A:$J,7,0)</f>
        <v>100387</v>
      </c>
      <c r="DB120" s="22">
        <f>+VLOOKUP($BD120,'Aug-25'!$A:$J,7,0)</f>
        <v>102081</v>
      </c>
      <c r="DC120" s="22">
        <f>+VLOOKUP($BD120,'Sep-25'!$A:$J,7,0)</f>
        <v>101328</v>
      </c>
      <c r="DD120" s="22">
        <f>+VLOOKUP($BD120,'Oct-25'!$A:$J,7,0)</f>
        <v>104449</v>
      </c>
      <c r="DE120" s="22">
        <f>+VLOOKUP($BD120,'Nov-25'!$A:$J,7,0)</f>
        <v>0</v>
      </c>
      <c r="DF120" s="22">
        <f>+VLOOKUP($BD120,'Dec-25'!$A:$J,7,0)</f>
        <v>0</v>
      </c>
      <c r="DG120" s="22">
        <f t="shared" si="541"/>
        <v>1162749</v>
      </c>
      <c r="DH120" s="118">
        <f t="shared" si="478"/>
        <v>-7.5836135197310209E-2</v>
      </c>
      <c r="DI120" s="22">
        <f>+_xlfn.XLOOKUP($CT120,Budget!$A:$A,Budget!CD:CD)</f>
        <v>113020</v>
      </c>
      <c r="DJ120" s="22">
        <f>+_xlfn.XLOOKUP($CT120,Budget!$A:$A,Budget!CE:CE)</f>
        <v>113020</v>
      </c>
      <c r="DK120" s="22">
        <f>+_xlfn.XLOOKUP($CT120,Budget!$A:$A,Budget!CF:CF)</f>
        <v>113020</v>
      </c>
      <c r="DL120" s="22">
        <f>+_xlfn.XLOOKUP($CT120,Budget!$A:$A,Budget!CG:CG)</f>
        <v>113020</v>
      </c>
      <c r="DM120" s="22">
        <f>+_xlfn.XLOOKUP($CT120,Budget!$A:$A,Budget!CH:CH)</f>
        <v>113020</v>
      </c>
      <c r="DN120" s="22">
        <f>+_xlfn.XLOOKUP($CT120,Budget!$A:$A,Budget!CI:CI)</f>
        <v>113020</v>
      </c>
      <c r="DO120" s="22">
        <f>+_xlfn.XLOOKUP($CT120,Budget!$A:$A,Budget!CJ:CJ)</f>
        <v>113020</v>
      </c>
      <c r="DP120" s="22">
        <f>+_xlfn.XLOOKUP($CT120,Budget!$A:$A,Budget!CK:CK)</f>
        <v>113020</v>
      </c>
      <c r="DQ120" s="22">
        <f>+_xlfn.XLOOKUP($CT120,Budget!$A:$A,Budget!CL:CL)</f>
        <v>113020</v>
      </c>
      <c r="DR120" s="22">
        <f>+_xlfn.XLOOKUP($CT120,Budget!$A:$A,Budget!CM:CM)</f>
        <v>113020</v>
      </c>
      <c r="DS120" s="22">
        <f>+_xlfn.XLOOKUP($CT120,Budget!$A:$A,Budget!CN:CN)</f>
        <v>113020</v>
      </c>
      <c r="DT120" s="22">
        <f>+_xlfn.XLOOKUP($CT120,Budget!$A:$A,Budget!CO:CO)</f>
        <v>113020</v>
      </c>
      <c r="DU120" s="106">
        <f t="shared" si="542"/>
        <v>1356240</v>
      </c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106">
        <f t="shared" si="543"/>
        <v>0</v>
      </c>
      <c r="EJ120" s="16" t="str">
        <f t="shared" si="376"/>
        <v>HRA - Staff</v>
      </c>
      <c r="EK120" s="22">
        <f>+VLOOKUP($BD120,'Jan-25'!$A:$J,9,0)</f>
        <v>59042</v>
      </c>
      <c r="EL120" s="22">
        <f>+VLOOKUP($BD120,'Feb-25'!$A:$J,9,0)</f>
        <v>59300</v>
      </c>
      <c r="EM120" s="22">
        <f>+VLOOKUP($BD120,'Mar-25'!$A:$J,9,0)</f>
        <v>88500</v>
      </c>
      <c r="EN120" s="22">
        <f>+VLOOKUP($BD120,'Apr-25'!$A:$J,9,0)</f>
        <v>62300</v>
      </c>
      <c r="EO120" s="22">
        <f>+VLOOKUP($BD120,'May-25'!$A:$J,9,0)</f>
        <v>62300</v>
      </c>
      <c r="EP120" s="22">
        <f>+VLOOKUP($BD120,'June-25'!$A:$J,9,0)</f>
        <v>70033</v>
      </c>
      <c r="EQ120" s="22">
        <f>+VLOOKUP($BD120,'July-25'!$A:$J,9,0)</f>
        <v>70219</v>
      </c>
      <c r="ER120" s="22">
        <f>+VLOOKUP($BD120,'Aug-25'!$A:$J,9,0)</f>
        <v>70098</v>
      </c>
      <c r="ES120" s="22">
        <f>+VLOOKUP($BD120,'Sep-25'!$A:$J,9,0)</f>
        <v>69803</v>
      </c>
      <c r="ET120" s="22">
        <f>+VLOOKUP($BD120,'Oct-25'!$A:$J,9,0)</f>
        <v>68405</v>
      </c>
      <c r="EU120" s="22">
        <f>+VLOOKUP($BD120,'Nov-25'!$A:$J,9,0)</f>
        <v>0</v>
      </c>
      <c r="EV120" s="22">
        <f>+VLOOKUP($BD120,'Dec-25'!$A:$J,9,0)</f>
        <v>0</v>
      </c>
      <c r="EW120" s="22">
        <f t="shared" si="544"/>
        <v>680000</v>
      </c>
      <c r="EX120" s="118">
        <f t="shared" si="479"/>
        <v>9.7993579454253618E-2</v>
      </c>
      <c r="EY120" s="22">
        <f>+_xlfn.XLOOKUP($EJ120,Budget!$A:$A,Budget!DE:DE)</f>
        <v>62300</v>
      </c>
      <c r="EZ120" s="22">
        <f>+_xlfn.XLOOKUP($EJ120,Budget!$A:$A,Budget!DF:DF)</f>
        <v>62300</v>
      </c>
      <c r="FA120" s="22">
        <f>+_xlfn.XLOOKUP($EJ120,Budget!$A:$A,Budget!DG:DG)</f>
        <v>62300</v>
      </c>
      <c r="FB120" s="22">
        <f>+_xlfn.XLOOKUP($EJ120,Budget!$A:$A,Budget!DH:DH)</f>
        <v>62300</v>
      </c>
      <c r="FC120" s="22">
        <f>+_xlfn.XLOOKUP($EJ120,Budget!$A:$A,Budget!DI:DI)</f>
        <v>62300</v>
      </c>
      <c r="FD120" s="22">
        <f>+_xlfn.XLOOKUP($EJ120,Budget!$A:$A,Budget!DJ:DJ)</f>
        <v>62300</v>
      </c>
      <c r="FE120" s="22">
        <f>+_xlfn.XLOOKUP($EJ120,Budget!$A:$A,Budget!DK:DK)</f>
        <v>62300</v>
      </c>
      <c r="FF120" s="22">
        <f>+_xlfn.XLOOKUP($EJ120,Budget!$A:$A,Budget!DL:DL)</f>
        <v>62300</v>
      </c>
      <c r="FG120" s="22">
        <f>+_xlfn.XLOOKUP($EJ120,Budget!$A:$A,Budget!DM:DM)</f>
        <v>62300</v>
      </c>
      <c r="FH120" s="22">
        <f>+_xlfn.XLOOKUP($EJ120,Budget!$A:$A,Budget!DN:DN)</f>
        <v>62300</v>
      </c>
      <c r="FI120" s="22">
        <f>+_xlfn.XLOOKUP($EJ120,Budget!$A:$A,Budget!DO:DO)</f>
        <v>62300</v>
      </c>
      <c r="FJ120" s="22">
        <f>+_xlfn.XLOOKUP($EJ120,Budget!$A:$A,Budget!DP:DP)</f>
        <v>62300</v>
      </c>
      <c r="FK120" s="106">
        <f t="shared" si="545"/>
        <v>747600</v>
      </c>
    </row>
    <row r="121" spans="1:167" ht="14.45" hidden="1" customHeight="1" outlineLevel="2">
      <c r="A121" s="106">
        <f t="shared" si="531"/>
        <v>68071.012300000002</v>
      </c>
      <c r="B121" s="106">
        <f t="shared" si="531"/>
        <v>65686.670000000013</v>
      </c>
      <c r="C121" s="106">
        <f t="shared" si="531"/>
        <v>59861</v>
      </c>
      <c r="D121" s="106">
        <f t="shared" si="531"/>
        <v>56327</v>
      </c>
      <c r="E121" s="106">
        <f t="shared" si="531"/>
        <v>54950</v>
      </c>
      <c r="F121" s="106">
        <f t="shared" si="531"/>
        <v>53643</v>
      </c>
      <c r="G121" s="106">
        <f t="shared" si="531"/>
        <v>55472</v>
      </c>
      <c r="H121" s="106">
        <f t="shared" si="531"/>
        <v>58799</v>
      </c>
      <c r="I121" s="106">
        <f t="shared" si="531"/>
        <v>61197.9</v>
      </c>
      <c r="J121" s="106">
        <f t="shared" si="531"/>
        <v>59571</v>
      </c>
      <c r="K121" s="106">
        <f t="shared" si="531"/>
        <v>77336.7</v>
      </c>
      <c r="L121" s="106">
        <f t="shared" si="531"/>
        <v>63697</v>
      </c>
      <c r="M121" s="106">
        <f t="shared" si="532"/>
        <v>734612.28229999996</v>
      </c>
      <c r="N121" s="16" t="s">
        <v>99</v>
      </c>
      <c r="O121" s="22">
        <f t="shared" si="533"/>
        <v>69197</v>
      </c>
      <c r="P121" s="22">
        <f t="shared" si="533"/>
        <v>69964.290000000008</v>
      </c>
      <c r="Q121" s="22">
        <f t="shared" si="533"/>
        <v>73971</v>
      </c>
      <c r="R121" s="22">
        <f t="shared" si="533"/>
        <v>77198.8</v>
      </c>
      <c r="S121" s="22">
        <f t="shared" si="533"/>
        <v>76925</v>
      </c>
      <c r="T121" s="22">
        <f t="shared" si="533"/>
        <v>84910</v>
      </c>
      <c r="U121" s="22">
        <f t="shared" si="533"/>
        <v>86215</v>
      </c>
      <c r="V121" s="22">
        <f t="shared" si="533"/>
        <v>87642</v>
      </c>
      <c r="W121" s="22">
        <f t="shared" si="533"/>
        <v>85990</v>
      </c>
      <c r="X121" s="22">
        <f t="shared" si="533"/>
        <v>89952</v>
      </c>
      <c r="Y121" s="22">
        <f t="shared" si="533"/>
        <v>0</v>
      </c>
      <c r="Z121" s="22">
        <f t="shared" si="533"/>
        <v>0</v>
      </c>
      <c r="AA121" s="22">
        <f t="shared" si="534"/>
        <v>801965.09000000008</v>
      </c>
      <c r="AB121" s="118">
        <f t="shared" si="476"/>
        <v>0.19936000000000001</v>
      </c>
      <c r="AC121" s="22">
        <f t="shared" si="535"/>
        <v>75000</v>
      </c>
      <c r="AD121" s="22">
        <f t="shared" si="535"/>
        <v>75000</v>
      </c>
      <c r="AE121" s="22">
        <f t="shared" si="535"/>
        <v>75000</v>
      </c>
      <c r="AF121" s="22">
        <f t="shared" si="535"/>
        <v>75000</v>
      </c>
      <c r="AG121" s="22">
        <f t="shared" si="535"/>
        <v>75000</v>
      </c>
      <c r="AH121" s="22">
        <f t="shared" si="535"/>
        <v>75000</v>
      </c>
      <c r="AI121" s="22">
        <f t="shared" si="535"/>
        <v>75000</v>
      </c>
      <c r="AJ121" s="22">
        <f t="shared" si="535"/>
        <v>75000</v>
      </c>
      <c r="AK121" s="22">
        <f t="shared" si="535"/>
        <v>75000</v>
      </c>
      <c r="AL121" s="22">
        <f t="shared" si="535"/>
        <v>75000</v>
      </c>
      <c r="AM121" s="22">
        <f t="shared" si="535"/>
        <v>75000</v>
      </c>
      <c r="AN121" s="22">
        <f t="shared" si="535"/>
        <v>75000</v>
      </c>
      <c r="AO121" s="22">
        <f t="shared" si="536"/>
        <v>900000</v>
      </c>
      <c r="AQ121" s="106">
        <v>51955.9182</v>
      </c>
      <c r="AR121" s="106">
        <v>53105.890000000007</v>
      </c>
      <c r="AS121" s="106">
        <v>47711</v>
      </c>
      <c r="AT121" s="106">
        <v>41647</v>
      </c>
      <c r="AU121" s="106">
        <v>40270</v>
      </c>
      <c r="AV121" s="106">
        <v>38963</v>
      </c>
      <c r="AW121" s="106">
        <v>40857</v>
      </c>
      <c r="AX121" s="106">
        <v>44232</v>
      </c>
      <c r="AY121" s="106">
        <v>46614.57</v>
      </c>
      <c r="AZ121" s="106">
        <v>44936</v>
      </c>
      <c r="BA121" s="106">
        <v>46538.2</v>
      </c>
      <c r="BB121" s="106">
        <v>38594</v>
      </c>
      <c r="BC121" s="106">
        <f t="shared" si="537"/>
        <v>535424.57819999999</v>
      </c>
      <c r="BD121" s="16" t="str">
        <f t="shared" si="334"/>
        <v>Meals Allowance - Staff</v>
      </c>
      <c r="BE121" s="22">
        <f>+VLOOKUP($BD121,'Jan-25'!$A:$J,4,0)</f>
        <v>32555</v>
      </c>
      <c r="BF121" s="22">
        <f>+VLOOKUP($BD121,'Feb-25'!$A:$J,4,0)</f>
        <v>33064.29</v>
      </c>
      <c r="BG121" s="22">
        <f>+VLOOKUP($BD121,'Mar-25'!$A:$J,4,0)</f>
        <v>35003</v>
      </c>
      <c r="BH121" s="22">
        <f>+VLOOKUP($BD121,'Apr-25'!$A:$J,4,0)</f>
        <v>38772.800000000003</v>
      </c>
      <c r="BI121" s="22">
        <f>+VLOOKUP($BD121,'May-25'!$A:$J,4,0)</f>
        <v>39506</v>
      </c>
      <c r="BJ121" s="22">
        <f>+VLOOKUP($BD121,'June-25'!$A:$J,4,0)</f>
        <v>45425</v>
      </c>
      <c r="BK121" s="22">
        <f>+VLOOKUP($BD121,'July-25'!$A:$J,4,0)</f>
        <v>45419</v>
      </c>
      <c r="BL121" s="22">
        <f>+VLOOKUP($BD121,'Aug-25'!$A:$J,4,0)</f>
        <v>45458</v>
      </c>
      <c r="BM121" s="22">
        <f>+VLOOKUP($BD121,'Sep-25'!$A:$J,4,0)</f>
        <v>44334</v>
      </c>
      <c r="BN121" s="22">
        <f>+VLOOKUP($BD121,'Oct-25'!$A:$J,4,0)</f>
        <v>47336</v>
      </c>
      <c r="BO121" s="22">
        <f>+VLOOKUP($BD121,'Nov-25'!$A:$J,4,0)</f>
        <v>0</v>
      </c>
      <c r="BP121" s="22">
        <f>+VLOOKUP($BD121,'Dec-25'!$A:$J,4,0)</f>
        <v>0</v>
      </c>
      <c r="BQ121" s="22">
        <f t="shared" si="538"/>
        <v>406873.09</v>
      </c>
      <c r="BR121" s="118">
        <f t="shared" si="477"/>
        <v>0.34860398860398861</v>
      </c>
      <c r="BS121" s="106">
        <f>+_xlfn.XLOOKUP($BD121,Budget!$A:$A,Budget!AQ:AQ)</f>
        <v>35100</v>
      </c>
      <c r="BT121" s="106">
        <f>+_xlfn.XLOOKUP($BD121,Budget!$A:$A,Budget!AR:AR)</f>
        <v>35100</v>
      </c>
      <c r="BU121" s="106">
        <f>+_xlfn.XLOOKUP($BD121,Budget!$A:$A,Budget!AS:AS)</f>
        <v>35100</v>
      </c>
      <c r="BV121" s="106">
        <f>+_xlfn.XLOOKUP($BD121,Budget!$A:$A,Budget!AT:AT)</f>
        <v>35100</v>
      </c>
      <c r="BW121" s="106">
        <f>+_xlfn.XLOOKUP($BD121,Budget!$A:$A,Budget!AU:AU)</f>
        <v>35100</v>
      </c>
      <c r="BX121" s="106">
        <f>+_xlfn.XLOOKUP($BD121,Budget!$A:$A,Budget!AV:AV)</f>
        <v>35100</v>
      </c>
      <c r="BY121" s="106">
        <f>+_xlfn.XLOOKUP($BD121,Budget!$A:$A,Budget!AW:AW)</f>
        <v>35100</v>
      </c>
      <c r="BZ121" s="106">
        <f>+_xlfn.XLOOKUP($BD121,Budget!$A:$A,Budget!AX:AX)</f>
        <v>35100</v>
      </c>
      <c r="CA121" s="106">
        <f>+_xlfn.XLOOKUP($BD121,Budget!$A:$A,Budget!AY:AY)</f>
        <v>35100</v>
      </c>
      <c r="CB121" s="106">
        <f>+_xlfn.XLOOKUP($BD121,Budget!$A:$A,Budget!AZ:AZ)</f>
        <v>35100</v>
      </c>
      <c r="CC121" s="106">
        <f>+_xlfn.XLOOKUP($BD121,Budget!$A:$A,Budget!BA:BA)</f>
        <v>35100</v>
      </c>
      <c r="CD121" s="106">
        <f>+_xlfn.XLOOKUP($BD121,Budget!$A:$A,Budget!BB:BB)</f>
        <v>35100</v>
      </c>
      <c r="CE121" s="106">
        <f t="shared" si="539"/>
        <v>421200</v>
      </c>
      <c r="CF121" s="22"/>
      <c r="CG121" s="22">
        <v>16115.094100000002</v>
      </c>
      <c r="CH121" s="22">
        <v>12580.780000000002</v>
      </c>
      <c r="CI121" s="22">
        <v>12150</v>
      </c>
      <c r="CJ121" s="22">
        <v>14680</v>
      </c>
      <c r="CK121" s="22">
        <v>14680</v>
      </c>
      <c r="CL121" s="22">
        <v>14680</v>
      </c>
      <c r="CM121" s="22">
        <v>14615</v>
      </c>
      <c r="CN121" s="22">
        <v>14567</v>
      </c>
      <c r="CO121" s="22">
        <v>14583.33</v>
      </c>
      <c r="CP121" s="22">
        <v>14635</v>
      </c>
      <c r="CQ121" s="22">
        <v>30798.5</v>
      </c>
      <c r="CR121" s="22">
        <v>25103</v>
      </c>
      <c r="CS121" s="106">
        <f t="shared" si="540"/>
        <v>199187.7041</v>
      </c>
      <c r="CT121" s="16" t="str">
        <f t="shared" si="338"/>
        <v>Meals Allowance - Staff</v>
      </c>
      <c r="CU121" s="22">
        <f>+VLOOKUP($BD121,'Jan-25'!$A:$J,7,0)</f>
        <v>23242</v>
      </c>
      <c r="CV121" s="22">
        <f>+VLOOKUP($BD121,'Feb-25'!$A:$J,7,0)</f>
        <v>23500</v>
      </c>
      <c r="CW121" s="22">
        <f>+VLOOKUP($BD121,'Mar-25'!$A:$J,7,0)</f>
        <v>25568</v>
      </c>
      <c r="CX121" s="22">
        <f>+VLOOKUP($BD121,'Apr-25'!$A:$J,7,0)</f>
        <v>25026</v>
      </c>
      <c r="CY121" s="22">
        <f>+VLOOKUP($BD121,'May-25'!$A:$J,7,0)</f>
        <v>24019</v>
      </c>
      <c r="CZ121" s="22">
        <f>+VLOOKUP($BD121,'June-25'!$A:$J,7,0)</f>
        <v>25285</v>
      </c>
      <c r="DA121" s="22">
        <f>+VLOOKUP($BD121,'July-25'!$A:$J,7,0)</f>
        <v>25412</v>
      </c>
      <c r="DB121" s="22">
        <f>+VLOOKUP($BD121,'Aug-25'!$A:$J,7,0)</f>
        <v>26824</v>
      </c>
      <c r="DC121" s="22">
        <f>+VLOOKUP($BD121,'Sep-25'!$A:$J,7,0)</f>
        <v>26322</v>
      </c>
      <c r="DD121" s="22">
        <f>+VLOOKUP($BD121,'Oct-25'!$A:$J,7,0)</f>
        <v>27411</v>
      </c>
      <c r="DE121" s="22">
        <f>+VLOOKUP($BD121,'Nov-25'!$A:$J,7,0)</f>
        <v>0</v>
      </c>
      <c r="DF121" s="22">
        <f>+VLOOKUP($BD121,'Dec-25'!$A:$J,7,0)</f>
        <v>0</v>
      </c>
      <c r="DG121" s="22">
        <f t="shared" si="541"/>
        <v>252609</v>
      </c>
      <c r="DH121" s="118">
        <f t="shared" si="478"/>
        <v>3.4377358490566036E-2</v>
      </c>
      <c r="DI121" s="22">
        <f>+_xlfn.XLOOKUP($CT121,Budget!$A:$A,Budget!CD:CD)</f>
        <v>26500</v>
      </c>
      <c r="DJ121" s="22">
        <f>+_xlfn.XLOOKUP($CT121,Budget!$A:$A,Budget!CE:CE)</f>
        <v>26500</v>
      </c>
      <c r="DK121" s="22">
        <f>+_xlfn.XLOOKUP($CT121,Budget!$A:$A,Budget!CF:CF)</f>
        <v>26500</v>
      </c>
      <c r="DL121" s="22">
        <f>+_xlfn.XLOOKUP($CT121,Budget!$A:$A,Budget!CG:CG)</f>
        <v>26500</v>
      </c>
      <c r="DM121" s="22">
        <f>+_xlfn.XLOOKUP($CT121,Budget!$A:$A,Budget!CH:CH)</f>
        <v>26500</v>
      </c>
      <c r="DN121" s="22">
        <f>+_xlfn.XLOOKUP($CT121,Budget!$A:$A,Budget!CI:CI)</f>
        <v>26500</v>
      </c>
      <c r="DO121" s="22">
        <f>+_xlfn.XLOOKUP($CT121,Budget!$A:$A,Budget!CJ:CJ)</f>
        <v>26500</v>
      </c>
      <c r="DP121" s="22">
        <f>+_xlfn.XLOOKUP($CT121,Budget!$A:$A,Budget!CK:CK)</f>
        <v>26500</v>
      </c>
      <c r="DQ121" s="22">
        <f>+_xlfn.XLOOKUP($CT121,Budget!$A:$A,Budget!CL:CL)</f>
        <v>26500</v>
      </c>
      <c r="DR121" s="22">
        <f>+_xlfn.XLOOKUP($CT121,Budget!$A:$A,Budget!CM:CM)</f>
        <v>26500</v>
      </c>
      <c r="DS121" s="22">
        <f>+_xlfn.XLOOKUP($CT121,Budget!$A:$A,Budget!CN:CN)</f>
        <v>26500</v>
      </c>
      <c r="DT121" s="22">
        <f>+_xlfn.XLOOKUP($CT121,Budget!$A:$A,Budget!CO:CO)</f>
        <v>26500</v>
      </c>
      <c r="DU121" s="106">
        <f t="shared" si="542"/>
        <v>318000</v>
      </c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106">
        <f t="shared" si="543"/>
        <v>0</v>
      </c>
      <c r="EJ121" s="16" t="str">
        <f t="shared" si="376"/>
        <v>Meals Allowance - Staff</v>
      </c>
      <c r="EK121" s="22">
        <f>+VLOOKUP($BD121,'Jan-25'!$A:$J,9,0)</f>
        <v>13400</v>
      </c>
      <c r="EL121" s="22">
        <f>+VLOOKUP($BD121,'Feb-25'!$A:$J,9,0)</f>
        <v>13400</v>
      </c>
      <c r="EM121" s="22">
        <f>+VLOOKUP($BD121,'Mar-25'!$A:$J,9,0)</f>
        <v>13400</v>
      </c>
      <c r="EN121" s="22">
        <f>+VLOOKUP($BD121,'Apr-25'!$A:$J,9,0)</f>
        <v>13400</v>
      </c>
      <c r="EO121" s="22">
        <f>+VLOOKUP($BD121,'May-25'!$A:$J,9,0)</f>
        <v>13400</v>
      </c>
      <c r="EP121" s="22">
        <f>+VLOOKUP($BD121,'June-25'!$A:$J,9,0)</f>
        <v>14200</v>
      </c>
      <c r="EQ121" s="22">
        <f>+VLOOKUP($BD121,'July-25'!$A:$J,9,0)</f>
        <v>15384</v>
      </c>
      <c r="ER121" s="22">
        <f>+VLOOKUP($BD121,'Aug-25'!$A:$J,9,0)</f>
        <v>15360</v>
      </c>
      <c r="ES121" s="22">
        <f>+VLOOKUP($BD121,'Sep-25'!$A:$J,9,0)</f>
        <v>15334</v>
      </c>
      <c r="ET121" s="22">
        <f>+VLOOKUP($BD121,'Oct-25'!$A:$J,9,0)</f>
        <v>15205</v>
      </c>
      <c r="EU121" s="22">
        <f>+VLOOKUP($BD121,'Nov-25'!$A:$J,9,0)</f>
        <v>0</v>
      </c>
      <c r="EV121" s="22">
        <f>+VLOOKUP($BD121,'Dec-25'!$A:$J,9,0)</f>
        <v>0</v>
      </c>
      <c r="EW121" s="22">
        <f t="shared" si="544"/>
        <v>142483</v>
      </c>
      <c r="EX121" s="118">
        <f t="shared" si="479"/>
        <v>0.13470149253731342</v>
      </c>
      <c r="EY121" s="22">
        <f>+_xlfn.XLOOKUP($EJ121,Budget!$A:$A,Budget!DE:DE)</f>
        <v>13400</v>
      </c>
      <c r="EZ121" s="22">
        <f>+_xlfn.XLOOKUP($EJ121,Budget!$A:$A,Budget!DF:DF)</f>
        <v>13400</v>
      </c>
      <c r="FA121" s="22">
        <f>+_xlfn.XLOOKUP($EJ121,Budget!$A:$A,Budget!DG:DG)</f>
        <v>13400</v>
      </c>
      <c r="FB121" s="22">
        <f>+_xlfn.XLOOKUP($EJ121,Budget!$A:$A,Budget!DH:DH)</f>
        <v>13400</v>
      </c>
      <c r="FC121" s="22">
        <f>+_xlfn.XLOOKUP($EJ121,Budget!$A:$A,Budget!DI:DI)</f>
        <v>13400</v>
      </c>
      <c r="FD121" s="22">
        <f>+_xlfn.XLOOKUP($EJ121,Budget!$A:$A,Budget!DJ:DJ)</f>
        <v>13400</v>
      </c>
      <c r="FE121" s="22">
        <f>+_xlfn.XLOOKUP($EJ121,Budget!$A:$A,Budget!DK:DK)</f>
        <v>13400</v>
      </c>
      <c r="FF121" s="22">
        <f>+_xlfn.XLOOKUP($EJ121,Budget!$A:$A,Budget!DL:DL)</f>
        <v>13400</v>
      </c>
      <c r="FG121" s="22">
        <f>+_xlfn.XLOOKUP($EJ121,Budget!$A:$A,Budget!DM:DM)</f>
        <v>13400</v>
      </c>
      <c r="FH121" s="22">
        <f>+_xlfn.XLOOKUP($EJ121,Budget!$A:$A,Budget!DN:DN)</f>
        <v>13400</v>
      </c>
      <c r="FI121" s="22">
        <f>+_xlfn.XLOOKUP($EJ121,Budget!$A:$A,Budget!DO:DO)</f>
        <v>13400</v>
      </c>
      <c r="FJ121" s="22">
        <f>+_xlfn.XLOOKUP($EJ121,Budget!$A:$A,Budget!DP:DP)</f>
        <v>13400</v>
      </c>
      <c r="FK121" s="106">
        <f t="shared" si="545"/>
        <v>160800</v>
      </c>
    </row>
    <row r="122" spans="1:167" ht="14.45" hidden="1" customHeight="1" outlineLevel="2">
      <c r="A122" s="106">
        <f t="shared" si="531"/>
        <v>45111.13240000001</v>
      </c>
      <c r="B122" s="106">
        <f t="shared" si="531"/>
        <v>42892.590000000004</v>
      </c>
      <c r="C122" s="106">
        <f t="shared" si="531"/>
        <v>38093</v>
      </c>
      <c r="D122" s="106">
        <f t="shared" si="531"/>
        <v>34980</v>
      </c>
      <c r="E122" s="106">
        <f t="shared" si="531"/>
        <v>38811</v>
      </c>
      <c r="F122" s="106">
        <f t="shared" si="531"/>
        <v>39527</v>
      </c>
      <c r="G122" s="106">
        <f t="shared" si="531"/>
        <v>39813</v>
      </c>
      <c r="H122" s="106">
        <f t="shared" si="531"/>
        <v>39207.96</v>
      </c>
      <c r="I122" s="106">
        <f t="shared" si="531"/>
        <v>38151.5</v>
      </c>
      <c r="J122" s="106">
        <f t="shared" si="531"/>
        <v>35988</v>
      </c>
      <c r="K122" s="106">
        <f t="shared" si="531"/>
        <v>41265</v>
      </c>
      <c r="L122" s="106">
        <f t="shared" si="531"/>
        <v>28359</v>
      </c>
      <c r="M122" s="106">
        <f t="shared" si="532"/>
        <v>462199.18240000005</v>
      </c>
      <c r="N122" s="16" t="s">
        <v>100</v>
      </c>
      <c r="O122" s="22">
        <f t="shared" si="533"/>
        <v>31279</v>
      </c>
      <c r="P122" s="22">
        <f t="shared" si="533"/>
        <v>31650</v>
      </c>
      <c r="Q122" s="22">
        <f t="shared" si="533"/>
        <v>35018</v>
      </c>
      <c r="R122" s="22">
        <f t="shared" si="533"/>
        <v>34490</v>
      </c>
      <c r="S122" s="22">
        <f t="shared" si="533"/>
        <v>33800</v>
      </c>
      <c r="T122" s="22">
        <f t="shared" si="533"/>
        <v>32715</v>
      </c>
      <c r="U122" s="22">
        <f t="shared" si="533"/>
        <v>33700</v>
      </c>
      <c r="V122" s="22">
        <f t="shared" si="533"/>
        <v>33685</v>
      </c>
      <c r="W122" s="22">
        <f t="shared" si="533"/>
        <v>33707</v>
      </c>
      <c r="X122" s="22">
        <f t="shared" si="533"/>
        <v>35096</v>
      </c>
      <c r="Y122" s="22">
        <f t="shared" si="533"/>
        <v>0</v>
      </c>
      <c r="Z122" s="22">
        <f t="shared" si="533"/>
        <v>0</v>
      </c>
      <c r="AA122" s="22">
        <f t="shared" si="534"/>
        <v>335140</v>
      </c>
      <c r="AB122" s="118">
        <f t="shared" si="476"/>
        <v>-6.5352862849533955E-2</v>
      </c>
      <c r="AC122" s="22">
        <f t="shared" si="535"/>
        <v>37550</v>
      </c>
      <c r="AD122" s="22">
        <f t="shared" si="535"/>
        <v>37550</v>
      </c>
      <c r="AE122" s="22">
        <f t="shared" si="535"/>
        <v>37550</v>
      </c>
      <c r="AF122" s="22">
        <f t="shared" si="535"/>
        <v>37550</v>
      </c>
      <c r="AG122" s="22">
        <f t="shared" si="535"/>
        <v>37550</v>
      </c>
      <c r="AH122" s="22">
        <f t="shared" si="535"/>
        <v>37550</v>
      </c>
      <c r="AI122" s="22">
        <f t="shared" si="535"/>
        <v>37550</v>
      </c>
      <c r="AJ122" s="22">
        <f t="shared" si="535"/>
        <v>37550</v>
      </c>
      <c r="AK122" s="22">
        <f t="shared" si="535"/>
        <v>37550</v>
      </c>
      <c r="AL122" s="22">
        <f t="shared" si="535"/>
        <v>37550</v>
      </c>
      <c r="AM122" s="22">
        <f t="shared" si="535"/>
        <v>37550</v>
      </c>
      <c r="AN122" s="22">
        <f t="shared" si="535"/>
        <v>37550</v>
      </c>
      <c r="AO122" s="22">
        <f t="shared" si="536"/>
        <v>450600</v>
      </c>
      <c r="AQ122" s="106">
        <v>36982.871600000006</v>
      </c>
      <c r="AR122" s="106">
        <v>34859.29</v>
      </c>
      <c r="AS122" s="106">
        <v>30723</v>
      </c>
      <c r="AT122" s="106">
        <v>27610</v>
      </c>
      <c r="AU122" s="106">
        <v>31441</v>
      </c>
      <c r="AV122" s="106">
        <v>32157</v>
      </c>
      <c r="AW122" s="106">
        <v>32508</v>
      </c>
      <c r="AX122" s="106">
        <v>31991.64</v>
      </c>
      <c r="AY122" s="106">
        <v>31058.17</v>
      </c>
      <c r="AZ122" s="106">
        <v>28798</v>
      </c>
      <c r="BA122" s="106">
        <v>30210</v>
      </c>
      <c r="BB122" s="106">
        <v>21806</v>
      </c>
      <c r="BC122" s="106">
        <f t="shared" si="537"/>
        <v>370144.97159999999</v>
      </c>
      <c r="BD122" s="16" t="str">
        <f t="shared" si="334"/>
        <v>Medical Allowance - Staff</v>
      </c>
      <c r="BE122" s="22">
        <f>+VLOOKUP($BD122,'Jan-25'!$A:$J,4,0)</f>
        <v>16992</v>
      </c>
      <c r="BF122" s="22">
        <f>+VLOOKUP($BD122,'Feb-25'!$A:$J,4,0)</f>
        <v>17250</v>
      </c>
      <c r="BG122" s="22">
        <f>+VLOOKUP($BD122,'Mar-25'!$A:$J,4,0)</f>
        <v>19050</v>
      </c>
      <c r="BH122" s="22">
        <f>+VLOOKUP($BD122,'Apr-25'!$A:$J,4,0)</f>
        <v>19050</v>
      </c>
      <c r="BI122" s="22">
        <f>+VLOOKUP($BD122,'May-25'!$A:$J,4,0)</f>
        <v>18800</v>
      </c>
      <c r="BJ122" s="22">
        <f>+VLOOKUP($BD122,'June-25'!$A:$J,4,0)</f>
        <v>18798</v>
      </c>
      <c r="BK122" s="22">
        <f>+VLOOKUP($BD122,'July-25'!$A:$J,4,0)</f>
        <v>18700</v>
      </c>
      <c r="BL122" s="22">
        <f>+VLOOKUP($BD122,'Aug-25'!$A:$J,4,0)</f>
        <v>18685</v>
      </c>
      <c r="BM122" s="22">
        <f>+VLOOKUP($BD122,'Sep-25'!$A:$J,4,0)</f>
        <v>18790</v>
      </c>
      <c r="BN122" s="22">
        <f>+VLOOKUP($BD122,'Oct-25'!$A:$J,4,0)</f>
        <v>19767</v>
      </c>
      <c r="BO122" s="22">
        <f>+VLOOKUP($BD122,'Nov-25'!$A:$J,4,0)</f>
        <v>0</v>
      </c>
      <c r="BP122" s="22">
        <f>+VLOOKUP($BD122,'Dec-25'!$A:$J,4,0)</f>
        <v>0</v>
      </c>
      <c r="BQ122" s="22">
        <f t="shared" si="538"/>
        <v>185882</v>
      </c>
      <c r="BR122" s="118">
        <f t="shared" si="477"/>
        <v>3.7637795275590552E-2</v>
      </c>
      <c r="BS122" s="106">
        <f>+_xlfn.XLOOKUP($BD122,Budget!$A:$A,Budget!AQ:AQ)</f>
        <v>19050</v>
      </c>
      <c r="BT122" s="106">
        <f>+_xlfn.XLOOKUP($BD122,Budget!$A:$A,Budget!AR:AR)</f>
        <v>19050</v>
      </c>
      <c r="BU122" s="106">
        <f>+_xlfn.XLOOKUP($BD122,Budget!$A:$A,Budget!AS:AS)</f>
        <v>19050</v>
      </c>
      <c r="BV122" s="106">
        <f>+_xlfn.XLOOKUP($BD122,Budget!$A:$A,Budget!AT:AT)</f>
        <v>19050</v>
      </c>
      <c r="BW122" s="106">
        <f>+_xlfn.XLOOKUP($BD122,Budget!$A:$A,Budget!AU:AU)</f>
        <v>19050</v>
      </c>
      <c r="BX122" s="106">
        <f>+_xlfn.XLOOKUP($BD122,Budget!$A:$A,Budget!AV:AV)</f>
        <v>19050</v>
      </c>
      <c r="BY122" s="106">
        <f>+_xlfn.XLOOKUP($BD122,Budget!$A:$A,Budget!AW:AW)</f>
        <v>19050</v>
      </c>
      <c r="BZ122" s="106">
        <f>+_xlfn.XLOOKUP($BD122,Budget!$A:$A,Budget!AX:AX)</f>
        <v>19050</v>
      </c>
      <c r="CA122" s="106">
        <f>+_xlfn.XLOOKUP($BD122,Budget!$A:$A,Budget!AY:AY)</f>
        <v>19050</v>
      </c>
      <c r="CB122" s="106">
        <f>+_xlfn.XLOOKUP($BD122,Budget!$A:$A,Budget!AZ:AZ)</f>
        <v>19050</v>
      </c>
      <c r="CC122" s="106">
        <f>+_xlfn.XLOOKUP($BD122,Budget!$A:$A,Budget!BA:BA)</f>
        <v>19050</v>
      </c>
      <c r="CD122" s="106">
        <f>+_xlfn.XLOOKUP($BD122,Budget!$A:$A,Budget!BB:BB)</f>
        <v>19050</v>
      </c>
      <c r="CE122" s="106">
        <f t="shared" si="539"/>
        <v>228600</v>
      </c>
      <c r="CF122" s="22"/>
      <c r="CG122" s="22">
        <v>8128.2608000000009</v>
      </c>
      <c r="CH122" s="22">
        <v>8033.3000000000011</v>
      </c>
      <c r="CI122" s="22">
        <v>7370</v>
      </c>
      <c r="CJ122" s="22">
        <v>7370</v>
      </c>
      <c r="CK122" s="22">
        <v>7370</v>
      </c>
      <c r="CL122" s="22">
        <v>7370</v>
      </c>
      <c r="CM122" s="22">
        <v>7305</v>
      </c>
      <c r="CN122" s="22">
        <v>7216.32</v>
      </c>
      <c r="CO122" s="22">
        <v>7093.33</v>
      </c>
      <c r="CP122" s="22">
        <v>7190</v>
      </c>
      <c r="CQ122" s="22">
        <v>11055</v>
      </c>
      <c r="CR122" s="22">
        <v>6553</v>
      </c>
      <c r="CS122" s="106">
        <f t="shared" si="540"/>
        <v>92054.210800000001</v>
      </c>
      <c r="CT122" s="16" t="str">
        <f t="shared" si="338"/>
        <v>Medical Allowance - Staff</v>
      </c>
      <c r="CU122" s="22">
        <f>+VLOOKUP($BD122,'Jan-25'!$A:$J,7,0)</f>
        <v>11868</v>
      </c>
      <c r="CV122" s="22">
        <f>+VLOOKUP($BD122,'Feb-25'!$A:$J,7,0)</f>
        <v>11900</v>
      </c>
      <c r="CW122" s="22">
        <f>+VLOOKUP($BD122,'Mar-25'!$A:$J,7,0)</f>
        <v>13468</v>
      </c>
      <c r="CX122" s="22">
        <f>+VLOOKUP($BD122,'Apr-25'!$A:$J,7,0)</f>
        <v>12940</v>
      </c>
      <c r="CY122" s="22">
        <f>+VLOOKUP($BD122,'May-25'!$A:$J,7,0)</f>
        <v>12500</v>
      </c>
      <c r="CZ122" s="22">
        <f>+VLOOKUP($BD122,'June-25'!$A:$J,7,0)</f>
        <v>12500</v>
      </c>
      <c r="DA122" s="22">
        <f>+VLOOKUP($BD122,'July-25'!$A:$J,7,0)</f>
        <v>12500</v>
      </c>
      <c r="DB122" s="22">
        <f>+VLOOKUP($BD122,'Aug-25'!$A:$J,7,0)</f>
        <v>12500</v>
      </c>
      <c r="DC122" s="22">
        <f>+VLOOKUP($BD122,'Sep-25'!$A:$J,7,0)</f>
        <v>12500</v>
      </c>
      <c r="DD122" s="22">
        <f>+VLOOKUP($BD122,'Oct-25'!$A:$J,7,0)</f>
        <v>13157</v>
      </c>
      <c r="DE122" s="22">
        <f>+VLOOKUP($BD122,'Nov-25'!$A:$J,7,0)</f>
        <v>0</v>
      </c>
      <c r="DF122" s="22">
        <f>+VLOOKUP($BD122,'Dec-25'!$A:$J,7,0)</f>
        <v>0</v>
      </c>
      <c r="DG122" s="22">
        <f t="shared" si="541"/>
        <v>125833</v>
      </c>
      <c r="DH122" s="118">
        <f t="shared" si="478"/>
        <v>-0.1776875</v>
      </c>
      <c r="DI122" s="22">
        <f>+_xlfn.XLOOKUP($CT122,Budget!$A:$A,Budget!CD:CD)</f>
        <v>16000</v>
      </c>
      <c r="DJ122" s="22">
        <f>+_xlfn.XLOOKUP($CT122,Budget!$A:$A,Budget!CE:CE)</f>
        <v>16000</v>
      </c>
      <c r="DK122" s="22">
        <f>+_xlfn.XLOOKUP($CT122,Budget!$A:$A,Budget!CF:CF)</f>
        <v>16000</v>
      </c>
      <c r="DL122" s="22">
        <f>+_xlfn.XLOOKUP($CT122,Budget!$A:$A,Budget!CG:CG)</f>
        <v>16000</v>
      </c>
      <c r="DM122" s="22">
        <f>+_xlfn.XLOOKUP($CT122,Budget!$A:$A,Budget!CH:CH)</f>
        <v>16000</v>
      </c>
      <c r="DN122" s="22">
        <f>+_xlfn.XLOOKUP($CT122,Budget!$A:$A,Budget!CI:CI)</f>
        <v>16000</v>
      </c>
      <c r="DO122" s="22">
        <f>+_xlfn.XLOOKUP($CT122,Budget!$A:$A,Budget!CJ:CJ)</f>
        <v>16000</v>
      </c>
      <c r="DP122" s="22">
        <f>+_xlfn.XLOOKUP($CT122,Budget!$A:$A,Budget!CK:CK)</f>
        <v>16000</v>
      </c>
      <c r="DQ122" s="22">
        <f>+_xlfn.XLOOKUP($CT122,Budget!$A:$A,Budget!CL:CL)</f>
        <v>16000</v>
      </c>
      <c r="DR122" s="22">
        <f>+_xlfn.XLOOKUP($CT122,Budget!$A:$A,Budget!CM:CM)</f>
        <v>16000</v>
      </c>
      <c r="DS122" s="22">
        <f>+_xlfn.XLOOKUP($CT122,Budget!$A:$A,Budget!CN:CN)</f>
        <v>16000</v>
      </c>
      <c r="DT122" s="22">
        <f>+_xlfn.XLOOKUP($CT122,Budget!$A:$A,Budget!CO:CO)</f>
        <v>16000</v>
      </c>
      <c r="DU122" s="106">
        <f t="shared" si="542"/>
        <v>192000</v>
      </c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106">
        <f t="shared" si="543"/>
        <v>0</v>
      </c>
      <c r="EJ122" s="16" t="str">
        <f t="shared" si="376"/>
        <v>Medical Allowance - Staff</v>
      </c>
      <c r="EK122" s="22">
        <f>+VLOOKUP($BD122,'Jan-25'!$A:$J,9,0)</f>
        <v>2419</v>
      </c>
      <c r="EL122" s="22">
        <f>+VLOOKUP($BD122,'Feb-25'!$A:$J,9,0)</f>
        <v>2500</v>
      </c>
      <c r="EM122" s="22">
        <f>+VLOOKUP($BD122,'Mar-25'!$A:$J,9,0)</f>
        <v>2500</v>
      </c>
      <c r="EN122" s="22">
        <f>+VLOOKUP($BD122,'Apr-25'!$A:$J,9,0)</f>
        <v>2500</v>
      </c>
      <c r="EO122" s="22">
        <f>+VLOOKUP($BD122,'May-25'!$A:$J,9,0)</f>
        <v>2500</v>
      </c>
      <c r="EP122" s="22">
        <f>+VLOOKUP($BD122,'June-25'!$A:$J,9,0)</f>
        <v>1417</v>
      </c>
      <c r="EQ122" s="22">
        <f>+VLOOKUP($BD122,'July-25'!$A:$J,9,0)</f>
        <v>2500</v>
      </c>
      <c r="ER122" s="22">
        <f>+VLOOKUP($BD122,'Aug-25'!$A:$J,9,0)</f>
        <v>2500</v>
      </c>
      <c r="ES122" s="22">
        <f>+VLOOKUP($BD122,'Sep-25'!$A:$J,9,0)</f>
        <v>2417</v>
      </c>
      <c r="ET122" s="22">
        <f>+VLOOKUP($BD122,'Oct-25'!$A:$J,9,0)</f>
        <v>2172</v>
      </c>
      <c r="EU122" s="22">
        <f>+VLOOKUP($BD122,'Nov-25'!$A:$J,9,0)</f>
        <v>0</v>
      </c>
      <c r="EV122" s="22">
        <f>+VLOOKUP($BD122,'Dec-25'!$A:$J,9,0)</f>
        <v>0</v>
      </c>
      <c r="EW122" s="22">
        <f t="shared" si="544"/>
        <v>23425</v>
      </c>
      <c r="EX122" s="118">
        <f t="shared" si="479"/>
        <v>-0.13120000000000001</v>
      </c>
      <c r="EY122" s="22">
        <f>+_xlfn.XLOOKUP($EJ122,Budget!$A:$A,Budget!DE:DE)</f>
        <v>2500</v>
      </c>
      <c r="EZ122" s="22">
        <f>+_xlfn.XLOOKUP($EJ122,Budget!$A:$A,Budget!DF:DF)</f>
        <v>2500</v>
      </c>
      <c r="FA122" s="22">
        <f>+_xlfn.XLOOKUP($EJ122,Budget!$A:$A,Budget!DG:DG)</f>
        <v>2500</v>
      </c>
      <c r="FB122" s="22">
        <f>+_xlfn.XLOOKUP($EJ122,Budget!$A:$A,Budget!DH:DH)</f>
        <v>2500</v>
      </c>
      <c r="FC122" s="22">
        <f>+_xlfn.XLOOKUP($EJ122,Budget!$A:$A,Budget!DI:DI)</f>
        <v>2500</v>
      </c>
      <c r="FD122" s="22">
        <f>+_xlfn.XLOOKUP($EJ122,Budget!$A:$A,Budget!DJ:DJ)</f>
        <v>2500</v>
      </c>
      <c r="FE122" s="22">
        <f>+_xlfn.XLOOKUP($EJ122,Budget!$A:$A,Budget!DK:DK)</f>
        <v>2500</v>
      </c>
      <c r="FF122" s="22">
        <f>+_xlfn.XLOOKUP($EJ122,Budget!$A:$A,Budget!DL:DL)</f>
        <v>2500</v>
      </c>
      <c r="FG122" s="22">
        <f>+_xlfn.XLOOKUP($EJ122,Budget!$A:$A,Budget!DM:DM)</f>
        <v>2500</v>
      </c>
      <c r="FH122" s="22">
        <f>+_xlfn.XLOOKUP($EJ122,Budget!$A:$A,Budget!DN:DN)</f>
        <v>2500</v>
      </c>
      <c r="FI122" s="22">
        <f>+_xlfn.XLOOKUP($EJ122,Budget!$A:$A,Budget!DO:DO)</f>
        <v>2500</v>
      </c>
      <c r="FJ122" s="22">
        <f>+_xlfn.XLOOKUP($EJ122,Budget!$A:$A,Budget!DP:DP)</f>
        <v>2500</v>
      </c>
      <c r="FK122" s="106">
        <f t="shared" si="545"/>
        <v>30000</v>
      </c>
    </row>
    <row r="123" spans="1:167" ht="14.45" hidden="1" customHeight="1" outlineLevel="2">
      <c r="A123" s="106">
        <f t="shared" si="531"/>
        <v>436731.76059999998</v>
      </c>
      <c r="B123" s="106">
        <f t="shared" si="531"/>
        <v>435044.06999999995</v>
      </c>
      <c r="C123" s="106">
        <f t="shared" si="531"/>
        <v>393228.5</v>
      </c>
      <c r="D123" s="106">
        <f t="shared" si="531"/>
        <v>384274.5</v>
      </c>
      <c r="E123" s="106">
        <f t="shared" si="531"/>
        <v>399639.80000000005</v>
      </c>
      <c r="F123" s="106">
        <f t="shared" si="531"/>
        <v>388786.80000000005</v>
      </c>
      <c r="G123" s="106">
        <f t="shared" si="531"/>
        <v>425231</v>
      </c>
      <c r="H123" s="106">
        <f t="shared" si="531"/>
        <v>421291.99</v>
      </c>
      <c r="I123" s="106">
        <f t="shared" si="531"/>
        <v>563921.31800000009</v>
      </c>
      <c r="J123" s="106">
        <f t="shared" si="531"/>
        <v>454241.80000000005</v>
      </c>
      <c r="K123" s="106">
        <f t="shared" si="531"/>
        <v>553165.1</v>
      </c>
      <c r="L123" s="106">
        <f t="shared" si="531"/>
        <v>401290</v>
      </c>
      <c r="M123" s="106">
        <f t="shared" si="532"/>
        <v>5256846.6385999992</v>
      </c>
      <c r="N123" s="16" t="s">
        <v>101</v>
      </c>
      <c r="O123" s="22">
        <f t="shared" si="533"/>
        <v>431223</v>
      </c>
      <c r="P123" s="22">
        <f t="shared" si="533"/>
        <v>431800</v>
      </c>
      <c r="Q123" s="22">
        <f t="shared" si="533"/>
        <v>454921</v>
      </c>
      <c r="R123" s="22">
        <f t="shared" si="533"/>
        <v>451718.2</v>
      </c>
      <c r="S123" s="22">
        <f t="shared" si="533"/>
        <v>442386</v>
      </c>
      <c r="T123" s="22">
        <f t="shared" si="533"/>
        <v>456637</v>
      </c>
      <c r="U123" s="22">
        <f t="shared" si="533"/>
        <v>464848</v>
      </c>
      <c r="V123" s="22">
        <f t="shared" si="533"/>
        <v>466044.4</v>
      </c>
      <c r="W123" s="22">
        <f t="shared" si="533"/>
        <v>607762.60000000009</v>
      </c>
      <c r="X123" s="22">
        <f t="shared" si="533"/>
        <v>466357</v>
      </c>
      <c r="Y123" s="22">
        <f t="shared" si="533"/>
        <v>0</v>
      </c>
      <c r="Z123" s="22">
        <f t="shared" si="533"/>
        <v>0</v>
      </c>
      <c r="AA123" s="22">
        <f t="shared" si="534"/>
        <v>4673697.2</v>
      </c>
      <c r="AB123" s="118">
        <f t="shared" si="476"/>
        <v>-1.9825973643834465E-2</v>
      </c>
      <c r="AC123" s="22">
        <f t="shared" si="535"/>
        <v>475790</v>
      </c>
      <c r="AD123" s="22">
        <f t="shared" si="535"/>
        <v>475790</v>
      </c>
      <c r="AE123" s="22">
        <f t="shared" si="535"/>
        <v>475790</v>
      </c>
      <c r="AF123" s="22">
        <f t="shared" si="535"/>
        <v>475790</v>
      </c>
      <c r="AG123" s="22">
        <f t="shared" si="535"/>
        <v>475790</v>
      </c>
      <c r="AH123" s="22">
        <f t="shared" si="535"/>
        <v>475790</v>
      </c>
      <c r="AI123" s="22">
        <f t="shared" si="535"/>
        <v>475790</v>
      </c>
      <c r="AJ123" s="22">
        <f t="shared" si="535"/>
        <v>475790</v>
      </c>
      <c r="AK123" s="22">
        <f t="shared" si="535"/>
        <v>475790</v>
      </c>
      <c r="AL123" s="22">
        <f t="shared" si="535"/>
        <v>475790</v>
      </c>
      <c r="AM123" s="22">
        <f t="shared" si="535"/>
        <v>475790</v>
      </c>
      <c r="AN123" s="22">
        <f t="shared" si="535"/>
        <v>475790</v>
      </c>
      <c r="AO123" s="22">
        <f t="shared" si="536"/>
        <v>5709480</v>
      </c>
      <c r="AQ123" s="106">
        <v>332900.78039999999</v>
      </c>
      <c r="AR123" s="106">
        <v>334415.26999999996</v>
      </c>
      <c r="AS123" s="106">
        <v>299213</v>
      </c>
      <c r="AT123" s="106">
        <v>283418</v>
      </c>
      <c r="AU123" s="106">
        <v>302516.2</v>
      </c>
      <c r="AV123" s="106">
        <v>295221.2</v>
      </c>
      <c r="AW123" s="106">
        <v>332001.40000000002</v>
      </c>
      <c r="AX123" s="106">
        <v>337411.66</v>
      </c>
      <c r="AY123" s="106">
        <v>477328.51800000004</v>
      </c>
      <c r="AZ123" s="106">
        <v>366131.20000000001</v>
      </c>
      <c r="BA123" s="106">
        <v>378592</v>
      </c>
      <c r="BB123" s="106">
        <v>300226</v>
      </c>
      <c r="BC123" s="106">
        <f t="shared" si="537"/>
        <v>4039375.2284000004</v>
      </c>
      <c r="BD123" s="16" t="str">
        <f t="shared" si="334"/>
        <v>Special Allowance - Staff</v>
      </c>
      <c r="BE123" s="22">
        <f>+VLOOKUP($BD123,'Jan-25'!$A:$J,4,0)</f>
        <v>262957</v>
      </c>
      <c r="BF123" s="22">
        <f>+VLOOKUP($BD123,'Feb-25'!$A:$J,4,0)</f>
        <v>262650</v>
      </c>
      <c r="BG123" s="22">
        <f>+VLOOKUP($BD123,'Mar-25'!$A:$J,4,0)</f>
        <v>278358</v>
      </c>
      <c r="BH123" s="22">
        <f>+VLOOKUP($BD123,'Apr-25'!$A:$J,4,0)</f>
        <v>281292.2</v>
      </c>
      <c r="BI123" s="22">
        <f>+VLOOKUP($BD123,'May-25'!$A:$J,4,0)</f>
        <v>278597</v>
      </c>
      <c r="BJ123" s="22">
        <f>+VLOOKUP($BD123,'June-25'!$A:$J,4,0)</f>
        <v>288665</v>
      </c>
      <c r="BK123" s="22">
        <f>+VLOOKUP($BD123,'July-25'!$A:$J,4,0)</f>
        <v>287607</v>
      </c>
      <c r="BL123" s="22">
        <f>+VLOOKUP($BD123,'Aug-25'!$A:$J,4,0)</f>
        <v>291977.40000000002</v>
      </c>
      <c r="BM123" s="22">
        <f>+VLOOKUP($BD123,'Sep-25'!$A:$J,4,0)</f>
        <v>369793.4</v>
      </c>
      <c r="BN123" s="22">
        <f>+VLOOKUP($BD123,'Oct-25'!$A:$J,4,0)</f>
        <v>287804</v>
      </c>
      <c r="BO123" s="22">
        <f>+VLOOKUP($BD123,'Nov-25'!$A:$J,4,0)</f>
        <v>0</v>
      </c>
      <c r="BP123" s="22">
        <f>+VLOOKUP($BD123,'Dec-25'!$A:$J,4,0)</f>
        <v>0</v>
      </c>
      <c r="BQ123" s="22">
        <f t="shared" si="538"/>
        <v>2889701</v>
      </c>
      <c r="BR123" s="118">
        <f t="shared" si="477"/>
        <v>-9.2464456607800616E-3</v>
      </c>
      <c r="BS123" s="106">
        <f>+_xlfn.XLOOKUP($BD123,Budget!$A:$A,Budget!AQ:AQ)</f>
        <v>290490</v>
      </c>
      <c r="BT123" s="106">
        <f>+_xlfn.XLOOKUP($BD123,Budget!$A:$A,Budget!AR:AR)</f>
        <v>290490</v>
      </c>
      <c r="BU123" s="106">
        <f>+_xlfn.XLOOKUP($BD123,Budget!$A:$A,Budget!AS:AS)</f>
        <v>290490</v>
      </c>
      <c r="BV123" s="106">
        <f>+_xlfn.XLOOKUP($BD123,Budget!$A:$A,Budget!AT:AT)</f>
        <v>290490</v>
      </c>
      <c r="BW123" s="106">
        <f>+_xlfn.XLOOKUP($BD123,Budget!$A:$A,Budget!AU:AU)</f>
        <v>290490</v>
      </c>
      <c r="BX123" s="106">
        <f>+_xlfn.XLOOKUP($BD123,Budget!$A:$A,Budget!AV:AV)</f>
        <v>290490</v>
      </c>
      <c r="BY123" s="106">
        <f>+_xlfn.XLOOKUP($BD123,Budget!$A:$A,Budget!AW:AW)</f>
        <v>290490</v>
      </c>
      <c r="BZ123" s="106">
        <f>+_xlfn.XLOOKUP($BD123,Budget!$A:$A,Budget!AX:AX)</f>
        <v>290490</v>
      </c>
      <c r="CA123" s="106">
        <f>+_xlfn.XLOOKUP($BD123,Budget!$A:$A,Budget!AY:AY)</f>
        <v>290490</v>
      </c>
      <c r="CB123" s="106">
        <f>+_xlfn.XLOOKUP($BD123,Budget!$A:$A,Budget!AZ:AZ)</f>
        <v>290490</v>
      </c>
      <c r="CC123" s="106">
        <f>+_xlfn.XLOOKUP($BD123,Budget!$A:$A,Budget!BA:BA)</f>
        <v>290490</v>
      </c>
      <c r="CD123" s="106">
        <f>+_xlfn.XLOOKUP($BD123,Budget!$A:$A,Budget!BB:BB)</f>
        <v>290490</v>
      </c>
      <c r="CE123" s="106">
        <f t="shared" si="539"/>
        <v>3485880</v>
      </c>
      <c r="CF123" s="22"/>
      <c r="CG123" s="22">
        <v>103830.98020000001</v>
      </c>
      <c r="CH123" s="22">
        <v>100628.80000000002</v>
      </c>
      <c r="CI123" s="22">
        <v>94015.5</v>
      </c>
      <c r="CJ123" s="22">
        <v>100856.5</v>
      </c>
      <c r="CK123" s="22">
        <v>97123.6</v>
      </c>
      <c r="CL123" s="22">
        <v>93565.6</v>
      </c>
      <c r="CM123" s="22">
        <v>93229.6</v>
      </c>
      <c r="CN123" s="22">
        <v>83880.33</v>
      </c>
      <c r="CO123" s="22">
        <v>86592.8</v>
      </c>
      <c r="CP123" s="22">
        <v>88110.6</v>
      </c>
      <c r="CQ123" s="22">
        <v>174573.1</v>
      </c>
      <c r="CR123" s="22">
        <v>101064</v>
      </c>
      <c r="CS123" s="106">
        <f t="shared" si="540"/>
        <v>1217471.4102</v>
      </c>
      <c r="CT123" s="16" t="str">
        <f t="shared" si="338"/>
        <v>Special Allowance - Staff</v>
      </c>
      <c r="CU123" s="22">
        <f>+VLOOKUP($BD123,'Jan-25'!$A:$J,7,0)</f>
        <v>119426</v>
      </c>
      <c r="CV123" s="22">
        <f>+VLOOKUP($BD123,'Feb-25'!$A:$J,7,0)</f>
        <v>120100</v>
      </c>
      <c r="CW123" s="22">
        <f>+VLOOKUP($BD123,'Mar-25'!$A:$J,7,0)</f>
        <v>122513</v>
      </c>
      <c r="CX123" s="22">
        <f>+VLOOKUP($BD123,'Apr-25'!$A:$J,7,0)</f>
        <v>116376</v>
      </c>
      <c r="CY123" s="22">
        <f>+VLOOKUP($BD123,'May-25'!$A:$J,7,0)</f>
        <v>109739</v>
      </c>
      <c r="CZ123" s="22">
        <f>+VLOOKUP($BD123,'June-25'!$A:$J,7,0)</f>
        <v>113219</v>
      </c>
      <c r="DA123" s="22">
        <f>+VLOOKUP($BD123,'July-25'!$A:$J,7,0)</f>
        <v>114423</v>
      </c>
      <c r="DB123" s="22">
        <f>+VLOOKUP($BD123,'Aug-25'!$A:$J,7,0)</f>
        <v>111298</v>
      </c>
      <c r="DC123" s="22">
        <f>+VLOOKUP($BD123,'Sep-25'!$A:$J,7,0)</f>
        <v>175443.20000000001</v>
      </c>
      <c r="DD123" s="22">
        <f>+VLOOKUP($BD123,'Oct-25'!$A:$J,7,0)</f>
        <v>117139</v>
      </c>
      <c r="DE123" s="22">
        <f>+VLOOKUP($BD123,'Nov-25'!$A:$J,7,0)</f>
        <v>0</v>
      </c>
      <c r="DF123" s="22">
        <f>+VLOOKUP($BD123,'Dec-25'!$A:$J,7,0)</f>
        <v>0</v>
      </c>
      <c r="DG123" s="22">
        <f t="shared" si="541"/>
        <v>1219676.2</v>
      </c>
      <c r="DH123" s="118">
        <f t="shared" si="478"/>
        <v>-0.10751238095238096</v>
      </c>
      <c r="DI123" s="22">
        <f>+_xlfn.XLOOKUP($CT123,Budget!$A:$A,Budget!CD:CD)</f>
        <v>131250</v>
      </c>
      <c r="DJ123" s="22">
        <f>+_xlfn.XLOOKUP($CT123,Budget!$A:$A,Budget!CE:CE)</f>
        <v>131250</v>
      </c>
      <c r="DK123" s="22">
        <f>+_xlfn.XLOOKUP($CT123,Budget!$A:$A,Budget!CF:CF)</f>
        <v>131250</v>
      </c>
      <c r="DL123" s="22">
        <f>+_xlfn.XLOOKUP($CT123,Budget!$A:$A,Budget!CG:CG)</f>
        <v>131250</v>
      </c>
      <c r="DM123" s="22">
        <f>+_xlfn.XLOOKUP($CT123,Budget!$A:$A,Budget!CH:CH)</f>
        <v>131250</v>
      </c>
      <c r="DN123" s="22">
        <f>+_xlfn.XLOOKUP($CT123,Budget!$A:$A,Budget!CI:CI)</f>
        <v>131250</v>
      </c>
      <c r="DO123" s="22">
        <f>+_xlfn.XLOOKUP($CT123,Budget!$A:$A,Budget!CJ:CJ)</f>
        <v>131250</v>
      </c>
      <c r="DP123" s="22">
        <f>+_xlfn.XLOOKUP($CT123,Budget!$A:$A,Budget!CK:CK)</f>
        <v>131250</v>
      </c>
      <c r="DQ123" s="22">
        <f>+_xlfn.XLOOKUP($CT123,Budget!$A:$A,Budget!CL:CL)</f>
        <v>131250</v>
      </c>
      <c r="DR123" s="22">
        <f>+_xlfn.XLOOKUP($CT123,Budget!$A:$A,Budget!CM:CM)</f>
        <v>131250</v>
      </c>
      <c r="DS123" s="22">
        <f>+_xlfn.XLOOKUP($CT123,Budget!$A:$A,Budget!CN:CN)</f>
        <v>131250</v>
      </c>
      <c r="DT123" s="22">
        <f>+_xlfn.XLOOKUP($CT123,Budget!$A:$A,Budget!CO:CO)</f>
        <v>131250</v>
      </c>
      <c r="DU123" s="106">
        <f t="shared" si="542"/>
        <v>1575000</v>
      </c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106">
        <f t="shared" si="543"/>
        <v>0</v>
      </c>
      <c r="EJ123" s="16" t="str">
        <f t="shared" si="376"/>
        <v>Special Allowance - Staff</v>
      </c>
      <c r="EK123" s="22">
        <f>+VLOOKUP($BD123,'Jan-25'!$A:$J,9,0)</f>
        <v>48840</v>
      </c>
      <c r="EL123" s="22">
        <f>+VLOOKUP($BD123,'Feb-25'!$A:$J,9,0)</f>
        <v>49050</v>
      </c>
      <c r="EM123" s="22">
        <f>+VLOOKUP($BD123,'Mar-25'!$A:$J,9,0)</f>
        <v>54050</v>
      </c>
      <c r="EN123" s="22">
        <f>+VLOOKUP($BD123,'Apr-25'!$A:$J,9,0)</f>
        <v>54050</v>
      </c>
      <c r="EO123" s="22">
        <f>+VLOOKUP($BD123,'May-25'!$A:$J,9,0)</f>
        <v>54050</v>
      </c>
      <c r="EP123" s="22">
        <f>+VLOOKUP($BD123,'June-25'!$A:$J,9,0)</f>
        <v>54753</v>
      </c>
      <c r="EQ123" s="22">
        <f>+VLOOKUP($BD123,'July-25'!$A:$J,9,0)</f>
        <v>62818</v>
      </c>
      <c r="ER123" s="22">
        <f>+VLOOKUP($BD123,'Aug-25'!$A:$J,9,0)</f>
        <v>62769</v>
      </c>
      <c r="ES123" s="22">
        <f>+VLOOKUP($BD123,'Sep-25'!$A:$J,9,0)</f>
        <v>62526</v>
      </c>
      <c r="ET123" s="22">
        <f>+VLOOKUP($BD123,'Oct-25'!$A:$J,9,0)</f>
        <v>61414</v>
      </c>
      <c r="EU123" s="22">
        <f>+VLOOKUP($BD123,'Nov-25'!$A:$J,9,0)</f>
        <v>0</v>
      </c>
      <c r="EV123" s="22">
        <f>+VLOOKUP($BD123,'Dec-25'!$A:$J,9,0)</f>
        <v>0</v>
      </c>
      <c r="EW123" s="22">
        <f t="shared" si="544"/>
        <v>564320</v>
      </c>
      <c r="EX123" s="118">
        <f t="shared" si="479"/>
        <v>0.13624421831637373</v>
      </c>
      <c r="EY123" s="22">
        <f>+_xlfn.XLOOKUP($EJ123,Budget!$A:$A,Budget!DE:DE)</f>
        <v>54050</v>
      </c>
      <c r="EZ123" s="22">
        <f>+_xlfn.XLOOKUP($EJ123,Budget!$A:$A,Budget!DF:DF)</f>
        <v>54050</v>
      </c>
      <c r="FA123" s="22">
        <f>+_xlfn.XLOOKUP($EJ123,Budget!$A:$A,Budget!DG:DG)</f>
        <v>54050</v>
      </c>
      <c r="FB123" s="22">
        <f>+_xlfn.XLOOKUP($EJ123,Budget!$A:$A,Budget!DH:DH)</f>
        <v>54050</v>
      </c>
      <c r="FC123" s="22">
        <f>+_xlfn.XLOOKUP($EJ123,Budget!$A:$A,Budget!DI:DI)</f>
        <v>54050</v>
      </c>
      <c r="FD123" s="22">
        <f>+_xlfn.XLOOKUP($EJ123,Budget!$A:$A,Budget!DJ:DJ)</f>
        <v>54050</v>
      </c>
      <c r="FE123" s="22">
        <f>+_xlfn.XLOOKUP($EJ123,Budget!$A:$A,Budget!DK:DK)</f>
        <v>54050</v>
      </c>
      <c r="FF123" s="22">
        <f>+_xlfn.XLOOKUP($EJ123,Budget!$A:$A,Budget!DL:DL)</f>
        <v>54050</v>
      </c>
      <c r="FG123" s="22">
        <f>+_xlfn.XLOOKUP($EJ123,Budget!$A:$A,Budget!DM:DM)</f>
        <v>54050</v>
      </c>
      <c r="FH123" s="22">
        <f>+_xlfn.XLOOKUP($EJ123,Budget!$A:$A,Budget!DN:DN)</f>
        <v>54050</v>
      </c>
      <c r="FI123" s="22">
        <f>+_xlfn.XLOOKUP($EJ123,Budget!$A:$A,Budget!DO:DO)</f>
        <v>54050</v>
      </c>
      <c r="FJ123" s="22">
        <f>+_xlfn.XLOOKUP($EJ123,Budget!$A:$A,Budget!DP:DP)</f>
        <v>54050</v>
      </c>
      <c r="FK123" s="106">
        <f t="shared" si="545"/>
        <v>648600</v>
      </c>
    </row>
    <row r="124" spans="1:167" ht="14.45" hidden="1" customHeight="1" outlineLevel="2">
      <c r="A124" s="106">
        <f t="shared" si="531"/>
        <v>129521.45999999999</v>
      </c>
      <c r="B124" s="106">
        <f t="shared" si="531"/>
        <v>127507.84</v>
      </c>
      <c r="C124" s="106">
        <f t="shared" si="531"/>
        <v>131588.74</v>
      </c>
      <c r="D124" s="106">
        <f t="shared" si="531"/>
        <v>153837.57999999999</v>
      </c>
      <c r="E124" s="106">
        <f t="shared" si="531"/>
        <v>153837.57999999999</v>
      </c>
      <c r="F124" s="106">
        <f t="shared" si="531"/>
        <v>153837.57999999999</v>
      </c>
      <c r="G124" s="106">
        <f t="shared" si="531"/>
        <v>153837.57999999999</v>
      </c>
      <c r="H124" s="106">
        <f t="shared" si="531"/>
        <v>153837.57999999999</v>
      </c>
      <c r="I124" s="106">
        <f t="shared" si="531"/>
        <v>153837.57999999999</v>
      </c>
      <c r="J124" s="106">
        <f t="shared" si="531"/>
        <v>153837.57999999999</v>
      </c>
      <c r="K124" s="106">
        <f t="shared" si="531"/>
        <v>153837.57999999999</v>
      </c>
      <c r="L124" s="106">
        <f t="shared" si="531"/>
        <v>27734.079999999998</v>
      </c>
      <c r="M124" s="106">
        <f t="shared" si="532"/>
        <v>1647052.7600000002</v>
      </c>
      <c r="N124" s="16" t="s">
        <v>102</v>
      </c>
      <c r="O124" s="22">
        <f t="shared" si="533"/>
        <v>165738</v>
      </c>
      <c r="P124" s="22">
        <f t="shared" si="533"/>
        <v>167154</v>
      </c>
      <c r="Q124" s="22">
        <f t="shared" si="533"/>
        <v>172696</v>
      </c>
      <c r="R124" s="22">
        <f t="shared" si="533"/>
        <v>128758.37878131946</v>
      </c>
      <c r="S124" s="22">
        <f t="shared" si="533"/>
        <v>128758.37878131946</v>
      </c>
      <c r="T124" s="22">
        <f t="shared" si="533"/>
        <v>128758.37878131946</v>
      </c>
      <c r="U124" s="22">
        <f t="shared" si="533"/>
        <v>128758.37878131946</v>
      </c>
      <c r="V124" s="22">
        <f t="shared" si="533"/>
        <v>128758.37878131946</v>
      </c>
      <c r="W124" s="22">
        <f t="shared" si="533"/>
        <v>128758.37878131946</v>
      </c>
      <c r="X124" s="22">
        <f t="shared" si="533"/>
        <v>128758.37878131946</v>
      </c>
      <c r="Y124" s="22">
        <f t="shared" si="533"/>
        <v>0</v>
      </c>
      <c r="Z124" s="22">
        <f t="shared" si="533"/>
        <v>0</v>
      </c>
      <c r="AA124" s="22">
        <f t="shared" si="534"/>
        <v>1406896.651469236</v>
      </c>
      <c r="AB124" s="118">
        <f t="shared" si="476"/>
        <v>0</v>
      </c>
      <c r="AC124" s="22">
        <f t="shared" si="535"/>
        <v>128758.37878131946</v>
      </c>
      <c r="AD124" s="22">
        <f t="shared" si="535"/>
        <v>128758.37878131946</v>
      </c>
      <c r="AE124" s="22">
        <f t="shared" si="535"/>
        <v>128758.37878131946</v>
      </c>
      <c r="AF124" s="22">
        <f t="shared" si="535"/>
        <v>128758.37878131946</v>
      </c>
      <c r="AG124" s="22">
        <f t="shared" si="535"/>
        <v>128758.37878131946</v>
      </c>
      <c r="AH124" s="22">
        <f t="shared" si="535"/>
        <v>128758.37878131946</v>
      </c>
      <c r="AI124" s="22">
        <f t="shared" si="535"/>
        <v>128758.37878131946</v>
      </c>
      <c r="AJ124" s="22">
        <f t="shared" si="535"/>
        <v>128758.37878131946</v>
      </c>
      <c r="AK124" s="22">
        <f t="shared" si="535"/>
        <v>128758.37878131946</v>
      </c>
      <c r="AL124" s="22">
        <f t="shared" si="535"/>
        <v>128758.37878131946</v>
      </c>
      <c r="AM124" s="22">
        <f t="shared" si="535"/>
        <v>128758.37878131946</v>
      </c>
      <c r="AN124" s="22">
        <f t="shared" si="535"/>
        <v>128758.37878131946</v>
      </c>
      <c r="AO124" s="22">
        <f t="shared" si="536"/>
        <v>1545100.5453758333</v>
      </c>
      <c r="AQ124" s="106">
        <v>91099.64</v>
      </c>
      <c r="AR124" s="106">
        <v>90458.559999999998</v>
      </c>
      <c r="AS124" s="106">
        <v>92744.16</v>
      </c>
      <c r="AT124" s="106">
        <v>105293.51999999999</v>
      </c>
      <c r="AU124" s="106">
        <v>105293.51999999999</v>
      </c>
      <c r="AV124" s="106">
        <v>105293.51999999999</v>
      </c>
      <c r="AW124" s="106">
        <v>105293.51999999999</v>
      </c>
      <c r="AX124" s="106">
        <v>105293.51999999999</v>
      </c>
      <c r="AY124" s="106">
        <v>105293.51999999999</v>
      </c>
      <c r="AZ124" s="106">
        <v>105293.51999999999</v>
      </c>
      <c r="BA124" s="106">
        <v>105293.51999999999</v>
      </c>
      <c r="BB124" s="106">
        <v>17244.12</v>
      </c>
      <c r="BC124" s="106">
        <f t="shared" si="537"/>
        <v>1133894.6400000001</v>
      </c>
      <c r="BD124" s="16" t="str">
        <f t="shared" si="334"/>
        <v>Provident Fund Contribution Company - Staff</v>
      </c>
      <c r="BE124" s="22">
        <f>+VLOOKUP($BD124,'Jan-25'!$A:$J,4,0)</f>
        <v>95149</v>
      </c>
      <c r="BF124" s="22">
        <f>+VLOOKUP($BD124,'Feb-25'!$A:$J,4,0)</f>
        <v>105698</v>
      </c>
      <c r="BG124" s="22">
        <f>+VLOOKUP($BD124,'Mar-25'!$A:$J,4,0)</f>
        <v>98158</v>
      </c>
      <c r="BH124" s="22">
        <f>+VLOOKUP($BD124,'Apr-25'!$A:$J,4,0)</f>
        <v>74658.494586180561</v>
      </c>
      <c r="BI124" s="22">
        <f>+VLOOKUP($BD124,'May-25'!$A:$J,4,0)</f>
        <v>74658.494586180561</v>
      </c>
      <c r="BJ124" s="22">
        <f>+VLOOKUP($BD124,'June-25'!$A:$J,4,0)</f>
        <v>74658.494586180561</v>
      </c>
      <c r="BK124" s="22">
        <f>+VLOOKUP($BD124,'July-25'!$A:$J,4,0)</f>
        <v>74658.494586180561</v>
      </c>
      <c r="BL124" s="22">
        <f>+VLOOKUP($BD124,'Aug-25'!$A:$J,4,0)</f>
        <v>74658.494586180561</v>
      </c>
      <c r="BM124" s="22">
        <f>+VLOOKUP($BD124,'Sep-25'!$A:$J,4,0)</f>
        <v>74658.494586180561</v>
      </c>
      <c r="BN124" s="22">
        <f>+VLOOKUP($BD124,'Oct-25'!$A:$J,4,0)</f>
        <v>74658.494586180561</v>
      </c>
      <c r="BO124" s="22">
        <f>+VLOOKUP($BD124,'Nov-25'!$A:$J,4,0)</f>
        <v>0</v>
      </c>
      <c r="BP124" s="22">
        <f>+VLOOKUP($BD124,'Dec-25'!$A:$J,4,0)</f>
        <v>0</v>
      </c>
      <c r="BQ124" s="22">
        <f t="shared" si="538"/>
        <v>821614.46210326382</v>
      </c>
      <c r="BR124" s="118">
        <f t="shared" si="477"/>
        <v>0</v>
      </c>
      <c r="BS124" s="106">
        <f>+_xlfn.XLOOKUP($BD124,Budget!$A:$A,Budget!AQ:AQ)</f>
        <v>74658.494586180561</v>
      </c>
      <c r="BT124" s="106">
        <f>+_xlfn.XLOOKUP($BD124,Budget!$A:$A,Budget!AR:AR)</f>
        <v>74658.494586180561</v>
      </c>
      <c r="BU124" s="106">
        <f>+_xlfn.XLOOKUP($BD124,Budget!$A:$A,Budget!AS:AS)</f>
        <v>74658.494586180561</v>
      </c>
      <c r="BV124" s="106">
        <f>+_xlfn.XLOOKUP($BD124,Budget!$A:$A,Budget!AT:AT)</f>
        <v>74658.494586180561</v>
      </c>
      <c r="BW124" s="106">
        <f>+_xlfn.XLOOKUP($BD124,Budget!$A:$A,Budget!AU:AU)</f>
        <v>74658.494586180561</v>
      </c>
      <c r="BX124" s="106">
        <f>+_xlfn.XLOOKUP($BD124,Budget!$A:$A,Budget!AV:AV)</f>
        <v>74658.494586180561</v>
      </c>
      <c r="BY124" s="106">
        <f>+_xlfn.XLOOKUP($BD124,Budget!$A:$A,Budget!AW:AW)</f>
        <v>74658.494586180561</v>
      </c>
      <c r="BZ124" s="106">
        <f>+_xlfn.XLOOKUP($BD124,Budget!$A:$A,Budget!AX:AX)</f>
        <v>74658.494586180561</v>
      </c>
      <c r="CA124" s="106">
        <f>+_xlfn.XLOOKUP($BD124,Budget!$A:$A,Budget!AY:AY)</f>
        <v>74658.494586180561</v>
      </c>
      <c r="CB124" s="106">
        <f>+_xlfn.XLOOKUP($BD124,Budget!$A:$A,Budget!AZ:AZ)</f>
        <v>74658.494586180561</v>
      </c>
      <c r="CC124" s="106">
        <f>+_xlfn.XLOOKUP($BD124,Budget!$A:$A,Budget!BA:BA)</f>
        <v>74658.494586180561</v>
      </c>
      <c r="CD124" s="106">
        <f>+_xlfn.XLOOKUP($BD124,Budget!$A:$A,Budget!BB:BB)</f>
        <v>74658.494586180561</v>
      </c>
      <c r="CE124" s="106">
        <f t="shared" si="539"/>
        <v>895901.93503416667</v>
      </c>
      <c r="CF124" s="22"/>
      <c r="CG124" s="22">
        <v>38421.82</v>
      </c>
      <c r="CH124" s="22">
        <v>37049.279999999999</v>
      </c>
      <c r="CI124" s="22">
        <v>38844.58</v>
      </c>
      <c r="CJ124" s="22">
        <v>48544.06</v>
      </c>
      <c r="CK124" s="22">
        <v>48544.06</v>
      </c>
      <c r="CL124" s="22">
        <v>48544.06</v>
      </c>
      <c r="CM124" s="22">
        <v>48544.06</v>
      </c>
      <c r="CN124" s="22">
        <v>48544.06</v>
      </c>
      <c r="CO124" s="22">
        <v>48544.06</v>
      </c>
      <c r="CP124" s="22">
        <v>48544.06</v>
      </c>
      <c r="CQ124" s="22">
        <v>48544.06</v>
      </c>
      <c r="CR124" s="22">
        <v>10489.96</v>
      </c>
      <c r="CS124" s="106">
        <f t="shared" si="540"/>
        <v>513158.12</v>
      </c>
      <c r="CT124" s="16" t="str">
        <f t="shared" si="338"/>
        <v>Provident Fund Contribution Company - Staff</v>
      </c>
      <c r="CU124" s="22">
        <f>+VLOOKUP($BD124,'Jan-25'!$A:$J,7,0)</f>
        <v>46764</v>
      </c>
      <c r="CV124" s="22">
        <f>+VLOOKUP($BD124,'Feb-25'!$A:$J,7,0)</f>
        <v>50958</v>
      </c>
      <c r="CW124" s="22">
        <f>+VLOOKUP($BD124,'Mar-25'!$A:$J,7,0)</f>
        <v>50488</v>
      </c>
      <c r="CX124" s="22">
        <f>+VLOOKUP($BD124,'Apr-25'!$A:$J,7,0)</f>
        <v>35293.217528472225</v>
      </c>
      <c r="CY124" s="22">
        <f>+VLOOKUP($BD124,'May-25'!$A:$J,7,0)</f>
        <v>35293.217528472225</v>
      </c>
      <c r="CZ124" s="22">
        <f>+VLOOKUP($BD124,'June-25'!$A:$J,7,0)</f>
        <v>35293.217528472225</v>
      </c>
      <c r="DA124" s="22">
        <f>+VLOOKUP($BD124,'July-25'!$A:$J,7,0)</f>
        <v>35293.217528472225</v>
      </c>
      <c r="DB124" s="22">
        <f>+VLOOKUP($BD124,'Aug-25'!$A:$J,7,0)</f>
        <v>35293.217528472225</v>
      </c>
      <c r="DC124" s="22">
        <f>+VLOOKUP($BD124,'Sep-25'!$A:$J,7,0)</f>
        <v>35293.217528472225</v>
      </c>
      <c r="DD124" s="22">
        <f>+VLOOKUP($BD124,'Oct-25'!$A:$J,7,0)</f>
        <v>35293.217528472225</v>
      </c>
      <c r="DE124" s="22">
        <f>+VLOOKUP($BD124,'Nov-25'!$A:$J,7,0)</f>
        <v>0</v>
      </c>
      <c r="DF124" s="22">
        <f>+VLOOKUP($BD124,'Dec-25'!$A:$J,7,0)</f>
        <v>0</v>
      </c>
      <c r="DG124" s="22">
        <f t="shared" si="541"/>
        <v>395262.52269930561</v>
      </c>
      <c r="DH124" s="118">
        <f t="shared" si="478"/>
        <v>0</v>
      </c>
      <c r="DI124" s="22">
        <f>+_xlfn.XLOOKUP($CT124,Budget!$A:$A,Budget!CD:CD)</f>
        <v>35293.217528472225</v>
      </c>
      <c r="DJ124" s="22">
        <f>+_xlfn.XLOOKUP($CT124,Budget!$A:$A,Budget!CE:CE)</f>
        <v>35293.217528472225</v>
      </c>
      <c r="DK124" s="22">
        <f>+_xlfn.XLOOKUP($CT124,Budget!$A:$A,Budget!CF:CF)</f>
        <v>35293.217528472225</v>
      </c>
      <c r="DL124" s="22">
        <f>+_xlfn.XLOOKUP($CT124,Budget!$A:$A,Budget!CG:CG)</f>
        <v>35293.217528472225</v>
      </c>
      <c r="DM124" s="22">
        <f>+_xlfn.XLOOKUP($CT124,Budget!$A:$A,Budget!CH:CH)</f>
        <v>35293.217528472225</v>
      </c>
      <c r="DN124" s="22">
        <f>+_xlfn.XLOOKUP($CT124,Budget!$A:$A,Budget!CI:CI)</f>
        <v>35293.217528472225</v>
      </c>
      <c r="DO124" s="22">
        <f>+_xlfn.XLOOKUP($CT124,Budget!$A:$A,Budget!CJ:CJ)</f>
        <v>35293.217528472225</v>
      </c>
      <c r="DP124" s="22">
        <f>+_xlfn.XLOOKUP($CT124,Budget!$A:$A,Budget!CK:CK)</f>
        <v>35293.217528472225</v>
      </c>
      <c r="DQ124" s="22">
        <f>+_xlfn.XLOOKUP($CT124,Budget!$A:$A,Budget!CL:CL)</f>
        <v>35293.217528472225</v>
      </c>
      <c r="DR124" s="22">
        <f>+_xlfn.XLOOKUP($CT124,Budget!$A:$A,Budget!CM:CM)</f>
        <v>35293.217528472225</v>
      </c>
      <c r="DS124" s="22">
        <f>+_xlfn.XLOOKUP($CT124,Budget!$A:$A,Budget!CN:CN)</f>
        <v>35293.217528472225</v>
      </c>
      <c r="DT124" s="22">
        <f>+_xlfn.XLOOKUP($CT124,Budget!$A:$A,Budget!CO:CO)</f>
        <v>35293.217528472225</v>
      </c>
      <c r="DU124" s="106">
        <f t="shared" si="542"/>
        <v>423518.61034166679</v>
      </c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106">
        <f t="shared" si="543"/>
        <v>0</v>
      </c>
      <c r="EJ124" s="16" t="str">
        <f t="shared" si="376"/>
        <v>Provident Fund Contribution Company - Staff</v>
      </c>
      <c r="EK124" s="22">
        <f>+VLOOKUP($BD124,'Jan-25'!$A:$J,9,0)</f>
        <v>23825</v>
      </c>
      <c r="EL124" s="22">
        <f>+VLOOKUP($BD124,'Feb-25'!$A:$J,9,0)</f>
        <v>10498</v>
      </c>
      <c r="EM124" s="22">
        <f>+VLOOKUP($BD124,'Mar-25'!$A:$J,9,0)</f>
        <v>24050</v>
      </c>
      <c r="EN124" s="22">
        <f>+VLOOKUP($BD124,'Apr-25'!$A:$J,9,0)</f>
        <v>18806.666666666668</v>
      </c>
      <c r="EO124" s="22">
        <f>+VLOOKUP($BD124,'May-25'!$A:$J,9,0)</f>
        <v>18806.666666666668</v>
      </c>
      <c r="EP124" s="22">
        <f>+VLOOKUP($BD124,'June-25'!$A:$J,9,0)</f>
        <v>18806.666666666668</v>
      </c>
      <c r="EQ124" s="22">
        <f>+VLOOKUP($BD124,'July-25'!$A:$J,9,0)</f>
        <v>18806.666666666668</v>
      </c>
      <c r="ER124" s="22">
        <f>+VLOOKUP($BD124,'Aug-25'!$A:$J,9,0)</f>
        <v>18806.666666666668</v>
      </c>
      <c r="ES124" s="22">
        <f>+VLOOKUP($BD124,'Sep-25'!$A:$J,9,0)</f>
        <v>18806.666666666668</v>
      </c>
      <c r="ET124" s="22">
        <f>+VLOOKUP($BD124,'Oct-25'!$A:$J,9,0)</f>
        <v>18806.666666666668</v>
      </c>
      <c r="EU124" s="22">
        <f>+VLOOKUP($BD124,'Nov-25'!$A:$J,9,0)</f>
        <v>0</v>
      </c>
      <c r="EV124" s="22">
        <f>+VLOOKUP($BD124,'Dec-25'!$A:$J,9,0)</f>
        <v>0</v>
      </c>
      <c r="EW124" s="22">
        <f t="shared" si="544"/>
        <v>190019.66666666666</v>
      </c>
      <c r="EX124" s="118">
        <f t="shared" si="479"/>
        <v>0</v>
      </c>
      <c r="EY124" s="22">
        <f>+_xlfn.XLOOKUP($EJ124,Budget!$A:$A,Budget!DE:DE)</f>
        <v>18806.666666666668</v>
      </c>
      <c r="EZ124" s="22">
        <f>+_xlfn.XLOOKUP($EJ124,Budget!$A:$A,Budget!DF:DF)</f>
        <v>18806.666666666668</v>
      </c>
      <c r="FA124" s="22">
        <f>+_xlfn.XLOOKUP($EJ124,Budget!$A:$A,Budget!DG:DG)</f>
        <v>18806.666666666668</v>
      </c>
      <c r="FB124" s="22">
        <f>+_xlfn.XLOOKUP($EJ124,Budget!$A:$A,Budget!DH:DH)</f>
        <v>18806.666666666668</v>
      </c>
      <c r="FC124" s="22">
        <f>+_xlfn.XLOOKUP($EJ124,Budget!$A:$A,Budget!DI:DI)</f>
        <v>18806.666666666668</v>
      </c>
      <c r="FD124" s="22">
        <f>+_xlfn.XLOOKUP($EJ124,Budget!$A:$A,Budget!DJ:DJ)</f>
        <v>18806.666666666668</v>
      </c>
      <c r="FE124" s="22">
        <f>+_xlfn.XLOOKUP($EJ124,Budget!$A:$A,Budget!DK:DK)</f>
        <v>18806.666666666668</v>
      </c>
      <c r="FF124" s="22">
        <f>+_xlfn.XLOOKUP($EJ124,Budget!$A:$A,Budget!DL:DL)</f>
        <v>18806.666666666668</v>
      </c>
      <c r="FG124" s="22">
        <f>+_xlfn.XLOOKUP($EJ124,Budget!$A:$A,Budget!DM:DM)</f>
        <v>18806.666666666668</v>
      </c>
      <c r="FH124" s="22">
        <f>+_xlfn.XLOOKUP($EJ124,Budget!$A:$A,Budget!DN:DN)</f>
        <v>18806.666666666668</v>
      </c>
      <c r="FI124" s="22">
        <f>+_xlfn.XLOOKUP($EJ124,Budget!$A:$A,Budget!DO:DO)</f>
        <v>18806.666666666668</v>
      </c>
      <c r="FJ124" s="22">
        <f>+_xlfn.XLOOKUP($EJ124,Budget!$A:$A,Budget!DP:DP)</f>
        <v>18806.666666666668</v>
      </c>
      <c r="FK124" s="106">
        <f t="shared" si="545"/>
        <v>225679.99999999997</v>
      </c>
    </row>
    <row r="125" spans="1:167" ht="14.45" hidden="1" customHeight="1" outlineLevel="2">
      <c r="A125" s="106">
        <f t="shared" si="531"/>
        <v>27377.899999999998</v>
      </c>
      <c r="B125" s="106">
        <f t="shared" si="531"/>
        <v>27072.899999999998</v>
      </c>
      <c r="C125" s="106">
        <f t="shared" si="531"/>
        <v>28976.659999999996</v>
      </c>
      <c r="D125" s="106">
        <f t="shared" si="531"/>
        <v>28976.659999999996</v>
      </c>
      <c r="E125" s="106">
        <f t="shared" si="531"/>
        <v>27734.079999999998</v>
      </c>
      <c r="F125" s="106">
        <f t="shared" si="531"/>
        <v>27734.079999999998</v>
      </c>
      <c r="G125" s="106">
        <f t="shared" si="531"/>
        <v>27734.079999999998</v>
      </c>
      <c r="H125" s="106">
        <f t="shared" si="531"/>
        <v>27734.079999999998</v>
      </c>
      <c r="I125" s="106">
        <f t="shared" si="531"/>
        <v>27734.079999999998</v>
      </c>
      <c r="J125" s="106">
        <f t="shared" si="531"/>
        <v>27734.079999999998</v>
      </c>
      <c r="K125" s="106">
        <f t="shared" si="531"/>
        <v>27734.079999999998</v>
      </c>
      <c r="L125" s="106">
        <f t="shared" si="531"/>
        <v>72000</v>
      </c>
      <c r="M125" s="106">
        <f t="shared" si="532"/>
        <v>378542.67999999993</v>
      </c>
      <c r="N125" s="16" t="s">
        <v>103</v>
      </c>
      <c r="O125" s="22">
        <f t="shared" si="533"/>
        <v>35202.400000000001</v>
      </c>
      <c r="P125" s="22">
        <f t="shared" si="533"/>
        <v>34877.800000000003</v>
      </c>
      <c r="Q125" s="22">
        <f t="shared" si="533"/>
        <v>36762.800000000003</v>
      </c>
      <c r="R125" s="22">
        <f t="shared" si="533"/>
        <v>11552</v>
      </c>
      <c r="S125" s="22">
        <f t="shared" si="533"/>
        <v>11552</v>
      </c>
      <c r="T125" s="22">
        <f t="shared" si="533"/>
        <v>11552</v>
      </c>
      <c r="U125" s="22">
        <f t="shared" si="533"/>
        <v>11552</v>
      </c>
      <c r="V125" s="22">
        <f t="shared" si="533"/>
        <v>11552</v>
      </c>
      <c r="W125" s="22">
        <f t="shared" si="533"/>
        <v>11552</v>
      </c>
      <c r="X125" s="22">
        <f t="shared" si="533"/>
        <v>11552</v>
      </c>
      <c r="Y125" s="22">
        <f t="shared" si="533"/>
        <v>0</v>
      </c>
      <c r="Z125" s="22">
        <f t="shared" si="533"/>
        <v>0</v>
      </c>
      <c r="AA125" s="22">
        <f t="shared" si="534"/>
        <v>187707</v>
      </c>
      <c r="AB125" s="118">
        <f t="shared" si="476"/>
        <v>0</v>
      </c>
      <c r="AC125" s="22">
        <f t="shared" si="535"/>
        <v>11552</v>
      </c>
      <c r="AD125" s="22">
        <f t="shared" si="535"/>
        <v>11552</v>
      </c>
      <c r="AE125" s="22">
        <f t="shared" si="535"/>
        <v>11552</v>
      </c>
      <c r="AF125" s="22">
        <f t="shared" si="535"/>
        <v>11552</v>
      </c>
      <c r="AG125" s="22">
        <f t="shared" si="535"/>
        <v>11552</v>
      </c>
      <c r="AH125" s="22">
        <f t="shared" si="535"/>
        <v>11552</v>
      </c>
      <c r="AI125" s="22">
        <f t="shared" si="535"/>
        <v>11552</v>
      </c>
      <c r="AJ125" s="22">
        <f t="shared" si="535"/>
        <v>11552</v>
      </c>
      <c r="AK125" s="22">
        <f t="shared" si="535"/>
        <v>11552</v>
      </c>
      <c r="AL125" s="22">
        <f t="shared" si="535"/>
        <v>11552</v>
      </c>
      <c r="AM125" s="22">
        <f t="shared" si="535"/>
        <v>11552</v>
      </c>
      <c r="AN125" s="22">
        <f t="shared" si="535"/>
        <v>11552</v>
      </c>
      <c r="AO125" s="22">
        <f t="shared" si="536"/>
        <v>138624</v>
      </c>
      <c r="AQ125" s="106">
        <v>17902.599999999999</v>
      </c>
      <c r="AR125" s="106">
        <v>17597.599999999999</v>
      </c>
      <c r="AS125" s="106">
        <v>18805.039999999997</v>
      </c>
      <c r="AT125" s="106">
        <v>18805.039999999997</v>
      </c>
      <c r="AU125" s="106">
        <v>17244.12</v>
      </c>
      <c r="AV125" s="106">
        <v>17244.12</v>
      </c>
      <c r="AW125" s="106">
        <v>17244.12</v>
      </c>
      <c r="AX125" s="106">
        <v>17244.12</v>
      </c>
      <c r="AY125" s="106">
        <v>17244.12</v>
      </c>
      <c r="AZ125" s="106">
        <v>17244.12</v>
      </c>
      <c r="BA125" s="106">
        <v>17244.12</v>
      </c>
      <c r="BB125" s="106">
        <v>43200</v>
      </c>
      <c r="BC125" s="106">
        <f t="shared" si="537"/>
        <v>237019.11999999997</v>
      </c>
      <c r="BD125" s="16" t="str">
        <f t="shared" si="334"/>
        <v>Employer Insurance Contributions - Staff</v>
      </c>
      <c r="BE125" s="22">
        <f>+VLOOKUP($BD125,'Jan-25'!$A:$J,4,0)</f>
        <v>21420.400000000001</v>
      </c>
      <c r="BF125" s="22">
        <f>+VLOOKUP($BD125,'Feb-25'!$A:$J,4,0)</f>
        <v>21140.799999999999</v>
      </c>
      <c r="BG125" s="22">
        <f>+VLOOKUP($BD125,'Mar-25'!$A:$J,4,0)</f>
        <v>22521.8</v>
      </c>
      <c r="BH125" s="22">
        <f>+VLOOKUP($BD125,'Apr-25'!$A:$J,4,0)</f>
        <v>6992</v>
      </c>
      <c r="BI125" s="22">
        <f>+VLOOKUP($BD125,'May-25'!$A:$J,4,0)</f>
        <v>6992</v>
      </c>
      <c r="BJ125" s="22">
        <f>+VLOOKUP($BD125,'June-25'!$A:$J,4,0)</f>
        <v>6992</v>
      </c>
      <c r="BK125" s="22">
        <f>+VLOOKUP($BD125,'July-25'!$A:$J,4,0)</f>
        <v>6992</v>
      </c>
      <c r="BL125" s="22">
        <f>+VLOOKUP($BD125,'Aug-25'!$A:$J,4,0)</f>
        <v>6992</v>
      </c>
      <c r="BM125" s="22">
        <f>+VLOOKUP($BD125,'Sep-25'!$A:$J,4,0)</f>
        <v>6992</v>
      </c>
      <c r="BN125" s="22">
        <f>+VLOOKUP($BD125,'Oct-25'!$A:$J,4,0)</f>
        <v>6992</v>
      </c>
      <c r="BO125" s="22">
        <f>+VLOOKUP($BD125,'Nov-25'!$A:$J,4,0)</f>
        <v>0</v>
      </c>
      <c r="BP125" s="22">
        <f>+VLOOKUP($BD125,'Dec-25'!$A:$J,4,0)</f>
        <v>0</v>
      </c>
      <c r="BQ125" s="22">
        <f t="shared" si="538"/>
        <v>114027</v>
      </c>
      <c r="BR125" s="118">
        <f t="shared" si="477"/>
        <v>0</v>
      </c>
      <c r="BS125" s="106">
        <f>+_xlfn.XLOOKUP($BD125,Budget!$A:$A,Budget!AQ:AQ)</f>
        <v>6992</v>
      </c>
      <c r="BT125" s="106">
        <f>+_xlfn.XLOOKUP($BD125,Budget!$A:$A,Budget!AR:AR)</f>
        <v>6992</v>
      </c>
      <c r="BU125" s="106">
        <f>+_xlfn.XLOOKUP($BD125,Budget!$A:$A,Budget!AS:AS)</f>
        <v>6992</v>
      </c>
      <c r="BV125" s="106">
        <f>+_xlfn.XLOOKUP($BD125,Budget!$A:$A,Budget!AT:AT)</f>
        <v>6992</v>
      </c>
      <c r="BW125" s="106">
        <f>+_xlfn.XLOOKUP($BD125,Budget!$A:$A,Budget!AU:AU)</f>
        <v>6992</v>
      </c>
      <c r="BX125" s="106">
        <f>+_xlfn.XLOOKUP($BD125,Budget!$A:$A,Budget!AV:AV)</f>
        <v>6992</v>
      </c>
      <c r="BY125" s="106">
        <f>+_xlfn.XLOOKUP($BD125,Budget!$A:$A,Budget!AW:AW)</f>
        <v>6992</v>
      </c>
      <c r="BZ125" s="106">
        <f>+_xlfn.XLOOKUP($BD125,Budget!$A:$A,Budget!AX:AX)</f>
        <v>6992</v>
      </c>
      <c r="CA125" s="106">
        <f>+_xlfn.XLOOKUP($BD125,Budget!$A:$A,Budget!AY:AY)</f>
        <v>6992</v>
      </c>
      <c r="CB125" s="106">
        <f>+_xlfn.XLOOKUP($BD125,Budget!$A:$A,Budget!AZ:AZ)</f>
        <v>6992</v>
      </c>
      <c r="CC125" s="106">
        <f>+_xlfn.XLOOKUP($BD125,Budget!$A:$A,Budget!BA:BA)</f>
        <v>6992</v>
      </c>
      <c r="CD125" s="106">
        <f>+_xlfn.XLOOKUP($BD125,Budget!$A:$A,Budget!BB:BB)</f>
        <v>6992</v>
      </c>
      <c r="CE125" s="106">
        <f t="shared" si="539"/>
        <v>83904</v>
      </c>
      <c r="CF125" s="22"/>
      <c r="CG125" s="22">
        <v>9475.2999999999993</v>
      </c>
      <c r="CH125" s="22">
        <v>9475.2999999999993</v>
      </c>
      <c r="CI125" s="22">
        <v>10171.619999999999</v>
      </c>
      <c r="CJ125" s="22">
        <v>10171.619999999999</v>
      </c>
      <c r="CK125" s="22">
        <v>10489.96</v>
      </c>
      <c r="CL125" s="22">
        <v>10489.96</v>
      </c>
      <c r="CM125" s="22">
        <v>10489.96</v>
      </c>
      <c r="CN125" s="22">
        <v>10489.96</v>
      </c>
      <c r="CO125" s="22">
        <v>10489.96</v>
      </c>
      <c r="CP125" s="22">
        <v>10489.96</v>
      </c>
      <c r="CQ125" s="22">
        <v>10489.96</v>
      </c>
      <c r="CR125" s="22">
        <v>28800</v>
      </c>
      <c r="CS125" s="106">
        <f t="shared" si="540"/>
        <v>141523.55999999997</v>
      </c>
      <c r="CT125" s="16" t="str">
        <f t="shared" si="338"/>
        <v>Employer Insurance Contributions - Staff</v>
      </c>
      <c r="CU125" s="22">
        <f>+VLOOKUP($BD125,'Jan-25'!$A:$J,7,0)</f>
        <v>9972</v>
      </c>
      <c r="CV125" s="22">
        <f>+VLOOKUP($BD125,'Feb-25'!$A:$J,7,0)</f>
        <v>9902</v>
      </c>
      <c r="CW125" s="22">
        <f>+VLOOKUP($BD125,'Mar-25'!$A:$J,7,0)</f>
        <v>10406</v>
      </c>
      <c r="CX125" s="22">
        <f>+VLOOKUP($BD125,'Apr-25'!$A:$J,7,0)</f>
        <v>3752.5</v>
      </c>
      <c r="CY125" s="22">
        <f>+VLOOKUP($BD125,'May-25'!$A:$J,7,0)</f>
        <v>3752.5</v>
      </c>
      <c r="CZ125" s="22">
        <f>+VLOOKUP($BD125,'June-25'!$A:$J,7,0)</f>
        <v>3752.5</v>
      </c>
      <c r="DA125" s="22">
        <f>+VLOOKUP($BD125,'July-25'!$A:$J,7,0)</f>
        <v>3752.5</v>
      </c>
      <c r="DB125" s="22">
        <f>+VLOOKUP($BD125,'Aug-25'!$A:$J,7,0)</f>
        <v>3752.5</v>
      </c>
      <c r="DC125" s="22">
        <f>+VLOOKUP($BD125,'Sep-25'!$A:$J,7,0)</f>
        <v>3752.5</v>
      </c>
      <c r="DD125" s="22">
        <f>+VLOOKUP($BD125,'Oct-25'!$A:$J,7,0)</f>
        <v>3752.5</v>
      </c>
      <c r="DE125" s="22">
        <f>+VLOOKUP($BD125,'Nov-25'!$A:$J,7,0)</f>
        <v>0</v>
      </c>
      <c r="DF125" s="22">
        <f>+VLOOKUP($BD125,'Dec-25'!$A:$J,7,0)</f>
        <v>0</v>
      </c>
      <c r="DG125" s="22">
        <f t="shared" si="541"/>
        <v>56547.5</v>
      </c>
      <c r="DH125" s="118">
        <f t="shared" si="478"/>
        <v>0</v>
      </c>
      <c r="DI125" s="22">
        <f>+_xlfn.XLOOKUP($CT125,Budget!$A:$A,Budget!CD:CD)</f>
        <v>3752.5</v>
      </c>
      <c r="DJ125" s="22">
        <f>+_xlfn.XLOOKUP($CT125,Budget!$A:$A,Budget!CE:CE)</f>
        <v>3752.5</v>
      </c>
      <c r="DK125" s="22">
        <f>+_xlfn.XLOOKUP($CT125,Budget!$A:$A,Budget!CF:CF)</f>
        <v>3752.5</v>
      </c>
      <c r="DL125" s="22">
        <f>+_xlfn.XLOOKUP($CT125,Budget!$A:$A,Budget!CG:CG)</f>
        <v>3752.5</v>
      </c>
      <c r="DM125" s="22">
        <f>+_xlfn.XLOOKUP($CT125,Budget!$A:$A,Budget!CH:CH)</f>
        <v>3752.5</v>
      </c>
      <c r="DN125" s="22">
        <f>+_xlfn.XLOOKUP($CT125,Budget!$A:$A,Budget!CI:CI)</f>
        <v>3752.5</v>
      </c>
      <c r="DO125" s="22">
        <f>+_xlfn.XLOOKUP($CT125,Budget!$A:$A,Budget!CJ:CJ)</f>
        <v>3752.5</v>
      </c>
      <c r="DP125" s="22">
        <f>+_xlfn.XLOOKUP($CT125,Budget!$A:$A,Budget!CK:CK)</f>
        <v>3752.5</v>
      </c>
      <c r="DQ125" s="22">
        <f>+_xlfn.XLOOKUP($CT125,Budget!$A:$A,Budget!CL:CL)</f>
        <v>3752.5</v>
      </c>
      <c r="DR125" s="22">
        <f>+_xlfn.XLOOKUP($CT125,Budget!$A:$A,Budget!CM:CM)</f>
        <v>3752.5</v>
      </c>
      <c r="DS125" s="22">
        <f>+_xlfn.XLOOKUP($CT125,Budget!$A:$A,Budget!CN:CN)</f>
        <v>3752.5</v>
      </c>
      <c r="DT125" s="22">
        <f>+_xlfn.XLOOKUP($CT125,Budget!$A:$A,Budget!CO:CO)</f>
        <v>3752.5</v>
      </c>
      <c r="DU125" s="106">
        <f t="shared" si="542"/>
        <v>45030</v>
      </c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106">
        <f t="shared" si="543"/>
        <v>0</v>
      </c>
      <c r="EJ125" s="16" t="str">
        <f t="shared" si="376"/>
        <v>Employer Insurance Contributions - Staff</v>
      </c>
      <c r="EK125" s="22">
        <f>+VLOOKUP($BD125,'Jan-25'!$A:$J,9,0)</f>
        <v>3810</v>
      </c>
      <c r="EL125" s="22">
        <f>+VLOOKUP($BD125,'Feb-25'!$A:$J,9,0)</f>
        <v>3835</v>
      </c>
      <c r="EM125" s="22">
        <f>+VLOOKUP($BD125,'Mar-25'!$A:$J,9,0)</f>
        <v>3835</v>
      </c>
      <c r="EN125" s="22">
        <f>+VLOOKUP($BD125,'Apr-25'!$A:$J,9,0)</f>
        <v>807.5</v>
      </c>
      <c r="EO125" s="22">
        <f>+VLOOKUP($BD125,'May-25'!$A:$J,9,0)</f>
        <v>807.5</v>
      </c>
      <c r="EP125" s="22">
        <f>+VLOOKUP($BD125,'June-25'!$A:$J,9,0)</f>
        <v>807.5</v>
      </c>
      <c r="EQ125" s="22">
        <f>+VLOOKUP($BD125,'July-25'!$A:$J,9,0)</f>
        <v>807.5</v>
      </c>
      <c r="ER125" s="22">
        <f>+VLOOKUP($BD125,'Aug-25'!$A:$J,9,0)</f>
        <v>807.5</v>
      </c>
      <c r="ES125" s="22">
        <f>+VLOOKUP($BD125,'Sep-25'!$A:$J,9,0)</f>
        <v>807.5</v>
      </c>
      <c r="ET125" s="22">
        <f>+VLOOKUP($BD125,'Oct-25'!$A:$J,9,0)</f>
        <v>807.5</v>
      </c>
      <c r="EU125" s="22">
        <f>+VLOOKUP($BD125,'Nov-25'!$A:$J,9,0)</f>
        <v>0</v>
      </c>
      <c r="EV125" s="22">
        <f>+VLOOKUP($BD125,'Dec-25'!$A:$J,9,0)</f>
        <v>0</v>
      </c>
      <c r="EW125" s="22">
        <f t="shared" si="544"/>
        <v>17132.5</v>
      </c>
      <c r="EX125" s="118">
        <f t="shared" si="479"/>
        <v>0</v>
      </c>
      <c r="EY125" s="22">
        <f>+_xlfn.XLOOKUP($EJ125,Budget!$A:$A,Budget!DE:DE)</f>
        <v>807.5</v>
      </c>
      <c r="EZ125" s="22">
        <f>+_xlfn.XLOOKUP($EJ125,Budget!$A:$A,Budget!DF:DF)</f>
        <v>807.5</v>
      </c>
      <c r="FA125" s="22">
        <f>+_xlfn.XLOOKUP($EJ125,Budget!$A:$A,Budget!DG:DG)</f>
        <v>807.5</v>
      </c>
      <c r="FB125" s="22">
        <f>+_xlfn.XLOOKUP($EJ125,Budget!$A:$A,Budget!DH:DH)</f>
        <v>807.5</v>
      </c>
      <c r="FC125" s="22">
        <f>+_xlfn.XLOOKUP($EJ125,Budget!$A:$A,Budget!DI:DI)</f>
        <v>807.5</v>
      </c>
      <c r="FD125" s="22">
        <f>+_xlfn.XLOOKUP($EJ125,Budget!$A:$A,Budget!DJ:DJ)</f>
        <v>807.5</v>
      </c>
      <c r="FE125" s="22">
        <f>+_xlfn.XLOOKUP($EJ125,Budget!$A:$A,Budget!DK:DK)</f>
        <v>807.5</v>
      </c>
      <c r="FF125" s="22">
        <f>+_xlfn.XLOOKUP($EJ125,Budget!$A:$A,Budget!DL:DL)</f>
        <v>807.5</v>
      </c>
      <c r="FG125" s="22">
        <f>+_xlfn.XLOOKUP($EJ125,Budget!$A:$A,Budget!DM:DM)</f>
        <v>807.5</v>
      </c>
      <c r="FH125" s="22">
        <f>+_xlfn.XLOOKUP($EJ125,Budget!$A:$A,Budget!DN:DN)</f>
        <v>807.5</v>
      </c>
      <c r="FI125" s="22">
        <f>+_xlfn.XLOOKUP($EJ125,Budget!$A:$A,Budget!DO:DO)</f>
        <v>807.5</v>
      </c>
      <c r="FJ125" s="22">
        <f>+_xlfn.XLOOKUP($EJ125,Budget!$A:$A,Budget!DP:DP)</f>
        <v>807.5</v>
      </c>
      <c r="FK125" s="106">
        <f t="shared" si="545"/>
        <v>9690</v>
      </c>
    </row>
    <row r="126" spans="1:167" ht="14.45" hidden="1" customHeight="1" outlineLevel="2">
      <c r="A126" s="106">
        <f t="shared" si="531"/>
        <v>139498.20000000001</v>
      </c>
      <c r="B126" s="106">
        <f t="shared" si="531"/>
        <v>139498.20000000001</v>
      </c>
      <c r="C126" s="106">
        <f t="shared" si="531"/>
        <v>138960</v>
      </c>
      <c r="D126" s="106">
        <f t="shared" si="531"/>
        <v>139095</v>
      </c>
      <c r="E126" s="106">
        <f t="shared" si="531"/>
        <v>187095</v>
      </c>
      <c r="F126" s="106">
        <f t="shared" si="531"/>
        <v>139095</v>
      </c>
      <c r="G126" s="106">
        <f t="shared" si="531"/>
        <v>139095</v>
      </c>
      <c r="H126" s="106">
        <f t="shared" si="531"/>
        <v>139095</v>
      </c>
      <c r="I126" s="106">
        <f t="shared" si="531"/>
        <v>139095</v>
      </c>
      <c r="J126" s="106">
        <f t="shared" si="531"/>
        <v>139095</v>
      </c>
      <c r="K126" s="106">
        <f t="shared" si="531"/>
        <v>139095</v>
      </c>
      <c r="L126" s="106">
        <f t="shared" si="531"/>
        <v>194892.59999999998</v>
      </c>
      <c r="M126" s="106">
        <f t="shared" si="532"/>
        <v>1773609</v>
      </c>
      <c r="N126" s="16" t="s">
        <v>104</v>
      </c>
      <c r="O126" s="22">
        <f t="shared" si="533"/>
        <v>146205</v>
      </c>
      <c r="P126" s="22">
        <f t="shared" si="533"/>
        <v>146205</v>
      </c>
      <c r="Q126" s="22">
        <f t="shared" si="533"/>
        <v>146205</v>
      </c>
      <c r="R126" s="22">
        <f t="shared" si="533"/>
        <v>146205</v>
      </c>
      <c r="S126" s="22">
        <f t="shared" si="533"/>
        <v>131085</v>
      </c>
      <c r="T126" s="22">
        <f t="shared" si="533"/>
        <v>167881.356</v>
      </c>
      <c r="U126" s="22">
        <f t="shared" si="533"/>
        <v>240781.35599999997</v>
      </c>
      <c r="V126" s="22">
        <f t="shared" si="533"/>
        <v>204331.35599999997</v>
      </c>
      <c r="W126" s="22">
        <f t="shared" si="533"/>
        <v>241320.59999999998</v>
      </c>
      <c r="X126" s="22">
        <f t="shared" si="533"/>
        <v>276161.84999999998</v>
      </c>
      <c r="Y126" s="22">
        <f t="shared" si="533"/>
        <v>0</v>
      </c>
      <c r="Z126" s="22">
        <f t="shared" si="533"/>
        <v>0</v>
      </c>
      <c r="AA126" s="22">
        <f t="shared" si="534"/>
        <v>1846381.5180000002</v>
      </c>
      <c r="AB126" s="118">
        <f t="shared" si="476"/>
        <v>0.88886734379809151</v>
      </c>
      <c r="AC126" s="22">
        <f t="shared" si="535"/>
        <v>146205</v>
      </c>
      <c r="AD126" s="22">
        <f t="shared" si="535"/>
        <v>146205</v>
      </c>
      <c r="AE126" s="22">
        <f t="shared" si="535"/>
        <v>146205</v>
      </c>
      <c r="AF126" s="22">
        <f t="shared" si="535"/>
        <v>146205</v>
      </c>
      <c r="AG126" s="22">
        <f t="shared" si="535"/>
        <v>146205</v>
      </c>
      <c r="AH126" s="22">
        <f t="shared" si="535"/>
        <v>146205</v>
      </c>
      <c r="AI126" s="22">
        <f t="shared" si="535"/>
        <v>146205</v>
      </c>
      <c r="AJ126" s="22">
        <f t="shared" si="535"/>
        <v>146205</v>
      </c>
      <c r="AK126" s="22">
        <f t="shared" si="535"/>
        <v>146205</v>
      </c>
      <c r="AL126" s="22">
        <f t="shared" si="535"/>
        <v>146205</v>
      </c>
      <c r="AM126" s="22">
        <f t="shared" si="535"/>
        <v>146205</v>
      </c>
      <c r="AN126" s="22">
        <f t="shared" si="535"/>
        <v>146205</v>
      </c>
      <c r="AO126" s="22">
        <f t="shared" si="536"/>
        <v>1754460</v>
      </c>
      <c r="AQ126" s="106">
        <v>116935.20000000001</v>
      </c>
      <c r="AR126" s="106">
        <v>116935.20000000001</v>
      </c>
      <c r="AS126" s="106">
        <v>116640</v>
      </c>
      <c r="AT126" s="106">
        <v>116730</v>
      </c>
      <c r="AU126" s="106">
        <v>116730</v>
      </c>
      <c r="AV126" s="106">
        <v>87930</v>
      </c>
      <c r="AW126" s="106">
        <v>87930</v>
      </c>
      <c r="AX126" s="106">
        <v>87930</v>
      </c>
      <c r="AY126" s="106">
        <v>87930</v>
      </c>
      <c r="AZ126" s="106">
        <v>87930</v>
      </c>
      <c r="BA126" s="106">
        <v>87930</v>
      </c>
      <c r="BB126" s="106">
        <v>172527.59999999998</v>
      </c>
      <c r="BC126" s="106">
        <f t="shared" si="537"/>
        <v>1284078</v>
      </c>
      <c r="BD126" s="16" t="str">
        <f t="shared" si="334"/>
        <v>Salary - Consultancy Service</v>
      </c>
      <c r="BE126" s="22">
        <f>+VLOOKUP($BD126,'Jan-25'!$A:$J,4,0)</f>
        <v>122670</v>
      </c>
      <c r="BF126" s="22">
        <f>+VLOOKUP($BD126,'Feb-25'!$A:$J,4,0)</f>
        <v>122670</v>
      </c>
      <c r="BG126" s="22">
        <f>+VLOOKUP($BD126,'Mar-25'!$A:$J,4,0)</f>
        <v>122670</v>
      </c>
      <c r="BH126" s="22">
        <f>+VLOOKUP($BD126,'Apr-25'!$A:$J,4,0)</f>
        <v>122670</v>
      </c>
      <c r="BI126" s="22">
        <f>+VLOOKUP($BD126,'May-25'!$A:$J,4,0)</f>
        <v>92430</v>
      </c>
      <c r="BJ126" s="22">
        <f>+VLOOKUP($BD126,'June-25'!$A:$J,4,0)</f>
        <v>106880.90399999999</v>
      </c>
      <c r="BK126" s="22">
        <f>+VLOOKUP($BD126,'July-25'!$A:$J,4,0)</f>
        <v>147920.90399999998</v>
      </c>
      <c r="BL126" s="22">
        <f>+VLOOKUP($BD126,'Aug-25'!$A:$J,4,0)</f>
        <v>123620.90399999999</v>
      </c>
      <c r="BM126" s="22">
        <f>+VLOOKUP($BD126,'Sep-25'!$A:$J,4,0)</f>
        <v>148280.4</v>
      </c>
      <c r="BN126" s="22">
        <f>+VLOOKUP($BD126,'Oct-25'!$A:$J,4,0)</f>
        <v>175707.9</v>
      </c>
      <c r="BO126" s="22">
        <f>+VLOOKUP($BD126,'Nov-25'!$A:$J,4,0)</f>
        <v>0</v>
      </c>
      <c r="BP126" s="22">
        <f>+VLOOKUP($BD126,'Dec-25'!$A:$J,4,0)</f>
        <v>0</v>
      </c>
      <c r="BQ126" s="22">
        <f t="shared" si="538"/>
        <v>1285521.0119999999</v>
      </c>
      <c r="BR126" s="118">
        <f t="shared" si="477"/>
        <v>0.43236243580337486</v>
      </c>
      <c r="BS126" s="106">
        <f>+_xlfn.XLOOKUP($BD126,Budget!$A:$A,Budget!AQ:AQ)</f>
        <v>122670</v>
      </c>
      <c r="BT126" s="106">
        <f>+_xlfn.XLOOKUP($BD126,Budget!$A:$A,Budget!AR:AR)</f>
        <v>122670</v>
      </c>
      <c r="BU126" s="106">
        <f>+_xlfn.XLOOKUP($BD126,Budget!$A:$A,Budget!AS:AS)</f>
        <v>122670</v>
      </c>
      <c r="BV126" s="106">
        <f>+_xlfn.XLOOKUP($BD126,Budget!$A:$A,Budget!AT:AT)</f>
        <v>122670</v>
      </c>
      <c r="BW126" s="106">
        <f>+_xlfn.XLOOKUP($BD126,Budget!$A:$A,Budget!AU:AU)</f>
        <v>122670</v>
      </c>
      <c r="BX126" s="106">
        <f>+_xlfn.XLOOKUP($BD126,Budget!$A:$A,Budget!AV:AV)</f>
        <v>122670</v>
      </c>
      <c r="BY126" s="106">
        <f>+_xlfn.XLOOKUP($BD126,Budget!$A:$A,Budget!AW:AW)</f>
        <v>122670</v>
      </c>
      <c r="BZ126" s="106">
        <f>+_xlfn.XLOOKUP($BD126,Budget!$A:$A,Budget!AX:AX)</f>
        <v>122670</v>
      </c>
      <c r="CA126" s="106">
        <f>+_xlfn.XLOOKUP($BD126,Budget!$A:$A,Budget!AY:AY)</f>
        <v>122670</v>
      </c>
      <c r="CB126" s="106">
        <f>+_xlfn.XLOOKUP($BD126,Budget!$A:$A,Budget!AZ:AZ)</f>
        <v>122670</v>
      </c>
      <c r="CC126" s="106">
        <f>+_xlfn.XLOOKUP($BD126,Budget!$A:$A,Budget!BA:BA)</f>
        <v>122670</v>
      </c>
      <c r="CD126" s="106">
        <f>+_xlfn.XLOOKUP($BD126,Budget!$A:$A,Budget!BB:BB)</f>
        <v>122670</v>
      </c>
      <c r="CE126" s="106">
        <f t="shared" si="539"/>
        <v>1472040</v>
      </c>
      <c r="CF126" s="22"/>
      <c r="CG126" s="22">
        <v>22563</v>
      </c>
      <c r="CH126" s="22">
        <v>22563</v>
      </c>
      <c r="CI126" s="22">
        <v>22320</v>
      </c>
      <c r="CJ126" s="22">
        <v>22365</v>
      </c>
      <c r="CK126" s="22">
        <v>70365</v>
      </c>
      <c r="CL126" s="22">
        <v>51165</v>
      </c>
      <c r="CM126" s="22">
        <v>51165</v>
      </c>
      <c r="CN126" s="22">
        <v>51165</v>
      </c>
      <c r="CO126" s="22">
        <v>51165</v>
      </c>
      <c r="CP126" s="22">
        <v>51165</v>
      </c>
      <c r="CQ126" s="22">
        <v>51165</v>
      </c>
      <c r="CR126" s="22">
        <v>22365</v>
      </c>
      <c r="CS126" s="106">
        <f t="shared" si="540"/>
        <v>489531</v>
      </c>
      <c r="CT126" s="16" t="str">
        <f t="shared" si="338"/>
        <v>Salary - Consultancy Service</v>
      </c>
      <c r="CU126" s="22">
        <f>+VLOOKUP($BD126,'Jan-25'!$A:$J,7,0)</f>
        <v>23535</v>
      </c>
      <c r="CV126" s="22">
        <f>+VLOOKUP($BD126,'Feb-25'!$A:$J,7,0)</f>
        <v>23535</v>
      </c>
      <c r="CW126" s="22">
        <f>+VLOOKUP($BD126,'Mar-25'!$A:$J,7,0)</f>
        <v>23535</v>
      </c>
      <c r="CX126" s="22">
        <f>+VLOOKUP($BD126,'Apr-25'!$A:$J,7,0)</f>
        <v>23535</v>
      </c>
      <c r="CY126" s="22">
        <f>+VLOOKUP($BD126,'May-25'!$A:$J,7,0)</f>
        <v>38655</v>
      </c>
      <c r="CZ126" s="22">
        <f>+VLOOKUP($BD126,'June-25'!$A:$J,7,0)</f>
        <v>61000.451999999997</v>
      </c>
      <c r="DA126" s="22">
        <f>+VLOOKUP($BD126,'July-25'!$A:$J,7,0)</f>
        <v>77740.45199999999</v>
      </c>
      <c r="DB126" s="22">
        <f>+VLOOKUP($BD126,'Aug-25'!$A:$J,7,0)</f>
        <v>65590.45199999999</v>
      </c>
      <c r="DC126" s="22">
        <f>+VLOOKUP($BD126,'Sep-25'!$A:$J,7,0)</f>
        <v>77920.2</v>
      </c>
      <c r="DD126" s="22">
        <f>+VLOOKUP($BD126,'Oct-25'!$A:$J,7,0)</f>
        <v>100453.95</v>
      </c>
      <c r="DE126" s="22">
        <f>+VLOOKUP($BD126,'Nov-25'!$A:$J,7,0)</f>
        <v>0</v>
      </c>
      <c r="DF126" s="22">
        <f>+VLOOKUP($BD126,'Dec-25'!$A:$J,7,0)</f>
        <v>0</v>
      </c>
      <c r="DG126" s="22">
        <f t="shared" si="541"/>
        <v>515500.50599999999</v>
      </c>
      <c r="DH126" s="118">
        <f t="shared" si="478"/>
        <v>3.2682791586998086</v>
      </c>
      <c r="DI126" s="22">
        <f>+_xlfn.XLOOKUP($CT126,Budget!$A:$A,Budget!CD:CD)</f>
        <v>23535</v>
      </c>
      <c r="DJ126" s="22">
        <f>+_xlfn.XLOOKUP($CT126,Budget!$A:$A,Budget!CE:CE)</f>
        <v>23535</v>
      </c>
      <c r="DK126" s="22">
        <f>+_xlfn.XLOOKUP($CT126,Budget!$A:$A,Budget!CF:CF)</f>
        <v>23535</v>
      </c>
      <c r="DL126" s="22">
        <f>+_xlfn.XLOOKUP($CT126,Budget!$A:$A,Budget!CG:CG)</f>
        <v>23535</v>
      </c>
      <c r="DM126" s="22">
        <f>+_xlfn.XLOOKUP($CT126,Budget!$A:$A,Budget!CH:CH)</f>
        <v>23535</v>
      </c>
      <c r="DN126" s="22">
        <f>+_xlfn.XLOOKUP($CT126,Budget!$A:$A,Budget!CI:CI)</f>
        <v>23535</v>
      </c>
      <c r="DO126" s="22">
        <f>+_xlfn.XLOOKUP($CT126,Budget!$A:$A,Budget!CJ:CJ)</f>
        <v>23535</v>
      </c>
      <c r="DP126" s="22">
        <f>+_xlfn.XLOOKUP($CT126,Budget!$A:$A,Budget!CK:CK)</f>
        <v>23535</v>
      </c>
      <c r="DQ126" s="22">
        <f>+_xlfn.XLOOKUP($CT126,Budget!$A:$A,Budget!CL:CL)</f>
        <v>23535</v>
      </c>
      <c r="DR126" s="22">
        <f>+_xlfn.XLOOKUP($CT126,Budget!$A:$A,Budget!CM:CM)</f>
        <v>23535</v>
      </c>
      <c r="DS126" s="22">
        <f>+_xlfn.XLOOKUP($CT126,Budget!$A:$A,Budget!CN:CN)</f>
        <v>23535</v>
      </c>
      <c r="DT126" s="22">
        <f>+_xlfn.XLOOKUP($CT126,Budget!$A:$A,Budget!CO:CO)</f>
        <v>23535</v>
      </c>
      <c r="DU126" s="106">
        <f t="shared" si="542"/>
        <v>282420</v>
      </c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106">
        <f t="shared" si="543"/>
        <v>0</v>
      </c>
      <c r="EJ126" s="16" t="str">
        <f t="shared" si="376"/>
        <v>Salary - Consultancy Service</v>
      </c>
      <c r="EK126" s="22">
        <f>+VLOOKUP($BD126,'Jan-25'!$A:$J,9,0)</f>
        <v>0</v>
      </c>
      <c r="EL126" s="22">
        <f>+VLOOKUP($BD126,'Feb-25'!$A:$J,9,0)</f>
        <v>0</v>
      </c>
      <c r="EM126" s="22">
        <f>+VLOOKUP($BD126,'Mar-25'!$A:$J,9,0)</f>
        <v>0</v>
      </c>
      <c r="EN126" s="22">
        <f>+VLOOKUP($BD126,'Apr-25'!$A:$J,9,0)</f>
        <v>0</v>
      </c>
      <c r="EO126" s="22">
        <f>+VLOOKUP($BD126,'May-25'!$A:$J,9,0)</f>
        <v>0</v>
      </c>
      <c r="EP126" s="22">
        <f>+VLOOKUP($BD126,'June-25'!$A:$J,9,0)</f>
        <v>0</v>
      </c>
      <c r="EQ126" s="22">
        <f>+VLOOKUP($BD126,'July-25'!$A:$J,9,0)</f>
        <v>15120</v>
      </c>
      <c r="ER126" s="22">
        <f>+VLOOKUP($BD126,'Aug-25'!$A:$J,9,0)</f>
        <v>15120</v>
      </c>
      <c r="ES126" s="22">
        <f>+VLOOKUP($BD126,'Sep-25'!$A:$J,9,0)</f>
        <v>15120</v>
      </c>
      <c r="ET126" s="22">
        <f>+VLOOKUP($BD126,'Oct-25'!$A:$J,9,0)</f>
        <v>0</v>
      </c>
      <c r="EU126" s="22">
        <f>+VLOOKUP($BD126,'Nov-25'!$A:$J,9,0)</f>
        <v>0</v>
      </c>
      <c r="EV126" s="22">
        <f>+VLOOKUP($BD126,'Dec-25'!$A:$J,9,0)</f>
        <v>0</v>
      </c>
      <c r="EW126" s="22">
        <f t="shared" si="544"/>
        <v>45360</v>
      </c>
      <c r="EX126" s="118">
        <f t="shared" si="479"/>
        <v>0</v>
      </c>
      <c r="EY126" s="22">
        <f>+_xlfn.XLOOKUP($EJ126,Budget!$A:$A,Budget!DE:DE)</f>
        <v>0</v>
      </c>
      <c r="EZ126" s="22">
        <f>+_xlfn.XLOOKUP($EJ126,Budget!$A:$A,Budget!DF:DF)</f>
        <v>0</v>
      </c>
      <c r="FA126" s="22">
        <f>+_xlfn.XLOOKUP($EJ126,Budget!$A:$A,Budget!DG:DG)</f>
        <v>0</v>
      </c>
      <c r="FB126" s="22">
        <f>+_xlfn.XLOOKUP($EJ126,Budget!$A:$A,Budget!DH:DH)</f>
        <v>0</v>
      </c>
      <c r="FC126" s="22">
        <f>+_xlfn.XLOOKUP($EJ126,Budget!$A:$A,Budget!DI:DI)</f>
        <v>0</v>
      </c>
      <c r="FD126" s="22">
        <f>+_xlfn.XLOOKUP($EJ126,Budget!$A:$A,Budget!DJ:DJ)</f>
        <v>0</v>
      </c>
      <c r="FE126" s="22">
        <f>+_xlfn.XLOOKUP($EJ126,Budget!$A:$A,Budget!DK:DK)</f>
        <v>0</v>
      </c>
      <c r="FF126" s="22">
        <f>+_xlfn.XLOOKUP($EJ126,Budget!$A:$A,Budget!DL:DL)</f>
        <v>0</v>
      </c>
      <c r="FG126" s="22">
        <f>+_xlfn.XLOOKUP($EJ126,Budget!$A:$A,Budget!DM:DM)</f>
        <v>0</v>
      </c>
      <c r="FH126" s="22">
        <f>+_xlfn.XLOOKUP($EJ126,Budget!$A:$A,Budget!DN:DN)</f>
        <v>0</v>
      </c>
      <c r="FI126" s="22">
        <f>+_xlfn.XLOOKUP($EJ126,Budget!$A:$A,Budget!DO:DO)</f>
        <v>0</v>
      </c>
      <c r="FJ126" s="22">
        <f>+_xlfn.XLOOKUP($EJ126,Budget!$A:$A,Budget!DP:DP)</f>
        <v>0</v>
      </c>
      <c r="FK126" s="106">
        <f t="shared" si="545"/>
        <v>0</v>
      </c>
    </row>
    <row r="127" spans="1:167" ht="14.45" hidden="1" customHeight="1" outlineLevel="2">
      <c r="A127" s="106">
        <f t="shared" si="531"/>
        <v>38142.837499999994</v>
      </c>
      <c r="B127" s="106">
        <f t="shared" si="531"/>
        <v>60721.875961538462</v>
      </c>
      <c r="C127" s="106">
        <f t="shared" si="531"/>
        <v>60721.875961538462</v>
      </c>
      <c r="D127" s="106">
        <f t="shared" si="531"/>
        <v>60721.875961538462</v>
      </c>
      <c r="E127" s="106">
        <f t="shared" si="531"/>
        <v>60721.875961538462</v>
      </c>
      <c r="F127" s="106">
        <f t="shared" si="531"/>
        <v>60721.875961538462</v>
      </c>
      <c r="G127" s="106">
        <f t="shared" si="531"/>
        <v>60721.875961538462</v>
      </c>
      <c r="H127" s="106">
        <f t="shared" si="531"/>
        <v>60721.875961538462</v>
      </c>
      <c r="I127" s="106">
        <f t="shared" si="531"/>
        <v>60721.875961538462</v>
      </c>
      <c r="J127" s="106">
        <f t="shared" si="531"/>
        <v>60721.875961538462</v>
      </c>
      <c r="K127" s="106">
        <f t="shared" si="531"/>
        <v>60721.875961538462</v>
      </c>
      <c r="L127" s="106">
        <f t="shared" si="531"/>
        <v>60721.875961538462</v>
      </c>
      <c r="M127" s="106">
        <f t="shared" si="532"/>
        <v>706083.47307692305</v>
      </c>
      <c r="N127" s="16" t="s">
        <v>105</v>
      </c>
      <c r="O127" s="22">
        <f t="shared" si="533"/>
        <v>50798.076923076922</v>
      </c>
      <c r="P127" s="22">
        <f t="shared" si="533"/>
        <v>50798.076923076922</v>
      </c>
      <c r="Q127" s="22">
        <f t="shared" si="533"/>
        <v>50798.076923076922</v>
      </c>
      <c r="R127" s="22">
        <f t="shared" si="533"/>
        <v>50798.076923076922</v>
      </c>
      <c r="S127" s="22">
        <f t="shared" si="533"/>
        <v>50798.076923076922</v>
      </c>
      <c r="T127" s="22">
        <f t="shared" si="533"/>
        <v>50798.076923076922</v>
      </c>
      <c r="U127" s="22">
        <f t="shared" si="533"/>
        <v>50798.076923076922</v>
      </c>
      <c r="V127" s="22">
        <f t="shared" si="533"/>
        <v>50798.076923076922</v>
      </c>
      <c r="W127" s="22">
        <f t="shared" si="533"/>
        <v>50798.076923076922</v>
      </c>
      <c r="X127" s="22">
        <f t="shared" si="533"/>
        <v>50798.076923076922</v>
      </c>
      <c r="Y127" s="22">
        <f t="shared" si="533"/>
        <v>0</v>
      </c>
      <c r="Z127" s="22">
        <f t="shared" si="533"/>
        <v>0</v>
      </c>
      <c r="AA127" s="22">
        <f t="shared" si="534"/>
        <v>507980.76923076931</v>
      </c>
      <c r="AB127" s="118">
        <f t="shared" si="476"/>
        <v>0</v>
      </c>
      <c r="AC127" s="22">
        <f t="shared" si="535"/>
        <v>50798.076923076922</v>
      </c>
      <c r="AD127" s="22">
        <f t="shared" si="535"/>
        <v>50798.076923076922</v>
      </c>
      <c r="AE127" s="22">
        <f t="shared" si="535"/>
        <v>50798.076923076922</v>
      </c>
      <c r="AF127" s="22">
        <f t="shared" si="535"/>
        <v>50798.076923076922</v>
      </c>
      <c r="AG127" s="22">
        <f t="shared" si="535"/>
        <v>50798.076923076922</v>
      </c>
      <c r="AH127" s="22">
        <f t="shared" si="535"/>
        <v>50798.076923076922</v>
      </c>
      <c r="AI127" s="22">
        <f t="shared" si="535"/>
        <v>50798.076923076922</v>
      </c>
      <c r="AJ127" s="22">
        <f t="shared" si="535"/>
        <v>50798.076923076922</v>
      </c>
      <c r="AK127" s="22">
        <f t="shared" si="535"/>
        <v>50798.076923076922</v>
      </c>
      <c r="AL127" s="22">
        <f t="shared" si="535"/>
        <v>50798.076923076922</v>
      </c>
      <c r="AM127" s="22">
        <f t="shared" si="535"/>
        <v>50798.076923076922</v>
      </c>
      <c r="AN127" s="22">
        <f t="shared" si="535"/>
        <v>50798.076923076922</v>
      </c>
      <c r="AO127" s="22">
        <f t="shared" si="536"/>
        <v>609576.92307692312</v>
      </c>
      <c r="AQ127" s="106">
        <v>27262.628846153846</v>
      </c>
      <c r="AR127" s="106">
        <v>41810.705769230772</v>
      </c>
      <c r="AS127" s="106">
        <v>41810.705769230772</v>
      </c>
      <c r="AT127" s="106">
        <v>41810.705769230772</v>
      </c>
      <c r="AU127" s="106">
        <v>41810.705769230772</v>
      </c>
      <c r="AV127" s="106">
        <v>41810.705769230772</v>
      </c>
      <c r="AW127" s="106">
        <v>41810.705769230772</v>
      </c>
      <c r="AX127" s="106">
        <v>41810.705769230772</v>
      </c>
      <c r="AY127" s="106">
        <v>41810.705769230772</v>
      </c>
      <c r="AZ127" s="106">
        <v>41810.705769230772</v>
      </c>
      <c r="BA127" s="106">
        <v>41810.705769230772</v>
      </c>
      <c r="BB127" s="106">
        <v>41810.705769230772</v>
      </c>
      <c r="BC127" s="106">
        <f t="shared" si="537"/>
        <v>487180.39230769244</v>
      </c>
      <c r="BD127" s="16" t="str">
        <f t="shared" si="334"/>
        <v>Employee Gratuity</v>
      </c>
      <c r="BE127" s="22">
        <f>+VLOOKUP($BD127,'Jan-25'!$A:$J,4,0)</f>
        <v>28437.499999999996</v>
      </c>
      <c r="BF127" s="22">
        <f>+VLOOKUP($BD127,'Feb-25'!$A:$J,4,0)</f>
        <v>28437.499999999996</v>
      </c>
      <c r="BG127" s="22">
        <f>+VLOOKUP($BD127,'Mar-25'!$A:$J,4,0)</f>
        <v>28437.499999999996</v>
      </c>
      <c r="BH127" s="22">
        <f>+VLOOKUP($BD127,'Apr-25'!$A:$J,4,0)</f>
        <v>28437.499999999996</v>
      </c>
      <c r="BI127" s="22">
        <f>+VLOOKUP($BD127,'May-25'!$A:$J,4,0)</f>
        <v>28437.499999999996</v>
      </c>
      <c r="BJ127" s="22">
        <f>+VLOOKUP($BD127,'June-25'!$A:$J,4,0)</f>
        <v>28437.499999999996</v>
      </c>
      <c r="BK127" s="22">
        <f>+VLOOKUP($BD127,'July-25'!$A:$J,4,0)</f>
        <v>28437.499999999996</v>
      </c>
      <c r="BL127" s="22">
        <f>+VLOOKUP($BD127,'Aug-25'!$A:$J,4,0)</f>
        <v>28437.499999999996</v>
      </c>
      <c r="BM127" s="22">
        <f>+VLOOKUP($BD127,'Sep-25'!$A:$J,4,0)</f>
        <v>28437.499999999996</v>
      </c>
      <c r="BN127" s="22">
        <f>+VLOOKUP($BD127,'Oct-25'!$A:$J,4,0)</f>
        <v>28437.499999999996</v>
      </c>
      <c r="BO127" s="22">
        <f>+VLOOKUP($BD127,'Nov-25'!$A:$J,4,0)</f>
        <v>0</v>
      </c>
      <c r="BP127" s="22">
        <f>+VLOOKUP($BD127,'Dec-25'!$A:$J,4,0)</f>
        <v>0</v>
      </c>
      <c r="BQ127" s="22">
        <f t="shared" si="538"/>
        <v>284374.99999999994</v>
      </c>
      <c r="BR127" s="118">
        <f t="shared" si="477"/>
        <v>0</v>
      </c>
      <c r="BS127" s="106">
        <f>+_xlfn.XLOOKUP($BD127,Budget!$A:$A,Budget!AQ:AQ)</f>
        <v>28437.499999999996</v>
      </c>
      <c r="BT127" s="106">
        <f>+_xlfn.XLOOKUP($BD127,Budget!$A:$A,Budget!AR:AR)</f>
        <v>28437.499999999996</v>
      </c>
      <c r="BU127" s="106">
        <f>+_xlfn.XLOOKUP($BD127,Budget!$A:$A,Budget!AS:AS)</f>
        <v>28437.499999999996</v>
      </c>
      <c r="BV127" s="106">
        <f>+_xlfn.XLOOKUP($BD127,Budget!$A:$A,Budget!AT:AT)</f>
        <v>28437.499999999996</v>
      </c>
      <c r="BW127" s="106">
        <f>+_xlfn.XLOOKUP($BD127,Budget!$A:$A,Budget!AU:AU)</f>
        <v>28437.499999999996</v>
      </c>
      <c r="BX127" s="106">
        <f>+_xlfn.XLOOKUP($BD127,Budget!$A:$A,Budget!AV:AV)</f>
        <v>28437.499999999996</v>
      </c>
      <c r="BY127" s="106">
        <f>+_xlfn.XLOOKUP($BD127,Budget!$A:$A,Budget!AW:AW)</f>
        <v>28437.499999999996</v>
      </c>
      <c r="BZ127" s="106">
        <f>+_xlfn.XLOOKUP($BD127,Budget!$A:$A,Budget!AX:AX)</f>
        <v>28437.499999999996</v>
      </c>
      <c r="CA127" s="106">
        <f>+_xlfn.XLOOKUP($BD127,Budget!$A:$A,Budget!AY:AY)</f>
        <v>28437.499999999996</v>
      </c>
      <c r="CB127" s="106">
        <f>+_xlfn.XLOOKUP($BD127,Budget!$A:$A,Budget!AZ:AZ)</f>
        <v>28437.499999999996</v>
      </c>
      <c r="CC127" s="106">
        <f>+_xlfn.XLOOKUP($BD127,Budget!$A:$A,Budget!BA:BA)</f>
        <v>28437.499999999996</v>
      </c>
      <c r="CD127" s="106">
        <f>+_xlfn.XLOOKUP($BD127,Budget!$A:$A,Budget!BB:BB)</f>
        <v>28437.499999999996</v>
      </c>
      <c r="CE127" s="106">
        <f t="shared" si="539"/>
        <v>341249.99999999994</v>
      </c>
      <c r="CF127" s="22"/>
      <c r="CG127" s="22">
        <v>10880.208653846152</v>
      </c>
      <c r="CH127" s="22">
        <v>18911.170192307691</v>
      </c>
      <c r="CI127" s="22">
        <v>18911.170192307691</v>
      </c>
      <c r="CJ127" s="22">
        <v>18911.170192307691</v>
      </c>
      <c r="CK127" s="22">
        <v>18911.170192307691</v>
      </c>
      <c r="CL127" s="22">
        <v>18911.170192307691</v>
      </c>
      <c r="CM127" s="22">
        <v>18911.170192307691</v>
      </c>
      <c r="CN127" s="22">
        <v>18911.170192307691</v>
      </c>
      <c r="CO127" s="22">
        <v>18911.170192307691</v>
      </c>
      <c r="CP127" s="22">
        <v>18911.170192307691</v>
      </c>
      <c r="CQ127" s="22">
        <v>18911.170192307691</v>
      </c>
      <c r="CR127" s="22">
        <v>18911.170192307691</v>
      </c>
      <c r="CS127" s="106">
        <f t="shared" si="540"/>
        <v>218903.08076923073</v>
      </c>
      <c r="CT127" s="16" t="str">
        <f t="shared" si="338"/>
        <v>Employee Gratuity</v>
      </c>
      <c r="CU127" s="22">
        <f>+VLOOKUP($BD127,'Jan-25'!$A:$J,7,0)</f>
        <v>14716.346153846156</v>
      </c>
      <c r="CV127" s="22">
        <f>+VLOOKUP($BD127,'Feb-25'!$A:$J,7,0)</f>
        <v>14716.346153846156</v>
      </c>
      <c r="CW127" s="22">
        <f>+VLOOKUP($BD127,'Mar-25'!$A:$J,7,0)</f>
        <v>14716.346153846156</v>
      </c>
      <c r="CX127" s="22">
        <f>+VLOOKUP($BD127,'Apr-25'!$A:$J,7,0)</f>
        <v>14716.346153846156</v>
      </c>
      <c r="CY127" s="22">
        <f>+VLOOKUP($BD127,'May-25'!$A:$J,7,0)</f>
        <v>14716.346153846156</v>
      </c>
      <c r="CZ127" s="22">
        <f>+VLOOKUP($BD127,'June-25'!$A:$J,7,0)</f>
        <v>14716.346153846156</v>
      </c>
      <c r="DA127" s="22">
        <f>+VLOOKUP($BD127,'July-25'!$A:$J,7,0)</f>
        <v>14716.346153846156</v>
      </c>
      <c r="DB127" s="22">
        <f>+VLOOKUP($BD127,'Aug-25'!$A:$J,7,0)</f>
        <v>14716.346153846156</v>
      </c>
      <c r="DC127" s="22">
        <f>+VLOOKUP($BD127,'Sep-25'!$A:$J,7,0)</f>
        <v>14716.346153846156</v>
      </c>
      <c r="DD127" s="22">
        <f>+VLOOKUP($BD127,'Oct-25'!$A:$J,7,0)</f>
        <v>14716.346153846156</v>
      </c>
      <c r="DE127" s="22">
        <f>+VLOOKUP($BD127,'Nov-25'!$A:$J,7,0)</f>
        <v>0</v>
      </c>
      <c r="DF127" s="22">
        <f>+VLOOKUP($BD127,'Dec-25'!$A:$J,7,0)</f>
        <v>0</v>
      </c>
      <c r="DG127" s="22">
        <f t="shared" si="541"/>
        <v>147163.46153846156</v>
      </c>
      <c r="DH127" s="118">
        <f t="shared" si="478"/>
        <v>0</v>
      </c>
      <c r="DI127" s="22">
        <f>+_xlfn.XLOOKUP($CT127,Budget!$A:$A,Budget!CD:CD)</f>
        <v>14716.346153846156</v>
      </c>
      <c r="DJ127" s="22">
        <f>+_xlfn.XLOOKUP($CT127,Budget!$A:$A,Budget!CE:CE)</f>
        <v>14716.346153846156</v>
      </c>
      <c r="DK127" s="22">
        <f>+_xlfn.XLOOKUP($CT127,Budget!$A:$A,Budget!CF:CF)</f>
        <v>14716.346153846156</v>
      </c>
      <c r="DL127" s="22">
        <f>+_xlfn.XLOOKUP($CT127,Budget!$A:$A,Budget!CG:CG)</f>
        <v>14716.346153846156</v>
      </c>
      <c r="DM127" s="22">
        <f>+_xlfn.XLOOKUP($CT127,Budget!$A:$A,Budget!CH:CH)</f>
        <v>14716.346153846156</v>
      </c>
      <c r="DN127" s="22">
        <f>+_xlfn.XLOOKUP($CT127,Budget!$A:$A,Budget!CI:CI)</f>
        <v>14716.346153846156</v>
      </c>
      <c r="DO127" s="22">
        <f>+_xlfn.XLOOKUP($CT127,Budget!$A:$A,Budget!CJ:CJ)</f>
        <v>14716.346153846156</v>
      </c>
      <c r="DP127" s="22">
        <f>+_xlfn.XLOOKUP($CT127,Budget!$A:$A,Budget!CK:CK)</f>
        <v>14716.346153846156</v>
      </c>
      <c r="DQ127" s="22">
        <f>+_xlfn.XLOOKUP($CT127,Budget!$A:$A,Budget!CL:CL)</f>
        <v>14716.346153846156</v>
      </c>
      <c r="DR127" s="22">
        <f>+_xlfn.XLOOKUP($CT127,Budget!$A:$A,Budget!CM:CM)</f>
        <v>14716.346153846156</v>
      </c>
      <c r="DS127" s="22">
        <f>+_xlfn.XLOOKUP($CT127,Budget!$A:$A,Budget!CN:CN)</f>
        <v>14716.346153846156</v>
      </c>
      <c r="DT127" s="22">
        <f>+_xlfn.XLOOKUP($CT127,Budget!$A:$A,Budget!CO:CO)</f>
        <v>14716.346153846156</v>
      </c>
      <c r="DU127" s="106">
        <f t="shared" si="542"/>
        <v>176596.15384615387</v>
      </c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106">
        <f t="shared" si="543"/>
        <v>0</v>
      </c>
      <c r="EJ127" s="16" t="str">
        <f t="shared" si="376"/>
        <v>Employee Gratuity</v>
      </c>
      <c r="EK127" s="22">
        <f>+VLOOKUP($BD127,'Jan-25'!$A:$J,9,0)</f>
        <v>7644.2307692307695</v>
      </c>
      <c r="EL127" s="22">
        <f>+VLOOKUP($BD127,'Feb-25'!$A:$J,9,0)</f>
        <v>7644.2307692307695</v>
      </c>
      <c r="EM127" s="22">
        <f>+VLOOKUP($BD127,'Mar-25'!$A:$J,9,0)</f>
        <v>7644.2307692307695</v>
      </c>
      <c r="EN127" s="22">
        <f>+VLOOKUP($BD127,'Apr-25'!$A:$J,9,0)</f>
        <v>7644.2307692307695</v>
      </c>
      <c r="EO127" s="22">
        <f>+VLOOKUP($BD127,'May-25'!$A:$J,9,0)</f>
        <v>7644.2307692307695</v>
      </c>
      <c r="EP127" s="22">
        <f>+VLOOKUP($BD127,'June-25'!$A:$J,9,0)</f>
        <v>7644.2307692307695</v>
      </c>
      <c r="EQ127" s="22">
        <f>+VLOOKUP($BD127,'July-25'!$A:$J,9,0)</f>
        <v>7644.2307692307695</v>
      </c>
      <c r="ER127" s="22">
        <f>+VLOOKUP($BD127,'Aug-25'!$A:$J,9,0)</f>
        <v>7644.2307692307695</v>
      </c>
      <c r="ES127" s="22">
        <f>+VLOOKUP($BD127,'Sep-25'!$A:$J,9,0)</f>
        <v>7644.2307692307695</v>
      </c>
      <c r="ET127" s="22">
        <f>+VLOOKUP($BD127,'Oct-25'!$A:$J,9,0)</f>
        <v>7644.2307692307695</v>
      </c>
      <c r="EU127" s="22">
        <f>+VLOOKUP($BD127,'Nov-25'!$A:$J,9,0)</f>
        <v>0</v>
      </c>
      <c r="EV127" s="22">
        <f>+VLOOKUP($BD127,'Dec-25'!$A:$J,9,0)</f>
        <v>0</v>
      </c>
      <c r="EW127" s="22">
        <f t="shared" si="544"/>
        <v>76442.307692307673</v>
      </c>
      <c r="EX127" s="118">
        <f t="shared" si="479"/>
        <v>0</v>
      </c>
      <c r="EY127" s="22">
        <f>+_xlfn.XLOOKUP($EJ127,Budget!$A:$A,Budget!DE:DE)</f>
        <v>7644.2307692307695</v>
      </c>
      <c r="EZ127" s="22">
        <f>+_xlfn.XLOOKUP($EJ127,Budget!$A:$A,Budget!DF:DF)</f>
        <v>7644.2307692307695</v>
      </c>
      <c r="FA127" s="22">
        <f>+_xlfn.XLOOKUP($EJ127,Budget!$A:$A,Budget!DG:DG)</f>
        <v>7644.2307692307695</v>
      </c>
      <c r="FB127" s="22">
        <f>+_xlfn.XLOOKUP($EJ127,Budget!$A:$A,Budget!DH:DH)</f>
        <v>7644.2307692307695</v>
      </c>
      <c r="FC127" s="22">
        <f>+_xlfn.XLOOKUP($EJ127,Budget!$A:$A,Budget!DI:DI)</f>
        <v>7644.2307692307695</v>
      </c>
      <c r="FD127" s="22">
        <f>+_xlfn.XLOOKUP($EJ127,Budget!$A:$A,Budget!DJ:DJ)</f>
        <v>7644.2307692307695</v>
      </c>
      <c r="FE127" s="22">
        <f>+_xlfn.XLOOKUP($EJ127,Budget!$A:$A,Budget!DK:DK)</f>
        <v>7644.2307692307695</v>
      </c>
      <c r="FF127" s="22">
        <f>+_xlfn.XLOOKUP($EJ127,Budget!$A:$A,Budget!DL:DL)</f>
        <v>7644.2307692307695</v>
      </c>
      <c r="FG127" s="22">
        <f>+_xlfn.XLOOKUP($EJ127,Budget!$A:$A,Budget!DM:DM)</f>
        <v>7644.2307692307695</v>
      </c>
      <c r="FH127" s="22">
        <f>+_xlfn.XLOOKUP($EJ127,Budget!$A:$A,Budget!DN:DN)</f>
        <v>7644.2307692307695</v>
      </c>
      <c r="FI127" s="22">
        <f>+_xlfn.XLOOKUP($EJ127,Budget!$A:$A,Budget!DO:DO)</f>
        <v>7644.2307692307695</v>
      </c>
      <c r="FJ127" s="22">
        <f>+_xlfn.XLOOKUP($EJ127,Budget!$A:$A,Budget!DP:DP)</f>
        <v>7644.2307692307695</v>
      </c>
      <c r="FK127" s="106">
        <f t="shared" si="545"/>
        <v>91730.769230769205</v>
      </c>
    </row>
    <row r="128" spans="1:167" ht="14.45" hidden="1" customHeight="1" outlineLevel="2">
      <c r="A128" s="106">
        <f t="shared" si="531"/>
        <v>55621.82166666667</v>
      </c>
      <c r="B128" s="106">
        <f t="shared" si="531"/>
        <v>80998.82166666667</v>
      </c>
      <c r="C128" s="106">
        <f t="shared" si="531"/>
        <v>80998.82166666667</v>
      </c>
      <c r="D128" s="106">
        <f t="shared" si="531"/>
        <v>80998.82166666667</v>
      </c>
      <c r="E128" s="106">
        <f t="shared" si="531"/>
        <v>80998.82166666667</v>
      </c>
      <c r="F128" s="106">
        <f t="shared" si="531"/>
        <v>80998.82166666667</v>
      </c>
      <c r="G128" s="106">
        <f t="shared" si="531"/>
        <v>80998.82166666667</v>
      </c>
      <c r="H128" s="106">
        <f t="shared" si="531"/>
        <v>80998.82166666667</v>
      </c>
      <c r="I128" s="106">
        <f t="shared" si="531"/>
        <v>80998.82166666667</v>
      </c>
      <c r="J128" s="106">
        <f t="shared" si="531"/>
        <v>80998.82166666667</v>
      </c>
      <c r="K128" s="106">
        <f t="shared" si="531"/>
        <v>80998.82166666667</v>
      </c>
      <c r="L128" s="106">
        <f t="shared" si="531"/>
        <v>80998.82166666667</v>
      </c>
      <c r="M128" s="106">
        <f t="shared" si="532"/>
        <v>946608.86</v>
      </c>
      <c r="N128" s="16" t="s">
        <v>226</v>
      </c>
      <c r="O128" s="22">
        <f t="shared" si="533"/>
        <v>73366.666666666657</v>
      </c>
      <c r="P128" s="22">
        <f t="shared" si="533"/>
        <v>73366.666666666657</v>
      </c>
      <c r="Q128" s="22">
        <f t="shared" si="533"/>
        <v>73366.666666666657</v>
      </c>
      <c r="R128" s="22">
        <f t="shared" si="533"/>
        <v>73366.666666666657</v>
      </c>
      <c r="S128" s="22">
        <f t="shared" si="533"/>
        <v>73366.666666666657</v>
      </c>
      <c r="T128" s="22">
        <f t="shared" si="533"/>
        <v>73366.666666666657</v>
      </c>
      <c r="U128" s="22">
        <f t="shared" si="533"/>
        <v>73366.666666666657</v>
      </c>
      <c r="V128" s="22">
        <f t="shared" si="533"/>
        <v>73366.666666666657</v>
      </c>
      <c r="W128" s="22">
        <f t="shared" si="533"/>
        <v>73366.666666666657</v>
      </c>
      <c r="X128" s="22">
        <f t="shared" si="533"/>
        <v>73366.666666666657</v>
      </c>
      <c r="Y128" s="22">
        <f t="shared" si="533"/>
        <v>0</v>
      </c>
      <c r="Z128" s="22">
        <f t="shared" si="533"/>
        <v>0</v>
      </c>
      <c r="AA128" s="22">
        <f t="shared" si="534"/>
        <v>733666.6666666664</v>
      </c>
      <c r="AB128" s="118">
        <f t="shared" si="476"/>
        <v>0</v>
      </c>
      <c r="AC128" s="22">
        <f t="shared" si="535"/>
        <v>73366.666666666657</v>
      </c>
      <c r="AD128" s="22">
        <f t="shared" si="535"/>
        <v>73366.666666666657</v>
      </c>
      <c r="AE128" s="22">
        <f t="shared" si="535"/>
        <v>73366.666666666657</v>
      </c>
      <c r="AF128" s="22">
        <f t="shared" si="535"/>
        <v>73366.666666666657</v>
      </c>
      <c r="AG128" s="22">
        <f t="shared" si="535"/>
        <v>73366.666666666657</v>
      </c>
      <c r="AH128" s="22">
        <f t="shared" si="535"/>
        <v>73366.666666666657</v>
      </c>
      <c r="AI128" s="22">
        <f t="shared" si="535"/>
        <v>73366.666666666657</v>
      </c>
      <c r="AJ128" s="22">
        <f t="shared" si="535"/>
        <v>73366.666666666657</v>
      </c>
      <c r="AK128" s="22">
        <f t="shared" si="535"/>
        <v>73366.666666666657</v>
      </c>
      <c r="AL128" s="22">
        <f t="shared" si="535"/>
        <v>73366.666666666657</v>
      </c>
      <c r="AM128" s="22">
        <f t="shared" si="535"/>
        <v>73366.666666666657</v>
      </c>
      <c r="AN128" s="22">
        <f t="shared" si="535"/>
        <v>73366.666666666657</v>
      </c>
      <c r="AO128" s="22">
        <f t="shared" si="536"/>
        <v>880399.99999999965</v>
      </c>
      <c r="AQ128" s="106">
        <v>39805.311666666668</v>
      </c>
      <c r="AR128" s="106">
        <v>56845.311666666668</v>
      </c>
      <c r="AS128" s="106">
        <v>56845.311666666668</v>
      </c>
      <c r="AT128" s="106">
        <v>56845.311666666668</v>
      </c>
      <c r="AU128" s="106">
        <v>56845.311666666668</v>
      </c>
      <c r="AV128" s="106">
        <v>56845.311666666668</v>
      </c>
      <c r="AW128" s="106">
        <v>56845.311666666668</v>
      </c>
      <c r="AX128" s="106">
        <v>56845.311666666668</v>
      </c>
      <c r="AY128" s="106">
        <v>56845.311666666668</v>
      </c>
      <c r="AZ128" s="106">
        <v>56845.311666666668</v>
      </c>
      <c r="BA128" s="106">
        <v>56845.311666666668</v>
      </c>
      <c r="BB128" s="106">
        <v>56845.311666666668</v>
      </c>
      <c r="BC128" s="106">
        <f t="shared" si="537"/>
        <v>665103.73999999987</v>
      </c>
      <c r="BD128" s="16" t="str">
        <f t="shared" si="334"/>
        <v>Bonus</v>
      </c>
      <c r="BE128" s="22">
        <f>+VLOOKUP($BD128,'Jan-25'!$A:$J,4,0)</f>
        <v>42233.333333333328</v>
      </c>
      <c r="BF128" s="22">
        <f>+VLOOKUP($BD128,'Feb-25'!$A:$J,4,0)</f>
        <v>42233.333333333328</v>
      </c>
      <c r="BG128" s="22">
        <f>+VLOOKUP($BD128,'Mar-25'!$A:$J,4,0)</f>
        <v>42233.333333333328</v>
      </c>
      <c r="BH128" s="22">
        <f>+VLOOKUP($BD128,'Apr-25'!$A:$J,4,0)</f>
        <v>42233.333333333328</v>
      </c>
      <c r="BI128" s="22">
        <f>+VLOOKUP($BD128,'May-25'!$A:$J,4,0)</f>
        <v>42233.333333333328</v>
      </c>
      <c r="BJ128" s="22">
        <f>+VLOOKUP($BD128,'June-25'!$A:$J,4,0)</f>
        <v>42233.333333333328</v>
      </c>
      <c r="BK128" s="22">
        <f>+VLOOKUP($BD128,'July-25'!$A:$J,4,0)</f>
        <v>42233.333333333328</v>
      </c>
      <c r="BL128" s="22">
        <f>+VLOOKUP($BD128,'Aug-25'!$A:$J,4,0)</f>
        <v>42233.333333333328</v>
      </c>
      <c r="BM128" s="22">
        <f>+VLOOKUP($BD128,'Sep-25'!$A:$J,4,0)</f>
        <v>42233.333333333328</v>
      </c>
      <c r="BN128" s="22">
        <f>+VLOOKUP($BD128,'Oct-25'!$A:$J,4,0)</f>
        <v>42233.333333333328</v>
      </c>
      <c r="BO128" s="22">
        <f>+VLOOKUP($BD128,'Nov-25'!$A:$J,4,0)</f>
        <v>0</v>
      </c>
      <c r="BP128" s="22">
        <f>+VLOOKUP($BD128,'Dec-25'!$A:$J,4,0)</f>
        <v>0</v>
      </c>
      <c r="BQ128" s="22">
        <f t="shared" si="538"/>
        <v>422333.3333333332</v>
      </c>
      <c r="BR128" s="118">
        <f t="shared" si="477"/>
        <v>0</v>
      </c>
      <c r="BS128" s="106">
        <f>+_xlfn.XLOOKUP($BD128,Budget!$A:$A,Budget!AQ:AQ)</f>
        <v>42233.333333333328</v>
      </c>
      <c r="BT128" s="106">
        <f>+_xlfn.XLOOKUP($BD128,Budget!$A:$A,Budget!AR:AR)</f>
        <v>42233.333333333328</v>
      </c>
      <c r="BU128" s="106">
        <f>+_xlfn.XLOOKUP($BD128,Budget!$A:$A,Budget!AS:AS)</f>
        <v>42233.333333333328</v>
      </c>
      <c r="BV128" s="106">
        <f>+_xlfn.XLOOKUP($BD128,Budget!$A:$A,Budget!AT:AT)</f>
        <v>42233.333333333328</v>
      </c>
      <c r="BW128" s="106">
        <f>+_xlfn.XLOOKUP($BD128,Budget!$A:$A,Budget!AU:AU)</f>
        <v>42233.333333333328</v>
      </c>
      <c r="BX128" s="106">
        <f>+_xlfn.XLOOKUP($BD128,Budget!$A:$A,Budget!AV:AV)</f>
        <v>42233.333333333328</v>
      </c>
      <c r="BY128" s="106">
        <f>+_xlfn.XLOOKUP($BD128,Budget!$A:$A,Budget!AW:AW)</f>
        <v>42233.333333333328</v>
      </c>
      <c r="BZ128" s="106">
        <f>+_xlfn.XLOOKUP($BD128,Budget!$A:$A,Budget!AX:AX)</f>
        <v>42233.333333333328</v>
      </c>
      <c r="CA128" s="106">
        <f>+_xlfn.XLOOKUP($BD128,Budget!$A:$A,Budget!AY:AY)</f>
        <v>42233.333333333328</v>
      </c>
      <c r="CB128" s="106">
        <f>+_xlfn.XLOOKUP($BD128,Budget!$A:$A,Budget!AZ:AZ)</f>
        <v>42233.333333333328</v>
      </c>
      <c r="CC128" s="106">
        <f>+_xlfn.XLOOKUP($BD128,Budget!$A:$A,Budget!BA:BA)</f>
        <v>42233.333333333328</v>
      </c>
      <c r="CD128" s="106">
        <f>+_xlfn.XLOOKUP($BD128,Budget!$A:$A,Budget!BB:BB)</f>
        <v>42233.333333333328</v>
      </c>
      <c r="CE128" s="106">
        <f t="shared" si="539"/>
        <v>506799.99999999983</v>
      </c>
      <c r="CF128" s="22"/>
      <c r="CG128" s="22">
        <v>15816.510000000002</v>
      </c>
      <c r="CH128" s="22">
        <v>24153.510000000002</v>
      </c>
      <c r="CI128" s="22">
        <v>24153.510000000002</v>
      </c>
      <c r="CJ128" s="22">
        <v>24153.510000000002</v>
      </c>
      <c r="CK128" s="22">
        <v>24153.510000000002</v>
      </c>
      <c r="CL128" s="22">
        <v>24153.510000000002</v>
      </c>
      <c r="CM128" s="22">
        <v>24153.510000000002</v>
      </c>
      <c r="CN128" s="22">
        <v>24153.510000000002</v>
      </c>
      <c r="CO128" s="22">
        <v>24153.510000000002</v>
      </c>
      <c r="CP128" s="22">
        <v>24153.510000000002</v>
      </c>
      <c r="CQ128" s="22">
        <v>24153.510000000002</v>
      </c>
      <c r="CR128" s="22">
        <v>24153.510000000002</v>
      </c>
      <c r="CS128" s="106">
        <f t="shared" si="540"/>
        <v>281505.12000000005</v>
      </c>
      <c r="CT128" s="16" t="str">
        <f t="shared" si="338"/>
        <v>Bonus</v>
      </c>
      <c r="CU128" s="22">
        <f>+VLOOKUP($BD128,'Jan-25'!$A:$J,7,0)</f>
        <v>20216.666666666664</v>
      </c>
      <c r="CV128" s="22">
        <f>+VLOOKUP($BD128,'Feb-25'!$A:$J,7,0)</f>
        <v>20216.666666666664</v>
      </c>
      <c r="CW128" s="22">
        <f>+VLOOKUP($BD128,'Mar-25'!$A:$J,7,0)</f>
        <v>20216.666666666664</v>
      </c>
      <c r="CX128" s="22">
        <f>+VLOOKUP($BD128,'Apr-25'!$A:$J,7,0)</f>
        <v>20216.666666666664</v>
      </c>
      <c r="CY128" s="22">
        <f>+VLOOKUP($BD128,'May-25'!$A:$J,7,0)</f>
        <v>20216.666666666664</v>
      </c>
      <c r="CZ128" s="22">
        <f>+VLOOKUP($BD128,'June-25'!$A:$J,7,0)</f>
        <v>20216.666666666664</v>
      </c>
      <c r="DA128" s="22">
        <f>+VLOOKUP($BD128,'July-25'!$A:$J,7,0)</f>
        <v>20216.666666666664</v>
      </c>
      <c r="DB128" s="22">
        <f>+VLOOKUP($BD128,'Aug-25'!$A:$J,7,0)</f>
        <v>20216.666666666664</v>
      </c>
      <c r="DC128" s="22">
        <f>+VLOOKUP($BD128,'Sep-25'!$A:$J,7,0)</f>
        <v>20216.666666666664</v>
      </c>
      <c r="DD128" s="22">
        <f>+VLOOKUP($BD128,'Oct-25'!$A:$J,7,0)</f>
        <v>20216.666666666664</v>
      </c>
      <c r="DE128" s="22">
        <f>+VLOOKUP($BD128,'Nov-25'!$A:$J,7,0)</f>
        <v>0</v>
      </c>
      <c r="DF128" s="22">
        <f>+VLOOKUP($BD128,'Dec-25'!$A:$J,7,0)</f>
        <v>0</v>
      </c>
      <c r="DG128" s="22">
        <f t="shared" si="541"/>
        <v>202166.6666666666</v>
      </c>
      <c r="DH128" s="118">
        <f t="shared" si="478"/>
        <v>0</v>
      </c>
      <c r="DI128" s="22">
        <f>+_xlfn.XLOOKUP($CT128,Budget!$A:$A,Budget!CD:CD)</f>
        <v>20216.666666666664</v>
      </c>
      <c r="DJ128" s="22">
        <f>+_xlfn.XLOOKUP($CT128,Budget!$A:$A,Budget!CE:CE)</f>
        <v>20216.666666666664</v>
      </c>
      <c r="DK128" s="22">
        <f>+_xlfn.XLOOKUP($CT128,Budget!$A:$A,Budget!CF:CF)</f>
        <v>20216.666666666664</v>
      </c>
      <c r="DL128" s="22">
        <f>+_xlfn.XLOOKUP($CT128,Budget!$A:$A,Budget!CG:CG)</f>
        <v>20216.666666666664</v>
      </c>
      <c r="DM128" s="22">
        <f>+_xlfn.XLOOKUP($CT128,Budget!$A:$A,Budget!CH:CH)</f>
        <v>20216.666666666664</v>
      </c>
      <c r="DN128" s="22">
        <f>+_xlfn.XLOOKUP($CT128,Budget!$A:$A,Budget!CI:CI)</f>
        <v>20216.666666666664</v>
      </c>
      <c r="DO128" s="22">
        <f>+_xlfn.XLOOKUP($CT128,Budget!$A:$A,Budget!CJ:CJ)</f>
        <v>20216.666666666664</v>
      </c>
      <c r="DP128" s="22">
        <f>+_xlfn.XLOOKUP($CT128,Budget!$A:$A,Budget!CK:CK)</f>
        <v>20216.666666666664</v>
      </c>
      <c r="DQ128" s="22">
        <f>+_xlfn.XLOOKUP($CT128,Budget!$A:$A,Budget!CL:CL)</f>
        <v>20216.666666666664</v>
      </c>
      <c r="DR128" s="22">
        <f>+_xlfn.XLOOKUP($CT128,Budget!$A:$A,Budget!CM:CM)</f>
        <v>20216.666666666664</v>
      </c>
      <c r="DS128" s="22">
        <f>+_xlfn.XLOOKUP($CT128,Budget!$A:$A,Budget!CN:CN)</f>
        <v>20216.666666666664</v>
      </c>
      <c r="DT128" s="22">
        <f>+_xlfn.XLOOKUP($CT128,Budget!$A:$A,Budget!CO:CO)</f>
        <v>20216.666666666664</v>
      </c>
      <c r="DU128" s="106">
        <f t="shared" si="542"/>
        <v>242599.99999999991</v>
      </c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106">
        <f t="shared" si="543"/>
        <v>0</v>
      </c>
      <c r="EJ128" s="16" t="str">
        <f t="shared" si="376"/>
        <v>Bonus</v>
      </c>
      <c r="EK128" s="22">
        <f>+VLOOKUP($BD128,'Jan-25'!$A:$J,9,0)</f>
        <v>10916.666666666664</v>
      </c>
      <c r="EL128" s="22">
        <f>+VLOOKUP($BD128,'Feb-25'!$A:$J,9,0)</f>
        <v>10916.666666666664</v>
      </c>
      <c r="EM128" s="22">
        <f>+VLOOKUP($BD128,'Mar-25'!$A:$J,9,0)</f>
        <v>10916.666666666664</v>
      </c>
      <c r="EN128" s="22">
        <f>+VLOOKUP($BD128,'Apr-25'!$A:$J,9,0)</f>
        <v>10916.666666666664</v>
      </c>
      <c r="EO128" s="22">
        <f>+VLOOKUP($BD128,'May-25'!$A:$J,9,0)</f>
        <v>10916.666666666664</v>
      </c>
      <c r="EP128" s="22">
        <f>+VLOOKUP($BD128,'June-25'!$A:$J,9,0)</f>
        <v>10916.666666666664</v>
      </c>
      <c r="EQ128" s="22">
        <f>+VLOOKUP($BD128,'July-25'!$A:$J,9,0)</f>
        <v>10916.666666666664</v>
      </c>
      <c r="ER128" s="22">
        <f>+VLOOKUP($BD128,'Aug-25'!$A:$J,9,0)</f>
        <v>10916.666666666664</v>
      </c>
      <c r="ES128" s="22">
        <f>+VLOOKUP($BD128,'Sep-25'!$A:$J,9,0)</f>
        <v>10916.666666666664</v>
      </c>
      <c r="ET128" s="22">
        <f>+VLOOKUP($BD128,'Oct-25'!$A:$J,9,0)</f>
        <v>10916.666666666664</v>
      </c>
      <c r="EU128" s="22">
        <f>+VLOOKUP($BD128,'Nov-25'!$A:$J,9,0)</f>
        <v>0</v>
      </c>
      <c r="EV128" s="22">
        <f>+VLOOKUP($BD128,'Dec-25'!$A:$J,9,0)</f>
        <v>0</v>
      </c>
      <c r="EW128" s="22">
        <f t="shared" si="544"/>
        <v>109166.66666666663</v>
      </c>
      <c r="EX128" s="118">
        <f t="shared" si="479"/>
        <v>0</v>
      </c>
      <c r="EY128" s="22">
        <f>+_xlfn.XLOOKUP($EJ128,Budget!$A:$A,Budget!DE:DE)</f>
        <v>10916.666666666664</v>
      </c>
      <c r="EZ128" s="22">
        <f>+_xlfn.XLOOKUP($EJ128,Budget!$A:$A,Budget!DF:DF)</f>
        <v>10916.666666666664</v>
      </c>
      <c r="FA128" s="22">
        <f>+_xlfn.XLOOKUP($EJ128,Budget!$A:$A,Budget!DG:DG)</f>
        <v>10916.666666666664</v>
      </c>
      <c r="FB128" s="22">
        <f>+_xlfn.XLOOKUP($EJ128,Budget!$A:$A,Budget!DH:DH)</f>
        <v>10916.666666666664</v>
      </c>
      <c r="FC128" s="22">
        <f>+_xlfn.XLOOKUP($EJ128,Budget!$A:$A,Budget!DI:DI)</f>
        <v>10916.666666666664</v>
      </c>
      <c r="FD128" s="22">
        <f>+_xlfn.XLOOKUP($EJ128,Budget!$A:$A,Budget!DJ:DJ)</f>
        <v>10916.666666666664</v>
      </c>
      <c r="FE128" s="22">
        <f>+_xlfn.XLOOKUP($EJ128,Budget!$A:$A,Budget!DK:DK)</f>
        <v>10916.666666666664</v>
      </c>
      <c r="FF128" s="22">
        <f>+_xlfn.XLOOKUP($EJ128,Budget!$A:$A,Budget!DL:DL)</f>
        <v>10916.666666666664</v>
      </c>
      <c r="FG128" s="22">
        <f>+_xlfn.XLOOKUP($EJ128,Budget!$A:$A,Budget!DM:DM)</f>
        <v>10916.666666666664</v>
      </c>
      <c r="FH128" s="22">
        <f>+_xlfn.XLOOKUP($EJ128,Budget!$A:$A,Budget!DN:DN)</f>
        <v>10916.666666666664</v>
      </c>
      <c r="FI128" s="22">
        <f>+_xlfn.XLOOKUP($EJ128,Budget!$A:$A,Budget!DO:DO)</f>
        <v>10916.666666666664</v>
      </c>
      <c r="FJ128" s="22">
        <f>+_xlfn.XLOOKUP($EJ128,Budget!$A:$A,Budget!DP:DP)</f>
        <v>10916.666666666664</v>
      </c>
      <c r="FK128" s="106">
        <f t="shared" si="545"/>
        <v>130999.99999999994</v>
      </c>
    </row>
    <row r="129" spans="1:167" ht="14.45" hidden="1" customHeight="1" outlineLevel="1" collapsed="1">
      <c r="A129" s="58">
        <f t="shared" ref="A129:M129" si="546">+SUM(A130:A132)</f>
        <v>161958.33333333334</v>
      </c>
      <c r="B129" s="58">
        <f t="shared" si="546"/>
        <v>161958.33333333334</v>
      </c>
      <c r="C129" s="58">
        <f t="shared" si="546"/>
        <v>161958.33333333334</v>
      </c>
      <c r="D129" s="58">
        <f t="shared" si="546"/>
        <v>161958.33333333334</v>
      </c>
      <c r="E129" s="58">
        <f t="shared" si="546"/>
        <v>174747.69333333336</v>
      </c>
      <c r="F129" s="58">
        <f t="shared" si="546"/>
        <v>161958.33333333334</v>
      </c>
      <c r="G129" s="58">
        <f t="shared" si="546"/>
        <v>161958.33333333334</v>
      </c>
      <c r="H129" s="58">
        <f t="shared" si="546"/>
        <v>161958.33333333334</v>
      </c>
      <c r="I129" s="58">
        <f t="shared" si="546"/>
        <v>161958.33333333334</v>
      </c>
      <c r="J129" s="58">
        <f t="shared" si="546"/>
        <v>161958.33333333334</v>
      </c>
      <c r="K129" s="58">
        <f t="shared" si="546"/>
        <v>161958.33333333334</v>
      </c>
      <c r="L129" s="58">
        <f t="shared" si="546"/>
        <v>161958.33333333334</v>
      </c>
      <c r="M129" s="58">
        <f t="shared" si="546"/>
        <v>1956289.3599999999</v>
      </c>
      <c r="N129" s="20" t="s">
        <v>106</v>
      </c>
      <c r="O129" s="28">
        <f t="shared" ref="O129:AA129" si="547">+SUM(O130:O132)</f>
        <v>399750</v>
      </c>
      <c r="P129" s="28">
        <f t="shared" si="547"/>
        <v>0</v>
      </c>
      <c r="Q129" s="28">
        <f t="shared" si="547"/>
        <v>0</v>
      </c>
      <c r="R129" s="28">
        <f t="shared" si="547"/>
        <v>0</v>
      </c>
      <c r="S129" s="28">
        <f t="shared" si="547"/>
        <v>0</v>
      </c>
      <c r="T129" s="28">
        <f t="shared" si="547"/>
        <v>0</v>
      </c>
      <c r="U129" s="28">
        <f t="shared" si="547"/>
        <v>0</v>
      </c>
      <c r="V129" s="28">
        <f t="shared" si="547"/>
        <v>0</v>
      </c>
      <c r="W129" s="28">
        <f t="shared" si="547"/>
        <v>138630.5</v>
      </c>
      <c r="X129" s="28">
        <f t="shared" si="547"/>
        <v>175127.7</v>
      </c>
      <c r="Y129" s="28">
        <f t="shared" si="547"/>
        <v>0</v>
      </c>
      <c r="Z129" s="28">
        <f t="shared" si="547"/>
        <v>0</v>
      </c>
      <c r="AA129" s="28">
        <f t="shared" si="547"/>
        <v>713508.2</v>
      </c>
      <c r="AB129" s="118">
        <f t="shared" si="476"/>
        <v>1.0603258823529413</v>
      </c>
      <c r="AC129" s="28">
        <f t="shared" ref="AC129:AO129" si="548">+SUM(AC130:AC132)</f>
        <v>85000</v>
      </c>
      <c r="AD129" s="28">
        <f t="shared" si="548"/>
        <v>85000</v>
      </c>
      <c r="AE129" s="28">
        <f t="shared" si="548"/>
        <v>85000</v>
      </c>
      <c r="AF129" s="28">
        <f t="shared" si="548"/>
        <v>85000</v>
      </c>
      <c r="AG129" s="28">
        <f t="shared" si="548"/>
        <v>85000</v>
      </c>
      <c r="AH129" s="28">
        <f t="shared" si="548"/>
        <v>85000</v>
      </c>
      <c r="AI129" s="28">
        <f t="shared" si="548"/>
        <v>85000</v>
      </c>
      <c r="AJ129" s="28">
        <f t="shared" si="548"/>
        <v>85000</v>
      </c>
      <c r="AK129" s="28">
        <f t="shared" si="548"/>
        <v>85000</v>
      </c>
      <c r="AL129" s="28">
        <f t="shared" si="548"/>
        <v>85000</v>
      </c>
      <c r="AM129" s="28">
        <f t="shared" si="548"/>
        <v>85000</v>
      </c>
      <c r="AN129" s="28">
        <f t="shared" si="548"/>
        <v>85000</v>
      </c>
      <c r="AO129" s="28">
        <f t="shared" si="548"/>
        <v>1020000</v>
      </c>
      <c r="AQ129" s="58">
        <f t="shared" ref="AQ129:BC129" si="549">+SUM(AQ130:AQ132)</f>
        <v>98175</v>
      </c>
      <c r="AR129" s="58">
        <f t="shared" si="549"/>
        <v>98175</v>
      </c>
      <c r="AS129" s="58">
        <f t="shared" si="549"/>
        <v>98175</v>
      </c>
      <c r="AT129" s="58">
        <f t="shared" si="549"/>
        <v>98175</v>
      </c>
      <c r="AU129" s="58">
        <f t="shared" si="549"/>
        <v>106701.24</v>
      </c>
      <c r="AV129" s="58">
        <f t="shared" si="549"/>
        <v>98175</v>
      </c>
      <c r="AW129" s="58">
        <f t="shared" si="549"/>
        <v>98175</v>
      </c>
      <c r="AX129" s="58">
        <f t="shared" si="549"/>
        <v>98175</v>
      </c>
      <c r="AY129" s="58">
        <f t="shared" si="549"/>
        <v>98175</v>
      </c>
      <c r="AZ129" s="58">
        <f t="shared" si="549"/>
        <v>98175</v>
      </c>
      <c r="BA129" s="58">
        <f t="shared" si="549"/>
        <v>98175</v>
      </c>
      <c r="BB129" s="58">
        <f t="shared" si="549"/>
        <v>98175</v>
      </c>
      <c r="BC129" s="58">
        <f t="shared" si="549"/>
        <v>1186626.24</v>
      </c>
      <c r="BD129" s="20" t="str">
        <f t="shared" si="334"/>
        <v>Training Expenses</v>
      </c>
      <c r="BE129" s="28">
        <f t="shared" ref="BE129:BQ129" si="550">+SUM(BE130:BE132)</f>
        <v>399750</v>
      </c>
      <c r="BF129" s="28">
        <f t="shared" si="550"/>
        <v>0</v>
      </c>
      <c r="BG129" s="28">
        <f t="shared" si="550"/>
        <v>0</v>
      </c>
      <c r="BH129" s="28">
        <f t="shared" si="550"/>
        <v>0</v>
      </c>
      <c r="BI129" s="28">
        <f t="shared" si="550"/>
        <v>0</v>
      </c>
      <c r="BJ129" s="28">
        <f t="shared" si="550"/>
        <v>0</v>
      </c>
      <c r="BK129" s="28">
        <f t="shared" si="550"/>
        <v>0</v>
      </c>
      <c r="BL129" s="28">
        <f t="shared" si="550"/>
        <v>0</v>
      </c>
      <c r="BM129" s="28">
        <f t="shared" si="550"/>
        <v>104703</v>
      </c>
      <c r="BN129" s="28">
        <f t="shared" si="550"/>
        <v>53369.120000000003</v>
      </c>
      <c r="BO129" s="28">
        <f t="shared" si="550"/>
        <v>0</v>
      </c>
      <c r="BP129" s="28">
        <f t="shared" si="550"/>
        <v>0</v>
      </c>
      <c r="BQ129" s="28">
        <f t="shared" si="550"/>
        <v>557822.12</v>
      </c>
      <c r="BR129" s="118">
        <f t="shared" si="477"/>
        <v>1.1347648000000001</v>
      </c>
      <c r="BS129" s="58">
        <f t="shared" ref="BS129:CE129" si="551">+SUM(BS130:BS132)</f>
        <v>25000</v>
      </c>
      <c r="BT129" s="58">
        <f t="shared" si="551"/>
        <v>25000</v>
      </c>
      <c r="BU129" s="58">
        <f t="shared" si="551"/>
        <v>25000</v>
      </c>
      <c r="BV129" s="58">
        <f t="shared" si="551"/>
        <v>25000</v>
      </c>
      <c r="BW129" s="58">
        <f t="shared" si="551"/>
        <v>25000</v>
      </c>
      <c r="BX129" s="58">
        <f t="shared" si="551"/>
        <v>25000</v>
      </c>
      <c r="BY129" s="58">
        <f t="shared" si="551"/>
        <v>25000</v>
      </c>
      <c r="BZ129" s="58">
        <f t="shared" si="551"/>
        <v>25000</v>
      </c>
      <c r="CA129" s="58">
        <f t="shared" si="551"/>
        <v>25000</v>
      </c>
      <c r="CB129" s="58">
        <f t="shared" si="551"/>
        <v>25000</v>
      </c>
      <c r="CC129" s="58">
        <f t="shared" si="551"/>
        <v>25000</v>
      </c>
      <c r="CD129" s="58">
        <f t="shared" si="551"/>
        <v>25000</v>
      </c>
      <c r="CE129" s="58">
        <f t="shared" si="551"/>
        <v>300000</v>
      </c>
      <c r="CF129" s="22"/>
      <c r="CG129" s="28">
        <f t="shared" ref="CG129:CS129" si="552">+SUM(CG130:CG132)</f>
        <v>63783.333333333336</v>
      </c>
      <c r="CH129" s="28">
        <f t="shared" si="552"/>
        <v>63783.333333333336</v>
      </c>
      <c r="CI129" s="28">
        <f t="shared" si="552"/>
        <v>63783.333333333336</v>
      </c>
      <c r="CJ129" s="28">
        <f t="shared" si="552"/>
        <v>63783.333333333336</v>
      </c>
      <c r="CK129" s="28">
        <f t="shared" si="552"/>
        <v>68046.453333333338</v>
      </c>
      <c r="CL129" s="28">
        <f t="shared" si="552"/>
        <v>63783.333333333336</v>
      </c>
      <c r="CM129" s="28">
        <f t="shared" si="552"/>
        <v>63783.333333333336</v>
      </c>
      <c r="CN129" s="28">
        <f t="shared" si="552"/>
        <v>63783.333333333336</v>
      </c>
      <c r="CO129" s="28">
        <f t="shared" si="552"/>
        <v>63783.333333333336</v>
      </c>
      <c r="CP129" s="28">
        <f t="shared" si="552"/>
        <v>63783.333333333336</v>
      </c>
      <c r="CQ129" s="28">
        <f t="shared" si="552"/>
        <v>63783.333333333336</v>
      </c>
      <c r="CR129" s="28">
        <f t="shared" si="552"/>
        <v>63783.333333333336</v>
      </c>
      <c r="CS129" s="58">
        <f t="shared" si="552"/>
        <v>769663.12000000011</v>
      </c>
      <c r="CT129" s="20" t="str">
        <f t="shared" si="338"/>
        <v>Training Expenses</v>
      </c>
      <c r="CU129" s="28">
        <f t="shared" ref="CU129:DG129" si="553">+SUM(CU130:CU132)</f>
        <v>0</v>
      </c>
      <c r="CV129" s="28">
        <f t="shared" si="553"/>
        <v>0</v>
      </c>
      <c r="CW129" s="28">
        <f t="shared" si="553"/>
        <v>0</v>
      </c>
      <c r="CX129" s="28">
        <f t="shared" si="553"/>
        <v>0</v>
      </c>
      <c r="CY129" s="28">
        <f t="shared" si="553"/>
        <v>0</v>
      </c>
      <c r="CZ129" s="28">
        <f t="shared" si="553"/>
        <v>0</v>
      </c>
      <c r="DA129" s="28">
        <f t="shared" si="553"/>
        <v>0</v>
      </c>
      <c r="DB129" s="28">
        <f t="shared" si="553"/>
        <v>0</v>
      </c>
      <c r="DC129" s="28">
        <f t="shared" si="553"/>
        <v>33927.5</v>
      </c>
      <c r="DD129" s="28">
        <f t="shared" si="553"/>
        <v>117873.58</v>
      </c>
      <c r="DE129" s="28">
        <f t="shared" si="553"/>
        <v>0</v>
      </c>
      <c r="DF129" s="28">
        <f t="shared" si="553"/>
        <v>0</v>
      </c>
      <c r="DG129" s="28">
        <f t="shared" si="553"/>
        <v>151801.08000000002</v>
      </c>
      <c r="DH129" s="118">
        <f t="shared" si="478"/>
        <v>2.3678165714285715</v>
      </c>
      <c r="DI129" s="28">
        <f t="shared" ref="DI129:DU129" si="554">+SUM(DI130:DI132)</f>
        <v>35000</v>
      </c>
      <c r="DJ129" s="28">
        <f t="shared" si="554"/>
        <v>35000</v>
      </c>
      <c r="DK129" s="28">
        <f t="shared" si="554"/>
        <v>35000</v>
      </c>
      <c r="DL129" s="28">
        <f t="shared" si="554"/>
        <v>35000</v>
      </c>
      <c r="DM129" s="28">
        <f t="shared" si="554"/>
        <v>35000</v>
      </c>
      <c r="DN129" s="28">
        <f t="shared" si="554"/>
        <v>35000</v>
      </c>
      <c r="DO129" s="28">
        <f t="shared" si="554"/>
        <v>35000</v>
      </c>
      <c r="DP129" s="28">
        <f t="shared" si="554"/>
        <v>35000</v>
      </c>
      <c r="DQ129" s="28">
        <f t="shared" si="554"/>
        <v>35000</v>
      </c>
      <c r="DR129" s="28">
        <f t="shared" si="554"/>
        <v>35000</v>
      </c>
      <c r="DS129" s="28">
        <f t="shared" si="554"/>
        <v>35000</v>
      </c>
      <c r="DT129" s="28">
        <f t="shared" si="554"/>
        <v>35000</v>
      </c>
      <c r="DU129" s="58">
        <f t="shared" si="554"/>
        <v>420000</v>
      </c>
      <c r="DW129" s="28">
        <f t="shared" ref="DW129:EI129" si="555">+SUM(DW130:DW132)</f>
        <v>0</v>
      </c>
      <c r="DX129" s="28">
        <f t="shared" si="555"/>
        <v>0</v>
      </c>
      <c r="DY129" s="28">
        <f t="shared" si="555"/>
        <v>0</v>
      </c>
      <c r="DZ129" s="28">
        <f t="shared" si="555"/>
        <v>0</v>
      </c>
      <c r="EA129" s="28">
        <f t="shared" si="555"/>
        <v>0</v>
      </c>
      <c r="EB129" s="28">
        <f t="shared" si="555"/>
        <v>0</v>
      </c>
      <c r="EC129" s="28">
        <f t="shared" si="555"/>
        <v>0</v>
      </c>
      <c r="ED129" s="28">
        <f t="shared" si="555"/>
        <v>0</v>
      </c>
      <c r="EE129" s="28">
        <f t="shared" si="555"/>
        <v>0</v>
      </c>
      <c r="EF129" s="28">
        <f t="shared" si="555"/>
        <v>0</v>
      </c>
      <c r="EG129" s="28">
        <f t="shared" si="555"/>
        <v>0</v>
      </c>
      <c r="EH129" s="28">
        <f t="shared" si="555"/>
        <v>0</v>
      </c>
      <c r="EI129" s="58">
        <f t="shared" si="555"/>
        <v>0</v>
      </c>
      <c r="EJ129" s="20" t="str">
        <f t="shared" si="376"/>
        <v>Training Expenses</v>
      </c>
      <c r="EK129" s="28">
        <f t="shared" ref="EK129:EW129" si="556">+SUM(EK130:EK132)</f>
        <v>0</v>
      </c>
      <c r="EL129" s="28">
        <f t="shared" si="556"/>
        <v>0</v>
      </c>
      <c r="EM129" s="28">
        <f t="shared" si="556"/>
        <v>0</v>
      </c>
      <c r="EN129" s="28">
        <f t="shared" si="556"/>
        <v>0</v>
      </c>
      <c r="EO129" s="28">
        <f t="shared" si="556"/>
        <v>0</v>
      </c>
      <c r="EP129" s="28">
        <f t="shared" si="556"/>
        <v>0</v>
      </c>
      <c r="EQ129" s="28">
        <f t="shared" si="556"/>
        <v>0</v>
      </c>
      <c r="ER129" s="28">
        <f t="shared" si="556"/>
        <v>0</v>
      </c>
      <c r="ES129" s="28">
        <f t="shared" si="556"/>
        <v>0</v>
      </c>
      <c r="ET129" s="28">
        <f t="shared" si="556"/>
        <v>3885</v>
      </c>
      <c r="EU129" s="28">
        <f t="shared" si="556"/>
        <v>0</v>
      </c>
      <c r="EV129" s="28">
        <f t="shared" si="556"/>
        <v>0</v>
      </c>
      <c r="EW129" s="28">
        <f t="shared" si="556"/>
        <v>3885</v>
      </c>
      <c r="EX129" s="118">
        <f t="shared" si="479"/>
        <v>-0.84460000000000002</v>
      </c>
      <c r="EY129" s="28">
        <f t="shared" ref="EY129:FK129" si="557">+SUM(EY130:EY132)</f>
        <v>25000</v>
      </c>
      <c r="EZ129" s="28">
        <f t="shared" si="557"/>
        <v>25000</v>
      </c>
      <c r="FA129" s="28">
        <f t="shared" si="557"/>
        <v>25000</v>
      </c>
      <c r="FB129" s="28">
        <f t="shared" si="557"/>
        <v>25000</v>
      </c>
      <c r="FC129" s="28">
        <f t="shared" si="557"/>
        <v>25000</v>
      </c>
      <c r="FD129" s="28">
        <f t="shared" si="557"/>
        <v>25000</v>
      </c>
      <c r="FE129" s="28">
        <f t="shared" si="557"/>
        <v>25000</v>
      </c>
      <c r="FF129" s="28">
        <f t="shared" si="557"/>
        <v>25000</v>
      </c>
      <c r="FG129" s="28">
        <f t="shared" si="557"/>
        <v>25000</v>
      </c>
      <c r="FH129" s="28">
        <f t="shared" si="557"/>
        <v>25000</v>
      </c>
      <c r="FI129" s="28">
        <f t="shared" si="557"/>
        <v>25000</v>
      </c>
      <c r="FJ129" s="28">
        <f t="shared" si="557"/>
        <v>25000</v>
      </c>
      <c r="FK129" s="58">
        <f t="shared" si="557"/>
        <v>300000</v>
      </c>
    </row>
    <row r="130" spans="1:167" ht="14.45" hidden="1" customHeight="1" outlineLevel="2">
      <c r="A130" s="106">
        <f t="shared" ref="A130:L154" si="558">+AQ130+CG130+DW130</f>
        <v>0</v>
      </c>
      <c r="B130" s="106">
        <f t="shared" si="558"/>
        <v>0</v>
      </c>
      <c r="C130" s="106">
        <f t="shared" si="558"/>
        <v>0</v>
      </c>
      <c r="D130" s="106">
        <f t="shared" si="558"/>
        <v>0</v>
      </c>
      <c r="E130" s="106">
        <f t="shared" si="558"/>
        <v>12789.36</v>
      </c>
      <c r="F130" s="106">
        <f t="shared" si="558"/>
        <v>0</v>
      </c>
      <c r="G130" s="106">
        <f t="shared" si="558"/>
        <v>0</v>
      </c>
      <c r="H130" s="106">
        <f t="shared" si="558"/>
        <v>0</v>
      </c>
      <c r="I130" s="106">
        <f t="shared" si="558"/>
        <v>0</v>
      </c>
      <c r="J130" s="106">
        <f t="shared" si="558"/>
        <v>0</v>
      </c>
      <c r="K130" s="106">
        <f t="shared" si="558"/>
        <v>0</v>
      </c>
      <c r="L130" s="106">
        <f t="shared" si="558"/>
        <v>0</v>
      </c>
      <c r="M130" s="106">
        <f t="shared" ref="M130:M132" si="559">+SUM(A130:L130)</f>
        <v>12789.36</v>
      </c>
      <c r="N130" s="16" t="s">
        <v>107</v>
      </c>
      <c r="O130" s="22">
        <f t="shared" ref="O130:Z132" si="560">+BE130+CU130+EK130</f>
        <v>0</v>
      </c>
      <c r="P130" s="22">
        <f t="shared" si="560"/>
        <v>0</v>
      </c>
      <c r="Q130" s="22">
        <f t="shared" si="560"/>
        <v>0</v>
      </c>
      <c r="R130" s="22">
        <f t="shared" si="560"/>
        <v>0</v>
      </c>
      <c r="S130" s="22">
        <f t="shared" si="560"/>
        <v>0</v>
      </c>
      <c r="T130" s="22">
        <f t="shared" si="560"/>
        <v>0</v>
      </c>
      <c r="U130" s="22">
        <f t="shared" si="560"/>
        <v>0</v>
      </c>
      <c r="V130" s="22">
        <f t="shared" si="560"/>
        <v>0</v>
      </c>
      <c r="W130" s="22">
        <f t="shared" si="560"/>
        <v>138630.5</v>
      </c>
      <c r="X130" s="22">
        <f t="shared" si="560"/>
        <v>175127.7</v>
      </c>
      <c r="Y130" s="22">
        <f t="shared" si="560"/>
        <v>0</v>
      </c>
      <c r="Z130" s="22">
        <f t="shared" si="560"/>
        <v>0</v>
      </c>
      <c r="AA130" s="22">
        <f t="shared" ref="AA130:AA132" si="561">+SUM(O130:Z130)</f>
        <v>313758.2</v>
      </c>
      <c r="AB130" s="118">
        <f t="shared" si="476"/>
        <v>0</v>
      </c>
      <c r="AC130" s="22">
        <f t="shared" ref="AC130:AN132" si="562">+BS130+DI130+EY130</f>
        <v>0</v>
      </c>
      <c r="AD130" s="22">
        <f t="shared" si="562"/>
        <v>0</v>
      </c>
      <c r="AE130" s="22">
        <f t="shared" si="562"/>
        <v>0</v>
      </c>
      <c r="AF130" s="22">
        <f t="shared" si="562"/>
        <v>0</v>
      </c>
      <c r="AG130" s="22">
        <f t="shared" si="562"/>
        <v>0</v>
      </c>
      <c r="AH130" s="22">
        <f t="shared" si="562"/>
        <v>0</v>
      </c>
      <c r="AI130" s="22">
        <f t="shared" si="562"/>
        <v>0</v>
      </c>
      <c r="AJ130" s="22">
        <f t="shared" si="562"/>
        <v>0</v>
      </c>
      <c r="AK130" s="22">
        <f t="shared" si="562"/>
        <v>0</v>
      </c>
      <c r="AL130" s="22">
        <f t="shared" si="562"/>
        <v>0</v>
      </c>
      <c r="AM130" s="22">
        <f t="shared" si="562"/>
        <v>0</v>
      </c>
      <c r="AN130" s="22">
        <f t="shared" si="562"/>
        <v>0</v>
      </c>
      <c r="AO130" s="22">
        <f t="shared" ref="AO130:AO132" si="563">+SUM(AC130:AN130)</f>
        <v>0</v>
      </c>
      <c r="AQ130" s="106">
        <v>0</v>
      </c>
      <c r="AR130" s="106">
        <v>0</v>
      </c>
      <c r="AS130" s="106">
        <v>0</v>
      </c>
      <c r="AT130" s="106">
        <v>0</v>
      </c>
      <c r="AU130" s="106">
        <v>8526.24</v>
      </c>
      <c r="AV130" s="106">
        <v>0</v>
      </c>
      <c r="AW130" s="106">
        <v>0</v>
      </c>
      <c r="AX130" s="106">
        <v>0</v>
      </c>
      <c r="AY130" s="106">
        <v>0</v>
      </c>
      <c r="AZ130" s="106">
        <v>0</v>
      </c>
      <c r="BA130" s="106">
        <v>0</v>
      </c>
      <c r="BB130" s="106">
        <v>0</v>
      </c>
      <c r="BC130" s="106">
        <f t="shared" ref="BC130:BC132" si="564">+SUM(AQ130:BB130)</f>
        <v>8526.24</v>
      </c>
      <c r="BD130" s="16" t="str">
        <f t="shared" si="334"/>
        <v>Training Expenses - Others</v>
      </c>
      <c r="BE130" s="22">
        <f>+VLOOKUP($BD130,'Jan-25'!$A:$J,4,0)</f>
        <v>0</v>
      </c>
      <c r="BF130" s="22">
        <f>+VLOOKUP($BD130,'Feb-25'!$A:$J,4,0)</f>
        <v>0</v>
      </c>
      <c r="BG130" s="22">
        <f>+VLOOKUP($BD130,'Mar-25'!$A:$J,4,0)</f>
        <v>0</v>
      </c>
      <c r="BH130" s="22">
        <f>+VLOOKUP($BD130,'Apr-25'!$A:$J,4,0)</f>
        <v>0</v>
      </c>
      <c r="BI130" s="22">
        <f>+VLOOKUP($BD130,'May-25'!$A:$J,4,0)</f>
        <v>0</v>
      </c>
      <c r="BJ130" s="22">
        <f>+VLOOKUP($BD130,'June-25'!$A:$J,4,0)</f>
        <v>0</v>
      </c>
      <c r="BK130" s="22">
        <f>+VLOOKUP($BD130,'July-25'!$A:$J,4,0)</f>
        <v>0</v>
      </c>
      <c r="BL130" s="22">
        <f>+VLOOKUP($BD130,'Aug-25'!$A:$J,4,0)</f>
        <v>0</v>
      </c>
      <c r="BM130" s="22">
        <f>+VLOOKUP($BD130,'Sep-25'!$A:$J,4,0)</f>
        <v>104703</v>
      </c>
      <c r="BN130" s="22">
        <f>+VLOOKUP($BD130,'Oct-25'!$A:$J,4,0)</f>
        <v>53369.120000000003</v>
      </c>
      <c r="BO130" s="22">
        <f>+VLOOKUP($BD130,'Nov-25'!$A:$J,4,0)</f>
        <v>0</v>
      </c>
      <c r="BP130" s="22">
        <f>+VLOOKUP($BD130,'Dec-25'!$A:$J,4,0)</f>
        <v>0</v>
      </c>
      <c r="BQ130" s="22">
        <f t="shared" ref="BQ130:BQ132" si="565">+SUM(BE130:BP130)</f>
        <v>158072.12</v>
      </c>
      <c r="BR130" s="118">
        <f t="shared" si="477"/>
        <v>0</v>
      </c>
      <c r="BS130" s="106">
        <f>+_xlfn.XLOOKUP($BD130,Budget!$A:$A,Budget!AQ:AQ)</f>
        <v>0</v>
      </c>
      <c r="BT130" s="106">
        <f>+_xlfn.XLOOKUP($BD130,Budget!$A:$A,Budget!AR:AR)</f>
        <v>0</v>
      </c>
      <c r="BU130" s="106">
        <f>+_xlfn.XLOOKUP($BD130,Budget!$A:$A,Budget!AS:AS)</f>
        <v>0</v>
      </c>
      <c r="BV130" s="106">
        <f>+_xlfn.XLOOKUP($BD130,Budget!$A:$A,Budget!AT:AT)</f>
        <v>0</v>
      </c>
      <c r="BW130" s="106">
        <f>+_xlfn.XLOOKUP($BD130,Budget!$A:$A,Budget!AU:AU)</f>
        <v>0</v>
      </c>
      <c r="BX130" s="106">
        <f>+_xlfn.XLOOKUP($BD130,Budget!$A:$A,Budget!AV:AV)</f>
        <v>0</v>
      </c>
      <c r="BY130" s="106">
        <f>+_xlfn.XLOOKUP($BD130,Budget!$A:$A,Budget!AW:AW)</f>
        <v>0</v>
      </c>
      <c r="BZ130" s="106">
        <f>+_xlfn.XLOOKUP($BD130,Budget!$A:$A,Budget!AX:AX)</f>
        <v>0</v>
      </c>
      <c r="CA130" s="106">
        <f>+_xlfn.XLOOKUP($BD130,Budget!$A:$A,Budget!AY:AY)</f>
        <v>0</v>
      </c>
      <c r="CB130" s="106">
        <f>+_xlfn.XLOOKUP($BD130,Budget!$A:$A,Budget!AZ:AZ)</f>
        <v>0</v>
      </c>
      <c r="CC130" s="106">
        <f>+_xlfn.XLOOKUP($BD130,Budget!$A:$A,Budget!BA:BA)</f>
        <v>0</v>
      </c>
      <c r="CD130" s="106">
        <f>+_xlfn.XLOOKUP($BD130,Budget!$A:$A,Budget!BB:BB)</f>
        <v>0</v>
      </c>
      <c r="CE130" s="106">
        <f t="shared" ref="CE130:CE132" si="566">+SUM(BS130:CD130)</f>
        <v>0</v>
      </c>
      <c r="CF130" s="22"/>
      <c r="CG130" s="22">
        <v>0</v>
      </c>
      <c r="CH130" s="22">
        <v>0</v>
      </c>
      <c r="CI130" s="22">
        <v>0</v>
      </c>
      <c r="CJ130" s="22">
        <v>0</v>
      </c>
      <c r="CK130" s="22">
        <v>4263.12</v>
      </c>
      <c r="CL130" s="22">
        <v>0</v>
      </c>
      <c r="CM130" s="22">
        <v>0</v>
      </c>
      <c r="CN130" s="22">
        <v>0</v>
      </c>
      <c r="CO130" s="22">
        <v>0</v>
      </c>
      <c r="CP130" s="22">
        <v>0</v>
      </c>
      <c r="CQ130" s="22">
        <v>0</v>
      </c>
      <c r="CR130" s="22">
        <v>0</v>
      </c>
      <c r="CS130" s="106">
        <f t="shared" ref="CS130:CS132" si="567">+SUM(CG130:CR130)</f>
        <v>4263.12</v>
      </c>
      <c r="CT130" s="16" t="str">
        <f t="shared" si="338"/>
        <v>Training Expenses - Others</v>
      </c>
      <c r="CU130" s="22">
        <f>+VLOOKUP($BD130,'Jan-25'!$A:$J,7,0)</f>
        <v>0</v>
      </c>
      <c r="CV130" s="22">
        <f>+VLOOKUP($BD130,'Feb-25'!$A:$J,7,0)</f>
        <v>0</v>
      </c>
      <c r="CW130" s="22">
        <f>+VLOOKUP($BD130,'Mar-25'!$A:$J,7,0)</f>
        <v>0</v>
      </c>
      <c r="CX130" s="22">
        <f>+VLOOKUP($BD130,'Apr-25'!$A:$J,7,0)</f>
        <v>0</v>
      </c>
      <c r="CY130" s="22">
        <f>+VLOOKUP($BD130,'May-25'!$A:$J,7,0)</f>
        <v>0</v>
      </c>
      <c r="CZ130" s="22">
        <f>+VLOOKUP($BD130,'June-25'!$A:$J,7,0)</f>
        <v>0</v>
      </c>
      <c r="DA130" s="22">
        <f>+VLOOKUP($BD130,'July-25'!$A:$J,7,0)</f>
        <v>0</v>
      </c>
      <c r="DB130" s="22">
        <f>+VLOOKUP($BD130,'Aug-25'!$A:$J,7,0)</f>
        <v>0</v>
      </c>
      <c r="DC130" s="22">
        <f>+VLOOKUP($BD130,'Sep-25'!$A:$J,7,0)</f>
        <v>33927.5</v>
      </c>
      <c r="DD130" s="22">
        <f>+VLOOKUP($BD130,'Oct-25'!$A:$J,7,0)</f>
        <v>117873.58</v>
      </c>
      <c r="DE130" s="22">
        <f>+VLOOKUP($BD130,'Nov-25'!$A:$J,7,0)</f>
        <v>0</v>
      </c>
      <c r="DF130" s="22">
        <f>+VLOOKUP($BD130,'Dec-25'!$A:$J,7,0)</f>
        <v>0</v>
      </c>
      <c r="DG130" s="22">
        <f t="shared" ref="DG130:DG132" si="568">+SUM(CU130:DF130)</f>
        <v>151801.08000000002</v>
      </c>
      <c r="DH130" s="118">
        <f t="shared" si="478"/>
        <v>0</v>
      </c>
      <c r="DI130" s="22">
        <f>+_xlfn.XLOOKUP($CT130,Budget!$A:$A,Budget!CD:CD)</f>
        <v>0</v>
      </c>
      <c r="DJ130" s="22">
        <f>+_xlfn.XLOOKUP($CT130,Budget!$A:$A,Budget!CE:CE)</f>
        <v>0</v>
      </c>
      <c r="DK130" s="22">
        <f>+_xlfn.XLOOKUP($CT130,Budget!$A:$A,Budget!CF:CF)</f>
        <v>0</v>
      </c>
      <c r="DL130" s="22">
        <f>+_xlfn.XLOOKUP($CT130,Budget!$A:$A,Budget!CG:CG)</f>
        <v>0</v>
      </c>
      <c r="DM130" s="22">
        <f>+_xlfn.XLOOKUP($CT130,Budget!$A:$A,Budget!CH:CH)</f>
        <v>0</v>
      </c>
      <c r="DN130" s="22">
        <f>+_xlfn.XLOOKUP($CT130,Budget!$A:$A,Budget!CI:CI)</f>
        <v>0</v>
      </c>
      <c r="DO130" s="22">
        <f>+_xlfn.XLOOKUP($CT130,Budget!$A:$A,Budget!CJ:CJ)</f>
        <v>0</v>
      </c>
      <c r="DP130" s="22">
        <f>+_xlfn.XLOOKUP($CT130,Budget!$A:$A,Budget!CK:CK)</f>
        <v>0</v>
      </c>
      <c r="DQ130" s="22">
        <f>+_xlfn.XLOOKUP($CT130,Budget!$A:$A,Budget!CL:CL)</f>
        <v>0</v>
      </c>
      <c r="DR130" s="22">
        <f>+_xlfn.XLOOKUP($CT130,Budget!$A:$A,Budget!CM:CM)</f>
        <v>0</v>
      </c>
      <c r="DS130" s="22">
        <f>+_xlfn.XLOOKUP($CT130,Budget!$A:$A,Budget!CN:CN)</f>
        <v>0</v>
      </c>
      <c r="DT130" s="22">
        <f>+_xlfn.XLOOKUP($CT130,Budget!$A:$A,Budget!CO:CO)</f>
        <v>0</v>
      </c>
      <c r="DU130" s="106">
        <f t="shared" ref="DU130:DU132" si="569">+SUM(DI130:DT130)</f>
        <v>0</v>
      </c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106">
        <f t="shared" ref="EI130:EI132" si="570">+SUM(DW130:EH130)</f>
        <v>0</v>
      </c>
      <c r="EJ130" s="16" t="str">
        <f t="shared" si="376"/>
        <v>Training Expenses - Others</v>
      </c>
      <c r="EK130" s="22">
        <f>+VLOOKUP($BD130,'Jan-25'!$A:$J,9,0)</f>
        <v>0</v>
      </c>
      <c r="EL130" s="22">
        <f>+VLOOKUP($BD130,'Feb-25'!$A:$J,9,0)</f>
        <v>0</v>
      </c>
      <c r="EM130" s="22">
        <f>+VLOOKUP($BD130,'Mar-25'!$A:$J,9,0)</f>
        <v>0</v>
      </c>
      <c r="EN130" s="22">
        <f>+VLOOKUP($BD130,'Apr-25'!$A:$J,9,0)</f>
        <v>0</v>
      </c>
      <c r="EO130" s="22">
        <f>+VLOOKUP($BD130,'May-25'!$A:$J,9,0)</f>
        <v>0</v>
      </c>
      <c r="EP130" s="22">
        <f>+VLOOKUP($BD130,'June-25'!$A:$J,9,0)</f>
        <v>0</v>
      </c>
      <c r="EQ130" s="22">
        <f>+VLOOKUP($BD130,'July-25'!$A:$J,9,0)</f>
        <v>0</v>
      </c>
      <c r="ER130" s="22">
        <f>+VLOOKUP($BD130,'Aug-25'!$A:$J,9,0)</f>
        <v>0</v>
      </c>
      <c r="ES130" s="22">
        <f>+VLOOKUP($BD130,'Sep-25'!$A:$J,9,0)</f>
        <v>0</v>
      </c>
      <c r="ET130" s="22">
        <f>+VLOOKUP($BD130,'Oct-25'!$A:$J,9,0)</f>
        <v>3885</v>
      </c>
      <c r="EU130" s="22">
        <f>+VLOOKUP($BD130,'Nov-25'!$A:$J,9,0)</f>
        <v>0</v>
      </c>
      <c r="EV130" s="22">
        <f>+VLOOKUP($BD130,'Dec-25'!$A:$J,9,0)</f>
        <v>0</v>
      </c>
      <c r="EW130" s="22">
        <f t="shared" ref="EW130:EW132" si="571">+SUM(EK130:EV130)</f>
        <v>3885</v>
      </c>
      <c r="EX130" s="118">
        <f t="shared" si="479"/>
        <v>0</v>
      </c>
      <c r="EY130" s="22">
        <f>+_xlfn.XLOOKUP($EJ130,Budget!$A:$A,Budget!DE:DE)</f>
        <v>0</v>
      </c>
      <c r="EZ130" s="22">
        <f>+_xlfn.XLOOKUP($EJ130,Budget!$A:$A,Budget!DF:DF)</f>
        <v>0</v>
      </c>
      <c r="FA130" s="22">
        <f>+_xlfn.XLOOKUP($EJ130,Budget!$A:$A,Budget!DG:DG)</f>
        <v>0</v>
      </c>
      <c r="FB130" s="22">
        <f>+_xlfn.XLOOKUP($EJ130,Budget!$A:$A,Budget!DH:DH)</f>
        <v>0</v>
      </c>
      <c r="FC130" s="22">
        <f>+_xlfn.XLOOKUP($EJ130,Budget!$A:$A,Budget!DI:DI)</f>
        <v>0</v>
      </c>
      <c r="FD130" s="22">
        <f>+_xlfn.XLOOKUP($EJ130,Budget!$A:$A,Budget!DJ:DJ)</f>
        <v>0</v>
      </c>
      <c r="FE130" s="22">
        <f>+_xlfn.XLOOKUP($EJ130,Budget!$A:$A,Budget!DK:DK)</f>
        <v>0</v>
      </c>
      <c r="FF130" s="22">
        <f>+_xlfn.XLOOKUP($EJ130,Budget!$A:$A,Budget!DL:DL)</f>
        <v>0</v>
      </c>
      <c r="FG130" s="22">
        <f>+_xlfn.XLOOKUP($EJ130,Budget!$A:$A,Budget!DM:DM)</f>
        <v>0</v>
      </c>
      <c r="FH130" s="22">
        <f>+_xlfn.XLOOKUP($EJ130,Budget!$A:$A,Budget!DN:DN)</f>
        <v>0</v>
      </c>
      <c r="FI130" s="22">
        <f>+_xlfn.XLOOKUP($EJ130,Budget!$A:$A,Budget!DO:DO)</f>
        <v>0</v>
      </c>
      <c r="FJ130" s="22">
        <f>+_xlfn.XLOOKUP($EJ130,Budget!$A:$A,Budget!DP:DP)</f>
        <v>0</v>
      </c>
      <c r="FK130" s="106">
        <f t="shared" ref="FK130:FK132" si="572">+SUM(EY130:FJ130)</f>
        <v>0</v>
      </c>
    </row>
    <row r="131" spans="1:167" ht="14.45" hidden="1" customHeight="1" outlineLevel="2">
      <c r="A131" s="106">
        <f t="shared" si="558"/>
        <v>0</v>
      </c>
      <c r="B131" s="106">
        <f t="shared" si="558"/>
        <v>0</v>
      </c>
      <c r="C131" s="106">
        <f t="shared" si="558"/>
        <v>0</v>
      </c>
      <c r="D131" s="106">
        <f t="shared" si="558"/>
        <v>0</v>
      </c>
      <c r="E131" s="106">
        <f t="shared" si="558"/>
        <v>0</v>
      </c>
      <c r="F131" s="106">
        <f t="shared" si="558"/>
        <v>0</v>
      </c>
      <c r="G131" s="106">
        <f t="shared" si="558"/>
        <v>0</v>
      </c>
      <c r="H131" s="106">
        <f t="shared" si="558"/>
        <v>0</v>
      </c>
      <c r="I131" s="106">
        <f t="shared" si="558"/>
        <v>0</v>
      </c>
      <c r="J131" s="106">
        <f t="shared" si="558"/>
        <v>0</v>
      </c>
      <c r="K131" s="106">
        <f t="shared" si="558"/>
        <v>0</v>
      </c>
      <c r="L131" s="106">
        <f t="shared" si="558"/>
        <v>0</v>
      </c>
      <c r="M131" s="106">
        <f t="shared" si="559"/>
        <v>0</v>
      </c>
      <c r="N131" s="16" t="s">
        <v>108</v>
      </c>
      <c r="O131" s="22">
        <f t="shared" si="560"/>
        <v>0</v>
      </c>
      <c r="P131" s="22">
        <f t="shared" si="560"/>
        <v>0</v>
      </c>
      <c r="Q131" s="22">
        <f t="shared" si="560"/>
        <v>0</v>
      </c>
      <c r="R131" s="22">
        <f t="shared" si="560"/>
        <v>0</v>
      </c>
      <c r="S131" s="22">
        <f t="shared" si="560"/>
        <v>0</v>
      </c>
      <c r="T131" s="22">
        <f t="shared" si="560"/>
        <v>0</v>
      </c>
      <c r="U131" s="22">
        <f t="shared" si="560"/>
        <v>0</v>
      </c>
      <c r="V131" s="22">
        <f t="shared" si="560"/>
        <v>0</v>
      </c>
      <c r="W131" s="22">
        <f t="shared" si="560"/>
        <v>0</v>
      </c>
      <c r="X131" s="22">
        <f t="shared" si="560"/>
        <v>0</v>
      </c>
      <c r="Y131" s="22">
        <f t="shared" si="560"/>
        <v>0</v>
      </c>
      <c r="Z131" s="22">
        <f t="shared" si="560"/>
        <v>0</v>
      </c>
      <c r="AA131" s="22">
        <f t="shared" si="561"/>
        <v>0</v>
      </c>
      <c r="AB131" s="118">
        <f t="shared" si="476"/>
        <v>0</v>
      </c>
      <c r="AC131" s="22">
        <f t="shared" si="562"/>
        <v>0</v>
      </c>
      <c r="AD131" s="22">
        <f t="shared" si="562"/>
        <v>0</v>
      </c>
      <c r="AE131" s="22">
        <f t="shared" si="562"/>
        <v>0</v>
      </c>
      <c r="AF131" s="22">
        <f t="shared" si="562"/>
        <v>0</v>
      </c>
      <c r="AG131" s="22">
        <f t="shared" si="562"/>
        <v>0</v>
      </c>
      <c r="AH131" s="22">
        <f t="shared" si="562"/>
        <v>0</v>
      </c>
      <c r="AI131" s="22">
        <f t="shared" si="562"/>
        <v>0</v>
      </c>
      <c r="AJ131" s="22">
        <f t="shared" si="562"/>
        <v>0</v>
      </c>
      <c r="AK131" s="22">
        <f t="shared" si="562"/>
        <v>0</v>
      </c>
      <c r="AL131" s="22">
        <f t="shared" si="562"/>
        <v>0</v>
      </c>
      <c r="AM131" s="22">
        <f t="shared" si="562"/>
        <v>0</v>
      </c>
      <c r="AN131" s="22">
        <f t="shared" si="562"/>
        <v>0</v>
      </c>
      <c r="AO131" s="22">
        <f t="shared" si="563"/>
        <v>0</v>
      </c>
      <c r="AQ131" s="106">
        <v>0</v>
      </c>
      <c r="AR131" s="106">
        <v>0</v>
      </c>
      <c r="AS131" s="106">
        <v>0</v>
      </c>
      <c r="AT131" s="106">
        <v>0</v>
      </c>
      <c r="AU131" s="106">
        <v>0</v>
      </c>
      <c r="AV131" s="106">
        <v>0</v>
      </c>
      <c r="AW131" s="106">
        <v>0</v>
      </c>
      <c r="AX131" s="106">
        <v>0</v>
      </c>
      <c r="AY131" s="106">
        <v>0</v>
      </c>
      <c r="AZ131" s="106">
        <v>0</v>
      </c>
      <c r="BA131" s="106">
        <v>0</v>
      </c>
      <c r="BB131" s="106">
        <v>0</v>
      </c>
      <c r="BC131" s="106">
        <f t="shared" si="564"/>
        <v>0</v>
      </c>
      <c r="BD131" s="16" t="str">
        <f t="shared" si="334"/>
        <v>Training Expenses - Senior Management MBIL</v>
      </c>
      <c r="BE131" s="22">
        <f>+VLOOKUP($BD131,'Jan-25'!$A:$J,4,0)</f>
        <v>0</v>
      </c>
      <c r="BF131" s="22">
        <f>+VLOOKUP($BD131,'Feb-25'!$A:$J,4,0)</f>
        <v>0</v>
      </c>
      <c r="BG131" s="22">
        <f>+VLOOKUP($BD131,'Mar-25'!$A:$J,4,0)</f>
        <v>0</v>
      </c>
      <c r="BH131" s="22">
        <f>+VLOOKUP($BD131,'Apr-25'!$A:$J,4,0)</f>
        <v>0</v>
      </c>
      <c r="BI131" s="22">
        <f>+VLOOKUP($BD131,'May-25'!$A:$J,4,0)</f>
        <v>0</v>
      </c>
      <c r="BJ131" s="22">
        <f>+VLOOKUP($BD131,'June-25'!$A:$J,4,0)</f>
        <v>0</v>
      </c>
      <c r="BK131" s="22">
        <f>+VLOOKUP($BD131,'July-25'!$A:$J,4,0)</f>
        <v>0</v>
      </c>
      <c r="BL131" s="22">
        <f>+VLOOKUP($BD131,'Aug-25'!$A:$J,4,0)</f>
        <v>0</v>
      </c>
      <c r="BM131" s="22">
        <f>+VLOOKUP($BD131,'Sep-25'!$A:$J,4,0)</f>
        <v>0</v>
      </c>
      <c r="BN131" s="22">
        <f>+VLOOKUP($BD131,'Oct-25'!$A:$J,4,0)</f>
        <v>0</v>
      </c>
      <c r="BO131" s="22">
        <f>+VLOOKUP($BD131,'Nov-25'!$A:$J,4,0)</f>
        <v>0</v>
      </c>
      <c r="BP131" s="22">
        <f>+VLOOKUP($BD131,'Dec-25'!$A:$J,4,0)</f>
        <v>0</v>
      </c>
      <c r="BQ131" s="22">
        <f t="shared" si="565"/>
        <v>0</v>
      </c>
      <c r="BR131" s="118">
        <f t="shared" si="477"/>
        <v>0</v>
      </c>
      <c r="BS131" s="106">
        <f>+_xlfn.XLOOKUP($BD131,Budget!$A:$A,Budget!AQ:AQ)</f>
        <v>0</v>
      </c>
      <c r="BT131" s="106">
        <f>+_xlfn.XLOOKUP($BD131,Budget!$A:$A,Budget!AR:AR)</f>
        <v>0</v>
      </c>
      <c r="BU131" s="106">
        <f>+_xlfn.XLOOKUP($BD131,Budget!$A:$A,Budget!AS:AS)</f>
        <v>0</v>
      </c>
      <c r="BV131" s="106">
        <f>+_xlfn.XLOOKUP($BD131,Budget!$A:$A,Budget!AT:AT)</f>
        <v>0</v>
      </c>
      <c r="BW131" s="106">
        <f>+_xlfn.XLOOKUP($BD131,Budget!$A:$A,Budget!AU:AU)</f>
        <v>0</v>
      </c>
      <c r="BX131" s="106">
        <f>+_xlfn.XLOOKUP($BD131,Budget!$A:$A,Budget!AV:AV)</f>
        <v>0</v>
      </c>
      <c r="BY131" s="106">
        <f>+_xlfn.XLOOKUP($BD131,Budget!$A:$A,Budget!AW:AW)</f>
        <v>0</v>
      </c>
      <c r="BZ131" s="106">
        <f>+_xlfn.XLOOKUP($BD131,Budget!$A:$A,Budget!AX:AX)</f>
        <v>0</v>
      </c>
      <c r="CA131" s="106">
        <f>+_xlfn.XLOOKUP($BD131,Budget!$A:$A,Budget!AY:AY)</f>
        <v>0</v>
      </c>
      <c r="CB131" s="106">
        <f>+_xlfn.XLOOKUP($BD131,Budget!$A:$A,Budget!AZ:AZ)</f>
        <v>0</v>
      </c>
      <c r="CC131" s="106">
        <f>+_xlfn.XLOOKUP($BD131,Budget!$A:$A,Budget!BA:BA)</f>
        <v>0</v>
      </c>
      <c r="CD131" s="106">
        <f>+_xlfn.XLOOKUP($BD131,Budget!$A:$A,Budget!BB:BB)</f>
        <v>0</v>
      </c>
      <c r="CE131" s="106">
        <f t="shared" si="566"/>
        <v>0</v>
      </c>
      <c r="CF131" s="22"/>
      <c r="CG131" s="22">
        <v>0</v>
      </c>
      <c r="CH131" s="22">
        <v>0</v>
      </c>
      <c r="CI131" s="22">
        <v>0</v>
      </c>
      <c r="CJ131" s="22">
        <v>0</v>
      </c>
      <c r="CK131" s="22">
        <v>0</v>
      </c>
      <c r="CL131" s="22">
        <v>0</v>
      </c>
      <c r="CM131" s="22">
        <v>0</v>
      </c>
      <c r="CN131" s="22">
        <v>0</v>
      </c>
      <c r="CO131" s="22">
        <v>0</v>
      </c>
      <c r="CP131" s="22">
        <v>0</v>
      </c>
      <c r="CQ131" s="22">
        <v>0</v>
      </c>
      <c r="CR131" s="22">
        <v>0</v>
      </c>
      <c r="CS131" s="106">
        <f t="shared" si="567"/>
        <v>0</v>
      </c>
      <c r="CT131" s="16" t="str">
        <f t="shared" si="338"/>
        <v>Training Expenses - Senior Management MBIL</v>
      </c>
      <c r="CU131" s="22">
        <f>+VLOOKUP($BD131,'Jan-25'!$A:$J,7,0)</f>
        <v>0</v>
      </c>
      <c r="CV131" s="22">
        <f>+VLOOKUP($BD131,'Feb-25'!$A:$J,7,0)</f>
        <v>0</v>
      </c>
      <c r="CW131" s="22">
        <f>+VLOOKUP($BD131,'Mar-25'!$A:$J,7,0)</f>
        <v>0</v>
      </c>
      <c r="CX131" s="22">
        <f>+VLOOKUP($BD131,'Apr-25'!$A:$J,7,0)</f>
        <v>0</v>
      </c>
      <c r="CY131" s="22">
        <f>+VLOOKUP($BD131,'May-25'!$A:$J,7,0)</f>
        <v>0</v>
      </c>
      <c r="CZ131" s="22">
        <f>+VLOOKUP($BD131,'June-25'!$A:$J,7,0)</f>
        <v>0</v>
      </c>
      <c r="DA131" s="22">
        <f>+VLOOKUP($BD131,'July-25'!$A:$J,7,0)</f>
        <v>0</v>
      </c>
      <c r="DB131" s="22">
        <f>+VLOOKUP($BD131,'Aug-25'!$A:$J,7,0)</f>
        <v>0</v>
      </c>
      <c r="DC131" s="22">
        <f>+VLOOKUP($BD131,'Sep-25'!$A:$J,7,0)</f>
        <v>0</v>
      </c>
      <c r="DD131" s="22">
        <f>+VLOOKUP($BD131,'Oct-25'!$A:$J,7,0)</f>
        <v>0</v>
      </c>
      <c r="DE131" s="22">
        <f>+VLOOKUP($BD131,'Nov-25'!$A:$J,7,0)</f>
        <v>0</v>
      </c>
      <c r="DF131" s="22">
        <f>+VLOOKUP($BD131,'Dec-25'!$A:$J,7,0)</f>
        <v>0</v>
      </c>
      <c r="DG131" s="22">
        <f t="shared" si="568"/>
        <v>0</v>
      </c>
      <c r="DH131" s="118">
        <f t="shared" si="478"/>
        <v>0</v>
      </c>
      <c r="DI131" s="22">
        <f>+_xlfn.XLOOKUP($CT131,Budget!$A:$A,Budget!CD:CD)</f>
        <v>0</v>
      </c>
      <c r="DJ131" s="22">
        <f>+_xlfn.XLOOKUP($CT131,Budget!$A:$A,Budget!CE:CE)</f>
        <v>0</v>
      </c>
      <c r="DK131" s="22">
        <f>+_xlfn.XLOOKUP($CT131,Budget!$A:$A,Budget!CF:CF)</f>
        <v>0</v>
      </c>
      <c r="DL131" s="22">
        <f>+_xlfn.XLOOKUP($CT131,Budget!$A:$A,Budget!CG:CG)</f>
        <v>0</v>
      </c>
      <c r="DM131" s="22">
        <f>+_xlfn.XLOOKUP($CT131,Budget!$A:$A,Budget!CH:CH)</f>
        <v>0</v>
      </c>
      <c r="DN131" s="22">
        <f>+_xlfn.XLOOKUP($CT131,Budget!$A:$A,Budget!CI:CI)</f>
        <v>0</v>
      </c>
      <c r="DO131" s="22">
        <f>+_xlfn.XLOOKUP($CT131,Budget!$A:$A,Budget!CJ:CJ)</f>
        <v>0</v>
      </c>
      <c r="DP131" s="22">
        <f>+_xlfn.XLOOKUP($CT131,Budget!$A:$A,Budget!CK:CK)</f>
        <v>0</v>
      </c>
      <c r="DQ131" s="22">
        <f>+_xlfn.XLOOKUP($CT131,Budget!$A:$A,Budget!CL:CL)</f>
        <v>0</v>
      </c>
      <c r="DR131" s="22">
        <f>+_xlfn.XLOOKUP($CT131,Budget!$A:$A,Budget!CM:CM)</f>
        <v>0</v>
      </c>
      <c r="DS131" s="22">
        <f>+_xlfn.XLOOKUP($CT131,Budget!$A:$A,Budget!CN:CN)</f>
        <v>0</v>
      </c>
      <c r="DT131" s="22">
        <f>+_xlfn.XLOOKUP($CT131,Budget!$A:$A,Budget!CO:CO)</f>
        <v>0</v>
      </c>
      <c r="DU131" s="106">
        <f t="shared" si="569"/>
        <v>0</v>
      </c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106">
        <f t="shared" si="570"/>
        <v>0</v>
      </c>
      <c r="EJ131" s="16" t="str">
        <f t="shared" si="376"/>
        <v>Training Expenses - Senior Management MBIL</v>
      </c>
      <c r="EK131" s="22">
        <f>+VLOOKUP($BD131,'Jan-25'!$A:$J,9,0)</f>
        <v>0</v>
      </c>
      <c r="EL131" s="22">
        <f>+VLOOKUP($BD131,'Feb-25'!$A:$J,9,0)</f>
        <v>0</v>
      </c>
      <c r="EM131" s="22">
        <f>+VLOOKUP($BD131,'Mar-25'!$A:$J,9,0)</f>
        <v>0</v>
      </c>
      <c r="EN131" s="22">
        <f>+VLOOKUP($BD131,'Apr-25'!$A:$J,9,0)</f>
        <v>0</v>
      </c>
      <c r="EO131" s="22">
        <f>+VLOOKUP($BD131,'May-25'!$A:$J,9,0)</f>
        <v>0</v>
      </c>
      <c r="EP131" s="22">
        <f>+VLOOKUP($BD131,'June-25'!$A:$J,9,0)</f>
        <v>0</v>
      </c>
      <c r="EQ131" s="22">
        <f>+VLOOKUP($BD131,'July-25'!$A:$J,9,0)</f>
        <v>0</v>
      </c>
      <c r="ER131" s="22">
        <f>+VLOOKUP($BD131,'Aug-25'!$A:$J,9,0)</f>
        <v>0</v>
      </c>
      <c r="ES131" s="22">
        <f>+VLOOKUP($BD131,'Sep-25'!$A:$J,9,0)</f>
        <v>0</v>
      </c>
      <c r="ET131" s="22">
        <f>+VLOOKUP($BD131,'Oct-25'!$A:$J,9,0)</f>
        <v>0</v>
      </c>
      <c r="EU131" s="22">
        <f>+VLOOKUP($BD131,'Nov-25'!$A:$J,9,0)</f>
        <v>0</v>
      </c>
      <c r="EV131" s="22">
        <f>+VLOOKUP($BD131,'Dec-25'!$A:$J,9,0)</f>
        <v>0</v>
      </c>
      <c r="EW131" s="22">
        <f t="shared" si="571"/>
        <v>0</v>
      </c>
      <c r="EX131" s="118">
        <f t="shared" si="479"/>
        <v>0</v>
      </c>
      <c r="EY131" s="22">
        <f>+_xlfn.XLOOKUP($EJ131,Budget!$A:$A,Budget!DE:DE)</f>
        <v>0</v>
      </c>
      <c r="EZ131" s="22">
        <f>+_xlfn.XLOOKUP($EJ131,Budget!$A:$A,Budget!DF:DF)</f>
        <v>0</v>
      </c>
      <c r="FA131" s="22">
        <f>+_xlfn.XLOOKUP($EJ131,Budget!$A:$A,Budget!DG:DG)</f>
        <v>0</v>
      </c>
      <c r="FB131" s="22">
        <f>+_xlfn.XLOOKUP($EJ131,Budget!$A:$A,Budget!DH:DH)</f>
        <v>0</v>
      </c>
      <c r="FC131" s="22">
        <f>+_xlfn.XLOOKUP($EJ131,Budget!$A:$A,Budget!DI:DI)</f>
        <v>0</v>
      </c>
      <c r="FD131" s="22">
        <f>+_xlfn.XLOOKUP($EJ131,Budget!$A:$A,Budget!DJ:DJ)</f>
        <v>0</v>
      </c>
      <c r="FE131" s="22">
        <f>+_xlfn.XLOOKUP($EJ131,Budget!$A:$A,Budget!DK:DK)</f>
        <v>0</v>
      </c>
      <c r="FF131" s="22">
        <f>+_xlfn.XLOOKUP($EJ131,Budget!$A:$A,Budget!DL:DL)</f>
        <v>0</v>
      </c>
      <c r="FG131" s="22">
        <f>+_xlfn.XLOOKUP($EJ131,Budget!$A:$A,Budget!DM:DM)</f>
        <v>0</v>
      </c>
      <c r="FH131" s="22">
        <f>+_xlfn.XLOOKUP($EJ131,Budget!$A:$A,Budget!DN:DN)</f>
        <v>0</v>
      </c>
      <c r="FI131" s="22">
        <f>+_xlfn.XLOOKUP($EJ131,Budget!$A:$A,Budget!DO:DO)</f>
        <v>0</v>
      </c>
      <c r="FJ131" s="22">
        <f>+_xlfn.XLOOKUP($EJ131,Budget!$A:$A,Budget!DP:DP)</f>
        <v>0</v>
      </c>
      <c r="FK131" s="106">
        <f t="shared" si="572"/>
        <v>0</v>
      </c>
    </row>
    <row r="132" spans="1:167" ht="14.45" hidden="1" customHeight="1" outlineLevel="2">
      <c r="A132" s="106">
        <f t="shared" si="558"/>
        <v>161958.33333333334</v>
      </c>
      <c r="B132" s="106">
        <f t="shared" si="558"/>
        <v>161958.33333333334</v>
      </c>
      <c r="C132" s="106">
        <f t="shared" si="558"/>
        <v>161958.33333333334</v>
      </c>
      <c r="D132" s="106">
        <f t="shared" si="558"/>
        <v>161958.33333333334</v>
      </c>
      <c r="E132" s="106">
        <f t="shared" si="558"/>
        <v>161958.33333333334</v>
      </c>
      <c r="F132" s="106">
        <f t="shared" si="558"/>
        <v>161958.33333333334</v>
      </c>
      <c r="G132" s="106">
        <f t="shared" si="558"/>
        <v>161958.33333333334</v>
      </c>
      <c r="H132" s="106">
        <f t="shared" si="558"/>
        <v>161958.33333333334</v>
      </c>
      <c r="I132" s="106">
        <f t="shared" si="558"/>
        <v>161958.33333333334</v>
      </c>
      <c r="J132" s="106">
        <f t="shared" si="558"/>
        <v>161958.33333333334</v>
      </c>
      <c r="K132" s="106">
        <f t="shared" si="558"/>
        <v>161958.33333333334</v>
      </c>
      <c r="L132" s="106">
        <f t="shared" si="558"/>
        <v>161958.33333333334</v>
      </c>
      <c r="M132" s="106">
        <f t="shared" si="559"/>
        <v>1943499.9999999998</v>
      </c>
      <c r="N132" s="16" t="s">
        <v>109</v>
      </c>
      <c r="O132" s="22">
        <f t="shared" si="560"/>
        <v>399750</v>
      </c>
      <c r="P132" s="22">
        <f t="shared" si="560"/>
        <v>0</v>
      </c>
      <c r="Q132" s="22">
        <f t="shared" si="560"/>
        <v>0</v>
      </c>
      <c r="R132" s="22">
        <f t="shared" si="560"/>
        <v>0</v>
      </c>
      <c r="S132" s="22">
        <f t="shared" si="560"/>
        <v>0</v>
      </c>
      <c r="T132" s="22">
        <f t="shared" si="560"/>
        <v>0</v>
      </c>
      <c r="U132" s="22">
        <f t="shared" si="560"/>
        <v>0</v>
      </c>
      <c r="V132" s="22">
        <f t="shared" si="560"/>
        <v>0</v>
      </c>
      <c r="W132" s="22">
        <f t="shared" si="560"/>
        <v>0</v>
      </c>
      <c r="X132" s="22">
        <f t="shared" si="560"/>
        <v>0</v>
      </c>
      <c r="Y132" s="22">
        <f t="shared" si="560"/>
        <v>0</v>
      </c>
      <c r="Z132" s="22">
        <f t="shared" si="560"/>
        <v>0</v>
      </c>
      <c r="AA132" s="22">
        <f t="shared" si="561"/>
        <v>399750</v>
      </c>
      <c r="AB132" s="118">
        <f t="shared" si="476"/>
        <v>-1</v>
      </c>
      <c r="AC132" s="22">
        <f t="shared" si="562"/>
        <v>85000</v>
      </c>
      <c r="AD132" s="22">
        <f t="shared" si="562"/>
        <v>85000</v>
      </c>
      <c r="AE132" s="22">
        <f t="shared" si="562"/>
        <v>85000</v>
      </c>
      <c r="AF132" s="22">
        <f t="shared" si="562"/>
        <v>85000</v>
      </c>
      <c r="AG132" s="22">
        <f t="shared" si="562"/>
        <v>85000</v>
      </c>
      <c r="AH132" s="22">
        <f t="shared" si="562"/>
        <v>85000</v>
      </c>
      <c r="AI132" s="22">
        <f t="shared" si="562"/>
        <v>85000</v>
      </c>
      <c r="AJ132" s="22">
        <f t="shared" si="562"/>
        <v>85000</v>
      </c>
      <c r="AK132" s="22">
        <f t="shared" si="562"/>
        <v>85000</v>
      </c>
      <c r="AL132" s="22">
        <f t="shared" si="562"/>
        <v>85000</v>
      </c>
      <c r="AM132" s="22">
        <f t="shared" si="562"/>
        <v>85000</v>
      </c>
      <c r="AN132" s="22">
        <f t="shared" si="562"/>
        <v>85000</v>
      </c>
      <c r="AO132" s="22">
        <f t="shared" si="563"/>
        <v>1020000</v>
      </c>
      <c r="AQ132" s="106">
        <v>98175</v>
      </c>
      <c r="AR132" s="106">
        <v>98175</v>
      </c>
      <c r="AS132" s="106">
        <v>98175</v>
      </c>
      <c r="AT132" s="106">
        <v>98175</v>
      </c>
      <c r="AU132" s="106">
        <v>98175</v>
      </c>
      <c r="AV132" s="106">
        <v>98175</v>
      </c>
      <c r="AW132" s="106">
        <v>98175</v>
      </c>
      <c r="AX132" s="106">
        <v>98175</v>
      </c>
      <c r="AY132" s="106">
        <v>98175</v>
      </c>
      <c r="AZ132" s="106">
        <v>98175</v>
      </c>
      <c r="BA132" s="106">
        <v>98175</v>
      </c>
      <c r="BB132" s="106">
        <v>98175</v>
      </c>
      <c r="BC132" s="106">
        <f t="shared" si="564"/>
        <v>1178100</v>
      </c>
      <c r="BD132" s="16" t="str">
        <f t="shared" si="334"/>
        <v>Training Expenses MBIL</v>
      </c>
      <c r="BE132" s="22">
        <f>+VLOOKUP($BD132,'Jan-25'!$A:$J,4,0)</f>
        <v>399750</v>
      </c>
      <c r="BF132" s="22">
        <f>+VLOOKUP($BD132,'Feb-25'!$A:$J,4,0)</f>
        <v>0</v>
      </c>
      <c r="BG132" s="22">
        <f>+VLOOKUP($BD132,'Mar-25'!$A:$J,4,0)</f>
        <v>0</v>
      </c>
      <c r="BH132" s="22">
        <f>+VLOOKUP($BD132,'Apr-25'!$A:$J,4,0)</f>
        <v>0</v>
      </c>
      <c r="BI132" s="22">
        <f>+VLOOKUP($BD132,'May-25'!$A:$J,4,0)</f>
        <v>0</v>
      </c>
      <c r="BJ132" s="22">
        <f>+VLOOKUP($BD132,'June-25'!$A:$J,4,0)</f>
        <v>0</v>
      </c>
      <c r="BK132" s="22">
        <f>+VLOOKUP($BD132,'July-25'!$A:$J,4,0)</f>
        <v>0</v>
      </c>
      <c r="BL132" s="22">
        <f>+VLOOKUP($BD132,'Aug-25'!$A:$J,4,0)</f>
        <v>0</v>
      </c>
      <c r="BM132" s="22">
        <f>+VLOOKUP($BD132,'Sep-25'!$A:$J,4,0)</f>
        <v>0</v>
      </c>
      <c r="BN132" s="22">
        <f>+VLOOKUP($BD132,'Oct-25'!$A:$J,4,0)</f>
        <v>0</v>
      </c>
      <c r="BO132" s="22">
        <f>+VLOOKUP($BD132,'Nov-25'!$A:$J,4,0)</f>
        <v>0</v>
      </c>
      <c r="BP132" s="22">
        <f>+VLOOKUP($BD132,'Dec-25'!$A:$J,4,0)</f>
        <v>0</v>
      </c>
      <c r="BQ132" s="22">
        <f t="shared" si="565"/>
        <v>399750</v>
      </c>
      <c r="BR132" s="118">
        <f t="shared" si="477"/>
        <v>-1</v>
      </c>
      <c r="BS132" s="106">
        <f>+_xlfn.XLOOKUP($BD132,Budget!$A:$A,Budget!AQ:AQ)</f>
        <v>25000</v>
      </c>
      <c r="BT132" s="106">
        <f>+_xlfn.XLOOKUP($BD132,Budget!$A:$A,Budget!AR:AR)</f>
        <v>25000</v>
      </c>
      <c r="BU132" s="106">
        <f>+_xlfn.XLOOKUP($BD132,Budget!$A:$A,Budget!AS:AS)</f>
        <v>25000</v>
      </c>
      <c r="BV132" s="106">
        <f>+_xlfn.XLOOKUP($BD132,Budget!$A:$A,Budget!AT:AT)</f>
        <v>25000</v>
      </c>
      <c r="BW132" s="106">
        <f>+_xlfn.XLOOKUP($BD132,Budget!$A:$A,Budget!AU:AU)</f>
        <v>25000</v>
      </c>
      <c r="BX132" s="106">
        <f>+_xlfn.XLOOKUP($BD132,Budget!$A:$A,Budget!AV:AV)</f>
        <v>25000</v>
      </c>
      <c r="BY132" s="106">
        <f>+_xlfn.XLOOKUP($BD132,Budget!$A:$A,Budget!AW:AW)</f>
        <v>25000</v>
      </c>
      <c r="BZ132" s="106">
        <f>+_xlfn.XLOOKUP($BD132,Budget!$A:$A,Budget!AX:AX)</f>
        <v>25000</v>
      </c>
      <c r="CA132" s="106">
        <f>+_xlfn.XLOOKUP($BD132,Budget!$A:$A,Budget!AY:AY)</f>
        <v>25000</v>
      </c>
      <c r="CB132" s="106">
        <f>+_xlfn.XLOOKUP($BD132,Budget!$A:$A,Budget!AZ:AZ)</f>
        <v>25000</v>
      </c>
      <c r="CC132" s="106">
        <f>+_xlfn.XLOOKUP($BD132,Budget!$A:$A,Budget!BA:BA)</f>
        <v>25000</v>
      </c>
      <c r="CD132" s="106">
        <f>+_xlfn.XLOOKUP($BD132,Budget!$A:$A,Budget!BB:BB)</f>
        <v>25000</v>
      </c>
      <c r="CE132" s="106">
        <f t="shared" si="566"/>
        <v>300000</v>
      </c>
      <c r="CF132" s="22"/>
      <c r="CG132" s="22">
        <v>63783.333333333336</v>
      </c>
      <c r="CH132" s="22">
        <v>63783.333333333336</v>
      </c>
      <c r="CI132" s="22">
        <v>63783.333333333336</v>
      </c>
      <c r="CJ132" s="22">
        <v>63783.333333333336</v>
      </c>
      <c r="CK132" s="22">
        <v>63783.333333333336</v>
      </c>
      <c r="CL132" s="22">
        <v>63783.333333333336</v>
      </c>
      <c r="CM132" s="22">
        <v>63783.333333333336</v>
      </c>
      <c r="CN132" s="22">
        <v>63783.333333333336</v>
      </c>
      <c r="CO132" s="22">
        <v>63783.333333333336</v>
      </c>
      <c r="CP132" s="22">
        <v>63783.333333333336</v>
      </c>
      <c r="CQ132" s="22">
        <v>63783.333333333336</v>
      </c>
      <c r="CR132" s="22">
        <v>63783.333333333336</v>
      </c>
      <c r="CS132" s="106">
        <f t="shared" si="567"/>
        <v>765400.00000000012</v>
      </c>
      <c r="CT132" s="16" t="str">
        <f t="shared" si="338"/>
        <v>Training Expenses MBIL</v>
      </c>
      <c r="CU132" s="22">
        <f>+VLOOKUP($BD132,'Jan-25'!$A:$J,7,0)</f>
        <v>0</v>
      </c>
      <c r="CV132" s="22">
        <f>+VLOOKUP($BD132,'Feb-25'!$A:$J,7,0)</f>
        <v>0</v>
      </c>
      <c r="CW132" s="22">
        <f>+VLOOKUP($BD132,'Mar-25'!$A:$J,7,0)</f>
        <v>0</v>
      </c>
      <c r="CX132" s="22">
        <f>+VLOOKUP($BD132,'Apr-25'!$A:$J,7,0)</f>
        <v>0</v>
      </c>
      <c r="CY132" s="22">
        <f>+VLOOKUP($BD132,'May-25'!$A:$J,7,0)</f>
        <v>0</v>
      </c>
      <c r="CZ132" s="22">
        <f>+VLOOKUP($BD132,'June-25'!$A:$J,7,0)</f>
        <v>0</v>
      </c>
      <c r="DA132" s="22">
        <f>+VLOOKUP($BD132,'July-25'!$A:$J,7,0)</f>
        <v>0</v>
      </c>
      <c r="DB132" s="22">
        <f>+VLOOKUP($BD132,'Aug-25'!$A:$J,7,0)</f>
        <v>0</v>
      </c>
      <c r="DC132" s="22">
        <f>+VLOOKUP($BD132,'Sep-25'!$A:$J,7,0)</f>
        <v>0</v>
      </c>
      <c r="DD132" s="22">
        <f>+VLOOKUP($BD132,'Oct-25'!$A:$J,7,0)</f>
        <v>0</v>
      </c>
      <c r="DE132" s="22">
        <f>+VLOOKUP($BD132,'Nov-25'!$A:$J,7,0)</f>
        <v>0</v>
      </c>
      <c r="DF132" s="22">
        <f>+VLOOKUP($BD132,'Dec-25'!$A:$J,7,0)</f>
        <v>0</v>
      </c>
      <c r="DG132" s="22">
        <f t="shared" si="568"/>
        <v>0</v>
      </c>
      <c r="DH132" s="118">
        <f t="shared" si="478"/>
        <v>-1</v>
      </c>
      <c r="DI132" s="22">
        <f>+_xlfn.XLOOKUP($CT132,Budget!$A:$A,Budget!CD:CD)</f>
        <v>35000</v>
      </c>
      <c r="DJ132" s="22">
        <f>+_xlfn.XLOOKUP($CT132,Budget!$A:$A,Budget!CE:CE)</f>
        <v>35000</v>
      </c>
      <c r="DK132" s="22">
        <f>+_xlfn.XLOOKUP($CT132,Budget!$A:$A,Budget!CF:CF)</f>
        <v>35000</v>
      </c>
      <c r="DL132" s="22">
        <f>+_xlfn.XLOOKUP($CT132,Budget!$A:$A,Budget!CG:CG)</f>
        <v>35000</v>
      </c>
      <c r="DM132" s="22">
        <f>+_xlfn.XLOOKUP($CT132,Budget!$A:$A,Budget!CH:CH)</f>
        <v>35000</v>
      </c>
      <c r="DN132" s="22">
        <f>+_xlfn.XLOOKUP($CT132,Budget!$A:$A,Budget!CI:CI)</f>
        <v>35000</v>
      </c>
      <c r="DO132" s="22">
        <f>+_xlfn.XLOOKUP($CT132,Budget!$A:$A,Budget!CJ:CJ)</f>
        <v>35000</v>
      </c>
      <c r="DP132" s="22">
        <f>+_xlfn.XLOOKUP($CT132,Budget!$A:$A,Budget!CK:CK)</f>
        <v>35000</v>
      </c>
      <c r="DQ132" s="22">
        <f>+_xlfn.XLOOKUP($CT132,Budget!$A:$A,Budget!CL:CL)</f>
        <v>35000</v>
      </c>
      <c r="DR132" s="22">
        <f>+_xlfn.XLOOKUP($CT132,Budget!$A:$A,Budget!CM:CM)</f>
        <v>35000</v>
      </c>
      <c r="DS132" s="22">
        <f>+_xlfn.XLOOKUP($CT132,Budget!$A:$A,Budget!CN:CN)</f>
        <v>35000</v>
      </c>
      <c r="DT132" s="22">
        <f>+_xlfn.XLOOKUP($CT132,Budget!$A:$A,Budget!CO:CO)</f>
        <v>35000</v>
      </c>
      <c r="DU132" s="106">
        <f t="shared" si="569"/>
        <v>420000</v>
      </c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106">
        <f t="shared" si="570"/>
        <v>0</v>
      </c>
      <c r="EJ132" s="16" t="str">
        <f t="shared" si="376"/>
        <v>Training Expenses MBIL</v>
      </c>
      <c r="EK132" s="22">
        <f>+VLOOKUP($BD132,'Jan-25'!$A:$J,9,0)</f>
        <v>0</v>
      </c>
      <c r="EL132" s="22">
        <f>+VLOOKUP($BD132,'Feb-25'!$A:$J,9,0)</f>
        <v>0</v>
      </c>
      <c r="EM132" s="22">
        <f>+VLOOKUP($BD132,'Mar-25'!$A:$J,9,0)</f>
        <v>0</v>
      </c>
      <c r="EN132" s="22">
        <f>+VLOOKUP($BD132,'Apr-25'!$A:$J,9,0)</f>
        <v>0</v>
      </c>
      <c r="EO132" s="22">
        <f>+VLOOKUP($BD132,'May-25'!$A:$J,9,0)</f>
        <v>0</v>
      </c>
      <c r="EP132" s="22">
        <f>+VLOOKUP($BD132,'June-25'!$A:$J,9,0)</f>
        <v>0</v>
      </c>
      <c r="EQ132" s="22">
        <f>+VLOOKUP($BD132,'July-25'!$A:$J,9,0)</f>
        <v>0</v>
      </c>
      <c r="ER132" s="22">
        <f>+VLOOKUP($BD132,'Aug-25'!$A:$J,9,0)</f>
        <v>0</v>
      </c>
      <c r="ES132" s="22">
        <f>+VLOOKUP($BD132,'Sep-25'!$A:$J,9,0)</f>
        <v>0</v>
      </c>
      <c r="ET132" s="22">
        <f>+VLOOKUP($BD132,'Oct-25'!$A:$J,9,0)</f>
        <v>0</v>
      </c>
      <c r="EU132" s="22">
        <f>+VLOOKUP($BD132,'Nov-25'!$A:$J,9,0)</f>
        <v>0</v>
      </c>
      <c r="EV132" s="22">
        <f>+VLOOKUP($BD132,'Dec-25'!$A:$J,9,0)</f>
        <v>0</v>
      </c>
      <c r="EW132" s="22">
        <f t="shared" si="571"/>
        <v>0</v>
      </c>
      <c r="EX132" s="118">
        <f t="shared" si="479"/>
        <v>-1</v>
      </c>
      <c r="EY132" s="22">
        <f>+_xlfn.XLOOKUP($EJ132,Budget!$A:$A,Budget!DE:DE)</f>
        <v>25000</v>
      </c>
      <c r="EZ132" s="22">
        <f>+_xlfn.XLOOKUP($EJ132,Budget!$A:$A,Budget!DF:DF)</f>
        <v>25000</v>
      </c>
      <c r="FA132" s="22">
        <f>+_xlfn.XLOOKUP($EJ132,Budget!$A:$A,Budget!DG:DG)</f>
        <v>25000</v>
      </c>
      <c r="FB132" s="22">
        <f>+_xlfn.XLOOKUP($EJ132,Budget!$A:$A,Budget!DH:DH)</f>
        <v>25000</v>
      </c>
      <c r="FC132" s="22">
        <f>+_xlfn.XLOOKUP($EJ132,Budget!$A:$A,Budget!DI:DI)</f>
        <v>25000</v>
      </c>
      <c r="FD132" s="22">
        <f>+_xlfn.XLOOKUP($EJ132,Budget!$A:$A,Budget!DJ:DJ)</f>
        <v>25000</v>
      </c>
      <c r="FE132" s="22">
        <f>+_xlfn.XLOOKUP($EJ132,Budget!$A:$A,Budget!DK:DK)</f>
        <v>25000</v>
      </c>
      <c r="FF132" s="22">
        <f>+_xlfn.XLOOKUP($EJ132,Budget!$A:$A,Budget!DL:DL)</f>
        <v>25000</v>
      </c>
      <c r="FG132" s="22">
        <f>+_xlfn.XLOOKUP($EJ132,Budget!$A:$A,Budget!DM:DM)</f>
        <v>25000</v>
      </c>
      <c r="FH132" s="22">
        <f>+_xlfn.XLOOKUP($EJ132,Budget!$A:$A,Budget!DN:DN)</f>
        <v>25000</v>
      </c>
      <c r="FI132" s="22">
        <f>+_xlfn.XLOOKUP($EJ132,Budget!$A:$A,Budget!DO:DO)</f>
        <v>25000</v>
      </c>
      <c r="FJ132" s="22">
        <f>+_xlfn.XLOOKUP($EJ132,Budget!$A:$A,Budget!DP:DP)</f>
        <v>25000</v>
      </c>
      <c r="FK132" s="106">
        <f t="shared" si="572"/>
        <v>300000</v>
      </c>
    </row>
    <row r="133" spans="1:167" ht="14.45" hidden="1" customHeight="1" outlineLevel="1" collapsed="1">
      <c r="A133" s="58">
        <f t="shared" ref="A133:M133" si="573">+SUM(A134:A137)</f>
        <v>75200</v>
      </c>
      <c r="B133" s="58">
        <f t="shared" si="573"/>
        <v>77449.76979999998</v>
      </c>
      <c r="C133" s="58">
        <f t="shared" si="573"/>
        <v>0</v>
      </c>
      <c r="D133" s="58">
        <f t="shared" si="573"/>
        <v>56714.893599999996</v>
      </c>
      <c r="E133" s="58">
        <f t="shared" si="573"/>
        <v>134701.33319999999</v>
      </c>
      <c r="F133" s="58">
        <f t="shared" si="573"/>
        <v>173936</v>
      </c>
      <c r="G133" s="58">
        <f t="shared" si="573"/>
        <v>170130.5</v>
      </c>
      <c r="H133" s="58">
        <f t="shared" si="573"/>
        <v>369607.63679999998</v>
      </c>
      <c r="I133" s="58">
        <f t="shared" si="573"/>
        <v>115450.63</v>
      </c>
      <c r="J133" s="58">
        <f t="shared" si="573"/>
        <v>109618.2</v>
      </c>
      <c r="K133" s="58">
        <f t="shared" si="573"/>
        <v>157182.03320000001</v>
      </c>
      <c r="L133" s="58">
        <f t="shared" si="573"/>
        <v>141086.2942</v>
      </c>
      <c r="M133" s="58">
        <f t="shared" si="573"/>
        <v>1581077.2908000001</v>
      </c>
      <c r="N133" s="20" t="s">
        <v>110</v>
      </c>
      <c r="O133" s="28">
        <f t="shared" ref="O133:AA133" si="574">+SUM(O134:O137)</f>
        <v>195844.07</v>
      </c>
      <c r="P133" s="28">
        <f t="shared" si="574"/>
        <v>113799.41590000001</v>
      </c>
      <c r="Q133" s="28">
        <f t="shared" si="574"/>
        <v>225692.58999999997</v>
      </c>
      <c r="R133" s="28">
        <f t="shared" si="574"/>
        <v>148025.81</v>
      </c>
      <c r="S133" s="28">
        <f t="shared" si="574"/>
        <v>23875.75</v>
      </c>
      <c r="T133" s="28">
        <f t="shared" si="574"/>
        <v>181575.72000000003</v>
      </c>
      <c r="U133" s="28">
        <f t="shared" si="574"/>
        <v>212976.46789999999</v>
      </c>
      <c r="V133" s="28">
        <f t="shared" si="574"/>
        <v>191008.94</v>
      </c>
      <c r="W133" s="28">
        <f t="shared" si="574"/>
        <v>114894.89</v>
      </c>
      <c r="X133" s="28">
        <f t="shared" si="574"/>
        <v>140430.47999999998</v>
      </c>
      <c r="Y133" s="28">
        <f t="shared" si="574"/>
        <v>0</v>
      </c>
      <c r="Z133" s="28">
        <f t="shared" si="574"/>
        <v>0</v>
      </c>
      <c r="AA133" s="28">
        <f t="shared" si="574"/>
        <v>1548124.1338000002</v>
      </c>
      <c r="AB133" s="118">
        <f t="shared" si="476"/>
        <v>0.11905914930475664</v>
      </c>
      <c r="AC133" s="28">
        <f t="shared" ref="AC133:AO133" si="575">+SUM(AC134:AC137)</f>
        <v>125489.77423333334</v>
      </c>
      <c r="AD133" s="28">
        <f t="shared" si="575"/>
        <v>125489.77423333334</v>
      </c>
      <c r="AE133" s="28">
        <f t="shared" si="575"/>
        <v>125489.77423333334</v>
      </c>
      <c r="AF133" s="28">
        <f t="shared" si="575"/>
        <v>125489.77423333334</v>
      </c>
      <c r="AG133" s="28">
        <f t="shared" si="575"/>
        <v>125489.77423333334</v>
      </c>
      <c r="AH133" s="28">
        <f t="shared" si="575"/>
        <v>125489.77423333334</v>
      </c>
      <c r="AI133" s="28">
        <f t="shared" si="575"/>
        <v>125489.77423333334</v>
      </c>
      <c r="AJ133" s="28">
        <f t="shared" si="575"/>
        <v>125489.77423333334</v>
      </c>
      <c r="AK133" s="28">
        <f t="shared" si="575"/>
        <v>125489.77423333334</v>
      </c>
      <c r="AL133" s="28">
        <f t="shared" si="575"/>
        <v>125489.77423333334</v>
      </c>
      <c r="AM133" s="28">
        <f t="shared" si="575"/>
        <v>125489.77423333334</v>
      </c>
      <c r="AN133" s="28">
        <f t="shared" si="575"/>
        <v>125489.77423333334</v>
      </c>
      <c r="AO133" s="28">
        <f t="shared" si="575"/>
        <v>1505877.2907999998</v>
      </c>
      <c r="AQ133" s="58">
        <f t="shared" ref="AQ133:BC133" si="576">+SUM(AQ134:AQ137)</f>
        <v>75200</v>
      </c>
      <c r="AR133" s="58">
        <f t="shared" si="576"/>
        <v>43037.953199999989</v>
      </c>
      <c r="AS133" s="58">
        <f t="shared" si="576"/>
        <v>0</v>
      </c>
      <c r="AT133" s="58">
        <f t="shared" si="576"/>
        <v>53431.2624</v>
      </c>
      <c r="AU133" s="58">
        <f t="shared" si="576"/>
        <v>126239.4488</v>
      </c>
      <c r="AV133" s="58">
        <f t="shared" si="576"/>
        <v>122222</v>
      </c>
      <c r="AW133" s="58">
        <f t="shared" si="576"/>
        <v>127481</v>
      </c>
      <c r="AX133" s="58">
        <f t="shared" si="576"/>
        <v>277449.71120000002</v>
      </c>
      <c r="AY133" s="58">
        <f t="shared" si="576"/>
        <v>63278.63</v>
      </c>
      <c r="AZ133" s="58">
        <f t="shared" si="576"/>
        <v>104941.2</v>
      </c>
      <c r="BA133" s="58">
        <f t="shared" si="576"/>
        <v>125426.1388</v>
      </c>
      <c r="BB133" s="58">
        <f t="shared" si="576"/>
        <v>106199.30279999999</v>
      </c>
      <c r="BC133" s="58">
        <f t="shared" si="576"/>
        <v>1224906.6472</v>
      </c>
      <c r="BD133" s="20" t="str">
        <f t="shared" si="334"/>
        <v>Travelling - Operational</v>
      </c>
      <c r="BE133" s="28">
        <f t="shared" ref="BE133:BQ133" si="577">+SUM(BE134:BE137)</f>
        <v>97707.59</v>
      </c>
      <c r="BF133" s="28">
        <f t="shared" si="577"/>
        <v>102126.18060000001</v>
      </c>
      <c r="BG133" s="28">
        <f t="shared" si="577"/>
        <v>201528.8</v>
      </c>
      <c r="BH133" s="28">
        <f t="shared" si="577"/>
        <v>115013.92</v>
      </c>
      <c r="BI133" s="28">
        <f t="shared" si="577"/>
        <v>642.88000000000102</v>
      </c>
      <c r="BJ133" s="28">
        <f t="shared" si="577"/>
        <v>117384.6</v>
      </c>
      <c r="BK133" s="28">
        <f t="shared" si="577"/>
        <v>145949.5986</v>
      </c>
      <c r="BL133" s="28">
        <f t="shared" si="577"/>
        <v>67679.88</v>
      </c>
      <c r="BM133" s="28">
        <f t="shared" si="577"/>
        <v>95984</v>
      </c>
      <c r="BN133" s="28">
        <f t="shared" si="577"/>
        <v>91969.37</v>
      </c>
      <c r="BO133" s="28">
        <f t="shared" si="577"/>
        <v>0</v>
      </c>
      <c r="BP133" s="28">
        <f t="shared" si="577"/>
        <v>0</v>
      </c>
      <c r="BQ133" s="28">
        <f t="shared" si="577"/>
        <v>1035986.8191999999</v>
      </c>
      <c r="BR133" s="118">
        <f t="shared" si="477"/>
        <v>-4.0074750643748491E-2</v>
      </c>
      <c r="BS133" s="58">
        <f t="shared" ref="BS133:CE133" si="578">+SUM(BS134:BS137)</f>
        <v>95808.887266666672</v>
      </c>
      <c r="BT133" s="58">
        <f t="shared" si="578"/>
        <v>95808.887266666672</v>
      </c>
      <c r="BU133" s="58">
        <f t="shared" si="578"/>
        <v>95808.887266666672</v>
      </c>
      <c r="BV133" s="58">
        <f t="shared" si="578"/>
        <v>95808.887266666672</v>
      </c>
      <c r="BW133" s="58">
        <f t="shared" si="578"/>
        <v>95808.887266666672</v>
      </c>
      <c r="BX133" s="58">
        <f t="shared" si="578"/>
        <v>95808.887266666672</v>
      </c>
      <c r="BY133" s="58">
        <f t="shared" si="578"/>
        <v>95808.887266666672</v>
      </c>
      <c r="BZ133" s="58">
        <f t="shared" si="578"/>
        <v>95808.887266666672</v>
      </c>
      <c r="CA133" s="58">
        <f t="shared" si="578"/>
        <v>95808.887266666672</v>
      </c>
      <c r="CB133" s="58">
        <f t="shared" si="578"/>
        <v>95808.887266666672</v>
      </c>
      <c r="CC133" s="58">
        <f t="shared" si="578"/>
        <v>95808.887266666672</v>
      </c>
      <c r="CD133" s="58">
        <f t="shared" si="578"/>
        <v>95808.887266666672</v>
      </c>
      <c r="CE133" s="58">
        <f t="shared" si="578"/>
        <v>1149706.6471999998</v>
      </c>
      <c r="CF133" s="22"/>
      <c r="CG133" s="28">
        <f t="shared" ref="CG133:CS133" si="579">+SUM(CG134:CG137)</f>
        <v>0</v>
      </c>
      <c r="CH133" s="28">
        <f t="shared" si="579"/>
        <v>34411.816599999998</v>
      </c>
      <c r="CI133" s="28">
        <f t="shared" si="579"/>
        <v>0</v>
      </c>
      <c r="CJ133" s="28">
        <f t="shared" si="579"/>
        <v>3283.6311999999998</v>
      </c>
      <c r="CK133" s="28">
        <f t="shared" si="579"/>
        <v>8461.884399999999</v>
      </c>
      <c r="CL133" s="28">
        <f t="shared" si="579"/>
        <v>51714</v>
      </c>
      <c r="CM133" s="28">
        <f t="shared" si="579"/>
        <v>42649.5</v>
      </c>
      <c r="CN133" s="28">
        <f t="shared" si="579"/>
        <v>92157.925599999988</v>
      </c>
      <c r="CO133" s="28">
        <f t="shared" si="579"/>
        <v>52172</v>
      </c>
      <c r="CP133" s="28">
        <f t="shared" si="579"/>
        <v>4677</v>
      </c>
      <c r="CQ133" s="28">
        <f t="shared" si="579"/>
        <v>31755.894399999997</v>
      </c>
      <c r="CR133" s="28">
        <f t="shared" si="579"/>
        <v>34886.991399999999</v>
      </c>
      <c r="CS133" s="58">
        <f t="shared" si="579"/>
        <v>356170.64360000001</v>
      </c>
      <c r="CT133" s="20" t="str">
        <f t="shared" si="338"/>
        <v>Travelling - Operational</v>
      </c>
      <c r="CU133" s="28">
        <f t="shared" ref="CU133:DG133" si="580">+SUM(CU134:CU137)</f>
        <v>8778.4399999999987</v>
      </c>
      <c r="CV133" s="28">
        <f t="shared" si="580"/>
        <v>5362.9552999999996</v>
      </c>
      <c r="CW133" s="28">
        <f t="shared" si="580"/>
        <v>15668.08</v>
      </c>
      <c r="CX133" s="28">
        <f t="shared" si="580"/>
        <v>28111.89</v>
      </c>
      <c r="CY133" s="28">
        <f t="shared" si="580"/>
        <v>17749.870000000003</v>
      </c>
      <c r="CZ133" s="28">
        <f t="shared" si="580"/>
        <v>45783.98</v>
      </c>
      <c r="DA133" s="28">
        <f t="shared" si="580"/>
        <v>59710.869299999991</v>
      </c>
      <c r="DB133" s="28">
        <f t="shared" si="580"/>
        <v>115609.06</v>
      </c>
      <c r="DC133" s="28">
        <f t="shared" si="580"/>
        <v>10354.75</v>
      </c>
      <c r="DD133" s="28">
        <f t="shared" si="580"/>
        <v>27778.53</v>
      </c>
      <c r="DE133" s="28">
        <f t="shared" si="580"/>
        <v>0</v>
      </c>
      <c r="DF133" s="28">
        <f t="shared" si="580"/>
        <v>0</v>
      </c>
      <c r="DG133" s="28">
        <f t="shared" si="580"/>
        <v>334908.42460000003</v>
      </c>
      <c r="DH133" s="118">
        <f t="shared" si="478"/>
        <v>-6.4093669734436351E-2</v>
      </c>
      <c r="DI133" s="28">
        <f t="shared" ref="DI133:DU133" si="581">+SUM(DI134:DI137)</f>
        <v>29680.886966666669</v>
      </c>
      <c r="DJ133" s="28">
        <f t="shared" si="581"/>
        <v>29680.886966666669</v>
      </c>
      <c r="DK133" s="28">
        <f t="shared" si="581"/>
        <v>29680.886966666669</v>
      </c>
      <c r="DL133" s="28">
        <f t="shared" si="581"/>
        <v>29680.886966666669</v>
      </c>
      <c r="DM133" s="28">
        <f t="shared" si="581"/>
        <v>29680.886966666669</v>
      </c>
      <c r="DN133" s="28">
        <f t="shared" si="581"/>
        <v>29680.886966666669</v>
      </c>
      <c r="DO133" s="28">
        <f t="shared" si="581"/>
        <v>29680.886966666669</v>
      </c>
      <c r="DP133" s="28">
        <f t="shared" si="581"/>
        <v>29680.886966666669</v>
      </c>
      <c r="DQ133" s="28">
        <f t="shared" si="581"/>
        <v>29680.886966666669</v>
      </c>
      <c r="DR133" s="28">
        <f t="shared" si="581"/>
        <v>29680.886966666669</v>
      </c>
      <c r="DS133" s="28">
        <f t="shared" si="581"/>
        <v>29680.886966666669</v>
      </c>
      <c r="DT133" s="28">
        <f t="shared" si="581"/>
        <v>29680.886966666669</v>
      </c>
      <c r="DU133" s="58">
        <f t="shared" si="581"/>
        <v>356170.64360000001</v>
      </c>
      <c r="DW133" s="28">
        <f t="shared" ref="DW133:EI133" si="582">+SUM(DW134:DW137)</f>
        <v>0</v>
      </c>
      <c r="DX133" s="28">
        <f t="shared" si="582"/>
        <v>0</v>
      </c>
      <c r="DY133" s="28">
        <f t="shared" si="582"/>
        <v>0</v>
      </c>
      <c r="DZ133" s="28">
        <f t="shared" si="582"/>
        <v>0</v>
      </c>
      <c r="EA133" s="28">
        <f t="shared" si="582"/>
        <v>0</v>
      </c>
      <c r="EB133" s="28">
        <f t="shared" si="582"/>
        <v>0</v>
      </c>
      <c r="EC133" s="28">
        <f t="shared" si="582"/>
        <v>0</v>
      </c>
      <c r="ED133" s="28">
        <f t="shared" si="582"/>
        <v>0</v>
      </c>
      <c r="EE133" s="28">
        <f t="shared" si="582"/>
        <v>0</v>
      </c>
      <c r="EF133" s="28">
        <f t="shared" si="582"/>
        <v>0</v>
      </c>
      <c r="EG133" s="28">
        <f t="shared" si="582"/>
        <v>0</v>
      </c>
      <c r="EH133" s="28">
        <f t="shared" si="582"/>
        <v>0</v>
      </c>
      <c r="EI133" s="58">
        <f t="shared" si="582"/>
        <v>0</v>
      </c>
      <c r="EJ133" s="20" t="str">
        <f t="shared" si="376"/>
        <v>Travelling - Operational</v>
      </c>
      <c r="EK133" s="28">
        <f t="shared" ref="EK133:EW133" si="583">+SUM(EK134:EK137)</f>
        <v>89358.04</v>
      </c>
      <c r="EL133" s="28">
        <f t="shared" si="583"/>
        <v>6310.28</v>
      </c>
      <c r="EM133" s="28">
        <f t="shared" si="583"/>
        <v>8495.7099999999991</v>
      </c>
      <c r="EN133" s="28">
        <f t="shared" si="583"/>
        <v>4900</v>
      </c>
      <c r="EO133" s="28">
        <f t="shared" si="583"/>
        <v>5483</v>
      </c>
      <c r="EP133" s="28">
        <f t="shared" si="583"/>
        <v>18407.14</v>
      </c>
      <c r="EQ133" s="28">
        <f t="shared" si="583"/>
        <v>7316</v>
      </c>
      <c r="ER133" s="28">
        <f t="shared" si="583"/>
        <v>7720</v>
      </c>
      <c r="ES133" s="28">
        <f t="shared" si="583"/>
        <v>8556.14</v>
      </c>
      <c r="ET133" s="28">
        <f t="shared" si="583"/>
        <v>20682.580000000002</v>
      </c>
      <c r="EU133" s="28">
        <f t="shared" si="583"/>
        <v>0</v>
      </c>
      <c r="EV133" s="28">
        <f t="shared" si="583"/>
        <v>0</v>
      </c>
      <c r="EW133" s="28">
        <f t="shared" si="583"/>
        <v>177228.89</v>
      </c>
      <c r="EX133" s="118">
        <f t="shared" si="479"/>
        <v>0</v>
      </c>
      <c r="EY133" s="28">
        <f t="shared" ref="EY133:FK133" si="584">+SUM(EY134:EY137)</f>
        <v>0</v>
      </c>
      <c r="EZ133" s="28">
        <f t="shared" si="584"/>
        <v>0</v>
      </c>
      <c r="FA133" s="28">
        <f t="shared" si="584"/>
        <v>0</v>
      </c>
      <c r="FB133" s="28">
        <f t="shared" si="584"/>
        <v>0</v>
      </c>
      <c r="FC133" s="28">
        <f t="shared" si="584"/>
        <v>0</v>
      </c>
      <c r="FD133" s="28">
        <f t="shared" si="584"/>
        <v>0</v>
      </c>
      <c r="FE133" s="28">
        <f t="shared" si="584"/>
        <v>0</v>
      </c>
      <c r="FF133" s="28">
        <f t="shared" si="584"/>
        <v>0</v>
      </c>
      <c r="FG133" s="28">
        <f t="shared" si="584"/>
        <v>0</v>
      </c>
      <c r="FH133" s="28">
        <f t="shared" si="584"/>
        <v>0</v>
      </c>
      <c r="FI133" s="28">
        <f t="shared" si="584"/>
        <v>0</v>
      </c>
      <c r="FJ133" s="28">
        <f t="shared" si="584"/>
        <v>0</v>
      </c>
      <c r="FK133" s="58">
        <f t="shared" si="584"/>
        <v>0</v>
      </c>
    </row>
    <row r="134" spans="1:167" ht="14.45" hidden="1" customHeight="1" outlineLevel="2">
      <c r="A134" s="106">
        <f t="shared" si="558"/>
        <v>0</v>
      </c>
      <c r="B134" s="106">
        <f t="shared" si="558"/>
        <v>0</v>
      </c>
      <c r="C134" s="106">
        <f t="shared" si="558"/>
        <v>0</v>
      </c>
      <c r="D134" s="106">
        <f t="shared" si="558"/>
        <v>0</v>
      </c>
      <c r="E134" s="106">
        <f t="shared" si="558"/>
        <v>0</v>
      </c>
      <c r="F134" s="106">
        <f t="shared" si="558"/>
        <v>0</v>
      </c>
      <c r="G134" s="106">
        <f t="shared" si="558"/>
        <v>0</v>
      </c>
      <c r="H134" s="106">
        <f t="shared" si="558"/>
        <v>0</v>
      </c>
      <c r="I134" s="106">
        <f t="shared" si="558"/>
        <v>0</v>
      </c>
      <c r="J134" s="106">
        <f t="shared" si="558"/>
        <v>0</v>
      </c>
      <c r="K134" s="106">
        <f t="shared" si="558"/>
        <v>0</v>
      </c>
      <c r="L134" s="106">
        <f t="shared" si="558"/>
        <v>0</v>
      </c>
      <c r="M134" s="106">
        <f t="shared" ref="M134:M137" si="585">+SUM(A134:L134)</f>
        <v>0</v>
      </c>
      <c r="N134" s="16" t="s">
        <v>111</v>
      </c>
      <c r="O134" s="22">
        <f t="shared" ref="O134:Z137" si="586">+BE134+CU134+EK134</f>
        <v>0</v>
      </c>
      <c r="P134" s="22">
        <f t="shared" si="586"/>
        <v>0</v>
      </c>
      <c r="Q134" s="22">
        <f t="shared" si="586"/>
        <v>0</v>
      </c>
      <c r="R134" s="22">
        <f t="shared" si="586"/>
        <v>0</v>
      </c>
      <c r="S134" s="22">
        <f t="shared" si="586"/>
        <v>0</v>
      </c>
      <c r="T134" s="22">
        <f t="shared" si="586"/>
        <v>0</v>
      </c>
      <c r="U134" s="22">
        <f t="shared" si="586"/>
        <v>0</v>
      </c>
      <c r="V134" s="22">
        <f t="shared" si="586"/>
        <v>0</v>
      </c>
      <c r="W134" s="22">
        <f t="shared" si="586"/>
        <v>0</v>
      </c>
      <c r="X134" s="22">
        <f t="shared" si="586"/>
        <v>0</v>
      </c>
      <c r="Y134" s="22">
        <f t="shared" si="586"/>
        <v>0</v>
      </c>
      <c r="Z134" s="22">
        <f t="shared" si="586"/>
        <v>0</v>
      </c>
      <c r="AA134" s="22">
        <f t="shared" ref="AA134:AA137" si="587">+SUM(O134:Z134)</f>
        <v>0</v>
      </c>
      <c r="AB134" s="118">
        <f t="shared" si="476"/>
        <v>0</v>
      </c>
      <c r="AC134" s="22">
        <f t="shared" ref="AC134:AN137" si="588">+BS134+DI134+EY134</f>
        <v>0</v>
      </c>
      <c r="AD134" s="22">
        <f t="shared" si="588"/>
        <v>0</v>
      </c>
      <c r="AE134" s="22">
        <f t="shared" si="588"/>
        <v>0</v>
      </c>
      <c r="AF134" s="22">
        <f t="shared" si="588"/>
        <v>0</v>
      </c>
      <c r="AG134" s="22">
        <f t="shared" si="588"/>
        <v>0</v>
      </c>
      <c r="AH134" s="22">
        <f t="shared" si="588"/>
        <v>0</v>
      </c>
      <c r="AI134" s="22">
        <f t="shared" si="588"/>
        <v>0</v>
      </c>
      <c r="AJ134" s="22">
        <f t="shared" si="588"/>
        <v>0</v>
      </c>
      <c r="AK134" s="22">
        <f t="shared" si="588"/>
        <v>0</v>
      </c>
      <c r="AL134" s="22">
        <f t="shared" si="588"/>
        <v>0</v>
      </c>
      <c r="AM134" s="22">
        <f t="shared" si="588"/>
        <v>0</v>
      </c>
      <c r="AN134" s="22">
        <f t="shared" si="588"/>
        <v>0</v>
      </c>
      <c r="AO134" s="22">
        <f t="shared" ref="AO134:AO137" si="589">+SUM(AC134:AN134)</f>
        <v>0</v>
      </c>
      <c r="AQ134" s="106">
        <v>0</v>
      </c>
      <c r="AR134" s="106">
        <v>0</v>
      </c>
      <c r="AS134" s="106">
        <v>0</v>
      </c>
      <c r="AT134" s="106">
        <v>0</v>
      </c>
      <c r="AU134" s="106">
        <v>0</v>
      </c>
      <c r="AV134" s="106">
        <v>0</v>
      </c>
      <c r="AW134" s="106">
        <v>0</v>
      </c>
      <c r="AX134" s="106">
        <v>0</v>
      </c>
      <c r="AY134" s="106">
        <v>0</v>
      </c>
      <c r="AZ134" s="106">
        <v>0</v>
      </c>
      <c r="BA134" s="106">
        <v>0</v>
      </c>
      <c r="BB134" s="106">
        <v>0</v>
      </c>
      <c r="BC134" s="106">
        <f t="shared" ref="BC134:BC137" si="590">+SUM(AQ134:BB134)</f>
        <v>0</v>
      </c>
      <c r="BD134" s="16" t="str">
        <f t="shared" ref="BD134:BD197" si="591">N134</f>
        <v>Travel Costs - Other</v>
      </c>
      <c r="BE134" s="22">
        <f>+VLOOKUP($BD134,'Jan-25'!$A:$J,4,0)</f>
        <v>0</v>
      </c>
      <c r="BF134" s="22">
        <f>+VLOOKUP($BD134,'Feb-25'!$A:$J,4,0)</f>
        <v>0</v>
      </c>
      <c r="BG134" s="22">
        <f>+VLOOKUP($BD134,'Mar-25'!$A:$J,4,0)</f>
        <v>0</v>
      </c>
      <c r="BH134" s="22">
        <f>+VLOOKUP($BD134,'Apr-25'!$A:$J,4,0)</f>
        <v>0</v>
      </c>
      <c r="BI134" s="22">
        <f>+VLOOKUP($BD134,'May-25'!$A:$J,4,0)</f>
        <v>0</v>
      </c>
      <c r="BJ134" s="22">
        <f>+VLOOKUP($BD134,'June-25'!$A:$J,4,0)</f>
        <v>0</v>
      </c>
      <c r="BK134" s="22">
        <f>+VLOOKUP($BD134,'July-25'!$A:$J,4,0)</f>
        <v>0</v>
      </c>
      <c r="BL134" s="22">
        <f>+VLOOKUP($BD134,'Aug-25'!$A:$J,4,0)</f>
        <v>0</v>
      </c>
      <c r="BM134" s="22">
        <f>+VLOOKUP($BD134,'Sep-25'!$A:$J,4,0)</f>
        <v>0</v>
      </c>
      <c r="BN134" s="22">
        <f>+VLOOKUP($BD134,'Oct-25'!$A:$J,4,0)</f>
        <v>0</v>
      </c>
      <c r="BO134" s="22">
        <f>+VLOOKUP($BD134,'Nov-25'!$A:$J,4,0)</f>
        <v>0</v>
      </c>
      <c r="BP134" s="22">
        <f>+VLOOKUP($BD134,'Dec-25'!$A:$J,4,0)</f>
        <v>0</v>
      </c>
      <c r="BQ134" s="22">
        <f t="shared" ref="BQ134:BQ137" si="592">+SUM(BE134:BP134)</f>
        <v>0</v>
      </c>
      <c r="BR134" s="118">
        <f t="shared" si="477"/>
        <v>0</v>
      </c>
      <c r="BS134" s="106">
        <f>+_xlfn.XLOOKUP($BD134,Budget!$A:$A,Budget!AQ:AQ)</f>
        <v>0</v>
      </c>
      <c r="BT134" s="106">
        <f>+_xlfn.XLOOKUP($BD134,Budget!$A:$A,Budget!AR:AR)</f>
        <v>0</v>
      </c>
      <c r="BU134" s="106">
        <f>+_xlfn.XLOOKUP($BD134,Budget!$A:$A,Budget!AS:AS)</f>
        <v>0</v>
      </c>
      <c r="BV134" s="106">
        <f>+_xlfn.XLOOKUP($BD134,Budget!$A:$A,Budget!AT:AT)</f>
        <v>0</v>
      </c>
      <c r="BW134" s="106">
        <f>+_xlfn.XLOOKUP($BD134,Budget!$A:$A,Budget!AU:AU)</f>
        <v>0</v>
      </c>
      <c r="BX134" s="106">
        <f>+_xlfn.XLOOKUP($BD134,Budget!$A:$A,Budget!AV:AV)</f>
        <v>0</v>
      </c>
      <c r="BY134" s="106">
        <f>+_xlfn.XLOOKUP($BD134,Budget!$A:$A,Budget!AW:AW)</f>
        <v>0</v>
      </c>
      <c r="BZ134" s="106">
        <f>+_xlfn.XLOOKUP($BD134,Budget!$A:$A,Budget!AX:AX)</f>
        <v>0</v>
      </c>
      <c r="CA134" s="106">
        <f>+_xlfn.XLOOKUP($BD134,Budget!$A:$A,Budget!AY:AY)</f>
        <v>0</v>
      </c>
      <c r="CB134" s="106">
        <f>+_xlfn.XLOOKUP($BD134,Budget!$A:$A,Budget!AZ:AZ)</f>
        <v>0</v>
      </c>
      <c r="CC134" s="106">
        <f>+_xlfn.XLOOKUP($BD134,Budget!$A:$A,Budget!BA:BA)</f>
        <v>0</v>
      </c>
      <c r="CD134" s="106">
        <f>+_xlfn.XLOOKUP($BD134,Budget!$A:$A,Budget!BB:BB)</f>
        <v>0</v>
      </c>
      <c r="CE134" s="106">
        <f t="shared" ref="CE134:CE137" si="593">+SUM(BS134:CD134)</f>
        <v>0</v>
      </c>
      <c r="CF134" s="22"/>
      <c r="CG134" s="22">
        <v>0</v>
      </c>
      <c r="CH134" s="22">
        <v>0</v>
      </c>
      <c r="CI134" s="22">
        <v>0</v>
      </c>
      <c r="CJ134" s="22">
        <v>0</v>
      </c>
      <c r="CK134" s="22">
        <v>0</v>
      </c>
      <c r="CL134" s="22">
        <v>0</v>
      </c>
      <c r="CM134" s="22">
        <v>0</v>
      </c>
      <c r="CN134" s="22">
        <v>0</v>
      </c>
      <c r="CO134" s="22">
        <v>0</v>
      </c>
      <c r="CP134" s="22">
        <v>0</v>
      </c>
      <c r="CQ134" s="22">
        <v>0</v>
      </c>
      <c r="CR134" s="22">
        <v>0</v>
      </c>
      <c r="CS134" s="106">
        <f t="shared" ref="CS134:CS137" si="594">+SUM(CG134:CR134)</f>
        <v>0</v>
      </c>
      <c r="CT134" s="16" t="str">
        <f t="shared" ref="CT134:CT197" si="595">BD134</f>
        <v>Travel Costs - Other</v>
      </c>
      <c r="CU134" s="22">
        <f>+VLOOKUP($BD134,'Jan-25'!$A:$J,7,0)</f>
        <v>0</v>
      </c>
      <c r="CV134" s="22">
        <f>+VLOOKUP($BD134,'Feb-25'!$A:$J,7,0)</f>
        <v>0</v>
      </c>
      <c r="CW134" s="22">
        <f>+VLOOKUP($BD134,'Mar-25'!$A:$J,7,0)</f>
        <v>0</v>
      </c>
      <c r="CX134" s="22">
        <f>+VLOOKUP($BD134,'Apr-25'!$A:$J,7,0)</f>
        <v>0</v>
      </c>
      <c r="CY134" s="22">
        <f>+VLOOKUP($BD134,'May-25'!$A:$J,7,0)</f>
        <v>0</v>
      </c>
      <c r="CZ134" s="22">
        <f>+VLOOKUP($BD134,'June-25'!$A:$J,7,0)</f>
        <v>0</v>
      </c>
      <c r="DA134" s="22">
        <f>+VLOOKUP($BD134,'July-25'!$A:$J,7,0)</f>
        <v>0</v>
      </c>
      <c r="DB134" s="22">
        <f>+VLOOKUP($BD134,'Aug-25'!$A:$J,7,0)</f>
        <v>0</v>
      </c>
      <c r="DC134" s="22">
        <f>+VLOOKUP($BD134,'Sep-25'!$A:$J,7,0)</f>
        <v>0</v>
      </c>
      <c r="DD134" s="22">
        <f>+VLOOKUP($BD134,'Oct-25'!$A:$J,7,0)</f>
        <v>0</v>
      </c>
      <c r="DE134" s="22">
        <f>+VLOOKUP($BD134,'Nov-25'!$A:$J,7,0)</f>
        <v>0</v>
      </c>
      <c r="DF134" s="22">
        <f>+VLOOKUP($BD134,'Dec-25'!$A:$J,7,0)</f>
        <v>0</v>
      </c>
      <c r="DG134" s="22">
        <f t="shared" ref="DG134:DG137" si="596">+SUM(CU134:DF134)</f>
        <v>0</v>
      </c>
      <c r="DH134" s="118">
        <f t="shared" si="478"/>
        <v>0</v>
      </c>
      <c r="DI134" s="22">
        <f>+_xlfn.XLOOKUP($CT134,Budget!$A:$A,Budget!CD:CD)</f>
        <v>0</v>
      </c>
      <c r="DJ134" s="22">
        <f>+_xlfn.XLOOKUP($CT134,Budget!$A:$A,Budget!CE:CE)</f>
        <v>0</v>
      </c>
      <c r="DK134" s="22">
        <f>+_xlfn.XLOOKUP($CT134,Budget!$A:$A,Budget!CF:CF)</f>
        <v>0</v>
      </c>
      <c r="DL134" s="22">
        <f>+_xlfn.XLOOKUP($CT134,Budget!$A:$A,Budget!CG:CG)</f>
        <v>0</v>
      </c>
      <c r="DM134" s="22">
        <f>+_xlfn.XLOOKUP($CT134,Budget!$A:$A,Budget!CH:CH)</f>
        <v>0</v>
      </c>
      <c r="DN134" s="22">
        <f>+_xlfn.XLOOKUP($CT134,Budget!$A:$A,Budget!CI:CI)</f>
        <v>0</v>
      </c>
      <c r="DO134" s="22">
        <f>+_xlfn.XLOOKUP($CT134,Budget!$A:$A,Budget!CJ:CJ)</f>
        <v>0</v>
      </c>
      <c r="DP134" s="22">
        <f>+_xlfn.XLOOKUP($CT134,Budget!$A:$A,Budget!CK:CK)</f>
        <v>0</v>
      </c>
      <c r="DQ134" s="22">
        <f>+_xlfn.XLOOKUP($CT134,Budget!$A:$A,Budget!CL:CL)</f>
        <v>0</v>
      </c>
      <c r="DR134" s="22">
        <f>+_xlfn.XLOOKUP($CT134,Budget!$A:$A,Budget!CM:CM)</f>
        <v>0</v>
      </c>
      <c r="DS134" s="22">
        <f>+_xlfn.XLOOKUP($CT134,Budget!$A:$A,Budget!CN:CN)</f>
        <v>0</v>
      </c>
      <c r="DT134" s="22">
        <f>+_xlfn.XLOOKUP($CT134,Budget!$A:$A,Budget!CO:CO)</f>
        <v>0</v>
      </c>
      <c r="DU134" s="106">
        <f t="shared" ref="DU134:DU137" si="597">+SUM(DI134:DT134)</f>
        <v>0</v>
      </c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106">
        <f t="shared" ref="EI134:EI137" si="598">+SUM(DW134:EH134)</f>
        <v>0</v>
      </c>
      <c r="EJ134" s="16" t="str">
        <f t="shared" si="376"/>
        <v>Travel Costs - Other</v>
      </c>
      <c r="EK134" s="22">
        <f>+VLOOKUP($BD134,'Jan-25'!$A:$J,9,0)</f>
        <v>0</v>
      </c>
      <c r="EL134" s="22">
        <f>+VLOOKUP($BD134,'Feb-25'!$A:$J,9,0)</f>
        <v>0</v>
      </c>
      <c r="EM134" s="22">
        <f>+VLOOKUP($BD134,'Mar-25'!$A:$J,9,0)</f>
        <v>0</v>
      </c>
      <c r="EN134" s="22">
        <f>+VLOOKUP($BD134,'Apr-25'!$A:$J,9,0)</f>
        <v>0</v>
      </c>
      <c r="EO134" s="22">
        <f>+VLOOKUP($BD134,'May-25'!$A:$J,9,0)</f>
        <v>0</v>
      </c>
      <c r="EP134" s="22">
        <f>+VLOOKUP($BD134,'June-25'!$A:$J,9,0)</f>
        <v>0</v>
      </c>
      <c r="EQ134" s="22">
        <f>+VLOOKUP($BD134,'July-25'!$A:$J,9,0)</f>
        <v>0</v>
      </c>
      <c r="ER134" s="22">
        <f>+VLOOKUP($BD134,'Aug-25'!$A:$J,9,0)</f>
        <v>0</v>
      </c>
      <c r="ES134" s="22">
        <f>+VLOOKUP($BD134,'Sep-25'!$A:$J,9,0)</f>
        <v>0</v>
      </c>
      <c r="ET134" s="22">
        <f>+VLOOKUP($BD134,'Oct-25'!$A:$J,9,0)</f>
        <v>0</v>
      </c>
      <c r="EU134" s="22">
        <f>+VLOOKUP($BD134,'Nov-25'!$A:$J,9,0)</f>
        <v>0</v>
      </c>
      <c r="EV134" s="22">
        <f>+VLOOKUP($BD134,'Dec-25'!$A:$J,9,0)</f>
        <v>0</v>
      </c>
      <c r="EW134" s="22">
        <f t="shared" ref="EW134:EW137" si="599">+SUM(EK134:EV134)</f>
        <v>0</v>
      </c>
      <c r="EX134" s="118">
        <f t="shared" si="479"/>
        <v>0</v>
      </c>
      <c r="EY134" s="22">
        <f>+_xlfn.XLOOKUP($EJ134,Budget!$A:$A,Budget!DE:DE)</f>
        <v>0</v>
      </c>
      <c r="EZ134" s="22">
        <f>+_xlfn.XLOOKUP($EJ134,Budget!$A:$A,Budget!DF:DF)</f>
        <v>0</v>
      </c>
      <c r="FA134" s="22">
        <f>+_xlfn.XLOOKUP($EJ134,Budget!$A:$A,Budget!DG:DG)</f>
        <v>0</v>
      </c>
      <c r="FB134" s="22">
        <f>+_xlfn.XLOOKUP($EJ134,Budget!$A:$A,Budget!DH:DH)</f>
        <v>0</v>
      </c>
      <c r="FC134" s="22">
        <f>+_xlfn.XLOOKUP($EJ134,Budget!$A:$A,Budget!DI:DI)</f>
        <v>0</v>
      </c>
      <c r="FD134" s="22">
        <f>+_xlfn.XLOOKUP($EJ134,Budget!$A:$A,Budget!DJ:DJ)</f>
        <v>0</v>
      </c>
      <c r="FE134" s="22">
        <f>+_xlfn.XLOOKUP($EJ134,Budget!$A:$A,Budget!DK:DK)</f>
        <v>0</v>
      </c>
      <c r="FF134" s="22">
        <f>+_xlfn.XLOOKUP($EJ134,Budget!$A:$A,Budget!DL:DL)</f>
        <v>0</v>
      </c>
      <c r="FG134" s="22">
        <f>+_xlfn.XLOOKUP($EJ134,Budget!$A:$A,Budget!DM:DM)</f>
        <v>0</v>
      </c>
      <c r="FH134" s="22">
        <f>+_xlfn.XLOOKUP($EJ134,Budget!$A:$A,Budget!DN:DN)</f>
        <v>0</v>
      </c>
      <c r="FI134" s="22">
        <f>+_xlfn.XLOOKUP($EJ134,Budget!$A:$A,Budget!DO:DO)</f>
        <v>0</v>
      </c>
      <c r="FJ134" s="22">
        <f>+_xlfn.XLOOKUP($EJ134,Budget!$A:$A,Budget!DP:DP)</f>
        <v>0</v>
      </c>
      <c r="FK134" s="106">
        <f t="shared" ref="FK134:FK137" si="600">+SUM(EY134:FJ134)</f>
        <v>0</v>
      </c>
    </row>
    <row r="135" spans="1:167" ht="14.45" hidden="1" customHeight="1" outlineLevel="2">
      <c r="A135" s="106">
        <f t="shared" si="558"/>
        <v>0</v>
      </c>
      <c r="B135" s="106">
        <f t="shared" si="558"/>
        <v>77449.76979999998</v>
      </c>
      <c r="C135" s="106">
        <f t="shared" si="558"/>
        <v>0</v>
      </c>
      <c r="D135" s="106">
        <f t="shared" si="558"/>
        <v>56714.893599999996</v>
      </c>
      <c r="E135" s="106">
        <f t="shared" si="558"/>
        <v>134701.33319999999</v>
      </c>
      <c r="F135" s="106">
        <f t="shared" si="558"/>
        <v>173936</v>
      </c>
      <c r="G135" s="106">
        <f t="shared" si="558"/>
        <v>170130.5</v>
      </c>
      <c r="H135" s="106">
        <f t="shared" si="558"/>
        <v>369607.63679999998</v>
      </c>
      <c r="I135" s="106">
        <f t="shared" si="558"/>
        <v>115450.63</v>
      </c>
      <c r="J135" s="106">
        <f t="shared" si="558"/>
        <v>109618.2</v>
      </c>
      <c r="K135" s="106">
        <f t="shared" si="558"/>
        <v>157182.03320000001</v>
      </c>
      <c r="L135" s="106">
        <f t="shared" si="558"/>
        <v>141086.2942</v>
      </c>
      <c r="M135" s="106">
        <f t="shared" si="585"/>
        <v>1505877.2908000001</v>
      </c>
      <c r="N135" s="16" t="s">
        <v>112</v>
      </c>
      <c r="O135" s="22">
        <f t="shared" si="586"/>
        <v>195844.07</v>
      </c>
      <c r="P135" s="22">
        <f t="shared" si="586"/>
        <v>113799.41590000001</v>
      </c>
      <c r="Q135" s="22">
        <f t="shared" si="586"/>
        <v>225692.58999999997</v>
      </c>
      <c r="R135" s="22">
        <f t="shared" si="586"/>
        <v>148025.81</v>
      </c>
      <c r="S135" s="22">
        <f t="shared" si="586"/>
        <v>51605.56</v>
      </c>
      <c r="T135" s="22">
        <f t="shared" si="586"/>
        <v>181575.72000000003</v>
      </c>
      <c r="U135" s="22">
        <f t="shared" si="586"/>
        <v>89496.89</v>
      </c>
      <c r="V135" s="22">
        <f t="shared" si="586"/>
        <v>191008.94</v>
      </c>
      <c r="W135" s="22">
        <f t="shared" si="586"/>
        <v>114894.89</v>
      </c>
      <c r="X135" s="22">
        <f t="shared" si="586"/>
        <v>140430.47999999998</v>
      </c>
      <c r="Y135" s="22">
        <f t="shared" si="586"/>
        <v>0</v>
      </c>
      <c r="Z135" s="22">
        <f t="shared" si="586"/>
        <v>0</v>
      </c>
      <c r="AA135" s="22">
        <f t="shared" si="587"/>
        <v>1452374.3659000001</v>
      </c>
      <c r="AB135" s="118">
        <f t="shared" si="476"/>
        <v>0.11905914930475664</v>
      </c>
      <c r="AC135" s="22">
        <f t="shared" si="588"/>
        <v>125489.77423333334</v>
      </c>
      <c r="AD135" s="22">
        <f t="shared" si="588"/>
        <v>125489.77423333334</v>
      </c>
      <c r="AE135" s="22">
        <f t="shared" si="588"/>
        <v>125489.77423333334</v>
      </c>
      <c r="AF135" s="22">
        <f t="shared" si="588"/>
        <v>125489.77423333334</v>
      </c>
      <c r="AG135" s="22">
        <f t="shared" si="588"/>
        <v>125489.77423333334</v>
      </c>
      <c r="AH135" s="22">
        <f t="shared" si="588"/>
        <v>125489.77423333334</v>
      </c>
      <c r="AI135" s="22">
        <f t="shared" si="588"/>
        <v>125489.77423333334</v>
      </c>
      <c r="AJ135" s="22">
        <f t="shared" si="588"/>
        <v>125489.77423333334</v>
      </c>
      <c r="AK135" s="22">
        <f t="shared" si="588"/>
        <v>125489.77423333334</v>
      </c>
      <c r="AL135" s="22">
        <f t="shared" si="588"/>
        <v>125489.77423333334</v>
      </c>
      <c r="AM135" s="22">
        <f t="shared" si="588"/>
        <v>125489.77423333334</v>
      </c>
      <c r="AN135" s="22">
        <f t="shared" si="588"/>
        <v>125489.77423333334</v>
      </c>
      <c r="AO135" s="22">
        <f t="shared" si="589"/>
        <v>1505877.2907999998</v>
      </c>
      <c r="AQ135" s="106">
        <v>0</v>
      </c>
      <c r="AR135" s="106">
        <v>43037.953199999989</v>
      </c>
      <c r="AS135" s="106">
        <v>0</v>
      </c>
      <c r="AT135" s="106">
        <v>53431.2624</v>
      </c>
      <c r="AU135" s="106">
        <v>126239.4488</v>
      </c>
      <c r="AV135" s="106">
        <v>122222</v>
      </c>
      <c r="AW135" s="106">
        <v>127481</v>
      </c>
      <c r="AX135" s="106">
        <v>277449.71120000002</v>
      </c>
      <c r="AY135" s="106">
        <v>63278.63</v>
      </c>
      <c r="AZ135" s="106">
        <v>104941.2</v>
      </c>
      <c r="BA135" s="106">
        <v>125426.1388</v>
      </c>
      <c r="BB135" s="106">
        <v>106199.30279999999</v>
      </c>
      <c r="BC135" s="106">
        <f t="shared" si="590"/>
        <v>1149706.6472</v>
      </c>
      <c r="BD135" s="16" t="str">
        <f t="shared" si="591"/>
        <v>Travelling Domestic</v>
      </c>
      <c r="BE135" s="22">
        <f>+VLOOKUP($BD135,'Jan-25'!$A:$J,4,0)</f>
        <v>97707.59</v>
      </c>
      <c r="BF135" s="22">
        <f>+VLOOKUP($BD135,'Feb-25'!$A:$J,4,0)</f>
        <v>102126.18060000001</v>
      </c>
      <c r="BG135" s="22">
        <f>+VLOOKUP($BD135,'Mar-25'!$A:$J,4,0)</f>
        <v>201528.8</v>
      </c>
      <c r="BH135" s="22">
        <f>+VLOOKUP($BD135,'Apr-25'!$A:$J,4,0)</f>
        <v>115013.92</v>
      </c>
      <c r="BI135" s="22">
        <f>+VLOOKUP($BD135,'May-25'!$A:$J,4,0)</f>
        <v>19129.419999999998</v>
      </c>
      <c r="BJ135" s="22">
        <f>+VLOOKUP($BD135,'June-25'!$A:$J,4,0)</f>
        <v>117384.6</v>
      </c>
      <c r="BK135" s="22">
        <f>+VLOOKUP($BD135,'July-25'!$A:$J,4,0)</f>
        <v>63629.88</v>
      </c>
      <c r="BL135" s="22">
        <f>+VLOOKUP($BD135,'Aug-25'!$A:$J,4,0)</f>
        <v>67679.88</v>
      </c>
      <c r="BM135" s="22">
        <f>+VLOOKUP($BD135,'Sep-25'!$A:$J,4,0)</f>
        <v>95984</v>
      </c>
      <c r="BN135" s="22">
        <f>+VLOOKUP($BD135,'Oct-25'!$A:$J,4,0)</f>
        <v>91969.37</v>
      </c>
      <c r="BO135" s="22">
        <f>+VLOOKUP($BD135,'Nov-25'!$A:$J,4,0)</f>
        <v>0</v>
      </c>
      <c r="BP135" s="22">
        <f>+VLOOKUP($BD135,'Dec-25'!$A:$J,4,0)</f>
        <v>0</v>
      </c>
      <c r="BQ135" s="22">
        <f t="shared" si="592"/>
        <v>972153.64059999993</v>
      </c>
      <c r="BR135" s="118">
        <f t="shared" si="477"/>
        <v>-4.0074750643748491E-2</v>
      </c>
      <c r="BS135" s="106">
        <f>+_xlfn.XLOOKUP($BD135,Budget!$A:$A,Budget!AQ:AQ)</f>
        <v>95808.887266666672</v>
      </c>
      <c r="BT135" s="106">
        <f>+_xlfn.XLOOKUP($BD135,Budget!$A:$A,Budget!AR:AR)</f>
        <v>95808.887266666672</v>
      </c>
      <c r="BU135" s="106">
        <f>+_xlfn.XLOOKUP($BD135,Budget!$A:$A,Budget!AS:AS)</f>
        <v>95808.887266666672</v>
      </c>
      <c r="BV135" s="106">
        <f>+_xlfn.XLOOKUP($BD135,Budget!$A:$A,Budget!AT:AT)</f>
        <v>95808.887266666672</v>
      </c>
      <c r="BW135" s="106">
        <f>+_xlfn.XLOOKUP($BD135,Budget!$A:$A,Budget!AU:AU)</f>
        <v>95808.887266666672</v>
      </c>
      <c r="BX135" s="106">
        <f>+_xlfn.XLOOKUP($BD135,Budget!$A:$A,Budget!AV:AV)</f>
        <v>95808.887266666672</v>
      </c>
      <c r="BY135" s="106">
        <f>+_xlfn.XLOOKUP($BD135,Budget!$A:$A,Budget!AW:AW)</f>
        <v>95808.887266666672</v>
      </c>
      <c r="BZ135" s="106">
        <f>+_xlfn.XLOOKUP($BD135,Budget!$A:$A,Budget!AX:AX)</f>
        <v>95808.887266666672</v>
      </c>
      <c r="CA135" s="106">
        <f>+_xlfn.XLOOKUP($BD135,Budget!$A:$A,Budget!AY:AY)</f>
        <v>95808.887266666672</v>
      </c>
      <c r="CB135" s="106">
        <f>+_xlfn.XLOOKUP($BD135,Budget!$A:$A,Budget!AZ:AZ)</f>
        <v>95808.887266666672</v>
      </c>
      <c r="CC135" s="106">
        <f>+_xlfn.XLOOKUP($BD135,Budget!$A:$A,Budget!BA:BA)</f>
        <v>95808.887266666672</v>
      </c>
      <c r="CD135" s="106">
        <f>+_xlfn.XLOOKUP($BD135,Budget!$A:$A,Budget!BB:BB)</f>
        <v>95808.887266666672</v>
      </c>
      <c r="CE135" s="106">
        <f t="shared" si="593"/>
        <v>1149706.6471999998</v>
      </c>
      <c r="CF135" s="22"/>
      <c r="CG135" s="22">
        <v>0</v>
      </c>
      <c r="CH135" s="22">
        <v>34411.816599999998</v>
      </c>
      <c r="CI135" s="22">
        <v>0</v>
      </c>
      <c r="CJ135" s="22">
        <v>3283.6311999999998</v>
      </c>
      <c r="CK135" s="22">
        <v>8461.884399999999</v>
      </c>
      <c r="CL135" s="22">
        <v>51714</v>
      </c>
      <c r="CM135" s="22">
        <v>42649.5</v>
      </c>
      <c r="CN135" s="22">
        <v>92157.925599999988</v>
      </c>
      <c r="CO135" s="22">
        <v>52172</v>
      </c>
      <c r="CP135" s="22">
        <v>4677</v>
      </c>
      <c r="CQ135" s="22">
        <v>31755.894399999997</v>
      </c>
      <c r="CR135" s="22">
        <v>34886.991399999999</v>
      </c>
      <c r="CS135" s="106">
        <f t="shared" si="594"/>
        <v>356170.64360000001</v>
      </c>
      <c r="CT135" s="16" t="str">
        <f t="shared" si="595"/>
        <v>Travelling Domestic</v>
      </c>
      <c r="CU135" s="22">
        <f>+VLOOKUP($BD135,'Jan-25'!$A:$J,7,0)</f>
        <v>8778.4399999999987</v>
      </c>
      <c r="CV135" s="22">
        <f>+VLOOKUP($BD135,'Feb-25'!$A:$J,7,0)</f>
        <v>5362.9552999999996</v>
      </c>
      <c r="CW135" s="22">
        <f>+VLOOKUP($BD135,'Mar-25'!$A:$J,7,0)</f>
        <v>15668.08</v>
      </c>
      <c r="CX135" s="22">
        <f>+VLOOKUP($BD135,'Apr-25'!$A:$J,7,0)</f>
        <v>28111.89</v>
      </c>
      <c r="CY135" s="22">
        <f>+VLOOKUP($BD135,'May-25'!$A:$J,7,0)</f>
        <v>26993.14</v>
      </c>
      <c r="CZ135" s="22">
        <f>+VLOOKUP($BD135,'June-25'!$A:$J,7,0)</f>
        <v>45783.98</v>
      </c>
      <c r="DA135" s="22">
        <f>+VLOOKUP($BD135,'July-25'!$A:$J,7,0)</f>
        <v>18551.009999999998</v>
      </c>
      <c r="DB135" s="22">
        <f>+VLOOKUP($BD135,'Aug-25'!$A:$J,7,0)</f>
        <v>115609.06</v>
      </c>
      <c r="DC135" s="22">
        <f>+VLOOKUP($BD135,'Sep-25'!$A:$J,7,0)</f>
        <v>10354.75</v>
      </c>
      <c r="DD135" s="22">
        <f>+VLOOKUP($BD135,'Oct-25'!$A:$J,7,0)</f>
        <v>27778.53</v>
      </c>
      <c r="DE135" s="22">
        <f>+VLOOKUP($BD135,'Nov-25'!$A:$J,7,0)</f>
        <v>0</v>
      </c>
      <c r="DF135" s="22">
        <f>+VLOOKUP($BD135,'Dec-25'!$A:$J,7,0)</f>
        <v>0</v>
      </c>
      <c r="DG135" s="22">
        <f t="shared" si="596"/>
        <v>302991.83530000004</v>
      </c>
      <c r="DH135" s="118">
        <f t="shared" si="478"/>
        <v>-6.4093669734436351E-2</v>
      </c>
      <c r="DI135" s="22">
        <f>+_xlfn.XLOOKUP($CT135,Budget!$A:$A,Budget!CD:CD)</f>
        <v>29680.886966666669</v>
      </c>
      <c r="DJ135" s="22">
        <f>+_xlfn.XLOOKUP($CT135,Budget!$A:$A,Budget!CE:CE)</f>
        <v>29680.886966666669</v>
      </c>
      <c r="DK135" s="22">
        <f>+_xlfn.XLOOKUP($CT135,Budget!$A:$A,Budget!CF:CF)</f>
        <v>29680.886966666669</v>
      </c>
      <c r="DL135" s="22">
        <f>+_xlfn.XLOOKUP($CT135,Budget!$A:$A,Budget!CG:CG)</f>
        <v>29680.886966666669</v>
      </c>
      <c r="DM135" s="22">
        <f>+_xlfn.XLOOKUP($CT135,Budget!$A:$A,Budget!CH:CH)</f>
        <v>29680.886966666669</v>
      </c>
      <c r="DN135" s="22">
        <f>+_xlfn.XLOOKUP($CT135,Budget!$A:$A,Budget!CI:CI)</f>
        <v>29680.886966666669</v>
      </c>
      <c r="DO135" s="22">
        <f>+_xlfn.XLOOKUP($CT135,Budget!$A:$A,Budget!CJ:CJ)</f>
        <v>29680.886966666669</v>
      </c>
      <c r="DP135" s="22">
        <f>+_xlfn.XLOOKUP($CT135,Budget!$A:$A,Budget!CK:CK)</f>
        <v>29680.886966666669</v>
      </c>
      <c r="DQ135" s="22">
        <f>+_xlfn.XLOOKUP($CT135,Budget!$A:$A,Budget!CL:CL)</f>
        <v>29680.886966666669</v>
      </c>
      <c r="DR135" s="22">
        <f>+_xlfn.XLOOKUP($CT135,Budget!$A:$A,Budget!CM:CM)</f>
        <v>29680.886966666669</v>
      </c>
      <c r="DS135" s="22">
        <f>+_xlfn.XLOOKUP($CT135,Budget!$A:$A,Budget!CN:CN)</f>
        <v>29680.886966666669</v>
      </c>
      <c r="DT135" s="22">
        <f>+_xlfn.XLOOKUP($CT135,Budget!$A:$A,Budget!CO:CO)</f>
        <v>29680.886966666669</v>
      </c>
      <c r="DU135" s="106">
        <f t="shared" si="597"/>
        <v>356170.64360000001</v>
      </c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106">
        <f t="shared" si="598"/>
        <v>0</v>
      </c>
      <c r="EJ135" s="16" t="str">
        <f t="shared" si="376"/>
        <v>Travelling Domestic</v>
      </c>
      <c r="EK135" s="22">
        <f>+VLOOKUP($BD135,'Jan-25'!$A:$J,9,0)</f>
        <v>89358.04</v>
      </c>
      <c r="EL135" s="22">
        <f>+VLOOKUP($BD135,'Feb-25'!$A:$J,9,0)</f>
        <v>6310.28</v>
      </c>
      <c r="EM135" s="22">
        <f>+VLOOKUP($BD135,'Mar-25'!$A:$J,9,0)</f>
        <v>8495.7099999999991</v>
      </c>
      <c r="EN135" s="22">
        <f>+VLOOKUP($BD135,'Apr-25'!$A:$J,9,0)</f>
        <v>4900</v>
      </c>
      <c r="EO135" s="22">
        <f>+VLOOKUP($BD135,'May-25'!$A:$J,9,0)</f>
        <v>5483</v>
      </c>
      <c r="EP135" s="22">
        <f>+VLOOKUP($BD135,'June-25'!$A:$J,9,0)</f>
        <v>18407.14</v>
      </c>
      <c r="EQ135" s="22">
        <f>+VLOOKUP($BD135,'July-25'!$A:$J,9,0)</f>
        <v>7316</v>
      </c>
      <c r="ER135" s="22">
        <f>+VLOOKUP($BD135,'Aug-25'!$A:$J,9,0)</f>
        <v>7720</v>
      </c>
      <c r="ES135" s="22">
        <f>+VLOOKUP($BD135,'Sep-25'!$A:$J,9,0)</f>
        <v>8556.14</v>
      </c>
      <c r="ET135" s="22">
        <f>+VLOOKUP($BD135,'Oct-25'!$A:$J,9,0)</f>
        <v>20682.580000000002</v>
      </c>
      <c r="EU135" s="22">
        <f>+VLOOKUP($BD135,'Nov-25'!$A:$J,9,0)</f>
        <v>0</v>
      </c>
      <c r="EV135" s="22">
        <f>+VLOOKUP($BD135,'Dec-25'!$A:$J,9,0)</f>
        <v>0</v>
      </c>
      <c r="EW135" s="22">
        <f t="shared" si="599"/>
        <v>177228.89</v>
      </c>
      <c r="EX135" s="118">
        <f t="shared" si="479"/>
        <v>0</v>
      </c>
      <c r="EY135" s="22">
        <f>+_xlfn.XLOOKUP($EJ135,Budget!$A:$A,Budget!DE:DE)</f>
        <v>0</v>
      </c>
      <c r="EZ135" s="22">
        <f>+_xlfn.XLOOKUP($EJ135,Budget!$A:$A,Budget!DF:DF)</f>
        <v>0</v>
      </c>
      <c r="FA135" s="22">
        <f>+_xlfn.XLOOKUP($EJ135,Budget!$A:$A,Budget!DG:DG)</f>
        <v>0</v>
      </c>
      <c r="FB135" s="22">
        <f>+_xlfn.XLOOKUP($EJ135,Budget!$A:$A,Budget!DH:DH)</f>
        <v>0</v>
      </c>
      <c r="FC135" s="22">
        <f>+_xlfn.XLOOKUP($EJ135,Budget!$A:$A,Budget!DI:DI)</f>
        <v>0</v>
      </c>
      <c r="FD135" s="22">
        <f>+_xlfn.XLOOKUP($EJ135,Budget!$A:$A,Budget!DJ:DJ)</f>
        <v>0</v>
      </c>
      <c r="FE135" s="22">
        <f>+_xlfn.XLOOKUP($EJ135,Budget!$A:$A,Budget!DK:DK)</f>
        <v>0</v>
      </c>
      <c r="FF135" s="22">
        <f>+_xlfn.XLOOKUP($EJ135,Budget!$A:$A,Budget!DL:DL)</f>
        <v>0</v>
      </c>
      <c r="FG135" s="22">
        <f>+_xlfn.XLOOKUP($EJ135,Budget!$A:$A,Budget!DM:DM)</f>
        <v>0</v>
      </c>
      <c r="FH135" s="22">
        <f>+_xlfn.XLOOKUP($EJ135,Budget!$A:$A,Budget!DN:DN)</f>
        <v>0</v>
      </c>
      <c r="FI135" s="22">
        <f>+_xlfn.XLOOKUP($EJ135,Budget!$A:$A,Budget!DO:DO)</f>
        <v>0</v>
      </c>
      <c r="FJ135" s="22">
        <f>+_xlfn.XLOOKUP($EJ135,Budget!$A:$A,Budget!DP:DP)</f>
        <v>0</v>
      </c>
      <c r="FK135" s="106">
        <f t="shared" si="600"/>
        <v>0</v>
      </c>
    </row>
    <row r="136" spans="1:167" ht="14.45" hidden="1" customHeight="1" outlineLevel="2">
      <c r="A136" s="106">
        <f t="shared" si="558"/>
        <v>0</v>
      </c>
      <c r="B136" s="106">
        <f t="shared" si="558"/>
        <v>0</v>
      </c>
      <c r="C136" s="106">
        <f t="shared" si="558"/>
        <v>0</v>
      </c>
      <c r="D136" s="106">
        <f t="shared" si="558"/>
        <v>0</v>
      </c>
      <c r="E136" s="106">
        <f t="shared" si="558"/>
        <v>0</v>
      </c>
      <c r="F136" s="106">
        <f t="shared" si="558"/>
        <v>0</v>
      </c>
      <c r="G136" s="106">
        <f t="shared" si="558"/>
        <v>0</v>
      </c>
      <c r="H136" s="106">
        <f t="shared" si="558"/>
        <v>0</v>
      </c>
      <c r="I136" s="106">
        <f t="shared" si="558"/>
        <v>0</v>
      </c>
      <c r="J136" s="106">
        <f t="shared" si="558"/>
        <v>0</v>
      </c>
      <c r="K136" s="106">
        <f t="shared" si="558"/>
        <v>0</v>
      </c>
      <c r="L136" s="106">
        <f t="shared" si="558"/>
        <v>0</v>
      </c>
      <c r="M136" s="106">
        <f t="shared" si="585"/>
        <v>0</v>
      </c>
      <c r="N136" s="16" t="s">
        <v>113</v>
      </c>
      <c r="O136" s="22">
        <f t="shared" si="586"/>
        <v>0</v>
      </c>
      <c r="P136" s="22">
        <f t="shared" si="586"/>
        <v>0</v>
      </c>
      <c r="Q136" s="22">
        <f t="shared" si="586"/>
        <v>0</v>
      </c>
      <c r="R136" s="22">
        <f t="shared" si="586"/>
        <v>0</v>
      </c>
      <c r="S136" s="22">
        <f t="shared" si="586"/>
        <v>0</v>
      </c>
      <c r="T136" s="22">
        <f t="shared" si="586"/>
        <v>0</v>
      </c>
      <c r="U136" s="22">
        <f t="shared" si="586"/>
        <v>0</v>
      </c>
      <c r="V136" s="22">
        <f t="shared" si="586"/>
        <v>0</v>
      </c>
      <c r="W136" s="22">
        <f t="shared" si="586"/>
        <v>0</v>
      </c>
      <c r="X136" s="22">
        <f t="shared" si="586"/>
        <v>0</v>
      </c>
      <c r="Y136" s="22">
        <f t="shared" si="586"/>
        <v>0</v>
      </c>
      <c r="Z136" s="22">
        <f t="shared" si="586"/>
        <v>0</v>
      </c>
      <c r="AA136" s="22">
        <f t="shared" si="587"/>
        <v>0</v>
      </c>
      <c r="AB136" s="118">
        <f t="shared" si="476"/>
        <v>0</v>
      </c>
      <c r="AC136" s="22">
        <f t="shared" si="588"/>
        <v>0</v>
      </c>
      <c r="AD136" s="22">
        <f t="shared" si="588"/>
        <v>0</v>
      </c>
      <c r="AE136" s="22">
        <f t="shared" si="588"/>
        <v>0</v>
      </c>
      <c r="AF136" s="22">
        <f t="shared" si="588"/>
        <v>0</v>
      </c>
      <c r="AG136" s="22">
        <f t="shared" si="588"/>
        <v>0</v>
      </c>
      <c r="AH136" s="22">
        <f t="shared" si="588"/>
        <v>0</v>
      </c>
      <c r="AI136" s="22">
        <f t="shared" si="588"/>
        <v>0</v>
      </c>
      <c r="AJ136" s="22">
        <f t="shared" si="588"/>
        <v>0</v>
      </c>
      <c r="AK136" s="22">
        <f t="shared" si="588"/>
        <v>0</v>
      </c>
      <c r="AL136" s="22">
        <f t="shared" si="588"/>
        <v>0</v>
      </c>
      <c r="AM136" s="22">
        <f t="shared" si="588"/>
        <v>0</v>
      </c>
      <c r="AN136" s="22">
        <f t="shared" si="588"/>
        <v>0</v>
      </c>
      <c r="AO136" s="22">
        <f t="shared" si="589"/>
        <v>0</v>
      </c>
      <c r="AQ136" s="106">
        <v>0</v>
      </c>
      <c r="AR136" s="106">
        <v>0</v>
      </c>
      <c r="AS136" s="106">
        <v>0</v>
      </c>
      <c r="AT136" s="106">
        <v>0</v>
      </c>
      <c r="AU136" s="106">
        <v>0</v>
      </c>
      <c r="AV136" s="106">
        <v>0</v>
      </c>
      <c r="AW136" s="106">
        <v>0</v>
      </c>
      <c r="AX136" s="106">
        <v>0</v>
      </c>
      <c r="AY136" s="106">
        <v>0</v>
      </c>
      <c r="AZ136" s="106">
        <v>0</v>
      </c>
      <c r="BA136" s="106">
        <v>0</v>
      </c>
      <c r="BB136" s="106">
        <v>0</v>
      </c>
      <c r="BC136" s="106">
        <f t="shared" si="590"/>
        <v>0</v>
      </c>
      <c r="BD136" s="16" t="str">
        <f t="shared" si="591"/>
        <v>Travelling Expenses - Directors</v>
      </c>
      <c r="BE136" s="22">
        <f>+VLOOKUP($BD136,'Jan-25'!$A:$J,4,0)</f>
        <v>0</v>
      </c>
      <c r="BF136" s="22">
        <f>+VLOOKUP($BD136,'Feb-25'!$A:$J,4,0)</f>
        <v>0</v>
      </c>
      <c r="BG136" s="22">
        <f>+VLOOKUP($BD136,'Mar-25'!$A:$J,4,0)</f>
        <v>0</v>
      </c>
      <c r="BH136" s="22">
        <f>+VLOOKUP($BD136,'Apr-25'!$A:$J,4,0)</f>
        <v>0</v>
      </c>
      <c r="BI136" s="22">
        <f>+VLOOKUP($BD136,'May-25'!$A:$J,4,0)</f>
        <v>0</v>
      </c>
      <c r="BJ136" s="22">
        <f>+VLOOKUP($BD136,'June-25'!$A:$J,4,0)</f>
        <v>0</v>
      </c>
      <c r="BK136" s="22">
        <f>+VLOOKUP($BD136,'July-25'!$A:$J,4,0)</f>
        <v>0</v>
      </c>
      <c r="BL136" s="22">
        <f>+VLOOKUP($BD136,'Aug-25'!$A:$J,4,0)</f>
        <v>0</v>
      </c>
      <c r="BM136" s="22">
        <f>+VLOOKUP($BD136,'Sep-25'!$A:$J,4,0)</f>
        <v>0</v>
      </c>
      <c r="BN136" s="22">
        <f>+VLOOKUP($BD136,'Oct-25'!$A:$J,4,0)</f>
        <v>0</v>
      </c>
      <c r="BO136" s="22">
        <f>+VLOOKUP($BD136,'Nov-25'!$A:$J,4,0)</f>
        <v>0</v>
      </c>
      <c r="BP136" s="22">
        <f>+VLOOKUP($BD136,'Dec-25'!$A:$J,4,0)</f>
        <v>0</v>
      </c>
      <c r="BQ136" s="22">
        <f t="shared" si="592"/>
        <v>0</v>
      </c>
      <c r="BR136" s="118">
        <f t="shared" si="477"/>
        <v>0</v>
      </c>
      <c r="BS136" s="106">
        <f>+_xlfn.XLOOKUP($BD136,Budget!$A:$A,Budget!AQ:AQ)</f>
        <v>0</v>
      </c>
      <c r="BT136" s="106">
        <f>+_xlfn.XLOOKUP($BD136,Budget!$A:$A,Budget!AR:AR)</f>
        <v>0</v>
      </c>
      <c r="BU136" s="106">
        <f>+_xlfn.XLOOKUP($BD136,Budget!$A:$A,Budget!AS:AS)</f>
        <v>0</v>
      </c>
      <c r="BV136" s="106">
        <f>+_xlfn.XLOOKUP($BD136,Budget!$A:$A,Budget!AT:AT)</f>
        <v>0</v>
      </c>
      <c r="BW136" s="106">
        <f>+_xlfn.XLOOKUP($BD136,Budget!$A:$A,Budget!AU:AU)</f>
        <v>0</v>
      </c>
      <c r="BX136" s="106">
        <f>+_xlfn.XLOOKUP($BD136,Budget!$A:$A,Budget!AV:AV)</f>
        <v>0</v>
      </c>
      <c r="BY136" s="106">
        <f>+_xlfn.XLOOKUP($BD136,Budget!$A:$A,Budget!AW:AW)</f>
        <v>0</v>
      </c>
      <c r="BZ136" s="106">
        <f>+_xlfn.XLOOKUP($BD136,Budget!$A:$A,Budget!AX:AX)</f>
        <v>0</v>
      </c>
      <c r="CA136" s="106">
        <f>+_xlfn.XLOOKUP($BD136,Budget!$A:$A,Budget!AY:AY)</f>
        <v>0</v>
      </c>
      <c r="CB136" s="106">
        <f>+_xlfn.XLOOKUP($BD136,Budget!$A:$A,Budget!AZ:AZ)</f>
        <v>0</v>
      </c>
      <c r="CC136" s="106">
        <f>+_xlfn.XLOOKUP($BD136,Budget!$A:$A,Budget!BA:BA)</f>
        <v>0</v>
      </c>
      <c r="CD136" s="106">
        <f>+_xlfn.XLOOKUP($BD136,Budget!$A:$A,Budget!BB:BB)</f>
        <v>0</v>
      </c>
      <c r="CE136" s="106">
        <f t="shared" si="593"/>
        <v>0</v>
      </c>
      <c r="CF136" s="22"/>
      <c r="CG136" s="22">
        <v>0</v>
      </c>
      <c r="CH136" s="22">
        <v>0</v>
      </c>
      <c r="CI136" s="22">
        <v>0</v>
      </c>
      <c r="CJ136" s="22">
        <v>0</v>
      </c>
      <c r="CK136" s="22">
        <v>0</v>
      </c>
      <c r="CL136" s="22">
        <v>0</v>
      </c>
      <c r="CM136" s="22">
        <v>0</v>
      </c>
      <c r="CN136" s="22">
        <v>0</v>
      </c>
      <c r="CO136" s="22">
        <v>0</v>
      </c>
      <c r="CP136" s="22">
        <v>0</v>
      </c>
      <c r="CQ136" s="22">
        <v>0</v>
      </c>
      <c r="CR136" s="22">
        <v>0</v>
      </c>
      <c r="CS136" s="106">
        <f t="shared" si="594"/>
        <v>0</v>
      </c>
      <c r="CT136" s="16" t="str">
        <f t="shared" si="595"/>
        <v>Travelling Expenses - Directors</v>
      </c>
      <c r="CU136" s="22">
        <f>+VLOOKUP($BD136,'Jan-25'!$A:$J,7,0)</f>
        <v>0</v>
      </c>
      <c r="CV136" s="22">
        <f>+VLOOKUP($BD136,'Feb-25'!$A:$J,7,0)</f>
        <v>0</v>
      </c>
      <c r="CW136" s="22">
        <f>+VLOOKUP($BD136,'Mar-25'!$A:$J,7,0)</f>
        <v>0</v>
      </c>
      <c r="CX136" s="22">
        <f>+VLOOKUP($BD136,'Apr-25'!$A:$J,7,0)</f>
        <v>0</v>
      </c>
      <c r="CY136" s="22">
        <f>+VLOOKUP($BD136,'May-25'!$A:$J,7,0)</f>
        <v>0</v>
      </c>
      <c r="CZ136" s="22">
        <f>+VLOOKUP($BD136,'June-25'!$A:$J,7,0)</f>
        <v>0</v>
      </c>
      <c r="DA136" s="22">
        <f>+VLOOKUP($BD136,'July-25'!$A:$J,7,0)</f>
        <v>0</v>
      </c>
      <c r="DB136" s="22">
        <f>+VLOOKUP($BD136,'Aug-25'!$A:$J,7,0)</f>
        <v>0</v>
      </c>
      <c r="DC136" s="22">
        <f>+VLOOKUP($BD136,'Sep-25'!$A:$J,7,0)</f>
        <v>0</v>
      </c>
      <c r="DD136" s="22">
        <f>+VLOOKUP($BD136,'Oct-25'!$A:$J,7,0)</f>
        <v>0</v>
      </c>
      <c r="DE136" s="22">
        <f>+VLOOKUP($BD136,'Nov-25'!$A:$J,7,0)</f>
        <v>0</v>
      </c>
      <c r="DF136" s="22">
        <f>+VLOOKUP($BD136,'Dec-25'!$A:$J,7,0)</f>
        <v>0</v>
      </c>
      <c r="DG136" s="22">
        <f t="shared" si="596"/>
        <v>0</v>
      </c>
      <c r="DH136" s="118">
        <f t="shared" si="478"/>
        <v>0</v>
      </c>
      <c r="DI136" s="22">
        <f>+_xlfn.XLOOKUP($CT136,Budget!$A:$A,Budget!CD:CD)</f>
        <v>0</v>
      </c>
      <c r="DJ136" s="22">
        <f>+_xlfn.XLOOKUP($CT136,Budget!$A:$A,Budget!CE:CE)</f>
        <v>0</v>
      </c>
      <c r="DK136" s="22">
        <f>+_xlfn.XLOOKUP($CT136,Budget!$A:$A,Budget!CF:CF)</f>
        <v>0</v>
      </c>
      <c r="DL136" s="22">
        <f>+_xlfn.XLOOKUP($CT136,Budget!$A:$A,Budget!CG:CG)</f>
        <v>0</v>
      </c>
      <c r="DM136" s="22">
        <f>+_xlfn.XLOOKUP($CT136,Budget!$A:$A,Budget!CH:CH)</f>
        <v>0</v>
      </c>
      <c r="DN136" s="22">
        <f>+_xlfn.XLOOKUP($CT136,Budget!$A:$A,Budget!CI:CI)</f>
        <v>0</v>
      </c>
      <c r="DO136" s="22">
        <f>+_xlfn.XLOOKUP($CT136,Budget!$A:$A,Budget!CJ:CJ)</f>
        <v>0</v>
      </c>
      <c r="DP136" s="22">
        <f>+_xlfn.XLOOKUP($CT136,Budget!$A:$A,Budget!CK:CK)</f>
        <v>0</v>
      </c>
      <c r="DQ136" s="22">
        <f>+_xlfn.XLOOKUP($CT136,Budget!$A:$A,Budget!CL:CL)</f>
        <v>0</v>
      </c>
      <c r="DR136" s="22">
        <f>+_xlfn.XLOOKUP($CT136,Budget!$A:$A,Budget!CM:CM)</f>
        <v>0</v>
      </c>
      <c r="DS136" s="22">
        <f>+_xlfn.XLOOKUP($CT136,Budget!$A:$A,Budget!CN:CN)</f>
        <v>0</v>
      </c>
      <c r="DT136" s="22">
        <f>+_xlfn.XLOOKUP($CT136,Budget!$A:$A,Budget!CO:CO)</f>
        <v>0</v>
      </c>
      <c r="DU136" s="106">
        <f t="shared" si="597"/>
        <v>0</v>
      </c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106">
        <f t="shared" si="598"/>
        <v>0</v>
      </c>
      <c r="EJ136" s="16" t="str">
        <f t="shared" si="376"/>
        <v>Travelling Expenses - Directors</v>
      </c>
      <c r="EK136" s="22">
        <f>+VLOOKUP($BD136,'Jan-25'!$A:$J,9,0)</f>
        <v>0</v>
      </c>
      <c r="EL136" s="22">
        <f>+VLOOKUP($BD136,'Feb-25'!$A:$J,9,0)</f>
        <v>0</v>
      </c>
      <c r="EM136" s="22">
        <f>+VLOOKUP($BD136,'Mar-25'!$A:$J,9,0)</f>
        <v>0</v>
      </c>
      <c r="EN136" s="22">
        <f>+VLOOKUP($BD136,'Apr-25'!$A:$J,9,0)</f>
        <v>0</v>
      </c>
      <c r="EO136" s="22">
        <f>+VLOOKUP($BD136,'May-25'!$A:$J,9,0)</f>
        <v>0</v>
      </c>
      <c r="EP136" s="22">
        <f>+VLOOKUP($BD136,'June-25'!$A:$J,9,0)</f>
        <v>0</v>
      </c>
      <c r="EQ136" s="22">
        <f>+VLOOKUP($BD136,'July-25'!$A:$J,9,0)</f>
        <v>0</v>
      </c>
      <c r="ER136" s="22">
        <f>+VLOOKUP($BD136,'Aug-25'!$A:$J,9,0)</f>
        <v>0</v>
      </c>
      <c r="ES136" s="22">
        <f>+VLOOKUP($BD136,'Sep-25'!$A:$J,9,0)</f>
        <v>0</v>
      </c>
      <c r="ET136" s="22">
        <f>+VLOOKUP($BD136,'Oct-25'!$A:$J,9,0)</f>
        <v>0</v>
      </c>
      <c r="EU136" s="22">
        <f>+VLOOKUP($BD136,'Nov-25'!$A:$J,9,0)</f>
        <v>0</v>
      </c>
      <c r="EV136" s="22">
        <f>+VLOOKUP($BD136,'Dec-25'!$A:$J,9,0)</f>
        <v>0</v>
      </c>
      <c r="EW136" s="22">
        <f t="shared" si="599"/>
        <v>0</v>
      </c>
      <c r="EX136" s="118">
        <f t="shared" si="479"/>
        <v>0</v>
      </c>
      <c r="EY136" s="22">
        <f>+_xlfn.XLOOKUP($EJ136,Budget!$A:$A,Budget!DE:DE)</f>
        <v>0</v>
      </c>
      <c r="EZ136" s="22">
        <f>+_xlfn.XLOOKUP($EJ136,Budget!$A:$A,Budget!DF:DF)</f>
        <v>0</v>
      </c>
      <c r="FA136" s="22">
        <f>+_xlfn.XLOOKUP($EJ136,Budget!$A:$A,Budget!DG:DG)</f>
        <v>0</v>
      </c>
      <c r="FB136" s="22">
        <f>+_xlfn.XLOOKUP($EJ136,Budget!$A:$A,Budget!DH:DH)</f>
        <v>0</v>
      </c>
      <c r="FC136" s="22">
        <f>+_xlfn.XLOOKUP($EJ136,Budget!$A:$A,Budget!DI:DI)</f>
        <v>0</v>
      </c>
      <c r="FD136" s="22">
        <f>+_xlfn.XLOOKUP($EJ136,Budget!$A:$A,Budget!DJ:DJ)</f>
        <v>0</v>
      </c>
      <c r="FE136" s="22">
        <f>+_xlfn.XLOOKUP($EJ136,Budget!$A:$A,Budget!DK:DK)</f>
        <v>0</v>
      </c>
      <c r="FF136" s="22">
        <f>+_xlfn.XLOOKUP($EJ136,Budget!$A:$A,Budget!DL:DL)</f>
        <v>0</v>
      </c>
      <c r="FG136" s="22">
        <f>+_xlfn.XLOOKUP($EJ136,Budget!$A:$A,Budget!DM:DM)</f>
        <v>0</v>
      </c>
      <c r="FH136" s="22">
        <f>+_xlfn.XLOOKUP($EJ136,Budget!$A:$A,Budget!DN:DN)</f>
        <v>0</v>
      </c>
      <c r="FI136" s="22">
        <f>+_xlfn.XLOOKUP($EJ136,Budget!$A:$A,Budget!DO:DO)</f>
        <v>0</v>
      </c>
      <c r="FJ136" s="22">
        <f>+_xlfn.XLOOKUP($EJ136,Budget!$A:$A,Budget!DP:DP)</f>
        <v>0</v>
      </c>
      <c r="FK136" s="106">
        <f t="shared" si="600"/>
        <v>0</v>
      </c>
    </row>
    <row r="137" spans="1:167" ht="14.45" hidden="1" customHeight="1" outlineLevel="2">
      <c r="A137" s="106">
        <f t="shared" si="558"/>
        <v>75200</v>
      </c>
      <c r="B137" s="106">
        <f t="shared" si="558"/>
        <v>0</v>
      </c>
      <c r="C137" s="106">
        <f t="shared" si="558"/>
        <v>0</v>
      </c>
      <c r="D137" s="106">
        <f t="shared" si="558"/>
        <v>0</v>
      </c>
      <c r="E137" s="106">
        <f t="shared" si="558"/>
        <v>0</v>
      </c>
      <c r="F137" s="106">
        <f t="shared" si="558"/>
        <v>0</v>
      </c>
      <c r="G137" s="106">
        <f t="shared" si="558"/>
        <v>0</v>
      </c>
      <c r="H137" s="106">
        <f t="shared" si="558"/>
        <v>0</v>
      </c>
      <c r="I137" s="106">
        <f t="shared" si="558"/>
        <v>0</v>
      </c>
      <c r="J137" s="106">
        <f t="shared" si="558"/>
        <v>0</v>
      </c>
      <c r="K137" s="106">
        <f t="shared" si="558"/>
        <v>0</v>
      </c>
      <c r="L137" s="106">
        <f t="shared" si="558"/>
        <v>0</v>
      </c>
      <c r="M137" s="106">
        <f t="shared" si="585"/>
        <v>75200</v>
      </c>
      <c r="N137" s="16" t="s">
        <v>114</v>
      </c>
      <c r="O137" s="22">
        <f t="shared" si="586"/>
        <v>0</v>
      </c>
      <c r="P137" s="22">
        <f t="shared" si="586"/>
        <v>0</v>
      </c>
      <c r="Q137" s="22">
        <f t="shared" si="586"/>
        <v>0</v>
      </c>
      <c r="R137" s="22">
        <f t="shared" si="586"/>
        <v>0</v>
      </c>
      <c r="S137" s="22">
        <f t="shared" si="586"/>
        <v>-27729.809999999998</v>
      </c>
      <c r="T137" s="22">
        <f t="shared" si="586"/>
        <v>0</v>
      </c>
      <c r="U137" s="22">
        <f t="shared" si="586"/>
        <v>123479.57789999999</v>
      </c>
      <c r="V137" s="22">
        <f t="shared" si="586"/>
        <v>0</v>
      </c>
      <c r="W137" s="22">
        <f t="shared" si="586"/>
        <v>0</v>
      </c>
      <c r="X137" s="22">
        <f t="shared" si="586"/>
        <v>0</v>
      </c>
      <c r="Y137" s="22">
        <f t="shared" si="586"/>
        <v>0</v>
      </c>
      <c r="Z137" s="22">
        <f t="shared" si="586"/>
        <v>0</v>
      </c>
      <c r="AA137" s="22">
        <f t="shared" si="587"/>
        <v>95749.767899999992</v>
      </c>
      <c r="AB137" s="118">
        <f t="shared" si="476"/>
        <v>0</v>
      </c>
      <c r="AC137" s="22">
        <f t="shared" si="588"/>
        <v>0</v>
      </c>
      <c r="AD137" s="22">
        <f t="shared" si="588"/>
        <v>0</v>
      </c>
      <c r="AE137" s="22">
        <f t="shared" si="588"/>
        <v>0</v>
      </c>
      <c r="AF137" s="22">
        <f t="shared" si="588"/>
        <v>0</v>
      </c>
      <c r="AG137" s="22">
        <f t="shared" si="588"/>
        <v>0</v>
      </c>
      <c r="AH137" s="22">
        <f t="shared" si="588"/>
        <v>0</v>
      </c>
      <c r="AI137" s="22">
        <f t="shared" si="588"/>
        <v>0</v>
      </c>
      <c r="AJ137" s="22">
        <f t="shared" si="588"/>
        <v>0</v>
      </c>
      <c r="AK137" s="22">
        <f t="shared" si="588"/>
        <v>0</v>
      </c>
      <c r="AL137" s="22">
        <f t="shared" si="588"/>
        <v>0</v>
      </c>
      <c r="AM137" s="22">
        <f t="shared" si="588"/>
        <v>0</v>
      </c>
      <c r="AN137" s="22">
        <f t="shared" si="588"/>
        <v>0</v>
      </c>
      <c r="AO137" s="22">
        <f t="shared" si="589"/>
        <v>0</v>
      </c>
      <c r="AQ137" s="106">
        <v>75200</v>
      </c>
      <c r="AR137" s="106">
        <v>0</v>
      </c>
      <c r="AS137" s="106">
        <v>0</v>
      </c>
      <c r="AT137" s="106">
        <v>0</v>
      </c>
      <c r="AU137" s="106">
        <v>0</v>
      </c>
      <c r="AV137" s="106">
        <v>0</v>
      </c>
      <c r="AW137" s="106">
        <v>0</v>
      </c>
      <c r="AX137" s="106">
        <v>0</v>
      </c>
      <c r="AY137" s="106">
        <v>0</v>
      </c>
      <c r="AZ137" s="106">
        <v>0</v>
      </c>
      <c r="BA137" s="106">
        <v>0</v>
      </c>
      <c r="BB137" s="106">
        <v>0</v>
      </c>
      <c r="BC137" s="106">
        <f t="shared" si="590"/>
        <v>75200</v>
      </c>
      <c r="BD137" s="16" t="str">
        <f t="shared" si="591"/>
        <v>Travelling Foreign</v>
      </c>
      <c r="BE137" s="22">
        <f>+VLOOKUP($BD137,'Jan-25'!$A:$J,4,0)</f>
        <v>0</v>
      </c>
      <c r="BF137" s="22">
        <f>+VLOOKUP($BD137,'Feb-25'!$A:$J,4,0)</f>
        <v>0</v>
      </c>
      <c r="BG137" s="22">
        <f>+VLOOKUP($BD137,'Mar-25'!$A:$J,4,0)</f>
        <v>0</v>
      </c>
      <c r="BH137" s="22">
        <f>+VLOOKUP($BD137,'Apr-25'!$A:$J,4,0)</f>
        <v>0</v>
      </c>
      <c r="BI137" s="22">
        <f>+VLOOKUP($BD137,'May-25'!$A:$J,4,0)</f>
        <v>-18486.539999999997</v>
      </c>
      <c r="BJ137" s="22">
        <f>+VLOOKUP($BD137,'June-25'!$A:$J,4,0)</f>
        <v>0</v>
      </c>
      <c r="BK137" s="22">
        <f>+VLOOKUP($BD137,'July-25'!$A:$J,4,0)</f>
        <v>82319.718599999993</v>
      </c>
      <c r="BL137" s="22">
        <f>+VLOOKUP($BD137,'Aug-25'!$A:$J,4,0)</f>
        <v>0</v>
      </c>
      <c r="BM137" s="22">
        <f>+VLOOKUP($BD137,'Sep-25'!$A:$J,4,0)</f>
        <v>0</v>
      </c>
      <c r="BN137" s="22">
        <f>+VLOOKUP($BD137,'Oct-25'!$A:$J,4,0)</f>
        <v>0</v>
      </c>
      <c r="BO137" s="22">
        <f>+VLOOKUP($BD137,'Nov-25'!$A:$J,4,0)</f>
        <v>0</v>
      </c>
      <c r="BP137" s="22">
        <f>+VLOOKUP($BD137,'Dec-25'!$A:$J,4,0)</f>
        <v>0</v>
      </c>
      <c r="BQ137" s="22">
        <f t="shared" si="592"/>
        <v>63833.178599999999</v>
      </c>
      <c r="BR137" s="118">
        <f t="shared" si="477"/>
        <v>0</v>
      </c>
      <c r="BS137" s="106">
        <f>+_xlfn.XLOOKUP($BD137,Budget!$A:$A,Budget!AQ:AQ)</f>
        <v>0</v>
      </c>
      <c r="BT137" s="106">
        <f>+_xlfn.XLOOKUP($BD137,Budget!$A:$A,Budget!AR:AR)</f>
        <v>0</v>
      </c>
      <c r="BU137" s="106">
        <f>+_xlfn.XLOOKUP($BD137,Budget!$A:$A,Budget!AS:AS)</f>
        <v>0</v>
      </c>
      <c r="BV137" s="106">
        <f>+_xlfn.XLOOKUP($BD137,Budget!$A:$A,Budget!AT:AT)</f>
        <v>0</v>
      </c>
      <c r="BW137" s="106">
        <f>+_xlfn.XLOOKUP($BD137,Budget!$A:$A,Budget!AU:AU)</f>
        <v>0</v>
      </c>
      <c r="BX137" s="106">
        <f>+_xlfn.XLOOKUP($BD137,Budget!$A:$A,Budget!AV:AV)</f>
        <v>0</v>
      </c>
      <c r="BY137" s="106">
        <f>+_xlfn.XLOOKUP($BD137,Budget!$A:$A,Budget!AW:AW)</f>
        <v>0</v>
      </c>
      <c r="BZ137" s="106">
        <f>+_xlfn.XLOOKUP($BD137,Budget!$A:$A,Budget!AX:AX)</f>
        <v>0</v>
      </c>
      <c r="CA137" s="106">
        <f>+_xlfn.XLOOKUP($BD137,Budget!$A:$A,Budget!AY:AY)</f>
        <v>0</v>
      </c>
      <c r="CB137" s="106">
        <f>+_xlfn.XLOOKUP($BD137,Budget!$A:$A,Budget!AZ:AZ)</f>
        <v>0</v>
      </c>
      <c r="CC137" s="106">
        <f>+_xlfn.XLOOKUP($BD137,Budget!$A:$A,Budget!BA:BA)</f>
        <v>0</v>
      </c>
      <c r="CD137" s="106">
        <f>+_xlfn.XLOOKUP($BD137,Budget!$A:$A,Budget!BB:BB)</f>
        <v>0</v>
      </c>
      <c r="CE137" s="106">
        <f t="shared" si="593"/>
        <v>0</v>
      </c>
      <c r="CF137" s="22"/>
      <c r="CG137" s="22">
        <v>0</v>
      </c>
      <c r="CH137" s="22">
        <v>0</v>
      </c>
      <c r="CI137" s="22">
        <v>0</v>
      </c>
      <c r="CJ137" s="22">
        <v>0</v>
      </c>
      <c r="CK137" s="22">
        <v>0</v>
      </c>
      <c r="CL137" s="22">
        <v>0</v>
      </c>
      <c r="CM137" s="22">
        <v>0</v>
      </c>
      <c r="CN137" s="22">
        <v>0</v>
      </c>
      <c r="CO137" s="22">
        <v>0</v>
      </c>
      <c r="CP137" s="22">
        <v>0</v>
      </c>
      <c r="CQ137" s="22">
        <v>0</v>
      </c>
      <c r="CR137" s="22">
        <v>0</v>
      </c>
      <c r="CS137" s="106">
        <f t="shared" si="594"/>
        <v>0</v>
      </c>
      <c r="CT137" s="16" t="str">
        <f t="shared" si="595"/>
        <v>Travelling Foreign</v>
      </c>
      <c r="CU137" s="22">
        <f>+VLOOKUP($BD137,'Jan-25'!$A:$J,7,0)</f>
        <v>0</v>
      </c>
      <c r="CV137" s="22">
        <f>+VLOOKUP($BD137,'Feb-25'!$A:$J,7,0)</f>
        <v>0</v>
      </c>
      <c r="CW137" s="22">
        <f>+VLOOKUP($BD137,'Mar-25'!$A:$J,7,0)</f>
        <v>0</v>
      </c>
      <c r="CX137" s="22">
        <f>+VLOOKUP($BD137,'Apr-25'!$A:$J,7,0)</f>
        <v>0</v>
      </c>
      <c r="CY137" s="22">
        <f>+VLOOKUP($BD137,'May-25'!$A:$J,7,0)</f>
        <v>-9243.2699999999986</v>
      </c>
      <c r="CZ137" s="22">
        <f>+VLOOKUP($BD137,'June-25'!$A:$J,7,0)</f>
        <v>0</v>
      </c>
      <c r="DA137" s="22">
        <f>+VLOOKUP($BD137,'July-25'!$A:$J,7,0)</f>
        <v>41159.859299999996</v>
      </c>
      <c r="DB137" s="22">
        <f>+VLOOKUP($BD137,'Aug-25'!$A:$J,7,0)</f>
        <v>0</v>
      </c>
      <c r="DC137" s="22">
        <f>+VLOOKUP($BD137,'Sep-25'!$A:$J,7,0)</f>
        <v>0</v>
      </c>
      <c r="DD137" s="22">
        <f>+VLOOKUP($BD137,'Oct-25'!$A:$J,7,0)</f>
        <v>0</v>
      </c>
      <c r="DE137" s="22">
        <f>+VLOOKUP($BD137,'Nov-25'!$A:$J,7,0)</f>
        <v>0</v>
      </c>
      <c r="DF137" s="22">
        <f>+VLOOKUP($BD137,'Dec-25'!$A:$J,7,0)</f>
        <v>0</v>
      </c>
      <c r="DG137" s="22">
        <f t="shared" si="596"/>
        <v>31916.5893</v>
      </c>
      <c r="DH137" s="118">
        <f t="shared" si="478"/>
        <v>0</v>
      </c>
      <c r="DI137" s="22">
        <f>+_xlfn.XLOOKUP($CT137,Budget!$A:$A,Budget!CD:CD)</f>
        <v>0</v>
      </c>
      <c r="DJ137" s="22">
        <f>+_xlfn.XLOOKUP($CT137,Budget!$A:$A,Budget!CE:CE)</f>
        <v>0</v>
      </c>
      <c r="DK137" s="22">
        <f>+_xlfn.XLOOKUP($CT137,Budget!$A:$A,Budget!CF:CF)</f>
        <v>0</v>
      </c>
      <c r="DL137" s="22">
        <f>+_xlfn.XLOOKUP($CT137,Budget!$A:$A,Budget!CG:CG)</f>
        <v>0</v>
      </c>
      <c r="DM137" s="22">
        <f>+_xlfn.XLOOKUP($CT137,Budget!$A:$A,Budget!CH:CH)</f>
        <v>0</v>
      </c>
      <c r="DN137" s="22">
        <f>+_xlfn.XLOOKUP($CT137,Budget!$A:$A,Budget!CI:CI)</f>
        <v>0</v>
      </c>
      <c r="DO137" s="22">
        <f>+_xlfn.XLOOKUP($CT137,Budget!$A:$A,Budget!CJ:CJ)</f>
        <v>0</v>
      </c>
      <c r="DP137" s="22">
        <f>+_xlfn.XLOOKUP($CT137,Budget!$A:$A,Budget!CK:CK)</f>
        <v>0</v>
      </c>
      <c r="DQ137" s="22">
        <f>+_xlfn.XLOOKUP($CT137,Budget!$A:$A,Budget!CL:CL)</f>
        <v>0</v>
      </c>
      <c r="DR137" s="22">
        <f>+_xlfn.XLOOKUP($CT137,Budget!$A:$A,Budget!CM:CM)</f>
        <v>0</v>
      </c>
      <c r="DS137" s="22">
        <f>+_xlfn.XLOOKUP($CT137,Budget!$A:$A,Budget!CN:CN)</f>
        <v>0</v>
      </c>
      <c r="DT137" s="22">
        <f>+_xlfn.XLOOKUP($CT137,Budget!$A:$A,Budget!CO:CO)</f>
        <v>0</v>
      </c>
      <c r="DU137" s="106">
        <f t="shared" si="597"/>
        <v>0</v>
      </c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106">
        <f t="shared" si="598"/>
        <v>0</v>
      </c>
      <c r="EJ137" s="16" t="str">
        <f t="shared" ref="EJ137:EJ200" si="601">CT137</f>
        <v>Travelling Foreign</v>
      </c>
      <c r="EK137" s="22">
        <f>+VLOOKUP($BD137,'Jan-25'!$A:$J,9,0)</f>
        <v>0</v>
      </c>
      <c r="EL137" s="22">
        <f>+VLOOKUP($BD137,'Feb-25'!$A:$J,9,0)</f>
        <v>0</v>
      </c>
      <c r="EM137" s="22">
        <f>+VLOOKUP($BD137,'Mar-25'!$A:$J,9,0)</f>
        <v>0</v>
      </c>
      <c r="EN137" s="22">
        <f>+VLOOKUP($BD137,'Apr-25'!$A:$J,9,0)</f>
        <v>0</v>
      </c>
      <c r="EO137" s="22">
        <f>+VLOOKUP($BD137,'May-25'!$A:$J,9,0)</f>
        <v>0</v>
      </c>
      <c r="EP137" s="22">
        <f>+VLOOKUP($BD137,'June-25'!$A:$J,9,0)</f>
        <v>0</v>
      </c>
      <c r="EQ137" s="22">
        <f>+VLOOKUP($BD137,'July-25'!$A:$J,9,0)</f>
        <v>0</v>
      </c>
      <c r="ER137" s="22">
        <f>+VLOOKUP($BD137,'Aug-25'!$A:$J,9,0)</f>
        <v>0</v>
      </c>
      <c r="ES137" s="22">
        <f>+VLOOKUP($BD137,'Sep-25'!$A:$J,9,0)</f>
        <v>0</v>
      </c>
      <c r="ET137" s="22">
        <f>+VLOOKUP($BD137,'Oct-25'!$A:$J,9,0)</f>
        <v>0</v>
      </c>
      <c r="EU137" s="22">
        <f>+VLOOKUP($BD137,'Nov-25'!$A:$J,9,0)</f>
        <v>0</v>
      </c>
      <c r="EV137" s="22">
        <f>+VLOOKUP($BD137,'Dec-25'!$A:$J,9,0)</f>
        <v>0</v>
      </c>
      <c r="EW137" s="22">
        <f t="shared" si="599"/>
        <v>0</v>
      </c>
      <c r="EX137" s="118">
        <f t="shared" si="479"/>
        <v>0</v>
      </c>
      <c r="EY137" s="22">
        <f>+_xlfn.XLOOKUP($EJ137,Budget!$A:$A,Budget!DE:DE)</f>
        <v>0</v>
      </c>
      <c r="EZ137" s="22">
        <f>+_xlfn.XLOOKUP($EJ137,Budget!$A:$A,Budget!DF:DF)</f>
        <v>0</v>
      </c>
      <c r="FA137" s="22">
        <f>+_xlfn.XLOOKUP($EJ137,Budget!$A:$A,Budget!DG:DG)</f>
        <v>0</v>
      </c>
      <c r="FB137" s="22">
        <f>+_xlfn.XLOOKUP($EJ137,Budget!$A:$A,Budget!DH:DH)</f>
        <v>0</v>
      </c>
      <c r="FC137" s="22">
        <f>+_xlfn.XLOOKUP($EJ137,Budget!$A:$A,Budget!DI:DI)</f>
        <v>0</v>
      </c>
      <c r="FD137" s="22">
        <f>+_xlfn.XLOOKUP($EJ137,Budget!$A:$A,Budget!DJ:DJ)</f>
        <v>0</v>
      </c>
      <c r="FE137" s="22">
        <f>+_xlfn.XLOOKUP($EJ137,Budget!$A:$A,Budget!DK:DK)</f>
        <v>0</v>
      </c>
      <c r="FF137" s="22">
        <f>+_xlfn.XLOOKUP($EJ137,Budget!$A:$A,Budget!DL:DL)</f>
        <v>0</v>
      </c>
      <c r="FG137" s="22">
        <f>+_xlfn.XLOOKUP($EJ137,Budget!$A:$A,Budget!DM:DM)</f>
        <v>0</v>
      </c>
      <c r="FH137" s="22">
        <f>+_xlfn.XLOOKUP($EJ137,Budget!$A:$A,Budget!DN:DN)</f>
        <v>0</v>
      </c>
      <c r="FI137" s="22">
        <f>+_xlfn.XLOOKUP($EJ137,Budget!$A:$A,Budget!DO:DO)</f>
        <v>0</v>
      </c>
      <c r="FJ137" s="22">
        <f>+_xlfn.XLOOKUP($EJ137,Budget!$A:$A,Budget!DP:DP)</f>
        <v>0</v>
      </c>
      <c r="FK137" s="106">
        <f t="shared" si="600"/>
        <v>0</v>
      </c>
    </row>
    <row r="138" spans="1:167" ht="14.45" hidden="1" customHeight="1" outlineLevel="1" collapsed="1">
      <c r="A138" s="58">
        <f t="shared" ref="A138:M138" si="602">+SUM(A139:A145)</f>
        <v>151720.73299999998</v>
      </c>
      <c r="B138" s="58">
        <f t="shared" si="602"/>
        <v>166546.68400000001</v>
      </c>
      <c r="C138" s="58">
        <f t="shared" si="602"/>
        <v>140433.44999999998</v>
      </c>
      <c r="D138" s="58">
        <f t="shared" si="602"/>
        <v>175251.05499999999</v>
      </c>
      <c r="E138" s="58">
        <f t="shared" si="602"/>
        <v>160626.70499999999</v>
      </c>
      <c r="F138" s="58">
        <f t="shared" si="602"/>
        <v>256947.728</v>
      </c>
      <c r="G138" s="58">
        <f t="shared" si="602"/>
        <v>177775.80499999999</v>
      </c>
      <c r="H138" s="58">
        <f t="shared" si="602"/>
        <v>189196.76499999998</v>
      </c>
      <c r="I138" s="58">
        <f t="shared" si="602"/>
        <v>194545.84699999998</v>
      </c>
      <c r="J138" s="58">
        <f t="shared" si="602"/>
        <v>239475.11200000002</v>
      </c>
      <c r="K138" s="58">
        <f t="shared" si="602"/>
        <v>392720.64120000001</v>
      </c>
      <c r="L138" s="58">
        <f t="shared" si="602"/>
        <v>225564.72999999998</v>
      </c>
      <c r="M138" s="58">
        <f t="shared" si="602"/>
        <v>2470805.2552000005</v>
      </c>
      <c r="N138" s="20" t="s">
        <v>115</v>
      </c>
      <c r="O138" s="28">
        <f t="shared" ref="O138:AA138" si="603">+SUM(O139:O145)</f>
        <v>332375.98333333334</v>
      </c>
      <c r="P138" s="28">
        <f t="shared" si="603"/>
        <v>285607.24333333335</v>
      </c>
      <c r="Q138" s="28">
        <f t="shared" si="603"/>
        <v>289465.79333333333</v>
      </c>
      <c r="R138" s="28">
        <f t="shared" si="603"/>
        <v>216212.53117333329</v>
      </c>
      <c r="S138" s="28">
        <f t="shared" si="603"/>
        <v>319269.42700000003</v>
      </c>
      <c r="T138" s="28">
        <f t="shared" si="603"/>
        <v>280471.76699999999</v>
      </c>
      <c r="U138" s="28">
        <f t="shared" si="603"/>
        <v>156708.06284931506</v>
      </c>
      <c r="V138" s="28">
        <f t="shared" si="603"/>
        <v>173881.79499999998</v>
      </c>
      <c r="W138" s="28">
        <f t="shared" si="603"/>
        <v>254266.12</v>
      </c>
      <c r="X138" s="28">
        <f t="shared" si="603"/>
        <v>186324.55</v>
      </c>
      <c r="Y138" s="28">
        <f t="shared" si="603"/>
        <v>0</v>
      </c>
      <c r="Z138" s="28">
        <f t="shared" si="603"/>
        <v>0</v>
      </c>
      <c r="AA138" s="28">
        <f t="shared" si="603"/>
        <v>2494583.2730226484</v>
      </c>
      <c r="AB138" s="118">
        <f t="shared" si="476"/>
        <v>-0.71457312814831264</v>
      </c>
      <c r="AC138" s="28">
        <f t="shared" ref="AC138:AO138" si="604">+SUM(AC139:AC145)</f>
        <v>248542.60075000001</v>
      </c>
      <c r="AD138" s="28">
        <f t="shared" si="604"/>
        <v>248542.60075000001</v>
      </c>
      <c r="AE138" s="28">
        <f t="shared" si="604"/>
        <v>280042.60074999998</v>
      </c>
      <c r="AF138" s="28">
        <f t="shared" si="604"/>
        <v>322042.60074999998</v>
      </c>
      <c r="AG138" s="28">
        <f t="shared" si="604"/>
        <v>248542.60075000001</v>
      </c>
      <c r="AH138" s="28">
        <f t="shared" si="604"/>
        <v>253792.60075000001</v>
      </c>
      <c r="AI138" s="28">
        <f t="shared" si="604"/>
        <v>248542.60075000001</v>
      </c>
      <c r="AJ138" s="28">
        <f t="shared" si="604"/>
        <v>248542.60075000001</v>
      </c>
      <c r="AK138" s="28">
        <f t="shared" si="604"/>
        <v>280042.60074999998</v>
      </c>
      <c r="AL138" s="28">
        <f t="shared" si="604"/>
        <v>652792.60074999998</v>
      </c>
      <c r="AM138" s="28">
        <f t="shared" si="604"/>
        <v>248542.60075000001</v>
      </c>
      <c r="AN138" s="28">
        <f t="shared" si="604"/>
        <v>293792.60074999998</v>
      </c>
      <c r="AO138" s="28">
        <f t="shared" si="604"/>
        <v>3573761.2089999998</v>
      </c>
      <c r="AQ138" s="58">
        <f t="shared" ref="AQ138:BC138" si="605">+SUM(AQ139:AQ145)</f>
        <v>121890.4</v>
      </c>
      <c r="AR138" s="58">
        <f t="shared" si="605"/>
        <v>136836.82</v>
      </c>
      <c r="AS138" s="58">
        <f t="shared" si="605"/>
        <v>111765.84</v>
      </c>
      <c r="AT138" s="58">
        <f t="shared" si="605"/>
        <v>141337.52000000002</v>
      </c>
      <c r="AU138" s="58">
        <f t="shared" si="605"/>
        <v>126930.87</v>
      </c>
      <c r="AV138" s="58">
        <f t="shared" si="605"/>
        <v>181264.66</v>
      </c>
      <c r="AW138" s="58">
        <f t="shared" si="605"/>
        <v>138511.66999999998</v>
      </c>
      <c r="AX138" s="58">
        <f t="shared" si="605"/>
        <v>157948.10999999999</v>
      </c>
      <c r="AY138" s="58">
        <f t="shared" si="605"/>
        <v>156004.27000000002</v>
      </c>
      <c r="AZ138" s="58">
        <f t="shared" si="605"/>
        <v>215166.76</v>
      </c>
      <c r="BA138" s="58">
        <f t="shared" si="605"/>
        <v>367392.04080000002</v>
      </c>
      <c r="BB138" s="58">
        <f t="shared" si="605"/>
        <v>204474.9</v>
      </c>
      <c r="BC138" s="58">
        <f t="shared" si="605"/>
        <v>2059523.8608000001</v>
      </c>
      <c r="BD138" s="20" t="str">
        <f t="shared" si="591"/>
        <v>Employee Benefit Expenses</v>
      </c>
      <c r="BE138" s="28">
        <f t="shared" ref="BE138:BQ138" si="606">+SUM(BE139:BE145)</f>
        <v>139069.41666666666</v>
      </c>
      <c r="BF138" s="28">
        <f t="shared" si="606"/>
        <v>166708.25666666665</v>
      </c>
      <c r="BG138" s="28">
        <f t="shared" si="606"/>
        <v>155841.93666666668</v>
      </c>
      <c r="BH138" s="28">
        <f t="shared" si="606"/>
        <v>138852.31522666666</v>
      </c>
      <c r="BI138" s="28">
        <f t="shared" si="606"/>
        <v>187889.21799999999</v>
      </c>
      <c r="BJ138" s="28">
        <f t="shared" si="606"/>
        <v>155904.27799999999</v>
      </c>
      <c r="BK138" s="28">
        <f t="shared" si="606"/>
        <v>78590.961232876711</v>
      </c>
      <c r="BL138" s="28">
        <f t="shared" si="606"/>
        <v>94130.7</v>
      </c>
      <c r="BM138" s="28">
        <f t="shared" si="606"/>
        <v>159963.47</v>
      </c>
      <c r="BN138" s="28">
        <f t="shared" si="606"/>
        <v>93800.7</v>
      </c>
      <c r="BO138" s="28">
        <f t="shared" si="606"/>
        <v>0</v>
      </c>
      <c r="BP138" s="28">
        <f t="shared" si="606"/>
        <v>0</v>
      </c>
      <c r="BQ138" s="28">
        <f t="shared" si="606"/>
        <v>1370751.2524595433</v>
      </c>
      <c r="BR138" s="118">
        <f t="shared" si="477"/>
        <v>-0.73919126995354356</v>
      </c>
      <c r="BS138" s="58">
        <f t="shared" ref="BS138:CE138" si="607">+SUM(BS139:BS145)</f>
        <v>138278.22166666668</v>
      </c>
      <c r="BT138" s="58">
        <f t="shared" si="607"/>
        <v>138278.22166666668</v>
      </c>
      <c r="BU138" s="58">
        <f t="shared" si="607"/>
        <v>155528.22166666668</v>
      </c>
      <c r="BV138" s="58">
        <f t="shared" si="607"/>
        <v>178528.22166666668</v>
      </c>
      <c r="BW138" s="58">
        <f t="shared" si="607"/>
        <v>138278.22166666668</v>
      </c>
      <c r="BX138" s="58">
        <f t="shared" si="607"/>
        <v>141153.22166666668</v>
      </c>
      <c r="BY138" s="58">
        <f t="shared" si="607"/>
        <v>138278.22166666668</v>
      </c>
      <c r="BZ138" s="58">
        <f t="shared" si="607"/>
        <v>138278.22166666668</v>
      </c>
      <c r="CA138" s="58">
        <f t="shared" si="607"/>
        <v>155528.22166666668</v>
      </c>
      <c r="CB138" s="58">
        <f t="shared" si="607"/>
        <v>359653.22166666668</v>
      </c>
      <c r="CC138" s="58">
        <f t="shared" si="607"/>
        <v>138278.22166666668</v>
      </c>
      <c r="CD138" s="58">
        <f t="shared" si="607"/>
        <v>161153.22166666668</v>
      </c>
      <c r="CE138" s="58">
        <f t="shared" si="607"/>
        <v>1981213.6600000001</v>
      </c>
      <c r="CF138" s="22"/>
      <c r="CG138" s="28">
        <f t="shared" ref="CG138:CS138" si="608">+SUM(CG139:CG145)</f>
        <v>29830.332999999999</v>
      </c>
      <c r="CH138" s="28">
        <f t="shared" si="608"/>
        <v>29709.864000000001</v>
      </c>
      <c r="CI138" s="28">
        <f t="shared" si="608"/>
        <v>28667.609999999997</v>
      </c>
      <c r="CJ138" s="28">
        <f t="shared" si="608"/>
        <v>33913.535000000003</v>
      </c>
      <c r="CK138" s="28">
        <f t="shared" si="608"/>
        <v>33695.834999999999</v>
      </c>
      <c r="CL138" s="28">
        <f t="shared" si="608"/>
        <v>75683.067999999999</v>
      </c>
      <c r="CM138" s="28">
        <f t="shared" si="608"/>
        <v>39264.134999999995</v>
      </c>
      <c r="CN138" s="28">
        <f t="shared" si="608"/>
        <v>31248.654999999999</v>
      </c>
      <c r="CO138" s="28">
        <f t="shared" si="608"/>
        <v>38541.576999999997</v>
      </c>
      <c r="CP138" s="28">
        <f t="shared" si="608"/>
        <v>24308.351999999999</v>
      </c>
      <c r="CQ138" s="28">
        <f t="shared" si="608"/>
        <v>25328.600399999999</v>
      </c>
      <c r="CR138" s="28">
        <f t="shared" si="608"/>
        <v>21089.83</v>
      </c>
      <c r="CS138" s="58">
        <f t="shared" si="608"/>
        <v>411281.39439999999</v>
      </c>
      <c r="CT138" s="20" t="str">
        <f t="shared" si="595"/>
        <v>Employee Benefit Expenses</v>
      </c>
      <c r="CU138" s="28">
        <f t="shared" ref="CU138:DG138" si="609">+SUM(CU139:CU145)</f>
        <v>44943.566666666666</v>
      </c>
      <c r="CV138" s="28">
        <f t="shared" si="609"/>
        <v>68635.986666666679</v>
      </c>
      <c r="CW138" s="28">
        <f t="shared" si="609"/>
        <v>57757.546666666669</v>
      </c>
      <c r="CX138" s="28">
        <f t="shared" si="609"/>
        <v>48870.215946666664</v>
      </c>
      <c r="CY138" s="28">
        <f t="shared" si="609"/>
        <v>83845.209000000003</v>
      </c>
      <c r="CZ138" s="28">
        <f t="shared" si="609"/>
        <v>78218.088999999993</v>
      </c>
      <c r="DA138" s="28">
        <f t="shared" si="609"/>
        <v>44529.101616438355</v>
      </c>
      <c r="DB138" s="28">
        <f t="shared" si="609"/>
        <v>32740.094999999998</v>
      </c>
      <c r="DC138" s="28">
        <f t="shared" si="609"/>
        <v>36438.25</v>
      </c>
      <c r="DD138" s="28">
        <f t="shared" si="609"/>
        <v>43601.85</v>
      </c>
      <c r="DE138" s="28">
        <f t="shared" si="609"/>
        <v>0</v>
      </c>
      <c r="DF138" s="28">
        <f t="shared" si="609"/>
        <v>0</v>
      </c>
      <c r="DG138" s="28">
        <f t="shared" si="609"/>
        <v>539579.91056310502</v>
      </c>
      <c r="DH138" s="118">
        <f t="shared" si="478"/>
        <v>-0.76035780458331415</v>
      </c>
      <c r="DI138" s="28">
        <f t="shared" ref="DI138:DU138" si="610">+SUM(DI139:DI145)</f>
        <v>60028.962416666669</v>
      </c>
      <c r="DJ138" s="28">
        <f t="shared" si="610"/>
        <v>60028.962416666669</v>
      </c>
      <c r="DK138" s="28">
        <f t="shared" si="610"/>
        <v>69528.962416666662</v>
      </c>
      <c r="DL138" s="28">
        <f t="shared" si="610"/>
        <v>82195.629083333333</v>
      </c>
      <c r="DM138" s="28">
        <f t="shared" si="610"/>
        <v>60028.962416666669</v>
      </c>
      <c r="DN138" s="28">
        <f t="shared" si="610"/>
        <v>61612.295749999997</v>
      </c>
      <c r="DO138" s="28">
        <f t="shared" si="610"/>
        <v>60028.962416666669</v>
      </c>
      <c r="DP138" s="28">
        <f t="shared" si="610"/>
        <v>60028.962416666669</v>
      </c>
      <c r="DQ138" s="28">
        <f t="shared" si="610"/>
        <v>69528.962416666662</v>
      </c>
      <c r="DR138" s="28">
        <f t="shared" si="610"/>
        <v>181945.62908333333</v>
      </c>
      <c r="DS138" s="28">
        <f t="shared" si="610"/>
        <v>60028.962416666669</v>
      </c>
      <c r="DT138" s="28">
        <f t="shared" si="610"/>
        <v>71612.295750000005</v>
      </c>
      <c r="DU138" s="58">
        <f t="shared" si="610"/>
        <v>896597.549</v>
      </c>
      <c r="DW138" s="28">
        <f t="shared" ref="DW138:EI138" si="611">+SUM(DW139:DW145)</f>
        <v>0</v>
      </c>
      <c r="DX138" s="28">
        <f t="shared" si="611"/>
        <v>0</v>
      </c>
      <c r="DY138" s="28">
        <f t="shared" si="611"/>
        <v>0</v>
      </c>
      <c r="DZ138" s="28">
        <f t="shared" si="611"/>
        <v>0</v>
      </c>
      <c r="EA138" s="28">
        <f t="shared" si="611"/>
        <v>0</v>
      </c>
      <c r="EB138" s="28">
        <f t="shared" si="611"/>
        <v>0</v>
      </c>
      <c r="EC138" s="28">
        <f t="shared" si="611"/>
        <v>0</v>
      </c>
      <c r="ED138" s="28">
        <f t="shared" si="611"/>
        <v>0</v>
      </c>
      <c r="EE138" s="28">
        <f t="shared" si="611"/>
        <v>0</v>
      </c>
      <c r="EF138" s="28">
        <f t="shared" si="611"/>
        <v>0</v>
      </c>
      <c r="EG138" s="28">
        <f t="shared" si="611"/>
        <v>0</v>
      </c>
      <c r="EH138" s="28">
        <f t="shared" si="611"/>
        <v>0</v>
      </c>
      <c r="EI138" s="58">
        <f t="shared" si="611"/>
        <v>0</v>
      </c>
      <c r="EJ138" s="20" t="str">
        <f t="shared" si="601"/>
        <v>Employee Benefit Expenses</v>
      </c>
      <c r="EK138" s="28">
        <f t="shared" ref="EK138:EW138" si="612">+SUM(EK139:EK145)</f>
        <v>148363</v>
      </c>
      <c r="EL138" s="28">
        <f t="shared" si="612"/>
        <v>50263</v>
      </c>
      <c r="EM138" s="28">
        <f t="shared" si="612"/>
        <v>75866.31</v>
      </c>
      <c r="EN138" s="28">
        <f t="shared" si="612"/>
        <v>28490</v>
      </c>
      <c r="EO138" s="28">
        <f t="shared" si="612"/>
        <v>47535</v>
      </c>
      <c r="EP138" s="28">
        <f t="shared" si="612"/>
        <v>46349.4</v>
      </c>
      <c r="EQ138" s="28">
        <f t="shared" si="612"/>
        <v>33588</v>
      </c>
      <c r="ER138" s="28">
        <f t="shared" si="612"/>
        <v>47011</v>
      </c>
      <c r="ES138" s="28">
        <f t="shared" si="612"/>
        <v>57864.4</v>
      </c>
      <c r="ET138" s="28">
        <f t="shared" si="612"/>
        <v>48922</v>
      </c>
      <c r="EU138" s="28">
        <f t="shared" si="612"/>
        <v>0</v>
      </c>
      <c r="EV138" s="28">
        <f t="shared" si="612"/>
        <v>0</v>
      </c>
      <c r="EW138" s="28">
        <f t="shared" si="612"/>
        <v>584252.1100000001</v>
      </c>
      <c r="EX138" s="118">
        <f t="shared" si="479"/>
        <v>-0.56002922826148049</v>
      </c>
      <c r="EY138" s="28">
        <f t="shared" ref="EY138:FK138" si="613">+SUM(EY139:EY145)</f>
        <v>50235.416666666664</v>
      </c>
      <c r="EZ138" s="28">
        <f t="shared" si="613"/>
        <v>50235.416666666664</v>
      </c>
      <c r="FA138" s="28">
        <f t="shared" si="613"/>
        <v>54985.416666666664</v>
      </c>
      <c r="FB138" s="28">
        <f t="shared" si="613"/>
        <v>61318.75</v>
      </c>
      <c r="FC138" s="28">
        <f t="shared" si="613"/>
        <v>50235.416666666664</v>
      </c>
      <c r="FD138" s="28">
        <f t="shared" si="613"/>
        <v>51027.083333333336</v>
      </c>
      <c r="FE138" s="28">
        <f t="shared" si="613"/>
        <v>50235.416666666664</v>
      </c>
      <c r="FF138" s="28">
        <f t="shared" si="613"/>
        <v>50235.416666666664</v>
      </c>
      <c r="FG138" s="28">
        <f t="shared" si="613"/>
        <v>54985.416666666664</v>
      </c>
      <c r="FH138" s="28">
        <f t="shared" si="613"/>
        <v>111193.75</v>
      </c>
      <c r="FI138" s="28">
        <f t="shared" si="613"/>
        <v>50235.416666666664</v>
      </c>
      <c r="FJ138" s="28">
        <f t="shared" si="613"/>
        <v>61027.083333333328</v>
      </c>
      <c r="FK138" s="58">
        <f t="shared" si="613"/>
        <v>695950</v>
      </c>
    </row>
    <row r="139" spans="1:167" ht="14.45" hidden="1" customHeight="1" outlineLevel="2">
      <c r="A139" s="106">
        <f t="shared" si="558"/>
        <v>8005.9799999999977</v>
      </c>
      <c r="B139" s="106">
        <f t="shared" si="558"/>
        <v>9510.9799999999977</v>
      </c>
      <c r="C139" s="106">
        <f t="shared" si="558"/>
        <v>7660.9799999999977</v>
      </c>
      <c r="D139" s="106">
        <f t="shared" si="558"/>
        <v>8431.9799999999977</v>
      </c>
      <c r="E139" s="106">
        <f t="shared" si="558"/>
        <v>7980.9799999999977</v>
      </c>
      <c r="F139" s="106">
        <f t="shared" si="558"/>
        <v>7800.9799999999977</v>
      </c>
      <c r="G139" s="106">
        <f t="shared" si="558"/>
        <v>9234.9799999999977</v>
      </c>
      <c r="H139" s="106">
        <f t="shared" si="558"/>
        <v>9169.8799999999974</v>
      </c>
      <c r="I139" s="106">
        <f t="shared" si="558"/>
        <v>7660.9799999999977</v>
      </c>
      <c r="J139" s="106">
        <f t="shared" si="558"/>
        <v>8795.9799999999977</v>
      </c>
      <c r="K139" s="106">
        <f t="shared" si="558"/>
        <v>5142.3011999999999</v>
      </c>
      <c r="L139" s="106">
        <f t="shared" si="558"/>
        <v>559.5</v>
      </c>
      <c r="M139" s="106">
        <f t="shared" ref="M139:M145" si="614">+SUM(A139:L139)</f>
        <v>89955.50119999997</v>
      </c>
      <c r="N139" s="16" t="s">
        <v>116</v>
      </c>
      <c r="O139" s="22">
        <f t="shared" ref="O139:Z145" si="615">+BE139+CU139+EK139</f>
        <v>1178</v>
      </c>
      <c r="P139" s="22">
        <f t="shared" si="615"/>
        <v>500</v>
      </c>
      <c r="Q139" s="22">
        <f t="shared" si="615"/>
        <v>0</v>
      </c>
      <c r="R139" s="22">
        <f t="shared" si="615"/>
        <v>21258.72784</v>
      </c>
      <c r="S139" s="22">
        <f t="shared" si="615"/>
        <v>17755.141799999998</v>
      </c>
      <c r="T139" s="22">
        <f t="shared" si="615"/>
        <v>17131.641799999998</v>
      </c>
      <c r="U139" s="22">
        <f t="shared" si="615"/>
        <v>18020.441849315066</v>
      </c>
      <c r="V139" s="22">
        <f t="shared" si="615"/>
        <v>16811.55</v>
      </c>
      <c r="W139" s="22">
        <f t="shared" si="615"/>
        <v>17568.55</v>
      </c>
      <c r="X139" s="22">
        <f t="shared" si="615"/>
        <v>20315.849999999999</v>
      </c>
      <c r="Y139" s="22">
        <f t="shared" si="615"/>
        <v>0</v>
      </c>
      <c r="Z139" s="22">
        <f t="shared" si="615"/>
        <v>0</v>
      </c>
      <c r="AA139" s="22">
        <f t="shared" ref="AA139:AA145" si="616">+SUM(O139:Z139)</f>
        <v>130539.90328931506</v>
      </c>
      <c r="AB139" s="118">
        <f t="shared" si="476"/>
        <v>-0.27830017761989351</v>
      </c>
      <c r="AC139" s="22">
        <f t="shared" ref="AC139:AN145" si="617">+BS139+DI139+EY139</f>
        <v>28150</v>
      </c>
      <c r="AD139" s="22">
        <f t="shared" si="617"/>
        <v>28150</v>
      </c>
      <c r="AE139" s="22">
        <f t="shared" si="617"/>
        <v>28150</v>
      </c>
      <c r="AF139" s="22">
        <f t="shared" si="617"/>
        <v>28150</v>
      </c>
      <c r="AG139" s="22">
        <f t="shared" si="617"/>
        <v>28150</v>
      </c>
      <c r="AH139" s="22">
        <f t="shared" si="617"/>
        <v>28150</v>
      </c>
      <c r="AI139" s="22">
        <f t="shared" si="617"/>
        <v>28150</v>
      </c>
      <c r="AJ139" s="22">
        <f t="shared" si="617"/>
        <v>28150</v>
      </c>
      <c r="AK139" s="22">
        <f t="shared" si="617"/>
        <v>28150</v>
      </c>
      <c r="AL139" s="22">
        <f t="shared" si="617"/>
        <v>28150</v>
      </c>
      <c r="AM139" s="22">
        <f t="shared" si="617"/>
        <v>28150</v>
      </c>
      <c r="AN139" s="22">
        <f t="shared" si="617"/>
        <v>28150</v>
      </c>
      <c r="AO139" s="22">
        <f t="shared" ref="AO139:AO145" si="618">+SUM(AC139:AN139)</f>
        <v>337800</v>
      </c>
      <c r="AQ139" s="106">
        <v>5107.3199999999988</v>
      </c>
      <c r="AR139" s="106">
        <v>6882.3199999999988</v>
      </c>
      <c r="AS139" s="106">
        <v>5107.3199999999988</v>
      </c>
      <c r="AT139" s="106">
        <v>5107.3199999999988</v>
      </c>
      <c r="AU139" s="106">
        <v>5427.3199999999988</v>
      </c>
      <c r="AV139" s="106">
        <v>5247.3199999999988</v>
      </c>
      <c r="AW139" s="106">
        <v>6657.3199999999988</v>
      </c>
      <c r="AX139" s="106">
        <v>6018.3199999999988</v>
      </c>
      <c r="AY139" s="106">
        <v>5107.3199999999988</v>
      </c>
      <c r="AZ139" s="106">
        <v>6242.3199999999988</v>
      </c>
      <c r="BA139" s="106">
        <v>3428.2008000000001</v>
      </c>
      <c r="BB139" s="106">
        <v>0</v>
      </c>
      <c r="BC139" s="106">
        <f t="shared" ref="BC139:BC145" si="619">+SUM(AQ139:BB139)</f>
        <v>60332.400799999989</v>
      </c>
      <c r="BD139" s="16" t="str">
        <f t="shared" si="591"/>
        <v>Medical Expenses</v>
      </c>
      <c r="BE139" s="22">
        <f>+VLOOKUP($BD139,'Jan-25'!$A:$J,4,0)</f>
        <v>1178</v>
      </c>
      <c r="BF139" s="22">
        <f>+VLOOKUP($BD139,'Feb-25'!$A:$J,4,0)</f>
        <v>500</v>
      </c>
      <c r="BG139" s="22">
        <f>+VLOOKUP($BD139,'Mar-25'!$A:$J,4,0)</f>
        <v>0</v>
      </c>
      <c r="BH139" s="22">
        <f>+VLOOKUP($BD139,'Apr-25'!$A:$J,4,0)</f>
        <v>14715.81856</v>
      </c>
      <c r="BI139" s="22">
        <f>+VLOOKUP($BD139,'May-25'!$A:$J,4,0)</f>
        <v>11522.761199999999</v>
      </c>
      <c r="BJ139" s="22">
        <f>+VLOOKUP($BD139,'June-25'!$A:$J,4,0)</f>
        <v>11207.761199999999</v>
      </c>
      <c r="BK139" s="22">
        <f>+VLOOKUP($BD139,'July-25'!$A:$J,4,0)</f>
        <v>11207.761232876712</v>
      </c>
      <c r="BL139" s="22">
        <f>+VLOOKUP($BD139,'Aug-25'!$A:$J,4,0)</f>
        <v>11207.699999999999</v>
      </c>
      <c r="BM139" s="22">
        <f>+VLOOKUP($BD139,'Sep-25'!$A:$J,4,0)</f>
        <v>11589.699999999999</v>
      </c>
      <c r="BN139" s="22">
        <f>+VLOOKUP($BD139,'Oct-25'!$A:$J,4,0)</f>
        <v>13365.699999999999</v>
      </c>
      <c r="BO139" s="22">
        <f>+VLOOKUP($BD139,'Nov-25'!$A:$J,4,0)</f>
        <v>0</v>
      </c>
      <c r="BP139" s="22">
        <f>+VLOOKUP($BD139,'Dec-25'!$A:$J,4,0)</f>
        <v>0</v>
      </c>
      <c r="BQ139" s="22">
        <f t="shared" ref="BQ139:BQ145" si="620">+SUM(BE139:BP139)</f>
        <v>86495.202192876706</v>
      </c>
      <c r="BR139" s="118">
        <f t="shared" si="477"/>
        <v>-0.16464375000000006</v>
      </c>
      <c r="BS139" s="106">
        <f>+_xlfn.XLOOKUP($BD139,Budget!$A:$A,Budget!AQ:AQ)</f>
        <v>16000</v>
      </c>
      <c r="BT139" s="106">
        <f>+_xlfn.XLOOKUP($BD139,Budget!$A:$A,Budget!AR:AR)</f>
        <v>16000</v>
      </c>
      <c r="BU139" s="106">
        <f>+_xlfn.XLOOKUP($BD139,Budget!$A:$A,Budget!AS:AS)</f>
        <v>16000</v>
      </c>
      <c r="BV139" s="106">
        <f>+_xlfn.XLOOKUP($BD139,Budget!$A:$A,Budget!AT:AT)</f>
        <v>16000</v>
      </c>
      <c r="BW139" s="106">
        <f>+_xlfn.XLOOKUP($BD139,Budget!$A:$A,Budget!AU:AU)</f>
        <v>16000</v>
      </c>
      <c r="BX139" s="106">
        <f>+_xlfn.XLOOKUP($BD139,Budget!$A:$A,Budget!AV:AV)</f>
        <v>16000</v>
      </c>
      <c r="BY139" s="106">
        <f>+_xlfn.XLOOKUP($BD139,Budget!$A:$A,Budget!AW:AW)</f>
        <v>16000</v>
      </c>
      <c r="BZ139" s="106">
        <f>+_xlfn.XLOOKUP($BD139,Budget!$A:$A,Budget!AX:AX)</f>
        <v>16000</v>
      </c>
      <c r="CA139" s="106">
        <f>+_xlfn.XLOOKUP($BD139,Budget!$A:$A,Budget!AY:AY)</f>
        <v>16000</v>
      </c>
      <c r="CB139" s="106">
        <f>+_xlfn.XLOOKUP($BD139,Budget!$A:$A,Budget!AZ:AZ)</f>
        <v>16000</v>
      </c>
      <c r="CC139" s="106">
        <f>+_xlfn.XLOOKUP($BD139,Budget!$A:$A,Budget!BA:BA)</f>
        <v>16000</v>
      </c>
      <c r="CD139" s="106">
        <f>+_xlfn.XLOOKUP($BD139,Budget!$A:$A,Budget!BB:BB)</f>
        <v>16000</v>
      </c>
      <c r="CE139" s="106">
        <f t="shared" ref="CE139:CE145" si="621">+SUM(BS139:CD139)</f>
        <v>192000</v>
      </c>
      <c r="CF139" s="22"/>
      <c r="CG139" s="22">
        <v>2898.6599999999994</v>
      </c>
      <c r="CH139" s="22">
        <v>2628.6599999999994</v>
      </c>
      <c r="CI139" s="22">
        <v>2553.6599999999994</v>
      </c>
      <c r="CJ139" s="22">
        <v>3324.6599999999994</v>
      </c>
      <c r="CK139" s="22">
        <v>2553.6599999999994</v>
      </c>
      <c r="CL139" s="22">
        <v>2553.6599999999994</v>
      </c>
      <c r="CM139" s="22">
        <v>2577.6599999999994</v>
      </c>
      <c r="CN139" s="22">
        <v>3151.5599999999995</v>
      </c>
      <c r="CO139" s="22">
        <v>2553.6599999999994</v>
      </c>
      <c r="CP139" s="22">
        <v>2553.6599999999994</v>
      </c>
      <c r="CQ139" s="22">
        <v>1714.1004</v>
      </c>
      <c r="CR139" s="22">
        <v>559.5</v>
      </c>
      <c r="CS139" s="106">
        <f t="shared" ref="CS139:CS145" si="622">+SUM(CG139:CR139)</f>
        <v>29623.100399999992</v>
      </c>
      <c r="CT139" s="16" t="str">
        <f t="shared" si="595"/>
        <v>Medical Expenses</v>
      </c>
      <c r="CU139" s="22">
        <f>+VLOOKUP($BD139,'Jan-25'!$A:$J,7,0)</f>
        <v>0</v>
      </c>
      <c r="CV139" s="22">
        <f>+VLOOKUP($BD139,'Feb-25'!$A:$J,7,0)</f>
        <v>0</v>
      </c>
      <c r="CW139" s="22">
        <f>+VLOOKUP($BD139,'Mar-25'!$A:$J,7,0)</f>
        <v>0</v>
      </c>
      <c r="CX139" s="22">
        <f>+VLOOKUP($BD139,'Apr-25'!$A:$J,7,0)</f>
        <v>6542.9092799999999</v>
      </c>
      <c r="CY139" s="22">
        <f>+VLOOKUP($BD139,'May-25'!$A:$J,7,0)</f>
        <v>6232.3805999999995</v>
      </c>
      <c r="CZ139" s="22">
        <f>+VLOOKUP($BD139,'June-25'!$A:$J,7,0)</f>
        <v>5603.8805999999995</v>
      </c>
      <c r="DA139" s="22">
        <f>+VLOOKUP($BD139,'July-25'!$A:$J,7,0)</f>
        <v>6712.6806164383561</v>
      </c>
      <c r="DB139" s="22">
        <f>+VLOOKUP($BD139,'Aug-25'!$A:$J,7,0)</f>
        <v>5603.8499999999995</v>
      </c>
      <c r="DC139" s="22">
        <f>+VLOOKUP($BD139,'Sep-25'!$A:$J,7,0)</f>
        <v>5978.8499999999995</v>
      </c>
      <c r="DD139" s="22">
        <f>+VLOOKUP($BD139,'Oct-25'!$A:$J,7,0)</f>
        <v>6950.15</v>
      </c>
      <c r="DE139" s="22">
        <f>+VLOOKUP($BD139,'Nov-25'!$A:$J,7,0)</f>
        <v>0</v>
      </c>
      <c r="DF139" s="22">
        <f>+VLOOKUP($BD139,'Dec-25'!$A:$J,7,0)</f>
        <v>0</v>
      </c>
      <c r="DG139" s="22">
        <f t="shared" ref="DG139:DG145" si="623">+SUM(CU139:DF139)</f>
        <v>43624.701096438359</v>
      </c>
      <c r="DH139" s="118">
        <f t="shared" si="478"/>
        <v>-2.7951048951049003E-2</v>
      </c>
      <c r="DI139" s="22">
        <f>+_xlfn.XLOOKUP($CT139,Budget!$A:$A,Budget!CD:CD)</f>
        <v>7150</v>
      </c>
      <c r="DJ139" s="22">
        <f>+_xlfn.XLOOKUP($CT139,Budget!$A:$A,Budget!CE:CE)</f>
        <v>7150</v>
      </c>
      <c r="DK139" s="22">
        <f>+_xlfn.XLOOKUP($CT139,Budget!$A:$A,Budget!CF:CF)</f>
        <v>7150</v>
      </c>
      <c r="DL139" s="22">
        <f>+_xlfn.XLOOKUP($CT139,Budget!$A:$A,Budget!CG:CG)</f>
        <v>7150</v>
      </c>
      <c r="DM139" s="22">
        <f>+_xlfn.XLOOKUP($CT139,Budget!$A:$A,Budget!CH:CH)</f>
        <v>7150</v>
      </c>
      <c r="DN139" s="22">
        <f>+_xlfn.XLOOKUP($CT139,Budget!$A:$A,Budget!CI:CI)</f>
        <v>7150</v>
      </c>
      <c r="DO139" s="22">
        <f>+_xlfn.XLOOKUP($CT139,Budget!$A:$A,Budget!CJ:CJ)</f>
        <v>7150</v>
      </c>
      <c r="DP139" s="22">
        <f>+_xlfn.XLOOKUP($CT139,Budget!$A:$A,Budget!CK:CK)</f>
        <v>7150</v>
      </c>
      <c r="DQ139" s="22">
        <f>+_xlfn.XLOOKUP($CT139,Budget!$A:$A,Budget!CL:CL)</f>
        <v>7150</v>
      </c>
      <c r="DR139" s="22">
        <f>+_xlfn.XLOOKUP($CT139,Budget!$A:$A,Budget!CM:CM)</f>
        <v>7150</v>
      </c>
      <c r="DS139" s="22">
        <f>+_xlfn.XLOOKUP($CT139,Budget!$A:$A,Budget!CN:CN)</f>
        <v>7150</v>
      </c>
      <c r="DT139" s="22">
        <f>+_xlfn.XLOOKUP($CT139,Budget!$A:$A,Budget!CO:CO)</f>
        <v>7150</v>
      </c>
      <c r="DU139" s="106">
        <f t="shared" ref="DU139:DU145" si="624">+SUM(DI139:DT139)</f>
        <v>85800</v>
      </c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106">
        <f t="shared" ref="EI139:EI145" si="625">+SUM(DW139:EH139)</f>
        <v>0</v>
      </c>
      <c r="EJ139" s="16" t="str">
        <f t="shared" si="601"/>
        <v>Medical Expenses</v>
      </c>
      <c r="EK139" s="22">
        <f>+VLOOKUP($BD139,'Jan-25'!$A:$J,9,0)</f>
        <v>0</v>
      </c>
      <c r="EL139" s="22">
        <f>+VLOOKUP($BD139,'Feb-25'!$A:$J,9,0)</f>
        <v>0</v>
      </c>
      <c r="EM139" s="22">
        <f>+VLOOKUP($BD139,'Mar-25'!$A:$J,9,0)</f>
        <v>0</v>
      </c>
      <c r="EN139" s="22">
        <f>+VLOOKUP($BD139,'Apr-25'!$A:$J,9,0)</f>
        <v>0</v>
      </c>
      <c r="EO139" s="22">
        <f>+VLOOKUP($BD139,'May-25'!$A:$J,9,0)</f>
        <v>0</v>
      </c>
      <c r="EP139" s="22">
        <f>+VLOOKUP($BD139,'June-25'!$A:$J,9,0)</f>
        <v>320</v>
      </c>
      <c r="EQ139" s="22">
        <f>+VLOOKUP($BD139,'July-25'!$A:$J,9,0)</f>
        <v>100</v>
      </c>
      <c r="ER139" s="22">
        <f>+VLOOKUP($BD139,'Aug-25'!$A:$J,9,0)</f>
        <v>0</v>
      </c>
      <c r="ES139" s="22">
        <f>+VLOOKUP($BD139,'Sep-25'!$A:$J,9,0)</f>
        <v>0</v>
      </c>
      <c r="ET139" s="22">
        <f>+VLOOKUP($BD139,'Oct-25'!$A:$J,9,0)</f>
        <v>0</v>
      </c>
      <c r="EU139" s="22">
        <f>+VLOOKUP($BD139,'Nov-25'!$A:$J,9,0)</f>
        <v>0</v>
      </c>
      <c r="EV139" s="22">
        <f>+VLOOKUP($BD139,'Dec-25'!$A:$J,9,0)</f>
        <v>0</v>
      </c>
      <c r="EW139" s="22">
        <f t="shared" ref="EW139:EW145" si="626">+SUM(EK139:EV139)</f>
        <v>420</v>
      </c>
      <c r="EX139" s="118">
        <f t="shared" si="479"/>
        <v>-1</v>
      </c>
      <c r="EY139" s="22">
        <f>+_xlfn.XLOOKUP($EJ139,Budget!$A:$A,Budget!DE:DE)</f>
        <v>5000</v>
      </c>
      <c r="EZ139" s="22">
        <f>+_xlfn.XLOOKUP($EJ139,Budget!$A:$A,Budget!DF:DF)</f>
        <v>5000</v>
      </c>
      <c r="FA139" s="22">
        <f>+_xlfn.XLOOKUP($EJ139,Budget!$A:$A,Budget!DG:DG)</f>
        <v>5000</v>
      </c>
      <c r="FB139" s="22">
        <f>+_xlfn.XLOOKUP($EJ139,Budget!$A:$A,Budget!DH:DH)</f>
        <v>5000</v>
      </c>
      <c r="FC139" s="22">
        <f>+_xlfn.XLOOKUP($EJ139,Budget!$A:$A,Budget!DI:DI)</f>
        <v>5000</v>
      </c>
      <c r="FD139" s="22">
        <f>+_xlfn.XLOOKUP($EJ139,Budget!$A:$A,Budget!DJ:DJ)</f>
        <v>5000</v>
      </c>
      <c r="FE139" s="22">
        <f>+_xlfn.XLOOKUP($EJ139,Budget!$A:$A,Budget!DK:DK)</f>
        <v>5000</v>
      </c>
      <c r="FF139" s="22">
        <f>+_xlfn.XLOOKUP($EJ139,Budget!$A:$A,Budget!DL:DL)</f>
        <v>5000</v>
      </c>
      <c r="FG139" s="22">
        <f>+_xlfn.XLOOKUP($EJ139,Budget!$A:$A,Budget!DM:DM)</f>
        <v>5000</v>
      </c>
      <c r="FH139" s="22">
        <f>+_xlfn.XLOOKUP($EJ139,Budget!$A:$A,Budget!DN:DN)</f>
        <v>5000</v>
      </c>
      <c r="FI139" s="22">
        <f>+_xlfn.XLOOKUP($EJ139,Budget!$A:$A,Budget!DO:DO)</f>
        <v>5000</v>
      </c>
      <c r="FJ139" s="22">
        <f>+_xlfn.XLOOKUP($EJ139,Budget!$A:$A,Budget!DP:DP)</f>
        <v>5000</v>
      </c>
      <c r="FK139" s="106">
        <f t="shared" ref="FK139:FK145" si="627">+SUM(EY139:FJ139)</f>
        <v>60000</v>
      </c>
    </row>
    <row r="140" spans="1:167" ht="14.45" hidden="1" customHeight="1" outlineLevel="2">
      <c r="A140" s="106">
        <f t="shared" si="558"/>
        <v>47934.728000000003</v>
      </c>
      <c r="B140" s="106">
        <f t="shared" si="558"/>
        <v>50719.078999999998</v>
      </c>
      <c r="C140" s="106">
        <f t="shared" si="558"/>
        <v>34547.544999999998</v>
      </c>
      <c r="D140" s="106">
        <f t="shared" si="558"/>
        <v>32032.45</v>
      </c>
      <c r="E140" s="106">
        <f t="shared" si="558"/>
        <v>42420.09</v>
      </c>
      <c r="F140" s="106">
        <f t="shared" si="558"/>
        <v>52725.472999999998</v>
      </c>
      <c r="G140" s="106">
        <f t="shared" si="558"/>
        <v>31886.199999999997</v>
      </c>
      <c r="H140" s="106">
        <f t="shared" si="558"/>
        <v>67635.259999999995</v>
      </c>
      <c r="I140" s="106">
        <f t="shared" si="558"/>
        <v>48643.302000000003</v>
      </c>
      <c r="J140" s="106">
        <f t="shared" si="558"/>
        <v>50156.991999999998</v>
      </c>
      <c r="K140" s="106">
        <f t="shared" si="558"/>
        <v>49457.9</v>
      </c>
      <c r="L140" s="106">
        <f t="shared" si="558"/>
        <v>78364.789999999994</v>
      </c>
      <c r="M140" s="106">
        <f t="shared" si="614"/>
        <v>586523.80900000012</v>
      </c>
      <c r="N140" s="16" t="s">
        <v>117</v>
      </c>
      <c r="O140" s="22">
        <f t="shared" si="615"/>
        <v>69057.399999999994</v>
      </c>
      <c r="P140" s="22">
        <f t="shared" si="615"/>
        <v>41832.959999999999</v>
      </c>
      <c r="Q140" s="22">
        <f t="shared" si="615"/>
        <v>58477.78</v>
      </c>
      <c r="R140" s="22">
        <f t="shared" si="615"/>
        <v>70009.01999999999</v>
      </c>
      <c r="S140" s="22">
        <f t="shared" si="615"/>
        <v>59767.1</v>
      </c>
      <c r="T140" s="22">
        <f t="shared" si="615"/>
        <v>84821.739999999991</v>
      </c>
      <c r="U140" s="22">
        <f t="shared" si="615"/>
        <v>65146.421000000002</v>
      </c>
      <c r="V140" s="22">
        <f t="shared" si="615"/>
        <v>54783.5</v>
      </c>
      <c r="W140" s="22">
        <f t="shared" si="615"/>
        <v>65451.8</v>
      </c>
      <c r="X140" s="22">
        <f t="shared" si="615"/>
        <v>58906.7</v>
      </c>
      <c r="Y140" s="22">
        <f t="shared" si="615"/>
        <v>0</v>
      </c>
      <c r="Z140" s="22">
        <f t="shared" si="615"/>
        <v>0</v>
      </c>
      <c r="AA140" s="22">
        <f t="shared" si="616"/>
        <v>628254.42099999997</v>
      </c>
      <c r="AB140" s="118">
        <f t="shared" si="476"/>
        <v>5.0471193674924016E-4</v>
      </c>
      <c r="AC140" s="22">
        <f t="shared" si="617"/>
        <v>58876.984083333344</v>
      </c>
      <c r="AD140" s="22">
        <f t="shared" si="617"/>
        <v>58876.984083333344</v>
      </c>
      <c r="AE140" s="22">
        <f t="shared" si="617"/>
        <v>58876.984083333344</v>
      </c>
      <c r="AF140" s="22">
        <f t="shared" si="617"/>
        <v>58876.984083333344</v>
      </c>
      <c r="AG140" s="22">
        <f t="shared" si="617"/>
        <v>58876.984083333344</v>
      </c>
      <c r="AH140" s="22">
        <f t="shared" si="617"/>
        <v>58876.984083333344</v>
      </c>
      <c r="AI140" s="22">
        <f t="shared" si="617"/>
        <v>58876.984083333344</v>
      </c>
      <c r="AJ140" s="22">
        <f t="shared" si="617"/>
        <v>58876.984083333344</v>
      </c>
      <c r="AK140" s="22">
        <f t="shared" si="617"/>
        <v>58876.984083333344</v>
      </c>
      <c r="AL140" s="22">
        <f t="shared" si="617"/>
        <v>58876.984083333344</v>
      </c>
      <c r="AM140" s="22">
        <f t="shared" si="617"/>
        <v>58876.984083333344</v>
      </c>
      <c r="AN140" s="22">
        <f t="shared" si="617"/>
        <v>58876.984083333344</v>
      </c>
      <c r="AO140" s="22">
        <f t="shared" si="618"/>
        <v>706523.80899999989</v>
      </c>
      <c r="AQ140" s="106">
        <v>42121.33</v>
      </c>
      <c r="AR140" s="106">
        <v>43292.75</v>
      </c>
      <c r="AS140" s="106">
        <v>29339.77</v>
      </c>
      <c r="AT140" s="106">
        <v>27098.45</v>
      </c>
      <c r="AU140" s="106">
        <v>36667.86</v>
      </c>
      <c r="AV140" s="106">
        <v>34730.94</v>
      </c>
      <c r="AW140" s="106">
        <v>21832.6</v>
      </c>
      <c r="AX140" s="106">
        <v>59793.04</v>
      </c>
      <c r="AY140" s="106">
        <v>38942.660000000003</v>
      </c>
      <c r="AZ140" s="106">
        <v>42655</v>
      </c>
      <c r="BA140" s="106">
        <v>33343.4</v>
      </c>
      <c r="BB140" s="106">
        <v>65334.46</v>
      </c>
      <c r="BC140" s="106">
        <f t="shared" si="619"/>
        <v>475152.26000000007</v>
      </c>
      <c r="BD140" s="16" t="str">
        <f t="shared" si="591"/>
        <v>Refreshment Expenses</v>
      </c>
      <c r="BE140" s="22">
        <f>+VLOOKUP($BD140,'Jan-25'!$A:$J,4,0)</f>
        <v>37428</v>
      </c>
      <c r="BF140" s="22">
        <f>+VLOOKUP($BD140,'Feb-25'!$A:$J,4,0)</f>
        <v>27179.84</v>
      </c>
      <c r="BG140" s="22">
        <f>+VLOOKUP($BD140,'Mar-25'!$A:$J,4,0)</f>
        <v>27432.52</v>
      </c>
      <c r="BH140" s="22">
        <f>+VLOOKUP($BD140,'Apr-25'!$A:$J,4,0)</f>
        <v>45143.88</v>
      </c>
      <c r="BI140" s="22">
        <f>+VLOOKUP($BD140,'May-25'!$A:$J,4,0)</f>
        <v>31031</v>
      </c>
      <c r="BJ140" s="22">
        <f>+VLOOKUP($BD140,'June-25'!$A:$J,4,0)</f>
        <v>37848.36</v>
      </c>
      <c r="BK140" s="22">
        <f>+VLOOKUP($BD140,'July-25'!$A:$J,4,0)</f>
        <v>37592</v>
      </c>
      <c r="BL140" s="22">
        <f>+VLOOKUP($BD140,'Aug-25'!$A:$J,4,0)</f>
        <v>30571</v>
      </c>
      <c r="BM140" s="22">
        <f>+VLOOKUP($BD140,'Sep-25'!$A:$J,4,0)</f>
        <v>51219</v>
      </c>
      <c r="BN140" s="22">
        <f>+VLOOKUP($BD140,'Oct-25'!$A:$J,4,0)</f>
        <v>29783</v>
      </c>
      <c r="BO140" s="22">
        <f>+VLOOKUP($BD140,'Nov-25'!$A:$J,4,0)</f>
        <v>0</v>
      </c>
      <c r="BP140" s="22">
        <f>+VLOOKUP($BD140,'Dec-25'!$A:$J,4,0)</f>
        <v>0</v>
      </c>
      <c r="BQ140" s="22">
        <f t="shared" si="620"/>
        <v>355228.6</v>
      </c>
      <c r="BR140" s="118">
        <f t="shared" si="477"/>
        <v>-0.24782847502398508</v>
      </c>
      <c r="BS140" s="106">
        <f>+_xlfn.XLOOKUP($BD140,Budget!$A:$A,Budget!AQ:AQ)</f>
        <v>39596.021666666675</v>
      </c>
      <c r="BT140" s="106">
        <f>+_xlfn.XLOOKUP($BD140,Budget!$A:$A,Budget!AR:AR)</f>
        <v>39596.021666666675</v>
      </c>
      <c r="BU140" s="106">
        <f>+_xlfn.XLOOKUP($BD140,Budget!$A:$A,Budget!AS:AS)</f>
        <v>39596.021666666675</v>
      </c>
      <c r="BV140" s="106">
        <f>+_xlfn.XLOOKUP($BD140,Budget!$A:$A,Budget!AT:AT)</f>
        <v>39596.021666666675</v>
      </c>
      <c r="BW140" s="106">
        <f>+_xlfn.XLOOKUP($BD140,Budget!$A:$A,Budget!AU:AU)</f>
        <v>39596.021666666675</v>
      </c>
      <c r="BX140" s="106">
        <f>+_xlfn.XLOOKUP($BD140,Budget!$A:$A,Budget!AV:AV)</f>
        <v>39596.021666666675</v>
      </c>
      <c r="BY140" s="106">
        <f>+_xlfn.XLOOKUP($BD140,Budget!$A:$A,Budget!AW:AW)</f>
        <v>39596.021666666675</v>
      </c>
      <c r="BZ140" s="106">
        <f>+_xlfn.XLOOKUP($BD140,Budget!$A:$A,Budget!AX:AX)</f>
        <v>39596.021666666675</v>
      </c>
      <c r="CA140" s="106">
        <f>+_xlfn.XLOOKUP($BD140,Budget!$A:$A,Budget!AY:AY)</f>
        <v>39596.021666666675</v>
      </c>
      <c r="CB140" s="106">
        <f>+_xlfn.XLOOKUP($BD140,Budget!$A:$A,Budget!AZ:AZ)</f>
        <v>39596.021666666675</v>
      </c>
      <c r="CC140" s="106">
        <f>+_xlfn.XLOOKUP($BD140,Budget!$A:$A,Budget!BA:BA)</f>
        <v>39596.021666666675</v>
      </c>
      <c r="CD140" s="106">
        <f>+_xlfn.XLOOKUP($BD140,Budget!$A:$A,Budget!BB:BB)</f>
        <v>39596.021666666675</v>
      </c>
      <c r="CE140" s="106">
        <f t="shared" si="621"/>
        <v>475152.26000000007</v>
      </c>
      <c r="CF140" s="22"/>
      <c r="CG140" s="22">
        <v>5813.3980000000001</v>
      </c>
      <c r="CH140" s="22">
        <v>7426.3289999999997</v>
      </c>
      <c r="CI140" s="22">
        <v>5207.7749999999996</v>
      </c>
      <c r="CJ140" s="22">
        <v>4934</v>
      </c>
      <c r="CK140" s="22">
        <v>5752.23</v>
      </c>
      <c r="CL140" s="22">
        <v>17994.532999999999</v>
      </c>
      <c r="CM140" s="22">
        <v>10053.599999999999</v>
      </c>
      <c r="CN140" s="22">
        <v>7842.2199999999993</v>
      </c>
      <c r="CO140" s="22">
        <v>9700.6419999999998</v>
      </c>
      <c r="CP140" s="22">
        <v>7501.9919999999993</v>
      </c>
      <c r="CQ140" s="22">
        <v>16114.5</v>
      </c>
      <c r="CR140" s="22">
        <v>13030.33</v>
      </c>
      <c r="CS140" s="106">
        <f t="shared" si="622"/>
        <v>111371.549</v>
      </c>
      <c r="CT140" s="16" t="str">
        <f t="shared" si="595"/>
        <v>Refreshment Expenses</v>
      </c>
      <c r="CU140" s="22">
        <f>+VLOOKUP($BD140,'Jan-25'!$A:$J,7,0)</f>
        <v>16766.400000000001</v>
      </c>
      <c r="CV140" s="22">
        <f>+VLOOKUP($BD140,'Feb-25'!$A:$J,7,0)</f>
        <v>3830.12</v>
      </c>
      <c r="CW140" s="22">
        <f>+VLOOKUP($BD140,'Mar-25'!$A:$J,7,0)</f>
        <v>16125.26</v>
      </c>
      <c r="CX140" s="22">
        <f>+VLOOKUP($BD140,'Apr-25'!$A:$J,7,0)</f>
        <v>14375.140000000001</v>
      </c>
      <c r="CY140" s="22">
        <f>+VLOOKUP($BD140,'May-25'!$A:$J,7,0)</f>
        <v>11201.099999999999</v>
      </c>
      <c r="CZ140" s="22">
        <f>+VLOOKUP($BD140,'June-25'!$A:$J,7,0)</f>
        <v>22205.379999999997</v>
      </c>
      <c r="DA140" s="22">
        <f>+VLOOKUP($BD140,'July-25'!$A:$J,7,0)</f>
        <v>12066.420999999998</v>
      </c>
      <c r="DB140" s="22">
        <f>+VLOOKUP($BD140,'Aug-25'!$A:$J,7,0)</f>
        <v>7201.5</v>
      </c>
      <c r="DC140" s="22">
        <f>+VLOOKUP($BD140,'Sep-25'!$A:$J,7,0)</f>
        <v>2750.8</v>
      </c>
      <c r="DD140" s="22">
        <f>+VLOOKUP($BD140,'Oct-25'!$A:$J,7,0)</f>
        <v>15201.7</v>
      </c>
      <c r="DE140" s="22">
        <f>+VLOOKUP($BD140,'Nov-25'!$A:$J,7,0)</f>
        <v>0</v>
      </c>
      <c r="DF140" s="22">
        <f>+VLOOKUP($BD140,'Dec-25'!$A:$J,7,0)</f>
        <v>0</v>
      </c>
      <c r="DG140" s="22">
        <f t="shared" si="623"/>
        <v>121723.821</v>
      </c>
      <c r="DH140" s="118">
        <f t="shared" si="478"/>
        <v>0.63794435507043179</v>
      </c>
      <c r="DI140" s="22">
        <f>+_xlfn.XLOOKUP($CT140,Budget!$A:$A,Budget!CD:CD)</f>
        <v>9280.9624166666672</v>
      </c>
      <c r="DJ140" s="22">
        <f>+_xlfn.XLOOKUP($CT140,Budget!$A:$A,Budget!CE:CE)</f>
        <v>9280.9624166666672</v>
      </c>
      <c r="DK140" s="22">
        <f>+_xlfn.XLOOKUP($CT140,Budget!$A:$A,Budget!CF:CF)</f>
        <v>9280.9624166666672</v>
      </c>
      <c r="DL140" s="22">
        <f>+_xlfn.XLOOKUP($CT140,Budget!$A:$A,Budget!CG:CG)</f>
        <v>9280.9624166666672</v>
      </c>
      <c r="DM140" s="22">
        <f>+_xlfn.XLOOKUP($CT140,Budget!$A:$A,Budget!CH:CH)</f>
        <v>9280.9624166666672</v>
      </c>
      <c r="DN140" s="22">
        <f>+_xlfn.XLOOKUP($CT140,Budget!$A:$A,Budget!CI:CI)</f>
        <v>9280.9624166666672</v>
      </c>
      <c r="DO140" s="22">
        <f>+_xlfn.XLOOKUP($CT140,Budget!$A:$A,Budget!CJ:CJ)</f>
        <v>9280.9624166666672</v>
      </c>
      <c r="DP140" s="22">
        <f>+_xlfn.XLOOKUP($CT140,Budget!$A:$A,Budget!CK:CK)</f>
        <v>9280.9624166666672</v>
      </c>
      <c r="DQ140" s="22">
        <f>+_xlfn.XLOOKUP($CT140,Budget!$A:$A,Budget!CL:CL)</f>
        <v>9280.9624166666672</v>
      </c>
      <c r="DR140" s="22">
        <f>+_xlfn.XLOOKUP($CT140,Budget!$A:$A,Budget!CM:CM)</f>
        <v>9280.9624166666672</v>
      </c>
      <c r="DS140" s="22">
        <f>+_xlfn.XLOOKUP($CT140,Budget!$A:$A,Budget!CN:CN)</f>
        <v>9280.9624166666672</v>
      </c>
      <c r="DT140" s="22">
        <f>+_xlfn.XLOOKUP($CT140,Budget!$A:$A,Budget!CO:CO)</f>
        <v>9280.9624166666672</v>
      </c>
      <c r="DU140" s="106">
        <f t="shared" si="624"/>
        <v>111371.54899999998</v>
      </c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106">
        <f t="shared" si="625"/>
        <v>0</v>
      </c>
      <c r="EJ140" s="16" t="str">
        <f t="shared" si="601"/>
        <v>Refreshment Expenses</v>
      </c>
      <c r="EK140" s="22">
        <f>+VLOOKUP($BD140,'Jan-25'!$A:$J,9,0)</f>
        <v>14863</v>
      </c>
      <c r="EL140" s="22">
        <f>+VLOOKUP($BD140,'Feb-25'!$A:$J,9,0)</f>
        <v>10823</v>
      </c>
      <c r="EM140" s="22">
        <f>+VLOOKUP($BD140,'Mar-25'!$A:$J,9,0)</f>
        <v>14920</v>
      </c>
      <c r="EN140" s="22">
        <f>+VLOOKUP($BD140,'Apr-25'!$A:$J,9,0)</f>
        <v>10490</v>
      </c>
      <c r="EO140" s="22">
        <f>+VLOOKUP($BD140,'May-25'!$A:$J,9,0)</f>
        <v>17535</v>
      </c>
      <c r="EP140" s="22">
        <f>+VLOOKUP($BD140,'June-25'!$A:$J,9,0)</f>
        <v>24768</v>
      </c>
      <c r="EQ140" s="22">
        <f>+VLOOKUP($BD140,'July-25'!$A:$J,9,0)</f>
        <v>15488</v>
      </c>
      <c r="ER140" s="22">
        <f>+VLOOKUP($BD140,'Aug-25'!$A:$J,9,0)</f>
        <v>17011</v>
      </c>
      <c r="ES140" s="22">
        <f>+VLOOKUP($BD140,'Sep-25'!$A:$J,9,0)</f>
        <v>11482</v>
      </c>
      <c r="ET140" s="22">
        <f>+VLOOKUP($BD140,'Oct-25'!$A:$J,9,0)</f>
        <v>13922</v>
      </c>
      <c r="EU140" s="22">
        <f>+VLOOKUP($BD140,'Nov-25'!$A:$J,9,0)</f>
        <v>0</v>
      </c>
      <c r="EV140" s="22">
        <f>+VLOOKUP($BD140,'Dec-25'!$A:$J,9,0)</f>
        <v>0</v>
      </c>
      <c r="EW140" s="22">
        <f t="shared" si="626"/>
        <v>151302</v>
      </c>
      <c r="EX140" s="118">
        <f t="shared" si="479"/>
        <v>0.39219999999999999</v>
      </c>
      <c r="EY140" s="22">
        <f>+_xlfn.XLOOKUP($EJ140,Budget!$A:$A,Budget!DE:DE)</f>
        <v>10000</v>
      </c>
      <c r="EZ140" s="22">
        <f>+_xlfn.XLOOKUP($EJ140,Budget!$A:$A,Budget!DF:DF)</f>
        <v>10000</v>
      </c>
      <c r="FA140" s="22">
        <f>+_xlfn.XLOOKUP($EJ140,Budget!$A:$A,Budget!DG:DG)</f>
        <v>10000</v>
      </c>
      <c r="FB140" s="22">
        <f>+_xlfn.XLOOKUP($EJ140,Budget!$A:$A,Budget!DH:DH)</f>
        <v>10000</v>
      </c>
      <c r="FC140" s="22">
        <f>+_xlfn.XLOOKUP($EJ140,Budget!$A:$A,Budget!DI:DI)</f>
        <v>10000</v>
      </c>
      <c r="FD140" s="22">
        <f>+_xlfn.XLOOKUP($EJ140,Budget!$A:$A,Budget!DJ:DJ)</f>
        <v>10000</v>
      </c>
      <c r="FE140" s="22">
        <f>+_xlfn.XLOOKUP($EJ140,Budget!$A:$A,Budget!DK:DK)</f>
        <v>10000</v>
      </c>
      <c r="FF140" s="22">
        <f>+_xlfn.XLOOKUP($EJ140,Budget!$A:$A,Budget!DL:DL)</f>
        <v>10000</v>
      </c>
      <c r="FG140" s="22">
        <f>+_xlfn.XLOOKUP($EJ140,Budget!$A:$A,Budget!DM:DM)</f>
        <v>10000</v>
      </c>
      <c r="FH140" s="22">
        <f>+_xlfn.XLOOKUP($EJ140,Budget!$A:$A,Budget!DN:DN)</f>
        <v>10000</v>
      </c>
      <c r="FI140" s="22">
        <f>+_xlfn.XLOOKUP($EJ140,Budget!$A:$A,Budget!DO:DO)</f>
        <v>10000</v>
      </c>
      <c r="FJ140" s="22">
        <f>+_xlfn.XLOOKUP($EJ140,Budget!$A:$A,Budget!DP:DP)</f>
        <v>10000</v>
      </c>
      <c r="FK140" s="106">
        <f t="shared" si="627"/>
        <v>120000</v>
      </c>
    </row>
    <row r="141" spans="1:167" ht="14.45" hidden="1" customHeight="1" outlineLevel="2">
      <c r="A141" s="106">
        <f t="shared" si="558"/>
        <v>56052</v>
      </c>
      <c r="B141" s="106">
        <f t="shared" si="558"/>
        <v>68052</v>
      </c>
      <c r="C141" s="106">
        <f t="shared" si="558"/>
        <v>56052</v>
      </c>
      <c r="D141" s="106">
        <f t="shared" si="558"/>
        <v>56052</v>
      </c>
      <c r="E141" s="106">
        <f t="shared" si="558"/>
        <v>57052</v>
      </c>
      <c r="F141" s="106">
        <f t="shared" si="558"/>
        <v>56552</v>
      </c>
      <c r="G141" s="106">
        <f t="shared" si="558"/>
        <v>82152</v>
      </c>
      <c r="H141" s="106">
        <f t="shared" si="558"/>
        <v>62152</v>
      </c>
      <c r="I141" s="106">
        <f t="shared" si="558"/>
        <v>57152</v>
      </c>
      <c r="J141" s="106">
        <f t="shared" si="558"/>
        <v>72152</v>
      </c>
      <c r="K141" s="106">
        <f t="shared" si="558"/>
        <v>57152</v>
      </c>
      <c r="L141" s="106">
        <f t="shared" si="558"/>
        <v>57152</v>
      </c>
      <c r="M141" s="106">
        <f t="shared" si="614"/>
        <v>737724</v>
      </c>
      <c r="N141" s="16" t="s">
        <v>227</v>
      </c>
      <c r="O141" s="22">
        <f t="shared" si="615"/>
        <v>123152</v>
      </c>
      <c r="P141" s="22">
        <f t="shared" si="615"/>
        <v>93152</v>
      </c>
      <c r="Q141" s="22">
        <f t="shared" si="615"/>
        <v>96652</v>
      </c>
      <c r="R141" s="22">
        <f t="shared" si="615"/>
        <v>61291.199999999997</v>
      </c>
      <c r="S141" s="22">
        <f t="shared" si="615"/>
        <v>93152</v>
      </c>
      <c r="T141" s="22">
        <f t="shared" si="615"/>
        <v>61201.2</v>
      </c>
      <c r="U141" s="22">
        <f t="shared" si="615"/>
        <v>61291.199999999997</v>
      </c>
      <c r="V141" s="22">
        <f t="shared" si="615"/>
        <v>94502</v>
      </c>
      <c r="W141" s="22">
        <f t="shared" si="615"/>
        <v>93602</v>
      </c>
      <c r="X141" s="22">
        <f t="shared" si="615"/>
        <v>94602</v>
      </c>
      <c r="Y141" s="22">
        <f t="shared" si="615"/>
        <v>0</v>
      </c>
      <c r="Z141" s="22">
        <f t="shared" si="615"/>
        <v>0</v>
      </c>
      <c r="AA141" s="22">
        <f t="shared" si="616"/>
        <v>872597.6</v>
      </c>
      <c r="AB141" s="118">
        <f t="shared" si="476"/>
        <v>0.23515495252718333</v>
      </c>
      <c r="AC141" s="22">
        <f t="shared" si="617"/>
        <v>76591.199999999997</v>
      </c>
      <c r="AD141" s="22">
        <f t="shared" si="617"/>
        <v>76591.199999999997</v>
      </c>
      <c r="AE141" s="22">
        <f t="shared" si="617"/>
        <v>76591.199999999997</v>
      </c>
      <c r="AF141" s="22">
        <f t="shared" si="617"/>
        <v>76591.199999999997</v>
      </c>
      <c r="AG141" s="22">
        <f t="shared" si="617"/>
        <v>76591.199999999997</v>
      </c>
      <c r="AH141" s="22">
        <f t="shared" si="617"/>
        <v>76591.199999999997</v>
      </c>
      <c r="AI141" s="22">
        <f t="shared" si="617"/>
        <v>76591.199999999997</v>
      </c>
      <c r="AJ141" s="22">
        <f t="shared" si="617"/>
        <v>76591.199999999997</v>
      </c>
      <c r="AK141" s="22">
        <f t="shared" si="617"/>
        <v>76591.199999999997</v>
      </c>
      <c r="AL141" s="22">
        <f t="shared" si="617"/>
        <v>76591.199999999997</v>
      </c>
      <c r="AM141" s="22">
        <f t="shared" si="617"/>
        <v>76591.199999999997</v>
      </c>
      <c r="AN141" s="22">
        <f t="shared" si="617"/>
        <v>76591.199999999997</v>
      </c>
      <c r="AO141" s="22">
        <f t="shared" si="618"/>
        <v>919094.39999999979</v>
      </c>
      <c r="AQ141" s="106">
        <v>49152</v>
      </c>
      <c r="AR141" s="106">
        <v>61152</v>
      </c>
      <c r="AS141" s="106">
        <v>49152</v>
      </c>
      <c r="AT141" s="106">
        <v>49152</v>
      </c>
      <c r="AU141" s="106">
        <v>50152</v>
      </c>
      <c r="AV141" s="106">
        <v>49652</v>
      </c>
      <c r="AW141" s="106">
        <v>74652</v>
      </c>
      <c r="AX141" s="106">
        <v>54652</v>
      </c>
      <c r="AY141" s="106">
        <v>49652</v>
      </c>
      <c r="AZ141" s="106">
        <v>64652</v>
      </c>
      <c r="BA141" s="106">
        <v>49652</v>
      </c>
      <c r="BB141" s="106">
        <v>49652</v>
      </c>
      <c r="BC141" s="106">
        <f t="shared" si="619"/>
        <v>651324</v>
      </c>
      <c r="BD141" s="16" t="str">
        <f t="shared" si="591"/>
        <v>Staff Accommedation -Rent</v>
      </c>
      <c r="BE141" s="22">
        <f>+VLOOKUP($BD141,'Jan-25'!$A:$J,4,0)</f>
        <v>49652</v>
      </c>
      <c r="BF141" s="22">
        <f>+VLOOKUP($BD141,'Feb-25'!$A:$J,4,0)</f>
        <v>49652</v>
      </c>
      <c r="BG141" s="22">
        <f>+VLOOKUP($BD141,'Mar-25'!$A:$J,4,0)</f>
        <v>49652</v>
      </c>
      <c r="BH141" s="22">
        <f>+VLOOKUP($BD141,'Apr-25'!$A:$J,4,0)</f>
        <v>29791.199999999997</v>
      </c>
      <c r="BI141" s="22">
        <f>+VLOOKUP($BD141,'May-25'!$A:$J,4,0)</f>
        <v>49652</v>
      </c>
      <c r="BJ141" s="22">
        <f>+VLOOKUP($BD141,'June-25'!$A:$J,4,0)</f>
        <v>29791.199999999997</v>
      </c>
      <c r="BK141" s="22">
        <f>+VLOOKUP($BD141,'July-25'!$A:$J,4,0)</f>
        <v>29791.199999999997</v>
      </c>
      <c r="BL141" s="22">
        <f>+VLOOKUP($BD141,'Aug-25'!$A:$J,4,0)</f>
        <v>49652</v>
      </c>
      <c r="BM141" s="22">
        <f>+VLOOKUP($BD141,'Sep-25'!$A:$J,4,0)</f>
        <v>49652</v>
      </c>
      <c r="BN141" s="22">
        <f>+VLOOKUP($BD141,'Oct-25'!$A:$J,4,0)</f>
        <v>50652</v>
      </c>
      <c r="BO141" s="22">
        <f>+VLOOKUP($BD141,'Nov-25'!$A:$J,4,0)</f>
        <v>0</v>
      </c>
      <c r="BP141" s="22">
        <f>+VLOOKUP($BD141,'Dec-25'!$A:$J,4,0)</f>
        <v>0</v>
      </c>
      <c r="BQ141" s="22">
        <f t="shared" si="620"/>
        <v>437937.60000000003</v>
      </c>
      <c r="BR141" s="118">
        <f t="shared" si="477"/>
        <v>0.71752929687500022</v>
      </c>
      <c r="BS141" s="106">
        <f>+_xlfn.XLOOKUP($BD141,Budget!$A:$A,Budget!AQ:AQ)</f>
        <v>29491.199999999997</v>
      </c>
      <c r="BT141" s="106">
        <f>+_xlfn.XLOOKUP($BD141,Budget!$A:$A,Budget!AR:AR)</f>
        <v>29491.199999999997</v>
      </c>
      <c r="BU141" s="106">
        <f>+_xlfn.XLOOKUP($BD141,Budget!$A:$A,Budget!AS:AS)</f>
        <v>29491.199999999997</v>
      </c>
      <c r="BV141" s="106">
        <f>+_xlfn.XLOOKUP($BD141,Budget!$A:$A,Budget!AT:AT)</f>
        <v>29491.199999999997</v>
      </c>
      <c r="BW141" s="106">
        <f>+_xlfn.XLOOKUP($BD141,Budget!$A:$A,Budget!AU:AU)</f>
        <v>29491.199999999997</v>
      </c>
      <c r="BX141" s="106">
        <f>+_xlfn.XLOOKUP($BD141,Budget!$A:$A,Budget!AV:AV)</f>
        <v>29491.199999999997</v>
      </c>
      <c r="BY141" s="106">
        <f>+_xlfn.XLOOKUP($BD141,Budget!$A:$A,Budget!AW:AW)</f>
        <v>29491.199999999997</v>
      </c>
      <c r="BZ141" s="106">
        <f>+_xlfn.XLOOKUP($BD141,Budget!$A:$A,Budget!AX:AX)</f>
        <v>29491.199999999997</v>
      </c>
      <c r="CA141" s="106">
        <f>+_xlfn.XLOOKUP($BD141,Budget!$A:$A,Budget!AY:AY)</f>
        <v>29491.199999999997</v>
      </c>
      <c r="CB141" s="106">
        <f>+_xlfn.XLOOKUP($BD141,Budget!$A:$A,Budget!AZ:AZ)</f>
        <v>29491.199999999997</v>
      </c>
      <c r="CC141" s="106">
        <f>+_xlfn.XLOOKUP($BD141,Budget!$A:$A,Budget!BA:BA)</f>
        <v>29491.199999999997</v>
      </c>
      <c r="CD141" s="106">
        <f>+_xlfn.XLOOKUP($BD141,Budget!$A:$A,Budget!BB:BB)</f>
        <v>29491.199999999997</v>
      </c>
      <c r="CE141" s="106">
        <f t="shared" si="621"/>
        <v>353894.40000000008</v>
      </c>
      <c r="CF141" s="22"/>
      <c r="CG141" s="22">
        <v>6900</v>
      </c>
      <c r="CH141" s="22">
        <v>6900</v>
      </c>
      <c r="CI141" s="22">
        <v>6900</v>
      </c>
      <c r="CJ141" s="22">
        <v>6900</v>
      </c>
      <c r="CK141" s="22">
        <v>6900</v>
      </c>
      <c r="CL141" s="22">
        <v>6900</v>
      </c>
      <c r="CM141" s="22">
        <v>7500</v>
      </c>
      <c r="CN141" s="22">
        <v>7500</v>
      </c>
      <c r="CO141" s="22">
        <v>7500</v>
      </c>
      <c r="CP141" s="22">
        <v>7500</v>
      </c>
      <c r="CQ141" s="22">
        <v>7500</v>
      </c>
      <c r="CR141" s="22">
        <v>7500</v>
      </c>
      <c r="CS141" s="106">
        <f t="shared" si="622"/>
        <v>86400</v>
      </c>
      <c r="CT141" s="16" t="str">
        <f t="shared" si="595"/>
        <v>Staff Accommedation -Rent</v>
      </c>
      <c r="CU141" s="22">
        <f>+VLOOKUP($BD141,'Jan-25'!$A:$J,7,0)</f>
        <v>13500</v>
      </c>
      <c r="CV141" s="22">
        <f>+VLOOKUP($BD141,'Feb-25'!$A:$J,7,0)</f>
        <v>13500</v>
      </c>
      <c r="CW141" s="22">
        <f>+VLOOKUP($BD141,'Mar-25'!$A:$J,7,0)</f>
        <v>13500</v>
      </c>
      <c r="CX141" s="22">
        <f>+VLOOKUP($BD141,'Apr-25'!$A:$J,7,0)</f>
        <v>13500</v>
      </c>
      <c r="CY141" s="22">
        <f>+VLOOKUP($BD141,'May-25'!$A:$J,7,0)</f>
        <v>13500</v>
      </c>
      <c r="CZ141" s="22">
        <f>+VLOOKUP($BD141,'June-25'!$A:$J,7,0)</f>
        <v>13500</v>
      </c>
      <c r="DA141" s="22">
        <f>+VLOOKUP($BD141,'July-25'!$A:$J,7,0)</f>
        <v>13500</v>
      </c>
      <c r="DB141" s="22">
        <f>+VLOOKUP($BD141,'Aug-25'!$A:$J,7,0)</f>
        <v>14850</v>
      </c>
      <c r="DC141" s="22">
        <f>+VLOOKUP($BD141,'Sep-25'!$A:$J,7,0)</f>
        <v>13950</v>
      </c>
      <c r="DD141" s="22">
        <f>+VLOOKUP($BD141,'Oct-25'!$A:$J,7,0)</f>
        <v>13950</v>
      </c>
      <c r="DE141" s="22">
        <f>+VLOOKUP($BD141,'Nov-25'!$A:$J,7,0)</f>
        <v>0</v>
      </c>
      <c r="DF141" s="22">
        <f>+VLOOKUP($BD141,'Dec-25'!$A:$J,7,0)</f>
        <v>0</v>
      </c>
      <c r="DG141" s="22">
        <f t="shared" si="623"/>
        <v>137250</v>
      </c>
      <c r="DH141" s="118">
        <f t="shared" si="478"/>
        <v>-0.48333333333333334</v>
      </c>
      <c r="DI141" s="22">
        <f>+_xlfn.XLOOKUP($CT141,Budget!$A:$A,Budget!CD:CD)</f>
        <v>27000</v>
      </c>
      <c r="DJ141" s="22">
        <f>+_xlfn.XLOOKUP($CT141,Budget!$A:$A,Budget!CE:CE)</f>
        <v>27000</v>
      </c>
      <c r="DK141" s="22">
        <f>+_xlfn.XLOOKUP($CT141,Budget!$A:$A,Budget!CF:CF)</f>
        <v>27000</v>
      </c>
      <c r="DL141" s="22">
        <f>+_xlfn.XLOOKUP($CT141,Budget!$A:$A,Budget!CG:CG)</f>
        <v>27000</v>
      </c>
      <c r="DM141" s="22">
        <f>+_xlfn.XLOOKUP($CT141,Budget!$A:$A,Budget!CH:CH)</f>
        <v>27000</v>
      </c>
      <c r="DN141" s="22">
        <f>+_xlfn.XLOOKUP($CT141,Budget!$A:$A,Budget!CI:CI)</f>
        <v>27000</v>
      </c>
      <c r="DO141" s="22">
        <f>+_xlfn.XLOOKUP($CT141,Budget!$A:$A,Budget!CJ:CJ)</f>
        <v>27000</v>
      </c>
      <c r="DP141" s="22">
        <f>+_xlfn.XLOOKUP($CT141,Budget!$A:$A,Budget!CK:CK)</f>
        <v>27000</v>
      </c>
      <c r="DQ141" s="22">
        <f>+_xlfn.XLOOKUP($CT141,Budget!$A:$A,Budget!CL:CL)</f>
        <v>27000</v>
      </c>
      <c r="DR141" s="22">
        <f>+_xlfn.XLOOKUP($CT141,Budget!$A:$A,Budget!CM:CM)</f>
        <v>27000</v>
      </c>
      <c r="DS141" s="22">
        <f>+_xlfn.XLOOKUP($CT141,Budget!$A:$A,Budget!CN:CN)</f>
        <v>27000</v>
      </c>
      <c r="DT141" s="22">
        <f>+_xlfn.XLOOKUP($CT141,Budget!$A:$A,Budget!CO:CO)</f>
        <v>27000</v>
      </c>
      <c r="DU141" s="106">
        <f t="shared" si="624"/>
        <v>324000</v>
      </c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106">
        <f t="shared" si="625"/>
        <v>0</v>
      </c>
      <c r="EJ141" s="16" t="str">
        <f t="shared" si="601"/>
        <v>Staff Accommedation -Rent</v>
      </c>
      <c r="EK141" s="22">
        <f>+VLOOKUP($BD141,'Jan-25'!$A:$J,9,0)</f>
        <v>60000</v>
      </c>
      <c r="EL141" s="22">
        <f>+VLOOKUP($BD141,'Feb-25'!$A:$J,9,0)</f>
        <v>30000</v>
      </c>
      <c r="EM141" s="22">
        <f>+VLOOKUP($BD141,'Mar-25'!$A:$J,9,0)</f>
        <v>33500</v>
      </c>
      <c r="EN141" s="22">
        <f>+VLOOKUP($BD141,'Apr-25'!$A:$J,9,0)</f>
        <v>18000</v>
      </c>
      <c r="EO141" s="22">
        <f>+VLOOKUP($BD141,'May-25'!$A:$J,9,0)</f>
        <v>30000</v>
      </c>
      <c r="EP141" s="22">
        <f>+VLOOKUP($BD141,'June-25'!$A:$J,9,0)</f>
        <v>17910</v>
      </c>
      <c r="EQ141" s="22">
        <f>+VLOOKUP($BD141,'July-25'!$A:$J,9,0)</f>
        <v>18000</v>
      </c>
      <c r="ER141" s="22">
        <f>+VLOOKUP($BD141,'Aug-25'!$A:$J,9,0)</f>
        <v>30000</v>
      </c>
      <c r="ES141" s="22">
        <f>+VLOOKUP($BD141,'Sep-25'!$A:$J,9,0)</f>
        <v>30000</v>
      </c>
      <c r="ET141" s="22">
        <f>+VLOOKUP($BD141,'Oct-25'!$A:$J,9,0)</f>
        <v>30000</v>
      </c>
      <c r="EU141" s="22">
        <f>+VLOOKUP($BD141,'Nov-25'!$A:$J,9,0)</f>
        <v>0</v>
      </c>
      <c r="EV141" s="22">
        <f>+VLOOKUP($BD141,'Dec-25'!$A:$J,9,0)</f>
        <v>0</v>
      </c>
      <c r="EW141" s="22">
        <f t="shared" si="626"/>
        <v>297410</v>
      </c>
      <c r="EX141" s="118">
        <f t="shared" si="479"/>
        <v>0.4925373134328358</v>
      </c>
      <c r="EY141" s="22">
        <f>+_xlfn.XLOOKUP($EJ141,Budget!$A:$A,Budget!DE:DE)</f>
        <v>20100</v>
      </c>
      <c r="EZ141" s="22">
        <f>+_xlfn.XLOOKUP($EJ141,Budget!$A:$A,Budget!DF:DF)</f>
        <v>20100</v>
      </c>
      <c r="FA141" s="22">
        <f>+_xlfn.XLOOKUP($EJ141,Budget!$A:$A,Budget!DG:DG)</f>
        <v>20100</v>
      </c>
      <c r="FB141" s="22">
        <f>+_xlfn.XLOOKUP($EJ141,Budget!$A:$A,Budget!DH:DH)</f>
        <v>20100</v>
      </c>
      <c r="FC141" s="22">
        <f>+_xlfn.XLOOKUP($EJ141,Budget!$A:$A,Budget!DI:DI)</f>
        <v>20100</v>
      </c>
      <c r="FD141" s="22">
        <f>+_xlfn.XLOOKUP($EJ141,Budget!$A:$A,Budget!DJ:DJ)</f>
        <v>20100</v>
      </c>
      <c r="FE141" s="22">
        <f>+_xlfn.XLOOKUP($EJ141,Budget!$A:$A,Budget!DK:DK)</f>
        <v>20100</v>
      </c>
      <c r="FF141" s="22">
        <f>+_xlfn.XLOOKUP($EJ141,Budget!$A:$A,Budget!DL:DL)</f>
        <v>20100</v>
      </c>
      <c r="FG141" s="22">
        <f>+_xlfn.XLOOKUP($EJ141,Budget!$A:$A,Budget!DM:DM)</f>
        <v>20100</v>
      </c>
      <c r="FH141" s="22">
        <f>+_xlfn.XLOOKUP($EJ141,Budget!$A:$A,Budget!DN:DN)</f>
        <v>20100</v>
      </c>
      <c r="FI141" s="22">
        <f>+_xlfn.XLOOKUP($EJ141,Budget!$A:$A,Budget!DO:DO)</f>
        <v>20100</v>
      </c>
      <c r="FJ141" s="22">
        <f>+_xlfn.XLOOKUP($EJ141,Budget!$A:$A,Budget!DP:DP)</f>
        <v>20100</v>
      </c>
      <c r="FK141" s="106">
        <f t="shared" si="627"/>
        <v>241200</v>
      </c>
    </row>
    <row r="142" spans="1:167" ht="14.45" hidden="1" customHeight="1" outlineLevel="2">
      <c r="A142" s="106">
        <f t="shared" si="558"/>
        <v>0</v>
      </c>
      <c r="B142" s="106">
        <f t="shared" si="558"/>
        <v>0</v>
      </c>
      <c r="C142" s="106">
        <f t="shared" si="558"/>
        <v>0</v>
      </c>
      <c r="D142" s="106">
        <f t="shared" si="558"/>
        <v>10300</v>
      </c>
      <c r="E142" s="106">
        <f t="shared" si="558"/>
        <v>2348.1</v>
      </c>
      <c r="F142" s="106">
        <f t="shared" si="558"/>
        <v>15004.65</v>
      </c>
      <c r="G142" s="106">
        <f t="shared" si="558"/>
        <v>3000</v>
      </c>
      <c r="H142" s="106">
        <f t="shared" si="558"/>
        <v>10600</v>
      </c>
      <c r="I142" s="106">
        <f t="shared" si="558"/>
        <v>4022.54</v>
      </c>
      <c r="J142" s="106">
        <f t="shared" si="558"/>
        <v>390</v>
      </c>
      <c r="K142" s="106">
        <f t="shared" si="558"/>
        <v>1741</v>
      </c>
      <c r="L142" s="106">
        <f t="shared" si="558"/>
        <v>0</v>
      </c>
      <c r="M142" s="106">
        <f t="shared" si="614"/>
        <v>47406.29</v>
      </c>
      <c r="N142" s="16" t="s">
        <v>228</v>
      </c>
      <c r="O142" s="22">
        <f t="shared" si="615"/>
        <v>73500</v>
      </c>
      <c r="P142" s="22">
        <f t="shared" si="615"/>
        <v>36853.700000000004</v>
      </c>
      <c r="Q142" s="22">
        <f t="shared" si="615"/>
        <v>31017.43</v>
      </c>
      <c r="R142" s="22">
        <f t="shared" si="615"/>
        <v>0</v>
      </c>
      <c r="S142" s="22">
        <f t="shared" si="615"/>
        <v>0</v>
      </c>
      <c r="T142" s="22">
        <f t="shared" si="615"/>
        <v>765</v>
      </c>
      <c r="U142" s="22">
        <f t="shared" si="615"/>
        <v>12250</v>
      </c>
      <c r="V142" s="22">
        <f t="shared" si="615"/>
        <v>5084.7449999999999</v>
      </c>
      <c r="W142" s="22">
        <f t="shared" si="615"/>
        <v>1700</v>
      </c>
      <c r="X142" s="22">
        <f t="shared" si="615"/>
        <v>0</v>
      </c>
      <c r="Y142" s="22">
        <f t="shared" si="615"/>
        <v>0</v>
      </c>
      <c r="Z142" s="22">
        <f t="shared" si="615"/>
        <v>0</v>
      </c>
      <c r="AA142" s="22">
        <f t="shared" si="616"/>
        <v>161170.875</v>
      </c>
      <c r="AB142" s="118">
        <f t="shared" si="476"/>
        <v>0</v>
      </c>
      <c r="AC142" s="22">
        <f t="shared" si="617"/>
        <v>0</v>
      </c>
      <c r="AD142" s="22">
        <f t="shared" si="617"/>
        <v>0</v>
      </c>
      <c r="AE142" s="22">
        <f t="shared" si="617"/>
        <v>0</v>
      </c>
      <c r="AF142" s="22">
        <f t="shared" si="617"/>
        <v>0</v>
      </c>
      <c r="AG142" s="22">
        <f t="shared" si="617"/>
        <v>0</v>
      </c>
      <c r="AH142" s="22">
        <f t="shared" si="617"/>
        <v>0</v>
      </c>
      <c r="AI142" s="22">
        <f t="shared" si="617"/>
        <v>0</v>
      </c>
      <c r="AJ142" s="22">
        <f t="shared" si="617"/>
        <v>0</v>
      </c>
      <c r="AK142" s="22">
        <f t="shared" si="617"/>
        <v>0</v>
      </c>
      <c r="AL142" s="22">
        <f t="shared" si="617"/>
        <v>0</v>
      </c>
      <c r="AM142" s="22">
        <f t="shared" si="617"/>
        <v>0</v>
      </c>
      <c r="AN142" s="22">
        <f t="shared" si="617"/>
        <v>0</v>
      </c>
      <c r="AO142" s="22">
        <f t="shared" si="618"/>
        <v>0</v>
      </c>
      <c r="AQ142" s="106">
        <v>0</v>
      </c>
      <c r="AR142" s="106">
        <v>0</v>
      </c>
      <c r="AS142" s="106">
        <v>0</v>
      </c>
      <c r="AT142" s="106">
        <v>10300</v>
      </c>
      <c r="AU142" s="106">
        <v>0</v>
      </c>
      <c r="AV142" s="106">
        <v>14164.65</v>
      </c>
      <c r="AW142" s="106">
        <v>3000</v>
      </c>
      <c r="AX142" s="106">
        <v>10600</v>
      </c>
      <c r="AY142" s="106">
        <v>4022.54</v>
      </c>
      <c r="AZ142" s="106">
        <v>390</v>
      </c>
      <c r="BA142" s="106">
        <v>1741</v>
      </c>
      <c r="BB142" s="106">
        <v>0</v>
      </c>
      <c r="BC142" s="106">
        <f t="shared" si="619"/>
        <v>44218.19</v>
      </c>
      <c r="BD142" s="16" t="str">
        <f t="shared" si="591"/>
        <v>Staff Accommedation -Maintanence</v>
      </c>
      <c r="BE142" s="22">
        <f>+VLOOKUP($BD142,'Jan-25'!$A:$J,4,0)</f>
        <v>0</v>
      </c>
      <c r="BF142" s="22">
        <f>+VLOOKUP($BD142,'Feb-25'!$A:$J,4,0)</f>
        <v>0</v>
      </c>
      <c r="BG142" s="22">
        <f>+VLOOKUP($BD142,'Mar-25'!$A:$J,4,0)</f>
        <v>0</v>
      </c>
      <c r="BH142" s="22">
        <f>+VLOOKUP($BD142,'Apr-25'!$A:$J,4,0)</f>
        <v>0</v>
      </c>
      <c r="BI142" s="22">
        <f>+VLOOKUP($BD142,'May-25'!$A:$J,4,0)</f>
        <v>0</v>
      </c>
      <c r="BJ142" s="22">
        <f>+VLOOKUP($BD142,'June-25'!$A:$J,4,0)</f>
        <v>765</v>
      </c>
      <c r="BK142" s="22">
        <f>+VLOOKUP($BD142,'July-25'!$A:$J,4,0)</f>
        <v>0</v>
      </c>
      <c r="BL142" s="22">
        <f>+VLOOKUP($BD142,'Aug-25'!$A:$J,4,0)</f>
        <v>0</v>
      </c>
      <c r="BM142" s="22">
        <f>+VLOOKUP($BD142,'Sep-25'!$A:$J,4,0)</f>
        <v>1700</v>
      </c>
      <c r="BN142" s="22">
        <f>+VLOOKUP($BD142,'Oct-25'!$A:$J,4,0)</f>
        <v>0</v>
      </c>
      <c r="BO142" s="22">
        <f>+VLOOKUP($BD142,'Nov-25'!$A:$J,4,0)</f>
        <v>0</v>
      </c>
      <c r="BP142" s="22">
        <f>+VLOOKUP($BD142,'Dec-25'!$A:$J,4,0)</f>
        <v>0</v>
      </c>
      <c r="BQ142" s="22">
        <f t="shared" si="620"/>
        <v>2465</v>
      </c>
      <c r="BR142" s="118">
        <f t="shared" si="477"/>
        <v>0</v>
      </c>
      <c r="BS142" s="106">
        <f>+_xlfn.XLOOKUP($BD142,Budget!$A:$A,Budget!AQ:AQ)</f>
        <v>0</v>
      </c>
      <c r="BT142" s="106">
        <f>+_xlfn.XLOOKUP($BD142,Budget!$A:$A,Budget!AR:AR)</f>
        <v>0</v>
      </c>
      <c r="BU142" s="106">
        <f>+_xlfn.XLOOKUP($BD142,Budget!$A:$A,Budget!AS:AS)</f>
        <v>0</v>
      </c>
      <c r="BV142" s="106">
        <f>+_xlfn.XLOOKUP($BD142,Budget!$A:$A,Budget!AT:AT)</f>
        <v>0</v>
      </c>
      <c r="BW142" s="106">
        <f>+_xlfn.XLOOKUP($BD142,Budget!$A:$A,Budget!AU:AU)</f>
        <v>0</v>
      </c>
      <c r="BX142" s="106">
        <f>+_xlfn.XLOOKUP($BD142,Budget!$A:$A,Budget!AV:AV)</f>
        <v>0</v>
      </c>
      <c r="BY142" s="106">
        <f>+_xlfn.XLOOKUP($BD142,Budget!$A:$A,Budget!AW:AW)</f>
        <v>0</v>
      </c>
      <c r="BZ142" s="106">
        <f>+_xlfn.XLOOKUP($BD142,Budget!$A:$A,Budget!AX:AX)</f>
        <v>0</v>
      </c>
      <c r="CA142" s="106">
        <f>+_xlfn.XLOOKUP($BD142,Budget!$A:$A,Budget!AY:AY)</f>
        <v>0</v>
      </c>
      <c r="CB142" s="106">
        <f>+_xlfn.XLOOKUP($BD142,Budget!$A:$A,Budget!AZ:AZ)</f>
        <v>0</v>
      </c>
      <c r="CC142" s="106">
        <f>+_xlfn.XLOOKUP($BD142,Budget!$A:$A,Budget!BA:BA)</f>
        <v>0</v>
      </c>
      <c r="CD142" s="106">
        <f>+_xlfn.XLOOKUP($BD142,Budget!$A:$A,Budget!BB:BB)</f>
        <v>0</v>
      </c>
      <c r="CE142" s="106">
        <f t="shared" si="621"/>
        <v>0</v>
      </c>
      <c r="CF142" s="22"/>
      <c r="CG142" s="22">
        <v>0</v>
      </c>
      <c r="CH142" s="22">
        <v>0</v>
      </c>
      <c r="CI142" s="22">
        <v>0</v>
      </c>
      <c r="CJ142" s="22">
        <v>0</v>
      </c>
      <c r="CK142" s="22">
        <v>2348.1</v>
      </c>
      <c r="CL142" s="22">
        <v>840</v>
      </c>
      <c r="CM142" s="22">
        <v>0</v>
      </c>
      <c r="CN142" s="22">
        <v>0</v>
      </c>
      <c r="CO142" s="22">
        <v>0</v>
      </c>
      <c r="CP142" s="22">
        <v>0</v>
      </c>
      <c r="CQ142" s="22">
        <v>0</v>
      </c>
      <c r="CR142" s="22">
        <v>0</v>
      </c>
      <c r="CS142" s="106">
        <f t="shared" si="622"/>
        <v>3188.1</v>
      </c>
      <c r="CT142" s="16" t="str">
        <f t="shared" si="595"/>
        <v>Staff Accommedation -Maintanence</v>
      </c>
      <c r="CU142" s="22">
        <f>+VLOOKUP($BD142,'Jan-25'!$A:$J,7,0)</f>
        <v>0</v>
      </c>
      <c r="CV142" s="22">
        <f>+VLOOKUP($BD142,'Feb-25'!$A:$J,7,0)</f>
        <v>36853.700000000004</v>
      </c>
      <c r="CW142" s="22">
        <f>+VLOOKUP($BD142,'Mar-25'!$A:$J,7,0)</f>
        <v>13680.119999999999</v>
      </c>
      <c r="CX142" s="22">
        <f>+VLOOKUP($BD142,'Apr-25'!$A:$J,7,0)</f>
        <v>0</v>
      </c>
      <c r="CY142" s="22">
        <f>+VLOOKUP($BD142,'May-25'!$A:$J,7,0)</f>
        <v>0</v>
      </c>
      <c r="CZ142" s="22">
        <f>+VLOOKUP($BD142,'June-25'!$A:$J,7,0)</f>
        <v>0</v>
      </c>
      <c r="DA142" s="22">
        <f>+VLOOKUP($BD142,'July-25'!$A:$J,7,0)</f>
        <v>12250</v>
      </c>
      <c r="DB142" s="22">
        <f>+VLOOKUP($BD142,'Aug-25'!$A:$J,7,0)</f>
        <v>5084.7449999999999</v>
      </c>
      <c r="DC142" s="22">
        <f>+VLOOKUP($BD142,'Sep-25'!$A:$J,7,0)</f>
        <v>0</v>
      </c>
      <c r="DD142" s="22">
        <f>+VLOOKUP($BD142,'Oct-25'!$A:$J,7,0)</f>
        <v>0</v>
      </c>
      <c r="DE142" s="22">
        <f>+VLOOKUP($BD142,'Nov-25'!$A:$J,7,0)</f>
        <v>0</v>
      </c>
      <c r="DF142" s="22">
        <f>+VLOOKUP($BD142,'Dec-25'!$A:$J,7,0)</f>
        <v>0</v>
      </c>
      <c r="DG142" s="22">
        <f t="shared" si="623"/>
        <v>67868.565000000002</v>
      </c>
      <c r="DH142" s="118">
        <f t="shared" si="478"/>
        <v>0</v>
      </c>
      <c r="DI142" s="22">
        <f>+_xlfn.XLOOKUP($CT142,Budget!$A:$A,Budget!CD:CD)</f>
        <v>0</v>
      </c>
      <c r="DJ142" s="22">
        <f>+_xlfn.XLOOKUP($CT142,Budget!$A:$A,Budget!CE:CE)</f>
        <v>0</v>
      </c>
      <c r="DK142" s="22">
        <f>+_xlfn.XLOOKUP($CT142,Budget!$A:$A,Budget!CF:CF)</f>
        <v>0</v>
      </c>
      <c r="DL142" s="22">
        <f>+_xlfn.XLOOKUP($CT142,Budget!$A:$A,Budget!CG:CG)</f>
        <v>0</v>
      </c>
      <c r="DM142" s="22">
        <f>+_xlfn.XLOOKUP($CT142,Budget!$A:$A,Budget!CH:CH)</f>
        <v>0</v>
      </c>
      <c r="DN142" s="22">
        <f>+_xlfn.XLOOKUP($CT142,Budget!$A:$A,Budget!CI:CI)</f>
        <v>0</v>
      </c>
      <c r="DO142" s="22">
        <f>+_xlfn.XLOOKUP($CT142,Budget!$A:$A,Budget!CJ:CJ)</f>
        <v>0</v>
      </c>
      <c r="DP142" s="22">
        <f>+_xlfn.XLOOKUP($CT142,Budget!$A:$A,Budget!CK:CK)</f>
        <v>0</v>
      </c>
      <c r="DQ142" s="22">
        <f>+_xlfn.XLOOKUP($CT142,Budget!$A:$A,Budget!CL:CL)</f>
        <v>0</v>
      </c>
      <c r="DR142" s="22">
        <f>+_xlfn.XLOOKUP($CT142,Budget!$A:$A,Budget!CM:CM)</f>
        <v>0</v>
      </c>
      <c r="DS142" s="22">
        <f>+_xlfn.XLOOKUP($CT142,Budget!$A:$A,Budget!CN:CN)</f>
        <v>0</v>
      </c>
      <c r="DT142" s="22">
        <f>+_xlfn.XLOOKUP($CT142,Budget!$A:$A,Budget!CO:CO)</f>
        <v>0</v>
      </c>
      <c r="DU142" s="106">
        <f t="shared" si="624"/>
        <v>0</v>
      </c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106">
        <f t="shared" si="625"/>
        <v>0</v>
      </c>
      <c r="EJ142" s="16" t="str">
        <f t="shared" si="601"/>
        <v>Staff Accommedation -Maintanence</v>
      </c>
      <c r="EK142" s="22">
        <f>+VLOOKUP($BD142,'Jan-25'!$A:$J,9,0)</f>
        <v>73500</v>
      </c>
      <c r="EL142" s="22">
        <f>+VLOOKUP($BD142,'Feb-25'!$A:$J,9,0)</f>
        <v>0</v>
      </c>
      <c r="EM142" s="22">
        <f>+VLOOKUP($BD142,'Mar-25'!$A:$J,9,0)</f>
        <v>17337.310000000001</v>
      </c>
      <c r="EN142" s="22">
        <f>+VLOOKUP($BD142,'Apr-25'!$A:$J,9,0)</f>
        <v>0</v>
      </c>
      <c r="EO142" s="22">
        <f>+VLOOKUP($BD142,'May-25'!$A:$J,9,0)</f>
        <v>0</v>
      </c>
      <c r="EP142" s="22">
        <f>+VLOOKUP($BD142,'June-25'!$A:$J,9,0)</f>
        <v>0</v>
      </c>
      <c r="EQ142" s="22">
        <f>+VLOOKUP($BD142,'July-25'!$A:$J,9,0)</f>
        <v>0</v>
      </c>
      <c r="ER142" s="22">
        <f>+VLOOKUP($BD142,'Aug-25'!$A:$J,9,0)</f>
        <v>0</v>
      </c>
      <c r="ES142" s="22">
        <f>+VLOOKUP($BD142,'Sep-25'!$A:$J,9,0)</f>
        <v>0</v>
      </c>
      <c r="ET142" s="22">
        <f>+VLOOKUP($BD142,'Oct-25'!$A:$J,9,0)</f>
        <v>0</v>
      </c>
      <c r="EU142" s="22">
        <f>+VLOOKUP($BD142,'Nov-25'!$A:$J,9,0)</f>
        <v>0</v>
      </c>
      <c r="EV142" s="22">
        <f>+VLOOKUP($BD142,'Dec-25'!$A:$J,9,0)</f>
        <v>0</v>
      </c>
      <c r="EW142" s="22">
        <f t="shared" si="626"/>
        <v>90837.31</v>
      </c>
      <c r="EX142" s="118">
        <f t="shared" si="479"/>
        <v>0</v>
      </c>
      <c r="EY142" s="22">
        <f>+_xlfn.XLOOKUP($EJ142,Budget!$A:$A,Budget!DE:DE)</f>
        <v>0</v>
      </c>
      <c r="EZ142" s="22">
        <f>+_xlfn.XLOOKUP($EJ142,Budget!$A:$A,Budget!DF:DF)</f>
        <v>0</v>
      </c>
      <c r="FA142" s="22">
        <f>+_xlfn.XLOOKUP($EJ142,Budget!$A:$A,Budget!DG:DG)</f>
        <v>0</v>
      </c>
      <c r="FB142" s="22">
        <f>+_xlfn.XLOOKUP($EJ142,Budget!$A:$A,Budget!DH:DH)</f>
        <v>0</v>
      </c>
      <c r="FC142" s="22">
        <f>+_xlfn.XLOOKUP($EJ142,Budget!$A:$A,Budget!DI:DI)</f>
        <v>0</v>
      </c>
      <c r="FD142" s="22">
        <f>+_xlfn.XLOOKUP($EJ142,Budget!$A:$A,Budget!DJ:DJ)</f>
        <v>0</v>
      </c>
      <c r="FE142" s="22">
        <f>+_xlfn.XLOOKUP($EJ142,Budget!$A:$A,Budget!DK:DK)</f>
        <v>0</v>
      </c>
      <c r="FF142" s="22">
        <f>+_xlfn.XLOOKUP($EJ142,Budget!$A:$A,Budget!DL:DL)</f>
        <v>0</v>
      </c>
      <c r="FG142" s="22">
        <f>+_xlfn.XLOOKUP($EJ142,Budget!$A:$A,Budget!DM:DM)</f>
        <v>0</v>
      </c>
      <c r="FH142" s="22">
        <f>+_xlfn.XLOOKUP($EJ142,Budget!$A:$A,Budget!DN:DN)</f>
        <v>0</v>
      </c>
      <c r="FI142" s="22">
        <f>+_xlfn.XLOOKUP($EJ142,Budget!$A:$A,Budget!DO:DO)</f>
        <v>0</v>
      </c>
      <c r="FJ142" s="22">
        <f>+_xlfn.XLOOKUP($EJ142,Budget!$A:$A,Budget!DP:DP)</f>
        <v>0</v>
      </c>
      <c r="FK142" s="106">
        <f t="shared" si="627"/>
        <v>0</v>
      </c>
    </row>
    <row r="143" spans="1:167" ht="14.45" hidden="1" customHeight="1" outlineLevel="2">
      <c r="A143" s="106">
        <f t="shared" si="558"/>
        <v>0</v>
      </c>
      <c r="B143" s="106">
        <f t="shared" si="558"/>
        <v>0</v>
      </c>
      <c r="C143" s="106">
        <f t="shared" si="558"/>
        <v>0</v>
      </c>
      <c r="D143" s="106">
        <f t="shared" si="558"/>
        <v>0</v>
      </c>
      <c r="E143" s="106">
        <f t="shared" si="558"/>
        <v>0</v>
      </c>
      <c r="F143" s="106">
        <f t="shared" si="558"/>
        <v>0</v>
      </c>
      <c r="G143" s="106">
        <f t="shared" si="558"/>
        <v>0</v>
      </c>
      <c r="H143" s="106">
        <f t="shared" si="558"/>
        <v>0</v>
      </c>
      <c r="I143" s="106">
        <f t="shared" si="558"/>
        <v>0</v>
      </c>
      <c r="J143" s="106">
        <f t="shared" si="558"/>
        <v>0</v>
      </c>
      <c r="K143" s="106">
        <f t="shared" si="558"/>
        <v>190000</v>
      </c>
      <c r="L143" s="106">
        <f t="shared" si="558"/>
        <v>0</v>
      </c>
      <c r="M143" s="106">
        <f t="shared" si="614"/>
        <v>190000</v>
      </c>
      <c r="N143" s="16" t="s">
        <v>118</v>
      </c>
      <c r="O143" s="22">
        <f t="shared" si="615"/>
        <v>0</v>
      </c>
      <c r="P143" s="22">
        <f t="shared" si="615"/>
        <v>0</v>
      </c>
      <c r="Q143" s="22">
        <f t="shared" si="615"/>
        <v>0</v>
      </c>
      <c r="R143" s="22">
        <f t="shared" si="615"/>
        <v>0</v>
      </c>
      <c r="S143" s="22">
        <f t="shared" si="615"/>
        <v>0</v>
      </c>
      <c r="T143" s="22">
        <f t="shared" si="615"/>
        <v>0</v>
      </c>
      <c r="U143" s="22">
        <f t="shared" si="615"/>
        <v>0</v>
      </c>
      <c r="V143" s="22">
        <f t="shared" si="615"/>
        <v>0</v>
      </c>
      <c r="W143" s="22">
        <f t="shared" si="615"/>
        <v>0</v>
      </c>
      <c r="X143" s="22">
        <f t="shared" si="615"/>
        <v>0</v>
      </c>
      <c r="Y143" s="22">
        <f t="shared" si="615"/>
        <v>0</v>
      </c>
      <c r="Z143" s="22">
        <f t="shared" si="615"/>
        <v>0</v>
      </c>
      <c r="AA143" s="22">
        <f t="shared" si="616"/>
        <v>0</v>
      </c>
      <c r="AB143" s="118">
        <f t="shared" si="476"/>
        <v>0</v>
      </c>
      <c r="AC143" s="22">
        <f t="shared" si="617"/>
        <v>0</v>
      </c>
      <c r="AD143" s="22">
        <f t="shared" si="617"/>
        <v>0</v>
      </c>
      <c r="AE143" s="22">
        <f t="shared" si="617"/>
        <v>0</v>
      </c>
      <c r="AF143" s="22">
        <f t="shared" si="617"/>
        <v>0</v>
      </c>
      <c r="AG143" s="22">
        <f t="shared" si="617"/>
        <v>0</v>
      </c>
      <c r="AH143" s="22">
        <f t="shared" si="617"/>
        <v>0</v>
      </c>
      <c r="AI143" s="22">
        <f t="shared" si="617"/>
        <v>0</v>
      </c>
      <c r="AJ143" s="22">
        <f t="shared" si="617"/>
        <v>0</v>
      </c>
      <c r="AK143" s="22">
        <f t="shared" si="617"/>
        <v>0</v>
      </c>
      <c r="AL143" s="22">
        <f t="shared" si="617"/>
        <v>0</v>
      </c>
      <c r="AM143" s="22">
        <f t="shared" si="617"/>
        <v>0</v>
      </c>
      <c r="AN143" s="22">
        <f t="shared" si="617"/>
        <v>0</v>
      </c>
      <c r="AO143" s="22">
        <f t="shared" si="618"/>
        <v>0</v>
      </c>
      <c r="AQ143" s="106">
        <v>0</v>
      </c>
      <c r="AR143" s="106">
        <v>0</v>
      </c>
      <c r="AS143" s="106">
        <v>0</v>
      </c>
      <c r="AT143" s="106">
        <v>0</v>
      </c>
      <c r="AU143" s="106">
        <v>0</v>
      </c>
      <c r="AV143" s="106">
        <v>0</v>
      </c>
      <c r="AW143" s="106">
        <v>0</v>
      </c>
      <c r="AX143" s="106">
        <v>0</v>
      </c>
      <c r="AY143" s="106">
        <v>0</v>
      </c>
      <c r="AZ143" s="106">
        <v>0</v>
      </c>
      <c r="BA143" s="106">
        <v>190000</v>
      </c>
      <c r="BB143" s="106">
        <v>0</v>
      </c>
      <c r="BC143" s="106">
        <f t="shared" si="619"/>
        <v>190000</v>
      </c>
      <c r="BD143" s="16" t="str">
        <f t="shared" si="591"/>
        <v>Staff Recruitment Expenses</v>
      </c>
      <c r="BE143" s="22">
        <f>+VLOOKUP($BD143,'Jan-25'!$A:$J,4,0)</f>
        <v>0</v>
      </c>
      <c r="BF143" s="22">
        <f>+VLOOKUP($BD143,'Feb-25'!$A:$J,4,0)</f>
        <v>0</v>
      </c>
      <c r="BG143" s="22">
        <f>+VLOOKUP($BD143,'Mar-25'!$A:$J,4,0)</f>
        <v>0</v>
      </c>
      <c r="BH143" s="22">
        <f>+VLOOKUP($BD143,'Apr-25'!$A:$J,4,0)</f>
        <v>0</v>
      </c>
      <c r="BI143" s="22">
        <f>+VLOOKUP($BD143,'May-25'!$A:$J,4,0)</f>
        <v>0</v>
      </c>
      <c r="BJ143" s="22">
        <f>+VLOOKUP($BD143,'June-25'!$A:$J,4,0)</f>
        <v>0</v>
      </c>
      <c r="BK143" s="22">
        <f>+VLOOKUP($BD143,'July-25'!$A:$J,4,0)</f>
        <v>0</v>
      </c>
      <c r="BL143" s="22">
        <f>+VLOOKUP($BD143,'Aug-25'!$A:$J,4,0)</f>
        <v>0</v>
      </c>
      <c r="BM143" s="22">
        <f>+VLOOKUP($BD143,'Sep-25'!$A:$J,4,0)</f>
        <v>0</v>
      </c>
      <c r="BN143" s="22">
        <f>+VLOOKUP($BD143,'Oct-25'!$A:$J,4,0)</f>
        <v>0</v>
      </c>
      <c r="BO143" s="22">
        <f>+VLOOKUP($BD143,'Nov-25'!$A:$J,4,0)</f>
        <v>0</v>
      </c>
      <c r="BP143" s="22">
        <f>+VLOOKUP($BD143,'Dec-25'!$A:$J,4,0)</f>
        <v>0</v>
      </c>
      <c r="BQ143" s="22">
        <f t="shared" si="620"/>
        <v>0</v>
      </c>
      <c r="BR143" s="118">
        <f t="shared" si="477"/>
        <v>0</v>
      </c>
      <c r="BS143" s="106">
        <f>+_xlfn.XLOOKUP($BD143,Budget!$A:$A,Budget!AQ:AQ)</f>
        <v>0</v>
      </c>
      <c r="BT143" s="106">
        <f>+_xlfn.XLOOKUP($BD143,Budget!$A:$A,Budget!AR:AR)</f>
        <v>0</v>
      </c>
      <c r="BU143" s="106">
        <f>+_xlfn.XLOOKUP($BD143,Budget!$A:$A,Budget!AS:AS)</f>
        <v>0</v>
      </c>
      <c r="BV143" s="106">
        <f>+_xlfn.XLOOKUP($BD143,Budget!$A:$A,Budget!AT:AT)</f>
        <v>0</v>
      </c>
      <c r="BW143" s="106">
        <f>+_xlfn.XLOOKUP($BD143,Budget!$A:$A,Budget!AU:AU)</f>
        <v>0</v>
      </c>
      <c r="BX143" s="106">
        <f>+_xlfn.XLOOKUP($BD143,Budget!$A:$A,Budget!AV:AV)</f>
        <v>0</v>
      </c>
      <c r="BY143" s="106">
        <f>+_xlfn.XLOOKUP($BD143,Budget!$A:$A,Budget!AW:AW)</f>
        <v>0</v>
      </c>
      <c r="BZ143" s="106">
        <f>+_xlfn.XLOOKUP($BD143,Budget!$A:$A,Budget!AX:AX)</f>
        <v>0</v>
      </c>
      <c r="CA143" s="106">
        <f>+_xlfn.XLOOKUP($BD143,Budget!$A:$A,Budget!AY:AY)</f>
        <v>0</v>
      </c>
      <c r="CB143" s="106">
        <f>+_xlfn.XLOOKUP($BD143,Budget!$A:$A,Budget!AZ:AZ)</f>
        <v>0</v>
      </c>
      <c r="CC143" s="106">
        <f>+_xlfn.XLOOKUP($BD143,Budget!$A:$A,Budget!BA:BA)</f>
        <v>0</v>
      </c>
      <c r="CD143" s="106">
        <f>+_xlfn.XLOOKUP($BD143,Budget!$A:$A,Budget!BB:BB)</f>
        <v>0</v>
      </c>
      <c r="CE143" s="106">
        <f t="shared" si="621"/>
        <v>0</v>
      </c>
      <c r="CF143" s="22"/>
      <c r="CG143" s="22">
        <v>0</v>
      </c>
      <c r="CH143" s="22">
        <v>0</v>
      </c>
      <c r="CI143" s="22">
        <v>0</v>
      </c>
      <c r="CJ143" s="22">
        <v>0</v>
      </c>
      <c r="CK143" s="22">
        <v>0</v>
      </c>
      <c r="CL143" s="22">
        <v>0</v>
      </c>
      <c r="CM143" s="22">
        <v>0</v>
      </c>
      <c r="CN143" s="22">
        <v>0</v>
      </c>
      <c r="CO143" s="22">
        <v>0</v>
      </c>
      <c r="CP143" s="22">
        <v>0</v>
      </c>
      <c r="CQ143" s="22">
        <v>0</v>
      </c>
      <c r="CR143" s="22">
        <v>0</v>
      </c>
      <c r="CS143" s="106">
        <f t="shared" si="622"/>
        <v>0</v>
      </c>
      <c r="CT143" s="16" t="str">
        <f t="shared" si="595"/>
        <v>Staff Recruitment Expenses</v>
      </c>
      <c r="CU143" s="22">
        <f>+VLOOKUP($BD143,'Jan-25'!$A:$J,7,0)</f>
        <v>0</v>
      </c>
      <c r="CV143" s="22">
        <f>+VLOOKUP($BD143,'Feb-25'!$A:$J,7,0)</f>
        <v>0</v>
      </c>
      <c r="CW143" s="22">
        <f>+VLOOKUP($BD143,'Mar-25'!$A:$J,7,0)</f>
        <v>0</v>
      </c>
      <c r="CX143" s="22">
        <f>+VLOOKUP($BD143,'Apr-25'!$A:$J,7,0)</f>
        <v>0</v>
      </c>
      <c r="CY143" s="22">
        <f>+VLOOKUP($BD143,'May-25'!$A:$J,7,0)</f>
        <v>0</v>
      </c>
      <c r="CZ143" s="22">
        <f>+VLOOKUP($BD143,'June-25'!$A:$J,7,0)</f>
        <v>0</v>
      </c>
      <c r="DA143" s="22">
        <f>+VLOOKUP($BD143,'July-25'!$A:$J,7,0)</f>
        <v>0</v>
      </c>
      <c r="DB143" s="22">
        <f>+VLOOKUP($BD143,'Aug-25'!$A:$J,7,0)</f>
        <v>0</v>
      </c>
      <c r="DC143" s="22">
        <f>+VLOOKUP($BD143,'Sep-25'!$A:$J,7,0)</f>
        <v>0</v>
      </c>
      <c r="DD143" s="22">
        <f>+VLOOKUP($BD143,'Oct-25'!$A:$J,7,0)</f>
        <v>0</v>
      </c>
      <c r="DE143" s="22">
        <f>+VLOOKUP($BD143,'Nov-25'!$A:$J,7,0)</f>
        <v>0</v>
      </c>
      <c r="DF143" s="22">
        <f>+VLOOKUP($BD143,'Dec-25'!$A:$J,7,0)</f>
        <v>0</v>
      </c>
      <c r="DG143" s="22">
        <f t="shared" si="623"/>
        <v>0</v>
      </c>
      <c r="DH143" s="118">
        <f t="shared" si="478"/>
        <v>0</v>
      </c>
      <c r="DI143" s="22">
        <f>+_xlfn.XLOOKUP($CT143,Budget!$A:$A,Budget!CD:CD)</f>
        <v>0</v>
      </c>
      <c r="DJ143" s="22">
        <f>+_xlfn.XLOOKUP($CT143,Budget!$A:$A,Budget!CE:CE)</f>
        <v>0</v>
      </c>
      <c r="DK143" s="22">
        <f>+_xlfn.XLOOKUP($CT143,Budget!$A:$A,Budget!CF:CF)</f>
        <v>0</v>
      </c>
      <c r="DL143" s="22">
        <f>+_xlfn.XLOOKUP($CT143,Budget!$A:$A,Budget!CG:CG)</f>
        <v>0</v>
      </c>
      <c r="DM143" s="22">
        <f>+_xlfn.XLOOKUP($CT143,Budget!$A:$A,Budget!CH:CH)</f>
        <v>0</v>
      </c>
      <c r="DN143" s="22">
        <f>+_xlfn.XLOOKUP($CT143,Budget!$A:$A,Budget!CI:CI)</f>
        <v>0</v>
      </c>
      <c r="DO143" s="22">
        <f>+_xlfn.XLOOKUP($CT143,Budget!$A:$A,Budget!CJ:CJ)</f>
        <v>0</v>
      </c>
      <c r="DP143" s="22">
        <f>+_xlfn.XLOOKUP($CT143,Budget!$A:$A,Budget!CK:CK)</f>
        <v>0</v>
      </c>
      <c r="DQ143" s="22">
        <f>+_xlfn.XLOOKUP($CT143,Budget!$A:$A,Budget!CL:CL)</f>
        <v>0</v>
      </c>
      <c r="DR143" s="22">
        <f>+_xlfn.XLOOKUP($CT143,Budget!$A:$A,Budget!CM:CM)</f>
        <v>0</v>
      </c>
      <c r="DS143" s="22">
        <f>+_xlfn.XLOOKUP($CT143,Budget!$A:$A,Budget!CN:CN)</f>
        <v>0</v>
      </c>
      <c r="DT143" s="22">
        <f>+_xlfn.XLOOKUP($CT143,Budget!$A:$A,Budget!CO:CO)</f>
        <v>0</v>
      </c>
      <c r="DU143" s="106">
        <f t="shared" si="624"/>
        <v>0</v>
      </c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106">
        <f t="shared" si="625"/>
        <v>0</v>
      </c>
      <c r="EJ143" s="16" t="str">
        <f t="shared" si="601"/>
        <v>Staff Recruitment Expenses</v>
      </c>
      <c r="EK143" s="22">
        <f>+VLOOKUP($BD143,'Jan-25'!$A:$J,9,0)</f>
        <v>0</v>
      </c>
      <c r="EL143" s="22">
        <f>+VLOOKUP($BD143,'Feb-25'!$A:$J,9,0)</f>
        <v>0</v>
      </c>
      <c r="EM143" s="22">
        <f>+VLOOKUP($BD143,'Mar-25'!$A:$J,9,0)</f>
        <v>0</v>
      </c>
      <c r="EN143" s="22">
        <f>+VLOOKUP($BD143,'Apr-25'!$A:$J,9,0)</f>
        <v>0</v>
      </c>
      <c r="EO143" s="22">
        <f>+VLOOKUP($BD143,'May-25'!$A:$J,9,0)</f>
        <v>0</v>
      </c>
      <c r="EP143" s="22">
        <f>+VLOOKUP($BD143,'June-25'!$A:$J,9,0)</f>
        <v>0</v>
      </c>
      <c r="EQ143" s="22">
        <f>+VLOOKUP($BD143,'July-25'!$A:$J,9,0)</f>
        <v>0</v>
      </c>
      <c r="ER143" s="22">
        <f>+VLOOKUP($BD143,'Aug-25'!$A:$J,9,0)</f>
        <v>0</v>
      </c>
      <c r="ES143" s="22">
        <f>+VLOOKUP($BD143,'Sep-25'!$A:$J,9,0)</f>
        <v>0</v>
      </c>
      <c r="ET143" s="22">
        <f>+VLOOKUP($BD143,'Oct-25'!$A:$J,9,0)</f>
        <v>0</v>
      </c>
      <c r="EU143" s="22">
        <f>+VLOOKUP($BD143,'Nov-25'!$A:$J,9,0)</f>
        <v>0</v>
      </c>
      <c r="EV143" s="22">
        <f>+VLOOKUP($BD143,'Dec-25'!$A:$J,9,0)</f>
        <v>0</v>
      </c>
      <c r="EW143" s="22">
        <f t="shared" si="626"/>
        <v>0</v>
      </c>
      <c r="EX143" s="118">
        <f t="shared" si="479"/>
        <v>0</v>
      </c>
      <c r="EY143" s="22">
        <f>+_xlfn.XLOOKUP($EJ143,Budget!$A:$A,Budget!DE:DE)</f>
        <v>0</v>
      </c>
      <c r="EZ143" s="22">
        <f>+_xlfn.XLOOKUP($EJ143,Budget!$A:$A,Budget!DF:DF)</f>
        <v>0</v>
      </c>
      <c r="FA143" s="22">
        <f>+_xlfn.XLOOKUP($EJ143,Budget!$A:$A,Budget!DG:DG)</f>
        <v>0</v>
      </c>
      <c r="FB143" s="22">
        <f>+_xlfn.XLOOKUP($EJ143,Budget!$A:$A,Budget!DH:DH)</f>
        <v>0</v>
      </c>
      <c r="FC143" s="22">
        <f>+_xlfn.XLOOKUP($EJ143,Budget!$A:$A,Budget!DI:DI)</f>
        <v>0</v>
      </c>
      <c r="FD143" s="22">
        <f>+_xlfn.XLOOKUP($EJ143,Budget!$A:$A,Budget!DJ:DJ)</f>
        <v>0</v>
      </c>
      <c r="FE143" s="22">
        <f>+_xlfn.XLOOKUP($EJ143,Budget!$A:$A,Budget!DK:DK)</f>
        <v>0</v>
      </c>
      <c r="FF143" s="22">
        <f>+_xlfn.XLOOKUP($EJ143,Budget!$A:$A,Budget!DL:DL)</f>
        <v>0</v>
      </c>
      <c r="FG143" s="22">
        <f>+_xlfn.XLOOKUP($EJ143,Budget!$A:$A,Budget!DM:DM)</f>
        <v>0</v>
      </c>
      <c r="FH143" s="22">
        <f>+_xlfn.XLOOKUP($EJ143,Budget!$A:$A,Budget!DN:DN)</f>
        <v>0</v>
      </c>
      <c r="FI143" s="22">
        <f>+_xlfn.XLOOKUP($EJ143,Budget!$A:$A,Budget!DO:DO)</f>
        <v>0</v>
      </c>
      <c r="FJ143" s="22">
        <f>+_xlfn.XLOOKUP($EJ143,Budget!$A:$A,Budget!DP:DP)</f>
        <v>0</v>
      </c>
      <c r="FK143" s="106">
        <f t="shared" si="627"/>
        <v>0</v>
      </c>
    </row>
    <row r="144" spans="1:167" ht="14.45" hidden="1" customHeight="1" outlineLevel="2">
      <c r="A144" s="106">
        <f t="shared" si="558"/>
        <v>38264.625</v>
      </c>
      <c r="B144" s="106">
        <f t="shared" si="558"/>
        <v>38264.625</v>
      </c>
      <c r="C144" s="106">
        <f t="shared" si="558"/>
        <v>38264.625</v>
      </c>
      <c r="D144" s="106">
        <f t="shared" si="558"/>
        <v>38264.625</v>
      </c>
      <c r="E144" s="106">
        <f t="shared" si="558"/>
        <v>38264.625</v>
      </c>
      <c r="F144" s="106">
        <f t="shared" si="558"/>
        <v>38264.625</v>
      </c>
      <c r="G144" s="106">
        <f t="shared" si="558"/>
        <v>38264.625</v>
      </c>
      <c r="H144" s="106">
        <f t="shared" si="558"/>
        <v>38264.625</v>
      </c>
      <c r="I144" s="106">
        <f t="shared" si="558"/>
        <v>38264.625</v>
      </c>
      <c r="J144" s="106">
        <f t="shared" si="558"/>
        <v>89227.44</v>
      </c>
      <c r="K144" s="106">
        <f t="shared" si="558"/>
        <v>89227.44</v>
      </c>
      <c r="L144" s="106">
        <f t="shared" si="558"/>
        <v>89227.44</v>
      </c>
      <c r="M144" s="106">
        <f t="shared" si="614"/>
        <v>612063.94500000007</v>
      </c>
      <c r="N144" s="16" t="s">
        <v>119</v>
      </c>
      <c r="O144" s="22">
        <f t="shared" si="615"/>
        <v>63653.583333333328</v>
      </c>
      <c r="P144" s="22">
        <f t="shared" si="615"/>
        <v>63653.583333333328</v>
      </c>
      <c r="Q144" s="22">
        <f t="shared" si="615"/>
        <v>63653.583333333328</v>
      </c>
      <c r="R144" s="22">
        <f t="shared" si="615"/>
        <v>63653.583333333328</v>
      </c>
      <c r="S144" s="22">
        <f t="shared" si="615"/>
        <v>148595.18520000001</v>
      </c>
      <c r="T144" s="22">
        <f t="shared" si="615"/>
        <v>112152.18519999999</v>
      </c>
      <c r="U144" s="22">
        <f t="shared" si="615"/>
        <v>0</v>
      </c>
      <c r="V144" s="22">
        <f t="shared" si="615"/>
        <v>0</v>
      </c>
      <c r="W144" s="22">
        <f t="shared" si="615"/>
        <v>434.09999999999997</v>
      </c>
      <c r="X144" s="22">
        <f t="shared" si="615"/>
        <v>0</v>
      </c>
      <c r="Y144" s="22">
        <f t="shared" si="615"/>
        <v>0</v>
      </c>
      <c r="Z144" s="22">
        <f t="shared" si="615"/>
        <v>0</v>
      </c>
      <c r="AA144" s="22">
        <f t="shared" si="616"/>
        <v>515795.8037333333</v>
      </c>
      <c r="AB144" s="118">
        <f t="shared" si="476"/>
        <v>-1</v>
      </c>
      <c r="AC144" s="22">
        <f t="shared" si="617"/>
        <v>77653.583333333328</v>
      </c>
      <c r="AD144" s="22">
        <f t="shared" si="617"/>
        <v>77653.583333333328</v>
      </c>
      <c r="AE144" s="22">
        <f t="shared" si="617"/>
        <v>77653.583333333328</v>
      </c>
      <c r="AF144" s="22">
        <f t="shared" si="617"/>
        <v>77653.583333333328</v>
      </c>
      <c r="AG144" s="22">
        <f t="shared" si="617"/>
        <v>77653.583333333328</v>
      </c>
      <c r="AH144" s="22">
        <f t="shared" si="617"/>
        <v>77653.583333333328</v>
      </c>
      <c r="AI144" s="22">
        <f t="shared" si="617"/>
        <v>77653.583333333328</v>
      </c>
      <c r="AJ144" s="22">
        <f t="shared" si="617"/>
        <v>77653.583333333328</v>
      </c>
      <c r="AK144" s="22">
        <f t="shared" si="617"/>
        <v>77653.583333333328</v>
      </c>
      <c r="AL144" s="22">
        <f t="shared" si="617"/>
        <v>77653.583333333328</v>
      </c>
      <c r="AM144" s="22">
        <f t="shared" si="617"/>
        <v>77653.583333333328</v>
      </c>
      <c r="AN144" s="22">
        <f t="shared" si="617"/>
        <v>77653.583333333328</v>
      </c>
      <c r="AO144" s="22">
        <f t="shared" si="618"/>
        <v>931843.00000000012</v>
      </c>
      <c r="AQ144" s="106">
        <v>25509.75</v>
      </c>
      <c r="AR144" s="106">
        <v>25509.75</v>
      </c>
      <c r="AS144" s="106">
        <v>25509.75</v>
      </c>
      <c r="AT144" s="106">
        <v>25509.75</v>
      </c>
      <c r="AU144" s="106">
        <v>25509.75</v>
      </c>
      <c r="AV144" s="106">
        <v>25509.75</v>
      </c>
      <c r="AW144" s="106">
        <v>25509.75</v>
      </c>
      <c r="AX144" s="106">
        <v>25509.75</v>
      </c>
      <c r="AY144" s="106">
        <v>25509.75</v>
      </c>
      <c r="AZ144" s="106">
        <v>89227.44</v>
      </c>
      <c r="BA144" s="106">
        <v>89227.44</v>
      </c>
      <c r="BB144" s="106">
        <v>89227.44</v>
      </c>
      <c r="BC144" s="106">
        <f t="shared" si="619"/>
        <v>497270.07</v>
      </c>
      <c r="BD144" s="16" t="str">
        <f t="shared" si="591"/>
        <v>Staff Uniform</v>
      </c>
      <c r="BE144" s="22">
        <f>+VLOOKUP($BD144,'Jan-25'!$A:$J,4,0)</f>
        <v>49201.416666666664</v>
      </c>
      <c r="BF144" s="22">
        <f>+VLOOKUP($BD144,'Feb-25'!$A:$J,4,0)</f>
        <v>49201.416666666664</v>
      </c>
      <c r="BG144" s="22">
        <f>+VLOOKUP($BD144,'Mar-25'!$A:$J,4,0)</f>
        <v>49201.416666666664</v>
      </c>
      <c r="BH144" s="22">
        <f>+VLOOKUP($BD144,'Apr-25'!$A:$J,4,0)</f>
        <v>49201.416666666664</v>
      </c>
      <c r="BI144" s="22">
        <f>+VLOOKUP($BD144,'May-25'!$A:$J,4,0)</f>
        <v>95683.4568</v>
      </c>
      <c r="BJ144" s="22">
        <f>+VLOOKUP($BD144,'June-25'!$A:$J,4,0)</f>
        <v>72391.9568</v>
      </c>
      <c r="BK144" s="22">
        <f>+VLOOKUP($BD144,'July-25'!$A:$J,4,0)</f>
        <v>0</v>
      </c>
      <c r="BL144" s="22">
        <f>+VLOOKUP($BD144,'Aug-25'!$A:$J,4,0)</f>
        <v>0</v>
      </c>
      <c r="BM144" s="22">
        <f>+VLOOKUP($BD144,'Sep-25'!$A:$J,4,0)</f>
        <v>0</v>
      </c>
      <c r="BN144" s="22">
        <f>+VLOOKUP($BD144,'Oct-25'!$A:$J,4,0)</f>
        <v>0</v>
      </c>
      <c r="BO144" s="22">
        <f>+VLOOKUP($BD144,'Nov-25'!$A:$J,4,0)</f>
        <v>0</v>
      </c>
      <c r="BP144" s="22">
        <f>+VLOOKUP($BD144,'Dec-25'!$A:$J,4,0)</f>
        <v>0</v>
      </c>
      <c r="BQ144" s="22">
        <f t="shared" si="620"/>
        <v>364881.08026666666</v>
      </c>
      <c r="BR144" s="118">
        <f t="shared" si="477"/>
        <v>-1</v>
      </c>
      <c r="BS144" s="106">
        <f>+_xlfn.XLOOKUP($BD144,Budget!$A:$A,Budget!AQ:AQ)</f>
        <v>49201.416666666664</v>
      </c>
      <c r="BT144" s="106">
        <f>+_xlfn.XLOOKUP($BD144,Budget!$A:$A,Budget!AR:AR)</f>
        <v>49201.416666666664</v>
      </c>
      <c r="BU144" s="106">
        <f>+_xlfn.XLOOKUP($BD144,Budget!$A:$A,Budget!AS:AS)</f>
        <v>49201.416666666664</v>
      </c>
      <c r="BV144" s="106">
        <f>+_xlfn.XLOOKUP($BD144,Budget!$A:$A,Budget!AT:AT)</f>
        <v>49201.416666666664</v>
      </c>
      <c r="BW144" s="106">
        <f>+_xlfn.XLOOKUP($BD144,Budget!$A:$A,Budget!AU:AU)</f>
        <v>49201.416666666664</v>
      </c>
      <c r="BX144" s="106">
        <f>+_xlfn.XLOOKUP($BD144,Budget!$A:$A,Budget!AV:AV)</f>
        <v>49201.416666666664</v>
      </c>
      <c r="BY144" s="106">
        <f>+_xlfn.XLOOKUP($BD144,Budget!$A:$A,Budget!AW:AW)</f>
        <v>49201.416666666664</v>
      </c>
      <c r="BZ144" s="106">
        <f>+_xlfn.XLOOKUP($BD144,Budget!$A:$A,Budget!AX:AX)</f>
        <v>49201.416666666664</v>
      </c>
      <c r="CA144" s="106">
        <f>+_xlfn.XLOOKUP($BD144,Budget!$A:$A,Budget!AY:AY)</f>
        <v>49201.416666666664</v>
      </c>
      <c r="CB144" s="106">
        <f>+_xlfn.XLOOKUP($BD144,Budget!$A:$A,Budget!AZ:AZ)</f>
        <v>49201.416666666664</v>
      </c>
      <c r="CC144" s="106">
        <f>+_xlfn.XLOOKUP($BD144,Budget!$A:$A,Budget!BA:BA)</f>
        <v>49201.416666666664</v>
      </c>
      <c r="CD144" s="106">
        <f>+_xlfn.XLOOKUP($BD144,Budget!$A:$A,Budget!BB:BB)</f>
        <v>49201.416666666664</v>
      </c>
      <c r="CE144" s="106">
        <f t="shared" si="621"/>
        <v>590417</v>
      </c>
      <c r="CF144" s="22"/>
      <c r="CG144" s="22">
        <v>12754.875</v>
      </c>
      <c r="CH144" s="22">
        <v>12754.875</v>
      </c>
      <c r="CI144" s="22">
        <v>12754.875</v>
      </c>
      <c r="CJ144" s="22">
        <v>12754.875</v>
      </c>
      <c r="CK144" s="22">
        <v>12754.875</v>
      </c>
      <c r="CL144" s="22">
        <v>12754.875</v>
      </c>
      <c r="CM144" s="22">
        <v>12754.875</v>
      </c>
      <c r="CN144" s="22">
        <v>12754.875</v>
      </c>
      <c r="CO144" s="22">
        <v>12754.875</v>
      </c>
      <c r="CP144" s="22">
        <v>0</v>
      </c>
      <c r="CQ144" s="22">
        <v>0</v>
      </c>
      <c r="CR144" s="22">
        <v>0</v>
      </c>
      <c r="CS144" s="106">
        <f t="shared" si="622"/>
        <v>114793.875</v>
      </c>
      <c r="CT144" s="16" t="str">
        <f t="shared" si="595"/>
        <v>Staff Uniform</v>
      </c>
      <c r="CU144" s="22">
        <f>+VLOOKUP($BD144,'Jan-25'!$A:$J,7,0)</f>
        <v>14452.166666666666</v>
      </c>
      <c r="CV144" s="22">
        <f>+VLOOKUP($BD144,'Feb-25'!$A:$J,7,0)</f>
        <v>14452.166666666666</v>
      </c>
      <c r="CW144" s="22">
        <f>+VLOOKUP($BD144,'Mar-25'!$A:$J,7,0)</f>
        <v>14452.166666666666</v>
      </c>
      <c r="CX144" s="22">
        <f>+VLOOKUP($BD144,'Apr-25'!$A:$J,7,0)</f>
        <v>14452.166666666666</v>
      </c>
      <c r="CY144" s="22">
        <f>+VLOOKUP($BD144,'May-25'!$A:$J,7,0)</f>
        <v>52911.7284</v>
      </c>
      <c r="CZ144" s="22">
        <f>+VLOOKUP($BD144,'June-25'!$A:$J,7,0)</f>
        <v>36908.828399999999</v>
      </c>
      <c r="DA144" s="22">
        <f>+VLOOKUP($BD144,'July-25'!$A:$J,7,0)</f>
        <v>0</v>
      </c>
      <c r="DB144" s="22">
        <f>+VLOOKUP($BD144,'Aug-25'!$A:$J,7,0)</f>
        <v>0</v>
      </c>
      <c r="DC144" s="22">
        <f>+VLOOKUP($BD144,'Sep-25'!$A:$J,7,0)</f>
        <v>434.09999999999997</v>
      </c>
      <c r="DD144" s="22">
        <f>+VLOOKUP($BD144,'Oct-25'!$A:$J,7,0)</f>
        <v>0</v>
      </c>
      <c r="DE144" s="22">
        <f>+VLOOKUP($BD144,'Nov-25'!$A:$J,7,0)</f>
        <v>0</v>
      </c>
      <c r="DF144" s="22">
        <f>+VLOOKUP($BD144,'Dec-25'!$A:$J,7,0)</f>
        <v>0</v>
      </c>
      <c r="DG144" s="22">
        <f t="shared" si="623"/>
        <v>148063.32346666665</v>
      </c>
      <c r="DH144" s="118">
        <f t="shared" si="478"/>
        <v>-1</v>
      </c>
      <c r="DI144" s="22">
        <f>+_xlfn.XLOOKUP($CT144,Budget!$A:$A,Budget!CD:CD)</f>
        <v>14452.166666666666</v>
      </c>
      <c r="DJ144" s="22">
        <f>+_xlfn.XLOOKUP($CT144,Budget!$A:$A,Budget!CE:CE)</f>
        <v>14452.166666666666</v>
      </c>
      <c r="DK144" s="22">
        <f>+_xlfn.XLOOKUP($CT144,Budget!$A:$A,Budget!CF:CF)</f>
        <v>14452.166666666666</v>
      </c>
      <c r="DL144" s="22">
        <f>+_xlfn.XLOOKUP($CT144,Budget!$A:$A,Budget!CG:CG)</f>
        <v>14452.166666666666</v>
      </c>
      <c r="DM144" s="22">
        <f>+_xlfn.XLOOKUP($CT144,Budget!$A:$A,Budget!CH:CH)</f>
        <v>14452.166666666666</v>
      </c>
      <c r="DN144" s="22">
        <f>+_xlfn.XLOOKUP($CT144,Budget!$A:$A,Budget!CI:CI)</f>
        <v>14452.166666666666</v>
      </c>
      <c r="DO144" s="22">
        <f>+_xlfn.XLOOKUP($CT144,Budget!$A:$A,Budget!CJ:CJ)</f>
        <v>14452.166666666666</v>
      </c>
      <c r="DP144" s="22">
        <f>+_xlfn.XLOOKUP($CT144,Budget!$A:$A,Budget!CK:CK)</f>
        <v>14452.166666666666</v>
      </c>
      <c r="DQ144" s="22">
        <f>+_xlfn.XLOOKUP($CT144,Budget!$A:$A,Budget!CL:CL)</f>
        <v>14452.166666666666</v>
      </c>
      <c r="DR144" s="22">
        <f>+_xlfn.XLOOKUP($CT144,Budget!$A:$A,Budget!CM:CM)</f>
        <v>14452.166666666666</v>
      </c>
      <c r="DS144" s="22">
        <f>+_xlfn.XLOOKUP($CT144,Budget!$A:$A,Budget!CN:CN)</f>
        <v>14452.166666666666</v>
      </c>
      <c r="DT144" s="22">
        <f>+_xlfn.XLOOKUP($CT144,Budget!$A:$A,Budget!CO:CO)</f>
        <v>14452.166666666666</v>
      </c>
      <c r="DU144" s="106">
        <f t="shared" si="624"/>
        <v>173426</v>
      </c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106">
        <f t="shared" si="625"/>
        <v>0</v>
      </c>
      <c r="EJ144" s="16" t="str">
        <f t="shared" si="601"/>
        <v>Staff Uniform</v>
      </c>
      <c r="EK144" s="22">
        <f>+VLOOKUP($BD144,'Jan-25'!$A:$J,9,0)</f>
        <v>0</v>
      </c>
      <c r="EL144" s="22">
        <f>+VLOOKUP($BD144,'Feb-25'!$A:$J,9,0)</f>
        <v>0</v>
      </c>
      <c r="EM144" s="22">
        <f>+VLOOKUP($BD144,'Mar-25'!$A:$J,9,0)</f>
        <v>0</v>
      </c>
      <c r="EN144" s="22">
        <f>+VLOOKUP($BD144,'Apr-25'!$A:$J,9,0)</f>
        <v>0</v>
      </c>
      <c r="EO144" s="22">
        <f>+VLOOKUP($BD144,'May-25'!$A:$J,9,0)</f>
        <v>0</v>
      </c>
      <c r="EP144" s="22">
        <f>+VLOOKUP($BD144,'June-25'!$A:$J,9,0)</f>
        <v>2851.4</v>
      </c>
      <c r="EQ144" s="22">
        <f>+VLOOKUP($BD144,'July-25'!$A:$J,9,0)</f>
        <v>0</v>
      </c>
      <c r="ER144" s="22">
        <f>+VLOOKUP($BD144,'Aug-25'!$A:$J,9,0)</f>
        <v>0</v>
      </c>
      <c r="ES144" s="22">
        <f>+VLOOKUP($BD144,'Sep-25'!$A:$J,9,0)</f>
        <v>0</v>
      </c>
      <c r="ET144" s="22">
        <f>+VLOOKUP($BD144,'Oct-25'!$A:$J,9,0)</f>
        <v>0</v>
      </c>
      <c r="EU144" s="22">
        <f>+VLOOKUP($BD144,'Nov-25'!$A:$J,9,0)</f>
        <v>0</v>
      </c>
      <c r="EV144" s="22">
        <f>+VLOOKUP($BD144,'Dec-25'!$A:$J,9,0)</f>
        <v>0</v>
      </c>
      <c r="EW144" s="22">
        <f t="shared" si="626"/>
        <v>2851.4</v>
      </c>
      <c r="EX144" s="118">
        <f t="shared" si="479"/>
        <v>-1</v>
      </c>
      <c r="EY144" s="22">
        <f>+_xlfn.XLOOKUP($EJ144,Budget!$A:$A,Budget!DE:DE)</f>
        <v>14000</v>
      </c>
      <c r="EZ144" s="22">
        <f>+_xlfn.XLOOKUP($EJ144,Budget!$A:$A,Budget!DF:DF)</f>
        <v>14000</v>
      </c>
      <c r="FA144" s="22">
        <f>+_xlfn.XLOOKUP($EJ144,Budget!$A:$A,Budget!DG:DG)</f>
        <v>14000</v>
      </c>
      <c r="FB144" s="22">
        <f>+_xlfn.XLOOKUP($EJ144,Budget!$A:$A,Budget!DH:DH)</f>
        <v>14000</v>
      </c>
      <c r="FC144" s="22">
        <f>+_xlfn.XLOOKUP($EJ144,Budget!$A:$A,Budget!DI:DI)</f>
        <v>14000</v>
      </c>
      <c r="FD144" s="22">
        <f>+_xlfn.XLOOKUP($EJ144,Budget!$A:$A,Budget!DJ:DJ)</f>
        <v>14000</v>
      </c>
      <c r="FE144" s="22">
        <f>+_xlfn.XLOOKUP($EJ144,Budget!$A:$A,Budget!DK:DK)</f>
        <v>14000</v>
      </c>
      <c r="FF144" s="22">
        <f>+_xlfn.XLOOKUP($EJ144,Budget!$A:$A,Budget!DL:DL)</f>
        <v>14000</v>
      </c>
      <c r="FG144" s="22">
        <f>+_xlfn.XLOOKUP($EJ144,Budget!$A:$A,Budget!DM:DM)</f>
        <v>14000</v>
      </c>
      <c r="FH144" s="22">
        <f>+_xlfn.XLOOKUP($EJ144,Budget!$A:$A,Budget!DN:DN)</f>
        <v>14000</v>
      </c>
      <c r="FI144" s="22">
        <f>+_xlfn.XLOOKUP($EJ144,Budget!$A:$A,Budget!DO:DO)</f>
        <v>14000</v>
      </c>
      <c r="FJ144" s="22">
        <f>+_xlfn.XLOOKUP($EJ144,Budget!$A:$A,Budget!DP:DP)</f>
        <v>14000</v>
      </c>
      <c r="FK144" s="106">
        <f t="shared" si="627"/>
        <v>168000</v>
      </c>
    </row>
    <row r="145" spans="1:167" ht="14.45" hidden="1" customHeight="1" outlineLevel="2">
      <c r="A145" s="106">
        <f t="shared" si="558"/>
        <v>1463.3999999999999</v>
      </c>
      <c r="B145" s="106">
        <f t="shared" si="558"/>
        <v>0</v>
      </c>
      <c r="C145" s="106">
        <f t="shared" si="558"/>
        <v>3908.3</v>
      </c>
      <c r="D145" s="106">
        <f t="shared" si="558"/>
        <v>30170</v>
      </c>
      <c r="E145" s="106">
        <f t="shared" si="558"/>
        <v>12560.909999999998</v>
      </c>
      <c r="F145" s="106">
        <f t="shared" si="558"/>
        <v>86600</v>
      </c>
      <c r="G145" s="106">
        <f t="shared" si="558"/>
        <v>13238</v>
      </c>
      <c r="H145" s="106">
        <f t="shared" si="558"/>
        <v>1375</v>
      </c>
      <c r="I145" s="106">
        <f t="shared" si="558"/>
        <v>38802.400000000001</v>
      </c>
      <c r="J145" s="106">
        <f t="shared" si="558"/>
        <v>18752.7</v>
      </c>
      <c r="K145" s="106">
        <f t="shared" si="558"/>
        <v>0</v>
      </c>
      <c r="L145" s="106">
        <f t="shared" si="558"/>
        <v>261</v>
      </c>
      <c r="M145" s="106">
        <f t="shared" si="614"/>
        <v>207131.71</v>
      </c>
      <c r="N145" s="16" t="s">
        <v>120</v>
      </c>
      <c r="O145" s="22">
        <f t="shared" si="615"/>
        <v>1835</v>
      </c>
      <c r="P145" s="22">
        <f t="shared" si="615"/>
        <v>49615</v>
      </c>
      <c r="Q145" s="22">
        <f t="shared" si="615"/>
        <v>39665</v>
      </c>
      <c r="R145" s="22">
        <f t="shared" si="615"/>
        <v>0</v>
      </c>
      <c r="S145" s="22">
        <f t="shared" si="615"/>
        <v>0</v>
      </c>
      <c r="T145" s="22">
        <f t="shared" si="615"/>
        <v>4400</v>
      </c>
      <c r="U145" s="22">
        <f t="shared" si="615"/>
        <v>0</v>
      </c>
      <c r="V145" s="22">
        <f t="shared" si="615"/>
        <v>2700</v>
      </c>
      <c r="W145" s="22">
        <f t="shared" si="615"/>
        <v>75509.67</v>
      </c>
      <c r="X145" s="22">
        <f t="shared" si="615"/>
        <v>12500</v>
      </c>
      <c r="Y145" s="22">
        <f t="shared" si="615"/>
        <v>0</v>
      </c>
      <c r="Z145" s="22">
        <f t="shared" si="615"/>
        <v>0</v>
      </c>
      <c r="AA145" s="22">
        <f t="shared" si="616"/>
        <v>186224.66999999998</v>
      </c>
      <c r="AB145" s="118">
        <f t="shared" si="476"/>
        <v>-0.96962486710879359</v>
      </c>
      <c r="AC145" s="22">
        <f t="shared" si="617"/>
        <v>7270.8333333333339</v>
      </c>
      <c r="AD145" s="22">
        <f t="shared" si="617"/>
        <v>7270.8333333333339</v>
      </c>
      <c r="AE145" s="22">
        <f t="shared" si="617"/>
        <v>38770.833333333328</v>
      </c>
      <c r="AF145" s="22">
        <f t="shared" si="617"/>
        <v>80770.833333333343</v>
      </c>
      <c r="AG145" s="22">
        <f t="shared" si="617"/>
        <v>7270.8333333333339</v>
      </c>
      <c r="AH145" s="22">
        <f t="shared" si="617"/>
        <v>12520.833333333334</v>
      </c>
      <c r="AI145" s="22">
        <f t="shared" si="617"/>
        <v>7270.8333333333339</v>
      </c>
      <c r="AJ145" s="22">
        <f t="shared" si="617"/>
        <v>7270.8333333333339</v>
      </c>
      <c r="AK145" s="22">
        <f t="shared" si="617"/>
        <v>38770.833333333328</v>
      </c>
      <c r="AL145" s="22">
        <f t="shared" si="617"/>
        <v>411520.83333333337</v>
      </c>
      <c r="AM145" s="22">
        <f t="shared" si="617"/>
        <v>7270.8333333333339</v>
      </c>
      <c r="AN145" s="22">
        <f t="shared" si="617"/>
        <v>52520.833333333328</v>
      </c>
      <c r="AO145" s="22">
        <f t="shared" si="618"/>
        <v>678500.00000000023</v>
      </c>
      <c r="AQ145" s="106">
        <v>0</v>
      </c>
      <c r="AR145" s="106">
        <v>0</v>
      </c>
      <c r="AS145" s="106">
        <v>2657</v>
      </c>
      <c r="AT145" s="106">
        <v>24170</v>
      </c>
      <c r="AU145" s="106">
        <v>9173.9399999999987</v>
      </c>
      <c r="AV145" s="106">
        <v>51960</v>
      </c>
      <c r="AW145" s="106">
        <v>6860</v>
      </c>
      <c r="AX145" s="106">
        <v>1375</v>
      </c>
      <c r="AY145" s="106">
        <v>32770</v>
      </c>
      <c r="AZ145" s="106">
        <v>12000</v>
      </c>
      <c r="BA145" s="106">
        <v>0</v>
      </c>
      <c r="BB145" s="106">
        <v>261</v>
      </c>
      <c r="BC145" s="106">
        <f t="shared" si="619"/>
        <v>141226.94</v>
      </c>
      <c r="BD145" s="16" t="str">
        <f t="shared" si="591"/>
        <v>Staff Welfare Expenses</v>
      </c>
      <c r="BE145" s="22">
        <f>+VLOOKUP($BD145,'Jan-25'!$A:$J,4,0)</f>
        <v>1610</v>
      </c>
      <c r="BF145" s="22">
        <f>+VLOOKUP($BD145,'Feb-25'!$A:$J,4,0)</f>
        <v>40175</v>
      </c>
      <c r="BG145" s="22">
        <f>+VLOOKUP($BD145,'Mar-25'!$A:$J,4,0)</f>
        <v>29556</v>
      </c>
      <c r="BH145" s="22">
        <f>+VLOOKUP($BD145,'Apr-25'!$A:$J,4,0)</f>
        <v>0</v>
      </c>
      <c r="BI145" s="22">
        <f>+VLOOKUP($BD145,'May-25'!$A:$J,4,0)</f>
        <v>0</v>
      </c>
      <c r="BJ145" s="22">
        <f>+VLOOKUP($BD145,'June-25'!$A:$J,4,0)</f>
        <v>3900</v>
      </c>
      <c r="BK145" s="22">
        <f>+VLOOKUP($BD145,'July-25'!$A:$J,4,0)</f>
        <v>0</v>
      </c>
      <c r="BL145" s="22">
        <f>+VLOOKUP($BD145,'Aug-25'!$A:$J,4,0)</f>
        <v>2700</v>
      </c>
      <c r="BM145" s="22">
        <f>+VLOOKUP($BD145,'Sep-25'!$A:$J,4,0)</f>
        <v>45802.77</v>
      </c>
      <c r="BN145" s="22">
        <f>+VLOOKUP($BD145,'Oct-25'!$A:$J,4,0)</f>
        <v>0</v>
      </c>
      <c r="BO145" s="22">
        <f>+VLOOKUP($BD145,'Nov-25'!$A:$J,4,0)</f>
        <v>0</v>
      </c>
      <c r="BP145" s="22">
        <f>+VLOOKUP($BD145,'Dec-25'!$A:$J,4,0)</f>
        <v>0</v>
      </c>
      <c r="BQ145" s="22">
        <f t="shared" si="620"/>
        <v>123743.76999999999</v>
      </c>
      <c r="BR145" s="118">
        <f t="shared" si="477"/>
        <v>-1</v>
      </c>
      <c r="BS145" s="106">
        <f>+_xlfn.XLOOKUP($BD145,Budget!$A:$A,Budget!AQ:AQ)</f>
        <v>3989.5833333333335</v>
      </c>
      <c r="BT145" s="106">
        <f>+_xlfn.XLOOKUP($BD145,Budget!$A:$A,Budget!AR:AR)</f>
        <v>3989.5833333333335</v>
      </c>
      <c r="BU145" s="106">
        <f>+_xlfn.XLOOKUP($BD145,Budget!$A:$A,Budget!AS:AS)</f>
        <v>21239.583333333332</v>
      </c>
      <c r="BV145" s="106">
        <f>+_xlfn.XLOOKUP($BD145,Budget!$A:$A,Budget!AT:AT)</f>
        <v>44239.583333333336</v>
      </c>
      <c r="BW145" s="106">
        <f>+_xlfn.XLOOKUP($BD145,Budget!$A:$A,Budget!AU:AU)</f>
        <v>3989.5833333333335</v>
      </c>
      <c r="BX145" s="106">
        <f>+_xlfn.XLOOKUP($BD145,Budget!$A:$A,Budget!AV:AV)</f>
        <v>6864.5833333333339</v>
      </c>
      <c r="BY145" s="106">
        <f>+_xlfn.XLOOKUP($BD145,Budget!$A:$A,Budget!AW:AW)</f>
        <v>3989.5833333333335</v>
      </c>
      <c r="BZ145" s="106">
        <f>+_xlfn.XLOOKUP($BD145,Budget!$A:$A,Budget!AX:AX)</f>
        <v>3989.5833333333335</v>
      </c>
      <c r="CA145" s="106">
        <f>+_xlfn.XLOOKUP($BD145,Budget!$A:$A,Budget!AY:AY)</f>
        <v>21239.583333333332</v>
      </c>
      <c r="CB145" s="106">
        <f>+_xlfn.XLOOKUP($BD145,Budget!$A:$A,Budget!AZ:AZ)</f>
        <v>225364.58333333334</v>
      </c>
      <c r="CC145" s="106">
        <f>+_xlfn.XLOOKUP($BD145,Budget!$A:$A,Budget!BA:BA)</f>
        <v>3989.5833333333335</v>
      </c>
      <c r="CD145" s="106">
        <f>+_xlfn.XLOOKUP($BD145,Budget!$A:$A,Budget!BB:BB)</f>
        <v>26864.583333333336</v>
      </c>
      <c r="CE145" s="106">
        <f t="shared" si="621"/>
        <v>369749.99999999994</v>
      </c>
      <c r="CF145" s="22"/>
      <c r="CG145" s="22">
        <v>1463.3999999999999</v>
      </c>
      <c r="CH145" s="22">
        <v>0</v>
      </c>
      <c r="CI145" s="22">
        <v>1251.3</v>
      </c>
      <c r="CJ145" s="22">
        <v>6000</v>
      </c>
      <c r="CK145" s="22">
        <v>3386.97</v>
      </c>
      <c r="CL145" s="22">
        <v>34640</v>
      </c>
      <c r="CM145" s="22">
        <v>6378</v>
      </c>
      <c r="CN145" s="22">
        <v>0</v>
      </c>
      <c r="CO145" s="22">
        <v>6032.4</v>
      </c>
      <c r="CP145" s="22">
        <v>6752.7</v>
      </c>
      <c r="CQ145" s="22">
        <v>0</v>
      </c>
      <c r="CR145" s="22">
        <v>0</v>
      </c>
      <c r="CS145" s="106">
        <f t="shared" si="622"/>
        <v>65904.77</v>
      </c>
      <c r="CT145" s="16" t="str">
        <f t="shared" si="595"/>
        <v>Staff Welfare Expenses</v>
      </c>
      <c r="CU145" s="22">
        <f>+VLOOKUP($BD145,'Jan-25'!$A:$J,7,0)</f>
        <v>225</v>
      </c>
      <c r="CV145" s="22">
        <f>+VLOOKUP($BD145,'Feb-25'!$A:$J,7,0)</f>
        <v>0</v>
      </c>
      <c r="CW145" s="22">
        <f>+VLOOKUP($BD145,'Mar-25'!$A:$J,7,0)</f>
        <v>0</v>
      </c>
      <c r="CX145" s="22">
        <f>+VLOOKUP($BD145,'Apr-25'!$A:$J,7,0)</f>
        <v>0</v>
      </c>
      <c r="CY145" s="22">
        <f>+VLOOKUP($BD145,'May-25'!$A:$J,7,0)</f>
        <v>0</v>
      </c>
      <c r="CZ145" s="22">
        <f>+VLOOKUP($BD145,'June-25'!$A:$J,7,0)</f>
        <v>0</v>
      </c>
      <c r="DA145" s="22">
        <f>+VLOOKUP($BD145,'July-25'!$A:$J,7,0)</f>
        <v>0</v>
      </c>
      <c r="DB145" s="22">
        <f>+VLOOKUP($BD145,'Aug-25'!$A:$J,7,0)</f>
        <v>0</v>
      </c>
      <c r="DC145" s="22">
        <f>+VLOOKUP($BD145,'Sep-25'!$A:$J,7,0)</f>
        <v>13324.5</v>
      </c>
      <c r="DD145" s="22">
        <f>+VLOOKUP($BD145,'Oct-25'!$A:$J,7,0)</f>
        <v>7500</v>
      </c>
      <c r="DE145" s="22">
        <f>+VLOOKUP($BD145,'Nov-25'!$A:$J,7,0)</f>
        <v>0</v>
      </c>
      <c r="DF145" s="22">
        <f>+VLOOKUP($BD145,'Dec-25'!$A:$J,7,0)</f>
        <v>0</v>
      </c>
      <c r="DG145" s="22">
        <f t="shared" si="623"/>
        <v>21049.5</v>
      </c>
      <c r="DH145" s="118">
        <f t="shared" si="478"/>
        <v>-0.93954659949622166</v>
      </c>
      <c r="DI145" s="22">
        <f>+_xlfn.XLOOKUP($CT145,Budget!$A:$A,Budget!CD:CD)</f>
        <v>2145.8333333333335</v>
      </c>
      <c r="DJ145" s="22">
        <f>+_xlfn.XLOOKUP($CT145,Budget!$A:$A,Budget!CE:CE)</f>
        <v>2145.8333333333335</v>
      </c>
      <c r="DK145" s="22">
        <f>+_xlfn.XLOOKUP($CT145,Budget!$A:$A,Budget!CF:CF)</f>
        <v>11645.833333333334</v>
      </c>
      <c r="DL145" s="22">
        <f>+_xlfn.XLOOKUP($CT145,Budget!$A:$A,Budget!CG:CG)</f>
        <v>24312.5</v>
      </c>
      <c r="DM145" s="22">
        <f>+_xlfn.XLOOKUP($CT145,Budget!$A:$A,Budget!CH:CH)</f>
        <v>2145.8333333333335</v>
      </c>
      <c r="DN145" s="22">
        <f>+_xlfn.XLOOKUP($CT145,Budget!$A:$A,Budget!CI:CI)</f>
        <v>3729.166666666667</v>
      </c>
      <c r="DO145" s="22">
        <f>+_xlfn.XLOOKUP($CT145,Budget!$A:$A,Budget!CJ:CJ)</f>
        <v>2145.8333333333335</v>
      </c>
      <c r="DP145" s="22">
        <f>+_xlfn.XLOOKUP($CT145,Budget!$A:$A,Budget!CK:CK)</f>
        <v>2145.8333333333335</v>
      </c>
      <c r="DQ145" s="22">
        <f>+_xlfn.XLOOKUP($CT145,Budget!$A:$A,Budget!CL:CL)</f>
        <v>11645.833333333334</v>
      </c>
      <c r="DR145" s="22">
        <f>+_xlfn.XLOOKUP($CT145,Budget!$A:$A,Budget!CM:CM)</f>
        <v>124062.5</v>
      </c>
      <c r="DS145" s="22">
        <f>+_xlfn.XLOOKUP($CT145,Budget!$A:$A,Budget!CN:CN)</f>
        <v>2145.8333333333335</v>
      </c>
      <c r="DT145" s="22">
        <f>+_xlfn.XLOOKUP($CT145,Budget!$A:$A,Budget!CO:CO)</f>
        <v>13729.166666666668</v>
      </c>
      <c r="DU145" s="106">
        <f t="shared" si="624"/>
        <v>202000</v>
      </c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106">
        <f t="shared" si="625"/>
        <v>0</v>
      </c>
      <c r="EJ145" s="16" t="str">
        <f t="shared" si="601"/>
        <v>Staff Welfare Expenses</v>
      </c>
      <c r="EK145" s="22">
        <f>+VLOOKUP($BD145,'Jan-25'!$A:$J,9,0)</f>
        <v>0</v>
      </c>
      <c r="EL145" s="22">
        <f>+VLOOKUP($BD145,'Feb-25'!$A:$J,9,0)</f>
        <v>9440</v>
      </c>
      <c r="EM145" s="22">
        <f>+VLOOKUP($BD145,'Mar-25'!$A:$J,9,0)</f>
        <v>10109</v>
      </c>
      <c r="EN145" s="22">
        <f>+VLOOKUP($BD145,'Apr-25'!$A:$J,9,0)</f>
        <v>0</v>
      </c>
      <c r="EO145" s="22">
        <f>+VLOOKUP($BD145,'May-25'!$A:$J,9,0)</f>
        <v>0</v>
      </c>
      <c r="EP145" s="22">
        <f>+VLOOKUP($BD145,'June-25'!$A:$J,9,0)</f>
        <v>500</v>
      </c>
      <c r="EQ145" s="22">
        <f>+VLOOKUP($BD145,'July-25'!$A:$J,9,0)</f>
        <v>0</v>
      </c>
      <c r="ER145" s="22">
        <f>+VLOOKUP($BD145,'Aug-25'!$A:$J,9,0)</f>
        <v>0</v>
      </c>
      <c r="ES145" s="22">
        <f>+VLOOKUP($BD145,'Sep-25'!$A:$J,9,0)</f>
        <v>16382.4</v>
      </c>
      <c r="ET145" s="22">
        <f>+VLOOKUP($BD145,'Oct-25'!$A:$J,9,0)</f>
        <v>5000</v>
      </c>
      <c r="EU145" s="22">
        <f>+VLOOKUP($BD145,'Nov-25'!$A:$J,9,0)</f>
        <v>0</v>
      </c>
      <c r="EV145" s="22">
        <f>+VLOOKUP($BD145,'Dec-25'!$A:$J,9,0)</f>
        <v>0</v>
      </c>
      <c r="EW145" s="22">
        <f t="shared" si="626"/>
        <v>41431.4</v>
      </c>
      <c r="EX145" s="118">
        <f t="shared" si="479"/>
        <v>-0.91947659788626068</v>
      </c>
      <c r="EY145" s="22">
        <f>+_xlfn.XLOOKUP($EJ145,Budget!$A:$A,Budget!DE:DE)</f>
        <v>1135.4166666666667</v>
      </c>
      <c r="EZ145" s="22">
        <f>+_xlfn.XLOOKUP($EJ145,Budget!$A:$A,Budget!DF:DF)</f>
        <v>1135.4166666666667</v>
      </c>
      <c r="FA145" s="22">
        <f>+_xlfn.XLOOKUP($EJ145,Budget!$A:$A,Budget!DG:DG)</f>
        <v>5885.416666666667</v>
      </c>
      <c r="FB145" s="22">
        <f>+_xlfn.XLOOKUP($EJ145,Budget!$A:$A,Budget!DH:DH)</f>
        <v>12218.75</v>
      </c>
      <c r="FC145" s="22">
        <f>+_xlfn.XLOOKUP($EJ145,Budget!$A:$A,Budget!DI:DI)</f>
        <v>1135.4166666666667</v>
      </c>
      <c r="FD145" s="22">
        <f>+_xlfn.XLOOKUP($EJ145,Budget!$A:$A,Budget!DJ:DJ)</f>
        <v>1927.0833333333335</v>
      </c>
      <c r="FE145" s="22">
        <f>+_xlfn.XLOOKUP($EJ145,Budget!$A:$A,Budget!DK:DK)</f>
        <v>1135.4166666666667</v>
      </c>
      <c r="FF145" s="22">
        <f>+_xlfn.XLOOKUP($EJ145,Budget!$A:$A,Budget!DL:DL)</f>
        <v>1135.4166666666667</v>
      </c>
      <c r="FG145" s="22">
        <f>+_xlfn.XLOOKUP($EJ145,Budget!$A:$A,Budget!DM:DM)</f>
        <v>5885.416666666667</v>
      </c>
      <c r="FH145" s="22">
        <f>+_xlfn.XLOOKUP($EJ145,Budget!$A:$A,Budget!DN:DN)</f>
        <v>62093.75</v>
      </c>
      <c r="FI145" s="22">
        <f>+_xlfn.XLOOKUP($EJ145,Budget!$A:$A,Budget!DO:DO)</f>
        <v>1135.4166666666667</v>
      </c>
      <c r="FJ145" s="22">
        <f>+_xlfn.XLOOKUP($EJ145,Budget!$A:$A,Budget!DP:DP)</f>
        <v>11927.083333333332</v>
      </c>
      <c r="FK145" s="106">
        <f t="shared" si="627"/>
        <v>106750</v>
      </c>
    </row>
    <row r="146" spans="1:167" ht="14.45" hidden="1" customHeight="1" outlineLevel="1" collapsed="1">
      <c r="A146" s="58">
        <f t="shared" ref="A146:M146" si="628">+SUM(A147:A149)</f>
        <v>115842</v>
      </c>
      <c r="B146" s="58">
        <f t="shared" si="628"/>
        <v>113533</v>
      </c>
      <c r="C146" s="58">
        <f t="shared" si="628"/>
        <v>105417</v>
      </c>
      <c r="D146" s="58">
        <f t="shared" si="628"/>
        <v>68937</v>
      </c>
      <c r="E146" s="58">
        <f t="shared" si="628"/>
        <v>174273</v>
      </c>
      <c r="F146" s="58">
        <f t="shared" si="628"/>
        <v>92633</v>
      </c>
      <c r="G146" s="58">
        <f t="shared" si="628"/>
        <v>152366</v>
      </c>
      <c r="H146" s="58">
        <f t="shared" si="628"/>
        <v>113823</v>
      </c>
      <c r="I146" s="58">
        <f t="shared" si="628"/>
        <v>86694</v>
      </c>
      <c r="J146" s="58">
        <f t="shared" si="628"/>
        <v>117657</v>
      </c>
      <c r="K146" s="58">
        <f t="shared" si="628"/>
        <v>153591</v>
      </c>
      <c r="L146" s="58">
        <f t="shared" si="628"/>
        <v>64641.5</v>
      </c>
      <c r="M146" s="58">
        <f t="shared" si="628"/>
        <v>1359407.5</v>
      </c>
      <c r="N146" s="20" t="s">
        <v>121</v>
      </c>
      <c r="O146" s="28">
        <f t="shared" ref="O146:AA146" si="629">+SUM(O147:O149)</f>
        <v>107948</v>
      </c>
      <c r="P146" s="28">
        <f t="shared" si="629"/>
        <v>88837</v>
      </c>
      <c r="Q146" s="28">
        <f t="shared" si="629"/>
        <v>84919</v>
      </c>
      <c r="R146" s="28">
        <f t="shared" si="629"/>
        <v>86435</v>
      </c>
      <c r="S146" s="28">
        <f t="shared" si="629"/>
        <v>80376</v>
      </c>
      <c r="T146" s="28">
        <f t="shared" si="629"/>
        <v>147153</v>
      </c>
      <c r="U146" s="28">
        <f t="shared" si="629"/>
        <v>42626</v>
      </c>
      <c r="V146" s="28">
        <f t="shared" si="629"/>
        <v>175327</v>
      </c>
      <c r="W146" s="28">
        <f t="shared" si="629"/>
        <v>57538</v>
      </c>
      <c r="X146" s="28">
        <f t="shared" si="629"/>
        <v>177995</v>
      </c>
      <c r="Y146" s="28">
        <f t="shared" si="629"/>
        <v>0</v>
      </c>
      <c r="Z146" s="28">
        <f t="shared" si="629"/>
        <v>0</v>
      </c>
      <c r="AA146" s="28">
        <f t="shared" si="629"/>
        <v>1049154</v>
      </c>
      <c r="AB146" s="118">
        <f t="shared" si="476"/>
        <v>0.49481874341208876</v>
      </c>
      <c r="AC146" s="28">
        <f t="shared" ref="AC146:AO146" si="630">+SUM(AC147:AC149)</f>
        <v>119074.63750000001</v>
      </c>
      <c r="AD146" s="28">
        <f t="shared" si="630"/>
        <v>119074.63750000001</v>
      </c>
      <c r="AE146" s="28">
        <f t="shared" si="630"/>
        <v>119074.63750000001</v>
      </c>
      <c r="AF146" s="28">
        <f t="shared" si="630"/>
        <v>119074.63750000001</v>
      </c>
      <c r="AG146" s="28">
        <f t="shared" si="630"/>
        <v>119074.63750000001</v>
      </c>
      <c r="AH146" s="28">
        <f t="shared" si="630"/>
        <v>119074.63750000001</v>
      </c>
      <c r="AI146" s="28">
        <f t="shared" si="630"/>
        <v>119074.63750000001</v>
      </c>
      <c r="AJ146" s="28">
        <f t="shared" si="630"/>
        <v>119074.63750000001</v>
      </c>
      <c r="AK146" s="28">
        <f t="shared" si="630"/>
        <v>119074.63750000001</v>
      </c>
      <c r="AL146" s="28">
        <f t="shared" si="630"/>
        <v>119074.63750000001</v>
      </c>
      <c r="AM146" s="28">
        <f t="shared" si="630"/>
        <v>119074.63750000001</v>
      </c>
      <c r="AN146" s="28">
        <f t="shared" si="630"/>
        <v>119074.63750000001</v>
      </c>
      <c r="AO146" s="28">
        <f t="shared" si="630"/>
        <v>1428895.6499999997</v>
      </c>
      <c r="AQ146" s="58">
        <f t="shared" ref="AQ146:BC146" si="631">+SUM(AQ147:AQ149)</f>
        <v>47453</v>
      </c>
      <c r="AR146" s="58">
        <f t="shared" si="631"/>
        <v>42496</v>
      </c>
      <c r="AS146" s="58">
        <f t="shared" si="631"/>
        <v>74941</v>
      </c>
      <c r="AT146" s="58">
        <f t="shared" si="631"/>
        <v>13454</v>
      </c>
      <c r="AU146" s="58">
        <f t="shared" si="631"/>
        <v>85976</v>
      </c>
      <c r="AV146" s="58">
        <f t="shared" si="631"/>
        <v>20336</v>
      </c>
      <c r="AW146" s="58">
        <f t="shared" si="631"/>
        <v>58665</v>
      </c>
      <c r="AX146" s="58">
        <f t="shared" si="631"/>
        <v>84105</v>
      </c>
      <c r="AY146" s="58">
        <f t="shared" si="631"/>
        <v>24564</v>
      </c>
      <c r="AZ146" s="58">
        <f t="shared" si="631"/>
        <v>50277</v>
      </c>
      <c r="BA146" s="58">
        <f t="shared" si="631"/>
        <v>62742</v>
      </c>
      <c r="BB146" s="58">
        <f t="shared" si="631"/>
        <v>48834</v>
      </c>
      <c r="BC146" s="58">
        <f t="shared" si="631"/>
        <v>613843</v>
      </c>
      <c r="BD146" s="20" t="str">
        <f t="shared" si="591"/>
        <v>Daily Allowance</v>
      </c>
      <c r="BE146" s="28">
        <f t="shared" ref="BE146:BQ146" si="632">+SUM(BE147:BE149)</f>
        <v>62266</v>
      </c>
      <c r="BF146" s="28">
        <f t="shared" si="632"/>
        <v>34781</v>
      </c>
      <c r="BG146" s="28">
        <f t="shared" si="632"/>
        <v>38971</v>
      </c>
      <c r="BH146" s="28">
        <f t="shared" si="632"/>
        <v>36776</v>
      </c>
      <c r="BI146" s="28">
        <f t="shared" si="632"/>
        <v>33262</v>
      </c>
      <c r="BJ146" s="28">
        <f t="shared" si="632"/>
        <v>67423</v>
      </c>
      <c r="BK146" s="28">
        <f t="shared" si="632"/>
        <v>17472</v>
      </c>
      <c r="BL146" s="28">
        <f t="shared" si="632"/>
        <v>77887</v>
      </c>
      <c r="BM146" s="28">
        <f t="shared" si="632"/>
        <v>16016</v>
      </c>
      <c r="BN146" s="28">
        <f t="shared" si="632"/>
        <v>72049</v>
      </c>
      <c r="BO146" s="28">
        <f t="shared" si="632"/>
        <v>0</v>
      </c>
      <c r="BP146" s="28">
        <f t="shared" si="632"/>
        <v>0</v>
      </c>
      <c r="BQ146" s="28">
        <f t="shared" si="632"/>
        <v>456903</v>
      </c>
      <c r="BR146" s="118">
        <f t="shared" si="477"/>
        <v>0.21050346848499518</v>
      </c>
      <c r="BS146" s="58">
        <f t="shared" ref="BS146:CE146" si="633">+SUM(BS147:BS149)</f>
        <v>59519.862500000003</v>
      </c>
      <c r="BT146" s="58">
        <f t="shared" si="633"/>
        <v>59519.862500000003</v>
      </c>
      <c r="BU146" s="58">
        <f t="shared" si="633"/>
        <v>59519.862500000003</v>
      </c>
      <c r="BV146" s="58">
        <f t="shared" si="633"/>
        <v>59519.862500000003</v>
      </c>
      <c r="BW146" s="58">
        <f t="shared" si="633"/>
        <v>59519.862500000003</v>
      </c>
      <c r="BX146" s="58">
        <f t="shared" si="633"/>
        <v>59519.862500000003</v>
      </c>
      <c r="BY146" s="58">
        <f t="shared" si="633"/>
        <v>59519.862500000003</v>
      </c>
      <c r="BZ146" s="58">
        <f t="shared" si="633"/>
        <v>59519.862500000003</v>
      </c>
      <c r="CA146" s="58">
        <f t="shared" si="633"/>
        <v>59519.862500000003</v>
      </c>
      <c r="CB146" s="58">
        <f t="shared" si="633"/>
        <v>59519.862500000003</v>
      </c>
      <c r="CC146" s="58">
        <f t="shared" si="633"/>
        <v>59519.862500000003</v>
      </c>
      <c r="CD146" s="58">
        <f t="shared" si="633"/>
        <v>59519.862500000003</v>
      </c>
      <c r="CE146" s="58">
        <f t="shared" si="633"/>
        <v>714238.35000000009</v>
      </c>
      <c r="CF146" s="22"/>
      <c r="CG146" s="28">
        <f t="shared" ref="CG146:CS146" si="634">+SUM(CG147:CG149)</f>
        <v>68389</v>
      </c>
      <c r="CH146" s="28">
        <f t="shared" si="634"/>
        <v>71037</v>
      </c>
      <c r="CI146" s="28">
        <f t="shared" si="634"/>
        <v>30476</v>
      </c>
      <c r="CJ146" s="28">
        <f t="shared" si="634"/>
        <v>55483</v>
      </c>
      <c r="CK146" s="28">
        <f t="shared" si="634"/>
        <v>88297</v>
      </c>
      <c r="CL146" s="28">
        <f t="shared" si="634"/>
        <v>72297</v>
      </c>
      <c r="CM146" s="28">
        <f t="shared" si="634"/>
        <v>93701</v>
      </c>
      <c r="CN146" s="28">
        <f t="shared" si="634"/>
        <v>29718</v>
      </c>
      <c r="CO146" s="28">
        <f t="shared" si="634"/>
        <v>62130</v>
      </c>
      <c r="CP146" s="28">
        <f t="shared" si="634"/>
        <v>67380</v>
      </c>
      <c r="CQ146" s="28">
        <f t="shared" si="634"/>
        <v>90849</v>
      </c>
      <c r="CR146" s="28">
        <f t="shared" si="634"/>
        <v>15807.5</v>
      </c>
      <c r="CS146" s="58">
        <f t="shared" si="634"/>
        <v>745564.5</v>
      </c>
      <c r="CT146" s="20" t="str">
        <f t="shared" si="595"/>
        <v>Daily Allowance</v>
      </c>
      <c r="CU146" s="28">
        <f t="shared" ref="CU146:DG146" si="635">+SUM(CU147:CU149)</f>
        <v>41200</v>
      </c>
      <c r="CV146" s="28">
        <f t="shared" si="635"/>
        <v>48015</v>
      </c>
      <c r="CW146" s="28">
        <f t="shared" si="635"/>
        <v>40051</v>
      </c>
      <c r="CX146" s="28">
        <f t="shared" si="635"/>
        <v>40902</v>
      </c>
      <c r="CY146" s="28">
        <f t="shared" si="635"/>
        <v>37976</v>
      </c>
      <c r="CZ146" s="28">
        <f t="shared" si="635"/>
        <v>56383</v>
      </c>
      <c r="DA146" s="28">
        <f t="shared" si="635"/>
        <v>18793</v>
      </c>
      <c r="DB146" s="28">
        <f t="shared" si="635"/>
        <v>77238</v>
      </c>
      <c r="DC146" s="28">
        <f t="shared" si="635"/>
        <v>38731</v>
      </c>
      <c r="DD146" s="28">
        <f t="shared" si="635"/>
        <v>80653</v>
      </c>
      <c r="DE146" s="28">
        <f t="shared" si="635"/>
        <v>0</v>
      </c>
      <c r="DF146" s="28">
        <f t="shared" si="635"/>
        <v>0</v>
      </c>
      <c r="DG146" s="28">
        <f t="shared" si="635"/>
        <v>479942</v>
      </c>
      <c r="DH146" s="118">
        <f t="shared" si="478"/>
        <v>0.35426588380192853</v>
      </c>
      <c r="DI146" s="28">
        <f t="shared" ref="DI146:DU146" si="636">+SUM(DI147:DI149)</f>
        <v>59554.775000000001</v>
      </c>
      <c r="DJ146" s="28">
        <f t="shared" si="636"/>
        <v>59554.775000000001</v>
      </c>
      <c r="DK146" s="28">
        <f t="shared" si="636"/>
        <v>59554.775000000001</v>
      </c>
      <c r="DL146" s="28">
        <f t="shared" si="636"/>
        <v>59554.775000000001</v>
      </c>
      <c r="DM146" s="28">
        <f t="shared" si="636"/>
        <v>59554.775000000001</v>
      </c>
      <c r="DN146" s="28">
        <f t="shared" si="636"/>
        <v>59554.775000000001</v>
      </c>
      <c r="DO146" s="28">
        <f t="shared" si="636"/>
        <v>59554.775000000001</v>
      </c>
      <c r="DP146" s="28">
        <f t="shared" si="636"/>
        <v>59554.775000000001</v>
      </c>
      <c r="DQ146" s="28">
        <f t="shared" si="636"/>
        <v>59554.775000000001</v>
      </c>
      <c r="DR146" s="28">
        <f t="shared" si="636"/>
        <v>59554.775000000001</v>
      </c>
      <c r="DS146" s="28">
        <f t="shared" si="636"/>
        <v>59554.775000000001</v>
      </c>
      <c r="DT146" s="28">
        <f t="shared" si="636"/>
        <v>59554.775000000001</v>
      </c>
      <c r="DU146" s="58">
        <f t="shared" si="636"/>
        <v>714657.30000000016</v>
      </c>
      <c r="DW146" s="28">
        <f t="shared" ref="DW146:EI146" si="637">+SUM(DW147:DW149)</f>
        <v>0</v>
      </c>
      <c r="DX146" s="28">
        <f t="shared" si="637"/>
        <v>0</v>
      </c>
      <c r="DY146" s="28">
        <f t="shared" si="637"/>
        <v>0</v>
      </c>
      <c r="DZ146" s="28">
        <f t="shared" si="637"/>
        <v>0</v>
      </c>
      <c r="EA146" s="28">
        <f t="shared" si="637"/>
        <v>0</v>
      </c>
      <c r="EB146" s="28">
        <f t="shared" si="637"/>
        <v>0</v>
      </c>
      <c r="EC146" s="28">
        <f t="shared" si="637"/>
        <v>0</v>
      </c>
      <c r="ED146" s="28">
        <f t="shared" si="637"/>
        <v>0</v>
      </c>
      <c r="EE146" s="28">
        <f t="shared" si="637"/>
        <v>0</v>
      </c>
      <c r="EF146" s="28">
        <f t="shared" si="637"/>
        <v>0</v>
      </c>
      <c r="EG146" s="28">
        <f t="shared" si="637"/>
        <v>0</v>
      </c>
      <c r="EH146" s="28">
        <f t="shared" si="637"/>
        <v>0</v>
      </c>
      <c r="EI146" s="58">
        <f t="shared" si="637"/>
        <v>0</v>
      </c>
      <c r="EJ146" s="20" t="str">
        <f t="shared" si="601"/>
        <v>Daily Allowance</v>
      </c>
      <c r="EK146" s="28">
        <f t="shared" ref="EK146:EW146" si="638">+SUM(EK147:EK149)</f>
        <v>4482</v>
      </c>
      <c r="EL146" s="28">
        <f t="shared" si="638"/>
        <v>6041</v>
      </c>
      <c r="EM146" s="28">
        <f t="shared" si="638"/>
        <v>5897</v>
      </c>
      <c r="EN146" s="28">
        <f t="shared" si="638"/>
        <v>8757</v>
      </c>
      <c r="EO146" s="28">
        <f t="shared" si="638"/>
        <v>9138</v>
      </c>
      <c r="EP146" s="28">
        <f t="shared" si="638"/>
        <v>23347</v>
      </c>
      <c r="EQ146" s="28">
        <f t="shared" si="638"/>
        <v>6361</v>
      </c>
      <c r="ER146" s="28">
        <f t="shared" si="638"/>
        <v>20202</v>
      </c>
      <c r="ES146" s="28">
        <f t="shared" si="638"/>
        <v>2791</v>
      </c>
      <c r="ET146" s="28">
        <f t="shared" si="638"/>
        <v>25293</v>
      </c>
      <c r="EU146" s="28">
        <f t="shared" si="638"/>
        <v>0</v>
      </c>
      <c r="EV146" s="28">
        <f t="shared" si="638"/>
        <v>0</v>
      </c>
      <c r="EW146" s="28">
        <f t="shared" si="638"/>
        <v>112309</v>
      </c>
      <c r="EX146" s="118">
        <f t="shared" si="479"/>
        <v>0</v>
      </c>
      <c r="EY146" s="28">
        <f t="shared" ref="EY146:FK146" si="639">+SUM(EY147:EY149)</f>
        <v>0</v>
      </c>
      <c r="EZ146" s="28">
        <f t="shared" si="639"/>
        <v>0</v>
      </c>
      <c r="FA146" s="28">
        <f t="shared" si="639"/>
        <v>0</v>
      </c>
      <c r="FB146" s="28">
        <f t="shared" si="639"/>
        <v>0</v>
      </c>
      <c r="FC146" s="28">
        <f t="shared" si="639"/>
        <v>0</v>
      </c>
      <c r="FD146" s="28">
        <f t="shared" si="639"/>
        <v>0</v>
      </c>
      <c r="FE146" s="28">
        <f t="shared" si="639"/>
        <v>0</v>
      </c>
      <c r="FF146" s="28">
        <f t="shared" si="639"/>
        <v>0</v>
      </c>
      <c r="FG146" s="28">
        <f t="shared" si="639"/>
        <v>0</v>
      </c>
      <c r="FH146" s="28">
        <f t="shared" si="639"/>
        <v>0</v>
      </c>
      <c r="FI146" s="28">
        <f t="shared" si="639"/>
        <v>0</v>
      </c>
      <c r="FJ146" s="28">
        <f t="shared" si="639"/>
        <v>0</v>
      </c>
      <c r="FK146" s="58">
        <f t="shared" si="639"/>
        <v>0</v>
      </c>
    </row>
    <row r="147" spans="1:167" ht="14.45" hidden="1" customHeight="1" outlineLevel="2">
      <c r="A147" s="106">
        <f t="shared" si="558"/>
        <v>0</v>
      </c>
      <c r="B147" s="106">
        <f t="shared" si="558"/>
        <v>0</v>
      </c>
      <c r="C147" s="106">
        <f t="shared" si="558"/>
        <v>0</v>
      </c>
      <c r="D147" s="106">
        <f t="shared" si="558"/>
        <v>0</v>
      </c>
      <c r="E147" s="106">
        <f t="shared" si="558"/>
        <v>0</v>
      </c>
      <c r="F147" s="106">
        <f t="shared" si="558"/>
        <v>0</v>
      </c>
      <c r="G147" s="106">
        <f t="shared" si="558"/>
        <v>0</v>
      </c>
      <c r="H147" s="106">
        <f t="shared" si="558"/>
        <v>0</v>
      </c>
      <c r="I147" s="106">
        <f t="shared" si="558"/>
        <v>0</v>
      </c>
      <c r="J147" s="106">
        <f t="shared" si="558"/>
        <v>0</v>
      </c>
      <c r="K147" s="106">
        <f t="shared" si="558"/>
        <v>0</v>
      </c>
      <c r="L147" s="106">
        <f t="shared" si="558"/>
        <v>0</v>
      </c>
      <c r="M147" s="106">
        <f t="shared" ref="M147:M149" si="640">+SUM(A147:L147)</f>
        <v>0</v>
      </c>
      <c r="N147" s="16" t="s">
        <v>122</v>
      </c>
      <c r="O147" s="22">
        <f t="shared" ref="O147:Z149" si="641">+BE147+CU147+EK147</f>
        <v>0</v>
      </c>
      <c r="P147" s="22">
        <f t="shared" si="641"/>
        <v>0</v>
      </c>
      <c r="Q147" s="22">
        <f t="shared" si="641"/>
        <v>0</v>
      </c>
      <c r="R147" s="22">
        <f t="shared" si="641"/>
        <v>0</v>
      </c>
      <c r="S147" s="22">
        <f t="shared" si="641"/>
        <v>0</v>
      </c>
      <c r="T147" s="22">
        <f t="shared" si="641"/>
        <v>0</v>
      </c>
      <c r="U147" s="22">
        <f t="shared" si="641"/>
        <v>0</v>
      </c>
      <c r="V147" s="22">
        <f t="shared" si="641"/>
        <v>0</v>
      </c>
      <c r="W147" s="22">
        <f t="shared" si="641"/>
        <v>0</v>
      </c>
      <c r="X147" s="22">
        <f t="shared" si="641"/>
        <v>0</v>
      </c>
      <c r="Y147" s="22">
        <f t="shared" si="641"/>
        <v>0</v>
      </c>
      <c r="Z147" s="22">
        <f t="shared" si="641"/>
        <v>0</v>
      </c>
      <c r="AA147" s="22">
        <f t="shared" ref="AA147:AA149" si="642">+SUM(O147:Z147)</f>
        <v>0</v>
      </c>
      <c r="AB147" s="118">
        <f t="shared" si="476"/>
        <v>0</v>
      </c>
      <c r="AC147" s="22">
        <f t="shared" ref="AC147:AN149" si="643">+BS147+DI147+EY147</f>
        <v>0</v>
      </c>
      <c r="AD147" s="22">
        <f t="shared" si="643"/>
        <v>0</v>
      </c>
      <c r="AE147" s="22">
        <f t="shared" si="643"/>
        <v>0</v>
      </c>
      <c r="AF147" s="22">
        <f t="shared" si="643"/>
        <v>0</v>
      </c>
      <c r="AG147" s="22">
        <f t="shared" si="643"/>
        <v>0</v>
      </c>
      <c r="AH147" s="22">
        <f t="shared" si="643"/>
        <v>0</v>
      </c>
      <c r="AI147" s="22">
        <f t="shared" si="643"/>
        <v>0</v>
      </c>
      <c r="AJ147" s="22">
        <f t="shared" si="643"/>
        <v>0</v>
      </c>
      <c r="AK147" s="22">
        <f t="shared" si="643"/>
        <v>0</v>
      </c>
      <c r="AL147" s="22">
        <f t="shared" si="643"/>
        <v>0</v>
      </c>
      <c r="AM147" s="22">
        <f t="shared" si="643"/>
        <v>0</v>
      </c>
      <c r="AN147" s="22">
        <f t="shared" si="643"/>
        <v>0</v>
      </c>
      <c r="AO147" s="22">
        <f t="shared" ref="AO147:AO149" si="644">+SUM(AC147:AN147)</f>
        <v>0</v>
      </c>
      <c r="AQ147" s="110">
        <v>0</v>
      </c>
      <c r="AR147" s="106">
        <v>0</v>
      </c>
      <c r="AS147" s="106">
        <v>0</v>
      </c>
      <c r="AT147" s="106">
        <v>0</v>
      </c>
      <c r="AU147" s="106">
        <v>0</v>
      </c>
      <c r="AV147" s="106">
        <v>0</v>
      </c>
      <c r="AW147" s="106">
        <v>0</v>
      </c>
      <c r="AX147" s="106">
        <v>0</v>
      </c>
      <c r="AY147" s="106">
        <v>0</v>
      </c>
      <c r="AZ147" s="106">
        <v>0</v>
      </c>
      <c r="BA147" s="106">
        <v>0</v>
      </c>
      <c r="BB147" s="106">
        <v>0</v>
      </c>
      <c r="BC147" s="106">
        <f t="shared" ref="BC147:BC149" si="645">+SUM(AQ147:BB147)</f>
        <v>0</v>
      </c>
      <c r="BD147" s="16" t="str">
        <f t="shared" si="591"/>
        <v>Daily Allowance to Consultant</v>
      </c>
      <c r="BE147" s="22">
        <f>+VLOOKUP($BD147,'Jan-25'!$A:$J,4,0)</f>
        <v>0</v>
      </c>
      <c r="BF147" s="22">
        <f>+VLOOKUP($BD147,'Feb-25'!$A:$J,4,0)</f>
        <v>0</v>
      </c>
      <c r="BG147" s="22">
        <f>+VLOOKUP($BD147,'Mar-25'!$A:$J,4,0)</f>
        <v>0</v>
      </c>
      <c r="BH147" s="22">
        <f>+VLOOKUP($BD147,'Apr-25'!$A:$J,4,0)</f>
        <v>0</v>
      </c>
      <c r="BI147" s="22">
        <f>+VLOOKUP($BD147,'May-25'!$A:$J,4,0)</f>
        <v>0</v>
      </c>
      <c r="BJ147" s="22">
        <f>+VLOOKUP($BD147,'June-25'!$A:$J,4,0)</f>
        <v>0</v>
      </c>
      <c r="BK147" s="22">
        <f>+VLOOKUP($BD147,'July-25'!$A:$J,4,0)</f>
        <v>0</v>
      </c>
      <c r="BL147" s="22">
        <f>+VLOOKUP($BD147,'Aug-25'!$A:$J,4,0)</f>
        <v>0</v>
      </c>
      <c r="BM147" s="22">
        <f>+VLOOKUP($BD147,'Sep-25'!$A:$J,4,0)</f>
        <v>0</v>
      </c>
      <c r="BN147" s="22">
        <f>+VLOOKUP($BD147,'Oct-25'!$A:$J,4,0)</f>
        <v>0</v>
      </c>
      <c r="BO147" s="22">
        <f>+VLOOKUP($BD147,'Nov-25'!$A:$J,4,0)</f>
        <v>0</v>
      </c>
      <c r="BP147" s="22">
        <f>+VLOOKUP($BD147,'Dec-25'!$A:$J,4,0)</f>
        <v>0</v>
      </c>
      <c r="BQ147" s="22">
        <f t="shared" ref="BQ147:BQ149" si="646">+SUM(BE147:BP147)</f>
        <v>0</v>
      </c>
      <c r="BR147" s="118">
        <f t="shared" si="477"/>
        <v>0</v>
      </c>
      <c r="BS147" s="106">
        <f>+_xlfn.XLOOKUP($BD147,Budget!$A:$A,Budget!AQ:AQ)</f>
        <v>0</v>
      </c>
      <c r="BT147" s="106">
        <f>+_xlfn.XLOOKUP($BD147,Budget!$A:$A,Budget!AR:AR)</f>
        <v>0</v>
      </c>
      <c r="BU147" s="106">
        <f>+_xlfn.XLOOKUP($BD147,Budget!$A:$A,Budget!AS:AS)</f>
        <v>0</v>
      </c>
      <c r="BV147" s="106">
        <f>+_xlfn.XLOOKUP($BD147,Budget!$A:$A,Budget!AT:AT)</f>
        <v>0</v>
      </c>
      <c r="BW147" s="106">
        <f>+_xlfn.XLOOKUP($BD147,Budget!$A:$A,Budget!AU:AU)</f>
        <v>0</v>
      </c>
      <c r="BX147" s="106">
        <f>+_xlfn.XLOOKUP($BD147,Budget!$A:$A,Budget!AV:AV)</f>
        <v>0</v>
      </c>
      <c r="BY147" s="106">
        <f>+_xlfn.XLOOKUP($BD147,Budget!$A:$A,Budget!AW:AW)</f>
        <v>0</v>
      </c>
      <c r="BZ147" s="106">
        <f>+_xlfn.XLOOKUP($BD147,Budget!$A:$A,Budget!AX:AX)</f>
        <v>0</v>
      </c>
      <c r="CA147" s="106">
        <f>+_xlfn.XLOOKUP($BD147,Budget!$A:$A,Budget!AY:AY)</f>
        <v>0</v>
      </c>
      <c r="CB147" s="106">
        <f>+_xlfn.XLOOKUP($BD147,Budget!$A:$A,Budget!AZ:AZ)</f>
        <v>0</v>
      </c>
      <c r="CC147" s="106">
        <f>+_xlfn.XLOOKUP($BD147,Budget!$A:$A,Budget!BA:BA)</f>
        <v>0</v>
      </c>
      <c r="CD147" s="106">
        <f>+_xlfn.XLOOKUP($BD147,Budget!$A:$A,Budget!BB:BB)</f>
        <v>0</v>
      </c>
      <c r="CE147" s="106">
        <f t="shared" ref="CE147:CE149" si="647">+SUM(BS147:CD147)</f>
        <v>0</v>
      </c>
      <c r="CF147" s="22"/>
      <c r="CG147" s="22">
        <v>0</v>
      </c>
      <c r="CH147" s="22">
        <v>0</v>
      </c>
      <c r="CI147" s="22">
        <v>0</v>
      </c>
      <c r="CJ147" s="22">
        <v>0</v>
      </c>
      <c r="CK147" s="22">
        <v>0</v>
      </c>
      <c r="CL147" s="22">
        <v>0</v>
      </c>
      <c r="CM147" s="22">
        <v>0</v>
      </c>
      <c r="CN147" s="22">
        <v>0</v>
      </c>
      <c r="CO147" s="22">
        <v>0</v>
      </c>
      <c r="CP147" s="22">
        <v>0</v>
      </c>
      <c r="CQ147" s="22">
        <v>0</v>
      </c>
      <c r="CR147" s="22">
        <v>0</v>
      </c>
      <c r="CS147" s="106">
        <f t="shared" ref="CS147:CS149" si="648">+SUM(CG147:CR147)</f>
        <v>0</v>
      </c>
      <c r="CT147" s="16" t="str">
        <f t="shared" si="595"/>
        <v>Daily Allowance to Consultant</v>
      </c>
      <c r="CU147" s="22">
        <f>+VLOOKUP($BD147,'Jan-25'!$A:$J,7,0)</f>
        <v>0</v>
      </c>
      <c r="CV147" s="22">
        <f>+VLOOKUP($BD147,'Feb-25'!$A:$J,7,0)</f>
        <v>0</v>
      </c>
      <c r="CW147" s="22">
        <f>+VLOOKUP($BD147,'Mar-25'!$A:$J,7,0)</f>
        <v>0</v>
      </c>
      <c r="CX147" s="22">
        <f>+VLOOKUP($BD147,'Apr-25'!$A:$J,7,0)</f>
        <v>0</v>
      </c>
      <c r="CY147" s="22">
        <f>+VLOOKUP($BD147,'May-25'!$A:$J,7,0)</f>
        <v>0</v>
      </c>
      <c r="CZ147" s="22">
        <f>+VLOOKUP($BD147,'June-25'!$A:$J,7,0)</f>
        <v>0</v>
      </c>
      <c r="DA147" s="22">
        <f>+VLOOKUP($BD147,'July-25'!$A:$J,7,0)</f>
        <v>0</v>
      </c>
      <c r="DB147" s="22">
        <f>+VLOOKUP($BD147,'Aug-25'!$A:$J,7,0)</f>
        <v>0</v>
      </c>
      <c r="DC147" s="22">
        <f>+VLOOKUP($BD147,'Sep-25'!$A:$J,7,0)</f>
        <v>0</v>
      </c>
      <c r="DD147" s="22">
        <f>+VLOOKUP($BD147,'Oct-25'!$A:$J,7,0)</f>
        <v>0</v>
      </c>
      <c r="DE147" s="22">
        <f>+VLOOKUP($BD147,'Nov-25'!$A:$J,7,0)</f>
        <v>0</v>
      </c>
      <c r="DF147" s="22">
        <f>+VLOOKUP($BD147,'Dec-25'!$A:$J,7,0)</f>
        <v>0</v>
      </c>
      <c r="DG147" s="22">
        <f t="shared" ref="DG147:DG149" si="649">+SUM(CU147:DF147)</f>
        <v>0</v>
      </c>
      <c r="DH147" s="118">
        <f t="shared" si="478"/>
        <v>0</v>
      </c>
      <c r="DI147" s="22">
        <f>+_xlfn.XLOOKUP($CT147,Budget!$A:$A,Budget!CD:CD)</f>
        <v>0</v>
      </c>
      <c r="DJ147" s="22">
        <f>+_xlfn.XLOOKUP($CT147,Budget!$A:$A,Budget!CE:CE)</f>
        <v>0</v>
      </c>
      <c r="DK147" s="22">
        <f>+_xlfn.XLOOKUP($CT147,Budget!$A:$A,Budget!CF:CF)</f>
        <v>0</v>
      </c>
      <c r="DL147" s="22">
        <f>+_xlfn.XLOOKUP($CT147,Budget!$A:$A,Budget!CG:CG)</f>
        <v>0</v>
      </c>
      <c r="DM147" s="22">
        <f>+_xlfn.XLOOKUP($CT147,Budget!$A:$A,Budget!CH:CH)</f>
        <v>0</v>
      </c>
      <c r="DN147" s="22">
        <f>+_xlfn.XLOOKUP($CT147,Budget!$A:$A,Budget!CI:CI)</f>
        <v>0</v>
      </c>
      <c r="DO147" s="22">
        <f>+_xlfn.XLOOKUP($CT147,Budget!$A:$A,Budget!CJ:CJ)</f>
        <v>0</v>
      </c>
      <c r="DP147" s="22">
        <f>+_xlfn.XLOOKUP($CT147,Budget!$A:$A,Budget!CK:CK)</f>
        <v>0</v>
      </c>
      <c r="DQ147" s="22">
        <f>+_xlfn.XLOOKUP($CT147,Budget!$A:$A,Budget!CL:CL)</f>
        <v>0</v>
      </c>
      <c r="DR147" s="22">
        <f>+_xlfn.XLOOKUP($CT147,Budget!$A:$A,Budget!CM:CM)</f>
        <v>0</v>
      </c>
      <c r="DS147" s="22">
        <f>+_xlfn.XLOOKUP($CT147,Budget!$A:$A,Budget!CN:CN)</f>
        <v>0</v>
      </c>
      <c r="DT147" s="22">
        <f>+_xlfn.XLOOKUP($CT147,Budget!$A:$A,Budget!CO:CO)</f>
        <v>0</v>
      </c>
      <c r="DU147" s="106">
        <f t="shared" ref="DU147:DU149" si="650">+SUM(DI147:DT147)</f>
        <v>0</v>
      </c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106">
        <f t="shared" ref="EI147:EI149" si="651">+SUM(DW147:EH147)</f>
        <v>0</v>
      </c>
      <c r="EJ147" s="16" t="str">
        <f t="shared" si="601"/>
        <v>Daily Allowance to Consultant</v>
      </c>
      <c r="EK147" s="22">
        <f>+VLOOKUP($BD147,'Jan-25'!$A:$J,9,0)</f>
        <v>0</v>
      </c>
      <c r="EL147" s="22">
        <f>+VLOOKUP($BD147,'Feb-25'!$A:$J,9,0)</f>
        <v>0</v>
      </c>
      <c r="EM147" s="22">
        <f>+VLOOKUP($BD147,'Mar-25'!$A:$J,9,0)</f>
        <v>0</v>
      </c>
      <c r="EN147" s="22">
        <f>+VLOOKUP($BD147,'Apr-25'!$A:$J,9,0)</f>
        <v>0</v>
      </c>
      <c r="EO147" s="22">
        <f>+VLOOKUP($BD147,'May-25'!$A:$J,9,0)</f>
        <v>0</v>
      </c>
      <c r="EP147" s="22">
        <f>+VLOOKUP($BD147,'June-25'!$A:$J,9,0)</f>
        <v>0</v>
      </c>
      <c r="EQ147" s="22">
        <f>+VLOOKUP($BD147,'July-25'!$A:$J,9,0)</f>
        <v>0</v>
      </c>
      <c r="ER147" s="22">
        <f>+VLOOKUP($BD147,'Aug-25'!$A:$J,9,0)</f>
        <v>0</v>
      </c>
      <c r="ES147" s="22">
        <f>+VLOOKUP($BD147,'Sep-25'!$A:$J,9,0)</f>
        <v>0</v>
      </c>
      <c r="ET147" s="22">
        <f>+VLOOKUP($BD147,'Oct-25'!$A:$J,9,0)</f>
        <v>0</v>
      </c>
      <c r="EU147" s="22">
        <f>+VLOOKUP($BD147,'Nov-25'!$A:$J,9,0)</f>
        <v>0</v>
      </c>
      <c r="EV147" s="22">
        <f>+VLOOKUP($BD147,'Dec-25'!$A:$J,9,0)</f>
        <v>0</v>
      </c>
      <c r="EW147" s="22">
        <f t="shared" ref="EW147:EW149" si="652">+SUM(EK147:EV147)</f>
        <v>0</v>
      </c>
      <c r="EX147" s="118">
        <f t="shared" si="479"/>
        <v>0</v>
      </c>
      <c r="EY147" s="22">
        <f>+_xlfn.XLOOKUP($EJ147,Budget!$A:$A,Budget!DE:DE)</f>
        <v>0</v>
      </c>
      <c r="EZ147" s="22">
        <f>+_xlfn.XLOOKUP($EJ147,Budget!$A:$A,Budget!DF:DF)</f>
        <v>0</v>
      </c>
      <c r="FA147" s="22">
        <f>+_xlfn.XLOOKUP($EJ147,Budget!$A:$A,Budget!DG:DG)</f>
        <v>0</v>
      </c>
      <c r="FB147" s="22">
        <f>+_xlfn.XLOOKUP($EJ147,Budget!$A:$A,Budget!DH:DH)</f>
        <v>0</v>
      </c>
      <c r="FC147" s="22">
        <f>+_xlfn.XLOOKUP($EJ147,Budget!$A:$A,Budget!DI:DI)</f>
        <v>0</v>
      </c>
      <c r="FD147" s="22">
        <f>+_xlfn.XLOOKUP($EJ147,Budget!$A:$A,Budget!DJ:DJ)</f>
        <v>0</v>
      </c>
      <c r="FE147" s="22">
        <f>+_xlfn.XLOOKUP($EJ147,Budget!$A:$A,Budget!DK:DK)</f>
        <v>0</v>
      </c>
      <c r="FF147" s="22">
        <f>+_xlfn.XLOOKUP($EJ147,Budget!$A:$A,Budget!DL:DL)</f>
        <v>0</v>
      </c>
      <c r="FG147" s="22">
        <f>+_xlfn.XLOOKUP($EJ147,Budget!$A:$A,Budget!DM:DM)</f>
        <v>0</v>
      </c>
      <c r="FH147" s="22">
        <f>+_xlfn.XLOOKUP($EJ147,Budget!$A:$A,Budget!DN:DN)</f>
        <v>0</v>
      </c>
      <c r="FI147" s="22">
        <f>+_xlfn.XLOOKUP($EJ147,Budget!$A:$A,Budget!DO:DO)</f>
        <v>0</v>
      </c>
      <c r="FJ147" s="22">
        <f>+_xlfn.XLOOKUP($EJ147,Budget!$A:$A,Budget!DP:DP)</f>
        <v>0</v>
      </c>
      <c r="FK147" s="106">
        <f t="shared" ref="FK147:FK149" si="653">+SUM(EY147:FJ147)</f>
        <v>0</v>
      </c>
    </row>
    <row r="148" spans="1:167" ht="14.45" hidden="1" customHeight="1" outlineLevel="2">
      <c r="A148" s="106">
        <f t="shared" si="558"/>
        <v>115842</v>
      </c>
      <c r="B148" s="106">
        <f t="shared" si="558"/>
        <v>113533</v>
      </c>
      <c r="C148" s="106">
        <f t="shared" si="558"/>
        <v>105417</v>
      </c>
      <c r="D148" s="106">
        <f t="shared" si="558"/>
        <v>68937</v>
      </c>
      <c r="E148" s="106">
        <f t="shared" si="558"/>
        <v>174273</v>
      </c>
      <c r="F148" s="106">
        <f t="shared" si="558"/>
        <v>92633</v>
      </c>
      <c r="G148" s="106">
        <f t="shared" si="558"/>
        <v>152366</v>
      </c>
      <c r="H148" s="106">
        <f t="shared" si="558"/>
        <v>113823</v>
      </c>
      <c r="I148" s="106">
        <f t="shared" si="558"/>
        <v>86694</v>
      </c>
      <c r="J148" s="106">
        <f t="shared" si="558"/>
        <v>117657</v>
      </c>
      <c r="K148" s="106">
        <f t="shared" si="558"/>
        <v>153591</v>
      </c>
      <c r="L148" s="106">
        <f t="shared" si="558"/>
        <v>64641.5</v>
      </c>
      <c r="M148" s="106">
        <f t="shared" si="640"/>
        <v>1359407.5</v>
      </c>
      <c r="N148" s="16" t="s">
        <v>123</v>
      </c>
      <c r="O148" s="22">
        <f t="shared" si="641"/>
        <v>107948</v>
      </c>
      <c r="P148" s="22">
        <f t="shared" si="641"/>
        <v>88837</v>
      </c>
      <c r="Q148" s="22">
        <f t="shared" si="641"/>
        <v>84919</v>
      </c>
      <c r="R148" s="22">
        <f t="shared" si="641"/>
        <v>86435</v>
      </c>
      <c r="S148" s="22">
        <f t="shared" si="641"/>
        <v>80376</v>
      </c>
      <c r="T148" s="22">
        <f t="shared" si="641"/>
        <v>147153</v>
      </c>
      <c r="U148" s="22">
        <f t="shared" si="641"/>
        <v>42626</v>
      </c>
      <c r="V148" s="22">
        <f t="shared" si="641"/>
        <v>175327</v>
      </c>
      <c r="W148" s="22">
        <f t="shared" si="641"/>
        <v>57538</v>
      </c>
      <c r="X148" s="22">
        <f t="shared" si="641"/>
        <v>177995</v>
      </c>
      <c r="Y148" s="22">
        <f t="shared" si="641"/>
        <v>0</v>
      </c>
      <c r="Z148" s="22">
        <f t="shared" si="641"/>
        <v>0</v>
      </c>
      <c r="AA148" s="22">
        <f t="shared" si="642"/>
        <v>1049154</v>
      </c>
      <c r="AB148" s="118">
        <f t="shared" si="476"/>
        <v>0.49481874341208876</v>
      </c>
      <c r="AC148" s="22">
        <f t="shared" si="643"/>
        <v>119074.63750000001</v>
      </c>
      <c r="AD148" s="22">
        <f t="shared" si="643"/>
        <v>119074.63750000001</v>
      </c>
      <c r="AE148" s="22">
        <f t="shared" si="643"/>
        <v>119074.63750000001</v>
      </c>
      <c r="AF148" s="22">
        <f t="shared" si="643"/>
        <v>119074.63750000001</v>
      </c>
      <c r="AG148" s="22">
        <f t="shared" si="643"/>
        <v>119074.63750000001</v>
      </c>
      <c r="AH148" s="22">
        <f t="shared" si="643"/>
        <v>119074.63750000001</v>
      </c>
      <c r="AI148" s="22">
        <f t="shared" si="643"/>
        <v>119074.63750000001</v>
      </c>
      <c r="AJ148" s="22">
        <f t="shared" si="643"/>
        <v>119074.63750000001</v>
      </c>
      <c r="AK148" s="22">
        <f t="shared" si="643"/>
        <v>119074.63750000001</v>
      </c>
      <c r="AL148" s="22">
        <f t="shared" si="643"/>
        <v>119074.63750000001</v>
      </c>
      <c r="AM148" s="22">
        <f t="shared" si="643"/>
        <v>119074.63750000001</v>
      </c>
      <c r="AN148" s="22">
        <f t="shared" si="643"/>
        <v>119074.63750000001</v>
      </c>
      <c r="AO148" s="22">
        <f t="shared" si="644"/>
        <v>1428895.6499999997</v>
      </c>
      <c r="AQ148" s="110">
        <v>47453</v>
      </c>
      <c r="AR148" s="106">
        <v>42496</v>
      </c>
      <c r="AS148" s="106">
        <v>74941</v>
      </c>
      <c r="AT148" s="106">
        <v>13454</v>
      </c>
      <c r="AU148" s="106">
        <v>85976</v>
      </c>
      <c r="AV148" s="106">
        <v>20336</v>
      </c>
      <c r="AW148" s="106">
        <v>58665</v>
      </c>
      <c r="AX148" s="106">
        <v>84105</v>
      </c>
      <c r="AY148" s="106">
        <v>24564</v>
      </c>
      <c r="AZ148" s="106">
        <v>50277</v>
      </c>
      <c r="BA148" s="106">
        <v>62742</v>
      </c>
      <c r="BB148" s="106">
        <v>48834</v>
      </c>
      <c r="BC148" s="106">
        <f t="shared" si="645"/>
        <v>613843</v>
      </c>
      <c r="BD148" s="16" t="str">
        <f t="shared" si="591"/>
        <v>Daily Allowance to Drivers</v>
      </c>
      <c r="BE148" s="22">
        <f>+VLOOKUP($BD148,'Jan-25'!$A:$J,4,0)</f>
        <v>62266</v>
      </c>
      <c r="BF148" s="22">
        <f>+VLOOKUP($BD148,'Feb-25'!$A:$J,4,0)</f>
        <v>34781</v>
      </c>
      <c r="BG148" s="22">
        <f>+VLOOKUP($BD148,'Mar-25'!$A:$J,4,0)</f>
        <v>38971</v>
      </c>
      <c r="BH148" s="22">
        <f>+VLOOKUP($BD148,'Apr-25'!$A:$J,4,0)</f>
        <v>36776</v>
      </c>
      <c r="BI148" s="22">
        <f>+VLOOKUP($BD148,'May-25'!$A:$J,4,0)</f>
        <v>33262</v>
      </c>
      <c r="BJ148" s="22">
        <f>+VLOOKUP($BD148,'June-25'!$A:$J,4,0)</f>
        <v>67423</v>
      </c>
      <c r="BK148" s="22">
        <f>+VLOOKUP($BD148,'July-25'!$A:$J,4,0)</f>
        <v>17472</v>
      </c>
      <c r="BL148" s="22">
        <f>+VLOOKUP($BD148,'Aug-25'!$A:$J,4,0)</f>
        <v>77887</v>
      </c>
      <c r="BM148" s="22">
        <f>+VLOOKUP($BD148,'Sep-25'!$A:$J,4,0)</f>
        <v>16016</v>
      </c>
      <c r="BN148" s="22">
        <f>+VLOOKUP($BD148,'Oct-25'!$A:$J,4,0)</f>
        <v>72049</v>
      </c>
      <c r="BO148" s="22">
        <f>+VLOOKUP($BD148,'Nov-25'!$A:$J,4,0)</f>
        <v>0</v>
      </c>
      <c r="BP148" s="22">
        <f>+VLOOKUP($BD148,'Dec-25'!$A:$J,4,0)</f>
        <v>0</v>
      </c>
      <c r="BQ148" s="22">
        <f t="shared" si="646"/>
        <v>456903</v>
      </c>
      <c r="BR148" s="118">
        <f t="shared" si="477"/>
        <v>0.21050346848499518</v>
      </c>
      <c r="BS148" s="106">
        <f>+_xlfn.XLOOKUP($BD148,Budget!$A:$A,Budget!AQ:AQ)</f>
        <v>59519.862500000003</v>
      </c>
      <c r="BT148" s="106">
        <f>+_xlfn.XLOOKUP($BD148,Budget!$A:$A,Budget!AR:AR)</f>
        <v>59519.862500000003</v>
      </c>
      <c r="BU148" s="106">
        <f>+_xlfn.XLOOKUP($BD148,Budget!$A:$A,Budget!AS:AS)</f>
        <v>59519.862500000003</v>
      </c>
      <c r="BV148" s="106">
        <f>+_xlfn.XLOOKUP($BD148,Budget!$A:$A,Budget!AT:AT)</f>
        <v>59519.862500000003</v>
      </c>
      <c r="BW148" s="106">
        <f>+_xlfn.XLOOKUP($BD148,Budget!$A:$A,Budget!AU:AU)</f>
        <v>59519.862500000003</v>
      </c>
      <c r="BX148" s="106">
        <f>+_xlfn.XLOOKUP($BD148,Budget!$A:$A,Budget!AV:AV)</f>
        <v>59519.862500000003</v>
      </c>
      <c r="BY148" s="106">
        <f>+_xlfn.XLOOKUP($BD148,Budget!$A:$A,Budget!AW:AW)</f>
        <v>59519.862500000003</v>
      </c>
      <c r="BZ148" s="106">
        <f>+_xlfn.XLOOKUP($BD148,Budget!$A:$A,Budget!AX:AX)</f>
        <v>59519.862500000003</v>
      </c>
      <c r="CA148" s="106">
        <f>+_xlfn.XLOOKUP($BD148,Budget!$A:$A,Budget!AY:AY)</f>
        <v>59519.862500000003</v>
      </c>
      <c r="CB148" s="106">
        <f>+_xlfn.XLOOKUP($BD148,Budget!$A:$A,Budget!AZ:AZ)</f>
        <v>59519.862500000003</v>
      </c>
      <c r="CC148" s="106">
        <f>+_xlfn.XLOOKUP($BD148,Budget!$A:$A,Budget!BA:BA)</f>
        <v>59519.862500000003</v>
      </c>
      <c r="CD148" s="106">
        <f>+_xlfn.XLOOKUP($BD148,Budget!$A:$A,Budget!BB:BB)</f>
        <v>59519.862500000003</v>
      </c>
      <c r="CE148" s="106">
        <f t="shared" si="647"/>
        <v>714238.35000000009</v>
      </c>
      <c r="CF148" s="22"/>
      <c r="CG148" s="22">
        <v>68389</v>
      </c>
      <c r="CH148" s="22">
        <v>71037</v>
      </c>
      <c r="CI148" s="22">
        <v>30476</v>
      </c>
      <c r="CJ148" s="22">
        <v>55483</v>
      </c>
      <c r="CK148" s="22">
        <v>88297</v>
      </c>
      <c r="CL148" s="22">
        <v>72297</v>
      </c>
      <c r="CM148" s="22">
        <v>93701</v>
      </c>
      <c r="CN148" s="22">
        <v>29718</v>
      </c>
      <c r="CO148" s="22">
        <v>62130</v>
      </c>
      <c r="CP148" s="22">
        <v>67380</v>
      </c>
      <c r="CQ148" s="22">
        <v>90849</v>
      </c>
      <c r="CR148" s="22">
        <v>15807.5</v>
      </c>
      <c r="CS148" s="106">
        <f t="shared" si="648"/>
        <v>745564.5</v>
      </c>
      <c r="CT148" s="16" t="str">
        <f t="shared" si="595"/>
        <v>Daily Allowance to Drivers</v>
      </c>
      <c r="CU148" s="22">
        <f>+VLOOKUP($BD148,'Jan-25'!$A:$J,7,0)</f>
        <v>41200</v>
      </c>
      <c r="CV148" s="22">
        <f>+VLOOKUP($BD148,'Feb-25'!$A:$J,7,0)</f>
        <v>48015</v>
      </c>
      <c r="CW148" s="22">
        <f>+VLOOKUP($BD148,'Mar-25'!$A:$J,7,0)</f>
        <v>40051</v>
      </c>
      <c r="CX148" s="22">
        <f>+VLOOKUP($BD148,'Apr-25'!$A:$J,7,0)</f>
        <v>40902</v>
      </c>
      <c r="CY148" s="22">
        <f>+VLOOKUP($BD148,'May-25'!$A:$J,7,0)</f>
        <v>37976</v>
      </c>
      <c r="CZ148" s="22">
        <f>+VLOOKUP($BD148,'June-25'!$A:$J,7,0)</f>
        <v>56383</v>
      </c>
      <c r="DA148" s="22">
        <f>+VLOOKUP($BD148,'July-25'!$A:$J,7,0)</f>
        <v>18793</v>
      </c>
      <c r="DB148" s="22">
        <f>+VLOOKUP($BD148,'Aug-25'!$A:$J,7,0)</f>
        <v>77238</v>
      </c>
      <c r="DC148" s="22">
        <f>+VLOOKUP($BD148,'Sep-25'!$A:$J,7,0)</f>
        <v>38731</v>
      </c>
      <c r="DD148" s="22">
        <f>+VLOOKUP($BD148,'Oct-25'!$A:$J,7,0)</f>
        <v>80653</v>
      </c>
      <c r="DE148" s="22">
        <f>+VLOOKUP($BD148,'Nov-25'!$A:$J,7,0)</f>
        <v>0</v>
      </c>
      <c r="DF148" s="22">
        <f>+VLOOKUP($BD148,'Dec-25'!$A:$J,7,0)</f>
        <v>0</v>
      </c>
      <c r="DG148" s="22">
        <f t="shared" si="649"/>
        <v>479942</v>
      </c>
      <c r="DH148" s="118">
        <f t="shared" si="478"/>
        <v>0.35426588380192853</v>
      </c>
      <c r="DI148" s="22">
        <f>+_xlfn.XLOOKUP($CT148,Budget!$A:$A,Budget!CD:CD)</f>
        <v>59554.775000000001</v>
      </c>
      <c r="DJ148" s="22">
        <f>+_xlfn.XLOOKUP($CT148,Budget!$A:$A,Budget!CE:CE)</f>
        <v>59554.775000000001</v>
      </c>
      <c r="DK148" s="22">
        <f>+_xlfn.XLOOKUP($CT148,Budget!$A:$A,Budget!CF:CF)</f>
        <v>59554.775000000001</v>
      </c>
      <c r="DL148" s="22">
        <f>+_xlfn.XLOOKUP($CT148,Budget!$A:$A,Budget!CG:CG)</f>
        <v>59554.775000000001</v>
      </c>
      <c r="DM148" s="22">
        <f>+_xlfn.XLOOKUP($CT148,Budget!$A:$A,Budget!CH:CH)</f>
        <v>59554.775000000001</v>
      </c>
      <c r="DN148" s="22">
        <f>+_xlfn.XLOOKUP($CT148,Budget!$A:$A,Budget!CI:CI)</f>
        <v>59554.775000000001</v>
      </c>
      <c r="DO148" s="22">
        <f>+_xlfn.XLOOKUP($CT148,Budget!$A:$A,Budget!CJ:CJ)</f>
        <v>59554.775000000001</v>
      </c>
      <c r="DP148" s="22">
        <f>+_xlfn.XLOOKUP($CT148,Budget!$A:$A,Budget!CK:CK)</f>
        <v>59554.775000000001</v>
      </c>
      <c r="DQ148" s="22">
        <f>+_xlfn.XLOOKUP($CT148,Budget!$A:$A,Budget!CL:CL)</f>
        <v>59554.775000000001</v>
      </c>
      <c r="DR148" s="22">
        <f>+_xlfn.XLOOKUP($CT148,Budget!$A:$A,Budget!CM:CM)</f>
        <v>59554.775000000001</v>
      </c>
      <c r="DS148" s="22">
        <f>+_xlfn.XLOOKUP($CT148,Budget!$A:$A,Budget!CN:CN)</f>
        <v>59554.775000000001</v>
      </c>
      <c r="DT148" s="22">
        <f>+_xlfn.XLOOKUP($CT148,Budget!$A:$A,Budget!CO:CO)</f>
        <v>59554.775000000001</v>
      </c>
      <c r="DU148" s="106">
        <f t="shared" si="650"/>
        <v>714657.30000000016</v>
      </c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106">
        <f t="shared" si="651"/>
        <v>0</v>
      </c>
      <c r="EJ148" s="16" t="str">
        <f t="shared" si="601"/>
        <v>Daily Allowance to Drivers</v>
      </c>
      <c r="EK148" s="22">
        <f>+VLOOKUP($BD148,'Jan-25'!$A:$J,9,0)</f>
        <v>4482</v>
      </c>
      <c r="EL148" s="22">
        <f>+VLOOKUP($BD148,'Feb-25'!$A:$J,9,0)</f>
        <v>6041</v>
      </c>
      <c r="EM148" s="22">
        <f>+VLOOKUP($BD148,'Mar-25'!$A:$J,9,0)</f>
        <v>5897</v>
      </c>
      <c r="EN148" s="22">
        <f>+VLOOKUP($BD148,'Apr-25'!$A:$J,9,0)</f>
        <v>8757</v>
      </c>
      <c r="EO148" s="22">
        <f>+VLOOKUP($BD148,'May-25'!$A:$J,9,0)</f>
        <v>9138</v>
      </c>
      <c r="EP148" s="22">
        <f>+VLOOKUP($BD148,'June-25'!$A:$J,9,0)</f>
        <v>23347</v>
      </c>
      <c r="EQ148" s="22">
        <f>+VLOOKUP($BD148,'July-25'!$A:$J,9,0)</f>
        <v>6361</v>
      </c>
      <c r="ER148" s="22">
        <f>+VLOOKUP($BD148,'Aug-25'!$A:$J,9,0)</f>
        <v>20202</v>
      </c>
      <c r="ES148" s="22">
        <f>+VLOOKUP($BD148,'Sep-25'!$A:$J,9,0)</f>
        <v>2791</v>
      </c>
      <c r="ET148" s="22">
        <f>+VLOOKUP($BD148,'Oct-25'!$A:$J,9,0)</f>
        <v>25293</v>
      </c>
      <c r="EU148" s="22">
        <f>+VLOOKUP($BD148,'Nov-25'!$A:$J,9,0)</f>
        <v>0</v>
      </c>
      <c r="EV148" s="22">
        <f>+VLOOKUP($BD148,'Dec-25'!$A:$J,9,0)</f>
        <v>0</v>
      </c>
      <c r="EW148" s="22">
        <f t="shared" si="652"/>
        <v>112309</v>
      </c>
      <c r="EX148" s="118">
        <f t="shared" si="479"/>
        <v>0</v>
      </c>
      <c r="EY148" s="22">
        <f>+_xlfn.XLOOKUP($EJ148,Budget!$A:$A,Budget!DE:DE)</f>
        <v>0</v>
      </c>
      <c r="EZ148" s="22">
        <f>+_xlfn.XLOOKUP($EJ148,Budget!$A:$A,Budget!DF:DF)</f>
        <v>0</v>
      </c>
      <c r="FA148" s="22">
        <f>+_xlfn.XLOOKUP($EJ148,Budget!$A:$A,Budget!DG:DG)</f>
        <v>0</v>
      </c>
      <c r="FB148" s="22">
        <f>+_xlfn.XLOOKUP($EJ148,Budget!$A:$A,Budget!DH:DH)</f>
        <v>0</v>
      </c>
      <c r="FC148" s="22">
        <f>+_xlfn.XLOOKUP($EJ148,Budget!$A:$A,Budget!DI:DI)</f>
        <v>0</v>
      </c>
      <c r="FD148" s="22">
        <f>+_xlfn.XLOOKUP($EJ148,Budget!$A:$A,Budget!DJ:DJ)</f>
        <v>0</v>
      </c>
      <c r="FE148" s="22">
        <f>+_xlfn.XLOOKUP($EJ148,Budget!$A:$A,Budget!DK:DK)</f>
        <v>0</v>
      </c>
      <c r="FF148" s="22">
        <f>+_xlfn.XLOOKUP($EJ148,Budget!$A:$A,Budget!DL:DL)</f>
        <v>0</v>
      </c>
      <c r="FG148" s="22">
        <f>+_xlfn.XLOOKUP($EJ148,Budget!$A:$A,Budget!DM:DM)</f>
        <v>0</v>
      </c>
      <c r="FH148" s="22">
        <f>+_xlfn.XLOOKUP($EJ148,Budget!$A:$A,Budget!DN:DN)</f>
        <v>0</v>
      </c>
      <c r="FI148" s="22">
        <f>+_xlfn.XLOOKUP($EJ148,Budget!$A:$A,Budget!DO:DO)</f>
        <v>0</v>
      </c>
      <c r="FJ148" s="22">
        <f>+_xlfn.XLOOKUP($EJ148,Budget!$A:$A,Budget!DP:DP)</f>
        <v>0</v>
      </c>
      <c r="FK148" s="106">
        <f t="shared" si="653"/>
        <v>0</v>
      </c>
    </row>
    <row r="149" spans="1:167" ht="14.45" hidden="1" customHeight="1" outlineLevel="2">
      <c r="A149" s="106">
        <f t="shared" si="558"/>
        <v>0</v>
      </c>
      <c r="B149" s="106">
        <f t="shared" si="558"/>
        <v>0</v>
      </c>
      <c r="C149" s="106">
        <f t="shared" si="558"/>
        <v>0</v>
      </c>
      <c r="D149" s="106">
        <f t="shared" si="558"/>
        <v>0</v>
      </c>
      <c r="E149" s="106">
        <f t="shared" si="558"/>
        <v>0</v>
      </c>
      <c r="F149" s="106">
        <f t="shared" si="558"/>
        <v>0</v>
      </c>
      <c r="G149" s="106">
        <f t="shared" si="558"/>
        <v>0</v>
      </c>
      <c r="H149" s="106">
        <f t="shared" si="558"/>
        <v>0</v>
      </c>
      <c r="I149" s="106">
        <f t="shared" si="558"/>
        <v>0</v>
      </c>
      <c r="J149" s="106">
        <f t="shared" si="558"/>
        <v>0</v>
      </c>
      <c r="K149" s="106">
        <f t="shared" si="558"/>
        <v>0</v>
      </c>
      <c r="L149" s="106">
        <f t="shared" si="558"/>
        <v>0</v>
      </c>
      <c r="M149" s="106">
        <f t="shared" si="640"/>
        <v>0</v>
      </c>
      <c r="N149" s="16" t="s">
        <v>124</v>
      </c>
      <c r="O149" s="22">
        <f t="shared" si="641"/>
        <v>0</v>
      </c>
      <c r="P149" s="22">
        <f t="shared" si="641"/>
        <v>0</v>
      </c>
      <c r="Q149" s="22">
        <f t="shared" si="641"/>
        <v>0</v>
      </c>
      <c r="R149" s="22">
        <f t="shared" si="641"/>
        <v>0</v>
      </c>
      <c r="S149" s="22">
        <f t="shared" si="641"/>
        <v>0</v>
      </c>
      <c r="T149" s="22">
        <f t="shared" si="641"/>
        <v>0</v>
      </c>
      <c r="U149" s="22">
        <f t="shared" si="641"/>
        <v>0</v>
      </c>
      <c r="V149" s="22">
        <f t="shared" si="641"/>
        <v>0</v>
      </c>
      <c r="W149" s="22">
        <f t="shared" si="641"/>
        <v>0</v>
      </c>
      <c r="X149" s="22">
        <f t="shared" si="641"/>
        <v>0</v>
      </c>
      <c r="Y149" s="22">
        <f t="shared" si="641"/>
        <v>0</v>
      </c>
      <c r="Z149" s="22">
        <f t="shared" si="641"/>
        <v>0</v>
      </c>
      <c r="AA149" s="22">
        <f t="shared" si="642"/>
        <v>0</v>
      </c>
      <c r="AB149" s="118">
        <f t="shared" si="476"/>
        <v>0</v>
      </c>
      <c r="AC149" s="22">
        <f t="shared" si="643"/>
        <v>0</v>
      </c>
      <c r="AD149" s="22">
        <f t="shared" si="643"/>
        <v>0</v>
      </c>
      <c r="AE149" s="22">
        <f t="shared" si="643"/>
        <v>0</v>
      </c>
      <c r="AF149" s="22">
        <f t="shared" si="643"/>
        <v>0</v>
      </c>
      <c r="AG149" s="22">
        <f t="shared" si="643"/>
        <v>0</v>
      </c>
      <c r="AH149" s="22">
        <f t="shared" si="643"/>
        <v>0</v>
      </c>
      <c r="AI149" s="22">
        <f t="shared" si="643"/>
        <v>0</v>
      </c>
      <c r="AJ149" s="22">
        <f t="shared" si="643"/>
        <v>0</v>
      </c>
      <c r="AK149" s="22">
        <f t="shared" si="643"/>
        <v>0</v>
      </c>
      <c r="AL149" s="22">
        <f t="shared" si="643"/>
        <v>0</v>
      </c>
      <c r="AM149" s="22">
        <f t="shared" si="643"/>
        <v>0</v>
      </c>
      <c r="AN149" s="22">
        <f t="shared" si="643"/>
        <v>0</v>
      </c>
      <c r="AO149" s="22">
        <f t="shared" si="644"/>
        <v>0</v>
      </c>
      <c r="AQ149" s="110">
        <v>0</v>
      </c>
      <c r="AR149" s="106">
        <v>0</v>
      </c>
      <c r="AS149" s="106">
        <v>0</v>
      </c>
      <c r="AT149" s="106">
        <v>0</v>
      </c>
      <c r="AU149" s="106">
        <v>0</v>
      </c>
      <c r="AV149" s="106">
        <v>0</v>
      </c>
      <c r="AW149" s="106">
        <v>0</v>
      </c>
      <c r="AX149" s="106">
        <v>0</v>
      </c>
      <c r="AY149" s="106">
        <v>0</v>
      </c>
      <c r="AZ149" s="106">
        <v>0</v>
      </c>
      <c r="BA149" s="106">
        <v>0</v>
      </c>
      <c r="BB149" s="106">
        <v>0</v>
      </c>
      <c r="BC149" s="106">
        <f t="shared" si="645"/>
        <v>0</v>
      </c>
      <c r="BD149" s="16" t="str">
        <f t="shared" si="591"/>
        <v>Daily Allowance to Others</v>
      </c>
      <c r="BE149" s="22">
        <f>+VLOOKUP($BD149,'Jan-25'!$A:$J,4,0)</f>
        <v>0</v>
      </c>
      <c r="BF149" s="22">
        <f>+VLOOKUP($BD149,'Feb-25'!$A:$J,4,0)</f>
        <v>0</v>
      </c>
      <c r="BG149" s="22">
        <f>+VLOOKUP($BD149,'Mar-25'!$A:$J,4,0)</f>
        <v>0</v>
      </c>
      <c r="BH149" s="22">
        <f>+VLOOKUP($BD149,'Apr-25'!$A:$J,4,0)</f>
        <v>0</v>
      </c>
      <c r="BI149" s="22">
        <f>+VLOOKUP($BD149,'May-25'!$A:$J,4,0)</f>
        <v>0</v>
      </c>
      <c r="BJ149" s="22">
        <f>+VLOOKUP($BD149,'June-25'!$A:$J,4,0)</f>
        <v>0</v>
      </c>
      <c r="BK149" s="22">
        <f>+VLOOKUP($BD149,'July-25'!$A:$J,4,0)</f>
        <v>0</v>
      </c>
      <c r="BL149" s="22">
        <f>+VLOOKUP($BD149,'Aug-25'!$A:$J,4,0)</f>
        <v>0</v>
      </c>
      <c r="BM149" s="22">
        <f>+VLOOKUP($BD149,'Sep-25'!$A:$J,4,0)</f>
        <v>0</v>
      </c>
      <c r="BN149" s="22">
        <f>+VLOOKUP($BD149,'Oct-25'!$A:$J,4,0)</f>
        <v>0</v>
      </c>
      <c r="BO149" s="22">
        <f>+VLOOKUP($BD149,'Nov-25'!$A:$J,4,0)</f>
        <v>0</v>
      </c>
      <c r="BP149" s="22">
        <f>+VLOOKUP($BD149,'Dec-25'!$A:$J,4,0)</f>
        <v>0</v>
      </c>
      <c r="BQ149" s="22">
        <f t="shared" si="646"/>
        <v>0</v>
      </c>
      <c r="BR149" s="118">
        <f t="shared" si="477"/>
        <v>0</v>
      </c>
      <c r="BS149" s="106">
        <f>+_xlfn.XLOOKUP($BD149,Budget!$A:$A,Budget!AQ:AQ)</f>
        <v>0</v>
      </c>
      <c r="BT149" s="106">
        <f>+_xlfn.XLOOKUP($BD149,Budget!$A:$A,Budget!AR:AR)</f>
        <v>0</v>
      </c>
      <c r="BU149" s="106">
        <f>+_xlfn.XLOOKUP($BD149,Budget!$A:$A,Budget!AS:AS)</f>
        <v>0</v>
      </c>
      <c r="BV149" s="106">
        <f>+_xlfn.XLOOKUP($BD149,Budget!$A:$A,Budget!AT:AT)</f>
        <v>0</v>
      </c>
      <c r="BW149" s="106">
        <f>+_xlfn.XLOOKUP($BD149,Budget!$A:$A,Budget!AU:AU)</f>
        <v>0</v>
      </c>
      <c r="BX149" s="106">
        <f>+_xlfn.XLOOKUP($BD149,Budget!$A:$A,Budget!AV:AV)</f>
        <v>0</v>
      </c>
      <c r="BY149" s="106">
        <f>+_xlfn.XLOOKUP($BD149,Budget!$A:$A,Budget!AW:AW)</f>
        <v>0</v>
      </c>
      <c r="BZ149" s="106">
        <f>+_xlfn.XLOOKUP($BD149,Budget!$A:$A,Budget!AX:AX)</f>
        <v>0</v>
      </c>
      <c r="CA149" s="106">
        <f>+_xlfn.XLOOKUP($BD149,Budget!$A:$A,Budget!AY:AY)</f>
        <v>0</v>
      </c>
      <c r="CB149" s="106">
        <f>+_xlfn.XLOOKUP($BD149,Budget!$A:$A,Budget!AZ:AZ)</f>
        <v>0</v>
      </c>
      <c r="CC149" s="106">
        <f>+_xlfn.XLOOKUP($BD149,Budget!$A:$A,Budget!BA:BA)</f>
        <v>0</v>
      </c>
      <c r="CD149" s="106">
        <f>+_xlfn.XLOOKUP($BD149,Budget!$A:$A,Budget!BB:BB)</f>
        <v>0</v>
      </c>
      <c r="CE149" s="106">
        <f t="shared" si="647"/>
        <v>0</v>
      </c>
      <c r="CF149" s="22"/>
      <c r="CG149" s="22">
        <v>0</v>
      </c>
      <c r="CH149" s="22">
        <v>0</v>
      </c>
      <c r="CI149" s="22">
        <v>0</v>
      </c>
      <c r="CJ149" s="22">
        <v>0</v>
      </c>
      <c r="CK149" s="22">
        <v>0</v>
      </c>
      <c r="CL149" s="22">
        <v>0</v>
      </c>
      <c r="CM149" s="22">
        <v>0</v>
      </c>
      <c r="CN149" s="22">
        <v>0</v>
      </c>
      <c r="CO149" s="22">
        <v>0</v>
      </c>
      <c r="CP149" s="22">
        <v>0</v>
      </c>
      <c r="CQ149" s="22">
        <v>0</v>
      </c>
      <c r="CR149" s="22">
        <v>0</v>
      </c>
      <c r="CS149" s="106">
        <f t="shared" si="648"/>
        <v>0</v>
      </c>
      <c r="CT149" s="16" t="str">
        <f t="shared" si="595"/>
        <v>Daily Allowance to Others</v>
      </c>
      <c r="CU149" s="22">
        <f>+VLOOKUP($BD149,'Jan-25'!$A:$J,7,0)</f>
        <v>0</v>
      </c>
      <c r="CV149" s="22">
        <f>+VLOOKUP($BD149,'Feb-25'!$A:$J,7,0)</f>
        <v>0</v>
      </c>
      <c r="CW149" s="22">
        <f>+VLOOKUP($BD149,'Mar-25'!$A:$J,7,0)</f>
        <v>0</v>
      </c>
      <c r="CX149" s="22">
        <f>+VLOOKUP($BD149,'Apr-25'!$A:$J,7,0)</f>
        <v>0</v>
      </c>
      <c r="CY149" s="22">
        <f>+VLOOKUP($BD149,'May-25'!$A:$J,7,0)</f>
        <v>0</v>
      </c>
      <c r="CZ149" s="22">
        <f>+VLOOKUP($BD149,'June-25'!$A:$J,7,0)</f>
        <v>0</v>
      </c>
      <c r="DA149" s="22">
        <f>+VLOOKUP($BD149,'July-25'!$A:$J,7,0)</f>
        <v>0</v>
      </c>
      <c r="DB149" s="22">
        <f>+VLOOKUP($BD149,'Aug-25'!$A:$J,7,0)</f>
        <v>0</v>
      </c>
      <c r="DC149" s="22">
        <f>+VLOOKUP($BD149,'Sep-25'!$A:$J,7,0)</f>
        <v>0</v>
      </c>
      <c r="DD149" s="22">
        <f>+VLOOKUP($BD149,'Oct-25'!$A:$J,7,0)</f>
        <v>0</v>
      </c>
      <c r="DE149" s="22">
        <f>+VLOOKUP($BD149,'Nov-25'!$A:$J,7,0)</f>
        <v>0</v>
      </c>
      <c r="DF149" s="22">
        <f>+VLOOKUP($BD149,'Dec-25'!$A:$J,7,0)</f>
        <v>0</v>
      </c>
      <c r="DG149" s="22">
        <f t="shared" si="649"/>
        <v>0</v>
      </c>
      <c r="DH149" s="118">
        <f t="shared" si="478"/>
        <v>0</v>
      </c>
      <c r="DI149" s="22">
        <f>+_xlfn.XLOOKUP($CT149,Budget!$A:$A,Budget!CD:CD)</f>
        <v>0</v>
      </c>
      <c r="DJ149" s="22">
        <f>+_xlfn.XLOOKUP($CT149,Budget!$A:$A,Budget!CE:CE)</f>
        <v>0</v>
      </c>
      <c r="DK149" s="22">
        <f>+_xlfn.XLOOKUP($CT149,Budget!$A:$A,Budget!CF:CF)</f>
        <v>0</v>
      </c>
      <c r="DL149" s="22">
        <f>+_xlfn.XLOOKUP($CT149,Budget!$A:$A,Budget!CG:CG)</f>
        <v>0</v>
      </c>
      <c r="DM149" s="22">
        <f>+_xlfn.XLOOKUP($CT149,Budget!$A:$A,Budget!CH:CH)</f>
        <v>0</v>
      </c>
      <c r="DN149" s="22">
        <f>+_xlfn.XLOOKUP($CT149,Budget!$A:$A,Budget!CI:CI)</f>
        <v>0</v>
      </c>
      <c r="DO149" s="22">
        <f>+_xlfn.XLOOKUP($CT149,Budget!$A:$A,Budget!CJ:CJ)</f>
        <v>0</v>
      </c>
      <c r="DP149" s="22">
        <f>+_xlfn.XLOOKUP($CT149,Budget!$A:$A,Budget!CK:CK)</f>
        <v>0</v>
      </c>
      <c r="DQ149" s="22">
        <f>+_xlfn.XLOOKUP($CT149,Budget!$A:$A,Budget!CL:CL)</f>
        <v>0</v>
      </c>
      <c r="DR149" s="22">
        <f>+_xlfn.XLOOKUP($CT149,Budget!$A:$A,Budget!CM:CM)</f>
        <v>0</v>
      </c>
      <c r="DS149" s="22">
        <f>+_xlfn.XLOOKUP($CT149,Budget!$A:$A,Budget!CN:CN)</f>
        <v>0</v>
      </c>
      <c r="DT149" s="22">
        <f>+_xlfn.XLOOKUP($CT149,Budget!$A:$A,Budget!CO:CO)</f>
        <v>0</v>
      </c>
      <c r="DU149" s="106">
        <f t="shared" si="650"/>
        <v>0</v>
      </c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106">
        <f t="shared" si="651"/>
        <v>0</v>
      </c>
      <c r="EJ149" s="16" t="str">
        <f t="shared" si="601"/>
        <v>Daily Allowance to Others</v>
      </c>
      <c r="EK149" s="22">
        <f>+VLOOKUP($BD149,'Jan-25'!$A:$J,9,0)</f>
        <v>0</v>
      </c>
      <c r="EL149" s="22">
        <f>+VLOOKUP($BD149,'Feb-25'!$A:$J,9,0)</f>
        <v>0</v>
      </c>
      <c r="EM149" s="22">
        <f>+VLOOKUP($BD149,'Mar-25'!$A:$J,9,0)</f>
        <v>0</v>
      </c>
      <c r="EN149" s="22">
        <f>+VLOOKUP($BD149,'Apr-25'!$A:$J,9,0)</f>
        <v>0</v>
      </c>
      <c r="EO149" s="22">
        <f>+VLOOKUP($BD149,'May-25'!$A:$J,9,0)</f>
        <v>0</v>
      </c>
      <c r="EP149" s="22">
        <f>+VLOOKUP($BD149,'June-25'!$A:$J,9,0)</f>
        <v>0</v>
      </c>
      <c r="EQ149" s="22">
        <f>+VLOOKUP($BD149,'July-25'!$A:$J,9,0)</f>
        <v>0</v>
      </c>
      <c r="ER149" s="22">
        <f>+VLOOKUP($BD149,'Aug-25'!$A:$J,9,0)</f>
        <v>0</v>
      </c>
      <c r="ES149" s="22">
        <f>+VLOOKUP($BD149,'Sep-25'!$A:$J,9,0)</f>
        <v>0</v>
      </c>
      <c r="ET149" s="22">
        <f>+VLOOKUP($BD149,'Oct-25'!$A:$J,9,0)</f>
        <v>0</v>
      </c>
      <c r="EU149" s="22">
        <f>+VLOOKUP($BD149,'Nov-25'!$A:$J,9,0)</f>
        <v>0</v>
      </c>
      <c r="EV149" s="22">
        <f>+VLOOKUP($BD149,'Dec-25'!$A:$J,9,0)</f>
        <v>0</v>
      </c>
      <c r="EW149" s="22">
        <f t="shared" si="652"/>
        <v>0</v>
      </c>
      <c r="EX149" s="118">
        <f t="shared" si="479"/>
        <v>0</v>
      </c>
      <c r="EY149" s="22">
        <f>+_xlfn.XLOOKUP($EJ149,Budget!$A:$A,Budget!DE:DE)</f>
        <v>0</v>
      </c>
      <c r="EZ149" s="22">
        <f>+_xlfn.XLOOKUP($EJ149,Budget!$A:$A,Budget!DF:DF)</f>
        <v>0</v>
      </c>
      <c r="FA149" s="22">
        <f>+_xlfn.XLOOKUP($EJ149,Budget!$A:$A,Budget!DG:DG)</f>
        <v>0</v>
      </c>
      <c r="FB149" s="22">
        <f>+_xlfn.XLOOKUP($EJ149,Budget!$A:$A,Budget!DH:DH)</f>
        <v>0</v>
      </c>
      <c r="FC149" s="22">
        <f>+_xlfn.XLOOKUP($EJ149,Budget!$A:$A,Budget!DI:DI)</f>
        <v>0</v>
      </c>
      <c r="FD149" s="22">
        <f>+_xlfn.XLOOKUP($EJ149,Budget!$A:$A,Budget!DJ:DJ)</f>
        <v>0</v>
      </c>
      <c r="FE149" s="22">
        <f>+_xlfn.XLOOKUP($EJ149,Budget!$A:$A,Budget!DK:DK)</f>
        <v>0</v>
      </c>
      <c r="FF149" s="22">
        <f>+_xlfn.XLOOKUP($EJ149,Budget!$A:$A,Budget!DL:DL)</f>
        <v>0</v>
      </c>
      <c r="FG149" s="22">
        <f>+_xlfn.XLOOKUP($EJ149,Budget!$A:$A,Budget!DM:DM)</f>
        <v>0</v>
      </c>
      <c r="FH149" s="22">
        <f>+_xlfn.XLOOKUP($EJ149,Budget!$A:$A,Budget!DN:DN)</f>
        <v>0</v>
      </c>
      <c r="FI149" s="22">
        <f>+_xlfn.XLOOKUP($EJ149,Budget!$A:$A,Budget!DO:DO)</f>
        <v>0</v>
      </c>
      <c r="FJ149" s="22">
        <f>+_xlfn.XLOOKUP($EJ149,Budget!$A:$A,Budget!DP:DP)</f>
        <v>0</v>
      </c>
      <c r="FK149" s="106">
        <f t="shared" si="653"/>
        <v>0</v>
      </c>
    </row>
    <row r="150" spans="1:167" ht="14.45" hidden="1" customHeight="1" outlineLevel="1" collapsed="1">
      <c r="A150" s="58">
        <f t="shared" ref="A150:M150" si="654">+SUM(A151:A154)</f>
        <v>128216.9</v>
      </c>
      <c r="B150" s="58">
        <f t="shared" si="654"/>
        <v>104460.9</v>
      </c>
      <c r="C150" s="58">
        <f t="shared" si="654"/>
        <v>108578.4</v>
      </c>
      <c r="D150" s="58">
        <f t="shared" si="654"/>
        <v>101411.7</v>
      </c>
      <c r="E150" s="58">
        <f t="shared" si="654"/>
        <v>110872.2</v>
      </c>
      <c r="F150" s="58">
        <f t="shared" si="654"/>
        <v>112372.2</v>
      </c>
      <c r="G150" s="58">
        <f t="shared" si="654"/>
        <v>120855.5</v>
      </c>
      <c r="H150" s="58">
        <f t="shared" si="654"/>
        <v>136143.79999999999</v>
      </c>
      <c r="I150" s="58">
        <f t="shared" si="654"/>
        <v>136733.20000000001</v>
      </c>
      <c r="J150" s="58">
        <f t="shared" si="654"/>
        <v>218054.2</v>
      </c>
      <c r="K150" s="58">
        <f t="shared" si="654"/>
        <v>127405.3</v>
      </c>
      <c r="L150" s="58">
        <f t="shared" si="654"/>
        <v>135647.6</v>
      </c>
      <c r="M150" s="58">
        <f t="shared" si="654"/>
        <v>1540751.9</v>
      </c>
      <c r="N150" s="20" t="s">
        <v>125</v>
      </c>
      <c r="O150" s="28">
        <f t="shared" ref="O150:AA150" si="655">+SUM(O151:O154)</f>
        <v>217905.19999999998</v>
      </c>
      <c r="P150" s="28">
        <f t="shared" si="655"/>
        <v>207067.89999999997</v>
      </c>
      <c r="Q150" s="28">
        <f t="shared" si="655"/>
        <v>233011.89999999997</v>
      </c>
      <c r="R150" s="28">
        <f t="shared" si="655"/>
        <v>224468.3</v>
      </c>
      <c r="S150" s="28">
        <f t="shared" si="655"/>
        <v>239720.3</v>
      </c>
      <c r="T150" s="28">
        <f t="shared" si="655"/>
        <v>268349.09999999998</v>
      </c>
      <c r="U150" s="28">
        <f t="shared" si="655"/>
        <v>224175.69999999998</v>
      </c>
      <c r="V150" s="28">
        <f t="shared" si="655"/>
        <v>253003.19999999998</v>
      </c>
      <c r="W150" s="28">
        <f t="shared" si="655"/>
        <v>271394.8</v>
      </c>
      <c r="X150" s="28">
        <f t="shared" si="655"/>
        <v>260292.8</v>
      </c>
      <c r="Y150" s="28">
        <f t="shared" si="655"/>
        <v>0</v>
      </c>
      <c r="Z150" s="28">
        <f t="shared" si="655"/>
        <v>0</v>
      </c>
      <c r="AA150" s="28">
        <f t="shared" si="655"/>
        <v>2399389.2000000002</v>
      </c>
      <c r="AB150" s="118">
        <f t="shared" si="476"/>
        <v>0.4517381929405897</v>
      </c>
      <c r="AC150" s="28">
        <f t="shared" ref="AC150:AO150" si="656">+SUM(AC151:AC154)</f>
        <v>179297.3425</v>
      </c>
      <c r="AD150" s="28">
        <f t="shared" si="656"/>
        <v>179297.3425</v>
      </c>
      <c r="AE150" s="28">
        <f t="shared" si="656"/>
        <v>179297.3425</v>
      </c>
      <c r="AF150" s="28">
        <f t="shared" si="656"/>
        <v>179297.3425</v>
      </c>
      <c r="AG150" s="28">
        <f t="shared" si="656"/>
        <v>179297.3425</v>
      </c>
      <c r="AH150" s="28">
        <f t="shared" si="656"/>
        <v>179297.3425</v>
      </c>
      <c r="AI150" s="28">
        <f t="shared" si="656"/>
        <v>179297.3425</v>
      </c>
      <c r="AJ150" s="28">
        <f t="shared" si="656"/>
        <v>179297.3425</v>
      </c>
      <c r="AK150" s="28">
        <f t="shared" si="656"/>
        <v>179297.3425</v>
      </c>
      <c r="AL150" s="28">
        <f t="shared" si="656"/>
        <v>179297.3425</v>
      </c>
      <c r="AM150" s="28">
        <f t="shared" si="656"/>
        <v>179297.3425</v>
      </c>
      <c r="AN150" s="28">
        <f t="shared" si="656"/>
        <v>179297.3425</v>
      </c>
      <c r="AO150" s="28">
        <f t="shared" si="656"/>
        <v>2151568.1100000003</v>
      </c>
      <c r="AQ150" s="58">
        <f t="shared" ref="AQ150:BC150" si="657">+SUM(AQ151:AQ154)</f>
        <v>76935</v>
      </c>
      <c r="AR150" s="58">
        <f t="shared" si="657"/>
        <v>75139.799999999988</v>
      </c>
      <c r="AS150" s="58">
        <f t="shared" si="657"/>
        <v>77949</v>
      </c>
      <c r="AT150" s="58">
        <f t="shared" si="657"/>
        <v>72094.799999999988</v>
      </c>
      <c r="AU150" s="58">
        <f t="shared" si="657"/>
        <v>81177</v>
      </c>
      <c r="AV150" s="58">
        <f t="shared" si="657"/>
        <v>82677</v>
      </c>
      <c r="AW150" s="58">
        <f t="shared" si="657"/>
        <v>88241.600000000006</v>
      </c>
      <c r="AX150" s="58">
        <f t="shared" si="657"/>
        <v>87231.799999999988</v>
      </c>
      <c r="AY150" s="58">
        <f t="shared" si="657"/>
        <v>103054</v>
      </c>
      <c r="AZ150" s="58">
        <f t="shared" si="657"/>
        <v>145302.20000000001</v>
      </c>
      <c r="BA150" s="58">
        <f t="shared" si="657"/>
        <v>92592.4</v>
      </c>
      <c r="BB150" s="58">
        <f t="shared" si="657"/>
        <v>92504</v>
      </c>
      <c r="BC150" s="58">
        <f t="shared" si="657"/>
        <v>1074898.6000000001</v>
      </c>
      <c r="BD150" s="20" t="str">
        <f t="shared" si="591"/>
        <v>"Outside sourced services</v>
      </c>
      <c r="BE150" s="28">
        <f t="shared" ref="BE150:BQ150" si="658">+SUM(BE151:BE154)</f>
        <v>91518</v>
      </c>
      <c r="BF150" s="28">
        <f t="shared" si="658"/>
        <v>89642.2</v>
      </c>
      <c r="BG150" s="28">
        <f t="shared" si="658"/>
        <v>95007.2</v>
      </c>
      <c r="BH150" s="28">
        <f t="shared" si="658"/>
        <v>82484.2</v>
      </c>
      <c r="BI150" s="28">
        <f t="shared" si="658"/>
        <v>95515.799999999988</v>
      </c>
      <c r="BJ150" s="28">
        <f t="shared" si="658"/>
        <v>98694.2</v>
      </c>
      <c r="BK150" s="28">
        <f t="shared" si="658"/>
        <v>99016.4</v>
      </c>
      <c r="BL150" s="28">
        <f t="shared" si="658"/>
        <v>99374.399999999994</v>
      </c>
      <c r="BM150" s="28">
        <f t="shared" si="658"/>
        <v>135438.20000000001</v>
      </c>
      <c r="BN150" s="28">
        <f t="shared" si="658"/>
        <v>97935.799999999988</v>
      </c>
      <c r="BO150" s="28">
        <f t="shared" si="658"/>
        <v>0</v>
      </c>
      <c r="BP150" s="28">
        <f t="shared" si="658"/>
        <v>0</v>
      </c>
      <c r="BQ150" s="28">
        <f t="shared" si="658"/>
        <v>984626.4</v>
      </c>
      <c r="BR150" s="118">
        <f t="shared" si="477"/>
        <v>0.20313241845361671</v>
      </c>
      <c r="BS150" s="58">
        <f t="shared" ref="BS150:CE150" si="659">+SUM(BS151:BS154)</f>
        <v>81400.682499999995</v>
      </c>
      <c r="BT150" s="58">
        <f t="shared" si="659"/>
        <v>81400.682499999995</v>
      </c>
      <c r="BU150" s="58">
        <f t="shared" si="659"/>
        <v>81400.682499999995</v>
      </c>
      <c r="BV150" s="58">
        <f t="shared" si="659"/>
        <v>81400.682499999995</v>
      </c>
      <c r="BW150" s="58">
        <f t="shared" si="659"/>
        <v>81400.682499999995</v>
      </c>
      <c r="BX150" s="58">
        <f t="shared" si="659"/>
        <v>81400.682499999995</v>
      </c>
      <c r="BY150" s="58">
        <f t="shared" si="659"/>
        <v>81400.682499999995</v>
      </c>
      <c r="BZ150" s="58">
        <f t="shared" si="659"/>
        <v>81400.682499999995</v>
      </c>
      <c r="CA150" s="58">
        <f t="shared" si="659"/>
        <v>81400.682499999995</v>
      </c>
      <c r="CB150" s="58">
        <f t="shared" si="659"/>
        <v>81400.682499999995</v>
      </c>
      <c r="CC150" s="58">
        <f t="shared" si="659"/>
        <v>81400.682499999995</v>
      </c>
      <c r="CD150" s="58">
        <f t="shared" si="659"/>
        <v>81400.682499999995</v>
      </c>
      <c r="CE150" s="58">
        <f t="shared" si="659"/>
        <v>976808.19</v>
      </c>
      <c r="CF150" s="22"/>
      <c r="CG150" s="28">
        <f t="shared" ref="CG150:CS150" si="660">+SUM(CG151:CG154)</f>
        <v>51281.899999999994</v>
      </c>
      <c r="CH150" s="28">
        <f t="shared" si="660"/>
        <v>29321.1</v>
      </c>
      <c r="CI150" s="28">
        <f t="shared" si="660"/>
        <v>30629.399999999998</v>
      </c>
      <c r="CJ150" s="28">
        <f t="shared" si="660"/>
        <v>29316.899999999998</v>
      </c>
      <c r="CK150" s="28">
        <f t="shared" si="660"/>
        <v>29695.200000000001</v>
      </c>
      <c r="CL150" s="28">
        <f t="shared" si="660"/>
        <v>29695.200000000001</v>
      </c>
      <c r="CM150" s="28">
        <f t="shared" si="660"/>
        <v>32613.899999999998</v>
      </c>
      <c r="CN150" s="28">
        <f t="shared" si="660"/>
        <v>48912</v>
      </c>
      <c r="CO150" s="28">
        <f t="shared" si="660"/>
        <v>33679.199999999997</v>
      </c>
      <c r="CP150" s="28">
        <f t="shared" si="660"/>
        <v>72752</v>
      </c>
      <c r="CQ150" s="28">
        <f t="shared" si="660"/>
        <v>34812.899999999994</v>
      </c>
      <c r="CR150" s="28">
        <f t="shared" si="660"/>
        <v>43143.6</v>
      </c>
      <c r="CS150" s="58">
        <f t="shared" si="660"/>
        <v>465853.3</v>
      </c>
      <c r="CT150" s="20" t="str">
        <f t="shared" si="595"/>
        <v>"Outside sourced services</v>
      </c>
      <c r="CU150" s="28">
        <f t="shared" ref="CU150:DG150" si="661">+SUM(CU151:CU154)</f>
        <v>35191.199999999997</v>
      </c>
      <c r="CV150" s="28">
        <f t="shared" si="661"/>
        <v>35327.699999999997</v>
      </c>
      <c r="CW150" s="28">
        <f t="shared" si="661"/>
        <v>35375.699999999997</v>
      </c>
      <c r="CX150" s="28">
        <f t="shared" si="661"/>
        <v>36086.1</v>
      </c>
      <c r="CY150" s="28">
        <f t="shared" si="661"/>
        <v>36493.5</v>
      </c>
      <c r="CZ150" s="28">
        <f t="shared" si="661"/>
        <v>37869.899999999994</v>
      </c>
      <c r="DA150" s="28">
        <f t="shared" si="661"/>
        <v>42935.1</v>
      </c>
      <c r="DB150" s="28">
        <f t="shared" si="661"/>
        <v>38074.800000000003</v>
      </c>
      <c r="DC150" s="28">
        <f t="shared" si="661"/>
        <v>63216.2</v>
      </c>
      <c r="DD150" s="28">
        <f t="shared" si="661"/>
        <v>37263</v>
      </c>
      <c r="DE150" s="28">
        <f t="shared" si="661"/>
        <v>0</v>
      </c>
      <c r="DF150" s="28">
        <f t="shared" si="661"/>
        <v>0</v>
      </c>
      <c r="DG150" s="28">
        <f t="shared" si="661"/>
        <v>397833.19999999995</v>
      </c>
      <c r="DH150" s="118">
        <f t="shared" si="478"/>
        <v>0.15651553721501446</v>
      </c>
      <c r="DI150" s="28">
        <f t="shared" ref="DI150:DU150" si="662">+SUM(DI151:DI154)</f>
        <v>32220.06</v>
      </c>
      <c r="DJ150" s="28">
        <f t="shared" si="662"/>
        <v>32220.06</v>
      </c>
      <c r="DK150" s="28">
        <f t="shared" si="662"/>
        <v>32220.06</v>
      </c>
      <c r="DL150" s="28">
        <f t="shared" si="662"/>
        <v>32220.06</v>
      </c>
      <c r="DM150" s="28">
        <f t="shared" si="662"/>
        <v>32220.06</v>
      </c>
      <c r="DN150" s="28">
        <f t="shared" si="662"/>
        <v>32220.06</v>
      </c>
      <c r="DO150" s="28">
        <f t="shared" si="662"/>
        <v>32220.06</v>
      </c>
      <c r="DP150" s="28">
        <f t="shared" si="662"/>
        <v>32220.06</v>
      </c>
      <c r="DQ150" s="28">
        <f t="shared" si="662"/>
        <v>32220.06</v>
      </c>
      <c r="DR150" s="28">
        <f t="shared" si="662"/>
        <v>32220.06</v>
      </c>
      <c r="DS150" s="28">
        <f t="shared" si="662"/>
        <v>32220.06</v>
      </c>
      <c r="DT150" s="28">
        <f t="shared" si="662"/>
        <v>32220.06</v>
      </c>
      <c r="DU150" s="58">
        <f t="shared" si="662"/>
        <v>386640.72000000009</v>
      </c>
      <c r="DW150" s="28">
        <f t="shared" ref="DW150:EI150" si="663">+SUM(DW151:DW154)</f>
        <v>0</v>
      </c>
      <c r="DX150" s="28">
        <f t="shared" si="663"/>
        <v>0</v>
      </c>
      <c r="DY150" s="28">
        <f t="shared" si="663"/>
        <v>0</v>
      </c>
      <c r="DZ150" s="28">
        <f t="shared" si="663"/>
        <v>0</v>
      </c>
      <c r="EA150" s="28">
        <f t="shared" si="663"/>
        <v>0</v>
      </c>
      <c r="EB150" s="28">
        <f t="shared" si="663"/>
        <v>0</v>
      </c>
      <c r="EC150" s="28">
        <f t="shared" si="663"/>
        <v>0</v>
      </c>
      <c r="ED150" s="28">
        <f t="shared" si="663"/>
        <v>0</v>
      </c>
      <c r="EE150" s="28">
        <f t="shared" si="663"/>
        <v>0</v>
      </c>
      <c r="EF150" s="28">
        <f t="shared" si="663"/>
        <v>0</v>
      </c>
      <c r="EG150" s="28">
        <f t="shared" si="663"/>
        <v>0</v>
      </c>
      <c r="EH150" s="28">
        <f t="shared" si="663"/>
        <v>0</v>
      </c>
      <c r="EI150" s="58">
        <f t="shared" si="663"/>
        <v>0</v>
      </c>
      <c r="EJ150" s="20" t="str">
        <f t="shared" si="601"/>
        <v>"Outside sourced services</v>
      </c>
      <c r="EK150" s="28">
        <f t="shared" ref="EK150:EW150" si="664">+SUM(EK151:EK154)</f>
        <v>91196</v>
      </c>
      <c r="EL150" s="28">
        <f t="shared" si="664"/>
        <v>82098</v>
      </c>
      <c r="EM150" s="28">
        <f t="shared" si="664"/>
        <v>102629</v>
      </c>
      <c r="EN150" s="28">
        <f t="shared" si="664"/>
        <v>105898</v>
      </c>
      <c r="EO150" s="28">
        <f t="shared" si="664"/>
        <v>107711</v>
      </c>
      <c r="EP150" s="28">
        <f t="shared" si="664"/>
        <v>131785</v>
      </c>
      <c r="EQ150" s="28">
        <f t="shared" si="664"/>
        <v>82224.2</v>
      </c>
      <c r="ER150" s="28">
        <f t="shared" si="664"/>
        <v>115554</v>
      </c>
      <c r="ES150" s="28">
        <f t="shared" si="664"/>
        <v>72740.399999999994</v>
      </c>
      <c r="ET150" s="28">
        <f t="shared" si="664"/>
        <v>125094</v>
      </c>
      <c r="EU150" s="28">
        <f t="shared" si="664"/>
        <v>0</v>
      </c>
      <c r="EV150" s="28">
        <f t="shared" si="664"/>
        <v>0</v>
      </c>
      <c r="EW150" s="28">
        <f t="shared" si="664"/>
        <v>1016929.6</v>
      </c>
      <c r="EX150" s="118">
        <f t="shared" si="479"/>
        <v>0.90469664994838328</v>
      </c>
      <c r="EY150" s="28">
        <f t="shared" ref="EY150:FK150" si="665">+SUM(EY151:EY154)</f>
        <v>65676.600000000006</v>
      </c>
      <c r="EZ150" s="28">
        <f t="shared" si="665"/>
        <v>65676.600000000006</v>
      </c>
      <c r="FA150" s="28">
        <f t="shared" si="665"/>
        <v>65676.600000000006</v>
      </c>
      <c r="FB150" s="28">
        <f t="shared" si="665"/>
        <v>65676.600000000006</v>
      </c>
      <c r="FC150" s="28">
        <f t="shared" si="665"/>
        <v>65676.600000000006</v>
      </c>
      <c r="FD150" s="28">
        <f t="shared" si="665"/>
        <v>65676.600000000006</v>
      </c>
      <c r="FE150" s="28">
        <f t="shared" si="665"/>
        <v>65676.600000000006</v>
      </c>
      <c r="FF150" s="28">
        <f t="shared" si="665"/>
        <v>65676.600000000006</v>
      </c>
      <c r="FG150" s="28">
        <f t="shared" si="665"/>
        <v>65676.600000000006</v>
      </c>
      <c r="FH150" s="28">
        <f t="shared" si="665"/>
        <v>65676.600000000006</v>
      </c>
      <c r="FI150" s="28">
        <f t="shared" si="665"/>
        <v>65676.600000000006</v>
      </c>
      <c r="FJ150" s="28">
        <f t="shared" si="665"/>
        <v>65676.600000000006</v>
      </c>
      <c r="FK150" s="58">
        <f t="shared" si="665"/>
        <v>788119.2</v>
      </c>
    </row>
    <row r="151" spans="1:167" ht="14.45" hidden="1" customHeight="1" outlineLevel="2">
      <c r="A151" s="106">
        <f t="shared" si="558"/>
        <v>66194.399999999994</v>
      </c>
      <c r="B151" s="106">
        <f t="shared" si="558"/>
        <v>64343.399999999994</v>
      </c>
      <c r="C151" s="106">
        <f t="shared" si="558"/>
        <v>68340.899999999994</v>
      </c>
      <c r="D151" s="106">
        <f t="shared" si="558"/>
        <v>61264.2</v>
      </c>
      <c r="E151" s="106">
        <f t="shared" si="558"/>
        <v>70724.7</v>
      </c>
      <c r="F151" s="106">
        <f t="shared" si="558"/>
        <v>70724.7</v>
      </c>
      <c r="G151" s="106">
        <f t="shared" si="558"/>
        <v>67878</v>
      </c>
      <c r="H151" s="106">
        <f t="shared" si="558"/>
        <v>65796.299999999988</v>
      </c>
      <c r="I151" s="106">
        <f t="shared" si="558"/>
        <v>83435.7</v>
      </c>
      <c r="J151" s="106">
        <f t="shared" si="558"/>
        <v>165076.70000000001</v>
      </c>
      <c r="K151" s="106">
        <f t="shared" si="558"/>
        <v>74167.8</v>
      </c>
      <c r="L151" s="106">
        <f t="shared" si="558"/>
        <v>72590.100000000006</v>
      </c>
      <c r="M151" s="106">
        <f t="shared" ref="M151:M154" si="666">+SUM(A151:L151)</f>
        <v>930536.9</v>
      </c>
      <c r="N151" s="16" t="s">
        <v>126</v>
      </c>
      <c r="O151" s="22">
        <f t="shared" ref="O151:Z154" si="667">+BE151+CU151+EK151</f>
        <v>140153.9</v>
      </c>
      <c r="P151" s="22">
        <f t="shared" si="667"/>
        <v>137277.59999999998</v>
      </c>
      <c r="Q151" s="22">
        <f t="shared" si="667"/>
        <v>157760.59999999998</v>
      </c>
      <c r="R151" s="22">
        <f t="shared" si="667"/>
        <v>157772</v>
      </c>
      <c r="S151" s="22">
        <f t="shared" si="667"/>
        <v>154769</v>
      </c>
      <c r="T151" s="22">
        <f t="shared" si="667"/>
        <v>156447.79999999999</v>
      </c>
      <c r="U151" s="22">
        <f t="shared" si="667"/>
        <v>121844.4</v>
      </c>
      <c r="V151" s="22">
        <f t="shared" si="667"/>
        <v>158351.9</v>
      </c>
      <c r="W151" s="22">
        <f t="shared" si="667"/>
        <v>126296.69999999998</v>
      </c>
      <c r="X151" s="22">
        <f t="shared" si="667"/>
        <v>178710.3</v>
      </c>
      <c r="Y151" s="22">
        <f t="shared" si="667"/>
        <v>0</v>
      </c>
      <c r="Z151" s="22">
        <f t="shared" si="667"/>
        <v>0</v>
      </c>
      <c r="AA151" s="22">
        <f t="shared" ref="AA151:AA154" si="668">+SUM(O151:Z151)</f>
        <v>1489384.2</v>
      </c>
      <c r="AB151" s="118">
        <f t="shared" si="476"/>
        <v>0.67002673594214868</v>
      </c>
      <c r="AC151" s="22">
        <f t="shared" ref="AC151:AN154" si="669">+BS151+DI151+EY151</f>
        <v>107010.4425</v>
      </c>
      <c r="AD151" s="22">
        <f t="shared" si="669"/>
        <v>107010.4425</v>
      </c>
      <c r="AE151" s="22">
        <f t="shared" si="669"/>
        <v>107010.4425</v>
      </c>
      <c r="AF151" s="22">
        <f t="shared" si="669"/>
        <v>107010.4425</v>
      </c>
      <c r="AG151" s="22">
        <f t="shared" si="669"/>
        <v>107010.4425</v>
      </c>
      <c r="AH151" s="22">
        <f t="shared" si="669"/>
        <v>107010.4425</v>
      </c>
      <c r="AI151" s="22">
        <f t="shared" si="669"/>
        <v>107010.4425</v>
      </c>
      <c r="AJ151" s="22">
        <f t="shared" si="669"/>
        <v>107010.4425</v>
      </c>
      <c r="AK151" s="22">
        <f t="shared" si="669"/>
        <v>107010.4425</v>
      </c>
      <c r="AL151" s="22">
        <f t="shared" si="669"/>
        <v>107010.4425</v>
      </c>
      <c r="AM151" s="22">
        <f t="shared" si="669"/>
        <v>107010.4425</v>
      </c>
      <c r="AN151" s="22">
        <f t="shared" si="669"/>
        <v>107010.4425</v>
      </c>
      <c r="AO151" s="22">
        <f t="shared" ref="AO151:AO154" si="670">+SUM(AC151:AN151)</f>
        <v>1284125.31</v>
      </c>
      <c r="AQ151" s="106">
        <v>48285</v>
      </c>
      <c r="AR151" s="106">
        <v>46489.799999999996</v>
      </c>
      <c r="AS151" s="106">
        <v>49299</v>
      </c>
      <c r="AT151" s="106">
        <v>43444.799999999996</v>
      </c>
      <c r="AU151" s="106">
        <v>52527</v>
      </c>
      <c r="AV151" s="106">
        <v>52527</v>
      </c>
      <c r="AW151" s="106">
        <v>46791.6</v>
      </c>
      <c r="AX151" s="106">
        <v>45781.799999999996</v>
      </c>
      <c r="AY151" s="106">
        <v>61254</v>
      </c>
      <c r="AZ151" s="106">
        <v>103852.2</v>
      </c>
      <c r="BA151" s="106">
        <v>50852.4</v>
      </c>
      <c r="BB151" s="106">
        <v>49554</v>
      </c>
      <c r="BC151" s="106">
        <f t="shared" ref="BC151:BC154" si="671">+SUM(AQ151:BB151)</f>
        <v>650658.6</v>
      </c>
      <c r="BD151" s="16" t="str">
        <f t="shared" si="591"/>
        <v>Cleaning Service</v>
      </c>
      <c r="BE151" s="22">
        <f>+VLOOKUP($BD151,'Jan-25'!$A:$J,4,0)</f>
        <v>49596</v>
      </c>
      <c r="BF151" s="22">
        <f>+VLOOKUP($BD151,'Feb-25'!$A:$J,4,0)</f>
        <v>52681.2</v>
      </c>
      <c r="BG151" s="22">
        <f>+VLOOKUP($BD151,'Mar-25'!$A:$J,4,0)</f>
        <v>52585.2</v>
      </c>
      <c r="BH151" s="22">
        <f>+VLOOKUP($BD151,'Apr-25'!$A:$J,4,0)</f>
        <v>51562.2</v>
      </c>
      <c r="BI151" s="22">
        <f>+VLOOKUP($BD151,'May-25'!$A:$J,4,0)</f>
        <v>50293.799999999996</v>
      </c>
      <c r="BJ151" s="22">
        <f>+VLOOKUP($BD151,'June-25'!$A:$J,4,0)</f>
        <v>52522.2</v>
      </c>
      <c r="BK151" s="22">
        <f>+VLOOKUP($BD151,'July-25'!$A:$J,4,0)</f>
        <v>51914.400000000001</v>
      </c>
      <c r="BL151" s="22">
        <f>+VLOOKUP($BD151,'Aug-25'!$A:$J,4,0)</f>
        <v>54452.4</v>
      </c>
      <c r="BM151" s="22">
        <f>+VLOOKUP($BD151,'Sep-25'!$A:$J,4,0)</f>
        <v>54285</v>
      </c>
      <c r="BN151" s="22">
        <f>+VLOOKUP($BD151,'Oct-25'!$A:$J,4,0)</f>
        <v>70782.599999999991</v>
      </c>
      <c r="BO151" s="22">
        <f>+VLOOKUP($BD151,'Nov-25'!$A:$J,4,0)</f>
        <v>0</v>
      </c>
      <c r="BP151" s="22">
        <f>+VLOOKUP($BD151,'Dec-25'!$A:$J,4,0)</f>
        <v>0</v>
      </c>
      <c r="BQ151" s="22">
        <f t="shared" ref="BQ151:BQ154" si="672">+SUM(BE151:BP151)</f>
        <v>540675</v>
      </c>
      <c r="BR151" s="118">
        <f t="shared" si="477"/>
        <v>0.45407797345378026</v>
      </c>
      <c r="BS151" s="106">
        <f>+_xlfn.XLOOKUP($BD151,Budget!$A:$A,Budget!AQ:AQ)</f>
        <v>48678.682499999995</v>
      </c>
      <c r="BT151" s="106">
        <f>+_xlfn.XLOOKUP($BD151,Budget!$A:$A,Budget!AR:AR)</f>
        <v>48678.682499999995</v>
      </c>
      <c r="BU151" s="106">
        <f>+_xlfn.XLOOKUP($BD151,Budget!$A:$A,Budget!AS:AS)</f>
        <v>48678.682499999995</v>
      </c>
      <c r="BV151" s="106">
        <f>+_xlfn.XLOOKUP($BD151,Budget!$A:$A,Budget!AT:AT)</f>
        <v>48678.682499999995</v>
      </c>
      <c r="BW151" s="106">
        <f>+_xlfn.XLOOKUP($BD151,Budget!$A:$A,Budget!AU:AU)</f>
        <v>48678.682499999995</v>
      </c>
      <c r="BX151" s="106">
        <f>+_xlfn.XLOOKUP($BD151,Budget!$A:$A,Budget!AV:AV)</f>
        <v>48678.682499999995</v>
      </c>
      <c r="BY151" s="106">
        <f>+_xlfn.XLOOKUP($BD151,Budget!$A:$A,Budget!AW:AW)</f>
        <v>48678.682499999995</v>
      </c>
      <c r="BZ151" s="106">
        <f>+_xlfn.XLOOKUP($BD151,Budget!$A:$A,Budget!AX:AX)</f>
        <v>48678.682499999995</v>
      </c>
      <c r="CA151" s="106">
        <f>+_xlfn.XLOOKUP($BD151,Budget!$A:$A,Budget!AY:AY)</f>
        <v>48678.682499999995</v>
      </c>
      <c r="CB151" s="106">
        <f>+_xlfn.XLOOKUP($BD151,Budget!$A:$A,Budget!AZ:AZ)</f>
        <v>48678.682499999995</v>
      </c>
      <c r="CC151" s="106">
        <f>+_xlfn.XLOOKUP($BD151,Budget!$A:$A,Budget!BA:BA)</f>
        <v>48678.682499999995</v>
      </c>
      <c r="CD151" s="106">
        <f>+_xlfn.XLOOKUP($BD151,Budget!$A:$A,Budget!BB:BB)</f>
        <v>48678.682499999995</v>
      </c>
      <c r="CE151" s="106">
        <f t="shared" ref="CE151:CE154" si="673">+SUM(BS151:CD151)</f>
        <v>584144.18999999994</v>
      </c>
      <c r="CF151" s="22"/>
      <c r="CG151" s="22">
        <v>17909.399999999998</v>
      </c>
      <c r="CH151" s="22">
        <v>17853.599999999999</v>
      </c>
      <c r="CI151" s="22">
        <v>19041.899999999998</v>
      </c>
      <c r="CJ151" s="22">
        <v>17819.399999999998</v>
      </c>
      <c r="CK151" s="22">
        <v>18197.7</v>
      </c>
      <c r="CL151" s="22">
        <v>18197.7</v>
      </c>
      <c r="CM151" s="22">
        <v>21086.399999999998</v>
      </c>
      <c r="CN151" s="22">
        <v>20014.5</v>
      </c>
      <c r="CO151" s="22">
        <v>22181.7</v>
      </c>
      <c r="CP151" s="22">
        <v>61224.5</v>
      </c>
      <c r="CQ151" s="22">
        <v>23315.399999999998</v>
      </c>
      <c r="CR151" s="22">
        <v>23036.1</v>
      </c>
      <c r="CS151" s="106">
        <f t="shared" ref="CS151:CS154" si="674">+SUM(CG151:CR151)</f>
        <v>279878.3</v>
      </c>
      <c r="CT151" s="16" t="str">
        <f t="shared" si="595"/>
        <v>Cleaning Service</v>
      </c>
      <c r="CU151" s="22">
        <f>+VLOOKUP($BD151,'Jan-25'!$A:$J,7,0)</f>
        <v>23622.899999999998</v>
      </c>
      <c r="CV151" s="22">
        <f>+VLOOKUP($BD151,'Feb-25'!$A:$J,7,0)</f>
        <v>23759.399999999998</v>
      </c>
      <c r="CW151" s="22">
        <f>+VLOOKUP($BD151,'Mar-25'!$A:$J,7,0)</f>
        <v>23807.399999999998</v>
      </c>
      <c r="CX151" s="22">
        <f>+VLOOKUP($BD151,'Apr-25'!$A:$J,7,0)</f>
        <v>23572.799999999999</v>
      </c>
      <c r="CY151" s="22">
        <f>+VLOOKUP($BD151,'May-25'!$A:$J,7,0)</f>
        <v>24025.200000000001</v>
      </c>
      <c r="CZ151" s="22">
        <f>+VLOOKUP($BD151,'June-25'!$A:$J,7,0)</f>
        <v>25401.599999999999</v>
      </c>
      <c r="DA151" s="22">
        <f>+VLOOKUP($BD151,'July-25'!$A:$J,7,0)</f>
        <v>30466.799999999999</v>
      </c>
      <c r="DB151" s="22">
        <f>+VLOOKUP($BD151,'Aug-25'!$A:$J,7,0)</f>
        <v>25606.5</v>
      </c>
      <c r="DC151" s="22">
        <f>+VLOOKUP($BD151,'Sep-25'!$A:$J,7,0)</f>
        <v>24747.899999999998</v>
      </c>
      <c r="DD151" s="22">
        <f>+VLOOKUP($BD151,'Oct-25'!$A:$J,7,0)</f>
        <v>24794.7</v>
      </c>
      <c r="DE151" s="22">
        <f>+VLOOKUP($BD151,'Nov-25'!$A:$J,7,0)</f>
        <v>0</v>
      </c>
      <c r="DF151" s="22">
        <f>+VLOOKUP($BD151,'Dec-25'!$A:$J,7,0)</f>
        <v>0</v>
      </c>
      <c r="DG151" s="22">
        <f t="shared" ref="DG151:DG154" si="675">+SUM(CU151:DF151)</f>
        <v>249805.19999999998</v>
      </c>
      <c r="DH151" s="118">
        <f t="shared" si="478"/>
        <v>0.28258885895541835</v>
      </c>
      <c r="DI151" s="22">
        <f>+_xlfn.XLOOKUP($CT151,Budget!$A:$A,Budget!CD:CD)</f>
        <v>19331.760000000002</v>
      </c>
      <c r="DJ151" s="22">
        <f>+_xlfn.XLOOKUP($CT151,Budget!$A:$A,Budget!CE:CE)</f>
        <v>19331.760000000002</v>
      </c>
      <c r="DK151" s="22">
        <f>+_xlfn.XLOOKUP($CT151,Budget!$A:$A,Budget!CF:CF)</f>
        <v>19331.760000000002</v>
      </c>
      <c r="DL151" s="22">
        <f>+_xlfn.XLOOKUP($CT151,Budget!$A:$A,Budget!CG:CG)</f>
        <v>19331.760000000002</v>
      </c>
      <c r="DM151" s="22">
        <f>+_xlfn.XLOOKUP($CT151,Budget!$A:$A,Budget!CH:CH)</f>
        <v>19331.760000000002</v>
      </c>
      <c r="DN151" s="22">
        <f>+_xlfn.XLOOKUP($CT151,Budget!$A:$A,Budget!CI:CI)</f>
        <v>19331.760000000002</v>
      </c>
      <c r="DO151" s="22">
        <f>+_xlfn.XLOOKUP($CT151,Budget!$A:$A,Budget!CJ:CJ)</f>
        <v>19331.760000000002</v>
      </c>
      <c r="DP151" s="22">
        <f>+_xlfn.XLOOKUP($CT151,Budget!$A:$A,Budget!CK:CK)</f>
        <v>19331.760000000002</v>
      </c>
      <c r="DQ151" s="22">
        <f>+_xlfn.XLOOKUP($CT151,Budget!$A:$A,Budget!CL:CL)</f>
        <v>19331.760000000002</v>
      </c>
      <c r="DR151" s="22">
        <f>+_xlfn.XLOOKUP($CT151,Budget!$A:$A,Budget!CM:CM)</f>
        <v>19331.760000000002</v>
      </c>
      <c r="DS151" s="22">
        <f>+_xlfn.XLOOKUP($CT151,Budget!$A:$A,Budget!CN:CN)</f>
        <v>19331.760000000002</v>
      </c>
      <c r="DT151" s="22">
        <f>+_xlfn.XLOOKUP($CT151,Budget!$A:$A,Budget!CO:CO)</f>
        <v>19331.760000000002</v>
      </c>
      <c r="DU151" s="106">
        <f t="shared" ref="DU151:DU154" si="676">+SUM(DI151:DT151)</f>
        <v>231981.12000000008</v>
      </c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106">
        <f t="shared" ref="EI151:EI154" si="677">+SUM(DW151:EH151)</f>
        <v>0</v>
      </c>
      <c r="EJ151" s="16" t="str">
        <f t="shared" si="601"/>
        <v>Cleaning Service</v>
      </c>
      <c r="EK151" s="22">
        <f>+VLOOKUP($BD151,'Jan-25'!$A:$J,9,0)</f>
        <v>66935</v>
      </c>
      <c r="EL151" s="22">
        <f>+VLOOKUP($BD151,'Feb-25'!$A:$J,9,0)</f>
        <v>60837</v>
      </c>
      <c r="EM151" s="22">
        <f>+VLOOKUP($BD151,'Mar-25'!$A:$J,9,0)</f>
        <v>81368</v>
      </c>
      <c r="EN151" s="22">
        <f>+VLOOKUP($BD151,'Apr-25'!$A:$J,9,0)</f>
        <v>82637</v>
      </c>
      <c r="EO151" s="22">
        <f>+VLOOKUP($BD151,'May-25'!$A:$J,9,0)</f>
        <v>80450</v>
      </c>
      <c r="EP151" s="22">
        <f>+VLOOKUP($BD151,'June-25'!$A:$J,9,0)</f>
        <v>78524</v>
      </c>
      <c r="EQ151" s="22">
        <f>+VLOOKUP($BD151,'July-25'!$A:$J,9,0)</f>
        <v>39463.199999999997</v>
      </c>
      <c r="ER151" s="22">
        <f>+VLOOKUP($BD151,'Aug-25'!$A:$J,9,0)</f>
        <v>78293</v>
      </c>
      <c r="ES151" s="22">
        <f>+VLOOKUP($BD151,'Sep-25'!$A:$J,9,0)</f>
        <v>47263.799999999996</v>
      </c>
      <c r="ET151" s="22">
        <f>+VLOOKUP($BD151,'Oct-25'!$A:$J,9,0)</f>
        <v>83133</v>
      </c>
      <c r="EU151" s="22">
        <f>+VLOOKUP($BD151,'Nov-25'!$A:$J,9,0)</f>
        <v>0</v>
      </c>
      <c r="EV151" s="22">
        <f>+VLOOKUP($BD151,'Dec-25'!$A:$J,9,0)</f>
        <v>0</v>
      </c>
      <c r="EW151" s="22">
        <f t="shared" ref="EW151:EW154" si="678">+SUM(EK151:EV151)</f>
        <v>698904</v>
      </c>
      <c r="EX151" s="118">
        <f t="shared" si="479"/>
        <v>1.1316153846153847</v>
      </c>
      <c r="EY151" s="22">
        <f>+_xlfn.XLOOKUP($EJ151,Budget!$A:$A,Budget!DE:DE)</f>
        <v>39000</v>
      </c>
      <c r="EZ151" s="22">
        <f>+_xlfn.XLOOKUP($EJ151,Budget!$A:$A,Budget!DF:DF)</f>
        <v>39000</v>
      </c>
      <c r="FA151" s="22">
        <f>+_xlfn.XLOOKUP($EJ151,Budget!$A:$A,Budget!DG:DG)</f>
        <v>39000</v>
      </c>
      <c r="FB151" s="22">
        <f>+_xlfn.XLOOKUP($EJ151,Budget!$A:$A,Budget!DH:DH)</f>
        <v>39000</v>
      </c>
      <c r="FC151" s="22">
        <f>+_xlfn.XLOOKUP($EJ151,Budget!$A:$A,Budget!DI:DI)</f>
        <v>39000</v>
      </c>
      <c r="FD151" s="22">
        <f>+_xlfn.XLOOKUP($EJ151,Budget!$A:$A,Budget!DJ:DJ)</f>
        <v>39000</v>
      </c>
      <c r="FE151" s="22">
        <f>+_xlfn.XLOOKUP($EJ151,Budget!$A:$A,Budget!DK:DK)</f>
        <v>39000</v>
      </c>
      <c r="FF151" s="22">
        <f>+_xlfn.XLOOKUP($EJ151,Budget!$A:$A,Budget!DL:DL)</f>
        <v>39000</v>
      </c>
      <c r="FG151" s="22">
        <f>+_xlfn.XLOOKUP($EJ151,Budget!$A:$A,Budget!DM:DM)</f>
        <v>39000</v>
      </c>
      <c r="FH151" s="22">
        <f>+_xlfn.XLOOKUP($EJ151,Budget!$A:$A,Budget!DN:DN)</f>
        <v>39000</v>
      </c>
      <c r="FI151" s="22">
        <f>+_xlfn.XLOOKUP($EJ151,Budget!$A:$A,Budget!DO:DO)</f>
        <v>39000</v>
      </c>
      <c r="FJ151" s="22">
        <f>+_xlfn.XLOOKUP($EJ151,Budget!$A:$A,Budget!DP:DP)</f>
        <v>39000</v>
      </c>
      <c r="FK151" s="106">
        <f t="shared" ref="FK151:FK154" si="679">+SUM(EY151:FJ151)</f>
        <v>468000</v>
      </c>
    </row>
    <row r="152" spans="1:167" ht="14.45" hidden="1" customHeight="1" outlineLevel="2">
      <c r="A152" s="106">
        <f t="shared" si="558"/>
        <v>10867.5</v>
      </c>
      <c r="B152" s="106">
        <f t="shared" si="558"/>
        <v>10867.5</v>
      </c>
      <c r="C152" s="106">
        <f t="shared" si="558"/>
        <v>10867.5</v>
      </c>
      <c r="D152" s="106">
        <f t="shared" si="558"/>
        <v>10867.5</v>
      </c>
      <c r="E152" s="106">
        <f t="shared" si="558"/>
        <v>10867.5</v>
      </c>
      <c r="F152" s="106">
        <f t="shared" si="558"/>
        <v>10867.5</v>
      </c>
      <c r="G152" s="106">
        <f t="shared" si="558"/>
        <v>10867.5</v>
      </c>
      <c r="H152" s="106">
        <f t="shared" si="558"/>
        <v>10867.5</v>
      </c>
      <c r="I152" s="106">
        <f t="shared" si="558"/>
        <v>10867.5</v>
      </c>
      <c r="J152" s="106">
        <f t="shared" si="558"/>
        <v>10867.5</v>
      </c>
      <c r="K152" s="106">
        <f t="shared" si="558"/>
        <v>10867.5</v>
      </c>
      <c r="L152" s="106">
        <f t="shared" si="558"/>
        <v>10867.5</v>
      </c>
      <c r="M152" s="106">
        <f t="shared" si="666"/>
        <v>130410</v>
      </c>
      <c r="N152" s="16" t="s">
        <v>229</v>
      </c>
      <c r="O152" s="22">
        <f t="shared" si="667"/>
        <v>16371.3</v>
      </c>
      <c r="P152" s="22">
        <f t="shared" si="667"/>
        <v>11410.3</v>
      </c>
      <c r="Q152" s="22">
        <f t="shared" si="667"/>
        <v>16371.3</v>
      </c>
      <c r="R152" s="22">
        <f t="shared" si="667"/>
        <v>16371.3</v>
      </c>
      <c r="S152" s="22">
        <f t="shared" si="667"/>
        <v>16371.3</v>
      </c>
      <c r="T152" s="22">
        <f t="shared" si="667"/>
        <v>16371.3</v>
      </c>
      <c r="U152" s="22">
        <f t="shared" si="667"/>
        <v>16371.3</v>
      </c>
      <c r="V152" s="22">
        <f t="shared" si="667"/>
        <v>16371.3</v>
      </c>
      <c r="W152" s="22">
        <f t="shared" si="667"/>
        <v>10418.1</v>
      </c>
      <c r="X152" s="22">
        <f t="shared" si="667"/>
        <v>12402.5</v>
      </c>
      <c r="Y152" s="22">
        <f t="shared" si="667"/>
        <v>0</v>
      </c>
      <c r="Z152" s="22">
        <f t="shared" si="667"/>
        <v>0</v>
      </c>
      <c r="AA152" s="22">
        <f t="shared" si="668"/>
        <v>148830</v>
      </c>
      <c r="AB152" s="118">
        <f t="shared" si="476"/>
        <v>-0.13793103448275859</v>
      </c>
      <c r="AC152" s="22">
        <f t="shared" si="669"/>
        <v>14386.9</v>
      </c>
      <c r="AD152" s="22">
        <f t="shared" si="669"/>
        <v>14386.9</v>
      </c>
      <c r="AE152" s="22">
        <f t="shared" si="669"/>
        <v>14386.9</v>
      </c>
      <c r="AF152" s="22">
        <f t="shared" si="669"/>
        <v>14386.9</v>
      </c>
      <c r="AG152" s="22">
        <f t="shared" si="669"/>
        <v>14386.9</v>
      </c>
      <c r="AH152" s="22">
        <f t="shared" si="669"/>
        <v>14386.9</v>
      </c>
      <c r="AI152" s="22">
        <f t="shared" si="669"/>
        <v>14386.9</v>
      </c>
      <c r="AJ152" s="22">
        <f t="shared" si="669"/>
        <v>14386.9</v>
      </c>
      <c r="AK152" s="22">
        <f t="shared" si="669"/>
        <v>14386.9</v>
      </c>
      <c r="AL152" s="22">
        <f t="shared" si="669"/>
        <v>14386.9</v>
      </c>
      <c r="AM152" s="22">
        <f t="shared" si="669"/>
        <v>14386.9</v>
      </c>
      <c r="AN152" s="22">
        <f t="shared" si="669"/>
        <v>14386.9</v>
      </c>
      <c r="AO152" s="22">
        <f t="shared" si="670"/>
        <v>172642.79999999996</v>
      </c>
      <c r="AQ152" s="106">
        <v>9450</v>
      </c>
      <c r="AR152" s="106">
        <v>9450</v>
      </c>
      <c r="AS152" s="106">
        <v>9450</v>
      </c>
      <c r="AT152" s="106">
        <v>9450</v>
      </c>
      <c r="AU152" s="106">
        <v>9450</v>
      </c>
      <c r="AV152" s="106">
        <v>9450</v>
      </c>
      <c r="AW152" s="106">
        <v>9450</v>
      </c>
      <c r="AX152" s="106">
        <v>9450</v>
      </c>
      <c r="AY152" s="106">
        <v>9450</v>
      </c>
      <c r="AZ152" s="106">
        <v>9450</v>
      </c>
      <c r="BA152" s="106">
        <v>9450</v>
      </c>
      <c r="BB152" s="106">
        <v>9450</v>
      </c>
      <c r="BC152" s="106">
        <f t="shared" si="671"/>
        <v>113400</v>
      </c>
      <c r="BD152" s="16" t="str">
        <f t="shared" si="591"/>
        <v>Pest Contol</v>
      </c>
      <c r="BE152" s="22">
        <f>+VLOOKUP($BD152,'Jan-25'!$A:$J,4,0)</f>
        <v>9922</v>
      </c>
      <c r="BF152" s="22">
        <f>+VLOOKUP($BD152,'Feb-25'!$A:$J,4,0)</f>
        <v>4961</v>
      </c>
      <c r="BG152" s="22">
        <f>+VLOOKUP($BD152,'Mar-25'!$A:$J,4,0)</f>
        <v>9922</v>
      </c>
      <c r="BH152" s="22">
        <f>+VLOOKUP($BD152,'Apr-25'!$A:$J,4,0)</f>
        <v>9922</v>
      </c>
      <c r="BI152" s="22">
        <f>+VLOOKUP($BD152,'May-25'!$A:$J,4,0)</f>
        <v>9922</v>
      </c>
      <c r="BJ152" s="22">
        <f>+VLOOKUP($BD152,'June-25'!$A:$J,4,0)</f>
        <v>9922</v>
      </c>
      <c r="BK152" s="22">
        <f>+VLOOKUP($BD152,'July-25'!$A:$J,4,0)</f>
        <v>9922</v>
      </c>
      <c r="BL152" s="22">
        <f>+VLOOKUP($BD152,'Aug-25'!$A:$J,4,0)</f>
        <v>9922</v>
      </c>
      <c r="BM152" s="22">
        <f>+VLOOKUP($BD152,'Sep-25'!$A:$J,4,0)</f>
        <v>5953.2</v>
      </c>
      <c r="BN152" s="22">
        <f>+VLOOKUP($BD152,'Oct-25'!$A:$J,4,0)</f>
        <v>5953.2</v>
      </c>
      <c r="BO152" s="22">
        <f>+VLOOKUP($BD152,'Nov-25'!$A:$J,4,0)</f>
        <v>0</v>
      </c>
      <c r="BP152" s="22">
        <f>+VLOOKUP($BD152,'Dec-25'!$A:$J,4,0)</f>
        <v>0</v>
      </c>
      <c r="BQ152" s="22">
        <f t="shared" si="672"/>
        <v>86321.4</v>
      </c>
      <c r="BR152" s="118">
        <f t="shared" si="477"/>
        <v>-0.4</v>
      </c>
      <c r="BS152" s="106">
        <f>+_xlfn.XLOOKUP($BD152,Budget!$A:$A,Budget!AQ:AQ)</f>
        <v>9922</v>
      </c>
      <c r="BT152" s="106">
        <f>+_xlfn.XLOOKUP($BD152,Budget!$A:$A,Budget!AR:AR)</f>
        <v>9922</v>
      </c>
      <c r="BU152" s="106">
        <f>+_xlfn.XLOOKUP($BD152,Budget!$A:$A,Budget!AS:AS)</f>
        <v>9922</v>
      </c>
      <c r="BV152" s="106">
        <f>+_xlfn.XLOOKUP($BD152,Budget!$A:$A,Budget!AT:AT)</f>
        <v>9922</v>
      </c>
      <c r="BW152" s="106">
        <f>+_xlfn.XLOOKUP($BD152,Budget!$A:$A,Budget!AU:AU)</f>
        <v>9922</v>
      </c>
      <c r="BX152" s="106">
        <f>+_xlfn.XLOOKUP($BD152,Budget!$A:$A,Budget!AV:AV)</f>
        <v>9922</v>
      </c>
      <c r="BY152" s="106">
        <f>+_xlfn.XLOOKUP($BD152,Budget!$A:$A,Budget!AW:AW)</f>
        <v>9922</v>
      </c>
      <c r="BZ152" s="106">
        <f>+_xlfn.XLOOKUP($BD152,Budget!$A:$A,Budget!AX:AX)</f>
        <v>9922</v>
      </c>
      <c r="CA152" s="106">
        <f>+_xlfn.XLOOKUP($BD152,Budget!$A:$A,Budget!AY:AY)</f>
        <v>9922</v>
      </c>
      <c r="CB152" s="106">
        <f>+_xlfn.XLOOKUP($BD152,Budget!$A:$A,Budget!AZ:AZ)</f>
        <v>9922</v>
      </c>
      <c r="CC152" s="106">
        <f>+_xlfn.XLOOKUP($BD152,Budget!$A:$A,Budget!BA:BA)</f>
        <v>9922</v>
      </c>
      <c r="CD152" s="106">
        <f>+_xlfn.XLOOKUP($BD152,Budget!$A:$A,Budget!BB:BB)</f>
        <v>9922</v>
      </c>
      <c r="CE152" s="106">
        <f t="shared" si="673"/>
        <v>119064</v>
      </c>
      <c r="CF152" s="22"/>
      <c r="CG152" s="22">
        <v>1417.5</v>
      </c>
      <c r="CH152" s="22">
        <v>1417.5</v>
      </c>
      <c r="CI152" s="22">
        <v>1417.5</v>
      </c>
      <c r="CJ152" s="22">
        <v>1417.5</v>
      </c>
      <c r="CK152" s="22">
        <v>1417.5</v>
      </c>
      <c r="CL152" s="22">
        <v>1417.5</v>
      </c>
      <c r="CM152" s="22">
        <v>1417.5</v>
      </c>
      <c r="CN152" s="22">
        <v>1417.5</v>
      </c>
      <c r="CO152" s="22">
        <v>1417.5</v>
      </c>
      <c r="CP152" s="22">
        <v>1417.5</v>
      </c>
      <c r="CQ152" s="22">
        <v>1417.5</v>
      </c>
      <c r="CR152" s="22">
        <v>1417.5</v>
      </c>
      <c r="CS152" s="106">
        <f t="shared" si="674"/>
        <v>17010</v>
      </c>
      <c r="CT152" s="16" t="str">
        <f t="shared" si="595"/>
        <v>Pest Contol</v>
      </c>
      <c r="CU152" s="22">
        <f>+VLOOKUP($BD152,'Jan-25'!$A:$J,7,0)</f>
        <v>1488.3</v>
      </c>
      <c r="CV152" s="22">
        <f>+VLOOKUP($BD152,'Feb-25'!$A:$J,7,0)</f>
        <v>1488.3</v>
      </c>
      <c r="CW152" s="22">
        <f>+VLOOKUP($BD152,'Mar-25'!$A:$J,7,0)</f>
        <v>1488.3</v>
      </c>
      <c r="CX152" s="22">
        <f>+VLOOKUP($BD152,'Apr-25'!$A:$J,7,0)</f>
        <v>1488.3</v>
      </c>
      <c r="CY152" s="22">
        <f>+VLOOKUP($BD152,'May-25'!$A:$J,7,0)</f>
        <v>1488.3</v>
      </c>
      <c r="CZ152" s="22">
        <f>+VLOOKUP($BD152,'June-25'!$A:$J,7,0)</f>
        <v>1488.3</v>
      </c>
      <c r="DA152" s="22">
        <f>+VLOOKUP($BD152,'July-25'!$A:$J,7,0)</f>
        <v>1488.3</v>
      </c>
      <c r="DB152" s="22">
        <f>+VLOOKUP($BD152,'Aug-25'!$A:$J,7,0)</f>
        <v>1488.3</v>
      </c>
      <c r="DC152" s="22">
        <f>+VLOOKUP($BD152,'Sep-25'!$A:$J,7,0)</f>
        <v>1488.3</v>
      </c>
      <c r="DD152" s="22">
        <f>+VLOOKUP($BD152,'Oct-25'!$A:$J,7,0)</f>
        <v>1488.3</v>
      </c>
      <c r="DE152" s="22">
        <f>+VLOOKUP($BD152,'Nov-25'!$A:$J,7,0)</f>
        <v>0</v>
      </c>
      <c r="DF152" s="22">
        <f>+VLOOKUP($BD152,'Dec-25'!$A:$J,7,0)</f>
        <v>0</v>
      </c>
      <c r="DG152" s="22">
        <f t="shared" si="675"/>
        <v>14882.999999999996</v>
      </c>
      <c r="DH152" s="118">
        <f t="shared" si="478"/>
        <v>0</v>
      </c>
      <c r="DI152" s="22">
        <f>+_xlfn.XLOOKUP($CT152,Budget!$A:$A,Budget!CD:CD)</f>
        <v>1488.3</v>
      </c>
      <c r="DJ152" s="22">
        <f>+_xlfn.XLOOKUP($CT152,Budget!$A:$A,Budget!CE:CE)</f>
        <v>1488.3</v>
      </c>
      <c r="DK152" s="22">
        <f>+_xlfn.XLOOKUP($CT152,Budget!$A:$A,Budget!CF:CF)</f>
        <v>1488.3</v>
      </c>
      <c r="DL152" s="22">
        <f>+_xlfn.XLOOKUP($CT152,Budget!$A:$A,Budget!CG:CG)</f>
        <v>1488.3</v>
      </c>
      <c r="DM152" s="22">
        <f>+_xlfn.XLOOKUP($CT152,Budget!$A:$A,Budget!CH:CH)</f>
        <v>1488.3</v>
      </c>
      <c r="DN152" s="22">
        <f>+_xlfn.XLOOKUP($CT152,Budget!$A:$A,Budget!CI:CI)</f>
        <v>1488.3</v>
      </c>
      <c r="DO152" s="22">
        <f>+_xlfn.XLOOKUP($CT152,Budget!$A:$A,Budget!CJ:CJ)</f>
        <v>1488.3</v>
      </c>
      <c r="DP152" s="22">
        <f>+_xlfn.XLOOKUP($CT152,Budget!$A:$A,Budget!CK:CK)</f>
        <v>1488.3</v>
      </c>
      <c r="DQ152" s="22">
        <f>+_xlfn.XLOOKUP($CT152,Budget!$A:$A,Budget!CL:CL)</f>
        <v>1488.3</v>
      </c>
      <c r="DR152" s="22">
        <f>+_xlfn.XLOOKUP($CT152,Budget!$A:$A,Budget!CM:CM)</f>
        <v>1488.3</v>
      </c>
      <c r="DS152" s="22">
        <f>+_xlfn.XLOOKUP($CT152,Budget!$A:$A,Budget!CN:CN)</f>
        <v>1488.3</v>
      </c>
      <c r="DT152" s="22">
        <f>+_xlfn.XLOOKUP($CT152,Budget!$A:$A,Budget!CO:CO)</f>
        <v>1488.3</v>
      </c>
      <c r="DU152" s="106">
        <f t="shared" si="676"/>
        <v>17859.599999999995</v>
      </c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106">
        <f t="shared" si="677"/>
        <v>0</v>
      </c>
      <c r="EJ152" s="16" t="str">
        <f t="shared" si="601"/>
        <v>Pest Contol</v>
      </c>
      <c r="EK152" s="22">
        <f>+VLOOKUP($BD152,'Jan-25'!$A:$J,9,0)</f>
        <v>4961</v>
      </c>
      <c r="EL152" s="22">
        <f>+VLOOKUP($BD152,'Feb-25'!$A:$J,9,0)</f>
        <v>4961</v>
      </c>
      <c r="EM152" s="22">
        <f>+VLOOKUP($BD152,'Mar-25'!$A:$J,9,0)</f>
        <v>4961</v>
      </c>
      <c r="EN152" s="22">
        <f>+VLOOKUP($BD152,'Apr-25'!$A:$J,9,0)</f>
        <v>4961</v>
      </c>
      <c r="EO152" s="22">
        <f>+VLOOKUP($BD152,'May-25'!$A:$J,9,0)</f>
        <v>4961</v>
      </c>
      <c r="EP152" s="22">
        <f>+VLOOKUP($BD152,'June-25'!$A:$J,9,0)</f>
        <v>4961</v>
      </c>
      <c r="EQ152" s="22">
        <f>+VLOOKUP($BD152,'July-25'!$A:$J,9,0)</f>
        <v>4961</v>
      </c>
      <c r="ER152" s="22">
        <f>+VLOOKUP($BD152,'Aug-25'!$A:$J,9,0)</f>
        <v>4961</v>
      </c>
      <c r="ES152" s="22">
        <f>+VLOOKUP($BD152,'Sep-25'!$A:$J,9,0)</f>
        <v>2976.6</v>
      </c>
      <c r="ET152" s="22">
        <f>+VLOOKUP($BD152,'Oct-25'!$A:$J,9,0)</f>
        <v>4961</v>
      </c>
      <c r="EU152" s="22">
        <f>+VLOOKUP($BD152,'Nov-25'!$A:$J,9,0)</f>
        <v>0</v>
      </c>
      <c r="EV152" s="22">
        <f>+VLOOKUP($BD152,'Dec-25'!$A:$J,9,0)</f>
        <v>0</v>
      </c>
      <c r="EW152" s="22">
        <f t="shared" si="678"/>
        <v>47625.599999999999</v>
      </c>
      <c r="EX152" s="118">
        <f t="shared" si="479"/>
        <v>0.66666666666666674</v>
      </c>
      <c r="EY152" s="22">
        <f>+_xlfn.XLOOKUP($EJ152,Budget!$A:$A,Budget!DE:DE)</f>
        <v>2976.6</v>
      </c>
      <c r="EZ152" s="22">
        <f>+_xlfn.XLOOKUP($EJ152,Budget!$A:$A,Budget!DF:DF)</f>
        <v>2976.6</v>
      </c>
      <c r="FA152" s="22">
        <f>+_xlfn.XLOOKUP($EJ152,Budget!$A:$A,Budget!DG:DG)</f>
        <v>2976.6</v>
      </c>
      <c r="FB152" s="22">
        <f>+_xlfn.XLOOKUP($EJ152,Budget!$A:$A,Budget!DH:DH)</f>
        <v>2976.6</v>
      </c>
      <c r="FC152" s="22">
        <f>+_xlfn.XLOOKUP($EJ152,Budget!$A:$A,Budget!DI:DI)</f>
        <v>2976.6</v>
      </c>
      <c r="FD152" s="22">
        <f>+_xlfn.XLOOKUP($EJ152,Budget!$A:$A,Budget!DJ:DJ)</f>
        <v>2976.6</v>
      </c>
      <c r="FE152" s="22">
        <f>+_xlfn.XLOOKUP($EJ152,Budget!$A:$A,Budget!DK:DK)</f>
        <v>2976.6</v>
      </c>
      <c r="FF152" s="22">
        <f>+_xlfn.XLOOKUP($EJ152,Budget!$A:$A,Budget!DL:DL)</f>
        <v>2976.6</v>
      </c>
      <c r="FG152" s="22">
        <f>+_xlfn.XLOOKUP($EJ152,Budget!$A:$A,Budget!DM:DM)</f>
        <v>2976.6</v>
      </c>
      <c r="FH152" s="22">
        <f>+_xlfn.XLOOKUP($EJ152,Budget!$A:$A,Budget!DN:DN)</f>
        <v>2976.6</v>
      </c>
      <c r="FI152" s="22">
        <f>+_xlfn.XLOOKUP($EJ152,Budget!$A:$A,Budget!DO:DO)</f>
        <v>2976.6</v>
      </c>
      <c r="FJ152" s="22">
        <f>+_xlfn.XLOOKUP($EJ152,Budget!$A:$A,Budget!DP:DP)</f>
        <v>2976.6</v>
      </c>
      <c r="FK152" s="106">
        <f t="shared" si="679"/>
        <v>35719.19999999999</v>
      </c>
    </row>
    <row r="153" spans="1:167" ht="14.45" hidden="1" customHeight="1" outlineLevel="2">
      <c r="A153" s="106">
        <f t="shared" si="558"/>
        <v>28800</v>
      </c>
      <c r="B153" s="106">
        <f t="shared" si="558"/>
        <v>28800</v>
      </c>
      <c r="C153" s="106">
        <f t="shared" si="558"/>
        <v>28800</v>
      </c>
      <c r="D153" s="106">
        <f t="shared" si="558"/>
        <v>28800</v>
      </c>
      <c r="E153" s="106">
        <f t="shared" si="558"/>
        <v>28800</v>
      </c>
      <c r="F153" s="106">
        <f t="shared" si="558"/>
        <v>28800</v>
      </c>
      <c r="G153" s="106">
        <f t="shared" si="558"/>
        <v>41600</v>
      </c>
      <c r="H153" s="106">
        <f t="shared" si="558"/>
        <v>41600</v>
      </c>
      <c r="I153" s="106">
        <f t="shared" si="558"/>
        <v>41600</v>
      </c>
      <c r="J153" s="106">
        <f t="shared" si="558"/>
        <v>41600</v>
      </c>
      <c r="K153" s="106">
        <f t="shared" si="558"/>
        <v>41600</v>
      </c>
      <c r="L153" s="106">
        <f t="shared" si="558"/>
        <v>41600</v>
      </c>
      <c r="M153" s="106">
        <f t="shared" si="666"/>
        <v>422400</v>
      </c>
      <c r="N153" s="16" t="s">
        <v>127</v>
      </c>
      <c r="O153" s="22">
        <f t="shared" si="667"/>
        <v>57600</v>
      </c>
      <c r="P153" s="22">
        <f t="shared" si="667"/>
        <v>57600</v>
      </c>
      <c r="Q153" s="22">
        <f t="shared" si="667"/>
        <v>57600</v>
      </c>
      <c r="R153" s="22">
        <f t="shared" si="667"/>
        <v>49500</v>
      </c>
      <c r="S153" s="22">
        <f t="shared" si="667"/>
        <v>63500</v>
      </c>
      <c r="T153" s="22">
        <f t="shared" si="667"/>
        <v>81500</v>
      </c>
      <c r="U153" s="22">
        <f t="shared" si="667"/>
        <v>77500</v>
      </c>
      <c r="V153" s="22">
        <f t="shared" si="667"/>
        <v>77500</v>
      </c>
      <c r="W153" s="22">
        <f t="shared" si="667"/>
        <v>50700</v>
      </c>
      <c r="X153" s="22">
        <f t="shared" si="667"/>
        <v>63500</v>
      </c>
      <c r="Y153" s="22">
        <f t="shared" si="667"/>
        <v>0</v>
      </c>
      <c r="Z153" s="22">
        <f t="shared" si="667"/>
        <v>0</v>
      </c>
      <c r="AA153" s="22">
        <f t="shared" si="668"/>
        <v>636500</v>
      </c>
      <c r="AB153" s="118">
        <f t="shared" si="476"/>
        <v>0.32291666666666669</v>
      </c>
      <c r="AC153" s="22">
        <f t="shared" si="669"/>
        <v>48000</v>
      </c>
      <c r="AD153" s="22">
        <f t="shared" si="669"/>
        <v>48000</v>
      </c>
      <c r="AE153" s="22">
        <f t="shared" si="669"/>
        <v>48000</v>
      </c>
      <c r="AF153" s="22">
        <f t="shared" si="669"/>
        <v>48000</v>
      </c>
      <c r="AG153" s="22">
        <f t="shared" si="669"/>
        <v>48000</v>
      </c>
      <c r="AH153" s="22">
        <f t="shared" si="669"/>
        <v>48000</v>
      </c>
      <c r="AI153" s="22">
        <f t="shared" si="669"/>
        <v>48000</v>
      </c>
      <c r="AJ153" s="22">
        <f t="shared" si="669"/>
        <v>48000</v>
      </c>
      <c r="AK153" s="22">
        <f t="shared" si="669"/>
        <v>48000</v>
      </c>
      <c r="AL153" s="22">
        <f t="shared" si="669"/>
        <v>48000</v>
      </c>
      <c r="AM153" s="22">
        <f t="shared" si="669"/>
        <v>48000</v>
      </c>
      <c r="AN153" s="22">
        <f t="shared" si="669"/>
        <v>48000</v>
      </c>
      <c r="AO153" s="22">
        <f t="shared" si="670"/>
        <v>576000</v>
      </c>
      <c r="AQ153" s="106">
        <v>19200</v>
      </c>
      <c r="AR153" s="106">
        <v>19200</v>
      </c>
      <c r="AS153" s="106">
        <v>19200</v>
      </c>
      <c r="AT153" s="106">
        <v>19200</v>
      </c>
      <c r="AU153" s="106">
        <v>19200</v>
      </c>
      <c r="AV153" s="106">
        <v>19200</v>
      </c>
      <c r="AW153" s="106">
        <v>32000</v>
      </c>
      <c r="AX153" s="106">
        <v>32000</v>
      </c>
      <c r="AY153" s="106">
        <v>32000</v>
      </c>
      <c r="AZ153" s="106">
        <v>32000</v>
      </c>
      <c r="BA153" s="106">
        <v>32000</v>
      </c>
      <c r="BB153" s="106">
        <v>32000</v>
      </c>
      <c r="BC153" s="106">
        <f t="shared" si="671"/>
        <v>307200</v>
      </c>
      <c r="BD153" s="16" t="str">
        <f t="shared" si="591"/>
        <v>Security Service</v>
      </c>
      <c r="BE153" s="22">
        <f>+VLOOKUP($BD153,'Jan-25'!$A:$J,4,0)</f>
        <v>32000</v>
      </c>
      <c r="BF153" s="22">
        <f>+VLOOKUP($BD153,'Feb-25'!$A:$J,4,0)</f>
        <v>32000</v>
      </c>
      <c r="BG153" s="22">
        <f>+VLOOKUP($BD153,'Mar-25'!$A:$J,4,0)</f>
        <v>32000</v>
      </c>
      <c r="BH153" s="22">
        <f>+VLOOKUP($BD153,'Apr-25'!$A:$J,4,0)</f>
        <v>21000</v>
      </c>
      <c r="BI153" s="22">
        <f>+VLOOKUP($BD153,'May-25'!$A:$J,4,0)</f>
        <v>35000</v>
      </c>
      <c r="BJ153" s="22">
        <f>+VLOOKUP($BD153,'June-25'!$A:$J,4,0)</f>
        <v>35000</v>
      </c>
      <c r="BK153" s="22">
        <f>+VLOOKUP($BD153,'July-25'!$A:$J,4,0)</f>
        <v>35000</v>
      </c>
      <c r="BL153" s="22">
        <f>+VLOOKUP($BD153,'Aug-25'!$A:$J,4,0)</f>
        <v>35000</v>
      </c>
      <c r="BM153" s="22">
        <f>+VLOOKUP($BD153,'Sep-25'!$A:$J,4,0)</f>
        <v>21000</v>
      </c>
      <c r="BN153" s="22">
        <f>+VLOOKUP($BD153,'Oct-25'!$A:$J,4,0)</f>
        <v>21000</v>
      </c>
      <c r="BO153" s="22">
        <f>+VLOOKUP($BD153,'Nov-25'!$A:$J,4,0)</f>
        <v>0</v>
      </c>
      <c r="BP153" s="22">
        <f>+VLOOKUP($BD153,'Dec-25'!$A:$J,4,0)</f>
        <v>0</v>
      </c>
      <c r="BQ153" s="22">
        <f t="shared" si="672"/>
        <v>299000</v>
      </c>
      <c r="BR153" s="118">
        <f t="shared" si="477"/>
        <v>9.375E-2</v>
      </c>
      <c r="BS153" s="106">
        <f>+_xlfn.XLOOKUP($BD153,Budget!$A:$A,Budget!AQ:AQ)</f>
        <v>19200</v>
      </c>
      <c r="BT153" s="106">
        <f>+_xlfn.XLOOKUP($BD153,Budget!$A:$A,Budget!AR:AR)</f>
        <v>19200</v>
      </c>
      <c r="BU153" s="106">
        <f>+_xlfn.XLOOKUP($BD153,Budget!$A:$A,Budget!AS:AS)</f>
        <v>19200</v>
      </c>
      <c r="BV153" s="106">
        <f>+_xlfn.XLOOKUP($BD153,Budget!$A:$A,Budget!AT:AT)</f>
        <v>19200</v>
      </c>
      <c r="BW153" s="106">
        <f>+_xlfn.XLOOKUP($BD153,Budget!$A:$A,Budget!AU:AU)</f>
        <v>19200</v>
      </c>
      <c r="BX153" s="106">
        <f>+_xlfn.XLOOKUP($BD153,Budget!$A:$A,Budget!AV:AV)</f>
        <v>19200</v>
      </c>
      <c r="BY153" s="106">
        <f>+_xlfn.XLOOKUP($BD153,Budget!$A:$A,Budget!AW:AW)</f>
        <v>19200</v>
      </c>
      <c r="BZ153" s="106">
        <f>+_xlfn.XLOOKUP($BD153,Budget!$A:$A,Budget!AX:AX)</f>
        <v>19200</v>
      </c>
      <c r="CA153" s="106">
        <f>+_xlfn.XLOOKUP($BD153,Budget!$A:$A,Budget!AY:AY)</f>
        <v>19200</v>
      </c>
      <c r="CB153" s="106">
        <f>+_xlfn.XLOOKUP($BD153,Budget!$A:$A,Budget!AZ:AZ)</f>
        <v>19200</v>
      </c>
      <c r="CC153" s="106">
        <f>+_xlfn.XLOOKUP($BD153,Budget!$A:$A,Budget!BA:BA)</f>
        <v>19200</v>
      </c>
      <c r="CD153" s="106">
        <f>+_xlfn.XLOOKUP($BD153,Budget!$A:$A,Budget!BB:BB)</f>
        <v>19200</v>
      </c>
      <c r="CE153" s="106">
        <f t="shared" si="673"/>
        <v>230400</v>
      </c>
      <c r="CF153" s="22"/>
      <c r="CG153" s="22">
        <v>9600</v>
      </c>
      <c r="CH153" s="22">
        <v>9600</v>
      </c>
      <c r="CI153" s="22">
        <v>9600</v>
      </c>
      <c r="CJ153" s="22">
        <v>9600</v>
      </c>
      <c r="CK153" s="22">
        <v>9600</v>
      </c>
      <c r="CL153" s="22">
        <v>9600</v>
      </c>
      <c r="CM153" s="22">
        <v>9600</v>
      </c>
      <c r="CN153" s="22">
        <v>9600</v>
      </c>
      <c r="CO153" s="22">
        <v>9600</v>
      </c>
      <c r="CP153" s="22">
        <v>9600</v>
      </c>
      <c r="CQ153" s="22">
        <v>9600</v>
      </c>
      <c r="CR153" s="22">
        <v>9600</v>
      </c>
      <c r="CS153" s="106">
        <f t="shared" si="674"/>
        <v>115200</v>
      </c>
      <c r="CT153" s="16" t="str">
        <f t="shared" si="595"/>
        <v>Security Service</v>
      </c>
      <c r="CU153" s="22">
        <f>+VLOOKUP($BD153,'Jan-25'!$A:$J,7,0)</f>
        <v>9600</v>
      </c>
      <c r="CV153" s="22">
        <f>+VLOOKUP($BD153,'Feb-25'!$A:$J,7,0)</f>
        <v>9600</v>
      </c>
      <c r="CW153" s="22">
        <f>+VLOOKUP($BD153,'Mar-25'!$A:$J,7,0)</f>
        <v>9600</v>
      </c>
      <c r="CX153" s="22">
        <f>+VLOOKUP($BD153,'Apr-25'!$A:$J,7,0)</f>
        <v>10500</v>
      </c>
      <c r="CY153" s="22">
        <f>+VLOOKUP($BD153,'May-25'!$A:$J,7,0)</f>
        <v>10500</v>
      </c>
      <c r="CZ153" s="22">
        <f>+VLOOKUP($BD153,'June-25'!$A:$J,7,0)</f>
        <v>10500</v>
      </c>
      <c r="DA153" s="22">
        <f>+VLOOKUP($BD153,'July-25'!$A:$J,7,0)</f>
        <v>10500</v>
      </c>
      <c r="DB153" s="22">
        <f>+VLOOKUP($BD153,'Aug-25'!$A:$J,7,0)</f>
        <v>10500</v>
      </c>
      <c r="DC153" s="22">
        <f>+VLOOKUP($BD153,'Sep-25'!$A:$J,7,0)</f>
        <v>10500</v>
      </c>
      <c r="DD153" s="22">
        <f>+VLOOKUP($BD153,'Oct-25'!$A:$J,7,0)</f>
        <v>10500</v>
      </c>
      <c r="DE153" s="22">
        <f>+VLOOKUP($BD153,'Nov-25'!$A:$J,7,0)</f>
        <v>0</v>
      </c>
      <c r="DF153" s="22">
        <f>+VLOOKUP($BD153,'Dec-25'!$A:$J,7,0)</f>
        <v>0</v>
      </c>
      <c r="DG153" s="22">
        <f t="shared" si="675"/>
        <v>102300</v>
      </c>
      <c r="DH153" s="118">
        <f t="shared" si="478"/>
        <v>9.375E-2</v>
      </c>
      <c r="DI153" s="22">
        <f>+_xlfn.XLOOKUP($CT153,Budget!$A:$A,Budget!CD:CD)</f>
        <v>9600</v>
      </c>
      <c r="DJ153" s="22">
        <f>+_xlfn.XLOOKUP($CT153,Budget!$A:$A,Budget!CE:CE)</f>
        <v>9600</v>
      </c>
      <c r="DK153" s="22">
        <f>+_xlfn.XLOOKUP($CT153,Budget!$A:$A,Budget!CF:CF)</f>
        <v>9600</v>
      </c>
      <c r="DL153" s="22">
        <f>+_xlfn.XLOOKUP($CT153,Budget!$A:$A,Budget!CG:CG)</f>
        <v>9600</v>
      </c>
      <c r="DM153" s="22">
        <f>+_xlfn.XLOOKUP($CT153,Budget!$A:$A,Budget!CH:CH)</f>
        <v>9600</v>
      </c>
      <c r="DN153" s="22">
        <f>+_xlfn.XLOOKUP($CT153,Budget!$A:$A,Budget!CI:CI)</f>
        <v>9600</v>
      </c>
      <c r="DO153" s="22">
        <f>+_xlfn.XLOOKUP($CT153,Budget!$A:$A,Budget!CJ:CJ)</f>
        <v>9600</v>
      </c>
      <c r="DP153" s="22">
        <f>+_xlfn.XLOOKUP($CT153,Budget!$A:$A,Budget!CK:CK)</f>
        <v>9600</v>
      </c>
      <c r="DQ153" s="22">
        <f>+_xlfn.XLOOKUP($CT153,Budget!$A:$A,Budget!CL:CL)</f>
        <v>9600</v>
      </c>
      <c r="DR153" s="22">
        <f>+_xlfn.XLOOKUP($CT153,Budget!$A:$A,Budget!CM:CM)</f>
        <v>9600</v>
      </c>
      <c r="DS153" s="22">
        <f>+_xlfn.XLOOKUP($CT153,Budget!$A:$A,Budget!CN:CN)</f>
        <v>9600</v>
      </c>
      <c r="DT153" s="22">
        <f>+_xlfn.XLOOKUP($CT153,Budget!$A:$A,Budget!CO:CO)</f>
        <v>9600</v>
      </c>
      <c r="DU153" s="106">
        <f t="shared" si="676"/>
        <v>115200</v>
      </c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106">
        <f t="shared" si="677"/>
        <v>0</v>
      </c>
      <c r="EJ153" s="16" t="str">
        <f t="shared" si="601"/>
        <v>Security Service</v>
      </c>
      <c r="EK153" s="22">
        <f>+VLOOKUP($BD153,'Jan-25'!$A:$J,9,0)</f>
        <v>16000</v>
      </c>
      <c r="EL153" s="22">
        <f>+VLOOKUP($BD153,'Feb-25'!$A:$J,9,0)</f>
        <v>16000</v>
      </c>
      <c r="EM153" s="22">
        <f>+VLOOKUP($BD153,'Mar-25'!$A:$J,9,0)</f>
        <v>16000</v>
      </c>
      <c r="EN153" s="22">
        <f>+VLOOKUP($BD153,'Apr-25'!$A:$J,9,0)</f>
        <v>18000</v>
      </c>
      <c r="EO153" s="22">
        <f>+VLOOKUP($BD153,'May-25'!$A:$J,9,0)</f>
        <v>18000</v>
      </c>
      <c r="EP153" s="22">
        <f>+VLOOKUP($BD153,'June-25'!$A:$J,9,0)</f>
        <v>36000</v>
      </c>
      <c r="EQ153" s="22">
        <f>+VLOOKUP($BD153,'July-25'!$A:$J,9,0)</f>
        <v>32000</v>
      </c>
      <c r="ER153" s="22">
        <f>+VLOOKUP($BD153,'Aug-25'!$A:$J,9,0)</f>
        <v>32000</v>
      </c>
      <c r="ES153" s="22">
        <f>+VLOOKUP($BD153,'Sep-25'!$A:$J,9,0)</f>
        <v>19200</v>
      </c>
      <c r="ET153" s="22">
        <f>+VLOOKUP($BD153,'Oct-25'!$A:$J,9,0)</f>
        <v>32000</v>
      </c>
      <c r="EU153" s="22">
        <f>+VLOOKUP($BD153,'Nov-25'!$A:$J,9,0)</f>
        <v>0</v>
      </c>
      <c r="EV153" s="22">
        <f>+VLOOKUP($BD153,'Dec-25'!$A:$J,9,0)</f>
        <v>0</v>
      </c>
      <c r="EW153" s="22">
        <f t="shared" si="678"/>
        <v>235200</v>
      </c>
      <c r="EX153" s="118">
        <f t="shared" si="479"/>
        <v>0.66666666666666663</v>
      </c>
      <c r="EY153" s="22">
        <f>+_xlfn.XLOOKUP($EJ153,Budget!$A:$A,Budget!DE:DE)</f>
        <v>19200</v>
      </c>
      <c r="EZ153" s="22">
        <f>+_xlfn.XLOOKUP($EJ153,Budget!$A:$A,Budget!DF:DF)</f>
        <v>19200</v>
      </c>
      <c r="FA153" s="22">
        <f>+_xlfn.XLOOKUP($EJ153,Budget!$A:$A,Budget!DG:DG)</f>
        <v>19200</v>
      </c>
      <c r="FB153" s="22">
        <f>+_xlfn.XLOOKUP($EJ153,Budget!$A:$A,Budget!DH:DH)</f>
        <v>19200</v>
      </c>
      <c r="FC153" s="22">
        <f>+_xlfn.XLOOKUP($EJ153,Budget!$A:$A,Budget!DI:DI)</f>
        <v>19200</v>
      </c>
      <c r="FD153" s="22">
        <f>+_xlfn.XLOOKUP($EJ153,Budget!$A:$A,Budget!DJ:DJ)</f>
        <v>19200</v>
      </c>
      <c r="FE153" s="22">
        <f>+_xlfn.XLOOKUP($EJ153,Budget!$A:$A,Budget!DK:DK)</f>
        <v>19200</v>
      </c>
      <c r="FF153" s="22">
        <f>+_xlfn.XLOOKUP($EJ153,Budget!$A:$A,Budget!DL:DL)</f>
        <v>19200</v>
      </c>
      <c r="FG153" s="22">
        <f>+_xlfn.XLOOKUP($EJ153,Budget!$A:$A,Budget!DM:DM)</f>
        <v>19200</v>
      </c>
      <c r="FH153" s="22">
        <f>+_xlfn.XLOOKUP($EJ153,Budget!$A:$A,Budget!DN:DN)</f>
        <v>19200</v>
      </c>
      <c r="FI153" s="22">
        <f>+_xlfn.XLOOKUP($EJ153,Budget!$A:$A,Budget!DO:DO)</f>
        <v>19200</v>
      </c>
      <c r="FJ153" s="22">
        <f>+_xlfn.XLOOKUP($EJ153,Budget!$A:$A,Budget!DP:DP)</f>
        <v>19200</v>
      </c>
      <c r="FK153" s="106">
        <f t="shared" si="679"/>
        <v>230400</v>
      </c>
    </row>
    <row r="154" spans="1:167" ht="14.45" hidden="1" customHeight="1" outlineLevel="2">
      <c r="A154" s="106">
        <f t="shared" si="558"/>
        <v>22355</v>
      </c>
      <c r="B154" s="106">
        <f t="shared" si="558"/>
        <v>450</v>
      </c>
      <c r="C154" s="106">
        <f t="shared" si="558"/>
        <v>570</v>
      </c>
      <c r="D154" s="106">
        <f t="shared" si="558"/>
        <v>480</v>
      </c>
      <c r="E154" s="106">
        <f t="shared" si="558"/>
        <v>480</v>
      </c>
      <c r="F154" s="106">
        <f t="shared" si="558"/>
        <v>1980</v>
      </c>
      <c r="G154" s="106">
        <f t="shared" si="558"/>
        <v>510</v>
      </c>
      <c r="H154" s="106">
        <f t="shared" si="558"/>
        <v>17880</v>
      </c>
      <c r="I154" s="106">
        <f t="shared" si="558"/>
        <v>830</v>
      </c>
      <c r="J154" s="106">
        <f t="shared" si="558"/>
        <v>510</v>
      </c>
      <c r="K154" s="106">
        <f t="shared" si="558"/>
        <v>770</v>
      </c>
      <c r="L154" s="106">
        <f t="shared" si="558"/>
        <v>10590</v>
      </c>
      <c r="M154" s="106">
        <f t="shared" si="666"/>
        <v>57405</v>
      </c>
      <c r="N154" s="16" t="s">
        <v>128</v>
      </c>
      <c r="O154" s="22">
        <f t="shared" si="667"/>
        <v>3780</v>
      </c>
      <c r="P154" s="22">
        <f t="shared" si="667"/>
        <v>780</v>
      </c>
      <c r="Q154" s="22">
        <f t="shared" si="667"/>
        <v>1280</v>
      </c>
      <c r="R154" s="22">
        <f t="shared" si="667"/>
        <v>825</v>
      </c>
      <c r="S154" s="22">
        <f t="shared" si="667"/>
        <v>5080</v>
      </c>
      <c r="T154" s="22">
        <f t="shared" si="667"/>
        <v>14030</v>
      </c>
      <c r="U154" s="22">
        <f t="shared" si="667"/>
        <v>8460</v>
      </c>
      <c r="V154" s="22">
        <f t="shared" si="667"/>
        <v>780</v>
      </c>
      <c r="W154" s="22">
        <f t="shared" si="667"/>
        <v>83980</v>
      </c>
      <c r="X154" s="22">
        <f t="shared" si="667"/>
        <v>5680</v>
      </c>
      <c r="Y154" s="22">
        <f t="shared" si="667"/>
        <v>0</v>
      </c>
      <c r="Z154" s="22">
        <f t="shared" si="667"/>
        <v>0</v>
      </c>
      <c r="AA154" s="22">
        <f t="shared" si="668"/>
        <v>124675</v>
      </c>
      <c r="AB154" s="118">
        <f t="shared" si="476"/>
        <v>-0.42626262626262629</v>
      </c>
      <c r="AC154" s="22">
        <f t="shared" si="669"/>
        <v>9900</v>
      </c>
      <c r="AD154" s="22">
        <f t="shared" si="669"/>
        <v>9900</v>
      </c>
      <c r="AE154" s="22">
        <f t="shared" si="669"/>
        <v>9900</v>
      </c>
      <c r="AF154" s="22">
        <f t="shared" si="669"/>
        <v>9900</v>
      </c>
      <c r="AG154" s="22">
        <f t="shared" si="669"/>
        <v>9900</v>
      </c>
      <c r="AH154" s="22">
        <f t="shared" si="669"/>
        <v>9900</v>
      </c>
      <c r="AI154" s="22">
        <f t="shared" si="669"/>
        <v>9900</v>
      </c>
      <c r="AJ154" s="22">
        <f t="shared" si="669"/>
        <v>9900</v>
      </c>
      <c r="AK154" s="22">
        <f t="shared" si="669"/>
        <v>9900</v>
      </c>
      <c r="AL154" s="22">
        <f t="shared" si="669"/>
        <v>9900</v>
      </c>
      <c r="AM154" s="22">
        <f t="shared" si="669"/>
        <v>9900</v>
      </c>
      <c r="AN154" s="22">
        <f t="shared" si="669"/>
        <v>9900</v>
      </c>
      <c r="AO154" s="22">
        <f t="shared" si="670"/>
        <v>118800</v>
      </c>
      <c r="AQ154" s="106">
        <v>0</v>
      </c>
      <c r="AR154" s="106">
        <v>0</v>
      </c>
      <c r="AS154" s="106">
        <v>0</v>
      </c>
      <c r="AT154" s="106">
        <v>0</v>
      </c>
      <c r="AU154" s="106">
        <v>0</v>
      </c>
      <c r="AV154" s="106">
        <v>1500</v>
      </c>
      <c r="AW154" s="106">
        <v>0</v>
      </c>
      <c r="AX154" s="106">
        <v>0</v>
      </c>
      <c r="AY154" s="106">
        <v>350</v>
      </c>
      <c r="AZ154" s="106">
        <v>0</v>
      </c>
      <c r="BA154" s="106">
        <v>290</v>
      </c>
      <c r="BB154" s="106">
        <v>1500</v>
      </c>
      <c r="BC154" s="106">
        <f t="shared" si="671"/>
        <v>3640</v>
      </c>
      <c r="BD154" s="16" t="str">
        <f t="shared" si="591"/>
        <v>Waste Disposal</v>
      </c>
      <c r="BE154" s="22">
        <f>+VLOOKUP($BD154,'Jan-25'!$A:$J,4,0)</f>
        <v>0</v>
      </c>
      <c r="BF154" s="22">
        <f>+VLOOKUP($BD154,'Feb-25'!$A:$J,4,0)</f>
        <v>0</v>
      </c>
      <c r="BG154" s="22">
        <f>+VLOOKUP($BD154,'Mar-25'!$A:$J,4,0)</f>
        <v>500</v>
      </c>
      <c r="BH154" s="22">
        <f>+VLOOKUP($BD154,'Apr-25'!$A:$J,4,0)</f>
        <v>0</v>
      </c>
      <c r="BI154" s="22">
        <f>+VLOOKUP($BD154,'May-25'!$A:$J,4,0)</f>
        <v>300</v>
      </c>
      <c r="BJ154" s="22">
        <f>+VLOOKUP($BD154,'June-25'!$A:$J,4,0)</f>
        <v>1250</v>
      </c>
      <c r="BK154" s="22">
        <f>+VLOOKUP($BD154,'July-25'!$A:$J,4,0)</f>
        <v>2180</v>
      </c>
      <c r="BL154" s="22">
        <f>+VLOOKUP($BD154,'Aug-25'!$A:$J,4,0)</f>
        <v>0</v>
      </c>
      <c r="BM154" s="22">
        <f>+VLOOKUP($BD154,'Sep-25'!$A:$J,4,0)</f>
        <v>54200</v>
      </c>
      <c r="BN154" s="22">
        <f>+VLOOKUP($BD154,'Oct-25'!$A:$J,4,0)</f>
        <v>200</v>
      </c>
      <c r="BO154" s="22">
        <f>+VLOOKUP($BD154,'Nov-25'!$A:$J,4,0)</f>
        <v>0</v>
      </c>
      <c r="BP154" s="22">
        <f>+VLOOKUP($BD154,'Dec-25'!$A:$J,4,0)</f>
        <v>0</v>
      </c>
      <c r="BQ154" s="22">
        <f t="shared" si="672"/>
        <v>58630</v>
      </c>
      <c r="BR154" s="118">
        <f t="shared" si="477"/>
        <v>-0.94444444444444442</v>
      </c>
      <c r="BS154" s="106">
        <f>+_xlfn.XLOOKUP($BD154,Budget!$A:$A,Budget!AQ:AQ)</f>
        <v>3600</v>
      </c>
      <c r="BT154" s="106">
        <f>+_xlfn.XLOOKUP($BD154,Budget!$A:$A,Budget!AR:AR)</f>
        <v>3600</v>
      </c>
      <c r="BU154" s="106">
        <f>+_xlfn.XLOOKUP($BD154,Budget!$A:$A,Budget!AS:AS)</f>
        <v>3600</v>
      </c>
      <c r="BV154" s="106">
        <f>+_xlfn.XLOOKUP($BD154,Budget!$A:$A,Budget!AT:AT)</f>
        <v>3600</v>
      </c>
      <c r="BW154" s="106">
        <f>+_xlfn.XLOOKUP($BD154,Budget!$A:$A,Budget!AU:AU)</f>
        <v>3600</v>
      </c>
      <c r="BX154" s="106">
        <f>+_xlfn.XLOOKUP($BD154,Budget!$A:$A,Budget!AV:AV)</f>
        <v>3600</v>
      </c>
      <c r="BY154" s="106">
        <f>+_xlfn.XLOOKUP($BD154,Budget!$A:$A,Budget!AW:AW)</f>
        <v>3600</v>
      </c>
      <c r="BZ154" s="106">
        <f>+_xlfn.XLOOKUP($BD154,Budget!$A:$A,Budget!AX:AX)</f>
        <v>3600</v>
      </c>
      <c r="CA154" s="106">
        <f>+_xlfn.XLOOKUP($BD154,Budget!$A:$A,Budget!AY:AY)</f>
        <v>3600</v>
      </c>
      <c r="CB154" s="106">
        <f>+_xlfn.XLOOKUP($BD154,Budget!$A:$A,Budget!AZ:AZ)</f>
        <v>3600</v>
      </c>
      <c r="CC154" s="106">
        <f>+_xlfn.XLOOKUP($BD154,Budget!$A:$A,Budget!BA:BA)</f>
        <v>3600</v>
      </c>
      <c r="CD154" s="106">
        <f>+_xlfn.XLOOKUP($BD154,Budget!$A:$A,Budget!BB:BB)</f>
        <v>3600</v>
      </c>
      <c r="CE154" s="106">
        <f t="shared" si="673"/>
        <v>43200</v>
      </c>
      <c r="CF154" s="22"/>
      <c r="CG154" s="22">
        <v>22355</v>
      </c>
      <c r="CH154" s="22">
        <v>450</v>
      </c>
      <c r="CI154" s="22">
        <v>570</v>
      </c>
      <c r="CJ154" s="22">
        <v>480</v>
      </c>
      <c r="CK154" s="22">
        <v>480</v>
      </c>
      <c r="CL154" s="22">
        <v>480</v>
      </c>
      <c r="CM154" s="22">
        <v>510</v>
      </c>
      <c r="CN154" s="22">
        <v>17880</v>
      </c>
      <c r="CO154" s="22">
        <v>480</v>
      </c>
      <c r="CP154" s="22">
        <v>510</v>
      </c>
      <c r="CQ154" s="22">
        <v>480</v>
      </c>
      <c r="CR154" s="22">
        <v>9090</v>
      </c>
      <c r="CS154" s="106">
        <f t="shared" si="674"/>
        <v>53765</v>
      </c>
      <c r="CT154" s="16" t="str">
        <f t="shared" si="595"/>
        <v>Waste Disposal</v>
      </c>
      <c r="CU154" s="22">
        <f>+VLOOKUP($BD154,'Jan-25'!$A:$J,7,0)</f>
        <v>480</v>
      </c>
      <c r="CV154" s="22">
        <f>+VLOOKUP($BD154,'Feb-25'!$A:$J,7,0)</f>
        <v>480</v>
      </c>
      <c r="CW154" s="22">
        <f>+VLOOKUP($BD154,'Mar-25'!$A:$J,7,0)</f>
        <v>480</v>
      </c>
      <c r="CX154" s="22">
        <f>+VLOOKUP($BD154,'Apr-25'!$A:$J,7,0)</f>
        <v>525</v>
      </c>
      <c r="CY154" s="22">
        <f>+VLOOKUP($BD154,'May-25'!$A:$J,7,0)</f>
        <v>480</v>
      </c>
      <c r="CZ154" s="22">
        <f>+VLOOKUP($BD154,'June-25'!$A:$J,7,0)</f>
        <v>480</v>
      </c>
      <c r="DA154" s="22">
        <f>+VLOOKUP($BD154,'July-25'!$A:$J,7,0)</f>
        <v>480</v>
      </c>
      <c r="DB154" s="22">
        <f>+VLOOKUP($BD154,'Aug-25'!$A:$J,7,0)</f>
        <v>480</v>
      </c>
      <c r="DC154" s="22">
        <f>+VLOOKUP($BD154,'Sep-25'!$A:$J,7,0)</f>
        <v>26480</v>
      </c>
      <c r="DD154" s="22">
        <f>+VLOOKUP($BD154,'Oct-25'!$A:$J,7,0)</f>
        <v>480</v>
      </c>
      <c r="DE154" s="22">
        <f>+VLOOKUP($BD154,'Nov-25'!$A:$J,7,0)</f>
        <v>0</v>
      </c>
      <c r="DF154" s="22">
        <f>+VLOOKUP($BD154,'Dec-25'!$A:$J,7,0)</f>
        <v>0</v>
      </c>
      <c r="DG154" s="22">
        <f t="shared" si="675"/>
        <v>30845</v>
      </c>
      <c r="DH154" s="118">
        <f t="shared" si="478"/>
        <v>-0.73333333333333328</v>
      </c>
      <c r="DI154" s="22">
        <f>+_xlfn.XLOOKUP($CT154,Budget!$A:$A,Budget!CD:CD)</f>
        <v>1800</v>
      </c>
      <c r="DJ154" s="22">
        <f>+_xlfn.XLOOKUP($CT154,Budget!$A:$A,Budget!CE:CE)</f>
        <v>1800</v>
      </c>
      <c r="DK154" s="22">
        <f>+_xlfn.XLOOKUP($CT154,Budget!$A:$A,Budget!CF:CF)</f>
        <v>1800</v>
      </c>
      <c r="DL154" s="22">
        <f>+_xlfn.XLOOKUP($CT154,Budget!$A:$A,Budget!CG:CG)</f>
        <v>1800</v>
      </c>
      <c r="DM154" s="22">
        <f>+_xlfn.XLOOKUP($CT154,Budget!$A:$A,Budget!CH:CH)</f>
        <v>1800</v>
      </c>
      <c r="DN154" s="22">
        <f>+_xlfn.XLOOKUP($CT154,Budget!$A:$A,Budget!CI:CI)</f>
        <v>1800</v>
      </c>
      <c r="DO154" s="22">
        <f>+_xlfn.XLOOKUP($CT154,Budget!$A:$A,Budget!CJ:CJ)</f>
        <v>1800</v>
      </c>
      <c r="DP154" s="22">
        <f>+_xlfn.XLOOKUP($CT154,Budget!$A:$A,Budget!CK:CK)</f>
        <v>1800</v>
      </c>
      <c r="DQ154" s="22">
        <f>+_xlfn.XLOOKUP($CT154,Budget!$A:$A,Budget!CL:CL)</f>
        <v>1800</v>
      </c>
      <c r="DR154" s="22">
        <f>+_xlfn.XLOOKUP($CT154,Budget!$A:$A,Budget!CM:CM)</f>
        <v>1800</v>
      </c>
      <c r="DS154" s="22">
        <f>+_xlfn.XLOOKUP($CT154,Budget!$A:$A,Budget!CN:CN)</f>
        <v>1800</v>
      </c>
      <c r="DT154" s="22">
        <f>+_xlfn.XLOOKUP($CT154,Budget!$A:$A,Budget!CO:CO)</f>
        <v>1800</v>
      </c>
      <c r="DU154" s="106">
        <f t="shared" si="676"/>
        <v>21600</v>
      </c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106">
        <f t="shared" si="677"/>
        <v>0</v>
      </c>
      <c r="EJ154" s="16" t="str">
        <f t="shared" si="601"/>
        <v>Waste Disposal</v>
      </c>
      <c r="EK154" s="22">
        <f>+VLOOKUP($BD154,'Jan-25'!$A:$J,9,0)</f>
        <v>3300</v>
      </c>
      <c r="EL154" s="22">
        <f>+VLOOKUP($BD154,'Feb-25'!$A:$J,9,0)</f>
        <v>300</v>
      </c>
      <c r="EM154" s="22">
        <f>+VLOOKUP($BD154,'Mar-25'!$A:$J,9,0)</f>
        <v>300</v>
      </c>
      <c r="EN154" s="22">
        <f>+VLOOKUP($BD154,'Apr-25'!$A:$J,9,0)</f>
        <v>300</v>
      </c>
      <c r="EO154" s="22">
        <f>+VLOOKUP($BD154,'May-25'!$A:$J,9,0)</f>
        <v>4300</v>
      </c>
      <c r="EP154" s="22">
        <f>+VLOOKUP($BD154,'June-25'!$A:$J,9,0)</f>
        <v>12300</v>
      </c>
      <c r="EQ154" s="22">
        <f>+VLOOKUP($BD154,'July-25'!$A:$J,9,0)</f>
        <v>5800</v>
      </c>
      <c r="ER154" s="22">
        <f>+VLOOKUP($BD154,'Aug-25'!$A:$J,9,0)</f>
        <v>300</v>
      </c>
      <c r="ES154" s="22">
        <f>+VLOOKUP($BD154,'Sep-25'!$A:$J,9,0)</f>
        <v>3300</v>
      </c>
      <c r="ET154" s="22">
        <f>+VLOOKUP($BD154,'Oct-25'!$A:$J,9,0)</f>
        <v>5000</v>
      </c>
      <c r="EU154" s="22">
        <f>+VLOOKUP($BD154,'Nov-25'!$A:$J,9,0)</f>
        <v>0</v>
      </c>
      <c r="EV154" s="22">
        <f>+VLOOKUP($BD154,'Dec-25'!$A:$J,9,0)</f>
        <v>0</v>
      </c>
      <c r="EW154" s="22">
        <f t="shared" si="678"/>
        <v>35200</v>
      </c>
      <c r="EX154" s="118">
        <f t="shared" si="479"/>
        <v>0.1111111111111111</v>
      </c>
      <c r="EY154" s="22">
        <f>+_xlfn.XLOOKUP($EJ154,Budget!$A:$A,Budget!DE:DE)</f>
        <v>4500</v>
      </c>
      <c r="EZ154" s="22">
        <f>+_xlfn.XLOOKUP($EJ154,Budget!$A:$A,Budget!DF:DF)</f>
        <v>4500</v>
      </c>
      <c r="FA154" s="22">
        <f>+_xlfn.XLOOKUP($EJ154,Budget!$A:$A,Budget!DG:DG)</f>
        <v>4500</v>
      </c>
      <c r="FB154" s="22">
        <f>+_xlfn.XLOOKUP($EJ154,Budget!$A:$A,Budget!DH:DH)</f>
        <v>4500</v>
      </c>
      <c r="FC154" s="22">
        <f>+_xlfn.XLOOKUP($EJ154,Budget!$A:$A,Budget!DI:DI)</f>
        <v>4500</v>
      </c>
      <c r="FD154" s="22">
        <f>+_xlfn.XLOOKUP($EJ154,Budget!$A:$A,Budget!DJ:DJ)</f>
        <v>4500</v>
      </c>
      <c r="FE154" s="22">
        <f>+_xlfn.XLOOKUP($EJ154,Budget!$A:$A,Budget!DK:DK)</f>
        <v>4500</v>
      </c>
      <c r="FF154" s="22">
        <f>+_xlfn.XLOOKUP($EJ154,Budget!$A:$A,Budget!DL:DL)</f>
        <v>4500</v>
      </c>
      <c r="FG154" s="22">
        <f>+_xlfn.XLOOKUP($EJ154,Budget!$A:$A,Budget!DM:DM)</f>
        <v>4500</v>
      </c>
      <c r="FH154" s="22">
        <f>+_xlfn.XLOOKUP($EJ154,Budget!$A:$A,Budget!DN:DN)</f>
        <v>4500</v>
      </c>
      <c r="FI154" s="22">
        <f>+_xlfn.XLOOKUP($EJ154,Budget!$A:$A,Budget!DO:DO)</f>
        <v>4500</v>
      </c>
      <c r="FJ154" s="22">
        <f>+_xlfn.XLOOKUP($EJ154,Budget!$A:$A,Budget!DP:DP)</f>
        <v>4500</v>
      </c>
      <c r="FK154" s="106">
        <f t="shared" si="679"/>
        <v>54000</v>
      </c>
    </row>
    <row r="155" spans="1:167" ht="14.45" hidden="1" customHeight="1" outlineLevel="2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6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118">
        <f t="shared" si="476"/>
        <v>0</v>
      </c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06"/>
      <c r="BC155" s="106"/>
      <c r="BD155" s="16">
        <f t="shared" si="591"/>
        <v>0</v>
      </c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118">
        <f t="shared" si="477"/>
        <v>0</v>
      </c>
      <c r="BS155" s="106"/>
      <c r="BT155" s="106"/>
      <c r="BU155" s="106"/>
      <c r="BV155" s="106"/>
      <c r="BW155" s="106"/>
      <c r="BX155" s="106"/>
      <c r="BY155" s="106"/>
      <c r="BZ155" s="106"/>
      <c r="CA155" s="106"/>
      <c r="CB155" s="106"/>
      <c r="CC155" s="106"/>
      <c r="CD155" s="106"/>
      <c r="CE155" s="106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106"/>
      <c r="CT155" s="16">
        <f t="shared" si="595"/>
        <v>0</v>
      </c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118">
        <f t="shared" si="478"/>
        <v>0</v>
      </c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106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106"/>
      <c r="EJ155" s="16">
        <f t="shared" si="601"/>
        <v>0</v>
      </c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118">
        <f t="shared" si="479"/>
        <v>0</v>
      </c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106"/>
    </row>
    <row r="156" spans="1:167" ht="14.45" customHeight="1" collapsed="1">
      <c r="A156" s="58">
        <f>+A157+A164+A172+A178+A182+A187+A193+A205+A209+A214</f>
        <v>1034879.1876999998</v>
      </c>
      <c r="B156" s="58">
        <f t="shared" ref="B156:L156" si="680">+B157+B164+B172+B178+B182+B187+B193+B205+B209+B214</f>
        <v>1098196.8571999997</v>
      </c>
      <c r="C156" s="58">
        <f t="shared" si="680"/>
        <v>1052978.3172999998</v>
      </c>
      <c r="D156" s="58">
        <f t="shared" si="680"/>
        <v>905911.46160000004</v>
      </c>
      <c r="E156" s="58">
        <f t="shared" si="680"/>
        <v>1116739.2217999999</v>
      </c>
      <c r="F156" s="58">
        <f t="shared" si="680"/>
        <v>1046290.4506999999</v>
      </c>
      <c r="G156" s="58">
        <f t="shared" si="680"/>
        <v>1157108.2491991001</v>
      </c>
      <c r="H156" s="58">
        <f t="shared" si="680"/>
        <v>1029058.0387641027</v>
      </c>
      <c r="I156" s="58">
        <f t="shared" si="680"/>
        <v>1143353.3836999999</v>
      </c>
      <c r="J156" s="58">
        <f>+J157+J164+J172+J178+J182+J187+J193+J205+J209+J214</f>
        <v>995027.13060000015</v>
      </c>
      <c r="K156" s="58">
        <f t="shared" si="680"/>
        <v>1017851.8489000001</v>
      </c>
      <c r="L156" s="58">
        <f t="shared" si="680"/>
        <v>1578668.1191</v>
      </c>
      <c r="M156" s="58">
        <f>+M157+M164+M172+M178+M182+M187+M193+M205+M209+M214</f>
        <v>11956836.599963199</v>
      </c>
      <c r="N156" s="19" t="s">
        <v>129</v>
      </c>
      <c r="O156" s="28">
        <f>+O157+O164+O172+O178+O182+O187+O193+O205+O209+O214</f>
        <v>1997845.1863000002</v>
      </c>
      <c r="P156" s="28">
        <f t="shared" ref="P156:Z156" si="681">+P157+P164+P172+P178+P182+P187+P193+P205+P209+P214</f>
        <v>2067917.4474000002</v>
      </c>
      <c r="Q156" s="28">
        <f t="shared" si="681"/>
        <v>1917342.862</v>
      </c>
      <c r="R156" s="28">
        <f t="shared" si="681"/>
        <v>1900290.7458000001</v>
      </c>
      <c r="S156" s="28">
        <f t="shared" si="681"/>
        <v>2022253.2337999998</v>
      </c>
      <c r="T156" s="28">
        <f t="shared" si="681"/>
        <v>2288190.1321</v>
      </c>
      <c r="U156" s="28">
        <f t="shared" si="681"/>
        <v>2543524.7625183561</v>
      </c>
      <c r="V156" s="28">
        <f t="shared" si="681"/>
        <v>2084384.3869999999</v>
      </c>
      <c r="W156" s="28">
        <f t="shared" si="681"/>
        <v>2314744.7838333333</v>
      </c>
      <c r="X156" s="28">
        <f t="shared" si="681"/>
        <v>2055286.7838000001</v>
      </c>
      <c r="Y156" s="28">
        <f t="shared" si="681"/>
        <v>0</v>
      </c>
      <c r="Z156" s="28">
        <f t="shared" si="681"/>
        <v>0</v>
      </c>
      <c r="AA156" s="28">
        <f>+AA157+AA164+AA172+AA178+AA182+AA187+AA193+AA205+AA209+AA214</f>
        <v>21191780.32455169</v>
      </c>
      <c r="AB156" s="118">
        <f t="shared" si="476"/>
        <v>0.15975866850280726</v>
      </c>
      <c r="AC156" s="28">
        <f>+AC157+AC164+AC172+AC178+AC182+AC187+AC193+AC205+AC209+AC214</f>
        <v>1851523.8605655406</v>
      </c>
      <c r="AD156" s="28">
        <f t="shared" ref="AD156:AN156" si="682">+AD157+AD164+AD172+AD178+AD182+AD187+AD193+AD205+AD209+AD214</f>
        <v>1701523.8605655404</v>
      </c>
      <c r="AE156" s="28">
        <f t="shared" si="682"/>
        <v>1701523.8605655404</v>
      </c>
      <c r="AF156" s="28">
        <f t="shared" si="682"/>
        <v>1702059.3605655404</v>
      </c>
      <c r="AG156" s="28">
        <f t="shared" si="682"/>
        <v>1762059.3605655404</v>
      </c>
      <c r="AH156" s="28">
        <f t="shared" si="682"/>
        <v>1711367.3184660403</v>
      </c>
      <c r="AI156" s="28">
        <f t="shared" si="682"/>
        <v>1710969.5934660404</v>
      </c>
      <c r="AJ156" s="28">
        <f t="shared" si="682"/>
        <v>1714969.5934660404</v>
      </c>
      <c r="AK156" s="28">
        <f t="shared" si="682"/>
        <v>1752095.7367824153</v>
      </c>
      <c r="AL156" s="28">
        <f t="shared" si="682"/>
        <v>1772167.6410949156</v>
      </c>
      <c r="AM156" s="28">
        <f t="shared" si="682"/>
        <v>1712167.6410949156</v>
      </c>
      <c r="AN156" s="28">
        <f t="shared" si="682"/>
        <v>1752167.6410949153</v>
      </c>
      <c r="AO156" s="28">
        <f>+AO157+AO164+AO172+AO178+AO182+AO187+AO193+AO205+AO209+AO214</f>
        <v>12264664.938431984</v>
      </c>
      <c r="AQ156" s="58">
        <f t="shared" ref="AQ156:BB156" si="683">+AQ157+AQ164+AQ172+AQ178+AQ182+AQ187+AQ193+AQ205+AQ209+AQ214</f>
        <v>671320.42259999982</v>
      </c>
      <c r="AR156" s="58">
        <f t="shared" si="683"/>
        <v>797222.31559999986</v>
      </c>
      <c r="AS156" s="58">
        <f t="shared" si="683"/>
        <v>750142.14099999983</v>
      </c>
      <c r="AT156" s="58">
        <f t="shared" si="683"/>
        <v>646765.56239999994</v>
      </c>
      <c r="AU156" s="58">
        <f t="shared" si="683"/>
        <v>816624.12319999991</v>
      </c>
      <c r="AV156" s="58">
        <f t="shared" si="683"/>
        <v>734823.60179999995</v>
      </c>
      <c r="AW156" s="58">
        <f t="shared" si="683"/>
        <v>852321.08879940002</v>
      </c>
      <c r="AX156" s="58">
        <f t="shared" si="683"/>
        <v>736946.56295384606</v>
      </c>
      <c r="AY156" s="58">
        <f t="shared" si="683"/>
        <v>777266.70779999997</v>
      </c>
      <c r="AZ156" s="58">
        <f t="shared" si="683"/>
        <v>693697.58039999998</v>
      </c>
      <c r="BA156" s="58">
        <f t="shared" si="683"/>
        <v>737057.85060000001</v>
      </c>
      <c r="BB156" s="58">
        <f t="shared" si="683"/>
        <v>1281918.3994</v>
      </c>
      <c r="BC156" s="58">
        <f>+BC157+BC164+BC172+BC178+BC182+BC187+BC193+BC205+BC209+BC214</f>
        <v>9496106.3565532453</v>
      </c>
      <c r="BD156" s="19" t="str">
        <f t="shared" si="591"/>
        <v>Administrative Expenses</v>
      </c>
      <c r="BE156" s="28">
        <f t="shared" ref="BE156:BQ156" si="684">+BE157+BE164+BE172+BE178+BE182+BE187+BE193+BE205+BE209+BE214</f>
        <v>649142.37620000006</v>
      </c>
      <c r="BF156" s="28">
        <f t="shared" si="684"/>
        <v>783639.17960000003</v>
      </c>
      <c r="BG156" s="28">
        <f t="shared" si="684"/>
        <v>691915.30799999996</v>
      </c>
      <c r="BH156" s="28">
        <f t="shared" si="684"/>
        <v>913744.60720000009</v>
      </c>
      <c r="BI156" s="28">
        <f t="shared" si="684"/>
        <v>1035620.8557999999</v>
      </c>
      <c r="BJ156" s="28">
        <f t="shared" si="684"/>
        <v>1103903.1154</v>
      </c>
      <c r="BK156" s="28">
        <f t="shared" si="684"/>
        <v>1022722.9006898117</v>
      </c>
      <c r="BL156" s="28">
        <f t="shared" si="684"/>
        <v>871634.89</v>
      </c>
      <c r="BM156" s="28">
        <f t="shared" si="684"/>
        <v>934270.7263333333</v>
      </c>
      <c r="BN156" s="28">
        <f t="shared" si="684"/>
        <v>1015779.6332</v>
      </c>
      <c r="BO156" s="28">
        <f t="shared" si="684"/>
        <v>0</v>
      </c>
      <c r="BP156" s="28">
        <f t="shared" si="684"/>
        <v>0</v>
      </c>
      <c r="BQ156" s="28">
        <f t="shared" si="684"/>
        <v>9022373.5924231447</v>
      </c>
      <c r="BR156" s="118">
        <f t="shared" si="477"/>
        <v>0.47546931133081938</v>
      </c>
      <c r="BS156" s="58">
        <f t="shared" ref="BS156:CD156" si="685">+BS157+BS164+BS172+BS178+BS182+BS187+BS193+BS205+BS209+BS214</f>
        <v>828515.87529434357</v>
      </c>
      <c r="BT156" s="58">
        <f t="shared" si="685"/>
        <v>678515.87529434345</v>
      </c>
      <c r="BU156" s="58">
        <f t="shared" si="685"/>
        <v>678515.87529434345</v>
      </c>
      <c r="BV156" s="58">
        <f t="shared" si="685"/>
        <v>679051.37529434345</v>
      </c>
      <c r="BW156" s="58">
        <f t="shared" si="685"/>
        <v>739051.37529434345</v>
      </c>
      <c r="BX156" s="58">
        <f t="shared" si="685"/>
        <v>688359.33319484349</v>
      </c>
      <c r="BY156" s="58">
        <f t="shared" si="685"/>
        <v>687961.60819484352</v>
      </c>
      <c r="BZ156" s="58">
        <f t="shared" si="685"/>
        <v>689961.60819484352</v>
      </c>
      <c r="CA156" s="58">
        <f t="shared" si="685"/>
        <v>728361.60819484352</v>
      </c>
      <c r="CB156" s="58">
        <f t="shared" si="685"/>
        <v>688445.11058234342</v>
      </c>
      <c r="CC156" s="58">
        <f t="shared" si="685"/>
        <v>688445.11058234342</v>
      </c>
      <c r="CD156" s="58">
        <f t="shared" si="685"/>
        <v>728445.11058234342</v>
      </c>
      <c r="CE156" s="58">
        <f>+CE157+CE164+CE172+CE178+CE182+CE187+CE193+CE205+CE209+CE214</f>
        <v>8503629.865998121</v>
      </c>
      <c r="CF156" s="22"/>
      <c r="CG156" s="28">
        <f t="shared" ref="CG156:CR156" si="686">+CG157+CG164+CG172+CG178+CG182+CG187+CG193+CG205+CG209+CG214</f>
        <v>363558.7650999999</v>
      </c>
      <c r="CH156" s="28">
        <f t="shared" si="686"/>
        <v>300974.54159999988</v>
      </c>
      <c r="CI156" s="28">
        <f t="shared" si="686"/>
        <v>302836.17629999993</v>
      </c>
      <c r="CJ156" s="28">
        <f t="shared" si="686"/>
        <v>259145.89920000001</v>
      </c>
      <c r="CK156" s="28">
        <f t="shared" si="686"/>
        <v>300115.09859999997</v>
      </c>
      <c r="CL156" s="28">
        <f t="shared" si="686"/>
        <v>311466.84889999998</v>
      </c>
      <c r="CM156" s="28">
        <f t="shared" si="686"/>
        <v>304787.16039969999</v>
      </c>
      <c r="CN156" s="28">
        <f t="shared" si="686"/>
        <v>292111.47581025638</v>
      </c>
      <c r="CO156" s="28">
        <f t="shared" si="686"/>
        <v>366086.67589999997</v>
      </c>
      <c r="CP156" s="28">
        <f t="shared" si="686"/>
        <v>301329.5502</v>
      </c>
      <c r="CQ156" s="28">
        <f t="shared" si="686"/>
        <v>280793.99829999998</v>
      </c>
      <c r="CR156" s="28">
        <f t="shared" si="686"/>
        <v>296749.71970000002</v>
      </c>
      <c r="CS156" s="58">
        <f>+CS157+CS164+CS172+CS178+CS182+CS187+CS193+CS205+CS209+CS214</f>
        <v>3679955.9100099569</v>
      </c>
      <c r="CT156" s="19" t="str">
        <f t="shared" si="595"/>
        <v>Administrative Expenses</v>
      </c>
      <c r="CU156" s="28">
        <f t="shared" ref="CU156:DG156" si="687">+CU157+CU164+CU172+CU178+CU182+CU187+CU193+CU205+CU209+CU214</f>
        <v>347365.59010000003</v>
      </c>
      <c r="CV156" s="28">
        <f t="shared" si="687"/>
        <v>440970.46780000004</v>
      </c>
      <c r="CW156" s="28">
        <f t="shared" si="687"/>
        <v>434108.93400000007</v>
      </c>
      <c r="CX156" s="28">
        <f t="shared" si="687"/>
        <v>240367.13860000001</v>
      </c>
      <c r="CY156" s="28">
        <f t="shared" si="687"/>
        <v>322029.75199999998</v>
      </c>
      <c r="CZ156" s="28">
        <f t="shared" si="687"/>
        <v>356577.00270000001</v>
      </c>
      <c r="DA156" s="28">
        <f t="shared" si="687"/>
        <v>411103.98516187764</v>
      </c>
      <c r="DB156" s="28">
        <f t="shared" si="687"/>
        <v>322316.49699999997</v>
      </c>
      <c r="DC156" s="28">
        <f t="shared" si="687"/>
        <v>456471.66749999992</v>
      </c>
      <c r="DD156" s="28">
        <f t="shared" si="687"/>
        <v>388661.98060000001</v>
      </c>
      <c r="DE156" s="28">
        <f t="shared" si="687"/>
        <v>0</v>
      </c>
      <c r="DF156" s="28">
        <f t="shared" si="687"/>
        <v>0</v>
      </c>
      <c r="DG156" s="28">
        <f t="shared" si="687"/>
        <v>3719973.0154618779</v>
      </c>
      <c r="DH156" s="118">
        <f t="shared" si="478"/>
        <v>-0.10476567582965099</v>
      </c>
      <c r="DI156" s="28">
        <f t="shared" ref="DI156:DT156" si="688">+DI157+DI164+DI172+DI178+DI182+DI187+DI193+DI205+DI209+DI214</f>
        <v>373430.98527119699</v>
      </c>
      <c r="DJ156" s="28">
        <f t="shared" si="688"/>
        <v>373430.98527119699</v>
      </c>
      <c r="DK156" s="28">
        <f t="shared" si="688"/>
        <v>373430.98527119699</v>
      </c>
      <c r="DL156" s="28">
        <f t="shared" si="688"/>
        <v>373430.98527119699</v>
      </c>
      <c r="DM156" s="28">
        <f t="shared" si="688"/>
        <v>373430.98527119699</v>
      </c>
      <c r="DN156" s="28">
        <f t="shared" si="688"/>
        <v>373430.98527119699</v>
      </c>
      <c r="DO156" s="28">
        <f t="shared" si="688"/>
        <v>373430.98527119699</v>
      </c>
      <c r="DP156" s="28">
        <f t="shared" si="688"/>
        <v>375430.98527119699</v>
      </c>
      <c r="DQ156" s="28">
        <f t="shared" si="688"/>
        <v>374157.12858757202</v>
      </c>
      <c r="DR156" s="28">
        <f t="shared" si="688"/>
        <v>434145.53051257198</v>
      </c>
      <c r="DS156" s="28">
        <f t="shared" si="688"/>
        <v>374145.53051257203</v>
      </c>
      <c r="DT156" s="28">
        <f t="shared" si="688"/>
        <v>374145.53051257203</v>
      </c>
      <c r="DU156" s="58">
        <f>+DU157+DU164+DU172+DU178+DU182+DU187+DU193+DU205+DU209+DU214</f>
        <v>4546041.6022948641</v>
      </c>
      <c r="DW156" s="28">
        <f t="shared" ref="DW156:EH156" si="689">+DW157+DW164+DW172+DW178+DW182+DW187+DW193+DW205+DW209+DW214</f>
        <v>0</v>
      </c>
      <c r="DX156" s="28">
        <f t="shared" si="689"/>
        <v>0</v>
      </c>
      <c r="DY156" s="28">
        <f t="shared" si="689"/>
        <v>0</v>
      </c>
      <c r="DZ156" s="28">
        <f t="shared" si="689"/>
        <v>0</v>
      </c>
      <c r="EA156" s="28">
        <f t="shared" si="689"/>
        <v>0</v>
      </c>
      <c r="EB156" s="28">
        <f t="shared" si="689"/>
        <v>0</v>
      </c>
      <c r="EC156" s="28">
        <f t="shared" si="689"/>
        <v>0</v>
      </c>
      <c r="ED156" s="28">
        <f t="shared" si="689"/>
        <v>0</v>
      </c>
      <c r="EE156" s="28">
        <f t="shared" si="689"/>
        <v>0</v>
      </c>
      <c r="EF156" s="28">
        <f t="shared" si="689"/>
        <v>0</v>
      </c>
      <c r="EG156" s="28">
        <f t="shared" si="689"/>
        <v>0</v>
      </c>
      <c r="EH156" s="28">
        <f t="shared" si="689"/>
        <v>0</v>
      </c>
      <c r="EI156" s="58">
        <f>+EI157+EI164+EI172+EI178+EI182+EI187+EI193+EI205+EI209+EI214</f>
        <v>0</v>
      </c>
      <c r="EJ156" s="19" t="str">
        <f t="shared" si="601"/>
        <v>Administrative Expenses</v>
      </c>
      <c r="EK156" s="28">
        <f t="shared" ref="EK156:EW156" si="690">+EK157+EK164+EK172+EK178+EK182+EK187+EK193+EK205+EK209+EK214</f>
        <v>1001337.2200000001</v>
      </c>
      <c r="EL156" s="28">
        <f t="shared" si="690"/>
        <v>843307.8</v>
      </c>
      <c r="EM156" s="28">
        <f t="shared" si="690"/>
        <v>791318.62</v>
      </c>
      <c r="EN156" s="28">
        <f t="shared" si="690"/>
        <v>746179</v>
      </c>
      <c r="EO156" s="28">
        <f t="shared" si="690"/>
        <v>664602.62599999993</v>
      </c>
      <c r="EP156" s="28">
        <f t="shared" si="690"/>
        <v>827710.01399999997</v>
      </c>
      <c r="EQ156" s="28">
        <f t="shared" si="690"/>
        <v>1109697.8766666665</v>
      </c>
      <c r="ER156" s="28">
        <f t="shared" si="690"/>
        <v>890433</v>
      </c>
      <c r="ES156" s="28">
        <f t="shared" si="690"/>
        <v>924002.39</v>
      </c>
      <c r="ET156" s="28">
        <f t="shared" si="690"/>
        <v>650845.17000000004</v>
      </c>
      <c r="EU156" s="28">
        <f t="shared" si="690"/>
        <v>0</v>
      </c>
      <c r="EV156" s="28">
        <f t="shared" si="690"/>
        <v>0</v>
      </c>
      <c r="EW156" s="28">
        <f t="shared" si="690"/>
        <v>8449433.7166666668</v>
      </c>
      <c r="EX156" s="118">
        <f t="shared" si="479"/>
        <v>1.9523012668244749E-3</v>
      </c>
      <c r="EY156" s="28">
        <f t="shared" ref="EY156:FJ156" si="691">+EY157+EY164+EY172+EY178+EY182+EY187+EY193+EY205+EY209+EY214</f>
        <v>649577</v>
      </c>
      <c r="EZ156" s="28">
        <f t="shared" si="691"/>
        <v>649577</v>
      </c>
      <c r="FA156" s="28">
        <f t="shared" si="691"/>
        <v>649577</v>
      </c>
      <c r="FB156" s="28">
        <f t="shared" si="691"/>
        <v>649577</v>
      </c>
      <c r="FC156" s="28">
        <f t="shared" si="691"/>
        <v>649577</v>
      </c>
      <c r="FD156" s="28">
        <f t="shared" si="691"/>
        <v>649577</v>
      </c>
      <c r="FE156" s="28">
        <f t="shared" si="691"/>
        <v>649577</v>
      </c>
      <c r="FF156" s="28">
        <f t="shared" si="691"/>
        <v>649577</v>
      </c>
      <c r="FG156" s="28">
        <f t="shared" si="691"/>
        <v>649577</v>
      </c>
      <c r="FH156" s="28">
        <f t="shared" si="691"/>
        <v>649577</v>
      </c>
      <c r="FI156" s="28">
        <f t="shared" si="691"/>
        <v>649577</v>
      </c>
      <c r="FJ156" s="28">
        <f t="shared" si="691"/>
        <v>649577</v>
      </c>
      <c r="FK156" s="58">
        <f>+FK157+FK164+FK172+FK178+FK182+FK187+FK193+FK205+FK209+FK214</f>
        <v>7794924</v>
      </c>
    </row>
    <row r="157" spans="1:167" ht="14.45" hidden="1" customHeight="1" outlineLevel="1">
      <c r="A157" s="58">
        <f t="shared" ref="A157:M157" si="692">+SUM(A158:A162)</f>
        <v>87946.661099999998</v>
      </c>
      <c r="B157" s="58">
        <f t="shared" si="692"/>
        <v>153048.28899999999</v>
      </c>
      <c r="C157" s="58">
        <f t="shared" si="692"/>
        <v>150963.25</v>
      </c>
      <c r="D157" s="58">
        <f t="shared" si="692"/>
        <v>44793.599999999999</v>
      </c>
      <c r="E157" s="58">
        <f t="shared" si="692"/>
        <v>54003.783600000002</v>
      </c>
      <c r="F157" s="58">
        <f t="shared" si="692"/>
        <v>92109.05</v>
      </c>
      <c r="G157" s="58">
        <f t="shared" si="692"/>
        <v>144301.77000000002</v>
      </c>
      <c r="H157" s="58">
        <f t="shared" si="692"/>
        <v>163788.61000000002</v>
      </c>
      <c r="I157" s="58">
        <f t="shared" si="692"/>
        <v>151323.9572</v>
      </c>
      <c r="J157" s="58">
        <f t="shared" si="692"/>
        <v>135240.52000000002</v>
      </c>
      <c r="K157" s="58">
        <f t="shared" si="692"/>
        <v>78005.907999999996</v>
      </c>
      <c r="L157" s="58">
        <f t="shared" si="692"/>
        <v>104185.87</v>
      </c>
      <c r="M157" s="58">
        <f t="shared" si="692"/>
        <v>1359711.2689</v>
      </c>
      <c r="N157" s="20" t="s">
        <v>130</v>
      </c>
      <c r="O157" s="28">
        <f t="shared" ref="O157:AA157" si="693">+SUM(O158:O162)</f>
        <v>200294.38439999998</v>
      </c>
      <c r="P157" s="28">
        <f t="shared" si="693"/>
        <v>396843.47529999999</v>
      </c>
      <c r="Q157" s="28">
        <f t="shared" si="693"/>
        <v>255841.70990000002</v>
      </c>
      <c r="R157" s="28">
        <f t="shared" si="693"/>
        <v>96190.847999999998</v>
      </c>
      <c r="S157" s="28">
        <f t="shared" si="693"/>
        <v>126368.07799999999</v>
      </c>
      <c r="T157" s="28">
        <f t="shared" si="693"/>
        <v>371357.5882</v>
      </c>
      <c r="U157" s="28">
        <f t="shared" si="693"/>
        <v>214716.64805555562</v>
      </c>
      <c r="V157" s="28">
        <f t="shared" si="693"/>
        <v>125482.5306</v>
      </c>
      <c r="W157" s="28">
        <f t="shared" si="693"/>
        <v>543131.44999999995</v>
      </c>
      <c r="X157" s="28">
        <f t="shared" si="693"/>
        <v>282539.41000000003</v>
      </c>
      <c r="Y157" s="28">
        <f t="shared" si="693"/>
        <v>0</v>
      </c>
      <c r="Z157" s="28">
        <f t="shared" si="693"/>
        <v>0</v>
      </c>
      <c r="AA157" s="28">
        <f t="shared" si="693"/>
        <v>2612766.1224555559</v>
      </c>
      <c r="AB157" s="118">
        <f t="shared" si="476"/>
        <v>2.7343959191409679</v>
      </c>
      <c r="AC157" s="28">
        <f t="shared" ref="AC157:AO157" si="694">+SUM(AC158:AC162)</f>
        <v>77372.048740222235</v>
      </c>
      <c r="AD157" s="28">
        <f t="shared" si="694"/>
        <v>77372.048740222235</v>
      </c>
      <c r="AE157" s="28">
        <f t="shared" si="694"/>
        <v>77372.048740222235</v>
      </c>
      <c r="AF157" s="28">
        <f t="shared" si="694"/>
        <v>77907.548740222235</v>
      </c>
      <c r="AG157" s="28">
        <f t="shared" si="694"/>
        <v>77907.548740222235</v>
      </c>
      <c r="AH157" s="28">
        <f t="shared" si="694"/>
        <v>77907.548740222235</v>
      </c>
      <c r="AI157" s="28">
        <f t="shared" si="694"/>
        <v>77907.548740222235</v>
      </c>
      <c r="AJ157" s="28">
        <f t="shared" si="694"/>
        <v>77907.548740222235</v>
      </c>
      <c r="AK157" s="28">
        <f t="shared" si="694"/>
        <v>75123.91775972223</v>
      </c>
      <c r="AL157" s="28">
        <f t="shared" si="694"/>
        <v>75658.66504722221</v>
      </c>
      <c r="AM157" s="28">
        <f t="shared" si="694"/>
        <v>75658.66504722221</v>
      </c>
      <c r="AN157" s="28">
        <f t="shared" si="694"/>
        <v>115658.6650472222</v>
      </c>
      <c r="AO157" s="28">
        <f t="shared" si="694"/>
        <v>963753.80282316671</v>
      </c>
      <c r="AQ157" s="58">
        <f t="shared" ref="AQ157:BC157" si="695">+SUM(AQ158:AQ162)</f>
        <v>34494.615399999995</v>
      </c>
      <c r="AR157" s="58">
        <f t="shared" si="695"/>
        <v>133188.58000000002</v>
      </c>
      <c r="AS157" s="58">
        <f t="shared" si="695"/>
        <v>119733.5</v>
      </c>
      <c r="AT157" s="58">
        <f t="shared" si="695"/>
        <v>39991.800000000003</v>
      </c>
      <c r="AU157" s="58">
        <f t="shared" si="695"/>
        <v>43642.322400000005</v>
      </c>
      <c r="AV157" s="58">
        <f t="shared" si="695"/>
        <v>84811.05</v>
      </c>
      <c r="AW157" s="58">
        <f t="shared" si="695"/>
        <v>120485.77</v>
      </c>
      <c r="AX157" s="58">
        <f t="shared" si="695"/>
        <v>133997.12</v>
      </c>
      <c r="AY157" s="58">
        <f t="shared" si="695"/>
        <v>118536.6488</v>
      </c>
      <c r="AZ157" s="58">
        <f t="shared" si="695"/>
        <v>69140.95</v>
      </c>
      <c r="BA157" s="58">
        <f t="shared" si="695"/>
        <v>69911.740000000005</v>
      </c>
      <c r="BB157" s="58">
        <f t="shared" si="695"/>
        <v>77346.8</v>
      </c>
      <c r="BC157" s="58">
        <f t="shared" si="695"/>
        <v>1045280.8966</v>
      </c>
      <c r="BD157" s="20" t="str">
        <f t="shared" si="591"/>
        <v>Repair and Maintenance</v>
      </c>
      <c r="BE157" s="28">
        <f t="shared" ref="BE157:BQ157" si="696">+SUM(BE158:BE162)</f>
        <v>37400.409599999999</v>
      </c>
      <c r="BF157" s="28">
        <f t="shared" si="696"/>
        <v>138697.01020000002</v>
      </c>
      <c r="BG157" s="28">
        <f t="shared" si="696"/>
        <v>53120.834600000002</v>
      </c>
      <c r="BH157" s="28">
        <f t="shared" si="696"/>
        <v>51786.68</v>
      </c>
      <c r="BI157" s="28">
        <f t="shared" si="696"/>
        <v>99153.909999999989</v>
      </c>
      <c r="BJ157" s="28">
        <f t="shared" si="696"/>
        <v>204645.66879999998</v>
      </c>
      <c r="BK157" s="28">
        <f t="shared" si="696"/>
        <v>36337.522222222251</v>
      </c>
      <c r="BL157" s="28">
        <f t="shared" si="696"/>
        <v>100613.91039999999</v>
      </c>
      <c r="BM157" s="28">
        <f t="shared" si="696"/>
        <v>118503.65</v>
      </c>
      <c r="BN157" s="28">
        <f t="shared" si="696"/>
        <v>204470.81</v>
      </c>
      <c r="BO157" s="28">
        <f t="shared" si="696"/>
        <v>0</v>
      </c>
      <c r="BP157" s="28">
        <f t="shared" si="696"/>
        <v>0</v>
      </c>
      <c r="BQ157" s="28">
        <f t="shared" si="696"/>
        <v>1044730.4058222224</v>
      </c>
      <c r="BR157" s="118">
        <f t="shared" si="477"/>
        <v>3.3182930503347978</v>
      </c>
      <c r="BS157" s="58">
        <f t="shared" ref="BS157:CE157" si="697">+SUM(BS158:BS162)</f>
        <v>46279.667972222225</v>
      </c>
      <c r="BT157" s="58">
        <f t="shared" si="697"/>
        <v>46279.667972222225</v>
      </c>
      <c r="BU157" s="58">
        <f t="shared" si="697"/>
        <v>46279.667972222225</v>
      </c>
      <c r="BV157" s="58">
        <f t="shared" si="697"/>
        <v>46815.167972222225</v>
      </c>
      <c r="BW157" s="58">
        <f t="shared" si="697"/>
        <v>46815.167972222225</v>
      </c>
      <c r="BX157" s="58">
        <f t="shared" si="697"/>
        <v>46815.167972222225</v>
      </c>
      <c r="BY157" s="58">
        <f t="shared" si="697"/>
        <v>46815.167972222225</v>
      </c>
      <c r="BZ157" s="58">
        <f t="shared" si="697"/>
        <v>46815.167972222225</v>
      </c>
      <c r="CA157" s="58">
        <f t="shared" si="697"/>
        <v>46815.167972222225</v>
      </c>
      <c r="CB157" s="58">
        <f t="shared" si="697"/>
        <v>47349.915259722206</v>
      </c>
      <c r="CC157" s="58">
        <f t="shared" si="697"/>
        <v>47349.915259722206</v>
      </c>
      <c r="CD157" s="58">
        <f t="shared" si="697"/>
        <v>87349.915259722198</v>
      </c>
      <c r="CE157" s="58">
        <f t="shared" si="697"/>
        <v>601779.75752916664</v>
      </c>
      <c r="CF157" s="22"/>
      <c r="CG157" s="28">
        <f t="shared" ref="CG157:CS157" si="698">+SUM(CG158:CG162)</f>
        <v>53452.045699999995</v>
      </c>
      <c r="CH157" s="28">
        <f t="shared" si="698"/>
        <v>19859.708999999999</v>
      </c>
      <c r="CI157" s="28">
        <f t="shared" si="698"/>
        <v>31229.75</v>
      </c>
      <c r="CJ157" s="28">
        <f t="shared" si="698"/>
        <v>4801.8</v>
      </c>
      <c r="CK157" s="28">
        <f t="shared" si="698"/>
        <v>10361.4612</v>
      </c>
      <c r="CL157" s="28">
        <f t="shared" si="698"/>
        <v>7298</v>
      </c>
      <c r="CM157" s="28">
        <f t="shared" si="698"/>
        <v>23816</v>
      </c>
      <c r="CN157" s="28">
        <f t="shared" si="698"/>
        <v>29791.49</v>
      </c>
      <c r="CO157" s="28">
        <f t="shared" si="698"/>
        <v>32787.308400000002</v>
      </c>
      <c r="CP157" s="28">
        <f t="shared" si="698"/>
        <v>66099.570000000007</v>
      </c>
      <c r="CQ157" s="28">
        <f t="shared" si="698"/>
        <v>8094.1679999999997</v>
      </c>
      <c r="CR157" s="28">
        <f t="shared" si="698"/>
        <v>26839.07</v>
      </c>
      <c r="CS157" s="58">
        <f t="shared" si="698"/>
        <v>314430.37229999999</v>
      </c>
      <c r="CT157" s="20" t="str">
        <f t="shared" si="595"/>
        <v>Repair and Maintenance</v>
      </c>
      <c r="CU157" s="28">
        <f t="shared" ref="CU157:DG157" si="699">+SUM(CU158:CU162)</f>
        <v>47117.674799999993</v>
      </c>
      <c r="CV157" s="28">
        <f t="shared" si="699"/>
        <v>229016.4651</v>
      </c>
      <c r="CW157" s="28">
        <f t="shared" si="699"/>
        <v>159395.80530000001</v>
      </c>
      <c r="CX157" s="28">
        <f t="shared" si="699"/>
        <v>12554.168</v>
      </c>
      <c r="CY157" s="28">
        <f t="shared" si="699"/>
        <v>21614.167999999998</v>
      </c>
      <c r="CZ157" s="28">
        <f t="shared" si="699"/>
        <v>34674.079400000002</v>
      </c>
      <c r="DA157" s="28">
        <f t="shared" si="699"/>
        <v>70468.375833333354</v>
      </c>
      <c r="DB157" s="28">
        <f t="shared" si="699"/>
        <v>23068.620199999998</v>
      </c>
      <c r="DC157" s="28">
        <f t="shared" si="699"/>
        <v>122377.8</v>
      </c>
      <c r="DD157" s="28">
        <f t="shared" si="699"/>
        <v>60241.9</v>
      </c>
      <c r="DE157" s="28">
        <f t="shared" si="699"/>
        <v>0</v>
      </c>
      <c r="DF157" s="28">
        <f t="shared" si="699"/>
        <v>0</v>
      </c>
      <c r="DG157" s="28">
        <f t="shared" si="699"/>
        <v>780529.05663333344</v>
      </c>
      <c r="DH157" s="118">
        <f t="shared" si="478"/>
        <v>2.2028657236982236</v>
      </c>
      <c r="DI157" s="28">
        <f t="shared" ref="DI157:DU157" si="700">+SUM(DI158:DI162)</f>
        <v>21592.380767999999</v>
      </c>
      <c r="DJ157" s="28">
        <f t="shared" si="700"/>
        <v>21592.380767999999</v>
      </c>
      <c r="DK157" s="28">
        <f t="shared" si="700"/>
        <v>21592.380767999999</v>
      </c>
      <c r="DL157" s="28">
        <f t="shared" si="700"/>
        <v>21592.380767999999</v>
      </c>
      <c r="DM157" s="28">
        <f t="shared" si="700"/>
        <v>21592.380767999999</v>
      </c>
      <c r="DN157" s="28">
        <f t="shared" si="700"/>
        <v>21592.380767999999</v>
      </c>
      <c r="DO157" s="28">
        <f t="shared" si="700"/>
        <v>21592.380767999999</v>
      </c>
      <c r="DP157" s="28">
        <f t="shared" si="700"/>
        <v>21592.380767999999</v>
      </c>
      <c r="DQ157" s="28">
        <f t="shared" si="700"/>
        <v>18808.749787500001</v>
      </c>
      <c r="DR157" s="28">
        <f t="shared" si="700"/>
        <v>18808.749787500001</v>
      </c>
      <c r="DS157" s="28">
        <f t="shared" si="700"/>
        <v>18808.749787500001</v>
      </c>
      <c r="DT157" s="28">
        <f t="shared" si="700"/>
        <v>18808.749787500001</v>
      </c>
      <c r="DU157" s="58">
        <f t="shared" si="700"/>
        <v>247974.04529400001</v>
      </c>
      <c r="DW157" s="28">
        <f t="shared" ref="DW157:EI157" si="701">+SUM(DW158:DW162)</f>
        <v>0</v>
      </c>
      <c r="DX157" s="28">
        <f t="shared" si="701"/>
        <v>0</v>
      </c>
      <c r="DY157" s="28">
        <f t="shared" si="701"/>
        <v>0</v>
      </c>
      <c r="DZ157" s="28">
        <f t="shared" si="701"/>
        <v>0</v>
      </c>
      <c r="EA157" s="28">
        <f t="shared" si="701"/>
        <v>0</v>
      </c>
      <c r="EB157" s="28">
        <f t="shared" si="701"/>
        <v>0</v>
      </c>
      <c r="EC157" s="28">
        <f t="shared" si="701"/>
        <v>0</v>
      </c>
      <c r="ED157" s="28">
        <f t="shared" si="701"/>
        <v>0</v>
      </c>
      <c r="EE157" s="28">
        <f t="shared" si="701"/>
        <v>0</v>
      </c>
      <c r="EF157" s="28">
        <f t="shared" si="701"/>
        <v>0</v>
      </c>
      <c r="EG157" s="28">
        <f t="shared" si="701"/>
        <v>0</v>
      </c>
      <c r="EH157" s="28">
        <f t="shared" si="701"/>
        <v>0</v>
      </c>
      <c r="EI157" s="58">
        <f t="shared" si="701"/>
        <v>0</v>
      </c>
      <c r="EJ157" s="20" t="str">
        <f t="shared" si="601"/>
        <v>Repair and Maintenance</v>
      </c>
      <c r="EK157" s="28">
        <f t="shared" ref="EK157:EW157" si="702">+SUM(EK158:EK162)</f>
        <v>115776.3</v>
      </c>
      <c r="EL157" s="28">
        <f t="shared" si="702"/>
        <v>29130</v>
      </c>
      <c r="EM157" s="28">
        <f t="shared" si="702"/>
        <v>43325.07</v>
      </c>
      <c r="EN157" s="28">
        <f t="shared" si="702"/>
        <v>31850</v>
      </c>
      <c r="EO157" s="28">
        <f t="shared" si="702"/>
        <v>5600</v>
      </c>
      <c r="EP157" s="28">
        <f t="shared" si="702"/>
        <v>132037.84</v>
      </c>
      <c r="EQ157" s="28">
        <f t="shared" si="702"/>
        <v>107910.75</v>
      </c>
      <c r="ER157" s="28">
        <f t="shared" si="702"/>
        <v>1800</v>
      </c>
      <c r="ES157" s="28">
        <f t="shared" si="702"/>
        <v>302250</v>
      </c>
      <c r="ET157" s="28">
        <f t="shared" si="702"/>
        <v>17826.7</v>
      </c>
      <c r="EU157" s="28">
        <f t="shared" si="702"/>
        <v>0</v>
      </c>
      <c r="EV157" s="28">
        <f t="shared" si="702"/>
        <v>0</v>
      </c>
      <c r="EW157" s="28">
        <f t="shared" si="702"/>
        <v>787506.66</v>
      </c>
      <c r="EX157" s="118">
        <f t="shared" si="479"/>
        <v>0.87649473684210533</v>
      </c>
      <c r="EY157" s="28">
        <f t="shared" ref="EY157:FK157" si="703">+SUM(EY158:EY162)</f>
        <v>9500</v>
      </c>
      <c r="EZ157" s="28">
        <f t="shared" si="703"/>
        <v>9500</v>
      </c>
      <c r="FA157" s="28">
        <f t="shared" si="703"/>
        <v>9500</v>
      </c>
      <c r="FB157" s="28">
        <f t="shared" si="703"/>
        <v>9500</v>
      </c>
      <c r="FC157" s="28">
        <f t="shared" si="703"/>
        <v>9500</v>
      </c>
      <c r="FD157" s="28">
        <f t="shared" si="703"/>
        <v>9500</v>
      </c>
      <c r="FE157" s="28">
        <f t="shared" si="703"/>
        <v>9500</v>
      </c>
      <c r="FF157" s="28">
        <f t="shared" si="703"/>
        <v>9500</v>
      </c>
      <c r="FG157" s="28">
        <f t="shared" si="703"/>
        <v>9500</v>
      </c>
      <c r="FH157" s="28">
        <f t="shared" si="703"/>
        <v>9500</v>
      </c>
      <c r="FI157" s="28">
        <f t="shared" si="703"/>
        <v>9500</v>
      </c>
      <c r="FJ157" s="28">
        <f t="shared" si="703"/>
        <v>9500</v>
      </c>
      <c r="FK157" s="58">
        <f t="shared" si="703"/>
        <v>114000</v>
      </c>
    </row>
    <row r="158" spans="1:167" ht="14.45" hidden="1" customHeight="1" outlineLevel="2">
      <c r="A158" s="106">
        <f t="shared" ref="A158:L162" si="704">+AQ158+CG158+DW158</f>
        <v>0</v>
      </c>
      <c r="B158" s="106">
        <f t="shared" si="704"/>
        <v>77800</v>
      </c>
      <c r="C158" s="106">
        <f t="shared" si="704"/>
        <v>34725</v>
      </c>
      <c r="D158" s="106">
        <f t="shared" si="704"/>
        <v>0</v>
      </c>
      <c r="E158" s="106">
        <f t="shared" si="704"/>
        <v>0</v>
      </c>
      <c r="F158" s="106">
        <f t="shared" si="704"/>
        <v>0</v>
      </c>
      <c r="G158" s="106">
        <f t="shared" si="704"/>
        <v>50845</v>
      </c>
      <c r="H158" s="106">
        <f t="shared" si="704"/>
        <v>38618</v>
      </c>
      <c r="I158" s="106">
        <f t="shared" si="704"/>
        <v>27390</v>
      </c>
      <c r="J158" s="106">
        <f t="shared" si="704"/>
        <v>0</v>
      </c>
      <c r="K158" s="106">
        <f t="shared" si="704"/>
        <v>9405</v>
      </c>
      <c r="L158" s="106">
        <f t="shared" si="704"/>
        <v>55993.600000000006</v>
      </c>
      <c r="M158" s="106">
        <f t="shared" ref="M158:M162" si="705">+SUM(A158:L158)</f>
        <v>294776.59999999998</v>
      </c>
      <c r="N158" s="16" t="s">
        <v>131</v>
      </c>
      <c r="O158" s="22">
        <f t="shared" ref="O158:Z162" si="706">+BE158+CU158+EK158</f>
        <v>0</v>
      </c>
      <c r="P158" s="22">
        <f t="shared" si="706"/>
        <v>165000</v>
      </c>
      <c r="Q158" s="22">
        <f t="shared" si="706"/>
        <v>116900</v>
      </c>
      <c r="R158" s="22">
        <f t="shared" si="706"/>
        <v>0</v>
      </c>
      <c r="S158" s="22">
        <f t="shared" si="706"/>
        <v>18487.23</v>
      </c>
      <c r="T158" s="22">
        <f t="shared" si="706"/>
        <v>-3986.1200000000026</v>
      </c>
      <c r="U158" s="22">
        <f t="shared" si="706"/>
        <v>0</v>
      </c>
      <c r="V158" s="22">
        <f t="shared" si="706"/>
        <v>0</v>
      </c>
      <c r="W158" s="22">
        <f t="shared" si="706"/>
        <v>299950</v>
      </c>
      <c r="X158" s="22">
        <f t="shared" si="706"/>
        <v>0</v>
      </c>
      <c r="Y158" s="22">
        <f t="shared" si="706"/>
        <v>0</v>
      </c>
      <c r="Z158" s="22">
        <f t="shared" si="706"/>
        <v>0</v>
      </c>
      <c r="AA158" s="22">
        <f t="shared" ref="AA158:AA162" si="707">+SUM(O158:Z158)</f>
        <v>596351.11</v>
      </c>
      <c r="AB158" s="118">
        <f t="shared" ref="AB158:AB221" si="708">IFERROR((X158-AL158)/AL158,0)</f>
        <v>-1</v>
      </c>
      <c r="AC158" s="22">
        <f t="shared" ref="AC158:AN162" si="709">+BS158+DI158+EY158</f>
        <v>22340</v>
      </c>
      <c r="AD158" s="22">
        <f t="shared" si="709"/>
        <v>22340</v>
      </c>
      <c r="AE158" s="22">
        <f t="shared" si="709"/>
        <v>22340</v>
      </c>
      <c r="AF158" s="22">
        <f t="shared" si="709"/>
        <v>22340</v>
      </c>
      <c r="AG158" s="22">
        <f t="shared" si="709"/>
        <v>22340</v>
      </c>
      <c r="AH158" s="22">
        <f t="shared" si="709"/>
        <v>22340</v>
      </c>
      <c r="AI158" s="22">
        <f t="shared" si="709"/>
        <v>22340</v>
      </c>
      <c r="AJ158" s="22">
        <f t="shared" si="709"/>
        <v>22340</v>
      </c>
      <c r="AK158" s="22">
        <f t="shared" si="709"/>
        <v>22340</v>
      </c>
      <c r="AL158" s="22">
        <f t="shared" si="709"/>
        <v>22340</v>
      </c>
      <c r="AM158" s="22">
        <f t="shared" si="709"/>
        <v>22340</v>
      </c>
      <c r="AN158" s="22">
        <f t="shared" si="709"/>
        <v>22340</v>
      </c>
      <c r="AO158" s="22">
        <f t="shared" ref="AO158:AO162" si="710">+SUM(AC158:AN158)</f>
        <v>268080</v>
      </c>
      <c r="AQ158" s="106">
        <v>0</v>
      </c>
      <c r="AR158" s="106">
        <v>77800</v>
      </c>
      <c r="AS158" s="106">
        <v>24725</v>
      </c>
      <c r="AT158" s="106">
        <v>0</v>
      </c>
      <c r="AU158" s="106">
        <v>0</v>
      </c>
      <c r="AV158" s="106">
        <v>0</v>
      </c>
      <c r="AW158" s="106">
        <v>47500</v>
      </c>
      <c r="AX158" s="106">
        <v>38618</v>
      </c>
      <c r="AY158" s="106">
        <v>0</v>
      </c>
      <c r="AZ158" s="106">
        <v>0</v>
      </c>
      <c r="BA158" s="106">
        <v>3000</v>
      </c>
      <c r="BB158" s="106">
        <v>35978.400000000001</v>
      </c>
      <c r="BC158" s="106">
        <f t="shared" ref="BC158:BC162" si="711">+SUM(AQ158:BB158)</f>
        <v>227621.4</v>
      </c>
      <c r="BD158" s="16" t="str">
        <f t="shared" si="591"/>
        <v>Repair and Maintenance - Building</v>
      </c>
      <c r="BE158" s="22">
        <f>+VLOOKUP($BD158,'Jan-25'!$A:$J,4,0)</f>
        <v>0</v>
      </c>
      <c r="BF158" s="22">
        <f>+VLOOKUP($BD158,'Feb-25'!$A:$J,4,0)</f>
        <v>0</v>
      </c>
      <c r="BG158" s="22">
        <f>+VLOOKUP($BD158,'Mar-25'!$A:$J,4,0)</f>
        <v>0</v>
      </c>
      <c r="BH158" s="22">
        <f>+VLOOKUP($BD158,'Apr-25'!$A:$J,4,0)</f>
        <v>0</v>
      </c>
      <c r="BI158" s="22">
        <f>+VLOOKUP($BD158,'May-25'!$A:$J,4,0)</f>
        <v>8557.23</v>
      </c>
      <c r="BJ158" s="22">
        <f>+VLOOKUP($BD158,'June-25'!$A:$J,4,0)</f>
        <v>50572.13</v>
      </c>
      <c r="BK158" s="22">
        <f>+VLOOKUP($BD158,'July-25'!$A:$J,4,0)</f>
        <v>0</v>
      </c>
      <c r="BL158" s="22">
        <f>+VLOOKUP($BD158,'Aug-25'!$A:$J,4,0)</f>
        <v>0</v>
      </c>
      <c r="BM158" s="22">
        <f>+VLOOKUP($BD158,'Sep-25'!$A:$J,4,0)</f>
        <v>0</v>
      </c>
      <c r="BN158" s="22">
        <f>+VLOOKUP($BD158,'Oct-25'!$A:$J,4,0)</f>
        <v>0</v>
      </c>
      <c r="BO158" s="22">
        <f>+VLOOKUP($BD158,'Nov-25'!$A:$J,4,0)</f>
        <v>0</v>
      </c>
      <c r="BP158" s="22">
        <f>+VLOOKUP($BD158,'Dec-25'!$A:$J,4,0)</f>
        <v>0</v>
      </c>
      <c r="BQ158" s="22">
        <f t="shared" ref="BQ158:BQ162" si="712">+SUM(BE158:BP158)</f>
        <v>59129.36</v>
      </c>
      <c r="BR158" s="118">
        <f t="shared" ref="BR158:BR221" si="713">IFERROR((BN158-CB158)/CB158,0)</f>
        <v>-1</v>
      </c>
      <c r="BS158" s="106">
        <f>+_xlfn.XLOOKUP($BD158,Budget!$A:$A,Budget!AQ:AQ)</f>
        <v>10980</v>
      </c>
      <c r="BT158" s="106">
        <f>+_xlfn.XLOOKUP($BD158,Budget!$A:$A,Budget!AR:AR)</f>
        <v>10980</v>
      </c>
      <c r="BU158" s="106">
        <f>+_xlfn.XLOOKUP($BD158,Budget!$A:$A,Budget!AS:AS)</f>
        <v>10980</v>
      </c>
      <c r="BV158" s="106">
        <f>+_xlfn.XLOOKUP($BD158,Budget!$A:$A,Budget!AT:AT)</f>
        <v>10980</v>
      </c>
      <c r="BW158" s="106">
        <f>+_xlfn.XLOOKUP($BD158,Budget!$A:$A,Budget!AU:AU)</f>
        <v>10980</v>
      </c>
      <c r="BX158" s="106">
        <f>+_xlfn.XLOOKUP($BD158,Budget!$A:$A,Budget!AV:AV)</f>
        <v>10980</v>
      </c>
      <c r="BY158" s="106">
        <f>+_xlfn.XLOOKUP($BD158,Budget!$A:$A,Budget!AW:AW)</f>
        <v>10980</v>
      </c>
      <c r="BZ158" s="106">
        <f>+_xlfn.XLOOKUP($BD158,Budget!$A:$A,Budget!AX:AX)</f>
        <v>10980</v>
      </c>
      <c r="CA158" s="106">
        <f>+_xlfn.XLOOKUP($BD158,Budget!$A:$A,Budget!AY:AY)</f>
        <v>10980</v>
      </c>
      <c r="CB158" s="106">
        <f>+_xlfn.XLOOKUP($BD158,Budget!$A:$A,Budget!AZ:AZ)</f>
        <v>10980</v>
      </c>
      <c r="CC158" s="106">
        <f>+_xlfn.XLOOKUP($BD158,Budget!$A:$A,Budget!BA:BA)</f>
        <v>10980</v>
      </c>
      <c r="CD158" s="106">
        <f>+_xlfn.XLOOKUP($BD158,Budget!$A:$A,Budget!BB:BB)</f>
        <v>10980</v>
      </c>
      <c r="CE158" s="106">
        <f t="shared" ref="CE158:CE162" si="714">+SUM(BS158:CD158)</f>
        <v>131760</v>
      </c>
      <c r="CF158" s="22"/>
      <c r="CG158" s="22">
        <v>0</v>
      </c>
      <c r="CH158" s="22">
        <v>0</v>
      </c>
      <c r="CI158" s="22">
        <v>10000</v>
      </c>
      <c r="CJ158" s="22">
        <v>0</v>
      </c>
      <c r="CK158" s="22">
        <v>0</v>
      </c>
      <c r="CL158" s="22">
        <v>0</v>
      </c>
      <c r="CM158" s="22">
        <v>3345</v>
      </c>
      <c r="CN158" s="22">
        <v>0</v>
      </c>
      <c r="CO158" s="22">
        <v>27390</v>
      </c>
      <c r="CP158" s="22">
        <v>0</v>
      </c>
      <c r="CQ158" s="22">
        <v>6405</v>
      </c>
      <c r="CR158" s="22">
        <v>20015.2</v>
      </c>
      <c r="CS158" s="106">
        <f t="shared" ref="CS158:CS162" si="715">+SUM(CG158:CR158)</f>
        <v>67155.199999999997</v>
      </c>
      <c r="CT158" s="16" t="str">
        <f t="shared" si="595"/>
        <v>Repair and Maintenance - Building</v>
      </c>
      <c r="CU158" s="22">
        <f>+VLOOKUP($BD158,'Jan-25'!$A:$J,7,0)</f>
        <v>0</v>
      </c>
      <c r="CV158" s="22">
        <f>+VLOOKUP($BD158,'Feb-25'!$A:$J,7,0)</f>
        <v>165000</v>
      </c>
      <c r="CW158" s="22">
        <f>+VLOOKUP($BD158,'Mar-25'!$A:$J,7,0)</f>
        <v>116900</v>
      </c>
      <c r="CX158" s="22">
        <f>+VLOOKUP($BD158,'Apr-25'!$A:$J,7,0)</f>
        <v>0</v>
      </c>
      <c r="CY158" s="22">
        <f>+VLOOKUP($BD158,'May-25'!$A:$J,7,0)</f>
        <v>9930</v>
      </c>
      <c r="CZ158" s="22">
        <f>+VLOOKUP($BD158,'June-25'!$A:$J,7,0)</f>
        <v>0</v>
      </c>
      <c r="DA158" s="22">
        <f>+VLOOKUP($BD158,'July-25'!$A:$J,7,0)</f>
        <v>0</v>
      </c>
      <c r="DB158" s="22">
        <f>+VLOOKUP($BD158,'Aug-25'!$A:$J,7,0)</f>
        <v>0</v>
      </c>
      <c r="DC158" s="22">
        <f>+VLOOKUP($BD158,'Sep-25'!$A:$J,7,0)</f>
        <v>0</v>
      </c>
      <c r="DD158" s="22">
        <f>+VLOOKUP($BD158,'Oct-25'!$A:$J,7,0)</f>
        <v>0</v>
      </c>
      <c r="DE158" s="22">
        <f>+VLOOKUP($BD158,'Nov-25'!$A:$J,7,0)</f>
        <v>0</v>
      </c>
      <c r="DF158" s="22">
        <f>+VLOOKUP($BD158,'Dec-25'!$A:$J,7,0)</f>
        <v>0</v>
      </c>
      <c r="DG158" s="22">
        <f t="shared" ref="DG158:DG162" si="716">+SUM(CU158:DF158)</f>
        <v>291830</v>
      </c>
      <c r="DH158" s="118">
        <f t="shared" ref="DH158:DH221" si="717">IFERROR((DD158-DR158)/DR158,0)</f>
        <v>-1</v>
      </c>
      <c r="DI158" s="22">
        <f>+_xlfn.XLOOKUP($CT158,Budget!$A:$A,Budget!CD:CD)</f>
        <v>6360</v>
      </c>
      <c r="DJ158" s="22">
        <f>+_xlfn.XLOOKUP($CT158,Budget!$A:$A,Budget!CE:CE)</f>
        <v>6360</v>
      </c>
      <c r="DK158" s="22">
        <f>+_xlfn.XLOOKUP($CT158,Budget!$A:$A,Budget!CF:CF)</f>
        <v>6360</v>
      </c>
      <c r="DL158" s="22">
        <f>+_xlfn.XLOOKUP($CT158,Budget!$A:$A,Budget!CG:CG)</f>
        <v>6360</v>
      </c>
      <c r="DM158" s="22">
        <f>+_xlfn.XLOOKUP($CT158,Budget!$A:$A,Budget!CH:CH)</f>
        <v>6360</v>
      </c>
      <c r="DN158" s="22">
        <f>+_xlfn.XLOOKUP($CT158,Budget!$A:$A,Budget!CI:CI)</f>
        <v>6360</v>
      </c>
      <c r="DO158" s="22">
        <f>+_xlfn.XLOOKUP($CT158,Budget!$A:$A,Budget!CJ:CJ)</f>
        <v>6360</v>
      </c>
      <c r="DP158" s="22">
        <f>+_xlfn.XLOOKUP($CT158,Budget!$A:$A,Budget!CK:CK)</f>
        <v>6360</v>
      </c>
      <c r="DQ158" s="22">
        <f>+_xlfn.XLOOKUP($CT158,Budget!$A:$A,Budget!CL:CL)</f>
        <v>6360</v>
      </c>
      <c r="DR158" s="22">
        <f>+_xlfn.XLOOKUP($CT158,Budget!$A:$A,Budget!CM:CM)</f>
        <v>6360</v>
      </c>
      <c r="DS158" s="22">
        <f>+_xlfn.XLOOKUP($CT158,Budget!$A:$A,Budget!CN:CN)</f>
        <v>6360</v>
      </c>
      <c r="DT158" s="22">
        <f>+_xlfn.XLOOKUP($CT158,Budget!$A:$A,Budget!CO:CO)</f>
        <v>6360</v>
      </c>
      <c r="DU158" s="106">
        <f t="shared" ref="DU158:DU162" si="718">+SUM(DI158:DT158)</f>
        <v>76320</v>
      </c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106">
        <f t="shared" ref="EI158:EI162" si="719">+SUM(DW158:EH158)</f>
        <v>0</v>
      </c>
      <c r="EJ158" s="16" t="str">
        <f t="shared" si="601"/>
        <v>Repair and Maintenance - Building</v>
      </c>
      <c r="EK158" s="22">
        <f>+VLOOKUP($BD158,'Jan-25'!$A:$J,9,0)</f>
        <v>0</v>
      </c>
      <c r="EL158" s="22">
        <f>+VLOOKUP($BD158,'Feb-25'!$A:$J,9,0)</f>
        <v>0</v>
      </c>
      <c r="EM158" s="22">
        <f>+VLOOKUP($BD158,'Mar-25'!$A:$J,9,0)</f>
        <v>0</v>
      </c>
      <c r="EN158" s="22">
        <f>+VLOOKUP($BD158,'Apr-25'!$A:$J,9,0)</f>
        <v>0</v>
      </c>
      <c r="EO158" s="22">
        <f>+VLOOKUP($BD158,'May-25'!$A:$J,9,0)</f>
        <v>0</v>
      </c>
      <c r="EP158" s="22">
        <f>+VLOOKUP($BD158,'June-25'!$A:$J,9,0)</f>
        <v>-54558.25</v>
      </c>
      <c r="EQ158" s="22">
        <f>+VLOOKUP($BD158,'July-25'!$A:$J,9,0)</f>
        <v>0</v>
      </c>
      <c r="ER158" s="22">
        <f>+VLOOKUP($BD158,'Aug-25'!$A:$J,9,0)</f>
        <v>0</v>
      </c>
      <c r="ES158" s="22">
        <f>+VLOOKUP($BD158,'Sep-25'!$A:$J,9,0)</f>
        <v>299950</v>
      </c>
      <c r="ET158" s="22">
        <f>+VLOOKUP($BD158,'Oct-25'!$A:$J,9,0)</f>
        <v>0</v>
      </c>
      <c r="EU158" s="22">
        <f>+VLOOKUP($BD158,'Nov-25'!$A:$J,9,0)</f>
        <v>0</v>
      </c>
      <c r="EV158" s="22">
        <f>+VLOOKUP($BD158,'Dec-25'!$A:$J,9,0)</f>
        <v>0</v>
      </c>
      <c r="EW158" s="22">
        <f t="shared" ref="EW158:EW162" si="720">+SUM(EK158:EV158)</f>
        <v>245391.75</v>
      </c>
      <c r="EX158" s="118">
        <f t="shared" ref="EX158:EX221" si="721">IFERROR((ET158-FH158)/FH158,0)</f>
        <v>-1</v>
      </c>
      <c r="EY158" s="22">
        <f>+_xlfn.XLOOKUP($EJ158,Budget!$A:$A,Budget!DE:DE)</f>
        <v>5000</v>
      </c>
      <c r="EZ158" s="22">
        <f>+_xlfn.XLOOKUP($EJ158,Budget!$A:$A,Budget!DF:DF)</f>
        <v>5000</v>
      </c>
      <c r="FA158" s="22">
        <f>+_xlfn.XLOOKUP($EJ158,Budget!$A:$A,Budget!DG:DG)</f>
        <v>5000</v>
      </c>
      <c r="FB158" s="22">
        <f>+_xlfn.XLOOKUP($EJ158,Budget!$A:$A,Budget!DH:DH)</f>
        <v>5000</v>
      </c>
      <c r="FC158" s="22">
        <f>+_xlfn.XLOOKUP($EJ158,Budget!$A:$A,Budget!DI:DI)</f>
        <v>5000</v>
      </c>
      <c r="FD158" s="22">
        <f>+_xlfn.XLOOKUP($EJ158,Budget!$A:$A,Budget!DJ:DJ)</f>
        <v>5000</v>
      </c>
      <c r="FE158" s="22">
        <f>+_xlfn.XLOOKUP($EJ158,Budget!$A:$A,Budget!DK:DK)</f>
        <v>5000</v>
      </c>
      <c r="FF158" s="22">
        <f>+_xlfn.XLOOKUP($EJ158,Budget!$A:$A,Budget!DL:DL)</f>
        <v>5000</v>
      </c>
      <c r="FG158" s="22">
        <f>+_xlfn.XLOOKUP($EJ158,Budget!$A:$A,Budget!DM:DM)</f>
        <v>5000</v>
      </c>
      <c r="FH158" s="22">
        <f>+_xlfn.XLOOKUP($EJ158,Budget!$A:$A,Budget!DN:DN)</f>
        <v>5000</v>
      </c>
      <c r="FI158" s="22">
        <f>+_xlfn.XLOOKUP($EJ158,Budget!$A:$A,Budget!DO:DO)</f>
        <v>5000</v>
      </c>
      <c r="FJ158" s="22">
        <f>+_xlfn.XLOOKUP($EJ158,Budget!$A:$A,Budget!DP:DP)</f>
        <v>5000</v>
      </c>
      <c r="FK158" s="106">
        <f t="shared" ref="FK158:FK162" si="722">+SUM(EY158:FJ158)</f>
        <v>60000</v>
      </c>
    </row>
    <row r="159" spans="1:167" ht="14.45" hidden="1" customHeight="1" outlineLevel="2">
      <c r="A159" s="106">
        <f t="shared" si="704"/>
        <v>11574.999100000001</v>
      </c>
      <c r="B159" s="106">
        <f t="shared" si="704"/>
        <v>5138.4699999999993</v>
      </c>
      <c r="C159" s="106">
        <f t="shared" si="704"/>
        <v>20277</v>
      </c>
      <c r="D159" s="106">
        <f t="shared" si="704"/>
        <v>1864.41</v>
      </c>
      <c r="E159" s="106">
        <f t="shared" si="704"/>
        <v>1488.9836</v>
      </c>
      <c r="F159" s="106">
        <f t="shared" si="704"/>
        <v>650</v>
      </c>
      <c r="G159" s="106">
        <f t="shared" si="704"/>
        <v>3177.97</v>
      </c>
      <c r="H159" s="106">
        <f t="shared" si="704"/>
        <v>6864.4</v>
      </c>
      <c r="I159" s="106">
        <f t="shared" si="704"/>
        <v>3828.4452000000001</v>
      </c>
      <c r="J159" s="106">
        <f t="shared" si="704"/>
        <v>3286.44</v>
      </c>
      <c r="K159" s="106">
        <f t="shared" si="704"/>
        <v>1864.41</v>
      </c>
      <c r="L159" s="106">
        <f t="shared" si="704"/>
        <v>0</v>
      </c>
      <c r="M159" s="106">
        <f t="shared" si="705"/>
        <v>60015.527900000016</v>
      </c>
      <c r="N159" s="16" t="s">
        <v>132</v>
      </c>
      <c r="O159" s="22">
        <f t="shared" si="706"/>
        <v>0</v>
      </c>
      <c r="P159" s="22">
        <f t="shared" si="706"/>
        <v>0</v>
      </c>
      <c r="Q159" s="22">
        <f t="shared" si="706"/>
        <v>3100</v>
      </c>
      <c r="R159" s="22">
        <f t="shared" si="706"/>
        <v>254.24</v>
      </c>
      <c r="S159" s="22">
        <f t="shared" si="706"/>
        <v>0</v>
      </c>
      <c r="T159" s="22">
        <f t="shared" si="706"/>
        <v>10948.0782</v>
      </c>
      <c r="U159" s="22">
        <f t="shared" si="706"/>
        <v>0</v>
      </c>
      <c r="V159" s="22">
        <f t="shared" si="706"/>
        <v>5000</v>
      </c>
      <c r="W159" s="22">
        <f t="shared" si="706"/>
        <v>9479</v>
      </c>
      <c r="X159" s="22">
        <f t="shared" si="706"/>
        <v>6040.68</v>
      </c>
      <c r="Y159" s="22">
        <f t="shared" si="706"/>
        <v>0</v>
      </c>
      <c r="Z159" s="22">
        <f t="shared" si="706"/>
        <v>0</v>
      </c>
      <c r="AA159" s="22">
        <f t="shared" si="707"/>
        <v>34821.998200000002</v>
      </c>
      <c r="AB159" s="118">
        <f t="shared" si="708"/>
        <v>0.36821744054360145</v>
      </c>
      <c r="AC159" s="22">
        <f t="shared" si="709"/>
        <v>4415</v>
      </c>
      <c r="AD159" s="22">
        <f t="shared" si="709"/>
        <v>4415</v>
      </c>
      <c r="AE159" s="22">
        <f t="shared" si="709"/>
        <v>4415</v>
      </c>
      <c r="AF159" s="22">
        <f t="shared" si="709"/>
        <v>4415</v>
      </c>
      <c r="AG159" s="22">
        <f t="shared" si="709"/>
        <v>4415</v>
      </c>
      <c r="AH159" s="22">
        <f t="shared" si="709"/>
        <v>4415</v>
      </c>
      <c r="AI159" s="22">
        <f t="shared" si="709"/>
        <v>4415</v>
      </c>
      <c r="AJ159" s="22">
        <f t="shared" si="709"/>
        <v>4415</v>
      </c>
      <c r="AK159" s="22">
        <f t="shared" si="709"/>
        <v>4415</v>
      </c>
      <c r="AL159" s="22">
        <f t="shared" si="709"/>
        <v>4415</v>
      </c>
      <c r="AM159" s="22">
        <f t="shared" si="709"/>
        <v>4415</v>
      </c>
      <c r="AN159" s="22">
        <f t="shared" si="709"/>
        <v>4415</v>
      </c>
      <c r="AO159" s="22">
        <f t="shared" si="710"/>
        <v>52980</v>
      </c>
      <c r="AQ159" s="106">
        <v>149.99939999999998</v>
      </c>
      <c r="AR159" s="106">
        <v>2777.06</v>
      </c>
      <c r="AS159" s="106">
        <v>19767</v>
      </c>
      <c r="AT159" s="106">
        <v>1864.41</v>
      </c>
      <c r="AU159" s="106">
        <v>259.32240000000002</v>
      </c>
      <c r="AV159" s="106">
        <v>0</v>
      </c>
      <c r="AW159" s="106">
        <v>3177.97</v>
      </c>
      <c r="AX159" s="106">
        <v>5338.98</v>
      </c>
      <c r="AY159" s="106">
        <v>2659.6368000000002</v>
      </c>
      <c r="AZ159" s="106">
        <v>3286.44</v>
      </c>
      <c r="BA159" s="106">
        <v>1864.41</v>
      </c>
      <c r="BB159" s="106">
        <v>0</v>
      </c>
      <c r="BC159" s="106">
        <f t="shared" si="711"/>
        <v>41145.228600000009</v>
      </c>
      <c r="BD159" s="16" t="str">
        <f t="shared" si="591"/>
        <v>Repair and Maintenance - Computer</v>
      </c>
      <c r="BE159" s="22">
        <f>+VLOOKUP($BD159,'Jan-25'!$A:$J,4,0)</f>
        <v>0</v>
      </c>
      <c r="BF159" s="22">
        <f>+VLOOKUP($BD159,'Feb-25'!$A:$J,4,0)</f>
        <v>0</v>
      </c>
      <c r="BG159" s="22">
        <f>+VLOOKUP($BD159,'Mar-25'!$A:$J,4,0)</f>
        <v>750</v>
      </c>
      <c r="BH159" s="22">
        <f>+VLOOKUP($BD159,'Apr-25'!$A:$J,4,0)</f>
        <v>254.24</v>
      </c>
      <c r="BI159" s="22">
        <f>+VLOOKUP($BD159,'May-25'!$A:$J,4,0)</f>
        <v>0</v>
      </c>
      <c r="BJ159" s="22">
        <f>+VLOOKUP($BD159,'June-25'!$A:$J,4,0)</f>
        <v>8213.4087999999992</v>
      </c>
      <c r="BK159" s="22">
        <f>+VLOOKUP($BD159,'July-25'!$A:$J,4,0)</f>
        <v>0</v>
      </c>
      <c r="BL159" s="22">
        <f>+VLOOKUP($BD159,'Aug-25'!$A:$J,4,0)</f>
        <v>5000</v>
      </c>
      <c r="BM159" s="22">
        <f>+VLOOKUP($BD159,'Sep-25'!$A:$J,4,0)</f>
        <v>8839</v>
      </c>
      <c r="BN159" s="22">
        <f>+VLOOKUP($BD159,'Oct-25'!$A:$J,4,0)</f>
        <v>4600</v>
      </c>
      <c r="BO159" s="22">
        <f>+VLOOKUP($BD159,'Nov-25'!$A:$J,4,0)</f>
        <v>0</v>
      </c>
      <c r="BP159" s="22">
        <f>+VLOOKUP($BD159,'Dec-25'!$A:$J,4,0)</f>
        <v>0</v>
      </c>
      <c r="BQ159" s="22">
        <f t="shared" si="712"/>
        <v>27656.648799999999</v>
      </c>
      <c r="BR159" s="118">
        <f t="shared" si="713"/>
        <v>0.76245210727969348</v>
      </c>
      <c r="BS159" s="106">
        <f>+_xlfn.XLOOKUP($BD159,Budget!$A:$A,Budget!AQ:AQ)</f>
        <v>2610</v>
      </c>
      <c r="BT159" s="106">
        <f>+_xlfn.XLOOKUP($BD159,Budget!$A:$A,Budget!AR:AR)</f>
        <v>2610</v>
      </c>
      <c r="BU159" s="106">
        <f>+_xlfn.XLOOKUP($BD159,Budget!$A:$A,Budget!AS:AS)</f>
        <v>2610</v>
      </c>
      <c r="BV159" s="106">
        <f>+_xlfn.XLOOKUP($BD159,Budget!$A:$A,Budget!AT:AT)</f>
        <v>2610</v>
      </c>
      <c r="BW159" s="106">
        <f>+_xlfn.XLOOKUP($BD159,Budget!$A:$A,Budget!AU:AU)</f>
        <v>2610</v>
      </c>
      <c r="BX159" s="106">
        <f>+_xlfn.XLOOKUP($BD159,Budget!$A:$A,Budget!AV:AV)</f>
        <v>2610</v>
      </c>
      <c r="BY159" s="106">
        <f>+_xlfn.XLOOKUP($BD159,Budget!$A:$A,Budget!AW:AW)</f>
        <v>2610</v>
      </c>
      <c r="BZ159" s="106">
        <f>+_xlfn.XLOOKUP($BD159,Budget!$A:$A,Budget!AX:AX)</f>
        <v>2610</v>
      </c>
      <c r="CA159" s="106">
        <f>+_xlfn.XLOOKUP($BD159,Budget!$A:$A,Budget!AY:AY)</f>
        <v>2610</v>
      </c>
      <c r="CB159" s="106">
        <f>+_xlfn.XLOOKUP($BD159,Budget!$A:$A,Budget!AZ:AZ)</f>
        <v>2610</v>
      </c>
      <c r="CC159" s="106">
        <f>+_xlfn.XLOOKUP($BD159,Budget!$A:$A,Budget!BA:BA)</f>
        <v>2610</v>
      </c>
      <c r="CD159" s="106">
        <f>+_xlfn.XLOOKUP($BD159,Budget!$A:$A,Budget!BB:BB)</f>
        <v>2610</v>
      </c>
      <c r="CE159" s="106">
        <f t="shared" si="714"/>
        <v>31320</v>
      </c>
      <c r="CF159" s="22"/>
      <c r="CG159" s="22">
        <v>11424.9997</v>
      </c>
      <c r="CH159" s="22">
        <v>2361.41</v>
      </c>
      <c r="CI159" s="22">
        <v>510</v>
      </c>
      <c r="CJ159" s="22">
        <v>0</v>
      </c>
      <c r="CK159" s="22">
        <v>1229.6612</v>
      </c>
      <c r="CL159" s="22">
        <v>650</v>
      </c>
      <c r="CM159" s="22">
        <v>0</v>
      </c>
      <c r="CN159" s="22">
        <v>1525.42</v>
      </c>
      <c r="CO159" s="22">
        <v>1168.8084000000001</v>
      </c>
      <c r="CP159" s="22">
        <v>0</v>
      </c>
      <c r="CQ159" s="22">
        <v>0</v>
      </c>
      <c r="CR159" s="22">
        <v>0</v>
      </c>
      <c r="CS159" s="106">
        <f t="shared" si="715"/>
        <v>18870.299300000002</v>
      </c>
      <c r="CT159" s="16" t="str">
        <f t="shared" si="595"/>
        <v>Repair and Maintenance - Computer</v>
      </c>
      <c r="CU159" s="22">
        <f>+VLOOKUP($BD159,'Jan-25'!$A:$J,7,0)</f>
        <v>0</v>
      </c>
      <c r="CV159" s="22">
        <f>+VLOOKUP($BD159,'Feb-25'!$A:$J,7,0)</f>
        <v>0</v>
      </c>
      <c r="CW159" s="22">
        <f>+VLOOKUP($BD159,'Mar-25'!$A:$J,7,0)</f>
        <v>2350</v>
      </c>
      <c r="CX159" s="22">
        <f>+VLOOKUP($BD159,'Apr-25'!$A:$J,7,0)</f>
        <v>0</v>
      </c>
      <c r="CY159" s="22">
        <f>+VLOOKUP($BD159,'May-25'!$A:$J,7,0)</f>
        <v>0</v>
      </c>
      <c r="CZ159" s="22">
        <f>+VLOOKUP($BD159,'June-25'!$A:$J,7,0)</f>
        <v>2734.6693999999998</v>
      </c>
      <c r="DA159" s="22">
        <f>+VLOOKUP($BD159,'July-25'!$A:$J,7,0)</f>
        <v>0</v>
      </c>
      <c r="DB159" s="22">
        <f>+VLOOKUP($BD159,'Aug-25'!$A:$J,7,0)</f>
        <v>0</v>
      </c>
      <c r="DC159" s="22">
        <f>+VLOOKUP($BD159,'Sep-25'!$A:$J,7,0)</f>
        <v>640</v>
      </c>
      <c r="DD159" s="22">
        <f>+VLOOKUP($BD159,'Oct-25'!$A:$J,7,0)</f>
        <v>1440.68</v>
      </c>
      <c r="DE159" s="22">
        <f>+VLOOKUP($BD159,'Nov-25'!$A:$J,7,0)</f>
        <v>0</v>
      </c>
      <c r="DF159" s="22">
        <f>+VLOOKUP($BD159,'Dec-25'!$A:$J,7,0)</f>
        <v>0</v>
      </c>
      <c r="DG159" s="22">
        <f t="shared" si="716"/>
        <v>7165.3494000000001</v>
      </c>
      <c r="DH159" s="118">
        <f t="shared" si="717"/>
        <v>0.10396934865900388</v>
      </c>
      <c r="DI159" s="22">
        <f>+_xlfn.XLOOKUP($CT159,Budget!$A:$A,Budget!CD:CD)</f>
        <v>1305</v>
      </c>
      <c r="DJ159" s="22">
        <f>+_xlfn.XLOOKUP($CT159,Budget!$A:$A,Budget!CE:CE)</f>
        <v>1305</v>
      </c>
      <c r="DK159" s="22">
        <f>+_xlfn.XLOOKUP($CT159,Budget!$A:$A,Budget!CF:CF)</f>
        <v>1305</v>
      </c>
      <c r="DL159" s="22">
        <f>+_xlfn.XLOOKUP($CT159,Budget!$A:$A,Budget!CG:CG)</f>
        <v>1305</v>
      </c>
      <c r="DM159" s="22">
        <f>+_xlfn.XLOOKUP($CT159,Budget!$A:$A,Budget!CH:CH)</f>
        <v>1305</v>
      </c>
      <c r="DN159" s="22">
        <f>+_xlfn.XLOOKUP($CT159,Budget!$A:$A,Budget!CI:CI)</f>
        <v>1305</v>
      </c>
      <c r="DO159" s="22">
        <f>+_xlfn.XLOOKUP($CT159,Budget!$A:$A,Budget!CJ:CJ)</f>
        <v>1305</v>
      </c>
      <c r="DP159" s="22">
        <f>+_xlfn.XLOOKUP($CT159,Budget!$A:$A,Budget!CK:CK)</f>
        <v>1305</v>
      </c>
      <c r="DQ159" s="22">
        <f>+_xlfn.XLOOKUP($CT159,Budget!$A:$A,Budget!CL:CL)</f>
        <v>1305</v>
      </c>
      <c r="DR159" s="22">
        <f>+_xlfn.XLOOKUP($CT159,Budget!$A:$A,Budget!CM:CM)</f>
        <v>1305</v>
      </c>
      <c r="DS159" s="22">
        <f>+_xlfn.XLOOKUP($CT159,Budget!$A:$A,Budget!CN:CN)</f>
        <v>1305</v>
      </c>
      <c r="DT159" s="22">
        <f>+_xlfn.XLOOKUP($CT159,Budget!$A:$A,Budget!CO:CO)</f>
        <v>1305</v>
      </c>
      <c r="DU159" s="106">
        <f t="shared" si="718"/>
        <v>15660</v>
      </c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106">
        <f t="shared" si="719"/>
        <v>0</v>
      </c>
      <c r="EJ159" s="16" t="str">
        <f t="shared" si="601"/>
        <v>Repair and Maintenance - Computer</v>
      </c>
      <c r="EK159" s="22">
        <f>+VLOOKUP($BD159,'Jan-25'!$A:$J,9,0)</f>
        <v>0</v>
      </c>
      <c r="EL159" s="22">
        <f>+VLOOKUP($BD159,'Feb-25'!$A:$J,9,0)</f>
        <v>0</v>
      </c>
      <c r="EM159" s="22">
        <f>+VLOOKUP($BD159,'Mar-25'!$A:$J,9,0)</f>
        <v>0</v>
      </c>
      <c r="EN159" s="22">
        <f>+VLOOKUP($BD159,'Apr-25'!$A:$J,9,0)</f>
        <v>0</v>
      </c>
      <c r="EO159" s="22">
        <f>+VLOOKUP($BD159,'May-25'!$A:$J,9,0)</f>
        <v>0</v>
      </c>
      <c r="EP159" s="22">
        <f>+VLOOKUP($BD159,'June-25'!$A:$J,9,0)</f>
        <v>0</v>
      </c>
      <c r="EQ159" s="22">
        <f>+VLOOKUP($BD159,'July-25'!$A:$J,9,0)</f>
        <v>0</v>
      </c>
      <c r="ER159" s="22">
        <f>+VLOOKUP($BD159,'Aug-25'!$A:$J,9,0)</f>
        <v>0</v>
      </c>
      <c r="ES159" s="22">
        <f>+VLOOKUP($BD159,'Sep-25'!$A:$J,9,0)</f>
        <v>0</v>
      </c>
      <c r="ET159" s="22">
        <f>+VLOOKUP($BD159,'Oct-25'!$A:$J,9,0)</f>
        <v>0</v>
      </c>
      <c r="EU159" s="22">
        <f>+VLOOKUP($BD159,'Nov-25'!$A:$J,9,0)</f>
        <v>0</v>
      </c>
      <c r="EV159" s="22">
        <f>+VLOOKUP($BD159,'Dec-25'!$A:$J,9,0)</f>
        <v>0</v>
      </c>
      <c r="EW159" s="22">
        <f t="shared" si="720"/>
        <v>0</v>
      </c>
      <c r="EX159" s="118">
        <f t="shared" si="721"/>
        <v>-1</v>
      </c>
      <c r="EY159" s="22">
        <f>+_xlfn.XLOOKUP($EJ159,Budget!$A:$A,Budget!DE:DE)</f>
        <v>500</v>
      </c>
      <c r="EZ159" s="22">
        <f>+_xlfn.XLOOKUP($EJ159,Budget!$A:$A,Budget!DF:DF)</f>
        <v>500</v>
      </c>
      <c r="FA159" s="22">
        <f>+_xlfn.XLOOKUP($EJ159,Budget!$A:$A,Budget!DG:DG)</f>
        <v>500</v>
      </c>
      <c r="FB159" s="22">
        <f>+_xlfn.XLOOKUP($EJ159,Budget!$A:$A,Budget!DH:DH)</f>
        <v>500</v>
      </c>
      <c r="FC159" s="22">
        <f>+_xlfn.XLOOKUP($EJ159,Budget!$A:$A,Budget!DI:DI)</f>
        <v>500</v>
      </c>
      <c r="FD159" s="22">
        <f>+_xlfn.XLOOKUP($EJ159,Budget!$A:$A,Budget!DJ:DJ)</f>
        <v>500</v>
      </c>
      <c r="FE159" s="22">
        <f>+_xlfn.XLOOKUP($EJ159,Budget!$A:$A,Budget!DK:DK)</f>
        <v>500</v>
      </c>
      <c r="FF159" s="22">
        <f>+_xlfn.XLOOKUP($EJ159,Budget!$A:$A,Budget!DL:DL)</f>
        <v>500</v>
      </c>
      <c r="FG159" s="22">
        <f>+_xlfn.XLOOKUP($EJ159,Budget!$A:$A,Budget!DM:DM)</f>
        <v>500</v>
      </c>
      <c r="FH159" s="22">
        <f>+_xlfn.XLOOKUP($EJ159,Budget!$A:$A,Budget!DN:DN)</f>
        <v>500</v>
      </c>
      <c r="FI159" s="22">
        <f>+_xlfn.XLOOKUP($EJ159,Budget!$A:$A,Budget!DO:DO)</f>
        <v>500</v>
      </c>
      <c r="FJ159" s="22">
        <f>+_xlfn.XLOOKUP($EJ159,Budget!$A:$A,Budget!DP:DP)</f>
        <v>500</v>
      </c>
      <c r="FK159" s="106">
        <f t="shared" si="722"/>
        <v>6000</v>
      </c>
    </row>
    <row r="160" spans="1:167" ht="14.45" hidden="1" customHeight="1" outlineLevel="2">
      <c r="A160" s="106">
        <f t="shared" si="704"/>
        <v>830.56</v>
      </c>
      <c r="B160" s="106">
        <f t="shared" si="704"/>
        <v>4776.6989999999996</v>
      </c>
      <c r="C160" s="106">
        <f t="shared" si="704"/>
        <v>915.9</v>
      </c>
      <c r="D160" s="106">
        <f t="shared" si="704"/>
        <v>885.3</v>
      </c>
      <c r="E160" s="106">
        <f t="shared" si="704"/>
        <v>885.3</v>
      </c>
      <c r="F160" s="106">
        <f t="shared" si="704"/>
        <v>22009.55</v>
      </c>
      <c r="G160" s="106">
        <f t="shared" si="704"/>
        <v>885.3</v>
      </c>
      <c r="H160" s="106">
        <f t="shared" si="704"/>
        <v>885.3</v>
      </c>
      <c r="I160" s="106">
        <f t="shared" si="704"/>
        <v>884.72799999999995</v>
      </c>
      <c r="J160" s="106">
        <f t="shared" si="704"/>
        <v>681</v>
      </c>
      <c r="K160" s="106">
        <f t="shared" si="704"/>
        <v>204.16799999999998</v>
      </c>
      <c r="L160" s="106">
        <f t="shared" si="704"/>
        <v>6577.92</v>
      </c>
      <c r="M160" s="106">
        <f t="shared" si="705"/>
        <v>40421.724999999999</v>
      </c>
      <c r="N160" s="16" t="s">
        <v>133</v>
      </c>
      <c r="O160" s="22">
        <f t="shared" si="706"/>
        <v>4512.1019999999999</v>
      </c>
      <c r="P160" s="22">
        <f t="shared" si="706"/>
        <v>885.3</v>
      </c>
      <c r="Q160" s="22">
        <f t="shared" si="706"/>
        <v>26957.669899999997</v>
      </c>
      <c r="R160" s="22">
        <f t="shared" si="706"/>
        <v>884.72799999999995</v>
      </c>
      <c r="S160" s="22">
        <f t="shared" si="706"/>
        <v>884.72799999999995</v>
      </c>
      <c r="T160" s="22">
        <f t="shared" si="706"/>
        <v>12996.6</v>
      </c>
      <c r="U160" s="22">
        <f t="shared" si="706"/>
        <v>43781.582222222227</v>
      </c>
      <c r="V160" s="22">
        <f t="shared" si="706"/>
        <v>885.3</v>
      </c>
      <c r="W160" s="22">
        <f t="shared" si="706"/>
        <v>885.3</v>
      </c>
      <c r="X160" s="22">
        <f t="shared" si="706"/>
        <v>885.3</v>
      </c>
      <c r="Y160" s="22">
        <f t="shared" si="706"/>
        <v>0</v>
      </c>
      <c r="Z160" s="22">
        <f t="shared" si="706"/>
        <v>0</v>
      </c>
      <c r="AA160" s="22">
        <f t="shared" si="707"/>
        <v>93558.610122222235</v>
      </c>
      <c r="AB160" s="118">
        <f t="shared" si="708"/>
        <v>-0.64584064896099569</v>
      </c>
      <c r="AC160" s="22">
        <f t="shared" si="709"/>
        <v>2499.7222222222222</v>
      </c>
      <c r="AD160" s="22">
        <f t="shared" si="709"/>
        <v>2499.7222222222222</v>
      </c>
      <c r="AE160" s="22">
        <f t="shared" si="709"/>
        <v>2499.7222222222222</v>
      </c>
      <c r="AF160" s="22">
        <f t="shared" si="709"/>
        <v>2499.7222222222222</v>
      </c>
      <c r="AG160" s="22">
        <f t="shared" si="709"/>
        <v>2499.7222222222222</v>
      </c>
      <c r="AH160" s="22">
        <f t="shared" si="709"/>
        <v>2499.7222222222222</v>
      </c>
      <c r="AI160" s="22">
        <f t="shared" si="709"/>
        <v>2499.7222222222222</v>
      </c>
      <c r="AJ160" s="22">
        <f t="shared" si="709"/>
        <v>2499.7222222222222</v>
      </c>
      <c r="AK160" s="22">
        <f t="shared" si="709"/>
        <v>2499.7222222222222</v>
      </c>
      <c r="AL160" s="22">
        <f t="shared" si="709"/>
        <v>2499.7222222222222</v>
      </c>
      <c r="AM160" s="22">
        <f t="shared" si="709"/>
        <v>2499.7222222222222</v>
      </c>
      <c r="AN160" s="22">
        <f t="shared" si="709"/>
        <v>42499.722222222219</v>
      </c>
      <c r="AO160" s="22">
        <f t="shared" si="710"/>
        <v>69996.666666666657</v>
      </c>
      <c r="AQ160" s="106">
        <v>680.56</v>
      </c>
      <c r="AR160" s="106">
        <v>681</v>
      </c>
      <c r="AS160" s="106">
        <v>681</v>
      </c>
      <c r="AT160" s="106">
        <v>681</v>
      </c>
      <c r="AU160" s="106">
        <v>681</v>
      </c>
      <c r="AV160" s="106">
        <v>21805.25</v>
      </c>
      <c r="AW160" s="106">
        <v>681</v>
      </c>
      <c r="AX160" s="106">
        <v>681</v>
      </c>
      <c r="AY160" s="106">
        <v>680.56</v>
      </c>
      <c r="AZ160" s="106">
        <v>0</v>
      </c>
      <c r="BA160" s="106">
        <v>0</v>
      </c>
      <c r="BB160" s="106">
        <v>6373.62</v>
      </c>
      <c r="BC160" s="106">
        <f t="shared" si="711"/>
        <v>33625.990000000005</v>
      </c>
      <c r="BD160" s="16" t="str">
        <f t="shared" si="591"/>
        <v>Repair and Maintenance - Generator</v>
      </c>
      <c r="BE160" s="22">
        <f>+VLOOKUP($BD160,'Jan-25'!$A:$J,4,0)</f>
        <v>3098.8679999999999</v>
      </c>
      <c r="BF160" s="22">
        <f>+VLOOKUP($BD160,'Feb-25'!$A:$J,4,0)</f>
        <v>681</v>
      </c>
      <c r="BG160" s="22">
        <f>+VLOOKUP($BD160,'Mar-25'!$A:$J,4,0)</f>
        <v>2893.8345999999997</v>
      </c>
      <c r="BH160" s="22">
        <f>+VLOOKUP($BD160,'Apr-25'!$A:$J,4,0)</f>
        <v>680.56</v>
      </c>
      <c r="BI160" s="22">
        <f>+VLOOKUP($BD160,'May-25'!$A:$J,4,0)</f>
        <v>680.56</v>
      </c>
      <c r="BJ160" s="22">
        <f>+VLOOKUP($BD160,'June-25'!$A:$J,4,0)</f>
        <v>8794.35</v>
      </c>
      <c r="BK160" s="22">
        <f>+VLOOKUP($BD160,'July-25'!$A:$J,4,0)</f>
        <v>680.555555555556</v>
      </c>
      <c r="BL160" s="22">
        <f>+VLOOKUP($BD160,'Aug-25'!$A:$J,4,0)</f>
        <v>681</v>
      </c>
      <c r="BM160" s="22">
        <f>+VLOOKUP($BD160,'Sep-25'!$A:$J,4,0)</f>
        <v>681</v>
      </c>
      <c r="BN160" s="22">
        <f>+VLOOKUP($BD160,'Oct-25'!$A:$J,4,0)</f>
        <v>681</v>
      </c>
      <c r="BO160" s="22">
        <f>+VLOOKUP($BD160,'Nov-25'!$A:$J,4,0)</f>
        <v>0</v>
      </c>
      <c r="BP160" s="22">
        <f>+VLOOKUP($BD160,'Dec-25'!$A:$J,4,0)</f>
        <v>0</v>
      </c>
      <c r="BQ160" s="22">
        <f t="shared" si="712"/>
        <v>19552.728155555553</v>
      </c>
      <c r="BR160" s="118">
        <f t="shared" si="713"/>
        <v>-0.31881078077243674</v>
      </c>
      <c r="BS160" s="106">
        <f>+_xlfn.XLOOKUP($BD160,Budget!$A:$A,Budget!AQ:AQ)</f>
        <v>999.72222222222217</v>
      </c>
      <c r="BT160" s="106">
        <f>+_xlfn.XLOOKUP($BD160,Budget!$A:$A,Budget!AR:AR)</f>
        <v>999.72222222222217</v>
      </c>
      <c r="BU160" s="106">
        <f>+_xlfn.XLOOKUP($BD160,Budget!$A:$A,Budget!AS:AS)</f>
        <v>999.72222222222217</v>
      </c>
      <c r="BV160" s="106">
        <f>+_xlfn.XLOOKUP($BD160,Budget!$A:$A,Budget!AT:AT)</f>
        <v>999.72222222222217</v>
      </c>
      <c r="BW160" s="106">
        <f>+_xlfn.XLOOKUP($BD160,Budget!$A:$A,Budget!AU:AU)</f>
        <v>999.72222222222217</v>
      </c>
      <c r="BX160" s="106">
        <f>+_xlfn.XLOOKUP($BD160,Budget!$A:$A,Budget!AV:AV)</f>
        <v>999.72222222222217</v>
      </c>
      <c r="BY160" s="106">
        <f>+_xlfn.XLOOKUP($BD160,Budget!$A:$A,Budget!AW:AW)</f>
        <v>999.72222222222217</v>
      </c>
      <c r="BZ160" s="106">
        <f>+_xlfn.XLOOKUP($BD160,Budget!$A:$A,Budget!AX:AX)</f>
        <v>999.72222222222217</v>
      </c>
      <c r="CA160" s="106">
        <f>+_xlfn.XLOOKUP($BD160,Budget!$A:$A,Budget!AY:AY)</f>
        <v>999.72222222222217</v>
      </c>
      <c r="CB160" s="106">
        <f>+_xlfn.XLOOKUP($BD160,Budget!$A:$A,Budget!AZ:AZ)</f>
        <v>999.72222222222217</v>
      </c>
      <c r="CC160" s="106">
        <f>+_xlfn.XLOOKUP($BD160,Budget!$A:$A,Budget!BA:BA)</f>
        <v>999.72222222222217</v>
      </c>
      <c r="CD160" s="106">
        <f>+_xlfn.XLOOKUP($BD160,Budget!$A:$A,Budget!BB:BB)</f>
        <v>40999.722222222219</v>
      </c>
      <c r="CE160" s="106">
        <f t="shared" si="714"/>
        <v>51996.666666666664</v>
      </c>
      <c r="CF160" s="22"/>
      <c r="CG160" s="22">
        <v>150</v>
      </c>
      <c r="CH160" s="22">
        <v>4095.6989999999996</v>
      </c>
      <c r="CI160" s="22">
        <v>234.89999999999998</v>
      </c>
      <c r="CJ160" s="22">
        <v>204.29999999999998</v>
      </c>
      <c r="CK160" s="22">
        <v>204.29999999999998</v>
      </c>
      <c r="CL160" s="22">
        <v>204.29999999999998</v>
      </c>
      <c r="CM160" s="22">
        <v>204.29999999999998</v>
      </c>
      <c r="CN160" s="22">
        <v>204.29999999999998</v>
      </c>
      <c r="CO160" s="22">
        <v>204.16799999999998</v>
      </c>
      <c r="CP160" s="22">
        <v>681</v>
      </c>
      <c r="CQ160" s="22">
        <v>204.16799999999998</v>
      </c>
      <c r="CR160" s="22">
        <v>204.29999999999998</v>
      </c>
      <c r="CS160" s="106">
        <f t="shared" si="715"/>
        <v>6795.7349999999997</v>
      </c>
      <c r="CT160" s="16" t="str">
        <f t="shared" si="595"/>
        <v>Repair and Maintenance - Generator</v>
      </c>
      <c r="CU160" s="22">
        <f>+VLOOKUP($BD160,'Jan-25'!$A:$J,7,0)</f>
        <v>1413.2339999999999</v>
      </c>
      <c r="CV160" s="22">
        <f>+VLOOKUP($BD160,'Feb-25'!$A:$J,7,0)</f>
        <v>204.29999999999998</v>
      </c>
      <c r="CW160" s="22">
        <f>+VLOOKUP($BD160,'Mar-25'!$A:$J,7,0)</f>
        <v>1310.8052999999998</v>
      </c>
      <c r="CX160" s="22">
        <f>+VLOOKUP($BD160,'Apr-25'!$A:$J,7,0)</f>
        <v>204.16799999999998</v>
      </c>
      <c r="CY160" s="22">
        <f>+VLOOKUP($BD160,'May-25'!$A:$J,7,0)</f>
        <v>204.16799999999998</v>
      </c>
      <c r="CZ160" s="22">
        <f>+VLOOKUP($BD160,'June-25'!$A:$J,7,0)</f>
        <v>4202.25</v>
      </c>
      <c r="DA160" s="22">
        <f>+VLOOKUP($BD160,'July-25'!$A:$J,7,0)</f>
        <v>204.1666666666668</v>
      </c>
      <c r="DB160" s="22">
        <f>+VLOOKUP($BD160,'Aug-25'!$A:$J,7,0)</f>
        <v>204.29999999999998</v>
      </c>
      <c r="DC160" s="22">
        <f>+VLOOKUP($BD160,'Sep-25'!$A:$J,7,0)</f>
        <v>204.29999999999998</v>
      </c>
      <c r="DD160" s="22">
        <f>+VLOOKUP($BD160,'Oct-25'!$A:$J,7,0)</f>
        <v>204.29999999999998</v>
      </c>
      <c r="DE160" s="22">
        <f>+VLOOKUP($BD160,'Nov-25'!$A:$J,7,0)</f>
        <v>0</v>
      </c>
      <c r="DF160" s="22">
        <f>+VLOOKUP($BD160,'Dec-25'!$A:$J,7,0)</f>
        <v>0</v>
      </c>
      <c r="DG160" s="22">
        <f t="shared" si="716"/>
        <v>8355.9919666666665</v>
      </c>
      <c r="DH160" s="118">
        <f t="shared" si="717"/>
        <v>0</v>
      </c>
      <c r="DI160" s="22">
        <f>+_xlfn.XLOOKUP($CT160,Budget!$A:$A,Budget!CD:CD)</f>
        <v>0</v>
      </c>
      <c r="DJ160" s="22">
        <f>+_xlfn.XLOOKUP($CT160,Budget!$A:$A,Budget!CE:CE)</f>
        <v>0</v>
      </c>
      <c r="DK160" s="22">
        <f>+_xlfn.XLOOKUP($CT160,Budget!$A:$A,Budget!CF:CF)</f>
        <v>0</v>
      </c>
      <c r="DL160" s="22">
        <f>+_xlfn.XLOOKUP($CT160,Budget!$A:$A,Budget!CG:CG)</f>
        <v>0</v>
      </c>
      <c r="DM160" s="22">
        <f>+_xlfn.XLOOKUP($CT160,Budget!$A:$A,Budget!CH:CH)</f>
        <v>0</v>
      </c>
      <c r="DN160" s="22">
        <f>+_xlfn.XLOOKUP($CT160,Budget!$A:$A,Budget!CI:CI)</f>
        <v>0</v>
      </c>
      <c r="DO160" s="22">
        <f>+_xlfn.XLOOKUP($CT160,Budget!$A:$A,Budget!CJ:CJ)</f>
        <v>0</v>
      </c>
      <c r="DP160" s="22">
        <f>+_xlfn.XLOOKUP($CT160,Budget!$A:$A,Budget!CK:CK)</f>
        <v>0</v>
      </c>
      <c r="DQ160" s="22">
        <f>+_xlfn.XLOOKUP($CT160,Budget!$A:$A,Budget!CL:CL)</f>
        <v>0</v>
      </c>
      <c r="DR160" s="22">
        <f>+_xlfn.XLOOKUP($CT160,Budget!$A:$A,Budget!CM:CM)</f>
        <v>0</v>
      </c>
      <c r="DS160" s="22">
        <f>+_xlfn.XLOOKUP($CT160,Budget!$A:$A,Budget!CN:CN)</f>
        <v>0</v>
      </c>
      <c r="DT160" s="22">
        <f>+_xlfn.XLOOKUP($CT160,Budget!$A:$A,Budget!CO:CO)</f>
        <v>0</v>
      </c>
      <c r="DU160" s="106">
        <f t="shared" si="718"/>
        <v>0</v>
      </c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106">
        <f t="shared" si="719"/>
        <v>0</v>
      </c>
      <c r="EJ160" s="16" t="str">
        <f t="shared" si="601"/>
        <v>Repair and Maintenance - Generator</v>
      </c>
      <c r="EK160" s="22">
        <f>+VLOOKUP($BD160,'Jan-25'!$A:$J,9,0)</f>
        <v>0</v>
      </c>
      <c r="EL160" s="22">
        <f>+VLOOKUP($BD160,'Feb-25'!$A:$J,9,0)</f>
        <v>0</v>
      </c>
      <c r="EM160" s="22">
        <f>+VLOOKUP($BD160,'Mar-25'!$A:$J,9,0)</f>
        <v>22753.03</v>
      </c>
      <c r="EN160" s="22">
        <f>+VLOOKUP($BD160,'Apr-25'!$A:$J,9,0)</f>
        <v>0</v>
      </c>
      <c r="EO160" s="22">
        <f>+VLOOKUP($BD160,'May-25'!$A:$J,9,0)</f>
        <v>0</v>
      </c>
      <c r="EP160" s="22">
        <f>+VLOOKUP($BD160,'June-25'!$A:$J,9,0)</f>
        <v>0</v>
      </c>
      <c r="EQ160" s="22">
        <f>+VLOOKUP($BD160,'July-25'!$A:$J,9,0)</f>
        <v>42896.86</v>
      </c>
      <c r="ER160" s="22">
        <f>+VLOOKUP($BD160,'Aug-25'!$A:$J,9,0)</f>
        <v>0</v>
      </c>
      <c r="ES160" s="22">
        <f>+VLOOKUP($BD160,'Sep-25'!$A:$J,9,0)</f>
        <v>0</v>
      </c>
      <c r="ET160" s="22">
        <f>+VLOOKUP($BD160,'Oct-25'!$A:$J,9,0)</f>
        <v>0</v>
      </c>
      <c r="EU160" s="22">
        <f>+VLOOKUP($BD160,'Nov-25'!$A:$J,9,0)</f>
        <v>0</v>
      </c>
      <c r="EV160" s="22">
        <f>+VLOOKUP($BD160,'Dec-25'!$A:$J,9,0)</f>
        <v>0</v>
      </c>
      <c r="EW160" s="22">
        <f t="shared" si="720"/>
        <v>65649.89</v>
      </c>
      <c r="EX160" s="118">
        <f t="shared" si="721"/>
        <v>-1</v>
      </c>
      <c r="EY160" s="22">
        <f>+_xlfn.XLOOKUP($EJ160,Budget!$A:$A,Budget!DE:DE)</f>
        <v>1500</v>
      </c>
      <c r="EZ160" s="22">
        <f>+_xlfn.XLOOKUP($EJ160,Budget!$A:$A,Budget!DF:DF)</f>
        <v>1500</v>
      </c>
      <c r="FA160" s="22">
        <f>+_xlfn.XLOOKUP($EJ160,Budget!$A:$A,Budget!DG:DG)</f>
        <v>1500</v>
      </c>
      <c r="FB160" s="22">
        <f>+_xlfn.XLOOKUP($EJ160,Budget!$A:$A,Budget!DH:DH)</f>
        <v>1500</v>
      </c>
      <c r="FC160" s="22">
        <f>+_xlfn.XLOOKUP($EJ160,Budget!$A:$A,Budget!DI:DI)</f>
        <v>1500</v>
      </c>
      <c r="FD160" s="22">
        <f>+_xlfn.XLOOKUP($EJ160,Budget!$A:$A,Budget!DJ:DJ)</f>
        <v>1500</v>
      </c>
      <c r="FE160" s="22">
        <f>+_xlfn.XLOOKUP($EJ160,Budget!$A:$A,Budget!DK:DK)</f>
        <v>1500</v>
      </c>
      <c r="FF160" s="22">
        <f>+_xlfn.XLOOKUP($EJ160,Budget!$A:$A,Budget!DL:DL)</f>
        <v>1500</v>
      </c>
      <c r="FG160" s="22">
        <f>+_xlfn.XLOOKUP($EJ160,Budget!$A:$A,Budget!DM:DM)</f>
        <v>1500</v>
      </c>
      <c r="FH160" s="22">
        <f>+_xlfn.XLOOKUP($EJ160,Budget!$A:$A,Budget!DN:DN)</f>
        <v>1500</v>
      </c>
      <c r="FI160" s="22">
        <f>+_xlfn.XLOOKUP($EJ160,Budget!$A:$A,Budget!DO:DO)</f>
        <v>1500</v>
      </c>
      <c r="FJ160" s="22">
        <f>+_xlfn.XLOOKUP($EJ160,Budget!$A:$A,Budget!DP:DP)</f>
        <v>1500</v>
      </c>
      <c r="FK160" s="106">
        <f t="shared" si="722"/>
        <v>18000</v>
      </c>
    </row>
    <row r="161" spans="1:167" ht="14.45" hidden="1" customHeight="1" outlineLevel="2">
      <c r="A161" s="106">
        <f t="shared" si="704"/>
        <v>59282.775999999998</v>
      </c>
      <c r="B161" s="106">
        <f t="shared" si="704"/>
        <v>36879.620000000003</v>
      </c>
      <c r="C161" s="106">
        <f t="shared" si="704"/>
        <v>61591.1</v>
      </c>
      <c r="D161" s="106">
        <f t="shared" si="704"/>
        <v>25618.58</v>
      </c>
      <c r="E161" s="106">
        <f t="shared" si="704"/>
        <v>31807</v>
      </c>
      <c r="F161" s="106">
        <f t="shared" si="704"/>
        <v>30987</v>
      </c>
      <c r="G161" s="106">
        <f t="shared" si="704"/>
        <v>59258</v>
      </c>
      <c r="H161" s="106">
        <f t="shared" si="704"/>
        <v>49000</v>
      </c>
      <c r="I161" s="106">
        <f t="shared" si="704"/>
        <v>94000</v>
      </c>
      <c r="J161" s="106">
        <f t="shared" si="704"/>
        <v>99190</v>
      </c>
      <c r="K161" s="106">
        <f t="shared" si="704"/>
        <v>40454</v>
      </c>
      <c r="L161" s="106">
        <f t="shared" si="704"/>
        <v>22031</v>
      </c>
      <c r="M161" s="106">
        <f t="shared" si="705"/>
        <v>610099.076</v>
      </c>
      <c r="N161" s="16" t="s">
        <v>134</v>
      </c>
      <c r="O161" s="22">
        <f t="shared" si="706"/>
        <v>95617.42</v>
      </c>
      <c r="P161" s="22">
        <f t="shared" si="706"/>
        <v>57328.160000000003</v>
      </c>
      <c r="Q161" s="22">
        <f t="shared" si="706"/>
        <v>66637.67</v>
      </c>
      <c r="R161" s="22">
        <f t="shared" si="706"/>
        <v>50516.67</v>
      </c>
      <c r="S161" s="22">
        <f t="shared" si="706"/>
        <v>81731.179999999993</v>
      </c>
      <c r="T161" s="22">
        <f t="shared" si="706"/>
        <v>78412.710000000006</v>
      </c>
      <c r="U161" s="22">
        <f t="shared" si="706"/>
        <v>75818.815833333399</v>
      </c>
      <c r="V161" s="22">
        <f t="shared" si="706"/>
        <v>61255.960599999991</v>
      </c>
      <c r="W161" s="22">
        <f t="shared" si="706"/>
        <v>114612.5</v>
      </c>
      <c r="X161" s="22">
        <f t="shared" si="706"/>
        <v>110892.8</v>
      </c>
      <c r="Y161" s="22">
        <f t="shared" si="706"/>
        <v>0</v>
      </c>
      <c r="Z161" s="22">
        <f t="shared" si="706"/>
        <v>0</v>
      </c>
      <c r="AA161" s="22">
        <f t="shared" si="707"/>
        <v>792823.88643333339</v>
      </c>
      <c r="AB161" s="118">
        <f t="shared" si="708"/>
        <v>2.9420842146424695</v>
      </c>
      <c r="AC161" s="22">
        <f t="shared" si="709"/>
        <v>27595.000000000004</v>
      </c>
      <c r="AD161" s="22">
        <f t="shared" si="709"/>
        <v>27595.000000000004</v>
      </c>
      <c r="AE161" s="22">
        <f t="shared" si="709"/>
        <v>27595.000000000004</v>
      </c>
      <c r="AF161" s="22">
        <f t="shared" si="709"/>
        <v>28130.500000000004</v>
      </c>
      <c r="AG161" s="22">
        <f t="shared" si="709"/>
        <v>28130.500000000004</v>
      </c>
      <c r="AH161" s="22">
        <f t="shared" si="709"/>
        <v>28130.500000000004</v>
      </c>
      <c r="AI161" s="22">
        <f t="shared" si="709"/>
        <v>28130.500000000004</v>
      </c>
      <c r="AJ161" s="22">
        <f t="shared" si="709"/>
        <v>28130.500000000004</v>
      </c>
      <c r="AK161" s="22">
        <f t="shared" si="709"/>
        <v>28130.500000000004</v>
      </c>
      <c r="AL161" s="22">
        <f t="shared" si="709"/>
        <v>28130.500000000004</v>
      </c>
      <c r="AM161" s="22">
        <f t="shared" si="709"/>
        <v>28130.500000000004</v>
      </c>
      <c r="AN161" s="22">
        <f t="shared" si="709"/>
        <v>28130.500000000004</v>
      </c>
      <c r="AO161" s="22">
        <f t="shared" si="710"/>
        <v>335959.50000000006</v>
      </c>
      <c r="AQ161" s="106">
        <v>22969.11</v>
      </c>
      <c r="AR161" s="106">
        <v>31779.52</v>
      </c>
      <c r="AS161" s="106">
        <v>61391</v>
      </c>
      <c r="AT161" s="106">
        <v>25618.58</v>
      </c>
      <c r="AU161" s="106">
        <v>28007</v>
      </c>
      <c r="AV161" s="106">
        <v>30987</v>
      </c>
      <c r="AW161" s="106">
        <v>49508</v>
      </c>
      <c r="AX161" s="106">
        <v>32000</v>
      </c>
      <c r="AY161" s="106">
        <v>94000</v>
      </c>
      <c r="AZ161" s="106">
        <v>58185</v>
      </c>
      <c r="BA161" s="106">
        <v>40454</v>
      </c>
      <c r="BB161" s="106">
        <v>21000</v>
      </c>
      <c r="BC161" s="106">
        <f t="shared" si="711"/>
        <v>495899.21</v>
      </c>
      <c r="BD161" s="16" t="str">
        <f t="shared" si="591"/>
        <v>Repair and Maintenance - Machinery</v>
      </c>
      <c r="BE161" s="22">
        <f>+VLOOKUP($BD161,'Jan-25'!$A:$J,4,0)</f>
        <v>23138.12</v>
      </c>
      <c r="BF161" s="22">
        <f>+VLOOKUP($BD161,'Feb-25'!$A:$J,4,0)</f>
        <v>7555</v>
      </c>
      <c r="BG161" s="22">
        <f>+VLOOKUP($BD161,'Mar-25'!$A:$J,4,0)</f>
        <v>28552.67</v>
      </c>
      <c r="BH161" s="22">
        <f>+VLOOKUP($BD161,'Apr-25'!$A:$J,4,0)</f>
        <v>39516.67</v>
      </c>
      <c r="BI161" s="22">
        <f>+VLOOKUP($BD161,'May-25'!$A:$J,4,0)</f>
        <v>70731.179999999993</v>
      </c>
      <c r="BJ161" s="22">
        <f>+VLOOKUP($BD161,'June-25'!$A:$J,4,0)</f>
        <v>52550.55</v>
      </c>
      <c r="BK161" s="22">
        <f>+VLOOKUP($BD161,'July-25'!$A:$J,4,0)</f>
        <v>27149.7166666667</v>
      </c>
      <c r="BL161" s="22">
        <f>+VLOOKUP($BD161,'Aug-25'!$A:$J,4,0)</f>
        <v>40431.640399999997</v>
      </c>
      <c r="BM161" s="22">
        <f>+VLOOKUP($BD161,'Sep-25'!$A:$J,4,0)</f>
        <v>73609</v>
      </c>
      <c r="BN161" s="22">
        <f>+VLOOKUP($BD161,'Oct-25'!$A:$J,4,0)</f>
        <v>53341.78</v>
      </c>
      <c r="BO161" s="22">
        <f>+VLOOKUP($BD161,'Nov-25'!$A:$J,4,0)</f>
        <v>0</v>
      </c>
      <c r="BP161" s="22">
        <f>+VLOOKUP($BD161,'Dec-25'!$A:$J,4,0)</f>
        <v>0</v>
      </c>
      <c r="BQ161" s="22">
        <f t="shared" si="712"/>
        <v>416576.32706666668</v>
      </c>
      <c r="BR161" s="118">
        <f t="shared" si="713"/>
        <v>1.4774984324562825</v>
      </c>
      <c r="BS161" s="106">
        <f>+_xlfn.XLOOKUP($BD161,Budget!$A:$A,Budget!AQ:AQ)</f>
        <v>20995.000000000004</v>
      </c>
      <c r="BT161" s="106">
        <f>+_xlfn.XLOOKUP($BD161,Budget!$A:$A,Budget!AR:AR)</f>
        <v>20995.000000000004</v>
      </c>
      <c r="BU161" s="106">
        <f>+_xlfn.XLOOKUP($BD161,Budget!$A:$A,Budget!AS:AS)</f>
        <v>20995.000000000004</v>
      </c>
      <c r="BV161" s="106">
        <f>+_xlfn.XLOOKUP($BD161,Budget!$A:$A,Budget!AT:AT)</f>
        <v>21530.500000000004</v>
      </c>
      <c r="BW161" s="106">
        <f>+_xlfn.XLOOKUP($BD161,Budget!$A:$A,Budget!AU:AU)</f>
        <v>21530.500000000004</v>
      </c>
      <c r="BX161" s="106">
        <f>+_xlfn.XLOOKUP($BD161,Budget!$A:$A,Budget!AV:AV)</f>
        <v>21530.500000000004</v>
      </c>
      <c r="BY161" s="106">
        <f>+_xlfn.XLOOKUP($BD161,Budget!$A:$A,Budget!AW:AW)</f>
        <v>21530.500000000004</v>
      </c>
      <c r="BZ161" s="106">
        <f>+_xlfn.XLOOKUP($BD161,Budget!$A:$A,Budget!AX:AX)</f>
        <v>21530.500000000004</v>
      </c>
      <c r="CA161" s="106">
        <f>+_xlfn.XLOOKUP($BD161,Budget!$A:$A,Budget!AY:AY)</f>
        <v>21530.500000000004</v>
      </c>
      <c r="CB161" s="106">
        <f>+_xlfn.XLOOKUP($BD161,Budget!$A:$A,Budget!AZ:AZ)</f>
        <v>21530.500000000004</v>
      </c>
      <c r="CC161" s="106">
        <f>+_xlfn.XLOOKUP($BD161,Budget!$A:$A,Budget!BA:BA)</f>
        <v>21530.500000000004</v>
      </c>
      <c r="CD161" s="106">
        <f>+_xlfn.XLOOKUP($BD161,Budget!$A:$A,Budget!BB:BB)</f>
        <v>21530.500000000004</v>
      </c>
      <c r="CE161" s="106">
        <f t="shared" si="714"/>
        <v>256759.50000000003</v>
      </c>
      <c r="CF161" s="22"/>
      <c r="CG161" s="22">
        <v>36313.665999999997</v>
      </c>
      <c r="CH161" s="22">
        <v>5100.1000000000004</v>
      </c>
      <c r="CI161" s="22">
        <v>200.1</v>
      </c>
      <c r="CJ161" s="22">
        <v>0</v>
      </c>
      <c r="CK161" s="22">
        <v>3800</v>
      </c>
      <c r="CL161" s="22">
        <v>0</v>
      </c>
      <c r="CM161" s="22">
        <v>9750</v>
      </c>
      <c r="CN161" s="22">
        <v>17000</v>
      </c>
      <c r="CO161" s="22">
        <v>0</v>
      </c>
      <c r="CP161" s="22">
        <v>41005</v>
      </c>
      <c r="CQ161" s="22">
        <v>0</v>
      </c>
      <c r="CR161" s="22">
        <v>1031</v>
      </c>
      <c r="CS161" s="106">
        <f t="shared" si="715"/>
        <v>114199.86599999999</v>
      </c>
      <c r="CT161" s="16" t="str">
        <f t="shared" si="595"/>
        <v>Repair and Maintenance - Machinery</v>
      </c>
      <c r="CU161" s="22">
        <f>+VLOOKUP($BD161,'Jan-25'!$A:$J,7,0)</f>
        <v>41703</v>
      </c>
      <c r="CV161" s="22">
        <f>+VLOOKUP($BD161,'Feb-25'!$A:$J,7,0)</f>
        <v>49773.16</v>
      </c>
      <c r="CW161" s="22">
        <f>+VLOOKUP($BD161,'Mar-25'!$A:$J,7,0)</f>
        <v>38085</v>
      </c>
      <c r="CX161" s="22">
        <f>+VLOOKUP($BD161,'Apr-25'!$A:$J,7,0)</f>
        <v>11000</v>
      </c>
      <c r="CY161" s="22">
        <f>+VLOOKUP($BD161,'May-25'!$A:$J,7,0)</f>
        <v>11000</v>
      </c>
      <c r="CZ161" s="22">
        <f>+VLOOKUP($BD161,'June-25'!$A:$J,7,0)</f>
        <v>25862.16</v>
      </c>
      <c r="DA161" s="22">
        <f>+VLOOKUP($BD161,'July-25'!$A:$J,7,0)</f>
        <v>38255.209166666697</v>
      </c>
      <c r="DB161" s="22">
        <f>+VLOOKUP($BD161,'Aug-25'!$A:$J,7,0)</f>
        <v>20824.320199999998</v>
      </c>
      <c r="DC161" s="22">
        <f>+VLOOKUP($BD161,'Sep-25'!$A:$J,7,0)</f>
        <v>41003.5</v>
      </c>
      <c r="DD161" s="22">
        <f>+VLOOKUP($BD161,'Oct-25'!$A:$J,7,0)</f>
        <v>41424.32</v>
      </c>
      <c r="DE161" s="22">
        <f>+VLOOKUP($BD161,'Nov-25'!$A:$J,7,0)</f>
        <v>0</v>
      </c>
      <c r="DF161" s="22">
        <f>+VLOOKUP($BD161,'Dec-25'!$A:$J,7,0)</f>
        <v>0</v>
      </c>
      <c r="DG161" s="22">
        <f t="shared" si="716"/>
        <v>318930.6693666667</v>
      </c>
      <c r="DH161" s="118">
        <f t="shared" si="717"/>
        <v>5.2764121212121209</v>
      </c>
      <c r="DI161" s="22">
        <f>+_xlfn.XLOOKUP($CT161,Budget!$A:$A,Budget!CD:CD)</f>
        <v>6600</v>
      </c>
      <c r="DJ161" s="22">
        <f>+_xlfn.XLOOKUP($CT161,Budget!$A:$A,Budget!CE:CE)</f>
        <v>6600</v>
      </c>
      <c r="DK161" s="22">
        <f>+_xlfn.XLOOKUP($CT161,Budget!$A:$A,Budget!CF:CF)</f>
        <v>6600</v>
      </c>
      <c r="DL161" s="22">
        <f>+_xlfn.XLOOKUP($CT161,Budget!$A:$A,Budget!CG:CG)</f>
        <v>6600</v>
      </c>
      <c r="DM161" s="22">
        <f>+_xlfn.XLOOKUP($CT161,Budget!$A:$A,Budget!CH:CH)</f>
        <v>6600</v>
      </c>
      <c r="DN161" s="22">
        <f>+_xlfn.XLOOKUP($CT161,Budget!$A:$A,Budget!CI:CI)</f>
        <v>6600</v>
      </c>
      <c r="DO161" s="22">
        <f>+_xlfn.XLOOKUP($CT161,Budget!$A:$A,Budget!CJ:CJ)</f>
        <v>6600</v>
      </c>
      <c r="DP161" s="22">
        <f>+_xlfn.XLOOKUP($CT161,Budget!$A:$A,Budget!CK:CK)</f>
        <v>6600</v>
      </c>
      <c r="DQ161" s="22">
        <f>+_xlfn.XLOOKUP($CT161,Budget!$A:$A,Budget!CL:CL)</f>
        <v>6600</v>
      </c>
      <c r="DR161" s="22">
        <f>+_xlfn.XLOOKUP($CT161,Budget!$A:$A,Budget!CM:CM)</f>
        <v>6600</v>
      </c>
      <c r="DS161" s="22">
        <f>+_xlfn.XLOOKUP($CT161,Budget!$A:$A,Budget!CN:CN)</f>
        <v>6600</v>
      </c>
      <c r="DT161" s="22">
        <f>+_xlfn.XLOOKUP($CT161,Budget!$A:$A,Budget!CO:CO)</f>
        <v>6600</v>
      </c>
      <c r="DU161" s="106">
        <f t="shared" si="718"/>
        <v>79200</v>
      </c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106">
        <f t="shared" si="719"/>
        <v>0</v>
      </c>
      <c r="EJ161" s="16" t="str">
        <f t="shared" si="601"/>
        <v>Repair and Maintenance - Machinery</v>
      </c>
      <c r="EK161" s="22">
        <f>+VLOOKUP($BD161,'Jan-25'!$A:$J,9,0)</f>
        <v>30776.3</v>
      </c>
      <c r="EL161" s="22">
        <f>+VLOOKUP($BD161,'Feb-25'!$A:$J,9,0)</f>
        <v>0</v>
      </c>
      <c r="EM161" s="22">
        <f>+VLOOKUP($BD161,'Mar-25'!$A:$J,9,0)</f>
        <v>0</v>
      </c>
      <c r="EN161" s="22">
        <f>+VLOOKUP($BD161,'Apr-25'!$A:$J,9,0)</f>
        <v>0</v>
      </c>
      <c r="EO161" s="22">
        <f>+VLOOKUP($BD161,'May-25'!$A:$J,9,0)</f>
        <v>0</v>
      </c>
      <c r="EP161" s="22">
        <f>+VLOOKUP($BD161,'June-25'!$A:$J,9,0)</f>
        <v>0</v>
      </c>
      <c r="EQ161" s="22">
        <f>+VLOOKUP($BD161,'July-25'!$A:$J,9,0)</f>
        <v>10413.89</v>
      </c>
      <c r="ER161" s="22">
        <f>+VLOOKUP($BD161,'Aug-25'!$A:$J,9,0)</f>
        <v>0</v>
      </c>
      <c r="ES161" s="22">
        <f>+VLOOKUP($BD161,'Sep-25'!$A:$J,9,0)</f>
        <v>0</v>
      </c>
      <c r="ET161" s="22">
        <f>+VLOOKUP($BD161,'Oct-25'!$A:$J,9,0)</f>
        <v>16126.7</v>
      </c>
      <c r="EU161" s="22">
        <f>+VLOOKUP($BD161,'Nov-25'!$A:$J,9,0)</f>
        <v>0</v>
      </c>
      <c r="EV161" s="22">
        <f>+VLOOKUP($BD161,'Dec-25'!$A:$J,9,0)</f>
        <v>0</v>
      </c>
      <c r="EW161" s="22">
        <f t="shared" si="720"/>
        <v>57316.89</v>
      </c>
      <c r="EX161" s="118">
        <f t="shared" si="721"/>
        <v>0</v>
      </c>
      <c r="EY161" s="22">
        <f>+_xlfn.XLOOKUP($EJ161,Budget!$A:$A,Budget!DE:DE)</f>
        <v>0</v>
      </c>
      <c r="EZ161" s="22">
        <f>+_xlfn.XLOOKUP($EJ161,Budget!$A:$A,Budget!DF:DF)</f>
        <v>0</v>
      </c>
      <c r="FA161" s="22">
        <f>+_xlfn.XLOOKUP($EJ161,Budget!$A:$A,Budget!DG:DG)</f>
        <v>0</v>
      </c>
      <c r="FB161" s="22">
        <f>+_xlfn.XLOOKUP($EJ161,Budget!$A:$A,Budget!DH:DH)</f>
        <v>0</v>
      </c>
      <c r="FC161" s="22">
        <f>+_xlfn.XLOOKUP($EJ161,Budget!$A:$A,Budget!DI:DI)</f>
        <v>0</v>
      </c>
      <c r="FD161" s="22">
        <f>+_xlfn.XLOOKUP($EJ161,Budget!$A:$A,Budget!DJ:DJ)</f>
        <v>0</v>
      </c>
      <c r="FE161" s="22">
        <f>+_xlfn.XLOOKUP($EJ161,Budget!$A:$A,Budget!DK:DK)</f>
        <v>0</v>
      </c>
      <c r="FF161" s="22">
        <f>+_xlfn.XLOOKUP($EJ161,Budget!$A:$A,Budget!DL:DL)</f>
        <v>0</v>
      </c>
      <c r="FG161" s="22">
        <f>+_xlfn.XLOOKUP($EJ161,Budget!$A:$A,Budget!DM:DM)</f>
        <v>0</v>
      </c>
      <c r="FH161" s="22">
        <f>+_xlfn.XLOOKUP($EJ161,Budget!$A:$A,Budget!DN:DN)</f>
        <v>0</v>
      </c>
      <c r="FI161" s="22">
        <f>+_xlfn.XLOOKUP($EJ161,Budget!$A:$A,Budget!DO:DO)</f>
        <v>0</v>
      </c>
      <c r="FJ161" s="22">
        <f>+_xlfn.XLOOKUP($EJ161,Budget!$A:$A,Budget!DP:DP)</f>
        <v>0</v>
      </c>
      <c r="FK161" s="106">
        <f t="shared" si="722"/>
        <v>0</v>
      </c>
    </row>
    <row r="162" spans="1:167" ht="14.45" hidden="1" customHeight="1" outlineLevel="2">
      <c r="A162" s="106">
        <f t="shared" si="704"/>
        <v>16258.325999999999</v>
      </c>
      <c r="B162" s="106">
        <f t="shared" si="704"/>
        <v>28453.5</v>
      </c>
      <c r="C162" s="106">
        <f t="shared" si="704"/>
        <v>33454.25</v>
      </c>
      <c r="D162" s="106">
        <f t="shared" si="704"/>
        <v>16425.309999999998</v>
      </c>
      <c r="E162" s="106">
        <f t="shared" si="704"/>
        <v>19822.5</v>
      </c>
      <c r="F162" s="106">
        <f t="shared" si="704"/>
        <v>38462.5</v>
      </c>
      <c r="G162" s="106">
        <f t="shared" si="704"/>
        <v>30135.5</v>
      </c>
      <c r="H162" s="106">
        <f t="shared" si="704"/>
        <v>68420.91</v>
      </c>
      <c r="I162" s="106">
        <f t="shared" si="704"/>
        <v>25220.784</v>
      </c>
      <c r="J162" s="106">
        <f t="shared" si="704"/>
        <v>32083.08</v>
      </c>
      <c r="K162" s="106">
        <f t="shared" si="704"/>
        <v>26078.33</v>
      </c>
      <c r="L162" s="106">
        <f t="shared" si="704"/>
        <v>19583.349999999999</v>
      </c>
      <c r="M162" s="106">
        <f t="shared" si="705"/>
        <v>354398.34</v>
      </c>
      <c r="N162" s="16" t="s">
        <v>135</v>
      </c>
      <c r="O162" s="22">
        <f t="shared" si="706"/>
        <v>100164.8624</v>
      </c>
      <c r="P162" s="22">
        <f t="shared" si="706"/>
        <v>173630.0153</v>
      </c>
      <c r="Q162" s="22">
        <f t="shared" si="706"/>
        <v>42246.37</v>
      </c>
      <c r="R162" s="22">
        <f t="shared" si="706"/>
        <v>44535.21</v>
      </c>
      <c r="S162" s="22">
        <f t="shared" si="706"/>
        <v>25264.94</v>
      </c>
      <c r="T162" s="22">
        <f t="shared" si="706"/>
        <v>272986.32</v>
      </c>
      <c r="U162" s="22">
        <f t="shared" si="706"/>
        <v>95116.25</v>
      </c>
      <c r="V162" s="22">
        <f t="shared" si="706"/>
        <v>58341.27</v>
      </c>
      <c r="W162" s="22">
        <f t="shared" si="706"/>
        <v>118204.65</v>
      </c>
      <c r="X162" s="22">
        <f t="shared" si="706"/>
        <v>164720.63</v>
      </c>
      <c r="Y162" s="22">
        <f t="shared" si="706"/>
        <v>0</v>
      </c>
      <c r="Z162" s="22">
        <f t="shared" si="706"/>
        <v>0</v>
      </c>
      <c r="AA162" s="22">
        <f t="shared" si="707"/>
        <v>1095210.5177000002</v>
      </c>
      <c r="AB162" s="118">
        <f t="shared" si="708"/>
        <v>8.0142088481895133</v>
      </c>
      <c r="AC162" s="22">
        <f t="shared" si="709"/>
        <v>20522.326518000002</v>
      </c>
      <c r="AD162" s="22">
        <f t="shared" si="709"/>
        <v>20522.326518000002</v>
      </c>
      <c r="AE162" s="22">
        <f t="shared" si="709"/>
        <v>20522.326518000002</v>
      </c>
      <c r="AF162" s="22">
        <f t="shared" si="709"/>
        <v>20522.326518000002</v>
      </c>
      <c r="AG162" s="22">
        <f t="shared" si="709"/>
        <v>20522.326518000002</v>
      </c>
      <c r="AH162" s="22">
        <f t="shared" si="709"/>
        <v>20522.326518000002</v>
      </c>
      <c r="AI162" s="22">
        <f t="shared" si="709"/>
        <v>20522.326518000002</v>
      </c>
      <c r="AJ162" s="22">
        <f t="shared" si="709"/>
        <v>20522.326518000002</v>
      </c>
      <c r="AK162" s="22">
        <f t="shared" si="709"/>
        <v>17738.6955375</v>
      </c>
      <c r="AL162" s="22">
        <f t="shared" si="709"/>
        <v>18273.44282499998</v>
      </c>
      <c r="AM162" s="22">
        <f t="shared" si="709"/>
        <v>18273.44282499998</v>
      </c>
      <c r="AN162" s="22">
        <f t="shared" si="709"/>
        <v>18273.44282499998</v>
      </c>
      <c r="AO162" s="22">
        <f t="shared" si="710"/>
        <v>236737.63615649994</v>
      </c>
      <c r="AQ162" s="106">
        <v>10694.946</v>
      </c>
      <c r="AR162" s="106">
        <v>20151</v>
      </c>
      <c r="AS162" s="106">
        <v>13169.5</v>
      </c>
      <c r="AT162" s="106">
        <v>11827.81</v>
      </c>
      <c r="AU162" s="106">
        <v>14695</v>
      </c>
      <c r="AV162" s="106">
        <v>32018.799999999999</v>
      </c>
      <c r="AW162" s="106">
        <v>19618.8</v>
      </c>
      <c r="AX162" s="106">
        <v>57359.14</v>
      </c>
      <c r="AY162" s="106">
        <v>21196.451999999997</v>
      </c>
      <c r="AZ162" s="106">
        <v>7669.51</v>
      </c>
      <c r="BA162" s="106">
        <v>24593.33</v>
      </c>
      <c r="BB162" s="106">
        <v>13994.779999999999</v>
      </c>
      <c r="BC162" s="106">
        <f t="shared" si="711"/>
        <v>246989.068</v>
      </c>
      <c r="BD162" s="16" t="str">
        <f t="shared" si="591"/>
        <v>Repair and Maintenance - Others</v>
      </c>
      <c r="BE162" s="22">
        <f>+VLOOKUP($BD162,'Jan-25'!$A:$J,4,0)</f>
        <v>11163.421600000001</v>
      </c>
      <c r="BF162" s="22">
        <f>+VLOOKUP($BD162,'Feb-25'!$A:$J,4,0)</f>
        <v>130461.0102</v>
      </c>
      <c r="BG162" s="22">
        <f>+VLOOKUP($BD162,'Mar-25'!$A:$J,4,0)</f>
        <v>20924.330000000002</v>
      </c>
      <c r="BH162" s="22">
        <f>+VLOOKUP($BD162,'Apr-25'!$A:$J,4,0)</f>
        <v>11335.21</v>
      </c>
      <c r="BI162" s="22">
        <f>+VLOOKUP($BD162,'May-25'!$A:$J,4,0)</f>
        <v>19184.939999999999</v>
      </c>
      <c r="BJ162" s="22">
        <f>+VLOOKUP($BD162,'June-25'!$A:$J,4,0)</f>
        <v>84515.23</v>
      </c>
      <c r="BK162" s="22">
        <f>+VLOOKUP($BD162,'July-25'!$A:$J,4,0)</f>
        <v>8507.25</v>
      </c>
      <c r="BL162" s="22">
        <f>+VLOOKUP($BD162,'Aug-25'!$A:$J,4,0)</f>
        <v>54501.27</v>
      </c>
      <c r="BM162" s="22">
        <f>+VLOOKUP($BD162,'Sep-25'!$A:$J,4,0)</f>
        <v>35374.65</v>
      </c>
      <c r="BN162" s="22">
        <f>+VLOOKUP($BD162,'Oct-25'!$A:$J,4,0)</f>
        <v>145848.03</v>
      </c>
      <c r="BO162" s="22">
        <f>+VLOOKUP($BD162,'Nov-25'!$A:$J,4,0)</f>
        <v>0</v>
      </c>
      <c r="BP162" s="22">
        <f>+VLOOKUP($BD162,'Dec-25'!$A:$J,4,0)</f>
        <v>0</v>
      </c>
      <c r="BQ162" s="22">
        <f t="shared" si="712"/>
        <v>521815.34180000005</v>
      </c>
      <c r="BR162" s="118">
        <f t="shared" si="713"/>
        <v>11.987712977813464</v>
      </c>
      <c r="BS162" s="106">
        <f>+_xlfn.XLOOKUP($BD162,Budget!$A:$A,Budget!AQ:AQ)</f>
        <v>10694.945750000001</v>
      </c>
      <c r="BT162" s="106">
        <f>+_xlfn.XLOOKUP($BD162,Budget!$A:$A,Budget!AR:AR)</f>
        <v>10694.945750000001</v>
      </c>
      <c r="BU162" s="106">
        <f>+_xlfn.XLOOKUP($BD162,Budget!$A:$A,Budget!AS:AS)</f>
        <v>10694.945750000001</v>
      </c>
      <c r="BV162" s="106">
        <f>+_xlfn.XLOOKUP($BD162,Budget!$A:$A,Budget!AT:AT)</f>
        <v>10694.945750000001</v>
      </c>
      <c r="BW162" s="106">
        <f>+_xlfn.XLOOKUP($BD162,Budget!$A:$A,Budget!AU:AU)</f>
        <v>10694.945750000001</v>
      </c>
      <c r="BX162" s="106">
        <f>+_xlfn.XLOOKUP($BD162,Budget!$A:$A,Budget!AV:AV)</f>
        <v>10694.945750000001</v>
      </c>
      <c r="BY162" s="106">
        <f>+_xlfn.XLOOKUP($BD162,Budget!$A:$A,Budget!AW:AW)</f>
        <v>10694.945750000001</v>
      </c>
      <c r="BZ162" s="106">
        <f>+_xlfn.XLOOKUP($BD162,Budget!$A:$A,Budget!AX:AX)</f>
        <v>10694.945750000001</v>
      </c>
      <c r="CA162" s="106">
        <f>+_xlfn.XLOOKUP($BD162,Budget!$A:$A,Budget!AY:AY)</f>
        <v>10694.945750000001</v>
      </c>
      <c r="CB162" s="106">
        <f>+_xlfn.XLOOKUP($BD162,Budget!$A:$A,Budget!AZ:AZ)</f>
        <v>11229.693037499979</v>
      </c>
      <c r="CC162" s="106">
        <f>+_xlfn.XLOOKUP($BD162,Budget!$A:$A,Budget!BA:BA)</f>
        <v>11229.693037499979</v>
      </c>
      <c r="CD162" s="106">
        <f>+_xlfn.XLOOKUP($BD162,Budget!$A:$A,Budget!BB:BB)</f>
        <v>11229.693037499979</v>
      </c>
      <c r="CE162" s="106">
        <f t="shared" si="714"/>
        <v>129943.59086249994</v>
      </c>
      <c r="CF162" s="22"/>
      <c r="CG162" s="22">
        <v>5563.3799999999992</v>
      </c>
      <c r="CH162" s="22">
        <v>8302.5</v>
      </c>
      <c r="CI162" s="22">
        <v>20284.75</v>
      </c>
      <c r="CJ162" s="22">
        <v>4597.5</v>
      </c>
      <c r="CK162" s="22">
        <v>5127.5</v>
      </c>
      <c r="CL162" s="22">
        <v>6443.7</v>
      </c>
      <c r="CM162" s="22">
        <v>10516.7</v>
      </c>
      <c r="CN162" s="22">
        <v>11061.77</v>
      </c>
      <c r="CO162" s="22">
        <v>4024.3320000000003</v>
      </c>
      <c r="CP162" s="22">
        <v>24413.57</v>
      </c>
      <c r="CQ162" s="22">
        <v>1485</v>
      </c>
      <c r="CR162" s="22">
        <v>5588.57</v>
      </c>
      <c r="CS162" s="106">
        <f t="shared" si="715"/>
        <v>107409.272</v>
      </c>
      <c r="CT162" s="16" t="str">
        <f t="shared" si="595"/>
        <v>Repair and Maintenance - Others</v>
      </c>
      <c r="CU162" s="22">
        <f>+VLOOKUP($BD162,'Jan-25'!$A:$J,7,0)</f>
        <v>4001.4407999999999</v>
      </c>
      <c r="CV162" s="22">
        <f>+VLOOKUP($BD162,'Feb-25'!$A:$J,7,0)</f>
        <v>14039.005099999998</v>
      </c>
      <c r="CW162" s="22">
        <f>+VLOOKUP($BD162,'Mar-25'!$A:$J,7,0)</f>
        <v>750</v>
      </c>
      <c r="CX162" s="22">
        <f>+VLOOKUP($BD162,'Apr-25'!$A:$J,7,0)</f>
        <v>1350</v>
      </c>
      <c r="CY162" s="22">
        <f>+VLOOKUP($BD162,'May-25'!$A:$J,7,0)</f>
        <v>480</v>
      </c>
      <c r="CZ162" s="22">
        <f>+VLOOKUP($BD162,'June-25'!$A:$J,7,0)</f>
        <v>1875</v>
      </c>
      <c r="DA162" s="22">
        <f>+VLOOKUP($BD162,'July-25'!$A:$J,7,0)</f>
        <v>32009</v>
      </c>
      <c r="DB162" s="22">
        <f>+VLOOKUP($BD162,'Aug-25'!$A:$J,7,0)</f>
        <v>2040</v>
      </c>
      <c r="DC162" s="22">
        <f>+VLOOKUP($BD162,'Sep-25'!$A:$J,7,0)</f>
        <v>80530</v>
      </c>
      <c r="DD162" s="22">
        <f>+VLOOKUP($BD162,'Oct-25'!$A:$J,7,0)</f>
        <v>17172.599999999999</v>
      </c>
      <c r="DE162" s="22">
        <f>+VLOOKUP($BD162,'Nov-25'!$A:$J,7,0)</f>
        <v>0</v>
      </c>
      <c r="DF162" s="22">
        <f>+VLOOKUP($BD162,'Dec-25'!$A:$J,7,0)</f>
        <v>0</v>
      </c>
      <c r="DG162" s="22">
        <f t="shared" si="716"/>
        <v>154247.0459</v>
      </c>
      <c r="DH162" s="118">
        <f t="shared" si="717"/>
        <v>2.7793894477293546</v>
      </c>
      <c r="DI162" s="22">
        <f>+_xlfn.XLOOKUP($CT162,Budget!$A:$A,Budget!CD:CD)</f>
        <v>7327.380768</v>
      </c>
      <c r="DJ162" s="22">
        <f>+_xlfn.XLOOKUP($CT162,Budget!$A:$A,Budget!CE:CE)</f>
        <v>7327.380768</v>
      </c>
      <c r="DK162" s="22">
        <f>+_xlfn.XLOOKUP($CT162,Budget!$A:$A,Budget!CF:CF)</f>
        <v>7327.380768</v>
      </c>
      <c r="DL162" s="22">
        <f>+_xlfn.XLOOKUP($CT162,Budget!$A:$A,Budget!CG:CG)</f>
        <v>7327.380768</v>
      </c>
      <c r="DM162" s="22">
        <f>+_xlfn.XLOOKUP($CT162,Budget!$A:$A,Budget!CH:CH)</f>
        <v>7327.380768</v>
      </c>
      <c r="DN162" s="22">
        <f>+_xlfn.XLOOKUP($CT162,Budget!$A:$A,Budget!CI:CI)</f>
        <v>7327.380768</v>
      </c>
      <c r="DO162" s="22">
        <f>+_xlfn.XLOOKUP($CT162,Budget!$A:$A,Budget!CJ:CJ)</f>
        <v>7327.380768</v>
      </c>
      <c r="DP162" s="22">
        <f>+_xlfn.XLOOKUP($CT162,Budget!$A:$A,Budget!CK:CK)</f>
        <v>7327.380768</v>
      </c>
      <c r="DQ162" s="22">
        <f>+_xlfn.XLOOKUP($CT162,Budget!$A:$A,Budget!CL:CL)</f>
        <v>4543.7497874999999</v>
      </c>
      <c r="DR162" s="22">
        <f>+_xlfn.XLOOKUP($CT162,Budget!$A:$A,Budget!CM:CM)</f>
        <v>4543.7497874999999</v>
      </c>
      <c r="DS162" s="22">
        <f>+_xlfn.XLOOKUP($CT162,Budget!$A:$A,Budget!CN:CN)</f>
        <v>4543.7497874999999</v>
      </c>
      <c r="DT162" s="22">
        <f>+_xlfn.XLOOKUP($CT162,Budget!$A:$A,Budget!CO:CO)</f>
        <v>4543.7497874999999</v>
      </c>
      <c r="DU162" s="106">
        <f t="shared" si="718"/>
        <v>76794.045293999996</v>
      </c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106">
        <f t="shared" si="719"/>
        <v>0</v>
      </c>
      <c r="EJ162" s="16" t="str">
        <f t="shared" si="601"/>
        <v>Repair and Maintenance - Others</v>
      </c>
      <c r="EK162" s="22">
        <f>+VLOOKUP($BD162,'Jan-25'!$A:$J,9,0)</f>
        <v>85000</v>
      </c>
      <c r="EL162" s="22">
        <f>+VLOOKUP($BD162,'Feb-25'!$A:$J,9,0)</f>
        <v>29130</v>
      </c>
      <c r="EM162" s="22">
        <f>+VLOOKUP($BD162,'Mar-25'!$A:$J,9,0)</f>
        <v>20572.04</v>
      </c>
      <c r="EN162" s="22">
        <f>+VLOOKUP($BD162,'Apr-25'!$A:$J,9,0)</f>
        <v>31850</v>
      </c>
      <c r="EO162" s="22">
        <f>+VLOOKUP($BD162,'May-25'!$A:$J,9,0)</f>
        <v>5600</v>
      </c>
      <c r="EP162" s="22">
        <f>+VLOOKUP($BD162,'June-25'!$A:$J,9,0)</f>
        <v>186596.09</v>
      </c>
      <c r="EQ162" s="22">
        <f>+VLOOKUP($BD162,'July-25'!$A:$J,9,0)</f>
        <v>54600</v>
      </c>
      <c r="ER162" s="22">
        <f>+VLOOKUP($BD162,'Aug-25'!$A:$J,9,0)</f>
        <v>1800</v>
      </c>
      <c r="ES162" s="22">
        <f>+VLOOKUP($BD162,'Sep-25'!$A:$J,9,0)</f>
        <v>2300</v>
      </c>
      <c r="ET162" s="22">
        <f>+VLOOKUP($BD162,'Oct-25'!$A:$J,9,0)</f>
        <v>1700</v>
      </c>
      <c r="EU162" s="22">
        <f>+VLOOKUP($BD162,'Nov-25'!$A:$J,9,0)</f>
        <v>0</v>
      </c>
      <c r="EV162" s="22">
        <f>+VLOOKUP($BD162,'Dec-25'!$A:$J,9,0)</f>
        <v>0</v>
      </c>
      <c r="EW162" s="22">
        <f t="shared" si="720"/>
        <v>419148.13</v>
      </c>
      <c r="EX162" s="118">
        <f t="shared" si="721"/>
        <v>-0.32</v>
      </c>
      <c r="EY162" s="22">
        <f>+_xlfn.XLOOKUP($EJ162,Budget!$A:$A,Budget!DE:DE)</f>
        <v>2500</v>
      </c>
      <c r="EZ162" s="22">
        <f>+_xlfn.XLOOKUP($EJ162,Budget!$A:$A,Budget!DF:DF)</f>
        <v>2500</v>
      </c>
      <c r="FA162" s="22">
        <f>+_xlfn.XLOOKUP($EJ162,Budget!$A:$A,Budget!DG:DG)</f>
        <v>2500</v>
      </c>
      <c r="FB162" s="22">
        <f>+_xlfn.XLOOKUP($EJ162,Budget!$A:$A,Budget!DH:DH)</f>
        <v>2500</v>
      </c>
      <c r="FC162" s="22">
        <f>+_xlfn.XLOOKUP($EJ162,Budget!$A:$A,Budget!DI:DI)</f>
        <v>2500</v>
      </c>
      <c r="FD162" s="22">
        <f>+_xlfn.XLOOKUP($EJ162,Budget!$A:$A,Budget!DJ:DJ)</f>
        <v>2500</v>
      </c>
      <c r="FE162" s="22">
        <f>+_xlfn.XLOOKUP($EJ162,Budget!$A:$A,Budget!DK:DK)</f>
        <v>2500</v>
      </c>
      <c r="FF162" s="22">
        <f>+_xlfn.XLOOKUP($EJ162,Budget!$A:$A,Budget!DL:DL)</f>
        <v>2500</v>
      </c>
      <c r="FG162" s="22">
        <f>+_xlfn.XLOOKUP($EJ162,Budget!$A:$A,Budget!DM:DM)</f>
        <v>2500</v>
      </c>
      <c r="FH162" s="22">
        <f>+_xlfn.XLOOKUP($EJ162,Budget!$A:$A,Budget!DN:DN)</f>
        <v>2500</v>
      </c>
      <c r="FI162" s="22">
        <f>+_xlfn.XLOOKUP($EJ162,Budget!$A:$A,Budget!DO:DO)</f>
        <v>2500</v>
      </c>
      <c r="FJ162" s="22">
        <f>+_xlfn.XLOOKUP($EJ162,Budget!$A:$A,Budget!DP:DP)</f>
        <v>2500</v>
      </c>
      <c r="FK162" s="106">
        <f t="shared" si="722"/>
        <v>30000</v>
      </c>
    </row>
    <row r="163" spans="1:167" ht="14.45" hidden="1" customHeight="1" outlineLevel="2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6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118">
        <f t="shared" si="708"/>
        <v>0</v>
      </c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  <c r="BC163" s="106"/>
      <c r="BD163" s="16">
        <f t="shared" si="591"/>
        <v>0</v>
      </c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118">
        <f t="shared" si="713"/>
        <v>0</v>
      </c>
      <c r="BS163" s="106"/>
      <c r="BT163" s="106"/>
      <c r="BU163" s="106"/>
      <c r="BV163" s="106"/>
      <c r="BW163" s="106"/>
      <c r="BX163" s="106"/>
      <c r="BY163" s="106"/>
      <c r="BZ163" s="106"/>
      <c r="CA163" s="106"/>
      <c r="CB163" s="106"/>
      <c r="CC163" s="106"/>
      <c r="CD163" s="106"/>
      <c r="CE163" s="106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106"/>
      <c r="CT163" s="16">
        <f t="shared" si="595"/>
        <v>0</v>
      </c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118">
        <f t="shared" si="717"/>
        <v>0</v>
      </c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106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106"/>
      <c r="EJ163" s="16">
        <f t="shared" si="601"/>
        <v>0</v>
      </c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118">
        <f t="shared" si="721"/>
        <v>0</v>
      </c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106"/>
    </row>
    <row r="164" spans="1:167" ht="14.45" hidden="1" customHeight="1" outlineLevel="1">
      <c r="A164" s="58">
        <f t="shared" ref="A164:L164" si="723">+SUM(A165:A171)</f>
        <v>140076.9829</v>
      </c>
      <c r="B164" s="58">
        <f t="shared" si="723"/>
        <v>75044.148000000001</v>
      </c>
      <c r="C164" s="58">
        <f t="shared" si="723"/>
        <v>82083.953999999998</v>
      </c>
      <c r="D164" s="58">
        <f t="shared" si="723"/>
        <v>69558.37999999999</v>
      </c>
      <c r="E164" s="58">
        <f t="shared" si="723"/>
        <v>147563.38339999999</v>
      </c>
      <c r="F164" s="58">
        <f t="shared" si="723"/>
        <v>100676.86599999999</v>
      </c>
      <c r="G164" s="58">
        <f t="shared" si="723"/>
        <v>165379.44970000003</v>
      </c>
      <c r="H164" s="58">
        <f t="shared" si="723"/>
        <v>78650.613599999997</v>
      </c>
      <c r="I164" s="58">
        <f t="shared" si="723"/>
        <v>80310.7644</v>
      </c>
      <c r="J164" s="58">
        <f t="shared" si="723"/>
        <v>61810.108400000005</v>
      </c>
      <c r="K164" s="58">
        <f t="shared" si="723"/>
        <v>95334.496199999994</v>
      </c>
      <c r="L164" s="58">
        <f t="shared" si="723"/>
        <v>122736.52</v>
      </c>
      <c r="M164" s="58"/>
      <c r="N164" s="20" t="s">
        <v>136</v>
      </c>
      <c r="O164" s="28">
        <f t="shared" ref="O164:AA164" si="724">+SUM(O165:O171)</f>
        <v>66175.443999999989</v>
      </c>
      <c r="P164" s="28">
        <f t="shared" si="724"/>
        <v>56785.90129999999</v>
      </c>
      <c r="Q164" s="28">
        <f t="shared" si="724"/>
        <v>141577.09889999998</v>
      </c>
      <c r="R164" s="28">
        <f t="shared" si="724"/>
        <v>94624.754000000001</v>
      </c>
      <c r="S164" s="28">
        <f t="shared" si="724"/>
        <v>203217.35080000001</v>
      </c>
      <c r="T164" s="28">
        <f t="shared" si="724"/>
        <v>119734.94390000001</v>
      </c>
      <c r="U164" s="28">
        <f t="shared" si="724"/>
        <v>280594.12909999996</v>
      </c>
      <c r="V164" s="28">
        <f t="shared" si="724"/>
        <v>237267.73149999999</v>
      </c>
      <c r="W164" s="28">
        <f t="shared" si="724"/>
        <v>203914.93400000001</v>
      </c>
      <c r="X164" s="28">
        <f t="shared" si="724"/>
        <v>188387.144</v>
      </c>
      <c r="Y164" s="28">
        <f t="shared" si="724"/>
        <v>0</v>
      </c>
      <c r="Z164" s="28">
        <f t="shared" si="724"/>
        <v>0</v>
      </c>
      <c r="AA164" s="28">
        <f t="shared" si="724"/>
        <v>1592279.4315000002</v>
      </c>
      <c r="AB164" s="118">
        <f t="shared" si="708"/>
        <v>0.13336026952231983</v>
      </c>
      <c r="AC164" s="28">
        <f t="shared" ref="AC164:AN164" si="725">+SUM(AC165:AC171)</f>
        <v>256220</v>
      </c>
      <c r="AD164" s="28">
        <f t="shared" si="725"/>
        <v>106220</v>
      </c>
      <c r="AE164" s="28">
        <f t="shared" si="725"/>
        <v>106220</v>
      </c>
      <c r="AF164" s="28">
        <f t="shared" si="725"/>
        <v>106220</v>
      </c>
      <c r="AG164" s="28">
        <f t="shared" si="725"/>
        <v>166220</v>
      </c>
      <c r="AH164" s="28">
        <f t="shared" si="725"/>
        <v>106220</v>
      </c>
      <c r="AI164" s="28">
        <f t="shared" si="725"/>
        <v>106220</v>
      </c>
      <c r="AJ164" s="28">
        <f t="shared" si="725"/>
        <v>110220</v>
      </c>
      <c r="AK164" s="28">
        <f t="shared" si="725"/>
        <v>146620</v>
      </c>
      <c r="AL164" s="28">
        <f t="shared" si="725"/>
        <v>166220</v>
      </c>
      <c r="AM164" s="28">
        <f t="shared" si="725"/>
        <v>106220</v>
      </c>
      <c r="AN164" s="28">
        <f t="shared" si="725"/>
        <v>106220</v>
      </c>
      <c r="AO164" s="28"/>
      <c r="AQ164" s="58">
        <f t="shared" ref="AQ164:BB164" si="726">+SUM(AQ165:AQ171)</f>
        <v>74183.300600000002</v>
      </c>
      <c r="AR164" s="58">
        <f t="shared" si="726"/>
        <v>32540.212</v>
      </c>
      <c r="AS164" s="58">
        <f t="shared" si="726"/>
        <v>54394.133999999998</v>
      </c>
      <c r="AT164" s="58">
        <f t="shared" si="726"/>
        <v>44305.75</v>
      </c>
      <c r="AU164" s="58">
        <f t="shared" si="726"/>
        <v>103683.3556</v>
      </c>
      <c r="AV164" s="58">
        <f t="shared" si="726"/>
        <v>68502.572</v>
      </c>
      <c r="AW164" s="58">
        <f t="shared" si="726"/>
        <v>116865.21579999999</v>
      </c>
      <c r="AX164" s="58">
        <f t="shared" si="726"/>
        <v>38969.418399999995</v>
      </c>
      <c r="AY164" s="58">
        <f t="shared" si="726"/>
        <v>49830.899599999997</v>
      </c>
      <c r="AZ164" s="58">
        <f t="shared" si="726"/>
        <v>20637.4876</v>
      </c>
      <c r="BA164" s="58">
        <f t="shared" si="726"/>
        <v>59461.500799999994</v>
      </c>
      <c r="BB164" s="58">
        <f t="shared" si="726"/>
        <v>78244.251999999993</v>
      </c>
      <c r="BC164" s="58">
        <f>+SUM(AQ164:BB164)</f>
        <v>741618.09840000002</v>
      </c>
      <c r="BD164" s="20" t="str">
        <f t="shared" si="591"/>
        <v>Company Vehicle Expenses</v>
      </c>
      <c r="BE164" s="28">
        <f t="shared" ref="BE164:BQ164" si="727">+SUM(BE165:BE171)</f>
        <v>33013.601999999999</v>
      </c>
      <c r="BF164" s="28">
        <f t="shared" si="727"/>
        <v>44506.336199999998</v>
      </c>
      <c r="BG164" s="28">
        <f t="shared" si="727"/>
        <v>36192.928599999999</v>
      </c>
      <c r="BH164" s="28">
        <f t="shared" si="727"/>
        <v>51265.673999999999</v>
      </c>
      <c r="BI164" s="28">
        <f t="shared" si="727"/>
        <v>163525.53320000001</v>
      </c>
      <c r="BJ164" s="28">
        <f t="shared" si="727"/>
        <v>89372.398599999986</v>
      </c>
      <c r="BK164" s="28">
        <f t="shared" si="727"/>
        <v>226292.91139999995</v>
      </c>
      <c r="BL164" s="28">
        <f t="shared" si="727"/>
        <v>118368.575</v>
      </c>
      <c r="BM164" s="28">
        <f t="shared" si="727"/>
        <v>103777.00400000002</v>
      </c>
      <c r="BN164" s="28">
        <f t="shared" si="727"/>
        <v>116923.33399999999</v>
      </c>
      <c r="BO164" s="28">
        <f t="shared" si="727"/>
        <v>0</v>
      </c>
      <c r="BP164" s="28">
        <f t="shared" si="727"/>
        <v>0</v>
      </c>
      <c r="BQ164" s="28">
        <f t="shared" si="727"/>
        <v>983238.29700000002</v>
      </c>
      <c r="BR164" s="118">
        <f t="shared" si="713"/>
        <v>0.75578136950645669</v>
      </c>
      <c r="BS164" s="58">
        <f t="shared" ref="BS164:CD164" si="728">+SUM(BS165:BS171)</f>
        <v>216593.33333333334</v>
      </c>
      <c r="BT164" s="58">
        <f t="shared" si="728"/>
        <v>66593.333333333343</v>
      </c>
      <c r="BU164" s="58">
        <f t="shared" si="728"/>
        <v>66593.333333333343</v>
      </c>
      <c r="BV164" s="58">
        <f t="shared" si="728"/>
        <v>66593.333333333343</v>
      </c>
      <c r="BW164" s="58">
        <f t="shared" si="728"/>
        <v>126593.33333333334</v>
      </c>
      <c r="BX164" s="58">
        <f t="shared" si="728"/>
        <v>66593.333333333343</v>
      </c>
      <c r="BY164" s="58">
        <f t="shared" si="728"/>
        <v>66593.333333333343</v>
      </c>
      <c r="BZ164" s="58">
        <f t="shared" si="728"/>
        <v>68593.333333333343</v>
      </c>
      <c r="CA164" s="58">
        <f t="shared" si="728"/>
        <v>106993.33333333334</v>
      </c>
      <c r="CB164" s="58">
        <f t="shared" si="728"/>
        <v>66593.333333333343</v>
      </c>
      <c r="CC164" s="58">
        <f t="shared" si="728"/>
        <v>66593.333333333343</v>
      </c>
      <c r="CD164" s="58">
        <f t="shared" si="728"/>
        <v>66593.333333333343</v>
      </c>
      <c r="CE164" s="58">
        <f>+SUM(BS164:CD164)</f>
        <v>1051520.0000000002</v>
      </c>
      <c r="CF164" s="22"/>
      <c r="CG164" s="28">
        <f t="shared" ref="CG164:CR164" si="729">+SUM(CG165:CG171)</f>
        <v>65893.6823</v>
      </c>
      <c r="CH164" s="28">
        <f t="shared" si="729"/>
        <v>42503.936000000002</v>
      </c>
      <c r="CI164" s="28">
        <f t="shared" si="729"/>
        <v>27689.82</v>
      </c>
      <c r="CJ164" s="28">
        <f t="shared" si="729"/>
        <v>25252.63</v>
      </c>
      <c r="CK164" s="28">
        <f t="shared" si="729"/>
        <v>43880.027799999996</v>
      </c>
      <c r="CL164" s="28">
        <f t="shared" si="729"/>
        <v>32174.294000000002</v>
      </c>
      <c r="CM164" s="28">
        <f t="shared" si="729"/>
        <v>48514.233899999999</v>
      </c>
      <c r="CN164" s="28">
        <f t="shared" si="729"/>
        <v>39681.195199999995</v>
      </c>
      <c r="CO164" s="28">
        <f t="shared" si="729"/>
        <v>30479.864799999996</v>
      </c>
      <c r="CP164" s="28">
        <f t="shared" si="729"/>
        <v>41172.620799999997</v>
      </c>
      <c r="CQ164" s="28">
        <f t="shared" si="729"/>
        <v>35872.9954</v>
      </c>
      <c r="CR164" s="28">
        <f t="shared" si="729"/>
        <v>44492.267999999996</v>
      </c>
      <c r="CS164" s="58">
        <f>+SUM(CG164:CR164)</f>
        <v>477607.56819999998</v>
      </c>
      <c r="CT164" s="20" t="str">
        <f t="shared" si="595"/>
        <v>Company Vehicle Expenses</v>
      </c>
      <c r="CU164" s="28">
        <f t="shared" ref="CU164:DG164" si="730">+SUM(CU165:CU171)</f>
        <v>26698.842000000001</v>
      </c>
      <c r="CV164" s="28">
        <f t="shared" si="730"/>
        <v>4042.5650999999998</v>
      </c>
      <c r="CW164" s="28">
        <f t="shared" si="730"/>
        <v>104334.1703</v>
      </c>
      <c r="CX164" s="28">
        <f t="shared" si="730"/>
        <v>19670.52</v>
      </c>
      <c r="CY164" s="28">
        <f t="shared" si="730"/>
        <v>39691.817600000002</v>
      </c>
      <c r="CZ164" s="28">
        <f t="shared" si="730"/>
        <v>30362.545300000002</v>
      </c>
      <c r="DA164" s="28">
        <f t="shared" si="730"/>
        <v>28474.4277</v>
      </c>
      <c r="DB164" s="28">
        <f t="shared" si="730"/>
        <v>27202.246500000001</v>
      </c>
      <c r="DC164" s="28">
        <f t="shared" si="730"/>
        <v>100137.93</v>
      </c>
      <c r="DD164" s="28">
        <f t="shared" si="730"/>
        <v>69463.810000000012</v>
      </c>
      <c r="DE164" s="28">
        <f t="shared" si="730"/>
        <v>0</v>
      </c>
      <c r="DF164" s="28">
        <f t="shared" si="730"/>
        <v>0</v>
      </c>
      <c r="DG164" s="28">
        <f t="shared" si="730"/>
        <v>450078.87450000003</v>
      </c>
      <c r="DH164" s="118">
        <f t="shared" si="717"/>
        <v>-0.29924194633129308</v>
      </c>
      <c r="DI164" s="28">
        <f t="shared" ref="DI164:DT164" si="731">+SUM(DI165:DI171)</f>
        <v>39126.666666666664</v>
      </c>
      <c r="DJ164" s="28">
        <f t="shared" si="731"/>
        <v>39126.666666666664</v>
      </c>
      <c r="DK164" s="28">
        <f t="shared" si="731"/>
        <v>39126.666666666664</v>
      </c>
      <c r="DL164" s="28">
        <f t="shared" si="731"/>
        <v>39126.666666666664</v>
      </c>
      <c r="DM164" s="28">
        <f t="shared" si="731"/>
        <v>39126.666666666664</v>
      </c>
      <c r="DN164" s="28">
        <f t="shared" si="731"/>
        <v>39126.666666666664</v>
      </c>
      <c r="DO164" s="28">
        <f t="shared" si="731"/>
        <v>39126.666666666664</v>
      </c>
      <c r="DP164" s="28">
        <f t="shared" si="731"/>
        <v>41126.666666666664</v>
      </c>
      <c r="DQ164" s="28">
        <f t="shared" si="731"/>
        <v>39126.666666666664</v>
      </c>
      <c r="DR164" s="28">
        <f t="shared" si="731"/>
        <v>99126.666666666657</v>
      </c>
      <c r="DS164" s="28">
        <f t="shared" si="731"/>
        <v>39126.666666666664</v>
      </c>
      <c r="DT164" s="28">
        <f t="shared" si="731"/>
        <v>39126.666666666664</v>
      </c>
      <c r="DU164" s="58">
        <f>+SUM(DI164:DT164)</f>
        <v>531520</v>
      </c>
      <c r="DW164" s="28">
        <f t="shared" ref="DW164:EH164" si="732">+SUM(DW165:DW171)</f>
        <v>0</v>
      </c>
      <c r="DX164" s="28">
        <f t="shared" si="732"/>
        <v>0</v>
      </c>
      <c r="DY164" s="28">
        <f t="shared" si="732"/>
        <v>0</v>
      </c>
      <c r="DZ164" s="28">
        <f t="shared" si="732"/>
        <v>0</v>
      </c>
      <c r="EA164" s="28">
        <f t="shared" si="732"/>
        <v>0</v>
      </c>
      <c r="EB164" s="28">
        <f t="shared" si="732"/>
        <v>0</v>
      </c>
      <c r="EC164" s="28">
        <f t="shared" si="732"/>
        <v>0</v>
      </c>
      <c r="ED164" s="28">
        <f t="shared" si="732"/>
        <v>0</v>
      </c>
      <c r="EE164" s="28">
        <f t="shared" si="732"/>
        <v>0</v>
      </c>
      <c r="EF164" s="28">
        <f t="shared" si="732"/>
        <v>0</v>
      </c>
      <c r="EG164" s="28">
        <f t="shared" si="732"/>
        <v>0</v>
      </c>
      <c r="EH164" s="28">
        <f t="shared" si="732"/>
        <v>0</v>
      </c>
      <c r="EI164" s="58">
        <f>+SUM(DW164:EH164)</f>
        <v>0</v>
      </c>
      <c r="EJ164" s="20" t="str">
        <f t="shared" si="601"/>
        <v>Company Vehicle Expenses</v>
      </c>
      <c r="EK164" s="28">
        <f t="shared" ref="EK164:EW164" si="733">+SUM(EK165:EK171)</f>
        <v>6463</v>
      </c>
      <c r="EL164" s="28">
        <f t="shared" si="733"/>
        <v>8237</v>
      </c>
      <c r="EM164" s="28">
        <f t="shared" si="733"/>
        <v>1050</v>
      </c>
      <c r="EN164" s="28">
        <f t="shared" si="733"/>
        <v>23688.559999999998</v>
      </c>
      <c r="EO164" s="28">
        <f t="shared" si="733"/>
        <v>0</v>
      </c>
      <c r="EP164" s="28">
        <f t="shared" si="733"/>
        <v>0</v>
      </c>
      <c r="EQ164" s="28">
        <f t="shared" si="733"/>
        <v>25826.79</v>
      </c>
      <c r="ER164" s="28">
        <f t="shared" si="733"/>
        <v>91696.91</v>
      </c>
      <c r="ES164" s="28">
        <f t="shared" si="733"/>
        <v>0</v>
      </c>
      <c r="ET164" s="28">
        <f t="shared" si="733"/>
        <v>2000</v>
      </c>
      <c r="EU164" s="28">
        <f t="shared" si="733"/>
        <v>0</v>
      </c>
      <c r="EV164" s="28">
        <f t="shared" si="733"/>
        <v>0</v>
      </c>
      <c r="EW164" s="28">
        <f t="shared" si="733"/>
        <v>158962.26</v>
      </c>
      <c r="EX164" s="118">
        <f t="shared" si="721"/>
        <v>3</v>
      </c>
      <c r="EY164" s="28">
        <f t="shared" ref="EY164:FJ164" si="734">+SUM(EY165:EY171)</f>
        <v>500</v>
      </c>
      <c r="EZ164" s="28">
        <f t="shared" si="734"/>
        <v>500</v>
      </c>
      <c r="FA164" s="28">
        <f t="shared" si="734"/>
        <v>500</v>
      </c>
      <c r="FB164" s="28">
        <f t="shared" si="734"/>
        <v>500</v>
      </c>
      <c r="FC164" s="28">
        <f t="shared" si="734"/>
        <v>500</v>
      </c>
      <c r="FD164" s="28">
        <f t="shared" si="734"/>
        <v>500</v>
      </c>
      <c r="FE164" s="28">
        <f t="shared" si="734"/>
        <v>500</v>
      </c>
      <c r="FF164" s="28">
        <f t="shared" si="734"/>
        <v>500</v>
      </c>
      <c r="FG164" s="28">
        <f t="shared" si="734"/>
        <v>500</v>
      </c>
      <c r="FH164" s="28">
        <f t="shared" si="734"/>
        <v>500</v>
      </c>
      <c r="FI164" s="28">
        <f t="shared" si="734"/>
        <v>500</v>
      </c>
      <c r="FJ164" s="28">
        <f t="shared" si="734"/>
        <v>500</v>
      </c>
      <c r="FK164" s="58">
        <f>+SUM(EY164:FJ164)</f>
        <v>6000</v>
      </c>
    </row>
    <row r="165" spans="1:167" ht="14.45" hidden="1" customHeight="1" outlineLevel="2">
      <c r="A165" s="106">
        <f t="shared" ref="A165:L171" si="735">+AQ165+CG165+DW165</f>
        <v>15945.3729</v>
      </c>
      <c r="B165" s="106">
        <f t="shared" si="735"/>
        <v>10074.368</v>
      </c>
      <c r="C165" s="106">
        <f t="shared" si="735"/>
        <v>6913.003999999999</v>
      </c>
      <c r="D165" s="106">
        <f t="shared" si="735"/>
        <v>9537.2800000000007</v>
      </c>
      <c r="E165" s="106">
        <f t="shared" si="735"/>
        <v>9599.4120000000003</v>
      </c>
      <c r="F165" s="106">
        <f t="shared" si="735"/>
        <v>8793.155999999999</v>
      </c>
      <c r="G165" s="106">
        <f t="shared" si="735"/>
        <v>8089.6409999999987</v>
      </c>
      <c r="H165" s="106">
        <f t="shared" si="735"/>
        <v>4793.1036000000004</v>
      </c>
      <c r="I165" s="106">
        <f t="shared" si="735"/>
        <v>9439.8297000000002</v>
      </c>
      <c r="J165" s="106">
        <f t="shared" si="735"/>
        <v>7635.1283999999996</v>
      </c>
      <c r="K165" s="106">
        <f t="shared" si="735"/>
        <v>10439.1662</v>
      </c>
      <c r="L165" s="106">
        <f t="shared" si="735"/>
        <v>19483.16</v>
      </c>
      <c r="M165" s="106">
        <f t="shared" ref="M165:M171" si="736">+SUM(A165:L165)</f>
        <v>120742.62180000002</v>
      </c>
      <c r="N165" s="16" t="s">
        <v>137</v>
      </c>
      <c r="O165" s="22">
        <f t="shared" ref="O165:Z171" si="737">+BE165+CU165+EK165</f>
        <v>18354.971999999998</v>
      </c>
      <c r="P165" s="22">
        <f t="shared" si="737"/>
        <v>15187.165999999997</v>
      </c>
      <c r="Q165" s="22">
        <f t="shared" si="737"/>
        <v>6091.6180000000004</v>
      </c>
      <c r="R165" s="22">
        <f t="shared" si="737"/>
        <v>18156.003999999997</v>
      </c>
      <c r="S165" s="22">
        <f t="shared" si="737"/>
        <v>13368.686799999998</v>
      </c>
      <c r="T165" s="22">
        <f t="shared" si="737"/>
        <v>20470.7739</v>
      </c>
      <c r="U165" s="22">
        <f t="shared" si="737"/>
        <v>12145.685999999998</v>
      </c>
      <c r="V165" s="22">
        <f t="shared" si="737"/>
        <v>21242.791499999999</v>
      </c>
      <c r="W165" s="22">
        <f t="shared" si="737"/>
        <v>6136.7440000000006</v>
      </c>
      <c r="X165" s="22">
        <f t="shared" si="737"/>
        <v>11855.743999999999</v>
      </c>
      <c r="Y165" s="22">
        <f t="shared" si="737"/>
        <v>0</v>
      </c>
      <c r="Z165" s="22">
        <f t="shared" si="737"/>
        <v>0</v>
      </c>
      <c r="AA165" s="22">
        <f t="shared" ref="AA165:AA171" si="738">+SUM(O165:Z165)</f>
        <v>143010.1862</v>
      </c>
      <c r="AB165" s="118">
        <f t="shared" si="708"/>
        <v>0.74349176470588219</v>
      </c>
      <c r="AC165" s="22">
        <f t="shared" ref="AC165:AN171" si="739">+BS165+DI165+EY165</f>
        <v>6800</v>
      </c>
      <c r="AD165" s="22">
        <f t="shared" si="739"/>
        <v>6800</v>
      </c>
      <c r="AE165" s="22">
        <f t="shared" si="739"/>
        <v>6800</v>
      </c>
      <c r="AF165" s="22">
        <f t="shared" si="739"/>
        <v>6800</v>
      </c>
      <c r="AG165" s="22">
        <f t="shared" si="739"/>
        <v>6800</v>
      </c>
      <c r="AH165" s="22">
        <f t="shared" si="739"/>
        <v>6800</v>
      </c>
      <c r="AI165" s="22">
        <f t="shared" si="739"/>
        <v>6800</v>
      </c>
      <c r="AJ165" s="22">
        <f t="shared" si="739"/>
        <v>6800</v>
      </c>
      <c r="AK165" s="22">
        <f t="shared" si="739"/>
        <v>6800</v>
      </c>
      <c r="AL165" s="22">
        <f t="shared" si="739"/>
        <v>6800</v>
      </c>
      <c r="AM165" s="22">
        <f t="shared" si="739"/>
        <v>6800</v>
      </c>
      <c r="AN165" s="22">
        <f t="shared" si="739"/>
        <v>6800</v>
      </c>
      <c r="AO165" s="22">
        <f t="shared" ref="AO165:AO171" si="740">+SUM(AC165:AN165)</f>
        <v>81600</v>
      </c>
      <c r="AQ165" s="106">
        <v>13305.150600000001</v>
      </c>
      <c r="AR165" s="106">
        <v>8311.0220000000008</v>
      </c>
      <c r="AS165" s="106">
        <v>5347.6439999999993</v>
      </c>
      <c r="AT165" s="106">
        <v>8226.83</v>
      </c>
      <c r="AU165" s="106">
        <v>8654.4120000000003</v>
      </c>
      <c r="AV165" s="106">
        <v>6495.8519999999999</v>
      </c>
      <c r="AW165" s="106">
        <v>7429.829999999999</v>
      </c>
      <c r="AX165" s="106">
        <v>3910.5383999999999</v>
      </c>
      <c r="AY165" s="106">
        <v>8233.1898000000001</v>
      </c>
      <c r="AZ165" s="106">
        <v>5839.0775999999996</v>
      </c>
      <c r="BA165" s="106">
        <v>7715.6607999999997</v>
      </c>
      <c r="BB165" s="106">
        <v>13625.031999999999</v>
      </c>
      <c r="BC165" s="106">
        <f t="shared" ref="BC165:BC171" si="741">+SUM(AQ165:BB165)</f>
        <v>97094.239200000011</v>
      </c>
      <c r="BD165" s="16" t="str">
        <f t="shared" si="591"/>
        <v>Fuel Expenses For Company Car</v>
      </c>
      <c r="BE165" s="22">
        <f>+VLOOKUP($BD165,'Jan-25'!$A:$J,4,0)</f>
        <v>10118.851999999999</v>
      </c>
      <c r="BF165" s="22">
        <f>+VLOOKUP($BD165,'Feb-25'!$A:$J,4,0)</f>
        <v>11856.805999999999</v>
      </c>
      <c r="BG165" s="22">
        <f>+VLOOKUP($BD165,'Mar-25'!$A:$J,4,0)</f>
        <v>6091.6180000000004</v>
      </c>
      <c r="BH165" s="22">
        <f>+VLOOKUP($BD165,'Apr-25'!$A:$J,4,0)</f>
        <v>15513.933999999997</v>
      </c>
      <c r="BI165" s="22">
        <f>+VLOOKUP($BD165,'May-25'!$A:$J,4,0)</f>
        <v>9911.6591999999982</v>
      </c>
      <c r="BJ165" s="22">
        <f>+VLOOKUP($BD165,'June-25'!$A:$J,4,0)</f>
        <v>16462.9686</v>
      </c>
      <c r="BK165" s="22">
        <f>+VLOOKUP($BD165,'July-25'!$A:$J,4,0)</f>
        <v>9858.9659999999985</v>
      </c>
      <c r="BL165" s="22">
        <f>+VLOOKUP($BD165,'Aug-25'!$A:$J,4,0)</f>
        <v>13979.535</v>
      </c>
      <c r="BM165" s="22">
        <f>+VLOOKUP($BD165,'Sep-25'!$A:$J,4,0)</f>
        <v>4785.4740000000002</v>
      </c>
      <c r="BN165" s="22">
        <f>+VLOOKUP($BD165,'Oct-25'!$A:$J,4,0)</f>
        <v>10363.114</v>
      </c>
      <c r="BO165" s="22">
        <f>+VLOOKUP($BD165,'Nov-25'!$A:$J,4,0)</f>
        <v>0</v>
      </c>
      <c r="BP165" s="22">
        <f>+VLOOKUP($BD165,'Dec-25'!$A:$J,4,0)</f>
        <v>0</v>
      </c>
      <c r="BQ165" s="22">
        <f t="shared" ref="BQ165:BQ171" si="742">+SUM(BE165:BP165)</f>
        <v>108942.92679999999</v>
      </c>
      <c r="BR165" s="118">
        <f t="shared" si="713"/>
        <v>0.78674379310344822</v>
      </c>
      <c r="BS165" s="106">
        <f>+_xlfn.XLOOKUP($BD165,Budget!$A:$A,Budget!AQ:AQ)</f>
        <v>5800</v>
      </c>
      <c r="BT165" s="106">
        <f>+_xlfn.XLOOKUP($BD165,Budget!$A:$A,Budget!AR:AR)</f>
        <v>5800</v>
      </c>
      <c r="BU165" s="106">
        <f>+_xlfn.XLOOKUP($BD165,Budget!$A:$A,Budget!AS:AS)</f>
        <v>5800</v>
      </c>
      <c r="BV165" s="106">
        <f>+_xlfn.XLOOKUP($BD165,Budget!$A:$A,Budget!AT:AT)</f>
        <v>5800</v>
      </c>
      <c r="BW165" s="106">
        <f>+_xlfn.XLOOKUP($BD165,Budget!$A:$A,Budget!AU:AU)</f>
        <v>5800</v>
      </c>
      <c r="BX165" s="106">
        <f>+_xlfn.XLOOKUP($BD165,Budget!$A:$A,Budget!AV:AV)</f>
        <v>5800</v>
      </c>
      <c r="BY165" s="106">
        <f>+_xlfn.XLOOKUP($BD165,Budget!$A:$A,Budget!AW:AW)</f>
        <v>5800</v>
      </c>
      <c r="BZ165" s="106">
        <f>+_xlfn.XLOOKUP($BD165,Budget!$A:$A,Budget!AX:AX)</f>
        <v>5800</v>
      </c>
      <c r="CA165" s="106">
        <f>+_xlfn.XLOOKUP($BD165,Budget!$A:$A,Budget!AY:AY)</f>
        <v>5800</v>
      </c>
      <c r="CB165" s="106">
        <f>+_xlfn.XLOOKUP($BD165,Budget!$A:$A,Budget!AZ:AZ)</f>
        <v>5800</v>
      </c>
      <c r="CC165" s="106">
        <f>+_xlfn.XLOOKUP($BD165,Budget!$A:$A,Budget!BA:BA)</f>
        <v>5800</v>
      </c>
      <c r="CD165" s="106">
        <f>+_xlfn.XLOOKUP($BD165,Budget!$A:$A,Budget!BB:BB)</f>
        <v>5800</v>
      </c>
      <c r="CE165" s="106">
        <f t="shared" ref="CE165:CE171" si="743">+SUM(BS165:CD165)</f>
        <v>69600</v>
      </c>
      <c r="CF165" s="22"/>
      <c r="CG165" s="22">
        <v>2640.2222999999999</v>
      </c>
      <c r="CH165" s="22">
        <v>1763.346</v>
      </c>
      <c r="CI165" s="22">
        <v>1565.36</v>
      </c>
      <c r="CJ165" s="22">
        <v>1310.45</v>
      </c>
      <c r="CK165" s="22">
        <v>945</v>
      </c>
      <c r="CL165" s="22">
        <v>2297.3039999999996</v>
      </c>
      <c r="CM165" s="22">
        <v>659.81099999999992</v>
      </c>
      <c r="CN165" s="22">
        <v>882.5652</v>
      </c>
      <c r="CO165" s="22">
        <v>1206.6398999999999</v>
      </c>
      <c r="CP165" s="22">
        <v>1796.0507999999998</v>
      </c>
      <c r="CQ165" s="22">
        <v>2723.5054</v>
      </c>
      <c r="CR165" s="22">
        <v>5858.1280000000006</v>
      </c>
      <c r="CS165" s="106">
        <f t="shared" ref="CS165:CS171" si="744">+SUM(CG165:CR165)</f>
        <v>23648.382600000001</v>
      </c>
      <c r="CT165" s="16" t="str">
        <f t="shared" si="595"/>
        <v>Fuel Expenses For Company Car</v>
      </c>
      <c r="CU165" s="22">
        <f>+VLOOKUP($BD165,'Jan-25'!$A:$J,7,0)</f>
        <v>1773.12</v>
      </c>
      <c r="CV165" s="22">
        <f>+VLOOKUP($BD165,'Feb-25'!$A:$J,7,0)</f>
        <v>3330.3599999999997</v>
      </c>
      <c r="CW165" s="22">
        <f>+VLOOKUP($BD165,'Mar-25'!$A:$J,7,0)</f>
        <v>0</v>
      </c>
      <c r="CX165" s="22">
        <f>+VLOOKUP($BD165,'Apr-25'!$A:$J,7,0)</f>
        <v>2642.07</v>
      </c>
      <c r="CY165" s="22">
        <f>+VLOOKUP($BD165,'May-25'!$A:$J,7,0)</f>
        <v>3457.0275999999994</v>
      </c>
      <c r="CZ165" s="22">
        <f>+VLOOKUP($BD165,'June-25'!$A:$J,7,0)</f>
        <v>4007.8052999999995</v>
      </c>
      <c r="DA165" s="22">
        <f>+VLOOKUP($BD165,'July-25'!$A:$J,7,0)</f>
        <v>2286.7199999999998</v>
      </c>
      <c r="DB165" s="22">
        <f>+VLOOKUP($BD165,'Aug-25'!$A:$J,7,0)</f>
        <v>7263.2564999999995</v>
      </c>
      <c r="DC165" s="22">
        <f>+VLOOKUP($BD165,'Sep-25'!$A:$J,7,0)</f>
        <v>1351.27</v>
      </c>
      <c r="DD165" s="22">
        <f>+VLOOKUP($BD165,'Oct-25'!$A:$J,7,0)</f>
        <v>1492.63</v>
      </c>
      <c r="DE165" s="22">
        <f>+VLOOKUP($BD165,'Nov-25'!$A:$J,7,0)</f>
        <v>0</v>
      </c>
      <c r="DF165" s="22">
        <f>+VLOOKUP($BD165,'Dec-25'!$A:$J,7,0)</f>
        <v>0</v>
      </c>
      <c r="DG165" s="22">
        <f t="shared" ref="DG165:DG171" si="745">+SUM(CU165:DF165)</f>
        <v>27604.259399999999</v>
      </c>
      <c r="DH165" s="118">
        <f t="shared" si="717"/>
        <v>0.49263000000000012</v>
      </c>
      <c r="DI165" s="22">
        <f>+_xlfn.XLOOKUP($CT165,Budget!$A:$A,Budget!CD:CD)</f>
        <v>1000</v>
      </c>
      <c r="DJ165" s="22">
        <f>+_xlfn.XLOOKUP($CT165,Budget!$A:$A,Budget!CE:CE)</f>
        <v>1000</v>
      </c>
      <c r="DK165" s="22">
        <f>+_xlfn.XLOOKUP($CT165,Budget!$A:$A,Budget!CF:CF)</f>
        <v>1000</v>
      </c>
      <c r="DL165" s="22">
        <f>+_xlfn.XLOOKUP($CT165,Budget!$A:$A,Budget!CG:CG)</f>
        <v>1000</v>
      </c>
      <c r="DM165" s="22">
        <f>+_xlfn.XLOOKUP($CT165,Budget!$A:$A,Budget!CH:CH)</f>
        <v>1000</v>
      </c>
      <c r="DN165" s="22">
        <f>+_xlfn.XLOOKUP($CT165,Budget!$A:$A,Budget!CI:CI)</f>
        <v>1000</v>
      </c>
      <c r="DO165" s="22">
        <f>+_xlfn.XLOOKUP($CT165,Budget!$A:$A,Budget!CJ:CJ)</f>
        <v>1000</v>
      </c>
      <c r="DP165" s="22">
        <f>+_xlfn.XLOOKUP($CT165,Budget!$A:$A,Budget!CK:CK)</f>
        <v>1000</v>
      </c>
      <c r="DQ165" s="22">
        <f>+_xlfn.XLOOKUP($CT165,Budget!$A:$A,Budget!CL:CL)</f>
        <v>1000</v>
      </c>
      <c r="DR165" s="22">
        <f>+_xlfn.XLOOKUP($CT165,Budget!$A:$A,Budget!CM:CM)</f>
        <v>1000</v>
      </c>
      <c r="DS165" s="22">
        <f>+_xlfn.XLOOKUP($CT165,Budget!$A:$A,Budget!CN:CN)</f>
        <v>1000</v>
      </c>
      <c r="DT165" s="22">
        <f>+_xlfn.XLOOKUP($CT165,Budget!$A:$A,Budget!CO:CO)</f>
        <v>1000</v>
      </c>
      <c r="DU165" s="106">
        <f t="shared" ref="DU165:DU171" si="746">+SUM(DI165:DT165)</f>
        <v>12000</v>
      </c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106">
        <f t="shared" ref="EI165:EI171" si="747">+SUM(DW165:EH165)</f>
        <v>0</v>
      </c>
      <c r="EJ165" s="16" t="str">
        <f t="shared" si="601"/>
        <v>Fuel Expenses For Company Car</v>
      </c>
      <c r="EK165" s="22">
        <f>+VLOOKUP($BD165,'Jan-25'!$A:$J,9,0)</f>
        <v>6463</v>
      </c>
      <c r="EL165" s="22">
        <f>+VLOOKUP($BD165,'Feb-25'!$A:$J,9,0)</f>
        <v>0</v>
      </c>
      <c r="EM165" s="22">
        <f>+VLOOKUP($BD165,'Mar-25'!$A:$J,9,0)</f>
        <v>0</v>
      </c>
      <c r="EN165" s="22">
        <f>+VLOOKUP($BD165,'Apr-25'!$A:$J,9,0)</f>
        <v>0</v>
      </c>
      <c r="EO165" s="22">
        <f>+VLOOKUP($BD165,'May-25'!$A:$J,9,0)</f>
        <v>0</v>
      </c>
      <c r="EP165" s="22">
        <f>+VLOOKUP($BD165,'June-25'!$A:$J,9,0)</f>
        <v>0</v>
      </c>
      <c r="EQ165" s="22">
        <f>+VLOOKUP($BD165,'July-25'!$A:$J,9,0)</f>
        <v>0</v>
      </c>
      <c r="ER165" s="22">
        <f>+VLOOKUP($BD165,'Aug-25'!$A:$J,9,0)</f>
        <v>0</v>
      </c>
      <c r="ES165" s="22">
        <f>+VLOOKUP($BD165,'Sep-25'!$A:$J,9,0)</f>
        <v>0</v>
      </c>
      <c r="ET165" s="22">
        <f>+VLOOKUP($BD165,'Oct-25'!$A:$J,9,0)</f>
        <v>0</v>
      </c>
      <c r="EU165" s="22">
        <f>+VLOOKUP($BD165,'Nov-25'!$A:$J,9,0)</f>
        <v>0</v>
      </c>
      <c r="EV165" s="22">
        <f>+VLOOKUP($BD165,'Dec-25'!$A:$J,9,0)</f>
        <v>0</v>
      </c>
      <c r="EW165" s="22">
        <f t="shared" ref="EW165:EW171" si="748">+SUM(EK165:EV165)</f>
        <v>6463</v>
      </c>
      <c r="EX165" s="118">
        <f t="shared" si="721"/>
        <v>0</v>
      </c>
      <c r="EY165" s="22">
        <f>+_xlfn.XLOOKUP($EJ165,Budget!$A:$A,Budget!DE:DE)</f>
        <v>0</v>
      </c>
      <c r="EZ165" s="22">
        <f>+_xlfn.XLOOKUP($EJ165,Budget!$A:$A,Budget!DF:DF)</f>
        <v>0</v>
      </c>
      <c r="FA165" s="22">
        <f>+_xlfn.XLOOKUP($EJ165,Budget!$A:$A,Budget!DG:DG)</f>
        <v>0</v>
      </c>
      <c r="FB165" s="22">
        <f>+_xlfn.XLOOKUP($EJ165,Budget!$A:$A,Budget!DH:DH)</f>
        <v>0</v>
      </c>
      <c r="FC165" s="22">
        <f>+_xlfn.XLOOKUP($EJ165,Budget!$A:$A,Budget!DI:DI)</f>
        <v>0</v>
      </c>
      <c r="FD165" s="22">
        <f>+_xlfn.XLOOKUP($EJ165,Budget!$A:$A,Budget!DJ:DJ)</f>
        <v>0</v>
      </c>
      <c r="FE165" s="22">
        <f>+_xlfn.XLOOKUP($EJ165,Budget!$A:$A,Budget!DK:DK)</f>
        <v>0</v>
      </c>
      <c r="FF165" s="22">
        <f>+_xlfn.XLOOKUP($EJ165,Budget!$A:$A,Budget!DL:DL)</f>
        <v>0</v>
      </c>
      <c r="FG165" s="22">
        <f>+_xlfn.XLOOKUP($EJ165,Budget!$A:$A,Budget!DM:DM)</f>
        <v>0</v>
      </c>
      <c r="FH165" s="22">
        <f>+_xlfn.XLOOKUP($EJ165,Budget!$A:$A,Budget!DN:DN)</f>
        <v>0</v>
      </c>
      <c r="FI165" s="22">
        <f>+_xlfn.XLOOKUP($EJ165,Budget!$A:$A,Budget!DO:DO)</f>
        <v>0</v>
      </c>
      <c r="FJ165" s="22">
        <f>+_xlfn.XLOOKUP($EJ165,Budget!$A:$A,Budget!DP:DP)</f>
        <v>0</v>
      </c>
      <c r="FK165" s="106">
        <f t="shared" ref="FK165:FK171" si="749">+SUM(EY165:FJ165)</f>
        <v>0</v>
      </c>
    </row>
    <row r="166" spans="1:167" ht="14.45" hidden="1" customHeight="1" outlineLevel="2">
      <c r="A166" s="106">
        <f t="shared" si="735"/>
        <v>66303.51999999999</v>
      </c>
      <c r="B166" s="106">
        <f t="shared" si="735"/>
        <v>51000.94</v>
      </c>
      <c r="C166" s="106">
        <f t="shared" si="735"/>
        <v>64811.92</v>
      </c>
      <c r="D166" s="106">
        <f t="shared" si="735"/>
        <v>35704.589999999997</v>
      </c>
      <c r="E166" s="106">
        <f t="shared" si="735"/>
        <v>88982.487999999998</v>
      </c>
      <c r="F166" s="106">
        <f t="shared" si="735"/>
        <v>44491.71</v>
      </c>
      <c r="G166" s="106">
        <f t="shared" si="735"/>
        <v>122024.51000000001</v>
      </c>
      <c r="H166" s="106">
        <f t="shared" si="735"/>
        <v>70442.509999999995</v>
      </c>
      <c r="I166" s="106">
        <f t="shared" si="735"/>
        <v>63336.869999999995</v>
      </c>
      <c r="J166" s="106">
        <f t="shared" si="735"/>
        <v>36108.86</v>
      </c>
      <c r="K166" s="106">
        <f t="shared" si="735"/>
        <v>62299.61</v>
      </c>
      <c r="L166" s="106">
        <f t="shared" si="735"/>
        <v>76872.52</v>
      </c>
      <c r="M166" s="106">
        <f t="shared" si="736"/>
        <v>782380.04799999995</v>
      </c>
      <c r="N166" s="16" t="s">
        <v>138</v>
      </c>
      <c r="O166" s="22">
        <f t="shared" si="737"/>
        <v>42631.53</v>
      </c>
      <c r="P166" s="22">
        <f t="shared" si="737"/>
        <v>39062.119999999995</v>
      </c>
      <c r="Q166" s="22">
        <f t="shared" si="737"/>
        <v>29040.97</v>
      </c>
      <c r="R166" s="22">
        <f t="shared" si="737"/>
        <v>56939.97</v>
      </c>
      <c r="S166" s="22">
        <f t="shared" si="737"/>
        <v>51867.79</v>
      </c>
      <c r="T166" s="22">
        <f t="shared" si="737"/>
        <v>76730.02</v>
      </c>
      <c r="U166" s="22">
        <f t="shared" si="737"/>
        <v>53646.85</v>
      </c>
      <c r="V166" s="22">
        <f t="shared" si="737"/>
        <v>63823.59</v>
      </c>
      <c r="W166" s="22">
        <f t="shared" si="737"/>
        <v>53642.23</v>
      </c>
      <c r="X166" s="22">
        <f t="shared" si="737"/>
        <v>169161</v>
      </c>
      <c r="Y166" s="22">
        <f t="shared" si="737"/>
        <v>0</v>
      </c>
      <c r="Z166" s="22">
        <f t="shared" si="737"/>
        <v>0</v>
      </c>
      <c r="AA166" s="22">
        <f t="shared" si="738"/>
        <v>636546.06999999995</v>
      </c>
      <c r="AB166" s="118">
        <f t="shared" si="708"/>
        <v>1.6464486858573217</v>
      </c>
      <c r="AC166" s="22">
        <f t="shared" si="739"/>
        <v>63920</v>
      </c>
      <c r="AD166" s="22">
        <f t="shared" si="739"/>
        <v>63920</v>
      </c>
      <c r="AE166" s="22">
        <f t="shared" si="739"/>
        <v>63920</v>
      </c>
      <c r="AF166" s="22">
        <f t="shared" si="739"/>
        <v>63920</v>
      </c>
      <c r="AG166" s="22">
        <f t="shared" si="739"/>
        <v>63920</v>
      </c>
      <c r="AH166" s="22">
        <f t="shared" si="739"/>
        <v>63920</v>
      </c>
      <c r="AI166" s="22">
        <f t="shared" si="739"/>
        <v>63920</v>
      </c>
      <c r="AJ166" s="22">
        <f t="shared" si="739"/>
        <v>63920</v>
      </c>
      <c r="AK166" s="22">
        <f t="shared" si="739"/>
        <v>63920</v>
      </c>
      <c r="AL166" s="22">
        <f t="shared" si="739"/>
        <v>63920</v>
      </c>
      <c r="AM166" s="22">
        <f t="shared" si="739"/>
        <v>63920</v>
      </c>
      <c r="AN166" s="22">
        <f t="shared" si="739"/>
        <v>63920</v>
      </c>
      <c r="AO166" s="22">
        <f t="shared" si="740"/>
        <v>767040</v>
      </c>
      <c r="AQ166" s="106">
        <v>33505.699999999997</v>
      </c>
      <c r="AR166" s="106">
        <v>24229.19</v>
      </c>
      <c r="AS166" s="106">
        <v>39237.46</v>
      </c>
      <c r="AT166" s="106">
        <v>13988.41</v>
      </c>
      <c r="AU166" s="106">
        <v>61270.267999999996</v>
      </c>
      <c r="AV166" s="106">
        <v>15054.72</v>
      </c>
      <c r="AW166" s="106">
        <v>78936.11</v>
      </c>
      <c r="AX166" s="106">
        <v>34968.879999999997</v>
      </c>
      <c r="AY166" s="106">
        <v>35915</v>
      </c>
      <c r="AZ166" s="106">
        <v>13636.01</v>
      </c>
      <c r="BA166" s="106">
        <v>43230.02</v>
      </c>
      <c r="BB166" s="106">
        <v>51251.01</v>
      </c>
      <c r="BC166" s="106">
        <f t="shared" si="741"/>
        <v>445222.77800000005</v>
      </c>
      <c r="BD166" s="16" t="str">
        <f t="shared" si="591"/>
        <v>Fuel Expenses For Courtesy Car</v>
      </c>
      <c r="BE166" s="22">
        <f>+VLOOKUP($BD166,'Jan-25'!$A:$J,4,0)</f>
        <v>19298.580000000002</v>
      </c>
      <c r="BF166" s="22">
        <f>+VLOOKUP($BD166,'Feb-25'!$A:$J,4,0)</f>
        <v>30825.119999999999</v>
      </c>
      <c r="BG166" s="22">
        <f>+VLOOKUP($BD166,'Mar-25'!$A:$J,4,0)</f>
        <v>28040.97</v>
      </c>
      <c r="BH166" s="22">
        <f>+VLOOKUP($BD166,'Apr-25'!$A:$J,4,0)</f>
        <v>30749.519999999997</v>
      </c>
      <c r="BI166" s="22">
        <f>+VLOOKUP($BD166,'May-25'!$A:$J,4,0)</f>
        <v>31383</v>
      </c>
      <c r="BJ166" s="22">
        <f>+VLOOKUP($BD166,'June-25'!$A:$J,4,0)</f>
        <v>51965.279999999999</v>
      </c>
      <c r="BK166" s="22">
        <f>+VLOOKUP($BD166,'July-25'!$A:$J,4,0)</f>
        <v>29893.66</v>
      </c>
      <c r="BL166" s="22">
        <f>+VLOOKUP($BD166,'Aug-25'!$A:$J,4,0)</f>
        <v>44454.6</v>
      </c>
      <c r="BM166" s="22">
        <f>+VLOOKUP($BD166,'Sep-25'!$A:$J,4,0)</f>
        <v>20855.150000000001</v>
      </c>
      <c r="BN166" s="22">
        <f>+VLOOKUP($BD166,'Oct-25'!$A:$J,4,0)</f>
        <v>100296.59999999999</v>
      </c>
      <c r="BO166" s="22">
        <f>+VLOOKUP($BD166,'Nov-25'!$A:$J,4,0)</f>
        <v>0</v>
      </c>
      <c r="BP166" s="22">
        <f>+VLOOKUP($BD166,'Dec-25'!$A:$J,4,0)</f>
        <v>0</v>
      </c>
      <c r="BQ166" s="22">
        <f t="shared" si="742"/>
        <v>387762.48</v>
      </c>
      <c r="BR166" s="118">
        <f t="shared" si="713"/>
        <v>1.6191660863509745</v>
      </c>
      <c r="BS166" s="106">
        <f>+_xlfn.XLOOKUP($BD166,Budget!$A:$A,Budget!AQ:AQ)</f>
        <v>38293.333333333336</v>
      </c>
      <c r="BT166" s="106">
        <f>+_xlfn.XLOOKUP($BD166,Budget!$A:$A,Budget!AR:AR)</f>
        <v>38293.333333333336</v>
      </c>
      <c r="BU166" s="106">
        <f>+_xlfn.XLOOKUP($BD166,Budget!$A:$A,Budget!AS:AS)</f>
        <v>38293.333333333336</v>
      </c>
      <c r="BV166" s="106">
        <f>+_xlfn.XLOOKUP($BD166,Budget!$A:$A,Budget!AT:AT)</f>
        <v>38293.333333333336</v>
      </c>
      <c r="BW166" s="106">
        <f>+_xlfn.XLOOKUP($BD166,Budget!$A:$A,Budget!AU:AU)</f>
        <v>38293.333333333336</v>
      </c>
      <c r="BX166" s="106">
        <f>+_xlfn.XLOOKUP($BD166,Budget!$A:$A,Budget!AV:AV)</f>
        <v>38293.333333333336</v>
      </c>
      <c r="BY166" s="106">
        <f>+_xlfn.XLOOKUP($BD166,Budget!$A:$A,Budget!AW:AW)</f>
        <v>38293.333333333336</v>
      </c>
      <c r="BZ166" s="106">
        <f>+_xlfn.XLOOKUP($BD166,Budget!$A:$A,Budget!AX:AX)</f>
        <v>38293.333333333336</v>
      </c>
      <c r="CA166" s="106">
        <f>+_xlfn.XLOOKUP($BD166,Budget!$A:$A,Budget!AY:AY)</f>
        <v>38293.333333333336</v>
      </c>
      <c r="CB166" s="106">
        <f>+_xlfn.XLOOKUP($BD166,Budget!$A:$A,Budget!AZ:AZ)</f>
        <v>38293.333333333336</v>
      </c>
      <c r="CC166" s="106">
        <f>+_xlfn.XLOOKUP($BD166,Budget!$A:$A,Budget!BA:BA)</f>
        <v>38293.333333333336</v>
      </c>
      <c r="CD166" s="106">
        <f>+_xlfn.XLOOKUP($BD166,Budget!$A:$A,Budget!BB:BB)</f>
        <v>38293.333333333336</v>
      </c>
      <c r="CE166" s="106">
        <f t="shared" si="743"/>
        <v>459519.99999999994</v>
      </c>
      <c r="CF166" s="22"/>
      <c r="CG166" s="22">
        <v>32797.82</v>
      </c>
      <c r="CH166" s="22">
        <v>26771.75</v>
      </c>
      <c r="CI166" s="22">
        <v>25574.46</v>
      </c>
      <c r="CJ166" s="22">
        <v>21716.18</v>
      </c>
      <c r="CK166" s="22">
        <v>27712.22</v>
      </c>
      <c r="CL166" s="22">
        <v>29436.99</v>
      </c>
      <c r="CM166" s="22">
        <v>43088.4</v>
      </c>
      <c r="CN166" s="22">
        <v>35473.629999999997</v>
      </c>
      <c r="CO166" s="22">
        <v>27421.87</v>
      </c>
      <c r="CP166" s="22">
        <v>22472.85</v>
      </c>
      <c r="CQ166" s="22">
        <v>19069.59</v>
      </c>
      <c r="CR166" s="22">
        <v>25621.51</v>
      </c>
      <c r="CS166" s="106">
        <f t="shared" si="744"/>
        <v>337157.27</v>
      </c>
      <c r="CT166" s="16" t="str">
        <f t="shared" si="595"/>
        <v>Fuel Expenses For Courtesy Car</v>
      </c>
      <c r="CU166" s="22">
        <f>+VLOOKUP($BD166,'Jan-25'!$A:$J,7,0)</f>
        <v>23332.95</v>
      </c>
      <c r="CV166" s="22">
        <f>+VLOOKUP($BD166,'Feb-25'!$A:$J,7,0)</f>
        <v>0</v>
      </c>
      <c r="CW166" s="22">
        <f>+VLOOKUP($BD166,'Mar-25'!$A:$J,7,0)</f>
        <v>1000</v>
      </c>
      <c r="CX166" s="22">
        <f>+VLOOKUP($BD166,'Apr-25'!$A:$J,7,0)</f>
        <v>17028.45</v>
      </c>
      <c r="CY166" s="22">
        <f>+VLOOKUP($BD166,'May-25'!$A:$J,7,0)</f>
        <v>20484.79</v>
      </c>
      <c r="CZ166" s="22">
        <f>+VLOOKUP($BD166,'June-25'!$A:$J,7,0)</f>
        <v>24764.74</v>
      </c>
      <c r="DA166" s="22">
        <f>+VLOOKUP($BD166,'July-25'!$A:$J,7,0)</f>
        <v>23753.19</v>
      </c>
      <c r="DB166" s="22">
        <f>+VLOOKUP($BD166,'Aug-25'!$A:$J,7,0)</f>
        <v>19368.990000000002</v>
      </c>
      <c r="DC166" s="22">
        <f>+VLOOKUP($BD166,'Sep-25'!$A:$J,7,0)</f>
        <v>32787.08</v>
      </c>
      <c r="DD166" s="22">
        <f>+VLOOKUP($BD166,'Oct-25'!$A:$J,7,0)</f>
        <v>66864.400000000009</v>
      </c>
      <c r="DE166" s="22">
        <f>+VLOOKUP($BD166,'Nov-25'!$A:$J,7,0)</f>
        <v>0</v>
      </c>
      <c r="DF166" s="22">
        <f>+VLOOKUP($BD166,'Dec-25'!$A:$J,7,0)</f>
        <v>0</v>
      </c>
      <c r="DG166" s="22">
        <f t="shared" si="745"/>
        <v>229384.59000000003</v>
      </c>
      <c r="DH166" s="118">
        <f t="shared" si="717"/>
        <v>1.6091727367325708</v>
      </c>
      <c r="DI166" s="22">
        <f>+_xlfn.XLOOKUP($CT166,Budget!$A:$A,Budget!CD:CD)</f>
        <v>25626.666666666664</v>
      </c>
      <c r="DJ166" s="22">
        <f>+_xlfn.XLOOKUP($CT166,Budget!$A:$A,Budget!CE:CE)</f>
        <v>25626.666666666664</v>
      </c>
      <c r="DK166" s="22">
        <f>+_xlfn.XLOOKUP($CT166,Budget!$A:$A,Budget!CF:CF)</f>
        <v>25626.666666666664</v>
      </c>
      <c r="DL166" s="22">
        <f>+_xlfn.XLOOKUP($CT166,Budget!$A:$A,Budget!CG:CG)</f>
        <v>25626.666666666664</v>
      </c>
      <c r="DM166" s="22">
        <f>+_xlfn.XLOOKUP($CT166,Budget!$A:$A,Budget!CH:CH)</f>
        <v>25626.666666666664</v>
      </c>
      <c r="DN166" s="22">
        <f>+_xlfn.XLOOKUP($CT166,Budget!$A:$A,Budget!CI:CI)</f>
        <v>25626.666666666664</v>
      </c>
      <c r="DO166" s="22">
        <f>+_xlfn.XLOOKUP($CT166,Budget!$A:$A,Budget!CJ:CJ)</f>
        <v>25626.666666666664</v>
      </c>
      <c r="DP166" s="22">
        <f>+_xlfn.XLOOKUP($CT166,Budget!$A:$A,Budget!CK:CK)</f>
        <v>25626.666666666664</v>
      </c>
      <c r="DQ166" s="22">
        <f>+_xlfn.XLOOKUP($CT166,Budget!$A:$A,Budget!CL:CL)</f>
        <v>25626.666666666664</v>
      </c>
      <c r="DR166" s="22">
        <f>+_xlfn.XLOOKUP($CT166,Budget!$A:$A,Budget!CM:CM)</f>
        <v>25626.666666666664</v>
      </c>
      <c r="DS166" s="22">
        <f>+_xlfn.XLOOKUP($CT166,Budget!$A:$A,Budget!CN:CN)</f>
        <v>25626.666666666664</v>
      </c>
      <c r="DT166" s="22">
        <f>+_xlfn.XLOOKUP($CT166,Budget!$A:$A,Budget!CO:CO)</f>
        <v>25626.666666666664</v>
      </c>
      <c r="DU166" s="106">
        <f t="shared" si="746"/>
        <v>307519.99999999994</v>
      </c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106">
        <f t="shared" si="747"/>
        <v>0</v>
      </c>
      <c r="EJ166" s="16" t="str">
        <f t="shared" si="601"/>
        <v>Fuel Expenses For Courtesy Car</v>
      </c>
      <c r="EK166" s="22">
        <f>+VLOOKUP($BD166,'Jan-25'!$A:$J,9,0)</f>
        <v>0</v>
      </c>
      <c r="EL166" s="22">
        <f>+VLOOKUP($BD166,'Feb-25'!$A:$J,9,0)</f>
        <v>8237</v>
      </c>
      <c r="EM166" s="22">
        <f>+VLOOKUP($BD166,'Mar-25'!$A:$J,9,0)</f>
        <v>0</v>
      </c>
      <c r="EN166" s="22">
        <f>+VLOOKUP($BD166,'Apr-25'!$A:$J,9,0)</f>
        <v>9162</v>
      </c>
      <c r="EO166" s="22">
        <f>+VLOOKUP($BD166,'May-25'!$A:$J,9,0)</f>
        <v>0</v>
      </c>
      <c r="EP166" s="22">
        <f>+VLOOKUP($BD166,'June-25'!$A:$J,9,0)</f>
        <v>0</v>
      </c>
      <c r="EQ166" s="22">
        <f>+VLOOKUP($BD166,'July-25'!$A:$J,9,0)</f>
        <v>0</v>
      </c>
      <c r="ER166" s="22">
        <f>+VLOOKUP($BD166,'Aug-25'!$A:$J,9,0)</f>
        <v>0</v>
      </c>
      <c r="ES166" s="22">
        <f>+VLOOKUP($BD166,'Sep-25'!$A:$J,9,0)</f>
        <v>0</v>
      </c>
      <c r="ET166" s="22">
        <f>+VLOOKUP($BD166,'Oct-25'!$A:$J,9,0)</f>
        <v>2000</v>
      </c>
      <c r="EU166" s="22">
        <f>+VLOOKUP($BD166,'Nov-25'!$A:$J,9,0)</f>
        <v>0</v>
      </c>
      <c r="EV166" s="22">
        <f>+VLOOKUP($BD166,'Dec-25'!$A:$J,9,0)</f>
        <v>0</v>
      </c>
      <c r="EW166" s="22">
        <f t="shared" si="748"/>
        <v>19399</v>
      </c>
      <c r="EX166" s="118">
        <f t="shared" si="721"/>
        <v>0</v>
      </c>
      <c r="EY166" s="22">
        <f>+_xlfn.XLOOKUP($EJ166,Budget!$A:$A,Budget!DE:DE)</f>
        <v>0</v>
      </c>
      <c r="EZ166" s="22">
        <f>+_xlfn.XLOOKUP($EJ166,Budget!$A:$A,Budget!DF:DF)</f>
        <v>0</v>
      </c>
      <c r="FA166" s="22">
        <f>+_xlfn.XLOOKUP($EJ166,Budget!$A:$A,Budget!DG:DG)</f>
        <v>0</v>
      </c>
      <c r="FB166" s="22">
        <f>+_xlfn.XLOOKUP($EJ166,Budget!$A:$A,Budget!DH:DH)</f>
        <v>0</v>
      </c>
      <c r="FC166" s="22">
        <f>+_xlfn.XLOOKUP($EJ166,Budget!$A:$A,Budget!DI:DI)</f>
        <v>0</v>
      </c>
      <c r="FD166" s="22">
        <f>+_xlfn.XLOOKUP($EJ166,Budget!$A:$A,Budget!DJ:DJ)</f>
        <v>0</v>
      </c>
      <c r="FE166" s="22">
        <f>+_xlfn.XLOOKUP($EJ166,Budget!$A:$A,Budget!DK:DK)</f>
        <v>0</v>
      </c>
      <c r="FF166" s="22">
        <f>+_xlfn.XLOOKUP($EJ166,Budget!$A:$A,Budget!DL:DL)</f>
        <v>0</v>
      </c>
      <c r="FG166" s="22">
        <f>+_xlfn.XLOOKUP($EJ166,Budget!$A:$A,Budget!DM:DM)</f>
        <v>0</v>
      </c>
      <c r="FH166" s="22">
        <f>+_xlfn.XLOOKUP($EJ166,Budget!$A:$A,Budget!DN:DN)</f>
        <v>0</v>
      </c>
      <c r="FI166" s="22">
        <f>+_xlfn.XLOOKUP($EJ166,Budget!$A:$A,Budget!DO:DO)</f>
        <v>0</v>
      </c>
      <c r="FJ166" s="22">
        <f>+_xlfn.XLOOKUP($EJ166,Budget!$A:$A,Budget!DP:DP)</f>
        <v>0</v>
      </c>
      <c r="FK166" s="106">
        <f t="shared" si="749"/>
        <v>0</v>
      </c>
    </row>
    <row r="167" spans="1:167" ht="14.45" hidden="1" customHeight="1" outlineLevel="2">
      <c r="A167" s="106">
        <f t="shared" si="735"/>
        <v>0</v>
      </c>
      <c r="B167" s="106">
        <f t="shared" si="735"/>
        <v>0</v>
      </c>
      <c r="C167" s="106">
        <f t="shared" si="735"/>
        <v>0</v>
      </c>
      <c r="D167" s="106">
        <f t="shared" si="735"/>
        <v>0</v>
      </c>
      <c r="E167" s="106">
        <f t="shared" si="735"/>
        <v>0</v>
      </c>
      <c r="F167" s="106">
        <f t="shared" si="735"/>
        <v>0</v>
      </c>
      <c r="G167" s="106">
        <f t="shared" si="735"/>
        <v>0</v>
      </c>
      <c r="H167" s="106">
        <f t="shared" si="735"/>
        <v>0</v>
      </c>
      <c r="I167" s="106">
        <f t="shared" si="735"/>
        <v>0</v>
      </c>
      <c r="J167" s="106">
        <f t="shared" si="735"/>
        <v>0</v>
      </c>
      <c r="K167" s="106">
        <f t="shared" si="735"/>
        <v>437.97</v>
      </c>
      <c r="L167" s="106">
        <f t="shared" si="735"/>
        <v>0</v>
      </c>
      <c r="M167" s="106">
        <f t="shared" si="736"/>
        <v>437.97</v>
      </c>
      <c r="N167" s="16" t="s">
        <v>139</v>
      </c>
      <c r="O167" s="22">
        <f t="shared" si="737"/>
        <v>0</v>
      </c>
      <c r="P167" s="22">
        <f t="shared" si="737"/>
        <v>0</v>
      </c>
      <c r="Q167" s="22">
        <f t="shared" si="737"/>
        <v>0</v>
      </c>
      <c r="R167" s="22">
        <f t="shared" si="737"/>
        <v>0</v>
      </c>
      <c r="S167" s="22">
        <f t="shared" si="737"/>
        <v>0</v>
      </c>
      <c r="T167" s="22">
        <f t="shared" si="737"/>
        <v>0</v>
      </c>
      <c r="U167" s="22">
        <f t="shared" si="737"/>
        <v>0</v>
      </c>
      <c r="V167" s="22">
        <f t="shared" si="737"/>
        <v>0</v>
      </c>
      <c r="W167" s="22">
        <f t="shared" si="737"/>
        <v>0</v>
      </c>
      <c r="X167" s="22">
        <f t="shared" si="737"/>
        <v>0</v>
      </c>
      <c r="Y167" s="22">
        <f t="shared" si="737"/>
        <v>0</v>
      </c>
      <c r="Z167" s="22">
        <f t="shared" si="737"/>
        <v>0</v>
      </c>
      <c r="AA167" s="22">
        <f t="shared" si="738"/>
        <v>0</v>
      </c>
      <c r="AB167" s="118">
        <f t="shared" si="708"/>
        <v>0</v>
      </c>
      <c r="AC167" s="22">
        <f t="shared" si="739"/>
        <v>0</v>
      </c>
      <c r="AD167" s="22">
        <f t="shared" si="739"/>
        <v>0</v>
      </c>
      <c r="AE167" s="22">
        <f t="shared" si="739"/>
        <v>0</v>
      </c>
      <c r="AF167" s="22">
        <f t="shared" si="739"/>
        <v>0</v>
      </c>
      <c r="AG167" s="22">
        <f t="shared" si="739"/>
        <v>0</v>
      </c>
      <c r="AH167" s="22">
        <f t="shared" si="739"/>
        <v>0</v>
      </c>
      <c r="AI167" s="22">
        <f t="shared" si="739"/>
        <v>0</v>
      </c>
      <c r="AJ167" s="22">
        <f t="shared" si="739"/>
        <v>0</v>
      </c>
      <c r="AK167" s="22">
        <f t="shared" si="739"/>
        <v>0</v>
      </c>
      <c r="AL167" s="22">
        <f t="shared" si="739"/>
        <v>0</v>
      </c>
      <c r="AM167" s="22">
        <f t="shared" si="739"/>
        <v>0</v>
      </c>
      <c r="AN167" s="22">
        <f t="shared" si="739"/>
        <v>0</v>
      </c>
      <c r="AO167" s="22">
        <f t="shared" si="740"/>
        <v>0</v>
      </c>
      <c r="AQ167" s="106">
        <v>0</v>
      </c>
      <c r="AR167" s="106">
        <v>0</v>
      </c>
      <c r="AS167" s="106">
        <v>0</v>
      </c>
      <c r="AT167" s="106">
        <v>0</v>
      </c>
      <c r="AU167" s="106">
        <v>0</v>
      </c>
      <c r="AV167" s="106">
        <v>0</v>
      </c>
      <c r="AW167" s="106">
        <v>0</v>
      </c>
      <c r="AX167" s="106">
        <v>0</v>
      </c>
      <c r="AY167" s="106">
        <v>0</v>
      </c>
      <c r="AZ167" s="106">
        <v>0</v>
      </c>
      <c r="BA167" s="106">
        <v>437.97</v>
      </c>
      <c r="BB167" s="106">
        <v>0</v>
      </c>
      <c r="BC167" s="106">
        <f t="shared" si="741"/>
        <v>437.97</v>
      </c>
      <c r="BD167" s="16" t="str">
        <f t="shared" si="591"/>
        <v>Fuel Expenses For Scooter</v>
      </c>
      <c r="BE167" s="22">
        <f>+VLOOKUP($BD167,'Jan-25'!$A:$J,4,0)</f>
        <v>0</v>
      </c>
      <c r="BF167" s="22">
        <f>+VLOOKUP($BD167,'Feb-25'!$A:$J,4,0)</f>
        <v>0</v>
      </c>
      <c r="BG167" s="22">
        <f>+VLOOKUP($BD167,'Mar-25'!$A:$J,4,0)</f>
        <v>0</v>
      </c>
      <c r="BH167" s="22">
        <f>+VLOOKUP($BD167,'Apr-25'!$A:$J,4,0)</f>
        <v>0</v>
      </c>
      <c r="BI167" s="22">
        <f>+VLOOKUP($BD167,'May-25'!$A:$J,4,0)</f>
        <v>0</v>
      </c>
      <c r="BJ167" s="22">
        <f>+VLOOKUP($BD167,'June-25'!$A:$J,4,0)</f>
        <v>0</v>
      </c>
      <c r="BK167" s="22">
        <f>+VLOOKUP($BD167,'July-25'!$A:$J,4,0)</f>
        <v>0</v>
      </c>
      <c r="BL167" s="22">
        <f>+VLOOKUP($BD167,'Aug-25'!$A:$J,4,0)</f>
        <v>0</v>
      </c>
      <c r="BM167" s="22">
        <f>+VLOOKUP($BD167,'Sep-25'!$A:$J,4,0)</f>
        <v>0</v>
      </c>
      <c r="BN167" s="22">
        <f>+VLOOKUP($BD167,'Oct-25'!$A:$J,4,0)</f>
        <v>0</v>
      </c>
      <c r="BO167" s="22">
        <f>+VLOOKUP($BD167,'Nov-25'!$A:$J,4,0)</f>
        <v>0</v>
      </c>
      <c r="BP167" s="22">
        <f>+VLOOKUP($BD167,'Dec-25'!$A:$J,4,0)</f>
        <v>0</v>
      </c>
      <c r="BQ167" s="22">
        <f t="shared" si="742"/>
        <v>0</v>
      </c>
      <c r="BR167" s="118">
        <f t="shared" si="713"/>
        <v>0</v>
      </c>
      <c r="BS167" s="106">
        <f>+_xlfn.XLOOKUP($BD167,Budget!$A:$A,Budget!AQ:AQ)</f>
        <v>0</v>
      </c>
      <c r="BT167" s="106">
        <f>+_xlfn.XLOOKUP($BD167,Budget!$A:$A,Budget!AR:AR)</f>
        <v>0</v>
      </c>
      <c r="BU167" s="106">
        <f>+_xlfn.XLOOKUP($BD167,Budget!$A:$A,Budget!AS:AS)</f>
        <v>0</v>
      </c>
      <c r="BV167" s="106">
        <f>+_xlfn.XLOOKUP($BD167,Budget!$A:$A,Budget!AT:AT)</f>
        <v>0</v>
      </c>
      <c r="BW167" s="106">
        <f>+_xlfn.XLOOKUP($BD167,Budget!$A:$A,Budget!AU:AU)</f>
        <v>0</v>
      </c>
      <c r="BX167" s="106">
        <f>+_xlfn.XLOOKUP($BD167,Budget!$A:$A,Budget!AV:AV)</f>
        <v>0</v>
      </c>
      <c r="BY167" s="106">
        <f>+_xlfn.XLOOKUP($BD167,Budget!$A:$A,Budget!AW:AW)</f>
        <v>0</v>
      </c>
      <c r="BZ167" s="106">
        <f>+_xlfn.XLOOKUP($BD167,Budget!$A:$A,Budget!AX:AX)</f>
        <v>0</v>
      </c>
      <c r="CA167" s="106">
        <f>+_xlfn.XLOOKUP($BD167,Budget!$A:$A,Budget!AY:AY)</f>
        <v>0</v>
      </c>
      <c r="CB167" s="106">
        <f>+_xlfn.XLOOKUP($BD167,Budget!$A:$A,Budget!AZ:AZ)</f>
        <v>0</v>
      </c>
      <c r="CC167" s="106">
        <f>+_xlfn.XLOOKUP($BD167,Budget!$A:$A,Budget!BA:BA)</f>
        <v>0</v>
      </c>
      <c r="CD167" s="106">
        <f>+_xlfn.XLOOKUP($BD167,Budget!$A:$A,Budget!BB:BB)</f>
        <v>0</v>
      </c>
      <c r="CE167" s="106">
        <f t="shared" si="743"/>
        <v>0</v>
      </c>
      <c r="CF167" s="22"/>
      <c r="CG167" s="22">
        <v>0</v>
      </c>
      <c r="CH167" s="22">
        <v>0</v>
      </c>
      <c r="CI167" s="22">
        <v>0</v>
      </c>
      <c r="CJ167" s="22">
        <v>0</v>
      </c>
      <c r="CK167" s="22">
        <v>0</v>
      </c>
      <c r="CL167" s="22">
        <v>0</v>
      </c>
      <c r="CM167" s="22">
        <v>0</v>
      </c>
      <c r="CN167" s="22">
        <v>0</v>
      </c>
      <c r="CO167" s="22">
        <v>0</v>
      </c>
      <c r="CP167" s="22">
        <v>0</v>
      </c>
      <c r="CQ167" s="22">
        <v>0</v>
      </c>
      <c r="CR167" s="22">
        <v>0</v>
      </c>
      <c r="CS167" s="106">
        <f t="shared" si="744"/>
        <v>0</v>
      </c>
      <c r="CT167" s="16" t="str">
        <f t="shared" si="595"/>
        <v>Fuel Expenses For Scooter</v>
      </c>
      <c r="CU167" s="22">
        <f>+VLOOKUP($BD167,'Jan-25'!$A:$J,7,0)</f>
        <v>0</v>
      </c>
      <c r="CV167" s="22">
        <f>+VLOOKUP($BD167,'Feb-25'!$A:$J,7,0)</f>
        <v>0</v>
      </c>
      <c r="CW167" s="22">
        <f>+VLOOKUP($BD167,'Mar-25'!$A:$J,7,0)</f>
        <v>0</v>
      </c>
      <c r="CX167" s="22">
        <f>+VLOOKUP($BD167,'Apr-25'!$A:$J,7,0)</f>
        <v>0</v>
      </c>
      <c r="CY167" s="22">
        <f>+VLOOKUP($BD167,'May-25'!$A:$J,7,0)</f>
        <v>0</v>
      </c>
      <c r="CZ167" s="22">
        <f>+VLOOKUP($BD167,'June-25'!$A:$J,7,0)</f>
        <v>0</v>
      </c>
      <c r="DA167" s="22">
        <f>+VLOOKUP($BD167,'July-25'!$A:$J,7,0)</f>
        <v>0</v>
      </c>
      <c r="DB167" s="22">
        <f>+VLOOKUP($BD167,'Aug-25'!$A:$J,7,0)</f>
        <v>0</v>
      </c>
      <c r="DC167" s="22">
        <f>+VLOOKUP($BD167,'Sep-25'!$A:$J,7,0)</f>
        <v>0</v>
      </c>
      <c r="DD167" s="22">
        <f>+VLOOKUP($BD167,'Oct-25'!$A:$J,7,0)</f>
        <v>0</v>
      </c>
      <c r="DE167" s="22">
        <f>+VLOOKUP($BD167,'Nov-25'!$A:$J,7,0)</f>
        <v>0</v>
      </c>
      <c r="DF167" s="22">
        <f>+VLOOKUP($BD167,'Dec-25'!$A:$J,7,0)</f>
        <v>0</v>
      </c>
      <c r="DG167" s="22">
        <f t="shared" si="745"/>
        <v>0</v>
      </c>
      <c r="DH167" s="118">
        <f t="shared" si="717"/>
        <v>0</v>
      </c>
      <c r="DI167" s="22">
        <f>+_xlfn.XLOOKUP($CT167,Budget!$A:$A,Budget!CD:CD)</f>
        <v>0</v>
      </c>
      <c r="DJ167" s="22">
        <f>+_xlfn.XLOOKUP($CT167,Budget!$A:$A,Budget!CE:CE)</f>
        <v>0</v>
      </c>
      <c r="DK167" s="22">
        <f>+_xlfn.XLOOKUP($CT167,Budget!$A:$A,Budget!CF:CF)</f>
        <v>0</v>
      </c>
      <c r="DL167" s="22">
        <f>+_xlfn.XLOOKUP($CT167,Budget!$A:$A,Budget!CG:CG)</f>
        <v>0</v>
      </c>
      <c r="DM167" s="22">
        <f>+_xlfn.XLOOKUP($CT167,Budget!$A:$A,Budget!CH:CH)</f>
        <v>0</v>
      </c>
      <c r="DN167" s="22">
        <f>+_xlfn.XLOOKUP($CT167,Budget!$A:$A,Budget!CI:CI)</f>
        <v>0</v>
      </c>
      <c r="DO167" s="22">
        <f>+_xlfn.XLOOKUP($CT167,Budget!$A:$A,Budget!CJ:CJ)</f>
        <v>0</v>
      </c>
      <c r="DP167" s="22">
        <f>+_xlfn.XLOOKUP($CT167,Budget!$A:$A,Budget!CK:CK)</f>
        <v>0</v>
      </c>
      <c r="DQ167" s="22">
        <f>+_xlfn.XLOOKUP($CT167,Budget!$A:$A,Budget!CL:CL)</f>
        <v>0</v>
      </c>
      <c r="DR167" s="22">
        <f>+_xlfn.XLOOKUP($CT167,Budget!$A:$A,Budget!CM:CM)</f>
        <v>0</v>
      </c>
      <c r="DS167" s="22">
        <f>+_xlfn.XLOOKUP($CT167,Budget!$A:$A,Budget!CN:CN)</f>
        <v>0</v>
      </c>
      <c r="DT167" s="22">
        <f>+_xlfn.XLOOKUP($CT167,Budget!$A:$A,Budget!CO:CO)</f>
        <v>0</v>
      </c>
      <c r="DU167" s="106">
        <f t="shared" si="746"/>
        <v>0</v>
      </c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106">
        <f t="shared" si="747"/>
        <v>0</v>
      </c>
      <c r="EJ167" s="16" t="str">
        <f t="shared" si="601"/>
        <v>Fuel Expenses For Scooter</v>
      </c>
      <c r="EK167" s="22">
        <f>+VLOOKUP($BD167,'Jan-25'!$A:$J,9,0)</f>
        <v>0</v>
      </c>
      <c r="EL167" s="22">
        <f>+VLOOKUP($BD167,'Feb-25'!$A:$J,9,0)</f>
        <v>0</v>
      </c>
      <c r="EM167" s="22">
        <f>+VLOOKUP($BD167,'Mar-25'!$A:$J,9,0)</f>
        <v>0</v>
      </c>
      <c r="EN167" s="22">
        <f>+VLOOKUP($BD167,'Apr-25'!$A:$J,9,0)</f>
        <v>0</v>
      </c>
      <c r="EO167" s="22">
        <f>+VLOOKUP($BD167,'May-25'!$A:$J,9,0)</f>
        <v>0</v>
      </c>
      <c r="EP167" s="22">
        <f>+VLOOKUP($BD167,'June-25'!$A:$J,9,0)</f>
        <v>0</v>
      </c>
      <c r="EQ167" s="22">
        <f>+VLOOKUP($BD167,'July-25'!$A:$J,9,0)</f>
        <v>0</v>
      </c>
      <c r="ER167" s="22">
        <f>+VLOOKUP($BD167,'Aug-25'!$A:$J,9,0)</f>
        <v>0</v>
      </c>
      <c r="ES167" s="22">
        <f>+VLOOKUP($BD167,'Sep-25'!$A:$J,9,0)</f>
        <v>0</v>
      </c>
      <c r="ET167" s="22">
        <f>+VLOOKUP($BD167,'Oct-25'!$A:$J,9,0)</f>
        <v>0</v>
      </c>
      <c r="EU167" s="22">
        <f>+VLOOKUP($BD167,'Nov-25'!$A:$J,9,0)</f>
        <v>0</v>
      </c>
      <c r="EV167" s="22">
        <f>+VLOOKUP($BD167,'Dec-25'!$A:$J,9,0)</f>
        <v>0</v>
      </c>
      <c r="EW167" s="22">
        <f t="shared" si="748"/>
        <v>0</v>
      </c>
      <c r="EX167" s="118">
        <f t="shared" si="721"/>
        <v>0</v>
      </c>
      <c r="EY167" s="22">
        <f>+_xlfn.XLOOKUP($EJ167,Budget!$A:$A,Budget!DE:DE)</f>
        <v>0</v>
      </c>
      <c r="EZ167" s="22">
        <f>+_xlfn.XLOOKUP($EJ167,Budget!$A:$A,Budget!DF:DF)</f>
        <v>0</v>
      </c>
      <c r="FA167" s="22">
        <f>+_xlfn.XLOOKUP($EJ167,Budget!$A:$A,Budget!DG:DG)</f>
        <v>0</v>
      </c>
      <c r="FB167" s="22">
        <f>+_xlfn.XLOOKUP($EJ167,Budget!$A:$A,Budget!DH:DH)</f>
        <v>0</v>
      </c>
      <c r="FC167" s="22">
        <f>+_xlfn.XLOOKUP($EJ167,Budget!$A:$A,Budget!DI:DI)</f>
        <v>0</v>
      </c>
      <c r="FD167" s="22">
        <f>+_xlfn.XLOOKUP($EJ167,Budget!$A:$A,Budget!DJ:DJ)</f>
        <v>0</v>
      </c>
      <c r="FE167" s="22">
        <f>+_xlfn.XLOOKUP($EJ167,Budget!$A:$A,Budget!DK:DK)</f>
        <v>0</v>
      </c>
      <c r="FF167" s="22">
        <f>+_xlfn.XLOOKUP($EJ167,Budget!$A:$A,Budget!DL:DL)</f>
        <v>0</v>
      </c>
      <c r="FG167" s="22">
        <f>+_xlfn.XLOOKUP($EJ167,Budget!$A:$A,Budget!DM:DM)</f>
        <v>0</v>
      </c>
      <c r="FH167" s="22">
        <f>+_xlfn.XLOOKUP($EJ167,Budget!$A:$A,Budget!DN:DN)</f>
        <v>0</v>
      </c>
      <c r="FI167" s="22">
        <f>+_xlfn.XLOOKUP($EJ167,Budget!$A:$A,Budget!DO:DO)</f>
        <v>0</v>
      </c>
      <c r="FJ167" s="22">
        <f>+_xlfn.XLOOKUP($EJ167,Budget!$A:$A,Budget!DP:DP)</f>
        <v>0</v>
      </c>
      <c r="FK167" s="106">
        <f t="shared" si="749"/>
        <v>0</v>
      </c>
    </row>
    <row r="168" spans="1:167" ht="14.45" hidden="1" customHeight="1" outlineLevel="2">
      <c r="A168" s="106">
        <f t="shared" si="735"/>
        <v>57828.09</v>
      </c>
      <c r="B168" s="106">
        <f t="shared" si="735"/>
        <v>13968.84</v>
      </c>
      <c r="C168" s="106">
        <f t="shared" si="735"/>
        <v>3155.11</v>
      </c>
      <c r="D168" s="106">
        <f t="shared" si="735"/>
        <v>22090.51</v>
      </c>
      <c r="E168" s="106">
        <f t="shared" si="735"/>
        <v>46019.09</v>
      </c>
      <c r="F168" s="106">
        <f t="shared" si="735"/>
        <v>47392</v>
      </c>
      <c r="G168" s="106">
        <f t="shared" si="735"/>
        <v>20967.23</v>
      </c>
      <c r="H168" s="106">
        <f t="shared" si="735"/>
        <v>3280</v>
      </c>
      <c r="I168" s="106">
        <f t="shared" si="735"/>
        <v>1180</v>
      </c>
      <c r="J168" s="106">
        <f t="shared" si="735"/>
        <v>17887.52</v>
      </c>
      <c r="K168" s="106">
        <f t="shared" si="735"/>
        <v>17101.5</v>
      </c>
      <c r="L168" s="106">
        <f t="shared" si="735"/>
        <v>20741.579999999998</v>
      </c>
      <c r="M168" s="106">
        <f t="shared" si="736"/>
        <v>271611.46999999997</v>
      </c>
      <c r="N168" s="16" t="s">
        <v>140</v>
      </c>
      <c r="O168" s="22">
        <f t="shared" si="737"/>
        <v>3596.17</v>
      </c>
      <c r="P168" s="22">
        <f t="shared" si="737"/>
        <v>400</v>
      </c>
      <c r="Q168" s="22">
        <f t="shared" si="737"/>
        <v>1350</v>
      </c>
      <c r="R168" s="22">
        <f t="shared" si="737"/>
        <v>19528.78</v>
      </c>
      <c r="S168" s="22">
        <f t="shared" si="737"/>
        <v>50878.07</v>
      </c>
      <c r="T168" s="22">
        <f t="shared" si="737"/>
        <v>15816.58</v>
      </c>
      <c r="U168" s="22">
        <f t="shared" si="737"/>
        <v>206430.11</v>
      </c>
      <c r="V168" s="22">
        <f t="shared" si="737"/>
        <v>151901.35</v>
      </c>
      <c r="W168" s="22">
        <f t="shared" si="737"/>
        <v>144135.96000000002</v>
      </c>
      <c r="X168" s="22">
        <f t="shared" si="737"/>
        <v>6800.4</v>
      </c>
      <c r="Y168" s="22">
        <f t="shared" si="737"/>
        <v>0</v>
      </c>
      <c r="Z168" s="22">
        <f t="shared" si="737"/>
        <v>0</v>
      </c>
      <c r="AA168" s="22">
        <f t="shared" si="738"/>
        <v>600837.42000000004</v>
      </c>
      <c r="AB168" s="118">
        <f t="shared" si="708"/>
        <v>-0.92841684210526321</v>
      </c>
      <c r="AC168" s="22">
        <f t="shared" si="739"/>
        <v>185000</v>
      </c>
      <c r="AD168" s="22">
        <f t="shared" si="739"/>
        <v>35000</v>
      </c>
      <c r="AE168" s="22">
        <f t="shared" si="739"/>
        <v>35000</v>
      </c>
      <c r="AF168" s="22">
        <f t="shared" si="739"/>
        <v>35000</v>
      </c>
      <c r="AG168" s="22">
        <f t="shared" si="739"/>
        <v>95000</v>
      </c>
      <c r="AH168" s="22">
        <f t="shared" si="739"/>
        <v>35000</v>
      </c>
      <c r="AI168" s="22">
        <f t="shared" si="739"/>
        <v>35000</v>
      </c>
      <c r="AJ168" s="22">
        <f t="shared" si="739"/>
        <v>35000</v>
      </c>
      <c r="AK168" s="22">
        <f t="shared" si="739"/>
        <v>70000</v>
      </c>
      <c r="AL168" s="22">
        <f t="shared" si="739"/>
        <v>95000</v>
      </c>
      <c r="AM168" s="22">
        <f t="shared" si="739"/>
        <v>35000</v>
      </c>
      <c r="AN168" s="22">
        <f t="shared" si="739"/>
        <v>35000</v>
      </c>
      <c r="AO168" s="22">
        <f t="shared" si="740"/>
        <v>725000</v>
      </c>
      <c r="AQ168" s="106">
        <v>27372.45</v>
      </c>
      <c r="AR168" s="106">
        <v>0</v>
      </c>
      <c r="AS168" s="106">
        <v>2605.11</v>
      </c>
      <c r="AT168" s="106">
        <v>22090.51</v>
      </c>
      <c r="AU168" s="106">
        <v>31117.08</v>
      </c>
      <c r="AV168" s="106">
        <v>46952</v>
      </c>
      <c r="AW168" s="106">
        <v>20967.23</v>
      </c>
      <c r="AX168" s="106">
        <v>0</v>
      </c>
      <c r="AY168" s="106">
        <v>1180</v>
      </c>
      <c r="AZ168" s="106">
        <v>1000</v>
      </c>
      <c r="BA168" s="106">
        <v>3471.6</v>
      </c>
      <c r="BB168" s="106">
        <v>7773.95</v>
      </c>
      <c r="BC168" s="106">
        <f t="shared" si="741"/>
        <v>164529.93000000002</v>
      </c>
      <c r="BD168" s="16" t="str">
        <f t="shared" si="591"/>
        <v>Repair and Maintenance - Courtesy Car</v>
      </c>
      <c r="BE168" s="22">
        <f>+VLOOKUP($BD168,'Jan-25'!$A:$J,4,0)</f>
        <v>3596.17</v>
      </c>
      <c r="BF168" s="22">
        <f>+VLOOKUP($BD168,'Feb-25'!$A:$J,4,0)</f>
        <v>400</v>
      </c>
      <c r="BG168" s="22">
        <f>+VLOOKUP($BD168,'Mar-25'!$A:$J,4,0)</f>
        <v>300</v>
      </c>
      <c r="BH168" s="22">
        <f>+VLOOKUP($BD168,'Apr-25'!$A:$J,4,0)</f>
        <v>5002.22</v>
      </c>
      <c r="BI168" s="22">
        <f>+VLOOKUP($BD168,'May-25'!$A:$J,4,0)</f>
        <v>50878.07</v>
      </c>
      <c r="BJ168" s="22">
        <f>+VLOOKUP($BD168,'June-25'!$A:$J,4,0)</f>
        <v>14226.58</v>
      </c>
      <c r="BK168" s="22">
        <f>+VLOOKUP($BD168,'July-25'!$A:$J,4,0)</f>
        <v>179013.31999999998</v>
      </c>
      <c r="BL168" s="22">
        <f>+VLOOKUP($BD168,'Aug-25'!$A:$J,4,0)</f>
        <v>59634.44</v>
      </c>
      <c r="BM168" s="22">
        <f>+VLOOKUP($BD168,'Sep-25'!$A:$J,4,0)</f>
        <v>78136.38</v>
      </c>
      <c r="BN168" s="22">
        <f>+VLOOKUP($BD168,'Oct-25'!$A:$J,4,0)</f>
        <v>6263.62</v>
      </c>
      <c r="BO168" s="22">
        <f>+VLOOKUP($BD168,'Nov-25'!$A:$J,4,0)</f>
        <v>0</v>
      </c>
      <c r="BP168" s="22">
        <f>+VLOOKUP($BD168,'Dec-25'!$A:$J,4,0)</f>
        <v>0</v>
      </c>
      <c r="BQ168" s="22">
        <f t="shared" si="742"/>
        <v>397450.8</v>
      </c>
      <c r="BR168" s="118">
        <f t="shared" si="713"/>
        <v>-0.72161688888888897</v>
      </c>
      <c r="BS168" s="106">
        <f>+_xlfn.XLOOKUP($BD168,Budget!$A:$A,Budget!AQ:AQ)</f>
        <v>172500</v>
      </c>
      <c r="BT168" s="106">
        <f>+_xlfn.XLOOKUP($BD168,Budget!$A:$A,Budget!AR:AR)</f>
        <v>22500</v>
      </c>
      <c r="BU168" s="106">
        <f>+_xlfn.XLOOKUP($BD168,Budget!$A:$A,Budget!AS:AS)</f>
        <v>22500</v>
      </c>
      <c r="BV168" s="106">
        <f>+_xlfn.XLOOKUP($BD168,Budget!$A:$A,Budget!AT:AT)</f>
        <v>22500</v>
      </c>
      <c r="BW168" s="106">
        <f>+_xlfn.XLOOKUP($BD168,Budget!$A:$A,Budget!AU:AU)</f>
        <v>82500</v>
      </c>
      <c r="BX168" s="106">
        <f>+_xlfn.XLOOKUP($BD168,Budget!$A:$A,Budget!AV:AV)</f>
        <v>22500</v>
      </c>
      <c r="BY168" s="106">
        <f>+_xlfn.XLOOKUP($BD168,Budget!$A:$A,Budget!AW:AW)</f>
        <v>22500</v>
      </c>
      <c r="BZ168" s="106">
        <f>+_xlfn.XLOOKUP($BD168,Budget!$A:$A,Budget!AX:AX)</f>
        <v>22500</v>
      </c>
      <c r="CA168" s="106">
        <f>+_xlfn.XLOOKUP($BD168,Budget!$A:$A,Budget!AY:AY)</f>
        <v>57500</v>
      </c>
      <c r="CB168" s="106">
        <f>+_xlfn.XLOOKUP($BD168,Budget!$A:$A,Budget!AZ:AZ)</f>
        <v>22500</v>
      </c>
      <c r="CC168" s="106">
        <f>+_xlfn.XLOOKUP($BD168,Budget!$A:$A,Budget!BA:BA)</f>
        <v>22500</v>
      </c>
      <c r="CD168" s="106">
        <f>+_xlfn.XLOOKUP($BD168,Budget!$A:$A,Budget!BB:BB)</f>
        <v>22500</v>
      </c>
      <c r="CE168" s="106">
        <f t="shared" si="743"/>
        <v>515000</v>
      </c>
      <c r="CF168" s="22"/>
      <c r="CG168" s="22">
        <v>30455.64</v>
      </c>
      <c r="CH168" s="22">
        <v>13968.84</v>
      </c>
      <c r="CI168" s="22">
        <v>550</v>
      </c>
      <c r="CJ168" s="22">
        <v>0</v>
      </c>
      <c r="CK168" s="22">
        <v>14902.009999999998</v>
      </c>
      <c r="CL168" s="22">
        <v>440</v>
      </c>
      <c r="CM168" s="22">
        <v>0</v>
      </c>
      <c r="CN168" s="22">
        <v>3280</v>
      </c>
      <c r="CO168" s="22">
        <v>0</v>
      </c>
      <c r="CP168" s="22">
        <v>16887.52</v>
      </c>
      <c r="CQ168" s="22">
        <v>13629.9</v>
      </c>
      <c r="CR168" s="22">
        <v>12967.63</v>
      </c>
      <c r="CS168" s="106">
        <f t="shared" si="744"/>
        <v>107081.54</v>
      </c>
      <c r="CT168" s="16" t="str">
        <f t="shared" si="595"/>
        <v>Repair and Maintenance - Courtesy Car</v>
      </c>
      <c r="CU168" s="22">
        <f>+VLOOKUP($BD168,'Jan-25'!$A:$J,7,0)</f>
        <v>0</v>
      </c>
      <c r="CV168" s="22">
        <f>+VLOOKUP($BD168,'Feb-25'!$A:$J,7,0)</f>
        <v>0</v>
      </c>
      <c r="CW168" s="22">
        <f>+VLOOKUP($BD168,'Mar-25'!$A:$J,7,0)</f>
        <v>0</v>
      </c>
      <c r="CX168" s="22">
        <f>+VLOOKUP($BD168,'Apr-25'!$A:$J,7,0)</f>
        <v>0</v>
      </c>
      <c r="CY168" s="22">
        <f>+VLOOKUP($BD168,'May-25'!$A:$J,7,0)</f>
        <v>0</v>
      </c>
      <c r="CZ168" s="22">
        <f>+VLOOKUP($BD168,'June-25'!$A:$J,7,0)</f>
        <v>1590</v>
      </c>
      <c r="DA168" s="22">
        <f>+VLOOKUP($BD168,'July-25'!$A:$J,7,0)</f>
        <v>1590</v>
      </c>
      <c r="DB168" s="22">
        <f>+VLOOKUP($BD168,'Aug-25'!$A:$J,7,0)</f>
        <v>570</v>
      </c>
      <c r="DC168" s="22">
        <f>+VLOOKUP($BD168,'Sep-25'!$A:$J,7,0)</f>
        <v>65999.58</v>
      </c>
      <c r="DD168" s="22">
        <f>+VLOOKUP($BD168,'Oct-25'!$A:$J,7,0)</f>
        <v>536.78</v>
      </c>
      <c r="DE168" s="22">
        <f>+VLOOKUP($BD168,'Nov-25'!$A:$J,7,0)</f>
        <v>0</v>
      </c>
      <c r="DF168" s="22">
        <f>+VLOOKUP($BD168,'Dec-25'!$A:$J,7,0)</f>
        <v>0</v>
      </c>
      <c r="DG168" s="22">
        <f t="shared" si="745"/>
        <v>70286.36</v>
      </c>
      <c r="DH168" s="118">
        <f t="shared" si="717"/>
        <v>-0.99259613793103452</v>
      </c>
      <c r="DI168" s="22">
        <f>+_xlfn.XLOOKUP($CT168,Budget!$A:$A,Budget!CD:CD)</f>
        <v>12500</v>
      </c>
      <c r="DJ168" s="22">
        <f>+_xlfn.XLOOKUP($CT168,Budget!$A:$A,Budget!CE:CE)</f>
        <v>12500</v>
      </c>
      <c r="DK168" s="22">
        <f>+_xlfn.XLOOKUP($CT168,Budget!$A:$A,Budget!CF:CF)</f>
        <v>12500</v>
      </c>
      <c r="DL168" s="22">
        <f>+_xlfn.XLOOKUP($CT168,Budget!$A:$A,Budget!CG:CG)</f>
        <v>12500</v>
      </c>
      <c r="DM168" s="22">
        <f>+_xlfn.XLOOKUP($CT168,Budget!$A:$A,Budget!CH:CH)</f>
        <v>12500</v>
      </c>
      <c r="DN168" s="22">
        <f>+_xlfn.XLOOKUP($CT168,Budget!$A:$A,Budget!CI:CI)</f>
        <v>12500</v>
      </c>
      <c r="DO168" s="22">
        <f>+_xlfn.XLOOKUP($CT168,Budget!$A:$A,Budget!CJ:CJ)</f>
        <v>12500</v>
      </c>
      <c r="DP168" s="22">
        <f>+_xlfn.XLOOKUP($CT168,Budget!$A:$A,Budget!CK:CK)</f>
        <v>12500</v>
      </c>
      <c r="DQ168" s="22">
        <f>+_xlfn.XLOOKUP($CT168,Budget!$A:$A,Budget!CL:CL)</f>
        <v>12500</v>
      </c>
      <c r="DR168" s="22">
        <f>+_xlfn.XLOOKUP($CT168,Budget!$A:$A,Budget!CM:CM)</f>
        <v>72500</v>
      </c>
      <c r="DS168" s="22">
        <f>+_xlfn.XLOOKUP($CT168,Budget!$A:$A,Budget!CN:CN)</f>
        <v>12500</v>
      </c>
      <c r="DT168" s="22">
        <f>+_xlfn.XLOOKUP($CT168,Budget!$A:$A,Budget!CO:CO)</f>
        <v>12500</v>
      </c>
      <c r="DU168" s="106">
        <f t="shared" si="746"/>
        <v>210000</v>
      </c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106">
        <f t="shared" si="747"/>
        <v>0</v>
      </c>
      <c r="EJ168" s="16" t="str">
        <f t="shared" si="601"/>
        <v>Repair and Maintenance - Courtesy Car</v>
      </c>
      <c r="EK168" s="22">
        <f>+VLOOKUP($BD168,'Jan-25'!$A:$J,9,0)</f>
        <v>0</v>
      </c>
      <c r="EL168" s="22">
        <f>+VLOOKUP($BD168,'Feb-25'!$A:$J,9,0)</f>
        <v>0</v>
      </c>
      <c r="EM168" s="22">
        <f>+VLOOKUP($BD168,'Mar-25'!$A:$J,9,0)</f>
        <v>1050</v>
      </c>
      <c r="EN168" s="22">
        <f>+VLOOKUP($BD168,'Apr-25'!$A:$J,9,0)</f>
        <v>14526.56</v>
      </c>
      <c r="EO168" s="22">
        <f>+VLOOKUP($BD168,'May-25'!$A:$J,9,0)</f>
        <v>0</v>
      </c>
      <c r="EP168" s="22">
        <f>+VLOOKUP($BD168,'June-25'!$A:$J,9,0)</f>
        <v>0</v>
      </c>
      <c r="EQ168" s="22">
        <f>+VLOOKUP($BD168,'July-25'!$A:$J,9,0)</f>
        <v>25826.79</v>
      </c>
      <c r="ER168" s="22">
        <f>+VLOOKUP($BD168,'Aug-25'!$A:$J,9,0)</f>
        <v>91696.91</v>
      </c>
      <c r="ES168" s="22">
        <f>+VLOOKUP($BD168,'Sep-25'!$A:$J,9,0)</f>
        <v>0</v>
      </c>
      <c r="ET168" s="22">
        <f>+VLOOKUP($BD168,'Oct-25'!$A:$J,9,0)</f>
        <v>0</v>
      </c>
      <c r="EU168" s="22">
        <f>+VLOOKUP($BD168,'Nov-25'!$A:$J,9,0)</f>
        <v>0</v>
      </c>
      <c r="EV168" s="22">
        <f>+VLOOKUP($BD168,'Dec-25'!$A:$J,9,0)</f>
        <v>0</v>
      </c>
      <c r="EW168" s="22">
        <f t="shared" si="748"/>
        <v>133100.26</v>
      </c>
      <c r="EX168" s="118">
        <f t="shared" si="721"/>
        <v>0</v>
      </c>
      <c r="EY168" s="22">
        <f>+_xlfn.XLOOKUP($EJ168,Budget!$A:$A,Budget!DE:DE)</f>
        <v>0</v>
      </c>
      <c r="EZ168" s="22">
        <f>+_xlfn.XLOOKUP($EJ168,Budget!$A:$A,Budget!DF:DF)</f>
        <v>0</v>
      </c>
      <c r="FA168" s="22">
        <f>+_xlfn.XLOOKUP($EJ168,Budget!$A:$A,Budget!DG:DG)</f>
        <v>0</v>
      </c>
      <c r="FB168" s="22">
        <f>+_xlfn.XLOOKUP($EJ168,Budget!$A:$A,Budget!DH:DH)</f>
        <v>0</v>
      </c>
      <c r="FC168" s="22">
        <f>+_xlfn.XLOOKUP($EJ168,Budget!$A:$A,Budget!DI:DI)</f>
        <v>0</v>
      </c>
      <c r="FD168" s="22">
        <f>+_xlfn.XLOOKUP($EJ168,Budget!$A:$A,Budget!DJ:DJ)</f>
        <v>0</v>
      </c>
      <c r="FE168" s="22">
        <f>+_xlfn.XLOOKUP($EJ168,Budget!$A:$A,Budget!DK:DK)</f>
        <v>0</v>
      </c>
      <c r="FF168" s="22">
        <f>+_xlfn.XLOOKUP($EJ168,Budget!$A:$A,Budget!DL:DL)</f>
        <v>0</v>
      </c>
      <c r="FG168" s="22">
        <f>+_xlfn.XLOOKUP($EJ168,Budget!$A:$A,Budget!DM:DM)</f>
        <v>0</v>
      </c>
      <c r="FH168" s="22">
        <f>+_xlfn.XLOOKUP($EJ168,Budget!$A:$A,Budget!DN:DN)</f>
        <v>0</v>
      </c>
      <c r="FI168" s="22">
        <f>+_xlfn.XLOOKUP($EJ168,Budget!$A:$A,Budget!DO:DO)</f>
        <v>0</v>
      </c>
      <c r="FJ168" s="22">
        <f>+_xlfn.XLOOKUP($EJ168,Budget!$A:$A,Budget!DP:DP)</f>
        <v>0</v>
      </c>
      <c r="FK168" s="106">
        <f t="shared" si="749"/>
        <v>0</v>
      </c>
    </row>
    <row r="169" spans="1:167" ht="14.45" hidden="1" customHeight="1" outlineLevel="2">
      <c r="A169" s="106">
        <f t="shared" si="735"/>
        <v>0</v>
      </c>
      <c r="B169" s="106">
        <f t="shared" si="735"/>
        <v>0</v>
      </c>
      <c r="C169" s="106">
        <f t="shared" si="735"/>
        <v>0</v>
      </c>
      <c r="D169" s="106">
        <f t="shared" si="735"/>
        <v>0</v>
      </c>
      <c r="E169" s="106">
        <f t="shared" si="735"/>
        <v>0</v>
      </c>
      <c r="F169" s="106">
        <f t="shared" si="735"/>
        <v>0</v>
      </c>
      <c r="G169" s="106">
        <f t="shared" si="735"/>
        <v>0</v>
      </c>
      <c r="H169" s="106">
        <f t="shared" si="735"/>
        <v>0</v>
      </c>
      <c r="I169" s="106">
        <f t="shared" si="735"/>
        <v>0</v>
      </c>
      <c r="J169" s="106">
        <f t="shared" si="735"/>
        <v>0</v>
      </c>
      <c r="K169" s="106">
        <f t="shared" si="735"/>
        <v>0</v>
      </c>
      <c r="L169" s="106">
        <f t="shared" si="735"/>
        <v>0</v>
      </c>
      <c r="M169" s="106">
        <f t="shared" si="736"/>
        <v>0</v>
      </c>
      <c r="N169" s="16" t="s">
        <v>141</v>
      </c>
      <c r="O169" s="22">
        <f t="shared" si="737"/>
        <v>0</v>
      </c>
      <c r="P169" s="22">
        <f t="shared" si="737"/>
        <v>0</v>
      </c>
      <c r="Q169" s="22">
        <f t="shared" si="737"/>
        <v>0</v>
      </c>
      <c r="R169" s="22">
        <f t="shared" si="737"/>
        <v>0</v>
      </c>
      <c r="S169" s="22">
        <f t="shared" si="737"/>
        <v>0</v>
      </c>
      <c r="T169" s="22">
        <f t="shared" si="737"/>
        <v>0</v>
      </c>
      <c r="U169" s="22">
        <f t="shared" si="737"/>
        <v>0</v>
      </c>
      <c r="V169" s="22">
        <f t="shared" si="737"/>
        <v>0</v>
      </c>
      <c r="W169" s="22">
        <f t="shared" si="737"/>
        <v>0</v>
      </c>
      <c r="X169" s="22">
        <f t="shared" si="737"/>
        <v>0</v>
      </c>
      <c r="Y169" s="22">
        <f t="shared" si="737"/>
        <v>0</v>
      </c>
      <c r="Z169" s="22">
        <f t="shared" si="737"/>
        <v>0</v>
      </c>
      <c r="AA169" s="22">
        <f t="shared" si="738"/>
        <v>0</v>
      </c>
      <c r="AB169" s="118">
        <f t="shared" si="708"/>
        <v>0</v>
      </c>
      <c r="AC169" s="22">
        <f t="shared" si="739"/>
        <v>0</v>
      </c>
      <c r="AD169" s="22">
        <f t="shared" si="739"/>
        <v>0</v>
      </c>
      <c r="AE169" s="22">
        <f t="shared" si="739"/>
        <v>0</v>
      </c>
      <c r="AF169" s="22">
        <f t="shared" si="739"/>
        <v>0</v>
      </c>
      <c r="AG169" s="22">
        <f t="shared" si="739"/>
        <v>0</v>
      </c>
      <c r="AH169" s="22">
        <f t="shared" si="739"/>
        <v>0</v>
      </c>
      <c r="AI169" s="22">
        <f t="shared" si="739"/>
        <v>0</v>
      </c>
      <c r="AJ169" s="22">
        <f t="shared" si="739"/>
        <v>0</v>
      </c>
      <c r="AK169" s="22">
        <f t="shared" si="739"/>
        <v>0</v>
      </c>
      <c r="AL169" s="22">
        <f t="shared" si="739"/>
        <v>0</v>
      </c>
      <c r="AM169" s="22">
        <f t="shared" si="739"/>
        <v>0</v>
      </c>
      <c r="AN169" s="22">
        <f t="shared" si="739"/>
        <v>0</v>
      </c>
      <c r="AO169" s="22">
        <f t="shared" si="740"/>
        <v>0</v>
      </c>
      <c r="AQ169" s="106">
        <v>0</v>
      </c>
      <c r="AR169" s="106">
        <v>0</v>
      </c>
      <c r="AS169" s="106">
        <v>0</v>
      </c>
      <c r="AT169" s="106">
        <v>0</v>
      </c>
      <c r="AU169" s="106">
        <v>0</v>
      </c>
      <c r="AV169" s="106">
        <v>0</v>
      </c>
      <c r="AW169" s="106">
        <v>0</v>
      </c>
      <c r="AX169" s="106">
        <v>0</v>
      </c>
      <c r="AY169" s="106">
        <v>0</v>
      </c>
      <c r="AZ169" s="106">
        <v>0</v>
      </c>
      <c r="BA169" s="106">
        <v>0</v>
      </c>
      <c r="BB169" s="106">
        <v>0</v>
      </c>
      <c r="BC169" s="106">
        <f t="shared" si="741"/>
        <v>0</v>
      </c>
      <c r="BD169" s="16" t="str">
        <f t="shared" si="591"/>
        <v>Repair and Maintenance - Flatbed</v>
      </c>
      <c r="BE169" s="22">
        <f>+VLOOKUP($BD169,'Jan-25'!$A:$J,4,0)</f>
        <v>0</v>
      </c>
      <c r="BF169" s="22">
        <f>+VLOOKUP($BD169,'Feb-25'!$A:$J,4,0)</f>
        <v>0</v>
      </c>
      <c r="BG169" s="22">
        <f>+VLOOKUP($BD169,'Mar-25'!$A:$J,4,0)</f>
        <v>0</v>
      </c>
      <c r="BH169" s="22">
        <f>+VLOOKUP($BD169,'Apr-25'!$A:$J,4,0)</f>
        <v>0</v>
      </c>
      <c r="BI169" s="22">
        <f>+VLOOKUP($BD169,'May-25'!$A:$J,4,0)</f>
        <v>0</v>
      </c>
      <c r="BJ169" s="22">
        <f>+VLOOKUP($BD169,'June-25'!$A:$J,4,0)</f>
        <v>0</v>
      </c>
      <c r="BK169" s="22">
        <f>+VLOOKUP($BD169,'July-25'!$A:$J,4,0)</f>
        <v>0</v>
      </c>
      <c r="BL169" s="22">
        <f>+VLOOKUP($BD169,'Aug-25'!$A:$J,4,0)</f>
        <v>0</v>
      </c>
      <c r="BM169" s="22">
        <f>+VLOOKUP($BD169,'Sep-25'!$A:$J,4,0)</f>
        <v>0</v>
      </c>
      <c r="BN169" s="22">
        <f>+VLOOKUP($BD169,'Oct-25'!$A:$J,4,0)</f>
        <v>0</v>
      </c>
      <c r="BO169" s="22">
        <f>+VLOOKUP($BD169,'Nov-25'!$A:$J,4,0)</f>
        <v>0</v>
      </c>
      <c r="BP169" s="22">
        <f>+VLOOKUP($BD169,'Dec-25'!$A:$J,4,0)</f>
        <v>0</v>
      </c>
      <c r="BQ169" s="22">
        <f t="shared" si="742"/>
        <v>0</v>
      </c>
      <c r="BR169" s="118">
        <f t="shared" si="713"/>
        <v>0</v>
      </c>
      <c r="BS169" s="106">
        <f>+_xlfn.XLOOKUP($BD169,Budget!$A:$A,Budget!AQ:AQ)</f>
        <v>0</v>
      </c>
      <c r="BT169" s="106">
        <f>+_xlfn.XLOOKUP($BD169,Budget!$A:$A,Budget!AR:AR)</f>
        <v>0</v>
      </c>
      <c r="BU169" s="106">
        <f>+_xlfn.XLOOKUP($BD169,Budget!$A:$A,Budget!AS:AS)</f>
        <v>0</v>
      </c>
      <c r="BV169" s="106">
        <f>+_xlfn.XLOOKUP($BD169,Budget!$A:$A,Budget!AT:AT)</f>
        <v>0</v>
      </c>
      <c r="BW169" s="106">
        <f>+_xlfn.XLOOKUP($BD169,Budget!$A:$A,Budget!AU:AU)</f>
        <v>0</v>
      </c>
      <c r="BX169" s="106">
        <f>+_xlfn.XLOOKUP($BD169,Budget!$A:$A,Budget!AV:AV)</f>
        <v>0</v>
      </c>
      <c r="BY169" s="106">
        <f>+_xlfn.XLOOKUP($BD169,Budget!$A:$A,Budget!AW:AW)</f>
        <v>0</v>
      </c>
      <c r="BZ169" s="106">
        <f>+_xlfn.XLOOKUP($BD169,Budget!$A:$A,Budget!AX:AX)</f>
        <v>0</v>
      </c>
      <c r="CA169" s="106">
        <f>+_xlfn.XLOOKUP($BD169,Budget!$A:$A,Budget!AY:AY)</f>
        <v>0</v>
      </c>
      <c r="CB169" s="106">
        <f>+_xlfn.XLOOKUP($BD169,Budget!$A:$A,Budget!AZ:AZ)</f>
        <v>0</v>
      </c>
      <c r="CC169" s="106">
        <f>+_xlfn.XLOOKUP($BD169,Budget!$A:$A,Budget!BA:BA)</f>
        <v>0</v>
      </c>
      <c r="CD169" s="106">
        <f>+_xlfn.XLOOKUP($BD169,Budget!$A:$A,Budget!BB:BB)</f>
        <v>0</v>
      </c>
      <c r="CE169" s="106">
        <f t="shared" si="743"/>
        <v>0</v>
      </c>
      <c r="CF169" s="22"/>
      <c r="CG169" s="22">
        <v>0</v>
      </c>
      <c r="CH169" s="22">
        <v>0</v>
      </c>
      <c r="CI169" s="22">
        <v>0</v>
      </c>
      <c r="CJ169" s="22">
        <v>0</v>
      </c>
      <c r="CK169" s="22">
        <v>0</v>
      </c>
      <c r="CL169" s="22">
        <v>0</v>
      </c>
      <c r="CM169" s="22">
        <v>0</v>
      </c>
      <c r="CN169" s="22">
        <v>0</v>
      </c>
      <c r="CO169" s="22">
        <v>0</v>
      </c>
      <c r="CP169" s="22">
        <v>0</v>
      </c>
      <c r="CQ169" s="22">
        <v>0</v>
      </c>
      <c r="CR169" s="22">
        <v>0</v>
      </c>
      <c r="CS169" s="106">
        <f t="shared" si="744"/>
        <v>0</v>
      </c>
      <c r="CT169" s="16" t="str">
        <f t="shared" si="595"/>
        <v>Repair and Maintenance - Flatbed</v>
      </c>
      <c r="CU169" s="22">
        <f>+VLOOKUP($BD169,'Jan-25'!$A:$J,7,0)</f>
        <v>0</v>
      </c>
      <c r="CV169" s="22">
        <f>+VLOOKUP($BD169,'Feb-25'!$A:$J,7,0)</f>
        <v>0</v>
      </c>
      <c r="CW169" s="22">
        <f>+VLOOKUP($BD169,'Mar-25'!$A:$J,7,0)</f>
        <v>0</v>
      </c>
      <c r="CX169" s="22">
        <f>+VLOOKUP($BD169,'Apr-25'!$A:$J,7,0)</f>
        <v>0</v>
      </c>
      <c r="CY169" s="22">
        <f>+VLOOKUP($BD169,'May-25'!$A:$J,7,0)</f>
        <v>0</v>
      </c>
      <c r="CZ169" s="22">
        <f>+VLOOKUP($BD169,'June-25'!$A:$J,7,0)</f>
        <v>0</v>
      </c>
      <c r="DA169" s="22">
        <f>+VLOOKUP($BD169,'July-25'!$A:$J,7,0)</f>
        <v>0</v>
      </c>
      <c r="DB169" s="22">
        <f>+VLOOKUP($BD169,'Aug-25'!$A:$J,7,0)</f>
        <v>0</v>
      </c>
      <c r="DC169" s="22">
        <f>+VLOOKUP($BD169,'Sep-25'!$A:$J,7,0)</f>
        <v>0</v>
      </c>
      <c r="DD169" s="22">
        <f>+VLOOKUP($BD169,'Oct-25'!$A:$J,7,0)</f>
        <v>0</v>
      </c>
      <c r="DE169" s="22">
        <f>+VLOOKUP($BD169,'Nov-25'!$A:$J,7,0)</f>
        <v>0</v>
      </c>
      <c r="DF169" s="22">
        <f>+VLOOKUP($BD169,'Dec-25'!$A:$J,7,0)</f>
        <v>0</v>
      </c>
      <c r="DG169" s="22">
        <f t="shared" si="745"/>
        <v>0</v>
      </c>
      <c r="DH169" s="118">
        <f t="shared" si="717"/>
        <v>0</v>
      </c>
      <c r="DI169" s="22">
        <f>+_xlfn.XLOOKUP($CT169,Budget!$A:$A,Budget!CD:CD)</f>
        <v>0</v>
      </c>
      <c r="DJ169" s="22">
        <f>+_xlfn.XLOOKUP($CT169,Budget!$A:$A,Budget!CE:CE)</f>
        <v>0</v>
      </c>
      <c r="DK169" s="22">
        <f>+_xlfn.XLOOKUP($CT169,Budget!$A:$A,Budget!CF:CF)</f>
        <v>0</v>
      </c>
      <c r="DL169" s="22">
        <f>+_xlfn.XLOOKUP($CT169,Budget!$A:$A,Budget!CG:CG)</f>
        <v>0</v>
      </c>
      <c r="DM169" s="22">
        <f>+_xlfn.XLOOKUP($CT169,Budget!$A:$A,Budget!CH:CH)</f>
        <v>0</v>
      </c>
      <c r="DN169" s="22">
        <f>+_xlfn.XLOOKUP($CT169,Budget!$A:$A,Budget!CI:CI)</f>
        <v>0</v>
      </c>
      <c r="DO169" s="22">
        <f>+_xlfn.XLOOKUP($CT169,Budget!$A:$A,Budget!CJ:CJ)</f>
        <v>0</v>
      </c>
      <c r="DP169" s="22">
        <f>+_xlfn.XLOOKUP($CT169,Budget!$A:$A,Budget!CK:CK)</f>
        <v>0</v>
      </c>
      <c r="DQ169" s="22">
        <f>+_xlfn.XLOOKUP($CT169,Budget!$A:$A,Budget!CL:CL)</f>
        <v>0</v>
      </c>
      <c r="DR169" s="22">
        <f>+_xlfn.XLOOKUP($CT169,Budget!$A:$A,Budget!CM:CM)</f>
        <v>0</v>
      </c>
      <c r="DS169" s="22">
        <f>+_xlfn.XLOOKUP($CT169,Budget!$A:$A,Budget!CN:CN)</f>
        <v>0</v>
      </c>
      <c r="DT169" s="22">
        <f>+_xlfn.XLOOKUP($CT169,Budget!$A:$A,Budget!CO:CO)</f>
        <v>0</v>
      </c>
      <c r="DU169" s="106">
        <f t="shared" si="746"/>
        <v>0</v>
      </c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106">
        <f t="shared" si="747"/>
        <v>0</v>
      </c>
      <c r="EJ169" s="16" t="str">
        <f t="shared" si="601"/>
        <v>Repair and Maintenance - Flatbed</v>
      </c>
      <c r="EK169" s="22">
        <f>+VLOOKUP($BD169,'Jan-25'!$A:$J,9,0)</f>
        <v>0</v>
      </c>
      <c r="EL169" s="22">
        <f>+VLOOKUP($BD169,'Feb-25'!$A:$J,9,0)</f>
        <v>0</v>
      </c>
      <c r="EM169" s="22">
        <f>+VLOOKUP($BD169,'Mar-25'!$A:$J,9,0)</f>
        <v>0</v>
      </c>
      <c r="EN169" s="22">
        <f>+VLOOKUP($BD169,'Apr-25'!$A:$J,9,0)</f>
        <v>0</v>
      </c>
      <c r="EO169" s="22">
        <f>+VLOOKUP($BD169,'May-25'!$A:$J,9,0)</f>
        <v>0</v>
      </c>
      <c r="EP169" s="22">
        <f>+VLOOKUP($BD169,'June-25'!$A:$J,9,0)</f>
        <v>0</v>
      </c>
      <c r="EQ169" s="22">
        <f>+VLOOKUP($BD169,'July-25'!$A:$J,9,0)</f>
        <v>0</v>
      </c>
      <c r="ER169" s="22">
        <f>+VLOOKUP($BD169,'Aug-25'!$A:$J,9,0)</f>
        <v>0</v>
      </c>
      <c r="ES169" s="22">
        <f>+VLOOKUP($BD169,'Sep-25'!$A:$J,9,0)</f>
        <v>0</v>
      </c>
      <c r="ET169" s="22">
        <f>+VLOOKUP($BD169,'Oct-25'!$A:$J,9,0)</f>
        <v>0</v>
      </c>
      <c r="EU169" s="22">
        <f>+VLOOKUP($BD169,'Nov-25'!$A:$J,9,0)</f>
        <v>0</v>
      </c>
      <c r="EV169" s="22">
        <f>+VLOOKUP($BD169,'Dec-25'!$A:$J,9,0)</f>
        <v>0</v>
      </c>
      <c r="EW169" s="22">
        <f t="shared" si="748"/>
        <v>0</v>
      </c>
      <c r="EX169" s="118">
        <f t="shared" si="721"/>
        <v>0</v>
      </c>
      <c r="EY169" s="22">
        <f>+_xlfn.XLOOKUP($EJ169,Budget!$A:$A,Budget!DE:DE)</f>
        <v>0</v>
      </c>
      <c r="EZ169" s="22">
        <f>+_xlfn.XLOOKUP($EJ169,Budget!$A:$A,Budget!DF:DF)</f>
        <v>0</v>
      </c>
      <c r="FA169" s="22">
        <f>+_xlfn.XLOOKUP($EJ169,Budget!$A:$A,Budget!DG:DG)</f>
        <v>0</v>
      </c>
      <c r="FB169" s="22">
        <f>+_xlfn.XLOOKUP($EJ169,Budget!$A:$A,Budget!DH:DH)</f>
        <v>0</v>
      </c>
      <c r="FC169" s="22">
        <f>+_xlfn.XLOOKUP($EJ169,Budget!$A:$A,Budget!DI:DI)</f>
        <v>0</v>
      </c>
      <c r="FD169" s="22">
        <f>+_xlfn.XLOOKUP($EJ169,Budget!$A:$A,Budget!DJ:DJ)</f>
        <v>0</v>
      </c>
      <c r="FE169" s="22">
        <f>+_xlfn.XLOOKUP($EJ169,Budget!$A:$A,Budget!DK:DK)</f>
        <v>0</v>
      </c>
      <c r="FF169" s="22">
        <f>+_xlfn.XLOOKUP($EJ169,Budget!$A:$A,Budget!DL:DL)</f>
        <v>0</v>
      </c>
      <c r="FG169" s="22">
        <f>+_xlfn.XLOOKUP($EJ169,Budget!$A:$A,Budget!DM:DM)</f>
        <v>0</v>
      </c>
      <c r="FH169" s="22">
        <f>+_xlfn.XLOOKUP($EJ169,Budget!$A:$A,Budget!DN:DN)</f>
        <v>0</v>
      </c>
      <c r="FI169" s="22">
        <f>+_xlfn.XLOOKUP($EJ169,Budget!$A:$A,Budget!DO:DO)</f>
        <v>0</v>
      </c>
      <c r="FJ169" s="22">
        <f>+_xlfn.XLOOKUP($EJ169,Budget!$A:$A,Budget!DP:DP)</f>
        <v>0</v>
      </c>
      <c r="FK169" s="106">
        <f t="shared" si="749"/>
        <v>0</v>
      </c>
    </row>
    <row r="170" spans="1:167" ht="14.45" hidden="1" customHeight="1" outlineLevel="2">
      <c r="A170" s="106">
        <f t="shared" si="735"/>
        <v>0</v>
      </c>
      <c r="B170" s="106">
        <f t="shared" si="735"/>
        <v>0</v>
      </c>
      <c r="C170" s="106">
        <f t="shared" si="735"/>
        <v>7203.92</v>
      </c>
      <c r="D170" s="106">
        <f t="shared" si="735"/>
        <v>2226</v>
      </c>
      <c r="E170" s="106">
        <f t="shared" si="735"/>
        <v>2962.3933999999999</v>
      </c>
      <c r="F170" s="106">
        <f t="shared" si="735"/>
        <v>0</v>
      </c>
      <c r="G170" s="106">
        <f t="shared" si="735"/>
        <v>14298.068699999996</v>
      </c>
      <c r="H170" s="106">
        <f t="shared" si="735"/>
        <v>135</v>
      </c>
      <c r="I170" s="106">
        <f t="shared" si="735"/>
        <v>6354.064699999999</v>
      </c>
      <c r="J170" s="106">
        <f t="shared" si="735"/>
        <v>178.6</v>
      </c>
      <c r="K170" s="106">
        <f t="shared" si="735"/>
        <v>5056.25</v>
      </c>
      <c r="L170" s="106">
        <f t="shared" si="735"/>
        <v>5639.26</v>
      </c>
      <c r="M170" s="106">
        <f t="shared" si="736"/>
        <v>44053.556799999991</v>
      </c>
      <c r="N170" s="16" t="s">
        <v>142</v>
      </c>
      <c r="O170" s="22">
        <f t="shared" si="737"/>
        <v>1592.7719999999999</v>
      </c>
      <c r="P170" s="22">
        <f t="shared" si="737"/>
        <v>2136.6152999999995</v>
      </c>
      <c r="Q170" s="22">
        <f t="shared" si="737"/>
        <v>105094.51089999999</v>
      </c>
      <c r="R170" s="22">
        <f t="shared" si="737"/>
        <v>0</v>
      </c>
      <c r="S170" s="22">
        <f t="shared" si="737"/>
        <v>87102.804000000004</v>
      </c>
      <c r="T170" s="22">
        <f t="shared" si="737"/>
        <v>6717.57</v>
      </c>
      <c r="U170" s="22">
        <f t="shared" si="737"/>
        <v>8371.4830999999995</v>
      </c>
      <c r="V170" s="22">
        <f t="shared" si="737"/>
        <v>300</v>
      </c>
      <c r="W170" s="22">
        <f t="shared" si="737"/>
        <v>0</v>
      </c>
      <c r="X170" s="22">
        <f t="shared" si="737"/>
        <v>570</v>
      </c>
      <c r="Y170" s="22">
        <f t="shared" si="737"/>
        <v>0</v>
      </c>
      <c r="Z170" s="22">
        <f t="shared" si="737"/>
        <v>0</v>
      </c>
      <c r="AA170" s="22">
        <f t="shared" si="738"/>
        <v>211885.75530000002</v>
      </c>
      <c r="AB170" s="118">
        <f t="shared" si="708"/>
        <v>0</v>
      </c>
      <c r="AC170" s="22">
        <f t="shared" si="739"/>
        <v>0</v>
      </c>
      <c r="AD170" s="22">
        <f t="shared" si="739"/>
        <v>0</v>
      </c>
      <c r="AE170" s="22">
        <f t="shared" si="739"/>
        <v>0</v>
      </c>
      <c r="AF170" s="22">
        <f t="shared" si="739"/>
        <v>0</v>
      </c>
      <c r="AG170" s="22">
        <f t="shared" si="739"/>
        <v>0</v>
      </c>
      <c r="AH170" s="22">
        <f t="shared" si="739"/>
        <v>0</v>
      </c>
      <c r="AI170" s="22">
        <f t="shared" si="739"/>
        <v>0</v>
      </c>
      <c r="AJ170" s="22">
        <f t="shared" si="739"/>
        <v>4000</v>
      </c>
      <c r="AK170" s="22">
        <f t="shared" si="739"/>
        <v>5400</v>
      </c>
      <c r="AL170" s="22">
        <f t="shared" si="739"/>
        <v>0</v>
      </c>
      <c r="AM170" s="22">
        <f t="shared" si="739"/>
        <v>0</v>
      </c>
      <c r="AN170" s="22">
        <f t="shared" si="739"/>
        <v>0</v>
      </c>
      <c r="AO170" s="22">
        <f t="shared" si="740"/>
        <v>9400</v>
      </c>
      <c r="AQ170" s="106">
        <v>0</v>
      </c>
      <c r="AR170" s="106">
        <v>0</v>
      </c>
      <c r="AS170" s="106">
        <v>7203.92</v>
      </c>
      <c r="AT170" s="106">
        <v>0</v>
      </c>
      <c r="AU170" s="106">
        <v>2641.5956000000001</v>
      </c>
      <c r="AV170" s="106">
        <v>0</v>
      </c>
      <c r="AW170" s="106">
        <v>9532.0457999999981</v>
      </c>
      <c r="AX170" s="106">
        <v>90</v>
      </c>
      <c r="AY170" s="106">
        <v>4502.7097999999996</v>
      </c>
      <c r="AZ170" s="106">
        <v>162.4</v>
      </c>
      <c r="BA170" s="106">
        <v>4606.25</v>
      </c>
      <c r="BB170" s="106">
        <v>5594.26</v>
      </c>
      <c r="BC170" s="106">
        <f t="shared" si="741"/>
        <v>34333.181199999999</v>
      </c>
      <c r="BD170" s="16" t="str">
        <f t="shared" si="591"/>
        <v>Repair and Maintenance - Own Car</v>
      </c>
      <c r="BE170" s="22">
        <f>+VLOOKUP($BD170,'Jan-25'!$A:$J,4,0)</f>
        <v>0</v>
      </c>
      <c r="BF170" s="22">
        <f>+VLOOKUP($BD170,'Feb-25'!$A:$J,4,0)</f>
        <v>1424.4101999999998</v>
      </c>
      <c r="BG170" s="22">
        <f>+VLOOKUP($BD170,'Mar-25'!$A:$J,4,0)</f>
        <v>1760.3405999999993</v>
      </c>
      <c r="BH170" s="22">
        <f>+VLOOKUP($BD170,'Apr-25'!$A:$J,4,0)</f>
        <v>0</v>
      </c>
      <c r="BI170" s="22">
        <f>+VLOOKUP($BD170,'May-25'!$A:$J,4,0)</f>
        <v>71352.804000000004</v>
      </c>
      <c r="BJ170" s="22">
        <f>+VLOOKUP($BD170,'June-25'!$A:$J,4,0)</f>
        <v>6717.57</v>
      </c>
      <c r="BK170" s="22">
        <f>+VLOOKUP($BD170,'July-25'!$A:$J,4,0)</f>
        <v>7526.9654</v>
      </c>
      <c r="BL170" s="22">
        <f>+VLOOKUP($BD170,'Aug-25'!$A:$J,4,0)</f>
        <v>300</v>
      </c>
      <c r="BM170" s="22">
        <f>+VLOOKUP($BD170,'Sep-25'!$A:$J,4,0)</f>
        <v>0</v>
      </c>
      <c r="BN170" s="22">
        <f>+VLOOKUP($BD170,'Oct-25'!$A:$J,4,0)</f>
        <v>0</v>
      </c>
      <c r="BO170" s="22">
        <f>+VLOOKUP($BD170,'Nov-25'!$A:$J,4,0)</f>
        <v>0</v>
      </c>
      <c r="BP170" s="22">
        <f>+VLOOKUP($BD170,'Dec-25'!$A:$J,4,0)</f>
        <v>0</v>
      </c>
      <c r="BQ170" s="22">
        <f t="shared" si="742"/>
        <v>89082.090199999991</v>
      </c>
      <c r="BR170" s="118">
        <f t="shared" si="713"/>
        <v>0</v>
      </c>
      <c r="BS170" s="106">
        <f>+_xlfn.XLOOKUP($BD170,Budget!$A:$A,Budget!AQ:AQ)</f>
        <v>0</v>
      </c>
      <c r="BT170" s="106">
        <f>+_xlfn.XLOOKUP($BD170,Budget!$A:$A,Budget!AR:AR)</f>
        <v>0</v>
      </c>
      <c r="BU170" s="106">
        <f>+_xlfn.XLOOKUP($BD170,Budget!$A:$A,Budget!AS:AS)</f>
        <v>0</v>
      </c>
      <c r="BV170" s="106">
        <f>+_xlfn.XLOOKUP($BD170,Budget!$A:$A,Budget!AT:AT)</f>
        <v>0</v>
      </c>
      <c r="BW170" s="106">
        <f>+_xlfn.XLOOKUP($BD170,Budget!$A:$A,Budget!AU:AU)</f>
        <v>0</v>
      </c>
      <c r="BX170" s="106">
        <f>+_xlfn.XLOOKUP($BD170,Budget!$A:$A,Budget!AV:AV)</f>
        <v>0</v>
      </c>
      <c r="BY170" s="106">
        <f>+_xlfn.XLOOKUP($BD170,Budget!$A:$A,Budget!AW:AW)</f>
        <v>0</v>
      </c>
      <c r="BZ170" s="106">
        <f>+_xlfn.XLOOKUP($BD170,Budget!$A:$A,Budget!AX:AX)</f>
        <v>2000</v>
      </c>
      <c r="CA170" s="106">
        <f>+_xlfn.XLOOKUP($BD170,Budget!$A:$A,Budget!AY:AY)</f>
        <v>5400</v>
      </c>
      <c r="CB170" s="106">
        <f>+_xlfn.XLOOKUP($BD170,Budget!$A:$A,Budget!AZ:AZ)</f>
        <v>0</v>
      </c>
      <c r="CC170" s="106">
        <f>+_xlfn.XLOOKUP($BD170,Budget!$A:$A,Budget!BA:BA)</f>
        <v>0</v>
      </c>
      <c r="CD170" s="106">
        <f>+_xlfn.XLOOKUP($BD170,Budget!$A:$A,Budget!BB:BB)</f>
        <v>0</v>
      </c>
      <c r="CE170" s="106">
        <f t="shared" si="743"/>
        <v>7400</v>
      </c>
      <c r="CF170" s="22"/>
      <c r="CG170" s="22">
        <v>0</v>
      </c>
      <c r="CH170" s="22">
        <v>0</v>
      </c>
      <c r="CI170" s="22">
        <v>0</v>
      </c>
      <c r="CJ170" s="22">
        <v>2226</v>
      </c>
      <c r="CK170" s="22">
        <v>320.7978</v>
      </c>
      <c r="CL170" s="22">
        <v>0</v>
      </c>
      <c r="CM170" s="22">
        <v>4766.022899999999</v>
      </c>
      <c r="CN170" s="22">
        <v>45</v>
      </c>
      <c r="CO170" s="22">
        <v>1851.3548999999998</v>
      </c>
      <c r="CP170" s="22">
        <v>16.2</v>
      </c>
      <c r="CQ170" s="22">
        <v>450</v>
      </c>
      <c r="CR170" s="22">
        <v>45</v>
      </c>
      <c r="CS170" s="106">
        <f t="shared" si="744"/>
        <v>9720.3755999999994</v>
      </c>
      <c r="CT170" s="16" t="str">
        <f t="shared" si="595"/>
        <v>Repair and Maintenance - Own Car</v>
      </c>
      <c r="CU170" s="22">
        <f>+VLOOKUP($BD170,'Jan-25'!$A:$J,7,0)</f>
        <v>1592.7719999999999</v>
      </c>
      <c r="CV170" s="22">
        <f>+VLOOKUP($BD170,'Feb-25'!$A:$J,7,0)</f>
        <v>712.2050999999999</v>
      </c>
      <c r="CW170" s="22">
        <f>+VLOOKUP($BD170,'Mar-25'!$A:$J,7,0)</f>
        <v>103334.1703</v>
      </c>
      <c r="CX170" s="22">
        <f>+VLOOKUP($BD170,'Apr-25'!$A:$J,7,0)</f>
        <v>0</v>
      </c>
      <c r="CY170" s="22">
        <f>+VLOOKUP($BD170,'May-25'!$A:$J,7,0)</f>
        <v>15750</v>
      </c>
      <c r="CZ170" s="22">
        <f>+VLOOKUP($BD170,'June-25'!$A:$J,7,0)</f>
        <v>0</v>
      </c>
      <c r="DA170" s="22">
        <f>+VLOOKUP($BD170,'July-25'!$A:$J,7,0)</f>
        <v>844.51769999999999</v>
      </c>
      <c r="DB170" s="22">
        <f>+VLOOKUP($BD170,'Aug-25'!$A:$J,7,0)</f>
        <v>0</v>
      </c>
      <c r="DC170" s="22">
        <f>+VLOOKUP($BD170,'Sep-25'!$A:$J,7,0)</f>
        <v>0</v>
      </c>
      <c r="DD170" s="22">
        <f>+VLOOKUP($BD170,'Oct-25'!$A:$J,7,0)</f>
        <v>570</v>
      </c>
      <c r="DE170" s="22">
        <f>+VLOOKUP($BD170,'Nov-25'!$A:$J,7,0)</f>
        <v>0</v>
      </c>
      <c r="DF170" s="22">
        <f>+VLOOKUP($BD170,'Dec-25'!$A:$J,7,0)</f>
        <v>0</v>
      </c>
      <c r="DG170" s="22">
        <f t="shared" si="745"/>
        <v>122803.6651</v>
      </c>
      <c r="DH170" s="118">
        <f t="shared" si="717"/>
        <v>0</v>
      </c>
      <c r="DI170" s="22">
        <f>+_xlfn.XLOOKUP($CT170,Budget!$A:$A,Budget!CD:CD)</f>
        <v>0</v>
      </c>
      <c r="DJ170" s="22">
        <f>+_xlfn.XLOOKUP($CT170,Budget!$A:$A,Budget!CE:CE)</f>
        <v>0</v>
      </c>
      <c r="DK170" s="22">
        <f>+_xlfn.XLOOKUP($CT170,Budget!$A:$A,Budget!CF:CF)</f>
        <v>0</v>
      </c>
      <c r="DL170" s="22">
        <f>+_xlfn.XLOOKUP($CT170,Budget!$A:$A,Budget!CG:CG)</f>
        <v>0</v>
      </c>
      <c r="DM170" s="22">
        <f>+_xlfn.XLOOKUP($CT170,Budget!$A:$A,Budget!CH:CH)</f>
        <v>0</v>
      </c>
      <c r="DN170" s="22">
        <f>+_xlfn.XLOOKUP($CT170,Budget!$A:$A,Budget!CI:CI)</f>
        <v>0</v>
      </c>
      <c r="DO170" s="22">
        <f>+_xlfn.XLOOKUP($CT170,Budget!$A:$A,Budget!CJ:CJ)</f>
        <v>0</v>
      </c>
      <c r="DP170" s="22">
        <f>+_xlfn.XLOOKUP($CT170,Budget!$A:$A,Budget!CK:CK)</f>
        <v>2000</v>
      </c>
      <c r="DQ170" s="22">
        <f>+_xlfn.XLOOKUP($CT170,Budget!$A:$A,Budget!CL:CL)</f>
        <v>0</v>
      </c>
      <c r="DR170" s="22">
        <f>+_xlfn.XLOOKUP($CT170,Budget!$A:$A,Budget!CM:CM)</f>
        <v>0</v>
      </c>
      <c r="DS170" s="22">
        <f>+_xlfn.XLOOKUP($CT170,Budget!$A:$A,Budget!CN:CN)</f>
        <v>0</v>
      </c>
      <c r="DT170" s="22">
        <f>+_xlfn.XLOOKUP($CT170,Budget!$A:$A,Budget!CO:CO)</f>
        <v>0</v>
      </c>
      <c r="DU170" s="106">
        <f t="shared" si="746"/>
        <v>2000</v>
      </c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106">
        <f t="shared" si="747"/>
        <v>0</v>
      </c>
      <c r="EJ170" s="16" t="str">
        <f t="shared" si="601"/>
        <v>Repair and Maintenance - Own Car</v>
      </c>
      <c r="EK170" s="22">
        <f>+VLOOKUP($BD170,'Jan-25'!$A:$J,9,0)</f>
        <v>0</v>
      </c>
      <c r="EL170" s="22">
        <f>+VLOOKUP($BD170,'Feb-25'!$A:$J,9,0)</f>
        <v>0</v>
      </c>
      <c r="EM170" s="22">
        <f>+VLOOKUP($BD170,'Mar-25'!$A:$J,9,0)</f>
        <v>0</v>
      </c>
      <c r="EN170" s="22">
        <f>+VLOOKUP($BD170,'Apr-25'!$A:$J,9,0)</f>
        <v>0</v>
      </c>
      <c r="EO170" s="22">
        <f>+VLOOKUP($BD170,'May-25'!$A:$J,9,0)</f>
        <v>0</v>
      </c>
      <c r="EP170" s="22">
        <f>+VLOOKUP($BD170,'June-25'!$A:$J,9,0)</f>
        <v>0</v>
      </c>
      <c r="EQ170" s="22">
        <f>+VLOOKUP($BD170,'July-25'!$A:$J,9,0)</f>
        <v>0</v>
      </c>
      <c r="ER170" s="22">
        <f>+VLOOKUP($BD170,'Aug-25'!$A:$J,9,0)</f>
        <v>0</v>
      </c>
      <c r="ES170" s="22">
        <f>+VLOOKUP($BD170,'Sep-25'!$A:$J,9,0)</f>
        <v>0</v>
      </c>
      <c r="ET170" s="22">
        <f>+VLOOKUP($BD170,'Oct-25'!$A:$J,9,0)</f>
        <v>0</v>
      </c>
      <c r="EU170" s="22">
        <f>+VLOOKUP($BD170,'Nov-25'!$A:$J,9,0)</f>
        <v>0</v>
      </c>
      <c r="EV170" s="22">
        <f>+VLOOKUP($BD170,'Dec-25'!$A:$J,9,0)</f>
        <v>0</v>
      </c>
      <c r="EW170" s="22">
        <f t="shared" si="748"/>
        <v>0</v>
      </c>
      <c r="EX170" s="118">
        <f t="shared" si="721"/>
        <v>0</v>
      </c>
      <c r="EY170" s="22">
        <f>+_xlfn.XLOOKUP($EJ170,Budget!$A:$A,Budget!DE:DE)</f>
        <v>0</v>
      </c>
      <c r="EZ170" s="22">
        <f>+_xlfn.XLOOKUP($EJ170,Budget!$A:$A,Budget!DF:DF)</f>
        <v>0</v>
      </c>
      <c r="FA170" s="22">
        <f>+_xlfn.XLOOKUP($EJ170,Budget!$A:$A,Budget!DG:DG)</f>
        <v>0</v>
      </c>
      <c r="FB170" s="22">
        <f>+_xlfn.XLOOKUP($EJ170,Budget!$A:$A,Budget!DH:DH)</f>
        <v>0</v>
      </c>
      <c r="FC170" s="22">
        <f>+_xlfn.XLOOKUP($EJ170,Budget!$A:$A,Budget!DI:DI)</f>
        <v>0</v>
      </c>
      <c r="FD170" s="22">
        <f>+_xlfn.XLOOKUP($EJ170,Budget!$A:$A,Budget!DJ:DJ)</f>
        <v>0</v>
      </c>
      <c r="FE170" s="22">
        <f>+_xlfn.XLOOKUP($EJ170,Budget!$A:$A,Budget!DK:DK)</f>
        <v>0</v>
      </c>
      <c r="FF170" s="22">
        <f>+_xlfn.XLOOKUP($EJ170,Budget!$A:$A,Budget!DL:DL)</f>
        <v>0</v>
      </c>
      <c r="FG170" s="22">
        <f>+_xlfn.XLOOKUP($EJ170,Budget!$A:$A,Budget!DM:DM)</f>
        <v>0</v>
      </c>
      <c r="FH170" s="22">
        <f>+_xlfn.XLOOKUP($EJ170,Budget!$A:$A,Budget!DN:DN)</f>
        <v>0</v>
      </c>
      <c r="FI170" s="22">
        <f>+_xlfn.XLOOKUP($EJ170,Budget!$A:$A,Budget!DO:DO)</f>
        <v>0</v>
      </c>
      <c r="FJ170" s="22">
        <f>+_xlfn.XLOOKUP($EJ170,Budget!$A:$A,Budget!DP:DP)</f>
        <v>0</v>
      </c>
      <c r="FK170" s="106">
        <f t="shared" si="749"/>
        <v>0</v>
      </c>
    </row>
    <row r="171" spans="1:167" ht="14.45" hidden="1" customHeight="1" outlineLevel="2">
      <c r="A171" s="106">
        <f t="shared" si="735"/>
        <v>0</v>
      </c>
      <c r="B171" s="106">
        <f t="shared" si="735"/>
        <v>0</v>
      </c>
      <c r="C171" s="106">
        <f t="shared" si="735"/>
        <v>0</v>
      </c>
      <c r="D171" s="106">
        <f t="shared" si="735"/>
        <v>0</v>
      </c>
      <c r="E171" s="106">
        <f t="shared" si="735"/>
        <v>0</v>
      </c>
      <c r="F171" s="106">
        <f t="shared" si="735"/>
        <v>0</v>
      </c>
      <c r="G171" s="106">
        <f t="shared" si="735"/>
        <v>0</v>
      </c>
      <c r="H171" s="106">
        <f t="shared" si="735"/>
        <v>0</v>
      </c>
      <c r="I171" s="106">
        <f t="shared" si="735"/>
        <v>0</v>
      </c>
      <c r="J171" s="106">
        <f t="shared" si="735"/>
        <v>0</v>
      </c>
      <c r="K171" s="106">
        <f t="shared" si="735"/>
        <v>0</v>
      </c>
      <c r="L171" s="106">
        <f t="shared" si="735"/>
        <v>0</v>
      </c>
      <c r="M171" s="106">
        <f t="shared" si="736"/>
        <v>0</v>
      </c>
      <c r="N171" s="16" t="s">
        <v>143</v>
      </c>
      <c r="O171" s="22">
        <f t="shared" si="737"/>
        <v>0</v>
      </c>
      <c r="P171" s="22">
        <f t="shared" si="737"/>
        <v>0</v>
      </c>
      <c r="Q171" s="22">
        <f t="shared" si="737"/>
        <v>0</v>
      </c>
      <c r="R171" s="22">
        <f t="shared" si="737"/>
        <v>0</v>
      </c>
      <c r="S171" s="22">
        <f t="shared" si="737"/>
        <v>0</v>
      </c>
      <c r="T171" s="22">
        <f t="shared" si="737"/>
        <v>0</v>
      </c>
      <c r="U171" s="22">
        <f t="shared" si="737"/>
        <v>0</v>
      </c>
      <c r="V171" s="22">
        <f t="shared" si="737"/>
        <v>0</v>
      </c>
      <c r="W171" s="22">
        <f t="shared" si="737"/>
        <v>0</v>
      </c>
      <c r="X171" s="22">
        <f t="shared" si="737"/>
        <v>0</v>
      </c>
      <c r="Y171" s="22">
        <f t="shared" si="737"/>
        <v>0</v>
      </c>
      <c r="Z171" s="22">
        <f t="shared" si="737"/>
        <v>0</v>
      </c>
      <c r="AA171" s="22">
        <f t="shared" si="738"/>
        <v>0</v>
      </c>
      <c r="AB171" s="118">
        <f t="shared" si="708"/>
        <v>-1</v>
      </c>
      <c r="AC171" s="22">
        <f t="shared" si="739"/>
        <v>500</v>
      </c>
      <c r="AD171" s="22">
        <f t="shared" si="739"/>
        <v>500</v>
      </c>
      <c r="AE171" s="22">
        <f t="shared" si="739"/>
        <v>500</v>
      </c>
      <c r="AF171" s="22">
        <f t="shared" si="739"/>
        <v>500</v>
      </c>
      <c r="AG171" s="22">
        <f t="shared" si="739"/>
        <v>500</v>
      </c>
      <c r="AH171" s="22">
        <f t="shared" si="739"/>
        <v>500</v>
      </c>
      <c r="AI171" s="22">
        <f t="shared" si="739"/>
        <v>500</v>
      </c>
      <c r="AJ171" s="22">
        <f t="shared" si="739"/>
        <v>500</v>
      </c>
      <c r="AK171" s="22">
        <f t="shared" si="739"/>
        <v>500</v>
      </c>
      <c r="AL171" s="22">
        <f t="shared" si="739"/>
        <v>500</v>
      </c>
      <c r="AM171" s="22">
        <f t="shared" si="739"/>
        <v>500</v>
      </c>
      <c r="AN171" s="22">
        <f t="shared" si="739"/>
        <v>500</v>
      </c>
      <c r="AO171" s="22">
        <f t="shared" si="740"/>
        <v>6000</v>
      </c>
      <c r="AQ171" s="106">
        <v>0</v>
      </c>
      <c r="AR171" s="106">
        <v>0</v>
      </c>
      <c r="AS171" s="106">
        <v>0</v>
      </c>
      <c r="AT171" s="106">
        <v>0</v>
      </c>
      <c r="AU171" s="106">
        <v>0</v>
      </c>
      <c r="AV171" s="106">
        <v>0</v>
      </c>
      <c r="AW171" s="106">
        <v>0</v>
      </c>
      <c r="AX171" s="106">
        <v>0</v>
      </c>
      <c r="AY171" s="106">
        <v>0</v>
      </c>
      <c r="AZ171" s="106">
        <v>0</v>
      </c>
      <c r="BA171" s="106">
        <v>0</v>
      </c>
      <c r="BB171" s="106">
        <v>0</v>
      </c>
      <c r="BC171" s="106">
        <f t="shared" si="741"/>
        <v>0</v>
      </c>
      <c r="BD171" s="16" t="str">
        <f t="shared" si="591"/>
        <v>Repair and Maintenance - Pickup Vehicle</v>
      </c>
      <c r="BE171" s="22">
        <f>+VLOOKUP($BD171,'Jan-25'!$A:$J,4,0)</f>
        <v>0</v>
      </c>
      <c r="BF171" s="22">
        <f>+VLOOKUP($BD171,'Feb-25'!$A:$J,4,0)</f>
        <v>0</v>
      </c>
      <c r="BG171" s="22">
        <f>+VLOOKUP($BD171,'Mar-25'!$A:$J,4,0)</f>
        <v>0</v>
      </c>
      <c r="BH171" s="22">
        <f>+VLOOKUP($BD171,'Apr-25'!$A:$J,4,0)</f>
        <v>0</v>
      </c>
      <c r="BI171" s="22">
        <f>+VLOOKUP($BD171,'May-25'!$A:$J,4,0)</f>
        <v>0</v>
      </c>
      <c r="BJ171" s="22">
        <f>+VLOOKUP($BD171,'June-25'!$A:$J,4,0)</f>
        <v>0</v>
      </c>
      <c r="BK171" s="22">
        <f>+VLOOKUP($BD171,'July-25'!$A:$J,4,0)</f>
        <v>0</v>
      </c>
      <c r="BL171" s="22">
        <f>+VLOOKUP($BD171,'Aug-25'!$A:$J,4,0)</f>
        <v>0</v>
      </c>
      <c r="BM171" s="22">
        <f>+VLOOKUP($BD171,'Sep-25'!$A:$J,4,0)</f>
        <v>0</v>
      </c>
      <c r="BN171" s="22">
        <f>+VLOOKUP($BD171,'Oct-25'!$A:$J,4,0)</f>
        <v>0</v>
      </c>
      <c r="BO171" s="22">
        <f>+VLOOKUP($BD171,'Nov-25'!$A:$J,4,0)</f>
        <v>0</v>
      </c>
      <c r="BP171" s="22">
        <f>+VLOOKUP($BD171,'Dec-25'!$A:$J,4,0)</f>
        <v>0</v>
      </c>
      <c r="BQ171" s="22">
        <f t="shared" si="742"/>
        <v>0</v>
      </c>
      <c r="BR171" s="118">
        <f t="shared" si="713"/>
        <v>0</v>
      </c>
      <c r="BS171" s="106">
        <f>+_xlfn.XLOOKUP($BD171,Budget!$A:$A,Budget!AQ:AQ)</f>
        <v>0</v>
      </c>
      <c r="BT171" s="106">
        <f>+_xlfn.XLOOKUP($BD171,Budget!$A:$A,Budget!AR:AR)</f>
        <v>0</v>
      </c>
      <c r="BU171" s="106">
        <f>+_xlfn.XLOOKUP($BD171,Budget!$A:$A,Budget!AS:AS)</f>
        <v>0</v>
      </c>
      <c r="BV171" s="106">
        <f>+_xlfn.XLOOKUP($BD171,Budget!$A:$A,Budget!AT:AT)</f>
        <v>0</v>
      </c>
      <c r="BW171" s="106">
        <f>+_xlfn.XLOOKUP($BD171,Budget!$A:$A,Budget!AU:AU)</f>
        <v>0</v>
      </c>
      <c r="BX171" s="106">
        <f>+_xlfn.XLOOKUP($BD171,Budget!$A:$A,Budget!AV:AV)</f>
        <v>0</v>
      </c>
      <c r="BY171" s="106">
        <f>+_xlfn.XLOOKUP($BD171,Budget!$A:$A,Budget!AW:AW)</f>
        <v>0</v>
      </c>
      <c r="BZ171" s="106">
        <f>+_xlfn.XLOOKUP($BD171,Budget!$A:$A,Budget!AX:AX)</f>
        <v>0</v>
      </c>
      <c r="CA171" s="106">
        <f>+_xlfn.XLOOKUP($BD171,Budget!$A:$A,Budget!AY:AY)</f>
        <v>0</v>
      </c>
      <c r="CB171" s="106">
        <f>+_xlfn.XLOOKUP($BD171,Budget!$A:$A,Budget!AZ:AZ)</f>
        <v>0</v>
      </c>
      <c r="CC171" s="106">
        <f>+_xlfn.XLOOKUP($BD171,Budget!$A:$A,Budget!BA:BA)</f>
        <v>0</v>
      </c>
      <c r="CD171" s="106">
        <f>+_xlfn.XLOOKUP($BD171,Budget!$A:$A,Budget!BB:BB)</f>
        <v>0</v>
      </c>
      <c r="CE171" s="106">
        <f t="shared" si="743"/>
        <v>0</v>
      </c>
      <c r="CF171" s="22"/>
      <c r="CG171" s="22">
        <v>0</v>
      </c>
      <c r="CH171" s="22">
        <v>0</v>
      </c>
      <c r="CI171" s="22">
        <v>0</v>
      </c>
      <c r="CJ171" s="22">
        <v>0</v>
      </c>
      <c r="CK171" s="22">
        <v>0</v>
      </c>
      <c r="CL171" s="22">
        <v>0</v>
      </c>
      <c r="CM171" s="22">
        <v>0</v>
      </c>
      <c r="CN171" s="22">
        <v>0</v>
      </c>
      <c r="CO171" s="22">
        <v>0</v>
      </c>
      <c r="CP171" s="22">
        <v>0</v>
      </c>
      <c r="CQ171" s="22">
        <v>0</v>
      </c>
      <c r="CR171" s="22">
        <v>0</v>
      </c>
      <c r="CS171" s="106">
        <f t="shared" si="744"/>
        <v>0</v>
      </c>
      <c r="CT171" s="16" t="str">
        <f t="shared" si="595"/>
        <v>Repair and Maintenance - Pickup Vehicle</v>
      </c>
      <c r="CU171" s="22">
        <f>+VLOOKUP($BD171,'Jan-25'!$A:$J,7,0)</f>
        <v>0</v>
      </c>
      <c r="CV171" s="22">
        <f>+VLOOKUP($BD171,'Feb-25'!$A:$J,7,0)</f>
        <v>0</v>
      </c>
      <c r="CW171" s="22">
        <f>+VLOOKUP($BD171,'Mar-25'!$A:$J,7,0)</f>
        <v>0</v>
      </c>
      <c r="CX171" s="22">
        <f>+VLOOKUP($BD171,'Apr-25'!$A:$J,7,0)</f>
        <v>0</v>
      </c>
      <c r="CY171" s="22">
        <f>+VLOOKUP($BD171,'May-25'!$A:$J,7,0)</f>
        <v>0</v>
      </c>
      <c r="CZ171" s="22">
        <f>+VLOOKUP($BD171,'June-25'!$A:$J,7,0)</f>
        <v>0</v>
      </c>
      <c r="DA171" s="22">
        <f>+VLOOKUP($BD171,'July-25'!$A:$J,7,0)</f>
        <v>0</v>
      </c>
      <c r="DB171" s="22">
        <f>+VLOOKUP($BD171,'Aug-25'!$A:$J,7,0)</f>
        <v>0</v>
      </c>
      <c r="DC171" s="22">
        <f>+VLOOKUP($BD171,'Sep-25'!$A:$J,7,0)</f>
        <v>0</v>
      </c>
      <c r="DD171" s="22">
        <f>+VLOOKUP($BD171,'Oct-25'!$A:$J,7,0)</f>
        <v>0</v>
      </c>
      <c r="DE171" s="22">
        <f>+VLOOKUP($BD171,'Nov-25'!$A:$J,7,0)</f>
        <v>0</v>
      </c>
      <c r="DF171" s="22">
        <f>+VLOOKUP($BD171,'Dec-25'!$A:$J,7,0)</f>
        <v>0</v>
      </c>
      <c r="DG171" s="22">
        <f t="shared" si="745"/>
        <v>0</v>
      </c>
      <c r="DH171" s="118">
        <f t="shared" si="717"/>
        <v>0</v>
      </c>
      <c r="DI171" s="22">
        <f>+_xlfn.XLOOKUP($CT171,Budget!$A:$A,Budget!CD:CD)</f>
        <v>0</v>
      </c>
      <c r="DJ171" s="22">
        <f>+_xlfn.XLOOKUP($CT171,Budget!$A:$A,Budget!CE:CE)</f>
        <v>0</v>
      </c>
      <c r="DK171" s="22">
        <f>+_xlfn.XLOOKUP($CT171,Budget!$A:$A,Budget!CF:CF)</f>
        <v>0</v>
      </c>
      <c r="DL171" s="22">
        <f>+_xlfn.XLOOKUP($CT171,Budget!$A:$A,Budget!CG:CG)</f>
        <v>0</v>
      </c>
      <c r="DM171" s="22">
        <f>+_xlfn.XLOOKUP($CT171,Budget!$A:$A,Budget!CH:CH)</f>
        <v>0</v>
      </c>
      <c r="DN171" s="22">
        <f>+_xlfn.XLOOKUP($CT171,Budget!$A:$A,Budget!CI:CI)</f>
        <v>0</v>
      </c>
      <c r="DO171" s="22">
        <f>+_xlfn.XLOOKUP($CT171,Budget!$A:$A,Budget!CJ:CJ)</f>
        <v>0</v>
      </c>
      <c r="DP171" s="22">
        <f>+_xlfn.XLOOKUP($CT171,Budget!$A:$A,Budget!CK:CK)</f>
        <v>0</v>
      </c>
      <c r="DQ171" s="22">
        <f>+_xlfn.XLOOKUP($CT171,Budget!$A:$A,Budget!CL:CL)</f>
        <v>0</v>
      </c>
      <c r="DR171" s="22">
        <f>+_xlfn.XLOOKUP($CT171,Budget!$A:$A,Budget!CM:CM)</f>
        <v>0</v>
      </c>
      <c r="DS171" s="22">
        <f>+_xlfn.XLOOKUP($CT171,Budget!$A:$A,Budget!CN:CN)</f>
        <v>0</v>
      </c>
      <c r="DT171" s="22">
        <f>+_xlfn.XLOOKUP($CT171,Budget!$A:$A,Budget!CO:CO)</f>
        <v>0</v>
      </c>
      <c r="DU171" s="106">
        <f t="shared" si="746"/>
        <v>0</v>
      </c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106">
        <f t="shared" si="747"/>
        <v>0</v>
      </c>
      <c r="EJ171" s="16" t="str">
        <f t="shared" si="601"/>
        <v>Repair and Maintenance - Pickup Vehicle</v>
      </c>
      <c r="EK171" s="22">
        <f>+VLOOKUP($BD171,'Jan-25'!$A:$J,9,0)</f>
        <v>0</v>
      </c>
      <c r="EL171" s="22">
        <f>+VLOOKUP($BD171,'Feb-25'!$A:$J,9,0)</f>
        <v>0</v>
      </c>
      <c r="EM171" s="22">
        <f>+VLOOKUP($BD171,'Mar-25'!$A:$J,9,0)</f>
        <v>0</v>
      </c>
      <c r="EN171" s="22">
        <f>+VLOOKUP($BD171,'Apr-25'!$A:$J,9,0)</f>
        <v>0</v>
      </c>
      <c r="EO171" s="22">
        <f>+VLOOKUP($BD171,'May-25'!$A:$J,9,0)</f>
        <v>0</v>
      </c>
      <c r="EP171" s="22">
        <f>+VLOOKUP($BD171,'June-25'!$A:$J,9,0)</f>
        <v>0</v>
      </c>
      <c r="EQ171" s="22">
        <f>+VLOOKUP($BD171,'July-25'!$A:$J,9,0)</f>
        <v>0</v>
      </c>
      <c r="ER171" s="22">
        <f>+VLOOKUP($BD171,'Aug-25'!$A:$J,9,0)</f>
        <v>0</v>
      </c>
      <c r="ES171" s="22">
        <f>+VLOOKUP($BD171,'Sep-25'!$A:$J,9,0)</f>
        <v>0</v>
      </c>
      <c r="ET171" s="22">
        <f>+VLOOKUP($BD171,'Oct-25'!$A:$J,9,0)</f>
        <v>0</v>
      </c>
      <c r="EU171" s="22">
        <f>+VLOOKUP($BD171,'Nov-25'!$A:$J,9,0)</f>
        <v>0</v>
      </c>
      <c r="EV171" s="22">
        <f>+VLOOKUP($BD171,'Dec-25'!$A:$J,9,0)</f>
        <v>0</v>
      </c>
      <c r="EW171" s="22">
        <f t="shared" si="748"/>
        <v>0</v>
      </c>
      <c r="EX171" s="118">
        <f t="shared" si="721"/>
        <v>-1</v>
      </c>
      <c r="EY171" s="22">
        <f>+_xlfn.XLOOKUP($EJ171,Budget!$A:$A,Budget!DE:DE)</f>
        <v>500</v>
      </c>
      <c r="EZ171" s="22">
        <f>+_xlfn.XLOOKUP($EJ171,Budget!$A:$A,Budget!DF:DF)</f>
        <v>500</v>
      </c>
      <c r="FA171" s="22">
        <f>+_xlfn.XLOOKUP($EJ171,Budget!$A:$A,Budget!DG:DG)</f>
        <v>500</v>
      </c>
      <c r="FB171" s="22">
        <f>+_xlfn.XLOOKUP($EJ171,Budget!$A:$A,Budget!DH:DH)</f>
        <v>500</v>
      </c>
      <c r="FC171" s="22">
        <f>+_xlfn.XLOOKUP($EJ171,Budget!$A:$A,Budget!DI:DI)</f>
        <v>500</v>
      </c>
      <c r="FD171" s="22">
        <f>+_xlfn.XLOOKUP($EJ171,Budget!$A:$A,Budget!DJ:DJ)</f>
        <v>500</v>
      </c>
      <c r="FE171" s="22">
        <f>+_xlfn.XLOOKUP($EJ171,Budget!$A:$A,Budget!DK:DK)</f>
        <v>500</v>
      </c>
      <c r="FF171" s="22">
        <f>+_xlfn.XLOOKUP($EJ171,Budget!$A:$A,Budget!DL:DL)</f>
        <v>500</v>
      </c>
      <c r="FG171" s="22">
        <f>+_xlfn.XLOOKUP($EJ171,Budget!$A:$A,Budget!DM:DM)</f>
        <v>500</v>
      </c>
      <c r="FH171" s="22">
        <f>+_xlfn.XLOOKUP($EJ171,Budget!$A:$A,Budget!DN:DN)</f>
        <v>500</v>
      </c>
      <c r="FI171" s="22">
        <f>+_xlfn.XLOOKUP($EJ171,Budget!$A:$A,Budget!DO:DO)</f>
        <v>500</v>
      </c>
      <c r="FJ171" s="22">
        <f>+_xlfn.XLOOKUP($EJ171,Budget!$A:$A,Budget!DP:DP)</f>
        <v>500</v>
      </c>
      <c r="FK171" s="106">
        <f t="shared" si="749"/>
        <v>6000</v>
      </c>
    </row>
    <row r="172" spans="1:167" ht="14.45" hidden="1" customHeight="1" outlineLevel="1">
      <c r="A172" s="58">
        <f t="shared" ref="A172:L172" si="750">+SUM(A173:A177)</f>
        <v>140508.43709999981</v>
      </c>
      <c r="B172" s="58">
        <f t="shared" si="750"/>
        <v>140457.31799999982</v>
      </c>
      <c r="C172" s="58">
        <f t="shared" si="750"/>
        <v>137549.31269999981</v>
      </c>
      <c r="D172" s="58">
        <f t="shared" si="750"/>
        <v>147999.6</v>
      </c>
      <c r="E172" s="58">
        <f t="shared" si="750"/>
        <v>147999.6</v>
      </c>
      <c r="F172" s="58">
        <f t="shared" si="750"/>
        <v>147999.6</v>
      </c>
      <c r="G172" s="58">
        <f t="shared" si="750"/>
        <v>147999.6</v>
      </c>
      <c r="H172" s="58">
        <f t="shared" si="750"/>
        <v>147999.6</v>
      </c>
      <c r="I172" s="58">
        <f t="shared" si="750"/>
        <v>147999.68909999999</v>
      </c>
      <c r="J172" s="58">
        <f t="shared" si="750"/>
        <v>179860.6</v>
      </c>
      <c r="K172" s="58">
        <f t="shared" si="750"/>
        <v>147468.70439999999</v>
      </c>
      <c r="L172" s="58">
        <f t="shared" si="750"/>
        <v>147092.04</v>
      </c>
      <c r="M172" s="58">
        <f t="shared" ref="M172" si="751">+SUM(M173:M177)</f>
        <v>1780934.1012999993</v>
      </c>
      <c r="N172" s="20" t="s">
        <v>144</v>
      </c>
      <c r="O172" s="28">
        <f t="shared" ref="O172:Z172" si="752">+SUM(O173:O177)</f>
        <v>211353.27</v>
      </c>
      <c r="P172" s="28">
        <f t="shared" si="752"/>
        <v>211353.27</v>
      </c>
      <c r="Q172" s="28">
        <f t="shared" si="752"/>
        <v>211533.60709999999</v>
      </c>
      <c r="R172" s="28">
        <f t="shared" si="752"/>
        <v>211353.60709999999</v>
      </c>
      <c r="S172" s="28">
        <f t="shared" si="752"/>
        <v>319224.02709999995</v>
      </c>
      <c r="T172" s="28">
        <f t="shared" si="752"/>
        <v>388038.03710000002</v>
      </c>
      <c r="U172" s="28">
        <f t="shared" si="752"/>
        <v>378088.54482222226</v>
      </c>
      <c r="V172" s="28">
        <f t="shared" si="752"/>
        <v>258513.93090000001</v>
      </c>
      <c r="W172" s="28">
        <f t="shared" si="752"/>
        <v>288514.02</v>
      </c>
      <c r="X172" s="28">
        <f t="shared" si="752"/>
        <v>258514.02</v>
      </c>
      <c r="Y172" s="28">
        <f t="shared" si="752"/>
        <v>0</v>
      </c>
      <c r="Z172" s="28">
        <f t="shared" si="752"/>
        <v>0</v>
      </c>
      <c r="AA172" s="28">
        <f t="shared" ref="AA172" si="753">+SUM(AA173:AA177)</f>
        <v>2736486.3341222224</v>
      </c>
      <c r="AB172" s="118">
        <f t="shared" si="708"/>
        <v>-0.20777284386463307</v>
      </c>
      <c r="AC172" s="28">
        <f t="shared" ref="AC172:AN172" si="754">+SUM(AC173:AC177)</f>
        <v>326313</v>
      </c>
      <c r="AD172" s="28">
        <f t="shared" si="754"/>
        <v>326313</v>
      </c>
      <c r="AE172" s="28">
        <f t="shared" si="754"/>
        <v>326313</v>
      </c>
      <c r="AF172" s="28">
        <f t="shared" si="754"/>
        <v>326313</v>
      </c>
      <c r="AG172" s="28">
        <f t="shared" si="754"/>
        <v>326313</v>
      </c>
      <c r="AH172" s="28">
        <f t="shared" si="754"/>
        <v>326313</v>
      </c>
      <c r="AI172" s="28">
        <f t="shared" si="754"/>
        <v>326313</v>
      </c>
      <c r="AJ172" s="28">
        <f t="shared" si="754"/>
        <v>326313</v>
      </c>
      <c r="AK172" s="28">
        <f t="shared" si="754"/>
        <v>326313</v>
      </c>
      <c r="AL172" s="28">
        <f t="shared" si="754"/>
        <v>326313</v>
      </c>
      <c r="AM172" s="28">
        <f t="shared" si="754"/>
        <v>326313</v>
      </c>
      <c r="AN172" s="28">
        <f t="shared" si="754"/>
        <v>326313</v>
      </c>
      <c r="AO172" s="28">
        <f t="shared" ref="AO172" si="755">+SUM(AO173:AO177)</f>
        <v>3915756</v>
      </c>
      <c r="AQ172" s="58">
        <f t="shared" ref="AQ172:BB172" si="756">+SUM(AQ173:AQ177)</f>
        <v>91208.710199999885</v>
      </c>
      <c r="AR172" s="58">
        <f t="shared" si="756"/>
        <v>91174.630799999883</v>
      </c>
      <c r="AS172" s="58">
        <f t="shared" si="756"/>
        <v>89235.960599999889</v>
      </c>
      <c r="AT172" s="58">
        <f t="shared" si="756"/>
        <v>95702.399999999994</v>
      </c>
      <c r="AU172" s="58">
        <f t="shared" si="756"/>
        <v>95702.399999999994</v>
      </c>
      <c r="AV172" s="58">
        <f t="shared" si="756"/>
        <v>95702.399999999994</v>
      </c>
      <c r="AW172" s="58">
        <f t="shared" si="756"/>
        <v>95702.399999999994</v>
      </c>
      <c r="AX172" s="58">
        <f t="shared" si="756"/>
        <v>95702.399999999994</v>
      </c>
      <c r="AY172" s="58">
        <f t="shared" si="756"/>
        <v>95702.459400000007</v>
      </c>
      <c r="AZ172" s="58">
        <f t="shared" si="756"/>
        <v>127563.4</v>
      </c>
      <c r="BA172" s="58">
        <f t="shared" si="756"/>
        <v>95348.469599999997</v>
      </c>
      <c r="BB172" s="58">
        <f t="shared" si="756"/>
        <v>95097.42</v>
      </c>
      <c r="BC172" s="58">
        <f>+SUM(AQ172:BB172)</f>
        <v>1163843.0505999997</v>
      </c>
      <c r="BD172" s="20" t="str">
        <f t="shared" si="591"/>
        <v>System Updation charge -Mercedes</v>
      </c>
      <c r="BE172" s="28">
        <f t="shared" ref="BE172:BQ172" si="757">+SUM(BE173:BE177)</f>
        <v>133885.24</v>
      </c>
      <c r="BF172" s="28">
        <f t="shared" si="757"/>
        <v>199130.04</v>
      </c>
      <c r="BG172" s="28">
        <f t="shared" si="757"/>
        <v>199310.47940000001</v>
      </c>
      <c r="BH172" s="28">
        <f t="shared" si="757"/>
        <v>199130.47940000001</v>
      </c>
      <c r="BI172" s="28">
        <f t="shared" si="757"/>
        <v>247220.49939999997</v>
      </c>
      <c r="BJ172" s="28">
        <f t="shared" si="757"/>
        <v>207595.59940000001</v>
      </c>
      <c r="BK172" s="28">
        <f t="shared" si="757"/>
        <v>200962.60395555559</v>
      </c>
      <c r="BL172" s="28">
        <f t="shared" si="757"/>
        <v>129191.4206</v>
      </c>
      <c r="BM172" s="28">
        <f t="shared" si="757"/>
        <v>159191.47999999998</v>
      </c>
      <c r="BN172" s="28">
        <f t="shared" si="757"/>
        <v>129191.48</v>
      </c>
      <c r="BO172" s="28">
        <f t="shared" si="757"/>
        <v>0</v>
      </c>
      <c r="BP172" s="28">
        <f t="shared" si="757"/>
        <v>0</v>
      </c>
      <c r="BQ172" s="28">
        <f t="shared" si="757"/>
        <v>1804809.3221555555</v>
      </c>
      <c r="BR172" s="118">
        <f t="shared" si="713"/>
        <v>-0.23510076968620489</v>
      </c>
      <c r="BS172" s="58">
        <f t="shared" ref="BS172:CD172" si="758">+SUM(BS173:BS177)</f>
        <v>168900</v>
      </c>
      <c r="BT172" s="58">
        <f t="shared" si="758"/>
        <v>168900</v>
      </c>
      <c r="BU172" s="58">
        <f t="shared" si="758"/>
        <v>168900</v>
      </c>
      <c r="BV172" s="58">
        <f t="shared" si="758"/>
        <v>168900</v>
      </c>
      <c r="BW172" s="58">
        <f t="shared" si="758"/>
        <v>168900</v>
      </c>
      <c r="BX172" s="58">
        <f t="shared" si="758"/>
        <v>168900</v>
      </c>
      <c r="BY172" s="58">
        <f t="shared" si="758"/>
        <v>168900</v>
      </c>
      <c r="BZ172" s="58">
        <f t="shared" si="758"/>
        <v>168900</v>
      </c>
      <c r="CA172" s="58">
        <f t="shared" si="758"/>
        <v>168900</v>
      </c>
      <c r="CB172" s="58">
        <f t="shared" si="758"/>
        <v>168900</v>
      </c>
      <c r="CC172" s="58">
        <f t="shared" si="758"/>
        <v>168900</v>
      </c>
      <c r="CD172" s="58">
        <f t="shared" si="758"/>
        <v>168900</v>
      </c>
      <c r="CE172" s="58">
        <f>+SUM(BS172:CD172)</f>
        <v>2026800</v>
      </c>
      <c r="CF172" s="22"/>
      <c r="CG172" s="28">
        <f t="shared" ref="CG172:CR172" si="759">+SUM(CG173:CG177)</f>
        <v>49299.726899999929</v>
      </c>
      <c r="CH172" s="28">
        <f t="shared" si="759"/>
        <v>49282.687199999928</v>
      </c>
      <c r="CI172" s="28">
        <f t="shared" si="759"/>
        <v>48313.352099999931</v>
      </c>
      <c r="CJ172" s="28">
        <f t="shared" si="759"/>
        <v>52297.2</v>
      </c>
      <c r="CK172" s="28">
        <f t="shared" si="759"/>
        <v>52297.2</v>
      </c>
      <c r="CL172" s="28">
        <f t="shared" si="759"/>
        <v>52297.2</v>
      </c>
      <c r="CM172" s="28">
        <f t="shared" si="759"/>
        <v>52297.2</v>
      </c>
      <c r="CN172" s="28">
        <f t="shared" si="759"/>
        <v>52297.2</v>
      </c>
      <c r="CO172" s="28">
        <f t="shared" si="759"/>
        <v>52297.229700000004</v>
      </c>
      <c r="CP172" s="28">
        <f t="shared" si="759"/>
        <v>52297.2</v>
      </c>
      <c r="CQ172" s="28">
        <f t="shared" si="759"/>
        <v>52120.234799999998</v>
      </c>
      <c r="CR172" s="28">
        <f t="shared" si="759"/>
        <v>51994.62</v>
      </c>
      <c r="CS172" s="58">
        <f>+SUM(CG172:CR172)</f>
        <v>617091.05069999991</v>
      </c>
      <c r="CT172" s="20" t="str">
        <f t="shared" si="595"/>
        <v>System Updation charge -Mercedes</v>
      </c>
      <c r="CU172" s="28">
        <f t="shared" ref="CU172:DG172" si="760">+SUM(CU173:CU177)</f>
        <v>77468.03</v>
      </c>
      <c r="CV172" s="28">
        <f t="shared" si="760"/>
        <v>12223.23</v>
      </c>
      <c r="CW172" s="28">
        <f t="shared" si="760"/>
        <v>12223.127699999999</v>
      </c>
      <c r="CX172" s="28">
        <f t="shared" si="760"/>
        <v>12223.127699999999</v>
      </c>
      <c r="CY172" s="28">
        <f t="shared" si="760"/>
        <v>72003.527699999991</v>
      </c>
      <c r="CZ172" s="28">
        <f t="shared" si="760"/>
        <v>114497.83769999999</v>
      </c>
      <c r="DA172" s="28">
        <f t="shared" si="760"/>
        <v>111181.34086666667</v>
      </c>
      <c r="DB172" s="28">
        <f t="shared" si="760"/>
        <v>74322.510299999994</v>
      </c>
      <c r="DC172" s="28">
        <f t="shared" si="760"/>
        <v>74322.539999999994</v>
      </c>
      <c r="DD172" s="28">
        <f t="shared" si="760"/>
        <v>74322.539999999994</v>
      </c>
      <c r="DE172" s="28">
        <f t="shared" si="760"/>
        <v>0</v>
      </c>
      <c r="DF172" s="28">
        <f t="shared" si="760"/>
        <v>0</v>
      </c>
      <c r="DG172" s="28">
        <f t="shared" si="760"/>
        <v>634787.81196666672</v>
      </c>
      <c r="DH172" s="118">
        <f t="shared" si="717"/>
        <v>-0.1478043410959376</v>
      </c>
      <c r="DI172" s="28">
        <f t="shared" ref="DI172:DT172" si="761">+SUM(DI173:DI177)</f>
        <v>87213</v>
      </c>
      <c r="DJ172" s="28">
        <f t="shared" si="761"/>
        <v>87213</v>
      </c>
      <c r="DK172" s="28">
        <f t="shared" si="761"/>
        <v>87213</v>
      </c>
      <c r="DL172" s="28">
        <f t="shared" si="761"/>
        <v>87213</v>
      </c>
      <c r="DM172" s="28">
        <f t="shared" si="761"/>
        <v>87213</v>
      </c>
      <c r="DN172" s="28">
        <f t="shared" si="761"/>
        <v>87213</v>
      </c>
      <c r="DO172" s="28">
        <f t="shared" si="761"/>
        <v>87213</v>
      </c>
      <c r="DP172" s="28">
        <f t="shared" si="761"/>
        <v>87213</v>
      </c>
      <c r="DQ172" s="28">
        <f t="shared" si="761"/>
        <v>87213</v>
      </c>
      <c r="DR172" s="28">
        <f t="shared" si="761"/>
        <v>87213</v>
      </c>
      <c r="DS172" s="28">
        <f t="shared" si="761"/>
        <v>87213</v>
      </c>
      <c r="DT172" s="28">
        <f t="shared" si="761"/>
        <v>87213</v>
      </c>
      <c r="DU172" s="58">
        <f>+SUM(DI172:DT172)</f>
        <v>1046556</v>
      </c>
      <c r="DW172" s="28">
        <f t="shared" ref="DW172:EH172" si="762">+SUM(DW173:DW177)</f>
        <v>0</v>
      </c>
      <c r="DX172" s="28">
        <f t="shared" si="762"/>
        <v>0</v>
      </c>
      <c r="DY172" s="28">
        <f t="shared" si="762"/>
        <v>0</v>
      </c>
      <c r="DZ172" s="28">
        <f t="shared" si="762"/>
        <v>0</v>
      </c>
      <c r="EA172" s="28">
        <f t="shared" si="762"/>
        <v>0</v>
      </c>
      <c r="EB172" s="28">
        <f t="shared" si="762"/>
        <v>0</v>
      </c>
      <c r="EC172" s="28">
        <f t="shared" si="762"/>
        <v>0</v>
      </c>
      <c r="ED172" s="28">
        <f t="shared" si="762"/>
        <v>0</v>
      </c>
      <c r="EE172" s="28">
        <f t="shared" si="762"/>
        <v>0</v>
      </c>
      <c r="EF172" s="28">
        <f t="shared" si="762"/>
        <v>0</v>
      </c>
      <c r="EG172" s="28">
        <f t="shared" si="762"/>
        <v>0</v>
      </c>
      <c r="EH172" s="28">
        <f t="shared" si="762"/>
        <v>0</v>
      </c>
      <c r="EI172" s="58">
        <f>+SUM(DW172:EH172)</f>
        <v>0</v>
      </c>
      <c r="EJ172" s="20" t="str">
        <f t="shared" si="601"/>
        <v>System Updation charge -Mercedes</v>
      </c>
      <c r="EK172" s="28">
        <f t="shared" ref="EK172:EW172" si="763">+SUM(EK173:EK177)</f>
        <v>0</v>
      </c>
      <c r="EL172" s="28">
        <f t="shared" si="763"/>
        <v>0</v>
      </c>
      <c r="EM172" s="28">
        <f t="shared" si="763"/>
        <v>0</v>
      </c>
      <c r="EN172" s="28">
        <f t="shared" si="763"/>
        <v>0</v>
      </c>
      <c r="EO172" s="28">
        <f t="shared" si="763"/>
        <v>0</v>
      </c>
      <c r="EP172" s="28">
        <f t="shared" si="763"/>
        <v>65944.600000000006</v>
      </c>
      <c r="EQ172" s="28">
        <f t="shared" si="763"/>
        <v>65944.600000000006</v>
      </c>
      <c r="ER172" s="28">
        <f t="shared" si="763"/>
        <v>55000</v>
      </c>
      <c r="ES172" s="28">
        <f t="shared" si="763"/>
        <v>55000</v>
      </c>
      <c r="ET172" s="28">
        <f t="shared" si="763"/>
        <v>55000</v>
      </c>
      <c r="EU172" s="28">
        <f t="shared" si="763"/>
        <v>0</v>
      </c>
      <c r="EV172" s="28">
        <f t="shared" si="763"/>
        <v>0</v>
      </c>
      <c r="EW172" s="28">
        <f t="shared" si="763"/>
        <v>296889.2</v>
      </c>
      <c r="EX172" s="118">
        <f t="shared" si="721"/>
        <v>-0.21652421652421652</v>
      </c>
      <c r="EY172" s="28">
        <f t="shared" ref="EY172:FJ172" si="764">+SUM(EY173:EY177)</f>
        <v>70200</v>
      </c>
      <c r="EZ172" s="28">
        <f t="shared" si="764"/>
        <v>70200</v>
      </c>
      <c r="FA172" s="28">
        <f t="shared" si="764"/>
        <v>70200</v>
      </c>
      <c r="FB172" s="28">
        <f t="shared" si="764"/>
        <v>70200</v>
      </c>
      <c r="FC172" s="28">
        <f t="shared" si="764"/>
        <v>70200</v>
      </c>
      <c r="FD172" s="28">
        <f t="shared" si="764"/>
        <v>70200</v>
      </c>
      <c r="FE172" s="28">
        <f t="shared" si="764"/>
        <v>70200</v>
      </c>
      <c r="FF172" s="28">
        <f t="shared" si="764"/>
        <v>70200</v>
      </c>
      <c r="FG172" s="28">
        <f t="shared" si="764"/>
        <v>70200</v>
      </c>
      <c r="FH172" s="28">
        <f t="shared" si="764"/>
        <v>70200</v>
      </c>
      <c r="FI172" s="28">
        <f t="shared" si="764"/>
        <v>70200</v>
      </c>
      <c r="FJ172" s="28">
        <f t="shared" si="764"/>
        <v>70200</v>
      </c>
      <c r="FK172" s="58">
        <f>+SUM(EY172:FJ172)</f>
        <v>842400</v>
      </c>
    </row>
    <row r="173" spans="1:167" ht="14.45" hidden="1" customHeight="1" outlineLevel="2">
      <c r="A173" s="106">
        <f t="shared" ref="A173:M177" si="765">+AQ173+CG173+DW173</f>
        <v>43500</v>
      </c>
      <c r="B173" s="106">
        <f t="shared" si="765"/>
        <v>43500</v>
      </c>
      <c r="C173" s="106">
        <f t="shared" si="765"/>
        <v>43500</v>
      </c>
      <c r="D173" s="106">
        <f t="shared" si="765"/>
        <v>43500</v>
      </c>
      <c r="E173" s="106">
        <f t="shared" si="765"/>
        <v>43500</v>
      </c>
      <c r="F173" s="106">
        <f t="shared" si="765"/>
        <v>43500</v>
      </c>
      <c r="G173" s="106">
        <f t="shared" si="765"/>
        <v>43500</v>
      </c>
      <c r="H173" s="106">
        <f t="shared" si="765"/>
        <v>43500</v>
      </c>
      <c r="I173" s="106">
        <f t="shared" si="765"/>
        <v>43500</v>
      </c>
      <c r="J173" s="106">
        <f t="shared" si="765"/>
        <v>43500</v>
      </c>
      <c r="K173" s="106">
        <f t="shared" si="765"/>
        <v>43500</v>
      </c>
      <c r="L173" s="106">
        <f t="shared" si="765"/>
        <v>43500</v>
      </c>
      <c r="M173" s="106">
        <f t="shared" si="765"/>
        <v>522000</v>
      </c>
      <c r="N173" s="16" t="s">
        <v>145</v>
      </c>
      <c r="O173" s="22">
        <f t="shared" ref="O173:AA177" si="766">+BE173+CU173+EK173</f>
        <v>43500</v>
      </c>
      <c r="P173" s="22">
        <f t="shared" si="766"/>
        <v>43500</v>
      </c>
      <c r="Q173" s="22">
        <f t="shared" si="766"/>
        <v>43500</v>
      </c>
      <c r="R173" s="22">
        <f t="shared" si="766"/>
        <v>43500</v>
      </c>
      <c r="S173" s="22">
        <f t="shared" si="766"/>
        <v>43500</v>
      </c>
      <c r="T173" s="22">
        <f t="shared" si="766"/>
        <v>43500</v>
      </c>
      <c r="U173" s="22">
        <f t="shared" si="766"/>
        <v>43500</v>
      </c>
      <c r="V173" s="22">
        <f t="shared" si="766"/>
        <v>43500</v>
      </c>
      <c r="W173" s="22">
        <f t="shared" si="766"/>
        <v>43500</v>
      </c>
      <c r="X173" s="22">
        <f t="shared" si="766"/>
        <v>43500</v>
      </c>
      <c r="Y173" s="22">
        <f t="shared" si="766"/>
        <v>0</v>
      </c>
      <c r="Z173" s="22">
        <f t="shared" si="766"/>
        <v>0</v>
      </c>
      <c r="AA173" s="22">
        <f t="shared" si="766"/>
        <v>435000</v>
      </c>
      <c r="AB173" s="118">
        <f t="shared" si="708"/>
        <v>0</v>
      </c>
      <c r="AC173" s="22">
        <f t="shared" ref="AC173:AO177" si="767">+BS173+DI173+EY173</f>
        <v>43500</v>
      </c>
      <c r="AD173" s="22">
        <f t="shared" si="767"/>
        <v>43500</v>
      </c>
      <c r="AE173" s="22">
        <f t="shared" si="767"/>
        <v>43500</v>
      </c>
      <c r="AF173" s="22">
        <f t="shared" si="767"/>
        <v>43500</v>
      </c>
      <c r="AG173" s="22">
        <f t="shared" si="767"/>
        <v>43500</v>
      </c>
      <c r="AH173" s="22">
        <f t="shared" si="767"/>
        <v>43500</v>
      </c>
      <c r="AI173" s="22">
        <f t="shared" si="767"/>
        <v>43500</v>
      </c>
      <c r="AJ173" s="22">
        <f t="shared" si="767"/>
        <v>43500</v>
      </c>
      <c r="AK173" s="22">
        <f t="shared" si="767"/>
        <v>43500</v>
      </c>
      <c r="AL173" s="22">
        <f t="shared" si="767"/>
        <v>43500</v>
      </c>
      <c r="AM173" s="22">
        <f t="shared" si="767"/>
        <v>43500</v>
      </c>
      <c r="AN173" s="22">
        <f t="shared" si="767"/>
        <v>43500</v>
      </c>
      <c r="AO173" s="22">
        <f t="shared" si="767"/>
        <v>522000</v>
      </c>
      <c r="AQ173" s="106">
        <v>32700</v>
      </c>
      <c r="AR173" s="106">
        <v>32700</v>
      </c>
      <c r="AS173" s="106">
        <v>32700</v>
      </c>
      <c r="AT173" s="106">
        <v>32700</v>
      </c>
      <c r="AU173" s="106">
        <v>32700</v>
      </c>
      <c r="AV173" s="106">
        <v>32700</v>
      </c>
      <c r="AW173" s="106">
        <v>32700</v>
      </c>
      <c r="AX173" s="106">
        <v>32700</v>
      </c>
      <c r="AY173" s="106">
        <v>32700</v>
      </c>
      <c r="AZ173" s="106">
        <v>32700</v>
      </c>
      <c r="BA173" s="106">
        <v>32700</v>
      </c>
      <c r="BB173" s="106">
        <v>32700</v>
      </c>
      <c r="BC173" s="106">
        <f t="shared" ref="BC173:BC177" si="768">+SUM(AQ173:BB173)</f>
        <v>392400</v>
      </c>
      <c r="BD173" s="16" t="str">
        <f t="shared" si="591"/>
        <v>Ewnet Charge</v>
      </c>
      <c r="BE173" s="22">
        <f>+VLOOKUP($BD173,'Jan-25'!$A:$J,4,0)</f>
        <v>32700</v>
      </c>
      <c r="BF173" s="22">
        <f>+VLOOKUP($BD173,'Feb-25'!$A:$J,4,0)</f>
        <v>32700</v>
      </c>
      <c r="BG173" s="22">
        <f>+VLOOKUP($BD173,'Mar-25'!$A:$J,4,0)</f>
        <v>32700</v>
      </c>
      <c r="BH173" s="22">
        <f>+VLOOKUP($BD173,'Apr-25'!$A:$J,4,0)</f>
        <v>32700</v>
      </c>
      <c r="BI173" s="22">
        <f>+VLOOKUP($BD173,'May-25'!$A:$J,4,0)</f>
        <v>32700</v>
      </c>
      <c r="BJ173" s="22">
        <f>+VLOOKUP($BD173,'June-25'!$A:$J,4,0)</f>
        <v>32700</v>
      </c>
      <c r="BK173" s="22">
        <f>+VLOOKUP($BD173,'July-25'!$A:$J,4,0)</f>
        <v>32700</v>
      </c>
      <c r="BL173" s="22">
        <f>+VLOOKUP($BD173,'Aug-25'!$A:$J,4,0)</f>
        <v>32700</v>
      </c>
      <c r="BM173" s="22">
        <f>+VLOOKUP($BD173,'Sep-25'!$A:$J,4,0)</f>
        <v>32700</v>
      </c>
      <c r="BN173" s="22">
        <f>+VLOOKUP($BD173,'Oct-25'!$A:$J,4,0)</f>
        <v>32700</v>
      </c>
      <c r="BO173" s="22">
        <f>+VLOOKUP($BD173,'Nov-25'!$A:$J,4,0)</f>
        <v>0</v>
      </c>
      <c r="BP173" s="22">
        <f>+VLOOKUP($BD173,'Dec-25'!$A:$J,4,0)</f>
        <v>0</v>
      </c>
      <c r="BQ173" s="22">
        <f t="shared" ref="BQ173:BQ177" si="769">+SUM(BE173:BP173)</f>
        <v>327000</v>
      </c>
      <c r="BR173" s="118">
        <f t="shared" si="713"/>
        <v>0</v>
      </c>
      <c r="BS173" s="106">
        <f>+_xlfn.XLOOKUP($BD173,Budget!$A:$A,Budget!AQ:AQ)</f>
        <v>32700</v>
      </c>
      <c r="BT173" s="106">
        <f>+_xlfn.XLOOKUP($BD173,Budget!$A:$A,Budget!AR:AR)</f>
        <v>32700</v>
      </c>
      <c r="BU173" s="106">
        <f>+_xlfn.XLOOKUP($BD173,Budget!$A:$A,Budget!AS:AS)</f>
        <v>32700</v>
      </c>
      <c r="BV173" s="106">
        <f>+_xlfn.XLOOKUP($BD173,Budget!$A:$A,Budget!AT:AT)</f>
        <v>32700</v>
      </c>
      <c r="BW173" s="106">
        <f>+_xlfn.XLOOKUP($BD173,Budget!$A:$A,Budget!AU:AU)</f>
        <v>32700</v>
      </c>
      <c r="BX173" s="106">
        <f>+_xlfn.XLOOKUP($BD173,Budget!$A:$A,Budget!AV:AV)</f>
        <v>32700</v>
      </c>
      <c r="BY173" s="106">
        <f>+_xlfn.XLOOKUP($BD173,Budget!$A:$A,Budget!AW:AW)</f>
        <v>32700</v>
      </c>
      <c r="BZ173" s="106">
        <f>+_xlfn.XLOOKUP($BD173,Budget!$A:$A,Budget!AX:AX)</f>
        <v>32700</v>
      </c>
      <c r="CA173" s="106">
        <f>+_xlfn.XLOOKUP($BD173,Budget!$A:$A,Budget!AY:AY)</f>
        <v>32700</v>
      </c>
      <c r="CB173" s="106">
        <f>+_xlfn.XLOOKUP($BD173,Budget!$A:$A,Budget!AZ:AZ)</f>
        <v>32700</v>
      </c>
      <c r="CC173" s="106">
        <f>+_xlfn.XLOOKUP($BD173,Budget!$A:$A,Budget!BA:BA)</f>
        <v>32700</v>
      </c>
      <c r="CD173" s="106">
        <f>+_xlfn.XLOOKUP($BD173,Budget!$A:$A,Budget!BB:BB)</f>
        <v>32700</v>
      </c>
      <c r="CE173" s="106">
        <f t="shared" ref="CE173:CE177" si="770">+SUM(BS173:CD173)</f>
        <v>392400</v>
      </c>
      <c r="CF173" s="22"/>
      <c r="CG173" s="22">
        <v>10800</v>
      </c>
      <c r="CH173" s="22">
        <v>10800</v>
      </c>
      <c r="CI173" s="22">
        <v>10800</v>
      </c>
      <c r="CJ173" s="22">
        <v>10800</v>
      </c>
      <c r="CK173" s="22">
        <v>10800</v>
      </c>
      <c r="CL173" s="22">
        <v>10800</v>
      </c>
      <c r="CM173" s="22">
        <v>10800</v>
      </c>
      <c r="CN173" s="22">
        <v>10800</v>
      </c>
      <c r="CO173" s="22">
        <v>10800</v>
      </c>
      <c r="CP173" s="22">
        <v>10800</v>
      </c>
      <c r="CQ173" s="22">
        <v>10800</v>
      </c>
      <c r="CR173" s="22">
        <v>10800</v>
      </c>
      <c r="CS173" s="106">
        <f t="shared" ref="CS173:CS177" si="771">+SUM(CG173:CR173)</f>
        <v>129600</v>
      </c>
      <c r="CT173" s="16" t="str">
        <f t="shared" si="595"/>
        <v>Ewnet Charge</v>
      </c>
      <c r="CU173" s="22">
        <f>+VLOOKUP($BD173,'Jan-25'!$A:$J,7,0)</f>
        <v>10800</v>
      </c>
      <c r="CV173" s="22">
        <f>+VLOOKUP($BD173,'Feb-25'!$A:$J,7,0)</f>
        <v>10800</v>
      </c>
      <c r="CW173" s="22">
        <f>+VLOOKUP($BD173,'Mar-25'!$A:$J,7,0)</f>
        <v>10800</v>
      </c>
      <c r="CX173" s="22">
        <f>+VLOOKUP($BD173,'Apr-25'!$A:$J,7,0)</f>
        <v>10800</v>
      </c>
      <c r="CY173" s="22">
        <f>+VLOOKUP($BD173,'May-25'!$A:$J,7,0)</f>
        <v>10800</v>
      </c>
      <c r="CZ173" s="22">
        <f>+VLOOKUP($BD173,'June-25'!$A:$J,7,0)</f>
        <v>10800</v>
      </c>
      <c r="DA173" s="22">
        <f>+VLOOKUP($BD173,'July-25'!$A:$J,7,0)</f>
        <v>10800</v>
      </c>
      <c r="DB173" s="22">
        <f>+VLOOKUP($BD173,'Aug-25'!$A:$J,7,0)</f>
        <v>10800</v>
      </c>
      <c r="DC173" s="22">
        <f>+VLOOKUP($BD173,'Sep-25'!$A:$J,7,0)</f>
        <v>10800</v>
      </c>
      <c r="DD173" s="22">
        <f>+VLOOKUP($BD173,'Oct-25'!$A:$J,7,0)</f>
        <v>10800</v>
      </c>
      <c r="DE173" s="22">
        <f>+VLOOKUP($BD173,'Nov-25'!$A:$J,7,0)</f>
        <v>0</v>
      </c>
      <c r="DF173" s="22">
        <f>+VLOOKUP($BD173,'Dec-25'!$A:$J,7,0)</f>
        <v>0</v>
      </c>
      <c r="DG173" s="22">
        <f t="shared" ref="DG173:DG177" si="772">+SUM(CU173:DF173)</f>
        <v>108000</v>
      </c>
      <c r="DH173" s="118">
        <f t="shared" si="717"/>
        <v>0</v>
      </c>
      <c r="DI173" s="22">
        <f>+_xlfn.XLOOKUP($CT173,Budget!$A:$A,Budget!CD:CD)</f>
        <v>10800</v>
      </c>
      <c r="DJ173" s="22">
        <f>+_xlfn.XLOOKUP($CT173,Budget!$A:$A,Budget!CE:CE)</f>
        <v>10800</v>
      </c>
      <c r="DK173" s="22">
        <f>+_xlfn.XLOOKUP($CT173,Budget!$A:$A,Budget!CF:CF)</f>
        <v>10800</v>
      </c>
      <c r="DL173" s="22">
        <f>+_xlfn.XLOOKUP($CT173,Budget!$A:$A,Budget!CG:CG)</f>
        <v>10800</v>
      </c>
      <c r="DM173" s="22">
        <f>+_xlfn.XLOOKUP($CT173,Budget!$A:$A,Budget!CH:CH)</f>
        <v>10800</v>
      </c>
      <c r="DN173" s="22">
        <f>+_xlfn.XLOOKUP($CT173,Budget!$A:$A,Budget!CI:CI)</f>
        <v>10800</v>
      </c>
      <c r="DO173" s="22">
        <f>+_xlfn.XLOOKUP($CT173,Budget!$A:$A,Budget!CJ:CJ)</f>
        <v>10800</v>
      </c>
      <c r="DP173" s="22">
        <f>+_xlfn.XLOOKUP($CT173,Budget!$A:$A,Budget!CK:CK)</f>
        <v>10800</v>
      </c>
      <c r="DQ173" s="22">
        <f>+_xlfn.XLOOKUP($CT173,Budget!$A:$A,Budget!CL:CL)</f>
        <v>10800</v>
      </c>
      <c r="DR173" s="22">
        <f>+_xlfn.XLOOKUP($CT173,Budget!$A:$A,Budget!CM:CM)</f>
        <v>10800</v>
      </c>
      <c r="DS173" s="22">
        <f>+_xlfn.XLOOKUP($CT173,Budget!$A:$A,Budget!CN:CN)</f>
        <v>10800</v>
      </c>
      <c r="DT173" s="22">
        <f>+_xlfn.XLOOKUP($CT173,Budget!$A:$A,Budget!CO:CO)</f>
        <v>10800</v>
      </c>
      <c r="DU173" s="106">
        <f t="shared" ref="DU173:DU177" si="773">+SUM(DI173:DT173)</f>
        <v>129600</v>
      </c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106">
        <f t="shared" ref="EI173:EI177" si="774">+SUM(DW173:EH173)</f>
        <v>0</v>
      </c>
      <c r="EJ173" s="16" t="str">
        <f t="shared" si="601"/>
        <v>Ewnet Charge</v>
      </c>
      <c r="EK173" s="22">
        <f>+VLOOKUP($BD173,'Jan-25'!$A:$J,9,0)</f>
        <v>0</v>
      </c>
      <c r="EL173" s="22">
        <f>+VLOOKUP($BD173,'Feb-25'!$A:$J,9,0)</f>
        <v>0</v>
      </c>
      <c r="EM173" s="22">
        <f>+VLOOKUP($BD173,'Mar-25'!$A:$J,9,0)</f>
        <v>0</v>
      </c>
      <c r="EN173" s="22">
        <f>+VLOOKUP($BD173,'Apr-25'!$A:$J,9,0)</f>
        <v>0</v>
      </c>
      <c r="EO173" s="22">
        <f>+VLOOKUP($BD173,'May-25'!$A:$J,9,0)</f>
        <v>0</v>
      </c>
      <c r="EP173" s="22">
        <f>+VLOOKUP($BD173,'June-25'!$A:$J,9,0)</f>
        <v>0</v>
      </c>
      <c r="EQ173" s="22">
        <f>+VLOOKUP($BD173,'July-25'!$A:$J,9,0)</f>
        <v>0</v>
      </c>
      <c r="ER173" s="22">
        <f>+VLOOKUP($BD173,'Aug-25'!$A:$J,9,0)</f>
        <v>0</v>
      </c>
      <c r="ES173" s="22">
        <f>+VLOOKUP($BD173,'Sep-25'!$A:$J,9,0)</f>
        <v>0</v>
      </c>
      <c r="ET173" s="22">
        <f>+VLOOKUP($BD173,'Oct-25'!$A:$J,9,0)</f>
        <v>0</v>
      </c>
      <c r="EU173" s="22">
        <f>+VLOOKUP($BD173,'Nov-25'!$A:$J,9,0)</f>
        <v>0</v>
      </c>
      <c r="EV173" s="22">
        <f>+VLOOKUP($BD173,'Dec-25'!$A:$J,9,0)</f>
        <v>0</v>
      </c>
      <c r="EW173" s="22">
        <f t="shared" ref="EW173:EW177" si="775">+SUM(EK173:EV173)</f>
        <v>0</v>
      </c>
      <c r="EX173" s="118">
        <f t="shared" si="721"/>
        <v>0</v>
      </c>
      <c r="EY173" s="22">
        <f>+_xlfn.XLOOKUP($EJ173,Budget!$A:$A,Budget!DE:DE)</f>
        <v>0</v>
      </c>
      <c r="EZ173" s="22">
        <f>+_xlfn.XLOOKUP($EJ173,Budget!$A:$A,Budget!DF:DF)</f>
        <v>0</v>
      </c>
      <c r="FA173" s="22">
        <f>+_xlfn.XLOOKUP($EJ173,Budget!$A:$A,Budget!DG:DG)</f>
        <v>0</v>
      </c>
      <c r="FB173" s="22">
        <f>+_xlfn.XLOOKUP($EJ173,Budget!$A:$A,Budget!DH:DH)</f>
        <v>0</v>
      </c>
      <c r="FC173" s="22">
        <f>+_xlfn.XLOOKUP($EJ173,Budget!$A:$A,Budget!DI:DI)</f>
        <v>0</v>
      </c>
      <c r="FD173" s="22">
        <f>+_xlfn.XLOOKUP($EJ173,Budget!$A:$A,Budget!DJ:DJ)</f>
        <v>0</v>
      </c>
      <c r="FE173" s="22">
        <f>+_xlfn.XLOOKUP($EJ173,Budget!$A:$A,Budget!DK:DK)</f>
        <v>0</v>
      </c>
      <c r="FF173" s="22">
        <f>+_xlfn.XLOOKUP($EJ173,Budget!$A:$A,Budget!DL:DL)</f>
        <v>0</v>
      </c>
      <c r="FG173" s="22">
        <f>+_xlfn.XLOOKUP($EJ173,Budget!$A:$A,Budget!DM:DM)</f>
        <v>0</v>
      </c>
      <c r="FH173" s="22">
        <f>+_xlfn.XLOOKUP($EJ173,Budget!$A:$A,Budget!DN:DN)</f>
        <v>0</v>
      </c>
      <c r="FI173" s="22">
        <f>+_xlfn.XLOOKUP($EJ173,Budget!$A:$A,Budget!DO:DO)</f>
        <v>0</v>
      </c>
      <c r="FJ173" s="22">
        <f>+_xlfn.XLOOKUP($EJ173,Budget!$A:$A,Budget!DP:DP)</f>
        <v>0</v>
      </c>
      <c r="FK173" s="106">
        <f t="shared" ref="FK173:FK177" si="776">+SUM(EY173:FJ173)</f>
        <v>0</v>
      </c>
    </row>
    <row r="174" spans="1:167" ht="14.45" hidden="1" customHeight="1" outlineLevel="2">
      <c r="A174" s="106">
        <f t="shared" si="765"/>
        <v>0</v>
      </c>
      <c r="B174" s="106">
        <f t="shared" si="765"/>
        <v>0</v>
      </c>
      <c r="C174" s="106">
        <f t="shared" si="765"/>
        <v>0</v>
      </c>
      <c r="D174" s="106">
        <f t="shared" si="765"/>
        <v>0</v>
      </c>
      <c r="E174" s="106">
        <f t="shared" si="765"/>
        <v>0</v>
      </c>
      <c r="F174" s="106">
        <f t="shared" si="765"/>
        <v>0</v>
      </c>
      <c r="G174" s="106">
        <f t="shared" si="765"/>
        <v>0</v>
      </c>
      <c r="H174" s="106">
        <f t="shared" si="765"/>
        <v>0</v>
      </c>
      <c r="I174" s="106">
        <f t="shared" si="765"/>
        <v>0</v>
      </c>
      <c r="J174" s="106">
        <f t="shared" si="765"/>
        <v>0</v>
      </c>
      <c r="K174" s="106">
        <f t="shared" si="765"/>
        <v>0</v>
      </c>
      <c r="L174" s="106">
        <f t="shared" si="765"/>
        <v>0</v>
      </c>
      <c r="M174" s="106">
        <f t="shared" si="765"/>
        <v>0</v>
      </c>
      <c r="N174" s="16" t="s">
        <v>146</v>
      </c>
      <c r="O174" s="22">
        <f t="shared" si="766"/>
        <v>0</v>
      </c>
      <c r="P174" s="22">
        <f t="shared" si="766"/>
        <v>0</v>
      </c>
      <c r="Q174" s="22">
        <f t="shared" si="766"/>
        <v>0</v>
      </c>
      <c r="R174" s="22">
        <f t="shared" si="766"/>
        <v>0</v>
      </c>
      <c r="S174" s="22">
        <f t="shared" si="766"/>
        <v>0</v>
      </c>
      <c r="T174" s="22">
        <f t="shared" si="766"/>
        <v>0</v>
      </c>
      <c r="U174" s="22">
        <f t="shared" si="766"/>
        <v>0</v>
      </c>
      <c r="V174" s="22">
        <f t="shared" si="766"/>
        <v>0</v>
      </c>
      <c r="W174" s="22">
        <f t="shared" si="766"/>
        <v>0</v>
      </c>
      <c r="X174" s="22">
        <f t="shared" si="766"/>
        <v>0</v>
      </c>
      <c r="Y174" s="22">
        <f t="shared" si="766"/>
        <v>0</v>
      </c>
      <c r="Z174" s="22">
        <f t="shared" si="766"/>
        <v>0</v>
      </c>
      <c r="AA174" s="22">
        <f t="shared" si="766"/>
        <v>0</v>
      </c>
      <c r="AB174" s="118">
        <f t="shared" si="708"/>
        <v>-1</v>
      </c>
      <c r="AC174" s="22">
        <f t="shared" si="767"/>
        <v>54000</v>
      </c>
      <c r="AD174" s="22">
        <f t="shared" si="767"/>
        <v>54000</v>
      </c>
      <c r="AE174" s="22">
        <f t="shared" si="767"/>
        <v>54000</v>
      </c>
      <c r="AF174" s="22">
        <f t="shared" si="767"/>
        <v>54000</v>
      </c>
      <c r="AG174" s="22">
        <f t="shared" si="767"/>
        <v>54000</v>
      </c>
      <c r="AH174" s="22">
        <f t="shared" si="767"/>
        <v>54000</v>
      </c>
      <c r="AI174" s="22">
        <f t="shared" si="767"/>
        <v>54000</v>
      </c>
      <c r="AJ174" s="22">
        <f t="shared" si="767"/>
        <v>54000</v>
      </c>
      <c r="AK174" s="22">
        <f t="shared" si="767"/>
        <v>54000</v>
      </c>
      <c r="AL174" s="22">
        <f t="shared" si="767"/>
        <v>54000</v>
      </c>
      <c r="AM174" s="22">
        <f t="shared" si="767"/>
        <v>54000</v>
      </c>
      <c r="AN174" s="22">
        <f t="shared" si="767"/>
        <v>54000</v>
      </c>
      <c r="AO174" s="22">
        <f t="shared" si="767"/>
        <v>648000</v>
      </c>
      <c r="AQ174" s="106">
        <v>0</v>
      </c>
      <c r="AR174" s="106">
        <v>0</v>
      </c>
      <c r="AS174" s="106">
        <v>0</v>
      </c>
      <c r="AT174" s="106">
        <v>0</v>
      </c>
      <c r="AU174" s="106">
        <v>0</v>
      </c>
      <c r="AV174" s="106">
        <v>0</v>
      </c>
      <c r="AW174" s="106">
        <v>0</v>
      </c>
      <c r="AX174" s="106">
        <v>0</v>
      </c>
      <c r="AY174" s="106">
        <v>0</v>
      </c>
      <c r="AZ174" s="106">
        <v>0</v>
      </c>
      <c r="BA174" s="106">
        <v>0</v>
      </c>
      <c r="BB174" s="106">
        <v>0</v>
      </c>
      <c r="BC174" s="106">
        <f t="shared" si="768"/>
        <v>0</v>
      </c>
      <c r="BD174" s="16" t="str">
        <f t="shared" si="591"/>
        <v>Edealer Charges</v>
      </c>
      <c r="BE174" s="22">
        <f>+VLOOKUP($BD174,'Jan-25'!$A:$J,4,0)</f>
        <v>0</v>
      </c>
      <c r="BF174" s="22">
        <f>+VLOOKUP($BD174,'Feb-25'!$A:$J,4,0)</f>
        <v>0</v>
      </c>
      <c r="BG174" s="22">
        <f>+VLOOKUP($BD174,'Mar-25'!$A:$J,4,0)</f>
        <v>0</v>
      </c>
      <c r="BH174" s="22">
        <f>+VLOOKUP($BD174,'Apr-25'!$A:$J,4,0)</f>
        <v>0</v>
      </c>
      <c r="BI174" s="22">
        <f>+VLOOKUP($BD174,'May-25'!$A:$J,4,0)</f>
        <v>0</v>
      </c>
      <c r="BJ174" s="22">
        <f>+VLOOKUP($BD174,'June-25'!$A:$J,4,0)</f>
        <v>0</v>
      </c>
      <c r="BK174" s="22">
        <f>+VLOOKUP($BD174,'July-25'!$A:$J,4,0)</f>
        <v>0</v>
      </c>
      <c r="BL174" s="22">
        <f>+VLOOKUP($BD174,'Aug-25'!$A:$J,4,0)</f>
        <v>0</v>
      </c>
      <c r="BM174" s="22">
        <f>+VLOOKUP($BD174,'Sep-25'!$A:$J,4,0)</f>
        <v>0</v>
      </c>
      <c r="BN174" s="22">
        <f>+VLOOKUP($BD174,'Oct-25'!$A:$J,4,0)</f>
        <v>0</v>
      </c>
      <c r="BO174" s="22">
        <f>+VLOOKUP($BD174,'Nov-25'!$A:$J,4,0)</f>
        <v>0</v>
      </c>
      <c r="BP174" s="22">
        <f>+VLOOKUP($BD174,'Dec-25'!$A:$J,4,0)</f>
        <v>0</v>
      </c>
      <c r="BQ174" s="22">
        <f t="shared" si="769"/>
        <v>0</v>
      </c>
      <c r="BR174" s="118">
        <f t="shared" si="713"/>
        <v>-1</v>
      </c>
      <c r="BS174" s="106">
        <f>+_xlfn.XLOOKUP($BD174,Budget!$A:$A,Budget!AQ:AQ)</f>
        <v>36000</v>
      </c>
      <c r="BT174" s="106">
        <f>+_xlfn.XLOOKUP($BD174,Budget!$A:$A,Budget!AR:AR)</f>
        <v>36000</v>
      </c>
      <c r="BU174" s="106">
        <f>+_xlfn.XLOOKUP($BD174,Budget!$A:$A,Budget!AS:AS)</f>
        <v>36000</v>
      </c>
      <c r="BV174" s="106">
        <f>+_xlfn.XLOOKUP($BD174,Budget!$A:$A,Budget!AT:AT)</f>
        <v>36000</v>
      </c>
      <c r="BW174" s="106">
        <f>+_xlfn.XLOOKUP($BD174,Budget!$A:$A,Budget!AU:AU)</f>
        <v>36000</v>
      </c>
      <c r="BX174" s="106">
        <f>+_xlfn.XLOOKUP($BD174,Budget!$A:$A,Budget!AV:AV)</f>
        <v>36000</v>
      </c>
      <c r="BY174" s="106">
        <f>+_xlfn.XLOOKUP($BD174,Budget!$A:$A,Budget!AW:AW)</f>
        <v>36000</v>
      </c>
      <c r="BZ174" s="106">
        <f>+_xlfn.XLOOKUP($BD174,Budget!$A:$A,Budget!AX:AX)</f>
        <v>36000</v>
      </c>
      <c r="CA174" s="106">
        <f>+_xlfn.XLOOKUP($BD174,Budget!$A:$A,Budget!AY:AY)</f>
        <v>36000</v>
      </c>
      <c r="CB174" s="106">
        <f>+_xlfn.XLOOKUP($BD174,Budget!$A:$A,Budget!AZ:AZ)</f>
        <v>36000</v>
      </c>
      <c r="CC174" s="106">
        <f>+_xlfn.XLOOKUP($BD174,Budget!$A:$A,Budget!BA:BA)</f>
        <v>36000</v>
      </c>
      <c r="CD174" s="106">
        <f>+_xlfn.XLOOKUP($BD174,Budget!$A:$A,Budget!BB:BB)</f>
        <v>36000</v>
      </c>
      <c r="CE174" s="106">
        <f t="shared" si="770"/>
        <v>432000</v>
      </c>
      <c r="CF174" s="22"/>
      <c r="CG174" s="22">
        <v>0</v>
      </c>
      <c r="CH174" s="22">
        <v>0</v>
      </c>
      <c r="CI174" s="22">
        <v>0</v>
      </c>
      <c r="CJ174" s="22">
        <v>0</v>
      </c>
      <c r="CK174" s="22">
        <v>0</v>
      </c>
      <c r="CL174" s="22">
        <v>0</v>
      </c>
      <c r="CM174" s="22">
        <v>0</v>
      </c>
      <c r="CN174" s="22">
        <v>0</v>
      </c>
      <c r="CO174" s="22">
        <v>0</v>
      </c>
      <c r="CP174" s="22">
        <v>0</v>
      </c>
      <c r="CQ174" s="22">
        <v>0</v>
      </c>
      <c r="CR174" s="22">
        <v>0</v>
      </c>
      <c r="CS174" s="106">
        <f t="shared" si="771"/>
        <v>0</v>
      </c>
      <c r="CT174" s="16" t="str">
        <f t="shared" si="595"/>
        <v>Edealer Charges</v>
      </c>
      <c r="CU174" s="22">
        <f>+VLOOKUP($BD174,'Jan-25'!$A:$J,7,0)</f>
        <v>0</v>
      </c>
      <c r="CV174" s="22">
        <f>+VLOOKUP($BD174,'Feb-25'!$A:$J,7,0)</f>
        <v>0</v>
      </c>
      <c r="CW174" s="22">
        <f>+VLOOKUP($BD174,'Mar-25'!$A:$J,7,0)</f>
        <v>0</v>
      </c>
      <c r="CX174" s="22">
        <f>+VLOOKUP($BD174,'Apr-25'!$A:$J,7,0)</f>
        <v>0</v>
      </c>
      <c r="CY174" s="22">
        <f>+VLOOKUP($BD174,'May-25'!$A:$J,7,0)</f>
        <v>0</v>
      </c>
      <c r="CZ174" s="22">
        <f>+VLOOKUP($BD174,'June-25'!$A:$J,7,0)</f>
        <v>0</v>
      </c>
      <c r="DA174" s="22">
        <f>+VLOOKUP($BD174,'July-25'!$A:$J,7,0)</f>
        <v>0</v>
      </c>
      <c r="DB174" s="22">
        <f>+VLOOKUP($BD174,'Aug-25'!$A:$J,7,0)</f>
        <v>0</v>
      </c>
      <c r="DC174" s="22">
        <f>+VLOOKUP($BD174,'Sep-25'!$A:$J,7,0)</f>
        <v>0</v>
      </c>
      <c r="DD174" s="22">
        <f>+VLOOKUP($BD174,'Oct-25'!$A:$J,7,0)</f>
        <v>0</v>
      </c>
      <c r="DE174" s="22">
        <f>+VLOOKUP($BD174,'Nov-25'!$A:$J,7,0)</f>
        <v>0</v>
      </c>
      <c r="DF174" s="22">
        <f>+VLOOKUP($BD174,'Dec-25'!$A:$J,7,0)</f>
        <v>0</v>
      </c>
      <c r="DG174" s="22">
        <f t="shared" si="772"/>
        <v>0</v>
      </c>
      <c r="DH174" s="118">
        <f t="shared" si="717"/>
        <v>-1</v>
      </c>
      <c r="DI174" s="22">
        <f>+_xlfn.XLOOKUP($CT174,Budget!$A:$A,Budget!CD:CD)</f>
        <v>10800</v>
      </c>
      <c r="DJ174" s="22">
        <f>+_xlfn.XLOOKUP($CT174,Budget!$A:$A,Budget!CE:CE)</f>
        <v>10800</v>
      </c>
      <c r="DK174" s="22">
        <f>+_xlfn.XLOOKUP($CT174,Budget!$A:$A,Budget!CF:CF)</f>
        <v>10800</v>
      </c>
      <c r="DL174" s="22">
        <f>+_xlfn.XLOOKUP($CT174,Budget!$A:$A,Budget!CG:CG)</f>
        <v>10800</v>
      </c>
      <c r="DM174" s="22">
        <f>+_xlfn.XLOOKUP($CT174,Budget!$A:$A,Budget!CH:CH)</f>
        <v>10800</v>
      </c>
      <c r="DN174" s="22">
        <f>+_xlfn.XLOOKUP($CT174,Budget!$A:$A,Budget!CI:CI)</f>
        <v>10800</v>
      </c>
      <c r="DO174" s="22">
        <f>+_xlfn.XLOOKUP($CT174,Budget!$A:$A,Budget!CJ:CJ)</f>
        <v>10800</v>
      </c>
      <c r="DP174" s="22">
        <f>+_xlfn.XLOOKUP($CT174,Budget!$A:$A,Budget!CK:CK)</f>
        <v>10800</v>
      </c>
      <c r="DQ174" s="22">
        <f>+_xlfn.XLOOKUP($CT174,Budget!$A:$A,Budget!CL:CL)</f>
        <v>10800</v>
      </c>
      <c r="DR174" s="22">
        <f>+_xlfn.XLOOKUP($CT174,Budget!$A:$A,Budget!CM:CM)</f>
        <v>10800</v>
      </c>
      <c r="DS174" s="22">
        <f>+_xlfn.XLOOKUP($CT174,Budget!$A:$A,Budget!CN:CN)</f>
        <v>10800</v>
      </c>
      <c r="DT174" s="22">
        <f>+_xlfn.XLOOKUP($CT174,Budget!$A:$A,Budget!CO:CO)</f>
        <v>10800</v>
      </c>
      <c r="DU174" s="106">
        <f t="shared" si="773"/>
        <v>129600</v>
      </c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106">
        <f t="shared" si="774"/>
        <v>0</v>
      </c>
      <c r="EJ174" s="16" t="str">
        <f t="shared" si="601"/>
        <v>Edealer Charges</v>
      </c>
      <c r="EK174" s="22">
        <f>+VLOOKUP($BD174,'Jan-25'!$A:$J,9,0)</f>
        <v>0</v>
      </c>
      <c r="EL174" s="22">
        <f>+VLOOKUP($BD174,'Feb-25'!$A:$J,9,0)</f>
        <v>0</v>
      </c>
      <c r="EM174" s="22">
        <f>+VLOOKUP($BD174,'Mar-25'!$A:$J,9,0)</f>
        <v>0</v>
      </c>
      <c r="EN174" s="22">
        <f>+VLOOKUP($BD174,'Apr-25'!$A:$J,9,0)</f>
        <v>0</v>
      </c>
      <c r="EO174" s="22">
        <f>+VLOOKUP($BD174,'May-25'!$A:$J,9,0)</f>
        <v>0</v>
      </c>
      <c r="EP174" s="22">
        <f>+VLOOKUP($BD174,'June-25'!$A:$J,9,0)</f>
        <v>0</v>
      </c>
      <c r="EQ174" s="22">
        <f>+VLOOKUP($BD174,'July-25'!$A:$J,9,0)</f>
        <v>0</v>
      </c>
      <c r="ER174" s="22">
        <f>+VLOOKUP($BD174,'Aug-25'!$A:$J,9,0)</f>
        <v>0</v>
      </c>
      <c r="ES174" s="22">
        <f>+VLOOKUP($BD174,'Sep-25'!$A:$J,9,0)</f>
        <v>0</v>
      </c>
      <c r="ET174" s="22">
        <f>+VLOOKUP($BD174,'Oct-25'!$A:$J,9,0)</f>
        <v>0</v>
      </c>
      <c r="EU174" s="22">
        <f>+VLOOKUP($BD174,'Nov-25'!$A:$J,9,0)</f>
        <v>0</v>
      </c>
      <c r="EV174" s="22">
        <f>+VLOOKUP($BD174,'Dec-25'!$A:$J,9,0)</f>
        <v>0</v>
      </c>
      <c r="EW174" s="22">
        <f t="shared" si="775"/>
        <v>0</v>
      </c>
      <c r="EX174" s="118">
        <f t="shared" si="721"/>
        <v>-1</v>
      </c>
      <c r="EY174" s="22">
        <f>+_xlfn.XLOOKUP($EJ174,Budget!$A:$A,Budget!DE:DE)</f>
        <v>7200</v>
      </c>
      <c r="EZ174" s="22">
        <f>+_xlfn.XLOOKUP($EJ174,Budget!$A:$A,Budget!DF:DF)</f>
        <v>7200</v>
      </c>
      <c r="FA174" s="22">
        <f>+_xlfn.XLOOKUP($EJ174,Budget!$A:$A,Budget!DG:DG)</f>
        <v>7200</v>
      </c>
      <c r="FB174" s="22">
        <f>+_xlfn.XLOOKUP($EJ174,Budget!$A:$A,Budget!DH:DH)</f>
        <v>7200</v>
      </c>
      <c r="FC174" s="22">
        <f>+_xlfn.XLOOKUP($EJ174,Budget!$A:$A,Budget!DI:DI)</f>
        <v>7200</v>
      </c>
      <c r="FD174" s="22">
        <f>+_xlfn.XLOOKUP($EJ174,Budget!$A:$A,Budget!DJ:DJ)</f>
        <v>7200</v>
      </c>
      <c r="FE174" s="22">
        <f>+_xlfn.XLOOKUP($EJ174,Budget!$A:$A,Budget!DK:DK)</f>
        <v>7200</v>
      </c>
      <c r="FF174" s="22">
        <f>+_xlfn.XLOOKUP($EJ174,Budget!$A:$A,Budget!DL:DL)</f>
        <v>7200</v>
      </c>
      <c r="FG174" s="22">
        <f>+_xlfn.XLOOKUP($EJ174,Budget!$A:$A,Budget!DM:DM)</f>
        <v>7200</v>
      </c>
      <c r="FH174" s="22">
        <f>+_xlfn.XLOOKUP($EJ174,Budget!$A:$A,Budget!DN:DN)</f>
        <v>7200</v>
      </c>
      <c r="FI174" s="22">
        <f>+_xlfn.XLOOKUP($EJ174,Budget!$A:$A,Budget!DO:DO)</f>
        <v>7200</v>
      </c>
      <c r="FJ174" s="22">
        <f>+_xlfn.XLOOKUP($EJ174,Budget!$A:$A,Budget!DP:DP)</f>
        <v>7200</v>
      </c>
      <c r="FK174" s="106">
        <f t="shared" si="776"/>
        <v>86400</v>
      </c>
    </row>
    <row r="175" spans="1:167" ht="14.45" hidden="1" customHeight="1" outlineLevel="2">
      <c r="A175" s="106">
        <f t="shared" si="765"/>
        <v>82589.917999999787</v>
      </c>
      <c r="B175" s="106">
        <f t="shared" si="765"/>
        <v>82589.917999999787</v>
      </c>
      <c r="C175" s="106">
        <f t="shared" si="765"/>
        <v>82589.917999999787</v>
      </c>
      <c r="D175" s="106">
        <f t="shared" si="765"/>
        <v>88848</v>
      </c>
      <c r="E175" s="106">
        <f t="shared" si="765"/>
        <v>88848</v>
      </c>
      <c r="F175" s="106">
        <f t="shared" si="765"/>
        <v>88848</v>
      </c>
      <c r="G175" s="106">
        <f t="shared" si="765"/>
        <v>88848</v>
      </c>
      <c r="H175" s="106">
        <f t="shared" si="765"/>
        <v>88848</v>
      </c>
      <c r="I175" s="106">
        <f t="shared" si="765"/>
        <v>88848</v>
      </c>
      <c r="J175" s="106">
        <f t="shared" si="765"/>
        <v>88848</v>
      </c>
      <c r="K175" s="106">
        <f t="shared" si="765"/>
        <v>88848</v>
      </c>
      <c r="L175" s="106">
        <f t="shared" si="765"/>
        <v>88848</v>
      </c>
      <c r="M175" s="106">
        <f t="shared" si="765"/>
        <v>1047401.7539999994</v>
      </c>
      <c r="N175" s="16" t="s">
        <v>230</v>
      </c>
      <c r="O175" s="22">
        <f t="shared" si="766"/>
        <v>123405</v>
      </c>
      <c r="P175" s="22">
        <f t="shared" si="766"/>
        <v>124641</v>
      </c>
      <c r="Q175" s="22">
        <f t="shared" si="766"/>
        <v>124641</v>
      </c>
      <c r="R175" s="22">
        <f t="shared" si="766"/>
        <v>124641</v>
      </c>
      <c r="S175" s="22">
        <f t="shared" si="766"/>
        <v>189306.23999999999</v>
      </c>
      <c r="T175" s="22">
        <f t="shared" si="766"/>
        <v>229503</v>
      </c>
      <c r="U175" s="22">
        <f t="shared" si="766"/>
        <v>231791.99999999997</v>
      </c>
      <c r="V175" s="22">
        <f t="shared" si="766"/>
        <v>194000</v>
      </c>
      <c r="W175" s="22">
        <f t="shared" si="766"/>
        <v>194000</v>
      </c>
      <c r="X175" s="22">
        <f t="shared" si="766"/>
        <v>194000</v>
      </c>
      <c r="Y175" s="22">
        <f t="shared" si="766"/>
        <v>0</v>
      </c>
      <c r="Z175" s="22">
        <f t="shared" si="766"/>
        <v>0</v>
      </c>
      <c r="AA175" s="22">
        <f t="shared" si="766"/>
        <v>1729929.24</v>
      </c>
      <c r="AB175" s="118">
        <f t="shared" si="708"/>
        <v>0</v>
      </c>
      <c r="AC175" s="22">
        <f t="shared" si="767"/>
        <v>194000</v>
      </c>
      <c r="AD175" s="22">
        <f t="shared" si="767"/>
        <v>194000</v>
      </c>
      <c r="AE175" s="22">
        <f t="shared" si="767"/>
        <v>194000</v>
      </c>
      <c r="AF175" s="22">
        <f t="shared" si="767"/>
        <v>194000</v>
      </c>
      <c r="AG175" s="22">
        <f t="shared" si="767"/>
        <v>194000</v>
      </c>
      <c r="AH175" s="22">
        <f t="shared" si="767"/>
        <v>194000</v>
      </c>
      <c r="AI175" s="22">
        <f t="shared" si="767"/>
        <v>194000</v>
      </c>
      <c r="AJ175" s="22">
        <f t="shared" si="767"/>
        <v>194000</v>
      </c>
      <c r="AK175" s="22">
        <f t="shared" si="767"/>
        <v>194000</v>
      </c>
      <c r="AL175" s="22">
        <f t="shared" si="767"/>
        <v>194000</v>
      </c>
      <c r="AM175" s="22">
        <f t="shared" si="767"/>
        <v>194000</v>
      </c>
      <c r="AN175" s="22">
        <f t="shared" si="767"/>
        <v>194000</v>
      </c>
      <c r="AO175" s="22">
        <f t="shared" si="767"/>
        <v>2328000</v>
      </c>
      <c r="AQ175" s="106">
        <v>49553.950799999868</v>
      </c>
      <c r="AR175" s="106">
        <v>49553.950799999868</v>
      </c>
      <c r="AS175" s="106">
        <v>49553.950799999868</v>
      </c>
      <c r="AT175" s="106">
        <v>53310</v>
      </c>
      <c r="AU175" s="106">
        <v>53310</v>
      </c>
      <c r="AV175" s="106">
        <v>53310</v>
      </c>
      <c r="AW175" s="106">
        <v>53310</v>
      </c>
      <c r="AX175" s="106">
        <v>53310</v>
      </c>
      <c r="AY175" s="106">
        <v>53310</v>
      </c>
      <c r="AZ175" s="106">
        <v>53310</v>
      </c>
      <c r="BA175" s="106">
        <v>53310</v>
      </c>
      <c r="BB175" s="106">
        <v>53310</v>
      </c>
      <c r="BC175" s="106">
        <f t="shared" si="768"/>
        <v>628451.85239999963</v>
      </c>
      <c r="BD175" s="16" t="str">
        <f t="shared" si="591"/>
        <v>Xentry Finance Charge</v>
      </c>
      <c r="BE175" s="22">
        <f>+VLOOKUP($BD175,'Jan-25'!$A:$J,4,0)</f>
        <v>74043</v>
      </c>
      <c r="BF175" s="22">
        <f>+VLOOKUP($BD175,'Feb-25'!$A:$J,4,0)</f>
        <v>124641</v>
      </c>
      <c r="BG175" s="22">
        <f>+VLOOKUP($BD175,'Mar-25'!$A:$J,4,0)</f>
        <v>124641</v>
      </c>
      <c r="BH175" s="22">
        <f>+VLOOKUP($BD175,'Apr-25'!$A:$J,4,0)</f>
        <v>124641</v>
      </c>
      <c r="BI175" s="22">
        <f>+VLOOKUP($BD175,'May-25'!$A:$J,4,0)</f>
        <v>141979.68</v>
      </c>
      <c r="BJ175" s="22">
        <f>+VLOOKUP($BD175,'June-25'!$A:$J,4,0)</f>
        <v>114751.5</v>
      </c>
      <c r="BK175" s="22">
        <f>+VLOOKUP($BD175,'July-25'!$A:$J,4,0)</f>
        <v>115896</v>
      </c>
      <c r="BL175" s="22">
        <f>+VLOOKUP($BD175,'Aug-25'!$A:$J,4,0)</f>
        <v>86400</v>
      </c>
      <c r="BM175" s="22">
        <f>+VLOOKUP($BD175,'Sep-25'!$A:$J,4,0)</f>
        <v>86400</v>
      </c>
      <c r="BN175" s="22">
        <f>+VLOOKUP($BD175,'Oct-25'!$A:$J,4,0)</f>
        <v>86400</v>
      </c>
      <c r="BO175" s="22">
        <f>+VLOOKUP($BD175,'Nov-25'!$A:$J,4,0)</f>
        <v>0</v>
      </c>
      <c r="BP175" s="22">
        <f>+VLOOKUP($BD175,'Dec-25'!$A:$J,4,0)</f>
        <v>0</v>
      </c>
      <c r="BQ175" s="22">
        <f t="shared" si="769"/>
        <v>1079793.18</v>
      </c>
      <c r="BR175" s="118">
        <f t="shared" si="713"/>
        <v>0</v>
      </c>
      <c r="BS175" s="106">
        <f>+_xlfn.XLOOKUP($BD175,Budget!$A:$A,Budget!AQ:AQ)</f>
        <v>86400</v>
      </c>
      <c r="BT175" s="106">
        <f>+_xlfn.XLOOKUP($BD175,Budget!$A:$A,Budget!AR:AR)</f>
        <v>86400</v>
      </c>
      <c r="BU175" s="106">
        <f>+_xlfn.XLOOKUP($BD175,Budget!$A:$A,Budget!AS:AS)</f>
        <v>86400</v>
      </c>
      <c r="BV175" s="106">
        <f>+_xlfn.XLOOKUP($BD175,Budget!$A:$A,Budget!AT:AT)</f>
        <v>86400</v>
      </c>
      <c r="BW175" s="106">
        <f>+_xlfn.XLOOKUP($BD175,Budget!$A:$A,Budget!AU:AU)</f>
        <v>86400</v>
      </c>
      <c r="BX175" s="106">
        <f>+_xlfn.XLOOKUP($BD175,Budget!$A:$A,Budget!AV:AV)</f>
        <v>86400</v>
      </c>
      <c r="BY175" s="106">
        <f>+_xlfn.XLOOKUP($BD175,Budget!$A:$A,Budget!AW:AW)</f>
        <v>86400</v>
      </c>
      <c r="BZ175" s="106">
        <f>+_xlfn.XLOOKUP($BD175,Budget!$A:$A,Budget!AX:AX)</f>
        <v>86400</v>
      </c>
      <c r="CA175" s="106">
        <f>+_xlfn.XLOOKUP($BD175,Budget!$A:$A,Budget!AY:AY)</f>
        <v>86400</v>
      </c>
      <c r="CB175" s="106">
        <f>+_xlfn.XLOOKUP($BD175,Budget!$A:$A,Budget!AZ:AZ)</f>
        <v>86400</v>
      </c>
      <c r="CC175" s="106">
        <f>+_xlfn.XLOOKUP($BD175,Budget!$A:$A,Budget!BA:BA)</f>
        <v>86400</v>
      </c>
      <c r="CD175" s="106">
        <f>+_xlfn.XLOOKUP($BD175,Budget!$A:$A,Budget!BB:BB)</f>
        <v>86400</v>
      </c>
      <c r="CE175" s="106">
        <f t="shared" si="770"/>
        <v>1036800</v>
      </c>
      <c r="CF175" s="22"/>
      <c r="CG175" s="22">
        <v>33035.967199999919</v>
      </c>
      <c r="CH175" s="22">
        <v>33035.967199999919</v>
      </c>
      <c r="CI175" s="22">
        <v>33035.967199999919</v>
      </c>
      <c r="CJ175" s="22">
        <v>35538</v>
      </c>
      <c r="CK175" s="22">
        <v>35538</v>
      </c>
      <c r="CL175" s="22">
        <v>35538</v>
      </c>
      <c r="CM175" s="22">
        <v>35538</v>
      </c>
      <c r="CN175" s="22">
        <v>35538</v>
      </c>
      <c r="CO175" s="22">
        <v>35538</v>
      </c>
      <c r="CP175" s="22">
        <v>35538</v>
      </c>
      <c r="CQ175" s="22">
        <v>35538</v>
      </c>
      <c r="CR175" s="22">
        <v>35538</v>
      </c>
      <c r="CS175" s="106">
        <f t="shared" si="771"/>
        <v>418949.90159999975</v>
      </c>
      <c r="CT175" s="16" t="str">
        <f t="shared" si="595"/>
        <v>Xentry Finance Charge</v>
      </c>
      <c r="CU175" s="22">
        <f>+VLOOKUP($BD175,'Jan-25'!$A:$J,7,0)</f>
        <v>49362</v>
      </c>
      <c r="CV175" s="22">
        <f>+VLOOKUP($BD175,'Feb-25'!$A:$J,7,0)</f>
        <v>0</v>
      </c>
      <c r="CW175" s="22">
        <f>+VLOOKUP($BD175,'Mar-25'!$A:$J,7,0)</f>
        <v>0</v>
      </c>
      <c r="CX175" s="22">
        <f>+VLOOKUP($BD175,'Apr-25'!$A:$J,7,0)</f>
        <v>0</v>
      </c>
      <c r="CY175" s="22">
        <f>+VLOOKUP($BD175,'May-25'!$A:$J,7,0)</f>
        <v>47326.559999999998</v>
      </c>
      <c r="CZ175" s="22">
        <f>+VLOOKUP($BD175,'June-25'!$A:$J,7,0)</f>
        <v>68850.899999999994</v>
      </c>
      <c r="DA175" s="22">
        <f>+VLOOKUP($BD175,'July-25'!$A:$J,7,0)</f>
        <v>69537.599999999991</v>
      </c>
      <c r="DB175" s="22">
        <f>+VLOOKUP($BD175,'Aug-25'!$A:$J,7,0)</f>
        <v>57600</v>
      </c>
      <c r="DC175" s="22">
        <f>+VLOOKUP($BD175,'Sep-25'!$A:$J,7,0)</f>
        <v>57600</v>
      </c>
      <c r="DD175" s="22">
        <f>+VLOOKUP($BD175,'Oct-25'!$A:$J,7,0)</f>
        <v>57600</v>
      </c>
      <c r="DE175" s="22">
        <f>+VLOOKUP($BD175,'Nov-25'!$A:$J,7,0)</f>
        <v>0</v>
      </c>
      <c r="DF175" s="22">
        <f>+VLOOKUP($BD175,'Dec-25'!$A:$J,7,0)</f>
        <v>0</v>
      </c>
      <c r="DG175" s="22">
        <f t="shared" si="772"/>
        <v>407877.06</v>
      </c>
      <c r="DH175" s="118">
        <f t="shared" si="717"/>
        <v>0</v>
      </c>
      <c r="DI175" s="22">
        <f>+_xlfn.XLOOKUP($CT175,Budget!$A:$A,Budget!CD:CD)</f>
        <v>57600</v>
      </c>
      <c r="DJ175" s="22">
        <f>+_xlfn.XLOOKUP($CT175,Budget!$A:$A,Budget!CE:CE)</f>
        <v>57600</v>
      </c>
      <c r="DK175" s="22">
        <f>+_xlfn.XLOOKUP($CT175,Budget!$A:$A,Budget!CF:CF)</f>
        <v>57600</v>
      </c>
      <c r="DL175" s="22">
        <f>+_xlfn.XLOOKUP($CT175,Budget!$A:$A,Budget!CG:CG)</f>
        <v>57600</v>
      </c>
      <c r="DM175" s="22">
        <f>+_xlfn.XLOOKUP($CT175,Budget!$A:$A,Budget!CH:CH)</f>
        <v>57600</v>
      </c>
      <c r="DN175" s="22">
        <f>+_xlfn.XLOOKUP($CT175,Budget!$A:$A,Budget!CI:CI)</f>
        <v>57600</v>
      </c>
      <c r="DO175" s="22">
        <f>+_xlfn.XLOOKUP($CT175,Budget!$A:$A,Budget!CJ:CJ)</f>
        <v>57600</v>
      </c>
      <c r="DP175" s="22">
        <f>+_xlfn.XLOOKUP($CT175,Budget!$A:$A,Budget!CK:CK)</f>
        <v>57600</v>
      </c>
      <c r="DQ175" s="22">
        <f>+_xlfn.XLOOKUP($CT175,Budget!$A:$A,Budget!CL:CL)</f>
        <v>57600</v>
      </c>
      <c r="DR175" s="22">
        <f>+_xlfn.XLOOKUP($CT175,Budget!$A:$A,Budget!CM:CM)</f>
        <v>57600</v>
      </c>
      <c r="DS175" s="22">
        <f>+_xlfn.XLOOKUP($CT175,Budget!$A:$A,Budget!CN:CN)</f>
        <v>57600</v>
      </c>
      <c r="DT175" s="22">
        <f>+_xlfn.XLOOKUP($CT175,Budget!$A:$A,Budget!CO:CO)</f>
        <v>57600</v>
      </c>
      <c r="DU175" s="106">
        <f t="shared" si="773"/>
        <v>691200</v>
      </c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106">
        <f t="shared" si="774"/>
        <v>0</v>
      </c>
      <c r="EJ175" s="16" t="str">
        <f t="shared" si="601"/>
        <v>Xentry Finance Charge</v>
      </c>
      <c r="EK175" s="22">
        <f>+VLOOKUP($BD175,'Jan-25'!$A:$J,9,0)</f>
        <v>0</v>
      </c>
      <c r="EL175" s="22">
        <f>+VLOOKUP($BD175,'Feb-25'!$A:$J,9,0)</f>
        <v>0</v>
      </c>
      <c r="EM175" s="22">
        <f>+VLOOKUP($BD175,'Mar-25'!$A:$J,9,0)</f>
        <v>0</v>
      </c>
      <c r="EN175" s="22">
        <f>+VLOOKUP($BD175,'Apr-25'!$A:$J,9,0)</f>
        <v>0</v>
      </c>
      <c r="EO175" s="22">
        <f>+VLOOKUP($BD175,'May-25'!$A:$J,9,0)</f>
        <v>0</v>
      </c>
      <c r="EP175" s="22">
        <f>+VLOOKUP($BD175,'June-25'!$A:$J,9,0)</f>
        <v>45900.600000000006</v>
      </c>
      <c r="EQ175" s="22">
        <f>+VLOOKUP($BD175,'July-25'!$A:$J,9,0)</f>
        <v>46358.400000000001</v>
      </c>
      <c r="ER175" s="22">
        <f>+VLOOKUP($BD175,'Aug-25'!$A:$J,9,0)</f>
        <v>50000</v>
      </c>
      <c r="ES175" s="22">
        <f>+VLOOKUP($BD175,'Sep-25'!$A:$J,9,0)</f>
        <v>50000</v>
      </c>
      <c r="ET175" s="22">
        <f>+VLOOKUP($BD175,'Oct-25'!$A:$J,9,0)</f>
        <v>50000</v>
      </c>
      <c r="EU175" s="22">
        <f>+VLOOKUP($BD175,'Nov-25'!$A:$J,9,0)</f>
        <v>0</v>
      </c>
      <c r="EV175" s="22">
        <f>+VLOOKUP($BD175,'Dec-25'!$A:$J,9,0)</f>
        <v>0</v>
      </c>
      <c r="EW175" s="22">
        <f t="shared" si="775"/>
        <v>242259</v>
      </c>
      <c r="EX175" s="118">
        <f t="shared" si="721"/>
        <v>0</v>
      </c>
      <c r="EY175" s="22">
        <f>+_xlfn.XLOOKUP($EJ175,Budget!$A:$A,Budget!DE:DE)</f>
        <v>50000</v>
      </c>
      <c r="EZ175" s="22">
        <f>+_xlfn.XLOOKUP($EJ175,Budget!$A:$A,Budget!DF:DF)</f>
        <v>50000</v>
      </c>
      <c r="FA175" s="22">
        <f>+_xlfn.XLOOKUP($EJ175,Budget!$A:$A,Budget!DG:DG)</f>
        <v>50000</v>
      </c>
      <c r="FB175" s="22">
        <f>+_xlfn.XLOOKUP($EJ175,Budget!$A:$A,Budget!DH:DH)</f>
        <v>50000</v>
      </c>
      <c r="FC175" s="22">
        <f>+_xlfn.XLOOKUP($EJ175,Budget!$A:$A,Budget!DI:DI)</f>
        <v>50000</v>
      </c>
      <c r="FD175" s="22">
        <f>+_xlfn.XLOOKUP($EJ175,Budget!$A:$A,Budget!DJ:DJ)</f>
        <v>50000</v>
      </c>
      <c r="FE175" s="22">
        <f>+_xlfn.XLOOKUP($EJ175,Budget!$A:$A,Budget!DK:DK)</f>
        <v>50000</v>
      </c>
      <c r="FF175" s="22">
        <f>+_xlfn.XLOOKUP($EJ175,Budget!$A:$A,Budget!DL:DL)</f>
        <v>50000</v>
      </c>
      <c r="FG175" s="22">
        <f>+_xlfn.XLOOKUP($EJ175,Budget!$A:$A,Budget!DM:DM)</f>
        <v>50000</v>
      </c>
      <c r="FH175" s="22">
        <f>+_xlfn.XLOOKUP($EJ175,Budget!$A:$A,Budget!DN:DN)</f>
        <v>50000</v>
      </c>
      <c r="FI175" s="22">
        <f>+_xlfn.XLOOKUP($EJ175,Budget!$A:$A,Budget!DO:DO)</f>
        <v>50000</v>
      </c>
      <c r="FJ175" s="22">
        <f>+_xlfn.XLOOKUP($EJ175,Budget!$A:$A,Budget!DP:DP)</f>
        <v>50000</v>
      </c>
      <c r="FK175" s="106">
        <f t="shared" si="776"/>
        <v>600000</v>
      </c>
    </row>
    <row r="176" spans="1:167" ht="14.45" hidden="1" customHeight="1" outlineLevel="2">
      <c r="A176" s="106">
        <f t="shared" si="765"/>
        <v>9863.8000000000193</v>
      </c>
      <c r="B176" s="106">
        <f t="shared" si="765"/>
        <v>9863.8000000000193</v>
      </c>
      <c r="C176" s="106">
        <f t="shared" si="765"/>
        <v>9863.8000000000193</v>
      </c>
      <c r="D176" s="106">
        <f t="shared" si="765"/>
        <v>11148</v>
      </c>
      <c r="E176" s="106">
        <f t="shared" si="765"/>
        <v>11148</v>
      </c>
      <c r="F176" s="106">
        <f t="shared" si="765"/>
        <v>11148</v>
      </c>
      <c r="G176" s="106">
        <f t="shared" si="765"/>
        <v>11148</v>
      </c>
      <c r="H176" s="106">
        <f t="shared" si="765"/>
        <v>11148</v>
      </c>
      <c r="I176" s="106">
        <f t="shared" si="765"/>
        <v>11148</v>
      </c>
      <c r="J176" s="106">
        <f t="shared" si="765"/>
        <v>11148</v>
      </c>
      <c r="K176" s="106">
        <f t="shared" si="765"/>
        <v>11148</v>
      </c>
      <c r="L176" s="106">
        <f t="shared" si="765"/>
        <v>11148</v>
      </c>
      <c r="M176" s="106">
        <f t="shared" si="765"/>
        <v>129923.40000000005</v>
      </c>
      <c r="N176" s="16" t="s">
        <v>231</v>
      </c>
      <c r="O176" s="22">
        <f t="shared" si="766"/>
        <v>39707</v>
      </c>
      <c r="P176" s="22">
        <f t="shared" si="766"/>
        <v>38471</v>
      </c>
      <c r="Q176" s="22">
        <f t="shared" si="766"/>
        <v>38471</v>
      </c>
      <c r="R176" s="22">
        <f t="shared" si="766"/>
        <v>38471</v>
      </c>
      <c r="S176" s="22">
        <f t="shared" si="766"/>
        <v>49815.360000000001</v>
      </c>
      <c r="T176" s="22">
        <f t="shared" si="766"/>
        <v>100220</v>
      </c>
      <c r="U176" s="22">
        <f t="shared" si="766"/>
        <v>97931</v>
      </c>
      <c r="V176" s="22">
        <f t="shared" si="766"/>
        <v>16148</v>
      </c>
      <c r="W176" s="22">
        <f t="shared" si="766"/>
        <v>16148</v>
      </c>
      <c r="X176" s="22">
        <f t="shared" si="766"/>
        <v>16148</v>
      </c>
      <c r="Y176" s="22">
        <f t="shared" si="766"/>
        <v>0</v>
      </c>
      <c r="Z176" s="22">
        <f t="shared" si="766"/>
        <v>0</v>
      </c>
      <c r="AA176" s="22">
        <f t="shared" si="766"/>
        <v>451530.36</v>
      </c>
      <c r="AB176" s="118">
        <f t="shared" si="708"/>
        <v>0</v>
      </c>
      <c r="AC176" s="22">
        <f t="shared" si="767"/>
        <v>16148</v>
      </c>
      <c r="AD176" s="22">
        <f t="shared" si="767"/>
        <v>16148</v>
      </c>
      <c r="AE176" s="22">
        <f t="shared" si="767"/>
        <v>16148</v>
      </c>
      <c r="AF176" s="22">
        <f t="shared" si="767"/>
        <v>16148</v>
      </c>
      <c r="AG176" s="22">
        <f t="shared" si="767"/>
        <v>16148</v>
      </c>
      <c r="AH176" s="22">
        <f t="shared" si="767"/>
        <v>16148</v>
      </c>
      <c r="AI176" s="22">
        <f t="shared" si="767"/>
        <v>16148</v>
      </c>
      <c r="AJ176" s="22">
        <f t="shared" si="767"/>
        <v>16148</v>
      </c>
      <c r="AK176" s="22">
        <f t="shared" si="767"/>
        <v>16148</v>
      </c>
      <c r="AL176" s="22">
        <f t="shared" si="767"/>
        <v>16148</v>
      </c>
      <c r="AM176" s="22">
        <f t="shared" si="767"/>
        <v>16148</v>
      </c>
      <c r="AN176" s="22">
        <f t="shared" si="767"/>
        <v>16148</v>
      </c>
      <c r="AO176" s="22">
        <f t="shared" si="767"/>
        <v>193776</v>
      </c>
      <c r="AQ176" s="106">
        <v>5918.2800000000116</v>
      </c>
      <c r="AR176" s="106">
        <v>5918.2800000000116</v>
      </c>
      <c r="AS176" s="106">
        <v>5918.2800000000116</v>
      </c>
      <c r="AT176" s="106">
        <v>6690</v>
      </c>
      <c r="AU176" s="106">
        <v>6690</v>
      </c>
      <c r="AV176" s="106">
        <v>6690</v>
      </c>
      <c r="AW176" s="106">
        <v>6690</v>
      </c>
      <c r="AX176" s="106">
        <v>6690</v>
      </c>
      <c r="AY176" s="106">
        <v>6690</v>
      </c>
      <c r="AZ176" s="106">
        <v>6690</v>
      </c>
      <c r="BA176" s="106">
        <v>6690</v>
      </c>
      <c r="BB176" s="106">
        <v>6690</v>
      </c>
      <c r="BC176" s="106">
        <f t="shared" si="768"/>
        <v>77964.840000000026</v>
      </c>
      <c r="BD176" s="16" t="str">
        <f t="shared" si="591"/>
        <v>Xentry Finance Charge Interest</v>
      </c>
      <c r="BE176" s="22">
        <f>+VLOOKUP($BD176,'Jan-25'!$A:$J,4,0)</f>
        <v>23824.2</v>
      </c>
      <c r="BF176" s="22">
        <f>+VLOOKUP($BD176,'Feb-25'!$A:$J,4,0)</f>
        <v>38471</v>
      </c>
      <c r="BG176" s="22">
        <f>+VLOOKUP($BD176,'Mar-25'!$A:$J,4,0)</f>
        <v>38471</v>
      </c>
      <c r="BH176" s="22">
        <f>+VLOOKUP($BD176,'Apr-25'!$A:$J,4,0)</f>
        <v>38471</v>
      </c>
      <c r="BI176" s="22">
        <f>+VLOOKUP($BD176,'May-25'!$A:$J,4,0)</f>
        <v>37361.519999999997</v>
      </c>
      <c r="BJ176" s="22">
        <f>+VLOOKUP($BD176,'June-25'!$A:$J,4,0)</f>
        <v>50110</v>
      </c>
      <c r="BK176" s="22">
        <f>+VLOOKUP($BD176,'July-25'!$A:$J,4,0)</f>
        <v>48965.5</v>
      </c>
      <c r="BL176" s="22">
        <f>+VLOOKUP($BD176,'Aug-25'!$A:$J,4,0)</f>
        <v>6690</v>
      </c>
      <c r="BM176" s="22">
        <f>+VLOOKUP($BD176,'Sep-25'!$A:$J,4,0)</f>
        <v>6690</v>
      </c>
      <c r="BN176" s="22">
        <f>+VLOOKUP($BD176,'Oct-25'!$A:$J,4,0)</f>
        <v>6690</v>
      </c>
      <c r="BO176" s="22">
        <f>+VLOOKUP($BD176,'Nov-25'!$A:$J,4,0)</f>
        <v>0</v>
      </c>
      <c r="BP176" s="22">
        <f>+VLOOKUP($BD176,'Dec-25'!$A:$J,4,0)</f>
        <v>0</v>
      </c>
      <c r="BQ176" s="22">
        <f t="shared" si="769"/>
        <v>295744.21999999997</v>
      </c>
      <c r="BR176" s="118">
        <f t="shared" si="713"/>
        <v>0</v>
      </c>
      <c r="BS176" s="106">
        <f>+_xlfn.XLOOKUP($BD176,Budget!$A:$A,Budget!AQ:AQ)</f>
        <v>6690</v>
      </c>
      <c r="BT176" s="106">
        <f>+_xlfn.XLOOKUP($BD176,Budget!$A:$A,Budget!AR:AR)</f>
        <v>6690</v>
      </c>
      <c r="BU176" s="106">
        <f>+_xlfn.XLOOKUP($BD176,Budget!$A:$A,Budget!AS:AS)</f>
        <v>6690</v>
      </c>
      <c r="BV176" s="106">
        <f>+_xlfn.XLOOKUP($BD176,Budget!$A:$A,Budget!AT:AT)</f>
        <v>6690</v>
      </c>
      <c r="BW176" s="106">
        <f>+_xlfn.XLOOKUP($BD176,Budget!$A:$A,Budget!AU:AU)</f>
        <v>6690</v>
      </c>
      <c r="BX176" s="106">
        <f>+_xlfn.XLOOKUP($BD176,Budget!$A:$A,Budget!AV:AV)</f>
        <v>6690</v>
      </c>
      <c r="BY176" s="106">
        <f>+_xlfn.XLOOKUP($BD176,Budget!$A:$A,Budget!AW:AW)</f>
        <v>6690</v>
      </c>
      <c r="BZ176" s="106">
        <f>+_xlfn.XLOOKUP($BD176,Budget!$A:$A,Budget!AX:AX)</f>
        <v>6690</v>
      </c>
      <c r="CA176" s="106">
        <f>+_xlfn.XLOOKUP($BD176,Budget!$A:$A,Budget!AY:AY)</f>
        <v>6690</v>
      </c>
      <c r="CB176" s="106">
        <f>+_xlfn.XLOOKUP($BD176,Budget!$A:$A,Budget!AZ:AZ)</f>
        <v>6690</v>
      </c>
      <c r="CC176" s="106">
        <f>+_xlfn.XLOOKUP($BD176,Budget!$A:$A,Budget!BA:BA)</f>
        <v>6690</v>
      </c>
      <c r="CD176" s="106">
        <f>+_xlfn.XLOOKUP($BD176,Budget!$A:$A,Budget!BB:BB)</f>
        <v>6690</v>
      </c>
      <c r="CE176" s="106">
        <f t="shared" si="770"/>
        <v>80280</v>
      </c>
      <c r="CF176" s="22"/>
      <c r="CG176" s="22">
        <v>3945.5200000000077</v>
      </c>
      <c r="CH176" s="22">
        <v>3945.5200000000077</v>
      </c>
      <c r="CI176" s="22">
        <v>3945.5200000000077</v>
      </c>
      <c r="CJ176" s="22">
        <v>4458</v>
      </c>
      <c r="CK176" s="22">
        <v>4458</v>
      </c>
      <c r="CL176" s="22">
        <v>4458</v>
      </c>
      <c r="CM176" s="22">
        <v>4458</v>
      </c>
      <c r="CN176" s="22">
        <v>4458</v>
      </c>
      <c r="CO176" s="22">
        <v>4458</v>
      </c>
      <c r="CP176" s="22">
        <v>4458</v>
      </c>
      <c r="CQ176" s="22">
        <v>4458</v>
      </c>
      <c r="CR176" s="22">
        <v>4458</v>
      </c>
      <c r="CS176" s="106">
        <f t="shared" si="771"/>
        <v>51958.560000000027</v>
      </c>
      <c r="CT176" s="16" t="str">
        <f t="shared" si="595"/>
        <v>Xentry Finance Charge Interest</v>
      </c>
      <c r="CU176" s="22">
        <f>+VLOOKUP($BD176,'Jan-25'!$A:$J,7,0)</f>
        <v>15882.800000000001</v>
      </c>
      <c r="CV176" s="22">
        <f>+VLOOKUP($BD176,'Feb-25'!$A:$J,7,0)</f>
        <v>0</v>
      </c>
      <c r="CW176" s="22">
        <f>+VLOOKUP($BD176,'Mar-25'!$A:$J,7,0)</f>
        <v>0</v>
      </c>
      <c r="CX176" s="22">
        <f>+VLOOKUP($BD176,'Apr-25'!$A:$J,7,0)</f>
        <v>0</v>
      </c>
      <c r="CY176" s="22">
        <f>+VLOOKUP($BD176,'May-25'!$A:$J,7,0)</f>
        <v>12453.84</v>
      </c>
      <c r="CZ176" s="22">
        <f>+VLOOKUP($BD176,'June-25'!$A:$J,7,0)</f>
        <v>30066</v>
      </c>
      <c r="DA176" s="22">
        <f>+VLOOKUP($BD176,'July-25'!$A:$J,7,0)</f>
        <v>29379.3</v>
      </c>
      <c r="DB176" s="22">
        <f>+VLOOKUP($BD176,'Aug-25'!$A:$J,7,0)</f>
        <v>4458</v>
      </c>
      <c r="DC176" s="22">
        <f>+VLOOKUP($BD176,'Sep-25'!$A:$J,7,0)</f>
        <v>4458</v>
      </c>
      <c r="DD176" s="22">
        <f>+VLOOKUP($BD176,'Oct-25'!$A:$J,7,0)</f>
        <v>4458</v>
      </c>
      <c r="DE176" s="22">
        <f>+VLOOKUP($BD176,'Nov-25'!$A:$J,7,0)</f>
        <v>0</v>
      </c>
      <c r="DF176" s="22">
        <f>+VLOOKUP($BD176,'Dec-25'!$A:$J,7,0)</f>
        <v>0</v>
      </c>
      <c r="DG176" s="22">
        <f t="shared" si="772"/>
        <v>101155.94</v>
      </c>
      <c r="DH176" s="118">
        <f t="shared" si="717"/>
        <v>0</v>
      </c>
      <c r="DI176" s="22">
        <f>+_xlfn.XLOOKUP($CT176,Budget!$A:$A,Budget!CD:CD)</f>
        <v>4458</v>
      </c>
      <c r="DJ176" s="22">
        <f>+_xlfn.XLOOKUP($CT176,Budget!$A:$A,Budget!CE:CE)</f>
        <v>4458</v>
      </c>
      <c r="DK176" s="22">
        <f>+_xlfn.XLOOKUP($CT176,Budget!$A:$A,Budget!CF:CF)</f>
        <v>4458</v>
      </c>
      <c r="DL176" s="22">
        <f>+_xlfn.XLOOKUP($CT176,Budget!$A:$A,Budget!CG:CG)</f>
        <v>4458</v>
      </c>
      <c r="DM176" s="22">
        <f>+_xlfn.XLOOKUP($CT176,Budget!$A:$A,Budget!CH:CH)</f>
        <v>4458</v>
      </c>
      <c r="DN176" s="22">
        <f>+_xlfn.XLOOKUP($CT176,Budget!$A:$A,Budget!CI:CI)</f>
        <v>4458</v>
      </c>
      <c r="DO176" s="22">
        <f>+_xlfn.XLOOKUP($CT176,Budget!$A:$A,Budget!CJ:CJ)</f>
        <v>4458</v>
      </c>
      <c r="DP176" s="22">
        <f>+_xlfn.XLOOKUP($CT176,Budget!$A:$A,Budget!CK:CK)</f>
        <v>4458</v>
      </c>
      <c r="DQ176" s="22">
        <f>+_xlfn.XLOOKUP($CT176,Budget!$A:$A,Budget!CL:CL)</f>
        <v>4458</v>
      </c>
      <c r="DR176" s="22">
        <f>+_xlfn.XLOOKUP($CT176,Budget!$A:$A,Budget!CM:CM)</f>
        <v>4458</v>
      </c>
      <c r="DS176" s="22">
        <f>+_xlfn.XLOOKUP($CT176,Budget!$A:$A,Budget!CN:CN)</f>
        <v>4458</v>
      </c>
      <c r="DT176" s="22">
        <f>+_xlfn.XLOOKUP($CT176,Budget!$A:$A,Budget!CO:CO)</f>
        <v>4458</v>
      </c>
      <c r="DU176" s="106">
        <f t="shared" si="773"/>
        <v>53496</v>
      </c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106">
        <f t="shared" si="774"/>
        <v>0</v>
      </c>
      <c r="EJ176" s="16" t="str">
        <f t="shared" si="601"/>
        <v>Xentry Finance Charge Interest</v>
      </c>
      <c r="EK176" s="22">
        <f>+VLOOKUP($BD176,'Jan-25'!$A:$J,9,0)</f>
        <v>0</v>
      </c>
      <c r="EL176" s="22">
        <f>+VLOOKUP($BD176,'Feb-25'!$A:$J,9,0)</f>
        <v>0</v>
      </c>
      <c r="EM176" s="22">
        <f>+VLOOKUP($BD176,'Mar-25'!$A:$J,9,0)</f>
        <v>0</v>
      </c>
      <c r="EN176" s="22">
        <f>+VLOOKUP($BD176,'Apr-25'!$A:$J,9,0)</f>
        <v>0</v>
      </c>
      <c r="EO176" s="22">
        <f>+VLOOKUP($BD176,'May-25'!$A:$J,9,0)</f>
        <v>0</v>
      </c>
      <c r="EP176" s="22">
        <f>+VLOOKUP($BD176,'June-25'!$A:$J,9,0)</f>
        <v>20044</v>
      </c>
      <c r="EQ176" s="22">
        <f>+VLOOKUP($BD176,'July-25'!$A:$J,9,0)</f>
        <v>19586.2</v>
      </c>
      <c r="ER176" s="22">
        <f>+VLOOKUP($BD176,'Aug-25'!$A:$J,9,0)</f>
        <v>5000</v>
      </c>
      <c r="ES176" s="22">
        <f>+VLOOKUP($BD176,'Sep-25'!$A:$J,9,0)</f>
        <v>5000</v>
      </c>
      <c r="ET176" s="22">
        <f>+VLOOKUP($BD176,'Oct-25'!$A:$J,9,0)</f>
        <v>5000</v>
      </c>
      <c r="EU176" s="22">
        <f>+VLOOKUP($BD176,'Nov-25'!$A:$J,9,0)</f>
        <v>0</v>
      </c>
      <c r="EV176" s="22">
        <f>+VLOOKUP($BD176,'Dec-25'!$A:$J,9,0)</f>
        <v>0</v>
      </c>
      <c r="EW176" s="22">
        <f t="shared" si="775"/>
        <v>54630.2</v>
      </c>
      <c r="EX176" s="118">
        <f t="shared" si="721"/>
        <v>0</v>
      </c>
      <c r="EY176" s="22">
        <f>+_xlfn.XLOOKUP($EJ176,Budget!$A:$A,Budget!DE:DE)</f>
        <v>5000</v>
      </c>
      <c r="EZ176" s="22">
        <f>+_xlfn.XLOOKUP($EJ176,Budget!$A:$A,Budget!DF:DF)</f>
        <v>5000</v>
      </c>
      <c r="FA176" s="22">
        <f>+_xlfn.XLOOKUP($EJ176,Budget!$A:$A,Budget!DG:DG)</f>
        <v>5000</v>
      </c>
      <c r="FB176" s="22">
        <f>+_xlfn.XLOOKUP($EJ176,Budget!$A:$A,Budget!DH:DH)</f>
        <v>5000</v>
      </c>
      <c r="FC176" s="22">
        <f>+_xlfn.XLOOKUP($EJ176,Budget!$A:$A,Budget!DI:DI)</f>
        <v>5000</v>
      </c>
      <c r="FD176" s="22">
        <f>+_xlfn.XLOOKUP($EJ176,Budget!$A:$A,Budget!DJ:DJ)</f>
        <v>5000</v>
      </c>
      <c r="FE176" s="22">
        <f>+_xlfn.XLOOKUP($EJ176,Budget!$A:$A,Budget!DK:DK)</f>
        <v>5000</v>
      </c>
      <c r="FF176" s="22">
        <f>+_xlfn.XLOOKUP($EJ176,Budget!$A:$A,Budget!DL:DL)</f>
        <v>5000</v>
      </c>
      <c r="FG176" s="22">
        <f>+_xlfn.XLOOKUP($EJ176,Budget!$A:$A,Budget!DM:DM)</f>
        <v>5000</v>
      </c>
      <c r="FH176" s="22">
        <f>+_xlfn.XLOOKUP($EJ176,Budget!$A:$A,Budget!DN:DN)</f>
        <v>5000</v>
      </c>
      <c r="FI176" s="22">
        <f>+_xlfn.XLOOKUP($EJ176,Budget!$A:$A,Budget!DO:DO)</f>
        <v>5000</v>
      </c>
      <c r="FJ176" s="22">
        <f>+_xlfn.XLOOKUP($EJ176,Budget!$A:$A,Budget!DP:DP)</f>
        <v>5000</v>
      </c>
      <c r="FK176" s="106">
        <f t="shared" si="776"/>
        <v>60000</v>
      </c>
    </row>
    <row r="177" spans="1:167" ht="14.45" hidden="1" customHeight="1" outlineLevel="2">
      <c r="A177" s="106">
        <f t="shared" si="765"/>
        <v>4554.7190999999993</v>
      </c>
      <c r="B177" s="106">
        <f t="shared" si="765"/>
        <v>4503.6000000000004</v>
      </c>
      <c r="C177" s="106">
        <f t="shared" si="765"/>
        <v>1595.5947000000006</v>
      </c>
      <c r="D177" s="106">
        <f t="shared" si="765"/>
        <v>4503.6000000000004</v>
      </c>
      <c r="E177" s="106">
        <f t="shared" si="765"/>
        <v>4503.6000000000004</v>
      </c>
      <c r="F177" s="106">
        <f t="shared" si="765"/>
        <v>4503.6000000000004</v>
      </c>
      <c r="G177" s="106">
        <f t="shared" si="765"/>
        <v>4503.6000000000004</v>
      </c>
      <c r="H177" s="106">
        <f t="shared" si="765"/>
        <v>4503.6000000000004</v>
      </c>
      <c r="I177" s="106">
        <f t="shared" si="765"/>
        <v>4503.6891000000005</v>
      </c>
      <c r="J177" s="106">
        <f t="shared" si="765"/>
        <v>36364.6</v>
      </c>
      <c r="K177" s="106">
        <f t="shared" si="765"/>
        <v>3972.7043999999996</v>
      </c>
      <c r="L177" s="106">
        <f t="shared" si="765"/>
        <v>3596.04</v>
      </c>
      <c r="M177" s="106">
        <f t="shared" si="765"/>
        <v>81608.9473</v>
      </c>
      <c r="N177" s="16" t="s">
        <v>232</v>
      </c>
      <c r="O177" s="22">
        <f t="shared" si="766"/>
        <v>4741.2699999999995</v>
      </c>
      <c r="P177" s="22">
        <f t="shared" si="766"/>
        <v>4741.2699999999995</v>
      </c>
      <c r="Q177" s="22">
        <f t="shared" si="766"/>
        <v>4921.6070999999974</v>
      </c>
      <c r="R177" s="22">
        <f t="shared" si="766"/>
        <v>4741.6070999999974</v>
      </c>
      <c r="S177" s="22">
        <f t="shared" si="766"/>
        <v>36602.427099999994</v>
      </c>
      <c r="T177" s="22">
        <f t="shared" si="766"/>
        <v>14815.037100000001</v>
      </c>
      <c r="U177" s="22">
        <f t="shared" si="766"/>
        <v>4865.5448222222667</v>
      </c>
      <c r="V177" s="22">
        <f t="shared" si="766"/>
        <v>4865.9309000000003</v>
      </c>
      <c r="W177" s="22">
        <f t="shared" si="766"/>
        <v>34866.019999999997</v>
      </c>
      <c r="X177" s="22">
        <f t="shared" si="766"/>
        <v>4866.0199999999959</v>
      </c>
      <c r="Y177" s="22">
        <f t="shared" si="766"/>
        <v>0</v>
      </c>
      <c r="Z177" s="22">
        <f t="shared" si="766"/>
        <v>0</v>
      </c>
      <c r="AA177" s="22">
        <f t="shared" si="766"/>
        <v>120026.73412222226</v>
      </c>
      <c r="AB177" s="118">
        <f t="shared" si="708"/>
        <v>-0.73929708009643735</v>
      </c>
      <c r="AC177" s="22">
        <f t="shared" si="767"/>
        <v>18665</v>
      </c>
      <c r="AD177" s="22">
        <f t="shared" si="767"/>
        <v>18665</v>
      </c>
      <c r="AE177" s="22">
        <f t="shared" si="767"/>
        <v>18665</v>
      </c>
      <c r="AF177" s="22">
        <f t="shared" si="767"/>
        <v>18665</v>
      </c>
      <c r="AG177" s="22">
        <f t="shared" si="767"/>
        <v>18665</v>
      </c>
      <c r="AH177" s="22">
        <f t="shared" si="767"/>
        <v>18665</v>
      </c>
      <c r="AI177" s="22">
        <f t="shared" si="767"/>
        <v>18665</v>
      </c>
      <c r="AJ177" s="22">
        <f t="shared" si="767"/>
        <v>18665</v>
      </c>
      <c r="AK177" s="22">
        <f t="shared" si="767"/>
        <v>18665</v>
      </c>
      <c r="AL177" s="22">
        <f t="shared" si="767"/>
        <v>18665</v>
      </c>
      <c r="AM177" s="22">
        <f t="shared" si="767"/>
        <v>18665</v>
      </c>
      <c r="AN177" s="22">
        <f t="shared" si="767"/>
        <v>18665</v>
      </c>
      <c r="AO177" s="22">
        <f t="shared" si="767"/>
        <v>223980</v>
      </c>
      <c r="AQ177" s="106">
        <v>3036.4793999999997</v>
      </c>
      <c r="AR177" s="106">
        <v>3002.4</v>
      </c>
      <c r="AS177" s="106">
        <v>1063.7298000000003</v>
      </c>
      <c r="AT177" s="106">
        <v>3002.4</v>
      </c>
      <c r="AU177" s="106">
        <v>3002.4</v>
      </c>
      <c r="AV177" s="106">
        <v>3002.4</v>
      </c>
      <c r="AW177" s="106">
        <v>3002.4</v>
      </c>
      <c r="AX177" s="106">
        <v>3002.4</v>
      </c>
      <c r="AY177" s="106">
        <v>3002.4594000000002</v>
      </c>
      <c r="AZ177" s="106">
        <v>34863.4</v>
      </c>
      <c r="BA177" s="106">
        <v>2648.4695999999999</v>
      </c>
      <c r="BB177" s="106">
        <v>2397.42</v>
      </c>
      <c r="BC177" s="106">
        <f t="shared" si="768"/>
        <v>65026.358200000002</v>
      </c>
      <c r="BD177" s="16" t="str">
        <f t="shared" si="591"/>
        <v>Other Software Charges</v>
      </c>
      <c r="BE177" s="22">
        <f>+VLOOKUP($BD177,'Jan-25'!$A:$J,4,0)</f>
        <v>3318.04</v>
      </c>
      <c r="BF177" s="22">
        <f>+VLOOKUP($BD177,'Feb-25'!$A:$J,4,0)</f>
        <v>3318.04</v>
      </c>
      <c r="BG177" s="22">
        <f>+VLOOKUP($BD177,'Mar-25'!$A:$J,4,0)</f>
        <v>3498.4793999999974</v>
      </c>
      <c r="BH177" s="22">
        <f>+VLOOKUP($BD177,'Apr-25'!$A:$J,4,0)</f>
        <v>3318.4793999999974</v>
      </c>
      <c r="BI177" s="22">
        <f>+VLOOKUP($BD177,'May-25'!$A:$J,4,0)</f>
        <v>35179.299399999996</v>
      </c>
      <c r="BJ177" s="22">
        <f>+VLOOKUP($BD177,'June-25'!$A:$J,4,0)</f>
        <v>10034.099400000001</v>
      </c>
      <c r="BK177" s="22">
        <f>+VLOOKUP($BD177,'July-25'!$A:$J,4,0)</f>
        <v>3401.1039555555985</v>
      </c>
      <c r="BL177" s="22">
        <f>+VLOOKUP($BD177,'Aug-25'!$A:$J,4,0)</f>
        <v>3401.4206000000004</v>
      </c>
      <c r="BM177" s="22">
        <f>+VLOOKUP($BD177,'Sep-25'!$A:$J,4,0)</f>
        <v>33401.479999999996</v>
      </c>
      <c r="BN177" s="22">
        <f>+VLOOKUP($BD177,'Oct-25'!$A:$J,4,0)</f>
        <v>3401.4799999999959</v>
      </c>
      <c r="BO177" s="22">
        <f>+VLOOKUP($BD177,'Nov-25'!$A:$J,4,0)</f>
        <v>0</v>
      </c>
      <c r="BP177" s="22">
        <f>+VLOOKUP($BD177,'Dec-25'!$A:$J,4,0)</f>
        <v>0</v>
      </c>
      <c r="BQ177" s="22">
        <f t="shared" si="769"/>
        <v>102271.92215555559</v>
      </c>
      <c r="BR177" s="118">
        <f t="shared" si="713"/>
        <v>-0.5215921237693395</v>
      </c>
      <c r="BS177" s="106">
        <f>+_xlfn.XLOOKUP($BD177,Budget!$A:$A,Budget!AQ:AQ)</f>
        <v>7110</v>
      </c>
      <c r="BT177" s="106">
        <f>+_xlfn.XLOOKUP($BD177,Budget!$A:$A,Budget!AR:AR)</f>
        <v>7110</v>
      </c>
      <c r="BU177" s="106">
        <f>+_xlfn.XLOOKUP($BD177,Budget!$A:$A,Budget!AS:AS)</f>
        <v>7110</v>
      </c>
      <c r="BV177" s="106">
        <f>+_xlfn.XLOOKUP($BD177,Budget!$A:$A,Budget!AT:AT)</f>
        <v>7110</v>
      </c>
      <c r="BW177" s="106">
        <f>+_xlfn.XLOOKUP($BD177,Budget!$A:$A,Budget!AU:AU)</f>
        <v>7110</v>
      </c>
      <c r="BX177" s="106">
        <f>+_xlfn.XLOOKUP($BD177,Budget!$A:$A,Budget!AV:AV)</f>
        <v>7110</v>
      </c>
      <c r="BY177" s="106">
        <f>+_xlfn.XLOOKUP($BD177,Budget!$A:$A,Budget!AW:AW)</f>
        <v>7110</v>
      </c>
      <c r="BZ177" s="106">
        <f>+_xlfn.XLOOKUP($BD177,Budget!$A:$A,Budget!AX:AX)</f>
        <v>7110</v>
      </c>
      <c r="CA177" s="106">
        <f>+_xlfn.XLOOKUP($BD177,Budget!$A:$A,Budget!AY:AY)</f>
        <v>7110</v>
      </c>
      <c r="CB177" s="106">
        <f>+_xlfn.XLOOKUP($BD177,Budget!$A:$A,Budget!AZ:AZ)</f>
        <v>7110</v>
      </c>
      <c r="CC177" s="106">
        <f>+_xlfn.XLOOKUP($BD177,Budget!$A:$A,Budget!BA:BA)</f>
        <v>7110</v>
      </c>
      <c r="CD177" s="106">
        <f>+_xlfn.XLOOKUP($BD177,Budget!$A:$A,Budget!BB:BB)</f>
        <v>7110</v>
      </c>
      <c r="CE177" s="106">
        <f t="shared" si="770"/>
        <v>85320</v>
      </c>
      <c r="CF177" s="22"/>
      <c r="CG177" s="22">
        <v>1518.2396999999999</v>
      </c>
      <c r="CH177" s="22">
        <v>1501.2</v>
      </c>
      <c r="CI177" s="22">
        <v>531.86490000000015</v>
      </c>
      <c r="CJ177" s="22">
        <v>1501.2</v>
      </c>
      <c r="CK177" s="22">
        <v>1501.2</v>
      </c>
      <c r="CL177" s="22">
        <v>1501.2</v>
      </c>
      <c r="CM177" s="22">
        <v>1501.2</v>
      </c>
      <c r="CN177" s="22">
        <v>1501.2</v>
      </c>
      <c r="CO177" s="22">
        <v>1501.2297000000001</v>
      </c>
      <c r="CP177" s="22">
        <v>1501.2</v>
      </c>
      <c r="CQ177" s="22">
        <v>1324.2348</v>
      </c>
      <c r="CR177" s="22">
        <v>1198.6199999999999</v>
      </c>
      <c r="CS177" s="106">
        <f t="shared" si="771"/>
        <v>16582.589100000001</v>
      </c>
      <c r="CT177" s="16" t="str">
        <f t="shared" si="595"/>
        <v>Other Software Charges</v>
      </c>
      <c r="CU177" s="22">
        <f>+VLOOKUP($BD177,'Jan-25'!$A:$J,7,0)</f>
        <v>1423.2299999999998</v>
      </c>
      <c r="CV177" s="22">
        <f>+VLOOKUP($BD177,'Feb-25'!$A:$J,7,0)</f>
        <v>1423.2299999999998</v>
      </c>
      <c r="CW177" s="22">
        <f>+VLOOKUP($BD177,'Mar-25'!$A:$J,7,0)</f>
        <v>1423.1276999999998</v>
      </c>
      <c r="CX177" s="22">
        <f>+VLOOKUP($BD177,'Apr-25'!$A:$J,7,0)</f>
        <v>1423.1276999999998</v>
      </c>
      <c r="CY177" s="22">
        <f>+VLOOKUP($BD177,'May-25'!$A:$J,7,0)</f>
        <v>1423.1277</v>
      </c>
      <c r="CZ177" s="22">
        <f>+VLOOKUP($BD177,'June-25'!$A:$J,7,0)</f>
        <v>4780.9376999999995</v>
      </c>
      <c r="DA177" s="22">
        <f>+VLOOKUP($BD177,'July-25'!$A:$J,7,0)</f>
        <v>1464.4408666666682</v>
      </c>
      <c r="DB177" s="22">
        <f>+VLOOKUP($BD177,'Aug-25'!$A:$J,7,0)</f>
        <v>1464.5103000000001</v>
      </c>
      <c r="DC177" s="22">
        <f>+VLOOKUP($BD177,'Sep-25'!$A:$J,7,0)</f>
        <v>1464.54</v>
      </c>
      <c r="DD177" s="22">
        <f>+VLOOKUP($BD177,'Oct-25'!$A:$J,7,0)</f>
        <v>1464.54</v>
      </c>
      <c r="DE177" s="22">
        <f>+VLOOKUP($BD177,'Nov-25'!$A:$J,7,0)</f>
        <v>0</v>
      </c>
      <c r="DF177" s="22">
        <f>+VLOOKUP($BD177,'Dec-25'!$A:$J,7,0)</f>
        <v>0</v>
      </c>
      <c r="DG177" s="22">
        <f t="shared" si="772"/>
        <v>17754.811966666668</v>
      </c>
      <c r="DH177" s="118">
        <f t="shared" si="717"/>
        <v>-0.5880337552742616</v>
      </c>
      <c r="DI177" s="22">
        <f>+_xlfn.XLOOKUP($CT177,Budget!$A:$A,Budget!CD:CD)</f>
        <v>3555</v>
      </c>
      <c r="DJ177" s="22">
        <f>+_xlfn.XLOOKUP($CT177,Budget!$A:$A,Budget!CE:CE)</f>
        <v>3555</v>
      </c>
      <c r="DK177" s="22">
        <f>+_xlfn.XLOOKUP($CT177,Budget!$A:$A,Budget!CF:CF)</f>
        <v>3555</v>
      </c>
      <c r="DL177" s="22">
        <f>+_xlfn.XLOOKUP($CT177,Budget!$A:$A,Budget!CG:CG)</f>
        <v>3555</v>
      </c>
      <c r="DM177" s="22">
        <f>+_xlfn.XLOOKUP($CT177,Budget!$A:$A,Budget!CH:CH)</f>
        <v>3555</v>
      </c>
      <c r="DN177" s="22">
        <f>+_xlfn.XLOOKUP($CT177,Budget!$A:$A,Budget!CI:CI)</f>
        <v>3555</v>
      </c>
      <c r="DO177" s="22">
        <f>+_xlfn.XLOOKUP($CT177,Budget!$A:$A,Budget!CJ:CJ)</f>
        <v>3555</v>
      </c>
      <c r="DP177" s="22">
        <f>+_xlfn.XLOOKUP($CT177,Budget!$A:$A,Budget!CK:CK)</f>
        <v>3555</v>
      </c>
      <c r="DQ177" s="22">
        <f>+_xlfn.XLOOKUP($CT177,Budget!$A:$A,Budget!CL:CL)</f>
        <v>3555</v>
      </c>
      <c r="DR177" s="22">
        <f>+_xlfn.XLOOKUP($CT177,Budget!$A:$A,Budget!CM:CM)</f>
        <v>3555</v>
      </c>
      <c r="DS177" s="22">
        <f>+_xlfn.XLOOKUP($CT177,Budget!$A:$A,Budget!CN:CN)</f>
        <v>3555</v>
      </c>
      <c r="DT177" s="22">
        <f>+_xlfn.XLOOKUP($CT177,Budget!$A:$A,Budget!CO:CO)</f>
        <v>3555</v>
      </c>
      <c r="DU177" s="106">
        <f t="shared" si="773"/>
        <v>42660</v>
      </c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106">
        <f t="shared" si="774"/>
        <v>0</v>
      </c>
      <c r="EJ177" s="16" t="str">
        <f t="shared" si="601"/>
        <v>Other Software Charges</v>
      </c>
      <c r="EK177" s="22">
        <f>+VLOOKUP($BD177,'Jan-25'!$A:$J,9,0)</f>
        <v>0</v>
      </c>
      <c r="EL177" s="22">
        <f>+VLOOKUP($BD177,'Feb-25'!$A:$J,9,0)</f>
        <v>0</v>
      </c>
      <c r="EM177" s="22">
        <f>+VLOOKUP($BD177,'Mar-25'!$A:$J,9,0)</f>
        <v>0</v>
      </c>
      <c r="EN177" s="22">
        <f>+VLOOKUP($BD177,'Apr-25'!$A:$J,9,0)</f>
        <v>0</v>
      </c>
      <c r="EO177" s="22">
        <f>+VLOOKUP($BD177,'May-25'!$A:$J,9,0)</f>
        <v>0</v>
      </c>
      <c r="EP177" s="22">
        <f>+VLOOKUP($BD177,'June-25'!$A:$J,9,0)</f>
        <v>0</v>
      </c>
      <c r="EQ177" s="22">
        <f>+VLOOKUP($BD177,'July-25'!$A:$J,9,0)</f>
        <v>0</v>
      </c>
      <c r="ER177" s="22">
        <f>+VLOOKUP($BD177,'Aug-25'!$A:$J,9,0)</f>
        <v>0</v>
      </c>
      <c r="ES177" s="22">
        <f>+VLOOKUP($BD177,'Sep-25'!$A:$J,9,0)</f>
        <v>0</v>
      </c>
      <c r="ET177" s="22">
        <f>+VLOOKUP($BD177,'Oct-25'!$A:$J,9,0)</f>
        <v>0</v>
      </c>
      <c r="EU177" s="22">
        <f>+VLOOKUP($BD177,'Nov-25'!$A:$J,9,0)</f>
        <v>0</v>
      </c>
      <c r="EV177" s="22">
        <f>+VLOOKUP($BD177,'Dec-25'!$A:$J,9,0)</f>
        <v>0</v>
      </c>
      <c r="EW177" s="22">
        <f t="shared" si="775"/>
        <v>0</v>
      </c>
      <c r="EX177" s="118">
        <f t="shared" si="721"/>
        <v>-1</v>
      </c>
      <c r="EY177" s="22">
        <f>+_xlfn.XLOOKUP($EJ177,Budget!$A:$A,Budget!DE:DE)</f>
        <v>8000</v>
      </c>
      <c r="EZ177" s="22">
        <f>+_xlfn.XLOOKUP($EJ177,Budget!$A:$A,Budget!DF:DF)</f>
        <v>8000</v>
      </c>
      <c r="FA177" s="22">
        <f>+_xlfn.XLOOKUP($EJ177,Budget!$A:$A,Budget!DG:DG)</f>
        <v>8000</v>
      </c>
      <c r="FB177" s="22">
        <f>+_xlfn.XLOOKUP($EJ177,Budget!$A:$A,Budget!DH:DH)</f>
        <v>8000</v>
      </c>
      <c r="FC177" s="22">
        <f>+_xlfn.XLOOKUP($EJ177,Budget!$A:$A,Budget!DI:DI)</f>
        <v>8000</v>
      </c>
      <c r="FD177" s="22">
        <f>+_xlfn.XLOOKUP($EJ177,Budget!$A:$A,Budget!DJ:DJ)</f>
        <v>8000</v>
      </c>
      <c r="FE177" s="22">
        <f>+_xlfn.XLOOKUP($EJ177,Budget!$A:$A,Budget!DK:DK)</f>
        <v>8000</v>
      </c>
      <c r="FF177" s="22">
        <f>+_xlfn.XLOOKUP($EJ177,Budget!$A:$A,Budget!DL:DL)</f>
        <v>8000</v>
      </c>
      <c r="FG177" s="22">
        <f>+_xlfn.XLOOKUP($EJ177,Budget!$A:$A,Budget!DM:DM)</f>
        <v>8000</v>
      </c>
      <c r="FH177" s="22">
        <f>+_xlfn.XLOOKUP($EJ177,Budget!$A:$A,Budget!DN:DN)</f>
        <v>8000</v>
      </c>
      <c r="FI177" s="22">
        <f>+_xlfn.XLOOKUP($EJ177,Budget!$A:$A,Budget!DO:DO)</f>
        <v>8000</v>
      </c>
      <c r="FJ177" s="22">
        <f>+_xlfn.XLOOKUP($EJ177,Budget!$A:$A,Budget!DP:DP)</f>
        <v>8000</v>
      </c>
      <c r="FK177" s="106">
        <f t="shared" si="776"/>
        <v>96000</v>
      </c>
    </row>
    <row r="178" spans="1:167" ht="14.45" hidden="1" customHeight="1" outlineLevel="1" collapsed="1">
      <c r="A178" s="58">
        <f t="shared" ref="A178:L178" si="777">+SUM(A179:A181)</f>
        <v>148986.9406</v>
      </c>
      <c r="B178" s="58">
        <f t="shared" si="777"/>
        <v>134295.1</v>
      </c>
      <c r="C178" s="58">
        <f t="shared" si="777"/>
        <v>146304.43059999999</v>
      </c>
      <c r="D178" s="58">
        <f t="shared" si="777"/>
        <v>149972.386</v>
      </c>
      <c r="E178" s="58">
        <f t="shared" si="777"/>
        <v>262025.27000000002</v>
      </c>
      <c r="F178" s="58">
        <f t="shared" si="777"/>
        <v>184560.5</v>
      </c>
      <c r="G178" s="58">
        <f t="shared" si="777"/>
        <v>212206.07400000002</v>
      </c>
      <c r="H178" s="58">
        <f t="shared" si="777"/>
        <v>203880.53999999998</v>
      </c>
      <c r="I178" s="58">
        <f t="shared" si="777"/>
        <v>301451.80999999994</v>
      </c>
      <c r="J178" s="58">
        <f t="shared" si="777"/>
        <v>143879.128</v>
      </c>
      <c r="K178" s="58">
        <f t="shared" si="777"/>
        <v>165353.5</v>
      </c>
      <c r="L178" s="58">
        <f t="shared" si="777"/>
        <v>174062.92600000001</v>
      </c>
      <c r="M178" s="58">
        <f t="shared" ref="M178" si="778">+SUM(M179:M181)</f>
        <v>2226978.6052000001</v>
      </c>
      <c r="N178" s="20" t="s">
        <v>147</v>
      </c>
      <c r="O178" s="28">
        <f t="shared" ref="O178:Z178" si="779">+SUM(O179:O181)</f>
        <v>494276.5</v>
      </c>
      <c r="P178" s="28">
        <f t="shared" si="779"/>
        <v>486271.85399999999</v>
      </c>
      <c r="Q178" s="28">
        <f t="shared" si="779"/>
        <v>365417.6</v>
      </c>
      <c r="R178" s="28">
        <f t="shared" si="779"/>
        <v>525355.36400000006</v>
      </c>
      <c r="S178" s="28">
        <f t="shared" si="779"/>
        <v>479091.67999999993</v>
      </c>
      <c r="T178" s="28">
        <f t="shared" si="779"/>
        <v>494930.34199999995</v>
      </c>
      <c r="U178" s="28">
        <f t="shared" si="779"/>
        <v>558513.06499999994</v>
      </c>
      <c r="V178" s="28">
        <f t="shared" si="779"/>
        <v>355482.6</v>
      </c>
      <c r="W178" s="28">
        <f t="shared" si="779"/>
        <v>361585.11</v>
      </c>
      <c r="X178" s="28">
        <f t="shared" si="779"/>
        <v>396622.98</v>
      </c>
      <c r="Y178" s="28">
        <f t="shared" si="779"/>
        <v>0</v>
      </c>
      <c r="Z178" s="28">
        <f t="shared" si="779"/>
        <v>0</v>
      </c>
      <c r="AA178" s="28">
        <f t="shared" ref="AA178" si="780">+SUM(AA179:AA181)</f>
        <v>4517547.0949999997</v>
      </c>
      <c r="AB178" s="118">
        <f t="shared" si="708"/>
        <v>7.2598045423084553E-2</v>
      </c>
      <c r="AC178" s="28">
        <f t="shared" ref="AC178:AN178" si="781">+SUM(AC179:AC181)</f>
        <v>369777.83214545454</v>
      </c>
      <c r="AD178" s="28">
        <f t="shared" si="781"/>
        <v>369777.83214545454</v>
      </c>
      <c r="AE178" s="28">
        <f t="shared" si="781"/>
        <v>369777.83214545454</v>
      </c>
      <c r="AF178" s="28">
        <f t="shared" si="781"/>
        <v>369777.83214545454</v>
      </c>
      <c r="AG178" s="28">
        <f t="shared" si="781"/>
        <v>369777.83214545454</v>
      </c>
      <c r="AH178" s="28">
        <f t="shared" si="781"/>
        <v>369777.83214545454</v>
      </c>
      <c r="AI178" s="28">
        <f t="shared" si="781"/>
        <v>369777.83214545454</v>
      </c>
      <c r="AJ178" s="28">
        <f t="shared" si="781"/>
        <v>369777.83214545454</v>
      </c>
      <c r="AK178" s="28">
        <f t="shared" si="781"/>
        <v>369777.83214545454</v>
      </c>
      <c r="AL178" s="28">
        <f t="shared" si="781"/>
        <v>369777.83214545454</v>
      </c>
      <c r="AM178" s="28">
        <f t="shared" si="781"/>
        <v>369777.83214545454</v>
      </c>
      <c r="AN178" s="28">
        <f t="shared" si="781"/>
        <v>369777.83214545454</v>
      </c>
      <c r="AO178" s="28">
        <f t="shared" ref="AO178" si="782">+SUM(AO179:AO181)</f>
        <v>4437333.9857454551</v>
      </c>
      <c r="AQ178" s="58">
        <f t="shared" ref="AQ178:BB178" si="783">+SUM(AQ179:AQ181)</f>
        <v>103760.9604</v>
      </c>
      <c r="AR178" s="58">
        <f t="shared" si="783"/>
        <v>91464</v>
      </c>
      <c r="AS178" s="58">
        <f t="shared" si="783"/>
        <v>104157.02039999999</v>
      </c>
      <c r="AT178" s="58">
        <f t="shared" si="783"/>
        <v>115510.83599999998</v>
      </c>
      <c r="AU178" s="58">
        <f t="shared" si="783"/>
        <v>216912.23</v>
      </c>
      <c r="AV178" s="58">
        <f t="shared" si="783"/>
        <v>110872.79999999999</v>
      </c>
      <c r="AW178" s="58">
        <f t="shared" si="783"/>
        <v>164200.424</v>
      </c>
      <c r="AX178" s="58">
        <f t="shared" si="783"/>
        <v>139989.96</v>
      </c>
      <c r="AY178" s="58">
        <f t="shared" si="783"/>
        <v>170917.40999999997</v>
      </c>
      <c r="AZ178" s="58">
        <f t="shared" si="783"/>
        <v>109202</v>
      </c>
      <c r="BA178" s="58">
        <f t="shared" si="783"/>
        <v>96867</v>
      </c>
      <c r="BB178" s="58">
        <f t="shared" si="783"/>
        <v>112716.526</v>
      </c>
      <c r="BC178" s="58">
        <f>+SUM(AQ178:BB178)</f>
        <v>1536571.1668</v>
      </c>
      <c r="BD178" s="20" t="str">
        <f t="shared" si="591"/>
        <v>Utilities</v>
      </c>
      <c r="BE178" s="28">
        <f t="shared" ref="BE178:BQ178" si="784">+SUM(BE179:BE181)</f>
        <v>103311.4</v>
      </c>
      <c r="BF178" s="28">
        <f t="shared" si="784"/>
        <v>95724.054000000004</v>
      </c>
      <c r="BG178" s="28">
        <f t="shared" si="784"/>
        <v>92456.4</v>
      </c>
      <c r="BH178" s="28">
        <f t="shared" si="784"/>
        <v>117575.124</v>
      </c>
      <c r="BI178" s="28">
        <f t="shared" si="784"/>
        <v>113546.78</v>
      </c>
      <c r="BJ178" s="28">
        <f t="shared" si="784"/>
        <v>151128.342</v>
      </c>
      <c r="BK178" s="28">
        <f t="shared" si="784"/>
        <v>102351.63800000001</v>
      </c>
      <c r="BL178" s="28">
        <f t="shared" si="784"/>
        <v>94974.3</v>
      </c>
      <c r="BM178" s="28">
        <f t="shared" si="784"/>
        <v>94922.01</v>
      </c>
      <c r="BN178" s="28">
        <f t="shared" si="784"/>
        <v>108583.77</v>
      </c>
      <c r="BO178" s="28">
        <f t="shared" si="784"/>
        <v>0</v>
      </c>
      <c r="BP178" s="28">
        <f t="shared" si="784"/>
        <v>0</v>
      </c>
      <c r="BQ178" s="28">
        <f t="shared" si="784"/>
        <v>1074573.818</v>
      </c>
      <c r="BR178" s="118">
        <f t="shared" si="713"/>
        <v>0.15419081757876496</v>
      </c>
      <c r="BS178" s="58">
        <f t="shared" ref="BS178:CD178" si="785">+SUM(BS179:BS181)</f>
        <v>94077.832145454551</v>
      </c>
      <c r="BT178" s="58">
        <f t="shared" si="785"/>
        <v>94077.832145454551</v>
      </c>
      <c r="BU178" s="58">
        <f t="shared" si="785"/>
        <v>94077.832145454551</v>
      </c>
      <c r="BV178" s="58">
        <f t="shared" si="785"/>
        <v>94077.832145454551</v>
      </c>
      <c r="BW178" s="58">
        <f t="shared" si="785"/>
        <v>94077.832145454551</v>
      </c>
      <c r="BX178" s="58">
        <f t="shared" si="785"/>
        <v>94077.832145454551</v>
      </c>
      <c r="BY178" s="58">
        <f t="shared" si="785"/>
        <v>94077.832145454551</v>
      </c>
      <c r="BZ178" s="58">
        <f t="shared" si="785"/>
        <v>94077.832145454551</v>
      </c>
      <c r="CA178" s="58">
        <f t="shared" si="785"/>
        <v>94077.832145454551</v>
      </c>
      <c r="CB178" s="58">
        <f t="shared" si="785"/>
        <v>94077.832145454551</v>
      </c>
      <c r="CC178" s="58">
        <f t="shared" si="785"/>
        <v>94077.832145454551</v>
      </c>
      <c r="CD178" s="58">
        <f t="shared" si="785"/>
        <v>94077.832145454551</v>
      </c>
      <c r="CE178" s="58">
        <f>+SUM(BS178:CD178)</f>
        <v>1128933.9857454549</v>
      </c>
      <c r="CF178" s="22"/>
      <c r="CG178" s="28">
        <f t="shared" ref="CG178:CR178" si="786">+SUM(CG179:CG181)</f>
        <v>45225.980199999998</v>
      </c>
      <c r="CH178" s="28">
        <f t="shared" si="786"/>
        <v>42831.1</v>
      </c>
      <c r="CI178" s="28">
        <f t="shared" si="786"/>
        <v>42147.410199999998</v>
      </c>
      <c r="CJ178" s="28">
        <f t="shared" si="786"/>
        <v>34461.550000000003</v>
      </c>
      <c r="CK178" s="28">
        <f t="shared" si="786"/>
        <v>45113.04</v>
      </c>
      <c r="CL178" s="28">
        <f t="shared" si="786"/>
        <v>73687.7</v>
      </c>
      <c r="CM178" s="28">
        <f t="shared" si="786"/>
        <v>48005.65</v>
      </c>
      <c r="CN178" s="28">
        <f t="shared" si="786"/>
        <v>63890.58</v>
      </c>
      <c r="CO178" s="28">
        <f t="shared" si="786"/>
        <v>130534.39999999999</v>
      </c>
      <c r="CP178" s="28">
        <f t="shared" si="786"/>
        <v>34677.127999999997</v>
      </c>
      <c r="CQ178" s="28">
        <f t="shared" si="786"/>
        <v>68486.5</v>
      </c>
      <c r="CR178" s="28">
        <f t="shared" si="786"/>
        <v>61346.400000000001</v>
      </c>
      <c r="CS178" s="58">
        <f>+SUM(CG178:CR178)</f>
        <v>690407.4384000001</v>
      </c>
      <c r="CT178" s="20" t="str">
        <f t="shared" si="595"/>
        <v>Utilities</v>
      </c>
      <c r="CU178" s="28">
        <f t="shared" ref="CU178:DG178" si="787">+SUM(CU179:CU181)</f>
        <v>66357.100000000006</v>
      </c>
      <c r="CV178" s="28">
        <f t="shared" si="787"/>
        <v>89290.799999999988</v>
      </c>
      <c r="CW178" s="28">
        <f t="shared" si="787"/>
        <v>54674.2</v>
      </c>
      <c r="CX178" s="28">
        <f t="shared" si="787"/>
        <v>83163.240000000005</v>
      </c>
      <c r="CY178" s="28">
        <f t="shared" si="787"/>
        <v>65408.7</v>
      </c>
      <c r="CZ178" s="28">
        <f t="shared" si="787"/>
        <v>49881.999999999993</v>
      </c>
      <c r="DA178" s="28">
        <f t="shared" si="787"/>
        <v>55807.426999999996</v>
      </c>
      <c r="DB178" s="28">
        <f t="shared" si="787"/>
        <v>37498.9</v>
      </c>
      <c r="DC178" s="28">
        <f t="shared" si="787"/>
        <v>33413.1</v>
      </c>
      <c r="DD178" s="28">
        <f t="shared" si="787"/>
        <v>50419.41</v>
      </c>
      <c r="DE178" s="28">
        <f t="shared" si="787"/>
        <v>0</v>
      </c>
      <c r="DF178" s="28">
        <f t="shared" si="787"/>
        <v>0</v>
      </c>
      <c r="DG178" s="28">
        <f t="shared" si="787"/>
        <v>585914.87699999998</v>
      </c>
      <c r="DH178" s="118">
        <f t="shared" si="717"/>
        <v>0.12493105756358776</v>
      </c>
      <c r="DI178" s="28">
        <f t="shared" ref="DI178:DT178" si="788">+SUM(DI179:DI181)</f>
        <v>44820</v>
      </c>
      <c r="DJ178" s="28">
        <f t="shared" si="788"/>
        <v>44820</v>
      </c>
      <c r="DK178" s="28">
        <f t="shared" si="788"/>
        <v>44820</v>
      </c>
      <c r="DL178" s="28">
        <f t="shared" si="788"/>
        <v>44820</v>
      </c>
      <c r="DM178" s="28">
        <f t="shared" si="788"/>
        <v>44820</v>
      </c>
      <c r="DN178" s="28">
        <f t="shared" si="788"/>
        <v>44820</v>
      </c>
      <c r="DO178" s="28">
        <f t="shared" si="788"/>
        <v>44820</v>
      </c>
      <c r="DP178" s="28">
        <f t="shared" si="788"/>
        <v>44820</v>
      </c>
      <c r="DQ178" s="28">
        <f t="shared" si="788"/>
        <v>44820</v>
      </c>
      <c r="DR178" s="28">
        <f t="shared" si="788"/>
        <v>44820</v>
      </c>
      <c r="DS178" s="28">
        <f t="shared" si="788"/>
        <v>44820</v>
      </c>
      <c r="DT178" s="28">
        <f t="shared" si="788"/>
        <v>44820</v>
      </c>
      <c r="DU178" s="58">
        <f>+SUM(DI178:DT178)</f>
        <v>537840</v>
      </c>
      <c r="DW178" s="28">
        <f t="shared" ref="DW178:EH178" si="789">+SUM(DW179:DW181)</f>
        <v>0</v>
      </c>
      <c r="DX178" s="28">
        <f t="shared" si="789"/>
        <v>0</v>
      </c>
      <c r="DY178" s="28">
        <f t="shared" si="789"/>
        <v>0</v>
      </c>
      <c r="DZ178" s="28">
        <f t="shared" si="789"/>
        <v>0</v>
      </c>
      <c r="EA178" s="28">
        <f t="shared" si="789"/>
        <v>0</v>
      </c>
      <c r="EB178" s="28">
        <f t="shared" si="789"/>
        <v>0</v>
      </c>
      <c r="EC178" s="28">
        <f t="shared" si="789"/>
        <v>0</v>
      </c>
      <c r="ED178" s="28">
        <f t="shared" si="789"/>
        <v>0</v>
      </c>
      <c r="EE178" s="28">
        <f t="shared" si="789"/>
        <v>0</v>
      </c>
      <c r="EF178" s="28">
        <f t="shared" si="789"/>
        <v>0</v>
      </c>
      <c r="EG178" s="28">
        <f t="shared" si="789"/>
        <v>0</v>
      </c>
      <c r="EH178" s="28">
        <f t="shared" si="789"/>
        <v>0</v>
      </c>
      <c r="EI178" s="58">
        <f>+SUM(DW178:EH178)</f>
        <v>0</v>
      </c>
      <c r="EJ178" s="20" t="str">
        <f t="shared" si="601"/>
        <v>Utilities</v>
      </c>
      <c r="EK178" s="28">
        <f t="shared" ref="EK178:EW178" si="790">+SUM(EK179:EK181)</f>
        <v>324608</v>
      </c>
      <c r="EL178" s="28">
        <f t="shared" si="790"/>
        <v>301257</v>
      </c>
      <c r="EM178" s="28">
        <f t="shared" si="790"/>
        <v>218287</v>
      </c>
      <c r="EN178" s="28">
        <f t="shared" si="790"/>
        <v>324617</v>
      </c>
      <c r="EO178" s="28">
        <f t="shared" si="790"/>
        <v>300136.19999999995</v>
      </c>
      <c r="EP178" s="28">
        <f t="shared" si="790"/>
        <v>293920</v>
      </c>
      <c r="EQ178" s="28">
        <f t="shared" si="790"/>
        <v>400354</v>
      </c>
      <c r="ER178" s="28">
        <f t="shared" si="790"/>
        <v>223009.4</v>
      </c>
      <c r="ES178" s="28">
        <f t="shared" si="790"/>
        <v>233250</v>
      </c>
      <c r="ET178" s="28">
        <f t="shared" si="790"/>
        <v>237619.8</v>
      </c>
      <c r="EU178" s="28">
        <f t="shared" si="790"/>
        <v>0</v>
      </c>
      <c r="EV178" s="28">
        <f t="shared" si="790"/>
        <v>0</v>
      </c>
      <c r="EW178" s="28">
        <f t="shared" si="790"/>
        <v>2857058.4</v>
      </c>
      <c r="EX178" s="118">
        <f t="shared" si="721"/>
        <v>2.9191787941787891E-2</v>
      </c>
      <c r="EY178" s="28">
        <f t="shared" ref="EY178:FJ178" si="791">+SUM(EY179:EY181)</f>
        <v>230880</v>
      </c>
      <c r="EZ178" s="28">
        <f t="shared" si="791"/>
        <v>230880</v>
      </c>
      <c r="FA178" s="28">
        <f t="shared" si="791"/>
        <v>230880</v>
      </c>
      <c r="FB178" s="28">
        <f t="shared" si="791"/>
        <v>230880</v>
      </c>
      <c r="FC178" s="28">
        <f t="shared" si="791"/>
        <v>230880</v>
      </c>
      <c r="FD178" s="28">
        <f t="shared" si="791"/>
        <v>230880</v>
      </c>
      <c r="FE178" s="28">
        <f t="shared" si="791"/>
        <v>230880</v>
      </c>
      <c r="FF178" s="28">
        <f t="shared" si="791"/>
        <v>230880</v>
      </c>
      <c r="FG178" s="28">
        <f t="shared" si="791"/>
        <v>230880</v>
      </c>
      <c r="FH178" s="28">
        <f t="shared" si="791"/>
        <v>230880</v>
      </c>
      <c r="FI178" s="28">
        <f t="shared" si="791"/>
        <v>230880</v>
      </c>
      <c r="FJ178" s="28">
        <f t="shared" si="791"/>
        <v>230880</v>
      </c>
      <c r="FK178" s="58">
        <f>+SUM(EY178:FJ178)</f>
        <v>2770560</v>
      </c>
    </row>
    <row r="179" spans="1:167" ht="14.45" hidden="1" customHeight="1" outlineLevel="2">
      <c r="A179" s="106">
        <f t="shared" ref="A179:M181" si="792">+AQ179+CG179+DW179</f>
        <v>132322.90059999999</v>
      </c>
      <c r="B179" s="106">
        <f t="shared" si="792"/>
        <v>129255.1</v>
      </c>
      <c r="C179" s="106">
        <f t="shared" si="792"/>
        <v>130830.93059999999</v>
      </c>
      <c r="D179" s="106">
        <f t="shared" si="792"/>
        <v>138837.04999999999</v>
      </c>
      <c r="E179" s="106">
        <f t="shared" si="792"/>
        <v>201759.6</v>
      </c>
      <c r="F179" s="106">
        <f t="shared" si="792"/>
        <v>125050.4</v>
      </c>
      <c r="G179" s="106">
        <f t="shared" si="792"/>
        <v>169562.53000000003</v>
      </c>
      <c r="H179" s="106">
        <f t="shared" si="792"/>
        <v>180375.53999999998</v>
      </c>
      <c r="I179" s="106">
        <f t="shared" si="792"/>
        <v>265379.19999999995</v>
      </c>
      <c r="J179" s="106">
        <f t="shared" si="792"/>
        <v>118853.49799999999</v>
      </c>
      <c r="K179" s="106">
        <f t="shared" si="792"/>
        <v>140664</v>
      </c>
      <c r="L179" s="106">
        <f t="shared" si="792"/>
        <v>146066.20000000001</v>
      </c>
      <c r="M179" s="106">
        <f t="shared" si="792"/>
        <v>1878956.9491999999</v>
      </c>
      <c r="N179" s="16" t="s">
        <v>148</v>
      </c>
      <c r="O179" s="22">
        <f t="shared" ref="O179:AA181" si="793">+BE179+CU179+EK179</f>
        <v>154077.79999999999</v>
      </c>
      <c r="P179" s="22">
        <f t="shared" si="793"/>
        <v>155484</v>
      </c>
      <c r="Q179" s="22">
        <f t="shared" si="793"/>
        <v>170089.59999999998</v>
      </c>
      <c r="R179" s="22">
        <f t="shared" si="793"/>
        <v>167594</v>
      </c>
      <c r="S179" s="22">
        <f t="shared" si="793"/>
        <v>179150.89999999997</v>
      </c>
      <c r="T179" s="22">
        <f t="shared" si="793"/>
        <v>182279.9</v>
      </c>
      <c r="U179" s="22">
        <f t="shared" si="793"/>
        <v>182180.27499999999</v>
      </c>
      <c r="V179" s="22">
        <f t="shared" si="793"/>
        <v>117610.70000000001</v>
      </c>
      <c r="W179" s="22">
        <f t="shared" si="793"/>
        <v>141164.69999999998</v>
      </c>
      <c r="X179" s="22">
        <f t="shared" si="793"/>
        <v>151659.29999999999</v>
      </c>
      <c r="Y179" s="22">
        <f t="shared" si="793"/>
        <v>0</v>
      </c>
      <c r="Z179" s="22">
        <f t="shared" si="793"/>
        <v>0</v>
      </c>
      <c r="AA179" s="22">
        <f t="shared" si="793"/>
        <v>1601291.175</v>
      </c>
      <c r="AB179" s="118">
        <f t="shared" si="708"/>
        <v>-0.1483538508256087</v>
      </c>
      <c r="AC179" s="22">
        <f t="shared" ref="AC179:AO181" si="794">+BS179+DI179+EY179</f>
        <v>178077.83214545454</v>
      </c>
      <c r="AD179" s="22">
        <f t="shared" si="794"/>
        <v>178077.83214545454</v>
      </c>
      <c r="AE179" s="22">
        <f t="shared" si="794"/>
        <v>178077.83214545454</v>
      </c>
      <c r="AF179" s="22">
        <f t="shared" si="794"/>
        <v>178077.83214545454</v>
      </c>
      <c r="AG179" s="22">
        <f t="shared" si="794"/>
        <v>178077.83214545454</v>
      </c>
      <c r="AH179" s="22">
        <f t="shared" si="794"/>
        <v>178077.83214545454</v>
      </c>
      <c r="AI179" s="22">
        <f t="shared" si="794"/>
        <v>178077.83214545454</v>
      </c>
      <c r="AJ179" s="22">
        <f t="shared" si="794"/>
        <v>178077.83214545454</v>
      </c>
      <c r="AK179" s="22">
        <f t="shared" si="794"/>
        <v>178077.83214545454</v>
      </c>
      <c r="AL179" s="22">
        <f t="shared" si="794"/>
        <v>178077.83214545454</v>
      </c>
      <c r="AM179" s="22">
        <f t="shared" si="794"/>
        <v>178077.83214545454</v>
      </c>
      <c r="AN179" s="22">
        <f t="shared" si="794"/>
        <v>178077.83214545454</v>
      </c>
      <c r="AO179" s="22">
        <f t="shared" si="794"/>
        <v>2136933.9857454551</v>
      </c>
      <c r="AQ179" s="106">
        <v>98531.600399999996</v>
      </c>
      <c r="AR179" s="106">
        <v>91464</v>
      </c>
      <c r="AS179" s="106">
        <v>104157.02039999999</v>
      </c>
      <c r="AT179" s="106">
        <v>107875.49999999999</v>
      </c>
      <c r="AU179" s="106">
        <v>175489</v>
      </c>
      <c r="AV179" s="106">
        <v>88123.199999999997</v>
      </c>
      <c r="AW179" s="106">
        <v>132649.95000000001</v>
      </c>
      <c r="AX179" s="106">
        <v>139989.96</v>
      </c>
      <c r="AY179" s="106">
        <v>154444.79999999999</v>
      </c>
      <c r="AZ179" s="106">
        <v>92402</v>
      </c>
      <c r="BA179" s="106">
        <v>96867</v>
      </c>
      <c r="BB179" s="106">
        <v>103199.8</v>
      </c>
      <c r="BC179" s="106">
        <f t="shared" ref="BC179:BC181" si="795">+SUM(AQ179:BB179)</f>
        <v>1385193.8307999999</v>
      </c>
      <c r="BD179" s="16" t="str">
        <f t="shared" si="591"/>
        <v>Electricity</v>
      </c>
      <c r="BE179" s="22">
        <f>+VLOOKUP($BD179,'Jan-25'!$A:$J,4,0)</f>
        <v>103311.4</v>
      </c>
      <c r="BF179" s="22">
        <f>+VLOOKUP($BD179,'Feb-25'!$A:$J,4,0)</f>
        <v>91393.2</v>
      </c>
      <c r="BG179" s="22">
        <f>+VLOOKUP($BD179,'Mar-25'!$A:$J,4,0)</f>
        <v>86765.4</v>
      </c>
      <c r="BH179" s="22">
        <f>+VLOOKUP($BD179,'Apr-25'!$A:$J,4,0)</f>
        <v>104862</v>
      </c>
      <c r="BI179" s="22">
        <f>+VLOOKUP($BD179,'May-25'!$A:$J,4,0)</f>
        <v>101140.4</v>
      </c>
      <c r="BJ179" s="22">
        <f>+VLOOKUP($BD179,'June-25'!$A:$J,4,0)</f>
        <v>133608.6</v>
      </c>
      <c r="BK179" s="22">
        <f>+VLOOKUP($BD179,'July-25'!$A:$J,4,0)</f>
        <v>89716.478000000003</v>
      </c>
      <c r="BL179" s="22">
        <f>+VLOOKUP($BD179,'Aug-25'!$A:$J,4,0)</f>
        <v>87547.8</v>
      </c>
      <c r="BM179" s="22">
        <f>+VLOOKUP($BD179,'Sep-25'!$A:$J,4,0)</f>
        <v>89743.2</v>
      </c>
      <c r="BN179" s="22">
        <f>+VLOOKUP($BD179,'Oct-25'!$A:$J,4,0)</f>
        <v>100218</v>
      </c>
      <c r="BO179" s="22">
        <f>+VLOOKUP($BD179,'Nov-25'!$A:$J,4,0)</f>
        <v>0</v>
      </c>
      <c r="BP179" s="22">
        <f>+VLOOKUP($BD179,'Dec-25'!$A:$J,4,0)</f>
        <v>0</v>
      </c>
      <c r="BQ179" s="22">
        <f t="shared" ref="BQ179:BQ181" si="796">+SUM(BE179:BP179)</f>
        <v>988306.478</v>
      </c>
      <c r="BR179" s="118">
        <f t="shared" si="713"/>
        <v>6.5266893533984516E-2</v>
      </c>
      <c r="BS179" s="106">
        <f>+_xlfn.XLOOKUP($BD179,Budget!$A:$A,Budget!AQ:AQ)</f>
        <v>94077.832145454551</v>
      </c>
      <c r="BT179" s="106">
        <f>+_xlfn.XLOOKUP($BD179,Budget!$A:$A,Budget!AR:AR)</f>
        <v>94077.832145454551</v>
      </c>
      <c r="BU179" s="106">
        <f>+_xlfn.XLOOKUP($BD179,Budget!$A:$A,Budget!AS:AS)</f>
        <v>94077.832145454551</v>
      </c>
      <c r="BV179" s="106">
        <f>+_xlfn.XLOOKUP($BD179,Budget!$A:$A,Budget!AT:AT)</f>
        <v>94077.832145454551</v>
      </c>
      <c r="BW179" s="106">
        <f>+_xlfn.XLOOKUP($BD179,Budget!$A:$A,Budget!AU:AU)</f>
        <v>94077.832145454551</v>
      </c>
      <c r="BX179" s="106">
        <f>+_xlfn.XLOOKUP($BD179,Budget!$A:$A,Budget!AV:AV)</f>
        <v>94077.832145454551</v>
      </c>
      <c r="BY179" s="106">
        <f>+_xlfn.XLOOKUP($BD179,Budget!$A:$A,Budget!AW:AW)</f>
        <v>94077.832145454551</v>
      </c>
      <c r="BZ179" s="106">
        <f>+_xlfn.XLOOKUP($BD179,Budget!$A:$A,Budget!AX:AX)</f>
        <v>94077.832145454551</v>
      </c>
      <c r="CA179" s="106">
        <f>+_xlfn.XLOOKUP($BD179,Budget!$A:$A,Budget!AY:AY)</f>
        <v>94077.832145454551</v>
      </c>
      <c r="CB179" s="106">
        <f>+_xlfn.XLOOKUP($BD179,Budget!$A:$A,Budget!AZ:AZ)</f>
        <v>94077.832145454551</v>
      </c>
      <c r="CC179" s="106">
        <f>+_xlfn.XLOOKUP($BD179,Budget!$A:$A,Budget!BA:BA)</f>
        <v>94077.832145454551</v>
      </c>
      <c r="CD179" s="106">
        <f>+_xlfn.XLOOKUP($BD179,Budget!$A:$A,Budget!BB:BB)</f>
        <v>94077.832145454551</v>
      </c>
      <c r="CE179" s="106">
        <f t="shared" ref="CE179:CE181" si="797">+SUM(BS179:CD179)</f>
        <v>1128933.9857454549</v>
      </c>
      <c r="CF179" s="22"/>
      <c r="CG179" s="22">
        <v>33791.300199999998</v>
      </c>
      <c r="CH179" s="22">
        <v>37791.1</v>
      </c>
      <c r="CI179" s="22">
        <v>26673.910199999998</v>
      </c>
      <c r="CJ179" s="22">
        <v>30961.55</v>
      </c>
      <c r="CK179" s="22">
        <v>26270.6</v>
      </c>
      <c r="CL179" s="22">
        <v>36927.199999999997</v>
      </c>
      <c r="CM179" s="22">
        <v>36912.58</v>
      </c>
      <c r="CN179" s="22">
        <v>40385.58</v>
      </c>
      <c r="CO179" s="22">
        <v>110934.39999999999</v>
      </c>
      <c r="CP179" s="22">
        <v>26451.498</v>
      </c>
      <c r="CQ179" s="22">
        <v>43797</v>
      </c>
      <c r="CR179" s="22">
        <v>42866.400000000001</v>
      </c>
      <c r="CS179" s="106">
        <f t="shared" ref="CS179:CS181" si="798">+SUM(CG179:CR179)</f>
        <v>493763.11840000004</v>
      </c>
      <c r="CT179" s="16" t="str">
        <f t="shared" si="595"/>
        <v>Electricity</v>
      </c>
      <c r="CU179" s="22">
        <f>+VLOOKUP($BD179,'Jan-25'!$A:$J,7,0)</f>
        <v>50766.400000000001</v>
      </c>
      <c r="CV179" s="22">
        <f>+VLOOKUP($BD179,'Feb-25'!$A:$J,7,0)</f>
        <v>64090.799999999996</v>
      </c>
      <c r="CW179" s="22">
        <f>+VLOOKUP($BD179,'Mar-25'!$A:$J,7,0)</f>
        <v>30874.199999999997</v>
      </c>
      <c r="CX179" s="22">
        <f>+VLOOKUP($BD179,'Apr-25'!$A:$J,7,0)</f>
        <v>54382</v>
      </c>
      <c r="CY179" s="22">
        <f>+VLOOKUP($BD179,'May-25'!$A:$J,7,0)</f>
        <v>50798.7</v>
      </c>
      <c r="CZ179" s="22">
        <f>+VLOOKUP($BD179,'June-25'!$A:$J,7,0)</f>
        <v>39864.299999999996</v>
      </c>
      <c r="DA179" s="22">
        <f>+VLOOKUP($BD179,'July-25'!$A:$J,7,0)</f>
        <v>36857.796999999999</v>
      </c>
      <c r="DB179" s="22">
        <f>+VLOOKUP($BD179,'Aug-25'!$A:$J,7,0)</f>
        <v>25098.9</v>
      </c>
      <c r="DC179" s="22">
        <f>+VLOOKUP($BD179,'Sep-25'!$A:$J,7,0)</f>
        <v>24173.1</v>
      </c>
      <c r="DD179" s="22">
        <f>+VLOOKUP($BD179,'Oct-25'!$A:$J,7,0)</f>
        <v>31471.5</v>
      </c>
      <c r="DE179" s="22">
        <f>+VLOOKUP($BD179,'Nov-25'!$A:$J,7,0)</f>
        <v>0</v>
      </c>
      <c r="DF179" s="22">
        <f>+VLOOKUP($BD179,'Dec-25'!$A:$J,7,0)</f>
        <v>0</v>
      </c>
      <c r="DG179" s="22">
        <f t="shared" ref="DG179:DG181" si="799">+SUM(CU179:DF179)</f>
        <v>408377.69699999999</v>
      </c>
      <c r="DH179" s="118">
        <f t="shared" si="717"/>
        <v>-0.12579166666666666</v>
      </c>
      <c r="DI179" s="22">
        <f>+_xlfn.XLOOKUP($CT179,Budget!$A:$A,Budget!CD:CD)</f>
        <v>36000</v>
      </c>
      <c r="DJ179" s="22">
        <f>+_xlfn.XLOOKUP($CT179,Budget!$A:$A,Budget!CE:CE)</f>
        <v>36000</v>
      </c>
      <c r="DK179" s="22">
        <f>+_xlfn.XLOOKUP($CT179,Budget!$A:$A,Budget!CF:CF)</f>
        <v>36000</v>
      </c>
      <c r="DL179" s="22">
        <f>+_xlfn.XLOOKUP($CT179,Budget!$A:$A,Budget!CG:CG)</f>
        <v>36000</v>
      </c>
      <c r="DM179" s="22">
        <f>+_xlfn.XLOOKUP($CT179,Budget!$A:$A,Budget!CH:CH)</f>
        <v>36000</v>
      </c>
      <c r="DN179" s="22">
        <f>+_xlfn.XLOOKUP($CT179,Budget!$A:$A,Budget!CI:CI)</f>
        <v>36000</v>
      </c>
      <c r="DO179" s="22">
        <f>+_xlfn.XLOOKUP($CT179,Budget!$A:$A,Budget!CJ:CJ)</f>
        <v>36000</v>
      </c>
      <c r="DP179" s="22">
        <f>+_xlfn.XLOOKUP($CT179,Budget!$A:$A,Budget!CK:CK)</f>
        <v>36000</v>
      </c>
      <c r="DQ179" s="22">
        <f>+_xlfn.XLOOKUP($CT179,Budget!$A:$A,Budget!CL:CL)</f>
        <v>36000</v>
      </c>
      <c r="DR179" s="22">
        <f>+_xlfn.XLOOKUP($CT179,Budget!$A:$A,Budget!CM:CM)</f>
        <v>36000</v>
      </c>
      <c r="DS179" s="22">
        <f>+_xlfn.XLOOKUP($CT179,Budget!$A:$A,Budget!CN:CN)</f>
        <v>36000</v>
      </c>
      <c r="DT179" s="22">
        <f>+_xlfn.XLOOKUP($CT179,Budget!$A:$A,Budget!CO:CO)</f>
        <v>36000</v>
      </c>
      <c r="DU179" s="106">
        <f t="shared" ref="DU179:DU181" si="800">+SUM(DI179:DT179)</f>
        <v>432000</v>
      </c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106">
        <f t="shared" ref="EI179:EI181" si="801">+SUM(DW179:EH179)</f>
        <v>0</v>
      </c>
      <c r="EJ179" s="16" t="str">
        <f t="shared" si="601"/>
        <v>Electricity</v>
      </c>
      <c r="EK179" s="22">
        <f>+VLOOKUP($BD179,'Jan-25'!$A:$J,9,0)</f>
        <v>0</v>
      </c>
      <c r="EL179" s="22">
        <f>+VLOOKUP($BD179,'Feb-25'!$A:$J,9,0)</f>
        <v>0</v>
      </c>
      <c r="EM179" s="22">
        <f>+VLOOKUP($BD179,'Mar-25'!$A:$J,9,0)</f>
        <v>52450</v>
      </c>
      <c r="EN179" s="22">
        <f>+VLOOKUP($BD179,'Apr-25'!$A:$J,9,0)</f>
        <v>8350</v>
      </c>
      <c r="EO179" s="22">
        <f>+VLOOKUP($BD179,'May-25'!$A:$J,9,0)</f>
        <v>27211.8</v>
      </c>
      <c r="EP179" s="22">
        <f>+VLOOKUP($BD179,'June-25'!$A:$J,9,0)</f>
        <v>8807</v>
      </c>
      <c r="EQ179" s="22">
        <f>+VLOOKUP($BD179,'July-25'!$A:$J,9,0)</f>
        <v>55606</v>
      </c>
      <c r="ER179" s="22">
        <f>+VLOOKUP($BD179,'Aug-25'!$A:$J,9,0)</f>
        <v>4964</v>
      </c>
      <c r="ES179" s="22">
        <f>+VLOOKUP($BD179,'Sep-25'!$A:$J,9,0)</f>
        <v>27248.399999999998</v>
      </c>
      <c r="ET179" s="22">
        <f>+VLOOKUP($BD179,'Oct-25'!$A:$J,9,0)</f>
        <v>19969.8</v>
      </c>
      <c r="EU179" s="22">
        <f>+VLOOKUP($BD179,'Nov-25'!$A:$J,9,0)</f>
        <v>0</v>
      </c>
      <c r="EV179" s="22">
        <f>+VLOOKUP($BD179,'Dec-25'!$A:$J,9,0)</f>
        <v>0</v>
      </c>
      <c r="EW179" s="22">
        <f t="shared" ref="EW179:EW181" si="802">+SUM(EK179:EV179)</f>
        <v>204606.99999999997</v>
      </c>
      <c r="EX179" s="118">
        <f t="shared" si="721"/>
        <v>-0.58396250000000005</v>
      </c>
      <c r="EY179" s="22">
        <f>+_xlfn.XLOOKUP($EJ179,Budget!$A:$A,Budget!DE:DE)</f>
        <v>48000</v>
      </c>
      <c r="EZ179" s="22">
        <f>+_xlfn.XLOOKUP($EJ179,Budget!$A:$A,Budget!DF:DF)</f>
        <v>48000</v>
      </c>
      <c r="FA179" s="22">
        <f>+_xlfn.XLOOKUP($EJ179,Budget!$A:$A,Budget!DG:DG)</f>
        <v>48000</v>
      </c>
      <c r="FB179" s="22">
        <f>+_xlfn.XLOOKUP($EJ179,Budget!$A:$A,Budget!DH:DH)</f>
        <v>48000</v>
      </c>
      <c r="FC179" s="22">
        <f>+_xlfn.XLOOKUP($EJ179,Budget!$A:$A,Budget!DI:DI)</f>
        <v>48000</v>
      </c>
      <c r="FD179" s="22">
        <f>+_xlfn.XLOOKUP($EJ179,Budget!$A:$A,Budget!DJ:DJ)</f>
        <v>48000</v>
      </c>
      <c r="FE179" s="22">
        <f>+_xlfn.XLOOKUP($EJ179,Budget!$A:$A,Budget!DK:DK)</f>
        <v>48000</v>
      </c>
      <c r="FF179" s="22">
        <f>+_xlfn.XLOOKUP($EJ179,Budget!$A:$A,Budget!DL:DL)</f>
        <v>48000</v>
      </c>
      <c r="FG179" s="22">
        <f>+_xlfn.XLOOKUP($EJ179,Budget!$A:$A,Budget!DM:DM)</f>
        <v>48000</v>
      </c>
      <c r="FH179" s="22">
        <f>+_xlfn.XLOOKUP($EJ179,Budget!$A:$A,Budget!DN:DN)</f>
        <v>48000</v>
      </c>
      <c r="FI179" s="22">
        <f>+_xlfn.XLOOKUP($EJ179,Budget!$A:$A,Budget!DO:DO)</f>
        <v>48000</v>
      </c>
      <c r="FJ179" s="22">
        <f>+_xlfn.XLOOKUP($EJ179,Budget!$A:$A,Budget!DP:DP)</f>
        <v>48000</v>
      </c>
      <c r="FK179" s="106">
        <f t="shared" ref="FK179:FK181" si="803">+SUM(EY179:FJ179)</f>
        <v>576000</v>
      </c>
    </row>
    <row r="180" spans="1:167" ht="14.45" hidden="1" customHeight="1" outlineLevel="2">
      <c r="A180" s="106">
        <f t="shared" si="792"/>
        <v>7844.0399999999991</v>
      </c>
      <c r="B180" s="106">
        <f t="shared" si="792"/>
        <v>0</v>
      </c>
      <c r="C180" s="106">
        <f t="shared" si="792"/>
        <v>6653.5</v>
      </c>
      <c r="D180" s="106">
        <f t="shared" si="792"/>
        <v>11135.335999999999</v>
      </c>
      <c r="E180" s="106">
        <f t="shared" si="792"/>
        <v>55225.670000000006</v>
      </c>
      <c r="F180" s="106">
        <f t="shared" si="792"/>
        <v>42710.1</v>
      </c>
      <c r="G180" s="106">
        <f t="shared" si="792"/>
        <v>36343.543999999994</v>
      </c>
      <c r="H180" s="106">
        <f t="shared" si="792"/>
        <v>9505</v>
      </c>
      <c r="I180" s="106">
        <f t="shared" si="792"/>
        <v>16472.61</v>
      </c>
      <c r="J180" s="106">
        <f t="shared" si="792"/>
        <v>8225.6299999999992</v>
      </c>
      <c r="K180" s="106">
        <f t="shared" si="792"/>
        <v>7889.5</v>
      </c>
      <c r="L180" s="106">
        <f t="shared" si="792"/>
        <v>9516.7259999999987</v>
      </c>
      <c r="M180" s="106">
        <f t="shared" si="792"/>
        <v>211521.65600000002</v>
      </c>
      <c r="N180" s="16" t="s">
        <v>149</v>
      </c>
      <c r="O180" s="22">
        <f t="shared" si="793"/>
        <v>327418.7</v>
      </c>
      <c r="P180" s="22">
        <f t="shared" si="793"/>
        <v>304787.85399999999</v>
      </c>
      <c r="Q180" s="22">
        <f t="shared" si="793"/>
        <v>171528</v>
      </c>
      <c r="R180" s="22">
        <f t="shared" si="793"/>
        <v>357761.364</v>
      </c>
      <c r="S180" s="22">
        <f t="shared" si="793"/>
        <v>288180.77999999997</v>
      </c>
      <c r="T180" s="22">
        <f t="shared" si="793"/>
        <v>309290.44199999998</v>
      </c>
      <c r="U180" s="22">
        <f t="shared" si="793"/>
        <v>370032.79</v>
      </c>
      <c r="V180" s="22">
        <f t="shared" si="793"/>
        <v>229471.9</v>
      </c>
      <c r="W180" s="22">
        <f t="shared" si="793"/>
        <v>211180.41</v>
      </c>
      <c r="X180" s="22">
        <f t="shared" si="793"/>
        <v>237823.68</v>
      </c>
      <c r="Y180" s="22">
        <f t="shared" si="793"/>
        <v>0</v>
      </c>
      <c r="Z180" s="22">
        <f t="shared" si="793"/>
        <v>0</v>
      </c>
      <c r="AA180" s="22">
        <f t="shared" si="793"/>
        <v>2807475.92</v>
      </c>
      <c r="AB180" s="118">
        <f t="shared" si="708"/>
        <v>0.32124266666666662</v>
      </c>
      <c r="AC180" s="22">
        <f t="shared" si="794"/>
        <v>180000</v>
      </c>
      <c r="AD180" s="22">
        <f t="shared" si="794"/>
        <v>180000</v>
      </c>
      <c r="AE180" s="22">
        <f t="shared" si="794"/>
        <v>180000</v>
      </c>
      <c r="AF180" s="22">
        <f t="shared" si="794"/>
        <v>180000</v>
      </c>
      <c r="AG180" s="22">
        <f t="shared" si="794"/>
        <v>180000</v>
      </c>
      <c r="AH180" s="22">
        <f t="shared" si="794"/>
        <v>180000</v>
      </c>
      <c r="AI180" s="22">
        <f t="shared" si="794"/>
        <v>180000</v>
      </c>
      <c r="AJ180" s="22">
        <f t="shared" si="794"/>
        <v>180000</v>
      </c>
      <c r="AK180" s="22">
        <f t="shared" si="794"/>
        <v>180000</v>
      </c>
      <c r="AL180" s="22">
        <f t="shared" si="794"/>
        <v>180000</v>
      </c>
      <c r="AM180" s="22">
        <f t="shared" si="794"/>
        <v>180000</v>
      </c>
      <c r="AN180" s="22">
        <f t="shared" si="794"/>
        <v>180000</v>
      </c>
      <c r="AO180" s="22">
        <f t="shared" si="794"/>
        <v>2160000</v>
      </c>
      <c r="AQ180" s="106">
        <v>5229.3599999999997</v>
      </c>
      <c r="AR180" s="106">
        <v>0</v>
      </c>
      <c r="AS180" s="106">
        <v>0</v>
      </c>
      <c r="AT180" s="106">
        <v>7635.3359999999993</v>
      </c>
      <c r="AU180" s="106">
        <v>41423.230000000003</v>
      </c>
      <c r="AV180" s="106">
        <v>22749.599999999999</v>
      </c>
      <c r="AW180" s="106">
        <v>31550.473999999995</v>
      </c>
      <c r="AX180" s="106">
        <v>0</v>
      </c>
      <c r="AY180" s="106">
        <v>16472.61</v>
      </c>
      <c r="AZ180" s="106">
        <v>0</v>
      </c>
      <c r="BA180" s="106">
        <v>0</v>
      </c>
      <c r="BB180" s="106">
        <v>9516.7259999999987</v>
      </c>
      <c r="BC180" s="106">
        <f t="shared" si="795"/>
        <v>134577.33600000001</v>
      </c>
      <c r="BD180" s="16" t="str">
        <f t="shared" si="591"/>
        <v>Diesel Expenses</v>
      </c>
      <c r="BE180" s="22">
        <f>+VLOOKUP($BD180,'Jan-25'!$A:$J,4,0)</f>
        <v>0</v>
      </c>
      <c r="BF180" s="22">
        <f>+VLOOKUP($BD180,'Feb-25'!$A:$J,4,0)</f>
        <v>4330.8540000000003</v>
      </c>
      <c r="BG180" s="22">
        <f>+VLOOKUP($BD180,'Mar-25'!$A:$J,4,0)</f>
        <v>5691</v>
      </c>
      <c r="BH180" s="22">
        <f>+VLOOKUP($BD180,'Apr-25'!$A:$J,4,0)</f>
        <v>12713.124</v>
      </c>
      <c r="BI180" s="22">
        <f>+VLOOKUP($BD180,'May-25'!$A:$J,4,0)</f>
        <v>12406.38</v>
      </c>
      <c r="BJ180" s="22">
        <f>+VLOOKUP($BD180,'June-25'!$A:$J,4,0)</f>
        <v>17519.741999999998</v>
      </c>
      <c r="BK180" s="22">
        <f>+VLOOKUP($BD180,'July-25'!$A:$J,4,0)</f>
        <v>12635.159999999998</v>
      </c>
      <c r="BL180" s="22">
        <f>+VLOOKUP($BD180,'Aug-25'!$A:$J,4,0)</f>
        <v>7426.5</v>
      </c>
      <c r="BM180" s="22">
        <f>+VLOOKUP($BD180,'Sep-25'!$A:$J,4,0)</f>
        <v>5178.8100000000004</v>
      </c>
      <c r="BN180" s="22">
        <f>+VLOOKUP($BD180,'Oct-25'!$A:$J,4,0)</f>
        <v>8365.77</v>
      </c>
      <c r="BO180" s="22">
        <f>+VLOOKUP($BD180,'Nov-25'!$A:$J,4,0)</f>
        <v>0</v>
      </c>
      <c r="BP180" s="22">
        <f>+VLOOKUP($BD180,'Dec-25'!$A:$J,4,0)</f>
        <v>0</v>
      </c>
      <c r="BQ180" s="22">
        <f t="shared" si="796"/>
        <v>86267.34</v>
      </c>
      <c r="BR180" s="118">
        <f t="shared" si="713"/>
        <v>0</v>
      </c>
      <c r="BS180" s="106">
        <f>+_xlfn.XLOOKUP($BD180,Budget!$A:$A,Budget!AQ:AQ)</f>
        <v>0</v>
      </c>
      <c r="BT180" s="106">
        <f>+_xlfn.XLOOKUP($BD180,Budget!$A:$A,Budget!AR:AR)</f>
        <v>0</v>
      </c>
      <c r="BU180" s="106">
        <f>+_xlfn.XLOOKUP($BD180,Budget!$A:$A,Budget!AS:AS)</f>
        <v>0</v>
      </c>
      <c r="BV180" s="106">
        <f>+_xlfn.XLOOKUP($BD180,Budget!$A:$A,Budget!AT:AT)</f>
        <v>0</v>
      </c>
      <c r="BW180" s="106">
        <f>+_xlfn.XLOOKUP($BD180,Budget!$A:$A,Budget!AU:AU)</f>
        <v>0</v>
      </c>
      <c r="BX180" s="106">
        <f>+_xlfn.XLOOKUP($BD180,Budget!$A:$A,Budget!AV:AV)</f>
        <v>0</v>
      </c>
      <c r="BY180" s="106">
        <f>+_xlfn.XLOOKUP($BD180,Budget!$A:$A,Budget!AW:AW)</f>
        <v>0</v>
      </c>
      <c r="BZ180" s="106">
        <f>+_xlfn.XLOOKUP($BD180,Budget!$A:$A,Budget!AX:AX)</f>
        <v>0</v>
      </c>
      <c r="CA180" s="106">
        <f>+_xlfn.XLOOKUP($BD180,Budget!$A:$A,Budget!AY:AY)</f>
        <v>0</v>
      </c>
      <c r="CB180" s="106">
        <f>+_xlfn.XLOOKUP($BD180,Budget!$A:$A,Budget!AZ:AZ)</f>
        <v>0</v>
      </c>
      <c r="CC180" s="106">
        <f>+_xlfn.XLOOKUP($BD180,Budget!$A:$A,Budget!BA:BA)</f>
        <v>0</v>
      </c>
      <c r="CD180" s="106">
        <f>+_xlfn.XLOOKUP($BD180,Budget!$A:$A,Budget!BB:BB)</f>
        <v>0</v>
      </c>
      <c r="CE180" s="106">
        <f t="shared" si="797"/>
        <v>0</v>
      </c>
      <c r="CF180" s="22"/>
      <c r="CG180" s="22">
        <v>2614.6799999999998</v>
      </c>
      <c r="CH180" s="22">
        <v>0</v>
      </c>
      <c r="CI180" s="22">
        <v>6653.5</v>
      </c>
      <c r="CJ180" s="22">
        <v>3500</v>
      </c>
      <c r="CK180" s="22">
        <v>13802.44</v>
      </c>
      <c r="CL180" s="22">
        <v>19960.5</v>
      </c>
      <c r="CM180" s="22">
        <v>4793.07</v>
      </c>
      <c r="CN180" s="22">
        <v>9505</v>
      </c>
      <c r="CO180" s="22">
        <v>0</v>
      </c>
      <c r="CP180" s="22">
        <v>8225.6299999999992</v>
      </c>
      <c r="CQ180" s="22">
        <v>7889.5</v>
      </c>
      <c r="CR180" s="22">
        <v>0</v>
      </c>
      <c r="CS180" s="106">
        <f t="shared" si="798"/>
        <v>76944.320000000007</v>
      </c>
      <c r="CT180" s="16" t="str">
        <f t="shared" si="595"/>
        <v>Diesel Expenses</v>
      </c>
      <c r="CU180" s="22">
        <f>+VLOOKUP($BD180,'Jan-25'!$A:$J,7,0)</f>
        <v>7610.7</v>
      </c>
      <c r="CV180" s="22">
        <f>+VLOOKUP($BD180,'Feb-25'!$A:$J,7,0)</f>
        <v>0</v>
      </c>
      <c r="CW180" s="22">
        <f>+VLOOKUP($BD180,'Mar-25'!$A:$J,7,0)</f>
        <v>0</v>
      </c>
      <c r="CX180" s="22">
        <f>+VLOOKUP($BD180,'Apr-25'!$A:$J,7,0)</f>
        <v>28781.24</v>
      </c>
      <c r="CY180" s="22">
        <f>+VLOOKUP($BD180,'May-25'!$A:$J,7,0)</f>
        <v>2850</v>
      </c>
      <c r="CZ180" s="22">
        <f>+VLOOKUP($BD180,'June-25'!$A:$J,7,0)</f>
        <v>6657.7</v>
      </c>
      <c r="DA180" s="22">
        <f>+VLOOKUP($BD180,'July-25'!$A:$J,7,0)</f>
        <v>12649.63</v>
      </c>
      <c r="DB180" s="22">
        <f>+VLOOKUP($BD180,'Aug-25'!$A:$J,7,0)</f>
        <v>4000</v>
      </c>
      <c r="DC180" s="22">
        <f>+VLOOKUP($BD180,'Sep-25'!$A:$J,7,0)</f>
        <v>0</v>
      </c>
      <c r="DD180" s="22">
        <f>+VLOOKUP($BD180,'Oct-25'!$A:$J,7,0)</f>
        <v>11807.91</v>
      </c>
      <c r="DE180" s="22">
        <f>+VLOOKUP($BD180,'Nov-25'!$A:$J,7,0)</f>
        <v>0</v>
      </c>
      <c r="DF180" s="22">
        <f>+VLOOKUP($BD180,'Dec-25'!$A:$J,7,0)</f>
        <v>0</v>
      </c>
      <c r="DG180" s="22">
        <f t="shared" si="799"/>
        <v>74357.179999999993</v>
      </c>
      <c r="DH180" s="118">
        <f t="shared" si="717"/>
        <v>0</v>
      </c>
      <c r="DI180" s="22">
        <f>+_xlfn.XLOOKUP($CT180,Budget!$A:$A,Budget!CD:CD)</f>
        <v>0</v>
      </c>
      <c r="DJ180" s="22">
        <f>+_xlfn.XLOOKUP($CT180,Budget!$A:$A,Budget!CE:CE)</f>
        <v>0</v>
      </c>
      <c r="DK180" s="22">
        <f>+_xlfn.XLOOKUP($CT180,Budget!$A:$A,Budget!CF:CF)</f>
        <v>0</v>
      </c>
      <c r="DL180" s="22">
        <f>+_xlfn.XLOOKUP($CT180,Budget!$A:$A,Budget!CG:CG)</f>
        <v>0</v>
      </c>
      <c r="DM180" s="22">
        <f>+_xlfn.XLOOKUP($CT180,Budget!$A:$A,Budget!CH:CH)</f>
        <v>0</v>
      </c>
      <c r="DN180" s="22">
        <f>+_xlfn.XLOOKUP($CT180,Budget!$A:$A,Budget!CI:CI)</f>
        <v>0</v>
      </c>
      <c r="DO180" s="22">
        <f>+_xlfn.XLOOKUP($CT180,Budget!$A:$A,Budget!CJ:CJ)</f>
        <v>0</v>
      </c>
      <c r="DP180" s="22">
        <f>+_xlfn.XLOOKUP($CT180,Budget!$A:$A,Budget!CK:CK)</f>
        <v>0</v>
      </c>
      <c r="DQ180" s="22">
        <f>+_xlfn.XLOOKUP($CT180,Budget!$A:$A,Budget!CL:CL)</f>
        <v>0</v>
      </c>
      <c r="DR180" s="22">
        <f>+_xlfn.XLOOKUP($CT180,Budget!$A:$A,Budget!CM:CM)</f>
        <v>0</v>
      </c>
      <c r="DS180" s="22">
        <f>+_xlfn.XLOOKUP($CT180,Budget!$A:$A,Budget!CN:CN)</f>
        <v>0</v>
      </c>
      <c r="DT180" s="22">
        <f>+_xlfn.XLOOKUP($CT180,Budget!$A:$A,Budget!CO:CO)</f>
        <v>0</v>
      </c>
      <c r="DU180" s="106">
        <f t="shared" si="800"/>
        <v>0</v>
      </c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106">
        <f t="shared" si="801"/>
        <v>0</v>
      </c>
      <c r="EJ180" s="16" t="str">
        <f t="shared" si="601"/>
        <v>Diesel Expenses</v>
      </c>
      <c r="EK180" s="22">
        <f>+VLOOKUP($BD180,'Jan-25'!$A:$J,9,0)</f>
        <v>319808</v>
      </c>
      <c r="EL180" s="22">
        <f>+VLOOKUP($BD180,'Feb-25'!$A:$J,9,0)</f>
        <v>300457</v>
      </c>
      <c r="EM180" s="22">
        <f>+VLOOKUP($BD180,'Mar-25'!$A:$J,9,0)</f>
        <v>165837</v>
      </c>
      <c r="EN180" s="22">
        <f>+VLOOKUP($BD180,'Apr-25'!$A:$J,9,0)</f>
        <v>316267</v>
      </c>
      <c r="EO180" s="22">
        <f>+VLOOKUP($BD180,'May-25'!$A:$J,9,0)</f>
        <v>272924.39999999997</v>
      </c>
      <c r="EP180" s="22">
        <f>+VLOOKUP($BD180,'June-25'!$A:$J,9,0)</f>
        <v>285113</v>
      </c>
      <c r="EQ180" s="22">
        <f>+VLOOKUP($BD180,'July-25'!$A:$J,9,0)</f>
        <v>344748</v>
      </c>
      <c r="ER180" s="22">
        <f>+VLOOKUP($BD180,'Aug-25'!$A:$J,9,0)</f>
        <v>218045.4</v>
      </c>
      <c r="ES180" s="22">
        <f>+VLOOKUP($BD180,'Sep-25'!$A:$J,9,0)</f>
        <v>206001.6</v>
      </c>
      <c r="ET180" s="22">
        <f>+VLOOKUP($BD180,'Oct-25'!$A:$J,9,0)</f>
        <v>217650</v>
      </c>
      <c r="EU180" s="22">
        <f>+VLOOKUP($BD180,'Nov-25'!$A:$J,9,0)</f>
        <v>0</v>
      </c>
      <c r="EV180" s="22">
        <f>+VLOOKUP($BD180,'Dec-25'!$A:$J,9,0)</f>
        <v>0</v>
      </c>
      <c r="EW180" s="22">
        <f t="shared" si="802"/>
        <v>2646851.4</v>
      </c>
      <c r="EX180" s="118">
        <f t="shared" si="721"/>
        <v>0.20916666666666667</v>
      </c>
      <c r="EY180" s="22">
        <f>+_xlfn.XLOOKUP($EJ180,Budget!$A:$A,Budget!DE:DE)</f>
        <v>180000</v>
      </c>
      <c r="EZ180" s="22">
        <f>+_xlfn.XLOOKUP($EJ180,Budget!$A:$A,Budget!DF:DF)</f>
        <v>180000</v>
      </c>
      <c r="FA180" s="22">
        <f>+_xlfn.XLOOKUP($EJ180,Budget!$A:$A,Budget!DG:DG)</f>
        <v>180000</v>
      </c>
      <c r="FB180" s="22">
        <f>+_xlfn.XLOOKUP($EJ180,Budget!$A:$A,Budget!DH:DH)</f>
        <v>180000</v>
      </c>
      <c r="FC180" s="22">
        <f>+_xlfn.XLOOKUP($EJ180,Budget!$A:$A,Budget!DI:DI)</f>
        <v>180000</v>
      </c>
      <c r="FD180" s="22">
        <f>+_xlfn.XLOOKUP($EJ180,Budget!$A:$A,Budget!DJ:DJ)</f>
        <v>180000</v>
      </c>
      <c r="FE180" s="22">
        <f>+_xlfn.XLOOKUP($EJ180,Budget!$A:$A,Budget!DK:DK)</f>
        <v>180000</v>
      </c>
      <c r="FF180" s="22">
        <f>+_xlfn.XLOOKUP($EJ180,Budget!$A:$A,Budget!DL:DL)</f>
        <v>180000</v>
      </c>
      <c r="FG180" s="22">
        <f>+_xlfn.XLOOKUP($EJ180,Budget!$A:$A,Budget!DM:DM)</f>
        <v>180000</v>
      </c>
      <c r="FH180" s="22">
        <f>+_xlfn.XLOOKUP($EJ180,Budget!$A:$A,Budget!DN:DN)</f>
        <v>180000</v>
      </c>
      <c r="FI180" s="22">
        <f>+_xlfn.XLOOKUP($EJ180,Budget!$A:$A,Budget!DO:DO)</f>
        <v>180000</v>
      </c>
      <c r="FJ180" s="22">
        <f>+_xlfn.XLOOKUP($EJ180,Budget!$A:$A,Budget!DP:DP)</f>
        <v>180000</v>
      </c>
      <c r="FK180" s="106">
        <f t="shared" si="803"/>
        <v>2160000</v>
      </c>
    </row>
    <row r="181" spans="1:167" ht="14.45" hidden="1" customHeight="1" outlineLevel="2">
      <c r="A181" s="106">
        <f t="shared" si="792"/>
        <v>8820</v>
      </c>
      <c r="B181" s="106">
        <f t="shared" si="792"/>
        <v>5040</v>
      </c>
      <c r="C181" s="106">
        <f t="shared" si="792"/>
        <v>8820</v>
      </c>
      <c r="D181" s="106">
        <f t="shared" si="792"/>
        <v>0</v>
      </c>
      <c r="E181" s="106">
        <f t="shared" si="792"/>
        <v>5040</v>
      </c>
      <c r="F181" s="106">
        <f t="shared" si="792"/>
        <v>16800</v>
      </c>
      <c r="G181" s="106">
        <f t="shared" si="792"/>
        <v>6300</v>
      </c>
      <c r="H181" s="106">
        <f t="shared" si="792"/>
        <v>14000</v>
      </c>
      <c r="I181" s="106">
        <f t="shared" si="792"/>
        <v>19600</v>
      </c>
      <c r="J181" s="106">
        <f t="shared" si="792"/>
        <v>16800</v>
      </c>
      <c r="K181" s="106">
        <f t="shared" si="792"/>
        <v>16800</v>
      </c>
      <c r="L181" s="106">
        <f t="shared" si="792"/>
        <v>18480</v>
      </c>
      <c r="M181" s="106">
        <f t="shared" si="792"/>
        <v>136500</v>
      </c>
      <c r="N181" s="16" t="s">
        <v>150</v>
      </c>
      <c r="O181" s="22">
        <f t="shared" si="793"/>
        <v>12780</v>
      </c>
      <c r="P181" s="22">
        <f t="shared" si="793"/>
        <v>26000</v>
      </c>
      <c r="Q181" s="22">
        <f t="shared" si="793"/>
        <v>23800</v>
      </c>
      <c r="R181" s="22">
        <f t="shared" si="793"/>
        <v>0</v>
      </c>
      <c r="S181" s="22">
        <f t="shared" si="793"/>
        <v>11760</v>
      </c>
      <c r="T181" s="22">
        <f t="shared" si="793"/>
        <v>3360</v>
      </c>
      <c r="U181" s="22">
        <f t="shared" si="793"/>
        <v>6300</v>
      </c>
      <c r="V181" s="22">
        <f t="shared" si="793"/>
        <v>8400</v>
      </c>
      <c r="W181" s="22">
        <f t="shared" si="793"/>
        <v>9240</v>
      </c>
      <c r="X181" s="22">
        <f t="shared" si="793"/>
        <v>7140</v>
      </c>
      <c r="Y181" s="22">
        <f t="shared" si="793"/>
        <v>0</v>
      </c>
      <c r="Z181" s="22">
        <f t="shared" si="793"/>
        <v>0</v>
      </c>
      <c r="AA181" s="22">
        <f t="shared" si="793"/>
        <v>108780</v>
      </c>
      <c r="AB181" s="118">
        <f t="shared" si="708"/>
        <v>-0.38974358974358975</v>
      </c>
      <c r="AC181" s="22">
        <f t="shared" si="794"/>
        <v>11700</v>
      </c>
      <c r="AD181" s="22">
        <f t="shared" si="794"/>
        <v>11700</v>
      </c>
      <c r="AE181" s="22">
        <f t="shared" si="794"/>
        <v>11700</v>
      </c>
      <c r="AF181" s="22">
        <f t="shared" si="794"/>
        <v>11700</v>
      </c>
      <c r="AG181" s="22">
        <f t="shared" si="794"/>
        <v>11700</v>
      </c>
      <c r="AH181" s="22">
        <f t="shared" si="794"/>
        <v>11700</v>
      </c>
      <c r="AI181" s="22">
        <f t="shared" si="794"/>
        <v>11700</v>
      </c>
      <c r="AJ181" s="22">
        <f t="shared" si="794"/>
        <v>11700</v>
      </c>
      <c r="AK181" s="22">
        <f t="shared" si="794"/>
        <v>11700</v>
      </c>
      <c r="AL181" s="22">
        <f t="shared" si="794"/>
        <v>11700</v>
      </c>
      <c r="AM181" s="22">
        <f t="shared" si="794"/>
        <v>11700</v>
      </c>
      <c r="AN181" s="22">
        <f t="shared" si="794"/>
        <v>11700</v>
      </c>
      <c r="AO181" s="22">
        <f t="shared" si="794"/>
        <v>140400</v>
      </c>
      <c r="AQ181" s="106">
        <v>0</v>
      </c>
      <c r="AR181" s="106">
        <v>0</v>
      </c>
      <c r="AS181" s="106">
        <v>0</v>
      </c>
      <c r="AT181" s="106">
        <v>0</v>
      </c>
      <c r="AU181" s="106">
        <v>0</v>
      </c>
      <c r="AV181" s="106">
        <v>0</v>
      </c>
      <c r="AW181" s="106">
        <v>0</v>
      </c>
      <c r="AX181" s="106">
        <v>0</v>
      </c>
      <c r="AY181" s="106">
        <v>0</v>
      </c>
      <c r="AZ181" s="106">
        <v>16800</v>
      </c>
      <c r="BA181" s="106">
        <v>0</v>
      </c>
      <c r="BB181" s="106">
        <v>0</v>
      </c>
      <c r="BC181" s="106">
        <f t="shared" si="795"/>
        <v>16800</v>
      </c>
      <c r="BD181" s="16" t="str">
        <f t="shared" si="591"/>
        <v>Water</v>
      </c>
      <c r="BE181" s="22">
        <f>+VLOOKUP($BD181,'Jan-25'!$A:$J,4,0)</f>
        <v>0</v>
      </c>
      <c r="BF181" s="22">
        <f>+VLOOKUP($BD181,'Feb-25'!$A:$J,4,0)</f>
        <v>0</v>
      </c>
      <c r="BG181" s="22">
        <f>+VLOOKUP($BD181,'Mar-25'!$A:$J,4,0)</f>
        <v>0</v>
      </c>
      <c r="BH181" s="22">
        <f>+VLOOKUP($BD181,'Apr-25'!$A:$J,4,0)</f>
        <v>0</v>
      </c>
      <c r="BI181" s="22">
        <f>+VLOOKUP($BD181,'May-25'!$A:$J,4,0)</f>
        <v>0</v>
      </c>
      <c r="BJ181" s="22">
        <f>+VLOOKUP($BD181,'June-25'!$A:$J,4,0)</f>
        <v>0</v>
      </c>
      <c r="BK181" s="22">
        <f>+VLOOKUP($BD181,'July-25'!$A:$J,4,0)</f>
        <v>0</v>
      </c>
      <c r="BL181" s="22">
        <f>+VLOOKUP($BD181,'Aug-25'!$A:$J,4,0)</f>
        <v>0</v>
      </c>
      <c r="BM181" s="22">
        <f>+VLOOKUP($BD181,'Sep-25'!$A:$J,4,0)</f>
        <v>0</v>
      </c>
      <c r="BN181" s="22">
        <f>+VLOOKUP($BD181,'Oct-25'!$A:$J,4,0)</f>
        <v>0</v>
      </c>
      <c r="BO181" s="22">
        <f>+VLOOKUP($BD181,'Nov-25'!$A:$J,4,0)</f>
        <v>0</v>
      </c>
      <c r="BP181" s="22">
        <f>+VLOOKUP($BD181,'Dec-25'!$A:$J,4,0)</f>
        <v>0</v>
      </c>
      <c r="BQ181" s="22">
        <f t="shared" si="796"/>
        <v>0</v>
      </c>
      <c r="BR181" s="118">
        <f t="shared" si="713"/>
        <v>0</v>
      </c>
      <c r="BS181" s="106">
        <f>+_xlfn.XLOOKUP($BD181,Budget!$A:$A,Budget!AQ:AQ)</f>
        <v>0</v>
      </c>
      <c r="BT181" s="106">
        <f>+_xlfn.XLOOKUP($BD181,Budget!$A:$A,Budget!AR:AR)</f>
        <v>0</v>
      </c>
      <c r="BU181" s="106">
        <f>+_xlfn.XLOOKUP($BD181,Budget!$A:$A,Budget!AS:AS)</f>
        <v>0</v>
      </c>
      <c r="BV181" s="106">
        <f>+_xlfn.XLOOKUP($BD181,Budget!$A:$A,Budget!AT:AT)</f>
        <v>0</v>
      </c>
      <c r="BW181" s="106">
        <f>+_xlfn.XLOOKUP($BD181,Budget!$A:$A,Budget!AU:AU)</f>
        <v>0</v>
      </c>
      <c r="BX181" s="106">
        <f>+_xlfn.XLOOKUP($BD181,Budget!$A:$A,Budget!AV:AV)</f>
        <v>0</v>
      </c>
      <c r="BY181" s="106">
        <f>+_xlfn.XLOOKUP($BD181,Budget!$A:$A,Budget!AW:AW)</f>
        <v>0</v>
      </c>
      <c r="BZ181" s="106">
        <f>+_xlfn.XLOOKUP($BD181,Budget!$A:$A,Budget!AX:AX)</f>
        <v>0</v>
      </c>
      <c r="CA181" s="106">
        <f>+_xlfn.XLOOKUP($BD181,Budget!$A:$A,Budget!AY:AY)</f>
        <v>0</v>
      </c>
      <c r="CB181" s="106">
        <f>+_xlfn.XLOOKUP($BD181,Budget!$A:$A,Budget!AZ:AZ)</f>
        <v>0</v>
      </c>
      <c r="CC181" s="106">
        <f>+_xlfn.XLOOKUP($BD181,Budget!$A:$A,Budget!BA:BA)</f>
        <v>0</v>
      </c>
      <c r="CD181" s="106">
        <f>+_xlfn.XLOOKUP($BD181,Budget!$A:$A,Budget!BB:BB)</f>
        <v>0</v>
      </c>
      <c r="CE181" s="106">
        <f t="shared" si="797"/>
        <v>0</v>
      </c>
      <c r="CF181" s="22"/>
      <c r="CG181" s="22">
        <v>8820</v>
      </c>
      <c r="CH181" s="22">
        <v>5040</v>
      </c>
      <c r="CI181" s="22">
        <v>8820</v>
      </c>
      <c r="CJ181" s="22">
        <v>0</v>
      </c>
      <c r="CK181" s="22">
        <v>5040</v>
      </c>
      <c r="CL181" s="22">
        <v>16800</v>
      </c>
      <c r="CM181" s="22">
        <v>6300</v>
      </c>
      <c r="CN181" s="22">
        <v>14000</v>
      </c>
      <c r="CO181" s="22">
        <v>19600</v>
      </c>
      <c r="CP181" s="22">
        <v>0</v>
      </c>
      <c r="CQ181" s="22">
        <v>16800</v>
      </c>
      <c r="CR181" s="22">
        <v>18480</v>
      </c>
      <c r="CS181" s="106">
        <f t="shared" si="798"/>
        <v>119700</v>
      </c>
      <c r="CT181" s="16" t="str">
        <f t="shared" si="595"/>
        <v>Water</v>
      </c>
      <c r="CU181" s="22">
        <f>+VLOOKUP($BD181,'Jan-25'!$A:$J,7,0)</f>
        <v>7980</v>
      </c>
      <c r="CV181" s="22">
        <f>+VLOOKUP($BD181,'Feb-25'!$A:$J,7,0)</f>
        <v>25200</v>
      </c>
      <c r="CW181" s="22">
        <f>+VLOOKUP($BD181,'Mar-25'!$A:$J,7,0)</f>
        <v>23800</v>
      </c>
      <c r="CX181" s="22">
        <f>+VLOOKUP($BD181,'Apr-25'!$A:$J,7,0)</f>
        <v>0</v>
      </c>
      <c r="CY181" s="22">
        <f>+VLOOKUP($BD181,'May-25'!$A:$J,7,0)</f>
        <v>11760</v>
      </c>
      <c r="CZ181" s="22">
        <f>+VLOOKUP($BD181,'June-25'!$A:$J,7,0)</f>
        <v>3360</v>
      </c>
      <c r="DA181" s="22">
        <f>+VLOOKUP($BD181,'July-25'!$A:$J,7,0)</f>
        <v>6300</v>
      </c>
      <c r="DB181" s="22">
        <f>+VLOOKUP($BD181,'Aug-25'!$A:$J,7,0)</f>
        <v>8400</v>
      </c>
      <c r="DC181" s="22">
        <f>+VLOOKUP($BD181,'Sep-25'!$A:$J,7,0)</f>
        <v>9240</v>
      </c>
      <c r="DD181" s="22">
        <f>+VLOOKUP($BD181,'Oct-25'!$A:$J,7,0)</f>
        <v>7140</v>
      </c>
      <c r="DE181" s="22">
        <f>+VLOOKUP($BD181,'Nov-25'!$A:$J,7,0)</f>
        <v>0</v>
      </c>
      <c r="DF181" s="22">
        <f>+VLOOKUP($BD181,'Dec-25'!$A:$J,7,0)</f>
        <v>0</v>
      </c>
      <c r="DG181" s="22">
        <f t="shared" si="799"/>
        <v>103180</v>
      </c>
      <c r="DH181" s="118">
        <f t="shared" si="717"/>
        <v>-0.19047619047619047</v>
      </c>
      <c r="DI181" s="22">
        <f>+_xlfn.XLOOKUP($CT181,Budget!$A:$A,Budget!CD:CD)</f>
        <v>8820</v>
      </c>
      <c r="DJ181" s="22">
        <f>+_xlfn.XLOOKUP($CT181,Budget!$A:$A,Budget!CE:CE)</f>
        <v>8820</v>
      </c>
      <c r="DK181" s="22">
        <f>+_xlfn.XLOOKUP($CT181,Budget!$A:$A,Budget!CF:CF)</f>
        <v>8820</v>
      </c>
      <c r="DL181" s="22">
        <f>+_xlfn.XLOOKUP($CT181,Budget!$A:$A,Budget!CG:CG)</f>
        <v>8820</v>
      </c>
      <c r="DM181" s="22">
        <f>+_xlfn.XLOOKUP($CT181,Budget!$A:$A,Budget!CH:CH)</f>
        <v>8820</v>
      </c>
      <c r="DN181" s="22">
        <f>+_xlfn.XLOOKUP($CT181,Budget!$A:$A,Budget!CI:CI)</f>
        <v>8820</v>
      </c>
      <c r="DO181" s="22">
        <f>+_xlfn.XLOOKUP($CT181,Budget!$A:$A,Budget!CJ:CJ)</f>
        <v>8820</v>
      </c>
      <c r="DP181" s="22">
        <f>+_xlfn.XLOOKUP($CT181,Budget!$A:$A,Budget!CK:CK)</f>
        <v>8820</v>
      </c>
      <c r="DQ181" s="22">
        <f>+_xlfn.XLOOKUP($CT181,Budget!$A:$A,Budget!CL:CL)</f>
        <v>8820</v>
      </c>
      <c r="DR181" s="22">
        <f>+_xlfn.XLOOKUP($CT181,Budget!$A:$A,Budget!CM:CM)</f>
        <v>8820</v>
      </c>
      <c r="DS181" s="22">
        <f>+_xlfn.XLOOKUP($CT181,Budget!$A:$A,Budget!CN:CN)</f>
        <v>8820</v>
      </c>
      <c r="DT181" s="22">
        <f>+_xlfn.XLOOKUP($CT181,Budget!$A:$A,Budget!CO:CO)</f>
        <v>8820</v>
      </c>
      <c r="DU181" s="106">
        <f t="shared" si="800"/>
        <v>105840</v>
      </c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106">
        <f t="shared" si="801"/>
        <v>0</v>
      </c>
      <c r="EJ181" s="16" t="str">
        <f t="shared" si="601"/>
        <v>Water</v>
      </c>
      <c r="EK181" s="22">
        <f>+VLOOKUP($BD181,'Jan-25'!$A:$J,9,0)</f>
        <v>4800</v>
      </c>
      <c r="EL181" s="22">
        <f>+VLOOKUP($BD181,'Feb-25'!$A:$J,9,0)</f>
        <v>800</v>
      </c>
      <c r="EM181" s="22">
        <f>+VLOOKUP($BD181,'Mar-25'!$A:$J,9,0)</f>
        <v>0</v>
      </c>
      <c r="EN181" s="22">
        <f>+VLOOKUP($BD181,'Apr-25'!$A:$J,9,0)</f>
        <v>0</v>
      </c>
      <c r="EO181" s="22">
        <f>+VLOOKUP($BD181,'May-25'!$A:$J,9,0)</f>
        <v>0</v>
      </c>
      <c r="EP181" s="22">
        <f>+VLOOKUP($BD181,'June-25'!$A:$J,9,0)</f>
        <v>0</v>
      </c>
      <c r="EQ181" s="22">
        <f>+VLOOKUP($BD181,'July-25'!$A:$J,9,0)</f>
        <v>0</v>
      </c>
      <c r="ER181" s="22">
        <f>+VLOOKUP($BD181,'Aug-25'!$A:$J,9,0)</f>
        <v>0</v>
      </c>
      <c r="ES181" s="22">
        <f>+VLOOKUP($BD181,'Sep-25'!$A:$J,9,0)</f>
        <v>0</v>
      </c>
      <c r="ET181" s="22">
        <f>+VLOOKUP($BD181,'Oct-25'!$A:$J,9,0)</f>
        <v>0</v>
      </c>
      <c r="EU181" s="22">
        <f>+VLOOKUP($BD181,'Nov-25'!$A:$J,9,0)</f>
        <v>0</v>
      </c>
      <c r="EV181" s="22">
        <f>+VLOOKUP($BD181,'Dec-25'!$A:$J,9,0)</f>
        <v>0</v>
      </c>
      <c r="EW181" s="22">
        <f t="shared" si="802"/>
        <v>5600</v>
      </c>
      <c r="EX181" s="118">
        <f t="shared" si="721"/>
        <v>-1</v>
      </c>
      <c r="EY181" s="22">
        <f>+_xlfn.XLOOKUP($EJ181,Budget!$A:$A,Budget!DE:DE)</f>
        <v>2880</v>
      </c>
      <c r="EZ181" s="22">
        <f>+_xlfn.XLOOKUP($EJ181,Budget!$A:$A,Budget!DF:DF)</f>
        <v>2880</v>
      </c>
      <c r="FA181" s="22">
        <f>+_xlfn.XLOOKUP($EJ181,Budget!$A:$A,Budget!DG:DG)</f>
        <v>2880</v>
      </c>
      <c r="FB181" s="22">
        <f>+_xlfn.XLOOKUP($EJ181,Budget!$A:$A,Budget!DH:DH)</f>
        <v>2880</v>
      </c>
      <c r="FC181" s="22">
        <f>+_xlfn.XLOOKUP($EJ181,Budget!$A:$A,Budget!DI:DI)</f>
        <v>2880</v>
      </c>
      <c r="FD181" s="22">
        <f>+_xlfn.XLOOKUP($EJ181,Budget!$A:$A,Budget!DJ:DJ)</f>
        <v>2880</v>
      </c>
      <c r="FE181" s="22">
        <f>+_xlfn.XLOOKUP($EJ181,Budget!$A:$A,Budget!DK:DK)</f>
        <v>2880</v>
      </c>
      <c r="FF181" s="22">
        <f>+_xlfn.XLOOKUP($EJ181,Budget!$A:$A,Budget!DL:DL)</f>
        <v>2880</v>
      </c>
      <c r="FG181" s="22">
        <f>+_xlfn.XLOOKUP($EJ181,Budget!$A:$A,Budget!DM:DM)</f>
        <v>2880</v>
      </c>
      <c r="FH181" s="22">
        <f>+_xlfn.XLOOKUP($EJ181,Budget!$A:$A,Budget!DN:DN)</f>
        <v>2880</v>
      </c>
      <c r="FI181" s="22">
        <f>+_xlfn.XLOOKUP($EJ181,Budget!$A:$A,Budget!DO:DO)</f>
        <v>2880</v>
      </c>
      <c r="FJ181" s="22">
        <f>+_xlfn.XLOOKUP($EJ181,Budget!$A:$A,Budget!DP:DP)</f>
        <v>2880</v>
      </c>
      <c r="FK181" s="106">
        <f t="shared" si="803"/>
        <v>34560</v>
      </c>
    </row>
    <row r="182" spans="1:167" ht="14.45" hidden="1" customHeight="1" outlineLevel="1" collapsed="1">
      <c r="A182" s="107">
        <f t="shared" ref="A182:L182" si="804">+SUM(A183:A186)</f>
        <v>26072.095499999999</v>
      </c>
      <c r="B182" s="107">
        <f t="shared" si="804"/>
        <v>20955.75</v>
      </c>
      <c r="C182" s="107">
        <f t="shared" si="804"/>
        <v>21355.350000000002</v>
      </c>
      <c r="D182" s="107">
        <f t="shared" si="804"/>
        <v>52855.350000000006</v>
      </c>
      <c r="E182" s="107">
        <f t="shared" si="804"/>
        <v>53334.75</v>
      </c>
      <c r="F182" s="107">
        <f t="shared" si="804"/>
        <v>50750.700000000004</v>
      </c>
      <c r="G182" s="107">
        <f t="shared" si="804"/>
        <v>21045</v>
      </c>
      <c r="H182" s="107">
        <f t="shared" si="804"/>
        <v>599.4</v>
      </c>
      <c r="I182" s="107">
        <f t="shared" si="804"/>
        <v>20249.942999999999</v>
      </c>
      <c r="J182" s="107">
        <f t="shared" si="804"/>
        <v>45479.4</v>
      </c>
      <c r="K182" s="107">
        <f t="shared" si="804"/>
        <v>51989.643000000004</v>
      </c>
      <c r="L182" s="107">
        <f t="shared" si="804"/>
        <v>51230.1</v>
      </c>
      <c r="M182" s="107">
        <f t="shared" ref="M182" si="805">+SUM(M183:M186)</f>
        <v>415917.48149999999</v>
      </c>
      <c r="N182" s="20" t="s">
        <v>151</v>
      </c>
      <c r="O182" s="31">
        <f t="shared" ref="O182:Z182" si="806">+SUM(O183:O186)</f>
        <v>61108.79</v>
      </c>
      <c r="P182" s="31">
        <f t="shared" si="806"/>
        <v>57018.1</v>
      </c>
      <c r="Q182" s="31">
        <f t="shared" si="806"/>
        <v>22230.104999999996</v>
      </c>
      <c r="R182" s="31">
        <f t="shared" si="806"/>
        <v>40705.124800000005</v>
      </c>
      <c r="S182" s="31">
        <f t="shared" si="806"/>
        <v>60031.476600000009</v>
      </c>
      <c r="T182" s="31">
        <f t="shared" si="806"/>
        <v>84814.486300000004</v>
      </c>
      <c r="U182" s="31">
        <f t="shared" si="806"/>
        <v>56565.184426373628</v>
      </c>
      <c r="V182" s="31">
        <f t="shared" si="806"/>
        <v>42854.249100000001</v>
      </c>
      <c r="W182" s="31">
        <f t="shared" si="806"/>
        <v>57964.71</v>
      </c>
      <c r="X182" s="31">
        <f t="shared" si="806"/>
        <v>56140.049999999996</v>
      </c>
      <c r="Y182" s="31">
        <f t="shared" si="806"/>
        <v>0</v>
      </c>
      <c r="Z182" s="31">
        <f t="shared" si="806"/>
        <v>0</v>
      </c>
      <c r="AA182" s="31">
        <f t="shared" ref="AA182" si="807">+SUM(AA183:AA186)</f>
        <v>539432.27622637362</v>
      </c>
      <c r="AB182" s="118">
        <f t="shared" si="708"/>
        <v>0.16598076569602069</v>
      </c>
      <c r="AC182" s="31">
        <f t="shared" ref="AC182:AN182" si="808">+SUM(AC183:AC186)</f>
        <v>48148.35</v>
      </c>
      <c r="AD182" s="31">
        <f t="shared" si="808"/>
        <v>48148.35</v>
      </c>
      <c r="AE182" s="31">
        <f t="shared" si="808"/>
        <v>48148.35</v>
      </c>
      <c r="AF182" s="31">
        <f t="shared" si="808"/>
        <v>48148.35</v>
      </c>
      <c r="AG182" s="31">
        <f t="shared" si="808"/>
        <v>48148.35</v>
      </c>
      <c r="AH182" s="31">
        <f t="shared" si="808"/>
        <v>48148.35</v>
      </c>
      <c r="AI182" s="31">
        <f t="shared" si="808"/>
        <v>48148.35</v>
      </c>
      <c r="AJ182" s="31">
        <f t="shared" si="808"/>
        <v>48148.35</v>
      </c>
      <c r="AK182" s="31">
        <f t="shared" si="808"/>
        <v>48148.35</v>
      </c>
      <c r="AL182" s="31">
        <f t="shared" si="808"/>
        <v>48148.35</v>
      </c>
      <c r="AM182" s="31">
        <f t="shared" si="808"/>
        <v>48148.35</v>
      </c>
      <c r="AN182" s="31">
        <f t="shared" si="808"/>
        <v>48148.35</v>
      </c>
      <c r="AO182" s="31">
        <f t="shared" ref="AO182" si="809">+SUM(AO183:AO186)</f>
        <v>577780.19999999995</v>
      </c>
      <c r="AQ182" s="107">
        <f t="shared" ref="AQ182:BB182" si="810">+SUM(AQ183:AQ186)</f>
        <v>17236.280999999999</v>
      </c>
      <c r="AR182" s="107">
        <f t="shared" si="810"/>
        <v>13851.9</v>
      </c>
      <c r="AS182" s="107">
        <f t="shared" si="810"/>
        <v>14251.5</v>
      </c>
      <c r="AT182" s="107">
        <f t="shared" si="810"/>
        <v>50251.5</v>
      </c>
      <c r="AU182" s="107">
        <f t="shared" si="810"/>
        <v>50251.5</v>
      </c>
      <c r="AV182" s="107">
        <f t="shared" si="810"/>
        <v>48515.4</v>
      </c>
      <c r="AW182" s="107">
        <f t="shared" si="810"/>
        <v>13591.8</v>
      </c>
      <c r="AX182" s="107">
        <f t="shared" si="810"/>
        <v>599.4</v>
      </c>
      <c r="AY182" s="107">
        <f t="shared" si="810"/>
        <v>13514.645999999999</v>
      </c>
      <c r="AZ182" s="107">
        <f t="shared" si="810"/>
        <v>45000</v>
      </c>
      <c r="BA182" s="107">
        <f t="shared" si="810"/>
        <v>49514.646000000001</v>
      </c>
      <c r="BB182" s="107">
        <f t="shared" si="810"/>
        <v>48515.4</v>
      </c>
      <c r="BC182" s="107">
        <f>+SUM(AQ182:BB182)</f>
        <v>365093.973</v>
      </c>
      <c r="BD182" s="20" t="str">
        <f t="shared" si="591"/>
        <v>Telephone &amp; Internet Expenses</v>
      </c>
      <c r="BE182" s="31">
        <f t="shared" ref="BE182:BQ182" si="811">+SUM(BE183:BE186)</f>
        <v>46556.26</v>
      </c>
      <c r="BF182" s="31">
        <f t="shared" si="811"/>
        <v>26894.400000000001</v>
      </c>
      <c r="BG182" s="31">
        <f t="shared" si="811"/>
        <v>11220.565999999999</v>
      </c>
      <c r="BH182" s="31">
        <f t="shared" si="811"/>
        <v>19623.387199999997</v>
      </c>
      <c r="BI182" s="31">
        <f t="shared" si="811"/>
        <v>42902.2644</v>
      </c>
      <c r="BJ182" s="31">
        <f t="shared" si="811"/>
        <v>55368.3122</v>
      </c>
      <c r="BK182" s="31">
        <f t="shared" si="811"/>
        <v>43774.269617582417</v>
      </c>
      <c r="BL182" s="31">
        <f t="shared" si="811"/>
        <v>34926.699399999998</v>
      </c>
      <c r="BM182" s="31">
        <f t="shared" si="811"/>
        <v>45000.34</v>
      </c>
      <c r="BN182" s="31">
        <f t="shared" si="811"/>
        <v>43783.899999999994</v>
      </c>
      <c r="BO182" s="31">
        <f t="shared" si="811"/>
        <v>0</v>
      </c>
      <c r="BP182" s="31">
        <f t="shared" si="811"/>
        <v>0</v>
      </c>
      <c r="BQ182" s="31">
        <f t="shared" si="811"/>
        <v>370050.39881758241</v>
      </c>
      <c r="BR182" s="118">
        <f t="shared" si="713"/>
        <v>1.1533948112627563</v>
      </c>
      <c r="BS182" s="107">
        <f t="shared" ref="BS182:CD182" si="812">+SUM(BS183:BS186)</f>
        <v>20332.5</v>
      </c>
      <c r="BT182" s="107">
        <f t="shared" si="812"/>
        <v>20332.5</v>
      </c>
      <c r="BU182" s="107">
        <f t="shared" si="812"/>
        <v>20332.5</v>
      </c>
      <c r="BV182" s="107">
        <f t="shared" si="812"/>
        <v>20332.5</v>
      </c>
      <c r="BW182" s="107">
        <f t="shared" si="812"/>
        <v>20332.5</v>
      </c>
      <c r="BX182" s="107">
        <f t="shared" si="812"/>
        <v>20332.5</v>
      </c>
      <c r="BY182" s="107">
        <f t="shared" si="812"/>
        <v>20332.5</v>
      </c>
      <c r="BZ182" s="107">
        <f t="shared" si="812"/>
        <v>20332.5</v>
      </c>
      <c r="CA182" s="107">
        <f t="shared" si="812"/>
        <v>20332.5</v>
      </c>
      <c r="CB182" s="107">
        <f t="shared" si="812"/>
        <v>20332.5</v>
      </c>
      <c r="CC182" s="107">
        <f t="shared" si="812"/>
        <v>20332.5</v>
      </c>
      <c r="CD182" s="107">
        <f t="shared" si="812"/>
        <v>20332.5</v>
      </c>
      <c r="CE182" s="107">
        <f>+SUM(BS182:CD182)</f>
        <v>243990</v>
      </c>
      <c r="CF182" s="22"/>
      <c r="CG182" s="31">
        <f t="shared" ref="CG182:CR182" si="813">+SUM(CG183:CG186)</f>
        <v>8835.8145000000004</v>
      </c>
      <c r="CH182" s="31">
        <f t="shared" si="813"/>
        <v>7103.85</v>
      </c>
      <c r="CI182" s="31">
        <f t="shared" si="813"/>
        <v>7103.85</v>
      </c>
      <c r="CJ182" s="31">
        <f t="shared" si="813"/>
        <v>2603.85</v>
      </c>
      <c r="CK182" s="31">
        <f t="shared" si="813"/>
        <v>3083.25</v>
      </c>
      <c r="CL182" s="31">
        <f t="shared" si="813"/>
        <v>2235.2999999999997</v>
      </c>
      <c r="CM182" s="31">
        <f t="shared" si="813"/>
        <v>7453.2</v>
      </c>
      <c r="CN182" s="31">
        <f t="shared" si="813"/>
        <v>0</v>
      </c>
      <c r="CO182" s="31">
        <f t="shared" si="813"/>
        <v>6735.2970000000005</v>
      </c>
      <c r="CP182" s="31">
        <f t="shared" si="813"/>
        <v>479.4</v>
      </c>
      <c r="CQ182" s="31">
        <f t="shared" si="813"/>
        <v>2474.9969999999998</v>
      </c>
      <c r="CR182" s="31">
        <f t="shared" si="813"/>
        <v>2714.7</v>
      </c>
      <c r="CS182" s="107">
        <f>+SUM(CG182:CR182)</f>
        <v>50823.508499999996</v>
      </c>
      <c r="CT182" s="20" t="str">
        <f t="shared" si="595"/>
        <v>Telephone &amp; Internet Expenses</v>
      </c>
      <c r="CU182" s="31">
        <f t="shared" ref="CU182:DG182" si="814">+SUM(CU183:CU186)</f>
        <v>7137.53</v>
      </c>
      <c r="CV182" s="31">
        <f t="shared" si="814"/>
        <v>9464.6999999999989</v>
      </c>
      <c r="CW182" s="31">
        <f t="shared" si="814"/>
        <v>4283.049</v>
      </c>
      <c r="CX182" s="31">
        <f t="shared" si="814"/>
        <v>7089.3276000000005</v>
      </c>
      <c r="CY182" s="31">
        <f t="shared" si="814"/>
        <v>8733.7662</v>
      </c>
      <c r="CZ182" s="31">
        <f t="shared" si="814"/>
        <v>15453.7641</v>
      </c>
      <c r="DA182" s="31">
        <f t="shared" si="814"/>
        <v>12131.834808791209</v>
      </c>
      <c r="DB182" s="31">
        <f t="shared" si="814"/>
        <v>7268.5496999999996</v>
      </c>
      <c r="DC182" s="31">
        <f t="shared" si="814"/>
        <v>12305.369999999999</v>
      </c>
      <c r="DD182" s="31">
        <f t="shared" si="814"/>
        <v>11697.149999999998</v>
      </c>
      <c r="DE182" s="31">
        <f t="shared" si="814"/>
        <v>0</v>
      </c>
      <c r="DF182" s="31">
        <f t="shared" si="814"/>
        <v>0</v>
      </c>
      <c r="DG182" s="31">
        <f t="shared" si="814"/>
        <v>95565.041408791207</v>
      </c>
      <c r="DH182" s="118">
        <f t="shared" si="717"/>
        <v>9.8958553530911972E-2</v>
      </c>
      <c r="DI182" s="31">
        <f t="shared" ref="DI182:DT182" si="815">+SUM(DI183:DI186)</f>
        <v>10643.85</v>
      </c>
      <c r="DJ182" s="31">
        <f t="shared" si="815"/>
        <v>10643.85</v>
      </c>
      <c r="DK182" s="31">
        <f t="shared" si="815"/>
        <v>10643.85</v>
      </c>
      <c r="DL182" s="31">
        <f t="shared" si="815"/>
        <v>10643.85</v>
      </c>
      <c r="DM182" s="31">
        <f t="shared" si="815"/>
        <v>10643.85</v>
      </c>
      <c r="DN182" s="31">
        <f t="shared" si="815"/>
        <v>10643.85</v>
      </c>
      <c r="DO182" s="31">
        <f t="shared" si="815"/>
        <v>10643.85</v>
      </c>
      <c r="DP182" s="31">
        <f t="shared" si="815"/>
        <v>10643.85</v>
      </c>
      <c r="DQ182" s="31">
        <f t="shared" si="815"/>
        <v>10643.85</v>
      </c>
      <c r="DR182" s="31">
        <f t="shared" si="815"/>
        <v>10643.85</v>
      </c>
      <c r="DS182" s="31">
        <f t="shared" si="815"/>
        <v>10643.85</v>
      </c>
      <c r="DT182" s="31">
        <f t="shared" si="815"/>
        <v>10643.85</v>
      </c>
      <c r="DU182" s="107">
        <f>+SUM(DI182:DT182)</f>
        <v>127726.20000000003</v>
      </c>
      <c r="DW182" s="31">
        <f t="shared" ref="DW182:EH182" si="816">+SUM(DW183:DW186)</f>
        <v>0</v>
      </c>
      <c r="DX182" s="31">
        <f t="shared" si="816"/>
        <v>0</v>
      </c>
      <c r="DY182" s="31">
        <f t="shared" si="816"/>
        <v>0</v>
      </c>
      <c r="DZ182" s="31">
        <f t="shared" si="816"/>
        <v>0</v>
      </c>
      <c r="EA182" s="31">
        <f t="shared" si="816"/>
        <v>0</v>
      </c>
      <c r="EB182" s="31">
        <f t="shared" si="816"/>
        <v>0</v>
      </c>
      <c r="EC182" s="31">
        <f t="shared" si="816"/>
        <v>0</v>
      </c>
      <c r="ED182" s="31">
        <f t="shared" si="816"/>
        <v>0</v>
      </c>
      <c r="EE182" s="31">
        <f t="shared" si="816"/>
        <v>0</v>
      </c>
      <c r="EF182" s="31">
        <f t="shared" si="816"/>
        <v>0</v>
      </c>
      <c r="EG182" s="31">
        <f t="shared" si="816"/>
        <v>0</v>
      </c>
      <c r="EH182" s="31">
        <f t="shared" si="816"/>
        <v>0</v>
      </c>
      <c r="EI182" s="107">
        <f>+SUM(DW182:EH182)</f>
        <v>0</v>
      </c>
      <c r="EJ182" s="20" t="str">
        <f t="shared" si="601"/>
        <v>Telephone &amp; Internet Expenses</v>
      </c>
      <c r="EK182" s="31">
        <f t="shared" ref="EK182:EW182" si="817">+SUM(EK183:EK186)</f>
        <v>7415</v>
      </c>
      <c r="EL182" s="31">
        <f t="shared" si="817"/>
        <v>20659</v>
      </c>
      <c r="EM182" s="31">
        <f t="shared" si="817"/>
        <v>6726.49</v>
      </c>
      <c r="EN182" s="31">
        <f t="shared" si="817"/>
        <v>13992.41</v>
      </c>
      <c r="EO182" s="31">
        <f t="shared" si="817"/>
        <v>8395.4459999999999</v>
      </c>
      <c r="EP182" s="31">
        <f t="shared" si="817"/>
        <v>13992.41</v>
      </c>
      <c r="EQ182" s="31">
        <f t="shared" si="817"/>
        <v>659.08</v>
      </c>
      <c r="ER182" s="31">
        <f t="shared" si="817"/>
        <v>659</v>
      </c>
      <c r="ES182" s="31">
        <f t="shared" si="817"/>
        <v>659</v>
      </c>
      <c r="ET182" s="31">
        <f t="shared" si="817"/>
        <v>659</v>
      </c>
      <c r="EU182" s="31">
        <f t="shared" si="817"/>
        <v>0</v>
      </c>
      <c r="EV182" s="31">
        <f t="shared" si="817"/>
        <v>0</v>
      </c>
      <c r="EW182" s="31">
        <f t="shared" si="817"/>
        <v>73816.835999999996</v>
      </c>
      <c r="EX182" s="118">
        <f t="shared" si="721"/>
        <v>-0.96162357325879333</v>
      </c>
      <c r="EY182" s="31">
        <f t="shared" ref="EY182:FJ182" si="818">+SUM(EY183:EY186)</f>
        <v>17172</v>
      </c>
      <c r="EZ182" s="31">
        <f t="shared" si="818"/>
        <v>17172</v>
      </c>
      <c r="FA182" s="31">
        <f t="shared" si="818"/>
        <v>17172</v>
      </c>
      <c r="FB182" s="31">
        <f t="shared" si="818"/>
        <v>17172</v>
      </c>
      <c r="FC182" s="31">
        <f t="shared" si="818"/>
        <v>17172</v>
      </c>
      <c r="FD182" s="31">
        <f t="shared" si="818"/>
        <v>17172</v>
      </c>
      <c r="FE182" s="31">
        <f t="shared" si="818"/>
        <v>17172</v>
      </c>
      <c r="FF182" s="31">
        <f t="shared" si="818"/>
        <v>17172</v>
      </c>
      <c r="FG182" s="31">
        <f t="shared" si="818"/>
        <v>17172</v>
      </c>
      <c r="FH182" s="31">
        <f t="shared" si="818"/>
        <v>17172</v>
      </c>
      <c r="FI182" s="31">
        <f t="shared" si="818"/>
        <v>17172</v>
      </c>
      <c r="FJ182" s="31">
        <f t="shared" si="818"/>
        <v>17172</v>
      </c>
      <c r="FK182" s="107">
        <f>+SUM(EY182:FJ182)</f>
        <v>206064</v>
      </c>
    </row>
    <row r="183" spans="1:167" ht="14.45" hidden="1" customHeight="1" outlineLevel="2">
      <c r="A183" s="106">
        <f t="shared" ref="A183:M186" si="819">+AQ183+CG183+DW183</f>
        <v>1105.6500000000001</v>
      </c>
      <c r="B183" s="106">
        <f t="shared" si="819"/>
        <v>1105.6500000000001</v>
      </c>
      <c r="C183" s="106">
        <f t="shared" si="819"/>
        <v>1105.6500000000001</v>
      </c>
      <c r="D183" s="106">
        <f t="shared" si="819"/>
        <v>1105.6500000000001</v>
      </c>
      <c r="E183" s="106">
        <f t="shared" si="819"/>
        <v>1105.6500000000001</v>
      </c>
      <c r="F183" s="106">
        <f t="shared" si="819"/>
        <v>0</v>
      </c>
      <c r="G183" s="106">
        <f t="shared" si="819"/>
        <v>0</v>
      </c>
      <c r="H183" s="106">
        <f t="shared" si="819"/>
        <v>0</v>
      </c>
      <c r="I183" s="106">
        <f t="shared" si="819"/>
        <v>0</v>
      </c>
      <c r="J183" s="106">
        <f t="shared" si="819"/>
        <v>0</v>
      </c>
      <c r="K183" s="106">
        <f t="shared" si="819"/>
        <v>0</v>
      </c>
      <c r="L183" s="106">
        <f t="shared" si="819"/>
        <v>0</v>
      </c>
      <c r="M183" s="106">
        <f t="shared" si="819"/>
        <v>5528.25</v>
      </c>
      <c r="N183" s="16" t="s">
        <v>152</v>
      </c>
      <c r="O183" s="22">
        <f t="shared" ref="O183:AA186" si="820">+BE183+CU183+EK183</f>
        <v>61108.79</v>
      </c>
      <c r="P183" s="22">
        <f t="shared" si="820"/>
        <v>0</v>
      </c>
      <c r="Q183" s="22">
        <f t="shared" si="820"/>
        <v>0</v>
      </c>
      <c r="R183" s="22">
        <f t="shared" si="820"/>
        <v>0</v>
      </c>
      <c r="S183" s="22">
        <f t="shared" si="820"/>
        <v>1400.7329999999997</v>
      </c>
      <c r="T183" s="22">
        <f t="shared" si="820"/>
        <v>1370.6090999999999</v>
      </c>
      <c r="U183" s="22">
        <f t="shared" si="820"/>
        <v>1370.6090999999999</v>
      </c>
      <c r="V183" s="22">
        <f t="shared" si="820"/>
        <v>1370.6090999999999</v>
      </c>
      <c r="W183" s="22">
        <f t="shared" si="820"/>
        <v>1370.52</v>
      </c>
      <c r="X183" s="22">
        <f t="shared" si="820"/>
        <v>1370.52</v>
      </c>
      <c r="Y183" s="22">
        <f t="shared" si="820"/>
        <v>0</v>
      </c>
      <c r="Z183" s="22">
        <f t="shared" si="820"/>
        <v>0</v>
      </c>
      <c r="AA183" s="22">
        <f t="shared" si="820"/>
        <v>69362.390299999999</v>
      </c>
      <c r="AB183" s="118">
        <f t="shared" si="708"/>
        <v>-0.74168669248819652</v>
      </c>
      <c r="AC183" s="22">
        <f t="shared" ref="AC183:AO186" si="821">+BS183+DI183+EY183</f>
        <v>5305.65</v>
      </c>
      <c r="AD183" s="22">
        <f t="shared" si="821"/>
        <v>5305.65</v>
      </c>
      <c r="AE183" s="22">
        <f t="shared" si="821"/>
        <v>5305.65</v>
      </c>
      <c r="AF183" s="22">
        <f t="shared" si="821"/>
        <v>5305.65</v>
      </c>
      <c r="AG183" s="22">
        <f t="shared" si="821"/>
        <v>5305.65</v>
      </c>
      <c r="AH183" s="22">
        <f t="shared" si="821"/>
        <v>5305.65</v>
      </c>
      <c r="AI183" s="22">
        <f t="shared" si="821"/>
        <v>5305.65</v>
      </c>
      <c r="AJ183" s="22">
        <f t="shared" si="821"/>
        <v>5305.65</v>
      </c>
      <c r="AK183" s="22">
        <f t="shared" si="821"/>
        <v>5305.65</v>
      </c>
      <c r="AL183" s="22">
        <f t="shared" si="821"/>
        <v>5305.65</v>
      </c>
      <c r="AM183" s="22">
        <f t="shared" si="821"/>
        <v>5305.65</v>
      </c>
      <c r="AN183" s="22">
        <f t="shared" si="821"/>
        <v>5305.65</v>
      </c>
      <c r="AO183" s="22">
        <f t="shared" si="821"/>
        <v>63667.8</v>
      </c>
      <c r="AQ183" s="106">
        <v>737.1</v>
      </c>
      <c r="AR183" s="106">
        <v>737.1</v>
      </c>
      <c r="AS183" s="106">
        <v>737.1</v>
      </c>
      <c r="AT183" s="106">
        <v>737.1</v>
      </c>
      <c r="AU183" s="106">
        <v>737.1</v>
      </c>
      <c r="AV183" s="106">
        <v>0</v>
      </c>
      <c r="AW183" s="106">
        <v>0</v>
      </c>
      <c r="AX183" s="106">
        <v>0</v>
      </c>
      <c r="AY183" s="106">
        <v>0</v>
      </c>
      <c r="AZ183" s="106">
        <v>0</v>
      </c>
      <c r="BA183" s="106">
        <v>0</v>
      </c>
      <c r="BB183" s="106">
        <v>0</v>
      </c>
      <c r="BC183" s="106">
        <f t="shared" ref="BC183:BC186" si="822">+SUM(AQ183:BB183)</f>
        <v>3685.5</v>
      </c>
      <c r="BD183" s="16" t="str">
        <f t="shared" si="591"/>
        <v>Email Service</v>
      </c>
      <c r="BE183" s="22">
        <f>+VLOOKUP($BD183,'Jan-25'!$A:$J,4,0)</f>
        <v>46556.26</v>
      </c>
      <c r="BF183" s="22">
        <f>+VLOOKUP($BD183,'Feb-25'!$A:$J,4,0)</f>
        <v>0</v>
      </c>
      <c r="BG183" s="22">
        <f>+VLOOKUP($BD183,'Mar-25'!$A:$J,4,0)</f>
        <v>0</v>
      </c>
      <c r="BH183" s="22">
        <f>+VLOOKUP($BD183,'Apr-25'!$A:$J,4,0)</f>
        <v>0</v>
      </c>
      <c r="BI183" s="22">
        <f>+VLOOKUP($BD183,'May-25'!$A:$J,4,0)</f>
        <v>933.82199999999989</v>
      </c>
      <c r="BJ183" s="22">
        <f>+VLOOKUP($BD183,'June-25'!$A:$J,4,0)</f>
        <v>913.73939999999993</v>
      </c>
      <c r="BK183" s="22">
        <f>+VLOOKUP($BD183,'July-25'!$A:$J,4,0)</f>
        <v>913.73939999999993</v>
      </c>
      <c r="BL183" s="22">
        <f>+VLOOKUP($BD183,'Aug-25'!$A:$J,4,0)</f>
        <v>913.73939999999993</v>
      </c>
      <c r="BM183" s="22">
        <f>+VLOOKUP($BD183,'Sep-25'!$A:$J,4,0)</f>
        <v>913.68</v>
      </c>
      <c r="BN183" s="22">
        <f>+VLOOKUP($BD183,'Oct-25'!$A:$J,4,0)</f>
        <v>913.68</v>
      </c>
      <c r="BO183" s="22">
        <f>+VLOOKUP($BD183,'Nov-25'!$A:$J,4,0)</f>
        <v>0</v>
      </c>
      <c r="BP183" s="22">
        <f>+VLOOKUP($BD183,'Dec-25'!$A:$J,4,0)</f>
        <v>0</v>
      </c>
      <c r="BQ183" s="22">
        <f t="shared" ref="BQ183:BQ186" si="823">+SUM(BE183:BP183)</f>
        <v>52058.660199999998</v>
      </c>
      <c r="BR183" s="118">
        <f t="shared" si="713"/>
        <v>0.23956043956043946</v>
      </c>
      <c r="BS183" s="106">
        <f>+_xlfn.XLOOKUP($BD183,Budget!$A:$A,Budget!AQ:AQ)</f>
        <v>737.1</v>
      </c>
      <c r="BT183" s="106">
        <f>+_xlfn.XLOOKUP($BD183,Budget!$A:$A,Budget!AR:AR)</f>
        <v>737.1</v>
      </c>
      <c r="BU183" s="106">
        <f>+_xlfn.XLOOKUP($BD183,Budget!$A:$A,Budget!AS:AS)</f>
        <v>737.1</v>
      </c>
      <c r="BV183" s="106">
        <f>+_xlfn.XLOOKUP($BD183,Budget!$A:$A,Budget!AT:AT)</f>
        <v>737.1</v>
      </c>
      <c r="BW183" s="106">
        <f>+_xlfn.XLOOKUP($BD183,Budget!$A:$A,Budget!AU:AU)</f>
        <v>737.1</v>
      </c>
      <c r="BX183" s="106">
        <f>+_xlfn.XLOOKUP($BD183,Budget!$A:$A,Budget!AV:AV)</f>
        <v>737.1</v>
      </c>
      <c r="BY183" s="106">
        <f>+_xlfn.XLOOKUP($BD183,Budget!$A:$A,Budget!AW:AW)</f>
        <v>737.1</v>
      </c>
      <c r="BZ183" s="106">
        <f>+_xlfn.XLOOKUP($BD183,Budget!$A:$A,Budget!AX:AX)</f>
        <v>737.1</v>
      </c>
      <c r="CA183" s="106">
        <f>+_xlfn.XLOOKUP($BD183,Budget!$A:$A,Budget!AY:AY)</f>
        <v>737.1</v>
      </c>
      <c r="CB183" s="106">
        <f>+_xlfn.XLOOKUP($BD183,Budget!$A:$A,Budget!AZ:AZ)</f>
        <v>737.1</v>
      </c>
      <c r="CC183" s="106">
        <f>+_xlfn.XLOOKUP($BD183,Budget!$A:$A,Budget!BA:BA)</f>
        <v>737.1</v>
      </c>
      <c r="CD183" s="106">
        <f>+_xlfn.XLOOKUP($BD183,Budget!$A:$A,Budget!BB:BB)</f>
        <v>737.1</v>
      </c>
      <c r="CE183" s="106">
        <f t="shared" ref="CE183:CE186" si="824">+SUM(BS183:CD183)</f>
        <v>8845.2000000000025</v>
      </c>
      <c r="CF183" s="22"/>
      <c r="CG183" s="22">
        <v>368.55</v>
      </c>
      <c r="CH183" s="22">
        <v>368.55</v>
      </c>
      <c r="CI183" s="22">
        <v>368.55</v>
      </c>
      <c r="CJ183" s="22">
        <v>368.55</v>
      </c>
      <c r="CK183" s="22">
        <v>368.55</v>
      </c>
      <c r="CL183" s="22">
        <v>0</v>
      </c>
      <c r="CM183" s="22">
        <v>0</v>
      </c>
      <c r="CN183" s="22">
        <v>0</v>
      </c>
      <c r="CO183" s="22">
        <v>0</v>
      </c>
      <c r="CP183" s="22">
        <v>0</v>
      </c>
      <c r="CQ183" s="22">
        <v>0</v>
      </c>
      <c r="CR183" s="22">
        <v>0</v>
      </c>
      <c r="CS183" s="106">
        <f t="shared" ref="CS183:CS186" si="825">+SUM(CG183:CR183)</f>
        <v>1842.75</v>
      </c>
      <c r="CT183" s="16" t="str">
        <f t="shared" si="595"/>
        <v>Email Service</v>
      </c>
      <c r="CU183" s="22">
        <f>+VLOOKUP($BD183,'Jan-25'!$A:$J,7,0)</f>
        <v>7137.53</v>
      </c>
      <c r="CV183" s="22">
        <f>+VLOOKUP($BD183,'Feb-25'!$A:$J,7,0)</f>
        <v>0</v>
      </c>
      <c r="CW183" s="22">
        <f>+VLOOKUP($BD183,'Mar-25'!$A:$J,7,0)</f>
        <v>0</v>
      </c>
      <c r="CX183" s="22">
        <f>+VLOOKUP($BD183,'Apr-25'!$A:$J,7,0)</f>
        <v>0</v>
      </c>
      <c r="CY183" s="22">
        <f>+VLOOKUP($BD183,'May-25'!$A:$J,7,0)</f>
        <v>466.91099999999994</v>
      </c>
      <c r="CZ183" s="22">
        <f>+VLOOKUP($BD183,'June-25'!$A:$J,7,0)</f>
        <v>456.86969999999997</v>
      </c>
      <c r="DA183" s="22">
        <f>+VLOOKUP($BD183,'July-25'!$A:$J,7,0)</f>
        <v>456.86969999999997</v>
      </c>
      <c r="DB183" s="22">
        <f>+VLOOKUP($BD183,'Aug-25'!$A:$J,7,0)</f>
        <v>456.86969999999997</v>
      </c>
      <c r="DC183" s="22">
        <f>+VLOOKUP($BD183,'Sep-25'!$A:$J,7,0)</f>
        <v>456.84</v>
      </c>
      <c r="DD183" s="22">
        <f>+VLOOKUP($BD183,'Oct-25'!$A:$J,7,0)</f>
        <v>456.84</v>
      </c>
      <c r="DE183" s="22">
        <f>+VLOOKUP($BD183,'Nov-25'!$A:$J,7,0)</f>
        <v>0</v>
      </c>
      <c r="DF183" s="22">
        <f>+VLOOKUP($BD183,'Dec-25'!$A:$J,7,0)</f>
        <v>0</v>
      </c>
      <c r="DG183" s="22">
        <f t="shared" ref="DG183:DG186" si="826">+SUM(CU183:DF183)</f>
        <v>9888.7300999999989</v>
      </c>
      <c r="DH183" s="118">
        <f t="shared" si="717"/>
        <v>0.23956043956043946</v>
      </c>
      <c r="DI183" s="22">
        <f>+_xlfn.XLOOKUP($CT183,Budget!$A:$A,Budget!CD:CD)</f>
        <v>368.55</v>
      </c>
      <c r="DJ183" s="22">
        <f>+_xlfn.XLOOKUP($CT183,Budget!$A:$A,Budget!CE:CE)</f>
        <v>368.55</v>
      </c>
      <c r="DK183" s="22">
        <f>+_xlfn.XLOOKUP($CT183,Budget!$A:$A,Budget!CF:CF)</f>
        <v>368.55</v>
      </c>
      <c r="DL183" s="22">
        <f>+_xlfn.XLOOKUP($CT183,Budget!$A:$A,Budget!CG:CG)</f>
        <v>368.55</v>
      </c>
      <c r="DM183" s="22">
        <f>+_xlfn.XLOOKUP($CT183,Budget!$A:$A,Budget!CH:CH)</f>
        <v>368.55</v>
      </c>
      <c r="DN183" s="22">
        <f>+_xlfn.XLOOKUP($CT183,Budget!$A:$A,Budget!CI:CI)</f>
        <v>368.55</v>
      </c>
      <c r="DO183" s="22">
        <f>+_xlfn.XLOOKUP($CT183,Budget!$A:$A,Budget!CJ:CJ)</f>
        <v>368.55</v>
      </c>
      <c r="DP183" s="22">
        <f>+_xlfn.XLOOKUP($CT183,Budget!$A:$A,Budget!CK:CK)</f>
        <v>368.55</v>
      </c>
      <c r="DQ183" s="22">
        <f>+_xlfn.XLOOKUP($CT183,Budget!$A:$A,Budget!CL:CL)</f>
        <v>368.55</v>
      </c>
      <c r="DR183" s="22">
        <f>+_xlfn.XLOOKUP($CT183,Budget!$A:$A,Budget!CM:CM)</f>
        <v>368.55</v>
      </c>
      <c r="DS183" s="22">
        <f>+_xlfn.XLOOKUP($CT183,Budget!$A:$A,Budget!CN:CN)</f>
        <v>368.55</v>
      </c>
      <c r="DT183" s="22">
        <f>+_xlfn.XLOOKUP($CT183,Budget!$A:$A,Budget!CO:CO)</f>
        <v>368.55</v>
      </c>
      <c r="DU183" s="106">
        <f t="shared" ref="DU183:DU186" si="827">+SUM(DI183:DT183)</f>
        <v>4422.6000000000013</v>
      </c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106">
        <f t="shared" ref="EI183:EI186" si="828">+SUM(DW183:EH183)</f>
        <v>0</v>
      </c>
      <c r="EJ183" s="16" t="str">
        <f t="shared" si="601"/>
        <v>Email Service</v>
      </c>
      <c r="EK183" s="22">
        <f>+VLOOKUP($BD183,'Jan-25'!$A:$J,9,0)</f>
        <v>7415</v>
      </c>
      <c r="EL183" s="22">
        <f>+VLOOKUP($BD183,'Feb-25'!$A:$J,9,0)</f>
        <v>0</v>
      </c>
      <c r="EM183" s="22">
        <f>+VLOOKUP($BD183,'Mar-25'!$A:$J,9,0)</f>
        <v>0</v>
      </c>
      <c r="EN183" s="22">
        <f>+VLOOKUP($BD183,'Apr-25'!$A:$J,9,0)</f>
        <v>0</v>
      </c>
      <c r="EO183" s="22">
        <f>+VLOOKUP($BD183,'May-25'!$A:$J,9,0)</f>
        <v>0</v>
      </c>
      <c r="EP183" s="22">
        <f>+VLOOKUP($BD183,'June-25'!$A:$J,9,0)</f>
        <v>0</v>
      </c>
      <c r="EQ183" s="22">
        <f>+VLOOKUP($BD183,'July-25'!$A:$J,9,0)</f>
        <v>0</v>
      </c>
      <c r="ER183" s="22">
        <f>+VLOOKUP($BD183,'Aug-25'!$A:$J,9,0)</f>
        <v>0</v>
      </c>
      <c r="ES183" s="22">
        <f>+VLOOKUP($BD183,'Sep-25'!$A:$J,9,0)</f>
        <v>0</v>
      </c>
      <c r="ET183" s="22">
        <f>+VLOOKUP($BD183,'Oct-25'!$A:$J,9,0)</f>
        <v>0</v>
      </c>
      <c r="EU183" s="22">
        <f>+VLOOKUP($BD183,'Nov-25'!$A:$J,9,0)</f>
        <v>0</v>
      </c>
      <c r="EV183" s="22">
        <f>+VLOOKUP($BD183,'Dec-25'!$A:$J,9,0)</f>
        <v>0</v>
      </c>
      <c r="EW183" s="22">
        <f t="shared" ref="EW183:EW186" si="829">+SUM(EK183:EV183)</f>
        <v>7415</v>
      </c>
      <c r="EX183" s="118">
        <f t="shared" si="721"/>
        <v>-1</v>
      </c>
      <c r="EY183" s="22">
        <f>+_xlfn.XLOOKUP($EJ183,Budget!$A:$A,Budget!DE:DE)</f>
        <v>4200</v>
      </c>
      <c r="EZ183" s="22">
        <f>+_xlfn.XLOOKUP($EJ183,Budget!$A:$A,Budget!DF:DF)</f>
        <v>4200</v>
      </c>
      <c r="FA183" s="22">
        <f>+_xlfn.XLOOKUP($EJ183,Budget!$A:$A,Budget!DG:DG)</f>
        <v>4200</v>
      </c>
      <c r="FB183" s="22">
        <f>+_xlfn.XLOOKUP($EJ183,Budget!$A:$A,Budget!DH:DH)</f>
        <v>4200</v>
      </c>
      <c r="FC183" s="22">
        <f>+_xlfn.XLOOKUP($EJ183,Budget!$A:$A,Budget!DI:DI)</f>
        <v>4200</v>
      </c>
      <c r="FD183" s="22">
        <f>+_xlfn.XLOOKUP($EJ183,Budget!$A:$A,Budget!DJ:DJ)</f>
        <v>4200</v>
      </c>
      <c r="FE183" s="22">
        <f>+_xlfn.XLOOKUP($EJ183,Budget!$A:$A,Budget!DK:DK)</f>
        <v>4200</v>
      </c>
      <c r="FF183" s="22">
        <f>+_xlfn.XLOOKUP($EJ183,Budget!$A:$A,Budget!DL:DL)</f>
        <v>4200</v>
      </c>
      <c r="FG183" s="22">
        <f>+_xlfn.XLOOKUP($EJ183,Budget!$A:$A,Budget!DM:DM)</f>
        <v>4200</v>
      </c>
      <c r="FH183" s="22">
        <f>+_xlfn.XLOOKUP($EJ183,Budget!$A:$A,Budget!DN:DN)</f>
        <v>4200</v>
      </c>
      <c r="FI183" s="22">
        <f>+_xlfn.XLOOKUP($EJ183,Budget!$A:$A,Budget!DO:DO)</f>
        <v>4200</v>
      </c>
      <c r="FJ183" s="22">
        <f>+_xlfn.XLOOKUP($EJ183,Budget!$A:$A,Budget!DP:DP)</f>
        <v>4200</v>
      </c>
      <c r="FK183" s="106">
        <f t="shared" ref="FK183:FK186" si="830">+SUM(EY183:FJ183)</f>
        <v>50400</v>
      </c>
    </row>
    <row r="184" spans="1:167" ht="14.45" hidden="1" customHeight="1" outlineLevel="2">
      <c r="A184" s="106">
        <f t="shared" si="819"/>
        <v>20489.643</v>
      </c>
      <c r="B184" s="106">
        <f t="shared" si="819"/>
        <v>19850.099999999999</v>
      </c>
      <c r="C184" s="106">
        <f t="shared" si="819"/>
        <v>20249.7</v>
      </c>
      <c r="D184" s="106">
        <f t="shared" si="819"/>
        <v>51749.700000000004</v>
      </c>
      <c r="E184" s="106">
        <f t="shared" si="819"/>
        <v>52229.1</v>
      </c>
      <c r="F184" s="106">
        <f t="shared" si="819"/>
        <v>50750.700000000004</v>
      </c>
      <c r="G184" s="106">
        <f t="shared" si="819"/>
        <v>21045</v>
      </c>
      <c r="H184" s="106">
        <f t="shared" si="819"/>
        <v>599.4</v>
      </c>
      <c r="I184" s="106">
        <f t="shared" si="819"/>
        <v>20249.942999999999</v>
      </c>
      <c r="J184" s="106">
        <f t="shared" si="819"/>
        <v>45479.4</v>
      </c>
      <c r="K184" s="106">
        <f t="shared" si="819"/>
        <v>51989.643000000004</v>
      </c>
      <c r="L184" s="106">
        <f t="shared" si="819"/>
        <v>51230.1</v>
      </c>
      <c r="M184" s="106">
        <f t="shared" si="819"/>
        <v>405912.429</v>
      </c>
      <c r="N184" s="16" t="s">
        <v>153</v>
      </c>
      <c r="O184" s="22">
        <f t="shared" si="820"/>
        <v>0</v>
      </c>
      <c r="P184" s="22">
        <f t="shared" si="820"/>
        <v>57018.1</v>
      </c>
      <c r="Q184" s="22">
        <f t="shared" si="820"/>
        <v>22230.104999999996</v>
      </c>
      <c r="R184" s="22">
        <f t="shared" si="820"/>
        <v>40362.133000000002</v>
      </c>
      <c r="S184" s="22">
        <f t="shared" si="820"/>
        <v>54755.169000000009</v>
      </c>
      <c r="T184" s="22">
        <f t="shared" si="820"/>
        <v>65787.373000000007</v>
      </c>
      <c r="U184" s="22">
        <f t="shared" si="820"/>
        <v>37827.332926373623</v>
      </c>
      <c r="V184" s="22">
        <f t="shared" si="820"/>
        <v>37517.61</v>
      </c>
      <c r="W184" s="22">
        <f t="shared" si="820"/>
        <v>37171.47</v>
      </c>
      <c r="X184" s="22">
        <f t="shared" si="820"/>
        <v>39205.11</v>
      </c>
      <c r="Y184" s="22">
        <f t="shared" si="820"/>
        <v>0</v>
      </c>
      <c r="Z184" s="22">
        <f t="shared" si="820"/>
        <v>0</v>
      </c>
      <c r="AA184" s="22">
        <f t="shared" si="820"/>
        <v>391874.40292637364</v>
      </c>
      <c r="AB184" s="118">
        <f t="shared" si="708"/>
        <v>0.21941699558641023</v>
      </c>
      <c r="AC184" s="22">
        <f t="shared" si="821"/>
        <v>32150.7</v>
      </c>
      <c r="AD184" s="22">
        <f t="shared" si="821"/>
        <v>32150.7</v>
      </c>
      <c r="AE184" s="22">
        <f t="shared" si="821"/>
        <v>32150.7</v>
      </c>
      <c r="AF184" s="22">
        <f t="shared" si="821"/>
        <v>32150.7</v>
      </c>
      <c r="AG184" s="22">
        <f t="shared" si="821"/>
        <v>32150.7</v>
      </c>
      <c r="AH184" s="22">
        <f t="shared" si="821"/>
        <v>32150.7</v>
      </c>
      <c r="AI184" s="22">
        <f t="shared" si="821"/>
        <v>32150.7</v>
      </c>
      <c r="AJ184" s="22">
        <f t="shared" si="821"/>
        <v>32150.7</v>
      </c>
      <c r="AK184" s="22">
        <f t="shared" si="821"/>
        <v>32150.7</v>
      </c>
      <c r="AL184" s="22">
        <f t="shared" si="821"/>
        <v>32150.7</v>
      </c>
      <c r="AM184" s="22">
        <f t="shared" si="821"/>
        <v>32150.7</v>
      </c>
      <c r="AN184" s="22">
        <f t="shared" si="821"/>
        <v>32150.7</v>
      </c>
      <c r="AO184" s="22">
        <f t="shared" si="821"/>
        <v>385808.39999999997</v>
      </c>
      <c r="AQ184" s="106">
        <v>13514.645999999999</v>
      </c>
      <c r="AR184" s="106">
        <v>13114.8</v>
      </c>
      <c r="AS184" s="106">
        <v>13514.4</v>
      </c>
      <c r="AT184" s="106">
        <v>49514.400000000001</v>
      </c>
      <c r="AU184" s="106">
        <v>49514.400000000001</v>
      </c>
      <c r="AV184" s="106">
        <v>48515.4</v>
      </c>
      <c r="AW184" s="106">
        <v>13591.8</v>
      </c>
      <c r="AX184" s="106">
        <v>599.4</v>
      </c>
      <c r="AY184" s="106">
        <v>13514.645999999999</v>
      </c>
      <c r="AZ184" s="106">
        <v>45000</v>
      </c>
      <c r="BA184" s="106">
        <v>49514.646000000001</v>
      </c>
      <c r="BB184" s="106">
        <v>48515.4</v>
      </c>
      <c r="BC184" s="106">
        <f t="shared" si="822"/>
        <v>358423.93800000002</v>
      </c>
      <c r="BD184" s="16" t="str">
        <f t="shared" si="591"/>
        <v>Internet Charges</v>
      </c>
      <c r="BE184" s="22">
        <f>+VLOOKUP($BD184,'Jan-25'!$A:$J,4,0)</f>
        <v>0</v>
      </c>
      <c r="BF184" s="22">
        <f>+VLOOKUP($BD184,'Feb-25'!$A:$J,4,0)</f>
        <v>26894.400000000001</v>
      </c>
      <c r="BG184" s="22">
        <f>+VLOOKUP($BD184,'Mar-25'!$A:$J,4,0)</f>
        <v>11220.565999999999</v>
      </c>
      <c r="BH184" s="22">
        <f>+VLOOKUP($BD184,'Apr-25'!$A:$J,4,0)</f>
        <v>19394.725999999999</v>
      </c>
      <c r="BI184" s="22">
        <f>+VLOOKUP($BD184,'May-25'!$A:$J,4,0)</f>
        <v>39384.726000000002</v>
      </c>
      <c r="BJ184" s="22">
        <f>+VLOOKUP($BD184,'June-25'!$A:$J,4,0)</f>
        <v>42683.57</v>
      </c>
      <c r="BK184" s="22">
        <f>+VLOOKUP($BD184,'July-25'!$A:$J,4,0)</f>
        <v>31282.368617582415</v>
      </c>
      <c r="BL184" s="22">
        <f>+VLOOKUP($BD184,'Aug-25'!$A:$J,4,0)</f>
        <v>31368.94</v>
      </c>
      <c r="BM184" s="22">
        <f>+VLOOKUP($BD184,'Sep-25'!$A:$J,4,0)</f>
        <v>31138.18</v>
      </c>
      <c r="BN184" s="22">
        <f>+VLOOKUP($BD184,'Oct-25'!$A:$J,4,0)</f>
        <v>32493.94</v>
      </c>
      <c r="BO184" s="22">
        <f>+VLOOKUP($BD184,'Nov-25'!$A:$J,4,0)</f>
        <v>0</v>
      </c>
      <c r="BP184" s="22">
        <f>+VLOOKUP($BD184,'Dec-25'!$A:$J,4,0)</f>
        <v>0</v>
      </c>
      <c r="BQ184" s="22">
        <f t="shared" si="823"/>
        <v>265861.41661758244</v>
      </c>
      <c r="BR184" s="118">
        <f t="shared" si="713"/>
        <v>1.4775409061103741</v>
      </c>
      <c r="BS184" s="106">
        <f>+_xlfn.XLOOKUP($BD184,Budget!$A:$A,Budget!AQ:AQ)</f>
        <v>13115.4</v>
      </c>
      <c r="BT184" s="106">
        <f>+_xlfn.XLOOKUP($BD184,Budget!$A:$A,Budget!AR:AR)</f>
        <v>13115.4</v>
      </c>
      <c r="BU184" s="106">
        <f>+_xlfn.XLOOKUP($BD184,Budget!$A:$A,Budget!AS:AS)</f>
        <v>13115.4</v>
      </c>
      <c r="BV184" s="106">
        <f>+_xlfn.XLOOKUP($BD184,Budget!$A:$A,Budget!AT:AT)</f>
        <v>13115.4</v>
      </c>
      <c r="BW184" s="106">
        <f>+_xlfn.XLOOKUP($BD184,Budget!$A:$A,Budget!AU:AU)</f>
        <v>13115.4</v>
      </c>
      <c r="BX184" s="106">
        <f>+_xlfn.XLOOKUP($BD184,Budget!$A:$A,Budget!AV:AV)</f>
        <v>13115.4</v>
      </c>
      <c r="BY184" s="106">
        <f>+_xlfn.XLOOKUP($BD184,Budget!$A:$A,Budget!AW:AW)</f>
        <v>13115.4</v>
      </c>
      <c r="BZ184" s="106">
        <f>+_xlfn.XLOOKUP($BD184,Budget!$A:$A,Budget!AX:AX)</f>
        <v>13115.4</v>
      </c>
      <c r="CA184" s="106">
        <f>+_xlfn.XLOOKUP($BD184,Budget!$A:$A,Budget!AY:AY)</f>
        <v>13115.4</v>
      </c>
      <c r="CB184" s="106">
        <f>+_xlfn.XLOOKUP($BD184,Budget!$A:$A,Budget!AZ:AZ)</f>
        <v>13115.4</v>
      </c>
      <c r="CC184" s="106">
        <f>+_xlfn.XLOOKUP($BD184,Budget!$A:$A,Budget!BA:BA)</f>
        <v>13115.4</v>
      </c>
      <c r="CD184" s="106">
        <f>+_xlfn.XLOOKUP($BD184,Budget!$A:$A,Budget!BB:BB)</f>
        <v>13115.4</v>
      </c>
      <c r="CE184" s="106">
        <f t="shared" si="824"/>
        <v>157384.79999999996</v>
      </c>
      <c r="CF184" s="22"/>
      <c r="CG184" s="22">
        <v>6974.9970000000003</v>
      </c>
      <c r="CH184" s="22">
        <v>6735.3</v>
      </c>
      <c r="CI184" s="22">
        <v>6735.3</v>
      </c>
      <c r="CJ184" s="22">
        <v>2235.2999999999997</v>
      </c>
      <c r="CK184" s="22">
        <v>2714.7</v>
      </c>
      <c r="CL184" s="22">
        <v>2235.2999999999997</v>
      </c>
      <c r="CM184" s="22">
        <v>7453.2</v>
      </c>
      <c r="CN184" s="22">
        <v>0</v>
      </c>
      <c r="CO184" s="22">
        <v>6735.2970000000005</v>
      </c>
      <c r="CP184" s="22">
        <v>479.4</v>
      </c>
      <c r="CQ184" s="22">
        <v>2474.9969999999998</v>
      </c>
      <c r="CR184" s="22">
        <v>2714.7</v>
      </c>
      <c r="CS184" s="106">
        <f t="shared" si="825"/>
        <v>47488.491000000002</v>
      </c>
      <c r="CT184" s="16" t="str">
        <f t="shared" si="595"/>
        <v>Internet Charges</v>
      </c>
      <c r="CU184" s="22">
        <f>+VLOOKUP($BD184,'Jan-25'!$A:$J,7,0)</f>
        <v>0</v>
      </c>
      <c r="CV184" s="22">
        <f>+VLOOKUP($BD184,'Feb-25'!$A:$J,7,0)</f>
        <v>9464.6999999999989</v>
      </c>
      <c r="CW184" s="22">
        <f>+VLOOKUP($BD184,'Mar-25'!$A:$J,7,0)</f>
        <v>4283.049</v>
      </c>
      <c r="CX184" s="22">
        <f>+VLOOKUP($BD184,'Apr-25'!$A:$J,7,0)</f>
        <v>6974.9970000000003</v>
      </c>
      <c r="CY184" s="22">
        <f>+VLOOKUP($BD184,'May-25'!$A:$J,7,0)</f>
        <v>6974.9970000000003</v>
      </c>
      <c r="CZ184" s="22">
        <f>+VLOOKUP($BD184,'June-25'!$A:$J,7,0)</f>
        <v>9111.393</v>
      </c>
      <c r="DA184" s="22">
        <f>+VLOOKUP($BD184,'July-25'!$A:$J,7,0)</f>
        <v>5885.8843087912073</v>
      </c>
      <c r="DB184" s="22">
        <f>+VLOOKUP($BD184,'Aug-25'!$A:$J,7,0)</f>
        <v>5489.6699999999992</v>
      </c>
      <c r="DC184" s="22">
        <f>+VLOOKUP($BD184,'Sep-25'!$A:$J,7,0)</f>
        <v>5374.2899999999991</v>
      </c>
      <c r="DD184" s="22">
        <f>+VLOOKUP($BD184,'Oct-25'!$A:$J,7,0)</f>
        <v>6052.1699999999992</v>
      </c>
      <c r="DE184" s="22">
        <f>+VLOOKUP($BD184,'Nov-25'!$A:$J,7,0)</f>
        <v>0</v>
      </c>
      <c r="DF184" s="22">
        <f>+VLOOKUP($BD184,'Dec-25'!$A:$J,7,0)</f>
        <v>0</v>
      </c>
      <c r="DG184" s="22">
        <f t="shared" si="826"/>
        <v>59611.150308791206</v>
      </c>
      <c r="DH184" s="118">
        <f t="shared" si="717"/>
        <v>-0.13974244168692182</v>
      </c>
      <c r="DI184" s="22">
        <f>+_xlfn.XLOOKUP($CT184,Budget!$A:$A,Budget!CD:CD)</f>
        <v>7035.3</v>
      </c>
      <c r="DJ184" s="22">
        <f>+_xlfn.XLOOKUP($CT184,Budget!$A:$A,Budget!CE:CE)</f>
        <v>7035.3</v>
      </c>
      <c r="DK184" s="22">
        <f>+_xlfn.XLOOKUP($CT184,Budget!$A:$A,Budget!CF:CF)</f>
        <v>7035.3</v>
      </c>
      <c r="DL184" s="22">
        <f>+_xlfn.XLOOKUP($CT184,Budget!$A:$A,Budget!CG:CG)</f>
        <v>7035.3</v>
      </c>
      <c r="DM184" s="22">
        <f>+_xlfn.XLOOKUP($CT184,Budget!$A:$A,Budget!CH:CH)</f>
        <v>7035.3</v>
      </c>
      <c r="DN184" s="22">
        <f>+_xlfn.XLOOKUP($CT184,Budget!$A:$A,Budget!CI:CI)</f>
        <v>7035.3</v>
      </c>
      <c r="DO184" s="22">
        <f>+_xlfn.XLOOKUP($CT184,Budget!$A:$A,Budget!CJ:CJ)</f>
        <v>7035.3</v>
      </c>
      <c r="DP184" s="22">
        <f>+_xlfn.XLOOKUP($CT184,Budget!$A:$A,Budget!CK:CK)</f>
        <v>7035.3</v>
      </c>
      <c r="DQ184" s="22">
        <f>+_xlfn.XLOOKUP($CT184,Budget!$A:$A,Budget!CL:CL)</f>
        <v>7035.3</v>
      </c>
      <c r="DR184" s="22">
        <f>+_xlfn.XLOOKUP($CT184,Budget!$A:$A,Budget!CM:CM)</f>
        <v>7035.3</v>
      </c>
      <c r="DS184" s="22">
        <f>+_xlfn.XLOOKUP($CT184,Budget!$A:$A,Budget!CN:CN)</f>
        <v>7035.3</v>
      </c>
      <c r="DT184" s="22">
        <f>+_xlfn.XLOOKUP($CT184,Budget!$A:$A,Budget!CO:CO)</f>
        <v>7035.3</v>
      </c>
      <c r="DU184" s="106">
        <f t="shared" si="827"/>
        <v>84423.60000000002</v>
      </c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106">
        <f t="shared" si="828"/>
        <v>0</v>
      </c>
      <c r="EJ184" s="16" t="str">
        <f t="shared" si="601"/>
        <v>Internet Charges</v>
      </c>
      <c r="EK184" s="22">
        <f>+VLOOKUP($BD184,'Jan-25'!$A:$J,9,0)</f>
        <v>0</v>
      </c>
      <c r="EL184" s="22">
        <f>+VLOOKUP($BD184,'Feb-25'!$A:$J,9,0)</f>
        <v>20659</v>
      </c>
      <c r="EM184" s="22">
        <f>+VLOOKUP($BD184,'Mar-25'!$A:$J,9,0)</f>
        <v>6726.49</v>
      </c>
      <c r="EN184" s="22">
        <f>+VLOOKUP($BD184,'Apr-25'!$A:$J,9,0)</f>
        <v>13992.41</v>
      </c>
      <c r="EO184" s="22">
        <f>+VLOOKUP($BD184,'May-25'!$A:$J,9,0)</f>
        <v>8395.4459999999999</v>
      </c>
      <c r="EP184" s="22">
        <f>+VLOOKUP($BD184,'June-25'!$A:$J,9,0)</f>
        <v>13992.41</v>
      </c>
      <c r="EQ184" s="22">
        <f>+VLOOKUP($BD184,'July-25'!$A:$J,9,0)</f>
        <v>659.08</v>
      </c>
      <c r="ER184" s="22">
        <f>+VLOOKUP($BD184,'Aug-25'!$A:$J,9,0)</f>
        <v>659</v>
      </c>
      <c r="ES184" s="22">
        <f>+VLOOKUP($BD184,'Sep-25'!$A:$J,9,0)</f>
        <v>659</v>
      </c>
      <c r="ET184" s="22">
        <f>+VLOOKUP($BD184,'Oct-25'!$A:$J,9,0)</f>
        <v>659</v>
      </c>
      <c r="EU184" s="22">
        <f>+VLOOKUP($BD184,'Nov-25'!$A:$J,9,0)</f>
        <v>0</v>
      </c>
      <c r="EV184" s="22">
        <f>+VLOOKUP($BD184,'Dec-25'!$A:$J,9,0)</f>
        <v>0</v>
      </c>
      <c r="EW184" s="22">
        <f t="shared" si="829"/>
        <v>66401.835999999996</v>
      </c>
      <c r="EX184" s="118">
        <f t="shared" si="721"/>
        <v>-0.94508333333333339</v>
      </c>
      <c r="EY184" s="22">
        <f>+_xlfn.XLOOKUP($EJ184,Budget!$A:$A,Budget!DE:DE)</f>
        <v>12000</v>
      </c>
      <c r="EZ184" s="22">
        <f>+_xlfn.XLOOKUP($EJ184,Budget!$A:$A,Budget!DF:DF)</f>
        <v>12000</v>
      </c>
      <c r="FA184" s="22">
        <f>+_xlfn.XLOOKUP($EJ184,Budget!$A:$A,Budget!DG:DG)</f>
        <v>12000</v>
      </c>
      <c r="FB184" s="22">
        <f>+_xlfn.XLOOKUP($EJ184,Budget!$A:$A,Budget!DH:DH)</f>
        <v>12000</v>
      </c>
      <c r="FC184" s="22">
        <f>+_xlfn.XLOOKUP($EJ184,Budget!$A:$A,Budget!DI:DI)</f>
        <v>12000</v>
      </c>
      <c r="FD184" s="22">
        <f>+_xlfn.XLOOKUP($EJ184,Budget!$A:$A,Budget!DJ:DJ)</f>
        <v>12000</v>
      </c>
      <c r="FE184" s="22">
        <f>+_xlfn.XLOOKUP($EJ184,Budget!$A:$A,Budget!DK:DK)</f>
        <v>12000</v>
      </c>
      <c r="FF184" s="22">
        <f>+_xlfn.XLOOKUP($EJ184,Budget!$A:$A,Budget!DL:DL)</f>
        <v>12000</v>
      </c>
      <c r="FG184" s="22">
        <f>+_xlfn.XLOOKUP($EJ184,Budget!$A:$A,Budget!DM:DM)</f>
        <v>12000</v>
      </c>
      <c r="FH184" s="22">
        <f>+_xlfn.XLOOKUP($EJ184,Budget!$A:$A,Budget!DN:DN)</f>
        <v>12000</v>
      </c>
      <c r="FI184" s="22">
        <f>+_xlfn.XLOOKUP($EJ184,Budget!$A:$A,Budget!DO:DO)</f>
        <v>12000</v>
      </c>
      <c r="FJ184" s="22">
        <f>+_xlfn.XLOOKUP($EJ184,Budget!$A:$A,Budget!DP:DP)</f>
        <v>12000</v>
      </c>
      <c r="FK184" s="106">
        <f t="shared" si="830"/>
        <v>144000</v>
      </c>
    </row>
    <row r="185" spans="1:167" ht="14.45" hidden="1" customHeight="1" outlineLevel="2">
      <c r="A185" s="106">
        <f t="shared" si="819"/>
        <v>4476.8024999999989</v>
      </c>
      <c r="B185" s="106">
        <f t="shared" si="819"/>
        <v>0</v>
      </c>
      <c r="C185" s="106">
        <f t="shared" si="819"/>
        <v>0</v>
      </c>
      <c r="D185" s="106">
        <f t="shared" si="819"/>
        <v>0</v>
      </c>
      <c r="E185" s="106">
        <f t="shared" si="819"/>
        <v>0</v>
      </c>
      <c r="F185" s="106">
        <f t="shared" si="819"/>
        <v>0</v>
      </c>
      <c r="G185" s="106">
        <f t="shared" si="819"/>
        <v>0</v>
      </c>
      <c r="H185" s="106">
        <f t="shared" si="819"/>
        <v>0</v>
      </c>
      <c r="I185" s="106">
        <f t="shared" si="819"/>
        <v>0</v>
      </c>
      <c r="J185" s="106">
        <f t="shared" si="819"/>
        <v>0</v>
      </c>
      <c r="K185" s="106">
        <f t="shared" si="819"/>
        <v>0</v>
      </c>
      <c r="L185" s="106">
        <f t="shared" si="819"/>
        <v>0</v>
      </c>
      <c r="M185" s="106">
        <f t="shared" si="819"/>
        <v>4476.8024999999989</v>
      </c>
      <c r="N185" s="16" t="s">
        <v>154</v>
      </c>
      <c r="O185" s="22">
        <f t="shared" si="820"/>
        <v>0</v>
      </c>
      <c r="P185" s="22">
        <f t="shared" si="820"/>
        <v>0</v>
      </c>
      <c r="Q185" s="22">
        <f t="shared" si="820"/>
        <v>0</v>
      </c>
      <c r="R185" s="22">
        <f t="shared" si="820"/>
        <v>342.99179999999996</v>
      </c>
      <c r="S185" s="22">
        <f t="shared" si="820"/>
        <v>3875.5745999999999</v>
      </c>
      <c r="T185" s="22">
        <f t="shared" si="820"/>
        <v>17656.504199999999</v>
      </c>
      <c r="U185" s="22">
        <f t="shared" si="820"/>
        <v>17367.242400000003</v>
      </c>
      <c r="V185" s="22">
        <f t="shared" si="820"/>
        <v>3966.0299999999997</v>
      </c>
      <c r="W185" s="22">
        <f t="shared" si="820"/>
        <v>19422.72</v>
      </c>
      <c r="X185" s="22">
        <f t="shared" si="820"/>
        <v>15564.419999999998</v>
      </c>
      <c r="Y185" s="22">
        <f t="shared" si="820"/>
        <v>0</v>
      </c>
      <c r="Z185" s="22">
        <f t="shared" si="820"/>
        <v>0</v>
      </c>
      <c r="AA185" s="22">
        <f t="shared" si="820"/>
        <v>78195.483000000007</v>
      </c>
      <c r="AB185" s="118">
        <f t="shared" si="708"/>
        <v>0.45570707070707056</v>
      </c>
      <c r="AC185" s="22">
        <f t="shared" si="821"/>
        <v>10692</v>
      </c>
      <c r="AD185" s="22">
        <f t="shared" si="821"/>
        <v>10692</v>
      </c>
      <c r="AE185" s="22">
        <f t="shared" si="821"/>
        <v>10692</v>
      </c>
      <c r="AF185" s="22">
        <f t="shared" si="821"/>
        <v>10692</v>
      </c>
      <c r="AG185" s="22">
        <f t="shared" si="821"/>
        <v>10692</v>
      </c>
      <c r="AH185" s="22">
        <f t="shared" si="821"/>
        <v>10692</v>
      </c>
      <c r="AI185" s="22">
        <f t="shared" si="821"/>
        <v>10692</v>
      </c>
      <c r="AJ185" s="22">
        <f t="shared" si="821"/>
        <v>10692</v>
      </c>
      <c r="AK185" s="22">
        <f t="shared" si="821"/>
        <v>10692</v>
      </c>
      <c r="AL185" s="22">
        <f t="shared" si="821"/>
        <v>10692</v>
      </c>
      <c r="AM185" s="22">
        <f t="shared" si="821"/>
        <v>10692</v>
      </c>
      <c r="AN185" s="22">
        <f t="shared" si="821"/>
        <v>10692</v>
      </c>
      <c r="AO185" s="22">
        <f t="shared" si="821"/>
        <v>128304</v>
      </c>
      <c r="AQ185" s="106">
        <v>2984.5349999999994</v>
      </c>
      <c r="AR185" s="106">
        <v>0</v>
      </c>
      <c r="AS185" s="106">
        <v>0</v>
      </c>
      <c r="AT185" s="106">
        <v>0</v>
      </c>
      <c r="AU185" s="106">
        <v>0</v>
      </c>
      <c r="AV185" s="106">
        <v>0</v>
      </c>
      <c r="AW185" s="106">
        <v>0</v>
      </c>
      <c r="AX185" s="106">
        <v>0</v>
      </c>
      <c r="AY185" s="106">
        <v>0</v>
      </c>
      <c r="AZ185" s="106">
        <v>0</v>
      </c>
      <c r="BA185" s="106">
        <v>0</v>
      </c>
      <c r="BB185" s="106">
        <v>0</v>
      </c>
      <c r="BC185" s="106">
        <f t="shared" si="822"/>
        <v>2984.5349999999994</v>
      </c>
      <c r="BD185" s="16" t="str">
        <f t="shared" si="591"/>
        <v>Mobile Expenses</v>
      </c>
      <c r="BE185" s="22">
        <f>+VLOOKUP($BD185,'Jan-25'!$A:$J,4,0)</f>
        <v>0</v>
      </c>
      <c r="BF185" s="22">
        <f>+VLOOKUP($BD185,'Feb-25'!$A:$J,4,0)</f>
        <v>0</v>
      </c>
      <c r="BG185" s="22">
        <f>+VLOOKUP($BD185,'Mar-25'!$A:$J,4,0)</f>
        <v>0</v>
      </c>
      <c r="BH185" s="22">
        <f>+VLOOKUP($BD185,'Apr-25'!$A:$J,4,0)</f>
        <v>228.66119999999998</v>
      </c>
      <c r="BI185" s="22">
        <f>+VLOOKUP($BD185,'May-25'!$A:$J,4,0)</f>
        <v>2583.7163999999998</v>
      </c>
      <c r="BJ185" s="22">
        <f>+VLOOKUP($BD185,'June-25'!$A:$J,4,0)</f>
        <v>11771.0028</v>
      </c>
      <c r="BK185" s="22">
        <f>+VLOOKUP($BD185,'July-25'!$A:$J,4,0)</f>
        <v>11578.161600000001</v>
      </c>
      <c r="BL185" s="22">
        <f>+VLOOKUP($BD185,'Aug-25'!$A:$J,4,0)</f>
        <v>2644.02</v>
      </c>
      <c r="BM185" s="22">
        <f>+VLOOKUP($BD185,'Sep-25'!$A:$J,4,0)</f>
        <v>12948.48</v>
      </c>
      <c r="BN185" s="22">
        <f>+VLOOKUP($BD185,'Oct-25'!$A:$J,4,0)</f>
        <v>10376.279999999999</v>
      </c>
      <c r="BO185" s="22">
        <f>+VLOOKUP($BD185,'Nov-25'!$A:$J,4,0)</f>
        <v>0</v>
      </c>
      <c r="BP185" s="22">
        <f>+VLOOKUP($BD185,'Dec-25'!$A:$J,4,0)</f>
        <v>0</v>
      </c>
      <c r="BQ185" s="22">
        <f t="shared" si="823"/>
        <v>52130.322</v>
      </c>
      <c r="BR185" s="118">
        <f t="shared" si="713"/>
        <v>0.60127777777777758</v>
      </c>
      <c r="BS185" s="106">
        <f>+_xlfn.XLOOKUP($BD185,Budget!$A:$A,Budget!AQ:AQ)</f>
        <v>6480</v>
      </c>
      <c r="BT185" s="106">
        <f>+_xlfn.XLOOKUP($BD185,Budget!$A:$A,Budget!AR:AR)</f>
        <v>6480</v>
      </c>
      <c r="BU185" s="106">
        <f>+_xlfn.XLOOKUP($BD185,Budget!$A:$A,Budget!AS:AS)</f>
        <v>6480</v>
      </c>
      <c r="BV185" s="106">
        <f>+_xlfn.XLOOKUP($BD185,Budget!$A:$A,Budget!AT:AT)</f>
        <v>6480</v>
      </c>
      <c r="BW185" s="106">
        <f>+_xlfn.XLOOKUP($BD185,Budget!$A:$A,Budget!AU:AU)</f>
        <v>6480</v>
      </c>
      <c r="BX185" s="106">
        <f>+_xlfn.XLOOKUP($BD185,Budget!$A:$A,Budget!AV:AV)</f>
        <v>6480</v>
      </c>
      <c r="BY185" s="106">
        <f>+_xlfn.XLOOKUP($BD185,Budget!$A:$A,Budget!AW:AW)</f>
        <v>6480</v>
      </c>
      <c r="BZ185" s="106">
        <f>+_xlfn.XLOOKUP($BD185,Budget!$A:$A,Budget!AX:AX)</f>
        <v>6480</v>
      </c>
      <c r="CA185" s="106">
        <f>+_xlfn.XLOOKUP($BD185,Budget!$A:$A,Budget!AY:AY)</f>
        <v>6480</v>
      </c>
      <c r="CB185" s="106">
        <f>+_xlfn.XLOOKUP($BD185,Budget!$A:$A,Budget!AZ:AZ)</f>
        <v>6480</v>
      </c>
      <c r="CC185" s="106">
        <f>+_xlfn.XLOOKUP($BD185,Budget!$A:$A,Budget!BA:BA)</f>
        <v>6480</v>
      </c>
      <c r="CD185" s="106">
        <f>+_xlfn.XLOOKUP($BD185,Budget!$A:$A,Budget!BB:BB)</f>
        <v>6480</v>
      </c>
      <c r="CE185" s="106">
        <f t="shared" si="824"/>
        <v>77760</v>
      </c>
      <c r="CF185" s="22"/>
      <c r="CG185" s="22">
        <v>1492.2674999999997</v>
      </c>
      <c r="CH185" s="22">
        <v>0</v>
      </c>
      <c r="CI185" s="22">
        <v>0</v>
      </c>
      <c r="CJ185" s="22">
        <v>0</v>
      </c>
      <c r="CK185" s="22">
        <v>0</v>
      </c>
      <c r="CL185" s="22">
        <v>0</v>
      </c>
      <c r="CM185" s="22">
        <v>0</v>
      </c>
      <c r="CN185" s="22">
        <v>0</v>
      </c>
      <c r="CO185" s="22">
        <v>0</v>
      </c>
      <c r="CP185" s="22">
        <v>0</v>
      </c>
      <c r="CQ185" s="22">
        <v>0</v>
      </c>
      <c r="CR185" s="22">
        <v>0</v>
      </c>
      <c r="CS185" s="106">
        <f t="shared" si="825"/>
        <v>1492.2674999999997</v>
      </c>
      <c r="CT185" s="16" t="str">
        <f t="shared" si="595"/>
        <v>Mobile Expenses</v>
      </c>
      <c r="CU185" s="22">
        <f>+VLOOKUP($BD185,'Jan-25'!$A:$J,7,0)</f>
        <v>0</v>
      </c>
      <c r="CV185" s="22">
        <f>+VLOOKUP($BD185,'Feb-25'!$A:$J,7,0)</f>
        <v>0</v>
      </c>
      <c r="CW185" s="22">
        <f>+VLOOKUP($BD185,'Mar-25'!$A:$J,7,0)</f>
        <v>0</v>
      </c>
      <c r="CX185" s="22">
        <f>+VLOOKUP($BD185,'Apr-25'!$A:$J,7,0)</f>
        <v>114.33059999999999</v>
      </c>
      <c r="CY185" s="22">
        <f>+VLOOKUP($BD185,'May-25'!$A:$J,7,0)</f>
        <v>1291.8581999999999</v>
      </c>
      <c r="CZ185" s="22">
        <f>+VLOOKUP($BD185,'June-25'!$A:$J,7,0)</f>
        <v>5885.5014000000001</v>
      </c>
      <c r="DA185" s="22">
        <f>+VLOOKUP($BD185,'July-25'!$A:$J,7,0)</f>
        <v>5789.0808000000006</v>
      </c>
      <c r="DB185" s="22">
        <f>+VLOOKUP($BD185,'Aug-25'!$A:$J,7,0)</f>
        <v>1322.01</v>
      </c>
      <c r="DC185" s="22">
        <f>+VLOOKUP($BD185,'Sep-25'!$A:$J,7,0)</f>
        <v>6474.24</v>
      </c>
      <c r="DD185" s="22">
        <f>+VLOOKUP($BD185,'Oct-25'!$A:$J,7,0)</f>
        <v>5188.1399999999994</v>
      </c>
      <c r="DE185" s="22">
        <f>+VLOOKUP($BD185,'Nov-25'!$A:$J,7,0)</f>
        <v>0</v>
      </c>
      <c r="DF185" s="22">
        <f>+VLOOKUP($BD185,'Dec-25'!$A:$J,7,0)</f>
        <v>0</v>
      </c>
      <c r="DG185" s="22">
        <f t="shared" si="826"/>
        <v>26065.161</v>
      </c>
      <c r="DH185" s="118">
        <f t="shared" si="717"/>
        <v>0.60127777777777758</v>
      </c>
      <c r="DI185" s="22">
        <f>+_xlfn.XLOOKUP($CT185,Budget!$A:$A,Budget!CD:CD)</f>
        <v>3240</v>
      </c>
      <c r="DJ185" s="22">
        <f>+_xlfn.XLOOKUP($CT185,Budget!$A:$A,Budget!CE:CE)</f>
        <v>3240</v>
      </c>
      <c r="DK185" s="22">
        <f>+_xlfn.XLOOKUP($CT185,Budget!$A:$A,Budget!CF:CF)</f>
        <v>3240</v>
      </c>
      <c r="DL185" s="22">
        <f>+_xlfn.XLOOKUP($CT185,Budget!$A:$A,Budget!CG:CG)</f>
        <v>3240</v>
      </c>
      <c r="DM185" s="22">
        <f>+_xlfn.XLOOKUP($CT185,Budget!$A:$A,Budget!CH:CH)</f>
        <v>3240</v>
      </c>
      <c r="DN185" s="22">
        <f>+_xlfn.XLOOKUP($CT185,Budget!$A:$A,Budget!CI:CI)</f>
        <v>3240</v>
      </c>
      <c r="DO185" s="22">
        <f>+_xlfn.XLOOKUP($CT185,Budget!$A:$A,Budget!CJ:CJ)</f>
        <v>3240</v>
      </c>
      <c r="DP185" s="22">
        <f>+_xlfn.XLOOKUP($CT185,Budget!$A:$A,Budget!CK:CK)</f>
        <v>3240</v>
      </c>
      <c r="DQ185" s="22">
        <f>+_xlfn.XLOOKUP($CT185,Budget!$A:$A,Budget!CL:CL)</f>
        <v>3240</v>
      </c>
      <c r="DR185" s="22">
        <f>+_xlfn.XLOOKUP($CT185,Budget!$A:$A,Budget!CM:CM)</f>
        <v>3240</v>
      </c>
      <c r="DS185" s="22">
        <f>+_xlfn.XLOOKUP($CT185,Budget!$A:$A,Budget!CN:CN)</f>
        <v>3240</v>
      </c>
      <c r="DT185" s="22">
        <f>+_xlfn.XLOOKUP($CT185,Budget!$A:$A,Budget!CO:CO)</f>
        <v>3240</v>
      </c>
      <c r="DU185" s="106">
        <f t="shared" si="827"/>
        <v>38880</v>
      </c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106">
        <f t="shared" si="828"/>
        <v>0</v>
      </c>
      <c r="EJ185" s="16" t="str">
        <f t="shared" si="601"/>
        <v>Mobile Expenses</v>
      </c>
      <c r="EK185" s="22">
        <f>+VLOOKUP($BD185,'Jan-25'!$A:$J,9,0)</f>
        <v>0</v>
      </c>
      <c r="EL185" s="22">
        <f>+VLOOKUP($BD185,'Feb-25'!$A:$J,9,0)</f>
        <v>0</v>
      </c>
      <c r="EM185" s="22">
        <f>+VLOOKUP($BD185,'Mar-25'!$A:$J,9,0)</f>
        <v>0</v>
      </c>
      <c r="EN185" s="22">
        <f>+VLOOKUP($BD185,'Apr-25'!$A:$J,9,0)</f>
        <v>0</v>
      </c>
      <c r="EO185" s="22">
        <f>+VLOOKUP($BD185,'May-25'!$A:$J,9,0)</f>
        <v>0</v>
      </c>
      <c r="EP185" s="22">
        <f>+VLOOKUP($BD185,'June-25'!$A:$J,9,0)</f>
        <v>0</v>
      </c>
      <c r="EQ185" s="22">
        <f>+VLOOKUP($BD185,'July-25'!$A:$J,9,0)</f>
        <v>0</v>
      </c>
      <c r="ER185" s="22">
        <f>+VLOOKUP($BD185,'Aug-25'!$A:$J,9,0)</f>
        <v>0</v>
      </c>
      <c r="ES185" s="22">
        <f>+VLOOKUP($BD185,'Sep-25'!$A:$J,9,0)</f>
        <v>0</v>
      </c>
      <c r="ET185" s="22">
        <f>+VLOOKUP($BD185,'Oct-25'!$A:$J,9,0)</f>
        <v>0</v>
      </c>
      <c r="EU185" s="22">
        <f>+VLOOKUP($BD185,'Nov-25'!$A:$J,9,0)</f>
        <v>0</v>
      </c>
      <c r="EV185" s="22">
        <f>+VLOOKUP($BD185,'Dec-25'!$A:$J,9,0)</f>
        <v>0</v>
      </c>
      <c r="EW185" s="22">
        <f t="shared" si="829"/>
        <v>0</v>
      </c>
      <c r="EX185" s="118">
        <f t="shared" si="721"/>
        <v>-1</v>
      </c>
      <c r="EY185" s="22">
        <f>+_xlfn.XLOOKUP($EJ185,Budget!$A:$A,Budget!DE:DE)</f>
        <v>972</v>
      </c>
      <c r="EZ185" s="22">
        <f>+_xlfn.XLOOKUP($EJ185,Budget!$A:$A,Budget!DF:DF)</f>
        <v>972</v>
      </c>
      <c r="FA185" s="22">
        <f>+_xlfn.XLOOKUP($EJ185,Budget!$A:$A,Budget!DG:DG)</f>
        <v>972</v>
      </c>
      <c r="FB185" s="22">
        <f>+_xlfn.XLOOKUP($EJ185,Budget!$A:$A,Budget!DH:DH)</f>
        <v>972</v>
      </c>
      <c r="FC185" s="22">
        <f>+_xlfn.XLOOKUP($EJ185,Budget!$A:$A,Budget!DI:DI)</f>
        <v>972</v>
      </c>
      <c r="FD185" s="22">
        <f>+_xlfn.XLOOKUP($EJ185,Budget!$A:$A,Budget!DJ:DJ)</f>
        <v>972</v>
      </c>
      <c r="FE185" s="22">
        <f>+_xlfn.XLOOKUP($EJ185,Budget!$A:$A,Budget!DK:DK)</f>
        <v>972</v>
      </c>
      <c r="FF185" s="22">
        <f>+_xlfn.XLOOKUP($EJ185,Budget!$A:$A,Budget!DL:DL)</f>
        <v>972</v>
      </c>
      <c r="FG185" s="22">
        <f>+_xlfn.XLOOKUP($EJ185,Budget!$A:$A,Budget!DM:DM)</f>
        <v>972</v>
      </c>
      <c r="FH185" s="22">
        <f>+_xlfn.XLOOKUP($EJ185,Budget!$A:$A,Budget!DN:DN)</f>
        <v>972</v>
      </c>
      <c r="FI185" s="22">
        <f>+_xlfn.XLOOKUP($EJ185,Budget!$A:$A,Budget!DO:DO)</f>
        <v>972</v>
      </c>
      <c r="FJ185" s="22">
        <f>+_xlfn.XLOOKUP($EJ185,Budget!$A:$A,Budget!DP:DP)</f>
        <v>972</v>
      </c>
      <c r="FK185" s="106">
        <f t="shared" si="830"/>
        <v>11664</v>
      </c>
    </row>
    <row r="186" spans="1:167" ht="14.45" hidden="1" customHeight="1" outlineLevel="2">
      <c r="A186" s="106">
        <f t="shared" si="819"/>
        <v>0</v>
      </c>
      <c r="B186" s="106">
        <f t="shared" si="819"/>
        <v>0</v>
      </c>
      <c r="C186" s="106">
        <f t="shared" si="819"/>
        <v>0</v>
      </c>
      <c r="D186" s="106">
        <f t="shared" si="819"/>
        <v>0</v>
      </c>
      <c r="E186" s="106">
        <f t="shared" si="819"/>
        <v>0</v>
      </c>
      <c r="F186" s="106">
        <f t="shared" si="819"/>
        <v>0</v>
      </c>
      <c r="G186" s="106">
        <f t="shared" si="819"/>
        <v>0</v>
      </c>
      <c r="H186" s="106">
        <f t="shared" si="819"/>
        <v>0</v>
      </c>
      <c r="I186" s="106">
        <f t="shared" si="819"/>
        <v>0</v>
      </c>
      <c r="J186" s="106">
        <f t="shared" si="819"/>
        <v>0</v>
      </c>
      <c r="K186" s="106">
        <f t="shared" si="819"/>
        <v>0</v>
      </c>
      <c r="L186" s="106">
        <f t="shared" si="819"/>
        <v>0</v>
      </c>
      <c r="M186" s="106">
        <f t="shared" si="819"/>
        <v>0</v>
      </c>
      <c r="N186" s="16" t="s">
        <v>155</v>
      </c>
      <c r="O186" s="22">
        <f t="shared" si="820"/>
        <v>0</v>
      </c>
      <c r="P186" s="22">
        <f t="shared" si="820"/>
        <v>0</v>
      </c>
      <c r="Q186" s="22">
        <f t="shared" si="820"/>
        <v>0</v>
      </c>
      <c r="R186" s="22">
        <f t="shared" si="820"/>
        <v>0</v>
      </c>
      <c r="S186" s="22">
        <f t="shared" si="820"/>
        <v>0</v>
      </c>
      <c r="T186" s="22">
        <f t="shared" si="820"/>
        <v>0</v>
      </c>
      <c r="U186" s="22">
        <f t="shared" si="820"/>
        <v>0</v>
      </c>
      <c r="V186" s="22">
        <f t="shared" si="820"/>
        <v>0</v>
      </c>
      <c r="W186" s="22">
        <f t="shared" si="820"/>
        <v>0</v>
      </c>
      <c r="X186" s="22">
        <f t="shared" si="820"/>
        <v>0</v>
      </c>
      <c r="Y186" s="22">
        <f t="shared" si="820"/>
        <v>0</v>
      </c>
      <c r="Z186" s="22">
        <f t="shared" si="820"/>
        <v>0</v>
      </c>
      <c r="AA186" s="22">
        <f t="shared" si="820"/>
        <v>0</v>
      </c>
      <c r="AB186" s="118">
        <f t="shared" si="708"/>
        <v>0</v>
      </c>
      <c r="AC186" s="22">
        <f t="shared" si="821"/>
        <v>0</v>
      </c>
      <c r="AD186" s="22">
        <f t="shared" si="821"/>
        <v>0</v>
      </c>
      <c r="AE186" s="22">
        <f t="shared" si="821"/>
        <v>0</v>
      </c>
      <c r="AF186" s="22">
        <f t="shared" si="821"/>
        <v>0</v>
      </c>
      <c r="AG186" s="22">
        <f t="shared" si="821"/>
        <v>0</v>
      </c>
      <c r="AH186" s="22">
        <f t="shared" si="821"/>
        <v>0</v>
      </c>
      <c r="AI186" s="22">
        <f t="shared" si="821"/>
        <v>0</v>
      </c>
      <c r="AJ186" s="22">
        <f t="shared" si="821"/>
        <v>0</v>
      </c>
      <c r="AK186" s="22">
        <f t="shared" si="821"/>
        <v>0</v>
      </c>
      <c r="AL186" s="22">
        <f t="shared" si="821"/>
        <v>0</v>
      </c>
      <c r="AM186" s="22">
        <f t="shared" si="821"/>
        <v>0</v>
      </c>
      <c r="AN186" s="22">
        <f t="shared" si="821"/>
        <v>0</v>
      </c>
      <c r="AO186" s="22">
        <f t="shared" si="821"/>
        <v>0</v>
      </c>
      <c r="AQ186" s="106">
        <v>0</v>
      </c>
      <c r="AR186" s="106">
        <v>0</v>
      </c>
      <c r="AS186" s="106">
        <v>0</v>
      </c>
      <c r="AT186" s="106">
        <v>0</v>
      </c>
      <c r="AU186" s="106">
        <v>0</v>
      </c>
      <c r="AV186" s="106">
        <v>0</v>
      </c>
      <c r="AW186" s="106">
        <v>0</v>
      </c>
      <c r="AX186" s="106">
        <v>0</v>
      </c>
      <c r="AY186" s="106">
        <v>0</v>
      </c>
      <c r="AZ186" s="106">
        <v>0</v>
      </c>
      <c r="BA186" s="106">
        <v>0</v>
      </c>
      <c r="BB186" s="106">
        <v>0</v>
      </c>
      <c r="BC186" s="106">
        <f t="shared" si="822"/>
        <v>0</v>
      </c>
      <c r="BD186" s="16" t="str">
        <f t="shared" si="591"/>
        <v>Telephone</v>
      </c>
      <c r="BE186" s="22">
        <f>+VLOOKUP($BD186,'Jan-25'!$A:$J,4,0)</f>
        <v>0</v>
      </c>
      <c r="BF186" s="22">
        <f>+VLOOKUP($BD186,'Feb-25'!$A:$J,4,0)</f>
        <v>0</v>
      </c>
      <c r="BG186" s="22">
        <f>+VLOOKUP($BD186,'Mar-25'!$A:$J,4,0)</f>
        <v>0</v>
      </c>
      <c r="BH186" s="22">
        <f>+VLOOKUP($BD186,'Apr-25'!$A:$J,4,0)</f>
        <v>0</v>
      </c>
      <c r="BI186" s="22">
        <f>+VLOOKUP($BD186,'May-25'!$A:$J,4,0)</f>
        <v>0</v>
      </c>
      <c r="BJ186" s="22">
        <f>+VLOOKUP($BD186,'June-25'!$A:$J,4,0)</f>
        <v>0</v>
      </c>
      <c r="BK186" s="22">
        <f>+VLOOKUP($BD186,'July-25'!$A:$J,4,0)</f>
        <v>0</v>
      </c>
      <c r="BL186" s="22">
        <f>+VLOOKUP($BD186,'Aug-25'!$A:$J,4,0)</f>
        <v>0</v>
      </c>
      <c r="BM186" s="22">
        <f>+VLOOKUP($BD186,'Sep-25'!$A:$J,4,0)</f>
        <v>0</v>
      </c>
      <c r="BN186" s="22">
        <f>+VLOOKUP($BD186,'Oct-25'!$A:$J,4,0)</f>
        <v>0</v>
      </c>
      <c r="BO186" s="22">
        <f>+VLOOKUP($BD186,'Nov-25'!$A:$J,4,0)</f>
        <v>0</v>
      </c>
      <c r="BP186" s="22">
        <f>+VLOOKUP($BD186,'Dec-25'!$A:$J,4,0)</f>
        <v>0</v>
      </c>
      <c r="BQ186" s="22">
        <f t="shared" si="823"/>
        <v>0</v>
      </c>
      <c r="BR186" s="118">
        <f t="shared" si="713"/>
        <v>0</v>
      </c>
      <c r="BS186" s="106">
        <f>+_xlfn.XLOOKUP($BD186,Budget!$A:$A,Budget!AQ:AQ)</f>
        <v>0</v>
      </c>
      <c r="BT186" s="106">
        <f>+_xlfn.XLOOKUP($BD186,Budget!$A:$A,Budget!AR:AR)</f>
        <v>0</v>
      </c>
      <c r="BU186" s="106">
        <f>+_xlfn.XLOOKUP($BD186,Budget!$A:$A,Budget!AS:AS)</f>
        <v>0</v>
      </c>
      <c r="BV186" s="106">
        <f>+_xlfn.XLOOKUP($BD186,Budget!$A:$A,Budget!AT:AT)</f>
        <v>0</v>
      </c>
      <c r="BW186" s="106">
        <f>+_xlfn.XLOOKUP($BD186,Budget!$A:$A,Budget!AU:AU)</f>
        <v>0</v>
      </c>
      <c r="BX186" s="106">
        <f>+_xlfn.XLOOKUP($BD186,Budget!$A:$A,Budget!AV:AV)</f>
        <v>0</v>
      </c>
      <c r="BY186" s="106">
        <f>+_xlfn.XLOOKUP($BD186,Budget!$A:$A,Budget!AW:AW)</f>
        <v>0</v>
      </c>
      <c r="BZ186" s="106">
        <f>+_xlfn.XLOOKUP($BD186,Budget!$A:$A,Budget!AX:AX)</f>
        <v>0</v>
      </c>
      <c r="CA186" s="106">
        <f>+_xlfn.XLOOKUP($BD186,Budget!$A:$A,Budget!AY:AY)</f>
        <v>0</v>
      </c>
      <c r="CB186" s="106">
        <f>+_xlfn.XLOOKUP($BD186,Budget!$A:$A,Budget!AZ:AZ)</f>
        <v>0</v>
      </c>
      <c r="CC186" s="106">
        <f>+_xlfn.XLOOKUP($BD186,Budget!$A:$A,Budget!BA:BA)</f>
        <v>0</v>
      </c>
      <c r="CD186" s="106">
        <f>+_xlfn.XLOOKUP($BD186,Budget!$A:$A,Budget!BB:BB)</f>
        <v>0</v>
      </c>
      <c r="CE186" s="106">
        <f t="shared" si="824"/>
        <v>0</v>
      </c>
      <c r="CF186" s="22"/>
      <c r="CG186" s="22">
        <v>0</v>
      </c>
      <c r="CH186" s="22">
        <v>0</v>
      </c>
      <c r="CI186" s="22">
        <v>0</v>
      </c>
      <c r="CJ186" s="22">
        <v>0</v>
      </c>
      <c r="CK186" s="22">
        <v>0</v>
      </c>
      <c r="CL186" s="22">
        <v>0</v>
      </c>
      <c r="CM186" s="22">
        <v>0</v>
      </c>
      <c r="CN186" s="22">
        <v>0</v>
      </c>
      <c r="CO186" s="22">
        <v>0</v>
      </c>
      <c r="CP186" s="22">
        <v>0</v>
      </c>
      <c r="CQ186" s="22">
        <v>0</v>
      </c>
      <c r="CR186" s="22">
        <v>0</v>
      </c>
      <c r="CS186" s="106">
        <f t="shared" si="825"/>
        <v>0</v>
      </c>
      <c r="CT186" s="16" t="str">
        <f t="shared" si="595"/>
        <v>Telephone</v>
      </c>
      <c r="CU186" s="22">
        <f>+VLOOKUP($BD186,'Jan-25'!$A:$J,7,0)</f>
        <v>0</v>
      </c>
      <c r="CV186" s="22">
        <f>+VLOOKUP($BD186,'Feb-25'!$A:$J,7,0)</f>
        <v>0</v>
      </c>
      <c r="CW186" s="22">
        <f>+VLOOKUP($BD186,'Mar-25'!$A:$J,7,0)</f>
        <v>0</v>
      </c>
      <c r="CX186" s="22">
        <f>+VLOOKUP($BD186,'Apr-25'!$A:$J,7,0)</f>
        <v>0</v>
      </c>
      <c r="CY186" s="22">
        <f>+VLOOKUP($BD186,'May-25'!$A:$J,7,0)</f>
        <v>0</v>
      </c>
      <c r="CZ186" s="22">
        <f>+VLOOKUP($BD186,'June-25'!$A:$J,7,0)</f>
        <v>0</v>
      </c>
      <c r="DA186" s="22">
        <f>+VLOOKUP($BD186,'July-25'!$A:$J,7,0)</f>
        <v>0</v>
      </c>
      <c r="DB186" s="22">
        <f>+VLOOKUP($BD186,'Aug-25'!$A:$J,7,0)</f>
        <v>0</v>
      </c>
      <c r="DC186" s="22">
        <f>+VLOOKUP($BD186,'Sep-25'!$A:$J,7,0)</f>
        <v>0</v>
      </c>
      <c r="DD186" s="22">
        <f>+VLOOKUP($BD186,'Oct-25'!$A:$J,7,0)</f>
        <v>0</v>
      </c>
      <c r="DE186" s="22">
        <f>+VLOOKUP($BD186,'Nov-25'!$A:$J,7,0)</f>
        <v>0</v>
      </c>
      <c r="DF186" s="22">
        <f>+VLOOKUP($BD186,'Dec-25'!$A:$J,7,0)</f>
        <v>0</v>
      </c>
      <c r="DG186" s="22">
        <f t="shared" si="826"/>
        <v>0</v>
      </c>
      <c r="DH186" s="118">
        <f t="shared" si="717"/>
        <v>0</v>
      </c>
      <c r="DI186" s="22">
        <f>+_xlfn.XLOOKUP($CT186,Budget!$A:$A,Budget!CD:CD)</f>
        <v>0</v>
      </c>
      <c r="DJ186" s="22">
        <f>+_xlfn.XLOOKUP($CT186,Budget!$A:$A,Budget!CE:CE)</f>
        <v>0</v>
      </c>
      <c r="DK186" s="22">
        <f>+_xlfn.XLOOKUP($CT186,Budget!$A:$A,Budget!CF:CF)</f>
        <v>0</v>
      </c>
      <c r="DL186" s="22">
        <f>+_xlfn.XLOOKUP($CT186,Budget!$A:$A,Budget!CG:CG)</f>
        <v>0</v>
      </c>
      <c r="DM186" s="22">
        <f>+_xlfn.XLOOKUP($CT186,Budget!$A:$A,Budget!CH:CH)</f>
        <v>0</v>
      </c>
      <c r="DN186" s="22">
        <f>+_xlfn.XLOOKUP($CT186,Budget!$A:$A,Budget!CI:CI)</f>
        <v>0</v>
      </c>
      <c r="DO186" s="22">
        <f>+_xlfn.XLOOKUP($CT186,Budget!$A:$A,Budget!CJ:CJ)</f>
        <v>0</v>
      </c>
      <c r="DP186" s="22">
        <f>+_xlfn.XLOOKUP($CT186,Budget!$A:$A,Budget!CK:CK)</f>
        <v>0</v>
      </c>
      <c r="DQ186" s="22">
        <f>+_xlfn.XLOOKUP($CT186,Budget!$A:$A,Budget!CL:CL)</f>
        <v>0</v>
      </c>
      <c r="DR186" s="22">
        <f>+_xlfn.XLOOKUP($CT186,Budget!$A:$A,Budget!CM:CM)</f>
        <v>0</v>
      </c>
      <c r="DS186" s="22">
        <f>+_xlfn.XLOOKUP($CT186,Budget!$A:$A,Budget!CN:CN)</f>
        <v>0</v>
      </c>
      <c r="DT186" s="22">
        <f>+_xlfn.XLOOKUP($CT186,Budget!$A:$A,Budget!CO:CO)</f>
        <v>0</v>
      </c>
      <c r="DU186" s="106">
        <f t="shared" si="827"/>
        <v>0</v>
      </c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106">
        <f t="shared" si="828"/>
        <v>0</v>
      </c>
      <c r="EJ186" s="16" t="str">
        <f t="shared" si="601"/>
        <v>Telephone</v>
      </c>
      <c r="EK186" s="22">
        <f>+VLOOKUP($BD186,'Jan-25'!$A:$J,9,0)</f>
        <v>0</v>
      </c>
      <c r="EL186" s="22">
        <f>+VLOOKUP($BD186,'Feb-25'!$A:$J,9,0)</f>
        <v>0</v>
      </c>
      <c r="EM186" s="22">
        <f>+VLOOKUP($BD186,'Mar-25'!$A:$J,9,0)</f>
        <v>0</v>
      </c>
      <c r="EN186" s="22">
        <f>+VLOOKUP($BD186,'Apr-25'!$A:$J,9,0)</f>
        <v>0</v>
      </c>
      <c r="EO186" s="22">
        <f>+VLOOKUP($BD186,'May-25'!$A:$J,9,0)</f>
        <v>0</v>
      </c>
      <c r="EP186" s="22">
        <f>+VLOOKUP($BD186,'June-25'!$A:$J,9,0)</f>
        <v>0</v>
      </c>
      <c r="EQ186" s="22">
        <f>+VLOOKUP($BD186,'July-25'!$A:$J,9,0)</f>
        <v>0</v>
      </c>
      <c r="ER186" s="22">
        <f>+VLOOKUP($BD186,'Aug-25'!$A:$J,9,0)</f>
        <v>0</v>
      </c>
      <c r="ES186" s="22">
        <f>+VLOOKUP($BD186,'Sep-25'!$A:$J,9,0)</f>
        <v>0</v>
      </c>
      <c r="ET186" s="22">
        <f>+VLOOKUP($BD186,'Oct-25'!$A:$J,9,0)</f>
        <v>0</v>
      </c>
      <c r="EU186" s="22">
        <f>+VLOOKUP($BD186,'Nov-25'!$A:$J,9,0)</f>
        <v>0</v>
      </c>
      <c r="EV186" s="22">
        <f>+VLOOKUP($BD186,'Dec-25'!$A:$J,9,0)</f>
        <v>0</v>
      </c>
      <c r="EW186" s="22">
        <f t="shared" si="829"/>
        <v>0</v>
      </c>
      <c r="EX186" s="118">
        <f t="shared" si="721"/>
        <v>0</v>
      </c>
      <c r="EY186" s="22">
        <f>+_xlfn.XLOOKUP($EJ186,Budget!$A:$A,Budget!DE:DE)</f>
        <v>0</v>
      </c>
      <c r="EZ186" s="22">
        <f>+_xlfn.XLOOKUP($EJ186,Budget!$A:$A,Budget!DF:DF)</f>
        <v>0</v>
      </c>
      <c r="FA186" s="22">
        <f>+_xlfn.XLOOKUP($EJ186,Budget!$A:$A,Budget!DG:DG)</f>
        <v>0</v>
      </c>
      <c r="FB186" s="22">
        <f>+_xlfn.XLOOKUP($EJ186,Budget!$A:$A,Budget!DH:DH)</f>
        <v>0</v>
      </c>
      <c r="FC186" s="22">
        <f>+_xlfn.XLOOKUP($EJ186,Budget!$A:$A,Budget!DI:DI)</f>
        <v>0</v>
      </c>
      <c r="FD186" s="22">
        <f>+_xlfn.XLOOKUP($EJ186,Budget!$A:$A,Budget!DJ:DJ)</f>
        <v>0</v>
      </c>
      <c r="FE186" s="22">
        <f>+_xlfn.XLOOKUP($EJ186,Budget!$A:$A,Budget!DK:DK)</f>
        <v>0</v>
      </c>
      <c r="FF186" s="22">
        <f>+_xlfn.XLOOKUP($EJ186,Budget!$A:$A,Budget!DL:DL)</f>
        <v>0</v>
      </c>
      <c r="FG186" s="22">
        <f>+_xlfn.XLOOKUP($EJ186,Budget!$A:$A,Budget!DM:DM)</f>
        <v>0</v>
      </c>
      <c r="FH186" s="22">
        <f>+_xlfn.XLOOKUP($EJ186,Budget!$A:$A,Budget!DN:DN)</f>
        <v>0</v>
      </c>
      <c r="FI186" s="22">
        <f>+_xlfn.XLOOKUP($EJ186,Budget!$A:$A,Budget!DO:DO)</f>
        <v>0</v>
      </c>
      <c r="FJ186" s="22">
        <f>+_xlfn.XLOOKUP($EJ186,Budget!$A:$A,Budget!DP:DP)</f>
        <v>0</v>
      </c>
      <c r="FK186" s="106">
        <f t="shared" si="830"/>
        <v>0</v>
      </c>
    </row>
    <row r="187" spans="1:167" ht="14.45" hidden="1" customHeight="1" outlineLevel="1" collapsed="1">
      <c r="A187" s="107">
        <f t="shared" ref="A187:L187" si="831">+SUM(A188:A192)</f>
        <v>15029.999999999989</v>
      </c>
      <c r="B187" s="107">
        <f t="shared" si="831"/>
        <v>15029.99909999999</v>
      </c>
      <c r="C187" s="107">
        <f t="shared" si="831"/>
        <v>15029.99909999999</v>
      </c>
      <c r="D187" s="107">
        <f t="shared" si="831"/>
        <v>15029.99909999999</v>
      </c>
      <c r="E187" s="107">
        <f t="shared" si="831"/>
        <v>15029.99909999999</v>
      </c>
      <c r="F187" s="107">
        <f t="shared" si="831"/>
        <v>15029.99909999999</v>
      </c>
      <c r="G187" s="107">
        <f t="shared" si="831"/>
        <v>22529.999099999994</v>
      </c>
      <c r="H187" s="107">
        <f t="shared" si="831"/>
        <v>11924.909100000001</v>
      </c>
      <c r="I187" s="107">
        <f t="shared" si="831"/>
        <v>6299.91</v>
      </c>
      <c r="J187" s="107">
        <f t="shared" si="831"/>
        <v>11924.909999999991</v>
      </c>
      <c r="K187" s="107">
        <f t="shared" si="831"/>
        <v>21924.909100000001</v>
      </c>
      <c r="L187" s="107">
        <f t="shared" si="831"/>
        <v>6299.91</v>
      </c>
      <c r="M187" s="107">
        <f t="shared" ref="M187" si="832">+SUM(M188:M192)</f>
        <v>171084.54279999991</v>
      </c>
      <c r="N187" s="20" t="s">
        <v>156</v>
      </c>
      <c r="O187" s="31">
        <f t="shared" ref="O187:Z187" si="833">+SUM(O188:O192)</f>
        <v>160769.54999999999</v>
      </c>
      <c r="P187" s="31">
        <f t="shared" si="833"/>
        <v>53499.55</v>
      </c>
      <c r="Q187" s="31">
        <f t="shared" si="833"/>
        <v>155999.64000000001</v>
      </c>
      <c r="R187" s="31">
        <f t="shared" si="833"/>
        <v>7499.6399999999994</v>
      </c>
      <c r="S187" s="31">
        <f t="shared" si="833"/>
        <v>13799.55</v>
      </c>
      <c r="T187" s="31">
        <f t="shared" si="833"/>
        <v>9749.5499999999993</v>
      </c>
      <c r="U187" s="31">
        <f t="shared" si="833"/>
        <v>13799.55</v>
      </c>
      <c r="V187" s="31">
        <f t="shared" si="833"/>
        <v>19499.64</v>
      </c>
      <c r="W187" s="31">
        <f t="shared" si="833"/>
        <v>7499.6399999999994</v>
      </c>
      <c r="X187" s="31">
        <f t="shared" si="833"/>
        <v>9749.5499999999993</v>
      </c>
      <c r="Y187" s="31">
        <f t="shared" si="833"/>
        <v>0</v>
      </c>
      <c r="Z187" s="31">
        <f t="shared" si="833"/>
        <v>0</v>
      </c>
      <c r="AA187" s="31">
        <f t="shared" ref="AA187" si="834">+SUM(AA188:AA192)</f>
        <v>451865.86</v>
      </c>
      <c r="AB187" s="118">
        <f t="shared" si="708"/>
        <v>-0.58888261993796265</v>
      </c>
      <c r="AC187" s="31">
        <f t="shared" ref="AC187:AN187" si="835">+SUM(AC188:AC192)</f>
        <v>23714.76</v>
      </c>
      <c r="AD187" s="31">
        <f t="shared" si="835"/>
        <v>23714.76</v>
      </c>
      <c r="AE187" s="31">
        <f t="shared" si="835"/>
        <v>23714.76</v>
      </c>
      <c r="AF187" s="31">
        <f t="shared" si="835"/>
        <v>23714.76</v>
      </c>
      <c r="AG187" s="31">
        <f t="shared" si="835"/>
        <v>23714.76</v>
      </c>
      <c r="AH187" s="31">
        <f t="shared" si="835"/>
        <v>23714.76</v>
      </c>
      <c r="AI187" s="31">
        <f t="shared" si="835"/>
        <v>23714.76</v>
      </c>
      <c r="AJ187" s="31">
        <f t="shared" si="835"/>
        <v>23714.76</v>
      </c>
      <c r="AK187" s="31">
        <f t="shared" si="835"/>
        <v>23714.76</v>
      </c>
      <c r="AL187" s="31">
        <f t="shared" si="835"/>
        <v>23714.76</v>
      </c>
      <c r="AM187" s="31">
        <f t="shared" si="835"/>
        <v>23714.76</v>
      </c>
      <c r="AN187" s="31">
        <f t="shared" si="835"/>
        <v>23714.76</v>
      </c>
      <c r="AO187" s="31">
        <f t="shared" ref="AO187" si="836">+SUM(AO188:AO192)</f>
        <v>284577.12</v>
      </c>
      <c r="AQ187" s="107">
        <f t="shared" ref="AQ187:BB187" si="837">+SUM(AQ188:AQ192)</f>
        <v>10019.999999999993</v>
      </c>
      <c r="AR187" s="107">
        <f t="shared" si="837"/>
        <v>10019.999399999993</v>
      </c>
      <c r="AS187" s="107">
        <f t="shared" si="837"/>
        <v>10019.999399999993</v>
      </c>
      <c r="AT187" s="107">
        <f t="shared" si="837"/>
        <v>10019.999399999993</v>
      </c>
      <c r="AU187" s="107">
        <f t="shared" si="837"/>
        <v>10019.999399999993</v>
      </c>
      <c r="AV187" s="107">
        <f t="shared" si="837"/>
        <v>10019.999399999993</v>
      </c>
      <c r="AW187" s="107">
        <f t="shared" si="837"/>
        <v>17519.999399999993</v>
      </c>
      <c r="AX187" s="107">
        <f t="shared" si="837"/>
        <v>7949.9394000000011</v>
      </c>
      <c r="AY187" s="107">
        <f t="shared" si="837"/>
        <v>4199.9399999999996</v>
      </c>
      <c r="AZ187" s="107">
        <f t="shared" si="837"/>
        <v>7949.9399999999932</v>
      </c>
      <c r="BA187" s="107">
        <f t="shared" si="837"/>
        <v>17949.939399999999</v>
      </c>
      <c r="BB187" s="107">
        <f t="shared" si="837"/>
        <v>4199.9400000000005</v>
      </c>
      <c r="BC187" s="107">
        <f>+SUM(AQ187:BB187)</f>
        <v>119889.69519999994</v>
      </c>
      <c r="BD187" s="20" t="str">
        <f t="shared" si="591"/>
        <v>Professional Fees</v>
      </c>
      <c r="BE187" s="31">
        <f t="shared" ref="BE187:BQ187" si="838">+SUM(BE188:BE192)</f>
        <v>7949.6999999999989</v>
      </c>
      <c r="BF187" s="31">
        <f t="shared" si="838"/>
        <v>5249.6999999999989</v>
      </c>
      <c r="BG187" s="31">
        <f t="shared" si="838"/>
        <v>3749.7599999999993</v>
      </c>
      <c r="BH187" s="31">
        <f t="shared" si="838"/>
        <v>3749.7599999999993</v>
      </c>
      <c r="BI187" s="31">
        <f t="shared" si="838"/>
        <v>7949.6999999999989</v>
      </c>
      <c r="BJ187" s="31">
        <f t="shared" si="838"/>
        <v>5249.6999999999989</v>
      </c>
      <c r="BK187" s="31">
        <f t="shared" si="838"/>
        <v>7949.6999999999989</v>
      </c>
      <c r="BL187" s="31">
        <f t="shared" si="838"/>
        <v>15749.759999999998</v>
      </c>
      <c r="BM187" s="31">
        <f t="shared" si="838"/>
        <v>3749.7599999999993</v>
      </c>
      <c r="BN187" s="31">
        <f t="shared" si="838"/>
        <v>5249.6999999999989</v>
      </c>
      <c r="BO187" s="31">
        <f t="shared" si="838"/>
        <v>0</v>
      </c>
      <c r="BP187" s="31">
        <f t="shared" si="838"/>
        <v>0</v>
      </c>
      <c r="BQ187" s="31">
        <f t="shared" si="838"/>
        <v>66597.239999999991</v>
      </c>
      <c r="BR187" s="118">
        <f t="shared" si="713"/>
        <v>-0.63943971911779252</v>
      </c>
      <c r="BS187" s="107">
        <f t="shared" ref="BS187:CD187" si="839">+SUM(BS188:BS192)</f>
        <v>14559.839999999998</v>
      </c>
      <c r="BT187" s="107">
        <f t="shared" si="839"/>
        <v>14559.839999999998</v>
      </c>
      <c r="BU187" s="107">
        <f t="shared" si="839"/>
        <v>14559.839999999998</v>
      </c>
      <c r="BV187" s="107">
        <f t="shared" si="839"/>
        <v>14559.839999999998</v>
      </c>
      <c r="BW187" s="107">
        <f t="shared" si="839"/>
        <v>14559.839999999998</v>
      </c>
      <c r="BX187" s="107">
        <f t="shared" si="839"/>
        <v>14559.839999999998</v>
      </c>
      <c r="BY187" s="107">
        <f t="shared" si="839"/>
        <v>14559.839999999998</v>
      </c>
      <c r="BZ187" s="107">
        <f t="shared" si="839"/>
        <v>14559.839999999998</v>
      </c>
      <c r="CA187" s="107">
        <f t="shared" si="839"/>
        <v>14559.839999999998</v>
      </c>
      <c r="CB187" s="107">
        <f t="shared" si="839"/>
        <v>14559.839999999998</v>
      </c>
      <c r="CC187" s="107">
        <f t="shared" si="839"/>
        <v>14559.839999999998</v>
      </c>
      <c r="CD187" s="107">
        <f t="shared" si="839"/>
        <v>14559.839999999998</v>
      </c>
      <c r="CE187" s="107">
        <f>+SUM(BS187:CD187)</f>
        <v>174718.07999999999</v>
      </c>
      <c r="CF187" s="22"/>
      <c r="CG187" s="31">
        <f t="shared" ref="CG187:CR187" si="840">+SUM(CG188:CG192)</f>
        <v>5009.9999999999964</v>
      </c>
      <c r="CH187" s="31">
        <f t="shared" si="840"/>
        <v>5009.9996999999967</v>
      </c>
      <c r="CI187" s="31">
        <f t="shared" si="840"/>
        <v>5009.9996999999967</v>
      </c>
      <c r="CJ187" s="31">
        <f t="shared" si="840"/>
        <v>5009.9996999999967</v>
      </c>
      <c r="CK187" s="31">
        <f t="shared" si="840"/>
        <v>5009.9996999999967</v>
      </c>
      <c r="CL187" s="31">
        <f t="shared" si="840"/>
        <v>5009.9996999999967</v>
      </c>
      <c r="CM187" s="31">
        <f t="shared" si="840"/>
        <v>5009.9996999999967</v>
      </c>
      <c r="CN187" s="31">
        <f t="shared" si="840"/>
        <v>3974.9697000000006</v>
      </c>
      <c r="CO187" s="31">
        <f t="shared" si="840"/>
        <v>2099.9699999999998</v>
      </c>
      <c r="CP187" s="31">
        <f t="shared" si="840"/>
        <v>3974.9699999999966</v>
      </c>
      <c r="CQ187" s="31">
        <f t="shared" si="840"/>
        <v>3974.9697000000006</v>
      </c>
      <c r="CR187" s="31">
        <f t="shared" si="840"/>
        <v>2099.9700000000003</v>
      </c>
      <c r="CS187" s="107">
        <f>+SUM(CG187:CR187)</f>
        <v>51194.847599999972</v>
      </c>
      <c r="CT187" s="20" t="str">
        <f t="shared" si="595"/>
        <v>Professional Fees</v>
      </c>
      <c r="CU187" s="31">
        <f t="shared" ref="CU187:DG187" si="841">+SUM(CU188:CU192)</f>
        <v>3974.8499999999995</v>
      </c>
      <c r="CV187" s="31">
        <f t="shared" si="841"/>
        <v>2624.8499999999995</v>
      </c>
      <c r="CW187" s="31">
        <f t="shared" si="841"/>
        <v>1874.8799999999997</v>
      </c>
      <c r="CX187" s="31">
        <f t="shared" si="841"/>
        <v>1874.8799999999997</v>
      </c>
      <c r="CY187" s="31">
        <f t="shared" si="841"/>
        <v>3974.8499999999995</v>
      </c>
      <c r="CZ187" s="31">
        <f t="shared" si="841"/>
        <v>2624.8499999999995</v>
      </c>
      <c r="DA187" s="31">
        <f t="shared" si="841"/>
        <v>3974.8499999999995</v>
      </c>
      <c r="DB187" s="31">
        <f t="shared" si="841"/>
        <v>1874.8799999999997</v>
      </c>
      <c r="DC187" s="31">
        <f t="shared" si="841"/>
        <v>1874.8799999999997</v>
      </c>
      <c r="DD187" s="31">
        <f t="shared" si="841"/>
        <v>2624.8499999999995</v>
      </c>
      <c r="DE187" s="31">
        <f t="shared" si="841"/>
        <v>0</v>
      </c>
      <c r="DF187" s="31">
        <f t="shared" si="841"/>
        <v>0</v>
      </c>
      <c r="DG187" s="31">
        <f t="shared" si="841"/>
        <v>27298.619999999995</v>
      </c>
      <c r="DH187" s="118">
        <f t="shared" si="717"/>
        <v>-0.63943971911779252</v>
      </c>
      <c r="DI187" s="31">
        <f t="shared" ref="DI187:DT187" si="842">+SUM(DI188:DI192)</f>
        <v>7279.9199999999992</v>
      </c>
      <c r="DJ187" s="31">
        <f t="shared" si="842"/>
        <v>7279.9199999999992</v>
      </c>
      <c r="DK187" s="31">
        <f t="shared" si="842"/>
        <v>7279.9199999999992</v>
      </c>
      <c r="DL187" s="31">
        <f t="shared" si="842"/>
        <v>7279.9199999999992</v>
      </c>
      <c r="DM187" s="31">
        <f t="shared" si="842"/>
        <v>7279.9199999999992</v>
      </c>
      <c r="DN187" s="31">
        <f t="shared" si="842"/>
        <v>7279.9199999999992</v>
      </c>
      <c r="DO187" s="31">
        <f t="shared" si="842"/>
        <v>7279.9199999999992</v>
      </c>
      <c r="DP187" s="31">
        <f t="shared" si="842"/>
        <v>7279.9199999999992</v>
      </c>
      <c r="DQ187" s="31">
        <f t="shared" si="842"/>
        <v>7279.9199999999992</v>
      </c>
      <c r="DR187" s="31">
        <f t="shared" si="842"/>
        <v>7279.9199999999992</v>
      </c>
      <c r="DS187" s="31">
        <f t="shared" si="842"/>
        <v>7279.9199999999992</v>
      </c>
      <c r="DT187" s="31">
        <f t="shared" si="842"/>
        <v>7279.9199999999992</v>
      </c>
      <c r="DU187" s="107">
        <f>+SUM(DI187:DT187)</f>
        <v>87359.039999999994</v>
      </c>
      <c r="DW187" s="31">
        <f t="shared" ref="DW187:EH187" si="843">+SUM(DW188:DW192)</f>
        <v>0</v>
      </c>
      <c r="DX187" s="31">
        <f t="shared" si="843"/>
        <v>0</v>
      </c>
      <c r="DY187" s="31">
        <f t="shared" si="843"/>
        <v>0</v>
      </c>
      <c r="DZ187" s="31">
        <f t="shared" si="843"/>
        <v>0</v>
      </c>
      <c r="EA187" s="31">
        <f t="shared" si="843"/>
        <v>0</v>
      </c>
      <c r="EB187" s="31">
        <f t="shared" si="843"/>
        <v>0</v>
      </c>
      <c r="EC187" s="31">
        <f t="shared" si="843"/>
        <v>0</v>
      </c>
      <c r="ED187" s="31">
        <f t="shared" si="843"/>
        <v>0</v>
      </c>
      <c r="EE187" s="31">
        <f t="shared" si="843"/>
        <v>0</v>
      </c>
      <c r="EF187" s="31">
        <f t="shared" si="843"/>
        <v>0</v>
      </c>
      <c r="EG187" s="31">
        <f t="shared" si="843"/>
        <v>0</v>
      </c>
      <c r="EH187" s="31">
        <f t="shared" si="843"/>
        <v>0</v>
      </c>
      <c r="EI187" s="107">
        <f>+SUM(DW187:EH187)</f>
        <v>0</v>
      </c>
      <c r="EJ187" s="20" t="str">
        <f t="shared" si="601"/>
        <v>Professional Fees</v>
      </c>
      <c r="EK187" s="31">
        <f t="shared" ref="EK187:EW187" si="844">+SUM(EK188:EK192)</f>
        <v>148845</v>
      </c>
      <c r="EL187" s="31">
        <f t="shared" si="844"/>
        <v>45625</v>
      </c>
      <c r="EM187" s="31">
        <f t="shared" si="844"/>
        <v>150375</v>
      </c>
      <c r="EN187" s="31">
        <f t="shared" si="844"/>
        <v>1874.9999999999995</v>
      </c>
      <c r="EO187" s="31">
        <f t="shared" si="844"/>
        <v>1874.9999999999995</v>
      </c>
      <c r="EP187" s="31">
        <f t="shared" si="844"/>
        <v>1874.9999999999995</v>
      </c>
      <c r="EQ187" s="31">
        <f t="shared" si="844"/>
        <v>1874.9999999999995</v>
      </c>
      <c r="ER187" s="31">
        <f t="shared" si="844"/>
        <v>1874.9999999999995</v>
      </c>
      <c r="ES187" s="31">
        <f t="shared" si="844"/>
        <v>1874.9999999999995</v>
      </c>
      <c r="ET187" s="31">
        <f t="shared" si="844"/>
        <v>1874.9999999999995</v>
      </c>
      <c r="EU187" s="31">
        <f t="shared" si="844"/>
        <v>0</v>
      </c>
      <c r="EV187" s="31">
        <f t="shared" si="844"/>
        <v>0</v>
      </c>
      <c r="EW187" s="31">
        <f t="shared" si="844"/>
        <v>357970</v>
      </c>
      <c r="EX187" s="118">
        <f t="shared" si="721"/>
        <v>0</v>
      </c>
      <c r="EY187" s="31">
        <f t="shared" ref="EY187:FJ187" si="845">+SUM(EY188:EY192)</f>
        <v>1874.9999999999995</v>
      </c>
      <c r="EZ187" s="31">
        <f t="shared" si="845"/>
        <v>1874.9999999999995</v>
      </c>
      <c r="FA187" s="31">
        <f t="shared" si="845"/>
        <v>1874.9999999999995</v>
      </c>
      <c r="FB187" s="31">
        <f t="shared" si="845"/>
        <v>1874.9999999999995</v>
      </c>
      <c r="FC187" s="31">
        <f t="shared" si="845"/>
        <v>1874.9999999999995</v>
      </c>
      <c r="FD187" s="31">
        <f t="shared" si="845"/>
        <v>1874.9999999999995</v>
      </c>
      <c r="FE187" s="31">
        <f t="shared" si="845"/>
        <v>1874.9999999999995</v>
      </c>
      <c r="FF187" s="31">
        <f t="shared" si="845"/>
        <v>1874.9999999999995</v>
      </c>
      <c r="FG187" s="31">
        <f t="shared" si="845"/>
        <v>1874.9999999999995</v>
      </c>
      <c r="FH187" s="31">
        <f t="shared" si="845"/>
        <v>1874.9999999999995</v>
      </c>
      <c r="FI187" s="31">
        <f t="shared" si="845"/>
        <v>1874.9999999999995</v>
      </c>
      <c r="FJ187" s="31">
        <f t="shared" si="845"/>
        <v>1874.9999999999995</v>
      </c>
      <c r="FK187" s="107">
        <f>+SUM(EY187:FJ187)</f>
        <v>22499.999999999996</v>
      </c>
    </row>
    <row r="188" spans="1:167" ht="14.45" hidden="1" customHeight="1" outlineLevel="2">
      <c r="A188" s="106">
        <f t="shared" ref="A188:M192" si="846">+AQ188+CG188+DW188</f>
        <v>5624.9999999999909</v>
      </c>
      <c r="B188" s="106">
        <f t="shared" si="846"/>
        <v>5624.9999999999909</v>
      </c>
      <c r="C188" s="106">
        <f t="shared" si="846"/>
        <v>5624.9999999999909</v>
      </c>
      <c r="D188" s="106">
        <f t="shared" si="846"/>
        <v>5624.9999999999909</v>
      </c>
      <c r="E188" s="106">
        <f t="shared" si="846"/>
        <v>5624.9999999999909</v>
      </c>
      <c r="F188" s="106">
        <f t="shared" si="846"/>
        <v>5624.9999999999909</v>
      </c>
      <c r="G188" s="106">
        <f t="shared" si="846"/>
        <v>5624.9999999999909</v>
      </c>
      <c r="H188" s="106">
        <f t="shared" si="846"/>
        <v>5624.9991</v>
      </c>
      <c r="I188" s="106">
        <f t="shared" si="846"/>
        <v>0</v>
      </c>
      <c r="J188" s="106">
        <f t="shared" si="846"/>
        <v>5624.9999999999909</v>
      </c>
      <c r="K188" s="106">
        <f t="shared" si="846"/>
        <v>5624.9991</v>
      </c>
      <c r="L188" s="106">
        <f t="shared" si="846"/>
        <v>0</v>
      </c>
      <c r="M188" s="106">
        <f t="shared" si="846"/>
        <v>56249.998199999929</v>
      </c>
      <c r="N188" s="16" t="s">
        <v>157</v>
      </c>
      <c r="O188" s="22">
        <f t="shared" ref="O188:AA192" si="847">+BE188+CU188+EK188</f>
        <v>7499.6399999999994</v>
      </c>
      <c r="P188" s="22">
        <f t="shared" si="847"/>
        <v>7499.6399999999994</v>
      </c>
      <c r="Q188" s="22">
        <f t="shared" si="847"/>
        <v>7499.6399999999994</v>
      </c>
      <c r="R188" s="22">
        <f t="shared" si="847"/>
        <v>7499.6399999999994</v>
      </c>
      <c r="S188" s="22">
        <f t="shared" si="847"/>
        <v>7499.6399999999994</v>
      </c>
      <c r="T188" s="22">
        <f t="shared" si="847"/>
        <v>7499.6399999999994</v>
      </c>
      <c r="U188" s="22">
        <f t="shared" si="847"/>
        <v>7499.6399999999994</v>
      </c>
      <c r="V188" s="22">
        <f t="shared" si="847"/>
        <v>7499.6399999999994</v>
      </c>
      <c r="W188" s="22">
        <f t="shared" si="847"/>
        <v>7499.6399999999994</v>
      </c>
      <c r="X188" s="22">
        <f t="shared" si="847"/>
        <v>7499.6399999999994</v>
      </c>
      <c r="Y188" s="22">
        <f t="shared" si="847"/>
        <v>0</v>
      </c>
      <c r="Z188" s="22">
        <f t="shared" si="847"/>
        <v>0</v>
      </c>
      <c r="AA188" s="22">
        <f t="shared" si="847"/>
        <v>74996.39999999998</v>
      </c>
      <c r="AB188" s="118">
        <f t="shared" si="708"/>
        <v>0</v>
      </c>
      <c r="AC188" s="22">
        <f t="shared" ref="AC188:AO192" si="848">+BS188+DI188+EY188</f>
        <v>7499.6399999999994</v>
      </c>
      <c r="AD188" s="22">
        <f t="shared" si="848"/>
        <v>7499.6399999999994</v>
      </c>
      <c r="AE188" s="22">
        <f t="shared" si="848"/>
        <v>7499.6399999999994</v>
      </c>
      <c r="AF188" s="22">
        <f t="shared" si="848"/>
        <v>7499.6399999999994</v>
      </c>
      <c r="AG188" s="22">
        <f t="shared" si="848"/>
        <v>7499.6399999999994</v>
      </c>
      <c r="AH188" s="22">
        <f t="shared" si="848"/>
        <v>7499.6399999999994</v>
      </c>
      <c r="AI188" s="22">
        <f t="shared" si="848"/>
        <v>7499.6399999999994</v>
      </c>
      <c r="AJ188" s="22">
        <f t="shared" si="848"/>
        <v>7499.6399999999994</v>
      </c>
      <c r="AK188" s="22">
        <f t="shared" si="848"/>
        <v>7499.6399999999994</v>
      </c>
      <c r="AL188" s="22">
        <f t="shared" si="848"/>
        <v>7499.6399999999994</v>
      </c>
      <c r="AM188" s="22">
        <f t="shared" si="848"/>
        <v>7499.6399999999994</v>
      </c>
      <c r="AN188" s="22">
        <f t="shared" si="848"/>
        <v>7499.6399999999994</v>
      </c>
      <c r="AO188" s="22">
        <f t="shared" si="848"/>
        <v>89995.68</v>
      </c>
      <c r="AQ188" s="106">
        <v>3749.9999999999936</v>
      </c>
      <c r="AR188" s="106">
        <v>3749.9999999999936</v>
      </c>
      <c r="AS188" s="106">
        <v>3749.9999999999936</v>
      </c>
      <c r="AT188" s="106">
        <v>3749.9999999999936</v>
      </c>
      <c r="AU188" s="106">
        <v>3749.9999999999936</v>
      </c>
      <c r="AV188" s="106">
        <v>3749.9999999999936</v>
      </c>
      <c r="AW188" s="106">
        <v>3749.9999999999936</v>
      </c>
      <c r="AX188" s="106">
        <v>3749.9994000000002</v>
      </c>
      <c r="AY188" s="106">
        <v>0</v>
      </c>
      <c r="AZ188" s="106">
        <v>3749.9999999999936</v>
      </c>
      <c r="BA188" s="106">
        <v>3749.9994000000002</v>
      </c>
      <c r="BB188" s="106">
        <v>0</v>
      </c>
      <c r="BC188" s="106">
        <f t="shared" ref="BC188:BC192" si="849">+SUM(AQ188:BB188)</f>
        <v>37499.99879999995</v>
      </c>
      <c r="BD188" s="16" t="str">
        <f t="shared" si="591"/>
        <v>Audit Fees</v>
      </c>
      <c r="BE188" s="22">
        <f>+VLOOKUP($BD188,'Jan-25'!$A:$J,4,0)</f>
        <v>3749.7599999999993</v>
      </c>
      <c r="BF188" s="22">
        <f>+VLOOKUP($BD188,'Feb-25'!$A:$J,4,0)</f>
        <v>3749.7599999999993</v>
      </c>
      <c r="BG188" s="22">
        <f>+VLOOKUP($BD188,'Mar-25'!$A:$J,4,0)</f>
        <v>3749.7599999999993</v>
      </c>
      <c r="BH188" s="22">
        <f>+VLOOKUP($BD188,'Apr-25'!$A:$J,4,0)</f>
        <v>3749.7599999999993</v>
      </c>
      <c r="BI188" s="22">
        <f>+VLOOKUP($BD188,'May-25'!$A:$J,4,0)</f>
        <v>3749.7599999999993</v>
      </c>
      <c r="BJ188" s="22">
        <f>+VLOOKUP($BD188,'June-25'!$A:$J,4,0)</f>
        <v>3749.7599999999993</v>
      </c>
      <c r="BK188" s="22">
        <f>+VLOOKUP($BD188,'July-25'!$A:$J,4,0)</f>
        <v>3749.7599999999993</v>
      </c>
      <c r="BL188" s="22">
        <f>+VLOOKUP($BD188,'Aug-25'!$A:$J,4,0)</f>
        <v>3749.7599999999993</v>
      </c>
      <c r="BM188" s="22">
        <f>+VLOOKUP($BD188,'Sep-25'!$A:$J,4,0)</f>
        <v>3749.7599999999993</v>
      </c>
      <c r="BN188" s="22">
        <f>+VLOOKUP($BD188,'Oct-25'!$A:$J,4,0)</f>
        <v>3749.7599999999993</v>
      </c>
      <c r="BO188" s="22">
        <f>+VLOOKUP($BD188,'Nov-25'!$A:$J,4,0)</f>
        <v>0</v>
      </c>
      <c r="BP188" s="22">
        <f>+VLOOKUP($BD188,'Dec-25'!$A:$J,4,0)</f>
        <v>0</v>
      </c>
      <c r="BQ188" s="22">
        <f t="shared" ref="BQ188:BQ192" si="850">+SUM(BE188:BP188)</f>
        <v>37497.599999999991</v>
      </c>
      <c r="BR188" s="118">
        <f t="shared" si="713"/>
        <v>0</v>
      </c>
      <c r="BS188" s="106">
        <f>+_xlfn.XLOOKUP($BD188,Budget!$A:$A,Budget!AQ:AQ)</f>
        <v>3749.7599999999993</v>
      </c>
      <c r="BT188" s="106">
        <f>+_xlfn.XLOOKUP($BD188,Budget!$A:$A,Budget!AR:AR)</f>
        <v>3749.7599999999993</v>
      </c>
      <c r="BU188" s="106">
        <f>+_xlfn.XLOOKUP($BD188,Budget!$A:$A,Budget!AS:AS)</f>
        <v>3749.7599999999993</v>
      </c>
      <c r="BV188" s="106">
        <f>+_xlfn.XLOOKUP($BD188,Budget!$A:$A,Budget!AT:AT)</f>
        <v>3749.7599999999993</v>
      </c>
      <c r="BW188" s="106">
        <f>+_xlfn.XLOOKUP($BD188,Budget!$A:$A,Budget!AU:AU)</f>
        <v>3749.7599999999993</v>
      </c>
      <c r="BX188" s="106">
        <f>+_xlfn.XLOOKUP($BD188,Budget!$A:$A,Budget!AV:AV)</f>
        <v>3749.7599999999993</v>
      </c>
      <c r="BY188" s="106">
        <f>+_xlfn.XLOOKUP($BD188,Budget!$A:$A,Budget!AW:AW)</f>
        <v>3749.7599999999993</v>
      </c>
      <c r="BZ188" s="106">
        <f>+_xlfn.XLOOKUP($BD188,Budget!$A:$A,Budget!AX:AX)</f>
        <v>3749.7599999999993</v>
      </c>
      <c r="CA188" s="106">
        <f>+_xlfn.XLOOKUP($BD188,Budget!$A:$A,Budget!AY:AY)</f>
        <v>3749.7599999999993</v>
      </c>
      <c r="CB188" s="106">
        <f>+_xlfn.XLOOKUP($BD188,Budget!$A:$A,Budget!AZ:AZ)</f>
        <v>3749.7599999999993</v>
      </c>
      <c r="CC188" s="106">
        <f>+_xlfn.XLOOKUP($BD188,Budget!$A:$A,Budget!BA:BA)</f>
        <v>3749.7599999999993</v>
      </c>
      <c r="CD188" s="106">
        <f>+_xlfn.XLOOKUP($BD188,Budget!$A:$A,Budget!BB:BB)</f>
        <v>3749.7599999999993</v>
      </c>
      <c r="CE188" s="106">
        <f t="shared" ref="CE188:CE192" si="851">+SUM(BS188:CD188)</f>
        <v>44997.119999999995</v>
      </c>
      <c r="CF188" s="22"/>
      <c r="CG188" s="22">
        <v>1874.9999999999968</v>
      </c>
      <c r="CH188" s="22">
        <v>1874.9999999999968</v>
      </c>
      <c r="CI188" s="22">
        <v>1874.9999999999968</v>
      </c>
      <c r="CJ188" s="22">
        <v>1874.9999999999968</v>
      </c>
      <c r="CK188" s="22">
        <v>1874.9999999999968</v>
      </c>
      <c r="CL188" s="22">
        <v>1874.9999999999968</v>
      </c>
      <c r="CM188" s="22">
        <v>1874.9999999999968</v>
      </c>
      <c r="CN188" s="22">
        <v>1874.9997000000001</v>
      </c>
      <c r="CO188" s="22">
        <v>0</v>
      </c>
      <c r="CP188" s="22">
        <v>1874.9999999999968</v>
      </c>
      <c r="CQ188" s="22">
        <v>1874.9997000000001</v>
      </c>
      <c r="CR188" s="22">
        <v>0</v>
      </c>
      <c r="CS188" s="106">
        <f t="shared" ref="CS188:CS192" si="852">+SUM(CG188:CR188)</f>
        <v>18749.999399999975</v>
      </c>
      <c r="CT188" s="16" t="str">
        <f t="shared" si="595"/>
        <v>Audit Fees</v>
      </c>
      <c r="CU188" s="22">
        <f>+VLOOKUP($BD188,'Jan-25'!$A:$J,7,0)</f>
        <v>1874.8799999999997</v>
      </c>
      <c r="CV188" s="22">
        <f>+VLOOKUP($BD188,'Feb-25'!$A:$J,7,0)</f>
        <v>1874.8799999999997</v>
      </c>
      <c r="CW188" s="22">
        <f>+VLOOKUP($BD188,'Mar-25'!$A:$J,7,0)</f>
        <v>1874.8799999999997</v>
      </c>
      <c r="CX188" s="22">
        <f>+VLOOKUP($BD188,'Apr-25'!$A:$J,7,0)</f>
        <v>1874.8799999999997</v>
      </c>
      <c r="CY188" s="22">
        <f>+VLOOKUP($BD188,'May-25'!$A:$J,7,0)</f>
        <v>1874.8799999999997</v>
      </c>
      <c r="CZ188" s="22">
        <f>+VLOOKUP($BD188,'June-25'!$A:$J,7,0)</f>
        <v>1874.8799999999997</v>
      </c>
      <c r="DA188" s="22">
        <f>+VLOOKUP($BD188,'July-25'!$A:$J,7,0)</f>
        <v>1874.8799999999997</v>
      </c>
      <c r="DB188" s="22">
        <f>+VLOOKUP($BD188,'Aug-25'!$A:$J,7,0)</f>
        <v>1874.8799999999997</v>
      </c>
      <c r="DC188" s="22">
        <f>+VLOOKUP($BD188,'Sep-25'!$A:$J,7,0)</f>
        <v>1874.8799999999997</v>
      </c>
      <c r="DD188" s="22">
        <f>+VLOOKUP($BD188,'Oct-25'!$A:$J,7,0)</f>
        <v>1874.8799999999997</v>
      </c>
      <c r="DE188" s="22">
        <f>+VLOOKUP($BD188,'Nov-25'!$A:$J,7,0)</f>
        <v>0</v>
      </c>
      <c r="DF188" s="22">
        <f>+VLOOKUP($BD188,'Dec-25'!$A:$J,7,0)</f>
        <v>0</v>
      </c>
      <c r="DG188" s="22">
        <f t="shared" ref="DG188:DG192" si="853">+SUM(CU188:DF188)</f>
        <v>18748.799999999996</v>
      </c>
      <c r="DH188" s="118">
        <f t="shared" si="717"/>
        <v>0</v>
      </c>
      <c r="DI188" s="22">
        <f>+_xlfn.XLOOKUP($CT188,Budget!$A:$A,Budget!CD:CD)</f>
        <v>1874.8799999999997</v>
      </c>
      <c r="DJ188" s="22">
        <f>+_xlfn.XLOOKUP($CT188,Budget!$A:$A,Budget!CE:CE)</f>
        <v>1874.8799999999997</v>
      </c>
      <c r="DK188" s="22">
        <f>+_xlfn.XLOOKUP($CT188,Budget!$A:$A,Budget!CF:CF)</f>
        <v>1874.8799999999997</v>
      </c>
      <c r="DL188" s="22">
        <f>+_xlfn.XLOOKUP($CT188,Budget!$A:$A,Budget!CG:CG)</f>
        <v>1874.8799999999997</v>
      </c>
      <c r="DM188" s="22">
        <f>+_xlfn.XLOOKUP($CT188,Budget!$A:$A,Budget!CH:CH)</f>
        <v>1874.8799999999997</v>
      </c>
      <c r="DN188" s="22">
        <f>+_xlfn.XLOOKUP($CT188,Budget!$A:$A,Budget!CI:CI)</f>
        <v>1874.8799999999997</v>
      </c>
      <c r="DO188" s="22">
        <f>+_xlfn.XLOOKUP($CT188,Budget!$A:$A,Budget!CJ:CJ)</f>
        <v>1874.8799999999997</v>
      </c>
      <c r="DP188" s="22">
        <f>+_xlfn.XLOOKUP($CT188,Budget!$A:$A,Budget!CK:CK)</f>
        <v>1874.8799999999997</v>
      </c>
      <c r="DQ188" s="22">
        <f>+_xlfn.XLOOKUP($CT188,Budget!$A:$A,Budget!CL:CL)</f>
        <v>1874.8799999999997</v>
      </c>
      <c r="DR188" s="22">
        <f>+_xlfn.XLOOKUP($CT188,Budget!$A:$A,Budget!CM:CM)</f>
        <v>1874.8799999999997</v>
      </c>
      <c r="DS188" s="22">
        <f>+_xlfn.XLOOKUP($CT188,Budget!$A:$A,Budget!CN:CN)</f>
        <v>1874.8799999999997</v>
      </c>
      <c r="DT188" s="22">
        <f>+_xlfn.XLOOKUP($CT188,Budget!$A:$A,Budget!CO:CO)</f>
        <v>1874.8799999999997</v>
      </c>
      <c r="DU188" s="106">
        <f t="shared" ref="DU188:DU192" si="854">+SUM(DI188:DT188)</f>
        <v>22498.559999999998</v>
      </c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106">
        <f t="shared" ref="EI188:EI192" si="855">+SUM(DW188:EH188)</f>
        <v>0</v>
      </c>
      <c r="EJ188" s="16" t="str">
        <f t="shared" si="601"/>
        <v>Audit Fees</v>
      </c>
      <c r="EK188" s="22">
        <f>+VLOOKUP($BD188,'Jan-25'!$A:$J,9,0)</f>
        <v>1874.9999999999995</v>
      </c>
      <c r="EL188" s="22">
        <f>+VLOOKUP($BD188,'Feb-25'!$A:$J,9,0)</f>
        <v>1874.9999999999995</v>
      </c>
      <c r="EM188" s="22">
        <f>+VLOOKUP($BD188,'Mar-25'!$A:$J,9,0)</f>
        <v>1874.9999999999995</v>
      </c>
      <c r="EN188" s="22">
        <f>+VLOOKUP($BD188,'Apr-25'!$A:$J,9,0)</f>
        <v>1874.9999999999995</v>
      </c>
      <c r="EO188" s="22">
        <f>+VLOOKUP($BD188,'May-25'!$A:$J,9,0)</f>
        <v>1874.9999999999995</v>
      </c>
      <c r="EP188" s="22">
        <f>+VLOOKUP($BD188,'June-25'!$A:$J,9,0)</f>
        <v>1874.9999999999995</v>
      </c>
      <c r="EQ188" s="22">
        <f>+VLOOKUP($BD188,'July-25'!$A:$J,9,0)</f>
        <v>1874.9999999999995</v>
      </c>
      <c r="ER188" s="22">
        <f>+VLOOKUP($BD188,'Aug-25'!$A:$J,9,0)</f>
        <v>1874.9999999999995</v>
      </c>
      <c r="ES188" s="22">
        <f>+VLOOKUP($BD188,'Sep-25'!$A:$J,9,0)</f>
        <v>1874.9999999999995</v>
      </c>
      <c r="ET188" s="22">
        <f>+VLOOKUP($BD188,'Oct-25'!$A:$J,9,0)</f>
        <v>1874.9999999999995</v>
      </c>
      <c r="EU188" s="22">
        <f>+VLOOKUP($BD188,'Nov-25'!$A:$J,9,0)</f>
        <v>0</v>
      </c>
      <c r="EV188" s="22">
        <f>+VLOOKUP($BD188,'Dec-25'!$A:$J,9,0)</f>
        <v>0</v>
      </c>
      <c r="EW188" s="22">
        <f t="shared" ref="EW188:EW192" si="856">+SUM(EK188:EV188)</f>
        <v>18749.999999999996</v>
      </c>
      <c r="EX188" s="118">
        <f t="shared" si="721"/>
        <v>0</v>
      </c>
      <c r="EY188" s="22">
        <f>+_xlfn.XLOOKUP($EJ188,Budget!$A:$A,Budget!DE:DE)</f>
        <v>1874.9999999999995</v>
      </c>
      <c r="EZ188" s="22">
        <f>+_xlfn.XLOOKUP($EJ188,Budget!$A:$A,Budget!DF:DF)</f>
        <v>1874.9999999999995</v>
      </c>
      <c r="FA188" s="22">
        <f>+_xlfn.XLOOKUP($EJ188,Budget!$A:$A,Budget!DG:DG)</f>
        <v>1874.9999999999995</v>
      </c>
      <c r="FB188" s="22">
        <f>+_xlfn.XLOOKUP($EJ188,Budget!$A:$A,Budget!DH:DH)</f>
        <v>1874.9999999999995</v>
      </c>
      <c r="FC188" s="22">
        <f>+_xlfn.XLOOKUP($EJ188,Budget!$A:$A,Budget!DI:DI)</f>
        <v>1874.9999999999995</v>
      </c>
      <c r="FD188" s="22">
        <f>+_xlfn.XLOOKUP($EJ188,Budget!$A:$A,Budget!DJ:DJ)</f>
        <v>1874.9999999999995</v>
      </c>
      <c r="FE188" s="22">
        <f>+_xlfn.XLOOKUP($EJ188,Budget!$A:$A,Budget!DK:DK)</f>
        <v>1874.9999999999995</v>
      </c>
      <c r="FF188" s="22">
        <f>+_xlfn.XLOOKUP($EJ188,Budget!$A:$A,Budget!DL:DL)</f>
        <v>1874.9999999999995</v>
      </c>
      <c r="FG188" s="22">
        <f>+_xlfn.XLOOKUP($EJ188,Budget!$A:$A,Budget!DM:DM)</f>
        <v>1874.9999999999995</v>
      </c>
      <c r="FH188" s="22">
        <f>+_xlfn.XLOOKUP($EJ188,Budget!$A:$A,Budget!DN:DN)</f>
        <v>1874.9999999999995</v>
      </c>
      <c r="FI188" s="22">
        <f>+_xlfn.XLOOKUP($EJ188,Budget!$A:$A,Budget!DO:DO)</f>
        <v>1874.9999999999995</v>
      </c>
      <c r="FJ188" s="22">
        <f>+_xlfn.XLOOKUP($EJ188,Budget!$A:$A,Budget!DP:DP)</f>
        <v>1874.9999999999995</v>
      </c>
      <c r="FK188" s="106">
        <f t="shared" ref="FK188:FK192" si="857">+SUM(EY188:FJ188)</f>
        <v>22499.999999999996</v>
      </c>
    </row>
    <row r="189" spans="1:167" ht="14.45" hidden="1" customHeight="1" outlineLevel="2">
      <c r="A189" s="106">
        <f t="shared" si="846"/>
        <v>7155</v>
      </c>
      <c r="B189" s="106">
        <f t="shared" si="846"/>
        <v>7155</v>
      </c>
      <c r="C189" s="106">
        <f t="shared" si="846"/>
        <v>7155</v>
      </c>
      <c r="D189" s="106">
        <f t="shared" si="846"/>
        <v>7155</v>
      </c>
      <c r="E189" s="106">
        <f t="shared" si="846"/>
        <v>7155</v>
      </c>
      <c r="F189" s="106">
        <f t="shared" si="846"/>
        <v>7155</v>
      </c>
      <c r="G189" s="106">
        <f t="shared" si="846"/>
        <v>7155</v>
      </c>
      <c r="H189" s="106">
        <f t="shared" si="846"/>
        <v>4050</v>
      </c>
      <c r="I189" s="106">
        <f t="shared" si="846"/>
        <v>4050</v>
      </c>
      <c r="J189" s="106">
        <f t="shared" si="846"/>
        <v>4050</v>
      </c>
      <c r="K189" s="106">
        <f t="shared" si="846"/>
        <v>4050</v>
      </c>
      <c r="L189" s="106">
        <f t="shared" si="846"/>
        <v>4050</v>
      </c>
      <c r="M189" s="106">
        <f t="shared" si="846"/>
        <v>70335</v>
      </c>
      <c r="N189" s="16" t="s">
        <v>158</v>
      </c>
      <c r="O189" s="22">
        <f t="shared" si="847"/>
        <v>4050</v>
      </c>
      <c r="P189" s="22">
        <f t="shared" si="847"/>
        <v>0</v>
      </c>
      <c r="Q189" s="22">
        <f t="shared" si="847"/>
        <v>0</v>
      </c>
      <c r="R189" s="22">
        <f t="shared" si="847"/>
        <v>0</v>
      </c>
      <c r="S189" s="22">
        <f t="shared" si="847"/>
        <v>4050</v>
      </c>
      <c r="T189" s="22">
        <f t="shared" si="847"/>
        <v>0</v>
      </c>
      <c r="U189" s="22">
        <f t="shared" si="847"/>
        <v>4050</v>
      </c>
      <c r="V189" s="22">
        <f t="shared" si="847"/>
        <v>0</v>
      </c>
      <c r="W189" s="22">
        <f t="shared" si="847"/>
        <v>0</v>
      </c>
      <c r="X189" s="22">
        <f t="shared" si="847"/>
        <v>0</v>
      </c>
      <c r="Y189" s="22">
        <f t="shared" si="847"/>
        <v>0</v>
      </c>
      <c r="Z189" s="22">
        <f t="shared" si="847"/>
        <v>0</v>
      </c>
      <c r="AA189" s="22">
        <f t="shared" si="847"/>
        <v>12150</v>
      </c>
      <c r="AB189" s="118">
        <f t="shared" si="708"/>
        <v>-1</v>
      </c>
      <c r="AC189" s="22">
        <f t="shared" si="848"/>
        <v>7155</v>
      </c>
      <c r="AD189" s="22">
        <f t="shared" si="848"/>
        <v>7155</v>
      </c>
      <c r="AE189" s="22">
        <f t="shared" si="848"/>
        <v>7155</v>
      </c>
      <c r="AF189" s="22">
        <f t="shared" si="848"/>
        <v>7155</v>
      </c>
      <c r="AG189" s="22">
        <f t="shared" si="848"/>
        <v>7155</v>
      </c>
      <c r="AH189" s="22">
        <f t="shared" si="848"/>
        <v>7155</v>
      </c>
      <c r="AI189" s="22">
        <f t="shared" si="848"/>
        <v>7155</v>
      </c>
      <c r="AJ189" s="22">
        <f t="shared" si="848"/>
        <v>7155</v>
      </c>
      <c r="AK189" s="22">
        <f t="shared" si="848"/>
        <v>7155</v>
      </c>
      <c r="AL189" s="22">
        <f t="shared" si="848"/>
        <v>7155</v>
      </c>
      <c r="AM189" s="22">
        <f t="shared" si="848"/>
        <v>7155</v>
      </c>
      <c r="AN189" s="22">
        <f t="shared" si="848"/>
        <v>7155</v>
      </c>
      <c r="AO189" s="22">
        <f t="shared" si="848"/>
        <v>85860</v>
      </c>
      <c r="AQ189" s="106">
        <v>4770</v>
      </c>
      <c r="AR189" s="106">
        <v>4770</v>
      </c>
      <c r="AS189" s="106">
        <v>4770</v>
      </c>
      <c r="AT189" s="106">
        <v>4770</v>
      </c>
      <c r="AU189" s="106">
        <v>4770</v>
      </c>
      <c r="AV189" s="106">
        <v>4770</v>
      </c>
      <c r="AW189" s="106">
        <v>4770</v>
      </c>
      <c r="AX189" s="106">
        <v>2700</v>
      </c>
      <c r="AY189" s="106">
        <v>2700</v>
      </c>
      <c r="AZ189" s="106">
        <v>2700</v>
      </c>
      <c r="BA189" s="106">
        <v>2700</v>
      </c>
      <c r="BB189" s="106">
        <v>2700</v>
      </c>
      <c r="BC189" s="106">
        <f t="shared" si="849"/>
        <v>46890</v>
      </c>
      <c r="BD189" s="16" t="str">
        <f t="shared" si="591"/>
        <v>Consultancy Fees</v>
      </c>
      <c r="BE189" s="22">
        <f>+VLOOKUP($BD189,'Jan-25'!$A:$J,4,0)</f>
        <v>2700</v>
      </c>
      <c r="BF189" s="22">
        <f>+VLOOKUP($BD189,'Feb-25'!$A:$J,4,0)</f>
        <v>0</v>
      </c>
      <c r="BG189" s="22">
        <f>+VLOOKUP($BD189,'Mar-25'!$A:$J,4,0)</f>
        <v>0</v>
      </c>
      <c r="BH189" s="22">
        <f>+VLOOKUP($BD189,'Apr-25'!$A:$J,4,0)</f>
        <v>0</v>
      </c>
      <c r="BI189" s="22">
        <f>+VLOOKUP($BD189,'May-25'!$A:$J,4,0)</f>
        <v>2700</v>
      </c>
      <c r="BJ189" s="22">
        <f>+VLOOKUP($BD189,'June-25'!$A:$J,4,0)</f>
        <v>0</v>
      </c>
      <c r="BK189" s="22">
        <f>+VLOOKUP($BD189,'July-25'!$A:$J,4,0)</f>
        <v>2700</v>
      </c>
      <c r="BL189" s="22">
        <f>+VLOOKUP($BD189,'Aug-25'!$A:$J,4,0)</f>
        <v>0</v>
      </c>
      <c r="BM189" s="22">
        <f>+VLOOKUP($BD189,'Sep-25'!$A:$J,4,0)</f>
        <v>0</v>
      </c>
      <c r="BN189" s="22">
        <f>+VLOOKUP($BD189,'Oct-25'!$A:$J,4,0)</f>
        <v>0</v>
      </c>
      <c r="BO189" s="22">
        <f>+VLOOKUP($BD189,'Nov-25'!$A:$J,4,0)</f>
        <v>0</v>
      </c>
      <c r="BP189" s="22">
        <f>+VLOOKUP($BD189,'Dec-25'!$A:$J,4,0)</f>
        <v>0</v>
      </c>
      <c r="BQ189" s="22">
        <f t="shared" si="850"/>
        <v>8100</v>
      </c>
      <c r="BR189" s="118">
        <f t="shared" si="713"/>
        <v>-1</v>
      </c>
      <c r="BS189" s="106">
        <f>+_xlfn.XLOOKUP($BD189,Budget!$A:$A,Budget!AQ:AQ)</f>
        <v>4770</v>
      </c>
      <c r="BT189" s="106">
        <f>+_xlfn.XLOOKUP($BD189,Budget!$A:$A,Budget!AR:AR)</f>
        <v>4770</v>
      </c>
      <c r="BU189" s="106">
        <f>+_xlfn.XLOOKUP($BD189,Budget!$A:$A,Budget!AS:AS)</f>
        <v>4770</v>
      </c>
      <c r="BV189" s="106">
        <f>+_xlfn.XLOOKUP($BD189,Budget!$A:$A,Budget!AT:AT)</f>
        <v>4770</v>
      </c>
      <c r="BW189" s="106">
        <f>+_xlfn.XLOOKUP($BD189,Budget!$A:$A,Budget!AU:AU)</f>
        <v>4770</v>
      </c>
      <c r="BX189" s="106">
        <f>+_xlfn.XLOOKUP($BD189,Budget!$A:$A,Budget!AV:AV)</f>
        <v>4770</v>
      </c>
      <c r="BY189" s="106">
        <f>+_xlfn.XLOOKUP($BD189,Budget!$A:$A,Budget!AW:AW)</f>
        <v>4770</v>
      </c>
      <c r="BZ189" s="106">
        <f>+_xlfn.XLOOKUP($BD189,Budget!$A:$A,Budget!AX:AX)</f>
        <v>4770</v>
      </c>
      <c r="CA189" s="106">
        <f>+_xlfn.XLOOKUP($BD189,Budget!$A:$A,Budget!AY:AY)</f>
        <v>4770</v>
      </c>
      <c r="CB189" s="106">
        <f>+_xlfn.XLOOKUP($BD189,Budget!$A:$A,Budget!AZ:AZ)</f>
        <v>4770</v>
      </c>
      <c r="CC189" s="106">
        <f>+_xlfn.XLOOKUP($BD189,Budget!$A:$A,Budget!BA:BA)</f>
        <v>4770</v>
      </c>
      <c r="CD189" s="106">
        <f>+_xlfn.XLOOKUP($BD189,Budget!$A:$A,Budget!BB:BB)</f>
        <v>4770</v>
      </c>
      <c r="CE189" s="106">
        <f t="shared" si="851"/>
        <v>57240</v>
      </c>
      <c r="CF189" s="22"/>
      <c r="CG189" s="22">
        <v>2385</v>
      </c>
      <c r="CH189" s="22">
        <v>2385</v>
      </c>
      <c r="CI189" s="22">
        <v>2385</v>
      </c>
      <c r="CJ189" s="22">
        <v>2385</v>
      </c>
      <c r="CK189" s="22">
        <v>2385</v>
      </c>
      <c r="CL189" s="22">
        <v>2385</v>
      </c>
      <c r="CM189" s="22">
        <v>2385</v>
      </c>
      <c r="CN189" s="22">
        <v>1350</v>
      </c>
      <c r="CO189" s="22">
        <v>1350</v>
      </c>
      <c r="CP189" s="22">
        <v>1350</v>
      </c>
      <c r="CQ189" s="22">
        <v>1350</v>
      </c>
      <c r="CR189" s="22">
        <v>1350</v>
      </c>
      <c r="CS189" s="106">
        <f t="shared" si="852"/>
        <v>23445</v>
      </c>
      <c r="CT189" s="16" t="str">
        <f t="shared" si="595"/>
        <v>Consultancy Fees</v>
      </c>
      <c r="CU189" s="22">
        <f>+VLOOKUP($BD189,'Jan-25'!$A:$J,7,0)</f>
        <v>1350</v>
      </c>
      <c r="CV189" s="22">
        <f>+VLOOKUP($BD189,'Feb-25'!$A:$J,7,0)</f>
        <v>0</v>
      </c>
      <c r="CW189" s="22">
        <f>+VLOOKUP($BD189,'Mar-25'!$A:$J,7,0)</f>
        <v>0</v>
      </c>
      <c r="CX189" s="22">
        <f>+VLOOKUP($BD189,'Apr-25'!$A:$J,7,0)</f>
        <v>0</v>
      </c>
      <c r="CY189" s="22">
        <f>+VLOOKUP($BD189,'May-25'!$A:$J,7,0)</f>
        <v>1350</v>
      </c>
      <c r="CZ189" s="22">
        <f>+VLOOKUP($BD189,'June-25'!$A:$J,7,0)</f>
        <v>0</v>
      </c>
      <c r="DA189" s="22">
        <f>+VLOOKUP($BD189,'July-25'!$A:$J,7,0)</f>
        <v>1350</v>
      </c>
      <c r="DB189" s="22">
        <f>+VLOOKUP($BD189,'Aug-25'!$A:$J,7,0)</f>
        <v>0</v>
      </c>
      <c r="DC189" s="22">
        <f>+VLOOKUP($BD189,'Sep-25'!$A:$J,7,0)</f>
        <v>0</v>
      </c>
      <c r="DD189" s="22">
        <f>+VLOOKUP($BD189,'Oct-25'!$A:$J,7,0)</f>
        <v>0</v>
      </c>
      <c r="DE189" s="22">
        <f>+VLOOKUP($BD189,'Nov-25'!$A:$J,7,0)</f>
        <v>0</v>
      </c>
      <c r="DF189" s="22">
        <f>+VLOOKUP($BD189,'Dec-25'!$A:$J,7,0)</f>
        <v>0</v>
      </c>
      <c r="DG189" s="22">
        <f t="shared" si="853"/>
        <v>4050</v>
      </c>
      <c r="DH189" s="118">
        <f t="shared" si="717"/>
        <v>-1</v>
      </c>
      <c r="DI189" s="22">
        <f>+_xlfn.XLOOKUP($CT189,Budget!$A:$A,Budget!CD:CD)</f>
        <v>2385</v>
      </c>
      <c r="DJ189" s="22">
        <f>+_xlfn.XLOOKUP($CT189,Budget!$A:$A,Budget!CE:CE)</f>
        <v>2385</v>
      </c>
      <c r="DK189" s="22">
        <f>+_xlfn.XLOOKUP($CT189,Budget!$A:$A,Budget!CF:CF)</f>
        <v>2385</v>
      </c>
      <c r="DL189" s="22">
        <f>+_xlfn.XLOOKUP($CT189,Budget!$A:$A,Budget!CG:CG)</f>
        <v>2385</v>
      </c>
      <c r="DM189" s="22">
        <f>+_xlfn.XLOOKUP($CT189,Budget!$A:$A,Budget!CH:CH)</f>
        <v>2385</v>
      </c>
      <c r="DN189" s="22">
        <f>+_xlfn.XLOOKUP($CT189,Budget!$A:$A,Budget!CI:CI)</f>
        <v>2385</v>
      </c>
      <c r="DO189" s="22">
        <f>+_xlfn.XLOOKUP($CT189,Budget!$A:$A,Budget!CJ:CJ)</f>
        <v>2385</v>
      </c>
      <c r="DP189" s="22">
        <f>+_xlfn.XLOOKUP($CT189,Budget!$A:$A,Budget!CK:CK)</f>
        <v>2385</v>
      </c>
      <c r="DQ189" s="22">
        <f>+_xlfn.XLOOKUP($CT189,Budget!$A:$A,Budget!CL:CL)</f>
        <v>2385</v>
      </c>
      <c r="DR189" s="22">
        <f>+_xlfn.XLOOKUP($CT189,Budget!$A:$A,Budget!CM:CM)</f>
        <v>2385</v>
      </c>
      <c r="DS189" s="22">
        <f>+_xlfn.XLOOKUP($CT189,Budget!$A:$A,Budget!CN:CN)</f>
        <v>2385</v>
      </c>
      <c r="DT189" s="22">
        <f>+_xlfn.XLOOKUP($CT189,Budget!$A:$A,Budget!CO:CO)</f>
        <v>2385</v>
      </c>
      <c r="DU189" s="106">
        <f t="shared" si="854"/>
        <v>28620</v>
      </c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106">
        <f t="shared" si="855"/>
        <v>0</v>
      </c>
      <c r="EJ189" s="16" t="str">
        <f t="shared" si="601"/>
        <v>Consultancy Fees</v>
      </c>
      <c r="EK189" s="22">
        <f>+VLOOKUP($BD189,'Jan-25'!$A:$J,9,0)</f>
        <v>0</v>
      </c>
      <c r="EL189" s="22">
        <f>+VLOOKUP($BD189,'Feb-25'!$A:$J,9,0)</f>
        <v>0</v>
      </c>
      <c r="EM189" s="22">
        <f>+VLOOKUP($BD189,'Mar-25'!$A:$J,9,0)</f>
        <v>0</v>
      </c>
      <c r="EN189" s="22">
        <f>+VLOOKUP($BD189,'Apr-25'!$A:$J,9,0)</f>
        <v>0</v>
      </c>
      <c r="EO189" s="22">
        <f>+VLOOKUP($BD189,'May-25'!$A:$J,9,0)</f>
        <v>0</v>
      </c>
      <c r="EP189" s="22">
        <f>+VLOOKUP($BD189,'June-25'!$A:$J,9,0)</f>
        <v>0</v>
      </c>
      <c r="EQ189" s="22">
        <f>+VLOOKUP($BD189,'July-25'!$A:$J,9,0)</f>
        <v>0</v>
      </c>
      <c r="ER189" s="22">
        <f>+VLOOKUP($BD189,'Aug-25'!$A:$J,9,0)</f>
        <v>0</v>
      </c>
      <c r="ES189" s="22">
        <f>+VLOOKUP($BD189,'Sep-25'!$A:$J,9,0)</f>
        <v>0</v>
      </c>
      <c r="ET189" s="22">
        <f>+VLOOKUP($BD189,'Oct-25'!$A:$J,9,0)</f>
        <v>0</v>
      </c>
      <c r="EU189" s="22">
        <f>+VLOOKUP($BD189,'Nov-25'!$A:$J,9,0)</f>
        <v>0</v>
      </c>
      <c r="EV189" s="22">
        <f>+VLOOKUP($BD189,'Dec-25'!$A:$J,9,0)</f>
        <v>0</v>
      </c>
      <c r="EW189" s="22">
        <f t="shared" si="856"/>
        <v>0</v>
      </c>
      <c r="EX189" s="118">
        <f t="shared" si="721"/>
        <v>0</v>
      </c>
      <c r="EY189" s="22">
        <f>+_xlfn.XLOOKUP($EJ189,Budget!$A:$A,Budget!DE:DE)</f>
        <v>0</v>
      </c>
      <c r="EZ189" s="22">
        <f>+_xlfn.XLOOKUP($EJ189,Budget!$A:$A,Budget!DF:DF)</f>
        <v>0</v>
      </c>
      <c r="FA189" s="22">
        <f>+_xlfn.XLOOKUP($EJ189,Budget!$A:$A,Budget!DG:DG)</f>
        <v>0</v>
      </c>
      <c r="FB189" s="22">
        <f>+_xlfn.XLOOKUP($EJ189,Budget!$A:$A,Budget!DH:DH)</f>
        <v>0</v>
      </c>
      <c r="FC189" s="22">
        <f>+_xlfn.XLOOKUP($EJ189,Budget!$A:$A,Budget!DI:DI)</f>
        <v>0</v>
      </c>
      <c r="FD189" s="22">
        <f>+_xlfn.XLOOKUP($EJ189,Budget!$A:$A,Budget!DJ:DJ)</f>
        <v>0</v>
      </c>
      <c r="FE189" s="22">
        <f>+_xlfn.XLOOKUP($EJ189,Budget!$A:$A,Budget!DK:DK)</f>
        <v>0</v>
      </c>
      <c r="FF189" s="22">
        <f>+_xlfn.XLOOKUP($EJ189,Budget!$A:$A,Budget!DL:DL)</f>
        <v>0</v>
      </c>
      <c r="FG189" s="22">
        <f>+_xlfn.XLOOKUP($EJ189,Budget!$A:$A,Budget!DM:DM)</f>
        <v>0</v>
      </c>
      <c r="FH189" s="22">
        <f>+_xlfn.XLOOKUP($EJ189,Budget!$A:$A,Budget!DN:DN)</f>
        <v>0</v>
      </c>
      <c r="FI189" s="22">
        <f>+_xlfn.XLOOKUP($EJ189,Budget!$A:$A,Budget!DO:DO)</f>
        <v>0</v>
      </c>
      <c r="FJ189" s="22">
        <f>+_xlfn.XLOOKUP($EJ189,Budget!$A:$A,Budget!DP:DP)</f>
        <v>0</v>
      </c>
      <c r="FK189" s="106">
        <f t="shared" si="857"/>
        <v>0</v>
      </c>
    </row>
    <row r="190" spans="1:167" ht="14.45" hidden="1" customHeight="1" outlineLevel="2">
      <c r="A190" s="106">
        <f t="shared" si="846"/>
        <v>0</v>
      </c>
      <c r="B190" s="106">
        <f t="shared" si="846"/>
        <v>0</v>
      </c>
      <c r="C190" s="106">
        <f t="shared" si="846"/>
        <v>0</v>
      </c>
      <c r="D190" s="106">
        <f t="shared" si="846"/>
        <v>0</v>
      </c>
      <c r="E190" s="106">
        <f t="shared" si="846"/>
        <v>0</v>
      </c>
      <c r="F190" s="106">
        <f t="shared" si="846"/>
        <v>0</v>
      </c>
      <c r="G190" s="106">
        <f t="shared" si="846"/>
        <v>7500</v>
      </c>
      <c r="H190" s="106">
        <f t="shared" si="846"/>
        <v>0</v>
      </c>
      <c r="I190" s="106">
        <f t="shared" si="846"/>
        <v>0</v>
      </c>
      <c r="J190" s="106">
        <f t="shared" si="846"/>
        <v>0</v>
      </c>
      <c r="K190" s="106">
        <f t="shared" si="846"/>
        <v>10000</v>
      </c>
      <c r="L190" s="106">
        <f t="shared" si="846"/>
        <v>0</v>
      </c>
      <c r="M190" s="106">
        <f t="shared" si="846"/>
        <v>17500</v>
      </c>
      <c r="N190" s="16" t="s">
        <v>159</v>
      </c>
      <c r="O190" s="22">
        <f t="shared" si="847"/>
        <v>0</v>
      </c>
      <c r="P190" s="22">
        <f t="shared" si="847"/>
        <v>0</v>
      </c>
      <c r="Q190" s="22">
        <f t="shared" si="847"/>
        <v>0</v>
      </c>
      <c r="R190" s="22">
        <f t="shared" si="847"/>
        <v>0</v>
      </c>
      <c r="S190" s="22">
        <f t="shared" si="847"/>
        <v>0</v>
      </c>
      <c r="T190" s="22">
        <f t="shared" si="847"/>
        <v>0</v>
      </c>
      <c r="U190" s="22">
        <f t="shared" si="847"/>
        <v>0</v>
      </c>
      <c r="V190" s="22">
        <f t="shared" si="847"/>
        <v>0</v>
      </c>
      <c r="W190" s="22">
        <f t="shared" si="847"/>
        <v>0</v>
      </c>
      <c r="X190" s="22">
        <f t="shared" si="847"/>
        <v>0</v>
      </c>
      <c r="Y190" s="22">
        <f t="shared" si="847"/>
        <v>0</v>
      </c>
      <c r="Z190" s="22">
        <f t="shared" si="847"/>
        <v>0</v>
      </c>
      <c r="AA190" s="22">
        <f t="shared" si="847"/>
        <v>0</v>
      </c>
      <c r="AB190" s="118">
        <f t="shared" si="708"/>
        <v>-1</v>
      </c>
      <c r="AC190" s="22">
        <f t="shared" si="848"/>
        <v>4500.0899999999992</v>
      </c>
      <c r="AD190" s="22">
        <f t="shared" si="848"/>
        <v>4500.0899999999992</v>
      </c>
      <c r="AE190" s="22">
        <f t="shared" si="848"/>
        <v>4500.0899999999992</v>
      </c>
      <c r="AF190" s="22">
        <f t="shared" si="848"/>
        <v>4500.0899999999992</v>
      </c>
      <c r="AG190" s="22">
        <f t="shared" si="848"/>
        <v>4500.0899999999992</v>
      </c>
      <c r="AH190" s="22">
        <f t="shared" si="848"/>
        <v>4500.0899999999992</v>
      </c>
      <c r="AI190" s="22">
        <f t="shared" si="848"/>
        <v>4500.0899999999992</v>
      </c>
      <c r="AJ190" s="22">
        <f t="shared" si="848"/>
        <v>4500.0899999999992</v>
      </c>
      <c r="AK190" s="22">
        <f t="shared" si="848"/>
        <v>4500.0899999999992</v>
      </c>
      <c r="AL190" s="22">
        <f t="shared" si="848"/>
        <v>4500.0899999999992</v>
      </c>
      <c r="AM190" s="22">
        <f t="shared" si="848"/>
        <v>4500.0899999999992</v>
      </c>
      <c r="AN190" s="22">
        <f t="shared" si="848"/>
        <v>4500.0899999999992</v>
      </c>
      <c r="AO190" s="22">
        <f t="shared" si="848"/>
        <v>54001.07999999998</v>
      </c>
      <c r="AQ190" s="106">
        <v>0</v>
      </c>
      <c r="AR190" s="106">
        <v>0</v>
      </c>
      <c r="AS190" s="106">
        <v>0</v>
      </c>
      <c r="AT190" s="106">
        <v>0</v>
      </c>
      <c r="AU190" s="106">
        <v>0</v>
      </c>
      <c r="AV190" s="106">
        <v>0</v>
      </c>
      <c r="AW190" s="106">
        <v>7500</v>
      </c>
      <c r="AX190" s="106">
        <v>0</v>
      </c>
      <c r="AY190" s="106">
        <v>0</v>
      </c>
      <c r="AZ190" s="106">
        <v>0</v>
      </c>
      <c r="BA190" s="106">
        <v>10000</v>
      </c>
      <c r="BB190" s="106">
        <v>0</v>
      </c>
      <c r="BC190" s="106">
        <f t="shared" si="849"/>
        <v>17500</v>
      </c>
      <c r="BD190" s="16" t="str">
        <f t="shared" si="591"/>
        <v>Legal Fees</v>
      </c>
      <c r="BE190" s="22">
        <f>+VLOOKUP($BD190,'Jan-25'!$A:$J,4,0)</f>
        <v>0</v>
      </c>
      <c r="BF190" s="22">
        <f>+VLOOKUP($BD190,'Feb-25'!$A:$J,4,0)</f>
        <v>0</v>
      </c>
      <c r="BG190" s="22">
        <f>+VLOOKUP($BD190,'Mar-25'!$A:$J,4,0)</f>
        <v>0</v>
      </c>
      <c r="BH190" s="22">
        <f>+VLOOKUP($BD190,'Apr-25'!$A:$J,4,0)</f>
        <v>0</v>
      </c>
      <c r="BI190" s="22">
        <f>+VLOOKUP($BD190,'May-25'!$A:$J,4,0)</f>
        <v>0</v>
      </c>
      <c r="BJ190" s="22">
        <f>+VLOOKUP($BD190,'June-25'!$A:$J,4,0)</f>
        <v>0</v>
      </c>
      <c r="BK190" s="22">
        <f>+VLOOKUP($BD190,'July-25'!$A:$J,4,0)</f>
        <v>0</v>
      </c>
      <c r="BL190" s="22">
        <f>+VLOOKUP($BD190,'Aug-25'!$A:$J,4,0)</f>
        <v>0</v>
      </c>
      <c r="BM190" s="22">
        <f>+VLOOKUP($BD190,'Sep-25'!$A:$J,4,0)</f>
        <v>0</v>
      </c>
      <c r="BN190" s="22">
        <f>+VLOOKUP($BD190,'Oct-25'!$A:$J,4,0)</f>
        <v>0</v>
      </c>
      <c r="BO190" s="22">
        <f>+VLOOKUP($BD190,'Nov-25'!$A:$J,4,0)</f>
        <v>0</v>
      </c>
      <c r="BP190" s="22">
        <f>+VLOOKUP($BD190,'Dec-25'!$A:$J,4,0)</f>
        <v>0</v>
      </c>
      <c r="BQ190" s="22">
        <f t="shared" si="850"/>
        <v>0</v>
      </c>
      <c r="BR190" s="118">
        <f t="shared" si="713"/>
        <v>-1</v>
      </c>
      <c r="BS190" s="106">
        <f>+_xlfn.XLOOKUP($BD190,Budget!$A:$A,Budget!AQ:AQ)</f>
        <v>3000.0599999999995</v>
      </c>
      <c r="BT190" s="106">
        <f>+_xlfn.XLOOKUP($BD190,Budget!$A:$A,Budget!AR:AR)</f>
        <v>3000.0599999999995</v>
      </c>
      <c r="BU190" s="106">
        <f>+_xlfn.XLOOKUP($BD190,Budget!$A:$A,Budget!AS:AS)</f>
        <v>3000.0599999999995</v>
      </c>
      <c r="BV190" s="106">
        <f>+_xlfn.XLOOKUP($BD190,Budget!$A:$A,Budget!AT:AT)</f>
        <v>3000.0599999999995</v>
      </c>
      <c r="BW190" s="106">
        <f>+_xlfn.XLOOKUP($BD190,Budget!$A:$A,Budget!AU:AU)</f>
        <v>3000.0599999999995</v>
      </c>
      <c r="BX190" s="106">
        <f>+_xlfn.XLOOKUP($BD190,Budget!$A:$A,Budget!AV:AV)</f>
        <v>3000.0599999999995</v>
      </c>
      <c r="BY190" s="106">
        <f>+_xlfn.XLOOKUP($BD190,Budget!$A:$A,Budget!AW:AW)</f>
        <v>3000.0599999999995</v>
      </c>
      <c r="BZ190" s="106">
        <f>+_xlfn.XLOOKUP($BD190,Budget!$A:$A,Budget!AX:AX)</f>
        <v>3000.0599999999995</v>
      </c>
      <c r="CA190" s="106">
        <f>+_xlfn.XLOOKUP($BD190,Budget!$A:$A,Budget!AY:AY)</f>
        <v>3000.0599999999995</v>
      </c>
      <c r="CB190" s="106">
        <f>+_xlfn.XLOOKUP($BD190,Budget!$A:$A,Budget!AZ:AZ)</f>
        <v>3000.0599999999995</v>
      </c>
      <c r="CC190" s="106">
        <f>+_xlfn.XLOOKUP($BD190,Budget!$A:$A,Budget!BA:BA)</f>
        <v>3000.0599999999995</v>
      </c>
      <c r="CD190" s="106">
        <f>+_xlfn.XLOOKUP($BD190,Budget!$A:$A,Budget!BB:BB)</f>
        <v>3000.0599999999995</v>
      </c>
      <c r="CE190" s="106">
        <f t="shared" si="851"/>
        <v>36000.719999999987</v>
      </c>
      <c r="CF190" s="22"/>
      <c r="CG190" s="22">
        <v>0</v>
      </c>
      <c r="CH190" s="22">
        <v>0</v>
      </c>
      <c r="CI190" s="22">
        <v>0</v>
      </c>
      <c r="CJ190" s="22">
        <v>0</v>
      </c>
      <c r="CK190" s="22">
        <v>0</v>
      </c>
      <c r="CL190" s="22">
        <v>0</v>
      </c>
      <c r="CM190" s="22">
        <v>0</v>
      </c>
      <c r="CN190" s="22">
        <v>0</v>
      </c>
      <c r="CO190" s="22">
        <v>0</v>
      </c>
      <c r="CP190" s="22">
        <v>0</v>
      </c>
      <c r="CQ190" s="22">
        <v>0</v>
      </c>
      <c r="CR190" s="22">
        <v>0</v>
      </c>
      <c r="CS190" s="106">
        <f t="shared" si="852"/>
        <v>0</v>
      </c>
      <c r="CT190" s="16" t="str">
        <f t="shared" si="595"/>
        <v>Legal Fees</v>
      </c>
      <c r="CU190" s="22">
        <f>+VLOOKUP($BD190,'Jan-25'!$A:$J,7,0)</f>
        <v>0</v>
      </c>
      <c r="CV190" s="22">
        <f>+VLOOKUP($BD190,'Feb-25'!$A:$J,7,0)</f>
        <v>0</v>
      </c>
      <c r="CW190" s="22">
        <f>+VLOOKUP($BD190,'Mar-25'!$A:$J,7,0)</f>
        <v>0</v>
      </c>
      <c r="CX190" s="22">
        <f>+VLOOKUP($BD190,'Apr-25'!$A:$J,7,0)</f>
        <v>0</v>
      </c>
      <c r="CY190" s="22">
        <f>+VLOOKUP($BD190,'May-25'!$A:$J,7,0)</f>
        <v>0</v>
      </c>
      <c r="CZ190" s="22">
        <f>+VLOOKUP($BD190,'June-25'!$A:$J,7,0)</f>
        <v>0</v>
      </c>
      <c r="DA190" s="22">
        <f>+VLOOKUP($BD190,'July-25'!$A:$J,7,0)</f>
        <v>0</v>
      </c>
      <c r="DB190" s="22">
        <f>+VLOOKUP($BD190,'Aug-25'!$A:$J,7,0)</f>
        <v>0</v>
      </c>
      <c r="DC190" s="22">
        <f>+VLOOKUP($BD190,'Sep-25'!$A:$J,7,0)</f>
        <v>0</v>
      </c>
      <c r="DD190" s="22">
        <f>+VLOOKUP($BD190,'Oct-25'!$A:$J,7,0)</f>
        <v>0</v>
      </c>
      <c r="DE190" s="22">
        <f>+VLOOKUP($BD190,'Nov-25'!$A:$J,7,0)</f>
        <v>0</v>
      </c>
      <c r="DF190" s="22">
        <f>+VLOOKUP($BD190,'Dec-25'!$A:$J,7,0)</f>
        <v>0</v>
      </c>
      <c r="DG190" s="22">
        <f t="shared" si="853"/>
        <v>0</v>
      </c>
      <c r="DH190" s="118">
        <f t="shared" si="717"/>
        <v>-1</v>
      </c>
      <c r="DI190" s="22">
        <f>+_xlfn.XLOOKUP($CT190,Budget!$A:$A,Budget!CD:CD)</f>
        <v>1500.0299999999997</v>
      </c>
      <c r="DJ190" s="22">
        <f>+_xlfn.XLOOKUP($CT190,Budget!$A:$A,Budget!CE:CE)</f>
        <v>1500.0299999999997</v>
      </c>
      <c r="DK190" s="22">
        <f>+_xlfn.XLOOKUP($CT190,Budget!$A:$A,Budget!CF:CF)</f>
        <v>1500.0299999999997</v>
      </c>
      <c r="DL190" s="22">
        <f>+_xlfn.XLOOKUP($CT190,Budget!$A:$A,Budget!CG:CG)</f>
        <v>1500.0299999999997</v>
      </c>
      <c r="DM190" s="22">
        <f>+_xlfn.XLOOKUP($CT190,Budget!$A:$A,Budget!CH:CH)</f>
        <v>1500.0299999999997</v>
      </c>
      <c r="DN190" s="22">
        <f>+_xlfn.XLOOKUP($CT190,Budget!$A:$A,Budget!CI:CI)</f>
        <v>1500.0299999999997</v>
      </c>
      <c r="DO190" s="22">
        <f>+_xlfn.XLOOKUP($CT190,Budget!$A:$A,Budget!CJ:CJ)</f>
        <v>1500.0299999999997</v>
      </c>
      <c r="DP190" s="22">
        <f>+_xlfn.XLOOKUP($CT190,Budget!$A:$A,Budget!CK:CK)</f>
        <v>1500.0299999999997</v>
      </c>
      <c r="DQ190" s="22">
        <f>+_xlfn.XLOOKUP($CT190,Budget!$A:$A,Budget!CL:CL)</f>
        <v>1500.0299999999997</v>
      </c>
      <c r="DR190" s="22">
        <f>+_xlfn.XLOOKUP($CT190,Budget!$A:$A,Budget!CM:CM)</f>
        <v>1500.0299999999997</v>
      </c>
      <c r="DS190" s="22">
        <f>+_xlfn.XLOOKUP($CT190,Budget!$A:$A,Budget!CN:CN)</f>
        <v>1500.0299999999997</v>
      </c>
      <c r="DT190" s="22">
        <f>+_xlfn.XLOOKUP($CT190,Budget!$A:$A,Budget!CO:CO)</f>
        <v>1500.0299999999997</v>
      </c>
      <c r="DU190" s="106">
        <f t="shared" si="854"/>
        <v>18000.359999999993</v>
      </c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106">
        <f t="shared" si="855"/>
        <v>0</v>
      </c>
      <c r="EJ190" s="16" t="str">
        <f t="shared" si="601"/>
        <v>Legal Fees</v>
      </c>
      <c r="EK190" s="22">
        <f>+VLOOKUP($BD190,'Jan-25'!$A:$J,9,0)</f>
        <v>0</v>
      </c>
      <c r="EL190" s="22">
        <f>+VLOOKUP($BD190,'Feb-25'!$A:$J,9,0)</f>
        <v>0</v>
      </c>
      <c r="EM190" s="22">
        <f>+VLOOKUP($BD190,'Mar-25'!$A:$J,9,0)</f>
        <v>0</v>
      </c>
      <c r="EN190" s="22">
        <f>+VLOOKUP($BD190,'Apr-25'!$A:$J,9,0)</f>
        <v>0</v>
      </c>
      <c r="EO190" s="22">
        <f>+VLOOKUP($BD190,'May-25'!$A:$J,9,0)</f>
        <v>0</v>
      </c>
      <c r="EP190" s="22">
        <f>+VLOOKUP($BD190,'June-25'!$A:$J,9,0)</f>
        <v>0</v>
      </c>
      <c r="EQ190" s="22">
        <f>+VLOOKUP($BD190,'July-25'!$A:$J,9,0)</f>
        <v>0</v>
      </c>
      <c r="ER190" s="22">
        <f>+VLOOKUP($BD190,'Aug-25'!$A:$J,9,0)</f>
        <v>0</v>
      </c>
      <c r="ES190" s="22">
        <f>+VLOOKUP($BD190,'Sep-25'!$A:$J,9,0)</f>
        <v>0</v>
      </c>
      <c r="ET190" s="22">
        <f>+VLOOKUP($BD190,'Oct-25'!$A:$J,9,0)</f>
        <v>0</v>
      </c>
      <c r="EU190" s="22">
        <f>+VLOOKUP($BD190,'Nov-25'!$A:$J,9,0)</f>
        <v>0</v>
      </c>
      <c r="EV190" s="22">
        <f>+VLOOKUP($BD190,'Dec-25'!$A:$J,9,0)</f>
        <v>0</v>
      </c>
      <c r="EW190" s="22">
        <f t="shared" si="856"/>
        <v>0</v>
      </c>
      <c r="EX190" s="118">
        <f t="shared" si="721"/>
        <v>0</v>
      </c>
      <c r="EY190" s="22">
        <f>+_xlfn.XLOOKUP($EJ190,Budget!$A:$A,Budget!DE:DE)</f>
        <v>0</v>
      </c>
      <c r="EZ190" s="22">
        <f>+_xlfn.XLOOKUP($EJ190,Budget!$A:$A,Budget!DF:DF)</f>
        <v>0</v>
      </c>
      <c r="FA190" s="22">
        <f>+_xlfn.XLOOKUP($EJ190,Budget!$A:$A,Budget!DG:DG)</f>
        <v>0</v>
      </c>
      <c r="FB190" s="22">
        <f>+_xlfn.XLOOKUP($EJ190,Budget!$A:$A,Budget!DH:DH)</f>
        <v>0</v>
      </c>
      <c r="FC190" s="22">
        <f>+_xlfn.XLOOKUP($EJ190,Budget!$A:$A,Budget!DI:DI)</f>
        <v>0</v>
      </c>
      <c r="FD190" s="22">
        <f>+_xlfn.XLOOKUP($EJ190,Budget!$A:$A,Budget!DJ:DJ)</f>
        <v>0</v>
      </c>
      <c r="FE190" s="22">
        <f>+_xlfn.XLOOKUP($EJ190,Budget!$A:$A,Budget!DK:DK)</f>
        <v>0</v>
      </c>
      <c r="FF190" s="22">
        <f>+_xlfn.XLOOKUP($EJ190,Budget!$A:$A,Budget!DL:DL)</f>
        <v>0</v>
      </c>
      <c r="FG190" s="22">
        <f>+_xlfn.XLOOKUP($EJ190,Budget!$A:$A,Budget!DM:DM)</f>
        <v>0</v>
      </c>
      <c r="FH190" s="22">
        <f>+_xlfn.XLOOKUP($EJ190,Budget!$A:$A,Budget!DN:DN)</f>
        <v>0</v>
      </c>
      <c r="FI190" s="22">
        <f>+_xlfn.XLOOKUP($EJ190,Budget!$A:$A,Budget!DO:DO)</f>
        <v>0</v>
      </c>
      <c r="FJ190" s="22">
        <f>+_xlfn.XLOOKUP($EJ190,Budget!$A:$A,Budget!DP:DP)</f>
        <v>0</v>
      </c>
      <c r="FK190" s="106">
        <f t="shared" si="857"/>
        <v>0</v>
      </c>
    </row>
    <row r="191" spans="1:167" ht="14.45" hidden="1" customHeight="1" outlineLevel="2">
      <c r="A191" s="106">
        <f t="shared" si="846"/>
        <v>2249.9999999999991</v>
      </c>
      <c r="B191" s="106">
        <f t="shared" si="846"/>
        <v>2249.9991</v>
      </c>
      <c r="C191" s="106">
        <f t="shared" si="846"/>
        <v>2249.9991</v>
      </c>
      <c r="D191" s="106">
        <f t="shared" si="846"/>
        <v>2249.9991</v>
      </c>
      <c r="E191" s="106">
        <f t="shared" si="846"/>
        <v>2249.9991</v>
      </c>
      <c r="F191" s="106">
        <f t="shared" si="846"/>
        <v>2249.9991</v>
      </c>
      <c r="G191" s="106">
        <f t="shared" si="846"/>
        <v>2249.9991</v>
      </c>
      <c r="H191" s="106">
        <f t="shared" si="846"/>
        <v>2249.91</v>
      </c>
      <c r="I191" s="106">
        <f t="shared" si="846"/>
        <v>2249.91</v>
      </c>
      <c r="J191" s="106">
        <f t="shared" si="846"/>
        <v>2249.91</v>
      </c>
      <c r="K191" s="106">
        <f t="shared" si="846"/>
        <v>2249.91</v>
      </c>
      <c r="L191" s="106">
        <f t="shared" si="846"/>
        <v>2249.91</v>
      </c>
      <c r="M191" s="106">
        <f t="shared" si="846"/>
        <v>26999.544600000001</v>
      </c>
      <c r="N191" s="16" t="s">
        <v>160</v>
      </c>
      <c r="O191" s="22">
        <f t="shared" si="847"/>
        <v>149219.91</v>
      </c>
      <c r="P191" s="22">
        <f t="shared" si="847"/>
        <v>45999.91</v>
      </c>
      <c r="Q191" s="22">
        <f t="shared" si="847"/>
        <v>148500</v>
      </c>
      <c r="R191" s="22">
        <f t="shared" si="847"/>
        <v>0</v>
      </c>
      <c r="S191" s="22">
        <f t="shared" si="847"/>
        <v>2249.91</v>
      </c>
      <c r="T191" s="22">
        <f t="shared" si="847"/>
        <v>2249.91</v>
      </c>
      <c r="U191" s="22">
        <f t="shared" si="847"/>
        <v>2249.91</v>
      </c>
      <c r="V191" s="22">
        <f t="shared" si="847"/>
        <v>12000</v>
      </c>
      <c r="W191" s="22">
        <f t="shared" si="847"/>
        <v>0</v>
      </c>
      <c r="X191" s="22">
        <f t="shared" si="847"/>
        <v>2249.91</v>
      </c>
      <c r="Y191" s="22">
        <f t="shared" si="847"/>
        <v>0</v>
      </c>
      <c r="Z191" s="22">
        <f t="shared" si="847"/>
        <v>0</v>
      </c>
      <c r="AA191" s="22">
        <f t="shared" si="847"/>
        <v>364719.46</v>
      </c>
      <c r="AB191" s="118">
        <f t="shared" si="708"/>
        <v>-0.50660193025045885</v>
      </c>
      <c r="AC191" s="22">
        <f t="shared" si="848"/>
        <v>4560.03</v>
      </c>
      <c r="AD191" s="22">
        <f t="shared" si="848"/>
        <v>4560.03</v>
      </c>
      <c r="AE191" s="22">
        <f t="shared" si="848"/>
        <v>4560.03</v>
      </c>
      <c r="AF191" s="22">
        <f t="shared" si="848"/>
        <v>4560.03</v>
      </c>
      <c r="AG191" s="22">
        <f t="shared" si="848"/>
        <v>4560.03</v>
      </c>
      <c r="AH191" s="22">
        <f t="shared" si="848"/>
        <v>4560.03</v>
      </c>
      <c r="AI191" s="22">
        <f t="shared" si="848"/>
        <v>4560.03</v>
      </c>
      <c r="AJ191" s="22">
        <f t="shared" si="848"/>
        <v>4560.03</v>
      </c>
      <c r="AK191" s="22">
        <f t="shared" si="848"/>
        <v>4560.03</v>
      </c>
      <c r="AL191" s="22">
        <f t="shared" si="848"/>
        <v>4560.03</v>
      </c>
      <c r="AM191" s="22">
        <f t="shared" si="848"/>
        <v>4560.03</v>
      </c>
      <c r="AN191" s="22">
        <f t="shared" si="848"/>
        <v>4560.03</v>
      </c>
      <c r="AO191" s="22">
        <f t="shared" si="848"/>
        <v>54720.36</v>
      </c>
      <c r="AQ191" s="106">
        <v>1499.9999999999993</v>
      </c>
      <c r="AR191" s="106">
        <v>1499.9993999999999</v>
      </c>
      <c r="AS191" s="106">
        <v>1499.9993999999999</v>
      </c>
      <c r="AT191" s="106">
        <v>1499.9993999999999</v>
      </c>
      <c r="AU191" s="106">
        <v>1499.9993999999999</v>
      </c>
      <c r="AV191" s="106">
        <v>1499.9993999999999</v>
      </c>
      <c r="AW191" s="106">
        <v>1499.9993999999999</v>
      </c>
      <c r="AX191" s="106">
        <v>1499.94</v>
      </c>
      <c r="AY191" s="106">
        <v>1499.9399999999998</v>
      </c>
      <c r="AZ191" s="106">
        <v>1499.94</v>
      </c>
      <c r="BA191" s="106">
        <v>1499.94</v>
      </c>
      <c r="BB191" s="106">
        <v>1499.94</v>
      </c>
      <c r="BC191" s="106">
        <f t="shared" si="849"/>
        <v>17999.696400000001</v>
      </c>
      <c r="BD191" s="16" t="str">
        <f t="shared" si="591"/>
        <v>Other Professional Fees</v>
      </c>
      <c r="BE191" s="22">
        <f>+VLOOKUP($BD191,'Jan-25'!$A:$J,4,0)</f>
        <v>1499.94</v>
      </c>
      <c r="BF191" s="22">
        <f>+VLOOKUP($BD191,'Feb-25'!$A:$J,4,0)</f>
        <v>1499.94</v>
      </c>
      <c r="BG191" s="22">
        <f>+VLOOKUP($BD191,'Mar-25'!$A:$J,4,0)</f>
        <v>0</v>
      </c>
      <c r="BH191" s="22">
        <f>+VLOOKUP($BD191,'Apr-25'!$A:$J,4,0)</f>
        <v>0</v>
      </c>
      <c r="BI191" s="22">
        <f>+VLOOKUP($BD191,'May-25'!$A:$J,4,0)</f>
        <v>1499.94</v>
      </c>
      <c r="BJ191" s="22">
        <f>+VLOOKUP($BD191,'June-25'!$A:$J,4,0)</f>
        <v>1499.94</v>
      </c>
      <c r="BK191" s="22">
        <f>+VLOOKUP($BD191,'July-25'!$A:$J,4,0)</f>
        <v>1499.94</v>
      </c>
      <c r="BL191" s="22">
        <f>+VLOOKUP($BD191,'Aug-25'!$A:$J,4,0)</f>
        <v>12000</v>
      </c>
      <c r="BM191" s="22">
        <f>+VLOOKUP($BD191,'Sep-25'!$A:$J,4,0)</f>
        <v>0</v>
      </c>
      <c r="BN191" s="22">
        <f>+VLOOKUP($BD191,'Oct-25'!$A:$J,4,0)</f>
        <v>1499.94</v>
      </c>
      <c r="BO191" s="22">
        <f>+VLOOKUP($BD191,'Nov-25'!$A:$J,4,0)</f>
        <v>0</v>
      </c>
      <c r="BP191" s="22">
        <f>+VLOOKUP($BD191,'Dec-25'!$A:$J,4,0)</f>
        <v>0</v>
      </c>
      <c r="BQ191" s="22">
        <f t="shared" si="850"/>
        <v>20999.64</v>
      </c>
      <c r="BR191" s="118">
        <f t="shared" si="713"/>
        <v>-0.50660193025045885</v>
      </c>
      <c r="BS191" s="106">
        <f>+_xlfn.XLOOKUP($BD191,Budget!$A:$A,Budget!AQ:AQ)</f>
        <v>3040.02</v>
      </c>
      <c r="BT191" s="106">
        <f>+_xlfn.XLOOKUP($BD191,Budget!$A:$A,Budget!AR:AR)</f>
        <v>3040.02</v>
      </c>
      <c r="BU191" s="106">
        <f>+_xlfn.XLOOKUP($BD191,Budget!$A:$A,Budget!AS:AS)</f>
        <v>3040.02</v>
      </c>
      <c r="BV191" s="106">
        <f>+_xlfn.XLOOKUP($BD191,Budget!$A:$A,Budget!AT:AT)</f>
        <v>3040.02</v>
      </c>
      <c r="BW191" s="106">
        <f>+_xlfn.XLOOKUP($BD191,Budget!$A:$A,Budget!AU:AU)</f>
        <v>3040.02</v>
      </c>
      <c r="BX191" s="106">
        <f>+_xlfn.XLOOKUP($BD191,Budget!$A:$A,Budget!AV:AV)</f>
        <v>3040.02</v>
      </c>
      <c r="BY191" s="106">
        <f>+_xlfn.XLOOKUP($BD191,Budget!$A:$A,Budget!AW:AW)</f>
        <v>3040.02</v>
      </c>
      <c r="BZ191" s="106">
        <f>+_xlfn.XLOOKUP($BD191,Budget!$A:$A,Budget!AX:AX)</f>
        <v>3040.02</v>
      </c>
      <c r="CA191" s="106">
        <f>+_xlfn.XLOOKUP($BD191,Budget!$A:$A,Budget!AY:AY)</f>
        <v>3040.02</v>
      </c>
      <c r="CB191" s="106">
        <f>+_xlfn.XLOOKUP($BD191,Budget!$A:$A,Budget!AZ:AZ)</f>
        <v>3040.02</v>
      </c>
      <c r="CC191" s="106">
        <f>+_xlfn.XLOOKUP($BD191,Budget!$A:$A,Budget!BA:BA)</f>
        <v>3040.02</v>
      </c>
      <c r="CD191" s="106">
        <f>+_xlfn.XLOOKUP($BD191,Budget!$A:$A,Budget!BB:BB)</f>
        <v>3040.02</v>
      </c>
      <c r="CE191" s="106">
        <f t="shared" si="851"/>
        <v>36480.239999999998</v>
      </c>
      <c r="CF191" s="22"/>
      <c r="CG191" s="22">
        <v>749.99999999999966</v>
      </c>
      <c r="CH191" s="22">
        <v>749.99969999999996</v>
      </c>
      <c r="CI191" s="22">
        <v>749.99969999999996</v>
      </c>
      <c r="CJ191" s="22">
        <v>749.99969999999996</v>
      </c>
      <c r="CK191" s="22">
        <v>749.99969999999996</v>
      </c>
      <c r="CL191" s="22">
        <v>749.99969999999996</v>
      </c>
      <c r="CM191" s="22">
        <v>749.99969999999996</v>
      </c>
      <c r="CN191" s="22">
        <v>749.97</v>
      </c>
      <c r="CO191" s="22">
        <v>749.96999999999991</v>
      </c>
      <c r="CP191" s="22">
        <v>749.97</v>
      </c>
      <c r="CQ191" s="22">
        <v>749.97</v>
      </c>
      <c r="CR191" s="22">
        <v>749.97</v>
      </c>
      <c r="CS191" s="106">
        <f t="shared" si="852"/>
        <v>8999.8482000000004</v>
      </c>
      <c r="CT191" s="16" t="str">
        <f t="shared" si="595"/>
        <v>Other Professional Fees</v>
      </c>
      <c r="CU191" s="22">
        <f>+VLOOKUP($BD191,'Jan-25'!$A:$J,7,0)</f>
        <v>749.97</v>
      </c>
      <c r="CV191" s="22">
        <f>+VLOOKUP($BD191,'Feb-25'!$A:$J,7,0)</f>
        <v>749.97</v>
      </c>
      <c r="CW191" s="22">
        <f>+VLOOKUP($BD191,'Mar-25'!$A:$J,7,0)</f>
        <v>0</v>
      </c>
      <c r="CX191" s="22">
        <f>+VLOOKUP($BD191,'Apr-25'!$A:$J,7,0)</f>
        <v>0</v>
      </c>
      <c r="CY191" s="22">
        <f>+VLOOKUP($BD191,'May-25'!$A:$J,7,0)</f>
        <v>749.97</v>
      </c>
      <c r="CZ191" s="22">
        <f>+VLOOKUP($BD191,'June-25'!$A:$J,7,0)</f>
        <v>749.97</v>
      </c>
      <c r="DA191" s="22">
        <f>+VLOOKUP($BD191,'July-25'!$A:$J,7,0)</f>
        <v>749.97</v>
      </c>
      <c r="DB191" s="22">
        <f>+VLOOKUP($BD191,'Aug-25'!$A:$J,7,0)</f>
        <v>0</v>
      </c>
      <c r="DC191" s="22">
        <f>+VLOOKUP($BD191,'Sep-25'!$A:$J,7,0)</f>
        <v>0</v>
      </c>
      <c r="DD191" s="22">
        <f>+VLOOKUP($BD191,'Oct-25'!$A:$J,7,0)</f>
        <v>749.97</v>
      </c>
      <c r="DE191" s="22">
        <f>+VLOOKUP($BD191,'Nov-25'!$A:$J,7,0)</f>
        <v>0</v>
      </c>
      <c r="DF191" s="22">
        <f>+VLOOKUP($BD191,'Dec-25'!$A:$J,7,0)</f>
        <v>0</v>
      </c>
      <c r="DG191" s="22">
        <f t="shared" si="853"/>
        <v>4499.8200000000006</v>
      </c>
      <c r="DH191" s="118">
        <f t="shared" si="717"/>
        <v>-0.50660193025045885</v>
      </c>
      <c r="DI191" s="22">
        <f>+_xlfn.XLOOKUP($CT191,Budget!$A:$A,Budget!CD:CD)</f>
        <v>1520.01</v>
      </c>
      <c r="DJ191" s="22">
        <f>+_xlfn.XLOOKUP($CT191,Budget!$A:$A,Budget!CE:CE)</f>
        <v>1520.01</v>
      </c>
      <c r="DK191" s="22">
        <f>+_xlfn.XLOOKUP($CT191,Budget!$A:$A,Budget!CF:CF)</f>
        <v>1520.01</v>
      </c>
      <c r="DL191" s="22">
        <f>+_xlfn.XLOOKUP($CT191,Budget!$A:$A,Budget!CG:CG)</f>
        <v>1520.01</v>
      </c>
      <c r="DM191" s="22">
        <f>+_xlfn.XLOOKUP($CT191,Budget!$A:$A,Budget!CH:CH)</f>
        <v>1520.01</v>
      </c>
      <c r="DN191" s="22">
        <f>+_xlfn.XLOOKUP($CT191,Budget!$A:$A,Budget!CI:CI)</f>
        <v>1520.01</v>
      </c>
      <c r="DO191" s="22">
        <f>+_xlfn.XLOOKUP($CT191,Budget!$A:$A,Budget!CJ:CJ)</f>
        <v>1520.01</v>
      </c>
      <c r="DP191" s="22">
        <f>+_xlfn.XLOOKUP($CT191,Budget!$A:$A,Budget!CK:CK)</f>
        <v>1520.01</v>
      </c>
      <c r="DQ191" s="22">
        <f>+_xlfn.XLOOKUP($CT191,Budget!$A:$A,Budget!CL:CL)</f>
        <v>1520.01</v>
      </c>
      <c r="DR191" s="22">
        <f>+_xlfn.XLOOKUP($CT191,Budget!$A:$A,Budget!CM:CM)</f>
        <v>1520.01</v>
      </c>
      <c r="DS191" s="22">
        <f>+_xlfn.XLOOKUP($CT191,Budget!$A:$A,Budget!CN:CN)</f>
        <v>1520.01</v>
      </c>
      <c r="DT191" s="22">
        <f>+_xlfn.XLOOKUP($CT191,Budget!$A:$A,Budget!CO:CO)</f>
        <v>1520.01</v>
      </c>
      <c r="DU191" s="106">
        <f t="shared" si="854"/>
        <v>18240.12</v>
      </c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106">
        <f t="shared" si="855"/>
        <v>0</v>
      </c>
      <c r="EJ191" s="16" t="str">
        <f t="shared" si="601"/>
        <v>Other Professional Fees</v>
      </c>
      <c r="EK191" s="22">
        <f>+VLOOKUP($BD191,'Jan-25'!$A:$J,9,0)</f>
        <v>146970</v>
      </c>
      <c r="EL191" s="22">
        <f>+VLOOKUP($BD191,'Feb-25'!$A:$J,9,0)</f>
        <v>43750</v>
      </c>
      <c r="EM191" s="22">
        <f>+VLOOKUP($BD191,'Mar-25'!$A:$J,9,0)</f>
        <v>148500</v>
      </c>
      <c r="EN191" s="22">
        <f>+VLOOKUP($BD191,'Apr-25'!$A:$J,9,0)</f>
        <v>0</v>
      </c>
      <c r="EO191" s="22">
        <f>+VLOOKUP($BD191,'May-25'!$A:$J,9,0)</f>
        <v>0</v>
      </c>
      <c r="EP191" s="22">
        <f>+VLOOKUP($BD191,'June-25'!$A:$J,9,0)</f>
        <v>0</v>
      </c>
      <c r="EQ191" s="22">
        <f>+VLOOKUP($BD191,'July-25'!$A:$J,9,0)</f>
        <v>0</v>
      </c>
      <c r="ER191" s="22">
        <f>+VLOOKUP($BD191,'Aug-25'!$A:$J,9,0)</f>
        <v>0</v>
      </c>
      <c r="ES191" s="22">
        <f>+VLOOKUP($BD191,'Sep-25'!$A:$J,9,0)</f>
        <v>0</v>
      </c>
      <c r="ET191" s="22">
        <f>+VLOOKUP($BD191,'Oct-25'!$A:$J,9,0)</f>
        <v>0</v>
      </c>
      <c r="EU191" s="22">
        <f>+VLOOKUP($BD191,'Nov-25'!$A:$J,9,0)</f>
        <v>0</v>
      </c>
      <c r="EV191" s="22">
        <f>+VLOOKUP($BD191,'Dec-25'!$A:$J,9,0)</f>
        <v>0</v>
      </c>
      <c r="EW191" s="22">
        <f t="shared" si="856"/>
        <v>339220</v>
      </c>
      <c r="EX191" s="118">
        <f t="shared" si="721"/>
        <v>0</v>
      </c>
      <c r="EY191" s="22">
        <f>+_xlfn.XLOOKUP($EJ191,Budget!$A:$A,Budget!DE:DE)</f>
        <v>0</v>
      </c>
      <c r="EZ191" s="22">
        <f>+_xlfn.XLOOKUP($EJ191,Budget!$A:$A,Budget!DF:DF)</f>
        <v>0</v>
      </c>
      <c r="FA191" s="22">
        <f>+_xlfn.XLOOKUP($EJ191,Budget!$A:$A,Budget!DG:DG)</f>
        <v>0</v>
      </c>
      <c r="FB191" s="22">
        <f>+_xlfn.XLOOKUP($EJ191,Budget!$A:$A,Budget!DH:DH)</f>
        <v>0</v>
      </c>
      <c r="FC191" s="22">
        <f>+_xlfn.XLOOKUP($EJ191,Budget!$A:$A,Budget!DI:DI)</f>
        <v>0</v>
      </c>
      <c r="FD191" s="22">
        <f>+_xlfn.XLOOKUP($EJ191,Budget!$A:$A,Budget!DJ:DJ)</f>
        <v>0</v>
      </c>
      <c r="FE191" s="22">
        <f>+_xlfn.XLOOKUP($EJ191,Budget!$A:$A,Budget!DK:DK)</f>
        <v>0</v>
      </c>
      <c r="FF191" s="22">
        <f>+_xlfn.XLOOKUP($EJ191,Budget!$A:$A,Budget!DL:DL)</f>
        <v>0</v>
      </c>
      <c r="FG191" s="22">
        <f>+_xlfn.XLOOKUP($EJ191,Budget!$A:$A,Budget!DM:DM)</f>
        <v>0</v>
      </c>
      <c r="FH191" s="22">
        <f>+_xlfn.XLOOKUP($EJ191,Budget!$A:$A,Budget!DN:DN)</f>
        <v>0</v>
      </c>
      <c r="FI191" s="22">
        <f>+_xlfn.XLOOKUP($EJ191,Budget!$A:$A,Budget!DO:DO)</f>
        <v>0</v>
      </c>
      <c r="FJ191" s="22">
        <f>+_xlfn.XLOOKUP($EJ191,Budget!$A:$A,Budget!DP:DP)</f>
        <v>0</v>
      </c>
      <c r="FK191" s="106">
        <f t="shared" si="857"/>
        <v>0</v>
      </c>
    </row>
    <row r="192" spans="1:167" ht="14.45" hidden="1" customHeight="1" outlineLevel="2">
      <c r="A192" s="106">
        <f t="shared" si="846"/>
        <v>0</v>
      </c>
      <c r="B192" s="106">
        <f t="shared" si="846"/>
        <v>0</v>
      </c>
      <c r="C192" s="106">
        <f t="shared" si="846"/>
        <v>0</v>
      </c>
      <c r="D192" s="106">
        <f t="shared" si="846"/>
        <v>0</v>
      </c>
      <c r="E192" s="106">
        <f t="shared" si="846"/>
        <v>0</v>
      </c>
      <c r="F192" s="106">
        <f t="shared" si="846"/>
        <v>0</v>
      </c>
      <c r="G192" s="106">
        <f t="shared" si="846"/>
        <v>0</v>
      </c>
      <c r="H192" s="106">
        <f t="shared" si="846"/>
        <v>0</v>
      </c>
      <c r="I192" s="106">
        <f t="shared" si="846"/>
        <v>0</v>
      </c>
      <c r="J192" s="106">
        <f t="shared" si="846"/>
        <v>0</v>
      </c>
      <c r="K192" s="106">
        <f t="shared" si="846"/>
        <v>0</v>
      </c>
      <c r="L192" s="106">
        <f t="shared" si="846"/>
        <v>0</v>
      </c>
      <c r="M192" s="106">
        <f t="shared" si="846"/>
        <v>0</v>
      </c>
      <c r="N192" s="16" t="s">
        <v>161</v>
      </c>
      <c r="O192" s="22">
        <f t="shared" si="847"/>
        <v>0</v>
      </c>
      <c r="P192" s="22">
        <f t="shared" si="847"/>
        <v>0</v>
      </c>
      <c r="Q192" s="22">
        <f t="shared" si="847"/>
        <v>0</v>
      </c>
      <c r="R192" s="22">
        <f t="shared" si="847"/>
        <v>0</v>
      </c>
      <c r="S192" s="22">
        <f t="shared" si="847"/>
        <v>0</v>
      </c>
      <c r="T192" s="22">
        <f t="shared" si="847"/>
        <v>0</v>
      </c>
      <c r="U192" s="22">
        <f t="shared" si="847"/>
        <v>0</v>
      </c>
      <c r="V192" s="22">
        <f t="shared" si="847"/>
        <v>0</v>
      </c>
      <c r="W192" s="22">
        <f t="shared" si="847"/>
        <v>0</v>
      </c>
      <c r="X192" s="22">
        <f t="shared" si="847"/>
        <v>0</v>
      </c>
      <c r="Y192" s="22">
        <f t="shared" si="847"/>
        <v>0</v>
      </c>
      <c r="Z192" s="22">
        <f t="shared" si="847"/>
        <v>0</v>
      </c>
      <c r="AA192" s="22">
        <f t="shared" si="847"/>
        <v>0</v>
      </c>
      <c r="AB192" s="118">
        <f t="shared" si="708"/>
        <v>0</v>
      </c>
      <c r="AC192" s="22">
        <f t="shared" si="848"/>
        <v>0</v>
      </c>
      <c r="AD192" s="22">
        <f t="shared" si="848"/>
        <v>0</v>
      </c>
      <c r="AE192" s="22">
        <f t="shared" si="848"/>
        <v>0</v>
      </c>
      <c r="AF192" s="22">
        <f t="shared" si="848"/>
        <v>0</v>
      </c>
      <c r="AG192" s="22">
        <f t="shared" si="848"/>
        <v>0</v>
      </c>
      <c r="AH192" s="22">
        <f t="shared" si="848"/>
        <v>0</v>
      </c>
      <c r="AI192" s="22">
        <f t="shared" si="848"/>
        <v>0</v>
      </c>
      <c r="AJ192" s="22">
        <f t="shared" si="848"/>
        <v>0</v>
      </c>
      <c r="AK192" s="22">
        <f t="shared" si="848"/>
        <v>0</v>
      </c>
      <c r="AL192" s="22">
        <f t="shared" si="848"/>
        <v>0</v>
      </c>
      <c r="AM192" s="22">
        <f t="shared" si="848"/>
        <v>0</v>
      </c>
      <c r="AN192" s="22">
        <f t="shared" si="848"/>
        <v>0</v>
      </c>
      <c r="AO192" s="22">
        <f t="shared" si="848"/>
        <v>0</v>
      </c>
      <c r="AQ192" s="106"/>
      <c r="AR192" s="106"/>
      <c r="AS192" s="106"/>
      <c r="AT192" s="106"/>
      <c r="AU192" s="106"/>
      <c r="AV192" s="106"/>
      <c r="AW192" s="106"/>
      <c r="AX192" s="106"/>
      <c r="AY192" s="106"/>
      <c r="AZ192" s="106"/>
      <c r="BA192" s="106"/>
      <c r="BB192" s="106"/>
      <c r="BC192" s="106">
        <f t="shared" si="849"/>
        <v>0</v>
      </c>
      <c r="BD192" s="16" t="str">
        <f t="shared" si="591"/>
        <v>Professional Fee - Trainer</v>
      </c>
      <c r="BE192" s="22">
        <f>+VLOOKUP($BD192,'Jan-25'!$A:$J,4,0)</f>
        <v>0</v>
      </c>
      <c r="BF192" s="22">
        <f>+VLOOKUP($BD192,'Feb-25'!$A:$J,4,0)</f>
        <v>0</v>
      </c>
      <c r="BG192" s="22">
        <f>+VLOOKUP($BD192,'Mar-25'!$A:$J,4,0)</f>
        <v>0</v>
      </c>
      <c r="BH192" s="22">
        <f>+VLOOKUP($BD192,'Apr-25'!$A:$J,4,0)</f>
        <v>0</v>
      </c>
      <c r="BI192" s="22">
        <f>+VLOOKUP($BD192,'May-25'!$A:$J,4,0)</f>
        <v>0</v>
      </c>
      <c r="BJ192" s="22">
        <f>+VLOOKUP($BD192,'June-25'!$A:$J,4,0)</f>
        <v>0</v>
      </c>
      <c r="BK192" s="22">
        <f>+VLOOKUP($BD192,'July-25'!$A:$J,4,0)</f>
        <v>0</v>
      </c>
      <c r="BL192" s="22">
        <f>+VLOOKUP($BD192,'Aug-25'!$A:$J,4,0)</f>
        <v>0</v>
      </c>
      <c r="BM192" s="22">
        <f>+VLOOKUP($BD192,'Sep-25'!$A:$J,4,0)</f>
        <v>0</v>
      </c>
      <c r="BN192" s="22">
        <f>+VLOOKUP($BD192,'Oct-25'!$A:$J,4,0)</f>
        <v>0</v>
      </c>
      <c r="BO192" s="22">
        <f>+VLOOKUP($BD192,'Nov-25'!$A:$J,4,0)</f>
        <v>0</v>
      </c>
      <c r="BP192" s="22">
        <f>+VLOOKUP($BD192,'Dec-25'!$A:$J,4,0)</f>
        <v>0</v>
      </c>
      <c r="BQ192" s="22">
        <f t="shared" si="850"/>
        <v>0</v>
      </c>
      <c r="BR192" s="118">
        <f t="shared" si="713"/>
        <v>0</v>
      </c>
      <c r="BS192" s="106">
        <f>+_xlfn.XLOOKUP($BD192,Budget!$A:$A,Budget!AQ:AQ)</f>
        <v>0</v>
      </c>
      <c r="BT192" s="106">
        <f>+_xlfn.XLOOKUP($BD192,Budget!$A:$A,Budget!AR:AR)</f>
        <v>0</v>
      </c>
      <c r="BU192" s="106">
        <f>+_xlfn.XLOOKUP($BD192,Budget!$A:$A,Budget!AS:AS)</f>
        <v>0</v>
      </c>
      <c r="BV192" s="106">
        <f>+_xlfn.XLOOKUP($BD192,Budget!$A:$A,Budget!AT:AT)</f>
        <v>0</v>
      </c>
      <c r="BW192" s="106">
        <f>+_xlfn.XLOOKUP($BD192,Budget!$A:$A,Budget!AU:AU)</f>
        <v>0</v>
      </c>
      <c r="BX192" s="106">
        <f>+_xlfn.XLOOKUP($BD192,Budget!$A:$A,Budget!AV:AV)</f>
        <v>0</v>
      </c>
      <c r="BY192" s="106">
        <f>+_xlfn.XLOOKUP($BD192,Budget!$A:$A,Budget!AW:AW)</f>
        <v>0</v>
      </c>
      <c r="BZ192" s="106">
        <f>+_xlfn.XLOOKUP($BD192,Budget!$A:$A,Budget!AX:AX)</f>
        <v>0</v>
      </c>
      <c r="CA192" s="106">
        <f>+_xlfn.XLOOKUP($BD192,Budget!$A:$A,Budget!AY:AY)</f>
        <v>0</v>
      </c>
      <c r="CB192" s="106">
        <f>+_xlfn.XLOOKUP($BD192,Budget!$A:$A,Budget!AZ:AZ)</f>
        <v>0</v>
      </c>
      <c r="CC192" s="106">
        <f>+_xlfn.XLOOKUP($BD192,Budget!$A:$A,Budget!BA:BA)</f>
        <v>0</v>
      </c>
      <c r="CD192" s="106">
        <f>+_xlfn.XLOOKUP($BD192,Budget!$A:$A,Budget!BB:BB)</f>
        <v>0</v>
      </c>
      <c r="CE192" s="106">
        <f t="shared" si="851"/>
        <v>0</v>
      </c>
      <c r="CF192" s="22"/>
      <c r="CG192" s="22">
        <v>0</v>
      </c>
      <c r="CH192" s="22">
        <v>0</v>
      </c>
      <c r="CI192" s="22">
        <v>0</v>
      </c>
      <c r="CJ192" s="22">
        <v>0</v>
      </c>
      <c r="CK192" s="22">
        <v>0</v>
      </c>
      <c r="CL192" s="22">
        <v>0</v>
      </c>
      <c r="CM192" s="22">
        <v>0</v>
      </c>
      <c r="CN192" s="22">
        <v>0</v>
      </c>
      <c r="CO192" s="22">
        <v>0</v>
      </c>
      <c r="CP192" s="22">
        <v>0</v>
      </c>
      <c r="CQ192" s="22">
        <v>0</v>
      </c>
      <c r="CR192" s="22">
        <v>0</v>
      </c>
      <c r="CS192" s="106">
        <f t="shared" si="852"/>
        <v>0</v>
      </c>
      <c r="CT192" s="16" t="str">
        <f t="shared" si="595"/>
        <v>Professional Fee - Trainer</v>
      </c>
      <c r="CU192" s="22">
        <f>+VLOOKUP($BD192,'Jan-25'!$A:$J,7,0)</f>
        <v>0</v>
      </c>
      <c r="CV192" s="22">
        <f>+VLOOKUP($BD192,'Feb-25'!$A:$J,7,0)</f>
        <v>0</v>
      </c>
      <c r="CW192" s="22">
        <f>+VLOOKUP($BD192,'Mar-25'!$A:$J,7,0)</f>
        <v>0</v>
      </c>
      <c r="CX192" s="22">
        <f>+VLOOKUP($BD192,'Apr-25'!$A:$J,7,0)</f>
        <v>0</v>
      </c>
      <c r="CY192" s="22">
        <f>+VLOOKUP($BD192,'May-25'!$A:$J,7,0)</f>
        <v>0</v>
      </c>
      <c r="CZ192" s="22">
        <f>+VLOOKUP($BD192,'June-25'!$A:$J,7,0)</f>
        <v>0</v>
      </c>
      <c r="DA192" s="22">
        <f>+VLOOKUP($BD192,'July-25'!$A:$J,7,0)</f>
        <v>0</v>
      </c>
      <c r="DB192" s="22">
        <f>+VLOOKUP($BD192,'Aug-25'!$A:$J,7,0)</f>
        <v>0</v>
      </c>
      <c r="DC192" s="22">
        <f>+VLOOKUP($BD192,'Sep-25'!$A:$J,7,0)</f>
        <v>0</v>
      </c>
      <c r="DD192" s="22">
        <f>+VLOOKUP($BD192,'Oct-25'!$A:$J,7,0)</f>
        <v>0</v>
      </c>
      <c r="DE192" s="22">
        <f>+VLOOKUP($BD192,'Nov-25'!$A:$J,7,0)</f>
        <v>0</v>
      </c>
      <c r="DF192" s="22">
        <f>+VLOOKUP($BD192,'Dec-25'!$A:$J,7,0)</f>
        <v>0</v>
      </c>
      <c r="DG192" s="22">
        <f t="shared" si="853"/>
        <v>0</v>
      </c>
      <c r="DH192" s="118">
        <f t="shared" si="717"/>
        <v>0</v>
      </c>
      <c r="DI192" s="22">
        <f>+_xlfn.XLOOKUP($CT192,Budget!$A:$A,Budget!CD:CD)</f>
        <v>0</v>
      </c>
      <c r="DJ192" s="22">
        <f>+_xlfn.XLOOKUP($CT192,Budget!$A:$A,Budget!CE:CE)</f>
        <v>0</v>
      </c>
      <c r="DK192" s="22">
        <f>+_xlfn.XLOOKUP($CT192,Budget!$A:$A,Budget!CF:CF)</f>
        <v>0</v>
      </c>
      <c r="DL192" s="22">
        <f>+_xlfn.XLOOKUP($CT192,Budget!$A:$A,Budget!CG:CG)</f>
        <v>0</v>
      </c>
      <c r="DM192" s="22">
        <f>+_xlfn.XLOOKUP($CT192,Budget!$A:$A,Budget!CH:CH)</f>
        <v>0</v>
      </c>
      <c r="DN192" s="22">
        <f>+_xlfn.XLOOKUP($CT192,Budget!$A:$A,Budget!CI:CI)</f>
        <v>0</v>
      </c>
      <c r="DO192" s="22">
        <f>+_xlfn.XLOOKUP($CT192,Budget!$A:$A,Budget!CJ:CJ)</f>
        <v>0</v>
      </c>
      <c r="DP192" s="22">
        <f>+_xlfn.XLOOKUP($CT192,Budget!$A:$A,Budget!CK:CK)</f>
        <v>0</v>
      </c>
      <c r="DQ192" s="22">
        <f>+_xlfn.XLOOKUP($CT192,Budget!$A:$A,Budget!CL:CL)</f>
        <v>0</v>
      </c>
      <c r="DR192" s="22">
        <f>+_xlfn.XLOOKUP($CT192,Budget!$A:$A,Budget!CM:CM)</f>
        <v>0</v>
      </c>
      <c r="DS192" s="22">
        <f>+_xlfn.XLOOKUP($CT192,Budget!$A:$A,Budget!CN:CN)</f>
        <v>0</v>
      </c>
      <c r="DT192" s="22">
        <f>+_xlfn.XLOOKUP($CT192,Budget!$A:$A,Budget!CO:CO)</f>
        <v>0</v>
      </c>
      <c r="DU192" s="106">
        <f t="shared" si="854"/>
        <v>0</v>
      </c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106">
        <f t="shared" si="855"/>
        <v>0</v>
      </c>
      <c r="EJ192" s="16" t="str">
        <f t="shared" si="601"/>
        <v>Professional Fee - Trainer</v>
      </c>
      <c r="EK192" s="22">
        <f>+VLOOKUP($BD192,'Jan-25'!$A:$J,9,0)</f>
        <v>0</v>
      </c>
      <c r="EL192" s="22">
        <f>+VLOOKUP($BD192,'Feb-25'!$A:$J,9,0)</f>
        <v>0</v>
      </c>
      <c r="EM192" s="22">
        <f>+VLOOKUP($BD192,'Mar-25'!$A:$J,9,0)</f>
        <v>0</v>
      </c>
      <c r="EN192" s="22">
        <f>+VLOOKUP($BD192,'Apr-25'!$A:$J,9,0)</f>
        <v>0</v>
      </c>
      <c r="EO192" s="22">
        <f>+VLOOKUP($BD192,'May-25'!$A:$J,9,0)</f>
        <v>0</v>
      </c>
      <c r="EP192" s="22">
        <f>+VLOOKUP($BD192,'June-25'!$A:$J,9,0)</f>
        <v>0</v>
      </c>
      <c r="EQ192" s="22">
        <f>+VLOOKUP($BD192,'July-25'!$A:$J,9,0)</f>
        <v>0</v>
      </c>
      <c r="ER192" s="22">
        <f>+VLOOKUP($BD192,'Aug-25'!$A:$J,9,0)</f>
        <v>0</v>
      </c>
      <c r="ES192" s="22">
        <f>+VLOOKUP($BD192,'Sep-25'!$A:$J,9,0)</f>
        <v>0</v>
      </c>
      <c r="ET192" s="22">
        <f>+VLOOKUP($BD192,'Oct-25'!$A:$J,9,0)</f>
        <v>0</v>
      </c>
      <c r="EU192" s="22">
        <f>+VLOOKUP($BD192,'Nov-25'!$A:$J,9,0)</f>
        <v>0</v>
      </c>
      <c r="EV192" s="22">
        <f>+VLOOKUP($BD192,'Dec-25'!$A:$J,9,0)</f>
        <v>0</v>
      </c>
      <c r="EW192" s="22">
        <f t="shared" si="856"/>
        <v>0</v>
      </c>
      <c r="EX192" s="118">
        <f t="shared" si="721"/>
        <v>0</v>
      </c>
      <c r="EY192" s="22">
        <f>+_xlfn.XLOOKUP($EJ192,Budget!$A:$A,Budget!DE:DE)</f>
        <v>0</v>
      </c>
      <c r="EZ192" s="22">
        <f>+_xlfn.XLOOKUP($EJ192,Budget!$A:$A,Budget!DF:DF)</f>
        <v>0</v>
      </c>
      <c r="FA192" s="22">
        <f>+_xlfn.XLOOKUP($EJ192,Budget!$A:$A,Budget!DG:DG)</f>
        <v>0</v>
      </c>
      <c r="FB192" s="22">
        <f>+_xlfn.XLOOKUP($EJ192,Budget!$A:$A,Budget!DH:DH)</f>
        <v>0</v>
      </c>
      <c r="FC192" s="22">
        <f>+_xlfn.XLOOKUP($EJ192,Budget!$A:$A,Budget!DI:DI)</f>
        <v>0</v>
      </c>
      <c r="FD192" s="22">
        <f>+_xlfn.XLOOKUP($EJ192,Budget!$A:$A,Budget!DJ:DJ)</f>
        <v>0</v>
      </c>
      <c r="FE192" s="22">
        <f>+_xlfn.XLOOKUP($EJ192,Budget!$A:$A,Budget!DK:DK)</f>
        <v>0</v>
      </c>
      <c r="FF192" s="22">
        <f>+_xlfn.XLOOKUP($EJ192,Budget!$A:$A,Budget!DL:DL)</f>
        <v>0</v>
      </c>
      <c r="FG192" s="22">
        <f>+_xlfn.XLOOKUP($EJ192,Budget!$A:$A,Budget!DM:DM)</f>
        <v>0</v>
      </c>
      <c r="FH192" s="22">
        <f>+_xlfn.XLOOKUP($EJ192,Budget!$A:$A,Budget!DN:DN)</f>
        <v>0</v>
      </c>
      <c r="FI192" s="22">
        <f>+_xlfn.XLOOKUP($EJ192,Budget!$A:$A,Budget!DO:DO)</f>
        <v>0</v>
      </c>
      <c r="FJ192" s="22">
        <f>+_xlfn.XLOOKUP($EJ192,Budget!$A:$A,Budget!DP:DP)</f>
        <v>0</v>
      </c>
      <c r="FK192" s="106">
        <f t="shared" si="857"/>
        <v>0</v>
      </c>
    </row>
    <row r="193" spans="1:167" ht="14.45" hidden="1" customHeight="1" outlineLevel="1" collapsed="1">
      <c r="A193" s="58">
        <f t="shared" ref="A193:L193" si="858">+SUM(A194:A204)</f>
        <v>75300.841100000005</v>
      </c>
      <c r="B193" s="58">
        <f t="shared" si="858"/>
        <v>157490.7531</v>
      </c>
      <c r="C193" s="58">
        <f t="shared" si="858"/>
        <v>111112.1534</v>
      </c>
      <c r="D193" s="58">
        <f t="shared" si="858"/>
        <v>48990.278999999995</v>
      </c>
      <c r="E193" s="58">
        <f t="shared" si="858"/>
        <v>60650.568199999994</v>
      </c>
      <c r="F193" s="58">
        <f t="shared" si="858"/>
        <v>69617.111099999995</v>
      </c>
      <c r="G193" s="58">
        <f t="shared" si="858"/>
        <v>95531.201399999991</v>
      </c>
      <c r="H193" s="58">
        <f t="shared" si="858"/>
        <v>73970.992800000007</v>
      </c>
      <c r="I193" s="58">
        <f t="shared" si="858"/>
        <v>80619.412199999992</v>
      </c>
      <c r="J193" s="58">
        <f t="shared" si="858"/>
        <v>74289.675099999993</v>
      </c>
      <c r="K193" s="58">
        <f t="shared" si="858"/>
        <v>110785.95659999999</v>
      </c>
      <c r="L193" s="58">
        <f t="shared" si="858"/>
        <v>632366.1540000001</v>
      </c>
      <c r="M193" s="58">
        <f t="shared" ref="M193" si="859">+SUM(M194:M204)</f>
        <v>1590725.0980000002</v>
      </c>
      <c r="N193" s="20" t="s">
        <v>162</v>
      </c>
      <c r="O193" s="28">
        <f t="shared" ref="O193:Z193" si="860">+SUM(O194:O204)</f>
        <v>264122.74790000002</v>
      </c>
      <c r="P193" s="28">
        <f t="shared" si="860"/>
        <v>210779.39770000003</v>
      </c>
      <c r="Q193" s="28">
        <f t="shared" si="860"/>
        <v>171661.6955</v>
      </c>
      <c r="R193" s="28">
        <f t="shared" si="860"/>
        <v>280360.87230000005</v>
      </c>
      <c r="S193" s="28">
        <f t="shared" si="860"/>
        <v>158178.91569999998</v>
      </c>
      <c r="T193" s="28">
        <f t="shared" si="860"/>
        <v>137873.03899999999</v>
      </c>
      <c r="U193" s="28">
        <f t="shared" si="860"/>
        <v>340284.5252259259</v>
      </c>
      <c r="V193" s="28">
        <f t="shared" si="860"/>
        <v>175228.23969999998</v>
      </c>
      <c r="W193" s="28">
        <f t="shared" si="860"/>
        <v>130985.71459999999</v>
      </c>
      <c r="X193" s="28">
        <f t="shared" si="860"/>
        <v>153954.69979999997</v>
      </c>
      <c r="Y193" s="28">
        <f t="shared" si="860"/>
        <v>0</v>
      </c>
      <c r="Z193" s="28">
        <f t="shared" si="860"/>
        <v>0</v>
      </c>
      <c r="AA193" s="28">
        <f t="shared" ref="AA193" si="861">+SUM(AA194:AA204)</f>
        <v>2023429.8474259262</v>
      </c>
      <c r="AB193" s="118">
        <f t="shared" si="708"/>
        <v>0.78172048867197452</v>
      </c>
      <c r="AC193" s="28">
        <f t="shared" ref="AC193:AN193" si="862">+SUM(AC194:AC204)</f>
        <v>86407.885399999999</v>
      </c>
      <c r="AD193" s="28">
        <f t="shared" si="862"/>
        <v>86407.885399999999</v>
      </c>
      <c r="AE193" s="28">
        <f t="shared" si="862"/>
        <v>86407.885399999999</v>
      </c>
      <c r="AF193" s="28">
        <f t="shared" si="862"/>
        <v>86407.885399999999</v>
      </c>
      <c r="AG193" s="28">
        <f t="shared" si="862"/>
        <v>86407.885399999999</v>
      </c>
      <c r="AH193" s="28">
        <f t="shared" si="862"/>
        <v>86407.885399999999</v>
      </c>
      <c r="AI193" s="28">
        <f t="shared" si="862"/>
        <v>86407.885399999999</v>
      </c>
      <c r="AJ193" s="28">
        <f t="shared" si="862"/>
        <v>86407.885399999999</v>
      </c>
      <c r="AK193" s="28">
        <f t="shared" si="862"/>
        <v>86407.885399999999</v>
      </c>
      <c r="AL193" s="28">
        <f t="shared" si="862"/>
        <v>86407.885399999999</v>
      </c>
      <c r="AM193" s="28">
        <f t="shared" si="862"/>
        <v>86407.885399999999</v>
      </c>
      <c r="AN193" s="28">
        <f t="shared" si="862"/>
        <v>86407.885399999999</v>
      </c>
      <c r="AO193" s="28">
        <f t="shared" ref="AO193" si="863">+SUM(AO194:AO204)</f>
        <v>1036894.6248</v>
      </c>
      <c r="AQ193" s="58">
        <f t="shared" ref="AQ193:BB193" si="864">+SUM(AQ194:AQ204)</f>
        <v>60166.627400000005</v>
      </c>
      <c r="AR193" s="58">
        <f t="shared" si="864"/>
        <v>144648.59340000001</v>
      </c>
      <c r="AS193" s="58">
        <f t="shared" si="864"/>
        <v>95167.181599999996</v>
      </c>
      <c r="AT193" s="58">
        <f t="shared" si="864"/>
        <v>39038.432000000001</v>
      </c>
      <c r="AU193" s="58">
        <f t="shared" si="864"/>
        <v>41618.470800000003</v>
      </c>
      <c r="AV193" s="58">
        <f t="shared" si="864"/>
        <v>55739.787400000001</v>
      </c>
      <c r="AW193" s="58">
        <f t="shared" si="864"/>
        <v>66677.309599999993</v>
      </c>
      <c r="AX193" s="58">
        <f t="shared" si="864"/>
        <v>62898.1152</v>
      </c>
      <c r="AY193" s="58">
        <f t="shared" si="864"/>
        <v>67735.346800000014</v>
      </c>
      <c r="AZ193" s="58">
        <f t="shared" si="864"/>
        <v>60324.543400000002</v>
      </c>
      <c r="BA193" s="58">
        <f t="shared" si="864"/>
        <v>95703.930400000012</v>
      </c>
      <c r="BB193" s="58">
        <f t="shared" si="864"/>
        <v>619165.26199999999</v>
      </c>
      <c r="BC193" s="58">
        <f>+SUM(AQ193:BB193)</f>
        <v>1408883.6</v>
      </c>
      <c r="BD193" s="20" t="str">
        <f t="shared" si="591"/>
        <v>General Expenses</v>
      </c>
      <c r="BE193" s="28">
        <f t="shared" ref="BE193:BQ193" si="865">+SUM(BE194:BE204)</f>
        <v>100466.76460000002</v>
      </c>
      <c r="BF193" s="28">
        <f t="shared" si="865"/>
        <v>40556.839800000002</v>
      </c>
      <c r="BG193" s="28">
        <f t="shared" si="865"/>
        <v>63711.135000000024</v>
      </c>
      <c r="BH193" s="28">
        <f t="shared" si="865"/>
        <v>194572.29820000002</v>
      </c>
      <c r="BI193" s="28">
        <f t="shared" si="865"/>
        <v>67434.034400000004</v>
      </c>
      <c r="BJ193" s="28">
        <f t="shared" si="865"/>
        <v>88298.400000000009</v>
      </c>
      <c r="BK193" s="28">
        <f t="shared" si="865"/>
        <v>76579.135439506179</v>
      </c>
      <c r="BL193" s="28">
        <f t="shared" si="865"/>
        <v>58175.0478</v>
      </c>
      <c r="BM193" s="28">
        <f t="shared" si="865"/>
        <v>64232.804400000001</v>
      </c>
      <c r="BN193" s="28">
        <f t="shared" si="865"/>
        <v>77799.819200000013</v>
      </c>
      <c r="BO193" s="28">
        <f t="shared" si="865"/>
        <v>0</v>
      </c>
      <c r="BP193" s="28">
        <f t="shared" si="865"/>
        <v>0</v>
      </c>
      <c r="BQ193" s="28">
        <f t="shared" si="865"/>
        <v>831826.27883950621</v>
      </c>
      <c r="BR193" s="118">
        <f t="shared" si="713"/>
        <v>1.3372924957114496</v>
      </c>
      <c r="BS193" s="58">
        <f t="shared" ref="BS193:CD193" si="866">+SUM(BS194:BS204)</f>
        <v>33286.299999999996</v>
      </c>
      <c r="BT193" s="58">
        <f t="shared" si="866"/>
        <v>33286.299999999996</v>
      </c>
      <c r="BU193" s="58">
        <f t="shared" si="866"/>
        <v>33286.299999999996</v>
      </c>
      <c r="BV193" s="58">
        <f t="shared" si="866"/>
        <v>33286.299999999996</v>
      </c>
      <c r="BW193" s="58">
        <f t="shared" si="866"/>
        <v>33286.299999999996</v>
      </c>
      <c r="BX193" s="58">
        <f t="shared" si="866"/>
        <v>33286.299999999996</v>
      </c>
      <c r="BY193" s="58">
        <f t="shared" si="866"/>
        <v>33286.299999999996</v>
      </c>
      <c r="BZ193" s="58">
        <f t="shared" si="866"/>
        <v>33286.299999999996</v>
      </c>
      <c r="CA193" s="58">
        <f t="shared" si="866"/>
        <v>33286.299999999996</v>
      </c>
      <c r="CB193" s="58">
        <f t="shared" si="866"/>
        <v>33286.299999999996</v>
      </c>
      <c r="CC193" s="58">
        <f t="shared" si="866"/>
        <v>33286.299999999996</v>
      </c>
      <c r="CD193" s="58">
        <f t="shared" si="866"/>
        <v>33286.299999999996</v>
      </c>
      <c r="CE193" s="58">
        <f>+SUM(BS193:CD193)</f>
        <v>399435.59999999992</v>
      </c>
      <c r="CF193" s="22"/>
      <c r="CG193" s="28">
        <f t="shared" ref="CG193:CR193" si="867">+SUM(CG194:CG204)</f>
        <v>15134.2137</v>
      </c>
      <c r="CH193" s="28">
        <f t="shared" si="867"/>
        <v>12842.1597</v>
      </c>
      <c r="CI193" s="28">
        <f t="shared" si="867"/>
        <v>15944.971799999999</v>
      </c>
      <c r="CJ193" s="28">
        <f t="shared" si="867"/>
        <v>9951.8469999999998</v>
      </c>
      <c r="CK193" s="28">
        <f t="shared" si="867"/>
        <v>19032.097399999999</v>
      </c>
      <c r="CL193" s="28">
        <f t="shared" si="867"/>
        <v>13877.323699999999</v>
      </c>
      <c r="CM193" s="28">
        <f t="shared" si="867"/>
        <v>28853.891800000001</v>
      </c>
      <c r="CN193" s="28">
        <f t="shared" si="867"/>
        <v>11072.8776</v>
      </c>
      <c r="CO193" s="28">
        <f t="shared" si="867"/>
        <v>12884.065399999999</v>
      </c>
      <c r="CP193" s="28">
        <f t="shared" si="867"/>
        <v>13965.1317</v>
      </c>
      <c r="CQ193" s="28">
        <f t="shared" si="867"/>
        <v>15082.026199999997</v>
      </c>
      <c r="CR193" s="28">
        <f t="shared" si="867"/>
        <v>13200.891999999998</v>
      </c>
      <c r="CS193" s="58">
        <f>+SUM(CG193:CR193)</f>
        <v>181841.49799999996</v>
      </c>
      <c r="CT193" s="20" t="str">
        <f t="shared" si="595"/>
        <v>General Expenses</v>
      </c>
      <c r="CU193" s="28">
        <f t="shared" ref="CU193:DG193" si="868">+SUM(CU194:CU204)</f>
        <v>33326.063300000002</v>
      </c>
      <c r="CV193" s="28">
        <f t="shared" si="868"/>
        <v>6237.7578999999996</v>
      </c>
      <c r="CW193" s="28">
        <f t="shared" si="868"/>
        <v>10810.750499999998</v>
      </c>
      <c r="CX193" s="28">
        <f t="shared" si="868"/>
        <v>10247.794099999999</v>
      </c>
      <c r="CY193" s="28">
        <f t="shared" si="868"/>
        <v>16564.141299999996</v>
      </c>
      <c r="CZ193" s="28">
        <f t="shared" si="868"/>
        <v>14644.055</v>
      </c>
      <c r="DA193" s="28">
        <f t="shared" si="868"/>
        <v>34375.733119753088</v>
      </c>
      <c r="DB193" s="28">
        <f t="shared" si="868"/>
        <v>56558.501899999996</v>
      </c>
      <c r="DC193" s="28">
        <f t="shared" si="868"/>
        <v>14082.520199999999</v>
      </c>
      <c r="DD193" s="28">
        <f t="shared" si="868"/>
        <v>19727.610599999996</v>
      </c>
      <c r="DE193" s="28">
        <f t="shared" si="868"/>
        <v>0</v>
      </c>
      <c r="DF193" s="28">
        <f t="shared" si="868"/>
        <v>0</v>
      </c>
      <c r="DG193" s="28">
        <f t="shared" si="868"/>
        <v>216574.9279197531</v>
      </c>
      <c r="DH193" s="118">
        <f t="shared" si="717"/>
        <v>5.6557875369276166E-2</v>
      </c>
      <c r="DI193" s="28">
        <f t="shared" ref="DI193:DT193" si="869">+SUM(DI194:DI204)</f>
        <v>18671.5854</v>
      </c>
      <c r="DJ193" s="28">
        <f t="shared" si="869"/>
        <v>18671.5854</v>
      </c>
      <c r="DK193" s="28">
        <f t="shared" si="869"/>
        <v>18671.5854</v>
      </c>
      <c r="DL193" s="28">
        <f t="shared" si="869"/>
        <v>18671.5854</v>
      </c>
      <c r="DM193" s="28">
        <f t="shared" si="869"/>
        <v>18671.5854</v>
      </c>
      <c r="DN193" s="28">
        <f t="shared" si="869"/>
        <v>18671.5854</v>
      </c>
      <c r="DO193" s="28">
        <f t="shared" si="869"/>
        <v>18671.5854</v>
      </c>
      <c r="DP193" s="28">
        <f t="shared" si="869"/>
        <v>18671.5854</v>
      </c>
      <c r="DQ193" s="28">
        <f t="shared" si="869"/>
        <v>18671.5854</v>
      </c>
      <c r="DR193" s="28">
        <f t="shared" si="869"/>
        <v>18671.5854</v>
      </c>
      <c r="DS193" s="28">
        <f t="shared" si="869"/>
        <v>18671.5854</v>
      </c>
      <c r="DT193" s="28">
        <f t="shared" si="869"/>
        <v>18671.5854</v>
      </c>
      <c r="DU193" s="58">
        <f>+SUM(DI193:DT193)</f>
        <v>224059.02480000004</v>
      </c>
      <c r="DW193" s="28">
        <f t="shared" ref="DW193:EH193" si="870">+SUM(DW194:DW204)</f>
        <v>0</v>
      </c>
      <c r="DX193" s="28">
        <f t="shared" si="870"/>
        <v>0</v>
      </c>
      <c r="DY193" s="28">
        <f t="shared" si="870"/>
        <v>0</v>
      </c>
      <c r="DZ193" s="28">
        <f t="shared" si="870"/>
        <v>0</v>
      </c>
      <c r="EA193" s="28">
        <f t="shared" si="870"/>
        <v>0</v>
      </c>
      <c r="EB193" s="28">
        <f t="shared" si="870"/>
        <v>0</v>
      </c>
      <c r="EC193" s="28">
        <f t="shared" si="870"/>
        <v>0</v>
      </c>
      <c r="ED193" s="28">
        <f t="shared" si="870"/>
        <v>0</v>
      </c>
      <c r="EE193" s="28">
        <f t="shared" si="870"/>
        <v>0</v>
      </c>
      <c r="EF193" s="28">
        <f t="shared" si="870"/>
        <v>0</v>
      </c>
      <c r="EG193" s="28">
        <f t="shared" si="870"/>
        <v>0</v>
      </c>
      <c r="EH193" s="28">
        <f t="shared" si="870"/>
        <v>0</v>
      </c>
      <c r="EI193" s="58">
        <f>+SUM(DW193:EH193)</f>
        <v>0</v>
      </c>
      <c r="EJ193" s="20" t="str">
        <f t="shared" si="601"/>
        <v>General Expenses</v>
      </c>
      <c r="EK193" s="28">
        <f t="shared" ref="EK193:EW193" si="871">+SUM(EK194:EK204)</f>
        <v>130329.92</v>
      </c>
      <c r="EL193" s="28">
        <f t="shared" si="871"/>
        <v>163984.79999999999</v>
      </c>
      <c r="EM193" s="28">
        <f t="shared" si="871"/>
        <v>97139.810000000012</v>
      </c>
      <c r="EN193" s="28">
        <f t="shared" si="871"/>
        <v>75540.78</v>
      </c>
      <c r="EO193" s="28">
        <f t="shared" si="871"/>
        <v>74180.739999999991</v>
      </c>
      <c r="EP193" s="28">
        <f t="shared" si="871"/>
        <v>34930.584000000003</v>
      </c>
      <c r="EQ193" s="28">
        <f t="shared" si="871"/>
        <v>229329.65666666662</v>
      </c>
      <c r="ER193" s="28">
        <f t="shared" si="871"/>
        <v>60494.689999999995</v>
      </c>
      <c r="ES193" s="28">
        <f t="shared" si="871"/>
        <v>52670.390000000007</v>
      </c>
      <c r="ET193" s="28">
        <f t="shared" si="871"/>
        <v>56427.270000000004</v>
      </c>
      <c r="EU193" s="28">
        <f t="shared" si="871"/>
        <v>0</v>
      </c>
      <c r="EV193" s="28">
        <f t="shared" si="871"/>
        <v>0</v>
      </c>
      <c r="EW193" s="28">
        <f t="shared" si="871"/>
        <v>975028.64066666679</v>
      </c>
      <c r="EX193" s="118">
        <f t="shared" si="721"/>
        <v>0.63794687953555895</v>
      </c>
      <c r="EY193" s="28">
        <f t="shared" ref="EY193:FJ193" si="872">+SUM(EY194:EY204)</f>
        <v>34450</v>
      </c>
      <c r="EZ193" s="28">
        <f t="shared" si="872"/>
        <v>34450</v>
      </c>
      <c r="FA193" s="28">
        <f t="shared" si="872"/>
        <v>34450</v>
      </c>
      <c r="FB193" s="28">
        <f t="shared" si="872"/>
        <v>34450</v>
      </c>
      <c r="FC193" s="28">
        <f t="shared" si="872"/>
        <v>34450</v>
      </c>
      <c r="FD193" s="28">
        <f t="shared" si="872"/>
        <v>34450</v>
      </c>
      <c r="FE193" s="28">
        <f t="shared" si="872"/>
        <v>34450</v>
      </c>
      <c r="FF193" s="28">
        <f t="shared" si="872"/>
        <v>34450</v>
      </c>
      <c r="FG193" s="28">
        <f t="shared" si="872"/>
        <v>34450</v>
      </c>
      <c r="FH193" s="28">
        <f t="shared" si="872"/>
        <v>34450</v>
      </c>
      <c r="FI193" s="28">
        <f t="shared" si="872"/>
        <v>34450</v>
      </c>
      <c r="FJ193" s="28">
        <f t="shared" si="872"/>
        <v>34450</v>
      </c>
      <c r="FK193" s="58">
        <f>+SUM(EY193:FJ193)</f>
        <v>413400</v>
      </c>
    </row>
    <row r="194" spans="1:167" ht="14.45" hidden="1" customHeight="1" outlineLevel="2">
      <c r="A194" s="106">
        <f t="shared" ref="A194:M204" si="873">+AQ194+CG194+DW194</f>
        <v>19419.599999999999</v>
      </c>
      <c r="B194" s="106">
        <f t="shared" si="873"/>
        <v>19419.599999999999</v>
      </c>
      <c r="C194" s="106">
        <f t="shared" si="873"/>
        <v>19419.599999999999</v>
      </c>
      <c r="D194" s="106">
        <f t="shared" si="873"/>
        <v>19419.599999999999</v>
      </c>
      <c r="E194" s="106">
        <f t="shared" si="873"/>
        <v>19419.599999999999</v>
      </c>
      <c r="F194" s="106">
        <f t="shared" si="873"/>
        <v>19419.599999999999</v>
      </c>
      <c r="G194" s="106">
        <f t="shared" si="873"/>
        <v>19419.599999999999</v>
      </c>
      <c r="H194" s="106">
        <f t="shared" si="873"/>
        <v>19419.599999999999</v>
      </c>
      <c r="I194" s="106">
        <f t="shared" si="873"/>
        <v>19419.599999999999</v>
      </c>
      <c r="J194" s="106">
        <f t="shared" si="873"/>
        <v>19596</v>
      </c>
      <c r="K194" s="106">
        <f t="shared" si="873"/>
        <v>19596</v>
      </c>
      <c r="L194" s="106">
        <f t="shared" si="873"/>
        <v>19596</v>
      </c>
      <c r="M194" s="106">
        <f t="shared" si="873"/>
        <v>233564.39999999997</v>
      </c>
      <c r="N194" s="16" t="s">
        <v>163</v>
      </c>
      <c r="O194" s="22">
        <f t="shared" ref="O194:AA204" si="874">+BE194+CU194+EK194</f>
        <v>20390.599999999999</v>
      </c>
      <c r="P194" s="22">
        <f t="shared" si="874"/>
        <v>0</v>
      </c>
      <c r="Q194" s="22">
        <f t="shared" si="874"/>
        <v>20390.60000000002</v>
      </c>
      <c r="R194" s="22">
        <f t="shared" si="874"/>
        <v>20173.574999999997</v>
      </c>
      <c r="S194" s="22">
        <f t="shared" si="874"/>
        <v>20397.723000000002</v>
      </c>
      <c r="T194" s="22">
        <f t="shared" si="874"/>
        <v>20397.723000000002</v>
      </c>
      <c r="U194" s="22">
        <f t="shared" si="874"/>
        <v>48569.523000000001</v>
      </c>
      <c r="V194" s="22">
        <f t="shared" si="874"/>
        <v>32135.599999999999</v>
      </c>
      <c r="W194" s="22">
        <f t="shared" si="874"/>
        <v>27440.399999999998</v>
      </c>
      <c r="X194" s="22">
        <f t="shared" si="874"/>
        <v>38563.200000000004</v>
      </c>
      <c r="Y194" s="22">
        <f t="shared" si="874"/>
        <v>0</v>
      </c>
      <c r="Z194" s="22">
        <f t="shared" si="874"/>
        <v>0</v>
      </c>
      <c r="AA194" s="22">
        <f t="shared" si="874"/>
        <v>248458.94400000002</v>
      </c>
      <c r="AB194" s="118">
        <f t="shared" si="708"/>
        <v>0.89122438770806189</v>
      </c>
      <c r="AC194" s="22">
        <f t="shared" ref="AC194:AO204" si="875">+BS194+DI194+EY194</f>
        <v>20390.599999999999</v>
      </c>
      <c r="AD194" s="22">
        <f t="shared" si="875"/>
        <v>20390.599999999999</v>
      </c>
      <c r="AE194" s="22">
        <f t="shared" si="875"/>
        <v>20390.599999999999</v>
      </c>
      <c r="AF194" s="22">
        <f t="shared" si="875"/>
        <v>20390.599999999999</v>
      </c>
      <c r="AG194" s="22">
        <f t="shared" si="875"/>
        <v>20390.599999999999</v>
      </c>
      <c r="AH194" s="22">
        <f t="shared" si="875"/>
        <v>20390.599999999999</v>
      </c>
      <c r="AI194" s="22">
        <f t="shared" si="875"/>
        <v>20390.599999999999</v>
      </c>
      <c r="AJ194" s="22">
        <f t="shared" si="875"/>
        <v>20390.599999999999</v>
      </c>
      <c r="AK194" s="22">
        <f t="shared" si="875"/>
        <v>20390.599999999999</v>
      </c>
      <c r="AL194" s="22">
        <f t="shared" si="875"/>
        <v>20390.599999999999</v>
      </c>
      <c r="AM194" s="22">
        <f t="shared" si="875"/>
        <v>20390.599999999999</v>
      </c>
      <c r="AN194" s="22">
        <f t="shared" si="875"/>
        <v>20390.599999999999</v>
      </c>
      <c r="AO194" s="22">
        <f t="shared" si="875"/>
        <v>244687.19999999995</v>
      </c>
      <c r="AQ194" s="106">
        <v>15889.8</v>
      </c>
      <c r="AR194" s="106">
        <v>15889.8</v>
      </c>
      <c r="AS194" s="106">
        <v>15889.8</v>
      </c>
      <c r="AT194" s="106">
        <v>15889.8</v>
      </c>
      <c r="AU194" s="106">
        <v>15889.8</v>
      </c>
      <c r="AV194" s="106">
        <v>15889.8</v>
      </c>
      <c r="AW194" s="106">
        <v>15889.8</v>
      </c>
      <c r="AX194" s="106">
        <v>15889.8</v>
      </c>
      <c r="AY194" s="106">
        <v>15889.8</v>
      </c>
      <c r="AZ194" s="106">
        <v>15889.8</v>
      </c>
      <c r="BA194" s="106">
        <v>15889.8</v>
      </c>
      <c r="BB194" s="106">
        <v>15889.8</v>
      </c>
      <c r="BC194" s="106">
        <f t="shared" ref="BC194:BC204" si="876">+SUM(AQ194:BB194)</f>
        <v>190677.59999999998</v>
      </c>
      <c r="BD194" s="16" t="str">
        <f t="shared" si="591"/>
        <v>Corporation or PunchayathTaxes</v>
      </c>
      <c r="BE194" s="22">
        <f>+VLOOKUP($BD194,'Jan-25'!$A:$J,4,0)</f>
        <v>16684.3</v>
      </c>
      <c r="BF194" s="22">
        <f>+VLOOKUP($BD194,'Feb-25'!$A:$J,4,0)</f>
        <v>0</v>
      </c>
      <c r="BG194" s="22">
        <f>+VLOOKUP($BD194,'Mar-25'!$A:$J,4,0)</f>
        <v>16684.300000000021</v>
      </c>
      <c r="BH194" s="22">
        <f>+VLOOKUP($BD194,'Apr-25'!$A:$J,4,0)</f>
        <v>16501.055999999997</v>
      </c>
      <c r="BI194" s="22">
        <f>+VLOOKUP($BD194,'May-25'!$A:$J,4,0)</f>
        <v>16684.398000000001</v>
      </c>
      <c r="BJ194" s="22">
        <f>+VLOOKUP($BD194,'June-25'!$A:$J,4,0)</f>
        <v>16684.398000000001</v>
      </c>
      <c r="BK194" s="22">
        <f>+VLOOKUP($BD194,'July-25'!$A:$J,4,0)</f>
        <v>16684.398000000001</v>
      </c>
      <c r="BL194" s="22">
        <f>+VLOOKUP($BD194,'Aug-25'!$A:$J,4,0)</f>
        <v>16684.2</v>
      </c>
      <c r="BM194" s="22">
        <f>+VLOOKUP($BD194,'Sep-25'!$A:$J,4,0)</f>
        <v>16684.2</v>
      </c>
      <c r="BN194" s="22">
        <f>+VLOOKUP($BD194,'Oct-25'!$A:$J,4,0)</f>
        <v>27807</v>
      </c>
      <c r="BO194" s="22">
        <f>+VLOOKUP($BD194,'Nov-25'!$A:$J,4,0)</f>
        <v>0</v>
      </c>
      <c r="BP194" s="22">
        <f>+VLOOKUP($BD194,'Dec-25'!$A:$J,4,0)</f>
        <v>0</v>
      </c>
      <c r="BQ194" s="22">
        <f t="shared" ref="BQ194:BQ204" si="877">+SUM(BE194:BP194)</f>
        <v>161098.25000000003</v>
      </c>
      <c r="BR194" s="118">
        <f t="shared" si="713"/>
        <v>0.66665667723548494</v>
      </c>
      <c r="BS194" s="106">
        <f>+_xlfn.XLOOKUP($BD194,Budget!$A:$A,Budget!AQ:AQ)</f>
        <v>16684.3</v>
      </c>
      <c r="BT194" s="106">
        <f>+_xlfn.XLOOKUP($BD194,Budget!$A:$A,Budget!AR:AR)</f>
        <v>16684.3</v>
      </c>
      <c r="BU194" s="106">
        <f>+_xlfn.XLOOKUP($BD194,Budget!$A:$A,Budget!AS:AS)</f>
        <v>16684.3</v>
      </c>
      <c r="BV194" s="106">
        <f>+_xlfn.XLOOKUP($BD194,Budget!$A:$A,Budget!AT:AT)</f>
        <v>16684.3</v>
      </c>
      <c r="BW194" s="106">
        <f>+_xlfn.XLOOKUP($BD194,Budget!$A:$A,Budget!AU:AU)</f>
        <v>16684.3</v>
      </c>
      <c r="BX194" s="106">
        <f>+_xlfn.XLOOKUP($BD194,Budget!$A:$A,Budget!AV:AV)</f>
        <v>16684.3</v>
      </c>
      <c r="BY194" s="106">
        <f>+_xlfn.XLOOKUP($BD194,Budget!$A:$A,Budget!AW:AW)</f>
        <v>16684.3</v>
      </c>
      <c r="BZ194" s="106">
        <f>+_xlfn.XLOOKUP($BD194,Budget!$A:$A,Budget!AX:AX)</f>
        <v>16684.3</v>
      </c>
      <c r="CA194" s="106">
        <f>+_xlfn.XLOOKUP($BD194,Budget!$A:$A,Budget!AY:AY)</f>
        <v>16684.3</v>
      </c>
      <c r="CB194" s="106">
        <f>+_xlfn.XLOOKUP($BD194,Budget!$A:$A,Budget!AZ:AZ)</f>
        <v>16684.3</v>
      </c>
      <c r="CC194" s="106">
        <f>+_xlfn.XLOOKUP($BD194,Budget!$A:$A,Budget!BA:BA)</f>
        <v>16684.3</v>
      </c>
      <c r="CD194" s="106">
        <f>+_xlfn.XLOOKUP($BD194,Budget!$A:$A,Budget!BB:BB)</f>
        <v>16684.3</v>
      </c>
      <c r="CE194" s="106">
        <f t="shared" ref="CE194:CE204" si="878">+SUM(BS194:CD194)</f>
        <v>200211.59999999995</v>
      </c>
      <c r="CF194" s="22"/>
      <c r="CG194" s="22">
        <v>3529.7999999999997</v>
      </c>
      <c r="CH194" s="22">
        <v>3529.7999999999997</v>
      </c>
      <c r="CI194" s="22">
        <v>3529.7999999999997</v>
      </c>
      <c r="CJ194" s="22">
        <v>3529.7999999999997</v>
      </c>
      <c r="CK194" s="22">
        <v>3529.7999999999997</v>
      </c>
      <c r="CL194" s="22">
        <v>3529.7999999999997</v>
      </c>
      <c r="CM194" s="22">
        <v>3529.7999999999997</v>
      </c>
      <c r="CN194" s="22">
        <v>3529.7999999999997</v>
      </c>
      <c r="CO194" s="22">
        <v>3529.8</v>
      </c>
      <c r="CP194" s="22">
        <v>3706.2</v>
      </c>
      <c r="CQ194" s="22">
        <v>3706.2</v>
      </c>
      <c r="CR194" s="22">
        <v>3706.2</v>
      </c>
      <c r="CS194" s="106">
        <f t="shared" ref="CS194:CS204" si="879">+SUM(CG194:CR194)</f>
        <v>42886.799999999988</v>
      </c>
      <c r="CT194" s="16" t="str">
        <f t="shared" si="595"/>
        <v>Corporation or PunchayathTaxes</v>
      </c>
      <c r="CU194" s="22">
        <f>+VLOOKUP($BD194,'Jan-25'!$A:$J,7,0)</f>
        <v>3706.3</v>
      </c>
      <c r="CV194" s="22">
        <f>+VLOOKUP($BD194,'Feb-25'!$A:$J,7,0)</f>
        <v>0</v>
      </c>
      <c r="CW194" s="22">
        <f>+VLOOKUP($BD194,'Mar-25'!$A:$J,7,0)</f>
        <v>3706.3</v>
      </c>
      <c r="CX194" s="22">
        <f>+VLOOKUP($BD194,'Apr-25'!$A:$J,7,0)</f>
        <v>3672.5189999999998</v>
      </c>
      <c r="CY194" s="22">
        <f>+VLOOKUP($BD194,'May-25'!$A:$J,7,0)</f>
        <v>3713.3249999999998</v>
      </c>
      <c r="CZ194" s="22">
        <f>+VLOOKUP($BD194,'June-25'!$A:$J,7,0)</f>
        <v>3713.3249999999998</v>
      </c>
      <c r="DA194" s="22">
        <f>+VLOOKUP($BD194,'July-25'!$A:$J,7,0)</f>
        <v>3713.3249999999998</v>
      </c>
      <c r="DB194" s="22">
        <f>+VLOOKUP($BD194,'Aug-25'!$A:$J,7,0)</f>
        <v>3713.3999999999996</v>
      </c>
      <c r="DC194" s="22">
        <f>+VLOOKUP($BD194,'Sep-25'!$A:$J,7,0)</f>
        <v>3713.3999999999996</v>
      </c>
      <c r="DD194" s="22">
        <f>+VLOOKUP($BD194,'Oct-25'!$A:$J,7,0)</f>
        <v>3713.3999999999996</v>
      </c>
      <c r="DE194" s="22">
        <f>+VLOOKUP($BD194,'Nov-25'!$A:$J,7,0)</f>
        <v>0</v>
      </c>
      <c r="DF194" s="22">
        <f>+VLOOKUP($BD194,'Dec-25'!$A:$J,7,0)</f>
        <v>0</v>
      </c>
      <c r="DG194" s="22">
        <f t="shared" ref="DG194:DG204" si="880">+SUM(CU194:DF194)</f>
        <v>33365.294000000002</v>
      </c>
      <c r="DH194" s="118">
        <f t="shared" si="717"/>
        <v>1.9156571243556793E-3</v>
      </c>
      <c r="DI194" s="22">
        <f>+_xlfn.XLOOKUP($CT194,Budget!$A:$A,Budget!CD:CD)</f>
        <v>3706.3</v>
      </c>
      <c r="DJ194" s="22">
        <f>+_xlfn.XLOOKUP($CT194,Budget!$A:$A,Budget!CE:CE)</f>
        <v>3706.3</v>
      </c>
      <c r="DK194" s="22">
        <f>+_xlfn.XLOOKUP($CT194,Budget!$A:$A,Budget!CF:CF)</f>
        <v>3706.3</v>
      </c>
      <c r="DL194" s="22">
        <f>+_xlfn.XLOOKUP($CT194,Budget!$A:$A,Budget!CG:CG)</f>
        <v>3706.3</v>
      </c>
      <c r="DM194" s="22">
        <f>+_xlfn.XLOOKUP($CT194,Budget!$A:$A,Budget!CH:CH)</f>
        <v>3706.3</v>
      </c>
      <c r="DN194" s="22">
        <f>+_xlfn.XLOOKUP($CT194,Budget!$A:$A,Budget!CI:CI)</f>
        <v>3706.3</v>
      </c>
      <c r="DO194" s="22">
        <f>+_xlfn.XLOOKUP($CT194,Budget!$A:$A,Budget!CJ:CJ)</f>
        <v>3706.3</v>
      </c>
      <c r="DP194" s="22">
        <f>+_xlfn.XLOOKUP($CT194,Budget!$A:$A,Budget!CK:CK)</f>
        <v>3706.3</v>
      </c>
      <c r="DQ194" s="22">
        <f>+_xlfn.XLOOKUP($CT194,Budget!$A:$A,Budget!CL:CL)</f>
        <v>3706.3</v>
      </c>
      <c r="DR194" s="22">
        <f>+_xlfn.XLOOKUP($CT194,Budget!$A:$A,Budget!CM:CM)</f>
        <v>3706.3</v>
      </c>
      <c r="DS194" s="22">
        <f>+_xlfn.XLOOKUP($CT194,Budget!$A:$A,Budget!CN:CN)</f>
        <v>3706.3</v>
      </c>
      <c r="DT194" s="22">
        <f>+_xlfn.XLOOKUP($CT194,Budget!$A:$A,Budget!CO:CO)</f>
        <v>3706.3</v>
      </c>
      <c r="DU194" s="106">
        <f t="shared" ref="DU194:DU204" si="881">+SUM(DI194:DT194)</f>
        <v>44475.600000000006</v>
      </c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106">
        <f t="shared" ref="EI194:EI204" si="882">+SUM(DW194:EH194)</f>
        <v>0</v>
      </c>
      <c r="EJ194" s="16" t="str">
        <f t="shared" si="601"/>
        <v>Corporation or PunchayathTaxes</v>
      </c>
      <c r="EK194" s="22">
        <f>+VLOOKUP($BD194,'Jan-25'!$A:$J,9,0)</f>
        <v>0</v>
      </c>
      <c r="EL194" s="22">
        <f>+VLOOKUP($BD194,'Feb-25'!$A:$J,9,0)</f>
        <v>0</v>
      </c>
      <c r="EM194" s="22">
        <f>+VLOOKUP($BD194,'Mar-25'!$A:$J,9,0)</f>
        <v>0</v>
      </c>
      <c r="EN194" s="22">
        <f>+VLOOKUP($BD194,'Apr-25'!$A:$J,9,0)</f>
        <v>0</v>
      </c>
      <c r="EO194" s="22">
        <f>+VLOOKUP($BD194,'May-25'!$A:$J,9,0)</f>
        <v>0</v>
      </c>
      <c r="EP194" s="22">
        <f>+VLOOKUP($BD194,'June-25'!$A:$J,9,0)</f>
        <v>0</v>
      </c>
      <c r="EQ194" s="22">
        <f>+VLOOKUP($BD194,'July-25'!$A:$J,9,0)</f>
        <v>28171.8</v>
      </c>
      <c r="ER194" s="22">
        <f>+VLOOKUP($BD194,'Aug-25'!$A:$J,9,0)</f>
        <v>11738</v>
      </c>
      <c r="ES194" s="22">
        <f>+VLOOKUP($BD194,'Sep-25'!$A:$J,9,0)</f>
        <v>7042.8</v>
      </c>
      <c r="ET194" s="22">
        <f>+VLOOKUP($BD194,'Oct-25'!$A:$J,9,0)</f>
        <v>7042.8</v>
      </c>
      <c r="EU194" s="22">
        <f>+VLOOKUP($BD194,'Nov-25'!$A:$J,9,0)</f>
        <v>0</v>
      </c>
      <c r="EV194" s="22">
        <f>+VLOOKUP($BD194,'Dec-25'!$A:$J,9,0)</f>
        <v>0</v>
      </c>
      <c r="EW194" s="22">
        <f t="shared" ref="EW194:EW204" si="883">+SUM(EK194:EV194)</f>
        <v>53995.400000000009</v>
      </c>
      <c r="EX194" s="118">
        <f t="shared" si="721"/>
        <v>0</v>
      </c>
      <c r="EY194" s="22">
        <f>+_xlfn.XLOOKUP($EJ194,Budget!$A:$A,Budget!DE:DE)</f>
        <v>0</v>
      </c>
      <c r="EZ194" s="22">
        <f>+_xlfn.XLOOKUP($EJ194,Budget!$A:$A,Budget!DF:DF)</f>
        <v>0</v>
      </c>
      <c r="FA194" s="22">
        <f>+_xlfn.XLOOKUP($EJ194,Budget!$A:$A,Budget!DG:DG)</f>
        <v>0</v>
      </c>
      <c r="FB194" s="22">
        <f>+_xlfn.XLOOKUP($EJ194,Budget!$A:$A,Budget!DH:DH)</f>
        <v>0</v>
      </c>
      <c r="FC194" s="22">
        <f>+_xlfn.XLOOKUP($EJ194,Budget!$A:$A,Budget!DI:DI)</f>
        <v>0</v>
      </c>
      <c r="FD194" s="22">
        <f>+_xlfn.XLOOKUP($EJ194,Budget!$A:$A,Budget!DJ:DJ)</f>
        <v>0</v>
      </c>
      <c r="FE194" s="22">
        <f>+_xlfn.XLOOKUP($EJ194,Budget!$A:$A,Budget!DK:DK)</f>
        <v>0</v>
      </c>
      <c r="FF194" s="22">
        <f>+_xlfn.XLOOKUP($EJ194,Budget!$A:$A,Budget!DL:DL)</f>
        <v>0</v>
      </c>
      <c r="FG194" s="22">
        <f>+_xlfn.XLOOKUP($EJ194,Budget!$A:$A,Budget!DM:DM)</f>
        <v>0</v>
      </c>
      <c r="FH194" s="22">
        <f>+_xlfn.XLOOKUP($EJ194,Budget!$A:$A,Budget!DN:DN)</f>
        <v>0</v>
      </c>
      <c r="FI194" s="22">
        <f>+_xlfn.XLOOKUP($EJ194,Budget!$A:$A,Budget!DO:DO)</f>
        <v>0</v>
      </c>
      <c r="FJ194" s="22">
        <f>+_xlfn.XLOOKUP($EJ194,Budget!$A:$A,Budget!DP:DP)</f>
        <v>0</v>
      </c>
      <c r="FK194" s="106">
        <f t="shared" ref="FK194:FK204" si="884">+SUM(EY194:FJ194)</f>
        <v>0</v>
      </c>
    </row>
    <row r="195" spans="1:167" ht="14.45" hidden="1" customHeight="1" outlineLevel="2">
      <c r="A195" s="106">
        <f t="shared" si="873"/>
        <v>71.55</v>
      </c>
      <c r="B195" s="106">
        <f t="shared" si="873"/>
        <v>71.55</v>
      </c>
      <c r="C195" s="106">
        <f t="shared" si="873"/>
        <v>71.55</v>
      </c>
      <c r="D195" s="106">
        <f t="shared" si="873"/>
        <v>71.55</v>
      </c>
      <c r="E195" s="106">
        <f t="shared" si="873"/>
        <v>164.54999999999998</v>
      </c>
      <c r="F195" s="106">
        <f t="shared" si="873"/>
        <v>71.55</v>
      </c>
      <c r="G195" s="106">
        <f t="shared" si="873"/>
        <v>71.55</v>
      </c>
      <c r="H195" s="106">
        <f t="shared" si="873"/>
        <v>71.55</v>
      </c>
      <c r="I195" s="106">
        <f t="shared" si="873"/>
        <v>71.55</v>
      </c>
      <c r="J195" s="106">
        <f t="shared" si="873"/>
        <v>71.55</v>
      </c>
      <c r="K195" s="106">
        <f t="shared" si="873"/>
        <v>71.55</v>
      </c>
      <c r="L195" s="106">
        <f t="shared" si="873"/>
        <v>71.55</v>
      </c>
      <c r="M195" s="106">
        <f t="shared" si="873"/>
        <v>951.60000000000014</v>
      </c>
      <c r="N195" s="16" t="s">
        <v>164</v>
      </c>
      <c r="O195" s="22">
        <f t="shared" si="874"/>
        <v>290.55</v>
      </c>
      <c r="P195" s="22">
        <f t="shared" si="874"/>
        <v>301.55</v>
      </c>
      <c r="Q195" s="22">
        <f t="shared" si="874"/>
        <v>301.55</v>
      </c>
      <c r="R195" s="22">
        <f t="shared" si="874"/>
        <v>301.55</v>
      </c>
      <c r="S195" s="22">
        <f t="shared" si="874"/>
        <v>301.55</v>
      </c>
      <c r="T195" s="22">
        <f t="shared" si="874"/>
        <v>301.55</v>
      </c>
      <c r="U195" s="22">
        <f t="shared" si="874"/>
        <v>2560.8092592592579</v>
      </c>
      <c r="V195" s="22">
        <f t="shared" si="874"/>
        <v>863.96</v>
      </c>
      <c r="W195" s="22">
        <f t="shared" si="874"/>
        <v>937.93999999999994</v>
      </c>
      <c r="X195" s="22">
        <f t="shared" si="874"/>
        <v>1989.0500000000002</v>
      </c>
      <c r="Y195" s="22">
        <f t="shared" si="874"/>
        <v>0</v>
      </c>
      <c r="Z195" s="22">
        <f t="shared" si="874"/>
        <v>0</v>
      </c>
      <c r="AA195" s="22">
        <f t="shared" si="874"/>
        <v>8150.0592592592575</v>
      </c>
      <c r="AB195" s="118">
        <f t="shared" si="708"/>
        <v>2.2996848042468487</v>
      </c>
      <c r="AC195" s="22">
        <f t="shared" si="875"/>
        <v>602.79999999999995</v>
      </c>
      <c r="AD195" s="22">
        <f t="shared" si="875"/>
        <v>602.79999999999995</v>
      </c>
      <c r="AE195" s="22">
        <f t="shared" si="875"/>
        <v>602.79999999999995</v>
      </c>
      <c r="AF195" s="22">
        <f t="shared" si="875"/>
        <v>602.79999999999995</v>
      </c>
      <c r="AG195" s="22">
        <f t="shared" si="875"/>
        <v>602.79999999999995</v>
      </c>
      <c r="AH195" s="22">
        <f t="shared" si="875"/>
        <v>602.79999999999995</v>
      </c>
      <c r="AI195" s="22">
        <f t="shared" si="875"/>
        <v>602.79999999999995</v>
      </c>
      <c r="AJ195" s="22">
        <f t="shared" si="875"/>
        <v>602.79999999999995</v>
      </c>
      <c r="AK195" s="22">
        <f t="shared" si="875"/>
        <v>602.79999999999995</v>
      </c>
      <c r="AL195" s="22">
        <f t="shared" si="875"/>
        <v>602.79999999999995</v>
      </c>
      <c r="AM195" s="22">
        <f t="shared" si="875"/>
        <v>602.79999999999995</v>
      </c>
      <c r="AN195" s="22">
        <f t="shared" si="875"/>
        <v>602.79999999999995</v>
      </c>
      <c r="AO195" s="22">
        <f t="shared" si="875"/>
        <v>7233.5999999999995</v>
      </c>
      <c r="AQ195" s="106">
        <v>47.699999999999996</v>
      </c>
      <c r="AR195" s="106">
        <v>47.699999999999996</v>
      </c>
      <c r="AS195" s="106">
        <v>47.699999999999996</v>
      </c>
      <c r="AT195" s="106">
        <v>47.699999999999996</v>
      </c>
      <c r="AU195" s="106">
        <v>47.699999999999996</v>
      </c>
      <c r="AV195" s="106">
        <v>47.699999999999996</v>
      </c>
      <c r="AW195" s="106">
        <v>47.699999999999996</v>
      </c>
      <c r="AX195" s="106">
        <v>47.699999999999996</v>
      </c>
      <c r="AY195" s="106">
        <v>47.699999999999996</v>
      </c>
      <c r="AZ195" s="106">
        <v>47.699999999999996</v>
      </c>
      <c r="BA195" s="106">
        <v>47.699999999999996</v>
      </c>
      <c r="BB195" s="106">
        <v>47.699999999999996</v>
      </c>
      <c r="BC195" s="106">
        <f t="shared" si="876"/>
        <v>572.4</v>
      </c>
      <c r="BD195" s="16" t="str">
        <f t="shared" si="591"/>
        <v>License Fees</v>
      </c>
      <c r="BE195" s="22">
        <f>+VLOOKUP($BD195,'Jan-25'!$A:$J,4,0)</f>
        <v>47.699999999999996</v>
      </c>
      <c r="BF195" s="22">
        <f>+VLOOKUP($BD195,'Feb-25'!$A:$J,4,0)</f>
        <v>47.699999999999996</v>
      </c>
      <c r="BG195" s="22">
        <f>+VLOOKUP($BD195,'Mar-25'!$A:$J,4,0)</f>
        <v>47.699999999999996</v>
      </c>
      <c r="BH195" s="22">
        <f>+VLOOKUP($BD195,'Apr-25'!$A:$J,4,0)</f>
        <v>47.699999999999996</v>
      </c>
      <c r="BI195" s="22">
        <f>+VLOOKUP($BD195,'May-25'!$A:$J,4,0)</f>
        <v>47.699999999999996</v>
      </c>
      <c r="BJ195" s="22">
        <f>+VLOOKUP($BD195,'June-25'!$A:$J,4,0)</f>
        <v>47.699999999999996</v>
      </c>
      <c r="BK195" s="22">
        <f>+VLOOKUP($BD195,'July-25'!$A:$J,4,0)</f>
        <v>1553.8728395061719</v>
      </c>
      <c r="BL195" s="22">
        <f>+VLOOKUP($BD195,'Aug-25'!$A:$J,4,0)</f>
        <v>422.64</v>
      </c>
      <c r="BM195" s="22">
        <f>+VLOOKUP($BD195,'Sep-25'!$A:$J,4,0)</f>
        <v>471.96</v>
      </c>
      <c r="BN195" s="22">
        <f>+VLOOKUP($BD195,'Oct-25'!$A:$J,4,0)</f>
        <v>1172.7</v>
      </c>
      <c r="BO195" s="22">
        <f>+VLOOKUP($BD195,'Nov-25'!$A:$J,4,0)</f>
        <v>0</v>
      </c>
      <c r="BP195" s="22">
        <f>+VLOOKUP($BD195,'Dec-25'!$A:$J,4,0)</f>
        <v>0</v>
      </c>
      <c r="BQ195" s="22">
        <f t="shared" si="877"/>
        <v>3907.3728395061717</v>
      </c>
      <c r="BR195" s="118">
        <f t="shared" si="713"/>
        <v>23.584905660377359</v>
      </c>
      <c r="BS195" s="106">
        <f>+_xlfn.XLOOKUP($BD195,Budget!$A:$A,Budget!AQ:AQ)</f>
        <v>47.699999999999996</v>
      </c>
      <c r="BT195" s="106">
        <f>+_xlfn.XLOOKUP($BD195,Budget!$A:$A,Budget!AR:AR)</f>
        <v>47.699999999999996</v>
      </c>
      <c r="BU195" s="106">
        <f>+_xlfn.XLOOKUP($BD195,Budget!$A:$A,Budget!AS:AS)</f>
        <v>47.699999999999996</v>
      </c>
      <c r="BV195" s="106">
        <f>+_xlfn.XLOOKUP($BD195,Budget!$A:$A,Budget!AT:AT)</f>
        <v>47.699999999999996</v>
      </c>
      <c r="BW195" s="106">
        <f>+_xlfn.XLOOKUP($BD195,Budget!$A:$A,Budget!AU:AU)</f>
        <v>47.699999999999996</v>
      </c>
      <c r="BX195" s="106">
        <f>+_xlfn.XLOOKUP($BD195,Budget!$A:$A,Budget!AV:AV)</f>
        <v>47.699999999999996</v>
      </c>
      <c r="BY195" s="106">
        <f>+_xlfn.XLOOKUP($BD195,Budget!$A:$A,Budget!AW:AW)</f>
        <v>47.699999999999996</v>
      </c>
      <c r="BZ195" s="106">
        <f>+_xlfn.XLOOKUP($BD195,Budget!$A:$A,Budget!AX:AX)</f>
        <v>47.699999999999996</v>
      </c>
      <c r="CA195" s="106">
        <f>+_xlfn.XLOOKUP($BD195,Budget!$A:$A,Budget!AY:AY)</f>
        <v>47.699999999999996</v>
      </c>
      <c r="CB195" s="106">
        <f>+_xlfn.XLOOKUP($BD195,Budget!$A:$A,Budget!AZ:AZ)</f>
        <v>47.699999999999996</v>
      </c>
      <c r="CC195" s="106">
        <f>+_xlfn.XLOOKUP($BD195,Budget!$A:$A,Budget!BA:BA)</f>
        <v>47.699999999999996</v>
      </c>
      <c r="CD195" s="106">
        <f>+_xlfn.XLOOKUP($BD195,Budget!$A:$A,Budget!BB:BB)</f>
        <v>47.699999999999996</v>
      </c>
      <c r="CE195" s="106">
        <f t="shared" si="878"/>
        <v>572.4</v>
      </c>
      <c r="CF195" s="22"/>
      <c r="CG195" s="22">
        <v>23.849999999999998</v>
      </c>
      <c r="CH195" s="22">
        <v>23.849999999999998</v>
      </c>
      <c r="CI195" s="22">
        <v>23.849999999999998</v>
      </c>
      <c r="CJ195" s="22">
        <v>23.849999999999998</v>
      </c>
      <c r="CK195" s="22">
        <v>116.85</v>
      </c>
      <c r="CL195" s="22">
        <v>23.849999999999998</v>
      </c>
      <c r="CM195" s="22">
        <v>23.849999999999998</v>
      </c>
      <c r="CN195" s="22">
        <v>23.849999999999998</v>
      </c>
      <c r="CO195" s="22">
        <v>23.849999999999998</v>
      </c>
      <c r="CP195" s="22">
        <v>23.849999999999998</v>
      </c>
      <c r="CQ195" s="22">
        <v>23.849999999999998</v>
      </c>
      <c r="CR195" s="22">
        <v>23.849999999999998</v>
      </c>
      <c r="CS195" s="106">
        <f t="shared" si="879"/>
        <v>379.2000000000001</v>
      </c>
      <c r="CT195" s="16" t="str">
        <f t="shared" si="595"/>
        <v>License Fees</v>
      </c>
      <c r="CU195" s="22">
        <f>+VLOOKUP($BD195,'Jan-25'!$A:$J,7,0)</f>
        <v>23.849999999999998</v>
      </c>
      <c r="CV195" s="22">
        <f>+VLOOKUP($BD195,'Feb-25'!$A:$J,7,0)</f>
        <v>23.849999999999998</v>
      </c>
      <c r="CW195" s="22">
        <f>+VLOOKUP($BD195,'Mar-25'!$A:$J,7,0)</f>
        <v>23.849999999999998</v>
      </c>
      <c r="CX195" s="22">
        <f>+VLOOKUP($BD195,'Apr-25'!$A:$J,7,0)</f>
        <v>23.849999999999998</v>
      </c>
      <c r="CY195" s="22">
        <f>+VLOOKUP($BD195,'May-25'!$A:$J,7,0)</f>
        <v>23.849999999999998</v>
      </c>
      <c r="CZ195" s="22">
        <f>+VLOOKUP($BD195,'June-25'!$A:$J,7,0)</f>
        <v>23.849999999999998</v>
      </c>
      <c r="DA195" s="22">
        <f>+VLOOKUP($BD195,'July-25'!$A:$J,7,0)</f>
        <v>776.93641975308594</v>
      </c>
      <c r="DB195" s="22">
        <f>+VLOOKUP($BD195,'Aug-25'!$A:$J,7,0)</f>
        <v>211.32</v>
      </c>
      <c r="DC195" s="22">
        <f>+VLOOKUP($BD195,'Sep-25'!$A:$J,7,0)</f>
        <v>235.98</v>
      </c>
      <c r="DD195" s="22">
        <f>+VLOOKUP($BD195,'Oct-25'!$A:$J,7,0)</f>
        <v>586.35</v>
      </c>
      <c r="DE195" s="22">
        <f>+VLOOKUP($BD195,'Nov-25'!$A:$J,7,0)</f>
        <v>0</v>
      </c>
      <c r="DF195" s="22">
        <f>+VLOOKUP($BD195,'Dec-25'!$A:$J,7,0)</f>
        <v>0</v>
      </c>
      <c r="DG195" s="22">
        <f t="shared" si="880"/>
        <v>1953.6864197530858</v>
      </c>
      <c r="DH195" s="118">
        <f t="shared" si="717"/>
        <v>0.65122500704027031</v>
      </c>
      <c r="DI195" s="22">
        <f>+_xlfn.XLOOKUP($CT195,Budget!$A:$A,Budget!CD:CD)</f>
        <v>355.1</v>
      </c>
      <c r="DJ195" s="22">
        <f>+_xlfn.XLOOKUP($CT195,Budget!$A:$A,Budget!CE:CE)</f>
        <v>355.1</v>
      </c>
      <c r="DK195" s="22">
        <f>+_xlfn.XLOOKUP($CT195,Budget!$A:$A,Budget!CF:CF)</f>
        <v>355.1</v>
      </c>
      <c r="DL195" s="22">
        <f>+_xlfn.XLOOKUP($CT195,Budget!$A:$A,Budget!CG:CG)</f>
        <v>355.1</v>
      </c>
      <c r="DM195" s="22">
        <f>+_xlfn.XLOOKUP($CT195,Budget!$A:$A,Budget!CH:CH)</f>
        <v>355.1</v>
      </c>
      <c r="DN195" s="22">
        <f>+_xlfn.XLOOKUP($CT195,Budget!$A:$A,Budget!CI:CI)</f>
        <v>355.1</v>
      </c>
      <c r="DO195" s="22">
        <f>+_xlfn.XLOOKUP($CT195,Budget!$A:$A,Budget!CJ:CJ)</f>
        <v>355.1</v>
      </c>
      <c r="DP195" s="22">
        <f>+_xlfn.XLOOKUP($CT195,Budget!$A:$A,Budget!CK:CK)</f>
        <v>355.1</v>
      </c>
      <c r="DQ195" s="22">
        <f>+_xlfn.XLOOKUP($CT195,Budget!$A:$A,Budget!CL:CL)</f>
        <v>355.1</v>
      </c>
      <c r="DR195" s="22">
        <f>+_xlfn.XLOOKUP($CT195,Budget!$A:$A,Budget!CM:CM)</f>
        <v>355.1</v>
      </c>
      <c r="DS195" s="22">
        <f>+_xlfn.XLOOKUP($CT195,Budget!$A:$A,Budget!CN:CN)</f>
        <v>355.1</v>
      </c>
      <c r="DT195" s="22">
        <f>+_xlfn.XLOOKUP($CT195,Budget!$A:$A,Budget!CO:CO)</f>
        <v>355.1</v>
      </c>
      <c r="DU195" s="106">
        <f t="shared" si="881"/>
        <v>4261.2</v>
      </c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106">
        <f t="shared" si="882"/>
        <v>0</v>
      </c>
      <c r="EJ195" s="16" t="str">
        <f t="shared" si="601"/>
        <v>License Fees</v>
      </c>
      <c r="EK195" s="22">
        <f>+VLOOKUP($BD195,'Jan-25'!$A:$J,9,0)</f>
        <v>219</v>
      </c>
      <c r="EL195" s="22">
        <f>+VLOOKUP($BD195,'Feb-25'!$A:$J,9,0)</f>
        <v>230</v>
      </c>
      <c r="EM195" s="22">
        <f>+VLOOKUP($BD195,'Mar-25'!$A:$J,9,0)</f>
        <v>230</v>
      </c>
      <c r="EN195" s="22">
        <f>+VLOOKUP($BD195,'Apr-25'!$A:$J,9,0)</f>
        <v>230</v>
      </c>
      <c r="EO195" s="22">
        <f>+VLOOKUP($BD195,'May-25'!$A:$J,9,0)</f>
        <v>230</v>
      </c>
      <c r="EP195" s="22">
        <f>+VLOOKUP($BD195,'June-25'!$A:$J,9,0)</f>
        <v>230</v>
      </c>
      <c r="EQ195" s="22">
        <f>+VLOOKUP($BD195,'July-25'!$A:$J,9,0)</f>
        <v>230</v>
      </c>
      <c r="ER195" s="22">
        <f>+VLOOKUP($BD195,'Aug-25'!$A:$J,9,0)</f>
        <v>230</v>
      </c>
      <c r="ES195" s="22">
        <f>+VLOOKUP($BD195,'Sep-25'!$A:$J,9,0)</f>
        <v>230</v>
      </c>
      <c r="ET195" s="22">
        <f>+VLOOKUP($BD195,'Oct-25'!$A:$J,9,0)</f>
        <v>230</v>
      </c>
      <c r="EU195" s="22">
        <f>+VLOOKUP($BD195,'Nov-25'!$A:$J,9,0)</f>
        <v>0</v>
      </c>
      <c r="EV195" s="22">
        <f>+VLOOKUP($BD195,'Dec-25'!$A:$J,9,0)</f>
        <v>0</v>
      </c>
      <c r="EW195" s="22">
        <f t="shared" si="883"/>
        <v>2289</v>
      </c>
      <c r="EX195" s="118">
        <f t="shared" si="721"/>
        <v>0.15</v>
      </c>
      <c r="EY195" s="22">
        <f>+_xlfn.XLOOKUP($EJ195,Budget!$A:$A,Budget!DE:DE)</f>
        <v>200</v>
      </c>
      <c r="EZ195" s="22">
        <f>+_xlfn.XLOOKUP($EJ195,Budget!$A:$A,Budget!DF:DF)</f>
        <v>200</v>
      </c>
      <c r="FA195" s="22">
        <f>+_xlfn.XLOOKUP($EJ195,Budget!$A:$A,Budget!DG:DG)</f>
        <v>200</v>
      </c>
      <c r="FB195" s="22">
        <f>+_xlfn.XLOOKUP($EJ195,Budget!$A:$A,Budget!DH:DH)</f>
        <v>200</v>
      </c>
      <c r="FC195" s="22">
        <f>+_xlfn.XLOOKUP($EJ195,Budget!$A:$A,Budget!DI:DI)</f>
        <v>200</v>
      </c>
      <c r="FD195" s="22">
        <f>+_xlfn.XLOOKUP($EJ195,Budget!$A:$A,Budget!DJ:DJ)</f>
        <v>200</v>
      </c>
      <c r="FE195" s="22">
        <f>+_xlfn.XLOOKUP($EJ195,Budget!$A:$A,Budget!DK:DK)</f>
        <v>200</v>
      </c>
      <c r="FF195" s="22">
        <f>+_xlfn.XLOOKUP($EJ195,Budget!$A:$A,Budget!DL:DL)</f>
        <v>200</v>
      </c>
      <c r="FG195" s="22">
        <f>+_xlfn.XLOOKUP($EJ195,Budget!$A:$A,Budget!DM:DM)</f>
        <v>200</v>
      </c>
      <c r="FH195" s="22">
        <f>+_xlfn.XLOOKUP($EJ195,Budget!$A:$A,Budget!DN:DN)</f>
        <v>200</v>
      </c>
      <c r="FI195" s="22">
        <f>+_xlfn.XLOOKUP($EJ195,Budget!$A:$A,Budget!DO:DO)</f>
        <v>200</v>
      </c>
      <c r="FJ195" s="22">
        <f>+_xlfn.XLOOKUP($EJ195,Budget!$A:$A,Budget!DP:DP)</f>
        <v>200</v>
      </c>
      <c r="FK195" s="106">
        <f t="shared" si="884"/>
        <v>2400</v>
      </c>
    </row>
    <row r="196" spans="1:167" ht="14.45" hidden="1" customHeight="1" outlineLevel="2">
      <c r="A196" s="106">
        <f t="shared" si="873"/>
        <v>825.03599999999994</v>
      </c>
      <c r="B196" s="106">
        <f t="shared" si="873"/>
        <v>84050</v>
      </c>
      <c r="C196" s="106">
        <f t="shared" si="873"/>
        <v>8125</v>
      </c>
      <c r="D196" s="106">
        <f t="shared" si="873"/>
        <v>825</v>
      </c>
      <c r="E196" s="106">
        <f t="shared" si="873"/>
        <v>825</v>
      </c>
      <c r="F196" s="106">
        <f t="shared" si="873"/>
        <v>825</v>
      </c>
      <c r="G196" s="106">
        <f t="shared" si="873"/>
        <v>7725</v>
      </c>
      <c r="H196" s="106">
        <f t="shared" si="873"/>
        <v>825</v>
      </c>
      <c r="I196" s="106">
        <f t="shared" si="873"/>
        <v>3825.0360000000001</v>
      </c>
      <c r="J196" s="106">
        <f t="shared" si="873"/>
        <v>2750</v>
      </c>
      <c r="K196" s="106">
        <f t="shared" si="873"/>
        <v>35679.536</v>
      </c>
      <c r="L196" s="106">
        <f t="shared" si="873"/>
        <v>541110</v>
      </c>
      <c r="M196" s="106">
        <f t="shared" si="873"/>
        <v>687389.60800000001</v>
      </c>
      <c r="N196" s="16" t="s">
        <v>233</v>
      </c>
      <c r="O196" s="22">
        <f t="shared" si="874"/>
        <v>41992</v>
      </c>
      <c r="P196" s="22">
        <f t="shared" si="874"/>
        <v>92573.78</v>
      </c>
      <c r="Q196" s="22">
        <f t="shared" si="874"/>
        <v>27821.705999999998</v>
      </c>
      <c r="R196" s="22">
        <f t="shared" si="874"/>
        <v>176058.70600000001</v>
      </c>
      <c r="S196" s="22">
        <f t="shared" si="874"/>
        <v>15821.706</v>
      </c>
      <c r="T196" s="22">
        <f t="shared" si="874"/>
        <v>2991.7060000000001</v>
      </c>
      <c r="U196" s="22">
        <f t="shared" si="874"/>
        <v>174891.70206666665</v>
      </c>
      <c r="V196" s="22">
        <f t="shared" si="874"/>
        <v>5992</v>
      </c>
      <c r="W196" s="22">
        <f t="shared" si="874"/>
        <v>2220.7800000000002</v>
      </c>
      <c r="X196" s="22">
        <f t="shared" si="874"/>
        <v>2992</v>
      </c>
      <c r="Y196" s="22">
        <f t="shared" si="874"/>
        <v>0</v>
      </c>
      <c r="Z196" s="22">
        <f t="shared" si="874"/>
        <v>0</v>
      </c>
      <c r="AA196" s="22">
        <f t="shared" si="874"/>
        <v>543356.08606666676</v>
      </c>
      <c r="AB196" s="118">
        <f t="shared" si="708"/>
        <v>-0.81093249244801058</v>
      </c>
      <c r="AC196" s="22">
        <f t="shared" si="875"/>
        <v>15825.035400000001</v>
      </c>
      <c r="AD196" s="22">
        <f t="shared" si="875"/>
        <v>15825.035400000001</v>
      </c>
      <c r="AE196" s="22">
        <f t="shared" si="875"/>
        <v>15825.035400000001</v>
      </c>
      <c r="AF196" s="22">
        <f t="shared" si="875"/>
        <v>15825.035400000001</v>
      </c>
      <c r="AG196" s="22">
        <f t="shared" si="875"/>
        <v>15825.035400000001</v>
      </c>
      <c r="AH196" s="22">
        <f t="shared" si="875"/>
        <v>15825.035400000001</v>
      </c>
      <c r="AI196" s="22">
        <f t="shared" si="875"/>
        <v>15825.035400000001</v>
      </c>
      <c r="AJ196" s="22">
        <f t="shared" si="875"/>
        <v>15825.035400000001</v>
      </c>
      <c r="AK196" s="22">
        <f t="shared" si="875"/>
        <v>15825.035400000001</v>
      </c>
      <c r="AL196" s="22">
        <f t="shared" si="875"/>
        <v>15825.035400000001</v>
      </c>
      <c r="AM196" s="22">
        <f t="shared" si="875"/>
        <v>15825.035400000001</v>
      </c>
      <c r="AN196" s="22">
        <f t="shared" si="875"/>
        <v>15825.035400000001</v>
      </c>
      <c r="AO196" s="22">
        <f t="shared" si="875"/>
        <v>189900.42480000001</v>
      </c>
      <c r="AQ196" s="106">
        <v>0</v>
      </c>
      <c r="AR196" s="106">
        <v>83225</v>
      </c>
      <c r="AS196" s="106">
        <v>7300</v>
      </c>
      <c r="AT196" s="106">
        <v>0</v>
      </c>
      <c r="AU196" s="106">
        <v>0</v>
      </c>
      <c r="AV196" s="106">
        <v>0</v>
      </c>
      <c r="AW196" s="106">
        <v>0</v>
      </c>
      <c r="AX196" s="106">
        <v>0</v>
      </c>
      <c r="AY196" s="106">
        <v>3000</v>
      </c>
      <c r="AZ196" s="106">
        <v>0</v>
      </c>
      <c r="BA196" s="106">
        <v>30638</v>
      </c>
      <c r="BB196" s="106">
        <v>540285</v>
      </c>
      <c r="BC196" s="106">
        <f t="shared" si="876"/>
        <v>664448</v>
      </c>
      <c r="BD196" s="16" t="str">
        <f t="shared" si="591"/>
        <v>Fees and Taxes</v>
      </c>
      <c r="BE196" s="22">
        <f>+VLOOKUP($BD196,'Jan-25'!$A:$J,4,0)</f>
        <v>0</v>
      </c>
      <c r="BF196" s="22">
        <f>+VLOOKUP($BD196,'Feb-25'!$A:$J,4,0)</f>
        <v>0</v>
      </c>
      <c r="BG196" s="22">
        <f>+VLOOKUP($BD196,'Mar-25'!$A:$J,4,0)</f>
        <v>0</v>
      </c>
      <c r="BH196" s="22">
        <f>+VLOOKUP($BD196,'Apr-25'!$A:$J,4,0)</f>
        <v>153597</v>
      </c>
      <c r="BI196" s="22">
        <f>+VLOOKUP($BD196,'May-25'!$A:$J,4,0)</f>
        <v>0</v>
      </c>
      <c r="BJ196" s="22">
        <f>+VLOOKUP($BD196,'June-25'!$A:$J,4,0)</f>
        <v>0</v>
      </c>
      <c r="BK196" s="22">
        <f>+VLOOKUP($BD196,'July-25'!$A:$J,4,0)</f>
        <v>0</v>
      </c>
      <c r="BL196" s="22">
        <f>+VLOOKUP($BD196,'Aug-25'!$A:$J,4,0)</f>
        <v>0</v>
      </c>
      <c r="BM196" s="22">
        <f>+VLOOKUP($BD196,'Sep-25'!$A:$J,4,0)</f>
        <v>63.72</v>
      </c>
      <c r="BN196" s="22">
        <f>+VLOOKUP($BD196,'Oct-25'!$A:$J,4,0)</f>
        <v>0</v>
      </c>
      <c r="BO196" s="22">
        <f>+VLOOKUP($BD196,'Nov-25'!$A:$J,4,0)</f>
        <v>0</v>
      </c>
      <c r="BP196" s="22">
        <f>+VLOOKUP($BD196,'Dec-25'!$A:$J,4,0)</f>
        <v>0</v>
      </c>
      <c r="BQ196" s="22">
        <f t="shared" si="877"/>
        <v>153660.72</v>
      </c>
      <c r="BR196" s="118">
        <f t="shared" si="713"/>
        <v>0</v>
      </c>
      <c r="BS196" s="106">
        <f>+_xlfn.XLOOKUP($BD196,Budget!$A:$A,Budget!AQ:AQ)</f>
        <v>0</v>
      </c>
      <c r="BT196" s="106">
        <f>+_xlfn.XLOOKUP($BD196,Budget!$A:$A,Budget!AR:AR)</f>
        <v>0</v>
      </c>
      <c r="BU196" s="106">
        <f>+_xlfn.XLOOKUP($BD196,Budget!$A:$A,Budget!AS:AS)</f>
        <v>0</v>
      </c>
      <c r="BV196" s="106">
        <f>+_xlfn.XLOOKUP($BD196,Budget!$A:$A,Budget!AT:AT)</f>
        <v>0</v>
      </c>
      <c r="BW196" s="106">
        <f>+_xlfn.XLOOKUP($BD196,Budget!$A:$A,Budget!AU:AU)</f>
        <v>0</v>
      </c>
      <c r="BX196" s="106">
        <f>+_xlfn.XLOOKUP($BD196,Budget!$A:$A,Budget!AV:AV)</f>
        <v>0</v>
      </c>
      <c r="BY196" s="106">
        <f>+_xlfn.XLOOKUP($BD196,Budget!$A:$A,Budget!AW:AW)</f>
        <v>0</v>
      </c>
      <c r="BZ196" s="106">
        <f>+_xlfn.XLOOKUP($BD196,Budget!$A:$A,Budget!AX:AX)</f>
        <v>0</v>
      </c>
      <c r="CA196" s="106">
        <f>+_xlfn.XLOOKUP($BD196,Budget!$A:$A,Budget!AY:AY)</f>
        <v>0</v>
      </c>
      <c r="CB196" s="106">
        <f>+_xlfn.XLOOKUP($BD196,Budget!$A:$A,Budget!AZ:AZ)</f>
        <v>0</v>
      </c>
      <c r="CC196" s="106">
        <f>+_xlfn.XLOOKUP($BD196,Budget!$A:$A,Budget!BA:BA)</f>
        <v>0</v>
      </c>
      <c r="CD196" s="106">
        <f>+_xlfn.XLOOKUP($BD196,Budget!$A:$A,Budget!BB:BB)</f>
        <v>0</v>
      </c>
      <c r="CE196" s="106">
        <f t="shared" si="878"/>
        <v>0</v>
      </c>
      <c r="CF196" s="22"/>
      <c r="CG196" s="22">
        <v>825.03599999999994</v>
      </c>
      <c r="CH196" s="22">
        <v>825</v>
      </c>
      <c r="CI196" s="22">
        <v>825</v>
      </c>
      <c r="CJ196" s="22">
        <v>825</v>
      </c>
      <c r="CK196" s="22">
        <v>825</v>
      </c>
      <c r="CL196" s="22">
        <v>825</v>
      </c>
      <c r="CM196" s="22">
        <v>7725</v>
      </c>
      <c r="CN196" s="22">
        <v>825</v>
      </c>
      <c r="CO196" s="22">
        <v>825.03599999999994</v>
      </c>
      <c r="CP196" s="22">
        <v>2750</v>
      </c>
      <c r="CQ196" s="22">
        <v>5041.5360000000001</v>
      </c>
      <c r="CR196" s="22">
        <v>825</v>
      </c>
      <c r="CS196" s="106">
        <f t="shared" si="879"/>
        <v>22941.608</v>
      </c>
      <c r="CT196" s="16" t="str">
        <f t="shared" si="595"/>
        <v>Fees and Taxes</v>
      </c>
      <c r="CU196" s="22">
        <f>+VLOOKUP($BD196,'Jan-25'!$A:$J,7,0)</f>
        <v>825</v>
      </c>
      <c r="CV196" s="22">
        <f>+VLOOKUP($BD196,'Feb-25'!$A:$J,7,0)</f>
        <v>825</v>
      </c>
      <c r="CW196" s="22">
        <f>+VLOOKUP($BD196,'Mar-25'!$A:$J,7,0)</f>
        <v>825.03599999999994</v>
      </c>
      <c r="CX196" s="22">
        <f>+VLOOKUP($BD196,'Apr-25'!$A:$J,7,0)</f>
        <v>825.03599999999994</v>
      </c>
      <c r="CY196" s="22">
        <f>+VLOOKUP($BD196,'May-25'!$A:$J,7,0)</f>
        <v>825.03599999999994</v>
      </c>
      <c r="CZ196" s="22">
        <f>+VLOOKUP($BD196,'June-25'!$A:$J,7,0)</f>
        <v>825.03599999999994</v>
      </c>
      <c r="DA196" s="22">
        <f>+VLOOKUP($BD196,'July-25'!$A:$J,7,0)</f>
        <v>7725.0353999999998</v>
      </c>
      <c r="DB196" s="22">
        <f>+VLOOKUP($BD196,'Aug-25'!$A:$J,7,0)</f>
        <v>3825</v>
      </c>
      <c r="DC196" s="22">
        <f>+VLOOKUP($BD196,'Sep-25'!$A:$J,7,0)</f>
        <v>856.86</v>
      </c>
      <c r="DD196" s="22">
        <f>+VLOOKUP($BD196,'Oct-25'!$A:$J,7,0)</f>
        <v>825</v>
      </c>
      <c r="DE196" s="22">
        <f>+VLOOKUP($BD196,'Nov-25'!$A:$J,7,0)</f>
        <v>0</v>
      </c>
      <c r="DF196" s="22">
        <f>+VLOOKUP($BD196,'Dec-25'!$A:$J,7,0)</f>
        <v>0</v>
      </c>
      <c r="DG196" s="22">
        <f t="shared" si="880"/>
        <v>18182.039400000001</v>
      </c>
      <c r="DH196" s="118">
        <f t="shared" si="717"/>
        <v>-4.2907249797986177E-5</v>
      </c>
      <c r="DI196" s="22">
        <f>+_xlfn.XLOOKUP($CT196,Budget!$A:$A,Budget!CD:CD)</f>
        <v>825.03539999999998</v>
      </c>
      <c r="DJ196" s="22">
        <f>+_xlfn.XLOOKUP($CT196,Budget!$A:$A,Budget!CE:CE)</f>
        <v>825.03539999999998</v>
      </c>
      <c r="DK196" s="22">
        <f>+_xlfn.XLOOKUP($CT196,Budget!$A:$A,Budget!CF:CF)</f>
        <v>825.03539999999998</v>
      </c>
      <c r="DL196" s="22">
        <f>+_xlfn.XLOOKUP($CT196,Budget!$A:$A,Budget!CG:CG)</f>
        <v>825.03539999999998</v>
      </c>
      <c r="DM196" s="22">
        <f>+_xlfn.XLOOKUP($CT196,Budget!$A:$A,Budget!CH:CH)</f>
        <v>825.03539999999998</v>
      </c>
      <c r="DN196" s="22">
        <f>+_xlfn.XLOOKUP($CT196,Budget!$A:$A,Budget!CI:CI)</f>
        <v>825.03539999999998</v>
      </c>
      <c r="DO196" s="22">
        <f>+_xlfn.XLOOKUP($CT196,Budget!$A:$A,Budget!CJ:CJ)</f>
        <v>825.03539999999998</v>
      </c>
      <c r="DP196" s="22">
        <f>+_xlfn.XLOOKUP($CT196,Budget!$A:$A,Budget!CK:CK)</f>
        <v>825.03539999999998</v>
      </c>
      <c r="DQ196" s="22">
        <f>+_xlfn.XLOOKUP($CT196,Budget!$A:$A,Budget!CL:CL)</f>
        <v>825.03539999999998</v>
      </c>
      <c r="DR196" s="22">
        <f>+_xlfn.XLOOKUP($CT196,Budget!$A:$A,Budget!CM:CM)</f>
        <v>825.03539999999998</v>
      </c>
      <c r="DS196" s="22">
        <f>+_xlfn.XLOOKUP($CT196,Budget!$A:$A,Budget!CN:CN)</f>
        <v>825.03539999999998</v>
      </c>
      <c r="DT196" s="22">
        <f>+_xlfn.XLOOKUP($CT196,Budget!$A:$A,Budget!CO:CO)</f>
        <v>825.03539999999998</v>
      </c>
      <c r="DU196" s="106">
        <f t="shared" si="881"/>
        <v>9900.4248000000007</v>
      </c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106">
        <f t="shared" si="882"/>
        <v>0</v>
      </c>
      <c r="EJ196" s="16" t="str">
        <f t="shared" si="601"/>
        <v>Fees and Taxes</v>
      </c>
      <c r="EK196" s="22">
        <f>+VLOOKUP($BD196,'Jan-25'!$A:$J,9,0)</f>
        <v>41167</v>
      </c>
      <c r="EL196" s="22">
        <f>+VLOOKUP($BD196,'Feb-25'!$A:$J,9,0)</f>
        <v>91748.78</v>
      </c>
      <c r="EM196" s="22">
        <f>+VLOOKUP($BD196,'Mar-25'!$A:$J,9,0)</f>
        <v>26996.67</v>
      </c>
      <c r="EN196" s="22">
        <f>+VLOOKUP($BD196,'Apr-25'!$A:$J,9,0)</f>
        <v>21636.67</v>
      </c>
      <c r="EO196" s="22">
        <f>+VLOOKUP($BD196,'May-25'!$A:$J,9,0)</f>
        <v>14996.67</v>
      </c>
      <c r="EP196" s="22">
        <f>+VLOOKUP($BD196,'June-25'!$A:$J,9,0)</f>
        <v>2166.67</v>
      </c>
      <c r="EQ196" s="22">
        <f>+VLOOKUP($BD196,'July-25'!$A:$J,9,0)</f>
        <v>167166.66666666666</v>
      </c>
      <c r="ER196" s="22">
        <f>+VLOOKUP($BD196,'Aug-25'!$A:$J,9,0)</f>
        <v>2167</v>
      </c>
      <c r="ES196" s="22">
        <f>+VLOOKUP($BD196,'Sep-25'!$A:$J,9,0)</f>
        <v>1300.2</v>
      </c>
      <c r="ET196" s="22">
        <f>+VLOOKUP($BD196,'Oct-25'!$A:$J,9,0)</f>
        <v>2167</v>
      </c>
      <c r="EU196" s="22">
        <f>+VLOOKUP($BD196,'Nov-25'!$A:$J,9,0)</f>
        <v>0</v>
      </c>
      <c r="EV196" s="22">
        <f>+VLOOKUP($BD196,'Dec-25'!$A:$J,9,0)</f>
        <v>0</v>
      </c>
      <c r="EW196" s="22">
        <f t="shared" si="883"/>
        <v>371513.32666666672</v>
      </c>
      <c r="EX196" s="118">
        <f t="shared" si="721"/>
        <v>-0.85553333333333337</v>
      </c>
      <c r="EY196" s="22">
        <f>+_xlfn.XLOOKUP($EJ196,Budget!$A:$A,Budget!DE:DE)</f>
        <v>15000</v>
      </c>
      <c r="EZ196" s="22">
        <f>+_xlfn.XLOOKUP($EJ196,Budget!$A:$A,Budget!DF:DF)</f>
        <v>15000</v>
      </c>
      <c r="FA196" s="22">
        <f>+_xlfn.XLOOKUP($EJ196,Budget!$A:$A,Budget!DG:DG)</f>
        <v>15000</v>
      </c>
      <c r="FB196" s="22">
        <f>+_xlfn.XLOOKUP($EJ196,Budget!$A:$A,Budget!DH:DH)</f>
        <v>15000</v>
      </c>
      <c r="FC196" s="22">
        <f>+_xlfn.XLOOKUP($EJ196,Budget!$A:$A,Budget!DI:DI)</f>
        <v>15000</v>
      </c>
      <c r="FD196" s="22">
        <f>+_xlfn.XLOOKUP($EJ196,Budget!$A:$A,Budget!DJ:DJ)</f>
        <v>15000</v>
      </c>
      <c r="FE196" s="22">
        <f>+_xlfn.XLOOKUP($EJ196,Budget!$A:$A,Budget!DK:DK)</f>
        <v>15000</v>
      </c>
      <c r="FF196" s="22">
        <f>+_xlfn.XLOOKUP($EJ196,Budget!$A:$A,Budget!DL:DL)</f>
        <v>15000</v>
      </c>
      <c r="FG196" s="22">
        <f>+_xlfn.XLOOKUP($EJ196,Budget!$A:$A,Budget!DM:DM)</f>
        <v>15000</v>
      </c>
      <c r="FH196" s="22">
        <f>+_xlfn.XLOOKUP($EJ196,Budget!$A:$A,Budget!DN:DN)</f>
        <v>15000</v>
      </c>
      <c r="FI196" s="22">
        <f>+_xlfn.XLOOKUP($EJ196,Budget!$A:$A,Budget!DO:DO)</f>
        <v>15000</v>
      </c>
      <c r="FJ196" s="22">
        <f>+_xlfn.XLOOKUP($EJ196,Budget!$A:$A,Budget!DP:DP)</f>
        <v>15000</v>
      </c>
      <c r="FK196" s="106">
        <f t="shared" si="884"/>
        <v>180000</v>
      </c>
    </row>
    <row r="197" spans="1:167" ht="14.45" hidden="1" customHeight="1" outlineLevel="2">
      <c r="A197" s="106">
        <f t="shared" si="873"/>
        <v>0</v>
      </c>
      <c r="B197" s="106">
        <f t="shared" si="873"/>
        <v>0</v>
      </c>
      <c r="C197" s="106">
        <f t="shared" si="873"/>
        <v>0</v>
      </c>
      <c r="D197" s="106">
        <f t="shared" si="873"/>
        <v>0</v>
      </c>
      <c r="E197" s="106">
        <f t="shared" si="873"/>
        <v>0</v>
      </c>
      <c r="F197" s="106">
        <f t="shared" si="873"/>
        <v>0</v>
      </c>
      <c r="G197" s="106">
        <f t="shared" si="873"/>
        <v>0</v>
      </c>
      <c r="H197" s="106">
        <f t="shared" si="873"/>
        <v>0</v>
      </c>
      <c r="I197" s="106">
        <f t="shared" si="873"/>
        <v>0</v>
      </c>
      <c r="J197" s="106">
        <f t="shared" si="873"/>
        <v>0</v>
      </c>
      <c r="K197" s="106">
        <f t="shared" si="873"/>
        <v>0</v>
      </c>
      <c r="L197" s="106">
        <f t="shared" si="873"/>
        <v>0</v>
      </c>
      <c r="M197" s="106">
        <f t="shared" si="873"/>
        <v>0</v>
      </c>
      <c r="N197" s="16" t="s">
        <v>165</v>
      </c>
      <c r="O197" s="22">
        <f t="shared" si="874"/>
        <v>0</v>
      </c>
      <c r="P197" s="22">
        <f t="shared" si="874"/>
        <v>0</v>
      </c>
      <c r="Q197" s="22">
        <f t="shared" si="874"/>
        <v>0</v>
      </c>
      <c r="R197" s="22">
        <f t="shared" si="874"/>
        <v>0</v>
      </c>
      <c r="S197" s="22">
        <f t="shared" si="874"/>
        <v>0</v>
      </c>
      <c r="T197" s="22">
        <f t="shared" si="874"/>
        <v>0</v>
      </c>
      <c r="U197" s="22">
        <f t="shared" si="874"/>
        <v>0</v>
      </c>
      <c r="V197" s="22">
        <f t="shared" si="874"/>
        <v>0</v>
      </c>
      <c r="W197" s="22">
        <f t="shared" si="874"/>
        <v>0</v>
      </c>
      <c r="X197" s="22">
        <f t="shared" si="874"/>
        <v>0</v>
      </c>
      <c r="Y197" s="22">
        <f t="shared" si="874"/>
        <v>0</v>
      </c>
      <c r="Z197" s="22">
        <f t="shared" si="874"/>
        <v>0</v>
      </c>
      <c r="AA197" s="22">
        <f t="shared" si="874"/>
        <v>0</v>
      </c>
      <c r="AB197" s="118">
        <f t="shared" si="708"/>
        <v>0</v>
      </c>
      <c r="AC197" s="22">
        <f t="shared" si="875"/>
        <v>0</v>
      </c>
      <c r="AD197" s="22">
        <f t="shared" si="875"/>
        <v>0</v>
      </c>
      <c r="AE197" s="22">
        <f t="shared" si="875"/>
        <v>0</v>
      </c>
      <c r="AF197" s="22">
        <f t="shared" si="875"/>
        <v>0</v>
      </c>
      <c r="AG197" s="22">
        <f t="shared" si="875"/>
        <v>0</v>
      </c>
      <c r="AH197" s="22">
        <f t="shared" si="875"/>
        <v>0</v>
      </c>
      <c r="AI197" s="22">
        <f t="shared" si="875"/>
        <v>0</v>
      </c>
      <c r="AJ197" s="22">
        <f t="shared" si="875"/>
        <v>0</v>
      </c>
      <c r="AK197" s="22">
        <f t="shared" si="875"/>
        <v>0</v>
      </c>
      <c r="AL197" s="22">
        <f t="shared" si="875"/>
        <v>0</v>
      </c>
      <c r="AM197" s="22">
        <f t="shared" si="875"/>
        <v>0</v>
      </c>
      <c r="AN197" s="22">
        <f t="shared" si="875"/>
        <v>0</v>
      </c>
      <c r="AO197" s="22">
        <f t="shared" si="875"/>
        <v>0</v>
      </c>
      <c r="AQ197" s="106">
        <v>0</v>
      </c>
      <c r="AR197" s="106">
        <v>0</v>
      </c>
      <c r="AS197" s="106">
        <v>0</v>
      </c>
      <c r="AT197" s="106">
        <v>0</v>
      </c>
      <c r="AU197" s="106">
        <v>0</v>
      </c>
      <c r="AV197" s="106">
        <v>0</v>
      </c>
      <c r="AW197" s="106">
        <v>0</v>
      </c>
      <c r="AX197" s="106">
        <v>0</v>
      </c>
      <c r="AY197" s="106">
        <v>0</v>
      </c>
      <c r="AZ197" s="106">
        <v>0</v>
      </c>
      <c r="BA197" s="106">
        <v>0</v>
      </c>
      <c r="BB197" s="106">
        <v>0</v>
      </c>
      <c r="BC197" s="106">
        <f t="shared" si="876"/>
        <v>0</v>
      </c>
      <c r="BD197" s="16" t="str">
        <f t="shared" si="591"/>
        <v>Lux Elements Expenses</v>
      </c>
      <c r="BE197" s="22">
        <f>+VLOOKUP($BD197,'Jan-25'!$A:$J,4,0)</f>
        <v>0</v>
      </c>
      <c r="BF197" s="22">
        <f>+VLOOKUP($BD197,'Feb-25'!$A:$J,4,0)</f>
        <v>0</v>
      </c>
      <c r="BG197" s="22">
        <f>+VLOOKUP($BD197,'Mar-25'!$A:$J,4,0)</f>
        <v>0</v>
      </c>
      <c r="BH197" s="22">
        <f>+VLOOKUP($BD197,'Apr-25'!$A:$J,4,0)</f>
        <v>0</v>
      </c>
      <c r="BI197" s="22">
        <f>+VLOOKUP($BD197,'May-25'!$A:$J,4,0)</f>
        <v>0</v>
      </c>
      <c r="BJ197" s="22">
        <f>+VLOOKUP($BD197,'June-25'!$A:$J,4,0)</f>
        <v>0</v>
      </c>
      <c r="BK197" s="22">
        <f>+VLOOKUP($BD197,'July-25'!$A:$J,4,0)</f>
        <v>0</v>
      </c>
      <c r="BL197" s="22">
        <f>+VLOOKUP($BD197,'Aug-25'!$A:$J,4,0)</f>
        <v>0</v>
      </c>
      <c r="BM197" s="22">
        <f>+VLOOKUP($BD197,'Sep-25'!$A:$J,4,0)</f>
        <v>0</v>
      </c>
      <c r="BN197" s="22">
        <f>+VLOOKUP($BD197,'Oct-25'!$A:$J,4,0)</f>
        <v>0</v>
      </c>
      <c r="BO197" s="22">
        <f>+VLOOKUP($BD197,'Nov-25'!$A:$J,4,0)</f>
        <v>0</v>
      </c>
      <c r="BP197" s="22">
        <f>+VLOOKUP($BD197,'Dec-25'!$A:$J,4,0)</f>
        <v>0</v>
      </c>
      <c r="BQ197" s="22">
        <f t="shared" si="877"/>
        <v>0</v>
      </c>
      <c r="BR197" s="118">
        <f t="shared" si="713"/>
        <v>0</v>
      </c>
      <c r="BS197" s="106">
        <f>+_xlfn.XLOOKUP($BD197,Budget!$A:$A,Budget!AQ:AQ)</f>
        <v>0</v>
      </c>
      <c r="BT197" s="106">
        <f>+_xlfn.XLOOKUP($BD197,Budget!$A:$A,Budget!AR:AR)</f>
        <v>0</v>
      </c>
      <c r="BU197" s="106">
        <f>+_xlfn.XLOOKUP($BD197,Budget!$A:$A,Budget!AS:AS)</f>
        <v>0</v>
      </c>
      <c r="BV197" s="106">
        <f>+_xlfn.XLOOKUP($BD197,Budget!$A:$A,Budget!AT:AT)</f>
        <v>0</v>
      </c>
      <c r="BW197" s="106">
        <f>+_xlfn.XLOOKUP($BD197,Budget!$A:$A,Budget!AU:AU)</f>
        <v>0</v>
      </c>
      <c r="BX197" s="106">
        <f>+_xlfn.XLOOKUP($BD197,Budget!$A:$A,Budget!AV:AV)</f>
        <v>0</v>
      </c>
      <c r="BY197" s="106">
        <f>+_xlfn.XLOOKUP($BD197,Budget!$A:$A,Budget!AW:AW)</f>
        <v>0</v>
      </c>
      <c r="BZ197" s="106">
        <f>+_xlfn.XLOOKUP($BD197,Budget!$A:$A,Budget!AX:AX)</f>
        <v>0</v>
      </c>
      <c r="CA197" s="106">
        <f>+_xlfn.XLOOKUP($BD197,Budget!$A:$A,Budget!AY:AY)</f>
        <v>0</v>
      </c>
      <c r="CB197" s="106">
        <f>+_xlfn.XLOOKUP($BD197,Budget!$A:$A,Budget!AZ:AZ)</f>
        <v>0</v>
      </c>
      <c r="CC197" s="106">
        <f>+_xlfn.XLOOKUP($BD197,Budget!$A:$A,Budget!BA:BA)</f>
        <v>0</v>
      </c>
      <c r="CD197" s="106">
        <f>+_xlfn.XLOOKUP($BD197,Budget!$A:$A,Budget!BB:BB)</f>
        <v>0</v>
      </c>
      <c r="CE197" s="106">
        <f t="shared" si="878"/>
        <v>0</v>
      </c>
      <c r="CF197" s="22"/>
      <c r="CG197" s="22">
        <v>0</v>
      </c>
      <c r="CH197" s="22">
        <v>0</v>
      </c>
      <c r="CI197" s="22">
        <v>0</v>
      </c>
      <c r="CJ197" s="22">
        <v>0</v>
      </c>
      <c r="CK197" s="22">
        <v>0</v>
      </c>
      <c r="CL197" s="22">
        <v>0</v>
      </c>
      <c r="CM197" s="22">
        <v>0</v>
      </c>
      <c r="CN197" s="22">
        <v>0</v>
      </c>
      <c r="CO197" s="22">
        <v>0</v>
      </c>
      <c r="CP197" s="22">
        <v>0</v>
      </c>
      <c r="CQ197" s="22">
        <v>0</v>
      </c>
      <c r="CR197" s="22">
        <v>0</v>
      </c>
      <c r="CS197" s="106">
        <f t="shared" si="879"/>
        <v>0</v>
      </c>
      <c r="CT197" s="16" t="str">
        <f t="shared" si="595"/>
        <v>Lux Elements Expenses</v>
      </c>
      <c r="CU197" s="22">
        <f>+VLOOKUP($BD197,'Jan-25'!$A:$J,7,0)</f>
        <v>0</v>
      </c>
      <c r="CV197" s="22">
        <f>+VLOOKUP($BD197,'Feb-25'!$A:$J,7,0)</f>
        <v>0</v>
      </c>
      <c r="CW197" s="22">
        <f>+VLOOKUP($BD197,'Mar-25'!$A:$J,7,0)</f>
        <v>0</v>
      </c>
      <c r="CX197" s="22">
        <f>+VLOOKUP($BD197,'Apr-25'!$A:$J,7,0)</f>
        <v>0</v>
      </c>
      <c r="CY197" s="22">
        <f>+VLOOKUP($BD197,'May-25'!$A:$J,7,0)</f>
        <v>0</v>
      </c>
      <c r="CZ197" s="22">
        <f>+VLOOKUP($BD197,'June-25'!$A:$J,7,0)</f>
        <v>0</v>
      </c>
      <c r="DA197" s="22">
        <f>+VLOOKUP($BD197,'July-25'!$A:$J,7,0)</f>
        <v>0</v>
      </c>
      <c r="DB197" s="22">
        <f>+VLOOKUP($BD197,'Aug-25'!$A:$J,7,0)</f>
        <v>0</v>
      </c>
      <c r="DC197" s="22">
        <f>+VLOOKUP($BD197,'Sep-25'!$A:$J,7,0)</f>
        <v>0</v>
      </c>
      <c r="DD197" s="22">
        <f>+VLOOKUP($BD197,'Oct-25'!$A:$J,7,0)</f>
        <v>0</v>
      </c>
      <c r="DE197" s="22">
        <f>+VLOOKUP($BD197,'Nov-25'!$A:$J,7,0)</f>
        <v>0</v>
      </c>
      <c r="DF197" s="22">
        <f>+VLOOKUP($BD197,'Dec-25'!$A:$J,7,0)</f>
        <v>0</v>
      </c>
      <c r="DG197" s="22">
        <f t="shared" si="880"/>
        <v>0</v>
      </c>
      <c r="DH197" s="118">
        <f t="shared" si="717"/>
        <v>0</v>
      </c>
      <c r="DI197" s="22">
        <f>+_xlfn.XLOOKUP($CT197,Budget!$A:$A,Budget!CD:CD)</f>
        <v>0</v>
      </c>
      <c r="DJ197" s="22">
        <f>+_xlfn.XLOOKUP($CT197,Budget!$A:$A,Budget!CE:CE)</f>
        <v>0</v>
      </c>
      <c r="DK197" s="22">
        <f>+_xlfn.XLOOKUP($CT197,Budget!$A:$A,Budget!CF:CF)</f>
        <v>0</v>
      </c>
      <c r="DL197" s="22">
        <f>+_xlfn.XLOOKUP($CT197,Budget!$A:$A,Budget!CG:CG)</f>
        <v>0</v>
      </c>
      <c r="DM197" s="22">
        <f>+_xlfn.XLOOKUP($CT197,Budget!$A:$A,Budget!CH:CH)</f>
        <v>0</v>
      </c>
      <c r="DN197" s="22">
        <f>+_xlfn.XLOOKUP($CT197,Budget!$A:$A,Budget!CI:CI)</f>
        <v>0</v>
      </c>
      <c r="DO197" s="22">
        <f>+_xlfn.XLOOKUP($CT197,Budget!$A:$A,Budget!CJ:CJ)</f>
        <v>0</v>
      </c>
      <c r="DP197" s="22">
        <f>+_xlfn.XLOOKUP($CT197,Budget!$A:$A,Budget!CK:CK)</f>
        <v>0</v>
      </c>
      <c r="DQ197" s="22">
        <f>+_xlfn.XLOOKUP($CT197,Budget!$A:$A,Budget!CL:CL)</f>
        <v>0</v>
      </c>
      <c r="DR197" s="22">
        <f>+_xlfn.XLOOKUP($CT197,Budget!$A:$A,Budget!CM:CM)</f>
        <v>0</v>
      </c>
      <c r="DS197" s="22">
        <f>+_xlfn.XLOOKUP($CT197,Budget!$A:$A,Budget!CN:CN)</f>
        <v>0</v>
      </c>
      <c r="DT197" s="22">
        <f>+_xlfn.XLOOKUP($CT197,Budget!$A:$A,Budget!CO:CO)</f>
        <v>0</v>
      </c>
      <c r="DU197" s="106">
        <f t="shared" si="881"/>
        <v>0</v>
      </c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106">
        <f t="shared" si="882"/>
        <v>0</v>
      </c>
      <c r="EJ197" s="16" t="str">
        <f t="shared" si="601"/>
        <v>Lux Elements Expenses</v>
      </c>
      <c r="EK197" s="22">
        <f>+VLOOKUP($BD197,'Jan-25'!$A:$J,9,0)</f>
        <v>0</v>
      </c>
      <c r="EL197" s="22">
        <f>+VLOOKUP($BD197,'Feb-25'!$A:$J,9,0)</f>
        <v>0</v>
      </c>
      <c r="EM197" s="22">
        <f>+VLOOKUP($BD197,'Mar-25'!$A:$J,9,0)</f>
        <v>0</v>
      </c>
      <c r="EN197" s="22">
        <f>+VLOOKUP($BD197,'Apr-25'!$A:$J,9,0)</f>
        <v>0</v>
      </c>
      <c r="EO197" s="22">
        <f>+VLOOKUP($BD197,'May-25'!$A:$J,9,0)</f>
        <v>0</v>
      </c>
      <c r="EP197" s="22">
        <f>+VLOOKUP($BD197,'June-25'!$A:$J,9,0)</f>
        <v>0</v>
      </c>
      <c r="EQ197" s="22">
        <f>+VLOOKUP($BD197,'July-25'!$A:$J,9,0)</f>
        <v>0</v>
      </c>
      <c r="ER197" s="22">
        <f>+VLOOKUP($BD197,'Aug-25'!$A:$J,9,0)</f>
        <v>0</v>
      </c>
      <c r="ES197" s="22">
        <f>+VLOOKUP($BD197,'Sep-25'!$A:$J,9,0)</f>
        <v>0</v>
      </c>
      <c r="ET197" s="22">
        <f>+VLOOKUP($BD197,'Oct-25'!$A:$J,9,0)</f>
        <v>0</v>
      </c>
      <c r="EU197" s="22">
        <f>+VLOOKUP($BD197,'Nov-25'!$A:$J,9,0)</f>
        <v>0</v>
      </c>
      <c r="EV197" s="22">
        <f>+VLOOKUP($BD197,'Dec-25'!$A:$J,9,0)</f>
        <v>0</v>
      </c>
      <c r="EW197" s="22">
        <f t="shared" si="883"/>
        <v>0</v>
      </c>
      <c r="EX197" s="118">
        <f t="shared" si="721"/>
        <v>0</v>
      </c>
      <c r="EY197" s="22">
        <f>+_xlfn.XLOOKUP($EJ197,Budget!$A:$A,Budget!DE:DE)</f>
        <v>0</v>
      </c>
      <c r="EZ197" s="22">
        <f>+_xlfn.XLOOKUP($EJ197,Budget!$A:$A,Budget!DF:DF)</f>
        <v>0</v>
      </c>
      <c r="FA197" s="22">
        <f>+_xlfn.XLOOKUP($EJ197,Budget!$A:$A,Budget!DG:DG)</f>
        <v>0</v>
      </c>
      <c r="FB197" s="22">
        <f>+_xlfn.XLOOKUP($EJ197,Budget!$A:$A,Budget!DH:DH)</f>
        <v>0</v>
      </c>
      <c r="FC197" s="22">
        <f>+_xlfn.XLOOKUP($EJ197,Budget!$A:$A,Budget!DI:DI)</f>
        <v>0</v>
      </c>
      <c r="FD197" s="22">
        <f>+_xlfn.XLOOKUP($EJ197,Budget!$A:$A,Budget!DJ:DJ)</f>
        <v>0</v>
      </c>
      <c r="FE197" s="22">
        <f>+_xlfn.XLOOKUP($EJ197,Budget!$A:$A,Budget!DK:DK)</f>
        <v>0</v>
      </c>
      <c r="FF197" s="22">
        <f>+_xlfn.XLOOKUP($EJ197,Budget!$A:$A,Budget!DL:DL)</f>
        <v>0</v>
      </c>
      <c r="FG197" s="22">
        <f>+_xlfn.XLOOKUP($EJ197,Budget!$A:$A,Budget!DM:DM)</f>
        <v>0</v>
      </c>
      <c r="FH197" s="22">
        <f>+_xlfn.XLOOKUP($EJ197,Budget!$A:$A,Budget!DN:DN)</f>
        <v>0</v>
      </c>
      <c r="FI197" s="22">
        <f>+_xlfn.XLOOKUP($EJ197,Budget!$A:$A,Budget!DO:DO)</f>
        <v>0</v>
      </c>
      <c r="FJ197" s="22">
        <f>+_xlfn.XLOOKUP($EJ197,Budget!$A:$A,Budget!DP:DP)</f>
        <v>0</v>
      </c>
      <c r="FK197" s="106">
        <f t="shared" si="884"/>
        <v>0</v>
      </c>
    </row>
    <row r="198" spans="1:167" ht="14.45" hidden="1" customHeight="1" outlineLevel="2">
      <c r="A198" s="106">
        <f t="shared" si="873"/>
        <v>14501.901000000002</v>
      </c>
      <c r="B198" s="106">
        <f t="shared" si="873"/>
        <v>17744.641199999998</v>
      </c>
      <c r="C198" s="106">
        <f t="shared" si="873"/>
        <v>49559.789999999994</v>
      </c>
      <c r="D198" s="106">
        <f t="shared" si="873"/>
        <v>13210.779</v>
      </c>
      <c r="E198" s="106">
        <f t="shared" si="873"/>
        <v>16886.934999999998</v>
      </c>
      <c r="F198" s="106">
        <f t="shared" si="873"/>
        <v>11361.025000000001</v>
      </c>
      <c r="G198" s="106">
        <f t="shared" si="873"/>
        <v>9950.869999999999</v>
      </c>
      <c r="H198" s="106">
        <f t="shared" si="873"/>
        <v>13431.309799999999</v>
      </c>
      <c r="I198" s="106">
        <f t="shared" si="873"/>
        <v>33855.35</v>
      </c>
      <c r="J198" s="106">
        <f t="shared" si="873"/>
        <v>12695.545</v>
      </c>
      <c r="K198" s="106">
        <f t="shared" si="873"/>
        <v>7887.0300000000007</v>
      </c>
      <c r="L198" s="106">
        <f t="shared" si="873"/>
        <v>34252.264999999999</v>
      </c>
      <c r="M198" s="106">
        <f t="shared" si="873"/>
        <v>235337.44100000002</v>
      </c>
      <c r="N198" s="16" t="s">
        <v>166</v>
      </c>
      <c r="O198" s="22">
        <f t="shared" si="874"/>
        <v>106091.83500000001</v>
      </c>
      <c r="P198" s="22">
        <f t="shared" si="874"/>
        <v>83075.94</v>
      </c>
      <c r="Q198" s="22">
        <f t="shared" si="874"/>
        <v>55395.490000000005</v>
      </c>
      <c r="R198" s="22">
        <f t="shared" si="874"/>
        <v>49051.15</v>
      </c>
      <c r="S198" s="22">
        <f t="shared" si="874"/>
        <v>48850.057000000001</v>
      </c>
      <c r="T198" s="22">
        <f t="shared" si="874"/>
        <v>34431.606</v>
      </c>
      <c r="U198" s="22">
        <f t="shared" si="874"/>
        <v>34717.729999999996</v>
      </c>
      <c r="V198" s="22">
        <f t="shared" si="874"/>
        <v>70285.163</v>
      </c>
      <c r="W198" s="22">
        <f t="shared" si="874"/>
        <v>41060.135000000002</v>
      </c>
      <c r="X198" s="22">
        <f t="shared" si="874"/>
        <v>47998.596999999994</v>
      </c>
      <c r="Y198" s="22">
        <f t="shared" si="874"/>
        <v>0</v>
      </c>
      <c r="Z198" s="22">
        <f t="shared" si="874"/>
        <v>0</v>
      </c>
      <c r="AA198" s="22">
        <f t="shared" si="874"/>
        <v>570957.70299999998</v>
      </c>
      <c r="AB198" s="118">
        <f t="shared" si="708"/>
        <v>0.67799100151023584</v>
      </c>
      <c r="AC198" s="22">
        <f t="shared" si="875"/>
        <v>28604.799999999999</v>
      </c>
      <c r="AD198" s="22">
        <f t="shared" si="875"/>
        <v>28604.799999999999</v>
      </c>
      <c r="AE198" s="22">
        <f t="shared" si="875"/>
        <v>28604.799999999999</v>
      </c>
      <c r="AF198" s="22">
        <f t="shared" si="875"/>
        <v>28604.799999999999</v>
      </c>
      <c r="AG198" s="22">
        <f t="shared" si="875"/>
        <v>28604.799999999999</v>
      </c>
      <c r="AH198" s="22">
        <f t="shared" si="875"/>
        <v>28604.799999999999</v>
      </c>
      <c r="AI198" s="22">
        <f t="shared" si="875"/>
        <v>28604.799999999999</v>
      </c>
      <c r="AJ198" s="22">
        <f t="shared" si="875"/>
        <v>28604.799999999999</v>
      </c>
      <c r="AK198" s="22">
        <f t="shared" si="875"/>
        <v>28604.799999999999</v>
      </c>
      <c r="AL198" s="22">
        <f t="shared" si="875"/>
        <v>28604.799999999999</v>
      </c>
      <c r="AM198" s="22">
        <f t="shared" si="875"/>
        <v>28604.799999999999</v>
      </c>
      <c r="AN198" s="22">
        <f t="shared" si="875"/>
        <v>28604.799999999999</v>
      </c>
      <c r="AO198" s="22">
        <f t="shared" si="875"/>
        <v>343257.59999999998</v>
      </c>
      <c r="AQ198" s="106">
        <v>7069.8600000000006</v>
      </c>
      <c r="AR198" s="106">
        <v>13079.1348</v>
      </c>
      <c r="AS198" s="106">
        <v>46341.77</v>
      </c>
      <c r="AT198" s="106">
        <v>10867.572</v>
      </c>
      <c r="AU198" s="106">
        <v>13559.97</v>
      </c>
      <c r="AV198" s="106">
        <v>5597.52</v>
      </c>
      <c r="AW198" s="106">
        <v>7085.0599999999995</v>
      </c>
      <c r="AX198" s="106">
        <v>9935.7031999999999</v>
      </c>
      <c r="AY198" s="106">
        <v>27608.720000000001</v>
      </c>
      <c r="AZ198" s="106">
        <v>11147.26</v>
      </c>
      <c r="BA198" s="106">
        <v>6473.64</v>
      </c>
      <c r="BB198" s="106">
        <v>31812.87</v>
      </c>
      <c r="BC198" s="106">
        <f t="shared" si="876"/>
        <v>190579.08000000002</v>
      </c>
      <c r="BD198" s="16" t="str">
        <f t="shared" ref="BD198:BD250" si="885">N198</f>
        <v>Office Expenses</v>
      </c>
      <c r="BE198" s="22">
        <f>+VLOOKUP($BD198,'Jan-25'!$A:$J,4,0)</f>
        <v>23960.47</v>
      </c>
      <c r="BF198" s="22">
        <f>+VLOOKUP($BD198,'Feb-25'!$A:$J,4,0)</f>
        <v>15329.13</v>
      </c>
      <c r="BG198" s="22">
        <f>+VLOOKUP($BD198,'Mar-25'!$A:$J,4,0)</f>
        <v>7397.23</v>
      </c>
      <c r="BH198" s="22">
        <f>+VLOOKUP($BD198,'Apr-25'!$A:$J,4,0)</f>
        <v>5202.16</v>
      </c>
      <c r="BI198" s="22">
        <f>+VLOOKUP($BD198,'May-25'!$A:$J,4,0)</f>
        <v>7952.3760000000002</v>
      </c>
      <c r="BJ198" s="22">
        <f>+VLOOKUP($BD198,'June-25'!$A:$J,4,0)</f>
        <v>6354.3959999999997</v>
      </c>
      <c r="BK198" s="22">
        <f>+VLOOKUP($BD198,'July-25'!$A:$J,4,0)</f>
        <v>4629.3599999999997</v>
      </c>
      <c r="BL198" s="22">
        <f>+VLOOKUP($BD198,'Aug-25'!$A:$J,4,0)</f>
        <v>6438.7919999999995</v>
      </c>
      <c r="BM198" s="22">
        <f>+VLOOKUP($BD198,'Sep-25'!$A:$J,4,0)</f>
        <v>7318.35</v>
      </c>
      <c r="BN198" s="22">
        <f>+VLOOKUP($BD198,'Oct-25'!$A:$J,4,0)</f>
        <v>9104.232</v>
      </c>
      <c r="BO198" s="22">
        <f>+VLOOKUP($BD198,'Nov-25'!$A:$J,4,0)</f>
        <v>0</v>
      </c>
      <c r="BP198" s="22">
        <f>+VLOOKUP($BD198,'Dec-25'!$A:$J,4,0)</f>
        <v>0</v>
      </c>
      <c r="BQ198" s="22">
        <f t="shared" si="877"/>
        <v>93686.496000000014</v>
      </c>
      <c r="BR198" s="118">
        <f t="shared" si="713"/>
        <v>3.9865679824561531E-2</v>
      </c>
      <c r="BS198" s="106">
        <f>+_xlfn.XLOOKUP($BD198,Budget!$A:$A,Budget!AQ:AQ)</f>
        <v>8755.1999999999989</v>
      </c>
      <c r="BT198" s="106">
        <f>+_xlfn.XLOOKUP($BD198,Budget!$A:$A,Budget!AR:AR)</f>
        <v>8755.1999999999989</v>
      </c>
      <c r="BU198" s="106">
        <f>+_xlfn.XLOOKUP($BD198,Budget!$A:$A,Budget!AS:AS)</f>
        <v>8755.1999999999989</v>
      </c>
      <c r="BV198" s="106">
        <f>+_xlfn.XLOOKUP($BD198,Budget!$A:$A,Budget!AT:AT)</f>
        <v>8755.1999999999989</v>
      </c>
      <c r="BW198" s="106">
        <f>+_xlfn.XLOOKUP($BD198,Budget!$A:$A,Budget!AU:AU)</f>
        <v>8755.1999999999989</v>
      </c>
      <c r="BX198" s="106">
        <f>+_xlfn.XLOOKUP($BD198,Budget!$A:$A,Budget!AV:AV)</f>
        <v>8755.1999999999989</v>
      </c>
      <c r="BY198" s="106">
        <f>+_xlfn.XLOOKUP($BD198,Budget!$A:$A,Budget!AW:AW)</f>
        <v>8755.1999999999989</v>
      </c>
      <c r="BZ198" s="106">
        <f>+_xlfn.XLOOKUP($BD198,Budget!$A:$A,Budget!AX:AX)</f>
        <v>8755.1999999999989</v>
      </c>
      <c r="CA198" s="106">
        <f>+_xlfn.XLOOKUP($BD198,Budget!$A:$A,Budget!AY:AY)</f>
        <v>8755.1999999999989</v>
      </c>
      <c r="CB198" s="106">
        <f>+_xlfn.XLOOKUP($BD198,Budget!$A:$A,Budget!AZ:AZ)</f>
        <v>8755.1999999999989</v>
      </c>
      <c r="CC198" s="106">
        <f>+_xlfn.XLOOKUP($BD198,Budget!$A:$A,Budget!BA:BA)</f>
        <v>8755.1999999999989</v>
      </c>
      <c r="CD198" s="106">
        <f>+_xlfn.XLOOKUP($BD198,Budget!$A:$A,Budget!BB:BB)</f>
        <v>8755.1999999999989</v>
      </c>
      <c r="CE198" s="106">
        <f t="shared" si="878"/>
        <v>105062.39999999998</v>
      </c>
      <c r="CF198" s="22"/>
      <c r="CG198" s="22">
        <v>7432.0410000000002</v>
      </c>
      <c r="CH198" s="22">
        <v>4665.5064000000002</v>
      </c>
      <c r="CI198" s="22">
        <v>3218.02</v>
      </c>
      <c r="CJ198" s="22">
        <v>2343.2069999999999</v>
      </c>
      <c r="CK198" s="22">
        <v>3326.9649999999992</v>
      </c>
      <c r="CL198" s="22">
        <v>5763.5050000000001</v>
      </c>
      <c r="CM198" s="22">
        <v>2865.81</v>
      </c>
      <c r="CN198" s="22">
        <v>3495.6066000000001</v>
      </c>
      <c r="CO198" s="22">
        <v>6246.6299999999992</v>
      </c>
      <c r="CP198" s="22">
        <v>1548.2849999999999</v>
      </c>
      <c r="CQ198" s="22">
        <v>1413.39</v>
      </c>
      <c r="CR198" s="22">
        <v>2439.3949999999995</v>
      </c>
      <c r="CS198" s="106">
        <f t="shared" si="879"/>
        <v>44758.360999999997</v>
      </c>
      <c r="CT198" s="16" t="str">
        <f t="shared" ref="CT198:CT250" si="886">BD198</f>
        <v>Office Expenses</v>
      </c>
      <c r="CU198" s="22">
        <f>+VLOOKUP($BD198,'Jan-25'!$A:$J,7,0)</f>
        <v>4143.2550000000001</v>
      </c>
      <c r="CV198" s="22">
        <f>+VLOOKUP($BD198,'Feb-25'!$A:$J,7,0)</f>
        <v>3961.81</v>
      </c>
      <c r="CW198" s="22">
        <f>+VLOOKUP($BD198,'Mar-25'!$A:$J,7,0)</f>
        <v>1763.36</v>
      </c>
      <c r="CX198" s="22">
        <f>+VLOOKUP($BD198,'Apr-25'!$A:$J,7,0)</f>
        <v>2790.99</v>
      </c>
      <c r="CY198" s="22">
        <f>+VLOOKUP($BD198,'May-25'!$A:$J,7,0)</f>
        <v>3514.681</v>
      </c>
      <c r="CZ198" s="22">
        <f>+VLOOKUP($BD198,'June-25'!$A:$J,7,0)</f>
        <v>2179.21</v>
      </c>
      <c r="DA198" s="22">
        <f>+VLOOKUP($BD198,'July-25'!$A:$J,7,0)</f>
        <v>4992.3700000000008</v>
      </c>
      <c r="DB198" s="22">
        <f>+VLOOKUP($BD198,'Aug-25'!$A:$J,7,0)</f>
        <v>25481.370999999999</v>
      </c>
      <c r="DC198" s="22">
        <f>+VLOOKUP($BD198,'Sep-25'!$A:$J,7,0)</f>
        <v>5333.2649999999994</v>
      </c>
      <c r="DD198" s="22">
        <f>+VLOOKUP($BD198,'Oct-25'!$A:$J,7,0)</f>
        <v>3098.165</v>
      </c>
      <c r="DE198" s="22">
        <f>+VLOOKUP($BD198,'Nov-25'!$A:$J,7,0)</f>
        <v>0</v>
      </c>
      <c r="DF198" s="22">
        <f>+VLOOKUP($BD198,'Dec-25'!$A:$J,7,0)</f>
        <v>0</v>
      </c>
      <c r="DG198" s="22">
        <f t="shared" si="880"/>
        <v>57258.476999999999</v>
      </c>
      <c r="DH198" s="118">
        <f t="shared" si="717"/>
        <v>-0.6854527087394412</v>
      </c>
      <c r="DI198" s="22">
        <f>+_xlfn.XLOOKUP($CT198,Budget!$A:$A,Budget!CD:CD)</f>
        <v>9849.6</v>
      </c>
      <c r="DJ198" s="22">
        <f>+_xlfn.XLOOKUP($CT198,Budget!$A:$A,Budget!CE:CE)</f>
        <v>9849.6</v>
      </c>
      <c r="DK198" s="22">
        <f>+_xlfn.XLOOKUP($CT198,Budget!$A:$A,Budget!CF:CF)</f>
        <v>9849.6</v>
      </c>
      <c r="DL198" s="22">
        <f>+_xlfn.XLOOKUP($CT198,Budget!$A:$A,Budget!CG:CG)</f>
        <v>9849.6</v>
      </c>
      <c r="DM198" s="22">
        <f>+_xlfn.XLOOKUP($CT198,Budget!$A:$A,Budget!CH:CH)</f>
        <v>9849.6</v>
      </c>
      <c r="DN198" s="22">
        <f>+_xlfn.XLOOKUP($CT198,Budget!$A:$A,Budget!CI:CI)</f>
        <v>9849.6</v>
      </c>
      <c r="DO198" s="22">
        <f>+_xlfn.XLOOKUP($CT198,Budget!$A:$A,Budget!CJ:CJ)</f>
        <v>9849.6</v>
      </c>
      <c r="DP198" s="22">
        <f>+_xlfn.XLOOKUP($CT198,Budget!$A:$A,Budget!CK:CK)</f>
        <v>9849.6</v>
      </c>
      <c r="DQ198" s="22">
        <f>+_xlfn.XLOOKUP($CT198,Budget!$A:$A,Budget!CL:CL)</f>
        <v>9849.6</v>
      </c>
      <c r="DR198" s="22">
        <f>+_xlfn.XLOOKUP($CT198,Budget!$A:$A,Budget!CM:CM)</f>
        <v>9849.6</v>
      </c>
      <c r="DS198" s="22">
        <f>+_xlfn.XLOOKUP($CT198,Budget!$A:$A,Budget!CN:CN)</f>
        <v>9849.6</v>
      </c>
      <c r="DT198" s="22">
        <f>+_xlfn.XLOOKUP($CT198,Budget!$A:$A,Budget!CO:CO)</f>
        <v>9849.6</v>
      </c>
      <c r="DU198" s="106">
        <f t="shared" si="881"/>
        <v>118195.20000000003</v>
      </c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106">
        <f t="shared" si="882"/>
        <v>0</v>
      </c>
      <c r="EJ198" s="16" t="str">
        <f t="shared" si="601"/>
        <v>Office Expenses</v>
      </c>
      <c r="EK198" s="22">
        <f>+VLOOKUP($BD198,'Jan-25'!$A:$J,9,0)</f>
        <v>77988.11</v>
      </c>
      <c r="EL198" s="22">
        <f>+VLOOKUP($BD198,'Feb-25'!$A:$J,9,0)</f>
        <v>63785</v>
      </c>
      <c r="EM198" s="22">
        <f>+VLOOKUP($BD198,'Mar-25'!$A:$J,9,0)</f>
        <v>46234.9</v>
      </c>
      <c r="EN198" s="22">
        <f>+VLOOKUP($BD198,'Apr-25'!$A:$J,9,0)</f>
        <v>41058</v>
      </c>
      <c r="EO198" s="22">
        <f>+VLOOKUP($BD198,'May-25'!$A:$J,9,0)</f>
        <v>37383</v>
      </c>
      <c r="EP198" s="22">
        <f>+VLOOKUP($BD198,'June-25'!$A:$J,9,0)</f>
        <v>25898</v>
      </c>
      <c r="EQ198" s="22">
        <f>+VLOOKUP($BD198,'July-25'!$A:$J,9,0)</f>
        <v>25096</v>
      </c>
      <c r="ER198" s="22">
        <f>+VLOOKUP($BD198,'Aug-25'!$A:$J,9,0)</f>
        <v>38365</v>
      </c>
      <c r="ES198" s="22">
        <f>+VLOOKUP($BD198,'Sep-25'!$A:$J,9,0)</f>
        <v>28408.52</v>
      </c>
      <c r="ET198" s="22">
        <f>+VLOOKUP($BD198,'Oct-25'!$A:$J,9,0)</f>
        <v>35796.199999999997</v>
      </c>
      <c r="EU198" s="22">
        <f>+VLOOKUP($BD198,'Nov-25'!$A:$J,9,0)</f>
        <v>0</v>
      </c>
      <c r="EV198" s="22">
        <f>+VLOOKUP($BD198,'Dec-25'!$A:$J,9,0)</f>
        <v>0</v>
      </c>
      <c r="EW198" s="22">
        <f t="shared" si="883"/>
        <v>420012.73000000004</v>
      </c>
      <c r="EX198" s="118">
        <f t="shared" si="721"/>
        <v>2.5796199999999998</v>
      </c>
      <c r="EY198" s="22">
        <f>+_xlfn.XLOOKUP($EJ198,Budget!$A:$A,Budget!DE:DE)</f>
        <v>10000</v>
      </c>
      <c r="EZ198" s="22">
        <f>+_xlfn.XLOOKUP($EJ198,Budget!$A:$A,Budget!DF:DF)</f>
        <v>10000</v>
      </c>
      <c r="FA198" s="22">
        <f>+_xlfn.XLOOKUP($EJ198,Budget!$A:$A,Budget!DG:DG)</f>
        <v>10000</v>
      </c>
      <c r="FB198" s="22">
        <f>+_xlfn.XLOOKUP($EJ198,Budget!$A:$A,Budget!DH:DH)</f>
        <v>10000</v>
      </c>
      <c r="FC198" s="22">
        <f>+_xlfn.XLOOKUP($EJ198,Budget!$A:$A,Budget!DI:DI)</f>
        <v>10000</v>
      </c>
      <c r="FD198" s="22">
        <f>+_xlfn.XLOOKUP($EJ198,Budget!$A:$A,Budget!DJ:DJ)</f>
        <v>10000</v>
      </c>
      <c r="FE198" s="22">
        <f>+_xlfn.XLOOKUP($EJ198,Budget!$A:$A,Budget!DK:DK)</f>
        <v>10000</v>
      </c>
      <c r="FF198" s="22">
        <f>+_xlfn.XLOOKUP($EJ198,Budget!$A:$A,Budget!DL:DL)</f>
        <v>10000</v>
      </c>
      <c r="FG198" s="22">
        <f>+_xlfn.XLOOKUP($EJ198,Budget!$A:$A,Budget!DM:DM)</f>
        <v>10000</v>
      </c>
      <c r="FH198" s="22">
        <f>+_xlfn.XLOOKUP($EJ198,Budget!$A:$A,Budget!DN:DN)</f>
        <v>10000</v>
      </c>
      <c r="FI198" s="22">
        <f>+_xlfn.XLOOKUP($EJ198,Budget!$A:$A,Budget!DO:DO)</f>
        <v>10000</v>
      </c>
      <c r="FJ198" s="22">
        <f>+_xlfn.XLOOKUP($EJ198,Budget!$A:$A,Budget!DP:DP)</f>
        <v>10000</v>
      </c>
      <c r="FK198" s="106">
        <f t="shared" si="884"/>
        <v>120000</v>
      </c>
    </row>
    <row r="199" spans="1:167" ht="14.45" hidden="1" customHeight="1" outlineLevel="2">
      <c r="A199" s="106">
        <f t="shared" si="873"/>
        <v>19739.785</v>
      </c>
      <c r="B199" s="106">
        <f t="shared" si="873"/>
        <v>19418.93</v>
      </c>
      <c r="C199" s="106">
        <f t="shared" si="873"/>
        <v>10965.93</v>
      </c>
      <c r="D199" s="106">
        <f t="shared" si="873"/>
        <v>3050.85</v>
      </c>
      <c r="E199" s="106">
        <f t="shared" si="873"/>
        <v>18010.431</v>
      </c>
      <c r="F199" s="106">
        <f t="shared" si="873"/>
        <v>10104.969999999999</v>
      </c>
      <c r="G199" s="106">
        <f t="shared" si="873"/>
        <v>18171.79</v>
      </c>
      <c r="H199" s="106">
        <f t="shared" si="873"/>
        <v>13393.61</v>
      </c>
      <c r="I199" s="106">
        <f t="shared" si="873"/>
        <v>11748.222000000002</v>
      </c>
      <c r="J199" s="106">
        <f t="shared" si="873"/>
        <v>19955.846999999998</v>
      </c>
      <c r="K199" s="106">
        <f t="shared" si="873"/>
        <v>38341.341</v>
      </c>
      <c r="L199" s="106">
        <f t="shared" si="873"/>
        <v>19932.23</v>
      </c>
      <c r="M199" s="106">
        <f t="shared" si="873"/>
        <v>202833.93599999996</v>
      </c>
      <c r="N199" s="16" t="s">
        <v>167</v>
      </c>
      <c r="O199" s="22">
        <f t="shared" si="874"/>
        <v>83717.082000000009</v>
      </c>
      <c r="P199" s="22">
        <f t="shared" si="874"/>
        <v>17975.04</v>
      </c>
      <c r="Q199" s="22">
        <f t="shared" si="874"/>
        <v>32427.309999999998</v>
      </c>
      <c r="R199" s="22">
        <f t="shared" si="874"/>
        <v>26267.409000000003</v>
      </c>
      <c r="S199" s="22">
        <f t="shared" si="874"/>
        <v>41176.327999999994</v>
      </c>
      <c r="T199" s="22">
        <f t="shared" si="874"/>
        <v>31404.853999999999</v>
      </c>
      <c r="U199" s="22">
        <f t="shared" si="874"/>
        <v>30720.722999999998</v>
      </c>
      <c r="V199" s="22">
        <f t="shared" si="874"/>
        <v>43965.728999999992</v>
      </c>
      <c r="W199" s="22">
        <f t="shared" si="874"/>
        <v>43362.810000000005</v>
      </c>
      <c r="X199" s="22">
        <f t="shared" si="874"/>
        <v>44082.055999999997</v>
      </c>
      <c r="Y199" s="22">
        <f t="shared" si="874"/>
        <v>0</v>
      </c>
      <c r="Z199" s="22">
        <f t="shared" si="874"/>
        <v>0</v>
      </c>
      <c r="AA199" s="22">
        <f t="shared" si="874"/>
        <v>395099.34100000001</v>
      </c>
      <c r="AB199" s="118">
        <f t="shared" si="708"/>
        <v>1.9195348036293791</v>
      </c>
      <c r="AC199" s="22">
        <f t="shared" si="875"/>
        <v>15099</v>
      </c>
      <c r="AD199" s="22">
        <f t="shared" si="875"/>
        <v>15099</v>
      </c>
      <c r="AE199" s="22">
        <f t="shared" si="875"/>
        <v>15099</v>
      </c>
      <c r="AF199" s="22">
        <f t="shared" si="875"/>
        <v>15099</v>
      </c>
      <c r="AG199" s="22">
        <f t="shared" si="875"/>
        <v>15099</v>
      </c>
      <c r="AH199" s="22">
        <f t="shared" si="875"/>
        <v>15099</v>
      </c>
      <c r="AI199" s="22">
        <f t="shared" si="875"/>
        <v>15099</v>
      </c>
      <c r="AJ199" s="22">
        <f t="shared" si="875"/>
        <v>15099</v>
      </c>
      <c r="AK199" s="22">
        <f t="shared" si="875"/>
        <v>15099</v>
      </c>
      <c r="AL199" s="22">
        <f t="shared" si="875"/>
        <v>15099</v>
      </c>
      <c r="AM199" s="22">
        <f t="shared" si="875"/>
        <v>15099</v>
      </c>
      <c r="AN199" s="22">
        <f t="shared" si="875"/>
        <v>15099</v>
      </c>
      <c r="AO199" s="22">
        <f t="shared" si="875"/>
        <v>181188</v>
      </c>
      <c r="AQ199" s="106">
        <v>18270.88</v>
      </c>
      <c r="AR199" s="106">
        <v>17639.27</v>
      </c>
      <c r="AS199" s="106">
        <v>5084.7299999999996</v>
      </c>
      <c r="AT199" s="106">
        <v>3050.85</v>
      </c>
      <c r="AU199" s="106">
        <v>7889.07</v>
      </c>
      <c r="AV199" s="106">
        <v>8480.17</v>
      </c>
      <c r="AW199" s="106">
        <v>16818.990000000002</v>
      </c>
      <c r="AX199" s="106">
        <v>12272.92</v>
      </c>
      <c r="AY199" s="106">
        <v>9991.6200000000008</v>
      </c>
      <c r="AZ199" s="106">
        <v>16698.96</v>
      </c>
      <c r="BA199" s="106">
        <v>36357.519999999997</v>
      </c>
      <c r="BB199" s="106">
        <v>15111.83</v>
      </c>
      <c r="BC199" s="106">
        <f t="shared" si="876"/>
        <v>167666.80999999997</v>
      </c>
      <c r="BD199" s="16" t="str">
        <f t="shared" si="885"/>
        <v>Office Stationery</v>
      </c>
      <c r="BE199" s="22">
        <f>+VLOOKUP($BD199,'Jan-25'!$A:$J,4,0)</f>
        <v>50112.76</v>
      </c>
      <c r="BF199" s="22">
        <f>+VLOOKUP($BD199,'Feb-25'!$A:$J,4,0)</f>
        <v>9754.7000000000007</v>
      </c>
      <c r="BG199" s="22">
        <f>+VLOOKUP($BD199,'Mar-25'!$A:$J,4,0)</f>
        <v>22218.26</v>
      </c>
      <c r="BH199" s="22">
        <f>+VLOOKUP($BD199,'Apr-25'!$A:$J,4,0)</f>
        <v>16745.7</v>
      </c>
      <c r="BI199" s="22">
        <f>+VLOOKUP($BD199,'May-25'!$A:$J,4,0)</f>
        <v>20233.419999999998</v>
      </c>
      <c r="BJ199" s="22">
        <f>+VLOOKUP($BD199,'June-25'!$A:$J,4,0)</f>
        <v>19654.11</v>
      </c>
      <c r="BK199" s="22">
        <f>+VLOOKUP($BD199,'July-25'!$A:$J,4,0)</f>
        <v>20735.45</v>
      </c>
      <c r="BL199" s="22">
        <f>+VLOOKUP($BD199,'Aug-25'!$A:$J,4,0)</f>
        <v>21498.92</v>
      </c>
      <c r="BM199" s="22">
        <f>+VLOOKUP($BD199,'Sep-25'!$A:$J,4,0)</f>
        <v>32501.16</v>
      </c>
      <c r="BN199" s="22">
        <f>+VLOOKUP($BD199,'Oct-25'!$A:$J,4,0)</f>
        <v>26647.38</v>
      </c>
      <c r="BO199" s="22">
        <f>+VLOOKUP($BD199,'Nov-25'!$A:$J,4,0)</f>
        <v>0</v>
      </c>
      <c r="BP199" s="22">
        <f>+VLOOKUP($BD199,'Dec-25'!$A:$J,4,0)</f>
        <v>0</v>
      </c>
      <c r="BQ199" s="22">
        <f t="shared" si="877"/>
        <v>240101.86000000002</v>
      </c>
      <c r="BR199" s="118">
        <f t="shared" si="713"/>
        <v>3.3929080118694364</v>
      </c>
      <c r="BS199" s="106">
        <f>+_xlfn.XLOOKUP($BD199,Budget!$A:$A,Budget!AQ:AQ)</f>
        <v>6066</v>
      </c>
      <c r="BT199" s="106">
        <f>+_xlfn.XLOOKUP($BD199,Budget!$A:$A,Budget!AR:AR)</f>
        <v>6066</v>
      </c>
      <c r="BU199" s="106">
        <f>+_xlfn.XLOOKUP($BD199,Budget!$A:$A,Budget!AS:AS)</f>
        <v>6066</v>
      </c>
      <c r="BV199" s="106">
        <f>+_xlfn.XLOOKUP($BD199,Budget!$A:$A,Budget!AT:AT)</f>
        <v>6066</v>
      </c>
      <c r="BW199" s="106">
        <f>+_xlfn.XLOOKUP($BD199,Budget!$A:$A,Budget!AU:AU)</f>
        <v>6066</v>
      </c>
      <c r="BX199" s="106">
        <f>+_xlfn.XLOOKUP($BD199,Budget!$A:$A,Budget!AV:AV)</f>
        <v>6066</v>
      </c>
      <c r="BY199" s="106">
        <f>+_xlfn.XLOOKUP($BD199,Budget!$A:$A,Budget!AW:AW)</f>
        <v>6066</v>
      </c>
      <c r="BZ199" s="106">
        <f>+_xlfn.XLOOKUP($BD199,Budget!$A:$A,Budget!AX:AX)</f>
        <v>6066</v>
      </c>
      <c r="CA199" s="106">
        <f>+_xlfn.XLOOKUP($BD199,Budget!$A:$A,Budget!AY:AY)</f>
        <v>6066</v>
      </c>
      <c r="CB199" s="106">
        <f>+_xlfn.XLOOKUP($BD199,Budget!$A:$A,Budget!AZ:AZ)</f>
        <v>6066</v>
      </c>
      <c r="CC199" s="106">
        <f>+_xlfn.XLOOKUP($BD199,Budget!$A:$A,Budget!BA:BA)</f>
        <v>6066</v>
      </c>
      <c r="CD199" s="106">
        <f>+_xlfn.XLOOKUP($BD199,Budget!$A:$A,Budget!BB:BB)</f>
        <v>6066</v>
      </c>
      <c r="CE199" s="106">
        <f t="shared" si="878"/>
        <v>72792</v>
      </c>
      <c r="CF199" s="22"/>
      <c r="CG199" s="22">
        <v>1468.905</v>
      </c>
      <c r="CH199" s="22">
        <v>1779.66</v>
      </c>
      <c r="CI199" s="22">
        <v>5881.2</v>
      </c>
      <c r="CJ199" s="22">
        <v>0</v>
      </c>
      <c r="CK199" s="22">
        <v>10121.361000000001</v>
      </c>
      <c r="CL199" s="22">
        <v>1624.8</v>
      </c>
      <c r="CM199" s="22">
        <v>1352.8</v>
      </c>
      <c r="CN199" s="22">
        <v>1120.69</v>
      </c>
      <c r="CO199" s="22">
        <v>1756.6020000000001</v>
      </c>
      <c r="CP199" s="22">
        <v>3256.8870000000002</v>
      </c>
      <c r="CQ199" s="22">
        <v>1983.8209999999999</v>
      </c>
      <c r="CR199" s="22">
        <v>4820.3999999999996</v>
      </c>
      <c r="CS199" s="106">
        <f t="shared" si="879"/>
        <v>35167.125999999997</v>
      </c>
      <c r="CT199" s="16" t="str">
        <f t="shared" si="886"/>
        <v>Office Stationery</v>
      </c>
      <c r="CU199" s="22">
        <f>+VLOOKUP($BD199,'Jan-25'!$A:$J,7,0)</f>
        <v>22729.462</v>
      </c>
      <c r="CV199" s="22">
        <f>+VLOOKUP($BD199,'Feb-25'!$A:$J,7,0)</f>
        <v>0</v>
      </c>
      <c r="CW199" s="22">
        <f>+VLOOKUP($BD199,'Mar-25'!$A:$J,7,0)</f>
        <v>386</v>
      </c>
      <c r="CX199" s="22">
        <f>+VLOOKUP($BD199,'Apr-25'!$A:$J,7,0)</f>
        <v>2755.8989999999999</v>
      </c>
      <c r="CY199" s="22">
        <f>+VLOOKUP($BD199,'May-25'!$A:$J,7,0)</f>
        <v>4361.6179999999995</v>
      </c>
      <c r="CZ199" s="22">
        <f>+VLOOKUP($BD199,'June-25'!$A:$J,7,0)</f>
        <v>7107.630000000001</v>
      </c>
      <c r="DA199" s="22">
        <f>+VLOOKUP($BD199,'July-25'!$A:$J,7,0)</f>
        <v>4227.1930000000002</v>
      </c>
      <c r="DB199" s="22">
        <f>+VLOOKUP($BD199,'Aug-25'!$A:$J,7,0)</f>
        <v>19768.499</v>
      </c>
      <c r="DC199" s="22">
        <f>+VLOOKUP($BD199,'Sep-25'!$A:$J,7,0)</f>
        <v>1304.07</v>
      </c>
      <c r="DD199" s="22">
        <f>+VLOOKUP($BD199,'Oct-25'!$A:$J,7,0)</f>
        <v>7443.405999999999</v>
      </c>
      <c r="DE199" s="22">
        <f>+VLOOKUP($BD199,'Nov-25'!$A:$J,7,0)</f>
        <v>0</v>
      </c>
      <c r="DF199" s="22">
        <f>+VLOOKUP($BD199,'Dec-25'!$A:$J,7,0)</f>
        <v>0</v>
      </c>
      <c r="DG199" s="22">
        <f t="shared" si="880"/>
        <v>70083.776999999987</v>
      </c>
      <c r="DH199" s="118">
        <f t="shared" si="717"/>
        <v>1.4541397955819317</v>
      </c>
      <c r="DI199" s="22">
        <f>+_xlfn.XLOOKUP($CT199,Budget!$A:$A,Budget!CD:CD)</f>
        <v>3033</v>
      </c>
      <c r="DJ199" s="22">
        <f>+_xlfn.XLOOKUP($CT199,Budget!$A:$A,Budget!CE:CE)</f>
        <v>3033</v>
      </c>
      <c r="DK199" s="22">
        <f>+_xlfn.XLOOKUP($CT199,Budget!$A:$A,Budget!CF:CF)</f>
        <v>3033</v>
      </c>
      <c r="DL199" s="22">
        <f>+_xlfn.XLOOKUP($CT199,Budget!$A:$A,Budget!CG:CG)</f>
        <v>3033</v>
      </c>
      <c r="DM199" s="22">
        <f>+_xlfn.XLOOKUP($CT199,Budget!$A:$A,Budget!CH:CH)</f>
        <v>3033</v>
      </c>
      <c r="DN199" s="22">
        <f>+_xlfn.XLOOKUP($CT199,Budget!$A:$A,Budget!CI:CI)</f>
        <v>3033</v>
      </c>
      <c r="DO199" s="22">
        <f>+_xlfn.XLOOKUP($CT199,Budget!$A:$A,Budget!CJ:CJ)</f>
        <v>3033</v>
      </c>
      <c r="DP199" s="22">
        <f>+_xlfn.XLOOKUP($CT199,Budget!$A:$A,Budget!CK:CK)</f>
        <v>3033</v>
      </c>
      <c r="DQ199" s="22">
        <f>+_xlfn.XLOOKUP($CT199,Budget!$A:$A,Budget!CL:CL)</f>
        <v>3033</v>
      </c>
      <c r="DR199" s="22">
        <f>+_xlfn.XLOOKUP($CT199,Budget!$A:$A,Budget!CM:CM)</f>
        <v>3033</v>
      </c>
      <c r="DS199" s="22">
        <f>+_xlfn.XLOOKUP($CT199,Budget!$A:$A,Budget!CN:CN)</f>
        <v>3033</v>
      </c>
      <c r="DT199" s="22">
        <f>+_xlfn.XLOOKUP($CT199,Budget!$A:$A,Budget!CO:CO)</f>
        <v>3033</v>
      </c>
      <c r="DU199" s="106">
        <f t="shared" si="881"/>
        <v>36396</v>
      </c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106">
        <f t="shared" si="882"/>
        <v>0</v>
      </c>
      <c r="EJ199" s="16" t="str">
        <f t="shared" si="601"/>
        <v>Office Stationery</v>
      </c>
      <c r="EK199" s="22">
        <f>+VLOOKUP($BD199,'Jan-25'!$A:$J,9,0)</f>
        <v>10874.86</v>
      </c>
      <c r="EL199" s="22">
        <f>+VLOOKUP($BD199,'Feb-25'!$A:$J,9,0)</f>
        <v>8220.34</v>
      </c>
      <c r="EM199" s="22">
        <f>+VLOOKUP($BD199,'Mar-25'!$A:$J,9,0)</f>
        <v>9823.0499999999993</v>
      </c>
      <c r="EN199" s="22">
        <f>+VLOOKUP($BD199,'Apr-25'!$A:$J,9,0)</f>
        <v>6765.81</v>
      </c>
      <c r="EO199" s="22">
        <f>+VLOOKUP($BD199,'May-25'!$A:$J,9,0)</f>
        <v>16581.29</v>
      </c>
      <c r="EP199" s="22">
        <f>+VLOOKUP($BD199,'June-25'!$A:$J,9,0)</f>
        <v>4643.1139999999996</v>
      </c>
      <c r="EQ199" s="22">
        <f>+VLOOKUP($BD199,'July-25'!$A:$J,9,0)</f>
        <v>5758.08</v>
      </c>
      <c r="ER199" s="22">
        <f>+VLOOKUP($BD199,'Aug-25'!$A:$J,9,0)</f>
        <v>2698.31</v>
      </c>
      <c r="ES199" s="22">
        <f>+VLOOKUP($BD199,'Sep-25'!$A:$J,9,0)</f>
        <v>9557.58</v>
      </c>
      <c r="ET199" s="22">
        <f>+VLOOKUP($BD199,'Oct-25'!$A:$J,9,0)</f>
        <v>9991.27</v>
      </c>
      <c r="EU199" s="22">
        <f>+VLOOKUP($BD199,'Nov-25'!$A:$J,9,0)</f>
        <v>0</v>
      </c>
      <c r="EV199" s="22">
        <f>+VLOOKUP($BD199,'Dec-25'!$A:$J,9,0)</f>
        <v>0</v>
      </c>
      <c r="EW199" s="22">
        <f t="shared" si="883"/>
        <v>84913.703999999998</v>
      </c>
      <c r="EX199" s="118">
        <f t="shared" si="721"/>
        <v>0.66521166666666676</v>
      </c>
      <c r="EY199" s="22">
        <f>+_xlfn.XLOOKUP($EJ199,Budget!$A:$A,Budget!DE:DE)</f>
        <v>6000</v>
      </c>
      <c r="EZ199" s="22">
        <f>+_xlfn.XLOOKUP($EJ199,Budget!$A:$A,Budget!DF:DF)</f>
        <v>6000</v>
      </c>
      <c r="FA199" s="22">
        <f>+_xlfn.XLOOKUP($EJ199,Budget!$A:$A,Budget!DG:DG)</f>
        <v>6000</v>
      </c>
      <c r="FB199" s="22">
        <f>+_xlfn.XLOOKUP($EJ199,Budget!$A:$A,Budget!DH:DH)</f>
        <v>6000</v>
      </c>
      <c r="FC199" s="22">
        <f>+_xlfn.XLOOKUP($EJ199,Budget!$A:$A,Budget!DI:DI)</f>
        <v>6000</v>
      </c>
      <c r="FD199" s="22">
        <f>+_xlfn.XLOOKUP($EJ199,Budget!$A:$A,Budget!DJ:DJ)</f>
        <v>6000</v>
      </c>
      <c r="FE199" s="22">
        <f>+_xlfn.XLOOKUP($EJ199,Budget!$A:$A,Budget!DK:DK)</f>
        <v>6000</v>
      </c>
      <c r="FF199" s="22">
        <f>+_xlfn.XLOOKUP($EJ199,Budget!$A:$A,Budget!DL:DL)</f>
        <v>6000</v>
      </c>
      <c r="FG199" s="22">
        <f>+_xlfn.XLOOKUP($EJ199,Budget!$A:$A,Budget!DM:DM)</f>
        <v>6000</v>
      </c>
      <c r="FH199" s="22">
        <f>+_xlfn.XLOOKUP($EJ199,Budget!$A:$A,Budget!DN:DN)</f>
        <v>6000</v>
      </c>
      <c r="FI199" s="22">
        <f>+_xlfn.XLOOKUP($EJ199,Budget!$A:$A,Budget!DO:DO)</f>
        <v>6000</v>
      </c>
      <c r="FJ199" s="22">
        <f>+_xlfn.XLOOKUP($EJ199,Budget!$A:$A,Budget!DP:DP)</f>
        <v>6000</v>
      </c>
      <c r="FK199" s="106">
        <f t="shared" si="884"/>
        <v>72000</v>
      </c>
    </row>
    <row r="200" spans="1:167" ht="14.45" hidden="1" customHeight="1" outlineLevel="2">
      <c r="A200" s="106">
        <f t="shared" si="873"/>
        <v>2805.962</v>
      </c>
      <c r="B200" s="106">
        <f t="shared" si="873"/>
        <v>1551.02</v>
      </c>
      <c r="C200" s="106">
        <f t="shared" si="873"/>
        <v>19937.940999999999</v>
      </c>
      <c r="D200" s="106">
        <f t="shared" si="873"/>
        <v>2192</v>
      </c>
      <c r="E200" s="106">
        <f t="shared" si="873"/>
        <v>1720.3679999999999</v>
      </c>
      <c r="F200" s="106">
        <f t="shared" si="873"/>
        <v>5677.9840000000004</v>
      </c>
      <c r="G200" s="106">
        <f t="shared" si="873"/>
        <v>29791.234</v>
      </c>
      <c r="H200" s="106">
        <f t="shared" si="873"/>
        <v>15271.983</v>
      </c>
      <c r="I200" s="106">
        <f t="shared" si="873"/>
        <v>510.51</v>
      </c>
      <c r="J200" s="106">
        <f t="shared" si="873"/>
        <v>5019.8739999999998</v>
      </c>
      <c r="K200" s="106">
        <f t="shared" si="873"/>
        <v>1682.2093</v>
      </c>
      <c r="L200" s="106">
        <f t="shared" si="873"/>
        <v>10603.560000000001</v>
      </c>
      <c r="M200" s="106">
        <f t="shared" si="873"/>
        <v>96764.645300000004</v>
      </c>
      <c r="N200" s="16" t="s">
        <v>168</v>
      </c>
      <c r="O200" s="22">
        <f t="shared" si="874"/>
        <v>6626.3889999999992</v>
      </c>
      <c r="P200" s="22">
        <f t="shared" si="874"/>
        <v>12406.931999999999</v>
      </c>
      <c r="Q200" s="22">
        <f t="shared" si="874"/>
        <v>7900.5580000000009</v>
      </c>
      <c r="R200" s="22">
        <f t="shared" si="874"/>
        <v>9114.630000000001</v>
      </c>
      <c r="S200" s="22">
        <f t="shared" si="874"/>
        <v>8170.8180000000002</v>
      </c>
      <c r="T200" s="22">
        <f t="shared" si="874"/>
        <v>8209.643</v>
      </c>
      <c r="U200" s="22">
        <f t="shared" si="874"/>
        <v>1934.546</v>
      </c>
      <c r="V200" s="22">
        <f t="shared" si="874"/>
        <v>7272.68</v>
      </c>
      <c r="W200" s="22">
        <f t="shared" si="874"/>
        <v>4426.4279999999999</v>
      </c>
      <c r="X200" s="22">
        <f t="shared" si="874"/>
        <v>8074.8710000000001</v>
      </c>
      <c r="Y200" s="22">
        <f t="shared" si="874"/>
        <v>0</v>
      </c>
      <c r="Z200" s="22">
        <f t="shared" si="874"/>
        <v>0</v>
      </c>
      <c r="AA200" s="22">
        <f t="shared" si="874"/>
        <v>74137.494999999995</v>
      </c>
      <c r="AB200" s="118">
        <f t="shared" si="708"/>
        <v>1.0473810851926979</v>
      </c>
      <c r="AC200" s="22">
        <f t="shared" si="875"/>
        <v>3944</v>
      </c>
      <c r="AD200" s="22">
        <f t="shared" si="875"/>
        <v>3944</v>
      </c>
      <c r="AE200" s="22">
        <f t="shared" si="875"/>
        <v>3944</v>
      </c>
      <c r="AF200" s="22">
        <f t="shared" si="875"/>
        <v>3944</v>
      </c>
      <c r="AG200" s="22">
        <f t="shared" si="875"/>
        <v>3944</v>
      </c>
      <c r="AH200" s="22">
        <f t="shared" si="875"/>
        <v>3944</v>
      </c>
      <c r="AI200" s="22">
        <f t="shared" si="875"/>
        <v>3944</v>
      </c>
      <c r="AJ200" s="22">
        <f t="shared" si="875"/>
        <v>3944</v>
      </c>
      <c r="AK200" s="22">
        <f t="shared" si="875"/>
        <v>3944</v>
      </c>
      <c r="AL200" s="22">
        <f t="shared" si="875"/>
        <v>3944</v>
      </c>
      <c r="AM200" s="22">
        <f t="shared" si="875"/>
        <v>3944</v>
      </c>
      <c r="AN200" s="22">
        <f t="shared" si="875"/>
        <v>3944</v>
      </c>
      <c r="AO200" s="22">
        <f t="shared" si="875"/>
        <v>47328</v>
      </c>
      <c r="AQ200" s="106">
        <v>1902.6219999999998</v>
      </c>
      <c r="AR200" s="106">
        <v>1161.02</v>
      </c>
      <c r="AS200" s="106">
        <v>17706.61</v>
      </c>
      <c r="AT200" s="106">
        <v>830.51</v>
      </c>
      <c r="AU200" s="106">
        <v>813.55799999999999</v>
      </c>
      <c r="AV200" s="106">
        <v>4608.6880000000001</v>
      </c>
      <c r="AW200" s="106">
        <v>16691.234</v>
      </c>
      <c r="AX200" s="106">
        <v>14004.33</v>
      </c>
      <c r="AY200" s="106">
        <v>330.51</v>
      </c>
      <c r="AZ200" s="106">
        <v>4058.11</v>
      </c>
      <c r="BA200" s="106">
        <v>635.59019999999998</v>
      </c>
      <c r="BB200" s="106">
        <v>10044.36</v>
      </c>
      <c r="BC200" s="106">
        <f t="shared" si="876"/>
        <v>72787.142200000002</v>
      </c>
      <c r="BD200" s="16" t="str">
        <f t="shared" si="885"/>
        <v>Printing</v>
      </c>
      <c r="BE200" s="22">
        <f>+VLOOKUP($BD200,'Jan-25'!$A:$J,4,0)</f>
        <v>6017.32</v>
      </c>
      <c r="BF200" s="22">
        <f>+VLOOKUP($BD200,'Feb-25'!$A:$J,4,0)</f>
        <v>11484.81</v>
      </c>
      <c r="BG200" s="22">
        <f>+VLOOKUP($BD200,'Mar-25'!$A:$J,4,0)</f>
        <v>7426.27</v>
      </c>
      <c r="BH200" s="22">
        <f>+VLOOKUP($BD200,'Apr-25'!$A:$J,4,0)</f>
        <v>3174.63</v>
      </c>
      <c r="BI200" s="22">
        <f>+VLOOKUP($BD200,'May-25'!$A:$J,4,0)</f>
        <v>7551.75</v>
      </c>
      <c r="BJ200" s="22">
        <f>+VLOOKUP($BD200,'June-25'!$A:$J,4,0)</f>
        <v>7429.01</v>
      </c>
      <c r="BK200" s="22">
        <f>+VLOOKUP($BD200,'July-25'!$A:$J,4,0)</f>
        <v>0</v>
      </c>
      <c r="BL200" s="22">
        <f>+VLOOKUP($BD200,'Aug-25'!$A:$J,4,0)</f>
        <v>7182.68</v>
      </c>
      <c r="BM200" s="22">
        <f>+VLOOKUP($BD200,'Sep-25'!$A:$J,4,0)</f>
        <v>1940.67</v>
      </c>
      <c r="BN200" s="22">
        <f>+VLOOKUP($BD200,'Oct-25'!$A:$J,4,0)</f>
        <v>7084.79</v>
      </c>
      <c r="BO200" s="22">
        <f>+VLOOKUP($BD200,'Nov-25'!$A:$J,4,0)</f>
        <v>0</v>
      </c>
      <c r="BP200" s="22">
        <f>+VLOOKUP($BD200,'Dec-25'!$A:$J,4,0)</f>
        <v>0</v>
      </c>
      <c r="BQ200" s="22">
        <f t="shared" si="877"/>
        <v>59291.93</v>
      </c>
      <c r="BR200" s="118">
        <f t="shared" si="713"/>
        <v>4.4666589506172842</v>
      </c>
      <c r="BS200" s="106">
        <f>+_xlfn.XLOOKUP($BD200,Budget!$A:$A,Budget!AQ:AQ)</f>
        <v>1296</v>
      </c>
      <c r="BT200" s="106">
        <f>+_xlfn.XLOOKUP($BD200,Budget!$A:$A,Budget!AR:AR)</f>
        <v>1296</v>
      </c>
      <c r="BU200" s="106">
        <f>+_xlfn.XLOOKUP($BD200,Budget!$A:$A,Budget!AS:AS)</f>
        <v>1296</v>
      </c>
      <c r="BV200" s="106">
        <f>+_xlfn.XLOOKUP($BD200,Budget!$A:$A,Budget!AT:AT)</f>
        <v>1296</v>
      </c>
      <c r="BW200" s="106">
        <f>+_xlfn.XLOOKUP($BD200,Budget!$A:$A,Budget!AU:AU)</f>
        <v>1296</v>
      </c>
      <c r="BX200" s="106">
        <f>+_xlfn.XLOOKUP($BD200,Budget!$A:$A,Budget!AV:AV)</f>
        <v>1296</v>
      </c>
      <c r="BY200" s="106">
        <f>+_xlfn.XLOOKUP($BD200,Budget!$A:$A,Budget!AW:AW)</f>
        <v>1296</v>
      </c>
      <c r="BZ200" s="106">
        <f>+_xlfn.XLOOKUP($BD200,Budget!$A:$A,Budget!AX:AX)</f>
        <v>1296</v>
      </c>
      <c r="CA200" s="106">
        <f>+_xlfn.XLOOKUP($BD200,Budget!$A:$A,Budget!AY:AY)</f>
        <v>1296</v>
      </c>
      <c r="CB200" s="106">
        <f>+_xlfn.XLOOKUP($BD200,Budget!$A:$A,Budget!AZ:AZ)</f>
        <v>1296</v>
      </c>
      <c r="CC200" s="106">
        <f>+_xlfn.XLOOKUP($BD200,Budget!$A:$A,Budget!BA:BA)</f>
        <v>1296</v>
      </c>
      <c r="CD200" s="106">
        <f>+_xlfn.XLOOKUP($BD200,Budget!$A:$A,Budget!BB:BB)</f>
        <v>1296</v>
      </c>
      <c r="CE200" s="106">
        <f t="shared" si="878"/>
        <v>15552</v>
      </c>
      <c r="CF200" s="22"/>
      <c r="CG200" s="22">
        <v>903.34</v>
      </c>
      <c r="CH200" s="22">
        <v>390</v>
      </c>
      <c r="CI200" s="22">
        <v>2231.3310000000001</v>
      </c>
      <c r="CJ200" s="22">
        <v>1361.49</v>
      </c>
      <c r="CK200" s="22">
        <v>906.81</v>
      </c>
      <c r="CL200" s="22">
        <v>1069.296</v>
      </c>
      <c r="CM200" s="22">
        <v>13100</v>
      </c>
      <c r="CN200" s="22">
        <v>1267.653</v>
      </c>
      <c r="CO200" s="22">
        <v>180</v>
      </c>
      <c r="CP200" s="22">
        <v>961.76400000000001</v>
      </c>
      <c r="CQ200" s="22">
        <v>1046.6190999999999</v>
      </c>
      <c r="CR200" s="22">
        <v>559.19999999999993</v>
      </c>
      <c r="CS200" s="106">
        <f t="shared" si="879"/>
        <v>23977.503099999998</v>
      </c>
      <c r="CT200" s="16" t="str">
        <f t="shared" si="886"/>
        <v>Printing</v>
      </c>
      <c r="CU200" s="22">
        <f>+VLOOKUP($BD200,'Jan-25'!$A:$J,7,0)</f>
        <v>609.06899999999996</v>
      </c>
      <c r="CV200" s="22">
        <f>+VLOOKUP($BD200,'Feb-25'!$A:$J,7,0)</f>
        <v>922.12199999999984</v>
      </c>
      <c r="CW200" s="22">
        <f>+VLOOKUP($BD200,'Mar-25'!$A:$J,7,0)</f>
        <v>474.28800000000001</v>
      </c>
      <c r="CX200" s="22">
        <f>+VLOOKUP($BD200,'Apr-25'!$A:$J,7,0)</f>
        <v>90</v>
      </c>
      <c r="CY200" s="22">
        <f>+VLOOKUP($BD200,'May-25'!$A:$J,7,0)</f>
        <v>619.06799999999998</v>
      </c>
      <c r="CZ200" s="22">
        <f>+VLOOKUP($BD200,'June-25'!$A:$J,7,0)</f>
        <v>780.63300000000004</v>
      </c>
      <c r="DA200" s="22">
        <f>+VLOOKUP($BD200,'July-25'!$A:$J,7,0)</f>
        <v>1934.546</v>
      </c>
      <c r="DB200" s="22">
        <f>+VLOOKUP($BD200,'Aug-25'!$A:$J,7,0)</f>
        <v>90</v>
      </c>
      <c r="DC200" s="22">
        <f>+VLOOKUP($BD200,'Sep-25'!$A:$J,7,0)</f>
        <v>535.75799999999992</v>
      </c>
      <c r="DD200" s="22">
        <f>+VLOOKUP($BD200,'Oct-25'!$A:$J,7,0)</f>
        <v>990.0809999999999</v>
      </c>
      <c r="DE200" s="22">
        <f>+VLOOKUP($BD200,'Nov-25'!$A:$J,7,0)</f>
        <v>0</v>
      </c>
      <c r="DF200" s="22">
        <f>+VLOOKUP($BD200,'Dec-25'!$A:$J,7,0)</f>
        <v>0</v>
      </c>
      <c r="DG200" s="22">
        <f t="shared" si="880"/>
        <v>7045.5649999999996</v>
      </c>
      <c r="DH200" s="118">
        <f t="shared" si="717"/>
        <v>0.52790277777777761</v>
      </c>
      <c r="DI200" s="22">
        <f>+_xlfn.XLOOKUP($CT200,Budget!$A:$A,Budget!CD:CD)</f>
        <v>648</v>
      </c>
      <c r="DJ200" s="22">
        <f>+_xlfn.XLOOKUP($CT200,Budget!$A:$A,Budget!CE:CE)</f>
        <v>648</v>
      </c>
      <c r="DK200" s="22">
        <f>+_xlfn.XLOOKUP($CT200,Budget!$A:$A,Budget!CF:CF)</f>
        <v>648</v>
      </c>
      <c r="DL200" s="22">
        <f>+_xlfn.XLOOKUP($CT200,Budget!$A:$A,Budget!CG:CG)</f>
        <v>648</v>
      </c>
      <c r="DM200" s="22">
        <f>+_xlfn.XLOOKUP($CT200,Budget!$A:$A,Budget!CH:CH)</f>
        <v>648</v>
      </c>
      <c r="DN200" s="22">
        <f>+_xlfn.XLOOKUP($CT200,Budget!$A:$A,Budget!CI:CI)</f>
        <v>648</v>
      </c>
      <c r="DO200" s="22">
        <f>+_xlfn.XLOOKUP($CT200,Budget!$A:$A,Budget!CJ:CJ)</f>
        <v>648</v>
      </c>
      <c r="DP200" s="22">
        <f>+_xlfn.XLOOKUP($CT200,Budget!$A:$A,Budget!CK:CK)</f>
        <v>648</v>
      </c>
      <c r="DQ200" s="22">
        <f>+_xlfn.XLOOKUP($CT200,Budget!$A:$A,Budget!CL:CL)</f>
        <v>648</v>
      </c>
      <c r="DR200" s="22">
        <f>+_xlfn.XLOOKUP($CT200,Budget!$A:$A,Budget!CM:CM)</f>
        <v>648</v>
      </c>
      <c r="DS200" s="22">
        <f>+_xlfn.XLOOKUP($CT200,Budget!$A:$A,Budget!CN:CN)</f>
        <v>648</v>
      </c>
      <c r="DT200" s="22">
        <f>+_xlfn.XLOOKUP($CT200,Budget!$A:$A,Budget!CO:CO)</f>
        <v>648</v>
      </c>
      <c r="DU200" s="106">
        <f t="shared" si="881"/>
        <v>7776</v>
      </c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106">
        <f t="shared" si="882"/>
        <v>0</v>
      </c>
      <c r="EJ200" s="16" t="str">
        <f t="shared" si="601"/>
        <v>Printing</v>
      </c>
      <c r="EK200" s="22">
        <f>+VLOOKUP($BD200,'Jan-25'!$A:$J,9,0)</f>
        <v>0</v>
      </c>
      <c r="EL200" s="22">
        <f>+VLOOKUP($BD200,'Feb-25'!$A:$J,9,0)</f>
        <v>0</v>
      </c>
      <c r="EM200" s="22">
        <f>+VLOOKUP($BD200,'Mar-25'!$A:$J,9,0)</f>
        <v>0</v>
      </c>
      <c r="EN200" s="22">
        <f>+VLOOKUP($BD200,'Apr-25'!$A:$J,9,0)</f>
        <v>5850</v>
      </c>
      <c r="EO200" s="22">
        <f>+VLOOKUP($BD200,'May-25'!$A:$J,9,0)</f>
        <v>0</v>
      </c>
      <c r="EP200" s="22">
        <f>+VLOOKUP($BD200,'June-25'!$A:$J,9,0)</f>
        <v>0</v>
      </c>
      <c r="EQ200" s="22">
        <f>+VLOOKUP($BD200,'July-25'!$A:$J,9,0)</f>
        <v>0</v>
      </c>
      <c r="ER200" s="22">
        <f>+VLOOKUP($BD200,'Aug-25'!$A:$J,9,0)</f>
        <v>0</v>
      </c>
      <c r="ES200" s="22">
        <f>+VLOOKUP($BD200,'Sep-25'!$A:$J,9,0)</f>
        <v>1950</v>
      </c>
      <c r="ET200" s="22">
        <f>+VLOOKUP($BD200,'Oct-25'!$A:$J,9,0)</f>
        <v>0</v>
      </c>
      <c r="EU200" s="22">
        <f>+VLOOKUP($BD200,'Nov-25'!$A:$J,9,0)</f>
        <v>0</v>
      </c>
      <c r="EV200" s="22">
        <f>+VLOOKUP($BD200,'Dec-25'!$A:$J,9,0)</f>
        <v>0</v>
      </c>
      <c r="EW200" s="22">
        <f t="shared" si="883"/>
        <v>7800</v>
      </c>
      <c r="EX200" s="118">
        <f t="shared" si="721"/>
        <v>-1</v>
      </c>
      <c r="EY200" s="22">
        <f>+_xlfn.XLOOKUP($EJ200,Budget!$A:$A,Budget!DE:DE)</f>
        <v>2000</v>
      </c>
      <c r="EZ200" s="22">
        <f>+_xlfn.XLOOKUP($EJ200,Budget!$A:$A,Budget!DF:DF)</f>
        <v>2000</v>
      </c>
      <c r="FA200" s="22">
        <f>+_xlfn.XLOOKUP($EJ200,Budget!$A:$A,Budget!DG:DG)</f>
        <v>2000</v>
      </c>
      <c r="FB200" s="22">
        <f>+_xlfn.XLOOKUP($EJ200,Budget!$A:$A,Budget!DH:DH)</f>
        <v>2000</v>
      </c>
      <c r="FC200" s="22">
        <f>+_xlfn.XLOOKUP($EJ200,Budget!$A:$A,Budget!DI:DI)</f>
        <v>2000</v>
      </c>
      <c r="FD200" s="22">
        <f>+_xlfn.XLOOKUP($EJ200,Budget!$A:$A,Budget!DJ:DJ)</f>
        <v>2000</v>
      </c>
      <c r="FE200" s="22">
        <f>+_xlfn.XLOOKUP($EJ200,Budget!$A:$A,Budget!DK:DK)</f>
        <v>2000</v>
      </c>
      <c r="FF200" s="22">
        <f>+_xlfn.XLOOKUP($EJ200,Budget!$A:$A,Budget!DL:DL)</f>
        <v>2000</v>
      </c>
      <c r="FG200" s="22">
        <f>+_xlfn.XLOOKUP($EJ200,Budget!$A:$A,Budget!DM:DM)</f>
        <v>2000</v>
      </c>
      <c r="FH200" s="22">
        <f>+_xlfn.XLOOKUP($EJ200,Budget!$A:$A,Budget!DN:DN)</f>
        <v>2000</v>
      </c>
      <c r="FI200" s="22">
        <f>+_xlfn.XLOOKUP($EJ200,Budget!$A:$A,Budget!DO:DO)</f>
        <v>2000</v>
      </c>
      <c r="FJ200" s="22">
        <f>+_xlfn.XLOOKUP($EJ200,Budget!$A:$A,Budget!DP:DP)</f>
        <v>2000</v>
      </c>
      <c r="FK200" s="106">
        <f t="shared" si="884"/>
        <v>24000</v>
      </c>
    </row>
    <row r="201" spans="1:167" ht="14.45" hidden="1" customHeight="1" outlineLevel="2">
      <c r="A201" s="106">
        <f t="shared" si="873"/>
        <v>17886</v>
      </c>
      <c r="B201" s="106">
        <f t="shared" si="873"/>
        <v>14898.4</v>
      </c>
      <c r="C201" s="106">
        <f t="shared" si="873"/>
        <v>2790</v>
      </c>
      <c r="D201" s="106">
        <f t="shared" si="873"/>
        <v>10207</v>
      </c>
      <c r="E201" s="106">
        <f t="shared" si="873"/>
        <v>3587</v>
      </c>
      <c r="F201" s="106">
        <f t="shared" si="873"/>
        <v>22115</v>
      </c>
      <c r="G201" s="106">
        <f t="shared" si="873"/>
        <v>10409.9</v>
      </c>
      <c r="H201" s="106">
        <f t="shared" si="873"/>
        <v>11540</v>
      </c>
      <c r="I201" s="106">
        <f t="shared" si="873"/>
        <v>11293</v>
      </c>
      <c r="J201" s="106">
        <f t="shared" si="873"/>
        <v>14157</v>
      </c>
      <c r="K201" s="106">
        <f t="shared" si="873"/>
        <v>7503.9</v>
      </c>
      <c r="L201" s="106">
        <f t="shared" si="873"/>
        <v>6819.9</v>
      </c>
      <c r="M201" s="106">
        <f t="shared" si="873"/>
        <v>133207.1</v>
      </c>
      <c r="N201" s="16" t="s">
        <v>169</v>
      </c>
      <c r="O201" s="22">
        <f t="shared" si="874"/>
        <v>5027</v>
      </c>
      <c r="P201" s="22">
        <f t="shared" si="874"/>
        <v>4460</v>
      </c>
      <c r="Q201" s="22">
        <f t="shared" si="874"/>
        <v>27535</v>
      </c>
      <c r="R201" s="22">
        <f t="shared" si="874"/>
        <v>-597.6</v>
      </c>
      <c r="S201" s="22">
        <f t="shared" si="874"/>
        <v>23394</v>
      </c>
      <c r="T201" s="22">
        <f t="shared" si="874"/>
        <v>37503.19</v>
      </c>
      <c r="U201" s="22">
        <f t="shared" si="874"/>
        <v>44120.3</v>
      </c>
      <c r="V201" s="22">
        <f t="shared" si="874"/>
        <v>13696</v>
      </c>
      <c r="W201" s="22">
        <f t="shared" si="874"/>
        <v>10530</v>
      </c>
      <c r="X201" s="22">
        <f t="shared" si="874"/>
        <v>9255</v>
      </c>
      <c r="Y201" s="22">
        <f t="shared" si="874"/>
        <v>0</v>
      </c>
      <c r="Z201" s="22">
        <f t="shared" si="874"/>
        <v>0</v>
      </c>
      <c r="AA201" s="22">
        <f t="shared" si="874"/>
        <v>174922.89</v>
      </c>
      <c r="AB201" s="118">
        <f t="shared" si="708"/>
        <v>4.9403080872913989</v>
      </c>
      <c r="AC201" s="22">
        <f t="shared" si="875"/>
        <v>1558</v>
      </c>
      <c r="AD201" s="22">
        <f t="shared" si="875"/>
        <v>1558</v>
      </c>
      <c r="AE201" s="22">
        <f t="shared" si="875"/>
        <v>1558</v>
      </c>
      <c r="AF201" s="22">
        <f t="shared" si="875"/>
        <v>1558</v>
      </c>
      <c r="AG201" s="22">
        <f t="shared" si="875"/>
        <v>1558</v>
      </c>
      <c r="AH201" s="22">
        <f t="shared" si="875"/>
        <v>1558</v>
      </c>
      <c r="AI201" s="22">
        <f t="shared" si="875"/>
        <v>1558</v>
      </c>
      <c r="AJ201" s="22">
        <f t="shared" si="875"/>
        <v>1558</v>
      </c>
      <c r="AK201" s="22">
        <f t="shared" si="875"/>
        <v>1558</v>
      </c>
      <c r="AL201" s="22">
        <f t="shared" si="875"/>
        <v>1558</v>
      </c>
      <c r="AM201" s="22">
        <f t="shared" si="875"/>
        <v>1558</v>
      </c>
      <c r="AN201" s="22">
        <f t="shared" si="875"/>
        <v>1558</v>
      </c>
      <c r="AO201" s="22">
        <f t="shared" si="875"/>
        <v>18696</v>
      </c>
      <c r="AQ201" s="106">
        <v>16950</v>
      </c>
      <c r="AR201" s="106">
        <v>13370</v>
      </c>
      <c r="AS201" s="106">
        <v>2640</v>
      </c>
      <c r="AT201" s="106">
        <v>8343</v>
      </c>
      <c r="AU201" s="106">
        <v>3390</v>
      </c>
      <c r="AV201" s="106">
        <v>21085</v>
      </c>
      <c r="AW201" s="106">
        <v>10150</v>
      </c>
      <c r="AX201" s="106">
        <v>10740</v>
      </c>
      <c r="AY201" s="106">
        <v>10970</v>
      </c>
      <c r="AZ201" s="106">
        <v>12460</v>
      </c>
      <c r="BA201" s="106">
        <v>5650</v>
      </c>
      <c r="BB201" s="106">
        <v>5990</v>
      </c>
      <c r="BC201" s="106">
        <f t="shared" si="876"/>
        <v>121738</v>
      </c>
      <c r="BD201" s="16" t="str">
        <f t="shared" si="885"/>
        <v>Postage</v>
      </c>
      <c r="BE201" s="22">
        <f>+VLOOKUP($BD201,'Jan-25'!$A:$J,4,0)</f>
        <v>3653</v>
      </c>
      <c r="BF201" s="22">
        <f>+VLOOKUP($BD201,'Feb-25'!$A:$J,4,0)</f>
        <v>3950</v>
      </c>
      <c r="BG201" s="22">
        <f>+VLOOKUP($BD201,'Mar-25'!$A:$J,4,0)</f>
        <v>10009</v>
      </c>
      <c r="BH201" s="22">
        <f>+VLOOKUP($BD201,'Apr-25'!$A:$J,4,0)</f>
        <v>-690</v>
      </c>
      <c r="BI201" s="22">
        <f>+VLOOKUP($BD201,'May-25'!$A:$J,4,0)</f>
        <v>14920</v>
      </c>
      <c r="BJ201" s="22">
        <f>+VLOOKUP($BD201,'June-25'!$A:$J,4,0)</f>
        <v>35485.19</v>
      </c>
      <c r="BK201" s="22">
        <f>+VLOOKUP($BD201,'July-25'!$A:$J,4,0)</f>
        <v>30922</v>
      </c>
      <c r="BL201" s="22">
        <f>+VLOOKUP($BD201,'Aug-25'!$A:$J,4,0)</f>
        <v>4930</v>
      </c>
      <c r="BM201" s="22">
        <f>+VLOOKUP($BD201,'Sep-25'!$A:$J,4,0)</f>
        <v>4240</v>
      </c>
      <c r="BN201" s="22">
        <f>+VLOOKUP($BD201,'Oct-25'!$A:$J,4,0)</f>
        <v>4977</v>
      </c>
      <c r="BO201" s="22">
        <f>+VLOOKUP($BD201,'Nov-25'!$A:$J,4,0)</f>
        <v>0</v>
      </c>
      <c r="BP201" s="22">
        <f>+VLOOKUP($BD201,'Dec-25'!$A:$J,4,0)</f>
        <v>0</v>
      </c>
      <c r="BQ201" s="22">
        <f t="shared" si="877"/>
        <v>112396.19</v>
      </c>
      <c r="BR201" s="118">
        <f t="shared" si="713"/>
        <v>13.301724137931034</v>
      </c>
      <c r="BS201" s="106">
        <f>+_xlfn.XLOOKUP($BD201,Budget!$A:$A,Budget!AQ:AQ)</f>
        <v>348</v>
      </c>
      <c r="BT201" s="106">
        <f>+_xlfn.XLOOKUP($BD201,Budget!$A:$A,Budget!AR:AR)</f>
        <v>348</v>
      </c>
      <c r="BU201" s="106">
        <f>+_xlfn.XLOOKUP($BD201,Budget!$A:$A,Budget!AS:AS)</f>
        <v>348</v>
      </c>
      <c r="BV201" s="106">
        <f>+_xlfn.XLOOKUP($BD201,Budget!$A:$A,Budget!AT:AT)</f>
        <v>348</v>
      </c>
      <c r="BW201" s="106">
        <f>+_xlfn.XLOOKUP($BD201,Budget!$A:$A,Budget!AU:AU)</f>
        <v>348</v>
      </c>
      <c r="BX201" s="106">
        <f>+_xlfn.XLOOKUP($BD201,Budget!$A:$A,Budget!AV:AV)</f>
        <v>348</v>
      </c>
      <c r="BY201" s="106">
        <f>+_xlfn.XLOOKUP($BD201,Budget!$A:$A,Budget!AW:AW)</f>
        <v>348</v>
      </c>
      <c r="BZ201" s="106">
        <f>+_xlfn.XLOOKUP($BD201,Budget!$A:$A,Budget!AX:AX)</f>
        <v>348</v>
      </c>
      <c r="CA201" s="106">
        <f>+_xlfn.XLOOKUP($BD201,Budget!$A:$A,Budget!AY:AY)</f>
        <v>348</v>
      </c>
      <c r="CB201" s="106">
        <f>+_xlfn.XLOOKUP($BD201,Budget!$A:$A,Budget!AZ:AZ)</f>
        <v>348</v>
      </c>
      <c r="CC201" s="106">
        <f>+_xlfn.XLOOKUP($BD201,Budget!$A:$A,Budget!BA:BA)</f>
        <v>348</v>
      </c>
      <c r="CD201" s="106">
        <f>+_xlfn.XLOOKUP($BD201,Budget!$A:$A,Budget!BB:BB)</f>
        <v>348</v>
      </c>
      <c r="CE201" s="106">
        <f t="shared" si="878"/>
        <v>4176</v>
      </c>
      <c r="CF201" s="22"/>
      <c r="CG201" s="22">
        <v>936</v>
      </c>
      <c r="CH201" s="22">
        <v>1528.4</v>
      </c>
      <c r="CI201" s="22">
        <v>150</v>
      </c>
      <c r="CJ201" s="22">
        <v>1864</v>
      </c>
      <c r="CK201" s="22">
        <v>197</v>
      </c>
      <c r="CL201" s="22">
        <v>1030</v>
      </c>
      <c r="CM201" s="22">
        <v>259.89999999999998</v>
      </c>
      <c r="CN201" s="22">
        <v>800</v>
      </c>
      <c r="CO201" s="22">
        <v>323</v>
      </c>
      <c r="CP201" s="22">
        <v>1697</v>
      </c>
      <c r="CQ201" s="22">
        <v>1853.9</v>
      </c>
      <c r="CR201" s="22">
        <v>829.9</v>
      </c>
      <c r="CS201" s="106">
        <f t="shared" si="879"/>
        <v>11469.099999999999</v>
      </c>
      <c r="CT201" s="16" t="str">
        <f t="shared" si="886"/>
        <v>Postage</v>
      </c>
      <c r="CU201" s="22">
        <f>+VLOOKUP($BD201,'Jan-25'!$A:$J,7,0)</f>
        <v>1294</v>
      </c>
      <c r="CV201" s="22">
        <f>+VLOOKUP($BD201,'Feb-25'!$A:$J,7,0)</f>
        <v>510</v>
      </c>
      <c r="CW201" s="22">
        <f>+VLOOKUP($BD201,'Mar-25'!$A:$J,7,0)</f>
        <v>3670</v>
      </c>
      <c r="CX201" s="22">
        <f>+VLOOKUP($BD201,'Apr-25'!$A:$J,7,0)</f>
        <v>92.399999999999991</v>
      </c>
      <c r="CY201" s="22">
        <f>+VLOOKUP($BD201,'May-25'!$A:$J,7,0)</f>
        <v>3484</v>
      </c>
      <c r="CZ201" s="22">
        <f>+VLOOKUP($BD201,'June-25'!$A:$J,7,0)</f>
        <v>24</v>
      </c>
      <c r="DA201" s="22">
        <f>+VLOOKUP($BD201,'July-25'!$A:$J,7,0)</f>
        <v>10290.299999999999</v>
      </c>
      <c r="DB201" s="22">
        <f>+VLOOKUP($BD201,'Aug-25'!$A:$J,7,0)</f>
        <v>3470</v>
      </c>
      <c r="DC201" s="22">
        <f>+VLOOKUP($BD201,'Sep-25'!$A:$J,7,0)</f>
        <v>2110</v>
      </c>
      <c r="DD201" s="22">
        <f>+VLOOKUP($BD201,'Oct-25'!$A:$J,7,0)</f>
        <v>3078</v>
      </c>
      <c r="DE201" s="22">
        <f>+VLOOKUP($BD201,'Nov-25'!$A:$J,7,0)</f>
        <v>0</v>
      </c>
      <c r="DF201" s="22">
        <f>+VLOOKUP($BD201,'Dec-25'!$A:$J,7,0)</f>
        <v>0</v>
      </c>
      <c r="DG201" s="22">
        <f t="shared" si="880"/>
        <v>28022.699999999997</v>
      </c>
      <c r="DH201" s="118">
        <f t="shared" si="717"/>
        <v>13.657142857142857</v>
      </c>
      <c r="DI201" s="22">
        <f>+_xlfn.XLOOKUP($CT201,Budget!$A:$A,Budget!CD:CD)</f>
        <v>210</v>
      </c>
      <c r="DJ201" s="22">
        <f>+_xlfn.XLOOKUP($CT201,Budget!$A:$A,Budget!CE:CE)</f>
        <v>210</v>
      </c>
      <c r="DK201" s="22">
        <f>+_xlfn.XLOOKUP($CT201,Budget!$A:$A,Budget!CF:CF)</f>
        <v>210</v>
      </c>
      <c r="DL201" s="22">
        <f>+_xlfn.XLOOKUP($CT201,Budget!$A:$A,Budget!CG:CG)</f>
        <v>210</v>
      </c>
      <c r="DM201" s="22">
        <f>+_xlfn.XLOOKUP($CT201,Budget!$A:$A,Budget!CH:CH)</f>
        <v>210</v>
      </c>
      <c r="DN201" s="22">
        <f>+_xlfn.XLOOKUP($CT201,Budget!$A:$A,Budget!CI:CI)</f>
        <v>210</v>
      </c>
      <c r="DO201" s="22">
        <f>+_xlfn.XLOOKUP($CT201,Budget!$A:$A,Budget!CJ:CJ)</f>
        <v>210</v>
      </c>
      <c r="DP201" s="22">
        <f>+_xlfn.XLOOKUP($CT201,Budget!$A:$A,Budget!CK:CK)</f>
        <v>210</v>
      </c>
      <c r="DQ201" s="22">
        <f>+_xlfn.XLOOKUP($CT201,Budget!$A:$A,Budget!CL:CL)</f>
        <v>210</v>
      </c>
      <c r="DR201" s="22">
        <f>+_xlfn.XLOOKUP($CT201,Budget!$A:$A,Budget!CM:CM)</f>
        <v>210</v>
      </c>
      <c r="DS201" s="22">
        <f>+_xlfn.XLOOKUP($CT201,Budget!$A:$A,Budget!CN:CN)</f>
        <v>210</v>
      </c>
      <c r="DT201" s="22">
        <f>+_xlfn.XLOOKUP($CT201,Budget!$A:$A,Budget!CO:CO)</f>
        <v>210</v>
      </c>
      <c r="DU201" s="106">
        <f t="shared" si="881"/>
        <v>2520</v>
      </c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106">
        <f t="shared" si="882"/>
        <v>0</v>
      </c>
      <c r="EJ201" s="16" t="str">
        <f t="shared" ref="EJ201:EJ236" si="887">CT201</f>
        <v>Postage</v>
      </c>
      <c r="EK201" s="22">
        <f>+VLOOKUP($BD201,'Jan-25'!$A:$J,9,0)</f>
        <v>80</v>
      </c>
      <c r="EL201" s="22">
        <f>+VLOOKUP($BD201,'Feb-25'!$A:$J,9,0)</f>
        <v>0</v>
      </c>
      <c r="EM201" s="22">
        <f>+VLOOKUP($BD201,'Mar-25'!$A:$J,9,0)</f>
        <v>13856</v>
      </c>
      <c r="EN201" s="22">
        <f>+VLOOKUP($BD201,'Apr-25'!$A:$J,9,0)</f>
        <v>0</v>
      </c>
      <c r="EO201" s="22">
        <f>+VLOOKUP($BD201,'May-25'!$A:$J,9,0)</f>
        <v>4990</v>
      </c>
      <c r="EP201" s="22">
        <f>+VLOOKUP($BD201,'June-25'!$A:$J,9,0)</f>
        <v>1994</v>
      </c>
      <c r="EQ201" s="22">
        <f>+VLOOKUP($BD201,'July-25'!$A:$J,9,0)</f>
        <v>2908</v>
      </c>
      <c r="ER201" s="22">
        <f>+VLOOKUP($BD201,'Aug-25'!$A:$J,9,0)</f>
        <v>5296</v>
      </c>
      <c r="ES201" s="22">
        <f>+VLOOKUP($BD201,'Sep-25'!$A:$J,9,0)</f>
        <v>4180</v>
      </c>
      <c r="ET201" s="22">
        <f>+VLOOKUP($BD201,'Oct-25'!$A:$J,9,0)</f>
        <v>1200</v>
      </c>
      <c r="EU201" s="22">
        <f>+VLOOKUP($BD201,'Nov-25'!$A:$J,9,0)</f>
        <v>0</v>
      </c>
      <c r="EV201" s="22">
        <f>+VLOOKUP($BD201,'Dec-25'!$A:$J,9,0)</f>
        <v>0</v>
      </c>
      <c r="EW201" s="22">
        <f t="shared" si="883"/>
        <v>34504</v>
      </c>
      <c r="EX201" s="118">
        <f t="shared" si="721"/>
        <v>0.2</v>
      </c>
      <c r="EY201" s="22">
        <f>+_xlfn.XLOOKUP($EJ201,Budget!$A:$A,Budget!DE:DE)</f>
        <v>1000</v>
      </c>
      <c r="EZ201" s="22">
        <f>+_xlfn.XLOOKUP($EJ201,Budget!$A:$A,Budget!DF:DF)</f>
        <v>1000</v>
      </c>
      <c r="FA201" s="22">
        <f>+_xlfn.XLOOKUP($EJ201,Budget!$A:$A,Budget!DG:DG)</f>
        <v>1000</v>
      </c>
      <c r="FB201" s="22">
        <f>+_xlfn.XLOOKUP($EJ201,Budget!$A:$A,Budget!DH:DH)</f>
        <v>1000</v>
      </c>
      <c r="FC201" s="22">
        <f>+_xlfn.XLOOKUP($EJ201,Budget!$A:$A,Budget!DI:DI)</f>
        <v>1000</v>
      </c>
      <c r="FD201" s="22">
        <f>+_xlfn.XLOOKUP($EJ201,Budget!$A:$A,Budget!DJ:DJ)</f>
        <v>1000</v>
      </c>
      <c r="FE201" s="22">
        <f>+_xlfn.XLOOKUP($EJ201,Budget!$A:$A,Budget!DK:DK)</f>
        <v>1000</v>
      </c>
      <c r="FF201" s="22">
        <f>+_xlfn.XLOOKUP($EJ201,Budget!$A:$A,Budget!DL:DL)</f>
        <v>1000</v>
      </c>
      <c r="FG201" s="22">
        <f>+_xlfn.XLOOKUP($EJ201,Budget!$A:$A,Budget!DM:DM)</f>
        <v>1000</v>
      </c>
      <c r="FH201" s="22">
        <f>+_xlfn.XLOOKUP($EJ201,Budget!$A:$A,Budget!DN:DN)</f>
        <v>1000</v>
      </c>
      <c r="FI201" s="22">
        <f>+_xlfn.XLOOKUP($EJ201,Budget!$A:$A,Budget!DO:DO)</f>
        <v>1000</v>
      </c>
      <c r="FJ201" s="22">
        <f>+_xlfn.XLOOKUP($EJ201,Budget!$A:$A,Budget!DP:DP)</f>
        <v>1000</v>
      </c>
      <c r="FK201" s="106">
        <f t="shared" si="884"/>
        <v>12000</v>
      </c>
    </row>
    <row r="202" spans="1:167" ht="14.45" hidden="1" customHeight="1" outlineLevel="2">
      <c r="A202" s="106">
        <f t="shared" si="873"/>
        <v>0</v>
      </c>
      <c r="B202" s="106">
        <f t="shared" si="873"/>
        <v>0</v>
      </c>
      <c r="C202" s="106">
        <f t="shared" si="873"/>
        <v>0</v>
      </c>
      <c r="D202" s="106">
        <f t="shared" si="873"/>
        <v>0</v>
      </c>
      <c r="E202" s="106">
        <f t="shared" si="873"/>
        <v>0</v>
      </c>
      <c r="F202" s="106">
        <f t="shared" si="873"/>
        <v>0</v>
      </c>
      <c r="G202" s="106">
        <f t="shared" si="873"/>
        <v>0</v>
      </c>
      <c r="H202" s="106">
        <f t="shared" si="873"/>
        <v>0</v>
      </c>
      <c r="I202" s="106">
        <f t="shared" si="873"/>
        <v>0</v>
      </c>
      <c r="J202" s="106">
        <f t="shared" si="873"/>
        <v>0</v>
      </c>
      <c r="K202" s="106">
        <f t="shared" si="873"/>
        <v>0</v>
      </c>
      <c r="L202" s="106">
        <f t="shared" si="873"/>
        <v>0</v>
      </c>
      <c r="M202" s="106">
        <f t="shared" si="873"/>
        <v>0</v>
      </c>
      <c r="N202" s="16" t="s">
        <v>170</v>
      </c>
      <c r="O202" s="22">
        <f t="shared" si="874"/>
        <v>0</v>
      </c>
      <c r="P202" s="22">
        <f t="shared" si="874"/>
        <v>0</v>
      </c>
      <c r="Q202" s="22">
        <f t="shared" si="874"/>
        <v>0</v>
      </c>
      <c r="R202" s="22">
        <f t="shared" si="874"/>
        <v>0</v>
      </c>
      <c r="S202" s="22">
        <f t="shared" si="874"/>
        <v>0</v>
      </c>
      <c r="T202" s="22">
        <f t="shared" si="874"/>
        <v>2660.6</v>
      </c>
      <c r="U202" s="22">
        <f t="shared" si="874"/>
        <v>2688.2</v>
      </c>
      <c r="V202" s="22">
        <f t="shared" si="874"/>
        <v>1020.3</v>
      </c>
      <c r="W202" s="22">
        <f t="shared" si="874"/>
        <v>1020.3</v>
      </c>
      <c r="X202" s="22">
        <f t="shared" si="874"/>
        <v>1020.3</v>
      </c>
      <c r="Y202" s="22">
        <f t="shared" si="874"/>
        <v>0</v>
      </c>
      <c r="Z202" s="22">
        <f t="shared" si="874"/>
        <v>0</v>
      </c>
      <c r="AA202" s="22">
        <f t="shared" si="874"/>
        <v>8409.7000000000007</v>
      </c>
      <c r="AB202" s="118">
        <f t="shared" si="708"/>
        <v>1.6594552326339111</v>
      </c>
      <c r="AC202" s="22">
        <f t="shared" si="875"/>
        <v>383.65</v>
      </c>
      <c r="AD202" s="22">
        <f t="shared" si="875"/>
        <v>383.65</v>
      </c>
      <c r="AE202" s="22">
        <f t="shared" si="875"/>
        <v>383.65</v>
      </c>
      <c r="AF202" s="22">
        <f t="shared" si="875"/>
        <v>383.65</v>
      </c>
      <c r="AG202" s="22">
        <f t="shared" si="875"/>
        <v>383.65</v>
      </c>
      <c r="AH202" s="22">
        <f t="shared" si="875"/>
        <v>383.65</v>
      </c>
      <c r="AI202" s="22">
        <f t="shared" si="875"/>
        <v>383.65</v>
      </c>
      <c r="AJ202" s="22">
        <f t="shared" si="875"/>
        <v>383.65</v>
      </c>
      <c r="AK202" s="22">
        <f t="shared" si="875"/>
        <v>383.65</v>
      </c>
      <c r="AL202" s="22">
        <f t="shared" si="875"/>
        <v>383.65</v>
      </c>
      <c r="AM202" s="22">
        <f t="shared" si="875"/>
        <v>383.65</v>
      </c>
      <c r="AN202" s="22">
        <f t="shared" si="875"/>
        <v>383.65</v>
      </c>
      <c r="AO202" s="22">
        <f t="shared" si="875"/>
        <v>4603.8</v>
      </c>
      <c r="AQ202" s="106">
        <v>0</v>
      </c>
      <c r="AR202" s="106">
        <v>0</v>
      </c>
      <c r="AS202" s="106">
        <v>0</v>
      </c>
      <c r="AT202" s="106">
        <v>0</v>
      </c>
      <c r="AU202" s="106">
        <v>0</v>
      </c>
      <c r="AV202" s="106">
        <v>0</v>
      </c>
      <c r="AW202" s="106">
        <v>0</v>
      </c>
      <c r="AX202" s="106">
        <v>0</v>
      </c>
      <c r="AY202" s="106">
        <v>0</v>
      </c>
      <c r="AZ202" s="106">
        <v>0</v>
      </c>
      <c r="BA202" s="106">
        <v>0</v>
      </c>
      <c r="BB202" s="106">
        <v>0</v>
      </c>
      <c r="BC202" s="106">
        <f t="shared" si="876"/>
        <v>0</v>
      </c>
      <c r="BD202" s="16" t="str">
        <f t="shared" si="885"/>
        <v>Subscription and Periodicals</v>
      </c>
      <c r="BE202" s="22">
        <f>+VLOOKUP($BD202,'Jan-25'!$A:$J,4,0)</f>
        <v>0</v>
      </c>
      <c r="BF202" s="22">
        <f>+VLOOKUP($BD202,'Feb-25'!$A:$J,4,0)</f>
        <v>0</v>
      </c>
      <c r="BG202" s="22">
        <f>+VLOOKUP($BD202,'Mar-25'!$A:$J,4,0)</f>
        <v>0</v>
      </c>
      <c r="BH202" s="22">
        <f>+VLOOKUP($BD202,'Apr-25'!$A:$J,4,0)</f>
        <v>0</v>
      </c>
      <c r="BI202" s="22">
        <f>+VLOOKUP($BD202,'May-25'!$A:$J,4,0)</f>
        <v>0</v>
      </c>
      <c r="BJ202" s="22">
        <f>+VLOOKUP($BD202,'June-25'!$A:$J,4,0)</f>
        <v>2660.6</v>
      </c>
      <c r="BK202" s="22">
        <f>+VLOOKUP($BD202,'July-25'!$A:$J,4,0)</f>
        <v>1998.8</v>
      </c>
      <c r="BL202" s="22">
        <f>+VLOOKUP($BD202,'Aug-25'!$A:$J,4,0)</f>
        <v>1020.3</v>
      </c>
      <c r="BM202" s="22">
        <f>+VLOOKUP($BD202,'Sep-25'!$A:$J,4,0)</f>
        <v>1020.3</v>
      </c>
      <c r="BN202" s="22">
        <f>+VLOOKUP($BD202,'Oct-25'!$A:$J,4,0)</f>
        <v>1020.3</v>
      </c>
      <c r="BO202" s="22">
        <f>+VLOOKUP($BD202,'Nov-25'!$A:$J,4,0)</f>
        <v>0</v>
      </c>
      <c r="BP202" s="22">
        <f>+VLOOKUP($BD202,'Dec-25'!$A:$J,4,0)</f>
        <v>0</v>
      </c>
      <c r="BQ202" s="22">
        <f t="shared" si="877"/>
        <v>7720.3</v>
      </c>
      <c r="BR202" s="118">
        <f t="shared" si="713"/>
        <v>10.451178451178452</v>
      </c>
      <c r="BS202" s="106">
        <f>+_xlfn.XLOOKUP($BD202,Budget!$A:$A,Budget!AQ:AQ)</f>
        <v>89.1</v>
      </c>
      <c r="BT202" s="106">
        <f>+_xlfn.XLOOKUP($BD202,Budget!$A:$A,Budget!AR:AR)</f>
        <v>89.1</v>
      </c>
      <c r="BU202" s="106">
        <f>+_xlfn.XLOOKUP($BD202,Budget!$A:$A,Budget!AS:AS)</f>
        <v>89.1</v>
      </c>
      <c r="BV202" s="106">
        <f>+_xlfn.XLOOKUP($BD202,Budget!$A:$A,Budget!AT:AT)</f>
        <v>89.1</v>
      </c>
      <c r="BW202" s="106">
        <f>+_xlfn.XLOOKUP($BD202,Budget!$A:$A,Budget!AU:AU)</f>
        <v>89.1</v>
      </c>
      <c r="BX202" s="106">
        <f>+_xlfn.XLOOKUP($BD202,Budget!$A:$A,Budget!AV:AV)</f>
        <v>89.1</v>
      </c>
      <c r="BY202" s="106">
        <f>+_xlfn.XLOOKUP($BD202,Budget!$A:$A,Budget!AW:AW)</f>
        <v>89.1</v>
      </c>
      <c r="BZ202" s="106">
        <f>+_xlfn.XLOOKUP($BD202,Budget!$A:$A,Budget!AX:AX)</f>
        <v>89.1</v>
      </c>
      <c r="CA202" s="106">
        <f>+_xlfn.XLOOKUP($BD202,Budget!$A:$A,Budget!AY:AY)</f>
        <v>89.1</v>
      </c>
      <c r="CB202" s="106">
        <f>+_xlfn.XLOOKUP($BD202,Budget!$A:$A,Budget!AZ:AZ)</f>
        <v>89.1</v>
      </c>
      <c r="CC202" s="106">
        <f>+_xlfn.XLOOKUP($BD202,Budget!$A:$A,Budget!BA:BA)</f>
        <v>89.1</v>
      </c>
      <c r="CD202" s="106">
        <f>+_xlfn.XLOOKUP($BD202,Budget!$A:$A,Budget!BB:BB)</f>
        <v>89.1</v>
      </c>
      <c r="CE202" s="106">
        <f t="shared" si="878"/>
        <v>1069.2</v>
      </c>
      <c r="CF202" s="22"/>
      <c r="CG202" s="22">
        <v>0</v>
      </c>
      <c r="CH202" s="22">
        <v>0</v>
      </c>
      <c r="CI202" s="22">
        <v>0</v>
      </c>
      <c r="CJ202" s="22">
        <v>0</v>
      </c>
      <c r="CK202" s="22">
        <v>0</v>
      </c>
      <c r="CL202" s="22">
        <v>0</v>
      </c>
      <c r="CM202" s="22">
        <v>0</v>
      </c>
      <c r="CN202" s="22">
        <v>0</v>
      </c>
      <c r="CO202" s="22">
        <v>0</v>
      </c>
      <c r="CP202" s="22">
        <v>0</v>
      </c>
      <c r="CQ202" s="22">
        <v>0</v>
      </c>
      <c r="CR202" s="22">
        <v>0</v>
      </c>
      <c r="CS202" s="106">
        <f t="shared" si="879"/>
        <v>0</v>
      </c>
      <c r="CT202" s="16" t="str">
        <f t="shared" si="886"/>
        <v>Subscription and Periodicals</v>
      </c>
      <c r="CU202" s="22">
        <f>+VLOOKUP($BD202,'Jan-25'!$A:$J,7,0)</f>
        <v>0</v>
      </c>
      <c r="CV202" s="22">
        <f>+VLOOKUP($BD202,'Feb-25'!$A:$J,7,0)</f>
        <v>0</v>
      </c>
      <c r="CW202" s="22">
        <f>+VLOOKUP($BD202,'Mar-25'!$A:$J,7,0)</f>
        <v>0</v>
      </c>
      <c r="CX202" s="22">
        <f>+VLOOKUP($BD202,'Apr-25'!$A:$J,7,0)</f>
        <v>0</v>
      </c>
      <c r="CY202" s="22">
        <f>+VLOOKUP($BD202,'May-25'!$A:$J,7,0)</f>
        <v>0</v>
      </c>
      <c r="CZ202" s="22">
        <f>+VLOOKUP($BD202,'June-25'!$A:$J,7,0)</f>
        <v>0</v>
      </c>
      <c r="DA202" s="22">
        <f>+VLOOKUP($BD202,'July-25'!$A:$J,7,0)</f>
        <v>689.4</v>
      </c>
      <c r="DB202" s="22">
        <f>+VLOOKUP($BD202,'Aug-25'!$A:$J,7,0)</f>
        <v>0</v>
      </c>
      <c r="DC202" s="22">
        <f>+VLOOKUP($BD202,'Sep-25'!$A:$J,7,0)</f>
        <v>0</v>
      </c>
      <c r="DD202" s="22">
        <f>+VLOOKUP($BD202,'Oct-25'!$A:$J,7,0)</f>
        <v>0</v>
      </c>
      <c r="DE202" s="22">
        <f>+VLOOKUP($BD202,'Nov-25'!$A:$J,7,0)</f>
        <v>0</v>
      </c>
      <c r="DF202" s="22">
        <f>+VLOOKUP($BD202,'Dec-25'!$A:$J,7,0)</f>
        <v>0</v>
      </c>
      <c r="DG202" s="22">
        <f t="shared" si="880"/>
        <v>689.4</v>
      </c>
      <c r="DH202" s="118">
        <f t="shared" si="717"/>
        <v>-1</v>
      </c>
      <c r="DI202" s="22">
        <f>+_xlfn.XLOOKUP($CT202,Budget!$A:$A,Budget!CD:CD)</f>
        <v>44.55</v>
      </c>
      <c r="DJ202" s="22">
        <f>+_xlfn.XLOOKUP($CT202,Budget!$A:$A,Budget!CE:CE)</f>
        <v>44.55</v>
      </c>
      <c r="DK202" s="22">
        <f>+_xlfn.XLOOKUP($CT202,Budget!$A:$A,Budget!CF:CF)</f>
        <v>44.55</v>
      </c>
      <c r="DL202" s="22">
        <f>+_xlfn.XLOOKUP($CT202,Budget!$A:$A,Budget!CG:CG)</f>
        <v>44.55</v>
      </c>
      <c r="DM202" s="22">
        <f>+_xlfn.XLOOKUP($CT202,Budget!$A:$A,Budget!CH:CH)</f>
        <v>44.55</v>
      </c>
      <c r="DN202" s="22">
        <f>+_xlfn.XLOOKUP($CT202,Budget!$A:$A,Budget!CI:CI)</f>
        <v>44.55</v>
      </c>
      <c r="DO202" s="22">
        <f>+_xlfn.XLOOKUP($CT202,Budget!$A:$A,Budget!CJ:CJ)</f>
        <v>44.55</v>
      </c>
      <c r="DP202" s="22">
        <f>+_xlfn.XLOOKUP($CT202,Budget!$A:$A,Budget!CK:CK)</f>
        <v>44.55</v>
      </c>
      <c r="DQ202" s="22">
        <f>+_xlfn.XLOOKUP($CT202,Budget!$A:$A,Budget!CL:CL)</f>
        <v>44.55</v>
      </c>
      <c r="DR202" s="22">
        <f>+_xlfn.XLOOKUP($CT202,Budget!$A:$A,Budget!CM:CM)</f>
        <v>44.55</v>
      </c>
      <c r="DS202" s="22">
        <f>+_xlfn.XLOOKUP($CT202,Budget!$A:$A,Budget!CN:CN)</f>
        <v>44.55</v>
      </c>
      <c r="DT202" s="22">
        <f>+_xlfn.XLOOKUP($CT202,Budget!$A:$A,Budget!CO:CO)</f>
        <v>44.55</v>
      </c>
      <c r="DU202" s="106">
        <f t="shared" si="881"/>
        <v>534.6</v>
      </c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106">
        <f t="shared" si="882"/>
        <v>0</v>
      </c>
      <c r="EJ202" s="16" t="str">
        <f t="shared" si="887"/>
        <v>Subscription and Periodicals</v>
      </c>
      <c r="EK202" s="22">
        <f>+VLOOKUP($BD202,'Jan-25'!$A:$J,9,0)</f>
        <v>0</v>
      </c>
      <c r="EL202" s="22">
        <f>+VLOOKUP($BD202,'Feb-25'!$A:$J,9,0)</f>
        <v>0</v>
      </c>
      <c r="EM202" s="22">
        <f>+VLOOKUP($BD202,'Mar-25'!$A:$J,9,0)</f>
        <v>0</v>
      </c>
      <c r="EN202" s="22">
        <f>+VLOOKUP($BD202,'Apr-25'!$A:$J,9,0)</f>
        <v>0</v>
      </c>
      <c r="EO202" s="22">
        <f>+VLOOKUP($BD202,'May-25'!$A:$J,9,0)</f>
        <v>0</v>
      </c>
      <c r="EP202" s="22">
        <f>+VLOOKUP($BD202,'June-25'!$A:$J,9,0)</f>
        <v>0</v>
      </c>
      <c r="EQ202" s="22">
        <f>+VLOOKUP($BD202,'July-25'!$A:$J,9,0)</f>
        <v>0</v>
      </c>
      <c r="ER202" s="22">
        <f>+VLOOKUP($BD202,'Aug-25'!$A:$J,9,0)</f>
        <v>0</v>
      </c>
      <c r="ES202" s="22">
        <f>+VLOOKUP($BD202,'Sep-25'!$A:$J,9,0)</f>
        <v>0</v>
      </c>
      <c r="ET202" s="22">
        <f>+VLOOKUP($BD202,'Oct-25'!$A:$J,9,0)</f>
        <v>0</v>
      </c>
      <c r="EU202" s="22">
        <f>+VLOOKUP($BD202,'Nov-25'!$A:$J,9,0)</f>
        <v>0</v>
      </c>
      <c r="EV202" s="22">
        <f>+VLOOKUP($BD202,'Dec-25'!$A:$J,9,0)</f>
        <v>0</v>
      </c>
      <c r="EW202" s="22">
        <f t="shared" si="883"/>
        <v>0</v>
      </c>
      <c r="EX202" s="118">
        <f t="shared" si="721"/>
        <v>-1</v>
      </c>
      <c r="EY202" s="22">
        <f>+_xlfn.XLOOKUP($EJ202,Budget!$A:$A,Budget!DE:DE)</f>
        <v>250</v>
      </c>
      <c r="EZ202" s="22">
        <f>+_xlfn.XLOOKUP($EJ202,Budget!$A:$A,Budget!DF:DF)</f>
        <v>250</v>
      </c>
      <c r="FA202" s="22">
        <f>+_xlfn.XLOOKUP($EJ202,Budget!$A:$A,Budget!DG:DG)</f>
        <v>250</v>
      </c>
      <c r="FB202" s="22">
        <f>+_xlfn.XLOOKUP($EJ202,Budget!$A:$A,Budget!DH:DH)</f>
        <v>250</v>
      </c>
      <c r="FC202" s="22">
        <f>+_xlfn.XLOOKUP($EJ202,Budget!$A:$A,Budget!DI:DI)</f>
        <v>250</v>
      </c>
      <c r="FD202" s="22">
        <f>+_xlfn.XLOOKUP($EJ202,Budget!$A:$A,Budget!DJ:DJ)</f>
        <v>250</v>
      </c>
      <c r="FE202" s="22">
        <f>+_xlfn.XLOOKUP($EJ202,Budget!$A:$A,Budget!DK:DK)</f>
        <v>250</v>
      </c>
      <c r="FF202" s="22">
        <f>+_xlfn.XLOOKUP($EJ202,Budget!$A:$A,Budget!DL:DL)</f>
        <v>250</v>
      </c>
      <c r="FG202" s="22">
        <f>+_xlfn.XLOOKUP($EJ202,Budget!$A:$A,Budget!DM:DM)</f>
        <v>250</v>
      </c>
      <c r="FH202" s="22">
        <f>+_xlfn.XLOOKUP($EJ202,Budget!$A:$A,Budget!DN:DN)</f>
        <v>250</v>
      </c>
      <c r="FI202" s="22">
        <f>+_xlfn.XLOOKUP($EJ202,Budget!$A:$A,Budget!DO:DO)</f>
        <v>250</v>
      </c>
      <c r="FJ202" s="22">
        <f>+_xlfn.XLOOKUP($EJ202,Budget!$A:$A,Budget!DP:DP)</f>
        <v>250</v>
      </c>
      <c r="FK202" s="106">
        <f t="shared" si="884"/>
        <v>3000</v>
      </c>
    </row>
    <row r="203" spans="1:167" ht="14.45" hidden="1" customHeight="1" outlineLevel="2">
      <c r="A203" s="106">
        <f t="shared" si="873"/>
        <v>2.3359999999999994</v>
      </c>
      <c r="B203" s="106">
        <f t="shared" si="873"/>
        <v>-14.887099999999998</v>
      </c>
      <c r="C203" s="106">
        <f t="shared" si="873"/>
        <v>-3.5975999999999999</v>
      </c>
      <c r="D203" s="106">
        <f t="shared" si="873"/>
        <v>1.6199999999999997</v>
      </c>
      <c r="E203" s="106">
        <f t="shared" si="873"/>
        <v>8.7978000000000005</v>
      </c>
      <c r="F203" s="106">
        <f t="shared" si="873"/>
        <v>-6.8358000000000008</v>
      </c>
      <c r="G203" s="106">
        <f t="shared" si="873"/>
        <v>-8.9426000000000005</v>
      </c>
      <c r="H203" s="106">
        <f t="shared" si="873"/>
        <v>17.939999999999998</v>
      </c>
      <c r="I203" s="106">
        <f t="shared" si="873"/>
        <v>4.3142000000000005</v>
      </c>
      <c r="J203" s="106">
        <f t="shared" si="873"/>
        <v>4.1733999999999991</v>
      </c>
      <c r="K203" s="106">
        <f t="shared" si="873"/>
        <v>-2.8932000000000011</v>
      </c>
      <c r="L203" s="106">
        <f t="shared" si="873"/>
        <v>-19.351000000000003</v>
      </c>
      <c r="M203" s="106">
        <f t="shared" si="873"/>
        <v>-17.325900000000004</v>
      </c>
      <c r="N203" s="16" t="s">
        <v>234</v>
      </c>
      <c r="O203" s="22">
        <f t="shared" si="874"/>
        <v>-7.9264000000000001</v>
      </c>
      <c r="P203" s="22">
        <f t="shared" si="874"/>
        <v>1.5079000000000002</v>
      </c>
      <c r="Q203" s="22">
        <f t="shared" si="874"/>
        <v>-2.7228999999999997</v>
      </c>
      <c r="R203" s="22">
        <f t="shared" si="874"/>
        <v>2.8678999999999997</v>
      </c>
      <c r="S203" s="22">
        <f t="shared" si="874"/>
        <v>0.2903</v>
      </c>
      <c r="T203" s="22">
        <f t="shared" si="874"/>
        <v>3.0900999999999996</v>
      </c>
      <c r="U203" s="22">
        <f t="shared" si="874"/>
        <v>3.1535999999999995</v>
      </c>
      <c r="V203" s="22">
        <f t="shared" si="874"/>
        <v>4.5323999999999991</v>
      </c>
      <c r="W203" s="22">
        <f t="shared" si="874"/>
        <v>4.7416</v>
      </c>
      <c r="X203" s="22">
        <f t="shared" si="874"/>
        <v>1.1393999999999997</v>
      </c>
      <c r="Y203" s="22">
        <f t="shared" si="874"/>
        <v>0</v>
      </c>
      <c r="Z203" s="22">
        <f t="shared" si="874"/>
        <v>0</v>
      </c>
      <c r="AA203" s="22">
        <f t="shared" si="874"/>
        <v>10.6739</v>
      </c>
      <c r="AB203" s="118">
        <f t="shared" si="708"/>
        <v>0</v>
      </c>
      <c r="AC203" s="22">
        <f t="shared" si="875"/>
        <v>0</v>
      </c>
      <c r="AD203" s="22">
        <f t="shared" si="875"/>
        <v>0</v>
      </c>
      <c r="AE203" s="22">
        <f t="shared" si="875"/>
        <v>0</v>
      </c>
      <c r="AF203" s="22">
        <f t="shared" si="875"/>
        <v>0</v>
      </c>
      <c r="AG203" s="22">
        <f t="shared" si="875"/>
        <v>0</v>
      </c>
      <c r="AH203" s="22">
        <f t="shared" si="875"/>
        <v>0</v>
      </c>
      <c r="AI203" s="22">
        <f t="shared" si="875"/>
        <v>0</v>
      </c>
      <c r="AJ203" s="22">
        <f t="shared" si="875"/>
        <v>0</v>
      </c>
      <c r="AK203" s="22">
        <f t="shared" si="875"/>
        <v>0</v>
      </c>
      <c r="AL203" s="22">
        <f t="shared" si="875"/>
        <v>0</v>
      </c>
      <c r="AM203" s="22">
        <f t="shared" si="875"/>
        <v>0</v>
      </c>
      <c r="AN203" s="22">
        <f t="shared" si="875"/>
        <v>0</v>
      </c>
      <c r="AO203" s="22">
        <f t="shared" si="875"/>
        <v>0</v>
      </c>
      <c r="AQ203" s="106">
        <v>-0.19199999999999998</v>
      </c>
      <c r="AR203" s="106">
        <v>-13.247399999999999</v>
      </c>
      <c r="AS203" s="106">
        <v>-7.9184000000000001</v>
      </c>
      <c r="AT203" s="106">
        <v>1.0799999999999998</v>
      </c>
      <c r="AU203" s="106">
        <v>2.5851999999999999</v>
      </c>
      <c r="AV203" s="106">
        <v>-1.3692</v>
      </c>
      <c r="AW203" s="106">
        <v>-5.6744000000000003</v>
      </c>
      <c r="AX203" s="106">
        <v>7.6619999999999999</v>
      </c>
      <c r="AY203" s="106">
        <v>5.1668000000000003</v>
      </c>
      <c r="AZ203" s="106">
        <v>-1.4104000000000001</v>
      </c>
      <c r="BA203" s="106">
        <v>-6.5088000000000008</v>
      </c>
      <c r="BB203" s="106">
        <v>-16.298000000000002</v>
      </c>
      <c r="BC203" s="106">
        <f t="shared" si="876"/>
        <v>-36.124600000000001</v>
      </c>
      <c r="BD203" s="16" t="str">
        <f t="shared" si="885"/>
        <v>Miscellanioues Expense</v>
      </c>
      <c r="BE203" s="22">
        <f>+VLOOKUP($BD203,'Jan-25'!$A:$J,4,0)</f>
        <v>-5.5975999999999999</v>
      </c>
      <c r="BF203" s="22">
        <f>+VLOOKUP($BD203,'Feb-25'!$A:$J,4,0)</f>
        <v>0.73460000000000003</v>
      </c>
      <c r="BG203" s="22">
        <f>+VLOOKUP($BD203,'Mar-25'!$A:$J,4,0)</f>
        <v>-0.30459999999999976</v>
      </c>
      <c r="BH203" s="22">
        <f>+VLOOKUP($BD203,'Apr-25'!$A:$J,4,0)</f>
        <v>1.6626000000000001</v>
      </c>
      <c r="BI203" s="22">
        <f>+VLOOKUP($BD203,'May-25'!$A:$J,4,0)</f>
        <v>9.4200000000000006E-2</v>
      </c>
      <c r="BJ203" s="22">
        <f>+VLOOKUP($BD203,'June-25'!$A:$J,4,0)</f>
        <v>3.6114000000000002</v>
      </c>
      <c r="BK203" s="22">
        <f>+VLOOKUP($BD203,'July-25'!$A:$J,4,0)</f>
        <v>3.3624000000000001</v>
      </c>
      <c r="BL203" s="22">
        <f>+VLOOKUP($BD203,'Aug-25'!$A:$J,4,0)</f>
        <v>2.6655999999999995</v>
      </c>
      <c r="BM203" s="22">
        <f>+VLOOKUP($BD203,'Sep-25'!$A:$J,4,0)</f>
        <v>4.3243999999999998</v>
      </c>
      <c r="BN203" s="22">
        <f>+VLOOKUP($BD203,'Oct-25'!$A:$J,4,0)</f>
        <v>0.75959999999999983</v>
      </c>
      <c r="BO203" s="22">
        <f>+VLOOKUP($BD203,'Nov-25'!$A:$J,4,0)</f>
        <v>0</v>
      </c>
      <c r="BP203" s="22">
        <f>+VLOOKUP($BD203,'Dec-25'!$A:$J,4,0)</f>
        <v>0</v>
      </c>
      <c r="BQ203" s="22">
        <f t="shared" si="877"/>
        <v>11.3126</v>
      </c>
      <c r="BR203" s="118">
        <f t="shared" si="713"/>
        <v>0</v>
      </c>
      <c r="BS203" s="106">
        <f>+_xlfn.XLOOKUP($BD203,Budget!$A:$A,Budget!AQ:AQ)</f>
        <v>0</v>
      </c>
      <c r="BT203" s="106">
        <f>+_xlfn.XLOOKUP($BD203,Budget!$A:$A,Budget!AR:AR)</f>
        <v>0</v>
      </c>
      <c r="BU203" s="106">
        <f>+_xlfn.XLOOKUP($BD203,Budget!$A:$A,Budget!AS:AS)</f>
        <v>0</v>
      </c>
      <c r="BV203" s="106">
        <f>+_xlfn.XLOOKUP($BD203,Budget!$A:$A,Budget!AT:AT)</f>
        <v>0</v>
      </c>
      <c r="BW203" s="106">
        <f>+_xlfn.XLOOKUP($BD203,Budget!$A:$A,Budget!AU:AU)</f>
        <v>0</v>
      </c>
      <c r="BX203" s="106">
        <f>+_xlfn.XLOOKUP($BD203,Budget!$A:$A,Budget!AV:AV)</f>
        <v>0</v>
      </c>
      <c r="BY203" s="106">
        <f>+_xlfn.XLOOKUP($BD203,Budget!$A:$A,Budget!AW:AW)</f>
        <v>0</v>
      </c>
      <c r="BZ203" s="106">
        <f>+_xlfn.XLOOKUP($BD203,Budget!$A:$A,Budget!AX:AX)</f>
        <v>0</v>
      </c>
      <c r="CA203" s="106">
        <f>+_xlfn.XLOOKUP($BD203,Budget!$A:$A,Budget!AY:AY)</f>
        <v>0</v>
      </c>
      <c r="CB203" s="106">
        <f>+_xlfn.XLOOKUP($BD203,Budget!$A:$A,Budget!AZ:AZ)</f>
        <v>0</v>
      </c>
      <c r="CC203" s="106">
        <f>+_xlfn.XLOOKUP($BD203,Budget!$A:$A,Budget!BA:BA)</f>
        <v>0</v>
      </c>
      <c r="CD203" s="106">
        <f>+_xlfn.XLOOKUP($BD203,Budget!$A:$A,Budget!BB:BB)</f>
        <v>0</v>
      </c>
      <c r="CE203" s="106">
        <f t="shared" si="878"/>
        <v>0</v>
      </c>
      <c r="CF203" s="22"/>
      <c r="CG203" s="22">
        <v>2.5279999999999996</v>
      </c>
      <c r="CH203" s="22">
        <v>-1.6396999999999999</v>
      </c>
      <c r="CI203" s="22">
        <v>4.3208000000000002</v>
      </c>
      <c r="CJ203" s="22">
        <v>0.53999999999999992</v>
      </c>
      <c r="CK203" s="22">
        <v>6.2126000000000001</v>
      </c>
      <c r="CL203" s="22">
        <v>-5.4666000000000006</v>
      </c>
      <c r="CM203" s="22">
        <v>-3.2682000000000002</v>
      </c>
      <c r="CN203" s="22">
        <v>10.277999999999999</v>
      </c>
      <c r="CO203" s="22">
        <v>-0.85260000000000014</v>
      </c>
      <c r="CP203" s="22">
        <v>5.5837999999999992</v>
      </c>
      <c r="CQ203" s="22">
        <v>3.6155999999999997</v>
      </c>
      <c r="CR203" s="22">
        <v>-3.0529999999999999</v>
      </c>
      <c r="CS203" s="106">
        <f t="shared" si="879"/>
        <v>18.798699999999997</v>
      </c>
      <c r="CT203" s="16" t="str">
        <f t="shared" si="886"/>
        <v>Miscellanioues Expense</v>
      </c>
      <c r="CU203" s="22">
        <f>+VLOOKUP($BD203,'Jan-25'!$A:$J,7,0)</f>
        <v>-3.2787999999999999</v>
      </c>
      <c r="CV203" s="22">
        <f>+VLOOKUP($BD203,'Feb-25'!$A:$J,7,0)</f>
        <v>9.3299999999999994E-2</v>
      </c>
      <c r="CW203" s="22">
        <f>+VLOOKUP($BD203,'Mar-25'!$A:$J,7,0)</f>
        <v>-1.6082999999999998</v>
      </c>
      <c r="CX203" s="22">
        <f>+VLOOKUP($BD203,'Apr-25'!$A:$J,7,0)</f>
        <v>0.90529999999999999</v>
      </c>
      <c r="CY203" s="22">
        <f>+VLOOKUP($BD203,'May-25'!$A:$J,7,0)</f>
        <v>0.41610000000000003</v>
      </c>
      <c r="CZ203" s="22">
        <f>+VLOOKUP($BD203,'June-25'!$A:$J,7,0)</f>
        <v>0.67869999999999986</v>
      </c>
      <c r="DA203" s="22">
        <f>+VLOOKUP($BD203,'July-25'!$A:$J,7,0)</f>
        <v>0.68120000000000003</v>
      </c>
      <c r="DB203" s="22">
        <f>+VLOOKUP($BD203,'Aug-25'!$A:$J,7,0)</f>
        <v>1.4867999999999999</v>
      </c>
      <c r="DC203" s="22">
        <f>+VLOOKUP($BD203,'Sep-25'!$A:$J,7,0)</f>
        <v>-0.87280000000000002</v>
      </c>
      <c r="DD203" s="22">
        <f>+VLOOKUP($BD203,'Oct-25'!$A:$J,7,0)</f>
        <v>0.37979999999999992</v>
      </c>
      <c r="DE203" s="22">
        <f>+VLOOKUP($BD203,'Nov-25'!$A:$J,7,0)</f>
        <v>0</v>
      </c>
      <c r="DF203" s="22">
        <f>+VLOOKUP($BD203,'Dec-25'!$A:$J,7,0)</f>
        <v>0</v>
      </c>
      <c r="DG203" s="22">
        <f t="shared" si="880"/>
        <v>-1.1186999999999996</v>
      </c>
      <c r="DH203" s="118">
        <f t="shared" si="717"/>
        <v>0</v>
      </c>
      <c r="DI203" s="22">
        <f>+_xlfn.XLOOKUP($CT203,Budget!$A:$A,Budget!CD:CD)</f>
        <v>0</v>
      </c>
      <c r="DJ203" s="22">
        <f>+_xlfn.XLOOKUP($CT203,Budget!$A:$A,Budget!CE:CE)</f>
        <v>0</v>
      </c>
      <c r="DK203" s="22">
        <f>+_xlfn.XLOOKUP($CT203,Budget!$A:$A,Budget!CF:CF)</f>
        <v>0</v>
      </c>
      <c r="DL203" s="22">
        <f>+_xlfn.XLOOKUP($CT203,Budget!$A:$A,Budget!CG:CG)</f>
        <v>0</v>
      </c>
      <c r="DM203" s="22">
        <f>+_xlfn.XLOOKUP($CT203,Budget!$A:$A,Budget!CH:CH)</f>
        <v>0</v>
      </c>
      <c r="DN203" s="22">
        <f>+_xlfn.XLOOKUP($CT203,Budget!$A:$A,Budget!CI:CI)</f>
        <v>0</v>
      </c>
      <c r="DO203" s="22">
        <f>+_xlfn.XLOOKUP($CT203,Budget!$A:$A,Budget!CJ:CJ)</f>
        <v>0</v>
      </c>
      <c r="DP203" s="22">
        <f>+_xlfn.XLOOKUP($CT203,Budget!$A:$A,Budget!CK:CK)</f>
        <v>0</v>
      </c>
      <c r="DQ203" s="22">
        <f>+_xlfn.XLOOKUP($CT203,Budget!$A:$A,Budget!CL:CL)</f>
        <v>0</v>
      </c>
      <c r="DR203" s="22">
        <f>+_xlfn.XLOOKUP($CT203,Budget!$A:$A,Budget!CM:CM)</f>
        <v>0</v>
      </c>
      <c r="DS203" s="22">
        <f>+_xlfn.XLOOKUP($CT203,Budget!$A:$A,Budget!CN:CN)</f>
        <v>0</v>
      </c>
      <c r="DT203" s="22">
        <f>+_xlfn.XLOOKUP($CT203,Budget!$A:$A,Budget!CO:CO)</f>
        <v>0</v>
      </c>
      <c r="DU203" s="106">
        <f t="shared" si="881"/>
        <v>0</v>
      </c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106">
        <f t="shared" si="882"/>
        <v>0</v>
      </c>
      <c r="EJ203" s="16" t="str">
        <f t="shared" si="887"/>
        <v>Miscellanioues Expense</v>
      </c>
      <c r="EK203" s="22">
        <f>+VLOOKUP($BD203,'Jan-25'!$A:$J,9,0)</f>
        <v>0.95</v>
      </c>
      <c r="EL203" s="22">
        <f>+VLOOKUP($BD203,'Feb-25'!$A:$J,9,0)</f>
        <v>0.68</v>
      </c>
      <c r="EM203" s="22">
        <f>+VLOOKUP($BD203,'Mar-25'!$A:$J,9,0)</f>
        <v>-0.81</v>
      </c>
      <c r="EN203" s="22">
        <f>+VLOOKUP($BD203,'Apr-25'!$A:$J,9,0)</f>
        <v>0.3</v>
      </c>
      <c r="EO203" s="22">
        <f>+VLOOKUP($BD203,'May-25'!$A:$J,9,0)</f>
        <v>-0.22</v>
      </c>
      <c r="EP203" s="22">
        <f>+VLOOKUP($BD203,'June-25'!$A:$J,9,0)</f>
        <v>-1.2</v>
      </c>
      <c r="EQ203" s="22">
        <f>+VLOOKUP($BD203,'July-25'!$A:$J,9,0)</f>
        <v>-0.89</v>
      </c>
      <c r="ER203" s="22">
        <f>+VLOOKUP($BD203,'Aug-25'!$A:$J,9,0)</f>
        <v>0.38</v>
      </c>
      <c r="ES203" s="22">
        <f>+VLOOKUP($BD203,'Sep-25'!$A:$J,9,0)</f>
        <v>1.29</v>
      </c>
      <c r="ET203" s="22">
        <f>+VLOOKUP($BD203,'Oct-25'!$A:$J,9,0)</f>
        <v>0</v>
      </c>
      <c r="EU203" s="22">
        <f>+VLOOKUP($BD203,'Nov-25'!$A:$J,9,0)</f>
        <v>0</v>
      </c>
      <c r="EV203" s="22">
        <f>+VLOOKUP($BD203,'Dec-25'!$A:$J,9,0)</f>
        <v>0</v>
      </c>
      <c r="EW203" s="22">
        <f t="shared" si="883"/>
        <v>0.48000000000000009</v>
      </c>
      <c r="EX203" s="118">
        <f t="shared" si="721"/>
        <v>0</v>
      </c>
      <c r="EY203" s="22">
        <f>+_xlfn.XLOOKUP($EJ203,Budget!$A:$A,Budget!DE:DE)</f>
        <v>0</v>
      </c>
      <c r="EZ203" s="22">
        <f>+_xlfn.XLOOKUP($EJ203,Budget!$A:$A,Budget!DF:DF)</f>
        <v>0</v>
      </c>
      <c r="FA203" s="22">
        <f>+_xlfn.XLOOKUP($EJ203,Budget!$A:$A,Budget!DG:DG)</f>
        <v>0</v>
      </c>
      <c r="FB203" s="22">
        <f>+_xlfn.XLOOKUP($EJ203,Budget!$A:$A,Budget!DH:DH)</f>
        <v>0</v>
      </c>
      <c r="FC203" s="22">
        <f>+_xlfn.XLOOKUP($EJ203,Budget!$A:$A,Budget!DI:DI)</f>
        <v>0</v>
      </c>
      <c r="FD203" s="22">
        <f>+_xlfn.XLOOKUP($EJ203,Budget!$A:$A,Budget!DJ:DJ)</f>
        <v>0</v>
      </c>
      <c r="FE203" s="22">
        <f>+_xlfn.XLOOKUP($EJ203,Budget!$A:$A,Budget!DK:DK)</f>
        <v>0</v>
      </c>
      <c r="FF203" s="22">
        <f>+_xlfn.XLOOKUP($EJ203,Budget!$A:$A,Budget!DL:DL)</f>
        <v>0</v>
      </c>
      <c r="FG203" s="22">
        <f>+_xlfn.XLOOKUP($EJ203,Budget!$A:$A,Budget!DM:DM)</f>
        <v>0</v>
      </c>
      <c r="FH203" s="22">
        <f>+_xlfn.XLOOKUP($EJ203,Budget!$A:$A,Budget!DN:DN)</f>
        <v>0</v>
      </c>
      <c r="FI203" s="22">
        <f>+_xlfn.XLOOKUP($EJ203,Budget!$A:$A,Budget!DO:DO)</f>
        <v>0</v>
      </c>
      <c r="FJ203" s="22">
        <f>+_xlfn.XLOOKUP($EJ203,Budget!$A:$A,Budget!DP:DP)</f>
        <v>0</v>
      </c>
      <c r="FK203" s="106">
        <f t="shared" si="884"/>
        <v>0</v>
      </c>
    </row>
    <row r="204" spans="1:167" ht="14.45" hidden="1" customHeight="1" outlineLevel="2">
      <c r="A204" s="106">
        <f t="shared" si="873"/>
        <v>48.671099999999996</v>
      </c>
      <c r="B204" s="106">
        <f t="shared" si="873"/>
        <v>351.49900000000002</v>
      </c>
      <c r="C204" s="106">
        <f t="shared" si="873"/>
        <v>245.94</v>
      </c>
      <c r="D204" s="106">
        <f t="shared" si="873"/>
        <v>11.879999999999999</v>
      </c>
      <c r="E204" s="106">
        <f t="shared" si="873"/>
        <v>27.886399999999998</v>
      </c>
      <c r="F204" s="106">
        <f t="shared" si="873"/>
        <v>48.817900000000009</v>
      </c>
      <c r="G204" s="106">
        <f t="shared" si="873"/>
        <v>0.2</v>
      </c>
      <c r="H204" s="106">
        <f t="shared" si="873"/>
        <v>0</v>
      </c>
      <c r="I204" s="106">
        <f t="shared" si="873"/>
        <v>-108.17</v>
      </c>
      <c r="J204" s="106">
        <f t="shared" si="873"/>
        <v>39.685699999999997</v>
      </c>
      <c r="K204" s="106">
        <f t="shared" si="873"/>
        <v>27.283499999999997</v>
      </c>
      <c r="L204" s="106">
        <f t="shared" si="873"/>
        <v>0</v>
      </c>
      <c r="M204" s="106">
        <f t="shared" si="873"/>
        <v>693.69360000000006</v>
      </c>
      <c r="N204" s="16" t="s">
        <v>171</v>
      </c>
      <c r="O204" s="22">
        <f t="shared" si="874"/>
        <v>-4.7816999999999998</v>
      </c>
      <c r="P204" s="22">
        <f t="shared" si="874"/>
        <v>-15.3522</v>
      </c>
      <c r="Q204" s="22">
        <f t="shared" si="874"/>
        <v>-107.79559999999998</v>
      </c>
      <c r="R204" s="22">
        <f t="shared" si="874"/>
        <v>-11.4156</v>
      </c>
      <c r="S204" s="22">
        <f t="shared" si="874"/>
        <v>66.443399999999997</v>
      </c>
      <c r="T204" s="22">
        <f t="shared" si="874"/>
        <v>-30.923100000000002</v>
      </c>
      <c r="U204" s="22">
        <f t="shared" si="874"/>
        <v>77.838300000000004</v>
      </c>
      <c r="V204" s="22">
        <f t="shared" si="874"/>
        <v>-7.7247000000000003</v>
      </c>
      <c r="W204" s="22">
        <f t="shared" si="874"/>
        <v>-17.82</v>
      </c>
      <c r="X204" s="22">
        <f t="shared" si="874"/>
        <v>-21.5136</v>
      </c>
      <c r="Y204" s="22">
        <f t="shared" si="874"/>
        <v>0</v>
      </c>
      <c r="Z204" s="22">
        <f t="shared" si="874"/>
        <v>0</v>
      </c>
      <c r="AA204" s="22">
        <f t="shared" si="874"/>
        <v>-73.044799999999981</v>
      </c>
      <c r="AB204" s="118">
        <f t="shared" si="708"/>
        <v>0</v>
      </c>
      <c r="AC204" s="22">
        <f t="shared" si="875"/>
        <v>0</v>
      </c>
      <c r="AD204" s="22">
        <f t="shared" si="875"/>
        <v>0</v>
      </c>
      <c r="AE204" s="22">
        <f t="shared" si="875"/>
        <v>0</v>
      </c>
      <c r="AF204" s="22">
        <f t="shared" si="875"/>
        <v>0</v>
      </c>
      <c r="AG204" s="22">
        <f t="shared" si="875"/>
        <v>0</v>
      </c>
      <c r="AH204" s="22">
        <f t="shared" si="875"/>
        <v>0</v>
      </c>
      <c r="AI204" s="22">
        <f t="shared" si="875"/>
        <v>0</v>
      </c>
      <c r="AJ204" s="22">
        <f t="shared" si="875"/>
        <v>0</v>
      </c>
      <c r="AK204" s="22">
        <f t="shared" si="875"/>
        <v>0</v>
      </c>
      <c r="AL204" s="22">
        <f t="shared" si="875"/>
        <v>0</v>
      </c>
      <c r="AM204" s="22">
        <f t="shared" si="875"/>
        <v>0</v>
      </c>
      <c r="AN204" s="22">
        <f t="shared" si="875"/>
        <v>0</v>
      </c>
      <c r="AO204" s="22">
        <f t="shared" si="875"/>
        <v>0</v>
      </c>
      <c r="AQ204" s="106">
        <v>35.9574</v>
      </c>
      <c r="AR204" s="106">
        <v>249.916</v>
      </c>
      <c r="AS204" s="106">
        <v>164.49</v>
      </c>
      <c r="AT204" s="106">
        <v>7.919999999999999</v>
      </c>
      <c r="AU204" s="106">
        <v>25.787599999999998</v>
      </c>
      <c r="AV204" s="106">
        <v>32.278600000000004</v>
      </c>
      <c r="AW204" s="106">
        <v>0.2</v>
      </c>
      <c r="AX204" s="106">
        <v>0</v>
      </c>
      <c r="AY204" s="106">
        <v>-108.17</v>
      </c>
      <c r="AZ204" s="106">
        <v>24.123799999999996</v>
      </c>
      <c r="BA204" s="106">
        <v>18.188999999999997</v>
      </c>
      <c r="BB204" s="106">
        <v>0</v>
      </c>
      <c r="BC204" s="106">
        <f t="shared" si="876"/>
        <v>450.69240000000008</v>
      </c>
      <c r="BD204" s="16" t="str">
        <f t="shared" si="885"/>
        <v>Round Off</v>
      </c>
      <c r="BE204" s="22">
        <f>+VLOOKUP($BD204,'Jan-25'!$A:$J,4,0)</f>
        <v>-3.1877999999999997</v>
      </c>
      <c r="BF204" s="22">
        <f>+VLOOKUP($BD204,'Feb-25'!$A:$J,4,0)</f>
        <v>-10.2348</v>
      </c>
      <c r="BG204" s="22">
        <f>+VLOOKUP($BD204,'Mar-25'!$A:$J,4,0)</f>
        <v>-71.320399999999992</v>
      </c>
      <c r="BH204" s="22">
        <f>+VLOOKUP($BD204,'Apr-25'!$A:$J,4,0)</f>
        <v>-7.6103999999999994</v>
      </c>
      <c r="BI204" s="22">
        <f>+VLOOKUP($BD204,'May-25'!$A:$J,4,0)</f>
        <v>44.296199999999999</v>
      </c>
      <c r="BJ204" s="22">
        <f>+VLOOKUP($BD204,'June-25'!$A:$J,4,0)</f>
        <v>-20.615400000000001</v>
      </c>
      <c r="BK204" s="22">
        <f>+VLOOKUP($BD204,'July-25'!$A:$J,4,0)</f>
        <v>51.892200000000003</v>
      </c>
      <c r="BL204" s="22">
        <f>+VLOOKUP($BD204,'Aug-25'!$A:$J,4,0)</f>
        <v>-5.1497999999999999</v>
      </c>
      <c r="BM204" s="22">
        <f>+VLOOKUP($BD204,'Sep-25'!$A:$J,4,0)</f>
        <v>-11.88</v>
      </c>
      <c r="BN204" s="22">
        <f>+VLOOKUP($BD204,'Oct-25'!$A:$J,4,0)</f>
        <v>-14.3424</v>
      </c>
      <c r="BO204" s="22">
        <f>+VLOOKUP($BD204,'Nov-25'!$A:$J,4,0)</f>
        <v>0</v>
      </c>
      <c r="BP204" s="22">
        <f>+VLOOKUP($BD204,'Dec-25'!$A:$J,4,0)</f>
        <v>0</v>
      </c>
      <c r="BQ204" s="22">
        <f t="shared" si="877"/>
        <v>-48.152599999999985</v>
      </c>
      <c r="BR204" s="118">
        <f t="shared" si="713"/>
        <v>0</v>
      </c>
      <c r="BS204" s="106">
        <f>+_xlfn.XLOOKUP($BD204,Budget!$A:$A,Budget!AQ:AQ)</f>
        <v>0</v>
      </c>
      <c r="BT204" s="106">
        <f>+_xlfn.XLOOKUP($BD204,Budget!$A:$A,Budget!AR:AR)</f>
        <v>0</v>
      </c>
      <c r="BU204" s="106">
        <f>+_xlfn.XLOOKUP($BD204,Budget!$A:$A,Budget!AS:AS)</f>
        <v>0</v>
      </c>
      <c r="BV204" s="106">
        <f>+_xlfn.XLOOKUP($BD204,Budget!$A:$A,Budget!AT:AT)</f>
        <v>0</v>
      </c>
      <c r="BW204" s="106">
        <f>+_xlfn.XLOOKUP($BD204,Budget!$A:$A,Budget!AU:AU)</f>
        <v>0</v>
      </c>
      <c r="BX204" s="106">
        <f>+_xlfn.XLOOKUP($BD204,Budget!$A:$A,Budget!AV:AV)</f>
        <v>0</v>
      </c>
      <c r="BY204" s="106">
        <f>+_xlfn.XLOOKUP($BD204,Budget!$A:$A,Budget!AW:AW)</f>
        <v>0</v>
      </c>
      <c r="BZ204" s="106">
        <f>+_xlfn.XLOOKUP($BD204,Budget!$A:$A,Budget!AX:AX)</f>
        <v>0</v>
      </c>
      <c r="CA204" s="106">
        <f>+_xlfn.XLOOKUP($BD204,Budget!$A:$A,Budget!AY:AY)</f>
        <v>0</v>
      </c>
      <c r="CB204" s="106">
        <f>+_xlfn.XLOOKUP($BD204,Budget!$A:$A,Budget!AZ:AZ)</f>
        <v>0</v>
      </c>
      <c r="CC204" s="106">
        <f>+_xlfn.XLOOKUP($BD204,Budget!$A:$A,Budget!BA:BA)</f>
        <v>0</v>
      </c>
      <c r="CD204" s="106">
        <f>+_xlfn.XLOOKUP($BD204,Budget!$A:$A,Budget!BB:BB)</f>
        <v>0</v>
      </c>
      <c r="CE204" s="106">
        <f t="shared" si="878"/>
        <v>0</v>
      </c>
      <c r="CF204" s="22"/>
      <c r="CG204" s="22">
        <v>12.713699999999999</v>
      </c>
      <c r="CH204" s="22">
        <v>101.583</v>
      </c>
      <c r="CI204" s="22">
        <v>81.45</v>
      </c>
      <c r="CJ204" s="22">
        <v>3.9599999999999995</v>
      </c>
      <c r="CK204" s="22">
        <v>2.0987999999999998</v>
      </c>
      <c r="CL204" s="22">
        <v>16.539300000000001</v>
      </c>
      <c r="CM204" s="22">
        <v>0</v>
      </c>
      <c r="CN204" s="22">
        <v>0</v>
      </c>
      <c r="CO204" s="22">
        <v>0</v>
      </c>
      <c r="CP204" s="22">
        <v>15.561899999999998</v>
      </c>
      <c r="CQ204" s="22">
        <v>9.0944999999999983</v>
      </c>
      <c r="CR204" s="22">
        <v>0</v>
      </c>
      <c r="CS204" s="106">
        <f t="shared" si="879"/>
        <v>243.00120000000004</v>
      </c>
      <c r="CT204" s="16" t="str">
        <f t="shared" si="886"/>
        <v>Round Off</v>
      </c>
      <c r="CU204" s="22">
        <f>+VLOOKUP($BD204,'Jan-25'!$A:$J,7,0)</f>
        <v>-1.5938999999999999</v>
      </c>
      <c r="CV204" s="22">
        <f>+VLOOKUP($BD204,'Feb-25'!$A:$J,7,0)</f>
        <v>-5.1173999999999999</v>
      </c>
      <c r="CW204" s="22">
        <f>+VLOOKUP($BD204,'Mar-25'!$A:$J,7,0)</f>
        <v>-36.475199999999994</v>
      </c>
      <c r="CX204" s="22">
        <f>+VLOOKUP($BD204,'Apr-25'!$A:$J,7,0)</f>
        <v>-3.8051999999999997</v>
      </c>
      <c r="CY204" s="22">
        <f>+VLOOKUP($BD204,'May-25'!$A:$J,7,0)</f>
        <v>22.147199999999998</v>
      </c>
      <c r="CZ204" s="22">
        <f>+VLOOKUP($BD204,'June-25'!$A:$J,7,0)</f>
        <v>-10.307700000000001</v>
      </c>
      <c r="DA204" s="22">
        <f>+VLOOKUP($BD204,'July-25'!$A:$J,7,0)</f>
        <v>25.946100000000001</v>
      </c>
      <c r="DB204" s="22">
        <f>+VLOOKUP($BD204,'Aug-25'!$A:$J,7,0)</f>
        <v>-2.5749</v>
      </c>
      <c r="DC204" s="22">
        <f>+VLOOKUP($BD204,'Sep-25'!$A:$J,7,0)</f>
        <v>-5.94</v>
      </c>
      <c r="DD204" s="22">
        <f>+VLOOKUP($BD204,'Oct-25'!$A:$J,7,0)</f>
        <v>-7.1711999999999998</v>
      </c>
      <c r="DE204" s="22">
        <f>+VLOOKUP($BD204,'Nov-25'!$A:$J,7,0)</f>
        <v>0</v>
      </c>
      <c r="DF204" s="22">
        <f>+VLOOKUP($BD204,'Dec-25'!$A:$J,7,0)</f>
        <v>0</v>
      </c>
      <c r="DG204" s="22">
        <f t="shared" si="880"/>
        <v>-24.892199999999992</v>
      </c>
      <c r="DH204" s="118">
        <f t="shared" si="717"/>
        <v>0</v>
      </c>
      <c r="DI204" s="22">
        <f>+_xlfn.XLOOKUP($CT204,Budget!$A:$A,Budget!CD:CD)</f>
        <v>0</v>
      </c>
      <c r="DJ204" s="22">
        <f>+_xlfn.XLOOKUP($CT204,Budget!$A:$A,Budget!CE:CE)</f>
        <v>0</v>
      </c>
      <c r="DK204" s="22">
        <f>+_xlfn.XLOOKUP($CT204,Budget!$A:$A,Budget!CF:CF)</f>
        <v>0</v>
      </c>
      <c r="DL204" s="22">
        <f>+_xlfn.XLOOKUP($CT204,Budget!$A:$A,Budget!CG:CG)</f>
        <v>0</v>
      </c>
      <c r="DM204" s="22">
        <f>+_xlfn.XLOOKUP($CT204,Budget!$A:$A,Budget!CH:CH)</f>
        <v>0</v>
      </c>
      <c r="DN204" s="22">
        <f>+_xlfn.XLOOKUP($CT204,Budget!$A:$A,Budget!CI:CI)</f>
        <v>0</v>
      </c>
      <c r="DO204" s="22">
        <f>+_xlfn.XLOOKUP($CT204,Budget!$A:$A,Budget!CJ:CJ)</f>
        <v>0</v>
      </c>
      <c r="DP204" s="22">
        <f>+_xlfn.XLOOKUP($CT204,Budget!$A:$A,Budget!CK:CK)</f>
        <v>0</v>
      </c>
      <c r="DQ204" s="22">
        <f>+_xlfn.XLOOKUP($CT204,Budget!$A:$A,Budget!CL:CL)</f>
        <v>0</v>
      </c>
      <c r="DR204" s="22">
        <f>+_xlfn.XLOOKUP($CT204,Budget!$A:$A,Budget!CM:CM)</f>
        <v>0</v>
      </c>
      <c r="DS204" s="22">
        <f>+_xlfn.XLOOKUP($CT204,Budget!$A:$A,Budget!CN:CN)</f>
        <v>0</v>
      </c>
      <c r="DT204" s="22">
        <f>+_xlfn.XLOOKUP($CT204,Budget!$A:$A,Budget!CO:CO)</f>
        <v>0</v>
      </c>
      <c r="DU204" s="106">
        <f t="shared" si="881"/>
        <v>0</v>
      </c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106">
        <f t="shared" si="882"/>
        <v>0</v>
      </c>
      <c r="EJ204" s="16" t="str">
        <f t="shared" si="887"/>
        <v>Round Off</v>
      </c>
      <c r="EK204" s="22">
        <f>+VLOOKUP($BD204,'Jan-25'!$A:$J,9,0)</f>
        <v>0</v>
      </c>
      <c r="EL204" s="22">
        <f>+VLOOKUP($BD204,'Feb-25'!$A:$J,9,0)</f>
        <v>0</v>
      </c>
      <c r="EM204" s="22">
        <f>+VLOOKUP($BD204,'Mar-25'!$A:$J,9,0)</f>
        <v>0</v>
      </c>
      <c r="EN204" s="22">
        <f>+VLOOKUP($BD204,'Apr-25'!$A:$J,9,0)</f>
        <v>0</v>
      </c>
      <c r="EO204" s="22">
        <f>+VLOOKUP($BD204,'May-25'!$A:$J,9,0)</f>
        <v>0</v>
      </c>
      <c r="EP204" s="22">
        <f>+VLOOKUP($BD204,'June-25'!$A:$J,9,0)</f>
        <v>0</v>
      </c>
      <c r="EQ204" s="22">
        <f>+VLOOKUP($BD204,'July-25'!$A:$J,9,0)</f>
        <v>0</v>
      </c>
      <c r="ER204" s="22">
        <f>+VLOOKUP($BD204,'Aug-25'!$A:$J,9,0)</f>
        <v>0</v>
      </c>
      <c r="ES204" s="22">
        <f>+VLOOKUP($BD204,'Sep-25'!$A:$J,9,0)</f>
        <v>0</v>
      </c>
      <c r="ET204" s="22">
        <f>+VLOOKUP($BD204,'Oct-25'!$A:$J,9,0)</f>
        <v>0</v>
      </c>
      <c r="EU204" s="22">
        <f>+VLOOKUP($BD204,'Nov-25'!$A:$J,9,0)</f>
        <v>0</v>
      </c>
      <c r="EV204" s="22">
        <f>+VLOOKUP($BD204,'Dec-25'!$A:$J,9,0)</f>
        <v>0</v>
      </c>
      <c r="EW204" s="22">
        <f t="shared" si="883"/>
        <v>0</v>
      </c>
      <c r="EX204" s="118">
        <f t="shared" si="721"/>
        <v>0</v>
      </c>
      <c r="EY204" s="22">
        <f>+_xlfn.XLOOKUP($EJ204,Budget!$A:$A,Budget!DE:DE)</f>
        <v>0</v>
      </c>
      <c r="EZ204" s="22">
        <f>+_xlfn.XLOOKUP($EJ204,Budget!$A:$A,Budget!DF:DF)</f>
        <v>0</v>
      </c>
      <c r="FA204" s="22">
        <f>+_xlfn.XLOOKUP($EJ204,Budget!$A:$A,Budget!DG:DG)</f>
        <v>0</v>
      </c>
      <c r="FB204" s="22">
        <f>+_xlfn.XLOOKUP($EJ204,Budget!$A:$A,Budget!DH:DH)</f>
        <v>0</v>
      </c>
      <c r="FC204" s="22">
        <f>+_xlfn.XLOOKUP($EJ204,Budget!$A:$A,Budget!DI:DI)</f>
        <v>0</v>
      </c>
      <c r="FD204" s="22">
        <f>+_xlfn.XLOOKUP($EJ204,Budget!$A:$A,Budget!DJ:DJ)</f>
        <v>0</v>
      </c>
      <c r="FE204" s="22">
        <f>+_xlfn.XLOOKUP($EJ204,Budget!$A:$A,Budget!DK:DK)</f>
        <v>0</v>
      </c>
      <c r="FF204" s="22">
        <f>+_xlfn.XLOOKUP($EJ204,Budget!$A:$A,Budget!DL:DL)</f>
        <v>0</v>
      </c>
      <c r="FG204" s="22">
        <f>+_xlfn.XLOOKUP($EJ204,Budget!$A:$A,Budget!DM:DM)</f>
        <v>0</v>
      </c>
      <c r="FH204" s="22">
        <f>+_xlfn.XLOOKUP($EJ204,Budget!$A:$A,Budget!DN:DN)</f>
        <v>0</v>
      </c>
      <c r="FI204" s="22">
        <f>+_xlfn.XLOOKUP($EJ204,Budget!$A:$A,Budget!DO:DO)</f>
        <v>0</v>
      </c>
      <c r="FJ204" s="22">
        <f>+_xlfn.XLOOKUP($EJ204,Budget!$A:$A,Budget!DP:DP)</f>
        <v>0</v>
      </c>
      <c r="FK204" s="106">
        <f t="shared" si="884"/>
        <v>0</v>
      </c>
    </row>
    <row r="205" spans="1:167" ht="14.45" hidden="1" customHeight="1" outlineLevel="1" collapsed="1">
      <c r="A205" s="58">
        <f t="shared" ref="A205:L205" si="888">+SUM(A206:A208)</f>
        <v>106249.7294</v>
      </c>
      <c r="B205" s="58">
        <f t="shared" si="888"/>
        <v>108427.99999999999</v>
      </c>
      <c r="C205" s="58">
        <f t="shared" si="888"/>
        <v>94402.367499999993</v>
      </c>
      <c r="D205" s="58">
        <f t="shared" si="888"/>
        <v>83064.367500000008</v>
      </c>
      <c r="E205" s="58">
        <f t="shared" si="888"/>
        <v>83064.367499999993</v>
      </c>
      <c r="F205" s="58">
        <f t="shared" si="888"/>
        <v>83064.394499999995</v>
      </c>
      <c r="G205" s="58">
        <f t="shared" si="888"/>
        <v>79583.254999099998</v>
      </c>
      <c r="H205" s="58">
        <f t="shared" si="888"/>
        <v>78851.473264102562</v>
      </c>
      <c r="I205" s="58">
        <f t="shared" si="888"/>
        <v>79580.797799999986</v>
      </c>
      <c r="J205" s="58">
        <f t="shared" si="888"/>
        <v>69748.289100000009</v>
      </c>
      <c r="K205" s="58">
        <f t="shared" si="888"/>
        <v>73204.231599999999</v>
      </c>
      <c r="L205" s="58">
        <f t="shared" si="888"/>
        <v>68550.099100000007</v>
      </c>
      <c r="M205" s="58">
        <f t="shared" ref="M205" si="889">+SUM(M206:M208)</f>
        <v>1007791.3722632024</v>
      </c>
      <c r="N205" s="20" t="s">
        <v>172</v>
      </c>
      <c r="O205" s="28">
        <f t="shared" ref="O205:Z205" si="890">+SUM(O206:O208)</f>
        <v>0</v>
      </c>
      <c r="P205" s="28">
        <f t="shared" si="890"/>
        <v>50061.399100000002</v>
      </c>
      <c r="Q205" s="28">
        <f t="shared" si="890"/>
        <v>53221.905599999998</v>
      </c>
      <c r="R205" s="28">
        <f t="shared" si="890"/>
        <v>105276.0356</v>
      </c>
      <c r="S205" s="28">
        <f t="shared" si="890"/>
        <v>123807.6556</v>
      </c>
      <c r="T205" s="28">
        <f t="shared" si="890"/>
        <v>142317.64559999999</v>
      </c>
      <c r="U205" s="28">
        <f t="shared" si="890"/>
        <v>160698.61588827861</v>
      </c>
      <c r="V205" s="28">
        <f t="shared" si="890"/>
        <v>151858.96520000001</v>
      </c>
      <c r="W205" s="28">
        <f t="shared" si="890"/>
        <v>162438.00523333333</v>
      </c>
      <c r="X205" s="28">
        <f t="shared" si="890"/>
        <v>162081.72999999998</v>
      </c>
      <c r="Y205" s="28">
        <f t="shared" si="890"/>
        <v>0</v>
      </c>
      <c r="Z205" s="28">
        <f t="shared" si="890"/>
        <v>0</v>
      </c>
      <c r="AA205" s="28">
        <f t="shared" ref="AA205" si="891">+SUM(AA206:AA208)</f>
        <v>1111761.957821612</v>
      </c>
      <c r="AB205" s="118">
        <f t="shared" si="708"/>
        <v>0.8601268542397551</v>
      </c>
      <c r="AC205" s="28">
        <f t="shared" ref="AC205:AN205" si="892">+SUM(AC206:AC208)</f>
        <v>87595.34033236363</v>
      </c>
      <c r="AD205" s="28">
        <f t="shared" si="892"/>
        <v>87595.34033236363</v>
      </c>
      <c r="AE205" s="28">
        <f t="shared" si="892"/>
        <v>87595.34033236363</v>
      </c>
      <c r="AF205" s="28">
        <f t="shared" si="892"/>
        <v>87595.34033236363</v>
      </c>
      <c r="AG205" s="28">
        <f t="shared" si="892"/>
        <v>87595.34033236363</v>
      </c>
      <c r="AH205" s="28">
        <f t="shared" si="892"/>
        <v>87595.34033236363</v>
      </c>
      <c r="AI205" s="28">
        <f t="shared" si="892"/>
        <v>87197.615332363639</v>
      </c>
      <c r="AJ205" s="28">
        <f t="shared" si="892"/>
        <v>87197.615332363639</v>
      </c>
      <c r="AK205" s="28">
        <f t="shared" si="892"/>
        <v>87197.615332363639</v>
      </c>
      <c r="AL205" s="28">
        <f t="shared" si="892"/>
        <v>87134.772357363632</v>
      </c>
      <c r="AM205" s="28">
        <f t="shared" si="892"/>
        <v>87134.772357363632</v>
      </c>
      <c r="AN205" s="28">
        <f t="shared" si="892"/>
        <v>87134.772357363632</v>
      </c>
      <c r="AO205" s="28">
        <f t="shared" ref="AO205" si="893">+SUM(AO206:AO208)</f>
        <v>1048569.2050633638</v>
      </c>
      <c r="AQ205" s="58">
        <f t="shared" ref="AQ205:BB205" si="894">+SUM(AQ206:AQ208)</f>
        <v>102105.32759999999</v>
      </c>
      <c r="AR205" s="58">
        <f t="shared" si="894"/>
        <v>102639.79999999999</v>
      </c>
      <c r="AS205" s="58">
        <f t="shared" si="894"/>
        <v>85088.244999999995</v>
      </c>
      <c r="AT205" s="58">
        <f t="shared" si="894"/>
        <v>73750.244999999995</v>
      </c>
      <c r="AU205" s="58">
        <f t="shared" si="894"/>
        <v>76999.244999999995</v>
      </c>
      <c r="AV205" s="58">
        <f t="shared" si="894"/>
        <v>73750.263000000006</v>
      </c>
      <c r="AW205" s="58">
        <f t="shared" si="894"/>
        <v>70269.169999400008</v>
      </c>
      <c r="AX205" s="58">
        <f t="shared" si="894"/>
        <v>69781.209953846148</v>
      </c>
      <c r="AY205" s="58">
        <f t="shared" si="894"/>
        <v>70270.357199999999</v>
      </c>
      <c r="AZ205" s="58">
        <f t="shared" si="894"/>
        <v>65920.25940000001</v>
      </c>
      <c r="BA205" s="58">
        <f t="shared" si="894"/>
        <v>64041.624400000001</v>
      </c>
      <c r="BB205" s="58">
        <f t="shared" si="894"/>
        <v>59473.799400000004</v>
      </c>
      <c r="BC205" s="58">
        <f>+SUM(AQ205:BB205)</f>
        <v>914089.54595324618</v>
      </c>
      <c r="BD205" s="20" t="str">
        <f t="shared" si="885"/>
        <v>Insurance</v>
      </c>
      <c r="BE205" s="28">
        <f t="shared" ref="BE205:BQ205" si="895">+SUM(BE206:BE208)</f>
        <v>0</v>
      </c>
      <c r="BF205" s="28">
        <f t="shared" si="895"/>
        <v>41421.799400000004</v>
      </c>
      <c r="BG205" s="28">
        <f t="shared" si="895"/>
        <v>44594.204399999995</v>
      </c>
      <c r="BH205" s="28">
        <f t="shared" si="895"/>
        <v>89482.204400000002</v>
      </c>
      <c r="BI205" s="28">
        <f t="shared" si="895"/>
        <v>107129.13440000001</v>
      </c>
      <c r="BJ205" s="28">
        <f t="shared" si="895"/>
        <v>115035.69439999999</v>
      </c>
      <c r="BK205" s="28">
        <f t="shared" si="895"/>
        <v>140616.12005494529</v>
      </c>
      <c r="BL205" s="28">
        <f t="shared" si="895"/>
        <v>131776.17680000002</v>
      </c>
      <c r="BM205" s="28">
        <f t="shared" si="895"/>
        <v>142342.67793333333</v>
      </c>
      <c r="BN205" s="28">
        <f t="shared" si="895"/>
        <v>137744.82</v>
      </c>
      <c r="BO205" s="28">
        <f t="shared" si="895"/>
        <v>0</v>
      </c>
      <c r="BP205" s="28">
        <f t="shared" si="895"/>
        <v>0</v>
      </c>
      <c r="BQ205" s="28">
        <f t="shared" si="895"/>
        <v>950142.83178827865</v>
      </c>
      <c r="BR205" s="118">
        <f t="shared" si="713"/>
        <v>1.9433739414454669</v>
      </c>
      <c r="BS205" s="58">
        <f t="shared" ref="BS205:CD205" si="896">+SUM(BS206:BS208)</f>
        <v>47247.243833333334</v>
      </c>
      <c r="BT205" s="58">
        <f t="shared" si="896"/>
        <v>47247.243833333334</v>
      </c>
      <c r="BU205" s="58">
        <f t="shared" si="896"/>
        <v>47247.243833333334</v>
      </c>
      <c r="BV205" s="58">
        <f t="shared" si="896"/>
        <v>47247.243833333334</v>
      </c>
      <c r="BW205" s="58">
        <f t="shared" si="896"/>
        <v>47247.243833333334</v>
      </c>
      <c r="BX205" s="58">
        <f t="shared" si="896"/>
        <v>47247.243833333334</v>
      </c>
      <c r="BY205" s="58">
        <f t="shared" si="896"/>
        <v>46849.518833333335</v>
      </c>
      <c r="BZ205" s="58">
        <f t="shared" si="896"/>
        <v>46849.518833333335</v>
      </c>
      <c r="CA205" s="58">
        <f t="shared" si="896"/>
        <v>46849.518833333335</v>
      </c>
      <c r="CB205" s="58">
        <f t="shared" si="896"/>
        <v>46798.273933333337</v>
      </c>
      <c r="CC205" s="58">
        <f t="shared" si="896"/>
        <v>46798.273933333337</v>
      </c>
      <c r="CD205" s="58">
        <f t="shared" si="896"/>
        <v>46798.273933333337</v>
      </c>
      <c r="CE205" s="58">
        <f>+SUM(BS205:CD205)</f>
        <v>564426.84129999997</v>
      </c>
      <c r="CF205" s="22"/>
      <c r="CG205" s="28">
        <f t="shared" ref="CG205:CR205" si="897">+SUM(CG206:CG208)</f>
        <v>4144.4018000000005</v>
      </c>
      <c r="CH205" s="28">
        <f t="shared" si="897"/>
        <v>5788.2</v>
      </c>
      <c r="CI205" s="28">
        <f t="shared" si="897"/>
        <v>9314.1225000000013</v>
      </c>
      <c r="CJ205" s="28">
        <f t="shared" si="897"/>
        <v>9314.1225000000013</v>
      </c>
      <c r="CK205" s="28">
        <f t="shared" si="897"/>
        <v>6065.1225000000004</v>
      </c>
      <c r="CL205" s="28">
        <f t="shared" si="897"/>
        <v>9314.1314999999995</v>
      </c>
      <c r="CM205" s="28">
        <f t="shared" si="897"/>
        <v>9314.0849997000005</v>
      </c>
      <c r="CN205" s="28">
        <f t="shared" si="897"/>
        <v>9070.2633102564032</v>
      </c>
      <c r="CO205" s="28">
        <f t="shared" si="897"/>
        <v>9310.4405999999981</v>
      </c>
      <c r="CP205" s="28">
        <f t="shared" si="897"/>
        <v>3828.0297000000005</v>
      </c>
      <c r="CQ205" s="28">
        <f t="shared" si="897"/>
        <v>9162.6072000000004</v>
      </c>
      <c r="CR205" s="28">
        <f t="shared" si="897"/>
        <v>9076.2997000000014</v>
      </c>
      <c r="CS205" s="58">
        <f>+SUM(CG205:CR205)</f>
        <v>93701.826309956406</v>
      </c>
      <c r="CT205" s="20" t="str">
        <f t="shared" si="886"/>
        <v>Insurance</v>
      </c>
      <c r="CU205" s="28">
        <f t="shared" ref="CU205:DG205" si="898">+SUM(CU206:CU208)</f>
        <v>0</v>
      </c>
      <c r="CV205" s="28">
        <f t="shared" si="898"/>
        <v>1224.5997000000004</v>
      </c>
      <c r="CW205" s="28">
        <f t="shared" si="898"/>
        <v>1212.4512000000002</v>
      </c>
      <c r="CX205" s="28">
        <f t="shared" si="898"/>
        <v>8378.5812000000005</v>
      </c>
      <c r="CY205" s="28">
        <f t="shared" si="898"/>
        <v>9263.2812000000013</v>
      </c>
      <c r="CZ205" s="28">
        <f t="shared" si="898"/>
        <v>9272.3712000000014</v>
      </c>
      <c r="DA205" s="28">
        <f t="shared" si="898"/>
        <v>9284.495833333327</v>
      </c>
      <c r="DB205" s="28">
        <f t="shared" si="898"/>
        <v>9284.7884000000013</v>
      </c>
      <c r="DC205" s="28">
        <f t="shared" si="898"/>
        <v>9297.3273000000008</v>
      </c>
      <c r="DD205" s="28">
        <f t="shared" si="898"/>
        <v>11999.51</v>
      </c>
      <c r="DE205" s="28">
        <f t="shared" si="898"/>
        <v>0</v>
      </c>
      <c r="DF205" s="28">
        <f t="shared" si="898"/>
        <v>0</v>
      </c>
      <c r="DG205" s="28">
        <f t="shared" si="898"/>
        <v>69217.406033333347</v>
      </c>
      <c r="DH205" s="118">
        <f t="shared" si="717"/>
        <v>-0.5263943028284005</v>
      </c>
      <c r="DI205" s="28">
        <f t="shared" ref="DI205:DT205" si="899">+SUM(DI206:DI208)</f>
        <v>25348.0964990303</v>
      </c>
      <c r="DJ205" s="28">
        <f t="shared" si="899"/>
        <v>25348.0964990303</v>
      </c>
      <c r="DK205" s="28">
        <f t="shared" si="899"/>
        <v>25348.0964990303</v>
      </c>
      <c r="DL205" s="28">
        <f t="shared" si="899"/>
        <v>25348.0964990303</v>
      </c>
      <c r="DM205" s="28">
        <f t="shared" si="899"/>
        <v>25348.0964990303</v>
      </c>
      <c r="DN205" s="28">
        <f t="shared" si="899"/>
        <v>25348.0964990303</v>
      </c>
      <c r="DO205" s="28">
        <f t="shared" si="899"/>
        <v>25348.0964990303</v>
      </c>
      <c r="DP205" s="28">
        <f t="shared" si="899"/>
        <v>25348.0964990303</v>
      </c>
      <c r="DQ205" s="28">
        <f t="shared" si="899"/>
        <v>25348.0964990303</v>
      </c>
      <c r="DR205" s="28">
        <f t="shared" si="899"/>
        <v>25336.498424030298</v>
      </c>
      <c r="DS205" s="28">
        <f t="shared" si="899"/>
        <v>25336.498424030298</v>
      </c>
      <c r="DT205" s="28">
        <f t="shared" si="899"/>
        <v>25336.498424030298</v>
      </c>
      <c r="DU205" s="58">
        <f>+SUM(DI205:DT205)</f>
        <v>304142.36376336362</v>
      </c>
      <c r="DW205" s="28">
        <f t="shared" ref="DW205:EH205" si="900">+SUM(DW206:DW208)</f>
        <v>0</v>
      </c>
      <c r="DX205" s="28">
        <f t="shared" si="900"/>
        <v>0</v>
      </c>
      <c r="DY205" s="28">
        <f t="shared" si="900"/>
        <v>0</v>
      </c>
      <c r="DZ205" s="28">
        <f t="shared" si="900"/>
        <v>0</v>
      </c>
      <c r="EA205" s="28">
        <f t="shared" si="900"/>
        <v>0</v>
      </c>
      <c r="EB205" s="28">
        <f t="shared" si="900"/>
        <v>0</v>
      </c>
      <c r="EC205" s="28">
        <f t="shared" si="900"/>
        <v>0</v>
      </c>
      <c r="ED205" s="28">
        <f t="shared" si="900"/>
        <v>0</v>
      </c>
      <c r="EE205" s="28">
        <f t="shared" si="900"/>
        <v>0</v>
      </c>
      <c r="EF205" s="28">
        <f t="shared" si="900"/>
        <v>0</v>
      </c>
      <c r="EG205" s="28">
        <f t="shared" si="900"/>
        <v>0</v>
      </c>
      <c r="EH205" s="28">
        <f t="shared" si="900"/>
        <v>0</v>
      </c>
      <c r="EI205" s="58">
        <f>+SUM(DW205:EH205)</f>
        <v>0</v>
      </c>
      <c r="EJ205" s="20" t="str">
        <f t="shared" si="887"/>
        <v>Insurance</v>
      </c>
      <c r="EK205" s="28">
        <f t="shared" ref="EK205:EW205" si="901">+SUM(EK206:EK208)</f>
        <v>0</v>
      </c>
      <c r="EL205" s="28">
        <f t="shared" si="901"/>
        <v>7415</v>
      </c>
      <c r="EM205" s="28">
        <f t="shared" si="901"/>
        <v>7415.25</v>
      </c>
      <c r="EN205" s="28">
        <f t="shared" si="901"/>
        <v>7415.25</v>
      </c>
      <c r="EO205" s="28">
        <f t="shared" si="901"/>
        <v>7415.24</v>
      </c>
      <c r="EP205" s="28">
        <f t="shared" si="901"/>
        <v>18009.580000000002</v>
      </c>
      <c r="EQ205" s="28">
        <f t="shared" si="901"/>
        <v>10798</v>
      </c>
      <c r="ER205" s="28">
        <f t="shared" si="901"/>
        <v>10798</v>
      </c>
      <c r="ES205" s="28">
        <f t="shared" si="901"/>
        <v>10798</v>
      </c>
      <c r="ET205" s="28">
        <f t="shared" si="901"/>
        <v>12337.4</v>
      </c>
      <c r="EU205" s="28">
        <f t="shared" si="901"/>
        <v>0</v>
      </c>
      <c r="EV205" s="28">
        <f t="shared" si="901"/>
        <v>0</v>
      </c>
      <c r="EW205" s="28">
        <f t="shared" si="901"/>
        <v>92401.72</v>
      </c>
      <c r="EX205" s="118">
        <f t="shared" si="721"/>
        <v>-0.1775066666666667</v>
      </c>
      <c r="EY205" s="28">
        <f t="shared" ref="EY205:FJ205" si="902">+SUM(EY206:EY208)</f>
        <v>15000</v>
      </c>
      <c r="EZ205" s="28">
        <f t="shared" si="902"/>
        <v>15000</v>
      </c>
      <c r="FA205" s="28">
        <f t="shared" si="902"/>
        <v>15000</v>
      </c>
      <c r="FB205" s="28">
        <f t="shared" si="902"/>
        <v>15000</v>
      </c>
      <c r="FC205" s="28">
        <f t="shared" si="902"/>
        <v>15000</v>
      </c>
      <c r="FD205" s="28">
        <f t="shared" si="902"/>
        <v>15000</v>
      </c>
      <c r="FE205" s="28">
        <f t="shared" si="902"/>
        <v>15000</v>
      </c>
      <c r="FF205" s="28">
        <f t="shared" si="902"/>
        <v>15000</v>
      </c>
      <c r="FG205" s="28">
        <f t="shared" si="902"/>
        <v>15000</v>
      </c>
      <c r="FH205" s="28">
        <f t="shared" si="902"/>
        <v>15000</v>
      </c>
      <c r="FI205" s="28">
        <f t="shared" si="902"/>
        <v>15000</v>
      </c>
      <c r="FJ205" s="28">
        <f t="shared" si="902"/>
        <v>15000</v>
      </c>
      <c r="FK205" s="58">
        <f>+SUM(EY205:FJ205)</f>
        <v>180000</v>
      </c>
    </row>
    <row r="206" spans="1:167" ht="14.45" hidden="1" customHeight="1" outlineLevel="2">
      <c r="A206" s="106">
        <f t="shared" ref="A206:L208" si="903">+AQ206+CG206+DW206</f>
        <v>0</v>
      </c>
      <c r="B206" s="106">
        <f t="shared" si="903"/>
        <v>0</v>
      </c>
      <c r="C206" s="106">
        <f t="shared" si="903"/>
        <v>0</v>
      </c>
      <c r="D206" s="106">
        <f t="shared" si="903"/>
        <v>0</v>
      </c>
      <c r="E206" s="106">
        <f t="shared" si="903"/>
        <v>0</v>
      </c>
      <c r="F206" s="106">
        <f t="shared" si="903"/>
        <v>0</v>
      </c>
      <c r="G206" s="106">
        <f t="shared" si="903"/>
        <v>0</v>
      </c>
      <c r="H206" s="106">
        <f t="shared" si="903"/>
        <v>0</v>
      </c>
      <c r="I206" s="106">
        <f t="shared" si="903"/>
        <v>0</v>
      </c>
      <c r="J206" s="106">
        <f t="shared" si="903"/>
        <v>0</v>
      </c>
      <c r="K206" s="106">
        <f t="shared" si="903"/>
        <v>0</v>
      </c>
      <c r="L206" s="106">
        <f t="shared" si="903"/>
        <v>0</v>
      </c>
      <c r="M206" s="106">
        <f t="shared" ref="M206:M208" si="904">+SUM(A206:L206)</f>
        <v>0</v>
      </c>
      <c r="N206" s="16" t="s">
        <v>173</v>
      </c>
      <c r="O206" s="22">
        <f t="shared" ref="O206:Z208" si="905">+BE206+CU206+EK206</f>
        <v>0</v>
      </c>
      <c r="P206" s="22">
        <f t="shared" si="905"/>
        <v>0</v>
      </c>
      <c r="Q206" s="22">
        <f t="shared" si="905"/>
        <v>0</v>
      </c>
      <c r="R206" s="22">
        <f t="shared" si="905"/>
        <v>0</v>
      </c>
      <c r="S206" s="22">
        <f t="shared" si="905"/>
        <v>0</v>
      </c>
      <c r="T206" s="22">
        <f t="shared" si="905"/>
        <v>0</v>
      </c>
      <c r="U206" s="22">
        <f t="shared" si="905"/>
        <v>0</v>
      </c>
      <c r="V206" s="22">
        <f t="shared" si="905"/>
        <v>0</v>
      </c>
      <c r="W206" s="22">
        <f t="shared" si="905"/>
        <v>0</v>
      </c>
      <c r="X206" s="22">
        <f t="shared" si="905"/>
        <v>0</v>
      </c>
      <c r="Y206" s="22">
        <f t="shared" si="905"/>
        <v>0</v>
      </c>
      <c r="Z206" s="22">
        <f t="shared" si="905"/>
        <v>0</v>
      </c>
      <c r="AA206" s="22">
        <f t="shared" ref="AA206:AA208" si="906">+SUM(O206:Z206)</f>
        <v>0</v>
      </c>
      <c r="AB206" s="118">
        <f t="shared" si="708"/>
        <v>0</v>
      </c>
      <c r="AC206" s="22">
        <f t="shared" ref="AC206:AN208" si="907">+BS206+DI206+EY206</f>
        <v>0</v>
      </c>
      <c r="AD206" s="22">
        <f t="shared" si="907"/>
        <v>0</v>
      </c>
      <c r="AE206" s="22">
        <f t="shared" si="907"/>
        <v>0</v>
      </c>
      <c r="AF206" s="22">
        <f t="shared" si="907"/>
        <v>0</v>
      </c>
      <c r="AG206" s="22">
        <f t="shared" si="907"/>
        <v>0</v>
      </c>
      <c r="AH206" s="22">
        <f t="shared" si="907"/>
        <v>0</v>
      </c>
      <c r="AI206" s="22">
        <f t="shared" si="907"/>
        <v>0</v>
      </c>
      <c r="AJ206" s="22">
        <f t="shared" si="907"/>
        <v>0</v>
      </c>
      <c r="AK206" s="22">
        <f t="shared" si="907"/>
        <v>0</v>
      </c>
      <c r="AL206" s="22">
        <f t="shared" si="907"/>
        <v>0</v>
      </c>
      <c r="AM206" s="22">
        <f t="shared" si="907"/>
        <v>0</v>
      </c>
      <c r="AN206" s="22">
        <f t="shared" si="907"/>
        <v>0</v>
      </c>
      <c r="AO206" s="22">
        <f t="shared" ref="AO206:AO208" si="908">+SUM(AC206:AN206)</f>
        <v>0</v>
      </c>
      <c r="AQ206" s="106">
        <v>0</v>
      </c>
      <c r="AR206" s="106">
        <v>0</v>
      </c>
      <c r="AS206" s="106">
        <v>0</v>
      </c>
      <c r="AT206" s="106">
        <v>0</v>
      </c>
      <c r="AU206" s="106">
        <v>0</v>
      </c>
      <c r="AV206" s="106">
        <v>0</v>
      </c>
      <c r="AW206" s="106">
        <v>0</v>
      </c>
      <c r="AX206" s="106">
        <v>0</v>
      </c>
      <c r="AY206" s="106">
        <v>0</v>
      </c>
      <c r="AZ206" s="106">
        <v>0</v>
      </c>
      <c r="BA206" s="106">
        <v>0</v>
      </c>
      <c r="BB206" s="106">
        <v>0</v>
      </c>
      <c r="BC206" s="106">
        <f t="shared" ref="BC206:BC208" si="909">+SUM(AQ206:BB206)</f>
        <v>0</v>
      </c>
      <c r="BD206" s="16" t="str">
        <f t="shared" si="885"/>
        <v>Demo Car Insurance</v>
      </c>
      <c r="BE206" s="22">
        <f>+VLOOKUP($BD206,'Jan-25'!$A:$J,4,0)</f>
        <v>0</v>
      </c>
      <c r="BF206" s="22">
        <f>+VLOOKUP($BD206,'Feb-25'!$A:$J,4,0)</f>
        <v>0</v>
      </c>
      <c r="BG206" s="22">
        <f>+VLOOKUP($BD206,'Mar-25'!$A:$J,4,0)</f>
        <v>0</v>
      </c>
      <c r="BH206" s="22">
        <f>+VLOOKUP($BD206,'Apr-25'!$A:$J,4,0)</f>
        <v>0</v>
      </c>
      <c r="BI206" s="22">
        <f>+VLOOKUP($BD206,'May-25'!$A:$J,4,0)</f>
        <v>0</v>
      </c>
      <c r="BJ206" s="22">
        <f>+VLOOKUP($BD206,'June-25'!$A:$J,4,0)</f>
        <v>0</v>
      </c>
      <c r="BK206" s="22">
        <f>+VLOOKUP($BD206,'July-25'!$A:$J,4,0)</f>
        <v>0</v>
      </c>
      <c r="BL206" s="22">
        <f>+VLOOKUP($BD206,'Aug-25'!$A:$J,4,0)</f>
        <v>0</v>
      </c>
      <c r="BM206" s="22">
        <f>+VLOOKUP($BD206,'Sep-25'!$A:$J,4,0)</f>
        <v>0</v>
      </c>
      <c r="BN206" s="22">
        <f>+VLOOKUP($BD206,'Oct-25'!$A:$J,4,0)</f>
        <v>0</v>
      </c>
      <c r="BO206" s="22">
        <f>+VLOOKUP($BD206,'Nov-25'!$A:$J,4,0)</f>
        <v>0</v>
      </c>
      <c r="BP206" s="22">
        <f>+VLOOKUP($BD206,'Dec-25'!$A:$J,4,0)</f>
        <v>0</v>
      </c>
      <c r="BQ206" s="22">
        <f t="shared" ref="BQ206:BQ208" si="910">+SUM(BE206:BP206)</f>
        <v>0</v>
      </c>
      <c r="BR206" s="118">
        <f t="shared" si="713"/>
        <v>0</v>
      </c>
      <c r="BS206" s="106">
        <f>+_xlfn.XLOOKUP($BD206,Budget!$A:$A,Budget!AQ:AQ)</f>
        <v>0</v>
      </c>
      <c r="BT206" s="106">
        <f>+_xlfn.XLOOKUP($BD206,Budget!$A:$A,Budget!AR:AR)</f>
        <v>0</v>
      </c>
      <c r="BU206" s="106">
        <f>+_xlfn.XLOOKUP($BD206,Budget!$A:$A,Budget!AS:AS)</f>
        <v>0</v>
      </c>
      <c r="BV206" s="106">
        <f>+_xlfn.XLOOKUP($BD206,Budget!$A:$A,Budget!AT:AT)</f>
        <v>0</v>
      </c>
      <c r="BW206" s="106">
        <f>+_xlfn.XLOOKUP($BD206,Budget!$A:$A,Budget!AU:AU)</f>
        <v>0</v>
      </c>
      <c r="BX206" s="106">
        <f>+_xlfn.XLOOKUP($BD206,Budget!$A:$A,Budget!AV:AV)</f>
        <v>0</v>
      </c>
      <c r="BY206" s="106">
        <f>+_xlfn.XLOOKUP($BD206,Budget!$A:$A,Budget!AW:AW)</f>
        <v>0</v>
      </c>
      <c r="BZ206" s="106">
        <f>+_xlfn.XLOOKUP($BD206,Budget!$A:$A,Budget!AX:AX)</f>
        <v>0</v>
      </c>
      <c r="CA206" s="106">
        <f>+_xlfn.XLOOKUP($BD206,Budget!$A:$A,Budget!AY:AY)</f>
        <v>0</v>
      </c>
      <c r="CB206" s="106">
        <f>+_xlfn.XLOOKUP($BD206,Budget!$A:$A,Budget!AZ:AZ)</f>
        <v>0</v>
      </c>
      <c r="CC206" s="106">
        <f>+_xlfn.XLOOKUP($BD206,Budget!$A:$A,Budget!BA:BA)</f>
        <v>0</v>
      </c>
      <c r="CD206" s="106">
        <f>+_xlfn.XLOOKUP($BD206,Budget!$A:$A,Budget!BB:BB)</f>
        <v>0</v>
      </c>
      <c r="CE206" s="106">
        <f t="shared" ref="CE206:CE208" si="911">+SUM(BS206:CD206)</f>
        <v>0</v>
      </c>
      <c r="CF206" s="22"/>
      <c r="CG206" s="22">
        <v>0</v>
      </c>
      <c r="CH206" s="22">
        <v>0</v>
      </c>
      <c r="CI206" s="22">
        <v>0</v>
      </c>
      <c r="CJ206" s="22">
        <v>0</v>
      </c>
      <c r="CK206" s="22">
        <v>0</v>
      </c>
      <c r="CL206" s="22">
        <v>0</v>
      </c>
      <c r="CM206" s="22">
        <v>0</v>
      </c>
      <c r="CN206" s="22">
        <v>0</v>
      </c>
      <c r="CO206" s="22">
        <v>0</v>
      </c>
      <c r="CP206" s="22">
        <v>0</v>
      </c>
      <c r="CQ206" s="22">
        <v>0</v>
      </c>
      <c r="CR206" s="22">
        <v>0</v>
      </c>
      <c r="CS206" s="106">
        <f t="shared" ref="CS206:CS208" si="912">+SUM(CG206:CR206)</f>
        <v>0</v>
      </c>
      <c r="CT206" s="16" t="str">
        <f t="shared" si="886"/>
        <v>Demo Car Insurance</v>
      </c>
      <c r="CU206" s="22">
        <f>+VLOOKUP($BD206,'Jan-25'!$A:$J,7,0)</f>
        <v>0</v>
      </c>
      <c r="CV206" s="22">
        <f>+VLOOKUP($BD206,'Feb-25'!$A:$J,7,0)</f>
        <v>0</v>
      </c>
      <c r="CW206" s="22">
        <f>+VLOOKUP($BD206,'Mar-25'!$A:$J,7,0)</f>
        <v>0</v>
      </c>
      <c r="CX206" s="22">
        <f>+VLOOKUP($BD206,'Apr-25'!$A:$J,7,0)</f>
        <v>0</v>
      </c>
      <c r="CY206" s="22">
        <f>+VLOOKUP($BD206,'May-25'!$A:$J,7,0)</f>
        <v>0</v>
      </c>
      <c r="CZ206" s="22">
        <f>+VLOOKUP($BD206,'June-25'!$A:$J,7,0)</f>
        <v>0</v>
      </c>
      <c r="DA206" s="22">
        <f>+VLOOKUP($BD206,'July-25'!$A:$J,7,0)</f>
        <v>0</v>
      </c>
      <c r="DB206" s="22">
        <f>+VLOOKUP($BD206,'Aug-25'!$A:$J,7,0)</f>
        <v>0</v>
      </c>
      <c r="DC206" s="22">
        <f>+VLOOKUP($BD206,'Sep-25'!$A:$J,7,0)</f>
        <v>0</v>
      </c>
      <c r="DD206" s="22">
        <f>+VLOOKUP($BD206,'Oct-25'!$A:$J,7,0)</f>
        <v>0</v>
      </c>
      <c r="DE206" s="22">
        <f>+VLOOKUP($BD206,'Nov-25'!$A:$J,7,0)</f>
        <v>0</v>
      </c>
      <c r="DF206" s="22">
        <f>+VLOOKUP($BD206,'Dec-25'!$A:$J,7,0)</f>
        <v>0</v>
      </c>
      <c r="DG206" s="22">
        <f t="shared" ref="DG206:DG208" si="913">+SUM(CU206:DF206)</f>
        <v>0</v>
      </c>
      <c r="DH206" s="118">
        <f t="shared" si="717"/>
        <v>0</v>
      </c>
      <c r="DI206" s="22">
        <f>+_xlfn.XLOOKUP($CT206,Budget!$A:$A,Budget!CD:CD)</f>
        <v>0</v>
      </c>
      <c r="DJ206" s="22">
        <f>+_xlfn.XLOOKUP($CT206,Budget!$A:$A,Budget!CE:CE)</f>
        <v>0</v>
      </c>
      <c r="DK206" s="22">
        <f>+_xlfn.XLOOKUP($CT206,Budget!$A:$A,Budget!CF:CF)</f>
        <v>0</v>
      </c>
      <c r="DL206" s="22">
        <f>+_xlfn.XLOOKUP($CT206,Budget!$A:$A,Budget!CG:CG)</f>
        <v>0</v>
      </c>
      <c r="DM206" s="22">
        <f>+_xlfn.XLOOKUP($CT206,Budget!$A:$A,Budget!CH:CH)</f>
        <v>0</v>
      </c>
      <c r="DN206" s="22">
        <f>+_xlfn.XLOOKUP($CT206,Budget!$A:$A,Budget!CI:CI)</f>
        <v>0</v>
      </c>
      <c r="DO206" s="22">
        <f>+_xlfn.XLOOKUP($CT206,Budget!$A:$A,Budget!CJ:CJ)</f>
        <v>0</v>
      </c>
      <c r="DP206" s="22">
        <f>+_xlfn.XLOOKUP($CT206,Budget!$A:$A,Budget!CK:CK)</f>
        <v>0</v>
      </c>
      <c r="DQ206" s="22">
        <f>+_xlfn.XLOOKUP($CT206,Budget!$A:$A,Budget!CL:CL)</f>
        <v>0</v>
      </c>
      <c r="DR206" s="22">
        <f>+_xlfn.XLOOKUP($CT206,Budget!$A:$A,Budget!CM:CM)</f>
        <v>0</v>
      </c>
      <c r="DS206" s="22">
        <f>+_xlfn.XLOOKUP($CT206,Budget!$A:$A,Budget!CN:CN)</f>
        <v>0</v>
      </c>
      <c r="DT206" s="22">
        <f>+_xlfn.XLOOKUP($CT206,Budget!$A:$A,Budget!CO:CO)</f>
        <v>0</v>
      </c>
      <c r="DU206" s="106">
        <f t="shared" ref="DU206:DU208" si="914">+SUM(DI206:DT206)</f>
        <v>0</v>
      </c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106">
        <f t="shared" ref="EI206:EI208" si="915">+SUM(DW206:EH206)</f>
        <v>0</v>
      </c>
      <c r="EJ206" s="16" t="str">
        <f t="shared" si="887"/>
        <v>Demo Car Insurance</v>
      </c>
      <c r="EK206" s="22">
        <f>+VLOOKUP($BD206,'Jan-25'!$A:$J,9,0)</f>
        <v>0</v>
      </c>
      <c r="EL206" s="22">
        <f>+VLOOKUP($BD206,'Feb-25'!$A:$J,9,0)</f>
        <v>0</v>
      </c>
      <c r="EM206" s="22">
        <f>+VLOOKUP($BD206,'Mar-25'!$A:$J,9,0)</f>
        <v>0</v>
      </c>
      <c r="EN206" s="22">
        <f>+VLOOKUP($BD206,'Apr-25'!$A:$J,9,0)</f>
        <v>0</v>
      </c>
      <c r="EO206" s="22">
        <f>+VLOOKUP($BD206,'May-25'!$A:$J,9,0)</f>
        <v>0</v>
      </c>
      <c r="EP206" s="22">
        <f>+VLOOKUP($BD206,'June-25'!$A:$J,9,0)</f>
        <v>0</v>
      </c>
      <c r="EQ206" s="22">
        <f>+VLOOKUP($BD206,'July-25'!$A:$J,9,0)</f>
        <v>0</v>
      </c>
      <c r="ER206" s="22">
        <f>+VLOOKUP($BD206,'Aug-25'!$A:$J,9,0)</f>
        <v>0</v>
      </c>
      <c r="ES206" s="22">
        <f>+VLOOKUP($BD206,'Sep-25'!$A:$J,9,0)</f>
        <v>0</v>
      </c>
      <c r="ET206" s="22">
        <f>+VLOOKUP($BD206,'Oct-25'!$A:$J,9,0)</f>
        <v>0</v>
      </c>
      <c r="EU206" s="22">
        <f>+VLOOKUP($BD206,'Nov-25'!$A:$J,9,0)</f>
        <v>0</v>
      </c>
      <c r="EV206" s="22">
        <f>+VLOOKUP($BD206,'Dec-25'!$A:$J,9,0)</f>
        <v>0</v>
      </c>
      <c r="EW206" s="22">
        <f t="shared" ref="EW206:EW208" si="916">+SUM(EK206:EV206)</f>
        <v>0</v>
      </c>
      <c r="EX206" s="118">
        <f t="shared" si="721"/>
        <v>0</v>
      </c>
      <c r="EY206" s="22">
        <f>+_xlfn.XLOOKUP($EJ206,Budget!$A:$A,Budget!DE:DE)</f>
        <v>0</v>
      </c>
      <c r="EZ206" s="22">
        <f>+_xlfn.XLOOKUP($EJ206,Budget!$A:$A,Budget!DF:DF)</f>
        <v>0</v>
      </c>
      <c r="FA206" s="22">
        <f>+_xlfn.XLOOKUP($EJ206,Budget!$A:$A,Budget!DG:DG)</f>
        <v>0</v>
      </c>
      <c r="FB206" s="22">
        <f>+_xlfn.XLOOKUP($EJ206,Budget!$A:$A,Budget!DH:DH)</f>
        <v>0</v>
      </c>
      <c r="FC206" s="22">
        <f>+_xlfn.XLOOKUP($EJ206,Budget!$A:$A,Budget!DI:DI)</f>
        <v>0</v>
      </c>
      <c r="FD206" s="22">
        <f>+_xlfn.XLOOKUP($EJ206,Budget!$A:$A,Budget!DJ:DJ)</f>
        <v>0</v>
      </c>
      <c r="FE206" s="22">
        <f>+_xlfn.XLOOKUP($EJ206,Budget!$A:$A,Budget!DK:DK)</f>
        <v>0</v>
      </c>
      <c r="FF206" s="22">
        <f>+_xlfn.XLOOKUP($EJ206,Budget!$A:$A,Budget!DL:DL)</f>
        <v>0</v>
      </c>
      <c r="FG206" s="22">
        <f>+_xlfn.XLOOKUP($EJ206,Budget!$A:$A,Budget!DM:DM)</f>
        <v>0</v>
      </c>
      <c r="FH206" s="22">
        <f>+_xlfn.XLOOKUP($EJ206,Budget!$A:$A,Budget!DN:DN)</f>
        <v>0</v>
      </c>
      <c r="FI206" s="22">
        <f>+_xlfn.XLOOKUP($EJ206,Budget!$A:$A,Budget!DO:DO)</f>
        <v>0</v>
      </c>
      <c r="FJ206" s="22">
        <f>+_xlfn.XLOOKUP($EJ206,Budget!$A:$A,Budget!DP:DP)</f>
        <v>0</v>
      </c>
      <c r="FK206" s="106">
        <f t="shared" ref="FK206:FK208" si="917">+SUM(EY206:FJ206)</f>
        <v>0</v>
      </c>
    </row>
    <row r="207" spans="1:167" ht="14.45" hidden="1" customHeight="1" outlineLevel="2">
      <c r="A207" s="106">
        <f t="shared" si="903"/>
        <v>16889.2749</v>
      </c>
      <c r="B207" s="106">
        <f t="shared" si="903"/>
        <v>16542.09</v>
      </c>
      <c r="C207" s="106">
        <f t="shared" si="903"/>
        <v>13608.39</v>
      </c>
      <c r="D207" s="106">
        <f t="shared" si="903"/>
        <v>13608.39</v>
      </c>
      <c r="E207" s="106">
        <f t="shared" si="903"/>
        <v>13608.39</v>
      </c>
      <c r="F207" s="106">
        <f t="shared" si="903"/>
        <v>13608.39</v>
      </c>
      <c r="G207" s="106">
        <f t="shared" si="903"/>
        <v>13608.39</v>
      </c>
      <c r="H207" s="106">
        <f t="shared" si="903"/>
        <v>13608.39</v>
      </c>
      <c r="I207" s="106">
        <f t="shared" si="903"/>
        <v>13608.4359</v>
      </c>
      <c r="J207" s="106">
        <f t="shared" si="903"/>
        <v>9294.09</v>
      </c>
      <c r="K207" s="106">
        <f t="shared" si="903"/>
        <v>17311.940000000002</v>
      </c>
      <c r="L207" s="106">
        <f t="shared" si="903"/>
        <v>13247.9</v>
      </c>
      <c r="M207" s="106">
        <f t="shared" si="904"/>
        <v>168544.07079999999</v>
      </c>
      <c r="N207" s="16" t="s">
        <v>174</v>
      </c>
      <c r="O207" s="22">
        <f t="shared" si="905"/>
        <v>0</v>
      </c>
      <c r="P207" s="22">
        <f t="shared" si="905"/>
        <v>17149</v>
      </c>
      <c r="Q207" s="22">
        <f t="shared" si="905"/>
        <v>17148.75</v>
      </c>
      <c r="R207" s="22">
        <f t="shared" si="905"/>
        <v>17148.75</v>
      </c>
      <c r="S207" s="22">
        <f t="shared" si="905"/>
        <v>17148.73</v>
      </c>
      <c r="T207" s="22">
        <f t="shared" si="905"/>
        <v>17148.75</v>
      </c>
      <c r="U207" s="22">
        <f t="shared" si="905"/>
        <v>17148.75</v>
      </c>
      <c r="V207" s="22">
        <f t="shared" si="905"/>
        <v>17149</v>
      </c>
      <c r="W207" s="22">
        <f t="shared" si="905"/>
        <v>17149</v>
      </c>
      <c r="X207" s="22">
        <f t="shared" si="905"/>
        <v>26876.199999999997</v>
      </c>
      <c r="Y207" s="22">
        <f t="shared" si="905"/>
        <v>0</v>
      </c>
      <c r="Z207" s="22">
        <f t="shared" si="905"/>
        <v>0</v>
      </c>
      <c r="AA207" s="22">
        <f t="shared" si="906"/>
        <v>164066.93</v>
      </c>
      <c r="AB207" s="118">
        <f t="shared" si="708"/>
        <v>8.3876244310365333E-2</v>
      </c>
      <c r="AC207" s="22">
        <f t="shared" si="907"/>
        <v>24796.373332363637</v>
      </c>
      <c r="AD207" s="22">
        <f t="shared" si="907"/>
        <v>24796.373332363637</v>
      </c>
      <c r="AE207" s="22">
        <f t="shared" si="907"/>
        <v>24796.373332363637</v>
      </c>
      <c r="AF207" s="22">
        <f t="shared" si="907"/>
        <v>24796.373332363637</v>
      </c>
      <c r="AG207" s="22">
        <f t="shared" si="907"/>
        <v>24796.373332363637</v>
      </c>
      <c r="AH207" s="22">
        <f t="shared" si="907"/>
        <v>24796.373332363637</v>
      </c>
      <c r="AI207" s="22">
        <f t="shared" si="907"/>
        <v>24796.373332363637</v>
      </c>
      <c r="AJ207" s="22">
        <f t="shared" si="907"/>
        <v>24796.373332363637</v>
      </c>
      <c r="AK207" s="22">
        <f t="shared" si="907"/>
        <v>24796.373332363637</v>
      </c>
      <c r="AL207" s="22">
        <f t="shared" si="907"/>
        <v>24796.373332363637</v>
      </c>
      <c r="AM207" s="22">
        <f t="shared" si="907"/>
        <v>24796.373332363637</v>
      </c>
      <c r="AN207" s="22">
        <f t="shared" si="907"/>
        <v>24796.373332363637</v>
      </c>
      <c r="AO207" s="22">
        <f t="shared" si="908"/>
        <v>297556.47998836363</v>
      </c>
      <c r="AQ207" s="106">
        <v>16401.0906</v>
      </c>
      <c r="AR207" s="106">
        <v>16401.060000000001</v>
      </c>
      <c r="AS207" s="106">
        <v>9953.4599999999991</v>
      </c>
      <c r="AT207" s="106">
        <v>9953.4599999999991</v>
      </c>
      <c r="AU207" s="106">
        <v>9953.4599999999991</v>
      </c>
      <c r="AV207" s="106">
        <v>9953.4599999999991</v>
      </c>
      <c r="AW207" s="106">
        <v>9953.4599999999991</v>
      </c>
      <c r="AX207" s="106">
        <v>9953.4599999999991</v>
      </c>
      <c r="AY207" s="106">
        <v>9953.4905999999992</v>
      </c>
      <c r="AZ207" s="106">
        <v>5699.46</v>
      </c>
      <c r="BA207" s="106">
        <v>13798.04</v>
      </c>
      <c r="BB207" s="106">
        <v>9734</v>
      </c>
      <c r="BC207" s="106">
        <f t="shared" si="909"/>
        <v>131707.90119999999</v>
      </c>
      <c r="BD207" s="16" t="str">
        <f t="shared" si="885"/>
        <v>Premises Insurance</v>
      </c>
      <c r="BE207" s="22">
        <f>+VLOOKUP($BD207,'Jan-25'!$A:$J,4,0)</f>
        <v>0</v>
      </c>
      <c r="BF207" s="22">
        <f>+VLOOKUP($BD207,'Feb-25'!$A:$J,4,0)</f>
        <v>9734</v>
      </c>
      <c r="BG207" s="22">
        <f>+VLOOKUP($BD207,'Mar-25'!$A:$J,4,0)</f>
        <v>9733.5</v>
      </c>
      <c r="BH207" s="22">
        <f>+VLOOKUP($BD207,'Apr-25'!$A:$J,4,0)</f>
        <v>9733.5</v>
      </c>
      <c r="BI207" s="22">
        <f>+VLOOKUP($BD207,'May-25'!$A:$J,4,0)</f>
        <v>9733.49</v>
      </c>
      <c r="BJ207" s="22">
        <f>+VLOOKUP($BD207,'June-25'!$A:$J,4,0)</f>
        <v>9733.5</v>
      </c>
      <c r="BK207" s="22">
        <f>+VLOOKUP($BD207,'July-25'!$A:$J,4,0)</f>
        <v>9733.5</v>
      </c>
      <c r="BL207" s="22">
        <f>+VLOOKUP($BD207,'Aug-25'!$A:$J,4,0)</f>
        <v>9734</v>
      </c>
      <c r="BM207" s="22">
        <f>+VLOOKUP($BD207,'Sep-25'!$A:$J,4,0)</f>
        <v>9734</v>
      </c>
      <c r="BN207" s="22">
        <f>+VLOOKUP($BD207,'Oct-25'!$A:$J,4,0)</f>
        <v>15637</v>
      </c>
      <c r="BO207" s="22">
        <f>+VLOOKUP($BD207,'Nov-25'!$A:$J,4,0)</f>
        <v>0</v>
      </c>
      <c r="BP207" s="22">
        <f>+VLOOKUP($BD207,'Dec-25'!$A:$J,4,0)</f>
        <v>0</v>
      </c>
      <c r="BQ207" s="22">
        <f t="shared" si="910"/>
        <v>93506.489999999991</v>
      </c>
      <c r="BR207" s="118">
        <f t="shared" si="713"/>
        <v>1.2389747995418099</v>
      </c>
      <c r="BS207" s="106">
        <f>+_xlfn.XLOOKUP($BD207,Budget!$A:$A,Budget!AQ:AQ)</f>
        <v>6984</v>
      </c>
      <c r="BT207" s="106">
        <f>+_xlfn.XLOOKUP($BD207,Budget!$A:$A,Budget!AR:AR)</f>
        <v>6984</v>
      </c>
      <c r="BU207" s="106">
        <f>+_xlfn.XLOOKUP($BD207,Budget!$A:$A,Budget!AS:AS)</f>
        <v>6984</v>
      </c>
      <c r="BV207" s="106">
        <f>+_xlfn.XLOOKUP($BD207,Budget!$A:$A,Budget!AT:AT)</f>
        <v>6984</v>
      </c>
      <c r="BW207" s="106">
        <f>+_xlfn.XLOOKUP($BD207,Budget!$A:$A,Budget!AU:AU)</f>
        <v>6984</v>
      </c>
      <c r="BX207" s="106">
        <f>+_xlfn.XLOOKUP($BD207,Budget!$A:$A,Budget!AV:AV)</f>
        <v>6984</v>
      </c>
      <c r="BY207" s="106">
        <f>+_xlfn.XLOOKUP($BD207,Budget!$A:$A,Budget!AW:AW)</f>
        <v>6984</v>
      </c>
      <c r="BZ207" s="106">
        <f>+_xlfn.XLOOKUP($BD207,Budget!$A:$A,Budget!AX:AX)</f>
        <v>6984</v>
      </c>
      <c r="CA207" s="106">
        <f>+_xlfn.XLOOKUP($BD207,Budget!$A:$A,Budget!AY:AY)</f>
        <v>6984</v>
      </c>
      <c r="CB207" s="106">
        <f>+_xlfn.XLOOKUP($BD207,Budget!$A:$A,Budget!AZ:AZ)</f>
        <v>6984</v>
      </c>
      <c r="CC207" s="106">
        <f>+_xlfn.XLOOKUP($BD207,Budget!$A:$A,Budget!BA:BA)</f>
        <v>6984</v>
      </c>
      <c r="CD207" s="106">
        <f>+_xlfn.XLOOKUP($BD207,Budget!$A:$A,Budget!BB:BB)</f>
        <v>6984</v>
      </c>
      <c r="CE207" s="106">
        <f t="shared" si="911"/>
        <v>83808</v>
      </c>
      <c r="CF207" s="22"/>
      <c r="CG207" s="22">
        <v>488.18430000000001</v>
      </c>
      <c r="CH207" s="22">
        <v>141.02999999999997</v>
      </c>
      <c r="CI207" s="22">
        <v>3654.9300000000003</v>
      </c>
      <c r="CJ207" s="22">
        <v>3654.9300000000003</v>
      </c>
      <c r="CK207" s="22">
        <v>3654.9300000000003</v>
      </c>
      <c r="CL207" s="22">
        <v>3654.9300000000003</v>
      </c>
      <c r="CM207" s="22">
        <v>3654.9300000000003</v>
      </c>
      <c r="CN207" s="22">
        <v>3654.9300000000003</v>
      </c>
      <c r="CO207" s="22">
        <v>3654.9453000000003</v>
      </c>
      <c r="CP207" s="22">
        <v>3594.63</v>
      </c>
      <c r="CQ207" s="22">
        <v>3513.9</v>
      </c>
      <c r="CR207" s="22">
        <v>3513.9</v>
      </c>
      <c r="CS207" s="106">
        <f t="shared" si="912"/>
        <v>36836.169600000001</v>
      </c>
      <c r="CT207" s="16" t="str">
        <f t="shared" si="886"/>
        <v>Premises Insurance</v>
      </c>
      <c r="CU207" s="22">
        <f>+VLOOKUP($BD207,'Jan-25'!$A:$J,7,0)</f>
        <v>0</v>
      </c>
      <c r="CV207" s="22">
        <f>+VLOOKUP($BD207,'Feb-25'!$A:$J,7,0)</f>
        <v>0</v>
      </c>
      <c r="CW207" s="22">
        <f>+VLOOKUP($BD207,'Mar-25'!$A:$J,7,0)</f>
        <v>0</v>
      </c>
      <c r="CX207" s="22">
        <f>+VLOOKUP($BD207,'Apr-25'!$A:$J,7,0)</f>
        <v>0</v>
      </c>
      <c r="CY207" s="22">
        <f>+VLOOKUP($BD207,'May-25'!$A:$J,7,0)</f>
        <v>0</v>
      </c>
      <c r="CZ207" s="22">
        <f>+VLOOKUP($BD207,'June-25'!$A:$J,7,0)</f>
        <v>0</v>
      </c>
      <c r="DA207" s="22">
        <f>+VLOOKUP($BD207,'July-25'!$A:$J,7,0)</f>
        <v>0</v>
      </c>
      <c r="DB207" s="22">
        <f>+VLOOKUP($BD207,'Aug-25'!$A:$J,7,0)</f>
        <v>0</v>
      </c>
      <c r="DC207" s="22">
        <f>+VLOOKUP($BD207,'Sep-25'!$A:$J,7,0)</f>
        <v>0</v>
      </c>
      <c r="DD207" s="22">
        <f>+VLOOKUP($BD207,'Oct-25'!$A:$J,7,0)</f>
        <v>2284.7999999999997</v>
      </c>
      <c r="DE207" s="22">
        <f>+VLOOKUP($BD207,'Nov-25'!$A:$J,7,0)</f>
        <v>0</v>
      </c>
      <c r="DF207" s="22">
        <f>+VLOOKUP($BD207,'Dec-25'!$A:$J,7,0)</f>
        <v>0</v>
      </c>
      <c r="DG207" s="22">
        <f t="shared" si="913"/>
        <v>2284.7999999999997</v>
      </c>
      <c r="DH207" s="118">
        <f t="shared" si="717"/>
        <v>-0.18759007785080997</v>
      </c>
      <c r="DI207" s="22">
        <f>+_xlfn.XLOOKUP($CT207,Budget!$A:$A,Budget!CD:CD)</f>
        <v>2812.3733323636361</v>
      </c>
      <c r="DJ207" s="22">
        <f>+_xlfn.XLOOKUP($CT207,Budget!$A:$A,Budget!CE:CE)</f>
        <v>2812.3733323636361</v>
      </c>
      <c r="DK207" s="22">
        <f>+_xlfn.XLOOKUP($CT207,Budget!$A:$A,Budget!CF:CF)</f>
        <v>2812.3733323636361</v>
      </c>
      <c r="DL207" s="22">
        <f>+_xlfn.XLOOKUP($CT207,Budget!$A:$A,Budget!CG:CG)</f>
        <v>2812.3733323636361</v>
      </c>
      <c r="DM207" s="22">
        <f>+_xlfn.XLOOKUP($CT207,Budget!$A:$A,Budget!CH:CH)</f>
        <v>2812.3733323636361</v>
      </c>
      <c r="DN207" s="22">
        <f>+_xlfn.XLOOKUP($CT207,Budget!$A:$A,Budget!CI:CI)</f>
        <v>2812.3733323636361</v>
      </c>
      <c r="DO207" s="22">
        <f>+_xlfn.XLOOKUP($CT207,Budget!$A:$A,Budget!CJ:CJ)</f>
        <v>2812.3733323636361</v>
      </c>
      <c r="DP207" s="22">
        <f>+_xlfn.XLOOKUP($CT207,Budget!$A:$A,Budget!CK:CK)</f>
        <v>2812.3733323636361</v>
      </c>
      <c r="DQ207" s="22">
        <f>+_xlfn.XLOOKUP($CT207,Budget!$A:$A,Budget!CL:CL)</f>
        <v>2812.3733323636361</v>
      </c>
      <c r="DR207" s="22">
        <f>+_xlfn.XLOOKUP($CT207,Budget!$A:$A,Budget!CM:CM)</f>
        <v>2812.3733323636361</v>
      </c>
      <c r="DS207" s="22">
        <f>+_xlfn.XLOOKUP($CT207,Budget!$A:$A,Budget!CN:CN)</f>
        <v>2812.3733323636361</v>
      </c>
      <c r="DT207" s="22">
        <f>+_xlfn.XLOOKUP($CT207,Budget!$A:$A,Budget!CO:CO)</f>
        <v>2812.3733323636361</v>
      </c>
      <c r="DU207" s="106">
        <f t="shared" si="914"/>
        <v>33748.479988363637</v>
      </c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106">
        <f t="shared" si="915"/>
        <v>0</v>
      </c>
      <c r="EJ207" s="16" t="str">
        <f t="shared" si="887"/>
        <v>Premises Insurance</v>
      </c>
      <c r="EK207" s="22">
        <f>+VLOOKUP($BD207,'Jan-25'!$A:$J,9,0)</f>
        <v>0</v>
      </c>
      <c r="EL207" s="22">
        <f>+VLOOKUP($BD207,'Feb-25'!$A:$J,9,0)</f>
        <v>7415</v>
      </c>
      <c r="EM207" s="22">
        <f>+VLOOKUP($BD207,'Mar-25'!$A:$J,9,0)</f>
        <v>7415.25</v>
      </c>
      <c r="EN207" s="22">
        <f>+VLOOKUP($BD207,'Apr-25'!$A:$J,9,0)</f>
        <v>7415.25</v>
      </c>
      <c r="EO207" s="22">
        <f>+VLOOKUP($BD207,'May-25'!$A:$J,9,0)</f>
        <v>7415.24</v>
      </c>
      <c r="EP207" s="22">
        <f>+VLOOKUP($BD207,'June-25'!$A:$J,9,0)</f>
        <v>7415.25</v>
      </c>
      <c r="EQ207" s="22">
        <f>+VLOOKUP($BD207,'July-25'!$A:$J,9,0)</f>
        <v>7415.25</v>
      </c>
      <c r="ER207" s="22">
        <f>+VLOOKUP($BD207,'Aug-25'!$A:$J,9,0)</f>
        <v>7415</v>
      </c>
      <c r="ES207" s="22">
        <f>+VLOOKUP($BD207,'Sep-25'!$A:$J,9,0)</f>
        <v>7415</v>
      </c>
      <c r="ET207" s="22">
        <f>+VLOOKUP($BD207,'Oct-25'!$A:$J,9,0)</f>
        <v>8954.4</v>
      </c>
      <c r="EU207" s="22">
        <f>+VLOOKUP($BD207,'Nov-25'!$A:$J,9,0)</f>
        <v>0</v>
      </c>
      <c r="EV207" s="22">
        <f>+VLOOKUP($BD207,'Dec-25'!$A:$J,9,0)</f>
        <v>0</v>
      </c>
      <c r="EW207" s="22">
        <f t="shared" si="916"/>
        <v>68275.64</v>
      </c>
      <c r="EX207" s="118">
        <f t="shared" si="721"/>
        <v>-0.40304000000000001</v>
      </c>
      <c r="EY207" s="22">
        <f>+_xlfn.XLOOKUP($EJ207,Budget!$A:$A,Budget!DE:DE)</f>
        <v>15000</v>
      </c>
      <c r="EZ207" s="22">
        <f>+_xlfn.XLOOKUP($EJ207,Budget!$A:$A,Budget!DF:DF)</f>
        <v>15000</v>
      </c>
      <c r="FA207" s="22">
        <f>+_xlfn.XLOOKUP($EJ207,Budget!$A:$A,Budget!DG:DG)</f>
        <v>15000</v>
      </c>
      <c r="FB207" s="22">
        <f>+_xlfn.XLOOKUP($EJ207,Budget!$A:$A,Budget!DH:DH)</f>
        <v>15000</v>
      </c>
      <c r="FC207" s="22">
        <f>+_xlfn.XLOOKUP($EJ207,Budget!$A:$A,Budget!DI:DI)</f>
        <v>15000</v>
      </c>
      <c r="FD207" s="22">
        <f>+_xlfn.XLOOKUP($EJ207,Budget!$A:$A,Budget!DJ:DJ)</f>
        <v>15000</v>
      </c>
      <c r="FE207" s="22">
        <f>+_xlfn.XLOOKUP($EJ207,Budget!$A:$A,Budget!DK:DK)</f>
        <v>15000</v>
      </c>
      <c r="FF207" s="22">
        <f>+_xlfn.XLOOKUP($EJ207,Budget!$A:$A,Budget!DL:DL)</f>
        <v>15000</v>
      </c>
      <c r="FG207" s="22">
        <f>+_xlfn.XLOOKUP($EJ207,Budget!$A:$A,Budget!DM:DM)</f>
        <v>15000</v>
      </c>
      <c r="FH207" s="22">
        <f>+_xlfn.XLOOKUP($EJ207,Budget!$A:$A,Budget!DN:DN)</f>
        <v>15000</v>
      </c>
      <c r="FI207" s="22">
        <f>+_xlfn.XLOOKUP($EJ207,Budget!$A:$A,Budget!DO:DO)</f>
        <v>15000</v>
      </c>
      <c r="FJ207" s="22">
        <f>+_xlfn.XLOOKUP($EJ207,Budget!$A:$A,Budget!DP:DP)</f>
        <v>15000</v>
      </c>
      <c r="FK207" s="106">
        <f t="shared" si="917"/>
        <v>180000</v>
      </c>
    </row>
    <row r="208" spans="1:167" ht="14.45" hidden="1" customHeight="1" outlineLevel="2">
      <c r="A208" s="106">
        <f t="shared" si="903"/>
        <v>89360.454499999993</v>
      </c>
      <c r="B208" s="106">
        <f t="shared" si="903"/>
        <v>91885.909999999989</v>
      </c>
      <c r="C208" s="106">
        <f t="shared" si="903"/>
        <v>80793.977499999994</v>
      </c>
      <c r="D208" s="106">
        <f t="shared" si="903"/>
        <v>69455.977500000008</v>
      </c>
      <c r="E208" s="106">
        <f t="shared" si="903"/>
        <v>69455.977499999994</v>
      </c>
      <c r="F208" s="106">
        <f t="shared" si="903"/>
        <v>69456.004499999995</v>
      </c>
      <c r="G208" s="106">
        <f t="shared" si="903"/>
        <v>65974.864999099998</v>
      </c>
      <c r="H208" s="106">
        <f t="shared" si="903"/>
        <v>65243.083264102555</v>
      </c>
      <c r="I208" s="106">
        <f t="shared" si="903"/>
        <v>65972.361899999989</v>
      </c>
      <c r="J208" s="106">
        <f t="shared" si="903"/>
        <v>60454.199100000005</v>
      </c>
      <c r="K208" s="106">
        <f t="shared" si="903"/>
        <v>55892.291599999997</v>
      </c>
      <c r="L208" s="106">
        <f t="shared" si="903"/>
        <v>55302.199100000005</v>
      </c>
      <c r="M208" s="106">
        <f t="shared" si="904"/>
        <v>839247.30146320246</v>
      </c>
      <c r="N208" s="16" t="s">
        <v>235</v>
      </c>
      <c r="O208" s="22">
        <f t="shared" si="905"/>
        <v>0</v>
      </c>
      <c r="P208" s="22">
        <f t="shared" si="905"/>
        <v>32912.399100000002</v>
      </c>
      <c r="Q208" s="22">
        <f t="shared" si="905"/>
        <v>36073.155599999998</v>
      </c>
      <c r="R208" s="22">
        <f t="shared" si="905"/>
        <v>88127.285600000003</v>
      </c>
      <c r="S208" s="22">
        <f t="shared" si="905"/>
        <v>106658.9256</v>
      </c>
      <c r="T208" s="22">
        <f t="shared" si="905"/>
        <v>125168.8956</v>
      </c>
      <c r="U208" s="22">
        <f t="shared" si="905"/>
        <v>143549.86588827861</v>
      </c>
      <c r="V208" s="22">
        <f t="shared" si="905"/>
        <v>134709.96520000001</v>
      </c>
      <c r="W208" s="22">
        <f t="shared" si="905"/>
        <v>145289.00523333333</v>
      </c>
      <c r="X208" s="22">
        <f t="shared" si="905"/>
        <v>135205.53</v>
      </c>
      <c r="Y208" s="22">
        <f t="shared" si="905"/>
        <v>0</v>
      </c>
      <c r="Z208" s="22">
        <f t="shared" si="905"/>
        <v>0</v>
      </c>
      <c r="AA208" s="22">
        <f t="shared" si="906"/>
        <v>947695.02782161196</v>
      </c>
      <c r="AB208" s="118">
        <f t="shared" si="708"/>
        <v>1.1688964123986822</v>
      </c>
      <c r="AC208" s="22">
        <f t="shared" si="907"/>
        <v>62798.966999999997</v>
      </c>
      <c r="AD208" s="22">
        <f t="shared" si="907"/>
        <v>62798.966999999997</v>
      </c>
      <c r="AE208" s="22">
        <f t="shared" si="907"/>
        <v>62798.966999999997</v>
      </c>
      <c r="AF208" s="22">
        <f t="shared" si="907"/>
        <v>62798.966999999997</v>
      </c>
      <c r="AG208" s="22">
        <f t="shared" si="907"/>
        <v>62798.966999999997</v>
      </c>
      <c r="AH208" s="22">
        <f t="shared" si="907"/>
        <v>62798.966999999997</v>
      </c>
      <c r="AI208" s="22">
        <f t="shared" si="907"/>
        <v>62401.241999999998</v>
      </c>
      <c r="AJ208" s="22">
        <f t="shared" si="907"/>
        <v>62401.241999999998</v>
      </c>
      <c r="AK208" s="22">
        <f t="shared" si="907"/>
        <v>62401.241999999998</v>
      </c>
      <c r="AL208" s="22">
        <f t="shared" si="907"/>
        <v>62338.399024999999</v>
      </c>
      <c r="AM208" s="22">
        <f t="shared" si="907"/>
        <v>62338.399024999999</v>
      </c>
      <c r="AN208" s="22">
        <f t="shared" si="907"/>
        <v>62338.399024999999</v>
      </c>
      <c r="AO208" s="22">
        <f t="shared" si="908"/>
        <v>751012.72507500008</v>
      </c>
      <c r="AQ208" s="106">
        <v>85704.236999999994</v>
      </c>
      <c r="AR208" s="106">
        <v>86238.739999999991</v>
      </c>
      <c r="AS208" s="106">
        <v>75134.784999999989</v>
      </c>
      <c r="AT208" s="106">
        <v>63796.785000000003</v>
      </c>
      <c r="AU208" s="106">
        <v>67045.784999999989</v>
      </c>
      <c r="AV208" s="106">
        <v>63796.803</v>
      </c>
      <c r="AW208" s="106">
        <v>60315.709999400002</v>
      </c>
      <c r="AX208" s="106">
        <v>59827.749953846149</v>
      </c>
      <c r="AY208" s="106">
        <v>60316.866599999994</v>
      </c>
      <c r="AZ208" s="106">
        <v>60220.799400000004</v>
      </c>
      <c r="BA208" s="106">
        <v>50243.5844</v>
      </c>
      <c r="BB208" s="106">
        <v>49739.799400000004</v>
      </c>
      <c r="BC208" s="106">
        <f t="shared" si="909"/>
        <v>782381.64475324622</v>
      </c>
      <c r="BD208" s="16" t="str">
        <f t="shared" si="885"/>
        <v>Company Vehicle Insurance</v>
      </c>
      <c r="BE208" s="22">
        <f>+VLOOKUP($BD208,'Jan-25'!$A:$J,4,0)</f>
        <v>0</v>
      </c>
      <c r="BF208" s="22">
        <f>+VLOOKUP($BD208,'Feb-25'!$A:$J,4,0)</f>
        <v>31687.7994</v>
      </c>
      <c r="BG208" s="22">
        <f>+VLOOKUP($BD208,'Mar-25'!$A:$J,4,0)</f>
        <v>34860.704399999995</v>
      </c>
      <c r="BH208" s="22">
        <f>+VLOOKUP($BD208,'Apr-25'!$A:$J,4,0)</f>
        <v>79748.704400000002</v>
      </c>
      <c r="BI208" s="22">
        <f>+VLOOKUP($BD208,'May-25'!$A:$J,4,0)</f>
        <v>97395.644400000005</v>
      </c>
      <c r="BJ208" s="22">
        <f>+VLOOKUP($BD208,'June-25'!$A:$J,4,0)</f>
        <v>105302.19439999999</v>
      </c>
      <c r="BK208" s="22">
        <f>+VLOOKUP($BD208,'July-25'!$A:$J,4,0)</f>
        <v>130882.62005494529</v>
      </c>
      <c r="BL208" s="22">
        <f>+VLOOKUP($BD208,'Aug-25'!$A:$J,4,0)</f>
        <v>122042.1768</v>
      </c>
      <c r="BM208" s="22">
        <f>+VLOOKUP($BD208,'Sep-25'!$A:$J,4,0)</f>
        <v>132608.67793333333</v>
      </c>
      <c r="BN208" s="22">
        <f>+VLOOKUP($BD208,'Oct-25'!$A:$J,4,0)</f>
        <v>122107.82</v>
      </c>
      <c r="BO208" s="22">
        <f>+VLOOKUP($BD208,'Nov-25'!$A:$J,4,0)</f>
        <v>0</v>
      </c>
      <c r="BP208" s="22">
        <f>+VLOOKUP($BD208,'Dec-25'!$A:$J,4,0)</f>
        <v>0</v>
      </c>
      <c r="BQ208" s="22">
        <f t="shared" si="910"/>
        <v>856636.34178827866</v>
      </c>
      <c r="BR208" s="118">
        <f t="shared" si="713"/>
        <v>2.066935747829092</v>
      </c>
      <c r="BS208" s="106">
        <f>+_xlfn.XLOOKUP($BD208,Budget!$A:$A,Budget!AQ:AQ)</f>
        <v>40263.243833333334</v>
      </c>
      <c r="BT208" s="106">
        <f>+_xlfn.XLOOKUP($BD208,Budget!$A:$A,Budget!AR:AR)</f>
        <v>40263.243833333334</v>
      </c>
      <c r="BU208" s="106">
        <f>+_xlfn.XLOOKUP($BD208,Budget!$A:$A,Budget!AS:AS)</f>
        <v>40263.243833333334</v>
      </c>
      <c r="BV208" s="106">
        <f>+_xlfn.XLOOKUP($BD208,Budget!$A:$A,Budget!AT:AT)</f>
        <v>40263.243833333334</v>
      </c>
      <c r="BW208" s="106">
        <f>+_xlfn.XLOOKUP($BD208,Budget!$A:$A,Budget!AU:AU)</f>
        <v>40263.243833333334</v>
      </c>
      <c r="BX208" s="106">
        <f>+_xlfn.XLOOKUP($BD208,Budget!$A:$A,Budget!AV:AV)</f>
        <v>40263.243833333334</v>
      </c>
      <c r="BY208" s="106">
        <f>+_xlfn.XLOOKUP($BD208,Budget!$A:$A,Budget!AW:AW)</f>
        <v>39865.518833333335</v>
      </c>
      <c r="BZ208" s="106">
        <f>+_xlfn.XLOOKUP($BD208,Budget!$A:$A,Budget!AX:AX)</f>
        <v>39865.518833333335</v>
      </c>
      <c r="CA208" s="106">
        <f>+_xlfn.XLOOKUP($BD208,Budget!$A:$A,Budget!AY:AY)</f>
        <v>39865.518833333335</v>
      </c>
      <c r="CB208" s="106">
        <f>+_xlfn.XLOOKUP($BD208,Budget!$A:$A,Budget!AZ:AZ)</f>
        <v>39814.273933333337</v>
      </c>
      <c r="CC208" s="106">
        <f>+_xlfn.XLOOKUP($BD208,Budget!$A:$A,Budget!BA:BA)</f>
        <v>39814.273933333337</v>
      </c>
      <c r="CD208" s="106">
        <f>+_xlfn.XLOOKUP($BD208,Budget!$A:$A,Budget!BB:BB)</f>
        <v>39814.273933333337</v>
      </c>
      <c r="CE208" s="106">
        <f t="shared" si="911"/>
        <v>480618.84130000009</v>
      </c>
      <c r="CF208" s="22"/>
      <c r="CG208" s="22">
        <v>3656.2175000000002</v>
      </c>
      <c r="CH208" s="22">
        <v>5647.17</v>
      </c>
      <c r="CI208" s="22">
        <v>5659.1925000000001</v>
      </c>
      <c r="CJ208" s="22">
        <v>5659.1925000000001</v>
      </c>
      <c r="CK208" s="22">
        <v>2410.1925000000001</v>
      </c>
      <c r="CL208" s="22">
        <v>5659.2015000000001</v>
      </c>
      <c r="CM208" s="22">
        <v>5659.1549997000002</v>
      </c>
      <c r="CN208" s="22">
        <v>5415.3333102564038</v>
      </c>
      <c r="CO208" s="22">
        <v>5655.4952999999969</v>
      </c>
      <c r="CP208" s="22">
        <v>233.39970000000048</v>
      </c>
      <c r="CQ208" s="22">
        <v>5648.7071999999998</v>
      </c>
      <c r="CR208" s="22">
        <v>5562.3997000000008</v>
      </c>
      <c r="CS208" s="106">
        <f t="shared" si="912"/>
        <v>56865.656709956405</v>
      </c>
      <c r="CT208" s="16" t="str">
        <f t="shared" si="886"/>
        <v>Company Vehicle Insurance</v>
      </c>
      <c r="CU208" s="22">
        <f>+VLOOKUP($BD208,'Jan-25'!$A:$J,7,0)</f>
        <v>0</v>
      </c>
      <c r="CV208" s="22">
        <f>+VLOOKUP($BD208,'Feb-25'!$A:$J,7,0)</f>
        <v>1224.5997000000004</v>
      </c>
      <c r="CW208" s="22">
        <f>+VLOOKUP($BD208,'Mar-25'!$A:$J,7,0)</f>
        <v>1212.4512000000002</v>
      </c>
      <c r="CX208" s="22">
        <f>+VLOOKUP($BD208,'Apr-25'!$A:$J,7,0)</f>
        <v>8378.5812000000005</v>
      </c>
      <c r="CY208" s="22">
        <f>+VLOOKUP($BD208,'May-25'!$A:$J,7,0)</f>
        <v>9263.2812000000013</v>
      </c>
      <c r="CZ208" s="22">
        <f>+VLOOKUP($BD208,'June-25'!$A:$J,7,0)</f>
        <v>9272.3712000000014</v>
      </c>
      <c r="DA208" s="22">
        <f>+VLOOKUP($BD208,'July-25'!$A:$J,7,0)</f>
        <v>9284.495833333327</v>
      </c>
      <c r="DB208" s="22">
        <f>+VLOOKUP($BD208,'Aug-25'!$A:$J,7,0)</f>
        <v>9284.7884000000013</v>
      </c>
      <c r="DC208" s="22">
        <f>+VLOOKUP($BD208,'Sep-25'!$A:$J,7,0)</f>
        <v>9297.3273000000008</v>
      </c>
      <c r="DD208" s="22">
        <f>+VLOOKUP($BD208,'Oct-25'!$A:$J,7,0)</f>
        <v>9714.7100000000009</v>
      </c>
      <c r="DE208" s="22">
        <f>+VLOOKUP($BD208,'Nov-25'!$A:$J,7,0)</f>
        <v>0</v>
      </c>
      <c r="DF208" s="22">
        <f>+VLOOKUP($BD208,'Dec-25'!$A:$J,7,0)</f>
        <v>0</v>
      </c>
      <c r="DG208" s="22">
        <f t="shared" si="913"/>
        <v>66932.606033333344</v>
      </c>
      <c r="DH208" s="118">
        <f t="shared" si="717"/>
        <v>-0.56869756492365642</v>
      </c>
      <c r="DI208" s="22">
        <f>+_xlfn.XLOOKUP($CT208,Budget!$A:$A,Budget!CD:CD)</f>
        <v>22535.723166666663</v>
      </c>
      <c r="DJ208" s="22">
        <f>+_xlfn.XLOOKUP($CT208,Budget!$A:$A,Budget!CE:CE)</f>
        <v>22535.723166666663</v>
      </c>
      <c r="DK208" s="22">
        <f>+_xlfn.XLOOKUP($CT208,Budget!$A:$A,Budget!CF:CF)</f>
        <v>22535.723166666663</v>
      </c>
      <c r="DL208" s="22">
        <f>+_xlfn.XLOOKUP($CT208,Budget!$A:$A,Budget!CG:CG)</f>
        <v>22535.723166666663</v>
      </c>
      <c r="DM208" s="22">
        <f>+_xlfn.XLOOKUP($CT208,Budget!$A:$A,Budget!CH:CH)</f>
        <v>22535.723166666663</v>
      </c>
      <c r="DN208" s="22">
        <f>+_xlfn.XLOOKUP($CT208,Budget!$A:$A,Budget!CI:CI)</f>
        <v>22535.723166666663</v>
      </c>
      <c r="DO208" s="22">
        <f>+_xlfn.XLOOKUP($CT208,Budget!$A:$A,Budget!CJ:CJ)</f>
        <v>22535.723166666663</v>
      </c>
      <c r="DP208" s="22">
        <f>+_xlfn.XLOOKUP($CT208,Budget!$A:$A,Budget!CK:CK)</f>
        <v>22535.723166666663</v>
      </c>
      <c r="DQ208" s="22">
        <f>+_xlfn.XLOOKUP($CT208,Budget!$A:$A,Budget!CL:CL)</f>
        <v>22535.723166666663</v>
      </c>
      <c r="DR208" s="22">
        <f>+_xlfn.XLOOKUP($CT208,Budget!$A:$A,Budget!CM:CM)</f>
        <v>22524.125091666661</v>
      </c>
      <c r="DS208" s="22">
        <f>+_xlfn.XLOOKUP($CT208,Budget!$A:$A,Budget!CN:CN)</f>
        <v>22524.125091666661</v>
      </c>
      <c r="DT208" s="22">
        <f>+_xlfn.XLOOKUP($CT208,Budget!$A:$A,Budget!CO:CO)</f>
        <v>22524.125091666661</v>
      </c>
      <c r="DU208" s="106">
        <f t="shared" si="914"/>
        <v>270393.88377499994</v>
      </c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106">
        <f t="shared" si="915"/>
        <v>0</v>
      </c>
      <c r="EJ208" s="16" t="str">
        <f t="shared" si="887"/>
        <v>Company Vehicle Insurance</v>
      </c>
      <c r="EK208" s="22">
        <f>+VLOOKUP($BD208,'Jan-25'!$A:$J,9,0)</f>
        <v>0</v>
      </c>
      <c r="EL208" s="22">
        <f>+VLOOKUP($BD208,'Feb-25'!$A:$J,9,0)</f>
        <v>0</v>
      </c>
      <c r="EM208" s="22">
        <f>+VLOOKUP($BD208,'Mar-25'!$A:$J,9,0)</f>
        <v>0</v>
      </c>
      <c r="EN208" s="22">
        <f>+VLOOKUP($BD208,'Apr-25'!$A:$J,9,0)</f>
        <v>0</v>
      </c>
      <c r="EO208" s="22">
        <f>+VLOOKUP($BD208,'May-25'!$A:$J,9,0)</f>
        <v>0</v>
      </c>
      <c r="EP208" s="22">
        <f>+VLOOKUP($BD208,'June-25'!$A:$J,9,0)</f>
        <v>10594.33</v>
      </c>
      <c r="EQ208" s="22">
        <f>+VLOOKUP($BD208,'July-25'!$A:$J,9,0)</f>
        <v>3382.75</v>
      </c>
      <c r="ER208" s="22">
        <f>+VLOOKUP($BD208,'Aug-25'!$A:$J,9,0)</f>
        <v>3383</v>
      </c>
      <c r="ES208" s="22">
        <f>+VLOOKUP($BD208,'Sep-25'!$A:$J,9,0)</f>
        <v>3383</v>
      </c>
      <c r="ET208" s="22">
        <f>+VLOOKUP($BD208,'Oct-25'!$A:$J,9,0)</f>
        <v>3383</v>
      </c>
      <c r="EU208" s="22">
        <f>+VLOOKUP($BD208,'Nov-25'!$A:$J,9,0)</f>
        <v>0</v>
      </c>
      <c r="EV208" s="22">
        <f>+VLOOKUP($BD208,'Dec-25'!$A:$J,9,0)</f>
        <v>0</v>
      </c>
      <c r="EW208" s="22">
        <f t="shared" si="916"/>
        <v>24126.080000000002</v>
      </c>
      <c r="EX208" s="118">
        <f t="shared" si="721"/>
        <v>0</v>
      </c>
      <c r="EY208" s="22">
        <f>+_xlfn.XLOOKUP($EJ208,Budget!$A:$A,Budget!DE:DE)</f>
        <v>0</v>
      </c>
      <c r="EZ208" s="22">
        <f>+_xlfn.XLOOKUP($EJ208,Budget!$A:$A,Budget!DF:DF)</f>
        <v>0</v>
      </c>
      <c r="FA208" s="22">
        <f>+_xlfn.XLOOKUP($EJ208,Budget!$A:$A,Budget!DG:DG)</f>
        <v>0</v>
      </c>
      <c r="FB208" s="22">
        <f>+_xlfn.XLOOKUP($EJ208,Budget!$A:$A,Budget!DH:DH)</f>
        <v>0</v>
      </c>
      <c r="FC208" s="22">
        <f>+_xlfn.XLOOKUP($EJ208,Budget!$A:$A,Budget!DI:DI)</f>
        <v>0</v>
      </c>
      <c r="FD208" s="22">
        <f>+_xlfn.XLOOKUP($EJ208,Budget!$A:$A,Budget!DJ:DJ)</f>
        <v>0</v>
      </c>
      <c r="FE208" s="22">
        <f>+_xlfn.XLOOKUP($EJ208,Budget!$A:$A,Budget!DK:DK)</f>
        <v>0</v>
      </c>
      <c r="FF208" s="22">
        <f>+_xlfn.XLOOKUP($EJ208,Budget!$A:$A,Budget!DL:DL)</f>
        <v>0</v>
      </c>
      <c r="FG208" s="22">
        <f>+_xlfn.XLOOKUP($EJ208,Budget!$A:$A,Budget!DM:DM)</f>
        <v>0</v>
      </c>
      <c r="FH208" s="22">
        <f>+_xlfn.XLOOKUP($EJ208,Budget!$A:$A,Budget!DN:DN)</f>
        <v>0</v>
      </c>
      <c r="FI208" s="22">
        <f>+_xlfn.XLOOKUP($EJ208,Budget!$A:$A,Budget!DO:DO)</f>
        <v>0</v>
      </c>
      <c r="FJ208" s="22">
        <f>+_xlfn.XLOOKUP($EJ208,Budget!$A:$A,Budget!DP:DP)</f>
        <v>0</v>
      </c>
      <c r="FK208" s="106">
        <f t="shared" si="917"/>
        <v>0</v>
      </c>
    </row>
    <row r="209" spans="1:167" ht="14.45" hidden="1" customHeight="1" outlineLevel="1">
      <c r="A209" s="58">
        <f t="shared" ref="A209:L209" si="918">+SUM(A210:A213)</f>
        <v>292147.5</v>
      </c>
      <c r="B209" s="58">
        <f t="shared" si="918"/>
        <v>292147.5</v>
      </c>
      <c r="C209" s="58">
        <f t="shared" si="918"/>
        <v>292147.5</v>
      </c>
      <c r="D209" s="58">
        <f t="shared" si="918"/>
        <v>292147.5</v>
      </c>
      <c r="E209" s="58">
        <f t="shared" si="918"/>
        <v>292147.5</v>
      </c>
      <c r="F209" s="58">
        <f t="shared" si="918"/>
        <v>301012.23</v>
      </c>
      <c r="G209" s="58">
        <f t="shared" si="918"/>
        <v>267411.90000000002</v>
      </c>
      <c r="H209" s="58">
        <f t="shared" si="918"/>
        <v>267411.90000000002</v>
      </c>
      <c r="I209" s="58">
        <f t="shared" si="918"/>
        <v>274097.09999999998</v>
      </c>
      <c r="J209" s="58">
        <f>+SUM(J210:J213)</f>
        <v>270754.5</v>
      </c>
      <c r="K209" s="58">
        <f t="shared" si="918"/>
        <v>270754.5</v>
      </c>
      <c r="L209" s="58">
        <f t="shared" si="918"/>
        <v>270754.5</v>
      </c>
      <c r="M209" s="58">
        <f>+SUM(M210:M213)</f>
        <v>3382934.13</v>
      </c>
      <c r="N209" s="20" t="s">
        <v>175</v>
      </c>
      <c r="O209" s="28">
        <f t="shared" ref="O209:Z209" si="919">+SUM(O210:O213)</f>
        <v>537754.5</v>
      </c>
      <c r="P209" s="28">
        <f t="shared" si="919"/>
        <v>537754.5</v>
      </c>
      <c r="Q209" s="28">
        <f t="shared" si="919"/>
        <v>537754.5</v>
      </c>
      <c r="R209" s="28">
        <f t="shared" si="919"/>
        <v>537754.5</v>
      </c>
      <c r="S209" s="28">
        <f t="shared" si="919"/>
        <v>537754.5</v>
      </c>
      <c r="T209" s="28">
        <f t="shared" si="919"/>
        <v>537754.5</v>
      </c>
      <c r="U209" s="28">
        <f t="shared" si="919"/>
        <v>537754.5</v>
      </c>
      <c r="V209" s="28">
        <f t="shared" si="919"/>
        <v>715754.5</v>
      </c>
      <c r="W209" s="28">
        <f t="shared" si="919"/>
        <v>556156.19999999995</v>
      </c>
      <c r="X209" s="28">
        <f t="shared" si="919"/>
        <v>544987.19999999995</v>
      </c>
      <c r="Y209" s="28">
        <f t="shared" si="919"/>
        <v>0</v>
      </c>
      <c r="Z209" s="28">
        <f t="shared" si="919"/>
        <v>0</v>
      </c>
      <c r="AA209" s="28">
        <f t="shared" ref="AA209" si="920">+SUM(AA210:AA213)</f>
        <v>5581179.4000000004</v>
      </c>
      <c r="AB209" s="118">
        <f t="shared" si="708"/>
        <v>-7.1844619840335647E-2</v>
      </c>
      <c r="AC209" s="28">
        <f t="shared" ref="AC209:AN209" si="921">+SUM(AC210:AC213)</f>
        <v>574354.64394750004</v>
      </c>
      <c r="AD209" s="28">
        <f t="shared" si="921"/>
        <v>574354.64394750004</v>
      </c>
      <c r="AE209" s="28">
        <f t="shared" si="921"/>
        <v>574354.64394750004</v>
      </c>
      <c r="AF209" s="28">
        <f t="shared" si="921"/>
        <v>574354.64394750004</v>
      </c>
      <c r="AG209" s="28">
        <f t="shared" si="921"/>
        <v>574354.64394750004</v>
      </c>
      <c r="AH209" s="28">
        <f t="shared" si="921"/>
        <v>583662.60184799996</v>
      </c>
      <c r="AI209" s="28">
        <f t="shared" si="921"/>
        <v>583662.60184799996</v>
      </c>
      <c r="AJ209" s="28">
        <f t="shared" si="921"/>
        <v>583662.60184799996</v>
      </c>
      <c r="AK209" s="28">
        <f t="shared" si="921"/>
        <v>587172.37614487507</v>
      </c>
      <c r="AL209" s="28">
        <f t="shared" si="921"/>
        <v>587172.37614487507</v>
      </c>
      <c r="AM209" s="28">
        <f t="shared" si="921"/>
        <v>587172.37614487507</v>
      </c>
      <c r="AN209" s="28">
        <f t="shared" si="921"/>
        <v>587172.37614487507</v>
      </c>
      <c r="AO209" s="28"/>
      <c r="AQ209" s="58">
        <f t="shared" ref="AQ209:BB209" si="922">+SUM(AQ210:AQ213)</f>
        <v>177294.6</v>
      </c>
      <c r="AR209" s="58">
        <f t="shared" si="922"/>
        <v>177294.6</v>
      </c>
      <c r="AS209" s="58">
        <f t="shared" si="922"/>
        <v>177294.6</v>
      </c>
      <c r="AT209" s="58">
        <f t="shared" si="922"/>
        <v>177294.6</v>
      </c>
      <c r="AU209" s="58">
        <f t="shared" si="922"/>
        <v>177294.6</v>
      </c>
      <c r="AV209" s="58">
        <f t="shared" si="922"/>
        <v>186159.33</v>
      </c>
      <c r="AW209" s="58">
        <f t="shared" si="922"/>
        <v>186159</v>
      </c>
      <c r="AX209" s="58">
        <f t="shared" si="922"/>
        <v>186159</v>
      </c>
      <c r="AY209" s="58">
        <f t="shared" si="922"/>
        <v>186159</v>
      </c>
      <c r="AZ209" s="58">
        <f t="shared" si="922"/>
        <v>186159</v>
      </c>
      <c r="BA209" s="58">
        <f t="shared" si="922"/>
        <v>186159</v>
      </c>
      <c r="BB209" s="58">
        <f t="shared" si="922"/>
        <v>186159</v>
      </c>
      <c r="BC209" s="58">
        <f>+SUM(AQ209:BB209)</f>
        <v>2189586.33</v>
      </c>
      <c r="BD209" s="20" t="str">
        <f t="shared" si="885"/>
        <v>Rent Expenses</v>
      </c>
      <c r="BE209" s="28">
        <f t="shared" ref="BE209:BQ209" si="923">+SUM(BE210:BE213)</f>
        <v>186159</v>
      </c>
      <c r="BF209" s="28">
        <f t="shared" si="923"/>
        <v>186159</v>
      </c>
      <c r="BG209" s="28">
        <f t="shared" si="923"/>
        <v>186159</v>
      </c>
      <c r="BH209" s="28">
        <f t="shared" si="923"/>
        <v>186159</v>
      </c>
      <c r="BI209" s="28">
        <f t="shared" si="923"/>
        <v>186159</v>
      </c>
      <c r="BJ209" s="28">
        <f t="shared" si="923"/>
        <v>186159</v>
      </c>
      <c r="BK209" s="28">
        <f t="shared" si="923"/>
        <v>186159</v>
      </c>
      <c r="BL209" s="28">
        <f t="shared" si="923"/>
        <v>186159</v>
      </c>
      <c r="BM209" s="28">
        <f t="shared" si="923"/>
        <v>201051</v>
      </c>
      <c r="BN209" s="28">
        <f t="shared" si="923"/>
        <v>189882</v>
      </c>
      <c r="BO209" s="28">
        <f t="shared" si="923"/>
        <v>0</v>
      </c>
      <c r="BP209" s="28">
        <f t="shared" si="923"/>
        <v>0</v>
      </c>
      <c r="BQ209" s="28">
        <f t="shared" si="923"/>
        <v>1880205</v>
      </c>
      <c r="BR209" s="118">
        <f t="shared" si="713"/>
        <v>-2.8573173981127978E-2</v>
      </c>
      <c r="BS209" s="58">
        <f t="shared" ref="BS209:CD209" si="924">+SUM(BS210:BS213)</f>
        <v>186159.15801000001</v>
      </c>
      <c r="BT209" s="58">
        <f t="shared" si="924"/>
        <v>186159.15801000001</v>
      </c>
      <c r="BU209" s="58">
        <f t="shared" si="924"/>
        <v>186159.15801000001</v>
      </c>
      <c r="BV209" s="58">
        <f t="shared" si="924"/>
        <v>186159.15801000001</v>
      </c>
      <c r="BW209" s="58">
        <f t="shared" si="924"/>
        <v>186159.15801000001</v>
      </c>
      <c r="BX209" s="58">
        <f t="shared" si="924"/>
        <v>195467.11591050003</v>
      </c>
      <c r="BY209" s="58">
        <f t="shared" si="924"/>
        <v>195467.11591050003</v>
      </c>
      <c r="BZ209" s="58">
        <f t="shared" si="924"/>
        <v>195467.11591050003</v>
      </c>
      <c r="CA209" s="58">
        <f t="shared" si="924"/>
        <v>195467.11591050003</v>
      </c>
      <c r="CB209" s="58">
        <f t="shared" si="924"/>
        <v>195467.11591050003</v>
      </c>
      <c r="CC209" s="58">
        <f t="shared" si="924"/>
        <v>195467.11591050003</v>
      </c>
      <c r="CD209" s="58">
        <f t="shared" si="924"/>
        <v>195467.11591050003</v>
      </c>
      <c r="CE209" s="58">
        <f>+SUM(BS209:CD209)</f>
        <v>2299065.6014235001</v>
      </c>
      <c r="CF209" s="22"/>
      <c r="CG209" s="28">
        <f t="shared" ref="CG209:CR209" si="925">+SUM(CG210:CG213)</f>
        <v>114852.9</v>
      </c>
      <c r="CH209" s="28">
        <f t="shared" si="925"/>
        <v>114852.9</v>
      </c>
      <c r="CI209" s="28">
        <f t="shared" si="925"/>
        <v>114852.9</v>
      </c>
      <c r="CJ209" s="28">
        <f t="shared" si="925"/>
        <v>114852.9</v>
      </c>
      <c r="CK209" s="28">
        <f t="shared" si="925"/>
        <v>114852.9</v>
      </c>
      <c r="CL209" s="28">
        <f t="shared" si="925"/>
        <v>114852.9</v>
      </c>
      <c r="CM209" s="28">
        <f t="shared" si="925"/>
        <v>81252.899999999994</v>
      </c>
      <c r="CN209" s="28">
        <f t="shared" si="925"/>
        <v>81252.899999999994</v>
      </c>
      <c r="CO209" s="28">
        <f t="shared" si="925"/>
        <v>87938.099999999991</v>
      </c>
      <c r="CP209" s="28">
        <f t="shared" si="925"/>
        <v>84595.5</v>
      </c>
      <c r="CQ209" s="28">
        <f t="shared" si="925"/>
        <v>84595.5</v>
      </c>
      <c r="CR209" s="28">
        <f t="shared" si="925"/>
        <v>84595.5</v>
      </c>
      <c r="CS209" s="58">
        <f>+SUM(CG209:CR209)</f>
        <v>1193347.8</v>
      </c>
      <c r="CT209" s="20" t="str">
        <f t="shared" si="886"/>
        <v>Rent Expenses</v>
      </c>
      <c r="CU209" s="28">
        <f t="shared" ref="CU209:DG209" si="926">+SUM(CU210:CU213)</f>
        <v>84595.5</v>
      </c>
      <c r="CV209" s="28">
        <f t="shared" si="926"/>
        <v>84595.5</v>
      </c>
      <c r="CW209" s="28">
        <f t="shared" si="926"/>
        <v>84595.5</v>
      </c>
      <c r="CX209" s="28">
        <f t="shared" si="926"/>
        <v>84595.5</v>
      </c>
      <c r="CY209" s="28">
        <f t="shared" si="926"/>
        <v>84595.5</v>
      </c>
      <c r="CZ209" s="28">
        <f t="shared" si="926"/>
        <v>84595.5</v>
      </c>
      <c r="DA209" s="28">
        <f t="shared" si="926"/>
        <v>84595.5</v>
      </c>
      <c r="DB209" s="28">
        <f t="shared" si="926"/>
        <v>84595.5</v>
      </c>
      <c r="DC209" s="28">
        <f t="shared" si="926"/>
        <v>88105.2</v>
      </c>
      <c r="DD209" s="28">
        <f t="shared" si="926"/>
        <v>88105.2</v>
      </c>
      <c r="DE209" s="28">
        <f t="shared" si="926"/>
        <v>0</v>
      </c>
      <c r="DF209" s="28">
        <f t="shared" si="926"/>
        <v>0</v>
      </c>
      <c r="DG209" s="28">
        <f t="shared" si="926"/>
        <v>852974.39999999991</v>
      </c>
      <c r="DH209" s="118">
        <f t="shared" si="717"/>
        <v>-0.27607730487301368</v>
      </c>
      <c r="DI209" s="28">
        <f t="shared" ref="DI209:DT209" si="927">+SUM(DI210:DI213)</f>
        <v>118195.48593750001</v>
      </c>
      <c r="DJ209" s="28">
        <f t="shared" si="927"/>
        <v>118195.48593750001</v>
      </c>
      <c r="DK209" s="28">
        <f t="shared" si="927"/>
        <v>118195.48593750001</v>
      </c>
      <c r="DL209" s="28">
        <f t="shared" si="927"/>
        <v>118195.48593750001</v>
      </c>
      <c r="DM209" s="28">
        <f t="shared" si="927"/>
        <v>118195.48593750001</v>
      </c>
      <c r="DN209" s="28">
        <f t="shared" si="927"/>
        <v>118195.48593750001</v>
      </c>
      <c r="DO209" s="28">
        <f t="shared" si="927"/>
        <v>118195.48593750001</v>
      </c>
      <c r="DP209" s="28">
        <f t="shared" si="927"/>
        <v>118195.48593750001</v>
      </c>
      <c r="DQ209" s="28">
        <f t="shared" si="927"/>
        <v>121705.26023437502</v>
      </c>
      <c r="DR209" s="28">
        <f t="shared" si="927"/>
        <v>121705.26023437502</v>
      </c>
      <c r="DS209" s="28">
        <f t="shared" si="927"/>
        <v>121705.26023437502</v>
      </c>
      <c r="DT209" s="28">
        <f t="shared" si="927"/>
        <v>121705.26023437502</v>
      </c>
      <c r="DU209" s="58">
        <f>+SUM(DI209:DT209)</f>
        <v>1432384.9284375003</v>
      </c>
      <c r="DW209" s="28">
        <f t="shared" ref="DW209:EH209" si="928">+SUM(DW210:DW213)</f>
        <v>0</v>
      </c>
      <c r="DX209" s="28">
        <f t="shared" si="928"/>
        <v>0</v>
      </c>
      <c r="DY209" s="28">
        <f t="shared" si="928"/>
        <v>0</v>
      </c>
      <c r="DZ209" s="28">
        <f t="shared" si="928"/>
        <v>0</v>
      </c>
      <c r="EA209" s="28">
        <f t="shared" si="928"/>
        <v>0</v>
      </c>
      <c r="EB209" s="28">
        <f t="shared" si="928"/>
        <v>0</v>
      </c>
      <c r="EC209" s="28">
        <f t="shared" si="928"/>
        <v>0</v>
      </c>
      <c r="ED209" s="28">
        <f t="shared" si="928"/>
        <v>0</v>
      </c>
      <c r="EE209" s="28">
        <f t="shared" si="928"/>
        <v>0</v>
      </c>
      <c r="EF209" s="28">
        <f t="shared" si="928"/>
        <v>0</v>
      </c>
      <c r="EG209" s="28">
        <f t="shared" si="928"/>
        <v>0</v>
      </c>
      <c r="EH209" s="28">
        <f t="shared" si="928"/>
        <v>0</v>
      </c>
      <c r="EI209" s="58">
        <f>+SUM(DW209:EH209)</f>
        <v>0</v>
      </c>
      <c r="EJ209" s="20" t="str">
        <f t="shared" si="887"/>
        <v>Rent Expenses</v>
      </c>
      <c r="EK209" s="28">
        <f t="shared" ref="EK209:EW209" si="929">+SUM(EK210:EK213)</f>
        <v>267000</v>
      </c>
      <c r="EL209" s="28">
        <f t="shared" si="929"/>
        <v>267000</v>
      </c>
      <c r="EM209" s="28">
        <f t="shared" si="929"/>
        <v>267000</v>
      </c>
      <c r="EN209" s="28">
        <f t="shared" si="929"/>
        <v>267000</v>
      </c>
      <c r="EO209" s="28">
        <f t="shared" si="929"/>
        <v>267000</v>
      </c>
      <c r="EP209" s="28">
        <f t="shared" si="929"/>
        <v>267000</v>
      </c>
      <c r="EQ209" s="28">
        <f t="shared" si="929"/>
        <v>267000</v>
      </c>
      <c r="ER209" s="28">
        <f t="shared" si="929"/>
        <v>445000</v>
      </c>
      <c r="ES209" s="28">
        <f t="shared" si="929"/>
        <v>267000</v>
      </c>
      <c r="ET209" s="28">
        <f t="shared" si="929"/>
        <v>267000</v>
      </c>
      <c r="EU209" s="28">
        <f t="shared" si="929"/>
        <v>0</v>
      </c>
      <c r="EV209" s="28">
        <f t="shared" si="929"/>
        <v>0</v>
      </c>
      <c r="EW209" s="28">
        <f t="shared" si="929"/>
        <v>2848000</v>
      </c>
      <c r="EX209" s="118">
        <f t="shared" si="721"/>
        <v>-1.1111111111111112E-2</v>
      </c>
      <c r="EY209" s="28">
        <f t="shared" ref="EY209:FJ209" si="930">+SUM(EY210:EY213)</f>
        <v>270000</v>
      </c>
      <c r="EZ209" s="28">
        <f t="shared" si="930"/>
        <v>270000</v>
      </c>
      <c r="FA209" s="28">
        <f t="shared" si="930"/>
        <v>270000</v>
      </c>
      <c r="FB209" s="28">
        <f t="shared" si="930"/>
        <v>270000</v>
      </c>
      <c r="FC209" s="28">
        <f t="shared" si="930"/>
        <v>270000</v>
      </c>
      <c r="FD209" s="28">
        <f t="shared" si="930"/>
        <v>270000</v>
      </c>
      <c r="FE209" s="28">
        <f t="shared" si="930"/>
        <v>270000</v>
      </c>
      <c r="FF209" s="28">
        <f t="shared" si="930"/>
        <v>270000</v>
      </c>
      <c r="FG209" s="28">
        <f t="shared" si="930"/>
        <v>270000</v>
      </c>
      <c r="FH209" s="28">
        <f t="shared" si="930"/>
        <v>270000</v>
      </c>
      <c r="FI209" s="28">
        <f t="shared" si="930"/>
        <v>270000</v>
      </c>
      <c r="FJ209" s="28">
        <f t="shared" si="930"/>
        <v>270000</v>
      </c>
      <c r="FK209" s="58">
        <f>+SUM(EY209:FJ209)</f>
        <v>3240000</v>
      </c>
    </row>
    <row r="210" spans="1:167" ht="14.45" hidden="1" customHeight="1" outlineLevel="2">
      <c r="A210" s="106">
        <f t="shared" ref="A210:L213" si="931">+AQ210+CG210+DW210</f>
        <v>0</v>
      </c>
      <c r="B210" s="106">
        <f t="shared" si="931"/>
        <v>0</v>
      </c>
      <c r="C210" s="106">
        <f t="shared" si="931"/>
        <v>0</v>
      </c>
      <c r="D210" s="106">
        <f t="shared" si="931"/>
        <v>0</v>
      </c>
      <c r="E210" s="106">
        <f t="shared" si="931"/>
        <v>0</v>
      </c>
      <c r="F210" s="106">
        <f t="shared" si="931"/>
        <v>0</v>
      </c>
      <c r="G210" s="106">
        <f t="shared" si="931"/>
        <v>0</v>
      </c>
      <c r="H210" s="106">
        <f t="shared" si="931"/>
        <v>0</v>
      </c>
      <c r="I210" s="106">
        <f t="shared" si="931"/>
        <v>0</v>
      </c>
      <c r="J210" s="106">
        <f>+AZ210+CP210+EF210</f>
        <v>0</v>
      </c>
      <c r="K210" s="106">
        <f t="shared" si="931"/>
        <v>0</v>
      </c>
      <c r="L210" s="106">
        <f t="shared" si="931"/>
        <v>0</v>
      </c>
      <c r="M210" s="106">
        <f>+BC210+CS210+EI210</f>
        <v>0</v>
      </c>
      <c r="N210" s="16" t="s">
        <v>176</v>
      </c>
      <c r="O210" s="22">
        <f t="shared" ref="O210:AA213" si="932">+BE210+CU210+EK210</f>
        <v>0</v>
      </c>
      <c r="P210" s="22">
        <f t="shared" si="932"/>
        <v>0</v>
      </c>
      <c r="Q210" s="22">
        <f t="shared" si="932"/>
        <v>0</v>
      </c>
      <c r="R210" s="22">
        <f t="shared" si="932"/>
        <v>0</v>
      </c>
      <c r="S210" s="22">
        <f t="shared" si="932"/>
        <v>0</v>
      </c>
      <c r="T210" s="22">
        <f t="shared" si="932"/>
        <v>0</v>
      </c>
      <c r="U210" s="22">
        <f t="shared" si="932"/>
        <v>0</v>
      </c>
      <c r="V210" s="22">
        <f t="shared" si="932"/>
        <v>0</v>
      </c>
      <c r="W210" s="22">
        <f t="shared" si="932"/>
        <v>0</v>
      </c>
      <c r="X210" s="22">
        <f t="shared" si="932"/>
        <v>0</v>
      </c>
      <c r="Y210" s="22">
        <f t="shared" si="932"/>
        <v>0</v>
      </c>
      <c r="Z210" s="22">
        <f t="shared" si="932"/>
        <v>0</v>
      </c>
      <c r="AA210" s="22">
        <f t="shared" si="932"/>
        <v>0</v>
      </c>
      <c r="AB210" s="118">
        <f t="shared" si="708"/>
        <v>0</v>
      </c>
      <c r="AC210" s="22">
        <f t="shared" ref="AC210:AN213" si="933">+BS210+DI210+EY210</f>
        <v>0</v>
      </c>
      <c r="AD210" s="22">
        <f t="shared" si="933"/>
        <v>0</v>
      </c>
      <c r="AE210" s="22">
        <f t="shared" si="933"/>
        <v>0</v>
      </c>
      <c r="AF210" s="22">
        <f t="shared" si="933"/>
        <v>0</v>
      </c>
      <c r="AG210" s="22">
        <f t="shared" si="933"/>
        <v>0</v>
      </c>
      <c r="AH210" s="22">
        <f t="shared" si="933"/>
        <v>0</v>
      </c>
      <c r="AI210" s="22">
        <f t="shared" si="933"/>
        <v>0</v>
      </c>
      <c r="AJ210" s="22">
        <f t="shared" si="933"/>
        <v>0</v>
      </c>
      <c r="AK210" s="22">
        <f t="shared" si="933"/>
        <v>0</v>
      </c>
      <c r="AL210" s="22">
        <f t="shared" si="933"/>
        <v>0</v>
      </c>
      <c r="AM210" s="22">
        <f t="shared" si="933"/>
        <v>0</v>
      </c>
      <c r="AN210" s="22">
        <f t="shared" si="933"/>
        <v>0</v>
      </c>
      <c r="AO210" s="22">
        <f t="shared" ref="AO210:AO213" si="934">+SUM(AC210:AN210)</f>
        <v>0</v>
      </c>
      <c r="AQ210" s="106">
        <v>0</v>
      </c>
      <c r="AR210" s="106">
        <v>0</v>
      </c>
      <c r="AS210" s="106">
        <v>0</v>
      </c>
      <c r="AT210" s="106">
        <v>0</v>
      </c>
      <c r="AU210" s="106">
        <v>0</v>
      </c>
      <c r="AV210" s="106">
        <v>0</v>
      </c>
      <c r="AW210" s="106">
        <v>0</v>
      </c>
      <c r="AX210" s="106">
        <v>0</v>
      </c>
      <c r="AY210" s="106">
        <v>0</v>
      </c>
      <c r="AZ210" s="106">
        <v>0</v>
      </c>
      <c r="BA210" s="106">
        <v>0</v>
      </c>
      <c r="BB210" s="106">
        <v>0</v>
      </c>
      <c r="BC210" s="106">
        <f t="shared" ref="BC210:BC213" si="935">+SUM(AQ210:BB210)</f>
        <v>0</v>
      </c>
      <c r="BD210" s="16" t="str">
        <f t="shared" si="885"/>
        <v>Rent Machinery</v>
      </c>
      <c r="BE210" s="22">
        <f>+VLOOKUP($BD210,'Jan-25'!$A:$J,4,0)</f>
        <v>0</v>
      </c>
      <c r="BF210" s="22">
        <f>+VLOOKUP($BD210,'Feb-25'!$A:$J,4,0)</f>
        <v>0</v>
      </c>
      <c r="BG210" s="22">
        <f>+VLOOKUP($BD210,'Mar-25'!$A:$J,4,0)</f>
        <v>0</v>
      </c>
      <c r="BH210" s="22">
        <f>+VLOOKUP($BD210,'Apr-25'!$A:$J,4,0)</f>
        <v>0</v>
      </c>
      <c r="BI210" s="22">
        <f>+VLOOKUP($BD210,'May-25'!$A:$J,4,0)</f>
        <v>0</v>
      </c>
      <c r="BJ210" s="22">
        <f>+VLOOKUP($BD210,'June-25'!$A:$J,4,0)</f>
        <v>0</v>
      </c>
      <c r="BK210" s="22">
        <f>+VLOOKUP($BD210,'July-25'!$A:$J,4,0)</f>
        <v>0</v>
      </c>
      <c r="BL210" s="22">
        <f>+VLOOKUP($BD210,'Aug-25'!$A:$J,4,0)</f>
        <v>0</v>
      </c>
      <c r="BM210" s="22">
        <f>+VLOOKUP($BD210,'Sep-25'!$A:$J,4,0)</f>
        <v>0</v>
      </c>
      <c r="BN210" s="22">
        <f>+VLOOKUP($BD210,'Oct-25'!$A:$J,4,0)</f>
        <v>0</v>
      </c>
      <c r="BO210" s="22">
        <f>+VLOOKUP($BD210,'Nov-25'!$A:$J,4,0)</f>
        <v>0</v>
      </c>
      <c r="BP210" s="22">
        <f>+VLOOKUP($BD210,'Dec-25'!$A:$J,4,0)</f>
        <v>0</v>
      </c>
      <c r="BQ210" s="22">
        <f t="shared" ref="BQ210:BQ213" si="936">+SUM(BE210:BP210)</f>
        <v>0</v>
      </c>
      <c r="BR210" s="118">
        <f t="shared" si="713"/>
        <v>0</v>
      </c>
      <c r="BS210" s="106">
        <f>+_xlfn.XLOOKUP($BD210,Budget!$A:$A,Budget!AQ:AQ)</f>
        <v>0</v>
      </c>
      <c r="BT210" s="106">
        <f>+_xlfn.XLOOKUP($BD210,Budget!$A:$A,Budget!AR:AR)</f>
        <v>0</v>
      </c>
      <c r="BU210" s="106">
        <f>+_xlfn.XLOOKUP($BD210,Budget!$A:$A,Budget!AS:AS)</f>
        <v>0</v>
      </c>
      <c r="BV210" s="106">
        <f>+_xlfn.XLOOKUP($BD210,Budget!$A:$A,Budget!AT:AT)</f>
        <v>0</v>
      </c>
      <c r="BW210" s="106">
        <f>+_xlfn.XLOOKUP($BD210,Budget!$A:$A,Budget!AU:AU)</f>
        <v>0</v>
      </c>
      <c r="BX210" s="106">
        <f>+_xlfn.XLOOKUP($BD210,Budget!$A:$A,Budget!AV:AV)</f>
        <v>0</v>
      </c>
      <c r="BY210" s="106">
        <f>+_xlfn.XLOOKUP($BD210,Budget!$A:$A,Budget!AW:AW)</f>
        <v>0</v>
      </c>
      <c r="BZ210" s="106">
        <f>+_xlfn.XLOOKUP($BD210,Budget!$A:$A,Budget!AX:AX)</f>
        <v>0</v>
      </c>
      <c r="CA210" s="106">
        <f>+_xlfn.XLOOKUP($BD210,Budget!$A:$A,Budget!AY:AY)</f>
        <v>0</v>
      </c>
      <c r="CB210" s="106">
        <f>+_xlfn.XLOOKUP($BD210,Budget!$A:$A,Budget!AZ:AZ)</f>
        <v>0</v>
      </c>
      <c r="CC210" s="106">
        <f>+_xlfn.XLOOKUP($BD210,Budget!$A:$A,Budget!BA:BA)</f>
        <v>0</v>
      </c>
      <c r="CD210" s="106">
        <f>+_xlfn.XLOOKUP($BD210,Budget!$A:$A,Budget!BB:BB)</f>
        <v>0</v>
      </c>
      <c r="CE210" s="106">
        <f t="shared" ref="CE210:CE213" si="937">+SUM(BS210:CD210)</f>
        <v>0</v>
      </c>
      <c r="CF210" s="22"/>
      <c r="CG210" s="22">
        <v>0</v>
      </c>
      <c r="CH210" s="22">
        <v>0</v>
      </c>
      <c r="CI210" s="22">
        <v>0</v>
      </c>
      <c r="CJ210" s="22">
        <v>0</v>
      </c>
      <c r="CK210" s="22">
        <v>0</v>
      </c>
      <c r="CL210" s="22">
        <v>0</v>
      </c>
      <c r="CM210" s="22">
        <v>0</v>
      </c>
      <c r="CN210" s="22">
        <v>0</v>
      </c>
      <c r="CO210" s="22">
        <v>0</v>
      </c>
      <c r="CP210" s="22">
        <v>0</v>
      </c>
      <c r="CQ210" s="22">
        <v>0</v>
      </c>
      <c r="CR210" s="22">
        <v>0</v>
      </c>
      <c r="CS210" s="106">
        <f t="shared" ref="CS210:CS213" si="938">+SUM(CG210:CR210)</f>
        <v>0</v>
      </c>
      <c r="CT210" s="16" t="str">
        <f t="shared" si="886"/>
        <v>Rent Machinery</v>
      </c>
      <c r="CU210" s="22">
        <f>+VLOOKUP($BD210,'Jan-25'!$A:$J,7,0)</f>
        <v>0</v>
      </c>
      <c r="CV210" s="22">
        <f>+VLOOKUP($BD210,'Feb-25'!$A:$J,7,0)</f>
        <v>0</v>
      </c>
      <c r="CW210" s="22">
        <f>+VLOOKUP($BD210,'Mar-25'!$A:$J,7,0)</f>
        <v>0</v>
      </c>
      <c r="CX210" s="22">
        <f>+VLOOKUP($BD210,'Apr-25'!$A:$J,7,0)</f>
        <v>0</v>
      </c>
      <c r="CY210" s="22">
        <f>+VLOOKUP($BD210,'May-25'!$A:$J,7,0)</f>
        <v>0</v>
      </c>
      <c r="CZ210" s="22">
        <f>+VLOOKUP($BD210,'June-25'!$A:$J,7,0)</f>
        <v>0</v>
      </c>
      <c r="DA210" s="22">
        <f>+VLOOKUP($BD210,'July-25'!$A:$J,7,0)</f>
        <v>0</v>
      </c>
      <c r="DB210" s="22">
        <f>+VLOOKUP($BD210,'Aug-25'!$A:$J,7,0)</f>
        <v>0</v>
      </c>
      <c r="DC210" s="22">
        <f>+VLOOKUP($BD210,'Sep-25'!$A:$J,7,0)</f>
        <v>0</v>
      </c>
      <c r="DD210" s="22">
        <f>+VLOOKUP($BD210,'Oct-25'!$A:$J,7,0)</f>
        <v>0</v>
      </c>
      <c r="DE210" s="22">
        <f>+VLOOKUP($BD210,'Nov-25'!$A:$J,7,0)</f>
        <v>0</v>
      </c>
      <c r="DF210" s="22">
        <f>+VLOOKUP($BD210,'Dec-25'!$A:$J,7,0)</f>
        <v>0</v>
      </c>
      <c r="DG210" s="22">
        <f t="shared" ref="DG210:DG213" si="939">+SUM(CU210:DF210)</f>
        <v>0</v>
      </c>
      <c r="DH210" s="118">
        <f t="shared" si="717"/>
        <v>0</v>
      </c>
      <c r="DI210" s="22">
        <f>+_xlfn.XLOOKUP($CT210,Budget!$A:$A,Budget!CD:CD)</f>
        <v>0</v>
      </c>
      <c r="DJ210" s="22">
        <f>+_xlfn.XLOOKUP($CT210,Budget!$A:$A,Budget!CE:CE)</f>
        <v>0</v>
      </c>
      <c r="DK210" s="22">
        <f>+_xlfn.XLOOKUP($CT210,Budget!$A:$A,Budget!CF:CF)</f>
        <v>0</v>
      </c>
      <c r="DL210" s="22">
        <f>+_xlfn.XLOOKUP($CT210,Budget!$A:$A,Budget!CG:CG)</f>
        <v>0</v>
      </c>
      <c r="DM210" s="22">
        <f>+_xlfn.XLOOKUP($CT210,Budget!$A:$A,Budget!CH:CH)</f>
        <v>0</v>
      </c>
      <c r="DN210" s="22">
        <f>+_xlfn.XLOOKUP($CT210,Budget!$A:$A,Budget!CI:CI)</f>
        <v>0</v>
      </c>
      <c r="DO210" s="22">
        <f>+_xlfn.XLOOKUP($CT210,Budget!$A:$A,Budget!CJ:CJ)</f>
        <v>0</v>
      </c>
      <c r="DP210" s="22">
        <f>+_xlfn.XLOOKUP($CT210,Budget!$A:$A,Budget!CK:CK)</f>
        <v>0</v>
      </c>
      <c r="DQ210" s="22">
        <f>+_xlfn.XLOOKUP($CT210,Budget!$A:$A,Budget!CL:CL)</f>
        <v>0</v>
      </c>
      <c r="DR210" s="22">
        <f>+_xlfn.XLOOKUP($CT210,Budget!$A:$A,Budget!CM:CM)</f>
        <v>0</v>
      </c>
      <c r="DS210" s="22">
        <f>+_xlfn.XLOOKUP($CT210,Budget!$A:$A,Budget!CN:CN)</f>
        <v>0</v>
      </c>
      <c r="DT210" s="22">
        <f>+_xlfn.XLOOKUP($CT210,Budget!$A:$A,Budget!CO:CO)</f>
        <v>0</v>
      </c>
      <c r="DU210" s="106">
        <f t="shared" ref="DU210:DU213" si="940">+SUM(DI210:DT210)</f>
        <v>0</v>
      </c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106">
        <f t="shared" ref="EI210:EI213" si="941">+SUM(DW210:EH210)</f>
        <v>0</v>
      </c>
      <c r="EJ210" s="16" t="str">
        <f t="shared" si="887"/>
        <v>Rent Machinery</v>
      </c>
      <c r="EK210" s="22">
        <f>+VLOOKUP($BD210,'Jan-25'!$A:$J,9,0)</f>
        <v>0</v>
      </c>
      <c r="EL210" s="22">
        <f>+VLOOKUP($BD210,'Feb-25'!$A:$J,9,0)</f>
        <v>0</v>
      </c>
      <c r="EM210" s="22">
        <f>+VLOOKUP($BD210,'Mar-25'!$A:$J,9,0)</f>
        <v>0</v>
      </c>
      <c r="EN210" s="22">
        <f>+VLOOKUP($BD210,'Apr-25'!$A:$J,9,0)</f>
        <v>0</v>
      </c>
      <c r="EO210" s="22">
        <f>+VLOOKUP($BD210,'May-25'!$A:$J,9,0)</f>
        <v>0</v>
      </c>
      <c r="EP210" s="22">
        <f>+VLOOKUP($BD210,'June-25'!$A:$J,9,0)</f>
        <v>0</v>
      </c>
      <c r="EQ210" s="22">
        <f>+VLOOKUP($BD210,'July-25'!$A:$J,9,0)</f>
        <v>0</v>
      </c>
      <c r="ER210" s="22">
        <f>+VLOOKUP($BD210,'Aug-25'!$A:$J,9,0)</f>
        <v>0</v>
      </c>
      <c r="ES210" s="22">
        <f>+VLOOKUP($BD210,'Sep-25'!$A:$J,9,0)</f>
        <v>0</v>
      </c>
      <c r="ET210" s="22">
        <f>+VLOOKUP($BD210,'Oct-25'!$A:$J,9,0)</f>
        <v>0</v>
      </c>
      <c r="EU210" s="22">
        <f>+VLOOKUP($BD210,'Nov-25'!$A:$J,9,0)</f>
        <v>0</v>
      </c>
      <c r="EV210" s="22">
        <f>+VLOOKUP($BD210,'Dec-25'!$A:$J,9,0)</f>
        <v>0</v>
      </c>
      <c r="EW210" s="22">
        <f t="shared" ref="EW210:EW213" si="942">+SUM(EK210:EV210)</f>
        <v>0</v>
      </c>
      <c r="EX210" s="118">
        <f t="shared" si="721"/>
        <v>0</v>
      </c>
      <c r="EY210" s="22">
        <f>+_xlfn.XLOOKUP($EJ210,Budget!$A:$A,Budget!DE:DE)</f>
        <v>0</v>
      </c>
      <c r="EZ210" s="22">
        <f>+_xlfn.XLOOKUP($EJ210,Budget!$A:$A,Budget!DF:DF)</f>
        <v>0</v>
      </c>
      <c r="FA210" s="22">
        <f>+_xlfn.XLOOKUP($EJ210,Budget!$A:$A,Budget!DG:DG)</f>
        <v>0</v>
      </c>
      <c r="FB210" s="22">
        <f>+_xlfn.XLOOKUP($EJ210,Budget!$A:$A,Budget!DH:DH)</f>
        <v>0</v>
      </c>
      <c r="FC210" s="22">
        <f>+_xlfn.XLOOKUP($EJ210,Budget!$A:$A,Budget!DI:DI)</f>
        <v>0</v>
      </c>
      <c r="FD210" s="22">
        <f>+_xlfn.XLOOKUP($EJ210,Budget!$A:$A,Budget!DJ:DJ)</f>
        <v>0</v>
      </c>
      <c r="FE210" s="22">
        <f>+_xlfn.XLOOKUP($EJ210,Budget!$A:$A,Budget!DK:DK)</f>
        <v>0</v>
      </c>
      <c r="FF210" s="22">
        <f>+_xlfn.XLOOKUP($EJ210,Budget!$A:$A,Budget!DL:DL)</f>
        <v>0</v>
      </c>
      <c r="FG210" s="22">
        <f>+_xlfn.XLOOKUP($EJ210,Budget!$A:$A,Budget!DM:DM)</f>
        <v>0</v>
      </c>
      <c r="FH210" s="22">
        <f>+_xlfn.XLOOKUP($EJ210,Budget!$A:$A,Budget!DN:DN)</f>
        <v>0</v>
      </c>
      <c r="FI210" s="22">
        <f>+_xlfn.XLOOKUP($EJ210,Budget!$A:$A,Budget!DO:DO)</f>
        <v>0</v>
      </c>
      <c r="FJ210" s="22">
        <f>+_xlfn.XLOOKUP($EJ210,Budget!$A:$A,Budget!DP:DP)</f>
        <v>0</v>
      </c>
      <c r="FK210" s="106">
        <f t="shared" ref="FK210:FK213" si="943">+SUM(EY210:FJ210)</f>
        <v>0</v>
      </c>
    </row>
    <row r="211" spans="1:167" ht="14.45" hidden="1" customHeight="1" outlineLevel="2">
      <c r="A211" s="106">
        <f t="shared" si="931"/>
        <v>244147.5</v>
      </c>
      <c r="B211" s="106">
        <f t="shared" si="931"/>
        <v>244147.5</v>
      </c>
      <c r="C211" s="106">
        <f t="shared" si="931"/>
        <v>244147.5</v>
      </c>
      <c r="D211" s="106">
        <f t="shared" si="931"/>
        <v>244147.5</v>
      </c>
      <c r="E211" s="106">
        <f t="shared" si="931"/>
        <v>244147.5</v>
      </c>
      <c r="F211" s="106">
        <f t="shared" si="931"/>
        <v>253012.22999999998</v>
      </c>
      <c r="G211" s="106">
        <f t="shared" si="931"/>
        <v>253011.9</v>
      </c>
      <c r="H211" s="106">
        <f t="shared" si="931"/>
        <v>253011.9</v>
      </c>
      <c r="I211" s="106">
        <f t="shared" si="931"/>
        <v>259697.09999999998</v>
      </c>
      <c r="J211" s="106">
        <f>+AZ211+CP211+EF211</f>
        <v>256354.5</v>
      </c>
      <c r="K211" s="106">
        <f t="shared" si="931"/>
        <v>256354.5</v>
      </c>
      <c r="L211" s="106">
        <f t="shared" si="931"/>
        <v>256354.5</v>
      </c>
      <c r="M211" s="106">
        <f>+BC211+CS211+EI211</f>
        <v>3008534.13</v>
      </c>
      <c r="N211" s="16" t="s">
        <v>177</v>
      </c>
      <c r="O211" s="22">
        <f t="shared" si="932"/>
        <v>523354.5</v>
      </c>
      <c r="P211" s="22">
        <f t="shared" si="932"/>
        <v>523354.5</v>
      </c>
      <c r="Q211" s="22">
        <f t="shared" si="932"/>
        <v>523354.5</v>
      </c>
      <c r="R211" s="22">
        <f t="shared" si="932"/>
        <v>523354.5</v>
      </c>
      <c r="S211" s="22">
        <f t="shared" si="932"/>
        <v>523354.5</v>
      </c>
      <c r="T211" s="22">
        <f t="shared" si="932"/>
        <v>523354.5</v>
      </c>
      <c r="U211" s="22">
        <f t="shared" si="932"/>
        <v>523354.5</v>
      </c>
      <c r="V211" s="22">
        <f t="shared" si="932"/>
        <v>701354.5</v>
      </c>
      <c r="W211" s="22">
        <f t="shared" si="932"/>
        <v>541756.19999999995</v>
      </c>
      <c r="X211" s="22">
        <f t="shared" si="932"/>
        <v>530587.19999999995</v>
      </c>
      <c r="Y211" s="22">
        <f t="shared" si="932"/>
        <v>0</v>
      </c>
      <c r="Z211" s="22">
        <f t="shared" si="932"/>
        <v>0</v>
      </c>
      <c r="AA211" s="22">
        <f t="shared" si="932"/>
        <v>5437179.4000000004</v>
      </c>
      <c r="AB211" s="118">
        <f t="shared" si="708"/>
        <v>-1.5922878331155993E-2</v>
      </c>
      <c r="AC211" s="22">
        <f t="shared" si="933"/>
        <v>526354.64394750004</v>
      </c>
      <c r="AD211" s="22">
        <f t="shared" si="933"/>
        <v>526354.64394750004</v>
      </c>
      <c r="AE211" s="22">
        <f t="shared" si="933"/>
        <v>526354.64394750004</v>
      </c>
      <c r="AF211" s="22">
        <f t="shared" si="933"/>
        <v>526354.64394750004</v>
      </c>
      <c r="AG211" s="22">
        <f t="shared" si="933"/>
        <v>526354.64394750004</v>
      </c>
      <c r="AH211" s="22">
        <f t="shared" si="933"/>
        <v>535662.60184799996</v>
      </c>
      <c r="AI211" s="22">
        <f t="shared" si="933"/>
        <v>535662.60184799996</v>
      </c>
      <c r="AJ211" s="22">
        <f t="shared" si="933"/>
        <v>535662.60184799996</v>
      </c>
      <c r="AK211" s="22">
        <f t="shared" si="933"/>
        <v>539172.37614487507</v>
      </c>
      <c r="AL211" s="22">
        <f t="shared" si="933"/>
        <v>539172.37614487507</v>
      </c>
      <c r="AM211" s="22">
        <f t="shared" si="933"/>
        <v>539172.37614487507</v>
      </c>
      <c r="AN211" s="22">
        <f t="shared" si="933"/>
        <v>539172.37614487507</v>
      </c>
      <c r="AO211" s="22">
        <f t="shared" si="934"/>
        <v>6395450.5298609985</v>
      </c>
      <c r="AQ211" s="106">
        <v>177294.6</v>
      </c>
      <c r="AR211" s="106">
        <v>177294.6</v>
      </c>
      <c r="AS211" s="106">
        <v>177294.6</v>
      </c>
      <c r="AT211" s="106">
        <v>177294.6</v>
      </c>
      <c r="AU211" s="106">
        <v>177294.6</v>
      </c>
      <c r="AV211" s="106">
        <v>186159.33</v>
      </c>
      <c r="AW211" s="106">
        <v>186159</v>
      </c>
      <c r="AX211" s="106">
        <v>186159</v>
      </c>
      <c r="AY211" s="106">
        <v>186159</v>
      </c>
      <c r="AZ211" s="106">
        <v>186159</v>
      </c>
      <c r="BA211" s="106">
        <v>186159</v>
      </c>
      <c r="BB211" s="106">
        <v>186159</v>
      </c>
      <c r="BC211" s="106">
        <f t="shared" si="935"/>
        <v>2189586.33</v>
      </c>
      <c r="BD211" s="16" t="str">
        <f t="shared" si="885"/>
        <v>Rent Service</v>
      </c>
      <c r="BE211" s="22">
        <f>+VLOOKUP($BD211,'Jan-25'!$A:$J,4,0)</f>
        <v>186159</v>
      </c>
      <c r="BF211" s="22">
        <f>+VLOOKUP($BD211,'Feb-25'!$A:$J,4,0)</f>
        <v>186159</v>
      </c>
      <c r="BG211" s="22">
        <f>+VLOOKUP($BD211,'Mar-25'!$A:$J,4,0)</f>
        <v>186159</v>
      </c>
      <c r="BH211" s="22">
        <f>+VLOOKUP($BD211,'Apr-25'!$A:$J,4,0)</f>
        <v>186159</v>
      </c>
      <c r="BI211" s="22">
        <f>+VLOOKUP($BD211,'May-25'!$A:$J,4,0)</f>
        <v>186159</v>
      </c>
      <c r="BJ211" s="22">
        <f>+VLOOKUP($BD211,'June-25'!$A:$J,4,0)</f>
        <v>186159</v>
      </c>
      <c r="BK211" s="22">
        <f>+VLOOKUP($BD211,'July-25'!$A:$J,4,0)</f>
        <v>186159</v>
      </c>
      <c r="BL211" s="22">
        <f>+VLOOKUP($BD211,'Aug-25'!$A:$J,4,0)</f>
        <v>186159</v>
      </c>
      <c r="BM211" s="22">
        <f>+VLOOKUP($BD211,'Sep-25'!$A:$J,4,0)</f>
        <v>201051</v>
      </c>
      <c r="BN211" s="22">
        <f>+VLOOKUP($BD211,'Oct-25'!$A:$J,4,0)</f>
        <v>189882</v>
      </c>
      <c r="BO211" s="22">
        <f>+VLOOKUP($BD211,'Nov-25'!$A:$J,4,0)</f>
        <v>0</v>
      </c>
      <c r="BP211" s="22">
        <f>+VLOOKUP($BD211,'Dec-25'!$A:$J,4,0)</f>
        <v>0</v>
      </c>
      <c r="BQ211" s="22">
        <f t="shared" si="936"/>
        <v>1880205</v>
      </c>
      <c r="BR211" s="118">
        <f t="shared" si="713"/>
        <v>-2.8573173981127978E-2</v>
      </c>
      <c r="BS211" s="106">
        <f>+_xlfn.XLOOKUP($BD211,Budget!$A:$A,Budget!AQ:AQ)</f>
        <v>186159.15801000001</v>
      </c>
      <c r="BT211" s="106">
        <f>+_xlfn.XLOOKUP($BD211,Budget!$A:$A,Budget!AR:AR)</f>
        <v>186159.15801000001</v>
      </c>
      <c r="BU211" s="106">
        <f>+_xlfn.XLOOKUP($BD211,Budget!$A:$A,Budget!AS:AS)</f>
        <v>186159.15801000001</v>
      </c>
      <c r="BV211" s="106">
        <f>+_xlfn.XLOOKUP($BD211,Budget!$A:$A,Budget!AT:AT)</f>
        <v>186159.15801000001</v>
      </c>
      <c r="BW211" s="106">
        <f>+_xlfn.XLOOKUP($BD211,Budget!$A:$A,Budget!AU:AU)</f>
        <v>186159.15801000001</v>
      </c>
      <c r="BX211" s="106">
        <f>+_xlfn.XLOOKUP($BD211,Budget!$A:$A,Budget!AV:AV)</f>
        <v>195467.11591050003</v>
      </c>
      <c r="BY211" s="106">
        <f>+_xlfn.XLOOKUP($BD211,Budget!$A:$A,Budget!AW:AW)</f>
        <v>195467.11591050003</v>
      </c>
      <c r="BZ211" s="106">
        <f>+_xlfn.XLOOKUP($BD211,Budget!$A:$A,Budget!AX:AX)</f>
        <v>195467.11591050003</v>
      </c>
      <c r="CA211" s="106">
        <f>+_xlfn.XLOOKUP($BD211,Budget!$A:$A,Budget!AY:AY)</f>
        <v>195467.11591050003</v>
      </c>
      <c r="CB211" s="106">
        <f>+_xlfn.XLOOKUP($BD211,Budget!$A:$A,Budget!AZ:AZ)</f>
        <v>195467.11591050003</v>
      </c>
      <c r="CC211" s="106">
        <f>+_xlfn.XLOOKUP($BD211,Budget!$A:$A,Budget!BA:BA)</f>
        <v>195467.11591050003</v>
      </c>
      <c r="CD211" s="106">
        <f>+_xlfn.XLOOKUP($BD211,Budget!$A:$A,Budget!BB:BB)</f>
        <v>195467.11591050003</v>
      </c>
      <c r="CE211" s="106">
        <f t="shared" si="937"/>
        <v>2299065.6014235001</v>
      </c>
      <c r="CF211" s="22"/>
      <c r="CG211" s="22">
        <v>66852.899999999994</v>
      </c>
      <c r="CH211" s="22">
        <v>66852.899999999994</v>
      </c>
      <c r="CI211" s="22">
        <v>66852.899999999994</v>
      </c>
      <c r="CJ211" s="22">
        <v>66852.899999999994</v>
      </c>
      <c r="CK211" s="22">
        <v>66852.899999999994</v>
      </c>
      <c r="CL211" s="22">
        <v>66852.899999999994</v>
      </c>
      <c r="CM211" s="22">
        <v>66852.899999999994</v>
      </c>
      <c r="CN211" s="22">
        <v>66852.899999999994</v>
      </c>
      <c r="CO211" s="22">
        <v>73538.099999999991</v>
      </c>
      <c r="CP211" s="22">
        <v>70195.5</v>
      </c>
      <c r="CQ211" s="22">
        <v>70195.5</v>
      </c>
      <c r="CR211" s="22">
        <v>70195.5</v>
      </c>
      <c r="CS211" s="106">
        <f t="shared" si="938"/>
        <v>818947.8</v>
      </c>
      <c r="CT211" s="16" t="str">
        <f t="shared" si="886"/>
        <v>Rent Service</v>
      </c>
      <c r="CU211" s="22">
        <f>+VLOOKUP($BD211,'Jan-25'!$A:$J,7,0)</f>
        <v>70195.5</v>
      </c>
      <c r="CV211" s="22">
        <f>+VLOOKUP($BD211,'Feb-25'!$A:$J,7,0)</f>
        <v>70195.5</v>
      </c>
      <c r="CW211" s="22">
        <f>+VLOOKUP($BD211,'Mar-25'!$A:$J,7,0)</f>
        <v>70195.5</v>
      </c>
      <c r="CX211" s="22">
        <f>+VLOOKUP($BD211,'Apr-25'!$A:$J,7,0)</f>
        <v>70195.5</v>
      </c>
      <c r="CY211" s="22">
        <f>+VLOOKUP($BD211,'May-25'!$A:$J,7,0)</f>
        <v>70195.5</v>
      </c>
      <c r="CZ211" s="22">
        <f>+VLOOKUP($BD211,'June-25'!$A:$J,7,0)</f>
        <v>70195.5</v>
      </c>
      <c r="DA211" s="22">
        <f>+VLOOKUP($BD211,'July-25'!$A:$J,7,0)</f>
        <v>70195.5</v>
      </c>
      <c r="DB211" s="22">
        <f>+VLOOKUP($BD211,'Aug-25'!$A:$J,7,0)</f>
        <v>70195.5</v>
      </c>
      <c r="DC211" s="22">
        <f>+VLOOKUP($BD211,'Sep-25'!$A:$J,7,0)</f>
        <v>73705.2</v>
      </c>
      <c r="DD211" s="22">
        <f>+VLOOKUP($BD211,'Oct-25'!$A:$J,7,0)</f>
        <v>73705.2</v>
      </c>
      <c r="DE211" s="22">
        <f>+VLOOKUP($BD211,'Nov-25'!$A:$J,7,0)</f>
        <v>0</v>
      </c>
      <c r="DF211" s="22">
        <f>+VLOOKUP($BD211,'Dec-25'!$A:$J,7,0)</f>
        <v>0</v>
      </c>
      <c r="DG211" s="22">
        <f t="shared" si="939"/>
        <v>708974.39999999991</v>
      </c>
      <c r="DH211" s="118">
        <f t="shared" si="717"/>
        <v>-8.1723305541555408E-7</v>
      </c>
      <c r="DI211" s="22">
        <f>+_xlfn.XLOOKUP($CT211,Budget!$A:$A,Budget!CD:CD)</f>
        <v>70195.485937500009</v>
      </c>
      <c r="DJ211" s="22">
        <f>+_xlfn.XLOOKUP($CT211,Budget!$A:$A,Budget!CE:CE)</f>
        <v>70195.485937500009</v>
      </c>
      <c r="DK211" s="22">
        <f>+_xlfn.XLOOKUP($CT211,Budget!$A:$A,Budget!CF:CF)</f>
        <v>70195.485937500009</v>
      </c>
      <c r="DL211" s="22">
        <f>+_xlfn.XLOOKUP($CT211,Budget!$A:$A,Budget!CG:CG)</f>
        <v>70195.485937500009</v>
      </c>
      <c r="DM211" s="22">
        <f>+_xlfn.XLOOKUP($CT211,Budget!$A:$A,Budget!CH:CH)</f>
        <v>70195.485937500009</v>
      </c>
      <c r="DN211" s="22">
        <f>+_xlfn.XLOOKUP($CT211,Budget!$A:$A,Budget!CI:CI)</f>
        <v>70195.485937500009</v>
      </c>
      <c r="DO211" s="22">
        <f>+_xlfn.XLOOKUP($CT211,Budget!$A:$A,Budget!CJ:CJ)</f>
        <v>70195.485937500009</v>
      </c>
      <c r="DP211" s="22">
        <f>+_xlfn.XLOOKUP($CT211,Budget!$A:$A,Budget!CK:CK)</f>
        <v>70195.485937500009</v>
      </c>
      <c r="DQ211" s="22">
        <f>+_xlfn.XLOOKUP($CT211,Budget!$A:$A,Budget!CL:CL)</f>
        <v>73705.260234375019</v>
      </c>
      <c r="DR211" s="22">
        <f>+_xlfn.XLOOKUP($CT211,Budget!$A:$A,Budget!CM:CM)</f>
        <v>73705.260234375019</v>
      </c>
      <c r="DS211" s="22">
        <f>+_xlfn.XLOOKUP($CT211,Budget!$A:$A,Budget!CN:CN)</f>
        <v>73705.260234375019</v>
      </c>
      <c r="DT211" s="22">
        <f>+_xlfn.XLOOKUP($CT211,Budget!$A:$A,Budget!CO:CO)</f>
        <v>73705.260234375019</v>
      </c>
      <c r="DU211" s="106">
        <f t="shared" si="940"/>
        <v>856384.92843750014</v>
      </c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106">
        <f t="shared" si="941"/>
        <v>0</v>
      </c>
      <c r="EJ211" s="16" t="str">
        <f t="shared" si="887"/>
        <v>Rent Service</v>
      </c>
      <c r="EK211" s="22">
        <f>+VLOOKUP($BD211,'Jan-25'!$A:$J,9,0)</f>
        <v>267000</v>
      </c>
      <c r="EL211" s="22">
        <f>+VLOOKUP($BD211,'Feb-25'!$A:$J,9,0)</f>
        <v>267000</v>
      </c>
      <c r="EM211" s="22">
        <f>+VLOOKUP($BD211,'Mar-25'!$A:$J,9,0)</f>
        <v>267000</v>
      </c>
      <c r="EN211" s="22">
        <f>+VLOOKUP($BD211,'Apr-25'!$A:$J,9,0)</f>
        <v>267000</v>
      </c>
      <c r="EO211" s="22">
        <f>+VLOOKUP($BD211,'May-25'!$A:$J,9,0)</f>
        <v>267000</v>
      </c>
      <c r="EP211" s="22">
        <f>+VLOOKUP($BD211,'June-25'!$A:$J,9,0)</f>
        <v>267000</v>
      </c>
      <c r="EQ211" s="22">
        <f>+VLOOKUP($BD211,'July-25'!$A:$J,9,0)</f>
        <v>267000</v>
      </c>
      <c r="ER211" s="22">
        <f>+VLOOKUP($BD211,'Aug-25'!$A:$J,9,0)</f>
        <v>445000</v>
      </c>
      <c r="ES211" s="22">
        <f>+VLOOKUP($BD211,'Sep-25'!$A:$J,9,0)</f>
        <v>267000</v>
      </c>
      <c r="ET211" s="22">
        <f>+VLOOKUP($BD211,'Oct-25'!$A:$J,9,0)</f>
        <v>267000</v>
      </c>
      <c r="EU211" s="22">
        <f>+VLOOKUP($BD211,'Nov-25'!$A:$J,9,0)</f>
        <v>0</v>
      </c>
      <c r="EV211" s="22">
        <f>+VLOOKUP($BD211,'Dec-25'!$A:$J,9,0)</f>
        <v>0</v>
      </c>
      <c r="EW211" s="22">
        <f t="shared" si="942"/>
        <v>2848000</v>
      </c>
      <c r="EX211" s="118">
        <f t="shared" si="721"/>
        <v>-1.1111111111111112E-2</v>
      </c>
      <c r="EY211" s="22">
        <f>+_xlfn.XLOOKUP($EJ211,Budget!$A:$A,Budget!DE:DE)</f>
        <v>270000</v>
      </c>
      <c r="EZ211" s="22">
        <f>+_xlfn.XLOOKUP($EJ211,Budget!$A:$A,Budget!DF:DF)</f>
        <v>270000</v>
      </c>
      <c r="FA211" s="22">
        <f>+_xlfn.XLOOKUP($EJ211,Budget!$A:$A,Budget!DG:DG)</f>
        <v>270000</v>
      </c>
      <c r="FB211" s="22">
        <f>+_xlfn.XLOOKUP($EJ211,Budget!$A:$A,Budget!DH:DH)</f>
        <v>270000</v>
      </c>
      <c r="FC211" s="22">
        <f>+_xlfn.XLOOKUP($EJ211,Budget!$A:$A,Budget!DI:DI)</f>
        <v>270000</v>
      </c>
      <c r="FD211" s="22">
        <f>+_xlfn.XLOOKUP($EJ211,Budget!$A:$A,Budget!DJ:DJ)</f>
        <v>270000</v>
      </c>
      <c r="FE211" s="22">
        <f>+_xlfn.XLOOKUP($EJ211,Budget!$A:$A,Budget!DK:DK)</f>
        <v>270000</v>
      </c>
      <c r="FF211" s="22">
        <f>+_xlfn.XLOOKUP($EJ211,Budget!$A:$A,Budget!DL:DL)</f>
        <v>270000</v>
      </c>
      <c r="FG211" s="22">
        <f>+_xlfn.XLOOKUP($EJ211,Budget!$A:$A,Budget!DM:DM)</f>
        <v>270000</v>
      </c>
      <c r="FH211" s="22">
        <f>+_xlfn.XLOOKUP($EJ211,Budget!$A:$A,Budget!DN:DN)</f>
        <v>270000</v>
      </c>
      <c r="FI211" s="22">
        <f>+_xlfn.XLOOKUP($EJ211,Budget!$A:$A,Budget!DO:DO)</f>
        <v>270000</v>
      </c>
      <c r="FJ211" s="22">
        <f>+_xlfn.XLOOKUP($EJ211,Budget!$A:$A,Budget!DP:DP)</f>
        <v>270000</v>
      </c>
      <c r="FK211" s="106">
        <f t="shared" si="943"/>
        <v>3240000</v>
      </c>
    </row>
    <row r="212" spans="1:167" ht="14.45" hidden="1" customHeight="1" outlineLevel="2">
      <c r="A212" s="106">
        <f t="shared" si="931"/>
        <v>0</v>
      </c>
      <c r="B212" s="106">
        <f t="shared" si="931"/>
        <v>0</v>
      </c>
      <c r="C212" s="106">
        <f t="shared" si="931"/>
        <v>0</v>
      </c>
      <c r="D212" s="106">
        <f t="shared" si="931"/>
        <v>0</v>
      </c>
      <c r="E212" s="106">
        <f t="shared" si="931"/>
        <v>0</v>
      </c>
      <c r="F212" s="106">
        <f t="shared" si="931"/>
        <v>0</v>
      </c>
      <c r="G212" s="106">
        <f t="shared" si="931"/>
        <v>0</v>
      </c>
      <c r="H212" s="106">
        <f t="shared" si="931"/>
        <v>0</v>
      </c>
      <c r="I212" s="106">
        <f t="shared" si="931"/>
        <v>0</v>
      </c>
      <c r="J212" s="106">
        <f>+AZ212+CP212+EF212</f>
        <v>0</v>
      </c>
      <c r="K212" s="106">
        <f t="shared" si="931"/>
        <v>0</v>
      </c>
      <c r="L212" s="106">
        <f t="shared" si="931"/>
        <v>0</v>
      </c>
      <c r="M212" s="106">
        <f>+BC212+CS212+EI212</f>
        <v>0</v>
      </c>
      <c r="N212" s="16" t="s">
        <v>178</v>
      </c>
      <c r="O212" s="22">
        <f t="shared" si="932"/>
        <v>0</v>
      </c>
      <c r="P212" s="22">
        <f t="shared" si="932"/>
        <v>0</v>
      </c>
      <c r="Q212" s="22">
        <f t="shared" si="932"/>
        <v>0</v>
      </c>
      <c r="R212" s="22">
        <f t="shared" si="932"/>
        <v>0</v>
      </c>
      <c r="S212" s="22">
        <f t="shared" si="932"/>
        <v>0</v>
      </c>
      <c r="T212" s="22">
        <f t="shared" si="932"/>
        <v>0</v>
      </c>
      <c r="U212" s="22">
        <f t="shared" si="932"/>
        <v>0</v>
      </c>
      <c r="V212" s="22">
        <f t="shared" si="932"/>
        <v>0</v>
      </c>
      <c r="W212" s="22">
        <f t="shared" si="932"/>
        <v>0</v>
      </c>
      <c r="X212" s="22">
        <f t="shared" si="932"/>
        <v>0</v>
      </c>
      <c r="Y212" s="22">
        <f t="shared" si="932"/>
        <v>0</v>
      </c>
      <c r="Z212" s="22">
        <f t="shared" si="932"/>
        <v>0</v>
      </c>
      <c r="AA212" s="22">
        <f t="shared" si="932"/>
        <v>0</v>
      </c>
      <c r="AB212" s="118">
        <f t="shared" si="708"/>
        <v>0</v>
      </c>
      <c r="AC212" s="22">
        <f t="shared" si="933"/>
        <v>0</v>
      </c>
      <c r="AD212" s="22">
        <f t="shared" si="933"/>
        <v>0</v>
      </c>
      <c r="AE212" s="22">
        <f t="shared" si="933"/>
        <v>0</v>
      </c>
      <c r="AF212" s="22">
        <f t="shared" si="933"/>
        <v>0</v>
      </c>
      <c r="AG212" s="22">
        <f t="shared" si="933"/>
        <v>0</v>
      </c>
      <c r="AH212" s="22">
        <f t="shared" si="933"/>
        <v>0</v>
      </c>
      <c r="AI212" s="22">
        <f t="shared" si="933"/>
        <v>0</v>
      </c>
      <c r="AJ212" s="22">
        <f t="shared" si="933"/>
        <v>0</v>
      </c>
      <c r="AK212" s="22">
        <f t="shared" si="933"/>
        <v>0</v>
      </c>
      <c r="AL212" s="22">
        <f t="shared" si="933"/>
        <v>0</v>
      </c>
      <c r="AM212" s="22">
        <f t="shared" si="933"/>
        <v>0</v>
      </c>
      <c r="AN212" s="22">
        <f t="shared" si="933"/>
        <v>0</v>
      </c>
      <c r="AO212" s="22">
        <f t="shared" si="934"/>
        <v>0</v>
      </c>
      <c r="AQ212" s="106">
        <v>0</v>
      </c>
      <c r="AR212" s="106">
        <v>0</v>
      </c>
      <c r="AS212" s="106">
        <v>0</v>
      </c>
      <c r="AT212" s="106">
        <v>0</v>
      </c>
      <c r="AU212" s="106">
        <v>0</v>
      </c>
      <c r="AV212" s="106">
        <v>0</v>
      </c>
      <c r="AW212" s="106">
        <v>0</v>
      </c>
      <c r="AX212" s="106">
        <v>0</v>
      </c>
      <c r="AY212" s="106">
        <v>0</v>
      </c>
      <c r="AZ212" s="106">
        <v>0</v>
      </c>
      <c r="BA212" s="106">
        <v>0</v>
      </c>
      <c r="BB212" s="106">
        <v>0</v>
      </c>
      <c r="BC212" s="106">
        <f t="shared" si="935"/>
        <v>0</v>
      </c>
      <c r="BD212" s="16" t="str">
        <f t="shared" si="885"/>
        <v>Rent Showroom</v>
      </c>
      <c r="BE212" s="22">
        <f>+VLOOKUP($BD212,'Jan-25'!$A:$J,4,0)</f>
        <v>0</v>
      </c>
      <c r="BF212" s="22">
        <f>+VLOOKUP($BD212,'Feb-25'!$A:$J,4,0)</f>
        <v>0</v>
      </c>
      <c r="BG212" s="22">
        <f>+VLOOKUP($BD212,'Mar-25'!$A:$J,4,0)</f>
        <v>0</v>
      </c>
      <c r="BH212" s="22">
        <f>+VLOOKUP($BD212,'Apr-25'!$A:$J,4,0)</f>
        <v>0</v>
      </c>
      <c r="BI212" s="22">
        <f>+VLOOKUP($BD212,'May-25'!$A:$J,4,0)</f>
        <v>0</v>
      </c>
      <c r="BJ212" s="22">
        <f>+VLOOKUP($BD212,'June-25'!$A:$J,4,0)</f>
        <v>0</v>
      </c>
      <c r="BK212" s="22">
        <f>+VLOOKUP($BD212,'July-25'!$A:$J,4,0)</f>
        <v>0</v>
      </c>
      <c r="BL212" s="22">
        <f>+VLOOKUP($BD212,'Aug-25'!$A:$J,4,0)</f>
        <v>0</v>
      </c>
      <c r="BM212" s="22">
        <f>+VLOOKUP($BD212,'Sep-25'!$A:$J,4,0)</f>
        <v>0</v>
      </c>
      <c r="BN212" s="22">
        <f>+VLOOKUP($BD212,'Oct-25'!$A:$J,4,0)</f>
        <v>0</v>
      </c>
      <c r="BO212" s="22">
        <f>+VLOOKUP($BD212,'Nov-25'!$A:$J,4,0)</f>
        <v>0</v>
      </c>
      <c r="BP212" s="22">
        <f>+VLOOKUP($BD212,'Dec-25'!$A:$J,4,0)</f>
        <v>0</v>
      </c>
      <c r="BQ212" s="22">
        <f t="shared" si="936"/>
        <v>0</v>
      </c>
      <c r="BR212" s="118">
        <f t="shared" si="713"/>
        <v>0</v>
      </c>
      <c r="BS212" s="106">
        <f>+_xlfn.XLOOKUP($BD212,Budget!$A:$A,Budget!AQ:AQ)</f>
        <v>0</v>
      </c>
      <c r="BT212" s="106">
        <f>+_xlfn.XLOOKUP($BD212,Budget!$A:$A,Budget!AR:AR)</f>
        <v>0</v>
      </c>
      <c r="BU212" s="106">
        <f>+_xlfn.XLOOKUP($BD212,Budget!$A:$A,Budget!AS:AS)</f>
        <v>0</v>
      </c>
      <c r="BV212" s="106">
        <f>+_xlfn.XLOOKUP($BD212,Budget!$A:$A,Budget!AT:AT)</f>
        <v>0</v>
      </c>
      <c r="BW212" s="106">
        <f>+_xlfn.XLOOKUP($BD212,Budget!$A:$A,Budget!AU:AU)</f>
        <v>0</v>
      </c>
      <c r="BX212" s="106">
        <f>+_xlfn.XLOOKUP($BD212,Budget!$A:$A,Budget!AV:AV)</f>
        <v>0</v>
      </c>
      <c r="BY212" s="106">
        <f>+_xlfn.XLOOKUP($BD212,Budget!$A:$A,Budget!AW:AW)</f>
        <v>0</v>
      </c>
      <c r="BZ212" s="106">
        <f>+_xlfn.XLOOKUP($BD212,Budget!$A:$A,Budget!AX:AX)</f>
        <v>0</v>
      </c>
      <c r="CA212" s="106">
        <f>+_xlfn.XLOOKUP($BD212,Budget!$A:$A,Budget!AY:AY)</f>
        <v>0</v>
      </c>
      <c r="CB212" s="106">
        <f>+_xlfn.XLOOKUP($BD212,Budget!$A:$A,Budget!AZ:AZ)</f>
        <v>0</v>
      </c>
      <c r="CC212" s="106">
        <f>+_xlfn.XLOOKUP($BD212,Budget!$A:$A,Budget!BA:BA)</f>
        <v>0</v>
      </c>
      <c r="CD212" s="106">
        <f>+_xlfn.XLOOKUP($BD212,Budget!$A:$A,Budget!BB:BB)</f>
        <v>0</v>
      </c>
      <c r="CE212" s="106">
        <f t="shared" si="937"/>
        <v>0</v>
      </c>
      <c r="CF212" s="22"/>
      <c r="CG212" s="22">
        <v>0</v>
      </c>
      <c r="CH212" s="22">
        <v>0</v>
      </c>
      <c r="CI212" s="22">
        <v>0</v>
      </c>
      <c r="CJ212" s="22">
        <v>0</v>
      </c>
      <c r="CK212" s="22">
        <v>0</v>
      </c>
      <c r="CL212" s="22">
        <v>0</v>
      </c>
      <c r="CM212" s="22">
        <v>0</v>
      </c>
      <c r="CN212" s="22">
        <v>0</v>
      </c>
      <c r="CO212" s="22">
        <v>0</v>
      </c>
      <c r="CP212" s="22">
        <v>0</v>
      </c>
      <c r="CQ212" s="22">
        <v>0</v>
      </c>
      <c r="CR212" s="22">
        <v>0</v>
      </c>
      <c r="CS212" s="106">
        <f t="shared" si="938"/>
        <v>0</v>
      </c>
      <c r="CT212" s="16" t="str">
        <f t="shared" si="886"/>
        <v>Rent Showroom</v>
      </c>
      <c r="CU212" s="22">
        <f>+VLOOKUP($BD212,'Jan-25'!$A:$J,7,0)</f>
        <v>0</v>
      </c>
      <c r="CV212" s="22">
        <f>+VLOOKUP($BD212,'Feb-25'!$A:$J,7,0)</f>
        <v>0</v>
      </c>
      <c r="CW212" s="22">
        <f>+VLOOKUP($BD212,'Mar-25'!$A:$J,7,0)</f>
        <v>0</v>
      </c>
      <c r="CX212" s="22">
        <f>+VLOOKUP($BD212,'Apr-25'!$A:$J,7,0)</f>
        <v>0</v>
      </c>
      <c r="CY212" s="22">
        <f>+VLOOKUP($BD212,'May-25'!$A:$J,7,0)</f>
        <v>0</v>
      </c>
      <c r="CZ212" s="22">
        <f>+VLOOKUP($BD212,'June-25'!$A:$J,7,0)</f>
        <v>0</v>
      </c>
      <c r="DA212" s="22">
        <f>+VLOOKUP($BD212,'July-25'!$A:$J,7,0)</f>
        <v>0</v>
      </c>
      <c r="DB212" s="22">
        <f>+VLOOKUP($BD212,'Aug-25'!$A:$J,7,0)</f>
        <v>0</v>
      </c>
      <c r="DC212" s="22">
        <f>+VLOOKUP($BD212,'Sep-25'!$A:$J,7,0)</f>
        <v>0</v>
      </c>
      <c r="DD212" s="22">
        <f>+VLOOKUP($BD212,'Oct-25'!$A:$J,7,0)</f>
        <v>0</v>
      </c>
      <c r="DE212" s="22">
        <f>+VLOOKUP($BD212,'Nov-25'!$A:$J,7,0)</f>
        <v>0</v>
      </c>
      <c r="DF212" s="22">
        <f>+VLOOKUP($BD212,'Dec-25'!$A:$J,7,0)</f>
        <v>0</v>
      </c>
      <c r="DG212" s="22">
        <f t="shared" si="939"/>
        <v>0</v>
      </c>
      <c r="DH212" s="118">
        <f t="shared" si="717"/>
        <v>0</v>
      </c>
      <c r="DI212" s="22">
        <f>+_xlfn.XLOOKUP($CT212,Budget!$A:$A,Budget!CD:CD)</f>
        <v>0</v>
      </c>
      <c r="DJ212" s="22">
        <f>+_xlfn.XLOOKUP($CT212,Budget!$A:$A,Budget!CE:CE)</f>
        <v>0</v>
      </c>
      <c r="DK212" s="22">
        <f>+_xlfn.XLOOKUP($CT212,Budget!$A:$A,Budget!CF:CF)</f>
        <v>0</v>
      </c>
      <c r="DL212" s="22">
        <f>+_xlfn.XLOOKUP($CT212,Budget!$A:$A,Budget!CG:CG)</f>
        <v>0</v>
      </c>
      <c r="DM212" s="22">
        <f>+_xlfn.XLOOKUP($CT212,Budget!$A:$A,Budget!CH:CH)</f>
        <v>0</v>
      </c>
      <c r="DN212" s="22">
        <f>+_xlfn.XLOOKUP($CT212,Budget!$A:$A,Budget!CI:CI)</f>
        <v>0</v>
      </c>
      <c r="DO212" s="22">
        <f>+_xlfn.XLOOKUP($CT212,Budget!$A:$A,Budget!CJ:CJ)</f>
        <v>0</v>
      </c>
      <c r="DP212" s="22">
        <f>+_xlfn.XLOOKUP($CT212,Budget!$A:$A,Budget!CK:CK)</f>
        <v>0</v>
      </c>
      <c r="DQ212" s="22">
        <f>+_xlfn.XLOOKUP($CT212,Budget!$A:$A,Budget!CL:CL)</f>
        <v>0</v>
      </c>
      <c r="DR212" s="22">
        <f>+_xlfn.XLOOKUP($CT212,Budget!$A:$A,Budget!CM:CM)</f>
        <v>0</v>
      </c>
      <c r="DS212" s="22">
        <f>+_xlfn.XLOOKUP($CT212,Budget!$A:$A,Budget!CN:CN)</f>
        <v>0</v>
      </c>
      <c r="DT212" s="22">
        <f>+_xlfn.XLOOKUP($CT212,Budget!$A:$A,Budget!CO:CO)</f>
        <v>0</v>
      </c>
      <c r="DU212" s="106">
        <f t="shared" si="940"/>
        <v>0</v>
      </c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106">
        <f t="shared" si="941"/>
        <v>0</v>
      </c>
      <c r="EJ212" s="16" t="str">
        <f t="shared" si="887"/>
        <v>Rent Showroom</v>
      </c>
      <c r="EK212" s="22">
        <f>+VLOOKUP($BD212,'Jan-25'!$A:$J,9,0)</f>
        <v>0</v>
      </c>
      <c r="EL212" s="22">
        <f>+VLOOKUP($BD212,'Feb-25'!$A:$J,9,0)</f>
        <v>0</v>
      </c>
      <c r="EM212" s="22">
        <f>+VLOOKUP($BD212,'Mar-25'!$A:$J,9,0)</f>
        <v>0</v>
      </c>
      <c r="EN212" s="22">
        <f>+VLOOKUP($BD212,'Apr-25'!$A:$J,9,0)</f>
        <v>0</v>
      </c>
      <c r="EO212" s="22">
        <f>+VLOOKUP($BD212,'May-25'!$A:$J,9,0)</f>
        <v>0</v>
      </c>
      <c r="EP212" s="22">
        <f>+VLOOKUP($BD212,'June-25'!$A:$J,9,0)</f>
        <v>0</v>
      </c>
      <c r="EQ212" s="22">
        <f>+VLOOKUP($BD212,'July-25'!$A:$J,9,0)</f>
        <v>0</v>
      </c>
      <c r="ER212" s="22">
        <f>+VLOOKUP($BD212,'Aug-25'!$A:$J,9,0)</f>
        <v>0</v>
      </c>
      <c r="ES212" s="22">
        <f>+VLOOKUP($BD212,'Sep-25'!$A:$J,9,0)</f>
        <v>0</v>
      </c>
      <c r="ET212" s="22">
        <f>+VLOOKUP($BD212,'Oct-25'!$A:$J,9,0)</f>
        <v>0</v>
      </c>
      <c r="EU212" s="22">
        <f>+VLOOKUP($BD212,'Nov-25'!$A:$J,9,0)</f>
        <v>0</v>
      </c>
      <c r="EV212" s="22">
        <f>+VLOOKUP($BD212,'Dec-25'!$A:$J,9,0)</f>
        <v>0</v>
      </c>
      <c r="EW212" s="22">
        <f t="shared" si="942"/>
        <v>0</v>
      </c>
      <c r="EX212" s="118">
        <f t="shared" si="721"/>
        <v>0</v>
      </c>
      <c r="EY212" s="22">
        <f>+_xlfn.XLOOKUP($EJ212,Budget!$A:$A,Budget!DE:DE)</f>
        <v>0</v>
      </c>
      <c r="EZ212" s="22">
        <f>+_xlfn.XLOOKUP($EJ212,Budget!$A:$A,Budget!DF:DF)</f>
        <v>0</v>
      </c>
      <c r="FA212" s="22">
        <f>+_xlfn.XLOOKUP($EJ212,Budget!$A:$A,Budget!DG:DG)</f>
        <v>0</v>
      </c>
      <c r="FB212" s="22">
        <f>+_xlfn.XLOOKUP($EJ212,Budget!$A:$A,Budget!DH:DH)</f>
        <v>0</v>
      </c>
      <c r="FC212" s="22">
        <f>+_xlfn.XLOOKUP($EJ212,Budget!$A:$A,Budget!DI:DI)</f>
        <v>0</v>
      </c>
      <c r="FD212" s="22">
        <f>+_xlfn.XLOOKUP($EJ212,Budget!$A:$A,Budget!DJ:DJ)</f>
        <v>0</v>
      </c>
      <c r="FE212" s="22">
        <f>+_xlfn.XLOOKUP($EJ212,Budget!$A:$A,Budget!DK:DK)</f>
        <v>0</v>
      </c>
      <c r="FF212" s="22">
        <f>+_xlfn.XLOOKUP($EJ212,Budget!$A:$A,Budget!DL:DL)</f>
        <v>0</v>
      </c>
      <c r="FG212" s="22">
        <f>+_xlfn.XLOOKUP($EJ212,Budget!$A:$A,Budget!DM:DM)</f>
        <v>0</v>
      </c>
      <c r="FH212" s="22">
        <f>+_xlfn.XLOOKUP($EJ212,Budget!$A:$A,Budget!DN:DN)</f>
        <v>0</v>
      </c>
      <c r="FI212" s="22">
        <f>+_xlfn.XLOOKUP($EJ212,Budget!$A:$A,Budget!DO:DO)</f>
        <v>0</v>
      </c>
      <c r="FJ212" s="22">
        <f>+_xlfn.XLOOKUP($EJ212,Budget!$A:$A,Budget!DP:DP)</f>
        <v>0</v>
      </c>
      <c r="FK212" s="106">
        <f t="shared" si="943"/>
        <v>0</v>
      </c>
    </row>
    <row r="213" spans="1:167" ht="14.45" hidden="1" customHeight="1" outlineLevel="2">
      <c r="A213" s="106">
        <f t="shared" si="931"/>
        <v>48000</v>
      </c>
      <c r="B213" s="106">
        <f t="shared" si="931"/>
        <v>48000</v>
      </c>
      <c r="C213" s="106">
        <f t="shared" si="931"/>
        <v>48000</v>
      </c>
      <c r="D213" s="106">
        <f t="shared" si="931"/>
        <v>48000</v>
      </c>
      <c r="E213" s="106">
        <f t="shared" si="931"/>
        <v>48000</v>
      </c>
      <c r="F213" s="106">
        <f t="shared" si="931"/>
        <v>48000</v>
      </c>
      <c r="G213" s="106">
        <f t="shared" si="931"/>
        <v>14400</v>
      </c>
      <c r="H213" s="106">
        <f t="shared" si="931"/>
        <v>14400</v>
      </c>
      <c r="I213" s="106">
        <f t="shared" si="931"/>
        <v>14400</v>
      </c>
      <c r="J213" s="106">
        <f>+AZ213+CP213+EF213</f>
        <v>14400</v>
      </c>
      <c r="K213" s="106">
        <f t="shared" si="931"/>
        <v>14400</v>
      </c>
      <c r="L213" s="106">
        <f t="shared" si="931"/>
        <v>14400</v>
      </c>
      <c r="M213" s="106">
        <f>+BC213+CS213+EI213</f>
        <v>374400</v>
      </c>
      <c r="N213" s="16" t="s">
        <v>179</v>
      </c>
      <c r="O213" s="22">
        <f t="shared" si="932"/>
        <v>14400</v>
      </c>
      <c r="P213" s="22">
        <f t="shared" si="932"/>
        <v>14400</v>
      </c>
      <c r="Q213" s="22">
        <f t="shared" si="932"/>
        <v>14400</v>
      </c>
      <c r="R213" s="22">
        <f t="shared" si="932"/>
        <v>14400</v>
      </c>
      <c r="S213" s="22">
        <f t="shared" si="932"/>
        <v>14400</v>
      </c>
      <c r="T213" s="22">
        <f t="shared" si="932"/>
        <v>14400</v>
      </c>
      <c r="U213" s="22">
        <f t="shared" si="932"/>
        <v>14400</v>
      </c>
      <c r="V213" s="22">
        <f t="shared" si="932"/>
        <v>14400</v>
      </c>
      <c r="W213" s="22">
        <f t="shared" si="932"/>
        <v>14400</v>
      </c>
      <c r="X213" s="22">
        <f t="shared" si="932"/>
        <v>14400</v>
      </c>
      <c r="Y213" s="22">
        <f t="shared" si="932"/>
        <v>0</v>
      </c>
      <c r="Z213" s="22">
        <f t="shared" si="932"/>
        <v>0</v>
      </c>
      <c r="AA213" s="22">
        <f t="shared" si="932"/>
        <v>144000</v>
      </c>
      <c r="AB213" s="118">
        <f t="shared" si="708"/>
        <v>-0.7</v>
      </c>
      <c r="AC213" s="22">
        <f t="shared" si="933"/>
        <v>48000</v>
      </c>
      <c r="AD213" s="22">
        <f t="shared" si="933"/>
        <v>48000</v>
      </c>
      <c r="AE213" s="22">
        <f t="shared" si="933"/>
        <v>48000</v>
      </c>
      <c r="AF213" s="22">
        <f t="shared" si="933"/>
        <v>48000</v>
      </c>
      <c r="AG213" s="22">
        <f t="shared" si="933"/>
        <v>48000</v>
      </c>
      <c r="AH213" s="22">
        <f t="shared" si="933"/>
        <v>48000</v>
      </c>
      <c r="AI213" s="22">
        <f t="shared" si="933"/>
        <v>48000</v>
      </c>
      <c r="AJ213" s="22">
        <f t="shared" si="933"/>
        <v>48000</v>
      </c>
      <c r="AK213" s="22">
        <f t="shared" si="933"/>
        <v>48000</v>
      </c>
      <c r="AL213" s="22">
        <f t="shared" si="933"/>
        <v>48000</v>
      </c>
      <c r="AM213" s="22">
        <f t="shared" si="933"/>
        <v>48000</v>
      </c>
      <c r="AN213" s="22">
        <f t="shared" si="933"/>
        <v>48000</v>
      </c>
      <c r="AO213" s="22">
        <f t="shared" si="934"/>
        <v>576000</v>
      </c>
      <c r="AQ213" s="106">
        <v>0</v>
      </c>
      <c r="AR213" s="106">
        <v>0</v>
      </c>
      <c r="AS213" s="106">
        <v>0</v>
      </c>
      <c r="AT213" s="106">
        <v>0</v>
      </c>
      <c r="AU213" s="106">
        <v>0</v>
      </c>
      <c r="AV213" s="106">
        <v>0</v>
      </c>
      <c r="AW213" s="106">
        <v>0</v>
      </c>
      <c r="AX213" s="106">
        <v>0</v>
      </c>
      <c r="AY213" s="106">
        <v>0</v>
      </c>
      <c r="AZ213" s="106">
        <v>0</v>
      </c>
      <c r="BA213" s="106">
        <v>0</v>
      </c>
      <c r="BB213" s="106">
        <v>0</v>
      </c>
      <c r="BC213" s="106">
        <f t="shared" si="935"/>
        <v>0</v>
      </c>
      <c r="BD213" s="16" t="str">
        <f t="shared" si="885"/>
        <v>Rent Yard</v>
      </c>
      <c r="BE213" s="22">
        <f>+VLOOKUP($BD213,'Jan-25'!$A:$J,4,0)</f>
        <v>0</v>
      </c>
      <c r="BF213" s="22">
        <f>+VLOOKUP($BD213,'Feb-25'!$A:$J,4,0)</f>
        <v>0</v>
      </c>
      <c r="BG213" s="22">
        <f>+VLOOKUP($BD213,'Mar-25'!$A:$J,4,0)</f>
        <v>0</v>
      </c>
      <c r="BH213" s="22">
        <f>+VLOOKUP($BD213,'Apr-25'!$A:$J,4,0)</f>
        <v>0</v>
      </c>
      <c r="BI213" s="22">
        <f>+VLOOKUP($BD213,'May-25'!$A:$J,4,0)</f>
        <v>0</v>
      </c>
      <c r="BJ213" s="22">
        <f>+VLOOKUP($BD213,'June-25'!$A:$J,4,0)</f>
        <v>0</v>
      </c>
      <c r="BK213" s="22">
        <f>+VLOOKUP($BD213,'July-25'!$A:$J,4,0)</f>
        <v>0</v>
      </c>
      <c r="BL213" s="22">
        <f>+VLOOKUP($BD213,'Aug-25'!$A:$J,4,0)</f>
        <v>0</v>
      </c>
      <c r="BM213" s="22">
        <f>+VLOOKUP($BD213,'Sep-25'!$A:$J,4,0)</f>
        <v>0</v>
      </c>
      <c r="BN213" s="22">
        <f>+VLOOKUP($BD213,'Oct-25'!$A:$J,4,0)</f>
        <v>0</v>
      </c>
      <c r="BO213" s="22">
        <f>+VLOOKUP($BD213,'Nov-25'!$A:$J,4,0)</f>
        <v>0</v>
      </c>
      <c r="BP213" s="22">
        <f>+VLOOKUP($BD213,'Dec-25'!$A:$J,4,0)</f>
        <v>0</v>
      </c>
      <c r="BQ213" s="22">
        <f t="shared" si="936"/>
        <v>0</v>
      </c>
      <c r="BR213" s="118">
        <f t="shared" si="713"/>
        <v>0</v>
      </c>
      <c r="BS213" s="106">
        <f>+_xlfn.XLOOKUP($BD213,Budget!$A:$A,Budget!AQ:AQ)</f>
        <v>0</v>
      </c>
      <c r="BT213" s="106">
        <f>+_xlfn.XLOOKUP($BD213,Budget!$A:$A,Budget!AR:AR)</f>
        <v>0</v>
      </c>
      <c r="BU213" s="106">
        <f>+_xlfn.XLOOKUP($BD213,Budget!$A:$A,Budget!AS:AS)</f>
        <v>0</v>
      </c>
      <c r="BV213" s="106">
        <f>+_xlfn.XLOOKUP($BD213,Budget!$A:$A,Budget!AT:AT)</f>
        <v>0</v>
      </c>
      <c r="BW213" s="106">
        <f>+_xlfn.XLOOKUP($BD213,Budget!$A:$A,Budget!AU:AU)</f>
        <v>0</v>
      </c>
      <c r="BX213" s="106">
        <f>+_xlfn.XLOOKUP($BD213,Budget!$A:$A,Budget!AV:AV)</f>
        <v>0</v>
      </c>
      <c r="BY213" s="106">
        <f>+_xlfn.XLOOKUP($BD213,Budget!$A:$A,Budget!AW:AW)</f>
        <v>0</v>
      </c>
      <c r="BZ213" s="106">
        <f>+_xlfn.XLOOKUP($BD213,Budget!$A:$A,Budget!AX:AX)</f>
        <v>0</v>
      </c>
      <c r="CA213" s="106">
        <f>+_xlfn.XLOOKUP($BD213,Budget!$A:$A,Budget!AY:AY)</f>
        <v>0</v>
      </c>
      <c r="CB213" s="106">
        <f>+_xlfn.XLOOKUP($BD213,Budget!$A:$A,Budget!AZ:AZ)</f>
        <v>0</v>
      </c>
      <c r="CC213" s="106">
        <f>+_xlfn.XLOOKUP($BD213,Budget!$A:$A,Budget!BA:BA)</f>
        <v>0</v>
      </c>
      <c r="CD213" s="106">
        <f>+_xlfn.XLOOKUP($BD213,Budget!$A:$A,Budget!BB:BB)</f>
        <v>0</v>
      </c>
      <c r="CE213" s="106">
        <f t="shared" si="937"/>
        <v>0</v>
      </c>
      <c r="CF213" s="22"/>
      <c r="CG213" s="22">
        <v>48000</v>
      </c>
      <c r="CH213" s="22">
        <v>48000</v>
      </c>
      <c r="CI213" s="22">
        <v>48000</v>
      </c>
      <c r="CJ213" s="22">
        <v>48000</v>
      </c>
      <c r="CK213" s="22">
        <v>48000</v>
      </c>
      <c r="CL213" s="22">
        <v>48000</v>
      </c>
      <c r="CM213" s="22">
        <v>14400</v>
      </c>
      <c r="CN213" s="22">
        <v>14400</v>
      </c>
      <c r="CO213" s="22">
        <v>14400</v>
      </c>
      <c r="CP213" s="22">
        <v>14400</v>
      </c>
      <c r="CQ213" s="22">
        <v>14400</v>
      </c>
      <c r="CR213" s="22">
        <v>14400</v>
      </c>
      <c r="CS213" s="106">
        <f t="shared" si="938"/>
        <v>374400</v>
      </c>
      <c r="CT213" s="16" t="str">
        <f t="shared" si="886"/>
        <v>Rent Yard</v>
      </c>
      <c r="CU213" s="22">
        <f>+VLOOKUP($BD213,'Jan-25'!$A:$J,7,0)</f>
        <v>14400</v>
      </c>
      <c r="CV213" s="22">
        <f>+VLOOKUP($BD213,'Feb-25'!$A:$J,7,0)</f>
        <v>14400</v>
      </c>
      <c r="CW213" s="22">
        <f>+VLOOKUP($BD213,'Mar-25'!$A:$J,7,0)</f>
        <v>14400</v>
      </c>
      <c r="CX213" s="22">
        <f>+VLOOKUP($BD213,'Apr-25'!$A:$J,7,0)</f>
        <v>14400</v>
      </c>
      <c r="CY213" s="22">
        <f>+VLOOKUP($BD213,'May-25'!$A:$J,7,0)</f>
        <v>14400</v>
      </c>
      <c r="CZ213" s="22">
        <f>+VLOOKUP($BD213,'June-25'!$A:$J,7,0)</f>
        <v>14400</v>
      </c>
      <c r="DA213" s="22">
        <f>+VLOOKUP($BD213,'July-25'!$A:$J,7,0)</f>
        <v>14400</v>
      </c>
      <c r="DB213" s="22">
        <f>+VLOOKUP($BD213,'Aug-25'!$A:$J,7,0)</f>
        <v>14400</v>
      </c>
      <c r="DC213" s="22">
        <f>+VLOOKUP($BD213,'Sep-25'!$A:$J,7,0)</f>
        <v>14400</v>
      </c>
      <c r="DD213" s="22">
        <f>+VLOOKUP($BD213,'Oct-25'!$A:$J,7,0)</f>
        <v>14400</v>
      </c>
      <c r="DE213" s="22">
        <f>+VLOOKUP($BD213,'Nov-25'!$A:$J,7,0)</f>
        <v>0</v>
      </c>
      <c r="DF213" s="22">
        <f>+VLOOKUP($BD213,'Dec-25'!$A:$J,7,0)</f>
        <v>0</v>
      </c>
      <c r="DG213" s="22">
        <f t="shared" si="939"/>
        <v>144000</v>
      </c>
      <c r="DH213" s="118">
        <f t="shared" si="717"/>
        <v>-0.7</v>
      </c>
      <c r="DI213" s="22">
        <f>+_xlfn.XLOOKUP($CT213,Budget!$A:$A,Budget!CD:CD)</f>
        <v>48000</v>
      </c>
      <c r="DJ213" s="22">
        <f>+_xlfn.XLOOKUP($CT213,Budget!$A:$A,Budget!CE:CE)</f>
        <v>48000</v>
      </c>
      <c r="DK213" s="22">
        <f>+_xlfn.XLOOKUP($CT213,Budget!$A:$A,Budget!CF:CF)</f>
        <v>48000</v>
      </c>
      <c r="DL213" s="22">
        <f>+_xlfn.XLOOKUP($CT213,Budget!$A:$A,Budget!CG:CG)</f>
        <v>48000</v>
      </c>
      <c r="DM213" s="22">
        <f>+_xlfn.XLOOKUP($CT213,Budget!$A:$A,Budget!CH:CH)</f>
        <v>48000</v>
      </c>
      <c r="DN213" s="22">
        <f>+_xlfn.XLOOKUP($CT213,Budget!$A:$A,Budget!CI:CI)</f>
        <v>48000</v>
      </c>
      <c r="DO213" s="22">
        <f>+_xlfn.XLOOKUP($CT213,Budget!$A:$A,Budget!CJ:CJ)</f>
        <v>48000</v>
      </c>
      <c r="DP213" s="22">
        <f>+_xlfn.XLOOKUP($CT213,Budget!$A:$A,Budget!CK:CK)</f>
        <v>48000</v>
      </c>
      <c r="DQ213" s="22">
        <f>+_xlfn.XLOOKUP($CT213,Budget!$A:$A,Budget!CL:CL)</f>
        <v>48000</v>
      </c>
      <c r="DR213" s="22">
        <f>+_xlfn.XLOOKUP($CT213,Budget!$A:$A,Budget!CM:CM)</f>
        <v>48000</v>
      </c>
      <c r="DS213" s="22">
        <f>+_xlfn.XLOOKUP($CT213,Budget!$A:$A,Budget!CN:CN)</f>
        <v>48000</v>
      </c>
      <c r="DT213" s="22">
        <f>+_xlfn.XLOOKUP($CT213,Budget!$A:$A,Budget!CO:CO)</f>
        <v>48000</v>
      </c>
      <c r="DU213" s="106">
        <f t="shared" si="940"/>
        <v>576000</v>
      </c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106">
        <f t="shared" si="941"/>
        <v>0</v>
      </c>
      <c r="EJ213" s="16" t="str">
        <f t="shared" si="887"/>
        <v>Rent Yard</v>
      </c>
      <c r="EK213" s="22">
        <f>+VLOOKUP($BD213,'Jan-25'!$A:$J,9,0)</f>
        <v>0</v>
      </c>
      <c r="EL213" s="22">
        <f>+VLOOKUP($BD213,'Feb-25'!$A:$J,9,0)</f>
        <v>0</v>
      </c>
      <c r="EM213" s="22">
        <f>+VLOOKUP($BD213,'Mar-25'!$A:$J,9,0)</f>
        <v>0</v>
      </c>
      <c r="EN213" s="22">
        <f>+VLOOKUP($BD213,'Apr-25'!$A:$J,9,0)</f>
        <v>0</v>
      </c>
      <c r="EO213" s="22">
        <f>+VLOOKUP($BD213,'May-25'!$A:$J,9,0)</f>
        <v>0</v>
      </c>
      <c r="EP213" s="22">
        <f>+VLOOKUP($BD213,'June-25'!$A:$J,9,0)</f>
        <v>0</v>
      </c>
      <c r="EQ213" s="22">
        <f>+VLOOKUP($BD213,'July-25'!$A:$J,9,0)</f>
        <v>0</v>
      </c>
      <c r="ER213" s="22">
        <f>+VLOOKUP($BD213,'Aug-25'!$A:$J,9,0)</f>
        <v>0</v>
      </c>
      <c r="ES213" s="22">
        <f>+VLOOKUP($BD213,'Sep-25'!$A:$J,9,0)</f>
        <v>0</v>
      </c>
      <c r="ET213" s="22">
        <f>+VLOOKUP($BD213,'Oct-25'!$A:$J,9,0)</f>
        <v>0</v>
      </c>
      <c r="EU213" s="22">
        <f>+VLOOKUP($BD213,'Nov-25'!$A:$J,9,0)</f>
        <v>0</v>
      </c>
      <c r="EV213" s="22">
        <f>+VLOOKUP($BD213,'Dec-25'!$A:$J,9,0)</f>
        <v>0</v>
      </c>
      <c r="EW213" s="22">
        <f t="shared" si="942"/>
        <v>0</v>
      </c>
      <c r="EX213" s="118">
        <f t="shared" si="721"/>
        <v>0</v>
      </c>
      <c r="EY213" s="22">
        <f>+_xlfn.XLOOKUP($EJ213,Budget!$A:$A,Budget!DE:DE)</f>
        <v>0</v>
      </c>
      <c r="EZ213" s="22">
        <f>+_xlfn.XLOOKUP($EJ213,Budget!$A:$A,Budget!DF:DF)</f>
        <v>0</v>
      </c>
      <c r="FA213" s="22">
        <f>+_xlfn.XLOOKUP($EJ213,Budget!$A:$A,Budget!DG:DG)</f>
        <v>0</v>
      </c>
      <c r="FB213" s="22">
        <f>+_xlfn.XLOOKUP($EJ213,Budget!$A:$A,Budget!DH:DH)</f>
        <v>0</v>
      </c>
      <c r="FC213" s="22">
        <f>+_xlfn.XLOOKUP($EJ213,Budget!$A:$A,Budget!DI:DI)</f>
        <v>0</v>
      </c>
      <c r="FD213" s="22">
        <f>+_xlfn.XLOOKUP($EJ213,Budget!$A:$A,Budget!DJ:DJ)</f>
        <v>0</v>
      </c>
      <c r="FE213" s="22">
        <f>+_xlfn.XLOOKUP($EJ213,Budget!$A:$A,Budget!DK:DK)</f>
        <v>0</v>
      </c>
      <c r="FF213" s="22">
        <f>+_xlfn.XLOOKUP($EJ213,Budget!$A:$A,Budget!DL:DL)</f>
        <v>0</v>
      </c>
      <c r="FG213" s="22">
        <f>+_xlfn.XLOOKUP($EJ213,Budget!$A:$A,Budget!DM:DM)</f>
        <v>0</v>
      </c>
      <c r="FH213" s="22">
        <f>+_xlfn.XLOOKUP($EJ213,Budget!$A:$A,Budget!DN:DN)</f>
        <v>0</v>
      </c>
      <c r="FI213" s="22">
        <f>+_xlfn.XLOOKUP($EJ213,Budget!$A:$A,Budget!DO:DO)</f>
        <v>0</v>
      </c>
      <c r="FJ213" s="22">
        <f>+_xlfn.XLOOKUP($EJ213,Budget!$A:$A,Budget!DP:DP)</f>
        <v>0</v>
      </c>
      <c r="FK213" s="106">
        <f t="shared" si="943"/>
        <v>0</v>
      </c>
    </row>
    <row r="214" spans="1:167" ht="14.45" hidden="1" customHeight="1" outlineLevel="1" collapsed="1">
      <c r="A214" s="58">
        <f t="shared" ref="A214:L214" si="944">+A215+A216</f>
        <v>2560</v>
      </c>
      <c r="B214" s="58">
        <f t="shared" si="944"/>
        <v>1300</v>
      </c>
      <c r="C214" s="58">
        <f t="shared" si="944"/>
        <v>2030</v>
      </c>
      <c r="D214" s="58">
        <f t="shared" si="944"/>
        <v>1500</v>
      </c>
      <c r="E214" s="58">
        <f t="shared" si="944"/>
        <v>920</v>
      </c>
      <c r="F214" s="58">
        <f t="shared" si="944"/>
        <v>1470</v>
      </c>
      <c r="G214" s="58">
        <f t="shared" si="944"/>
        <v>1120</v>
      </c>
      <c r="H214" s="58">
        <f t="shared" si="944"/>
        <v>1980</v>
      </c>
      <c r="I214" s="58">
        <f t="shared" si="944"/>
        <v>1420</v>
      </c>
      <c r="J214" s="58">
        <f>+J215+J216</f>
        <v>2040</v>
      </c>
      <c r="K214" s="58">
        <f t="shared" si="944"/>
        <v>3030</v>
      </c>
      <c r="L214" s="58">
        <f t="shared" si="944"/>
        <v>1390</v>
      </c>
      <c r="M214" s="58">
        <f>+M215+M216</f>
        <v>20760</v>
      </c>
      <c r="N214" s="20" t="s">
        <v>180</v>
      </c>
      <c r="O214" s="28">
        <f t="shared" ref="O214:Z214" si="945">+O215+O216</f>
        <v>1990</v>
      </c>
      <c r="P214" s="28">
        <f t="shared" si="945"/>
        <v>7550</v>
      </c>
      <c r="Q214" s="28">
        <f t="shared" si="945"/>
        <v>2105</v>
      </c>
      <c r="R214" s="28">
        <f t="shared" si="945"/>
        <v>1170</v>
      </c>
      <c r="S214" s="28">
        <f t="shared" si="945"/>
        <v>780</v>
      </c>
      <c r="T214" s="28">
        <f t="shared" si="945"/>
        <v>1620</v>
      </c>
      <c r="U214" s="28">
        <f t="shared" si="945"/>
        <v>2510</v>
      </c>
      <c r="V214" s="28">
        <f t="shared" si="945"/>
        <v>2442</v>
      </c>
      <c r="W214" s="28">
        <f t="shared" si="945"/>
        <v>2555</v>
      </c>
      <c r="X214" s="28">
        <f t="shared" si="945"/>
        <v>2310</v>
      </c>
      <c r="Y214" s="28">
        <f t="shared" si="945"/>
        <v>0</v>
      </c>
      <c r="Z214" s="28">
        <f t="shared" si="945"/>
        <v>0</v>
      </c>
      <c r="AA214" s="28">
        <f t="shared" ref="AA214" si="946">+AA215+AA216</f>
        <v>25032</v>
      </c>
      <c r="AB214" s="118">
        <f t="shared" si="708"/>
        <v>0.42592592592592593</v>
      </c>
      <c r="AC214" s="28">
        <f t="shared" ref="AC214:AN214" si="947">+AC215+AC216</f>
        <v>1620</v>
      </c>
      <c r="AD214" s="28">
        <f t="shared" si="947"/>
        <v>1620</v>
      </c>
      <c r="AE214" s="28">
        <f t="shared" si="947"/>
        <v>1620</v>
      </c>
      <c r="AF214" s="28">
        <f t="shared" si="947"/>
        <v>1620</v>
      </c>
      <c r="AG214" s="28">
        <f t="shared" si="947"/>
        <v>1620</v>
      </c>
      <c r="AH214" s="28">
        <f t="shared" si="947"/>
        <v>1620</v>
      </c>
      <c r="AI214" s="28">
        <f t="shared" si="947"/>
        <v>1620</v>
      </c>
      <c r="AJ214" s="28">
        <f t="shared" si="947"/>
        <v>1620</v>
      </c>
      <c r="AK214" s="28">
        <f t="shared" si="947"/>
        <v>1620</v>
      </c>
      <c r="AL214" s="28">
        <f t="shared" si="947"/>
        <v>1620</v>
      </c>
      <c r="AM214" s="28">
        <f t="shared" si="947"/>
        <v>1620</v>
      </c>
      <c r="AN214" s="28">
        <f t="shared" si="947"/>
        <v>1620</v>
      </c>
      <c r="AO214" s="28"/>
      <c r="AQ214" s="58">
        <f t="shared" ref="AQ214:BB214" si="948">+AQ215+AQ216</f>
        <v>850</v>
      </c>
      <c r="AR214" s="58">
        <f t="shared" si="948"/>
        <v>400</v>
      </c>
      <c r="AS214" s="58">
        <f t="shared" si="948"/>
        <v>800</v>
      </c>
      <c r="AT214" s="58">
        <f t="shared" si="948"/>
        <v>900</v>
      </c>
      <c r="AU214" s="58">
        <f t="shared" si="948"/>
        <v>500</v>
      </c>
      <c r="AV214" s="58">
        <f t="shared" si="948"/>
        <v>750</v>
      </c>
      <c r="AW214" s="58">
        <f t="shared" si="948"/>
        <v>850</v>
      </c>
      <c r="AX214" s="58">
        <f t="shared" si="948"/>
        <v>900</v>
      </c>
      <c r="AY214" s="58">
        <f t="shared" si="948"/>
        <v>400</v>
      </c>
      <c r="AZ214" s="58">
        <f t="shared" si="948"/>
        <v>1800</v>
      </c>
      <c r="BA214" s="58">
        <f t="shared" si="948"/>
        <v>2100</v>
      </c>
      <c r="BB214" s="58">
        <f t="shared" si="948"/>
        <v>1000</v>
      </c>
      <c r="BC214" s="58">
        <f>+SUM(AQ214:BB214)</f>
        <v>11250</v>
      </c>
      <c r="BD214" s="20" t="str">
        <f t="shared" si="885"/>
        <v>Donation</v>
      </c>
      <c r="BE214" s="28">
        <f t="shared" ref="BE214:BQ214" si="949">+BE215+BE216</f>
        <v>400</v>
      </c>
      <c r="BF214" s="28">
        <f t="shared" si="949"/>
        <v>5300</v>
      </c>
      <c r="BG214" s="28">
        <f t="shared" si="949"/>
        <v>1400</v>
      </c>
      <c r="BH214" s="28">
        <f t="shared" si="949"/>
        <v>400</v>
      </c>
      <c r="BI214" s="28">
        <f t="shared" si="949"/>
        <v>600</v>
      </c>
      <c r="BJ214" s="28">
        <f t="shared" si="949"/>
        <v>1050</v>
      </c>
      <c r="BK214" s="28">
        <f t="shared" si="949"/>
        <v>1700</v>
      </c>
      <c r="BL214" s="28">
        <f t="shared" si="949"/>
        <v>1700</v>
      </c>
      <c r="BM214" s="28">
        <f t="shared" si="949"/>
        <v>1500</v>
      </c>
      <c r="BN214" s="28">
        <f t="shared" si="949"/>
        <v>2150</v>
      </c>
      <c r="BO214" s="28">
        <f t="shared" si="949"/>
        <v>0</v>
      </c>
      <c r="BP214" s="28">
        <f t="shared" si="949"/>
        <v>0</v>
      </c>
      <c r="BQ214" s="28">
        <f t="shared" si="949"/>
        <v>16200</v>
      </c>
      <c r="BR214" s="118">
        <f t="shared" si="713"/>
        <v>0.9907407407407407</v>
      </c>
      <c r="BS214" s="58">
        <f t="shared" ref="BS214:CD214" si="950">+BS215+BS216</f>
        <v>1080</v>
      </c>
      <c r="BT214" s="58">
        <f t="shared" si="950"/>
        <v>1080</v>
      </c>
      <c r="BU214" s="58">
        <f t="shared" si="950"/>
        <v>1080</v>
      </c>
      <c r="BV214" s="58">
        <f t="shared" si="950"/>
        <v>1080</v>
      </c>
      <c r="BW214" s="58">
        <f t="shared" si="950"/>
        <v>1080</v>
      </c>
      <c r="BX214" s="58">
        <f t="shared" si="950"/>
        <v>1080</v>
      </c>
      <c r="BY214" s="58">
        <f t="shared" si="950"/>
        <v>1080</v>
      </c>
      <c r="BZ214" s="58">
        <f t="shared" si="950"/>
        <v>1080</v>
      </c>
      <c r="CA214" s="58">
        <f t="shared" si="950"/>
        <v>1080</v>
      </c>
      <c r="CB214" s="58">
        <f t="shared" si="950"/>
        <v>1080</v>
      </c>
      <c r="CC214" s="58">
        <f t="shared" si="950"/>
        <v>1080</v>
      </c>
      <c r="CD214" s="58">
        <f t="shared" si="950"/>
        <v>1080</v>
      </c>
      <c r="CE214" s="58">
        <f>+SUM(BS214:CD214)</f>
        <v>12960</v>
      </c>
      <c r="CF214" s="22"/>
      <c r="CG214" s="28">
        <f t="shared" ref="CG214:CR214" si="951">+CG215+CG216</f>
        <v>1710</v>
      </c>
      <c r="CH214" s="28">
        <f t="shared" si="951"/>
        <v>900</v>
      </c>
      <c r="CI214" s="28">
        <f t="shared" si="951"/>
        <v>1230</v>
      </c>
      <c r="CJ214" s="28">
        <f t="shared" si="951"/>
        <v>600</v>
      </c>
      <c r="CK214" s="28">
        <f t="shared" si="951"/>
        <v>420</v>
      </c>
      <c r="CL214" s="28">
        <f t="shared" si="951"/>
        <v>720</v>
      </c>
      <c r="CM214" s="28">
        <f t="shared" si="951"/>
        <v>270</v>
      </c>
      <c r="CN214" s="28">
        <f t="shared" si="951"/>
        <v>1080</v>
      </c>
      <c r="CO214" s="28">
        <f t="shared" si="951"/>
        <v>1020</v>
      </c>
      <c r="CP214" s="28">
        <f t="shared" si="951"/>
        <v>240</v>
      </c>
      <c r="CQ214" s="28">
        <f t="shared" si="951"/>
        <v>930</v>
      </c>
      <c r="CR214" s="28">
        <f t="shared" si="951"/>
        <v>390</v>
      </c>
      <c r="CS214" s="58">
        <f>+SUM(CG214:CR214)</f>
        <v>9510</v>
      </c>
      <c r="CT214" s="20" t="str">
        <f t="shared" si="886"/>
        <v>Donation</v>
      </c>
      <c r="CU214" s="28">
        <f t="shared" ref="CU214:DG214" si="952">+CU215+CU216</f>
        <v>690</v>
      </c>
      <c r="CV214" s="28">
        <f t="shared" si="952"/>
        <v>2250</v>
      </c>
      <c r="CW214" s="28">
        <f t="shared" si="952"/>
        <v>705</v>
      </c>
      <c r="CX214" s="28">
        <f t="shared" si="952"/>
        <v>570</v>
      </c>
      <c r="CY214" s="28">
        <f t="shared" si="952"/>
        <v>180</v>
      </c>
      <c r="CZ214" s="28">
        <f t="shared" si="952"/>
        <v>570</v>
      </c>
      <c r="DA214" s="28">
        <f t="shared" si="952"/>
        <v>810</v>
      </c>
      <c r="DB214" s="28">
        <f t="shared" si="952"/>
        <v>642</v>
      </c>
      <c r="DC214" s="28">
        <f t="shared" si="952"/>
        <v>555</v>
      </c>
      <c r="DD214" s="28">
        <f t="shared" si="952"/>
        <v>60</v>
      </c>
      <c r="DE214" s="28">
        <f t="shared" si="952"/>
        <v>0</v>
      </c>
      <c r="DF214" s="28">
        <f t="shared" si="952"/>
        <v>0</v>
      </c>
      <c r="DG214" s="28">
        <f t="shared" si="952"/>
        <v>7032</v>
      </c>
      <c r="DH214" s="118">
        <f t="shared" si="717"/>
        <v>-0.88888888888888884</v>
      </c>
      <c r="DI214" s="28">
        <f t="shared" ref="DI214:DT214" si="953">+DI215+DI216</f>
        <v>540</v>
      </c>
      <c r="DJ214" s="28">
        <f t="shared" si="953"/>
        <v>540</v>
      </c>
      <c r="DK214" s="28">
        <f t="shared" si="953"/>
        <v>540</v>
      </c>
      <c r="DL214" s="28">
        <f t="shared" si="953"/>
        <v>540</v>
      </c>
      <c r="DM214" s="28">
        <f t="shared" si="953"/>
        <v>540</v>
      </c>
      <c r="DN214" s="28">
        <f t="shared" si="953"/>
        <v>540</v>
      </c>
      <c r="DO214" s="28">
        <f t="shared" si="953"/>
        <v>540</v>
      </c>
      <c r="DP214" s="28">
        <f t="shared" si="953"/>
        <v>540</v>
      </c>
      <c r="DQ214" s="28">
        <f t="shared" si="953"/>
        <v>540</v>
      </c>
      <c r="DR214" s="28">
        <f t="shared" si="953"/>
        <v>540</v>
      </c>
      <c r="DS214" s="28">
        <f t="shared" si="953"/>
        <v>540</v>
      </c>
      <c r="DT214" s="28">
        <f t="shared" si="953"/>
        <v>540</v>
      </c>
      <c r="DU214" s="58">
        <f>+SUM(DI214:DT214)</f>
        <v>6480</v>
      </c>
      <c r="DW214" s="28">
        <f t="shared" ref="DW214:EH214" si="954">+DW215+DW216</f>
        <v>0</v>
      </c>
      <c r="DX214" s="28">
        <f t="shared" si="954"/>
        <v>0</v>
      </c>
      <c r="DY214" s="28">
        <f t="shared" si="954"/>
        <v>0</v>
      </c>
      <c r="DZ214" s="28">
        <f t="shared" si="954"/>
        <v>0</v>
      </c>
      <c r="EA214" s="28">
        <f t="shared" si="954"/>
        <v>0</v>
      </c>
      <c r="EB214" s="28">
        <f t="shared" si="954"/>
        <v>0</v>
      </c>
      <c r="EC214" s="28">
        <f t="shared" si="954"/>
        <v>0</v>
      </c>
      <c r="ED214" s="28">
        <f t="shared" si="954"/>
        <v>0</v>
      </c>
      <c r="EE214" s="28">
        <f t="shared" si="954"/>
        <v>0</v>
      </c>
      <c r="EF214" s="28">
        <f t="shared" si="954"/>
        <v>0</v>
      </c>
      <c r="EG214" s="28">
        <f t="shared" si="954"/>
        <v>0</v>
      </c>
      <c r="EH214" s="28">
        <f t="shared" si="954"/>
        <v>0</v>
      </c>
      <c r="EI214" s="58">
        <f>+SUM(DW214:EH214)</f>
        <v>0</v>
      </c>
      <c r="EJ214" s="20" t="str">
        <f t="shared" si="887"/>
        <v>Donation</v>
      </c>
      <c r="EK214" s="28">
        <f t="shared" ref="EK214:EW214" si="955">+EK215+EK216</f>
        <v>900</v>
      </c>
      <c r="EL214" s="28">
        <f t="shared" si="955"/>
        <v>0</v>
      </c>
      <c r="EM214" s="28">
        <f t="shared" si="955"/>
        <v>0</v>
      </c>
      <c r="EN214" s="28">
        <f t="shared" si="955"/>
        <v>200</v>
      </c>
      <c r="EO214" s="28">
        <f t="shared" si="955"/>
        <v>0</v>
      </c>
      <c r="EP214" s="28">
        <f t="shared" si="955"/>
        <v>0</v>
      </c>
      <c r="EQ214" s="28">
        <f t="shared" si="955"/>
        <v>0</v>
      </c>
      <c r="ER214" s="28">
        <f t="shared" si="955"/>
        <v>100</v>
      </c>
      <c r="ES214" s="28">
        <f t="shared" si="955"/>
        <v>500</v>
      </c>
      <c r="ET214" s="28">
        <f t="shared" si="955"/>
        <v>100</v>
      </c>
      <c r="EU214" s="28">
        <f t="shared" si="955"/>
        <v>0</v>
      </c>
      <c r="EV214" s="28">
        <f t="shared" si="955"/>
        <v>0</v>
      </c>
      <c r="EW214" s="28">
        <f t="shared" si="955"/>
        <v>1800</v>
      </c>
      <c r="EX214" s="118">
        <f t="shared" si="721"/>
        <v>0</v>
      </c>
      <c r="EY214" s="28">
        <f t="shared" ref="EY214:FJ214" si="956">+EY215+EY216</f>
        <v>0</v>
      </c>
      <c r="EZ214" s="28">
        <f t="shared" si="956"/>
        <v>0</v>
      </c>
      <c r="FA214" s="28">
        <f t="shared" si="956"/>
        <v>0</v>
      </c>
      <c r="FB214" s="28">
        <f t="shared" si="956"/>
        <v>0</v>
      </c>
      <c r="FC214" s="28">
        <f t="shared" si="956"/>
        <v>0</v>
      </c>
      <c r="FD214" s="28">
        <f t="shared" si="956"/>
        <v>0</v>
      </c>
      <c r="FE214" s="28">
        <f t="shared" si="956"/>
        <v>0</v>
      </c>
      <c r="FF214" s="28">
        <f t="shared" si="956"/>
        <v>0</v>
      </c>
      <c r="FG214" s="28">
        <f t="shared" si="956"/>
        <v>0</v>
      </c>
      <c r="FH214" s="28">
        <f t="shared" si="956"/>
        <v>0</v>
      </c>
      <c r="FI214" s="28">
        <f t="shared" si="956"/>
        <v>0</v>
      </c>
      <c r="FJ214" s="28">
        <f t="shared" si="956"/>
        <v>0</v>
      </c>
      <c r="FK214" s="58">
        <f>+SUM(EY214:FJ214)</f>
        <v>0</v>
      </c>
    </row>
    <row r="215" spans="1:167" ht="14.45" hidden="1" customHeight="1" outlineLevel="2">
      <c r="A215" s="106">
        <f t="shared" ref="A215:L217" si="957">+AQ215+CG215+DW215</f>
        <v>0</v>
      </c>
      <c r="B215" s="106">
        <f t="shared" si="957"/>
        <v>0</v>
      </c>
      <c r="C215" s="106">
        <f t="shared" si="957"/>
        <v>0</v>
      </c>
      <c r="D215" s="106">
        <f t="shared" si="957"/>
        <v>0</v>
      </c>
      <c r="E215" s="106">
        <f t="shared" si="957"/>
        <v>0</v>
      </c>
      <c r="F215" s="106">
        <f t="shared" si="957"/>
        <v>0</v>
      </c>
      <c r="G215" s="106">
        <f t="shared" si="957"/>
        <v>0</v>
      </c>
      <c r="H215" s="106">
        <f t="shared" si="957"/>
        <v>0</v>
      </c>
      <c r="I215" s="106">
        <f t="shared" si="957"/>
        <v>0</v>
      </c>
      <c r="J215" s="106">
        <f t="shared" si="957"/>
        <v>0</v>
      </c>
      <c r="K215" s="106">
        <f t="shared" si="957"/>
        <v>0</v>
      </c>
      <c r="L215" s="106">
        <f t="shared" si="957"/>
        <v>0</v>
      </c>
      <c r="M215" s="106">
        <f t="shared" ref="M215:M217" si="958">+SUM(A215:L215)</f>
        <v>0</v>
      </c>
      <c r="N215" s="16" t="s">
        <v>181</v>
      </c>
      <c r="O215" s="22">
        <f t="shared" ref="O215:Z217" si="959">+BE215+CU215+EK215</f>
        <v>0</v>
      </c>
      <c r="P215" s="22">
        <f t="shared" si="959"/>
        <v>0</v>
      </c>
      <c r="Q215" s="22">
        <f t="shared" si="959"/>
        <v>0</v>
      </c>
      <c r="R215" s="22">
        <f t="shared" si="959"/>
        <v>0</v>
      </c>
      <c r="S215" s="22">
        <f t="shared" si="959"/>
        <v>0</v>
      </c>
      <c r="T215" s="22">
        <f t="shared" si="959"/>
        <v>0</v>
      </c>
      <c r="U215" s="22">
        <f t="shared" si="959"/>
        <v>0</v>
      </c>
      <c r="V215" s="22">
        <f t="shared" si="959"/>
        <v>0</v>
      </c>
      <c r="W215" s="22">
        <f t="shared" si="959"/>
        <v>0</v>
      </c>
      <c r="X215" s="22">
        <f t="shared" si="959"/>
        <v>0</v>
      </c>
      <c r="Y215" s="22">
        <f t="shared" si="959"/>
        <v>0</v>
      </c>
      <c r="Z215" s="22">
        <f t="shared" si="959"/>
        <v>0</v>
      </c>
      <c r="AA215" s="22">
        <f t="shared" ref="AA215:AA217" si="960">+SUM(O215:Z215)</f>
        <v>0</v>
      </c>
      <c r="AB215" s="118">
        <f t="shared" si="708"/>
        <v>0</v>
      </c>
      <c r="AC215" s="22">
        <f t="shared" ref="AC215:AN217" si="961">+BS215+DI215+EY215</f>
        <v>0</v>
      </c>
      <c r="AD215" s="22">
        <f t="shared" si="961"/>
        <v>0</v>
      </c>
      <c r="AE215" s="22">
        <f t="shared" si="961"/>
        <v>0</v>
      </c>
      <c r="AF215" s="22">
        <f t="shared" si="961"/>
        <v>0</v>
      </c>
      <c r="AG215" s="22">
        <f t="shared" si="961"/>
        <v>0</v>
      </c>
      <c r="AH215" s="22">
        <f t="shared" si="961"/>
        <v>0</v>
      </c>
      <c r="AI215" s="22">
        <f t="shared" si="961"/>
        <v>0</v>
      </c>
      <c r="AJ215" s="22">
        <f t="shared" si="961"/>
        <v>0</v>
      </c>
      <c r="AK215" s="22">
        <f t="shared" si="961"/>
        <v>0</v>
      </c>
      <c r="AL215" s="22">
        <f t="shared" si="961"/>
        <v>0</v>
      </c>
      <c r="AM215" s="22">
        <f t="shared" si="961"/>
        <v>0</v>
      </c>
      <c r="AN215" s="22">
        <f t="shared" si="961"/>
        <v>0</v>
      </c>
      <c r="AO215" s="22">
        <f t="shared" ref="AO215:AO217" si="962">+SUM(AC215:AN215)</f>
        <v>0</v>
      </c>
      <c r="AQ215" s="106">
        <v>0</v>
      </c>
      <c r="AR215" s="106">
        <v>0</v>
      </c>
      <c r="AS215" s="106">
        <v>0</v>
      </c>
      <c r="AT215" s="106">
        <v>0</v>
      </c>
      <c r="AU215" s="106">
        <v>0</v>
      </c>
      <c r="AV215" s="106">
        <v>0</v>
      </c>
      <c r="AW215" s="106">
        <v>0</v>
      </c>
      <c r="AX215" s="106">
        <v>0</v>
      </c>
      <c r="AY215" s="106">
        <v>0</v>
      </c>
      <c r="AZ215" s="106">
        <v>0</v>
      </c>
      <c r="BA215" s="106">
        <v>0</v>
      </c>
      <c r="BB215" s="106">
        <v>0</v>
      </c>
      <c r="BC215" s="106">
        <f t="shared" ref="BC215:BC219" si="963">+SUM(AQ215:BB215)</f>
        <v>0</v>
      </c>
      <c r="BD215" s="16" t="str">
        <f t="shared" si="885"/>
        <v>CSR Expenses</v>
      </c>
      <c r="BE215" s="22">
        <f>+VLOOKUP($BD215,'Jan-25'!$A:$J,4,0)</f>
        <v>0</v>
      </c>
      <c r="BF215" s="22">
        <f>+VLOOKUP($BD215,'Feb-25'!$A:$J,4,0)</f>
        <v>0</v>
      </c>
      <c r="BG215" s="22">
        <f>+VLOOKUP($BD215,'Mar-25'!$A:$J,4,0)</f>
        <v>0</v>
      </c>
      <c r="BH215" s="22">
        <f>+VLOOKUP($BD215,'Apr-25'!$A:$J,4,0)</f>
        <v>0</v>
      </c>
      <c r="BI215" s="22">
        <f>+VLOOKUP($BD215,'May-25'!$A:$J,4,0)</f>
        <v>0</v>
      </c>
      <c r="BJ215" s="22">
        <f>+VLOOKUP($BD215,'June-25'!$A:$J,4,0)</f>
        <v>0</v>
      </c>
      <c r="BK215" s="22">
        <f>+VLOOKUP($BD215,'July-25'!$A:$J,4,0)</f>
        <v>0</v>
      </c>
      <c r="BL215" s="22">
        <f>+VLOOKUP($BD215,'Aug-25'!$A:$J,4,0)</f>
        <v>0</v>
      </c>
      <c r="BM215" s="22">
        <f>+VLOOKUP($BD215,'Sep-25'!$A:$J,4,0)</f>
        <v>0</v>
      </c>
      <c r="BN215" s="22">
        <f>+VLOOKUP($BD215,'Oct-25'!$A:$J,4,0)</f>
        <v>0</v>
      </c>
      <c r="BO215" s="22">
        <f>+VLOOKUP($BD215,'Nov-25'!$A:$J,4,0)</f>
        <v>0</v>
      </c>
      <c r="BP215" s="22">
        <f>+VLOOKUP($BD215,'Dec-25'!$A:$J,4,0)</f>
        <v>0</v>
      </c>
      <c r="BQ215" s="22">
        <f t="shared" ref="BQ215:BQ216" si="964">+SUM(BE215:BP215)</f>
        <v>0</v>
      </c>
      <c r="BR215" s="118">
        <f t="shared" si="713"/>
        <v>0</v>
      </c>
      <c r="BS215" s="106">
        <f>+_xlfn.XLOOKUP($BD215,Budget!$A:$A,Budget!AQ:AQ)</f>
        <v>0</v>
      </c>
      <c r="BT215" s="106">
        <f>+_xlfn.XLOOKUP($BD215,Budget!$A:$A,Budget!AR:AR)</f>
        <v>0</v>
      </c>
      <c r="BU215" s="106">
        <f>+_xlfn.XLOOKUP($BD215,Budget!$A:$A,Budget!AS:AS)</f>
        <v>0</v>
      </c>
      <c r="BV215" s="106">
        <f>+_xlfn.XLOOKUP($BD215,Budget!$A:$A,Budget!AT:AT)</f>
        <v>0</v>
      </c>
      <c r="BW215" s="106">
        <f>+_xlfn.XLOOKUP($BD215,Budget!$A:$A,Budget!AU:AU)</f>
        <v>0</v>
      </c>
      <c r="BX215" s="106">
        <f>+_xlfn.XLOOKUP($BD215,Budget!$A:$A,Budget!AV:AV)</f>
        <v>0</v>
      </c>
      <c r="BY215" s="106">
        <f>+_xlfn.XLOOKUP($BD215,Budget!$A:$A,Budget!AW:AW)</f>
        <v>0</v>
      </c>
      <c r="BZ215" s="106">
        <f>+_xlfn.XLOOKUP($BD215,Budget!$A:$A,Budget!AX:AX)</f>
        <v>0</v>
      </c>
      <c r="CA215" s="106">
        <f>+_xlfn.XLOOKUP($BD215,Budget!$A:$A,Budget!AY:AY)</f>
        <v>0</v>
      </c>
      <c r="CB215" s="106">
        <f>+_xlfn.XLOOKUP($BD215,Budget!$A:$A,Budget!AZ:AZ)</f>
        <v>0</v>
      </c>
      <c r="CC215" s="106">
        <f>+_xlfn.XLOOKUP($BD215,Budget!$A:$A,Budget!BA:BA)</f>
        <v>0</v>
      </c>
      <c r="CD215" s="106">
        <f>+_xlfn.XLOOKUP($BD215,Budget!$A:$A,Budget!BB:BB)</f>
        <v>0</v>
      </c>
      <c r="CE215" s="106">
        <f t="shared" ref="CE215:CE219" si="965">+SUM(BS215:CD215)</f>
        <v>0</v>
      </c>
      <c r="CF215" s="22"/>
      <c r="CG215" s="22">
        <v>0</v>
      </c>
      <c r="CH215" s="22">
        <v>0</v>
      </c>
      <c r="CI215" s="22">
        <v>0</v>
      </c>
      <c r="CJ215" s="22">
        <v>0</v>
      </c>
      <c r="CK215" s="22">
        <v>0</v>
      </c>
      <c r="CL215" s="22">
        <v>0</v>
      </c>
      <c r="CM215" s="22">
        <v>0</v>
      </c>
      <c r="CN215" s="22">
        <v>0</v>
      </c>
      <c r="CO215" s="22">
        <v>0</v>
      </c>
      <c r="CP215" s="22">
        <v>0</v>
      </c>
      <c r="CQ215" s="22">
        <v>0</v>
      </c>
      <c r="CR215" s="22">
        <v>0</v>
      </c>
      <c r="CS215" s="106">
        <f t="shared" ref="CS215:CS219" si="966">+SUM(CG215:CR215)</f>
        <v>0</v>
      </c>
      <c r="CT215" s="16" t="str">
        <f t="shared" si="886"/>
        <v>CSR Expenses</v>
      </c>
      <c r="CU215" s="22">
        <f>+VLOOKUP($BD215,'Jan-25'!$A:$J,7,0)</f>
        <v>0</v>
      </c>
      <c r="CV215" s="22">
        <f>+VLOOKUP($BD215,'Feb-25'!$A:$J,7,0)</f>
        <v>0</v>
      </c>
      <c r="CW215" s="22">
        <f>+VLOOKUP($BD215,'Mar-25'!$A:$J,7,0)</f>
        <v>0</v>
      </c>
      <c r="CX215" s="22">
        <f>+VLOOKUP($BD215,'Apr-25'!$A:$J,7,0)</f>
        <v>0</v>
      </c>
      <c r="CY215" s="22">
        <f>+VLOOKUP($BD215,'May-25'!$A:$J,7,0)</f>
        <v>0</v>
      </c>
      <c r="CZ215" s="22">
        <f>+VLOOKUP($BD215,'June-25'!$A:$J,7,0)</f>
        <v>0</v>
      </c>
      <c r="DA215" s="22">
        <f>+VLOOKUP($BD215,'July-25'!$A:$J,7,0)</f>
        <v>0</v>
      </c>
      <c r="DB215" s="22">
        <f>+VLOOKUP($BD215,'Aug-25'!$A:$J,7,0)</f>
        <v>0</v>
      </c>
      <c r="DC215" s="22">
        <f>+VLOOKUP($BD215,'Sep-25'!$A:$J,7,0)</f>
        <v>0</v>
      </c>
      <c r="DD215" s="22">
        <f>+VLOOKUP($BD215,'Oct-25'!$A:$J,7,0)</f>
        <v>0</v>
      </c>
      <c r="DE215" s="22">
        <f>+VLOOKUP($BD215,'Nov-25'!$A:$J,7,0)</f>
        <v>0</v>
      </c>
      <c r="DF215" s="22">
        <f>+VLOOKUP($BD215,'Dec-25'!$A:$J,7,0)</f>
        <v>0</v>
      </c>
      <c r="DG215" s="22">
        <f t="shared" ref="DG215:DG216" si="967">+SUM(CU215:DF215)</f>
        <v>0</v>
      </c>
      <c r="DH215" s="118">
        <f t="shared" si="717"/>
        <v>0</v>
      </c>
      <c r="DI215" s="22">
        <f>+_xlfn.XLOOKUP($CT215,Budget!$A:$A,Budget!CD:CD)</f>
        <v>0</v>
      </c>
      <c r="DJ215" s="22">
        <f>+_xlfn.XLOOKUP($CT215,Budget!$A:$A,Budget!CE:CE)</f>
        <v>0</v>
      </c>
      <c r="DK215" s="22">
        <f>+_xlfn.XLOOKUP($CT215,Budget!$A:$A,Budget!CF:CF)</f>
        <v>0</v>
      </c>
      <c r="DL215" s="22">
        <f>+_xlfn.XLOOKUP($CT215,Budget!$A:$A,Budget!CG:CG)</f>
        <v>0</v>
      </c>
      <c r="DM215" s="22">
        <f>+_xlfn.XLOOKUP($CT215,Budget!$A:$A,Budget!CH:CH)</f>
        <v>0</v>
      </c>
      <c r="DN215" s="22">
        <f>+_xlfn.XLOOKUP($CT215,Budget!$A:$A,Budget!CI:CI)</f>
        <v>0</v>
      </c>
      <c r="DO215" s="22">
        <f>+_xlfn.XLOOKUP($CT215,Budget!$A:$A,Budget!CJ:CJ)</f>
        <v>0</v>
      </c>
      <c r="DP215" s="22">
        <f>+_xlfn.XLOOKUP($CT215,Budget!$A:$A,Budget!CK:CK)</f>
        <v>0</v>
      </c>
      <c r="DQ215" s="22">
        <f>+_xlfn.XLOOKUP($CT215,Budget!$A:$A,Budget!CL:CL)</f>
        <v>0</v>
      </c>
      <c r="DR215" s="22">
        <f>+_xlfn.XLOOKUP($CT215,Budget!$A:$A,Budget!CM:CM)</f>
        <v>0</v>
      </c>
      <c r="DS215" s="22">
        <f>+_xlfn.XLOOKUP($CT215,Budget!$A:$A,Budget!CN:CN)</f>
        <v>0</v>
      </c>
      <c r="DT215" s="22">
        <f>+_xlfn.XLOOKUP($CT215,Budget!$A:$A,Budget!CO:CO)</f>
        <v>0</v>
      </c>
      <c r="DU215" s="106">
        <f t="shared" ref="DU215:DU219" si="968">+SUM(DI215:DT215)</f>
        <v>0</v>
      </c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106">
        <f t="shared" ref="EI215:EI219" si="969">+SUM(DW215:EH215)</f>
        <v>0</v>
      </c>
      <c r="EJ215" s="16" t="str">
        <f t="shared" si="887"/>
        <v>CSR Expenses</v>
      </c>
      <c r="EK215" s="22">
        <f>+VLOOKUP($BD215,'Jan-25'!$A:$J,9,0)</f>
        <v>0</v>
      </c>
      <c r="EL215" s="22">
        <f>+VLOOKUP($BD215,'Feb-25'!$A:$J,9,0)</f>
        <v>0</v>
      </c>
      <c r="EM215" s="22">
        <f>+VLOOKUP($BD215,'Mar-25'!$A:$J,9,0)</f>
        <v>0</v>
      </c>
      <c r="EN215" s="22">
        <f>+VLOOKUP($BD215,'Apr-25'!$A:$J,9,0)</f>
        <v>0</v>
      </c>
      <c r="EO215" s="22">
        <f>+VLOOKUP($BD215,'May-25'!$A:$J,9,0)</f>
        <v>0</v>
      </c>
      <c r="EP215" s="22">
        <f>+VLOOKUP($BD215,'June-25'!$A:$J,9,0)</f>
        <v>0</v>
      </c>
      <c r="EQ215" s="22">
        <f>+VLOOKUP($BD215,'July-25'!$A:$J,9,0)</f>
        <v>0</v>
      </c>
      <c r="ER215" s="22">
        <f>+VLOOKUP($BD215,'Aug-25'!$A:$J,9,0)</f>
        <v>0</v>
      </c>
      <c r="ES215" s="22">
        <f>+VLOOKUP($BD215,'Sep-25'!$A:$J,9,0)</f>
        <v>0</v>
      </c>
      <c r="ET215" s="22">
        <f>+VLOOKUP($BD215,'Oct-25'!$A:$J,9,0)</f>
        <v>0</v>
      </c>
      <c r="EU215" s="22">
        <f>+VLOOKUP($BD215,'Nov-25'!$A:$J,9,0)</f>
        <v>0</v>
      </c>
      <c r="EV215" s="22">
        <f>+VLOOKUP($BD215,'Dec-25'!$A:$J,9,0)</f>
        <v>0</v>
      </c>
      <c r="EW215" s="22">
        <f t="shared" ref="EW215:EW216" si="970">+SUM(EK215:EV215)</f>
        <v>0</v>
      </c>
      <c r="EX215" s="118">
        <f t="shared" si="721"/>
        <v>0</v>
      </c>
      <c r="EY215" s="22">
        <f>+_xlfn.XLOOKUP($EJ215,Budget!$A:$A,Budget!DE:DE)</f>
        <v>0</v>
      </c>
      <c r="EZ215" s="22">
        <f>+_xlfn.XLOOKUP($EJ215,Budget!$A:$A,Budget!DF:DF)</f>
        <v>0</v>
      </c>
      <c r="FA215" s="22">
        <f>+_xlfn.XLOOKUP($EJ215,Budget!$A:$A,Budget!DG:DG)</f>
        <v>0</v>
      </c>
      <c r="FB215" s="22">
        <f>+_xlfn.XLOOKUP($EJ215,Budget!$A:$A,Budget!DH:DH)</f>
        <v>0</v>
      </c>
      <c r="FC215" s="22">
        <f>+_xlfn.XLOOKUP($EJ215,Budget!$A:$A,Budget!DI:DI)</f>
        <v>0</v>
      </c>
      <c r="FD215" s="22">
        <f>+_xlfn.XLOOKUP($EJ215,Budget!$A:$A,Budget!DJ:DJ)</f>
        <v>0</v>
      </c>
      <c r="FE215" s="22">
        <f>+_xlfn.XLOOKUP($EJ215,Budget!$A:$A,Budget!DK:DK)</f>
        <v>0</v>
      </c>
      <c r="FF215" s="22">
        <f>+_xlfn.XLOOKUP($EJ215,Budget!$A:$A,Budget!DL:DL)</f>
        <v>0</v>
      </c>
      <c r="FG215" s="22">
        <f>+_xlfn.XLOOKUP($EJ215,Budget!$A:$A,Budget!DM:DM)</f>
        <v>0</v>
      </c>
      <c r="FH215" s="22">
        <f>+_xlfn.XLOOKUP($EJ215,Budget!$A:$A,Budget!DN:DN)</f>
        <v>0</v>
      </c>
      <c r="FI215" s="22">
        <f>+_xlfn.XLOOKUP($EJ215,Budget!$A:$A,Budget!DO:DO)</f>
        <v>0</v>
      </c>
      <c r="FJ215" s="22">
        <f>+_xlfn.XLOOKUP($EJ215,Budget!$A:$A,Budget!DP:DP)</f>
        <v>0</v>
      </c>
      <c r="FK215" s="106">
        <f t="shared" ref="FK215:FK219" si="971">+SUM(EY215:FJ215)</f>
        <v>0</v>
      </c>
    </row>
    <row r="216" spans="1:167" ht="14.45" hidden="1" customHeight="1" outlineLevel="2">
      <c r="A216" s="106">
        <f t="shared" si="957"/>
        <v>2560</v>
      </c>
      <c r="B216" s="106">
        <f t="shared" si="957"/>
        <v>1300</v>
      </c>
      <c r="C216" s="106">
        <f t="shared" si="957"/>
        <v>2030</v>
      </c>
      <c r="D216" s="106">
        <f t="shared" si="957"/>
        <v>1500</v>
      </c>
      <c r="E216" s="106">
        <f t="shared" si="957"/>
        <v>920</v>
      </c>
      <c r="F216" s="106">
        <f t="shared" si="957"/>
        <v>1470</v>
      </c>
      <c r="G216" s="106">
        <f t="shared" si="957"/>
        <v>1120</v>
      </c>
      <c r="H216" s="106">
        <f t="shared" si="957"/>
        <v>1980</v>
      </c>
      <c r="I216" s="106">
        <f t="shared" si="957"/>
        <v>1420</v>
      </c>
      <c r="J216" s="106">
        <f t="shared" si="957"/>
        <v>2040</v>
      </c>
      <c r="K216" s="106">
        <f t="shared" si="957"/>
        <v>3030</v>
      </c>
      <c r="L216" s="106">
        <f t="shared" si="957"/>
        <v>1390</v>
      </c>
      <c r="M216" s="106">
        <f t="shared" si="958"/>
        <v>20760</v>
      </c>
      <c r="N216" s="16" t="s">
        <v>182</v>
      </c>
      <c r="O216" s="22">
        <f t="shared" si="959"/>
        <v>1990</v>
      </c>
      <c r="P216" s="22">
        <f t="shared" si="959"/>
        <v>7550</v>
      </c>
      <c r="Q216" s="22">
        <f t="shared" si="959"/>
        <v>2105</v>
      </c>
      <c r="R216" s="22">
        <f t="shared" si="959"/>
        <v>1170</v>
      </c>
      <c r="S216" s="22">
        <f t="shared" si="959"/>
        <v>780</v>
      </c>
      <c r="T216" s="22">
        <f t="shared" si="959"/>
        <v>1620</v>
      </c>
      <c r="U216" s="22">
        <f t="shared" si="959"/>
        <v>2510</v>
      </c>
      <c r="V216" s="22">
        <f t="shared" si="959"/>
        <v>2442</v>
      </c>
      <c r="W216" s="22">
        <f t="shared" si="959"/>
        <v>2555</v>
      </c>
      <c r="X216" s="22">
        <f t="shared" si="959"/>
        <v>2310</v>
      </c>
      <c r="Y216" s="22">
        <f t="shared" si="959"/>
        <v>0</v>
      </c>
      <c r="Z216" s="22">
        <f t="shared" si="959"/>
        <v>0</v>
      </c>
      <c r="AA216" s="22">
        <f t="shared" si="960"/>
        <v>25032</v>
      </c>
      <c r="AB216" s="118">
        <f t="shared" si="708"/>
        <v>0.42592592592592593</v>
      </c>
      <c r="AC216" s="22">
        <f t="shared" si="961"/>
        <v>1620</v>
      </c>
      <c r="AD216" s="22">
        <f t="shared" si="961"/>
        <v>1620</v>
      </c>
      <c r="AE216" s="22">
        <f t="shared" si="961"/>
        <v>1620</v>
      </c>
      <c r="AF216" s="22">
        <f t="shared" si="961"/>
        <v>1620</v>
      </c>
      <c r="AG216" s="22">
        <f t="shared" si="961"/>
        <v>1620</v>
      </c>
      <c r="AH216" s="22">
        <f t="shared" si="961"/>
        <v>1620</v>
      </c>
      <c r="AI216" s="22">
        <f t="shared" si="961"/>
        <v>1620</v>
      </c>
      <c r="AJ216" s="22">
        <f t="shared" si="961"/>
        <v>1620</v>
      </c>
      <c r="AK216" s="22">
        <f t="shared" si="961"/>
        <v>1620</v>
      </c>
      <c r="AL216" s="22">
        <f t="shared" si="961"/>
        <v>1620</v>
      </c>
      <c r="AM216" s="22">
        <f t="shared" si="961"/>
        <v>1620</v>
      </c>
      <c r="AN216" s="22">
        <f t="shared" si="961"/>
        <v>1620</v>
      </c>
      <c r="AO216" s="22">
        <f t="shared" si="962"/>
        <v>19440</v>
      </c>
      <c r="AQ216" s="106">
        <v>850</v>
      </c>
      <c r="AR216" s="106">
        <v>400</v>
      </c>
      <c r="AS216" s="106">
        <v>800</v>
      </c>
      <c r="AT216" s="106">
        <v>900</v>
      </c>
      <c r="AU216" s="106">
        <v>500</v>
      </c>
      <c r="AV216" s="106">
        <v>750</v>
      </c>
      <c r="AW216" s="106">
        <v>850</v>
      </c>
      <c r="AX216" s="106">
        <v>900</v>
      </c>
      <c r="AY216" s="106">
        <v>400</v>
      </c>
      <c r="AZ216" s="106">
        <v>1800</v>
      </c>
      <c r="BA216" s="106">
        <v>2100</v>
      </c>
      <c r="BB216" s="106">
        <v>1000</v>
      </c>
      <c r="BC216" s="106">
        <f t="shared" si="963"/>
        <v>11250</v>
      </c>
      <c r="BD216" s="16" t="str">
        <f t="shared" si="885"/>
        <v>Other Donation</v>
      </c>
      <c r="BE216" s="22">
        <f>+VLOOKUP($BD216,'Jan-25'!$A:$J,4,0)</f>
        <v>400</v>
      </c>
      <c r="BF216" s="22">
        <f>+VLOOKUP($BD216,'Feb-25'!$A:$J,4,0)</f>
        <v>5300</v>
      </c>
      <c r="BG216" s="22">
        <f>+VLOOKUP($BD216,'Mar-25'!$A:$J,4,0)</f>
        <v>1400</v>
      </c>
      <c r="BH216" s="22">
        <f>+VLOOKUP($BD216,'Apr-25'!$A:$J,4,0)</f>
        <v>400</v>
      </c>
      <c r="BI216" s="22">
        <f>+VLOOKUP($BD216,'May-25'!$A:$J,4,0)</f>
        <v>600</v>
      </c>
      <c r="BJ216" s="22">
        <f>+VLOOKUP($BD216,'June-25'!$A:$J,4,0)</f>
        <v>1050</v>
      </c>
      <c r="BK216" s="22">
        <f>+VLOOKUP($BD216,'July-25'!$A:$J,4,0)</f>
        <v>1700</v>
      </c>
      <c r="BL216" s="22">
        <f>+VLOOKUP($BD216,'Aug-25'!$A:$J,4,0)</f>
        <v>1700</v>
      </c>
      <c r="BM216" s="22">
        <f>+VLOOKUP($BD216,'Sep-25'!$A:$J,4,0)</f>
        <v>1500</v>
      </c>
      <c r="BN216" s="22">
        <f>+VLOOKUP($BD216,'Oct-25'!$A:$J,4,0)</f>
        <v>2150</v>
      </c>
      <c r="BO216" s="22">
        <f>+VLOOKUP($BD216,'Nov-25'!$A:$J,4,0)</f>
        <v>0</v>
      </c>
      <c r="BP216" s="22">
        <f>+VLOOKUP($BD216,'Dec-25'!$A:$J,4,0)</f>
        <v>0</v>
      </c>
      <c r="BQ216" s="22">
        <f t="shared" si="964"/>
        <v>16200</v>
      </c>
      <c r="BR216" s="118">
        <f t="shared" si="713"/>
        <v>0.9907407407407407</v>
      </c>
      <c r="BS216" s="106">
        <f>+_xlfn.XLOOKUP($BD216,Budget!$A:$A,Budget!AQ:AQ)</f>
        <v>1080</v>
      </c>
      <c r="BT216" s="106">
        <f>+_xlfn.XLOOKUP($BD216,Budget!$A:$A,Budget!AR:AR)</f>
        <v>1080</v>
      </c>
      <c r="BU216" s="106">
        <f>+_xlfn.XLOOKUP($BD216,Budget!$A:$A,Budget!AS:AS)</f>
        <v>1080</v>
      </c>
      <c r="BV216" s="106">
        <f>+_xlfn.XLOOKUP($BD216,Budget!$A:$A,Budget!AT:AT)</f>
        <v>1080</v>
      </c>
      <c r="BW216" s="106">
        <f>+_xlfn.XLOOKUP($BD216,Budget!$A:$A,Budget!AU:AU)</f>
        <v>1080</v>
      </c>
      <c r="BX216" s="106">
        <f>+_xlfn.XLOOKUP($BD216,Budget!$A:$A,Budget!AV:AV)</f>
        <v>1080</v>
      </c>
      <c r="BY216" s="106">
        <f>+_xlfn.XLOOKUP($BD216,Budget!$A:$A,Budget!AW:AW)</f>
        <v>1080</v>
      </c>
      <c r="BZ216" s="106">
        <f>+_xlfn.XLOOKUP($BD216,Budget!$A:$A,Budget!AX:AX)</f>
        <v>1080</v>
      </c>
      <c r="CA216" s="106">
        <f>+_xlfn.XLOOKUP($BD216,Budget!$A:$A,Budget!AY:AY)</f>
        <v>1080</v>
      </c>
      <c r="CB216" s="106">
        <f>+_xlfn.XLOOKUP($BD216,Budget!$A:$A,Budget!AZ:AZ)</f>
        <v>1080</v>
      </c>
      <c r="CC216" s="106">
        <f>+_xlfn.XLOOKUP($BD216,Budget!$A:$A,Budget!BA:BA)</f>
        <v>1080</v>
      </c>
      <c r="CD216" s="106">
        <f>+_xlfn.XLOOKUP($BD216,Budget!$A:$A,Budget!BB:BB)</f>
        <v>1080</v>
      </c>
      <c r="CE216" s="106">
        <f t="shared" si="965"/>
        <v>12960</v>
      </c>
      <c r="CF216" s="22"/>
      <c r="CG216" s="22">
        <v>1710</v>
      </c>
      <c r="CH216" s="22">
        <v>900</v>
      </c>
      <c r="CI216" s="22">
        <v>1230</v>
      </c>
      <c r="CJ216" s="22">
        <v>600</v>
      </c>
      <c r="CK216" s="22">
        <v>420</v>
      </c>
      <c r="CL216" s="22">
        <v>720</v>
      </c>
      <c r="CM216" s="22">
        <v>270</v>
      </c>
      <c r="CN216" s="22">
        <v>1080</v>
      </c>
      <c r="CO216" s="22">
        <v>1020</v>
      </c>
      <c r="CP216" s="22">
        <v>240</v>
      </c>
      <c r="CQ216" s="22">
        <v>930</v>
      </c>
      <c r="CR216" s="22">
        <v>390</v>
      </c>
      <c r="CS216" s="106">
        <f t="shared" si="966"/>
        <v>9510</v>
      </c>
      <c r="CT216" s="16" t="str">
        <f t="shared" si="886"/>
        <v>Other Donation</v>
      </c>
      <c r="CU216" s="22">
        <f>+VLOOKUP($BD216,'Jan-25'!$A:$J,7,0)</f>
        <v>690</v>
      </c>
      <c r="CV216" s="22">
        <f>+VLOOKUP($BD216,'Feb-25'!$A:$J,7,0)</f>
        <v>2250</v>
      </c>
      <c r="CW216" s="22">
        <f>+VLOOKUP($BD216,'Mar-25'!$A:$J,7,0)</f>
        <v>705</v>
      </c>
      <c r="CX216" s="22">
        <f>+VLOOKUP($BD216,'Apr-25'!$A:$J,7,0)</f>
        <v>570</v>
      </c>
      <c r="CY216" s="22">
        <f>+VLOOKUP($BD216,'May-25'!$A:$J,7,0)</f>
        <v>180</v>
      </c>
      <c r="CZ216" s="22">
        <f>+VLOOKUP($BD216,'June-25'!$A:$J,7,0)</f>
        <v>570</v>
      </c>
      <c r="DA216" s="22">
        <f>+VLOOKUP($BD216,'July-25'!$A:$J,7,0)</f>
        <v>810</v>
      </c>
      <c r="DB216" s="22">
        <f>+VLOOKUP($BD216,'Aug-25'!$A:$J,7,0)</f>
        <v>642</v>
      </c>
      <c r="DC216" s="22">
        <f>+VLOOKUP($BD216,'Sep-25'!$A:$J,7,0)</f>
        <v>555</v>
      </c>
      <c r="DD216" s="22">
        <f>+VLOOKUP($BD216,'Oct-25'!$A:$J,7,0)</f>
        <v>60</v>
      </c>
      <c r="DE216" s="22">
        <f>+VLOOKUP($BD216,'Nov-25'!$A:$J,7,0)</f>
        <v>0</v>
      </c>
      <c r="DF216" s="22">
        <f>+VLOOKUP($BD216,'Dec-25'!$A:$J,7,0)</f>
        <v>0</v>
      </c>
      <c r="DG216" s="22">
        <f t="shared" si="967"/>
        <v>7032</v>
      </c>
      <c r="DH216" s="118">
        <f t="shared" si="717"/>
        <v>-0.88888888888888884</v>
      </c>
      <c r="DI216" s="22">
        <f>+_xlfn.XLOOKUP($CT216,Budget!$A:$A,Budget!CD:CD)</f>
        <v>540</v>
      </c>
      <c r="DJ216" s="22">
        <f>+_xlfn.XLOOKUP($CT216,Budget!$A:$A,Budget!CE:CE)</f>
        <v>540</v>
      </c>
      <c r="DK216" s="22">
        <f>+_xlfn.XLOOKUP($CT216,Budget!$A:$A,Budget!CF:CF)</f>
        <v>540</v>
      </c>
      <c r="DL216" s="22">
        <f>+_xlfn.XLOOKUP($CT216,Budget!$A:$A,Budget!CG:CG)</f>
        <v>540</v>
      </c>
      <c r="DM216" s="22">
        <f>+_xlfn.XLOOKUP($CT216,Budget!$A:$A,Budget!CH:CH)</f>
        <v>540</v>
      </c>
      <c r="DN216" s="22">
        <f>+_xlfn.XLOOKUP($CT216,Budget!$A:$A,Budget!CI:CI)</f>
        <v>540</v>
      </c>
      <c r="DO216" s="22">
        <f>+_xlfn.XLOOKUP($CT216,Budget!$A:$A,Budget!CJ:CJ)</f>
        <v>540</v>
      </c>
      <c r="DP216" s="22">
        <f>+_xlfn.XLOOKUP($CT216,Budget!$A:$A,Budget!CK:CK)</f>
        <v>540</v>
      </c>
      <c r="DQ216" s="22">
        <f>+_xlfn.XLOOKUP($CT216,Budget!$A:$A,Budget!CL:CL)</f>
        <v>540</v>
      </c>
      <c r="DR216" s="22">
        <f>+_xlfn.XLOOKUP($CT216,Budget!$A:$A,Budget!CM:CM)</f>
        <v>540</v>
      </c>
      <c r="DS216" s="22">
        <f>+_xlfn.XLOOKUP($CT216,Budget!$A:$A,Budget!CN:CN)</f>
        <v>540</v>
      </c>
      <c r="DT216" s="22">
        <f>+_xlfn.XLOOKUP($CT216,Budget!$A:$A,Budget!CO:CO)</f>
        <v>540</v>
      </c>
      <c r="DU216" s="106">
        <f t="shared" si="968"/>
        <v>6480</v>
      </c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106">
        <f t="shared" si="969"/>
        <v>0</v>
      </c>
      <c r="EJ216" s="16" t="str">
        <f t="shared" si="887"/>
        <v>Other Donation</v>
      </c>
      <c r="EK216" s="22">
        <f>+VLOOKUP($BD216,'Jan-25'!$A:$J,9,0)</f>
        <v>900</v>
      </c>
      <c r="EL216" s="22">
        <f>+VLOOKUP($BD216,'Feb-25'!$A:$J,9,0)</f>
        <v>0</v>
      </c>
      <c r="EM216" s="22">
        <f>+VLOOKUP($BD216,'Mar-25'!$A:$J,9,0)</f>
        <v>0</v>
      </c>
      <c r="EN216" s="22">
        <f>+VLOOKUP($BD216,'Apr-25'!$A:$J,9,0)</f>
        <v>200</v>
      </c>
      <c r="EO216" s="22">
        <f>+VLOOKUP($BD216,'May-25'!$A:$J,9,0)</f>
        <v>0</v>
      </c>
      <c r="EP216" s="22">
        <f>+VLOOKUP($BD216,'June-25'!$A:$J,9,0)</f>
        <v>0</v>
      </c>
      <c r="EQ216" s="22">
        <f>+VLOOKUP($BD216,'July-25'!$A:$J,9,0)</f>
        <v>0</v>
      </c>
      <c r="ER216" s="22">
        <f>+VLOOKUP($BD216,'Aug-25'!$A:$J,9,0)</f>
        <v>100</v>
      </c>
      <c r="ES216" s="22">
        <f>+VLOOKUP($BD216,'Sep-25'!$A:$J,9,0)</f>
        <v>500</v>
      </c>
      <c r="ET216" s="22">
        <f>+VLOOKUP($BD216,'Oct-25'!$A:$J,9,0)</f>
        <v>100</v>
      </c>
      <c r="EU216" s="22">
        <f>+VLOOKUP($BD216,'Nov-25'!$A:$J,9,0)</f>
        <v>0</v>
      </c>
      <c r="EV216" s="22">
        <f>+VLOOKUP($BD216,'Dec-25'!$A:$J,9,0)</f>
        <v>0</v>
      </c>
      <c r="EW216" s="22">
        <f t="shared" si="970"/>
        <v>1800</v>
      </c>
      <c r="EX216" s="118">
        <f t="shared" si="721"/>
        <v>0</v>
      </c>
      <c r="EY216" s="22">
        <f>+_xlfn.XLOOKUP($EJ216,Budget!$A:$A,Budget!DE:DE)</f>
        <v>0</v>
      </c>
      <c r="EZ216" s="22">
        <f>+_xlfn.XLOOKUP($EJ216,Budget!$A:$A,Budget!DF:DF)</f>
        <v>0</v>
      </c>
      <c r="FA216" s="22">
        <f>+_xlfn.XLOOKUP($EJ216,Budget!$A:$A,Budget!DG:DG)</f>
        <v>0</v>
      </c>
      <c r="FB216" s="22">
        <f>+_xlfn.XLOOKUP($EJ216,Budget!$A:$A,Budget!DH:DH)</f>
        <v>0</v>
      </c>
      <c r="FC216" s="22">
        <f>+_xlfn.XLOOKUP($EJ216,Budget!$A:$A,Budget!DI:DI)</f>
        <v>0</v>
      </c>
      <c r="FD216" s="22">
        <f>+_xlfn.XLOOKUP($EJ216,Budget!$A:$A,Budget!DJ:DJ)</f>
        <v>0</v>
      </c>
      <c r="FE216" s="22">
        <f>+_xlfn.XLOOKUP($EJ216,Budget!$A:$A,Budget!DK:DK)</f>
        <v>0</v>
      </c>
      <c r="FF216" s="22">
        <f>+_xlfn.XLOOKUP($EJ216,Budget!$A:$A,Budget!DL:DL)</f>
        <v>0</v>
      </c>
      <c r="FG216" s="22">
        <f>+_xlfn.XLOOKUP($EJ216,Budget!$A:$A,Budget!DM:DM)</f>
        <v>0</v>
      </c>
      <c r="FH216" s="22">
        <f>+_xlfn.XLOOKUP($EJ216,Budget!$A:$A,Budget!DN:DN)</f>
        <v>0</v>
      </c>
      <c r="FI216" s="22">
        <f>+_xlfn.XLOOKUP($EJ216,Budget!$A:$A,Budget!DO:DO)</f>
        <v>0</v>
      </c>
      <c r="FJ216" s="22">
        <f>+_xlfn.XLOOKUP($EJ216,Budget!$A:$A,Budget!DP:DP)</f>
        <v>0</v>
      </c>
      <c r="FK216" s="106">
        <f t="shared" si="971"/>
        <v>0</v>
      </c>
    </row>
    <row r="217" spans="1:167" ht="14.45" hidden="1" customHeight="1" outlineLevel="2">
      <c r="A217" s="106">
        <f t="shared" si="957"/>
        <v>0</v>
      </c>
      <c r="B217" s="106">
        <f t="shared" si="957"/>
        <v>0</v>
      </c>
      <c r="C217" s="106">
        <f t="shared" si="957"/>
        <v>0</v>
      </c>
      <c r="D217" s="106">
        <f t="shared" si="957"/>
        <v>0</v>
      </c>
      <c r="E217" s="106">
        <f t="shared" si="957"/>
        <v>0</v>
      </c>
      <c r="F217" s="106">
        <f t="shared" si="957"/>
        <v>0</v>
      </c>
      <c r="G217" s="106">
        <f t="shared" si="957"/>
        <v>0</v>
      </c>
      <c r="H217" s="106">
        <f t="shared" si="957"/>
        <v>0</v>
      </c>
      <c r="I217" s="106">
        <f t="shared" si="957"/>
        <v>0</v>
      </c>
      <c r="J217" s="106">
        <f t="shared" si="957"/>
        <v>0</v>
      </c>
      <c r="K217" s="106">
        <f t="shared" si="957"/>
        <v>0</v>
      </c>
      <c r="L217" s="106">
        <f t="shared" si="957"/>
        <v>0</v>
      </c>
      <c r="M217" s="106">
        <f t="shared" si="958"/>
        <v>0</v>
      </c>
      <c r="N217" s="16"/>
      <c r="O217" s="22">
        <f t="shared" si="959"/>
        <v>0</v>
      </c>
      <c r="P217" s="22">
        <f t="shared" si="959"/>
        <v>0</v>
      </c>
      <c r="Q217" s="22">
        <f t="shared" si="959"/>
        <v>0</v>
      </c>
      <c r="R217" s="22">
        <f t="shared" si="959"/>
        <v>0</v>
      </c>
      <c r="S217" s="22">
        <f t="shared" si="959"/>
        <v>0</v>
      </c>
      <c r="T217" s="22">
        <f t="shared" si="959"/>
        <v>0</v>
      </c>
      <c r="U217" s="22">
        <f t="shared" si="959"/>
        <v>0</v>
      </c>
      <c r="V217" s="22">
        <f t="shared" si="959"/>
        <v>0</v>
      </c>
      <c r="W217" s="22">
        <f t="shared" si="959"/>
        <v>0</v>
      </c>
      <c r="X217" s="22">
        <f t="shared" si="959"/>
        <v>0</v>
      </c>
      <c r="Y217" s="22">
        <f t="shared" si="959"/>
        <v>0</v>
      </c>
      <c r="Z217" s="22">
        <f t="shared" si="959"/>
        <v>0</v>
      </c>
      <c r="AA217" s="22">
        <f t="shared" si="960"/>
        <v>0</v>
      </c>
      <c r="AB217" s="118">
        <f t="shared" si="708"/>
        <v>0</v>
      </c>
      <c r="AC217" s="22">
        <f t="shared" si="961"/>
        <v>0</v>
      </c>
      <c r="AD217" s="22">
        <f t="shared" si="961"/>
        <v>0</v>
      </c>
      <c r="AE217" s="22">
        <f t="shared" si="961"/>
        <v>0</v>
      </c>
      <c r="AF217" s="22">
        <f t="shared" si="961"/>
        <v>0</v>
      </c>
      <c r="AG217" s="22">
        <f t="shared" si="961"/>
        <v>0</v>
      </c>
      <c r="AH217" s="22">
        <f t="shared" si="961"/>
        <v>0</v>
      </c>
      <c r="AI217" s="22">
        <f t="shared" si="961"/>
        <v>0</v>
      </c>
      <c r="AJ217" s="22">
        <f t="shared" si="961"/>
        <v>0</v>
      </c>
      <c r="AK217" s="22">
        <f t="shared" si="961"/>
        <v>0</v>
      </c>
      <c r="AL217" s="22">
        <f t="shared" si="961"/>
        <v>0</v>
      </c>
      <c r="AM217" s="22">
        <f t="shared" si="961"/>
        <v>0</v>
      </c>
      <c r="AN217" s="22">
        <f t="shared" si="961"/>
        <v>0</v>
      </c>
      <c r="AO217" s="22">
        <f t="shared" si="962"/>
        <v>0</v>
      </c>
      <c r="AQ217" s="106">
        <v>0</v>
      </c>
      <c r="AR217" s="106">
        <v>0</v>
      </c>
      <c r="AS217" s="106">
        <v>0</v>
      </c>
      <c r="AT217" s="106">
        <v>0</v>
      </c>
      <c r="AU217" s="106">
        <v>0</v>
      </c>
      <c r="AV217" s="106">
        <v>0</v>
      </c>
      <c r="AW217" s="106">
        <v>0</v>
      </c>
      <c r="AX217" s="106">
        <v>0</v>
      </c>
      <c r="AY217" s="106">
        <v>0</v>
      </c>
      <c r="AZ217" s="106">
        <v>0</v>
      </c>
      <c r="BA217" s="106">
        <v>0</v>
      </c>
      <c r="BB217" s="106">
        <v>0</v>
      </c>
      <c r="BC217" s="106">
        <f t="shared" si="963"/>
        <v>0</v>
      </c>
      <c r="BD217" s="16">
        <f t="shared" si="885"/>
        <v>0</v>
      </c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118">
        <f t="shared" si="713"/>
        <v>0</v>
      </c>
      <c r="BS217" s="106"/>
      <c r="BT217" s="106"/>
      <c r="BU217" s="106"/>
      <c r="BV217" s="106"/>
      <c r="BW217" s="106"/>
      <c r="BX217" s="106"/>
      <c r="BY217" s="106"/>
      <c r="BZ217" s="106"/>
      <c r="CA217" s="106"/>
      <c r="CB217" s="106"/>
      <c r="CC217" s="106"/>
      <c r="CD217" s="106"/>
      <c r="CE217" s="106">
        <f t="shared" si="965"/>
        <v>0</v>
      </c>
      <c r="CF217" s="22"/>
      <c r="CG217" s="22">
        <v>0</v>
      </c>
      <c r="CH217" s="22">
        <v>0</v>
      </c>
      <c r="CI217" s="22">
        <v>0</v>
      </c>
      <c r="CJ217" s="22">
        <v>0</v>
      </c>
      <c r="CK217" s="22">
        <v>0</v>
      </c>
      <c r="CL217" s="22">
        <v>0</v>
      </c>
      <c r="CM217" s="22">
        <v>0</v>
      </c>
      <c r="CN217" s="22">
        <v>0</v>
      </c>
      <c r="CO217" s="22">
        <v>0</v>
      </c>
      <c r="CP217" s="22">
        <v>0</v>
      </c>
      <c r="CQ217" s="22">
        <v>0</v>
      </c>
      <c r="CR217" s="22">
        <v>0</v>
      </c>
      <c r="CS217" s="106">
        <f t="shared" si="966"/>
        <v>0</v>
      </c>
      <c r="CT217" s="16">
        <f t="shared" si="886"/>
        <v>0</v>
      </c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118">
        <f t="shared" si="717"/>
        <v>0</v>
      </c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106">
        <f t="shared" si="968"/>
        <v>0</v>
      </c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106">
        <f t="shared" si="969"/>
        <v>0</v>
      </c>
      <c r="EJ217" s="16">
        <f t="shared" si="887"/>
        <v>0</v>
      </c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118">
        <f t="shared" si="721"/>
        <v>0</v>
      </c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106">
        <f t="shared" si="971"/>
        <v>0</v>
      </c>
    </row>
    <row r="218" spans="1:167" ht="14.45" customHeight="1" collapsed="1">
      <c r="A218" s="58">
        <f t="shared" ref="A218:L218" si="972">+A219+A223+A227</f>
        <v>27119.229299999999</v>
      </c>
      <c r="B218" s="58">
        <f t="shared" si="972"/>
        <v>59503.801499999994</v>
      </c>
      <c r="C218" s="58">
        <f t="shared" si="972"/>
        <v>82735.627500000002</v>
      </c>
      <c r="D218" s="58">
        <f t="shared" si="972"/>
        <v>28978.989299999994</v>
      </c>
      <c r="E218" s="58">
        <f t="shared" si="972"/>
        <v>21218.203799999999</v>
      </c>
      <c r="F218" s="58">
        <f t="shared" si="972"/>
        <v>33757.379100000006</v>
      </c>
      <c r="G218" s="58">
        <f t="shared" si="972"/>
        <v>53305.27919999999</v>
      </c>
      <c r="H218" s="58">
        <f t="shared" si="972"/>
        <v>47617.327400000002</v>
      </c>
      <c r="I218" s="58">
        <f t="shared" si="972"/>
        <v>40475.689199999993</v>
      </c>
      <c r="J218" s="58">
        <f t="shared" si="972"/>
        <v>43504.522199999999</v>
      </c>
      <c r="K218" s="58">
        <f t="shared" si="972"/>
        <v>169642.1421</v>
      </c>
      <c r="L218" s="58">
        <f t="shared" si="972"/>
        <v>48010.482000000004</v>
      </c>
      <c r="M218" s="58"/>
      <c r="N218" s="17" t="s">
        <v>183</v>
      </c>
      <c r="O218" s="28">
        <f t="shared" ref="O218:AA218" si="973">+O219+O223+O227</f>
        <v>60414.84629999999</v>
      </c>
      <c r="P218" s="28">
        <f t="shared" si="973"/>
        <v>37349.410499999998</v>
      </c>
      <c r="Q218" s="28">
        <f t="shared" si="973"/>
        <v>61005.941099999996</v>
      </c>
      <c r="R218" s="28">
        <f t="shared" si="973"/>
        <v>32525.863199999996</v>
      </c>
      <c r="S218" s="28">
        <f t="shared" si="973"/>
        <v>64450.973699999995</v>
      </c>
      <c r="T218" s="28">
        <f t="shared" si="973"/>
        <v>40112.120699999999</v>
      </c>
      <c r="U218" s="28">
        <f t="shared" si="973"/>
        <v>34816.259699999995</v>
      </c>
      <c r="V218" s="28">
        <f t="shared" si="973"/>
        <v>41508.285300000003</v>
      </c>
      <c r="W218" s="28">
        <f t="shared" si="973"/>
        <v>28673.7732</v>
      </c>
      <c r="X218" s="28">
        <f t="shared" si="973"/>
        <v>48728.314799999993</v>
      </c>
      <c r="Y218" s="28">
        <f t="shared" si="973"/>
        <v>0</v>
      </c>
      <c r="Z218" s="28">
        <f t="shared" si="973"/>
        <v>0</v>
      </c>
      <c r="AA218" s="28">
        <f t="shared" si="973"/>
        <v>449585.78849999991</v>
      </c>
      <c r="AB218" s="118">
        <f t="shared" si="708"/>
        <v>-0.17758118481012669</v>
      </c>
      <c r="AC218" s="28">
        <f t="shared" ref="AC218:AN218" si="974">+AC219+AC223+AC227</f>
        <v>59250</v>
      </c>
      <c r="AD218" s="28">
        <f t="shared" si="974"/>
        <v>59250</v>
      </c>
      <c r="AE218" s="28">
        <f t="shared" si="974"/>
        <v>59250</v>
      </c>
      <c r="AF218" s="28">
        <f t="shared" si="974"/>
        <v>59250</v>
      </c>
      <c r="AG218" s="28">
        <f t="shared" si="974"/>
        <v>59250</v>
      </c>
      <c r="AH218" s="28">
        <f t="shared" si="974"/>
        <v>59250</v>
      </c>
      <c r="AI218" s="28">
        <f t="shared" si="974"/>
        <v>59250</v>
      </c>
      <c r="AJ218" s="28">
        <f t="shared" si="974"/>
        <v>59250</v>
      </c>
      <c r="AK218" s="28">
        <f t="shared" si="974"/>
        <v>59250</v>
      </c>
      <c r="AL218" s="28">
        <f t="shared" si="974"/>
        <v>59250</v>
      </c>
      <c r="AM218" s="28">
        <f t="shared" si="974"/>
        <v>59250</v>
      </c>
      <c r="AN218" s="28">
        <f t="shared" si="974"/>
        <v>59250</v>
      </c>
      <c r="AO218" s="28"/>
      <c r="AQ218" s="58">
        <f t="shared" ref="AQ218:BB218" si="975">+AQ219+AQ223+AQ227</f>
        <v>18079.486199999999</v>
      </c>
      <c r="AR218" s="58">
        <f t="shared" si="975"/>
        <v>39669.201000000001</v>
      </c>
      <c r="AS218" s="58">
        <f t="shared" si="975"/>
        <v>55157.084999999999</v>
      </c>
      <c r="AT218" s="58">
        <f t="shared" si="975"/>
        <v>19319.326199999996</v>
      </c>
      <c r="AU218" s="58">
        <f t="shared" si="975"/>
        <v>14145.4692</v>
      </c>
      <c r="AV218" s="58">
        <f t="shared" si="975"/>
        <v>22504.919399999999</v>
      </c>
      <c r="AW218" s="58">
        <f t="shared" si="975"/>
        <v>35536.852799999993</v>
      </c>
      <c r="AX218" s="58">
        <f t="shared" si="975"/>
        <v>37030.301599999999</v>
      </c>
      <c r="AY218" s="58">
        <f t="shared" si="975"/>
        <v>26983.792799999996</v>
      </c>
      <c r="AZ218" s="58">
        <f t="shared" si="975"/>
        <v>29003.014799999997</v>
      </c>
      <c r="BA218" s="58">
        <f t="shared" si="975"/>
        <v>113094.7614</v>
      </c>
      <c r="BB218" s="58">
        <f t="shared" si="975"/>
        <v>32006.987999999998</v>
      </c>
      <c r="BC218" s="58">
        <f t="shared" si="963"/>
        <v>442531.19840000005</v>
      </c>
      <c r="BD218" s="17" t="str">
        <f t="shared" si="885"/>
        <v>Inventory Cost</v>
      </c>
      <c r="BE218" s="28">
        <f t="shared" ref="BE218:BQ218" si="976">+BE219+BE223+BE227</f>
        <v>40276.564199999993</v>
      </c>
      <c r="BF218" s="28">
        <f t="shared" si="976"/>
        <v>24899.606999999996</v>
      </c>
      <c r="BG218" s="28">
        <f t="shared" si="976"/>
        <v>40670.627399999998</v>
      </c>
      <c r="BH218" s="28">
        <f t="shared" si="976"/>
        <v>21683.908799999997</v>
      </c>
      <c r="BI218" s="28">
        <f t="shared" si="976"/>
        <v>42967.315799999997</v>
      </c>
      <c r="BJ218" s="28">
        <f t="shared" si="976"/>
        <v>26741.413800000002</v>
      </c>
      <c r="BK218" s="28">
        <f t="shared" si="976"/>
        <v>23210.839799999994</v>
      </c>
      <c r="BL218" s="28">
        <f t="shared" si="976"/>
        <v>27672.190200000001</v>
      </c>
      <c r="BM218" s="28">
        <f t="shared" si="976"/>
        <v>19115.8488</v>
      </c>
      <c r="BN218" s="28">
        <f t="shared" si="976"/>
        <v>26579.080799999996</v>
      </c>
      <c r="BO218" s="28">
        <f t="shared" si="976"/>
        <v>0</v>
      </c>
      <c r="BP218" s="28">
        <f t="shared" si="976"/>
        <v>0</v>
      </c>
      <c r="BQ218" s="28">
        <f t="shared" si="976"/>
        <v>293817.39659999998</v>
      </c>
      <c r="BR218" s="118">
        <f t="shared" si="713"/>
        <v>-0.11403064000000013</v>
      </c>
      <c r="BS218" s="58">
        <f t="shared" ref="BS218:CD218" si="977">+BS219+BS223+BS227</f>
        <v>30000</v>
      </c>
      <c r="BT218" s="58">
        <f t="shared" si="977"/>
        <v>30000</v>
      </c>
      <c r="BU218" s="58">
        <f t="shared" si="977"/>
        <v>30000</v>
      </c>
      <c r="BV218" s="58">
        <f t="shared" si="977"/>
        <v>30000</v>
      </c>
      <c r="BW218" s="58">
        <f t="shared" si="977"/>
        <v>30000</v>
      </c>
      <c r="BX218" s="58">
        <f t="shared" si="977"/>
        <v>30000</v>
      </c>
      <c r="BY218" s="58">
        <f t="shared" si="977"/>
        <v>30000</v>
      </c>
      <c r="BZ218" s="58">
        <f t="shared" si="977"/>
        <v>30000</v>
      </c>
      <c r="CA218" s="58">
        <f t="shared" si="977"/>
        <v>30000</v>
      </c>
      <c r="CB218" s="58">
        <f t="shared" si="977"/>
        <v>30000</v>
      </c>
      <c r="CC218" s="58">
        <f t="shared" si="977"/>
        <v>30000</v>
      </c>
      <c r="CD218" s="58">
        <f t="shared" si="977"/>
        <v>30000</v>
      </c>
      <c r="CE218" s="58">
        <f t="shared" si="965"/>
        <v>360000</v>
      </c>
      <c r="CF218" s="22"/>
      <c r="CG218" s="28">
        <f t="shared" ref="CG218:CR218" si="978">+CG219+CG223+CG227</f>
        <v>9039.7430999999997</v>
      </c>
      <c r="CH218" s="28">
        <f t="shared" si="978"/>
        <v>19834.6005</v>
      </c>
      <c r="CI218" s="28">
        <f t="shared" si="978"/>
        <v>27578.5425</v>
      </c>
      <c r="CJ218" s="28">
        <f t="shared" si="978"/>
        <v>9659.6630999999979</v>
      </c>
      <c r="CK218" s="28">
        <f t="shared" si="978"/>
        <v>7072.7345999999998</v>
      </c>
      <c r="CL218" s="28">
        <f t="shared" si="978"/>
        <v>11252.459699999999</v>
      </c>
      <c r="CM218" s="28">
        <f t="shared" si="978"/>
        <v>17768.426399999997</v>
      </c>
      <c r="CN218" s="28">
        <f t="shared" si="978"/>
        <v>10587.025800000001</v>
      </c>
      <c r="CO218" s="28">
        <f t="shared" si="978"/>
        <v>13491.896399999998</v>
      </c>
      <c r="CP218" s="28">
        <f t="shared" si="978"/>
        <v>14501.507399999999</v>
      </c>
      <c r="CQ218" s="28">
        <f t="shared" si="978"/>
        <v>56547.380700000002</v>
      </c>
      <c r="CR218" s="28">
        <f t="shared" si="978"/>
        <v>16003.493999999999</v>
      </c>
      <c r="CS218" s="58">
        <f t="shared" si="966"/>
        <v>213337.47420000003</v>
      </c>
      <c r="CT218" s="17" t="str">
        <f t="shared" si="886"/>
        <v>Inventory Cost</v>
      </c>
      <c r="CU218" s="28">
        <f t="shared" ref="CU218:DG218" si="979">+CU219+CU223+CU227</f>
        <v>20138.282099999997</v>
      </c>
      <c r="CV218" s="28">
        <f t="shared" si="979"/>
        <v>12449.803499999998</v>
      </c>
      <c r="CW218" s="28">
        <f t="shared" si="979"/>
        <v>20335.313699999999</v>
      </c>
      <c r="CX218" s="28">
        <f t="shared" si="979"/>
        <v>10841.954399999999</v>
      </c>
      <c r="CY218" s="28">
        <f t="shared" si="979"/>
        <v>21483.657899999998</v>
      </c>
      <c r="CZ218" s="28">
        <f t="shared" si="979"/>
        <v>13370.706900000001</v>
      </c>
      <c r="DA218" s="28">
        <f t="shared" si="979"/>
        <v>11605.419899999997</v>
      </c>
      <c r="DB218" s="28">
        <f t="shared" si="979"/>
        <v>13836.0951</v>
      </c>
      <c r="DC218" s="28">
        <f t="shared" si="979"/>
        <v>9557.9243999999999</v>
      </c>
      <c r="DD218" s="28">
        <f t="shared" si="979"/>
        <v>13289.540399999998</v>
      </c>
      <c r="DE218" s="28">
        <f t="shared" si="979"/>
        <v>0</v>
      </c>
      <c r="DF218" s="28">
        <f t="shared" si="979"/>
        <v>0</v>
      </c>
      <c r="DG218" s="28">
        <f t="shared" si="979"/>
        <v>146908.69829999999</v>
      </c>
      <c r="DH218" s="118">
        <f t="shared" si="717"/>
        <v>-0.18218212923076935</v>
      </c>
      <c r="DI218" s="28">
        <f t="shared" ref="DI218:DT218" si="980">+DI219+DI223+DI227</f>
        <v>16250</v>
      </c>
      <c r="DJ218" s="28">
        <f t="shared" si="980"/>
        <v>16250</v>
      </c>
      <c r="DK218" s="28">
        <f t="shared" si="980"/>
        <v>16250</v>
      </c>
      <c r="DL218" s="28">
        <f t="shared" si="980"/>
        <v>16250</v>
      </c>
      <c r="DM218" s="28">
        <f t="shared" si="980"/>
        <v>16250</v>
      </c>
      <c r="DN218" s="28">
        <f t="shared" si="980"/>
        <v>16250</v>
      </c>
      <c r="DO218" s="28">
        <f t="shared" si="980"/>
        <v>16250</v>
      </c>
      <c r="DP218" s="28">
        <f t="shared" si="980"/>
        <v>16250</v>
      </c>
      <c r="DQ218" s="28">
        <f t="shared" si="980"/>
        <v>16250</v>
      </c>
      <c r="DR218" s="28">
        <f t="shared" si="980"/>
        <v>16250</v>
      </c>
      <c r="DS218" s="28">
        <f t="shared" si="980"/>
        <v>16250</v>
      </c>
      <c r="DT218" s="28">
        <f t="shared" si="980"/>
        <v>16250</v>
      </c>
      <c r="DU218" s="58">
        <f t="shared" si="968"/>
        <v>195000</v>
      </c>
      <c r="DW218" s="28">
        <f t="shared" ref="DW218:EH218" si="981">+DW219+DW223+DW227</f>
        <v>0</v>
      </c>
      <c r="DX218" s="28">
        <f t="shared" si="981"/>
        <v>0</v>
      </c>
      <c r="DY218" s="28">
        <f t="shared" si="981"/>
        <v>0</v>
      </c>
      <c r="DZ218" s="28">
        <f t="shared" si="981"/>
        <v>0</v>
      </c>
      <c r="EA218" s="28">
        <f t="shared" si="981"/>
        <v>0</v>
      </c>
      <c r="EB218" s="28">
        <f t="shared" si="981"/>
        <v>0</v>
      </c>
      <c r="EC218" s="28">
        <f t="shared" si="981"/>
        <v>0</v>
      </c>
      <c r="ED218" s="28">
        <f t="shared" si="981"/>
        <v>0</v>
      </c>
      <c r="EE218" s="28">
        <f t="shared" si="981"/>
        <v>0</v>
      </c>
      <c r="EF218" s="28">
        <f t="shared" si="981"/>
        <v>0</v>
      </c>
      <c r="EG218" s="28">
        <f t="shared" si="981"/>
        <v>0</v>
      </c>
      <c r="EH218" s="28">
        <f t="shared" si="981"/>
        <v>0</v>
      </c>
      <c r="EI218" s="58">
        <f t="shared" si="969"/>
        <v>0</v>
      </c>
      <c r="EJ218" s="17" t="str">
        <f t="shared" si="887"/>
        <v>Inventory Cost</v>
      </c>
      <c r="EK218" s="28">
        <f t="shared" ref="EK218:EW219" si="982">+EK219+EK223+EK227</f>
        <v>0</v>
      </c>
      <c r="EL218" s="28">
        <f t="shared" si="982"/>
        <v>0</v>
      </c>
      <c r="EM218" s="28">
        <f t="shared" si="982"/>
        <v>0</v>
      </c>
      <c r="EN218" s="28">
        <f t="shared" si="982"/>
        <v>0</v>
      </c>
      <c r="EO218" s="28">
        <f t="shared" si="982"/>
        <v>0</v>
      </c>
      <c r="EP218" s="28">
        <f t="shared" si="982"/>
        <v>0</v>
      </c>
      <c r="EQ218" s="28">
        <f t="shared" si="982"/>
        <v>0</v>
      </c>
      <c r="ER218" s="28">
        <f t="shared" si="982"/>
        <v>0</v>
      </c>
      <c r="ES218" s="28">
        <f t="shared" si="982"/>
        <v>0</v>
      </c>
      <c r="ET218" s="28">
        <f t="shared" si="982"/>
        <v>8859.6935999999987</v>
      </c>
      <c r="EU218" s="28">
        <f t="shared" si="982"/>
        <v>0</v>
      </c>
      <c r="EV218" s="28">
        <f t="shared" si="982"/>
        <v>0</v>
      </c>
      <c r="EW218" s="28">
        <f t="shared" si="982"/>
        <v>17013.967199999999</v>
      </c>
      <c r="EX218" s="118">
        <f t="shared" si="721"/>
        <v>-0.31848510769230781</v>
      </c>
      <c r="EY218" s="28">
        <f t="shared" ref="EY218:FJ218" si="983">+EY219+EY223+EY227</f>
        <v>13000</v>
      </c>
      <c r="EZ218" s="28">
        <f t="shared" si="983"/>
        <v>13000</v>
      </c>
      <c r="FA218" s="28">
        <f t="shared" si="983"/>
        <v>13000</v>
      </c>
      <c r="FB218" s="28">
        <f t="shared" si="983"/>
        <v>13000</v>
      </c>
      <c r="FC218" s="28">
        <f t="shared" si="983"/>
        <v>13000</v>
      </c>
      <c r="FD218" s="28">
        <f t="shared" si="983"/>
        <v>13000</v>
      </c>
      <c r="FE218" s="28">
        <f t="shared" si="983"/>
        <v>13000</v>
      </c>
      <c r="FF218" s="28">
        <f t="shared" si="983"/>
        <v>13000</v>
      </c>
      <c r="FG218" s="28">
        <f t="shared" si="983"/>
        <v>13000</v>
      </c>
      <c r="FH218" s="28">
        <f t="shared" si="983"/>
        <v>13000</v>
      </c>
      <c r="FI218" s="28">
        <f t="shared" si="983"/>
        <v>13000</v>
      </c>
      <c r="FJ218" s="28">
        <f t="shared" si="983"/>
        <v>13000</v>
      </c>
      <c r="FK218" s="58">
        <f t="shared" si="971"/>
        <v>156000</v>
      </c>
    </row>
    <row r="219" spans="1:167" ht="14.45" hidden="1" customHeight="1" outlineLevel="1">
      <c r="A219" s="58">
        <f t="shared" ref="A219:L219" si="984">+SUM(A220:A222)</f>
        <v>0</v>
      </c>
      <c r="B219" s="58">
        <f t="shared" si="984"/>
        <v>0</v>
      </c>
      <c r="C219" s="58">
        <f t="shared" si="984"/>
        <v>0</v>
      </c>
      <c r="D219" s="58">
        <f t="shared" si="984"/>
        <v>0</v>
      </c>
      <c r="E219" s="58">
        <f t="shared" si="984"/>
        <v>0</v>
      </c>
      <c r="F219" s="58">
        <f t="shared" si="984"/>
        <v>0</v>
      </c>
      <c r="G219" s="58">
        <f t="shared" si="984"/>
        <v>0</v>
      </c>
      <c r="H219" s="58">
        <f t="shared" si="984"/>
        <v>0</v>
      </c>
      <c r="I219" s="58">
        <f t="shared" si="984"/>
        <v>0</v>
      </c>
      <c r="J219" s="58">
        <f t="shared" si="984"/>
        <v>0</v>
      </c>
      <c r="K219" s="58">
        <f t="shared" si="984"/>
        <v>0</v>
      </c>
      <c r="L219" s="58">
        <f t="shared" si="984"/>
        <v>0</v>
      </c>
      <c r="M219" s="58"/>
      <c r="N219" s="20" t="s">
        <v>184</v>
      </c>
      <c r="O219" s="28">
        <f t="shared" ref="O219:Z219" si="985">+SUM(O220:O222)</f>
        <v>0</v>
      </c>
      <c r="P219" s="28">
        <f t="shared" si="985"/>
        <v>0</v>
      </c>
      <c r="Q219" s="28">
        <f t="shared" si="985"/>
        <v>0</v>
      </c>
      <c r="R219" s="28">
        <f t="shared" si="985"/>
        <v>0</v>
      </c>
      <c r="S219" s="28">
        <f t="shared" si="985"/>
        <v>0</v>
      </c>
      <c r="T219" s="28">
        <f t="shared" si="985"/>
        <v>0</v>
      </c>
      <c r="U219" s="28">
        <f t="shared" si="985"/>
        <v>0</v>
      </c>
      <c r="V219" s="28">
        <f t="shared" si="985"/>
        <v>0</v>
      </c>
      <c r="W219" s="28">
        <f t="shared" si="985"/>
        <v>0</v>
      </c>
      <c r="X219" s="28">
        <f t="shared" si="985"/>
        <v>0</v>
      </c>
      <c r="Y219" s="28">
        <f t="shared" si="985"/>
        <v>0</v>
      </c>
      <c r="Z219" s="28">
        <f t="shared" si="985"/>
        <v>0</v>
      </c>
      <c r="AA219" s="28"/>
      <c r="AB219" s="118">
        <f t="shared" si="708"/>
        <v>0</v>
      </c>
      <c r="AC219" s="28">
        <f t="shared" ref="AC219:AN219" si="986">+SUM(AC220:AC222)</f>
        <v>0</v>
      </c>
      <c r="AD219" s="28">
        <f t="shared" si="986"/>
        <v>0</v>
      </c>
      <c r="AE219" s="28">
        <f t="shared" si="986"/>
        <v>0</v>
      </c>
      <c r="AF219" s="28">
        <f t="shared" si="986"/>
        <v>0</v>
      </c>
      <c r="AG219" s="28">
        <f t="shared" si="986"/>
        <v>0</v>
      </c>
      <c r="AH219" s="28">
        <f t="shared" si="986"/>
        <v>0</v>
      </c>
      <c r="AI219" s="28">
        <f t="shared" si="986"/>
        <v>0</v>
      </c>
      <c r="AJ219" s="28">
        <f t="shared" si="986"/>
        <v>0</v>
      </c>
      <c r="AK219" s="28">
        <f t="shared" si="986"/>
        <v>0</v>
      </c>
      <c r="AL219" s="28">
        <f t="shared" si="986"/>
        <v>0</v>
      </c>
      <c r="AM219" s="28">
        <f t="shared" si="986"/>
        <v>0</v>
      </c>
      <c r="AN219" s="28">
        <f t="shared" si="986"/>
        <v>0</v>
      </c>
      <c r="AO219" s="28"/>
      <c r="AQ219" s="58">
        <f t="shared" ref="AQ219:BB219" si="987">+SUM(AQ220:AQ222)</f>
        <v>0</v>
      </c>
      <c r="AR219" s="58">
        <f t="shared" si="987"/>
        <v>0</v>
      </c>
      <c r="AS219" s="58">
        <f t="shared" si="987"/>
        <v>0</v>
      </c>
      <c r="AT219" s="58">
        <f t="shared" si="987"/>
        <v>0</v>
      </c>
      <c r="AU219" s="58">
        <f t="shared" si="987"/>
        <v>0</v>
      </c>
      <c r="AV219" s="58">
        <f t="shared" si="987"/>
        <v>0</v>
      </c>
      <c r="AW219" s="58">
        <f t="shared" si="987"/>
        <v>0</v>
      </c>
      <c r="AX219" s="58">
        <f t="shared" si="987"/>
        <v>0</v>
      </c>
      <c r="AY219" s="58">
        <f t="shared" si="987"/>
        <v>0</v>
      </c>
      <c r="AZ219" s="58">
        <f t="shared" si="987"/>
        <v>0</v>
      </c>
      <c r="BA219" s="58">
        <f t="shared" si="987"/>
        <v>0</v>
      </c>
      <c r="BB219" s="58">
        <f t="shared" si="987"/>
        <v>0</v>
      </c>
      <c r="BC219" s="58">
        <f t="shared" si="963"/>
        <v>0</v>
      </c>
      <c r="BD219" s="20" t="str">
        <f t="shared" si="885"/>
        <v>Finance Charge - Floor Funding</v>
      </c>
      <c r="BE219" s="28">
        <f t="shared" ref="BE219:BQ219" si="988">+SUM(BE220:BE222)</f>
        <v>0</v>
      </c>
      <c r="BF219" s="28">
        <f t="shared" si="988"/>
        <v>0</v>
      </c>
      <c r="BG219" s="28">
        <f t="shared" si="988"/>
        <v>0</v>
      </c>
      <c r="BH219" s="28">
        <f t="shared" si="988"/>
        <v>0</v>
      </c>
      <c r="BI219" s="28">
        <f t="shared" si="988"/>
        <v>0</v>
      </c>
      <c r="BJ219" s="28">
        <f t="shared" si="988"/>
        <v>0</v>
      </c>
      <c r="BK219" s="28">
        <f t="shared" si="988"/>
        <v>0</v>
      </c>
      <c r="BL219" s="28">
        <f t="shared" si="988"/>
        <v>0</v>
      </c>
      <c r="BM219" s="28">
        <f t="shared" si="988"/>
        <v>0</v>
      </c>
      <c r="BN219" s="28">
        <f t="shared" si="988"/>
        <v>0</v>
      </c>
      <c r="BO219" s="28">
        <f t="shared" si="988"/>
        <v>0</v>
      </c>
      <c r="BP219" s="28">
        <f t="shared" si="988"/>
        <v>0</v>
      </c>
      <c r="BQ219" s="28">
        <f t="shared" si="988"/>
        <v>0</v>
      </c>
      <c r="BR219" s="118">
        <f t="shared" si="713"/>
        <v>0</v>
      </c>
      <c r="BS219" s="58">
        <f t="shared" ref="BS219:CD219" si="989">+SUM(BS220:BS222)</f>
        <v>0</v>
      </c>
      <c r="BT219" s="58">
        <f t="shared" si="989"/>
        <v>0</v>
      </c>
      <c r="BU219" s="58">
        <f t="shared" si="989"/>
        <v>0</v>
      </c>
      <c r="BV219" s="58">
        <f t="shared" si="989"/>
        <v>0</v>
      </c>
      <c r="BW219" s="58">
        <f t="shared" si="989"/>
        <v>0</v>
      </c>
      <c r="BX219" s="58">
        <f t="shared" si="989"/>
        <v>0</v>
      </c>
      <c r="BY219" s="58">
        <f t="shared" si="989"/>
        <v>0</v>
      </c>
      <c r="BZ219" s="58">
        <f t="shared" si="989"/>
        <v>0</v>
      </c>
      <c r="CA219" s="58">
        <f t="shared" si="989"/>
        <v>0</v>
      </c>
      <c r="CB219" s="58">
        <f t="shared" si="989"/>
        <v>0</v>
      </c>
      <c r="CC219" s="58">
        <f t="shared" si="989"/>
        <v>0</v>
      </c>
      <c r="CD219" s="58">
        <f t="shared" si="989"/>
        <v>0</v>
      </c>
      <c r="CE219" s="58">
        <f t="shared" si="965"/>
        <v>0</v>
      </c>
      <c r="CF219" s="22"/>
      <c r="CG219" s="28">
        <f t="shared" ref="CG219:CR219" si="990">+SUM(CG220:CG222)</f>
        <v>0</v>
      </c>
      <c r="CH219" s="28">
        <f t="shared" si="990"/>
        <v>0</v>
      </c>
      <c r="CI219" s="28">
        <f t="shared" si="990"/>
        <v>0</v>
      </c>
      <c r="CJ219" s="28">
        <f t="shared" si="990"/>
        <v>0</v>
      </c>
      <c r="CK219" s="28">
        <f t="shared" si="990"/>
        <v>0</v>
      </c>
      <c r="CL219" s="28">
        <f t="shared" si="990"/>
        <v>0</v>
      </c>
      <c r="CM219" s="28">
        <f t="shared" si="990"/>
        <v>0</v>
      </c>
      <c r="CN219" s="28">
        <f t="shared" si="990"/>
        <v>0</v>
      </c>
      <c r="CO219" s="28">
        <f t="shared" si="990"/>
        <v>0</v>
      </c>
      <c r="CP219" s="28">
        <f t="shared" si="990"/>
        <v>0</v>
      </c>
      <c r="CQ219" s="28">
        <f t="shared" si="990"/>
        <v>0</v>
      </c>
      <c r="CR219" s="28">
        <f t="shared" si="990"/>
        <v>0</v>
      </c>
      <c r="CS219" s="58">
        <f t="shared" si="966"/>
        <v>0</v>
      </c>
      <c r="CT219" s="20" t="str">
        <f t="shared" si="886"/>
        <v>Finance Charge - Floor Funding</v>
      </c>
      <c r="CU219" s="28">
        <f t="shared" ref="CU219:DG219" si="991">+SUM(CU220:CU222)</f>
        <v>0</v>
      </c>
      <c r="CV219" s="28">
        <f t="shared" si="991"/>
        <v>0</v>
      </c>
      <c r="CW219" s="28">
        <f t="shared" si="991"/>
        <v>0</v>
      </c>
      <c r="CX219" s="28">
        <f t="shared" si="991"/>
        <v>0</v>
      </c>
      <c r="CY219" s="28">
        <f t="shared" si="991"/>
        <v>0</v>
      </c>
      <c r="CZ219" s="28">
        <f t="shared" si="991"/>
        <v>0</v>
      </c>
      <c r="DA219" s="28">
        <f t="shared" si="991"/>
        <v>0</v>
      </c>
      <c r="DB219" s="28">
        <f t="shared" si="991"/>
        <v>0</v>
      </c>
      <c r="DC219" s="28">
        <f t="shared" si="991"/>
        <v>0</v>
      </c>
      <c r="DD219" s="28">
        <f t="shared" si="991"/>
        <v>0</v>
      </c>
      <c r="DE219" s="28">
        <f t="shared" si="991"/>
        <v>0</v>
      </c>
      <c r="DF219" s="28">
        <f t="shared" si="991"/>
        <v>0</v>
      </c>
      <c r="DG219" s="28">
        <f t="shared" si="991"/>
        <v>0</v>
      </c>
      <c r="DH219" s="118">
        <f t="shared" si="717"/>
        <v>0</v>
      </c>
      <c r="DI219" s="28">
        <f t="shared" ref="DI219:DT219" si="992">+SUM(DI220:DI222)</f>
        <v>0</v>
      </c>
      <c r="DJ219" s="28">
        <f t="shared" si="992"/>
        <v>0</v>
      </c>
      <c r="DK219" s="28">
        <f t="shared" si="992"/>
        <v>0</v>
      </c>
      <c r="DL219" s="28">
        <f t="shared" si="992"/>
        <v>0</v>
      </c>
      <c r="DM219" s="28">
        <f t="shared" si="992"/>
        <v>0</v>
      </c>
      <c r="DN219" s="28">
        <f t="shared" si="992"/>
        <v>0</v>
      </c>
      <c r="DO219" s="28">
        <f t="shared" si="992"/>
        <v>0</v>
      </c>
      <c r="DP219" s="28">
        <f t="shared" si="992"/>
        <v>0</v>
      </c>
      <c r="DQ219" s="28">
        <f t="shared" si="992"/>
        <v>0</v>
      </c>
      <c r="DR219" s="28">
        <f t="shared" si="992"/>
        <v>0</v>
      </c>
      <c r="DS219" s="28">
        <f t="shared" si="992"/>
        <v>0</v>
      </c>
      <c r="DT219" s="28">
        <f t="shared" si="992"/>
        <v>0</v>
      </c>
      <c r="DU219" s="58">
        <f t="shared" si="968"/>
        <v>0</v>
      </c>
      <c r="DW219" s="28">
        <f t="shared" ref="DW219:EH219" si="993">+SUM(DW220:DW222)</f>
        <v>0</v>
      </c>
      <c r="DX219" s="28">
        <f t="shared" si="993"/>
        <v>0</v>
      </c>
      <c r="DY219" s="28">
        <f t="shared" si="993"/>
        <v>0</v>
      </c>
      <c r="DZ219" s="28">
        <f t="shared" si="993"/>
        <v>0</v>
      </c>
      <c r="EA219" s="28">
        <f t="shared" si="993"/>
        <v>0</v>
      </c>
      <c r="EB219" s="28">
        <f t="shared" si="993"/>
        <v>0</v>
      </c>
      <c r="EC219" s="28">
        <f t="shared" si="993"/>
        <v>0</v>
      </c>
      <c r="ED219" s="28">
        <f t="shared" si="993"/>
        <v>0</v>
      </c>
      <c r="EE219" s="28">
        <f t="shared" si="993"/>
        <v>0</v>
      </c>
      <c r="EF219" s="28">
        <f t="shared" si="993"/>
        <v>0</v>
      </c>
      <c r="EG219" s="28">
        <f t="shared" si="993"/>
        <v>0</v>
      </c>
      <c r="EH219" s="28">
        <f t="shared" si="993"/>
        <v>0</v>
      </c>
      <c r="EI219" s="58">
        <f t="shared" si="969"/>
        <v>0</v>
      </c>
      <c r="EJ219" s="20" t="str">
        <f t="shared" si="887"/>
        <v>Finance Charge - Floor Funding</v>
      </c>
      <c r="EK219" s="28">
        <f t="shared" ref="EK219:EV219" si="994">+SUM(EK220:EK222)</f>
        <v>0</v>
      </c>
      <c r="EL219" s="28">
        <f t="shared" si="994"/>
        <v>0</v>
      </c>
      <c r="EM219" s="28">
        <f t="shared" si="994"/>
        <v>0</v>
      </c>
      <c r="EN219" s="28">
        <f t="shared" si="994"/>
        <v>0</v>
      </c>
      <c r="EO219" s="28">
        <f t="shared" si="994"/>
        <v>0</v>
      </c>
      <c r="EP219" s="28">
        <f t="shared" si="994"/>
        <v>0</v>
      </c>
      <c r="EQ219" s="28">
        <f t="shared" si="994"/>
        <v>0</v>
      </c>
      <c r="ER219" s="28">
        <f t="shared" si="994"/>
        <v>0</v>
      </c>
      <c r="ES219" s="28">
        <f t="shared" si="994"/>
        <v>0</v>
      </c>
      <c r="ET219" s="28">
        <f t="shared" si="994"/>
        <v>0</v>
      </c>
      <c r="EU219" s="28">
        <f t="shared" si="994"/>
        <v>0</v>
      </c>
      <c r="EV219" s="28">
        <f t="shared" si="994"/>
        <v>0</v>
      </c>
      <c r="EW219" s="28">
        <f t="shared" si="982"/>
        <v>8154.2735999999995</v>
      </c>
      <c r="EX219" s="118">
        <f t="shared" si="721"/>
        <v>0</v>
      </c>
      <c r="EY219" s="28">
        <f t="shared" ref="EY219:FJ219" si="995">+SUM(EY220:EY222)</f>
        <v>0</v>
      </c>
      <c r="EZ219" s="28">
        <f t="shared" si="995"/>
        <v>0</v>
      </c>
      <c r="FA219" s="28">
        <f t="shared" si="995"/>
        <v>0</v>
      </c>
      <c r="FB219" s="28">
        <f t="shared" si="995"/>
        <v>0</v>
      </c>
      <c r="FC219" s="28">
        <f t="shared" si="995"/>
        <v>0</v>
      </c>
      <c r="FD219" s="28">
        <f t="shared" si="995"/>
        <v>0</v>
      </c>
      <c r="FE219" s="28">
        <f t="shared" si="995"/>
        <v>0</v>
      </c>
      <c r="FF219" s="28">
        <f t="shared" si="995"/>
        <v>0</v>
      </c>
      <c r="FG219" s="28">
        <f t="shared" si="995"/>
        <v>0</v>
      </c>
      <c r="FH219" s="28">
        <f t="shared" si="995"/>
        <v>0</v>
      </c>
      <c r="FI219" s="28">
        <f t="shared" si="995"/>
        <v>0</v>
      </c>
      <c r="FJ219" s="28">
        <f t="shared" si="995"/>
        <v>0</v>
      </c>
      <c r="FK219" s="58">
        <f t="shared" si="971"/>
        <v>0</v>
      </c>
    </row>
    <row r="220" spans="1:167" ht="14.45" hidden="1" customHeight="1" outlineLevel="2">
      <c r="A220" s="106">
        <f t="shared" ref="A220:L222" si="996">+AQ220+CG220+DW220</f>
        <v>0</v>
      </c>
      <c r="B220" s="106">
        <f t="shared" si="996"/>
        <v>0</v>
      </c>
      <c r="C220" s="106">
        <f t="shared" si="996"/>
        <v>0</v>
      </c>
      <c r="D220" s="106">
        <f t="shared" si="996"/>
        <v>0</v>
      </c>
      <c r="E220" s="106">
        <f t="shared" si="996"/>
        <v>0</v>
      </c>
      <c r="F220" s="106">
        <f t="shared" si="996"/>
        <v>0</v>
      </c>
      <c r="G220" s="106">
        <f t="shared" si="996"/>
        <v>0</v>
      </c>
      <c r="H220" s="106">
        <f t="shared" si="996"/>
        <v>0</v>
      </c>
      <c r="I220" s="106">
        <f t="shared" si="996"/>
        <v>0</v>
      </c>
      <c r="J220" s="106">
        <f t="shared" si="996"/>
        <v>0</v>
      </c>
      <c r="K220" s="106">
        <f t="shared" si="996"/>
        <v>0</v>
      </c>
      <c r="L220" s="106">
        <f t="shared" si="996"/>
        <v>0</v>
      </c>
      <c r="M220" s="106">
        <f t="shared" ref="M220:M222" si="997">+SUM(A220:L220)</f>
        <v>0</v>
      </c>
      <c r="N220" s="16" t="s">
        <v>185</v>
      </c>
      <c r="O220" s="22">
        <f t="shared" ref="O220:Z222" si="998">+BE220+CU220+EK220</f>
        <v>0</v>
      </c>
      <c r="P220" s="22">
        <f t="shared" si="998"/>
        <v>0</v>
      </c>
      <c r="Q220" s="22">
        <f t="shared" si="998"/>
        <v>0</v>
      </c>
      <c r="R220" s="22">
        <f t="shared" si="998"/>
        <v>0</v>
      </c>
      <c r="S220" s="22">
        <f t="shared" si="998"/>
        <v>0</v>
      </c>
      <c r="T220" s="22">
        <f t="shared" si="998"/>
        <v>0</v>
      </c>
      <c r="U220" s="22">
        <f t="shared" si="998"/>
        <v>0</v>
      </c>
      <c r="V220" s="22">
        <f t="shared" si="998"/>
        <v>0</v>
      </c>
      <c r="W220" s="22">
        <f t="shared" si="998"/>
        <v>0</v>
      </c>
      <c r="X220" s="22">
        <f t="shared" si="998"/>
        <v>0</v>
      </c>
      <c r="Y220" s="22">
        <f t="shared" si="998"/>
        <v>0</v>
      </c>
      <c r="Z220" s="22">
        <f t="shared" si="998"/>
        <v>0</v>
      </c>
      <c r="AA220" s="22">
        <f t="shared" ref="AA220:AA222" si="999">+SUM(O220:Z220)</f>
        <v>0</v>
      </c>
      <c r="AB220" s="118">
        <f t="shared" si="708"/>
        <v>0</v>
      </c>
      <c r="AC220" s="22">
        <f t="shared" ref="AC220:AN222" si="1000">+BS220+DI220+EY220</f>
        <v>0</v>
      </c>
      <c r="AD220" s="22">
        <f t="shared" si="1000"/>
        <v>0</v>
      </c>
      <c r="AE220" s="22">
        <f t="shared" si="1000"/>
        <v>0</v>
      </c>
      <c r="AF220" s="22">
        <f t="shared" si="1000"/>
        <v>0</v>
      </c>
      <c r="AG220" s="22">
        <f t="shared" si="1000"/>
        <v>0</v>
      </c>
      <c r="AH220" s="22">
        <f t="shared" si="1000"/>
        <v>0</v>
      </c>
      <c r="AI220" s="22">
        <f t="shared" si="1000"/>
        <v>0</v>
      </c>
      <c r="AJ220" s="22">
        <f t="shared" si="1000"/>
        <v>0</v>
      </c>
      <c r="AK220" s="22">
        <f t="shared" si="1000"/>
        <v>0</v>
      </c>
      <c r="AL220" s="22">
        <f t="shared" si="1000"/>
        <v>0</v>
      </c>
      <c r="AM220" s="22">
        <f t="shared" si="1000"/>
        <v>0</v>
      </c>
      <c r="AN220" s="22">
        <f t="shared" si="1000"/>
        <v>0</v>
      </c>
      <c r="AO220" s="22">
        <f t="shared" ref="AO220:AO222" si="1001">+SUM(AC220:AN220)</f>
        <v>0</v>
      </c>
      <c r="AQ220" s="106">
        <v>0</v>
      </c>
      <c r="AR220" s="106">
        <v>0</v>
      </c>
      <c r="AS220" s="106">
        <v>0</v>
      </c>
      <c r="AT220" s="106">
        <v>0</v>
      </c>
      <c r="AU220" s="106">
        <v>0</v>
      </c>
      <c r="AV220" s="106">
        <v>0</v>
      </c>
      <c r="AW220" s="106">
        <v>0</v>
      </c>
      <c r="AX220" s="106">
        <v>0</v>
      </c>
      <c r="AY220" s="106">
        <v>0</v>
      </c>
      <c r="AZ220" s="106">
        <v>0</v>
      </c>
      <c r="BA220" s="106">
        <v>0</v>
      </c>
      <c r="BB220" s="106">
        <v>0</v>
      </c>
      <c r="BC220" s="106">
        <f>+SUM(AQ220:BB220)</f>
        <v>0</v>
      </c>
      <c r="BD220" s="16" t="str">
        <f t="shared" si="885"/>
        <v>Interest - Floor Fund - POC</v>
      </c>
      <c r="BE220" s="22">
        <f>+VLOOKUP($BD220,'Jan-25'!$A:$J,4,0)</f>
        <v>0</v>
      </c>
      <c r="BF220" s="22">
        <f>+VLOOKUP($BD220,'Feb-25'!$A:$J,4,0)</f>
        <v>0</v>
      </c>
      <c r="BG220" s="22">
        <f>+VLOOKUP($BD220,'Mar-25'!$A:$J,4,0)</f>
        <v>0</v>
      </c>
      <c r="BH220" s="22">
        <f>+VLOOKUP($BD220,'Apr-25'!$A:$J,4,0)</f>
        <v>0</v>
      </c>
      <c r="BI220" s="22">
        <f>+VLOOKUP($BD220,'May-25'!$A:$J,4,0)</f>
        <v>0</v>
      </c>
      <c r="BJ220" s="22">
        <f>+VLOOKUP($BD220,'June-25'!$A:$J,4,0)</f>
        <v>0</v>
      </c>
      <c r="BK220" s="22">
        <f>+VLOOKUP($BD220,'July-25'!$A:$J,4,0)</f>
        <v>0</v>
      </c>
      <c r="BL220" s="22">
        <f>+VLOOKUP($BD220,'Aug-25'!$A:$J,4,0)</f>
        <v>0</v>
      </c>
      <c r="BM220" s="22">
        <f>+VLOOKUP($BD220,'Sep-25'!$A:$J,4,0)</f>
        <v>0</v>
      </c>
      <c r="BN220" s="22">
        <f>+VLOOKUP($BD220,'Oct-25'!$A:$J,4,0)</f>
        <v>0</v>
      </c>
      <c r="BO220" s="22">
        <f>+VLOOKUP($BD220,'Nov-25'!$A:$J,4,0)</f>
        <v>0</v>
      </c>
      <c r="BP220" s="22">
        <f>+VLOOKUP($BD220,'Dec-25'!$A:$J,4,0)</f>
        <v>0</v>
      </c>
      <c r="BQ220" s="22">
        <f t="shared" ref="BQ220:BQ222" si="1002">+SUM(BE220:BP220)</f>
        <v>0</v>
      </c>
      <c r="BR220" s="118">
        <f t="shared" si="713"/>
        <v>0</v>
      </c>
      <c r="BS220" s="106">
        <f>+_xlfn.XLOOKUP($BD220,Budget!$A:$A,Budget!AQ:AQ)</f>
        <v>0</v>
      </c>
      <c r="BT220" s="106">
        <f>+_xlfn.XLOOKUP($BD220,Budget!$A:$A,Budget!AR:AR)</f>
        <v>0</v>
      </c>
      <c r="BU220" s="106">
        <f>+_xlfn.XLOOKUP($BD220,Budget!$A:$A,Budget!AS:AS)</f>
        <v>0</v>
      </c>
      <c r="BV220" s="106">
        <f>+_xlfn.XLOOKUP($BD220,Budget!$A:$A,Budget!AT:AT)</f>
        <v>0</v>
      </c>
      <c r="BW220" s="106">
        <f>+_xlfn.XLOOKUP($BD220,Budget!$A:$A,Budget!AU:AU)</f>
        <v>0</v>
      </c>
      <c r="BX220" s="106">
        <f>+_xlfn.XLOOKUP($BD220,Budget!$A:$A,Budget!AV:AV)</f>
        <v>0</v>
      </c>
      <c r="BY220" s="106">
        <f>+_xlfn.XLOOKUP($BD220,Budget!$A:$A,Budget!AW:AW)</f>
        <v>0</v>
      </c>
      <c r="BZ220" s="106">
        <f>+_xlfn.XLOOKUP($BD220,Budget!$A:$A,Budget!AX:AX)</f>
        <v>0</v>
      </c>
      <c r="CA220" s="106">
        <f>+_xlfn.XLOOKUP($BD220,Budget!$A:$A,Budget!AY:AY)</f>
        <v>0</v>
      </c>
      <c r="CB220" s="106">
        <f>+_xlfn.XLOOKUP($BD220,Budget!$A:$A,Budget!AZ:AZ)</f>
        <v>0</v>
      </c>
      <c r="CC220" s="106">
        <f>+_xlfn.XLOOKUP($BD220,Budget!$A:$A,Budget!BA:BA)</f>
        <v>0</v>
      </c>
      <c r="CD220" s="106">
        <f>+_xlfn.XLOOKUP($BD220,Budget!$A:$A,Budget!BB:BB)</f>
        <v>0</v>
      </c>
      <c r="CE220" s="106">
        <f>+SUM(BS220:CD220)</f>
        <v>0</v>
      </c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106">
        <f>+SUM(CG220:CR220)</f>
        <v>0</v>
      </c>
      <c r="CT220" s="16" t="str">
        <f t="shared" si="886"/>
        <v>Interest - Floor Fund - POC</v>
      </c>
      <c r="CU220" s="22">
        <f>+VLOOKUP($BD220,'Jan-25'!$A:$J,7,0)</f>
        <v>0</v>
      </c>
      <c r="CV220" s="22">
        <f>+VLOOKUP($BD220,'Feb-25'!$A:$J,7,0)</f>
        <v>0</v>
      </c>
      <c r="CW220" s="22">
        <f>+VLOOKUP($BD220,'Mar-25'!$A:$J,7,0)</f>
        <v>0</v>
      </c>
      <c r="CX220" s="22">
        <f>+VLOOKUP($BD220,'Apr-25'!$A:$J,7,0)</f>
        <v>0</v>
      </c>
      <c r="CY220" s="22">
        <f>+VLOOKUP($BD220,'May-25'!$A:$J,7,0)</f>
        <v>0</v>
      </c>
      <c r="CZ220" s="22">
        <f>+VLOOKUP($BD220,'June-25'!$A:$J,7,0)</f>
        <v>0</v>
      </c>
      <c r="DA220" s="22">
        <f>+VLOOKUP($BD220,'July-25'!$A:$J,7,0)</f>
        <v>0</v>
      </c>
      <c r="DB220" s="22">
        <f>+VLOOKUP($BD220,'Aug-25'!$A:$J,7,0)</f>
        <v>0</v>
      </c>
      <c r="DC220" s="22">
        <f>+VLOOKUP($BD220,'Sep-25'!$A:$J,7,0)</f>
        <v>0</v>
      </c>
      <c r="DD220" s="22">
        <f>+VLOOKUP($BD220,'Oct-25'!$A:$J,7,0)</f>
        <v>0</v>
      </c>
      <c r="DE220" s="22">
        <f>+VLOOKUP($BD220,'Nov-25'!$A:$J,7,0)</f>
        <v>0</v>
      </c>
      <c r="DF220" s="22">
        <f>+VLOOKUP($BD220,'Dec-25'!$A:$J,7,0)</f>
        <v>0</v>
      </c>
      <c r="DG220" s="22">
        <f t="shared" ref="DG220:DG222" si="1003">+SUM(CU220:DF220)</f>
        <v>0</v>
      </c>
      <c r="DH220" s="118">
        <f t="shared" si="717"/>
        <v>0</v>
      </c>
      <c r="DI220" s="22">
        <f>+_xlfn.XLOOKUP($CT220,Budget!$A:$A,Budget!CD:CD)</f>
        <v>0</v>
      </c>
      <c r="DJ220" s="22">
        <f>+_xlfn.XLOOKUP($CT220,Budget!$A:$A,Budget!CE:CE)</f>
        <v>0</v>
      </c>
      <c r="DK220" s="22">
        <f>+_xlfn.XLOOKUP($CT220,Budget!$A:$A,Budget!CF:CF)</f>
        <v>0</v>
      </c>
      <c r="DL220" s="22">
        <f>+_xlfn.XLOOKUP($CT220,Budget!$A:$A,Budget!CG:CG)</f>
        <v>0</v>
      </c>
      <c r="DM220" s="22">
        <f>+_xlfn.XLOOKUP($CT220,Budget!$A:$A,Budget!CH:CH)</f>
        <v>0</v>
      </c>
      <c r="DN220" s="22">
        <f>+_xlfn.XLOOKUP($CT220,Budget!$A:$A,Budget!CI:CI)</f>
        <v>0</v>
      </c>
      <c r="DO220" s="22">
        <f>+_xlfn.XLOOKUP($CT220,Budget!$A:$A,Budget!CJ:CJ)</f>
        <v>0</v>
      </c>
      <c r="DP220" s="22">
        <f>+_xlfn.XLOOKUP($CT220,Budget!$A:$A,Budget!CK:CK)</f>
        <v>0</v>
      </c>
      <c r="DQ220" s="22">
        <f>+_xlfn.XLOOKUP($CT220,Budget!$A:$A,Budget!CL:CL)</f>
        <v>0</v>
      </c>
      <c r="DR220" s="22">
        <f>+_xlfn.XLOOKUP($CT220,Budget!$A:$A,Budget!CM:CM)</f>
        <v>0</v>
      </c>
      <c r="DS220" s="22">
        <f>+_xlfn.XLOOKUP($CT220,Budget!$A:$A,Budget!CN:CN)</f>
        <v>0</v>
      </c>
      <c r="DT220" s="22">
        <f>+_xlfn.XLOOKUP($CT220,Budget!$A:$A,Budget!CO:CO)</f>
        <v>0</v>
      </c>
      <c r="DU220" s="106">
        <f>+SUM(DI220:DT220)</f>
        <v>0</v>
      </c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106">
        <f>+SUM(DW220:EH220)</f>
        <v>0</v>
      </c>
      <c r="EJ220" s="16" t="str">
        <f t="shared" si="887"/>
        <v>Interest - Floor Fund - POC</v>
      </c>
      <c r="EK220" s="22">
        <f>+VLOOKUP($BD220,'Jan-25'!$A:$J,9,0)</f>
        <v>0</v>
      </c>
      <c r="EL220" s="22">
        <f>+VLOOKUP($BD220,'Feb-25'!$A:$J,9,0)</f>
        <v>0</v>
      </c>
      <c r="EM220" s="22">
        <f>+VLOOKUP($BD220,'Mar-25'!$A:$J,9,0)</f>
        <v>0</v>
      </c>
      <c r="EN220" s="22">
        <f>+VLOOKUP($BD220,'Apr-25'!$A:$J,9,0)</f>
        <v>0</v>
      </c>
      <c r="EO220" s="22">
        <f>+VLOOKUP($BD220,'May-25'!$A:$J,9,0)</f>
        <v>0</v>
      </c>
      <c r="EP220" s="22">
        <f>+VLOOKUP($BD220,'June-25'!$A:$J,9,0)</f>
        <v>0</v>
      </c>
      <c r="EQ220" s="22">
        <f>+VLOOKUP($BD220,'July-25'!$A:$J,9,0)</f>
        <v>0</v>
      </c>
      <c r="ER220" s="22">
        <f>+VLOOKUP($BD220,'Aug-25'!$A:$J,9,0)</f>
        <v>0</v>
      </c>
      <c r="ES220" s="22">
        <f>+VLOOKUP($BD220,'Sep-25'!$A:$J,9,0)</f>
        <v>0</v>
      </c>
      <c r="ET220" s="22">
        <f>+VLOOKUP($BD220,'Oct-25'!$A:$J,9,0)</f>
        <v>0</v>
      </c>
      <c r="EU220" s="22">
        <f>+VLOOKUP($BD220,'Nov-25'!$A:$J,9,0)</f>
        <v>0</v>
      </c>
      <c r="EV220" s="22">
        <f>+VLOOKUP($BD220,'Dec-25'!$A:$J,9,0)</f>
        <v>0</v>
      </c>
      <c r="EW220" s="22">
        <f t="shared" ref="EW220:EW222" si="1004">+SUM(EK220:EV220)</f>
        <v>0</v>
      </c>
      <c r="EX220" s="118">
        <f t="shared" si="721"/>
        <v>0</v>
      </c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106">
        <f>+SUM(EY220:FJ220)</f>
        <v>0</v>
      </c>
    </row>
    <row r="221" spans="1:167" ht="14.45" hidden="1" customHeight="1" outlineLevel="2">
      <c r="A221" s="106">
        <f t="shared" si="996"/>
        <v>0</v>
      </c>
      <c r="B221" s="106">
        <f t="shared" si="996"/>
        <v>0</v>
      </c>
      <c r="C221" s="106">
        <f t="shared" si="996"/>
        <v>0</v>
      </c>
      <c r="D221" s="106">
        <f t="shared" si="996"/>
        <v>0</v>
      </c>
      <c r="E221" s="106">
        <f t="shared" si="996"/>
        <v>0</v>
      </c>
      <c r="F221" s="106">
        <f t="shared" si="996"/>
        <v>0</v>
      </c>
      <c r="G221" s="106">
        <f t="shared" si="996"/>
        <v>0</v>
      </c>
      <c r="H221" s="106">
        <f t="shared" si="996"/>
        <v>0</v>
      </c>
      <c r="I221" s="106">
        <f t="shared" si="996"/>
        <v>0</v>
      </c>
      <c r="J221" s="106">
        <f t="shared" si="996"/>
        <v>0</v>
      </c>
      <c r="K221" s="106">
        <f t="shared" si="996"/>
        <v>0</v>
      </c>
      <c r="L221" s="106">
        <f t="shared" si="996"/>
        <v>0</v>
      </c>
      <c r="M221" s="106">
        <f t="shared" si="997"/>
        <v>0</v>
      </c>
      <c r="N221" s="16" t="s">
        <v>236</v>
      </c>
      <c r="O221" s="22">
        <f t="shared" si="998"/>
        <v>0</v>
      </c>
      <c r="P221" s="22">
        <f t="shared" si="998"/>
        <v>0</v>
      </c>
      <c r="Q221" s="22">
        <f t="shared" si="998"/>
        <v>0</v>
      </c>
      <c r="R221" s="22">
        <f t="shared" si="998"/>
        <v>0</v>
      </c>
      <c r="S221" s="22">
        <f t="shared" si="998"/>
        <v>0</v>
      </c>
      <c r="T221" s="22">
        <f t="shared" si="998"/>
        <v>0</v>
      </c>
      <c r="U221" s="22">
        <f t="shared" si="998"/>
        <v>0</v>
      </c>
      <c r="V221" s="22">
        <f t="shared" si="998"/>
        <v>0</v>
      </c>
      <c r="W221" s="22">
        <f t="shared" si="998"/>
        <v>0</v>
      </c>
      <c r="X221" s="22">
        <f t="shared" si="998"/>
        <v>0</v>
      </c>
      <c r="Y221" s="22">
        <f t="shared" si="998"/>
        <v>0</v>
      </c>
      <c r="Z221" s="22">
        <f t="shared" si="998"/>
        <v>0</v>
      </c>
      <c r="AA221" s="22">
        <f t="shared" si="999"/>
        <v>0</v>
      </c>
      <c r="AB221" s="118">
        <f t="shared" si="708"/>
        <v>0</v>
      </c>
      <c r="AC221" s="22">
        <f t="shared" si="1000"/>
        <v>0</v>
      </c>
      <c r="AD221" s="22">
        <f t="shared" si="1000"/>
        <v>0</v>
      </c>
      <c r="AE221" s="22">
        <f t="shared" si="1000"/>
        <v>0</v>
      </c>
      <c r="AF221" s="22">
        <f t="shared" si="1000"/>
        <v>0</v>
      </c>
      <c r="AG221" s="22">
        <f t="shared" si="1000"/>
        <v>0</v>
      </c>
      <c r="AH221" s="22">
        <f t="shared" si="1000"/>
        <v>0</v>
      </c>
      <c r="AI221" s="22">
        <f t="shared" si="1000"/>
        <v>0</v>
      </c>
      <c r="AJ221" s="22">
        <f t="shared" si="1000"/>
        <v>0</v>
      </c>
      <c r="AK221" s="22">
        <f t="shared" si="1000"/>
        <v>0</v>
      </c>
      <c r="AL221" s="22">
        <f t="shared" si="1000"/>
        <v>0</v>
      </c>
      <c r="AM221" s="22">
        <f t="shared" si="1000"/>
        <v>0</v>
      </c>
      <c r="AN221" s="22">
        <f t="shared" si="1000"/>
        <v>0</v>
      </c>
      <c r="AO221" s="22">
        <f t="shared" si="1001"/>
        <v>0</v>
      </c>
      <c r="AQ221" s="106">
        <v>0</v>
      </c>
      <c r="AR221" s="106">
        <v>0</v>
      </c>
      <c r="AS221" s="106">
        <v>0</v>
      </c>
      <c r="AT221" s="106">
        <v>0</v>
      </c>
      <c r="AU221" s="106">
        <v>0</v>
      </c>
      <c r="AV221" s="106">
        <v>0</v>
      </c>
      <c r="AW221" s="106">
        <v>0</v>
      </c>
      <c r="AX221" s="106">
        <v>0</v>
      </c>
      <c r="AY221" s="106">
        <v>0</v>
      </c>
      <c r="AZ221" s="106">
        <v>0</v>
      </c>
      <c r="BA221" s="106">
        <v>0</v>
      </c>
      <c r="BB221" s="106">
        <v>0</v>
      </c>
      <c r="BC221" s="106">
        <f>+SUM(AQ221:BB221)</f>
        <v>0</v>
      </c>
      <c r="BD221" s="16" t="str">
        <f t="shared" si="885"/>
        <v>Interest on Unsecured Loan - Skyline</v>
      </c>
      <c r="BE221" s="22">
        <f>+VLOOKUP($BD221,'Jan-25'!$A:$J,4,0)</f>
        <v>0</v>
      </c>
      <c r="BF221" s="22">
        <f>+VLOOKUP($BD221,'Feb-25'!$A:$J,4,0)</f>
        <v>0</v>
      </c>
      <c r="BG221" s="22">
        <f>+VLOOKUP($BD221,'Mar-25'!$A:$J,4,0)</f>
        <v>0</v>
      </c>
      <c r="BH221" s="22">
        <f>+VLOOKUP($BD221,'Apr-25'!$A:$J,4,0)</f>
        <v>0</v>
      </c>
      <c r="BI221" s="22">
        <f>+VLOOKUP($BD221,'May-25'!$A:$J,4,0)</f>
        <v>0</v>
      </c>
      <c r="BJ221" s="22">
        <f>+VLOOKUP($BD221,'June-25'!$A:$J,4,0)</f>
        <v>0</v>
      </c>
      <c r="BK221" s="22">
        <f>+VLOOKUP($BD221,'July-25'!$A:$J,4,0)</f>
        <v>0</v>
      </c>
      <c r="BL221" s="22">
        <f>+VLOOKUP($BD221,'Aug-25'!$A:$J,4,0)</f>
        <v>0</v>
      </c>
      <c r="BM221" s="22">
        <f>+VLOOKUP($BD221,'Sep-25'!$A:$J,4,0)</f>
        <v>0</v>
      </c>
      <c r="BN221" s="22">
        <f>+VLOOKUP($BD221,'Oct-25'!$A:$J,4,0)</f>
        <v>0</v>
      </c>
      <c r="BO221" s="22">
        <f>+VLOOKUP($BD221,'Nov-25'!$A:$J,4,0)</f>
        <v>0</v>
      </c>
      <c r="BP221" s="22">
        <f>+VLOOKUP($BD221,'Dec-25'!$A:$J,4,0)</f>
        <v>0</v>
      </c>
      <c r="BQ221" s="22">
        <f t="shared" si="1002"/>
        <v>0</v>
      </c>
      <c r="BR221" s="118">
        <f t="shared" si="713"/>
        <v>0</v>
      </c>
      <c r="BS221" s="106"/>
      <c r="BT221" s="106"/>
      <c r="BU221" s="106"/>
      <c r="BV221" s="106"/>
      <c r="BW221" s="106"/>
      <c r="BX221" s="106"/>
      <c r="BY221" s="106"/>
      <c r="BZ221" s="106"/>
      <c r="CA221" s="106"/>
      <c r="CB221" s="106"/>
      <c r="CC221" s="106"/>
      <c r="CD221" s="106"/>
      <c r="CE221" s="106">
        <f>+SUM(BS221:CD221)</f>
        <v>0</v>
      </c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106">
        <f>+SUM(CG221:CR221)</f>
        <v>0</v>
      </c>
      <c r="CT221" s="16" t="str">
        <f t="shared" si="886"/>
        <v>Interest on Unsecured Loan - Skyline</v>
      </c>
      <c r="CU221" s="22">
        <f>+VLOOKUP($BD221,'Jan-25'!$A:$J,7,0)</f>
        <v>0</v>
      </c>
      <c r="CV221" s="22">
        <f>+VLOOKUP($BD221,'Feb-25'!$A:$J,7,0)</f>
        <v>0</v>
      </c>
      <c r="CW221" s="22">
        <f>+VLOOKUP($BD221,'Mar-25'!$A:$J,7,0)</f>
        <v>0</v>
      </c>
      <c r="CX221" s="22">
        <f>+VLOOKUP($BD221,'Apr-25'!$A:$J,7,0)</f>
        <v>0</v>
      </c>
      <c r="CY221" s="22">
        <f>+VLOOKUP($BD221,'May-25'!$A:$J,7,0)</f>
        <v>0</v>
      </c>
      <c r="CZ221" s="22">
        <f>+VLOOKUP($BD221,'June-25'!$A:$J,7,0)</f>
        <v>0</v>
      </c>
      <c r="DA221" s="22">
        <f>+VLOOKUP($BD221,'July-25'!$A:$J,7,0)</f>
        <v>0</v>
      </c>
      <c r="DB221" s="22">
        <f>+VLOOKUP($BD221,'Aug-25'!$A:$J,7,0)</f>
        <v>0</v>
      </c>
      <c r="DC221" s="22">
        <f>+VLOOKUP($BD221,'Sep-25'!$A:$J,7,0)</f>
        <v>0</v>
      </c>
      <c r="DD221" s="22">
        <f>+VLOOKUP($BD221,'Oct-25'!$A:$J,7,0)</f>
        <v>0</v>
      </c>
      <c r="DE221" s="22">
        <f>+VLOOKUP($BD221,'Nov-25'!$A:$J,7,0)</f>
        <v>0</v>
      </c>
      <c r="DF221" s="22">
        <f>+VLOOKUP($BD221,'Dec-25'!$A:$J,7,0)</f>
        <v>0</v>
      </c>
      <c r="DG221" s="22">
        <f t="shared" si="1003"/>
        <v>0</v>
      </c>
      <c r="DH221" s="118">
        <f t="shared" si="717"/>
        <v>0</v>
      </c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106">
        <f>+SUM(DI221:DT221)</f>
        <v>0</v>
      </c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106">
        <f>+SUM(DW221:EH221)</f>
        <v>0</v>
      </c>
      <c r="EJ221" s="16" t="str">
        <f t="shared" si="887"/>
        <v>Interest on Unsecured Loan - Skyline</v>
      </c>
      <c r="EK221" s="22">
        <f>+VLOOKUP($BD221,'Jan-25'!$A:$J,9,0)</f>
        <v>0</v>
      </c>
      <c r="EL221" s="22">
        <f>+VLOOKUP($BD221,'Feb-25'!$A:$J,9,0)</f>
        <v>0</v>
      </c>
      <c r="EM221" s="22">
        <f>+VLOOKUP($BD221,'Mar-25'!$A:$J,9,0)</f>
        <v>0</v>
      </c>
      <c r="EN221" s="22">
        <f>+VLOOKUP($BD221,'Apr-25'!$A:$J,9,0)</f>
        <v>0</v>
      </c>
      <c r="EO221" s="22">
        <f>+VLOOKUP($BD221,'May-25'!$A:$J,9,0)</f>
        <v>0</v>
      </c>
      <c r="EP221" s="22">
        <f>+VLOOKUP($BD221,'June-25'!$A:$J,9,0)</f>
        <v>0</v>
      </c>
      <c r="EQ221" s="22">
        <f>+VLOOKUP($BD221,'July-25'!$A:$J,9,0)</f>
        <v>0</v>
      </c>
      <c r="ER221" s="22">
        <f>+VLOOKUP($BD221,'Aug-25'!$A:$J,9,0)</f>
        <v>0</v>
      </c>
      <c r="ES221" s="22">
        <f>+VLOOKUP($BD221,'Sep-25'!$A:$J,9,0)</f>
        <v>0</v>
      </c>
      <c r="ET221" s="22">
        <f>+VLOOKUP($BD221,'Oct-25'!$A:$J,9,0)</f>
        <v>0</v>
      </c>
      <c r="EU221" s="22">
        <f>+VLOOKUP($BD221,'Nov-25'!$A:$J,9,0)</f>
        <v>0</v>
      </c>
      <c r="EV221" s="22">
        <f>+VLOOKUP($BD221,'Dec-25'!$A:$J,9,0)</f>
        <v>0</v>
      </c>
      <c r="EW221" s="22">
        <f t="shared" si="1004"/>
        <v>0</v>
      </c>
      <c r="EX221" s="118">
        <f t="shared" si="721"/>
        <v>0</v>
      </c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106">
        <f>+SUM(EY221:FJ221)</f>
        <v>0</v>
      </c>
    </row>
    <row r="222" spans="1:167" ht="14.45" hidden="1" customHeight="1" outlineLevel="2">
      <c r="A222" s="106">
        <f t="shared" si="996"/>
        <v>0</v>
      </c>
      <c r="B222" s="106">
        <f t="shared" si="996"/>
        <v>0</v>
      </c>
      <c r="C222" s="106">
        <f t="shared" si="996"/>
        <v>0</v>
      </c>
      <c r="D222" s="106">
        <f t="shared" si="996"/>
        <v>0</v>
      </c>
      <c r="E222" s="106">
        <f t="shared" si="996"/>
        <v>0</v>
      </c>
      <c r="F222" s="106">
        <f t="shared" si="996"/>
        <v>0</v>
      </c>
      <c r="G222" s="106">
        <f t="shared" si="996"/>
        <v>0</v>
      </c>
      <c r="H222" s="106">
        <f t="shared" si="996"/>
        <v>0</v>
      </c>
      <c r="I222" s="106">
        <f t="shared" si="996"/>
        <v>0</v>
      </c>
      <c r="J222" s="106">
        <f t="shared" si="996"/>
        <v>0</v>
      </c>
      <c r="K222" s="106">
        <f t="shared" si="996"/>
        <v>0</v>
      </c>
      <c r="L222" s="106">
        <f t="shared" si="996"/>
        <v>0</v>
      </c>
      <c r="M222" s="106">
        <f t="shared" si="997"/>
        <v>0</v>
      </c>
      <c r="N222" s="16" t="s">
        <v>237</v>
      </c>
      <c r="O222" s="22">
        <f t="shared" si="998"/>
        <v>0</v>
      </c>
      <c r="P222" s="22">
        <f t="shared" si="998"/>
        <v>0</v>
      </c>
      <c r="Q222" s="22">
        <f t="shared" si="998"/>
        <v>0</v>
      </c>
      <c r="R222" s="22">
        <f t="shared" si="998"/>
        <v>0</v>
      </c>
      <c r="S222" s="22">
        <f t="shared" si="998"/>
        <v>0</v>
      </c>
      <c r="T222" s="22">
        <f t="shared" si="998"/>
        <v>0</v>
      </c>
      <c r="U222" s="22">
        <f t="shared" si="998"/>
        <v>0</v>
      </c>
      <c r="V222" s="22">
        <f t="shared" si="998"/>
        <v>0</v>
      </c>
      <c r="W222" s="22">
        <f t="shared" si="998"/>
        <v>0</v>
      </c>
      <c r="X222" s="22">
        <f t="shared" si="998"/>
        <v>0</v>
      </c>
      <c r="Y222" s="22">
        <f t="shared" si="998"/>
        <v>0</v>
      </c>
      <c r="Z222" s="22">
        <f t="shared" si="998"/>
        <v>0</v>
      </c>
      <c r="AA222" s="22">
        <f t="shared" si="999"/>
        <v>0</v>
      </c>
      <c r="AB222" s="118">
        <f t="shared" ref="AB222:AB250" si="1005">IFERROR((X222-AL222)/AL222,0)</f>
        <v>0</v>
      </c>
      <c r="AC222" s="22">
        <f t="shared" si="1000"/>
        <v>0</v>
      </c>
      <c r="AD222" s="22">
        <f t="shared" si="1000"/>
        <v>0</v>
      </c>
      <c r="AE222" s="22">
        <f t="shared" si="1000"/>
        <v>0</v>
      </c>
      <c r="AF222" s="22">
        <f t="shared" si="1000"/>
        <v>0</v>
      </c>
      <c r="AG222" s="22">
        <f t="shared" si="1000"/>
        <v>0</v>
      </c>
      <c r="AH222" s="22">
        <f t="shared" si="1000"/>
        <v>0</v>
      </c>
      <c r="AI222" s="22">
        <f t="shared" si="1000"/>
        <v>0</v>
      </c>
      <c r="AJ222" s="22">
        <f t="shared" si="1000"/>
        <v>0</v>
      </c>
      <c r="AK222" s="22">
        <f t="shared" si="1000"/>
        <v>0</v>
      </c>
      <c r="AL222" s="22">
        <f t="shared" si="1000"/>
        <v>0</v>
      </c>
      <c r="AM222" s="22">
        <f t="shared" si="1000"/>
        <v>0</v>
      </c>
      <c r="AN222" s="22">
        <f t="shared" si="1000"/>
        <v>0</v>
      </c>
      <c r="AO222" s="22">
        <f t="shared" si="1001"/>
        <v>0</v>
      </c>
      <c r="AQ222" s="106">
        <v>0</v>
      </c>
      <c r="AR222" s="106">
        <v>0</v>
      </c>
      <c r="AS222" s="106">
        <v>0</v>
      </c>
      <c r="AT222" s="106">
        <v>0</v>
      </c>
      <c r="AU222" s="106">
        <v>0</v>
      </c>
      <c r="AV222" s="106">
        <v>0</v>
      </c>
      <c r="AW222" s="106">
        <v>0</v>
      </c>
      <c r="AX222" s="106">
        <v>0</v>
      </c>
      <c r="AY222" s="106">
        <v>0</v>
      </c>
      <c r="AZ222" s="106">
        <v>0</v>
      </c>
      <c r="BA222" s="106">
        <v>0</v>
      </c>
      <c r="BB222" s="106">
        <v>0</v>
      </c>
      <c r="BC222" s="106">
        <f>+SUM(AQ222:BB222)</f>
        <v>0</v>
      </c>
      <c r="BD222" s="16" t="str">
        <f t="shared" si="885"/>
        <v>Interest on Demo Vehicle</v>
      </c>
      <c r="BE222" s="22">
        <f>+VLOOKUP($BD222,'Jan-25'!$A:$J,4,0)</f>
        <v>0</v>
      </c>
      <c r="BF222" s="22">
        <f>+VLOOKUP($BD222,'Feb-25'!$A:$J,4,0)</f>
        <v>0</v>
      </c>
      <c r="BG222" s="22">
        <f>+VLOOKUP($BD222,'Mar-25'!$A:$J,4,0)</f>
        <v>0</v>
      </c>
      <c r="BH222" s="22">
        <f>+VLOOKUP($BD222,'Apr-25'!$A:$J,4,0)</f>
        <v>0</v>
      </c>
      <c r="BI222" s="22">
        <f>+VLOOKUP($BD222,'May-25'!$A:$J,4,0)</f>
        <v>0</v>
      </c>
      <c r="BJ222" s="22">
        <f>+VLOOKUP($BD222,'June-25'!$A:$J,4,0)</f>
        <v>0</v>
      </c>
      <c r="BK222" s="22">
        <f>+VLOOKUP($BD222,'July-25'!$A:$J,4,0)</f>
        <v>0</v>
      </c>
      <c r="BL222" s="22">
        <f>+VLOOKUP($BD222,'Aug-25'!$A:$J,4,0)</f>
        <v>0</v>
      </c>
      <c r="BM222" s="22">
        <f>+VLOOKUP($BD222,'Sep-25'!$A:$J,4,0)</f>
        <v>0</v>
      </c>
      <c r="BN222" s="22">
        <f>+VLOOKUP($BD222,'Oct-25'!$A:$J,4,0)</f>
        <v>0</v>
      </c>
      <c r="BO222" s="22">
        <f>+VLOOKUP($BD222,'Nov-25'!$A:$J,4,0)</f>
        <v>0</v>
      </c>
      <c r="BP222" s="22">
        <f>+VLOOKUP($BD222,'Dec-25'!$A:$J,4,0)</f>
        <v>0</v>
      </c>
      <c r="BQ222" s="22">
        <f t="shared" si="1002"/>
        <v>0</v>
      </c>
      <c r="BR222" s="118">
        <f t="shared" ref="BR222:BR250" si="1006">IFERROR((BN222-CB222)/CB222,0)</f>
        <v>0</v>
      </c>
      <c r="BS222" s="106">
        <f>+_xlfn.XLOOKUP($BD222,Budget!$A:$A,Budget!AQ:AQ)</f>
        <v>0</v>
      </c>
      <c r="BT222" s="106">
        <f>+_xlfn.XLOOKUP($BD222,Budget!$A:$A,Budget!AR:AR)</f>
        <v>0</v>
      </c>
      <c r="BU222" s="106">
        <f>+_xlfn.XLOOKUP($BD222,Budget!$A:$A,Budget!AS:AS)</f>
        <v>0</v>
      </c>
      <c r="BV222" s="106">
        <f>+_xlfn.XLOOKUP($BD222,Budget!$A:$A,Budget!AT:AT)</f>
        <v>0</v>
      </c>
      <c r="BW222" s="106">
        <f>+_xlfn.XLOOKUP($BD222,Budget!$A:$A,Budget!AU:AU)</f>
        <v>0</v>
      </c>
      <c r="BX222" s="106">
        <f>+_xlfn.XLOOKUP($BD222,Budget!$A:$A,Budget!AV:AV)</f>
        <v>0</v>
      </c>
      <c r="BY222" s="106">
        <f>+_xlfn.XLOOKUP($BD222,Budget!$A:$A,Budget!AW:AW)</f>
        <v>0</v>
      </c>
      <c r="BZ222" s="106">
        <f>+_xlfn.XLOOKUP($BD222,Budget!$A:$A,Budget!AX:AX)</f>
        <v>0</v>
      </c>
      <c r="CA222" s="106">
        <f>+_xlfn.XLOOKUP($BD222,Budget!$A:$A,Budget!AY:AY)</f>
        <v>0</v>
      </c>
      <c r="CB222" s="106">
        <f>+_xlfn.XLOOKUP($BD222,Budget!$A:$A,Budget!AZ:AZ)</f>
        <v>0</v>
      </c>
      <c r="CC222" s="106">
        <f>+_xlfn.XLOOKUP($BD222,Budget!$A:$A,Budget!BA:BA)</f>
        <v>0</v>
      </c>
      <c r="CD222" s="106">
        <f>+_xlfn.XLOOKUP($BD222,Budget!$A:$A,Budget!BB:BB)</f>
        <v>0</v>
      </c>
      <c r="CE222" s="106">
        <f>+SUM(BS222:CD222)</f>
        <v>0</v>
      </c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106">
        <f>+SUM(CG222:CR222)</f>
        <v>0</v>
      </c>
      <c r="CT222" s="16" t="str">
        <f t="shared" si="886"/>
        <v>Interest on Demo Vehicle</v>
      </c>
      <c r="CU222" s="22">
        <f>+VLOOKUP($BD222,'Jan-25'!$A:$J,7,0)</f>
        <v>0</v>
      </c>
      <c r="CV222" s="22">
        <f>+VLOOKUP($BD222,'Feb-25'!$A:$J,7,0)</f>
        <v>0</v>
      </c>
      <c r="CW222" s="22">
        <f>+VLOOKUP($BD222,'Mar-25'!$A:$J,7,0)</f>
        <v>0</v>
      </c>
      <c r="CX222" s="22">
        <f>+VLOOKUP($BD222,'Apr-25'!$A:$J,7,0)</f>
        <v>0</v>
      </c>
      <c r="CY222" s="22">
        <f>+VLOOKUP($BD222,'May-25'!$A:$J,7,0)</f>
        <v>0</v>
      </c>
      <c r="CZ222" s="22">
        <f>+VLOOKUP($BD222,'June-25'!$A:$J,7,0)</f>
        <v>0</v>
      </c>
      <c r="DA222" s="22">
        <f>+VLOOKUP($BD222,'July-25'!$A:$J,7,0)</f>
        <v>0</v>
      </c>
      <c r="DB222" s="22">
        <f>+VLOOKUP($BD222,'Aug-25'!$A:$J,7,0)</f>
        <v>0</v>
      </c>
      <c r="DC222" s="22">
        <f>+VLOOKUP($BD222,'Sep-25'!$A:$J,7,0)</f>
        <v>0</v>
      </c>
      <c r="DD222" s="22">
        <f>+VLOOKUP($BD222,'Oct-25'!$A:$J,7,0)</f>
        <v>0</v>
      </c>
      <c r="DE222" s="22">
        <f>+VLOOKUP($BD222,'Nov-25'!$A:$J,7,0)</f>
        <v>0</v>
      </c>
      <c r="DF222" s="22">
        <f>+VLOOKUP($BD222,'Dec-25'!$A:$J,7,0)</f>
        <v>0</v>
      </c>
      <c r="DG222" s="22">
        <f t="shared" si="1003"/>
        <v>0</v>
      </c>
      <c r="DH222" s="118">
        <f t="shared" ref="DH222:DH250" si="1007">IFERROR((DD222-DR222)/DR222,0)</f>
        <v>0</v>
      </c>
      <c r="DI222" s="22">
        <f>+_xlfn.XLOOKUP($CT222,Budget!$A:$A,Budget!CD:CD)</f>
        <v>0</v>
      </c>
      <c r="DJ222" s="22">
        <f>+_xlfn.XLOOKUP($CT222,Budget!$A:$A,Budget!CE:CE)</f>
        <v>0</v>
      </c>
      <c r="DK222" s="22">
        <f>+_xlfn.XLOOKUP($CT222,Budget!$A:$A,Budget!CF:CF)</f>
        <v>0</v>
      </c>
      <c r="DL222" s="22">
        <f>+_xlfn.XLOOKUP($CT222,Budget!$A:$A,Budget!CG:CG)</f>
        <v>0</v>
      </c>
      <c r="DM222" s="22">
        <f>+_xlfn.XLOOKUP($CT222,Budget!$A:$A,Budget!CH:CH)</f>
        <v>0</v>
      </c>
      <c r="DN222" s="22">
        <f>+_xlfn.XLOOKUP($CT222,Budget!$A:$A,Budget!CI:CI)</f>
        <v>0</v>
      </c>
      <c r="DO222" s="22">
        <f>+_xlfn.XLOOKUP($CT222,Budget!$A:$A,Budget!CJ:CJ)</f>
        <v>0</v>
      </c>
      <c r="DP222" s="22">
        <f>+_xlfn.XLOOKUP($CT222,Budget!$A:$A,Budget!CK:CK)</f>
        <v>0</v>
      </c>
      <c r="DQ222" s="22">
        <f>+_xlfn.XLOOKUP($CT222,Budget!$A:$A,Budget!CL:CL)</f>
        <v>0</v>
      </c>
      <c r="DR222" s="22">
        <f>+_xlfn.XLOOKUP($CT222,Budget!$A:$A,Budget!CM:CM)</f>
        <v>0</v>
      </c>
      <c r="DS222" s="22">
        <f>+_xlfn.XLOOKUP($CT222,Budget!$A:$A,Budget!CN:CN)</f>
        <v>0</v>
      </c>
      <c r="DT222" s="22">
        <f>+_xlfn.XLOOKUP($CT222,Budget!$A:$A,Budget!CO:CO)</f>
        <v>0</v>
      </c>
      <c r="DU222" s="106">
        <f>+SUM(DI222:DT222)</f>
        <v>0</v>
      </c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106">
        <f>+SUM(DW222:EH222)</f>
        <v>0</v>
      </c>
      <c r="EJ222" s="16" t="str">
        <f t="shared" si="887"/>
        <v>Interest on Demo Vehicle</v>
      </c>
      <c r="EK222" s="22">
        <f>+VLOOKUP($BD222,'Jan-25'!$A:$J,9,0)</f>
        <v>0</v>
      </c>
      <c r="EL222" s="22">
        <f>+VLOOKUP($BD222,'Feb-25'!$A:$J,9,0)</f>
        <v>0</v>
      </c>
      <c r="EM222" s="22">
        <f>+VLOOKUP($BD222,'Mar-25'!$A:$J,9,0)</f>
        <v>0</v>
      </c>
      <c r="EN222" s="22">
        <f>+VLOOKUP($BD222,'Apr-25'!$A:$J,9,0)</f>
        <v>0</v>
      </c>
      <c r="EO222" s="22">
        <f>+VLOOKUP($BD222,'May-25'!$A:$J,9,0)</f>
        <v>0</v>
      </c>
      <c r="EP222" s="22">
        <f>+VLOOKUP($BD222,'June-25'!$A:$J,9,0)</f>
        <v>0</v>
      </c>
      <c r="EQ222" s="22">
        <f>+VLOOKUP($BD222,'July-25'!$A:$J,9,0)</f>
        <v>0</v>
      </c>
      <c r="ER222" s="22">
        <f>+VLOOKUP($BD222,'Aug-25'!$A:$J,9,0)</f>
        <v>0</v>
      </c>
      <c r="ES222" s="22">
        <f>+VLOOKUP($BD222,'Sep-25'!$A:$J,9,0)</f>
        <v>0</v>
      </c>
      <c r="ET222" s="22">
        <f>+VLOOKUP($BD222,'Oct-25'!$A:$J,9,0)</f>
        <v>0</v>
      </c>
      <c r="EU222" s="22">
        <f>+VLOOKUP($BD222,'Nov-25'!$A:$J,9,0)</f>
        <v>0</v>
      </c>
      <c r="EV222" s="22">
        <f>+VLOOKUP($BD222,'Dec-25'!$A:$J,9,0)</f>
        <v>0</v>
      </c>
      <c r="EW222" s="22">
        <f t="shared" si="1004"/>
        <v>0</v>
      </c>
      <c r="EX222" s="118">
        <f t="shared" ref="EX222:EX250" si="1008">IFERROR((ET222-FH222)/FH222,0)</f>
        <v>0</v>
      </c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106">
        <f>+SUM(EY222:FJ222)</f>
        <v>0</v>
      </c>
    </row>
    <row r="223" spans="1:167" ht="14.45" hidden="1" customHeight="1" outlineLevel="1" collapsed="1">
      <c r="A223" s="58">
        <f t="shared" ref="A223:L223" si="1009">+SUM(A224:A226)</f>
        <v>24317.169299999998</v>
      </c>
      <c r="B223" s="58">
        <f t="shared" si="1009"/>
        <v>22822.681499999999</v>
      </c>
      <c r="C223" s="58">
        <f t="shared" si="1009"/>
        <v>21140.5275</v>
      </c>
      <c r="D223" s="58">
        <f t="shared" si="1009"/>
        <v>21604.749299999996</v>
      </c>
      <c r="E223" s="58">
        <f t="shared" si="1009"/>
        <v>18999.073799999998</v>
      </c>
      <c r="F223" s="58">
        <f t="shared" si="1009"/>
        <v>26026.469100000002</v>
      </c>
      <c r="G223" s="58">
        <f t="shared" si="1009"/>
        <v>46579.84919999999</v>
      </c>
      <c r="H223" s="58">
        <f t="shared" si="1009"/>
        <v>36041.8874</v>
      </c>
      <c r="I223" s="58">
        <f t="shared" si="1009"/>
        <v>20971.429199999999</v>
      </c>
      <c r="J223" s="58">
        <f t="shared" si="1009"/>
        <v>18740.122200000002</v>
      </c>
      <c r="K223" s="58">
        <f t="shared" si="1009"/>
        <v>153880.8921</v>
      </c>
      <c r="L223" s="58">
        <f t="shared" si="1009"/>
        <v>25016.472000000002</v>
      </c>
      <c r="M223" s="58"/>
      <c r="N223" s="20" t="s">
        <v>186</v>
      </c>
      <c r="O223" s="28">
        <f t="shared" ref="O223:Z223" si="1010">+SUM(O224:O226)</f>
        <v>35767.356299999992</v>
      </c>
      <c r="P223" s="28">
        <f t="shared" si="1010"/>
        <v>19156.540499999996</v>
      </c>
      <c r="Q223" s="28">
        <f t="shared" si="1010"/>
        <v>56521.781099999993</v>
      </c>
      <c r="R223" s="28">
        <f t="shared" si="1010"/>
        <v>31340.023199999996</v>
      </c>
      <c r="S223" s="28">
        <f t="shared" si="1010"/>
        <v>51120.803699999997</v>
      </c>
      <c r="T223" s="28">
        <f t="shared" si="1010"/>
        <v>31990.790700000001</v>
      </c>
      <c r="U223" s="28">
        <f t="shared" si="1010"/>
        <v>34816.259699999995</v>
      </c>
      <c r="V223" s="28">
        <f t="shared" si="1010"/>
        <v>36473.595300000001</v>
      </c>
      <c r="W223" s="28">
        <f t="shared" si="1010"/>
        <v>28228.5432</v>
      </c>
      <c r="X223" s="28">
        <f t="shared" si="1010"/>
        <v>44848.504799999995</v>
      </c>
      <c r="Y223" s="28">
        <f t="shared" si="1010"/>
        <v>0</v>
      </c>
      <c r="Z223" s="28">
        <f t="shared" si="1010"/>
        <v>0</v>
      </c>
      <c r="AA223" s="28">
        <f t="shared" ref="AA223" si="1011">+SUM(AA224:AA226)</f>
        <v>370264.19849999994</v>
      </c>
      <c r="AB223" s="118">
        <f t="shared" si="1005"/>
        <v>-0.24306321012658236</v>
      </c>
      <c r="AC223" s="28">
        <f t="shared" ref="AC223:AN223" si="1012">+SUM(AC224:AC226)</f>
        <v>59250</v>
      </c>
      <c r="AD223" s="28">
        <f t="shared" si="1012"/>
        <v>59250</v>
      </c>
      <c r="AE223" s="28">
        <f t="shared" si="1012"/>
        <v>59250</v>
      </c>
      <c r="AF223" s="28">
        <f t="shared" si="1012"/>
        <v>59250</v>
      </c>
      <c r="AG223" s="28">
        <f t="shared" si="1012"/>
        <v>59250</v>
      </c>
      <c r="AH223" s="28">
        <f t="shared" si="1012"/>
        <v>59250</v>
      </c>
      <c r="AI223" s="28">
        <f t="shared" si="1012"/>
        <v>59250</v>
      </c>
      <c r="AJ223" s="28">
        <f t="shared" si="1012"/>
        <v>59250</v>
      </c>
      <c r="AK223" s="28">
        <f t="shared" si="1012"/>
        <v>59250</v>
      </c>
      <c r="AL223" s="28">
        <f t="shared" si="1012"/>
        <v>59250</v>
      </c>
      <c r="AM223" s="28">
        <f t="shared" si="1012"/>
        <v>59250</v>
      </c>
      <c r="AN223" s="28">
        <f t="shared" si="1012"/>
        <v>59250</v>
      </c>
      <c r="AO223" s="28"/>
      <c r="AQ223" s="58">
        <f t="shared" ref="AQ223:BB223" si="1013">+SUM(AQ224:AQ226)</f>
        <v>16211.446199999998</v>
      </c>
      <c r="AR223" s="58">
        <f t="shared" si="1013"/>
        <v>15215.120999999999</v>
      </c>
      <c r="AS223" s="58">
        <f t="shared" si="1013"/>
        <v>14093.684999999999</v>
      </c>
      <c r="AT223" s="58">
        <f t="shared" si="1013"/>
        <v>14403.166199999998</v>
      </c>
      <c r="AU223" s="58">
        <f t="shared" si="1013"/>
        <v>12666.049199999999</v>
      </c>
      <c r="AV223" s="58">
        <f t="shared" si="1013"/>
        <v>17350.9794</v>
      </c>
      <c r="AW223" s="58">
        <f t="shared" si="1013"/>
        <v>31053.232799999994</v>
      </c>
      <c r="AX223" s="58">
        <f t="shared" si="1013"/>
        <v>29313.3416</v>
      </c>
      <c r="AY223" s="58">
        <f t="shared" si="1013"/>
        <v>13980.952799999999</v>
      </c>
      <c r="AZ223" s="58">
        <f t="shared" si="1013"/>
        <v>12493.4148</v>
      </c>
      <c r="BA223" s="58">
        <f t="shared" si="1013"/>
        <v>102587.2614</v>
      </c>
      <c r="BB223" s="58">
        <f t="shared" si="1013"/>
        <v>16677.648000000001</v>
      </c>
      <c r="BC223" s="58"/>
      <c r="BD223" s="20" t="str">
        <f t="shared" si="885"/>
        <v>Finance Charge - Others</v>
      </c>
      <c r="BE223" s="28">
        <f t="shared" ref="BE223:BQ223" si="1014">+SUM(BE224:BE226)</f>
        <v>23844.904199999994</v>
      </c>
      <c r="BF223" s="28">
        <f t="shared" si="1014"/>
        <v>12771.026999999998</v>
      </c>
      <c r="BG223" s="28">
        <f t="shared" si="1014"/>
        <v>37681.187399999995</v>
      </c>
      <c r="BH223" s="28">
        <f t="shared" si="1014"/>
        <v>20893.348799999996</v>
      </c>
      <c r="BI223" s="28">
        <f t="shared" si="1014"/>
        <v>34080.535799999998</v>
      </c>
      <c r="BJ223" s="28">
        <f t="shared" si="1014"/>
        <v>21327.193800000001</v>
      </c>
      <c r="BK223" s="28">
        <f t="shared" si="1014"/>
        <v>23210.839799999994</v>
      </c>
      <c r="BL223" s="28">
        <f t="shared" si="1014"/>
        <v>24315.730200000002</v>
      </c>
      <c r="BM223" s="28">
        <f t="shared" si="1014"/>
        <v>18819.0288</v>
      </c>
      <c r="BN223" s="28">
        <f t="shared" si="1014"/>
        <v>24462.820799999998</v>
      </c>
      <c r="BO223" s="28">
        <f t="shared" si="1014"/>
        <v>0</v>
      </c>
      <c r="BP223" s="28">
        <f t="shared" si="1014"/>
        <v>0</v>
      </c>
      <c r="BQ223" s="28">
        <f t="shared" si="1014"/>
        <v>241406.61659999995</v>
      </c>
      <c r="BR223" s="118">
        <f t="shared" si="1006"/>
        <v>-0.18457264000000007</v>
      </c>
      <c r="BS223" s="58">
        <f t="shared" ref="BS223:CD223" si="1015">+SUM(BS224:BS226)</f>
        <v>30000</v>
      </c>
      <c r="BT223" s="58">
        <f t="shared" si="1015"/>
        <v>30000</v>
      </c>
      <c r="BU223" s="58">
        <f t="shared" si="1015"/>
        <v>30000</v>
      </c>
      <c r="BV223" s="58">
        <f t="shared" si="1015"/>
        <v>30000</v>
      </c>
      <c r="BW223" s="58">
        <f t="shared" si="1015"/>
        <v>30000</v>
      </c>
      <c r="BX223" s="58">
        <f t="shared" si="1015"/>
        <v>30000</v>
      </c>
      <c r="BY223" s="58">
        <f t="shared" si="1015"/>
        <v>30000</v>
      </c>
      <c r="BZ223" s="58">
        <f t="shared" si="1015"/>
        <v>30000</v>
      </c>
      <c r="CA223" s="58">
        <f t="shared" si="1015"/>
        <v>30000</v>
      </c>
      <c r="CB223" s="58">
        <f t="shared" si="1015"/>
        <v>30000</v>
      </c>
      <c r="CC223" s="58">
        <f t="shared" si="1015"/>
        <v>30000</v>
      </c>
      <c r="CD223" s="58">
        <f t="shared" si="1015"/>
        <v>30000</v>
      </c>
      <c r="CE223" s="58"/>
      <c r="CF223" s="22"/>
      <c r="CG223" s="28">
        <f t="shared" ref="CG223:CR223" si="1016">+SUM(CG224:CG226)</f>
        <v>8105.7230999999992</v>
      </c>
      <c r="CH223" s="28">
        <f t="shared" si="1016"/>
        <v>7607.5604999999996</v>
      </c>
      <c r="CI223" s="28">
        <f t="shared" si="1016"/>
        <v>7046.8424999999997</v>
      </c>
      <c r="CJ223" s="28">
        <f t="shared" si="1016"/>
        <v>7201.5830999999989</v>
      </c>
      <c r="CK223" s="28">
        <f t="shared" si="1016"/>
        <v>6333.0245999999997</v>
      </c>
      <c r="CL223" s="28">
        <f t="shared" si="1016"/>
        <v>8675.4897000000001</v>
      </c>
      <c r="CM223" s="28">
        <f t="shared" si="1016"/>
        <v>15526.616399999997</v>
      </c>
      <c r="CN223" s="28">
        <f t="shared" si="1016"/>
        <v>6728.5458000000008</v>
      </c>
      <c r="CO223" s="28">
        <f t="shared" si="1016"/>
        <v>6990.4763999999996</v>
      </c>
      <c r="CP223" s="28">
        <f t="shared" si="1016"/>
        <v>6246.7074000000002</v>
      </c>
      <c r="CQ223" s="28">
        <f t="shared" si="1016"/>
        <v>51293.630700000002</v>
      </c>
      <c r="CR223" s="28">
        <f t="shared" si="1016"/>
        <v>8338.8240000000005</v>
      </c>
      <c r="CS223" s="58"/>
      <c r="CT223" s="20" t="str">
        <f t="shared" si="886"/>
        <v>Finance Charge - Others</v>
      </c>
      <c r="CU223" s="28">
        <f t="shared" ref="CU223:DG223" si="1017">+SUM(CU224:CU226)</f>
        <v>11922.452099999997</v>
      </c>
      <c r="CV223" s="28">
        <f t="shared" si="1017"/>
        <v>6385.5134999999991</v>
      </c>
      <c r="CW223" s="28">
        <f t="shared" si="1017"/>
        <v>18840.593699999998</v>
      </c>
      <c r="CX223" s="28">
        <f t="shared" si="1017"/>
        <v>10446.674399999998</v>
      </c>
      <c r="CY223" s="28">
        <f t="shared" si="1017"/>
        <v>17040.267899999999</v>
      </c>
      <c r="CZ223" s="28">
        <f t="shared" si="1017"/>
        <v>10663.5969</v>
      </c>
      <c r="DA223" s="28">
        <f t="shared" si="1017"/>
        <v>11605.419899999997</v>
      </c>
      <c r="DB223" s="28">
        <f t="shared" si="1017"/>
        <v>12157.865100000001</v>
      </c>
      <c r="DC223" s="28">
        <f t="shared" si="1017"/>
        <v>9409.5144</v>
      </c>
      <c r="DD223" s="28">
        <f t="shared" si="1017"/>
        <v>12231.410399999999</v>
      </c>
      <c r="DE223" s="28">
        <f t="shared" si="1017"/>
        <v>0</v>
      </c>
      <c r="DF223" s="28">
        <f t="shared" si="1017"/>
        <v>0</v>
      </c>
      <c r="DG223" s="28">
        <f t="shared" si="1017"/>
        <v>120703.30829999998</v>
      </c>
      <c r="DH223" s="118">
        <f t="shared" si="1007"/>
        <v>-0.24729782153846161</v>
      </c>
      <c r="DI223" s="28">
        <f t="shared" ref="DI223:DT223" si="1018">+SUM(DI224:DI226)</f>
        <v>16250</v>
      </c>
      <c r="DJ223" s="28">
        <f t="shared" si="1018"/>
        <v>16250</v>
      </c>
      <c r="DK223" s="28">
        <f t="shared" si="1018"/>
        <v>16250</v>
      </c>
      <c r="DL223" s="28">
        <f t="shared" si="1018"/>
        <v>16250</v>
      </c>
      <c r="DM223" s="28">
        <f t="shared" si="1018"/>
        <v>16250</v>
      </c>
      <c r="DN223" s="28">
        <f t="shared" si="1018"/>
        <v>16250</v>
      </c>
      <c r="DO223" s="28">
        <f t="shared" si="1018"/>
        <v>16250</v>
      </c>
      <c r="DP223" s="28">
        <f t="shared" si="1018"/>
        <v>16250</v>
      </c>
      <c r="DQ223" s="28">
        <f t="shared" si="1018"/>
        <v>16250</v>
      </c>
      <c r="DR223" s="28">
        <f t="shared" si="1018"/>
        <v>16250</v>
      </c>
      <c r="DS223" s="28">
        <f t="shared" si="1018"/>
        <v>16250</v>
      </c>
      <c r="DT223" s="28">
        <f t="shared" si="1018"/>
        <v>16250</v>
      </c>
      <c r="DU223" s="58"/>
      <c r="DW223" s="28">
        <f t="shared" ref="DW223:EH223" si="1019">+SUM(DW224:DW226)</f>
        <v>0</v>
      </c>
      <c r="DX223" s="28">
        <f t="shared" si="1019"/>
        <v>0</v>
      </c>
      <c r="DY223" s="28">
        <f t="shared" si="1019"/>
        <v>0</v>
      </c>
      <c r="DZ223" s="28">
        <f t="shared" si="1019"/>
        <v>0</v>
      </c>
      <c r="EA223" s="28">
        <f t="shared" si="1019"/>
        <v>0</v>
      </c>
      <c r="EB223" s="28">
        <f t="shared" si="1019"/>
        <v>0</v>
      </c>
      <c r="EC223" s="28">
        <f t="shared" si="1019"/>
        <v>0</v>
      </c>
      <c r="ED223" s="28">
        <f t="shared" si="1019"/>
        <v>0</v>
      </c>
      <c r="EE223" s="28">
        <f t="shared" si="1019"/>
        <v>0</v>
      </c>
      <c r="EF223" s="28">
        <f t="shared" si="1019"/>
        <v>0</v>
      </c>
      <c r="EG223" s="28">
        <f t="shared" si="1019"/>
        <v>0</v>
      </c>
      <c r="EH223" s="28">
        <f t="shared" si="1019"/>
        <v>0</v>
      </c>
      <c r="EI223" s="58"/>
      <c r="EJ223" s="20" t="str">
        <f t="shared" si="887"/>
        <v>Finance Charge - Others</v>
      </c>
      <c r="EK223" s="28">
        <f t="shared" ref="EK223:EW223" si="1020">+SUM(EK224:EK226)</f>
        <v>0</v>
      </c>
      <c r="EL223" s="28">
        <f t="shared" si="1020"/>
        <v>0</v>
      </c>
      <c r="EM223" s="28">
        <f t="shared" si="1020"/>
        <v>0</v>
      </c>
      <c r="EN223" s="28">
        <f t="shared" si="1020"/>
        <v>0</v>
      </c>
      <c r="EO223" s="28">
        <f t="shared" si="1020"/>
        <v>0</v>
      </c>
      <c r="EP223" s="28">
        <f t="shared" si="1020"/>
        <v>0</v>
      </c>
      <c r="EQ223" s="28">
        <f t="shared" si="1020"/>
        <v>0</v>
      </c>
      <c r="ER223" s="28">
        <f t="shared" si="1020"/>
        <v>0</v>
      </c>
      <c r="ES223" s="28">
        <f t="shared" si="1020"/>
        <v>0</v>
      </c>
      <c r="ET223" s="28">
        <f t="shared" si="1020"/>
        <v>8154.2735999999995</v>
      </c>
      <c r="EU223" s="28">
        <f t="shared" si="1020"/>
        <v>0</v>
      </c>
      <c r="EV223" s="28">
        <f t="shared" si="1020"/>
        <v>0</v>
      </c>
      <c r="EW223" s="28">
        <f t="shared" si="1020"/>
        <v>8154.2735999999995</v>
      </c>
      <c r="EX223" s="118">
        <f t="shared" si="1008"/>
        <v>-0.37274818461538467</v>
      </c>
      <c r="EY223" s="28">
        <f t="shared" ref="EY223:FK223" si="1021">+SUM(EY224:EY226)</f>
        <v>13000</v>
      </c>
      <c r="EZ223" s="28">
        <f t="shared" si="1021"/>
        <v>13000</v>
      </c>
      <c r="FA223" s="28">
        <f t="shared" si="1021"/>
        <v>13000</v>
      </c>
      <c r="FB223" s="28">
        <f t="shared" si="1021"/>
        <v>13000</v>
      </c>
      <c r="FC223" s="28">
        <f t="shared" si="1021"/>
        <v>13000</v>
      </c>
      <c r="FD223" s="28">
        <f t="shared" si="1021"/>
        <v>13000</v>
      </c>
      <c r="FE223" s="28">
        <f t="shared" si="1021"/>
        <v>13000</v>
      </c>
      <c r="FF223" s="28">
        <f t="shared" si="1021"/>
        <v>13000</v>
      </c>
      <c r="FG223" s="28">
        <f t="shared" si="1021"/>
        <v>13000</v>
      </c>
      <c r="FH223" s="28">
        <f t="shared" si="1021"/>
        <v>13000</v>
      </c>
      <c r="FI223" s="28">
        <f t="shared" si="1021"/>
        <v>13000</v>
      </c>
      <c r="FJ223" s="28">
        <f t="shared" si="1021"/>
        <v>13000</v>
      </c>
      <c r="FK223" s="28">
        <f t="shared" si="1021"/>
        <v>156000</v>
      </c>
    </row>
    <row r="224" spans="1:167" ht="14.45" hidden="1" customHeight="1" outlineLevel="2">
      <c r="A224" s="106">
        <f t="shared" ref="A224:L226" si="1022">+AQ224+CG224+DW224</f>
        <v>24317.169299999998</v>
      </c>
      <c r="B224" s="106">
        <f t="shared" si="1022"/>
        <v>22822.681499999999</v>
      </c>
      <c r="C224" s="106">
        <f t="shared" si="1022"/>
        <v>21140.5275</v>
      </c>
      <c r="D224" s="106">
        <f t="shared" si="1022"/>
        <v>21604.749299999996</v>
      </c>
      <c r="E224" s="106">
        <f t="shared" si="1022"/>
        <v>18999.073799999998</v>
      </c>
      <c r="F224" s="106">
        <f t="shared" si="1022"/>
        <v>26026.469100000002</v>
      </c>
      <c r="G224" s="106">
        <f t="shared" si="1022"/>
        <v>46579.84919999999</v>
      </c>
      <c r="H224" s="106">
        <f t="shared" si="1022"/>
        <v>36041.8874</v>
      </c>
      <c r="I224" s="106">
        <f t="shared" si="1022"/>
        <v>20971.429199999999</v>
      </c>
      <c r="J224" s="106">
        <f t="shared" si="1022"/>
        <v>18740.122200000002</v>
      </c>
      <c r="K224" s="106">
        <f t="shared" si="1022"/>
        <v>153880.8921</v>
      </c>
      <c r="L224" s="106">
        <f t="shared" si="1022"/>
        <v>25016.472000000002</v>
      </c>
      <c r="M224" s="106">
        <f t="shared" ref="M224:M226" si="1023">+SUM(A224:L224)</f>
        <v>436141.32260000001</v>
      </c>
      <c r="N224" s="16" t="s">
        <v>187</v>
      </c>
      <c r="O224" s="22">
        <f t="shared" ref="O224:AA226" si="1024">+BE224+CU224+EK224</f>
        <v>35767.356299999992</v>
      </c>
      <c r="P224" s="22">
        <f t="shared" si="1024"/>
        <v>19156.540499999996</v>
      </c>
      <c r="Q224" s="22">
        <f t="shared" si="1024"/>
        <v>56521.781099999993</v>
      </c>
      <c r="R224" s="22">
        <f t="shared" si="1024"/>
        <v>31340.023199999996</v>
      </c>
      <c r="S224" s="22">
        <f t="shared" si="1024"/>
        <v>51120.803699999997</v>
      </c>
      <c r="T224" s="22">
        <f t="shared" si="1024"/>
        <v>31990.790700000001</v>
      </c>
      <c r="U224" s="22">
        <f t="shared" si="1024"/>
        <v>34816.259699999995</v>
      </c>
      <c r="V224" s="22">
        <f t="shared" si="1024"/>
        <v>36473.595300000001</v>
      </c>
      <c r="W224" s="22">
        <f t="shared" si="1024"/>
        <v>28228.5432</v>
      </c>
      <c r="X224" s="22">
        <f t="shared" si="1024"/>
        <v>44848.504799999995</v>
      </c>
      <c r="Y224" s="22">
        <f t="shared" si="1024"/>
        <v>0</v>
      </c>
      <c r="Z224" s="22">
        <f t="shared" si="1024"/>
        <v>0</v>
      </c>
      <c r="AA224" s="22">
        <f t="shared" si="1024"/>
        <v>370264.19849999994</v>
      </c>
      <c r="AB224" s="118">
        <f t="shared" si="1005"/>
        <v>0.15738076903225795</v>
      </c>
      <c r="AC224" s="22">
        <f t="shared" ref="AC224:AN226" si="1025">+BS224+DI224+EY224</f>
        <v>38750</v>
      </c>
      <c r="AD224" s="22">
        <f t="shared" si="1025"/>
        <v>38750</v>
      </c>
      <c r="AE224" s="22">
        <f t="shared" si="1025"/>
        <v>38750</v>
      </c>
      <c r="AF224" s="22">
        <f t="shared" si="1025"/>
        <v>38750</v>
      </c>
      <c r="AG224" s="22">
        <f t="shared" si="1025"/>
        <v>38750</v>
      </c>
      <c r="AH224" s="22">
        <f t="shared" si="1025"/>
        <v>38750</v>
      </c>
      <c r="AI224" s="22">
        <f t="shared" si="1025"/>
        <v>38750</v>
      </c>
      <c r="AJ224" s="22">
        <f t="shared" si="1025"/>
        <v>38750</v>
      </c>
      <c r="AK224" s="22">
        <f t="shared" si="1025"/>
        <v>38750</v>
      </c>
      <c r="AL224" s="22">
        <f t="shared" si="1025"/>
        <v>38750</v>
      </c>
      <c r="AM224" s="22">
        <f t="shared" si="1025"/>
        <v>38750</v>
      </c>
      <c r="AN224" s="22">
        <f t="shared" si="1025"/>
        <v>38750</v>
      </c>
      <c r="AO224" s="22">
        <f t="shared" ref="AO224:AO226" si="1026">+SUM(AC224:AN224)</f>
        <v>465000</v>
      </c>
      <c r="AQ224" s="106">
        <v>16211.446199999998</v>
      </c>
      <c r="AR224" s="106">
        <v>15215.120999999999</v>
      </c>
      <c r="AS224" s="106">
        <v>14093.684999999999</v>
      </c>
      <c r="AT224" s="106">
        <v>14403.166199999998</v>
      </c>
      <c r="AU224" s="106">
        <v>12666.049199999999</v>
      </c>
      <c r="AV224" s="106">
        <v>17350.9794</v>
      </c>
      <c r="AW224" s="106">
        <v>31053.232799999994</v>
      </c>
      <c r="AX224" s="106">
        <v>29313.3416</v>
      </c>
      <c r="AY224" s="106">
        <v>13980.952799999999</v>
      </c>
      <c r="AZ224" s="106">
        <v>12493.4148</v>
      </c>
      <c r="BA224" s="106">
        <v>102587.2614</v>
      </c>
      <c r="BB224" s="106">
        <v>16677.648000000001</v>
      </c>
      <c r="BC224" s="106">
        <f>+SUM(AQ224:BB224)</f>
        <v>296046.29839999997</v>
      </c>
      <c r="BD224" s="16" t="str">
        <f t="shared" si="885"/>
        <v>Bank Charge</v>
      </c>
      <c r="BE224" s="22">
        <f>+VLOOKUP($BD224,'Jan-25'!$A:$J,4,0)</f>
        <v>23844.904199999994</v>
      </c>
      <c r="BF224" s="22">
        <f>+VLOOKUP($BD224,'Feb-25'!$A:$J,4,0)</f>
        <v>12771.026999999998</v>
      </c>
      <c r="BG224" s="22">
        <f>+VLOOKUP($BD224,'Mar-25'!$A:$J,4,0)</f>
        <v>37681.187399999995</v>
      </c>
      <c r="BH224" s="22">
        <f>+VLOOKUP($BD224,'Apr-25'!$A:$J,4,0)</f>
        <v>20893.348799999996</v>
      </c>
      <c r="BI224" s="22">
        <f>+VLOOKUP($BD224,'May-25'!$A:$J,4,0)</f>
        <v>34080.535799999998</v>
      </c>
      <c r="BJ224" s="22">
        <f>+VLOOKUP($BD224,'June-25'!$A:$J,4,0)</f>
        <v>21327.193800000001</v>
      </c>
      <c r="BK224" s="22">
        <f>+VLOOKUP($BD224,'July-25'!$A:$J,4,0)</f>
        <v>23210.839799999994</v>
      </c>
      <c r="BL224" s="22">
        <f>+VLOOKUP($BD224,'Aug-25'!$A:$J,4,0)</f>
        <v>24315.730200000002</v>
      </c>
      <c r="BM224" s="22">
        <f>+VLOOKUP($BD224,'Sep-25'!$A:$J,4,0)</f>
        <v>18819.0288</v>
      </c>
      <c r="BN224" s="22">
        <f>+VLOOKUP($BD224,'Oct-25'!$A:$J,4,0)</f>
        <v>24462.820799999998</v>
      </c>
      <c r="BO224" s="22">
        <f>+VLOOKUP($BD224,'Nov-25'!$A:$J,4,0)</f>
        <v>0</v>
      </c>
      <c r="BP224" s="22">
        <f>+VLOOKUP($BD224,'Dec-25'!$A:$J,4,0)</f>
        <v>0</v>
      </c>
      <c r="BQ224" s="22">
        <f t="shared" ref="BQ224:BQ226" si="1027">+SUM(BE224:BP224)</f>
        <v>241406.61659999995</v>
      </c>
      <c r="BR224" s="118">
        <f t="shared" si="1006"/>
        <v>8.7236479999999894E-2</v>
      </c>
      <c r="BS224" s="106">
        <f>+_xlfn.XLOOKUP($BD224,Budget!$A:$A,Budget!AQ:AQ)</f>
        <v>22500</v>
      </c>
      <c r="BT224" s="106">
        <f>+_xlfn.XLOOKUP($BD224,Budget!$A:$A,Budget!AR:AR)</f>
        <v>22500</v>
      </c>
      <c r="BU224" s="106">
        <f>+_xlfn.XLOOKUP($BD224,Budget!$A:$A,Budget!AS:AS)</f>
        <v>22500</v>
      </c>
      <c r="BV224" s="106">
        <f>+_xlfn.XLOOKUP($BD224,Budget!$A:$A,Budget!AT:AT)</f>
        <v>22500</v>
      </c>
      <c r="BW224" s="106">
        <f>+_xlfn.XLOOKUP($BD224,Budget!$A:$A,Budget!AU:AU)</f>
        <v>22500</v>
      </c>
      <c r="BX224" s="106">
        <f>+_xlfn.XLOOKUP($BD224,Budget!$A:$A,Budget!AV:AV)</f>
        <v>22500</v>
      </c>
      <c r="BY224" s="106">
        <f>+_xlfn.XLOOKUP($BD224,Budget!$A:$A,Budget!AW:AW)</f>
        <v>22500</v>
      </c>
      <c r="BZ224" s="106">
        <f>+_xlfn.XLOOKUP($BD224,Budget!$A:$A,Budget!AX:AX)</f>
        <v>22500</v>
      </c>
      <c r="CA224" s="106">
        <f>+_xlfn.XLOOKUP($BD224,Budget!$A:$A,Budget!AY:AY)</f>
        <v>22500</v>
      </c>
      <c r="CB224" s="106">
        <f>+_xlfn.XLOOKUP($BD224,Budget!$A:$A,Budget!AZ:AZ)</f>
        <v>22500</v>
      </c>
      <c r="CC224" s="106">
        <f>+_xlfn.XLOOKUP($BD224,Budget!$A:$A,Budget!BA:BA)</f>
        <v>22500</v>
      </c>
      <c r="CD224" s="106">
        <f>+_xlfn.XLOOKUP($BD224,Budget!$A:$A,Budget!BB:BB)</f>
        <v>22500</v>
      </c>
      <c r="CE224" s="106">
        <f>+SUM(BS224:CD224)</f>
        <v>270000</v>
      </c>
      <c r="CF224" s="22"/>
      <c r="CG224" s="22">
        <v>8105.7230999999992</v>
      </c>
      <c r="CH224" s="22">
        <v>7607.5604999999996</v>
      </c>
      <c r="CI224" s="22">
        <v>7046.8424999999997</v>
      </c>
      <c r="CJ224" s="22">
        <v>7201.5830999999989</v>
      </c>
      <c r="CK224" s="22">
        <v>6333.0245999999997</v>
      </c>
      <c r="CL224" s="22">
        <v>8675.4897000000001</v>
      </c>
      <c r="CM224" s="22">
        <v>15526.616399999997</v>
      </c>
      <c r="CN224" s="22">
        <v>6728.5458000000008</v>
      </c>
      <c r="CO224" s="22">
        <v>6990.4763999999996</v>
      </c>
      <c r="CP224" s="22">
        <v>6246.7074000000002</v>
      </c>
      <c r="CQ224" s="22">
        <v>51293.630700000002</v>
      </c>
      <c r="CR224" s="22">
        <v>8338.8240000000005</v>
      </c>
      <c r="CS224" s="106">
        <f>+SUM(CG224:CR224)</f>
        <v>140095.02419999999</v>
      </c>
      <c r="CT224" s="16" t="str">
        <f t="shared" si="886"/>
        <v>Bank Charge</v>
      </c>
      <c r="CU224" s="22">
        <f>+VLOOKUP($BD224,'Jan-25'!$A:$J,7,0)</f>
        <v>11922.452099999997</v>
      </c>
      <c r="CV224" s="22">
        <f>+VLOOKUP($BD224,'Feb-25'!$A:$J,7,0)</f>
        <v>6385.5134999999991</v>
      </c>
      <c r="CW224" s="22">
        <f>+VLOOKUP($BD224,'Mar-25'!$A:$J,7,0)</f>
        <v>18840.593699999998</v>
      </c>
      <c r="CX224" s="22">
        <f>+VLOOKUP($BD224,'Apr-25'!$A:$J,7,0)</f>
        <v>10446.674399999998</v>
      </c>
      <c r="CY224" s="22">
        <f>+VLOOKUP($BD224,'May-25'!$A:$J,7,0)</f>
        <v>17040.267899999999</v>
      </c>
      <c r="CZ224" s="22">
        <f>+VLOOKUP($BD224,'June-25'!$A:$J,7,0)</f>
        <v>10663.5969</v>
      </c>
      <c r="DA224" s="22">
        <f>+VLOOKUP($BD224,'July-25'!$A:$J,7,0)</f>
        <v>11605.419899999997</v>
      </c>
      <c r="DB224" s="22">
        <f>+VLOOKUP($BD224,'Aug-25'!$A:$J,7,0)</f>
        <v>12157.865100000001</v>
      </c>
      <c r="DC224" s="22">
        <f>+VLOOKUP($BD224,'Sep-25'!$A:$J,7,0)</f>
        <v>9409.5144</v>
      </c>
      <c r="DD224" s="22">
        <f>+VLOOKUP($BD224,'Oct-25'!$A:$J,7,0)</f>
        <v>12231.410399999999</v>
      </c>
      <c r="DE224" s="22">
        <f>+VLOOKUP($BD224,'Nov-25'!$A:$J,7,0)</f>
        <v>0</v>
      </c>
      <c r="DF224" s="22">
        <f>+VLOOKUP($BD224,'Dec-25'!$A:$J,7,0)</f>
        <v>0</v>
      </c>
      <c r="DG224" s="22">
        <f t="shared" ref="DG224:DG226" si="1028">+SUM(CU224:DF224)</f>
        <v>120703.30829999998</v>
      </c>
      <c r="DH224" s="118">
        <f t="shared" si="1007"/>
        <v>8.7236479999999894E-2</v>
      </c>
      <c r="DI224" s="22">
        <f>+_xlfn.XLOOKUP($CT224,Budget!$A:$A,Budget!CD:CD)</f>
        <v>11250</v>
      </c>
      <c r="DJ224" s="22">
        <f>+_xlfn.XLOOKUP($CT224,Budget!$A:$A,Budget!CE:CE)</f>
        <v>11250</v>
      </c>
      <c r="DK224" s="22">
        <f>+_xlfn.XLOOKUP($CT224,Budget!$A:$A,Budget!CF:CF)</f>
        <v>11250</v>
      </c>
      <c r="DL224" s="22">
        <f>+_xlfn.XLOOKUP($CT224,Budget!$A:$A,Budget!CG:CG)</f>
        <v>11250</v>
      </c>
      <c r="DM224" s="22">
        <f>+_xlfn.XLOOKUP($CT224,Budget!$A:$A,Budget!CH:CH)</f>
        <v>11250</v>
      </c>
      <c r="DN224" s="22">
        <f>+_xlfn.XLOOKUP($CT224,Budget!$A:$A,Budget!CI:CI)</f>
        <v>11250</v>
      </c>
      <c r="DO224" s="22">
        <f>+_xlfn.XLOOKUP($CT224,Budget!$A:$A,Budget!CJ:CJ)</f>
        <v>11250</v>
      </c>
      <c r="DP224" s="22">
        <f>+_xlfn.XLOOKUP($CT224,Budget!$A:$A,Budget!CK:CK)</f>
        <v>11250</v>
      </c>
      <c r="DQ224" s="22">
        <f>+_xlfn.XLOOKUP($CT224,Budget!$A:$A,Budget!CL:CL)</f>
        <v>11250</v>
      </c>
      <c r="DR224" s="22">
        <f>+_xlfn.XLOOKUP($CT224,Budget!$A:$A,Budget!CM:CM)</f>
        <v>11250</v>
      </c>
      <c r="DS224" s="22">
        <f>+_xlfn.XLOOKUP($CT224,Budget!$A:$A,Budget!CN:CN)</f>
        <v>11250</v>
      </c>
      <c r="DT224" s="22">
        <f>+_xlfn.XLOOKUP($CT224,Budget!$A:$A,Budget!CO:CO)</f>
        <v>11250</v>
      </c>
      <c r="DU224" s="106">
        <f>+SUM(DI224:DT224)</f>
        <v>135000</v>
      </c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106">
        <f>+SUM(DW224:EH224)</f>
        <v>0</v>
      </c>
      <c r="EJ224" s="16" t="str">
        <f t="shared" si="887"/>
        <v>Bank Charge</v>
      </c>
      <c r="EK224" s="22">
        <f>+VLOOKUP($BD224,'Jan-25'!$A:$J,9,0)</f>
        <v>0</v>
      </c>
      <c r="EL224" s="22">
        <f>+VLOOKUP($BD224,'Feb-25'!$A:$J,9,0)</f>
        <v>0</v>
      </c>
      <c r="EM224" s="22">
        <f>+VLOOKUP($BD224,'Mar-25'!$A:$J,9,0)</f>
        <v>0</v>
      </c>
      <c r="EN224" s="22">
        <f>+VLOOKUP($BD224,'Apr-25'!$A:$J,9,0)</f>
        <v>0</v>
      </c>
      <c r="EO224" s="22">
        <f>+VLOOKUP($BD224,'May-25'!$A:$J,9,0)</f>
        <v>0</v>
      </c>
      <c r="EP224" s="22">
        <f>+VLOOKUP($BD224,'June-25'!$A:$J,9,0)</f>
        <v>0</v>
      </c>
      <c r="EQ224" s="22">
        <f>+VLOOKUP($BD224,'July-25'!$A:$J,9,0)</f>
        <v>0</v>
      </c>
      <c r="ER224" s="22">
        <f>+VLOOKUP($BD224,'Aug-25'!$A:$J,9,0)</f>
        <v>0</v>
      </c>
      <c r="ES224" s="22">
        <f>+VLOOKUP($BD224,'Sep-25'!$A:$J,9,0)</f>
        <v>0</v>
      </c>
      <c r="ET224" s="22">
        <f>+VLOOKUP($BD224,'Oct-25'!$A:$J,9,0)</f>
        <v>8154.2735999999995</v>
      </c>
      <c r="EU224" s="22">
        <f>+VLOOKUP($BD224,'Nov-25'!$A:$J,9,0)</f>
        <v>0</v>
      </c>
      <c r="EV224" s="22">
        <f>+VLOOKUP($BD224,'Dec-25'!$A:$J,9,0)</f>
        <v>0</v>
      </c>
      <c r="EW224" s="22">
        <f t="shared" ref="EW224:EW226" si="1029">+SUM(EK224:EV224)</f>
        <v>8154.2735999999995</v>
      </c>
      <c r="EX224" s="118">
        <f t="shared" si="1008"/>
        <v>0.63085471999999987</v>
      </c>
      <c r="EY224" s="22">
        <f>+_xlfn.XLOOKUP($EJ224,Budget!$A:$A,Budget!DE:DE)</f>
        <v>5000</v>
      </c>
      <c r="EZ224" s="22">
        <f>+_xlfn.XLOOKUP($EJ224,Budget!$A:$A,Budget!DF:DF)</f>
        <v>5000</v>
      </c>
      <c r="FA224" s="22">
        <f>+_xlfn.XLOOKUP($EJ224,Budget!$A:$A,Budget!DG:DG)</f>
        <v>5000</v>
      </c>
      <c r="FB224" s="22">
        <f>+_xlfn.XLOOKUP($EJ224,Budget!$A:$A,Budget!DH:DH)</f>
        <v>5000</v>
      </c>
      <c r="FC224" s="22">
        <f>+_xlfn.XLOOKUP($EJ224,Budget!$A:$A,Budget!DI:DI)</f>
        <v>5000</v>
      </c>
      <c r="FD224" s="22">
        <f>+_xlfn.XLOOKUP($EJ224,Budget!$A:$A,Budget!DJ:DJ)</f>
        <v>5000</v>
      </c>
      <c r="FE224" s="22">
        <f>+_xlfn.XLOOKUP($EJ224,Budget!$A:$A,Budget!DK:DK)</f>
        <v>5000</v>
      </c>
      <c r="FF224" s="22">
        <f>+_xlfn.XLOOKUP($EJ224,Budget!$A:$A,Budget!DL:DL)</f>
        <v>5000</v>
      </c>
      <c r="FG224" s="22">
        <f>+_xlfn.XLOOKUP($EJ224,Budget!$A:$A,Budget!DM:DM)</f>
        <v>5000</v>
      </c>
      <c r="FH224" s="22">
        <f>+_xlfn.XLOOKUP($EJ224,Budget!$A:$A,Budget!DN:DN)</f>
        <v>5000</v>
      </c>
      <c r="FI224" s="22">
        <f>+_xlfn.XLOOKUP($EJ224,Budget!$A:$A,Budget!DO:DO)</f>
        <v>5000</v>
      </c>
      <c r="FJ224" s="22">
        <f>+_xlfn.XLOOKUP($EJ224,Budget!$A:$A,Budget!DP:DP)</f>
        <v>5000</v>
      </c>
      <c r="FK224" s="106">
        <f>+SUM(EY224:FJ224)</f>
        <v>60000</v>
      </c>
    </row>
    <row r="225" spans="1:167" ht="14.45" hidden="1" customHeight="1" outlineLevel="2">
      <c r="A225" s="106">
        <f t="shared" si="1022"/>
        <v>0</v>
      </c>
      <c r="B225" s="106">
        <f t="shared" si="1022"/>
        <v>0</v>
      </c>
      <c r="C225" s="106">
        <f t="shared" si="1022"/>
        <v>0</v>
      </c>
      <c r="D225" s="106">
        <f t="shared" si="1022"/>
        <v>0</v>
      </c>
      <c r="E225" s="106">
        <f t="shared" si="1022"/>
        <v>0</v>
      </c>
      <c r="F225" s="106">
        <f t="shared" si="1022"/>
        <v>0</v>
      </c>
      <c r="G225" s="106">
        <f t="shared" si="1022"/>
        <v>0</v>
      </c>
      <c r="H225" s="106">
        <f t="shared" si="1022"/>
        <v>0</v>
      </c>
      <c r="I225" s="106">
        <f t="shared" si="1022"/>
        <v>0</v>
      </c>
      <c r="J225" s="106">
        <f t="shared" si="1022"/>
        <v>0</v>
      </c>
      <c r="K225" s="106">
        <f t="shared" si="1022"/>
        <v>0</v>
      </c>
      <c r="L225" s="106">
        <f t="shared" si="1022"/>
        <v>0</v>
      </c>
      <c r="M225" s="106">
        <f t="shared" si="1023"/>
        <v>0</v>
      </c>
      <c r="N225" s="16" t="s">
        <v>188</v>
      </c>
      <c r="O225" s="22">
        <f t="shared" si="1024"/>
        <v>0</v>
      </c>
      <c r="P225" s="22">
        <f t="shared" si="1024"/>
        <v>0</v>
      </c>
      <c r="Q225" s="22">
        <f t="shared" si="1024"/>
        <v>0</v>
      </c>
      <c r="R225" s="22">
        <f t="shared" si="1024"/>
        <v>0</v>
      </c>
      <c r="S225" s="22">
        <f t="shared" si="1024"/>
        <v>0</v>
      </c>
      <c r="T225" s="22">
        <f t="shared" si="1024"/>
        <v>0</v>
      </c>
      <c r="U225" s="22">
        <f t="shared" si="1024"/>
        <v>0</v>
      </c>
      <c r="V225" s="22">
        <f t="shared" si="1024"/>
        <v>0</v>
      </c>
      <c r="W225" s="22">
        <f t="shared" si="1024"/>
        <v>0</v>
      </c>
      <c r="X225" s="22">
        <f t="shared" si="1024"/>
        <v>0</v>
      </c>
      <c r="Y225" s="22">
        <f t="shared" si="1024"/>
        <v>0</v>
      </c>
      <c r="Z225" s="22">
        <f t="shared" si="1024"/>
        <v>0</v>
      </c>
      <c r="AA225" s="22">
        <f t="shared" si="1024"/>
        <v>0</v>
      </c>
      <c r="AB225" s="118">
        <f t="shared" si="1005"/>
        <v>-1</v>
      </c>
      <c r="AC225" s="22">
        <f t="shared" si="1025"/>
        <v>15500</v>
      </c>
      <c r="AD225" s="22">
        <f t="shared" si="1025"/>
        <v>15500</v>
      </c>
      <c r="AE225" s="22">
        <f t="shared" si="1025"/>
        <v>15500</v>
      </c>
      <c r="AF225" s="22">
        <f t="shared" si="1025"/>
        <v>15500</v>
      </c>
      <c r="AG225" s="22">
        <f t="shared" si="1025"/>
        <v>15500</v>
      </c>
      <c r="AH225" s="22">
        <f t="shared" si="1025"/>
        <v>15500</v>
      </c>
      <c r="AI225" s="22">
        <f t="shared" si="1025"/>
        <v>15500</v>
      </c>
      <c r="AJ225" s="22">
        <f t="shared" si="1025"/>
        <v>15500</v>
      </c>
      <c r="AK225" s="22">
        <f t="shared" si="1025"/>
        <v>15500</v>
      </c>
      <c r="AL225" s="22">
        <f t="shared" si="1025"/>
        <v>15500</v>
      </c>
      <c r="AM225" s="22">
        <f t="shared" si="1025"/>
        <v>15500</v>
      </c>
      <c r="AN225" s="22">
        <f t="shared" si="1025"/>
        <v>15500</v>
      </c>
      <c r="AO225" s="22">
        <f t="shared" si="1026"/>
        <v>186000</v>
      </c>
      <c r="AQ225" s="106">
        <v>0</v>
      </c>
      <c r="AR225" s="106">
        <v>0</v>
      </c>
      <c r="AS225" s="106">
        <v>0</v>
      </c>
      <c r="AT225" s="106">
        <v>0</v>
      </c>
      <c r="AU225" s="106">
        <v>0</v>
      </c>
      <c r="AV225" s="106">
        <v>0</v>
      </c>
      <c r="AW225" s="106">
        <v>0</v>
      </c>
      <c r="AX225" s="106">
        <v>0</v>
      </c>
      <c r="AY225" s="106">
        <v>0</v>
      </c>
      <c r="AZ225" s="106">
        <v>0</v>
      </c>
      <c r="BA225" s="106">
        <v>0</v>
      </c>
      <c r="BB225" s="106">
        <v>0</v>
      </c>
      <c r="BC225" s="106">
        <f>+SUM(AQ225:BB225)</f>
        <v>0</v>
      </c>
      <c r="BD225" s="16" t="str">
        <f t="shared" si="885"/>
        <v>Commission on Bank Guarantee</v>
      </c>
      <c r="BE225" s="22">
        <f>+VLOOKUP($BD225,'Jan-25'!$A:$J,4,0)</f>
        <v>0</v>
      </c>
      <c r="BF225" s="22">
        <f>+VLOOKUP($BD225,'Feb-25'!$A:$J,4,0)</f>
        <v>0</v>
      </c>
      <c r="BG225" s="22">
        <f>+VLOOKUP($BD225,'Mar-25'!$A:$J,4,0)</f>
        <v>0</v>
      </c>
      <c r="BH225" s="22">
        <f>+VLOOKUP($BD225,'Apr-25'!$A:$J,4,0)</f>
        <v>0</v>
      </c>
      <c r="BI225" s="22">
        <f>+VLOOKUP($BD225,'May-25'!$A:$J,4,0)</f>
        <v>0</v>
      </c>
      <c r="BJ225" s="22">
        <f>+VLOOKUP($BD225,'June-25'!$A:$J,4,0)</f>
        <v>0</v>
      </c>
      <c r="BK225" s="22">
        <f>+VLOOKUP($BD225,'July-25'!$A:$J,4,0)</f>
        <v>0</v>
      </c>
      <c r="BL225" s="22">
        <f>+VLOOKUP($BD225,'Aug-25'!$A:$J,4,0)</f>
        <v>0</v>
      </c>
      <c r="BM225" s="22">
        <f>+VLOOKUP($BD225,'Sep-25'!$A:$J,4,0)</f>
        <v>0</v>
      </c>
      <c r="BN225" s="22">
        <f>+VLOOKUP($BD225,'Oct-25'!$A:$J,4,0)</f>
        <v>0</v>
      </c>
      <c r="BO225" s="22">
        <f>+VLOOKUP($BD225,'Nov-25'!$A:$J,4,0)</f>
        <v>0</v>
      </c>
      <c r="BP225" s="22">
        <f>+VLOOKUP($BD225,'Dec-25'!$A:$J,4,0)</f>
        <v>0</v>
      </c>
      <c r="BQ225" s="22">
        <f t="shared" si="1027"/>
        <v>0</v>
      </c>
      <c r="BR225" s="118">
        <f t="shared" si="1006"/>
        <v>-1</v>
      </c>
      <c r="BS225" s="106">
        <f>+_xlfn.XLOOKUP($BD225,Budget!$A:$A,Budget!AQ:AQ)</f>
        <v>7500</v>
      </c>
      <c r="BT225" s="106">
        <f>+_xlfn.XLOOKUP($BD225,Budget!$A:$A,Budget!AR:AR)</f>
        <v>7500</v>
      </c>
      <c r="BU225" s="106">
        <f>+_xlfn.XLOOKUP($BD225,Budget!$A:$A,Budget!AS:AS)</f>
        <v>7500</v>
      </c>
      <c r="BV225" s="106">
        <f>+_xlfn.XLOOKUP($BD225,Budget!$A:$A,Budget!AT:AT)</f>
        <v>7500</v>
      </c>
      <c r="BW225" s="106">
        <f>+_xlfn.XLOOKUP($BD225,Budget!$A:$A,Budget!AU:AU)</f>
        <v>7500</v>
      </c>
      <c r="BX225" s="106">
        <f>+_xlfn.XLOOKUP($BD225,Budget!$A:$A,Budget!AV:AV)</f>
        <v>7500</v>
      </c>
      <c r="BY225" s="106">
        <f>+_xlfn.XLOOKUP($BD225,Budget!$A:$A,Budget!AW:AW)</f>
        <v>7500</v>
      </c>
      <c r="BZ225" s="106">
        <f>+_xlfn.XLOOKUP($BD225,Budget!$A:$A,Budget!AX:AX)</f>
        <v>7500</v>
      </c>
      <c r="CA225" s="106">
        <f>+_xlfn.XLOOKUP($BD225,Budget!$A:$A,Budget!AY:AY)</f>
        <v>7500</v>
      </c>
      <c r="CB225" s="106">
        <f>+_xlfn.XLOOKUP($BD225,Budget!$A:$A,Budget!AZ:AZ)</f>
        <v>7500</v>
      </c>
      <c r="CC225" s="106">
        <f>+_xlfn.XLOOKUP($BD225,Budget!$A:$A,Budget!BA:BA)</f>
        <v>7500</v>
      </c>
      <c r="CD225" s="106">
        <f>+_xlfn.XLOOKUP($BD225,Budget!$A:$A,Budget!BB:BB)</f>
        <v>7500</v>
      </c>
      <c r="CE225" s="106">
        <f>+SUM(BS225:CD225)</f>
        <v>90000</v>
      </c>
      <c r="CF225" s="22"/>
      <c r="CG225" s="22">
        <v>0</v>
      </c>
      <c r="CH225" s="22">
        <v>0</v>
      </c>
      <c r="CI225" s="22">
        <v>0</v>
      </c>
      <c r="CJ225" s="22">
        <v>0</v>
      </c>
      <c r="CK225" s="22">
        <v>0</v>
      </c>
      <c r="CL225" s="22">
        <v>0</v>
      </c>
      <c r="CM225" s="22">
        <v>0</v>
      </c>
      <c r="CN225" s="22">
        <v>0</v>
      </c>
      <c r="CO225" s="22">
        <v>0</v>
      </c>
      <c r="CP225" s="22">
        <v>0</v>
      </c>
      <c r="CQ225" s="22">
        <v>0</v>
      </c>
      <c r="CR225" s="22">
        <v>0</v>
      </c>
      <c r="CS225" s="106">
        <f>+SUM(CG225:CR225)</f>
        <v>0</v>
      </c>
      <c r="CT225" s="16" t="str">
        <f t="shared" si="886"/>
        <v>Commission on Bank Guarantee</v>
      </c>
      <c r="CU225" s="22">
        <f>+VLOOKUP($BD225,'Jan-25'!$A:$J,7,0)</f>
        <v>0</v>
      </c>
      <c r="CV225" s="22">
        <f>+VLOOKUP($BD225,'Feb-25'!$A:$J,7,0)</f>
        <v>0</v>
      </c>
      <c r="CW225" s="22">
        <f>+VLOOKUP($BD225,'Mar-25'!$A:$J,7,0)</f>
        <v>0</v>
      </c>
      <c r="CX225" s="22">
        <f>+VLOOKUP($BD225,'Apr-25'!$A:$J,7,0)</f>
        <v>0</v>
      </c>
      <c r="CY225" s="22">
        <f>+VLOOKUP($BD225,'May-25'!$A:$J,7,0)</f>
        <v>0</v>
      </c>
      <c r="CZ225" s="22">
        <f>+VLOOKUP($BD225,'June-25'!$A:$J,7,0)</f>
        <v>0</v>
      </c>
      <c r="DA225" s="22">
        <f>+VLOOKUP($BD225,'July-25'!$A:$J,7,0)</f>
        <v>0</v>
      </c>
      <c r="DB225" s="22">
        <f>+VLOOKUP($BD225,'Aug-25'!$A:$J,7,0)</f>
        <v>0</v>
      </c>
      <c r="DC225" s="22">
        <f>+VLOOKUP($BD225,'Sep-25'!$A:$J,7,0)</f>
        <v>0</v>
      </c>
      <c r="DD225" s="22">
        <f>+VLOOKUP($BD225,'Oct-25'!$A:$J,7,0)</f>
        <v>0</v>
      </c>
      <c r="DE225" s="22">
        <f>+VLOOKUP($BD225,'Nov-25'!$A:$J,7,0)</f>
        <v>0</v>
      </c>
      <c r="DF225" s="22">
        <f>+VLOOKUP($BD225,'Dec-25'!$A:$J,7,0)</f>
        <v>0</v>
      </c>
      <c r="DG225" s="22">
        <f t="shared" si="1028"/>
        <v>0</v>
      </c>
      <c r="DH225" s="118">
        <f t="shared" si="1007"/>
        <v>-1</v>
      </c>
      <c r="DI225" s="22">
        <f>+_xlfn.XLOOKUP($CT225,Budget!$A:$A,Budget!CD:CD)</f>
        <v>5000</v>
      </c>
      <c r="DJ225" s="22">
        <f>+_xlfn.XLOOKUP($CT225,Budget!$A:$A,Budget!CE:CE)</f>
        <v>5000</v>
      </c>
      <c r="DK225" s="22">
        <f>+_xlfn.XLOOKUP($CT225,Budget!$A:$A,Budget!CF:CF)</f>
        <v>5000</v>
      </c>
      <c r="DL225" s="22">
        <f>+_xlfn.XLOOKUP($CT225,Budget!$A:$A,Budget!CG:CG)</f>
        <v>5000</v>
      </c>
      <c r="DM225" s="22">
        <f>+_xlfn.XLOOKUP($CT225,Budget!$A:$A,Budget!CH:CH)</f>
        <v>5000</v>
      </c>
      <c r="DN225" s="22">
        <f>+_xlfn.XLOOKUP($CT225,Budget!$A:$A,Budget!CI:CI)</f>
        <v>5000</v>
      </c>
      <c r="DO225" s="22">
        <f>+_xlfn.XLOOKUP($CT225,Budget!$A:$A,Budget!CJ:CJ)</f>
        <v>5000</v>
      </c>
      <c r="DP225" s="22">
        <f>+_xlfn.XLOOKUP($CT225,Budget!$A:$A,Budget!CK:CK)</f>
        <v>5000</v>
      </c>
      <c r="DQ225" s="22">
        <f>+_xlfn.XLOOKUP($CT225,Budget!$A:$A,Budget!CL:CL)</f>
        <v>5000</v>
      </c>
      <c r="DR225" s="22">
        <f>+_xlfn.XLOOKUP($CT225,Budget!$A:$A,Budget!CM:CM)</f>
        <v>5000</v>
      </c>
      <c r="DS225" s="22">
        <f>+_xlfn.XLOOKUP($CT225,Budget!$A:$A,Budget!CN:CN)</f>
        <v>5000</v>
      </c>
      <c r="DT225" s="22">
        <f>+_xlfn.XLOOKUP($CT225,Budget!$A:$A,Budget!CO:CO)</f>
        <v>5000</v>
      </c>
      <c r="DU225" s="106">
        <f>+SUM(DI225:DT225)</f>
        <v>60000</v>
      </c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106">
        <f>+SUM(DW225:EH225)</f>
        <v>0</v>
      </c>
      <c r="EJ225" s="16" t="str">
        <f t="shared" si="887"/>
        <v>Commission on Bank Guarantee</v>
      </c>
      <c r="EK225" s="22">
        <f>+VLOOKUP($BD225,'Jan-25'!$A:$J,9,0)</f>
        <v>0</v>
      </c>
      <c r="EL225" s="22">
        <f>+VLOOKUP($BD225,'Feb-25'!$A:$J,9,0)</f>
        <v>0</v>
      </c>
      <c r="EM225" s="22">
        <f>+VLOOKUP($BD225,'Mar-25'!$A:$J,9,0)</f>
        <v>0</v>
      </c>
      <c r="EN225" s="22">
        <f>+VLOOKUP($BD225,'Apr-25'!$A:$J,9,0)</f>
        <v>0</v>
      </c>
      <c r="EO225" s="22">
        <f>+VLOOKUP($BD225,'May-25'!$A:$J,9,0)</f>
        <v>0</v>
      </c>
      <c r="EP225" s="22">
        <f>+VLOOKUP($BD225,'June-25'!$A:$J,9,0)</f>
        <v>0</v>
      </c>
      <c r="EQ225" s="22">
        <f>+VLOOKUP($BD225,'July-25'!$A:$J,9,0)</f>
        <v>0</v>
      </c>
      <c r="ER225" s="22">
        <f>+VLOOKUP($BD225,'Aug-25'!$A:$J,9,0)</f>
        <v>0</v>
      </c>
      <c r="ES225" s="22">
        <f>+VLOOKUP($BD225,'Sep-25'!$A:$J,9,0)</f>
        <v>0</v>
      </c>
      <c r="ET225" s="22">
        <f>+VLOOKUP($BD225,'Oct-25'!$A:$J,9,0)</f>
        <v>0</v>
      </c>
      <c r="EU225" s="22">
        <f>+VLOOKUP($BD225,'Nov-25'!$A:$J,9,0)</f>
        <v>0</v>
      </c>
      <c r="EV225" s="22">
        <f>+VLOOKUP($BD225,'Dec-25'!$A:$J,9,0)</f>
        <v>0</v>
      </c>
      <c r="EW225" s="22">
        <f t="shared" si="1029"/>
        <v>0</v>
      </c>
      <c r="EX225" s="118">
        <f t="shared" si="1008"/>
        <v>-1</v>
      </c>
      <c r="EY225" s="22">
        <f>+_xlfn.XLOOKUP($EJ225,Budget!$A:$A,Budget!DE:DE)</f>
        <v>3000</v>
      </c>
      <c r="EZ225" s="22">
        <f>+_xlfn.XLOOKUP($EJ225,Budget!$A:$A,Budget!DF:DF)</f>
        <v>3000</v>
      </c>
      <c r="FA225" s="22">
        <f>+_xlfn.XLOOKUP($EJ225,Budget!$A:$A,Budget!DG:DG)</f>
        <v>3000</v>
      </c>
      <c r="FB225" s="22">
        <f>+_xlfn.XLOOKUP($EJ225,Budget!$A:$A,Budget!DH:DH)</f>
        <v>3000</v>
      </c>
      <c r="FC225" s="22">
        <f>+_xlfn.XLOOKUP($EJ225,Budget!$A:$A,Budget!DI:DI)</f>
        <v>3000</v>
      </c>
      <c r="FD225" s="22">
        <f>+_xlfn.XLOOKUP($EJ225,Budget!$A:$A,Budget!DJ:DJ)</f>
        <v>3000</v>
      </c>
      <c r="FE225" s="22">
        <f>+_xlfn.XLOOKUP($EJ225,Budget!$A:$A,Budget!DK:DK)</f>
        <v>3000</v>
      </c>
      <c r="FF225" s="22">
        <f>+_xlfn.XLOOKUP($EJ225,Budget!$A:$A,Budget!DL:DL)</f>
        <v>3000</v>
      </c>
      <c r="FG225" s="22">
        <f>+_xlfn.XLOOKUP($EJ225,Budget!$A:$A,Budget!DM:DM)</f>
        <v>3000</v>
      </c>
      <c r="FH225" s="22">
        <f>+_xlfn.XLOOKUP($EJ225,Budget!$A:$A,Budget!DN:DN)</f>
        <v>3000</v>
      </c>
      <c r="FI225" s="22">
        <f>+_xlfn.XLOOKUP($EJ225,Budget!$A:$A,Budget!DO:DO)</f>
        <v>3000</v>
      </c>
      <c r="FJ225" s="22">
        <f>+_xlfn.XLOOKUP($EJ225,Budget!$A:$A,Budget!DP:DP)</f>
        <v>3000</v>
      </c>
      <c r="FK225" s="106">
        <f>+SUM(EY225:FJ225)</f>
        <v>36000</v>
      </c>
    </row>
    <row r="226" spans="1:167" ht="14.45" hidden="1" customHeight="1" outlineLevel="2">
      <c r="A226" s="106">
        <f t="shared" si="1022"/>
        <v>0</v>
      </c>
      <c r="B226" s="106">
        <f t="shared" si="1022"/>
        <v>0</v>
      </c>
      <c r="C226" s="106">
        <f t="shared" si="1022"/>
        <v>0</v>
      </c>
      <c r="D226" s="106">
        <f t="shared" si="1022"/>
        <v>0</v>
      </c>
      <c r="E226" s="106">
        <f t="shared" si="1022"/>
        <v>0</v>
      </c>
      <c r="F226" s="106">
        <f t="shared" si="1022"/>
        <v>0</v>
      </c>
      <c r="G226" s="106">
        <f t="shared" si="1022"/>
        <v>0</v>
      </c>
      <c r="H226" s="106">
        <f t="shared" si="1022"/>
        <v>0</v>
      </c>
      <c r="I226" s="106">
        <f t="shared" si="1022"/>
        <v>0</v>
      </c>
      <c r="J226" s="106">
        <f t="shared" si="1022"/>
        <v>0</v>
      </c>
      <c r="K226" s="106">
        <f t="shared" si="1022"/>
        <v>0</v>
      </c>
      <c r="L226" s="106">
        <f t="shared" si="1022"/>
        <v>0</v>
      </c>
      <c r="M226" s="106">
        <f t="shared" si="1023"/>
        <v>0</v>
      </c>
      <c r="N226" s="16" t="s">
        <v>189</v>
      </c>
      <c r="O226" s="22">
        <f t="shared" si="1024"/>
        <v>0</v>
      </c>
      <c r="P226" s="22">
        <f t="shared" si="1024"/>
        <v>0</v>
      </c>
      <c r="Q226" s="22">
        <f t="shared" si="1024"/>
        <v>0</v>
      </c>
      <c r="R226" s="22">
        <f t="shared" si="1024"/>
        <v>0</v>
      </c>
      <c r="S226" s="22">
        <f t="shared" si="1024"/>
        <v>0</v>
      </c>
      <c r="T226" s="22">
        <f t="shared" si="1024"/>
        <v>0</v>
      </c>
      <c r="U226" s="22">
        <f t="shared" si="1024"/>
        <v>0</v>
      </c>
      <c r="V226" s="22">
        <f t="shared" si="1024"/>
        <v>0</v>
      </c>
      <c r="W226" s="22">
        <f t="shared" si="1024"/>
        <v>0</v>
      </c>
      <c r="X226" s="22">
        <f t="shared" si="1024"/>
        <v>0</v>
      </c>
      <c r="Y226" s="22">
        <f t="shared" si="1024"/>
        <v>0</v>
      </c>
      <c r="Z226" s="22">
        <f t="shared" si="1024"/>
        <v>0</v>
      </c>
      <c r="AA226" s="22">
        <f t="shared" si="1024"/>
        <v>0</v>
      </c>
      <c r="AB226" s="118">
        <f t="shared" si="1005"/>
        <v>-1</v>
      </c>
      <c r="AC226" s="22">
        <f t="shared" si="1025"/>
        <v>5000</v>
      </c>
      <c r="AD226" s="22">
        <f t="shared" si="1025"/>
        <v>5000</v>
      </c>
      <c r="AE226" s="22">
        <f t="shared" si="1025"/>
        <v>5000</v>
      </c>
      <c r="AF226" s="22">
        <f t="shared" si="1025"/>
        <v>5000</v>
      </c>
      <c r="AG226" s="22">
        <f t="shared" si="1025"/>
        <v>5000</v>
      </c>
      <c r="AH226" s="22">
        <f t="shared" si="1025"/>
        <v>5000</v>
      </c>
      <c r="AI226" s="22">
        <f t="shared" si="1025"/>
        <v>5000</v>
      </c>
      <c r="AJ226" s="22">
        <f t="shared" si="1025"/>
        <v>5000</v>
      </c>
      <c r="AK226" s="22">
        <f t="shared" si="1025"/>
        <v>5000</v>
      </c>
      <c r="AL226" s="22">
        <f t="shared" si="1025"/>
        <v>5000</v>
      </c>
      <c r="AM226" s="22">
        <f t="shared" si="1025"/>
        <v>5000</v>
      </c>
      <c r="AN226" s="22">
        <f t="shared" si="1025"/>
        <v>5000</v>
      </c>
      <c r="AO226" s="22">
        <f t="shared" si="1026"/>
        <v>60000</v>
      </c>
      <c r="AQ226" s="106">
        <v>0</v>
      </c>
      <c r="AR226" s="106">
        <v>0</v>
      </c>
      <c r="AS226" s="106">
        <v>0</v>
      </c>
      <c r="AT226" s="106">
        <v>0</v>
      </c>
      <c r="AU226" s="106">
        <v>0</v>
      </c>
      <c r="AV226" s="106">
        <v>0</v>
      </c>
      <c r="AW226" s="106">
        <v>0</v>
      </c>
      <c r="AX226" s="106">
        <v>0</v>
      </c>
      <c r="AY226" s="106">
        <v>0</v>
      </c>
      <c r="AZ226" s="106">
        <v>0</v>
      </c>
      <c r="BA226" s="106">
        <v>0</v>
      </c>
      <c r="BB226" s="106">
        <v>0</v>
      </c>
      <c r="BC226" s="106">
        <f>+SUM(AQ226:BB226)</f>
        <v>0</v>
      </c>
      <c r="BD226" s="16" t="str">
        <f t="shared" si="885"/>
        <v>Commission on Credit Card</v>
      </c>
      <c r="BE226" s="22">
        <f>+VLOOKUP($BD226,'Jan-25'!$A:$J,4,0)</f>
        <v>0</v>
      </c>
      <c r="BF226" s="22">
        <f>+VLOOKUP($BD226,'Feb-25'!$A:$J,4,0)</f>
        <v>0</v>
      </c>
      <c r="BG226" s="22">
        <f>+VLOOKUP($BD226,'Mar-25'!$A:$J,4,0)</f>
        <v>0</v>
      </c>
      <c r="BH226" s="22">
        <f>+VLOOKUP($BD226,'Apr-25'!$A:$J,4,0)</f>
        <v>0</v>
      </c>
      <c r="BI226" s="22">
        <f>+VLOOKUP($BD226,'May-25'!$A:$J,4,0)</f>
        <v>0</v>
      </c>
      <c r="BJ226" s="22">
        <f>+VLOOKUP($BD226,'June-25'!$A:$J,4,0)</f>
        <v>0</v>
      </c>
      <c r="BK226" s="22">
        <f>+VLOOKUP($BD226,'July-25'!$A:$J,4,0)</f>
        <v>0</v>
      </c>
      <c r="BL226" s="22">
        <f>+VLOOKUP($BD226,'Aug-25'!$A:$J,4,0)</f>
        <v>0</v>
      </c>
      <c r="BM226" s="22">
        <f>+VLOOKUP($BD226,'Sep-25'!$A:$J,4,0)</f>
        <v>0</v>
      </c>
      <c r="BN226" s="22">
        <f>+VLOOKUP($BD226,'Oct-25'!$A:$J,4,0)</f>
        <v>0</v>
      </c>
      <c r="BO226" s="22">
        <f>+VLOOKUP($BD226,'Nov-25'!$A:$J,4,0)</f>
        <v>0</v>
      </c>
      <c r="BP226" s="22">
        <f>+VLOOKUP($BD226,'Dec-25'!$A:$J,4,0)</f>
        <v>0</v>
      </c>
      <c r="BQ226" s="22">
        <f t="shared" si="1027"/>
        <v>0</v>
      </c>
      <c r="BR226" s="118">
        <f t="shared" si="1006"/>
        <v>0</v>
      </c>
      <c r="BS226" s="106">
        <f>+_xlfn.XLOOKUP($BD226,Budget!$A:$A,Budget!AQ:AQ)</f>
        <v>0</v>
      </c>
      <c r="BT226" s="106">
        <f>+_xlfn.XLOOKUP($BD226,Budget!$A:$A,Budget!AR:AR)</f>
        <v>0</v>
      </c>
      <c r="BU226" s="106">
        <f>+_xlfn.XLOOKUP($BD226,Budget!$A:$A,Budget!AS:AS)</f>
        <v>0</v>
      </c>
      <c r="BV226" s="106">
        <f>+_xlfn.XLOOKUP($BD226,Budget!$A:$A,Budget!AT:AT)</f>
        <v>0</v>
      </c>
      <c r="BW226" s="106">
        <f>+_xlfn.XLOOKUP($BD226,Budget!$A:$A,Budget!AU:AU)</f>
        <v>0</v>
      </c>
      <c r="BX226" s="106">
        <f>+_xlfn.XLOOKUP($BD226,Budget!$A:$A,Budget!AV:AV)</f>
        <v>0</v>
      </c>
      <c r="BY226" s="106">
        <f>+_xlfn.XLOOKUP($BD226,Budget!$A:$A,Budget!AW:AW)</f>
        <v>0</v>
      </c>
      <c r="BZ226" s="106">
        <f>+_xlfn.XLOOKUP($BD226,Budget!$A:$A,Budget!AX:AX)</f>
        <v>0</v>
      </c>
      <c r="CA226" s="106">
        <f>+_xlfn.XLOOKUP($BD226,Budget!$A:$A,Budget!AY:AY)</f>
        <v>0</v>
      </c>
      <c r="CB226" s="106">
        <f>+_xlfn.XLOOKUP($BD226,Budget!$A:$A,Budget!AZ:AZ)</f>
        <v>0</v>
      </c>
      <c r="CC226" s="106">
        <f>+_xlfn.XLOOKUP($BD226,Budget!$A:$A,Budget!BA:BA)</f>
        <v>0</v>
      </c>
      <c r="CD226" s="106">
        <f>+_xlfn.XLOOKUP($BD226,Budget!$A:$A,Budget!BB:BB)</f>
        <v>0</v>
      </c>
      <c r="CE226" s="106">
        <f>+SUM(BS226:CD226)</f>
        <v>0</v>
      </c>
      <c r="CF226" s="22"/>
      <c r="CG226" s="22">
        <v>0</v>
      </c>
      <c r="CH226" s="22">
        <v>0</v>
      </c>
      <c r="CI226" s="22">
        <v>0</v>
      </c>
      <c r="CJ226" s="22">
        <v>0</v>
      </c>
      <c r="CK226" s="22">
        <v>0</v>
      </c>
      <c r="CL226" s="22">
        <v>0</v>
      </c>
      <c r="CM226" s="22">
        <v>0</v>
      </c>
      <c r="CN226" s="22">
        <v>0</v>
      </c>
      <c r="CO226" s="22">
        <v>0</v>
      </c>
      <c r="CP226" s="22">
        <v>0</v>
      </c>
      <c r="CQ226" s="22">
        <v>0</v>
      </c>
      <c r="CR226" s="22">
        <v>0</v>
      </c>
      <c r="CS226" s="106">
        <f>+SUM(CG226:CR226)</f>
        <v>0</v>
      </c>
      <c r="CT226" s="16" t="str">
        <f t="shared" si="886"/>
        <v>Commission on Credit Card</v>
      </c>
      <c r="CU226" s="22">
        <f>+VLOOKUP($BD226,'Jan-25'!$A:$J,7,0)</f>
        <v>0</v>
      </c>
      <c r="CV226" s="22">
        <f>+VLOOKUP($BD226,'Feb-25'!$A:$J,7,0)</f>
        <v>0</v>
      </c>
      <c r="CW226" s="22">
        <f>+VLOOKUP($BD226,'Mar-25'!$A:$J,7,0)</f>
        <v>0</v>
      </c>
      <c r="CX226" s="22">
        <f>+VLOOKUP($BD226,'Apr-25'!$A:$J,7,0)</f>
        <v>0</v>
      </c>
      <c r="CY226" s="22">
        <f>+VLOOKUP($BD226,'May-25'!$A:$J,7,0)</f>
        <v>0</v>
      </c>
      <c r="CZ226" s="22">
        <f>+VLOOKUP($BD226,'June-25'!$A:$J,7,0)</f>
        <v>0</v>
      </c>
      <c r="DA226" s="22">
        <f>+VLOOKUP($BD226,'July-25'!$A:$J,7,0)</f>
        <v>0</v>
      </c>
      <c r="DB226" s="22">
        <f>+VLOOKUP($BD226,'Aug-25'!$A:$J,7,0)</f>
        <v>0</v>
      </c>
      <c r="DC226" s="22">
        <f>+VLOOKUP($BD226,'Sep-25'!$A:$J,7,0)</f>
        <v>0</v>
      </c>
      <c r="DD226" s="22">
        <f>+VLOOKUP($BD226,'Oct-25'!$A:$J,7,0)</f>
        <v>0</v>
      </c>
      <c r="DE226" s="22">
        <f>+VLOOKUP($BD226,'Nov-25'!$A:$J,7,0)</f>
        <v>0</v>
      </c>
      <c r="DF226" s="22">
        <f>+VLOOKUP($BD226,'Dec-25'!$A:$J,7,0)</f>
        <v>0</v>
      </c>
      <c r="DG226" s="22">
        <f t="shared" si="1028"/>
        <v>0</v>
      </c>
      <c r="DH226" s="118">
        <f t="shared" si="1007"/>
        <v>0</v>
      </c>
      <c r="DI226" s="22">
        <f>+_xlfn.XLOOKUP($CT226,Budget!$A:$A,Budget!CD:CD)</f>
        <v>0</v>
      </c>
      <c r="DJ226" s="22">
        <f>+_xlfn.XLOOKUP($CT226,Budget!$A:$A,Budget!CE:CE)</f>
        <v>0</v>
      </c>
      <c r="DK226" s="22">
        <f>+_xlfn.XLOOKUP($CT226,Budget!$A:$A,Budget!CF:CF)</f>
        <v>0</v>
      </c>
      <c r="DL226" s="22">
        <f>+_xlfn.XLOOKUP($CT226,Budget!$A:$A,Budget!CG:CG)</f>
        <v>0</v>
      </c>
      <c r="DM226" s="22">
        <f>+_xlfn.XLOOKUP($CT226,Budget!$A:$A,Budget!CH:CH)</f>
        <v>0</v>
      </c>
      <c r="DN226" s="22">
        <f>+_xlfn.XLOOKUP($CT226,Budget!$A:$A,Budget!CI:CI)</f>
        <v>0</v>
      </c>
      <c r="DO226" s="22">
        <f>+_xlfn.XLOOKUP($CT226,Budget!$A:$A,Budget!CJ:CJ)</f>
        <v>0</v>
      </c>
      <c r="DP226" s="22">
        <f>+_xlfn.XLOOKUP($CT226,Budget!$A:$A,Budget!CK:CK)</f>
        <v>0</v>
      </c>
      <c r="DQ226" s="22">
        <f>+_xlfn.XLOOKUP($CT226,Budget!$A:$A,Budget!CL:CL)</f>
        <v>0</v>
      </c>
      <c r="DR226" s="22">
        <f>+_xlfn.XLOOKUP($CT226,Budget!$A:$A,Budget!CM:CM)</f>
        <v>0</v>
      </c>
      <c r="DS226" s="22">
        <f>+_xlfn.XLOOKUP($CT226,Budget!$A:$A,Budget!CN:CN)</f>
        <v>0</v>
      </c>
      <c r="DT226" s="22">
        <f>+_xlfn.XLOOKUP($CT226,Budget!$A:$A,Budget!CO:CO)</f>
        <v>0</v>
      </c>
      <c r="DU226" s="106">
        <f>+SUM(DI226:DT226)</f>
        <v>0</v>
      </c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106">
        <f>+SUM(DW226:EH226)</f>
        <v>0</v>
      </c>
      <c r="EJ226" s="16" t="str">
        <f t="shared" si="887"/>
        <v>Commission on Credit Card</v>
      </c>
      <c r="EK226" s="22">
        <f>+VLOOKUP($BD226,'Jan-25'!$A:$J,9,0)</f>
        <v>0</v>
      </c>
      <c r="EL226" s="22">
        <f>+VLOOKUP($BD226,'Feb-25'!$A:$J,9,0)</f>
        <v>0</v>
      </c>
      <c r="EM226" s="22">
        <f>+VLOOKUP($BD226,'Mar-25'!$A:$J,9,0)</f>
        <v>0</v>
      </c>
      <c r="EN226" s="22">
        <f>+VLOOKUP($BD226,'Apr-25'!$A:$J,9,0)</f>
        <v>0</v>
      </c>
      <c r="EO226" s="22">
        <f>+VLOOKUP($BD226,'May-25'!$A:$J,9,0)</f>
        <v>0</v>
      </c>
      <c r="EP226" s="22">
        <f>+VLOOKUP($BD226,'June-25'!$A:$J,9,0)</f>
        <v>0</v>
      </c>
      <c r="EQ226" s="22">
        <f>+VLOOKUP($BD226,'July-25'!$A:$J,9,0)</f>
        <v>0</v>
      </c>
      <c r="ER226" s="22">
        <f>+VLOOKUP($BD226,'Aug-25'!$A:$J,9,0)</f>
        <v>0</v>
      </c>
      <c r="ES226" s="22">
        <f>+VLOOKUP($BD226,'Sep-25'!$A:$J,9,0)</f>
        <v>0</v>
      </c>
      <c r="ET226" s="22">
        <f>+VLOOKUP($BD226,'Oct-25'!$A:$J,9,0)</f>
        <v>0</v>
      </c>
      <c r="EU226" s="22">
        <f>+VLOOKUP($BD226,'Nov-25'!$A:$J,9,0)</f>
        <v>0</v>
      </c>
      <c r="EV226" s="22">
        <f>+VLOOKUP($BD226,'Dec-25'!$A:$J,9,0)</f>
        <v>0</v>
      </c>
      <c r="EW226" s="22">
        <f t="shared" si="1029"/>
        <v>0</v>
      </c>
      <c r="EX226" s="118">
        <f t="shared" si="1008"/>
        <v>-1</v>
      </c>
      <c r="EY226" s="22">
        <f>+_xlfn.XLOOKUP($EJ226,Budget!$A:$A,Budget!DE:DE)</f>
        <v>5000</v>
      </c>
      <c r="EZ226" s="22">
        <f>+_xlfn.XLOOKUP($EJ226,Budget!$A:$A,Budget!DF:DF)</f>
        <v>5000</v>
      </c>
      <c r="FA226" s="22">
        <f>+_xlfn.XLOOKUP($EJ226,Budget!$A:$A,Budget!DG:DG)</f>
        <v>5000</v>
      </c>
      <c r="FB226" s="22">
        <f>+_xlfn.XLOOKUP($EJ226,Budget!$A:$A,Budget!DH:DH)</f>
        <v>5000</v>
      </c>
      <c r="FC226" s="22">
        <f>+_xlfn.XLOOKUP($EJ226,Budget!$A:$A,Budget!DI:DI)</f>
        <v>5000</v>
      </c>
      <c r="FD226" s="22">
        <f>+_xlfn.XLOOKUP($EJ226,Budget!$A:$A,Budget!DJ:DJ)</f>
        <v>5000</v>
      </c>
      <c r="FE226" s="22">
        <f>+_xlfn.XLOOKUP($EJ226,Budget!$A:$A,Budget!DK:DK)</f>
        <v>5000</v>
      </c>
      <c r="FF226" s="22">
        <f>+_xlfn.XLOOKUP($EJ226,Budget!$A:$A,Budget!DL:DL)</f>
        <v>5000</v>
      </c>
      <c r="FG226" s="22">
        <f>+_xlfn.XLOOKUP($EJ226,Budget!$A:$A,Budget!DM:DM)</f>
        <v>5000</v>
      </c>
      <c r="FH226" s="22">
        <f>+_xlfn.XLOOKUP($EJ226,Budget!$A:$A,Budget!DN:DN)</f>
        <v>5000</v>
      </c>
      <c r="FI226" s="22">
        <f>+_xlfn.XLOOKUP($EJ226,Budget!$A:$A,Budget!DO:DO)</f>
        <v>5000</v>
      </c>
      <c r="FJ226" s="22">
        <f>+_xlfn.XLOOKUP($EJ226,Budget!$A:$A,Budget!DP:DP)</f>
        <v>5000</v>
      </c>
      <c r="FK226" s="106">
        <f>+SUM(EY226:FJ226)</f>
        <v>60000</v>
      </c>
    </row>
    <row r="227" spans="1:167" ht="14.45" hidden="1" customHeight="1" outlineLevel="1" collapsed="1">
      <c r="A227" s="58">
        <f t="shared" ref="A227:L227" si="1030">+A228+A229</f>
        <v>2802.06</v>
      </c>
      <c r="B227" s="58">
        <f t="shared" si="1030"/>
        <v>36681.119999999995</v>
      </c>
      <c r="C227" s="58">
        <f t="shared" si="1030"/>
        <v>61595.100000000006</v>
      </c>
      <c r="D227" s="58">
        <f t="shared" si="1030"/>
        <v>7374.24</v>
      </c>
      <c r="E227" s="58">
        <f t="shared" si="1030"/>
        <v>2219.1299999999997</v>
      </c>
      <c r="F227" s="58">
        <f t="shared" si="1030"/>
        <v>7730.91</v>
      </c>
      <c r="G227" s="58">
        <f t="shared" si="1030"/>
        <v>6725.43</v>
      </c>
      <c r="H227" s="58">
        <f t="shared" si="1030"/>
        <v>11575.44</v>
      </c>
      <c r="I227" s="58">
        <f t="shared" si="1030"/>
        <v>19504.259999999998</v>
      </c>
      <c r="J227" s="58">
        <f t="shared" si="1030"/>
        <v>24764.399999999998</v>
      </c>
      <c r="K227" s="58">
        <f t="shared" si="1030"/>
        <v>15761.25</v>
      </c>
      <c r="L227" s="58">
        <f t="shared" si="1030"/>
        <v>22994.01</v>
      </c>
      <c r="M227" s="58"/>
      <c r="N227" s="20" t="s">
        <v>190</v>
      </c>
      <c r="O227" s="28">
        <f t="shared" ref="O227:Z227" si="1031">+O228+O229</f>
        <v>24647.489999999998</v>
      </c>
      <c r="P227" s="28">
        <f t="shared" si="1031"/>
        <v>18192.87</v>
      </c>
      <c r="Q227" s="28">
        <f t="shared" si="1031"/>
        <v>4484.16</v>
      </c>
      <c r="R227" s="28">
        <f t="shared" si="1031"/>
        <v>1185.8399999999999</v>
      </c>
      <c r="S227" s="28">
        <f t="shared" si="1031"/>
        <v>13330.169999999998</v>
      </c>
      <c r="T227" s="28">
        <f t="shared" si="1031"/>
        <v>8121.329999999999</v>
      </c>
      <c r="U227" s="28">
        <f t="shared" si="1031"/>
        <v>0</v>
      </c>
      <c r="V227" s="28">
        <f t="shared" si="1031"/>
        <v>5034.6899999999996</v>
      </c>
      <c r="W227" s="28">
        <f t="shared" si="1031"/>
        <v>445.23</v>
      </c>
      <c r="X227" s="28">
        <f t="shared" si="1031"/>
        <v>3879.8099999999995</v>
      </c>
      <c r="Y227" s="28">
        <f t="shared" si="1031"/>
        <v>0</v>
      </c>
      <c r="Z227" s="28">
        <f t="shared" si="1031"/>
        <v>0</v>
      </c>
      <c r="AA227" s="28">
        <f t="shared" ref="AA227" si="1032">+AA228+AA229</f>
        <v>79321.59</v>
      </c>
      <c r="AB227" s="118">
        <f t="shared" si="1005"/>
        <v>0</v>
      </c>
      <c r="AC227" s="28">
        <f t="shared" ref="AC227:AN227" si="1033">+AC228+AC229</f>
        <v>0</v>
      </c>
      <c r="AD227" s="28">
        <f t="shared" si="1033"/>
        <v>0</v>
      </c>
      <c r="AE227" s="28">
        <f t="shared" si="1033"/>
        <v>0</v>
      </c>
      <c r="AF227" s="28">
        <f t="shared" si="1033"/>
        <v>0</v>
      </c>
      <c r="AG227" s="28">
        <f t="shared" si="1033"/>
        <v>0</v>
      </c>
      <c r="AH227" s="28">
        <f t="shared" si="1033"/>
        <v>0</v>
      </c>
      <c r="AI227" s="28">
        <f t="shared" si="1033"/>
        <v>0</v>
      </c>
      <c r="AJ227" s="28">
        <f t="shared" si="1033"/>
        <v>0</v>
      </c>
      <c r="AK227" s="28">
        <f t="shared" si="1033"/>
        <v>0</v>
      </c>
      <c r="AL227" s="28">
        <f t="shared" si="1033"/>
        <v>0</v>
      </c>
      <c r="AM227" s="28">
        <f t="shared" si="1033"/>
        <v>0</v>
      </c>
      <c r="AN227" s="28">
        <f t="shared" si="1033"/>
        <v>0</v>
      </c>
      <c r="AO227" s="28"/>
      <c r="AQ227" s="58">
        <f t="shared" ref="AQ227:BB227" si="1034">+AQ228+AQ229</f>
        <v>1868.04</v>
      </c>
      <c r="AR227" s="58">
        <f t="shared" si="1034"/>
        <v>24454.079999999998</v>
      </c>
      <c r="AS227" s="58">
        <f t="shared" si="1034"/>
        <v>41063.4</v>
      </c>
      <c r="AT227" s="58">
        <f t="shared" si="1034"/>
        <v>4916.16</v>
      </c>
      <c r="AU227" s="58">
        <f t="shared" si="1034"/>
        <v>1479.4199999999998</v>
      </c>
      <c r="AV227" s="58">
        <f t="shared" si="1034"/>
        <v>5153.9399999999996</v>
      </c>
      <c r="AW227" s="58">
        <f t="shared" si="1034"/>
        <v>4483.62</v>
      </c>
      <c r="AX227" s="58">
        <f t="shared" si="1034"/>
        <v>7716.96</v>
      </c>
      <c r="AY227" s="58">
        <f t="shared" si="1034"/>
        <v>13002.839999999998</v>
      </c>
      <c r="AZ227" s="58">
        <f t="shared" si="1034"/>
        <v>16509.599999999999</v>
      </c>
      <c r="BA227" s="58">
        <f t="shared" si="1034"/>
        <v>10507.5</v>
      </c>
      <c r="BB227" s="58">
        <f t="shared" si="1034"/>
        <v>15329.339999999998</v>
      </c>
      <c r="BC227" s="58"/>
      <c r="BD227" s="20" t="str">
        <f t="shared" si="885"/>
        <v>Financial Expenses</v>
      </c>
      <c r="BE227" s="28">
        <f t="shared" ref="BE227:BQ227" si="1035">+BE228+BE229</f>
        <v>16431.66</v>
      </c>
      <c r="BF227" s="28">
        <f t="shared" si="1035"/>
        <v>12128.58</v>
      </c>
      <c r="BG227" s="28">
        <f t="shared" si="1035"/>
        <v>2989.4399999999996</v>
      </c>
      <c r="BH227" s="28">
        <f t="shared" si="1035"/>
        <v>790.56</v>
      </c>
      <c r="BI227" s="28">
        <f t="shared" si="1035"/>
        <v>8886.7799999999988</v>
      </c>
      <c r="BJ227" s="28">
        <f t="shared" si="1035"/>
        <v>5414.2199999999993</v>
      </c>
      <c r="BK227" s="28">
        <f t="shared" si="1035"/>
        <v>0</v>
      </c>
      <c r="BL227" s="28">
        <f t="shared" si="1035"/>
        <v>3356.4599999999996</v>
      </c>
      <c r="BM227" s="28">
        <f t="shared" si="1035"/>
        <v>296.82</v>
      </c>
      <c r="BN227" s="28">
        <f t="shared" si="1035"/>
        <v>2116.2599999999998</v>
      </c>
      <c r="BO227" s="28">
        <f t="shared" si="1035"/>
        <v>0</v>
      </c>
      <c r="BP227" s="28">
        <f t="shared" si="1035"/>
        <v>0</v>
      </c>
      <c r="BQ227" s="28">
        <f t="shared" si="1035"/>
        <v>52410.78</v>
      </c>
      <c r="BR227" s="118">
        <f t="shared" si="1006"/>
        <v>0</v>
      </c>
      <c r="BS227" s="58">
        <f t="shared" ref="BS227:CD227" si="1036">+BS228+BS229</f>
        <v>0</v>
      </c>
      <c r="BT227" s="58">
        <f t="shared" si="1036"/>
        <v>0</v>
      </c>
      <c r="BU227" s="58">
        <f t="shared" si="1036"/>
        <v>0</v>
      </c>
      <c r="BV227" s="58">
        <f t="shared" si="1036"/>
        <v>0</v>
      </c>
      <c r="BW227" s="58">
        <f t="shared" si="1036"/>
        <v>0</v>
      </c>
      <c r="BX227" s="58">
        <f t="shared" si="1036"/>
        <v>0</v>
      </c>
      <c r="BY227" s="58">
        <f t="shared" si="1036"/>
        <v>0</v>
      </c>
      <c r="BZ227" s="58">
        <f t="shared" si="1036"/>
        <v>0</v>
      </c>
      <c r="CA227" s="58">
        <f t="shared" si="1036"/>
        <v>0</v>
      </c>
      <c r="CB227" s="58">
        <f t="shared" si="1036"/>
        <v>0</v>
      </c>
      <c r="CC227" s="58">
        <f t="shared" si="1036"/>
        <v>0</v>
      </c>
      <c r="CD227" s="58">
        <f t="shared" si="1036"/>
        <v>0</v>
      </c>
      <c r="CE227" s="58"/>
      <c r="CF227" s="22"/>
      <c r="CG227" s="28">
        <f t="shared" ref="CG227:CR227" si="1037">+CG228+CG229</f>
        <v>934.02</v>
      </c>
      <c r="CH227" s="28">
        <f t="shared" si="1037"/>
        <v>12227.039999999999</v>
      </c>
      <c r="CI227" s="28">
        <f t="shared" si="1037"/>
        <v>20531.7</v>
      </c>
      <c r="CJ227" s="28">
        <f t="shared" si="1037"/>
        <v>2458.08</v>
      </c>
      <c r="CK227" s="28">
        <f t="shared" si="1037"/>
        <v>739.70999999999992</v>
      </c>
      <c r="CL227" s="28">
        <f t="shared" si="1037"/>
        <v>2576.9699999999998</v>
      </c>
      <c r="CM227" s="28">
        <f t="shared" si="1037"/>
        <v>2241.81</v>
      </c>
      <c r="CN227" s="28">
        <f t="shared" si="1037"/>
        <v>3858.48</v>
      </c>
      <c r="CO227" s="28">
        <f t="shared" si="1037"/>
        <v>6501.4199999999992</v>
      </c>
      <c r="CP227" s="28">
        <f t="shared" si="1037"/>
        <v>8254.7999999999993</v>
      </c>
      <c r="CQ227" s="28">
        <f t="shared" si="1037"/>
        <v>5253.75</v>
      </c>
      <c r="CR227" s="28">
        <f t="shared" si="1037"/>
        <v>7664.6699999999992</v>
      </c>
      <c r="CS227" s="58"/>
      <c r="CT227" s="20" t="str">
        <f t="shared" si="886"/>
        <v>Financial Expenses</v>
      </c>
      <c r="CU227" s="28">
        <f t="shared" ref="CU227:DG227" si="1038">+CU228+CU229</f>
        <v>8215.83</v>
      </c>
      <c r="CV227" s="28">
        <f t="shared" si="1038"/>
        <v>6064.29</v>
      </c>
      <c r="CW227" s="28">
        <f t="shared" si="1038"/>
        <v>1494.7199999999998</v>
      </c>
      <c r="CX227" s="28">
        <f t="shared" si="1038"/>
        <v>395.28</v>
      </c>
      <c r="CY227" s="28">
        <f t="shared" si="1038"/>
        <v>4443.3899999999994</v>
      </c>
      <c r="CZ227" s="28">
        <f t="shared" si="1038"/>
        <v>2707.1099999999997</v>
      </c>
      <c r="DA227" s="28">
        <f t="shared" si="1038"/>
        <v>0</v>
      </c>
      <c r="DB227" s="28">
        <f t="shared" si="1038"/>
        <v>1678.2299999999998</v>
      </c>
      <c r="DC227" s="28">
        <f t="shared" si="1038"/>
        <v>148.41</v>
      </c>
      <c r="DD227" s="28">
        <f t="shared" si="1038"/>
        <v>1058.1299999999999</v>
      </c>
      <c r="DE227" s="28">
        <f t="shared" si="1038"/>
        <v>0</v>
      </c>
      <c r="DF227" s="28">
        <f t="shared" si="1038"/>
        <v>0</v>
      </c>
      <c r="DG227" s="28">
        <f t="shared" si="1038"/>
        <v>26205.39</v>
      </c>
      <c r="DH227" s="118">
        <f t="shared" si="1007"/>
        <v>0</v>
      </c>
      <c r="DI227" s="28">
        <f t="shared" ref="DI227:DT227" si="1039">+DI228+DI229</f>
        <v>0</v>
      </c>
      <c r="DJ227" s="28">
        <f t="shared" si="1039"/>
        <v>0</v>
      </c>
      <c r="DK227" s="28">
        <f t="shared" si="1039"/>
        <v>0</v>
      </c>
      <c r="DL227" s="28">
        <f t="shared" si="1039"/>
        <v>0</v>
      </c>
      <c r="DM227" s="28">
        <f t="shared" si="1039"/>
        <v>0</v>
      </c>
      <c r="DN227" s="28">
        <f t="shared" si="1039"/>
        <v>0</v>
      </c>
      <c r="DO227" s="28">
        <f t="shared" si="1039"/>
        <v>0</v>
      </c>
      <c r="DP227" s="28">
        <f t="shared" si="1039"/>
        <v>0</v>
      </c>
      <c r="DQ227" s="28">
        <f t="shared" si="1039"/>
        <v>0</v>
      </c>
      <c r="DR227" s="28">
        <f t="shared" si="1039"/>
        <v>0</v>
      </c>
      <c r="DS227" s="28">
        <f t="shared" si="1039"/>
        <v>0</v>
      </c>
      <c r="DT227" s="28">
        <f t="shared" si="1039"/>
        <v>0</v>
      </c>
      <c r="DU227" s="58"/>
      <c r="DW227" s="28">
        <f t="shared" ref="DW227:EH227" si="1040">+DW228+DW229</f>
        <v>0</v>
      </c>
      <c r="DX227" s="28">
        <f t="shared" si="1040"/>
        <v>0</v>
      </c>
      <c r="DY227" s="28">
        <f t="shared" si="1040"/>
        <v>0</v>
      </c>
      <c r="DZ227" s="28">
        <f t="shared" si="1040"/>
        <v>0</v>
      </c>
      <c r="EA227" s="28">
        <f t="shared" si="1040"/>
        <v>0</v>
      </c>
      <c r="EB227" s="28">
        <f t="shared" si="1040"/>
        <v>0</v>
      </c>
      <c r="EC227" s="28">
        <f t="shared" si="1040"/>
        <v>0</v>
      </c>
      <c r="ED227" s="28">
        <f t="shared" si="1040"/>
        <v>0</v>
      </c>
      <c r="EE227" s="28">
        <f t="shared" si="1040"/>
        <v>0</v>
      </c>
      <c r="EF227" s="28">
        <f t="shared" si="1040"/>
        <v>0</v>
      </c>
      <c r="EG227" s="28">
        <f t="shared" si="1040"/>
        <v>0</v>
      </c>
      <c r="EH227" s="28">
        <f t="shared" si="1040"/>
        <v>0</v>
      </c>
      <c r="EI227" s="58"/>
      <c r="EJ227" s="20" t="str">
        <f t="shared" si="887"/>
        <v>Financial Expenses</v>
      </c>
      <c r="EK227" s="28">
        <f t="shared" ref="EK227:EW227" si="1041">+EK228+EK229</f>
        <v>0</v>
      </c>
      <c r="EL227" s="28">
        <f t="shared" si="1041"/>
        <v>0</v>
      </c>
      <c r="EM227" s="28">
        <f t="shared" si="1041"/>
        <v>0</v>
      </c>
      <c r="EN227" s="28">
        <f t="shared" si="1041"/>
        <v>0</v>
      </c>
      <c r="EO227" s="28">
        <f t="shared" si="1041"/>
        <v>0</v>
      </c>
      <c r="EP227" s="28">
        <f t="shared" si="1041"/>
        <v>0</v>
      </c>
      <c r="EQ227" s="28">
        <f t="shared" si="1041"/>
        <v>0</v>
      </c>
      <c r="ER227" s="28">
        <f t="shared" si="1041"/>
        <v>0</v>
      </c>
      <c r="ES227" s="28">
        <f t="shared" si="1041"/>
        <v>0</v>
      </c>
      <c r="ET227" s="28">
        <f t="shared" si="1041"/>
        <v>705.42</v>
      </c>
      <c r="EU227" s="28">
        <f t="shared" si="1041"/>
        <v>0</v>
      </c>
      <c r="EV227" s="28">
        <f t="shared" si="1041"/>
        <v>0</v>
      </c>
      <c r="EW227" s="28">
        <f t="shared" si="1041"/>
        <v>705.42</v>
      </c>
      <c r="EX227" s="118">
        <f t="shared" si="1008"/>
        <v>0</v>
      </c>
      <c r="EY227" s="28">
        <f t="shared" ref="EY227:FJ227" si="1042">+EY228+EY229</f>
        <v>0</v>
      </c>
      <c r="EZ227" s="28">
        <f t="shared" si="1042"/>
        <v>0</v>
      </c>
      <c r="FA227" s="28">
        <f t="shared" si="1042"/>
        <v>0</v>
      </c>
      <c r="FB227" s="28">
        <f t="shared" si="1042"/>
        <v>0</v>
      </c>
      <c r="FC227" s="28">
        <f t="shared" si="1042"/>
        <v>0</v>
      </c>
      <c r="FD227" s="28">
        <f t="shared" si="1042"/>
        <v>0</v>
      </c>
      <c r="FE227" s="28">
        <f t="shared" si="1042"/>
        <v>0</v>
      </c>
      <c r="FF227" s="28">
        <f t="shared" si="1042"/>
        <v>0</v>
      </c>
      <c r="FG227" s="28">
        <f t="shared" si="1042"/>
        <v>0</v>
      </c>
      <c r="FH227" s="28">
        <f t="shared" si="1042"/>
        <v>0</v>
      </c>
      <c r="FI227" s="28">
        <f t="shared" si="1042"/>
        <v>0</v>
      </c>
      <c r="FJ227" s="28">
        <f t="shared" si="1042"/>
        <v>0</v>
      </c>
      <c r="FK227" s="58"/>
    </row>
    <row r="228" spans="1:167" ht="14.45" hidden="1" customHeight="1" outlineLevel="2">
      <c r="A228" s="106">
        <f t="shared" ref="A228:L229" si="1043">+AQ228+CG228+DW228</f>
        <v>0</v>
      </c>
      <c r="B228" s="106">
        <f t="shared" si="1043"/>
        <v>0</v>
      </c>
      <c r="C228" s="106">
        <f t="shared" si="1043"/>
        <v>0</v>
      </c>
      <c r="D228" s="106">
        <f t="shared" si="1043"/>
        <v>0</v>
      </c>
      <c r="E228" s="106">
        <f t="shared" si="1043"/>
        <v>0</v>
      </c>
      <c r="F228" s="106">
        <f t="shared" si="1043"/>
        <v>0</v>
      </c>
      <c r="G228" s="106">
        <f t="shared" si="1043"/>
        <v>0</v>
      </c>
      <c r="H228" s="106">
        <f t="shared" si="1043"/>
        <v>0</v>
      </c>
      <c r="I228" s="106">
        <f t="shared" si="1043"/>
        <v>0</v>
      </c>
      <c r="J228" s="106">
        <f t="shared" si="1043"/>
        <v>0</v>
      </c>
      <c r="K228" s="106">
        <f t="shared" si="1043"/>
        <v>0</v>
      </c>
      <c r="L228" s="106">
        <f t="shared" si="1043"/>
        <v>0</v>
      </c>
      <c r="M228" s="106">
        <f t="shared" ref="M228:M229" si="1044">+SUM(A228:L228)</f>
        <v>0</v>
      </c>
      <c r="N228" s="16" t="s">
        <v>191</v>
      </c>
      <c r="O228" s="22">
        <f t="shared" ref="O228:Z229" si="1045">+BE228+CU228+EK228</f>
        <v>0</v>
      </c>
      <c r="P228" s="22">
        <f t="shared" si="1045"/>
        <v>0</v>
      </c>
      <c r="Q228" s="22">
        <f t="shared" si="1045"/>
        <v>0</v>
      </c>
      <c r="R228" s="22">
        <f t="shared" si="1045"/>
        <v>0</v>
      </c>
      <c r="S228" s="22">
        <f t="shared" si="1045"/>
        <v>0</v>
      </c>
      <c r="T228" s="22">
        <f t="shared" si="1045"/>
        <v>0</v>
      </c>
      <c r="U228" s="22">
        <f t="shared" si="1045"/>
        <v>0</v>
      </c>
      <c r="V228" s="22">
        <f t="shared" si="1045"/>
        <v>0</v>
      </c>
      <c r="W228" s="22">
        <f t="shared" si="1045"/>
        <v>0</v>
      </c>
      <c r="X228" s="22">
        <f t="shared" si="1045"/>
        <v>0</v>
      </c>
      <c r="Y228" s="22">
        <f t="shared" si="1045"/>
        <v>0</v>
      </c>
      <c r="Z228" s="22">
        <f t="shared" si="1045"/>
        <v>0</v>
      </c>
      <c r="AA228" s="22">
        <f t="shared" ref="AA228:AA229" si="1046">+SUM(O228:Z228)</f>
        <v>0</v>
      </c>
      <c r="AB228" s="118">
        <f t="shared" si="1005"/>
        <v>0</v>
      </c>
      <c r="AC228" s="22">
        <f t="shared" ref="AC228:AN229" si="1047">+BS228+DI228+EY228</f>
        <v>0</v>
      </c>
      <c r="AD228" s="22">
        <f t="shared" si="1047"/>
        <v>0</v>
      </c>
      <c r="AE228" s="22">
        <f t="shared" si="1047"/>
        <v>0</v>
      </c>
      <c r="AF228" s="22">
        <f t="shared" si="1047"/>
        <v>0</v>
      </c>
      <c r="AG228" s="22">
        <f t="shared" si="1047"/>
        <v>0</v>
      </c>
      <c r="AH228" s="22">
        <f t="shared" si="1047"/>
        <v>0</v>
      </c>
      <c r="AI228" s="22">
        <f t="shared" si="1047"/>
        <v>0</v>
      </c>
      <c r="AJ228" s="22">
        <f t="shared" si="1047"/>
        <v>0</v>
      </c>
      <c r="AK228" s="22">
        <f t="shared" si="1047"/>
        <v>0</v>
      </c>
      <c r="AL228" s="22">
        <f t="shared" si="1047"/>
        <v>0</v>
      </c>
      <c r="AM228" s="22">
        <f t="shared" si="1047"/>
        <v>0</v>
      </c>
      <c r="AN228" s="22">
        <f t="shared" si="1047"/>
        <v>0</v>
      </c>
      <c r="AO228" s="22">
        <f t="shared" ref="AO228:AO229" si="1048">+SUM(AC228:AN228)</f>
        <v>0</v>
      </c>
      <c r="AQ228" s="106">
        <v>0</v>
      </c>
      <c r="AR228" s="106">
        <v>0</v>
      </c>
      <c r="AS228" s="106">
        <v>0</v>
      </c>
      <c r="AT228" s="106">
        <v>0</v>
      </c>
      <c r="AU228" s="106">
        <v>0</v>
      </c>
      <c r="AV228" s="106">
        <v>0</v>
      </c>
      <c r="AW228" s="106">
        <v>0</v>
      </c>
      <c r="AX228" s="106">
        <v>0</v>
      </c>
      <c r="AY228" s="106">
        <v>0</v>
      </c>
      <c r="AZ228" s="106">
        <v>0</v>
      </c>
      <c r="BA228" s="106">
        <v>0</v>
      </c>
      <c r="BB228" s="106">
        <v>0</v>
      </c>
      <c r="BC228" s="106">
        <f t="shared" ref="BC228:BC229" si="1049">+SUM(AQ228:BB228)</f>
        <v>0</v>
      </c>
      <c r="BD228" s="16" t="str">
        <f t="shared" si="885"/>
        <v>Interest on Other Short Term Borrowing</v>
      </c>
      <c r="BE228" s="22">
        <f>+VLOOKUP($BD228,'Jan-25'!$A:$J,4,0)</f>
        <v>0</v>
      </c>
      <c r="BF228" s="22">
        <f>+VLOOKUP($BD228,'Feb-25'!$A:$J,4,0)</f>
        <v>0</v>
      </c>
      <c r="BG228" s="22">
        <f>+VLOOKUP($BD228,'Mar-25'!$A:$J,4,0)</f>
        <v>0</v>
      </c>
      <c r="BH228" s="22">
        <f>+VLOOKUP($BD228,'Apr-25'!$A:$J,4,0)</f>
        <v>0</v>
      </c>
      <c r="BI228" s="22">
        <f>+VLOOKUP($BD228,'May-25'!$A:$J,4,0)</f>
        <v>0</v>
      </c>
      <c r="BJ228" s="22">
        <f>+VLOOKUP($BD228,'June-25'!$A:$J,4,0)</f>
        <v>0</v>
      </c>
      <c r="BK228" s="22">
        <f>+VLOOKUP($BD228,'July-25'!$A:$J,4,0)</f>
        <v>0</v>
      </c>
      <c r="BL228" s="22">
        <f>+VLOOKUP($BD228,'Aug-25'!$A:$J,4,0)</f>
        <v>0</v>
      </c>
      <c r="BM228" s="22">
        <f>+VLOOKUP($BD228,'Sep-25'!$A:$J,4,0)</f>
        <v>0</v>
      </c>
      <c r="BN228" s="22">
        <f>+VLOOKUP($BD228,'Oct-25'!$A:$J,4,0)</f>
        <v>0</v>
      </c>
      <c r="BO228" s="22">
        <f>+VLOOKUP($BD228,'Nov-25'!$A:$J,4,0)</f>
        <v>0</v>
      </c>
      <c r="BP228" s="22">
        <f>+VLOOKUP($BD228,'Dec-25'!$A:$J,4,0)</f>
        <v>0</v>
      </c>
      <c r="BQ228" s="22">
        <f t="shared" ref="BQ228:BQ229" si="1050">+SUM(BE228:BP228)</f>
        <v>0</v>
      </c>
      <c r="BR228" s="118">
        <f t="shared" si="1006"/>
        <v>0</v>
      </c>
      <c r="BS228" s="106">
        <f>+_xlfn.XLOOKUP($BD228,Budget!$A:$A,Budget!AQ:AQ)</f>
        <v>0</v>
      </c>
      <c r="BT228" s="106">
        <f>+_xlfn.XLOOKUP($BD228,Budget!$A:$A,Budget!AR:AR)</f>
        <v>0</v>
      </c>
      <c r="BU228" s="106">
        <f>+_xlfn.XLOOKUP($BD228,Budget!$A:$A,Budget!AS:AS)</f>
        <v>0</v>
      </c>
      <c r="BV228" s="106">
        <f>+_xlfn.XLOOKUP($BD228,Budget!$A:$A,Budget!AT:AT)</f>
        <v>0</v>
      </c>
      <c r="BW228" s="106">
        <f>+_xlfn.XLOOKUP($BD228,Budget!$A:$A,Budget!AU:AU)</f>
        <v>0</v>
      </c>
      <c r="BX228" s="106">
        <f>+_xlfn.XLOOKUP($BD228,Budget!$A:$A,Budget!AV:AV)</f>
        <v>0</v>
      </c>
      <c r="BY228" s="106">
        <f>+_xlfn.XLOOKUP($BD228,Budget!$A:$A,Budget!AW:AW)</f>
        <v>0</v>
      </c>
      <c r="BZ228" s="106">
        <f>+_xlfn.XLOOKUP($BD228,Budget!$A:$A,Budget!AX:AX)</f>
        <v>0</v>
      </c>
      <c r="CA228" s="106">
        <f>+_xlfn.XLOOKUP($BD228,Budget!$A:$A,Budget!AY:AY)</f>
        <v>0</v>
      </c>
      <c r="CB228" s="106">
        <f>+_xlfn.XLOOKUP($BD228,Budget!$A:$A,Budget!AZ:AZ)</f>
        <v>0</v>
      </c>
      <c r="CC228" s="106">
        <f>+_xlfn.XLOOKUP($BD228,Budget!$A:$A,Budget!BA:BA)</f>
        <v>0</v>
      </c>
      <c r="CD228" s="106">
        <f>+_xlfn.XLOOKUP($BD228,Budget!$A:$A,Budget!BB:BB)</f>
        <v>0</v>
      </c>
      <c r="CE228" s="106">
        <f t="shared" ref="CE228:CE229" si="1051">+SUM(BS228:CD228)</f>
        <v>0</v>
      </c>
      <c r="CF228" s="22"/>
      <c r="CG228" s="22">
        <v>0</v>
      </c>
      <c r="CH228" s="22">
        <v>0</v>
      </c>
      <c r="CI228" s="22">
        <v>0</v>
      </c>
      <c r="CJ228" s="22">
        <v>0</v>
      </c>
      <c r="CK228" s="22">
        <v>0</v>
      </c>
      <c r="CL228" s="22">
        <v>0</v>
      </c>
      <c r="CM228" s="22">
        <v>0</v>
      </c>
      <c r="CN228" s="22">
        <v>0</v>
      </c>
      <c r="CO228" s="22">
        <v>0</v>
      </c>
      <c r="CP228" s="22">
        <v>0</v>
      </c>
      <c r="CQ228" s="22">
        <v>0</v>
      </c>
      <c r="CR228" s="22">
        <v>0</v>
      </c>
      <c r="CS228" s="106">
        <f t="shared" ref="CS228:CS229" si="1052">+SUM(CG228:CR228)</f>
        <v>0</v>
      </c>
      <c r="CT228" s="16" t="str">
        <f t="shared" si="886"/>
        <v>Interest on Other Short Term Borrowing</v>
      </c>
      <c r="CU228" s="22">
        <f>+VLOOKUP($BD228,'Jan-25'!$A:$J,7,0)</f>
        <v>0</v>
      </c>
      <c r="CV228" s="22">
        <f>+VLOOKUP($BD228,'Feb-25'!$A:$J,7,0)</f>
        <v>0</v>
      </c>
      <c r="CW228" s="22">
        <f>+VLOOKUP($BD228,'Mar-25'!$A:$J,7,0)</f>
        <v>0</v>
      </c>
      <c r="CX228" s="22">
        <f>+VLOOKUP($BD228,'Apr-25'!$A:$J,7,0)</f>
        <v>0</v>
      </c>
      <c r="CY228" s="22">
        <f>+VLOOKUP($BD228,'May-25'!$A:$J,7,0)</f>
        <v>0</v>
      </c>
      <c r="CZ228" s="22">
        <f>+VLOOKUP($BD228,'June-25'!$A:$J,7,0)</f>
        <v>0</v>
      </c>
      <c r="DA228" s="22">
        <f>+VLOOKUP($BD228,'July-25'!$A:$J,7,0)</f>
        <v>0</v>
      </c>
      <c r="DB228" s="22">
        <f>+VLOOKUP($BD228,'Aug-25'!$A:$J,7,0)</f>
        <v>0</v>
      </c>
      <c r="DC228" s="22">
        <f>+VLOOKUP($BD228,'Sep-25'!$A:$J,7,0)</f>
        <v>0</v>
      </c>
      <c r="DD228" s="22">
        <f>+VLOOKUP($BD228,'Oct-25'!$A:$J,7,0)</f>
        <v>0</v>
      </c>
      <c r="DE228" s="22">
        <f>+VLOOKUP($BD228,'Nov-25'!$A:$J,7,0)</f>
        <v>0</v>
      </c>
      <c r="DF228" s="22">
        <f>+VLOOKUP($BD228,'Dec-25'!$A:$J,7,0)</f>
        <v>0</v>
      </c>
      <c r="DG228" s="22">
        <f t="shared" ref="DG228:DG229" si="1053">+SUM(CU228:DF228)</f>
        <v>0</v>
      </c>
      <c r="DH228" s="118">
        <f t="shared" si="1007"/>
        <v>0</v>
      </c>
      <c r="DI228" s="22">
        <f>+_xlfn.XLOOKUP($CT228,Budget!$A:$A,Budget!CD:CD)</f>
        <v>0</v>
      </c>
      <c r="DJ228" s="22">
        <f>+_xlfn.XLOOKUP($CT228,Budget!$A:$A,Budget!CE:CE)</f>
        <v>0</v>
      </c>
      <c r="DK228" s="22">
        <f>+_xlfn.XLOOKUP($CT228,Budget!$A:$A,Budget!CF:CF)</f>
        <v>0</v>
      </c>
      <c r="DL228" s="22">
        <f>+_xlfn.XLOOKUP($CT228,Budget!$A:$A,Budget!CG:CG)</f>
        <v>0</v>
      </c>
      <c r="DM228" s="22">
        <f>+_xlfn.XLOOKUP($CT228,Budget!$A:$A,Budget!CH:CH)</f>
        <v>0</v>
      </c>
      <c r="DN228" s="22">
        <f>+_xlfn.XLOOKUP($CT228,Budget!$A:$A,Budget!CI:CI)</f>
        <v>0</v>
      </c>
      <c r="DO228" s="22">
        <f>+_xlfn.XLOOKUP($CT228,Budget!$A:$A,Budget!CJ:CJ)</f>
        <v>0</v>
      </c>
      <c r="DP228" s="22">
        <f>+_xlfn.XLOOKUP($CT228,Budget!$A:$A,Budget!CK:CK)</f>
        <v>0</v>
      </c>
      <c r="DQ228" s="22">
        <f>+_xlfn.XLOOKUP($CT228,Budget!$A:$A,Budget!CL:CL)</f>
        <v>0</v>
      </c>
      <c r="DR228" s="22">
        <f>+_xlfn.XLOOKUP($CT228,Budget!$A:$A,Budget!CM:CM)</f>
        <v>0</v>
      </c>
      <c r="DS228" s="22">
        <f>+_xlfn.XLOOKUP($CT228,Budget!$A:$A,Budget!CN:CN)</f>
        <v>0</v>
      </c>
      <c r="DT228" s="22">
        <f>+_xlfn.XLOOKUP($CT228,Budget!$A:$A,Budget!CO:CO)</f>
        <v>0</v>
      </c>
      <c r="DU228" s="106">
        <f t="shared" ref="DU228:DU229" si="1054">+SUM(DI228:DT228)</f>
        <v>0</v>
      </c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106">
        <f t="shared" ref="EI228:EI229" si="1055">+SUM(DW228:EH228)</f>
        <v>0</v>
      </c>
      <c r="EJ228" s="16" t="str">
        <f t="shared" si="887"/>
        <v>Interest on Other Short Term Borrowing</v>
      </c>
      <c r="EK228" s="22">
        <f>+VLOOKUP($BD228,'Jan-25'!$A:$J,9,0)</f>
        <v>0</v>
      </c>
      <c r="EL228" s="22">
        <f>+VLOOKUP($BD228,'Feb-25'!$A:$J,9,0)</f>
        <v>0</v>
      </c>
      <c r="EM228" s="22">
        <f>+VLOOKUP($BD228,'Mar-25'!$A:$J,9,0)</f>
        <v>0</v>
      </c>
      <c r="EN228" s="22">
        <f>+VLOOKUP($BD228,'Apr-25'!$A:$J,9,0)</f>
        <v>0</v>
      </c>
      <c r="EO228" s="22">
        <f>+VLOOKUP($BD228,'May-25'!$A:$J,9,0)</f>
        <v>0</v>
      </c>
      <c r="EP228" s="22">
        <f>+VLOOKUP($BD228,'June-25'!$A:$J,9,0)</f>
        <v>0</v>
      </c>
      <c r="EQ228" s="22">
        <f>+VLOOKUP($BD228,'July-25'!$A:$J,9,0)</f>
        <v>0</v>
      </c>
      <c r="ER228" s="22">
        <f>+VLOOKUP($BD228,'Aug-25'!$A:$J,9,0)</f>
        <v>0</v>
      </c>
      <c r="ES228" s="22">
        <f>+VLOOKUP($BD228,'Sep-25'!$A:$J,9,0)</f>
        <v>0</v>
      </c>
      <c r="ET228" s="22">
        <f>+VLOOKUP($BD228,'Oct-25'!$A:$J,9,0)</f>
        <v>0</v>
      </c>
      <c r="EU228" s="22">
        <f>+VLOOKUP($BD228,'Nov-25'!$A:$J,9,0)</f>
        <v>0</v>
      </c>
      <c r="EV228" s="22">
        <f>+VLOOKUP($BD228,'Dec-25'!$A:$J,9,0)</f>
        <v>0</v>
      </c>
      <c r="EW228" s="22">
        <f t="shared" ref="EW228:EW229" si="1056">+SUM(EK228:EV228)</f>
        <v>0</v>
      </c>
      <c r="EX228" s="118">
        <f t="shared" si="1008"/>
        <v>0</v>
      </c>
      <c r="EY228" s="22">
        <f>+_xlfn.XLOOKUP($EJ228,Budget!$A:$A,Budget!DE:DE)</f>
        <v>0</v>
      </c>
      <c r="EZ228" s="22">
        <f>+_xlfn.XLOOKUP($EJ228,Budget!$A:$A,Budget!DF:DF)</f>
        <v>0</v>
      </c>
      <c r="FA228" s="22">
        <f>+_xlfn.XLOOKUP($EJ228,Budget!$A:$A,Budget!DG:DG)</f>
        <v>0</v>
      </c>
      <c r="FB228" s="22">
        <f>+_xlfn.XLOOKUP($EJ228,Budget!$A:$A,Budget!DH:DH)</f>
        <v>0</v>
      </c>
      <c r="FC228" s="22">
        <f>+_xlfn.XLOOKUP($EJ228,Budget!$A:$A,Budget!DI:DI)</f>
        <v>0</v>
      </c>
      <c r="FD228" s="22">
        <f>+_xlfn.XLOOKUP($EJ228,Budget!$A:$A,Budget!DJ:DJ)</f>
        <v>0</v>
      </c>
      <c r="FE228" s="22">
        <f>+_xlfn.XLOOKUP($EJ228,Budget!$A:$A,Budget!DK:DK)</f>
        <v>0</v>
      </c>
      <c r="FF228" s="22">
        <f>+_xlfn.XLOOKUP($EJ228,Budget!$A:$A,Budget!DL:DL)</f>
        <v>0</v>
      </c>
      <c r="FG228" s="22">
        <f>+_xlfn.XLOOKUP($EJ228,Budget!$A:$A,Budget!DM:DM)</f>
        <v>0</v>
      </c>
      <c r="FH228" s="22">
        <f>+_xlfn.XLOOKUP($EJ228,Budget!$A:$A,Budget!DN:DN)</f>
        <v>0</v>
      </c>
      <c r="FI228" s="22">
        <f>+_xlfn.XLOOKUP($EJ228,Budget!$A:$A,Budget!DO:DO)</f>
        <v>0</v>
      </c>
      <c r="FJ228" s="22">
        <f>+_xlfn.XLOOKUP($EJ228,Budget!$A:$A,Budget!DP:DP)</f>
        <v>0</v>
      </c>
      <c r="FK228" s="106">
        <f t="shared" ref="FK228:FK229" si="1057">+SUM(EY228:FJ228)</f>
        <v>0</v>
      </c>
    </row>
    <row r="229" spans="1:167" ht="14.45" hidden="1" customHeight="1" outlineLevel="2">
      <c r="A229" s="106">
        <f t="shared" si="1043"/>
        <v>2802.06</v>
      </c>
      <c r="B229" s="106">
        <f t="shared" si="1043"/>
        <v>36681.119999999995</v>
      </c>
      <c r="C229" s="106">
        <f t="shared" si="1043"/>
        <v>61595.100000000006</v>
      </c>
      <c r="D229" s="106">
        <f t="shared" si="1043"/>
        <v>7374.24</v>
      </c>
      <c r="E229" s="106">
        <f t="shared" si="1043"/>
        <v>2219.1299999999997</v>
      </c>
      <c r="F229" s="106">
        <f t="shared" si="1043"/>
        <v>7730.91</v>
      </c>
      <c r="G229" s="106">
        <f t="shared" si="1043"/>
        <v>6725.43</v>
      </c>
      <c r="H229" s="106">
        <f t="shared" si="1043"/>
        <v>11575.44</v>
      </c>
      <c r="I229" s="106">
        <f t="shared" si="1043"/>
        <v>19504.259999999998</v>
      </c>
      <c r="J229" s="106">
        <f t="shared" si="1043"/>
        <v>24764.399999999998</v>
      </c>
      <c r="K229" s="106">
        <f t="shared" si="1043"/>
        <v>15761.25</v>
      </c>
      <c r="L229" s="106">
        <f t="shared" si="1043"/>
        <v>22994.01</v>
      </c>
      <c r="M229" s="106">
        <f t="shared" si="1044"/>
        <v>219727.35000000003</v>
      </c>
      <c r="N229" s="16" t="s">
        <v>192</v>
      </c>
      <c r="O229" s="22">
        <f t="shared" si="1045"/>
        <v>24647.489999999998</v>
      </c>
      <c r="P229" s="22">
        <f t="shared" si="1045"/>
        <v>18192.87</v>
      </c>
      <c r="Q229" s="22">
        <f t="shared" si="1045"/>
        <v>4484.16</v>
      </c>
      <c r="R229" s="22">
        <f t="shared" si="1045"/>
        <v>1185.8399999999999</v>
      </c>
      <c r="S229" s="22">
        <f t="shared" si="1045"/>
        <v>13330.169999999998</v>
      </c>
      <c r="T229" s="22">
        <f t="shared" si="1045"/>
        <v>8121.329999999999</v>
      </c>
      <c r="U229" s="22">
        <f t="shared" si="1045"/>
        <v>0</v>
      </c>
      <c r="V229" s="22">
        <f t="shared" si="1045"/>
        <v>5034.6899999999996</v>
      </c>
      <c r="W229" s="22">
        <f t="shared" si="1045"/>
        <v>445.23</v>
      </c>
      <c r="X229" s="22">
        <f t="shared" si="1045"/>
        <v>3879.8099999999995</v>
      </c>
      <c r="Y229" s="22">
        <f t="shared" si="1045"/>
        <v>0</v>
      </c>
      <c r="Z229" s="22">
        <f t="shared" si="1045"/>
        <v>0</v>
      </c>
      <c r="AA229" s="22">
        <f t="shared" si="1046"/>
        <v>79321.59</v>
      </c>
      <c r="AB229" s="118">
        <f t="shared" si="1005"/>
        <v>0</v>
      </c>
      <c r="AC229" s="22">
        <f t="shared" si="1047"/>
        <v>0</v>
      </c>
      <c r="AD229" s="22">
        <f t="shared" si="1047"/>
        <v>0</v>
      </c>
      <c r="AE229" s="22">
        <f t="shared" si="1047"/>
        <v>0</v>
      </c>
      <c r="AF229" s="22">
        <f t="shared" si="1047"/>
        <v>0</v>
      </c>
      <c r="AG229" s="22">
        <f t="shared" si="1047"/>
        <v>0</v>
      </c>
      <c r="AH229" s="22">
        <f t="shared" si="1047"/>
        <v>0</v>
      </c>
      <c r="AI229" s="22">
        <f t="shared" si="1047"/>
        <v>0</v>
      </c>
      <c r="AJ229" s="22">
        <f t="shared" si="1047"/>
        <v>0</v>
      </c>
      <c r="AK229" s="22">
        <f t="shared" si="1047"/>
        <v>0</v>
      </c>
      <c r="AL229" s="22">
        <f t="shared" si="1047"/>
        <v>0</v>
      </c>
      <c r="AM229" s="22">
        <f t="shared" si="1047"/>
        <v>0</v>
      </c>
      <c r="AN229" s="22">
        <f t="shared" si="1047"/>
        <v>0</v>
      </c>
      <c r="AO229" s="22">
        <f t="shared" si="1048"/>
        <v>0</v>
      </c>
      <c r="AQ229" s="106">
        <v>1868.04</v>
      </c>
      <c r="AR229" s="106">
        <v>24454.079999999998</v>
      </c>
      <c r="AS229" s="106">
        <v>41063.4</v>
      </c>
      <c r="AT229" s="106">
        <v>4916.16</v>
      </c>
      <c r="AU229" s="106">
        <v>1479.4199999999998</v>
      </c>
      <c r="AV229" s="106">
        <v>5153.9399999999996</v>
      </c>
      <c r="AW229" s="106">
        <v>4483.62</v>
      </c>
      <c r="AX229" s="106">
        <v>7716.96</v>
      </c>
      <c r="AY229" s="106">
        <v>13002.839999999998</v>
      </c>
      <c r="AZ229" s="106">
        <v>16509.599999999999</v>
      </c>
      <c r="BA229" s="106">
        <v>10507.5</v>
      </c>
      <c r="BB229" s="106">
        <v>15329.339999999998</v>
      </c>
      <c r="BC229" s="106">
        <f t="shared" si="1049"/>
        <v>146484.9</v>
      </c>
      <c r="BD229" s="16" t="str">
        <f t="shared" si="885"/>
        <v>Interest on Over Draft Facility</v>
      </c>
      <c r="BE229" s="22">
        <f>+VLOOKUP($BD229,'Jan-25'!$A:$J,4,0)</f>
        <v>16431.66</v>
      </c>
      <c r="BF229" s="22">
        <f>+VLOOKUP($BD229,'Feb-25'!$A:$J,4,0)</f>
        <v>12128.58</v>
      </c>
      <c r="BG229" s="22">
        <f>+VLOOKUP($BD229,'Mar-25'!$A:$J,4,0)</f>
        <v>2989.4399999999996</v>
      </c>
      <c r="BH229" s="22">
        <f>+VLOOKUP($BD229,'Apr-25'!$A:$J,4,0)</f>
        <v>790.56</v>
      </c>
      <c r="BI229" s="22">
        <f>+VLOOKUP($BD229,'May-25'!$A:$J,4,0)</f>
        <v>8886.7799999999988</v>
      </c>
      <c r="BJ229" s="22">
        <f>+VLOOKUP($BD229,'June-25'!$A:$J,4,0)</f>
        <v>5414.2199999999993</v>
      </c>
      <c r="BK229" s="22">
        <f>+VLOOKUP($BD229,'July-25'!$A:$J,4,0)</f>
        <v>0</v>
      </c>
      <c r="BL229" s="22">
        <f>+VLOOKUP($BD229,'Aug-25'!$A:$J,4,0)</f>
        <v>3356.4599999999996</v>
      </c>
      <c r="BM229" s="22">
        <f>+VLOOKUP($BD229,'Sep-25'!$A:$J,4,0)</f>
        <v>296.82</v>
      </c>
      <c r="BN229" s="22">
        <f>+VLOOKUP($BD229,'Oct-25'!$A:$J,4,0)</f>
        <v>2116.2599999999998</v>
      </c>
      <c r="BO229" s="22">
        <f>+VLOOKUP($BD229,'Nov-25'!$A:$J,4,0)</f>
        <v>0</v>
      </c>
      <c r="BP229" s="22">
        <f>+VLOOKUP($BD229,'Dec-25'!$A:$J,4,0)</f>
        <v>0</v>
      </c>
      <c r="BQ229" s="22">
        <f t="shared" si="1050"/>
        <v>52410.78</v>
      </c>
      <c r="BR229" s="118">
        <f t="shared" si="1006"/>
        <v>0</v>
      </c>
      <c r="BS229" s="106">
        <f>+_xlfn.XLOOKUP($BD229,Budget!$A:$A,Budget!AQ:AQ)</f>
        <v>0</v>
      </c>
      <c r="BT229" s="106">
        <f>+_xlfn.XLOOKUP($BD229,Budget!$A:$A,Budget!AR:AR)</f>
        <v>0</v>
      </c>
      <c r="BU229" s="106">
        <f>+_xlfn.XLOOKUP($BD229,Budget!$A:$A,Budget!AS:AS)</f>
        <v>0</v>
      </c>
      <c r="BV229" s="106">
        <f>+_xlfn.XLOOKUP($BD229,Budget!$A:$A,Budget!AT:AT)</f>
        <v>0</v>
      </c>
      <c r="BW229" s="106">
        <f>+_xlfn.XLOOKUP($BD229,Budget!$A:$A,Budget!AU:AU)</f>
        <v>0</v>
      </c>
      <c r="BX229" s="106">
        <f>+_xlfn.XLOOKUP($BD229,Budget!$A:$A,Budget!AV:AV)</f>
        <v>0</v>
      </c>
      <c r="BY229" s="106">
        <f>+_xlfn.XLOOKUP($BD229,Budget!$A:$A,Budget!AW:AW)</f>
        <v>0</v>
      </c>
      <c r="BZ229" s="106">
        <f>+_xlfn.XLOOKUP($BD229,Budget!$A:$A,Budget!AX:AX)</f>
        <v>0</v>
      </c>
      <c r="CA229" s="106">
        <f>+_xlfn.XLOOKUP($BD229,Budget!$A:$A,Budget!AY:AY)</f>
        <v>0</v>
      </c>
      <c r="CB229" s="106">
        <f>+_xlfn.XLOOKUP($BD229,Budget!$A:$A,Budget!AZ:AZ)</f>
        <v>0</v>
      </c>
      <c r="CC229" s="106">
        <f>+_xlfn.XLOOKUP($BD229,Budget!$A:$A,Budget!BA:BA)</f>
        <v>0</v>
      </c>
      <c r="CD229" s="106">
        <f>+_xlfn.XLOOKUP($BD229,Budget!$A:$A,Budget!BB:BB)</f>
        <v>0</v>
      </c>
      <c r="CE229" s="106">
        <f t="shared" si="1051"/>
        <v>0</v>
      </c>
      <c r="CF229" s="22"/>
      <c r="CG229" s="22">
        <v>934.02</v>
      </c>
      <c r="CH229" s="22">
        <v>12227.039999999999</v>
      </c>
      <c r="CI229" s="22">
        <v>20531.7</v>
      </c>
      <c r="CJ229" s="22">
        <v>2458.08</v>
      </c>
      <c r="CK229" s="22">
        <v>739.70999999999992</v>
      </c>
      <c r="CL229" s="22">
        <v>2576.9699999999998</v>
      </c>
      <c r="CM229" s="22">
        <v>2241.81</v>
      </c>
      <c r="CN229" s="22">
        <v>3858.48</v>
      </c>
      <c r="CO229" s="22">
        <v>6501.4199999999992</v>
      </c>
      <c r="CP229" s="22">
        <v>8254.7999999999993</v>
      </c>
      <c r="CQ229" s="22">
        <v>5253.75</v>
      </c>
      <c r="CR229" s="22">
        <v>7664.6699999999992</v>
      </c>
      <c r="CS229" s="106">
        <f t="shared" si="1052"/>
        <v>73242.45</v>
      </c>
      <c r="CT229" s="16" t="str">
        <f t="shared" si="886"/>
        <v>Interest on Over Draft Facility</v>
      </c>
      <c r="CU229" s="22">
        <f>+VLOOKUP($BD229,'Jan-25'!$A:$J,7,0)</f>
        <v>8215.83</v>
      </c>
      <c r="CV229" s="22">
        <f>+VLOOKUP($BD229,'Feb-25'!$A:$J,7,0)</f>
        <v>6064.29</v>
      </c>
      <c r="CW229" s="22">
        <f>+VLOOKUP($BD229,'Mar-25'!$A:$J,7,0)</f>
        <v>1494.7199999999998</v>
      </c>
      <c r="CX229" s="22">
        <f>+VLOOKUP($BD229,'Apr-25'!$A:$J,7,0)</f>
        <v>395.28</v>
      </c>
      <c r="CY229" s="22">
        <f>+VLOOKUP($BD229,'May-25'!$A:$J,7,0)</f>
        <v>4443.3899999999994</v>
      </c>
      <c r="CZ229" s="22">
        <f>+VLOOKUP($BD229,'June-25'!$A:$J,7,0)</f>
        <v>2707.1099999999997</v>
      </c>
      <c r="DA229" s="22">
        <f>+VLOOKUP($BD229,'July-25'!$A:$J,7,0)</f>
        <v>0</v>
      </c>
      <c r="DB229" s="22">
        <f>+VLOOKUP($BD229,'Aug-25'!$A:$J,7,0)</f>
        <v>1678.2299999999998</v>
      </c>
      <c r="DC229" s="22">
        <f>+VLOOKUP($BD229,'Sep-25'!$A:$J,7,0)</f>
        <v>148.41</v>
      </c>
      <c r="DD229" s="22">
        <f>+VLOOKUP($BD229,'Oct-25'!$A:$J,7,0)</f>
        <v>1058.1299999999999</v>
      </c>
      <c r="DE229" s="22">
        <f>+VLOOKUP($BD229,'Nov-25'!$A:$J,7,0)</f>
        <v>0</v>
      </c>
      <c r="DF229" s="22">
        <f>+VLOOKUP($BD229,'Dec-25'!$A:$J,7,0)</f>
        <v>0</v>
      </c>
      <c r="DG229" s="22">
        <f t="shared" si="1053"/>
        <v>26205.39</v>
      </c>
      <c r="DH229" s="118">
        <f t="shared" si="1007"/>
        <v>0</v>
      </c>
      <c r="DI229" s="22">
        <f>+_xlfn.XLOOKUP($CT229,Budget!$A:$A,Budget!CD:CD)</f>
        <v>0</v>
      </c>
      <c r="DJ229" s="22">
        <f>+_xlfn.XLOOKUP($CT229,Budget!$A:$A,Budget!CE:CE)</f>
        <v>0</v>
      </c>
      <c r="DK229" s="22">
        <f>+_xlfn.XLOOKUP($CT229,Budget!$A:$A,Budget!CF:CF)</f>
        <v>0</v>
      </c>
      <c r="DL229" s="22">
        <f>+_xlfn.XLOOKUP($CT229,Budget!$A:$A,Budget!CG:CG)</f>
        <v>0</v>
      </c>
      <c r="DM229" s="22">
        <f>+_xlfn.XLOOKUP($CT229,Budget!$A:$A,Budget!CH:CH)</f>
        <v>0</v>
      </c>
      <c r="DN229" s="22">
        <f>+_xlfn.XLOOKUP($CT229,Budget!$A:$A,Budget!CI:CI)</f>
        <v>0</v>
      </c>
      <c r="DO229" s="22">
        <f>+_xlfn.XLOOKUP($CT229,Budget!$A:$A,Budget!CJ:CJ)</f>
        <v>0</v>
      </c>
      <c r="DP229" s="22">
        <f>+_xlfn.XLOOKUP($CT229,Budget!$A:$A,Budget!CK:CK)</f>
        <v>0</v>
      </c>
      <c r="DQ229" s="22">
        <f>+_xlfn.XLOOKUP($CT229,Budget!$A:$A,Budget!CL:CL)</f>
        <v>0</v>
      </c>
      <c r="DR229" s="22">
        <f>+_xlfn.XLOOKUP($CT229,Budget!$A:$A,Budget!CM:CM)</f>
        <v>0</v>
      </c>
      <c r="DS229" s="22">
        <f>+_xlfn.XLOOKUP($CT229,Budget!$A:$A,Budget!CN:CN)</f>
        <v>0</v>
      </c>
      <c r="DT229" s="22">
        <f>+_xlfn.XLOOKUP($CT229,Budget!$A:$A,Budget!CO:CO)</f>
        <v>0</v>
      </c>
      <c r="DU229" s="106">
        <f t="shared" si="1054"/>
        <v>0</v>
      </c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106">
        <f t="shared" si="1055"/>
        <v>0</v>
      </c>
      <c r="EJ229" s="16" t="str">
        <f t="shared" si="887"/>
        <v>Interest on Over Draft Facility</v>
      </c>
      <c r="EK229" s="22">
        <f>+VLOOKUP($BD229,'Jan-25'!$A:$J,9,0)</f>
        <v>0</v>
      </c>
      <c r="EL229" s="22">
        <f>+VLOOKUP($BD229,'Feb-25'!$A:$J,9,0)</f>
        <v>0</v>
      </c>
      <c r="EM229" s="22">
        <f>+VLOOKUP($BD229,'Mar-25'!$A:$J,9,0)</f>
        <v>0</v>
      </c>
      <c r="EN229" s="22">
        <f>+VLOOKUP($BD229,'Apr-25'!$A:$J,9,0)</f>
        <v>0</v>
      </c>
      <c r="EO229" s="22">
        <f>+VLOOKUP($BD229,'May-25'!$A:$J,9,0)</f>
        <v>0</v>
      </c>
      <c r="EP229" s="22">
        <f>+VLOOKUP($BD229,'June-25'!$A:$J,9,0)</f>
        <v>0</v>
      </c>
      <c r="EQ229" s="22">
        <f>+VLOOKUP($BD229,'July-25'!$A:$J,9,0)</f>
        <v>0</v>
      </c>
      <c r="ER229" s="22">
        <f>+VLOOKUP($BD229,'Aug-25'!$A:$J,9,0)</f>
        <v>0</v>
      </c>
      <c r="ES229" s="22">
        <f>+VLOOKUP($BD229,'Sep-25'!$A:$J,9,0)</f>
        <v>0</v>
      </c>
      <c r="ET229" s="22">
        <f>+VLOOKUP($BD229,'Oct-25'!$A:$J,9,0)</f>
        <v>705.42</v>
      </c>
      <c r="EU229" s="22">
        <f>+VLOOKUP($BD229,'Nov-25'!$A:$J,9,0)</f>
        <v>0</v>
      </c>
      <c r="EV229" s="22">
        <f>+VLOOKUP($BD229,'Dec-25'!$A:$J,9,0)</f>
        <v>0</v>
      </c>
      <c r="EW229" s="22">
        <f t="shared" si="1056"/>
        <v>705.42</v>
      </c>
      <c r="EX229" s="118">
        <f t="shared" si="1008"/>
        <v>0</v>
      </c>
      <c r="EY229" s="22">
        <f>+_xlfn.XLOOKUP($EJ229,Budget!$A:$A,Budget!DE:DE)</f>
        <v>0</v>
      </c>
      <c r="EZ229" s="22">
        <f>+_xlfn.XLOOKUP($EJ229,Budget!$A:$A,Budget!DF:DF)</f>
        <v>0</v>
      </c>
      <c r="FA229" s="22">
        <f>+_xlfn.XLOOKUP($EJ229,Budget!$A:$A,Budget!DG:DG)</f>
        <v>0</v>
      </c>
      <c r="FB229" s="22">
        <f>+_xlfn.XLOOKUP($EJ229,Budget!$A:$A,Budget!DH:DH)</f>
        <v>0</v>
      </c>
      <c r="FC229" s="22">
        <f>+_xlfn.XLOOKUP($EJ229,Budget!$A:$A,Budget!DI:DI)</f>
        <v>0</v>
      </c>
      <c r="FD229" s="22">
        <f>+_xlfn.XLOOKUP($EJ229,Budget!$A:$A,Budget!DJ:DJ)</f>
        <v>0</v>
      </c>
      <c r="FE229" s="22">
        <f>+_xlfn.XLOOKUP($EJ229,Budget!$A:$A,Budget!DK:DK)</f>
        <v>0</v>
      </c>
      <c r="FF229" s="22">
        <f>+_xlfn.XLOOKUP($EJ229,Budget!$A:$A,Budget!DL:DL)</f>
        <v>0</v>
      </c>
      <c r="FG229" s="22">
        <f>+_xlfn.XLOOKUP($EJ229,Budget!$A:$A,Budget!DM:DM)</f>
        <v>0</v>
      </c>
      <c r="FH229" s="22">
        <f>+_xlfn.XLOOKUP($EJ229,Budget!$A:$A,Budget!DN:DN)</f>
        <v>0</v>
      </c>
      <c r="FI229" s="22">
        <f>+_xlfn.XLOOKUP($EJ229,Budget!$A:$A,Budget!DO:DO)</f>
        <v>0</v>
      </c>
      <c r="FJ229" s="22">
        <f>+_xlfn.XLOOKUP($EJ229,Budget!$A:$A,Budget!DP:DP)</f>
        <v>0</v>
      </c>
      <c r="FK229" s="106">
        <f t="shared" si="1057"/>
        <v>0</v>
      </c>
    </row>
    <row r="230" spans="1:167" ht="14.45" customHeight="1" collapsed="1">
      <c r="A230" s="58">
        <f t="shared" ref="A230:M230" si="1058">+A218+A156+A115+A104+A75</f>
        <v>4397426.1454999987</v>
      </c>
      <c r="B230" s="58">
        <f t="shared" si="1058"/>
        <v>4438033.9111615382</v>
      </c>
      <c r="C230" s="58">
        <f t="shared" si="1058"/>
        <v>4306210.2757615382</v>
      </c>
      <c r="D230" s="58">
        <f t="shared" si="1058"/>
        <v>4007339.271461539</v>
      </c>
      <c r="E230" s="58">
        <f t="shared" si="1058"/>
        <v>4569972.2247615391</v>
      </c>
      <c r="F230" s="58">
        <f t="shared" si="1058"/>
        <v>4409682.9487615395</v>
      </c>
      <c r="G230" s="58">
        <f t="shared" si="1058"/>
        <v>4828365.6463606386</v>
      </c>
      <c r="H230" s="58">
        <f t="shared" si="1058"/>
        <v>4727242.2565385439</v>
      </c>
      <c r="I230" s="58">
        <f t="shared" si="1058"/>
        <v>5348298.8918615393</v>
      </c>
      <c r="J230" s="58">
        <f t="shared" si="1058"/>
        <v>5130597.7527615391</v>
      </c>
      <c r="K230" s="58">
        <f t="shared" si="1058"/>
        <v>5554490.4313615393</v>
      </c>
      <c r="L230" s="58">
        <f t="shared" si="1058"/>
        <v>5340341.9572615381</v>
      </c>
      <c r="M230" s="58">
        <f t="shared" si="1058"/>
        <v>55182907.374353014</v>
      </c>
      <c r="N230" s="14" t="s">
        <v>193</v>
      </c>
      <c r="O230" s="28">
        <f t="shared" ref="O230:AA230" si="1059">+O218+O156+O115+O104+O75</f>
        <v>6449927.985840355</v>
      </c>
      <c r="P230" s="28">
        <f t="shared" si="1059"/>
        <v>5490008.4314057995</v>
      </c>
      <c r="Q230" s="28">
        <f t="shared" si="1059"/>
        <v>6145009.4960230757</v>
      </c>
      <c r="R230" s="28">
        <f t="shared" si="1059"/>
        <v>5604038.4985443968</v>
      </c>
      <c r="S230" s="28">
        <f t="shared" si="1059"/>
        <v>6089524.7158710631</v>
      </c>
      <c r="T230" s="28">
        <f t="shared" si="1059"/>
        <v>6510021.1661710637</v>
      </c>
      <c r="U230" s="28">
        <f t="shared" si="1059"/>
        <v>6653715.3753387341</v>
      </c>
      <c r="V230" s="28">
        <f t="shared" si="1059"/>
        <v>6514959.1246710634</v>
      </c>
      <c r="W230" s="28">
        <f t="shared" si="1059"/>
        <v>7425859.255182174</v>
      </c>
      <c r="X230" s="28">
        <f t="shared" si="1059"/>
        <v>6341912.1679710634</v>
      </c>
      <c r="Y230" s="28">
        <f t="shared" si="1059"/>
        <v>0</v>
      </c>
      <c r="Z230" s="28">
        <f t="shared" si="1059"/>
        <v>0</v>
      </c>
      <c r="AA230" s="28">
        <f t="shared" si="1059"/>
        <v>63224976.217018783</v>
      </c>
      <c r="AB230" s="118">
        <f t="shared" si="1005"/>
        <v>-5.3855636109095256E-3</v>
      </c>
      <c r="AC230" s="28">
        <f t="shared" ref="AC230:AO230" si="1060">+AC218+AC156+AC115+AC104+AC75</f>
        <v>6114282.1666154582</v>
      </c>
      <c r="AD230" s="28">
        <f t="shared" si="1060"/>
        <v>5943329.1512034573</v>
      </c>
      <c r="AE230" s="28">
        <f t="shared" si="1060"/>
        <v>5990141.9306672979</v>
      </c>
      <c r="AF230" s="28">
        <f t="shared" si="1060"/>
        <v>5915343.9834064338</v>
      </c>
      <c r="AG230" s="28">
        <f t="shared" si="1060"/>
        <v>5995129.4581840979</v>
      </c>
      <c r="AH230" s="28">
        <f t="shared" si="1060"/>
        <v>5984262.6076629972</v>
      </c>
      <c r="AI230" s="28">
        <f t="shared" si="1060"/>
        <v>6013088.5097825173</v>
      </c>
      <c r="AJ230" s="28">
        <f t="shared" si="1060"/>
        <v>6024252.8134746775</v>
      </c>
      <c r="AK230" s="28">
        <f t="shared" si="1060"/>
        <v>6107483.8816084918</v>
      </c>
      <c r="AL230" s="28">
        <f t="shared" si="1060"/>
        <v>6376251.8780595344</v>
      </c>
      <c r="AM230" s="28">
        <f t="shared" si="1060"/>
        <v>5862971.6524208672</v>
      </c>
      <c r="AN230" s="28">
        <f t="shared" si="1060"/>
        <v>6076436.7755757365</v>
      </c>
      <c r="AO230" s="28">
        <f t="shared" si="1060"/>
        <v>63112044.278800562</v>
      </c>
      <c r="AQ230" s="58">
        <f t="shared" ref="AQ230:BC230" si="1061">+AQ218+AQ156+AQ115+AQ104+AQ75</f>
        <v>3054414.8183128196</v>
      </c>
      <c r="AR230" s="58">
        <f t="shared" si="1061"/>
        <v>3154820.5060358979</v>
      </c>
      <c r="AS230" s="58">
        <f t="shared" si="1061"/>
        <v>3148687.6034358973</v>
      </c>
      <c r="AT230" s="58">
        <f t="shared" si="1061"/>
        <v>2851422.6414358979</v>
      </c>
      <c r="AU230" s="58">
        <f t="shared" si="1061"/>
        <v>3358545.9486358976</v>
      </c>
      <c r="AV230" s="58">
        <f t="shared" si="1061"/>
        <v>3048129.2386358976</v>
      </c>
      <c r="AW230" s="58">
        <f t="shared" si="1061"/>
        <v>3449897.4090352976</v>
      </c>
      <c r="AX230" s="58">
        <f t="shared" si="1061"/>
        <v>3523765.8231897433</v>
      </c>
      <c r="AY230" s="58">
        <f t="shared" si="1061"/>
        <v>3982272.2040358977</v>
      </c>
      <c r="AZ230" s="58">
        <f t="shared" si="1061"/>
        <v>3843974.9526358973</v>
      </c>
      <c r="BA230" s="58">
        <f t="shared" si="1061"/>
        <v>3869341.089035898</v>
      </c>
      <c r="BB230" s="58">
        <f t="shared" si="1061"/>
        <v>3614257.9276358979</v>
      </c>
      <c r="BC230" s="58">
        <f t="shared" si="1061"/>
        <v>40899530.162060939</v>
      </c>
      <c r="BD230" s="14" t="str">
        <f t="shared" si="885"/>
        <v>Total of Operating Cost</v>
      </c>
      <c r="BE230" s="28">
        <f t="shared" ref="BE230:BQ230" si="1062">+BE218+BE156+BE115+BE104+BE75</f>
        <v>3223881.8717172779</v>
      </c>
      <c r="BF230" s="28">
        <f t="shared" si="1062"/>
        <v>2743737.855882722</v>
      </c>
      <c r="BG230" s="28">
        <f t="shared" si="1062"/>
        <v>3117341.8103999998</v>
      </c>
      <c r="BH230" s="28">
        <f t="shared" si="1062"/>
        <v>3092051.8611461804</v>
      </c>
      <c r="BI230" s="28">
        <f t="shared" si="1062"/>
        <v>3246206.9445195142</v>
      </c>
      <c r="BJ230" s="28">
        <f t="shared" si="1062"/>
        <v>3361708.416119514</v>
      </c>
      <c r="BK230" s="28">
        <f t="shared" si="1062"/>
        <v>3364565.2362422016</v>
      </c>
      <c r="BL230" s="28">
        <f t="shared" si="1062"/>
        <v>3353329.8011195138</v>
      </c>
      <c r="BM230" s="28">
        <f t="shared" si="1062"/>
        <v>4123059.8372750692</v>
      </c>
      <c r="BN230" s="28">
        <f t="shared" si="1062"/>
        <v>3371008.3519195141</v>
      </c>
      <c r="BO230" s="28">
        <f t="shared" si="1062"/>
        <v>0</v>
      </c>
      <c r="BP230" s="28">
        <f t="shared" si="1062"/>
        <v>0</v>
      </c>
      <c r="BQ230" s="28">
        <f t="shared" si="1062"/>
        <v>32996891.98634151</v>
      </c>
      <c r="BR230" s="118">
        <f t="shared" si="1006"/>
        <v>3.1194583737438695E-2</v>
      </c>
      <c r="BS230" s="58">
        <f t="shared" ref="BS230:CE230" si="1063">+BS218+BS156+BS115+BS104+BS75</f>
        <v>3203191.2506351909</v>
      </c>
      <c r="BT230" s="58">
        <f t="shared" si="1063"/>
        <v>3045255.2406246308</v>
      </c>
      <c r="BU230" s="58">
        <f t="shared" si="1063"/>
        <v>3038594.6042641508</v>
      </c>
      <c r="BV230" s="58">
        <f t="shared" si="1063"/>
        <v>3027968.0366168865</v>
      </c>
      <c r="BW230" s="58">
        <f t="shared" si="1063"/>
        <v>3087996.051792311</v>
      </c>
      <c r="BX230" s="58">
        <f t="shared" si="1063"/>
        <v>3056211.0314700906</v>
      </c>
      <c r="BY230" s="58">
        <f t="shared" si="1063"/>
        <v>3061109.5683593703</v>
      </c>
      <c r="BZ230" s="58">
        <f t="shared" si="1063"/>
        <v>3085665.5297944108</v>
      </c>
      <c r="CA230" s="58">
        <f t="shared" si="1063"/>
        <v>3167561.6289332905</v>
      </c>
      <c r="CB230" s="58">
        <f t="shared" si="1063"/>
        <v>3269032.2516063908</v>
      </c>
      <c r="CC230" s="58">
        <f t="shared" si="1063"/>
        <v>2967714.6197721506</v>
      </c>
      <c r="CD230" s="58">
        <f t="shared" si="1063"/>
        <v>3133373.0035590306</v>
      </c>
      <c r="CE230" s="58">
        <f t="shared" si="1063"/>
        <v>37143672.817427903</v>
      </c>
      <c r="CF230" s="22"/>
      <c r="CG230" s="28">
        <f t="shared" ref="CG230:CS230" si="1064">+CG218+CG156+CG115+CG104+CG75</f>
        <v>1343011.3271871789</v>
      </c>
      <c r="CH230" s="28">
        <f t="shared" si="1064"/>
        <v>1283213.4051256408</v>
      </c>
      <c r="CI230" s="28">
        <f t="shared" si="1064"/>
        <v>1157522.6723256409</v>
      </c>
      <c r="CJ230" s="28">
        <f t="shared" si="1064"/>
        <v>1155916.6300256411</v>
      </c>
      <c r="CK230" s="28">
        <f t="shared" si="1064"/>
        <v>1211426.2761256408</v>
      </c>
      <c r="CL230" s="28">
        <f t="shared" si="1064"/>
        <v>1361553.7101256412</v>
      </c>
      <c r="CM230" s="28">
        <f t="shared" si="1064"/>
        <v>1378468.237325341</v>
      </c>
      <c r="CN230" s="28">
        <f t="shared" si="1064"/>
        <v>1203476.4333488003</v>
      </c>
      <c r="CO230" s="28">
        <f t="shared" si="1064"/>
        <v>1366026.6878256411</v>
      </c>
      <c r="CP230" s="28">
        <f t="shared" si="1064"/>
        <v>1286622.800125641</v>
      </c>
      <c r="CQ230" s="28">
        <f t="shared" si="1064"/>
        <v>1685149.3423256408</v>
      </c>
      <c r="CR230" s="28">
        <f t="shared" si="1064"/>
        <v>1726084.0296256407</v>
      </c>
      <c r="CS230" s="58">
        <f t="shared" si="1064"/>
        <v>16158471.551492091</v>
      </c>
      <c r="CT230" s="14" t="str">
        <f t="shared" si="886"/>
        <v>Total of Operating Cost</v>
      </c>
      <c r="CU230" s="28">
        <f t="shared" ref="CU230:DG230" si="1065">+CU218+CU156+CU115+CU104+CU75</f>
        <v>1294045.4266871794</v>
      </c>
      <c r="CV230" s="28">
        <f t="shared" si="1065"/>
        <v>1363965.5980871795</v>
      </c>
      <c r="CW230" s="28">
        <f t="shared" si="1065"/>
        <v>1567689.0681871793</v>
      </c>
      <c r="CX230" s="28">
        <f t="shared" si="1065"/>
        <v>1224745.1532956518</v>
      </c>
      <c r="CY230" s="28">
        <f t="shared" si="1065"/>
        <v>1430187.2232489851</v>
      </c>
      <c r="CZ230" s="28">
        <f t="shared" si="1065"/>
        <v>1554174.900948985</v>
      </c>
      <c r="DA230" s="28">
        <f t="shared" si="1065"/>
        <v>1545119.0033273012</v>
      </c>
      <c r="DB230" s="28">
        <f t="shared" si="1065"/>
        <v>1589389.0394489851</v>
      </c>
      <c r="DC230" s="28">
        <f t="shared" si="1065"/>
        <v>1598252.0635823179</v>
      </c>
      <c r="DD230" s="28">
        <f t="shared" si="1065"/>
        <v>1603770.7283489848</v>
      </c>
      <c r="DE230" s="28">
        <f t="shared" si="1065"/>
        <v>0</v>
      </c>
      <c r="DF230" s="28">
        <f t="shared" si="1065"/>
        <v>0</v>
      </c>
      <c r="DG230" s="28">
        <f t="shared" si="1065"/>
        <v>14771338.205162751</v>
      </c>
      <c r="DH230" s="118">
        <f t="shared" si="1007"/>
        <v>-0.11045800704445698</v>
      </c>
      <c r="DI230" s="28">
        <f t="shared" ref="DI230:DU230" si="1066">+DI218+DI156+DI115+DI104+DI75</f>
        <v>1665370.5352110355</v>
      </c>
      <c r="DJ230" s="28">
        <f t="shared" si="1066"/>
        <v>1658323.9498095955</v>
      </c>
      <c r="DK230" s="28">
        <f t="shared" si="1066"/>
        <v>1697345.4331339155</v>
      </c>
      <c r="DL230" s="28">
        <f t="shared" si="1066"/>
        <v>1636542.6526869819</v>
      </c>
      <c r="DM230" s="28">
        <f t="shared" si="1066"/>
        <v>1651462.3256225556</v>
      </c>
      <c r="DN230" s="28">
        <f t="shared" si="1066"/>
        <v>1671588.8287570085</v>
      </c>
      <c r="DO230" s="28">
        <f t="shared" si="1066"/>
        <v>1683869.4856539154</v>
      </c>
      <c r="DP230" s="28">
        <f t="shared" si="1066"/>
        <v>1674623.9529110354</v>
      </c>
      <c r="DQ230" s="28">
        <f t="shared" si="1066"/>
        <v>1676018.4269059701</v>
      </c>
      <c r="DR230" s="28">
        <f t="shared" si="1066"/>
        <v>1802917.3901283569</v>
      </c>
      <c r="DS230" s="28">
        <f t="shared" si="1066"/>
        <v>1648039.7363239303</v>
      </c>
      <c r="DT230" s="28">
        <f t="shared" si="1066"/>
        <v>1680530.3163383836</v>
      </c>
      <c r="DU230" s="58">
        <f t="shared" si="1066"/>
        <v>20146633.033482689</v>
      </c>
      <c r="DW230" s="28">
        <f t="shared" ref="DW230:EI230" si="1067">+DW218+DW156+DW115+DW104+DW75</f>
        <v>0</v>
      </c>
      <c r="DX230" s="28">
        <f t="shared" si="1067"/>
        <v>0</v>
      </c>
      <c r="DY230" s="28">
        <f t="shared" si="1067"/>
        <v>0</v>
      </c>
      <c r="DZ230" s="28">
        <f t="shared" si="1067"/>
        <v>0</v>
      </c>
      <c r="EA230" s="28">
        <f t="shared" si="1067"/>
        <v>0</v>
      </c>
      <c r="EB230" s="28">
        <f t="shared" si="1067"/>
        <v>0</v>
      </c>
      <c r="EC230" s="28">
        <f t="shared" si="1067"/>
        <v>0</v>
      </c>
      <c r="ED230" s="28">
        <f t="shared" si="1067"/>
        <v>0</v>
      </c>
      <c r="EE230" s="28">
        <f t="shared" si="1067"/>
        <v>0</v>
      </c>
      <c r="EF230" s="28">
        <f t="shared" si="1067"/>
        <v>0</v>
      </c>
      <c r="EG230" s="28">
        <f t="shared" si="1067"/>
        <v>0</v>
      </c>
      <c r="EH230" s="28">
        <f t="shared" si="1067"/>
        <v>0</v>
      </c>
      <c r="EI230" s="58">
        <f t="shared" si="1067"/>
        <v>0</v>
      </c>
      <c r="EJ230" s="14" t="str">
        <f t="shared" si="887"/>
        <v>Total of Operating Cost</v>
      </c>
      <c r="EK230" s="28">
        <f t="shared" ref="EK230:EW230" si="1068">+EK218+EK156+EK115+EK104+EK75</f>
        <v>1932000.6874358975</v>
      </c>
      <c r="EL230" s="28">
        <f t="shared" si="1068"/>
        <v>1382304.9774358976</v>
      </c>
      <c r="EM230" s="28">
        <f t="shared" si="1068"/>
        <v>1459978.6174358977</v>
      </c>
      <c r="EN230" s="28">
        <f t="shared" si="1068"/>
        <v>1287241.4841025639</v>
      </c>
      <c r="EO230" s="28">
        <f t="shared" si="1068"/>
        <v>1413130.5481025642</v>
      </c>
      <c r="EP230" s="28">
        <f t="shared" si="1068"/>
        <v>1594137.8491025639</v>
      </c>
      <c r="EQ230" s="28">
        <f t="shared" si="1068"/>
        <v>1744031.1357692308</v>
      </c>
      <c r="ER230" s="28">
        <f t="shared" si="1068"/>
        <v>1572240.284102564</v>
      </c>
      <c r="ES230" s="28">
        <f t="shared" si="1068"/>
        <v>1704547.3543247865</v>
      </c>
      <c r="ET230" s="28">
        <f t="shared" si="1068"/>
        <v>1367133.0877025642</v>
      </c>
      <c r="EU230" s="28">
        <f t="shared" si="1068"/>
        <v>0</v>
      </c>
      <c r="EV230" s="28">
        <f t="shared" si="1068"/>
        <v>0</v>
      </c>
      <c r="EW230" s="28">
        <f t="shared" si="1068"/>
        <v>15464900.299114527</v>
      </c>
      <c r="EX230" s="118">
        <f t="shared" si="1008"/>
        <v>4.8172003104755959E-2</v>
      </c>
      <c r="EY230" s="28">
        <f t="shared" ref="EY230:FK230" si="1069">+EY218+EY156+EY115+EY104+EY75</f>
        <v>1245720.3807692309</v>
      </c>
      <c r="EZ230" s="28">
        <f t="shared" si="1069"/>
        <v>1239749.960769231</v>
      </c>
      <c r="FA230" s="28">
        <f t="shared" si="1069"/>
        <v>1254201.8932692308</v>
      </c>
      <c r="FB230" s="28">
        <f t="shared" si="1069"/>
        <v>1250833.2941025642</v>
      </c>
      <c r="FC230" s="28">
        <f t="shared" si="1069"/>
        <v>1255671.0807692308</v>
      </c>
      <c r="FD230" s="28">
        <f t="shared" si="1069"/>
        <v>1256462.7474358976</v>
      </c>
      <c r="FE230" s="28">
        <f t="shared" si="1069"/>
        <v>1268109.4557692308</v>
      </c>
      <c r="FF230" s="28">
        <f t="shared" si="1069"/>
        <v>1263963.3307692308</v>
      </c>
      <c r="FG230" s="28">
        <f t="shared" si="1069"/>
        <v>1263903.8257692307</v>
      </c>
      <c r="FH230" s="28">
        <f t="shared" si="1069"/>
        <v>1304302.2363247864</v>
      </c>
      <c r="FI230" s="28">
        <f t="shared" si="1069"/>
        <v>1247217.2963247865</v>
      </c>
      <c r="FJ230" s="28">
        <f t="shared" si="1069"/>
        <v>1262533.4556783219</v>
      </c>
      <c r="FK230" s="58">
        <f t="shared" si="1069"/>
        <v>15112668.95775097</v>
      </c>
    </row>
    <row r="231" spans="1:167" ht="14.45" customHeight="1">
      <c r="A231" s="108">
        <f t="shared" ref="A231:M231" si="1070">IFERROR(A230/A70,0)</f>
        <v>0.15520080625369895</v>
      </c>
      <c r="B231" s="108">
        <f t="shared" si="1070"/>
        <v>0.1706343551993762</v>
      </c>
      <c r="C231" s="108">
        <f t="shared" si="1070"/>
        <v>0.15701503520108376</v>
      </c>
      <c r="D231" s="108">
        <f t="shared" si="1070"/>
        <v>0.20392013875107426</v>
      </c>
      <c r="E231" s="108">
        <f t="shared" si="1070"/>
        <v>0.18996699575914086</v>
      </c>
      <c r="F231" s="108">
        <f t="shared" si="1070"/>
        <v>0.14305719540949868</v>
      </c>
      <c r="G231" s="108">
        <f t="shared" si="1070"/>
        <v>0.18458180372994082</v>
      </c>
      <c r="H231" s="108">
        <f t="shared" si="1070"/>
        <v>0.18059138642444827</v>
      </c>
      <c r="I231" s="108">
        <f t="shared" si="1070"/>
        <v>0.15683853623041139</v>
      </c>
      <c r="J231" s="108">
        <f t="shared" si="1070"/>
        <v>0.19797874048991987</v>
      </c>
      <c r="K231" s="108">
        <f t="shared" si="1070"/>
        <v>0.18904939326440165</v>
      </c>
      <c r="L231" s="108">
        <f t="shared" si="1070"/>
        <v>0.15464276246554176</v>
      </c>
      <c r="M231" s="108">
        <f t="shared" si="1070"/>
        <v>0.16593066431489334</v>
      </c>
      <c r="N231" s="15" t="s">
        <v>58</v>
      </c>
      <c r="O231" s="108">
        <f t="shared" ref="O231:AA231" si="1071">IFERROR(O230/O70,0)</f>
        <v>0.27154191549095813</v>
      </c>
      <c r="P231" s="108">
        <f t="shared" si="1071"/>
        <v>0.19762591717748076</v>
      </c>
      <c r="Q231" s="108">
        <f t="shared" si="1071"/>
        <v>0.16852357995583453</v>
      </c>
      <c r="R231" s="108">
        <f t="shared" si="1071"/>
        <v>0.20222855058701664</v>
      </c>
      <c r="S231" s="108">
        <f t="shared" si="1071"/>
        <v>0.15455054376818916</v>
      </c>
      <c r="T231" s="108">
        <f t="shared" si="1071"/>
        <v>0.20620029382874619</v>
      </c>
      <c r="U231" s="108">
        <f t="shared" si="1071"/>
        <v>0.18256364557238369</v>
      </c>
      <c r="V231" s="108">
        <f t="shared" si="1071"/>
        <v>0.18428392524304771</v>
      </c>
      <c r="W231" s="108">
        <f t="shared" si="1071"/>
        <v>0.18858878249684305</v>
      </c>
      <c r="X231" s="108">
        <f t="shared" si="1071"/>
        <v>0.17846927945103655</v>
      </c>
      <c r="Y231" s="108">
        <f t="shared" si="1071"/>
        <v>0</v>
      </c>
      <c r="Z231" s="108">
        <f t="shared" si="1071"/>
        <v>0</v>
      </c>
      <c r="AA231" s="108">
        <f t="shared" si="1071"/>
        <v>0.18964232235896469</v>
      </c>
      <c r="AB231" s="118">
        <f t="shared" si="1005"/>
        <v>-0.16386692297392136</v>
      </c>
      <c r="AC231" s="108">
        <f t="shared" ref="AC231:AO231" si="1072">IFERROR(AC230/AC70,0)</f>
        <v>0.18559842812169103</v>
      </c>
      <c r="AD231" s="108">
        <f t="shared" si="1072"/>
        <v>0.18543307550314581</v>
      </c>
      <c r="AE231" s="108">
        <f t="shared" si="1072"/>
        <v>0.15110149540282281</v>
      </c>
      <c r="AF231" s="108">
        <f t="shared" si="1072"/>
        <v>0.21096461880552428</v>
      </c>
      <c r="AG231" s="108">
        <f t="shared" si="1072"/>
        <v>0.18854990419544235</v>
      </c>
      <c r="AH231" s="108">
        <f t="shared" si="1072"/>
        <v>0.15042265439599878</v>
      </c>
      <c r="AI231" s="108">
        <f t="shared" si="1072"/>
        <v>0.17335144142168929</v>
      </c>
      <c r="AJ231" s="108">
        <f t="shared" si="1072"/>
        <v>0.17320692289696102</v>
      </c>
      <c r="AK231" s="108">
        <f t="shared" si="1072"/>
        <v>0.14389912677913025</v>
      </c>
      <c r="AL231" s="108">
        <f t="shared" si="1072"/>
        <v>0.21344602235544638</v>
      </c>
      <c r="AM231" s="108">
        <f t="shared" si="1072"/>
        <v>0.20897886514289934</v>
      </c>
      <c r="AN231" s="108">
        <f t="shared" si="1072"/>
        <v>0.1523986111381509</v>
      </c>
      <c r="AO231" s="108">
        <f t="shared" si="1072"/>
        <v>0.15245658820701372</v>
      </c>
      <c r="AP231" s="32"/>
      <c r="AQ231" s="108">
        <f t="shared" ref="AQ231:BC231" si="1073">IFERROR(AQ230/AQ70,0)</f>
        <v>0.1918798476999721</v>
      </c>
      <c r="AR231" s="108">
        <f t="shared" si="1073"/>
        <v>0.23149665968248198</v>
      </c>
      <c r="AS231" s="108">
        <f t="shared" si="1073"/>
        <v>0.19395666323473568</v>
      </c>
      <c r="AT231" s="108">
        <f t="shared" si="1073"/>
        <v>0.21985476415091587</v>
      </c>
      <c r="AU231" s="108">
        <f t="shared" si="1073"/>
        <v>0.26869140469838854</v>
      </c>
      <c r="AV231" s="108">
        <f t="shared" si="1073"/>
        <v>0.19069835089429293</v>
      </c>
      <c r="AW231" s="108">
        <f t="shared" si="1073"/>
        <v>0.22127078426535404</v>
      </c>
      <c r="AX231" s="108">
        <f t="shared" si="1073"/>
        <v>0.21780077304612924</v>
      </c>
      <c r="AY231" s="108">
        <f t="shared" si="1073"/>
        <v>0.17663665474542595</v>
      </c>
      <c r="AZ231" s="108">
        <f t="shared" si="1073"/>
        <v>0.23564541452991122</v>
      </c>
      <c r="BA231" s="108">
        <f t="shared" si="1073"/>
        <v>0.21432871793304878</v>
      </c>
      <c r="BB231" s="108">
        <f t="shared" si="1073"/>
        <v>0.14874072477381531</v>
      </c>
      <c r="BC231" s="108">
        <f t="shared" si="1073"/>
        <v>0.20427953055358872</v>
      </c>
      <c r="BD231" s="15" t="str">
        <f t="shared" si="885"/>
        <v>% to Sales</v>
      </c>
      <c r="BE231" s="108">
        <f t="shared" ref="BE231:BQ231" si="1074">IFERROR(BE230/BE70,0)</f>
        <v>0.2599487954441933</v>
      </c>
      <c r="BF231" s="108">
        <f t="shared" si="1074"/>
        <v>0.17600128837766113</v>
      </c>
      <c r="BG231" s="108">
        <f t="shared" si="1074"/>
        <v>0.13341664265207742</v>
      </c>
      <c r="BH231" s="108">
        <f t="shared" si="1074"/>
        <v>0.17703670314158457</v>
      </c>
      <c r="BI231" s="108">
        <f t="shared" si="1074"/>
        <v>0.13244557986987568</v>
      </c>
      <c r="BJ231" s="108">
        <f t="shared" si="1074"/>
        <v>0.19271480561284265</v>
      </c>
      <c r="BK231" s="108">
        <f t="shared" si="1074"/>
        <v>0.15390833578737864</v>
      </c>
      <c r="BL231" s="108">
        <f t="shared" si="1074"/>
        <v>0.15367674476309576</v>
      </c>
      <c r="BM231" s="108">
        <f t="shared" si="1074"/>
        <v>0.16890017749871813</v>
      </c>
      <c r="BN231" s="108">
        <f t="shared" si="1074"/>
        <v>0.17066463523370526</v>
      </c>
      <c r="BO231" s="108">
        <f t="shared" si="1074"/>
        <v>0</v>
      </c>
      <c r="BP231" s="108">
        <f t="shared" si="1074"/>
        <v>0</v>
      </c>
      <c r="BQ231" s="108">
        <f t="shared" si="1074"/>
        <v>0.1661299070262286</v>
      </c>
      <c r="BR231" s="118">
        <f t="shared" si="1006"/>
        <v>-0.17304850645764766</v>
      </c>
      <c r="BS231" s="108">
        <f t="shared" ref="BS231:CE231" si="1075">IFERROR(BS230/BS70,0)</f>
        <v>0.19477843756298935</v>
      </c>
      <c r="BT231" s="108">
        <f t="shared" si="1075"/>
        <v>0.18907358015694625</v>
      </c>
      <c r="BU231" s="108">
        <f t="shared" si="1075"/>
        <v>0.16041934410192116</v>
      </c>
      <c r="BV231" s="108">
        <f t="shared" si="1075"/>
        <v>0.21771241102336142</v>
      </c>
      <c r="BW231" s="108">
        <f t="shared" si="1075"/>
        <v>0.20003053286581665</v>
      </c>
      <c r="BX231" s="108">
        <f t="shared" si="1075"/>
        <v>0.15531573111988761</v>
      </c>
      <c r="BY231" s="108">
        <f t="shared" si="1075"/>
        <v>0.18643473007257888</v>
      </c>
      <c r="BZ231" s="108">
        <f t="shared" si="1075"/>
        <v>0.17960205463244708</v>
      </c>
      <c r="CA231" s="108">
        <f t="shared" si="1075"/>
        <v>0.1432473586425505</v>
      </c>
      <c r="CB231" s="108">
        <f t="shared" si="1075"/>
        <v>0.20637804824880537</v>
      </c>
      <c r="CC231" s="108">
        <f t="shared" si="1075"/>
        <v>0.23211593001190414</v>
      </c>
      <c r="CD231" s="108">
        <f t="shared" si="1075"/>
        <v>0.1528212983641816</v>
      </c>
      <c r="CE231" s="108">
        <f t="shared" si="1075"/>
        <v>0.18087319811468444</v>
      </c>
      <c r="CF231" s="32"/>
      <c r="CG231" s="108">
        <f t="shared" ref="CG231:CS231" si="1076">IFERROR(CG230/CG70,0)</f>
        <v>0.10817291631329909</v>
      </c>
      <c r="CH231" s="108">
        <f t="shared" si="1076"/>
        <v>0.10364293978408408</v>
      </c>
      <c r="CI231" s="108">
        <f t="shared" si="1076"/>
        <v>0.10342882966233367</v>
      </c>
      <c r="CJ231" s="108">
        <f t="shared" si="1076"/>
        <v>0.17299119686680062</v>
      </c>
      <c r="CK231" s="108">
        <f t="shared" si="1076"/>
        <v>0.10482164804959961</v>
      </c>
      <c r="CL231" s="108">
        <f t="shared" si="1076"/>
        <v>9.1745321551419859E-2</v>
      </c>
      <c r="CM231" s="108">
        <f t="shared" si="1076"/>
        <v>0.13044889261761305</v>
      </c>
      <c r="CN231" s="108">
        <f t="shared" si="1076"/>
        <v>0.12037646458667933</v>
      </c>
      <c r="CO231" s="108">
        <f t="shared" si="1076"/>
        <v>0.11821262701172057</v>
      </c>
      <c r="CP231" s="108">
        <f t="shared" si="1076"/>
        <v>0.13399035781181348</v>
      </c>
      <c r="CQ231" s="108">
        <f t="shared" si="1076"/>
        <v>0.14876152098457465</v>
      </c>
      <c r="CR231" s="108">
        <f t="shared" si="1076"/>
        <v>0.16865573978948242</v>
      </c>
      <c r="CS231" s="108">
        <f t="shared" si="1076"/>
        <v>0.12208662733156496</v>
      </c>
      <c r="CT231" s="15" t="str">
        <f t="shared" si="886"/>
        <v>% to Sales</v>
      </c>
      <c r="CU231" s="108">
        <f t="shared" ref="CU231:DG231" si="1077">IFERROR(CU230/CU70,0)</f>
        <v>0.13973375580974293</v>
      </c>
      <c r="CV231" s="108">
        <f t="shared" si="1077"/>
        <v>0.16651422812146485</v>
      </c>
      <c r="CW231" s="108">
        <f t="shared" si="1077"/>
        <v>0.15412554637532344</v>
      </c>
      <c r="CX231" s="108">
        <f t="shared" si="1077"/>
        <v>0.15266750869240059</v>
      </c>
      <c r="CY231" s="108">
        <f t="shared" si="1077"/>
        <v>0.12550822728414471</v>
      </c>
      <c r="CZ231" s="108">
        <f t="shared" si="1077"/>
        <v>0.15613649541114644</v>
      </c>
      <c r="DA231" s="108">
        <f t="shared" si="1077"/>
        <v>0.14058503640690009</v>
      </c>
      <c r="DB231" s="108">
        <f t="shared" si="1077"/>
        <v>0.16404258008385295</v>
      </c>
      <c r="DC231" s="108">
        <f t="shared" si="1077"/>
        <v>0.15356177354343598</v>
      </c>
      <c r="DD231" s="108">
        <f t="shared" si="1077"/>
        <v>0.14269966875793033</v>
      </c>
      <c r="DE231" s="108">
        <f t="shared" si="1077"/>
        <v>0</v>
      </c>
      <c r="DF231" s="108">
        <f t="shared" si="1077"/>
        <v>0</v>
      </c>
      <c r="DG231" s="108">
        <f t="shared" si="1077"/>
        <v>0.14872293522967089</v>
      </c>
      <c r="DH231" s="118">
        <f t="shared" si="1007"/>
        <v>-0.15740453504046539</v>
      </c>
      <c r="DI231" s="108">
        <f t="shared" ref="DI231:DU231" si="1078">IFERROR(DI230/DI70,0)</f>
        <v>0.13349940722935846</v>
      </c>
      <c r="DJ231" s="108">
        <f t="shared" si="1078"/>
        <v>0.13609865995474868</v>
      </c>
      <c r="DK231" s="108">
        <f t="shared" si="1078"/>
        <v>0.1073064108351927</v>
      </c>
      <c r="DL231" s="108">
        <f t="shared" si="1078"/>
        <v>0.1576887281890616</v>
      </c>
      <c r="DM231" s="108">
        <f t="shared" si="1078"/>
        <v>0.1386792535744038</v>
      </c>
      <c r="DN231" s="108">
        <f t="shared" si="1078"/>
        <v>0.11154272763059206</v>
      </c>
      <c r="DO231" s="108">
        <f t="shared" si="1078"/>
        <v>0.12697241492512154</v>
      </c>
      <c r="DP231" s="108">
        <f t="shared" si="1078"/>
        <v>0.13101795779238617</v>
      </c>
      <c r="DQ231" s="108">
        <f t="shared" si="1078"/>
        <v>0.11169381693322906</v>
      </c>
      <c r="DR231" s="108">
        <f t="shared" si="1078"/>
        <v>0.16935727130311987</v>
      </c>
      <c r="DS231" s="108">
        <f t="shared" si="1078"/>
        <v>0.14029753797387323</v>
      </c>
      <c r="DT231" s="108">
        <f t="shared" si="1078"/>
        <v>0.11203935319262444</v>
      </c>
      <c r="DU231" s="108">
        <f t="shared" si="1078"/>
        <v>0.12898735060036073</v>
      </c>
      <c r="DV231" s="32"/>
      <c r="DW231" s="108">
        <f t="shared" ref="DW231:EI231" si="1079">IFERROR(DW230/DW70,0)</f>
        <v>0</v>
      </c>
      <c r="DX231" s="108">
        <f t="shared" si="1079"/>
        <v>0</v>
      </c>
      <c r="DY231" s="108">
        <f t="shared" si="1079"/>
        <v>0</v>
      </c>
      <c r="DZ231" s="108">
        <f t="shared" si="1079"/>
        <v>0</v>
      </c>
      <c r="EA231" s="108">
        <f t="shared" si="1079"/>
        <v>0</v>
      </c>
      <c r="EB231" s="108">
        <f t="shared" si="1079"/>
        <v>0</v>
      </c>
      <c r="EC231" s="108">
        <f t="shared" si="1079"/>
        <v>0</v>
      </c>
      <c r="ED231" s="108">
        <f t="shared" si="1079"/>
        <v>0</v>
      </c>
      <c r="EE231" s="108">
        <f t="shared" si="1079"/>
        <v>0</v>
      </c>
      <c r="EF231" s="108">
        <f t="shared" si="1079"/>
        <v>0</v>
      </c>
      <c r="EG231" s="108">
        <f t="shared" si="1079"/>
        <v>0</v>
      </c>
      <c r="EH231" s="108">
        <f t="shared" si="1079"/>
        <v>0</v>
      </c>
      <c r="EI231" s="108">
        <f t="shared" si="1079"/>
        <v>0</v>
      </c>
      <c r="EJ231" s="15" t="str">
        <f t="shared" si="887"/>
        <v>% to Sales</v>
      </c>
      <c r="EK231" s="108">
        <f t="shared" ref="EK231:EW231" si="1080">IFERROR(EK230/EK70,0)</f>
        <v>0.92431718018207365</v>
      </c>
      <c r="EL231" s="108">
        <f t="shared" si="1080"/>
        <v>0.34564461508600286</v>
      </c>
      <c r="EM231" s="108">
        <f t="shared" si="1080"/>
        <v>0.49882675613217142</v>
      </c>
      <c r="EN231" s="108">
        <f t="shared" si="1080"/>
        <v>0.57892335892885627</v>
      </c>
      <c r="EO231" s="108">
        <f t="shared" si="1080"/>
        <v>0.40414409783846095</v>
      </c>
      <c r="EP231" s="108">
        <f t="shared" si="1080"/>
        <v>0.3819719335954454</v>
      </c>
      <c r="EQ231" s="108">
        <f t="shared" si="1080"/>
        <v>0.48519037450368074</v>
      </c>
      <c r="ER231" s="108">
        <f t="shared" si="1080"/>
        <v>0.40908794984514346</v>
      </c>
      <c r="ES231" s="108">
        <f t="shared" si="1080"/>
        <v>0.37406401971750186</v>
      </c>
      <c r="ET231" s="108">
        <f t="shared" si="1080"/>
        <v>0.30086460045549079</v>
      </c>
      <c r="EU231" s="108">
        <f t="shared" si="1080"/>
        <v>0</v>
      </c>
      <c r="EV231" s="108">
        <f t="shared" si="1080"/>
        <v>0</v>
      </c>
      <c r="EW231" s="108">
        <f t="shared" si="1080"/>
        <v>0.48223917363949137</v>
      </c>
      <c r="EX231" s="118">
        <f t="shared" si="1008"/>
        <v>-0.21866298730260472</v>
      </c>
      <c r="EY231" s="108">
        <f t="shared" ref="EY231:FK231" si="1081">IFERROR(EY230/EY70,0)</f>
        <v>0.30960640892229013</v>
      </c>
      <c r="EZ231" s="108">
        <f t="shared" si="1081"/>
        <v>0.32970642362710795</v>
      </c>
      <c r="FA231" s="108">
        <f t="shared" si="1081"/>
        <v>0.25680595237202863</v>
      </c>
      <c r="FB231" s="108">
        <f t="shared" si="1081"/>
        <v>0.33328118801291268</v>
      </c>
      <c r="FC231" s="108">
        <f t="shared" si="1081"/>
        <v>0.28218241395487148</v>
      </c>
      <c r="FD231" s="108">
        <f t="shared" si="1081"/>
        <v>0.24542712261591035</v>
      </c>
      <c r="FE231" s="108">
        <f t="shared" si="1081"/>
        <v>0.25329900001403294</v>
      </c>
      <c r="FF231" s="108">
        <f t="shared" si="1081"/>
        <v>0.26231665485573763</v>
      </c>
      <c r="FG231" s="108">
        <f t="shared" si="1081"/>
        <v>0.23736123751078006</v>
      </c>
      <c r="FH231" s="108">
        <f t="shared" si="1081"/>
        <v>0.3850638016197665</v>
      </c>
      <c r="FI231" s="108">
        <f t="shared" si="1081"/>
        <v>0.35401120861680807</v>
      </c>
      <c r="FJ231" s="108">
        <f t="shared" si="1081"/>
        <v>0.2889739815646607</v>
      </c>
      <c r="FK231" s="108">
        <f t="shared" si="1081"/>
        <v>0.30668120878972749</v>
      </c>
    </row>
    <row r="232" spans="1:167" ht="14.4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6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118">
        <f t="shared" si="1005"/>
        <v>0</v>
      </c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  <c r="BA232" s="106"/>
      <c r="BB232" s="106"/>
      <c r="BC232" s="106"/>
      <c r="BD232" s="16">
        <f t="shared" si="885"/>
        <v>0</v>
      </c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118">
        <f t="shared" si="1006"/>
        <v>0</v>
      </c>
      <c r="BS232" s="106"/>
      <c r="BT232" s="106"/>
      <c r="BU232" s="106"/>
      <c r="BV232" s="106"/>
      <c r="BW232" s="106"/>
      <c r="BX232" s="106"/>
      <c r="BY232" s="106"/>
      <c r="BZ232" s="106"/>
      <c r="CA232" s="106"/>
      <c r="CB232" s="106"/>
      <c r="CC232" s="106"/>
      <c r="CD232" s="106"/>
      <c r="CE232" s="106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106"/>
      <c r="CT232" s="16">
        <f t="shared" si="886"/>
        <v>0</v>
      </c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118">
        <f t="shared" si="1007"/>
        <v>0</v>
      </c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106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106"/>
      <c r="EJ232" s="16">
        <f t="shared" si="887"/>
        <v>0</v>
      </c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118">
        <f t="shared" si="1008"/>
        <v>0</v>
      </c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106"/>
    </row>
    <row r="233" spans="1:167" ht="14.45" customHeight="1">
      <c r="A233" s="58">
        <f t="shared" ref="A233:M233" si="1082">+A71-A230</f>
        <v>5571779.872243017</v>
      </c>
      <c r="B233" s="58">
        <f t="shared" si="1082"/>
        <v>4501861.4225814845</v>
      </c>
      <c r="C233" s="58">
        <f t="shared" si="1082"/>
        <v>7278191.2442625603</v>
      </c>
      <c r="D233" s="58">
        <f t="shared" si="1082"/>
        <v>2871383.2343738433</v>
      </c>
      <c r="E233" s="58">
        <f t="shared" si="1082"/>
        <v>3091047.1324007735</v>
      </c>
      <c r="F233" s="58">
        <f t="shared" si="1082"/>
        <v>6270160.3144486584</v>
      </c>
      <c r="G233" s="58">
        <f t="shared" si="1082"/>
        <v>4437438.3901697742</v>
      </c>
      <c r="H233" s="58">
        <f t="shared" si="1082"/>
        <v>4342511.8060953654</v>
      </c>
      <c r="I233" s="58">
        <f t="shared" si="1082"/>
        <v>6032555.240098333</v>
      </c>
      <c r="J233" s="58">
        <f t="shared" si="1082"/>
        <v>4755644.727396341</v>
      </c>
      <c r="K233" s="58">
        <f t="shared" si="1082"/>
        <v>3580691.2378273197</v>
      </c>
      <c r="L233" s="58">
        <f t="shared" si="1082"/>
        <v>10880454.973274056</v>
      </c>
      <c r="M233" s="58">
        <f t="shared" si="1082"/>
        <v>65488813.934371583</v>
      </c>
      <c r="N233" s="14" t="s">
        <v>194</v>
      </c>
      <c r="O233" s="28">
        <f t="shared" ref="O233:AA233" si="1083">+O71-O230</f>
        <v>356630.29633149505</v>
      </c>
      <c r="P233" s="28">
        <f t="shared" si="1083"/>
        <v>1846937.6992307659</v>
      </c>
      <c r="Q233" s="28">
        <f t="shared" si="1083"/>
        <v>6801556.2622623555</v>
      </c>
      <c r="R233" s="28">
        <f t="shared" si="1083"/>
        <v>4187197.8129691798</v>
      </c>
      <c r="S233" s="28">
        <f t="shared" si="1083"/>
        <v>7896437.4590380481</v>
      </c>
      <c r="T233" s="28">
        <f t="shared" si="1083"/>
        <v>5101436.9340595873</v>
      </c>
      <c r="U233" s="28">
        <f t="shared" si="1083"/>
        <v>5093426.3342863983</v>
      </c>
      <c r="V233" s="28">
        <f t="shared" si="1083"/>
        <v>5019250.330246429</v>
      </c>
      <c r="W233" s="28">
        <f t="shared" si="1083"/>
        <v>9201472.4892800488</v>
      </c>
      <c r="X233" s="28">
        <f t="shared" si="1083"/>
        <v>3810065.6512940433</v>
      </c>
      <c r="Y233" s="28">
        <f t="shared" si="1083"/>
        <v>0</v>
      </c>
      <c r="Z233" s="28">
        <f t="shared" si="1083"/>
        <v>0</v>
      </c>
      <c r="AA233" s="28">
        <f t="shared" si="1083"/>
        <v>49314411.268998414</v>
      </c>
      <c r="AB233" s="118">
        <f t="shared" si="1005"/>
        <v>2.6274384681837827E-2</v>
      </c>
      <c r="AC233" s="28">
        <f t="shared" ref="AC233:AO233" si="1084">+AC71-AC230</f>
        <v>5087905.6667907722</v>
      </c>
      <c r="AD233" s="28">
        <f t="shared" si="1084"/>
        <v>4846445.3698702697</v>
      </c>
      <c r="AE233" s="28">
        <f t="shared" si="1084"/>
        <v>12037765.29709618</v>
      </c>
      <c r="AF233" s="28">
        <f t="shared" si="1084"/>
        <v>3371646.1169675495</v>
      </c>
      <c r="AG233" s="28">
        <f t="shared" si="1084"/>
        <v>4729105.1056603761</v>
      </c>
      <c r="AH233" s="28">
        <f t="shared" si="1084"/>
        <v>11879912.388883978</v>
      </c>
      <c r="AI233" s="28">
        <f t="shared" si="1084"/>
        <v>5841788.8960167076</v>
      </c>
      <c r="AJ233" s="28">
        <f t="shared" si="1084"/>
        <v>5843394.1890840493</v>
      </c>
      <c r="AK233" s="28">
        <f t="shared" si="1084"/>
        <v>13085691.501826989</v>
      </c>
      <c r="AL233" s="28">
        <f t="shared" si="1084"/>
        <v>3712521.4349720199</v>
      </c>
      <c r="AM233" s="28">
        <f t="shared" si="1084"/>
        <v>3592774.7496786918</v>
      </c>
      <c r="AN233" s="28">
        <f t="shared" si="1084"/>
        <v>12030795.706627486</v>
      </c>
      <c r="AO233" s="28">
        <f t="shared" si="1084"/>
        <v>95350676.953336045</v>
      </c>
      <c r="AQ233" s="58">
        <f t="shared" ref="AQ233:BC233" si="1085">+AQ71-AQ230</f>
        <v>2433254.7632284421</v>
      </c>
      <c r="AR233" s="58">
        <f t="shared" si="1085"/>
        <v>1738241.0689427974</v>
      </c>
      <c r="AS233" s="58">
        <f t="shared" si="1085"/>
        <v>3341166.6706652492</v>
      </c>
      <c r="AT233" s="58">
        <f t="shared" si="1085"/>
        <v>1386960.1313535646</v>
      </c>
      <c r="AU233" s="58">
        <f t="shared" si="1085"/>
        <v>521842.41355068563</v>
      </c>
      <c r="AV233" s="58">
        <f t="shared" si="1085"/>
        <v>2740605.0809797635</v>
      </c>
      <c r="AW233" s="58">
        <f t="shared" si="1085"/>
        <v>1795785.7711572978</v>
      </c>
      <c r="AX233" s="58">
        <f t="shared" si="1085"/>
        <v>1870681.9451442049</v>
      </c>
      <c r="AY233" s="58">
        <f t="shared" si="1085"/>
        <v>2859695.525437233</v>
      </c>
      <c r="AZ233" s="58">
        <f t="shared" si="1085"/>
        <v>1007845.1240258915</v>
      </c>
      <c r="BA233" s="58">
        <f t="shared" si="1085"/>
        <v>998575.84989777254</v>
      </c>
      <c r="BB233" s="58">
        <f t="shared" si="1085"/>
        <v>7747130.8610160826</v>
      </c>
      <c r="BC233" s="58">
        <f t="shared" si="1085"/>
        <v>28441785.205398984</v>
      </c>
      <c r="BD233" s="14" t="str">
        <f t="shared" si="885"/>
        <v>EBITDA</v>
      </c>
      <c r="BE233" s="28">
        <f t="shared" ref="BE233:BQ233" si="1086">+BE71-BE230</f>
        <v>272512.15370521741</v>
      </c>
      <c r="BF233" s="28">
        <f t="shared" si="1086"/>
        <v>1345451.560990816</v>
      </c>
      <c r="BG233" s="28">
        <f t="shared" si="1086"/>
        <v>4180074.7107082717</v>
      </c>
      <c r="BH233" s="28">
        <f t="shared" si="1086"/>
        <v>2781216.5353824045</v>
      </c>
      <c r="BI233" s="28">
        <f t="shared" si="1086"/>
        <v>6264811.7436246574</v>
      </c>
      <c r="BJ233" s="28">
        <f t="shared" si="1086"/>
        <v>2605771.9713816009</v>
      </c>
      <c r="BK233" s="28">
        <f t="shared" si="1086"/>
        <v>3567851.2324914536</v>
      </c>
      <c r="BL233" s="28">
        <f t="shared" si="1086"/>
        <v>3093624.5000969591</v>
      </c>
      <c r="BM233" s="28">
        <f t="shared" si="1086"/>
        <v>5726365.1312017962</v>
      </c>
      <c r="BN233" s="28">
        <f t="shared" si="1086"/>
        <v>2007435.2015560558</v>
      </c>
      <c r="BO233" s="28">
        <f t="shared" si="1086"/>
        <v>0</v>
      </c>
      <c r="BP233" s="28">
        <f t="shared" si="1086"/>
        <v>0</v>
      </c>
      <c r="BQ233" s="28">
        <f t="shared" si="1086"/>
        <v>31845114.741139237</v>
      </c>
      <c r="BR233" s="118">
        <f t="shared" si="1006"/>
        <v>-1.37472971638497E-2</v>
      </c>
      <c r="BS233" s="58">
        <f t="shared" ref="BS233:CE233" si="1087">+BS71-BS230</f>
        <v>2402071.5360459667</v>
      </c>
      <c r="BT233" s="58">
        <f t="shared" si="1087"/>
        <v>2358277.744508855</v>
      </c>
      <c r="BU233" s="58">
        <f t="shared" si="1087"/>
        <v>5868993.8703006953</v>
      </c>
      <c r="BV233" s="58">
        <f t="shared" si="1087"/>
        <v>1543285.1460054857</v>
      </c>
      <c r="BW233" s="58">
        <f t="shared" si="1087"/>
        <v>2075017.6700063352</v>
      </c>
      <c r="BX233" s="58">
        <f t="shared" si="1087"/>
        <v>5982094.7974998821</v>
      </c>
      <c r="BY233" s="58">
        <f t="shared" si="1087"/>
        <v>2495678.0037417384</v>
      </c>
      <c r="BZ233" s="58">
        <f t="shared" si="1087"/>
        <v>2741256.2198583735</v>
      </c>
      <c r="CA233" s="58">
        <f t="shared" si="1087"/>
        <v>6947688.5026648082</v>
      </c>
      <c r="CB233" s="58">
        <f t="shared" si="1087"/>
        <v>2035416.679501418</v>
      </c>
      <c r="CC233" s="58">
        <f t="shared" si="1087"/>
        <v>1253868.0952110034</v>
      </c>
      <c r="CD233" s="58">
        <f t="shared" si="1087"/>
        <v>6271232.7351794876</v>
      </c>
      <c r="CE233" s="58">
        <f t="shared" si="1087"/>
        <v>41974881.000524044</v>
      </c>
      <c r="CF233" s="22"/>
      <c r="CG233" s="28">
        <f t="shared" ref="CG233:CS233" si="1088">+CG71-CG230</f>
        <v>3138525.1090145716</v>
      </c>
      <c r="CH233" s="28">
        <f t="shared" si="1088"/>
        <v>2763620.353638682</v>
      </c>
      <c r="CI233" s="28">
        <f t="shared" si="1088"/>
        <v>3937024.5735973138</v>
      </c>
      <c r="CJ233" s="28">
        <f t="shared" si="1088"/>
        <v>1484423.1030202783</v>
      </c>
      <c r="CK233" s="28">
        <f t="shared" si="1088"/>
        <v>2569204.7188500846</v>
      </c>
      <c r="CL233" s="28">
        <f t="shared" si="1088"/>
        <v>3529555.2334688855</v>
      </c>
      <c r="CM233" s="28">
        <f t="shared" si="1088"/>
        <v>2641652.6190124718</v>
      </c>
      <c r="CN233" s="28">
        <f t="shared" si="1088"/>
        <v>2471829.8609511619</v>
      </c>
      <c r="CO233" s="28">
        <f t="shared" si="1088"/>
        <v>3172859.7146611004</v>
      </c>
      <c r="CP233" s="28">
        <f t="shared" si="1088"/>
        <v>3747799.6033704523</v>
      </c>
      <c r="CQ233" s="28">
        <f t="shared" si="1088"/>
        <v>2582115.3879295476</v>
      </c>
      <c r="CR233" s="28">
        <f t="shared" si="1088"/>
        <v>3133324.1122579728</v>
      </c>
      <c r="CS233" s="58">
        <f t="shared" si="1088"/>
        <v>35171934.389772519</v>
      </c>
      <c r="CT233" s="14" t="str">
        <f t="shared" si="886"/>
        <v>EBITDA</v>
      </c>
      <c r="CU233" s="28">
        <f t="shared" ref="CU233:DG233" si="1089">+CU71-CU230</f>
        <v>1270698.0225624752</v>
      </c>
      <c r="CV233" s="28">
        <f t="shared" si="1089"/>
        <v>741146.791392026</v>
      </c>
      <c r="CW233" s="28">
        <f t="shared" si="1089"/>
        <v>2649708.175165765</v>
      </c>
      <c r="CX233" s="28">
        <f t="shared" si="1089"/>
        <v>1660351.419760945</v>
      </c>
      <c r="CY233" s="28">
        <f t="shared" si="1089"/>
        <v>2232353.4140921817</v>
      </c>
      <c r="CZ233" s="28">
        <f t="shared" si="1089"/>
        <v>2410104.6068896982</v>
      </c>
      <c r="DA233" s="28">
        <f t="shared" si="1089"/>
        <v>2258034.2652522922</v>
      </c>
      <c r="DB233" s="28">
        <f t="shared" si="1089"/>
        <v>2370537.6092523765</v>
      </c>
      <c r="DC233" s="28">
        <f t="shared" si="1089"/>
        <v>2806654.3647323232</v>
      </c>
      <c r="DD233" s="28">
        <f t="shared" si="1089"/>
        <v>1730649.8216019482</v>
      </c>
      <c r="DE233" s="28">
        <f t="shared" si="1089"/>
        <v>0</v>
      </c>
      <c r="DF233" s="28">
        <f t="shared" si="1089"/>
        <v>0</v>
      </c>
      <c r="DG233" s="28">
        <f t="shared" si="1089"/>
        <v>20130238.490702026</v>
      </c>
      <c r="DH233" s="118">
        <f t="shared" si="1007"/>
        <v>2.7651358050320738E-2</v>
      </c>
      <c r="DI233" s="28">
        <f t="shared" ref="DI233:DU233" si="1090">+DI71-DI230</f>
        <v>2468574.8406226374</v>
      </c>
      <c r="DJ233" s="28">
        <f t="shared" si="1090"/>
        <v>2372211.266094103</v>
      </c>
      <c r="DK233" s="28">
        <f t="shared" si="1090"/>
        <v>5197282.4435791969</v>
      </c>
      <c r="DL233" s="28">
        <f t="shared" si="1090"/>
        <v>1730564.1444715522</v>
      </c>
      <c r="DM233" s="28">
        <f t="shared" si="1090"/>
        <v>2280692.291814154</v>
      </c>
      <c r="DN233" s="28">
        <f t="shared" si="1090"/>
        <v>4855575.7503397278</v>
      </c>
      <c r="DO233" s="28">
        <f t="shared" si="1090"/>
        <v>2753896.3122819075</v>
      </c>
      <c r="DP233" s="28">
        <f t="shared" si="1090"/>
        <v>2585267.0833777627</v>
      </c>
      <c r="DQ233" s="28">
        <f t="shared" si="1090"/>
        <v>4988957.8945023911</v>
      </c>
      <c r="DR233" s="28">
        <f t="shared" si="1090"/>
        <v>1684082.6492803642</v>
      </c>
      <c r="DS233" s="28">
        <f t="shared" si="1090"/>
        <v>2225567.7065677424</v>
      </c>
      <c r="DT233" s="28">
        <f t="shared" si="1090"/>
        <v>4904245.8688617004</v>
      </c>
      <c r="DU233" s="58">
        <f t="shared" si="1090"/>
        <v>38046918.251793221</v>
      </c>
      <c r="DW233" s="28">
        <f t="shared" ref="DW233:EI233" si="1091">+DW71-DW230</f>
        <v>0</v>
      </c>
      <c r="DX233" s="28">
        <f t="shared" si="1091"/>
        <v>0</v>
      </c>
      <c r="DY233" s="28">
        <f t="shared" si="1091"/>
        <v>0</v>
      </c>
      <c r="DZ233" s="28">
        <f t="shared" si="1091"/>
        <v>0</v>
      </c>
      <c r="EA233" s="28">
        <f t="shared" si="1091"/>
        <v>0</v>
      </c>
      <c r="EB233" s="28">
        <f t="shared" si="1091"/>
        <v>0</v>
      </c>
      <c r="EC233" s="28">
        <f t="shared" si="1091"/>
        <v>0</v>
      </c>
      <c r="ED233" s="28">
        <f t="shared" si="1091"/>
        <v>0</v>
      </c>
      <c r="EE233" s="28">
        <f t="shared" si="1091"/>
        <v>0</v>
      </c>
      <c r="EF233" s="28">
        <f t="shared" si="1091"/>
        <v>0</v>
      </c>
      <c r="EG233" s="28">
        <f t="shared" si="1091"/>
        <v>0</v>
      </c>
      <c r="EH233" s="28">
        <f t="shared" si="1091"/>
        <v>0</v>
      </c>
      <c r="EI233" s="58">
        <f t="shared" si="1091"/>
        <v>0</v>
      </c>
      <c r="EJ233" s="14" t="str">
        <f t="shared" si="887"/>
        <v>EBITDA</v>
      </c>
      <c r="EK233" s="28">
        <f t="shared" ref="EK233:EW233" si="1092">+EK71-EK230</f>
        <v>-1186579.8799361999</v>
      </c>
      <c r="EL233" s="28">
        <f t="shared" si="1092"/>
        <v>-239660.6531520728</v>
      </c>
      <c r="EM233" s="28">
        <f t="shared" si="1092"/>
        <v>-28226.623611679068</v>
      </c>
      <c r="EN233" s="28">
        <f t="shared" si="1092"/>
        <v>-254370.14217416802</v>
      </c>
      <c r="EO233" s="28">
        <f t="shared" si="1092"/>
        <v>-600727.69867878978</v>
      </c>
      <c r="EP233" s="28">
        <f t="shared" si="1092"/>
        <v>85560.355788289569</v>
      </c>
      <c r="EQ233" s="28">
        <f t="shared" si="1092"/>
        <v>-732459.16345734079</v>
      </c>
      <c r="ER233" s="28">
        <f t="shared" si="1092"/>
        <v>-444911.77910290449</v>
      </c>
      <c r="ES233" s="28">
        <f t="shared" si="1092"/>
        <v>668452.99334593071</v>
      </c>
      <c r="ET233" s="28">
        <f t="shared" si="1092"/>
        <v>71980.628136040177</v>
      </c>
      <c r="EU233" s="28">
        <f t="shared" si="1092"/>
        <v>0</v>
      </c>
      <c r="EV233" s="28">
        <f t="shared" si="1092"/>
        <v>0</v>
      </c>
      <c r="EW233" s="28">
        <f t="shared" si="1092"/>
        <v>-2669096.2364428882</v>
      </c>
      <c r="EX233" s="118">
        <f t="shared" si="1008"/>
        <v>-11.315523580393958</v>
      </c>
      <c r="EY233" s="28">
        <f t="shared" ref="EY233:FK233" si="1093">+EY71-EY230</f>
        <v>217259.29012216441</v>
      </c>
      <c r="EZ233" s="28">
        <f t="shared" si="1093"/>
        <v>115956.35926731443</v>
      </c>
      <c r="FA233" s="28">
        <f t="shared" si="1093"/>
        <v>971488.98321628966</v>
      </c>
      <c r="FB233" s="28">
        <f t="shared" si="1093"/>
        <v>97796.826490506297</v>
      </c>
      <c r="FC233" s="28">
        <f t="shared" si="1093"/>
        <v>373395.14383988967</v>
      </c>
      <c r="FD233" s="28">
        <f t="shared" si="1093"/>
        <v>1042241.8410443729</v>
      </c>
      <c r="FE233" s="28">
        <f t="shared" si="1093"/>
        <v>592214.57999306475</v>
      </c>
      <c r="FF233" s="28">
        <f t="shared" si="1093"/>
        <v>516870.88584791473</v>
      </c>
      <c r="FG233" s="28">
        <f t="shared" si="1093"/>
        <v>1149045.1046597897</v>
      </c>
      <c r="FH233" s="28">
        <f t="shared" si="1093"/>
        <v>-6977.8938097576611</v>
      </c>
      <c r="FI233" s="28">
        <f t="shared" si="1093"/>
        <v>113338.94789994252</v>
      </c>
      <c r="FJ233" s="28">
        <f t="shared" si="1093"/>
        <v>855317.1025862908</v>
      </c>
      <c r="FK233" s="58">
        <f t="shared" si="1093"/>
        <v>6037947.1711577941</v>
      </c>
    </row>
    <row r="234" spans="1:167" ht="14.45" customHeight="1">
      <c r="A234" s="108">
        <f t="shared" ref="A234:M234" si="1094">IFERROR(A233/A70,0)</f>
        <v>0.19664792536087589</v>
      </c>
      <c r="B234" s="108">
        <f t="shared" si="1094"/>
        <v>0.17308840725781865</v>
      </c>
      <c r="C234" s="108">
        <f t="shared" si="1094"/>
        <v>0.26538078292426348</v>
      </c>
      <c r="D234" s="108">
        <f t="shared" si="1094"/>
        <v>0.14611512225354195</v>
      </c>
      <c r="E234" s="108">
        <f t="shared" si="1094"/>
        <v>0.1284902639693225</v>
      </c>
      <c r="F234" s="108">
        <f t="shared" si="1094"/>
        <v>0.20341406848873017</v>
      </c>
      <c r="G234" s="108">
        <f t="shared" si="1094"/>
        <v>0.16963719030173136</v>
      </c>
      <c r="H234" s="108">
        <f t="shared" si="1094"/>
        <v>0.16589380976669707</v>
      </c>
      <c r="I234" s="108">
        <f t="shared" si="1094"/>
        <v>0.17690431157949105</v>
      </c>
      <c r="J234" s="108">
        <f t="shared" si="1094"/>
        <v>0.18351010909804527</v>
      </c>
      <c r="K234" s="108">
        <f t="shared" si="1094"/>
        <v>0.12187031634015848</v>
      </c>
      <c r="L234" s="108">
        <f t="shared" si="1094"/>
        <v>0.31507038826626949</v>
      </c>
      <c r="M234" s="108">
        <f t="shared" si="1094"/>
        <v>0.19691971515033146</v>
      </c>
      <c r="N234" s="15" t="s">
        <v>58</v>
      </c>
      <c r="O234" s="108">
        <f t="shared" ref="O234:AA234" si="1095">IFERROR(O233/O70,0)</f>
        <v>1.5014132560945945E-2</v>
      </c>
      <c r="P234" s="108">
        <f t="shared" si="1095"/>
        <v>6.6484917344048919E-2</v>
      </c>
      <c r="Q234" s="108">
        <f t="shared" si="1095"/>
        <v>0.1865290218557496</v>
      </c>
      <c r="R234" s="108">
        <f t="shared" si="1095"/>
        <v>0.15110012983633589</v>
      </c>
      <c r="S234" s="108">
        <f t="shared" si="1095"/>
        <v>0.20040951635274856</v>
      </c>
      <c r="T234" s="108">
        <f t="shared" si="1095"/>
        <v>0.16158438934394453</v>
      </c>
      <c r="U234" s="108">
        <f t="shared" si="1095"/>
        <v>0.13975266863505842</v>
      </c>
      <c r="V234" s="108">
        <f t="shared" si="1095"/>
        <v>0.14197589500332844</v>
      </c>
      <c r="W234" s="108">
        <f t="shared" si="1095"/>
        <v>0.23368265331995566</v>
      </c>
      <c r="X234" s="108">
        <f t="shared" si="1095"/>
        <v>0.10721997615825303</v>
      </c>
      <c r="Y234" s="108">
        <f t="shared" si="1095"/>
        <v>0</v>
      </c>
      <c r="Z234" s="108">
        <f t="shared" si="1095"/>
        <v>0</v>
      </c>
      <c r="AA234" s="108">
        <f t="shared" si="1095"/>
        <v>0.14791780145107555</v>
      </c>
      <c r="AB234" s="118">
        <f t="shared" si="1005"/>
        <v>-0.13725165476948359</v>
      </c>
      <c r="AC234" s="108">
        <f t="shared" ref="AC234:AO234" si="1096">IFERROR(AC233/AC70,0)</f>
        <v>0.15444287137152685</v>
      </c>
      <c r="AD234" s="108">
        <f t="shared" si="1096"/>
        <v>0.15121007895230743</v>
      </c>
      <c r="AE234" s="108">
        <f t="shared" si="1096"/>
        <v>0.30365296160800836</v>
      </c>
      <c r="AF234" s="108">
        <f t="shared" si="1096"/>
        <v>0.12024626797841337</v>
      </c>
      <c r="AG234" s="108">
        <f t="shared" si="1096"/>
        <v>0.14873278731040537</v>
      </c>
      <c r="AH234" s="108">
        <f t="shared" si="1096"/>
        <v>0.29861790377306152</v>
      </c>
      <c r="AI234" s="108">
        <f t="shared" si="1096"/>
        <v>0.16841304164377618</v>
      </c>
      <c r="AJ234" s="108">
        <f t="shared" si="1096"/>
        <v>0.16800694760043794</v>
      </c>
      <c r="AK234" s="108">
        <f t="shared" si="1096"/>
        <v>0.30831347522411628</v>
      </c>
      <c r="AL234" s="108">
        <f t="shared" si="1096"/>
        <v>0.12427723188458285</v>
      </c>
      <c r="AM234" s="108">
        <f t="shared" si="1096"/>
        <v>0.12806031384987174</v>
      </c>
      <c r="AN234" s="108">
        <f t="shared" si="1096"/>
        <v>0.3017354782570148</v>
      </c>
      <c r="AO234" s="108">
        <f t="shared" si="1096"/>
        <v>0.23033383021658349</v>
      </c>
      <c r="AQ234" s="108">
        <f t="shared" ref="AQ234:BC234" si="1097">IFERROR(AQ233/AQ70,0)</f>
        <v>0.15285826620020285</v>
      </c>
      <c r="AR234" s="108">
        <f t="shared" si="1097"/>
        <v>0.12754988767610911</v>
      </c>
      <c r="AS234" s="108">
        <f t="shared" si="1097"/>
        <v>0.20581322137076721</v>
      </c>
      <c r="AT234" s="108">
        <f t="shared" si="1097"/>
        <v>0.10693952840744331</v>
      </c>
      <c r="AU234" s="108">
        <f t="shared" si="1097"/>
        <v>4.1748593966707659E-2</v>
      </c>
      <c r="AV234" s="108">
        <f t="shared" si="1097"/>
        <v>0.17145889444938645</v>
      </c>
      <c r="AW234" s="108">
        <f t="shared" si="1097"/>
        <v>0.1151787658716646</v>
      </c>
      <c r="AX234" s="108">
        <f t="shared" si="1097"/>
        <v>0.11562515621626354</v>
      </c>
      <c r="AY234" s="108">
        <f t="shared" si="1097"/>
        <v>0.12684392862239977</v>
      </c>
      <c r="AZ234" s="108">
        <f t="shared" si="1097"/>
        <v>6.1783462420892242E-2</v>
      </c>
      <c r="BA234" s="108">
        <f t="shared" si="1097"/>
        <v>5.5312642835739556E-2</v>
      </c>
      <c r="BB234" s="108">
        <f t="shared" si="1097"/>
        <v>0.31882446749971094</v>
      </c>
      <c r="BC234" s="108">
        <f t="shared" si="1097"/>
        <v>0.14205724385690935</v>
      </c>
      <c r="BD234" s="15" t="str">
        <f t="shared" si="885"/>
        <v>% to Sales</v>
      </c>
      <c r="BE234" s="108">
        <f t="shared" ref="BE234:BQ234" si="1098">IFERROR(BE233/BE70,0)</f>
        <v>2.197326357427604E-2</v>
      </c>
      <c r="BF234" s="108">
        <f t="shared" si="1098"/>
        <v>8.6306061519836663E-2</v>
      </c>
      <c r="BG234" s="108">
        <f t="shared" si="1098"/>
        <v>0.17889970617819148</v>
      </c>
      <c r="BH234" s="108">
        <f t="shared" si="1098"/>
        <v>0.15923969851024544</v>
      </c>
      <c r="BI234" s="108">
        <f t="shared" si="1098"/>
        <v>0.25560496861138632</v>
      </c>
      <c r="BJ234" s="108">
        <f t="shared" si="1098"/>
        <v>0.14937965366903078</v>
      </c>
      <c r="BK234" s="108">
        <f t="shared" si="1098"/>
        <v>0.16320743007587155</v>
      </c>
      <c r="BL234" s="108">
        <f t="shared" si="1098"/>
        <v>0.14177494338181143</v>
      </c>
      <c r="BM234" s="108">
        <f t="shared" si="1098"/>
        <v>0.23457920215915803</v>
      </c>
      <c r="BN234" s="108">
        <f t="shared" si="1098"/>
        <v>0.10163077651047116</v>
      </c>
      <c r="BO234" s="108">
        <f t="shared" si="1098"/>
        <v>0</v>
      </c>
      <c r="BP234" s="108">
        <f t="shared" si="1098"/>
        <v>0</v>
      </c>
      <c r="BQ234" s="108">
        <f t="shared" si="1098"/>
        <v>0.16033103824975162</v>
      </c>
      <c r="BR234" s="118">
        <f t="shared" si="1006"/>
        <v>-0.20908899398544659</v>
      </c>
      <c r="BS234" s="108">
        <f t="shared" ref="BS234:CE234" si="1099">IFERROR(BS233/BS70,0)</f>
        <v>0.14606425408185808</v>
      </c>
      <c r="BT234" s="108">
        <f t="shared" si="1099"/>
        <v>0.14642057263721467</v>
      </c>
      <c r="BU234" s="108">
        <f t="shared" si="1099"/>
        <v>0.30984723855251961</v>
      </c>
      <c r="BV234" s="108">
        <f t="shared" si="1099"/>
        <v>0.11096297119727688</v>
      </c>
      <c r="BW234" s="108">
        <f t="shared" si="1099"/>
        <v>0.13441302491188178</v>
      </c>
      <c r="BX234" s="108">
        <f t="shared" si="1099"/>
        <v>0.30400826956483123</v>
      </c>
      <c r="BY234" s="108">
        <f t="shared" si="1099"/>
        <v>0.15199751743124801</v>
      </c>
      <c r="BZ234" s="108">
        <f t="shared" si="1099"/>
        <v>0.15955561113369987</v>
      </c>
      <c r="CA234" s="108">
        <f t="shared" si="1099"/>
        <v>0.31419689441468174</v>
      </c>
      <c r="CB234" s="108">
        <f t="shared" si="1099"/>
        <v>0.12849837179861051</v>
      </c>
      <c r="CC234" s="108">
        <f t="shared" si="1099"/>
        <v>9.8069658414292521E-2</v>
      </c>
      <c r="CD234" s="108">
        <f t="shared" si="1099"/>
        <v>0.30586142404543509</v>
      </c>
      <c r="CE234" s="108">
        <f t="shared" si="1099"/>
        <v>0.20439903733714354</v>
      </c>
      <c r="CF234" s="32"/>
      <c r="CG234" s="108">
        <f t="shared" ref="CG234:CS234" si="1100">IFERROR(CG233/CG70,0)</f>
        <v>0.25279266607205891</v>
      </c>
      <c r="CH234" s="108">
        <f t="shared" si="1100"/>
        <v>0.22321286292220305</v>
      </c>
      <c r="CI234" s="108">
        <f t="shared" si="1100"/>
        <v>0.3517873591027702</v>
      </c>
      <c r="CJ234" s="108">
        <f t="shared" si="1100"/>
        <v>0.22215454175316413</v>
      </c>
      <c r="CK234" s="108">
        <f t="shared" si="1100"/>
        <v>0.22230677847600464</v>
      </c>
      <c r="CL234" s="108">
        <f t="shared" si="1100"/>
        <v>0.23783136678333333</v>
      </c>
      <c r="CM234" s="108">
        <f t="shared" si="1100"/>
        <v>0.24998810237312916</v>
      </c>
      <c r="CN234" s="108">
        <f t="shared" si="1100"/>
        <v>0.24724218229443792</v>
      </c>
      <c r="CO234" s="108">
        <f t="shared" si="1100"/>
        <v>0.27457156243906472</v>
      </c>
      <c r="CP234" s="108">
        <f t="shared" si="1100"/>
        <v>0.3903001017963787</v>
      </c>
      <c r="CQ234" s="108">
        <f t="shared" si="1100"/>
        <v>0.22794384023908468</v>
      </c>
      <c r="CR234" s="108">
        <f t="shared" si="1100"/>
        <v>0.30615722472544077</v>
      </c>
      <c r="CS234" s="108">
        <f t="shared" si="1100"/>
        <v>0.26574437023270903</v>
      </c>
      <c r="CT234" s="15" t="str">
        <f t="shared" si="886"/>
        <v>% to Sales</v>
      </c>
      <c r="CU234" s="108">
        <f t="shared" ref="CU234:DG234" si="1101">IFERROR(CU233/CU70,0)</f>
        <v>0.1372126538457224</v>
      </c>
      <c r="CV234" s="108">
        <f t="shared" si="1101"/>
        <v>9.0479910978997838E-2</v>
      </c>
      <c r="CW234" s="108">
        <f t="shared" si="1101"/>
        <v>0.260503009506107</v>
      </c>
      <c r="CX234" s="108">
        <f t="shared" si="1101"/>
        <v>0.20696690583073782</v>
      </c>
      <c r="CY234" s="108">
        <f t="shared" si="1101"/>
        <v>0.19590352586001314</v>
      </c>
      <c r="CZ234" s="108">
        <f t="shared" si="1101"/>
        <v>0.2421254433231696</v>
      </c>
      <c r="DA234" s="108">
        <f t="shared" si="1101"/>
        <v>0.2054507314355237</v>
      </c>
      <c r="DB234" s="108">
        <f t="shared" si="1101"/>
        <v>0.24466577782767568</v>
      </c>
      <c r="DC234" s="108">
        <f t="shared" si="1101"/>
        <v>0.2696663635182116</v>
      </c>
      <c r="DD234" s="108">
        <f t="shared" si="1101"/>
        <v>0.15398906583911001</v>
      </c>
      <c r="DE234" s="108">
        <f t="shared" si="1101"/>
        <v>0</v>
      </c>
      <c r="DF234" s="108">
        <f t="shared" si="1101"/>
        <v>0</v>
      </c>
      <c r="DG234" s="108">
        <f t="shared" si="1101"/>
        <v>0.20267819432664053</v>
      </c>
      <c r="DH234" s="118">
        <f t="shared" si="1007"/>
        <v>-2.6584039078656162E-2</v>
      </c>
      <c r="DI234" s="108">
        <f t="shared" ref="DI234:DU234" si="1102">IFERROR(DI233/DI70,0)</f>
        <v>0.19788585840608089</v>
      </c>
      <c r="DJ234" s="108">
        <f t="shared" si="1102"/>
        <v>0.1946873977681107</v>
      </c>
      <c r="DK234" s="108">
        <f t="shared" si="1102"/>
        <v>0.32857290816019913</v>
      </c>
      <c r="DL234" s="108">
        <f t="shared" si="1102"/>
        <v>0.16674814954762179</v>
      </c>
      <c r="DM234" s="108">
        <f t="shared" si="1102"/>
        <v>0.19151796547490277</v>
      </c>
      <c r="DN234" s="108">
        <f t="shared" si="1102"/>
        <v>0.3240056131582239</v>
      </c>
      <c r="DO234" s="108">
        <f t="shared" si="1102"/>
        <v>0.20765793798325749</v>
      </c>
      <c r="DP234" s="108">
        <f t="shared" si="1102"/>
        <v>0.20226416385794249</v>
      </c>
      <c r="DQ234" s="108">
        <f t="shared" si="1102"/>
        <v>0.33247590886266593</v>
      </c>
      <c r="DR234" s="108">
        <f t="shared" si="1102"/>
        <v>0.15819451500811479</v>
      </c>
      <c r="DS234" s="108">
        <f t="shared" si="1102"/>
        <v>0.18946246437121173</v>
      </c>
      <c r="DT234" s="108">
        <f t="shared" si="1102"/>
        <v>0.32696139409259367</v>
      </c>
      <c r="DU234" s="108">
        <f t="shared" si="1102"/>
        <v>0.24359262292866404</v>
      </c>
      <c r="DV234" s="32"/>
      <c r="DW234" s="108">
        <f t="shared" ref="DW234:EI234" si="1103">IFERROR(DW233/DW70,0)</f>
        <v>0</v>
      </c>
      <c r="DX234" s="108">
        <f t="shared" si="1103"/>
        <v>0</v>
      </c>
      <c r="DY234" s="108">
        <f t="shared" si="1103"/>
        <v>0</v>
      </c>
      <c r="DZ234" s="108">
        <f t="shared" si="1103"/>
        <v>0</v>
      </c>
      <c r="EA234" s="108">
        <f t="shared" si="1103"/>
        <v>0</v>
      </c>
      <c r="EB234" s="108">
        <f t="shared" si="1103"/>
        <v>0</v>
      </c>
      <c r="EC234" s="108">
        <f t="shared" si="1103"/>
        <v>0</v>
      </c>
      <c r="ED234" s="108">
        <f t="shared" si="1103"/>
        <v>0</v>
      </c>
      <c r="EE234" s="108">
        <f t="shared" si="1103"/>
        <v>0</v>
      </c>
      <c r="EF234" s="108">
        <f t="shared" si="1103"/>
        <v>0</v>
      </c>
      <c r="EG234" s="108">
        <f t="shared" si="1103"/>
        <v>0</v>
      </c>
      <c r="EH234" s="108">
        <f t="shared" si="1103"/>
        <v>0</v>
      </c>
      <c r="EI234" s="108">
        <f t="shared" si="1103"/>
        <v>0</v>
      </c>
      <c r="EJ234" s="15" t="str">
        <f t="shared" si="887"/>
        <v>% to Sales</v>
      </c>
      <c r="EK234" s="108">
        <f t="shared" ref="EK234:EW234" si="1104">IFERROR(EK233/EK70,0)</f>
        <v>-0.56768932631127855</v>
      </c>
      <c r="EL234" s="108">
        <f t="shared" si="1104"/>
        <v>-5.9927017237301171E-2</v>
      </c>
      <c r="EM234" s="108">
        <f t="shared" si="1104"/>
        <v>-9.6441104853344436E-3</v>
      </c>
      <c r="EN234" s="108">
        <f t="shared" si="1104"/>
        <v>-0.11440030401237965</v>
      </c>
      <c r="EO234" s="108">
        <f t="shared" si="1104"/>
        <v>-0.171803344110776</v>
      </c>
      <c r="EP234" s="108">
        <f t="shared" si="1104"/>
        <v>2.0501147098392836E-2</v>
      </c>
      <c r="EQ234" s="108">
        <f t="shared" si="1104"/>
        <v>-0.20377052251981345</v>
      </c>
      <c r="ER234" s="108">
        <f t="shared" si="1104"/>
        <v>-0.11576350600827716</v>
      </c>
      <c r="ES234" s="108">
        <f t="shared" si="1104"/>
        <v>0.14669244186661162</v>
      </c>
      <c r="ET234" s="108">
        <f t="shared" si="1104"/>
        <v>1.5840756923730163E-2</v>
      </c>
      <c r="EU234" s="108">
        <f t="shared" si="1104"/>
        <v>0</v>
      </c>
      <c r="EV234" s="108">
        <f t="shared" si="1104"/>
        <v>0</v>
      </c>
      <c r="EW234" s="108">
        <f t="shared" si="1104"/>
        <v>-8.322994254933494E-2</v>
      </c>
      <c r="EX234" s="118">
        <f t="shared" si="1008"/>
        <v>-8.6894825990778113</v>
      </c>
      <c r="EY234" s="108">
        <f t="shared" ref="EY234:FK234" si="1105">IFERROR(EY233/EY70,0)</f>
        <v>5.399676336530139E-2</v>
      </c>
      <c r="EZ234" s="108">
        <f t="shared" si="1105"/>
        <v>3.0838118750271759E-2</v>
      </c>
      <c r="FA234" s="108">
        <f t="shared" si="1105"/>
        <v>0.19891865487739141</v>
      </c>
      <c r="FB234" s="108">
        <f t="shared" si="1105"/>
        <v>2.6057703029110479E-2</v>
      </c>
      <c r="FC234" s="108">
        <f t="shared" si="1105"/>
        <v>8.3911738242166911E-2</v>
      </c>
      <c r="FD234" s="108">
        <f t="shared" si="1105"/>
        <v>0.20358296864705064</v>
      </c>
      <c r="FE234" s="108">
        <f t="shared" si="1105"/>
        <v>0.1182921239357685</v>
      </c>
      <c r="FF234" s="108">
        <f t="shared" si="1105"/>
        <v>0.10726880951952326</v>
      </c>
      <c r="FG234" s="108">
        <f t="shared" si="1105"/>
        <v>0.2157907606868415</v>
      </c>
      <c r="FH234" s="108">
        <f t="shared" si="1105"/>
        <v>-2.0600549802440443E-3</v>
      </c>
      <c r="FI234" s="108">
        <f t="shared" si="1105"/>
        <v>3.2170222500640853E-2</v>
      </c>
      <c r="FJ234" s="108">
        <f t="shared" si="1105"/>
        <v>0.19576858539714156</v>
      </c>
      <c r="FK234" s="108">
        <f t="shared" si="1105"/>
        <v>0.12252798908226445</v>
      </c>
    </row>
    <row r="235" spans="1:167" ht="14.4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6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118">
        <f t="shared" si="1005"/>
        <v>0</v>
      </c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  <c r="BB235" s="106"/>
      <c r="BC235" s="106"/>
      <c r="BD235" s="16">
        <f t="shared" si="885"/>
        <v>0</v>
      </c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118">
        <f t="shared" si="1006"/>
        <v>0</v>
      </c>
      <c r="BS235" s="106"/>
      <c r="BT235" s="106"/>
      <c r="BU235" s="106"/>
      <c r="BV235" s="106"/>
      <c r="BW235" s="106"/>
      <c r="BX235" s="106"/>
      <c r="BY235" s="106"/>
      <c r="BZ235" s="106"/>
      <c r="CA235" s="106"/>
      <c r="CB235" s="106"/>
      <c r="CC235" s="106"/>
      <c r="CD235" s="106"/>
      <c r="CE235" s="106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106"/>
      <c r="CT235" s="16">
        <f t="shared" si="886"/>
        <v>0</v>
      </c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118">
        <f t="shared" si="1007"/>
        <v>0</v>
      </c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106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106"/>
      <c r="EJ235" s="16">
        <f t="shared" si="887"/>
        <v>0</v>
      </c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118">
        <f t="shared" si="1008"/>
        <v>0</v>
      </c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106"/>
    </row>
    <row r="236" spans="1:167" ht="14.45" customHeight="1">
      <c r="A236" s="58">
        <f t="shared" ref="A236:M236" si="1106">+SUM(A237:A239)</f>
        <v>295070.63760000002</v>
      </c>
      <c r="B236" s="58">
        <f t="shared" si="1106"/>
        <v>283657.50005000003</v>
      </c>
      <c r="C236" s="58">
        <f t="shared" si="1106"/>
        <v>273271.49685</v>
      </c>
      <c r="D236" s="58">
        <f t="shared" si="1106"/>
        <v>591365.35030000005</v>
      </c>
      <c r="E236" s="58">
        <f t="shared" si="1106"/>
        <v>581944.62794999999</v>
      </c>
      <c r="F236" s="58">
        <f t="shared" si="1106"/>
        <v>562752.38694999996</v>
      </c>
      <c r="G236" s="58">
        <f t="shared" si="1106"/>
        <v>567926.31624999992</v>
      </c>
      <c r="H236" s="58">
        <f t="shared" si="1106"/>
        <v>553446.76289999997</v>
      </c>
      <c r="I236" s="58">
        <f t="shared" si="1106"/>
        <v>711338.64980000001</v>
      </c>
      <c r="J236" s="58">
        <f t="shared" si="1106"/>
        <v>700191.76355000003</v>
      </c>
      <c r="K236" s="58">
        <f t="shared" si="1106"/>
        <v>679449.94735000003</v>
      </c>
      <c r="L236" s="58">
        <f t="shared" si="1106"/>
        <v>667810.32394999999</v>
      </c>
      <c r="M236" s="58">
        <f t="shared" si="1106"/>
        <v>6468225.7634999994</v>
      </c>
      <c r="N236" s="17" t="s">
        <v>195</v>
      </c>
      <c r="O236" s="28">
        <f t="shared" ref="O236:AA236" si="1107">+SUM(O237:O239)</f>
        <v>651627.04440000001</v>
      </c>
      <c r="P236" s="28">
        <f t="shared" si="1107"/>
        <v>621917.51225000003</v>
      </c>
      <c r="Q236" s="28">
        <f t="shared" si="1107"/>
        <v>558823.95884999994</v>
      </c>
      <c r="R236" s="28">
        <f t="shared" si="1107"/>
        <v>598191.47880000004</v>
      </c>
      <c r="S236" s="28">
        <f t="shared" si="1107"/>
        <v>577164.81784999999</v>
      </c>
      <c r="T236" s="28">
        <f t="shared" si="1107"/>
        <v>518974.39414999995</v>
      </c>
      <c r="U236" s="28">
        <f t="shared" si="1107"/>
        <v>669116.65100000007</v>
      </c>
      <c r="V236" s="28">
        <f t="shared" si="1107"/>
        <v>644282.21739999996</v>
      </c>
      <c r="W236" s="28">
        <f t="shared" si="1107"/>
        <v>626743.20854999998</v>
      </c>
      <c r="X236" s="28">
        <f t="shared" si="1107"/>
        <v>605269.12315</v>
      </c>
      <c r="Y236" s="28">
        <f t="shared" si="1107"/>
        <v>0</v>
      </c>
      <c r="Z236" s="28">
        <f t="shared" si="1107"/>
        <v>0</v>
      </c>
      <c r="AA236" s="28">
        <f t="shared" si="1107"/>
        <v>6072110.4063999997</v>
      </c>
      <c r="AB236" s="118">
        <f t="shared" si="1005"/>
        <v>0.18251685080636232</v>
      </c>
      <c r="AC236" s="28">
        <f t="shared" ref="AC236:AO236" si="1108">+SUM(AC237:AC239)</f>
        <v>662739.57737767487</v>
      </c>
      <c r="AD236" s="28">
        <f t="shared" si="1108"/>
        <v>632937.6411482736</v>
      </c>
      <c r="AE236" s="28">
        <f t="shared" si="1108"/>
        <v>629978.41159350239</v>
      </c>
      <c r="AF236" s="28">
        <f t="shared" si="1108"/>
        <v>609056.62261427357</v>
      </c>
      <c r="AG236" s="28">
        <f t="shared" si="1108"/>
        <v>596783.62580932979</v>
      </c>
      <c r="AH236" s="28">
        <f t="shared" si="1108"/>
        <v>575753.07185539685</v>
      </c>
      <c r="AI236" s="28">
        <f t="shared" si="1108"/>
        <v>563146.57002515707</v>
      </c>
      <c r="AJ236" s="28">
        <f t="shared" si="1108"/>
        <v>546159.88713307085</v>
      </c>
      <c r="AK236" s="28">
        <f t="shared" si="1108"/>
        <v>524962.86571708182</v>
      </c>
      <c r="AL236" s="28">
        <f t="shared" si="1108"/>
        <v>511848.20134889823</v>
      </c>
      <c r="AM236" s="28">
        <f t="shared" si="1108"/>
        <v>490534.55495820515</v>
      </c>
      <c r="AN236" s="28">
        <f t="shared" si="1108"/>
        <v>477078.50556472561</v>
      </c>
      <c r="AO236" s="28">
        <f t="shared" si="1108"/>
        <v>6820979.5351455901</v>
      </c>
      <c r="AQ236" s="58">
        <f t="shared" ref="AQ236:BC236" si="1109">+SUM(AQ237:AQ239)</f>
        <v>120340.00031999999</v>
      </c>
      <c r="AR236" s="58">
        <f t="shared" si="1109"/>
        <v>119353.91766000001</v>
      </c>
      <c r="AS236" s="58">
        <f t="shared" si="1109"/>
        <v>111953.78741999998</v>
      </c>
      <c r="AT236" s="58">
        <f t="shared" si="1109"/>
        <v>301660.72596000001</v>
      </c>
      <c r="AU236" s="58">
        <f t="shared" si="1109"/>
        <v>296621.29193999997</v>
      </c>
      <c r="AV236" s="58">
        <f t="shared" si="1109"/>
        <v>289032.97073999996</v>
      </c>
      <c r="AW236" s="58">
        <f t="shared" si="1109"/>
        <v>410978.99949999998</v>
      </c>
      <c r="AX236" s="58">
        <f t="shared" si="1109"/>
        <v>403125.65628</v>
      </c>
      <c r="AY236" s="58">
        <f t="shared" si="1109"/>
        <v>567531.30936000007</v>
      </c>
      <c r="AZ236" s="58">
        <f t="shared" si="1109"/>
        <v>555793.98586000002</v>
      </c>
      <c r="BA236" s="58">
        <f t="shared" si="1109"/>
        <v>360277.50401999999</v>
      </c>
      <c r="BB236" s="58">
        <f t="shared" si="1109"/>
        <v>352335.91913999995</v>
      </c>
      <c r="BC236" s="58">
        <f t="shared" si="1109"/>
        <v>3889006.0682000001</v>
      </c>
      <c r="BD236" s="17" t="str">
        <f t="shared" si="885"/>
        <v xml:space="preserve">Finance Charge </v>
      </c>
      <c r="BE236" s="28">
        <f t="shared" ref="BE236:BQ236" si="1110">+SUM(BE237:BE239)</f>
        <v>343181.48207999999</v>
      </c>
      <c r="BF236" s="28">
        <f t="shared" si="1110"/>
        <v>499462.42670000001</v>
      </c>
      <c r="BG236" s="28">
        <f t="shared" si="1110"/>
        <v>292936.42181999999</v>
      </c>
      <c r="BH236" s="28">
        <f t="shared" si="1110"/>
        <v>312708.51215999998</v>
      </c>
      <c r="BI236" s="28">
        <f t="shared" si="1110"/>
        <v>302141.16462</v>
      </c>
      <c r="BJ236" s="28">
        <f t="shared" si="1110"/>
        <v>422577.90577999997</v>
      </c>
      <c r="BK236" s="28">
        <f t="shared" si="1110"/>
        <v>362152.93320000003</v>
      </c>
      <c r="BL236" s="28">
        <f t="shared" si="1110"/>
        <v>349040.18568</v>
      </c>
      <c r="BM236" s="28">
        <f t="shared" si="1110"/>
        <v>337767.55985999998</v>
      </c>
      <c r="BN236" s="28">
        <f t="shared" si="1110"/>
        <v>325427.99658000004</v>
      </c>
      <c r="BO236" s="28">
        <f t="shared" si="1110"/>
        <v>0</v>
      </c>
      <c r="BP236" s="28">
        <f t="shared" si="1110"/>
        <v>0</v>
      </c>
      <c r="BQ236" s="28">
        <f t="shared" si="1110"/>
        <v>3547396.5884799999</v>
      </c>
      <c r="BR236" s="118">
        <f t="shared" si="1006"/>
        <v>0.23103921382262305</v>
      </c>
      <c r="BS236" s="58">
        <f t="shared" ref="BS236:CE236" si="1111">+SUM(BS237:BS239)</f>
        <v>349542.50155657466</v>
      </c>
      <c r="BT236" s="58">
        <f t="shared" si="1111"/>
        <v>336852.67288543552</v>
      </c>
      <c r="BU236" s="58">
        <f t="shared" si="1111"/>
        <v>331073.48711831827</v>
      </c>
      <c r="BV236" s="58">
        <f t="shared" si="1111"/>
        <v>320608.44067663548</v>
      </c>
      <c r="BW236" s="58">
        <f t="shared" si="1111"/>
        <v>312344.3006800618</v>
      </c>
      <c r="BX236" s="58">
        <f t="shared" si="1111"/>
        <v>301775.68283316155</v>
      </c>
      <c r="BY236" s="58">
        <f t="shared" si="1111"/>
        <v>293349.75224180537</v>
      </c>
      <c r="BZ236" s="58">
        <f t="shared" si="1111"/>
        <v>283751.58502267714</v>
      </c>
      <c r="CA236" s="58">
        <f t="shared" si="1111"/>
        <v>273025.61806795053</v>
      </c>
      <c r="CB236" s="58">
        <f t="shared" si="1111"/>
        <v>264352.25858442072</v>
      </c>
      <c r="CC236" s="58">
        <f t="shared" si="1111"/>
        <v>253518.00422447664</v>
      </c>
      <c r="CD236" s="58">
        <f t="shared" si="1111"/>
        <v>244678.12614616426</v>
      </c>
      <c r="CE236" s="58">
        <f t="shared" si="1111"/>
        <v>3564872.4300376824</v>
      </c>
      <c r="CF236" s="22"/>
      <c r="CG236" s="28">
        <f t="shared" ref="CG236:CS236" si="1112">+SUM(CG237:CG239)</f>
        <v>174730.63728000002</v>
      </c>
      <c r="CH236" s="28">
        <f t="shared" si="1112"/>
        <v>164303.58239</v>
      </c>
      <c r="CI236" s="28">
        <f t="shared" si="1112"/>
        <v>161317.70942999999</v>
      </c>
      <c r="CJ236" s="28">
        <f t="shared" si="1112"/>
        <v>289704.62434000004</v>
      </c>
      <c r="CK236" s="28">
        <f t="shared" si="1112"/>
        <v>285323.33601000003</v>
      </c>
      <c r="CL236" s="28">
        <f t="shared" si="1112"/>
        <v>273719.41621</v>
      </c>
      <c r="CM236" s="28">
        <f t="shared" si="1112"/>
        <v>156947.31675</v>
      </c>
      <c r="CN236" s="28">
        <f t="shared" si="1112"/>
        <v>150321.10662000001</v>
      </c>
      <c r="CO236" s="28">
        <f t="shared" si="1112"/>
        <v>143807.34044</v>
      </c>
      <c r="CP236" s="28">
        <f t="shared" si="1112"/>
        <v>144397.77768999999</v>
      </c>
      <c r="CQ236" s="28">
        <f t="shared" si="1112"/>
        <v>319172.44333000004</v>
      </c>
      <c r="CR236" s="28">
        <f t="shared" si="1112"/>
        <v>315474.40481000004</v>
      </c>
      <c r="CS236" s="58">
        <f t="shared" si="1112"/>
        <v>2579219.6952999998</v>
      </c>
      <c r="CT236" s="17" t="str">
        <f t="shared" si="886"/>
        <v xml:space="preserve">Finance Charge </v>
      </c>
      <c r="CU236" s="28">
        <f t="shared" ref="CU236:DG236" si="1113">+SUM(CU237:CU239)</f>
        <v>308445.56232000003</v>
      </c>
      <c r="CV236" s="28">
        <f t="shared" si="1113"/>
        <v>122455.08554999999</v>
      </c>
      <c r="CW236" s="28">
        <f t="shared" si="1113"/>
        <v>265887.53703000001</v>
      </c>
      <c r="CX236" s="28">
        <f t="shared" si="1113"/>
        <v>285482.96664000006</v>
      </c>
      <c r="CY236" s="28">
        <f t="shared" si="1113"/>
        <v>275023.65323</v>
      </c>
      <c r="CZ236" s="28">
        <f t="shared" si="1113"/>
        <v>96396.488369999992</v>
      </c>
      <c r="DA236" s="28">
        <f t="shared" si="1113"/>
        <v>306963.71779999998</v>
      </c>
      <c r="DB236" s="28">
        <f t="shared" si="1113"/>
        <v>295242.03172000003</v>
      </c>
      <c r="DC236" s="28">
        <f t="shared" si="1113"/>
        <v>288975.64869</v>
      </c>
      <c r="DD236" s="28">
        <f t="shared" si="1113"/>
        <v>279841.12656999996</v>
      </c>
      <c r="DE236" s="28">
        <f t="shared" si="1113"/>
        <v>0</v>
      </c>
      <c r="DF236" s="28">
        <f t="shared" si="1113"/>
        <v>0</v>
      </c>
      <c r="DG236" s="28">
        <f t="shared" si="1113"/>
        <v>2524713.8179200008</v>
      </c>
      <c r="DH236" s="118">
        <f t="shared" si="1007"/>
        <v>0.13068975371569139</v>
      </c>
      <c r="DI236" s="28">
        <f t="shared" ref="DI236:DU236" si="1114">+SUM(DI237:DI239)</f>
        <v>313197.07582110027</v>
      </c>
      <c r="DJ236" s="28">
        <f t="shared" si="1114"/>
        <v>296084.96826283808</v>
      </c>
      <c r="DK236" s="28">
        <f t="shared" si="1114"/>
        <v>298904.92447518418</v>
      </c>
      <c r="DL236" s="28">
        <f t="shared" si="1114"/>
        <v>288448.18193763809</v>
      </c>
      <c r="DM236" s="28">
        <f t="shared" si="1114"/>
        <v>284439.32512926793</v>
      </c>
      <c r="DN236" s="28">
        <f t="shared" si="1114"/>
        <v>273977.38902223529</v>
      </c>
      <c r="DO236" s="28">
        <f t="shared" si="1114"/>
        <v>269796.81778335175</v>
      </c>
      <c r="DP236" s="28">
        <f t="shared" si="1114"/>
        <v>262408.30211039365</v>
      </c>
      <c r="DQ236" s="28">
        <f t="shared" si="1114"/>
        <v>251937.24764913123</v>
      </c>
      <c r="DR236" s="28">
        <f t="shared" si="1114"/>
        <v>247495.94276447754</v>
      </c>
      <c r="DS236" s="28">
        <f t="shared" si="1114"/>
        <v>237016.55073372851</v>
      </c>
      <c r="DT236" s="28">
        <f t="shared" si="1114"/>
        <v>232400.37941856132</v>
      </c>
      <c r="DU236" s="58">
        <f t="shared" si="1114"/>
        <v>3256107.1051079081</v>
      </c>
      <c r="DW236" s="28">
        <f t="shared" ref="DW236:EI236" si="1115">+SUM(DW237:DW239)</f>
        <v>0</v>
      </c>
      <c r="DX236" s="28">
        <f t="shared" si="1115"/>
        <v>0</v>
      </c>
      <c r="DY236" s="28">
        <f t="shared" si="1115"/>
        <v>0</v>
      </c>
      <c r="DZ236" s="28">
        <f t="shared" si="1115"/>
        <v>0</v>
      </c>
      <c r="EA236" s="28">
        <f t="shared" si="1115"/>
        <v>0</v>
      </c>
      <c r="EB236" s="28">
        <f t="shared" si="1115"/>
        <v>0</v>
      </c>
      <c r="EC236" s="28">
        <f t="shared" si="1115"/>
        <v>0</v>
      </c>
      <c r="ED236" s="28">
        <f t="shared" si="1115"/>
        <v>0</v>
      </c>
      <c r="EE236" s="28">
        <f t="shared" si="1115"/>
        <v>0</v>
      </c>
      <c r="EF236" s="28">
        <f t="shared" si="1115"/>
        <v>0</v>
      </c>
      <c r="EG236" s="28">
        <f t="shared" si="1115"/>
        <v>0</v>
      </c>
      <c r="EH236" s="28">
        <f t="shared" si="1115"/>
        <v>0</v>
      </c>
      <c r="EI236" s="58">
        <f t="shared" si="1115"/>
        <v>0</v>
      </c>
      <c r="EJ236" s="17" t="str">
        <f t="shared" si="887"/>
        <v xml:space="preserve">Finance Charge </v>
      </c>
      <c r="EK236" s="28">
        <f t="shared" ref="EK236:EW236" si="1116">+SUM(EK237:EK239)</f>
        <v>0</v>
      </c>
      <c r="EL236" s="28">
        <f t="shared" si="1116"/>
        <v>0</v>
      </c>
      <c r="EM236" s="28">
        <f t="shared" si="1116"/>
        <v>0</v>
      </c>
      <c r="EN236" s="28">
        <f t="shared" si="1116"/>
        <v>0</v>
      </c>
      <c r="EO236" s="28">
        <f t="shared" si="1116"/>
        <v>0</v>
      </c>
      <c r="EP236" s="28">
        <f t="shared" si="1116"/>
        <v>0</v>
      </c>
      <c r="EQ236" s="28">
        <f t="shared" si="1116"/>
        <v>0</v>
      </c>
      <c r="ER236" s="28">
        <f t="shared" si="1116"/>
        <v>0</v>
      </c>
      <c r="ES236" s="28">
        <f t="shared" si="1116"/>
        <v>0</v>
      </c>
      <c r="ET236" s="28">
        <f t="shared" si="1116"/>
        <v>0</v>
      </c>
      <c r="EU236" s="28">
        <f t="shared" si="1116"/>
        <v>0</v>
      </c>
      <c r="EV236" s="28">
        <f t="shared" si="1116"/>
        <v>0</v>
      </c>
      <c r="EW236" s="28">
        <f t="shared" si="1116"/>
        <v>0</v>
      </c>
      <c r="EX236" s="118">
        <f t="shared" si="1008"/>
        <v>0</v>
      </c>
      <c r="EY236" s="28">
        <f t="shared" ref="EY236:FK236" si="1117">+SUM(EY237:EY239)</f>
        <v>0</v>
      </c>
      <c r="EZ236" s="28">
        <f t="shared" si="1117"/>
        <v>0</v>
      </c>
      <c r="FA236" s="28">
        <f t="shared" si="1117"/>
        <v>0</v>
      </c>
      <c r="FB236" s="28">
        <f t="shared" si="1117"/>
        <v>0</v>
      </c>
      <c r="FC236" s="28">
        <f t="shared" si="1117"/>
        <v>0</v>
      </c>
      <c r="FD236" s="28">
        <f t="shared" si="1117"/>
        <v>0</v>
      </c>
      <c r="FE236" s="28">
        <f t="shared" si="1117"/>
        <v>0</v>
      </c>
      <c r="FF236" s="28">
        <f t="shared" si="1117"/>
        <v>0</v>
      </c>
      <c r="FG236" s="28">
        <f t="shared" si="1117"/>
        <v>0</v>
      </c>
      <c r="FH236" s="28">
        <f t="shared" si="1117"/>
        <v>0</v>
      </c>
      <c r="FI236" s="28">
        <f t="shared" si="1117"/>
        <v>0</v>
      </c>
      <c r="FJ236" s="28">
        <f t="shared" si="1117"/>
        <v>0</v>
      </c>
      <c r="FK236" s="58">
        <f t="shared" si="1117"/>
        <v>0</v>
      </c>
    </row>
    <row r="237" spans="1:167" ht="14.45" hidden="1" customHeight="1" outlineLevel="1">
      <c r="A237" s="106">
        <f t="shared" ref="A237:L239" si="1118">+AQ237+CG237+DW237</f>
        <v>0</v>
      </c>
      <c r="B237" s="106">
        <f t="shared" si="1118"/>
        <v>9774</v>
      </c>
      <c r="C237" s="106">
        <f t="shared" si="1118"/>
        <v>0</v>
      </c>
      <c r="D237" s="106">
        <f t="shared" si="1118"/>
        <v>318790</v>
      </c>
      <c r="E237" s="106">
        <f t="shared" si="1118"/>
        <v>315261</v>
      </c>
      <c r="F237" s="106">
        <f t="shared" si="1118"/>
        <v>311704</v>
      </c>
      <c r="G237" s="106">
        <f t="shared" si="1118"/>
        <v>308119</v>
      </c>
      <c r="H237" s="106">
        <f t="shared" si="1118"/>
        <v>304506</v>
      </c>
      <c r="I237" s="106">
        <f t="shared" si="1118"/>
        <v>473127</v>
      </c>
      <c r="J237" s="106">
        <f t="shared" si="1118"/>
        <v>463138</v>
      </c>
      <c r="K237" s="106">
        <f t="shared" si="1118"/>
        <v>453075</v>
      </c>
      <c r="L237" s="106">
        <f t="shared" si="1118"/>
        <v>442936</v>
      </c>
      <c r="M237" s="106">
        <f t="shared" ref="M237:M239" si="1119">+SUM(A237:L237)</f>
        <v>3400430</v>
      </c>
      <c r="N237" s="21" t="s">
        <v>196</v>
      </c>
      <c r="O237" s="22">
        <f t="shared" ref="O237:Z239" si="1120">+BE237+CU237+EK237</f>
        <v>432722</v>
      </c>
      <c r="P237" s="22">
        <f t="shared" si="1120"/>
        <v>422432</v>
      </c>
      <c r="Q237" s="22">
        <f t="shared" si="1120"/>
        <v>412065</v>
      </c>
      <c r="R237" s="22">
        <f t="shared" si="1120"/>
        <v>401621</v>
      </c>
      <c r="S237" s="22">
        <f t="shared" si="1120"/>
        <v>391100</v>
      </c>
      <c r="T237" s="22">
        <f t="shared" si="1120"/>
        <v>380501</v>
      </c>
      <c r="U237" s="22">
        <f t="shared" si="1120"/>
        <v>501773</v>
      </c>
      <c r="V237" s="22">
        <f t="shared" si="1120"/>
        <v>486746</v>
      </c>
      <c r="W237" s="22">
        <f t="shared" si="1120"/>
        <v>471610</v>
      </c>
      <c r="X237" s="22">
        <f t="shared" si="1120"/>
        <v>456367</v>
      </c>
      <c r="Y237" s="22">
        <f t="shared" si="1120"/>
        <v>0</v>
      </c>
      <c r="Z237" s="22">
        <f t="shared" si="1120"/>
        <v>0</v>
      </c>
      <c r="AA237" s="22">
        <f t="shared" ref="AA237:AA239" si="1121">+SUM(O237:Z237)</f>
        <v>4356937</v>
      </c>
      <c r="AB237" s="118">
        <f t="shared" si="1005"/>
        <v>0.31055980084023749</v>
      </c>
      <c r="AC237" s="22">
        <f t="shared" ref="AC237:AN239" si="1122">+BS237+DI237+EY237</f>
        <v>442936.16999999993</v>
      </c>
      <c r="AD237" s="22">
        <f t="shared" si="1122"/>
        <v>432722.20999999996</v>
      </c>
      <c r="AE237" s="22">
        <f t="shared" si="1122"/>
        <v>422432.15</v>
      </c>
      <c r="AF237" s="22">
        <f t="shared" si="1122"/>
        <v>412065.43999999994</v>
      </c>
      <c r="AG237" s="22">
        <f t="shared" si="1122"/>
        <v>401621.51</v>
      </c>
      <c r="AH237" s="22">
        <f t="shared" si="1122"/>
        <v>391099.74</v>
      </c>
      <c r="AI237" s="22">
        <f t="shared" si="1122"/>
        <v>380499.6</v>
      </c>
      <c r="AJ237" s="22">
        <f t="shared" si="1122"/>
        <v>369820.49</v>
      </c>
      <c r="AK237" s="22">
        <f t="shared" si="1122"/>
        <v>359061.81</v>
      </c>
      <c r="AL237" s="22">
        <f t="shared" si="1122"/>
        <v>348222.95</v>
      </c>
      <c r="AM237" s="22">
        <f t="shared" si="1122"/>
        <v>337303.35000000003</v>
      </c>
      <c r="AN237" s="22">
        <f t="shared" si="1122"/>
        <v>326302.39999999997</v>
      </c>
      <c r="AO237" s="22">
        <f t="shared" ref="AO237:AO239" si="1123">+SUM(AC237:AN237)</f>
        <v>4624087.82</v>
      </c>
      <c r="AQ237" s="106">
        <v>0</v>
      </c>
      <c r="AR237" s="106">
        <v>5864.4</v>
      </c>
      <c r="AS237" s="106">
        <v>0</v>
      </c>
      <c r="AT237" s="106">
        <v>191274</v>
      </c>
      <c r="AU237" s="106">
        <v>189156.6</v>
      </c>
      <c r="AV237" s="106">
        <v>187022.4</v>
      </c>
      <c r="AW237" s="106">
        <v>308119</v>
      </c>
      <c r="AX237" s="106">
        <v>304506</v>
      </c>
      <c r="AY237" s="106">
        <v>473127</v>
      </c>
      <c r="AZ237" s="106">
        <v>463138</v>
      </c>
      <c r="BA237" s="106">
        <v>271845</v>
      </c>
      <c r="BB237" s="106">
        <v>265761.59999999998</v>
      </c>
      <c r="BC237" s="106">
        <f t="shared" ref="BC237:BC239" si="1124">+SUM(AQ237:BB237)</f>
        <v>2659814</v>
      </c>
      <c r="BD237" s="21" t="s">
        <v>196</v>
      </c>
      <c r="BE237" s="22">
        <f>+VLOOKUP($BD237,'Jan-25'!$A:$J,4,0)</f>
        <v>259633.19999999998</v>
      </c>
      <c r="BF237" s="22">
        <f>+VLOOKUP($BD237,'Feb-25'!$A:$J,4,0)</f>
        <v>422432</v>
      </c>
      <c r="BG237" s="22">
        <f>+VLOOKUP($BD237,'Mar-25'!$A:$J,4,0)</f>
        <v>247239</v>
      </c>
      <c r="BH237" s="22">
        <f>+VLOOKUP($BD237,'Apr-25'!$A:$J,4,0)</f>
        <v>240972.59999999998</v>
      </c>
      <c r="BI237" s="22">
        <f>+VLOOKUP($BD237,'May-25'!$A:$J,4,0)</f>
        <v>234660</v>
      </c>
      <c r="BJ237" s="22">
        <f>+VLOOKUP($BD237,'June-25'!$A:$J,4,0)</f>
        <v>380501</v>
      </c>
      <c r="BK237" s="22">
        <f>+VLOOKUP($BD237,'July-25'!$A:$J,4,0)</f>
        <v>301063.8</v>
      </c>
      <c r="BL237" s="22">
        <f>+VLOOKUP($BD237,'Aug-25'!$A:$J,4,0)</f>
        <v>292047.59999999998</v>
      </c>
      <c r="BM237" s="22">
        <f>+VLOOKUP($BD237,'Sep-25'!$A:$J,4,0)</f>
        <v>282966</v>
      </c>
      <c r="BN237" s="22">
        <f>+VLOOKUP($BD237,'Oct-25'!$A:$J,4,0)</f>
        <v>273820.2</v>
      </c>
      <c r="BO237" s="22">
        <f>+VLOOKUP($BD237,'Nov-25'!$A:$J,4,0)</f>
        <v>0</v>
      </c>
      <c r="BP237" s="22">
        <f>+VLOOKUP($BD237,'Dec-25'!$A:$J,4,0)</f>
        <v>0</v>
      </c>
      <c r="BQ237" s="22">
        <f t="shared" ref="BQ237:BQ239" si="1125">+SUM(BE237:BP237)</f>
        <v>2935335.4</v>
      </c>
      <c r="BR237" s="118">
        <f t="shared" si="1006"/>
        <v>0.31055980084023765</v>
      </c>
      <c r="BS237" s="106">
        <f>+_xlfn.XLOOKUP($BD237,Budget!$A:$A,Budget!AQ:AQ)</f>
        <v>265761.70199999993</v>
      </c>
      <c r="BT237" s="106">
        <f>+_xlfn.XLOOKUP($BD237,Budget!$A:$A,Budget!AR:AR)</f>
        <v>259633.32599999997</v>
      </c>
      <c r="BU237" s="106">
        <f>+_xlfn.XLOOKUP($BD237,Budget!$A:$A,Budget!AS:AS)</f>
        <v>253459.29</v>
      </c>
      <c r="BV237" s="106">
        <f>+_xlfn.XLOOKUP($BD237,Budget!$A:$A,Budget!AT:AT)</f>
        <v>247239.26399999997</v>
      </c>
      <c r="BW237" s="106">
        <f>+_xlfn.XLOOKUP($BD237,Budget!$A:$A,Budget!AU:AU)</f>
        <v>240972.90599999999</v>
      </c>
      <c r="BX237" s="106">
        <f>+_xlfn.XLOOKUP($BD237,Budget!$A:$A,Budget!AV:AV)</f>
        <v>234659.84399999998</v>
      </c>
      <c r="BY237" s="106">
        <f>+_xlfn.XLOOKUP($BD237,Budget!$A:$A,Budget!AW:AW)</f>
        <v>228299.75999999998</v>
      </c>
      <c r="BZ237" s="106">
        <f>+_xlfn.XLOOKUP($BD237,Budget!$A:$A,Budget!AX:AX)</f>
        <v>221892.29399999999</v>
      </c>
      <c r="CA237" s="106">
        <f>+_xlfn.XLOOKUP($BD237,Budget!$A:$A,Budget!AY:AY)</f>
        <v>215437.08599999998</v>
      </c>
      <c r="CB237" s="106">
        <f>+_xlfn.XLOOKUP($BD237,Budget!$A:$A,Budget!AZ:AZ)</f>
        <v>208933.77</v>
      </c>
      <c r="CC237" s="106">
        <f>+_xlfn.XLOOKUP($BD237,Budget!$A:$A,Budget!BA:BA)</f>
        <v>202382.01</v>
      </c>
      <c r="CD237" s="106">
        <f>+_xlfn.XLOOKUP($BD237,Budget!$A:$A,Budget!BB:BB)</f>
        <v>195781.43999999997</v>
      </c>
      <c r="CE237" s="106">
        <f t="shared" ref="CE237:CE239" si="1126">+SUM(BS237:CD237)</f>
        <v>2774452.6920000003</v>
      </c>
      <c r="CF237" s="22"/>
      <c r="CG237" s="22">
        <v>0</v>
      </c>
      <c r="CH237" s="22">
        <v>3909.6</v>
      </c>
      <c r="CI237" s="22">
        <v>0</v>
      </c>
      <c r="CJ237" s="22">
        <v>127516</v>
      </c>
      <c r="CK237" s="22">
        <v>126104.40000000001</v>
      </c>
      <c r="CL237" s="22">
        <v>124681.60000000001</v>
      </c>
      <c r="CM237" s="22">
        <v>0</v>
      </c>
      <c r="CN237" s="22">
        <v>0</v>
      </c>
      <c r="CO237" s="22">
        <v>0</v>
      </c>
      <c r="CP237" s="22">
        <v>0</v>
      </c>
      <c r="CQ237" s="22">
        <v>181230</v>
      </c>
      <c r="CR237" s="22">
        <v>177174.40000000002</v>
      </c>
      <c r="CS237" s="106">
        <f t="shared" ref="CS237:CS239" si="1127">+SUM(CG237:CR237)</f>
        <v>740616</v>
      </c>
      <c r="CT237" s="21" t="s">
        <v>196</v>
      </c>
      <c r="CU237" s="22">
        <f>+VLOOKUP($BD237,'Jan-25'!$A:$J,7,0)</f>
        <v>173088.80000000002</v>
      </c>
      <c r="CV237" s="22">
        <f>+VLOOKUP($BD237,'Feb-25'!$A:$J,7,0)</f>
        <v>0</v>
      </c>
      <c r="CW237" s="22">
        <f>+VLOOKUP($BD237,'Mar-25'!$A:$J,7,0)</f>
        <v>164826</v>
      </c>
      <c r="CX237" s="22">
        <f>+VLOOKUP($BD237,'Apr-25'!$A:$J,7,0)</f>
        <v>160648.40000000002</v>
      </c>
      <c r="CY237" s="22">
        <f>+VLOOKUP($BD237,'May-25'!$A:$J,7,0)</f>
        <v>156440</v>
      </c>
      <c r="CZ237" s="22">
        <f>+VLOOKUP($BD237,'June-25'!$A:$J,7,0)</f>
        <v>0</v>
      </c>
      <c r="DA237" s="22">
        <f>+VLOOKUP($BD237,'July-25'!$A:$J,7,0)</f>
        <v>200709.2</v>
      </c>
      <c r="DB237" s="22">
        <f>+VLOOKUP($BD237,'Aug-25'!$A:$J,7,0)</f>
        <v>194698.40000000002</v>
      </c>
      <c r="DC237" s="22">
        <f>+VLOOKUP($BD237,'Sep-25'!$A:$J,7,0)</f>
        <v>188644</v>
      </c>
      <c r="DD237" s="22">
        <f>+VLOOKUP($BD237,'Oct-25'!$A:$J,7,0)</f>
        <v>182546.80000000002</v>
      </c>
      <c r="DE237" s="22">
        <f>+VLOOKUP($BD237,'Nov-25'!$A:$J,7,0)</f>
        <v>0</v>
      </c>
      <c r="DF237" s="22">
        <f>+VLOOKUP($BD237,'Dec-25'!$A:$J,7,0)</f>
        <v>0</v>
      </c>
      <c r="DG237" s="22">
        <f t="shared" ref="DG237:DG239" si="1128">+SUM(CU237:DF237)</f>
        <v>1421601.6000000003</v>
      </c>
      <c r="DH237" s="118">
        <f t="shared" si="1007"/>
        <v>0.31055980084023749</v>
      </c>
      <c r="DI237" s="22">
        <f>+_xlfn.XLOOKUP($CT237,Budget!$A:$A,Budget!CD:CD)</f>
        <v>177174.46799999999</v>
      </c>
      <c r="DJ237" s="22">
        <f>+_xlfn.XLOOKUP($CT237,Budget!$A:$A,Budget!CE:CE)</f>
        <v>173088.88399999999</v>
      </c>
      <c r="DK237" s="22">
        <f>+_xlfn.XLOOKUP($CT237,Budget!$A:$A,Budget!CF:CF)</f>
        <v>168972.86000000002</v>
      </c>
      <c r="DL237" s="22">
        <f>+_xlfn.XLOOKUP($CT237,Budget!$A:$A,Budget!CG:CG)</f>
        <v>164826.17599999998</v>
      </c>
      <c r="DM237" s="22">
        <f>+_xlfn.XLOOKUP($CT237,Budget!$A:$A,Budget!CH:CH)</f>
        <v>160648.60400000002</v>
      </c>
      <c r="DN237" s="22">
        <f>+_xlfn.XLOOKUP($CT237,Budget!$A:$A,Budget!CI:CI)</f>
        <v>156439.89600000001</v>
      </c>
      <c r="DO237" s="22">
        <f>+_xlfn.XLOOKUP($CT237,Budget!$A:$A,Budget!CJ:CJ)</f>
        <v>152199.84</v>
      </c>
      <c r="DP237" s="22">
        <f>+_xlfn.XLOOKUP($CT237,Budget!$A:$A,Budget!CK:CK)</f>
        <v>147928.196</v>
      </c>
      <c r="DQ237" s="22">
        <f>+_xlfn.XLOOKUP($CT237,Budget!$A:$A,Budget!CL:CL)</f>
        <v>143624.72400000002</v>
      </c>
      <c r="DR237" s="22">
        <f>+_xlfn.XLOOKUP($CT237,Budget!$A:$A,Budget!CM:CM)</f>
        <v>139289.18000000002</v>
      </c>
      <c r="DS237" s="22">
        <f>+_xlfn.XLOOKUP($CT237,Budget!$A:$A,Budget!CN:CN)</f>
        <v>134921.34000000003</v>
      </c>
      <c r="DT237" s="22">
        <f>+_xlfn.XLOOKUP($CT237,Budget!$A:$A,Budget!CO:CO)</f>
        <v>130520.95999999999</v>
      </c>
      <c r="DU237" s="106">
        <f t="shared" ref="DU237:DU239" si="1129">+SUM(DI237:DT237)</f>
        <v>1849635.128</v>
      </c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106">
        <f t="shared" ref="EI237:EI239" si="1130">+SUM(DW237:EH237)</f>
        <v>0</v>
      </c>
      <c r="EJ237" s="21" t="s">
        <v>196</v>
      </c>
      <c r="EK237" s="22">
        <f>+VLOOKUP($BD237,'Jan-25'!$A:$J,9,0)</f>
        <v>0</v>
      </c>
      <c r="EL237" s="22">
        <f>+VLOOKUP($BD237,'Feb-25'!$A:$J,9,0)</f>
        <v>0</v>
      </c>
      <c r="EM237" s="22">
        <f>+VLOOKUP($BD237,'Mar-25'!$A:$J,9,0)</f>
        <v>0</v>
      </c>
      <c r="EN237" s="22">
        <f>+VLOOKUP($BD237,'Apr-25'!$A:$J,9,0)</f>
        <v>0</v>
      </c>
      <c r="EO237" s="22">
        <f>+VLOOKUP($BD237,'May-25'!$A:$J,9,0)</f>
        <v>0</v>
      </c>
      <c r="EP237" s="22">
        <f>+VLOOKUP($BD237,'June-25'!$A:$J,9,0)</f>
        <v>0</v>
      </c>
      <c r="EQ237" s="22">
        <f>+VLOOKUP($BD237,'July-25'!$A:$J,9,0)</f>
        <v>0</v>
      </c>
      <c r="ER237" s="22">
        <f>+VLOOKUP($BD237,'Aug-25'!$A:$J,9,0)</f>
        <v>0</v>
      </c>
      <c r="ES237" s="22">
        <f>+VLOOKUP($BD237,'Sep-25'!$A:$J,9,0)</f>
        <v>0</v>
      </c>
      <c r="ET237" s="22">
        <f>+VLOOKUP($BD237,'Oct-25'!$A:$J,9,0)</f>
        <v>0</v>
      </c>
      <c r="EU237" s="22">
        <f>+VLOOKUP($BD237,'Nov-25'!$A:$J,9,0)</f>
        <v>0</v>
      </c>
      <c r="EV237" s="22">
        <f>+VLOOKUP($BD237,'Dec-25'!$A:$J,9,0)</f>
        <v>0</v>
      </c>
      <c r="EW237" s="22">
        <f t="shared" ref="EW237:EW239" si="1131">+SUM(EK237:EV237)</f>
        <v>0</v>
      </c>
      <c r="EX237" s="118">
        <f t="shared" si="1008"/>
        <v>0</v>
      </c>
      <c r="EY237" s="22">
        <f>+_xlfn.XLOOKUP($EJ237,Budget!$A:$A,Budget!DE:DE)</f>
        <v>0</v>
      </c>
      <c r="EZ237" s="22">
        <f>+_xlfn.XLOOKUP($EJ237,Budget!$A:$A,Budget!DF:DF)</f>
        <v>0</v>
      </c>
      <c r="FA237" s="22">
        <f>+_xlfn.XLOOKUP($EJ237,Budget!$A:$A,Budget!DG:DG)</f>
        <v>0</v>
      </c>
      <c r="FB237" s="22">
        <f>+_xlfn.XLOOKUP($EJ237,Budget!$A:$A,Budget!DH:DH)</f>
        <v>0</v>
      </c>
      <c r="FC237" s="22">
        <f>+_xlfn.XLOOKUP($EJ237,Budget!$A:$A,Budget!DI:DI)</f>
        <v>0</v>
      </c>
      <c r="FD237" s="22">
        <f>+_xlfn.XLOOKUP($EJ237,Budget!$A:$A,Budget!DJ:DJ)</f>
        <v>0</v>
      </c>
      <c r="FE237" s="22">
        <f>+_xlfn.XLOOKUP($EJ237,Budget!$A:$A,Budget!DK:DK)</f>
        <v>0</v>
      </c>
      <c r="FF237" s="22">
        <f>+_xlfn.XLOOKUP($EJ237,Budget!$A:$A,Budget!DL:DL)</f>
        <v>0</v>
      </c>
      <c r="FG237" s="22">
        <f>+_xlfn.XLOOKUP($EJ237,Budget!$A:$A,Budget!DM:DM)</f>
        <v>0</v>
      </c>
      <c r="FH237" s="22">
        <f>+_xlfn.XLOOKUP($EJ237,Budget!$A:$A,Budget!DN:DN)</f>
        <v>0</v>
      </c>
      <c r="FI237" s="22">
        <f>+_xlfn.XLOOKUP($EJ237,Budget!$A:$A,Budget!DO:DO)</f>
        <v>0</v>
      </c>
      <c r="FJ237" s="22">
        <f>+_xlfn.XLOOKUP($EJ237,Budget!$A:$A,Budget!DP:DP)</f>
        <v>0</v>
      </c>
      <c r="FK237" s="106">
        <f t="shared" ref="FK237:FK239" si="1132">+SUM(EY237:FJ237)</f>
        <v>0</v>
      </c>
    </row>
    <row r="238" spans="1:167" ht="14.45" hidden="1" customHeight="1" outlineLevel="1">
      <c r="A238" s="106">
        <f t="shared" si="1118"/>
        <v>166196.63760000002</v>
      </c>
      <c r="B238" s="106">
        <f t="shared" si="1118"/>
        <v>149015.50005</v>
      </c>
      <c r="C238" s="106">
        <f t="shared" si="1118"/>
        <v>152440.49685</v>
      </c>
      <c r="D238" s="106">
        <f t="shared" si="1118"/>
        <v>155809.35029999999</v>
      </c>
      <c r="E238" s="106">
        <f t="shared" si="1118"/>
        <v>154012.62794999999</v>
      </c>
      <c r="F238" s="106">
        <f t="shared" si="1118"/>
        <v>142502.38695000001</v>
      </c>
      <c r="G238" s="106">
        <f t="shared" si="1118"/>
        <v>155416.31624999997</v>
      </c>
      <c r="H238" s="106">
        <f t="shared" si="1118"/>
        <v>148734.7629</v>
      </c>
      <c r="I238" s="106">
        <f t="shared" si="1118"/>
        <v>142221.64980000001</v>
      </c>
      <c r="J238" s="106">
        <f t="shared" si="1118"/>
        <v>145309.76354999997</v>
      </c>
      <c r="K238" s="106">
        <f t="shared" si="1118"/>
        <v>138908.94735</v>
      </c>
      <c r="L238" s="106">
        <f t="shared" si="1118"/>
        <v>141716.32394999999</v>
      </c>
      <c r="M238" s="106">
        <f t="shared" si="1119"/>
        <v>1792284.7634999999</v>
      </c>
      <c r="N238" s="21" t="s">
        <v>197</v>
      </c>
      <c r="O238" s="22">
        <f t="shared" si="1120"/>
        <v>140088.04440000001</v>
      </c>
      <c r="P238" s="22">
        <f t="shared" si="1120"/>
        <v>125040.51224999999</v>
      </c>
      <c r="Q238" s="22">
        <f t="shared" si="1120"/>
        <v>127847.88884999999</v>
      </c>
      <c r="R238" s="22">
        <f t="shared" si="1120"/>
        <v>135432.47880000001</v>
      </c>
      <c r="S238" s="22">
        <f t="shared" si="1120"/>
        <v>129427.81784999999</v>
      </c>
      <c r="T238" s="22">
        <f t="shared" si="1120"/>
        <v>123181.40414999999</v>
      </c>
      <c r="U238" s="22">
        <f t="shared" si="1120"/>
        <v>115239.65100000001</v>
      </c>
      <c r="V238" s="22">
        <f t="shared" si="1120"/>
        <v>109999.21739999999</v>
      </c>
      <c r="W238" s="22">
        <f t="shared" si="1120"/>
        <v>112195.20855000001</v>
      </c>
      <c r="X238" s="22">
        <f t="shared" si="1120"/>
        <v>110598.12315</v>
      </c>
      <c r="Y238" s="22">
        <f t="shared" si="1120"/>
        <v>0</v>
      </c>
      <c r="Z238" s="22">
        <f t="shared" si="1120"/>
        <v>0</v>
      </c>
      <c r="AA238" s="22">
        <f t="shared" si="1121"/>
        <v>1229050.3464000002</v>
      </c>
      <c r="AB238" s="118">
        <f t="shared" si="1005"/>
        <v>-0.11748309277497232</v>
      </c>
      <c r="AC238" s="22">
        <f t="shared" si="1122"/>
        <v>140986.407377675</v>
      </c>
      <c r="AD238" s="22">
        <f t="shared" si="1122"/>
        <v>125770.43114827364</v>
      </c>
      <c r="AE238" s="22">
        <f t="shared" si="1122"/>
        <v>137505.26159350236</v>
      </c>
      <c r="AF238" s="22">
        <f t="shared" si="1122"/>
        <v>131385.1826142736</v>
      </c>
      <c r="AG238" s="22">
        <f t="shared" si="1122"/>
        <v>134024.11580932973</v>
      </c>
      <c r="AH238" s="22">
        <f t="shared" si="1122"/>
        <v>128016.33185539686</v>
      </c>
      <c r="AI238" s="22">
        <f t="shared" si="1122"/>
        <v>130542.97002515712</v>
      </c>
      <c r="AJ238" s="22">
        <f t="shared" si="1122"/>
        <v>128802.39713307083</v>
      </c>
      <c r="AK238" s="22">
        <f t="shared" si="1122"/>
        <v>122963.05571708179</v>
      </c>
      <c r="AL238" s="22">
        <f t="shared" si="1122"/>
        <v>125321.25134889824</v>
      </c>
      <c r="AM238" s="22">
        <f t="shared" si="1122"/>
        <v>119594.2049582051</v>
      </c>
      <c r="AN238" s="22">
        <f t="shared" si="1122"/>
        <v>121840.10556472563</v>
      </c>
      <c r="AO238" s="22">
        <f t="shared" si="1123"/>
        <v>1546751.7151455898</v>
      </c>
      <c r="AQ238" s="106">
        <v>43015.600319999998</v>
      </c>
      <c r="AR238" s="106">
        <v>38568.717660000002</v>
      </c>
      <c r="AS238" s="106">
        <v>39455.187419999995</v>
      </c>
      <c r="AT238" s="106">
        <v>40327.125959999998</v>
      </c>
      <c r="AU238" s="106">
        <v>39862.091939999998</v>
      </c>
      <c r="AV238" s="106">
        <v>36882.970740000004</v>
      </c>
      <c r="AW238" s="106">
        <v>40225.3995</v>
      </c>
      <c r="AX238" s="106">
        <v>38496.056279999997</v>
      </c>
      <c r="AY238" s="106">
        <v>36810.309359999999</v>
      </c>
      <c r="AZ238" s="106">
        <v>37609.585859999992</v>
      </c>
      <c r="BA238" s="106">
        <v>35952.904019999994</v>
      </c>
      <c r="BB238" s="106">
        <v>36679.519139999997</v>
      </c>
      <c r="BC238" s="106">
        <f t="shared" si="1124"/>
        <v>463885.46820000006</v>
      </c>
      <c r="BD238" s="21" t="s">
        <v>197</v>
      </c>
      <c r="BE238" s="22">
        <f>+VLOOKUP($BD238,'Jan-25'!$A:$J,4,0)</f>
        <v>36258.08208</v>
      </c>
      <c r="BF238" s="22">
        <f>+VLOOKUP($BD238,'Feb-25'!$A:$J,4,0)</f>
        <v>32363.4267</v>
      </c>
      <c r="BG238" s="22">
        <f>+VLOOKUP($BD238,'Mar-25'!$A:$J,4,0)</f>
        <v>33090.041819999999</v>
      </c>
      <c r="BH238" s="22">
        <f>+VLOOKUP($BD238,'Apr-25'!$A:$J,4,0)</f>
        <v>35053.112159999997</v>
      </c>
      <c r="BI238" s="22">
        <f>+VLOOKUP($BD238,'May-25'!$A:$J,4,0)</f>
        <v>33498.964619999999</v>
      </c>
      <c r="BJ238" s="22">
        <f>+VLOOKUP($BD238,'June-25'!$A:$J,4,0)</f>
        <v>31882.245779999997</v>
      </c>
      <c r="BK238" s="22">
        <f>+VLOOKUP($BD238,'July-25'!$A:$J,4,0)</f>
        <v>29826.733199999999</v>
      </c>
      <c r="BL238" s="22">
        <f>+VLOOKUP($BD238,'Aug-25'!$A:$J,4,0)</f>
        <v>28470.385679999999</v>
      </c>
      <c r="BM238" s="22">
        <f>+VLOOKUP($BD238,'Sep-25'!$A:$J,4,0)</f>
        <v>29038.759860000002</v>
      </c>
      <c r="BN238" s="22">
        <f>+VLOOKUP($BD238,'Oct-25'!$A:$J,4,0)</f>
        <v>28625.396579999997</v>
      </c>
      <c r="BO238" s="22">
        <f>+VLOOKUP($BD238,'Nov-25'!$A:$J,4,0)</f>
        <v>0</v>
      </c>
      <c r="BP238" s="22">
        <f>+VLOOKUP($BD238,'Dec-25'!$A:$J,4,0)</f>
        <v>0</v>
      </c>
      <c r="BQ238" s="22">
        <f t="shared" si="1125"/>
        <v>318107.14848000003</v>
      </c>
      <c r="BR238" s="118">
        <f t="shared" si="1006"/>
        <v>-0.11748309277497238</v>
      </c>
      <c r="BS238" s="106">
        <f>+_xlfn.XLOOKUP($BD238,Budget!$A:$A,Budget!AQ:AQ)</f>
        <v>36490.5995565747</v>
      </c>
      <c r="BT238" s="106">
        <f>+_xlfn.XLOOKUP($BD238,Budget!$A:$A,Budget!AR:AR)</f>
        <v>32552.346885435527</v>
      </c>
      <c r="BU238" s="106">
        <f>+_xlfn.XLOOKUP($BD238,Budget!$A:$A,Budget!AS:AS)</f>
        <v>35589.597118318263</v>
      </c>
      <c r="BV238" s="106">
        <f>+_xlfn.XLOOKUP($BD238,Budget!$A:$A,Budget!AT:AT)</f>
        <v>34005.576676635515</v>
      </c>
      <c r="BW238" s="106">
        <f>+_xlfn.XLOOKUP($BD238,Budget!$A:$A,Budget!AU:AU)</f>
        <v>34688.594680061811</v>
      </c>
      <c r="BX238" s="106">
        <f>+_xlfn.XLOOKUP($BD238,Budget!$A:$A,Budget!AV:AV)</f>
        <v>33133.638833161538</v>
      </c>
      <c r="BY238" s="106">
        <f>+_xlfn.XLOOKUP($BD238,Budget!$A:$A,Budget!AW:AW)</f>
        <v>33787.592241805367</v>
      </c>
      <c r="BZ238" s="106">
        <f>+_xlfn.XLOOKUP($BD238,Budget!$A:$A,Budget!AX:AX)</f>
        <v>33337.091022677152</v>
      </c>
      <c r="CA238" s="106">
        <f>+_xlfn.XLOOKUP($BD238,Budget!$A:$A,Budget!AY:AY)</f>
        <v>31825.732067950579</v>
      </c>
      <c r="CB238" s="106">
        <f>+_xlfn.XLOOKUP($BD238,Budget!$A:$A,Budget!AZ:AZ)</f>
        <v>32436.088584420719</v>
      </c>
      <c r="CC238" s="106">
        <f>+_xlfn.XLOOKUP($BD238,Budget!$A:$A,Budget!BA:BA)</f>
        <v>30953.794224476613</v>
      </c>
      <c r="CD238" s="106">
        <f>+_xlfn.XLOOKUP($BD238,Budget!$A:$A,Budget!BB:BB)</f>
        <v>31535.086146164278</v>
      </c>
      <c r="CE238" s="106">
        <f t="shared" si="1126"/>
        <v>400335.73803768208</v>
      </c>
      <c r="CF238" s="22"/>
      <c r="CG238" s="22">
        <v>123181.03728</v>
      </c>
      <c r="CH238" s="22">
        <v>110446.78238999999</v>
      </c>
      <c r="CI238" s="22">
        <v>112985.30942999999</v>
      </c>
      <c r="CJ238" s="22">
        <v>115482.22434</v>
      </c>
      <c r="CK238" s="22">
        <v>114150.53601</v>
      </c>
      <c r="CL238" s="22">
        <v>105619.41621</v>
      </c>
      <c r="CM238" s="22">
        <v>115190.91674999999</v>
      </c>
      <c r="CN238" s="22">
        <v>110238.70662</v>
      </c>
      <c r="CO238" s="22">
        <v>105411.34044</v>
      </c>
      <c r="CP238" s="22">
        <v>107700.17768999998</v>
      </c>
      <c r="CQ238" s="22">
        <v>102956.04333</v>
      </c>
      <c r="CR238" s="22">
        <v>105036.80481</v>
      </c>
      <c r="CS238" s="106">
        <f t="shared" si="1127"/>
        <v>1328399.2952999999</v>
      </c>
      <c r="CT238" s="21" t="s">
        <v>197</v>
      </c>
      <c r="CU238" s="22">
        <f>+VLOOKUP($BD238,'Jan-25'!$A:$J,7,0)</f>
        <v>103829.96232000001</v>
      </c>
      <c r="CV238" s="22">
        <f>+VLOOKUP($BD238,'Feb-25'!$A:$J,7,0)</f>
        <v>92677.085549999989</v>
      </c>
      <c r="CW238" s="22">
        <f>+VLOOKUP($BD238,'Mar-25'!$A:$J,7,0)</f>
        <v>94757.84702999999</v>
      </c>
      <c r="CX238" s="22">
        <f>+VLOOKUP($BD238,'Apr-25'!$A:$J,7,0)</f>
        <v>100379.36664000001</v>
      </c>
      <c r="CY238" s="22">
        <f>+VLOOKUP($BD238,'May-25'!$A:$J,7,0)</f>
        <v>95928.853229999993</v>
      </c>
      <c r="CZ238" s="22">
        <f>+VLOOKUP($BD238,'June-25'!$A:$J,7,0)</f>
        <v>91299.15836999999</v>
      </c>
      <c r="DA238" s="22">
        <f>+VLOOKUP($BD238,'July-25'!$A:$J,7,0)</f>
        <v>85412.91780000001</v>
      </c>
      <c r="DB238" s="22">
        <f>+VLOOKUP($BD238,'Aug-25'!$A:$J,7,0)</f>
        <v>81528.831720000002</v>
      </c>
      <c r="DC238" s="22">
        <f>+VLOOKUP($BD238,'Sep-25'!$A:$J,7,0)</f>
        <v>83156.448690000005</v>
      </c>
      <c r="DD238" s="22">
        <f>+VLOOKUP($BD238,'Oct-25'!$A:$J,7,0)</f>
        <v>81972.726569999999</v>
      </c>
      <c r="DE238" s="22">
        <f>+VLOOKUP($BD238,'Nov-25'!$A:$J,7,0)</f>
        <v>0</v>
      </c>
      <c r="DF238" s="22">
        <f>+VLOOKUP($BD238,'Dec-25'!$A:$J,7,0)</f>
        <v>0</v>
      </c>
      <c r="DG238" s="22">
        <f t="shared" si="1128"/>
        <v>910943.19792000018</v>
      </c>
      <c r="DH238" s="118">
        <f t="shared" si="1007"/>
        <v>-0.11748309277497231</v>
      </c>
      <c r="DI238" s="22">
        <f>+_xlfn.XLOOKUP($CT238,Budget!$A:$A,Budget!CD:CD)</f>
        <v>104495.80782110029</v>
      </c>
      <c r="DJ238" s="22">
        <f>+_xlfn.XLOOKUP($CT238,Budget!$A:$A,Budget!CE:CE)</f>
        <v>93218.084262838107</v>
      </c>
      <c r="DK238" s="22">
        <f>+_xlfn.XLOOKUP($CT238,Budget!$A:$A,Budget!CF:CF)</f>
        <v>101915.66447518411</v>
      </c>
      <c r="DL238" s="22">
        <f>+_xlfn.XLOOKUP($CT238,Budget!$A:$A,Budget!CG:CG)</f>
        <v>97379.605937638073</v>
      </c>
      <c r="DM238" s="22">
        <f>+_xlfn.XLOOKUP($CT238,Budget!$A:$A,Budget!CH:CH)</f>
        <v>99335.521129267901</v>
      </c>
      <c r="DN238" s="22">
        <f>+_xlfn.XLOOKUP($CT238,Budget!$A:$A,Budget!CI:CI)</f>
        <v>94882.693022235311</v>
      </c>
      <c r="DO238" s="22">
        <f>+_xlfn.XLOOKUP($CT238,Budget!$A:$A,Budget!CJ:CJ)</f>
        <v>96755.377783351752</v>
      </c>
      <c r="DP238" s="22">
        <f>+_xlfn.XLOOKUP($CT238,Budget!$A:$A,Budget!CK:CK)</f>
        <v>95465.306110393678</v>
      </c>
      <c r="DQ238" s="22">
        <f>+_xlfn.XLOOKUP($CT238,Budget!$A:$A,Budget!CL:CL)</f>
        <v>91137.323649131213</v>
      </c>
      <c r="DR238" s="22">
        <f>+_xlfn.XLOOKUP($CT238,Budget!$A:$A,Budget!CM:CM)</f>
        <v>92885.162764477514</v>
      </c>
      <c r="DS238" s="22">
        <f>+_xlfn.XLOOKUP($CT238,Budget!$A:$A,Budget!CN:CN)</f>
        <v>88640.41073372848</v>
      </c>
      <c r="DT238" s="22">
        <f>+_xlfn.XLOOKUP($CT238,Budget!$A:$A,Budget!CO:CO)</f>
        <v>90305.019418561351</v>
      </c>
      <c r="DU238" s="106">
        <f t="shared" si="1129"/>
        <v>1146415.9771079079</v>
      </c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106">
        <f t="shared" si="1130"/>
        <v>0</v>
      </c>
      <c r="EJ238" s="21" t="s">
        <v>197</v>
      </c>
      <c r="EK238" s="22">
        <f>+VLOOKUP($BD238,'Jan-25'!$A:$J,9,0)</f>
        <v>0</v>
      </c>
      <c r="EL238" s="22">
        <f>+VLOOKUP($BD238,'Feb-25'!$A:$J,9,0)</f>
        <v>0</v>
      </c>
      <c r="EM238" s="22">
        <f>+VLOOKUP($BD238,'Mar-25'!$A:$J,9,0)</f>
        <v>0</v>
      </c>
      <c r="EN238" s="22">
        <f>+VLOOKUP($BD238,'Apr-25'!$A:$J,9,0)</f>
        <v>0</v>
      </c>
      <c r="EO238" s="22">
        <f>+VLOOKUP($BD238,'May-25'!$A:$J,9,0)</f>
        <v>0</v>
      </c>
      <c r="EP238" s="22">
        <f>+VLOOKUP($BD238,'June-25'!$A:$J,9,0)</f>
        <v>0</v>
      </c>
      <c r="EQ238" s="22">
        <f>+VLOOKUP($BD238,'July-25'!$A:$J,9,0)</f>
        <v>0</v>
      </c>
      <c r="ER238" s="22">
        <f>+VLOOKUP($BD238,'Aug-25'!$A:$J,9,0)</f>
        <v>0</v>
      </c>
      <c r="ES238" s="22">
        <f>+VLOOKUP($BD238,'Sep-25'!$A:$J,9,0)</f>
        <v>0</v>
      </c>
      <c r="ET238" s="22">
        <f>+VLOOKUP($BD238,'Oct-25'!$A:$J,9,0)</f>
        <v>0</v>
      </c>
      <c r="EU238" s="22">
        <f>+VLOOKUP($BD238,'Nov-25'!$A:$J,9,0)</f>
        <v>0</v>
      </c>
      <c r="EV238" s="22">
        <f>+VLOOKUP($BD238,'Dec-25'!$A:$J,9,0)</f>
        <v>0</v>
      </c>
      <c r="EW238" s="22">
        <f t="shared" si="1131"/>
        <v>0</v>
      </c>
      <c r="EX238" s="118">
        <f t="shared" si="1008"/>
        <v>0</v>
      </c>
      <c r="EY238" s="22">
        <f>+_xlfn.XLOOKUP($EJ238,Budget!$A:$A,Budget!DE:DE)</f>
        <v>0</v>
      </c>
      <c r="EZ238" s="22">
        <f>+_xlfn.XLOOKUP($EJ238,Budget!$A:$A,Budget!DF:DF)</f>
        <v>0</v>
      </c>
      <c r="FA238" s="22">
        <f>+_xlfn.XLOOKUP($EJ238,Budget!$A:$A,Budget!DG:DG)</f>
        <v>0</v>
      </c>
      <c r="FB238" s="22">
        <f>+_xlfn.XLOOKUP($EJ238,Budget!$A:$A,Budget!DH:DH)</f>
        <v>0</v>
      </c>
      <c r="FC238" s="22">
        <f>+_xlfn.XLOOKUP($EJ238,Budget!$A:$A,Budget!DI:DI)</f>
        <v>0</v>
      </c>
      <c r="FD238" s="22">
        <f>+_xlfn.XLOOKUP($EJ238,Budget!$A:$A,Budget!DJ:DJ)</f>
        <v>0</v>
      </c>
      <c r="FE238" s="22">
        <f>+_xlfn.XLOOKUP($EJ238,Budget!$A:$A,Budget!DK:DK)</f>
        <v>0</v>
      </c>
      <c r="FF238" s="22">
        <f>+_xlfn.XLOOKUP($EJ238,Budget!$A:$A,Budget!DL:DL)</f>
        <v>0</v>
      </c>
      <c r="FG238" s="22">
        <f>+_xlfn.XLOOKUP($EJ238,Budget!$A:$A,Budget!DM:DM)</f>
        <v>0</v>
      </c>
      <c r="FH238" s="22">
        <f>+_xlfn.XLOOKUP($EJ238,Budget!$A:$A,Budget!DN:DN)</f>
        <v>0</v>
      </c>
      <c r="FI238" s="22">
        <f>+_xlfn.XLOOKUP($EJ238,Budget!$A:$A,Budget!DO:DO)</f>
        <v>0</v>
      </c>
      <c r="FJ238" s="22">
        <f>+_xlfn.XLOOKUP($EJ238,Budget!$A:$A,Budget!DP:DP)</f>
        <v>0</v>
      </c>
      <c r="FK238" s="106">
        <f t="shared" si="1132"/>
        <v>0</v>
      </c>
    </row>
    <row r="239" spans="1:167" ht="14.45" hidden="1" customHeight="1" outlineLevel="1">
      <c r="A239" s="106">
        <f t="shared" si="1118"/>
        <v>128874</v>
      </c>
      <c r="B239" s="106">
        <f t="shared" si="1118"/>
        <v>124868</v>
      </c>
      <c r="C239" s="106">
        <f t="shared" si="1118"/>
        <v>120831</v>
      </c>
      <c r="D239" s="106">
        <f t="shared" si="1118"/>
        <v>116766</v>
      </c>
      <c r="E239" s="106">
        <f t="shared" si="1118"/>
        <v>112671</v>
      </c>
      <c r="F239" s="106">
        <f t="shared" si="1118"/>
        <v>108546</v>
      </c>
      <c r="G239" s="106">
        <f t="shared" si="1118"/>
        <v>104391</v>
      </c>
      <c r="H239" s="106">
        <f t="shared" si="1118"/>
        <v>100206</v>
      </c>
      <c r="I239" s="106">
        <f t="shared" si="1118"/>
        <v>95990</v>
      </c>
      <c r="J239" s="106">
        <f t="shared" si="1118"/>
        <v>91744</v>
      </c>
      <c r="K239" s="106">
        <f t="shared" si="1118"/>
        <v>87466</v>
      </c>
      <c r="L239" s="106">
        <f t="shared" si="1118"/>
        <v>83158</v>
      </c>
      <c r="M239" s="106">
        <f t="shared" si="1119"/>
        <v>1275511</v>
      </c>
      <c r="N239" s="21" t="s">
        <v>198</v>
      </c>
      <c r="O239" s="22">
        <f t="shared" si="1120"/>
        <v>78817</v>
      </c>
      <c r="P239" s="22">
        <f t="shared" si="1120"/>
        <v>74445</v>
      </c>
      <c r="Q239" s="22">
        <f t="shared" si="1120"/>
        <v>18911.07</v>
      </c>
      <c r="R239" s="22">
        <f t="shared" si="1120"/>
        <v>61138</v>
      </c>
      <c r="S239" s="22">
        <f t="shared" si="1120"/>
        <v>56637</v>
      </c>
      <c r="T239" s="22">
        <f t="shared" si="1120"/>
        <v>15291.989999999998</v>
      </c>
      <c r="U239" s="22">
        <f t="shared" si="1120"/>
        <v>52104</v>
      </c>
      <c r="V239" s="22">
        <f t="shared" si="1120"/>
        <v>47537</v>
      </c>
      <c r="W239" s="22">
        <f t="shared" si="1120"/>
        <v>42938</v>
      </c>
      <c r="X239" s="22">
        <f t="shared" si="1120"/>
        <v>38304</v>
      </c>
      <c r="Y239" s="22">
        <f t="shared" si="1120"/>
        <v>0</v>
      </c>
      <c r="Z239" s="22">
        <f t="shared" si="1120"/>
        <v>0</v>
      </c>
      <c r="AA239" s="22">
        <f t="shared" si="1121"/>
        <v>486123.06</v>
      </c>
      <c r="AB239" s="118">
        <f t="shared" si="1005"/>
        <v>0</v>
      </c>
      <c r="AC239" s="22">
        <f t="shared" si="1122"/>
        <v>78817</v>
      </c>
      <c r="AD239" s="22">
        <f t="shared" si="1122"/>
        <v>74445</v>
      </c>
      <c r="AE239" s="22">
        <f t="shared" si="1122"/>
        <v>70041</v>
      </c>
      <c r="AF239" s="22">
        <f t="shared" si="1122"/>
        <v>65606</v>
      </c>
      <c r="AG239" s="22">
        <f t="shared" si="1122"/>
        <v>61137.999999999993</v>
      </c>
      <c r="AH239" s="22">
        <f t="shared" si="1122"/>
        <v>56637</v>
      </c>
      <c r="AI239" s="22">
        <f t="shared" si="1122"/>
        <v>52104</v>
      </c>
      <c r="AJ239" s="22">
        <f t="shared" si="1122"/>
        <v>47537</v>
      </c>
      <c r="AK239" s="22">
        <f t="shared" si="1122"/>
        <v>42938</v>
      </c>
      <c r="AL239" s="22">
        <f t="shared" si="1122"/>
        <v>38304</v>
      </c>
      <c r="AM239" s="22">
        <f t="shared" si="1122"/>
        <v>33637</v>
      </c>
      <c r="AN239" s="22">
        <f t="shared" si="1122"/>
        <v>28936</v>
      </c>
      <c r="AO239" s="22">
        <f t="shared" si="1123"/>
        <v>650140</v>
      </c>
      <c r="AQ239" s="106">
        <v>77324.399999999994</v>
      </c>
      <c r="AR239" s="106">
        <v>74920.800000000003</v>
      </c>
      <c r="AS239" s="106">
        <v>72498.599999999991</v>
      </c>
      <c r="AT239" s="106">
        <v>70059.599999999991</v>
      </c>
      <c r="AU239" s="106">
        <v>67602.599999999991</v>
      </c>
      <c r="AV239" s="106">
        <v>65127.6</v>
      </c>
      <c r="AW239" s="106">
        <v>62634.6</v>
      </c>
      <c r="AX239" s="106">
        <v>60123.6</v>
      </c>
      <c r="AY239" s="106">
        <v>57594</v>
      </c>
      <c r="AZ239" s="106">
        <v>55046.400000000001</v>
      </c>
      <c r="BA239" s="106">
        <v>52479.6</v>
      </c>
      <c r="BB239" s="106">
        <v>49894.799999999996</v>
      </c>
      <c r="BC239" s="106">
        <f t="shared" si="1124"/>
        <v>765306.6</v>
      </c>
      <c r="BD239" s="21" t="s">
        <v>198</v>
      </c>
      <c r="BE239" s="22">
        <f>+VLOOKUP($BD239,'Jan-25'!$A:$J,4,0)</f>
        <v>47290.2</v>
      </c>
      <c r="BF239" s="22">
        <f>+VLOOKUP($BD239,'Feb-25'!$A:$J,4,0)</f>
        <v>44667</v>
      </c>
      <c r="BG239" s="22">
        <f>+VLOOKUP($BD239,'Mar-25'!$A:$J,4,0)</f>
        <v>12607.38</v>
      </c>
      <c r="BH239" s="22">
        <f>+VLOOKUP($BD239,'Apr-25'!$A:$J,4,0)</f>
        <v>36682.799999999996</v>
      </c>
      <c r="BI239" s="22">
        <f>+VLOOKUP($BD239,'May-25'!$A:$J,4,0)</f>
        <v>33982.199999999997</v>
      </c>
      <c r="BJ239" s="22">
        <f>+VLOOKUP($BD239,'June-25'!$A:$J,4,0)</f>
        <v>10194.659999999998</v>
      </c>
      <c r="BK239" s="22">
        <f>+VLOOKUP($BD239,'July-25'!$A:$J,4,0)</f>
        <v>31262.399999999998</v>
      </c>
      <c r="BL239" s="22">
        <f>+VLOOKUP($BD239,'Aug-25'!$A:$J,4,0)</f>
        <v>28522.2</v>
      </c>
      <c r="BM239" s="22">
        <f>+VLOOKUP($BD239,'Sep-25'!$A:$J,4,0)</f>
        <v>25762.799999999999</v>
      </c>
      <c r="BN239" s="22">
        <f>+VLOOKUP($BD239,'Oct-25'!$A:$J,4,0)</f>
        <v>22982.399999999998</v>
      </c>
      <c r="BO239" s="22">
        <f>+VLOOKUP($BD239,'Nov-25'!$A:$J,4,0)</f>
        <v>0</v>
      </c>
      <c r="BP239" s="22">
        <f>+VLOOKUP($BD239,'Dec-25'!$A:$J,4,0)</f>
        <v>0</v>
      </c>
      <c r="BQ239" s="22">
        <f t="shared" si="1125"/>
        <v>293954.04000000004</v>
      </c>
      <c r="BR239" s="118">
        <f t="shared" si="1006"/>
        <v>0</v>
      </c>
      <c r="BS239" s="106">
        <f>+_xlfn.XLOOKUP($BD239,Budget!$A:$A,Budget!AQ:AQ)</f>
        <v>47290.2</v>
      </c>
      <c r="BT239" s="106">
        <f>+_xlfn.XLOOKUP($BD239,Budget!$A:$A,Budget!AR:AR)</f>
        <v>44667</v>
      </c>
      <c r="BU239" s="106">
        <f>+_xlfn.XLOOKUP($BD239,Budget!$A:$A,Budget!AS:AS)</f>
        <v>42024.6</v>
      </c>
      <c r="BV239" s="106">
        <f>+_xlfn.XLOOKUP($BD239,Budget!$A:$A,Budget!AT:AT)</f>
        <v>39363.599999999999</v>
      </c>
      <c r="BW239" s="106">
        <f>+_xlfn.XLOOKUP($BD239,Budget!$A:$A,Budget!AU:AU)</f>
        <v>36682.799999999996</v>
      </c>
      <c r="BX239" s="106">
        <f>+_xlfn.XLOOKUP($BD239,Budget!$A:$A,Budget!AV:AV)</f>
        <v>33982.199999999997</v>
      </c>
      <c r="BY239" s="106">
        <f>+_xlfn.XLOOKUP($BD239,Budget!$A:$A,Budget!AW:AW)</f>
        <v>31262.399999999998</v>
      </c>
      <c r="BZ239" s="106">
        <f>+_xlfn.XLOOKUP($BD239,Budget!$A:$A,Budget!AX:AX)</f>
        <v>28522.2</v>
      </c>
      <c r="CA239" s="106">
        <f>+_xlfn.XLOOKUP($BD239,Budget!$A:$A,Budget!AY:AY)</f>
        <v>25762.799999999999</v>
      </c>
      <c r="CB239" s="106">
        <f>+_xlfn.XLOOKUP($BD239,Budget!$A:$A,Budget!AZ:AZ)</f>
        <v>22982.399999999998</v>
      </c>
      <c r="CC239" s="106">
        <f>+_xlfn.XLOOKUP($BD239,Budget!$A:$A,Budget!BA:BA)</f>
        <v>20182.2</v>
      </c>
      <c r="CD239" s="106">
        <f>+_xlfn.XLOOKUP($BD239,Budget!$A:$A,Budget!BB:BB)</f>
        <v>17361.599999999999</v>
      </c>
      <c r="CE239" s="106">
        <f t="shared" si="1126"/>
        <v>390084</v>
      </c>
      <c r="CF239" s="22"/>
      <c r="CG239" s="22">
        <v>51549.600000000006</v>
      </c>
      <c r="CH239" s="22">
        <v>49947.200000000004</v>
      </c>
      <c r="CI239" s="22">
        <v>48332.4</v>
      </c>
      <c r="CJ239" s="22">
        <v>46706.400000000001</v>
      </c>
      <c r="CK239" s="22">
        <v>45068.4</v>
      </c>
      <c r="CL239" s="22">
        <v>43418.400000000001</v>
      </c>
      <c r="CM239" s="22">
        <v>41756.400000000001</v>
      </c>
      <c r="CN239" s="22">
        <v>40082.400000000001</v>
      </c>
      <c r="CO239" s="22">
        <v>38396</v>
      </c>
      <c r="CP239" s="22">
        <v>36697.599999999999</v>
      </c>
      <c r="CQ239" s="22">
        <v>34986.400000000001</v>
      </c>
      <c r="CR239" s="22">
        <v>33263.200000000004</v>
      </c>
      <c r="CS239" s="106">
        <f t="shared" si="1127"/>
        <v>510204.40000000008</v>
      </c>
      <c r="CT239" s="21" t="s">
        <v>198</v>
      </c>
      <c r="CU239" s="22">
        <f>+VLOOKUP($BD239,'Jan-25'!$A:$J,7,0)</f>
        <v>31526.800000000003</v>
      </c>
      <c r="CV239" s="22">
        <f>+VLOOKUP($BD239,'Feb-25'!$A:$J,7,0)</f>
        <v>29778</v>
      </c>
      <c r="CW239" s="22">
        <f>+VLOOKUP($BD239,'Mar-25'!$A:$J,7,0)</f>
        <v>6303.69</v>
      </c>
      <c r="CX239" s="22">
        <f>+VLOOKUP($BD239,'Apr-25'!$A:$J,7,0)</f>
        <v>24455.200000000001</v>
      </c>
      <c r="CY239" s="22">
        <f>+VLOOKUP($BD239,'May-25'!$A:$J,7,0)</f>
        <v>22654.800000000003</v>
      </c>
      <c r="CZ239" s="22">
        <f>+VLOOKUP($BD239,'June-25'!$A:$J,7,0)</f>
        <v>5097.329999999999</v>
      </c>
      <c r="DA239" s="22">
        <f>+VLOOKUP($BD239,'July-25'!$A:$J,7,0)</f>
        <v>20841.600000000002</v>
      </c>
      <c r="DB239" s="22">
        <f>+VLOOKUP($BD239,'Aug-25'!$A:$J,7,0)</f>
        <v>19014.8</v>
      </c>
      <c r="DC239" s="22">
        <f>+VLOOKUP($BD239,'Sep-25'!$A:$J,7,0)</f>
        <v>17175.2</v>
      </c>
      <c r="DD239" s="22">
        <f>+VLOOKUP($BD239,'Oct-25'!$A:$J,7,0)</f>
        <v>15321.6</v>
      </c>
      <c r="DE239" s="22">
        <f>+VLOOKUP($BD239,'Nov-25'!$A:$J,7,0)</f>
        <v>0</v>
      </c>
      <c r="DF239" s="22">
        <f>+VLOOKUP($BD239,'Dec-25'!$A:$J,7,0)</f>
        <v>0</v>
      </c>
      <c r="DG239" s="22">
        <f t="shared" si="1128"/>
        <v>192169.02000000002</v>
      </c>
      <c r="DH239" s="118">
        <f t="shared" si="1007"/>
        <v>0</v>
      </c>
      <c r="DI239" s="22">
        <f>+_xlfn.XLOOKUP($CT239,Budget!$A:$A,Budget!CD:CD)</f>
        <v>31526.800000000003</v>
      </c>
      <c r="DJ239" s="22">
        <f>+_xlfn.XLOOKUP($CT239,Budget!$A:$A,Budget!CE:CE)</f>
        <v>29778</v>
      </c>
      <c r="DK239" s="22">
        <f>+_xlfn.XLOOKUP($CT239,Budget!$A:$A,Budget!CF:CF)</f>
        <v>28016.400000000001</v>
      </c>
      <c r="DL239" s="22">
        <f>+_xlfn.XLOOKUP($CT239,Budget!$A:$A,Budget!CG:CG)</f>
        <v>26242.400000000001</v>
      </c>
      <c r="DM239" s="22">
        <f>+_xlfn.XLOOKUP($CT239,Budget!$A:$A,Budget!CH:CH)</f>
        <v>24455.199999999997</v>
      </c>
      <c r="DN239" s="22">
        <f>+_xlfn.XLOOKUP($CT239,Budget!$A:$A,Budget!CI:CI)</f>
        <v>22654.800000000003</v>
      </c>
      <c r="DO239" s="22">
        <f>+_xlfn.XLOOKUP($CT239,Budget!$A:$A,Budget!CJ:CJ)</f>
        <v>20841.600000000002</v>
      </c>
      <c r="DP239" s="22">
        <f>+_xlfn.XLOOKUP($CT239,Budget!$A:$A,Budget!CK:CK)</f>
        <v>19014.8</v>
      </c>
      <c r="DQ239" s="22">
        <f>+_xlfn.XLOOKUP($CT239,Budget!$A:$A,Budget!CL:CL)</f>
        <v>17175.2</v>
      </c>
      <c r="DR239" s="22">
        <f>+_xlfn.XLOOKUP($CT239,Budget!$A:$A,Budget!CM:CM)</f>
        <v>15321.6</v>
      </c>
      <c r="DS239" s="22">
        <f>+_xlfn.XLOOKUP($CT239,Budget!$A:$A,Budget!CN:CN)</f>
        <v>13454.800000000001</v>
      </c>
      <c r="DT239" s="22">
        <f>+_xlfn.XLOOKUP($CT239,Budget!$A:$A,Budget!CO:CO)</f>
        <v>11574.400000000001</v>
      </c>
      <c r="DU239" s="106">
        <f t="shared" si="1129"/>
        <v>260055.99999999997</v>
      </c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106">
        <f t="shared" si="1130"/>
        <v>0</v>
      </c>
      <c r="EJ239" s="21" t="s">
        <v>198</v>
      </c>
      <c r="EK239" s="22">
        <f>+VLOOKUP($BD239,'Jan-25'!$A:$J,9,0)</f>
        <v>0</v>
      </c>
      <c r="EL239" s="22">
        <f>+VLOOKUP($BD239,'Feb-25'!$A:$J,9,0)</f>
        <v>0</v>
      </c>
      <c r="EM239" s="22">
        <f>+VLOOKUP($BD239,'Mar-25'!$A:$J,9,0)</f>
        <v>0</v>
      </c>
      <c r="EN239" s="22">
        <f>+VLOOKUP($BD239,'Apr-25'!$A:$J,9,0)</f>
        <v>0</v>
      </c>
      <c r="EO239" s="22">
        <f>+VLOOKUP($BD239,'May-25'!$A:$J,9,0)</f>
        <v>0</v>
      </c>
      <c r="EP239" s="22">
        <f>+VLOOKUP($BD239,'June-25'!$A:$J,9,0)</f>
        <v>0</v>
      </c>
      <c r="EQ239" s="22">
        <f>+VLOOKUP($BD239,'July-25'!$A:$J,9,0)</f>
        <v>0</v>
      </c>
      <c r="ER239" s="22">
        <f>+VLOOKUP($BD239,'Aug-25'!$A:$J,9,0)</f>
        <v>0</v>
      </c>
      <c r="ES239" s="22">
        <f>+VLOOKUP($BD239,'Sep-25'!$A:$J,9,0)</f>
        <v>0</v>
      </c>
      <c r="ET239" s="22">
        <f>+VLOOKUP($BD239,'Oct-25'!$A:$J,9,0)</f>
        <v>0</v>
      </c>
      <c r="EU239" s="22">
        <f>+VLOOKUP($BD239,'Nov-25'!$A:$J,9,0)</f>
        <v>0</v>
      </c>
      <c r="EV239" s="22">
        <f>+VLOOKUP($BD239,'Dec-25'!$A:$J,9,0)</f>
        <v>0</v>
      </c>
      <c r="EW239" s="22">
        <f t="shared" si="1131"/>
        <v>0</v>
      </c>
      <c r="EX239" s="118">
        <f t="shared" si="1008"/>
        <v>0</v>
      </c>
      <c r="EY239" s="22">
        <f>+_xlfn.XLOOKUP($EJ239,Budget!$A:$A,Budget!DE:DE)</f>
        <v>0</v>
      </c>
      <c r="EZ239" s="22">
        <f>+_xlfn.XLOOKUP($EJ239,Budget!$A:$A,Budget!DF:DF)</f>
        <v>0</v>
      </c>
      <c r="FA239" s="22">
        <f>+_xlfn.XLOOKUP($EJ239,Budget!$A:$A,Budget!DG:DG)</f>
        <v>0</v>
      </c>
      <c r="FB239" s="22">
        <f>+_xlfn.XLOOKUP($EJ239,Budget!$A:$A,Budget!DH:DH)</f>
        <v>0</v>
      </c>
      <c r="FC239" s="22">
        <f>+_xlfn.XLOOKUP($EJ239,Budget!$A:$A,Budget!DI:DI)</f>
        <v>0</v>
      </c>
      <c r="FD239" s="22">
        <f>+_xlfn.XLOOKUP($EJ239,Budget!$A:$A,Budget!DJ:DJ)</f>
        <v>0</v>
      </c>
      <c r="FE239" s="22">
        <f>+_xlfn.XLOOKUP($EJ239,Budget!$A:$A,Budget!DK:DK)</f>
        <v>0</v>
      </c>
      <c r="FF239" s="22">
        <f>+_xlfn.XLOOKUP($EJ239,Budget!$A:$A,Budget!DL:DL)</f>
        <v>0</v>
      </c>
      <c r="FG239" s="22">
        <f>+_xlfn.XLOOKUP($EJ239,Budget!$A:$A,Budget!DM:DM)</f>
        <v>0</v>
      </c>
      <c r="FH239" s="22">
        <f>+_xlfn.XLOOKUP($EJ239,Budget!$A:$A,Budget!DN:DN)</f>
        <v>0</v>
      </c>
      <c r="FI239" s="22">
        <f>+_xlfn.XLOOKUP($EJ239,Budget!$A:$A,Budget!DO:DO)</f>
        <v>0</v>
      </c>
      <c r="FJ239" s="22">
        <f>+_xlfn.XLOOKUP($EJ239,Budget!$A:$A,Budget!DP:DP)</f>
        <v>0</v>
      </c>
      <c r="FK239" s="106">
        <f t="shared" si="1132"/>
        <v>0</v>
      </c>
    </row>
    <row r="240" spans="1:167" ht="14.45" hidden="1" customHeight="1" outlineLevel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6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118">
        <f t="shared" si="1005"/>
        <v>0</v>
      </c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Q240" s="106">
        <v>0</v>
      </c>
      <c r="AR240" s="106">
        <v>0</v>
      </c>
      <c r="AS240" s="106">
        <v>0</v>
      </c>
      <c r="AT240" s="106">
        <v>0</v>
      </c>
      <c r="AU240" s="106">
        <v>0</v>
      </c>
      <c r="AV240" s="106">
        <v>0</v>
      </c>
      <c r="AW240" s="106">
        <v>0</v>
      </c>
      <c r="AX240" s="106">
        <v>0</v>
      </c>
      <c r="AY240" s="106">
        <v>0</v>
      </c>
      <c r="AZ240" s="106">
        <v>0</v>
      </c>
      <c r="BA240" s="106">
        <v>0</v>
      </c>
      <c r="BB240" s="106">
        <v>0</v>
      </c>
      <c r="BC240" s="106"/>
      <c r="BD240" s="16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118">
        <f t="shared" si="1006"/>
        <v>0</v>
      </c>
      <c r="BS240" s="106"/>
      <c r="BT240" s="106"/>
      <c r="BU240" s="106"/>
      <c r="BV240" s="106"/>
      <c r="BW240" s="106"/>
      <c r="BX240" s="106"/>
      <c r="BY240" s="106"/>
      <c r="BZ240" s="106"/>
      <c r="CA240" s="106"/>
      <c r="CB240" s="106"/>
      <c r="CC240" s="106"/>
      <c r="CD240" s="106"/>
      <c r="CE240" s="106"/>
      <c r="CF240" s="22"/>
      <c r="CG240" s="22">
        <v>0</v>
      </c>
      <c r="CH240" s="22">
        <v>0</v>
      </c>
      <c r="CI240" s="22">
        <v>0</v>
      </c>
      <c r="CJ240" s="22">
        <v>0</v>
      </c>
      <c r="CK240" s="22">
        <v>0</v>
      </c>
      <c r="CL240" s="22">
        <v>0</v>
      </c>
      <c r="CM240" s="22">
        <v>0</v>
      </c>
      <c r="CN240" s="22">
        <v>0</v>
      </c>
      <c r="CO240" s="22">
        <v>0</v>
      </c>
      <c r="CP240" s="22">
        <v>0</v>
      </c>
      <c r="CQ240" s="22">
        <v>0</v>
      </c>
      <c r="CR240" s="22">
        <v>0</v>
      </c>
      <c r="CS240" s="106"/>
      <c r="CT240" s="16">
        <f t="shared" si="886"/>
        <v>0</v>
      </c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118">
        <f t="shared" si="1007"/>
        <v>0</v>
      </c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106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106"/>
      <c r="EJ240" s="16">
        <f t="shared" ref="EJ240:EJ250" si="1133">CT240</f>
        <v>0</v>
      </c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118">
        <f t="shared" si="1008"/>
        <v>0</v>
      </c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106"/>
    </row>
    <row r="241" spans="1:167" ht="14.45" customHeight="1" collapsed="1">
      <c r="A241" s="58">
        <f t="shared" ref="A241:M241" si="1134">+SUM(A242:A247)</f>
        <v>973932.88973214291</v>
      </c>
      <c r="B241" s="58">
        <f t="shared" si="1134"/>
        <v>973932.88973214291</v>
      </c>
      <c r="C241" s="58">
        <f t="shared" si="1134"/>
        <v>973932.88973214291</v>
      </c>
      <c r="D241" s="58">
        <f t="shared" si="1134"/>
        <v>973932.88973214291</v>
      </c>
      <c r="E241" s="58">
        <f t="shared" si="1134"/>
        <v>973932.88973214291</v>
      </c>
      <c r="F241" s="58">
        <f t="shared" si="1134"/>
        <v>973932.88973214291</v>
      </c>
      <c r="G241" s="58">
        <f t="shared" si="1134"/>
        <v>973932.88973214291</v>
      </c>
      <c r="H241" s="58">
        <f t="shared" si="1134"/>
        <v>973932.88973214291</v>
      </c>
      <c r="I241" s="58">
        <f t="shared" si="1134"/>
        <v>973932.88973214291</v>
      </c>
      <c r="J241" s="58">
        <f t="shared" si="1134"/>
        <v>973932.88973214291</v>
      </c>
      <c r="K241" s="58">
        <f t="shared" si="1134"/>
        <v>973932.88973214291</v>
      </c>
      <c r="L241" s="58">
        <f t="shared" si="1134"/>
        <v>973932.88973214291</v>
      </c>
      <c r="M241" s="58">
        <f t="shared" si="1134"/>
        <v>11687194.676785715</v>
      </c>
      <c r="N241" s="17" t="s">
        <v>199</v>
      </c>
      <c r="O241" s="28">
        <f t="shared" ref="O241:AA241" si="1135">+SUM(O242:O247)</f>
        <v>1620215.0115044643</v>
      </c>
      <c r="P241" s="28">
        <f t="shared" si="1135"/>
        <v>1620215.0115044643</v>
      </c>
      <c r="Q241" s="28">
        <f t="shared" si="1135"/>
        <v>1620215.0115044643</v>
      </c>
      <c r="R241" s="28">
        <f t="shared" si="1135"/>
        <v>1620215.0115044643</v>
      </c>
      <c r="S241" s="28">
        <f t="shared" si="1135"/>
        <v>1620215.0115044643</v>
      </c>
      <c r="T241" s="28">
        <f t="shared" si="1135"/>
        <v>1620215.0115044643</v>
      </c>
      <c r="U241" s="28">
        <f t="shared" si="1135"/>
        <v>1620215.0115044643</v>
      </c>
      <c r="V241" s="28">
        <f t="shared" si="1135"/>
        <v>1620215.0115044643</v>
      </c>
      <c r="W241" s="28">
        <f t="shared" si="1135"/>
        <v>1620215.0115044643</v>
      </c>
      <c r="X241" s="28">
        <f t="shared" si="1135"/>
        <v>1620215.0115044643</v>
      </c>
      <c r="Y241" s="28">
        <f t="shared" si="1135"/>
        <v>0</v>
      </c>
      <c r="Z241" s="28">
        <f t="shared" si="1135"/>
        <v>0</v>
      </c>
      <c r="AA241" s="28">
        <f t="shared" si="1135"/>
        <v>16202150.11504464</v>
      </c>
      <c r="AB241" s="118">
        <f t="shared" si="1005"/>
        <v>0</v>
      </c>
      <c r="AC241" s="28">
        <f t="shared" ref="AC241:AO241" si="1136">+SUM(AC242:AC247)</f>
        <v>1620215.0115044643</v>
      </c>
      <c r="AD241" s="28">
        <f t="shared" si="1136"/>
        <v>1620215.0115044643</v>
      </c>
      <c r="AE241" s="28">
        <f t="shared" si="1136"/>
        <v>1620215.0115044643</v>
      </c>
      <c r="AF241" s="28">
        <f t="shared" si="1136"/>
        <v>1620215.0115044643</v>
      </c>
      <c r="AG241" s="28">
        <f t="shared" si="1136"/>
        <v>1620215.0115044643</v>
      </c>
      <c r="AH241" s="28">
        <f t="shared" si="1136"/>
        <v>1620215.0115044643</v>
      </c>
      <c r="AI241" s="28">
        <f t="shared" si="1136"/>
        <v>1620215.0115044643</v>
      </c>
      <c r="AJ241" s="28">
        <f t="shared" si="1136"/>
        <v>1620215.0115044643</v>
      </c>
      <c r="AK241" s="28">
        <f t="shared" si="1136"/>
        <v>1620215.0115044643</v>
      </c>
      <c r="AL241" s="28">
        <f t="shared" si="1136"/>
        <v>1620215.0115044643</v>
      </c>
      <c r="AM241" s="28">
        <f t="shared" si="1136"/>
        <v>1620215.0115044643</v>
      </c>
      <c r="AN241" s="28">
        <f t="shared" si="1136"/>
        <v>1620215.0115044643</v>
      </c>
      <c r="AO241" s="28">
        <f t="shared" si="1136"/>
        <v>19442580.13805357</v>
      </c>
      <c r="AQ241" s="58">
        <f t="shared" ref="AQ241:BC241" si="1137">+SUM(AQ242:AQ247)</f>
        <v>681753.02281250001</v>
      </c>
      <c r="AR241" s="58">
        <f t="shared" si="1137"/>
        <v>681753.02281250001</v>
      </c>
      <c r="AS241" s="58">
        <f t="shared" si="1137"/>
        <v>681753.02281250001</v>
      </c>
      <c r="AT241" s="58">
        <f t="shared" si="1137"/>
        <v>681753.02281250001</v>
      </c>
      <c r="AU241" s="58">
        <f t="shared" si="1137"/>
        <v>681753.02281250001</v>
      </c>
      <c r="AV241" s="58">
        <f t="shared" si="1137"/>
        <v>681753.02281250001</v>
      </c>
      <c r="AW241" s="58">
        <f t="shared" si="1137"/>
        <v>681753.02281250001</v>
      </c>
      <c r="AX241" s="58">
        <f t="shared" si="1137"/>
        <v>681753.02281250001</v>
      </c>
      <c r="AY241" s="58">
        <f t="shared" si="1137"/>
        <v>681753.02281250001</v>
      </c>
      <c r="AZ241" s="58">
        <f t="shared" si="1137"/>
        <v>681753.02281250001</v>
      </c>
      <c r="BA241" s="58">
        <f t="shared" si="1137"/>
        <v>681753.02281250001</v>
      </c>
      <c r="BB241" s="58">
        <f t="shared" si="1137"/>
        <v>681753.02281250001</v>
      </c>
      <c r="BC241" s="58">
        <f t="shared" si="1137"/>
        <v>8181036.2737499988</v>
      </c>
      <c r="BD241" s="17" t="str">
        <f t="shared" si="885"/>
        <v>Depreciation</v>
      </c>
      <c r="BE241" s="28">
        <f t="shared" ref="BE241:BQ241" si="1138">+SUM(BE242:BE247)</f>
        <v>675475.61596874997</v>
      </c>
      <c r="BF241" s="28">
        <f t="shared" si="1138"/>
        <v>675475.61596874997</v>
      </c>
      <c r="BG241" s="28">
        <f t="shared" si="1138"/>
        <v>675475.61596874997</v>
      </c>
      <c r="BH241" s="28">
        <f t="shared" si="1138"/>
        <v>675475.61596874997</v>
      </c>
      <c r="BI241" s="28">
        <f t="shared" si="1138"/>
        <v>675475.61596874997</v>
      </c>
      <c r="BJ241" s="28">
        <f t="shared" si="1138"/>
        <v>675475.61596874997</v>
      </c>
      <c r="BK241" s="28">
        <f t="shared" si="1138"/>
        <v>675475.61596874997</v>
      </c>
      <c r="BL241" s="28">
        <f t="shared" si="1138"/>
        <v>675475.61596874997</v>
      </c>
      <c r="BM241" s="28">
        <f t="shared" si="1138"/>
        <v>675475.61596874997</v>
      </c>
      <c r="BN241" s="28">
        <f t="shared" si="1138"/>
        <v>675475.61596874997</v>
      </c>
      <c r="BO241" s="28">
        <f t="shared" si="1138"/>
        <v>0</v>
      </c>
      <c r="BP241" s="28">
        <f t="shared" si="1138"/>
        <v>0</v>
      </c>
      <c r="BQ241" s="28">
        <f t="shared" si="1138"/>
        <v>6754756.1596874995</v>
      </c>
      <c r="BR241" s="118">
        <f t="shared" si="1006"/>
        <v>0</v>
      </c>
      <c r="BS241" s="58">
        <f t="shared" ref="BS241:CE241" si="1139">+SUM(BS242:BS247)</f>
        <v>675475.61596874997</v>
      </c>
      <c r="BT241" s="58">
        <f t="shared" si="1139"/>
        <v>675475.61596874997</v>
      </c>
      <c r="BU241" s="58">
        <f t="shared" si="1139"/>
        <v>675475.61596874997</v>
      </c>
      <c r="BV241" s="58">
        <f t="shared" si="1139"/>
        <v>675475.61596874997</v>
      </c>
      <c r="BW241" s="58">
        <f t="shared" si="1139"/>
        <v>675475.61596874997</v>
      </c>
      <c r="BX241" s="58">
        <f t="shared" si="1139"/>
        <v>675475.61596874997</v>
      </c>
      <c r="BY241" s="58">
        <f t="shared" si="1139"/>
        <v>675475.61596874997</v>
      </c>
      <c r="BZ241" s="58">
        <f t="shared" si="1139"/>
        <v>675475.61596874997</v>
      </c>
      <c r="CA241" s="58">
        <f t="shared" si="1139"/>
        <v>675475.61596874997</v>
      </c>
      <c r="CB241" s="58">
        <f t="shared" si="1139"/>
        <v>675475.61596874997</v>
      </c>
      <c r="CC241" s="58">
        <f t="shared" si="1139"/>
        <v>675475.61596874997</v>
      </c>
      <c r="CD241" s="58">
        <f t="shared" si="1139"/>
        <v>675475.61596874997</v>
      </c>
      <c r="CE241" s="58">
        <f t="shared" si="1139"/>
        <v>8105707.3916249992</v>
      </c>
      <c r="CF241" s="22"/>
      <c r="CG241" s="28">
        <f t="shared" ref="CG241:CS241" si="1140">+SUM(CG242:CG247)</f>
        <v>292179.86691964284</v>
      </c>
      <c r="CH241" s="28">
        <f t="shared" si="1140"/>
        <v>292179.86691964284</v>
      </c>
      <c r="CI241" s="28">
        <f t="shared" si="1140"/>
        <v>292179.86691964284</v>
      </c>
      <c r="CJ241" s="28">
        <f t="shared" si="1140"/>
        <v>292179.86691964284</v>
      </c>
      <c r="CK241" s="28">
        <f t="shared" si="1140"/>
        <v>292179.86691964284</v>
      </c>
      <c r="CL241" s="28">
        <f t="shared" si="1140"/>
        <v>292179.86691964284</v>
      </c>
      <c r="CM241" s="28">
        <f t="shared" si="1140"/>
        <v>292179.86691964284</v>
      </c>
      <c r="CN241" s="28">
        <f t="shared" si="1140"/>
        <v>292179.86691964284</v>
      </c>
      <c r="CO241" s="28">
        <f t="shared" si="1140"/>
        <v>292179.86691964284</v>
      </c>
      <c r="CP241" s="28">
        <f t="shared" si="1140"/>
        <v>292179.86691964284</v>
      </c>
      <c r="CQ241" s="28">
        <f t="shared" si="1140"/>
        <v>292179.86691964284</v>
      </c>
      <c r="CR241" s="28">
        <f t="shared" si="1140"/>
        <v>292179.86691964284</v>
      </c>
      <c r="CS241" s="58">
        <f t="shared" si="1140"/>
        <v>3506158.4030357138</v>
      </c>
      <c r="CT241" s="17" t="str">
        <f t="shared" si="886"/>
        <v>Depreciation</v>
      </c>
      <c r="CU241" s="28">
        <f t="shared" ref="CU241:DG241" si="1141">+SUM(CU242:CU247)</f>
        <v>241812.14353571442</v>
      </c>
      <c r="CV241" s="28">
        <f t="shared" si="1141"/>
        <v>241812.14353571442</v>
      </c>
      <c r="CW241" s="28">
        <f t="shared" si="1141"/>
        <v>241812.14353571442</v>
      </c>
      <c r="CX241" s="28">
        <f t="shared" si="1141"/>
        <v>241812.14353571442</v>
      </c>
      <c r="CY241" s="28">
        <f t="shared" si="1141"/>
        <v>241812.14353571442</v>
      </c>
      <c r="CZ241" s="28">
        <f t="shared" si="1141"/>
        <v>241812.14353571442</v>
      </c>
      <c r="DA241" s="28">
        <f t="shared" si="1141"/>
        <v>241812.14353571442</v>
      </c>
      <c r="DB241" s="28">
        <f t="shared" si="1141"/>
        <v>241812.14353571442</v>
      </c>
      <c r="DC241" s="28">
        <f t="shared" si="1141"/>
        <v>241812.14353571442</v>
      </c>
      <c r="DD241" s="28">
        <f t="shared" si="1141"/>
        <v>241812.14353571442</v>
      </c>
      <c r="DE241" s="28">
        <f t="shared" si="1141"/>
        <v>0</v>
      </c>
      <c r="DF241" s="28">
        <f t="shared" si="1141"/>
        <v>0</v>
      </c>
      <c r="DG241" s="28">
        <f t="shared" si="1141"/>
        <v>2418121.4353571441</v>
      </c>
      <c r="DH241" s="118">
        <f t="shared" si="1007"/>
        <v>0</v>
      </c>
      <c r="DI241" s="28">
        <f t="shared" ref="DI241:DU241" si="1142">+SUM(DI242:DI247)</f>
        <v>241812.14353571442</v>
      </c>
      <c r="DJ241" s="28">
        <f t="shared" si="1142"/>
        <v>241812.14353571442</v>
      </c>
      <c r="DK241" s="28">
        <f t="shared" si="1142"/>
        <v>241812.14353571442</v>
      </c>
      <c r="DL241" s="28">
        <f t="shared" si="1142"/>
        <v>241812.14353571442</v>
      </c>
      <c r="DM241" s="28">
        <f t="shared" si="1142"/>
        <v>241812.14353571442</v>
      </c>
      <c r="DN241" s="28">
        <f t="shared" si="1142"/>
        <v>241812.14353571442</v>
      </c>
      <c r="DO241" s="28">
        <f t="shared" si="1142"/>
        <v>241812.14353571442</v>
      </c>
      <c r="DP241" s="28">
        <f t="shared" si="1142"/>
        <v>241812.14353571442</v>
      </c>
      <c r="DQ241" s="28">
        <f t="shared" si="1142"/>
        <v>241812.14353571442</v>
      </c>
      <c r="DR241" s="28">
        <f t="shared" si="1142"/>
        <v>241812.14353571442</v>
      </c>
      <c r="DS241" s="28">
        <f t="shared" si="1142"/>
        <v>241812.14353571442</v>
      </c>
      <c r="DT241" s="28">
        <f t="shared" si="1142"/>
        <v>241812.14353571442</v>
      </c>
      <c r="DU241" s="58">
        <f t="shared" si="1142"/>
        <v>2901745.7224285733</v>
      </c>
      <c r="DW241" s="28">
        <f t="shared" ref="DW241:EI241" si="1143">+SUM(DW242:DW247)</f>
        <v>0</v>
      </c>
      <c r="DX241" s="28">
        <f t="shared" si="1143"/>
        <v>0</v>
      </c>
      <c r="DY241" s="28">
        <f t="shared" si="1143"/>
        <v>0</v>
      </c>
      <c r="DZ241" s="28">
        <f t="shared" si="1143"/>
        <v>0</v>
      </c>
      <c r="EA241" s="28">
        <f t="shared" si="1143"/>
        <v>0</v>
      </c>
      <c r="EB241" s="28">
        <f t="shared" si="1143"/>
        <v>0</v>
      </c>
      <c r="EC241" s="28">
        <f t="shared" si="1143"/>
        <v>0</v>
      </c>
      <c r="ED241" s="28">
        <f t="shared" si="1143"/>
        <v>0</v>
      </c>
      <c r="EE241" s="28">
        <f t="shared" si="1143"/>
        <v>0</v>
      </c>
      <c r="EF241" s="28">
        <f t="shared" si="1143"/>
        <v>0</v>
      </c>
      <c r="EG241" s="28">
        <f t="shared" si="1143"/>
        <v>0</v>
      </c>
      <c r="EH241" s="28">
        <f t="shared" si="1143"/>
        <v>0</v>
      </c>
      <c r="EI241" s="58">
        <f t="shared" si="1143"/>
        <v>0</v>
      </c>
      <c r="EJ241" s="17" t="str">
        <f t="shared" si="1133"/>
        <v>Depreciation</v>
      </c>
      <c r="EK241" s="28">
        <f t="shared" ref="EK241:EW241" si="1144">+SUM(EK242:EK247)</f>
        <v>702927.25199999998</v>
      </c>
      <c r="EL241" s="28">
        <f t="shared" si="1144"/>
        <v>702927.25199999998</v>
      </c>
      <c r="EM241" s="28">
        <f t="shared" si="1144"/>
        <v>702927.25199999998</v>
      </c>
      <c r="EN241" s="28">
        <f t="shared" si="1144"/>
        <v>702927.25199999998</v>
      </c>
      <c r="EO241" s="28">
        <f t="shared" si="1144"/>
        <v>702927.25199999998</v>
      </c>
      <c r="EP241" s="28">
        <f t="shared" si="1144"/>
        <v>702927.25199999998</v>
      </c>
      <c r="EQ241" s="28">
        <f t="shared" si="1144"/>
        <v>702927.25199999998</v>
      </c>
      <c r="ER241" s="28">
        <f t="shared" si="1144"/>
        <v>702927.25199999998</v>
      </c>
      <c r="ES241" s="28">
        <f t="shared" si="1144"/>
        <v>702927.25199999998</v>
      </c>
      <c r="ET241" s="28">
        <f t="shared" si="1144"/>
        <v>702927.25199999998</v>
      </c>
      <c r="EU241" s="28">
        <f t="shared" si="1144"/>
        <v>0</v>
      </c>
      <c r="EV241" s="28">
        <f t="shared" si="1144"/>
        <v>0</v>
      </c>
      <c r="EW241" s="28">
        <f t="shared" si="1144"/>
        <v>7029272.5200000014</v>
      </c>
      <c r="EX241" s="118">
        <f t="shared" si="1008"/>
        <v>0</v>
      </c>
      <c r="EY241" s="28">
        <f t="shared" ref="EY241:FK241" si="1145">+SUM(EY242:EY247)</f>
        <v>702927.25199999998</v>
      </c>
      <c r="EZ241" s="28">
        <f t="shared" si="1145"/>
        <v>702927.25199999998</v>
      </c>
      <c r="FA241" s="28">
        <f t="shared" si="1145"/>
        <v>702927.25199999998</v>
      </c>
      <c r="FB241" s="28">
        <f t="shared" si="1145"/>
        <v>702927.25199999998</v>
      </c>
      <c r="FC241" s="28">
        <f t="shared" si="1145"/>
        <v>702927.25199999998</v>
      </c>
      <c r="FD241" s="28">
        <f t="shared" si="1145"/>
        <v>702927.25199999998</v>
      </c>
      <c r="FE241" s="28">
        <f t="shared" si="1145"/>
        <v>702927.25199999998</v>
      </c>
      <c r="FF241" s="28">
        <f t="shared" si="1145"/>
        <v>702927.25199999998</v>
      </c>
      <c r="FG241" s="28">
        <f t="shared" si="1145"/>
        <v>702927.25199999998</v>
      </c>
      <c r="FH241" s="28">
        <f t="shared" si="1145"/>
        <v>702927.25199999998</v>
      </c>
      <c r="FI241" s="28">
        <f t="shared" si="1145"/>
        <v>702927.25199999998</v>
      </c>
      <c r="FJ241" s="28">
        <f t="shared" si="1145"/>
        <v>702927.25199999998</v>
      </c>
      <c r="FK241" s="58">
        <f t="shared" si="1145"/>
        <v>8435127.0240000021</v>
      </c>
    </row>
    <row r="242" spans="1:167" ht="14.45" hidden="1" customHeight="1" outlineLevel="1">
      <c r="A242" s="106">
        <f t="shared" ref="A242:L247" si="1146">+AQ242+CG242+DW242</f>
        <v>0</v>
      </c>
      <c r="B242" s="106">
        <f t="shared" si="1146"/>
        <v>0</v>
      </c>
      <c r="C242" s="106">
        <f t="shared" si="1146"/>
        <v>0</v>
      </c>
      <c r="D242" s="106">
        <f t="shared" si="1146"/>
        <v>0</v>
      </c>
      <c r="E242" s="106">
        <f t="shared" si="1146"/>
        <v>0</v>
      </c>
      <c r="F242" s="106">
        <f t="shared" si="1146"/>
        <v>0</v>
      </c>
      <c r="G242" s="106">
        <f t="shared" si="1146"/>
        <v>0</v>
      </c>
      <c r="H242" s="106">
        <f t="shared" si="1146"/>
        <v>0</v>
      </c>
      <c r="I242" s="106">
        <f t="shared" si="1146"/>
        <v>0</v>
      </c>
      <c r="J242" s="106">
        <f t="shared" si="1146"/>
        <v>0</v>
      </c>
      <c r="K242" s="106">
        <f t="shared" si="1146"/>
        <v>0</v>
      </c>
      <c r="L242" s="106">
        <f t="shared" si="1146"/>
        <v>0</v>
      </c>
      <c r="M242" s="106">
        <f t="shared" ref="M242:M247" si="1147">+SUM(A242:L242)</f>
        <v>0</v>
      </c>
      <c r="N242" s="16" t="s">
        <v>200</v>
      </c>
      <c r="O242" s="22">
        <f t="shared" ref="O242:Z247" si="1148">+BE242+CU242+EK242</f>
        <v>0</v>
      </c>
      <c r="P242" s="22">
        <f t="shared" si="1148"/>
        <v>0</v>
      </c>
      <c r="Q242" s="22">
        <f t="shared" si="1148"/>
        <v>0</v>
      </c>
      <c r="R242" s="22">
        <f t="shared" si="1148"/>
        <v>0</v>
      </c>
      <c r="S242" s="22">
        <f t="shared" si="1148"/>
        <v>0</v>
      </c>
      <c r="T242" s="22">
        <f t="shared" si="1148"/>
        <v>0</v>
      </c>
      <c r="U242" s="22">
        <f t="shared" si="1148"/>
        <v>0</v>
      </c>
      <c r="V242" s="22">
        <f t="shared" si="1148"/>
        <v>0</v>
      </c>
      <c r="W242" s="22">
        <f t="shared" si="1148"/>
        <v>0</v>
      </c>
      <c r="X242" s="22">
        <f t="shared" si="1148"/>
        <v>0</v>
      </c>
      <c r="Y242" s="22">
        <f t="shared" si="1148"/>
        <v>0</v>
      </c>
      <c r="Z242" s="22">
        <f t="shared" si="1148"/>
        <v>0</v>
      </c>
      <c r="AA242" s="22">
        <f t="shared" ref="AA242:AA247" si="1149">+SUM(O242:Z242)</f>
        <v>0</v>
      </c>
      <c r="AB242" s="118">
        <f t="shared" si="1005"/>
        <v>0</v>
      </c>
      <c r="AC242" s="22">
        <f t="shared" ref="AC242:AN247" si="1150">+BS242+DI242+EY242</f>
        <v>0</v>
      </c>
      <c r="AD242" s="22">
        <f t="shared" si="1150"/>
        <v>0</v>
      </c>
      <c r="AE242" s="22">
        <f t="shared" si="1150"/>
        <v>0</v>
      </c>
      <c r="AF242" s="22">
        <f t="shared" si="1150"/>
        <v>0</v>
      </c>
      <c r="AG242" s="22">
        <f t="shared" si="1150"/>
        <v>0</v>
      </c>
      <c r="AH242" s="22">
        <f t="shared" si="1150"/>
        <v>0</v>
      </c>
      <c r="AI242" s="22">
        <f t="shared" si="1150"/>
        <v>0</v>
      </c>
      <c r="AJ242" s="22">
        <f t="shared" si="1150"/>
        <v>0</v>
      </c>
      <c r="AK242" s="22">
        <f t="shared" si="1150"/>
        <v>0</v>
      </c>
      <c r="AL242" s="22">
        <f t="shared" si="1150"/>
        <v>0</v>
      </c>
      <c r="AM242" s="22">
        <f t="shared" si="1150"/>
        <v>0</v>
      </c>
      <c r="AN242" s="22">
        <f t="shared" si="1150"/>
        <v>0</v>
      </c>
      <c r="AO242" s="22">
        <f t="shared" ref="AO242:AO247" si="1151">+SUM(AC242:AN242)</f>
        <v>0</v>
      </c>
      <c r="AQ242" s="106">
        <v>0</v>
      </c>
      <c r="AR242" s="106">
        <v>0</v>
      </c>
      <c r="AS242" s="106">
        <v>0</v>
      </c>
      <c r="AT242" s="106">
        <v>0</v>
      </c>
      <c r="AU242" s="106">
        <v>0</v>
      </c>
      <c r="AV242" s="106">
        <v>0</v>
      </c>
      <c r="AW242" s="106">
        <v>0</v>
      </c>
      <c r="AX242" s="106">
        <v>0</v>
      </c>
      <c r="AY242" s="106">
        <v>0</v>
      </c>
      <c r="AZ242" s="106">
        <v>0</v>
      </c>
      <c r="BA242" s="106">
        <v>0</v>
      </c>
      <c r="BB242" s="106">
        <v>0</v>
      </c>
      <c r="BC242" s="106">
        <f t="shared" ref="BC242:BC247" si="1152">+SUM(AQ242:BB242)</f>
        <v>0</v>
      </c>
      <c r="BD242" s="16" t="str">
        <f t="shared" si="885"/>
        <v>Amortization - Intangible Assets</v>
      </c>
      <c r="BE242" s="22">
        <f>+VLOOKUP($BD242,'Jan-25'!$A:$J,4,0)</f>
        <v>0</v>
      </c>
      <c r="BF242" s="22">
        <f>+VLOOKUP($BD242,'Feb-25'!$A:$J,4,0)</f>
        <v>0</v>
      </c>
      <c r="BG242" s="22">
        <f>+VLOOKUP($BD242,'Mar-25'!$A:$J,4,0)</f>
        <v>0</v>
      </c>
      <c r="BH242" s="22">
        <f>+VLOOKUP($BD242,'Apr-25'!$A:$J,4,0)</f>
        <v>0</v>
      </c>
      <c r="BI242" s="22">
        <f>+VLOOKUP($BD242,'May-25'!$A:$J,4,0)</f>
        <v>0</v>
      </c>
      <c r="BJ242" s="22">
        <f>+VLOOKUP($BD242,'June-25'!$A:$J,4,0)</f>
        <v>0</v>
      </c>
      <c r="BK242" s="22">
        <f>+VLOOKUP($BD242,'July-25'!$A:$J,4,0)</f>
        <v>0</v>
      </c>
      <c r="BL242" s="22">
        <f>+VLOOKUP($BD242,'Aug-25'!$A:$J,4,0)</f>
        <v>0</v>
      </c>
      <c r="BM242" s="22">
        <f>+VLOOKUP($BD242,'Sep-25'!$A:$J,4,0)</f>
        <v>0</v>
      </c>
      <c r="BN242" s="22">
        <f>+VLOOKUP($BD242,'Oct-25'!$A:$J,4,0)</f>
        <v>0</v>
      </c>
      <c r="BO242" s="22">
        <f>+VLOOKUP($BD242,'Nov-25'!$A:$J,4,0)</f>
        <v>0</v>
      </c>
      <c r="BP242" s="22">
        <f>+VLOOKUP($BD242,'Dec-25'!$A:$J,4,0)</f>
        <v>0</v>
      </c>
      <c r="BQ242" s="22">
        <f t="shared" ref="BQ242:BQ247" si="1153">+SUM(BE242:BP242)</f>
        <v>0</v>
      </c>
      <c r="BR242" s="118">
        <f t="shared" si="1006"/>
        <v>0</v>
      </c>
      <c r="BS242" s="106">
        <f>+_xlfn.XLOOKUP($BD242,Budget!$A:$A,Budget!AQ:AQ)</f>
        <v>0</v>
      </c>
      <c r="BT242" s="106">
        <f>+_xlfn.XLOOKUP($BD242,Budget!$A:$A,Budget!AR:AR)</f>
        <v>0</v>
      </c>
      <c r="BU242" s="106">
        <f>+_xlfn.XLOOKUP($BD242,Budget!$A:$A,Budget!AS:AS)</f>
        <v>0</v>
      </c>
      <c r="BV242" s="106">
        <f>+_xlfn.XLOOKUP($BD242,Budget!$A:$A,Budget!AT:AT)</f>
        <v>0</v>
      </c>
      <c r="BW242" s="106">
        <f>+_xlfn.XLOOKUP($BD242,Budget!$A:$A,Budget!AU:AU)</f>
        <v>0</v>
      </c>
      <c r="BX242" s="106">
        <f>+_xlfn.XLOOKUP($BD242,Budget!$A:$A,Budget!AV:AV)</f>
        <v>0</v>
      </c>
      <c r="BY242" s="106">
        <f>+_xlfn.XLOOKUP($BD242,Budget!$A:$A,Budget!AW:AW)</f>
        <v>0</v>
      </c>
      <c r="BZ242" s="106">
        <f>+_xlfn.XLOOKUP($BD242,Budget!$A:$A,Budget!AX:AX)</f>
        <v>0</v>
      </c>
      <c r="CA242" s="106">
        <f>+_xlfn.XLOOKUP($BD242,Budget!$A:$A,Budget!AY:AY)</f>
        <v>0</v>
      </c>
      <c r="CB242" s="106">
        <f>+_xlfn.XLOOKUP($BD242,Budget!$A:$A,Budget!AZ:AZ)</f>
        <v>0</v>
      </c>
      <c r="CC242" s="106">
        <f>+_xlfn.XLOOKUP($BD242,Budget!$A:$A,Budget!BA:BA)</f>
        <v>0</v>
      </c>
      <c r="CD242" s="106">
        <f>+_xlfn.XLOOKUP($BD242,Budget!$A:$A,Budget!BB:BB)</f>
        <v>0</v>
      </c>
      <c r="CE242" s="106">
        <f t="shared" ref="CE242:CE247" si="1154">+SUM(BS242:CD242)</f>
        <v>0</v>
      </c>
      <c r="CF242" s="22"/>
      <c r="CG242" s="22">
        <v>0</v>
      </c>
      <c r="CH242" s="22">
        <v>0</v>
      </c>
      <c r="CI242" s="22">
        <v>0</v>
      </c>
      <c r="CJ242" s="22">
        <v>0</v>
      </c>
      <c r="CK242" s="22">
        <v>0</v>
      </c>
      <c r="CL242" s="22">
        <v>0</v>
      </c>
      <c r="CM242" s="22">
        <v>0</v>
      </c>
      <c r="CN242" s="22">
        <v>0</v>
      </c>
      <c r="CO242" s="22">
        <v>0</v>
      </c>
      <c r="CP242" s="22">
        <v>0</v>
      </c>
      <c r="CQ242" s="22">
        <v>0</v>
      </c>
      <c r="CR242" s="22">
        <v>0</v>
      </c>
      <c r="CS242" s="106">
        <f t="shared" ref="CS242:CS247" si="1155">+SUM(CG242:CR242)</f>
        <v>0</v>
      </c>
      <c r="CT242" s="16" t="str">
        <f t="shared" si="886"/>
        <v>Amortization - Intangible Assets</v>
      </c>
      <c r="CU242" s="22">
        <f>+VLOOKUP($BD242,'Jan-25'!$A:$J,7,0)</f>
        <v>0</v>
      </c>
      <c r="CV242" s="22">
        <f>+VLOOKUP($BD242,'Feb-25'!$A:$J,7,0)</f>
        <v>0</v>
      </c>
      <c r="CW242" s="22">
        <f>+VLOOKUP($BD242,'Mar-25'!$A:$J,7,0)</f>
        <v>0</v>
      </c>
      <c r="CX242" s="22">
        <f>+VLOOKUP($BD242,'Apr-25'!$A:$J,7,0)</f>
        <v>0</v>
      </c>
      <c r="CY242" s="22">
        <f>+VLOOKUP($BD242,'May-25'!$A:$J,7,0)</f>
        <v>0</v>
      </c>
      <c r="CZ242" s="22">
        <f>+VLOOKUP($BD242,'June-25'!$A:$J,7,0)</f>
        <v>0</v>
      </c>
      <c r="DA242" s="22">
        <f>+VLOOKUP($BD242,'July-25'!$A:$J,7,0)</f>
        <v>0</v>
      </c>
      <c r="DB242" s="22">
        <f>+VLOOKUP($BD242,'Aug-25'!$A:$J,7,0)</f>
        <v>0</v>
      </c>
      <c r="DC242" s="22">
        <f>+VLOOKUP($BD242,'Sep-25'!$A:$J,7,0)</f>
        <v>0</v>
      </c>
      <c r="DD242" s="22">
        <f>+VLOOKUP($BD242,'Oct-25'!$A:$J,7,0)</f>
        <v>0</v>
      </c>
      <c r="DE242" s="22">
        <f>+VLOOKUP($BD242,'Nov-25'!$A:$J,7,0)</f>
        <v>0</v>
      </c>
      <c r="DF242" s="22">
        <f>+VLOOKUP($BD242,'Dec-25'!$A:$J,7,0)</f>
        <v>0</v>
      </c>
      <c r="DG242" s="22">
        <f t="shared" ref="DG242:DG247" si="1156">+SUM(CU242:DF242)</f>
        <v>0</v>
      </c>
      <c r="DH242" s="118">
        <f t="shared" si="1007"/>
        <v>0</v>
      </c>
      <c r="DI242" s="22">
        <f>+_xlfn.XLOOKUP($CT242,Budget!$A:$A,Budget!CD:CD)</f>
        <v>0</v>
      </c>
      <c r="DJ242" s="22">
        <f>+_xlfn.XLOOKUP($CT242,Budget!$A:$A,Budget!CE:CE)</f>
        <v>0</v>
      </c>
      <c r="DK242" s="22">
        <f>+_xlfn.XLOOKUP($CT242,Budget!$A:$A,Budget!CF:CF)</f>
        <v>0</v>
      </c>
      <c r="DL242" s="22">
        <f>+_xlfn.XLOOKUP($CT242,Budget!$A:$A,Budget!CG:CG)</f>
        <v>0</v>
      </c>
      <c r="DM242" s="22">
        <f>+_xlfn.XLOOKUP($CT242,Budget!$A:$A,Budget!CH:CH)</f>
        <v>0</v>
      </c>
      <c r="DN242" s="22">
        <f>+_xlfn.XLOOKUP($CT242,Budget!$A:$A,Budget!CI:CI)</f>
        <v>0</v>
      </c>
      <c r="DO242" s="22">
        <f>+_xlfn.XLOOKUP($CT242,Budget!$A:$A,Budget!CJ:CJ)</f>
        <v>0</v>
      </c>
      <c r="DP242" s="22">
        <f>+_xlfn.XLOOKUP($CT242,Budget!$A:$A,Budget!CK:CK)</f>
        <v>0</v>
      </c>
      <c r="DQ242" s="22">
        <f>+_xlfn.XLOOKUP($CT242,Budget!$A:$A,Budget!CL:CL)</f>
        <v>0</v>
      </c>
      <c r="DR242" s="22">
        <f>+_xlfn.XLOOKUP($CT242,Budget!$A:$A,Budget!CM:CM)</f>
        <v>0</v>
      </c>
      <c r="DS242" s="22">
        <f>+_xlfn.XLOOKUP($CT242,Budget!$A:$A,Budget!CN:CN)</f>
        <v>0</v>
      </c>
      <c r="DT242" s="22">
        <f>+_xlfn.XLOOKUP($CT242,Budget!$A:$A,Budget!CO:CO)</f>
        <v>0</v>
      </c>
      <c r="DU242" s="106">
        <f t="shared" ref="DU242:DU247" si="1157">+SUM(DI242:DT242)</f>
        <v>0</v>
      </c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106">
        <f t="shared" ref="EI242:EI247" si="1158">+SUM(DW242:EH242)</f>
        <v>0</v>
      </c>
      <c r="EJ242" s="16" t="str">
        <f t="shared" si="1133"/>
        <v>Amortization - Intangible Assets</v>
      </c>
      <c r="EK242" s="22">
        <f>+VLOOKUP($BD242,'Jan-25'!$A:$J,9,0)</f>
        <v>0</v>
      </c>
      <c r="EL242" s="22">
        <f>+VLOOKUP($BD242,'Feb-25'!$A:$J,9,0)</f>
        <v>0</v>
      </c>
      <c r="EM242" s="22">
        <f>+VLOOKUP($BD242,'Mar-25'!$A:$J,9,0)</f>
        <v>0</v>
      </c>
      <c r="EN242" s="22">
        <f>+VLOOKUP($BD242,'Apr-25'!$A:$J,9,0)</f>
        <v>0</v>
      </c>
      <c r="EO242" s="22">
        <f>+VLOOKUP($BD242,'May-25'!$A:$J,9,0)</f>
        <v>0</v>
      </c>
      <c r="EP242" s="22">
        <f>+VLOOKUP($BD242,'June-25'!$A:$J,9,0)</f>
        <v>0</v>
      </c>
      <c r="EQ242" s="22">
        <f>+VLOOKUP($BD242,'July-25'!$A:$J,9,0)</f>
        <v>0</v>
      </c>
      <c r="ER242" s="22">
        <f>+VLOOKUP($BD242,'Aug-25'!$A:$J,9,0)</f>
        <v>0</v>
      </c>
      <c r="ES242" s="22">
        <f>+VLOOKUP($BD242,'Sep-25'!$A:$J,9,0)</f>
        <v>0</v>
      </c>
      <c r="ET242" s="22">
        <f>+VLOOKUP($BD242,'Oct-25'!$A:$J,9,0)</f>
        <v>0</v>
      </c>
      <c r="EU242" s="22">
        <f>+VLOOKUP($BD242,'Nov-25'!$A:$J,9,0)</f>
        <v>0</v>
      </c>
      <c r="EV242" s="22">
        <f>+VLOOKUP($BD242,'Dec-25'!$A:$J,9,0)</f>
        <v>0</v>
      </c>
      <c r="EW242" s="22">
        <f t="shared" ref="EW242:EW247" si="1159">+SUM(EK242:EV242)</f>
        <v>0</v>
      </c>
      <c r="EX242" s="118">
        <f t="shared" si="1008"/>
        <v>0</v>
      </c>
      <c r="EY242" s="22">
        <f>+_xlfn.XLOOKUP($EJ242,Budget!$A:$A,Budget!DE:DE)</f>
        <v>0</v>
      </c>
      <c r="EZ242" s="22">
        <f>+_xlfn.XLOOKUP($EJ242,Budget!$A:$A,Budget!DF:DF)</f>
        <v>0</v>
      </c>
      <c r="FA242" s="22">
        <f>+_xlfn.XLOOKUP($EJ242,Budget!$A:$A,Budget!DG:DG)</f>
        <v>0</v>
      </c>
      <c r="FB242" s="22">
        <f>+_xlfn.XLOOKUP($EJ242,Budget!$A:$A,Budget!DH:DH)</f>
        <v>0</v>
      </c>
      <c r="FC242" s="22">
        <f>+_xlfn.XLOOKUP($EJ242,Budget!$A:$A,Budget!DI:DI)</f>
        <v>0</v>
      </c>
      <c r="FD242" s="22">
        <f>+_xlfn.XLOOKUP($EJ242,Budget!$A:$A,Budget!DJ:DJ)</f>
        <v>0</v>
      </c>
      <c r="FE242" s="22">
        <f>+_xlfn.XLOOKUP($EJ242,Budget!$A:$A,Budget!DK:DK)</f>
        <v>0</v>
      </c>
      <c r="FF242" s="22">
        <f>+_xlfn.XLOOKUP($EJ242,Budget!$A:$A,Budget!DL:DL)</f>
        <v>0</v>
      </c>
      <c r="FG242" s="22">
        <f>+_xlfn.XLOOKUP($EJ242,Budget!$A:$A,Budget!DM:DM)</f>
        <v>0</v>
      </c>
      <c r="FH242" s="22">
        <f>+_xlfn.XLOOKUP($EJ242,Budget!$A:$A,Budget!DN:DN)</f>
        <v>0</v>
      </c>
      <c r="FI242" s="22">
        <f>+_xlfn.XLOOKUP($EJ242,Budget!$A:$A,Budget!DO:DO)</f>
        <v>0</v>
      </c>
      <c r="FJ242" s="22">
        <f>+_xlfn.XLOOKUP($EJ242,Budget!$A:$A,Budget!DP:DP)</f>
        <v>0</v>
      </c>
      <c r="FK242" s="106">
        <f t="shared" ref="FK242:FK247" si="1160">+SUM(EY242:FJ242)</f>
        <v>0</v>
      </c>
    </row>
    <row r="243" spans="1:167" ht="14.45" hidden="1" customHeight="1" outlineLevel="1">
      <c r="A243" s="106">
        <f t="shared" si="1146"/>
        <v>973932.88973214291</v>
      </c>
      <c r="B243" s="106">
        <f t="shared" si="1146"/>
        <v>973932.88973214291</v>
      </c>
      <c r="C243" s="106">
        <f t="shared" si="1146"/>
        <v>973932.88973214291</v>
      </c>
      <c r="D243" s="106">
        <f t="shared" si="1146"/>
        <v>973932.88973214291</v>
      </c>
      <c r="E243" s="106">
        <f t="shared" si="1146"/>
        <v>973932.88973214291</v>
      </c>
      <c r="F243" s="106">
        <f t="shared" si="1146"/>
        <v>973932.88973214291</v>
      </c>
      <c r="G243" s="106">
        <f t="shared" si="1146"/>
        <v>973932.88973214291</v>
      </c>
      <c r="H243" s="106">
        <f t="shared" si="1146"/>
        <v>973932.88973214291</v>
      </c>
      <c r="I243" s="106">
        <f t="shared" si="1146"/>
        <v>973932.88973214291</v>
      </c>
      <c r="J243" s="106">
        <f t="shared" si="1146"/>
        <v>973932.88973214291</v>
      </c>
      <c r="K243" s="106">
        <f t="shared" si="1146"/>
        <v>973932.88973214291</v>
      </c>
      <c r="L243" s="106">
        <f t="shared" si="1146"/>
        <v>973932.88973214291</v>
      </c>
      <c r="M243" s="106">
        <f t="shared" si="1147"/>
        <v>11687194.676785715</v>
      </c>
      <c r="N243" s="16" t="s">
        <v>238</v>
      </c>
      <c r="O243" s="22">
        <f t="shared" si="1148"/>
        <v>1620215.0115044643</v>
      </c>
      <c r="P243" s="22">
        <f t="shared" si="1148"/>
        <v>1620215.0115044643</v>
      </c>
      <c r="Q243" s="22">
        <f t="shared" si="1148"/>
        <v>1620215.0115044643</v>
      </c>
      <c r="R243" s="22">
        <f t="shared" si="1148"/>
        <v>1620215.0115044643</v>
      </c>
      <c r="S243" s="22">
        <f t="shared" si="1148"/>
        <v>1620215.0115044643</v>
      </c>
      <c r="T243" s="22">
        <f t="shared" si="1148"/>
        <v>1620215.0115044643</v>
      </c>
      <c r="U243" s="22">
        <f t="shared" si="1148"/>
        <v>1620215.0115044643</v>
      </c>
      <c r="V243" s="22">
        <f t="shared" si="1148"/>
        <v>1620215.0115044643</v>
      </c>
      <c r="W243" s="22">
        <f t="shared" si="1148"/>
        <v>1620215.0115044643</v>
      </c>
      <c r="X243" s="22">
        <f t="shared" si="1148"/>
        <v>1620215.0115044643</v>
      </c>
      <c r="Y243" s="22">
        <f t="shared" si="1148"/>
        <v>0</v>
      </c>
      <c r="Z243" s="22">
        <f t="shared" si="1148"/>
        <v>0</v>
      </c>
      <c r="AA243" s="22">
        <f t="shared" si="1149"/>
        <v>16202150.11504464</v>
      </c>
      <c r="AB243" s="118">
        <f t="shared" si="1005"/>
        <v>0</v>
      </c>
      <c r="AC243" s="22">
        <f t="shared" si="1150"/>
        <v>1620215.0115044643</v>
      </c>
      <c r="AD243" s="22">
        <f t="shared" si="1150"/>
        <v>1620215.0115044643</v>
      </c>
      <c r="AE243" s="22">
        <f t="shared" si="1150"/>
        <v>1620215.0115044643</v>
      </c>
      <c r="AF243" s="22">
        <f t="shared" si="1150"/>
        <v>1620215.0115044643</v>
      </c>
      <c r="AG243" s="22">
        <f t="shared" si="1150"/>
        <v>1620215.0115044643</v>
      </c>
      <c r="AH243" s="22">
        <f t="shared" si="1150"/>
        <v>1620215.0115044643</v>
      </c>
      <c r="AI243" s="22">
        <f t="shared" si="1150"/>
        <v>1620215.0115044643</v>
      </c>
      <c r="AJ243" s="22">
        <f t="shared" si="1150"/>
        <v>1620215.0115044643</v>
      </c>
      <c r="AK243" s="22">
        <f t="shared" si="1150"/>
        <v>1620215.0115044643</v>
      </c>
      <c r="AL243" s="22">
        <f t="shared" si="1150"/>
        <v>1620215.0115044643</v>
      </c>
      <c r="AM243" s="22">
        <f t="shared" si="1150"/>
        <v>1620215.0115044643</v>
      </c>
      <c r="AN243" s="22">
        <f t="shared" si="1150"/>
        <v>1620215.0115044643</v>
      </c>
      <c r="AO243" s="22">
        <f t="shared" si="1151"/>
        <v>19442580.13805357</v>
      </c>
      <c r="AQ243" s="106">
        <v>681753.02281250001</v>
      </c>
      <c r="AR243" s="106">
        <v>681753.02281250001</v>
      </c>
      <c r="AS243" s="106">
        <v>681753.02281250001</v>
      </c>
      <c r="AT243" s="106">
        <v>681753.02281250001</v>
      </c>
      <c r="AU243" s="106">
        <v>681753.02281250001</v>
      </c>
      <c r="AV243" s="106">
        <v>681753.02281250001</v>
      </c>
      <c r="AW243" s="106">
        <v>681753.02281250001</v>
      </c>
      <c r="AX243" s="106">
        <v>681753.02281250001</v>
      </c>
      <c r="AY243" s="106">
        <v>681753.02281250001</v>
      </c>
      <c r="AZ243" s="106">
        <v>681753.02281250001</v>
      </c>
      <c r="BA243" s="106">
        <v>681753.02281250001</v>
      </c>
      <c r="BB243" s="106">
        <v>681753.02281250001</v>
      </c>
      <c r="BC243" s="106">
        <f t="shared" si="1152"/>
        <v>8181036.2737499988</v>
      </c>
      <c r="BD243" s="16" t="str">
        <f t="shared" si="885"/>
        <v>Depreciation  - Building</v>
      </c>
      <c r="BE243" s="22">
        <f>+VLOOKUP($BD243,'Jan-25'!$A:$J,4,0)</f>
        <v>675475.61596874997</v>
      </c>
      <c r="BF243" s="22">
        <f>+VLOOKUP($BD243,'Feb-25'!$A:$J,4,0)</f>
        <v>675475.61596874997</v>
      </c>
      <c r="BG243" s="22">
        <f>+VLOOKUP($BD243,'Mar-25'!$A:$J,4,0)</f>
        <v>675475.61596874997</v>
      </c>
      <c r="BH243" s="22">
        <f>+VLOOKUP($BD243,'Apr-25'!$A:$J,4,0)</f>
        <v>675475.61596874997</v>
      </c>
      <c r="BI243" s="22">
        <f>+VLOOKUP($BD243,'May-25'!$A:$J,4,0)</f>
        <v>675475.61596874997</v>
      </c>
      <c r="BJ243" s="22">
        <f>+VLOOKUP($BD243,'June-25'!$A:$J,4,0)</f>
        <v>675475.61596874997</v>
      </c>
      <c r="BK243" s="22">
        <f>+VLOOKUP($BD243,'July-25'!$A:$J,4,0)</f>
        <v>675475.61596874997</v>
      </c>
      <c r="BL243" s="22">
        <f>+VLOOKUP($BD243,'Aug-25'!$A:$J,4,0)</f>
        <v>675475.61596874997</v>
      </c>
      <c r="BM243" s="22">
        <f>+VLOOKUP($BD243,'Sep-25'!$A:$J,4,0)</f>
        <v>675475.61596874997</v>
      </c>
      <c r="BN243" s="22">
        <f>+VLOOKUP($BD243,'Oct-25'!$A:$J,4,0)</f>
        <v>675475.61596874997</v>
      </c>
      <c r="BO243" s="22">
        <f>+VLOOKUP($BD243,'Nov-25'!$A:$J,4,0)</f>
        <v>0</v>
      </c>
      <c r="BP243" s="22">
        <f>+VLOOKUP($BD243,'Dec-25'!$A:$J,4,0)</f>
        <v>0</v>
      </c>
      <c r="BQ243" s="22">
        <f t="shared" si="1153"/>
        <v>6754756.1596874995</v>
      </c>
      <c r="BR243" s="118">
        <f t="shared" si="1006"/>
        <v>0</v>
      </c>
      <c r="BS243" s="106">
        <f>+_xlfn.XLOOKUP($BD243,Budget!$A:$A,Budget!AQ:AQ)</f>
        <v>675475.61596874997</v>
      </c>
      <c r="BT243" s="106">
        <f>+_xlfn.XLOOKUP($BD243,Budget!$A:$A,Budget!AR:AR)</f>
        <v>675475.61596874997</v>
      </c>
      <c r="BU243" s="106">
        <f>+_xlfn.XLOOKUP($BD243,Budget!$A:$A,Budget!AS:AS)</f>
        <v>675475.61596874997</v>
      </c>
      <c r="BV243" s="106">
        <f>+_xlfn.XLOOKUP($BD243,Budget!$A:$A,Budget!AT:AT)</f>
        <v>675475.61596874997</v>
      </c>
      <c r="BW243" s="106">
        <f>+_xlfn.XLOOKUP($BD243,Budget!$A:$A,Budget!AU:AU)</f>
        <v>675475.61596874997</v>
      </c>
      <c r="BX243" s="106">
        <f>+_xlfn.XLOOKUP($BD243,Budget!$A:$A,Budget!AV:AV)</f>
        <v>675475.61596874997</v>
      </c>
      <c r="BY243" s="106">
        <f>+_xlfn.XLOOKUP($BD243,Budget!$A:$A,Budget!AW:AW)</f>
        <v>675475.61596874997</v>
      </c>
      <c r="BZ243" s="106">
        <f>+_xlfn.XLOOKUP($BD243,Budget!$A:$A,Budget!AX:AX)</f>
        <v>675475.61596874997</v>
      </c>
      <c r="CA243" s="106">
        <f>+_xlfn.XLOOKUP($BD243,Budget!$A:$A,Budget!AY:AY)</f>
        <v>675475.61596874997</v>
      </c>
      <c r="CB243" s="106">
        <f>+_xlfn.XLOOKUP($BD243,Budget!$A:$A,Budget!AZ:AZ)</f>
        <v>675475.61596874997</v>
      </c>
      <c r="CC243" s="106">
        <f>+_xlfn.XLOOKUP($BD243,Budget!$A:$A,Budget!BA:BA)</f>
        <v>675475.61596874997</v>
      </c>
      <c r="CD243" s="106">
        <f>+_xlfn.XLOOKUP($BD243,Budget!$A:$A,Budget!BB:BB)</f>
        <v>675475.61596874997</v>
      </c>
      <c r="CE243" s="106">
        <f t="shared" si="1154"/>
        <v>8105707.3916249992</v>
      </c>
      <c r="CF243" s="22"/>
      <c r="CG243" s="22">
        <v>292179.86691964284</v>
      </c>
      <c r="CH243" s="22">
        <v>292179.86691964284</v>
      </c>
      <c r="CI243" s="22">
        <v>292179.86691964284</v>
      </c>
      <c r="CJ243" s="22">
        <v>292179.86691964284</v>
      </c>
      <c r="CK243" s="22">
        <v>292179.86691964284</v>
      </c>
      <c r="CL243" s="22">
        <v>292179.86691964284</v>
      </c>
      <c r="CM243" s="22">
        <v>292179.86691964284</v>
      </c>
      <c r="CN243" s="22">
        <v>292179.86691964284</v>
      </c>
      <c r="CO243" s="22">
        <v>292179.86691964284</v>
      </c>
      <c r="CP243" s="22">
        <v>292179.86691964284</v>
      </c>
      <c r="CQ243" s="22">
        <v>292179.86691964284</v>
      </c>
      <c r="CR243" s="22">
        <v>292179.86691964284</v>
      </c>
      <c r="CS243" s="106">
        <f t="shared" si="1155"/>
        <v>3506158.4030357138</v>
      </c>
      <c r="CT243" s="16" t="str">
        <f t="shared" si="886"/>
        <v>Depreciation  - Building</v>
      </c>
      <c r="CU243" s="22">
        <f>+VLOOKUP($BD243,'Jan-25'!$A:$J,7,0)</f>
        <v>241812.14353571442</v>
      </c>
      <c r="CV243" s="22">
        <f>+VLOOKUP($BD243,'Feb-25'!$A:$J,7,0)</f>
        <v>241812.14353571442</v>
      </c>
      <c r="CW243" s="22">
        <f>+VLOOKUP($BD243,'Mar-25'!$A:$J,7,0)</f>
        <v>241812.14353571442</v>
      </c>
      <c r="CX243" s="22">
        <f>+VLOOKUP($BD243,'Apr-25'!$A:$J,7,0)</f>
        <v>241812.14353571442</v>
      </c>
      <c r="CY243" s="22">
        <f>+VLOOKUP($BD243,'May-25'!$A:$J,7,0)</f>
        <v>241812.14353571442</v>
      </c>
      <c r="CZ243" s="22">
        <f>+VLOOKUP($BD243,'June-25'!$A:$J,7,0)</f>
        <v>241812.14353571442</v>
      </c>
      <c r="DA243" s="22">
        <f>+VLOOKUP($BD243,'July-25'!$A:$J,7,0)</f>
        <v>241812.14353571442</v>
      </c>
      <c r="DB243" s="22">
        <f>+VLOOKUP($BD243,'Aug-25'!$A:$J,7,0)</f>
        <v>241812.14353571442</v>
      </c>
      <c r="DC243" s="22">
        <f>+VLOOKUP($BD243,'Sep-25'!$A:$J,7,0)</f>
        <v>241812.14353571442</v>
      </c>
      <c r="DD243" s="22">
        <f>+VLOOKUP($BD243,'Oct-25'!$A:$J,7,0)</f>
        <v>241812.14353571442</v>
      </c>
      <c r="DE243" s="22">
        <f>+VLOOKUP($BD243,'Nov-25'!$A:$J,7,0)</f>
        <v>0</v>
      </c>
      <c r="DF243" s="22">
        <f>+VLOOKUP($BD243,'Dec-25'!$A:$J,7,0)</f>
        <v>0</v>
      </c>
      <c r="DG243" s="22">
        <f t="shared" si="1156"/>
        <v>2418121.4353571441</v>
      </c>
      <c r="DH243" s="118">
        <f t="shared" si="1007"/>
        <v>0</v>
      </c>
      <c r="DI243" s="22">
        <f>+_xlfn.XLOOKUP($CT243,Budget!$A:$A,Budget!CD:CD)</f>
        <v>241812.14353571442</v>
      </c>
      <c r="DJ243" s="22">
        <f>+_xlfn.XLOOKUP($CT243,Budget!$A:$A,Budget!CE:CE)</f>
        <v>241812.14353571442</v>
      </c>
      <c r="DK243" s="22">
        <f>+_xlfn.XLOOKUP($CT243,Budget!$A:$A,Budget!CF:CF)</f>
        <v>241812.14353571442</v>
      </c>
      <c r="DL243" s="22">
        <f>+_xlfn.XLOOKUP($CT243,Budget!$A:$A,Budget!CG:CG)</f>
        <v>241812.14353571442</v>
      </c>
      <c r="DM243" s="22">
        <f>+_xlfn.XLOOKUP($CT243,Budget!$A:$A,Budget!CH:CH)</f>
        <v>241812.14353571442</v>
      </c>
      <c r="DN243" s="22">
        <f>+_xlfn.XLOOKUP($CT243,Budget!$A:$A,Budget!CI:CI)</f>
        <v>241812.14353571442</v>
      </c>
      <c r="DO243" s="22">
        <f>+_xlfn.XLOOKUP($CT243,Budget!$A:$A,Budget!CJ:CJ)</f>
        <v>241812.14353571442</v>
      </c>
      <c r="DP243" s="22">
        <f>+_xlfn.XLOOKUP($CT243,Budget!$A:$A,Budget!CK:CK)</f>
        <v>241812.14353571442</v>
      </c>
      <c r="DQ243" s="22">
        <f>+_xlfn.XLOOKUP($CT243,Budget!$A:$A,Budget!CL:CL)</f>
        <v>241812.14353571442</v>
      </c>
      <c r="DR243" s="22">
        <f>+_xlfn.XLOOKUP($CT243,Budget!$A:$A,Budget!CM:CM)</f>
        <v>241812.14353571442</v>
      </c>
      <c r="DS243" s="22">
        <f>+_xlfn.XLOOKUP($CT243,Budget!$A:$A,Budget!CN:CN)</f>
        <v>241812.14353571442</v>
      </c>
      <c r="DT243" s="22">
        <f>+_xlfn.XLOOKUP($CT243,Budget!$A:$A,Budget!CO:CO)</f>
        <v>241812.14353571442</v>
      </c>
      <c r="DU243" s="106">
        <f t="shared" si="1157"/>
        <v>2901745.7224285733</v>
      </c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106">
        <f t="shared" si="1158"/>
        <v>0</v>
      </c>
      <c r="EJ243" s="16" t="str">
        <f t="shared" si="1133"/>
        <v>Depreciation  - Building</v>
      </c>
      <c r="EK243" s="22">
        <f>+VLOOKUP($BD243,'Jan-25'!$A:$J,9,0)</f>
        <v>702927.25199999998</v>
      </c>
      <c r="EL243" s="22">
        <f>+VLOOKUP($BD243,'Feb-25'!$A:$J,9,0)</f>
        <v>702927.25199999998</v>
      </c>
      <c r="EM243" s="22">
        <f>+VLOOKUP($BD243,'Mar-25'!$A:$J,9,0)</f>
        <v>702927.25199999998</v>
      </c>
      <c r="EN243" s="22">
        <f>+VLOOKUP($BD243,'Apr-25'!$A:$J,9,0)</f>
        <v>702927.25199999998</v>
      </c>
      <c r="EO243" s="22">
        <f>+VLOOKUP($BD243,'May-25'!$A:$J,9,0)</f>
        <v>702927.25199999998</v>
      </c>
      <c r="EP243" s="22">
        <f>+VLOOKUP($BD243,'June-25'!$A:$J,9,0)</f>
        <v>702927.25199999998</v>
      </c>
      <c r="EQ243" s="22">
        <f>+VLOOKUP($BD243,'July-25'!$A:$J,9,0)</f>
        <v>702927.25199999998</v>
      </c>
      <c r="ER243" s="22">
        <f>+VLOOKUP($BD243,'Aug-25'!$A:$J,9,0)</f>
        <v>702927.25199999998</v>
      </c>
      <c r="ES243" s="22">
        <f>+VLOOKUP($BD243,'Sep-25'!$A:$J,9,0)</f>
        <v>702927.25199999998</v>
      </c>
      <c r="ET243" s="22">
        <f>+VLOOKUP($BD243,'Oct-25'!$A:$J,9,0)</f>
        <v>702927.25199999998</v>
      </c>
      <c r="EU243" s="22">
        <f>+VLOOKUP($BD243,'Nov-25'!$A:$J,9,0)</f>
        <v>0</v>
      </c>
      <c r="EV243" s="22">
        <f>+VLOOKUP($BD243,'Dec-25'!$A:$J,9,0)</f>
        <v>0</v>
      </c>
      <c r="EW243" s="22">
        <f t="shared" si="1159"/>
        <v>7029272.5200000014</v>
      </c>
      <c r="EX243" s="118">
        <f t="shared" si="1008"/>
        <v>0</v>
      </c>
      <c r="EY243" s="22">
        <f>+_xlfn.XLOOKUP($EJ243,Budget!$A:$A,Budget!DE:DE)</f>
        <v>702927.25199999998</v>
      </c>
      <c r="EZ243" s="22">
        <f>+_xlfn.XLOOKUP($EJ243,Budget!$A:$A,Budget!DF:DF)</f>
        <v>702927.25199999998</v>
      </c>
      <c r="FA243" s="22">
        <f>+_xlfn.XLOOKUP($EJ243,Budget!$A:$A,Budget!DG:DG)</f>
        <v>702927.25199999998</v>
      </c>
      <c r="FB243" s="22">
        <f>+_xlfn.XLOOKUP($EJ243,Budget!$A:$A,Budget!DH:DH)</f>
        <v>702927.25199999998</v>
      </c>
      <c r="FC243" s="22">
        <f>+_xlfn.XLOOKUP($EJ243,Budget!$A:$A,Budget!DI:DI)</f>
        <v>702927.25199999998</v>
      </c>
      <c r="FD243" s="22">
        <f>+_xlfn.XLOOKUP($EJ243,Budget!$A:$A,Budget!DJ:DJ)</f>
        <v>702927.25199999998</v>
      </c>
      <c r="FE243" s="22">
        <f>+_xlfn.XLOOKUP($EJ243,Budget!$A:$A,Budget!DK:DK)</f>
        <v>702927.25199999998</v>
      </c>
      <c r="FF243" s="22">
        <f>+_xlfn.XLOOKUP($EJ243,Budget!$A:$A,Budget!DL:DL)</f>
        <v>702927.25199999998</v>
      </c>
      <c r="FG243" s="22">
        <f>+_xlfn.XLOOKUP($EJ243,Budget!$A:$A,Budget!DM:DM)</f>
        <v>702927.25199999998</v>
      </c>
      <c r="FH243" s="22">
        <f>+_xlfn.XLOOKUP($EJ243,Budget!$A:$A,Budget!DN:DN)</f>
        <v>702927.25199999998</v>
      </c>
      <c r="FI243" s="22">
        <f>+_xlfn.XLOOKUP($EJ243,Budget!$A:$A,Budget!DO:DO)</f>
        <v>702927.25199999998</v>
      </c>
      <c r="FJ243" s="22">
        <f>+_xlfn.XLOOKUP($EJ243,Budget!$A:$A,Budget!DP:DP)</f>
        <v>702927.25199999998</v>
      </c>
      <c r="FK243" s="106">
        <f t="shared" si="1160"/>
        <v>8435127.0240000021</v>
      </c>
    </row>
    <row r="244" spans="1:167" ht="14.45" hidden="1" customHeight="1" outlineLevel="1">
      <c r="A244" s="106">
        <f t="shared" si="1146"/>
        <v>0</v>
      </c>
      <c r="B244" s="106">
        <f t="shared" si="1146"/>
        <v>0</v>
      </c>
      <c r="C244" s="106">
        <f t="shared" si="1146"/>
        <v>0</v>
      </c>
      <c r="D244" s="106">
        <f t="shared" si="1146"/>
        <v>0</v>
      </c>
      <c r="E244" s="106">
        <f t="shared" si="1146"/>
        <v>0</v>
      </c>
      <c r="F244" s="106">
        <f t="shared" si="1146"/>
        <v>0</v>
      </c>
      <c r="G244" s="106">
        <f t="shared" si="1146"/>
        <v>0</v>
      </c>
      <c r="H244" s="106">
        <f t="shared" si="1146"/>
        <v>0</v>
      </c>
      <c r="I244" s="106">
        <f t="shared" si="1146"/>
        <v>0</v>
      </c>
      <c r="J244" s="106">
        <f t="shared" si="1146"/>
        <v>0</v>
      </c>
      <c r="K244" s="106">
        <f t="shared" si="1146"/>
        <v>0</v>
      </c>
      <c r="L244" s="106">
        <f t="shared" si="1146"/>
        <v>0</v>
      </c>
      <c r="M244" s="106">
        <f t="shared" si="1147"/>
        <v>0</v>
      </c>
      <c r="N244" s="16" t="s">
        <v>239</v>
      </c>
      <c r="O244" s="22">
        <f t="shared" si="1148"/>
        <v>0</v>
      </c>
      <c r="P244" s="22">
        <f t="shared" si="1148"/>
        <v>0</v>
      </c>
      <c r="Q244" s="22">
        <f t="shared" si="1148"/>
        <v>0</v>
      </c>
      <c r="R244" s="22">
        <f t="shared" si="1148"/>
        <v>0</v>
      </c>
      <c r="S244" s="22">
        <f t="shared" si="1148"/>
        <v>0</v>
      </c>
      <c r="T244" s="22">
        <f t="shared" si="1148"/>
        <v>0</v>
      </c>
      <c r="U244" s="22">
        <f t="shared" si="1148"/>
        <v>0</v>
      </c>
      <c r="V244" s="22">
        <f t="shared" si="1148"/>
        <v>0</v>
      </c>
      <c r="W244" s="22">
        <f t="shared" si="1148"/>
        <v>0</v>
      </c>
      <c r="X244" s="22">
        <f t="shared" si="1148"/>
        <v>0</v>
      </c>
      <c r="Y244" s="22">
        <f t="shared" si="1148"/>
        <v>0</v>
      </c>
      <c r="Z244" s="22">
        <f t="shared" si="1148"/>
        <v>0</v>
      </c>
      <c r="AA244" s="22">
        <f t="shared" si="1149"/>
        <v>0</v>
      </c>
      <c r="AB244" s="118">
        <f t="shared" si="1005"/>
        <v>0</v>
      </c>
      <c r="AC244" s="22">
        <f t="shared" si="1150"/>
        <v>0</v>
      </c>
      <c r="AD244" s="22">
        <f t="shared" si="1150"/>
        <v>0</v>
      </c>
      <c r="AE244" s="22">
        <f t="shared" si="1150"/>
        <v>0</v>
      </c>
      <c r="AF244" s="22">
        <f t="shared" si="1150"/>
        <v>0</v>
      </c>
      <c r="AG244" s="22">
        <f t="shared" si="1150"/>
        <v>0</v>
      </c>
      <c r="AH244" s="22">
        <f t="shared" si="1150"/>
        <v>0</v>
      </c>
      <c r="AI244" s="22">
        <f t="shared" si="1150"/>
        <v>0</v>
      </c>
      <c r="AJ244" s="22">
        <f t="shared" si="1150"/>
        <v>0</v>
      </c>
      <c r="AK244" s="22">
        <f t="shared" si="1150"/>
        <v>0</v>
      </c>
      <c r="AL244" s="22">
        <f t="shared" si="1150"/>
        <v>0</v>
      </c>
      <c r="AM244" s="22">
        <f t="shared" si="1150"/>
        <v>0</v>
      </c>
      <c r="AN244" s="22">
        <f t="shared" si="1150"/>
        <v>0</v>
      </c>
      <c r="AO244" s="22">
        <f t="shared" si="1151"/>
        <v>0</v>
      </c>
      <c r="AQ244" s="106">
        <v>0</v>
      </c>
      <c r="AR244" s="106">
        <v>0</v>
      </c>
      <c r="AS244" s="106">
        <v>0</v>
      </c>
      <c r="AT244" s="106">
        <v>0</v>
      </c>
      <c r="AU244" s="106">
        <v>0</v>
      </c>
      <c r="AV244" s="106">
        <v>0</v>
      </c>
      <c r="AW244" s="106">
        <v>0</v>
      </c>
      <c r="AX244" s="106">
        <v>0</v>
      </c>
      <c r="AY244" s="106">
        <v>0</v>
      </c>
      <c r="AZ244" s="106">
        <v>0</v>
      </c>
      <c r="BA244" s="106">
        <v>0</v>
      </c>
      <c r="BB244" s="106">
        <v>0</v>
      </c>
      <c r="BC244" s="106">
        <f t="shared" si="1152"/>
        <v>0</v>
      </c>
      <c r="BD244" s="16" t="str">
        <f t="shared" si="885"/>
        <v>Depreciation  -Computer</v>
      </c>
      <c r="BE244" s="22">
        <f>+VLOOKUP($BD244,'Jan-25'!$A:$J,4,0)</f>
        <v>0</v>
      </c>
      <c r="BF244" s="22">
        <f>+VLOOKUP($BD244,'Feb-25'!$A:$J,4,0)</f>
        <v>0</v>
      </c>
      <c r="BG244" s="22">
        <f>+VLOOKUP($BD244,'Mar-25'!$A:$J,4,0)</f>
        <v>0</v>
      </c>
      <c r="BH244" s="22">
        <f>+VLOOKUP($BD244,'Apr-25'!$A:$J,4,0)</f>
        <v>0</v>
      </c>
      <c r="BI244" s="22">
        <f>+VLOOKUP($BD244,'May-25'!$A:$J,4,0)</f>
        <v>0</v>
      </c>
      <c r="BJ244" s="22">
        <f>+VLOOKUP($BD244,'June-25'!$A:$J,4,0)</f>
        <v>0</v>
      </c>
      <c r="BK244" s="22">
        <f>+VLOOKUP($BD244,'July-25'!$A:$J,4,0)</f>
        <v>0</v>
      </c>
      <c r="BL244" s="22">
        <f>+VLOOKUP($BD244,'Aug-25'!$A:$J,4,0)</f>
        <v>0</v>
      </c>
      <c r="BM244" s="22">
        <f>+VLOOKUP($BD244,'Sep-25'!$A:$J,4,0)</f>
        <v>0</v>
      </c>
      <c r="BN244" s="22">
        <f>+VLOOKUP($BD244,'Oct-25'!$A:$J,4,0)</f>
        <v>0</v>
      </c>
      <c r="BO244" s="22">
        <f>+VLOOKUP($BD244,'Nov-25'!$A:$J,4,0)</f>
        <v>0</v>
      </c>
      <c r="BP244" s="22">
        <f>+VLOOKUP($BD244,'Dec-25'!$A:$J,4,0)</f>
        <v>0</v>
      </c>
      <c r="BQ244" s="22">
        <f t="shared" si="1153"/>
        <v>0</v>
      </c>
      <c r="BR244" s="118">
        <f t="shared" si="1006"/>
        <v>0</v>
      </c>
      <c r="BS244" s="106">
        <f>+_xlfn.XLOOKUP($BD244,Budget!$A:$A,Budget!AQ:AQ)</f>
        <v>0</v>
      </c>
      <c r="BT244" s="106">
        <f>+_xlfn.XLOOKUP($BD244,Budget!$A:$A,Budget!AR:AR)</f>
        <v>0</v>
      </c>
      <c r="BU244" s="106">
        <f>+_xlfn.XLOOKUP($BD244,Budget!$A:$A,Budget!AS:AS)</f>
        <v>0</v>
      </c>
      <c r="BV244" s="106">
        <f>+_xlfn.XLOOKUP($BD244,Budget!$A:$A,Budget!AT:AT)</f>
        <v>0</v>
      </c>
      <c r="BW244" s="106">
        <f>+_xlfn.XLOOKUP($BD244,Budget!$A:$A,Budget!AU:AU)</f>
        <v>0</v>
      </c>
      <c r="BX244" s="106">
        <f>+_xlfn.XLOOKUP($BD244,Budget!$A:$A,Budget!AV:AV)</f>
        <v>0</v>
      </c>
      <c r="BY244" s="106">
        <f>+_xlfn.XLOOKUP($BD244,Budget!$A:$A,Budget!AW:AW)</f>
        <v>0</v>
      </c>
      <c r="BZ244" s="106">
        <f>+_xlfn.XLOOKUP($BD244,Budget!$A:$A,Budget!AX:AX)</f>
        <v>0</v>
      </c>
      <c r="CA244" s="106">
        <f>+_xlfn.XLOOKUP($BD244,Budget!$A:$A,Budget!AY:AY)</f>
        <v>0</v>
      </c>
      <c r="CB244" s="106">
        <f>+_xlfn.XLOOKUP($BD244,Budget!$A:$A,Budget!AZ:AZ)</f>
        <v>0</v>
      </c>
      <c r="CC244" s="106">
        <f>+_xlfn.XLOOKUP($BD244,Budget!$A:$A,Budget!BA:BA)</f>
        <v>0</v>
      </c>
      <c r="CD244" s="106">
        <f>+_xlfn.XLOOKUP($BD244,Budget!$A:$A,Budget!BB:BB)</f>
        <v>0</v>
      </c>
      <c r="CE244" s="106">
        <f t="shared" si="1154"/>
        <v>0</v>
      </c>
      <c r="CF244" s="22"/>
      <c r="CG244" s="22">
        <v>0</v>
      </c>
      <c r="CH244" s="22">
        <v>0</v>
      </c>
      <c r="CI244" s="22">
        <v>0</v>
      </c>
      <c r="CJ244" s="22">
        <v>0</v>
      </c>
      <c r="CK244" s="22">
        <v>0</v>
      </c>
      <c r="CL244" s="22">
        <v>0</v>
      </c>
      <c r="CM244" s="22">
        <v>0</v>
      </c>
      <c r="CN244" s="22">
        <v>0</v>
      </c>
      <c r="CO244" s="22">
        <v>0</v>
      </c>
      <c r="CP244" s="22">
        <v>0</v>
      </c>
      <c r="CQ244" s="22">
        <v>0</v>
      </c>
      <c r="CR244" s="22">
        <v>0</v>
      </c>
      <c r="CS244" s="106">
        <f t="shared" si="1155"/>
        <v>0</v>
      </c>
      <c r="CT244" s="16" t="str">
        <f t="shared" si="886"/>
        <v>Depreciation  -Computer</v>
      </c>
      <c r="CU244" s="22">
        <f>+VLOOKUP($BD244,'Jan-25'!$A:$J,7,0)</f>
        <v>0</v>
      </c>
      <c r="CV244" s="22">
        <f>+VLOOKUP($BD244,'Feb-25'!$A:$J,7,0)</f>
        <v>0</v>
      </c>
      <c r="CW244" s="22">
        <f>+VLOOKUP($BD244,'Mar-25'!$A:$J,7,0)</f>
        <v>0</v>
      </c>
      <c r="CX244" s="22">
        <f>+VLOOKUP($BD244,'Apr-25'!$A:$J,7,0)</f>
        <v>0</v>
      </c>
      <c r="CY244" s="22">
        <f>+VLOOKUP($BD244,'May-25'!$A:$J,7,0)</f>
        <v>0</v>
      </c>
      <c r="CZ244" s="22">
        <f>+VLOOKUP($BD244,'June-25'!$A:$J,7,0)</f>
        <v>0</v>
      </c>
      <c r="DA244" s="22">
        <f>+VLOOKUP($BD244,'July-25'!$A:$J,7,0)</f>
        <v>0</v>
      </c>
      <c r="DB244" s="22">
        <f>+VLOOKUP($BD244,'Aug-25'!$A:$J,7,0)</f>
        <v>0</v>
      </c>
      <c r="DC244" s="22">
        <f>+VLOOKUP($BD244,'Sep-25'!$A:$J,7,0)</f>
        <v>0</v>
      </c>
      <c r="DD244" s="22">
        <f>+VLOOKUP($BD244,'Oct-25'!$A:$J,7,0)</f>
        <v>0</v>
      </c>
      <c r="DE244" s="22">
        <f>+VLOOKUP($BD244,'Nov-25'!$A:$J,7,0)</f>
        <v>0</v>
      </c>
      <c r="DF244" s="22">
        <f>+VLOOKUP($BD244,'Dec-25'!$A:$J,7,0)</f>
        <v>0</v>
      </c>
      <c r="DG244" s="22">
        <f t="shared" si="1156"/>
        <v>0</v>
      </c>
      <c r="DH244" s="118">
        <f t="shared" si="1007"/>
        <v>0</v>
      </c>
      <c r="DI244" s="22">
        <f>+_xlfn.XLOOKUP($CT244,Budget!$A:$A,Budget!CD:CD)</f>
        <v>0</v>
      </c>
      <c r="DJ244" s="22">
        <f>+_xlfn.XLOOKUP($CT244,Budget!$A:$A,Budget!CE:CE)</f>
        <v>0</v>
      </c>
      <c r="DK244" s="22">
        <f>+_xlfn.XLOOKUP($CT244,Budget!$A:$A,Budget!CF:CF)</f>
        <v>0</v>
      </c>
      <c r="DL244" s="22">
        <f>+_xlfn.XLOOKUP($CT244,Budget!$A:$A,Budget!CG:CG)</f>
        <v>0</v>
      </c>
      <c r="DM244" s="22">
        <f>+_xlfn.XLOOKUP($CT244,Budget!$A:$A,Budget!CH:CH)</f>
        <v>0</v>
      </c>
      <c r="DN244" s="22">
        <f>+_xlfn.XLOOKUP($CT244,Budget!$A:$A,Budget!CI:CI)</f>
        <v>0</v>
      </c>
      <c r="DO244" s="22">
        <f>+_xlfn.XLOOKUP($CT244,Budget!$A:$A,Budget!CJ:CJ)</f>
        <v>0</v>
      </c>
      <c r="DP244" s="22">
        <f>+_xlfn.XLOOKUP($CT244,Budget!$A:$A,Budget!CK:CK)</f>
        <v>0</v>
      </c>
      <c r="DQ244" s="22">
        <f>+_xlfn.XLOOKUP($CT244,Budget!$A:$A,Budget!CL:CL)</f>
        <v>0</v>
      </c>
      <c r="DR244" s="22">
        <f>+_xlfn.XLOOKUP($CT244,Budget!$A:$A,Budget!CM:CM)</f>
        <v>0</v>
      </c>
      <c r="DS244" s="22">
        <f>+_xlfn.XLOOKUP($CT244,Budget!$A:$A,Budget!CN:CN)</f>
        <v>0</v>
      </c>
      <c r="DT244" s="22">
        <f>+_xlfn.XLOOKUP($CT244,Budget!$A:$A,Budget!CO:CO)</f>
        <v>0</v>
      </c>
      <c r="DU244" s="106">
        <f t="shared" si="1157"/>
        <v>0</v>
      </c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106">
        <f t="shared" si="1158"/>
        <v>0</v>
      </c>
      <c r="EJ244" s="16" t="str">
        <f t="shared" si="1133"/>
        <v>Depreciation  -Computer</v>
      </c>
      <c r="EK244" s="22">
        <f>+VLOOKUP($BD244,'Jan-25'!$A:$J,9,0)</f>
        <v>0</v>
      </c>
      <c r="EL244" s="22">
        <f>+VLOOKUP($BD244,'Feb-25'!$A:$J,9,0)</f>
        <v>0</v>
      </c>
      <c r="EM244" s="22">
        <f>+VLOOKUP($BD244,'Mar-25'!$A:$J,9,0)</f>
        <v>0</v>
      </c>
      <c r="EN244" s="22">
        <f>+VLOOKUP($BD244,'Apr-25'!$A:$J,9,0)</f>
        <v>0</v>
      </c>
      <c r="EO244" s="22">
        <f>+VLOOKUP($BD244,'May-25'!$A:$J,9,0)</f>
        <v>0</v>
      </c>
      <c r="EP244" s="22">
        <f>+VLOOKUP($BD244,'June-25'!$A:$J,9,0)</f>
        <v>0</v>
      </c>
      <c r="EQ244" s="22">
        <f>+VLOOKUP($BD244,'July-25'!$A:$J,9,0)</f>
        <v>0</v>
      </c>
      <c r="ER244" s="22">
        <f>+VLOOKUP($BD244,'Aug-25'!$A:$J,9,0)</f>
        <v>0</v>
      </c>
      <c r="ES244" s="22">
        <f>+VLOOKUP($BD244,'Sep-25'!$A:$J,9,0)</f>
        <v>0</v>
      </c>
      <c r="ET244" s="22">
        <f>+VLOOKUP($BD244,'Oct-25'!$A:$J,9,0)</f>
        <v>0</v>
      </c>
      <c r="EU244" s="22">
        <f>+VLOOKUP($BD244,'Nov-25'!$A:$J,9,0)</f>
        <v>0</v>
      </c>
      <c r="EV244" s="22">
        <f>+VLOOKUP($BD244,'Dec-25'!$A:$J,9,0)</f>
        <v>0</v>
      </c>
      <c r="EW244" s="22">
        <f t="shared" si="1159"/>
        <v>0</v>
      </c>
      <c r="EX244" s="118">
        <f t="shared" si="1008"/>
        <v>0</v>
      </c>
      <c r="EY244" s="22">
        <f>+_xlfn.XLOOKUP($EJ244,Budget!$A:$A,Budget!DE:DE)</f>
        <v>0</v>
      </c>
      <c r="EZ244" s="22">
        <f>+_xlfn.XLOOKUP($EJ244,Budget!$A:$A,Budget!DF:DF)</f>
        <v>0</v>
      </c>
      <c r="FA244" s="22">
        <f>+_xlfn.XLOOKUP($EJ244,Budget!$A:$A,Budget!DG:DG)</f>
        <v>0</v>
      </c>
      <c r="FB244" s="22">
        <f>+_xlfn.XLOOKUP($EJ244,Budget!$A:$A,Budget!DH:DH)</f>
        <v>0</v>
      </c>
      <c r="FC244" s="22">
        <f>+_xlfn.XLOOKUP($EJ244,Budget!$A:$A,Budget!DI:DI)</f>
        <v>0</v>
      </c>
      <c r="FD244" s="22">
        <f>+_xlfn.XLOOKUP($EJ244,Budget!$A:$A,Budget!DJ:DJ)</f>
        <v>0</v>
      </c>
      <c r="FE244" s="22">
        <f>+_xlfn.XLOOKUP($EJ244,Budget!$A:$A,Budget!DK:DK)</f>
        <v>0</v>
      </c>
      <c r="FF244" s="22">
        <f>+_xlfn.XLOOKUP($EJ244,Budget!$A:$A,Budget!DL:DL)</f>
        <v>0</v>
      </c>
      <c r="FG244" s="22">
        <f>+_xlfn.XLOOKUP($EJ244,Budget!$A:$A,Budget!DM:DM)</f>
        <v>0</v>
      </c>
      <c r="FH244" s="22">
        <f>+_xlfn.XLOOKUP($EJ244,Budget!$A:$A,Budget!DN:DN)</f>
        <v>0</v>
      </c>
      <c r="FI244" s="22">
        <f>+_xlfn.XLOOKUP($EJ244,Budget!$A:$A,Budget!DO:DO)</f>
        <v>0</v>
      </c>
      <c r="FJ244" s="22">
        <f>+_xlfn.XLOOKUP($EJ244,Budget!$A:$A,Budget!DP:DP)</f>
        <v>0</v>
      </c>
      <c r="FK244" s="106">
        <f t="shared" si="1160"/>
        <v>0</v>
      </c>
    </row>
    <row r="245" spans="1:167" ht="14.45" hidden="1" customHeight="1" outlineLevel="1">
      <c r="A245" s="106">
        <f t="shared" si="1146"/>
        <v>0</v>
      </c>
      <c r="B245" s="106">
        <f t="shared" si="1146"/>
        <v>0</v>
      </c>
      <c r="C245" s="106">
        <f t="shared" si="1146"/>
        <v>0</v>
      </c>
      <c r="D245" s="106">
        <f t="shared" si="1146"/>
        <v>0</v>
      </c>
      <c r="E245" s="106">
        <f t="shared" si="1146"/>
        <v>0</v>
      </c>
      <c r="F245" s="106">
        <f t="shared" si="1146"/>
        <v>0</v>
      </c>
      <c r="G245" s="106">
        <f t="shared" si="1146"/>
        <v>0</v>
      </c>
      <c r="H245" s="106">
        <f t="shared" si="1146"/>
        <v>0</v>
      </c>
      <c r="I245" s="106">
        <f t="shared" si="1146"/>
        <v>0</v>
      </c>
      <c r="J245" s="106">
        <f t="shared" si="1146"/>
        <v>0</v>
      </c>
      <c r="K245" s="106">
        <f t="shared" si="1146"/>
        <v>0</v>
      </c>
      <c r="L245" s="106">
        <f t="shared" si="1146"/>
        <v>0</v>
      </c>
      <c r="M245" s="106">
        <f t="shared" si="1147"/>
        <v>0</v>
      </c>
      <c r="N245" s="16" t="s">
        <v>240</v>
      </c>
      <c r="O245" s="22">
        <f t="shared" si="1148"/>
        <v>0</v>
      </c>
      <c r="P245" s="22">
        <f t="shared" si="1148"/>
        <v>0</v>
      </c>
      <c r="Q245" s="22">
        <f t="shared" si="1148"/>
        <v>0</v>
      </c>
      <c r="R245" s="22">
        <f t="shared" si="1148"/>
        <v>0</v>
      </c>
      <c r="S245" s="22">
        <f t="shared" si="1148"/>
        <v>0</v>
      </c>
      <c r="T245" s="22">
        <f t="shared" si="1148"/>
        <v>0</v>
      </c>
      <c r="U245" s="22">
        <f t="shared" si="1148"/>
        <v>0</v>
      </c>
      <c r="V245" s="22">
        <f t="shared" si="1148"/>
        <v>0</v>
      </c>
      <c r="W245" s="22">
        <f t="shared" si="1148"/>
        <v>0</v>
      </c>
      <c r="X245" s="22">
        <f t="shared" si="1148"/>
        <v>0</v>
      </c>
      <c r="Y245" s="22">
        <f t="shared" si="1148"/>
        <v>0</v>
      </c>
      <c r="Z245" s="22">
        <f t="shared" si="1148"/>
        <v>0</v>
      </c>
      <c r="AA245" s="22">
        <f t="shared" si="1149"/>
        <v>0</v>
      </c>
      <c r="AB245" s="118">
        <f t="shared" si="1005"/>
        <v>0</v>
      </c>
      <c r="AC245" s="22">
        <f t="shared" si="1150"/>
        <v>0</v>
      </c>
      <c r="AD245" s="22">
        <f t="shared" si="1150"/>
        <v>0</v>
      </c>
      <c r="AE245" s="22">
        <f t="shared" si="1150"/>
        <v>0</v>
      </c>
      <c r="AF245" s="22">
        <f t="shared" si="1150"/>
        <v>0</v>
      </c>
      <c r="AG245" s="22">
        <f t="shared" si="1150"/>
        <v>0</v>
      </c>
      <c r="AH245" s="22">
        <f t="shared" si="1150"/>
        <v>0</v>
      </c>
      <c r="AI245" s="22">
        <f t="shared" si="1150"/>
        <v>0</v>
      </c>
      <c r="AJ245" s="22">
        <f t="shared" si="1150"/>
        <v>0</v>
      </c>
      <c r="AK245" s="22">
        <f t="shared" si="1150"/>
        <v>0</v>
      </c>
      <c r="AL245" s="22">
        <f t="shared" si="1150"/>
        <v>0</v>
      </c>
      <c r="AM245" s="22">
        <f t="shared" si="1150"/>
        <v>0</v>
      </c>
      <c r="AN245" s="22">
        <f t="shared" si="1150"/>
        <v>0</v>
      </c>
      <c r="AO245" s="22">
        <f t="shared" si="1151"/>
        <v>0</v>
      </c>
      <c r="AQ245" s="106">
        <v>0</v>
      </c>
      <c r="AR245" s="106">
        <v>0</v>
      </c>
      <c r="AS245" s="106">
        <v>0</v>
      </c>
      <c r="AT245" s="106">
        <v>0</v>
      </c>
      <c r="AU245" s="106">
        <v>0</v>
      </c>
      <c r="AV245" s="106">
        <v>0</v>
      </c>
      <c r="AW245" s="106">
        <v>0</v>
      </c>
      <c r="AX245" s="106">
        <v>0</v>
      </c>
      <c r="AY245" s="106">
        <v>0</v>
      </c>
      <c r="AZ245" s="106">
        <v>0</v>
      </c>
      <c r="BA245" s="106">
        <v>0</v>
      </c>
      <c r="BB245" s="106">
        <v>0</v>
      </c>
      <c r="BC245" s="106">
        <f t="shared" si="1152"/>
        <v>0</v>
      </c>
      <c r="BD245" s="16" t="str">
        <f t="shared" si="885"/>
        <v>Depreciation  - Furniture &amp; Fixures</v>
      </c>
      <c r="BE245" s="22">
        <f>+VLOOKUP($BD245,'Jan-25'!$A:$J,4,0)</f>
        <v>0</v>
      </c>
      <c r="BF245" s="22">
        <f>+VLOOKUP($BD245,'Feb-25'!$A:$J,4,0)</f>
        <v>0</v>
      </c>
      <c r="BG245" s="22">
        <f>+VLOOKUP($BD245,'Mar-25'!$A:$J,4,0)</f>
        <v>0</v>
      </c>
      <c r="BH245" s="22">
        <f>+VLOOKUP($BD245,'Apr-25'!$A:$J,4,0)</f>
        <v>0</v>
      </c>
      <c r="BI245" s="22">
        <f>+VLOOKUP($BD245,'May-25'!$A:$J,4,0)</f>
        <v>0</v>
      </c>
      <c r="BJ245" s="22">
        <f>+VLOOKUP($BD245,'June-25'!$A:$J,4,0)</f>
        <v>0</v>
      </c>
      <c r="BK245" s="22">
        <f>+VLOOKUP($BD245,'July-25'!$A:$J,4,0)</f>
        <v>0</v>
      </c>
      <c r="BL245" s="22">
        <f>+VLOOKUP($BD245,'Aug-25'!$A:$J,4,0)</f>
        <v>0</v>
      </c>
      <c r="BM245" s="22">
        <f>+VLOOKUP($BD245,'Sep-25'!$A:$J,4,0)</f>
        <v>0</v>
      </c>
      <c r="BN245" s="22">
        <f>+VLOOKUP($BD245,'Oct-25'!$A:$J,4,0)</f>
        <v>0</v>
      </c>
      <c r="BO245" s="22">
        <f>+VLOOKUP($BD245,'Nov-25'!$A:$J,4,0)</f>
        <v>0</v>
      </c>
      <c r="BP245" s="22">
        <f>+VLOOKUP($BD245,'Dec-25'!$A:$J,4,0)</f>
        <v>0</v>
      </c>
      <c r="BQ245" s="22">
        <f t="shared" si="1153"/>
        <v>0</v>
      </c>
      <c r="BR245" s="118">
        <f t="shared" si="1006"/>
        <v>0</v>
      </c>
      <c r="BS245" s="106">
        <f>+_xlfn.XLOOKUP($BD245,Budget!$A:$A,Budget!AQ:AQ)</f>
        <v>0</v>
      </c>
      <c r="BT245" s="106">
        <f>+_xlfn.XLOOKUP($BD245,Budget!$A:$A,Budget!AR:AR)</f>
        <v>0</v>
      </c>
      <c r="BU245" s="106">
        <f>+_xlfn.XLOOKUP($BD245,Budget!$A:$A,Budget!AS:AS)</f>
        <v>0</v>
      </c>
      <c r="BV245" s="106">
        <f>+_xlfn.XLOOKUP($BD245,Budget!$A:$A,Budget!AT:AT)</f>
        <v>0</v>
      </c>
      <c r="BW245" s="106">
        <f>+_xlfn.XLOOKUP($BD245,Budget!$A:$A,Budget!AU:AU)</f>
        <v>0</v>
      </c>
      <c r="BX245" s="106">
        <f>+_xlfn.XLOOKUP($BD245,Budget!$A:$A,Budget!AV:AV)</f>
        <v>0</v>
      </c>
      <c r="BY245" s="106">
        <f>+_xlfn.XLOOKUP($BD245,Budget!$A:$A,Budget!AW:AW)</f>
        <v>0</v>
      </c>
      <c r="BZ245" s="106">
        <f>+_xlfn.XLOOKUP($BD245,Budget!$A:$A,Budget!AX:AX)</f>
        <v>0</v>
      </c>
      <c r="CA245" s="106">
        <f>+_xlfn.XLOOKUP($BD245,Budget!$A:$A,Budget!AY:AY)</f>
        <v>0</v>
      </c>
      <c r="CB245" s="106">
        <f>+_xlfn.XLOOKUP($BD245,Budget!$A:$A,Budget!AZ:AZ)</f>
        <v>0</v>
      </c>
      <c r="CC245" s="106">
        <f>+_xlfn.XLOOKUP($BD245,Budget!$A:$A,Budget!BA:BA)</f>
        <v>0</v>
      </c>
      <c r="CD245" s="106">
        <f>+_xlfn.XLOOKUP($BD245,Budget!$A:$A,Budget!BB:BB)</f>
        <v>0</v>
      </c>
      <c r="CE245" s="106">
        <f t="shared" si="1154"/>
        <v>0</v>
      </c>
      <c r="CF245" s="22"/>
      <c r="CG245" s="22">
        <v>0</v>
      </c>
      <c r="CH245" s="22">
        <v>0</v>
      </c>
      <c r="CI245" s="22">
        <v>0</v>
      </c>
      <c r="CJ245" s="22">
        <v>0</v>
      </c>
      <c r="CK245" s="22">
        <v>0</v>
      </c>
      <c r="CL245" s="22">
        <v>0</v>
      </c>
      <c r="CM245" s="22">
        <v>0</v>
      </c>
      <c r="CN245" s="22">
        <v>0</v>
      </c>
      <c r="CO245" s="22">
        <v>0</v>
      </c>
      <c r="CP245" s="22">
        <v>0</v>
      </c>
      <c r="CQ245" s="22">
        <v>0</v>
      </c>
      <c r="CR245" s="22">
        <v>0</v>
      </c>
      <c r="CS245" s="106">
        <f t="shared" si="1155"/>
        <v>0</v>
      </c>
      <c r="CT245" s="16" t="str">
        <f t="shared" si="886"/>
        <v>Depreciation  - Furniture &amp; Fixures</v>
      </c>
      <c r="CU245" s="22">
        <f>+VLOOKUP($BD245,'Jan-25'!$A:$J,7,0)</f>
        <v>0</v>
      </c>
      <c r="CV245" s="22">
        <f>+VLOOKUP($BD245,'Feb-25'!$A:$J,7,0)</f>
        <v>0</v>
      </c>
      <c r="CW245" s="22">
        <f>+VLOOKUP($BD245,'Mar-25'!$A:$J,7,0)</f>
        <v>0</v>
      </c>
      <c r="CX245" s="22">
        <f>+VLOOKUP($BD245,'Apr-25'!$A:$J,7,0)</f>
        <v>0</v>
      </c>
      <c r="CY245" s="22">
        <f>+VLOOKUP($BD245,'May-25'!$A:$J,7,0)</f>
        <v>0</v>
      </c>
      <c r="CZ245" s="22">
        <f>+VLOOKUP($BD245,'June-25'!$A:$J,7,0)</f>
        <v>0</v>
      </c>
      <c r="DA245" s="22">
        <f>+VLOOKUP($BD245,'July-25'!$A:$J,7,0)</f>
        <v>0</v>
      </c>
      <c r="DB245" s="22">
        <f>+VLOOKUP($BD245,'Aug-25'!$A:$J,7,0)</f>
        <v>0</v>
      </c>
      <c r="DC245" s="22">
        <f>+VLOOKUP($BD245,'Sep-25'!$A:$J,7,0)</f>
        <v>0</v>
      </c>
      <c r="DD245" s="22">
        <f>+VLOOKUP($BD245,'Oct-25'!$A:$J,7,0)</f>
        <v>0</v>
      </c>
      <c r="DE245" s="22">
        <f>+VLOOKUP($BD245,'Nov-25'!$A:$J,7,0)</f>
        <v>0</v>
      </c>
      <c r="DF245" s="22">
        <f>+VLOOKUP($BD245,'Dec-25'!$A:$J,7,0)</f>
        <v>0</v>
      </c>
      <c r="DG245" s="22">
        <f t="shared" si="1156"/>
        <v>0</v>
      </c>
      <c r="DH245" s="118">
        <f t="shared" si="1007"/>
        <v>0</v>
      </c>
      <c r="DI245" s="22">
        <f>+_xlfn.XLOOKUP($CT245,Budget!$A:$A,Budget!CD:CD)</f>
        <v>0</v>
      </c>
      <c r="DJ245" s="22">
        <f>+_xlfn.XLOOKUP($CT245,Budget!$A:$A,Budget!CE:CE)</f>
        <v>0</v>
      </c>
      <c r="DK245" s="22">
        <f>+_xlfn.XLOOKUP($CT245,Budget!$A:$A,Budget!CF:CF)</f>
        <v>0</v>
      </c>
      <c r="DL245" s="22">
        <f>+_xlfn.XLOOKUP($CT245,Budget!$A:$A,Budget!CG:CG)</f>
        <v>0</v>
      </c>
      <c r="DM245" s="22">
        <f>+_xlfn.XLOOKUP($CT245,Budget!$A:$A,Budget!CH:CH)</f>
        <v>0</v>
      </c>
      <c r="DN245" s="22">
        <f>+_xlfn.XLOOKUP($CT245,Budget!$A:$A,Budget!CI:CI)</f>
        <v>0</v>
      </c>
      <c r="DO245" s="22">
        <f>+_xlfn.XLOOKUP($CT245,Budget!$A:$A,Budget!CJ:CJ)</f>
        <v>0</v>
      </c>
      <c r="DP245" s="22">
        <f>+_xlfn.XLOOKUP($CT245,Budget!$A:$A,Budget!CK:CK)</f>
        <v>0</v>
      </c>
      <c r="DQ245" s="22">
        <f>+_xlfn.XLOOKUP($CT245,Budget!$A:$A,Budget!CL:CL)</f>
        <v>0</v>
      </c>
      <c r="DR245" s="22">
        <f>+_xlfn.XLOOKUP($CT245,Budget!$A:$A,Budget!CM:CM)</f>
        <v>0</v>
      </c>
      <c r="DS245" s="22">
        <f>+_xlfn.XLOOKUP($CT245,Budget!$A:$A,Budget!CN:CN)</f>
        <v>0</v>
      </c>
      <c r="DT245" s="22">
        <f>+_xlfn.XLOOKUP($CT245,Budget!$A:$A,Budget!CO:CO)</f>
        <v>0</v>
      </c>
      <c r="DU245" s="106">
        <f t="shared" si="1157"/>
        <v>0</v>
      </c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106">
        <f t="shared" si="1158"/>
        <v>0</v>
      </c>
      <c r="EJ245" s="16" t="str">
        <f t="shared" si="1133"/>
        <v>Depreciation  - Furniture &amp; Fixures</v>
      </c>
      <c r="EK245" s="22">
        <f>+VLOOKUP($BD245,'Jan-25'!$A:$J,9,0)</f>
        <v>0</v>
      </c>
      <c r="EL245" s="22">
        <f>+VLOOKUP($BD245,'Feb-25'!$A:$J,9,0)</f>
        <v>0</v>
      </c>
      <c r="EM245" s="22">
        <f>+VLOOKUP($BD245,'Mar-25'!$A:$J,9,0)</f>
        <v>0</v>
      </c>
      <c r="EN245" s="22">
        <f>+VLOOKUP($BD245,'Apr-25'!$A:$J,9,0)</f>
        <v>0</v>
      </c>
      <c r="EO245" s="22">
        <f>+VLOOKUP($BD245,'May-25'!$A:$J,9,0)</f>
        <v>0</v>
      </c>
      <c r="EP245" s="22">
        <f>+VLOOKUP($BD245,'June-25'!$A:$J,9,0)</f>
        <v>0</v>
      </c>
      <c r="EQ245" s="22">
        <f>+VLOOKUP($BD245,'July-25'!$A:$J,9,0)</f>
        <v>0</v>
      </c>
      <c r="ER245" s="22">
        <f>+VLOOKUP($BD245,'Aug-25'!$A:$J,9,0)</f>
        <v>0</v>
      </c>
      <c r="ES245" s="22">
        <f>+VLOOKUP($BD245,'Sep-25'!$A:$J,9,0)</f>
        <v>0</v>
      </c>
      <c r="ET245" s="22">
        <f>+VLOOKUP($BD245,'Oct-25'!$A:$J,9,0)</f>
        <v>0</v>
      </c>
      <c r="EU245" s="22">
        <f>+VLOOKUP($BD245,'Nov-25'!$A:$J,9,0)</f>
        <v>0</v>
      </c>
      <c r="EV245" s="22">
        <f>+VLOOKUP($BD245,'Dec-25'!$A:$J,9,0)</f>
        <v>0</v>
      </c>
      <c r="EW245" s="22">
        <f t="shared" si="1159"/>
        <v>0</v>
      </c>
      <c r="EX245" s="118">
        <f t="shared" si="1008"/>
        <v>0</v>
      </c>
      <c r="EY245" s="22">
        <f>+_xlfn.XLOOKUP($EJ245,Budget!$A:$A,Budget!DE:DE)</f>
        <v>0</v>
      </c>
      <c r="EZ245" s="22">
        <f>+_xlfn.XLOOKUP($EJ245,Budget!$A:$A,Budget!DF:DF)</f>
        <v>0</v>
      </c>
      <c r="FA245" s="22">
        <f>+_xlfn.XLOOKUP($EJ245,Budget!$A:$A,Budget!DG:DG)</f>
        <v>0</v>
      </c>
      <c r="FB245" s="22">
        <f>+_xlfn.XLOOKUP($EJ245,Budget!$A:$A,Budget!DH:DH)</f>
        <v>0</v>
      </c>
      <c r="FC245" s="22">
        <f>+_xlfn.XLOOKUP($EJ245,Budget!$A:$A,Budget!DI:DI)</f>
        <v>0</v>
      </c>
      <c r="FD245" s="22">
        <f>+_xlfn.XLOOKUP($EJ245,Budget!$A:$A,Budget!DJ:DJ)</f>
        <v>0</v>
      </c>
      <c r="FE245" s="22">
        <f>+_xlfn.XLOOKUP($EJ245,Budget!$A:$A,Budget!DK:DK)</f>
        <v>0</v>
      </c>
      <c r="FF245" s="22">
        <f>+_xlfn.XLOOKUP($EJ245,Budget!$A:$A,Budget!DL:DL)</f>
        <v>0</v>
      </c>
      <c r="FG245" s="22">
        <f>+_xlfn.XLOOKUP($EJ245,Budget!$A:$A,Budget!DM:DM)</f>
        <v>0</v>
      </c>
      <c r="FH245" s="22">
        <f>+_xlfn.XLOOKUP($EJ245,Budget!$A:$A,Budget!DN:DN)</f>
        <v>0</v>
      </c>
      <c r="FI245" s="22">
        <f>+_xlfn.XLOOKUP($EJ245,Budget!$A:$A,Budget!DO:DO)</f>
        <v>0</v>
      </c>
      <c r="FJ245" s="22">
        <f>+_xlfn.XLOOKUP($EJ245,Budget!$A:$A,Budget!DP:DP)</f>
        <v>0</v>
      </c>
      <c r="FK245" s="106">
        <f t="shared" si="1160"/>
        <v>0</v>
      </c>
    </row>
    <row r="246" spans="1:167" ht="14.45" hidden="1" customHeight="1" outlineLevel="1">
      <c r="A246" s="106">
        <f t="shared" si="1146"/>
        <v>0</v>
      </c>
      <c r="B246" s="106">
        <f t="shared" si="1146"/>
        <v>0</v>
      </c>
      <c r="C246" s="106">
        <f t="shared" si="1146"/>
        <v>0</v>
      </c>
      <c r="D246" s="106">
        <f t="shared" si="1146"/>
        <v>0</v>
      </c>
      <c r="E246" s="106">
        <f t="shared" si="1146"/>
        <v>0</v>
      </c>
      <c r="F246" s="106">
        <f t="shared" si="1146"/>
        <v>0</v>
      </c>
      <c r="G246" s="106">
        <f t="shared" si="1146"/>
        <v>0</v>
      </c>
      <c r="H246" s="106">
        <f t="shared" si="1146"/>
        <v>0</v>
      </c>
      <c r="I246" s="106">
        <f t="shared" si="1146"/>
        <v>0</v>
      </c>
      <c r="J246" s="106">
        <f t="shared" si="1146"/>
        <v>0</v>
      </c>
      <c r="K246" s="106">
        <f t="shared" si="1146"/>
        <v>0</v>
      </c>
      <c r="L246" s="106">
        <f t="shared" si="1146"/>
        <v>0</v>
      </c>
      <c r="M246" s="106">
        <f t="shared" si="1147"/>
        <v>0</v>
      </c>
      <c r="N246" s="16" t="s">
        <v>241</v>
      </c>
      <c r="O246" s="22">
        <f t="shared" si="1148"/>
        <v>0</v>
      </c>
      <c r="P246" s="22">
        <f t="shared" si="1148"/>
        <v>0</v>
      </c>
      <c r="Q246" s="22">
        <f t="shared" si="1148"/>
        <v>0</v>
      </c>
      <c r="R246" s="22">
        <f t="shared" si="1148"/>
        <v>0</v>
      </c>
      <c r="S246" s="22">
        <f t="shared" si="1148"/>
        <v>0</v>
      </c>
      <c r="T246" s="22">
        <f t="shared" si="1148"/>
        <v>0</v>
      </c>
      <c r="U246" s="22">
        <f t="shared" si="1148"/>
        <v>0</v>
      </c>
      <c r="V246" s="22">
        <f t="shared" si="1148"/>
        <v>0</v>
      </c>
      <c r="W246" s="22">
        <f t="shared" si="1148"/>
        <v>0</v>
      </c>
      <c r="X246" s="22">
        <f t="shared" si="1148"/>
        <v>0</v>
      </c>
      <c r="Y246" s="22">
        <f t="shared" si="1148"/>
        <v>0</v>
      </c>
      <c r="Z246" s="22">
        <f t="shared" si="1148"/>
        <v>0</v>
      </c>
      <c r="AA246" s="22">
        <f t="shared" si="1149"/>
        <v>0</v>
      </c>
      <c r="AB246" s="118">
        <f t="shared" si="1005"/>
        <v>0</v>
      </c>
      <c r="AC246" s="22">
        <f t="shared" si="1150"/>
        <v>0</v>
      </c>
      <c r="AD246" s="22">
        <f t="shared" si="1150"/>
        <v>0</v>
      </c>
      <c r="AE246" s="22">
        <f t="shared" si="1150"/>
        <v>0</v>
      </c>
      <c r="AF246" s="22">
        <f t="shared" si="1150"/>
        <v>0</v>
      </c>
      <c r="AG246" s="22">
        <f t="shared" si="1150"/>
        <v>0</v>
      </c>
      <c r="AH246" s="22">
        <f t="shared" si="1150"/>
        <v>0</v>
      </c>
      <c r="AI246" s="22">
        <f t="shared" si="1150"/>
        <v>0</v>
      </c>
      <c r="AJ246" s="22">
        <f t="shared" si="1150"/>
        <v>0</v>
      </c>
      <c r="AK246" s="22">
        <f t="shared" si="1150"/>
        <v>0</v>
      </c>
      <c r="AL246" s="22">
        <f t="shared" si="1150"/>
        <v>0</v>
      </c>
      <c r="AM246" s="22">
        <f t="shared" si="1150"/>
        <v>0</v>
      </c>
      <c r="AN246" s="22">
        <f t="shared" si="1150"/>
        <v>0</v>
      </c>
      <c r="AO246" s="22">
        <f t="shared" si="1151"/>
        <v>0</v>
      </c>
      <c r="AQ246" s="106">
        <v>0</v>
      </c>
      <c r="AR246" s="106">
        <v>0</v>
      </c>
      <c r="AS246" s="106">
        <v>0</v>
      </c>
      <c r="AT246" s="106">
        <v>0</v>
      </c>
      <c r="AU246" s="106">
        <v>0</v>
      </c>
      <c r="AV246" s="106">
        <v>0</v>
      </c>
      <c r="AW246" s="106">
        <v>0</v>
      </c>
      <c r="AX246" s="106">
        <v>0</v>
      </c>
      <c r="AY246" s="106">
        <v>0</v>
      </c>
      <c r="AZ246" s="106">
        <v>0</v>
      </c>
      <c r="BA246" s="106">
        <v>0</v>
      </c>
      <c r="BB246" s="106">
        <v>0</v>
      </c>
      <c r="BC246" s="106">
        <f t="shared" si="1152"/>
        <v>0</v>
      </c>
      <c r="BD246" s="16" t="str">
        <f t="shared" si="885"/>
        <v>Depreciation  -Plant &amp; Machinery</v>
      </c>
      <c r="BE246" s="22">
        <f>+VLOOKUP($BD246,'Jan-25'!$A:$J,4,0)</f>
        <v>0</v>
      </c>
      <c r="BF246" s="22">
        <f>+VLOOKUP($BD246,'Feb-25'!$A:$J,4,0)</f>
        <v>0</v>
      </c>
      <c r="BG246" s="22">
        <f>+VLOOKUP($BD246,'Mar-25'!$A:$J,4,0)</f>
        <v>0</v>
      </c>
      <c r="BH246" s="22">
        <f>+VLOOKUP($BD246,'Apr-25'!$A:$J,4,0)</f>
        <v>0</v>
      </c>
      <c r="BI246" s="22">
        <f>+VLOOKUP($BD246,'May-25'!$A:$J,4,0)</f>
        <v>0</v>
      </c>
      <c r="BJ246" s="22">
        <f>+VLOOKUP($BD246,'June-25'!$A:$J,4,0)</f>
        <v>0</v>
      </c>
      <c r="BK246" s="22">
        <f>+VLOOKUP($BD246,'July-25'!$A:$J,4,0)</f>
        <v>0</v>
      </c>
      <c r="BL246" s="22">
        <f>+VLOOKUP($BD246,'Aug-25'!$A:$J,4,0)</f>
        <v>0</v>
      </c>
      <c r="BM246" s="22">
        <f>+VLOOKUP($BD246,'Sep-25'!$A:$J,4,0)</f>
        <v>0</v>
      </c>
      <c r="BN246" s="22">
        <f>+VLOOKUP($BD246,'Oct-25'!$A:$J,4,0)</f>
        <v>0</v>
      </c>
      <c r="BO246" s="22">
        <f>+VLOOKUP($BD246,'Nov-25'!$A:$J,4,0)</f>
        <v>0</v>
      </c>
      <c r="BP246" s="22">
        <f>+VLOOKUP($BD246,'Dec-25'!$A:$J,4,0)</f>
        <v>0</v>
      </c>
      <c r="BQ246" s="22">
        <f t="shared" si="1153"/>
        <v>0</v>
      </c>
      <c r="BR246" s="118">
        <f t="shared" si="1006"/>
        <v>0</v>
      </c>
      <c r="BS246" s="106">
        <f>+_xlfn.XLOOKUP($BD246,Budget!$A:$A,Budget!AQ:AQ)</f>
        <v>0</v>
      </c>
      <c r="BT246" s="106">
        <f>+_xlfn.XLOOKUP($BD246,Budget!$A:$A,Budget!AR:AR)</f>
        <v>0</v>
      </c>
      <c r="BU246" s="106">
        <f>+_xlfn.XLOOKUP($BD246,Budget!$A:$A,Budget!AS:AS)</f>
        <v>0</v>
      </c>
      <c r="BV246" s="106">
        <f>+_xlfn.XLOOKUP($BD246,Budget!$A:$A,Budget!AT:AT)</f>
        <v>0</v>
      </c>
      <c r="BW246" s="106">
        <f>+_xlfn.XLOOKUP($BD246,Budget!$A:$A,Budget!AU:AU)</f>
        <v>0</v>
      </c>
      <c r="BX246" s="106">
        <f>+_xlfn.XLOOKUP($BD246,Budget!$A:$A,Budget!AV:AV)</f>
        <v>0</v>
      </c>
      <c r="BY246" s="106">
        <f>+_xlfn.XLOOKUP($BD246,Budget!$A:$A,Budget!AW:AW)</f>
        <v>0</v>
      </c>
      <c r="BZ246" s="106">
        <f>+_xlfn.XLOOKUP($BD246,Budget!$A:$A,Budget!AX:AX)</f>
        <v>0</v>
      </c>
      <c r="CA246" s="106">
        <f>+_xlfn.XLOOKUP($BD246,Budget!$A:$A,Budget!AY:AY)</f>
        <v>0</v>
      </c>
      <c r="CB246" s="106">
        <f>+_xlfn.XLOOKUP($BD246,Budget!$A:$A,Budget!AZ:AZ)</f>
        <v>0</v>
      </c>
      <c r="CC246" s="106">
        <f>+_xlfn.XLOOKUP($BD246,Budget!$A:$A,Budget!BA:BA)</f>
        <v>0</v>
      </c>
      <c r="CD246" s="106">
        <f>+_xlfn.XLOOKUP($BD246,Budget!$A:$A,Budget!BB:BB)</f>
        <v>0</v>
      </c>
      <c r="CE246" s="106">
        <f t="shared" si="1154"/>
        <v>0</v>
      </c>
      <c r="CF246" s="22"/>
      <c r="CG246" s="22">
        <v>0</v>
      </c>
      <c r="CH246" s="22">
        <v>0</v>
      </c>
      <c r="CI246" s="22">
        <v>0</v>
      </c>
      <c r="CJ246" s="22">
        <v>0</v>
      </c>
      <c r="CK246" s="22">
        <v>0</v>
      </c>
      <c r="CL246" s="22">
        <v>0</v>
      </c>
      <c r="CM246" s="22">
        <v>0</v>
      </c>
      <c r="CN246" s="22">
        <v>0</v>
      </c>
      <c r="CO246" s="22">
        <v>0</v>
      </c>
      <c r="CP246" s="22">
        <v>0</v>
      </c>
      <c r="CQ246" s="22">
        <v>0</v>
      </c>
      <c r="CR246" s="22">
        <v>0</v>
      </c>
      <c r="CS246" s="106">
        <f t="shared" si="1155"/>
        <v>0</v>
      </c>
      <c r="CT246" s="16" t="str">
        <f t="shared" si="886"/>
        <v>Depreciation  -Plant &amp; Machinery</v>
      </c>
      <c r="CU246" s="22">
        <f>+VLOOKUP($BD246,'Jan-25'!$A:$J,7,0)</f>
        <v>0</v>
      </c>
      <c r="CV246" s="22">
        <f>+VLOOKUP($BD246,'Feb-25'!$A:$J,7,0)</f>
        <v>0</v>
      </c>
      <c r="CW246" s="22">
        <f>+VLOOKUP($BD246,'Mar-25'!$A:$J,7,0)</f>
        <v>0</v>
      </c>
      <c r="CX246" s="22">
        <f>+VLOOKUP($BD246,'Apr-25'!$A:$J,7,0)</f>
        <v>0</v>
      </c>
      <c r="CY246" s="22">
        <f>+VLOOKUP($BD246,'May-25'!$A:$J,7,0)</f>
        <v>0</v>
      </c>
      <c r="CZ246" s="22">
        <f>+VLOOKUP($BD246,'June-25'!$A:$J,7,0)</f>
        <v>0</v>
      </c>
      <c r="DA246" s="22">
        <f>+VLOOKUP($BD246,'July-25'!$A:$J,7,0)</f>
        <v>0</v>
      </c>
      <c r="DB246" s="22">
        <f>+VLOOKUP($BD246,'Aug-25'!$A:$J,7,0)</f>
        <v>0</v>
      </c>
      <c r="DC246" s="22">
        <f>+VLOOKUP($BD246,'Sep-25'!$A:$J,7,0)</f>
        <v>0</v>
      </c>
      <c r="DD246" s="22">
        <f>+VLOOKUP($BD246,'Oct-25'!$A:$J,7,0)</f>
        <v>0</v>
      </c>
      <c r="DE246" s="22">
        <f>+VLOOKUP($BD246,'Nov-25'!$A:$J,7,0)</f>
        <v>0</v>
      </c>
      <c r="DF246" s="22">
        <f>+VLOOKUP($BD246,'Dec-25'!$A:$J,7,0)</f>
        <v>0</v>
      </c>
      <c r="DG246" s="22">
        <f t="shared" si="1156"/>
        <v>0</v>
      </c>
      <c r="DH246" s="118">
        <f t="shared" si="1007"/>
        <v>0</v>
      </c>
      <c r="DI246" s="22">
        <f>+_xlfn.XLOOKUP($CT246,Budget!$A:$A,Budget!CD:CD)</f>
        <v>0</v>
      </c>
      <c r="DJ246" s="22">
        <f>+_xlfn.XLOOKUP($CT246,Budget!$A:$A,Budget!CE:CE)</f>
        <v>0</v>
      </c>
      <c r="DK246" s="22">
        <f>+_xlfn.XLOOKUP($CT246,Budget!$A:$A,Budget!CF:CF)</f>
        <v>0</v>
      </c>
      <c r="DL246" s="22">
        <f>+_xlfn.XLOOKUP($CT246,Budget!$A:$A,Budget!CG:CG)</f>
        <v>0</v>
      </c>
      <c r="DM246" s="22">
        <f>+_xlfn.XLOOKUP($CT246,Budget!$A:$A,Budget!CH:CH)</f>
        <v>0</v>
      </c>
      <c r="DN246" s="22">
        <f>+_xlfn.XLOOKUP($CT246,Budget!$A:$A,Budget!CI:CI)</f>
        <v>0</v>
      </c>
      <c r="DO246" s="22">
        <f>+_xlfn.XLOOKUP($CT246,Budget!$A:$A,Budget!CJ:CJ)</f>
        <v>0</v>
      </c>
      <c r="DP246" s="22">
        <f>+_xlfn.XLOOKUP($CT246,Budget!$A:$A,Budget!CK:CK)</f>
        <v>0</v>
      </c>
      <c r="DQ246" s="22">
        <f>+_xlfn.XLOOKUP($CT246,Budget!$A:$A,Budget!CL:CL)</f>
        <v>0</v>
      </c>
      <c r="DR246" s="22">
        <f>+_xlfn.XLOOKUP($CT246,Budget!$A:$A,Budget!CM:CM)</f>
        <v>0</v>
      </c>
      <c r="DS246" s="22">
        <f>+_xlfn.XLOOKUP($CT246,Budget!$A:$A,Budget!CN:CN)</f>
        <v>0</v>
      </c>
      <c r="DT246" s="22">
        <f>+_xlfn.XLOOKUP($CT246,Budget!$A:$A,Budget!CO:CO)</f>
        <v>0</v>
      </c>
      <c r="DU246" s="106">
        <f t="shared" si="1157"/>
        <v>0</v>
      </c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106">
        <f t="shared" si="1158"/>
        <v>0</v>
      </c>
      <c r="EJ246" s="16" t="str">
        <f t="shared" si="1133"/>
        <v>Depreciation  -Plant &amp; Machinery</v>
      </c>
      <c r="EK246" s="22">
        <f>+VLOOKUP($BD246,'Jan-25'!$A:$J,9,0)</f>
        <v>0</v>
      </c>
      <c r="EL246" s="22">
        <f>+VLOOKUP($BD246,'Feb-25'!$A:$J,9,0)</f>
        <v>0</v>
      </c>
      <c r="EM246" s="22">
        <f>+VLOOKUP($BD246,'Mar-25'!$A:$J,9,0)</f>
        <v>0</v>
      </c>
      <c r="EN246" s="22">
        <f>+VLOOKUP($BD246,'Apr-25'!$A:$J,9,0)</f>
        <v>0</v>
      </c>
      <c r="EO246" s="22">
        <f>+VLOOKUP($BD246,'May-25'!$A:$J,9,0)</f>
        <v>0</v>
      </c>
      <c r="EP246" s="22">
        <f>+VLOOKUP($BD246,'June-25'!$A:$J,9,0)</f>
        <v>0</v>
      </c>
      <c r="EQ246" s="22">
        <f>+VLOOKUP($BD246,'July-25'!$A:$J,9,0)</f>
        <v>0</v>
      </c>
      <c r="ER246" s="22">
        <f>+VLOOKUP($BD246,'Aug-25'!$A:$J,9,0)</f>
        <v>0</v>
      </c>
      <c r="ES246" s="22">
        <f>+VLOOKUP($BD246,'Sep-25'!$A:$J,9,0)</f>
        <v>0</v>
      </c>
      <c r="ET246" s="22">
        <f>+VLOOKUP($BD246,'Oct-25'!$A:$J,9,0)</f>
        <v>0</v>
      </c>
      <c r="EU246" s="22">
        <f>+VLOOKUP($BD246,'Nov-25'!$A:$J,9,0)</f>
        <v>0</v>
      </c>
      <c r="EV246" s="22">
        <f>+VLOOKUP($BD246,'Dec-25'!$A:$J,9,0)</f>
        <v>0</v>
      </c>
      <c r="EW246" s="22">
        <f t="shared" si="1159"/>
        <v>0</v>
      </c>
      <c r="EX246" s="118">
        <f t="shared" si="1008"/>
        <v>0</v>
      </c>
      <c r="EY246" s="22">
        <f>+_xlfn.XLOOKUP($EJ246,Budget!$A:$A,Budget!DE:DE)</f>
        <v>0</v>
      </c>
      <c r="EZ246" s="22">
        <f>+_xlfn.XLOOKUP($EJ246,Budget!$A:$A,Budget!DF:DF)</f>
        <v>0</v>
      </c>
      <c r="FA246" s="22">
        <f>+_xlfn.XLOOKUP($EJ246,Budget!$A:$A,Budget!DG:DG)</f>
        <v>0</v>
      </c>
      <c r="FB246" s="22">
        <f>+_xlfn.XLOOKUP($EJ246,Budget!$A:$A,Budget!DH:DH)</f>
        <v>0</v>
      </c>
      <c r="FC246" s="22">
        <f>+_xlfn.XLOOKUP($EJ246,Budget!$A:$A,Budget!DI:DI)</f>
        <v>0</v>
      </c>
      <c r="FD246" s="22">
        <f>+_xlfn.XLOOKUP($EJ246,Budget!$A:$A,Budget!DJ:DJ)</f>
        <v>0</v>
      </c>
      <c r="FE246" s="22">
        <f>+_xlfn.XLOOKUP($EJ246,Budget!$A:$A,Budget!DK:DK)</f>
        <v>0</v>
      </c>
      <c r="FF246" s="22">
        <f>+_xlfn.XLOOKUP($EJ246,Budget!$A:$A,Budget!DL:DL)</f>
        <v>0</v>
      </c>
      <c r="FG246" s="22">
        <f>+_xlfn.XLOOKUP($EJ246,Budget!$A:$A,Budget!DM:DM)</f>
        <v>0</v>
      </c>
      <c r="FH246" s="22">
        <f>+_xlfn.XLOOKUP($EJ246,Budget!$A:$A,Budget!DN:DN)</f>
        <v>0</v>
      </c>
      <c r="FI246" s="22">
        <f>+_xlfn.XLOOKUP($EJ246,Budget!$A:$A,Budget!DO:DO)</f>
        <v>0</v>
      </c>
      <c r="FJ246" s="22">
        <f>+_xlfn.XLOOKUP($EJ246,Budget!$A:$A,Budget!DP:DP)</f>
        <v>0</v>
      </c>
      <c r="FK246" s="106">
        <f t="shared" si="1160"/>
        <v>0</v>
      </c>
    </row>
    <row r="247" spans="1:167" ht="14.45" hidden="1" customHeight="1" outlineLevel="1">
      <c r="A247" s="106">
        <f t="shared" si="1146"/>
        <v>0</v>
      </c>
      <c r="B247" s="106">
        <f t="shared" si="1146"/>
        <v>0</v>
      </c>
      <c r="C247" s="106">
        <f t="shared" si="1146"/>
        <v>0</v>
      </c>
      <c r="D247" s="106">
        <f t="shared" si="1146"/>
        <v>0</v>
      </c>
      <c r="E247" s="106">
        <f t="shared" si="1146"/>
        <v>0</v>
      </c>
      <c r="F247" s="106">
        <f t="shared" si="1146"/>
        <v>0</v>
      </c>
      <c r="G247" s="106">
        <f t="shared" si="1146"/>
        <v>0</v>
      </c>
      <c r="H247" s="106">
        <f t="shared" si="1146"/>
        <v>0</v>
      </c>
      <c r="I247" s="106">
        <f t="shared" si="1146"/>
        <v>0</v>
      </c>
      <c r="J247" s="106">
        <f t="shared" si="1146"/>
        <v>0</v>
      </c>
      <c r="K247" s="106">
        <f t="shared" si="1146"/>
        <v>0</v>
      </c>
      <c r="L247" s="106">
        <f t="shared" si="1146"/>
        <v>0</v>
      </c>
      <c r="M247" s="106">
        <f t="shared" si="1147"/>
        <v>0</v>
      </c>
      <c r="N247" s="16" t="s">
        <v>242</v>
      </c>
      <c r="O247" s="22">
        <f t="shared" si="1148"/>
        <v>0</v>
      </c>
      <c r="P247" s="22">
        <f t="shared" si="1148"/>
        <v>0</v>
      </c>
      <c r="Q247" s="22">
        <f t="shared" si="1148"/>
        <v>0</v>
      </c>
      <c r="R247" s="22">
        <f t="shared" si="1148"/>
        <v>0</v>
      </c>
      <c r="S247" s="22">
        <f t="shared" si="1148"/>
        <v>0</v>
      </c>
      <c r="T247" s="22">
        <f t="shared" si="1148"/>
        <v>0</v>
      </c>
      <c r="U247" s="22">
        <f t="shared" si="1148"/>
        <v>0</v>
      </c>
      <c r="V247" s="22">
        <f t="shared" si="1148"/>
        <v>0</v>
      </c>
      <c r="W247" s="22">
        <f t="shared" si="1148"/>
        <v>0</v>
      </c>
      <c r="X247" s="22">
        <f t="shared" si="1148"/>
        <v>0</v>
      </c>
      <c r="Y247" s="22">
        <f t="shared" si="1148"/>
        <v>0</v>
      </c>
      <c r="Z247" s="22">
        <f t="shared" si="1148"/>
        <v>0</v>
      </c>
      <c r="AA247" s="22">
        <f t="shared" si="1149"/>
        <v>0</v>
      </c>
      <c r="AB247" s="118">
        <f t="shared" si="1005"/>
        <v>0</v>
      </c>
      <c r="AC247" s="22">
        <f t="shared" si="1150"/>
        <v>0</v>
      </c>
      <c r="AD247" s="22">
        <f t="shared" si="1150"/>
        <v>0</v>
      </c>
      <c r="AE247" s="22">
        <f t="shared" si="1150"/>
        <v>0</v>
      </c>
      <c r="AF247" s="22">
        <f t="shared" si="1150"/>
        <v>0</v>
      </c>
      <c r="AG247" s="22">
        <f t="shared" si="1150"/>
        <v>0</v>
      </c>
      <c r="AH247" s="22">
        <f t="shared" si="1150"/>
        <v>0</v>
      </c>
      <c r="AI247" s="22">
        <f t="shared" si="1150"/>
        <v>0</v>
      </c>
      <c r="AJ247" s="22">
        <f t="shared" si="1150"/>
        <v>0</v>
      </c>
      <c r="AK247" s="22">
        <f t="shared" si="1150"/>
        <v>0</v>
      </c>
      <c r="AL247" s="22">
        <f t="shared" si="1150"/>
        <v>0</v>
      </c>
      <c r="AM247" s="22">
        <f t="shared" si="1150"/>
        <v>0</v>
      </c>
      <c r="AN247" s="22">
        <f t="shared" si="1150"/>
        <v>0</v>
      </c>
      <c r="AO247" s="22">
        <f t="shared" si="1151"/>
        <v>0</v>
      </c>
      <c r="AQ247" s="106">
        <v>0</v>
      </c>
      <c r="AR247" s="106">
        <v>0</v>
      </c>
      <c r="AS247" s="106">
        <v>0</v>
      </c>
      <c r="AT247" s="106">
        <v>0</v>
      </c>
      <c r="AU247" s="106">
        <v>0</v>
      </c>
      <c r="AV247" s="106">
        <v>0</v>
      </c>
      <c r="AW247" s="106">
        <v>0</v>
      </c>
      <c r="AX247" s="106">
        <v>0</v>
      </c>
      <c r="AY247" s="106">
        <v>0</v>
      </c>
      <c r="AZ247" s="106">
        <v>0</v>
      </c>
      <c r="BA247" s="106">
        <v>0</v>
      </c>
      <c r="BB247" s="106">
        <v>0</v>
      </c>
      <c r="BC247" s="106">
        <f t="shared" si="1152"/>
        <v>0</v>
      </c>
      <c r="BD247" s="16" t="str">
        <f t="shared" si="885"/>
        <v>Depreciation  -Vehicle</v>
      </c>
      <c r="BE247" s="22">
        <f>+VLOOKUP($BD247,'Jan-25'!$A:$J,4,0)</f>
        <v>0</v>
      </c>
      <c r="BF247" s="22">
        <f>+VLOOKUP($BD247,'Feb-25'!$A:$J,4,0)</f>
        <v>0</v>
      </c>
      <c r="BG247" s="22">
        <f>+VLOOKUP($BD247,'Mar-25'!$A:$J,4,0)</f>
        <v>0</v>
      </c>
      <c r="BH247" s="22">
        <f>+VLOOKUP($BD247,'Apr-25'!$A:$J,4,0)</f>
        <v>0</v>
      </c>
      <c r="BI247" s="22">
        <f>+VLOOKUP($BD247,'May-25'!$A:$J,4,0)</f>
        <v>0</v>
      </c>
      <c r="BJ247" s="22">
        <f>+VLOOKUP($BD247,'June-25'!$A:$J,4,0)</f>
        <v>0</v>
      </c>
      <c r="BK247" s="22">
        <f>+VLOOKUP($BD247,'July-25'!$A:$J,4,0)</f>
        <v>0</v>
      </c>
      <c r="BL247" s="22">
        <f>+VLOOKUP($BD247,'Aug-25'!$A:$J,4,0)</f>
        <v>0</v>
      </c>
      <c r="BM247" s="22">
        <f>+VLOOKUP($BD247,'Sep-25'!$A:$J,4,0)</f>
        <v>0</v>
      </c>
      <c r="BN247" s="22">
        <f>+VLOOKUP($BD247,'Oct-25'!$A:$J,4,0)</f>
        <v>0</v>
      </c>
      <c r="BO247" s="22">
        <f>+VLOOKUP($BD247,'Nov-25'!$A:$J,4,0)</f>
        <v>0</v>
      </c>
      <c r="BP247" s="22">
        <f>+VLOOKUP($BD247,'Dec-25'!$A:$J,4,0)</f>
        <v>0</v>
      </c>
      <c r="BQ247" s="22">
        <f t="shared" si="1153"/>
        <v>0</v>
      </c>
      <c r="BR247" s="118">
        <f t="shared" si="1006"/>
        <v>0</v>
      </c>
      <c r="BS247" s="106">
        <f>+_xlfn.XLOOKUP($BD247,Budget!$A:$A,Budget!AQ:AQ)</f>
        <v>0</v>
      </c>
      <c r="BT247" s="106">
        <f>+_xlfn.XLOOKUP($BD247,Budget!$A:$A,Budget!AR:AR)</f>
        <v>0</v>
      </c>
      <c r="BU247" s="106">
        <f>+_xlfn.XLOOKUP($BD247,Budget!$A:$A,Budget!AS:AS)</f>
        <v>0</v>
      </c>
      <c r="BV247" s="106">
        <f>+_xlfn.XLOOKUP($BD247,Budget!$A:$A,Budget!AT:AT)</f>
        <v>0</v>
      </c>
      <c r="BW247" s="106">
        <f>+_xlfn.XLOOKUP($BD247,Budget!$A:$A,Budget!AU:AU)</f>
        <v>0</v>
      </c>
      <c r="BX247" s="106">
        <f>+_xlfn.XLOOKUP($BD247,Budget!$A:$A,Budget!AV:AV)</f>
        <v>0</v>
      </c>
      <c r="BY247" s="106">
        <f>+_xlfn.XLOOKUP($BD247,Budget!$A:$A,Budget!AW:AW)</f>
        <v>0</v>
      </c>
      <c r="BZ247" s="106">
        <f>+_xlfn.XLOOKUP($BD247,Budget!$A:$A,Budget!AX:AX)</f>
        <v>0</v>
      </c>
      <c r="CA247" s="106">
        <f>+_xlfn.XLOOKUP($BD247,Budget!$A:$A,Budget!AY:AY)</f>
        <v>0</v>
      </c>
      <c r="CB247" s="106">
        <f>+_xlfn.XLOOKUP($BD247,Budget!$A:$A,Budget!AZ:AZ)</f>
        <v>0</v>
      </c>
      <c r="CC247" s="106">
        <f>+_xlfn.XLOOKUP($BD247,Budget!$A:$A,Budget!BA:BA)</f>
        <v>0</v>
      </c>
      <c r="CD247" s="106">
        <f>+_xlfn.XLOOKUP($BD247,Budget!$A:$A,Budget!BB:BB)</f>
        <v>0</v>
      </c>
      <c r="CE247" s="106">
        <f t="shared" si="1154"/>
        <v>0</v>
      </c>
      <c r="CF247" s="22"/>
      <c r="CG247" s="22">
        <v>0</v>
      </c>
      <c r="CH247" s="22">
        <v>0</v>
      </c>
      <c r="CI247" s="22">
        <v>0</v>
      </c>
      <c r="CJ247" s="22">
        <v>0</v>
      </c>
      <c r="CK247" s="22">
        <v>0</v>
      </c>
      <c r="CL247" s="22">
        <v>0</v>
      </c>
      <c r="CM247" s="22">
        <v>0</v>
      </c>
      <c r="CN247" s="22">
        <v>0</v>
      </c>
      <c r="CO247" s="22">
        <v>0</v>
      </c>
      <c r="CP247" s="22">
        <v>0</v>
      </c>
      <c r="CQ247" s="22">
        <v>0</v>
      </c>
      <c r="CR247" s="22">
        <v>0</v>
      </c>
      <c r="CS247" s="106">
        <f t="shared" si="1155"/>
        <v>0</v>
      </c>
      <c r="CT247" s="16" t="str">
        <f t="shared" si="886"/>
        <v>Depreciation  -Vehicle</v>
      </c>
      <c r="CU247" s="22">
        <f>+VLOOKUP($BD247,'Jan-25'!$A:$J,7,0)</f>
        <v>0</v>
      </c>
      <c r="CV247" s="22">
        <f>+VLOOKUP($BD247,'Feb-25'!$A:$J,7,0)</f>
        <v>0</v>
      </c>
      <c r="CW247" s="22">
        <f>+VLOOKUP($BD247,'Mar-25'!$A:$J,7,0)</f>
        <v>0</v>
      </c>
      <c r="CX247" s="22">
        <f>+VLOOKUP($BD247,'Apr-25'!$A:$J,7,0)</f>
        <v>0</v>
      </c>
      <c r="CY247" s="22">
        <f>+VLOOKUP($BD247,'May-25'!$A:$J,7,0)</f>
        <v>0</v>
      </c>
      <c r="CZ247" s="22">
        <f>+VLOOKUP($BD247,'June-25'!$A:$J,7,0)</f>
        <v>0</v>
      </c>
      <c r="DA247" s="22">
        <f>+VLOOKUP($BD247,'July-25'!$A:$J,7,0)</f>
        <v>0</v>
      </c>
      <c r="DB247" s="22">
        <f>+VLOOKUP($BD247,'Aug-25'!$A:$J,7,0)</f>
        <v>0</v>
      </c>
      <c r="DC247" s="22">
        <f>+VLOOKUP($BD247,'Sep-25'!$A:$J,7,0)</f>
        <v>0</v>
      </c>
      <c r="DD247" s="22">
        <f>+VLOOKUP($BD247,'Oct-25'!$A:$J,7,0)</f>
        <v>0</v>
      </c>
      <c r="DE247" s="22">
        <f>+VLOOKUP($BD247,'Nov-25'!$A:$J,7,0)</f>
        <v>0</v>
      </c>
      <c r="DF247" s="22">
        <f>+VLOOKUP($BD247,'Dec-25'!$A:$J,7,0)</f>
        <v>0</v>
      </c>
      <c r="DG247" s="22">
        <f t="shared" si="1156"/>
        <v>0</v>
      </c>
      <c r="DH247" s="118">
        <f t="shared" si="1007"/>
        <v>0</v>
      </c>
      <c r="DI247" s="22">
        <f>+_xlfn.XLOOKUP($CT247,Budget!$A:$A,Budget!CD:CD)</f>
        <v>0</v>
      </c>
      <c r="DJ247" s="22">
        <f>+_xlfn.XLOOKUP($CT247,Budget!$A:$A,Budget!CE:CE)</f>
        <v>0</v>
      </c>
      <c r="DK247" s="22">
        <f>+_xlfn.XLOOKUP($CT247,Budget!$A:$A,Budget!CF:CF)</f>
        <v>0</v>
      </c>
      <c r="DL247" s="22">
        <f>+_xlfn.XLOOKUP($CT247,Budget!$A:$A,Budget!CG:CG)</f>
        <v>0</v>
      </c>
      <c r="DM247" s="22">
        <f>+_xlfn.XLOOKUP($CT247,Budget!$A:$A,Budget!CH:CH)</f>
        <v>0</v>
      </c>
      <c r="DN247" s="22">
        <f>+_xlfn.XLOOKUP($CT247,Budget!$A:$A,Budget!CI:CI)</f>
        <v>0</v>
      </c>
      <c r="DO247" s="22">
        <f>+_xlfn.XLOOKUP($CT247,Budget!$A:$A,Budget!CJ:CJ)</f>
        <v>0</v>
      </c>
      <c r="DP247" s="22">
        <f>+_xlfn.XLOOKUP($CT247,Budget!$A:$A,Budget!CK:CK)</f>
        <v>0</v>
      </c>
      <c r="DQ247" s="22">
        <f>+_xlfn.XLOOKUP($CT247,Budget!$A:$A,Budget!CL:CL)</f>
        <v>0</v>
      </c>
      <c r="DR247" s="22">
        <f>+_xlfn.XLOOKUP($CT247,Budget!$A:$A,Budget!CM:CM)</f>
        <v>0</v>
      </c>
      <c r="DS247" s="22">
        <f>+_xlfn.XLOOKUP($CT247,Budget!$A:$A,Budget!CN:CN)</f>
        <v>0</v>
      </c>
      <c r="DT247" s="22">
        <f>+_xlfn.XLOOKUP($CT247,Budget!$A:$A,Budget!CO:CO)</f>
        <v>0</v>
      </c>
      <c r="DU247" s="106">
        <f t="shared" si="1157"/>
        <v>0</v>
      </c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106">
        <f t="shared" si="1158"/>
        <v>0</v>
      </c>
      <c r="EJ247" s="16" t="str">
        <f t="shared" si="1133"/>
        <v>Depreciation  -Vehicle</v>
      </c>
      <c r="EK247" s="22">
        <f>+VLOOKUP($BD247,'Jan-25'!$A:$J,9,0)</f>
        <v>0</v>
      </c>
      <c r="EL247" s="22">
        <f>+VLOOKUP($BD247,'Feb-25'!$A:$J,9,0)</f>
        <v>0</v>
      </c>
      <c r="EM247" s="22">
        <f>+VLOOKUP($BD247,'Mar-25'!$A:$J,9,0)</f>
        <v>0</v>
      </c>
      <c r="EN247" s="22">
        <f>+VLOOKUP($BD247,'Apr-25'!$A:$J,9,0)</f>
        <v>0</v>
      </c>
      <c r="EO247" s="22">
        <f>+VLOOKUP($BD247,'May-25'!$A:$J,9,0)</f>
        <v>0</v>
      </c>
      <c r="EP247" s="22">
        <f>+VLOOKUP($BD247,'June-25'!$A:$J,9,0)</f>
        <v>0</v>
      </c>
      <c r="EQ247" s="22">
        <f>+VLOOKUP($BD247,'July-25'!$A:$J,9,0)</f>
        <v>0</v>
      </c>
      <c r="ER247" s="22">
        <f>+VLOOKUP($BD247,'Aug-25'!$A:$J,9,0)</f>
        <v>0</v>
      </c>
      <c r="ES247" s="22">
        <f>+VLOOKUP($BD247,'Sep-25'!$A:$J,9,0)</f>
        <v>0</v>
      </c>
      <c r="ET247" s="22">
        <f>+VLOOKUP($BD247,'Oct-25'!$A:$J,9,0)</f>
        <v>0</v>
      </c>
      <c r="EU247" s="22">
        <f>+VLOOKUP($BD247,'Nov-25'!$A:$J,9,0)</f>
        <v>0</v>
      </c>
      <c r="EV247" s="22">
        <f>+VLOOKUP($BD247,'Dec-25'!$A:$J,9,0)</f>
        <v>0</v>
      </c>
      <c r="EW247" s="22">
        <f t="shared" si="1159"/>
        <v>0</v>
      </c>
      <c r="EX247" s="118">
        <f t="shared" si="1008"/>
        <v>0</v>
      </c>
      <c r="EY247" s="22">
        <f>+_xlfn.XLOOKUP($EJ247,Budget!$A:$A,Budget!DE:DE)</f>
        <v>0</v>
      </c>
      <c r="EZ247" s="22">
        <f>+_xlfn.XLOOKUP($EJ247,Budget!$A:$A,Budget!DF:DF)</f>
        <v>0</v>
      </c>
      <c r="FA247" s="22">
        <f>+_xlfn.XLOOKUP($EJ247,Budget!$A:$A,Budget!DG:DG)</f>
        <v>0</v>
      </c>
      <c r="FB247" s="22">
        <f>+_xlfn.XLOOKUP($EJ247,Budget!$A:$A,Budget!DH:DH)</f>
        <v>0</v>
      </c>
      <c r="FC247" s="22">
        <f>+_xlfn.XLOOKUP($EJ247,Budget!$A:$A,Budget!DI:DI)</f>
        <v>0</v>
      </c>
      <c r="FD247" s="22">
        <f>+_xlfn.XLOOKUP($EJ247,Budget!$A:$A,Budget!DJ:DJ)</f>
        <v>0</v>
      </c>
      <c r="FE247" s="22">
        <f>+_xlfn.XLOOKUP($EJ247,Budget!$A:$A,Budget!DK:DK)</f>
        <v>0</v>
      </c>
      <c r="FF247" s="22">
        <f>+_xlfn.XLOOKUP($EJ247,Budget!$A:$A,Budget!DL:DL)</f>
        <v>0</v>
      </c>
      <c r="FG247" s="22">
        <f>+_xlfn.XLOOKUP($EJ247,Budget!$A:$A,Budget!DM:DM)</f>
        <v>0</v>
      </c>
      <c r="FH247" s="22">
        <f>+_xlfn.XLOOKUP($EJ247,Budget!$A:$A,Budget!DN:DN)</f>
        <v>0</v>
      </c>
      <c r="FI247" s="22">
        <f>+_xlfn.XLOOKUP($EJ247,Budget!$A:$A,Budget!DO:DO)</f>
        <v>0</v>
      </c>
      <c r="FJ247" s="22">
        <f>+_xlfn.XLOOKUP($EJ247,Budget!$A:$A,Budget!DP:DP)</f>
        <v>0</v>
      </c>
      <c r="FK247" s="106">
        <f t="shared" si="1160"/>
        <v>0</v>
      </c>
    </row>
    <row r="248" spans="1:167" ht="14.45" hidden="1" customHeight="1" outlineLevel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6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118">
        <f t="shared" si="1005"/>
        <v>0</v>
      </c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Q248" s="106">
        <v>0</v>
      </c>
      <c r="AR248" s="106">
        <v>0</v>
      </c>
      <c r="AS248" s="106">
        <v>0</v>
      </c>
      <c r="AT248" s="106">
        <v>0</v>
      </c>
      <c r="AU248" s="106">
        <v>0</v>
      </c>
      <c r="AV248" s="106">
        <v>0</v>
      </c>
      <c r="AW248" s="106">
        <v>0</v>
      </c>
      <c r="AX248" s="106">
        <v>0</v>
      </c>
      <c r="AY248" s="106">
        <v>0</v>
      </c>
      <c r="AZ248" s="106">
        <v>0</v>
      </c>
      <c r="BA248" s="106">
        <v>0</v>
      </c>
      <c r="BB248" s="106">
        <v>0</v>
      </c>
      <c r="BC248" s="106"/>
      <c r="BD248" s="16">
        <f t="shared" si="885"/>
        <v>0</v>
      </c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118">
        <f t="shared" si="1006"/>
        <v>0</v>
      </c>
      <c r="BS248" s="106"/>
      <c r="BT248" s="106"/>
      <c r="BU248" s="106"/>
      <c r="BV248" s="106"/>
      <c r="BW248" s="106"/>
      <c r="BX248" s="106"/>
      <c r="BY248" s="106"/>
      <c r="BZ248" s="106"/>
      <c r="CA248" s="106"/>
      <c r="CB248" s="106"/>
      <c r="CC248" s="106"/>
      <c r="CD248" s="106"/>
      <c r="CE248" s="106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106"/>
      <c r="CT248" s="16">
        <f t="shared" si="886"/>
        <v>0</v>
      </c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118">
        <f t="shared" si="1007"/>
        <v>0</v>
      </c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106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106"/>
      <c r="EJ248" s="16">
        <f t="shared" si="1133"/>
        <v>0</v>
      </c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118">
        <f t="shared" si="1008"/>
        <v>0</v>
      </c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106"/>
    </row>
    <row r="249" spans="1:167" ht="14.45" customHeight="1" collapsed="1">
      <c r="A249" s="58">
        <f t="shared" ref="A249:M249" si="1161">+A233-A236-A241</f>
        <v>4302776.344910874</v>
      </c>
      <c r="B249" s="58">
        <f t="shared" si="1161"/>
        <v>3244271.0327993417</v>
      </c>
      <c r="C249" s="58">
        <f t="shared" si="1161"/>
        <v>6030986.8576804176</v>
      </c>
      <c r="D249" s="58">
        <f t="shared" si="1161"/>
        <v>1306084.9943417003</v>
      </c>
      <c r="E249" s="58">
        <f t="shared" si="1161"/>
        <v>1535169.6147186304</v>
      </c>
      <c r="F249" s="58">
        <f t="shared" si="1161"/>
        <v>4733475.0377665153</v>
      </c>
      <c r="G249" s="58">
        <f t="shared" si="1161"/>
        <v>2895579.1841876311</v>
      </c>
      <c r="H249" s="58">
        <f t="shared" si="1161"/>
        <v>2815132.1534632226</v>
      </c>
      <c r="I249" s="58">
        <f t="shared" si="1161"/>
        <v>4347283.7005661903</v>
      </c>
      <c r="J249" s="58">
        <f t="shared" si="1161"/>
        <v>3081520.0741141979</v>
      </c>
      <c r="K249" s="58">
        <f t="shared" si="1161"/>
        <v>1927308.4007451767</v>
      </c>
      <c r="L249" s="58">
        <f t="shared" si="1161"/>
        <v>9238711.7595919129</v>
      </c>
      <c r="M249" s="58">
        <f t="shared" si="1161"/>
        <v>47333393.494085871</v>
      </c>
      <c r="N249" s="14" t="s">
        <v>201</v>
      </c>
      <c r="O249" s="28">
        <f t="shared" ref="O249:AA249" si="1162">+O233-O236-O241</f>
        <v>-1915211.7595729693</v>
      </c>
      <c r="P249" s="28">
        <f t="shared" si="1162"/>
        <v>-395194.82452369854</v>
      </c>
      <c r="Q249" s="28">
        <f t="shared" si="1162"/>
        <v>4622517.2919078916</v>
      </c>
      <c r="R249" s="28">
        <f t="shared" si="1162"/>
        <v>1968791.3226647153</v>
      </c>
      <c r="S249" s="28">
        <f t="shared" si="1162"/>
        <v>5699057.629683584</v>
      </c>
      <c r="T249" s="28">
        <f t="shared" si="1162"/>
        <v>2962247.5284051229</v>
      </c>
      <c r="U249" s="28">
        <f t="shared" si="1162"/>
        <v>2804094.6717819343</v>
      </c>
      <c r="V249" s="28">
        <f t="shared" si="1162"/>
        <v>2754753.1013419642</v>
      </c>
      <c r="W249" s="28">
        <f t="shared" si="1162"/>
        <v>6954514.2692255843</v>
      </c>
      <c r="X249" s="28">
        <f t="shared" si="1162"/>
        <v>1584581.5166395791</v>
      </c>
      <c r="Y249" s="28">
        <f t="shared" si="1162"/>
        <v>0</v>
      </c>
      <c r="Z249" s="28">
        <f t="shared" si="1162"/>
        <v>0</v>
      </c>
      <c r="AA249" s="28">
        <f t="shared" si="1162"/>
        <v>27040150.747553773</v>
      </c>
      <c r="AB249" s="118">
        <f t="shared" si="1005"/>
        <v>2.6089234522087678E-3</v>
      </c>
      <c r="AC249" s="28">
        <f t="shared" ref="AC249:AO249" si="1163">+AC233-AC236-AC241</f>
        <v>2804951.0779086328</v>
      </c>
      <c r="AD249" s="28">
        <f t="shared" si="1163"/>
        <v>2593292.7172175315</v>
      </c>
      <c r="AE249" s="28">
        <f t="shared" si="1163"/>
        <v>9787571.8739982136</v>
      </c>
      <c r="AF249" s="28">
        <f t="shared" si="1163"/>
        <v>1142374.4828488114</v>
      </c>
      <c r="AG249" s="28">
        <f t="shared" si="1163"/>
        <v>2512106.4683465823</v>
      </c>
      <c r="AH249" s="28">
        <f t="shared" si="1163"/>
        <v>9683944.3055241182</v>
      </c>
      <c r="AI249" s="28">
        <f t="shared" si="1163"/>
        <v>3658427.3144870861</v>
      </c>
      <c r="AJ249" s="28">
        <f t="shared" si="1163"/>
        <v>3677019.2904465138</v>
      </c>
      <c r="AK249" s="28">
        <f t="shared" si="1163"/>
        <v>10940513.624605443</v>
      </c>
      <c r="AL249" s="28">
        <f t="shared" si="1163"/>
        <v>1580458.2221186575</v>
      </c>
      <c r="AM249" s="28">
        <f t="shared" si="1163"/>
        <v>1482025.1832160223</v>
      </c>
      <c r="AN249" s="28">
        <f t="shared" si="1163"/>
        <v>9933502.1895582974</v>
      </c>
      <c r="AO249" s="28">
        <f t="shared" si="1163"/>
        <v>69087117.280136883</v>
      </c>
      <c r="AQ249" s="58">
        <f t="shared" ref="AQ249:BC249" si="1164">+AQ233-AQ236-AQ241</f>
        <v>1631161.7400959418</v>
      </c>
      <c r="AR249" s="58">
        <f t="shared" si="1164"/>
        <v>937134.12847029732</v>
      </c>
      <c r="AS249" s="58">
        <f t="shared" si="1164"/>
        <v>2547459.8604327491</v>
      </c>
      <c r="AT249" s="58">
        <f t="shared" si="1164"/>
        <v>403546.38258106459</v>
      </c>
      <c r="AU249" s="58">
        <f t="shared" si="1164"/>
        <v>-456531.90120181435</v>
      </c>
      <c r="AV249" s="58">
        <f t="shared" si="1164"/>
        <v>1769819.0874272636</v>
      </c>
      <c r="AW249" s="58">
        <f t="shared" si="1164"/>
        <v>703053.74884479784</v>
      </c>
      <c r="AX249" s="58">
        <f t="shared" si="1164"/>
        <v>785803.26605170488</v>
      </c>
      <c r="AY249" s="58">
        <f t="shared" si="1164"/>
        <v>1610411.1932647326</v>
      </c>
      <c r="AZ249" s="58">
        <f t="shared" si="1164"/>
        <v>-229701.88464660849</v>
      </c>
      <c r="BA249" s="58">
        <f t="shared" si="1164"/>
        <v>-43454.676934727468</v>
      </c>
      <c r="BB249" s="58">
        <f t="shared" si="1164"/>
        <v>6713041.919063583</v>
      </c>
      <c r="BC249" s="58">
        <f t="shared" si="1164"/>
        <v>16371742.863448985</v>
      </c>
      <c r="BD249" s="14" t="str">
        <f t="shared" si="885"/>
        <v>PBT</v>
      </c>
      <c r="BE249" s="28">
        <f t="shared" ref="BE249:BQ249" si="1165">+BE233-BE236-BE241</f>
        <v>-746144.94434353255</v>
      </c>
      <c r="BF249" s="28">
        <f t="shared" si="1165"/>
        <v>170513.51832206605</v>
      </c>
      <c r="BG249" s="28">
        <f t="shared" si="1165"/>
        <v>3211662.672919522</v>
      </c>
      <c r="BH249" s="28">
        <f t="shared" si="1165"/>
        <v>1793032.4072536547</v>
      </c>
      <c r="BI249" s="28">
        <f t="shared" si="1165"/>
        <v>5287194.9630359076</v>
      </c>
      <c r="BJ249" s="28">
        <f t="shared" si="1165"/>
        <v>1507718.4496328509</v>
      </c>
      <c r="BK249" s="28">
        <f t="shared" si="1165"/>
        <v>2530222.6833227039</v>
      </c>
      <c r="BL249" s="28">
        <f t="shared" si="1165"/>
        <v>2069108.6984482091</v>
      </c>
      <c r="BM249" s="28">
        <f t="shared" si="1165"/>
        <v>4713121.955373046</v>
      </c>
      <c r="BN249" s="28">
        <f t="shared" si="1165"/>
        <v>1006531.5890073058</v>
      </c>
      <c r="BO249" s="28">
        <f t="shared" si="1165"/>
        <v>0</v>
      </c>
      <c r="BP249" s="28">
        <f t="shared" si="1165"/>
        <v>0</v>
      </c>
      <c r="BQ249" s="28">
        <f t="shared" si="1165"/>
        <v>21542961.992971737</v>
      </c>
      <c r="BR249" s="118">
        <f t="shared" si="1006"/>
        <v>-8.1287081009511153E-2</v>
      </c>
      <c r="BS249" s="58">
        <f t="shared" ref="BS249:CE249" si="1166">+BS233-BS236-BS241</f>
        <v>1377053.418520642</v>
      </c>
      <c r="BT249" s="58">
        <f t="shared" si="1166"/>
        <v>1345949.4556546696</v>
      </c>
      <c r="BU249" s="58">
        <f t="shared" si="1166"/>
        <v>4862444.7672136268</v>
      </c>
      <c r="BV249" s="58">
        <f t="shared" si="1166"/>
        <v>547201.0893601001</v>
      </c>
      <c r="BW249" s="58">
        <f t="shared" si="1166"/>
        <v>1087197.7533575236</v>
      </c>
      <c r="BX249" s="58">
        <f t="shared" si="1166"/>
        <v>5004843.498697971</v>
      </c>
      <c r="BY249" s="58">
        <f t="shared" si="1166"/>
        <v>1526852.6355311833</v>
      </c>
      <c r="BZ249" s="58">
        <f t="shared" si="1166"/>
        <v>1782029.0188669465</v>
      </c>
      <c r="CA249" s="58">
        <f t="shared" si="1166"/>
        <v>5999187.2686281074</v>
      </c>
      <c r="CB249" s="58">
        <f t="shared" si="1166"/>
        <v>1095588.8049482475</v>
      </c>
      <c r="CC249" s="58">
        <f t="shared" si="1166"/>
        <v>324874.47501777683</v>
      </c>
      <c r="CD249" s="58">
        <f t="shared" si="1166"/>
        <v>5351078.993064574</v>
      </c>
      <c r="CE249" s="58">
        <f t="shared" si="1166"/>
        <v>30304301.178861361</v>
      </c>
      <c r="CF249" s="22"/>
      <c r="CG249" s="28">
        <f t="shared" ref="CG249:CS249" si="1167">+CG233-CG236-CG241</f>
        <v>2671614.604814929</v>
      </c>
      <c r="CH249" s="28">
        <f t="shared" si="1167"/>
        <v>2307136.9043290392</v>
      </c>
      <c r="CI249" s="28">
        <f t="shared" si="1167"/>
        <v>3483526.9972476712</v>
      </c>
      <c r="CJ249" s="28">
        <f t="shared" si="1167"/>
        <v>902538.61176063539</v>
      </c>
      <c r="CK249" s="28">
        <f t="shared" si="1167"/>
        <v>1991701.5159204416</v>
      </c>
      <c r="CL249" s="28">
        <f t="shared" si="1167"/>
        <v>2963655.9503392428</v>
      </c>
      <c r="CM249" s="28">
        <f t="shared" si="1167"/>
        <v>2192525.4353428292</v>
      </c>
      <c r="CN249" s="28">
        <f t="shared" si="1167"/>
        <v>2029328.887411519</v>
      </c>
      <c r="CO249" s="28">
        <f t="shared" si="1167"/>
        <v>2736872.5073014577</v>
      </c>
      <c r="CP249" s="28">
        <f t="shared" si="1167"/>
        <v>3311221.9587608096</v>
      </c>
      <c r="CQ249" s="28">
        <f t="shared" si="1167"/>
        <v>1970763.0776799046</v>
      </c>
      <c r="CR249" s="28">
        <f t="shared" si="1167"/>
        <v>2525669.8405283298</v>
      </c>
      <c r="CS249" s="58">
        <f t="shared" si="1167"/>
        <v>29086556.291436806</v>
      </c>
      <c r="CT249" s="14" t="str">
        <f t="shared" si="886"/>
        <v>PBT</v>
      </c>
      <c r="CU249" s="28">
        <f t="shared" ref="CU249:DG249" si="1168">+CU233-CU236-CU241</f>
        <v>720440.31670676079</v>
      </c>
      <c r="CV249" s="28">
        <f t="shared" si="1168"/>
        <v>376879.56230631162</v>
      </c>
      <c r="CW249" s="28">
        <f t="shared" si="1168"/>
        <v>2142008.4946000502</v>
      </c>
      <c r="CX249" s="28">
        <f t="shared" si="1168"/>
        <v>1133056.3095852307</v>
      </c>
      <c r="CY249" s="28">
        <f t="shared" si="1168"/>
        <v>1715517.6173264673</v>
      </c>
      <c r="CZ249" s="28">
        <f t="shared" si="1168"/>
        <v>2071895.9749839839</v>
      </c>
      <c r="DA249" s="28">
        <f t="shared" si="1168"/>
        <v>1709258.4039165778</v>
      </c>
      <c r="DB249" s="28">
        <f t="shared" si="1168"/>
        <v>1833483.433996662</v>
      </c>
      <c r="DC249" s="28">
        <f t="shared" si="1168"/>
        <v>2275866.5725066084</v>
      </c>
      <c r="DD249" s="28">
        <f t="shared" si="1168"/>
        <v>1208996.551496234</v>
      </c>
      <c r="DE249" s="28">
        <f t="shared" si="1168"/>
        <v>0</v>
      </c>
      <c r="DF249" s="28">
        <f t="shared" si="1168"/>
        <v>0</v>
      </c>
      <c r="DG249" s="28">
        <f t="shared" si="1168"/>
        <v>15187403.237424882</v>
      </c>
      <c r="DH249" s="118">
        <f t="shared" si="1007"/>
        <v>1.1903491216441155E-2</v>
      </c>
      <c r="DI249" s="28">
        <f t="shared" ref="DI249:EI249" si="1169">+DI233-DI236-DI241</f>
        <v>1913565.6212658228</v>
      </c>
      <c r="DJ249" s="28">
        <f t="shared" si="1169"/>
        <v>1834314.1542955504</v>
      </c>
      <c r="DK249" s="28">
        <f t="shared" si="1169"/>
        <v>4656565.3755682986</v>
      </c>
      <c r="DL249" s="28">
        <f t="shared" si="1169"/>
        <v>1200303.8189981997</v>
      </c>
      <c r="DM249" s="28">
        <f t="shared" si="1169"/>
        <v>1754440.8231491717</v>
      </c>
      <c r="DN249" s="28">
        <f t="shared" si="1169"/>
        <v>4339786.2177817784</v>
      </c>
      <c r="DO249" s="28">
        <f t="shared" si="1169"/>
        <v>2242287.350962841</v>
      </c>
      <c r="DP249" s="28">
        <f t="shared" si="1169"/>
        <v>2081046.6377316548</v>
      </c>
      <c r="DQ249" s="28">
        <f t="shared" si="1169"/>
        <v>4495208.5033175452</v>
      </c>
      <c r="DR249" s="28">
        <f t="shared" si="1169"/>
        <v>1194774.5629801722</v>
      </c>
      <c r="DS249" s="28">
        <f t="shared" si="1169"/>
        <v>1746739.0122982995</v>
      </c>
      <c r="DT249" s="28">
        <f t="shared" si="1169"/>
        <v>4430033.3459074246</v>
      </c>
      <c r="DU249" s="58">
        <f t="shared" si="1169"/>
        <v>31889065.424256735</v>
      </c>
      <c r="DW249" s="28">
        <f t="shared" si="1169"/>
        <v>0</v>
      </c>
      <c r="DX249" s="28">
        <f t="shared" si="1169"/>
        <v>0</v>
      </c>
      <c r="DY249" s="28">
        <f t="shared" si="1169"/>
        <v>0</v>
      </c>
      <c r="DZ249" s="28">
        <f t="shared" si="1169"/>
        <v>0</v>
      </c>
      <c r="EA249" s="28">
        <f t="shared" si="1169"/>
        <v>0</v>
      </c>
      <c r="EB249" s="28">
        <f t="shared" si="1169"/>
        <v>0</v>
      </c>
      <c r="EC249" s="28">
        <f t="shared" si="1169"/>
        <v>0</v>
      </c>
      <c r="ED249" s="28">
        <f t="shared" si="1169"/>
        <v>0</v>
      </c>
      <c r="EE249" s="28">
        <f t="shared" si="1169"/>
        <v>0</v>
      </c>
      <c r="EF249" s="28">
        <f t="shared" si="1169"/>
        <v>0</v>
      </c>
      <c r="EG249" s="28">
        <f t="shared" si="1169"/>
        <v>0</v>
      </c>
      <c r="EH249" s="28">
        <f t="shared" si="1169"/>
        <v>0</v>
      </c>
      <c r="EI249" s="28">
        <f t="shared" si="1169"/>
        <v>0</v>
      </c>
      <c r="EJ249" s="14" t="str">
        <f t="shared" si="1133"/>
        <v>PBT</v>
      </c>
      <c r="EK249" s="28">
        <f t="shared" ref="EK249:EV249" si="1170">+EK233-EK236-EK241</f>
        <v>-1889507.1319362</v>
      </c>
      <c r="EL249" s="28">
        <f t="shared" si="1170"/>
        <v>-942587.90515207278</v>
      </c>
      <c r="EM249" s="28">
        <f t="shared" si="1170"/>
        <v>-731153.87561167905</v>
      </c>
      <c r="EN249" s="28">
        <f t="shared" si="1170"/>
        <v>-957297.394174168</v>
      </c>
      <c r="EO249" s="28">
        <f t="shared" si="1170"/>
        <v>-1303654.9506787898</v>
      </c>
      <c r="EP249" s="28">
        <f t="shared" si="1170"/>
        <v>-617366.89621171041</v>
      </c>
      <c r="EQ249" s="28">
        <f t="shared" si="1170"/>
        <v>-1435386.4154573409</v>
      </c>
      <c r="ER249" s="28">
        <f t="shared" si="1170"/>
        <v>-1147839.0311029046</v>
      </c>
      <c r="ES249" s="28">
        <f t="shared" si="1170"/>
        <v>-34474.258654069272</v>
      </c>
      <c r="ET249" s="28">
        <f t="shared" si="1170"/>
        <v>-630946.6238639598</v>
      </c>
      <c r="EU249" s="28">
        <f t="shared" si="1170"/>
        <v>0</v>
      </c>
      <c r="EV249" s="28">
        <f t="shared" si="1170"/>
        <v>0</v>
      </c>
      <c r="EW249" s="28">
        <f>+EW233-EW236-EW241</f>
        <v>-9698368.7564428896</v>
      </c>
      <c r="EX249" s="118">
        <f t="shared" si="1008"/>
        <v>-0.11122404508807063</v>
      </c>
      <c r="EY249" s="28">
        <f>+EY233-EY236-EY241</f>
        <v>-485667.96187783557</v>
      </c>
      <c r="EZ249" s="28">
        <f t="shared" ref="EZ249:FJ249" si="1171">+EZ233-EZ236-EZ241</f>
        <v>-586970.89273268555</v>
      </c>
      <c r="FA249" s="28">
        <f t="shared" si="1171"/>
        <v>268561.73121628969</v>
      </c>
      <c r="FB249" s="28">
        <f t="shared" si="1171"/>
        <v>-605130.42550949368</v>
      </c>
      <c r="FC249" s="28">
        <f t="shared" si="1171"/>
        <v>-329532.10816011031</v>
      </c>
      <c r="FD249" s="28">
        <f t="shared" si="1171"/>
        <v>339314.5890443729</v>
      </c>
      <c r="FE249" s="28">
        <f t="shared" si="1171"/>
        <v>-110712.67200693523</v>
      </c>
      <c r="FF249" s="28">
        <f t="shared" si="1171"/>
        <v>-186056.36615208525</v>
      </c>
      <c r="FG249" s="28">
        <f t="shared" si="1171"/>
        <v>446117.85265978973</v>
      </c>
      <c r="FH249" s="28">
        <f t="shared" si="1171"/>
        <v>-709905.14580975764</v>
      </c>
      <c r="FI249" s="28">
        <f t="shared" si="1171"/>
        <v>-589588.30410005746</v>
      </c>
      <c r="FJ249" s="28">
        <f t="shared" si="1171"/>
        <v>152389.85058629082</v>
      </c>
      <c r="FK249" s="58">
        <f>+FK233-FK236-FK241</f>
        <v>-2397179.852842208</v>
      </c>
    </row>
    <row r="250" spans="1:167" ht="14.45" customHeight="1">
      <c r="A250" s="108">
        <f t="shared" ref="A250:M250" si="1172">IFERROR(A249/A70,0)</f>
        <v>0.15186027820907985</v>
      </c>
      <c r="B250" s="108">
        <f t="shared" si="1172"/>
        <v>0.12473633749879211</v>
      </c>
      <c r="C250" s="108">
        <f t="shared" si="1172"/>
        <v>0.21990463844418245</v>
      </c>
      <c r="D250" s="108">
        <f t="shared" si="1172"/>
        <v>6.6462312079136318E-2</v>
      </c>
      <c r="E250" s="108">
        <f t="shared" si="1172"/>
        <v>6.3814733513841718E-2</v>
      </c>
      <c r="F250" s="108">
        <f t="shared" si="1172"/>
        <v>0.15356153068417955</v>
      </c>
      <c r="G250" s="108">
        <f t="shared" si="1172"/>
        <v>0.11069402522633701</v>
      </c>
      <c r="H250" s="108">
        <f t="shared" si="1172"/>
        <v>0.1075444394369216</v>
      </c>
      <c r="I250" s="108">
        <f t="shared" si="1172"/>
        <v>0.12748382728060495</v>
      </c>
      <c r="J250" s="108">
        <f t="shared" si="1172"/>
        <v>0.11890923679198216</v>
      </c>
      <c r="K250" s="108">
        <f t="shared" si="1172"/>
        <v>6.5596743445095362E-2</v>
      </c>
      <c r="L250" s="108">
        <f t="shared" si="1172"/>
        <v>0.26752966749320289</v>
      </c>
      <c r="M250" s="108">
        <f t="shared" si="1172"/>
        <v>0.14232779316013708</v>
      </c>
      <c r="N250" s="15" t="s">
        <v>58</v>
      </c>
      <c r="O250" s="108">
        <f t="shared" ref="O250:AA250" si="1173">IFERROR(O249/O70,0)</f>
        <v>-8.0630399425691307E-2</v>
      </c>
      <c r="P250" s="108">
        <f t="shared" si="1173"/>
        <v>-1.4225978090217726E-2</v>
      </c>
      <c r="Q250" s="108">
        <f t="shared" si="1173"/>
        <v>0.1267700502243686</v>
      </c>
      <c r="R250" s="108">
        <f t="shared" si="1173"/>
        <v>7.104623133731075E-2</v>
      </c>
      <c r="S250" s="108">
        <f t="shared" si="1173"/>
        <v>0.14464059129906234</v>
      </c>
      <c r="T250" s="108">
        <f t="shared" si="1173"/>
        <v>9.3827085221271478E-2</v>
      </c>
      <c r="U250" s="108">
        <f t="shared" si="1173"/>
        <v>7.6938329479497011E-2</v>
      </c>
      <c r="V250" s="108">
        <f t="shared" si="1173"/>
        <v>7.7921703709290371E-2</v>
      </c>
      <c r="W250" s="108">
        <f t="shared" si="1173"/>
        <v>0.17661839981345026</v>
      </c>
      <c r="X250" s="108">
        <f t="shared" si="1173"/>
        <v>4.4592090526629116E-2</v>
      </c>
      <c r="Y250" s="108">
        <f t="shared" si="1173"/>
        <v>0</v>
      </c>
      <c r="Z250" s="108">
        <f t="shared" si="1173"/>
        <v>0</v>
      </c>
      <c r="AA250" s="108">
        <f t="shared" si="1173"/>
        <v>8.110650713573947E-2</v>
      </c>
      <c r="AB250" s="118">
        <f t="shared" si="1005"/>
        <v>-0.15714627342091672</v>
      </c>
      <c r="AC250" s="108">
        <f t="shared" ref="AC250:AO250" si="1174">IFERROR(AC249/AC70,0)</f>
        <v>8.5144011485204105E-2</v>
      </c>
      <c r="AD250" s="108">
        <f t="shared" si="1174"/>
        <v>8.0911258992980961E-2</v>
      </c>
      <c r="AE250" s="108">
        <f t="shared" si="1174"/>
        <v>0.24689177045242205</v>
      </c>
      <c r="AF250" s="108">
        <f t="shared" si="1174"/>
        <v>4.0741603190517055E-2</v>
      </c>
      <c r="AG250" s="108">
        <f t="shared" si="1174"/>
        <v>7.9007040171400755E-2</v>
      </c>
      <c r="AH250" s="108">
        <f t="shared" si="1174"/>
        <v>0.24341923190246265</v>
      </c>
      <c r="AI250" s="108">
        <f t="shared" si="1174"/>
        <v>0.10546886966174955</v>
      </c>
      <c r="AJ250" s="108">
        <f t="shared" si="1174"/>
        <v>0.10572019741709081</v>
      </c>
      <c r="AK250" s="108">
        <f t="shared" si="1174"/>
        <v>0.25777069372818034</v>
      </c>
      <c r="AL250" s="108">
        <f t="shared" si="1174"/>
        <v>5.2906084555877121E-2</v>
      </c>
      <c r="AM250" s="108">
        <f t="shared" si="1174"/>
        <v>5.2825079032029654E-2</v>
      </c>
      <c r="AN250" s="108">
        <f t="shared" si="1174"/>
        <v>0.24913481261113418</v>
      </c>
      <c r="AO250" s="108">
        <f t="shared" si="1174"/>
        <v>0.16689027126198591</v>
      </c>
      <c r="AP250" s="32"/>
      <c r="AQ250" s="108">
        <f t="shared" ref="AQ250:BC250" si="1175">IFERROR(AQ249/AQ70,0)</f>
        <v>0.10247038627075442</v>
      </c>
      <c r="AR250" s="108">
        <f t="shared" si="1175"/>
        <v>6.8765693642559078E-2</v>
      </c>
      <c r="AS250" s="108">
        <f t="shared" si="1175"/>
        <v>0.15692151031902793</v>
      </c>
      <c r="AT250" s="108">
        <f t="shared" si="1175"/>
        <v>3.1114852451910625E-2</v>
      </c>
      <c r="AU250" s="108">
        <f t="shared" si="1175"/>
        <v>-3.6523602683882696E-2</v>
      </c>
      <c r="AV250" s="108">
        <f t="shared" si="1175"/>
        <v>0.11072417044385582</v>
      </c>
      <c r="AW250" s="108">
        <f t="shared" si="1175"/>
        <v>4.5092718983515141E-2</v>
      </c>
      <c r="AX250" s="108">
        <f t="shared" si="1175"/>
        <v>4.8569787947290249E-2</v>
      </c>
      <c r="AY250" s="108">
        <f t="shared" si="1175"/>
        <v>7.1430989989730936E-2</v>
      </c>
      <c r="AZ250" s="108">
        <f t="shared" si="1175"/>
        <v>-1.4081308149194631E-2</v>
      </c>
      <c r="BA250" s="108">
        <f t="shared" si="1175"/>
        <v>-2.4070209840134768E-3</v>
      </c>
      <c r="BB250" s="108">
        <f t="shared" si="1175"/>
        <v>0.27626769878364671</v>
      </c>
      <c r="BC250" s="108">
        <f t="shared" si="1175"/>
        <v>8.1771402586716155E-2</v>
      </c>
      <c r="BD250" s="15" t="str">
        <f t="shared" si="885"/>
        <v>% to Sales</v>
      </c>
      <c r="BE250" s="108">
        <f t="shared" ref="BE250:BQ250" si="1176">IFERROR(BE249/BE70,0)</f>
        <v>-6.0163333281674732E-2</v>
      </c>
      <c r="BF250" s="108">
        <f t="shared" si="1176"/>
        <v>1.0937852115189215E-2</v>
      </c>
      <c r="BG250" s="108">
        <f t="shared" si="1176"/>
        <v>0.13745340652808888</v>
      </c>
      <c r="BH250" s="108">
        <f t="shared" si="1176"/>
        <v>0.10266080915232069</v>
      </c>
      <c r="BI250" s="108">
        <f t="shared" si="1176"/>
        <v>0.21571810261407293</v>
      </c>
      <c r="BJ250" s="108">
        <f t="shared" si="1176"/>
        <v>8.6432144604406264E-2</v>
      </c>
      <c r="BK250" s="108">
        <f t="shared" si="1176"/>
        <v>0.11574225346173075</v>
      </c>
      <c r="BL250" s="108">
        <f t="shared" si="1176"/>
        <v>9.4823327318526995E-2</v>
      </c>
      <c r="BM250" s="108">
        <f t="shared" si="1176"/>
        <v>0.19307193352830906</v>
      </c>
      <c r="BN250" s="108">
        <f t="shared" si="1176"/>
        <v>5.095785253433717E-2</v>
      </c>
      <c r="BO250" s="108">
        <f t="shared" si="1176"/>
        <v>0</v>
      </c>
      <c r="BP250" s="108">
        <f t="shared" si="1176"/>
        <v>0</v>
      </c>
      <c r="BQ250" s="108">
        <f t="shared" si="1176"/>
        <v>0.10846264776826275</v>
      </c>
      <c r="BR250" s="118">
        <f t="shared" si="1006"/>
        <v>-0.26325154100180898</v>
      </c>
      <c r="BS250" s="108">
        <f t="shared" ref="BS250:CE250" si="1177">IFERROR(BS249/BS70,0)</f>
        <v>8.3735341512011174E-2</v>
      </c>
      <c r="BT250" s="108">
        <f t="shared" si="1177"/>
        <v>8.3567209374122181E-2</v>
      </c>
      <c r="BU250" s="108">
        <f t="shared" si="1177"/>
        <v>0.25670755789324085</v>
      </c>
      <c r="BV250" s="108">
        <f t="shared" si="1177"/>
        <v>3.9344031059291677E-2</v>
      </c>
      <c r="BW250" s="108">
        <f t="shared" si="1177"/>
        <v>7.0425202068636159E-2</v>
      </c>
      <c r="BX250" s="108">
        <f t="shared" si="1177"/>
        <v>0.25434465065947426</v>
      </c>
      <c r="BY250" s="108">
        <f t="shared" si="1177"/>
        <v>9.2991888270901407E-2</v>
      </c>
      <c r="BZ250" s="108">
        <f t="shared" si="1177"/>
        <v>0.1037235144615534</v>
      </c>
      <c r="CA250" s="108">
        <f t="shared" si="1177"/>
        <v>0.27130260777985066</v>
      </c>
      <c r="CB250" s="108">
        <f t="shared" si="1177"/>
        <v>6.9165875967529225E-2</v>
      </c>
      <c r="CC250" s="108">
        <f t="shared" si="1177"/>
        <v>2.5409633528600522E-2</v>
      </c>
      <c r="CD250" s="108">
        <f t="shared" si="1177"/>
        <v>0.26098355939129408</v>
      </c>
      <c r="CE250" s="108">
        <f t="shared" si="1177"/>
        <v>0.14756849431108079</v>
      </c>
      <c r="CF250" s="32"/>
      <c r="CG250" s="108">
        <f t="shared" ref="CG250:CS250" si="1178">IFERROR(CG249/CG70,0)</f>
        <v>0.21518533553496588</v>
      </c>
      <c r="CH250" s="108">
        <f t="shared" si="1178"/>
        <v>0.18634347980926869</v>
      </c>
      <c r="CI250" s="108">
        <f t="shared" si="1178"/>
        <v>0.31126571343831894</v>
      </c>
      <c r="CJ250" s="108">
        <f t="shared" si="1178"/>
        <v>0.13507136294380473</v>
      </c>
      <c r="CK250" s="108">
        <f t="shared" si="1178"/>
        <v>0.17233688870391811</v>
      </c>
      <c r="CL250" s="108">
        <f t="shared" si="1178"/>
        <v>0.19969948016708217</v>
      </c>
      <c r="CM250" s="108">
        <f t="shared" si="1178"/>
        <v>0.20748574927731064</v>
      </c>
      <c r="CN250" s="108">
        <f t="shared" si="1178"/>
        <v>0.20298148778075664</v>
      </c>
      <c r="CO250" s="108">
        <f t="shared" si="1178"/>
        <v>0.23684228995499337</v>
      </c>
      <c r="CP250" s="108">
        <f t="shared" si="1178"/>
        <v>0.3448344106799362</v>
      </c>
      <c r="CQ250" s="108">
        <f t="shared" si="1178"/>
        <v>0.17397491460982376</v>
      </c>
      <c r="CR250" s="108">
        <f t="shared" si="1178"/>
        <v>0.24678330145414484</v>
      </c>
      <c r="CS250" s="108">
        <f t="shared" si="1178"/>
        <v>0.21976580810846064</v>
      </c>
      <c r="CT250" s="46" t="str">
        <f t="shared" si="886"/>
        <v>% to Sales</v>
      </c>
      <c r="CU250" s="108">
        <f t="shared" ref="CU250:DG250" si="1179">IFERROR(CU249/CU70,0)</f>
        <v>7.7794665638528729E-2</v>
      </c>
      <c r="CV250" s="108">
        <f t="shared" si="1179"/>
        <v>4.6009818356269043E-2</v>
      </c>
      <c r="CW250" s="108">
        <f t="shared" si="1179"/>
        <v>0.21058909975852358</v>
      </c>
      <c r="CX250" s="108">
        <f t="shared" si="1179"/>
        <v>0.14123826783646409</v>
      </c>
      <c r="CY250" s="108">
        <f t="shared" si="1179"/>
        <v>0.15054782445632328</v>
      </c>
      <c r="CZ250" s="108">
        <f t="shared" si="1179"/>
        <v>0.20814811524296919</v>
      </c>
      <c r="DA250" s="108">
        <f t="shared" si="1179"/>
        <v>0.15551951301223516</v>
      </c>
      <c r="DB250" s="108">
        <f t="shared" si="1179"/>
        <v>0.18923582935873703</v>
      </c>
      <c r="DC250" s="108">
        <f t="shared" si="1179"/>
        <v>0.2186677027896328</v>
      </c>
      <c r="DD250" s="108">
        <f t="shared" si="1179"/>
        <v>0.10757361035364346</v>
      </c>
      <c r="DE250" s="108">
        <f t="shared" si="1179"/>
        <v>0</v>
      </c>
      <c r="DF250" s="108">
        <f t="shared" si="1179"/>
        <v>0</v>
      </c>
      <c r="DG250" s="108">
        <f t="shared" si="1179"/>
        <v>0.15291202168785142</v>
      </c>
      <c r="DH250" s="118">
        <f t="shared" si="1007"/>
        <v>-4.1500795434279536E-2</v>
      </c>
      <c r="DI250" s="108">
        <f t="shared" ref="DI250:DU250" si="1180">IFERROR(DI249/DI70,0)</f>
        <v>0.15339521790031824</v>
      </c>
      <c r="DJ250" s="108">
        <f t="shared" si="1180"/>
        <v>0.15054217745834064</v>
      </c>
      <c r="DK250" s="108">
        <f t="shared" si="1180"/>
        <v>0.29438870103716946</v>
      </c>
      <c r="DL250" s="108">
        <f t="shared" si="1180"/>
        <v>0.11565502576271797</v>
      </c>
      <c r="DM250" s="108">
        <f t="shared" si="1180"/>
        <v>0.1473267297835999</v>
      </c>
      <c r="DN250" s="108">
        <f t="shared" si="1180"/>
        <v>0.28958771663064131</v>
      </c>
      <c r="DO250" s="108">
        <f t="shared" si="1180"/>
        <v>0.16907999244207544</v>
      </c>
      <c r="DP250" s="108">
        <f t="shared" si="1180"/>
        <v>0.1628153473335622</v>
      </c>
      <c r="DQ250" s="108">
        <f t="shared" si="1180"/>
        <v>0.29957128608253253</v>
      </c>
      <c r="DR250" s="108">
        <f t="shared" si="1180"/>
        <v>0.11223129851462237</v>
      </c>
      <c r="DS250" s="108">
        <f t="shared" si="1180"/>
        <v>0.14869980226022786</v>
      </c>
      <c r="DT250" s="108">
        <f t="shared" si="1180"/>
        <v>0.29534609752156676</v>
      </c>
      <c r="DU250" s="108">
        <f t="shared" si="1180"/>
        <v>0.20416741871261415</v>
      </c>
      <c r="DV250" s="32"/>
      <c r="DW250" s="108">
        <f t="shared" ref="DW250:EI250" si="1181">IFERROR(DW249/DW70,0)</f>
        <v>0</v>
      </c>
      <c r="DX250" s="108">
        <f t="shared" si="1181"/>
        <v>0</v>
      </c>
      <c r="DY250" s="108">
        <f t="shared" si="1181"/>
        <v>0</v>
      </c>
      <c r="DZ250" s="108">
        <f t="shared" si="1181"/>
        <v>0</v>
      </c>
      <c r="EA250" s="108">
        <f t="shared" si="1181"/>
        <v>0</v>
      </c>
      <c r="EB250" s="108">
        <f t="shared" si="1181"/>
        <v>0</v>
      </c>
      <c r="EC250" s="108">
        <f t="shared" si="1181"/>
        <v>0</v>
      </c>
      <c r="ED250" s="108">
        <f t="shared" si="1181"/>
        <v>0</v>
      </c>
      <c r="EE250" s="108">
        <f t="shared" si="1181"/>
        <v>0</v>
      </c>
      <c r="EF250" s="108">
        <f t="shared" si="1181"/>
        <v>0</v>
      </c>
      <c r="EG250" s="108">
        <f t="shared" si="1181"/>
        <v>0</v>
      </c>
      <c r="EH250" s="108">
        <f t="shared" si="1181"/>
        <v>0</v>
      </c>
      <c r="EI250" s="108">
        <f t="shared" si="1181"/>
        <v>0</v>
      </c>
      <c r="EJ250" s="46" t="str">
        <f t="shared" si="1133"/>
        <v>% to Sales</v>
      </c>
      <c r="EK250" s="108">
        <f t="shared" ref="EK250:EW250" si="1182">IFERROR(EK249/EK70,0)</f>
        <v>-0.90398720636228214</v>
      </c>
      <c r="EL250" s="108">
        <f t="shared" si="1182"/>
        <v>-0.2356935979969865</v>
      </c>
      <c r="EM250" s="108">
        <f t="shared" si="1182"/>
        <v>-0.24981127233587891</v>
      </c>
      <c r="EN250" s="108">
        <f t="shared" si="1182"/>
        <v>-0.43053446441366661</v>
      </c>
      <c r="EO250" s="108">
        <f t="shared" si="1182"/>
        <v>-0.37283494765727992</v>
      </c>
      <c r="EP250" s="108">
        <f t="shared" si="1182"/>
        <v>-0.14792750025762272</v>
      </c>
      <c r="EQ250" s="108">
        <f t="shared" si="1182"/>
        <v>-0.39932525182015732</v>
      </c>
      <c r="ER250" s="108">
        <f t="shared" si="1182"/>
        <v>-0.29866116568445034</v>
      </c>
      <c r="ES250" s="108">
        <f t="shared" si="1182"/>
        <v>-7.5653983658496172E-3</v>
      </c>
      <c r="ET250" s="108">
        <f t="shared" si="1182"/>
        <v>-0.1388522489910439</v>
      </c>
      <c r="EU250" s="108">
        <f t="shared" si="1182"/>
        <v>0</v>
      </c>
      <c r="EV250" s="108">
        <f t="shared" si="1182"/>
        <v>0</v>
      </c>
      <c r="EW250" s="108">
        <f t="shared" si="1182"/>
        <v>-0.30242246922379884</v>
      </c>
      <c r="EX250" s="118">
        <f t="shared" si="1008"/>
        <v>-0.33748130315329644</v>
      </c>
      <c r="EY250" s="108">
        <f t="shared" ref="EY250:FK250" si="1183">IFERROR(EY249/EY70,0)</f>
        <v>-0.12070599143023862</v>
      </c>
      <c r="EZ250" s="108">
        <f t="shared" si="1183"/>
        <v>-0.15610250448890975</v>
      </c>
      <c r="FA250" s="108">
        <f t="shared" si="1183"/>
        <v>5.4989752069266817E-2</v>
      </c>
      <c r="FB250" s="108">
        <f t="shared" si="1183"/>
        <v>-0.16123538449722974</v>
      </c>
      <c r="FC250" s="108">
        <f t="shared" si="1183"/>
        <v>-7.4054557105267302E-2</v>
      </c>
      <c r="FD250" s="108">
        <f t="shared" si="1183"/>
        <v>6.6278927425987358E-2</v>
      </c>
      <c r="FE250" s="108">
        <f t="shared" si="1183"/>
        <v>-2.2114344294694398E-2</v>
      </c>
      <c r="FF250" s="108">
        <f t="shared" si="1183"/>
        <v>-3.8613211630061144E-2</v>
      </c>
      <c r="FG250" s="108">
        <f t="shared" si="1183"/>
        <v>8.3780967684414315E-2</v>
      </c>
      <c r="FH250" s="108">
        <f t="shared" si="1183"/>
        <v>-0.20958238560197515</v>
      </c>
      <c r="FI250" s="108">
        <f t="shared" si="1183"/>
        <v>-0.16734924117540681</v>
      </c>
      <c r="FJ250" s="108">
        <f t="shared" si="1183"/>
        <v>3.4879631645329021E-2</v>
      </c>
      <c r="FK250" s="108">
        <f t="shared" si="1183"/>
        <v>-4.8645941826111136E-2</v>
      </c>
    </row>
    <row r="251" spans="1:167" ht="14.45" customHeight="1">
      <c r="AB251" s="118"/>
      <c r="BR251" s="118"/>
      <c r="DH251" s="118"/>
      <c r="EX251" s="118"/>
    </row>
    <row r="252" spans="1:167" ht="14.45" customHeight="1">
      <c r="AB252" s="118"/>
      <c r="BR252" s="118"/>
      <c r="DH252" s="118"/>
      <c r="EX252" s="118"/>
    </row>
    <row r="253" spans="1:167" ht="14.45" customHeight="1">
      <c r="AB253" s="118"/>
      <c r="BR253" s="118"/>
      <c r="DH253" s="118"/>
      <c r="EX253" s="118"/>
    </row>
    <row r="254" spans="1:167" ht="14.45" customHeight="1">
      <c r="AB254" s="118"/>
      <c r="BR254" s="118"/>
      <c r="DH254" s="118"/>
      <c r="EX254" s="118"/>
    </row>
    <row r="255" spans="1:167" ht="14.45" customHeight="1">
      <c r="AB255" s="118"/>
      <c r="BR255" s="118"/>
      <c r="DH255" s="118"/>
      <c r="EX255" s="118"/>
    </row>
    <row r="256" spans="1:167" ht="14.45" customHeight="1">
      <c r="AB256" s="118"/>
      <c r="BR256" s="118"/>
      <c r="DH256" s="118"/>
      <c r="EX256" s="118"/>
    </row>
    <row r="257" spans="28:154" ht="14.45" customHeight="1">
      <c r="AB257" s="118"/>
      <c r="BR257" s="118"/>
      <c r="DH257" s="118"/>
      <c r="EX257" s="118"/>
    </row>
    <row r="258" spans="28:154" ht="14.45" customHeight="1">
      <c r="AB258" s="118"/>
      <c r="BR258" s="118"/>
      <c r="DH258" s="118"/>
      <c r="EX258" s="118"/>
    </row>
    <row r="259" spans="28:154" ht="14.45" customHeight="1">
      <c r="AB259" s="118"/>
      <c r="BR259" s="118"/>
      <c r="DH259" s="118"/>
      <c r="EX259" s="118"/>
    </row>
    <row r="260" spans="28:154" ht="14.45" customHeight="1">
      <c r="AB260" s="118"/>
      <c r="BR260" s="118"/>
      <c r="DH260" s="118"/>
      <c r="EX260" s="118"/>
    </row>
    <row r="261" spans="28:154">
      <c r="AB261" s="118"/>
      <c r="BR261" s="118"/>
      <c r="DH261" s="118"/>
      <c r="EX261" s="118"/>
    </row>
    <row r="262" spans="28:154">
      <c r="AB262" s="118"/>
      <c r="BR262" s="118"/>
      <c r="DH262" s="118"/>
      <c r="EX262" s="118"/>
    </row>
    <row r="263" spans="28:154">
      <c r="AB263" s="118"/>
      <c r="BR263" s="118"/>
      <c r="DH263" s="118"/>
      <c r="EX263" s="118"/>
    </row>
    <row r="264" spans="28:154">
      <c r="AB264" s="118"/>
      <c r="BR264" s="118"/>
      <c r="DH264" s="118"/>
      <c r="EX264" s="118"/>
    </row>
    <row r="265" spans="28:154">
      <c r="AB265" s="118"/>
      <c r="BR265" s="118"/>
      <c r="DH265" s="118"/>
      <c r="EX265" s="118"/>
    </row>
    <row r="266" spans="28:154">
      <c r="AB266" s="118"/>
      <c r="BR266" s="118"/>
      <c r="DH266" s="118"/>
      <c r="EX266" s="118"/>
    </row>
    <row r="267" spans="28:154">
      <c r="AB267" s="118"/>
      <c r="BR267" s="118"/>
      <c r="DH267" s="118"/>
      <c r="EX267" s="118"/>
    </row>
    <row r="268" spans="28:154">
      <c r="AB268" s="118"/>
      <c r="BR268" s="118"/>
      <c r="DH268" s="118"/>
      <c r="EX268" s="118"/>
    </row>
    <row r="269" spans="28:154">
      <c r="AB269" s="118"/>
      <c r="BR269" s="118"/>
      <c r="DH269" s="118"/>
      <c r="EX269" s="118"/>
    </row>
    <row r="270" spans="28:154">
      <c r="AB270" s="118"/>
      <c r="BR270" s="118"/>
      <c r="DH270" s="118"/>
      <c r="EX270" s="118"/>
    </row>
    <row r="271" spans="28:154">
      <c r="AB271" s="118"/>
      <c r="BR271" s="118"/>
      <c r="DH271" s="118"/>
      <c r="EX271" s="118"/>
    </row>
    <row r="272" spans="28:154">
      <c r="AB272" s="118"/>
      <c r="BR272" s="118"/>
      <c r="DH272" s="118"/>
      <c r="EX272" s="118"/>
    </row>
    <row r="273" spans="28:154">
      <c r="AB273" s="118"/>
      <c r="BR273" s="118"/>
      <c r="DH273" s="118"/>
      <c r="EX273" s="118"/>
    </row>
    <row r="274" spans="28:154">
      <c r="AB274" s="118"/>
      <c r="BR274" s="118"/>
      <c r="DH274" s="118"/>
      <c r="EX274" s="118"/>
    </row>
    <row r="275" spans="28:154">
      <c r="AB275" s="118"/>
      <c r="BR275" s="118"/>
      <c r="DH275" s="118"/>
      <c r="EX275" s="118"/>
    </row>
  </sheetData>
  <conditionalFormatting sqref="AB29:AB275">
    <cfRule type="cellIs" dxfId="8" priority="7" operator="greaterThan">
      <formula>0</formula>
    </cfRule>
  </conditionalFormatting>
  <conditionalFormatting sqref="BR29:BR275">
    <cfRule type="cellIs" dxfId="7" priority="3" operator="greaterThan">
      <formula>0</formula>
    </cfRule>
  </conditionalFormatting>
  <conditionalFormatting sqref="DH29:DH275">
    <cfRule type="cellIs" dxfId="6" priority="2" operator="greaterThan">
      <formula>0</formula>
    </cfRule>
  </conditionalFormatting>
  <conditionalFormatting sqref="EX29:EX275">
    <cfRule type="cellIs" dxfId="5" priority="1" operator="greaterThan">
      <formula>0</formula>
    </cfRule>
  </conditionalFormatting>
  <pageMargins left="0.7" right="0.7" top="0.75" bottom="0.75" header="0.3" footer="0.3"/>
  <ignoredErrors>
    <ignoredError sqref="A8:AO28 A81:AA87 A80:M80 O80:AA80 A90:AA90 A88:M89 O88:AA89 A92:AA112 A91:M91 O91:AA91 A114:AA127 A113:M113 O113:AA113 A129:AA140 A128:M128 O128:AA128 A143:AA151 A141:M142 O141:AA142 A153:AA163 A152:M152 O152:AA152 A178:L195 A175:L176 O175:Z176 A177:L177 O177:Z177 A197:L202 A196:L196 O196:Z196 A206:AA207 A203:L203 O203:Z203 A215:AA217 A208:M208 O208:AA208 A228:AA239 A221:M222 O221:AA222 A248:AA248 A242:M247 O242:AA247 A240:AA241 A71:AA79 N70 A250:AA250 N249 A29:AA69 AC29:AO69 AC81:AO87 AC80:AO80 AC90:AO90 AC88:AO89 AC92:AO112 AC91:AO91 AC114:AO127 AC113:AO113 AC129:AO140 AC128:AO128 AC143:AO151 AC141:AO142 AC153:AO171 AC152:AO152 AC178:AN195 AC175:AN176 AC177:AN177 AC197:AN202 AC196:AN196 AC206:AO207 AC203:AN203 AC209:AO220 AC208:AO208 AC223:AO239 AC221:AO222 AC248:AO248 AC242:AO247 AC240:AO241 AC71:AO79 AC250:AO250 A165:AA171 A164:Z164 A204:L205 A172:L174 N178:Z195 N197:Z202 N204:Z205 N172:Z174 AC172:AN174 AC204:AN205 A209:L214 N209:Z214 A219:AA220 A218:Z218 A223:Z22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D459-5624-4EC5-852F-2203FFC3D62B}">
  <sheetPr>
    <tabColor rgb="FF92D050"/>
  </sheetPr>
  <dimension ref="A1:FK275"/>
  <sheetViews>
    <sheetView topLeftCell="DU34" workbookViewId="0">
      <selection activeCell="FH38" sqref="FH38"/>
    </sheetView>
  </sheetViews>
  <sheetFormatPr defaultRowHeight="14.45" customHeight="1" outlineLevelRow="2" outlineLevelCol="1"/>
  <cols>
    <col min="1" max="1" width="11" hidden="1" customWidth="1" outlineLevel="1"/>
    <col min="2" max="2" width="11.5703125" hidden="1" customWidth="1" outlineLevel="1"/>
    <col min="3" max="6" width="10" hidden="1" customWidth="1" outlineLevel="1"/>
    <col min="7" max="8" width="11.5703125" hidden="1" customWidth="1" outlineLevel="1"/>
    <col min="9" max="9" width="10" hidden="1" customWidth="1" outlineLevel="1" collapsed="1"/>
    <col min="10" max="10" width="11.5703125" bestFit="1" customWidth="1" collapsed="1"/>
    <col min="11" max="12" width="11.5703125" hidden="1" customWidth="1" outlineLevel="1"/>
    <col min="13" max="13" width="12.5703125" bestFit="1" customWidth="1" collapsed="1"/>
    <col min="14" max="14" width="41.5703125" style="22" bestFit="1" customWidth="1"/>
    <col min="15" max="15" width="11.5703125" hidden="1" customWidth="1" outlineLevel="1"/>
    <col min="16" max="16" width="10" hidden="1" customWidth="1" outlineLevel="1"/>
    <col min="17" max="22" width="11.5703125" hidden="1" customWidth="1" outlineLevel="1"/>
    <col min="23" max="23" width="11.5703125" hidden="1" customWidth="1" outlineLevel="1" collapsed="1"/>
    <col min="24" max="24" width="10" bestFit="1" customWidth="1" collapsed="1"/>
    <col min="25" max="26" width="6.42578125" hidden="1" customWidth="1" outlineLevel="1"/>
    <col min="27" max="27" width="12.5703125" bestFit="1" customWidth="1" collapsed="1"/>
    <col min="28" max="28" width="7.42578125" bestFit="1" customWidth="1"/>
    <col min="29" max="36" width="11.5703125" hidden="1" customWidth="1" outlineLevel="1"/>
    <col min="37" max="37" width="11.5703125" hidden="1" customWidth="1" outlineLevel="1" collapsed="1"/>
    <col min="38" max="38" width="11.5703125" bestFit="1" customWidth="1" collapsed="1"/>
    <col min="39" max="40" width="11.5703125" hidden="1" customWidth="1" outlineLevel="1"/>
    <col min="41" max="41" width="12.5703125" bestFit="1" customWidth="1" collapsed="1"/>
    <col min="43" max="43" width="10" hidden="1" customWidth="1" outlineLevel="1"/>
    <col min="44" max="44" width="11.5703125" hidden="1" customWidth="1" outlineLevel="1"/>
    <col min="45" max="49" width="10" hidden="1" customWidth="1" outlineLevel="1"/>
    <col min="50" max="50" width="11.5703125" hidden="1" customWidth="1" outlineLevel="1"/>
    <col min="51" max="51" width="10" hidden="1" customWidth="1" outlineLevel="1" collapsed="1"/>
    <col min="52" max="52" width="10" bestFit="1" customWidth="1" collapsed="1"/>
    <col min="53" max="54" width="10" hidden="1" customWidth="1" outlineLevel="1"/>
    <col min="55" max="55" width="11.5703125" bestFit="1" customWidth="1" collapsed="1"/>
    <col min="56" max="56" width="41.5703125" bestFit="1" customWidth="1"/>
    <col min="57" max="58" width="10" customWidth="1" outlineLevel="1"/>
    <col min="59" max="59" width="11.5703125" customWidth="1" outlineLevel="1"/>
    <col min="60" max="60" width="10" customWidth="1" outlineLevel="1"/>
    <col min="61" max="61" width="11.5703125" customWidth="1" outlineLevel="1"/>
    <col min="62" max="64" width="10" customWidth="1" outlineLevel="1"/>
    <col min="65" max="65" width="10" customWidth="1" outlineLevel="1" collapsed="1"/>
    <col min="66" max="66" width="10" bestFit="1" customWidth="1"/>
    <col min="67" max="68" width="6.42578125" hidden="1" customWidth="1" outlineLevel="1"/>
    <col min="69" max="69" width="11.5703125" bestFit="1" customWidth="1" collapsed="1"/>
    <col min="70" max="70" width="7.42578125" bestFit="1" customWidth="1"/>
    <col min="71" max="78" width="10" hidden="1" customWidth="1" outlineLevel="1"/>
    <col min="79" max="79" width="10" hidden="1" customWidth="1" outlineLevel="1" collapsed="1"/>
    <col min="80" max="80" width="10" bestFit="1" customWidth="1" collapsed="1"/>
    <col min="81" max="82" width="10" hidden="1" customWidth="1" outlineLevel="1"/>
    <col min="83" max="83" width="12.5703125" bestFit="1" customWidth="1" collapsed="1"/>
    <col min="85" max="85" width="11.42578125" hidden="1" customWidth="1" outlineLevel="1"/>
    <col min="86" max="92" width="10" hidden="1" customWidth="1" outlineLevel="1"/>
    <col min="93" max="93" width="10" hidden="1" customWidth="1" outlineLevel="1" collapsed="1"/>
    <col min="94" max="94" width="10" bestFit="1" customWidth="1" collapsed="1"/>
    <col min="95" max="96" width="10" hidden="1" customWidth="1" outlineLevel="1"/>
    <col min="97" max="97" width="11.5703125" bestFit="1" customWidth="1" collapsed="1"/>
    <col min="98" max="98" width="41.5703125" bestFit="1" customWidth="1"/>
    <col min="99" max="99" width="11.42578125" customWidth="1" outlineLevel="1"/>
    <col min="100" max="100" width="14.28515625" customWidth="1" outlineLevel="1"/>
    <col min="101" max="107" width="10" customWidth="1" outlineLevel="1"/>
    <col min="108" max="108" width="10" bestFit="1" customWidth="1"/>
    <col min="109" max="110" width="6.42578125" hidden="1" customWidth="1" outlineLevel="1"/>
    <col min="111" max="111" width="11.5703125" bestFit="1" customWidth="1" collapsed="1"/>
    <col min="112" max="112" width="7.42578125" bestFit="1" customWidth="1"/>
    <col min="113" max="113" width="11.42578125" hidden="1" customWidth="1" outlineLevel="1"/>
    <col min="114" max="120" width="10" hidden="1" customWidth="1" outlineLevel="1"/>
    <col min="121" max="121" width="10" hidden="1" customWidth="1" outlineLevel="1" collapsed="1"/>
    <col min="122" max="122" width="10" bestFit="1" customWidth="1" collapsed="1"/>
    <col min="123" max="124" width="10" hidden="1" customWidth="1" outlineLevel="1"/>
    <col min="125" max="125" width="11.5703125" bestFit="1" customWidth="1" collapsed="1"/>
    <col min="127" max="127" width="12.140625" hidden="1" customWidth="1" outlineLevel="1"/>
    <col min="128" max="134" width="6.42578125" hidden="1" customWidth="1" outlineLevel="1"/>
    <col min="135" max="135" width="6.42578125" hidden="1" customWidth="1" outlineLevel="1" collapsed="1"/>
    <col min="136" max="138" width="6.42578125" hidden="1" customWidth="1" outlineLevel="1"/>
    <col min="139" max="139" width="7.42578125" hidden="1" customWidth="1" outlineLevel="1" collapsed="1"/>
    <col min="140" max="140" width="41.5703125" bestFit="1" customWidth="1" collapsed="1"/>
    <col min="141" max="145" width="12.28515625" hidden="1" customWidth="1" outlineLevel="1"/>
    <col min="146" max="146" width="12.5703125" hidden="1" customWidth="1" outlineLevel="1"/>
    <col min="147" max="147" width="12.28515625" hidden="1" customWidth="1" outlineLevel="1"/>
    <col min="148" max="148" width="12.5703125" hidden="1" customWidth="1" outlineLevel="1"/>
    <col min="149" max="149" width="12.28515625" hidden="1" customWidth="1" outlineLevel="1" collapsed="1"/>
    <col min="150" max="150" width="12.28515625" bestFit="1" customWidth="1" collapsed="1"/>
    <col min="151" max="152" width="6.42578125" hidden="1" customWidth="1" outlineLevel="1"/>
    <col min="153" max="153" width="13.42578125" bestFit="1" customWidth="1" collapsed="1"/>
    <col min="154" max="154" width="7.42578125" bestFit="1" customWidth="1"/>
    <col min="155" max="155" width="12.140625" hidden="1" customWidth="1" outlineLevel="1"/>
    <col min="156" max="162" width="10" hidden="1" customWidth="1" outlineLevel="1"/>
    <col min="163" max="163" width="10" hidden="1" customWidth="1" outlineLevel="1" collapsed="1"/>
    <col min="164" max="164" width="10" bestFit="1" customWidth="1" collapsed="1"/>
    <col min="165" max="166" width="10" customWidth="1" outlineLevel="1"/>
    <col min="167" max="167" width="11.5703125" bestFit="1" customWidth="1"/>
  </cols>
  <sheetData>
    <row r="1" spans="1:167" ht="14.45" customHeight="1" thickBot="1">
      <c r="A1" s="23" t="s">
        <v>205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" t="s">
        <v>0</v>
      </c>
      <c r="O1" s="23" t="s">
        <v>205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C1" s="23" t="s">
        <v>205</v>
      </c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Q1" s="34" t="s">
        <v>209</v>
      </c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4" t="str">
        <f>N1</f>
        <v>BRIDGEWAY MOTORS - MIS REPORT</v>
      </c>
      <c r="BE1" s="34" t="s">
        <v>209</v>
      </c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S1" s="34" t="s">
        <v>209</v>
      </c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4" t="s">
        <v>209</v>
      </c>
      <c r="CF1" s="22"/>
      <c r="CG1" s="36" t="s">
        <v>210</v>
      </c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6" t="str">
        <f>BD1</f>
        <v>BRIDGEWAY MOTORS - MIS REPORT</v>
      </c>
      <c r="CU1" s="36" t="s">
        <v>210</v>
      </c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I1" s="36" t="s">
        <v>210</v>
      </c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6"/>
      <c r="DW1" s="36" t="s">
        <v>212</v>
      </c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6" t="str">
        <f>CT1</f>
        <v>BRIDGEWAY MOTORS - MIS REPORT</v>
      </c>
      <c r="EK1" s="36" t="s">
        <v>212</v>
      </c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6" t="s">
        <v>212</v>
      </c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6"/>
    </row>
    <row r="2" spans="1:167" ht="14.45" customHeight="1">
      <c r="A2" s="25">
        <v>45292</v>
      </c>
      <c r="B2" s="25">
        <v>45323</v>
      </c>
      <c r="C2" s="25">
        <v>45352</v>
      </c>
      <c r="D2" s="25">
        <v>45383</v>
      </c>
      <c r="E2" s="25">
        <v>45413</v>
      </c>
      <c r="F2" s="25">
        <v>45444</v>
      </c>
      <c r="G2" s="25">
        <v>45474</v>
      </c>
      <c r="H2" s="25">
        <v>45505</v>
      </c>
      <c r="I2" s="25">
        <v>45536</v>
      </c>
      <c r="J2" s="25">
        <v>45566</v>
      </c>
      <c r="K2" s="25">
        <v>45597</v>
      </c>
      <c r="L2" s="25">
        <v>45627</v>
      </c>
      <c r="M2" s="25" t="s">
        <v>245</v>
      </c>
      <c r="N2" s="2" t="s">
        <v>1</v>
      </c>
      <c r="O2" s="25">
        <v>45658</v>
      </c>
      <c r="P2" s="25">
        <v>45689</v>
      </c>
      <c r="Q2" s="25">
        <v>45717</v>
      </c>
      <c r="R2" s="25">
        <v>45748</v>
      </c>
      <c r="S2" s="25">
        <v>45778</v>
      </c>
      <c r="T2" s="25">
        <v>45809</v>
      </c>
      <c r="U2" s="25">
        <v>45839</v>
      </c>
      <c r="V2" s="25">
        <v>45870</v>
      </c>
      <c r="W2" s="25">
        <v>45901</v>
      </c>
      <c r="X2" s="25">
        <v>45931</v>
      </c>
      <c r="Y2" s="25">
        <v>45962</v>
      </c>
      <c r="Z2" s="25">
        <v>45992</v>
      </c>
      <c r="AA2" s="25" t="s">
        <v>207</v>
      </c>
      <c r="AC2" s="25">
        <v>45658</v>
      </c>
      <c r="AD2" s="25">
        <v>45689</v>
      </c>
      <c r="AE2" s="25">
        <v>45717</v>
      </c>
      <c r="AF2" s="25">
        <v>45748</v>
      </c>
      <c r="AG2" s="25">
        <v>45778</v>
      </c>
      <c r="AH2" s="25">
        <v>45809</v>
      </c>
      <c r="AI2" s="25">
        <v>45839</v>
      </c>
      <c r="AJ2" s="25">
        <v>45870</v>
      </c>
      <c r="AK2" s="25">
        <v>45901</v>
      </c>
      <c r="AL2" s="25">
        <v>45931</v>
      </c>
      <c r="AM2" s="25">
        <v>45962</v>
      </c>
      <c r="AN2" s="25">
        <v>45992</v>
      </c>
      <c r="AO2" s="25" t="s">
        <v>207</v>
      </c>
      <c r="AQ2" s="25">
        <v>45292</v>
      </c>
      <c r="AR2" s="25">
        <v>45323</v>
      </c>
      <c r="AS2" s="25">
        <v>45352</v>
      </c>
      <c r="AT2" s="25">
        <v>45383</v>
      </c>
      <c r="AU2" s="25">
        <v>45413</v>
      </c>
      <c r="AV2" s="25">
        <v>45444</v>
      </c>
      <c r="AW2" s="25">
        <v>45474</v>
      </c>
      <c r="AX2" s="25">
        <v>45505</v>
      </c>
      <c r="AY2" s="25">
        <v>45536</v>
      </c>
      <c r="AZ2" s="25">
        <v>45566</v>
      </c>
      <c r="BA2" s="25">
        <v>45597</v>
      </c>
      <c r="BB2" s="25">
        <v>45627</v>
      </c>
      <c r="BC2" s="25" t="s">
        <v>245</v>
      </c>
      <c r="BD2" s="2" t="s">
        <v>1</v>
      </c>
      <c r="BE2" s="25">
        <v>45658</v>
      </c>
      <c r="BF2" s="25">
        <v>45689</v>
      </c>
      <c r="BG2" s="25">
        <v>45717</v>
      </c>
      <c r="BH2" s="25">
        <v>45748</v>
      </c>
      <c r="BI2" s="25">
        <v>45778</v>
      </c>
      <c r="BJ2" s="25">
        <v>45809</v>
      </c>
      <c r="BK2" s="25">
        <v>45839</v>
      </c>
      <c r="BL2" s="25">
        <v>45870</v>
      </c>
      <c r="BM2" s="25">
        <v>45901</v>
      </c>
      <c r="BN2" s="25">
        <v>45931</v>
      </c>
      <c r="BO2" s="25">
        <v>45962</v>
      </c>
      <c r="BP2" s="25">
        <v>45992</v>
      </c>
      <c r="BQ2" s="25" t="s">
        <v>207</v>
      </c>
      <c r="BS2" s="25">
        <v>45658</v>
      </c>
      <c r="BT2" s="25">
        <v>45689</v>
      </c>
      <c r="BU2" s="25">
        <v>45717</v>
      </c>
      <c r="BV2" s="25">
        <v>45748</v>
      </c>
      <c r="BW2" s="25">
        <v>45778</v>
      </c>
      <c r="BX2" s="25">
        <v>45809</v>
      </c>
      <c r="BY2" s="25">
        <v>45839</v>
      </c>
      <c r="BZ2" s="25">
        <v>45870</v>
      </c>
      <c r="CA2" s="25">
        <v>45901</v>
      </c>
      <c r="CB2" s="25">
        <v>45931</v>
      </c>
      <c r="CC2" s="25">
        <v>45962</v>
      </c>
      <c r="CD2" s="25">
        <v>45992</v>
      </c>
      <c r="CE2" s="25" t="s">
        <v>207</v>
      </c>
      <c r="CF2" s="39"/>
      <c r="CG2" s="25">
        <v>45292</v>
      </c>
      <c r="CH2" s="25">
        <v>45323</v>
      </c>
      <c r="CI2" s="25">
        <v>45352</v>
      </c>
      <c r="CJ2" s="25">
        <v>45383</v>
      </c>
      <c r="CK2" s="25">
        <v>45413</v>
      </c>
      <c r="CL2" s="25">
        <v>45444</v>
      </c>
      <c r="CM2" s="25">
        <v>45474</v>
      </c>
      <c r="CN2" s="25">
        <v>45505</v>
      </c>
      <c r="CO2" s="25">
        <v>45536</v>
      </c>
      <c r="CP2" s="25">
        <v>45566</v>
      </c>
      <c r="CQ2" s="25">
        <v>45597</v>
      </c>
      <c r="CR2" s="25">
        <v>45627</v>
      </c>
      <c r="CS2" s="25" t="s">
        <v>245</v>
      </c>
      <c r="CT2" s="2" t="s">
        <v>1</v>
      </c>
      <c r="CU2" s="25">
        <v>45658</v>
      </c>
      <c r="CV2" s="25">
        <v>45689</v>
      </c>
      <c r="CW2" s="25">
        <v>45717</v>
      </c>
      <c r="CX2" s="25">
        <v>45748</v>
      </c>
      <c r="CY2" s="25">
        <v>45778</v>
      </c>
      <c r="CZ2" s="25">
        <v>45809</v>
      </c>
      <c r="DA2" s="25">
        <v>45839</v>
      </c>
      <c r="DB2" s="25">
        <v>45870</v>
      </c>
      <c r="DC2" s="25">
        <v>45901</v>
      </c>
      <c r="DD2" s="25">
        <v>45931</v>
      </c>
      <c r="DE2" s="25">
        <v>45962</v>
      </c>
      <c r="DF2" s="25">
        <v>45992</v>
      </c>
      <c r="DG2" s="25" t="s">
        <v>207</v>
      </c>
      <c r="DI2" s="25">
        <v>45658</v>
      </c>
      <c r="DJ2" s="25">
        <v>45689</v>
      </c>
      <c r="DK2" s="25">
        <v>45717</v>
      </c>
      <c r="DL2" s="25">
        <v>45748</v>
      </c>
      <c r="DM2" s="25">
        <v>45778</v>
      </c>
      <c r="DN2" s="25">
        <v>45809</v>
      </c>
      <c r="DO2" s="25">
        <v>45839</v>
      </c>
      <c r="DP2" s="25">
        <v>45870</v>
      </c>
      <c r="DQ2" s="25">
        <v>45901</v>
      </c>
      <c r="DR2" s="25">
        <v>45931</v>
      </c>
      <c r="DS2" s="25">
        <v>45962</v>
      </c>
      <c r="DT2" s="25">
        <v>45992</v>
      </c>
      <c r="DU2" s="25" t="s">
        <v>207</v>
      </c>
      <c r="DW2" s="25">
        <v>45292</v>
      </c>
      <c r="DX2" s="25">
        <v>45323</v>
      </c>
      <c r="DY2" s="25">
        <v>45352</v>
      </c>
      <c r="DZ2" s="25">
        <v>45383</v>
      </c>
      <c r="EA2" s="25">
        <v>45413</v>
      </c>
      <c r="EB2" s="25">
        <v>45444</v>
      </c>
      <c r="EC2" s="25">
        <v>45474</v>
      </c>
      <c r="ED2" s="25">
        <v>45505</v>
      </c>
      <c r="EE2" s="25">
        <v>45536</v>
      </c>
      <c r="EF2" s="25">
        <v>45566</v>
      </c>
      <c r="EG2" s="25">
        <v>45597</v>
      </c>
      <c r="EH2" s="25">
        <v>45627</v>
      </c>
      <c r="EI2" s="25" t="s">
        <v>245</v>
      </c>
      <c r="EJ2" s="2" t="s">
        <v>1</v>
      </c>
      <c r="EK2" s="25">
        <v>45658</v>
      </c>
      <c r="EL2" s="25">
        <v>45689</v>
      </c>
      <c r="EM2" s="25">
        <v>45717</v>
      </c>
      <c r="EN2" s="25">
        <v>45748</v>
      </c>
      <c r="EO2" s="25">
        <v>45778</v>
      </c>
      <c r="EP2" s="25">
        <v>45809</v>
      </c>
      <c r="EQ2" s="25">
        <v>45839</v>
      </c>
      <c r="ER2" s="25">
        <v>45870</v>
      </c>
      <c r="ES2" s="25">
        <v>45901</v>
      </c>
      <c r="ET2" s="25">
        <v>45931</v>
      </c>
      <c r="EU2" s="25">
        <v>45962</v>
      </c>
      <c r="EV2" s="25">
        <v>45992</v>
      </c>
      <c r="EW2" s="25" t="s">
        <v>207</v>
      </c>
      <c r="EX2" s="39"/>
      <c r="EY2" s="25">
        <v>45658</v>
      </c>
      <c r="EZ2" s="25">
        <v>45689</v>
      </c>
      <c r="FA2" s="25">
        <v>45717</v>
      </c>
      <c r="FB2" s="25">
        <v>45748</v>
      </c>
      <c r="FC2" s="25">
        <v>45778</v>
      </c>
      <c r="FD2" s="25">
        <v>45809</v>
      </c>
      <c r="FE2" s="25">
        <v>45839</v>
      </c>
      <c r="FF2" s="25">
        <v>45870</v>
      </c>
      <c r="FG2" s="25">
        <v>45901</v>
      </c>
      <c r="FH2" s="25">
        <v>45931</v>
      </c>
      <c r="FI2" s="25">
        <v>45962</v>
      </c>
      <c r="FJ2" s="25">
        <v>45992</v>
      </c>
      <c r="FK2" s="25" t="s">
        <v>207</v>
      </c>
    </row>
    <row r="3" spans="1:167" ht="14.45" customHeight="1">
      <c r="A3" s="26" t="s">
        <v>206</v>
      </c>
      <c r="B3" s="26" t="s">
        <v>206</v>
      </c>
      <c r="C3" s="26" t="s">
        <v>206</v>
      </c>
      <c r="D3" s="26" t="s">
        <v>206</v>
      </c>
      <c r="E3" s="26" t="s">
        <v>206</v>
      </c>
      <c r="F3" s="26" t="s">
        <v>206</v>
      </c>
      <c r="G3" s="26" t="s">
        <v>206</v>
      </c>
      <c r="H3" s="26" t="s">
        <v>206</v>
      </c>
      <c r="I3" s="26" t="s">
        <v>206</v>
      </c>
      <c r="J3" s="26" t="s">
        <v>206</v>
      </c>
      <c r="K3" s="26" t="s">
        <v>206</v>
      </c>
      <c r="L3" s="26" t="s">
        <v>206</v>
      </c>
      <c r="M3" s="26" t="s">
        <v>206</v>
      </c>
      <c r="N3" s="3" t="s">
        <v>2</v>
      </c>
      <c r="O3" s="26" t="s">
        <v>206</v>
      </c>
      <c r="P3" s="26" t="s">
        <v>206</v>
      </c>
      <c r="Q3" s="26" t="s">
        <v>206</v>
      </c>
      <c r="R3" s="26" t="s">
        <v>206</v>
      </c>
      <c r="S3" s="26" t="s">
        <v>206</v>
      </c>
      <c r="T3" s="26" t="s">
        <v>206</v>
      </c>
      <c r="U3" s="26" t="s">
        <v>206</v>
      </c>
      <c r="V3" s="26" t="s">
        <v>206</v>
      </c>
      <c r="W3" s="26" t="s">
        <v>206</v>
      </c>
      <c r="X3" s="26" t="s">
        <v>206</v>
      </c>
      <c r="Y3" s="26" t="s">
        <v>206</v>
      </c>
      <c r="Z3" s="26" t="s">
        <v>206</v>
      </c>
      <c r="AA3" s="26" t="s">
        <v>206</v>
      </c>
      <c r="AC3" s="26" t="s">
        <v>208</v>
      </c>
      <c r="AD3" s="26" t="s">
        <v>208</v>
      </c>
      <c r="AE3" s="26" t="s">
        <v>208</v>
      </c>
      <c r="AF3" s="26" t="s">
        <v>208</v>
      </c>
      <c r="AG3" s="26" t="s">
        <v>208</v>
      </c>
      <c r="AH3" s="26" t="s">
        <v>208</v>
      </c>
      <c r="AI3" s="26" t="s">
        <v>208</v>
      </c>
      <c r="AJ3" s="26" t="s">
        <v>208</v>
      </c>
      <c r="AK3" s="26" t="s">
        <v>208</v>
      </c>
      <c r="AL3" s="26" t="s">
        <v>208</v>
      </c>
      <c r="AM3" s="26" t="s">
        <v>208</v>
      </c>
      <c r="AN3" s="26" t="s">
        <v>208</v>
      </c>
      <c r="AO3" s="26" t="s">
        <v>208</v>
      </c>
      <c r="AQ3" s="26" t="s">
        <v>206</v>
      </c>
      <c r="AR3" s="26" t="s">
        <v>206</v>
      </c>
      <c r="AS3" s="26" t="s">
        <v>206</v>
      </c>
      <c r="AT3" s="26" t="s">
        <v>206</v>
      </c>
      <c r="AU3" s="26" t="s">
        <v>206</v>
      </c>
      <c r="AV3" s="26" t="s">
        <v>206</v>
      </c>
      <c r="AW3" s="26" t="s">
        <v>206</v>
      </c>
      <c r="AX3" s="26" t="s">
        <v>206</v>
      </c>
      <c r="AY3" s="26" t="s">
        <v>206</v>
      </c>
      <c r="AZ3" s="26" t="s">
        <v>206</v>
      </c>
      <c r="BA3" s="26" t="s">
        <v>206</v>
      </c>
      <c r="BB3" s="26" t="s">
        <v>206</v>
      </c>
      <c r="BC3" s="26" t="s">
        <v>206</v>
      </c>
      <c r="BD3" s="3" t="str">
        <f>N3</f>
        <v>Rs in Lakhs</v>
      </c>
      <c r="BE3" s="26" t="s">
        <v>206</v>
      </c>
      <c r="BF3" s="26" t="s">
        <v>206</v>
      </c>
      <c r="BG3" s="26" t="s">
        <v>206</v>
      </c>
      <c r="BH3" s="26" t="s">
        <v>206</v>
      </c>
      <c r="BI3" s="26" t="s">
        <v>206</v>
      </c>
      <c r="BJ3" s="26" t="s">
        <v>206</v>
      </c>
      <c r="BK3" s="26" t="s">
        <v>206</v>
      </c>
      <c r="BL3" s="26" t="s">
        <v>206</v>
      </c>
      <c r="BM3" s="26" t="s">
        <v>206</v>
      </c>
      <c r="BN3" s="26" t="s">
        <v>206</v>
      </c>
      <c r="BO3" s="26" t="s">
        <v>206</v>
      </c>
      <c r="BP3" s="26" t="s">
        <v>206</v>
      </c>
      <c r="BQ3" s="26" t="s">
        <v>206</v>
      </c>
      <c r="BS3" s="26" t="s">
        <v>208</v>
      </c>
      <c r="BT3" s="26" t="s">
        <v>208</v>
      </c>
      <c r="BU3" s="26" t="s">
        <v>208</v>
      </c>
      <c r="BV3" s="26" t="s">
        <v>208</v>
      </c>
      <c r="BW3" s="26" t="s">
        <v>208</v>
      </c>
      <c r="BX3" s="26" t="s">
        <v>208</v>
      </c>
      <c r="BY3" s="26" t="s">
        <v>208</v>
      </c>
      <c r="BZ3" s="26" t="s">
        <v>208</v>
      </c>
      <c r="CA3" s="26" t="s">
        <v>208</v>
      </c>
      <c r="CB3" s="26" t="s">
        <v>208</v>
      </c>
      <c r="CC3" s="26" t="s">
        <v>208</v>
      </c>
      <c r="CD3" s="26" t="s">
        <v>208</v>
      </c>
      <c r="CE3" s="26" t="s">
        <v>208</v>
      </c>
      <c r="CF3" s="41"/>
      <c r="CG3" s="42" t="s">
        <v>206</v>
      </c>
      <c r="CH3" s="26" t="s">
        <v>206</v>
      </c>
      <c r="CI3" s="26" t="s">
        <v>206</v>
      </c>
      <c r="CJ3" s="26" t="s">
        <v>206</v>
      </c>
      <c r="CK3" s="26" t="s">
        <v>206</v>
      </c>
      <c r="CL3" s="26" t="s">
        <v>206</v>
      </c>
      <c r="CM3" s="26" t="s">
        <v>206</v>
      </c>
      <c r="CN3" s="26" t="s">
        <v>206</v>
      </c>
      <c r="CO3" s="26" t="s">
        <v>206</v>
      </c>
      <c r="CP3" s="26" t="s">
        <v>206</v>
      </c>
      <c r="CQ3" s="26" t="s">
        <v>206</v>
      </c>
      <c r="CR3" s="26" t="s">
        <v>206</v>
      </c>
      <c r="CS3" s="26" t="s">
        <v>206</v>
      </c>
      <c r="CT3" s="3" t="str">
        <f>BD3</f>
        <v>Rs in Lakhs</v>
      </c>
      <c r="CU3" s="26" t="s">
        <v>206</v>
      </c>
      <c r="CV3" s="26" t="s">
        <v>206</v>
      </c>
      <c r="CW3" s="26" t="s">
        <v>206</v>
      </c>
      <c r="CX3" s="26" t="s">
        <v>206</v>
      </c>
      <c r="CY3" s="26" t="s">
        <v>206</v>
      </c>
      <c r="CZ3" s="26" t="s">
        <v>206</v>
      </c>
      <c r="DA3" s="26" t="s">
        <v>206</v>
      </c>
      <c r="DB3" s="26" t="s">
        <v>206</v>
      </c>
      <c r="DC3" s="26" t="s">
        <v>206</v>
      </c>
      <c r="DD3" s="26" t="s">
        <v>206</v>
      </c>
      <c r="DE3" s="26" t="s">
        <v>206</v>
      </c>
      <c r="DF3" s="26" t="s">
        <v>206</v>
      </c>
      <c r="DG3" s="26" t="s">
        <v>206</v>
      </c>
      <c r="DI3" s="26" t="s">
        <v>208</v>
      </c>
      <c r="DJ3" s="26" t="s">
        <v>208</v>
      </c>
      <c r="DK3" s="26" t="s">
        <v>208</v>
      </c>
      <c r="DL3" s="26" t="s">
        <v>208</v>
      </c>
      <c r="DM3" s="26" t="s">
        <v>208</v>
      </c>
      <c r="DN3" s="26" t="s">
        <v>208</v>
      </c>
      <c r="DO3" s="26" t="s">
        <v>208</v>
      </c>
      <c r="DP3" s="26" t="s">
        <v>208</v>
      </c>
      <c r="DQ3" s="26" t="s">
        <v>208</v>
      </c>
      <c r="DR3" s="26" t="s">
        <v>208</v>
      </c>
      <c r="DS3" s="26" t="s">
        <v>208</v>
      </c>
      <c r="DT3" s="26" t="s">
        <v>208</v>
      </c>
      <c r="DU3" s="26" t="s">
        <v>208</v>
      </c>
      <c r="DW3" s="42" t="s">
        <v>206</v>
      </c>
      <c r="DX3" s="26" t="s">
        <v>206</v>
      </c>
      <c r="DY3" s="26" t="s">
        <v>206</v>
      </c>
      <c r="DZ3" s="26" t="s">
        <v>206</v>
      </c>
      <c r="EA3" s="26" t="s">
        <v>206</v>
      </c>
      <c r="EB3" s="26" t="s">
        <v>206</v>
      </c>
      <c r="EC3" s="26" t="s">
        <v>206</v>
      </c>
      <c r="ED3" s="26" t="s">
        <v>206</v>
      </c>
      <c r="EE3" s="26" t="s">
        <v>206</v>
      </c>
      <c r="EF3" s="26" t="s">
        <v>206</v>
      </c>
      <c r="EG3" s="26" t="s">
        <v>206</v>
      </c>
      <c r="EH3" s="26" t="s">
        <v>206</v>
      </c>
      <c r="EI3" s="26" t="s">
        <v>206</v>
      </c>
      <c r="EJ3" s="3" t="str">
        <f>CT3</f>
        <v>Rs in Lakhs</v>
      </c>
      <c r="EK3" s="26" t="s">
        <v>206</v>
      </c>
      <c r="EL3" s="26" t="s">
        <v>206</v>
      </c>
      <c r="EM3" s="26" t="s">
        <v>206</v>
      </c>
      <c r="EN3" s="26" t="s">
        <v>206</v>
      </c>
      <c r="EO3" s="26" t="s">
        <v>206</v>
      </c>
      <c r="EP3" s="26" t="s">
        <v>206</v>
      </c>
      <c r="EQ3" s="26" t="s">
        <v>206</v>
      </c>
      <c r="ER3" s="26" t="s">
        <v>206</v>
      </c>
      <c r="ES3" s="26" t="s">
        <v>206</v>
      </c>
      <c r="ET3" s="26" t="s">
        <v>206</v>
      </c>
      <c r="EU3" s="26" t="s">
        <v>206</v>
      </c>
      <c r="EV3" s="26" t="s">
        <v>206</v>
      </c>
      <c r="EW3" s="26" t="s">
        <v>206</v>
      </c>
      <c r="EX3" s="41"/>
      <c r="EY3" s="26" t="s">
        <v>208</v>
      </c>
      <c r="EZ3" s="26" t="s">
        <v>208</v>
      </c>
      <c r="FA3" s="26" t="s">
        <v>208</v>
      </c>
      <c r="FB3" s="26" t="s">
        <v>208</v>
      </c>
      <c r="FC3" s="26" t="s">
        <v>208</v>
      </c>
      <c r="FD3" s="26" t="s">
        <v>208</v>
      </c>
      <c r="FE3" s="26" t="s">
        <v>208</v>
      </c>
      <c r="FF3" s="26" t="s">
        <v>208</v>
      </c>
      <c r="FG3" s="26" t="s">
        <v>208</v>
      </c>
      <c r="FH3" s="26" t="s">
        <v>208</v>
      </c>
      <c r="FI3" s="26" t="s">
        <v>208</v>
      </c>
      <c r="FJ3" s="26" t="s">
        <v>208</v>
      </c>
      <c r="FK3" s="26" t="s">
        <v>208</v>
      </c>
    </row>
    <row r="4" spans="1:167" ht="14.45" hidden="1" customHeight="1" outlineLevel="1">
      <c r="A4" s="105">
        <f>+AQ4+CG4+DW4</f>
        <v>0</v>
      </c>
      <c r="B4" s="105">
        <f t="shared" ref="B4:L4" si="0">+AR4+CH4+DX4</f>
        <v>0</v>
      </c>
      <c r="C4" s="105">
        <f t="shared" si="0"/>
        <v>0</v>
      </c>
      <c r="D4" s="105">
        <f t="shared" si="0"/>
        <v>0</v>
      </c>
      <c r="E4" s="105">
        <f t="shared" si="0"/>
        <v>0</v>
      </c>
      <c r="F4" s="105">
        <f t="shared" si="0"/>
        <v>0</v>
      </c>
      <c r="G4" s="105">
        <f t="shared" si="0"/>
        <v>0</v>
      </c>
      <c r="H4" s="105">
        <f t="shared" si="0"/>
        <v>0</v>
      </c>
      <c r="I4" s="105">
        <f t="shared" si="0"/>
        <v>0</v>
      </c>
      <c r="J4" s="105">
        <f t="shared" si="0"/>
        <v>0</v>
      </c>
      <c r="K4" s="105">
        <f t="shared" si="0"/>
        <v>0</v>
      </c>
      <c r="L4" s="105">
        <f t="shared" si="0"/>
        <v>0</v>
      </c>
      <c r="M4" s="105">
        <f>+SUM(A4:L4)</f>
        <v>0</v>
      </c>
      <c r="N4" s="4" t="s">
        <v>3</v>
      </c>
      <c r="O4" s="105">
        <f>+BE4+CU4+EK4</f>
        <v>0</v>
      </c>
      <c r="P4" s="105">
        <f t="shared" ref="P4" si="1">+BF4+CV4+EL4</f>
        <v>0</v>
      </c>
      <c r="Q4" s="105">
        <f t="shared" ref="Q4" si="2">+BG4+CW4+EM4</f>
        <v>0</v>
      </c>
      <c r="R4" s="105">
        <f t="shared" ref="R4" si="3">+BH4+CX4+EN4</f>
        <v>0</v>
      </c>
      <c r="S4" s="105">
        <f t="shared" ref="S4" si="4">+BI4+CY4+EO4</f>
        <v>0</v>
      </c>
      <c r="T4" s="105">
        <f t="shared" ref="T4" si="5">+BJ4+CZ4+EP4</f>
        <v>0</v>
      </c>
      <c r="U4" s="105">
        <f t="shared" ref="U4" si="6">+BK4+DA4+EQ4</f>
        <v>0</v>
      </c>
      <c r="V4" s="105">
        <f t="shared" ref="V4" si="7">+BL4+DB4+ER4</f>
        <v>0</v>
      </c>
      <c r="W4" s="105">
        <f t="shared" ref="W4" si="8">+BM4+DC4+ES4</f>
        <v>0</v>
      </c>
      <c r="X4" s="105">
        <f t="shared" ref="X4" si="9">+BN4+DD4+ET4</f>
        <v>0</v>
      </c>
      <c r="Y4" s="105">
        <f t="shared" ref="Y4" si="10">+BO4+DE4+EU4</f>
        <v>0</v>
      </c>
      <c r="Z4" s="105">
        <f t="shared" ref="Z4" si="11">+BP4+DF4+EV4</f>
        <v>0</v>
      </c>
      <c r="AA4" s="105">
        <f>+SUM(O4:Z4)</f>
        <v>0</v>
      </c>
      <c r="AC4" s="105">
        <f>+BS4+DI4+EY4</f>
        <v>0</v>
      </c>
      <c r="AD4" s="105">
        <f t="shared" ref="AD4" si="12">+BT4+DJ4+EZ4</f>
        <v>0</v>
      </c>
      <c r="AE4" s="105">
        <f t="shared" ref="AE4" si="13">+BU4+DK4+FA4</f>
        <v>0</v>
      </c>
      <c r="AF4" s="105">
        <f t="shared" ref="AF4" si="14">+BV4+DL4+FB4</f>
        <v>0</v>
      </c>
      <c r="AG4" s="105">
        <f t="shared" ref="AG4" si="15">+BW4+DM4+FC4</f>
        <v>0</v>
      </c>
      <c r="AH4" s="105">
        <f t="shared" ref="AH4" si="16">+BX4+DN4+FD4</f>
        <v>0</v>
      </c>
      <c r="AI4" s="105">
        <f t="shared" ref="AI4" si="17">+BY4+DO4+FE4</f>
        <v>0</v>
      </c>
      <c r="AJ4" s="105">
        <f t="shared" ref="AJ4" si="18">+BZ4+DP4+FF4</f>
        <v>0</v>
      </c>
      <c r="AK4" s="105">
        <f t="shared" ref="AK4" si="19">+CA4+DQ4+FG4</f>
        <v>0</v>
      </c>
      <c r="AL4" s="105">
        <f t="shared" ref="AL4" si="20">+CB4+DR4+FH4</f>
        <v>0</v>
      </c>
      <c r="AM4" s="105">
        <f t="shared" ref="AM4" si="21">+CC4+DS4+FI4</f>
        <v>0</v>
      </c>
      <c r="AN4" s="105">
        <f t="shared" ref="AN4" si="22">+CD4+DT4+FJ4</f>
        <v>0</v>
      </c>
      <c r="AO4" s="105">
        <f>+SUM(AC4:AN4)</f>
        <v>0</v>
      </c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>
        <f>+SUM(AQ4:BB4)</f>
        <v>0</v>
      </c>
      <c r="BD4" s="4" t="str">
        <f>N4</f>
        <v>No of Cars</v>
      </c>
      <c r="BE4" s="105">
        <f>+'Jan-25'!$E$4</f>
        <v>0</v>
      </c>
      <c r="BF4" s="105">
        <f>+'Feb-25'!$E$4</f>
        <v>0</v>
      </c>
      <c r="BG4" s="105">
        <f>+'Mar-25'!$E$4</f>
        <v>0</v>
      </c>
      <c r="BH4" s="105">
        <f>+'Apr-25'!$E$4</f>
        <v>0</v>
      </c>
      <c r="BI4" s="105">
        <f>+'May-25'!$E$4</f>
        <v>0</v>
      </c>
      <c r="BJ4" s="105">
        <f>+'June-25'!$E$4</f>
        <v>0</v>
      </c>
      <c r="BK4" s="105">
        <f>+'July-25'!$E$4</f>
        <v>0</v>
      </c>
      <c r="BL4" s="105">
        <f>+'Aug-25'!$E$4</f>
        <v>0</v>
      </c>
      <c r="BM4" s="105">
        <f>+'Sep-25'!$E$4</f>
        <v>0</v>
      </c>
      <c r="BN4" s="105">
        <f>+'Oct-25'!$E$4</f>
        <v>0</v>
      </c>
      <c r="BO4" s="105">
        <f>+'Nov-25'!$E$4</f>
        <v>0</v>
      </c>
      <c r="BP4" s="105">
        <f>+'Dec-25'!$E$4</f>
        <v>0</v>
      </c>
      <c r="BQ4" s="105">
        <f>+SUM(BE4:BP4)</f>
        <v>0</v>
      </c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>
        <f>+SUM(BS4:CD4)</f>
        <v>0</v>
      </c>
      <c r="CF4" s="106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5">
        <f>+SUM(CG4:CR4)</f>
        <v>0</v>
      </c>
      <c r="CT4" s="4" t="str">
        <f>BD4</f>
        <v>No of Cars</v>
      </c>
      <c r="CU4" s="105">
        <f>+'Jan-25'!$H$4</f>
        <v>0</v>
      </c>
      <c r="CV4" s="105">
        <f>+'Feb-25'!$H$4</f>
        <v>0</v>
      </c>
      <c r="CW4" s="105">
        <f>+'Mar-25'!$H$4</f>
        <v>0</v>
      </c>
      <c r="CX4" s="105">
        <f>+'Apr-25'!$H$4</f>
        <v>0</v>
      </c>
      <c r="CY4" s="105">
        <f>+'May-25'!$H$4</f>
        <v>0</v>
      </c>
      <c r="CZ4" s="105">
        <f>+'June-25'!$H$4</f>
        <v>0</v>
      </c>
      <c r="DA4" s="105">
        <f>+'July-25'!$H$4</f>
        <v>0</v>
      </c>
      <c r="DB4" s="105">
        <f>+'Aug-25'!$H$4</f>
        <v>0</v>
      </c>
      <c r="DC4" s="105">
        <f>+'Sep-25'!$H$4</f>
        <v>0</v>
      </c>
      <c r="DD4" s="105">
        <f>+'Oct-25'!$H$4</f>
        <v>0</v>
      </c>
      <c r="DE4" s="105">
        <f>+'Nov-25'!$H$4</f>
        <v>0</v>
      </c>
      <c r="DF4" s="105">
        <f>+'Dec-25'!$H$4</f>
        <v>0</v>
      </c>
      <c r="DG4" s="105">
        <f>+SUM(CU4:DF4)</f>
        <v>0</v>
      </c>
      <c r="DI4" s="105"/>
      <c r="DJ4" s="105"/>
      <c r="DK4" s="105"/>
      <c r="DL4" s="105"/>
      <c r="DM4" s="105"/>
      <c r="DN4" s="105"/>
      <c r="DO4" s="105"/>
      <c r="DP4" s="105"/>
      <c r="DQ4" s="105"/>
      <c r="DR4" s="105"/>
      <c r="DS4" s="105"/>
      <c r="DT4" s="105"/>
      <c r="DU4" s="105">
        <f>+SUM(DI4:DT4)</f>
        <v>0</v>
      </c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105">
        <f>+SUM(DW4:EH4)</f>
        <v>0</v>
      </c>
      <c r="EJ4" s="4" t="str">
        <f>CT4</f>
        <v>No of Cars</v>
      </c>
      <c r="EK4" s="27">
        <f>+'Jan-25'!$J$4</f>
        <v>0</v>
      </c>
      <c r="EL4" s="27">
        <f>+'Feb-25'!$J$4</f>
        <v>0</v>
      </c>
      <c r="EM4" s="27">
        <f>+'Mar-25'!$J$4</f>
        <v>0</v>
      </c>
      <c r="EN4" s="27">
        <f>+'Apr-25'!$J$4</f>
        <v>0</v>
      </c>
      <c r="EO4" s="27">
        <f>+'May-25'!$J$4</f>
        <v>0</v>
      </c>
      <c r="EP4" s="27">
        <f>+'June-25'!$J$4</f>
        <v>0</v>
      </c>
      <c r="EQ4" s="27">
        <f>+'July-25'!$J$4</f>
        <v>0</v>
      </c>
      <c r="ER4" s="27">
        <f>+'Aug-25'!$J$4</f>
        <v>0</v>
      </c>
      <c r="ES4" s="27">
        <f>+'Sep-25'!$J$4</f>
        <v>0</v>
      </c>
      <c r="ET4" s="27">
        <f>+'Oct-25'!$J$4</f>
        <v>0</v>
      </c>
      <c r="EU4" s="27">
        <f>+'Nov-25'!$J$4</f>
        <v>0</v>
      </c>
      <c r="EV4" s="27">
        <f>+'Dec-25'!$J$4</f>
        <v>0</v>
      </c>
      <c r="EW4" s="27">
        <f>+SUM(EK4:EV4)</f>
        <v>0</v>
      </c>
      <c r="EX4" s="22"/>
      <c r="EY4" s="105"/>
      <c r="EZ4" s="105"/>
      <c r="FA4" s="105"/>
      <c r="FB4" s="105"/>
      <c r="FC4" s="105"/>
      <c r="FD4" s="105"/>
      <c r="FE4" s="105"/>
      <c r="FF4" s="105"/>
      <c r="FG4" s="105"/>
      <c r="FH4" s="105"/>
      <c r="FI4" s="105"/>
      <c r="FJ4" s="105"/>
      <c r="FK4" s="105">
        <f>+SUM(EY4:FJ4)</f>
        <v>0</v>
      </c>
    </row>
    <row r="5" spans="1:167" ht="14.45" hidden="1" customHeight="1" outlineLevel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5" t="s">
        <v>4</v>
      </c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5" t="str">
        <f>N5</f>
        <v>New Car Sales</v>
      </c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/>
      <c r="CI5" s="106"/>
      <c r="CJ5" s="106"/>
      <c r="CK5" s="106"/>
      <c r="CL5" s="106"/>
      <c r="CM5" s="106"/>
      <c r="CN5" s="106"/>
      <c r="CO5" s="106"/>
      <c r="CP5" s="106"/>
      <c r="CQ5" s="106"/>
      <c r="CR5" s="106"/>
      <c r="CS5" s="106"/>
      <c r="CT5" s="5" t="str">
        <f>BD5</f>
        <v>New Car Sales</v>
      </c>
      <c r="CU5" s="106"/>
      <c r="CV5" s="106"/>
      <c r="CW5" s="106"/>
      <c r="CX5" s="106"/>
      <c r="CY5" s="106"/>
      <c r="CZ5" s="106"/>
      <c r="DA5" s="106"/>
      <c r="DB5" s="106"/>
      <c r="DC5" s="106"/>
      <c r="DD5" s="106"/>
      <c r="DE5" s="106"/>
      <c r="DF5" s="106"/>
      <c r="DG5" s="106"/>
      <c r="DI5" s="106"/>
      <c r="DJ5" s="106"/>
      <c r="DK5" s="106"/>
      <c r="DL5" s="106"/>
      <c r="DM5" s="106"/>
      <c r="DN5" s="106"/>
      <c r="DO5" s="106"/>
      <c r="DP5" s="106"/>
      <c r="DQ5" s="106"/>
      <c r="DR5" s="106"/>
      <c r="DS5" s="106"/>
      <c r="DT5" s="106"/>
      <c r="DU5" s="106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106"/>
      <c r="EJ5" s="5" t="str">
        <f>CT5</f>
        <v>New Car Sales</v>
      </c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106"/>
      <c r="EZ5" s="106"/>
      <c r="FA5" s="106"/>
      <c r="FB5" s="106"/>
      <c r="FC5" s="106"/>
      <c r="FD5" s="106"/>
      <c r="FE5" s="106"/>
      <c r="FF5" s="106"/>
      <c r="FG5" s="106"/>
      <c r="FH5" s="106"/>
      <c r="FI5" s="106"/>
      <c r="FJ5" s="106"/>
      <c r="FK5" s="106"/>
    </row>
    <row r="6" spans="1:167" ht="14.45" hidden="1" customHeight="1" outlineLevel="1">
      <c r="A6" s="58">
        <f>+A7+A8+A13</f>
        <v>0</v>
      </c>
      <c r="B6" s="58">
        <f t="shared" ref="B6:L6" si="23">+B7+B8+B13</f>
        <v>0</v>
      </c>
      <c r="C6" s="58">
        <f t="shared" si="23"/>
        <v>0</v>
      </c>
      <c r="D6" s="58">
        <f t="shared" si="23"/>
        <v>0</v>
      </c>
      <c r="E6" s="58">
        <f t="shared" si="23"/>
        <v>0</v>
      </c>
      <c r="F6" s="58">
        <f t="shared" si="23"/>
        <v>0</v>
      </c>
      <c r="G6" s="58">
        <f t="shared" si="23"/>
        <v>0</v>
      </c>
      <c r="H6" s="58">
        <f t="shared" si="23"/>
        <v>0</v>
      </c>
      <c r="I6" s="58">
        <f t="shared" si="23"/>
        <v>0</v>
      </c>
      <c r="J6" s="58">
        <f t="shared" si="23"/>
        <v>0</v>
      </c>
      <c r="K6" s="58">
        <f t="shared" si="23"/>
        <v>0</v>
      </c>
      <c r="L6" s="58">
        <f t="shared" si="23"/>
        <v>0</v>
      </c>
      <c r="M6" s="58">
        <f>+SUM(A6:L6)</f>
        <v>0</v>
      </c>
      <c r="N6" s="6" t="s">
        <v>5</v>
      </c>
      <c r="O6" s="58">
        <f>+O7+O8+O13</f>
        <v>0</v>
      </c>
      <c r="P6" s="58">
        <f t="shared" ref="P6" si="24">+P7+P8+P13</f>
        <v>0</v>
      </c>
      <c r="Q6" s="58">
        <f t="shared" ref="Q6" si="25">+Q7+Q8+Q13</f>
        <v>0</v>
      </c>
      <c r="R6" s="58">
        <f t="shared" ref="R6" si="26">+R7+R8+R13</f>
        <v>0</v>
      </c>
      <c r="S6" s="58">
        <f t="shared" ref="S6" si="27">+S7+S8+S13</f>
        <v>0</v>
      </c>
      <c r="T6" s="58">
        <f t="shared" ref="T6" si="28">+T7+T8+T13</f>
        <v>0</v>
      </c>
      <c r="U6" s="58">
        <f t="shared" ref="U6" si="29">+U7+U8+U13</f>
        <v>0</v>
      </c>
      <c r="V6" s="58">
        <f t="shared" ref="V6" si="30">+V7+V8+V13</f>
        <v>0</v>
      </c>
      <c r="W6" s="58">
        <f t="shared" ref="W6" si="31">+W7+W8+W13</f>
        <v>0</v>
      </c>
      <c r="X6" s="58">
        <f t="shared" ref="X6" si="32">+X7+X8+X13</f>
        <v>0</v>
      </c>
      <c r="Y6" s="58">
        <f t="shared" ref="Y6" si="33">+Y7+Y8+Y13</f>
        <v>0</v>
      </c>
      <c r="Z6" s="58">
        <f t="shared" ref="Z6" si="34">+Z7+Z8+Z13</f>
        <v>0</v>
      </c>
      <c r="AA6" s="58">
        <f>+SUM(O6:Z6)</f>
        <v>0</v>
      </c>
      <c r="AC6" s="58">
        <f>+AC7+AC8+AC13</f>
        <v>0</v>
      </c>
      <c r="AD6" s="58">
        <f t="shared" ref="AD6" si="35">+AD7+AD8+AD13</f>
        <v>0</v>
      </c>
      <c r="AE6" s="58">
        <f t="shared" ref="AE6" si="36">+AE7+AE8+AE13</f>
        <v>0</v>
      </c>
      <c r="AF6" s="58">
        <f t="shared" ref="AF6" si="37">+AF7+AF8+AF13</f>
        <v>0</v>
      </c>
      <c r="AG6" s="58">
        <f t="shared" ref="AG6" si="38">+AG7+AG8+AG13</f>
        <v>0</v>
      </c>
      <c r="AH6" s="58">
        <f t="shared" ref="AH6" si="39">+AH7+AH8+AH13</f>
        <v>0</v>
      </c>
      <c r="AI6" s="58">
        <f t="shared" ref="AI6" si="40">+AI7+AI8+AI13</f>
        <v>0</v>
      </c>
      <c r="AJ6" s="58">
        <f t="shared" ref="AJ6" si="41">+AJ7+AJ8+AJ13</f>
        <v>0</v>
      </c>
      <c r="AK6" s="58">
        <f t="shared" ref="AK6" si="42">+AK7+AK8+AK13</f>
        <v>0</v>
      </c>
      <c r="AL6" s="58">
        <f t="shared" ref="AL6" si="43">+AL7+AL8+AL13</f>
        <v>0</v>
      </c>
      <c r="AM6" s="58">
        <f t="shared" ref="AM6" si="44">+AM7+AM8+AM13</f>
        <v>0</v>
      </c>
      <c r="AN6" s="58">
        <f t="shared" ref="AN6" si="45">+AN7+AN8+AN13</f>
        <v>0</v>
      </c>
      <c r="AO6" s="58">
        <f>+SUM(AC6:AN6)</f>
        <v>0</v>
      </c>
      <c r="AQ6" s="58">
        <f>+AQ7+AQ8+AQ13</f>
        <v>0</v>
      </c>
      <c r="AR6" s="58">
        <f t="shared" ref="AR6:BB6" si="46">+AR7+AR8+AR13</f>
        <v>0</v>
      </c>
      <c r="AS6" s="58">
        <f t="shared" si="46"/>
        <v>0</v>
      </c>
      <c r="AT6" s="58">
        <f t="shared" si="46"/>
        <v>0</v>
      </c>
      <c r="AU6" s="58">
        <f t="shared" si="46"/>
        <v>0</v>
      </c>
      <c r="AV6" s="58">
        <f t="shared" si="46"/>
        <v>0</v>
      </c>
      <c r="AW6" s="58">
        <f t="shared" si="46"/>
        <v>0</v>
      </c>
      <c r="AX6" s="58">
        <f t="shared" si="46"/>
        <v>0</v>
      </c>
      <c r="AY6" s="58">
        <f t="shared" si="46"/>
        <v>0</v>
      </c>
      <c r="AZ6" s="58">
        <f t="shared" si="46"/>
        <v>0</v>
      </c>
      <c r="BA6" s="58">
        <f t="shared" si="46"/>
        <v>0</v>
      </c>
      <c r="BB6" s="58">
        <f t="shared" si="46"/>
        <v>0</v>
      </c>
      <c r="BC6" s="58">
        <f>+SUM(AQ6:BB6)</f>
        <v>0</v>
      </c>
      <c r="BD6" s="6" t="str">
        <f t="shared" ref="BD6:BD61" si="47">N6</f>
        <v>Total Commission</v>
      </c>
      <c r="BE6" s="58">
        <f t="shared" ref="BE6:BP6" si="48">+BE7+BE8+BE13</f>
        <v>0</v>
      </c>
      <c r="BF6" s="58">
        <f t="shared" si="48"/>
        <v>0</v>
      </c>
      <c r="BG6" s="58">
        <f t="shared" si="48"/>
        <v>0</v>
      </c>
      <c r="BH6" s="58">
        <f t="shared" si="48"/>
        <v>0</v>
      </c>
      <c r="BI6" s="58">
        <f t="shared" si="48"/>
        <v>0</v>
      </c>
      <c r="BJ6" s="58">
        <f t="shared" si="48"/>
        <v>0</v>
      </c>
      <c r="BK6" s="58">
        <f t="shared" si="48"/>
        <v>0</v>
      </c>
      <c r="BL6" s="58">
        <f t="shared" si="48"/>
        <v>0</v>
      </c>
      <c r="BM6" s="58">
        <f t="shared" si="48"/>
        <v>0</v>
      </c>
      <c r="BN6" s="58">
        <f t="shared" si="48"/>
        <v>0</v>
      </c>
      <c r="BO6" s="58">
        <f t="shared" si="48"/>
        <v>0</v>
      </c>
      <c r="BP6" s="58">
        <f t="shared" si="48"/>
        <v>0</v>
      </c>
      <c r="BQ6" s="58">
        <f>+SUM(BE6:BP6)</f>
        <v>0</v>
      </c>
      <c r="BS6" s="58">
        <f t="shared" ref="BS6:CD6" si="49">+BS7+BS8+BS13</f>
        <v>0</v>
      </c>
      <c r="BT6" s="58">
        <f t="shared" si="49"/>
        <v>0</v>
      </c>
      <c r="BU6" s="58">
        <f t="shared" si="49"/>
        <v>0</v>
      </c>
      <c r="BV6" s="58">
        <f t="shared" si="49"/>
        <v>0</v>
      </c>
      <c r="BW6" s="58">
        <f t="shared" si="49"/>
        <v>0</v>
      </c>
      <c r="BX6" s="58">
        <f t="shared" si="49"/>
        <v>0</v>
      </c>
      <c r="BY6" s="58">
        <f t="shared" si="49"/>
        <v>0</v>
      </c>
      <c r="BZ6" s="58">
        <f t="shared" si="49"/>
        <v>0</v>
      </c>
      <c r="CA6" s="58">
        <f t="shared" si="49"/>
        <v>0</v>
      </c>
      <c r="CB6" s="58">
        <f t="shared" si="49"/>
        <v>0</v>
      </c>
      <c r="CC6" s="58">
        <f t="shared" si="49"/>
        <v>0</v>
      </c>
      <c r="CD6" s="58">
        <f t="shared" si="49"/>
        <v>0</v>
      </c>
      <c r="CE6" s="58">
        <f>+SUM(BS6:CD6)</f>
        <v>0</v>
      </c>
      <c r="CF6" s="112"/>
      <c r="CG6" s="58">
        <f>+CG7+CG8+CG13</f>
        <v>0</v>
      </c>
      <c r="CH6" s="58">
        <f t="shared" ref="CH6:CR6" si="50">+CH7+CH8+CH13</f>
        <v>0</v>
      </c>
      <c r="CI6" s="58">
        <f t="shared" si="50"/>
        <v>0</v>
      </c>
      <c r="CJ6" s="58">
        <f t="shared" si="50"/>
        <v>0</v>
      </c>
      <c r="CK6" s="58">
        <f t="shared" si="50"/>
        <v>0</v>
      </c>
      <c r="CL6" s="58">
        <f t="shared" si="50"/>
        <v>0</v>
      </c>
      <c r="CM6" s="58">
        <f t="shared" si="50"/>
        <v>0</v>
      </c>
      <c r="CN6" s="58">
        <f t="shared" si="50"/>
        <v>0</v>
      </c>
      <c r="CO6" s="58">
        <f t="shared" si="50"/>
        <v>0</v>
      </c>
      <c r="CP6" s="58">
        <f t="shared" si="50"/>
        <v>0</v>
      </c>
      <c r="CQ6" s="58">
        <f t="shared" si="50"/>
        <v>0</v>
      </c>
      <c r="CR6" s="58">
        <f t="shared" si="50"/>
        <v>0</v>
      </c>
      <c r="CS6" s="58">
        <f>+SUM(CG6:CR6)</f>
        <v>0</v>
      </c>
      <c r="CT6" s="6" t="str">
        <f t="shared" ref="CT6:CT61" si="51">BD6</f>
        <v>Total Commission</v>
      </c>
      <c r="CU6" s="58">
        <f t="shared" ref="CU6:DF6" si="52">+CU7+CU8+CU13</f>
        <v>0</v>
      </c>
      <c r="CV6" s="58">
        <f t="shared" si="52"/>
        <v>0</v>
      </c>
      <c r="CW6" s="58">
        <f t="shared" si="52"/>
        <v>0</v>
      </c>
      <c r="CX6" s="58">
        <f t="shared" si="52"/>
        <v>0</v>
      </c>
      <c r="CY6" s="58">
        <f t="shared" si="52"/>
        <v>0</v>
      </c>
      <c r="CZ6" s="58">
        <f t="shared" si="52"/>
        <v>0</v>
      </c>
      <c r="DA6" s="58">
        <f t="shared" si="52"/>
        <v>0</v>
      </c>
      <c r="DB6" s="58">
        <f t="shared" si="52"/>
        <v>0</v>
      </c>
      <c r="DC6" s="58">
        <f t="shared" si="52"/>
        <v>0</v>
      </c>
      <c r="DD6" s="58">
        <f t="shared" si="52"/>
        <v>0</v>
      </c>
      <c r="DE6" s="58">
        <f t="shared" si="52"/>
        <v>0</v>
      </c>
      <c r="DF6" s="58">
        <f t="shared" si="52"/>
        <v>0</v>
      </c>
      <c r="DG6" s="58">
        <f>+SUM(CU6:DF6)</f>
        <v>0</v>
      </c>
      <c r="DI6" s="58">
        <f t="shared" ref="DI6:DT6" si="53">+DI7+DI8+DI13</f>
        <v>0</v>
      </c>
      <c r="DJ6" s="58">
        <f t="shared" si="53"/>
        <v>0</v>
      </c>
      <c r="DK6" s="58">
        <f t="shared" si="53"/>
        <v>0</v>
      </c>
      <c r="DL6" s="58">
        <f t="shared" si="53"/>
        <v>0</v>
      </c>
      <c r="DM6" s="58">
        <f t="shared" si="53"/>
        <v>0</v>
      </c>
      <c r="DN6" s="58">
        <f t="shared" si="53"/>
        <v>0</v>
      </c>
      <c r="DO6" s="58">
        <f t="shared" si="53"/>
        <v>0</v>
      </c>
      <c r="DP6" s="58">
        <f t="shared" si="53"/>
        <v>0</v>
      </c>
      <c r="DQ6" s="58">
        <f t="shared" si="53"/>
        <v>0</v>
      </c>
      <c r="DR6" s="58">
        <f t="shared" si="53"/>
        <v>0</v>
      </c>
      <c r="DS6" s="58">
        <f t="shared" si="53"/>
        <v>0</v>
      </c>
      <c r="DT6" s="58">
        <f t="shared" si="53"/>
        <v>0</v>
      </c>
      <c r="DU6" s="58">
        <f>+SUM(DI6:DT6)</f>
        <v>0</v>
      </c>
      <c r="DW6" s="28">
        <f t="shared" ref="DW6:EH6" si="54">+DW7+DW8+DW13</f>
        <v>0</v>
      </c>
      <c r="DX6" s="28">
        <f t="shared" si="54"/>
        <v>0</v>
      </c>
      <c r="DY6" s="28">
        <f t="shared" si="54"/>
        <v>0</v>
      </c>
      <c r="DZ6" s="28">
        <f t="shared" si="54"/>
        <v>0</v>
      </c>
      <c r="EA6" s="28">
        <f t="shared" si="54"/>
        <v>0</v>
      </c>
      <c r="EB6" s="28">
        <f t="shared" si="54"/>
        <v>0</v>
      </c>
      <c r="EC6" s="28">
        <f t="shared" si="54"/>
        <v>0</v>
      </c>
      <c r="ED6" s="28">
        <f t="shared" si="54"/>
        <v>0</v>
      </c>
      <c r="EE6" s="28">
        <f t="shared" si="54"/>
        <v>0</v>
      </c>
      <c r="EF6" s="28">
        <f t="shared" si="54"/>
        <v>0</v>
      </c>
      <c r="EG6" s="28">
        <f t="shared" si="54"/>
        <v>0</v>
      </c>
      <c r="EH6" s="28">
        <f t="shared" si="54"/>
        <v>0</v>
      </c>
      <c r="EI6" s="58">
        <f>+SUM(DW6:EH6)</f>
        <v>0</v>
      </c>
      <c r="EJ6" s="6" t="str">
        <f t="shared" ref="EJ6:EJ8" si="55">CT6</f>
        <v>Total Commission</v>
      </c>
      <c r="EK6" s="28">
        <f t="shared" ref="EK6:EV6" si="56">+EK7+EK8+EK13</f>
        <v>0</v>
      </c>
      <c r="EL6" s="28">
        <f t="shared" si="56"/>
        <v>0</v>
      </c>
      <c r="EM6" s="28">
        <f t="shared" si="56"/>
        <v>0</v>
      </c>
      <c r="EN6" s="28">
        <f t="shared" si="56"/>
        <v>0</v>
      </c>
      <c r="EO6" s="28">
        <f t="shared" si="56"/>
        <v>0</v>
      </c>
      <c r="EP6" s="28">
        <f t="shared" si="56"/>
        <v>0</v>
      </c>
      <c r="EQ6" s="28">
        <f t="shared" si="56"/>
        <v>0</v>
      </c>
      <c r="ER6" s="28">
        <f t="shared" si="56"/>
        <v>0</v>
      </c>
      <c r="ES6" s="28">
        <f t="shared" si="56"/>
        <v>0</v>
      </c>
      <c r="ET6" s="28">
        <f t="shared" si="56"/>
        <v>0</v>
      </c>
      <c r="EU6" s="28">
        <f t="shared" si="56"/>
        <v>0</v>
      </c>
      <c r="EV6" s="28">
        <f t="shared" si="56"/>
        <v>0</v>
      </c>
      <c r="EW6" s="28">
        <f>+SUM(EK6:EV6)</f>
        <v>0</v>
      </c>
      <c r="EX6" s="22"/>
      <c r="EY6" s="58">
        <f t="shared" ref="EY6:FJ6" si="57">+EY7+EY8+EY13</f>
        <v>0</v>
      </c>
      <c r="EZ6" s="58">
        <f t="shared" si="57"/>
        <v>0</v>
      </c>
      <c r="FA6" s="58">
        <f t="shared" si="57"/>
        <v>0</v>
      </c>
      <c r="FB6" s="58">
        <f t="shared" si="57"/>
        <v>0</v>
      </c>
      <c r="FC6" s="58">
        <f t="shared" si="57"/>
        <v>0</v>
      </c>
      <c r="FD6" s="58">
        <f t="shared" si="57"/>
        <v>0</v>
      </c>
      <c r="FE6" s="58">
        <f t="shared" si="57"/>
        <v>0</v>
      </c>
      <c r="FF6" s="58">
        <f t="shared" si="57"/>
        <v>0</v>
      </c>
      <c r="FG6" s="58">
        <f t="shared" si="57"/>
        <v>0</v>
      </c>
      <c r="FH6" s="58">
        <f t="shared" si="57"/>
        <v>0</v>
      </c>
      <c r="FI6" s="58">
        <f t="shared" si="57"/>
        <v>0</v>
      </c>
      <c r="FJ6" s="58">
        <f t="shared" si="57"/>
        <v>0</v>
      </c>
      <c r="FK6" s="58">
        <f>+SUM(EY6:FJ6)</f>
        <v>0</v>
      </c>
    </row>
    <row r="7" spans="1:167" ht="14.45" hidden="1" customHeight="1" outlineLevel="1">
      <c r="A7" s="58">
        <f t="shared" ref="A7:A12" si="58">+AQ7+CG7+DW7</f>
        <v>0</v>
      </c>
      <c r="B7" s="58">
        <f t="shared" ref="B7" si="59">+AR7+CH7+DX7</f>
        <v>0</v>
      </c>
      <c r="C7" s="58">
        <f t="shared" ref="C7" si="60">+AS7+CI7+DY7</f>
        <v>0</v>
      </c>
      <c r="D7" s="58">
        <f t="shared" ref="D7" si="61">+AT7+CJ7+DZ7</f>
        <v>0</v>
      </c>
      <c r="E7" s="58">
        <f t="shared" ref="E7" si="62">+AU7+CK7+EA7</f>
        <v>0</v>
      </c>
      <c r="F7" s="58">
        <f t="shared" ref="F7" si="63">+AV7+CL7+EB7</f>
        <v>0</v>
      </c>
      <c r="G7" s="58">
        <f t="shared" ref="G7" si="64">+AW7+CM7+EC7</f>
        <v>0</v>
      </c>
      <c r="H7" s="58">
        <f t="shared" ref="H7" si="65">+AX7+CN7+ED7</f>
        <v>0</v>
      </c>
      <c r="I7" s="58">
        <f t="shared" ref="I7" si="66">+AY7+CO7+EE7</f>
        <v>0</v>
      </c>
      <c r="J7" s="58">
        <f t="shared" ref="J7" si="67">+AZ7+CP7+EF7</f>
        <v>0</v>
      </c>
      <c r="K7" s="58">
        <f t="shared" ref="K7" si="68">+BA7+CQ7+EG7</f>
        <v>0</v>
      </c>
      <c r="L7" s="58">
        <f t="shared" ref="L7" si="69">+BB7+CR7+EH7</f>
        <v>0</v>
      </c>
      <c r="M7" s="58">
        <f t="shared" ref="M7:M8" si="70">+SUM(A7:L7)</f>
        <v>0</v>
      </c>
      <c r="N7" s="6" t="s">
        <v>6</v>
      </c>
      <c r="O7" s="58">
        <f t="shared" ref="O7" si="71">+BE7+CU7+EK7</f>
        <v>0</v>
      </c>
      <c r="P7" s="58">
        <f t="shared" ref="P7" si="72">+BF7+CV7+EL7</f>
        <v>0</v>
      </c>
      <c r="Q7" s="58">
        <f t="shared" ref="Q7" si="73">+BG7+CW7+EM7</f>
        <v>0</v>
      </c>
      <c r="R7" s="58">
        <f t="shared" ref="R7" si="74">+BH7+CX7+EN7</f>
        <v>0</v>
      </c>
      <c r="S7" s="58">
        <f t="shared" ref="S7" si="75">+BI7+CY7+EO7</f>
        <v>0</v>
      </c>
      <c r="T7" s="58">
        <f t="shared" ref="T7" si="76">+BJ7+CZ7+EP7</f>
        <v>0</v>
      </c>
      <c r="U7" s="58">
        <f t="shared" ref="U7" si="77">+BK7+DA7+EQ7</f>
        <v>0</v>
      </c>
      <c r="V7" s="58">
        <f t="shared" ref="V7" si="78">+BL7+DB7+ER7</f>
        <v>0</v>
      </c>
      <c r="W7" s="58">
        <f t="shared" ref="W7" si="79">+BM7+DC7+ES7</f>
        <v>0</v>
      </c>
      <c r="X7" s="58">
        <f t="shared" ref="X7" si="80">+BN7+DD7+ET7</f>
        <v>0</v>
      </c>
      <c r="Y7" s="58">
        <f t="shared" ref="Y7" si="81">+BO7+DE7+EU7</f>
        <v>0</v>
      </c>
      <c r="Z7" s="58">
        <f t="shared" ref="Z7" si="82">+BP7+DF7+EV7</f>
        <v>0</v>
      </c>
      <c r="AA7" s="58">
        <f t="shared" ref="AA7:AA8" si="83">+SUM(O7:Z7)</f>
        <v>0</v>
      </c>
      <c r="AC7" s="58">
        <f t="shared" ref="AC7" si="84">+BS7+DI7+EY7</f>
        <v>0</v>
      </c>
      <c r="AD7" s="58">
        <f t="shared" ref="AD7" si="85">+BT7+DJ7+EZ7</f>
        <v>0</v>
      </c>
      <c r="AE7" s="58">
        <f t="shared" ref="AE7" si="86">+BU7+DK7+FA7</f>
        <v>0</v>
      </c>
      <c r="AF7" s="58">
        <f t="shared" ref="AF7" si="87">+BV7+DL7+FB7</f>
        <v>0</v>
      </c>
      <c r="AG7" s="58">
        <f t="shared" ref="AG7" si="88">+BW7+DM7+FC7</f>
        <v>0</v>
      </c>
      <c r="AH7" s="58">
        <f t="shared" ref="AH7" si="89">+BX7+DN7+FD7</f>
        <v>0</v>
      </c>
      <c r="AI7" s="58">
        <f t="shared" ref="AI7" si="90">+BY7+DO7+FE7</f>
        <v>0</v>
      </c>
      <c r="AJ7" s="58">
        <f t="shared" ref="AJ7" si="91">+BZ7+DP7+FF7</f>
        <v>0</v>
      </c>
      <c r="AK7" s="58">
        <f t="shared" ref="AK7" si="92">+CA7+DQ7+FG7</f>
        <v>0</v>
      </c>
      <c r="AL7" s="58">
        <f t="shared" ref="AL7" si="93">+CB7+DR7+FH7</f>
        <v>0</v>
      </c>
      <c r="AM7" s="58">
        <f t="shared" ref="AM7" si="94">+CC7+DS7+FI7</f>
        <v>0</v>
      </c>
      <c r="AN7" s="58">
        <f t="shared" ref="AN7" si="95">+CD7+DT7+FJ7</f>
        <v>0</v>
      </c>
      <c r="AO7" s="58">
        <f t="shared" ref="AO7:AO8" si="96">+SUM(AC7:AN7)</f>
        <v>0</v>
      </c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>
        <f t="shared" ref="BC7:BC8" si="97">+SUM(AQ7:BB7)</f>
        <v>0</v>
      </c>
      <c r="BD7" s="6" t="str">
        <f t="shared" si="47"/>
        <v>Fixed Commission</v>
      </c>
      <c r="BE7" s="58">
        <f>+VLOOKUP($BD7,'Jan-25'!$A:$J,5,0)</f>
        <v>0</v>
      </c>
      <c r="BF7" s="58">
        <f>+VLOOKUP($BD7,'Feb-25'!$A:$J,5,0)</f>
        <v>0</v>
      </c>
      <c r="BG7" s="58">
        <f>+VLOOKUP($BD7,'Mar-25'!$A:$J,5,0)</f>
        <v>0</v>
      </c>
      <c r="BH7" s="58">
        <f>+VLOOKUP($BD7,'Apr-25'!$A:$J,5,0)</f>
        <v>0</v>
      </c>
      <c r="BI7" s="58">
        <f>+VLOOKUP($BD7,'May-25'!$A:$J,5,0)</f>
        <v>0</v>
      </c>
      <c r="BJ7" s="58">
        <f>+VLOOKUP($BD7,'June-25'!$A:$J,5,0)</f>
        <v>0</v>
      </c>
      <c r="BK7" s="58">
        <f>+VLOOKUP($BD7,'July-25'!$A:$J,5,0)</f>
        <v>0</v>
      </c>
      <c r="BL7" s="58">
        <f>+VLOOKUP($BD7,'Aug-25'!$A:$J,5,0)</f>
        <v>0</v>
      </c>
      <c r="BM7" s="58">
        <f>+VLOOKUP($BD7,'Sep-25'!$A:$J,5,0)</f>
        <v>0</v>
      </c>
      <c r="BN7" s="58">
        <f>+VLOOKUP($BD7,'Oct-25'!$A:$J,5,0)</f>
        <v>0</v>
      </c>
      <c r="BO7" s="58">
        <f>+VLOOKUP($BD7,'Nov-25'!$A:$J,5,0)</f>
        <v>0</v>
      </c>
      <c r="BP7" s="58">
        <f>+VLOOKUP($BD7,'Dec-25'!$A:$J,5,0)</f>
        <v>0</v>
      </c>
      <c r="BQ7" s="58">
        <f>+SUM(BE7:BP7)</f>
        <v>0</v>
      </c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>
        <f t="shared" ref="CE7:CE8" si="98">+SUM(BS7:CD7)</f>
        <v>0</v>
      </c>
      <c r="CF7" s="106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>
        <f t="shared" ref="CS7:CS8" si="99">+SUM(CG7:CR7)</f>
        <v>0</v>
      </c>
      <c r="CT7" s="6" t="str">
        <f t="shared" si="51"/>
        <v>Fixed Commission</v>
      </c>
      <c r="CU7" s="58">
        <f>+VLOOKUP($BD7,'Jan-25'!$A:$J,8,0)</f>
        <v>0</v>
      </c>
      <c r="CV7" s="58">
        <f>+VLOOKUP($BD7,'Feb-25'!$A:$J,8,0)</f>
        <v>0</v>
      </c>
      <c r="CW7" s="58">
        <f>+VLOOKUP($BD7,'Mar-25'!$A:$J,8,0)</f>
        <v>0</v>
      </c>
      <c r="CX7" s="58">
        <f>+VLOOKUP($BD7,'Apr-25'!$A:$J,8,0)</f>
        <v>0</v>
      </c>
      <c r="CY7" s="58">
        <f>+VLOOKUP($BD7,'May-25'!$A:$J,8,0)</f>
        <v>0</v>
      </c>
      <c r="CZ7" s="58">
        <f>+VLOOKUP($BD7,'June-25'!$A:$J,8,0)</f>
        <v>0</v>
      </c>
      <c r="DA7" s="58">
        <f>+VLOOKUP($BD7,'July-25'!$A:$J,8,0)</f>
        <v>0</v>
      </c>
      <c r="DB7" s="58">
        <f>+VLOOKUP($BD7,'Aug-25'!$A:$J,8,0)</f>
        <v>0</v>
      </c>
      <c r="DC7" s="58">
        <f>+VLOOKUP($BD7,'Sep-25'!$A:$J,8,0)</f>
        <v>0</v>
      </c>
      <c r="DD7" s="58">
        <f>+VLOOKUP($BD7,'Oct-25'!$A:$J,8,0)</f>
        <v>0</v>
      </c>
      <c r="DE7" s="58">
        <f>+VLOOKUP($BD7,'Nov-25'!$A:$J,8,0)</f>
        <v>0</v>
      </c>
      <c r="DF7" s="58">
        <f>+VLOOKUP($BD7,'Dec-25'!$A:$J,8,0)</f>
        <v>0</v>
      </c>
      <c r="DG7" s="58">
        <f>+SUM(CU7:DF7)</f>
        <v>0</v>
      </c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>
        <f t="shared" ref="DU7:DU8" si="100">+SUM(DI7:DT7)</f>
        <v>0</v>
      </c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58">
        <f t="shared" ref="EI7:EI8" si="101">+SUM(DW7:EH7)</f>
        <v>0</v>
      </c>
      <c r="EJ7" s="6" t="str">
        <f t="shared" si="55"/>
        <v>Fixed Commission</v>
      </c>
      <c r="EK7" s="28">
        <f>+VLOOKUP($BD7,'Jan-25'!$A:$J,10,0)</f>
        <v>0</v>
      </c>
      <c r="EL7" s="28">
        <f>+VLOOKUP($BD7,'Feb-25'!$A:$J,10,0)</f>
        <v>0</v>
      </c>
      <c r="EM7" s="28">
        <f>+VLOOKUP($BD7,'Mar-25'!$A:$J,10,0)</f>
        <v>0</v>
      </c>
      <c r="EN7" s="28">
        <f>+VLOOKUP($BD7,'Apr-25'!$A:$J,10,0)</f>
        <v>0</v>
      </c>
      <c r="EO7" s="28">
        <f>+VLOOKUP($BD7,'May-25'!$A:$J,10,0)</f>
        <v>0</v>
      </c>
      <c r="EP7" s="28">
        <f>+VLOOKUP($BD7,'June-25'!$A:$J,10,0)</f>
        <v>0</v>
      </c>
      <c r="EQ7" s="28">
        <f>+VLOOKUP($BD7,'July-25'!$A:$J,10,0)</f>
        <v>0</v>
      </c>
      <c r="ER7" s="28">
        <f>+VLOOKUP($BD7,'Aug-25'!$A:$J,10,0)</f>
        <v>0</v>
      </c>
      <c r="ES7" s="28">
        <f>+VLOOKUP($BD7,'Sep-25'!$A:$J,10,0)</f>
        <v>0</v>
      </c>
      <c r="ET7" s="28">
        <f>+VLOOKUP($BD7,'Oct-25'!$A:$J,10,0)</f>
        <v>0</v>
      </c>
      <c r="EU7" s="28">
        <f>+VLOOKUP($BD7,'Nov-25'!$A:$J,10,0)</f>
        <v>0</v>
      </c>
      <c r="EV7" s="28">
        <f>+VLOOKUP($BD7,'Dec-25'!$A:$J,10,0)</f>
        <v>0</v>
      </c>
      <c r="EW7" s="28">
        <f>+SUM(EK7:EV7)</f>
        <v>0</v>
      </c>
      <c r="EX7" s="22"/>
      <c r="EY7" s="58"/>
      <c r="EZ7" s="58"/>
      <c r="FA7" s="58"/>
      <c r="FB7" s="58"/>
      <c r="FC7" s="58"/>
      <c r="FD7" s="58"/>
      <c r="FE7" s="58"/>
      <c r="FF7" s="58"/>
      <c r="FG7" s="58"/>
      <c r="FH7" s="58"/>
      <c r="FI7" s="58"/>
      <c r="FJ7" s="58"/>
      <c r="FK7" s="58">
        <f t="shared" ref="FK7:FK8" si="102">+SUM(EY7:FJ7)</f>
        <v>0</v>
      </c>
    </row>
    <row r="8" spans="1:167" ht="14.45" hidden="1" customHeight="1" outlineLevel="1">
      <c r="A8" s="58">
        <f>+SUM(A9:A12)</f>
        <v>0</v>
      </c>
      <c r="B8" s="58">
        <f t="shared" ref="B8:L8" si="103">+SUM(B9:B12)</f>
        <v>0</v>
      </c>
      <c r="C8" s="58">
        <f t="shared" si="103"/>
        <v>0</v>
      </c>
      <c r="D8" s="58">
        <f t="shared" si="103"/>
        <v>0</v>
      </c>
      <c r="E8" s="58">
        <f t="shared" si="103"/>
        <v>0</v>
      </c>
      <c r="F8" s="58">
        <f t="shared" si="103"/>
        <v>0</v>
      </c>
      <c r="G8" s="58">
        <f t="shared" si="103"/>
        <v>0</v>
      </c>
      <c r="H8" s="58">
        <f t="shared" si="103"/>
        <v>0</v>
      </c>
      <c r="I8" s="58">
        <f t="shared" si="103"/>
        <v>0</v>
      </c>
      <c r="J8" s="58">
        <f t="shared" si="103"/>
        <v>0</v>
      </c>
      <c r="K8" s="58">
        <f t="shared" si="103"/>
        <v>0</v>
      </c>
      <c r="L8" s="58">
        <f t="shared" si="103"/>
        <v>0</v>
      </c>
      <c r="M8" s="58">
        <f t="shared" si="70"/>
        <v>0</v>
      </c>
      <c r="N8" s="6" t="s">
        <v>219</v>
      </c>
      <c r="O8" s="58">
        <f>+SUM(O9:O12)</f>
        <v>0</v>
      </c>
      <c r="P8" s="58">
        <f t="shared" ref="P8" si="104">+SUM(P9:P12)</f>
        <v>0</v>
      </c>
      <c r="Q8" s="58">
        <f t="shared" ref="Q8" si="105">+SUM(Q9:Q12)</f>
        <v>0</v>
      </c>
      <c r="R8" s="58">
        <f t="shared" ref="R8" si="106">+SUM(R9:R12)</f>
        <v>0</v>
      </c>
      <c r="S8" s="58">
        <f t="shared" ref="S8" si="107">+SUM(S9:S12)</f>
        <v>0</v>
      </c>
      <c r="T8" s="58">
        <f t="shared" ref="T8" si="108">+SUM(T9:T12)</f>
        <v>0</v>
      </c>
      <c r="U8" s="58">
        <f t="shared" ref="U8" si="109">+SUM(U9:U12)</f>
        <v>0</v>
      </c>
      <c r="V8" s="58">
        <f t="shared" ref="V8" si="110">+SUM(V9:V12)</f>
        <v>0</v>
      </c>
      <c r="W8" s="58">
        <f t="shared" ref="W8" si="111">+SUM(W9:W12)</f>
        <v>0</v>
      </c>
      <c r="X8" s="58">
        <f t="shared" ref="X8" si="112">+SUM(X9:X12)</f>
        <v>0</v>
      </c>
      <c r="Y8" s="58">
        <f t="shared" ref="Y8" si="113">+SUM(Y9:Y12)</f>
        <v>0</v>
      </c>
      <c r="Z8" s="58">
        <f t="shared" ref="Z8" si="114">+SUM(Z9:Z12)</f>
        <v>0</v>
      </c>
      <c r="AA8" s="58">
        <f t="shared" si="83"/>
        <v>0</v>
      </c>
      <c r="AC8" s="58">
        <f>+SUM(AC9:AC12)</f>
        <v>0</v>
      </c>
      <c r="AD8" s="58">
        <f t="shared" ref="AD8" si="115">+SUM(AD9:AD12)</f>
        <v>0</v>
      </c>
      <c r="AE8" s="58">
        <f t="shared" ref="AE8" si="116">+SUM(AE9:AE12)</f>
        <v>0</v>
      </c>
      <c r="AF8" s="58">
        <f t="shared" ref="AF8" si="117">+SUM(AF9:AF12)</f>
        <v>0</v>
      </c>
      <c r="AG8" s="58">
        <f t="shared" ref="AG8" si="118">+SUM(AG9:AG12)</f>
        <v>0</v>
      </c>
      <c r="AH8" s="58">
        <f t="shared" ref="AH8" si="119">+SUM(AH9:AH12)</f>
        <v>0</v>
      </c>
      <c r="AI8" s="58">
        <f t="shared" ref="AI8" si="120">+SUM(AI9:AI12)</f>
        <v>0</v>
      </c>
      <c r="AJ8" s="58">
        <f t="shared" ref="AJ8" si="121">+SUM(AJ9:AJ12)</f>
        <v>0</v>
      </c>
      <c r="AK8" s="58">
        <f t="shared" ref="AK8" si="122">+SUM(AK9:AK12)</f>
        <v>0</v>
      </c>
      <c r="AL8" s="58">
        <f t="shared" ref="AL8" si="123">+SUM(AL9:AL12)</f>
        <v>0</v>
      </c>
      <c r="AM8" s="58">
        <f t="shared" ref="AM8" si="124">+SUM(AM9:AM12)</f>
        <v>0</v>
      </c>
      <c r="AN8" s="58">
        <f t="shared" ref="AN8" si="125">+SUM(AN9:AN12)</f>
        <v>0</v>
      </c>
      <c r="AO8" s="58">
        <f t="shared" si="96"/>
        <v>0</v>
      </c>
      <c r="AQ8" s="58">
        <f>+SUM(AQ9:AQ12)</f>
        <v>0</v>
      </c>
      <c r="AR8" s="58">
        <f t="shared" ref="AR8:BB8" si="126">+SUM(AR9:AR12)</f>
        <v>0</v>
      </c>
      <c r="AS8" s="58">
        <f t="shared" si="126"/>
        <v>0</v>
      </c>
      <c r="AT8" s="58">
        <f t="shared" si="126"/>
        <v>0</v>
      </c>
      <c r="AU8" s="58">
        <f t="shared" si="126"/>
        <v>0</v>
      </c>
      <c r="AV8" s="58">
        <f t="shared" si="126"/>
        <v>0</v>
      </c>
      <c r="AW8" s="58">
        <f t="shared" si="126"/>
        <v>0</v>
      </c>
      <c r="AX8" s="58">
        <f t="shared" si="126"/>
        <v>0</v>
      </c>
      <c r="AY8" s="58">
        <f t="shared" si="126"/>
        <v>0</v>
      </c>
      <c r="AZ8" s="58">
        <f t="shared" si="126"/>
        <v>0</v>
      </c>
      <c r="BA8" s="58">
        <f t="shared" si="126"/>
        <v>0</v>
      </c>
      <c r="BB8" s="58">
        <f t="shared" si="126"/>
        <v>0</v>
      </c>
      <c r="BC8" s="58">
        <f t="shared" si="97"/>
        <v>0</v>
      </c>
      <c r="BD8" s="6" t="str">
        <f t="shared" si="47"/>
        <v>Target achievement bonus</v>
      </c>
      <c r="BE8" s="58">
        <f t="shared" ref="BE8:BP8" si="127">+SUM(BE9:BE12)</f>
        <v>0</v>
      </c>
      <c r="BF8" s="58">
        <f t="shared" si="127"/>
        <v>0</v>
      </c>
      <c r="BG8" s="58">
        <f t="shared" si="127"/>
        <v>0</v>
      </c>
      <c r="BH8" s="58">
        <f t="shared" si="127"/>
        <v>0</v>
      </c>
      <c r="BI8" s="58">
        <f t="shared" si="127"/>
        <v>0</v>
      </c>
      <c r="BJ8" s="58">
        <f t="shared" si="127"/>
        <v>0</v>
      </c>
      <c r="BK8" s="58">
        <f t="shared" si="127"/>
        <v>0</v>
      </c>
      <c r="BL8" s="58">
        <f t="shared" si="127"/>
        <v>0</v>
      </c>
      <c r="BM8" s="58">
        <f t="shared" si="127"/>
        <v>0</v>
      </c>
      <c r="BN8" s="58">
        <f t="shared" si="127"/>
        <v>0</v>
      </c>
      <c r="BO8" s="58">
        <f t="shared" si="127"/>
        <v>0</v>
      </c>
      <c r="BP8" s="58">
        <f t="shared" si="127"/>
        <v>0</v>
      </c>
      <c r="BQ8" s="58">
        <f t="shared" ref="BQ8" si="128">+SUM(BE8:BP8)</f>
        <v>0</v>
      </c>
      <c r="BS8" s="58">
        <f t="shared" ref="BS8:CD8" si="129">+SUM(BS9:BS12)</f>
        <v>0</v>
      </c>
      <c r="BT8" s="58">
        <f t="shared" si="129"/>
        <v>0</v>
      </c>
      <c r="BU8" s="58">
        <f t="shared" si="129"/>
        <v>0</v>
      </c>
      <c r="BV8" s="58">
        <f t="shared" si="129"/>
        <v>0</v>
      </c>
      <c r="BW8" s="58">
        <f t="shared" si="129"/>
        <v>0</v>
      </c>
      <c r="BX8" s="58">
        <f t="shared" si="129"/>
        <v>0</v>
      </c>
      <c r="BY8" s="58">
        <f t="shared" si="129"/>
        <v>0</v>
      </c>
      <c r="BZ8" s="58">
        <f t="shared" si="129"/>
        <v>0</v>
      </c>
      <c r="CA8" s="58">
        <f t="shared" si="129"/>
        <v>0</v>
      </c>
      <c r="CB8" s="58">
        <f t="shared" si="129"/>
        <v>0</v>
      </c>
      <c r="CC8" s="58">
        <f t="shared" si="129"/>
        <v>0</v>
      </c>
      <c r="CD8" s="58">
        <f t="shared" si="129"/>
        <v>0</v>
      </c>
      <c r="CE8" s="58">
        <f t="shared" si="98"/>
        <v>0</v>
      </c>
      <c r="CF8" s="106"/>
      <c r="CG8" s="58">
        <f>+SUM(CG9:CG12)</f>
        <v>0</v>
      </c>
      <c r="CH8" s="58">
        <f t="shared" ref="CH8:CR8" si="130">+SUM(CH9:CH12)</f>
        <v>0</v>
      </c>
      <c r="CI8" s="58">
        <f t="shared" si="130"/>
        <v>0</v>
      </c>
      <c r="CJ8" s="58">
        <f t="shared" si="130"/>
        <v>0</v>
      </c>
      <c r="CK8" s="58">
        <f t="shared" si="130"/>
        <v>0</v>
      </c>
      <c r="CL8" s="58">
        <f t="shared" si="130"/>
        <v>0</v>
      </c>
      <c r="CM8" s="58">
        <f t="shared" si="130"/>
        <v>0</v>
      </c>
      <c r="CN8" s="58">
        <f t="shared" si="130"/>
        <v>0</v>
      </c>
      <c r="CO8" s="58">
        <f t="shared" si="130"/>
        <v>0</v>
      </c>
      <c r="CP8" s="58">
        <f t="shared" si="130"/>
        <v>0</v>
      </c>
      <c r="CQ8" s="58">
        <f t="shared" si="130"/>
        <v>0</v>
      </c>
      <c r="CR8" s="58">
        <f t="shared" si="130"/>
        <v>0</v>
      </c>
      <c r="CS8" s="58">
        <f t="shared" si="99"/>
        <v>0</v>
      </c>
      <c r="CT8" s="6" t="str">
        <f t="shared" si="51"/>
        <v>Target achievement bonus</v>
      </c>
      <c r="CU8" s="58">
        <f t="shared" ref="CU8:DF8" si="131">+SUM(CU9:CU12)</f>
        <v>0</v>
      </c>
      <c r="CV8" s="58">
        <f t="shared" si="131"/>
        <v>0</v>
      </c>
      <c r="CW8" s="58">
        <f t="shared" si="131"/>
        <v>0</v>
      </c>
      <c r="CX8" s="58">
        <f t="shared" si="131"/>
        <v>0</v>
      </c>
      <c r="CY8" s="58">
        <f t="shared" si="131"/>
        <v>0</v>
      </c>
      <c r="CZ8" s="58">
        <f t="shared" si="131"/>
        <v>0</v>
      </c>
      <c r="DA8" s="58">
        <f t="shared" si="131"/>
        <v>0</v>
      </c>
      <c r="DB8" s="58">
        <f t="shared" si="131"/>
        <v>0</v>
      </c>
      <c r="DC8" s="58">
        <f t="shared" si="131"/>
        <v>0</v>
      </c>
      <c r="DD8" s="58">
        <f t="shared" si="131"/>
        <v>0</v>
      </c>
      <c r="DE8" s="58">
        <f t="shared" si="131"/>
        <v>0</v>
      </c>
      <c r="DF8" s="58">
        <f t="shared" si="131"/>
        <v>0</v>
      </c>
      <c r="DG8" s="58">
        <f t="shared" ref="DG8" si="132">+SUM(CU8:DF8)</f>
        <v>0</v>
      </c>
      <c r="DI8" s="58">
        <f t="shared" ref="DI8:DT8" si="133">+SUM(DI9:DI12)</f>
        <v>0</v>
      </c>
      <c r="DJ8" s="58">
        <f t="shared" si="133"/>
        <v>0</v>
      </c>
      <c r="DK8" s="58">
        <f t="shared" si="133"/>
        <v>0</v>
      </c>
      <c r="DL8" s="58">
        <f t="shared" si="133"/>
        <v>0</v>
      </c>
      <c r="DM8" s="58">
        <f t="shared" si="133"/>
        <v>0</v>
      </c>
      <c r="DN8" s="58">
        <f t="shared" si="133"/>
        <v>0</v>
      </c>
      <c r="DO8" s="58">
        <f t="shared" si="133"/>
        <v>0</v>
      </c>
      <c r="DP8" s="58">
        <f t="shared" si="133"/>
        <v>0</v>
      </c>
      <c r="DQ8" s="58">
        <f t="shared" si="133"/>
        <v>0</v>
      </c>
      <c r="DR8" s="58">
        <f t="shared" si="133"/>
        <v>0</v>
      </c>
      <c r="DS8" s="58">
        <f t="shared" si="133"/>
        <v>0</v>
      </c>
      <c r="DT8" s="58">
        <f t="shared" si="133"/>
        <v>0</v>
      </c>
      <c r="DU8" s="58">
        <f t="shared" si="100"/>
        <v>0</v>
      </c>
      <c r="DW8" s="28">
        <f t="shared" ref="DW8:EH8" si="134">+SUM(DW9:DW12)</f>
        <v>0</v>
      </c>
      <c r="DX8" s="28">
        <f t="shared" si="134"/>
        <v>0</v>
      </c>
      <c r="DY8" s="28">
        <f t="shared" si="134"/>
        <v>0</v>
      </c>
      <c r="DZ8" s="28">
        <f t="shared" si="134"/>
        <v>0</v>
      </c>
      <c r="EA8" s="28">
        <f t="shared" si="134"/>
        <v>0</v>
      </c>
      <c r="EB8" s="28">
        <f t="shared" si="134"/>
        <v>0</v>
      </c>
      <c r="EC8" s="28">
        <f t="shared" si="134"/>
        <v>0</v>
      </c>
      <c r="ED8" s="28">
        <f t="shared" si="134"/>
        <v>0</v>
      </c>
      <c r="EE8" s="28">
        <f t="shared" si="134"/>
        <v>0</v>
      </c>
      <c r="EF8" s="28">
        <f t="shared" si="134"/>
        <v>0</v>
      </c>
      <c r="EG8" s="28">
        <f t="shared" si="134"/>
        <v>0</v>
      </c>
      <c r="EH8" s="28">
        <f t="shared" si="134"/>
        <v>0</v>
      </c>
      <c r="EI8" s="58">
        <f t="shared" si="101"/>
        <v>0</v>
      </c>
      <c r="EJ8" s="6" t="str">
        <f t="shared" si="55"/>
        <v>Target achievement bonus</v>
      </c>
      <c r="EK8" s="28">
        <f t="shared" ref="EK8:EV8" si="135">+SUM(EK9:EK12)</f>
        <v>0</v>
      </c>
      <c r="EL8" s="28">
        <f t="shared" si="135"/>
        <v>0</v>
      </c>
      <c r="EM8" s="28">
        <f t="shared" si="135"/>
        <v>0</v>
      </c>
      <c r="EN8" s="28">
        <f t="shared" si="135"/>
        <v>0</v>
      </c>
      <c r="EO8" s="28">
        <f t="shared" si="135"/>
        <v>0</v>
      </c>
      <c r="EP8" s="28">
        <f t="shared" si="135"/>
        <v>0</v>
      </c>
      <c r="EQ8" s="28">
        <f t="shared" si="135"/>
        <v>0</v>
      </c>
      <c r="ER8" s="28">
        <f t="shared" si="135"/>
        <v>0</v>
      </c>
      <c r="ES8" s="28">
        <f t="shared" si="135"/>
        <v>0</v>
      </c>
      <c r="ET8" s="28">
        <f t="shared" si="135"/>
        <v>0</v>
      </c>
      <c r="EU8" s="28">
        <f t="shared" si="135"/>
        <v>0</v>
      </c>
      <c r="EV8" s="28">
        <f t="shared" si="135"/>
        <v>0</v>
      </c>
      <c r="EW8" s="28">
        <f t="shared" ref="EW8" si="136">+SUM(EK8:EV8)</f>
        <v>0</v>
      </c>
      <c r="EX8" s="22"/>
      <c r="EY8" s="58">
        <f t="shared" ref="EY8:FJ8" si="137">+SUM(EY9:EY12)</f>
        <v>0</v>
      </c>
      <c r="EZ8" s="58">
        <f t="shared" si="137"/>
        <v>0</v>
      </c>
      <c r="FA8" s="58">
        <f t="shared" si="137"/>
        <v>0</v>
      </c>
      <c r="FB8" s="58">
        <f t="shared" si="137"/>
        <v>0</v>
      </c>
      <c r="FC8" s="58">
        <f t="shared" si="137"/>
        <v>0</v>
      </c>
      <c r="FD8" s="58">
        <f t="shared" si="137"/>
        <v>0</v>
      </c>
      <c r="FE8" s="58">
        <f t="shared" si="137"/>
        <v>0</v>
      </c>
      <c r="FF8" s="58">
        <f t="shared" si="137"/>
        <v>0</v>
      </c>
      <c r="FG8" s="58">
        <f t="shared" si="137"/>
        <v>0</v>
      </c>
      <c r="FH8" s="58">
        <f t="shared" si="137"/>
        <v>0</v>
      </c>
      <c r="FI8" s="58">
        <f t="shared" si="137"/>
        <v>0</v>
      </c>
      <c r="FJ8" s="58">
        <f t="shared" si="137"/>
        <v>0</v>
      </c>
      <c r="FK8" s="58">
        <f t="shared" si="102"/>
        <v>0</v>
      </c>
    </row>
    <row r="9" spans="1:167" ht="14.45" hidden="1" customHeight="1" outlineLevel="1">
      <c r="A9" s="106">
        <f t="shared" si="58"/>
        <v>0</v>
      </c>
      <c r="B9" s="106">
        <f t="shared" ref="B9:B12" si="138">+AR9+CH9+DX9</f>
        <v>0</v>
      </c>
      <c r="C9" s="106">
        <f t="shared" ref="C9:C12" si="139">+AS9+CI9+DY9</f>
        <v>0</v>
      </c>
      <c r="D9" s="106">
        <f t="shared" ref="D9:D12" si="140">+AT9+CJ9+DZ9</f>
        <v>0</v>
      </c>
      <c r="E9" s="106">
        <f t="shared" ref="E9:E12" si="141">+AU9+CK9+EA9</f>
        <v>0</v>
      </c>
      <c r="F9" s="106">
        <f t="shared" ref="F9:F12" si="142">+AV9+CL9+EB9</f>
        <v>0</v>
      </c>
      <c r="G9" s="106">
        <f t="shared" ref="G9:G12" si="143">+AW9+CM9+EC9</f>
        <v>0</v>
      </c>
      <c r="H9" s="106">
        <f t="shared" ref="H9:H12" si="144">+AX9+CN9+ED9</f>
        <v>0</v>
      </c>
      <c r="I9" s="106">
        <f t="shared" ref="I9:I12" si="145">+AY9+CO9+EE9</f>
        <v>0</v>
      </c>
      <c r="J9" s="106">
        <f t="shared" ref="J9:J12" si="146">+AZ9+CP9+EF9</f>
        <v>0</v>
      </c>
      <c r="K9" s="106">
        <f t="shared" ref="K9:K12" si="147">+BA9+CQ9+EG9</f>
        <v>0</v>
      </c>
      <c r="L9" s="106">
        <f t="shared" ref="L9:L12" si="148">+BB9+CR9+EH9</f>
        <v>0</v>
      </c>
      <c r="M9" s="106">
        <f>+SUM(A9:L9)</f>
        <v>0</v>
      </c>
      <c r="N9" s="7" t="s">
        <v>7</v>
      </c>
      <c r="O9" s="106">
        <f t="shared" ref="O9:O12" si="149">+BE9+CU9+EK9</f>
        <v>0</v>
      </c>
      <c r="P9" s="106">
        <f t="shared" ref="P9:P12" si="150">+BF9+CV9+EL9</f>
        <v>0</v>
      </c>
      <c r="Q9" s="106">
        <f t="shared" ref="Q9:Q12" si="151">+BG9+CW9+EM9</f>
        <v>0</v>
      </c>
      <c r="R9" s="106">
        <f t="shared" ref="R9:R12" si="152">+BH9+CX9+EN9</f>
        <v>0</v>
      </c>
      <c r="S9" s="106">
        <f t="shared" ref="S9:S12" si="153">+BI9+CY9+EO9</f>
        <v>0</v>
      </c>
      <c r="T9" s="106">
        <f t="shared" ref="T9:T12" si="154">+BJ9+CZ9+EP9</f>
        <v>0</v>
      </c>
      <c r="U9" s="106">
        <f t="shared" ref="U9:U12" si="155">+BK9+DA9+EQ9</f>
        <v>0</v>
      </c>
      <c r="V9" s="106">
        <f t="shared" ref="V9:V12" si="156">+BL9+DB9+ER9</f>
        <v>0</v>
      </c>
      <c r="W9" s="106">
        <f t="shared" ref="W9:W12" si="157">+BM9+DC9+ES9</f>
        <v>0</v>
      </c>
      <c r="X9" s="106">
        <f t="shared" ref="X9:X12" si="158">+BN9+DD9+ET9</f>
        <v>0</v>
      </c>
      <c r="Y9" s="106">
        <f t="shared" ref="Y9:Y12" si="159">+BO9+DE9+EU9</f>
        <v>0</v>
      </c>
      <c r="Z9" s="106">
        <f t="shared" ref="Z9:Z12" si="160">+BP9+DF9+EV9</f>
        <v>0</v>
      </c>
      <c r="AA9" s="106">
        <f>+SUM(O9:Z9)</f>
        <v>0</v>
      </c>
      <c r="AC9" s="106">
        <f t="shared" ref="AC9:AC12" si="161">+BS9+DI9+EY9</f>
        <v>0</v>
      </c>
      <c r="AD9" s="106">
        <f t="shared" ref="AD9:AD12" si="162">+BT9+DJ9+EZ9</f>
        <v>0</v>
      </c>
      <c r="AE9" s="106">
        <f t="shared" ref="AE9:AE12" si="163">+BU9+DK9+FA9</f>
        <v>0</v>
      </c>
      <c r="AF9" s="106">
        <f t="shared" ref="AF9:AF12" si="164">+BV9+DL9+FB9</f>
        <v>0</v>
      </c>
      <c r="AG9" s="106">
        <f t="shared" ref="AG9:AG12" si="165">+BW9+DM9+FC9</f>
        <v>0</v>
      </c>
      <c r="AH9" s="106">
        <f t="shared" ref="AH9:AH12" si="166">+BX9+DN9+FD9</f>
        <v>0</v>
      </c>
      <c r="AI9" s="106">
        <f t="shared" ref="AI9:AI12" si="167">+BY9+DO9+FE9</f>
        <v>0</v>
      </c>
      <c r="AJ9" s="106">
        <f t="shared" ref="AJ9:AJ12" si="168">+BZ9+DP9+FF9</f>
        <v>0</v>
      </c>
      <c r="AK9" s="106">
        <f t="shared" ref="AK9:AK12" si="169">+CA9+DQ9+FG9</f>
        <v>0</v>
      </c>
      <c r="AL9" s="106">
        <f t="shared" ref="AL9:AL12" si="170">+CB9+DR9+FH9</f>
        <v>0</v>
      </c>
      <c r="AM9" s="106">
        <f t="shared" ref="AM9:AM12" si="171">+CC9+DS9+FI9</f>
        <v>0</v>
      </c>
      <c r="AN9" s="106">
        <f t="shared" ref="AN9:AN12" si="172">+CD9+DT9+FJ9</f>
        <v>0</v>
      </c>
      <c r="AO9" s="106">
        <f>+SUM(AC9:AN9)</f>
        <v>0</v>
      </c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>
        <f>+SUM(AQ9:BB9)</f>
        <v>0</v>
      </c>
      <c r="BD9" s="7" t="s">
        <v>7</v>
      </c>
      <c r="BE9" s="106">
        <f>+VLOOKUP($BD9,'Jan-25'!$A:$J,5,0)</f>
        <v>0</v>
      </c>
      <c r="BF9" s="106">
        <f>+VLOOKUP($BD9,'Feb-25'!$A:$J,5,0)</f>
        <v>0</v>
      </c>
      <c r="BG9" s="106">
        <f>+VLOOKUP($BD9,'Mar-25'!$A:$J,5,0)</f>
        <v>0</v>
      </c>
      <c r="BH9" s="106">
        <f>+VLOOKUP($BD9,'Apr-25'!$A:$J,5,0)</f>
        <v>0</v>
      </c>
      <c r="BI9" s="106">
        <f>+VLOOKUP($BD9,'May-25'!$A:$J,5,0)</f>
        <v>0</v>
      </c>
      <c r="BJ9" s="106">
        <f>+VLOOKUP($BD9,'June-25'!$A:$J,5,0)</f>
        <v>0</v>
      </c>
      <c r="BK9" s="106">
        <f>+VLOOKUP($BD9,'July-25'!$A:$J,5,0)</f>
        <v>0</v>
      </c>
      <c r="BL9" s="106">
        <f>+VLOOKUP($BD9,'Aug-25'!$A:$J,5,0)</f>
        <v>0</v>
      </c>
      <c r="BM9" s="106">
        <f>+VLOOKUP($BD9,'Sep-25'!$A:$J,5,0)</f>
        <v>0</v>
      </c>
      <c r="BN9" s="106">
        <f>+VLOOKUP($BD9,'Oct-25'!$A:$J,5,0)</f>
        <v>0</v>
      </c>
      <c r="BO9" s="106">
        <f>+VLOOKUP($BD9,'Nov-25'!$A:$J,5,0)</f>
        <v>0</v>
      </c>
      <c r="BP9" s="106">
        <f>+VLOOKUP($BD9,'Dec-25'!$A:$J,5,0)</f>
        <v>0</v>
      </c>
      <c r="BQ9" s="106">
        <f>+SUM(BE9:BP9)</f>
        <v>0</v>
      </c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>
        <f>+SUM(BS9:CD9)</f>
        <v>0</v>
      </c>
      <c r="CF9" s="106"/>
      <c r="CG9" s="106"/>
      <c r="CH9" s="106"/>
      <c r="CI9" s="106"/>
      <c r="CJ9" s="106"/>
      <c r="CK9" s="106"/>
      <c r="CL9" s="106"/>
      <c r="CM9" s="106"/>
      <c r="CN9" s="106"/>
      <c r="CO9" s="106"/>
      <c r="CP9" s="106"/>
      <c r="CQ9" s="106"/>
      <c r="CR9" s="106"/>
      <c r="CS9" s="106">
        <f>+SUM(CG9:CR9)</f>
        <v>0</v>
      </c>
      <c r="CT9" s="7" t="str">
        <f t="shared" si="51"/>
        <v>Sales Target Bonus</v>
      </c>
      <c r="CU9" s="106">
        <f>+VLOOKUP($BD9,'Jan-25'!$A:$J,8,0)</f>
        <v>0</v>
      </c>
      <c r="CV9" s="106">
        <f>+VLOOKUP($BD9,'Feb-25'!$A:$J,8,0)</f>
        <v>0</v>
      </c>
      <c r="CW9" s="106">
        <f>+VLOOKUP($BD9,'Mar-25'!$A:$J,8,0)</f>
        <v>0</v>
      </c>
      <c r="CX9" s="106">
        <f>+VLOOKUP($BD9,'Apr-25'!$A:$J,8,0)</f>
        <v>0</v>
      </c>
      <c r="CY9" s="106">
        <f>+VLOOKUP($BD9,'May-25'!$A:$J,8,0)</f>
        <v>0</v>
      </c>
      <c r="CZ9" s="106">
        <f>+VLOOKUP($BD9,'June-25'!$A:$J,8,0)</f>
        <v>0</v>
      </c>
      <c r="DA9" s="106">
        <f>+VLOOKUP($BD9,'July-25'!$A:$J,8,0)</f>
        <v>0</v>
      </c>
      <c r="DB9" s="106">
        <f>+VLOOKUP($BD9,'Aug-25'!$A:$J,8,0)</f>
        <v>0</v>
      </c>
      <c r="DC9" s="106">
        <f>+VLOOKUP($BD9,'Sep-25'!$A:$J,8,0)</f>
        <v>0</v>
      </c>
      <c r="DD9" s="106">
        <f>+VLOOKUP($BD9,'Oct-25'!$A:$J,8,0)</f>
        <v>0</v>
      </c>
      <c r="DE9" s="106">
        <f>+VLOOKUP($BD9,'Nov-25'!$A:$J,8,0)</f>
        <v>0</v>
      </c>
      <c r="DF9" s="106">
        <f>+VLOOKUP($BD9,'Dec-25'!$A:$J,8,0)</f>
        <v>0</v>
      </c>
      <c r="DG9" s="106">
        <f>+SUM(CU9:DF9)</f>
        <v>0</v>
      </c>
      <c r="DI9" s="106"/>
      <c r="DJ9" s="106"/>
      <c r="DK9" s="106"/>
      <c r="DL9" s="106"/>
      <c r="DM9" s="106"/>
      <c r="DN9" s="106"/>
      <c r="DO9" s="106"/>
      <c r="DP9" s="106"/>
      <c r="DQ9" s="106"/>
      <c r="DR9" s="106"/>
      <c r="DS9" s="106"/>
      <c r="DT9" s="106"/>
      <c r="DU9" s="106">
        <f>+SUM(DI9:DT9)</f>
        <v>0</v>
      </c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106">
        <f>+SUM(DW9:EH9)</f>
        <v>0</v>
      </c>
      <c r="EJ9" s="7" t="s">
        <v>7</v>
      </c>
      <c r="EK9" s="22">
        <f>+VLOOKUP($BD9,'Jan-25'!$A:$J,10,0)</f>
        <v>0</v>
      </c>
      <c r="EL9" s="22">
        <f>+VLOOKUP($BD9,'Feb-25'!$A:$J,10,0)</f>
        <v>0</v>
      </c>
      <c r="EM9" s="22">
        <f>+VLOOKUP($BD9,'Mar-25'!$A:$J,10,0)</f>
        <v>0</v>
      </c>
      <c r="EN9" s="22">
        <f>+VLOOKUP($BD9,'Apr-25'!$A:$J,10,0)</f>
        <v>0</v>
      </c>
      <c r="EO9" s="22">
        <f>+VLOOKUP($BD9,'May-25'!$A:$J,10,0)</f>
        <v>0</v>
      </c>
      <c r="EP9" s="22">
        <f>+VLOOKUP($BD9,'June-25'!$A:$J,10,0)</f>
        <v>0</v>
      </c>
      <c r="EQ9" s="22">
        <f>+VLOOKUP($BD9,'July-25'!$A:$J,10,0)</f>
        <v>0</v>
      </c>
      <c r="ER9" s="22">
        <f>+VLOOKUP($BD9,'Aug-25'!$A:$J,10,0)</f>
        <v>0</v>
      </c>
      <c r="ES9" s="22">
        <f>+VLOOKUP($BD9,'Sep-25'!$A:$J,10,0)</f>
        <v>0</v>
      </c>
      <c r="ET9" s="22">
        <f>+VLOOKUP($BD9,'Oct-25'!$A:$J,10,0)</f>
        <v>0</v>
      </c>
      <c r="EU9" s="22">
        <f>+VLOOKUP($BD9,'Nov-25'!$A:$J,10,0)</f>
        <v>0</v>
      </c>
      <c r="EV9" s="22">
        <f>+VLOOKUP($BD9,'Dec-25'!$A:$J,10,0)</f>
        <v>0</v>
      </c>
      <c r="EW9" s="22">
        <f>+SUM(EK9:EV9)</f>
        <v>0</v>
      </c>
      <c r="EX9" s="22"/>
      <c r="EY9" s="106"/>
      <c r="EZ9" s="106"/>
      <c r="FA9" s="106"/>
      <c r="FB9" s="106"/>
      <c r="FC9" s="106"/>
      <c r="FD9" s="106"/>
      <c r="FE9" s="106"/>
      <c r="FF9" s="106"/>
      <c r="FG9" s="106"/>
      <c r="FH9" s="106"/>
      <c r="FI9" s="106"/>
      <c r="FJ9" s="106"/>
      <c r="FK9" s="106">
        <f>+SUM(EY9:FJ9)</f>
        <v>0</v>
      </c>
    </row>
    <row r="10" spans="1:167" ht="14.45" hidden="1" customHeight="1" outlineLevel="1">
      <c r="A10" s="106">
        <f t="shared" si="58"/>
        <v>0</v>
      </c>
      <c r="B10" s="106">
        <f t="shared" si="138"/>
        <v>0</v>
      </c>
      <c r="C10" s="106">
        <f t="shared" si="139"/>
        <v>0</v>
      </c>
      <c r="D10" s="106">
        <f t="shared" si="140"/>
        <v>0</v>
      </c>
      <c r="E10" s="106">
        <f t="shared" si="141"/>
        <v>0</v>
      </c>
      <c r="F10" s="106">
        <f t="shared" si="142"/>
        <v>0</v>
      </c>
      <c r="G10" s="106">
        <f t="shared" si="143"/>
        <v>0</v>
      </c>
      <c r="H10" s="106">
        <f t="shared" si="144"/>
        <v>0</v>
      </c>
      <c r="I10" s="106">
        <f t="shared" si="145"/>
        <v>0</v>
      </c>
      <c r="J10" s="106">
        <f t="shared" si="146"/>
        <v>0</v>
      </c>
      <c r="K10" s="106">
        <f t="shared" si="147"/>
        <v>0</v>
      </c>
      <c r="L10" s="106">
        <f t="shared" si="148"/>
        <v>0</v>
      </c>
      <c r="M10" s="106">
        <f t="shared" ref="M10:M26" si="173">+SUM(A10:L10)</f>
        <v>0</v>
      </c>
      <c r="N10" s="7" t="s">
        <v>8</v>
      </c>
      <c r="O10" s="106">
        <f t="shared" si="149"/>
        <v>0</v>
      </c>
      <c r="P10" s="106">
        <f t="shared" si="150"/>
        <v>0</v>
      </c>
      <c r="Q10" s="106">
        <f t="shared" si="151"/>
        <v>0</v>
      </c>
      <c r="R10" s="106">
        <f t="shared" si="152"/>
        <v>0</v>
      </c>
      <c r="S10" s="106">
        <f t="shared" si="153"/>
        <v>0</v>
      </c>
      <c r="T10" s="106">
        <f t="shared" si="154"/>
        <v>0</v>
      </c>
      <c r="U10" s="106">
        <f t="shared" si="155"/>
        <v>0</v>
      </c>
      <c r="V10" s="106">
        <f t="shared" si="156"/>
        <v>0</v>
      </c>
      <c r="W10" s="106">
        <f t="shared" si="157"/>
        <v>0</v>
      </c>
      <c r="X10" s="106">
        <f t="shared" si="158"/>
        <v>0</v>
      </c>
      <c r="Y10" s="106">
        <f t="shared" si="159"/>
        <v>0</v>
      </c>
      <c r="Z10" s="106">
        <f t="shared" si="160"/>
        <v>0</v>
      </c>
      <c r="AA10" s="106">
        <f t="shared" ref="AA10:AA16" si="174">+SUM(O10:Z10)</f>
        <v>0</v>
      </c>
      <c r="AC10" s="106">
        <f t="shared" si="161"/>
        <v>0</v>
      </c>
      <c r="AD10" s="106">
        <f t="shared" si="162"/>
        <v>0</v>
      </c>
      <c r="AE10" s="106">
        <f t="shared" si="163"/>
        <v>0</v>
      </c>
      <c r="AF10" s="106">
        <f t="shared" si="164"/>
        <v>0</v>
      </c>
      <c r="AG10" s="106">
        <f t="shared" si="165"/>
        <v>0</v>
      </c>
      <c r="AH10" s="106">
        <f t="shared" si="166"/>
        <v>0</v>
      </c>
      <c r="AI10" s="106">
        <f t="shared" si="167"/>
        <v>0</v>
      </c>
      <c r="AJ10" s="106">
        <f t="shared" si="168"/>
        <v>0</v>
      </c>
      <c r="AK10" s="106">
        <f t="shared" si="169"/>
        <v>0</v>
      </c>
      <c r="AL10" s="106">
        <f t="shared" si="170"/>
        <v>0</v>
      </c>
      <c r="AM10" s="106">
        <f t="shared" si="171"/>
        <v>0</v>
      </c>
      <c r="AN10" s="106">
        <f t="shared" si="172"/>
        <v>0</v>
      </c>
      <c r="AO10" s="106">
        <f t="shared" ref="AO10:AO16" si="175">+SUM(AC10:AN10)</f>
        <v>0</v>
      </c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>
        <f t="shared" ref="BC10:BC16" si="176">+SUM(AQ10:BB10)</f>
        <v>0</v>
      </c>
      <c r="BD10" s="7" t="s">
        <v>8</v>
      </c>
      <c r="BE10" s="106">
        <f>+VLOOKUP($BD10,'Jan-25'!$A:$J,5,0)</f>
        <v>0</v>
      </c>
      <c r="BF10" s="106">
        <f>+VLOOKUP($BD10,'Feb-25'!$A:$J,5,0)</f>
        <v>0</v>
      </c>
      <c r="BG10" s="106">
        <f>+VLOOKUP($BD10,'Mar-25'!$A:$J,5,0)</f>
        <v>0</v>
      </c>
      <c r="BH10" s="106">
        <f>+VLOOKUP($BD10,'Apr-25'!$A:$J,5,0)</f>
        <v>0</v>
      </c>
      <c r="BI10" s="106">
        <f>+VLOOKUP($BD10,'May-25'!$A:$J,5,0)</f>
        <v>0</v>
      </c>
      <c r="BJ10" s="106">
        <f>+VLOOKUP($BD10,'June-25'!$A:$J,5,0)</f>
        <v>0</v>
      </c>
      <c r="BK10" s="106">
        <f>+VLOOKUP($BD10,'July-25'!$A:$J,5,0)</f>
        <v>0</v>
      </c>
      <c r="BL10" s="106">
        <f>+VLOOKUP($BD10,'Aug-25'!$A:$J,5,0)</f>
        <v>0</v>
      </c>
      <c r="BM10" s="106">
        <f>+VLOOKUP($BD10,'Sep-25'!$A:$J,5,0)</f>
        <v>0</v>
      </c>
      <c r="BN10" s="106">
        <f>+VLOOKUP($BD10,'Oct-25'!$A:$J,5,0)</f>
        <v>0</v>
      </c>
      <c r="BO10" s="106">
        <f>+VLOOKUP($BD10,'Nov-25'!$A:$J,5,0)</f>
        <v>0</v>
      </c>
      <c r="BP10" s="106">
        <f>+VLOOKUP($BD10,'Dec-25'!$A:$J,5,0)</f>
        <v>0</v>
      </c>
      <c r="BQ10" s="106">
        <f t="shared" ref="BQ10:BQ12" si="177">+SUM(BE10:BP10)</f>
        <v>0</v>
      </c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>
        <f t="shared" ref="CE10:CE16" si="178">+SUM(BS10:CD10)</f>
        <v>0</v>
      </c>
      <c r="CF10" s="106"/>
      <c r="CG10" s="106"/>
      <c r="CH10" s="106"/>
      <c r="CI10" s="106"/>
      <c r="CJ10" s="106"/>
      <c r="CK10" s="106"/>
      <c r="CL10" s="106"/>
      <c r="CM10" s="106"/>
      <c r="CN10" s="106"/>
      <c r="CO10" s="106"/>
      <c r="CP10" s="106"/>
      <c r="CQ10" s="106"/>
      <c r="CR10" s="106"/>
      <c r="CS10" s="106">
        <f t="shared" ref="CS10:CS16" si="179">+SUM(CG10:CR10)</f>
        <v>0</v>
      </c>
      <c r="CT10" s="7" t="str">
        <f t="shared" si="51"/>
        <v>EV</v>
      </c>
      <c r="CU10" s="106">
        <f>+VLOOKUP($BD10,'Jan-25'!$A:$J,8,0)</f>
        <v>0</v>
      </c>
      <c r="CV10" s="106">
        <f>+VLOOKUP($BD10,'Feb-25'!$A:$J,8,0)</f>
        <v>0</v>
      </c>
      <c r="CW10" s="106">
        <f>+VLOOKUP($BD10,'Mar-25'!$A:$J,8,0)</f>
        <v>0</v>
      </c>
      <c r="CX10" s="106">
        <f>+VLOOKUP($BD10,'Apr-25'!$A:$J,8,0)</f>
        <v>0</v>
      </c>
      <c r="CY10" s="106">
        <f>+VLOOKUP($BD10,'May-25'!$A:$J,8,0)</f>
        <v>0</v>
      </c>
      <c r="CZ10" s="106">
        <f>+VLOOKUP($BD10,'June-25'!$A:$J,8,0)</f>
        <v>0</v>
      </c>
      <c r="DA10" s="106">
        <f>+VLOOKUP($BD10,'July-25'!$A:$J,8,0)</f>
        <v>0</v>
      </c>
      <c r="DB10" s="106">
        <f>+VLOOKUP($BD10,'Aug-25'!$A:$J,8,0)</f>
        <v>0</v>
      </c>
      <c r="DC10" s="106">
        <f>+VLOOKUP($BD10,'Sep-25'!$A:$J,8,0)</f>
        <v>0</v>
      </c>
      <c r="DD10" s="106">
        <f>+VLOOKUP($BD10,'Oct-25'!$A:$J,8,0)</f>
        <v>0</v>
      </c>
      <c r="DE10" s="106">
        <f>+VLOOKUP($BD10,'Nov-25'!$A:$J,8,0)</f>
        <v>0</v>
      </c>
      <c r="DF10" s="106">
        <f>+VLOOKUP($BD10,'Dec-25'!$A:$J,8,0)</f>
        <v>0</v>
      </c>
      <c r="DG10" s="106">
        <f t="shared" ref="DG10:DG12" si="180">+SUM(CU10:DF10)</f>
        <v>0</v>
      </c>
      <c r="DI10" s="106"/>
      <c r="DJ10" s="106"/>
      <c r="DK10" s="106"/>
      <c r="DL10" s="106"/>
      <c r="DM10" s="106"/>
      <c r="DN10" s="106"/>
      <c r="DO10" s="106"/>
      <c r="DP10" s="106"/>
      <c r="DQ10" s="106"/>
      <c r="DR10" s="106"/>
      <c r="DS10" s="106"/>
      <c r="DT10" s="106"/>
      <c r="DU10" s="106">
        <f t="shared" ref="DU10:DU16" si="181">+SUM(DI10:DT10)</f>
        <v>0</v>
      </c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106">
        <f t="shared" ref="EI10:EI16" si="182">+SUM(DW10:EH10)</f>
        <v>0</v>
      </c>
      <c r="EJ10" s="7" t="s">
        <v>8</v>
      </c>
      <c r="EK10" s="22">
        <f>+VLOOKUP($BD10,'Jan-25'!$A:$J,10,0)</f>
        <v>0</v>
      </c>
      <c r="EL10" s="22">
        <f>+VLOOKUP($BD10,'Feb-25'!$A:$J,10,0)</f>
        <v>0</v>
      </c>
      <c r="EM10" s="22">
        <f>+VLOOKUP($BD10,'Mar-25'!$A:$J,10,0)</f>
        <v>0</v>
      </c>
      <c r="EN10" s="22">
        <f>+VLOOKUP($BD10,'Apr-25'!$A:$J,10,0)</f>
        <v>0</v>
      </c>
      <c r="EO10" s="22">
        <f>+VLOOKUP($BD10,'May-25'!$A:$J,10,0)</f>
        <v>0</v>
      </c>
      <c r="EP10" s="22">
        <f>+VLOOKUP($BD10,'June-25'!$A:$J,10,0)</f>
        <v>0</v>
      </c>
      <c r="EQ10" s="22">
        <f>+VLOOKUP($BD10,'July-25'!$A:$J,10,0)</f>
        <v>0</v>
      </c>
      <c r="ER10" s="22">
        <f>+VLOOKUP($BD10,'Aug-25'!$A:$J,10,0)</f>
        <v>0</v>
      </c>
      <c r="ES10" s="22">
        <f>+VLOOKUP($BD10,'Sep-25'!$A:$J,10,0)</f>
        <v>0</v>
      </c>
      <c r="ET10" s="22">
        <f>+VLOOKUP($BD10,'Oct-25'!$A:$J,10,0)</f>
        <v>0</v>
      </c>
      <c r="EU10" s="22">
        <f>+VLOOKUP($BD10,'Nov-25'!$A:$J,10,0)</f>
        <v>0</v>
      </c>
      <c r="EV10" s="22">
        <f>+VLOOKUP($BD10,'Dec-25'!$A:$J,10,0)</f>
        <v>0</v>
      </c>
      <c r="EW10" s="22">
        <f t="shared" ref="EW10:EW12" si="183">+SUM(EK10:EV10)</f>
        <v>0</v>
      </c>
      <c r="EX10" s="22"/>
      <c r="EY10" s="106"/>
      <c r="EZ10" s="106"/>
      <c r="FA10" s="106"/>
      <c r="FB10" s="106"/>
      <c r="FC10" s="106"/>
      <c r="FD10" s="106"/>
      <c r="FE10" s="106"/>
      <c r="FF10" s="106"/>
      <c r="FG10" s="106"/>
      <c r="FH10" s="106"/>
      <c r="FI10" s="106"/>
      <c r="FJ10" s="106"/>
      <c r="FK10" s="106">
        <f t="shared" ref="FK10:FK16" si="184">+SUM(EY10:FJ10)</f>
        <v>0</v>
      </c>
    </row>
    <row r="11" spans="1:167" ht="14.45" hidden="1" customHeight="1" outlineLevel="1">
      <c r="A11" s="106">
        <f t="shared" si="58"/>
        <v>0</v>
      </c>
      <c r="B11" s="106">
        <f t="shared" si="138"/>
        <v>0</v>
      </c>
      <c r="C11" s="106">
        <f t="shared" si="139"/>
        <v>0</v>
      </c>
      <c r="D11" s="106">
        <f t="shared" si="140"/>
        <v>0</v>
      </c>
      <c r="E11" s="106">
        <f t="shared" si="141"/>
        <v>0</v>
      </c>
      <c r="F11" s="106">
        <f t="shared" si="142"/>
        <v>0</v>
      </c>
      <c r="G11" s="106">
        <f t="shared" si="143"/>
        <v>0</v>
      </c>
      <c r="H11" s="106">
        <f t="shared" si="144"/>
        <v>0</v>
      </c>
      <c r="I11" s="106">
        <f t="shared" si="145"/>
        <v>0</v>
      </c>
      <c r="J11" s="106">
        <f t="shared" si="146"/>
        <v>0</v>
      </c>
      <c r="K11" s="106">
        <f t="shared" si="147"/>
        <v>0</v>
      </c>
      <c r="L11" s="106">
        <f t="shared" si="148"/>
        <v>0</v>
      </c>
      <c r="M11" s="106">
        <f t="shared" si="173"/>
        <v>0</v>
      </c>
      <c r="N11" s="7" t="s">
        <v>9</v>
      </c>
      <c r="O11" s="106">
        <f t="shared" si="149"/>
        <v>0</v>
      </c>
      <c r="P11" s="106">
        <f t="shared" si="150"/>
        <v>0</v>
      </c>
      <c r="Q11" s="106">
        <f t="shared" si="151"/>
        <v>0</v>
      </c>
      <c r="R11" s="106">
        <f t="shared" si="152"/>
        <v>0</v>
      </c>
      <c r="S11" s="106">
        <f t="shared" si="153"/>
        <v>0</v>
      </c>
      <c r="T11" s="106">
        <f t="shared" si="154"/>
        <v>0</v>
      </c>
      <c r="U11" s="106">
        <f t="shared" si="155"/>
        <v>0</v>
      </c>
      <c r="V11" s="106">
        <f t="shared" si="156"/>
        <v>0</v>
      </c>
      <c r="W11" s="106">
        <f t="shared" si="157"/>
        <v>0</v>
      </c>
      <c r="X11" s="106">
        <f t="shared" si="158"/>
        <v>0</v>
      </c>
      <c r="Y11" s="106">
        <f t="shared" si="159"/>
        <v>0</v>
      </c>
      <c r="Z11" s="106">
        <f t="shared" si="160"/>
        <v>0</v>
      </c>
      <c r="AA11" s="106">
        <f t="shared" si="174"/>
        <v>0</v>
      </c>
      <c r="AC11" s="106">
        <f t="shared" si="161"/>
        <v>0</v>
      </c>
      <c r="AD11" s="106">
        <f t="shared" si="162"/>
        <v>0</v>
      </c>
      <c r="AE11" s="106">
        <f t="shared" si="163"/>
        <v>0</v>
      </c>
      <c r="AF11" s="106">
        <f t="shared" si="164"/>
        <v>0</v>
      </c>
      <c r="AG11" s="106">
        <f t="shared" si="165"/>
        <v>0</v>
      </c>
      <c r="AH11" s="106">
        <f t="shared" si="166"/>
        <v>0</v>
      </c>
      <c r="AI11" s="106">
        <f t="shared" si="167"/>
        <v>0</v>
      </c>
      <c r="AJ11" s="106">
        <f t="shared" si="168"/>
        <v>0</v>
      </c>
      <c r="AK11" s="106">
        <f t="shared" si="169"/>
        <v>0</v>
      </c>
      <c r="AL11" s="106">
        <f t="shared" si="170"/>
        <v>0</v>
      </c>
      <c r="AM11" s="106">
        <f t="shared" si="171"/>
        <v>0</v>
      </c>
      <c r="AN11" s="106">
        <f t="shared" si="172"/>
        <v>0</v>
      </c>
      <c r="AO11" s="106">
        <f t="shared" si="175"/>
        <v>0</v>
      </c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>
        <f t="shared" si="176"/>
        <v>0</v>
      </c>
      <c r="BD11" s="7" t="s">
        <v>9</v>
      </c>
      <c r="BE11" s="106">
        <f>+VLOOKUP($BD11,'Jan-25'!$A:$J,5,0)</f>
        <v>0</v>
      </c>
      <c r="BF11" s="106">
        <f>+VLOOKUP($BD11,'Feb-25'!$A:$J,5,0)</f>
        <v>0</v>
      </c>
      <c r="BG11" s="106">
        <f>+VLOOKUP($BD11,'Mar-25'!$A:$J,5,0)</f>
        <v>0</v>
      </c>
      <c r="BH11" s="106">
        <f>+VLOOKUP($BD11,'Apr-25'!$A:$J,5,0)</f>
        <v>0</v>
      </c>
      <c r="BI11" s="106">
        <f>+VLOOKUP($BD11,'May-25'!$A:$J,5,0)</f>
        <v>0</v>
      </c>
      <c r="BJ11" s="106">
        <f>+VLOOKUP($BD11,'June-25'!$A:$J,5,0)</f>
        <v>0</v>
      </c>
      <c r="BK11" s="106">
        <f>+VLOOKUP($BD11,'July-25'!$A:$J,5,0)</f>
        <v>0</v>
      </c>
      <c r="BL11" s="106">
        <f>+VLOOKUP($BD11,'Aug-25'!$A:$J,5,0)</f>
        <v>0</v>
      </c>
      <c r="BM11" s="106">
        <f>+VLOOKUP($BD11,'Sep-25'!$A:$J,5,0)</f>
        <v>0</v>
      </c>
      <c r="BN11" s="106">
        <f>+VLOOKUP($BD11,'Oct-25'!$A:$J,5,0)</f>
        <v>0</v>
      </c>
      <c r="BO11" s="106">
        <f>+VLOOKUP($BD11,'Nov-25'!$A:$J,5,0)</f>
        <v>0</v>
      </c>
      <c r="BP11" s="106">
        <f>+VLOOKUP($BD11,'Dec-25'!$A:$J,5,0)</f>
        <v>0</v>
      </c>
      <c r="BQ11" s="106">
        <f t="shared" si="177"/>
        <v>0</v>
      </c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>
        <f t="shared" si="178"/>
        <v>0</v>
      </c>
      <c r="CF11" s="106"/>
      <c r="CG11" s="106"/>
      <c r="CH11" s="106"/>
      <c r="CI11" s="106"/>
      <c r="CJ11" s="106"/>
      <c r="CK11" s="106"/>
      <c r="CL11" s="106"/>
      <c r="CM11" s="106"/>
      <c r="CN11" s="106"/>
      <c r="CO11" s="106"/>
      <c r="CP11" s="106"/>
      <c r="CQ11" s="106"/>
      <c r="CR11" s="106"/>
      <c r="CS11" s="106">
        <f t="shared" si="179"/>
        <v>0</v>
      </c>
      <c r="CT11" s="7" t="str">
        <f t="shared" si="51"/>
        <v>TEV</v>
      </c>
      <c r="CU11" s="106">
        <f>+VLOOKUP($BD11,'Jan-25'!$A:$J,8,0)</f>
        <v>0</v>
      </c>
      <c r="CV11" s="106">
        <f>+VLOOKUP($BD11,'Feb-25'!$A:$J,8,0)</f>
        <v>0</v>
      </c>
      <c r="CW11" s="106">
        <f>+VLOOKUP($BD11,'Mar-25'!$A:$J,8,0)</f>
        <v>0</v>
      </c>
      <c r="CX11" s="106">
        <f>+VLOOKUP($BD11,'Apr-25'!$A:$J,8,0)</f>
        <v>0</v>
      </c>
      <c r="CY11" s="106">
        <f>+VLOOKUP($BD11,'May-25'!$A:$J,8,0)</f>
        <v>0</v>
      </c>
      <c r="CZ11" s="106">
        <f>+VLOOKUP($BD11,'June-25'!$A:$J,8,0)</f>
        <v>0</v>
      </c>
      <c r="DA11" s="106">
        <f>+VLOOKUP($BD11,'July-25'!$A:$J,8,0)</f>
        <v>0</v>
      </c>
      <c r="DB11" s="106">
        <f>+VLOOKUP($BD11,'Aug-25'!$A:$J,8,0)</f>
        <v>0</v>
      </c>
      <c r="DC11" s="106">
        <f>+VLOOKUP($BD11,'Sep-25'!$A:$J,8,0)</f>
        <v>0</v>
      </c>
      <c r="DD11" s="106">
        <f>+VLOOKUP($BD11,'Oct-25'!$A:$J,8,0)</f>
        <v>0</v>
      </c>
      <c r="DE11" s="106">
        <f>+VLOOKUP($BD11,'Nov-25'!$A:$J,8,0)</f>
        <v>0</v>
      </c>
      <c r="DF11" s="106">
        <f>+VLOOKUP($BD11,'Dec-25'!$A:$J,8,0)</f>
        <v>0</v>
      </c>
      <c r="DG11" s="106">
        <f t="shared" si="180"/>
        <v>0</v>
      </c>
      <c r="DI11" s="106"/>
      <c r="DJ11" s="106"/>
      <c r="DK11" s="106"/>
      <c r="DL11" s="106"/>
      <c r="DM11" s="106"/>
      <c r="DN11" s="106"/>
      <c r="DO11" s="106"/>
      <c r="DP11" s="106"/>
      <c r="DQ11" s="106"/>
      <c r="DR11" s="106"/>
      <c r="DS11" s="106"/>
      <c r="DT11" s="106"/>
      <c r="DU11" s="106">
        <f t="shared" si="181"/>
        <v>0</v>
      </c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106">
        <f t="shared" si="182"/>
        <v>0</v>
      </c>
      <c r="EJ11" s="7" t="s">
        <v>9</v>
      </c>
      <c r="EK11" s="22">
        <f>+VLOOKUP($BD11,'Jan-25'!$A:$J,10,0)</f>
        <v>0</v>
      </c>
      <c r="EL11" s="22">
        <f>+VLOOKUP($BD11,'Feb-25'!$A:$J,10,0)</f>
        <v>0</v>
      </c>
      <c r="EM11" s="22">
        <f>+VLOOKUP($BD11,'Mar-25'!$A:$J,10,0)</f>
        <v>0</v>
      </c>
      <c r="EN11" s="22">
        <f>+VLOOKUP($BD11,'Apr-25'!$A:$J,10,0)</f>
        <v>0</v>
      </c>
      <c r="EO11" s="22">
        <f>+VLOOKUP($BD11,'May-25'!$A:$J,10,0)</f>
        <v>0</v>
      </c>
      <c r="EP11" s="22">
        <f>+VLOOKUP($BD11,'June-25'!$A:$J,10,0)</f>
        <v>0</v>
      </c>
      <c r="EQ11" s="22">
        <f>+VLOOKUP($BD11,'July-25'!$A:$J,10,0)</f>
        <v>0</v>
      </c>
      <c r="ER11" s="22">
        <f>+VLOOKUP($BD11,'Aug-25'!$A:$J,10,0)</f>
        <v>0</v>
      </c>
      <c r="ES11" s="22">
        <f>+VLOOKUP($BD11,'Sep-25'!$A:$J,10,0)</f>
        <v>0</v>
      </c>
      <c r="ET11" s="22">
        <f>+VLOOKUP($BD11,'Oct-25'!$A:$J,10,0)</f>
        <v>0</v>
      </c>
      <c r="EU11" s="22">
        <f>+VLOOKUP($BD11,'Nov-25'!$A:$J,10,0)</f>
        <v>0</v>
      </c>
      <c r="EV11" s="22">
        <f>+VLOOKUP($BD11,'Dec-25'!$A:$J,10,0)</f>
        <v>0</v>
      </c>
      <c r="EW11" s="22">
        <f t="shared" si="183"/>
        <v>0</v>
      </c>
      <c r="EX11" s="22"/>
      <c r="EY11" s="106"/>
      <c r="EZ11" s="106"/>
      <c r="FA11" s="106"/>
      <c r="FB11" s="106"/>
      <c r="FC11" s="106"/>
      <c r="FD11" s="106"/>
      <c r="FE11" s="106"/>
      <c r="FF11" s="106"/>
      <c r="FG11" s="106"/>
      <c r="FH11" s="106"/>
      <c r="FI11" s="106"/>
      <c r="FJ11" s="106"/>
      <c r="FK11" s="106">
        <f t="shared" si="184"/>
        <v>0</v>
      </c>
    </row>
    <row r="12" spans="1:167" ht="14.45" hidden="1" customHeight="1" outlineLevel="1">
      <c r="A12" s="106">
        <f t="shared" si="58"/>
        <v>0</v>
      </c>
      <c r="B12" s="106">
        <f t="shared" si="138"/>
        <v>0</v>
      </c>
      <c r="C12" s="106">
        <f t="shared" si="139"/>
        <v>0</v>
      </c>
      <c r="D12" s="106">
        <f t="shared" si="140"/>
        <v>0</v>
      </c>
      <c r="E12" s="106">
        <f t="shared" si="141"/>
        <v>0</v>
      </c>
      <c r="F12" s="106">
        <f t="shared" si="142"/>
        <v>0</v>
      </c>
      <c r="G12" s="106">
        <f t="shared" si="143"/>
        <v>0</v>
      </c>
      <c r="H12" s="106">
        <f t="shared" si="144"/>
        <v>0</v>
      </c>
      <c r="I12" s="106">
        <f t="shared" si="145"/>
        <v>0</v>
      </c>
      <c r="J12" s="106">
        <f t="shared" si="146"/>
        <v>0</v>
      </c>
      <c r="K12" s="106">
        <f t="shared" si="147"/>
        <v>0</v>
      </c>
      <c r="L12" s="106">
        <f t="shared" si="148"/>
        <v>0</v>
      </c>
      <c r="M12" s="106">
        <f t="shared" si="173"/>
        <v>0</v>
      </c>
      <c r="N12" s="7" t="s">
        <v>10</v>
      </c>
      <c r="O12" s="106">
        <f t="shared" si="149"/>
        <v>0</v>
      </c>
      <c r="P12" s="106">
        <f t="shared" si="150"/>
        <v>0</v>
      </c>
      <c r="Q12" s="106">
        <f t="shared" si="151"/>
        <v>0</v>
      </c>
      <c r="R12" s="106">
        <f t="shared" si="152"/>
        <v>0</v>
      </c>
      <c r="S12" s="106">
        <f t="shared" si="153"/>
        <v>0</v>
      </c>
      <c r="T12" s="106">
        <f t="shared" si="154"/>
        <v>0</v>
      </c>
      <c r="U12" s="106">
        <f t="shared" si="155"/>
        <v>0</v>
      </c>
      <c r="V12" s="106">
        <f t="shared" si="156"/>
        <v>0</v>
      </c>
      <c r="W12" s="106">
        <f t="shared" si="157"/>
        <v>0</v>
      </c>
      <c r="X12" s="106">
        <f t="shared" si="158"/>
        <v>0</v>
      </c>
      <c r="Y12" s="106">
        <f t="shared" si="159"/>
        <v>0</v>
      </c>
      <c r="Z12" s="106">
        <f t="shared" si="160"/>
        <v>0</v>
      </c>
      <c r="AA12" s="106">
        <f t="shared" si="174"/>
        <v>0</v>
      </c>
      <c r="AC12" s="106">
        <f t="shared" si="161"/>
        <v>0</v>
      </c>
      <c r="AD12" s="106">
        <f t="shared" si="162"/>
        <v>0</v>
      </c>
      <c r="AE12" s="106">
        <f t="shared" si="163"/>
        <v>0</v>
      </c>
      <c r="AF12" s="106">
        <f t="shared" si="164"/>
        <v>0</v>
      </c>
      <c r="AG12" s="106">
        <f t="shared" si="165"/>
        <v>0</v>
      </c>
      <c r="AH12" s="106">
        <f t="shared" si="166"/>
        <v>0</v>
      </c>
      <c r="AI12" s="106">
        <f t="shared" si="167"/>
        <v>0</v>
      </c>
      <c r="AJ12" s="106">
        <f t="shared" si="168"/>
        <v>0</v>
      </c>
      <c r="AK12" s="106">
        <f t="shared" si="169"/>
        <v>0</v>
      </c>
      <c r="AL12" s="106">
        <f t="shared" si="170"/>
        <v>0</v>
      </c>
      <c r="AM12" s="106">
        <f t="shared" si="171"/>
        <v>0</v>
      </c>
      <c r="AN12" s="106">
        <f t="shared" si="172"/>
        <v>0</v>
      </c>
      <c r="AO12" s="106">
        <f t="shared" si="175"/>
        <v>0</v>
      </c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>
        <f t="shared" si="176"/>
        <v>0</v>
      </c>
      <c r="BD12" s="7" t="s">
        <v>10</v>
      </c>
      <c r="BE12" s="106">
        <f>+VLOOKUP($BD12,'Jan-25'!$A:$J,5,0)</f>
        <v>0</v>
      </c>
      <c r="BF12" s="106">
        <f>+VLOOKUP($BD12,'Feb-25'!$A:$J,5,0)</f>
        <v>0</v>
      </c>
      <c r="BG12" s="106">
        <f>+VLOOKUP($BD12,'Mar-25'!$A:$J,5,0)</f>
        <v>0</v>
      </c>
      <c r="BH12" s="106">
        <f>+VLOOKUP($BD12,'Apr-25'!$A:$J,5,0)</f>
        <v>0</v>
      </c>
      <c r="BI12" s="106">
        <f>+VLOOKUP($BD12,'May-25'!$A:$J,5,0)</f>
        <v>0</v>
      </c>
      <c r="BJ12" s="106">
        <f>+VLOOKUP($BD12,'June-25'!$A:$J,5,0)</f>
        <v>0</v>
      </c>
      <c r="BK12" s="106">
        <f>+VLOOKUP($BD12,'July-25'!$A:$J,5,0)</f>
        <v>0</v>
      </c>
      <c r="BL12" s="106">
        <f>+VLOOKUP($BD12,'Aug-25'!$A:$J,5,0)</f>
        <v>0</v>
      </c>
      <c r="BM12" s="106">
        <f>+VLOOKUP($BD12,'Sep-25'!$A:$J,5,0)</f>
        <v>0</v>
      </c>
      <c r="BN12" s="106">
        <f>+VLOOKUP($BD12,'Oct-25'!$A:$J,5,0)</f>
        <v>0</v>
      </c>
      <c r="BO12" s="106">
        <f>+VLOOKUP($BD12,'Nov-25'!$A:$J,5,0)</f>
        <v>0</v>
      </c>
      <c r="BP12" s="106">
        <f>+VLOOKUP($BD12,'Dec-25'!$A:$J,5,0)</f>
        <v>0</v>
      </c>
      <c r="BQ12" s="106">
        <f t="shared" si="177"/>
        <v>0</v>
      </c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>
        <f t="shared" si="178"/>
        <v>0</v>
      </c>
      <c r="CF12" s="106"/>
      <c r="CG12" s="106"/>
      <c r="CH12" s="106"/>
      <c r="CI12" s="106"/>
      <c r="CJ12" s="106"/>
      <c r="CK12" s="106"/>
      <c r="CL12" s="106"/>
      <c r="CM12" s="106"/>
      <c r="CN12" s="106"/>
      <c r="CO12" s="106"/>
      <c r="CP12" s="106"/>
      <c r="CQ12" s="106"/>
      <c r="CR12" s="106"/>
      <c r="CS12" s="106">
        <f t="shared" si="179"/>
        <v>0</v>
      </c>
      <c r="CT12" s="7" t="str">
        <f t="shared" si="51"/>
        <v>Market Share Bonus</v>
      </c>
      <c r="CU12" s="106">
        <f>+VLOOKUP($BD12,'Jan-25'!$A:$J,8,0)</f>
        <v>0</v>
      </c>
      <c r="CV12" s="106">
        <f>+VLOOKUP($BD12,'Feb-25'!$A:$J,8,0)</f>
        <v>0</v>
      </c>
      <c r="CW12" s="106">
        <f>+VLOOKUP($BD12,'Mar-25'!$A:$J,8,0)</f>
        <v>0</v>
      </c>
      <c r="CX12" s="106">
        <f>+VLOOKUP($BD12,'Apr-25'!$A:$J,8,0)</f>
        <v>0</v>
      </c>
      <c r="CY12" s="106">
        <f>+VLOOKUP($BD12,'May-25'!$A:$J,8,0)</f>
        <v>0</v>
      </c>
      <c r="CZ12" s="106">
        <f>+VLOOKUP($BD12,'June-25'!$A:$J,8,0)</f>
        <v>0</v>
      </c>
      <c r="DA12" s="106">
        <f>+VLOOKUP($BD12,'July-25'!$A:$J,8,0)</f>
        <v>0</v>
      </c>
      <c r="DB12" s="106">
        <f>+VLOOKUP($BD12,'Aug-25'!$A:$J,8,0)</f>
        <v>0</v>
      </c>
      <c r="DC12" s="106">
        <f>+VLOOKUP($BD12,'Sep-25'!$A:$J,8,0)</f>
        <v>0</v>
      </c>
      <c r="DD12" s="106">
        <f>+VLOOKUP($BD12,'Oct-25'!$A:$J,8,0)</f>
        <v>0</v>
      </c>
      <c r="DE12" s="106">
        <f>+VLOOKUP($BD12,'Nov-25'!$A:$J,8,0)</f>
        <v>0</v>
      </c>
      <c r="DF12" s="106">
        <f>+VLOOKUP($BD12,'Dec-25'!$A:$J,8,0)</f>
        <v>0</v>
      </c>
      <c r="DG12" s="106">
        <f t="shared" si="180"/>
        <v>0</v>
      </c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>
        <f t="shared" si="181"/>
        <v>0</v>
      </c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106">
        <f t="shared" si="182"/>
        <v>0</v>
      </c>
      <c r="EJ12" s="7" t="s">
        <v>10</v>
      </c>
      <c r="EK12" s="22">
        <f>+VLOOKUP($BD12,'Jan-25'!$A:$J,10,0)</f>
        <v>0</v>
      </c>
      <c r="EL12" s="22">
        <f>+VLOOKUP($BD12,'Feb-25'!$A:$J,10,0)</f>
        <v>0</v>
      </c>
      <c r="EM12" s="22">
        <f>+VLOOKUP($BD12,'Mar-25'!$A:$J,10,0)</f>
        <v>0</v>
      </c>
      <c r="EN12" s="22">
        <f>+VLOOKUP($BD12,'Apr-25'!$A:$J,10,0)</f>
        <v>0</v>
      </c>
      <c r="EO12" s="22">
        <f>+VLOOKUP($BD12,'May-25'!$A:$J,10,0)</f>
        <v>0</v>
      </c>
      <c r="EP12" s="22">
        <f>+VLOOKUP($BD12,'June-25'!$A:$J,10,0)</f>
        <v>0</v>
      </c>
      <c r="EQ12" s="22">
        <f>+VLOOKUP($BD12,'July-25'!$A:$J,10,0)</f>
        <v>0</v>
      </c>
      <c r="ER12" s="22">
        <f>+VLOOKUP($BD12,'Aug-25'!$A:$J,10,0)</f>
        <v>0</v>
      </c>
      <c r="ES12" s="22">
        <f>+VLOOKUP($BD12,'Sep-25'!$A:$J,10,0)</f>
        <v>0</v>
      </c>
      <c r="ET12" s="22">
        <f>+VLOOKUP($BD12,'Oct-25'!$A:$J,10,0)</f>
        <v>0</v>
      </c>
      <c r="EU12" s="22">
        <f>+VLOOKUP($BD12,'Nov-25'!$A:$J,10,0)</f>
        <v>0</v>
      </c>
      <c r="EV12" s="22">
        <f>+VLOOKUP($BD12,'Dec-25'!$A:$J,10,0)</f>
        <v>0</v>
      </c>
      <c r="EW12" s="22">
        <f t="shared" si="183"/>
        <v>0</v>
      </c>
      <c r="EX12" s="22"/>
      <c r="EY12" s="106"/>
      <c r="EZ12" s="106"/>
      <c r="FA12" s="106"/>
      <c r="FB12" s="106"/>
      <c r="FC12" s="106"/>
      <c r="FD12" s="106"/>
      <c r="FE12" s="106"/>
      <c r="FF12" s="106"/>
      <c r="FG12" s="106"/>
      <c r="FH12" s="106"/>
      <c r="FI12" s="106"/>
      <c r="FJ12" s="106"/>
      <c r="FK12" s="106">
        <f t="shared" si="184"/>
        <v>0</v>
      </c>
    </row>
    <row r="13" spans="1:167" ht="14.45" hidden="1" customHeight="1" outlineLevel="1">
      <c r="A13" s="58">
        <f>+SUM(A14:A17)</f>
        <v>0</v>
      </c>
      <c r="B13" s="58">
        <f t="shared" ref="B13:L13" si="185">+SUM(B14:B17)</f>
        <v>0</v>
      </c>
      <c r="C13" s="58">
        <f t="shared" si="185"/>
        <v>0</v>
      </c>
      <c r="D13" s="58">
        <f t="shared" si="185"/>
        <v>0</v>
      </c>
      <c r="E13" s="58">
        <f t="shared" si="185"/>
        <v>0</v>
      </c>
      <c r="F13" s="58">
        <f t="shared" si="185"/>
        <v>0</v>
      </c>
      <c r="G13" s="58">
        <f t="shared" si="185"/>
        <v>0</v>
      </c>
      <c r="H13" s="58">
        <f t="shared" si="185"/>
        <v>0</v>
      </c>
      <c r="I13" s="58">
        <f t="shared" si="185"/>
        <v>0</v>
      </c>
      <c r="J13" s="58">
        <f t="shared" si="185"/>
        <v>0</v>
      </c>
      <c r="K13" s="58">
        <f t="shared" si="185"/>
        <v>0</v>
      </c>
      <c r="L13" s="58">
        <f t="shared" si="185"/>
        <v>0</v>
      </c>
      <c r="M13" s="58">
        <f t="shared" si="173"/>
        <v>0</v>
      </c>
      <c r="N13" s="6" t="s">
        <v>11</v>
      </c>
      <c r="O13" s="58">
        <f>+SUM(O14:O17)</f>
        <v>0</v>
      </c>
      <c r="P13" s="58">
        <f t="shared" ref="P13" si="186">+SUM(P14:P17)</f>
        <v>0</v>
      </c>
      <c r="Q13" s="58">
        <f t="shared" ref="Q13" si="187">+SUM(Q14:Q17)</f>
        <v>0</v>
      </c>
      <c r="R13" s="58">
        <f t="shared" ref="R13" si="188">+SUM(R14:R17)</f>
        <v>0</v>
      </c>
      <c r="S13" s="58">
        <f t="shared" ref="S13" si="189">+SUM(S14:S17)</f>
        <v>0</v>
      </c>
      <c r="T13" s="58">
        <f t="shared" ref="T13" si="190">+SUM(T14:T17)</f>
        <v>0</v>
      </c>
      <c r="U13" s="58">
        <f t="shared" ref="U13" si="191">+SUM(U14:U17)</f>
        <v>0</v>
      </c>
      <c r="V13" s="58">
        <f t="shared" ref="V13" si="192">+SUM(V14:V17)</f>
        <v>0</v>
      </c>
      <c r="W13" s="58">
        <f t="shared" ref="W13" si="193">+SUM(W14:W17)</f>
        <v>0</v>
      </c>
      <c r="X13" s="58">
        <f t="shared" ref="X13" si="194">+SUM(X14:X17)</f>
        <v>0</v>
      </c>
      <c r="Y13" s="58">
        <f t="shared" ref="Y13" si="195">+SUM(Y14:Y17)</f>
        <v>0</v>
      </c>
      <c r="Z13" s="58">
        <f t="shared" ref="Z13" si="196">+SUM(Z14:Z17)</f>
        <v>0</v>
      </c>
      <c r="AA13" s="58">
        <f t="shared" si="174"/>
        <v>0</v>
      </c>
      <c r="AC13" s="58">
        <f>+SUM(AC14:AC17)</f>
        <v>0</v>
      </c>
      <c r="AD13" s="58">
        <f t="shared" ref="AD13" si="197">+SUM(AD14:AD17)</f>
        <v>0</v>
      </c>
      <c r="AE13" s="58">
        <f t="shared" ref="AE13" si="198">+SUM(AE14:AE17)</f>
        <v>0</v>
      </c>
      <c r="AF13" s="58">
        <f t="shared" ref="AF13" si="199">+SUM(AF14:AF17)</f>
        <v>0</v>
      </c>
      <c r="AG13" s="58">
        <f t="shared" ref="AG13" si="200">+SUM(AG14:AG17)</f>
        <v>0</v>
      </c>
      <c r="AH13" s="58">
        <f t="shared" ref="AH13" si="201">+SUM(AH14:AH17)</f>
        <v>0</v>
      </c>
      <c r="AI13" s="58">
        <f t="shared" ref="AI13" si="202">+SUM(AI14:AI17)</f>
        <v>0</v>
      </c>
      <c r="AJ13" s="58">
        <f t="shared" ref="AJ13" si="203">+SUM(AJ14:AJ17)</f>
        <v>0</v>
      </c>
      <c r="AK13" s="58">
        <f t="shared" ref="AK13" si="204">+SUM(AK14:AK17)</f>
        <v>0</v>
      </c>
      <c r="AL13" s="58">
        <f t="shared" ref="AL13" si="205">+SUM(AL14:AL17)</f>
        <v>0</v>
      </c>
      <c r="AM13" s="58">
        <f t="shared" ref="AM13" si="206">+SUM(AM14:AM17)</f>
        <v>0</v>
      </c>
      <c r="AN13" s="58">
        <f t="shared" ref="AN13" si="207">+SUM(AN14:AN17)</f>
        <v>0</v>
      </c>
      <c r="AO13" s="58">
        <f t="shared" si="175"/>
        <v>0</v>
      </c>
      <c r="AQ13" s="58">
        <f>+SUM(AQ14:AQ17)</f>
        <v>0</v>
      </c>
      <c r="AR13" s="58">
        <f t="shared" ref="AR13:BB13" si="208">+SUM(AR14:AR17)</f>
        <v>0</v>
      </c>
      <c r="AS13" s="58">
        <f t="shared" si="208"/>
        <v>0</v>
      </c>
      <c r="AT13" s="58">
        <f t="shared" si="208"/>
        <v>0</v>
      </c>
      <c r="AU13" s="58">
        <f t="shared" si="208"/>
        <v>0</v>
      </c>
      <c r="AV13" s="58">
        <f t="shared" si="208"/>
        <v>0</v>
      </c>
      <c r="AW13" s="58">
        <f t="shared" si="208"/>
        <v>0</v>
      </c>
      <c r="AX13" s="58">
        <f t="shared" si="208"/>
        <v>0</v>
      </c>
      <c r="AY13" s="58">
        <f t="shared" si="208"/>
        <v>0</v>
      </c>
      <c r="AZ13" s="58">
        <f t="shared" si="208"/>
        <v>0</v>
      </c>
      <c r="BA13" s="58">
        <f t="shared" si="208"/>
        <v>0</v>
      </c>
      <c r="BB13" s="58">
        <f t="shared" si="208"/>
        <v>0</v>
      </c>
      <c r="BC13" s="58">
        <f t="shared" si="176"/>
        <v>0</v>
      </c>
      <c r="BD13" s="6" t="str">
        <f t="shared" si="47"/>
        <v>Quantitative Margin</v>
      </c>
      <c r="BE13" s="58">
        <f t="shared" ref="BE13:BP13" si="209">+SUM(BE14:BE17)</f>
        <v>0</v>
      </c>
      <c r="BF13" s="58">
        <f t="shared" si="209"/>
        <v>0</v>
      </c>
      <c r="BG13" s="58">
        <f t="shared" si="209"/>
        <v>0</v>
      </c>
      <c r="BH13" s="58">
        <f t="shared" si="209"/>
        <v>0</v>
      </c>
      <c r="BI13" s="58">
        <f t="shared" si="209"/>
        <v>0</v>
      </c>
      <c r="BJ13" s="58">
        <f t="shared" si="209"/>
        <v>0</v>
      </c>
      <c r="BK13" s="58">
        <f t="shared" si="209"/>
        <v>0</v>
      </c>
      <c r="BL13" s="58">
        <f t="shared" si="209"/>
        <v>0</v>
      </c>
      <c r="BM13" s="58">
        <f t="shared" si="209"/>
        <v>0</v>
      </c>
      <c r="BN13" s="58">
        <f t="shared" si="209"/>
        <v>0</v>
      </c>
      <c r="BO13" s="58">
        <f t="shared" si="209"/>
        <v>0</v>
      </c>
      <c r="BP13" s="58">
        <f t="shared" si="209"/>
        <v>0</v>
      </c>
      <c r="BQ13" s="58">
        <f t="shared" ref="BQ13:BQ16" si="210">+SUM(BE13:BP13)</f>
        <v>0</v>
      </c>
      <c r="BS13" s="58">
        <f t="shared" ref="BS13:CD13" si="211">+SUM(BS14:BS17)</f>
        <v>0</v>
      </c>
      <c r="BT13" s="58">
        <f t="shared" si="211"/>
        <v>0</v>
      </c>
      <c r="BU13" s="58">
        <f t="shared" si="211"/>
        <v>0</v>
      </c>
      <c r="BV13" s="58">
        <f t="shared" si="211"/>
        <v>0</v>
      </c>
      <c r="BW13" s="58">
        <f t="shared" si="211"/>
        <v>0</v>
      </c>
      <c r="BX13" s="58">
        <f t="shared" si="211"/>
        <v>0</v>
      </c>
      <c r="BY13" s="58">
        <f t="shared" si="211"/>
        <v>0</v>
      </c>
      <c r="BZ13" s="58">
        <f t="shared" si="211"/>
        <v>0</v>
      </c>
      <c r="CA13" s="58">
        <f t="shared" si="211"/>
        <v>0</v>
      </c>
      <c r="CB13" s="58">
        <f t="shared" si="211"/>
        <v>0</v>
      </c>
      <c r="CC13" s="58">
        <f t="shared" si="211"/>
        <v>0</v>
      </c>
      <c r="CD13" s="58">
        <f t="shared" si="211"/>
        <v>0</v>
      </c>
      <c r="CE13" s="58">
        <f t="shared" si="178"/>
        <v>0</v>
      </c>
      <c r="CF13" s="106"/>
      <c r="CG13" s="58">
        <f>+SUM(CG14:CG17)</f>
        <v>0</v>
      </c>
      <c r="CH13" s="58">
        <f t="shared" ref="CH13:CR13" si="212">+SUM(CH14:CH17)</f>
        <v>0</v>
      </c>
      <c r="CI13" s="58">
        <f t="shared" si="212"/>
        <v>0</v>
      </c>
      <c r="CJ13" s="58">
        <f t="shared" si="212"/>
        <v>0</v>
      </c>
      <c r="CK13" s="58">
        <f t="shared" si="212"/>
        <v>0</v>
      </c>
      <c r="CL13" s="58">
        <f t="shared" si="212"/>
        <v>0</v>
      </c>
      <c r="CM13" s="58">
        <f t="shared" si="212"/>
        <v>0</v>
      </c>
      <c r="CN13" s="58">
        <f t="shared" si="212"/>
        <v>0</v>
      </c>
      <c r="CO13" s="58">
        <f t="shared" si="212"/>
        <v>0</v>
      </c>
      <c r="CP13" s="58">
        <f t="shared" si="212"/>
        <v>0</v>
      </c>
      <c r="CQ13" s="58">
        <f t="shared" si="212"/>
        <v>0</v>
      </c>
      <c r="CR13" s="58">
        <f t="shared" si="212"/>
        <v>0</v>
      </c>
      <c r="CS13" s="58">
        <f t="shared" si="179"/>
        <v>0</v>
      </c>
      <c r="CT13" s="6" t="str">
        <f t="shared" si="51"/>
        <v>Quantitative Margin</v>
      </c>
      <c r="CU13" s="58">
        <f t="shared" ref="CU13:DF13" si="213">+SUM(CU14:CU17)</f>
        <v>0</v>
      </c>
      <c r="CV13" s="58">
        <f t="shared" si="213"/>
        <v>0</v>
      </c>
      <c r="CW13" s="58">
        <f t="shared" si="213"/>
        <v>0</v>
      </c>
      <c r="CX13" s="58">
        <f t="shared" si="213"/>
        <v>0</v>
      </c>
      <c r="CY13" s="58">
        <f t="shared" si="213"/>
        <v>0</v>
      </c>
      <c r="CZ13" s="58">
        <f t="shared" si="213"/>
        <v>0</v>
      </c>
      <c r="DA13" s="58">
        <f t="shared" si="213"/>
        <v>0</v>
      </c>
      <c r="DB13" s="58">
        <f t="shared" si="213"/>
        <v>0</v>
      </c>
      <c r="DC13" s="58">
        <f t="shared" si="213"/>
        <v>0</v>
      </c>
      <c r="DD13" s="58">
        <f t="shared" si="213"/>
        <v>0</v>
      </c>
      <c r="DE13" s="58">
        <f t="shared" si="213"/>
        <v>0</v>
      </c>
      <c r="DF13" s="58">
        <f t="shared" si="213"/>
        <v>0</v>
      </c>
      <c r="DG13" s="58">
        <f t="shared" ref="DG13:DG16" si="214">+SUM(CU13:DF13)</f>
        <v>0</v>
      </c>
      <c r="DI13" s="58">
        <f t="shared" ref="DI13:DT13" si="215">+SUM(DI14:DI17)</f>
        <v>0</v>
      </c>
      <c r="DJ13" s="58">
        <f t="shared" si="215"/>
        <v>0</v>
      </c>
      <c r="DK13" s="58">
        <f t="shared" si="215"/>
        <v>0</v>
      </c>
      <c r="DL13" s="58">
        <f t="shared" si="215"/>
        <v>0</v>
      </c>
      <c r="DM13" s="58">
        <f t="shared" si="215"/>
        <v>0</v>
      </c>
      <c r="DN13" s="58">
        <f t="shared" si="215"/>
        <v>0</v>
      </c>
      <c r="DO13" s="58">
        <f t="shared" si="215"/>
        <v>0</v>
      </c>
      <c r="DP13" s="58">
        <f t="shared" si="215"/>
        <v>0</v>
      </c>
      <c r="DQ13" s="58">
        <f t="shared" si="215"/>
        <v>0</v>
      </c>
      <c r="DR13" s="58">
        <f t="shared" si="215"/>
        <v>0</v>
      </c>
      <c r="DS13" s="58">
        <f t="shared" si="215"/>
        <v>0</v>
      </c>
      <c r="DT13" s="58">
        <f t="shared" si="215"/>
        <v>0</v>
      </c>
      <c r="DU13" s="58">
        <f t="shared" si="181"/>
        <v>0</v>
      </c>
      <c r="DW13" s="28">
        <f t="shared" ref="DW13:EH13" si="216">+SUM(DW14:DW17)</f>
        <v>0</v>
      </c>
      <c r="DX13" s="28">
        <f t="shared" si="216"/>
        <v>0</v>
      </c>
      <c r="DY13" s="28">
        <f t="shared" si="216"/>
        <v>0</v>
      </c>
      <c r="DZ13" s="28">
        <f t="shared" si="216"/>
        <v>0</v>
      </c>
      <c r="EA13" s="28">
        <f t="shared" si="216"/>
        <v>0</v>
      </c>
      <c r="EB13" s="28">
        <f t="shared" si="216"/>
        <v>0</v>
      </c>
      <c r="EC13" s="28">
        <f t="shared" si="216"/>
        <v>0</v>
      </c>
      <c r="ED13" s="28">
        <f t="shared" si="216"/>
        <v>0</v>
      </c>
      <c r="EE13" s="28">
        <f t="shared" si="216"/>
        <v>0</v>
      </c>
      <c r="EF13" s="28">
        <f t="shared" si="216"/>
        <v>0</v>
      </c>
      <c r="EG13" s="28">
        <f t="shared" si="216"/>
        <v>0</v>
      </c>
      <c r="EH13" s="28">
        <f t="shared" si="216"/>
        <v>0</v>
      </c>
      <c r="EI13" s="58">
        <f t="shared" si="182"/>
        <v>0</v>
      </c>
      <c r="EJ13" s="6" t="str">
        <f t="shared" ref="EJ13:EJ69" si="217">CT13</f>
        <v>Quantitative Margin</v>
      </c>
      <c r="EK13" s="28">
        <f t="shared" ref="EK13:EV13" si="218">+SUM(EK14:EK17)</f>
        <v>0</v>
      </c>
      <c r="EL13" s="28">
        <f t="shared" si="218"/>
        <v>0</v>
      </c>
      <c r="EM13" s="28">
        <f t="shared" si="218"/>
        <v>0</v>
      </c>
      <c r="EN13" s="28">
        <f t="shared" si="218"/>
        <v>0</v>
      </c>
      <c r="EO13" s="28">
        <f t="shared" si="218"/>
        <v>0</v>
      </c>
      <c r="EP13" s="28">
        <f t="shared" si="218"/>
        <v>0</v>
      </c>
      <c r="EQ13" s="28">
        <f t="shared" si="218"/>
        <v>0</v>
      </c>
      <c r="ER13" s="28">
        <f t="shared" si="218"/>
        <v>0</v>
      </c>
      <c r="ES13" s="28">
        <f t="shared" si="218"/>
        <v>0</v>
      </c>
      <c r="ET13" s="28">
        <f t="shared" si="218"/>
        <v>0</v>
      </c>
      <c r="EU13" s="28">
        <f t="shared" si="218"/>
        <v>0</v>
      </c>
      <c r="EV13" s="28">
        <f t="shared" si="218"/>
        <v>0</v>
      </c>
      <c r="EW13" s="28">
        <f t="shared" ref="EW13:EW16" si="219">+SUM(EK13:EV13)</f>
        <v>0</v>
      </c>
      <c r="EX13" s="22"/>
      <c r="EY13" s="58">
        <f t="shared" ref="EY13:FJ13" si="220">+SUM(EY14:EY17)</f>
        <v>0</v>
      </c>
      <c r="EZ13" s="58">
        <f t="shared" si="220"/>
        <v>0</v>
      </c>
      <c r="FA13" s="58">
        <f t="shared" si="220"/>
        <v>0</v>
      </c>
      <c r="FB13" s="58">
        <f t="shared" si="220"/>
        <v>0</v>
      </c>
      <c r="FC13" s="58">
        <f t="shared" si="220"/>
        <v>0</v>
      </c>
      <c r="FD13" s="58">
        <f t="shared" si="220"/>
        <v>0</v>
      </c>
      <c r="FE13" s="58">
        <f t="shared" si="220"/>
        <v>0</v>
      </c>
      <c r="FF13" s="58">
        <f t="shared" si="220"/>
        <v>0</v>
      </c>
      <c r="FG13" s="58">
        <f t="shared" si="220"/>
        <v>0</v>
      </c>
      <c r="FH13" s="58">
        <f t="shared" si="220"/>
        <v>0</v>
      </c>
      <c r="FI13" s="58">
        <f t="shared" si="220"/>
        <v>0</v>
      </c>
      <c r="FJ13" s="58">
        <f t="shared" si="220"/>
        <v>0</v>
      </c>
      <c r="FK13" s="58">
        <f t="shared" si="184"/>
        <v>0</v>
      </c>
    </row>
    <row r="14" spans="1:167" ht="14.45" hidden="1" customHeight="1" outlineLevel="1">
      <c r="A14" s="106">
        <f t="shared" ref="A14:A16" si="221">+AQ14+CG14+DW14</f>
        <v>0</v>
      </c>
      <c r="B14" s="106">
        <f t="shared" ref="B14:B16" si="222">+AR14+CH14+DX14</f>
        <v>0</v>
      </c>
      <c r="C14" s="106">
        <f t="shared" ref="C14:C16" si="223">+AS14+CI14+DY14</f>
        <v>0</v>
      </c>
      <c r="D14" s="106">
        <f t="shared" ref="D14:D16" si="224">+AT14+CJ14+DZ14</f>
        <v>0</v>
      </c>
      <c r="E14" s="106">
        <f t="shared" ref="E14:E16" si="225">+AU14+CK14+EA14</f>
        <v>0</v>
      </c>
      <c r="F14" s="106">
        <f t="shared" ref="F14:F16" si="226">+AV14+CL14+EB14</f>
        <v>0</v>
      </c>
      <c r="G14" s="106">
        <f t="shared" ref="G14:G16" si="227">+AW14+CM14+EC14</f>
        <v>0</v>
      </c>
      <c r="H14" s="106">
        <f t="shared" ref="H14:H16" si="228">+AX14+CN14+ED14</f>
        <v>0</v>
      </c>
      <c r="I14" s="106">
        <f t="shared" ref="I14:I16" si="229">+AY14+CO14+EE14</f>
        <v>0</v>
      </c>
      <c r="J14" s="106">
        <f t="shared" ref="J14:J16" si="230">+AZ14+CP14+EF14</f>
        <v>0</v>
      </c>
      <c r="K14" s="106">
        <f t="shared" ref="K14:K16" si="231">+BA14+CQ14+EG14</f>
        <v>0</v>
      </c>
      <c r="L14" s="106">
        <f t="shared" ref="L14:L16" si="232">+BB14+CR14+EH14</f>
        <v>0</v>
      </c>
      <c r="M14" s="106">
        <f t="shared" si="173"/>
        <v>0</v>
      </c>
      <c r="N14" s="7" t="s">
        <v>12</v>
      </c>
      <c r="O14" s="106">
        <f t="shared" ref="O14:O16" si="233">+BE14+CU14+EK14</f>
        <v>0</v>
      </c>
      <c r="P14" s="106">
        <f t="shared" ref="P14:P16" si="234">+BF14+CV14+EL14</f>
        <v>0</v>
      </c>
      <c r="Q14" s="106">
        <f t="shared" ref="Q14:Q16" si="235">+BG14+CW14+EM14</f>
        <v>0</v>
      </c>
      <c r="R14" s="106">
        <f t="shared" ref="R14:R16" si="236">+BH14+CX14+EN14</f>
        <v>0</v>
      </c>
      <c r="S14" s="106">
        <f t="shared" ref="S14:S16" si="237">+BI14+CY14+EO14</f>
        <v>0</v>
      </c>
      <c r="T14" s="106">
        <f t="shared" ref="T14:T16" si="238">+BJ14+CZ14+EP14</f>
        <v>0</v>
      </c>
      <c r="U14" s="106">
        <f t="shared" ref="U14:U16" si="239">+BK14+DA14+EQ14</f>
        <v>0</v>
      </c>
      <c r="V14" s="106">
        <f t="shared" ref="V14:V16" si="240">+BL14+DB14+ER14</f>
        <v>0</v>
      </c>
      <c r="W14" s="106">
        <f t="shared" ref="W14:W16" si="241">+BM14+DC14+ES14</f>
        <v>0</v>
      </c>
      <c r="X14" s="106">
        <f t="shared" ref="X14:X16" si="242">+BN14+DD14+ET14</f>
        <v>0</v>
      </c>
      <c r="Y14" s="106">
        <f t="shared" ref="Y14:Y16" si="243">+BO14+DE14+EU14</f>
        <v>0</v>
      </c>
      <c r="Z14" s="106">
        <f t="shared" ref="Z14:Z16" si="244">+BP14+DF14+EV14</f>
        <v>0</v>
      </c>
      <c r="AA14" s="106">
        <f t="shared" si="174"/>
        <v>0</v>
      </c>
      <c r="AC14" s="106">
        <f t="shared" ref="AC14:AC16" si="245">+BS14+DI14+EY14</f>
        <v>0</v>
      </c>
      <c r="AD14" s="106">
        <f t="shared" ref="AD14:AD16" si="246">+BT14+DJ14+EZ14</f>
        <v>0</v>
      </c>
      <c r="AE14" s="106">
        <f t="shared" ref="AE14:AE16" si="247">+BU14+DK14+FA14</f>
        <v>0</v>
      </c>
      <c r="AF14" s="106">
        <f t="shared" ref="AF14:AF16" si="248">+BV14+DL14+FB14</f>
        <v>0</v>
      </c>
      <c r="AG14" s="106">
        <f t="shared" ref="AG14:AG16" si="249">+BW14+DM14+FC14</f>
        <v>0</v>
      </c>
      <c r="AH14" s="106">
        <f t="shared" ref="AH14:AH16" si="250">+BX14+DN14+FD14</f>
        <v>0</v>
      </c>
      <c r="AI14" s="106">
        <f t="shared" ref="AI14:AI16" si="251">+BY14+DO14+FE14</f>
        <v>0</v>
      </c>
      <c r="AJ14" s="106">
        <f t="shared" ref="AJ14:AJ16" si="252">+BZ14+DP14+FF14</f>
        <v>0</v>
      </c>
      <c r="AK14" s="106">
        <f t="shared" ref="AK14:AK16" si="253">+CA14+DQ14+FG14</f>
        <v>0</v>
      </c>
      <c r="AL14" s="106">
        <f t="shared" ref="AL14:AL16" si="254">+CB14+DR14+FH14</f>
        <v>0</v>
      </c>
      <c r="AM14" s="106">
        <f t="shared" ref="AM14:AM16" si="255">+CC14+DS14+FI14</f>
        <v>0</v>
      </c>
      <c r="AN14" s="106">
        <f t="shared" ref="AN14:AN16" si="256">+CD14+DT14+FJ14</f>
        <v>0</v>
      </c>
      <c r="AO14" s="106">
        <f t="shared" si="175"/>
        <v>0</v>
      </c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>
        <f t="shared" si="176"/>
        <v>0</v>
      </c>
      <c r="BD14" s="7" t="str">
        <f t="shared" si="47"/>
        <v>Digital and Lead Management</v>
      </c>
      <c r="BE14" s="106">
        <f>+VLOOKUP($BD14,'Jan-25'!$A:$J,5,0)</f>
        <v>0</v>
      </c>
      <c r="BF14" s="106">
        <f>+VLOOKUP($BD14,'Feb-25'!$A:$J,5,0)</f>
        <v>0</v>
      </c>
      <c r="BG14" s="106">
        <f>+VLOOKUP($BD14,'Mar-25'!$A:$J,5,0)</f>
        <v>0</v>
      </c>
      <c r="BH14" s="106">
        <f>+VLOOKUP($BD14,'Apr-25'!$A:$J,5,0)</f>
        <v>0</v>
      </c>
      <c r="BI14" s="106">
        <f>+VLOOKUP($BD14,'May-25'!$A:$J,5,0)</f>
        <v>0</v>
      </c>
      <c r="BJ14" s="106">
        <f>+VLOOKUP($BD14,'June-25'!$A:$J,5,0)</f>
        <v>0</v>
      </c>
      <c r="BK14" s="106">
        <f>+VLOOKUP($BD14,'July-25'!$A:$J,5,0)</f>
        <v>0</v>
      </c>
      <c r="BL14" s="106">
        <f>+VLOOKUP($BD14,'Aug-25'!$A:$J,5,0)</f>
        <v>0</v>
      </c>
      <c r="BM14" s="106">
        <f>+VLOOKUP($BD14,'Sep-25'!$A:$J,5,0)</f>
        <v>0</v>
      </c>
      <c r="BN14" s="106">
        <f>+VLOOKUP($BD14,'Oct-25'!$A:$J,5,0)</f>
        <v>0</v>
      </c>
      <c r="BO14" s="106">
        <f>+VLOOKUP($BD14,'Nov-25'!$A:$J,5,0)</f>
        <v>0</v>
      </c>
      <c r="BP14" s="106">
        <f>+VLOOKUP($BD14,'Dec-25'!$A:$J,5,0)</f>
        <v>0</v>
      </c>
      <c r="BQ14" s="106">
        <f t="shared" si="210"/>
        <v>0</v>
      </c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>
        <f t="shared" si="178"/>
        <v>0</v>
      </c>
      <c r="CF14" s="106"/>
      <c r="CG14" s="106"/>
      <c r="CH14" s="106"/>
      <c r="CI14" s="106"/>
      <c r="CJ14" s="106"/>
      <c r="CK14" s="106"/>
      <c r="CL14" s="106"/>
      <c r="CM14" s="106"/>
      <c r="CN14" s="106"/>
      <c r="CO14" s="106"/>
      <c r="CP14" s="106"/>
      <c r="CQ14" s="106"/>
      <c r="CR14" s="106"/>
      <c r="CS14" s="106">
        <f t="shared" si="179"/>
        <v>0</v>
      </c>
      <c r="CT14" s="7" t="str">
        <f t="shared" si="51"/>
        <v>Digital and Lead Management</v>
      </c>
      <c r="CU14" s="106">
        <f>+VLOOKUP($BD14,'Jan-25'!$A:$J,8,0)</f>
        <v>0</v>
      </c>
      <c r="CV14" s="106">
        <f>+VLOOKUP($BD14,'Feb-25'!$A:$J,8,0)</f>
        <v>0</v>
      </c>
      <c r="CW14" s="106">
        <f>+VLOOKUP($BD14,'Mar-25'!$A:$J,8,0)</f>
        <v>0</v>
      </c>
      <c r="CX14" s="106">
        <f>+VLOOKUP($BD14,'Apr-25'!$A:$J,8,0)</f>
        <v>0</v>
      </c>
      <c r="CY14" s="106">
        <f>+VLOOKUP($BD14,'May-25'!$A:$J,8,0)</f>
        <v>0</v>
      </c>
      <c r="CZ14" s="106">
        <f>+VLOOKUP($BD14,'June-25'!$A:$J,8,0)</f>
        <v>0</v>
      </c>
      <c r="DA14" s="106">
        <f>+VLOOKUP($BD14,'July-25'!$A:$J,8,0)</f>
        <v>0</v>
      </c>
      <c r="DB14" s="106">
        <f>+VLOOKUP($BD14,'Aug-25'!$A:$J,8,0)</f>
        <v>0</v>
      </c>
      <c r="DC14" s="106">
        <f>+VLOOKUP($BD14,'Sep-25'!$A:$J,8,0)</f>
        <v>0</v>
      </c>
      <c r="DD14" s="106">
        <f>+VLOOKUP($BD14,'Oct-25'!$A:$J,8,0)</f>
        <v>0</v>
      </c>
      <c r="DE14" s="106">
        <f>+VLOOKUP($BD14,'Nov-25'!$A:$J,8,0)</f>
        <v>0</v>
      </c>
      <c r="DF14" s="106">
        <f>+VLOOKUP($BD14,'Dec-25'!$A:$J,8,0)</f>
        <v>0</v>
      </c>
      <c r="DG14" s="106">
        <f t="shared" si="214"/>
        <v>0</v>
      </c>
      <c r="DI14" s="106"/>
      <c r="DJ14" s="106"/>
      <c r="DK14" s="106"/>
      <c r="DL14" s="106"/>
      <c r="DM14" s="106"/>
      <c r="DN14" s="106"/>
      <c r="DO14" s="106"/>
      <c r="DP14" s="106"/>
      <c r="DQ14" s="106"/>
      <c r="DR14" s="106"/>
      <c r="DS14" s="106"/>
      <c r="DT14" s="106"/>
      <c r="DU14" s="106">
        <f t="shared" si="181"/>
        <v>0</v>
      </c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106">
        <f t="shared" si="182"/>
        <v>0</v>
      </c>
      <c r="EJ14" s="7" t="str">
        <f t="shared" si="217"/>
        <v>Digital and Lead Management</v>
      </c>
      <c r="EK14" s="22">
        <f>+VLOOKUP($BD14,'Jan-25'!$A:$J,10,0)</f>
        <v>0</v>
      </c>
      <c r="EL14" s="22">
        <f>+VLOOKUP($BD14,'Feb-25'!$A:$J,10,0)</f>
        <v>0</v>
      </c>
      <c r="EM14" s="22">
        <f>+VLOOKUP($BD14,'Mar-25'!$A:$J,10,0)</f>
        <v>0</v>
      </c>
      <c r="EN14" s="22">
        <f>+VLOOKUP($BD14,'Apr-25'!$A:$J,10,0)</f>
        <v>0</v>
      </c>
      <c r="EO14" s="22">
        <f>+VLOOKUP($BD14,'May-25'!$A:$J,10,0)</f>
        <v>0</v>
      </c>
      <c r="EP14" s="22">
        <f>+VLOOKUP($BD14,'June-25'!$A:$J,10,0)</f>
        <v>0</v>
      </c>
      <c r="EQ14" s="22">
        <f>+VLOOKUP($BD14,'July-25'!$A:$J,10,0)</f>
        <v>0</v>
      </c>
      <c r="ER14" s="22">
        <f>+VLOOKUP($BD14,'Aug-25'!$A:$J,10,0)</f>
        <v>0</v>
      </c>
      <c r="ES14" s="22">
        <f>+VLOOKUP($BD14,'Sep-25'!$A:$J,10,0)</f>
        <v>0</v>
      </c>
      <c r="ET14" s="22">
        <f>+VLOOKUP($BD14,'Oct-25'!$A:$J,10,0)</f>
        <v>0</v>
      </c>
      <c r="EU14" s="22">
        <f>+VLOOKUP($BD14,'Nov-25'!$A:$J,10,0)</f>
        <v>0</v>
      </c>
      <c r="EV14" s="22">
        <f>+VLOOKUP($BD14,'Dec-25'!$A:$J,10,0)</f>
        <v>0</v>
      </c>
      <c r="EW14" s="22">
        <f t="shared" si="219"/>
        <v>0</v>
      </c>
      <c r="EX14" s="22"/>
      <c r="EY14" s="106"/>
      <c r="EZ14" s="106"/>
      <c r="FA14" s="106"/>
      <c r="FB14" s="106"/>
      <c r="FC14" s="106"/>
      <c r="FD14" s="106"/>
      <c r="FE14" s="106"/>
      <c r="FF14" s="106"/>
      <c r="FG14" s="106"/>
      <c r="FH14" s="106"/>
      <c r="FI14" s="106"/>
      <c r="FJ14" s="106"/>
      <c r="FK14" s="106">
        <f t="shared" si="184"/>
        <v>0</v>
      </c>
    </row>
    <row r="15" spans="1:167" ht="14.45" hidden="1" customHeight="1" outlineLevel="1">
      <c r="A15" s="106">
        <f t="shared" si="221"/>
        <v>0</v>
      </c>
      <c r="B15" s="106">
        <f t="shared" si="222"/>
        <v>0</v>
      </c>
      <c r="C15" s="106">
        <f t="shared" si="223"/>
        <v>0</v>
      </c>
      <c r="D15" s="106">
        <f t="shared" si="224"/>
        <v>0</v>
      </c>
      <c r="E15" s="106">
        <f t="shared" si="225"/>
        <v>0</v>
      </c>
      <c r="F15" s="106">
        <f t="shared" si="226"/>
        <v>0</v>
      </c>
      <c r="G15" s="106">
        <f t="shared" si="227"/>
        <v>0</v>
      </c>
      <c r="H15" s="106">
        <f t="shared" si="228"/>
        <v>0</v>
      </c>
      <c r="I15" s="106">
        <f t="shared" si="229"/>
        <v>0</v>
      </c>
      <c r="J15" s="106">
        <f t="shared" si="230"/>
        <v>0</v>
      </c>
      <c r="K15" s="106">
        <f t="shared" si="231"/>
        <v>0</v>
      </c>
      <c r="L15" s="106">
        <f t="shared" si="232"/>
        <v>0</v>
      </c>
      <c r="M15" s="106">
        <f t="shared" si="173"/>
        <v>0</v>
      </c>
      <c r="N15" s="7" t="s">
        <v>13</v>
      </c>
      <c r="O15" s="106">
        <f t="shared" si="233"/>
        <v>0</v>
      </c>
      <c r="P15" s="106">
        <f t="shared" si="234"/>
        <v>0</v>
      </c>
      <c r="Q15" s="106">
        <f t="shared" si="235"/>
        <v>0</v>
      </c>
      <c r="R15" s="106">
        <f t="shared" si="236"/>
        <v>0</v>
      </c>
      <c r="S15" s="106">
        <f t="shared" si="237"/>
        <v>0</v>
      </c>
      <c r="T15" s="106">
        <f t="shared" si="238"/>
        <v>0</v>
      </c>
      <c r="U15" s="106">
        <f t="shared" si="239"/>
        <v>0</v>
      </c>
      <c r="V15" s="106">
        <f t="shared" si="240"/>
        <v>0</v>
      </c>
      <c r="W15" s="106">
        <f t="shared" si="241"/>
        <v>0</v>
      </c>
      <c r="X15" s="106">
        <f t="shared" si="242"/>
        <v>0</v>
      </c>
      <c r="Y15" s="106">
        <f t="shared" si="243"/>
        <v>0</v>
      </c>
      <c r="Z15" s="106">
        <f t="shared" si="244"/>
        <v>0</v>
      </c>
      <c r="AA15" s="106">
        <f t="shared" si="174"/>
        <v>0</v>
      </c>
      <c r="AC15" s="106">
        <f t="shared" si="245"/>
        <v>0</v>
      </c>
      <c r="AD15" s="106">
        <f t="shared" si="246"/>
        <v>0</v>
      </c>
      <c r="AE15" s="106">
        <f t="shared" si="247"/>
        <v>0</v>
      </c>
      <c r="AF15" s="106">
        <f t="shared" si="248"/>
        <v>0</v>
      </c>
      <c r="AG15" s="106">
        <f t="shared" si="249"/>
        <v>0</v>
      </c>
      <c r="AH15" s="106">
        <f t="shared" si="250"/>
        <v>0</v>
      </c>
      <c r="AI15" s="106">
        <f t="shared" si="251"/>
        <v>0</v>
      </c>
      <c r="AJ15" s="106">
        <f t="shared" si="252"/>
        <v>0</v>
      </c>
      <c r="AK15" s="106">
        <f t="shared" si="253"/>
        <v>0</v>
      </c>
      <c r="AL15" s="106">
        <f t="shared" si="254"/>
        <v>0</v>
      </c>
      <c r="AM15" s="106">
        <f t="shared" si="255"/>
        <v>0</v>
      </c>
      <c r="AN15" s="106">
        <f t="shared" si="256"/>
        <v>0</v>
      </c>
      <c r="AO15" s="106">
        <f t="shared" si="175"/>
        <v>0</v>
      </c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>
        <f t="shared" si="176"/>
        <v>0</v>
      </c>
      <c r="BD15" s="7" t="str">
        <f t="shared" si="47"/>
        <v>Customer Experience</v>
      </c>
      <c r="BE15" s="106">
        <f>+VLOOKUP($BD15,'Jan-25'!$A:$J,5,0)</f>
        <v>0</v>
      </c>
      <c r="BF15" s="106">
        <f>+VLOOKUP($BD15,'Feb-25'!$A:$J,5,0)</f>
        <v>0</v>
      </c>
      <c r="BG15" s="106">
        <f>+VLOOKUP($BD15,'Mar-25'!$A:$J,5,0)</f>
        <v>0</v>
      </c>
      <c r="BH15" s="106">
        <f>+VLOOKUP($BD15,'Apr-25'!$A:$J,5,0)</f>
        <v>0</v>
      </c>
      <c r="BI15" s="106">
        <f>+VLOOKUP($BD15,'May-25'!$A:$J,5,0)</f>
        <v>0</v>
      </c>
      <c r="BJ15" s="106">
        <f>+VLOOKUP($BD15,'June-25'!$A:$J,5,0)</f>
        <v>0</v>
      </c>
      <c r="BK15" s="106">
        <f>+VLOOKUP($BD15,'July-25'!$A:$J,5,0)</f>
        <v>0</v>
      </c>
      <c r="BL15" s="106">
        <f>+VLOOKUP($BD15,'Aug-25'!$A:$J,5,0)</f>
        <v>0</v>
      </c>
      <c r="BM15" s="106">
        <f>+VLOOKUP($BD15,'Sep-25'!$A:$J,5,0)</f>
        <v>0</v>
      </c>
      <c r="BN15" s="106">
        <f>+VLOOKUP($BD15,'Oct-25'!$A:$J,5,0)</f>
        <v>0</v>
      </c>
      <c r="BO15" s="106">
        <f>+VLOOKUP($BD15,'Nov-25'!$A:$J,5,0)</f>
        <v>0</v>
      </c>
      <c r="BP15" s="106">
        <f>+VLOOKUP($BD15,'Dec-25'!$A:$J,5,0)</f>
        <v>0</v>
      </c>
      <c r="BQ15" s="106">
        <f t="shared" si="210"/>
        <v>0</v>
      </c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>
        <f t="shared" si="178"/>
        <v>0</v>
      </c>
      <c r="CF15" s="106"/>
      <c r="CG15" s="106"/>
      <c r="CH15" s="106"/>
      <c r="CI15" s="106"/>
      <c r="CJ15" s="106"/>
      <c r="CK15" s="106"/>
      <c r="CL15" s="106"/>
      <c r="CM15" s="106"/>
      <c r="CN15" s="106"/>
      <c r="CO15" s="106"/>
      <c r="CP15" s="106"/>
      <c r="CQ15" s="106"/>
      <c r="CR15" s="106"/>
      <c r="CS15" s="106">
        <f t="shared" si="179"/>
        <v>0</v>
      </c>
      <c r="CT15" s="7" t="str">
        <f t="shared" si="51"/>
        <v>Customer Experience</v>
      </c>
      <c r="CU15" s="106">
        <f>+VLOOKUP($BD15,'Jan-25'!$A:$J,8,0)</f>
        <v>0</v>
      </c>
      <c r="CV15" s="106">
        <f>+VLOOKUP($BD15,'Feb-25'!$A:$J,8,0)</f>
        <v>0</v>
      </c>
      <c r="CW15" s="106">
        <f>+VLOOKUP($BD15,'Mar-25'!$A:$J,8,0)</f>
        <v>0</v>
      </c>
      <c r="CX15" s="106">
        <f>+VLOOKUP($BD15,'Apr-25'!$A:$J,8,0)</f>
        <v>0</v>
      </c>
      <c r="CY15" s="106">
        <f>+VLOOKUP($BD15,'May-25'!$A:$J,8,0)</f>
        <v>0</v>
      </c>
      <c r="CZ15" s="106">
        <f>+VLOOKUP($BD15,'June-25'!$A:$J,8,0)</f>
        <v>0</v>
      </c>
      <c r="DA15" s="106">
        <f>+VLOOKUP($BD15,'July-25'!$A:$J,8,0)</f>
        <v>0</v>
      </c>
      <c r="DB15" s="106">
        <f>+VLOOKUP($BD15,'Aug-25'!$A:$J,8,0)</f>
        <v>0</v>
      </c>
      <c r="DC15" s="106">
        <f>+VLOOKUP($BD15,'Sep-25'!$A:$J,8,0)</f>
        <v>0</v>
      </c>
      <c r="DD15" s="106">
        <f>+VLOOKUP($BD15,'Oct-25'!$A:$J,8,0)</f>
        <v>0</v>
      </c>
      <c r="DE15" s="106">
        <f>+VLOOKUP($BD15,'Nov-25'!$A:$J,8,0)</f>
        <v>0</v>
      </c>
      <c r="DF15" s="106">
        <f>+VLOOKUP($BD15,'Dec-25'!$A:$J,8,0)</f>
        <v>0</v>
      </c>
      <c r="DG15" s="106">
        <f t="shared" si="214"/>
        <v>0</v>
      </c>
      <c r="DI15" s="106"/>
      <c r="DJ15" s="106"/>
      <c r="DK15" s="106"/>
      <c r="DL15" s="106"/>
      <c r="DM15" s="106"/>
      <c r="DN15" s="106"/>
      <c r="DO15" s="106"/>
      <c r="DP15" s="106"/>
      <c r="DQ15" s="106"/>
      <c r="DR15" s="106"/>
      <c r="DS15" s="106"/>
      <c r="DT15" s="106"/>
      <c r="DU15" s="106">
        <f t="shared" si="181"/>
        <v>0</v>
      </c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106">
        <f t="shared" si="182"/>
        <v>0</v>
      </c>
      <c r="EJ15" s="7" t="str">
        <f t="shared" si="217"/>
        <v>Customer Experience</v>
      </c>
      <c r="EK15" s="22">
        <f>+VLOOKUP($BD15,'Jan-25'!$A:$J,10,0)</f>
        <v>0</v>
      </c>
      <c r="EL15" s="22">
        <f>+VLOOKUP($BD15,'Feb-25'!$A:$J,10,0)</f>
        <v>0</v>
      </c>
      <c r="EM15" s="22">
        <f>+VLOOKUP($BD15,'Mar-25'!$A:$J,10,0)</f>
        <v>0</v>
      </c>
      <c r="EN15" s="22">
        <f>+VLOOKUP($BD15,'Apr-25'!$A:$J,10,0)</f>
        <v>0</v>
      </c>
      <c r="EO15" s="22">
        <f>+VLOOKUP($BD15,'May-25'!$A:$J,10,0)</f>
        <v>0</v>
      </c>
      <c r="EP15" s="22">
        <f>+VLOOKUP($BD15,'June-25'!$A:$J,10,0)</f>
        <v>0</v>
      </c>
      <c r="EQ15" s="22">
        <f>+VLOOKUP($BD15,'July-25'!$A:$J,10,0)</f>
        <v>0</v>
      </c>
      <c r="ER15" s="22">
        <f>+VLOOKUP($BD15,'Aug-25'!$A:$J,10,0)</f>
        <v>0</v>
      </c>
      <c r="ES15" s="22">
        <f>+VLOOKUP($BD15,'Sep-25'!$A:$J,10,0)</f>
        <v>0</v>
      </c>
      <c r="ET15" s="22">
        <f>+VLOOKUP($BD15,'Oct-25'!$A:$J,10,0)</f>
        <v>0</v>
      </c>
      <c r="EU15" s="22">
        <f>+VLOOKUP($BD15,'Nov-25'!$A:$J,10,0)</f>
        <v>0</v>
      </c>
      <c r="EV15" s="22">
        <f>+VLOOKUP($BD15,'Dec-25'!$A:$J,10,0)</f>
        <v>0</v>
      </c>
      <c r="EW15" s="22">
        <f t="shared" si="219"/>
        <v>0</v>
      </c>
      <c r="EX15" s="22"/>
      <c r="EY15" s="106"/>
      <c r="EZ15" s="106"/>
      <c r="FA15" s="106"/>
      <c r="FB15" s="106"/>
      <c r="FC15" s="106"/>
      <c r="FD15" s="106"/>
      <c r="FE15" s="106"/>
      <c r="FF15" s="106"/>
      <c r="FG15" s="106"/>
      <c r="FH15" s="106"/>
      <c r="FI15" s="106"/>
      <c r="FJ15" s="106"/>
      <c r="FK15" s="106">
        <f t="shared" si="184"/>
        <v>0</v>
      </c>
    </row>
    <row r="16" spans="1:167" ht="14.45" hidden="1" customHeight="1" outlineLevel="1">
      <c r="A16" s="106">
        <f t="shared" si="221"/>
        <v>0</v>
      </c>
      <c r="B16" s="106">
        <f t="shared" si="222"/>
        <v>0</v>
      </c>
      <c r="C16" s="106">
        <f t="shared" si="223"/>
        <v>0</v>
      </c>
      <c r="D16" s="106">
        <f t="shared" si="224"/>
        <v>0</v>
      </c>
      <c r="E16" s="106">
        <f t="shared" si="225"/>
        <v>0</v>
      </c>
      <c r="F16" s="106">
        <f t="shared" si="226"/>
        <v>0</v>
      </c>
      <c r="G16" s="106">
        <f t="shared" si="227"/>
        <v>0</v>
      </c>
      <c r="H16" s="106">
        <f t="shared" si="228"/>
        <v>0</v>
      </c>
      <c r="I16" s="106">
        <f t="shared" si="229"/>
        <v>0</v>
      </c>
      <c r="J16" s="106">
        <f t="shared" si="230"/>
        <v>0</v>
      </c>
      <c r="K16" s="106">
        <f t="shared" si="231"/>
        <v>0</v>
      </c>
      <c r="L16" s="106">
        <f t="shared" si="232"/>
        <v>0</v>
      </c>
      <c r="M16" s="106">
        <f t="shared" si="173"/>
        <v>0</v>
      </c>
      <c r="N16" s="7" t="s">
        <v>14</v>
      </c>
      <c r="O16" s="106">
        <f t="shared" si="233"/>
        <v>0</v>
      </c>
      <c r="P16" s="106">
        <f t="shared" si="234"/>
        <v>0</v>
      </c>
      <c r="Q16" s="106">
        <f t="shared" si="235"/>
        <v>0</v>
      </c>
      <c r="R16" s="106">
        <f t="shared" si="236"/>
        <v>0</v>
      </c>
      <c r="S16" s="106">
        <f t="shared" si="237"/>
        <v>0</v>
      </c>
      <c r="T16" s="106">
        <f t="shared" si="238"/>
        <v>0</v>
      </c>
      <c r="U16" s="106">
        <f t="shared" si="239"/>
        <v>0</v>
      </c>
      <c r="V16" s="106">
        <f t="shared" si="240"/>
        <v>0</v>
      </c>
      <c r="W16" s="106">
        <f t="shared" si="241"/>
        <v>0</v>
      </c>
      <c r="X16" s="106">
        <f t="shared" si="242"/>
        <v>0</v>
      </c>
      <c r="Y16" s="106">
        <f t="shared" si="243"/>
        <v>0</v>
      </c>
      <c r="Z16" s="106">
        <f t="shared" si="244"/>
        <v>0</v>
      </c>
      <c r="AA16" s="106">
        <f t="shared" si="174"/>
        <v>0</v>
      </c>
      <c r="AC16" s="106">
        <f t="shared" si="245"/>
        <v>0</v>
      </c>
      <c r="AD16" s="106">
        <f t="shared" si="246"/>
        <v>0</v>
      </c>
      <c r="AE16" s="106">
        <f t="shared" si="247"/>
        <v>0</v>
      </c>
      <c r="AF16" s="106">
        <f t="shared" si="248"/>
        <v>0</v>
      </c>
      <c r="AG16" s="106">
        <f t="shared" si="249"/>
        <v>0</v>
      </c>
      <c r="AH16" s="106">
        <f t="shared" si="250"/>
        <v>0</v>
      </c>
      <c r="AI16" s="106">
        <f t="shared" si="251"/>
        <v>0</v>
      </c>
      <c r="AJ16" s="106">
        <f t="shared" si="252"/>
        <v>0</v>
      </c>
      <c r="AK16" s="106">
        <f t="shared" si="253"/>
        <v>0</v>
      </c>
      <c r="AL16" s="106">
        <f t="shared" si="254"/>
        <v>0</v>
      </c>
      <c r="AM16" s="106">
        <f t="shared" si="255"/>
        <v>0</v>
      </c>
      <c r="AN16" s="106">
        <f t="shared" si="256"/>
        <v>0</v>
      </c>
      <c r="AO16" s="106">
        <f t="shared" si="175"/>
        <v>0</v>
      </c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>
        <f t="shared" si="176"/>
        <v>0</v>
      </c>
      <c r="BD16" s="7" t="str">
        <f t="shared" si="47"/>
        <v>Marketing And Process Steering</v>
      </c>
      <c r="BE16" s="106">
        <f>+VLOOKUP($BD16,'Jan-25'!$A:$J,5,0)</f>
        <v>0</v>
      </c>
      <c r="BF16" s="106">
        <f>+VLOOKUP($BD16,'Feb-25'!$A:$J,5,0)</f>
        <v>0</v>
      </c>
      <c r="BG16" s="106">
        <f>+VLOOKUP($BD16,'Mar-25'!$A:$J,5,0)</f>
        <v>0</v>
      </c>
      <c r="BH16" s="106">
        <f>+VLOOKUP($BD16,'Apr-25'!$A:$J,5,0)</f>
        <v>0</v>
      </c>
      <c r="BI16" s="106">
        <f>+VLOOKUP($BD16,'May-25'!$A:$J,5,0)</f>
        <v>0</v>
      </c>
      <c r="BJ16" s="106">
        <f>+VLOOKUP($BD16,'June-25'!$A:$J,5,0)</f>
        <v>0</v>
      </c>
      <c r="BK16" s="106">
        <f>+VLOOKUP($BD16,'July-25'!$A:$J,5,0)</f>
        <v>0</v>
      </c>
      <c r="BL16" s="106">
        <f>+VLOOKUP($BD16,'Aug-25'!$A:$J,5,0)</f>
        <v>0</v>
      </c>
      <c r="BM16" s="106">
        <f>+VLOOKUP($BD16,'Sep-25'!$A:$J,5,0)</f>
        <v>0</v>
      </c>
      <c r="BN16" s="106">
        <f>+VLOOKUP($BD16,'Oct-25'!$A:$J,5,0)</f>
        <v>0</v>
      </c>
      <c r="BO16" s="106">
        <f>+VLOOKUP($BD16,'Nov-25'!$A:$J,5,0)</f>
        <v>0</v>
      </c>
      <c r="BP16" s="106">
        <f>+VLOOKUP($BD16,'Dec-25'!$A:$J,5,0)</f>
        <v>0</v>
      </c>
      <c r="BQ16" s="106">
        <f t="shared" si="210"/>
        <v>0</v>
      </c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>
        <f t="shared" si="178"/>
        <v>0</v>
      </c>
      <c r="CF16" s="106"/>
      <c r="CG16" s="106"/>
      <c r="CH16" s="106"/>
      <c r="CI16" s="106"/>
      <c r="CJ16" s="106"/>
      <c r="CK16" s="106"/>
      <c r="CL16" s="106"/>
      <c r="CM16" s="106"/>
      <c r="CN16" s="106"/>
      <c r="CO16" s="106"/>
      <c r="CP16" s="106"/>
      <c r="CQ16" s="106"/>
      <c r="CR16" s="106"/>
      <c r="CS16" s="106">
        <f t="shared" si="179"/>
        <v>0</v>
      </c>
      <c r="CT16" s="7" t="str">
        <f t="shared" si="51"/>
        <v>Marketing And Process Steering</v>
      </c>
      <c r="CU16" s="106">
        <f>+VLOOKUP($BD16,'Jan-25'!$A:$J,8,0)</f>
        <v>0</v>
      </c>
      <c r="CV16" s="106">
        <f>+VLOOKUP($BD16,'Feb-25'!$A:$J,8,0)</f>
        <v>0</v>
      </c>
      <c r="CW16" s="106">
        <f>+VLOOKUP($BD16,'Mar-25'!$A:$J,8,0)</f>
        <v>0</v>
      </c>
      <c r="CX16" s="106">
        <f>+VLOOKUP($BD16,'Apr-25'!$A:$J,8,0)</f>
        <v>0</v>
      </c>
      <c r="CY16" s="106">
        <f>+VLOOKUP($BD16,'May-25'!$A:$J,8,0)</f>
        <v>0</v>
      </c>
      <c r="CZ16" s="106">
        <f>+VLOOKUP($BD16,'June-25'!$A:$J,8,0)</f>
        <v>0</v>
      </c>
      <c r="DA16" s="106">
        <f>+VLOOKUP($BD16,'July-25'!$A:$J,8,0)</f>
        <v>0</v>
      </c>
      <c r="DB16" s="106">
        <f>+VLOOKUP($BD16,'Aug-25'!$A:$J,8,0)</f>
        <v>0</v>
      </c>
      <c r="DC16" s="106">
        <f>+VLOOKUP($BD16,'Sep-25'!$A:$J,8,0)</f>
        <v>0</v>
      </c>
      <c r="DD16" s="106">
        <f>+VLOOKUP($BD16,'Oct-25'!$A:$J,8,0)</f>
        <v>0</v>
      </c>
      <c r="DE16" s="106">
        <f>+VLOOKUP($BD16,'Nov-25'!$A:$J,8,0)</f>
        <v>0</v>
      </c>
      <c r="DF16" s="106">
        <f>+VLOOKUP($BD16,'Dec-25'!$A:$J,8,0)</f>
        <v>0</v>
      </c>
      <c r="DG16" s="106">
        <f t="shared" si="214"/>
        <v>0</v>
      </c>
      <c r="DI16" s="106"/>
      <c r="DJ16" s="106"/>
      <c r="DK16" s="106"/>
      <c r="DL16" s="106"/>
      <c r="DM16" s="106"/>
      <c r="DN16" s="106"/>
      <c r="DO16" s="106"/>
      <c r="DP16" s="106"/>
      <c r="DQ16" s="106"/>
      <c r="DR16" s="106"/>
      <c r="DS16" s="106"/>
      <c r="DT16" s="106"/>
      <c r="DU16" s="106">
        <f t="shared" si="181"/>
        <v>0</v>
      </c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106">
        <f t="shared" si="182"/>
        <v>0</v>
      </c>
      <c r="EJ16" s="7" t="str">
        <f t="shared" si="217"/>
        <v>Marketing And Process Steering</v>
      </c>
      <c r="EK16" s="22">
        <f>+VLOOKUP($BD16,'Jan-25'!$A:$J,10,0)</f>
        <v>0</v>
      </c>
      <c r="EL16" s="22">
        <f>+VLOOKUP($BD16,'Feb-25'!$A:$J,10,0)</f>
        <v>0</v>
      </c>
      <c r="EM16" s="22">
        <f>+VLOOKUP($BD16,'Mar-25'!$A:$J,10,0)</f>
        <v>0</v>
      </c>
      <c r="EN16" s="22">
        <f>+VLOOKUP($BD16,'Apr-25'!$A:$J,10,0)</f>
        <v>0</v>
      </c>
      <c r="EO16" s="22">
        <f>+VLOOKUP($BD16,'May-25'!$A:$J,10,0)</f>
        <v>0</v>
      </c>
      <c r="EP16" s="22">
        <f>+VLOOKUP($BD16,'June-25'!$A:$J,10,0)</f>
        <v>0</v>
      </c>
      <c r="EQ16" s="22">
        <f>+VLOOKUP($BD16,'July-25'!$A:$J,10,0)</f>
        <v>0</v>
      </c>
      <c r="ER16" s="22">
        <f>+VLOOKUP($BD16,'Aug-25'!$A:$J,10,0)</f>
        <v>0</v>
      </c>
      <c r="ES16" s="22">
        <f>+VLOOKUP($BD16,'Sep-25'!$A:$J,10,0)</f>
        <v>0</v>
      </c>
      <c r="ET16" s="22">
        <f>+VLOOKUP($BD16,'Oct-25'!$A:$J,10,0)</f>
        <v>0</v>
      </c>
      <c r="EU16" s="22">
        <f>+VLOOKUP($BD16,'Nov-25'!$A:$J,10,0)</f>
        <v>0</v>
      </c>
      <c r="EV16" s="22">
        <f>+VLOOKUP($BD16,'Dec-25'!$A:$J,10,0)</f>
        <v>0</v>
      </c>
      <c r="EW16" s="22">
        <f t="shared" si="219"/>
        <v>0</v>
      </c>
      <c r="EX16" s="22"/>
      <c r="EY16" s="106"/>
      <c r="EZ16" s="106"/>
      <c r="FA16" s="106"/>
      <c r="FB16" s="106"/>
      <c r="FC16" s="106"/>
      <c r="FD16" s="106"/>
      <c r="FE16" s="106"/>
      <c r="FF16" s="106"/>
      <c r="FG16" s="106"/>
      <c r="FH16" s="106"/>
      <c r="FI16" s="106"/>
      <c r="FJ16" s="106"/>
      <c r="FK16" s="106">
        <f t="shared" si="184"/>
        <v>0</v>
      </c>
    </row>
    <row r="17" spans="1:167" ht="14.45" hidden="1" customHeight="1" outlineLevel="1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8" t="s">
        <v>15</v>
      </c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8" t="str">
        <f t="shared" si="47"/>
        <v>Sales Demo Car</v>
      </c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  <c r="CF17" s="106"/>
      <c r="CG17" s="106"/>
      <c r="CH17" s="106"/>
      <c r="CI17" s="106"/>
      <c r="CJ17" s="106"/>
      <c r="CK17" s="106"/>
      <c r="CL17" s="106"/>
      <c r="CM17" s="106"/>
      <c r="CN17" s="106"/>
      <c r="CO17" s="106"/>
      <c r="CP17" s="106"/>
      <c r="CQ17" s="106"/>
      <c r="CR17" s="106"/>
      <c r="CS17" s="106"/>
      <c r="CT17" s="8" t="str">
        <f t="shared" si="51"/>
        <v>Sales Demo Car</v>
      </c>
      <c r="CU17" s="106"/>
      <c r="CV17" s="106"/>
      <c r="CW17" s="106"/>
      <c r="CX17" s="106"/>
      <c r="CY17" s="106"/>
      <c r="CZ17" s="106"/>
      <c r="DA17" s="106"/>
      <c r="DB17" s="106"/>
      <c r="DC17" s="106"/>
      <c r="DD17" s="106"/>
      <c r="DE17" s="106"/>
      <c r="DF17" s="106"/>
      <c r="DG17" s="106"/>
      <c r="DI17" s="106"/>
      <c r="DJ17" s="106"/>
      <c r="DK17" s="106"/>
      <c r="DL17" s="106"/>
      <c r="DM17" s="106"/>
      <c r="DN17" s="106"/>
      <c r="DO17" s="106"/>
      <c r="DP17" s="106"/>
      <c r="DQ17" s="106"/>
      <c r="DR17" s="106"/>
      <c r="DS17" s="106"/>
      <c r="DT17" s="106"/>
      <c r="DU17" s="106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106"/>
      <c r="EJ17" s="8" t="str">
        <f t="shared" si="217"/>
        <v>Sales Demo Car</v>
      </c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106"/>
      <c r="EZ17" s="106"/>
      <c r="FA17" s="106"/>
      <c r="FB17" s="106"/>
      <c r="FC17" s="106"/>
      <c r="FD17" s="106"/>
      <c r="FE17" s="106"/>
      <c r="FF17" s="106"/>
      <c r="FG17" s="106"/>
      <c r="FH17" s="106"/>
      <c r="FI17" s="106"/>
      <c r="FJ17" s="106"/>
      <c r="FK17" s="106"/>
    </row>
    <row r="18" spans="1:167" ht="14.45" hidden="1" customHeight="1" outlineLevel="1">
      <c r="A18" s="105">
        <f>+AQ18+CG18+DW18</f>
        <v>0</v>
      </c>
      <c r="B18" s="105">
        <f t="shared" ref="B18:L21" si="257">+AR18+CH18+DX18</f>
        <v>0</v>
      </c>
      <c r="C18" s="105">
        <f t="shared" si="257"/>
        <v>0</v>
      </c>
      <c r="D18" s="105">
        <f t="shared" si="257"/>
        <v>0</v>
      </c>
      <c r="E18" s="105">
        <f t="shared" si="257"/>
        <v>0</v>
      </c>
      <c r="F18" s="105">
        <f t="shared" si="257"/>
        <v>0</v>
      </c>
      <c r="G18" s="105">
        <f t="shared" si="257"/>
        <v>0</v>
      </c>
      <c r="H18" s="105">
        <f t="shared" si="257"/>
        <v>0</v>
      </c>
      <c r="I18" s="105">
        <f t="shared" si="257"/>
        <v>0</v>
      </c>
      <c r="J18" s="105">
        <f t="shared" si="257"/>
        <v>0</v>
      </c>
      <c r="K18" s="105">
        <f t="shared" si="257"/>
        <v>0</v>
      </c>
      <c r="L18" s="105">
        <f t="shared" si="257"/>
        <v>0</v>
      </c>
      <c r="M18" s="105">
        <f t="shared" si="173"/>
        <v>0</v>
      </c>
      <c r="N18" s="9" t="s">
        <v>16</v>
      </c>
      <c r="O18" s="105">
        <f>+BE18+CU18+EK18</f>
        <v>0</v>
      </c>
      <c r="P18" s="105">
        <f t="shared" ref="P18:P21" si="258">+BF18+CV18+EL18</f>
        <v>0</v>
      </c>
      <c r="Q18" s="105">
        <f t="shared" ref="Q18:Q21" si="259">+BG18+CW18+EM18</f>
        <v>0</v>
      </c>
      <c r="R18" s="105">
        <f t="shared" ref="R18:R21" si="260">+BH18+CX18+EN18</f>
        <v>0</v>
      </c>
      <c r="S18" s="105">
        <f t="shared" ref="S18:S21" si="261">+BI18+CY18+EO18</f>
        <v>0</v>
      </c>
      <c r="T18" s="105">
        <f t="shared" ref="T18:T21" si="262">+BJ18+CZ18+EP18</f>
        <v>0</v>
      </c>
      <c r="U18" s="105">
        <f t="shared" ref="U18:U21" si="263">+BK18+DA18+EQ18</f>
        <v>0</v>
      </c>
      <c r="V18" s="105">
        <f t="shared" ref="V18:V21" si="264">+BL18+DB18+ER18</f>
        <v>0</v>
      </c>
      <c r="W18" s="105">
        <f t="shared" ref="W18:W21" si="265">+BM18+DC18+ES18</f>
        <v>0</v>
      </c>
      <c r="X18" s="105">
        <f t="shared" ref="X18:X21" si="266">+BN18+DD18+ET18</f>
        <v>0</v>
      </c>
      <c r="Y18" s="105">
        <f t="shared" ref="Y18:Y21" si="267">+BO18+DE18+EU18</f>
        <v>0</v>
      </c>
      <c r="Z18" s="105">
        <f t="shared" ref="Z18:Z21" si="268">+BP18+DF18+EV18</f>
        <v>0</v>
      </c>
      <c r="AA18" s="105">
        <f t="shared" ref="AA18:AA21" si="269">+SUM(O18:Z18)</f>
        <v>0</v>
      </c>
      <c r="AC18" s="105">
        <f>+BS18+DI18+EY18</f>
        <v>0</v>
      </c>
      <c r="AD18" s="105">
        <f t="shared" ref="AD18:AD21" si="270">+BT18+DJ18+EZ18</f>
        <v>0</v>
      </c>
      <c r="AE18" s="105">
        <f t="shared" ref="AE18:AE21" si="271">+BU18+DK18+FA18</f>
        <v>0</v>
      </c>
      <c r="AF18" s="105">
        <f t="shared" ref="AF18:AF21" si="272">+BV18+DL18+FB18</f>
        <v>0</v>
      </c>
      <c r="AG18" s="105">
        <f t="shared" ref="AG18:AG21" si="273">+BW18+DM18+FC18</f>
        <v>0</v>
      </c>
      <c r="AH18" s="105">
        <f t="shared" ref="AH18:AH21" si="274">+BX18+DN18+FD18</f>
        <v>0</v>
      </c>
      <c r="AI18" s="105">
        <f t="shared" ref="AI18:AI21" si="275">+BY18+DO18+FE18</f>
        <v>0</v>
      </c>
      <c r="AJ18" s="105">
        <f t="shared" ref="AJ18:AJ21" si="276">+BZ18+DP18+FF18</f>
        <v>0</v>
      </c>
      <c r="AK18" s="105">
        <f t="shared" ref="AK18:AK21" si="277">+CA18+DQ18+FG18</f>
        <v>0</v>
      </c>
      <c r="AL18" s="105">
        <f t="shared" ref="AL18:AL21" si="278">+CB18+DR18+FH18</f>
        <v>0</v>
      </c>
      <c r="AM18" s="105">
        <f t="shared" ref="AM18:AM21" si="279">+CC18+DS18+FI18</f>
        <v>0</v>
      </c>
      <c r="AN18" s="105">
        <f t="shared" ref="AN18:AN21" si="280">+CD18+DT18+FJ18</f>
        <v>0</v>
      </c>
      <c r="AO18" s="105">
        <f t="shared" ref="AO18:AO21" si="281">+SUM(AC18:AN18)</f>
        <v>0</v>
      </c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>
        <f t="shared" ref="BC18:BC21" si="282">+SUM(AQ18:BB18)</f>
        <v>0</v>
      </c>
      <c r="BD18" s="9" t="str">
        <f t="shared" si="47"/>
        <v>No of Cars Sold</v>
      </c>
      <c r="BE18" s="105">
        <f>+'Jan-25'!$E$18</f>
        <v>0</v>
      </c>
      <c r="BF18" s="105">
        <f>+'Feb-25'!$E$18</f>
        <v>0</v>
      </c>
      <c r="BG18" s="105">
        <f>+'Mar-25'!$E$18</f>
        <v>0</v>
      </c>
      <c r="BH18" s="105">
        <f>+'Apr-25'!$E$18</f>
        <v>0</v>
      </c>
      <c r="BI18" s="105">
        <f>+'May-25'!$E$18</f>
        <v>0</v>
      </c>
      <c r="BJ18" s="105">
        <f>+'June-25'!$E$18</f>
        <v>0</v>
      </c>
      <c r="BK18" s="105">
        <f>+'July-25'!$E$18</f>
        <v>0</v>
      </c>
      <c r="BL18" s="105">
        <f>+'Aug-25'!$E$18</f>
        <v>0</v>
      </c>
      <c r="BM18" s="105">
        <f>+'Sep-25'!$E$18</f>
        <v>0</v>
      </c>
      <c r="BN18" s="105">
        <f>+'Oct-25'!$E$18</f>
        <v>0</v>
      </c>
      <c r="BO18" s="105">
        <f>+'Nov-25'!$E$18</f>
        <v>0</v>
      </c>
      <c r="BP18" s="105">
        <f>+'Dec-25'!$E$18</f>
        <v>0</v>
      </c>
      <c r="BQ18" s="105">
        <f>+SUM(BE18:BP18)</f>
        <v>0</v>
      </c>
      <c r="BS18" s="105"/>
      <c r="BT18" s="105"/>
      <c r="BU18" s="105"/>
      <c r="BV18" s="105"/>
      <c r="BW18" s="105"/>
      <c r="BX18" s="105"/>
      <c r="BY18" s="105"/>
      <c r="BZ18" s="105"/>
      <c r="CA18" s="105"/>
      <c r="CB18" s="105"/>
      <c r="CC18" s="105"/>
      <c r="CD18" s="105"/>
      <c r="CE18" s="105">
        <f t="shared" ref="CE18:CE21" si="283">+SUM(BS18:CD18)</f>
        <v>0</v>
      </c>
      <c r="CF18" s="106"/>
      <c r="CG18" s="105"/>
      <c r="CH18" s="105"/>
      <c r="CI18" s="105"/>
      <c r="CJ18" s="105"/>
      <c r="CK18" s="105"/>
      <c r="CL18" s="105"/>
      <c r="CM18" s="105"/>
      <c r="CN18" s="105"/>
      <c r="CO18" s="105"/>
      <c r="CP18" s="105"/>
      <c r="CQ18" s="105"/>
      <c r="CR18" s="105"/>
      <c r="CS18" s="105">
        <f t="shared" ref="CS18:CS21" si="284">+SUM(CG18:CR18)</f>
        <v>0</v>
      </c>
      <c r="CT18" s="9" t="str">
        <f t="shared" si="51"/>
        <v>No of Cars Sold</v>
      </c>
      <c r="CU18" s="105">
        <f>+'Jan-25'!$H$18</f>
        <v>0</v>
      </c>
      <c r="CV18" s="105">
        <f>+'Feb-25'!$H$18</f>
        <v>0</v>
      </c>
      <c r="CW18" s="105">
        <f>+'Mar-25'!$H$18</f>
        <v>0</v>
      </c>
      <c r="CX18" s="105">
        <f>+'Apr-25'!$H$18</f>
        <v>0</v>
      </c>
      <c r="CY18" s="105">
        <f>+'May-25'!$H$18</f>
        <v>0</v>
      </c>
      <c r="CZ18" s="105">
        <f>+'June-25'!$H$18</f>
        <v>0</v>
      </c>
      <c r="DA18" s="105">
        <f>+'July-25'!$H$18</f>
        <v>0</v>
      </c>
      <c r="DB18" s="105">
        <f>+'Aug-25'!$H$18</f>
        <v>0</v>
      </c>
      <c r="DC18" s="105">
        <f>+'Sep-25'!$H$18</f>
        <v>0</v>
      </c>
      <c r="DD18" s="105">
        <f>+'Oct-25'!$H$18</f>
        <v>0</v>
      </c>
      <c r="DE18" s="105">
        <f>+'Nov-25'!$H$18</f>
        <v>0</v>
      </c>
      <c r="DF18" s="105">
        <f>+'Dec-25'!$H$18</f>
        <v>0</v>
      </c>
      <c r="DG18" s="105">
        <f>+SUM(CU18:DF18)</f>
        <v>0</v>
      </c>
      <c r="DI18" s="105"/>
      <c r="DJ18" s="105"/>
      <c r="DK18" s="105"/>
      <c r="DL18" s="105"/>
      <c r="DM18" s="105"/>
      <c r="DN18" s="105"/>
      <c r="DO18" s="105"/>
      <c r="DP18" s="105"/>
      <c r="DQ18" s="105"/>
      <c r="DR18" s="105"/>
      <c r="DS18" s="105"/>
      <c r="DT18" s="105"/>
      <c r="DU18" s="105">
        <f t="shared" ref="DU18:DU21" si="285">+SUM(DI18:DT18)</f>
        <v>0</v>
      </c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105">
        <f t="shared" ref="EI18:EI21" si="286">+SUM(DW18:EH18)</f>
        <v>0</v>
      </c>
      <c r="EJ18" s="9" t="str">
        <f t="shared" si="217"/>
        <v>No of Cars Sold</v>
      </c>
      <c r="EK18" s="27">
        <f>+'Jan-25'!$J$18</f>
        <v>0</v>
      </c>
      <c r="EL18" s="27">
        <f>+'Feb-25'!$J$18</f>
        <v>0</v>
      </c>
      <c r="EM18" s="27">
        <f>+'Mar-25'!$J$18</f>
        <v>0</v>
      </c>
      <c r="EN18" s="27">
        <f>+'Apr-25'!$J$18</f>
        <v>0</v>
      </c>
      <c r="EO18" s="27">
        <f>+'May-25'!$J$18</f>
        <v>0</v>
      </c>
      <c r="EP18" s="27">
        <f>+'June-25'!$J$18</f>
        <v>0</v>
      </c>
      <c r="EQ18" s="27">
        <f>+'July-25'!$J$18</f>
        <v>0</v>
      </c>
      <c r="ER18" s="27">
        <f>+'Aug-25'!$J$18</f>
        <v>0</v>
      </c>
      <c r="ES18" s="27">
        <f>+'Sep-25'!$J$18</f>
        <v>0</v>
      </c>
      <c r="ET18" s="27">
        <f>+'Oct-25'!$J$18</f>
        <v>0</v>
      </c>
      <c r="EU18" s="27">
        <f>+'Nov-25'!$J$18</f>
        <v>0</v>
      </c>
      <c r="EV18" s="27">
        <f>+'Dec-25'!$J$18</f>
        <v>0</v>
      </c>
      <c r="EW18" s="27">
        <f>+SUM(EK18:EV18)</f>
        <v>0</v>
      </c>
      <c r="EX18" s="22"/>
      <c r="EY18" s="105"/>
      <c r="EZ18" s="105"/>
      <c r="FA18" s="105"/>
      <c r="FB18" s="105"/>
      <c r="FC18" s="105"/>
      <c r="FD18" s="105"/>
      <c r="FE18" s="105"/>
      <c r="FF18" s="105"/>
      <c r="FG18" s="105"/>
      <c r="FH18" s="105"/>
      <c r="FI18" s="105"/>
      <c r="FJ18" s="105"/>
      <c r="FK18" s="105">
        <f t="shared" ref="FK18:FK21" si="287">+SUM(EY18:FJ18)</f>
        <v>0</v>
      </c>
    </row>
    <row r="19" spans="1:167" ht="14.45" hidden="1" customHeight="1" outlineLevel="1">
      <c r="A19" s="106">
        <f t="shared" ref="A19:A21" si="288">+AQ19+CG19+DW19</f>
        <v>0</v>
      </c>
      <c r="B19" s="106">
        <f t="shared" si="257"/>
        <v>0</v>
      </c>
      <c r="C19" s="106">
        <f t="shared" si="257"/>
        <v>0</v>
      </c>
      <c r="D19" s="106">
        <f t="shared" si="257"/>
        <v>0</v>
      </c>
      <c r="E19" s="106">
        <f t="shared" si="257"/>
        <v>0</v>
      </c>
      <c r="F19" s="106">
        <f t="shared" si="257"/>
        <v>0</v>
      </c>
      <c r="G19" s="106">
        <f t="shared" si="257"/>
        <v>0</v>
      </c>
      <c r="H19" s="106">
        <f t="shared" si="257"/>
        <v>0</v>
      </c>
      <c r="I19" s="106">
        <f t="shared" si="257"/>
        <v>0</v>
      </c>
      <c r="J19" s="106">
        <f t="shared" si="257"/>
        <v>0</v>
      </c>
      <c r="K19" s="106">
        <f t="shared" si="257"/>
        <v>0</v>
      </c>
      <c r="L19" s="106">
        <f t="shared" si="257"/>
        <v>0</v>
      </c>
      <c r="M19" s="106">
        <f t="shared" si="173"/>
        <v>0</v>
      </c>
      <c r="N19" s="7" t="s">
        <v>17</v>
      </c>
      <c r="O19" s="106">
        <f t="shared" ref="O19:O21" si="289">+BE19+CU19+EK19</f>
        <v>0</v>
      </c>
      <c r="P19" s="106">
        <f t="shared" si="258"/>
        <v>0</v>
      </c>
      <c r="Q19" s="106">
        <f t="shared" si="259"/>
        <v>0</v>
      </c>
      <c r="R19" s="106">
        <f t="shared" si="260"/>
        <v>0</v>
      </c>
      <c r="S19" s="106">
        <f t="shared" si="261"/>
        <v>0</v>
      </c>
      <c r="T19" s="106">
        <f t="shared" si="262"/>
        <v>0</v>
      </c>
      <c r="U19" s="106">
        <f t="shared" si="263"/>
        <v>0</v>
      </c>
      <c r="V19" s="106">
        <f t="shared" si="264"/>
        <v>0</v>
      </c>
      <c r="W19" s="106">
        <f t="shared" si="265"/>
        <v>0</v>
      </c>
      <c r="X19" s="106">
        <f t="shared" si="266"/>
        <v>0</v>
      </c>
      <c r="Y19" s="106">
        <f t="shared" si="267"/>
        <v>0</v>
      </c>
      <c r="Z19" s="106">
        <f t="shared" si="268"/>
        <v>0</v>
      </c>
      <c r="AA19" s="106">
        <f t="shared" si="269"/>
        <v>0</v>
      </c>
      <c r="AC19" s="106">
        <f t="shared" ref="AC19:AC21" si="290">+BS19+DI19+EY19</f>
        <v>0</v>
      </c>
      <c r="AD19" s="106">
        <f t="shared" si="270"/>
        <v>0</v>
      </c>
      <c r="AE19" s="106">
        <f t="shared" si="271"/>
        <v>0</v>
      </c>
      <c r="AF19" s="106">
        <f t="shared" si="272"/>
        <v>0</v>
      </c>
      <c r="AG19" s="106">
        <f t="shared" si="273"/>
        <v>0</v>
      </c>
      <c r="AH19" s="106">
        <f t="shared" si="274"/>
        <v>0</v>
      </c>
      <c r="AI19" s="106">
        <f t="shared" si="275"/>
        <v>0</v>
      </c>
      <c r="AJ19" s="106">
        <f t="shared" si="276"/>
        <v>0</v>
      </c>
      <c r="AK19" s="106">
        <f t="shared" si="277"/>
        <v>0</v>
      </c>
      <c r="AL19" s="106">
        <f t="shared" si="278"/>
        <v>0</v>
      </c>
      <c r="AM19" s="106">
        <f t="shared" si="279"/>
        <v>0</v>
      </c>
      <c r="AN19" s="106">
        <f t="shared" si="280"/>
        <v>0</v>
      </c>
      <c r="AO19" s="106">
        <f t="shared" si="281"/>
        <v>0</v>
      </c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>
        <f t="shared" si="282"/>
        <v>0</v>
      </c>
      <c r="BD19" s="7" t="str">
        <f t="shared" si="47"/>
        <v>Turnover.</v>
      </c>
      <c r="BE19" s="106">
        <f>+VLOOKUP($BD19,'Jan-25'!$A:$J,5,0)</f>
        <v>0</v>
      </c>
      <c r="BF19" s="106">
        <f>+VLOOKUP($BD19,'Feb-25'!$A:$J,5,0)</f>
        <v>0</v>
      </c>
      <c r="BG19" s="106">
        <f>+VLOOKUP($BD19,'Mar-25'!$A:$J,5,0)</f>
        <v>0</v>
      </c>
      <c r="BH19" s="106">
        <f>+VLOOKUP($BD19,'Apr-25'!$A:$J,5,0)</f>
        <v>0</v>
      </c>
      <c r="BI19" s="106">
        <f>+VLOOKUP($BD19,'May-25'!$A:$J,5,0)</f>
        <v>0</v>
      </c>
      <c r="BJ19" s="106">
        <f>+VLOOKUP($BD19,'June-25'!$A:$J,5,0)</f>
        <v>0</v>
      </c>
      <c r="BK19" s="106">
        <f>+VLOOKUP($BD19,'July-25'!$A:$J,5,0)</f>
        <v>0</v>
      </c>
      <c r="BL19" s="106">
        <f>+VLOOKUP($BD19,'Aug-25'!$A:$J,5,0)</f>
        <v>0</v>
      </c>
      <c r="BM19" s="106">
        <f>+VLOOKUP($BD19,'Sep-25'!$A:$J,5,0)</f>
        <v>0</v>
      </c>
      <c r="BN19" s="106">
        <f>+VLOOKUP($BD19,'Oct-25'!$A:$J,5,0)</f>
        <v>0</v>
      </c>
      <c r="BO19" s="106">
        <f>+VLOOKUP($BD19,'Nov-25'!$A:$J,5,0)</f>
        <v>0</v>
      </c>
      <c r="BP19" s="106">
        <f>+VLOOKUP($BD19,'Dec-25'!$A:$J,5,0)</f>
        <v>0</v>
      </c>
      <c r="BQ19" s="106">
        <f t="shared" ref="BQ19:BQ21" si="291">+SUM(BE19:BP19)</f>
        <v>0</v>
      </c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>
        <f t="shared" si="283"/>
        <v>0</v>
      </c>
      <c r="CF19" s="106"/>
      <c r="CG19" s="106"/>
      <c r="CH19" s="106"/>
      <c r="CI19" s="106"/>
      <c r="CJ19" s="106"/>
      <c r="CK19" s="106"/>
      <c r="CL19" s="106"/>
      <c r="CM19" s="106"/>
      <c r="CN19" s="106"/>
      <c r="CO19" s="106"/>
      <c r="CP19" s="106"/>
      <c r="CQ19" s="106"/>
      <c r="CR19" s="106"/>
      <c r="CS19" s="106">
        <f t="shared" si="284"/>
        <v>0</v>
      </c>
      <c r="CT19" s="7" t="str">
        <f t="shared" si="51"/>
        <v>Turnover.</v>
      </c>
      <c r="CU19" s="106">
        <f>+VLOOKUP($BD19,'Jan-25'!$A:$J,8,0)</f>
        <v>0</v>
      </c>
      <c r="CV19" s="106">
        <f>+VLOOKUP($BD19,'Feb-25'!$A:$J,8,0)</f>
        <v>0</v>
      </c>
      <c r="CW19" s="106">
        <f>+VLOOKUP($BD19,'Mar-25'!$A:$J,8,0)</f>
        <v>0</v>
      </c>
      <c r="CX19" s="106">
        <f>+VLOOKUP($BD19,'Apr-25'!$A:$J,8,0)</f>
        <v>0</v>
      </c>
      <c r="CY19" s="106">
        <f>+VLOOKUP($BD19,'May-25'!$A:$J,8,0)</f>
        <v>0</v>
      </c>
      <c r="CZ19" s="106">
        <f>+VLOOKUP($BD19,'June-25'!$A:$J,8,0)</f>
        <v>0</v>
      </c>
      <c r="DA19" s="106">
        <f>+VLOOKUP($BD19,'July-25'!$A:$J,8,0)</f>
        <v>0</v>
      </c>
      <c r="DB19" s="106">
        <f>+VLOOKUP($BD19,'Aug-25'!$A:$J,8,0)</f>
        <v>0</v>
      </c>
      <c r="DC19" s="106">
        <f>+VLOOKUP($BD19,'Sep-25'!$A:$J,8,0)</f>
        <v>0</v>
      </c>
      <c r="DD19" s="106">
        <f>+VLOOKUP($BD19,'Oct-25'!$A:$J,8,0)</f>
        <v>0</v>
      </c>
      <c r="DE19" s="106">
        <f>+VLOOKUP($BD19,'Nov-25'!$A:$J,8,0)</f>
        <v>0</v>
      </c>
      <c r="DF19" s="106">
        <f>+VLOOKUP($BD19,'Dec-25'!$A:$J,8,0)</f>
        <v>0</v>
      </c>
      <c r="DG19" s="106">
        <f t="shared" ref="DG19:DG21" si="292">+SUM(CU19:DF19)</f>
        <v>0</v>
      </c>
      <c r="DI19" s="106"/>
      <c r="DJ19" s="106"/>
      <c r="DK19" s="106"/>
      <c r="DL19" s="106"/>
      <c r="DM19" s="106"/>
      <c r="DN19" s="106"/>
      <c r="DO19" s="106"/>
      <c r="DP19" s="106"/>
      <c r="DQ19" s="106"/>
      <c r="DR19" s="106"/>
      <c r="DS19" s="106"/>
      <c r="DT19" s="106"/>
      <c r="DU19" s="106">
        <f t="shared" si="285"/>
        <v>0</v>
      </c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106">
        <f t="shared" si="286"/>
        <v>0</v>
      </c>
      <c r="EJ19" s="7" t="str">
        <f t="shared" si="217"/>
        <v>Turnover.</v>
      </c>
      <c r="EK19" s="22">
        <f>+VLOOKUP($BD19,'Jan-25'!$A:$J,10,0)</f>
        <v>0</v>
      </c>
      <c r="EL19" s="22">
        <f>+VLOOKUP($BD19,'Feb-25'!$A:$J,10,0)</f>
        <v>0</v>
      </c>
      <c r="EM19" s="22">
        <f>+VLOOKUP($BD19,'Mar-25'!$A:$J,10,0)</f>
        <v>0</v>
      </c>
      <c r="EN19" s="22">
        <f>+VLOOKUP($BD19,'Apr-25'!$A:$J,10,0)</f>
        <v>0</v>
      </c>
      <c r="EO19" s="22">
        <f>+VLOOKUP($BD19,'May-25'!$A:$J,10,0)</f>
        <v>0</v>
      </c>
      <c r="EP19" s="22">
        <f>+VLOOKUP($BD19,'June-25'!$A:$J,10,0)</f>
        <v>0</v>
      </c>
      <c r="EQ19" s="22">
        <f>+VLOOKUP($BD19,'July-25'!$A:$J,10,0)</f>
        <v>0</v>
      </c>
      <c r="ER19" s="22">
        <f>+VLOOKUP($BD19,'Aug-25'!$A:$J,10,0)</f>
        <v>0</v>
      </c>
      <c r="ES19" s="22">
        <f>+VLOOKUP($BD19,'Sep-25'!$A:$J,10,0)</f>
        <v>0</v>
      </c>
      <c r="ET19" s="22">
        <f>+VLOOKUP($BD19,'Oct-25'!$A:$J,10,0)</f>
        <v>0</v>
      </c>
      <c r="EU19" s="22">
        <f>+VLOOKUP($BD19,'Nov-25'!$A:$J,10,0)</f>
        <v>0</v>
      </c>
      <c r="EV19" s="22">
        <f>+VLOOKUP($BD19,'Dec-25'!$A:$J,10,0)</f>
        <v>0</v>
      </c>
      <c r="EW19" s="22">
        <f t="shared" ref="EW19:EW21" si="293">+SUM(EK19:EV19)</f>
        <v>0</v>
      </c>
      <c r="EX19" s="22"/>
      <c r="EY19" s="106"/>
      <c r="EZ19" s="106"/>
      <c r="FA19" s="106"/>
      <c r="FB19" s="106"/>
      <c r="FC19" s="106"/>
      <c r="FD19" s="106"/>
      <c r="FE19" s="106"/>
      <c r="FF19" s="106"/>
      <c r="FG19" s="106"/>
      <c r="FH19" s="106"/>
      <c r="FI19" s="106"/>
      <c r="FJ19" s="106"/>
      <c r="FK19" s="106">
        <f t="shared" si="287"/>
        <v>0</v>
      </c>
    </row>
    <row r="20" spans="1:167" ht="14.45" hidden="1" customHeight="1" outlineLevel="1">
      <c r="A20" s="106">
        <f t="shared" si="288"/>
        <v>0</v>
      </c>
      <c r="B20" s="106">
        <f t="shared" si="257"/>
        <v>0</v>
      </c>
      <c r="C20" s="106">
        <f t="shared" si="257"/>
        <v>0</v>
      </c>
      <c r="D20" s="106">
        <f t="shared" si="257"/>
        <v>0</v>
      </c>
      <c r="E20" s="106">
        <f t="shared" si="257"/>
        <v>0</v>
      </c>
      <c r="F20" s="106">
        <f t="shared" si="257"/>
        <v>0</v>
      </c>
      <c r="G20" s="106">
        <f t="shared" si="257"/>
        <v>0</v>
      </c>
      <c r="H20" s="106">
        <f t="shared" si="257"/>
        <v>0</v>
      </c>
      <c r="I20" s="106">
        <f t="shared" si="257"/>
        <v>0</v>
      </c>
      <c r="J20" s="106">
        <f t="shared" si="257"/>
        <v>0</v>
      </c>
      <c r="K20" s="106">
        <f t="shared" si="257"/>
        <v>0</v>
      </c>
      <c r="L20" s="106">
        <f t="shared" si="257"/>
        <v>0</v>
      </c>
      <c r="M20" s="106">
        <f t="shared" si="173"/>
        <v>0</v>
      </c>
      <c r="N20" s="7" t="s">
        <v>18</v>
      </c>
      <c r="O20" s="106">
        <f t="shared" si="289"/>
        <v>0</v>
      </c>
      <c r="P20" s="106">
        <f t="shared" si="258"/>
        <v>0</v>
      </c>
      <c r="Q20" s="106">
        <f t="shared" si="259"/>
        <v>0</v>
      </c>
      <c r="R20" s="106">
        <f t="shared" si="260"/>
        <v>0</v>
      </c>
      <c r="S20" s="106">
        <f t="shared" si="261"/>
        <v>0</v>
      </c>
      <c r="T20" s="106">
        <f t="shared" si="262"/>
        <v>0</v>
      </c>
      <c r="U20" s="106">
        <f t="shared" si="263"/>
        <v>0</v>
      </c>
      <c r="V20" s="106">
        <f t="shared" si="264"/>
        <v>0</v>
      </c>
      <c r="W20" s="106">
        <f t="shared" si="265"/>
        <v>0</v>
      </c>
      <c r="X20" s="106">
        <f t="shared" si="266"/>
        <v>0</v>
      </c>
      <c r="Y20" s="106">
        <f t="shared" si="267"/>
        <v>0</v>
      </c>
      <c r="Z20" s="106">
        <f t="shared" si="268"/>
        <v>0</v>
      </c>
      <c r="AA20" s="106">
        <f t="shared" si="269"/>
        <v>0</v>
      </c>
      <c r="AC20" s="106">
        <f t="shared" si="290"/>
        <v>0</v>
      </c>
      <c r="AD20" s="106">
        <f t="shared" si="270"/>
        <v>0</v>
      </c>
      <c r="AE20" s="106">
        <f t="shared" si="271"/>
        <v>0</v>
      </c>
      <c r="AF20" s="106">
        <f t="shared" si="272"/>
        <v>0</v>
      </c>
      <c r="AG20" s="106">
        <f t="shared" si="273"/>
        <v>0</v>
      </c>
      <c r="AH20" s="106">
        <f t="shared" si="274"/>
        <v>0</v>
      </c>
      <c r="AI20" s="106">
        <f t="shared" si="275"/>
        <v>0</v>
      </c>
      <c r="AJ20" s="106">
        <f t="shared" si="276"/>
        <v>0</v>
      </c>
      <c r="AK20" s="106">
        <f t="shared" si="277"/>
        <v>0</v>
      </c>
      <c r="AL20" s="106">
        <f t="shared" si="278"/>
        <v>0</v>
      </c>
      <c r="AM20" s="106">
        <f t="shared" si="279"/>
        <v>0</v>
      </c>
      <c r="AN20" s="106">
        <f t="shared" si="280"/>
        <v>0</v>
      </c>
      <c r="AO20" s="106">
        <f t="shared" si="281"/>
        <v>0</v>
      </c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>
        <f t="shared" si="282"/>
        <v>0</v>
      </c>
      <c r="BD20" s="7" t="str">
        <f t="shared" si="47"/>
        <v>Cost of goods sold - Demo Car</v>
      </c>
      <c r="BE20" s="106">
        <f>+VLOOKUP($BD20,'Jan-25'!$A:$J,5,0)</f>
        <v>0</v>
      </c>
      <c r="BF20" s="106">
        <f>+VLOOKUP($BD20,'Feb-25'!$A:$J,5,0)</f>
        <v>0</v>
      </c>
      <c r="BG20" s="106">
        <f>+VLOOKUP($BD20,'Mar-25'!$A:$J,5,0)</f>
        <v>0</v>
      </c>
      <c r="BH20" s="106">
        <f>+VLOOKUP($BD20,'Apr-25'!$A:$J,5,0)</f>
        <v>0</v>
      </c>
      <c r="BI20" s="106">
        <f>+VLOOKUP($BD20,'May-25'!$A:$J,5,0)</f>
        <v>0</v>
      </c>
      <c r="BJ20" s="106">
        <f>+VLOOKUP($BD20,'June-25'!$A:$J,5,0)</f>
        <v>0</v>
      </c>
      <c r="BK20" s="106">
        <f>+VLOOKUP($BD20,'July-25'!$A:$J,5,0)</f>
        <v>0</v>
      </c>
      <c r="BL20" s="106">
        <f>+VLOOKUP($BD20,'Aug-25'!$A:$J,5,0)</f>
        <v>0</v>
      </c>
      <c r="BM20" s="106">
        <f>+VLOOKUP($BD20,'Sep-25'!$A:$J,5,0)</f>
        <v>0</v>
      </c>
      <c r="BN20" s="106">
        <f>+VLOOKUP($BD20,'Oct-25'!$A:$J,5,0)</f>
        <v>0</v>
      </c>
      <c r="BO20" s="106">
        <f>+VLOOKUP($BD20,'Nov-25'!$A:$J,5,0)</f>
        <v>0</v>
      </c>
      <c r="BP20" s="106">
        <f>+VLOOKUP($BD20,'Dec-25'!$A:$J,5,0)</f>
        <v>0</v>
      </c>
      <c r="BQ20" s="106">
        <f t="shared" si="291"/>
        <v>0</v>
      </c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>
        <f t="shared" si="283"/>
        <v>0</v>
      </c>
      <c r="CF20" s="106"/>
      <c r="CG20" s="106"/>
      <c r="CH20" s="106"/>
      <c r="CI20" s="106"/>
      <c r="CJ20" s="106"/>
      <c r="CK20" s="106"/>
      <c r="CL20" s="106"/>
      <c r="CM20" s="106"/>
      <c r="CN20" s="106"/>
      <c r="CO20" s="106"/>
      <c r="CP20" s="106"/>
      <c r="CQ20" s="106"/>
      <c r="CR20" s="106"/>
      <c r="CS20" s="106">
        <f t="shared" si="284"/>
        <v>0</v>
      </c>
      <c r="CT20" s="7" t="str">
        <f t="shared" si="51"/>
        <v>Cost of goods sold - Demo Car</v>
      </c>
      <c r="CU20" s="106">
        <f>+VLOOKUP($BD20,'Jan-25'!$A:$J,8,0)</f>
        <v>0</v>
      </c>
      <c r="CV20" s="106">
        <f>+VLOOKUP($BD20,'Feb-25'!$A:$J,8,0)</f>
        <v>0</v>
      </c>
      <c r="CW20" s="106">
        <f>+VLOOKUP($BD20,'Mar-25'!$A:$J,8,0)</f>
        <v>0</v>
      </c>
      <c r="CX20" s="106">
        <f>+VLOOKUP($BD20,'Apr-25'!$A:$J,8,0)</f>
        <v>0</v>
      </c>
      <c r="CY20" s="106">
        <f>+VLOOKUP($BD20,'May-25'!$A:$J,8,0)</f>
        <v>0</v>
      </c>
      <c r="CZ20" s="106">
        <f>+VLOOKUP($BD20,'June-25'!$A:$J,8,0)</f>
        <v>0</v>
      </c>
      <c r="DA20" s="106">
        <f>+VLOOKUP($BD20,'July-25'!$A:$J,8,0)</f>
        <v>0</v>
      </c>
      <c r="DB20" s="106">
        <f>+VLOOKUP($BD20,'Aug-25'!$A:$J,8,0)</f>
        <v>0</v>
      </c>
      <c r="DC20" s="106">
        <f>+VLOOKUP($BD20,'Sep-25'!$A:$J,8,0)</f>
        <v>0</v>
      </c>
      <c r="DD20" s="106">
        <f>+VLOOKUP($BD20,'Oct-25'!$A:$J,8,0)</f>
        <v>0</v>
      </c>
      <c r="DE20" s="106">
        <f>+VLOOKUP($BD20,'Nov-25'!$A:$J,8,0)</f>
        <v>0</v>
      </c>
      <c r="DF20" s="106">
        <f>+VLOOKUP($BD20,'Dec-25'!$A:$J,8,0)</f>
        <v>0</v>
      </c>
      <c r="DG20" s="106">
        <f t="shared" si="292"/>
        <v>0</v>
      </c>
      <c r="DI20" s="106"/>
      <c r="DJ20" s="106"/>
      <c r="DK20" s="106"/>
      <c r="DL20" s="106"/>
      <c r="DM20" s="106"/>
      <c r="DN20" s="106"/>
      <c r="DO20" s="106"/>
      <c r="DP20" s="106"/>
      <c r="DQ20" s="106"/>
      <c r="DR20" s="106"/>
      <c r="DS20" s="106"/>
      <c r="DT20" s="106"/>
      <c r="DU20" s="106">
        <f t="shared" si="285"/>
        <v>0</v>
      </c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106">
        <f t="shared" si="286"/>
        <v>0</v>
      </c>
      <c r="EJ20" s="7" t="str">
        <f t="shared" si="217"/>
        <v>Cost of goods sold - Demo Car</v>
      </c>
      <c r="EK20" s="22">
        <f>+VLOOKUP($BD20,'Jan-25'!$A:$J,10,0)</f>
        <v>0</v>
      </c>
      <c r="EL20" s="22">
        <f>+VLOOKUP($BD20,'Feb-25'!$A:$J,10,0)</f>
        <v>0</v>
      </c>
      <c r="EM20" s="22">
        <f>+VLOOKUP($BD20,'Mar-25'!$A:$J,10,0)</f>
        <v>0</v>
      </c>
      <c r="EN20" s="22">
        <f>+VLOOKUP($BD20,'Apr-25'!$A:$J,10,0)</f>
        <v>0</v>
      </c>
      <c r="EO20" s="22">
        <f>+VLOOKUP($BD20,'May-25'!$A:$J,10,0)</f>
        <v>0</v>
      </c>
      <c r="EP20" s="22">
        <f>+VLOOKUP($BD20,'June-25'!$A:$J,10,0)</f>
        <v>0</v>
      </c>
      <c r="EQ20" s="22">
        <f>+VLOOKUP($BD20,'July-25'!$A:$J,10,0)</f>
        <v>0</v>
      </c>
      <c r="ER20" s="22">
        <f>+VLOOKUP($BD20,'Aug-25'!$A:$J,10,0)</f>
        <v>0</v>
      </c>
      <c r="ES20" s="22">
        <f>+VLOOKUP($BD20,'Sep-25'!$A:$J,10,0)</f>
        <v>0</v>
      </c>
      <c r="ET20" s="22">
        <f>+VLOOKUP($BD20,'Oct-25'!$A:$J,10,0)</f>
        <v>0</v>
      </c>
      <c r="EU20" s="22">
        <f>+VLOOKUP($BD20,'Nov-25'!$A:$J,10,0)</f>
        <v>0</v>
      </c>
      <c r="EV20" s="22">
        <f>+VLOOKUP($BD20,'Dec-25'!$A:$J,10,0)</f>
        <v>0</v>
      </c>
      <c r="EW20" s="22">
        <f t="shared" si="293"/>
        <v>0</v>
      </c>
      <c r="EX20" s="22"/>
      <c r="EY20" s="106"/>
      <c r="EZ20" s="106"/>
      <c r="FA20" s="106"/>
      <c r="FB20" s="106"/>
      <c r="FC20" s="106"/>
      <c r="FD20" s="106"/>
      <c r="FE20" s="106"/>
      <c r="FF20" s="106"/>
      <c r="FG20" s="106"/>
      <c r="FH20" s="106"/>
      <c r="FI20" s="106"/>
      <c r="FJ20" s="106"/>
      <c r="FK20" s="106">
        <f t="shared" si="287"/>
        <v>0</v>
      </c>
    </row>
    <row r="21" spans="1:167" ht="14.45" hidden="1" customHeight="1" outlineLevel="1">
      <c r="A21" s="106">
        <f t="shared" si="288"/>
        <v>0</v>
      </c>
      <c r="B21" s="106">
        <f t="shared" si="257"/>
        <v>0</v>
      </c>
      <c r="C21" s="106">
        <f t="shared" si="257"/>
        <v>0</v>
      </c>
      <c r="D21" s="106">
        <f t="shared" si="257"/>
        <v>0</v>
      </c>
      <c r="E21" s="106">
        <f t="shared" si="257"/>
        <v>0</v>
      </c>
      <c r="F21" s="106">
        <f t="shared" si="257"/>
        <v>0</v>
      </c>
      <c r="G21" s="106">
        <f t="shared" si="257"/>
        <v>0</v>
      </c>
      <c r="H21" s="106">
        <f t="shared" si="257"/>
        <v>0</v>
      </c>
      <c r="I21" s="106">
        <f t="shared" si="257"/>
        <v>0</v>
      </c>
      <c r="J21" s="106">
        <f t="shared" si="257"/>
        <v>0</v>
      </c>
      <c r="K21" s="106">
        <f t="shared" si="257"/>
        <v>0</v>
      </c>
      <c r="L21" s="106">
        <f t="shared" si="257"/>
        <v>0</v>
      </c>
      <c r="M21" s="106">
        <f t="shared" si="173"/>
        <v>0</v>
      </c>
      <c r="N21" s="7" t="s">
        <v>19</v>
      </c>
      <c r="O21" s="106">
        <f t="shared" si="289"/>
        <v>0</v>
      </c>
      <c r="P21" s="106">
        <f t="shared" si="258"/>
        <v>0</v>
      </c>
      <c r="Q21" s="106">
        <f t="shared" si="259"/>
        <v>0</v>
      </c>
      <c r="R21" s="106">
        <f t="shared" si="260"/>
        <v>0</v>
      </c>
      <c r="S21" s="106">
        <f t="shared" si="261"/>
        <v>0</v>
      </c>
      <c r="T21" s="106">
        <f t="shared" si="262"/>
        <v>0</v>
      </c>
      <c r="U21" s="106">
        <f t="shared" si="263"/>
        <v>0</v>
      </c>
      <c r="V21" s="106">
        <f t="shared" si="264"/>
        <v>0</v>
      </c>
      <c r="W21" s="106">
        <f t="shared" si="265"/>
        <v>0</v>
      </c>
      <c r="X21" s="106">
        <f t="shared" si="266"/>
        <v>0</v>
      </c>
      <c r="Y21" s="106">
        <f t="shared" si="267"/>
        <v>0</v>
      </c>
      <c r="Z21" s="106">
        <f t="shared" si="268"/>
        <v>0</v>
      </c>
      <c r="AA21" s="106">
        <f t="shared" si="269"/>
        <v>0</v>
      </c>
      <c r="AC21" s="106">
        <f t="shared" si="290"/>
        <v>0</v>
      </c>
      <c r="AD21" s="106">
        <f t="shared" si="270"/>
        <v>0</v>
      </c>
      <c r="AE21" s="106">
        <f t="shared" si="271"/>
        <v>0</v>
      </c>
      <c r="AF21" s="106">
        <f t="shared" si="272"/>
        <v>0</v>
      </c>
      <c r="AG21" s="106">
        <f t="shared" si="273"/>
        <v>0</v>
      </c>
      <c r="AH21" s="106">
        <f t="shared" si="274"/>
        <v>0</v>
      </c>
      <c r="AI21" s="106">
        <f t="shared" si="275"/>
        <v>0</v>
      </c>
      <c r="AJ21" s="106">
        <f t="shared" si="276"/>
        <v>0</v>
      </c>
      <c r="AK21" s="106">
        <f t="shared" si="277"/>
        <v>0</v>
      </c>
      <c r="AL21" s="106">
        <f t="shared" si="278"/>
        <v>0</v>
      </c>
      <c r="AM21" s="106">
        <f t="shared" si="279"/>
        <v>0</v>
      </c>
      <c r="AN21" s="106">
        <f t="shared" si="280"/>
        <v>0</v>
      </c>
      <c r="AO21" s="106">
        <f t="shared" si="281"/>
        <v>0</v>
      </c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>
        <f t="shared" si="282"/>
        <v>0</v>
      </c>
      <c r="BD21" s="7" t="str">
        <f t="shared" si="47"/>
        <v>Trade Discount</v>
      </c>
      <c r="BE21" s="106">
        <f>+VLOOKUP($BD21,'Jan-25'!$A:$J,5,0)</f>
        <v>0</v>
      </c>
      <c r="BF21" s="106">
        <f>+VLOOKUP($BD21,'Feb-25'!$A:$J,5,0)</f>
        <v>0</v>
      </c>
      <c r="BG21" s="106">
        <f>+VLOOKUP($BD21,'Mar-25'!$A:$J,5,0)</f>
        <v>0</v>
      </c>
      <c r="BH21" s="106">
        <f>+VLOOKUP($BD21,'Apr-25'!$A:$J,5,0)</f>
        <v>0</v>
      </c>
      <c r="BI21" s="106">
        <f>+VLOOKUP($BD21,'May-25'!$A:$J,5,0)</f>
        <v>0</v>
      </c>
      <c r="BJ21" s="106">
        <f>+VLOOKUP($BD21,'June-25'!$A:$J,5,0)</f>
        <v>0</v>
      </c>
      <c r="BK21" s="106">
        <f>+VLOOKUP($BD21,'July-25'!$A:$J,5,0)</f>
        <v>0</v>
      </c>
      <c r="BL21" s="106">
        <f>+VLOOKUP($BD21,'Aug-25'!$A:$J,5,0)</f>
        <v>0</v>
      </c>
      <c r="BM21" s="106">
        <f>+VLOOKUP($BD21,'Sep-25'!$A:$J,5,0)</f>
        <v>0</v>
      </c>
      <c r="BN21" s="106">
        <f>+VLOOKUP($BD21,'Oct-25'!$A:$J,5,0)</f>
        <v>0</v>
      </c>
      <c r="BO21" s="106">
        <f>+VLOOKUP($BD21,'Nov-25'!$A:$J,5,0)</f>
        <v>0</v>
      </c>
      <c r="BP21" s="106">
        <f>+VLOOKUP($BD21,'Dec-25'!$A:$J,5,0)</f>
        <v>0</v>
      </c>
      <c r="BQ21" s="106">
        <f t="shared" si="291"/>
        <v>0</v>
      </c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>
        <f t="shared" si="283"/>
        <v>0</v>
      </c>
      <c r="CF21" s="106"/>
      <c r="CG21" s="106"/>
      <c r="CH21" s="106"/>
      <c r="CI21" s="106"/>
      <c r="CJ21" s="106"/>
      <c r="CK21" s="106"/>
      <c r="CL21" s="106"/>
      <c r="CM21" s="106"/>
      <c r="CN21" s="106"/>
      <c r="CO21" s="106"/>
      <c r="CP21" s="106"/>
      <c r="CQ21" s="106"/>
      <c r="CR21" s="106"/>
      <c r="CS21" s="106">
        <f t="shared" si="284"/>
        <v>0</v>
      </c>
      <c r="CT21" s="7" t="str">
        <f t="shared" si="51"/>
        <v>Trade Discount</v>
      </c>
      <c r="CU21" s="106">
        <f>+VLOOKUP($BD21,'Jan-25'!$A:$J,8,0)</f>
        <v>0</v>
      </c>
      <c r="CV21" s="106">
        <f>+VLOOKUP($BD21,'Feb-25'!$A:$J,8,0)</f>
        <v>0</v>
      </c>
      <c r="CW21" s="106">
        <f>+VLOOKUP($BD21,'Mar-25'!$A:$J,8,0)</f>
        <v>0</v>
      </c>
      <c r="CX21" s="106">
        <f>+VLOOKUP($BD21,'Apr-25'!$A:$J,8,0)</f>
        <v>0</v>
      </c>
      <c r="CY21" s="106">
        <f>+VLOOKUP($BD21,'May-25'!$A:$J,8,0)</f>
        <v>0</v>
      </c>
      <c r="CZ21" s="106">
        <f>+VLOOKUP($BD21,'June-25'!$A:$J,8,0)</f>
        <v>0</v>
      </c>
      <c r="DA21" s="106">
        <f>+VLOOKUP($BD21,'July-25'!$A:$J,8,0)</f>
        <v>0</v>
      </c>
      <c r="DB21" s="106">
        <f>+VLOOKUP($BD21,'Aug-25'!$A:$J,8,0)</f>
        <v>0</v>
      </c>
      <c r="DC21" s="106">
        <f>+VLOOKUP($BD21,'Sep-25'!$A:$J,8,0)</f>
        <v>0</v>
      </c>
      <c r="DD21" s="106">
        <f>+VLOOKUP($BD21,'Oct-25'!$A:$J,8,0)</f>
        <v>0</v>
      </c>
      <c r="DE21" s="106">
        <f>+VLOOKUP($BD21,'Nov-25'!$A:$J,8,0)</f>
        <v>0</v>
      </c>
      <c r="DF21" s="106">
        <f>+VLOOKUP($BD21,'Dec-25'!$A:$J,8,0)</f>
        <v>0</v>
      </c>
      <c r="DG21" s="106">
        <f t="shared" si="292"/>
        <v>0</v>
      </c>
      <c r="DI21" s="106"/>
      <c r="DJ21" s="106"/>
      <c r="DK21" s="106"/>
      <c r="DL21" s="106"/>
      <c r="DM21" s="106"/>
      <c r="DN21" s="106"/>
      <c r="DO21" s="106"/>
      <c r="DP21" s="106"/>
      <c r="DQ21" s="106"/>
      <c r="DR21" s="106"/>
      <c r="DS21" s="106"/>
      <c r="DT21" s="106"/>
      <c r="DU21" s="106">
        <f t="shared" si="285"/>
        <v>0</v>
      </c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106">
        <f t="shared" si="286"/>
        <v>0</v>
      </c>
      <c r="EJ21" s="7" t="str">
        <f t="shared" si="217"/>
        <v>Trade Discount</v>
      </c>
      <c r="EK21" s="22">
        <f>+VLOOKUP($BD21,'Jan-25'!$A:$J,10,0)</f>
        <v>0</v>
      </c>
      <c r="EL21" s="22">
        <f>+VLOOKUP($BD21,'Feb-25'!$A:$J,10,0)</f>
        <v>0</v>
      </c>
      <c r="EM21" s="22">
        <f>+VLOOKUP($BD21,'Mar-25'!$A:$J,10,0)</f>
        <v>0</v>
      </c>
      <c r="EN21" s="22">
        <f>+VLOOKUP($BD21,'Apr-25'!$A:$J,10,0)</f>
        <v>0</v>
      </c>
      <c r="EO21" s="22">
        <f>+VLOOKUP($BD21,'May-25'!$A:$J,10,0)</f>
        <v>0</v>
      </c>
      <c r="EP21" s="22">
        <f>+VLOOKUP($BD21,'June-25'!$A:$J,10,0)</f>
        <v>0</v>
      </c>
      <c r="EQ21" s="22">
        <f>+VLOOKUP($BD21,'July-25'!$A:$J,10,0)</f>
        <v>0</v>
      </c>
      <c r="ER21" s="22">
        <f>+VLOOKUP($BD21,'Aug-25'!$A:$J,10,0)</f>
        <v>0</v>
      </c>
      <c r="ES21" s="22">
        <f>+VLOOKUP($BD21,'Sep-25'!$A:$J,10,0)</f>
        <v>0</v>
      </c>
      <c r="ET21" s="22">
        <f>+VLOOKUP($BD21,'Oct-25'!$A:$J,10,0)</f>
        <v>0</v>
      </c>
      <c r="EU21" s="22">
        <f>+VLOOKUP($BD21,'Nov-25'!$A:$J,10,0)</f>
        <v>0</v>
      </c>
      <c r="EV21" s="22">
        <f>+VLOOKUP($BD21,'Dec-25'!$A:$J,10,0)</f>
        <v>0</v>
      </c>
      <c r="EW21" s="22">
        <f t="shared" si="293"/>
        <v>0</v>
      </c>
      <c r="EX21" s="22"/>
      <c r="EY21" s="106"/>
      <c r="EZ21" s="106"/>
      <c r="FA21" s="106"/>
      <c r="FB21" s="106"/>
      <c r="FC21" s="106"/>
      <c r="FD21" s="106"/>
      <c r="FE21" s="106"/>
      <c r="FF21" s="106"/>
      <c r="FG21" s="106"/>
      <c r="FH21" s="106"/>
      <c r="FI21" s="106"/>
      <c r="FJ21" s="106"/>
      <c r="FK21" s="106">
        <f t="shared" si="287"/>
        <v>0</v>
      </c>
    </row>
    <row r="22" spans="1:167" ht="14.45" hidden="1" customHeight="1" outlineLevel="1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8" t="s">
        <v>243</v>
      </c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8" t="str">
        <f t="shared" si="47"/>
        <v xml:space="preserve">Sales Used Car </v>
      </c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  <c r="CF22" s="106"/>
      <c r="CG22" s="106"/>
      <c r="CH22" s="106"/>
      <c r="CI22" s="106"/>
      <c r="CJ22" s="106"/>
      <c r="CK22" s="106"/>
      <c r="CL22" s="106"/>
      <c r="CM22" s="106"/>
      <c r="CN22" s="106"/>
      <c r="CO22" s="106"/>
      <c r="CP22" s="106"/>
      <c r="CQ22" s="106"/>
      <c r="CR22" s="106"/>
      <c r="CS22" s="106"/>
      <c r="CT22" s="8" t="str">
        <f t="shared" si="51"/>
        <v xml:space="preserve">Sales Used Car </v>
      </c>
      <c r="CU22" s="106"/>
      <c r="CV22" s="106"/>
      <c r="CW22" s="106"/>
      <c r="CX22" s="106"/>
      <c r="CY22" s="106"/>
      <c r="CZ22" s="106"/>
      <c r="DA22" s="106"/>
      <c r="DB22" s="106"/>
      <c r="DC22" s="106"/>
      <c r="DD22" s="106"/>
      <c r="DE22" s="106"/>
      <c r="DF22" s="106"/>
      <c r="DG22" s="106"/>
      <c r="DI22" s="106"/>
      <c r="DJ22" s="106"/>
      <c r="DK22" s="106"/>
      <c r="DL22" s="106"/>
      <c r="DM22" s="106"/>
      <c r="DN22" s="106"/>
      <c r="DO22" s="106"/>
      <c r="DP22" s="106"/>
      <c r="DQ22" s="106"/>
      <c r="DR22" s="106"/>
      <c r="DS22" s="106"/>
      <c r="DT22" s="106"/>
      <c r="DU22" s="106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106"/>
      <c r="EJ22" s="8" t="str">
        <f t="shared" si="217"/>
        <v xml:space="preserve">Sales Used Car </v>
      </c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106"/>
      <c r="EZ22" s="106"/>
      <c r="FA22" s="106"/>
      <c r="FB22" s="106"/>
      <c r="FC22" s="106"/>
      <c r="FD22" s="106"/>
      <c r="FE22" s="106"/>
      <c r="FF22" s="106"/>
      <c r="FG22" s="106"/>
      <c r="FH22" s="106"/>
      <c r="FI22" s="106"/>
      <c r="FJ22" s="106"/>
      <c r="FK22" s="106"/>
    </row>
    <row r="23" spans="1:167" ht="14.45" hidden="1" customHeight="1" outlineLevel="1">
      <c r="A23" s="105">
        <f>+AQ23+CG23+DW23</f>
        <v>0</v>
      </c>
      <c r="B23" s="105">
        <f t="shared" ref="B23:L26" si="294">+AR23+CH23+DX23</f>
        <v>0</v>
      </c>
      <c r="C23" s="105">
        <f t="shared" si="294"/>
        <v>0</v>
      </c>
      <c r="D23" s="105">
        <f t="shared" si="294"/>
        <v>0</v>
      </c>
      <c r="E23" s="105">
        <f t="shared" si="294"/>
        <v>0</v>
      </c>
      <c r="F23" s="105">
        <f t="shared" si="294"/>
        <v>0</v>
      </c>
      <c r="G23" s="105">
        <f t="shared" si="294"/>
        <v>0</v>
      </c>
      <c r="H23" s="105">
        <f t="shared" si="294"/>
        <v>0</v>
      </c>
      <c r="I23" s="105">
        <f t="shared" si="294"/>
        <v>0</v>
      </c>
      <c r="J23" s="105">
        <f t="shared" si="294"/>
        <v>0</v>
      </c>
      <c r="K23" s="105">
        <f t="shared" si="294"/>
        <v>0</v>
      </c>
      <c r="L23" s="105">
        <f t="shared" si="294"/>
        <v>0</v>
      </c>
      <c r="M23" s="105">
        <f t="shared" si="173"/>
        <v>0</v>
      </c>
      <c r="N23" s="9" t="s">
        <v>16</v>
      </c>
      <c r="O23" s="105">
        <f>+BE23+CU23+EK23</f>
        <v>0</v>
      </c>
      <c r="P23" s="105">
        <f t="shared" ref="P23:P26" si="295">+BF23+CV23+EL23</f>
        <v>0</v>
      </c>
      <c r="Q23" s="105">
        <f t="shared" ref="Q23:Q26" si="296">+BG23+CW23+EM23</f>
        <v>0</v>
      </c>
      <c r="R23" s="105">
        <f t="shared" ref="R23:R26" si="297">+BH23+CX23+EN23</f>
        <v>0</v>
      </c>
      <c r="S23" s="105">
        <f t="shared" ref="S23:S26" si="298">+BI23+CY23+EO23</f>
        <v>0</v>
      </c>
      <c r="T23" s="105">
        <f t="shared" ref="T23:T26" si="299">+BJ23+CZ23+EP23</f>
        <v>0</v>
      </c>
      <c r="U23" s="105">
        <f t="shared" ref="U23:U26" si="300">+BK23+DA23+EQ23</f>
        <v>0</v>
      </c>
      <c r="V23" s="105">
        <f t="shared" ref="V23:V26" si="301">+BL23+DB23+ER23</f>
        <v>0</v>
      </c>
      <c r="W23" s="105">
        <f t="shared" ref="W23:W26" si="302">+BM23+DC23+ES23</f>
        <v>0</v>
      </c>
      <c r="X23" s="105">
        <f t="shared" ref="X23:X26" si="303">+BN23+DD23+ET23</f>
        <v>0</v>
      </c>
      <c r="Y23" s="105">
        <f t="shared" ref="Y23:Y26" si="304">+BO23+DE23+EU23</f>
        <v>0</v>
      </c>
      <c r="Z23" s="105">
        <f t="shared" ref="Z23:Z26" si="305">+BP23+DF23+EV23</f>
        <v>0</v>
      </c>
      <c r="AA23" s="105">
        <f t="shared" ref="AA23:AA26" si="306">+SUM(O23:Z23)</f>
        <v>0</v>
      </c>
      <c r="AC23" s="105">
        <f>+BS23+DI23+EY23</f>
        <v>0</v>
      </c>
      <c r="AD23" s="105">
        <f t="shared" ref="AD23:AD26" si="307">+BT23+DJ23+EZ23</f>
        <v>0</v>
      </c>
      <c r="AE23" s="105">
        <f t="shared" ref="AE23:AE26" si="308">+BU23+DK23+FA23</f>
        <v>0</v>
      </c>
      <c r="AF23" s="105">
        <f t="shared" ref="AF23:AF26" si="309">+BV23+DL23+FB23</f>
        <v>0</v>
      </c>
      <c r="AG23" s="105">
        <f t="shared" ref="AG23:AG26" si="310">+BW23+DM23+FC23</f>
        <v>0</v>
      </c>
      <c r="AH23" s="105">
        <f t="shared" ref="AH23:AH26" si="311">+BX23+DN23+FD23</f>
        <v>0</v>
      </c>
      <c r="AI23" s="105">
        <f t="shared" ref="AI23:AI26" si="312">+BY23+DO23+FE23</f>
        <v>0</v>
      </c>
      <c r="AJ23" s="105">
        <f t="shared" ref="AJ23:AJ26" si="313">+BZ23+DP23+FF23</f>
        <v>0</v>
      </c>
      <c r="AK23" s="105">
        <f t="shared" ref="AK23:AK26" si="314">+CA23+DQ23+FG23</f>
        <v>0</v>
      </c>
      <c r="AL23" s="105">
        <f t="shared" ref="AL23:AL26" si="315">+CB23+DR23+FH23</f>
        <v>0</v>
      </c>
      <c r="AM23" s="105">
        <f t="shared" ref="AM23:AM26" si="316">+CC23+DS23+FI23</f>
        <v>0</v>
      </c>
      <c r="AN23" s="105">
        <f t="shared" ref="AN23:AN26" si="317">+CD23+DT23+FJ23</f>
        <v>0</v>
      </c>
      <c r="AO23" s="105">
        <f t="shared" ref="AO23:AO26" si="318">+SUM(AC23:AN23)</f>
        <v>0</v>
      </c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>
        <f t="shared" ref="BC23:BC26" si="319">+SUM(AQ23:BB23)</f>
        <v>0</v>
      </c>
      <c r="BD23" s="9" t="str">
        <f t="shared" si="47"/>
        <v>No of Cars Sold</v>
      </c>
      <c r="BE23" s="105">
        <f>+'Jan-25'!$E$23</f>
        <v>0</v>
      </c>
      <c r="BF23" s="105">
        <f>+'Feb-25'!$E$23</f>
        <v>0</v>
      </c>
      <c r="BG23" s="105">
        <f>+'Mar-25'!$E$23</f>
        <v>0</v>
      </c>
      <c r="BH23" s="105">
        <f>+'Apr-25'!$E$23</f>
        <v>0</v>
      </c>
      <c r="BI23" s="105">
        <f>+'May-25'!$E$23</f>
        <v>0</v>
      </c>
      <c r="BJ23" s="105">
        <f>+'June-25'!$E$23</f>
        <v>0</v>
      </c>
      <c r="BK23" s="105">
        <f>+'July-25'!$E$23</f>
        <v>0</v>
      </c>
      <c r="BL23" s="105">
        <f>+'Aug-25'!$E$23</f>
        <v>0</v>
      </c>
      <c r="BM23" s="105">
        <f>+'Sep-25'!$E$23</f>
        <v>0</v>
      </c>
      <c r="BN23" s="105">
        <f>+'Oct-25'!$E$23</f>
        <v>0</v>
      </c>
      <c r="BO23" s="105">
        <f>+'Nov-25'!$E$23</f>
        <v>0</v>
      </c>
      <c r="BP23" s="105">
        <f>+'Dec-25'!$E$23</f>
        <v>0</v>
      </c>
      <c r="BQ23" s="105">
        <f>+SUM(BE23:BP23)</f>
        <v>0</v>
      </c>
      <c r="BS23" s="105"/>
      <c r="BT23" s="105"/>
      <c r="BU23" s="105"/>
      <c r="BV23" s="105"/>
      <c r="BW23" s="105"/>
      <c r="BX23" s="105"/>
      <c r="BY23" s="105"/>
      <c r="BZ23" s="105"/>
      <c r="CA23" s="105"/>
      <c r="CB23" s="105"/>
      <c r="CC23" s="105"/>
      <c r="CD23" s="105"/>
      <c r="CE23" s="105">
        <f t="shared" ref="CE23:CE26" si="320">+SUM(BS23:CD23)</f>
        <v>0</v>
      </c>
      <c r="CF23" s="106"/>
      <c r="CG23" s="105"/>
      <c r="CH23" s="105"/>
      <c r="CI23" s="105"/>
      <c r="CJ23" s="105"/>
      <c r="CK23" s="105"/>
      <c r="CL23" s="105"/>
      <c r="CM23" s="105"/>
      <c r="CN23" s="105"/>
      <c r="CO23" s="105"/>
      <c r="CP23" s="105"/>
      <c r="CQ23" s="105"/>
      <c r="CR23" s="105"/>
      <c r="CS23" s="105">
        <f t="shared" ref="CS23:CS26" si="321">+SUM(CG23:CR23)</f>
        <v>0</v>
      </c>
      <c r="CT23" s="9" t="str">
        <f t="shared" si="51"/>
        <v>No of Cars Sold</v>
      </c>
      <c r="CU23" s="105">
        <f>+'Jan-25'!$H$23</f>
        <v>0</v>
      </c>
      <c r="CV23" s="105">
        <f>+'Feb-25'!$H$23</f>
        <v>0</v>
      </c>
      <c r="CW23" s="105">
        <f>+'Mar-25'!$H$23</f>
        <v>0</v>
      </c>
      <c r="CX23" s="105">
        <f>+'Apr-25'!$H$23</f>
        <v>0</v>
      </c>
      <c r="CY23" s="105">
        <f>+'May-25'!$H$23</f>
        <v>0</v>
      </c>
      <c r="CZ23" s="105">
        <f>+'June-25'!$H$23</f>
        <v>0</v>
      </c>
      <c r="DA23" s="105">
        <f>+'July-25'!$H$23</f>
        <v>0</v>
      </c>
      <c r="DB23" s="105">
        <f>+'Aug-25'!$H$23</f>
        <v>0</v>
      </c>
      <c r="DC23" s="105">
        <f>+'Sep-25'!$H$23</f>
        <v>0</v>
      </c>
      <c r="DD23" s="105">
        <f>+'Oct-25'!$H$23</f>
        <v>0</v>
      </c>
      <c r="DE23" s="105">
        <f>+'Nov-25'!$H$23</f>
        <v>0</v>
      </c>
      <c r="DF23" s="105">
        <f>+'Dec-25'!$H$23</f>
        <v>0</v>
      </c>
      <c r="DG23" s="105">
        <f>+SUM(CU23:DF23)</f>
        <v>0</v>
      </c>
      <c r="DI23" s="105"/>
      <c r="DJ23" s="105"/>
      <c r="DK23" s="105"/>
      <c r="DL23" s="105"/>
      <c r="DM23" s="105"/>
      <c r="DN23" s="105"/>
      <c r="DO23" s="105"/>
      <c r="DP23" s="105"/>
      <c r="DQ23" s="105"/>
      <c r="DR23" s="105"/>
      <c r="DS23" s="105"/>
      <c r="DT23" s="105"/>
      <c r="DU23" s="105">
        <f t="shared" ref="DU23:DU26" si="322">+SUM(DI23:DT23)</f>
        <v>0</v>
      </c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105">
        <f t="shared" ref="EI23:EI26" si="323">+SUM(DW23:EH23)</f>
        <v>0</v>
      </c>
      <c r="EJ23" s="9" t="str">
        <f t="shared" si="217"/>
        <v>No of Cars Sold</v>
      </c>
      <c r="EK23" s="27">
        <f>+'Jan-25'!$J$23</f>
        <v>0</v>
      </c>
      <c r="EL23" s="27">
        <f>+'Feb-25'!$J$23</f>
        <v>0</v>
      </c>
      <c r="EM23" s="27">
        <f>+'Mar-25'!$J$23</f>
        <v>0</v>
      </c>
      <c r="EN23" s="27">
        <f>+'Apr-25'!$J$23</f>
        <v>0</v>
      </c>
      <c r="EO23" s="27">
        <f>+'May-25'!$J$23</f>
        <v>0</v>
      </c>
      <c r="EP23" s="27">
        <f>+'June-25'!$J$23</f>
        <v>0</v>
      </c>
      <c r="EQ23" s="27">
        <f>+'July-25'!$J$23</f>
        <v>0</v>
      </c>
      <c r="ER23" s="27">
        <f>+'Aug-25'!$J$23</f>
        <v>0</v>
      </c>
      <c r="ES23" s="27">
        <f>+'Sep-25'!$J$23</f>
        <v>0</v>
      </c>
      <c r="ET23" s="27">
        <f>+'Oct-25'!$J$23</f>
        <v>0</v>
      </c>
      <c r="EU23" s="27">
        <f>+'Nov-25'!$J$23</f>
        <v>0</v>
      </c>
      <c r="EV23" s="27">
        <f>+'Dec-25'!$J$23</f>
        <v>0</v>
      </c>
      <c r="EW23" s="27">
        <f>+SUM(EK23:EV23)</f>
        <v>0</v>
      </c>
      <c r="EX23" s="22"/>
      <c r="EY23" s="105"/>
      <c r="EZ23" s="105"/>
      <c r="FA23" s="105"/>
      <c r="FB23" s="105"/>
      <c r="FC23" s="105"/>
      <c r="FD23" s="105"/>
      <c r="FE23" s="105"/>
      <c r="FF23" s="105"/>
      <c r="FG23" s="105"/>
      <c r="FH23" s="105"/>
      <c r="FI23" s="105"/>
      <c r="FJ23" s="105"/>
      <c r="FK23" s="105">
        <f t="shared" ref="FK23:FK26" si="324">+SUM(EY23:FJ23)</f>
        <v>0</v>
      </c>
    </row>
    <row r="24" spans="1:167" ht="14.45" hidden="1" customHeight="1" outlineLevel="1">
      <c r="A24" s="106">
        <f t="shared" ref="A24:A26" si="325">+AQ24+CG24+DW24</f>
        <v>0</v>
      </c>
      <c r="B24" s="106">
        <f t="shared" si="294"/>
        <v>0</v>
      </c>
      <c r="C24" s="106">
        <f t="shared" si="294"/>
        <v>0</v>
      </c>
      <c r="D24" s="106">
        <f t="shared" si="294"/>
        <v>0</v>
      </c>
      <c r="E24" s="106">
        <f t="shared" si="294"/>
        <v>0</v>
      </c>
      <c r="F24" s="106">
        <f t="shared" si="294"/>
        <v>0</v>
      </c>
      <c r="G24" s="106">
        <f t="shared" si="294"/>
        <v>0</v>
      </c>
      <c r="H24" s="106">
        <f t="shared" si="294"/>
        <v>0</v>
      </c>
      <c r="I24" s="106">
        <f t="shared" si="294"/>
        <v>0</v>
      </c>
      <c r="J24" s="106">
        <f t="shared" si="294"/>
        <v>0</v>
      </c>
      <c r="K24" s="106">
        <f t="shared" si="294"/>
        <v>0</v>
      </c>
      <c r="L24" s="106">
        <f t="shared" si="294"/>
        <v>0</v>
      </c>
      <c r="M24" s="106">
        <f t="shared" si="173"/>
        <v>0</v>
      </c>
      <c r="N24" s="7" t="s">
        <v>21</v>
      </c>
      <c r="O24" s="106">
        <f t="shared" ref="O24:O26" si="326">+BE24+CU24+EK24</f>
        <v>0</v>
      </c>
      <c r="P24" s="106">
        <f t="shared" si="295"/>
        <v>0</v>
      </c>
      <c r="Q24" s="106">
        <f t="shared" si="296"/>
        <v>0</v>
      </c>
      <c r="R24" s="106">
        <f t="shared" si="297"/>
        <v>0</v>
      </c>
      <c r="S24" s="106">
        <f t="shared" si="298"/>
        <v>0</v>
      </c>
      <c r="T24" s="106">
        <f t="shared" si="299"/>
        <v>0</v>
      </c>
      <c r="U24" s="106">
        <f t="shared" si="300"/>
        <v>0</v>
      </c>
      <c r="V24" s="106">
        <f t="shared" si="301"/>
        <v>0</v>
      </c>
      <c r="W24" s="106">
        <f t="shared" si="302"/>
        <v>0</v>
      </c>
      <c r="X24" s="106">
        <f t="shared" si="303"/>
        <v>0</v>
      </c>
      <c r="Y24" s="106">
        <f t="shared" si="304"/>
        <v>0</v>
      </c>
      <c r="Z24" s="106">
        <f t="shared" si="305"/>
        <v>0</v>
      </c>
      <c r="AA24" s="106">
        <f t="shared" si="306"/>
        <v>0</v>
      </c>
      <c r="AC24" s="106">
        <f t="shared" ref="AC24:AC26" si="327">+BS24+DI24+EY24</f>
        <v>0</v>
      </c>
      <c r="AD24" s="106">
        <f t="shared" si="307"/>
        <v>0</v>
      </c>
      <c r="AE24" s="106">
        <f t="shared" si="308"/>
        <v>0</v>
      </c>
      <c r="AF24" s="106">
        <f t="shared" si="309"/>
        <v>0</v>
      </c>
      <c r="AG24" s="106">
        <f t="shared" si="310"/>
        <v>0</v>
      </c>
      <c r="AH24" s="106">
        <f t="shared" si="311"/>
        <v>0</v>
      </c>
      <c r="AI24" s="106">
        <f t="shared" si="312"/>
        <v>0</v>
      </c>
      <c r="AJ24" s="106">
        <f t="shared" si="313"/>
        <v>0</v>
      </c>
      <c r="AK24" s="106">
        <f t="shared" si="314"/>
        <v>0</v>
      </c>
      <c r="AL24" s="106">
        <f t="shared" si="315"/>
        <v>0</v>
      </c>
      <c r="AM24" s="106">
        <f t="shared" si="316"/>
        <v>0</v>
      </c>
      <c r="AN24" s="106">
        <f t="shared" si="317"/>
        <v>0</v>
      </c>
      <c r="AO24" s="106">
        <f t="shared" si="318"/>
        <v>0</v>
      </c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>
        <f t="shared" si="319"/>
        <v>0</v>
      </c>
      <c r="BD24" s="7" t="str">
        <f t="shared" si="47"/>
        <v>Turnover,</v>
      </c>
      <c r="BE24" s="106">
        <f>+VLOOKUP($BD24,'Jan-25'!$A:$J,5,0)</f>
        <v>0</v>
      </c>
      <c r="BF24" s="106">
        <f>+VLOOKUP($BD24,'Feb-25'!$A:$J,5,0)</f>
        <v>0</v>
      </c>
      <c r="BG24" s="106">
        <f>+VLOOKUP($BD24,'Mar-25'!$A:$J,5,0)</f>
        <v>0</v>
      </c>
      <c r="BH24" s="106">
        <f>+VLOOKUP($BD24,'Apr-25'!$A:$J,5,0)</f>
        <v>0</v>
      </c>
      <c r="BI24" s="106">
        <f>+VLOOKUP($BD24,'May-25'!$A:$J,5,0)</f>
        <v>0</v>
      </c>
      <c r="BJ24" s="106">
        <f>+VLOOKUP($BD24,'June-25'!$A:$J,5,0)</f>
        <v>0</v>
      </c>
      <c r="BK24" s="106">
        <f>+VLOOKUP($BD24,'July-25'!$A:$J,5,0)</f>
        <v>0</v>
      </c>
      <c r="BL24" s="106">
        <f>+VLOOKUP($BD24,'Aug-25'!$A:$J,5,0)</f>
        <v>0</v>
      </c>
      <c r="BM24" s="106">
        <f>+VLOOKUP($BD24,'Sep-25'!$A:$J,5,0)</f>
        <v>0</v>
      </c>
      <c r="BN24" s="106">
        <f>+VLOOKUP($BD24,'Oct-25'!$A:$J,5,0)</f>
        <v>0</v>
      </c>
      <c r="BO24" s="106">
        <f>+VLOOKUP($BD24,'Nov-25'!$A:$J,5,0)</f>
        <v>0</v>
      </c>
      <c r="BP24" s="106">
        <f>+VLOOKUP($BD24,'Dec-25'!$A:$J,5,0)</f>
        <v>0</v>
      </c>
      <c r="BQ24" s="106">
        <f t="shared" ref="BQ24:BQ26" si="328">+SUM(BE24:BP24)</f>
        <v>0</v>
      </c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>
        <f t="shared" si="320"/>
        <v>0</v>
      </c>
      <c r="CF24" s="106"/>
      <c r="CG24" s="106"/>
      <c r="CH24" s="106"/>
      <c r="CI24" s="106"/>
      <c r="CJ24" s="106"/>
      <c r="CK24" s="106"/>
      <c r="CL24" s="106"/>
      <c r="CM24" s="106"/>
      <c r="CN24" s="106"/>
      <c r="CO24" s="106"/>
      <c r="CP24" s="106"/>
      <c r="CQ24" s="106"/>
      <c r="CR24" s="106"/>
      <c r="CS24" s="106">
        <f t="shared" si="321"/>
        <v>0</v>
      </c>
      <c r="CT24" s="7" t="str">
        <f t="shared" si="51"/>
        <v>Turnover,</v>
      </c>
      <c r="CU24" s="106">
        <f>+VLOOKUP($BD24,'Jan-25'!$A:$J,8,0)</f>
        <v>0</v>
      </c>
      <c r="CV24" s="106">
        <f>+VLOOKUP($BD24,'Feb-25'!$A:$J,8,0)</f>
        <v>0</v>
      </c>
      <c r="CW24" s="106">
        <f>+VLOOKUP($BD24,'Mar-25'!$A:$J,8,0)</f>
        <v>0</v>
      </c>
      <c r="CX24" s="106">
        <f>+VLOOKUP($BD24,'Apr-25'!$A:$J,8,0)</f>
        <v>0</v>
      </c>
      <c r="CY24" s="106">
        <f>+VLOOKUP($BD24,'May-25'!$A:$J,8,0)</f>
        <v>0</v>
      </c>
      <c r="CZ24" s="106">
        <f>+VLOOKUP($BD24,'June-25'!$A:$J,8,0)</f>
        <v>0</v>
      </c>
      <c r="DA24" s="106">
        <f>+VLOOKUP($BD24,'July-25'!$A:$J,8,0)</f>
        <v>0</v>
      </c>
      <c r="DB24" s="106">
        <f>+VLOOKUP($BD24,'Aug-25'!$A:$J,8,0)</f>
        <v>0</v>
      </c>
      <c r="DC24" s="106">
        <f>+VLOOKUP($BD24,'Sep-25'!$A:$J,8,0)</f>
        <v>0</v>
      </c>
      <c r="DD24" s="106">
        <f>+VLOOKUP($BD24,'Oct-25'!$A:$J,8,0)</f>
        <v>0</v>
      </c>
      <c r="DE24" s="106">
        <f>+VLOOKUP($BD24,'Nov-25'!$A:$J,8,0)</f>
        <v>0</v>
      </c>
      <c r="DF24" s="106">
        <f>+VLOOKUP($BD24,'Dec-25'!$A:$J,8,0)</f>
        <v>0</v>
      </c>
      <c r="DG24" s="106">
        <f t="shared" ref="DG24:DG26" si="329">+SUM(CU24:DF24)</f>
        <v>0</v>
      </c>
      <c r="DI24" s="106"/>
      <c r="DJ24" s="106"/>
      <c r="DK24" s="106"/>
      <c r="DL24" s="106"/>
      <c r="DM24" s="106"/>
      <c r="DN24" s="106"/>
      <c r="DO24" s="106"/>
      <c r="DP24" s="106"/>
      <c r="DQ24" s="106"/>
      <c r="DR24" s="106"/>
      <c r="DS24" s="106"/>
      <c r="DT24" s="106"/>
      <c r="DU24" s="106">
        <f t="shared" si="322"/>
        <v>0</v>
      </c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106">
        <f t="shared" si="323"/>
        <v>0</v>
      </c>
      <c r="EJ24" s="7" t="str">
        <f t="shared" si="217"/>
        <v>Turnover,</v>
      </c>
      <c r="EK24" s="22">
        <f>+VLOOKUP($BD24,'Jan-25'!$A:$J,10,0)</f>
        <v>0</v>
      </c>
      <c r="EL24" s="22">
        <f>+VLOOKUP($BD24,'Feb-25'!$A:$J,10,0)</f>
        <v>0</v>
      </c>
      <c r="EM24" s="22">
        <f>+VLOOKUP($BD24,'Mar-25'!$A:$J,10,0)</f>
        <v>0</v>
      </c>
      <c r="EN24" s="22">
        <f>+VLOOKUP($BD24,'Apr-25'!$A:$J,10,0)</f>
        <v>0</v>
      </c>
      <c r="EO24" s="22">
        <f>+VLOOKUP($BD24,'May-25'!$A:$J,10,0)</f>
        <v>0</v>
      </c>
      <c r="EP24" s="22">
        <f>+VLOOKUP($BD24,'June-25'!$A:$J,10,0)</f>
        <v>0</v>
      </c>
      <c r="EQ24" s="22">
        <f>+VLOOKUP($BD24,'July-25'!$A:$J,10,0)</f>
        <v>0</v>
      </c>
      <c r="ER24" s="22">
        <f>+VLOOKUP($BD24,'Aug-25'!$A:$J,10,0)</f>
        <v>0</v>
      </c>
      <c r="ES24" s="22">
        <f>+VLOOKUP($BD24,'Sep-25'!$A:$J,10,0)</f>
        <v>0</v>
      </c>
      <c r="ET24" s="22">
        <f>+VLOOKUP($BD24,'Oct-25'!$A:$J,10,0)</f>
        <v>0</v>
      </c>
      <c r="EU24" s="22">
        <f>+VLOOKUP($BD24,'Nov-25'!$A:$J,10,0)</f>
        <v>0</v>
      </c>
      <c r="EV24" s="22">
        <f>+VLOOKUP($BD24,'Dec-25'!$A:$J,10,0)</f>
        <v>0</v>
      </c>
      <c r="EW24" s="22">
        <f t="shared" ref="EW24:EW26" si="330">+SUM(EK24:EV24)</f>
        <v>0</v>
      </c>
      <c r="EX24" s="22"/>
      <c r="EY24" s="106"/>
      <c r="EZ24" s="106"/>
      <c r="FA24" s="106"/>
      <c r="FB24" s="106"/>
      <c r="FC24" s="106"/>
      <c r="FD24" s="106"/>
      <c r="FE24" s="106"/>
      <c r="FF24" s="106"/>
      <c r="FG24" s="106"/>
      <c r="FH24" s="106"/>
      <c r="FI24" s="106"/>
      <c r="FJ24" s="106"/>
      <c r="FK24" s="106">
        <f t="shared" si="324"/>
        <v>0</v>
      </c>
    </row>
    <row r="25" spans="1:167" ht="14.45" hidden="1" customHeight="1" outlineLevel="1">
      <c r="A25" s="106">
        <f t="shared" si="325"/>
        <v>0</v>
      </c>
      <c r="B25" s="106">
        <f t="shared" si="294"/>
        <v>0</v>
      </c>
      <c r="C25" s="106">
        <f t="shared" si="294"/>
        <v>0</v>
      </c>
      <c r="D25" s="106">
        <f t="shared" si="294"/>
        <v>0</v>
      </c>
      <c r="E25" s="106">
        <f t="shared" si="294"/>
        <v>0</v>
      </c>
      <c r="F25" s="106">
        <f t="shared" si="294"/>
        <v>0</v>
      </c>
      <c r="G25" s="106">
        <f t="shared" si="294"/>
        <v>0</v>
      </c>
      <c r="H25" s="106">
        <f t="shared" si="294"/>
        <v>0</v>
      </c>
      <c r="I25" s="106">
        <f t="shared" si="294"/>
        <v>0</v>
      </c>
      <c r="J25" s="106">
        <f t="shared" si="294"/>
        <v>0</v>
      </c>
      <c r="K25" s="106">
        <f t="shared" si="294"/>
        <v>0</v>
      </c>
      <c r="L25" s="106">
        <f t="shared" si="294"/>
        <v>0</v>
      </c>
      <c r="M25" s="106">
        <f t="shared" si="173"/>
        <v>0</v>
      </c>
      <c r="N25" s="7" t="s">
        <v>22</v>
      </c>
      <c r="O25" s="106">
        <f t="shared" si="326"/>
        <v>0</v>
      </c>
      <c r="P25" s="106">
        <f t="shared" si="295"/>
        <v>0</v>
      </c>
      <c r="Q25" s="106">
        <f t="shared" si="296"/>
        <v>0</v>
      </c>
      <c r="R25" s="106">
        <f t="shared" si="297"/>
        <v>0</v>
      </c>
      <c r="S25" s="106">
        <f t="shared" si="298"/>
        <v>0</v>
      </c>
      <c r="T25" s="106">
        <f t="shared" si="299"/>
        <v>0</v>
      </c>
      <c r="U25" s="106">
        <f t="shared" si="300"/>
        <v>0</v>
      </c>
      <c r="V25" s="106">
        <f t="shared" si="301"/>
        <v>0</v>
      </c>
      <c r="W25" s="106">
        <f t="shared" si="302"/>
        <v>0</v>
      </c>
      <c r="X25" s="106">
        <f t="shared" si="303"/>
        <v>0</v>
      </c>
      <c r="Y25" s="106">
        <f t="shared" si="304"/>
        <v>0</v>
      </c>
      <c r="Z25" s="106">
        <f t="shared" si="305"/>
        <v>0</v>
      </c>
      <c r="AA25" s="106">
        <f t="shared" si="306"/>
        <v>0</v>
      </c>
      <c r="AC25" s="106">
        <f t="shared" si="327"/>
        <v>0</v>
      </c>
      <c r="AD25" s="106">
        <f t="shared" si="307"/>
        <v>0</v>
      </c>
      <c r="AE25" s="106">
        <f t="shared" si="308"/>
        <v>0</v>
      </c>
      <c r="AF25" s="106">
        <f t="shared" si="309"/>
        <v>0</v>
      </c>
      <c r="AG25" s="106">
        <f t="shared" si="310"/>
        <v>0</v>
      </c>
      <c r="AH25" s="106">
        <f t="shared" si="311"/>
        <v>0</v>
      </c>
      <c r="AI25" s="106">
        <f t="shared" si="312"/>
        <v>0</v>
      </c>
      <c r="AJ25" s="106">
        <f t="shared" si="313"/>
        <v>0</v>
      </c>
      <c r="AK25" s="106">
        <f t="shared" si="314"/>
        <v>0</v>
      </c>
      <c r="AL25" s="106">
        <f t="shared" si="315"/>
        <v>0</v>
      </c>
      <c r="AM25" s="106">
        <f t="shared" si="316"/>
        <v>0</v>
      </c>
      <c r="AN25" s="106">
        <f t="shared" si="317"/>
        <v>0</v>
      </c>
      <c r="AO25" s="106">
        <f t="shared" si="318"/>
        <v>0</v>
      </c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>
        <f t="shared" si="319"/>
        <v>0</v>
      </c>
      <c r="BD25" s="7" t="str">
        <f t="shared" si="47"/>
        <v>Cost of goods sold - Exchange</v>
      </c>
      <c r="BE25" s="106">
        <f>+VLOOKUP($BD25,'Jan-25'!$A:$J,5,0)</f>
        <v>0</v>
      </c>
      <c r="BF25" s="106">
        <f>+VLOOKUP($BD25,'Feb-25'!$A:$J,5,0)</f>
        <v>0</v>
      </c>
      <c r="BG25" s="106">
        <f>+VLOOKUP($BD25,'Mar-25'!$A:$J,5,0)</f>
        <v>0</v>
      </c>
      <c r="BH25" s="106">
        <f>+VLOOKUP($BD25,'Apr-25'!$A:$J,5,0)</f>
        <v>0</v>
      </c>
      <c r="BI25" s="106">
        <f>+VLOOKUP($BD25,'May-25'!$A:$J,5,0)</f>
        <v>0</v>
      </c>
      <c r="BJ25" s="106">
        <f>+VLOOKUP($BD25,'June-25'!$A:$J,5,0)</f>
        <v>0</v>
      </c>
      <c r="BK25" s="106">
        <f>+VLOOKUP($BD25,'July-25'!$A:$J,5,0)</f>
        <v>0</v>
      </c>
      <c r="BL25" s="106">
        <f>+VLOOKUP($BD25,'Aug-25'!$A:$J,5,0)</f>
        <v>0</v>
      </c>
      <c r="BM25" s="106">
        <f>+VLOOKUP($BD25,'Sep-25'!$A:$J,5,0)</f>
        <v>0</v>
      </c>
      <c r="BN25" s="106">
        <f>+VLOOKUP($BD25,'Oct-25'!$A:$J,5,0)</f>
        <v>0</v>
      </c>
      <c r="BO25" s="106">
        <f>+VLOOKUP($BD25,'Nov-25'!$A:$J,5,0)</f>
        <v>0</v>
      </c>
      <c r="BP25" s="106">
        <f>+VLOOKUP($BD25,'Dec-25'!$A:$J,5,0)</f>
        <v>0</v>
      </c>
      <c r="BQ25" s="106">
        <f t="shared" si="328"/>
        <v>0</v>
      </c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>
        <f t="shared" si="320"/>
        <v>0</v>
      </c>
      <c r="CF25" s="106"/>
      <c r="CG25" s="106"/>
      <c r="CH25" s="106"/>
      <c r="CI25" s="106"/>
      <c r="CJ25" s="106"/>
      <c r="CK25" s="106"/>
      <c r="CL25" s="106"/>
      <c r="CM25" s="106"/>
      <c r="CN25" s="106"/>
      <c r="CO25" s="106"/>
      <c r="CP25" s="106"/>
      <c r="CQ25" s="106"/>
      <c r="CR25" s="106"/>
      <c r="CS25" s="106">
        <f t="shared" si="321"/>
        <v>0</v>
      </c>
      <c r="CT25" s="7" t="str">
        <f t="shared" si="51"/>
        <v>Cost of goods sold - Exchange</v>
      </c>
      <c r="CU25" s="106">
        <f>+VLOOKUP($BD25,'Jan-25'!$A:$J,8,0)</f>
        <v>0</v>
      </c>
      <c r="CV25" s="106">
        <f>+VLOOKUP($BD25,'Feb-25'!$A:$J,8,0)</f>
        <v>0</v>
      </c>
      <c r="CW25" s="106">
        <f>+VLOOKUP($BD25,'Mar-25'!$A:$J,8,0)</f>
        <v>0</v>
      </c>
      <c r="CX25" s="106">
        <f>+VLOOKUP($BD25,'Apr-25'!$A:$J,8,0)</f>
        <v>0</v>
      </c>
      <c r="CY25" s="106">
        <f>+VLOOKUP($BD25,'May-25'!$A:$J,8,0)</f>
        <v>0</v>
      </c>
      <c r="CZ25" s="106">
        <f>+VLOOKUP($BD25,'June-25'!$A:$J,8,0)</f>
        <v>0</v>
      </c>
      <c r="DA25" s="106">
        <f>+VLOOKUP($BD25,'July-25'!$A:$J,8,0)</f>
        <v>0</v>
      </c>
      <c r="DB25" s="106">
        <f>+VLOOKUP($BD25,'Aug-25'!$A:$J,8,0)</f>
        <v>0</v>
      </c>
      <c r="DC25" s="106">
        <f>+VLOOKUP($BD25,'Sep-25'!$A:$J,8,0)</f>
        <v>0</v>
      </c>
      <c r="DD25" s="106">
        <f>+VLOOKUP($BD25,'Oct-25'!$A:$J,8,0)</f>
        <v>0</v>
      </c>
      <c r="DE25" s="106">
        <f>+VLOOKUP($BD25,'Nov-25'!$A:$J,8,0)</f>
        <v>0</v>
      </c>
      <c r="DF25" s="106">
        <f>+VLOOKUP($BD25,'Dec-25'!$A:$J,8,0)</f>
        <v>0</v>
      </c>
      <c r="DG25" s="106">
        <f t="shared" si="329"/>
        <v>0</v>
      </c>
      <c r="DI25" s="106"/>
      <c r="DJ25" s="106"/>
      <c r="DK25" s="106"/>
      <c r="DL25" s="106"/>
      <c r="DM25" s="106"/>
      <c r="DN25" s="106"/>
      <c r="DO25" s="106"/>
      <c r="DP25" s="106"/>
      <c r="DQ25" s="106"/>
      <c r="DR25" s="106"/>
      <c r="DS25" s="106"/>
      <c r="DT25" s="106"/>
      <c r="DU25" s="106">
        <f t="shared" si="322"/>
        <v>0</v>
      </c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106">
        <f t="shared" si="323"/>
        <v>0</v>
      </c>
      <c r="EJ25" s="7" t="str">
        <f t="shared" si="217"/>
        <v>Cost of goods sold - Exchange</v>
      </c>
      <c r="EK25" s="22">
        <f>+VLOOKUP($BD25,'Jan-25'!$A:$J,10,0)</f>
        <v>0</v>
      </c>
      <c r="EL25" s="22">
        <f>+VLOOKUP($BD25,'Feb-25'!$A:$J,10,0)</f>
        <v>0</v>
      </c>
      <c r="EM25" s="22">
        <f>+VLOOKUP($BD25,'Mar-25'!$A:$J,10,0)</f>
        <v>0</v>
      </c>
      <c r="EN25" s="22">
        <f>+VLOOKUP($BD25,'Apr-25'!$A:$J,10,0)</f>
        <v>0</v>
      </c>
      <c r="EO25" s="22">
        <f>+VLOOKUP($BD25,'May-25'!$A:$J,10,0)</f>
        <v>0</v>
      </c>
      <c r="EP25" s="22">
        <f>+VLOOKUP($BD25,'June-25'!$A:$J,10,0)</f>
        <v>0</v>
      </c>
      <c r="EQ25" s="22">
        <f>+VLOOKUP($BD25,'July-25'!$A:$J,10,0)</f>
        <v>0</v>
      </c>
      <c r="ER25" s="22">
        <f>+VLOOKUP($BD25,'Aug-25'!$A:$J,10,0)</f>
        <v>0</v>
      </c>
      <c r="ES25" s="22">
        <f>+VLOOKUP($BD25,'Sep-25'!$A:$J,10,0)</f>
        <v>0</v>
      </c>
      <c r="ET25" s="22">
        <f>+VLOOKUP($BD25,'Oct-25'!$A:$J,10,0)</f>
        <v>0</v>
      </c>
      <c r="EU25" s="22">
        <f>+VLOOKUP($BD25,'Nov-25'!$A:$J,10,0)</f>
        <v>0</v>
      </c>
      <c r="EV25" s="22">
        <f>+VLOOKUP($BD25,'Dec-25'!$A:$J,10,0)</f>
        <v>0</v>
      </c>
      <c r="EW25" s="22">
        <f t="shared" si="330"/>
        <v>0</v>
      </c>
      <c r="EX25" s="22"/>
      <c r="EY25" s="106"/>
      <c r="EZ25" s="106"/>
      <c r="FA25" s="106"/>
      <c r="FB25" s="106"/>
      <c r="FC25" s="106"/>
      <c r="FD25" s="106"/>
      <c r="FE25" s="106"/>
      <c r="FF25" s="106"/>
      <c r="FG25" s="106"/>
      <c r="FH25" s="106"/>
      <c r="FI25" s="106"/>
      <c r="FJ25" s="106"/>
      <c r="FK25" s="106">
        <f t="shared" si="324"/>
        <v>0</v>
      </c>
    </row>
    <row r="26" spans="1:167" ht="14.45" hidden="1" customHeight="1" outlineLevel="1">
      <c r="A26" s="106">
        <f t="shared" si="325"/>
        <v>0</v>
      </c>
      <c r="B26" s="106">
        <f t="shared" si="294"/>
        <v>0</v>
      </c>
      <c r="C26" s="106">
        <f t="shared" si="294"/>
        <v>0</v>
      </c>
      <c r="D26" s="106">
        <f t="shared" si="294"/>
        <v>0</v>
      </c>
      <c r="E26" s="106">
        <f t="shared" si="294"/>
        <v>0</v>
      </c>
      <c r="F26" s="106">
        <f t="shared" si="294"/>
        <v>0</v>
      </c>
      <c r="G26" s="106">
        <f t="shared" si="294"/>
        <v>0</v>
      </c>
      <c r="H26" s="106">
        <f t="shared" si="294"/>
        <v>0</v>
      </c>
      <c r="I26" s="106">
        <f t="shared" si="294"/>
        <v>0</v>
      </c>
      <c r="J26" s="106">
        <f t="shared" si="294"/>
        <v>0</v>
      </c>
      <c r="K26" s="106">
        <f t="shared" si="294"/>
        <v>0</v>
      </c>
      <c r="L26" s="106">
        <f t="shared" si="294"/>
        <v>0</v>
      </c>
      <c r="M26" s="106">
        <f t="shared" si="173"/>
        <v>0</v>
      </c>
      <c r="N26" s="7" t="s">
        <v>23</v>
      </c>
      <c r="O26" s="106">
        <f t="shared" si="326"/>
        <v>0</v>
      </c>
      <c r="P26" s="106">
        <f t="shared" si="295"/>
        <v>0</v>
      </c>
      <c r="Q26" s="106">
        <f t="shared" si="296"/>
        <v>0</v>
      </c>
      <c r="R26" s="106">
        <f t="shared" si="297"/>
        <v>0</v>
      </c>
      <c r="S26" s="106">
        <f t="shared" si="298"/>
        <v>0</v>
      </c>
      <c r="T26" s="106">
        <f t="shared" si="299"/>
        <v>0</v>
      </c>
      <c r="U26" s="106">
        <f t="shared" si="300"/>
        <v>0</v>
      </c>
      <c r="V26" s="106">
        <f t="shared" si="301"/>
        <v>0</v>
      </c>
      <c r="W26" s="106">
        <f t="shared" si="302"/>
        <v>0</v>
      </c>
      <c r="X26" s="106">
        <f t="shared" si="303"/>
        <v>0</v>
      </c>
      <c r="Y26" s="106">
        <f t="shared" si="304"/>
        <v>0</v>
      </c>
      <c r="Z26" s="106">
        <f t="shared" si="305"/>
        <v>0</v>
      </c>
      <c r="AA26" s="106">
        <f t="shared" si="306"/>
        <v>0</v>
      </c>
      <c r="AC26" s="106">
        <f t="shared" si="327"/>
        <v>0</v>
      </c>
      <c r="AD26" s="106">
        <f t="shared" si="307"/>
        <v>0</v>
      </c>
      <c r="AE26" s="106">
        <f t="shared" si="308"/>
        <v>0</v>
      </c>
      <c r="AF26" s="106">
        <f t="shared" si="309"/>
        <v>0</v>
      </c>
      <c r="AG26" s="106">
        <f t="shared" si="310"/>
        <v>0</v>
      </c>
      <c r="AH26" s="106">
        <f t="shared" si="311"/>
        <v>0</v>
      </c>
      <c r="AI26" s="106">
        <f t="shared" si="312"/>
        <v>0</v>
      </c>
      <c r="AJ26" s="106">
        <f t="shared" si="313"/>
        <v>0</v>
      </c>
      <c r="AK26" s="106">
        <f t="shared" si="314"/>
        <v>0</v>
      </c>
      <c r="AL26" s="106">
        <f t="shared" si="315"/>
        <v>0</v>
      </c>
      <c r="AM26" s="106">
        <f t="shared" si="316"/>
        <v>0</v>
      </c>
      <c r="AN26" s="106">
        <f t="shared" si="317"/>
        <v>0</v>
      </c>
      <c r="AO26" s="106">
        <f t="shared" si="318"/>
        <v>0</v>
      </c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>
        <f t="shared" si="319"/>
        <v>0</v>
      </c>
      <c r="BD26" s="7" t="str">
        <f t="shared" si="47"/>
        <v>Refurbishment expenses</v>
      </c>
      <c r="BE26" s="106">
        <f>+VLOOKUP($BD26,'Jan-25'!$A:$J,5,0)</f>
        <v>0</v>
      </c>
      <c r="BF26" s="106">
        <f>+VLOOKUP($BD26,'Feb-25'!$A:$J,5,0)</f>
        <v>0</v>
      </c>
      <c r="BG26" s="106">
        <f>+VLOOKUP($BD26,'Mar-25'!$A:$J,5,0)</f>
        <v>0</v>
      </c>
      <c r="BH26" s="106">
        <f>+VLOOKUP($BD26,'Apr-25'!$A:$J,5,0)</f>
        <v>0</v>
      </c>
      <c r="BI26" s="106">
        <f>+VLOOKUP($BD26,'May-25'!$A:$J,5,0)</f>
        <v>0</v>
      </c>
      <c r="BJ26" s="106">
        <f>+VLOOKUP($BD26,'June-25'!$A:$J,5,0)</f>
        <v>0</v>
      </c>
      <c r="BK26" s="106">
        <f>+VLOOKUP($BD26,'July-25'!$A:$J,5,0)</f>
        <v>0</v>
      </c>
      <c r="BL26" s="106">
        <f>+VLOOKUP($BD26,'Aug-25'!$A:$J,5,0)</f>
        <v>0</v>
      </c>
      <c r="BM26" s="106">
        <f>+VLOOKUP($BD26,'Sep-25'!$A:$J,5,0)</f>
        <v>0</v>
      </c>
      <c r="BN26" s="106">
        <f>+VLOOKUP($BD26,'Oct-25'!$A:$J,5,0)</f>
        <v>0</v>
      </c>
      <c r="BO26" s="106">
        <f>+VLOOKUP($BD26,'Nov-25'!$A:$J,5,0)</f>
        <v>0</v>
      </c>
      <c r="BP26" s="106">
        <f>+VLOOKUP($BD26,'Dec-25'!$A:$J,5,0)</f>
        <v>0</v>
      </c>
      <c r="BQ26" s="106">
        <f t="shared" si="328"/>
        <v>0</v>
      </c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>
        <f t="shared" si="320"/>
        <v>0</v>
      </c>
      <c r="CF26" s="106"/>
      <c r="CG26" s="106"/>
      <c r="CH26" s="106"/>
      <c r="CI26" s="106"/>
      <c r="CJ26" s="106"/>
      <c r="CK26" s="106"/>
      <c r="CL26" s="106"/>
      <c r="CM26" s="106"/>
      <c r="CN26" s="106"/>
      <c r="CO26" s="106"/>
      <c r="CP26" s="106"/>
      <c r="CQ26" s="106"/>
      <c r="CR26" s="106"/>
      <c r="CS26" s="106">
        <f t="shared" si="321"/>
        <v>0</v>
      </c>
      <c r="CT26" s="7" t="str">
        <f t="shared" si="51"/>
        <v>Refurbishment expenses</v>
      </c>
      <c r="CU26" s="106">
        <f>+VLOOKUP($BD26,'Jan-25'!$A:$J,8,0)</f>
        <v>0</v>
      </c>
      <c r="CV26" s="106">
        <f>+VLOOKUP($BD26,'Feb-25'!$A:$J,8,0)</f>
        <v>0</v>
      </c>
      <c r="CW26" s="106">
        <f>+VLOOKUP($BD26,'Mar-25'!$A:$J,8,0)</f>
        <v>0</v>
      </c>
      <c r="CX26" s="106">
        <f>+VLOOKUP($BD26,'Apr-25'!$A:$J,8,0)</f>
        <v>0</v>
      </c>
      <c r="CY26" s="106">
        <f>+VLOOKUP($BD26,'May-25'!$A:$J,8,0)</f>
        <v>0</v>
      </c>
      <c r="CZ26" s="106">
        <f>+VLOOKUP($BD26,'June-25'!$A:$J,8,0)</f>
        <v>0</v>
      </c>
      <c r="DA26" s="106">
        <f>+VLOOKUP($BD26,'July-25'!$A:$J,8,0)</f>
        <v>0</v>
      </c>
      <c r="DB26" s="106">
        <f>+VLOOKUP($BD26,'Aug-25'!$A:$J,8,0)</f>
        <v>0</v>
      </c>
      <c r="DC26" s="106">
        <f>+VLOOKUP($BD26,'Sep-25'!$A:$J,8,0)</f>
        <v>0</v>
      </c>
      <c r="DD26" s="106">
        <f>+VLOOKUP($BD26,'Oct-25'!$A:$J,8,0)</f>
        <v>0</v>
      </c>
      <c r="DE26" s="106">
        <f>+VLOOKUP($BD26,'Nov-25'!$A:$J,8,0)</f>
        <v>0</v>
      </c>
      <c r="DF26" s="106">
        <f>+VLOOKUP($BD26,'Dec-25'!$A:$J,8,0)</f>
        <v>0</v>
      </c>
      <c r="DG26" s="106">
        <f t="shared" si="329"/>
        <v>0</v>
      </c>
      <c r="DI26" s="106"/>
      <c r="DJ26" s="106"/>
      <c r="DK26" s="106"/>
      <c r="DL26" s="106"/>
      <c r="DM26" s="106"/>
      <c r="DN26" s="106"/>
      <c r="DO26" s="106"/>
      <c r="DP26" s="106"/>
      <c r="DQ26" s="106"/>
      <c r="DR26" s="106"/>
      <c r="DS26" s="106"/>
      <c r="DT26" s="106"/>
      <c r="DU26" s="106">
        <f t="shared" si="322"/>
        <v>0</v>
      </c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106">
        <f t="shared" si="323"/>
        <v>0</v>
      </c>
      <c r="EJ26" s="7" t="str">
        <f t="shared" si="217"/>
        <v>Refurbishment expenses</v>
      </c>
      <c r="EK26" s="22">
        <f>+VLOOKUP($BD26,'Jan-25'!$A:$J,10,0)</f>
        <v>0</v>
      </c>
      <c r="EL26" s="22">
        <f>+VLOOKUP($BD26,'Feb-25'!$A:$J,10,0)</f>
        <v>0</v>
      </c>
      <c r="EM26" s="22">
        <f>+VLOOKUP($BD26,'Mar-25'!$A:$J,10,0)</f>
        <v>0</v>
      </c>
      <c r="EN26" s="22">
        <f>+VLOOKUP($BD26,'Apr-25'!$A:$J,10,0)</f>
        <v>0</v>
      </c>
      <c r="EO26" s="22">
        <f>+VLOOKUP($BD26,'May-25'!$A:$J,10,0)</f>
        <v>0</v>
      </c>
      <c r="EP26" s="22">
        <f>+VLOOKUP($BD26,'June-25'!$A:$J,10,0)</f>
        <v>0</v>
      </c>
      <c r="EQ26" s="22">
        <f>+VLOOKUP($BD26,'July-25'!$A:$J,10,0)</f>
        <v>0</v>
      </c>
      <c r="ER26" s="22">
        <f>+VLOOKUP($BD26,'Aug-25'!$A:$J,10,0)</f>
        <v>0</v>
      </c>
      <c r="ES26" s="22">
        <f>+VLOOKUP($BD26,'Sep-25'!$A:$J,10,0)</f>
        <v>0</v>
      </c>
      <c r="ET26" s="22">
        <f>+VLOOKUP($BD26,'Oct-25'!$A:$J,10,0)</f>
        <v>0</v>
      </c>
      <c r="EU26" s="22">
        <f>+VLOOKUP($BD26,'Nov-25'!$A:$J,10,0)</f>
        <v>0</v>
      </c>
      <c r="EV26" s="22">
        <f>+VLOOKUP($BD26,'Dec-25'!$A:$J,10,0)</f>
        <v>0</v>
      </c>
      <c r="EW26" s="22">
        <f t="shared" si="330"/>
        <v>0</v>
      </c>
      <c r="EX26" s="22"/>
      <c r="EY26" s="106"/>
      <c r="EZ26" s="106"/>
      <c r="FA26" s="106"/>
      <c r="FB26" s="106"/>
      <c r="FC26" s="106"/>
      <c r="FD26" s="106"/>
      <c r="FE26" s="106"/>
      <c r="FF26" s="106"/>
      <c r="FG26" s="106"/>
      <c r="FH26" s="106"/>
      <c r="FI26" s="106"/>
      <c r="FJ26" s="106"/>
      <c r="FK26" s="106">
        <f t="shared" si="324"/>
        <v>0</v>
      </c>
    </row>
    <row r="27" spans="1:167" ht="14.45" hidden="1" customHeight="1" outlineLevel="1">
      <c r="A27" s="58">
        <f>+A24-A25-A26</f>
        <v>0</v>
      </c>
      <c r="B27" s="58">
        <f t="shared" ref="B27:L27" si="331">+B24-B25-B26</f>
        <v>0</v>
      </c>
      <c r="C27" s="58">
        <f t="shared" si="331"/>
        <v>0</v>
      </c>
      <c r="D27" s="58">
        <f t="shared" si="331"/>
        <v>0</v>
      </c>
      <c r="E27" s="58">
        <f t="shared" si="331"/>
        <v>0</v>
      </c>
      <c r="F27" s="58">
        <f t="shared" si="331"/>
        <v>0</v>
      </c>
      <c r="G27" s="58">
        <f t="shared" si="331"/>
        <v>0</v>
      </c>
      <c r="H27" s="58">
        <f t="shared" si="331"/>
        <v>0</v>
      </c>
      <c r="I27" s="58">
        <f t="shared" si="331"/>
        <v>0</v>
      </c>
      <c r="J27" s="58">
        <f t="shared" si="331"/>
        <v>0</v>
      </c>
      <c r="K27" s="58">
        <f t="shared" si="331"/>
        <v>0</v>
      </c>
      <c r="L27" s="58">
        <f t="shared" si="331"/>
        <v>0</v>
      </c>
      <c r="M27" s="58">
        <f>+M24-M25-M26</f>
        <v>0</v>
      </c>
      <c r="N27" s="10" t="s">
        <v>20</v>
      </c>
      <c r="O27" s="58">
        <f>+O24-O25-O26</f>
        <v>0</v>
      </c>
      <c r="P27" s="58">
        <f t="shared" ref="P27" si="332">+P24-P25-P26</f>
        <v>0</v>
      </c>
      <c r="Q27" s="58">
        <f t="shared" ref="Q27" si="333">+Q24-Q25-Q26</f>
        <v>0</v>
      </c>
      <c r="R27" s="58">
        <f t="shared" ref="R27" si="334">+R24-R25-R26</f>
        <v>0</v>
      </c>
      <c r="S27" s="58">
        <f t="shared" ref="S27" si="335">+S24-S25-S26</f>
        <v>0</v>
      </c>
      <c r="T27" s="58">
        <f t="shared" ref="T27" si="336">+T24-T25-T26</f>
        <v>0</v>
      </c>
      <c r="U27" s="58">
        <f t="shared" ref="U27" si="337">+U24-U25-U26</f>
        <v>0</v>
      </c>
      <c r="V27" s="58">
        <f t="shared" ref="V27" si="338">+V24-V25-V26</f>
        <v>0</v>
      </c>
      <c r="W27" s="58">
        <f t="shared" ref="W27" si="339">+W24-W25-W26</f>
        <v>0</v>
      </c>
      <c r="X27" s="58">
        <f t="shared" ref="X27" si="340">+X24-X25-X26</f>
        <v>0</v>
      </c>
      <c r="Y27" s="58">
        <f t="shared" ref="Y27" si="341">+Y24-Y25-Y26</f>
        <v>0</v>
      </c>
      <c r="Z27" s="58">
        <f t="shared" ref="Z27" si="342">+Z24-Z25-Z26</f>
        <v>0</v>
      </c>
      <c r="AA27" s="58">
        <f>+AA24-AA25-AA26</f>
        <v>0</v>
      </c>
      <c r="AC27" s="58">
        <f>+AC24-AC25-AC26</f>
        <v>0</v>
      </c>
      <c r="AD27" s="58">
        <f t="shared" ref="AD27" si="343">+AD24-AD25-AD26</f>
        <v>0</v>
      </c>
      <c r="AE27" s="58">
        <f t="shared" ref="AE27" si="344">+AE24-AE25-AE26</f>
        <v>0</v>
      </c>
      <c r="AF27" s="58">
        <f t="shared" ref="AF27" si="345">+AF24-AF25-AF26</f>
        <v>0</v>
      </c>
      <c r="AG27" s="58">
        <f t="shared" ref="AG27" si="346">+AG24-AG25-AG26</f>
        <v>0</v>
      </c>
      <c r="AH27" s="58">
        <f t="shared" ref="AH27" si="347">+AH24-AH25-AH26</f>
        <v>0</v>
      </c>
      <c r="AI27" s="58">
        <f t="shared" ref="AI27" si="348">+AI24-AI25-AI26</f>
        <v>0</v>
      </c>
      <c r="AJ27" s="58">
        <f t="shared" ref="AJ27" si="349">+AJ24-AJ25-AJ26</f>
        <v>0</v>
      </c>
      <c r="AK27" s="58">
        <f t="shared" ref="AK27" si="350">+AK24-AK25-AK26</f>
        <v>0</v>
      </c>
      <c r="AL27" s="58">
        <f t="shared" ref="AL27" si="351">+AL24-AL25-AL26</f>
        <v>0</v>
      </c>
      <c r="AM27" s="58">
        <f t="shared" ref="AM27" si="352">+AM24-AM25-AM26</f>
        <v>0</v>
      </c>
      <c r="AN27" s="58">
        <f t="shared" ref="AN27" si="353">+AN24-AN25-AN26</f>
        <v>0</v>
      </c>
      <c r="AO27" s="58">
        <f>+AO24-AO25-AO26</f>
        <v>0</v>
      </c>
      <c r="AQ27" s="58">
        <f>+AQ24-AQ25-AQ26</f>
        <v>0</v>
      </c>
      <c r="AR27" s="58">
        <f t="shared" ref="AR27:BB27" si="354">+AR24-AR25-AR26</f>
        <v>0</v>
      </c>
      <c r="AS27" s="58">
        <f t="shared" si="354"/>
        <v>0</v>
      </c>
      <c r="AT27" s="58">
        <f t="shared" si="354"/>
        <v>0</v>
      </c>
      <c r="AU27" s="58">
        <f t="shared" si="354"/>
        <v>0</v>
      </c>
      <c r="AV27" s="58">
        <f t="shared" si="354"/>
        <v>0</v>
      </c>
      <c r="AW27" s="58">
        <f t="shared" si="354"/>
        <v>0</v>
      </c>
      <c r="AX27" s="58">
        <f t="shared" si="354"/>
        <v>0</v>
      </c>
      <c r="AY27" s="58">
        <f t="shared" si="354"/>
        <v>0</v>
      </c>
      <c r="AZ27" s="58">
        <f t="shared" si="354"/>
        <v>0</v>
      </c>
      <c r="BA27" s="58">
        <f t="shared" si="354"/>
        <v>0</v>
      </c>
      <c r="BB27" s="58">
        <f t="shared" si="354"/>
        <v>0</v>
      </c>
      <c r="BC27" s="58">
        <f>+BC24-BC25-BC26</f>
        <v>0</v>
      </c>
      <c r="BD27" s="10" t="str">
        <f t="shared" si="47"/>
        <v>Gross Profit</v>
      </c>
      <c r="BE27" s="58">
        <f t="shared" ref="BE27:BQ27" si="355">+BE24-BE25-BE26</f>
        <v>0</v>
      </c>
      <c r="BF27" s="58">
        <f t="shared" si="355"/>
        <v>0</v>
      </c>
      <c r="BG27" s="58">
        <f t="shared" si="355"/>
        <v>0</v>
      </c>
      <c r="BH27" s="58">
        <f t="shared" si="355"/>
        <v>0</v>
      </c>
      <c r="BI27" s="58">
        <f t="shared" si="355"/>
        <v>0</v>
      </c>
      <c r="BJ27" s="58">
        <f t="shared" si="355"/>
        <v>0</v>
      </c>
      <c r="BK27" s="58">
        <f t="shared" si="355"/>
        <v>0</v>
      </c>
      <c r="BL27" s="58">
        <f t="shared" si="355"/>
        <v>0</v>
      </c>
      <c r="BM27" s="58">
        <f t="shared" si="355"/>
        <v>0</v>
      </c>
      <c r="BN27" s="58">
        <f t="shared" si="355"/>
        <v>0</v>
      </c>
      <c r="BO27" s="58">
        <f t="shared" si="355"/>
        <v>0</v>
      </c>
      <c r="BP27" s="58">
        <f t="shared" si="355"/>
        <v>0</v>
      </c>
      <c r="BQ27" s="58">
        <f t="shared" si="355"/>
        <v>0</v>
      </c>
      <c r="BS27" s="58">
        <f t="shared" ref="BS27:CD27" si="356">+BS24-BS25-BS26</f>
        <v>0</v>
      </c>
      <c r="BT27" s="58">
        <f t="shared" si="356"/>
        <v>0</v>
      </c>
      <c r="BU27" s="58">
        <f t="shared" si="356"/>
        <v>0</v>
      </c>
      <c r="BV27" s="58">
        <f t="shared" si="356"/>
        <v>0</v>
      </c>
      <c r="BW27" s="58">
        <f t="shared" si="356"/>
        <v>0</v>
      </c>
      <c r="BX27" s="58">
        <f t="shared" si="356"/>
        <v>0</v>
      </c>
      <c r="BY27" s="58">
        <f t="shared" si="356"/>
        <v>0</v>
      </c>
      <c r="BZ27" s="58">
        <f t="shared" si="356"/>
        <v>0</v>
      </c>
      <c r="CA27" s="58">
        <f t="shared" si="356"/>
        <v>0</v>
      </c>
      <c r="CB27" s="58">
        <f t="shared" si="356"/>
        <v>0</v>
      </c>
      <c r="CC27" s="58">
        <f t="shared" si="356"/>
        <v>0</v>
      </c>
      <c r="CD27" s="58">
        <f t="shared" si="356"/>
        <v>0</v>
      </c>
      <c r="CE27" s="58">
        <f>+CE24-CE25-CE26</f>
        <v>0</v>
      </c>
      <c r="CF27" s="106"/>
      <c r="CG27" s="58">
        <f>+CG24-CG25-CG26</f>
        <v>0</v>
      </c>
      <c r="CH27" s="58">
        <f t="shared" ref="CH27:CR27" si="357">+CH24-CH25-CH26</f>
        <v>0</v>
      </c>
      <c r="CI27" s="58">
        <f t="shared" si="357"/>
        <v>0</v>
      </c>
      <c r="CJ27" s="58">
        <f t="shared" si="357"/>
        <v>0</v>
      </c>
      <c r="CK27" s="58">
        <f t="shared" si="357"/>
        <v>0</v>
      </c>
      <c r="CL27" s="58">
        <f t="shared" si="357"/>
        <v>0</v>
      </c>
      <c r="CM27" s="58">
        <f t="shared" si="357"/>
        <v>0</v>
      </c>
      <c r="CN27" s="58">
        <f t="shared" si="357"/>
        <v>0</v>
      </c>
      <c r="CO27" s="58">
        <f t="shared" si="357"/>
        <v>0</v>
      </c>
      <c r="CP27" s="58">
        <f t="shared" si="357"/>
        <v>0</v>
      </c>
      <c r="CQ27" s="58">
        <f t="shared" si="357"/>
        <v>0</v>
      </c>
      <c r="CR27" s="58">
        <f t="shared" si="357"/>
        <v>0</v>
      </c>
      <c r="CS27" s="58">
        <f>+CS24-CS25-CS26</f>
        <v>0</v>
      </c>
      <c r="CT27" s="10" t="str">
        <f t="shared" si="51"/>
        <v>Gross Profit</v>
      </c>
      <c r="CU27" s="58">
        <f t="shared" ref="CU27:DG27" si="358">+CU24-CU25-CU26</f>
        <v>0</v>
      </c>
      <c r="CV27" s="58">
        <f t="shared" si="358"/>
        <v>0</v>
      </c>
      <c r="CW27" s="58">
        <f t="shared" si="358"/>
        <v>0</v>
      </c>
      <c r="CX27" s="58">
        <f t="shared" si="358"/>
        <v>0</v>
      </c>
      <c r="CY27" s="58">
        <f t="shared" si="358"/>
        <v>0</v>
      </c>
      <c r="CZ27" s="58">
        <f t="shared" si="358"/>
        <v>0</v>
      </c>
      <c r="DA27" s="58">
        <f t="shared" si="358"/>
        <v>0</v>
      </c>
      <c r="DB27" s="58">
        <f t="shared" si="358"/>
        <v>0</v>
      </c>
      <c r="DC27" s="58">
        <f t="shared" si="358"/>
        <v>0</v>
      </c>
      <c r="DD27" s="58">
        <f t="shared" si="358"/>
        <v>0</v>
      </c>
      <c r="DE27" s="58">
        <f t="shared" si="358"/>
        <v>0</v>
      </c>
      <c r="DF27" s="58">
        <f t="shared" si="358"/>
        <v>0</v>
      </c>
      <c r="DG27" s="58">
        <f t="shared" si="358"/>
        <v>0</v>
      </c>
      <c r="DI27" s="58">
        <f t="shared" ref="DI27:DT27" si="359">+DI24-DI25-DI26</f>
        <v>0</v>
      </c>
      <c r="DJ27" s="58">
        <f t="shared" si="359"/>
        <v>0</v>
      </c>
      <c r="DK27" s="58">
        <f t="shared" si="359"/>
        <v>0</v>
      </c>
      <c r="DL27" s="58">
        <f t="shared" si="359"/>
        <v>0</v>
      </c>
      <c r="DM27" s="58">
        <f t="shared" si="359"/>
        <v>0</v>
      </c>
      <c r="DN27" s="58">
        <f t="shared" si="359"/>
        <v>0</v>
      </c>
      <c r="DO27" s="58">
        <f t="shared" si="359"/>
        <v>0</v>
      </c>
      <c r="DP27" s="58">
        <f t="shared" si="359"/>
        <v>0</v>
      </c>
      <c r="DQ27" s="58">
        <f t="shared" si="359"/>
        <v>0</v>
      </c>
      <c r="DR27" s="58">
        <f t="shared" si="359"/>
        <v>0</v>
      </c>
      <c r="DS27" s="58">
        <f t="shared" si="359"/>
        <v>0</v>
      </c>
      <c r="DT27" s="58">
        <f t="shared" si="359"/>
        <v>0</v>
      </c>
      <c r="DU27" s="58">
        <f>+DU24-DU25-DU26</f>
        <v>0</v>
      </c>
      <c r="DW27" s="28">
        <f t="shared" ref="DW27:EH27" si="360">+DW24-DW25-DW26</f>
        <v>0</v>
      </c>
      <c r="DX27" s="28">
        <f t="shared" si="360"/>
        <v>0</v>
      </c>
      <c r="DY27" s="28">
        <f t="shared" si="360"/>
        <v>0</v>
      </c>
      <c r="DZ27" s="28">
        <f t="shared" si="360"/>
        <v>0</v>
      </c>
      <c r="EA27" s="28">
        <f t="shared" si="360"/>
        <v>0</v>
      </c>
      <c r="EB27" s="28">
        <f t="shared" si="360"/>
        <v>0</v>
      </c>
      <c r="EC27" s="28">
        <f t="shared" si="360"/>
        <v>0</v>
      </c>
      <c r="ED27" s="28">
        <f t="shared" si="360"/>
        <v>0</v>
      </c>
      <c r="EE27" s="28">
        <f t="shared" si="360"/>
        <v>0</v>
      </c>
      <c r="EF27" s="28">
        <f t="shared" si="360"/>
        <v>0</v>
      </c>
      <c r="EG27" s="28">
        <f t="shared" si="360"/>
        <v>0</v>
      </c>
      <c r="EH27" s="28">
        <f t="shared" si="360"/>
        <v>0</v>
      </c>
      <c r="EI27" s="58">
        <f>+EI24-EI25-EI26</f>
        <v>0</v>
      </c>
      <c r="EJ27" s="10" t="str">
        <f t="shared" si="217"/>
        <v>Gross Profit</v>
      </c>
      <c r="EK27" s="28">
        <f t="shared" ref="EK27:EW27" si="361">+EK24-EK25-EK26</f>
        <v>0</v>
      </c>
      <c r="EL27" s="28">
        <f t="shared" si="361"/>
        <v>0</v>
      </c>
      <c r="EM27" s="28">
        <f t="shared" si="361"/>
        <v>0</v>
      </c>
      <c r="EN27" s="28">
        <f t="shared" si="361"/>
        <v>0</v>
      </c>
      <c r="EO27" s="28">
        <f t="shared" si="361"/>
        <v>0</v>
      </c>
      <c r="EP27" s="28">
        <f t="shared" si="361"/>
        <v>0</v>
      </c>
      <c r="EQ27" s="28">
        <f t="shared" si="361"/>
        <v>0</v>
      </c>
      <c r="ER27" s="28">
        <f t="shared" si="361"/>
        <v>0</v>
      </c>
      <c r="ES27" s="28">
        <f t="shared" si="361"/>
        <v>0</v>
      </c>
      <c r="ET27" s="28">
        <f t="shared" si="361"/>
        <v>0</v>
      </c>
      <c r="EU27" s="28">
        <f t="shared" si="361"/>
        <v>0</v>
      </c>
      <c r="EV27" s="28">
        <f t="shared" si="361"/>
        <v>0</v>
      </c>
      <c r="EW27" s="28">
        <f t="shared" si="361"/>
        <v>0</v>
      </c>
      <c r="EX27" s="22"/>
      <c r="EY27" s="58">
        <f t="shared" ref="EY27:FJ27" si="362">+EY24-EY25-EY26</f>
        <v>0</v>
      </c>
      <c r="EZ27" s="58">
        <f t="shared" si="362"/>
        <v>0</v>
      </c>
      <c r="FA27" s="58">
        <f t="shared" si="362"/>
        <v>0</v>
      </c>
      <c r="FB27" s="58">
        <f t="shared" si="362"/>
        <v>0</v>
      </c>
      <c r="FC27" s="58">
        <f t="shared" si="362"/>
        <v>0</v>
      </c>
      <c r="FD27" s="58">
        <f t="shared" si="362"/>
        <v>0</v>
      </c>
      <c r="FE27" s="58">
        <f t="shared" si="362"/>
        <v>0</v>
      </c>
      <c r="FF27" s="58">
        <f t="shared" si="362"/>
        <v>0</v>
      </c>
      <c r="FG27" s="58">
        <f t="shared" si="362"/>
        <v>0</v>
      </c>
      <c r="FH27" s="58">
        <f t="shared" si="362"/>
        <v>0</v>
      </c>
      <c r="FI27" s="58">
        <f t="shared" si="362"/>
        <v>0</v>
      </c>
      <c r="FJ27" s="58">
        <f t="shared" si="362"/>
        <v>0</v>
      </c>
      <c r="FK27" s="58">
        <f>+FK24-FK25-FK26</f>
        <v>0</v>
      </c>
    </row>
    <row r="28" spans="1:167" ht="14.45" hidden="1" customHeight="1" outlineLevel="1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1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1">
        <f t="shared" si="47"/>
        <v>0</v>
      </c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  <c r="CF28" s="106"/>
      <c r="CG28" s="106"/>
      <c r="CH28" s="106"/>
      <c r="CI28" s="106"/>
      <c r="CJ28" s="106"/>
      <c r="CK28" s="106"/>
      <c r="CL28" s="106"/>
      <c r="CM28" s="106"/>
      <c r="CN28" s="106"/>
      <c r="CO28" s="106"/>
      <c r="CP28" s="106"/>
      <c r="CQ28" s="106"/>
      <c r="CR28" s="106"/>
      <c r="CS28" s="106"/>
      <c r="CT28" s="11">
        <f t="shared" si="51"/>
        <v>0</v>
      </c>
      <c r="CU28" s="106"/>
      <c r="CV28" s="106"/>
      <c r="CW28" s="106"/>
      <c r="CX28" s="106"/>
      <c r="CY28" s="106"/>
      <c r="CZ28" s="106"/>
      <c r="DA28" s="106"/>
      <c r="DB28" s="106"/>
      <c r="DC28" s="106"/>
      <c r="DD28" s="106"/>
      <c r="DE28" s="106"/>
      <c r="DF28" s="106"/>
      <c r="DG28" s="106"/>
      <c r="DI28" s="106"/>
      <c r="DJ28" s="106"/>
      <c r="DK28" s="106"/>
      <c r="DL28" s="106"/>
      <c r="DM28" s="106"/>
      <c r="DN28" s="106"/>
      <c r="DO28" s="106"/>
      <c r="DP28" s="106"/>
      <c r="DQ28" s="106"/>
      <c r="DR28" s="106"/>
      <c r="DS28" s="106"/>
      <c r="DT28" s="106"/>
      <c r="DU28" s="106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106"/>
      <c r="EJ28" s="11">
        <f t="shared" si="217"/>
        <v>0</v>
      </c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106"/>
      <c r="EZ28" s="106"/>
      <c r="FA28" s="106"/>
      <c r="FB28" s="106"/>
      <c r="FC28" s="106"/>
      <c r="FD28" s="106"/>
      <c r="FE28" s="106"/>
      <c r="FF28" s="106"/>
      <c r="FG28" s="106"/>
      <c r="FH28" s="106"/>
      <c r="FI28" s="106"/>
      <c r="FJ28" s="106"/>
      <c r="FK28" s="106"/>
    </row>
    <row r="29" spans="1:167" ht="20.25" customHeight="1" collapsed="1">
      <c r="A29" s="58">
        <f>+SUM(A31:A37)</f>
        <v>5831383.2699999996</v>
      </c>
      <c r="B29" s="58">
        <f t="shared" ref="B29:L29" si="363">+SUM(B31:B37)</f>
        <v>17169073.399999999</v>
      </c>
      <c r="C29" s="58">
        <f t="shared" si="363"/>
        <v>7695967.5799999991</v>
      </c>
      <c r="D29" s="58">
        <f t="shared" si="363"/>
        <v>8010305.1699999999</v>
      </c>
      <c r="E29" s="58">
        <f t="shared" si="363"/>
        <v>7833973.7300000004</v>
      </c>
      <c r="F29" s="58">
        <f t="shared" si="363"/>
        <v>7858995.4299999997</v>
      </c>
      <c r="G29" s="58">
        <f t="shared" si="363"/>
        <v>9306656.8200000003</v>
      </c>
      <c r="H29" s="58">
        <f t="shared" si="363"/>
        <v>15467161.770000001</v>
      </c>
      <c r="I29" s="58">
        <f t="shared" si="363"/>
        <v>7955690.6999999993</v>
      </c>
      <c r="J29" s="58">
        <f t="shared" si="363"/>
        <v>10086990.649999999</v>
      </c>
      <c r="K29" s="58">
        <f t="shared" si="363"/>
        <v>13399337</v>
      </c>
      <c r="L29" s="58">
        <f t="shared" si="363"/>
        <v>13100621.59</v>
      </c>
      <c r="M29" s="58">
        <f>+SUM(M31:M37)</f>
        <v>123716157.11000001</v>
      </c>
      <c r="N29" s="5" t="s">
        <v>24</v>
      </c>
      <c r="O29" s="58">
        <f>+SUM(O31:O37)</f>
        <v>10359832.84</v>
      </c>
      <c r="P29" s="58">
        <f t="shared" ref="P29:Z29" si="364">+SUM(P31:P37)</f>
        <v>3675660</v>
      </c>
      <c r="Q29" s="58">
        <f t="shared" si="364"/>
        <v>14006855.149999999</v>
      </c>
      <c r="R29" s="58">
        <f t="shared" si="364"/>
        <v>10543676.064000001</v>
      </c>
      <c r="S29" s="58">
        <f t="shared" si="364"/>
        <v>13145675.060000002</v>
      </c>
      <c r="T29" s="58">
        <f t="shared" si="364"/>
        <v>10658617.09</v>
      </c>
      <c r="U29" s="58">
        <f t="shared" si="364"/>
        <v>10622025.27</v>
      </c>
      <c r="V29" s="58">
        <f t="shared" si="364"/>
        <v>11109172.369999999</v>
      </c>
      <c r="W29" s="58">
        <f t="shared" si="364"/>
        <v>10069806.84</v>
      </c>
      <c r="X29" s="58">
        <f t="shared" si="364"/>
        <v>8071268.6099999994</v>
      </c>
      <c r="Y29" s="58">
        <f t="shared" si="364"/>
        <v>0</v>
      </c>
      <c r="Z29" s="58">
        <f t="shared" si="364"/>
        <v>0</v>
      </c>
      <c r="AA29" s="58">
        <f>+SUM(AA31:AA37)</f>
        <v>102262589.29400003</v>
      </c>
      <c r="AB29" s="118">
        <f>IFERROR((X29-AL29)/AL29,0)</f>
        <v>-0.30192450018735911</v>
      </c>
      <c r="AC29" s="58">
        <f>+SUM(AC31:AC37)</f>
        <v>12296363.625</v>
      </c>
      <c r="AD29" s="58">
        <f t="shared" ref="AD29:AN29" si="365">+SUM(AD31:AD37)</f>
        <v>12179534.950000001</v>
      </c>
      <c r="AE29" s="58">
        <f t="shared" si="365"/>
        <v>12276933.925000001</v>
      </c>
      <c r="AF29" s="58">
        <f t="shared" si="365"/>
        <v>10177098.4</v>
      </c>
      <c r="AG29" s="58">
        <f t="shared" si="365"/>
        <v>11892770</v>
      </c>
      <c r="AH29" s="58">
        <f t="shared" si="365"/>
        <v>12535903</v>
      </c>
      <c r="AI29" s="58">
        <f t="shared" si="365"/>
        <v>12795546</v>
      </c>
      <c r="AJ29" s="58">
        <f t="shared" si="365"/>
        <v>13788333.625</v>
      </c>
      <c r="AK29" s="58">
        <f t="shared" si="365"/>
        <v>14425822.875</v>
      </c>
      <c r="AL29" s="58">
        <f t="shared" si="365"/>
        <v>11562171.444444444</v>
      </c>
      <c r="AM29" s="58">
        <f t="shared" si="365"/>
        <v>9493959.3777777776</v>
      </c>
      <c r="AN29" s="58">
        <f t="shared" si="365"/>
        <v>12233866.45050505</v>
      </c>
      <c r="AO29" s="58">
        <f>+SUM(AO31:AO37)</f>
        <v>145658303.67272729</v>
      </c>
      <c r="AQ29" s="58">
        <f>+SUM(AQ31:AQ37)</f>
        <v>3264645.4</v>
      </c>
      <c r="AR29" s="58">
        <f t="shared" ref="AR29:BB29" si="366">+SUM(AR31:AR37)</f>
        <v>13699717.700000001</v>
      </c>
      <c r="AS29" s="58">
        <f t="shared" si="366"/>
        <v>6034064.7000000002</v>
      </c>
      <c r="AT29" s="58">
        <f t="shared" si="366"/>
        <v>6781720.96</v>
      </c>
      <c r="AU29" s="58">
        <f t="shared" si="366"/>
        <v>3185613.1300000004</v>
      </c>
      <c r="AV29" s="58">
        <f t="shared" si="366"/>
        <v>5938105.7199999997</v>
      </c>
      <c r="AW29" s="58">
        <f t="shared" si="366"/>
        <v>6929656.6000000006</v>
      </c>
      <c r="AX29" s="58">
        <f t="shared" si="366"/>
        <v>11209534.840000002</v>
      </c>
      <c r="AY29" s="58">
        <f t="shared" si="366"/>
        <v>5885546.5800000001</v>
      </c>
      <c r="AZ29" s="58">
        <f t="shared" si="366"/>
        <v>6702697.0799999991</v>
      </c>
      <c r="BA29" s="58">
        <f t="shared" si="366"/>
        <v>7672847.75</v>
      </c>
      <c r="BB29" s="58">
        <f t="shared" si="366"/>
        <v>7772088.8900000006</v>
      </c>
      <c r="BC29" s="58">
        <f>+SUM(BC31:BC37)</f>
        <v>85076239.349999994</v>
      </c>
      <c r="BD29" s="5" t="str">
        <f t="shared" si="47"/>
        <v>Service</v>
      </c>
      <c r="BE29" s="58">
        <f t="shared" ref="BE29:BQ29" si="367">+SUM(BE31:BE37)</f>
        <v>6949303.1499999994</v>
      </c>
      <c r="BF29" s="58">
        <f t="shared" si="367"/>
        <v>2564066.2000000002</v>
      </c>
      <c r="BG29" s="58">
        <f t="shared" si="367"/>
        <v>9337881.0999999996</v>
      </c>
      <c r="BH29" s="58">
        <f t="shared" si="367"/>
        <v>8700114.4900000002</v>
      </c>
      <c r="BI29" s="58">
        <f t="shared" si="367"/>
        <v>9527793.370000001</v>
      </c>
      <c r="BJ29" s="58">
        <f t="shared" si="367"/>
        <v>6687971.96</v>
      </c>
      <c r="BK29" s="58">
        <f t="shared" si="367"/>
        <v>6670486.71</v>
      </c>
      <c r="BL29" s="58">
        <f t="shared" si="367"/>
        <v>5461927.5999999996</v>
      </c>
      <c r="BM29" s="58">
        <f t="shared" si="367"/>
        <v>7215395.7400000002</v>
      </c>
      <c r="BN29" s="58">
        <f t="shared" si="367"/>
        <v>4355192.82</v>
      </c>
      <c r="BO29" s="58">
        <f t="shared" si="367"/>
        <v>0</v>
      </c>
      <c r="BP29" s="58">
        <f t="shared" si="367"/>
        <v>0</v>
      </c>
      <c r="BQ29" s="58">
        <f t="shared" si="367"/>
        <v>67470133.139999986</v>
      </c>
      <c r="BR29" s="118">
        <f>IFERROR((BN29-CB29)/CB29,0)</f>
        <v>-0.41841547333609747</v>
      </c>
      <c r="BS29" s="58">
        <f t="shared" ref="BS29:CD29" si="368">+SUM(BS31:BS37)</f>
        <v>7800515.625</v>
      </c>
      <c r="BT29" s="58">
        <f t="shared" si="368"/>
        <v>7577643.75</v>
      </c>
      <c r="BU29" s="58">
        <f t="shared" si="368"/>
        <v>6909028.125</v>
      </c>
      <c r="BV29" s="58">
        <f t="shared" si="368"/>
        <v>6675458.4000000004</v>
      </c>
      <c r="BW29" s="58">
        <f t="shared" si="368"/>
        <v>7274538</v>
      </c>
      <c r="BX29" s="58">
        <f t="shared" si="368"/>
        <v>7488494.9999999991</v>
      </c>
      <c r="BY29" s="58">
        <f t="shared" si="368"/>
        <v>7702452</v>
      </c>
      <c r="BZ29" s="58">
        <f t="shared" si="368"/>
        <v>7943153.625</v>
      </c>
      <c r="CA29" s="58">
        <f t="shared" si="368"/>
        <v>8424556.875</v>
      </c>
      <c r="CB29" s="58">
        <f t="shared" si="368"/>
        <v>7488494.9999999991</v>
      </c>
      <c r="CC29" s="58">
        <f t="shared" si="368"/>
        <v>5990796</v>
      </c>
      <c r="CD29" s="58">
        <f t="shared" si="368"/>
        <v>7916409</v>
      </c>
      <c r="CE29" s="58">
        <f>+SUM(CE31:CE37)</f>
        <v>89191541.399999991</v>
      </c>
      <c r="CF29" s="106"/>
      <c r="CG29" s="58">
        <f>+SUM(CG31:CG37)</f>
        <v>2566737.87</v>
      </c>
      <c r="CH29" s="58">
        <f t="shared" ref="CH29:CR29" si="369">+SUM(CH31:CH37)</f>
        <v>3469355.7</v>
      </c>
      <c r="CI29" s="58">
        <f t="shared" si="369"/>
        <v>1661902.8799999997</v>
      </c>
      <c r="CJ29" s="58">
        <f t="shared" si="369"/>
        <v>1228584.21</v>
      </c>
      <c r="CK29" s="58">
        <f t="shared" si="369"/>
        <v>4648360.5999999996</v>
      </c>
      <c r="CL29" s="58">
        <f t="shared" si="369"/>
        <v>1920889.71</v>
      </c>
      <c r="CM29" s="58">
        <f t="shared" si="369"/>
        <v>2377000.2199999997</v>
      </c>
      <c r="CN29" s="58">
        <f t="shared" si="369"/>
        <v>4257626.93</v>
      </c>
      <c r="CO29" s="58">
        <f t="shared" si="369"/>
        <v>2070144.12</v>
      </c>
      <c r="CP29" s="58">
        <f t="shared" si="369"/>
        <v>3384293.57</v>
      </c>
      <c r="CQ29" s="58">
        <f t="shared" si="369"/>
        <v>5726489.25</v>
      </c>
      <c r="CR29" s="58">
        <f t="shared" si="369"/>
        <v>5328532.7</v>
      </c>
      <c r="CS29" s="58">
        <f>+SUM(CS31:CS37)</f>
        <v>38639917.759999998</v>
      </c>
      <c r="CT29" s="5" t="str">
        <f t="shared" si="51"/>
        <v>Service</v>
      </c>
      <c r="CU29" s="58">
        <f t="shared" ref="CU29:DG29" si="370">+SUM(CU31:CU37)</f>
        <v>2884244.99</v>
      </c>
      <c r="CV29" s="58">
        <f t="shared" si="370"/>
        <v>804183.4</v>
      </c>
      <c r="CW29" s="58">
        <f t="shared" si="370"/>
        <v>3742593.15</v>
      </c>
      <c r="CX29" s="58">
        <f t="shared" si="370"/>
        <v>1692521.2820000001</v>
      </c>
      <c r="CY29" s="58">
        <f t="shared" si="370"/>
        <v>3278206.7</v>
      </c>
      <c r="CZ29" s="58">
        <f t="shared" si="370"/>
        <v>1708102.1999999997</v>
      </c>
      <c r="DA29" s="58">
        <f t="shared" si="370"/>
        <v>3029596.75</v>
      </c>
      <c r="DB29" s="58">
        <f t="shared" si="370"/>
        <v>4071079.32</v>
      </c>
      <c r="DC29" s="58">
        <f t="shared" si="370"/>
        <v>2286059.0999999996</v>
      </c>
      <c r="DD29" s="58">
        <f t="shared" si="370"/>
        <v>3005827.79</v>
      </c>
      <c r="DE29" s="58">
        <f t="shared" si="370"/>
        <v>0</v>
      </c>
      <c r="DF29" s="58">
        <f t="shared" si="370"/>
        <v>0</v>
      </c>
      <c r="DG29" s="58">
        <f t="shared" si="370"/>
        <v>26502414.682000004</v>
      </c>
      <c r="DH29" s="118">
        <f>IFERROR((DD29-DR29)/DR29,0)</f>
        <v>5.3118068111918028E-4</v>
      </c>
      <c r="DI29" s="58">
        <f t="shared" ref="DI29:DT29" si="371">+SUM(DI31:DI37)</f>
        <v>3043248.0000000005</v>
      </c>
      <c r="DJ29" s="58">
        <f t="shared" si="371"/>
        <v>3246131.2000000007</v>
      </c>
      <c r="DK29" s="58">
        <f t="shared" si="371"/>
        <v>3854780.8000000007</v>
      </c>
      <c r="DL29" s="58">
        <f t="shared" si="371"/>
        <v>2145880.0000000005</v>
      </c>
      <c r="DM29" s="58">
        <f t="shared" si="371"/>
        <v>3004232</v>
      </c>
      <c r="DN29" s="58">
        <f t="shared" si="371"/>
        <v>3433408.0000000005</v>
      </c>
      <c r="DO29" s="58">
        <f t="shared" si="371"/>
        <v>3277344</v>
      </c>
      <c r="DP29" s="58">
        <f t="shared" si="371"/>
        <v>4096679.9999999991</v>
      </c>
      <c r="DQ29" s="58">
        <f t="shared" si="371"/>
        <v>4330776</v>
      </c>
      <c r="DR29" s="58">
        <f t="shared" si="371"/>
        <v>3004232</v>
      </c>
      <c r="DS29" s="58">
        <f t="shared" si="371"/>
        <v>2403385.6</v>
      </c>
      <c r="DT29" s="58">
        <f t="shared" si="371"/>
        <v>3175902.4</v>
      </c>
      <c r="DU29" s="58">
        <f>+SUM(DU31:DU37)</f>
        <v>39016000.000000007</v>
      </c>
      <c r="DW29" s="28">
        <f t="shared" ref="DW29:EH29" si="372">+SUM(DW31:DW37)</f>
        <v>0</v>
      </c>
      <c r="DX29" s="28">
        <f t="shared" si="372"/>
        <v>0</v>
      </c>
      <c r="DY29" s="28">
        <f t="shared" si="372"/>
        <v>0</v>
      </c>
      <c r="DZ29" s="28">
        <f t="shared" si="372"/>
        <v>0</v>
      </c>
      <c r="EA29" s="28">
        <f t="shared" si="372"/>
        <v>0</v>
      </c>
      <c r="EB29" s="28">
        <f t="shared" si="372"/>
        <v>0</v>
      </c>
      <c r="EC29" s="28">
        <f t="shared" si="372"/>
        <v>0</v>
      </c>
      <c r="ED29" s="28">
        <f t="shared" si="372"/>
        <v>0</v>
      </c>
      <c r="EE29" s="28">
        <f t="shared" si="372"/>
        <v>0</v>
      </c>
      <c r="EF29" s="28">
        <f t="shared" si="372"/>
        <v>0</v>
      </c>
      <c r="EG29" s="28">
        <f t="shared" si="372"/>
        <v>0</v>
      </c>
      <c r="EH29" s="28">
        <f t="shared" si="372"/>
        <v>0</v>
      </c>
      <c r="EI29" s="58">
        <f>+SUM(EI31:EI37)</f>
        <v>0</v>
      </c>
      <c r="EJ29" s="5" t="str">
        <f t="shared" si="217"/>
        <v>Service</v>
      </c>
      <c r="EK29" s="28">
        <f t="shared" ref="EK29:EW29" si="373">+SUM(EK31:EK37)</f>
        <v>526284.69999999995</v>
      </c>
      <c r="EL29" s="28">
        <f t="shared" si="373"/>
        <v>307410.40000000002</v>
      </c>
      <c r="EM29" s="28">
        <f t="shared" si="373"/>
        <v>926380.9</v>
      </c>
      <c r="EN29" s="28">
        <f t="shared" si="373"/>
        <v>151040.29199999999</v>
      </c>
      <c r="EO29" s="28">
        <f t="shared" si="373"/>
        <v>339674.99</v>
      </c>
      <c r="EP29" s="28">
        <f t="shared" si="373"/>
        <v>2262542.9300000002</v>
      </c>
      <c r="EQ29" s="28">
        <f t="shared" si="373"/>
        <v>921941.81</v>
      </c>
      <c r="ER29" s="28">
        <f t="shared" si="373"/>
        <v>1576165.45</v>
      </c>
      <c r="ES29" s="28">
        <f t="shared" si="373"/>
        <v>568352</v>
      </c>
      <c r="ET29" s="28">
        <f t="shared" si="373"/>
        <v>710248</v>
      </c>
      <c r="EU29" s="28">
        <f t="shared" si="373"/>
        <v>0</v>
      </c>
      <c r="EV29" s="28">
        <f t="shared" si="373"/>
        <v>0</v>
      </c>
      <c r="EW29" s="28">
        <f t="shared" si="373"/>
        <v>8290041.4720000001</v>
      </c>
      <c r="EX29" s="118">
        <f>+(ES29-FG29)/FG29</f>
        <v>-0.65976928925045952</v>
      </c>
      <c r="EY29" s="58">
        <f t="shared" ref="EY29:FJ29" si="374">+SUM(EY31:EY37)</f>
        <v>1452600</v>
      </c>
      <c r="EZ29" s="58">
        <f t="shared" si="374"/>
        <v>1355760.0000000002</v>
      </c>
      <c r="FA29" s="58">
        <f t="shared" si="374"/>
        <v>1513125.0000000002</v>
      </c>
      <c r="FB29" s="58">
        <f t="shared" si="374"/>
        <v>1355760.0000000002</v>
      </c>
      <c r="FC29" s="58">
        <f t="shared" si="374"/>
        <v>1614000</v>
      </c>
      <c r="FD29" s="58">
        <f t="shared" si="374"/>
        <v>1614000</v>
      </c>
      <c r="FE29" s="58">
        <f t="shared" si="374"/>
        <v>1815750.0000000002</v>
      </c>
      <c r="FF29" s="58">
        <f t="shared" si="374"/>
        <v>1748500.0000000002</v>
      </c>
      <c r="FG29" s="58">
        <f t="shared" si="374"/>
        <v>1670490.0000000002</v>
      </c>
      <c r="FH29" s="58">
        <f t="shared" si="374"/>
        <v>1069444.4444444445</v>
      </c>
      <c r="FI29" s="58">
        <f t="shared" si="374"/>
        <v>1099777.777777778</v>
      </c>
      <c r="FJ29" s="58">
        <f t="shared" si="374"/>
        <v>1141555.0505050505</v>
      </c>
      <c r="FK29" s="58">
        <f>+SUM(FK31:FK37)</f>
        <v>17450762.272727273</v>
      </c>
    </row>
    <row r="30" spans="1:167" ht="14.45" customHeight="1">
      <c r="A30" s="105">
        <f t="shared" ref="A30" si="375">+AQ30+CG30+DW30</f>
        <v>56</v>
      </c>
      <c r="B30" s="105">
        <f t="shared" ref="B30:B37" si="376">+AR30+CH30+DX30</f>
        <v>76</v>
      </c>
      <c r="C30" s="105">
        <f t="shared" ref="C30:C37" si="377">+AS30+CI30+DY30</f>
        <v>54</v>
      </c>
      <c r="D30" s="105">
        <f t="shared" ref="D30:D37" si="378">+AT30+CJ30+DZ30</f>
        <v>67</v>
      </c>
      <c r="E30" s="105">
        <f t="shared" ref="E30:E37" si="379">+AU30+CK30+EA30</f>
        <v>73</v>
      </c>
      <c r="F30" s="105">
        <f t="shared" ref="F30:F37" si="380">+AV30+CL30+EB30</f>
        <v>53</v>
      </c>
      <c r="G30" s="105">
        <f t="shared" ref="G30:G37" si="381">+AW30+CM30+EC30</f>
        <v>73</v>
      </c>
      <c r="H30" s="105">
        <f t="shared" ref="H30:H37" si="382">+AX30+CN30+ED30</f>
        <v>81</v>
      </c>
      <c r="I30" s="105">
        <f t="shared" ref="I30:I37" si="383">+AY30+CO30+EE30</f>
        <v>59</v>
      </c>
      <c r="J30" s="105">
        <f t="shared" ref="J30:J37" si="384">+AZ30+CP30+EF30</f>
        <v>79</v>
      </c>
      <c r="K30" s="105">
        <f t="shared" ref="K30:K37" si="385">+BA30+CQ30+EG30</f>
        <v>86</v>
      </c>
      <c r="L30" s="105">
        <f t="shared" ref="L30:L37" si="386">+BB30+CR30+EH30</f>
        <v>67</v>
      </c>
      <c r="M30" s="105">
        <f t="shared" ref="M30:M46" si="387">+SUM(A30:L30)</f>
        <v>824</v>
      </c>
      <c r="N30" s="12" t="s">
        <v>25</v>
      </c>
      <c r="O30" s="105">
        <f t="shared" ref="O30:O37" si="388">+BE30+CU30+EK30</f>
        <v>84</v>
      </c>
      <c r="P30" s="105">
        <f t="shared" ref="P30:P37" si="389">+BF30+CV30+EL30</f>
        <v>41</v>
      </c>
      <c r="Q30" s="105">
        <f t="shared" ref="Q30:Q37" si="390">+BG30+CW30+EM30</f>
        <v>86</v>
      </c>
      <c r="R30" s="105">
        <f t="shared" ref="R30:R37" si="391">+BH30+CX30+EN30</f>
        <v>67</v>
      </c>
      <c r="S30" s="105">
        <f t="shared" ref="S30:S37" si="392">+BI30+CY30+EO30</f>
        <v>87</v>
      </c>
      <c r="T30" s="105">
        <f t="shared" ref="T30:T37" si="393">+BJ30+CZ30+EP30</f>
        <v>86</v>
      </c>
      <c r="U30" s="105">
        <f t="shared" ref="U30:U37" si="394">+BK30+DA30+EQ30</f>
        <v>65</v>
      </c>
      <c r="V30" s="105">
        <f t="shared" ref="V30:V37" si="395">+BL30+DB30+ER30</f>
        <v>80</v>
      </c>
      <c r="W30" s="105">
        <f t="shared" ref="W30:W37" si="396">+BM30+DC30+ES30</f>
        <v>66</v>
      </c>
      <c r="X30" s="105">
        <f t="shared" ref="X30:X37" si="397">+BN30+DD30+ET30</f>
        <v>61</v>
      </c>
      <c r="Y30" s="105">
        <f t="shared" ref="Y30:Y37" si="398">+BO30+DE30+EU30</f>
        <v>0</v>
      </c>
      <c r="Z30" s="105">
        <f t="shared" ref="Z30:Z37" si="399">+BP30+DF30+EV30</f>
        <v>0</v>
      </c>
      <c r="AA30" s="105">
        <f t="shared" ref="AA30:AA37" si="400">+SUM(O30:Z30)</f>
        <v>723</v>
      </c>
      <c r="AB30" s="118">
        <f t="shared" ref="AB30:AB93" si="401">IFERROR((X30-AL30)/AL30,0)</f>
        <v>-0.28235294117647058</v>
      </c>
      <c r="AC30" s="105">
        <f t="shared" ref="AC30:AC37" si="402">+BS30+DI30+EY30</f>
        <v>83</v>
      </c>
      <c r="AD30" s="105">
        <f t="shared" ref="AD30:AD37" si="403">+BT30+DJ30+EZ30</f>
        <v>83</v>
      </c>
      <c r="AE30" s="105">
        <f t="shared" ref="AE30:AE37" si="404">+BU30+DK30+FA30</f>
        <v>86</v>
      </c>
      <c r="AF30" s="105">
        <f t="shared" ref="AF30:AF37" si="405">+BV30+DL30+FB30</f>
        <v>95</v>
      </c>
      <c r="AG30" s="105">
        <f t="shared" ref="AG30:AG37" si="406">+BW30+DM30+FC30</f>
        <v>79</v>
      </c>
      <c r="AH30" s="105">
        <f t="shared" ref="AH30:AH37" si="407">+BX30+DN30+FD30</f>
        <v>86</v>
      </c>
      <c r="AI30" s="105">
        <f t="shared" ref="AI30:AI37" si="408">+BY30+DO30+FE30</f>
        <v>87</v>
      </c>
      <c r="AJ30" s="105">
        <f t="shared" ref="AJ30:AJ37" si="409">+BZ30+DP30+FF30</f>
        <v>96</v>
      </c>
      <c r="AK30" s="105">
        <f t="shared" ref="AK30:AK37" si="410">+CA30+DQ30+FG30</f>
        <v>99</v>
      </c>
      <c r="AL30" s="105">
        <f t="shared" ref="AL30:AL37" si="411">+CB30+DR30+FH30</f>
        <v>85</v>
      </c>
      <c r="AM30" s="105">
        <f t="shared" ref="AM30:AM37" si="412">+CC30+DS30+FI30</f>
        <v>71</v>
      </c>
      <c r="AN30" s="105">
        <f t="shared" ref="AN30:AN37" si="413">+CD30+DT30+FJ30</f>
        <v>91</v>
      </c>
      <c r="AO30" s="105">
        <f t="shared" ref="AO30:AO37" si="414">+SUM(AC30:AN30)</f>
        <v>1041</v>
      </c>
      <c r="AQ30" s="105">
        <v>37</v>
      </c>
      <c r="AR30" s="105">
        <v>48</v>
      </c>
      <c r="AS30" s="105">
        <v>35</v>
      </c>
      <c r="AT30" s="105">
        <v>45</v>
      </c>
      <c r="AU30" s="105">
        <v>38</v>
      </c>
      <c r="AV30" s="105">
        <v>31</v>
      </c>
      <c r="AW30" s="105">
        <v>47</v>
      </c>
      <c r="AX30" s="105">
        <v>47</v>
      </c>
      <c r="AY30" s="105">
        <v>36</v>
      </c>
      <c r="AZ30" s="105">
        <v>46</v>
      </c>
      <c r="BA30" s="105">
        <v>51</v>
      </c>
      <c r="BB30" s="105">
        <v>44</v>
      </c>
      <c r="BC30" s="105">
        <f t="shared" ref="BC30:BC37" si="415">+SUM(AQ30:BB30)</f>
        <v>505</v>
      </c>
      <c r="BD30" s="12" t="str">
        <f t="shared" si="47"/>
        <v>Throughputs</v>
      </c>
      <c r="BE30" s="105">
        <f>+'Jan-25'!$E$30</f>
        <v>37</v>
      </c>
      <c r="BF30" s="105">
        <f>+'Feb-25'!$E$30</f>
        <v>22</v>
      </c>
      <c r="BG30" s="105">
        <f>+'Mar-25'!$E$30</f>
        <v>49</v>
      </c>
      <c r="BH30" s="105">
        <f>+'Apr-25'!$E$30</f>
        <v>40</v>
      </c>
      <c r="BI30" s="105">
        <f>+'May-25'!$E$30</f>
        <v>50</v>
      </c>
      <c r="BJ30" s="105">
        <f>+'June-25'!$E$30</f>
        <v>43</v>
      </c>
      <c r="BK30" s="105">
        <f>+'July-25'!$E$30</f>
        <v>35</v>
      </c>
      <c r="BL30" s="105">
        <f>+'Aug-25'!$E$30</f>
        <v>40</v>
      </c>
      <c r="BM30" s="105">
        <f>+'Sep-25'!$E$30</f>
        <v>40</v>
      </c>
      <c r="BN30" s="105">
        <f>+'Oct-25'!$E$30</f>
        <v>32</v>
      </c>
      <c r="BO30" s="105">
        <f>+'Nov-25'!$E$30</f>
        <v>0</v>
      </c>
      <c r="BP30" s="105">
        <f>+'Dec-25'!$E$30</f>
        <v>0</v>
      </c>
      <c r="BQ30" s="105">
        <f t="shared" ref="BQ30:BQ37" si="416">+SUM(BE30:BP30)</f>
        <v>388</v>
      </c>
      <c r="BR30" s="118">
        <f t="shared" ref="BR30:BR93" si="417">IFERROR((BN30-CB30)/CB30,0)</f>
        <v>-0.2558139534883721</v>
      </c>
      <c r="BS30" s="105">
        <f>+_xlfn.XLOOKUP($BD30,Budget!$A:$A,Budget!BD:BD)</f>
        <v>45</v>
      </c>
      <c r="BT30" s="105">
        <f>+_xlfn.XLOOKUP($BD30,Budget!$A:$A,Budget!BE:BE)</f>
        <v>44</v>
      </c>
      <c r="BU30" s="105">
        <f>+_xlfn.XLOOKUP($BD30,Budget!$A:$A,Budget!BF:BF)</f>
        <v>40</v>
      </c>
      <c r="BV30" s="105">
        <f>+_xlfn.XLOOKUP($BD30,Budget!$A:$A,Budget!BG:BG)</f>
        <v>38</v>
      </c>
      <c r="BW30" s="105">
        <f>+_xlfn.XLOOKUP($BD30,Budget!$A:$A,Budget!BH:BH)</f>
        <v>42</v>
      </c>
      <c r="BX30" s="105">
        <f>+_xlfn.XLOOKUP($BD30,Budget!$A:$A,Budget!BI:BI)</f>
        <v>43</v>
      </c>
      <c r="BY30" s="105">
        <f>+_xlfn.XLOOKUP($BD30,Budget!$A:$A,Budget!BJ:BJ)</f>
        <v>44</v>
      </c>
      <c r="BZ30" s="105">
        <f>+_xlfn.XLOOKUP($BD30,Budget!$A:$A,Budget!BK:BK)</f>
        <v>46</v>
      </c>
      <c r="CA30" s="105">
        <f>+_xlfn.XLOOKUP($BD30,Budget!$A:$A,Budget!BL:BL)</f>
        <v>48</v>
      </c>
      <c r="CB30" s="105">
        <f>+_xlfn.XLOOKUP($BD30,Budget!$A:$A,Budget!BM:BM)</f>
        <v>43</v>
      </c>
      <c r="CC30" s="105">
        <f>+_xlfn.XLOOKUP($BD30,Budget!$A:$A,Budget!BN:BN)</f>
        <v>34</v>
      </c>
      <c r="CD30" s="105">
        <f>+_xlfn.XLOOKUP($BD30,Budget!$A:$A,Budget!BO:BO)</f>
        <v>46</v>
      </c>
      <c r="CE30" s="105">
        <f t="shared" ref="CE30:CE37" si="418">+SUM(BS30:CD30)</f>
        <v>513</v>
      </c>
      <c r="CF30" s="106"/>
      <c r="CG30" s="105">
        <v>19</v>
      </c>
      <c r="CH30" s="105">
        <v>28</v>
      </c>
      <c r="CI30" s="105">
        <v>19</v>
      </c>
      <c r="CJ30" s="105">
        <v>22</v>
      </c>
      <c r="CK30" s="105">
        <v>35</v>
      </c>
      <c r="CL30" s="105">
        <v>22</v>
      </c>
      <c r="CM30" s="105">
        <v>26</v>
      </c>
      <c r="CN30" s="105">
        <v>34</v>
      </c>
      <c r="CO30" s="105">
        <v>23</v>
      </c>
      <c r="CP30" s="105">
        <v>33</v>
      </c>
      <c r="CQ30" s="105">
        <v>35</v>
      </c>
      <c r="CR30" s="105">
        <v>23</v>
      </c>
      <c r="CS30" s="105">
        <f t="shared" ref="CS30:CS37" si="419">+SUM(CG30:CR30)</f>
        <v>319</v>
      </c>
      <c r="CT30" s="12" t="str">
        <f t="shared" si="51"/>
        <v>Throughputs</v>
      </c>
      <c r="CU30" s="105">
        <f>+'Jan-25'!$H$30</f>
        <v>37</v>
      </c>
      <c r="CV30" s="105">
        <f>+'Feb-25'!$H$30</f>
        <v>13</v>
      </c>
      <c r="CW30" s="105">
        <f>+'Mar-25'!$H$30</f>
        <v>30</v>
      </c>
      <c r="CX30" s="105">
        <f>+'Apr-25'!$H$30</f>
        <v>21</v>
      </c>
      <c r="CY30" s="105">
        <f>+'May-25'!$H$30</f>
        <v>29</v>
      </c>
      <c r="CZ30" s="105">
        <f>+'June-25'!$H$30</f>
        <v>29</v>
      </c>
      <c r="DA30" s="105">
        <f>+'July-25'!$H$30</f>
        <v>27</v>
      </c>
      <c r="DB30" s="105">
        <f>+'Aug-25'!$H$30</f>
        <v>25</v>
      </c>
      <c r="DC30" s="105">
        <f>+'Sep-25'!$H$30</f>
        <v>21</v>
      </c>
      <c r="DD30" s="105">
        <f>+'Oct-25'!$H$30</f>
        <v>21</v>
      </c>
      <c r="DE30" s="105">
        <f>+'Nov-25'!$H$30</f>
        <v>0</v>
      </c>
      <c r="DF30" s="105">
        <f>+'Dec-25'!$H$30</f>
        <v>0</v>
      </c>
      <c r="DG30" s="105">
        <f t="shared" ref="DG30:DG37" si="420">+SUM(CU30:DF30)</f>
        <v>253</v>
      </c>
      <c r="DH30" s="118">
        <f t="shared" ref="DH30:DH93" si="421">IFERROR((DD30-DR30)/DR30,0)</f>
        <v>-0.16</v>
      </c>
      <c r="DI30" s="105">
        <f>+_xlfn.XLOOKUP($CT30,Budget!$A:$A,Budget!CQ:CQ)</f>
        <v>25</v>
      </c>
      <c r="DJ30" s="105">
        <f>+_xlfn.XLOOKUP($CT30,Budget!$A:$A,Budget!CR:CR)</f>
        <v>27</v>
      </c>
      <c r="DK30" s="105">
        <f>+_xlfn.XLOOKUP($CT30,Budget!$A:$A,Budget!CS:CS)</f>
        <v>32</v>
      </c>
      <c r="DL30" s="105">
        <f>+_xlfn.XLOOKUP($CT30,Budget!$A:$A,Budget!CT:CT)</f>
        <v>18</v>
      </c>
      <c r="DM30" s="105">
        <f>+_xlfn.XLOOKUP($CT30,Budget!$A:$A,Budget!CU:CU)</f>
        <v>25</v>
      </c>
      <c r="DN30" s="105">
        <f>+_xlfn.XLOOKUP($CT30,Budget!$A:$A,Budget!CV:CV)</f>
        <v>29</v>
      </c>
      <c r="DO30" s="105">
        <f>+_xlfn.XLOOKUP($CT30,Budget!$A:$A,Budget!CW:CW)</f>
        <v>27</v>
      </c>
      <c r="DP30" s="105">
        <f>+_xlfn.XLOOKUP($CT30,Budget!$A:$A,Budget!CX:CX)</f>
        <v>34</v>
      </c>
      <c r="DQ30" s="105">
        <f>+_xlfn.XLOOKUP($CT30,Budget!$A:$A,Budget!CY:CY)</f>
        <v>36</v>
      </c>
      <c r="DR30" s="105">
        <f>+_xlfn.XLOOKUP($CT30,Budget!$A:$A,Budget!CZ:CZ)</f>
        <v>25</v>
      </c>
      <c r="DS30" s="105">
        <f>+_xlfn.XLOOKUP($CT30,Budget!$A:$A,Budget!DA:DA)</f>
        <v>20</v>
      </c>
      <c r="DT30" s="105">
        <f>+_xlfn.XLOOKUP($CT30,Budget!$A:$A,Budget!DB:DB)</f>
        <v>26</v>
      </c>
      <c r="DU30" s="105">
        <f t="shared" ref="DU30:DU37" si="422">+SUM(DI30:DT30)</f>
        <v>324</v>
      </c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105">
        <f t="shared" ref="EI30:EI37" si="423">+SUM(DW30:EH30)</f>
        <v>0</v>
      </c>
      <c r="EJ30" s="12" t="str">
        <f t="shared" si="217"/>
        <v>Throughputs</v>
      </c>
      <c r="EK30" s="27">
        <f>+'Jan-25'!$J$30</f>
        <v>10</v>
      </c>
      <c r="EL30" s="27">
        <f>+'Feb-25'!$J$30</f>
        <v>6</v>
      </c>
      <c r="EM30" s="27">
        <f>+'Mar-25'!$J$30</f>
        <v>7</v>
      </c>
      <c r="EN30" s="27">
        <f>+'Apr-25'!$J$30</f>
        <v>6</v>
      </c>
      <c r="EO30" s="27">
        <f>+'May-25'!$J$30</f>
        <v>8</v>
      </c>
      <c r="EP30" s="27">
        <f>+'June-25'!$J$30</f>
        <v>14</v>
      </c>
      <c r="EQ30" s="27">
        <f>+'July-25'!$J$30</f>
        <v>3</v>
      </c>
      <c r="ER30" s="27">
        <f>+'Aug-25'!$J$30</f>
        <v>15</v>
      </c>
      <c r="ES30" s="27">
        <f>+'Sep-25'!$J$30</f>
        <v>5</v>
      </c>
      <c r="ET30" s="27">
        <f>+'Oct-25'!$J$30</f>
        <v>8</v>
      </c>
      <c r="EU30" s="27">
        <f>+'Nov-25'!$J$30</f>
        <v>0</v>
      </c>
      <c r="EV30" s="27">
        <f>+'Dec-25'!$J$30</f>
        <v>0</v>
      </c>
      <c r="EW30" s="27">
        <f t="shared" ref="EW30:EW37" si="424">+SUM(EK30:EV30)</f>
        <v>82</v>
      </c>
      <c r="EX30" s="118">
        <f t="shared" ref="EX30:EX93" si="425">+(ES30-FG30)/FG30</f>
        <v>-0.66666666666666663</v>
      </c>
      <c r="EY30" s="105">
        <f>+_xlfn.XLOOKUP($EJ30,Budget!$A:$A,Budget!DR:DR)</f>
        <v>13</v>
      </c>
      <c r="EZ30" s="105">
        <f>+_xlfn.XLOOKUP($EJ30,Budget!$A:$A,Budget!DS:DS)</f>
        <v>12</v>
      </c>
      <c r="FA30" s="105">
        <f>+_xlfn.XLOOKUP($EJ30,Budget!$A:$A,Budget!DT:DT)</f>
        <v>14</v>
      </c>
      <c r="FB30" s="105">
        <f>+_xlfn.XLOOKUP($EJ30,Budget!$A:$A,Budget!DU:DU)</f>
        <v>39</v>
      </c>
      <c r="FC30" s="105">
        <f>+_xlfn.XLOOKUP($EJ30,Budget!$A:$A,Budget!DV:DV)</f>
        <v>12</v>
      </c>
      <c r="FD30" s="105">
        <f>+_xlfn.XLOOKUP($EJ30,Budget!$A:$A,Budget!DW:DW)</f>
        <v>14</v>
      </c>
      <c r="FE30" s="105">
        <f>+_xlfn.XLOOKUP($EJ30,Budget!$A:$A,Budget!DX:DX)</f>
        <v>16</v>
      </c>
      <c r="FF30" s="105">
        <f>+_xlfn.XLOOKUP($EJ30,Budget!$A:$A,Budget!DY:DY)</f>
        <v>16</v>
      </c>
      <c r="FG30" s="105">
        <f>+_xlfn.XLOOKUP($EJ30,Budget!$A:$A,Budget!DZ:DZ)</f>
        <v>15</v>
      </c>
      <c r="FH30" s="105">
        <f>+_xlfn.XLOOKUP($EJ30,Budget!$A:$A,Budget!EA:EA)</f>
        <v>17</v>
      </c>
      <c r="FI30" s="105">
        <f>+_xlfn.XLOOKUP($EJ30,Budget!$A:$A,Budget!EB:EB)</f>
        <v>17</v>
      </c>
      <c r="FJ30" s="105">
        <f>+_xlfn.XLOOKUP($EJ30,Budget!$A:$A,Budget!EC:EC)</f>
        <v>19</v>
      </c>
      <c r="FK30" s="105">
        <f t="shared" ref="FK30:FK37" si="426">+SUM(EY30:FJ30)</f>
        <v>204</v>
      </c>
    </row>
    <row r="31" spans="1:167" ht="14.45" customHeight="1">
      <c r="A31" s="106">
        <f t="shared" ref="A31:A42" si="427">+AQ31+CG31+DW31</f>
        <v>4550471.84</v>
      </c>
      <c r="B31" s="106">
        <f t="shared" si="376"/>
        <v>14318402.09</v>
      </c>
      <c r="C31" s="106">
        <f t="shared" si="377"/>
        <v>6376252.7799999993</v>
      </c>
      <c r="D31" s="106">
        <f t="shared" si="378"/>
        <v>5936827.2800000003</v>
      </c>
      <c r="E31" s="106">
        <f t="shared" si="379"/>
        <v>6087284.8700000001</v>
      </c>
      <c r="F31" s="106">
        <f t="shared" si="380"/>
        <v>6129264.1299999999</v>
      </c>
      <c r="G31" s="106">
        <f t="shared" si="381"/>
        <v>7435553.1099999994</v>
      </c>
      <c r="H31" s="106">
        <f t="shared" si="382"/>
        <v>13336633.520000001</v>
      </c>
      <c r="I31" s="106">
        <f t="shared" si="383"/>
        <v>6257725.7599999998</v>
      </c>
      <c r="J31" s="106">
        <f t="shared" si="384"/>
        <v>7773119.4999999991</v>
      </c>
      <c r="K31" s="106">
        <f t="shared" si="385"/>
        <v>10963976.75</v>
      </c>
      <c r="L31" s="106">
        <f t="shared" si="386"/>
        <v>10745502.129999999</v>
      </c>
      <c r="M31" s="106">
        <f t="shared" si="387"/>
        <v>99911013.760000005</v>
      </c>
      <c r="N31" s="7" t="s">
        <v>26</v>
      </c>
      <c r="O31" s="106">
        <f t="shared" si="388"/>
        <v>8013380.2599999998</v>
      </c>
      <c r="P31" s="106">
        <f t="shared" si="389"/>
        <v>2672278</v>
      </c>
      <c r="Q31" s="106">
        <f t="shared" si="390"/>
        <v>11655037.949999999</v>
      </c>
      <c r="R31" s="106">
        <f t="shared" si="391"/>
        <v>8701662</v>
      </c>
      <c r="S31" s="106">
        <f t="shared" si="392"/>
        <v>10390282.830000002</v>
      </c>
      <c r="T31" s="106">
        <f t="shared" si="393"/>
        <v>8368005.21</v>
      </c>
      <c r="U31" s="106">
        <f t="shared" si="394"/>
        <v>8366711.0300000003</v>
      </c>
      <c r="V31" s="106">
        <f t="shared" si="395"/>
        <v>9117527.8300000001</v>
      </c>
      <c r="W31" s="106">
        <f t="shared" si="396"/>
        <v>7537882.4000000004</v>
      </c>
      <c r="X31" s="106">
        <f t="shared" si="397"/>
        <v>6408282.5</v>
      </c>
      <c r="Y31" s="106">
        <f t="shared" si="398"/>
        <v>0</v>
      </c>
      <c r="Z31" s="106">
        <f t="shared" si="399"/>
        <v>0</v>
      </c>
      <c r="AA31" s="106">
        <f t="shared" si="400"/>
        <v>81231050.01000002</v>
      </c>
      <c r="AB31" s="118">
        <f t="shared" si="401"/>
        <v>-0.31294076792681658</v>
      </c>
      <c r="AC31" s="106">
        <f t="shared" si="402"/>
        <v>9890940.9000000004</v>
      </c>
      <c r="AD31" s="106">
        <f t="shared" si="403"/>
        <v>9792551.9600000009</v>
      </c>
      <c r="AE31" s="106">
        <f t="shared" si="404"/>
        <v>9847035.1400000006</v>
      </c>
      <c r="AF31" s="106">
        <f t="shared" si="405"/>
        <v>8192634.176</v>
      </c>
      <c r="AG31" s="106">
        <f t="shared" si="406"/>
        <v>9556865.9199999999</v>
      </c>
      <c r="AH31" s="106">
        <f t="shared" si="407"/>
        <v>10068303.199999999</v>
      </c>
      <c r="AI31" s="106">
        <f t="shared" si="408"/>
        <v>10278048.48</v>
      </c>
      <c r="AJ31" s="106">
        <f t="shared" si="409"/>
        <v>11064950.82</v>
      </c>
      <c r="AK31" s="106">
        <f t="shared" si="410"/>
        <v>11580794.699999999</v>
      </c>
      <c r="AL31" s="106">
        <f t="shared" si="411"/>
        <v>9327117.9555555545</v>
      </c>
      <c r="AM31" s="106">
        <f t="shared" si="412"/>
        <v>7657072.1422222229</v>
      </c>
      <c r="AN31" s="106">
        <f t="shared" si="413"/>
        <v>9868895.7204040401</v>
      </c>
      <c r="AO31" s="106">
        <f t="shared" si="414"/>
        <v>117125211.11418185</v>
      </c>
      <c r="AQ31" s="106">
        <v>2450572.48</v>
      </c>
      <c r="AR31" s="106">
        <v>11631334.630000001</v>
      </c>
      <c r="AS31" s="106">
        <v>5084082.13</v>
      </c>
      <c r="AT31" s="106">
        <v>5157934.28</v>
      </c>
      <c r="AU31" s="106">
        <v>2409612.4500000002</v>
      </c>
      <c r="AV31" s="106">
        <v>4698578</v>
      </c>
      <c r="AW31" s="106">
        <v>5616827</v>
      </c>
      <c r="AX31" s="106">
        <v>9899587.120000001</v>
      </c>
      <c r="AY31" s="106">
        <v>4714136.3</v>
      </c>
      <c r="AZ31" s="106">
        <v>5217213.1999999993</v>
      </c>
      <c r="BA31" s="106">
        <v>6084572.3599999994</v>
      </c>
      <c r="BB31" s="106">
        <v>6301879.1299999999</v>
      </c>
      <c r="BC31" s="106">
        <f t="shared" si="415"/>
        <v>69266329.079999998</v>
      </c>
      <c r="BD31" s="7" t="str">
        <f t="shared" si="47"/>
        <v>Parts Revenue</v>
      </c>
      <c r="BE31" s="106">
        <f>+VLOOKUP($BD31,'Jan-25'!$A:$J,5,0)</f>
        <v>5470088</v>
      </c>
      <c r="BF31" s="106">
        <f>+VLOOKUP($BD31,'Feb-25'!$A:$J,5,0)</f>
        <v>1928159</v>
      </c>
      <c r="BG31" s="106">
        <f>+VLOOKUP($BD31,'Mar-25'!$A:$J,5,0)</f>
        <v>7747414.9500000002</v>
      </c>
      <c r="BH31" s="106">
        <f>+VLOOKUP($BD31,'Apr-25'!$A:$J,5,0)</f>
        <v>7440607</v>
      </c>
      <c r="BI31" s="106">
        <f>+VLOOKUP($BD31,'May-25'!$A:$J,5,0)</f>
        <v>7654167.4400000004</v>
      </c>
      <c r="BJ31" s="106">
        <f>+VLOOKUP($BD31,'June-25'!$A:$J,5,0)</f>
        <v>5351645</v>
      </c>
      <c r="BK31" s="106">
        <f>+VLOOKUP($BD31,'July-25'!$A:$J,5,0)</f>
        <v>5339602.03</v>
      </c>
      <c r="BL31" s="106">
        <f>+VLOOKUP($BD31,'Aug-25'!$A:$J,5,0)</f>
        <v>4595093.12</v>
      </c>
      <c r="BM31" s="106">
        <f>+VLOOKUP($BD31,'Sep-25'!$A:$J,5,0)</f>
        <v>5719094.4000000004</v>
      </c>
      <c r="BN31" s="106">
        <f>+VLOOKUP($BD31,'Oct-25'!$A:$J,5,0)</f>
        <v>3533962</v>
      </c>
      <c r="BO31" s="106">
        <f>+VLOOKUP($BD31,'Nov-25'!$A:$J,5,0)</f>
        <v>0</v>
      </c>
      <c r="BP31" s="106">
        <f>+VLOOKUP($BD31,'Dec-25'!$A:$J,5,0)</f>
        <v>0</v>
      </c>
      <c r="BQ31" s="106">
        <f t="shared" si="416"/>
        <v>54779832.939999998</v>
      </c>
      <c r="BR31" s="118">
        <f t="shared" si="417"/>
        <v>-0.42202417096702305</v>
      </c>
      <c r="BS31" s="106">
        <f>+_xlfn.XLOOKUP($BD31,Budget!$A:$A,Budget!BD:BD)</f>
        <v>6369142.5</v>
      </c>
      <c r="BT31" s="106">
        <f>+_xlfn.XLOOKUP($BD31,Budget!$A:$A,Budget!BE:BE)</f>
        <v>6187167</v>
      </c>
      <c r="BU31" s="106">
        <f>+_xlfn.XLOOKUP($BD31,Budget!$A:$A,Budget!BF:BF)</f>
        <v>5641240.5</v>
      </c>
      <c r="BV31" s="106">
        <f>+_xlfn.XLOOKUP($BD31,Budget!$A:$A,Budget!BG:BG)</f>
        <v>5450530.176</v>
      </c>
      <c r="BW31" s="106">
        <f>+_xlfn.XLOOKUP($BD31,Budget!$A:$A,Budget!BH:BH)</f>
        <v>5939680.3200000003</v>
      </c>
      <c r="BX31" s="106">
        <f>+_xlfn.XLOOKUP($BD31,Budget!$A:$A,Budget!BI:BI)</f>
        <v>6114376.7999999989</v>
      </c>
      <c r="BY31" s="106">
        <f>+_xlfn.XLOOKUP($BD31,Budget!$A:$A,Budget!BJ:BJ)</f>
        <v>6289073.2800000003</v>
      </c>
      <c r="BZ31" s="106">
        <f>+_xlfn.XLOOKUP($BD31,Budget!$A:$A,Budget!BK:BK)</f>
        <v>6485606.8200000003</v>
      </c>
      <c r="CA31" s="106">
        <f>+_xlfn.XLOOKUP($BD31,Budget!$A:$A,Budget!BL:BL)</f>
        <v>6878673.8999999994</v>
      </c>
      <c r="CB31" s="106">
        <f>+_xlfn.XLOOKUP($BD31,Budget!$A:$A,Budget!BM:BM)</f>
        <v>6114376.7999999989</v>
      </c>
      <c r="CC31" s="106">
        <f>+_xlfn.XLOOKUP($BD31,Budget!$A:$A,Budget!BN:BN)</f>
        <v>4891501.4400000004</v>
      </c>
      <c r="CD31" s="106">
        <f>+_xlfn.XLOOKUP($BD31,Budget!$A:$A,Budget!BO:BO)</f>
        <v>6463769.7599999998</v>
      </c>
      <c r="CE31" s="106">
        <f t="shared" si="418"/>
        <v>72825139.295999989</v>
      </c>
      <c r="CF31" s="106"/>
      <c r="CG31" s="106">
        <v>2099899.36</v>
      </c>
      <c r="CH31" s="106">
        <v>2687067.46</v>
      </c>
      <c r="CI31" s="106">
        <v>1292170.6499999997</v>
      </c>
      <c r="CJ31" s="106">
        <v>778893</v>
      </c>
      <c r="CK31" s="106">
        <v>3677672.42</v>
      </c>
      <c r="CL31" s="106">
        <v>1430686.13</v>
      </c>
      <c r="CM31" s="106">
        <v>1818726.1099999999</v>
      </c>
      <c r="CN31" s="106">
        <v>3437046.4</v>
      </c>
      <c r="CO31" s="106">
        <v>1543589.46</v>
      </c>
      <c r="CP31" s="106">
        <v>2555906.2999999998</v>
      </c>
      <c r="CQ31" s="106">
        <v>4879404.3899999997</v>
      </c>
      <c r="CR31" s="106">
        <v>4443623</v>
      </c>
      <c r="CS31" s="106">
        <f t="shared" si="419"/>
        <v>30644684.68</v>
      </c>
      <c r="CT31" s="7" t="str">
        <f t="shared" si="51"/>
        <v>Parts Revenue</v>
      </c>
      <c r="CU31" s="106">
        <f>+VLOOKUP($BD31,'Jan-25'!$A:$J,8,0)</f>
        <v>2135382</v>
      </c>
      <c r="CV31" s="106">
        <f>+VLOOKUP($BD31,'Feb-25'!$A:$J,8,0)</f>
        <v>497499</v>
      </c>
      <c r="CW31" s="106">
        <f>+VLOOKUP($BD31,'Mar-25'!$A:$J,8,0)</f>
        <v>3214545</v>
      </c>
      <c r="CX31" s="106">
        <f>+VLOOKUP($BD31,'Apr-25'!$A:$J,8,0)</f>
        <v>1177929</v>
      </c>
      <c r="CY31" s="106">
        <f>+VLOOKUP($BD31,'May-25'!$A:$J,8,0)</f>
        <v>2514776</v>
      </c>
      <c r="CZ31" s="106">
        <f>+VLOOKUP($BD31,'June-25'!$A:$J,8,0)</f>
        <v>1133546.2999999998</v>
      </c>
      <c r="DA31" s="106">
        <f>+VLOOKUP($BD31,'July-25'!$A:$J,8,0)</f>
        <v>2226806</v>
      </c>
      <c r="DB31" s="106">
        <f>+VLOOKUP($BD31,'Aug-25'!$A:$J,8,0)</f>
        <v>3257527.21</v>
      </c>
      <c r="DC31" s="106">
        <f>+VLOOKUP($BD31,'Sep-25'!$A:$J,8,0)</f>
        <v>1392168</v>
      </c>
      <c r="DD31" s="106">
        <f>+VLOOKUP($BD31,'Oct-25'!$A:$J,8,0)</f>
        <v>2312109</v>
      </c>
      <c r="DE31" s="106">
        <f>+VLOOKUP($BD31,'Nov-25'!$A:$J,8,0)</f>
        <v>0</v>
      </c>
      <c r="DF31" s="106">
        <f>+VLOOKUP($BD31,'Dec-25'!$A:$J,8,0)</f>
        <v>0</v>
      </c>
      <c r="DG31" s="106">
        <f t="shared" si="420"/>
        <v>19862287.510000002</v>
      </c>
      <c r="DH31" s="118">
        <f t="shared" si="421"/>
        <v>-1.9123059295797537E-2</v>
      </c>
      <c r="DI31" s="106">
        <f>+_xlfn.XLOOKUP($CT31,Budget!$A:$A,Budget!CQ:CQ)</f>
        <v>2387798.4000000004</v>
      </c>
      <c r="DJ31" s="106">
        <f>+_xlfn.XLOOKUP($CT31,Budget!$A:$A,Budget!CR:CR)</f>
        <v>2546984.9600000004</v>
      </c>
      <c r="DK31" s="106">
        <f>+_xlfn.XLOOKUP($CT31,Budget!$A:$A,Budget!CS:CS)</f>
        <v>3024544.6400000006</v>
      </c>
      <c r="DL31" s="106">
        <f>+_xlfn.XLOOKUP($CT31,Budget!$A:$A,Budget!CT:CT)</f>
        <v>1683704.0000000002</v>
      </c>
      <c r="DM31" s="106">
        <f>+_xlfn.XLOOKUP($CT31,Budget!$A:$A,Budget!CU:CU)</f>
        <v>2357185.6</v>
      </c>
      <c r="DN31" s="106">
        <f>+_xlfn.XLOOKUP($CT31,Budget!$A:$A,Budget!CV:CV)</f>
        <v>2693926.4000000004</v>
      </c>
      <c r="DO31" s="106">
        <f>+_xlfn.XLOOKUP($CT31,Budget!$A:$A,Budget!CW:CW)</f>
        <v>2571475.2000000002</v>
      </c>
      <c r="DP31" s="106">
        <f>+_xlfn.XLOOKUP($CT31,Budget!$A:$A,Budget!CX:CX)</f>
        <v>3214343.9999999995</v>
      </c>
      <c r="DQ31" s="106">
        <f>+_xlfn.XLOOKUP($CT31,Budget!$A:$A,Budget!CY:CY)</f>
        <v>3398020.8</v>
      </c>
      <c r="DR31" s="106">
        <f>+_xlfn.XLOOKUP($CT31,Budget!$A:$A,Budget!CZ:CZ)</f>
        <v>2357185.6</v>
      </c>
      <c r="DS31" s="106">
        <f>+_xlfn.XLOOKUP($CT31,Budget!$A:$A,Budget!DA:DA)</f>
        <v>1885748.4800000002</v>
      </c>
      <c r="DT31" s="106">
        <f>+_xlfn.XLOOKUP($CT31,Budget!$A:$A,Budget!DB:DB)</f>
        <v>2491881.92</v>
      </c>
      <c r="DU31" s="106">
        <f t="shared" si="422"/>
        <v>30612800.000000007</v>
      </c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106">
        <f t="shared" si="423"/>
        <v>0</v>
      </c>
      <c r="EJ31" s="7" t="str">
        <f t="shared" si="217"/>
        <v>Parts Revenue</v>
      </c>
      <c r="EK31" s="22">
        <f>+VLOOKUP($BD31,'Jan-25'!$A:$J,10,0)</f>
        <v>407910.26</v>
      </c>
      <c r="EL31" s="22">
        <f>+VLOOKUP($BD31,'Feb-25'!$A:$J,10,0)</f>
        <v>246620</v>
      </c>
      <c r="EM31" s="22">
        <f>+VLOOKUP($BD31,'Mar-25'!$A:$J,10,0)</f>
        <v>693078</v>
      </c>
      <c r="EN31" s="22">
        <f>+VLOOKUP($BD31,'Apr-25'!$A:$J,10,0)</f>
        <v>83126</v>
      </c>
      <c r="EO31" s="22">
        <f>+VLOOKUP($BD31,'May-25'!$A:$J,10,0)</f>
        <v>221339.39</v>
      </c>
      <c r="EP31" s="22">
        <f>+VLOOKUP($BD31,'June-25'!$A:$J,10,0)</f>
        <v>1882813.9100000001</v>
      </c>
      <c r="EQ31" s="22">
        <f>+VLOOKUP($BD31,'July-25'!$A:$J,10,0)</f>
        <v>800303</v>
      </c>
      <c r="ER31" s="22">
        <f>+VLOOKUP($BD31,'Aug-25'!$A:$J,10,0)</f>
        <v>1264907.5</v>
      </c>
      <c r="ES31" s="22">
        <f>+VLOOKUP($BD31,'Sep-25'!$A:$J,10,0)</f>
        <v>426620</v>
      </c>
      <c r="ET31" s="22">
        <f>+VLOOKUP($BD31,'Oct-25'!$A:$J,10,0)</f>
        <v>562211.5</v>
      </c>
      <c r="EU31" s="22">
        <f>+VLOOKUP($BD31,'Nov-25'!$A:$J,10,0)</f>
        <v>0</v>
      </c>
      <c r="EV31" s="22">
        <f>+VLOOKUP($BD31,'Dec-25'!$A:$J,10,0)</f>
        <v>0</v>
      </c>
      <c r="EW31" s="22">
        <f t="shared" si="424"/>
        <v>6588929.5600000005</v>
      </c>
      <c r="EX31" s="118">
        <f t="shared" si="425"/>
        <v>-0.67286251054366997</v>
      </c>
      <c r="EY31" s="106">
        <f>+_xlfn.XLOOKUP($EJ31,Budget!$A:$A,Budget!DR:DR)</f>
        <v>1134000</v>
      </c>
      <c r="EZ31" s="106">
        <f>+_xlfn.XLOOKUP($EJ31,Budget!$A:$A,Budget!DS:DS)</f>
        <v>1058400.0000000002</v>
      </c>
      <c r="FA31" s="106">
        <f>+_xlfn.XLOOKUP($EJ31,Budget!$A:$A,Budget!DT:DT)</f>
        <v>1181250.0000000002</v>
      </c>
      <c r="FB31" s="106">
        <f>+_xlfn.XLOOKUP($EJ31,Budget!$A:$A,Budget!DU:DU)</f>
        <v>1058400.0000000002</v>
      </c>
      <c r="FC31" s="106">
        <f>+_xlfn.XLOOKUP($EJ31,Budget!$A:$A,Budget!DV:DV)</f>
        <v>1260000</v>
      </c>
      <c r="FD31" s="106">
        <f>+_xlfn.XLOOKUP($EJ31,Budget!$A:$A,Budget!DW:DW)</f>
        <v>1260000</v>
      </c>
      <c r="FE31" s="106">
        <f>+_xlfn.XLOOKUP($EJ31,Budget!$A:$A,Budget!DX:DX)</f>
        <v>1417500.0000000002</v>
      </c>
      <c r="FF31" s="106">
        <f>+_xlfn.XLOOKUP($EJ31,Budget!$A:$A,Budget!DY:DY)</f>
        <v>1365000.0000000002</v>
      </c>
      <c r="FG31" s="106">
        <f>+_xlfn.XLOOKUP($EJ31,Budget!$A:$A,Budget!DZ:DZ)</f>
        <v>1304100.0000000002</v>
      </c>
      <c r="FH31" s="106">
        <f>+_xlfn.XLOOKUP($EJ31,Budget!$A:$A,Budget!EA:EA)</f>
        <v>855555.5555555555</v>
      </c>
      <c r="FI31" s="106">
        <f>+_xlfn.XLOOKUP($EJ31,Budget!$A:$A,Budget!EB:EB)</f>
        <v>879822.22222222236</v>
      </c>
      <c r="FJ31" s="106">
        <f>+_xlfn.XLOOKUP($EJ31,Budget!$A:$A,Budget!EC:EC)</f>
        <v>913244.04040404037</v>
      </c>
      <c r="FK31" s="106">
        <f t="shared" si="426"/>
        <v>13687271.818181818</v>
      </c>
    </row>
    <row r="32" spans="1:167" ht="14.45" customHeight="1">
      <c r="A32" s="106">
        <f t="shared" si="427"/>
        <v>1280911.4300000002</v>
      </c>
      <c r="B32" s="106">
        <f t="shared" si="376"/>
        <v>2850671.3100000005</v>
      </c>
      <c r="C32" s="106">
        <f t="shared" si="377"/>
        <v>1319714.8</v>
      </c>
      <c r="D32" s="106">
        <f t="shared" si="378"/>
        <v>2073477.8900000001</v>
      </c>
      <c r="E32" s="106">
        <f t="shared" si="379"/>
        <v>1746688.8600000003</v>
      </c>
      <c r="F32" s="106">
        <f t="shared" si="380"/>
        <v>1729731.2999999998</v>
      </c>
      <c r="G32" s="106">
        <f t="shared" si="381"/>
        <v>1871103.7100000004</v>
      </c>
      <c r="H32" s="106">
        <f t="shared" si="382"/>
        <v>2130528.25</v>
      </c>
      <c r="I32" s="106">
        <f t="shared" si="383"/>
        <v>1697964.94</v>
      </c>
      <c r="J32" s="106">
        <f t="shared" si="384"/>
        <v>2275564.73</v>
      </c>
      <c r="K32" s="106">
        <f t="shared" si="385"/>
        <v>2435360.25</v>
      </c>
      <c r="L32" s="106">
        <f t="shared" si="386"/>
        <v>2355119.4600000004</v>
      </c>
      <c r="M32" s="106">
        <f t="shared" si="387"/>
        <v>23766836.930000003</v>
      </c>
      <c r="N32" s="7" t="s">
        <v>27</v>
      </c>
      <c r="O32" s="106">
        <f t="shared" si="388"/>
        <v>2346452.5799999996</v>
      </c>
      <c r="P32" s="106">
        <f t="shared" si="389"/>
        <v>1003382</v>
      </c>
      <c r="Q32" s="106">
        <f t="shared" si="390"/>
        <v>2351817.2000000002</v>
      </c>
      <c r="R32" s="106">
        <f t="shared" si="391"/>
        <v>1645520.6400000001</v>
      </c>
      <c r="S32" s="106">
        <f t="shared" si="392"/>
        <v>2755392.23</v>
      </c>
      <c r="T32" s="106">
        <f t="shared" si="393"/>
        <v>2290611.88</v>
      </c>
      <c r="U32" s="106">
        <f t="shared" si="394"/>
        <v>2165197.2399999998</v>
      </c>
      <c r="V32" s="106">
        <f t="shared" si="395"/>
        <v>1991644.5399999998</v>
      </c>
      <c r="W32" s="106">
        <f t="shared" si="396"/>
        <v>2525317.4799999995</v>
      </c>
      <c r="X32" s="106">
        <f t="shared" si="397"/>
        <v>1662986.1099999999</v>
      </c>
      <c r="Y32" s="106">
        <f t="shared" si="398"/>
        <v>0</v>
      </c>
      <c r="Z32" s="106">
        <f t="shared" si="399"/>
        <v>0</v>
      </c>
      <c r="AA32" s="106">
        <f t="shared" si="400"/>
        <v>20738321.899999999</v>
      </c>
      <c r="AB32" s="118">
        <f t="shared" si="401"/>
        <v>-0.2559524332338376</v>
      </c>
      <c r="AC32" s="106">
        <f t="shared" si="402"/>
        <v>2405422.7250000001</v>
      </c>
      <c r="AD32" s="106">
        <f t="shared" si="403"/>
        <v>2386982.9900000002</v>
      </c>
      <c r="AE32" s="106">
        <f t="shared" si="404"/>
        <v>2429898.7850000001</v>
      </c>
      <c r="AF32" s="106">
        <f t="shared" si="405"/>
        <v>1984464.2239999999</v>
      </c>
      <c r="AG32" s="106">
        <f t="shared" si="406"/>
        <v>2335904.08</v>
      </c>
      <c r="AH32" s="106">
        <f t="shared" si="407"/>
        <v>2467599.7999999998</v>
      </c>
      <c r="AI32" s="106">
        <f t="shared" si="408"/>
        <v>2517497.5200000005</v>
      </c>
      <c r="AJ32" s="106">
        <f t="shared" si="409"/>
        <v>2723382.8049999997</v>
      </c>
      <c r="AK32" s="106">
        <f t="shared" si="410"/>
        <v>2845028.1749999998</v>
      </c>
      <c r="AL32" s="106">
        <f t="shared" si="411"/>
        <v>2235053.4888888891</v>
      </c>
      <c r="AM32" s="106">
        <f t="shared" si="412"/>
        <v>1836887.2355555557</v>
      </c>
      <c r="AN32" s="106">
        <f t="shared" si="413"/>
        <v>2364970.7301010098</v>
      </c>
      <c r="AO32" s="106">
        <f t="shared" si="414"/>
        <v>28533092.558545455</v>
      </c>
      <c r="AQ32" s="106">
        <v>814072.92</v>
      </c>
      <c r="AR32" s="106">
        <v>2068383.0700000003</v>
      </c>
      <c r="AS32" s="106">
        <v>949982.57000000007</v>
      </c>
      <c r="AT32" s="106">
        <v>1623786.68</v>
      </c>
      <c r="AU32" s="106">
        <v>776000.68</v>
      </c>
      <c r="AV32" s="106">
        <v>1239527.7199999997</v>
      </c>
      <c r="AW32" s="106">
        <v>1312829.6000000003</v>
      </c>
      <c r="AX32" s="106">
        <v>1309947.72</v>
      </c>
      <c r="AY32" s="106">
        <v>1171410.28</v>
      </c>
      <c r="AZ32" s="106">
        <v>1447177.46</v>
      </c>
      <c r="BA32" s="106">
        <v>1588275.3900000001</v>
      </c>
      <c r="BB32" s="106">
        <v>1470209.7600000005</v>
      </c>
      <c r="BC32" s="106">
        <f t="shared" si="415"/>
        <v>15771603.85</v>
      </c>
      <c r="BD32" s="7" t="str">
        <f t="shared" si="47"/>
        <v>Labour Revenue</v>
      </c>
      <c r="BE32" s="106">
        <f>+VLOOKUP($BD32,'Jan-25'!$A:$J,5,0)</f>
        <v>1479215.1499999997</v>
      </c>
      <c r="BF32" s="106">
        <f>+VLOOKUP($BD32,'Feb-25'!$A:$J,5,0)</f>
        <v>635907.19999999995</v>
      </c>
      <c r="BG32" s="106">
        <f>+VLOOKUP($BD32,'Mar-25'!$A:$J,5,0)</f>
        <v>1590466.1500000001</v>
      </c>
      <c r="BH32" s="106">
        <f>+VLOOKUP($BD32,'Apr-25'!$A:$J,5,0)</f>
        <v>1178111.4900000002</v>
      </c>
      <c r="BI32" s="106">
        <f>+VLOOKUP($BD32,'May-25'!$A:$J,5,0)</f>
        <v>1873625.93</v>
      </c>
      <c r="BJ32" s="106">
        <f>+VLOOKUP($BD32,'June-25'!$A:$J,5,0)</f>
        <v>1336326.9600000002</v>
      </c>
      <c r="BK32" s="106">
        <f>+VLOOKUP($BD32,'July-25'!$A:$J,5,0)</f>
        <v>1240767.6799999997</v>
      </c>
      <c r="BL32" s="106">
        <f>+VLOOKUP($BD32,'Aug-25'!$A:$J,5,0)</f>
        <v>866834.48</v>
      </c>
      <c r="BM32" s="106">
        <f>+VLOOKUP($BD32,'Sep-25'!$A:$J,5,0)</f>
        <v>1489694.38</v>
      </c>
      <c r="BN32" s="106">
        <f>+VLOOKUP($BD32,'Oct-25'!$A:$J,5,0)</f>
        <v>821230.82000000007</v>
      </c>
      <c r="BO32" s="106">
        <f>+VLOOKUP($BD32,'Nov-25'!$A:$J,5,0)</f>
        <v>0</v>
      </c>
      <c r="BP32" s="106">
        <f>+VLOOKUP($BD32,'Dec-25'!$A:$J,5,0)</f>
        <v>0</v>
      </c>
      <c r="BQ32" s="106">
        <f t="shared" si="416"/>
        <v>12512180.239999998</v>
      </c>
      <c r="BR32" s="118">
        <f t="shared" si="417"/>
        <v>-0.40235794853746926</v>
      </c>
      <c r="BS32" s="106">
        <f>+_xlfn.XLOOKUP($BD32,Budget!$A:$A,Budget!BD:BD)</f>
        <v>1431373.125</v>
      </c>
      <c r="BT32" s="106">
        <f>+_xlfn.XLOOKUP($BD32,Budget!$A:$A,Budget!BE:BE)</f>
        <v>1390476.75</v>
      </c>
      <c r="BU32" s="106">
        <f>+_xlfn.XLOOKUP($BD32,Budget!$A:$A,Budget!BF:BF)</f>
        <v>1267787.625</v>
      </c>
      <c r="BV32" s="106">
        <f>+_xlfn.XLOOKUP($BD32,Budget!$A:$A,Budget!BG:BG)</f>
        <v>1224928.2239999999</v>
      </c>
      <c r="BW32" s="106">
        <f>+_xlfn.XLOOKUP($BD32,Budget!$A:$A,Budget!BH:BH)</f>
        <v>1334857.68</v>
      </c>
      <c r="BX32" s="106">
        <f>+_xlfn.XLOOKUP($BD32,Budget!$A:$A,Budget!BI:BI)</f>
        <v>1374118.2</v>
      </c>
      <c r="BY32" s="106">
        <f>+_xlfn.XLOOKUP($BD32,Budget!$A:$A,Budget!BJ:BJ)</f>
        <v>1413378.7200000002</v>
      </c>
      <c r="BZ32" s="106">
        <f>+_xlfn.XLOOKUP($BD32,Budget!$A:$A,Budget!BK:BK)</f>
        <v>1457546.8050000002</v>
      </c>
      <c r="CA32" s="106">
        <f>+_xlfn.XLOOKUP($BD32,Budget!$A:$A,Budget!BL:BL)</f>
        <v>1545882.9749999999</v>
      </c>
      <c r="CB32" s="106">
        <f>+_xlfn.XLOOKUP($BD32,Budget!$A:$A,Budget!BM:BM)</f>
        <v>1374118.2</v>
      </c>
      <c r="CC32" s="106">
        <f>+_xlfn.XLOOKUP($BD32,Budget!$A:$A,Budget!BN:BN)</f>
        <v>1099294.56</v>
      </c>
      <c r="CD32" s="106">
        <f>+_xlfn.XLOOKUP($BD32,Budget!$A:$A,Budget!BO:BO)</f>
        <v>1452639.24</v>
      </c>
      <c r="CE32" s="106">
        <f t="shared" si="418"/>
        <v>16366402.103999998</v>
      </c>
      <c r="CF32" s="106"/>
      <c r="CG32" s="106">
        <v>466838.51</v>
      </c>
      <c r="CH32" s="106">
        <v>782288.24</v>
      </c>
      <c r="CI32" s="106">
        <v>369732.23</v>
      </c>
      <c r="CJ32" s="106">
        <v>449691.21000000008</v>
      </c>
      <c r="CK32" s="106">
        <v>970688.18000000017</v>
      </c>
      <c r="CL32" s="106">
        <v>490203.58</v>
      </c>
      <c r="CM32" s="106">
        <v>558274.11</v>
      </c>
      <c r="CN32" s="106">
        <v>820580.53</v>
      </c>
      <c r="CO32" s="106">
        <v>526554.66</v>
      </c>
      <c r="CP32" s="106">
        <v>828387.2699999999</v>
      </c>
      <c r="CQ32" s="106">
        <v>847084.86</v>
      </c>
      <c r="CR32" s="106">
        <v>884909.70000000007</v>
      </c>
      <c r="CS32" s="106">
        <f t="shared" si="419"/>
        <v>7995233.0800000001</v>
      </c>
      <c r="CT32" s="7" t="str">
        <f t="shared" si="51"/>
        <v>Labour Revenue</v>
      </c>
      <c r="CU32" s="106">
        <f>+VLOOKUP($BD32,'Jan-25'!$A:$J,8,0)</f>
        <v>748862.99000000011</v>
      </c>
      <c r="CV32" s="106">
        <f>+VLOOKUP($BD32,'Feb-25'!$A:$J,8,0)</f>
        <v>306684.40000000002</v>
      </c>
      <c r="CW32" s="106">
        <f>+VLOOKUP($BD32,'Mar-25'!$A:$J,8,0)</f>
        <v>528048.15</v>
      </c>
      <c r="CX32" s="106">
        <f>+VLOOKUP($BD32,'Apr-25'!$A:$J,8,0)</f>
        <v>424886.25</v>
      </c>
      <c r="CY32" s="106">
        <f>+VLOOKUP($BD32,'May-25'!$A:$J,8,0)</f>
        <v>763430.70000000007</v>
      </c>
      <c r="CZ32" s="106">
        <f>+VLOOKUP($BD32,'June-25'!$A:$J,8,0)</f>
        <v>574555.89999999991</v>
      </c>
      <c r="DA32" s="106">
        <f>+VLOOKUP($BD32,'July-25'!$A:$J,8,0)</f>
        <v>802790.74999999988</v>
      </c>
      <c r="DB32" s="106">
        <f>+VLOOKUP($BD32,'Aug-25'!$A:$J,8,0)</f>
        <v>813552.11</v>
      </c>
      <c r="DC32" s="106">
        <f>+VLOOKUP($BD32,'Sep-25'!$A:$J,8,0)</f>
        <v>893891.09999999986</v>
      </c>
      <c r="DD32" s="106">
        <f>+VLOOKUP($BD32,'Oct-25'!$A:$J,8,0)</f>
        <v>693718.78999999992</v>
      </c>
      <c r="DE32" s="106">
        <f>+VLOOKUP($BD32,'Nov-25'!$A:$J,8,0)</f>
        <v>0</v>
      </c>
      <c r="DF32" s="106">
        <f>+VLOOKUP($BD32,'Dec-25'!$A:$J,8,0)</f>
        <v>0</v>
      </c>
      <c r="DG32" s="106">
        <f t="shared" si="420"/>
        <v>6550421.1399999997</v>
      </c>
      <c r="DH32" s="118">
        <f t="shared" si="421"/>
        <v>7.2131442196417289E-2</v>
      </c>
      <c r="DI32" s="106">
        <f>+_xlfn.XLOOKUP($CT32,Budget!$A:$A,Budget!CQ:CQ)</f>
        <v>655449.59999999998</v>
      </c>
      <c r="DJ32" s="106">
        <f>+_xlfn.XLOOKUP($CT32,Budget!$A:$A,Budget!CR:CR)</f>
        <v>699146.24000000011</v>
      </c>
      <c r="DK32" s="106">
        <f>+_xlfn.XLOOKUP($CT32,Budget!$A:$A,Budget!CS:CS)</f>
        <v>830236.16000000015</v>
      </c>
      <c r="DL32" s="106">
        <f>+_xlfn.XLOOKUP($CT32,Budget!$A:$A,Budget!CT:CT)</f>
        <v>462176.00000000006</v>
      </c>
      <c r="DM32" s="106">
        <f>+_xlfn.XLOOKUP($CT32,Budget!$A:$A,Budget!CU:CU)</f>
        <v>647046.40000000002</v>
      </c>
      <c r="DN32" s="106">
        <f>+_xlfn.XLOOKUP($CT32,Budget!$A:$A,Budget!CV:CV)</f>
        <v>739481.60000000009</v>
      </c>
      <c r="DO32" s="106">
        <f>+_xlfn.XLOOKUP($CT32,Budget!$A:$A,Budget!CW:CW)</f>
        <v>705868.80000000005</v>
      </c>
      <c r="DP32" s="106">
        <f>+_xlfn.XLOOKUP($CT32,Budget!$A:$A,Budget!CX:CX)</f>
        <v>882335.99999999977</v>
      </c>
      <c r="DQ32" s="106">
        <f>+_xlfn.XLOOKUP($CT32,Budget!$A:$A,Budget!CY:CY)</f>
        <v>932755.2</v>
      </c>
      <c r="DR32" s="106">
        <f>+_xlfn.XLOOKUP($CT32,Budget!$A:$A,Budget!CZ:CZ)</f>
        <v>647046.40000000002</v>
      </c>
      <c r="DS32" s="106">
        <f>+_xlfn.XLOOKUP($CT32,Budget!$A:$A,Budget!DA:DA)</f>
        <v>517637.12000000005</v>
      </c>
      <c r="DT32" s="106">
        <f>+_xlfn.XLOOKUP($CT32,Budget!$A:$A,Budget!DB:DB)</f>
        <v>684020.48</v>
      </c>
      <c r="DU32" s="106">
        <f t="shared" si="422"/>
        <v>8403200</v>
      </c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106">
        <f t="shared" si="423"/>
        <v>0</v>
      </c>
      <c r="EJ32" s="7" t="str">
        <f t="shared" si="217"/>
        <v>Labour Revenue</v>
      </c>
      <c r="EK32" s="22">
        <f>+VLOOKUP($BD32,'Jan-25'!$A:$J,10,0)</f>
        <v>118374.44</v>
      </c>
      <c r="EL32" s="22">
        <f>+VLOOKUP($BD32,'Feb-25'!$A:$J,10,0)</f>
        <v>60790.400000000001</v>
      </c>
      <c r="EM32" s="22">
        <f>+VLOOKUP($BD32,'Mar-25'!$A:$J,10,0)</f>
        <v>233302.9</v>
      </c>
      <c r="EN32" s="22">
        <f>+VLOOKUP($BD32,'Apr-25'!$A:$J,10,0)</f>
        <v>42522.9</v>
      </c>
      <c r="EO32" s="22">
        <f>+VLOOKUP($BD32,'May-25'!$A:$J,10,0)</f>
        <v>118335.6</v>
      </c>
      <c r="EP32" s="22">
        <f>+VLOOKUP($BD32,'June-25'!$A:$J,10,0)</f>
        <v>379729.02</v>
      </c>
      <c r="EQ32" s="22">
        <f>+VLOOKUP($BD32,'July-25'!$A:$J,10,0)</f>
        <v>121638.81</v>
      </c>
      <c r="ER32" s="22">
        <f>+VLOOKUP($BD32,'Aug-25'!$A:$J,10,0)</f>
        <v>311257.95</v>
      </c>
      <c r="ES32" s="22">
        <f>+VLOOKUP($BD32,'Sep-25'!$A:$J,10,0)</f>
        <v>141732</v>
      </c>
      <c r="ET32" s="22">
        <f>+VLOOKUP($BD32,'Oct-25'!$A:$J,10,0)</f>
        <v>148036.5</v>
      </c>
      <c r="EU32" s="22">
        <f>+VLOOKUP($BD32,'Nov-25'!$A:$J,10,0)</f>
        <v>0</v>
      </c>
      <c r="EV32" s="22">
        <f>+VLOOKUP($BD32,'Dec-25'!$A:$J,10,0)</f>
        <v>0</v>
      </c>
      <c r="EW32" s="22">
        <f t="shared" si="424"/>
        <v>1675720.52</v>
      </c>
      <c r="EX32" s="118">
        <f t="shared" si="425"/>
        <v>-0.61316629820682889</v>
      </c>
      <c r="EY32" s="106">
        <f>+_xlfn.XLOOKUP($EJ32,Budget!$A:$A,Budget!DR:DR)</f>
        <v>318600</v>
      </c>
      <c r="EZ32" s="106">
        <f>+_xlfn.XLOOKUP($EJ32,Budget!$A:$A,Budget!DS:DS)</f>
        <v>297360.00000000006</v>
      </c>
      <c r="FA32" s="106">
        <f>+_xlfn.XLOOKUP($EJ32,Budget!$A:$A,Budget!DT:DT)</f>
        <v>331875.00000000006</v>
      </c>
      <c r="FB32" s="106">
        <f>+_xlfn.XLOOKUP($EJ32,Budget!$A:$A,Budget!DU:DU)</f>
        <v>297360.00000000006</v>
      </c>
      <c r="FC32" s="106">
        <f>+_xlfn.XLOOKUP($EJ32,Budget!$A:$A,Budget!DV:DV)</f>
        <v>354000</v>
      </c>
      <c r="FD32" s="106">
        <f>+_xlfn.XLOOKUP($EJ32,Budget!$A:$A,Budget!DW:DW)</f>
        <v>354000</v>
      </c>
      <c r="FE32" s="106">
        <f>+_xlfn.XLOOKUP($EJ32,Budget!$A:$A,Budget!DX:DX)</f>
        <v>398250.00000000006</v>
      </c>
      <c r="FF32" s="106">
        <f>+_xlfn.XLOOKUP($EJ32,Budget!$A:$A,Budget!DY:DY)</f>
        <v>383500.00000000006</v>
      </c>
      <c r="FG32" s="106">
        <f>+_xlfn.XLOOKUP($EJ32,Budget!$A:$A,Budget!DZ:DZ)</f>
        <v>366390.00000000006</v>
      </c>
      <c r="FH32" s="106">
        <f>+_xlfn.XLOOKUP($EJ32,Budget!$A:$A,Budget!EA:EA)</f>
        <v>213888.88888888888</v>
      </c>
      <c r="FI32" s="106">
        <f>+_xlfn.XLOOKUP($EJ32,Budget!$A:$A,Budget!EB:EB)</f>
        <v>219955.55555555559</v>
      </c>
      <c r="FJ32" s="106">
        <f>+_xlfn.XLOOKUP($EJ32,Budget!$A:$A,Budget!EC:EC)</f>
        <v>228311.01010101009</v>
      </c>
      <c r="FK32" s="106">
        <f t="shared" si="426"/>
        <v>3763490.4545454546</v>
      </c>
    </row>
    <row r="33" spans="1:167" ht="14.45" customHeight="1">
      <c r="A33" s="106">
        <f t="shared" si="427"/>
        <v>0</v>
      </c>
      <c r="B33" s="106">
        <f t="shared" si="376"/>
        <v>0</v>
      </c>
      <c r="C33" s="106">
        <f t="shared" si="377"/>
        <v>0</v>
      </c>
      <c r="D33" s="106">
        <f t="shared" si="378"/>
        <v>0</v>
      </c>
      <c r="E33" s="106">
        <f t="shared" si="379"/>
        <v>0</v>
      </c>
      <c r="F33" s="106">
        <f t="shared" si="380"/>
        <v>0</v>
      </c>
      <c r="G33" s="106">
        <f t="shared" si="381"/>
        <v>0</v>
      </c>
      <c r="H33" s="106">
        <f t="shared" si="382"/>
        <v>0</v>
      </c>
      <c r="I33" s="106">
        <f t="shared" si="383"/>
        <v>0</v>
      </c>
      <c r="J33" s="106">
        <f t="shared" si="384"/>
        <v>0</v>
      </c>
      <c r="K33" s="106">
        <f t="shared" si="385"/>
        <v>0</v>
      </c>
      <c r="L33" s="106">
        <f t="shared" si="386"/>
        <v>0</v>
      </c>
      <c r="M33" s="106">
        <f t="shared" si="387"/>
        <v>0</v>
      </c>
      <c r="N33" s="7" t="s">
        <v>28</v>
      </c>
      <c r="O33" s="106">
        <f t="shared" si="388"/>
        <v>0</v>
      </c>
      <c r="P33" s="106">
        <f t="shared" si="389"/>
        <v>0</v>
      </c>
      <c r="Q33" s="106">
        <f t="shared" si="390"/>
        <v>0</v>
      </c>
      <c r="R33" s="106">
        <f t="shared" si="391"/>
        <v>81396</v>
      </c>
      <c r="S33" s="106">
        <f t="shared" si="392"/>
        <v>0</v>
      </c>
      <c r="T33" s="106">
        <f t="shared" si="393"/>
        <v>0</v>
      </c>
      <c r="U33" s="106">
        <f t="shared" si="394"/>
        <v>90117</v>
      </c>
      <c r="V33" s="106">
        <f t="shared" si="395"/>
        <v>0</v>
      </c>
      <c r="W33" s="106">
        <f t="shared" si="396"/>
        <v>0</v>
      </c>
      <c r="X33" s="106">
        <f t="shared" si="397"/>
        <v>0</v>
      </c>
      <c r="Y33" s="106">
        <f t="shared" si="398"/>
        <v>0</v>
      </c>
      <c r="Z33" s="106">
        <f t="shared" si="399"/>
        <v>0</v>
      </c>
      <c r="AA33" s="106">
        <f t="shared" si="400"/>
        <v>171513</v>
      </c>
      <c r="AB33" s="118">
        <f t="shared" si="401"/>
        <v>0</v>
      </c>
      <c r="AC33" s="106">
        <f t="shared" si="402"/>
        <v>0</v>
      </c>
      <c r="AD33" s="106">
        <f t="shared" si="403"/>
        <v>0</v>
      </c>
      <c r="AE33" s="106">
        <f t="shared" si="404"/>
        <v>0</v>
      </c>
      <c r="AF33" s="106">
        <f t="shared" si="405"/>
        <v>0</v>
      </c>
      <c r="AG33" s="106">
        <f t="shared" si="406"/>
        <v>0</v>
      </c>
      <c r="AH33" s="106">
        <f t="shared" si="407"/>
        <v>0</v>
      </c>
      <c r="AI33" s="106">
        <f t="shared" si="408"/>
        <v>0</v>
      </c>
      <c r="AJ33" s="106">
        <f t="shared" si="409"/>
        <v>0</v>
      </c>
      <c r="AK33" s="106">
        <f t="shared" si="410"/>
        <v>0</v>
      </c>
      <c r="AL33" s="106">
        <f t="shared" si="411"/>
        <v>0</v>
      </c>
      <c r="AM33" s="106">
        <f t="shared" si="412"/>
        <v>0</v>
      </c>
      <c r="AN33" s="106">
        <f t="shared" si="413"/>
        <v>0</v>
      </c>
      <c r="AO33" s="106">
        <f t="shared" si="414"/>
        <v>0</v>
      </c>
      <c r="AQ33" s="106">
        <v>0</v>
      </c>
      <c r="AR33" s="106">
        <v>0</v>
      </c>
      <c r="AS33" s="106">
        <v>0</v>
      </c>
      <c r="AT33" s="106">
        <v>0</v>
      </c>
      <c r="AU33" s="106">
        <v>0</v>
      </c>
      <c r="AV33" s="106">
        <v>0</v>
      </c>
      <c r="AW33" s="106">
        <v>0</v>
      </c>
      <c r="AX33" s="106">
        <v>0</v>
      </c>
      <c r="AY33" s="106">
        <v>0</v>
      </c>
      <c r="AZ33" s="106">
        <v>0</v>
      </c>
      <c r="BA33" s="106">
        <v>0</v>
      </c>
      <c r="BB33" s="106">
        <v>0</v>
      </c>
      <c r="BC33" s="106">
        <f t="shared" si="415"/>
        <v>0</v>
      </c>
      <c r="BD33" s="7" t="str">
        <f t="shared" si="47"/>
        <v>Warranty Parts</v>
      </c>
      <c r="BE33" s="106">
        <f>+VLOOKUP($BD33,'Jan-25'!$A:$J,5,0)</f>
        <v>0</v>
      </c>
      <c r="BF33" s="106">
        <f>+VLOOKUP($BD33,'Feb-25'!$A:$J,5,0)</f>
        <v>0</v>
      </c>
      <c r="BG33" s="106">
        <f>+VLOOKUP($BD33,'Mar-25'!$A:$J,5,0)</f>
        <v>0</v>
      </c>
      <c r="BH33" s="106">
        <f>+VLOOKUP($BD33,'Apr-25'!$A:$J,5,0)</f>
        <v>81396</v>
      </c>
      <c r="BI33" s="106">
        <f>+VLOOKUP($BD33,'May-25'!$A:$J,5,0)</f>
        <v>0</v>
      </c>
      <c r="BJ33" s="106">
        <f>+VLOOKUP($BD33,'June-25'!$A:$J,5,0)</f>
        <v>0</v>
      </c>
      <c r="BK33" s="106">
        <f>+VLOOKUP($BD33,'July-25'!$A:$J,5,0)</f>
        <v>90117</v>
      </c>
      <c r="BL33" s="106">
        <f>+VLOOKUP($BD33,'Aug-25'!$A:$J,5,0)</f>
        <v>0</v>
      </c>
      <c r="BM33" s="106">
        <f>+VLOOKUP($BD33,'Sep-25'!$A:$J,5,0)</f>
        <v>0</v>
      </c>
      <c r="BN33" s="106">
        <f>+VLOOKUP($BD33,'Oct-25'!$A:$J,5,0)</f>
        <v>0</v>
      </c>
      <c r="BO33" s="106">
        <f>+VLOOKUP($BD33,'Nov-25'!$A:$J,5,0)</f>
        <v>0</v>
      </c>
      <c r="BP33" s="106">
        <f>+VLOOKUP($BD33,'Dec-25'!$A:$J,5,0)</f>
        <v>0</v>
      </c>
      <c r="BQ33" s="106">
        <f t="shared" si="416"/>
        <v>171513</v>
      </c>
      <c r="BR33" s="118">
        <f t="shared" si="417"/>
        <v>0</v>
      </c>
      <c r="BS33" s="106">
        <f>+_xlfn.XLOOKUP($BD33,Budget!$A:$A,Budget!BD:BD)</f>
        <v>0</v>
      </c>
      <c r="BT33" s="106">
        <f>+_xlfn.XLOOKUP($BD33,Budget!$A:$A,Budget!BE:BE)</f>
        <v>0</v>
      </c>
      <c r="BU33" s="106">
        <f>+_xlfn.XLOOKUP($BD33,Budget!$A:$A,Budget!BF:BF)</f>
        <v>0</v>
      </c>
      <c r="BV33" s="106">
        <f>+_xlfn.XLOOKUP($BD33,Budget!$A:$A,Budget!BG:BG)</f>
        <v>0</v>
      </c>
      <c r="BW33" s="106">
        <f>+_xlfn.XLOOKUP($BD33,Budget!$A:$A,Budget!BH:BH)</f>
        <v>0</v>
      </c>
      <c r="BX33" s="106">
        <f>+_xlfn.XLOOKUP($BD33,Budget!$A:$A,Budget!BI:BI)</f>
        <v>0</v>
      </c>
      <c r="BY33" s="106">
        <f>+_xlfn.XLOOKUP($BD33,Budget!$A:$A,Budget!BJ:BJ)</f>
        <v>0</v>
      </c>
      <c r="BZ33" s="106">
        <f>+_xlfn.XLOOKUP($BD33,Budget!$A:$A,Budget!BK:BK)</f>
        <v>0</v>
      </c>
      <c r="CA33" s="106">
        <f>+_xlfn.XLOOKUP($BD33,Budget!$A:$A,Budget!BL:BL)</f>
        <v>0</v>
      </c>
      <c r="CB33" s="106">
        <f>+_xlfn.XLOOKUP($BD33,Budget!$A:$A,Budget!BM:BM)</f>
        <v>0</v>
      </c>
      <c r="CC33" s="106">
        <f>+_xlfn.XLOOKUP($BD33,Budget!$A:$A,Budget!BN:BN)</f>
        <v>0</v>
      </c>
      <c r="CD33" s="106">
        <f>+_xlfn.XLOOKUP($BD33,Budget!$A:$A,Budget!BO:BO)</f>
        <v>0</v>
      </c>
      <c r="CE33" s="106">
        <f t="shared" si="418"/>
        <v>0</v>
      </c>
      <c r="CF33" s="106"/>
      <c r="CG33" s="106"/>
      <c r="CH33" s="106"/>
      <c r="CI33" s="106"/>
      <c r="CJ33" s="106"/>
      <c r="CK33" s="106"/>
      <c r="CL33" s="106"/>
      <c r="CM33" s="106"/>
      <c r="CN33" s="106"/>
      <c r="CO33" s="106"/>
      <c r="CP33" s="106"/>
      <c r="CQ33" s="106"/>
      <c r="CR33" s="106"/>
      <c r="CS33" s="106">
        <f t="shared" si="419"/>
        <v>0</v>
      </c>
      <c r="CT33" s="7" t="str">
        <f t="shared" si="51"/>
        <v>Warranty Parts</v>
      </c>
      <c r="CU33" s="106">
        <f>+VLOOKUP($BD33,'Jan-25'!$A:$J,8,0)</f>
        <v>0</v>
      </c>
      <c r="CV33" s="106">
        <f>+VLOOKUP($BD33,'Feb-25'!$A:$J,8,0)</f>
        <v>0</v>
      </c>
      <c r="CW33" s="106">
        <f>+VLOOKUP($BD33,'Mar-25'!$A:$J,8,0)</f>
        <v>0</v>
      </c>
      <c r="CX33" s="106">
        <f>+VLOOKUP($BD33,'Apr-25'!$A:$J,8,0)</f>
        <v>0</v>
      </c>
      <c r="CY33" s="106">
        <f>+VLOOKUP($BD33,'May-25'!$A:$J,8,0)</f>
        <v>0</v>
      </c>
      <c r="CZ33" s="106">
        <f>+VLOOKUP($BD33,'June-25'!$A:$J,8,0)</f>
        <v>0</v>
      </c>
      <c r="DA33" s="106">
        <f>+VLOOKUP($BD33,'July-25'!$A:$J,8,0)</f>
        <v>0</v>
      </c>
      <c r="DB33" s="106">
        <f>+VLOOKUP($BD33,'Aug-25'!$A:$J,8,0)</f>
        <v>0</v>
      </c>
      <c r="DC33" s="106">
        <f>+VLOOKUP($BD33,'Sep-25'!$A:$J,8,0)</f>
        <v>0</v>
      </c>
      <c r="DD33" s="106">
        <f>+VLOOKUP($BD33,'Oct-25'!$A:$J,8,0)</f>
        <v>0</v>
      </c>
      <c r="DE33" s="106">
        <f>+VLOOKUP($BD33,'Nov-25'!$A:$J,8,0)</f>
        <v>0</v>
      </c>
      <c r="DF33" s="106">
        <f>+VLOOKUP($BD33,'Dec-25'!$A:$J,8,0)</f>
        <v>0</v>
      </c>
      <c r="DG33" s="106">
        <f t="shared" si="420"/>
        <v>0</v>
      </c>
      <c r="DH33" s="118">
        <f t="shared" si="421"/>
        <v>0</v>
      </c>
      <c r="DI33" s="106">
        <f>+_xlfn.XLOOKUP($CT33,Budget!$A:$A,Budget!CQ:CQ)</f>
        <v>0</v>
      </c>
      <c r="DJ33" s="106">
        <f>+_xlfn.XLOOKUP($CT33,Budget!$A:$A,Budget!CR:CR)</f>
        <v>0</v>
      </c>
      <c r="DK33" s="106">
        <f>+_xlfn.XLOOKUP($CT33,Budget!$A:$A,Budget!CS:CS)</f>
        <v>0</v>
      </c>
      <c r="DL33" s="106">
        <f>+_xlfn.XLOOKUP($CT33,Budget!$A:$A,Budget!CT:CT)</f>
        <v>0</v>
      </c>
      <c r="DM33" s="106">
        <f>+_xlfn.XLOOKUP($CT33,Budget!$A:$A,Budget!CU:CU)</f>
        <v>0</v>
      </c>
      <c r="DN33" s="106">
        <f>+_xlfn.XLOOKUP($CT33,Budget!$A:$A,Budget!CV:CV)</f>
        <v>0</v>
      </c>
      <c r="DO33" s="106">
        <f>+_xlfn.XLOOKUP($CT33,Budget!$A:$A,Budget!CW:CW)</f>
        <v>0</v>
      </c>
      <c r="DP33" s="106">
        <f>+_xlfn.XLOOKUP($CT33,Budget!$A:$A,Budget!CX:CX)</f>
        <v>0</v>
      </c>
      <c r="DQ33" s="106">
        <f>+_xlfn.XLOOKUP($CT33,Budget!$A:$A,Budget!CY:CY)</f>
        <v>0</v>
      </c>
      <c r="DR33" s="106">
        <f>+_xlfn.XLOOKUP($CT33,Budget!$A:$A,Budget!CZ:CZ)</f>
        <v>0</v>
      </c>
      <c r="DS33" s="106">
        <f>+_xlfn.XLOOKUP($CT33,Budget!$A:$A,Budget!DA:DA)</f>
        <v>0</v>
      </c>
      <c r="DT33" s="106">
        <f>+_xlfn.XLOOKUP($CT33,Budget!$A:$A,Budget!DB:DB)</f>
        <v>0</v>
      </c>
      <c r="DU33" s="106">
        <f t="shared" si="422"/>
        <v>0</v>
      </c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106">
        <f t="shared" si="423"/>
        <v>0</v>
      </c>
      <c r="EJ33" s="7" t="str">
        <f t="shared" si="217"/>
        <v>Warranty Parts</v>
      </c>
      <c r="EK33" s="22">
        <f>+VLOOKUP($BD33,'Jan-25'!$A:$J,10,0)</f>
        <v>0</v>
      </c>
      <c r="EL33" s="22">
        <f>+VLOOKUP($BD33,'Feb-25'!$A:$J,10,0)</f>
        <v>0</v>
      </c>
      <c r="EM33" s="22">
        <f>+VLOOKUP($BD33,'Mar-25'!$A:$J,10,0)</f>
        <v>0</v>
      </c>
      <c r="EN33" s="22">
        <f>+VLOOKUP($BD33,'Apr-25'!$A:$J,10,0)</f>
        <v>0</v>
      </c>
      <c r="EO33" s="22">
        <f>+VLOOKUP($BD33,'May-25'!$A:$J,10,0)</f>
        <v>0</v>
      </c>
      <c r="EP33" s="22">
        <f>+VLOOKUP($BD33,'June-25'!$A:$J,10,0)</f>
        <v>0</v>
      </c>
      <c r="EQ33" s="22">
        <f>+VLOOKUP($BD33,'July-25'!$A:$J,10,0)</f>
        <v>0</v>
      </c>
      <c r="ER33" s="22">
        <f>+VLOOKUP($BD33,'Aug-25'!$A:$J,10,0)</f>
        <v>0</v>
      </c>
      <c r="ES33" s="22">
        <f>+VLOOKUP($BD33,'Sep-25'!$A:$J,10,0)</f>
        <v>0</v>
      </c>
      <c r="ET33" s="22">
        <f>+VLOOKUP($BD33,'Oct-25'!$A:$J,10,0)</f>
        <v>0</v>
      </c>
      <c r="EU33" s="22">
        <f>+VLOOKUP($BD33,'Nov-25'!$A:$J,10,0)</f>
        <v>0</v>
      </c>
      <c r="EV33" s="22">
        <f>+VLOOKUP($BD33,'Dec-25'!$A:$J,10,0)</f>
        <v>0</v>
      </c>
      <c r="EW33" s="22">
        <f t="shared" si="424"/>
        <v>0</v>
      </c>
      <c r="EX33" s="118" t="e">
        <f t="shared" si="425"/>
        <v>#DIV/0!</v>
      </c>
      <c r="EY33" s="106">
        <f>+_xlfn.XLOOKUP($EJ33,Budget!$A:$A,Budget!DR:DR)</f>
        <v>0</v>
      </c>
      <c r="EZ33" s="106">
        <f>+_xlfn.XLOOKUP($EJ33,Budget!$A:$A,Budget!DS:DS)</f>
        <v>0</v>
      </c>
      <c r="FA33" s="106">
        <f>+_xlfn.XLOOKUP($EJ33,Budget!$A:$A,Budget!DT:DT)</f>
        <v>0</v>
      </c>
      <c r="FB33" s="106">
        <f>+_xlfn.XLOOKUP($EJ33,Budget!$A:$A,Budget!DU:DU)</f>
        <v>0</v>
      </c>
      <c r="FC33" s="106">
        <f>+_xlfn.XLOOKUP($EJ33,Budget!$A:$A,Budget!DV:DV)</f>
        <v>0</v>
      </c>
      <c r="FD33" s="106">
        <f>+_xlfn.XLOOKUP($EJ33,Budget!$A:$A,Budget!DW:DW)</f>
        <v>0</v>
      </c>
      <c r="FE33" s="106">
        <f>+_xlfn.XLOOKUP($EJ33,Budget!$A:$A,Budget!DX:DX)</f>
        <v>0</v>
      </c>
      <c r="FF33" s="106">
        <f>+_xlfn.XLOOKUP($EJ33,Budget!$A:$A,Budget!DY:DY)</f>
        <v>0</v>
      </c>
      <c r="FG33" s="106">
        <f>+_xlfn.XLOOKUP($EJ33,Budget!$A:$A,Budget!DZ:DZ)</f>
        <v>0</v>
      </c>
      <c r="FH33" s="106">
        <f>+_xlfn.XLOOKUP($EJ33,Budget!$A:$A,Budget!EA:EA)</f>
        <v>0</v>
      </c>
      <c r="FI33" s="106">
        <f>+_xlfn.XLOOKUP($EJ33,Budget!$A:$A,Budget!EB:EB)</f>
        <v>0</v>
      </c>
      <c r="FJ33" s="106">
        <f>+_xlfn.XLOOKUP($EJ33,Budget!$A:$A,Budget!EC:EC)</f>
        <v>0</v>
      </c>
      <c r="FK33" s="106">
        <f t="shared" si="426"/>
        <v>0</v>
      </c>
    </row>
    <row r="34" spans="1:167" ht="14.45" customHeight="1">
      <c r="A34" s="106">
        <f t="shared" si="427"/>
        <v>0</v>
      </c>
      <c r="B34" s="106">
        <f t="shared" si="376"/>
        <v>0</v>
      </c>
      <c r="C34" s="106">
        <f t="shared" si="377"/>
        <v>0</v>
      </c>
      <c r="D34" s="106">
        <f t="shared" si="378"/>
        <v>0</v>
      </c>
      <c r="E34" s="106">
        <f t="shared" si="379"/>
        <v>0</v>
      </c>
      <c r="F34" s="106">
        <f t="shared" si="380"/>
        <v>0</v>
      </c>
      <c r="G34" s="106">
        <f t="shared" si="381"/>
        <v>0</v>
      </c>
      <c r="H34" s="106">
        <f t="shared" si="382"/>
        <v>0</v>
      </c>
      <c r="I34" s="106">
        <f t="shared" si="383"/>
        <v>0</v>
      </c>
      <c r="J34" s="106">
        <f t="shared" si="384"/>
        <v>0</v>
      </c>
      <c r="K34" s="106">
        <f t="shared" si="385"/>
        <v>0</v>
      </c>
      <c r="L34" s="106">
        <f t="shared" si="386"/>
        <v>0</v>
      </c>
      <c r="M34" s="106">
        <f t="shared" si="387"/>
        <v>0</v>
      </c>
      <c r="N34" s="7" t="s">
        <v>29</v>
      </c>
      <c r="O34" s="106">
        <f t="shared" si="388"/>
        <v>0</v>
      </c>
      <c r="P34" s="106">
        <f t="shared" si="389"/>
        <v>0</v>
      </c>
      <c r="Q34" s="106">
        <f t="shared" si="390"/>
        <v>0</v>
      </c>
      <c r="R34" s="106">
        <f t="shared" si="391"/>
        <v>0</v>
      </c>
      <c r="S34" s="106">
        <f t="shared" si="392"/>
        <v>0</v>
      </c>
      <c r="T34" s="106">
        <f t="shared" si="393"/>
        <v>0</v>
      </c>
      <c r="U34" s="106">
        <f t="shared" si="394"/>
        <v>0</v>
      </c>
      <c r="V34" s="106">
        <f t="shared" si="395"/>
        <v>0</v>
      </c>
      <c r="W34" s="106">
        <f t="shared" si="396"/>
        <v>0</v>
      </c>
      <c r="X34" s="106">
        <f t="shared" si="397"/>
        <v>0</v>
      </c>
      <c r="Y34" s="106">
        <f t="shared" si="398"/>
        <v>0</v>
      </c>
      <c r="Z34" s="106">
        <f t="shared" si="399"/>
        <v>0</v>
      </c>
      <c r="AA34" s="106">
        <f t="shared" si="400"/>
        <v>0</v>
      </c>
      <c r="AB34" s="118">
        <f t="shared" si="401"/>
        <v>0</v>
      </c>
      <c r="AC34" s="106">
        <f t="shared" si="402"/>
        <v>0</v>
      </c>
      <c r="AD34" s="106">
        <f t="shared" si="403"/>
        <v>0</v>
      </c>
      <c r="AE34" s="106">
        <f t="shared" si="404"/>
        <v>0</v>
      </c>
      <c r="AF34" s="106">
        <f t="shared" si="405"/>
        <v>0</v>
      </c>
      <c r="AG34" s="106">
        <f t="shared" si="406"/>
        <v>0</v>
      </c>
      <c r="AH34" s="106">
        <f t="shared" si="407"/>
        <v>0</v>
      </c>
      <c r="AI34" s="106">
        <f t="shared" si="408"/>
        <v>0</v>
      </c>
      <c r="AJ34" s="106">
        <f t="shared" si="409"/>
        <v>0</v>
      </c>
      <c r="AK34" s="106">
        <f t="shared" si="410"/>
        <v>0</v>
      </c>
      <c r="AL34" s="106">
        <f t="shared" si="411"/>
        <v>0</v>
      </c>
      <c r="AM34" s="106">
        <f t="shared" si="412"/>
        <v>0</v>
      </c>
      <c r="AN34" s="106">
        <f t="shared" si="413"/>
        <v>0</v>
      </c>
      <c r="AO34" s="106">
        <f t="shared" si="414"/>
        <v>0</v>
      </c>
      <c r="AQ34" s="106">
        <v>0</v>
      </c>
      <c r="AR34" s="106">
        <v>0</v>
      </c>
      <c r="AS34" s="106">
        <v>0</v>
      </c>
      <c r="AT34" s="106">
        <v>0</v>
      </c>
      <c r="AU34" s="106">
        <v>0</v>
      </c>
      <c r="AV34" s="106">
        <v>0</v>
      </c>
      <c r="AW34" s="106">
        <v>0</v>
      </c>
      <c r="AX34" s="106">
        <v>0</v>
      </c>
      <c r="AY34" s="106">
        <v>0</v>
      </c>
      <c r="AZ34" s="106">
        <v>0</v>
      </c>
      <c r="BA34" s="106">
        <v>0</v>
      </c>
      <c r="BB34" s="106">
        <v>0</v>
      </c>
      <c r="BC34" s="106">
        <f t="shared" si="415"/>
        <v>0</v>
      </c>
      <c r="BD34" s="7" t="str">
        <f t="shared" si="47"/>
        <v>Warranty Labour</v>
      </c>
      <c r="BE34" s="106">
        <f>+VLOOKUP($BD34,'Jan-25'!$A:$J,5,0)</f>
        <v>0</v>
      </c>
      <c r="BF34" s="106">
        <f>+VLOOKUP($BD34,'Feb-25'!$A:$J,5,0)</f>
        <v>0</v>
      </c>
      <c r="BG34" s="106">
        <f>+VLOOKUP($BD34,'Mar-25'!$A:$J,5,0)</f>
        <v>0</v>
      </c>
      <c r="BH34" s="106">
        <f>+VLOOKUP($BD34,'Apr-25'!$A:$J,5,0)</f>
        <v>0</v>
      </c>
      <c r="BI34" s="106">
        <f>+VLOOKUP($BD34,'May-25'!$A:$J,5,0)</f>
        <v>0</v>
      </c>
      <c r="BJ34" s="106">
        <f>+VLOOKUP($BD34,'June-25'!$A:$J,5,0)</f>
        <v>0</v>
      </c>
      <c r="BK34" s="106">
        <f>+VLOOKUP($BD34,'July-25'!$A:$J,5,0)</f>
        <v>0</v>
      </c>
      <c r="BL34" s="106">
        <f>+VLOOKUP($BD34,'Aug-25'!$A:$J,5,0)</f>
        <v>0</v>
      </c>
      <c r="BM34" s="106">
        <f>+VLOOKUP($BD34,'Sep-25'!$A:$J,5,0)</f>
        <v>0</v>
      </c>
      <c r="BN34" s="106">
        <f>+VLOOKUP($BD34,'Oct-25'!$A:$J,5,0)</f>
        <v>0</v>
      </c>
      <c r="BO34" s="106">
        <f>+VLOOKUP($BD34,'Nov-25'!$A:$J,5,0)</f>
        <v>0</v>
      </c>
      <c r="BP34" s="106">
        <f>+VLOOKUP($BD34,'Dec-25'!$A:$J,5,0)</f>
        <v>0</v>
      </c>
      <c r="BQ34" s="106">
        <f t="shared" si="416"/>
        <v>0</v>
      </c>
      <c r="BR34" s="118">
        <f t="shared" si="417"/>
        <v>0</v>
      </c>
      <c r="BS34" s="106">
        <f>+_xlfn.XLOOKUP($BD34,Budget!$A:$A,Budget!BD:BD)</f>
        <v>0</v>
      </c>
      <c r="BT34" s="106">
        <f>+_xlfn.XLOOKUP($BD34,Budget!$A:$A,Budget!BE:BE)</f>
        <v>0</v>
      </c>
      <c r="BU34" s="106">
        <f>+_xlfn.XLOOKUP($BD34,Budget!$A:$A,Budget!BF:BF)</f>
        <v>0</v>
      </c>
      <c r="BV34" s="106">
        <f>+_xlfn.XLOOKUP($BD34,Budget!$A:$A,Budget!BG:BG)</f>
        <v>0</v>
      </c>
      <c r="BW34" s="106">
        <f>+_xlfn.XLOOKUP($BD34,Budget!$A:$A,Budget!BH:BH)</f>
        <v>0</v>
      </c>
      <c r="BX34" s="106">
        <f>+_xlfn.XLOOKUP($BD34,Budget!$A:$A,Budget!BI:BI)</f>
        <v>0</v>
      </c>
      <c r="BY34" s="106">
        <f>+_xlfn.XLOOKUP($BD34,Budget!$A:$A,Budget!BJ:BJ)</f>
        <v>0</v>
      </c>
      <c r="BZ34" s="106">
        <f>+_xlfn.XLOOKUP($BD34,Budget!$A:$A,Budget!BK:BK)</f>
        <v>0</v>
      </c>
      <c r="CA34" s="106">
        <f>+_xlfn.XLOOKUP($BD34,Budget!$A:$A,Budget!BL:BL)</f>
        <v>0</v>
      </c>
      <c r="CB34" s="106">
        <f>+_xlfn.XLOOKUP($BD34,Budget!$A:$A,Budget!BM:BM)</f>
        <v>0</v>
      </c>
      <c r="CC34" s="106">
        <f>+_xlfn.XLOOKUP($BD34,Budget!$A:$A,Budget!BN:BN)</f>
        <v>0</v>
      </c>
      <c r="CD34" s="106">
        <f>+_xlfn.XLOOKUP($BD34,Budget!$A:$A,Budget!BO:BO)</f>
        <v>0</v>
      </c>
      <c r="CE34" s="106">
        <f t="shared" si="418"/>
        <v>0</v>
      </c>
      <c r="CF34" s="106"/>
      <c r="CG34" s="106"/>
      <c r="CH34" s="106"/>
      <c r="CI34" s="106"/>
      <c r="CJ34" s="106"/>
      <c r="CK34" s="106"/>
      <c r="CL34" s="106"/>
      <c r="CM34" s="106"/>
      <c r="CN34" s="106"/>
      <c r="CO34" s="106"/>
      <c r="CP34" s="106"/>
      <c r="CQ34" s="106"/>
      <c r="CR34" s="106"/>
      <c r="CS34" s="106">
        <f t="shared" si="419"/>
        <v>0</v>
      </c>
      <c r="CT34" s="7" t="str">
        <f t="shared" si="51"/>
        <v>Warranty Labour</v>
      </c>
      <c r="CU34" s="106">
        <f>+VLOOKUP($BD34,'Jan-25'!$A:$J,8,0)</f>
        <v>0</v>
      </c>
      <c r="CV34" s="106">
        <f>+VLOOKUP($BD34,'Feb-25'!$A:$J,8,0)</f>
        <v>0</v>
      </c>
      <c r="CW34" s="106">
        <f>+VLOOKUP($BD34,'Mar-25'!$A:$J,8,0)</f>
        <v>0</v>
      </c>
      <c r="CX34" s="106">
        <f>+VLOOKUP($BD34,'Apr-25'!$A:$J,8,0)</f>
        <v>0</v>
      </c>
      <c r="CY34" s="106">
        <f>+VLOOKUP($BD34,'May-25'!$A:$J,8,0)</f>
        <v>0</v>
      </c>
      <c r="CZ34" s="106">
        <f>+VLOOKUP($BD34,'June-25'!$A:$J,8,0)</f>
        <v>0</v>
      </c>
      <c r="DA34" s="106">
        <f>+VLOOKUP($BD34,'July-25'!$A:$J,8,0)</f>
        <v>0</v>
      </c>
      <c r="DB34" s="106">
        <f>+VLOOKUP($BD34,'Aug-25'!$A:$J,8,0)</f>
        <v>0</v>
      </c>
      <c r="DC34" s="106">
        <f>+VLOOKUP($BD34,'Sep-25'!$A:$J,8,0)</f>
        <v>0</v>
      </c>
      <c r="DD34" s="106">
        <f>+VLOOKUP($BD34,'Oct-25'!$A:$J,8,0)</f>
        <v>0</v>
      </c>
      <c r="DE34" s="106">
        <f>+VLOOKUP($BD34,'Nov-25'!$A:$J,8,0)</f>
        <v>0</v>
      </c>
      <c r="DF34" s="106">
        <f>+VLOOKUP($BD34,'Dec-25'!$A:$J,8,0)</f>
        <v>0</v>
      </c>
      <c r="DG34" s="106">
        <f t="shared" si="420"/>
        <v>0</v>
      </c>
      <c r="DH34" s="118">
        <f t="shared" si="421"/>
        <v>0</v>
      </c>
      <c r="DI34" s="106">
        <f>+_xlfn.XLOOKUP($CT34,Budget!$A:$A,Budget!CQ:CQ)</f>
        <v>0</v>
      </c>
      <c r="DJ34" s="106">
        <f>+_xlfn.XLOOKUP($CT34,Budget!$A:$A,Budget!CR:CR)</f>
        <v>0</v>
      </c>
      <c r="DK34" s="106">
        <f>+_xlfn.XLOOKUP($CT34,Budget!$A:$A,Budget!CS:CS)</f>
        <v>0</v>
      </c>
      <c r="DL34" s="106">
        <f>+_xlfn.XLOOKUP($CT34,Budget!$A:$A,Budget!CT:CT)</f>
        <v>0</v>
      </c>
      <c r="DM34" s="106">
        <f>+_xlfn.XLOOKUP($CT34,Budget!$A:$A,Budget!CU:CU)</f>
        <v>0</v>
      </c>
      <c r="DN34" s="106">
        <f>+_xlfn.XLOOKUP($CT34,Budget!$A:$A,Budget!CV:CV)</f>
        <v>0</v>
      </c>
      <c r="DO34" s="106">
        <f>+_xlfn.XLOOKUP($CT34,Budget!$A:$A,Budget!CW:CW)</f>
        <v>0</v>
      </c>
      <c r="DP34" s="106">
        <f>+_xlfn.XLOOKUP($CT34,Budget!$A:$A,Budget!CX:CX)</f>
        <v>0</v>
      </c>
      <c r="DQ34" s="106">
        <f>+_xlfn.XLOOKUP($CT34,Budget!$A:$A,Budget!CY:CY)</f>
        <v>0</v>
      </c>
      <c r="DR34" s="106">
        <f>+_xlfn.XLOOKUP($CT34,Budget!$A:$A,Budget!CZ:CZ)</f>
        <v>0</v>
      </c>
      <c r="DS34" s="106">
        <f>+_xlfn.XLOOKUP($CT34,Budget!$A:$A,Budget!DA:DA)</f>
        <v>0</v>
      </c>
      <c r="DT34" s="106">
        <f>+_xlfn.XLOOKUP($CT34,Budget!$A:$A,Budget!DB:DB)</f>
        <v>0</v>
      </c>
      <c r="DU34" s="106">
        <f t="shared" si="422"/>
        <v>0</v>
      </c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106">
        <f t="shared" si="423"/>
        <v>0</v>
      </c>
      <c r="EJ34" s="7" t="str">
        <f t="shared" si="217"/>
        <v>Warranty Labour</v>
      </c>
      <c r="EK34" s="22">
        <f>+VLOOKUP($BD34,'Jan-25'!$A:$J,10,0)</f>
        <v>0</v>
      </c>
      <c r="EL34" s="22">
        <f>+VLOOKUP($BD34,'Feb-25'!$A:$J,10,0)</f>
        <v>0</v>
      </c>
      <c r="EM34" s="22">
        <f>+VLOOKUP($BD34,'Mar-25'!$A:$J,10,0)</f>
        <v>0</v>
      </c>
      <c r="EN34" s="22">
        <f>+VLOOKUP($BD34,'Apr-25'!$A:$J,10,0)</f>
        <v>0</v>
      </c>
      <c r="EO34" s="22">
        <f>+VLOOKUP($BD34,'May-25'!$A:$J,10,0)</f>
        <v>0</v>
      </c>
      <c r="EP34" s="22">
        <f>+VLOOKUP($BD34,'June-25'!$A:$J,10,0)</f>
        <v>0</v>
      </c>
      <c r="EQ34" s="22">
        <f>+VLOOKUP($BD34,'July-25'!$A:$J,10,0)</f>
        <v>0</v>
      </c>
      <c r="ER34" s="22">
        <f>+VLOOKUP($BD34,'Aug-25'!$A:$J,10,0)</f>
        <v>0</v>
      </c>
      <c r="ES34" s="22">
        <f>+VLOOKUP($BD34,'Sep-25'!$A:$J,10,0)</f>
        <v>0</v>
      </c>
      <c r="ET34" s="22">
        <f>+VLOOKUP($BD34,'Oct-25'!$A:$J,10,0)</f>
        <v>0</v>
      </c>
      <c r="EU34" s="22">
        <f>+VLOOKUP($BD34,'Nov-25'!$A:$J,10,0)</f>
        <v>0</v>
      </c>
      <c r="EV34" s="22">
        <f>+VLOOKUP($BD34,'Dec-25'!$A:$J,10,0)</f>
        <v>0</v>
      </c>
      <c r="EW34" s="22">
        <f t="shared" si="424"/>
        <v>0</v>
      </c>
      <c r="EX34" s="118" t="e">
        <f t="shared" si="425"/>
        <v>#DIV/0!</v>
      </c>
      <c r="EY34" s="106">
        <f>+_xlfn.XLOOKUP($EJ34,Budget!$A:$A,Budget!DR:DR)</f>
        <v>0</v>
      </c>
      <c r="EZ34" s="106">
        <f>+_xlfn.XLOOKUP($EJ34,Budget!$A:$A,Budget!DS:DS)</f>
        <v>0</v>
      </c>
      <c r="FA34" s="106">
        <f>+_xlfn.XLOOKUP($EJ34,Budget!$A:$A,Budget!DT:DT)</f>
        <v>0</v>
      </c>
      <c r="FB34" s="106">
        <f>+_xlfn.XLOOKUP($EJ34,Budget!$A:$A,Budget!DU:DU)</f>
        <v>0</v>
      </c>
      <c r="FC34" s="106">
        <f>+_xlfn.XLOOKUP($EJ34,Budget!$A:$A,Budget!DV:DV)</f>
        <v>0</v>
      </c>
      <c r="FD34" s="106">
        <f>+_xlfn.XLOOKUP($EJ34,Budget!$A:$A,Budget!DW:DW)</f>
        <v>0</v>
      </c>
      <c r="FE34" s="106">
        <f>+_xlfn.XLOOKUP($EJ34,Budget!$A:$A,Budget!DX:DX)</f>
        <v>0</v>
      </c>
      <c r="FF34" s="106">
        <f>+_xlfn.XLOOKUP($EJ34,Budget!$A:$A,Budget!DY:DY)</f>
        <v>0</v>
      </c>
      <c r="FG34" s="106">
        <f>+_xlfn.XLOOKUP($EJ34,Budget!$A:$A,Budget!DZ:DZ)</f>
        <v>0</v>
      </c>
      <c r="FH34" s="106">
        <f>+_xlfn.XLOOKUP($EJ34,Budget!$A:$A,Budget!EA:EA)</f>
        <v>0</v>
      </c>
      <c r="FI34" s="106">
        <f>+_xlfn.XLOOKUP($EJ34,Budget!$A:$A,Budget!EB:EB)</f>
        <v>0</v>
      </c>
      <c r="FJ34" s="106">
        <f>+_xlfn.XLOOKUP($EJ34,Budget!$A:$A,Budget!EC:EC)</f>
        <v>0</v>
      </c>
      <c r="FK34" s="106">
        <f t="shared" si="426"/>
        <v>0</v>
      </c>
    </row>
    <row r="35" spans="1:167" ht="14.45" customHeight="1">
      <c r="A35" s="106">
        <f t="shared" si="427"/>
        <v>0</v>
      </c>
      <c r="B35" s="106">
        <f t="shared" si="376"/>
        <v>0</v>
      </c>
      <c r="C35" s="106">
        <f t="shared" si="377"/>
        <v>0</v>
      </c>
      <c r="D35" s="106">
        <f t="shared" si="378"/>
        <v>0</v>
      </c>
      <c r="E35" s="106">
        <f t="shared" si="379"/>
        <v>0</v>
      </c>
      <c r="F35" s="106">
        <f t="shared" si="380"/>
        <v>0</v>
      </c>
      <c r="G35" s="106">
        <f t="shared" si="381"/>
        <v>0</v>
      </c>
      <c r="H35" s="106">
        <f t="shared" si="382"/>
        <v>0</v>
      </c>
      <c r="I35" s="106">
        <f t="shared" si="383"/>
        <v>0</v>
      </c>
      <c r="J35" s="106">
        <f t="shared" si="384"/>
        <v>38306.42</v>
      </c>
      <c r="K35" s="106">
        <f t="shared" si="385"/>
        <v>0</v>
      </c>
      <c r="L35" s="106">
        <f t="shared" si="386"/>
        <v>0</v>
      </c>
      <c r="M35" s="106">
        <f t="shared" si="387"/>
        <v>38306.42</v>
      </c>
      <c r="N35" s="7" t="s">
        <v>30</v>
      </c>
      <c r="O35" s="106">
        <f t="shared" si="388"/>
        <v>0</v>
      </c>
      <c r="P35" s="106">
        <f t="shared" si="389"/>
        <v>0</v>
      </c>
      <c r="Q35" s="106">
        <f t="shared" si="390"/>
        <v>0</v>
      </c>
      <c r="R35" s="106">
        <f t="shared" si="391"/>
        <v>115097.42400000001</v>
      </c>
      <c r="S35" s="106">
        <f t="shared" si="392"/>
        <v>0</v>
      </c>
      <c r="T35" s="106">
        <f t="shared" si="393"/>
        <v>0</v>
      </c>
      <c r="U35" s="106">
        <f t="shared" si="394"/>
        <v>0</v>
      </c>
      <c r="V35" s="106">
        <f t="shared" si="395"/>
        <v>0</v>
      </c>
      <c r="W35" s="106">
        <f t="shared" si="396"/>
        <v>6606.96</v>
      </c>
      <c r="X35" s="106">
        <f t="shared" si="397"/>
        <v>0</v>
      </c>
      <c r="Y35" s="106">
        <f t="shared" si="398"/>
        <v>0</v>
      </c>
      <c r="Z35" s="106">
        <f t="shared" si="399"/>
        <v>0</v>
      </c>
      <c r="AA35" s="106">
        <f t="shared" si="400"/>
        <v>121704.38400000002</v>
      </c>
      <c r="AB35" s="118">
        <f t="shared" si="401"/>
        <v>0</v>
      </c>
      <c r="AC35" s="106">
        <f t="shared" si="402"/>
        <v>0</v>
      </c>
      <c r="AD35" s="106">
        <f t="shared" si="403"/>
        <v>0</v>
      </c>
      <c r="AE35" s="106">
        <f t="shared" si="404"/>
        <v>0</v>
      </c>
      <c r="AF35" s="106">
        <f t="shared" si="405"/>
        <v>0</v>
      </c>
      <c r="AG35" s="106">
        <f t="shared" si="406"/>
        <v>0</v>
      </c>
      <c r="AH35" s="106">
        <f t="shared" si="407"/>
        <v>0</v>
      </c>
      <c r="AI35" s="106">
        <f t="shared" si="408"/>
        <v>0</v>
      </c>
      <c r="AJ35" s="106">
        <f t="shared" si="409"/>
        <v>0</v>
      </c>
      <c r="AK35" s="106">
        <f t="shared" si="410"/>
        <v>0</v>
      </c>
      <c r="AL35" s="106">
        <f t="shared" si="411"/>
        <v>0</v>
      </c>
      <c r="AM35" s="106">
        <f t="shared" si="412"/>
        <v>0</v>
      </c>
      <c r="AN35" s="106">
        <f t="shared" si="413"/>
        <v>0</v>
      </c>
      <c r="AO35" s="106">
        <f t="shared" si="414"/>
        <v>0</v>
      </c>
      <c r="AQ35" s="106">
        <v>0</v>
      </c>
      <c r="AR35" s="106">
        <v>0</v>
      </c>
      <c r="AS35" s="106">
        <v>0</v>
      </c>
      <c r="AT35" s="106">
        <v>0</v>
      </c>
      <c r="AU35" s="106">
        <v>0</v>
      </c>
      <c r="AV35" s="106">
        <v>0</v>
      </c>
      <c r="AW35" s="106">
        <v>0</v>
      </c>
      <c r="AX35" s="106">
        <v>0</v>
      </c>
      <c r="AY35" s="106">
        <v>0</v>
      </c>
      <c r="AZ35" s="106">
        <v>38306.42</v>
      </c>
      <c r="BA35" s="106">
        <v>0</v>
      </c>
      <c r="BB35" s="106">
        <v>0</v>
      </c>
      <c r="BC35" s="106">
        <f t="shared" si="415"/>
        <v>38306.42</v>
      </c>
      <c r="BD35" s="7" t="str">
        <f t="shared" si="47"/>
        <v>Internal Sales</v>
      </c>
      <c r="BE35" s="106">
        <f>+VLOOKUP($BD35,'Jan-25'!$A:$J,5,0)</f>
        <v>0</v>
      </c>
      <c r="BF35" s="106">
        <f>+VLOOKUP($BD35,'Feb-25'!$A:$J,5,0)</f>
        <v>0</v>
      </c>
      <c r="BG35" s="106">
        <f>+VLOOKUP($BD35,'Mar-25'!$A:$J,5,0)</f>
        <v>0</v>
      </c>
      <c r="BH35" s="106">
        <f>+VLOOKUP($BD35,'Apr-25'!$A:$J,5,0)</f>
        <v>0</v>
      </c>
      <c r="BI35" s="106">
        <f>+VLOOKUP($BD35,'May-25'!$A:$J,5,0)</f>
        <v>0</v>
      </c>
      <c r="BJ35" s="106">
        <f>+VLOOKUP($BD35,'June-25'!$A:$J,5,0)</f>
        <v>0</v>
      </c>
      <c r="BK35" s="106">
        <f>+VLOOKUP($BD35,'July-25'!$A:$J,5,0)</f>
        <v>0</v>
      </c>
      <c r="BL35" s="106">
        <f>+VLOOKUP($BD35,'Aug-25'!$A:$J,5,0)</f>
        <v>0</v>
      </c>
      <c r="BM35" s="106">
        <f>+VLOOKUP($BD35,'Sep-25'!$A:$J,5,0)</f>
        <v>6606.96</v>
      </c>
      <c r="BN35" s="106">
        <f>+VLOOKUP($BD35,'Oct-25'!$A:$J,5,0)</f>
        <v>0</v>
      </c>
      <c r="BO35" s="106">
        <f>+VLOOKUP($BD35,'Nov-25'!$A:$J,5,0)</f>
        <v>0</v>
      </c>
      <c r="BP35" s="106">
        <f>+VLOOKUP($BD35,'Dec-25'!$A:$J,5,0)</f>
        <v>0</v>
      </c>
      <c r="BQ35" s="106">
        <f t="shared" si="416"/>
        <v>6606.96</v>
      </c>
      <c r="BR35" s="118">
        <f t="shared" si="417"/>
        <v>0</v>
      </c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>
        <f t="shared" si="418"/>
        <v>0</v>
      </c>
      <c r="CF35" s="106"/>
      <c r="CG35" s="106"/>
      <c r="CH35" s="106"/>
      <c r="CI35" s="106"/>
      <c r="CJ35" s="106"/>
      <c r="CK35" s="106"/>
      <c r="CL35" s="106"/>
      <c r="CM35" s="106"/>
      <c r="CN35" s="106"/>
      <c r="CO35" s="106"/>
      <c r="CP35" s="106"/>
      <c r="CQ35" s="106"/>
      <c r="CR35" s="106"/>
      <c r="CS35" s="106">
        <f t="shared" si="419"/>
        <v>0</v>
      </c>
      <c r="CT35" s="7" t="str">
        <f t="shared" si="51"/>
        <v>Internal Sales</v>
      </c>
      <c r="CU35" s="106">
        <f>+VLOOKUP($BD35,'Jan-25'!$A:$J,8,0)</f>
        <v>0</v>
      </c>
      <c r="CV35" s="106">
        <f>+VLOOKUP($BD35,'Feb-25'!$A:$J,8,0)</f>
        <v>0</v>
      </c>
      <c r="CW35" s="106">
        <f>+VLOOKUP($BD35,'Mar-25'!$A:$J,8,0)</f>
        <v>0</v>
      </c>
      <c r="CX35" s="106">
        <f>+VLOOKUP($BD35,'Apr-25'!$A:$J,8,0)</f>
        <v>89706.032000000007</v>
      </c>
      <c r="CY35" s="106">
        <f>+VLOOKUP($BD35,'May-25'!$A:$J,8,0)</f>
        <v>0</v>
      </c>
      <c r="CZ35" s="106">
        <f>+VLOOKUP($BD35,'June-25'!$A:$J,8,0)</f>
        <v>0</v>
      </c>
      <c r="DA35" s="106">
        <f>+VLOOKUP($BD35,'July-25'!$A:$J,8,0)</f>
        <v>0</v>
      </c>
      <c r="DB35" s="106">
        <f>+VLOOKUP($BD35,'Aug-25'!$A:$J,8,0)</f>
        <v>0</v>
      </c>
      <c r="DC35" s="106">
        <f>+VLOOKUP($BD35,'Sep-25'!$A:$J,8,0)</f>
        <v>0</v>
      </c>
      <c r="DD35" s="106">
        <f>+VLOOKUP($BD35,'Oct-25'!$A:$J,8,0)</f>
        <v>0</v>
      </c>
      <c r="DE35" s="106">
        <f>+VLOOKUP($BD35,'Nov-25'!$A:$J,8,0)</f>
        <v>0</v>
      </c>
      <c r="DF35" s="106">
        <f>+VLOOKUP($BD35,'Dec-25'!$A:$J,8,0)</f>
        <v>0</v>
      </c>
      <c r="DG35" s="106">
        <f t="shared" si="420"/>
        <v>89706.032000000007</v>
      </c>
      <c r="DH35" s="118">
        <f t="shared" si="421"/>
        <v>0</v>
      </c>
      <c r="DI35" s="106"/>
      <c r="DJ35" s="106"/>
      <c r="DK35" s="106"/>
      <c r="DL35" s="106"/>
      <c r="DM35" s="106"/>
      <c r="DN35" s="106"/>
      <c r="DO35" s="106"/>
      <c r="DP35" s="106"/>
      <c r="DQ35" s="106"/>
      <c r="DR35" s="106"/>
      <c r="DS35" s="106"/>
      <c r="DT35" s="106"/>
      <c r="DU35" s="106">
        <f t="shared" si="422"/>
        <v>0</v>
      </c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106">
        <f t="shared" si="423"/>
        <v>0</v>
      </c>
      <c r="EJ35" s="7" t="str">
        <f t="shared" si="217"/>
        <v>Internal Sales</v>
      </c>
      <c r="EK35" s="22">
        <f>+VLOOKUP($BD35,'Jan-25'!$A:$J,10,0)</f>
        <v>0</v>
      </c>
      <c r="EL35" s="22">
        <f>+VLOOKUP($BD35,'Feb-25'!$A:$J,10,0)</f>
        <v>0</v>
      </c>
      <c r="EM35" s="22">
        <f>+VLOOKUP($BD35,'Mar-25'!$A:$J,10,0)</f>
        <v>0</v>
      </c>
      <c r="EN35" s="22">
        <f>+VLOOKUP($BD35,'Apr-25'!$A:$J,10,0)</f>
        <v>25391.392000000003</v>
      </c>
      <c r="EO35" s="22">
        <f>+VLOOKUP($BD35,'May-25'!$A:$J,10,0)</f>
        <v>0</v>
      </c>
      <c r="EP35" s="22">
        <f>+VLOOKUP($BD35,'June-25'!$A:$J,10,0)</f>
        <v>0</v>
      </c>
      <c r="EQ35" s="22">
        <f>+VLOOKUP($BD35,'July-25'!$A:$J,10,0)</f>
        <v>0</v>
      </c>
      <c r="ER35" s="22">
        <f>+VLOOKUP($BD35,'Aug-25'!$A:$J,10,0)</f>
        <v>0</v>
      </c>
      <c r="ES35" s="22">
        <f>+VLOOKUP($BD35,'Sep-25'!$A:$J,10,0)</f>
        <v>0</v>
      </c>
      <c r="ET35" s="22">
        <f>+VLOOKUP($BD35,'Oct-25'!$A:$J,10,0)</f>
        <v>0</v>
      </c>
      <c r="EU35" s="22">
        <f>+VLOOKUP($BD35,'Nov-25'!$A:$J,10,0)</f>
        <v>0</v>
      </c>
      <c r="EV35" s="22">
        <f>+VLOOKUP($BD35,'Dec-25'!$A:$J,10,0)</f>
        <v>0</v>
      </c>
      <c r="EW35" s="22">
        <f t="shared" si="424"/>
        <v>25391.392000000003</v>
      </c>
      <c r="EX35" s="118" t="e">
        <f t="shared" si="425"/>
        <v>#DIV/0!</v>
      </c>
      <c r="EY35" s="106"/>
      <c r="EZ35" s="106"/>
      <c r="FA35" s="106"/>
      <c r="FB35" s="106"/>
      <c r="FC35" s="106"/>
      <c r="FD35" s="106"/>
      <c r="FE35" s="106"/>
      <c r="FF35" s="106"/>
      <c r="FG35" s="106"/>
      <c r="FH35" s="106"/>
      <c r="FI35" s="106"/>
      <c r="FJ35" s="106"/>
      <c r="FK35" s="106">
        <f t="shared" si="426"/>
        <v>0</v>
      </c>
    </row>
    <row r="36" spans="1:167" ht="14.45" customHeight="1">
      <c r="A36" s="106">
        <f t="shared" si="427"/>
        <v>0</v>
      </c>
      <c r="B36" s="106">
        <f t="shared" si="376"/>
        <v>0</v>
      </c>
      <c r="C36" s="106">
        <f t="shared" si="377"/>
        <v>0</v>
      </c>
      <c r="D36" s="106">
        <f t="shared" si="378"/>
        <v>0</v>
      </c>
      <c r="E36" s="106">
        <f t="shared" si="379"/>
        <v>0</v>
      </c>
      <c r="F36" s="106">
        <f t="shared" si="380"/>
        <v>0</v>
      </c>
      <c r="G36" s="106">
        <f t="shared" si="381"/>
        <v>0</v>
      </c>
      <c r="H36" s="106">
        <f t="shared" si="382"/>
        <v>0</v>
      </c>
      <c r="I36" s="106">
        <f t="shared" si="383"/>
        <v>0</v>
      </c>
      <c r="J36" s="106">
        <f t="shared" si="384"/>
        <v>0</v>
      </c>
      <c r="K36" s="106">
        <f t="shared" si="385"/>
        <v>0</v>
      </c>
      <c r="L36" s="106">
        <f t="shared" si="386"/>
        <v>0</v>
      </c>
      <c r="M36" s="106">
        <f t="shared" si="387"/>
        <v>0</v>
      </c>
      <c r="N36" s="7" t="s">
        <v>31</v>
      </c>
      <c r="O36" s="106">
        <f t="shared" si="388"/>
        <v>0</v>
      </c>
      <c r="P36" s="106">
        <f t="shared" si="389"/>
        <v>0</v>
      </c>
      <c r="Q36" s="106">
        <f t="shared" si="390"/>
        <v>0</v>
      </c>
      <c r="R36" s="106">
        <f t="shared" si="391"/>
        <v>0</v>
      </c>
      <c r="S36" s="106">
        <f t="shared" si="392"/>
        <v>0</v>
      </c>
      <c r="T36" s="106">
        <f t="shared" si="393"/>
        <v>0</v>
      </c>
      <c r="U36" s="106">
        <f t="shared" si="394"/>
        <v>0</v>
      </c>
      <c r="V36" s="106">
        <f t="shared" si="395"/>
        <v>0</v>
      </c>
      <c r="W36" s="106">
        <f t="shared" si="396"/>
        <v>0</v>
      </c>
      <c r="X36" s="106">
        <f t="shared" si="397"/>
        <v>0</v>
      </c>
      <c r="Y36" s="106">
        <f t="shared" si="398"/>
        <v>0</v>
      </c>
      <c r="Z36" s="106">
        <f t="shared" si="399"/>
        <v>0</v>
      </c>
      <c r="AA36" s="106">
        <f t="shared" si="400"/>
        <v>0</v>
      </c>
      <c r="AB36" s="118">
        <f t="shared" si="401"/>
        <v>0</v>
      </c>
      <c r="AC36" s="106">
        <f t="shared" si="402"/>
        <v>0</v>
      </c>
      <c r="AD36" s="106">
        <f t="shared" si="403"/>
        <v>0</v>
      </c>
      <c r="AE36" s="106">
        <f t="shared" si="404"/>
        <v>0</v>
      </c>
      <c r="AF36" s="106">
        <f t="shared" si="405"/>
        <v>0</v>
      </c>
      <c r="AG36" s="106">
        <f t="shared" si="406"/>
        <v>0</v>
      </c>
      <c r="AH36" s="106">
        <f t="shared" si="407"/>
        <v>0</v>
      </c>
      <c r="AI36" s="106">
        <f t="shared" si="408"/>
        <v>0</v>
      </c>
      <c r="AJ36" s="106">
        <f t="shared" si="409"/>
        <v>0</v>
      </c>
      <c r="AK36" s="106">
        <f t="shared" si="410"/>
        <v>0</v>
      </c>
      <c r="AL36" s="106">
        <f t="shared" si="411"/>
        <v>0</v>
      </c>
      <c r="AM36" s="106">
        <f t="shared" si="412"/>
        <v>0</v>
      </c>
      <c r="AN36" s="106">
        <f t="shared" si="413"/>
        <v>0</v>
      </c>
      <c r="AO36" s="106">
        <f t="shared" si="414"/>
        <v>0</v>
      </c>
      <c r="AQ36" s="106">
        <v>0</v>
      </c>
      <c r="AR36" s="106">
        <v>0</v>
      </c>
      <c r="AS36" s="106">
        <v>0</v>
      </c>
      <c r="AT36" s="106">
        <v>0</v>
      </c>
      <c r="AU36" s="106">
        <v>0</v>
      </c>
      <c r="AV36" s="106">
        <v>0</v>
      </c>
      <c r="AW36" s="106">
        <v>0</v>
      </c>
      <c r="AX36" s="106">
        <v>0</v>
      </c>
      <c r="AY36" s="106">
        <v>0</v>
      </c>
      <c r="AZ36" s="106">
        <v>0</v>
      </c>
      <c r="BA36" s="106">
        <v>0</v>
      </c>
      <c r="BB36" s="106">
        <v>0</v>
      </c>
      <c r="BC36" s="106">
        <f t="shared" si="415"/>
        <v>0</v>
      </c>
      <c r="BD36" s="7" t="str">
        <f t="shared" si="47"/>
        <v>Starease Sales</v>
      </c>
      <c r="BE36" s="106">
        <f>+VLOOKUP($BD36,'Jan-25'!$A:$J,5,0)</f>
        <v>0</v>
      </c>
      <c r="BF36" s="106">
        <f>+VLOOKUP($BD36,'Feb-25'!$A:$J,5,0)</f>
        <v>0</v>
      </c>
      <c r="BG36" s="106">
        <f>+VLOOKUP($BD36,'Mar-25'!$A:$J,5,0)</f>
        <v>0</v>
      </c>
      <c r="BH36" s="106">
        <f>+VLOOKUP($BD36,'Apr-25'!$A:$J,5,0)</f>
        <v>0</v>
      </c>
      <c r="BI36" s="106">
        <f>+VLOOKUP($BD36,'May-25'!$A:$J,5,0)</f>
        <v>0</v>
      </c>
      <c r="BJ36" s="106">
        <f>+VLOOKUP($BD36,'June-25'!$A:$J,5,0)</f>
        <v>0</v>
      </c>
      <c r="BK36" s="106">
        <f>+VLOOKUP($BD36,'July-25'!$A:$J,5,0)</f>
        <v>0</v>
      </c>
      <c r="BL36" s="106">
        <f>+VLOOKUP($BD36,'Aug-25'!$A:$J,5,0)</f>
        <v>0</v>
      </c>
      <c r="BM36" s="106">
        <f>+VLOOKUP($BD36,'Sep-25'!$A:$J,5,0)</f>
        <v>0</v>
      </c>
      <c r="BN36" s="106">
        <f>+VLOOKUP($BD36,'Oct-25'!$A:$J,5,0)</f>
        <v>0</v>
      </c>
      <c r="BO36" s="106">
        <f>+VLOOKUP($BD36,'Nov-25'!$A:$J,5,0)</f>
        <v>0</v>
      </c>
      <c r="BP36" s="106">
        <f>+VLOOKUP($BD36,'Dec-25'!$A:$J,5,0)</f>
        <v>0</v>
      </c>
      <c r="BQ36" s="106">
        <f t="shared" si="416"/>
        <v>0</v>
      </c>
      <c r="BR36" s="118">
        <f t="shared" si="417"/>
        <v>0</v>
      </c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>
        <f t="shared" si="418"/>
        <v>0</v>
      </c>
      <c r="CF36" s="106"/>
      <c r="CG36" s="106"/>
      <c r="CH36" s="106"/>
      <c r="CI36" s="106"/>
      <c r="CJ36" s="106"/>
      <c r="CK36" s="106"/>
      <c r="CL36" s="106"/>
      <c r="CM36" s="106"/>
      <c r="CN36" s="106"/>
      <c r="CO36" s="106"/>
      <c r="CP36" s="106"/>
      <c r="CQ36" s="106"/>
      <c r="CR36" s="106"/>
      <c r="CS36" s="106">
        <f t="shared" si="419"/>
        <v>0</v>
      </c>
      <c r="CT36" s="7" t="str">
        <f t="shared" si="51"/>
        <v>Starease Sales</v>
      </c>
      <c r="CU36" s="106">
        <f>+VLOOKUP($BD36,'Jan-25'!$A:$J,8,0)</f>
        <v>0</v>
      </c>
      <c r="CV36" s="106">
        <f>+VLOOKUP($BD36,'Feb-25'!$A:$J,8,0)</f>
        <v>0</v>
      </c>
      <c r="CW36" s="106">
        <f>+VLOOKUP($BD36,'Mar-25'!$A:$J,8,0)</f>
        <v>0</v>
      </c>
      <c r="CX36" s="106">
        <f>+VLOOKUP($BD36,'Apr-25'!$A:$J,8,0)</f>
        <v>0</v>
      </c>
      <c r="CY36" s="106">
        <f>+VLOOKUP($BD36,'May-25'!$A:$J,8,0)</f>
        <v>0</v>
      </c>
      <c r="CZ36" s="106">
        <f>+VLOOKUP($BD36,'June-25'!$A:$J,8,0)</f>
        <v>0</v>
      </c>
      <c r="DA36" s="106">
        <f>+VLOOKUP($BD36,'July-25'!$A:$J,8,0)</f>
        <v>0</v>
      </c>
      <c r="DB36" s="106">
        <f>+VLOOKUP($BD36,'Aug-25'!$A:$J,8,0)</f>
        <v>0</v>
      </c>
      <c r="DC36" s="106">
        <f>+VLOOKUP($BD36,'Sep-25'!$A:$J,8,0)</f>
        <v>0</v>
      </c>
      <c r="DD36" s="106">
        <f>+VLOOKUP($BD36,'Oct-25'!$A:$J,8,0)</f>
        <v>0</v>
      </c>
      <c r="DE36" s="106">
        <f>+VLOOKUP($BD36,'Nov-25'!$A:$J,8,0)</f>
        <v>0</v>
      </c>
      <c r="DF36" s="106">
        <f>+VLOOKUP($BD36,'Dec-25'!$A:$J,8,0)</f>
        <v>0</v>
      </c>
      <c r="DG36" s="106">
        <f t="shared" si="420"/>
        <v>0</v>
      </c>
      <c r="DH36" s="118">
        <f t="shared" si="421"/>
        <v>0</v>
      </c>
      <c r="DI36" s="106"/>
      <c r="DJ36" s="106"/>
      <c r="DK36" s="106"/>
      <c r="DL36" s="106"/>
      <c r="DM36" s="106"/>
      <c r="DN36" s="106"/>
      <c r="DO36" s="106"/>
      <c r="DP36" s="106"/>
      <c r="DQ36" s="106"/>
      <c r="DR36" s="106"/>
      <c r="DS36" s="106"/>
      <c r="DT36" s="106"/>
      <c r="DU36" s="106">
        <f t="shared" si="422"/>
        <v>0</v>
      </c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106">
        <f t="shared" si="423"/>
        <v>0</v>
      </c>
      <c r="EJ36" s="7" t="str">
        <f t="shared" si="217"/>
        <v>Starease Sales</v>
      </c>
      <c r="EK36" s="22">
        <f>+VLOOKUP($BD36,'Jan-25'!$A:$J,10,0)</f>
        <v>0</v>
      </c>
      <c r="EL36" s="22">
        <f>+VLOOKUP($BD36,'Feb-25'!$A:$J,10,0)</f>
        <v>0</v>
      </c>
      <c r="EM36" s="22">
        <f>+VLOOKUP($BD36,'Mar-25'!$A:$J,10,0)</f>
        <v>0</v>
      </c>
      <c r="EN36" s="22">
        <f>+VLOOKUP($BD36,'Apr-25'!$A:$J,10,0)</f>
        <v>0</v>
      </c>
      <c r="EO36" s="22">
        <f>+VLOOKUP($BD36,'May-25'!$A:$J,10,0)</f>
        <v>0</v>
      </c>
      <c r="EP36" s="22">
        <f>+VLOOKUP($BD36,'June-25'!$A:$J,10,0)</f>
        <v>0</v>
      </c>
      <c r="EQ36" s="22">
        <f>+VLOOKUP($BD36,'July-25'!$A:$J,10,0)</f>
        <v>0</v>
      </c>
      <c r="ER36" s="22">
        <f>+VLOOKUP($BD36,'Aug-25'!$A:$J,10,0)</f>
        <v>0</v>
      </c>
      <c r="ES36" s="22">
        <f>+VLOOKUP($BD36,'Sep-25'!$A:$J,10,0)</f>
        <v>0</v>
      </c>
      <c r="ET36" s="22">
        <f>+VLOOKUP($BD36,'Oct-25'!$A:$J,10,0)</f>
        <v>0</v>
      </c>
      <c r="EU36" s="22">
        <f>+VLOOKUP($BD36,'Nov-25'!$A:$J,10,0)</f>
        <v>0</v>
      </c>
      <c r="EV36" s="22">
        <f>+VLOOKUP($BD36,'Dec-25'!$A:$J,10,0)</f>
        <v>0</v>
      </c>
      <c r="EW36" s="22">
        <f t="shared" si="424"/>
        <v>0</v>
      </c>
      <c r="EX36" s="118" t="e">
        <f t="shared" si="425"/>
        <v>#DIV/0!</v>
      </c>
      <c r="EY36" s="106"/>
      <c r="EZ36" s="106"/>
      <c r="FA36" s="106"/>
      <c r="FB36" s="106"/>
      <c r="FC36" s="106"/>
      <c r="FD36" s="106"/>
      <c r="FE36" s="106"/>
      <c r="FF36" s="106"/>
      <c r="FG36" s="106"/>
      <c r="FH36" s="106"/>
      <c r="FI36" s="106"/>
      <c r="FJ36" s="106"/>
      <c r="FK36" s="106">
        <f t="shared" si="426"/>
        <v>0</v>
      </c>
    </row>
    <row r="37" spans="1:167" ht="14.45" customHeight="1">
      <c r="A37" s="106">
        <f t="shared" si="427"/>
        <v>0</v>
      </c>
      <c r="B37" s="106">
        <f t="shared" si="376"/>
        <v>0</v>
      </c>
      <c r="C37" s="106">
        <f t="shared" si="377"/>
        <v>0</v>
      </c>
      <c r="D37" s="106">
        <f t="shared" si="378"/>
        <v>0</v>
      </c>
      <c r="E37" s="106">
        <f t="shared" si="379"/>
        <v>0</v>
      </c>
      <c r="F37" s="106">
        <f t="shared" si="380"/>
        <v>0</v>
      </c>
      <c r="G37" s="106">
        <f t="shared" si="381"/>
        <v>0</v>
      </c>
      <c r="H37" s="106">
        <f t="shared" si="382"/>
        <v>0</v>
      </c>
      <c r="I37" s="106">
        <f t="shared" si="383"/>
        <v>0</v>
      </c>
      <c r="J37" s="106">
        <f t="shared" si="384"/>
        <v>0</v>
      </c>
      <c r="K37" s="106">
        <f t="shared" si="385"/>
        <v>0</v>
      </c>
      <c r="L37" s="106">
        <f t="shared" si="386"/>
        <v>0</v>
      </c>
      <c r="M37" s="106">
        <f t="shared" si="387"/>
        <v>0</v>
      </c>
      <c r="N37" s="7" t="s">
        <v>32</v>
      </c>
      <c r="O37" s="106">
        <f t="shared" si="388"/>
        <v>0</v>
      </c>
      <c r="P37" s="106">
        <f t="shared" si="389"/>
        <v>0</v>
      </c>
      <c r="Q37" s="106">
        <f t="shared" si="390"/>
        <v>0</v>
      </c>
      <c r="R37" s="106">
        <f t="shared" si="391"/>
        <v>0</v>
      </c>
      <c r="S37" s="106">
        <f t="shared" si="392"/>
        <v>0</v>
      </c>
      <c r="T37" s="106">
        <f t="shared" si="393"/>
        <v>0</v>
      </c>
      <c r="U37" s="106">
        <f t="shared" si="394"/>
        <v>0</v>
      </c>
      <c r="V37" s="106">
        <f t="shared" si="395"/>
        <v>0</v>
      </c>
      <c r="W37" s="106">
        <f t="shared" si="396"/>
        <v>0</v>
      </c>
      <c r="X37" s="106">
        <f t="shared" si="397"/>
        <v>0</v>
      </c>
      <c r="Y37" s="106">
        <f t="shared" si="398"/>
        <v>0</v>
      </c>
      <c r="Z37" s="106">
        <f t="shared" si="399"/>
        <v>0</v>
      </c>
      <c r="AA37" s="106">
        <f t="shared" si="400"/>
        <v>0</v>
      </c>
      <c r="AB37" s="118">
        <f t="shared" si="401"/>
        <v>0</v>
      </c>
      <c r="AC37" s="106">
        <f t="shared" si="402"/>
        <v>0</v>
      </c>
      <c r="AD37" s="106">
        <f t="shared" si="403"/>
        <v>0</v>
      </c>
      <c r="AE37" s="106">
        <f t="shared" si="404"/>
        <v>0</v>
      </c>
      <c r="AF37" s="106">
        <f t="shared" si="405"/>
        <v>0</v>
      </c>
      <c r="AG37" s="106">
        <f t="shared" si="406"/>
        <v>0</v>
      </c>
      <c r="AH37" s="106">
        <f t="shared" si="407"/>
        <v>0</v>
      </c>
      <c r="AI37" s="106">
        <f t="shared" si="408"/>
        <v>0</v>
      </c>
      <c r="AJ37" s="106">
        <f t="shared" si="409"/>
        <v>0</v>
      </c>
      <c r="AK37" s="106">
        <f t="shared" si="410"/>
        <v>0</v>
      </c>
      <c r="AL37" s="106">
        <f t="shared" si="411"/>
        <v>0</v>
      </c>
      <c r="AM37" s="106">
        <f t="shared" si="412"/>
        <v>0</v>
      </c>
      <c r="AN37" s="106">
        <f t="shared" si="413"/>
        <v>0</v>
      </c>
      <c r="AO37" s="106">
        <f t="shared" si="414"/>
        <v>0</v>
      </c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>
        <f t="shared" si="415"/>
        <v>0</v>
      </c>
      <c r="BD37" s="7" t="s">
        <v>32</v>
      </c>
      <c r="BE37" s="106">
        <f>+VLOOKUP($BD37,'Jan-25'!$A:$J,5,0)</f>
        <v>0</v>
      </c>
      <c r="BF37" s="106">
        <f>+VLOOKUP($BD37,'Feb-25'!$A:$J,5,0)</f>
        <v>0</v>
      </c>
      <c r="BG37" s="106">
        <f>+VLOOKUP($BD37,'Mar-25'!$A:$J,5,0)</f>
        <v>0</v>
      </c>
      <c r="BH37" s="106">
        <f>+VLOOKUP($BD37,'Apr-25'!$A:$J,5,0)</f>
        <v>0</v>
      </c>
      <c r="BI37" s="106">
        <f>+VLOOKUP($BD37,'May-25'!$A:$J,5,0)</f>
        <v>0</v>
      </c>
      <c r="BJ37" s="106">
        <f>+VLOOKUP($BD37,'June-25'!$A:$J,5,0)</f>
        <v>0</v>
      </c>
      <c r="BK37" s="106">
        <f>+VLOOKUP($BD37,'July-25'!$A:$J,5,0)</f>
        <v>0</v>
      </c>
      <c r="BL37" s="106">
        <f>+VLOOKUP($BD37,'Aug-25'!$A:$J,5,0)</f>
        <v>0</v>
      </c>
      <c r="BM37" s="106">
        <f>+VLOOKUP($BD37,'Sep-25'!$A:$J,5,0)</f>
        <v>0</v>
      </c>
      <c r="BN37" s="106">
        <f>+VLOOKUP($BD37,'Oct-25'!$A:$J,5,0)</f>
        <v>0</v>
      </c>
      <c r="BO37" s="106">
        <f>+VLOOKUP($BD37,'Nov-25'!$A:$J,5,0)</f>
        <v>0</v>
      </c>
      <c r="BP37" s="106">
        <f>+VLOOKUP($BD37,'Dec-25'!$A:$J,5,0)</f>
        <v>0</v>
      </c>
      <c r="BQ37" s="106">
        <f t="shared" si="416"/>
        <v>0</v>
      </c>
      <c r="BR37" s="118">
        <f t="shared" si="417"/>
        <v>0</v>
      </c>
      <c r="BS37" s="106"/>
      <c r="BT37" s="106"/>
      <c r="BU37" s="106"/>
      <c r="BV37" s="106"/>
      <c r="BW37" s="106"/>
      <c r="BX37" s="106"/>
      <c r="BY37" s="106"/>
      <c r="BZ37" s="106"/>
      <c r="CA37" s="106"/>
      <c r="CB37" s="106"/>
      <c r="CC37" s="106"/>
      <c r="CD37" s="106"/>
      <c r="CE37" s="106">
        <f t="shared" si="418"/>
        <v>0</v>
      </c>
      <c r="CF37" s="106"/>
      <c r="CG37" s="106"/>
      <c r="CH37" s="106"/>
      <c r="CI37" s="106"/>
      <c r="CJ37" s="106"/>
      <c r="CK37" s="106"/>
      <c r="CL37" s="106"/>
      <c r="CM37" s="106"/>
      <c r="CN37" s="106"/>
      <c r="CO37" s="106"/>
      <c r="CP37" s="106"/>
      <c r="CQ37" s="106"/>
      <c r="CR37" s="106"/>
      <c r="CS37" s="106">
        <f t="shared" si="419"/>
        <v>0</v>
      </c>
      <c r="CT37" s="7" t="str">
        <f t="shared" si="51"/>
        <v>Other star package</v>
      </c>
      <c r="CU37" s="106">
        <f>+VLOOKUP($BD37,'Jan-25'!$A:$J,8,0)</f>
        <v>0</v>
      </c>
      <c r="CV37" s="106">
        <f>+VLOOKUP($BD37,'Feb-25'!$A:$J,8,0)</f>
        <v>0</v>
      </c>
      <c r="CW37" s="106">
        <f>+VLOOKUP($BD37,'Mar-25'!$A:$J,8,0)</f>
        <v>0</v>
      </c>
      <c r="CX37" s="106">
        <f>+VLOOKUP($BD37,'Apr-25'!$A:$J,8,0)</f>
        <v>0</v>
      </c>
      <c r="CY37" s="106">
        <f>+VLOOKUP($BD37,'May-25'!$A:$J,8,0)</f>
        <v>0</v>
      </c>
      <c r="CZ37" s="106">
        <f>+VLOOKUP($BD37,'June-25'!$A:$J,8,0)</f>
        <v>0</v>
      </c>
      <c r="DA37" s="106">
        <f>+VLOOKUP($BD37,'July-25'!$A:$J,8,0)</f>
        <v>0</v>
      </c>
      <c r="DB37" s="106">
        <f>+VLOOKUP($BD37,'Aug-25'!$A:$J,8,0)</f>
        <v>0</v>
      </c>
      <c r="DC37" s="106">
        <f>+VLOOKUP($BD37,'Sep-25'!$A:$J,8,0)</f>
        <v>0</v>
      </c>
      <c r="DD37" s="106">
        <f>+VLOOKUP($BD37,'Oct-25'!$A:$J,8,0)</f>
        <v>0</v>
      </c>
      <c r="DE37" s="106">
        <f>+VLOOKUP($BD37,'Nov-25'!$A:$J,8,0)</f>
        <v>0</v>
      </c>
      <c r="DF37" s="106">
        <f>+VLOOKUP($BD37,'Dec-25'!$A:$J,8,0)</f>
        <v>0</v>
      </c>
      <c r="DG37" s="106">
        <f t="shared" si="420"/>
        <v>0</v>
      </c>
      <c r="DH37" s="118">
        <f t="shared" si="421"/>
        <v>0</v>
      </c>
      <c r="DI37" s="106"/>
      <c r="DJ37" s="106"/>
      <c r="DK37" s="106"/>
      <c r="DL37" s="106"/>
      <c r="DM37" s="106"/>
      <c r="DN37" s="106"/>
      <c r="DO37" s="106"/>
      <c r="DP37" s="106"/>
      <c r="DQ37" s="106"/>
      <c r="DR37" s="106"/>
      <c r="DS37" s="106"/>
      <c r="DT37" s="106"/>
      <c r="DU37" s="106">
        <f t="shared" si="422"/>
        <v>0</v>
      </c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106">
        <f t="shared" si="423"/>
        <v>0</v>
      </c>
      <c r="EJ37" s="7" t="str">
        <f t="shared" si="217"/>
        <v>Other star package</v>
      </c>
      <c r="EK37" s="22">
        <f>+VLOOKUP($BD37,'Jan-25'!$A:$J,10,0)</f>
        <v>0</v>
      </c>
      <c r="EL37" s="22">
        <f>+VLOOKUP($BD37,'Feb-25'!$A:$J,10,0)</f>
        <v>0</v>
      </c>
      <c r="EM37" s="22">
        <f>+VLOOKUP($BD37,'Mar-25'!$A:$J,10,0)</f>
        <v>0</v>
      </c>
      <c r="EN37" s="22">
        <f>+VLOOKUP($BD37,'Apr-25'!$A:$J,10,0)</f>
        <v>0</v>
      </c>
      <c r="EO37" s="22">
        <f>+VLOOKUP($BD37,'May-25'!$A:$J,10,0)</f>
        <v>0</v>
      </c>
      <c r="EP37" s="22">
        <f>+VLOOKUP($BD37,'June-25'!$A:$J,10,0)</f>
        <v>0</v>
      </c>
      <c r="EQ37" s="22">
        <f>+VLOOKUP($BD37,'July-25'!$A:$J,10,0)</f>
        <v>0</v>
      </c>
      <c r="ER37" s="22">
        <f>+VLOOKUP($BD37,'Aug-25'!$A:$J,10,0)</f>
        <v>0</v>
      </c>
      <c r="ES37" s="22">
        <f>+VLOOKUP($BD37,'Sep-25'!$A:$J,10,0)</f>
        <v>0</v>
      </c>
      <c r="ET37" s="22">
        <f>+VLOOKUP($BD37,'Oct-25'!$A:$J,10,0)</f>
        <v>0</v>
      </c>
      <c r="EU37" s="22">
        <f>+VLOOKUP($BD37,'Nov-25'!$A:$J,10,0)</f>
        <v>0</v>
      </c>
      <c r="EV37" s="22">
        <f>+VLOOKUP($BD37,'Dec-25'!$A:$J,10,0)</f>
        <v>0</v>
      </c>
      <c r="EW37" s="22">
        <f t="shared" si="424"/>
        <v>0</v>
      </c>
      <c r="EX37" s="118" t="e">
        <f t="shared" si="425"/>
        <v>#DIV/0!</v>
      </c>
      <c r="EY37" s="106"/>
      <c r="EZ37" s="106"/>
      <c r="FA37" s="106"/>
      <c r="FB37" s="106"/>
      <c r="FC37" s="106"/>
      <c r="FD37" s="106"/>
      <c r="FE37" s="106"/>
      <c r="FF37" s="106"/>
      <c r="FG37" s="106"/>
      <c r="FH37" s="106"/>
      <c r="FI37" s="106"/>
      <c r="FJ37" s="106"/>
      <c r="FK37" s="106">
        <f t="shared" si="426"/>
        <v>0</v>
      </c>
    </row>
    <row r="38" spans="1:167" ht="14.45" customHeight="1">
      <c r="A38" s="59">
        <f>+SUM(A39:A42)</f>
        <v>3853794.8459999999</v>
      </c>
      <c r="B38" s="59">
        <f t="shared" ref="B38:M38" si="428">+SUM(B39:B42)</f>
        <v>11571048.995999999</v>
      </c>
      <c r="C38" s="59">
        <f t="shared" si="428"/>
        <v>5527790.6579999998</v>
      </c>
      <c r="D38" s="59">
        <f t="shared" si="428"/>
        <v>5182884.8279999997</v>
      </c>
      <c r="E38" s="59">
        <f t="shared" si="428"/>
        <v>5270441.8740000008</v>
      </c>
      <c r="F38" s="59">
        <f t="shared" si="428"/>
        <v>5248631.8419999992</v>
      </c>
      <c r="G38" s="59">
        <f t="shared" si="428"/>
        <v>6294411.8039999995</v>
      </c>
      <c r="H38" s="59">
        <f t="shared" si="428"/>
        <v>11637679.614</v>
      </c>
      <c r="I38" s="59">
        <f t="shared" si="428"/>
        <v>5687182.3379999995</v>
      </c>
      <c r="J38" s="59">
        <f t="shared" si="428"/>
        <v>8123403.8679999998</v>
      </c>
      <c r="K38" s="59">
        <f t="shared" si="428"/>
        <v>8033448.7459999993</v>
      </c>
      <c r="L38" s="59">
        <f t="shared" si="428"/>
        <v>8922872.5079999994</v>
      </c>
      <c r="M38" s="59">
        <f t="shared" si="428"/>
        <v>85353591.921999976</v>
      </c>
      <c r="N38" s="9" t="s">
        <v>33</v>
      </c>
      <c r="O38" s="59">
        <f>+SUM(O39:O42)</f>
        <v>5586980.7599999998</v>
      </c>
      <c r="P38" s="59">
        <f t="shared" ref="P38" si="429">+SUM(P39:P42)</f>
        <v>2412094.31</v>
      </c>
      <c r="Q38" s="59">
        <f t="shared" ref="Q38" si="430">+SUM(Q39:Q42)</f>
        <v>9436271.620000001</v>
      </c>
      <c r="R38" s="59">
        <f t="shared" ref="R38" si="431">+SUM(R39:R42)</f>
        <v>7727459.5559999989</v>
      </c>
      <c r="S38" s="59">
        <f t="shared" ref="S38" si="432">+SUM(S39:S42)</f>
        <v>8829884.7520000003</v>
      </c>
      <c r="T38" s="59">
        <f t="shared" ref="T38" si="433">+SUM(T39:T42)</f>
        <v>7065760.3199999984</v>
      </c>
      <c r="U38" s="59">
        <f t="shared" ref="U38" si="434">+SUM(U39:U42)</f>
        <v>7198327.0379999997</v>
      </c>
      <c r="V38" s="59">
        <f t="shared" ref="V38" si="435">+SUM(V39:V42)</f>
        <v>7769615.1559999995</v>
      </c>
      <c r="W38" s="59">
        <f t="shared" ref="W38" si="436">+SUM(W39:W42)</f>
        <v>6444666.8319999995</v>
      </c>
      <c r="X38" s="59">
        <f t="shared" ref="X38" si="437">+SUM(X39:X42)</f>
        <v>5781536.7920000004</v>
      </c>
      <c r="Y38" s="59">
        <f t="shared" ref="Y38" si="438">+SUM(Y39:Y42)</f>
        <v>0</v>
      </c>
      <c r="Z38" s="59">
        <f t="shared" ref="Z38" si="439">+SUM(Z39:Z42)</f>
        <v>0</v>
      </c>
      <c r="AA38" s="59">
        <f t="shared" ref="AA38" si="440">+SUM(AA39:AA42)</f>
        <v>68252597.136000007</v>
      </c>
      <c r="AB38" s="118">
        <f t="shared" si="401"/>
        <v>-0.27006016280614709</v>
      </c>
      <c r="AC38" s="59">
        <f>+SUM(AC39:AC42)</f>
        <v>8399399.8551555555</v>
      </c>
      <c r="AD38" s="59">
        <f t="shared" ref="AD38" si="441">+SUM(AD39:AD42)</f>
        <v>8315537.193155556</v>
      </c>
      <c r="AE38" s="59">
        <f t="shared" ref="AE38" si="442">+SUM(AE39:AE42)</f>
        <v>8350662.2071555564</v>
      </c>
      <c r="AF38" s="59">
        <f t="shared" ref="AF38" si="443">+SUM(AF39:AF42)</f>
        <v>7020870.229475555</v>
      </c>
      <c r="AG38" s="59">
        <f t="shared" ref="AG38" si="444">+SUM(AG39:AG42)</f>
        <v>8126070.6275555557</v>
      </c>
      <c r="AH38" s="59">
        <f t="shared" ref="AH38" si="445">+SUM(AH39:AH42)</f>
        <v>8538714.3811555542</v>
      </c>
      <c r="AI38" s="59">
        <f t="shared" ref="AI38" si="446">+SUM(AI39:AI42)</f>
        <v>8713154.5347555559</v>
      </c>
      <c r="AJ38" s="59">
        <f t="shared" ref="AJ38" si="447">+SUM(AJ39:AJ42)</f>
        <v>9345557.077555554</v>
      </c>
      <c r="AK38" s="59">
        <f t="shared" ref="AK38" si="448">+SUM(AK39:AK42)</f>
        <v>9764875.5231555551</v>
      </c>
      <c r="AL38" s="59">
        <f t="shared" ref="AL38" si="449">+SUM(AL39:AL42)</f>
        <v>7920566.1855999995</v>
      </c>
      <c r="AM38" s="59">
        <f t="shared" ref="AM38" si="450">+SUM(AM39:AM42)</f>
        <v>6560072.0277333343</v>
      </c>
      <c r="AN38" s="59">
        <f t="shared" ref="AN38" si="451">+SUM(AN39:AN42)</f>
        <v>8360976.2566787861</v>
      </c>
      <c r="AO38" s="59">
        <f t="shared" ref="AO38" si="452">+SUM(AO39:AO42)</f>
        <v>99416456.099132136</v>
      </c>
      <c r="AQ38" s="59">
        <f>+SUM(AQ39:AQ42)</f>
        <v>2141004.6860000002</v>
      </c>
      <c r="AR38" s="59">
        <f t="shared" ref="AR38:BC38" si="453">+SUM(AR39:AR42)</f>
        <v>9485122.6400000006</v>
      </c>
      <c r="AS38" s="59">
        <f t="shared" si="453"/>
        <v>4319132.28</v>
      </c>
      <c r="AT38" s="59">
        <f t="shared" si="453"/>
        <v>4452846.0639999993</v>
      </c>
      <c r="AU38" s="59">
        <f t="shared" si="453"/>
        <v>2275500.2900000005</v>
      </c>
      <c r="AV38" s="59">
        <f t="shared" si="453"/>
        <v>3971360.6919999998</v>
      </c>
      <c r="AW38" s="59">
        <f t="shared" si="453"/>
        <v>4750286.2680000002</v>
      </c>
      <c r="AX38" s="59">
        <f t="shared" si="453"/>
        <v>8718030.4000000004</v>
      </c>
      <c r="AY38" s="59">
        <f t="shared" si="453"/>
        <v>4299316.3220000006</v>
      </c>
      <c r="AZ38" s="59">
        <f t="shared" si="453"/>
        <v>6016584.034</v>
      </c>
      <c r="BA38" s="59">
        <f t="shared" si="453"/>
        <v>5066868.3899999997</v>
      </c>
      <c r="BB38" s="59">
        <f t="shared" si="453"/>
        <v>5225010.1279999996</v>
      </c>
      <c r="BC38" s="59">
        <f t="shared" si="453"/>
        <v>60721062.193999998</v>
      </c>
      <c r="BD38" s="9" t="str">
        <f t="shared" si="47"/>
        <v>Cost of Good sold</v>
      </c>
      <c r="BE38" s="59">
        <f t="shared" ref="BE38:BP38" si="454">+SUM(BE39:BE42)</f>
        <v>4015467.94</v>
      </c>
      <c r="BF38" s="59">
        <f t="shared" si="454"/>
        <v>1560614.0300000003</v>
      </c>
      <c r="BG38" s="59">
        <f t="shared" si="454"/>
        <v>6167475.330000001</v>
      </c>
      <c r="BH38" s="59">
        <f t="shared" si="454"/>
        <v>6412828.8199999994</v>
      </c>
      <c r="BI38" s="59">
        <f t="shared" si="454"/>
        <v>6492673.1040000003</v>
      </c>
      <c r="BJ38" s="59">
        <f t="shared" si="454"/>
        <v>4478402.987999999</v>
      </c>
      <c r="BK38" s="59">
        <f t="shared" si="454"/>
        <v>4506801.9840000002</v>
      </c>
      <c r="BL38" s="59">
        <f t="shared" si="454"/>
        <v>3971095.1340000001</v>
      </c>
      <c r="BM38" s="59">
        <f t="shared" si="454"/>
        <v>4784081.6259999992</v>
      </c>
      <c r="BN38" s="59">
        <f t="shared" si="454"/>
        <v>3205757.3620000002</v>
      </c>
      <c r="BO38" s="59">
        <f t="shared" si="454"/>
        <v>0</v>
      </c>
      <c r="BP38" s="59">
        <f t="shared" si="454"/>
        <v>0</v>
      </c>
      <c r="BQ38" s="59">
        <f t="shared" ref="BQ38" si="455">+SUM(BQ39:BQ42)</f>
        <v>45595198.318000004</v>
      </c>
      <c r="BR38" s="118">
        <f t="shared" si="417"/>
        <v>-0.38552199651497476</v>
      </c>
      <c r="BS38" s="59">
        <f t="shared" ref="BS38:CE38" si="456">+SUM(BS39:BS42)</f>
        <v>5425949.5643753745</v>
      </c>
      <c r="BT38" s="59">
        <f t="shared" si="456"/>
        <v>5276729.6543753734</v>
      </c>
      <c r="BU38" s="59">
        <f t="shared" si="456"/>
        <v>4829069.9243753748</v>
      </c>
      <c r="BV38" s="59">
        <f t="shared" si="456"/>
        <v>4672687.4586953735</v>
      </c>
      <c r="BW38" s="59">
        <f t="shared" si="456"/>
        <v>5073790.5767753739</v>
      </c>
      <c r="BX38" s="59">
        <f t="shared" si="456"/>
        <v>5217041.6903753728</v>
      </c>
      <c r="BY38" s="59">
        <f t="shared" si="456"/>
        <v>5360292.8039753744</v>
      </c>
      <c r="BZ38" s="59">
        <f t="shared" si="456"/>
        <v>5521450.3067753743</v>
      </c>
      <c r="CA38" s="59">
        <f t="shared" si="456"/>
        <v>5843765.3123753741</v>
      </c>
      <c r="CB38" s="59">
        <f t="shared" si="456"/>
        <v>5217041.6903753728</v>
      </c>
      <c r="CC38" s="59">
        <f t="shared" si="456"/>
        <v>4214283.8951753741</v>
      </c>
      <c r="CD38" s="59">
        <f t="shared" si="456"/>
        <v>5503543.9175753733</v>
      </c>
      <c r="CE38" s="59">
        <f t="shared" si="456"/>
        <v>62155646.795224488</v>
      </c>
      <c r="CF38" s="106"/>
      <c r="CG38" s="59">
        <f>+SUM(CG39:CG42)</f>
        <v>1712790.16</v>
      </c>
      <c r="CH38" s="59">
        <f t="shared" ref="CH38:CS38" si="457">+SUM(CH39:CH42)</f>
        <v>2085926.3559999999</v>
      </c>
      <c r="CI38" s="59">
        <f t="shared" si="457"/>
        <v>1208658.3780000003</v>
      </c>
      <c r="CJ38" s="59">
        <f t="shared" si="457"/>
        <v>730038.76399999997</v>
      </c>
      <c r="CK38" s="59">
        <f t="shared" si="457"/>
        <v>2994941.5840000003</v>
      </c>
      <c r="CL38" s="59">
        <f t="shared" si="457"/>
        <v>1277271.1500000001</v>
      </c>
      <c r="CM38" s="59">
        <f t="shared" si="457"/>
        <v>1544125.5359999998</v>
      </c>
      <c r="CN38" s="59">
        <f t="shared" si="457"/>
        <v>2919649.2140000002</v>
      </c>
      <c r="CO38" s="59">
        <f t="shared" si="457"/>
        <v>1387866.0160000001</v>
      </c>
      <c r="CP38" s="59">
        <f t="shared" si="457"/>
        <v>2106819.8339999998</v>
      </c>
      <c r="CQ38" s="59">
        <f t="shared" si="457"/>
        <v>2966580.3559999997</v>
      </c>
      <c r="CR38" s="59">
        <f t="shared" si="457"/>
        <v>3697862.38</v>
      </c>
      <c r="CS38" s="59">
        <f t="shared" si="457"/>
        <v>24632529.728</v>
      </c>
      <c r="CT38" s="9" t="str">
        <f t="shared" si="51"/>
        <v>Cost of Good sold</v>
      </c>
      <c r="CU38" s="59">
        <f t="shared" ref="CU38:DF38" si="458">+SUM(CU39:CU42)</f>
        <v>1189023.98</v>
      </c>
      <c r="CV38" s="59">
        <f t="shared" si="458"/>
        <v>593409.14999999991</v>
      </c>
      <c r="CW38" s="59">
        <f t="shared" si="458"/>
        <v>2666201.5699999998</v>
      </c>
      <c r="CX38" s="59">
        <f t="shared" si="458"/>
        <v>1162499.0839999998</v>
      </c>
      <c r="CY38" s="59">
        <f t="shared" si="458"/>
        <v>2156786.17</v>
      </c>
      <c r="CZ38" s="59">
        <f t="shared" si="458"/>
        <v>1029533.8499999999</v>
      </c>
      <c r="DA38" s="59">
        <f t="shared" si="458"/>
        <v>2004030.3459999999</v>
      </c>
      <c r="DB38" s="59">
        <f t="shared" si="458"/>
        <v>2758351.4360000002</v>
      </c>
      <c r="DC38" s="59">
        <f t="shared" si="458"/>
        <v>1282175.956</v>
      </c>
      <c r="DD38" s="59">
        <f t="shared" si="458"/>
        <v>2032045.79</v>
      </c>
      <c r="DE38" s="59">
        <f t="shared" si="458"/>
        <v>0</v>
      </c>
      <c r="DF38" s="59">
        <f t="shared" si="458"/>
        <v>0</v>
      </c>
      <c r="DG38" s="59">
        <f t="shared" ref="DG38" si="459">+SUM(DG39:DG42)</f>
        <v>16874057.331999999</v>
      </c>
      <c r="DH38" s="118">
        <f t="shared" si="421"/>
        <v>2.3790617808066985E-2</v>
      </c>
      <c r="DI38" s="59">
        <f t="shared" ref="DI38:DU38" si="460">+SUM(DI39:DI42)</f>
        <v>2009315.8036006948</v>
      </c>
      <c r="DJ38" s="59">
        <f t="shared" si="460"/>
        <v>2136665.0516006947</v>
      </c>
      <c r="DK38" s="59">
        <f t="shared" si="460"/>
        <v>2518712.7956006946</v>
      </c>
      <c r="DL38" s="59">
        <f t="shared" si="460"/>
        <v>1446040.2836006947</v>
      </c>
      <c r="DM38" s="59">
        <f t="shared" si="460"/>
        <v>1984825.5636006948</v>
      </c>
      <c r="DN38" s="59">
        <f t="shared" si="460"/>
        <v>2254218.2036006944</v>
      </c>
      <c r="DO38" s="59">
        <f t="shared" si="460"/>
        <v>2156257.2436006945</v>
      </c>
      <c r="DP38" s="59">
        <f t="shared" si="460"/>
        <v>2670552.283600694</v>
      </c>
      <c r="DQ38" s="59">
        <f t="shared" si="460"/>
        <v>2817493.723600694</v>
      </c>
      <c r="DR38" s="59">
        <f t="shared" si="460"/>
        <v>1984825.5636006948</v>
      </c>
      <c r="DS38" s="59">
        <f t="shared" si="460"/>
        <v>1607675.8676006948</v>
      </c>
      <c r="DT38" s="59">
        <f t="shared" si="460"/>
        <v>2092582.6196006944</v>
      </c>
      <c r="DU38" s="59">
        <f t="shared" si="460"/>
        <v>25679165.003208332</v>
      </c>
      <c r="DW38" s="29">
        <f t="shared" ref="DW38:EI38" si="461">+SUM(DW39:DW42)</f>
        <v>0</v>
      </c>
      <c r="DX38" s="29">
        <f t="shared" si="461"/>
        <v>0</v>
      </c>
      <c r="DY38" s="29">
        <f t="shared" si="461"/>
        <v>0</v>
      </c>
      <c r="DZ38" s="29">
        <f t="shared" si="461"/>
        <v>0</v>
      </c>
      <c r="EA38" s="29">
        <f t="shared" si="461"/>
        <v>0</v>
      </c>
      <c r="EB38" s="29">
        <f t="shared" si="461"/>
        <v>0</v>
      </c>
      <c r="EC38" s="29">
        <f t="shared" si="461"/>
        <v>0</v>
      </c>
      <c r="ED38" s="29">
        <f t="shared" si="461"/>
        <v>0</v>
      </c>
      <c r="EE38" s="29">
        <f t="shared" si="461"/>
        <v>0</v>
      </c>
      <c r="EF38" s="29">
        <f t="shared" si="461"/>
        <v>0</v>
      </c>
      <c r="EG38" s="29">
        <f t="shared" si="461"/>
        <v>0</v>
      </c>
      <c r="EH38" s="29">
        <f t="shared" si="461"/>
        <v>0</v>
      </c>
      <c r="EI38" s="59">
        <f t="shared" si="461"/>
        <v>0</v>
      </c>
      <c r="EJ38" s="9" t="str">
        <f t="shared" si="217"/>
        <v>Cost of Good sold</v>
      </c>
      <c r="EK38" s="29">
        <f t="shared" ref="EK38:EV38" si="462">+SUM(EK39:EK42)</f>
        <v>382488.83999999997</v>
      </c>
      <c r="EL38" s="29">
        <f t="shared" si="462"/>
        <v>258071.13</v>
      </c>
      <c r="EM38" s="29">
        <f t="shared" si="462"/>
        <v>602594.72</v>
      </c>
      <c r="EN38" s="29">
        <f t="shared" si="462"/>
        <v>152131.652</v>
      </c>
      <c r="EO38" s="29">
        <f t="shared" si="462"/>
        <v>180425.478</v>
      </c>
      <c r="EP38" s="29">
        <f t="shared" si="462"/>
        <v>1557823.4820000001</v>
      </c>
      <c r="EQ38" s="29">
        <f t="shared" si="462"/>
        <v>687494.7080000001</v>
      </c>
      <c r="ER38" s="29">
        <f t="shared" si="462"/>
        <v>1040168.586</v>
      </c>
      <c r="ES38" s="29">
        <f t="shared" si="462"/>
        <v>378409.25</v>
      </c>
      <c r="ET38" s="29">
        <f t="shared" si="462"/>
        <v>543733.64</v>
      </c>
      <c r="EU38" s="29">
        <f t="shared" si="462"/>
        <v>0</v>
      </c>
      <c r="EV38" s="29">
        <f t="shared" si="462"/>
        <v>0</v>
      </c>
      <c r="EW38" s="29">
        <f t="shared" ref="EW38" si="463">+SUM(EW39:EW42)</f>
        <v>5783341.4859999996</v>
      </c>
      <c r="EX38" s="118">
        <f t="shared" si="425"/>
        <v>-0.65711888650096151</v>
      </c>
      <c r="EY38" s="59">
        <f t="shared" ref="EY38:FK38" si="464">+SUM(EY39:EY42)</f>
        <v>964134.48717948713</v>
      </c>
      <c r="EZ38" s="59">
        <f t="shared" si="464"/>
        <v>902142.48717948736</v>
      </c>
      <c r="FA38" s="59">
        <f t="shared" si="464"/>
        <v>1002879.4871794874</v>
      </c>
      <c r="FB38" s="59">
        <f t="shared" si="464"/>
        <v>902142.48717948736</v>
      </c>
      <c r="FC38" s="59">
        <f t="shared" si="464"/>
        <v>1067454.487179487</v>
      </c>
      <c r="FD38" s="59">
        <f t="shared" si="464"/>
        <v>1067454.487179487</v>
      </c>
      <c r="FE38" s="59">
        <f t="shared" si="464"/>
        <v>1196604.4871794875</v>
      </c>
      <c r="FF38" s="59">
        <f t="shared" si="464"/>
        <v>1153554.4871794875</v>
      </c>
      <c r="FG38" s="59">
        <f t="shared" si="464"/>
        <v>1103616.4871794875</v>
      </c>
      <c r="FH38" s="59">
        <f t="shared" si="464"/>
        <v>718698.93162393151</v>
      </c>
      <c r="FI38" s="59">
        <f t="shared" si="464"/>
        <v>738112.264957265</v>
      </c>
      <c r="FJ38" s="59">
        <f t="shared" si="464"/>
        <v>764849.71950271947</v>
      </c>
      <c r="FK38" s="59">
        <f t="shared" si="464"/>
        <v>11581644.300699301</v>
      </c>
    </row>
    <row r="39" spans="1:167" ht="14.45" customHeight="1">
      <c r="A39" s="106">
        <f t="shared" si="427"/>
        <v>3524220.01</v>
      </c>
      <c r="B39" s="106">
        <f t="shared" ref="B39:B42" si="465">+AR39+CH39+DX39</f>
        <v>11123940.26</v>
      </c>
      <c r="C39" s="106">
        <f t="shared" ref="C39:C42" si="466">+AS39+CI39+DY39</f>
        <v>5052960.79</v>
      </c>
      <c r="D39" s="106">
        <f t="shared" ref="D39:D42" si="467">+AT39+CJ39+DZ39</f>
        <v>4732239.42</v>
      </c>
      <c r="E39" s="106">
        <f t="shared" ref="E39:E42" si="468">+AU39+CK39+EA39</f>
        <v>4874760.120000001</v>
      </c>
      <c r="F39" s="106">
        <f t="shared" ref="F39:F42" si="469">+AV39+CL39+EB39</f>
        <v>4927881.3099999996</v>
      </c>
      <c r="G39" s="106">
        <f t="shared" ref="G39:G42" si="470">+AW39+CM39+EC39</f>
        <v>5971478.7199999997</v>
      </c>
      <c r="H39" s="106">
        <f t="shared" ref="H39:H42" si="471">+AX39+CN39+ED39</f>
        <v>11448001.43</v>
      </c>
      <c r="I39" s="106">
        <f t="shared" ref="I39:I42" si="472">+AY39+CO39+EE39</f>
        <v>5007678.67</v>
      </c>
      <c r="J39" s="106">
        <f t="shared" ref="J39:J42" si="473">+AZ39+CP39+EF39</f>
        <v>7680513.29</v>
      </c>
      <c r="K39" s="106">
        <f t="shared" ref="K39:K42" si="474">+BA39+CQ39+EG39</f>
        <v>7732229.6599999992</v>
      </c>
      <c r="L39" s="106">
        <f t="shared" ref="L39:L42" si="475">+BB39+CR39+EH39</f>
        <v>8501212.5999999996</v>
      </c>
      <c r="M39" s="106">
        <f t="shared" si="387"/>
        <v>80577116.279999986</v>
      </c>
      <c r="N39" s="7" t="s">
        <v>34</v>
      </c>
      <c r="O39" s="106">
        <f t="shared" ref="O39:O42" si="476">+BE39+CU39+EK39</f>
        <v>5305523.76</v>
      </c>
      <c r="P39" s="106">
        <f t="shared" ref="P39:P42" si="477">+BF39+CV39+EL39</f>
        <v>2005904.58</v>
      </c>
      <c r="Q39" s="106">
        <f t="shared" ref="Q39:Q42" si="478">+BG39+CW39+EM39</f>
        <v>9057761.8600000013</v>
      </c>
      <c r="R39" s="106">
        <f t="shared" ref="R39:R42" si="479">+BH39+CX39+EN39</f>
        <v>7246639.0799999991</v>
      </c>
      <c r="S39" s="106">
        <f t="shared" ref="S39:S42" si="480">+BI39+CY39+EO39</f>
        <v>8197102.120000001</v>
      </c>
      <c r="T39" s="106">
        <f t="shared" ref="T39:T42" si="481">+BJ39+CZ39+EP39</f>
        <v>6649000.2399999984</v>
      </c>
      <c r="U39" s="106">
        <f t="shared" ref="U39:U42" si="482">+BK39+DA39+EQ39</f>
        <v>6600276.1299999999</v>
      </c>
      <c r="V39" s="106">
        <f t="shared" ref="V39:V42" si="483">+BL39+DB39+ER39</f>
        <v>7291806.7999999998</v>
      </c>
      <c r="W39" s="106">
        <f t="shared" ref="W39:W42" si="484">+BM39+DC39+ES39</f>
        <v>6001966.5399999991</v>
      </c>
      <c r="X39" s="106">
        <f t="shared" ref="X39:X42" si="485">+BN39+DD39+ET39</f>
        <v>5148780.32</v>
      </c>
      <c r="Y39" s="106">
        <f t="shared" ref="Y39:Y42" si="486">+BO39+DE39+EU39</f>
        <v>0</v>
      </c>
      <c r="Z39" s="106">
        <f t="shared" ref="Z39:Z42" si="487">+BP39+DF39+EV39</f>
        <v>0</v>
      </c>
      <c r="AA39" s="106">
        <f t="shared" ref="AA39:AA42" si="488">+SUM(O39:Z39)</f>
        <v>63504761.43</v>
      </c>
      <c r="AB39" s="118">
        <f t="shared" si="401"/>
        <v>-0.27661550100117999</v>
      </c>
      <c r="AC39" s="106">
        <f t="shared" ref="AC39:AC42" si="489">+BS39+DI39+EY39</f>
        <v>7568268.5250000004</v>
      </c>
      <c r="AD39" s="106">
        <f t="shared" ref="AD39:AD42" si="490">+BT39+DJ39+EZ39</f>
        <v>7489325.3100000005</v>
      </c>
      <c r="AE39" s="106">
        <f t="shared" ref="AE39:AE42" si="491">+BU39+DK39+FA39</f>
        <v>7521726.165000001</v>
      </c>
      <c r="AF39" s="106">
        <f t="shared" ref="AF39:AF42" si="492">+BV39+DL39+FB39</f>
        <v>6274654.2355199996</v>
      </c>
      <c r="AG39" s="106">
        <f t="shared" ref="AG39:AG42" si="493">+BW39+DM39+FC39</f>
        <v>7311643.0464000003</v>
      </c>
      <c r="AH39" s="106">
        <f t="shared" ref="AH39:AH42" si="494">+BX39+DN39+FD39</f>
        <v>7698714.9359999988</v>
      </c>
      <c r="AI39" s="106">
        <f t="shared" ref="AI39:AI42" si="495">+BY39+DO39+FE39</f>
        <v>7862667.825600001</v>
      </c>
      <c r="AJ39" s="106">
        <f t="shared" ref="AJ39:AJ42" si="496">+BZ39+DP39+FF39</f>
        <v>8455725.2513999995</v>
      </c>
      <c r="AK39" s="106">
        <f t="shared" ref="AK39:AK42" si="497">+CA39+DQ39+FG39</f>
        <v>8849251.5030000005</v>
      </c>
      <c r="AL39" s="106">
        <f t="shared" ref="AL39:AL42" si="498">+CB39+DR39+FH39</f>
        <v>7117626.0026666662</v>
      </c>
      <c r="AM39" s="106">
        <f t="shared" ref="AM39:AM42" si="499">+CC39+DS39+FI39</f>
        <v>5840634.1354666678</v>
      </c>
      <c r="AN39" s="106">
        <f t="shared" ref="AN39:AN42" si="500">+CD39+DT39+FJ39</f>
        <v>7530947.1855030293</v>
      </c>
      <c r="AO39" s="106">
        <f t="shared" ref="AO39:AO42" si="501">+SUM(AC39:AN39)</f>
        <v>89521184.121556371</v>
      </c>
      <c r="AQ39" s="106">
        <v>1924789.85</v>
      </c>
      <c r="AR39" s="106">
        <v>9270153.0800000001</v>
      </c>
      <c r="AS39" s="106">
        <v>4021767.12</v>
      </c>
      <c r="AT39" s="106">
        <v>4131219.6</v>
      </c>
      <c r="AU39" s="106">
        <v>1996789.3200000003</v>
      </c>
      <c r="AV39" s="106">
        <v>3765391.2399999998</v>
      </c>
      <c r="AW39" s="106">
        <v>4545868.74</v>
      </c>
      <c r="AX39" s="106">
        <v>8603734.4000000004</v>
      </c>
      <c r="AY39" s="106">
        <v>3777702.31</v>
      </c>
      <c r="AZ39" s="106">
        <v>5728454.79</v>
      </c>
      <c r="BA39" s="106">
        <v>4879404.3899999997</v>
      </c>
      <c r="BB39" s="106">
        <v>4948441.26</v>
      </c>
      <c r="BC39" s="106">
        <f t="shared" ref="BC39:BC42" si="502">+SUM(AQ39:BB39)</f>
        <v>57593716.100000001</v>
      </c>
      <c r="BD39" s="7" t="str">
        <f t="shared" si="47"/>
        <v>Cost  of Goods Sold - Parts and Consumables</v>
      </c>
      <c r="BE39" s="106">
        <f>+VLOOKUP($BD39,'Jan-25'!$A:$J,5,0)</f>
        <v>3869010.94</v>
      </c>
      <c r="BF39" s="106">
        <f>+VLOOKUP($BD39,'Feb-25'!$A:$J,5,0)</f>
        <v>1380003.0300000003</v>
      </c>
      <c r="BG39" s="106">
        <f>+VLOOKUP($BD39,'Mar-25'!$A:$J,5,0)</f>
        <v>5935189.9300000006</v>
      </c>
      <c r="BH39" s="106">
        <f>+VLOOKUP($BD39,'Apr-25'!$A:$J,5,0)</f>
        <v>6229046.3199999994</v>
      </c>
      <c r="BI39" s="106">
        <f>+VLOOKUP($BD39,'May-25'!$A:$J,5,0)</f>
        <v>6043922.6000000006</v>
      </c>
      <c r="BJ39" s="106">
        <f>+VLOOKUP($BD39,'June-25'!$A:$J,5,0)</f>
        <v>4216008.5799999991</v>
      </c>
      <c r="BK39" s="106">
        <f>+VLOOKUP($BD39,'July-25'!$A:$J,5,0)</f>
        <v>4171687.7600000002</v>
      </c>
      <c r="BL39" s="106">
        <f>+VLOOKUP($BD39,'Aug-25'!$A:$J,5,0)</f>
        <v>3651989.87</v>
      </c>
      <c r="BM39" s="106">
        <f>+VLOOKUP($BD39,'Sep-25'!$A:$J,5,0)</f>
        <v>4538267.8099999996</v>
      </c>
      <c r="BN39" s="106">
        <f>+VLOOKUP($BD39,'Oct-25'!$A:$J,5,0)</f>
        <v>2817740.33</v>
      </c>
      <c r="BO39" s="106">
        <f>+VLOOKUP($BD39,'Nov-25'!$A:$J,5,0)</f>
        <v>0</v>
      </c>
      <c r="BP39" s="106">
        <f>+VLOOKUP($BD39,'Dec-25'!$A:$J,5,0)</f>
        <v>0</v>
      </c>
      <c r="BQ39" s="106">
        <f t="shared" ref="BQ39:BQ42" si="503">+SUM(BE39:BP39)</f>
        <v>42852867.170000002</v>
      </c>
      <c r="BR39" s="118">
        <f t="shared" si="417"/>
        <v>-0.40150842094422007</v>
      </c>
      <c r="BS39" s="106">
        <f>+_xlfn.XLOOKUP($BD39,Budget!$A:$A,Budget!BD:BD)</f>
        <v>4904239.7250000006</v>
      </c>
      <c r="BT39" s="106">
        <f>+_xlfn.XLOOKUP($BD39,Budget!$A:$A,Budget!BE:BE)</f>
        <v>4764118.59</v>
      </c>
      <c r="BU39" s="106">
        <f>+_xlfn.XLOOKUP($BD39,Budget!$A:$A,Budget!BF:BF)</f>
        <v>4343755.1850000005</v>
      </c>
      <c r="BV39" s="106">
        <f>+_xlfn.XLOOKUP($BD39,Budget!$A:$A,Budget!BG:BG)</f>
        <v>4196908.2355199996</v>
      </c>
      <c r="BW39" s="106">
        <f>+_xlfn.XLOOKUP($BD39,Budget!$A:$A,Budget!BH:BH)</f>
        <v>4573553.8464000002</v>
      </c>
      <c r="BX39" s="106">
        <f>+_xlfn.XLOOKUP($BD39,Budget!$A:$A,Budget!BI:BI)</f>
        <v>4708070.135999999</v>
      </c>
      <c r="BY39" s="106">
        <f>+_xlfn.XLOOKUP($BD39,Budget!$A:$A,Budget!BJ:BJ)</f>
        <v>4842586.4256000007</v>
      </c>
      <c r="BZ39" s="106">
        <f>+_xlfn.XLOOKUP($BD39,Budget!$A:$A,Budget!BK:BK)</f>
        <v>4993917.2514000004</v>
      </c>
      <c r="CA39" s="106">
        <f>+_xlfn.XLOOKUP($BD39,Budget!$A:$A,Budget!BL:BL)</f>
        <v>5296578.9029999999</v>
      </c>
      <c r="CB39" s="106">
        <f>+_xlfn.XLOOKUP($BD39,Budget!$A:$A,Budget!BM:BM)</f>
        <v>4708070.135999999</v>
      </c>
      <c r="CC39" s="106">
        <f>+_xlfn.XLOOKUP($BD39,Budget!$A:$A,Budget!BN:BN)</f>
        <v>3766456.1088000005</v>
      </c>
      <c r="CD39" s="106">
        <f>+_xlfn.XLOOKUP($BD39,Budget!$A:$A,Budget!BO:BO)</f>
        <v>4977102.7151999995</v>
      </c>
      <c r="CE39" s="106">
        <f t="shared" ref="CE39:CE42" si="504">+SUM(BS39:CD39)</f>
        <v>56075357.257919997</v>
      </c>
      <c r="CF39" s="106"/>
      <c r="CG39" s="106">
        <v>1599430.16</v>
      </c>
      <c r="CH39" s="106">
        <v>1853787.18</v>
      </c>
      <c r="CI39" s="106">
        <v>1031193.6700000002</v>
      </c>
      <c r="CJ39" s="106">
        <v>601019.81999999995</v>
      </c>
      <c r="CK39" s="106">
        <v>2877970.8000000003</v>
      </c>
      <c r="CL39" s="106">
        <v>1162490.07</v>
      </c>
      <c r="CM39" s="106">
        <v>1425609.9799999997</v>
      </c>
      <c r="CN39" s="106">
        <v>2844267.0300000003</v>
      </c>
      <c r="CO39" s="106">
        <v>1229976.3599999999</v>
      </c>
      <c r="CP39" s="106">
        <v>1952058.4999999998</v>
      </c>
      <c r="CQ39" s="106">
        <v>2852825.2699999996</v>
      </c>
      <c r="CR39" s="106">
        <v>3552771.34</v>
      </c>
      <c r="CS39" s="106">
        <f t="shared" ref="CS39:CS42" si="505">+SUM(CG39:CR39)</f>
        <v>22983400.18</v>
      </c>
      <c r="CT39" s="7" t="str">
        <f t="shared" si="51"/>
        <v>Cost  of Goods Sold - Parts and Consumables</v>
      </c>
      <c r="CU39" s="106">
        <f>+VLOOKUP($BD39,'Jan-25'!$A:$J,8,0)</f>
        <v>1078023.98</v>
      </c>
      <c r="CV39" s="106">
        <f>+VLOOKUP($BD39,'Feb-25'!$A:$J,8,0)</f>
        <v>398357.42</v>
      </c>
      <c r="CW39" s="106">
        <f>+VLOOKUP($BD39,'Mar-25'!$A:$J,8,0)</f>
        <v>2544337.21</v>
      </c>
      <c r="CX39" s="106">
        <f>+VLOOKUP($BD39,'Apr-25'!$A:$J,8,0)</f>
        <v>947145.79999999993</v>
      </c>
      <c r="CY39" s="106">
        <f>+VLOOKUP($BD39,'May-25'!$A:$J,8,0)</f>
        <v>2026483.3599999999</v>
      </c>
      <c r="CZ39" s="106">
        <f>+VLOOKUP($BD39,'June-25'!$A:$J,8,0)</f>
        <v>919521.84999999986</v>
      </c>
      <c r="DA39" s="106">
        <f>+VLOOKUP($BD39,'July-25'!$A:$J,8,0)</f>
        <v>1790675.45</v>
      </c>
      <c r="DB39" s="106">
        <f>+VLOOKUP($BD39,'Aug-25'!$A:$J,8,0)</f>
        <v>2645141.3800000004</v>
      </c>
      <c r="DC39" s="106">
        <f>+VLOOKUP($BD39,'Sep-25'!$A:$J,8,0)</f>
        <v>1117739.48</v>
      </c>
      <c r="DD39" s="106">
        <f>+VLOOKUP($BD39,'Oct-25'!$A:$J,8,0)</f>
        <v>1853604.91</v>
      </c>
      <c r="DE39" s="106">
        <f>+VLOOKUP($BD39,'Nov-25'!$A:$J,8,0)</f>
        <v>0</v>
      </c>
      <c r="DF39" s="106">
        <f>+VLOOKUP($BD39,'Dec-25'!$A:$J,8,0)</f>
        <v>0</v>
      </c>
      <c r="DG39" s="106">
        <f t="shared" ref="DG39:DG42" si="506">+SUM(CU39:DF39)</f>
        <v>15321030.84</v>
      </c>
      <c r="DH39" s="118">
        <f t="shared" si="421"/>
        <v>4.8484774950828209E-2</v>
      </c>
      <c r="DI39" s="106">
        <f>+_xlfn.XLOOKUP($CT39,Budget!$A:$A,Budget!CQ:CQ)</f>
        <v>1790848.8000000003</v>
      </c>
      <c r="DJ39" s="106">
        <f>+_xlfn.XLOOKUP($CT39,Budget!$A:$A,Budget!CR:CR)</f>
        <v>1910238.7200000002</v>
      </c>
      <c r="DK39" s="106">
        <f>+_xlfn.XLOOKUP($CT39,Budget!$A:$A,Budget!CS:CS)</f>
        <v>2268408.4800000004</v>
      </c>
      <c r="DL39" s="106">
        <f>+_xlfn.XLOOKUP($CT39,Budget!$A:$A,Budget!CT:CT)</f>
        <v>1262778.0000000002</v>
      </c>
      <c r="DM39" s="106">
        <f>+_xlfn.XLOOKUP($CT39,Budget!$A:$A,Budget!CU:CU)</f>
        <v>1767889.2000000002</v>
      </c>
      <c r="DN39" s="106">
        <f>+_xlfn.XLOOKUP($CT39,Budget!$A:$A,Budget!CV:CV)</f>
        <v>2020444.8000000003</v>
      </c>
      <c r="DO39" s="106">
        <f>+_xlfn.XLOOKUP($CT39,Budget!$A:$A,Budget!CW:CW)</f>
        <v>1928606.4000000001</v>
      </c>
      <c r="DP39" s="106">
        <f>+_xlfn.XLOOKUP($CT39,Budget!$A:$A,Budget!CX:CX)</f>
        <v>2410757.9999999995</v>
      </c>
      <c r="DQ39" s="106">
        <f>+_xlfn.XLOOKUP($CT39,Budget!$A:$A,Budget!CY:CY)</f>
        <v>2548515.5999999996</v>
      </c>
      <c r="DR39" s="106">
        <f>+_xlfn.XLOOKUP($CT39,Budget!$A:$A,Budget!CZ:CZ)</f>
        <v>1767889.2000000002</v>
      </c>
      <c r="DS39" s="106">
        <f>+_xlfn.XLOOKUP($CT39,Budget!$A:$A,Budget!DA:DA)</f>
        <v>1414311.36</v>
      </c>
      <c r="DT39" s="106">
        <f>+_xlfn.XLOOKUP($CT39,Budget!$A:$A,Budget!DB:DB)</f>
        <v>1868911.44</v>
      </c>
      <c r="DU39" s="106">
        <f t="shared" ref="DU39:DU42" si="507">+SUM(DI39:DT39)</f>
        <v>22959600</v>
      </c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106">
        <f t="shared" ref="EI39:EI42" si="508">+SUM(DW39:EH39)</f>
        <v>0</v>
      </c>
      <c r="EJ39" s="7" t="str">
        <f t="shared" si="217"/>
        <v>Cost  of Goods Sold - Parts and Consumables</v>
      </c>
      <c r="EK39" s="22">
        <f>+VLOOKUP($BD39,'Jan-25'!$A:$J,10,0)</f>
        <v>358488.83999999997</v>
      </c>
      <c r="EL39" s="22">
        <f>+VLOOKUP($BD39,'Feb-25'!$A:$J,10,0)</f>
        <v>227544.13</v>
      </c>
      <c r="EM39" s="22">
        <f>+VLOOKUP($BD39,'Mar-25'!$A:$J,10,0)</f>
        <v>578234.72</v>
      </c>
      <c r="EN39" s="22">
        <f>+VLOOKUP($BD39,'Apr-25'!$A:$J,10,0)</f>
        <v>70446.959999999992</v>
      </c>
      <c r="EO39" s="22">
        <f>+VLOOKUP($BD39,'May-25'!$A:$J,10,0)</f>
        <v>126696.16</v>
      </c>
      <c r="EP39" s="22">
        <f>+VLOOKUP($BD39,'June-25'!$A:$J,10,0)</f>
        <v>1513469.81</v>
      </c>
      <c r="EQ39" s="22">
        <f>+VLOOKUP($BD39,'July-25'!$A:$J,10,0)</f>
        <v>637912.92000000004</v>
      </c>
      <c r="ER39" s="22">
        <f>+VLOOKUP($BD39,'Aug-25'!$A:$J,10,0)</f>
        <v>994675.55</v>
      </c>
      <c r="ES39" s="22">
        <f>+VLOOKUP($BD39,'Sep-25'!$A:$J,10,0)</f>
        <v>345959.25</v>
      </c>
      <c r="ET39" s="22">
        <f>+VLOOKUP($BD39,'Oct-25'!$A:$J,10,0)</f>
        <v>477435.08</v>
      </c>
      <c r="EU39" s="22">
        <f>+VLOOKUP($BD39,'Nov-25'!$A:$J,10,0)</f>
        <v>0</v>
      </c>
      <c r="EV39" s="22">
        <f>+VLOOKUP($BD39,'Dec-25'!$A:$J,10,0)</f>
        <v>0</v>
      </c>
      <c r="EW39" s="22">
        <f t="shared" ref="EW39:EW42" si="509">+SUM(EK39:EV39)</f>
        <v>5330863.42</v>
      </c>
      <c r="EX39" s="118">
        <f t="shared" si="425"/>
        <v>-0.65547294895120989</v>
      </c>
      <c r="EY39" s="106">
        <f>+_xlfn.XLOOKUP($EJ39,Budget!$A:$A,Budget!DR:DR)</f>
        <v>873180</v>
      </c>
      <c r="EZ39" s="106">
        <f>+_xlfn.XLOOKUP($EJ39,Budget!$A:$A,Budget!DS:DS)</f>
        <v>814968.00000000023</v>
      </c>
      <c r="FA39" s="106">
        <f>+_xlfn.XLOOKUP($EJ39,Budget!$A:$A,Budget!DT:DT)</f>
        <v>909562.50000000023</v>
      </c>
      <c r="FB39" s="106">
        <f>+_xlfn.XLOOKUP($EJ39,Budget!$A:$A,Budget!DU:DU)</f>
        <v>814968.00000000023</v>
      </c>
      <c r="FC39" s="106">
        <f>+_xlfn.XLOOKUP($EJ39,Budget!$A:$A,Budget!DV:DV)</f>
        <v>970200</v>
      </c>
      <c r="FD39" s="106">
        <f>+_xlfn.XLOOKUP($EJ39,Budget!$A:$A,Budget!DW:DW)</f>
        <v>970200</v>
      </c>
      <c r="FE39" s="106">
        <f>+_xlfn.XLOOKUP($EJ39,Budget!$A:$A,Budget!DX:DX)</f>
        <v>1091475.0000000002</v>
      </c>
      <c r="FF39" s="106">
        <f>+_xlfn.XLOOKUP($EJ39,Budget!$A:$A,Budget!DY:DY)</f>
        <v>1051050.0000000002</v>
      </c>
      <c r="FG39" s="106">
        <f>+_xlfn.XLOOKUP($EJ39,Budget!$A:$A,Budget!DZ:DZ)</f>
        <v>1004157.0000000002</v>
      </c>
      <c r="FH39" s="106">
        <f>+_xlfn.XLOOKUP($EJ39,Budget!$A:$A,Budget!EA:EA)</f>
        <v>641666.66666666663</v>
      </c>
      <c r="FI39" s="106">
        <f>+_xlfn.XLOOKUP($EJ39,Budget!$A:$A,Budget!EB:EB)</f>
        <v>659866.66666666674</v>
      </c>
      <c r="FJ39" s="106">
        <f>+_xlfn.XLOOKUP($EJ39,Budget!$A:$A,Budget!EC:EC)</f>
        <v>684933.03030303027</v>
      </c>
      <c r="FK39" s="106">
        <f t="shared" ref="FK39:FK42" si="510">+SUM(EY39:FJ39)</f>
        <v>10486226.863636363</v>
      </c>
    </row>
    <row r="40" spans="1:167" ht="14.45" customHeight="1">
      <c r="A40" s="106">
        <f t="shared" si="427"/>
        <v>282855</v>
      </c>
      <c r="B40" s="106">
        <f t="shared" si="465"/>
        <v>282855</v>
      </c>
      <c r="C40" s="106">
        <f t="shared" si="466"/>
        <v>277100</v>
      </c>
      <c r="D40" s="106">
        <f t="shared" si="467"/>
        <v>277100</v>
      </c>
      <c r="E40" s="106">
        <f t="shared" si="468"/>
        <v>277100</v>
      </c>
      <c r="F40" s="106">
        <f t="shared" si="469"/>
        <v>277100</v>
      </c>
      <c r="G40" s="106">
        <f t="shared" si="470"/>
        <v>277100</v>
      </c>
      <c r="H40" s="106">
        <f t="shared" si="471"/>
        <v>176796</v>
      </c>
      <c r="I40" s="106">
        <f t="shared" si="472"/>
        <v>330746.59999999998</v>
      </c>
      <c r="J40" s="106">
        <f t="shared" si="473"/>
        <v>300758</v>
      </c>
      <c r="K40" s="106">
        <f t="shared" si="474"/>
        <v>291325</v>
      </c>
      <c r="L40" s="106">
        <f t="shared" si="475"/>
        <v>301263</v>
      </c>
      <c r="M40" s="106">
        <f t="shared" si="387"/>
        <v>3352098.6</v>
      </c>
      <c r="N40" s="7" t="s">
        <v>35</v>
      </c>
      <c r="O40" s="106">
        <f t="shared" si="476"/>
        <v>278212</v>
      </c>
      <c r="P40" s="106">
        <f t="shared" si="477"/>
        <v>373100</v>
      </c>
      <c r="Q40" s="106">
        <f t="shared" si="478"/>
        <v>250500</v>
      </c>
      <c r="R40" s="106">
        <f t="shared" si="479"/>
        <v>304334</v>
      </c>
      <c r="S40" s="106">
        <f t="shared" si="480"/>
        <v>319887</v>
      </c>
      <c r="T40" s="106">
        <f t="shared" si="481"/>
        <v>315619</v>
      </c>
      <c r="U40" s="106">
        <f t="shared" si="482"/>
        <v>341457</v>
      </c>
      <c r="V40" s="106">
        <f t="shared" si="483"/>
        <v>343854</v>
      </c>
      <c r="W40" s="106">
        <f t="shared" si="484"/>
        <v>346298</v>
      </c>
      <c r="X40" s="106">
        <f t="shared" si="485"/>
        <v>338502</v>
      </c>
      <c r="Y40" s="106">
        <f t="shared" si="486"/>
        <v>0</v>
      </c>
      <c r="Z40" s="106">
        <f t="shared" si="487"/>
        <v>0</v>
      </c>
      <c r="AA40" s="106">
        <f t="shared" si="488"/>
        <v>3211763</v>
      </c>
      <c r="AB40" s="118">
        <f t="shared" si="401"/>
        <v>5.6975768894205131E-3</v>
      </c>
      <c r="AC40" s="106">
        <f t="shared" si="489"/>
        <v>336584.28515555558</v>
      </c>
      <c r="AD40" s="106">
        <f t="shared" si="490"/>
        <v>336584.28515555558</v>
      </c>
      <c r="AE40" s="106">
        <f t="shared" si="491"/>
        <v>336584.28515555558</v>
      </c>
      <c r="AF40" s="106">
        <f t="shared" si="492"/>
        <v>336584.28515555558</v>
      </c>
      <c r="AG40" s="106">
        <f t="shared" si="493"/>
        <v>336584.28515555558</v>
      </c>
      <c r="AH40" s="106">
        <f t="shared" si="494"/>
        <v>336584.28515555558</v>
      </c>
      <c r="AI40" s="106">
        <f t="shared" si="495"/>
        <v>336584.28515555558</v>
      </c>
      <c r="AJ40" s="106">
        <f t="shared" si="496"/>
        <v>336584.28515555558</v>
      </c>
      <c r="AK40" s="106">
        <f t="shared" si="497"/>
        <v>336584.28515555558</v>
      </c>
      <c r="AL40" s="106">
        <f t="shared" si="498"/>
        <v>336584.28515555558</v>
      </c>
      <c r="AM40" s="106">
        <f t="shared" si="499"/>
        <v>336584.28515555558</v>
      </c>
      <c r="AN40" s="106">
        <f t="shared" si="500"/>
        <v>336584.28515555558</v>
      </c>
      <c r="AO40" s="106">
        <f t="shared" si="501"/>
        <v>4039011.4218666679</v>
      </c>
      <c r="AQ40" s="106">
        <v>169495</v>
      </c>
      <c r="AR40" s="106">
        <v>169495</v>
      </c>
      <c r="AS40" s="106">
        <v>166100</v>
      </c>
      <c r="AT40" s="106">
        <v>166100</v>
      </c>
      <c r="AU40" s="106">
        <v>166100</v>
      </c>
      <c r="AV40" s="106">
        <v>166100</v>
      </c>
      <c r="AW40" s="106">
        <v>166100</v>
      </c>
      <c r="AX40" s="106">
        <v>114296</v>
      </c>
      <c r="AY40" s="106">
        <v>221191.26</v>
      </c>
      <c r="AZ40" s="106">
        <v>190468</v>
      </c>
      <c r="BA40" s="106">
        <v>180325</v>
      </c>
      <c r="BB40" s="106">
        <v>191683</v>
      </c>
      <c r="BC40" s="106">
        <f t="shared" si="502"/>
        <v>2067453.26</v>
      </c>
      <c r="BD40" s="7" t="str">
        <f t="shared" si="47"/>
        <v>Labour Cost</v>
      </c>
      <c r="BE40" s="106">
        <f>+VLOOKUP($BD40,'Jan-25'!$A:$J,5,0)</f>
        <v>143212</v>
      </c>
      <c r="BF40" s="106">
        <f>+VLOOKUP($BD40,'Feb-25'!$A:$J,5,0)</f>
        <v>168100</v>
      </c>
      <c r="BG40" s="106">
        <f>+VLOOKUP($BD40,'Mar-25'!$A:$J,5,0)</f>
        <v>152500</v>
      </c>
      <c r="BH40" s="106">
        <f>+VLOOKUP($BD40,'Apr-25'!$A:$J,5,0)</f>
        <v>179000</v>
      </c>
      <c r="BI40" s="106">
        <f>+VLOOKUP($BD40,'May-25'!$A:$J,5,0)</f>
        <v>179000</v>
      </c>
      <c r="BJ40" s="106">
        <f>+VLOOKUP($BD40,'June-25'!$A:$J,5,0)</f>
        <v>176256</v>
      </c>
      <c r="BK40" s="106">
        <f>+VLOOKUP($BD40,'July-25'!$A:$J,5,0)</f>
        <v>200199</v>
      </c>
      <c r="BL40" s="106">
        <f>+VLOOKUP($BD40,'Aug-25'!$A:$J,5,0)</f>
        <v>205193</v>
      </c>
      <c r="BM40" s="106">
        <f>+VLOOKUP($BD40,'Sep-25'!$A:$J,5,0)</f>
        <v>206552</v>
      </c>
      <c r="BN40" s="106">
        <f>+VLOOKUP($BD40,'Oct-25'!$A:$J,5,0)</f>
        <v>197471</v>
      </c>
      <c r="BO40" s="106">
        <f>+VLOOKUP($BD40,'Nov-25'!$A:$J,5,0)</f>
        <v>0</v>
      </c>
      <c r="BP40" s="106">
        <f>+VLOOKUP($BD40,'Dec-25'!$A:$J,5,0)</f>
        <v>0</v>
      </c>
      <c r="BQ40" s="106">
        <f t="shared" si="503"/>
        <v>1807483</v>
      </c>
      <c r="BR40" s="118">
        <f t="shared" si="417"/>
        <v>-2.844593929848372E-2</v>
      </c>
      <c r="BS40" s="106">
        <f>+_xlfn.XLOOKUP($BD40,Budget!$A:$A,Budget!BD:BD)</f>
        <v>203252.71437537394</v>
      </c>
      <c r="BT40" s="106">
        <f>+_xlfn.XLOOKUP($BD40,Budget!$A:$A,Budget!BE:BE)</f>
        <v>203252.71437537394</v>
      </c>
      <c r="BU40" s="106">
        <f>+_xlfn.XLOOKUP($BD40,Budget!$A:$A,Budget!BF:BF)</f>
        <v>203252.71437537394</v>
      </c>
      <c r="BV40" s="106">
        <f>+_xlfn.XLOOKUP($BD40,Budget!$A:$A,Budget!BG:BG)</f>
        <v>203252.71437537394</v>
      </c>
      <c r="BW40" s="106">
        <f>+_xlfn.XLOOKUP($BD40,Budget!$A:$A,Budget!BH:BH)</f>
        <v>203252.71437537394</v>
      </c>
      <c r="BX40" s="106">
        <f>+_xlfn.XLOOKUP($BD40,Budget!$A:$A,Budget!BI:BI)</f>
        <v>203252.71437537394</v>
      </c>
      <c r="BY40" s="106">
        <f>+_xlfn.XLOOKUP($BD40,Budget!$A:$A,Budget!BJ:BJ)</f>
        <v>203252.71437537394</v>
      </c>
      <c r="BZ40" s="106">
        <f>+_xlfn.XLOOKUP($BD40,Budget!$A:$A,Budget!BK:BK)</f>
        <v>203252.71437537394</v>
      </c>
      <c r="CA40" s="106">
        <f>+_xlfn.XLOOKUP($BD40,Budget!$A:$A,Budget!BL:BL)</f>
        <v>203252.71437537394</v>
      </c>
      <c r="CB40" s="106">
        <f>+_xlfn.XLOOKUP($BD40,Budget!$A:$A,Budget!BM:BM)</f>
        <v>203252.71437537394</v>
      </c>
      <c r="CC40" s="106">
        <f>+_xlfn.XLOOKUP($BD40,Budget!$A:$A,Budget!BN:BN)</f>
        <v>203252.71437537394</v>
      </c>
      <c r="CD40" s="106">
        <f>+_xlfn.XLOOKUP($BD40,Budget!$A:$A,Budget!BO:BO)</f>
        <v>203252.71437537394</v>
      </c>
      <c r="CE40" s="106">
        <f t="shared" si="504"/>
        <v>2439032.5725044874</v>
      </c>
      <c r="CF40" s="106"/>
      <c r="CG40" s="106">
        <v>113360.00000000001</v>
      </c>
      <c r="CH40" s="106">
        <v>113360.00000000001</v>
      </c>
      <c r="CI40" s="106">
        <v>111000</v>
      </c>
      <c r="CJ40" s="106">
        <v>111000</v>
      </c>
      <c r="CK40" s="106">
        <v>111000</v>
      </c>
      <c r="CL40" s="106">
        <v>111000</v>
      </c>
      <c r="CM40" s="106">
        <v>111000</v>
      </c>
      <c r="CN40" s="106">
        <v>62500</v>
      </c>
      <c r="CO40" s="106">
        <v>109555.34</v>
      </c>
      <c r="CP40" s="106">
        <v>110290</v>
      </c>
      <c r="CQ40" s="106">
        <v>111000</v>
      </c>
      <c r="CR40" s="106">
        <v>109580</v>
      </c>
      <c r="CS40" s="106">
        <f t="shared" si="505"/>
        <v>1284645.3399999999</v>
      </c>
      <c r="CT40" s="7" t="str">
        <f t="shared" si="51"/>
        <v>Labour Cost</v>
      </c>
      <c r="CU40" s="106">
        <f>+VLOOKUP($BD40,'Jan-25'!$A:$J,8,0)</f>
        <v>111000</v>
      </c>
      <c r="CV40" s="106">
        <f>+VLOOKUP($BD40,'Feb-25'!$A:$J,8,0)</f>
        <v>175000</v>
      </c>
      <c r="CW40" s="106">
        <f>+VLOOKUP($BD40,'Mar-25'!$A:$J,8,0)</f>
        <v>74000</v>
      </c>
      <c r="CX40" s="106">
        <f>+VLOOKUP($BD40,'Apr-25'!$A:$J,8,0)</f>
        <v>95334</v>
      </c>
      <c r="CY40" s="106">
        <f>+VLOOKUP($BD40,'May-25'!$A:$J,8,0)</f>
        <v>110887</v>
      </c>
      <c r="CZ40" s="106">
        <f>+VLOOKUP($BD40,'June-25'!$A:$J,8,0)</f>
        <v>109363</v>
      </c>
      <c r="DA40" s="106">
        <f>+VLOOKUP($BD40,'July-25'!$A:$J,8,0)</f>
        <v>111258</v>
      </c>
      <c r="DB40" s="106">
        <f>+VLOOKUP($BD40,'Aug-25'!$A:$J,8,0)</f>
        <v>108661</v>
      </c>
      <c r="DC40" s="106">
        <f>+VLOOKUP($BD40,'Sep-25'!$A:$J,8,0)</f>
        <v>109746</v>
      </c>
      <c r="DD40" s="106">
        <f>+VLOOKUP($BD40,'Oct-25'!$A:$J,8,0)</f>
        <v>112000</v>
      </c>
      <c r="DE40" s="106">
        <f>+VLOOKUP($BD40,'Nov-25'!$A:$J,8,0)</f>
        <v>0</v>
      </c>
      <c r="DF40" s="106">
        <f>+VLOOKUP($BD40,'Dec-25'!$A:$J,8,0)</f>
        <v>0</v>
      </c>
      <c r="DG40" s="106">
        <f t="shared" si="506"/>
        <v>1117249</v>
      </c>
      <c r="DH40" s="118">
        <f t="shared" si="421"/>
        <v>0.13043295108875183</v>
      </c>
      <c r="DI40" s="106">
        <f>+_xlfn.XLOOKUP($CT40,Budget!$A:$A,Budget!CQ:CQ)</f>
        <v>99077.083600694445</v>
      </c>
      <c r="DJ40" s="106">
        <f>+_xlfn.XLOOKUP($CT40,Budget!$A:$A,Budget!CR:CR)</f>
        <v>99077.083600694445</v>
      </c>
      <c r="DK40" s="106">
        <f>+_xlfn.XLOOKUP($CT40,Budget!$A:$A,Budget!CS:CS)</f>
        <v>99077.083600694445</v>
      </c>
      <c r="DL40" s="106">
        <f>+_xlfn.XLOOKUP($CT40,Budget!$A:$A,Budget!CT:CT)</f>
        <v>99077.083600694445</v>
      </c>
      <c r="DM40" s="106">
        <f>+_xlfn.XLOOKUP($CT40,Budget!$A:$A,Budget!CU:CU)</f>
        <v>99077.083600694445</v>
      </c>
      <c r="DN40" s="106">
        <f>+_xlfn.XLOOKUP($CT40,Budget!$A:$A,Budget!CV:CV)</f>
        <v>99077.083600694445</v>
      </c>
      <c r="DO40" s="106">
        <f>+_xlfn.XLOOKUP($CT40,Budget!$A:$A,Budget!CW:CW)</f>
        <v>99077.083600694445</v>
      </c>
      <c r="DP40" s="106">
        <f>+_xlfn.XLOOKUP($CT40,Budget!$A:$A,Budget!CX:CX)</f>
        <v>99077.083600694445</v>
      </c>
      <c r="DQ40" s="106">
        <f>+_xlfn.XLOOKUP($CT40,Budget!$A:$A,Budget!CY:CY)</f>
        <v>99077.083600694445</v>
      </c>
      <c r="DR40" s="106">
        <f>+_xlfn.XLOOKUP($CT40,Budget!$A:$A,Budget!CZ:CZ)</f>
        <v>99077.083600694445</v>
      </c>
      <c r="DS40" s="106">
        <f>+_xlfn.XLOOKUP($CT40,Budget!$A:$A,Budget!DA:DA)</f>
        <v>99077.083600694445</v>
      </c>
      <c r="DT40" s="106">
        <f>+_xlfn.XLOOKUP($CT40,Budget!$A:$A,Budget!DB:DB)</f>
        <v>99077.083600694445</v>
      </c>
      <c r="DU40" s="106">
        <f t="shared" si="507"/>
        <v>1188925.0032083334</v>
      </c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106">
        <f t="shared" si="508"/>
        <v>0</v>
      </c>
      <c r="EJ40" s="7" t="str">
        <f t="shared" si="217"/>
        <v>Labour Cost</v>
      </c>
      <c r="EK40" s="22">
        <f>+VLOOKUP($BD40,'Jan-25'!$A:$J,10,0)</f>
        <v>24000</v>
      </c>
      <c r="EL40" s="22">
        <f>+VLOOKUP($BD40,'Feb-25'!$A:$J,10,0)</f>
        <v>30000</v>
      </c>
      <c r="EM40" s="22">
        <f>+VLOOKUP($BD40,'Mar-25'!$A:$J,10,0)</f>
        <v>24000</v>
      </c>
      <c r="EN40" s="22">
        <f>+VLOOKUP($BD40,'Apr-25'!$A:$J,10,0)</f>
        <v>30000</v>
      </c>
      <c r="EO40" s="22">
        <f>+VLOOKUP($BD40,'May-25'!$A:$J,10,0)</f>
        <v>30000</v>
      </c>
      <c r="EP40" s="22">
        <f>+VLOOKUP($BD40,'June-25'!$A:$J,10,0)</f>
        <v>30000</v>
      </c>
      <c r="EQ40" s="22">
        <f>+VLOOKUP($BD40,'July-25'!$A:$J,10,0)</f>
        <v>30000</v>
      </c>
      <c r="ER40" s="22">
        <f>+VLOOKUP($BD40,'Aug-25'!$A:$J,10,0)</f>
        <v>30000</v>
      </c>
      <c r="ES40" s="22">
        <f>+VLOOKUP($BD40,'Sep-25'!$A:$J,10,0)</f>
        <v>30000</v>
      </c>
      <c r="ET40" s="22">
        <f>+VLOOKUP($BD40,'Oct-25'!$A:$J,10,0)</f>
        <v>29031</v>
      </c>
      <c r="EU40" s="22">
        <f>+VLOOKUP($BD40,'Nov-25'!$A:$J,10,0)</f>
        <v>0</v>
      </c>
      <c r="EV40" s="22">
        <f>+VLOOKUP($BD40,'Dec-25'!$A:$J,10,0)</f>
        <v>0</v>
      </c>
      <c r="EW40" s="22">
        <f t="shared" si="509"/>
        <v>287031</v>
      </c>
      <c r="EX40" s="118">
        <f t="shared" si="425"/>
        <v>-0.12420233171772369</v>
      </c>
      <c r="EY40" s="106">
        <f>+_xlfn.XLOOKUP($EJ40,Budget!$A:$A,Budget!DR:DR)</f>
        <v>34254.48717948718</v>
      </c>
      <c r="EZ40" s="106">
        <f>+_xlfn.XLOOKUP($EJ40,Budget!$A:$A,Budget!DS:DS)</f>
        <v>34254.48717948718</v>
      </c>
      <c r="FA40" s="106">
        <f>+_xlfn.XLOOKUP($EJ40,Budget!$A:$A,Budget!DT:DT)</f>
        <v>34254.48717948718</v>
      </c>
      <c r="FB40" s="106">
        <f>+_xlfn.XLOOKUP($EJ40,Budget!$A:$A,Budget!DU:DU)</f>
        <v>34254.48717948718</v>
      </c>
      <c r="FC40" s="106">
        <f>+_xlfn.XLOOKUP($EJ40,Budget!$A:$A,Budget!DV:DV)</f>
        <v>34254.48717948718</v>
      </c>
      <c r="FD40" s="106">
        <f>+_xlfn.XLOOKUP($EJ40,Budget!$A:$A,Budget!DW:DW)</f>
        <v>34254.48717948718</v>
      </c>
      <c r="FE40" s="106">
        <f>+_xlfn.XLOOKUP($EJ40,Budget!$A:$A,Budget!DX:DX)</f>
        <v>34254.48717948718</v>
      </c>
      <c r="FF40" s="106">
        <f>+_xlfn.XLOOKUP($EJ40,Budget!$A:$A,Budget!DY:DY)</f>
        <v>34254.48717948718</v>
      </c>
      <c r="FG40" s="106">
        <f>+_xlfn.XLOOKUP($EJ40,Budget!$A:$A,Budget!DZ:DZ)</f>
        <v>34254.48717948718</v>
      </c>
      <c r="FH40" s="106">
        <f>+_xlfn.XLOOKUP($EJ40,Budget!$A:$A,Budget!EA:EA)</f>
        <v>34254.48717948718</v>
      </c>
      <c r="FI40" s="106">
        <f>+_xlfn.XLOOKUP($EJ40,Budget!$A:$A,Budget!EB:EB)</f>
        <v>34254.48717948718</v>
      </c>
      <c r="FJ40" s="106">
        <f>+_xlfn.XLOOKUP($EJ40,Budget!$A:$A,Budget!EC:EC)</f>
        <v>34254.48717948718</v>
      </c>
      <c r="FK40" s="106">
        <f t="shared" si="510"/>
        <v>411053.84615384619</v>
      </c>
    </row>
    <row r="41" spans="1:167" ht="14.45" customHeight="1">
      <c r="A41" s="106">
        <f t="shared" si="427"/>
        <v>46719.835999999996</v>
      </c>
      <c r="B41" s="106">
        <f t="shared" si="465"/>
        <v>161657.73599999998</v>
      </c>
      <c r="C41" s="106">
        <f t="shared" si="466"/>
        <v>195133.86800000002</v>
      </c>
      <c r="D41" s="106">
        <f t="shared" si="467"/>
        <v>173545.408</v>
      </c>
      <c r="E41" s="106">
        <f t="shared" si="468"/>
        <v>114687.75400000002</v>
      </c>
      <c r="F41" s="106">
        <f t="shared" si="469"/>
        <v>43650.531999999999</v>
      </c>
      <c r="G41" s="106">
        <f t="shared" si="470"/>
        <v>45833.084000000003</v>
      </c>
      <c r="H41" s="106">
        <f t="shared" si="471"/>
        <v>12882.184000000001</v>
      </c>
      <c r="I41" s="106">
        <f t="shared" si="472"/>
        <v>346810.06799999997</v>
      </c>
      <c r="J41" s="106">
        <f t="shared" si="473"/>
        <v>140185.57800000001</v>
      </c>
      <c r="K41" s="106">
        <f t="shared" si="474"/>
        <v>159.08600000000001</v>
      </c>
      <c r="L41" s="106">
        <f t="shared" si="475"/>
        <v>113906.908</v>
      </c>
      <c r="M41" s="106">
        <f t="shared" si="387"/>
        <v>1395172.0419999999</v>
      </c>
      <c r="N41" s="7" t="s">
        <v>36</v>
      </c>
      <c r="O41" s="106">
        <f t="shared" si="476"/>
        <v>0</v>
      </c>
      <c r="P41" s="106">
        <f t="shared" si="477"/>
        <v>12344.73</v>
      </c>
      <c r="Q41" s="106">
        <f t="shared" si="478"/>
        <v>128009.76</v>
      </c>
      <c r="R41" s="106">
        <f t="shared" si="479"/>
        <v>176486.476</v>
      </c>
      <c r="S41" s="106">
        <f t="shared" si="480"/>
        <v>312895.63199999998</v>
      </c>
      <c r="T41" s="106">
        <f t="shared" si="481"/>
        <v>97247.080000000016</v>
      </c>
      <c r="U41" s="106">
        <f t="shared" si="482"/>
        <v>252699.908</v>
      </c>
      <c r="V41" s="106">
        <f t="shared" si="483"/>
        <v>121623.356</v>
      </c>
      <c r="W41" s="106">
        <f t="shared" si="484"/>
        <v>96402.292000000016</v>
      </c>
      <c r="X41" s="106">
        <f t="shared" si="485"/>
        <v>294254.47200000001</v>
      </c>
      <c r="Y41" s="106">
        <f t="shared" si="486"/>
        <v>0</v>
      </c>
      <c r="Z41" s="106">
        <f t="shared" si="487"/>
        <v>0</v>
      </c>
      <c r="AA41" s="106">
        <f t="shared" si="488"/>
        <v>1491963.7060000002</v>
      </c>
      <c r="AB41" s="118">
        <f t="shared" si="401"/>
        <v>-0.36903452191310215</v>
      </c>
      <c r="AC41" s="106">
        <f t="shared" si="489"/>
        <v>494547.04500000004</v>
      </c>
      <c r="AD41" s="106">
        <f t="shared" si="490"/>
        <v>489627.59800000006</v>
      </c>
      <c r="AE41" s="106">
        <f t="shared" si="491"/>
        <v>492351.7570000001</v>
      </c>
      <c r="AF41" s="106">
        <f t="shared" si="492"/>
        <v>409631.70880000002</v>
      </c>
      <c r="AG41" s="106">
        <f t="shared" si="493"/>
        <v>477843.29600000003</v>
      </c>
      <c r="AH41" s="106">
        <f t="shared" si="494"/>
        <v>503415.16000000003</v>
      </c>
      <c r="AI41" s="106">
        <f t="shared" si="495"/>
        <v>513902.42400000006</v>
      </c>
      <c r="AJ41" s="106">
        <f t="shared" si="496"/>
        <v>553247.54099999997</v>
      </c>
      <c r="AK41" s="106">
        <f t="shared" si="497"/>
        <v>579039.73499999999</v>
      </c>
      <c r="AL41" s="106">
        <f t="shared" si="498"/>
        <v>466355.89777777775</v>
      </c>
      <c r="AM41" s="106">
        <f t="shared" si="499"/>
        <v>382853.60711111117</v>
      </c>
      <c r="AN41" s="106">
        <f t="shared" si="500"/>
        <v>493444.78602020204</v>
      </c>
      <c r="AO41" s="106">
        <f t="shared" si="501"/>
        <v>5856260.5557090919</v>
      </c>
      <c r="AQ41" s="106">
        <v>46719.835999999996</v>
      </c>
      <c r="AR41" s="106">
        <v>42878.559999999998</v>
      </c>
      <c r="AS41" s="106">
        <v>128669.16000000002</v>
      </c>
      <c r="AT41" s="106">
        <v>155526.46399999998</v>
      </c>
      <c r="AU41" s="106">
        <v>109365.97000000002</v>
      </c>
      <c r="AV41" s="106">
        <v>39869.451999999997</v>
      </c>
      <c r="AW41" s="106">
        <v>38317.528000000006</v>
      </c>
      <c r="AX41" s="106">
        <v>0</v>
      </c>
      <c r="AY41" s="106">
        <v>300422.75199999998</v>
      </c>
      <c r="AZ41" s="106">
        <v>97661.244000000006</v>
      </c>
      <c r="BA41" s="106">
        <v>0</v>
      </c>
      <c r="BB41" s="106">
        <v>79693.868000000002</v>
      </c>
      <c r="BC41" s="106">
        <f t="shared" si="502"/>
        <v>1039124.834</v>
      </c>
      <c r="BD41" s="7" t="str">
        <f t="shared" si="47"/>
        <v>Consumables</v>
      </c>
      <c r="BE41" s="106">
        <f>+VLOOKUP($BD41,'Jan-25'!$A:$J,5,0)</f>
        <v>0</v>
      </c>
      <c r="BF41" s="106">
        <f>+VLOOKUP($BD41,'Feb-25'!$A:$J,5,0)</f>
        <v>9915</v>
      </c>
      <c r="BG41" s="106">
        <f>+VLOOKUP($BD41,'Mar-25'!$A:$J,5,0)</f>
        <v>79785.399999999994</v>
      </c>
      <c r="BH41" s="106">
        <f>+VLOOKUP($BD41,'Apr-25'!$A:$J,5,0)</f>
        <v>4782.5</v>
      </c>
      <c r="BI41" s="106">
        <f>+VLOOKUP($BD41,'May-25'!$A:$J,5,0)</f>
        <v>269750.50400000002</v>
      </c>
      <c r="BJ41" s="106">
        <f>+VLOOKUP($BD41,'June-25'!$A:$J,5,0)</f>
        <v>82893.40800000001</v>
      </c>
      <c r="BK41" s="106">
        <f>+VLOOKUP($BD41,'July-25'!$A:$J,5,0)</f>
        <v>131021.22399999999</v>
      </c>
      <c r="BL41" s="106">
        <f>+VLOOKUP($BD41,'Aug-25'!$A:$J,5,0)</f>
        <v>101581.26400000001</v>
      </c>
      <c r="BM41" s="106">
        <f>+VLOOKUP($BD41,'Sep-25'!$A:$J,5,0)</f>
        <v>39261.816000000006</v>
      </c>
      <c r="BN41" s="106">
        <f>+VLOOKUP($BD41,'Oct-25'!$A:$J,5,0)</f>
        <v>190546.03200000001</v>
      </c>
      <c r="BO41" s="106">
        <f>+VLOOKUP($BD41,'Nov-25'!$A:$J,5,0)</f>
        <v>0</v>
      </c>
      <c r="BP41" s="106">
        <f>+VLOOKUP($BD41,'Dec-25'!$A:$J,5,0)</f>
        <v>0</v>
      </c>
      <c r="BQ41" s="106">
        <f t="shared" si="503"/>
        <v>909537.14799999993</v>
      </c>
      <c r="BR41" s="118">
        <f t="shared" si="417"/>
        <v>-0.37672787192310414</v>
      </c>
      <c r="BS41" s="106">
        <f>+_xlfn.XLOOKUP($BD41,Budget!$A:$A,Budget!BD:BD)</f>
        <v>318457.125</v>
      </c>
      <c r="BT41" s="106">
        <f>+_xlfn.XLOOKUP($BD41,Budget!$A:$A,Budget!BE:BE)</f>
        <v>309358.35000000003</v>
      </c>
      <c r="BU41" s="106">
        <f>+_xlfn.XLOOKUP($BD41,Budget!$A:$A,Budget!BF:BF)</f>
        <v>282062.02500000002</v>
      </c>
      <c r="BV41" s="106">
        <f>+_xlfn.XLOOKUP($BD41,Budget!$A:$A,Budget!BG:BG)</f>
        <v>272526.50880000001</v>
      </c>
      <c r="BW41" s="106">
        <f>+_xlfn.XLOOKUP($BD41,Budget!$A:$A,Budget!BH:BH)</f>
        <v>296984.016</v>
      </c>
      <c r="BX41" s="106">
        <f>+_xlfn.XLOOKUP($BD41,Budget!$A:$A,Budget!BI:BI)</f>
        <v>305718.83999999997</v>
      </c>
      <c r="BY41" s="106">
        <f>+_xlfn.XLOOKUP($BD41,Budget!$A:$A,Budget!BJ:BJ)</f>
        <v>314453.66400000005</v>
      </c>
      <c r="BZ41" s="106">
        <f>+_xlfn.XLOOKUP($BD41,Budget!$A:$A,Budget!BK:BK)</f>
        <v>324280.34100000001</v>
      </c>
      <c r="CA41" s="106">
        <f>+_xlfn.XLOOKUP($BD41,Budget!$A:$A,Budget!BL:BL)</f>
        <v>343933.69500000001</v>
      </c>
      <c r="CB41" s="106">
        <f>+_xlfn.XLOOKUP($BD41,Budget!$A:$A,Budget!BM:BM)</f>
        <v>305718.83999999997</v>
      </c>
      <c r="CC41" s="106">
        <f>+_xlfn.XLOOKUP($BD41,Budget!$A:$A,Budget!BN:BN)</f>
        <v>244575.07200000004</v>
      </c>
      <c r="CD41" s="106">
        <f>+_xlfn.XLOOKUP($BD41,Budget!$A:$A,Budget!BO:BO)</f>
        <v>323188.48800000001</v>
      </c>
      <c r="CE41" s="106">
        <f t="shared" si="504"/>
        <v>3641256.9647999997</v>
      </c>
      <c r="CF41" s="106"/>
      <c r="CG41" s="106">
        <v>0</v>
      </c>
      <c r="CH41" s="106">
        <v>118779.17599999999</v>
      </c>
      <c r="CI41" s="106">
        <v>66464.707999999999</v>
      </c>
      <c r="CJ41" s="106">
        <v>18018.944000000003</v>
      </c>
      <c r="CK41" s="106">
        <v>5321.7839999999997</v>
      </c>
      <c r="CL41" s="106">
        <v>3781.08</v>
      </c>
      <c r="CM41" s="106">
        <v>7515.5560000000005</v>
      </c>
      <c r="CN41" s="106">
        <v>12882.184000000001</v>
      </c>
      <c r="CO41" s="106">
        <v>46387.315999999999</v>
      </c>
      <c r="CP41" s="106">
        <v>42524.334000000003</v>
      </c>
      <c r="CQ41" s="106">
        <v>159.08600000000001</v>
      </c>
      <c r="CR41" s="106">
        <v>34213.040000000001</v>
      </c>
      <c r="CS41" s="106">
        <f t="shared" si="505"/>
        <v>356047.20799999993</v>
      </c>
      <c r="CT41" s="7" t="str">
        <f t="shared" si="51"/>
        <v>Consumables</v>
      </c>
      <c r="CU41" s="106">
        <f>+VLOOKUP($BD41,'Jan-25'!$A:$J,8,0)</f>
        <v>0</v>
      </c>
      <c r="CV41" s="106">
        <f>+VLOOKUP($BD41,'Feb-25'!$A:$J,8,0)</f>
        <v>1902.73</v>
      </c>
      <c r="CW41" s="106">
        <f>+VLOOKUP($BD41,'Mar-25'!$A:$J,8,0)</f>
        <v>47864.36</v>
      </c>
      <c r="CX41" s="106">
        <f>+VLOOKUP($BD41,'Apr-25'!$A:$J,8,0)</f>
        <v>120019.28399999999</v>
      </c>
      <c r="CY41" s="106">
        <f>+VLOOKUP($BD41,'May-25'!$A:$J,8,0)</f>
        <v>19415.810000000001</v>
      </c>
      <c r="CZ41" s="106">
        <f>+VLOOKUP($BD41,'June-25'!$A:$J,8,0)</f>
        <v>0</v>
      </c>
      <c r="DA41" s="106">
        <f>+VLOOKUP($BD41,'July-25'!$A:$J,8,0)</f>
        <v>102096.89600000001</v>
      </c>
      <c r="DB41" s="106">
        <f>+VLOOKUP($BD41,'Aug-25'!$A:$J,8,0)</f>
        <v>4549.0559999999996</v>
      </c>
      <c r="DC41" s="106">
        <f>+VLOOKUP($BD41,'Sep-25'!$A:$J,8,0)</f>
        <v>54690.476000000002</v>
      </c>
      <c r="DD41" s="106">
        <f>+VLOOKUP($BD41,'Oct-25'!$A:$J,8,0)</f>
        <v>66440.88</v>
      </c>
      <c r="DE41" s="106">
        <f>+VLOOKUP($BD41,'Nov-25'!$A:$J,8,0)</f>
        <v>0</v>
      </c>
      <c r="DF41" s="106">
        <f>+VLOOKUP($BD41,'Dec-25'!$A:$J,8,0)</f>
        <v>0</v>
      </c>
      <c r="DG41" s="106">
        <f t="shared" si="506"/>
        <v>416979.49199999997</v>
      </c>
      <c r="DH41" s="118">
        <f t="shared" si="421"/>
        <v>-0.43626942231447541</v>
      </c>
      <c r="DI41" s="106">
        <f>+_xlfn.XLOOKUP($CT41,Budget!$A:$A,Budget!CQ:CQ)</f>
        <v>119389.92000000003</v>
      </c>
      <c r="DJ41" s="106">
        <f>+_xlfn.XLOOKUP($CT41,Budget!$A:$A,Budget!CR:CR)</f>
        <v>127349.24800000002</v>
      </c>
      <c r="DK41" s="106">
        <f>+_xlfn.XLOOKUP($CT41,Budget!$A:$A,Budget!CS:CS)</f>
        <v>151227.23200000005</v>
      </c>
      <c r="DL41" s="106">
        <f>+_xlfn.XLOOKUP($CT41,Budget!$A:$A,Budget!CT:CT)</f>
        <v>84185.200000000012</v>
      </c>
      <c r="DM41" s="106">
        <f>+_xlfn.XLOOKUP($CT41,Budget!$A:$A,Budget!CU:CU)</f>
        <v>117859.28000000001</v>
      </c>
      <c r="DN41" s="106">
        <f>+_xlfn.XLOOKUP($CT41,Budget!$A:$A,Budget!CV:CV)</f>
        <v>134696.32000000004</v>
      </c>
      <c r="DO41" s="106">
        <f>+_xlfn.XLOOKUP($CT41,Budget!$A:$A,Budget!CW:CW)</f>
        <v>128573.76000000001</v>
      </c>
      <c r="DP41" s="106">
        <f>+_xlfn.XLOOKUP($CT41,Budget!$A:$A,Budget!CX:CX)</f>
        <v>160717.19999999998</v>
      </c>
      <c r="DQ41" s="106">
        <f>+_xlfn.XLOOKUP($CT41,Budget!$A:$A,Budget!CY:CY)</f>
        <v>169901.04</v>
      </c>
      <c r="DR41" s="106">
        <f>+_xlfn.XLOOKUP($CT41,Budget!$A:$A,Budget!CZ:CZ)</f>
        <v>117859.28000000001</v>
      </c>
      <c r="DS41" s="106">
        <f>+_xlfn.XLOOKUP($CT41,Budget!$A:$A,Budget!DA:DA)</f>
        <v>94287.424000000014</v>
      </c>
      <c r="DT41" s="106">
        <f>+_xlfn.XLOOKUP($CT41,Budget!$A:$A,Budget!DB:DB)</f>
        <v>124594.09600000001</v>
      </c>
      <c r="DU41" s="106">
        <f t="shared" si="507"/>
        <v>1530640.0000000002</v>
      </c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106">
        <f t="shared" si="508"/>
        <v>0</v>
      </c>
      <c r="EJ41" s="7" t="str">
        <f t="shared" si="217"/>
        <v>Consumables</v>
      </c>
      <c r="EK41" s="22">
        <f>+VLOOKUP($BD41,'Jan-25'!$A:$J,10,0)</f>
        <v>0</v>
      </c>
      <c r="EL41" s="22">
        <f>+VLOOKUP($BD41,'Feb-25'!$A:$J,10,0)</f>
        <v>527</v>
      </c>
      <c r="EM41" s="22">
        <f>+VLOOKUP($BD41,'Mar-25'!$A:$J,10,0)</f>
        <v>360</v>
      </c>
      <c r="EN41" s="22">
        <f>+VLOOKUP($BD41,'Apr-25'!$A:$J,10,0)</f>
        <v>51684.69200000001</v>
      </c>
      <c r="EO41" s="22">
        <f>+VLOOKUP($BD41,'May-25'!$A:$J,10,0)</f>
        <v>23729.317999999999</v>
      </c>
      <c r="EP41" s="22">
        <f>+VLOOKUP($BD41,'June-25'!$A:$J,10,0)</f>
        <v>14353.672</v>
      </c>
      <c r="EQ41" s="22">
        <f>+VLOOKUP($BD41,'July-25'!$A:$J,10,0)</f>
        <v>19581.788</v>
      </c>
      <c r="ER41" s="22">
        <f>+VLOOKUP($BD41,'Aug-25'!$A:$J,10,0)</f>
        <v>15493.036</v>
      </c>
      <c r="ES41" s="22">
        <f>+VLOOKUP($BD41,'Sep-25'!$A:$J,10,0)</f>
        <v>2450</v>
      </c>
      <c r="ET41" s="22">
        <f>+VLOOKUP($BD41,'Oct-25'!$A:$J,10,0)</f>
        <v>37267.56</v>
      </c>
      <c r="EU41" s="22">
        <f>+VLOOKUP($BD41,'Nov-25'!$A:$J,10,0)</f>
        <v>0</v>
      </c>
      <c r="EV41" s="22">
        <f>+VLOOKUP($BD41,'Dec-25'!$A:$J,10,0)</f>
        <v>0</v>
      </c>
      <c r="EW41" s="22">
        <f t="shared" si="509"/>
        <v>165447.06600000002</v>
      </c>
      <c r="EX41" s="118">
        <f t="shared" si="425"/>
        <v>-0.96242619431025234</v>
      </c>
      <c r="EY41" s="106">
        <f>+_xlfn.XLOOKUP($EJ41,Budget!$A:$A,Budget!DR:DR)</f>
        <v>56700</v>
      </c>
      <c r="EZ41" s="106">
        <f>+_xlfn.XLOOKUP($EJ41,Budget!$A:$A,Budget!DS:DS)</f>
        <v>52920.000000000015</v>
      </c>
      <c r="FA41" s="106">
        <f>+_xlfn.XLOOKUP($EJ41,Budget!$A:$A,Budget!DT:DT)</f>
        <v>59062.500000000015</v>
      </c>
      <c r="FB41" s="106">
        <f>+_xlfn.XLOOKUP($EJ41,Budget!$A:$A,Budget!DU:DU)</f>
        <v>52920.000000000015</v>
      </c>
      <c r="FC41" s="106">
        <f>+_xlfn.XLOOKUP($EJ41,Budget!$A:$A,Budget!DV:DV)</f>
        <v>63000</v>
      </c>
      <c r="FD41" s="106">
        <f>+_xlfn.XLOOKUP($EJ41,Budget!$A:$A,Budget!DW:DW)</f>
        <v>63000</v>
      </c>
      <c r="FE41" s="106">
        <f>+_xlfn.XLOOKUP($EJ41,Budget!$A:$A,Budget!DX:DX)</f>
        <v>70875.000000000015</v>
      </c>
      <c r="FF41" s="106">
        <f>+_xlfn.XLOOKUP($EJ41,Budget!$A:$A,Budget!DY:DY)</f>
        <v>68250.000000000015</v>
      </c>
      <c r="FG41" s="106">
        <f>+_xlfn.XLOOKUP($EJ41,Budget!$A:$A,Budget!DZ:DZ)</f>
        <v>65205.000000000015</v>
      </c>
      <c r="FH41" s="106">
        <f>+_xlfn.XLOOKUP($EJ41,Budget!$A:$A,Budget!EA:EA)</f>
        <v>42777.777777777781</v>
      </c>
      <c r="FI41" s="106">
        <f>+_xlfn.XLOOKUP($EJ41,Budget!$A:$A,Budget!EB:EB)</f>
        <v>43991.111111111124</v>
      </c>
      <c r="FJ41" s="106">
        <f>+_xlfn.XLOOKUP($EJ41,Budget!$A:$A,Budget!EC:EC)</f>
        <v>45662.202020202021</v>
      </c>
      <c r="FK41" s="106">
        <f t="shared" si="510"/>
        <v>684363.59090909106</v>
      </c>
    </row>
    <row r="42" spans="1:167" ht="14.45" customHeight="1">
      <c r="A42" s="106">
        <f t="shared" si="427"/>
        <v>0</v>
      </c>
      <c r="B42" s="106">
        <f t="shared" si="465"/>
        <v>2596</v>
      </c>
      <c r="C42" s="106">
        <f t="shared" si="466"/>
        <v>2596</v>
      </c>
      <c r="D42" s="106">
        <f t="shared" si="467"/>
        <v>0</v>
      </c>
      <c r="E42" s="106">
        <f t="shared" si="468"/>
        <v>3894</v>
      </c>
      <c r="F42" s="106">
        <f t="shared" si="469"/>
        <v>0</v>
      </c>
      <c r="G42" s="106">
        <f t="shared" si="470"/>
        <v>0</v>
      </c>
      <c r="H42" s="106">
        <f t="shared" si="471"/>
        <v>0</v>
      </c>
      <c r="I42" s="106">
        <f t="shared" si="472"/>
        <v>1947</v>
      </c>
      <c r="J42" s="106">
        <f t="shared" si="473"/>
        <v>1947</v>
      </c>
      <c r="K42" s="106">
        <f t="shared" si="474"/>
        <v>9735</v>
      </c>
      <c r="L42" s="106">
        <f t="shared" si="475"/>
        <v>6490</v>
      </c>
      <c r="M42" s="106">
        <f t="shared" si="387"/>
        <v>29205</v>
      </c>
      <c r="N42" s="7" t="s">
        <v>37</v>
      </c>
      <c r="O42" s="106">
        <f t="shared" si="476"/>
        <v>3245</v>
      </c>
      <c r="P42" s="106">
        <f t="shared" si="477"/>
        <v>20745</v>
      </c>
      <c r="Q42" s="106">
        <f t="shared" si="478"/>
        <v>0</v>
      </c>
      <c r="R42" s="106">
        <f t="shared" si="479"/>
        <v>0</v>
      </c>
      <c r="S42" s="106">
        <f t="shared" si="480"/>
        <v>0</v>
      </c>
      <c r="T42" s="106">
        <f t="shared" si="481"/>
        <v>3894</v>
      </c>
      <c r="U42" s="106">
        <f t="shared" si="482"/>
        <v>3894</v>
      </c>
      <c r="V42" s="106">
        <f t="shared" si="483"/>
        <v>12331</v>
      </c>
      <c r="W42" s="106">
        <f t="shared" si="484"/>
        <v>0</v>
      </c>
      <c r="X42" s="106">
        <f t="shared" si="485"/>
        <v>0</v>
      </c>
      <c r="Y42" s="106">
        <f t="shared" si="486"/>
        <v>0</v>
      </c>
      <c r="Z42" s="106">
        <f t="shared" si="487"/>
        <v>0</v>
      </c>
      <c r="AA42" s="106">
        <f t="shared" si="488"/>
        <v>44109</v>
      </c>
      <c r="AB42" s="118">
        <f t="shared" si="401"/>
        <v>0</v>
      </c>
      <c r="AC42" s="106">
        <f t="shared" si="489"/>
        <v>0</v>
      </c>
      <c r="AD42" s="106">
        <f t="shared" si="490"/>
        <v>0</v>
      </c>
      <c r="AE42" s="106">
        <f t="shared" si="491"/>
        <v>0</v>
      </c>
      <c r="AF42" s="106">
        <f t="shared" si="492"/>
        <v>0</v>
      </c>
      <c r="AG42" s="106">
        <f t="shared" si="493"/>
        <v>0</v>
      </c>
      <c r="AH42" s="106">
        <f t="shared" si="494"/>
        <v>0</v>
      </c>
      <c r="AI42" s="106">
        <f t="shared" si="495"/>
        <v>0</v>
      </c>
      <c r="AJ42" s="106">
        <f t="shared" si="496"/>
        <v>0</v>
      </c>
      <c r="AK42" s="106">
        <f t="shared" si="497"/>
        <v>0</v>
      </c>
      <c r="AL42" s="106">
        <f t="shared" si="498"/>
        <v>0</v>
      </c>
      <c r="AM42" s="106">
        <f t="shared" si="499"/>
        <v>0</v>
      </c>
      <c r="AN42" s="106">
        <f t="shared" si="500"/>
        <v>0</v>
      </c>
      <c r="AO42" s="106">
        <f t="shared" si="501"/>
        <v>0</v>
      </c>
      <c r="AQ42" s="106">
        <v>0</v>
      </c>
      <c r="AR42" s="106">
        <v>2596</v>
      </c>
      <c r="AS42" s="106">
        <v>2596</v>
      </c>
      <c r="AT42" s="106">
        <v>0</v>
      </c>
      <c r="AU42" s="106">
        <v>3245</v>
      </c>
      <c r="AV42" s="106">
        <v>0</v>
      </c>
      <c r="AW42" s="106">
        <v>0</v>
      </c>
      <c r="AX42" s="106">
        <v>0</v>
      </c>
      <c r="AY42" s="106">
        <v>0</v>
      </c>
      <c r="AZ42" s="106">
        <v>0</v>
      </c>
      <c r="BA42" s="106">
        <v>7139</v>
      </c>
      <c r="BB42" s="106">
        <v>5192</v>
      </c>
      <c r="BC42" s="106">
        <f t="shared" si="502"/>
        <v>20768</v>
      </c>
      <c r="BD42" s="7" t="str">
        <f t="shared" si="47"/>
        <v>Direct Expenses [Sub contract other than Access]</v>
      </c>
      <c r="BE42" s="106">
        <f>+VLOOKUP($BD42,'Jan-25'!$A:$J,5,0)</f>
        <v>3245</v>
      </c>
      <c r="BF42" s="106">
        <f>+VLOOKUP($BD42,'Feb-25'!$A:$J,5,0)</f>
        <v>2596</v>
      </c>
      <c r="BG42" s="106">
        <f>+VLOOKUP($BD42,'Mar-25'!$A:$J,5,0)</f>
        <v>0</v>
      </c>
      <c r="BH42" s="106">
        <f>+VLOOKUP($BD42,'Apr-25'!$A:$J,5,0)</f>
        <v>0</v>
      </c>
      <c r="BI42" s="106">
        <f>+VLOOKUP($BD42,'May-25'!$A:$J,5,0)</f>
        <v>0</v>
      </c>
      <c r="BJ42" s="106">
        <f>+VLOOKUP($BD42,'June-25'!$A:$J,5,0)</f>
        <v>3245</v>
      </c>
      <c r="BK42" s="106">
        <f>+VLOOKUP($BD42,'July-25'!$A:$J,5,0)</f>
        <v>3894</v>
      </c>
      <c r="BL42" s="106">
        <f>+VLOOKUP($BD42,'Aug-25'!$A:$J,5,0)</f>
        <v>12331</v>
      </c>
      <c r="BM42" s="106">
        <f>+VLOOKUP($BD42,'Sep-25'!$A:$J,5,0)</f>
        <v>0</v>
      </c>
      <c r="BN42" s="106">
        <f>+VLOOKUP($BD42,'Oct-25'!$A:$J,5,0)</f>
        <v>0</v>
      </c>
      <c r="BO42" s="106">
        <f>+VLOOKUP($BD42,'Nov-25'!$A:$J,5,0)</f>
        <v>0</v>
      </c>
      <c r="BP42" s="106">
        <f>+VLOOKUP($BD42,'Dec-25'!$A:$J,5,0)</f>
        <v>0</v>
      </c>
      <c r="BQ42" s="106">
        <f t="shared" si="503"/>
        <v>25311</v>
      </c>
      <c r="BR42" s="118">
        <f t="shared" si="417"/>
        <v>0</v>
      </c>
      <c r="BS42" s="106">
        <f>+_xlfn.XLOOKUP($BD42,Budget!$A:$A,Budget!BD:BD)</f>
        <v>0</v>
      </c>
      <c r="BT42" s="106">
        <f>+_xlfn.XLOOKUP($BD42,Budget!$A:$A,Budget!BE:BE)</f>
        <v>0</v>
      </c>
      <c r="BU42" s="106">
        <f>+_xlfn.XLOOKUP($BD42,Budget!$A:$A,Budget!BF:BF)</f>
        <v>0</v>
      </c>
      <c r="BV42" s="106">
        <f>+_xlfn.XLOOKUP($BD42,Budget!$A:$A,Budget!BG:BG)</f>
        <v>0</v>
      </c>
      <c r="BW42" s="106">
        <f>+_xlfn.XLOOKUP($BD42,Budget!$A:$A,Budget!BH:BH)</f>
        <v>0</v>
      </c>
      <c r="BX42" s="106">
        <f>+_xlfn.XLOOKUP($BD42,Budget!$A:$A,Budget!BI:BI)</f>
        <v>0</v>
      </c>
      <c r="BY42" s="106">
        <f>+_xlfn.XLOOKUP($BD42,Budget!$A:$A,Budget!BJ:BJ)</f>
        <v>0</v>
      </c>
      <c r="BZ42" s="106">
        <f>+_xlfn.XLOOKUP($BD42,Budget!$A:$A,Budget!BK:BK)</f>
        <v>0</v>
      </c>
      <c r="CA42" s="106">
        <f>+_xlfn.XLOOKUP($BD42,Budget!$A:$A,Budget!BL:BL)</f>
        <v>0</v>
      </c>
      <c r="CB42" s="106">
        <f>+_xlfn.XLOOKUP($BD42,Budget!$A:$A,Budget!BM:BM)</f>
        <v>0</v>
      </c>
      <c r="CC42" s="106">
        <f>+_xlfn.XLOOKUP($BD42,Budget!$A:$A,Budget!BN:BN)</f>
        <v>0</v>
      </c>
      <c r="CD42" s="106">
        <f>+_xlfn.XLOOKUP($BD42,Budget!$A:$A,Budget!BO:BO)</f>
        <v>0</v>
      </c>
      <c r="CE42" s="106">
        <f t="shared" si="504"/>
        <v>0</v>
      </c>
      <c r="CF42" s="106"/>
      <c r="CG42" s="106">
        <v>0</v>
      </c>
      <c r="CH42" s="106">
        <v>0</v>
      </c>
      <c r="CI42" s="106">
        <v>0</v>
      </c>
      <c r="CJ42" s="106">
        <v>0</v>
      </c>
      <c r="CK42" s="106">
        <v>649</v>
      </c>
      <c r="CL42" s="106">
        <v>0</v>
      </c>
      <c r="CM42" s="106">
        <v>0</v>
      </c>
      <c r="CN42" s="106">
        <v>0</v>
      </c>
      <c r="CO42" s="106">
        <v>1947</v>
      </c>
      <c r="CP42" s="106">
        <v>1947</v>
      </c>
      <c r="CQ42" s="106">
        <v>2596</v>
      </c>
      <c r="CR42" s="106">
        <v>1298</v>
      </c>
      <c r="CS42" s="106">
        <f t="shared" si="505"/>
        <v>8437</v>
      </c>
      <c r="CT42" s="7" t="str">
        <f t="shared" si="51"/>
        <v>Direct Expenses [Sub contract other than Access]</v>
      </c>
      <c r="CU42" s="106">
        <f>+VLOOKUP($BD42,'Jan-25'!$A:$J,8,0)</f>
        <v>0</v>
      </c>
      <c r="CV42" s="106">
        <f>+VLOOKUP($BD42,'Feb-25'!$A:$J,8,0)</f>
        <v>18149</v>
      </c>
      <c r="CW42" s="106">
        <f>+VLOOKUP($BD42,'Mar-25'!$A:$J,8,0)</f>
        <v>0</v>
      </c>
      <c r="CX42" s="106">
        <f>+VLOOKUP($BD42,'Apr-25'!$A:$J,8,0)</f>
        <v>0</v>
      </c>
      <c r="CY42" s="106">
        <f>+VLOOKUP($BD42,'May-25'!$A:$J,8,0)</f>
        <v>0</v>
      </c>
      <c r="CZ42" s="106">
        <f>+VLOOKUP($BD42,'June-25'!$A:$J,8,0)</f>
        <v>649</v>
      </c>
      <c r="DA42" s="106">
        <f>+VLOOKUP($BD42,'July-25'!$A:$J,8,0)</f>
        <v>0</v>
      </c>
      <c r="DB42" s="106">
        <f>+VLOOKUP($BD42,'Aug-25'!$A:$J,8,0)</f>
        <v>0</v>
      </c>
      <c r="DC42" s="106">
        <f>+VLOOKUP($BD42,'Sep-25'!$A:$J,8,0)</f>
        <v>0</v>
      </c>
      <c r="DD42" s="106">
        <f>+VLOOKUP($BD42,'Oct-25'!$A:$J,8,0)</f>
        <v>0</v>
      </c>
      <c r="DE42" s="106">
        <f>+VLOOKUP($BD42,'Nov-25'!$A:$J,8,0)</f>
        <v>0</v>
      </c>
      <c r="DF42" s="106">
        <f>+VLOOKUP($BD42,'Dec-25'!$A:$J,8,0)</f>
        <v>0</v>
      </c>
      <c r="DG42" s="106">
        <f t="shared" si="506"/>
        <v>18798</v>
      </c>
      <c r="DH42" s="118">
        <f t="shared" si="421"/>
        <v>0</v>
      </c>
      <c r="DI42" s="106">
        <f>+_xlfn.XLOOKUP($CT42,Budget!$A:$A,Budget!CQ:CQ)</f>
        <v>0</v>
      </c>
      <c r="DJ42" s="106">
        <f>+_xlfn.XLOOKUP($CT42,Budget!$A:$A,Budget!CR:CR)</f>
        <v>0</v>
      </c>
      <c r="DK42" s="106">
        <f>+_xlfn.XLOOKUP($CT42,Budget!$A:$A,Budget!CS:CS)</f>
        <v>0</v>
      </c>
      <c r="DL42" s="106">
        <f>+_xlfn.XLOOKUP($CT42,Budget!$A:$A,Budget!CT:CT)</f>
        <v>0</v>
      </c>
      <c r="DM42" s="106">
        <f>+_xlfn.XLOOKUP($CT42,Budget!$A:$A,Budget!CU:CU)</f>
        <v>0</v>
      </c>
      <c r="DN42" s="106">
        <f>+_xlfn.XLOOKUP($CT42,Budget!$A:$A,Budget!CV:CV)</f>
        <v>0</v>
      </c>
      <c r="DO42" s="106">
        <f>+_xlfn.XLOOKUP($CT42,Budget!$A:$A,Budget!CW:CW)</f>
        <v>0</v>
      </c>
      <c r="DP42" s="106">
        <f>+_xlfn.XLOOKUP($CT42,Budget!$A:$A,Budget!CX:CX)</f>
        <v>0</v>
      </c>
      <c r="DQ42" s="106">
        <f>+_xlfn.XLOOKUP($CT42,Budget!$A:$A,Budget!CY:CY)</f>
        <v>0</v>
      </c>
      <c r="DR42" s="106">
        <f>+_xlfn.XLOOKUP($CT42,Budget!$A:$A,Budget!CZ:CZ)</f>
        <v>0</v>
      </c>
      <c r="DS42" s="106">
        <f>+_xlfn.XLOOKUP($CT42,Budget!$A:$A,Budget!DA:DA)</f>
        <v>0</v>
      </c>
      <c r="DT42" s="106">
        <f>+_xlfn.XLOOKUP($CT42,Budget!$A:$A,Budget!DB:DB)</f>
        <v>0</v>
      </c>
      <c r="DU42" s="106">
        <f t="shared" si="507"/>
        <v>0</v>
      </c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106">
        <f t="shared" si="508"/>
        <v>0</v>
      </c>
      <c r="EJ42" s="7" t="str">
        <f t="shared" si="217"/>
        <v>Direct Expenses [Sub contract other than Access]</v>
      </c>
      <c r="EK42" s="22">
        <f>+VLOOKUP($BD42,'Jan-25'!$A:$J,10,0)</f>
        <v>0</v>
      </c>
      <c r="EL42" s="22">
        <f>+VLOOKUP($BD42,'Feb-25'!$A:$J,10,0)</f>
        <v>0</v>
      </c>
      <c r="EM42" s="22">
        <f>+VLOOKUP($BD42,'Mar-25'!$A:$J,10,0)</f>
        <v>0</v>
      </c>
      <c r="EN42" s="22">
        <f>+VLOOKUP($BD42,'Apr-25'!$A:$J,10,0)</f>
        <v>0</v>
      </c>
      <c r="EO42" s="22">
        <f>+VLOOKUP($BD42,'May-25'!$A:$J,10,0)</f>
        <v>0</v>
      </c>
      <c r="EP42" s="22">
        <f>+VLOOKUP($BD42,'June-25'!$A:$J,10,0)</f>
        <v>0</v>
      </c>
      <c r="EQ42" s="22">
        <f>+VLOOKUP($BD42,'July-25'!$A:$J,10,0)</f>
        <v>0</v>
      </c>
      <c r="ER42" s="22">
        <f>+VLOOKUP($BD42,'Aug-25'!$A:$J,10,0)</f>
        <v>0</v>
      </c>
      <c r="ES42" s="22">
        <f>+VLOOKUP($BD42,'Sep-25'!$A:$J,10,0)</f>
        <v>0</v>
      </c>
      <c r="ET42" s="22">
        <f>+VLOOKUP($BD42,'Oct-25'!$A:$J,10,0)</f>
        <v>0</v>
      </c>
      <c r="EU42" s="22">
        <f>+VLOOKUP($BD42,'Nov-25'!$A:$J,10,0)</f>
        <v>0</v>
      </c>
      <c r="EV42" s="22">
        <f>+VLOOKUP($BD42,'Dec-25'!$A:$J,10,0)</f>
        <v>0</v>
      </c>
      <c r="EW42" s="22">
        <f t="shared" si="509"/>
        <v>0</v>
      </c>
      <c r="EX42" s="118" t="e">
        <f t="shared" si="425"/>
        <v>#DIV/0!</v>
      </c>
      <c r="EY42" s="106">
        <f>+_xlfn.XLOOKUP($EJ42,Budget!$A:$A,Budget!DR:DR)</f>
        <v>0</v>
      </c>
      <c r="EZ42" s="106">
        <f>+_xlfn.XLOOKUP($EJ42,Budget!$A:$A,Budget!DS:DS)</f>
        <v>0</v>
      </c>
      <c r="FA42" s="106">
        <f>+_xlfn.XLOOKUP($EJ42,Budget!$A:$A,Budget!DT:DT)</f>
        <v>0</v>
      </c>
      <c r="FB42" s="106">
        <f>+_xlfn.XLOOKUP($EJ42,Budget!$A:$A,Budget!DU:DU)</f>
        <v>0</v>
      </c>
      <c r="FC42" s="106">
        <f>+_xlfn.XLOOKUP($EJ42,Budget!$A:$A,Budget!DV:DV)</f>
        <v>0</v>
      </c>
      <c r="FD42" s="106">
        <f>+_xlfn.XLOOKUP($EJ42,Budget!$A:$A,Budget!DW:DW)</f>
        <v>0</v>
      </c>
      <c r="FE42" s="106">
        <f>+_xlfn.XLOOKUP($EJ42,Budget!$A:$A,Budget!DX:DX)</f>
        <v>0</v>
      </c>
      <c r="FF42" s="106">
        <f>+_xlfn.XLOOKUP($EJ42,Budget!$A:$A,Budget!DY:DY)</f>
        <v>0</v>
      </c>
      <c r="FG42" s="106">
        <f>+_xlfn.XLOOKUP($EJ42,Budget!$A:$A,Budget!DZ:DZ)</f>
        <v>0</v>
      </c>
      <c r="FH42" s="106">
        <f>+_xlfn.XLOOKUP($EJ42,Budget!$A:$A,Budget!EA:EA)</f>
        <v>0</v>
      </c>
      <c r="FI42" s="106">
        <f>+_xlfn.XLOOKUP($EJ42,Budget!$A:$A,Budget!EB:EB)</f>
        <v>0</v>
      </c>
      <c r="FJ42" s="106">
        <f>+_xlfn.XLOOKUP($EJ42,Budget!$A:$A,Budget!EC:EC)</f>
        <v>0</v>
      </c>
      <c r="FK42" s="106">
        <f t="shared" si="510"/>
        <v>0</v>
      </c>
    </row>
    <row r="43" spans="1:167" ht="14.45" customHeight="1">
      <c r="A43" s="59">
        <f>+A29-A38</f>
        <v>1977588.4239999996</v>
      </c>
      <c r="B43" s="59">
        <f t="shared" ref="B43:M43" si="511">+B29-B38</f>
        <v>5598024.4039999992</v>
      </c>
      <c r="C43" s="59">
        <f t="shared" si="511"/>
        <v>2168176.9219999993</v>
      </c>
      <c r="D43" s="59">
        <f t="shared" si="511"/>
        <v>2827420.3420000002</v>
      </c>
      <c r="E43" s="59">
        <f t="shared" si="511"/>
        <v>2563531.8559999997</v>
      </c>
      <c r="F43" s="59">
        <f t="shared" si="511"/>
        <v>2610363.5880000005</v>
      </c>
      <c r="G43" s="59">
        <f t="shared" si="511"/>
        <v>3012245.0160000008</v>
      </c>
      <c r="H43" s="59">
        <f t="shared" si="511"/>
        <v>3829482.1560000014</v>
      </c>
      <c r="I43" s="59">
        <f t="shared" si="511"/>
        <v>2268508.3619999997</v>
      </c>
      <c r="J43" s="59">
        <f t="shared" si="511"/>
        <v>1963586.7819999987</v>
      </c>
      <c r="K43" s="59">
        <f t="shared" si="511"/>
        <v>5365888.2540000007</v>
      </c>
      <c r="L43" s="59">
        <f t="shared" si="511"/>
        <v>4177749.0820000004</v>
      </c>
      <c r="M43" s="59">
        <f t="shared" si="511"/>
        <v>38362565.188000038</v>
      </c>
      <c r="N43" s="10" t="s">
        <v>20</v>
      </c>
      <c r="O43" s="59">
        <f>+O29-O38</f>
        <v>4772852.08</v>
      </c>
      <c r="P43" s="59">
        <f t="shared" ref="P43:AA43" si="512">+P29-P38</f>
        <v>1263565.69</v>
      </c>
      <c r="Q43" s="59">
        <f t="shared" si="512"/>
        <v>4570583.5299999975</v>
      </c>
      <c r="R43" s="59">
        <f t="shared" si="512"/>
        <v>2816216.5080000022</v>
      </c>
      <c r="S43" s="59">
        <f t="shared" si="512"/>
        <v>4315790.3080000021</v>
      </c>
      <c r="T43" s="59">
        <f t="shared" si="512"/>
        <v>3592856.7700000014</v>
      </c>
      <c r="U43" s="59">
        <f t="shared" si="512"/>
        <v>3423698.2319999998</v>
      </c>
      <c r="V43" s="59">
        <f t="shared" si="512"/>
        <v>3339557.2139999997</v>
      </c>
      <c r="W43" s="59">
        <f t="shared" si="512"/>
        <v>3625140.0080000004</v>
      </c>
      <c r="X43" s="59">
        <f t="shared" si="512"/>
        <v>2289731.817999999</v>
      </c>
      <c r="Y43" s="59">
        <f t="shared" si="512"/>
        <v>0</v>
      </c>
      <c r="Z43" s="59">
        <f t="shared" si="512"/>
        <v>0</v>
      </c>
      <c r="AA43" s="59">
        <f t="shared" si="512"/>
        <v>34009992.158000022</v>
      </c>
      <c r="AB43" s="118">
        <f t="shared" si="401"/>
        <v>-0.37123008803909252</v>
      </c>
      <c r="AC43" s="59">
        <f>+AC29-AC38</f>
        <v>3896963.7698444445</v>
      </c>
      <c r="AD43" s="59">
        <f t="shared" ref="AD43:AO43" si="513">+AD29-AD38</f>
        <v>3863997.7568444451</v>
      </c>
      <c r="AE43" s="59">
        <f t="shared" si="513"/>
        <v>3926271.7178444443</v>
      </c>
      <c r="AF43" s="59">
        <f t="shared" si="513"/>
        <v>3156228.1705244454</v>
      </c>
      <c r="AG43" s="59">
        <f t="shared" si="513"/>
        <v>3766699.3724444443</v>
      </c>
      <c r="AH43" s="59">
        <f t="shared" si="513"/>
        <v>3997188.6188444458</v>
      </c>
      <c r="AI43" s="59">
        <f t="shared" si="513"/>
        <v>4082391.4652444441</v>
      </c>
      <c r="AJ43" s="59">
        <f t="shared" si="513"/>
        <v>4442776.547444446</v>
      </c>
      <c r="AK43" s="59">
        <f t="shared" si="513"/>
        <v>4660947.3518444449</v>
      </c>
      <c r="AL43" s="59">
        <f t="shared" si="513"/>
        <v>3641605.2588444445</v>
      </c>
      <c r="AM43" s="59">
        <f t="shared" si="513"/>
        <v>2933887.3500444433</v>
      </c>
      <c r="AN43" s="59">
        <f t="shared" si="513"/>
        <v>3872890.1938262638</v>
      </c>
      <c r="AO43" s="59">
        <f t="shared" si="513"/>
        <v>46241847.573595151</v>
      </c>
      <c r="AQ43" s="59">
        <f>+AQ29-AQ38</f>
        <v>1123640.7139999997</v>
      </c>
      <c r="AR43" s="59">
        <f t="shared" ref="AR43:BC43" si="514">+AR29-AR38</f>
        <v>4214595.0600000005</v>
      </c>
      <c r="AS43" s="59">
        <f t="shared" si="514"/>
        <v>1714932.42</v>
      </c>
      <c r="AT43" s="59">
        <f t="shared" si="514"/>
        <v>2328874.8960000006</v>
      </c>
      <c r="AU43" s="59">
        <f t="shared" si="514"/>
        <v>910112.83999999985</v>
      </c>
      <c r="AV43" s="59">
        <f t="shared" si="514"/>
        <v>1966745.0279999999</v>
      </c>
      <c r="AW43" s="59">
        <f t="shared" si="514"/>
        <v>2179370.3320000004</v>
      </c>
      <c r="AX43" s="59">
        <f t="shared" si="514"/>
        <v>2491504.4400000013</v>
      </c>
      <c r="AY43" s="59">
        <f t="shared" si="514"/>
        <v>1586230.2579999994</v>
      </c>
      <c r="AZ43" s="59">
        <f t="shared" si="514"/>
        <v>686113.04599999916</v>
      </c>
      <c r="BA43" s="59">
        <f t="shared" si="514"/>
        <v>2605979.3600000003</v>
      </c>
      <c r="BB43" s="59">
        <f t="shared" si="514"/>
        <v>2547078.762000001</v>
      </c>
      <c r="BC43" s="59">
        <f t="shared" si="514"/>
        <v>24355177.155999996</v>
      </c>
      <c r="BD43" s="10" t="str">
        <f t="shared" si="47"/>
        <v>Gross Profit</v>
      </c>
      <c r="BE43" s="59">
        <f t="shared" ref="BE43:BP43" si="515">+BE29-BE38</f>
        <v>2933835.2099999995</v>
      </c>
      <c r="BF43" s="59">
        <f t="shared" si="515"/>
        <v>1003452.1699999999</v>
      </c>
      <c r="BG43" s="59">
        <f t="shared" si="515"/>
        <v>3170405.7699999986</v>
      </c>
      <c r="BH43" s="59">
        <f t="shared" si="515"/>
        <v>2287285.6700000009</v>
      </c>
      <c r="BI43" s="59">
        <f t="shared" si="515"/>
        <v>3035120.2660000008</v>
      </c>
      <c r="BJ43" s="59">
        <f t="shared" si="515"/>
        <v>2209568.972000001</v>
      </c>
      <c r="BK43" s="59">
        <f t="shared" si="515"/>
        <v>2163684.7259999998</v>
      </c>
      <c r="BL43" s="59">
        <f t="shared" si="515"/>
        <v>1490832.4659999995</v>
      </c>
      <c r="BM43" s="59">
        <f t="shared" si="515"/>
        <v>2431314.114000001</v>
      </c>
      <c r="BN43" s="59">
        <f t="shared" si="515"/>
        <v>1149435.4580000001</v>
      </c>
      <c r="BO43" s="59">
        <f t="shared" si="515"/>
        <v>0</v>
      </c>
      <c r="BP43" s="59">
        <f t="shared" si="515"/>
        <v>0</v>
      </c>
      <c r="BQ43" s="59">
        <f t="shared" ref="BQ43" si="516">+BQ29-BQ38</f>
        <v>21874934.821999982</v>
      </c>
      <c r="BR43" s="118">
        <f t="shared" si="417"/>
        <v>-0.49396474357205589</v>
      </c>
      <c r="BS43" s="59">
        <f t="shared" ref="BS43:CE43" si="517">+BS29-BS38</f>
        <v>2374566.0606246255</v>
      </c>
      <c r="BT43" s="59">
        <f t="shared" si="517"/>
        <v>2300914.0956246266</v>
      </c>
      <c r="BU43" s="59">
        <f t="shared" si="517"/>
        <v>2079958.2006246252</v>
      </c>
      <c r="BV43" s="59">
        <f t="shared" si="517"/>
        <v>2002770.9413046269</v>
      </c>
      <c r="BW43" s="59">
        <f t="shared" si="517"/>
        <v>2200747.4232246261</v>
      </c>
      <c r="BX43" s="59">
        <f t="shared" si="517"/>
        <v>2271453.3096246263</v>
      </c>
      <c r="BY43" s="59">
        <f t="shared" si="517"/>
        <v>2342159.1960246256</v>
      </c>
      <c r="BZ43" s="59">
        <f t="shared" si="517"/>
        <v>2421703.3182246257</v>
      </c>
      <c r="CA43" s="59">
        <f t="shared" si="517"/>
        <v>2580791.5626246259</v>
      </c>
      <c r="CB43" s="59">
        <f t="shared" si="517"/>
        <v>2271453.3096246263</v>
      </c>
      <c r="CC43" s="59">
        <f t="shared" si="517"/>
        <v>1776512.1048246259</v>
      </c>
      <c r="CD43" s="59">
        <f t="shared" si="517"/>
        <v>2412865.0824246267</v>
      </c>
      <c r="CE43" s="59">
        <f t="shared" si="517"/>
        <v>27035894.604775503</v>
      </c>
      <c r="CF43" s="106"/>
      <c r="CG43" s="59">
        <f>+CG29-CG38</f>
        <v>853947.7100000002</v>
      </c>
      <c r="CH43" s="59">
        <f t="shared" ref="CH43:CS43" si="518">+CH29-CH38</f>
        <v>1383429.3440000003</v>
      </c>
      <c r="CI43" s="59">
        <f t="shared" si="518"/>
        <v>453244.5019999994</v>
      </c>
      <c r="CJ43" s="59">
        <f t="shared" si="518"/>
        <v>498545.446</v>
      </c>
      <c r="CK43" s="59">
        <f t="shared" si="518"/>
        <v>1653419.0159999994</v>
      </c>
      <c r="CL43" s="59">
        <f t="shared" si="518"/>
        <v>643618.55999999982</v>
      </c>
      <c r="CM43" s="59">
        <f t="shared" si="518"/>
        <v>832874.68399999989</v>
      </c>
      <c r="CN43" s="59">
        <f t="shared" si="518"/>
        <v>1337977.7159999995</v>
      </c>
      <c r="CO43" s="59">
        <f t="shared" si="518"/>
        <v>682278.10400000005</v>
      </c>
      <c r="CP43" s="59">
        <f t="shared" si="518"/>
        <v>1277473.736</v>
      </c>
      <c r="CQ43" s="59">
        <f t="shared" si="518"/>
        <v>2759908.8940000003</v>
      </c>
      <c r="CR43" s="59">
        <f t="shared" si="518"/>
        <v>1630670.3200000003</v>
      </c>
      <c r="CS43" s="59">
        <f t="shared" si="518"/>
        <v>14007388.031999998</v>
      </c>
      <c r="CT43" s="10" t="str">
        <f t="shared" si="51"/>
        <v>Gross Profit</v>
      </c>
      <c r="CU43" s="59">
        <f t="shared" ref="CU43:DF43" si="519">+CU29-CU38</f>
        <v>1695221.0100000002</v>
      </c>
      <c r="CV43" s="59">
        <f t="shared" si="519"/>
        <v>210774.25000000012</v>
      </c>
      <c r="CW43" s="59">
        <f t="shared" si="519"/>
        <v>1076391.58</v>
      </c>
      <c r="CX43" s="59">
        <f t="shared" si="519"/>
        <v>530022.19800000032</v>
      </c>
      <c r="CY43" s="59">
        <f t="shared" si="519"/>
        <v>1121420.5300000003</v>
      </c>
      <c r="CZ43" s="59">
        <f t="shared" si="519"/>
        <v>678568.34999999986</v>
      </c>
      <c r="DA43" s="59">
        <f t="shared" si="519"/>
        <v>1025566.4040000001</v>
      </c>
      <c r="DB43" s="59">
        <f t="shared" si="519"/>
        <v>1312727.8839999996</v>
      </c>
      <c r="DC43" s="59">
        <f t="shared" si="519"/>
        <v>1003883.1439999996</v>
      </c>
      <c r="DD43" s="59">
        <f t="shared" si="519"/>
        <v>973782</v>
      </c>
      <c r="DE43" s="59">
        <f t="shared" si="519"/>
        <v>0</v>
      </c>
      <c r="DF43" s="59">
        <f t="shared" si="519"/>
        <v>0</v>
      </c>
      <c r="DG43" s="59">
        <f t="shared" ref="DG43" si="520">+DG29-DG38</f>
        <v>9628357.3500000052</v>
      </c>
      <c r="DH43" s="118">
        <f t="shared" si="421"/>
        <v>-4.475588417948146E-2</v>
      </c>
      <c r="DI43" s="59">
        <f t="shared" ref="DI43:DU43" si="521">+DI29-DI38</f>
        <v>1033932.1963993057</v>
      </c>
      <c r="DJ43" s="59">
        <f t="shared" si="521"/>
        <v>1109466.148399306</v>
      </c>
      <c r="DK43" s="59">
        <f t="shared" si="521"/>
        <v>1336068.0043993061</v>
      </c>
      <c r="DL43" s="59">
        <f t="shared" si="521"/>
        <v>699839.71639930573</v>
      </c>
      <c r="DM43" s="59">
        <f t="shared" si="521"/>
        <v>1019406.4363993052</v>
      </c>
      <c r="DN43" s="59">
        <f t="shared" si="521"/>
        <v>1179189.796399306</v>
      </c>
      <c r="DO43" s="59">
        <f t="shared" si="521"/>
        <v>1121086.7563993055</v>
      </c>
      <c r="DP43" s="59">
        <f t="shared" si="521"/>
        <v>1426127.716399305</v>
      </c>
      <c r="DQ43" s="59">
        <f t="shared" si="521"/>
        <v>1513282.276399306</v>
      </c>
      <c r="DR43" s="59">
        <f t="shared" si="521"/>
        <v>1019406.4363993052</v>
      </c>
      <c r="DS43" s="59">
        <f t="shared" si="521"/>
        <v>795709.73239930533</v>
      </c>
      <c r="DT43" s="59">
        <f t="shared" si="521"/>
        <v>1083319.7803993055</v>
      </c>
      <c r="DU43" s="59">
        <f t="shared" si="521"/>
        <v>13336834.996791676</v>
      </c>
      <c r="DW43" s="29">
        <f t="shared" ref="DW43:EI43" si="522">+DW29-DW38</f>
        <v>0</v>
      </c>
      <c r="DX43" s="29">
        <f t="shared" si="522"/>
        <v>0</v>
      </c>
      <c r="DY43" s="29">
        <f t="shared" si="522"/>
        <v>0</v>
      </c>
      <c r="DZ43" s="29">
        <f t="shared" si="522"/>
        <v>0</v>
      </c>
      <c r="EA43" s="29">
        <f t="shared" si="522"/>
        <v>0</v>
      </c>
      <c r="EB43" s="29">
        <f t="shared" si="522"/>
        <v>0</v>
      </c>
      <c r="EC43" s="29">
        <f t="shared" si="522"/>
        <v>0</v>
      </c>
      <c r="ED43" s="29">
        <f t="shared" si="522"/>
        <v>0</v>
      </c>
      <c r="EE43" s="29">
        <f t="shared" si="522"/>
        <v>0</v>
      </c>
      <c r="EF43" s="29">
        <f t="shared" si="522"/>
        <v>0</v>
      </c>
      <c r="EG43" s="29">
        <f t="shared" si="522"/>
        <v>0</v>
      </c>
      <c r="EH43" s="29">
        <f t="shared" si="522"/>
        <v>0</v>
      </c>
      <c r="EI43" s="59">
        <f t="shared" si="522"/>
        <v>0</v>
      </c>
      <c r="EJ43" s="10" t="str">
        <f t="shared" si="217"/>
        <v>Gross Profit</v>
      </c>
      <c r="EK43" s="29">
        <f t="shared" ref="EK43:EV43" si="523">+EK29-EK38</f>
        <v>143795.85999999999</v>
      </c>
      <c r="EL43" s="29">
        <f t="shared" si="523"/>
        <v>49339.270000000019</v>
      </c>
      <c r="EM43" s="29">
        <f t="shared" si="523"/>
        <v>323786.18000000005</v>
      </c>
      <c r="EN43" s="29">
        <f t="shared" si="523"/>
        <v>-1091.3600000000151</v>
      </c>
      <c r="EO43" s="29">
        <f t="shared" si="523"/>
        <v>159249.51199999999</v>
      </c>
      <c r="EP43" s="29">
        <f t="shared" si="523"/>
        <v>704719.44800000009</v>
      </c>
      <c r="EQ43" s="29">
        <f t="shared" si="523"/>
        <v>234447.10199999996</v>
      </c>
      <c r="ER43" s="29">
        <f t="shared" si="523"/>
        <v>535996.86399999994</v>
      </c>
      <c r="ES43" s="29">
        <f t="shared" si="523"/>
        <v>189942.75</v>
      </c>
      <c r="ET43" s="29">
        <f t="shared" si="523"/>
        <v>166514.35999999999</v>
      </c>
      <c r="EU43" s="29">
        <f t="shared" si="523"/>
        <v>0</v>
      </c>
      <c r="EV43" s="29">
        <f t="shared" si="523"/>
        <v>0</v>
      </c>
      <c r="EW43" s="29">
        <f t="shared" ref="EW43" si="524">+EW29-EW38</f>
        <v>2506699.9860000005</v>
      </c>
      <c r="EX43" s="118">
        <f t="shared" si="425"/>
        <v>-0.66492922018012701</v>
      </c>
      <c r="EY43" s="59">
        <f t="shared" ref="EY43:FK43" si="525">+EY29-EY38</f>
        <v>488465.51282051287</v>
      </c>
      <c r="EZ43" s="59">
        <f t="shared" si="525"/>
        <v>453617.51282051287</v>
      </c>
      <c r="FA43" s="59">
        <f t="shared" si="525"/>
        <v>510245.51282051287</v>
      </c>
      <c r="FB43" s="59">
        <f t="shared" si="525"/>
        <v>453617.51282051287</v>
      </c>
      <c r="FC43" s="59">
        <f t="shared" si="525"/>
        <v>546545.51282051299</v>
      </c>
      <c r="FD43" s="59">
        <f t="shared" si="525"/>
        <v>546545.51282051299</v>
      </c>
      <c r="FE43" s="59">
        <f t="shared" si="525"/>
        <v>619145.51282051275</v>
      </c>
      <c r="FF43" s="59">
        <f t="shared" si="525"/>
        <v>594945.51282051275</v>
      </c>
      <c r="FG43" s="59">
        <f t="shared" si="525"/>
        <v>566873.51282051275</v>
      </c>
      <c r="FH43" s="59">
        <f t="shared" si="525"/>
        <v>350745.51282051299</v>
      </c>
      <c r="FI43" s="59">
        <f t="shared" si="525"/>
        <v>361665.51282051299</v>
      </c>
      <c r="FJ43" s="59">
        <f t="shared" si="525"/>
        <v>376705.33100233099</v>
      </c>
      <c r="FK43" s="59">
        <f t="shared" si="525"/>
        <v>5869117.9720279723</v>
      </c>
    </row>
    <row r="44" spans="1:167" ht="14.45" customHeight="1">
      <c r="A44" s="106">
        <f t="shared" ref="A44:A46" si="526">+AQ44+CG44+DW44</f>
        <v>0</v>
      </c>
      <c r="B44" s="106">
        <f t="shared" ref="B44:B46" si="527">+AR44+CH44+DX44</f>
        <v>0</v>
      </c>
      <c r="C44" s="106">
        <f t="shared" ref="C44:C46" si="528">+AS44+CI44+DY44</f>
        <v>0</v>
      </c>
      <c r="D44" s="106">
        <f t="shared" ref="D44:D46" si="529">+AT44+CJ44+DZ44</f>
        <v>0</v>
      </c>
      <c r="E44" s="106">
        <f t="shared" ref="E44:E46" si="530">+AU44+CK44+EA44</f>
        <v>0</v>
      </c>
      <c r="F44" s="106">
        <f t="shared" ref="F44:F46" si="531">+AV44+CL44+EB44</f>
        <v>0</v>
      </c>
      <c r="G44" s="106">
        <f t="shared" ref="G44:G46" si="532">+AW44+CM44+EC44</f>
        <v>0</v>
      </c>
      <c r="H44" s="106">
        <f t="shared" ref="H44:H46" si="533">+AX44+CN44+ED44</f>
        <v>0</v>
      </c>
      <c r="I44" s="106">
        <f t="shared" ref="I44:I46" si="534">+AY44+CO44+EE44</f>
        <v>0</v>
      </c>
      <c r="J44" s="106">
        <f t="shared" ref="J44:J46" si="535">+AZ44+CP44+EF44</f>
        <v>0</v>
      </c>
      <c r="K44" s="106">
        <f t="shared" ref="K44:K46" si="536">+BA44+CQ44+EG44</f>
        <v>0</v>
      </c>
      <c r="L44" s="106">
        <f t="shared" ref="L44:L46" si="537">+BB44+CR44+EH44</f>
        <v>0</v>
      </c>
      <c r="M44" s="106">
        <f t="shared" si="387"/>
        <v>0</v>
      </c>
      <c r="N44" s="7" t="s">
        <v>38</v>
      </c>
      <c r="O44" s="106">
        <f t="shared" ref="O44:O46" si="538">+BE44+CU44+EK44</f>
        <v>0</v>
      </c>
      <c r="P44" s="106">
        <f t="shared" ref="P44:P46" si="539">+BF44+CV44+EL44</f>
        <v>0</v>
      </c>
      <c r="Q44" s="106">
        <f t="shared" ref="Q44:Q46" si="540">+BG44+CW44+EM44</f>
        <v>0</v>
      </c>
      <c r="R44" s="106">
        <f t="shared" ref="R44:R46" si="541">+BH44+CX44+EN44</f>
        <v>0</v>
      </c>
      <c r="S44" s="106">
        <f t="shared" ref="S44:S46" si="542">+BI44+CY44+EO44</f>
        <v>0</v>
      </c>
      <c r="T44" s="106">
        <f t="shared" ref="T44:T46" si="543">+BJ44+CZ44+EP44</f>
        <v>0</v>
      </c>
      <c r="U44" s="106">
        <f t="shared" ref="U44:U46" si="544">+BK44+DA44+EQ44</f>
        <v>0</v>
      </c>
      <c r="V44" s="106">
        <f t="shared" ref="V44:V46" si="545">+BL44+DB44+ER44</f>
        <v>0</v>
      </c>
      <c r="W44" s="106">
        <f t="shared" ref="W44:W46" si="546">+BM44+DC44+ES44</f>
        <v>0</v>
      </c>
      <c r="X44" s="106">
        <f t="shared" ref="X44:X46" si="547">+BN44+DD44+ET44</f>
        <v>0</v>
      </c>
      <c r="Y44" s="106">
        <f t="shared" ref="Y44:Y46" si="548">+BO44+DE44+EU44</f>
        <v>0</v>
      </c>
      <c r="Z44" s="106">
        <f t="shared" ref="Z44:Z46" si="549">+BP44+DF44+EV44</f>
        <v>0</v>
      </c>
      <c r="AA44" s="106">
        <f t="shared" ref="AA44:AA46" si="550">+SUM(O44:Z44)</f>
        <v>0</v>
      </c>
      <c r="AB44" s="118">
        <f t="shared" si="401"/>
        <v>0</v>
      </c>
      <c r="AC44" s="106">
        <f t="shared" ref="AC44:AC46" si="551">+BS44+DI44+EY44</f>
        <v>0</v>
      </c>
      <c r="AD44" s="106">
        <f t="shared" ref="AD44:AD46" si="552">+BT44+DJ44+EZ44</f>
        <v>0</v>
      </c>
      <c r="AE44" s="106">
        <f t="shared" ref="AE44:AE46" si="553">+BU44+DK44+FA44</f>
        <v>0</v>
      </c>
      <c r="AF44" s="106">
        <f t="shared" ref="AF44:AF46" si="554">+BV44+DL44+FB44</f>
        <v>0</v>
      </c>
      <c r="AG44" s="106">
        <f t="shared" ref="AG44:AG46" si="555">+BW44+DM44+FC44</f>
        <v>0</v>
      </c>
      <c r="AH44" s="106">
        <f t="shared" ref="AH44:AH46" si="556">+BX44+DN44+FD44</f>
        <v>0</v>
      </c>
      <c r="AI44" s="106">
        <f t="shared" ref="AI44:AI46" si="557">+BY44+DO44+FE44</f>
        <v>0</v>
      </c>
      <c r="AJ44" s="106">
        <f t="shared" ref="AJ44:AJ46" si="558">+BZ44+DP44+FF44</f>
        <v>0</v>
      </c>
      <c r="AK44" s="106">
        <f t="shared" ref="AK44:AK46" si="559">+CA44+DQ44+FG44</f>
        <v>0</v>
      </c>
      <c r="AL44" s="106">
        <f t="shared" ref="AL44:AL46" si="560">+CB44+DR44+FH44</f>
        <v>0</v>
      </c>
      <c r="AM44" s="106">
        <f t="shared" ref="AM44:AM46" si="561">+CC44+DS44+FI44</f>
        <v>0</v>
      </c>
      <c r="AN44" s="106">
        <f t="shared" ref="AN44:AN46" si="562">+CD44+DT44+FJ44</f>
        <v>0</v>
      </c>
      <c r="AO44" s="106">
        <f t="shared" ref="AO44:AO46" si="563">+SUM(AC44:AN44)</f>
        <v>0</v>
      </c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>
        <f t="shared" ref="BC44:BC46" si="564">+SUM(AQ44:BB44)</f>
        <v>0</v>
      </c>
      <c r="BD44" s="7" t="str">
        <f t="shared" si="47"/>
        <v>Monthly Target Incentive</v>
      </c>
      <c r="BE44" s="106">
        <f>+VLOOKUP($BD44,'Jan-25'!$A:$J,5,0)</f>
        <v>0</v>
      </c>
      <c r="BF44" s="106">
        <f>+VLOOKUP($BD44,'Feb-25'!$A:$J,5,0)</f>
        <v>0</v>
      </c>
      <c r="BG44" s="106">
        <f>+VLOOKUP($BD44,'Mar-25'!$A:$J,5,0)</f>
        <v>0</v>
      </c>
      <c r="BH44" s="106">
        <f>+VLOOKUP($BD44,'Apr-25'!$A:$J,5,0)</f>
        <v>0</v>
      </c>
      <c r="BI44" s="106">
        <f>+VLOOKUP($BD44,'May-25'!$A:$J,5,0)</f>
        <v>0</v>
      </c>
      <c r="BJ44" s="106">
        <f>+VLOOKUP($BD44,'June-25'!$A:$J,5,0)</f>
        <v>0</v>
      </c>
      <c r="BK44" s="106">
        <f>+VLOOKUP($BD44,'July-25'!$A:$J,5,0)</f>
        <v>0</v>
      </c>
      <c r="BL44" s="106">
        <f>+VLOOKUP($BD44,'Aug-25'!$A:$J,5,0)</f>
        <v>0</v>
      </c>
      <c r="BM44" s="106">
        <f>+VLOOKUP($BD44,'Sep-25'!$A:$J,5,0)</f>
        <v>0</v>
      </c>
      <c r="BN44" s="106">
        <f>+VLOOKUP($BD44,'Oct-25'!$A:$J,5,0)</f>
        <v>0</v>
      </c>
      <c r="BO44" s="106">
        <f>+VLOOKUP($BD44,'Nov-25'!$A:$J,5,0)</f>
        <v>0</v>
      </c>
      <c r="BP44" s="106">
        <f>+VLOOKUP($BD44,'Dec-25'!$A:$J,5,0)</f>
        <v>0</v>
      </c>
      <c r="BQ44" s="106">
        <f t="shared" ref="BQ44:BQ46" si="565">+SUM(BE44:BP44)</f>
        <v>0</v>
      </c>
      <c r="BR44" s="118">
        <f t="shared" si="417"/>
        <v>0</v>
      </c>
      <c r="BS44" s="106">
        <f>+_xlfn.XLOOKUP($BD44,Budget!$A:$A,Budget!BD:BD)</f>
        <v>0</v>
      </c>
      <c r="BT44" s="106">
        <f>+_xlfn.XLOOKUP($BD44,Budget!$A:$A,Budget!BE:BE)</f>
        <v>0</v>
      </c>
      <c r="BU44" s="106">
        <f>+_xlfn.XLOOKUP($BD44,Budget!$A:$A,Budget!BF:BF)</f>
        <v>0</v>
      </c>
      <c r="BV44" s="106">
        <f>+_xlfn.XLOOKUP($BD44,Budget!$A:$A,Budget!BG:BG)</f>
        <v>0</v>
      </c>
      <c r="BW44" s="106">
        <f>+_xlfn.XLOOKUP($BD44,Budget!$A:$A,Budget!BH:BH)</f>
        <v>0</v>
      </c>
      <c r="BX44" s="106">
        <f>+_xlfn.XLOOKUP($BD44,Budget!$A:$A,Budget!BI:BI)</f>
        <v>0</v>
      </c>
      <c r="BY44" s="106">
        <f>+_xlfn.XLOOKUP($BD44,Budget!$A:$A,Budget!BJ:BJ)</f>
        <v>0</v>
      </c>
      <c r="BZ44" s="106">
        <f>+_xlfn.XLOOKUP($BD44,Budget!$A:$A,Budget!BK:BK)</f>
        <v>0</v>
      </c>
      <c r="CA44" s="106">
        <f>+_xlfn.XLOOKUP($BD44,Budget!$A:$A,Budget!BL:BL)</f>
        <v>0</v>
      </c>
      <c r="CB44" s="106">
        <f>+_xlfn.XLOOKUP($BD44,Budget!$A:$A,Budget!BM:BM)</f>
        <v>0</v>
      </c>
      <c r="CC44" s="106">
        <f>+_xlfn.XLOOKUP($BD44,Budget!$A:$A,Budget!BN:BN)</f>
        <v>0</v>
      </c>
      <c r="CD44" s="106">
        <f>+_xlfn.XLOOKUP($BD44,Budget!$A:$A,Budget!BO:BO)</f>
        <v>0</v>
      </c>
      <c r="CE44" s="106">
        <f t="shared" ref="CE44:CE46" si="566">+SUM(BS44:CD44)</f>
        <v>0</v>
      </c>
      <c r="CF44" s="106"/>
      <c r="CG44" s="106"/>
      <c r="CH44" s="106"/>
      <c r="CI44" s="106"/>
      <c r="CJ44" s="106"/>
      <c r="CK44" s="106"/>
      <c r="CL44" s="106"/>
      <c r="CM44" s="106"/>
      <c r="CN44" s="106"/>
      <c r="CO44" s="106"/>
      <c r="CP44" s="106"/>
      <c r="CQ44" s="106"/>
      <c r="CR44" s="106"/>
      <c r="CS44" s="106">
        <f t="shared" ref="CS44:CS46" si="567">+SUM(CG44:CR44)</f>
        <v>0</v>
      </c>
      <c r="CT44" s="7" t="str">
        <f t="shared" si="51"/>
        <v>Monthly Target Incentive</v>
      </c>
      <c r="CU44" s="106">
        <f>+VLOOKUP($BD44,'Jan-25'!$A:$J,8,0)</f>
        <v>0</v>
      </c>
      <c r="CV44" s="106">
        <f>+VLOOKUP($BD44,'Feb-25'!$A:$J,8,0)</f>
        <v>0</v>
      </c>
      <c r="CW44" s="106">
        <f>+VLOOKUP($BD44,'Mar-25'!$A:$J,8,0)</f>
        <v>0</v>
      </c>
      <c r="CX44" s="106">
        <f>+VLOOKUP($BD44,'Apr-25'!$A:$J,8,0)</f>
        <v>0</v>
      </c>
      <c r="CY44" s="106">
        <f>+VLOOKUP($BD44,'May-25'!$A:$J,8,0)</f>
        <v>0</v>
      </c>
      <c r="CZ44" s="106">
        <f>+VLOOKUP($BD44,'June-25'!$A:$J,8,0)</f>
        <v>0</v>
      </c>
      <c r="DA44" s="106">
        <f>+VLOOKUP($BD44,'July-25'!$A:$J,8,0)</f>
        <v>0</v>
      </c>
      <c r="DB44" s="106">
        <f>+VLOOKUP($BD44,'Aug-25'!$A:$J,8,0)</f>
        <v>0</v>
      </c>
      <c r="DC44" s="106">
        <f>+VLOOKUP($BD44,'Sep-25'!$A:$J,8,0)</f>
        <v>0</v>
      </c>
      <c r="DD44" s="106">
        <f>+VLOOKUP($BD44,'Oct-25'!$A:$J,8,0)</f>
        <v>0</v>
      </c>
      <c r="DE44" s="106">
        <f>+VLOOKUP($BD44,'Nov-25'!$A:$J,8,0)</f>
        <v>0</v>
      </c>
      <c r="DF44" s="106">
        <f>+VLOOKUP($BD44,'Dec-25'!$A:$J,8,0)</f>
        <v>0</v>
      </c>
      <c r="DG44" s="106">
        <f t="shared" ref="DG44:DG46" si="568">+SUM(CU44:DF44)</f>
        <v>0</v>
      </c>
      <c r="DH44" s="118">
        <f t="shared" si="421"/>
        <v>0</v>
      </c>
      <c r="DI44" s="106">
        <f>+_xlfn.XLOOKUP($CT44,Budget!$A:$A,Budget!CQ:CQ)</f>
        <v>0</v>
      </c>
      <c r="DJ44" s="106">
        <f>+_xlfn.XLOOKUP($CT44,Budget!$A:$A,Budget!CR:CR)</f>
        <v>0</v>
      </c>
      <c r="DK44" s="106">
        <f>+_xlfn.XLOOKUP($CT44,Budget!$A:$A,Budget!CS:CS)</f>
        <v>0</v>
      </c>
      <c r="DL44" s="106">
        <f>+_xlfn.XLOOKUP($CT44,Budget!$A:$A,Budget!CT:CT)</f>
        <v>0</v>
      </c>
      <c r="DM44" s="106">
        <f>+_xlfn.XLOOKUP($CT44,Budget!$A:$A,Budget!CU:CU)</f>
        <v>0</v>
      </c>
      <c r="DN44" s="106">
        <f>+_xlfn.XLOOKUP($CT44,Budget!$A:$A,Budget!CV:CV)</f>
        <v>0</v>
      </c>
      <c r="DO44" s="106">
        <f>+_xlfn.XLOOKUP($CT44,Budget!$A:$A,Budget!CW:CW)</f>
        <v>0</v>
      </c>
      <c r="DP44" s="106">
        <f>+_xlfn.XLOOKUP($CT44,Budget!$A:$A,Budget!CX:CX)</f>
        <v>0</v>
      </c>
      <c r="DQ44" s="106">
        <f>+_xlfn.XLOOKUP($CT44,Budget!$A:$A,Budget!CY:CY)</f>
        <v>0</v>
      </c>
      <c r="DR44" s="106">
        <f>+_xlfn.XLOOKUP($CT44,Budget!$A:$A,Budget!CZ:CZ)</f>
        <v>0</v>
      </c>
      <c r="DS44" s="106">
        <f>+_xlfn.XLOOKUP($CT44,Budget!$A:$A,Budget!DA:DA)</f>
        <v>0</v>
      </c>
      <c r="DT44" s="106">
        <f>+_xlfn.XLOOKUP($CT44,Budget!$A:$A,Budget!DB:DB)</f>
        <v>0</v>
      </c>
      <c r="DU44" s="106">
        <f t="shared" ref="DU44:DU46" si="569">+SUM(DI44:DT44)</f>
        <v>0</v>
      </c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106">
        <f t="shared" ref="EI44:EI46" si="570">+SUM(DW44:EH44)</f>
        <v>0</v>
      </c>
      <c r="EJ44" s="7" t="str">
        <f t="shared" si="217"/>
        <v>Monthly Target Incentive</v>
      </c>
      <c r="EK44" s="22">
        <f>+VLOOKUP($BD44,'Jan-25'!$A:$J,10,0)</f>
        <v>0</v>
      </c>
      <c r="EL44" s="22">
        <f>+VLOOKUP($BD44,'Feb-25'!$A:$J,10,0)</f>
        <v>0</v>
      </c>
      <c r="EM44" s="22">
        <f>+VLOOKUP($BD44,'Mar-25'!$A:$J,10,0)</f>
        <v>0</v>
      </c>
      <c r="EN44" s="22">
        <f>+VLOOKUP($BD44,'Apr-25'!$A:$J,10,0)</f>
        <v>0</v>
      </c>
      <c r="EO44" s="22">
        <f>+VLOOKUP($BD44,'May-25'!$A:$J,10,0)</f>
        <v>0</v>
      </c>
      <c r="EP44" s="22">
        <f>+VLOOKUP($BD44,'June-25'!$A:$J,10,0)</f>
        <v>0</v>
      </c>
      <c r="EQ44" s="22">
        <f>+VLOOKUP($BD44,'July-25'!$A:$J,10,0)</f>
        <v>0</v>
      </c>
      <c r="ER44" s="22">
        <f>+VLOOKUP($BD44,'Aug-25'!$A:$J,10,0)</f>
        <v>0</v>
      </c>
      <c r="ES44" s="22">
        <f>+VLOOKUP($BD44,'Sep-25'!$A:$J,10,0)</f>
        <v>0</v>
      </c>
      <c r="ET44" s="22">
        <f>+VLOOKUP($BD44,'Oct-25'!$A:$J,10,0)</f>
        <v>0</v>
      </c>
      <c r="EU44" s="22">
        <f>+VLOOKUP($BD44,'Nov-25'!$A:$J,10,0)</f>
        <v>0</v>
      </c>
      <c r="EV44" s="22">
        <f>+VLOOKUP($BD44,'Dec-25'!$A:$J,10,0)</f>
        <v>0</v>
      </c>
      <c r="EW44" s="22">
        <f t="shared" ref="EW44:EW46" si="571">+SUM(EK44:EV44)</f>
        <v>0</v>
      </c>
      <c r="EX44" s="118" t="e">
        <f t="shared" si="425"/>
        <v>#DIV/0!</v>
      </c>
      <c r="EY44" s="106">
        <f>+_xlfn.XLOOKUP($EJ44,Budget!$A:$A,Budget!DR:DR)</f>
        <v>0</v>
      </c>
      <c r="EZ44" s="106">
        <f>+_xlfn.XLOOKUP($EJ44,Budget!$A:$A,Budget!DS:DS)</f>
        <v>0</v>
      </c>
      <c r="FA44" s="106">
        <f>+_xlfn.XLOOKUP($EJ44,Budget!$A:$A,Budget!DT:DT)</f>
        <v>0</v>
      </c>
      <c r="FB44" s="106">
        <f>+_xlfn.XLOOKUP($EJ44,Budget!$A:$A,Budget!DU:DU)</f>
        <v>0</v>
      </c>
      <c r="FC44" s="106">
        <f>+_xlfn.XLOOKUP($EJ44,Budget!$A:$A,Budget!DV:DV)</f>
        <v>0</v>
      </c>
      <c r="FD44" s="106">
        <f>+_xlfn.XLOOKUP($EJ44,Budget!$A:$A,Budget!DW:DW)</f>
        <v>0</v>
      </c>
      <c r="FE44" s="106">
        <f>+_xlfn.XLOOKUP($EJ44,Budget!$A:$A,Budget!DX:DX)</f>
        <v>0</v>
      </c>
      <c r="FF44" s="106">
        <f>+_xlfn.XLOOKUP($EJ44,Budget!$A:$A,Budget!DY:DY)</f>
        <v>0</v>
      </c>
      <c r="FG44" s="106">
        <f>+_xlfn.XLOOKUP($EJ44,Budget!$A:$A,Budget!DZ:DZ)</f>
        <v>0</v>
      </c>
      <c r="FH44" s="106">
        <f>+_xlfn.XLOOKUP($EJ44,Budget!$A:$A,Budget!EA:EA)</f>
        <v>0</v>
      </c>
      <c r="FI44" s="106">
        <f>+_xlfn.XLOOKUP($EJ44,Budget!$A:$A,Budget!EB:EB)</f>
        <v>0</v>
      </c>
      <c r="FJ44" s="106">
        <f>+_xlfn.XLOOKUP($EJ44,Budget!$A:$A,Budget!EC:EC)</f>
        <v>0</v>
      </c>
      <c r="FK44" s="106">
        <f t="shared" ref="FK44:FK46" si="572">+SUM(EY44:FJ44)</f>
        <v>0</v>
      </c>
    </row>
    <row r="45" spans="1:167" ht="14.45" customHeight="1">
      <c r="A45" s="106">
        <f t="shared" si="526"/>
        <v>0</v>
      </c>
      <c r="B45" s="106">
        <f t="shared" si="527"/>
        <v>0</v>
      </c>
      <c r="C45" s="106">
        <f t="shared" si="528"/>
        <v>0</v>
      </c>
      <c r="D45" s="106">
        <f t="shared" si="529"/>
        <v>0</v>
      </c>
      <c r="E45" s="106">
        <f t="shared" si="530"/>
        <v>0</v>
      </c>
      <c r="F45" s="106">
        <f t="shared" si="531"/>
        <v>0</v>
      </c>
      <c r="G45" s="106">
        <f t="shared" si="532"/>
        <v>0</v>
      </c>
      <c r="H45" s="106">
        <f t="shared" si="533"/>
        <v>0</v>
      </c>
      <c r="I45" s="106">
        <f t="shared" si="534"/>
        <v>0</v>
      </c>
      <c r="J45" s="106">
        <f t="shared" si="535"/>
        <v>0</v>
      </c>
      <c r="K45" s="106">
        <f t="shared" si="536"/>
        <v>0</v>
      </c>
      <c r="L45" s="106">
        <f t="shared" si="537"/>
        <v>0</v>
      </c>
      <c r="M45" s="106">
        <f t="shared" si="387"/>
        <v>0</v>
      </c>
      <c r="N45" s="7" t="s">
        <v>39</v>
      </c>
      <c r="O45" s="106">
        <f t="shared" si="538"/>
        <v>0</v>
      </c>
      <c r="P45" s="106">
        <f t="shared" si="539"/>
        <v>0</v>
      </c>
      <c r="Q45" s="106">
        <f t="shared" si="540"/>
        <v>0</v>
      </c>
      <c r="R45" s="106">
        <f t="shared" si="541"/>
        <v>0</v>
      </c>
      <c r="S45" s="106">
        <f t="shared" si="542"/>
        <v>0</v>
      </c>
      <c r="T45" s="106">
        <f t="shared" si="543"/>
        <v>0</v>
      </c>
      <c r="U45" s="106">
        <f t="shared" si="544"/>
        <v>0</v>
      </c>
      <c r="V45" s="106">
        <f t="shared" si="545"/>
        <v>0</v>
      </c>
      <c r="W45" s="106">
        <f t="shared" si="546"/>
        <v>0</v>
      </c>
      <c r="X45" s="106">
        <f t="shared" si="547"/>
        <v>0</v>
      </c>
      <c r="Y45" s="106">
        <f t="shared" si="548"/>
        <v>0</v>
      </c>
      <c r="Z45" s="106">
        <f t="shared" si="549"/>
        <v>0</v>
      </c>
      <c r="AA45" s="106">
        <f t="shared" si="550"/>
        <v>0</v>
      </c>
      <c r="AB45" s="118">
        <f t="shared" si="401"/>
        <v>0</v>
      </c>
      <c r="AC45" s="106">
        <f t="shared" si="551"/>
        <v>0</v>
      </c>
      <c r="AD45" s="106">
        <f t="shared" si="552"/>
        <v>0</v>
      </c>
      <c r="AE45" s="106">
        <f t="shared" si="553"/>
        <v>0</v>
      </c>
      <c r="AF45" s="106">
        <f t="shared" si="554"/>
        <v>0</v>
      </c>
      <c r="AG45" s="106">
        <f t="shared" si="555"/>
        <v>0</v>
      </c>
      <c r="AH45" s="106">
        <f t="shared" si="556"/>
        <v>0</v>
      </c>
      <c r="AI45" s="106">
        <f t="shared" si="557"/>
        <v>0</v>
      </c>
      <c r="AJ45" s="106">
        <f t="shared" si="558"/>
        <v>0</v>
      </c>
      <c r="AK45" s="106">
        <f t="shared" si="559"/>
        <v>0</v>
      </c>
      <c r="AL45" s="106">
        <f t="shared" si="560"/>
        <v>0</v>
      </c>
      <c r="AM45" s="106">
        <f t="shared" si="561"/>
        <v>0</v>
      </c>
      <c r="AN45" s="106">
        <f t="shared" si="562"/>
        <v>0</v>
      </c>
      <c r="AO45" s="106">
        <f t="shared" si="563"/>
        <v>0</v>
      </c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>
        <f t="shared" si="564"/>
        <v>0</v>
      </c>
      <c r="BD45" s="7" t="str">
        <f t="shared" si="47"/>
        <v>Quarterly Target Incentive</v>
      </c>
      <c r="BE45" s="106">
        <f>+VLOOKUP($BD45,'Jan-25'!$A:$J,5,0)</f>
        <v>0</v>
      </c>
      <c r="BF45" s="106">
        <f>+VLOOKUP($BD45,'Feb-25'!$A:$J,5,0)</f>
        <v>0</v>
      </c>
      <c r="BG45" s="106">
        <f>+VLOOKUP($BD45,'Mar-25'!$A:$J,5,0)</f>
        <v>0</v>
      </c>
      <c r="BH45" s="106">
        <f>+VLOOKUP($BD45,'Apr-25'!$A:$J,5,0)</f>
        <v>0</v>
      </c>
      <c r="BI45" s="106">
        <f>+VLOOKUP($BD45,'May-25'!$A:$J,5,0)</f>
        <v>0</v>
      </c>
      <c r="BJ45" s="106">
        <f>+VLOOKUP($BD45,'June-25'!$A:$J,5,0)</f>
        <v>0</v>
      </c>
      <c r="BK45" s="106">
        <f>+VLOOKUP($BD45,'July-25'!$A:$J,5,0)</f>
        <v>0</v>
      </c>
      <c r="BL45" s="106">
        <f>+VLOOKUP($BD45,'Aug-25'!$A:$J,5,0)</f>
        <v>0</v>
      </c>
      <c r="BM45" s="106">
        <f>+VLOOKUP($BD45,'Sep-25'!$A:$J,5,0)</f>
        <v>0</v>
      </c>
      <c r="BN45" s="106">
        <f>+VLOOKUP($BD45,'Oct-25'!$A:$J,5,0)</f>
        <v>0</v>
      </c>
      <c r="BO45" s="106">
        <f>+VLOOKUP($BD45,'Nov-25'!$A:$J,5,0)</f>
        <v>0</v>
      </c>
      <c r="BP45" s="106">
        <f>+VLOOKUP($BD45,'Dec-25'!$A:$J,5,0)</f>
        <v>0</v>
      </c>
      <c r="BQ45" s="106">
        <f t="shared" si="565"/>
        <v>0</v>
      </c>
      <c r="BR45" s="118">
        <f t="shared" si="417"/>
        <v>0</v>
      </c>
      <c r="BS45" s="106">
        <f>+_xlfn.XLOOKUP($BD45,Budget!$A:$A,Budget!BD:BD)</f>
        <v>0</v>
      </c>
      <c r="BT45" s="106">
        <f>+_xlfn.XLOOKUP($BD45,Budget!$A:$A,Budget!BE:BE)</f>
        <v>0</v>
      </c>
      <c r="BU45" s="106">
        <f>+_xlfn.XLOOKUP($BD45,Budget!$A:$A,Budget!BF:BF)</f>
        <v>0</v>
      </c>
      <c r="BV45" s="106">
        <f>+_xlfn.XLOOKUP($BD45,Budget!$A:$A,Budget!BG:BG)</f>
        <v>0</v>
      </c>
      <c r="BW45" s="106">
        <f>+_xlfn.XLOOKUP($BD45,Budget!$A:$A,Budget!BH:BH)</f>
        <v>0</v>
      </c>
      <c r="BX45" s="106">
        <f>+_xlfn.XLOOKUP($BD45,Budget!$A:$A,Budget!BI:BI)</f>
        <v>0</v>
      </c>
      <c r="BY45" s="106">
        <f>+_xlfn.XLOOKUP($BD45,Budget!$A:$A,Budget!BJ:BJ)</f>
        <v>0</v>
      </c>
      <c r="BZ45" s="106">
        <f>+_xlfn.XLOOKUP($BD45,Budget!$A:$A,Budget!BK:BK)</f>
        <v>0</v>
      </c>
      <c r="CA45" s="106">
        <f>+_xlfn.XLOOKUP($BD45,Budget!$A:$A,Budget!BL:BL)</f>
        <v>0</v>
      </c>
      <c r="CB45" s="106">
        <f>+_xlfn.XLOOKUP($BD45,Budget!$A:$A,Budget!BM:BM)</f>
        <v>0</v>
      </c>
      <c r="CC45" s="106">
        <f>+_xlfn.XLOOKUP($BD45,Budget!$A:$A,Budget!BN:BN)</f>
        <v>0</v>
      </c>
      <c r="CD45" s="106">
        <f>+_xlfn.XLOOKUP($BD45,Budget!$A:$A,Budget!BO:BO)</f>
        <v>0</v>
      </c>
      <c r="CE45" s="106">
        <f t="shared" si="566"/>
        <v>0</v>
      </c>
      <c r="CF45" s="106"/>
      <c r="CG45" s="106"/>
      <c r="CH45" s="106"/>
      <c r="CI45" s="106"/>
      <c r="CJ45" s="106"/>
      <c r="CK45" s="106"/>
      <c r="CL45" s="106"/>
      <c r="CM45" s="106"/>
      <c r="CN45" s="106"/>
      <c r="CO45" s="106"/>
      <c r="CP45" s="106"/>
      <c r="CQ45" s="106"/>
      <c r="CR45" s="106"/>
      <c r="CS45" s="106">
        <f t="shared" si="567"/>
        <v>0</v>
      </c>
      <c r="CT45" s="7" t="str">
        <f t="shared" si="51"/>
        <v>Quarterly Target Incentive</v>
      </c>
      <c r="CU45" s="106">
        <f>+VLOOKUP($BD45,'Jan-25'!$A:$J,8,0)</f>
        <v>0</v>
      </c>
      <c r="CV45" s="106">
        <f>+VLOOKUP($BD45,'Feb-25'!$A:$J,8,0)</f>
        <v>0</v>
      </c>
      <c r="CW45" s="106">
        <f>+VLOOKUP($BD45,'Mar-25'!$A:$J,8,0)</f>
        <v>0</v>
      </c>
      <c r="CX45" s="106">
        <f>+VLOOKUP($BD45,'Apr-25'!$A:$J,8,0)</f>
        <v>0</v>
      </c>
      <c r="CY45" s="106">
        <f>+VLOOKUP($BD45,'May-25'!$A:$J,8,0)</f>
        <v>0</v>
      </c>
      <c r="CZ45" s="106">
        <f>+VLOOKUP($BD45,'June-25'!$A:$J,8,0)</f>
        <v>0</v>
      </c>
      <c r="DA45" s="106">
        <f>+VLOOKUP($BD45,'July-25'!$A:$J,8,0)</f>
        <v>0</v>
      </c>
      <c r="DB45" s="106">
        <f>+VLOOKUP($BD45,'Aug-25'!$A:$J,8,0)</f>
        <v>0</v>
      </c>
      <c r="DC45" s="106">
        <f>+VLOOKUP($BD45,'Sep-25'!$A:$J,8,0)</f>
        <v>0</v>
      </c>
      <c r="DD45" s="106">
        <f>+VLOOKUP($BD45,'Oct-25'!$A:$J,8,0)</f>
        <v>0</v>
      </c>
      <c r="DE45" s="106">
        <f>+VLOOKUP($BD45,'Nov-25'!$A:$J,8,0)</f>
        <v>0</v>
      </c>
      <c r="DF45" s="106">
        <f>+VLOOKUP($BD45,'Dec-25'!$A:$J,8,0)</f>
        <v>0</v>
      </c>
      <c r="DG45" s="106">
        <f t="shared" si="568"/>
        <v>0</v>
      </c>
      <c r="DH45" s="118">
        <f t="shared" si="421"/>
        <v>0</v>
      </c>
      <c r="DI45" s="106">
        <f>+_xlfn.XLOOKUP($CT45,Budget!$A:$A,Budget!CQ:CQ)</f>
        <v>0</v>
      </c>
      <c r="DJ45" s="106">
        <f>+_xlfn.XLOOKUP($CT45,Budget!$A:$A,Budget!CR:CR)</f>
        <v>0</v>
      </c>
      <c r="DK45" s="106">
        <f>+_xlfn.XLOOKUP($CT45,Budget!$A:$A,Budget!CS:CS)</f>
        <v>0</v>
      </c>
      <c r="DL45" s="106">
        <f>+_xlfn.XLOOKUP($CT45,Budget!$A:$A,Budget!CT:CT)</f>
        <v>0</v>
      </c>
      <c r="DM45" s="106">
        <f>+_xlfn.XLOOKUP($CT45,Budget!$A:$A,Budget!CU:CU)</f>
        <v>0</v>
      </c>
      <c r="DN45" s="106">
        <f>+_xlfn.XLOOKUP($CT45,Budget!$A:$A,Budget!CV:CV)</f>
        <v>0</v>
      </c>
      <c r="DO45" s="106">
        <f>+_xlfn.XLOOKUP($CT45,Budget!$A:$A,Budget!CW:CW)</f>
        <v>0</v>
      </c>
      <c r="DP45" s="106">
        <f>+_xlfn.XLOOKUP($CT45,Budget!$A:$A,Budget!CX:CX)</f>
        <v>0</v>
      </c>
      <c r="DQ45" s="106">
        <f>+_xlfn.XLOOKUP($CT45,Budget!$A:$A,Budget!CY:CY)</f>
        <v>0</v>
      </c>
      <c r="DR45" s="106">
        <f>+_xlfn.XLOOKUP($CT45,Budget!$A:$A,Budget!CZ:CZ)</f>
        <v>0</v>
      </c>
      <c r="DS45" s="106">
        <f>+_xlfn.XLOOKUP($CT45,Budget!$A:$A,Budget!DA:DA)</f>
        <v>0</v>
      </c>
      <c r="DT45" s="106">
        <f>+_xlfn.XLOOKUP($CT45,Budget!$A:$A,Budget!DB:DB)</f>
        <v>0</v>
      </c>
      <c r="DU45" s="106">
        <f t="shared" si="569"/>
        <v>0</v>
      </c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106">
        <f t="shared" si="570"/>
        <v>0</v>
      </c>
      <c r="EJ45" s="7" t="str">
        <f t="shared" si="217"/>
        <v>Quarterly Target Incentive</v>
      </c>
      <c r="EK45" s="22">
        <f>+VLOOKUP($BD45,'Jan-25'!$A:$J,10,0)</f>
        <v>0</v>
      </c>
      <c r="EL45" s="22">
        <f>+VLOOKUP($BD45,'Feb-25'!$A:$J,10,0)</f>
        <v>0</v>
      </c>
      <c r="EM45" s="22">
        <f>+VLOOKUP($BD45,'Mar-25'!$A:$J,10,0)</f>
        <v>0</v>
      </c>
      <c r="EN45" s="22">
        <f>+VLOOKUP($BD45,'Apr-25'!$A:$J,10,0)</f>
        <v>0</v>
      </c>
      <c r="EO45" s="22">
        <f>+VLOOKUP($BD45,'May-25'!$A:$J,10,0)</f>
        <v>0</v>
      </c>
      <c r="EP45" s="22">
        <f>+VLOOKUP($BD45,'June-25'!$A:$J,10,0)</f>
        <v>0</v>
      </c>
      <c r="EQ45" s="22">
        <f>+VLOOKUP($BD45,'July-25'!$A:$J,10,0)</f>
        <v>0</v>
      </c>
      <c r="ER45" s="22">
        <f>+VLOOKUP($BD45,'Aug-25'!$A:$J,10,0)</f>
        <v>0</v>
      </c>
      <c r="ES45" s="22">
        <f>+VLOOKUP($BD45,'Sep-25'!$A:$J,10,0)</f>
        <v>0</v>
      </c>
      <c r="ET45" s="22">
        <f>+VLOOKUP($BD45,'Oct-25'!$A:$J,10,0)</f>
        <v>0</v>
      </c>
      <c r="EU45" s="22">
        <f>+VLOOKUP($BD45,'Nov-25'!$A:$J,10,0)</f>
        <v>0</v>
      </c>
      <c r="EV45" s="22">
        <f>+VLOOKUP($BD45,'Dec-25'!$A:$J,10,0)</f>
        <v>0</v>
      </c>
      <c r="EW45" s="22">
        <f t="shared" si="571"/>
        <v>0</v>
      </c>
      <c r="EX45" s="118" t="e">
        <f t="shared" si="425"/>
        <v>#DIV/0!</v>
      </c>
      <c r="EY45" s="106">
        <f>+_xlfn.XLOOKUP($EJ45,Budget!$A:$A,Budget!DR:DR)</f>
        <v>0</v>
      </c>
      <c r="EZ45" s="106">
        <f>+_xlfn.XLOOKUP($EJ45,Budget!$A:$A,Budget!DS:DS)</f>
        <v>0</v>
      </c>
      <c r="FA45" s="106">
        <f>+_xlfn.XLOOKUP($EJ45,Budget!$A:$A,Budget!DT:DT)</f>
        <v>0</v>
      </c>
      <c r="FB45" s="106">
        <f>+_xlfn.XLOOKUP($EJ45,Budget!$A:$A,Budget!DU:DU)</f>
        <v>0</v>
      </c>
      <c r="FC45" s="106">
        <f>+_xlfn.XLOOKUP($EJ45,Budget!$A:$A,Budget!DV:DV)</f>
        <v>0</v>
      </c>
      <c r="FD45" s="106">
        <f>+_xlfn.XLOOKUP($EJ45,Budget!$A:$A,Budget!DW:DW)</f>
        <v>0</v>
      </c>
      <c r="FE45" s="106">
        <f>+_xlfn.XLOOKUP($EJ45,Budget!$A:$A,Budget!DX:DX)</f>
        <v>0</v>
      </c>
      <c r="FF45" s="106">
        <f>+_xlfn.XLOOKUP($EJ45,Budget!$A:$A,Budget!DY:DY)</f>
        <v>0</v>
      </c>
      <c r="FG45" s="106">
        <f>+_xlfn.XLOOKUP($EJ45,Budget!$A:$A,Budget!DZ:DZ)</f>
        <v>0</v>
      </c>
      <c r="FH45" s="106">
        <f>+_xlfn.XLOOKUP($EJ45,Budget!$A:$A,Budget!EA:EA)</f>
        <v>0</v>
      </c>
      <c r="FI45" s="106">
        <f>+_xlfn.XLOOKUP($EJ45,Budget!$A:$A,Budget!EB:EB)</f>
        <v>0</v>
      </c>
      <c r="FJ45" s="106">
        <f>+_xlfn.XLOOKUP($EJ45,Budget!$A:$A,Budget!EC:EC)</f>
        <v>0</v>
      </c>
      <c r="FK45" s="106">
        <f t="shared" si="572"/>
        <v>0</v>
      </c>
    </row>
    <row r="46" spans="1:167" ht="14.45" customHeight="1">
      <c r="A46" s="106">
        <f t="shared" si="526"/>
        <v>0</v>
      </c>
      <c r="B46" s="106">
        <f t="shared" si="527"/>
        <v>0</v>
      </c>
      <c r="C46" s="106">
        <f t="shared" si="528"/>
        <v>0</v>
      </c>
      <c r="D46" s="106">
        <f t="shared" si="529"/>
        <v>0</v>
      </c>
      <c r="E46" s="106">
        <f t="shared" si="530"/>
        <v>0</v>
      </c>
      <c r="F46" s="106">
        <f t="shared" si="531"/>
        <v>0</v>
      </c>
      <c r="G46" s="106">
        <f t="shared" si="532"/>
        <v>0</v>
      </c>
      <c r="H46" s="106">
        <f t="shared" si="533"/>
        <v>0</v>
      </c>
      <c r="I46" s="106">
        <f t="shared" si="534"/>
        <v>0</v>
      </c>
      <c r="J46" s="106">
        <f t="shared" si="535"/>
        <v>0</v>
      </c>
      <c r="K46" s="106">
        <f t="shared" si="536"/>
        <v>0</v>
      </c>
      <c r="L46" s="106">
        <f t="shared" si="537"/>
        <v>0</v>
      </c>
      <c r="M46" s="106">
        <f t="shared" si="387"/>
        <v>0</v>
      </c>
      <c r="N46" s="7" t="s">
        <v>40</v>
      </c>
      <c r="O46" s="106">
        <f t="shared" si="538"/>
        <v>0</v>
      </c>
      <c r="P46" s="106">
        <f t="shared" si="539"/>
        <v>0</v>
      </c>
      <c r="Q46" s="106">
        <f t="shared" si="540"/>
        <v>0</v>
      </c>
      <c r="R46" s="106">
        <f t="shared" si="541"/>
        <v>0</v>
      </c>
      <c r="S46" s="106">
        <f t="shared" si="542"/>
        <v>0</v>
      </c>
      <c r="T46" s="106">
        <f t="shared" si="543"/>
        <v>0</v>
      </c>
      <c r="U46" s="106">
        <f t="shared" si="544"/>
        <v>0</v>
      </c>
      <c r="V46" s="106">
        <f t="shared" si="545"/>
        <v>0</v>
      </c>
      <c r="W46" s="106">
        <f t="shared" si="546"/>
        <v>0</v>
      </c>
      <c r="X46" s="106">
        <f t="shared" si="547"/>
        <v>0</v>
      </c>
      <c r="Y46" s="106">
        <f t="shared" si="548"/>
        <v>0</v>
      </c>
      <c r="Z46" s="106">
        <f t="shared" si="549"/>
        <v>0</v>
      </c>
      <c r="AA46" s="106">
        <f t="shared" si="550"/>
        <v>0</v>
      </c>
      <c r="AB46" s="118">
        <f t="shared" si="401"/>
        <v>0</v>
      </c>
      <c r="AC46" s="106">
        <f t="shared" si="551"/>
        <v>0</v>
      </c>
      <c r="AD46" s="106">
        <f t="shared" si="552"/>
        <v>0</v>
      </c>
      <c r="AE46" s="106">
        <f t="shared" si="553"/>
        <v>0</v>
      </c>
      <c r="AF46" s="106">
        <f t="shared" si="554"/>
        <v>0</v>
      </c>
      <c r="AG46" s="106">
        <f t="shared" si="555"/>
        <v>0</v>
      </c>
      <c r="AH46" s="106">
        <f t="shared" si="556"/>
        <v>0</v>
      </c>
      <c r="AI46" s="106">
        <f t="shared" si="557"/>
        <v>0</v>
      </c>
      <c r="AJ46" s="106">
        <f t="shared" si="558"/>
        <v>0</v>
      </c>
      <c r="AK46" s="106">
        <f t="shared" si="559"/>
        <v>0</v>
      </c>
      <c r="AL46" s="106">
        <f t="shared" si="560"/>
        <v>0</v>
      </c>
      <c r="AM46" s="106">
        <f t="shared" si="561"/>
        <v>0</v>
      </c>
      <c r="AN46" s="106">
        <f t="shared" si="562"/>
        <v>0</v>
      </c>
      <c r="AO46" s="106">
        <f t="shared" si="563"/>
        <v>0</v>
      </c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>
        <f t="shared" si="564"/>
        <v>0</v>
      </c>
      <c r="BD46" s="7" t="str">
        <f t="shared" si="47"/>
        <v>Qualitative Quarterly Incentive</v>
      </c>
      <c r="BE46" s="106">
        <f>+VLOOKUP($BD46,'Jan-25'!$A:$J,5,0)</f>
        <v>0</v>
      </c>
      <c r="BF46" s="106">
        <f>+VLOOKUP($BD46,'Feb-25'!$A:$J,5,0)</f>
        <v>0</v>
      </c>
      <c r="BG46" s="106">
        <f>+VLOOKUP($BD46,'Mar-25'!$A:$J,5,0)</f>
        <v>0</v>
      </c>
      <c r="BH46" s="106">
        <f>+VLOOKUP($BD46,'Apr-25'!$A:$J,5,0)</f>
        <v>0</v>
      </c>
      <c r="BI46" s="106">
        <f>+VLOOKUP($BD46,'May-25'!$A:$J,5,0)</f>
        <v>0</v>
      </c>
      <c r="BJ46" s="106">
        <f>+VLOOKUP($BD46,'June-25'!$A:$J,5,0)</f>
        <v>0</v>
      </c>
      <c r="BK46" s="106">
        <f>+VLOOKUP($BD46,'July-25'!$A:$J,5,0)</f>
        <v>0</v>
      </c>
      <c r="BL46" s="106">
        <f>+VLOOKUP($BD46,'Aug-25'!$A:$J,5,0)</f>
        <v>0</v>
      </c>
      <c r="BM46" s="106">
        <f>+VLOOKUP($BD46,'Sep-25'!$A:$J,5,0)</f>
        <v>0</v>
      </c>
      <c r="BN46" s="106">
        <f>+VLOOKUP($BD46,'Oct-25'!$A:$J,5,0)</f>
        <v>0</v>
      </c>
      <c r="BO46" s="106">
        <f>+VLOOKUP($BD46,'Nov-25'!$A:$J,5,0)</f>
        <v>0</v>
      </c>
      <c r="BP46" s="106">
        <f>+VLOOKUP($BD46,'Dec-25'!$A:$J,5,0)</f>
        <v>0</v>
      </c>
      <c r="BQ46" s="106">
        <f t="shared" si="565"/>
        <v>0</v>
      </c>
      <c r="BR46" s="118">
        <f t="shared" si="417"/>
        <v>0</v>
      </c>
      <c r="BS46" s="106">
        <f>+_xlfn.XLOOKUP($BD46,Budget!$A:$A,Budget!BD:BD)</f>
        <v>0</v>
      </c>
      <c r="BT46" s="106">
        <f>+_xlfn.XLOOKUP($BD46,Budget!$A:$A,Budget!BE:BE)</f>
        <v>0</v>
      </c>
      <c r="BU46" s="106">
        <f>+_xlfn.XLOOKUP($BD46,Budget!$A:$A,Budget!BF:BF)</f>
        <v>0</v>
      </c>
      <c r="BV46" s="106">
        <f>+_xlfn.XLOOKUP($BD46,Budget!$A:$A,Budget!BG:BG)</f>
        <v>0</v>
      </c>
      <c r="BW46" s="106">
        <f>+_xlfn.XLOOKUP($BD46,Budget!$A:$A,Budget!BH:BH)</f>
        <v>0</v>
      </c>
      <c r="BX46" s="106">
        <f>+_xlfn.XLOOKUP($BD46,Budget!$A:$A,Budget!BI:BI)</f>
        <v>0</v>
      </c>
      <c r="BY46" s="106">
        <f>+_xlfn.XLOOKUP($BD46,Budget!$A:$A,Budget!BJ:BJ)</f>
        <v>0</v>
      </c>
      <c r="BZ46" s="106">
        <f>+_xlfn.XLOOKUP($BD46,Budget!$A:$A,Budget!BK:BK)</f>
        <v>0</v>
      </c>
      <c r="CA46" s="106">
        <f>+_xlfn.XLOOKUP($BD46,Budget!$A:$A,Budget!BL:BL)</f>
        <v>0</v>
      </c>
      <c r="CB46" s="106">
        <f>+_xlfn.XLOOKUP($BD46,Budget!$A:$A,Budget!BM:BM)</f>
        <v>0</v>
      </c>
      <c r="CC46" s="106">
        <f>+_xlfn.XLOOKUP($BD46,Budget!$A:$A,Budget!BN:BN)</f>
        <v>0</v>
      </c>
      <c r="CD46" s="106">
        <f>+_xlfn.XLOOKUP($BD46,Budget!$A:$A,Budget!BO:BO)</f>
        <v>0</v>
      </c>
      <c r="CE46" s="106">
        <f t="shared" si="566"/>
        <v>0</v>
      </c>
      <c r="CF46" s="106"/>
      <c r="CG46" s="106"/>
      <c r="CH46" s="106"/>
      <c r="CI46" s="106"/>
      <c r="CJ46" s="106"/>
      <c r="CK46" s="106"/>
      <c r="CL46" s="106"/>
      <c r="CM46" s="106"/>
      <c r="CN46" s="106"/>
      <c r="CO46" s="106"/>
      <c r="CP46" s="106"/>
      <c r="CQ46" s="106"/>
      <c r="CR46" s="106"/>
      <c r="CS46" s="106">
        <f t="shared" si="567"/>
        <v>0</v>
      </c>
      <c r="CT46" s="7" t="str">
        <f t="shared" si="51"/>
        <v>Qualitative Quarterly Incentive</v>
      </c>
      <c r="CU46" s="106">
        <f>+VLOOKUP($BD46,'Jan-25'!$A:$J,8,0)</f>
        <v>0</v>
      </c>
      <c r="CV46" s="106">
        <f>+VLOOKUP($BD46,'Feb-25'!$A:$J,8,0)</f>
        <v>0</v>
      </c>
      <c r="CW46" s="106">
        <f>+VLOOKUP($BD46,'Mar-25'!$A:$J,8,0)</f>
        <v>0</v>
      </c>
      <c r="CX46" s="106">
        <f>+VLOOKUP($BD46,'Apr-25'!$A:$J,8,0)</f>
        <v>0</v>
      </c>
      <c r="CY46" s="106">
        <f>+VLOOKUP($BD46,'May-25'!$A:$J,8,0)</f>
        <v>0</v>
      </c>
      <c r="CZ46" s="106">
        <f>+VLOOKUP($BD46,'June-25'!$A:$J,8,0)</f>
        <v>0</v>
      </c>
      <c r="DA46" s="106">
        <f>+VLOOKUP($BD46,'July-25'!$A:$J,8,0)</f>
        <v>0</v>
      </c>
      <c r="DB46" s="106">
        <f>+VLOOKUP($BD46,'Aug-25'!$A:$J,8,0)</f>
        <v>0</v>
      </c>
      <c r="DC46" s="106">
        <f>+VLOOKUP($BD46,'Sep-25'!$A:$J,8,0)</f>
        <v>0</v>
      </c>
      <c r="DD46" s="106">
        <f>+VLOOKUP($BD46,'Oct-25'!$A:$J,8,0)</f>
        <v>0</v>
      </c>
      <c r="DE46" s="106">
        <f>+VLOOKUP($BD46,'Nov-25'!$A:$J,8,0)</f>
        <v>0</v>
      </c>
      <c r="DF46" s="106">
        <f>+VLOOKUP($BD46,'Dec-25'!$A:$J,8,0)</f>
        <v>0</v>
      </c>
      <c r="DG46" s="106">
        <f t="shared" si="568"/>
        <v>0</v>
      </c>
      <c r="DH46" s="118">
        <f t="shared" si="421"/>
        <v>0</v>
      </c>
      <c r="DI46" s="106">
        <f>+_xlfn.XLOOKUP($CT46,Budget!$A:$A,Budget!CQ:CQ)</f>
        <v>0</v>
      </c>
      <c r="DJ46" s="106">
        <f>+_xlfn.XLOOKUP($CT46,Budget!$A:$A,Budget!CR:CR)</f>
        <v>0</v>
      </c>
      <c r="DK46" s="106">
        <f>+_xlfn.XLOOKUP($CT46,Budget!$A:$A,Budget!CS:CS)</f>
        <v>0</v>
      </c>
      <c r="DL46" s="106">
        <f>+_xlfn.XLOOKUP($CT46,Budget!$A:$A,Budget!CT:CT)</f>
        <v>0</v>
      </c>
      <c r="DM46" s="106">
        <f>+_xlfn.XLOOKUP($CT46,Budget!$A:$A,Budget!CU:CU)</f>
        <v>0</v>
      </c>
      <c r="DN46" s="106">
        <f>+_xlfn.XLOOKUP($CT46,Budget!$A:$A,Budget!CV:CV)</f>
        <v>0</v>
      </c>
      <c r="DO46" s="106">
        <f>+_xlfn.XLOOKUP($CT46,Budget!$A:$A,Budget!CW:CW)</f>
        <v>0</v>
      </c>
      <c r="DP46" s="106">
        <f>+_xlfn.XLOOKUP($CT46,Budget!$A:$A,Budget!CX:CX)</f>
        <v>0</v>
      </c>
      <c r="DQ46" s="106">
        <f>+_xlfn.XLOOKUP($CT46,Budget!$A:$A,Budget!CY:CY)</f>
        <v>0</v>
      </c>
      <c r="DR46" s="106">
        <f>+_xlfn.XLOOKUP($CT46,Budget!$A:$A,Budget!CZ:CZ)</f>
        <v>0</v>
      </c>
      <c r="DS46" s="106">
        <f>+_xlfn.XLOOKUP($CT46,Budget!$A:$A,Budget!DA:DA)</f>
        <v>0</v>
      </c>
      <c r="DT46" s="106">
        <f>+_xlfn.XLOOKUP($CT46,Budget!$A:$A,Budget!DB:DB)</f>
        <v>0</v>
      </c>
      <c r="DU46" s="106">
        <f t="shared" si="569"/>
        <v>0</v>
      </c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106">
        <f t="shared" si="570"/>
        <v>0</v>
      </c>
      <c r="EJ46" s="7" t="str">
        <f t="shared" si="217"/>
        <v>Qualitative Quarterly Incentive</v>
      </c>
      <c r="EK46" s="22">
        <f>+VLOOKUP($BD46,'Jan-25'!$A:$J,10,0)</f>
        <v>0</v>
      </c>
      <c r="EL46" s="22">
        <f>+VLOOKUP($BD46,'Feb-25'!$A:$J,10,0)</f>
        <v>0</v>
      </c>
      <c r="EM46" s="22">
        <f>+VLOOKUP($BD46,'Mar-25'!$A:$J,10,0)</f>
        <v>0</v>
      </c>
      <c r="EN46" s="22">
        <f>+VLOOKUP($BD46,'Apr-25'!$A:$J,10,0)</f>
        <v>0</v>
      </c>
      <c r="EO46" s="22">
        <f>+VLOOKUP($BD46,'May-25'!$A:$J,10,0)</f>
        <v>0</v>
      </c>
      <c r="EP46" s="22">
        <f>+VLOOKUP($BD46,'June-25'!$A:$J,10,0)</f>
        <v>0</v>
      </c>
      <c r="EQ46" s="22">
        <f>+VLOOKUP($BD46,'July-25'!$A:$J,10,0)</f>
        <v>0</v>
      </c>
      <c r="ER46" s="22">
        <f>+VLOOKUP($BD46,'Aug-25'!$A:$J,10,0)</f>
        <v>0</v>
      </c>
      <c r="ES46" s="22">
        <f>+VLOOKUP($BD46,'Sep-25'!$A:$J,10,0)</f>
        <v>0</v>
      </c>
      <c r="ET46" s="22">
        <f>+VLOOKUP($BD46,'Oct-25'!$A:$J,10,0)</f>
        <v>0</v>
      </c>
      <c r="EU46" s="22">
        <f>+VLOOKUP($BD46,'Nov-25'!$A:$J,10,0)</f>
        <v>0</v>
      </c>
      <c r="EV46" s="22">
        <f>+VLOOKUP($BD46,'Dec-25'!$A:$J,10,0)</f>
        <v>0</v>
      </c>
      <c r="EW46" s="22">
        <f t="shared" si="571"/>
        <v>0</v>
      </c>
      <c r="EX46" s="118" t="e">
        <f t="shared" si="425"/>
        <v>#DIV/0!</v>
      </c>
      <c r="EY46" s="106">
        <f>+_xlfn.XLOOKUP($EJ46,Budget!$A:$A,Budget!DR:DR)</f>
        <v>0</v>
      </c>
      <c r="EZ46" s="106">
        <f>+_xlfn.XLOOKUP($EJ46,Budget!$A:$A,Budget!DS:DS)</f>
        <v>0</v>
      </c>
      <c r="FA46" s="106">
        <f>+_xlfn.XLOOKUP($EJ46,Budget!$A:$A,Budget!DT:DT)</f>
        <v>0</v>
      </c>
      <c r="FB46" s="106">
        <f>+_xlfn.XLOOKUP($EJ46,Budget!$A:$A,Budget!DU:DU)</f>
        <v>0</v>
      </c>
      <c r="FC46" s="106">
        <f>+_xlfn.XLOOKUP($EJ46,Budget!$A:$A,Budget!DV:DV)</f>
        <v>0</v>
      </c>
      <c r="FD46" s="106">
        <f>+_xlfn.XLOOKUP($EJ46,Budget!$A:$A,Budget!DW:DW)</f>
        <v>0</v>
      </c>
      <c r="FE46" s="106">
        <f>+_xlfn.XLOOKUP($EJ46,Budget!$A:$A,Budget!DX:DX)</f>
        <v>0</v>
      </c>
      <c r="FF46" s="106">
        <f>+_xlfn.XLOOKUP($EJ46,Budget!$A:$A,Budget!DY:DY)</f>
        <v>0</v>
      </c>
      <c r="FG46" s="106">
        <f>+_xlfn.XLOOKUP($EJ46,Budget!$A:$A,Budget!DZ:DZ)</f>
        <v>0</v>
      </c>
      <c r="FH46" s="106">
        <f>+_xlfn.XLOOKUP($EJ46,Budget!$A:$A,Budget!EA:EA)</f>
        <v>0</v>
      </c>
      <c r="FI46" s="106">
        <f>+_xlfn.XLOOKUP($EJ46,Budget!$A:$A,Budget!EB:EB)</f>
        <v>0</v>
      </c>
      <c r="FJ46" s="106">
        <f>+_xlfn.XLOOKUP($EJ46,Budget!$A:$A,Budget!EC:EC)</f>
        <v>0</v>
      </c>
      <c r="FK46" s="106">
        <f t="shared" si="572"/>
        <v>0</v>
      </c>
    </row>
    <row r="47" spans="1:167" ht="14.45" customHeight="1">
      <c r="A47" s="59">
        <f>+A43+A44+A45+A46</f>
        <v>1977588.4239999996</v>
      </c>
      <c r="B47" s="59">
        <f t="shared" ref="B47:M47" si="573">+B43+B44+B45+B46</f>
        <v>5598024.4039999992</v>
      </c>
      <c r="C47" s="59">
        <f t="shared" si="573"/>
        <v>2168176.9219999993</v>
      </c>
      <c r="D47" s="59">
        <f t="shared" si="573"/>
        <v>2827420.3420000002</v>
      </c>
      <c r="E47" s="59">
        <f t="shared" si="573"/>
        <v>2563531.8559999997</v>
      </c>
      <c r="F47" s="59">
        <f t="shared" si="573"/>
        <v>2610363.5880000005</v>
      </c>
      <c r="G47" s="59">
        <f t="shared" si="573"/>
        <v>3012245.0160000008</v>
      </c>
      <c r="H47" s="59">
        <f t="shared" si="573"/>
        <v>3829482.1560000014</v>
      </c>
      <c r="I47" s="59">
        <f t="shared" si="573"/>
        <v>2268508.3619999997</v>
      </c>
      <c r="J47" s="59">
        <f t="shared" si="573"/>
        <v>1963586.7819999987</v>
      </c>
      <c r="K47" s="59">
        <f t="shared" si="573"/>
        <v>5365888.2540000007</v>
      </c>
      <c r="L47" s="59">
        <f t="shared" si="573"/>
        <v>4177749.0820000004</v>
      </c>
      <c r="M47" s="59">
        <f t="shared" si="573"/>
        <v>38362565.188000038</v>
      </c>
      <c r="N47" s="10" t="s">
        <v>41</v>
      </c>
      <c r="O47" s="59">
        <f>+O43+O44+O45+O46</f>
        <v>4772852.08</v>
      </c>
      <c r="P47" s="59">
        <f t="shared" ref="P47" si="574">+P43+P44+P45+P46</f>
        <v>1263565.69</v>
      </c>
      <c r="Q47" s="59">
        <f t="shared" ref="Q47" si="575">+Q43+Q44+Q45+Q46</f>
        <v>4570583.5299999975</v>
      </c>
      <c r="R47" s="59">
        <f t="shared" ref="R47" si="576">+R43+R44+R45+R46</f>
        <v>2816216.5080000022</v>
      </c>
      <c r="S47" s="59">
        <f t="shared" ref="S47" si="577">+S43+S44+S45+S46</f>
        <v>4315790.3080000021</v>
      </c>
      <c r="T47" s="59">
        <f t="shared" ref="T47" si="578">+T43+T44+T45+T46</f>
        <v>3592856.7700000014</v>
      </c>
      <c r="U47" s="59">
        <f t="shared" ref="U47" si="579">+U43+U44+U45+U46</f>
        <v>3423698.2319999998</v>
      </c>
      <c r="V47" s="59">
        <f t="shared" ref="V47" si="580">+V43+V44+V45+V46</f>
        <v>3339557.2139999997</v>
      </c>
      <c r="W47" s="59">
        <f t="shared" ref="W47" si="581">+W43+W44+W45+W46</f>
        <v>3625140.0080000004</v>
      </c>
      <c r="X47" s="59">
        <f t="shared" ref="X47" si="582">+X43+X44+X45+X46</f>
        <v>2289731.817999999</v>
      </c>
      <c r="Y47" s="59">
        <f t="shared" ref="Y47" si="583">+Y43+Y44+Y45+Y46</f>
        <v>0</v>
      </c>
      <c r="Z47" s="59">
        <f t="shared" ref="Z47" si="584">+Z43+Z44+Z45+Z46</f>
        <v>0</v>
      </c>
      <c r="AA47" s="59">
        <f t="shared" ref="AA47" si="585">+AA43+AA44+AA45+AA46</f>
        <v>34009992.158000022</v>
      </c>
      <c r="AB47" s="118">
        <f t="shared" si="401"/>
        <v>-0.37123008803909252</v>
      </c>
      <c r="AC47" s="59">
        <f>+AC43+AC44+AC45+AC46</f>
        <v>3896963.7698444445</v>
      </c>
      <c r="AD47" s="59">
        <f t="shared" ref="AD47" si="586">+AD43+AD44+AD45+AD46</f>
        <v>3863997.7568444451</v>
      </c>
      <c r="AE47" s="59">
        <f t="shared" ref="AE47" si="587">+AE43+AE44+AE45+AE46</f>
        <v>3926271.7178444443</v>
      </c>
      <c r="AF47" s="59">
        <f t="shared" ref="AF47" si="588">+AF43+AF44+AF45+AF46</f>
        <v>3156228.1705244454</v>
      </c>
      <c r="AG47" s="59">
        <f t="shared" ref="AG47" si="589">+AG43+AG44+AG45+AG46</f>
        <v>3766699.3724444443</v>
      </c>
      <c r="AH47" s="59">
        <f t="shared" ref="AH47" si="590">+AH43+AH44+AH45+AH46</f>
        <v>3997188.6188444458</v>
      </c>
      <c r="AI47" s="59">
        <f t="shared" ref="AI47" si="591">+AI43+AI44+AI45+AI46</f>
        <v>4082391.4652444441</v>
      </c>
      <c r="AJ47" s="59">
        <f t="shared" ref="AJ47" si="592">+AJ43+AJ44+AJ45+AJ46</f>
        <v>4442776.547444446</v>
      </c>
      <c r="AK47" s="59">
        <f t="shared" ref="AK47" si="593">+AK43+AK44+AK45+AK46</f>
        <v>4660947.3518444449</v>
      </c>
      <c r="AL47" s="59">
        <f t="shared" ref="AL47" si="594">+AL43+AL44+AL45+AL46</f>
        <v>3641605.2588444445</v>
      </c>
      <c r="AM47" s="59">
        <f t="shared" ref="AM47" si="595">+AM43+AM44+AM45+AM46</f>
        <v>2933887.3500444433</v>
      </c>
      <c r="AN47" s="59">
        <f t="shared" ref="AN47" si="596">+AN43+AN44+AN45+AN46</f>
        <v>3872890.1938262638</v>
      </c>
      <c r="AO47" s="59">
        <f t="shared" ref="AO47" si="597">+AO43+AO44+AO45+AO46</f>
        <v>46241847.573595151</v>
      </c>
      <c r="AQ47" s="59">
        <f>+AQ43+AQ44+AQ45+AQ46</f>
        <v>1123640.7139999997</v>
      </c>
      <c r="AR47" s="59">
        <f t="shared" ref="AR47:BC47" si="598">+AR43+AR44+AR45+AR46</f>
        <v>4214595.0600000005</v>
      </c>
      <c r="AS47" s="59">
        <f t="shared" si="598"/>
        <v>1714932.42</v>
      </c>
      <c r="AT47" s="59">
        <f t="shared" si="598"/>
        <v>2328874.8960000006</v>
      </c>
      <c r="AU47" s="59">
        <f t="shared" si="598"/>
        <v>910112.83999999985</v>
      </c>
      <c r="AV47" s="59">
        <f t="shared" si="598"/>
        <v>1966745.0279999999</v>
      </c>
      <c r="AW47" s="59">
        <f t="shared" si="598"/>
        <v>2179370.3320000004</v>
      </c>
      <c r="AX47" s="59">
        <f t="shared" si="598"/>
        <v>2491504.4400000013</v>
      </c>
      <c r="AY47" s="59">
        <f t="shared" si="598"/>
        <v>1586230.2579999994</v>
      </c>
      <c r="AZ47" s="59">
        <f t="shared" si="598"/>
        <v>686113.04599999916</v>
      </c>
      <c r="BA47" s="59">
        <f t="shared" si="598"/>
        <v>2605979.3600000003</v>
      </c>
      <c r="BB47" s="59">
        <f t="shared" si="598"/>
        <v>2547078.762000001</v>
      </c>
      <c r="BC47" s="59">
        <f t="shared" si="598"/>
        <v>24355177.155999996</v>
      </c>
      <c r="BD47" s="10" t="str">
        <f t="shared" si="47"/>
        <v>Gross Profit 2</v>
      </c>
      <c r="BE47" s="59">
        <f t="shared" ref="BE47:BP47" si="599">+BE43+BE44+BE45+BE46</f>
        <v>2933835.2099999995</v>
      </c>
      <c r="BF47" s="59">
        <f t="shared" si="599"/>
        <v>1003452.1699999999</v>
      </c>
      <c r="BG47" s="59">
        <f t="shared" si="599"/>
        <v>3170405.7699999986</v>
      </c>
      <c r="BH47" s="59">
        <f t="shared" si="599"/>
        <v>2287285.6700000009</v>
      </c>
      <c r="BI47" s="59">
        <f t="shared" si="599"/>
        <v>3035120.2660000008</v>
      </c>
      <c r="BJ47" s="59">
        <f t="shared" si="599"/>
        <v>2209568.972000001</v>
      </c>
      <c r="BK47" s="59">
        <f t="shared" si="599"/>
        <v>2163684.7259999998</v>
      </c>
      <c r="BL47" s="59">
        <f t="shared" si="599"/>
        <v>1490832.4659999995</v>
      </c>
      <c r="BM47" s="59">
        <f t="shared" si="599"/>
        <v>2431314.114000001</v>
      </c>
      <c r="BN47" s="59">
        <f t="shared" si="599"/>
        <v>1149435.4580000001</v>
      </c>
      <c r="BO47" s="59">
        <f t="shared" si="599"/>
        <v>0</v>
      </c>
      <c r="BP47" s="59">
        <f t="shared" si="599"/>
        <v>0</v>
      </c>
      <c r="BQ47" s="59">
        <f t="shared" ref="BQ47" si="600">+BQ43+BQ44+BQ45+BQ46</f>
        <v>21874934.821999982</v>
      </c>
      <c r="BR47" s="118">
        <f t="shared" si="417"/>
        <v>-0.49396474357205589</v>
      </c>
      <c r="BS47" s="59">
        <f t="shared" ref="BS47:CE47" si="601">+BS43+BS44+BS45+BS46</f>
        <v>2374566.0606246255</v>
      </c>
      <c r="BT47" s="59">
        <f t="shared" si="601"/>
        <v>2300914.0956246266</v>
      </c>
      <c r="BU47" s="59">
        <f t="shared" si="601"/>
        <v>2079958.2006246252</v>
      </c>
      <c r="BV47" s="59">
        <f t="shared" si="601"/>
        <v>2002770.9413046269</v>
      </c>
      <c r="BW47" s="59">
        <f t="shared" si="601"/>
        <v>2200747.4232246261</v>
      </c>
      <c r="BX47" s="59">
        <f t="shared" si="601"/>
        <v>2271453.3096246263</v>
      </c>
      <c r="BY47" s="59">
        <f t="shared" si="601"/>
        <v>2342159.1960246256</v>
      </c>
      <c r="BZ47" s="59">
        <f t="shared" si="601"/>
        <v>2421703.3182246257</v>
      </c>
      <c r="CA47" s="59">
        <f t="shared" si="601"/>
        <v>2580791.5626246259</v>
      </c>
      <c r="CB47" s="59">
        <f t="shared" si="601"/>
        <v>2271453.3096246263</v>
      </c>
      <c r="CC47" s="59">
        <f t="shared" si="601"/>
        <v>1776512.1048246259</v>
      </c>
      <c r="CD47" s="59">
        <f t="shared" si="601"/>
        <v>2412865.0824246267</v>
      </c>
      <c r="CE47" s="59">
        <f t="shared" si="601"/>
        <v>27035894.604775503</v>
      </c>
      <c r="CF47" s="106"/>
      <c r="CG47" s="59">
        <f>+CG43+CG44+CG45+CG46</f>
        <v>853947.7100000002</v>
      </c>
      <c r="CH47" s="59">
        <f t="shared" ref="CH47:CS47" si="602">+CH43+CH44+CH45+CH46</f>
        <v>1383429.3440000003</v>
      </c>
      <c r="CI47" s="59">
        <f t="shared" si="602"/>
        <v>453244.5019999994</v>
      </c>
      <c r="CJ47" s="59">
        <f t="shared" si="602"/>
        <v>498545.446</v>
      </c>
      <c r="CK47" s="59">
        <f t="shared" si="602"/>
        <v>1653419.0159999994</v>
      </c>
      <c r="CL47" s="59">
        <f t="shared" si="602"/>
        <v>643618.55999999982</v>
      </c>
      <c r="CM47" s="59">
        <f t="shared" si="602"/>
        <v>832874.68399999989</v>
      </c>
      <c r="CN47" s="59">
        <f t="shared" si="602"/>
        <v>1337977.7159999995</v>
      </c>
      <c r="CO47" s="59">
        <f t="shared" si="602"/>
        <v>682278.10400000005</v>
      </c>
      <c r="CP47" s="59">
        <f t="shared" si="602"/>
        <v>1277473.736</v>
      </c>
      <c r="CQ47" s="59">
        <f t="shared" si="602"/>
        <v>2759908.8940000003</v>
      </c>
      <c r="CR47" s="59">
        <f t="shared" si="602"/>
        <v>1630670.3200000003</v>
      </c>
      <c r="CS47" s="59">
        <f t="shared" si="602"/>
        <v>14007388.031999998</v>
      </c>
      <c r="CT47" s="10" t="str">
        <f t="shared" si="51"/>
        <v>Gross Profit 2</v>
      </c>
      <c r="CU47" s="59">
        <f t="shared" ref="CU47:DF47" si="603">+CU43+CU44+CU45+CU46</f>
        <v>1695221.0100000002</v>
      </c>
      <c r="CV47" s="59">
        <f t="shared" si="603"/>
        <v>210774.25000000012</v>
      </c>
      <c r="CW47" s="59">
        <f t="shared" si="603"/>
        <v>1076391.58</v>
      </c>
      <c r="CX47" s="59">
        <f t="shared" si="603"/>
        <v>530022.19800000032</v>
      </c>
      <c r="CY47" s="59">
        <f t="shared" si="603"/>
        <v>1121420.5300000003</v>
      </c>
      <c r="CZ47" s="59">
        <f t="shared" si="603"/>
        <v>678568.34999999986</v>
      </c>
      <c r="DA47" s="59">
        <f t="shared" si="603"/>
        <v>1025566.4040000001</v>
      </c>
      <c r="DB47" s="59">
        <f t="shared" si="603"/>
        <v>1312727.8839999996</v>
      </c>
      <c r="DC47" s="59">
        <f t="shared" si="603"/>
        <v>1003883.1439999996</v>
      </c>
      <c r="DD47" s="59">
        <f t="shared" si="603"/>
        <v>973782</v>
      </c>
      <c r="DE47" s="59">
        <f t="shared" si="603"/>
        <v>0</v>
      </c>
      <c r="DF47" s="59">
        <f t="shared" si="603"/>
        <v>0</v>
      </c>
      <c r="DG47" s="59">
        <f t="shared" ref="DG47" si="604">+DG43+DG44+DG45+DG46</f>
        <v>9628357.3500000052</v>
      </c>
      <c r="DH47" s="118">
        <f t="shared" si="421"/>
        <v>-4.475588417948146E-2</v>
      </c>
      <c r="DI47" s="59">
        <f t="shared" ref="DI47:DU47" si="605">+DI43+DI44+DI45+DI46</f>
        <v>1033932.1963993057</v>
      </c>
      <c r="DJ47" s="59">
        <f t="shared" si="605"/>
        <v>1109466.148399306</v>
      </c>
      <c r="DK47" s="59">
        <f t="shared" si="605"/>
        <v>1336068.0043993061</v>
      </c>
      <c r="DL47" s="59">
        <f t="shared" si="605"/>
        <v>699839.71639930573</v>
      </c>
      <c r="DM47" s="59">
        <f t="shared" si="605"/>
        <v>1019406.4363993052</v>
      </c>
      <c r="DN47" s="59">
        <f t="shared" si="605"/>
        <v>1179189.796399306</v>
      </c>
      <c r="DO47" s="59">
        <f t="shared" si="605"/>
        <v>1121086.7563993055</v>
      </c>
      <c r="DP47" s="59">
        <f t="shared" si="605"/>
        <v>1426127.716399305</v>
      </c>
      <c r="DQ47" s="59">
        <f t="shared" si="605"/>
        <v>1513282.276399306</v>
      </c>
      <c r="DR47" s="59">
        <f t="shared" si="605"/>
        <v>1019406.4363993052</v>
      </c>
      <c r="DS47" s="59">
        <f t="shared" si="605"/>
        <v>795709.73239930533</v>
      </c>
      <c r="DT47" s="59">
        <f t="shared" si="605"/>
        <v>1083319.7803993055</v>
      </c>
      <c r="DU47" s="59">
        <f t="shared" si="605"/>
        <v>13336834.996791676</v>
      </c>
      <c r="DW47" s="29">
        <f t="shared" ref="DW47:EI47" si="606">+DW43+DW44+DW45+DW46</f>
        <v>0</v>
      </c>
      <c r="DX47" s="29">
        <f t="shared" si="606"/>
        <v>0</v>
      </c>
      <c r="DY47" s="29">
        <f t="shared" si="606"/>
        <v>0</v>
      </c>
      <c r="DZ47" s="29">
        <f t="shared" si="606"/>
        <v>0</v>
      </c>
      <c r="EA47" s="29">
        <f t="shared" si="606"/>
        <v>0</v>
      </c>
      <c r="EB47" s="29">
        <f t="shared" si="606"/>
        <v>0</v>
      </c>
      <c r="EC47" s="29">
        <f t="shared" si="606"/>
        <v>0</v>
      </c>
      <c r="ED47" s="29">
        <f t="shared" si="606"/>
        <v>0</v>
      </c>
      <c r="EE47" s="29">
        <f t="shared" si="606"/>
        <v>0</v>
      </c>
      <c r="EF47" s="29">
        <f t="shared" si="606"/>
        <v>0</v>
      </c>
      <c r="EG47" s="29">
        <f t="shared" si="606"/>
        <v>0</v>
      </c>
      <c r="EH47" s="29">
        <f t="shared" si="606"/>
        <v>0</v>
      </c>
      <c r="EI47" s="59">
        <f t="shared" si="606"/>
        <v>0</v>
      </c>
      <c r="EJ47" s="10" t="str">
        <f t="shared" si="217"/>
        <v>Gross Profit 2</v>
      </c>
      <c r="EK47" s="29">
        <f t="shared" ref="EK47:EV47" si="607">+EK43+EK44+EK45+EK46</f>
        <v>143795.85999999999</v>
      </c>
      <c r="EL47" s="29">
        <f t="shared" si="607"/>
        <v>49339.270000000019</v>
      </c>
      <c r="EM47" s="29">
        <f t="shared" si="607"/>
        <v>323786.18000000005</v>
      </c>
      <c r="EN47" s="29">
        <f t="shared" si="607"/>
        <v>-1091.3600000000151</v>
      </c>
      <c r="EO47" s="29">
        <f t="shared" si="607"/>
        <v>159249.51199999999</v>
      </c>
      <c r="EP47" s="29">
        <f t="shared" si="607"/>
        <v>704719.44800000009</v>
      </c>
      <c r="EQ47" s="29">
        <f t="shared" si="607"/>
        <v>234447.10199999996</v>
      </c>
      <c r="ER47" s="29">
        <f t="shared" si="607"/>
        <v>535996.86399999994</v>
      </c>
      <c r="ES47" s="29">
        <f t="shared" si="607"/>
        <v>189942.75</v>
      </c>
      <c r="ET47" s="29">
        <f t="shared" si="607"/>
        <v>166514.35999999999</v>
      </c>
      <c r="EU47" s="29">
        <f t="shared" si="607"/>
        <v>0</v>
      </c>
      <c r="EV47" s="29">
        <f t="shared" si="607"/>
        <v>0</v>
      </c>
      <c r="EW47" s="29">
        <f t="shared" ref="EW47" si="608">+EW43+EW44+EW45+EW46</f>
        <v>2506699.9860000005</v>
      </c>
      <c r="EX47" s="118">
        <f t="shared" si="425"/>
        <v>-0.66492922018012701</v>
      </c>
      <c r="EY47" s="59">
        <f t="shared" ref="EY47:FK47" si="609">+EY43+EY44+EY45+EY46</f>
        <v>488465.51282051287</v>
      </c>
      <c r="EZ47" s="59">
        <f t="shared" si="609"/>
        <v>453617.51282051287</v>
      </c>
      <c r="FA47" s="59">
        <f t="shared" si="609"/>
        <v>510245.51282051287</v>
      </c>
      <c r="FB47" s="59">
        <f t="shared" si="609"/>
        <v>453617.51282051287</v>
      </c>
      <c r="FC47" s="59">
        <f t="shared" si="609"/>
        <v>546545.51282051299</v>
      </c>
      <c r="FD47" s="59">
        <f t="shared" si="609"/>
        <v>546545.51282051299</v>
      </c>
      <c r="FE47" s="59">
        <f t="shared" si="609"/>
        <v>619145.51282051275</v>
      </c>
      <c r="FF47" s="59">
        <f t="shared" si="609"/>
        <v>594945.51282051275</v>
      </c>
      <c r="FG47" s="59">
        <f t="shared" si="609"/>
        <v>566873.51282051275</v>
      </c>
      <c r="FH47" s="59">
        <f t="shared" si="609"/>
        <v>350745.51282051299</v>
      </c>
      <c r="FI47" s="59">
        <f t="shared" si="609"/>
        <v>361665.51282051299</v>
      </c>
      <c r="FJ47" s="59">
        <f t="shared" si="609"/>
        <v>376705.33100233099</v>
      </c>
      <c r="FK47" s="59">
        <f t="shared" si="609"/>
        <v>5869117.9720279723</v>
      </c>
    </row>
    <row r="48" spans="1:167" ht="14.45" customHeight="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18">
        <f t="shared" si="401"/>
        <v>0</v>
      </c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">
        <f t="shared" si="47"/>
        <v>0</v>
      </c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6"/>
      <c r="BQ48" s="106"/>
      <c r="BR48" s="118">
        <f t="shared" si="417"/>
        <v>0</v>
      </c>
      <c r="BS48" s="106"/>
      <c r="BT48" s="106"/>
      <c r="BU48" s="106"/>
      <c r="BV48" s="106"/>
      <c r="BW48" s="106"/>
      <c r="BX48" s="106"/>
      <c r="BY48" s="106"/>
      <c r="BZ48" s="106"/>
      <c r="CA48" s="106"/>
      <c r="CB48" s="106"/>
      <c r="CC48" s="106"/>
      <c r="CD48" s="106"/>
      <c r="CE48" s="106"/>
      <c r="CF48" s="106"/>
      <c r="CG48" s="106"/>
      <c r="CH48" s="106"/>
      <c r="CI48" s="106"/>
      <c r="CJ48" s="106"/>
      <c r="CK48" s="106"/>
      <c r="CL48" s="106"/>
      <c r="CM48" s="106"/>
      <c r="CN48" s="106"/>
      <c r="CO48" s="106"/>
      <c r="CP48" s="106"/>
      <c r="CQ48" s="106"/>
      <c r="CR48" s="106"/>
      <c r="CS48" s="106"/>
      <c r="CT48" s="10">
        <f t="shared" si="51"/>
        <v>0</v>
      </c>
      <c r="CU48" s="106"/>
      <c r="CV48" s="106"/>
      <c r="CW48" s="106"/>
      <c r="CX48" s="106"/>
      <c r="CY48" s="106"/>
      <c r="CZ48" s="106"/>
      <c r="DA48" s="106"/>
      <c r="DB48" s="106"/>
      <c r="DC48" s="106"/>
      <c r="DD48" s="106"/>
      <c r="DE48" s="106"/>
      <c r="DF48" s="106"/>
      <c r="DG48" s="106"/>
      <c r="DH48" s="118">
        <f t="shared" si="421"/>
        <v>0</v>
      </c>
      <c r="DI48" s="106"/>
      <c r="DJ48" s="106"/>
      <c r="DK48" s="106"/>
      <c r="DL48" s="106"/>
      <c r="DM48" s="106"/>
      <c r="DN48" s="106"/>
      <c r="DO48" s="106"/>
      <c r="DP48" s="106"/>
      <c r="DQ48" s="106"/>
      <c r="DR48" s="106"/>
      <c r="DS48" s="106"/>
      <c r="DT48" s="106"/>
      <c r="DU48" s="106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106"/>
      <c r="EJ48" s="10">
        <f t="shared" si="217"/>
        <v>0</v>
      </c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118" t="e">
        <f t="shared" si="425"/>
        <v>#DIV/0!</v>
      </c>
      <c r="EY48" s="106"/>
      <c r="EZ48" s="106"/>
      <c r="FA48" s="106"/>
      <c r="FB48" s="106"/>
      <c r="FC48" s="106"/>
      <c r="FD48" s="106"/>
      <c r="FE48" s="106"/>
      <c r="FF48" s="106"/>
      <c r="FG48" s="106"/>
      <c r="FH48" s="106"/>
      <c r="FI48" s="106"/>
      <c r="FJ48" s="106"/>
      <c r="FK48" s="106"/>
    </row>
    <row r="49" spans="1:167" ht="14.45" hidden="1" customHeight="1" outlineLevel="1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5" t="s">
        <v>42</v>
      </c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18">
        <f t="shared" si="401"/>
        <v>0</v>
      </c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5" t="str">
        <f t="shared" si="47"/>
        <v>Accessceries and VAS</v>
      </c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118">
        <f t="shared" si="417"/>
        <v>0</v>
      </c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E49" s="106"/>
      <c r="CF49" s="106"/>
      <c r="CG49" s="106"/>
      <c r="CH49" s="106"/>
      <c r="CI49" s="106"/>
      <c r="CJ49" s="106"/>
      <c r="CK49" s="106"/>
      <c r="CL49" s="106"/>
      <c r="CM49" s="106"/>
      <c r="CN49" s="106"/>
      <c r="CO49" s="106"/>
      <c r="CP49" s="106"/>
      <c r="CQ49" s="106"/>
      <c r="CR49" s="106"/>
      <c r="CS49" s="106"/>
      <c r="CT49" s="5" t="str">
        <f t="shared" si="51"/>
        <v>Accessceries and VAS</v>
      </c>
      <c r="CU49" s="106"/>
      <c r="CV49" s="106"/>
      <c r="CW49" s="106"/>
      <c r="CX49" s="106"/>
      <c r="CY49" s="106"/>
      <c r="CZ49" s="106"/>
      <c r="DA49" s="106"/>
      <c r="DB49" s="106"/>
      <c r="DC49" s="106"/>
      <c r="DD49" s="106"/>
      <c r="DE49" s="106"/>
      <c r="DF49" s="106"/>
      <c r="DG49" s="106"/>
      <c r="DH49" s="118">
        <f t="shared" si="421"/>
        <v>0</v>
      </c>
      <c r="DI49" s="106"/>
      <c r="DJ49" s="106"/>
      <c r="DK49" s="106"/>
      <c r="DL49" s="106"/>
      <c r="DM49" s="106"/>
      <c r="DN49" s="106"/>
      <c r="DO49" s="106"/>
      <c r="DP49" s="106"/>
      <c r="DQ49" s="106"/>
      <c r="DR49" s="106"/>
      <c r="DS49" s="106"/>
      <c r="DT49" s="106"/>
      <c r="DU49" s="106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106"/>
      <c r="EJ49" s="5" t="str">
        <f t="shared" si="217"/>
        <v>Accessceries and VAS</v>
      </c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118" t="e">
        <f t="shared" si="425"/>
        <v>#DIV/0!</v>
      </c>
      <c r="EY49" s="106"/>
      <c r="EZ49" s="106"/>
      <c r="FA49" s="106"/>
      <c r="FB49" s="106"/>
      <c r="FC49" s="106"/>
      <c r="FD49" s="106"/>
      <c r="FE49" s="106"/>
      <c r="FF49" s="106"/>
      <c r="FG49" s="106"/>
      <c r="FH49" s="106"/>
      <c r="FI49" s="106"/>
      <c r="FJ49" s="106"/>
      <c r="FK49" s="106"/>
    </row>
    <row r="50" spans="1:167" ht="14.45" hidden="1" customHeight="1" outlineLevel="1">
      <c r="A50" s="105">
        <f t="shared" ref="A50:A56" si="610">+AQ50+CG50+DW50</f>
        <v>0</v>
      </c>
      <c r="B50" s="105">
        <f t="shared" ref="B50:B53" si="611">+AR50+CH50+DX50</f>
        <v>0</v>
      </c>
      <c r="C50" s="105">
        <f t="shared" ref="C50:C53" si="612">+AS50+CI50+DY50</f>
        <v>0</v>
      </c>
      <c r="D50" s="105">
        <f t="shared" ref="D50:D53" si="613">+AT50+CJ50+DZ50</f>
        <v>0</v>
      </c>
      <c r="E50" s="105">
        <f t="shared" ref="E50:E53" si="614">+AU50+CK50+EA50</f>
        <v>0</v>
      </c>
      <c r="F50" s="105">
        <f t="shared" ref="F50:F53" si="615">+AV50+CL50+EB50</f>
        <v>0</v>
      </c>
      <c r="G50" s="105">
        <f t="shared" ref="G50:G53" si="616">+AW50+CM50+EC50</f>
        <v>0</v>
      </c>
      <c r="H50" s="105">
        <f t="shared" ref="H50:H53" si="617">+AX50+CN50+ED50</f>
        <v>0</v>
      </c>
      <c r="I50" s="105">
        <f t="shared" ref="I50:I53" si="618">+AY50+CO50+EE50</f>
        <v>0</v>
      </c>
      <c r="J50" s="105">
        <f t="shared" ref="J50:J53" si="619">+AZ50+CP50+EF50</f>
        <v>0</v>
      </c>
      <c r="K50" s="105">
        <f t="shared" ref="K50:K53" si="620">+BA50+CQ50+EG50</f>
        <v>0</v>
      </c>
      <c r="L50" s="105">
        <f t="shared" ref="L50:L53" si="621">+BB50+CR50+EH50</f>
        <v>0</v>
      </c>
      <c r="M50" s="105">
        <f t="shared" ref="M50:M56" si="622">+SUM(A50:L50)</f>
        <v>0</v>
      </c>
      <c r="N50" s="13" t="s">
        <v>3</v>
      </c>
      <c r="O50" s="105">
        <f t="shared" ref="O50:O53" si="623">+BE50+CU50+EK50</f>
        <v>0</v>
      </c>
      <c r="P50" s="105">
        <f t="shared" ref="P50:P53" si="624">+BF50+CV50+EL50</f>
        <v>0</v>
      </c>
      <c r="Q50" s="105">
        <f t="shared" ref="Q50:Q53" si="625">+BG50+CW50+EM50</f>
        <v>0</v>
      </c>
      <c r="R50" s="105">
        <f t="shared" ref="R50:R53" si="626">+BH50+CX50+EN50</f>
        <v>0</v>
      </c>
      <c r="S50" s="105">
        <f t="shared" ref="S50:S53" si="627">+BI50+CY50+EO50</f>
        <v>0</v>
      </c>
      <c r="T50" s="105">
        <f t="shared" ref="T50:T53" si="628">+BJ50+CZ50+EP50</f>
        <v>0</v>
      </c>
      <c r="U50" s="105">
        <f t="shared" ref="U50:U53" si="629">+BK50+DA50+EQ50</f>
        <v>0</v>
      </c>
      <c r="V50" s="105">
        <f t="shared" ref="V50:V53" si="630">+BL50+DB50+ER50</f>
        <v>0</v>
      </c>
      <c r="W50" s="105">
        <f t="shared" ref="W50:W53" si="631">+BM50+DC50+ES50</f>
        <v>0</v>
      </c>
      <c r="X50" s="105">
        <f t="shared" ref="X50:X53" si="632">+BN50+DD50+ET50</f>
        <v>0</v>
      </c>
      <c r="Y50" s="105">
        <f t="shared" ref="Y50:Y53" si="633">+BO50+DE50+EU50</f>
        <v>0</v>
      </c>
      <c r="Z50" s="105">
        <f t="shared" ref="Z50:Z53" si="634">+BP50+DF50+EV50</f>
        <v>0</v>
      </c>
      <c r="AA50" s="105">
        <f t="shared" ref="AA50:AA53" si="635">+SUM(O50:Z50)</f>
        <v>0</v>
      </c>
      <c r="AB50" s="118">
        <f t="shared" si="401"/>
        <v>0</v>
      </c>
      <c r="AC50" s="105">
        <f t="shared" ref="AC50:AC53" si="636">+BS50+DI50+EY50</f>
        <v>0</v>
      </c>
      <c r="AD50" s="105">
        <f t="shared" ref="AD50:AD53" si="637">+BT50+DJ50+EZ50</f>
        <v>0</v>
      </c>
      <c r="AE50" s="105">
        <f t="shared" ref="AE50:AE53" si="638">+BU50+DK50+FA50</f>
        <v>0</v>
      </c>
      <c r="AF50" s="105">
        <f t="shared" ref="AF50:AF53" si="639">+BV50+DL50+FB50</f>
        <v>0</v>
      </c>
      <c r="AG50" s="105">
        <f t="shared" ref="AG50:AG53" si="640">+BW50+DM50+FC50</f>
        <v>0</v>
      </c>
      <c r="AH50" s="105">
        <f t="shared" ref="AH50:AH53" si="641">+BX50+DN50+FD50</f>
        <v>0</v>
      </c>
      <c r="AI50" s="105">
        <f t="shared" ref="AI50:AI53" si="642">+BY50+DO50+FE50</f>
        <v>0</v>
      </c>
      <c r="AJ50" s="105">
        <f t="shared" ref="AJ50:AJ53" si="643">+BZ50+DP50+FF50</f>
        <v>0</v>
      </c>
      <c r="AK50" s="105">
        <f t="shared" ref="AK50:AK53" si="644">+CA50+DQ50+FG50</f>
        <v>0</v>
      </c>
      <c r="AL50" s="105">
        <f t="shared" ref="AL50:AL53" si="645">+CB50+DR50+FH50</f>
        <v>0</v>
      </c>
      <c r="AM50" s="105">
        <f t="shared" ref="AM50:AM53" si="646">+CC50+DS50+FI50</f>
        <v>0</v>
      </c>
      <c r="AN50" s="105">
        <f t="shared" ref="AN50:AN53" si="647">+CD50+DT50+FJ50</f>
        <v>0</v>
      </c>
      <c r="AO50" s="105">
        <f t="shared" ref="AO50:AO53" si="648">+SUM(AC50:AN50)</f>
        <v>0</v>
      </c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>
        <f t="shared" ref="BC50:BC53" si="649">+SUM(AQ50:BB50)</f>
        <v>0</v>
      </c>
      <c r="BD50" s="13" t="str">
        <f t="shared" si="47"/>
        <v>No of Cars</v>
      </c>
      <c r="BE50" s="105">
        <f>+'Jan-25'!$E$50</f>
        <v>0</v>
      </c>
      <c r="BF50" s="105">
        <f>+'Feb-25'!$E$50</f>
        <v>0</v>
      </c>
      <c r="BG50" s="105">
        <f>+'Mar-25'!$E$50</f>
        <v>0</v>
      </c>
      <c r="BH50" s="105">
        <f>+'Apr-25'!$E$50</f>
        <v>0</v>
      </c>
      <c r="BI50" s="105">
        <f>+'May-25'!$E$50</f>
        <v>0</v>
      </c>
      <c r="BJ50" s="105">
        <f>+'June-25'!$E$50</f>
        <v>0</v>
      </c>
      <c r="BK50" s="105">
        <f>+'July-25'!$E$50</f>
        <v>0</v>
      </c>
      <c r="BL50" s="105">
        <f>+'Aug-25'!$E$50</f>
        <v>0</v>
      </c>
      <c r="BM50" s="105">
        <f>+'Sep-25'!$E$50</f>
        <v>0</v>
      </c>
      <c r="BN50" s="105">
        <f>+'Oct-25'!$E$50</f>
        <v>0</v>
      </c>
      <c r="BO50" s="105">
        <f>+'Nov-25'!$E$50</f>
        <v>0</v>
      </c>
      <c r="BP50" s="105">
        <f>+'Dec-25'!$E$50</f>
        <v>0</v>
      </c>
      <c r="BQ50" s="105">
        <f t="shared" ref="BQ50:BQ53" si="650">+SUM(BE50:BP50)</f>
        <v>0</v>
      </c>
      <c r="BR50" s="118">
        <f t="shared" si="417"/>
        <v>0</v>
      </c>
      <c r="BS50" s="105"/>
      <c r="BT50" s="105"/>
      <c r="BU50" s="105"/>
      <c r="BV50" s="105"/>
      <c r="BW50" s="105"/>
      <c r="BX50" s="105"/>
      <c r="BY50" s="105"/>
      <c r="BZ50" s="105"/>
      <c r="CA50" s="105"/>
      <c r="CB50" s="105"/>
      <c r="CC50" s="105"/>
      <c r="CD50" s="105"/>
      <c r="CE50" s="105">
        <f t="shared" ref="CE50:CE53" si="651">+SUM(BS50:CD50)</f>
        <v>0</v>
      </c>
      <c r="CF50" s="106"/>
      <c r="CG50" s="105"/>
      <c r="CH50" s="105"/>
      <c r="CI50" s="105"/>
      <c r="CJ50" s="105"/>
      <c r="CK50" s="105"/>
      <c r="CL50" s="105"/>
      <c r="CM50" s="105"/>
      <c r="CN50" s="105"/>
      <c r="CO50" s="105"/>
      <c r="CP50" s="105"/>
      <c r="CQ50" s="105"/>
      <c r="CR50" s="105"/>
      <c r="CS50" s="105">
        <f t="shared" ref="CS50:CS53" si="652">+SUM(CG50:CR50)</f>
        <v>0</v>
      </c>
      <c r="CT50" s="13" t="str">
        <f t="shared" si="51"/>
        <v>No of Cars</v>
      </c>
      <c r="CU50" s="105">
        <f>+'Jan-25'!$H$50</f>
        <v>0</v>
      </c>
      <c r="CV50" s="105">
        <f>+'Feb-25'!$H$50</f>
        <v>0</v>
      </c>
      <c r="CW50" s="105">
        <f>+'Mar-25'!$H$50</f>
        <v>0</v>
      </c>
      <c r="CX50" s="105">
        <f>+'Apr-25'!$H$50</f>
        <v>0</v>
      </c>
      <c r="CY50" s="105">
        <f>+'May-25'!$H$50</f>
        <v>0</v>
      </c>
      <c r="CZ50" s="105">
        <f>+'June-25'!$H$50</f>
        <v>0</v>
      </c>
      <c r="DA50" s="105">
        <f>+'July-25'!$H$50</f>
        <v>0</v>
      </c>
      <c r="DB50" s="105">
        <f>+'Aug-25'!$H$50</f>
        <v>0</v>
      </c>
      <c r="DC50" s="105">
        <f>+'Sep-25'!$H$50</f>
        <v>0</v>
      </c>
      <c r="DD50" s="105">
        <f>+'Oct-25'!$H$50</f>
        <v>0</v>
      </c>
      <c r="DE50" s="105">
        <f>+'Nov-25'!$H$50</f>
        <v>0</v>
      </c>
      <c r="DF50" s="105">
        <f>+'Dec-25'!$H$50</f>
        <v>0</v>
      </c>
      <c r="DG50" s="105">
        <f t="shared" ref="DG50:DG53" si="653">+SUM(CU50:DF50)</f>
        <v>0</v>
      </c>
      <c r="DH50" s="118">
        <f t="shared" si="421"/>
        <v>0</v>
      </c>
      <c r="DI50" s="105"/>
      <c r="DJ50" s="105"/>
      <c r="DK50" s="105"/>
      <c r="DL50" s="105"/>
      <c r="DM50" s="105"/>
      <c r="DN50" s="105"/>
      <c r="DO50" s="105"/>
      <c r="DP50" s="105"/>
      <c r="DQ50" s="105"/>
      <c r="DR50" s="105"/>
      <c r="DS50" s="105"/>
      <c r="DT50" s="105"/>
      <c r="DU50" s="105">
        <f t="shared" ref="DU50:DU53" si="654">+SUM(DI50:DT50)</f>
        <v>0</v>
      </c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105">
        <f t="shared" ref="EI50:EI53" si="655">+SUM(DW50:EH50)</f>
        <v>0</v>
      </c>
      <c r="EJ50" s="13" t="str">
        <f t="shared" si="217"/>
        <v>No of Cars</v>
      </c>
      <c r="EK50" s="27">
        <f>+'Jan-25'!$J$50</f>
        <v>0</v>
      </c>
      <c r="EL50" s="27">
        <f>+'Feb-25'!$J$50</f>
        <v>0</v>
      </c>
      <c r="EM50" s="27">
        <f>+'Mar-25'!$J$50</f>
        <v>0</v>
      </c>
      <c r="EN50" s="27">
        <f>+'Apr-25'!$J$50</f>
        <v>0</v>
      </c>
      <c r="EO50" s="27">
        <f>+'May-25'!$J$50</f>
        <v>0</v>
      </c>
      <c r="EP50" s="27">
        <f>+'June-25'!$J$50</f>
        <v>0</v>
      </c>
      <c r="EQ50" s="27">
        <f>+'July-25'!$J$50</f>
        <v>0</v>
      </c>
      <c r="ER50" s="27">
        <f>+'Aug-25'!$J$50</f>
        <v>0</v>
      </c>
      <c r="ES50" s="27">
        <f>+'Sep-25'!$J$50</f>
        <v>0</v>
      </c>
      <c r="ET50" s="27">
        <f>+'Oct-25'!$J$50</f>
        <v>0</v>
      </c>
      <c r="EU50" s="27">
        <f>+'Nov-25'!$J$50</f>
        <v>0</v>
      </c>
      <c r="EV50" s="27">
        <f>+'Dec-25'!$J$50</f>
        <v>0</v>
      </c>
      <c r="EW50" s="27">
        <f t="shared" ref="EW50:EW53" si="656">+SUM(EK50:EV50)</f>
        <v>0</v>
      </c>
      <c r="EX50" s="118" t="e">
        <f t="shared" si="425"/>
        <v>#DIV/0!</v>
      </c>
      <c r="EY50" s="105"/>
      <c r="EZ50" s="105"/>
      <c r="FA50" s="105"/>
      <c r="FB50" s="105"/>
      <c r="FC50" s="105"/>
      <c r="FD50" s="105"/>
      <c r="FE50" s="105"/>
      <c r="FF50" s="105"/>
      <c r="FG50" s="105"/>
      <c r="FH50" s="105"/>
      <c r="FI50" s="105"/>
      <c r="FJ50" s="105"/>
      <c r="FK50" s="105">
        <f t="shared" ref="FK50:FK53" si="657">+SUM(EY50:FJ50)</f>
        <v>0</v>
      </c>
    </row>
    <row r="51" spans="1:167" ht="14.45" hidden="1" customHeight="1" outlineLevel="1">
      <c r="A51" s="106">
        <f t="shared" si="610"/>
        <v>0</v>
      </c>
      <c r="B51" s="106">
        <f t="shared" si="611"/>
        <v>0</v>
      </c>
      <c r="C51" s="106">
        <f t="shared" si="612"/>
        <v>0</v>
      </c>
      <c r="D51" s="106">
        <f t="shared" si="613"/>
        <v>0</v>
      </c>
      <c r="E51" s="106">
        <f t="shared" si="614"/>
        <v>0</v>
      </c>
      <c r="F51" s="106">
        <f t="shared" si="615"/>
        <v>0</v>
      </c>
      <c r="G51" s="106">
        <f t="shared" si="616"/>
        <v>0</v>
      </c>
      <c r="H51" s="106">
        <f t="shared" si="617"/>
        <v>0</v>
      </c>
      <c r="I51" s="106">
        <f t="shared" si="618"/>
        <v>0</v>
      </c>
      <c r="J51" s="106">
        <f t="shared" si="619"/>
        <v>0</v>
      </c>
      <c r="K51" s="106">
        <f t="shared" si="620"/>
        <v>0</v>
      </c>
      <c r="L51" s="106">
        <f t="shared" si="621"/>
        <v>0</v>
      </c>
      <c r="M51" s="106">
        <f t="shared" si="622"/>
        <v>0</v>
      </c>
      <c r="N51" s="7" t="s">
        <v>43</v>
      </c>
      <c r="O51" s="106">
        <f t="shared" si="623"/>
        <v>0</v>
      </c>
      <c r="P51" s="106">
        <f t="shared" si="624"/>
        <v>0</v>
      </c>
      <c r="Q51" s="106">
        <f t="shared" si="625"/>
        <v>0</v>
      </c>
      <c r="R51" s="106">
        <f t="shared" si="626"/>
        <v>0</v>
      </c>
      <c r="S51" s="106">
        <f t="shared" si="627"/>
        <v>0</v>
      </c>
      <c r="T51" s="106">
        <f t="shared" si="628"/>
        <v>0</v>
      </c>
      <c r="U51" s="106">
        <f t="shared" si="629"/>
        <v>0</v>
      </c>
      <c r="V51" s="106">
        <f t="shared" si="630"/>
        <v>0</v>
      </c>
      <c r="W51" s="106">
        <f t="shared" si="631"/>
        <v>0</v>
      </c>
      <c r="X51" s="106">
        <f t="shared" si="632"/>
        <v>0</v>
      </c>
      <c r="Y51" s="106">
        <f t="shared" si="633"/>
        <v>0</v>
      </c>
      <c r="Z51" s="106">
        <f t="shared" si="634"/>
        <v>0</v>
      </c>
      <c r="AA51" s="106">
        <f t="shared" si="635"/>
        <v>0</v>
      </c>
      <c r="AB51" s="118">
        <f t="shared" si="401"/>
        <v>0</v>
      </c>
      <c r="AC51" s="106">
        <f t="shared" si="636"/>
        <v>0</v>
      </c>
      <c r="AD51" s="106">
        <f t="shared" si="637"/>
        <v>0</v>
      </c>
      <c r="AE51" s="106">
        <f t="shared" si="638"/>
        <v>0</v>
      </c>
      <c r="AF51" s="106">
        <f t="shared" si="639"/>
        <v>0</v>
      </c>
      <c r="AG51" s="106">
        <f t="shared" si="640"/>
        <v>0</v>
      </c>
      <c r="AH51" s="106">
        <f t="shared" si="641"/>
        <v>0</v>
      </c>
      <c r="AI51" s="106">
        <f t="shared" si="642"/>
        <v>0</v>
      </c>
      <c r="AJ51" s="106">
        <f t="shared" si="643"/>
        <v>0</v>
      </c>
      <c r="AK51" s="106">
        <f t="shared" si="644"/>
        <v>0</v>
      </c>
      <c r="AL51" s="106">
        <f t="shared" si="645"/>
        <v>0</v>
      </c>
      <c r="AM51" s="106">
        <f t="shared" si="646"/>
        <v>0</v>
      </c>
      <c r="AN51" s="106">
        <f t="shared" si="647"/>
        <v>0</v>
      </c>
      <c r="AO51" s="106">
        <f t="shared" si="648"/>
        <v>0</v>
      </c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>
        <f t="shared" si="649"/>
        <v>0</v>
      </c>
      <c r="BD51" s="7" t="str">
        <f t="shared" si="47"/>
        <v>Sale Revenue Accsories &amp; Boutiques</v>
      </c>
      <c r="BE51" s="106">
        <f>+VLOOKUP($BD51,'Jan-25'!$A:$J,5,0)</f>
        <v>0</v>
      </c>
      <c r="BF51" s="106">
        <f>+VLOOKUP($BD51,'Feb-25'!$A:$J,5,0)</f>
        <v>0</v>
      </c>
      <c r="BG51" s="106">
        <f>+VLOOKUP($BD51,'Mar-25'!$A:$J,5,0)</f>
        <v>0</v>
      </c>
      <c r="BH51" s="106">
        <f>+VLOOKUP($BD51,'Apr-25'!$A:$J,5,0)</f>
        <v>0</v>
      </c>
      <c r="BI51" s="106">
        <f>+VLOOKUP($BD51,'May-25'!$A:$J,5,0)</f>
        <v>0</v>
      </c>
      <c r="BJ51" s="106">
        <f>+VLOOKUP($BD51,'June-25'!$A:$J,5,0)</f>
        <v>0</v>
      </c>
      <c r="BK51" s="106">
        <f>+VLOOKUP($BD51,'July-25'!$A:$J,5,0)</f>
        <v>0</v>
      </c>
      <c r="BL51" s="106">
        <f>+VLOOKUP($BD51,'Aug-25'!$A:$J,5,0)</f>
        <v>0</v>
      </c>
      <c r="BM51" s="106">
        <f>+VLOOKUP($BD51,'Sep-25'!$A:$J,5,0)</f>
        <v>0</v>
      </c>
      <c r="BN51" s="106">
        <f>+VLOOKUP($BD51,'Oct-25'!$A:$J,5,0)</f>
        <v>0</v>
      </c>
      <c r="BO51" s="106">
        <f>+VLOOKUP($BD51,'Nov-25'!$A:$J,5,0)</f>
        <v>0</v>
      </c>
      <c r="BP51" s="106">
        <f>+VLOOKUP($BD51,'Dec-25'!$A:$J,5,0)</f>
        <v>0</v>
      </c>
      <c r="BQ51" s="106">
        <f t="shared" si="650"/>
        <v>0</v>
      </c>
      <c r="BR51" s="118">
        <f t="shared" si="417"/>
        <v>0</v>
      </c>
      <c r="BS51" s="106"/>
      <c r="BT51" s="106"/>
      <c r="BU51" s="106"/>
      <c r="BV51" s="106"/>
      <c r="BW51" s="106"/>
      <c r="BX51" s="106"/>
      <c r="BY51" s="106"/>
      <c r="BZ51" s="106"/>
      <c r="CA51" s="106"/>
      <c r="CB51" s="106"/>
      <c r="CC51" s="106"/>
      <c r="CD51" s="106"/>
      <c r="CE51" s="106">
        <f t="shared" si="651"/>
        <v>0</v>
      </c>
      <c r="CF51" s="106"/>
      <c r="CG51" s="106"/>
      <c r="CH51" s="106"/>
      <c r="CI51" s="106"/>
      <c r="CJ51" s="106"/>
      <c r="CK51" s="106"/>
      <c r="CL51" s="106"/>
      <c r="CM51" s="106"/>
      <c r="CN51" s="106"/>
      <c r="CO51" s="106"/>
      <c r="CP51" s="106"/>
      <c r="CQ51" s="106"/>
      <c r="CR51" s="106"/>
      <c r="CS51" s="106">
        <f t="shared" si="652"/>
        <v>0</v>
      </c>
      <c r="CT51" s="7" t="str">
        <f t="shared" si="51"/>
        <v>Sale Revenue Accsories &amp; Boutiques</v>
      </c>
      <c r="CU51" s="106">
        <f>+VLOOKUP($BD51,'Jan-25'!$A:$J,8,0)</f>
        <v>0</v>
      </c>
      <c r="CV51" s="106">
        <f>+VLOOKUP($BD51,'Feb-25'!$A:$J,8,0)</f>
        <v>0</v>
      </c>
      <c r="CW51" s="106">
        <f>+VLOOKUP($BD51,'Mar-25'!$A:$J,8,0)</f>
        <v>0</v>
      </c>
      <c r="CX51" s="106">
        <f>+VLOOKUP($BD51,'Apr-25'!$A:$J,8,0)</f>
        <v>0</v>
      </c>
      <c r="CY51" s="106">
        <f>+VLOOKUP($BD51,'May-25'!$A:$J,8,0)</f>
        <v>0</v>
      </c>
      <c r="CZ51" s="106">
        <f>+VLOOKUP($BD51,'June-25'!$A:$J,8,0)</f>
        <v>0</v>
      </c>
      <c r="DA51" s="106">
        <f>+VLOOKUP($BD51,'July-25'!$A:$J,8,0)</f>
        <v>0</v>
      </c>
      <c r="DB51" s="106">
        <f>+VLOOKUP($BD51,'Aug-25'!$A:$J,8,0)</f>
        <v>0</v>
      </c>
      <c r="DC51" s="106">
        <f>+VLOOKUP($BD51,'Sep-25'!$A:$J,8,0)</f>
        <v>0</v>
      </c>
      <c r="DD51" s="106">
        <f>+VLOOKUP($BD51,'Oct-25'!$A:$J,8,0)</f>
        <v>0</v>
      </c>
      <c r="DE51" s="106">
        <f>+VLOOKUP($BD51,'Nov-25'!$A:$J,8,0)</f>
        <v>0</v>
      </c>
      <c r="DF51" s="106">
        <f>+VLOOKUP($BD51,'Dec-25'!$A:$J,8,0)</f>
        <v>0</v>
      </c>
      <c r="DG51" s="106">
        <f t="shared" si="653"/>
        <v>0</v>
      </c>
      <c r="DH51" s="118">
        <f t="shared" si="421"/>
        <v>0</v>
      </c>
      <c r="DI51" s="106"/>
      <c r="DJ51" s="106"/>
      <c r="DK51" s="106"/>
      <c r="DL51" s="106"/>
      <c r="DM51" s="106"/>
      <c r="DN51" s="106"/>
      <c r="DO51" s="106"/>
      <c r="DP51" s="106"/>
      <c r="DQ51" s="106"/>
      <c r="DR51" s="106"/>
      <c r="DS51" s="106"/>
      <c r="DT51" s="106"/>
      <c r="DU51" s="106">
        <f t="shared" si="654"/>
        <v>0</v>
      </c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106">
        <f t="shared" si="655"/>
        <v>0</v>
      </c>
      <c r="EJ51" s="7" t="str">
        <f t="shared" si="217"/>
        <v>Sale Revenue Accsories &amp; Boutiques</v>
      </c>
      <c r="EK51" s="22">
        <f>+VLOOKUP($BD51,'Jan-25'!$A:$J,10,0)</f>
        <v>0</v>
      </c>
      <c r="EL51" s="22">
        <f>+VLOOKUP($BD51,'Feb-25'!$A:$J,10,0)</f>
        <v>0</v>
      </c>
      <c r="EM51" s="22">
        <f>+VLOOKUP($BD51,'Mar-25'!$A:$J,10,0)</f>
        <v>0</v>
      </c>
      <c r="EN51" s="22">
        <f>+VLOOKUP($BD51,'Apr-25'!$A:$J,10,0)</f>
        <v>0</v>
      </c>
      <c r="EO51" s="22">
        <f>+VLOOKUP($BD51,'May-25'!$A:$J,10,0)</f>
        <v>0</v>
      </c>
      <c r="EP51" s="22">
        <f>+VLOOKUP($BD51,'June-25'!$A:$J,10,0)</f>
        <v>0</v>
      </c>
      <c r="EQ51" s="22">
        <f>+VLOOKUP($BD51,'July-25'!$A:$J,10,0)</f>
        <v>0</v>
      </c>
      <c r="ER51" s="22">
        <f>+VLOOKUP($BD51,'Aug-25'!$A:$J,10,0)</f>
        <v>0</v>
      </c>
      <c r="ES51" s="22">
        <f>+VLOOKUP($BD51,'Sep-25'!$A:$J,10,0)</f>
        <v>0</v>
      </c>
      <c r="ET51" s="22">
        <f>+VLOOKUP($BD51,'Oct-25'!$A:$J,10,0)</f>
        <v>0</v>
      </c>
      <c r="EU51" s="22">
        <f>+VLOOKUP($BD51,'Nov-25'!$A:$J,10,0)</f>
        <v>0</v>
      </c>
      <c r="EV51" s="22">
        <f>+VLOOKUP($BD51,'Dec-25'!$A:$J,10,0)</f>
        <v>0</v>
      </c>
      <c r="EW51" s="22">
        <f t="shared" si="656"/>
        <v>0</v>
      </c>
      <c r="EX51" s="118" t="e">
        <f t="shared" si="425"/>
        <v>#DIV/0!</v>
      </c>
      <c r="EY51" s="106"/>
      <c r="EZ51" s="106"/>
      <c r="FA51" s="106"/>
      <c r="FB51" s="106"/>
      <c r="FC51" s="106"/>
      <c r="FD51" s="106"/>
      <c r="FE51" s="106"/>
      <c r="FF51" s="106"/>
      <c r="FG51" s="106"/>
      <c r="FH51" s="106"/>
      <c r="FI51" s="106"/>
      <c r="FJ51" s="106"/>
      <c r="FK51" s="106">
        <f t="shared" si="657"/>
        <v>0</v>
      </c>
    </row>
    <row r="52" spans="1:167" ht="14.45" hidden="1" customHeight="1" outlineLevel="1">
      <c r="A52" s="106">
        <f t="shared" si="610"/>
        <v>0</v>
      </c>
      <c r="B52" s="106">
        <f t="shared" si="611"/>
        <v>0</v>
      </c>
      <c r="C52" s="106">
        <f t="shared" si="612"/>
        <v>0</v>
      </c>
      <c r="D52" s="106">
        <f t="shared" si="613"/>
        <v>0</v>
      </c>
      <c r="E52" s="106">
        <f t="shared" si="614"/>
        <v>0</v>
      </c>
      <c r="F52" s="106">
        <f t="shared" si="615"/>
        <v>0</v>
      </c>
      <c r="G52" s="106">
        <f t="shared" si="616"/>
        <v>0</v>
      </c>
      <c r="H52" s="106">
        <f t="shared" si="617"/>
        <v>0</v>
      </c>
      <c r="I52" s="106">
        <f t="shared" si="618"/>
        <v>0</v>
      </c>
      <c r="J52" s="106">
        <f t="shared" si="619"/>
        <v>0</v>
      </c>
      <c r="K52" s="106">
        <f t="shared" si="620"/>
        <v>0</v>
      </c>
      <c r="L52" s="106">
        <f t="shared" si="621"/>
        <v>0</v>
      </c>
      <c r="M52" s="106">
        <f t="shared" si="622"/>
        <v>0</v>
      </c>
      <c r="N52" s="10" t="s">
        <v>30</v>
      </c>
      <c r="O52" s="106">
        <f t="shared" si="623"/>
        <v>0</v>
      </c>
      <c r="P52" s="106">
        <f t="shared" si="624"/>
        <v>0</v>
      </c>
      <c r="Q52" s="106">
        <f t="shared" si="625"/>
        <v>0</v>
      </c>
      <c r="R52" s="106">
        <f t="shared" si="626"/>
        <v>0</v>
      </c>
      <c r="S52" s="106">
        <f t="shared" si="627"/>
        <v>0</v>
      </c>
      <c r="T52" s="106">
        <f t="shared" si="628"/>
        <v>0</v>
      </c>
      <c r="U52" s="106">
        <f t="shared" si="629"/>
        <v>0</v>
      </c>
      <c r="V52" s="106">
        <f t="shared" si="630"/>
        <v>0</v>
      </c>
      <c r="W52" s="106">
        <f t="shared" si="631"/>
        <v>0</v>
      </c>
      <c r="X52" s="106">
        <f t="shared" si="632"/>
        <v>0</v>
      </c>
      <c r="Y52" s="106">
        <f t="shared" si="633"/>
        <v>0</v>
      </c>
      <c r="Z52" s="106">
        <f t="shared" si="634"/>
        <v>0</v>
      </c>
      <c r="AA52" s="106">
        <f t="shared" si="635"/>
        <v>0</v>
      </c>
      <c r="AB52" s="118">
        <f t="shared" si="401"/>
        <v>0</v>
      </c>
      <c r="AC52" s="106">
        <f t="shared" si="636"/>
        <v>0</v>
      </c>
      <c r="AD52" s="106">
        <f t="shared" si="637"/>
        <v>0</v>
      </c>
      <c r="AE52" s="106">
        <f t="shared" si="638"/>
        <v>0</v>
      </c>
      <c r="AF52" s="106">
        <f t="shared" si="639"/>
        <v>0</v>
      </c>
      <c r="AG52" s="106">
        <f t="shared" si="640"/>
        <v>0</v>
      </c>
      <c r="AH52" s="106">
        <f t="shared" si="641"/>
        <v>0</v>
      </c>
      <c r="AI52" s="106">
        <f t="shared" si="642"/>
        <v>0</v>
      </c>
      <c r="AJ52" s="106">
        <f t="shared" si="643"/>
        <v>0</v>
      </c>
      <c r="AK52" s="106">
        <f t="shared" si="644"/>
        <v>0</v>
      </c>
      <c r="AL52" s="106">
        <f t="shared" si="645"/>
        <v>0</v>
      </c>
      <c r="AM52" s="106">
        <f t="shared" si="646"/>
        <v>0</v>
      </c>
      <c r="AN52" s="106">
        <f t="shared" si="647"/>
        <v>0</v>
      </c>
      <c r="AO52" s="106">
        <f t="shared" si="648"/>
        <v>0</v>
      </c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>
        <f t="shared" si="649"/>
        <v>0</v>
      </c>
      <c r="BD52" s="10" t="str">
        <f t="shared" si="47"/>
        <v>Internal Sales</v>
      </c>
      <c r="BE52" s="106">
        <f>+'Jan-25'!E52</f>
        <v>0</v>
      </c>
      <c r="BF52" s="106">
        <f>+'Feb-25'!E52</f>
        <v>0</v>
      </c>
      <c r="BG52" s="106">
        <f>+'Mar-25'!E52</f>
        <v>0</v>
      </c>
      <c r="BH52" s="106">
        <f>+'Apr-25'!E52</f>
        <v>0</v>
      </c>
      <c r="BI52" s="106">
        <f>+'May-25'!E52</f>
        <v>0</v>
      </c>
      <c r="BJ52" s="106">
        <f>+'June-25'!E52</f>
        <v>0</v>
      </c>
      <c r="BK52" s="106">
        <f>+'July-25'!E52</f>
        <v>0</v>
      </c>
      <c r="BL52" s="106">
        <f>+'Aug-25'!E52</f>
        <v>0</v>
      </c>
      <c r="BM52" s="106">
        <f>+'Sep-25'!E52</f>
        <v>0</v>
      </c>
      <c r="BN52" s="106">
        <f>+'Oct-25'!E52</f>
        <v>0</v>
      </c>
      <c r="BO52" s="106">
        <f>+'Nov-25'!E52</f>
        <v>0</v>
      </c>
      <c r="BP52" s="106">
        <f>+'Dec-25'!E52</f>
        <v>0</v>
      </c>
      <c r="BQ52" s="106">
        <f t="shared" si="650"/>
        <v>0</v>
      </c>
      <c r="BR52" s="118">
        <f t="shared" si="417"/>
        <v>0</v>
      </c>
      <c r="BS52" s="106"/>
      <c r="BT52" s="106"/>
      <c r="BU52" s="106"/>
      <c r="BV52" s="106"/>
      <c r="BW52" s="106"/>
      <c r="BX52" s="106"/>
      <c r="BY52" s="106"/>
      <c r="BZ52" s="106"/>
      <c r="CA52" s="106"/>
      <c r="CB52" s="106"/>
      <c r="CC52" s="106"/>
      <c r="CD52" s="106"/>
      <c r="CE52" s="106">
        <f t="shared" si="651"/>
        <v>0</v>
      </c>
      <c r="CF52" s="106"/>
      <c r="CG52" s="106"/>
      <c r="CH52" s="106"/>
      <c r="CI52" s="106"/>
      <c r="CJ52" s="106"/>
      <c r="CK52" s="106"/>
      <c r="CL52" s="106"/>
      <c r="CM52" s="106"/>
      <c r="CN52" s="106"/>
      <c r="CO52" s="106"/>
      <c r="CP52" s="106"/>
      <c r="CQ52" s="106"/>
      <c r="CR52" s="106"/>
      <c r="CS52" s="106">
        <f t="shared" si="652"/>
        <v>0</v>
      </c>
      <c r="CT52" s="10" t="str">
        <f t="shared" si="51"/>
        <v>Internal Sales</v>
      </c>
      <c r="CU52" s="106">
        <f>+'Jan-25'!H52</f>
        <v>0</v>
      </c>
      <c r="CV52" s="106">
        <f>+'Feb-25'!H52</f>
        <v>0</v>
      </c>
      <c r="CW52" s="106">
        <f>+'Mar-25'!H52</f>
        <v>0</v>
      </c>
      <c r="CX52" s="106">
        <f>+'Apr-25'!H52</f>
        <v>0</v>
      </c>
      <c r="CY52" s="106">
        <f>+'May-25'!H52</f>
        <v>0</v>
      </c>
      <c r="CZ52" s="106">
        <f>+'June-25'!H52</f>
        <v>0</v>
      </c>
      <c r="DA52" s="106">
        <f>+'July-25'!H52</f>
        <v>0</v>
      </c>
      <c r="DB52" s="106">
        <f>+'Aug-25'!H52</f>
        <v>0</v>
      </c>
      <c r="DC52" s="106">
        <f>+'Sep-25'!H52</f>
        <v>0</v>
      </c>
      <c r="DD52" s="106">
        <f>+'Oct-25'!H52</f>
        <v>0</v>
      </c>
      <c r="DE52" s="106">
        <f>+'Nov-25'!H52</f>
        <v>0</v>
      </c>
      <c r="DF52" s="106">
        <f>+'Dec-25'!H52</f>
        <v>0</v>
      </c>
      <c r="DG52" s="106">
        <f t="shared" si="653"/>
        <v>0</v>
      </c>
      <c r="DH52" s="118">
        <f t="shared" si="421"/>
        <v>0</v>
      </c>
      <c r="DI52" s="106"/>
      <c r="DJ52" s="106"/>
      <c r="DK52" s="106"/>
      <c r="DL52" s="106"/>
      <c r="DM52" s="106"/>
      <c r="DN52" s="106"/>
      <c r="DO52" s="106"/>
      <c r="DP52" s="106"/>
      <c r="DQ52" s="106"/>
      <c r="DR52" s="106"/>
      <c r="DS52" s="106"/>
      <c r="DT52" s="106"/>
      <c r="DU52" s="106">
        <f t="shared" si="654"/>
        <v>0</v>
      </c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106">
        <f t="shared" si="655"/>
        <v>0</v>
      </c>
      <c r="EJ52" s="10" t="str">
        <f t="shared" si="217"/>
        <v>Internal Sales</v>
      </c>
      <c r="EK52" s="106">
        <f>+'Jan-25'!J52</f>
        <v>0</v>
      </c>
      <c r="EL52" s="106">
        <f>+'Feb-25'!J52</f>
        <v>0</v>
      </c>
      <c r="EM52" s="106">
        <f>+'Mar-25'!J52</f>
        <v>0</v>
      </c>
      <c r="EN52" s="106">
        <f>+'Apr-25'!J52</f>
        <v>0</v>
      </c>
      <c r="EO52" s="106">
        <f>+'May-25'!J52</f>
        <v>0</v>
      </c>
      <c r="EP52" s="106">
        <f>+'June-25'!J52</f>
        <v>0</v>
      </c>
      <c r="EQ52" s="106">
        <f>+'July-25'!J52</f>
        <v>0</v>
      </c>
      <c r="ER52" s="106">
        <f>+'Aug-25'!J52</f>
        <v>0</v>
      </c>
      <c r="ES52" s="106">
        <f>+'Sep-25'!J52</f>
        <v>0</v>
      </c>
      <c r="ET52" s="106">
        <f>+'Oct-25'!J52</f>
        <v>0</v>
      </c>
      <c r="EU52" s="106">
        <f>+'Nov-25'!J52</f>
        <v>0</v>
      </c>
      <c r="EV52" s="106">
        <f>+'Dec-25'!J52</f>
        <v>0</v>
      </c>
      <c r="EW52" s="22">
        <f t="shared" si="656"/>
        <v>0</v>
      </c>
      <c r="EX52" s="118" t="e">
        <f t="shared" si="425"/>
        <v>#DIV/0!</v>
      </c>
      <c r="EY52" s="106"/>
      <c r="EZ52" s="106"/>
      <c r="FA52" s="106"/>
      <c r="FB52" s="106"/>
      <c r="FC52" s="106"/>
      <c r="FD52" s="106"/>
      <c r="FE52" s="106"/>
      <c r="FF52" s="106"/>
      <c r="FG52" s="106"/>
      <c r="FH52" s="106"/>
      <c r="FI52" s="106"/>
      <c r="FJ52" s="106"/>
      <c r="FK52" s="106">
        <f t="shared" si="657"/>
        <v>0</v>
      </c>
    </row>
    <row r="53" spans="1:167" ht="14.45" hidden="1" customHeight="1" outlineLevel="1">
      <c r="A53" s="106">
        <f t="shared" si="610"/>
        <v>0</v>
      </c>
      <c r="B53" s="106">
        <f t="shared" si="611"/>
        <v>0</v>
      </c>
      <c r="C53" s="106">
        <f t="shared" si="612"/>
        <v>0</v>
      </c>
      <c r="D53" s="106">
        <f t="shared" si="613"/>
        <v>0</v>
      </c>
      <c r="E53" s="106">
        <f t="shared" si="614"/>
        <v>0</v>
      </c>
      <c r="F53" s="106">
        <f t="shared" si="615"/>
        <v>0</v>
      </c>
      <c r="G53" s="106">
        <f t="shared" si="616"/>
        <v>0</v>
      </c>
      <c r="H53" s="106">
        <f t="shared" si="617"/>
        <v>0</v>
      </c>
      <c r="I53" s="106">
        <f t="shared" si="618"/>
        <v>0</v>
      </c>
      <c r="J53" s="106">
        <f t="shared" si="619"/>
        <v>0</v>
      </c>
      <c r="K53" s="106">
        <f t="shared" si="620"/>
        <v>0</v>
      </c>
      <c r="L53" s="106">
        <f t="shared" si="621"/>
        <v>0</v>
      </c>
      <c r="M53" s="106">
        <f t="shared" si="622"/>
        <v>0</v>
      </c>
      <c r="N53" s="10" t="s">
        <v>33</v>
      </c>
      <c r="O53" s="106">
        <f t="shared" si="623"/>
        <v>0</v>
      </c>
      <c r="P53" s="106">
        <f t="shared" si="624"/>
        <v>0</v>
      </c>
      <c r="Q53" s="106">
        <f t="shared" si="625"/>
        <v>0</v>
      </c>
      <c r="R53" s="106">
        <f t="shared" si="626"/>
        <v>0</v>
      </c>
      <c r="S53" s="106">
        <f t="shared" si="627"/>
        <v>0</v>
      </c>
      <c r="T53" s="106">
        <f t="shared" si="628"/>
        <v>0</v>
      </c>
      <c r="U53" s="106">
        <f t="shared" si="629"/>
        <v>0</v>
      </c>
      <c r="V53" s="106">
        <f t="shared" si="630"/>
        <v>0</v>
      </c>
      <c r="W53" s="106">
        <f t="shared" si="631"/>
        <v>0</v>
      </c>
      <c r="X53" s="106">
        <f t="shared" si="632"/>
        <v>0</v>
      </c>
      <c r="Y53" s="106">
        <f t="shared" si="633"/>
        <v>0</v>
      </c>
      <c r="Z53" s="106">
        <f t="shared" si="634"/>
        <v>0</v>
      </c>
      <c r="AA53" s="106">
        <f t="shared" si="635"/>
        <v>0</v>
      </c>
      <c r="AB53" s="118">
        <f t="shared" si="401"/>
        <v>0</v>
      </c>
      <c r="AC53" s="106">
        <f t="shared" si="636"/>
        <v>0</v>
      </c>
      <c r="AD53" s="106">
        <f t="shared" si="637"/>
        <v>0</v>
      </c>
      <c r="AE53" s="106">
        <f t="shared" si="638"/>
        <v>0</v>
      </c>
      <c r="AF53" s="106">
        <f t="shared" si="639"/>
        <v>0</v>
      </c>
      <c r="AG53" s="106">
        <f t="shared" si="640"/>
        <v>0</v>
      </c>
      <c r="AH53" s="106">
        <f t="shared" si="641"/>
        <v>0</v>
      </c>
      <c r="AI53" s="106">
        <f t="shared" si="642"/>
        <v>0</v>
      </c>
      <c r="AJ53" s="106">
        <f t="shared" si="643"/>
        <v>0</v>
      </c>
      <c r="AK53" s="106">
        <f t="shared" si="644"/>
        <v>0</v>
      </c>
      <c r="AL53" s="106">
        <f t="shared" si="645"/>
        <v>0</v>
      </c>
      <c r="AM53" s="106">
        <f t="shared" si="646"/>
        <v>0</v>
      </c>
      <c r="AN53" s="106">
        <f t="shared" si="647"/>
        <v>0</v>
      </c>
      <c r="AO53" s="106">
        <f t="shared" si="648"/>
        <v>0</v>
      </c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>
        <f t="shared" si="649"/>
        <v>0</v>
      </c>
      <c r="BD53" s="10" t="str">
        <f t="shared" si="47"/>
        <v>Cost of Good sold</v>
      </c>
      <c r="BE53" s="106">
        <f>+'Jan-25'!E53</f>
        <v>0</v>
      </c>
      <c r="BF53" s="106">
        <f>+'Feb-25'!E53</f>
        <v>0</v>
      </c>
      <c r="BG53" s="106">
        <f>+'Mar-25'!E53</f>
        <v>0</v>
      </c>
      <c r="BH53" s="106">
        <f>+'Apr-25'!E53</f>
        <v>0</v>
      </c>
      <c r="BI53" s="106">
        <f>+'May-25'!E53</f>
        <v>0</v>
      </c>
      <c r="BJ53" s="106">
        <f>+'June-25'!E53</f>
        <v>0</v>
      </c>
      <c r="BK53" s="106">
        <f>+'July-25'!E53</f>
        <v>0</v>
      </c>
      <c r="BL53" s="106">
        <f>+'Aug-25'!E53</f>
        <v>0</v>
      </c>
      <c r="BM53" s="106">
        <f>+'Sep-25'!E53</f>
        <v>0</v>
      </c>
      <c r="BN53" s="106">
        <f>+'Oct-25'!E53</f>
        <v>0</v>
      </c>
      <c r="BO53" s="106">
        <f>+'Nov-25'!E53</f>
        <v>0</v>
      </c>
      <c r="BP53" s="106">
        <f>+'Dec-25'!E53</f>
        <v>0</v>
      </c>
      <c r="BQ53" s="106">
        <f t="shared" si="650"/>
        <v>0</v>
      </c>
      <c r="BR53" s="118">
        <f t="shared" si="417"/>
        <v>0</v>
      </c>
      <c r="BS53" s="106"/>
      <c r="BT53" s="106"/>
      <c r="BU53" s="106"/>
      <c r="BV53" s="106"/>
      <c r="BW53" s="106"/>
      <c r="BX53" s="106"/>
      <c r="BY53" s="106"/>
      <c r="BZ53" s="106"/>
      <c r="CA53" s="106"/>
      <c r="CB53" s="106"/>
      <c r="CC53" s="106"/>
      <c r="CD53" s="106"/>
      <c r="CE53" s="106">
        <f t="shared" si="651"/>
        <v>0</v>
      </c>
      <c r="CF53" s="106"/>
      <c r="CG53" s="106"/>
      <c r="CH53" s="106"/>
      <c r="CI53" s="106"/>
      <c r="CJ53" s="106"/>
      <c r="CK53" s="106"/>
      <c r="CL53" s="106"/>
      <c r="CM53" s="106"/>
      <c r="CN53" s="106"/>
      <c r="CO53" s="106"/>
      <c r="CP53" s="106"/>
      <c r="CQ53" s="106"/>
      <c r="CR53" s="106"/>
      <c r="CS53" s="106">
        <f t="shared" si="652"/>
        <v>0</v>
      </c>
      <c r="CT53" s="10" t="str">
        <f t="shared" si="51"/>
        <v>Cost of Good sold</v>
      </c>
      <c r="CU53" s="106">
        <f>+'Jan-25'!H53</f>
        <v>0</v>
      </c>
      <c r="CV53" s="106">
        <f>+'Feb-25'!H53</f>
        <v>0</v>
      </c>
      <c r="CW53" s="106">
        <f>+'Mar-25'!H53</f>
        <v>0</v>
      </c>
      <c r="CX53" s="106">
        <f>+'Apr-25'!H53</f>
        <v>0</v>
      </c>
      <c r="CY53" s="106">
        <f>+'May-25'!H53</f>
        <v>0</v>
      </c>
      <c r="CZ53" s="106">
        <f>+'June-25'!H53</f>
        <v>0</v>
      </c>
      <c r="DA53" s="106">
        <f>+'July-25'!H53</f>
        <v>0</v>
      </c>
      <c r="DB53" s="106">
        <f>+'Aug-25'!H53</f>
        <v>0</v>
      </c>
      <c r="DC53" s="106">
        <f>+'Sep-25'!H53</f>
        <v>0</v>
      </c>
      <c r="DD53" s="106">
        <f>+'Oct-25'!H53</f>
        <v>0</v>
      </c>
      <c r="DE53" s="106">
        <f>+'Nov-25'!H53</f>
        <v>0</v>
      </c>
      <c r="DF53" s="106">
        <f>+'Dec-25'!H53</f>
        <v>0</v>
      </c>
      <c r="DG53" s="106">
        <f t="shared" si="653"/>
        <v>0</v>
      </c>
      <c r="DH53" s="118">
        <f t="shared" si="421"/>
        <v>0</v>
      </c>
      <c r="DI53" s="106"/>
      <c r="DJ53" s="106"/>
      <c r="DK53" s="106"/>
      <c r="DL53" s="106"/>
      <c r="DM53" s="106"/>
      <c r="DN53" s="106"/>
      <c r="DO53" s="106"/>
      <c r="DP53" s="106"/>
      <c r="DQ53" s="106"/>
      <c r="DR53" s="106"/>
      <c r="DS53" s="106"/>
      <c r="DT53" s="106"/>
      <c r="DU53" s="106">
        <f t="shared" si="654"/>
        <v>0</v>
      </c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106">
        <f t="shared" si="655"/>
        <v>0</v>
      </c>
      <c r="EJ53" s="10" t="str">
        <f t="shared" si="217"/>
        <v>Cost of Good sold</v>
      </c>
      <c r="EK53" s="106">
        <f>+'Jan-25'!J53</f>
        <v>0</v>
      </c>
      <c r="EL53" s="106">
        <f>+'Feb-25'!J53</f>
        <v>0</v>
      </c>
      <c r="EM53" s="106">
        <f>+'Mar-25'!J53</f>
        <v>0</v>
      </c>
      <c r="EN53" s="106">
        <f>+'Apr-25'!J53</f>
        <v>0</v>
      </c>
      <c r="EO53" s="106">
        <f>+'May-25'!J53</f>
        <v>0</v>
      </c>
      <c r="EP53" s="106">
        <f>+'June-25'!J53</f>
        <v>0</v>
      </c>
      <c r="EQ53" s="106">
        <f>+'July-25'!J53</f>
        <v>0</v>
      </c>
      <c r="ER53" s="106">
        <f>+'Aug-25'!J53</f>
        <v>0</v>
      </c>
      <c r="ES53" s="106">
        <f>+'Sep-25'!J53</f>
        <v>0</v>
      </c>
      <c r="ET53" s="106">
        <f>+'Oct-25'!J53</f>
        <v>0</v>
      </c>
      <c r="EU53" s="106">
        <f>+'Nov-25'!J53</f>
        <v>0</v>
      </c>
      <c r="EV53" s="106">
        <f>+'Dec-25'!J53</f>
        <v>0</v>
      </c>
      <c r="EW53" s="22">
        <f t="shared" si="656"/>
        <v>0</v>
      </c>
      <c r="EX53" s="118" t="e">
        <f t="shared" si="425"/>
        <v>#DIV/0!</v>
      </c>
      <c r="EY53" s="106"/>
      <c r="EZ53" s="106"/>
      <c r="FA53" s="106"/>
      <c r="FB53" s="106"/>
      <c r="FC53" s="106"/>
      <c r="FD53" s="106"/>
      <c r="FE53" s="106"/>
      <c r="FF53" s="106"/>
      <c r="FG53" s="106"/>
      <c r="FH53" s="106"/>
      <c r="FI53" s="106"/>
      <c r="FJ53" s="106"/>
      <c r="FK53" s="106">
        <f t="shared" si="657"/>
        <v>0</v>
      </c>
    </row>
    <row r="54" spans="1:167" ht="14.45" hidden="1" customHeight="1" outlineLevel="1">
      <c r="A54" s="58">
        <f>+A51+A52-A53</f>
        <v>0</v>
      </c>
      <c r="B54" s="58">
        <f t="shared" ref="B54:M54" si="658">+B51+B52-B53</f>
        <v>0</v>
      </c>
      <c r="C54" s="58">
        <f t="shared" si="658"/>
        <v>0</v>
      </c>
      <c r="D54" s="58">
        <f t="shared" si="658"/>
        <v>0</v>
      </c>
      <c r="E54" s="58">
        <f t="shared" si="658"/>
        <v>0</v>
      </c>
      <c r="F54" s="58">
        <f t="shared" si="658"/>
        <v>0</v>
      </c>
      <c r="G54" s="58">
        <f t="shared" si="658"/>
        <v>0</v>
      </c>
      <c r="H54" s="58">
        <f t="shared" si="658"/>
        <v>0</v>
      </c>
      <c r="I54" s="58">
        <f t="shared" si="658"/>
        <v>0</v>
      </c>
      <c r="J54" s="58">
        <f t="shared" si="658"/>
        <v>0</v>
      </c>
      <c r="K54" s="58">
        <f t="shared" si="658"/>
        <v>0</v>
      </c>
      <c r="L54" s="58">
        <f t="shared" si="658"/>
        <v>0</v>
      </c>
      <c r="M54" s="58">
        <f t="shared" si="658"/>
        <v>0</v>
      </c>
      <c r="N54" s="10" t="s">
        <v>20</v>
      </c>
      <c r="O54" s="58">
        <f>+O51+O52-O53</f>
        <v>0</v>
      </c>
      <c r="P54" s="58">
        <f t="shared" ref="P54" si="659">+P51+P52-P53</f>
        <v>0</v>
      </c>
      <c r="Q54" s="58">
        <f t="shared" ref="Q54" si="660">+Q51+Q52-Q53</f>
        <v>0</v>
      </c>
      <c r="R54" s="58">
        <f t="shared" ref="R54" si="661">+R51+R52-R53</f>
        <v>0</v>
      </c>
      <c r="S54" s="58">
        <f t="shared" ref="S54" si="662">+S51+S52-S53</f>
        <v>0</v>
      </c>
      <c r="T54" s="58">
        <f t="shared" ref="T54" si="663">+T51+T52-T53</f>
        <v>0</v>
      </c>
      <c r="U54" s="58">
        <f t="shared" ref="U54" si="664">+U51+U52-U53</f>
        <v>0</v>
      </c>
      <c r="V54" s="58">
        <f t="shared" ref="V54" si="665">+V51+V52-V53</f>
        <v>0</v>
      </c>
      <c r="W54" s="58">
        <f t="shared" ref="W54" si="666">+W51+W52-W53</f>
        <v>0</v>
      </c>
      <c r="X54" s="58">
        <f t="shared" ref="X54" si="667">+X51+X52-X53</f>
        <v>0</v>
      </c>
      <c r="Y54" s="58">
        <f t="shared" ref="Y54" si="668">+Y51+Y52-Y53</f>
        <v>0</v>
      </c>
      <c r="Z54" s="58">
        <f t="shared" ref="Z54" si="669">+Z51+Z52-Z53</f>
        <v>0</v>
      </c>
      <c r="AA54" s="58">
        <f t="shared" ref="AA54" si="670">+AA51+AA52-AA53</f>
        <v>0</v>
      </c>
      <c r="AB54" s="118">
        <f t="shared" si="401"/>
        <v>0</v>
      </c>
      <c r="AC54" s="58">
        <f>+AC51+AC52-AC53</f>
        <v>0</v>
      </c>
      <c r="AD54" s="58">
        <f t="shared" ref="AD54" si="671">+AD51+AD52-AD53</f>
        <v>0</v>
      </c>
      <c r="AE54" s="58">
        <f t="shared" ref="AE54" si="672">+AE51+AE52-AE53</f>
        <v>0</v>
      </c>
      <c r="AF54" s="58">
        <f t="shared" ref="AF54" si="673">+AF51+AF52-AF53</f>
        <v>0</v>
      </c>
      <c r="AG54" s="58">
        <f t="shared" ref="AG54" si="674">+AG51+AG52-AG53</f>
        <v>0</v>
      </c>
      <c r="AH54" s="58">
        <f t="shared" ref="AH54" si="675">+AH51+AH52-AH53</f>
        <v>0</v>
      </c>
      <c r="AI54" s="58">
        <f t="shared" ref="AI54" si="676">+AI51+AI52-AI53</f>
        <v>0</v>
      </c>
      <c r="AJ54" s="58">
        <f t="shared" ref="AJ54" si="677">+AJ51+AJ52-AJ53</f>
        <v>0</v>
      </c>
      <c r="AK54" s="58">
        <f t="shared" ref="AK54" si="678">+AK51+AK52-AK53</f>
        <v>0</v>
      </c>
      <c r="AL54" s="58">
        <f t="shared" ref="AL54" si="679">+AL51+AL52-AL53</f>
        <v>0</v>
      </c>
      <c r="AM54" s="58">
        <f t="shared" ref="AM54" si="680">+AM51+AM52-AM53</f>
        <v>0</v>
      </c>
      <c r="AN54" s="58">
        <f t="shared" ref="AN54" si="681">+AN51+AN52-AN53</f>
        <v>0</v>
      </c>
      <c r="AO54" s="58">
        <f t="shared" ref="AO54" si="682">+AO51+AO52-AO53</f>
        <v>0</v>
      </c>
      <c r="AQ54" s="58">
        <f>+AQ51+AQ52-AQ53</f>
        <v>0</v>
      </c>
      <c r="AR54" s="58">
        <f t="shared" ref="AR54:BC54" si="683">+AR51+AR52-AR53</f>
        <v>0</v>
      </c>
      <c r="AS54" s="58">
        <f t="shared" si="683"/>
        <v>0</v>
      </c>
      <c r="AT54" s="58">
        <f t="shared" si="683"/>
        <v>0</v>
      </c>
      <c r="AU54" s="58">
        <f t="shared" si="683"/>
        <v>0</v>
      </c>
      <c r="AV54" s="58">
        <f t="shared" si="683"/>
        <v>0</v>
      </c>
      <c r="AW54" s="58">
        <f t="shared" si="683"/>
        <v>0</v>
      </c>
      <c r="AX54" s="58">
        <f t="shared" si="683"/>
        <v>0</v>
      </c>
      <c r="AY54" s="58">
        <f t="shared" si="683"/>
        <v>0</v>
      </c>
      <c r="AZ54" s="58">
        <f t="shared" si="683"/>
        <v>0</v>
      </c>
      <c r="BA54" s="58">
        <f t="shared" si="683"/>
        <v>0</v>
      </c>
      <c r="BB54" s="58">
        <f t="shared" si="683"/>
        <v>0</v>
      </c>
      <c r="BC54" s="58">
        <f t="shared" si="683"/>
        <v>0</v>
      </c>
      <c r="BD54" s="10" t="str">
        <f t="shared" si="47"/>
        <v>Gross Profit</v>
      </c>
      <c r="BE54" s="58">
        <f t="shared" ref="BE54:BP54" si="684">+BE51+BE52-BE53</f>
        <v>0</v>
      </c>
      <c r="BF54" s="58">
        <f t="shared" si="684"/>
        <v>0</v>
      </c>
      <c r="BG54" s="58">
        <f t="shared" si="684"/>
        <v>0</v>
      </c>
      <c r="BH54" s="58">
        <f t="shared" si="684"/>
        <v>0</v>
      </c>
      <c r="BI54" s="58">
        <f t="shared" si="684"/>
        <v>0</v>
      </c>
      <c r="BJ54" s="58">
        <f t="shared" si="684"/>
        <v>0</v>
      </c>
      <c r="BK54" s="58">
        <f t="shared" si="684"/>
        <v>0</v>
      </c>
      <c r="BL54" s="58">
        <f t="shared" si="684"/>
        <v>0</v>
      </c>
      <c r="BM54" s="58">
        <f t="shared" si="684"/>
        <v>0</v>
      </c>
      <c r="BN54" s="58">
        <f t="shared" si="684"/>
        <v>0</v>
      </c>
      <c r="BO54" s="58">
        <f t="shared" si="684"/>
        <v>0</v>
      </c>
      <c r="BP54" s="58">
        <f t="shared" si="684"/>
        <v>0</v>
      </c>
      <c r="BQ54" s="58">
        <f t="shared" ref="BQ54" si="685">+BQ51+BQ52-BQ53</f>
        <v>0</v>
      </c>
      <c r="BR54" s="118">
        <f t="shared" si="417"/>
        <v>0</v>
      </c>
      <c r="BS54" s="58">
        <f t="shared" ref="BS54:CE54" si="686">+BS51+BS52-BS53</f>
        <v>0</v>
      </c>
      <c r="BT54" s="58">
        <f t="shared" si="686"/>
        <v>0</v>
      </c>
      <c r="BU54" s="58">
        <f t="shared" si="686"/>
        <v>0</v>
      </c>
      <c r="BV54" s="58">
        <f t="shared" si="686"/>
        <v>0</v>
      </c>
      <c r="BW54" s="58">
        <f t="shared" si="686"/>
        <v>0</v>
      </c>
      <c r="BX54" s="58">
        <f t="shared" si="686"/>
        <v>0</v>
      </c>
      <c r="BY54" s="58">
        <f t="shared" si="686"/>
        <v>0</v>
      </c>
      <c r="BZ54" s="58">
        <f t="shared" si="686"/>
        <v>0</v>
      </c>
      <c r="CA54" s="58">
        <f t="shared" si="686"/>
        <v>0</v>
      </c>
      <c r="CB54" s="58">
        <f t="shared" si="686"/>
        <v>0</v>
      </c>
      <c r="CC54" s="58">
        <f t="shared" si="686"/>
        <v>0</v>
      </c>
      <c r="CD54" s="58">
        <f t="shared" si="686"/>
        <v>0</v>
      </c>
      <c r="CE54" s="58">
        <f t="shared" si="686"/>
        <v>0</v>
      </c>
      <c r="CF54" s="106"/>
      <c r="CG54" s="58">
        <f>+CG51+CG52-CG53</f>
        <v>0</v>
      </c>
      <c r="CH54" s="58">
        <f t="shared" ref="CH54:CS54" si="687">+CH51+CH52-CH53</f>
        <v>0</v>
      </c>
      <c r="CI54" s="58">
        <f t="shared" si="687"/>
        <v>0</v>
      </c>
      <c r="CJ54" s="58">
        <f t="shared" si="687"/>
        <v>0</v>
      </c>
      <c r="CK54" s="58">
        <f t="shared" si="687"/>
        <v>0</v>
      </c>
      <c r="CL54" s="58">
        <f t="shared" si="687"/>
        <v>0</v>
      </c>
      <c r="CM54" s="58">
        <f t="shared" si="687"/>
        <v>0</v>
      </c>
      <c r="CN54" s="58">
        <f t="shared" si="687"/>
        <v>0</v>
      </c>
      <c r="CO54" s="58">
        <f t="shared" si="687"/>
        <v>0</v>
      </c>
      <c r="CP54" s="58">
        <f t="shared" si="687"/>
        <v>0</v>
      </c>
      <c r="CQ54" s="58">
        <f t="shared" si="687"/>
        <v>0</v>
      </c>
      <c r="CR54" s="58">
        <f t="shared" si="687"/>
        <v>0</v>
      </c>
      <c r="CS54" s="58">
        <f t="shared" si="687"/>
        <v>0</v>
      </c>
      <c r="CT54" s="10" t="str">
        <f t="shared" si="51"/>
        <v>Gross Profit</v>
      </c>
      <c r="CU54" s="58">
        <f t="shared" ref="CU54:DF54" si="688">+CU51+CU52-CU53</f>
        <v>0</v>
      </c>
      <c r="CV54" s="58">
        <f t="shared" si="688"/>
        <v>0</v>
      </c>
      <c r="CW54" s="58">
        <f t="shared" si="688"/>
        <v>0</v>
      </c>
      <c r="CX54" s="58">
        <f t="shared" si="688"/>
        <v>0</v>
      </c>
      <c r="CY54" s="58">
        <f t="shared" si="688"/>
        <v>0</v>
      </c>
      <c r="CZ54" s="58">
        <f t="shared" si="688"/>
        <v>0</v>
      </c>
      <c r="DA54" s="58">
        <f t="shared" si="688"/>
        <v>0</v>
      </c>
      <c r="DB54" s="58">
        <f t="shared" si="688"/>
        <v>0</v>
      </c>
      <c r="DC54" s="58">
        <f t="shared" si="688"/>
        <v>0</v>
      </c>
      <c r="DD54" s="58">
        <f t="shared" si="688"/>
        <v>0</v>
      </c>
      <c r="DE54" s="58">
        <f t="shared" si="688"/>
        <v>0</v>
      </c>
      <c r="DF54" s="58">
        <f t="shared" si="688"/>
        <v>0</v>
      </c>
      <c r="DG54" s="58">
        <f t="shared" ref="DG54" si="689">+DG51+DG52-DG53</f>
        <v>0</v>
      </c>
      <c r="DH54" s="118">
        <f t="shared" si="421"/>
        <v>0</v>
      </c>
      <c r="DI54" s="58">
        <f t="shared" ref="DI54:DU54" si="690">+DI51+DI52-DI53</f>
        <v>0</v>
      </c>
      <c r="DJ54" s="58">
        <f t="shared" si="690"/>
        <v>0</v>
      </c>
      <c r="DK54" s="58">
        <f t="shared" si="690"/>
        <v>0</v>
      </c>
      <c r="DL54" s="58">
        <f t="shared" si="690"/>
        <v>0</v>
      </c>
      <c r="DM54" s="58">
        <f t="shared" si="690"/>
        <v>0</v>
      </c>
      <c r="DN54" s="58">
        <f t="shared" si="690"/>
        <v>0</v>
      </c>
      <c r="DO54" s="58">
        <f t="shared" si="690"/>
        <v>0</v>
      </c>
      <c r="DP54" s="58">
        <f t="shared" si="690"/>
        <v>0</v>
      </c>
      <c r="DQ54" s="58">
        <f t="shared" si="690"/>
        <v>0</v>
      </c>
      <c r="DR54" s="58">
        <f t="shared" si="690"/>
        <v>0</v>
      </c>
      <c r="DS54" s="58">
        <f t="shared" si="690"/>
        <v>0</v>
      </c>
      <c r="DT54" s="58">
        <f t="shared" si="690"/>
        <v>0</v>
      </c>
      <c r="DU54" s="58">
        <f t="shared" si="690"/>
        <v>0</v>
      </c>
      <c r="DW54" s="28">
        <f t="shared" ref="DW54:EI54" si="691">+DW51+DW52-DW53</f>
        <v>0</v>
      </c>
      <c r="DX54" s="28">
        <f t="shared" si="691"/>
        <v>0</v>
      </c>
      <c r="DY54" s="28">
        <f t="shared" si="691"/>
        <v>0</v>
      </c>
      <c r="DZ54" s="28">
        <f t="shared" si="691"/>
        <v>0</v>
      </c>
      <c r="EA54" s="28">
        <f t="shared" si="691"/>
        <v>0</v>
      </c>
      <c r="EB54" s="28">
        <f t="shared" si="691"/>
        <v>0</v>
      </c>
      <c r="EC54" s="28">
        <f t="shared" si="691"/>
        <v>0</v>
      </c>
      <c r="ED54" s="28">
        <f t="shared" si="691"/>
        <v>0</v>
      </c>
      <c r="EE54" s="28">
        <f t="shared" si="691"/>
        <v>0</v>
      </c>
      <c r="EF54" s="28">
        <f t="shared" si="691"/>
        <v>0</v>
      </c>
      <c r="EG54" s="28">
        <f t="shared" si="691"/>
        <v>0</v>
      </c>
      <c r="EH54" s="28">
        <f t="shared" si="691"/>
        <v>0</v>
      </c>
      <c r="EI54" s="58">
        <f t="shared" si="691"/>
        <v>0</v>
      </c>
      <c r="EJ54" s="10" t="str">
        <f t="shared" si="217"/>
        <v>Gross Profit</v>
      </c>
      <c r="EK54" s="28">
        <f t="shared" ref="EK54:EV54" si="692">+EK51+EK52-EK53</f>
        <v>0</v>
      </c>
      <c r="EL54" s="28">
        <f t="shared" si="692"/>
        <v>0</v>
      </c>
      <c r="EM54" s="28">
        <f t="shared" si="692"/>
        <v>0</v>
      </c>
      <c r="EN54" s="28">
        <f t="shared" si="692"/>
        <v>0</v>
      </c>
      <c r="EO54" s="28">
        <f t="shared" si="692"/>
        <v>0</v>
      </c>
      <c r="EP54" s="28">
        <f t="shared" si="692"/>
        <v>0</v>
      </c>
      <c r="EQ54" s="28">
        <f t="shared" si="692"/>
        <v>0</v>
      </c>
      <c r="ER54" s="28">
        <f t="shared" si="692"/>
        <v>0</v>
      </c>
      <c r="ES54" s="28">
        <f t="shared" si="692"/>
        <v>0</v>
      </c>
      <c r="ET54" s="28">
        <f t="shared" si="692"/>
        <v>0</v>
      </c>
      <c r="EU54" s="28">
        <f t="shared" si="692"/>
        <v>0</v>
      </c>
      <c r="EV54" s="28">
        <f t="shared" si="692"/>
        <v>0</v>
      </c>
      <c r="EW54" s="28">
        <f t="shared" ref="EW54" si="693">+EW51+EW52-EW53</f>
        <v>0</v>
      </c>
      <c r="EX54" s="118" t="e">
        <f t="shared" si="425"/>
        <v>#DIV/0!</v>
      </c>
      <c r="EY54" s="58">
        <f t="shared" ref="EY54:FK54" si="694">+EY51+EY52-EY53</f>
        <v>0</v>
      </c>
      <c r="EZ54" s="58">
        <f t="shared" si="694"/>
        <v>0</v>
      </c>
      <c r="FA54" s="58">
        <f t="shared" si="694"/>
        <v>0</v>
      </c>
      <c r="FB54" s="58">
        <f t="shared" si="694"/>
        <v>0</v>
      </c>
      <c r="FC54" s="58">
        <f t="shared" si="694"/>
        <v>0</v>
      </c>
      <c r="FD54" s="58">
        <f t="shared" si="694"/>
        <v>0</v>
      </c>
      <c r="FE54" s="58">
        <f t="shared" si="694"/>
        <v>0</v>
      </c>
      <c r="FF54" s="58">
        <f t="shared" si="694"/>
        <v>0</v>
      </c>
      <c r="FG54" s="58">
        <f t="shared" si="694"/>
        <v>0</v>
      </c>
      <c r="FH54" s="58">
        <f t="shared" si="694"/>
        <v>0</v>
      </c>
      <c r="FI54" s="58">
        <f t="shared" si="694"/>
        <v>0</v>
      </c>
      <c r="FJ54" s="58">
        <f t="shared" si="694"/>
        <v>0</v>
      </c>
      <c r="FK54" s="58">
        <f t="shared" si="694"/>
        <v>0</v>
      </c>
    </row>
    <row r="55" spans="1:167" ht="14.45" hidden="1" customHeight="1" outlineLevel="1">
      <c r="A55" s="106">
        <f t="shared" si="610"/>
        <v>0</v>
      </c>
      <c r="B55" s="106">
        <f t="shared" ref="B55:B56" si="695">+AR55+CH55+DX55</f>
        <v>0</v>
      </c>
      <c r="C55" s="106">
        <f t="shared" ref="C55:C56" si="696">+AS55+CI55+DY55</f>
        <v>0</v>
      </c>
      <c r="D55" s="106">
        <f t="shared" ref="D55:D56" si="697">+AT55+CJ55+DZ55</f>
        <v>0</v>
      </c>
      <c r="E55" s="106">
        <f t="shared" ref="E55:E56" si="698">+AU55+CK55+EA55</f>
        <v>0</v>
      </c>
      <c r="F55" s="106">
        <f t="shared" ref="F55:F56" si="699">+AV55+CL55+EB55</f>
        <v>0</v>
      </c>
      <c r="G55" s="106">
        <f t="shared" ref="G55:G56" si="700">+AW55+CM55+EC55</f>
        <v>0</v>
      </c>
      <c r="H55" s="106">
        <f t="shared" ref="H55:H56" si="701">+AX55+CN55+ED55</f>
        <v>0</v>
      </c>
      <c r="I55" s="106">
        <f t="shared" ref="I55:I56" si="702">+AY55+CO55+EE55</f>
        <v>0</v>
      </c>
      <c r="J55" s="106">
        <f t="shared" ref="J55:J56" si="703">+AZ55+CP55+EF55</f>
        <v>0</v>
      </c>
      <c r="K55" s="106">
        <f t="shared" ref="K55:K56" si="704">+BA55+CQ55+EG55</f>
        <v>0</v>
      </c>
      <c r="L55" s="106">
        <f t="shared" ref="L55:L56" si="705">+BB55+CR55+EH55</f>
        <v>0</v>
      </c>
      <c r="M55" s="106">
        <f t="shared" si="622"/>
        <v>0</v>
      </c>
      <c r="N55" s="7" t="s">
        <v>44</v>
      </c>
      <c r="O55" s="106">
        <f t="shared" ref="O55:O56" si="706">+BE55+CU55+EK55</f>
        <v>0</v>
      </c>
      <c r="P55" s="106">
        <f t="shared" ref="P55:P56" si="707">+BF55+CV55+EL55</f>
        <v>0</v>
      </c>
      <c r="Q55" s="106">
        <f t="shared" ref="Q55:Q56" si="708">+BG55+CW55+EM55</f>
        <v>0</v>
      </c>
      <c r="R55" s="106">
        <f t="shared" ref="R55:R56" si="709">+BH55+CX55+EN55</f>
        <v>0</v>
      </c>
      <c r="S55" s="106">
        <f t="shared" ref="S55:S56" si="710">+BI55+CY55+EO55</f>
        <v>0</v>
      </c>
      <c r="T55" s="106">
        <f t="shared" ref="T55:T56" si="711">+BJ55+CZ55+EP55</f>
        <v>0</v>
      </c>
      <c r="U55" s="106">
        <f t="shared" ref="U55:U56" si="712">+BK55+DA55+EQ55</f>
        <v>0</v>
      </c>
      <c r="V55" s="106">
        <f t="shared" ref="V55:V56" si="713">+BL55+DB55+ER55</f>
        <v>0</v>
      </c>
      <c r="W55" s="106">
        <f t="shared" ref="W55:W56" si="714">+BM55+DC55+ES55</f>
        <v>0</v>
      </c>
      <c r="X55" s="106">
        <f t="shared" ref="X55:X56" si="715">+BN55+DD55+ET55</f>
        <v>0</v>
      </c>
      <c r="Y55" s="106">
        <f t="shared" ref="Y55:Y56" si="716">+BO55+DE55+EU55</f>
        <v>0</v>
      </c>
      <c r="Z55" s="106">
        <f t="shared" ref="Z55:Z56" si="717">+BP55+DF55+EV55</f>
        <v>0</v>
      </c>
      <c r="AA55" s="106">
        <f t="shared" ref="AA55:AA56" si="718">+SUM(O55:Z55)</f>
        <v>0</v>
      </c>
      <c r="AB55" s="118">
        <f t="shared" si="401"/>
        <v>0</v>
      </c>
      <c r="AC55" s="106">
        <f t="shared" ref="AC55:AC56" si="719">+BS55+DI55+EY55</f>
        <v>0</v>
      </c>
      <c r="AD55" s="106">
        <f t="shared" ref="AD55:AD56" si="720">+BT55+DJ55+EZ55</f>
        <v>0</v>
      </c>
      <c r="AE55" s="106">
        <f t="shared" ref="AE55:AE56" si="721">+BU55+DK55+FA55</f>
        <v>0</v>
      </c>
      <c r="AF55" s="106">
        <f t="shared" ref="AF55:AF56" si="722">+BV55+DL55+FB55</f>
        <v>0</v>
      </c>
      <c r="AG55" s="106">
        <f t="shared" ref="AG55:AG56" si="723">+BW55+DM55+FC55</f>
        <v>0</v>
      </c>
      <c r="AH55" s="106">
        <f t="shared" ref="AH55:AH56" si="724">+BX55+DN55+FD55</f>
        <v>0</v>
      </c>
      <c r="AI55" s="106">
        <f t="shared" ref="AI55:AI56" si="725">+BY55+DO55+FE55</f>
        <v>0</v>
      </c>
      <c r="AJ55" s="106">
        <f t="shared" ref="AJ55:AJ56" si="726">+BZ55+DP55+FF55</f>
        <v>0</v>
      </c>
      <c r="AK55" s="106">
        <f t="shared" ref="AK55:AK56" si="727">+CA55+DQ55+FG55</f>
        <v>0</v>
      </c>
      <c r="AL55" s="106">
        <f t="shared" ref="AL55:AL56" si="728">+CB55+DR55+FH55</f>
        <v>0</v>
      </c>
      <c r="AM55" s="106">
        <f t="shared" ref="AM55:AM56" si="729">+CC55+DS55+FI55</f>
        <v>0</v>
      </c>
      <c r="AN55" s="106">
        <f t="shared" ref="AN55:AN56" si="730">+CD55+DT55+FJ55</f>
        <v>0</v>
      </c>
      <c r="AO55" s="106">
        <f t="shared" ref="AO55:AO56" si="731">+SUM(AC55:AN55)</f>
        <v>0</v>
      </c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>
        <f t="shared" ref="BC55:BC56" si="732">+SUM(AQ55:BB55)</f>
        <v>0</v>
      </c>
      <c r="BD55" s="7" t="str">
        <f t="shared" si="47"/>
        <v>VAS</v>
      </c>
      <c r="BE55" s="106">
        <f>+VLOOKUP($BD55,'Jan-25'!$A:$J,5,0)</f>
        <v>0</v>
      </c>
      <c r="BF55" s="106">
        <f>+VLOOKUP($BD55,'Feb-25'!$A:$J,5,0)</f>
        <v>0</v>
      </c>
      <c r="BG55" s="106">
        <f>+VLOOKUP($BD55,'Mar-25'!$A:$J,5,0)</f>
        <v>0</v>
      </c>
      <c r="BH55" s="106">
        <f>+VLOOKUP($BD55,'Apr-25'!$A:$J,5,0)</f>
        <v>0</v>
      </c>
      <c r="BI55" s="106">
        <f>+VLOOKUP($BD55,'May-25'!$A:$J,5,0)</f>
        <v>0</v>
      </c>
      <c r="BJ55" s="106">
        <f>+VLOOKUP($BD55,'June-25'!$A:$J,5,0)</f>
        <v>0</v>
      </c>
      <c r="BK55" s="106">
        <f>+VLOOKUP($BD55,'July-25'!$A:$J,5,0)</f>
        <v>0</v>
      </c>
      <c r="BL55" s="106">
        <f>+VLOOKUP($BD55,'Aug-25'!$A:$J,5,0)</f>
        <v>0</v>
      </c>
      <c r="BM55" s="106">
        <f>+VLOOKUP($BD55,'Sep-25'!$A:$J,5,0)</f>
        <v>0</v>
      </c>
      <c r="BN55" s="106">
        <f>+VLOOKUP($BD55,'Oct-25'!$A:$J,5,0)</f>
        <v>0</v>
      </c>
      <c r="BO55" s="106">
        <f>+VLOOKUP($BD55,'Nov-25'!$A:$J,5,0)</f>
        <v>0</v>
      </c>
      <c r="BP55" s="106">
        <f>+VLOOKUP($BD55,'Dec-25'!$A:$J,5,0)</f>
        <v>0</v>
      </c>
      <c r="BQ55" s="106">
        <f t="shared" ref="BQ55:BQ56" si="733">+SUM(BE55:BP55)</f>
        <v>0</v>
      </c>
      <c r="BR55" s="118">
        <f t="shared" si="417"/>
        <v>0</v>
      </c>
      <c r="BS55" s="106"/>
      <c r="BT55" s="106"/>
      <c r="BU55" s="106"/>
      <c r="BV55" s="106"/>
      <c r="BW55" s="106"/>
      <c r="BX55" s="106"/>
      <c r="BY55" s="106"/>
      <c r="BZ55" s="106"/>
      <c r="CA55" s="106"/>
      <c r="CB55" s="106"/>
      <c r="CC55" s="106"/>
      <c r="CD55" s="106"/>
      <c r="CE55" s="106">
        <f t="shared" ref="CE55:CE56" si="734">+SUM(BS55:CD55)</f>
        <v>0</v>
      </c>
      <c r="CF55" s="106"/>
      <c r="CG55" s="106"/>
      <c r="CH55" s="106"/>
      <c r="CI55" s="106"/>
      <c r="CJ55" s="106"/>
      <c r="CK55" s="106"/>
      <c r="CL55" s="106"/>
      <c r="CM55" s="106"/>
      <c r="CN55" s="106"/>
      <c r="CO55" s="106"/>
      <c r="CP55" s="106"/>
      <c r="CQ55" s="106"/>
      <c r="CR55" s="106"/>
      <c r="CS55" s="106">
        <f t="shared" ref="CS55:CS56" si="735">+SUM(CG55:CR55)</f>
        <v>0</v>
      </c>
      <c r="CT55" s="7" t="str">
        <f t="shared" si="51"/>
        <v>VAS</v>
      </c>
      <c r="CU55" s="106">
        <f>+VLOOKUP($BD55,'Jan-25'!$A:$J,8,0)</f>
        <v>0</v>
      </c>
      <c r="CV55" s="106">
        <f>+VLOOKUP($BD55,'Feb-25'!$A:$J,8,0)</f>
        <v>0</v>
      </c>
      <c r="CW55" s="106">
        <f>+VLOOKUP($BD55,'Mar-25'!$A:$J,8,0)</f>
        <v>0</v>
      </c>
      <c r="CX55" s="106">
        <f>+VLOOKUP($BD55,'Apr-25'!$A:$J,8,0)</f>
        <v>0</v>
      </c>
      <c r="CY55" s="106">
        <f>+VLOOKUP($BD55,'May-25'!$A:$J,8,0)</f>
        <v>0</v>
      </c>
      <c r="CZ55" s="106">
        <f>+VLOOKUP($BD55,'June-25'!$A:$J,8,0)</f>
        <v>0</v>
      </c>
      <c r="DA55" s="106">
        <f>+VLOOKUP($BD55,'July-25'!$A:$J,8,0)</f>
        <v>0</v>
      </c>
      <c r="DB55" s="106">
        <f>+VLOOKUP($BD55,'Aug-25'!$A:$J,8,0)</f>
        <v>0</v>
      </c>
      <c r="DC55" s="106">
        <f>+VLOOKUP($BD55,'Sep-25'!$A:$J,8,0)</f>
        <v>0</v>
      </c>
      <c r="DD55" s="106">
        <f>+VLOOKUP($BD55,'Oct-25'!$A:$J,8,0)</f>
        <v>0</v>
      </c>
      <c r="DE55" s="106">
        <f>+VLOOKUP($BD55,'Nov-25'!$A:$J,8,0)</f>
        <v>0</v>
      </c>
      <c r="DF55" s="106">
        <f>+VLOOKUP($BD55,'Dec-25'!$A:$J,8,0)</f>
        <v>0</v>
      </c>
      <c r="DG55" s="106">
        <f t="shared" ref="DG55:DG56" si="736">+SUM(CU55:DF55)</f>
        <v>0</v>
      </c>
      <c r="DH55" s="118">
        <f t="shared" si="421"/>
        <v>0</v>
      </c>
      <c r="DI55" s="106"/>
      <c r="DJ55" s="106"/>
      <c r="DK55" s="106"/>
      <c r="DL55" s="106"/>
      <c r="DM55" s="106"/>
      <c r="DN55" s="106"/>
      <c r="DO55" s="106"/>
      <c r="DP55" s="106"/>
      <c r="DQ55" s="106"/>
      <c r="DR55" s="106"/>
      <c r="DS55" s="106"/>
      <c r="DT55" s="106"/>
      <c r="DU55" s="106">
        <f t="shared" ref="DU55:DU56" si="737">+SUM(DI55:DT55)</f>
        <v>0</v>
      </c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106">
        <f t="shared" ref="EI55:EI56" si="738">+SUM(DW55:EH55)</f>
        <v>0</v>
      </c>
      <c r="EJ55" s="7" t="str">
        <f t="shared" si="217"/>
        <v>VAS</v>
      </c>
      <c r="EK55" s="22">
        <f>+VLOOKUP($BD55,'Jan-25'!$A:$J,10,0)</f>
        <v>0</v>
      </c>
      <c r="EL55" s="22">
        <f>+VLOOKUP($BD55,'Feb-25'!$A:$J,10,0)</f>
        <v>0</v>
      </c>
      <c r="EM55" s="22">
        <f>+VLOOKUP($BD55,'Mar-25'!$A:$J,10,0)</f>
        <v>0</v>
      </c>
      <c r="EN55" s="22">
        <f>+VLOOKUP($BD55,'Apr-25'!$A:$J,10,0)</f>
        <v>0</v>
      </c>
      <c r="EO55" s="22">
        <f>+VLOOKUP($BD55,'May-25'!$A:$J,10,0)</f>
        <v>0</v>
      </c>
      <c r="EP55" s="22">
        <f>+VLOOKUP($BD55,'June-25'!$A:$J,10,0)</f>
        <v>0</v>
      </c>
      <c r="EQ55" s="22">
        <f>+VLOOKUP($BD55,'July-25'!$A:$J,10,0)</f>
        <v>0</v>
      </c>
      <c r="ER55" s="22">
        <f>+VLOOKUP($BD55,'Aug-25'!$A:$J,10,0)</f>
        <v>0</v>
      </c>
      <c r="ES55" s="22">
        <f>+VLOOKUP($BD55,'Sep-25'!$A:$J,10,0)</f>
        <v>0</v>
      </c>
      <c r="ET55" s="22">
        <f>+VLOOKUP($BD55,'Oct-25'!$A:$J,10,0)</f>
        <v>0</v>
      </c>
      <c r="EU55" s="22">
        <f>+VLOOKUP($BD55,'Nov-25'!$A:$J,10,0)</f>
        <v>0</v>
      </c>
      <c r="EV55" s="22">
        <f>+VLOOKUP($BD55,'Dec-25'!$A:$J,10,0)</f>
        <v>0</v>
      </c>
      <c r="EW55" s="22">
        <f t="shared" ref="EW55:EW56" si="739">+SUM(EK55:EV55)</f>
        <v>0</v>
      </c>
      <c r="EX55" s="118" t="e">
        <f t="shared" si="425"/>
        <v>#DIV/0!</v>
      </c>
      <c r="EY55" s="106"/>
      <c r="EZ55" s="106"/>
      <c r="FA55" s="106"/>
      <c r="FB55" s="106"/>
      <c r="FC55" s="106"/>
      <c r="FD55" s="106"/>
      <c r="FE55" s="106"/>
      <c r="FF55" s="106"/>
      <c r="FG55" s="106"/>
      <c r="FH55" s="106"/>
      <c r="FI55" s="106"/>
      <c r="FJ55" s="106"/>
      <c r="FK55" s="106">
        <f t="shared" ref="FK55:FK56" si="740">+SUM(EY55:FJ55)</f>
        <v>0</v>
      </c>
    </row>
    <row r="56" spans="1:167" ht="14.45" hidden="1" customHeight="1" outlineLevel="1">
      <c r="A56" s="106">
        <f t="shared" si="610"/>
        <v>0</v>
      </c>
      <c r="B56" s="106">
        <f t="shared" si="695"/>
        <v>0</v>
      </c>
      <c r="C56" s="106">
        <f t="shared" si="696"/>
        <v>0</v>
      </c>
      <c r="D56" s="106">
        <f t="shared" si="697"/>
        <v>0</v>
      </c>
      <c r="E56" s="106">
        <f t="shared" si="698"/>
        <v>0</v>
      </c>
      <c r="F56" s="106">
        <f t="shared" si="699"/>
        <v>0</v>
      </c>
      <c r="G56" s="106">
        <f t="shared" si="700"/>
        <v>0</v>
      </c>
      <c r="H56" s="106">
        <f t="shared" si="701"/>
        <v>0</v>
      </c>
      <c r="I56" s="106">
        <f t="shared" si="702"/>
        <v>0</v>
      </c>
      <c r="J56" s="106">
        <f t="shared" si="703"/>
        <v>0</v>
      </c>
      <c r="K56" s="106">
        <f t="shared" si="704"/>
        <v>0</v>
      </c>
      <c r="L56" s="106">
        <f t="shared" si="705"/>
        <v>0</v>
      </c>
      <c r="M56" s="106">
        <f t="shared" si="622"/>
        <v>0</v>
      </c>
      <c r="N56" s="10" t="s">
        <v>33</v>
      </c>
      <c r="O56" s="106">
        <f t="shared" si="706"/>
        <v>0</v>
      </c>
      <c r="P56" s="106">
        <f t="shared" si="707"/>
        <v>0</v>
      </c>
      <c r="Q56" s="106">
        <f t="shared" si="708"/>
        <v>0</v>
      </c>
      <c r="R56" s="106">
        <f t="shared" si="709"/>
        <v>0</v>
      </c>
      <c r="S56" s="106">
        <f t="shared" si="710"/>
        <v>0</v>
      </c>
      <c r="T56" s="106">
        <f t="shared" si="711"/>
        <v>0</v>
      </c>
      <c r="U56" s="106">
        <f t="shared" si="712"/>
        <v>0</v>
      </c>
      <c r="V56" s="106">
        <f t="shared" si="713"/>
        <v>0</v>
      </c>
      <c r="W56" s="106">
        <f t="shared" si="714"/>
        <v>0</v>
      </c>
      <c r="X56" s="106">
        <f t="shared" si="715"/>
        <v>0</v>
      </c>
      <c r="Y56" s="106">
        <f t="shared" si="716"/>
        <v>0</v>
      </c>
      <c r="Z56" s="106">
        <f t="shared" si="717"/>
        <v>0</v>
      </c>
      <c r="AA56" s="106">
        <f t="shared" si="718"/>
        <v>0</v>
      </c>
      <c r="AB56" s="118">
        <f t="shared" si="401"/>
        <v>0</v>
      </c>
      <c r="AC56" s="106">
        <f t="shared" si="719"/>
        <v>0</v>
      </c>
      <c r="AD56" s="106">
        <f t="shared" si="720"/>
        <v>0</v>
      </c>
      <c r="AE56" s="106">
        <f t="shared" si="721"/>
        <v>0</v>
      </c>
      <c r="AF56" s="106">
        <f t="shared" si="722"/>
        <v>0</v>
      </c>
      <c r="AG56" s="106">
        <f t="shared" si="723"/>
        <v>0</v>
      </c>
      <c r="AH56" s="106">
        <f t="shared" si="724"/>
        <v>0</v>
      </c>
      <c r="AI56" s="106">
        <f t="shared" si="725"/>
        <v>0</v>
      </c>
      <c r="AJ56" s="106">
        <f t="shared" si="726"/>
        <v>0</v>
      </c>
      <c r="AK56" s="106">
        <f t="shared" si="727"/>
        <v>0</v>
      </c>
      <c r="AL56" s="106">
        <f t="shared" si="728"/>
        <v>0</v>
      </c>
      <c r="AM56" s="106">
        <f t="shared" si="729"/>
        <v>0</v>
      </c>
      <c r="AN56" s="106">
        <f t="shared" si="730"/>
        <v>0</v>
      </c>
      <c r="AO56" s="106">
        <f t="shared" si="731"/>
        <v>0</v>
      </c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>
        <f t="shared" si="732"/>
        <v>0</v>
      </c>
      <c r="BD56" s="10" t="str">
        <f t="shared" si="47"/>
        <v>Cost of Good sold</v>
      </c>
      <c r="BE56" s="106">
        <f>+'Jan-25'!E56</f>
        <v>0</v>
      </c>
      <c r="BF56" s="106">
        <f>+'Feb-25'!E56</f>
        <v>0</v>
      </c>
      <c r="BG56" s="106">
        <f>+'Mar-25'!E56</f>
        <v>0</v>
      </c>
      <c r="BH56" s="106">
        <f>+'Apr-25'!E56</f>
        <v>0</v>
      </c>
      <c r="BI56" s="106">
        <f>+'May-25'!E56</f>
        <v>0</v>
      </c>
      <c r="BJ56" s="106">
        <f>+'June-25'!E56</f>
        <v>0</v>
      </c>
      <c r="BK56" s="106">
        <f>+'July-25'!E56</f>
        <v>0</v>
      </c>
      <c r="BL56" s="106">
        <f>+'Aug-25'!E56</f>
        <v>0</v>
      </c>
      <c r="BM56" s="106">
        <f>+'Sep-25'!E56</f>
        <v>0</v>
      </c>
      <c r="BN56" s="106">
        <f>+'Oct-25'!E56</f>
        <v>0</v>
      </c>
      <c r="BO56" s="106">
        <f>+'Nov-25'!E56</f>
        <v>0</v>
      </c>
      <c r="BP56" s="106">
        <f>+'Dec-25'!E56</f>
        <v>0</v>
      </c>
      <c r="BQ56" s="106">
        <f t="shared" si="733"/>
        <v>0</v>
      </c>
      <c r="BR56" s="118">
        <f t="shared" si="417"/>
        <v>0</v>
      </c>
      <c r="BS56" s="106"/>
      <c r="BT56" s="106"/>
      <c r="BU56" s="106"/>
      <c r="BV56" s="106"/>
      <c r="BW56" s="106"/>
      <c r="BX56" s="106"/>
      <c r="BY56" s="106"/>
      <c r="BZ56" s="106"/>
      <c r="CA56" s="106"/>
      <c r="CB56" s="106"/>
      <c r="CC56" s="106"/>
      <c r="CD56" s="106"/>
      <c r="CE56" s="106">
        <f t="shared" si="734"/>
        <v>0</v>
      </c>
      <c r="CF56" s="106"/>
      <c r="CG56" s="106"/>
      <c r="CH56" s="106"/>
      <c r="CI56" s="106"/>
      <c r="CJ56" s="106"/>
      <c r="CK56" s="106"/>
      <c r="CL56" s="106"/>
      <c r="CM56" s="106"/>
      <c r="CN56" s="106"/>
      <c r="CO56" s="106"/>
      <c r="CP56" s="106"/>
      <c r="CQ56" s="106"/>
      <c r="CR56" s="106"/>
      <c r="CS56" s="106">
        <f t="shared" si="735"/>
        <v>0</v>
      </c>
      <c r="CT56" s="10" t="str">
        <f t="shared" si="51"/>
        <v>Cost of Good sold</v>
      </c>
      <c r="CU56" s="106">
        <f>+'Jan-25'!H56</f>
        <v>0</v>
      </c>
      <c r="CV56" s="106">
        <f>+'Feb-25'!H56</f>
        <v>0</v>
      </c>
      <c r="CW56" s="106">
        <f>+'Mar-25'!H56</f>
        <v>0</v>
      </c>
      <c r="CX56" s="106">
        <f>+'Apr-25'!H56</f>
        <v>0</v>
      </c>
      <c r="CY56" s="106">
        <f>+'May-25'!H56</f>
        <v>0</v>
      </c>
      <c r="CZ56" s="106">
        <f>+'June-25'!H56</f>
        <v>0</v>
      </c>
      <c r="DA56" s="106">
        <f>+'July-25'!H56</f>
        <v>0</v>
      </c>
      <c r="DB56" s="106">
        <f>+'Aug-25'!H56</f>
        <v>0</v>
      </c>
      <c r="DC56" s="106">
        <f>+'Sep-25'!H56</f>
        <v>0</v>
      </c>
      <c r="DD56" s="106">
        <f>+'Oct-25'!H56</f>
        <v>0</v>
      </c>
      <c r="DE56" s="106">
        <f>+'Nov-25'!H56</f>
        <v>0</v>
      </c>
      <c r="DF56" s="106">
        <f>+'Dec-25'!H56</f>
        <v>0</v>
      </c>
      <c r="DG56" s="106">
        <f t="shared" si="736"/>
        <v>0</v>
      </c>
      <c r="DH56" s="118">
        <f t="shared" si="421"/>
        <v>0</v>
      </c>
      <c r="DI56" s="106"/>
      <c r="DJ56" s="106"/>
      <c r="DK56" s="106"/>
      <c r="DL56" s="106"/>
      <c r="DM56" s="106"/>
      <c r="DN56" s="106"/>
      <c r="DO56" s="106"/>
      <c r="DP56" s="106"/>
      <c r="DQ56" s="106"/>
      <c r="DR56" s="106"/>
      <c r="DS56" s="106"/>
      <c r="DT56" s="106"/>
      <c r="DU56" s="106">
        <f t="shared" si="737"/>
        <v>0</v>
      </c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106">
        <f t="shared" si="738"/>
        <v>0</v>
      </c>
      <c r="EJ56" s="10" t="str">
        <f t="shared" si="217"/>
        <v>Cost of Good sold</v>
      </c>
      <c r="EK56" s="106">
        <f>+'Jan-25'!J56</f>
        <v>0</v>
      </c>
      <c r="EL56" s="106">
        <f>+'Feb-25'!J56</f>
        <v>0</v>
      </c>
      <c r="EM56" s="106">
        <f>+'Mar-25'!J56</f>
        <v>0</v>
      </c>
      <c r="EN56" s="106">
        <f>+'Apr-25'!J56</f>
        <v>0</v>
      </c>
      <c r="EO56" s="106">
        <f>+'May-25'!J56</f>
        <v>0</v>
      </c>
      <c r="EP56" s="106">
        <f>+'June-25'!J56</f>
        <v>0</v>
      </c>
      <c r="EQ56" s="106">
        <f>+'July-25'!J56</f>
        <v>0</v>
      </c>
      <c r="ER56" s="106">
        <f>+'Aug-25'!J56</f>
        <v>0</v>
      </c>
      <c r="ES56" s="106">
        <f>+'Sep-25'!J56</f>
        <v>0</v>
      </c>
      <c r="ET56" s="106">
        <f>+'Oct-25'!J56</f>
        <v>0</v>
      </c>
      <c r="EU56" s="106">
        <f>+'Nov-25'!J56</f>
        <v>0</v>
      </c>
      <c r="EV56" s="106">
        <f>+'Dec-25'!J56</f>
        <v>0</v>
      </c>
      <c r="EW56" s="22">
        <f t="shared" si="739"/>
        <v>0</v>
      </c>
      <c r="EX56" s="118" t="e">
        <f t="shared" si="425"/>
        <v>#DIV/0!</v>
      </c>
      <c r="EY56" s="106"/>
      <c r="EZ56" s="106"/>
      <c r="FA56" s="106"/>
      <c r="FB56" s="106"/>
      <c r="FC56" s="106"/>
      <c r="FD56" s="106"/>
      <c r="FE56" s="106"/>
      <c r="FF56" s="106"/>
      <c r="FG56" s="106"/>
      <c r="FH56" s="106"/>
      <c r="FI56" s="106"/>
      <c r="FJ56" s="106"/>
      <c r="FK56" s="106">
        <f t="shared" si="740"/>
        <v>0</v>
      </c>
    </row>
    <row r="57" spans="1:167" ht="14.45" hidden="1" customHeight="1" outlineLevel="1">
      <c r="A57" s="58">
        <f>+A55-A56</f>
        <v>0</v>
      </c>
      <c r="B57" s="58">
        <f t="shared" ref="B57:M57" si="741">+B55-B56</f>
        <v>0</v>
      </c>
      <c r="C57" s="58">
        <f t="shared" si="741"/>
        <v>0</v>
      </c>
      <c r="D57" s="58">
        <f t="shared" si="741"/>
        <v>0</v>
      </c>
      <c r="E57" s="58">
        <f t="shared" si="741"/>
        <v>0</v>
      </c>
      <c r="F57" s="58">
        <f t="shared" si="741"/>
        <v>0</v>
      </c>
      <c r="G57" s="58">
        <f t="shared" si="741"/>
        <v>0</v>
      </c>
      <c r="H57" s="58">
        <f t="shared" si="741"/>
        <v>0</v>
      </c>
      <c r="I57" s="58">
        <f t="shared" si="741"/>
        <v>0</v>
      </c>
      <c r="J57" s="58">
        <f t="shared" si="741"/>
        <v>0</v>
      </c>
      <c r="K57" s="58">
        <f t="shared" si="741"/>
        <v>0</v>
      </c>
      <c r="L57" s="58">
        <f t="shared" si="741"/>
        <v>0</v>
      </c>
      <c r="M57" s="58">
        <f t="shared" si="741"/>
        <v>0</v>
      </c>
      <c r="N57" s="10" t="s">
        <v>20</v>
      </c>
      <c r="O57" s="58">
        <f>+O55-O56</f>
        <v>0</v>
      </c>
      <c r="P57" s="58">
        <f t="shared" ref="P57" si="742">+P55-P56</f>
        <v>0</v>
      </c>
      <c r="Q57" s="58">
        <f t="shared" ref="Q57" si="743">+Q55-Q56</f>
        <v>0</v>
      </c>
      <c r="R57" s="58">
        <f t="shared" ref="R57" si="744">+R55-R56</f>
        <v>0</v>
      </c>
      <c r="S57" s="58">
        <f t="shared" ref="S57" si="745">+S55-S56</f>
        <v>0</v>
      </c>
      <c r="T57" s="58">
        <f t="shared" ref="T57" si="746">+T55-T56</f>
        <v>0</v>
      </c>
      <c r="U57" s="58">
        <f t="shared" ref="U57" si="747">+U55-U56</f>
        <v>0</v>
      </c>
      <c r="V57" s="58">
        <f t="shared" ref="V57" si="748">+V55-V56</f>
        <v>0</v>
      </c>
      <c r="W57" s="58">
        <f t="shared" ref="W57" si="749">+W55-W56</f>
        <v>0</v>
      </c>
      <c r="X57" s="58">
        <f t="shared" ref="X57" si="750">+X55-X56</f>
        <v>0</v>
      </c>
      <c r="Y57" s="58">
        <f t="shared" ref="Y57" si="751">+Y55-Y56</f>
        <v>0</v>
      </c>
      <c r="Z57" s="58">
        <f t="shared" ref="Z57" si="752">+Z55-Z56</f>
        <v>0</v>
      </c>
      <c r="AA57" s="58">
        <f t="shared" ref="AA57" si="753">+AA55-AA56</f>
        <v>0</v>
      </c>
      <c r="AB57" s="118">
        <f t="shared" si="401"/>
        <v>0</v>
      </c>
      <c r="AC57" s="58">
        <f>+AC55-AC56</f>
        <v>0</v>
      </c>
      <c r="AD57" s="58">
        <f t="shared" ref="AD57" si="754">+AD55-AD56</f>
        <v>0</v>
      </c>
      <c r="AE57" s="58">
        <f t="shared" ref="AE57" si="755">+AE55-AE56</f>
        <v>0</v>
      </c>
      <c r="AF57" s="58">
        <f t="shared" ref="AF57" si="756">+AF55-AF56</f>
        <v>0</v>
      </c>
      <c r="AG57" s="58">
        <f t="shared" ref="AG57" si="757">+AG55-AG56</f>
        <v>0</v>
      </c>
      <c r="AH57" s="58">
        <f t="shared" ref="AH57" si="758">+AH55-AH56</f>
        <v>0</v>
      </c>
      <c r="AI57" s="58">
        <f t="shared" ref="AI57" si="759">+AI55-AI56</f>
        <v>0</v>
      </c>
      <c r="AJ57" s="58">
        <f t="shared" ref="AJ57" si="760">+AJ55-AJ56</f>
        <v>0</v>
      </c>
      <c r="AK57" s="58">
        <f t="shared" ref="AK57" si="761">+AK55-AK56</f>
        <v>0</v>
      </c>
      <c r="AL57" s="58">
        <f t="shared" ref="AL57" si="762">+AL55-AL56</f>
        <v>0</v>
      </c>
      <c r="AM57" s="58">
        <f t="shared" ref="AM57" si="763">+AM55-AM56</f>
        <v>0</v>
      </c>
      <c r="AN57" s="58">
        <f t="shared" ref="AN57" si="764">+AN55-AN56</f>
        <v>0</v>
      </c>
      <c r="AO57" s="58">
        <f t="shared" ref="AO57" si="765">+AO55-AO56</f>
        <v>0</v>
      </c>
      <c r="AQ57" s="58">
        <f>+AQ55-AQ56</f>
        <v>0</v>
      </c>
      <c r="AR57" s="58">
        <f t="shared" ref="AR57:BC57" si="766">+AR55-AR56</f>
        <v>0</v>
      </c>
      <c r="AS57" s="58">
        <f t="shared" si="766"/>
        <v>0</v>
      </c>
      <c r="AT57" s="58">
        <f t="shared" si="766"/>
        <v>0</v>
      </c>
      <c r="AU57" s="58">
        <f t="shared" si="766"/>
        <v>0</v>
      </c>
      <c r="AV57" s="58">
        <f t="shared" si="766"/>
        <v>0</v>
      </c>
      <c r="AW57" s="58">
        <f t="shared" si="766"/>
        <v>0</v>
      </c>
      <c r="AX57" s="58">
        <f t="shared" si="766"/>
        <v>0</v>
      </c>
      <c r="AY57" s="58">
        <f t="shared" si="766"/>
        <v>0</v>
      </c>
      <c r="AZ57" s="58">
        <f t="shared" si="766"/>
        <v>0</v>
      </c>
      <c r="BA57" s="58">
        <f t="shared" si="766"/>
        <v>0</v>
      </c>
      <c r="BB57" s="58">
        <f t="shared" si="766"/>
        <v>0</v>
      </c>
      <c r="BC57" s="58">
        <f t="shared" si="766"/>
        <v>0</v>
      </c>
      <c r="BD57" s="10" t="str">
        <f t="shared" si="47"/>
        <v>Gross Profit</v>
      </c>
      <c r="BE57" s="58">
        <f t="shared" ref="BE57:BP57" si="767">+BE55-BE56</f>
        <v>0</v>
      </c>
      <c r="BF57" s="58">
        <f t="shared" si="767"/>
        <v>0</v>
      </c>
      <c r="BG57" s="58">
        <f t="shared" si="767"/>
        <v>0</v>
      </c>
      <c r="BH57" s="58">
        <f t="shared" si="767"/>
        <v>0</v>
      </c>
      <c r="BI57" s="58">
        <f t="shared" si="767"/>
        <v>0</v>
      </c>
      <c r="BJ57" s="58">
        <f t="shared" si="767"/>
        <v>0</v>
      </c>
      <c r="BK57" s="58">
        <f t="shared" si="767"/>
        <v>0</v>
      </c>
      <c r="BL57" s="58">
        <f t="shared" si="767"/>
        <v>0</v>
      </c>
      <c r="BM57" s="58">
        <f t="shared" si="767"/>
        <v>0</v>
      </c>
      <c r="BN57" s="58">
        <f t="shared" si="767"/>
        <v>0</v>
      </c>
      <c r="BO57" s="58">
        <f t="shared" si="767"/>
        <v>0</v>
      </c>
      <c r="BP57" s="58">
        <f t="shared" si="767"/>
        <v>0</v>
      </c>
      <c r="BQ57" s="58">
        <f t="shared" ref="BQ57" si="768">+BQ55-BQ56</f>
        <v>0</v>
      </c>
      <c r="BR57" s="118">
        <f t="shared" si="417"/>
        <v>0</v>
      </c>
      <c r="BS57" s="58">
        <f t="shared" ref="BS57:CE57" si="769">+BS55-BS56</f>
        <v>0</v>
      </c>
      <c r="BT57" s="58">
        <f t="shared" si="769"/>
        <v>0</v>
      </c>
      <c r="BU57" s="58">
        <f t="shared" si="769"/>
        <v>0</v>
      </c>
      <c r="BV57" s="58">
        <f t="shared" si="769"/>
        <v>0</v>
      </c>
      <c r="BW57" s="58">
        <f t="shared" si="769"/>
        <v>0</v>
      </c>
      <c r="BX57" s="58">
        <f t="shared" si="769"/>
        <v>0</v>
      </c>
      <c r="BY57" s="58">
        <f t="shared" si="769"/>
        <v>0</v>
      </c>
      <c r="BZ57" s="58">
        <f t="shared" si="769"/>
        <v>0</v>
      </c>
      <c r="CA57" s="58">
        <f t="shared" si="769"/>
        <v>0</v>
      </c>
      <c r="CB57" s="58">
        <f t="shared" si="769"/>
        <v>0</v>
      </c>
      <c r="CC57" s="58">
        <f t="shared" si="769"/>
        <v>0</v>
      </c>
      <c r="CD57" s="58">
        <f t="shared" si="769"/>
        <v>0</v>
      </c>
      <c r="CE57" s="58">
        <f t="shared" si="769"/>
        <v>0</v>
      </c>
      <c r="CF57" s="106"/>
      <c r="CG57" s="58">
        <f>+CG55-CG56</f>
        <v>0</v>
      </c>
      <c r="CH57" s="58">
        <f t="shared" ref="CH57:CS57" si="770">+CH55-CH56</f>
        <v>0</v>
      </c>
      <c r="CI57" s="58">
        <f t="shared" si="770"/>
        <v>0</v>
      </c>
      <c r="CJ57" s="58">
        <f t="shared" si="770"/>
        <v>0</v>
      </c>
      <c r="CK57" s="58">
        <f t="shared" si="770"/>
        <v>0</v>
      </c>
      <c r="CL57" s="58">
        <f t="shared" si="770"/>
        <v>0</v>
      </c>
      <c r="CM57" s="58">
        <f t="shared" si="770"/>
        <v>0</v>
      </c>
      <c r="CN57" s="58">
        <f t="shared" si="770"/>
        <v>0</v>
      </c>
      <c r="CO57" s="58">
        <f t="shared" si="770"/>
        <v>0</v>
      </c>
      <c r="CP57" s="58">
        <f t="shared" si="770"/>
        <v>0</v>
      </c>
      <c r="CQ57" s="58">
        <f t="shared" si="770"/>
        <v>0</v>
      </c>
      <c r="CR57" s="58">
        <f t="shared" si="770"/>
        <v>0</v>
      </c>
      <c r="CS57" s="58">
        <f t="shared" si="770"/>
        <v>0</v>
      </c>
      <c r="CT57" s="10" t="str">
        <f t="shared" si="51"/>
        <v>Gross Profit</v>
      </c>
      <c r="CU57" s="58">
        <f t="shared" ref="CU57:DF57" si="771">+CU55-CU56</f>
        <v>0</v>
      </c>
      <c r="CV57" s="58">
        <f t="shared" si="771"/>
        <v>0</v>
      </c>
      <c r="CW57" s="58">
        <f t="shared" si="771"/>
        <v>0</v>
      </c>
      <c r="CX57" s="58">
        <f t="shared" si="771"/>
        <v>0</v>
      </c>
      <c r="CY57" s="58">
        <f t="shared" si="771"/>
        <v>0</v>
      </c>
      <c r="CZ57" s="58">
        <f t="shared" si="771"/>
        <v>0</v>
      </c>
      <c r="DA57" s="58">
        <f t="shared" si="771"/>
        <v>0</v>
      </c>
      <c r="DB57" s="58">
        <f t="shared" si="771"/>
        <v>0</v>
      </c>
      <c r="DC57" s="58">
        <f t="shared" si="771"/>
        <v>0</v>
      </c>
      <c r="DD57" s="58">
        <f t="shared" si="771"/>
        <v>0</v>
      </c>
      <c r="DE57" s="58">
        <f t="shared" si="771"/>
        <v>0</v>
      </c>
      <c r="DF57" s="58">
        <f t="shared" si="771"/>
        <v>0</v>
      </c>
      <c r="DG57" s="58">
        <f t="shared" ref="DG57" si="772">+DG55-DG56</f>
        <v>0</v>
      </c>
      <c r="DH57" s="118">
        <f t="shared" si="421"/>
        <v>0</v>
      </c>
      <c r="DI57" s="58">
        <f t="shared" ref="DI57:DU57" si="773">+DI55-DI56</f>
        <v>0</v>
      </c>
      <c r="DJ57" s="58">
        <f t="shared" si="773"/>
        <v>0</v>
      </c>
      <c r="DK57" s="58">
        <f t="shared" si="773"/>
        <v>0</v>
      </c>
      <c r="DL57" s="58">
        <f t="shared" si="773"/>
        <v>0</v>
      </c>
      <c r="DM57" s="58">
        <f t="shared" si="773"/>
        <v>0</v>
      </c>
      <c r="DN57" s="58">
        <f t="shared" si="773"/>
        <v>0</v>
      </c>
      <c r="DO57" s="58">
        <f t="shared" si="773"/>
        <v>0</v>
      </c>
      <c r="DP57" s="58">
        <f t="shared" si="773"/>
        <v>0</v>
      </c>
      <c r="DQ57" s="58">
        <f t="shared" si="773"/>
        <v>0</v>
      </c>
      <c r="DR57" s="58">
        <f t="shared" si="773"/>
        <v>0</v>
      </c>
      <c r="DS57" s="58">
        <f t="shared" si="773"/>
        <v>0</v>
      </c>
      <c r="DT57" s="58">
        <f t="shared" si="773"/>
        <v>0</v>
      </c>
      <c r="DU57" s="58">
        <f t="shared" si="773"/>
        <v>0</v>
      </c>
      <c r="DW57" s="28">
        <f t="shared" ref="DW57:EI57" si="774">+DW55-DW56</f>
        <v>0</v>
      </c>
      <c r="DX57" s="28">
        <f t="shared" si="774"/>
        <v>0</v>
      </c>
      <c r="DY57" s="28">
        <f t="shared" si="774"/>
        <v>0</v>
      </c>
      <c r="DZ57" s="28">
        <f t="shared" si="774"/>
        <v>0</v>
      </c>
      <c r="EA57" s="28">
        <f t="shared" si="774"/>
        <v>0</v>
      </c>
      <c r="EB57" s="28">
        <f t="shared" si="774"/>
        <v>0</v>
      </c>
      <c r="EC57" s="28">
        <f t="shared" si="774"/>
        <v>0</v>
      </c>
      <c r="ED57" s="28">
        <f t="shared" si="774"/>
        <v>0</v>
      </c>
      <c r="EE57" s="28">
        <f t="shared" si="774"/>
        <v>0</v>
      </c>
      <c r="EF57" s="28">
        <f t="shared" si="774"/>
        <v>0</v>
      </c>
      <c r="EG57" s="28">
        <f t="shared" si="774"/>
        <v>0</v>
      </c>
      <c r="EH57" s="28">
        <f t="shared" si="774"/>
        <v>0</v>
      </c>
      <c r="EI57" s="58">
        <f t="shared" si="774"/>
        <v>0</v>
      </c>
      <c r="EJ57" s="10" t="str">
        <f t="shared" si="217"/>
        <v>Gross Profit</v>
      </c>
      <c r="EK57" s="28">
        <f t="shared" ref="EK57:EV57" si="775">+EK55-EK56</f>
        <v>0</v>
      </c>
      <c r="EL57" s="28">
        <f t="shared" si="775"/>
        <v>0</v>
      </c>
      <c r="EM57" s="28">
        <f t="shared" si="775"/>
        <v>0</v>
      </c>
      <c r="EN57" s="28">
        <f t="shared" si="775"/>
        <v>0</v>
      </c>
      <c r="EO57" s="28">
        <f t="shared" si="775"/>
        <v>0</v>
      </c>
      <c r="EP57" s="28">
        <f t="shared" si="775"/>
        <v>0</v>
      </c>
      <c r="EQ57" s="28">
        <f t="shared" si="775"/>
        <v>0</v>
      </c>
      <c r="ER57" s="28">
        <f t="shared" si="775"/>
        <v>0</v>
      </c>
      <c r="ES57" s="28">
        <f t="shared" si="775"/>
        <v>0</v>
      </c>
      <c r="ET57" s="28">
        <f t="shared" si="775"/>
        <v>0</v>
      </c>
      <c r="EU57" s="28">
        <f t="shared" si="775"/>
        <v>0</v>
      </c>
      <c r="EV57" s="28">
        <f t="shared" si="775"/>
        <v>0</v>
      </c>
      <c r="EW57" s="28">
        <f t="shared" ref="EW57" si="776">+EW55-EW56</f>
        <v>0</v>
      </c>
      <c r="EX57" s="118" t="e">
        <f t="shared" si="425"/>
        <v>#DIV/0!</v>
      </c>
      <c r="EY57" s="58">
        <f t="shared" ref="EY57:FK57" si="777">+EY55-EY56</f>
        <v>0</v>
      </c>
      <c r="EZ57" s="58">
        <f t="shared" si="777"/>
        <v>0</v>
      </c>
      <c r="FA57" s="58">
        <f t="shared" si="777"/>
        <v>0</v>
      </c>
      <c r="FB57" s="58">
        <f t="shared" si="777"/>
        <v>0</v>
      </c>
      <c r="FC57" s="58">
        <f t="shared" si="777"/>
        <v>0</v>
      </c>
      <c r="FD57" s="58">
        <f t="shared" si="777"/>
        <v>0</v>
      </c>
      <c r="FE57" s="58">
        <f t="shared" si="777"/>
        <v>0</v>
      </c>
      <c r="FF57" s="58">
        <f t="shared" si="777"/>
        <v>0</v>
      </c>
      <c r="FG57" s="58">
        <f t="shared" si="777"/>
        <v>0</v>
      </c>
      <c r="FH57" s="58">
        <f t="shared" si="777"/>
        <v>0</v>
      </c>
      <c r="FI57" s="58">
        <f t="shared" si="777"/>
        <v>0</v>
      </c>
      <c r="FJ57" s="58">
        <f t="shared" si="777"/>
        <v>0</v>
      </c>
      <c r="FK57" s="58">
        <f t="shared" si="777"/>
        <v>0</v>
      </c>
    </row>
    <row r="58" spans="1:167" ht="14.45" hidden="1" customHeight="1" outlineLevel="1">
      <c r="A58" s="58">
        <f>+A54+A57</f>
        <v>0</v>
      </c>
      <c r="B58" s="58">
        <f t="shared" ref="B58:M58" si="778">+B54+B57</f>
        <v>0</v>
      </c>
      <c r="C58" s="58">
        <f t="shared" si="778"/>
        <v>0</v>
      </c>
      <c r="D58" s="58">
        <f t="shared" si="778"/>
        <v>0</v>
      </c>
      <c r="E58" s="58">
        <f t="shared" si="778"/>
        <v>0</v>
      </c>
      <c r="F58" s="58">
        <f t="shared" si="778"/>
        <v>0</v>
      </c>
      <c r="G58" s="58">
        <f t="shared" si="778"/>
        <v>0</v>
      </c>
      <c r="H58" s="58">
        <f t="shared" si="778"/>
        <v>0</v>
      </c>
      <c r="I58" s="58">
        <f t="shared" si="778"/>
        <v>0</v>
      </c>
      <c r="J58" s="58">
        <f t="shared" si="778"/>
        <v>0</v>
      </c>
      <c r="K58" s="58">
        <f t="shared" si="778"/>
        <v>0</v>
      </c>
      <c r="L58" s="58">
        <f t="shared" si="778"/>
        <v>0</v>
      </c>
      <c r="M58" s="58">
        <f t="shared" si="778"/>
        <v>0</v>
      </c>
      <c r="N58" s="10" t="s">
        <v>45</v>
      </c>
      <c r="O58" s="58">
        <f>+O54+O57</f>
        <v>0</v>
      </c>
      <c r="P58" s="58">
        <f t="shared" ref="P58" si="779">+P54+P57</f>
        <v>0</v>
      </c>
      <c r="Q58" s="58">
        <f t="shared" ref="Q58" si="780">+Q54+Q57</f>
        <v>0</v>
      </c>
      <c r="R58" s="58">
        <f t="shared" ref="R58" si="781">+R54+R57</f>
        <v>0</v>
      </c>
      <c r="S58" s="58">
        <f t="shared" ref="S58" si="782">+S54+S57</f>
        <v>0</v>
      </c>
      <c r="T58" s="58">
        <f t="shared" ref="T58" si="783">+T54+T57</f>
        <v>0</v>
      </c>
      <c r="U58" s="58">
        <f t="shared" ref="U58" si="784">+U54+U57</f>
        <v>0</v>
      </c>
      <c r="V58" s="58">
        <f t="shared" ref="V58" si="785">+V54+V57</f>
        <v>0</v>
      </c>
      <c r="W58" s="58">
        <f t="shared" ref="W58" si="786">+W54+W57</f>
        <v>0</v>
      </c>
      <c r="X58" s="58">
        <f t="shared" ref="X58" si="787">+X54+X57</f>
        <v>0</v>
      </c>
      <c r="Y58" s="58">
        <f t="shared" ref="Y58" si="788">+Y54+Y57</f>
        <v>0</v>
      </c>
      <c r="Z58" s="58">
        <f t="shared" ref="Z58" si="789">+Z54+Z57</f>
        <v>0</v>
      </c>
      <c r="AA58" s="58">
        <f t="shared" ref="AA58" si="790">+AA54+AA57</f>
        <v>0</v>
      </c>
      <c r="AB58" s="118">
        <f t="shared" si="401"/>
        <v>0</v>
      </c>
      <c r="AC58" s="58">
        <f>+AC54+AC57</f>
        <v>0</v>
      </c>
      <c r="AD58" s="58">
        <f t="shared" ref="AD58" si="791">+AD54+AD57</f>
        <v>0</v>
      </c>
      <c r="AE58" s="58">
        <f t="shared" ref="AE58" si="792">+AE54+AE57</f>
        <v>0</v>
      </c>
      <c r="AF58" s="58">
        <f t="shared" ref="AF58" si="793">+AF54+AF57</f>
        <v>0</v>
      </c>
      <c r="AG58" s="58">
        <f t="shared" ref="AG58" si="794">+AG54+AG57</f>
        <v>0</v>
      </c>
      <c r="AH58" s="58">
        <f t="shared" ref="AH58" si="795">+AH54+AH57</f>
        <v>0</v>
      </c>
      <c r="AI58" s="58">
        <f t="shared" ref="AI58" si="796">+AI54+AI57</f>
        <v>0</v>
      </c>
      <c r="AJ58" s="58">
        <f t="shared" ref="AJ58" si="797">+AJ54+AJ57</f>
        <v>0</v>
      </c>
      <c r="AK58" s="58">
        <f t="shared" ref="AK58" si="798">+AK54+AK57</f>
        <v>0</v>
      </c>
      <c r="AL58" s="58">
        <f t="shared" ref="AL58" si="799">+AL54+AL57</f>
        <v>0</v>
      </c>
      <c r="AM58" s="58">
        <f t="shared" ref="AM58" si="800">+AM54+AM57</f>
        <v>0</v>
      </c>
      <c r="AN58" s="58">
        <f t="shared" ref="AN58" si="801">+AN54+AN57</f>
        <v>0</v>
      </c>
      <c r="AO58" s="58">
        <f t="shared" ref="AO58" si="802">+AO54+AO57</f>
        <v>0</v>
      </c>
      <c r="AQ58" s="58">
        <f>+AQ54+AQ57</f>
        <v>0</v>
      </c>
      <c r="AR58" s="58">
        <f t="shared" ref="AR58:BC58" si="803">+AR54+AR57</f>
        <v>0</v>
      </c>
      <c r="AS58" s="58">
        <f t="shared" si="803"/>
        <v>0</v>
      </c>
      <c r="AT58" s="58">
        <f t="shared" si="803"/>
        <v>0</v>
      </c>
      <c r="AU58" s="58">
        <f t="shared" si="803"/>
        <v>0</v>
      </c>
      <c r="AV58" s="58">
        <f t="shared" si="803"/>
        <v>0</v>
      </c>
      <c r="AW58" s="58">
        <f t="shared" si="803"/>
        <v>0</v>
      </c>
      <c r="AX58" s="58">
        <f t="shared" si="803"/>
        <v>0</v>
      </c>
      <c r="AY58" s="58">
        <f t="shared" si="803"/>
        <v>0</v>
      </c>
      <c r="AZ58" s="58">
        <f t="shared" si="803"/>
        <v>0</v>
      </c>
      <c r="BA58" s="58">
        <f t="shared" si="803"/>
        <v>0</v>
      </c>
      <c r="BB58" s="58">
        <f t="shared" si="803"/>
        <v>0</v>
      </c>
      <c r="BC58" s="58">
        <f t="shared" si="803"/>
        <v>0</v>
      </c>
      <c r="BD58" s="10" t="str">
        <f t="shared" si="47"/>
        <v>Total GP</v>
      </c>
      <c r="BE58" s="58">
        <f t="shared" ref="BE58:BP58" si="804">+BE54+BE57</f>
        <v>0</v>
      </c>
      <c r="BF58" s="58">
        <f t="shared" si="804"/>
        <v>0</v>
      </c>
      <c r="BG58" s="58">
        <f t="shared" si="804"/>
        <v>0</v>
      </c>
      <c r="BH58" s="58">
        <f t="shared" si="804"/>
        <v>0</v>
      </c>
      <c r="BI58" s="58">
        <f t="shared" si="804"/>
        <v>0</v>
      </c>
      <c r="BJ58" s="58">
        <f t="shared" si="804"/>
        <v>0</v>
      </c>
      <c r="BK58" s="58">
        <f t="shared" si="804"/>
        <v>0</v>
      </c>
      <c r="BL58" s="58">
        <f t="shared" si="804"/>
        <v>0</v>
      </c>
      <c r="BM58" s="58">
        <f t="shared" si="804"/>
        <v>0</v>
      </c>
      <c r="BN58" s="58">
        <f t="shared" si="804"/>
        <v>0</v>
      </c>
      <c r="BO58" s="58">
        <f t="shared" si="804"/>
        <v>0</v>
      </c>
      <c r="BP58" s="58">
        <f t="shared" si="804"/>
        <v>0</v>
      </c>
      <c r="BQ58" s="58">
        <f t="shared" ref="BQ58" si="805">+BQ54+BQ57</f>
        <v>0</v>
      </c>
      <c r="BR58" s="118">
        <f t="shared" si="417"/>
        <v>0</v>
      </c>
      <c r="BS58" s="58">
        <f t="shared" ref="BS58:CE58" si="806">+BS54+BS57</f>
        <v>0</v>
      </c>
      <c r="BT58" s="58">
        <f t="shared" si="806"/>
        <v>0</v>
      </c>
      <c r="BU58" s="58">
        <f t="shared" si="806"/>
        <v>0</v>
      </c>
      <c r="BV58" s="58">
        <f t="shared" si="806"/>
        <v>0</v>
      </c>
      <c r="BW58" s="58">
        <f t="shared" si="806"/>
        <v>0</v>
      </c>
      <c r="BX58" s="58">
        <f t="shared" si="806"/>
        <v>0</v>
      </c>
      <c r="BY58" s="58">
        <f t="shared" si="806"/>
        <v>0</v>
      </c>
      <c r="BZ58" s="58">
        <f t="shared" si="806"/>
        <v>0</v>
      </c>
      <c r="CA58" s="58">
        <f t="shared" si="806"/>
        <v>0</v>
      </c>
      <c r="CB58" s="58">
        <f t="shared" si="806"/>
        <v>0</v>
      </c>
      <c r="CC58" s="58">
        <f t="shared" si="806"/>
        <v>0</v>
      </c>
      <c r="CD58" s="58">
        <f t="shared" si="806"/>
        <v>0</v>
      </c>
      <c r="CE58" s="58">
        <f t="shared" si="806"/>
        <v>0</v>
      </c>
      <c r="CF58" s="106"/>
      <c r="CG58" s="58">
        <f>+CG54+CG57</f>
        <v>0</v>
      </c>
      <c r="CH58" s="58">
        <f t="shared" ref="CH58:CS58" si="807">+CH54+CH57</f>
        <v>0</v>
      </c>
      <c r="CI58" s="58">
        <f t="shared" si="807"/>
        <v>0</v>
      </c>
      <c r="CJ58" s="58">
        <f t="shared" si="807"/>
        <v>0</v>
      </c>
      <c r="CK58" s="58">
        <f t="shared" si="807"/>
        <v>0</v>
      </c>
      <c r="CL58" s="58">
        <f t="shared" si="807"/>
        <v>0</v>
      </c>
      <c r="CM58" s="58">
        <f t="shared" si="807"/>
        <v>0</v>
      </c>
      <c r="CN58" s="58">
        <f t="shared" si="807"/>
        <v>0</v>
      </c>
      <c r="CO58" s="58">
        <f t="shared" si="807"/>
        <v>0</v>
      </c>
      <c r="CP58" s="58">
        <f t="shared" si="807"/>
        <v>0</v>
      </c>
      <c r="CQ58" s="58">
        <f t="shared" si="807"/>
        <v>0</v>
      </c>
      <c r="CR58" s="58">
        <f t="shared" si="807"/>
        <v>0</v>
      </c>
      <c r="CS58" s="58">
        <f t="shared" si="807"/>
        <v>0</v>
      </c>
      <c r="CT58" s="10" t="str">
        <f t="shared" si="51"/>
        <v>Total GP</v>
      </c>
      <c r="CU58" s="58">
        <f t="shared" ref="CU58:DF58" si="808">+CU54+CU57</f>
        <v>0</v>
      </c>
      <c r="CV58" s="58">
        <f t="shared" si="808"/>
        <v>0</v>
      </c>
      <c r="CW58" s="58">
        <f t="shared" si="808"/>
        <v>0</v>
      </c>
      <c r="CX58" s="58">
        <f t="shared" si="808"/>
        <v>0</v>
      </c>
      <c r="CY58" s="58">
        <f t="shared" si="808"/>
        <v>0</v>
      </c>
      <c r="CZ58" s="58">
        <f t="shared" si="808"/>
        <v>0</v>
      </c>
      <c r="DA58" s="58">
        <f t="shared" si="808"/>
        <v>0</v>
      </c>
      <c r="DB58" s="58">
        <f t="shared" si="808"/>
        <v>0</v>
      </c>
      <c r="DC58" s="58">
        <f t="shared" si="808"/>
        <v>0</v>
      </c>
      <c r="DD58" s="58">
        <f t="shared" si="808"/>
        <v>0</v>
      </c>
      <c r="DE58" s="58">
        <f t="shared" si="808"/>
        <v>0</v>
      </c>
      <c r="DF58" s="58">
        <f t="shared" si="808"/>
        <v>0</v>
      </c>
      <c r="DG58" s="58">
        <f t="shared" ref="DG58" si="809">+DG54+DG57</f>
        <v>0</v>
      </c>
      <c r="DH58" s="118">
        <f t="shared" si="421"/>
        <v>0</v>
      </c>
      <c r="DI58" s="58">
        <f t="shared" ref="DI58:DU58" si="810">+DI54+DI57</f>
        <v>0</v>
      </c>
      <c r="DJ58" s="58">
        <f t="shared" si="810"/>
        <v>0</v>
      </c>
      <c r="DK58" s="58">
        <f t="shared" si="810"/>
        <v>0</v>
      </c>
      <c r="DL58" s="58">
        <f t="shared" si="810"/>
        <v>0</v>
      </c>
      <c r="DM58" s="58">
        <f t="shared" si="810"/>
        <v>0</v>
      </c>
      <c r="DN58" s="58">
        <f t="shared" si="810"/>
        <v>0</v>
      </c>
      <c r="DO58" s="58">
        <f t="shared" si="810"/>
        <v>0</v>
      </c>
      <c r="DP58" s="58">
        <f t="shared" si="810"/>
        <v>0</v>
      </c>
      <c r="DQ58" s="58">
        <f t="shared" si="810"/>
        <v>0</v>
      </c>
      <c r="DR58" s="58">
        <f t="shared" si="810"/>
        <v>0</v>
      </c>
      <c r="DS58" s="58">
        <f t="shared" si="810"/>
        <v>0</v>
      </c>
      <c r="DT58" s="58">
        <f t="shared" si="810"/>
        <v>0</v>
      </c>
      <c r="DU58" s="58">
        <f t="shared" si="810"/>
        <v>0</v>
      </c>
      <c r="DW58" s="28">
        <f t="shared" ref="DW58:EI58" si="811">+DW54+DW57</f>
        <v>0</v>
      </c>
      <c r="DX58" s="28">
        <f t="shared" si="811"/>
        <v>0</v>
      </c>
      <c r="DY58" s="28">
        <f t="shared" si="811"/>
        <v>0</v>
      </c>
      <c r="DZ58" s="28">
        <f t="shared" si="811"/>
        <v>0</v>
      </c>
      <c r="EA58" s="28">
        <f t="shared" si="811"/>
        <v>0</v>
      </c>
      <c r="EB58" s="28">
        <f t="shared" si="811"/>
        <v>0</v>
      </c>
      <c r="EC58" s="28">
        <f t="shared" si="811"/>
        <v>0</v>
      </c>
      <c r="ED58" s="28">
        <f t="shared" si="811"/>
        <v>0</v>
      </c>
      <c r="EE58" s="28">
        <f t="shared" si="811"/>
        <v>0</v>
      </c>
      <c r="EF58" s="28">
        <f t="shared" si="811"/>
        <v>0</v>
      </c>
      <c r="EG58" s="28">
        <f t="shared" si="811"/>
        <v>0</v>
      </c>
      <c r="EH58" s="28">
        <f t="shared" si="811"/>
        <v>0</v>
      </c>
      <c r="EI58" s="58">
        <f t="shared" si="811"/>
        <v>0</v>
      </c>
      <c r="EJ58" s="10" t="str">
        <f t="shared" si="217"/>
        <v>Total GP</v>
      </c>
      <c r="EK58" s="28">
        <f t="shared" ref="EK58:EV58" si="812">+EK54+EK57</f>
        <v>0</v>
      </c>
      <c r="EL58" s="28">
        <f t="shared" si="812"/>
        <v>0</v>
      </c>
      <c r="EM58" s="28">
        <f t="shared" si="812"/>
        <v>0</v>
      </c>
      <c r="EN58" s="28">
        <f t="shared" si="812"/>
        <v>0</v>
      </c>
      <c r="EO58" s="28">
        <f t="shared" si="812"/>
        <v>0</v>
      </c>
      <c r="EP58" s="28">
        <f t="shared" si="812"/>
        <v>0</v>
      </c>
      <c r="EQ58" s="28">
        <f t="shared" si="812"/>
        <v>0</v>
      </c>
      <c r="ER58" s="28">
        <f t="shared" si="812"/>
        <v>0</v>
      </c>
      <c r="ES58" s="28">
        <f t="shared" si="812"/>
        <v>0</v>
      </c>
      <c r="ET58" s="28">
        <f t="shared" si="812"/>
        <v>0</v>
      </c>
      <c r="EU58" s="28">
        <f t="shared" si="812"/>
        <v>0</v>
      </c>
      <c r="EV58" s="28">
        <f t="shared" si="812"/>
        <v>0</v>
      </c>
      <c r="EW58" s="28">
        <f t="shared" ref="EW58" si="813">+EW54+EW57</f>
        <v>0</v>
      </c>
      <c r="EX58" s="118" t="e">
        <f t="shared" si="425"/>
        <v>#DIV/0!</v>
      </c>
      <c r="EY58" s="58">
        <f t="shared" ref="EY58:FK58" si="814">+EY54+EY57</f>
        <v>0</v>
      </c>
      <c r="EZ58" s="58">
        <f t="shared" si="814"/>
        <v>0</v>
      </c>
      <c r="FA58" s="58">
        <f t="shared" si="814"/>
        <v>0</v>
      </c>
      <c r="FB58" s="58">
        <f t="shared" si="814"/>
        <v>0</v>
      </c>
      <c r="FC58" s="58">
        <f t="shared" si="814"/>
        <v>0</v>
      </c>
      <c r="FD58" s="58">
        <f t="shared" si="814"/>
        <v>0</v>
      </c>
      <c r="FE58" s="58">
        <f t="shared" si="814"/>
        <v>0</v>
      </c>
      <c r="FF58" s="58">
        <f t="shared" si="814"/>
        <v>0</v>
      </c>
      <c r="FG58" s="58">
        <f t="shared" si="814"/>
        <v>0</v>
      </c>
      <c r="FH58" s="58">
        <f t="shared" si="814"/>
        <v>0</v>
      </c>
      <c r="FI58" s="58">
        <f t="shared" si="814"/>
        <v>0</v>
      </c>
      <c r="FJ58" s="58">
        <f t="shared" si="814"/>
        <v>0</v>
      </c>
      <c r="FK58" s="58">
        <f t="shared" si="814"/>
        <v>0</v>
      </c>
    </row>
    <row r="59" spans="1:167" ht="14.45" hidden="1" customHeight="1" outlineLevel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18">
        <f t="shared" si="401"/>
        <v>0</v>
      </c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45">
        <f t="shared" si="47"/>
        <v>0</v>
      </c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6"/>
      <c r="BQ59" s="106"/>
      <c r="BR59" s="118">
        <f t="shared" si="417"/>
        <v>0</v>
      </c>
      <c r="BS59" s="106"/>
      <c r="BT59" s="106"/>
      <c r="BU59" s="106"/>
      <c r="BV59" s="106"/>
      <c r="BW59" s="106"/>
      <c r="BX59" s="106"/>
      <c r="BY59" s="106"/>
      <c r="BZ59" s="106"/>
      <c r="CA59" s="106"/>
      <c r="CB59" s="106"/>
      <c r="CC59" s="106"/>
      <c r="CD59" s="106"/>
      <c r="CE59" s="106"/>
      <c r="CF59" s="106"/>
      <c r="CG59" s="106"/>
      <c r="CH59" s="106"/>
      <c r="CI59" s="106"/>
      <c r="CJ59" s="106"/>
      <c r="CK59" s="106"/>
      <c r="CL59" s="106"/>
      <c r="CM59" s="106"/>
      <c r="CN59" s="106"/>
      <c r="CO59" s="106"/>
      <c r="CP59" s="106"/>
      <c r="CQ59" s="106"/>
      <c r="CR59" s="106"/>
      <c r="CS59" s="106"/>
      <c r="CT59" s="45">
        <f t="shared" si="51"/>
        <v>0</v>
      </c>
      <c r="CU59" s="106"/>
      <c r="CV59" s="106"/>
      <c r="CW59" s="106"/>
      <c r="CX59" s="106"/>
      <c r="CY59" s="106"/>
      <c r="CZ59" s="106"/>
      <c r="DA59" s="106"/>
      <c r="DB59" s="106"/>
      <c r="DC59" s="106"/>
      <c r="DD59" s="106"/>
      <c r="DE59" s="106"/>
      <c r="DF59" s="106"/>
      <c r="DG59" s="106"/>
      <c r="DH59" s="118">
        <f t="shared" si="421"/>
        <v>0</v>
      </c>
      <c r="DI59" s="106"/>
      <c r="DJ59" s="106"/>
      <c r="DK59" s="106"/>
      <c r="DL59" s="106"/>
      <c r="DM59" s="106"/>
      <c r="DN59" s="106"/>
      <c r="DO59" s="106"/>
      <c r="DP59" s="106"/>
      <c r="DQ59" s="106"/>
      <c r="DR59" s="106"/>
      <c r="DS59" s="106"/>
      <c r="DT59" s="106"/>
      <c r="DU59" s="106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106"/>
      <c r="EJ59" s="45">
        <f t="shared" si="217"/>
        <v>0</v>
      </c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118" t="e">
        <f t="shared" si="425"/>
        <v>#DIV/0!</v>
      </c>
      <c r="EY59" s="106"/>
      <c r="EZ59" s="106"/>
      <c r="FA59" s="106"/>
      <c r="FB59" s="106"/>
      <c r="FC59" s="106"/>
      <c r="FD59" s="106"/>
      <c r="FE59" s="106"/>
      <c r="FF59" s="106"/>
      <c r="FG59" s="106"/>
      <c r="FH59" s="106"/>
      <c r="FI59" s="106"/>
      <c r="FJ59" s="106"/>
      <c r="FK59" s="106"/>
    </row>
    <row r="60" spans="1:167" ht="14.45" customHeight="1" collapsed="1">
      <c r="A60" s="58">
        <f>+SUM(A61:A69)</f>
        <v>906324</v>
      </c>
      <c r="B60" s="58">
        <f t="shared" ref="B60:M60" si="815">+SUM(B61:B69)</f>
        <v>785488</v>
      </c>
      <c r="C60" s="58">
        <f t="shared" si="815"/>
        <v>965027</v>
      </c>
      <c r="D60" s="58">
        <f t="shared" si="815"/>
        <v>631556</v>
      </c>
      <c r="E60" s="58">
        <f t="shared" si="815"/>
        <v>482871</v>
      </c>
      <c r="F60" s="58">
        <f t="shared" si="815"/>
        <v>912123</v>
      </c>
      <c r="G60" s="58">
        <f t="shared" si="815"/>
        <v>1171133</v>
      </c>
      <c r="H60" s="58">
        <f t="shared" si="815"/>
        <v>922965</v>
      </c>
      <c r="I60" s="58">
        <f t="shared" si="815"/>
        <v>918861</v>
      </c>
      <c r="J60" s="58">
        <f t="shared" si="815"/>
        <v>881933</v>
      </c>
      <c r="K60" s="58">
        <f t="shared" si="815"/>
        <v>811838</v>
      </c>
      <c r="L60" s="58">
        <f t="shared" si="815"/>
        <v>1031506</v>
      </c>
      <c r="M60" s="58">
        <f t="shared" si="815"/>
        <v>10421625</v>
      </c>
      <c r="N60" s="6" t="s">
        <v>46</v>
      </c>
      <c r="O60" s="58">
        <f>+SUM(O61:O69)</f>
        <v>1016166.746</v>
      </c>
      <c r="P60" s="58">
        <f t="shared" ref="P60" si="816">+SUM(P61:P69)</f>
        <v>746298.33219999995</v>
      </c>
      <c r="Q60" s="58">
        <f t="shared" ref="Q60" si="817">+SUM(Q61:Q69)</f>
        <v>1188443.8970000001</v>
      </c>
      <c r="R60" s="58">
        <f t="shared" ref="R60" si="818">+SUM(R61:R69)</f>
        <v>494312.69099999999</v>
      </c>
      <c r="S60" s="58">
        <f t="shared" ref="S60" si="819">+SUM(S61:S69)</f>
        <v>700542</v>
      </c>
      <c r="T60" s="58">
        <f t="shared" ref="T60" si="820">+SUM(T61:T69)</f>
        <v>844347.5024</v>
      </c>
      <c r="U60" s="58">
        <f t="shared" ref="U60" si="821">+SUM(U61:U69)</f>
        <v>1225870.5160000001</v>
      </c>
      <c r="V60" s="58">
        <f t="shared" ref="V60" si="822">+SUM(V61:V69)</f>
        <v>1002368.0186</v>
      </c>
      <c r="W60" s="58">
        <f t="shared" ref="W60" si="823">+SUM(W61:W69)</f>
        <v>807691.21719999996</v>
      </c>
      <c r="X60" s="58">
        <f t="shared" ref="X60" si="824">+SUM(X61:X69)</f>
        <v>853848.73419999995</v>
      </c>
      <c r="Y60" s="58">
        <f t="shared" ref="Y60" si="825">+SUM(Y61:Y69)</f>
        <v>0</v>
      </c>
      <c r="Z60" s="58">
        <f t="shared" ref="Z60" si="826">+SUM(Z61:Z69)</f>
        <v>0</v>
      </c>
      <c r="AA60" s="58">
        <f t="shared" ref="AA60" si="827">+SUM(AA61:AA69)</f>
        <v>8879889.6546</v>
      </c>
      <c r="AB60" s="118">
        <f t="shared" si="401"/>
        <v>-9.5181299242739326E-2</v>
      </c>
      <c r="AC60" s="58">
        <f>+SUM(AC61:AC69)</f>
        <v>969766.68</v>
      </c>
      <c r="AD60" s="58">
        <f t="shared" ref="AD60" si="828">+SUM(AD61:AD69)</f>
        <v>840472.16</v>
      </c>
      <c r="AE60" s="58">
        <f t="shared" ref="AE60" si="829">+SUM(AE61:AE69)</f>
        <v>1032578.89</v>
      </c>
      <c r="AF60" s="58">
        <f t="shared" ref="AF60" si="830">+SUM(AF61:AF69)</f>
        <v>675764.92</v>
      </c>
      <c r="AG60" s="58">
        <f t="shared" ref="AG60" si="831">+SUM(AG61:AG69)</f>
        <v>516671.97000000003</v>
      </c>
      <c r="AH60" s="58">
        <f t="shared" ref="AH60" si="832">+SUM(AH61:AH69)</f>
        <v>975971.6100000001</v>
      </c>
      <c r="AI60" s="58">
        <f t="shared" ref="AI60" si="833">+SUM(AI61:AI69)</f>
        <v>1253112.31</v>
      </c>
      <c r="AJ60" s="58">
        <f t="shared" ref="AJ60" si="834">+SUM(AJ61:AJ69)</f>
        <v>987572.55</v>
      </c>
      <c r="AK60" s="58">
        <f t="shared" ref="AK60" si="835">+SUM(AK61:AK69)</f>
        <v>983181.27</v>
      </c>
      <c r="AL60" s="58">
        <f t="shared" ref="AL60" si="836">+SUM(AL61:AL69)</f>
        <v>943668.31</v>
      </c>
      <c r="AM60" s="58">
        <f t="shared" ref="AM60" si="837">+SUM(AM61:AM69)</f>
        <v>868666.66</v>
      </c>
      <c r="AN60" s="58">
        <f t="shared" ref="AN60" si="838">+SUM(AN61:AN69)</f>
        <v>1103711.4200000002</v>
      </c>
      <c r="AO60" s="58">
        <f t="shared" ref="AO60" si="839">+SUM(AO61:AO69)</f>
        <v>11151138.750000002</v>
      </c>
      <c r="AQ60" s="58">
        <f>+SUM(AQ61:AQ69)</f>
        <v>906324</v>
      </c>
      <c r="AR60" s="58">
        <f t="shared" ref="AR60:BC60" si="840">+SUM(AR61:AR69)</f>
        <v>785488</v>
      </c>
      <c r="AS60" s="58">
        <f t="shared" si="840"/>
        <v>965027</v>
      </c>
      <c r="AT60" s="58">
        <f t="shared" si="840"/>
        <v>631556</v>
      </c>
      <c r="AU60" s="58">
        <f t="shared" si="840"/>
        <v>482871</v>
      </c>
      <c r="AV60" s="58">
        <f t="shared" si="840"/>
        <v>912123</v>
      </c>
      <c r="AW60" s="58">
        <f t="shared" si="840"/>
        <v>1171133</v>
      </c>
      <c r="AX60" s="58">
        <f t="shared" si="840"/>
        <v>922965</v>
      </c>
      <c r="AY60" s="58">
        <f t="shared" si="840"/>
        <v>918861</v>
      </c>
      <c r="AZ60" s="58">
        <f t="shared" si="840"/>
        <v>881933</v>
      </c>
      <c r="BA60" s="58">
        <f t="shared" si="840"/>
        <v>811838</v>
      </c>
      <c r="BB60" s="58">
        <f t="shared" si="840"/>
        <v>1031506</v>
      </c>
      <c r="BC60" s="58">
        <f t="shared" si="840"/>
        <v>10421625</v>
      </c>
      <c r="BD60" s="6" t="str">
        <f t="shared" si="47"/>
        <v>Other Source of Income</v>
      </c>
      <c r="BE60" s="58">
        <f t="shared" ref="BE60:BP60" si="841">+SUM(BE61:BE69)</f>
        <v>1012392.164</v>
      </c>
      <c r="BF60" s="58">
        <f t="shared" si="841"/>
        <v>740679.55480000004</v>
      </c>
      <c r="BG60" s="58">
        <f t="shared" si="841"/>
        <v>1167205.598</v>
      </c>
      <c r="BH60" s="58">
        <f t="shared" si="841"/>
        <v>489115.79399999999</v>
      </c>
      <c r="BI60" s="58">
        <f t="shared" si="841"/>
        <v>700542</v>
      </c>
      <c r="BJ60" s="58">
        <f t="shared" si="841"/>
        <v>840760.00159999996</v>
      </c>
      <c r="BK60" s="58">
        <f t="shared" si="841"/>
        <v>1218228.344</v>
      </c>
      <c r="BL60" s="58">
        <f t="shared" si="841"/>
        <v>996016.01240000001</v>
      </c>
      <c r="BM60" s="58">
        <f t="shared" si="841"/>
        <v>802790.14480000001</v>
      </c>
      <c r="BN60" s="58">
        <f t="shared" si="841"/>
        <v>844518.49320000003</v>
      </c>
      <c r="BO60" s="58">
        <f t="shared" si="841"/>
        <v>0</v>
      </c>
      <c r="BP60" s="58">
        <f t="shared" si="841"/>
        <v>0</v>
      </c>
      <c r="BQ60" s="58">
        <f t="shared" ref="BQ60" si="842">+SUM(BQ61:BQ69)</f>
        <v>8812248.1068000011</v>
      </c>
      <c r="BR60" s="118">
        <f t="shared" si="417"/>
        <v>-0.10506850314810298</v>
      </c>
      <c r="BS60" s="58">
        <f t="shared" ref="BS60:CE60" si="843">+SUM(BS61:BS69)</f>
        <v>969766.68</v>
      </c>
      <c r="BT60" s="58">
        <f t="shared" si="843"/>
        <v>840472.16</v>
      </c>
      <c r="BU60" s="58">
        <f t="shared" si="843"/>
        <v>1032578.89</v>
      </c>
      <c r="BV60" s="58">
        <f t="shared" si="843"/>
        <v>675764.92</v>
      </c>
      <c r="BW60" s="58">
        <f t="shared" si="843"/>
        <v>516671.97000000003</v>
      </c>
      <c r="BX60" s="58">
        <f t="shared" si="843"/>
        <v>975971.6100000001</v>
      </c>
      <c r="BY60" s="58">
        <f t="shared" si="843"/>
        <v>1253112.31</v>
      </c>
      <c r="BZ60" s="58">
        <f t="shared" si="843"/>
        <v>987572.55</v>
      </c>
      <c r="CA60" s="58">
        <f t="shared" si="843"/>
        <v>983181.27</v>
      </c>
      <c r="CB60" s="58">
        <f t="shared" si="843"/>
        <v>943668.31</v>
      </c>
      <c r="CC60" s="58">
        <f t="shared" si="843"/>
        <v>868666.66</v>
      </c>
      <c r="CD60" s="58">
        <f t="shared" si="843"/>
        <v>1103711.4200000002</v>
      </c>
      <c r="CE60" s="58">
        <f t="shared" si="843"/>
        <v>11151138.750000002</v>
      </c>
      <c r="CF60" s="106"/>
      <c r="CG60" s="58">
        <f>+SUM(CG61:CG69)</f>
        <v>0</v>
      </c>
      <c r="CH60" s="58">
        <f t="shared" ref="CH60:CS60" si="844">+SUM(CH61:CH69)</f>
        <v>0</v>
      </c>
      <c r="CI60" s="58">
        <f t="shared" si="844"/>
        <v>0</v>
      </c>
      <c r="CJ60" s="58">
        <f t="shared" si="844"/>
        <v>0</v>
      </c>
      <c r="CK60" s="58">
        <f t="shared" si="844"/>
        <v>0</v>
      </c>
      <c r="CL60" s="58">
        <f t="shared" si="844"/>
        <v>0</v>
      </c>
      <c r="CM60" s="58">
        <f t="shared" si="844"/>
        <v>0</v>
      </c>
      <c r="CN60" s="58">
        <f t="shared" si="844"/>
        <v>0</v>
      </c>
      <c r="CO60" s="58">
        <f t="shared" si="844"/>
        <v>0</v>
      </c>
      <c r="CP60" s="58">
        <f t="shared" si="844"/>
        <v>0</v>
      </c>
      <c r="CQ60" s="58">
        <f t="shared" si="844"/>
        <v>0</v>
      </c>
      <c r="CR60" s="58">
        <f t="shared" si="844"/>
        <v>0</v>
      </c>
      <c r="CS60" s="58">
        <f t="shared" si="844"/>
        <v>0</v>
      </c>
      <c r="CT60" s="6" t="str">
        <f t="shared" si="51"/>
        <v>Other Source of Income</v>
      </c>
      <c r="CU60" s="58">
        <f t="shared" ref="CU60:DF60" si="845">+SUM(CU61:CU69)</f>
        <v>3774.5820000000003</v>
      </c>
      <c r="CV60" s="58">
        <f t="shared" si="845"/>
        <v>5618.7773999999999</v>
      </c>
      <c r="CW60" s="58">
        <f t="shared" si="845"/>
        <v>21238.298999999999</v>
      </c>
      <c r="CX60" s="58">
        <f t="shared" si="845"/>
        <v>5196.8969999999999</v>
      </c>
      <c r="CY60" s="58">
        <f t="shared" si="845"/>
        <v>0</v>
      </c>
      <c r="CZ60" s="58">
        <f t="shared" si="845"/>
        <v>3587.5008000000003</v>
      </c>
      <c r="DA60" s="58">
        <f t="shared" si="845"/>
        <v>7642.1719999999996</v>
      </c>
      <c r="DB60" s="58">
        <f t="shared" si="845"/>
        <v>6352.0061999999998</v>
      </c>
      <c r="DC60" s="58">
        <f t="shared" si="845"/>
        <v>4901.0724</v>
      </c>
      <c r="DD60" s="58">
        <f t="shared" si="845"/>
        <v>3564.2466000000004</v>
      </c>
      <c r="DE60" s="58">
        <f t="shared" si="845"/>
        <v>0</v>
      </c>
      <c r="DF60" s="58">
        <f t="shared" si="845"/>
        <v>0</v>
      </c>
      <c r="DG60" s="58">
        <f t="shared" ref="DG60" si="846">+SUM(DG61:DG69)</f>
        <v>61875.553400000004</v>
      </c>
      <c r="DH60" s="118">
        <f t="shared" si="421"/>
        <v>0</v>
      </c>
      <c r="DI60" s="58">
        <f t="shared" ref="DI60:DU60" si="847">+SUM(DI61:DI69)</f>
        <v>0</v>
      </c>
      <c r="DJ60" s="58">
        <f t="shared" si="847"/>
        <v>0</v>
      </c>
      <c r="DK60" s="58">
        <f t="shared" si="847"/>
        <v>0</v>
      </c>
      <c r="DL60" s="58">
        <f t="shared" si="847"/>
        <v>0</v>
      </c>
      <c r="DM60" s="58">
        <f t="shared" si="847"/>
        <v>0</v>
      </c>
      <c r="DN60" s="58">
        <f t="shared" si="847"/>
        <v>0</v>
      </c>
      <c r="DO60" s="58">
        <f t="shared" si="847"/>
        <v>0</v>
      </c>
      <c r="DP60" s="58">
        <f t="shared" si="847"/>
        <v>0</v>
      </c>
      <c r="DQ60" s="58">
        <f t="shared" si="847"/>
        <v>0</v>
      </c>
      <c r="DR60" s="58">
        <f t="shared" si="847"/>
        <v>0</v>
      </c>
      <c r="DS60" s="58">
        <f t="shared" si="847"/>
        <v>0</v>
      </c>
      <c r="DT60" s="58">
        <f t="shared" si="847"/>
        <v>0</v>
      </c>
      <c r="DU60" s="58">
        <f t="shared" si="847"/>
        <v>0</v>
      </c>
      <c r="DW60" s="28">
        <f t="shared" ref="DW60:EI60" si="848">+SUM(DW61:DW69)</f>
        <v>0</v>
      </c>
      <c r="DX60" s="28">
        <f t="shared" si="848"/>
        <v>0</v>
      </c>
      <c r="DY60" s="28">
        <f t="shared" si="848"/>
        <v>0</v>
      </c>
      <c r="DZ60" s="28">
        <f t="shared" si="848"/>
        <v>0</v>
      </c>
      <c r="EA60" s="28">
        <f t="shared" si="848"/>
        <v>0</v>
      </c>
      <c r="EB60" s="28">
        <f t="shared" si="848"/>
        <v>0</v>
      </c>
      <c r="EC60" s="28">
        <f t="shared" si="848"/>
        <v>0</v>
      </c>
      <c r="ED60" s="28">
        <f t="shared" si="848"/>
        <v>0</v>
      </c>
      <c r="EE60" s="28">
        <f t="shared" si="848"/>
        <v>0</v>
      </c>
      <c r="EF60" s="28">
        <f t="shared" si="848"/>
        <v>0</v>
      </c>
      <c r="EG60" s="28">
        <f t="shared" si="848"/>
        <v>0</v>
      </c>
      <c r="EH60" s="28">
        <f t="shared" si="848"/>
        <v>0</v>
      </c>
      <c r="EI60" s="58">
        <f t="shared" si="848"/>
        <v>0</v>
      </c>
      <c r="EJ60" s="6" t="str">
        <f t="shared" si="217"/>
        <v>Other Source of Income</v>
      </c>
      <c r="EK60" s="28">
        <f t="shared" ref="EK60:EV60" si="849">+SUM(EK61:EK69)</f>
        <v>0</v>
      </c>
      <c r="EL60" s="28">
        <f t="shared" si="849"/>
        <v>0</v>
      </c>
      <c r="EM60" s="28">
        <f t="shared" si="849"/>
        <v>0</v>
      </c>
      <c r="EN60" s="28">
        <f t="shared" si="849"/>
        <v>0</v>
      </c>
      <c r="EO60" s="28">
        <f t="shared" si="849"/>
        <v>0</v>
      </c>
      <c r="EP60" s="28">
        <f t="shared" si="849"/>
        <v>0</v>
      </c>
      <c r="EQ60" s="28">
        <f t="shared" si="849"/>
        <v>0</v>
      </c>
      <c r="ER60" s="28">
        <f t="shared" si="849"/>
        <v>0</v>
      </c>
      <c r="ES60" s="28">
        <f t="shared" si="849"/>
        <v>0</v>
      </c>
      <c r="ET60" s="28">
        <f t="shared" si="849"/>
        <v>5765.9943999999996</v>
      </c>
      <c r="EU60" s="28">
        <f t="shared" si="849"/>
        <v>0</v>
      </c>
      <c r="EV60" s="28">
        <f t="shared" si="849"/>
        <v>0</v>
      </c>
      <c r="EW60" s="28">
        <f t="shared" ref="EW60" si="850">+SUM(EW61:EW69)</f>
        <v>5765.9943999999996</v>
      </c>
      <c r="EX60" s="118" t="e">
        <f t="shared" si="425"/>
        <v>#DIV/0!</v>
      </c>
      <c r="EY60" s="58">
        <f t="shared" ref="EY60:FK60" si="851">+SUM(EY61:EY69)</f>
        <v>0</v>
      </c>
      <c r="EZ60" s="58">
        <f t="shared" si="851"/>
        <v>0</v>
      </c>
      <c r="FA60" s="58">
        <f t="shared" si="851"/>
        <v>0</v>
      </c>
      <c r="FB60" s="58">
        <f t="shared" si="851"/>
        <v>0</v>
      </c>
      <c r="FC60" s="58">
        <f t="shared" si="851"/>
        <v>0</v>
      </c>
      <c r="FD60" s="58">
        <f t="shared" si="851"/>
        <v>0</v>
      </c>
      <c r="FE60" s="58">
        <f t="shared" si="851"/>
        <v>0</v>
      </c>
      <c r="FF60" s="58">
        <f t="shared" si="851"/>
        <v>0</v>
      </c>
      <c r="FG60" s="58">
        <f t="shared" si="851"/>
        <v>0</v>
      </c>
      <c r="FH60" s="58">
        <f t="shared" si="851"/>
        <v>0</v>
      </c>
      <c r="FI60" s="58">
        <f t="shared" si="851"/>
        <v>0</v>
      </c>
      <c r="FJ60" s="58">
        <f t="shared" si="851"/>
        <v>0</v>
      </c>
      <c r="FK60" s="58">
        <f t="shared" si="851"/>
        <v>0</v>
      </c>
    </row>
    <row r="61" spans="1:167" ht="14.45" hidden="1" customHeight="1" outlineLevel="1">
      <c r="A61" s="106">
        <f t="shared" ref="A61:A69" si="852">+AQ61+CG61+DW61</f>
        <v>0</v>
      </c>
      <c r="B61" s="106">
        <f t="shared" ref="B61:B69" si="853">+AR61+CH61+DX61</f>
        <v>0</v>
      </c>
      <c r="C61" s="106">
        <f t="shared" ref="C61:C69" si="854">+AS61+CI61+DY61</f>
        <v>0</v>
      </c>
      <c r="D61" s="106">
        <f t="shared" ref="D61:D69" si="855">+AT61+CJ61+DZ61</f>
        <v>0</v>
      </c>
      <c r="E61" s="106">
        <f t="shared" ref="E61:E69" si="856">+AU61+CK61+EA61</f>
        <v>0</v>
      </c>
      <c r="F61" s="106">
        <f t="shared" ref="F61:F69" si="857">+AV61+CL61+EB61</f>
        <v>0</v>
      </c>
      <c r="G61" s="106">
        <f t="shared" ref="G61:G69" si="858">+AW61+CM61+EC61</f>
        <v>0</v>
      </c>
      <c r="H61" s="106">
        <f t="shared" ref="H61:H69" si="859">+AX61+CN61+ED61</f>
        <v>0</v>
      </c>
      <c r="I61" s="106">
        <f t="shared" ref="I61:I69" si="860">+AY61+CO61+EE61</f>
        <v>0</v>
      </c>
      <c r="J61" s="106">
        <f t="shared" ref="J61:J69" si="861">+AZ61+CP61+EF61</f>
        <v>0</v>
      </c>
      <c r="K61" s="106">
        <f t="shared" ref="K61:K69" si="862">+BA61+CQ61+EG61</f>
        <v>0</v>
      </c>
      <c r="L61" s="106">
        <f t="shared" ref="L61:L69" si="863">+BB61+CR61+EH61</f>
        <v>0</v>
      </c>
      <c r="M61" s="106">
        <f t="shared" ref="M61:M69" si="864">+SUM(A61:L61)</f>
        <v>0</v>
      </c>
      <c r="N61" s="7" t="s">
        <v>47</v>
      </c>
      <c r="O61" s="106">
        <f t="shared" ref="O61:O69" si="865">+BE61+CU61+EK61</f>
        <v>0</v>
      </c>
      <c r="P61" s="106">
        <f t="shared" ref="P61:P69" si="866">+BF61+CV61+EL61</f>
        <v>0</v>
      </c>
      <c r="Q61" s="106">
        <f t="shared" ref="Q61:Q69" si="867">+BG61+CW61+EM61</f>
        <v>0</v>
      </c>
      <c r="R61" s="106">
        <f t="shared" ref="R61:R69" si="868">+BH61+CX61+EN61</f>
        <v>0</v>
      </c>
      <c r="S61" s="106">
        <f t="shared" ref="S61:S69" si="869">+BI61+CY61+EO61</f>
        <v>0</v>
      </c>
      <c r="T61" s="106">
        <f t="shared" ref="T61:T69" si="870">+BJ61+CZ61+EP61</f>
        <v>0</v>
      </c>
      <c r="U61" s="106">
        <f t="shared" ref="U61:U69" si="871">+BK61+DA61+EQ61</f>
        <v>0</v>
      </c>
      <c r="V61" s="106">
        <f t="shared" ref="V61:V69" si="872">+BL61+DB61+ER61</f>
        <v>0</v>
      </c>
      <c r="W61" s="106">
        <f t="shared" ref="W61:W69" si="873">+BM61+DC61+ES61</f>
        <v>0</v>
      </c>
      <c r="X61" s="106">
        <f t="shared" ref="X61:X69" si="874">+BN61+DD61+ET61</f>
        <v>0</v>
      </c>
      <c r="Y61" s="106">
        <f t="shared" ref="Y61:Y69" si="875">+BO61+DE61+EU61</f>
        <v>0</v>
      </c>
      <c r="Z61" s="106">
        <f t="shared" ref="Z61:Z69" si="876">+BP61+DF61+EV61</f>
        <v>0</v>
      </c>
      <c r="AA61" s="106">
        <f t="shared" ref="AA61:AA69" si="877">+SUM(O61:Z61)</f>
        <v>0</v>
      </c>
      <c r="AB61" s="118">
        <f t="shared" si="401"/>
        <v>0</v>
      </c>
      <c r="AC61" s="106">
        <f t="shared" ref="AC61:AC69" si="878">+BS61+DI61+EY61</f>
        <v>0</v>
      </c>
      <c r="AD61" s="106">
        <f t="shared" ref="AD61:AD69" si="879">+BT61+DJ61+EZ61</f>
        <v>0</v>
      </c>
      <c r="AE61" s="106">
        <f t="shared" ref="AE61:AE69" si="880">+BU61+DK61+FA61</f>
        <v>0</v>
      </c>
      <c r="AF61" s="106">
        <f t="shared" ref="AF61:AF69" si="881">+BV61+DL61+FB61</f>
        <v>0</v>
      </c>
      <c r="AG61" s="106">
        <f t="shared" ref="AG61:AG69" si="882">+BW61+DM61+FC61</f>
        <v>0</v>
      </c>
      <c r="AH61" s="106">
        <f t="shared" ref="AH61:AH69" si="883">+BX61+DN61+FD61</f>
        <v>0</v>
      </c>
      <c r="AI61" s="106">
        <f t="shared" ref="AI61:AI69" si="884">+BY61+DO61+FE61</f>
        <v>0</v>
      </c>
      <c r="AJ61" s="106">
        <f t="shared" ref="AJ61:AJ69" si="885">+BZ61+DP61+FF61</f>
        <v>0</v>
      </c>
      <c r="AK61" s="106">
        <f t="shared" ref="AK61:AK69" si="886">+CA61+DQ61+FG61</f>
        <v>0</v>
      </c>
      <c r="AL61" s="106">
        <f t="shared" ref="AL61:AL69" si="887">+CB61+DR61+FH61</f>
        <v>0</v>
      </c>
      <c r="AM61" s="106">
        <f t="shared" ref="AM61:AM69" si="888">+CC61+DS61+FI61</f>
        <v>0</v>
      </c>
      <c r="AN61" s="106">
        <f t="shared" ref="AN61:AN69" si="889">+CD61+DT61+FJ61</f>
        <v>0</v>
      </c>
      <c r="AO61" s="106">
        <f t="shared" ref="AO61:AO69" si="890">+SUM(AC61:AN61)</f>
        <v>0</v>
      </c>
      <c r="AQ61" s="106">
        <v>0</v>
      </c>
      <c r="AR61" s="106">
        <v>0</v>
      </c>
      <c r="AS61" s="106">
        <v>0</v>
      </c>
      <c r="AT61" s="106">
        <v>0</v>
      </c>
      <c r="AU61" s="106">
        <v>0</v>
      </c>
      <c r="AV61" s="106">
        <v>0</v>
      </c>
      <c r="AW61" s="106">
        <v>0</v>
      </c>
      <c r="AX61" s="106">
        <v>0</v>
      </c>
      <c r="AY61" s="106">
        <v>0</v>
      </c>
      <c r="AZ61" s="106">
        <v>0</v>
      </c>
      <c r="BA61" s="106">
        <v>0</v>
      </c>
      <c r="BB61" s="106">
        <v>0</v>
      </c>
      <c r="BC61" s="106">
        <f t="shared" ref="BC61:BC69" si="891">+SUM(AQ61:BB61)</f>
        <v>0</v>
      </c>
      <c r="BD61" s="7" t="str">
        <f t="shared" si="47"/>
        <v>Insurance Commission</v>
      </c>
      <c r="BE61" s="106">
        <f>+VLOOKUP($BD61,'Jan-25'!$A:$J,5,0)</f>
        <v>0</v>
      </c>
      <c r="BF61" s="106">
        <f>+VLOOKUP($BD61,'Feb-25'!$A:$J,5,0)</f>
        <v>0</v>
      </c>
      <c r="BG61" s="106">
        <f>+VLOOKUP($BD61,'Mar-25'!$A:$J,5,0)</f>
        <v>0</v>
      </c>
      <c r="BH61" s="106">
        <f>+VLOOKUP($BD61,'Apr-25'!$A:$J,5,0)</f>
        <v>0</v>
      </c>
      <c r="BI61" s="106">
        <f>+VLOOKUP($BD61,'May-25'!$A:$J,5,0)</f>
        <v>0</v>
      </c>
      <c r="BJ61" s="106">
        <f>+VLOOKUP($BD61,'June-25'!$A:$J,5,0)</f>
        <v>0</v>
      </c>
      <c r="BK61" s="106">
        <f>+VLOOKUP($BD61,'July-25'!$A:$J,5,0)</f>
        <v>0</v>
      </c>
      <c r="BL61" s="106">
        <f>+VLOOKUP($BD61,'Aug-25'!$A:$J,5,0)</f>
        <v>0</v>
      </c>
      <c r="BM61" s="106">
        <f>+VLOOKUP($BD61,'Sep-25'!$A:$J,5,0)</f>
        <v>0</v>
      </c>
      <c r="BN61" s="106">
        <f>+VLOOKUP($BD61,'Oct-25'!$A:$J,5,0)</f>
        <v>0</v>
      </c>
      <c r="BO61" s="106">
        <f>+VLOOKUP($BD61,'Nov-25'!$A:$J,5,0)</f>
        <v>0</v>
      </c>
      <c r="BP61" s="106">
        <f>+VLOOKUP($BD61,'Dec-25'!$A:$J,5,0)</f>
        <v>0</v>
      </c>
      <c r="BQ61" s="106">
        <f t="shared" ref="BQ61:BQ69" si="892">+SUM(BE61:BP61)</f>
        <v>0</v>
      </c>
      <c r="BR61" s="118">
        <f t="shared" si="417"/>
        <v>0</v>
      </c>
      <c r="BS61" s="106"/>
      <c r="BT61" s="106"/>
      <c r="BU61" s="106"/>
      <c r="BV61" s="106"/>
      <c r="BW61" s="106"/>
      <c r="BX61" s="106"/>
      <c r="BY61" s="106"/>
      <c r="BZ61" s="106"/>
      <c r="CA61" s="106"/>
      <c r="CB61" s="106"/>
      <c r="CC61" s="106"/>
      <c r="CD61" s="106"/>
      <c r="CE61" s="106">
        <f t="shared" ref="CE61:CE69" si="893">+SUM(BS61:CD61)</f>
        <v>0</v>
      </c>
      <c r="CF61" s="106"/>
      <c r="CG61" s="106"/>
      <c r="CH61" s="106"/>
      <c r="CI61" s="106"/>
      <c r="CJ61" s="106"/>
      <c r="CK61" s="106"/>
      <c r="CL61" s="106"/>
      <c r="CM61" s="106"/>
      <c r="CN61" s="106"/>
      <c r="CO61" s="106"/>
      <c r="CP61" s="106"/>
      <c r="CQ61" s="106"/>
      <c r="CR61" s="106"/>
      <c r="CS61" s="106">
        <f t="shared" ref="CS61:CS69" si="894">+SUM(CG61:CR61)</f>
        <v>0</v>
      </c>
      <c r="CT61" s="7" t="str">
        <f t="shared" si="51"/>
        <v>Insurance Commission</v>
      </c>
      <c r="CU61" s="106">
        <f>+VLOOKUP($BD61,'Jan-25'!$A:$J,8,0)</f>
        <v>0</v>
      </c>
      <c r="CV61" s="106">
        <f>+VLOOKUP($BD61,'Feb-25'!$A:$J,8,0)</f>
        <v>0</v>
      </c>
      <c r="CW61" s="106">
        <f>+VLOOKUP($BD61,'Mar-25'!$A:$J,8,0)</f>
        <v>0</v>
      </c>
      <c r="CX61" s="106">
        <f>+VLOOKUP($BD61,'Apr-25'!$A:$J,8,0)</f>
        <v>0</v>
      </c>
      <c r="CY61" s="106">
        <f>+VLOOKUP($BD61,'May-25'!$A:$J,8,0)</f>
        <v>0</v>
      </c>
      <c r="CZ61" s="106">
        <f>+VLOOKUP($BD61,'June-25'!$A:$J,8,0)</f>
        <v>0</v>
      </c>
      <c r="DA61" s="106">
        <f>+VLOOKUP($BD61,'July-25'!$A:$J,8,0)</f>
        <v>0</v>
      </c>
      <c r="DB61" s="106">
        <f>+VLOOKUP($BD61,'Aug-25'!$A:$J,8,0)</f>
        <v>0</v>
      </c>
      <c r="DC61" s="106">
        <f>+VLOOKUP($BD61,'Sep-25'!$A:$J,8,0)</f>
        <v>0</v>
      </c>
      <c r="DD61" s="106">
        <f>+VLOOKUP($BD61,'Oct-25'!$A:$J,8,0)</f>
        <v>0</v>
      </c>
      <c r="DE61" s="106">
        <f>+VLOOKUP($BD61,'Nov-25'!$A:$J,8,0)</f>
        <v>0</v>
      </c>
      <c r="DF61" s="106">
        <f>+VLOOKUP($BD61,'Dec-25'!$A:$J,8,0)</f>
        <v>0</v>
      </c>
      <c r="DG61" s="106">
        <f t="shared" ref="DG61:DG69" si="895">+SUM(CU61:DF61)</f>
        <v>0</v>
      </c>
      <c r="DH61" s="118">
        <f t="shared" si="421"/>
        <v>0</v>
      </c>
      <c r="DI61" s="106"/>
      <c r="DJ61" s="106"/>
      <c r="DK61" s="106"/>
      <c r="DL61" s="106"/>
      <c r="DM61" s="106"/>
      <c r="DN61" s="106"/>
      <c r="DO61" s="106"/>
      <c r="DP61" s="106"/>
      <c r="DQ61" s="106"/>
      <c r="DR61" s="106"/>
      <c r="DS61" s="106"/>
      <c r="DT61" s="106"/>
      <c r="DU61" s="106">
        <f t="shared" ref="DU61:DU69" si="896">+SUM(DI61:DT61)</f>
        <v>0</v>
      </c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106">
        <f t="shared" ref="EI61:EI69" si="897">+SUM(DW61:EH61)</f>
        <v>0</v>
      </c>
      <c r="EJ61" s="7" t="str">
        <f t="shared" si="217"/>
        <v>Insurance Commission</v>
      </c>
      <c r="EK61" s="22">
        <f>+VLOOKUP($BD61,'Jan-25'!$A:$J,10,0)</f>
        <v>0</v>
      </c>
      <c r="EL61" s="22">
        <f>+VLOOKUP($BD61,'Feb-25'!$A:$J,10,0)</f>
        <v>0</v>
      </c>
      <c r="EM61" s="22">
        <f>+VLOOKUP($BD61,'Mar-25'!$A:$J,10,0)</f>
        <v>0</v>
      </c>
      <c r="EN61" s="22">
        <f>+VLOOKUP($BD61,'Apr-25'!$A:$J,10,0)</f>
        <v>0</v>
      </c>
      <c r="EO61" s="22">
        <f>+VLOOKUP($BD61,'May-25'!$A:$J,10,0)</f>
        <v>0</v>
      </c>
      <c r="EP61" s="22">
        <f>+VLOOKUP($BD61,'June-25'!$A:$J,10,0)</f>
        <v>0</v>
      </c>
      <c r="EQ61" s="22">
        <f>+VLOOKUP($BD61,'July-25'!$A:$J,10,0)</f>
        <v>0</v>
      </c>
      <c r="ER61" s="22">
        <f>+VLOOKUP($BD61,'Aug-25'!$A:$J,10,0)</f>
        <v>0</v>
      </c>
      <c r="ES61" s="22">
        <f>+VLOOKUP($BD61,'Sep-25'!$A:$J,10,0)</f>
        <v>0</v>
      </c>
      <c r="ET61" s="22">
        <f>+VLOOKUP($BD61,'Oct-25'!$A:$J,10,0)</f>
        <v>0</v>
      </c>
      <c r="EU61" s="22">
        <f>+VLOOKUP($BD61,'Nov-25'!$A:$J,10,0)</f>
        <v>0</v>
      </c>
      <c r="EV61" s="22">
        <f>+VLOOKUP($BD61,'Dec-25'!$A:$J,10,0)</f>
        <v>0</v>
      </c>
      <c r="EW61" s="22">
        <f t="shared" ref="EW61:EW69" si="898">+SUM(EK61:EV61)</f>
        <v>0</v>
      </c>
      <c r="EX61" s="118" t="e">
        <f t="shared" si="425"/>
        <v>#DIV/0!</v>
      </c>
      <c r="EY61" s="106">
        <f>+_xlfn.XLOOKUP($EJ61,Budget!$A:$A,Budget!DR:DR)</f>
        <v>0</v>
      </c>
      <c r="EZ61" s="106">
        <f>+_xlfn.XLOOKUP($EJ61,Budget!$A:$A,Budget!DS:DS)</f>
        <v>0</v>
      </c>
      <c r="FA61" s="106">
        <f>+_xlfn.XLOOKUP($EJ61,Budget!$A:$A,Budget!DT:DT)</f>
        <v>0</v>
      </c>
      <c r="FB61" s="106">
        <f>+_xlfn.XLOOKUP($EJ61,Budget!$A:$A,Budget!DU:DU)</f>
        <v>0</v>
      </c>
      <c r="FC61" s="106">
        <f>+_xlfn.XLOOKUP($EJ61,Budget!$A:$A,Budget!DV:DV)</f>
        <v>0</v>
      </c>
      <c r="FD61" s="106">
        <f>+_xlfn.XLOOKUP($EJ61,Budget!$A:$A,Budget!DW:DW)</f>
        <v>0</v>
      </c>
      <c r="FE61" s="106">
        <f>+_xlfn.XLOOKUP($EJ61,Budget!$A:$A,Budget!DX:DX)</f>
        <v>0</v>
      </c>
      <c r="FF61" s="106">
        <f>+_xlfn.XLOOKUP($EJ61,Budget!$A:$A,Budget!DY:DY)</f>
        <v>0</v>
      </c>
      <c r="FG61" s="106">
        <f>+_xlfn.XLOOKUP($EJ61,Budget!$A:$A,Budget!DZ:DZ)</f>
        <v>0</v>
      </c>
      <c r="FH61" s="106">
        <f>+_xlfn.XLOOKUP($EJ61,Budget!$A:$A,Budget!EA:EA)</f>
        <v>0</v>
      </c>
      <c r="FI61" s="106">
        <f>+_xlfn.XLOOKUP($EJ61,Budget!$A:$A,Budget!EB:EB)</f>
        <v>0</v>
      </c>
      <c r="FJ61" s="106">
        <f>+_xlfn.XLOOKUP($EJ61,Budget!$A:$A,Budget!EC:EC)</f>
        <v>0</v>
      </c>
      <c r="FK61" s="106">
        <f t="shared" ref="FK61:FK69" si="899">+SUM(EY61:FJ61)</f>
        <v>0</v>
      </c>
    </row>
    <row r="62" spans="1:167" ht="14.45" hidden="1" customHeight="1" outlineLevel="1">
      <c r="A62" s="106">
        <f t="shared" si="852"/>
        <v>906324</v>
      </c>
      <c r="B62" s="106">
        <f t="shared" si="853"/>
        <v>785488</v>
      </c>
      <c r="C62" s="106">
        <f t="shared" si="854"/>
        <v>965027</v>
      </c>
      <c r="D62" s="106">
        <f t="shared" si="855"/>
        <v>631556</v>
      </c>
      <c r="E62" s="106">
        <f t="shared" si="856"/>
        <v>482871</v>
      </c>
      <c r="F62" s="106">
        <f t="shared" si="857"/>
        <v>912123</v>
      </c>
      <c r="G62" s="106">
        <f t="shared" si="858"/>
        <v>1171133</v>
      </c>
      <c r="H62" s="106">
        <f t="shared" si="859"/>
        <v>922965</v>
      </c>
      <c r="I62" s="106">
        <f t="shared" si="860"/>
        <v>918861</v>
      </c>
      <c r="J62" s="106">
        <f t="shared" si="861"/>
        <v>881933</v>
      </c>
      <c r="K62" s="106">
        <f t="shared" si="862"/>
        <v>811838</v>
      </c>
      <c r="L62" s="106">
        <f t="shared" si="863"/>
        <v>1031506</v>
      </c>
      <c r="M62" s="106">
        <f t="shared" si="864"/>
        <v>10421625</v>
      </c>
      <c r="N62" s="7" t="s">
        <v>48</v>
      </c>
      <c r="O62" s="106">
        <f t="shared" si="865"/>
        <v>1004843</v>
      </c>
      <c r="P62" s="106">
        <f t="shared" si="866"/>
        <v>729442</v>
      </c>
      <c r="Q62" s="106">
        <f t="shared" si="867"/>
        <v>1124729</v>
      </c>
      <c r="R62" s="106">
        <f t="shared" si="868"/>
        <v>478722</v>
      </c>
      <c r="S62" s="106">
        <f t="shared" si="869"/>
        <v>700542</v>
      </c>
      <c r="T62" s="106">
        <f t="shared" si="870"/>
        <v>833585</v>
      </c>
      <c r="U62" s="106">
        <f t="shared" si="871"/>
        <v>1205276</v>
      </c>
      <c r="V62" s="106">
        <f t="shared" si="872"/>
        <v>983312</v>
      </c>
      <c r="W62" s="106">
        <f t="shared" si="873"/>
        <v>792988</v>
      </c>
      <c r="X62" s="106">
        <f t="shared" si="874"/>
        <v>837390</v>
      </c>
      <c r="Y62" s="106">
        <f t="shared" si="875"/>
        <v>0</v>
      </c>
      <c r="Z62" s="106">
        <f t="shared" si="876"/>
        <v>0</v>
      </c>
      <c r="AA62" s="106">
        <f t="shared" si="877"/>
        <v>8690829</v>
      </c>
      <c r="AB62" s="118">
        <f t="shared" si="401"/>
        <v>-0.11262252729457456</v>
      </c>
      <c r="AC62" s="106">
        <f t="shared" si="878"/>
        <v>969766.68</v>
      </c>
      <c r="AD62" s="106">
        <f t="shared" si="879"/>
        <v>840472.16</v>
      </c>
      <c r="AE62" s="106">
        <f t="shared" si="880"/>
        <v>1032578.89</v>
      </c>
      <c r="AF62" s="106">
        <f t="shared" si="881"/>
        <v>675764.92</v>
      </c>
      <c r="AG62" s="106">
        <f t="shared" si="882"/>
        <v>516671.97000000003</v>
      </c>
      <c r="AH62" s="106">
        <f t="shared" si="883"/>
        <v>975971.6100000001</v>
      </c>
      <c r="AI62" s="106">
        <f t="shared" si="884"/>
        <v>1253112.31</v>
      </c>
      <c r="AJ62" s="106">
        <f t="shared" si="885"/>
        <v>987572.55</v>
      </c>
      <c r="AK62" s="106">
        <f t="shared" si="886"/>
        <v>983181.27</v>
      </c>
      <c r="AL62" s="106">
        <f t="shared" si="887"/>
        <v>943668.31</v>
      </c>
      <c r="AM62" s="106">
        <f t="shared" si="888"/>
        <v>868666.66</v>
      </c>
      <c r="AN62" s="106">
        <f t="shared" si="889"/>
        <v>1103711.4200000002</v>
      </c>
      <c r="AO62" s="106">
        <f t="shared" si="890"/>
        <v>11151138.750000002</v>
      </c>
      <c r="AQ62" s="106">
        <v>906324</v>
      </c>
      <c r="AR62" s="106">
        <v>785488</v>
      </c>
      <c r="AS62" s="106">
        <v>965027</v>
      </c>
      <c r="AT62" s="106">
        <v>631556</v>
      </c>
      <c r="AU62" s="106">
        <v>482871</v>
      </c>
      <c r="AV62" s="106">
        <v>912123</v>
      </c>
      <c r="AW62" s="106">
        <v>1171133</v>
      </c>
      <c r="AX62" s="106">
        <v>922965</v>
      </c>
      <c r="AY62" s="106">
        <v>918861</v>
      </c>
      <c r="AZ62" s="106">
        <v>881933</v>
      </c>
      <c r="BA62" s="106">
        <v>811838</v>
      </c>
      <c r="BB62" s="106">
        <v>1031506</v>
      </c>
      <c r="BC62" s="106">
        <f t="shared" si="891"/>
        <v>10421625</v>
      </c>
      <c r="BD62" s="7" t="str">
        <f t="shared" ref="BD62:BD125" si="900">N62</f>
        <v>Insurance Renewal</v>
      </c>
      <c r="BE62" s="106">
        <f>+VLOOKUP($BD62,'Jan-25'!$A:$J,5,0)</f>
        <v>1004843</v>
      </c>
      <c r="BF62" s="106">
        <f>+VLOOKUP($BD62,'Feb-25'!$A:$J,5,0)</f>
        <v>729442</v>
      </c>
      <c r="BG62" s="106">
        <f>+VLOOKUP($BD62,'Mar-25'!$A:$J,5,0)</f>
        <v>1124729</v>
      </c>
      <c r="BH62" s="106">
        <f>+VLOOKUP($BD62,'Apr-25'!$A:$J,5,0)</f>
        <v>478722</v>
      </c>
      <c r="BI62" s="106">
        <f>+VLOOKUP($BD62,'May-25'!$A:$J,5,0)</f>
        <v>700542</v>
      </c>
      <c r="BJ62" s="106">
        <f>+VLOOKUP($BD62,'June-25'!$A:$J,5,0)</f>
        <v>833585</v>
      </c>
      <c r="BK62" s="106">
        <f>+VLOOKUP($BD62,'July-25'!$A:$J,5,0)</f>
        <v>1205276</v>
      </c>
      <c r="BL62" s="106">
        <f>+VLOOKUP($BD62,'Aug-25'!$A:$J,5,0)</f>
        <v>983312</v>
      </c>
      <c r="BM62" s="106">
        <f>+VLOOKUP($BD62,'Sep-25'!$A:$J,5,0)</f>
        <v>792988</v>
      </c>
      <c r="BN62" s="106">
        <f>+VLOOKUP($BD62,'Oct-25'!$A:$J,5,0)</f>
        <v>837390</v>
      </c>
      <c r="BO62" s="106">
        <f>+VLOOKUP($BD62,'Nov-25'!$A:$J,5,0)</f>
        <v>0</v>
      </c>
      <c r="BP62" s="106">
        <f>+VLOOKUP($BD62,'Dec-25'!$A:$J,5,0)</f>
        <v>0</v>
      </c>
      <c r="BQ62" s="106">
        <f t="shared" si="892"/>
        <v>8690829</v>
      </c>
      <c r="BR62" s="118">
        <f t="shared" si="417"/>
        <v>-0.11262252729457456</v>
      </c>
      <c r="BS62" s="106">
        <f>+_xlfn.XLOOKUP($BD62,Budget!$A:$A,Budget!BD:BD)</f>
        <v>969766.68</v>
      </c>
      <c r="BT62" s="106">
        <f>+_xlfn.XLOOKUP($BD62,Budget!$A:$A,Budget!BE:BE)</f>
        <v>840472.16</v>
      </c>
      <c r="BU62" s="106">
        <f>+_xlfn.XLOOKUP($BD62,Budget!$A:$A,Budget!BF:BF)</f>
        <v>1032578.89</v>
      </c>
      <c r="BV62" s="106">
        <f>+_xlfn.XLOOKUP($BD62,Budget!$A:$A,Budget!BG:BG)</f>
        <v>675764.92</v>
      </c>
      <c r="BW62" s="106">
        <f>+_xlfn.XLOOKUP($BD62,Budget!$A:$A,Budget!BH:BH)</f>
        <v>516671.97000000003</v>
      </c>
      <c r="BX62" s="106">
        <f>+_xlfn.XLOOKUP($BD62,Budget!$A:$A,Budget!BI:BI)</f>
        <v>975971.6100000001</v>
      </c>
      <c r="BY62" s="106">
        <f>+_xlfn.XLOOKUP($BD62,Budget!$A:$A,Budget!BJ:BJ)</f>
        <v>1253112.31</v>
      </c>
      <c r="BZ62" s="106">
        <f>+_xlfn.XLOOKUP($BD62,Budget!$A:$A,Budget!BK:BK)</f>
        <v>987572.55</v>
      </c>
      <c r="CA62" s="106">
        <f>+_xlfn.XLOOKUP($BD62,Budget!$A:$A,Budget!BL:BL)</f>
        <v>983181.27</v>
      </c>
      <c r="CB62" s="106">
        <f>+_xlfn.XLOOKUP($BD62,Budget!$A:$A,Budget!BM:BM)</f>
        <v>943668.31</v>
      </c>
      <c r="CC62" s="106">
        <f>+_xlfn.XLOOKUP($BD62,Budget!$A:$A,Budget!BN:BN)</f>
        <v>868666.66</v>
      </c>
      <c r="CD62" s="106">
        <f>+_xlfn.XLOOKUP($BD62,Budget!$A:$A,Budget!BO:BO)</f>
        <v>1103711.4200000002</v>
      </c>
      <c r="CE62" s="106">
        <f t="shared" si="893"/>
        <v>11151138.750000002</v>
      </c>
      <c r="CF62" s="106"/>
      <c r="CG62" s="106"/>
      <c r="CH62" s="106"/>
      <c r="CI62" s="106"/>
      <c r="CJ62" s="106"/>
      <c r="CK62" s="106"/>
      <c r="CL62" s="106"/>
      <c r="CM62" s="106"/>
      <c r="CN62" s="106"/>
      <c r="CO62" s="106"/>
      <c r="CP62" s="106"/>
      <c r="CQ62" s="106"/>
      <c r="CR62" s="106"/>
      <c r="CS62" s="106">
        <f t="shared" si="894"/>
        <v>0</v>
      </c>
      <c r="CT62" s="7" t="str">
        <f t="shared" ref="CT62:CT125" si="901">BD62</f>
        <v>Insurance Renewal</v>
      </c>
      <c r="CU62" s="106">
        <f>+VLOOKUP($BD62,'Jan-25'!$A:$J,8,0)</f>
        <v>0</v>
      </c>
      <c r="CV62" s="106">
        <f>+VLOOKUP($BD62,'Feb-25'!$A:$J,8,0)</f>
        <v>0</v>
      </c>
      <c r="CW62" s="106">
        <f>+VLOOKUP($BD62,'Mar-25'!$A:$J,8,0)</f>
        <v>0</v>
      </c>
      <c r="CX62" s="106">
        <f>+VLOOKUP($BD62,'Apr-25'!$A:$J,8,0)</f>
        <v>0</v>
      </c>
      <c r="CY62" s="106">
        <f>+VLOOKUP($BD62,'May-25'!$A:$J,8,0)</f>
        <v>0</v>
      </c>
      <c r="CZ62" s="106">
        <f>+VLOOKUP($BD62,'June-25'!$A:$J,8,0)</f>
        <v>0</v>
      </c>
      <c r="DA62" s="106">
        <f>+VLOOKUP($BD62,'July-25'!$A:$J,8,0)</f>
        <v>0</v>
      </c>
      <c r="DB62" s="106">
        <f>+VLOOKUP($BD62,'Aug-25'!$A:$J,8,0)</f>
        <v>0</v>
      </c>
      <c r="DC62" s="106">
        <f>+VLOOKUP($BD62,'Sep-25'!$A:$J,8,0)</f>
        <v>0</v>
      </c>
      <c r="DD62" s="106">
        <f>+VLOOKUP($BD62,'Oct-25'!$A:$J,8,0)</f>
        <v>0</v>
      </c>
      <c r="DE62" s="106">
        <f>+VLOOKUP($BD62,'Nov-25'!$A:$J,8,0)</f>
        <v>0</v>
      </c>
      <c r="DF62" s="106">
        <f>+VLOOKUP($BD62,'Dec-25'!$A:$J,8,0)</f>
        <v>0</v>
      </c>
      <c r="DG62" s="106">
        <f t="shared" si="895"/>
        <v>0</v>
      </c>
      <c r="DH62" s="118">
        <f t="shared" si="421"/>
        <v>0</v>
      </c>
      <c r="DI62" s="106"/>
      <c r="DJ62" s="106"/>
      <c r="DK62" s="106"/>
      <c r="DL62" s="106"/>
      <c r="DM62" s="106"/>
      <c r="DN62" s="106"/>
      <c r="DO62" s="106"/>
      <c r="DP62" s="106"/>
      <c r="DQ62" s="106"/>
      <c r="DR62" s="106"/>
      <c r="DS62" s="106"/>
      <c r="DT62" s="106"/>
      <c r="DU62" s="106">
        <f t="shared" si="896"/>
        <v>0</v>
      </c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106">
        <f t="shared" si="897"/>
        <v>0</v>
      </c>
      <c r="EJ62" s="7" t="str">
        <f t="shared" si="217"/>
        <v>Insurance Renewal</v>
      </c>
      <c r="EK62" s="22">
        <f>+VLOOKUP($BD62,'Jan-25'!$A:$J,10,0)</f>
        <v>0</v>
      </c>
      <c r="EL62" s="22">
        <f>+VLOOKUP($BD62,'Feb-25'!$A:$J,10,0)</f>
        <v>0</v>
      </c>
      <c r="EM62" s="22">
        <f>+VLOOKUP($BD62,'Mar-25'!$A:$J,10,0)</f>
        <v>0</v>
      </c>
      <c r="EN62" s="22">
        <f>+VLOOKUP($BD62,'Apr-25'!$A:$J,10,0)</f>
        <v>0</v>
      </c>
      <c r="EO62" s="22">
        <f>+VLOOKUP($BD62,'May-25'!$A:$J,10,0)</f>
        <v>0</v>
      </c>
      <c r="EP62" s="22">
        <f>+VLOOKUP($BD62,'June-25'!$A:$J,10,0)</f>
        <v>0</v>
      </c>
      <c r="EQ62" s="22">
        <f>+VLOOKUP($BD62,'July-25'!$A:$J,10,0)</f>
        <v>0</v>
      </c>
      <c r="ER62" s="22">
        <f>+VLOOKUP($BD62,'Aug-25'!$A:$J,10,0)</f>
        <v>0</v>
      </c>
      <c r="ES62" s="22">
        <f>+VLOOKUP($BD62,'Sep-25'!$A:$J,10,0)</f>
        <v>0</v>
      </c>
      <c r="ET62" s="22">
        <f>+VLOOKUP($BD62,'Oct-25'!$A:$J,10,0)</f>
        <v>0</v>
      </c>
      <c r="EU62" s="22">
        <f>+VLOOKUP($BD62,'Nov-25'!$A:$J,10,0)</f>
        <v>0</v>
      </c>
      <c r="EV62" s="22">
        <f>+VLOOKUP($BD62,'Dec-25'!$A:$J,10,0)</f>
        <v>0</v>
      </c>
      <c r="EW62" s="22">
        <f t="shared" si="898"/>
        <v>0</v>
      </c>
      <c r="EX62" s="118" t="e">
        <f t="shared" si="425"/>
        <v>#DIV/0!</v>
      </c>
      <c r="EY62" s="106">
        <f>+_xlfn.XLOOKUP($EJ62,Budget!$A:$A,Budget!DR:DR)</f>
        <v>0</v>
      </c>
      <c r="EZ62" s="106">
        <f>+_xlfn.XLOOKUP($EJ62,Budget!$A:$A,Budget!DS:DS)</f>
        <v>0</v>
      </c>
      <c r="FA62" s="106">
        <f>+_xlfn.XLOOKUP($EJ62,Budget!$A:$A,Budget!DT:DT)</f>
        <v>0</v>
      </c>
      <c r="FB62" s="106">
        <f>+_xlfn.XLOOKUP($EJ62,Budget!$A:$A,Budget!DU:DU)</f>
        <v>0</v>
      </c>
      <c r="FC62" s="106">
        <f>+_xlfn.XLOOKUP($EJ62,Budget!$A:$A,Budget!DV:DV)</f>
        <v>0</v>
      </c>
      <c r="FD62" s="106">
        <f>+_xlfn.XLOOKUP($EJ62,Budget!$A:$A,Budget!DW:DW)</f>
        <v>0</v>
      </c>
      <c r="FE62" s="106">
        <f>+_xlfn.XLOOKUP($EJ62,Budget!$A:$A,Budget!DX:DX)</f>
        <v>0</v>
      </c>
      <c r="FF62" s="106">
        <f>+_xlfn.XLOOKUP($EJ62,Budget!$A:$A,Budget!DY:DY)</f>
        <v>0</v>
      </c>
      <c r="FG62" s="106">
        <f>+_xlfn.XLOOKUP($EJ62,Budget!$A:$A,Budget!DZ:DZ)</f>
        <v>0</v>
      </c>
      <c r="FH62" s="106">
        <f>+_xlfn.XLOOKUP($EJ62,Budget!$A:$A,Budget!EA:EA)</f>
        <v>0</v>
      </c>
      <c r="FI62" s="106">
        <f>+_xlfn.XLOOKUP($EJ62,Budget!$A:$A,Budget!EB:EB)</f>
        <v>0</v>
      </c>
      <c r="FJ62" s="106">
        <f>+_xlfn.XLOOKUP($EJ62,Budget!$A:$A,Budget!EC:EC)</f>
        <v>0</v>
      </c>
      <c r="FK62" s="106">
        <f t="shared" si="899"/>
        <v>0</v>
      </c>
    </row>
    <row r="63" spans="1:167" ht="14.45" hidden="1" customHeight="1" outlineLevel="1">
      <c r="A63" s="106">
        <f t="shared" si="852"/>
        <v>0</v>
      </c>
      <c r="B63" s="106">
        <f t="shared" si="853"/>
        <v>0</v>
      </c>
      <c r="C63" s="106">
        <f t="shared" si="854"/>
        <v>0</v>
      </c>
      <c r="D63" s="106">
        <f t="shared" si="855"/>
        <v>0</v>
      </c>
      <c r="E63" s="106">
        <f t="shared" si="856"/>
        <v>0</v>
      </c>
      <c r="F63" s="106">
        <f t="shared" si="857"/>
        <v>0</v>
      </c>
      <c r="G63" s="106">
        <f t="shared" si="858"/>
        <v>0</v>
      </c>
      <c r="H63" s="106">
        <f t="shared" si="859"/>
        <v>0</v>
      </c>
      <c r="I63" s="106">
        <f t="shared" si="860"/>
        <v>0</v>
      </c>
      <c r="J63" s="106">
        <f t="shared" si="861"/>
        <v>0</v>
      </c>
      <c r="K63" s="106">
        <f t="shared" si="862"/>
        <v>0</v>
      </c>
      <c r="L63" s="106">
        <f t="shared" si="863"/>
        <v>0</v>
      </c>
      <c r="M63" s="106">
        <f t="shared" si="864"/>
        <v>0</v>
      </c>
      <c r="N63" s="7" t="s">
        <v>49</v>
      </c>
      <c r="O63" s="106">
        <f t="shared" si="865"/>
        <v>0</v>
      </c>
      <c r="P63" s="106">
        <f t="shared" si="866"/>
        <v>0</v>
      </c>
      <c r="Q63" s="106">
        <f t="shared" si="867"/>
        <v>0</v>
      </c>
      <c r="R63" s="106">
        <f t="shared" si="868"/>
        <v>0</v>
      </c>
      <c r="S63" s="106">
        <f t="shared" si="869"/>
        <v>0</v>
      </c>
      <c r="T63" s="106">
        <f t="shared" si="870"/>
        <v>0</v>
      </c>
      <c r="U63" s="106">
        <f t="shared" si="871"/>
        <v>0</v>
      </c>
      <c r="V63" s="106">
        <f t="shared" si="872"/>
        <v>0</v>
      </c>
      <c r="W63" s="106">
        <f t="shared" si="873"/>
        <v>0</v>
      </c>
      <c r="X63" s="106">
        <f t="shared" si="874"/>
        <v>0</v>
      </c>
      <c r="Y63" s="106">
        <f t="shared" si="875"/>
        <v>0</v>
      </c>
      <c r="Z63" s="106">
        <f t="shared" si="876"/>
        <v>0</v>
      </c>
      <c r="AA63" s="106">
        <f t="shared" si="877"/>
        <v>0</v>
      </c>
      <c r="AB63" s="118">
        <f t="shared" si="401"/>
        <v>0</v>
      </c>
      <c r="AC63" s="106">
        <f t="shared" si="878"/>
        <v>0</v>
      </c>
      <c r="AD63" s="106">
        <f t="shared" si="879"/>
        <v>0</v>
      </c>
      <c r="AE63" s="106">
        <f t="shared" si="880"/>
        <v>0</v>
      </c>
      <c r="AF63" s="106">
        <f t="shared" si="881"/>
        <v>0</v>
      </c>
      <c r="AG63" s="106">
        <f t="shared" si="882"/>
        <v>0</v>
      </c>
      <c r="AH63" s="106">
        <f t="shared" si="883"/>
        <v>0</v>
      </c>
      <c r="AI63" s="106">
        <f t="shared" si="884"/>
        <v>0</v>
      </c>
      <c r="AJ63" s="106">
        <f t="shared" si="885"/>
        <v>0</v>
      </c>
      <c r="AK63" s="106">
        <f t="shared" si="886"/>
        <v>0</v>
      </c>
      <c r="AL63" s="106">
        <f t="shared" si="887"/>
        <v>0</v>
      </c>
      <c r="AM63" s="106">
        <f t="shared" si="888"/>
        <v>0</v>
      </c>
      <c r="AN63" s="106">
        <f t="shared" si="889"/>
        <v>0</v>
      </c>
      <c r="AO63" s="106">
        <f t="shared" si="890"/>
        <v>0</v>
      </c>
      <c r="AQ63" s="106">
        <v>0</v>
      </c>
      <c r="AR63" s="106">
        <v>0</v>
      </c>
      <c r="AS63" s="106">
        <v>0</v>
      </c>
      <c r="AT63" s="106">
        <v>0</v>
      </c>
      <c r="AU63" s="106">
        <v>0</v>
      </c>
      <c r="AV63" s="106">
        <v>0</v>
      </c>
      <c r="AW63" s="106">
        <v>0</v>
      </c>
      <c r="AX63" s="106">
        <v>0</v>
      </c>
      <c r="AY63" s="106">
        <v>0</v>
      </c>
      <c r="AZ63" s="106">
        <v>0</v>
      </c>
      <c r="BA63" s="106">
        <v>0</v>
      </c>
      <c r="BB63" s="106">
        <v>0</v>
      </c>
      <c r="BC63" s="106">
        <f t="shared" si="891"/>
        <v>0</v>
      </c>
      <c r="BD63" s="7" t="str">
        <f t="shared" si="900"/>
        <v>Finance Commission</v>
      </c>
      <c r="BE63" s="106">
        <f>+VLOOKUP($BD63,'Jan-25'!$A:$J,5,0)</f>
        <v>0</v>
      </c>
      <c r="BF63" s="106">
        <f>+VLOOKUP($BD63,'Feb-25'!$A:$J,5,0)</f>
        <v>0</v>
      </c>
      <c r="BG63" s="106">
        <f>+VLOOKUP($BD63,'Mar-25'!$A:$J,5,0)</f>
        <v>0</v>
      </c>
      <c r="BH63" s="106">
        <f>+VLOOKUP($BD63,'Apr-25'!$A:$J,5,0)</f>
        <v>0</v>
      </c>
      <c r="BI63" s="106">
        <f>+VLOOKUP($BD63,'May-25'!$A:$J,5,0)</f>
        <v>0</v>
      </c>
      <c r="BJ63" s="106">
        <f>+VLOOKUP($BD63,'June-25'!$A:$J,5,0)</f>
        <v>0</v>
      </c>
      <c r="BK63" s="106">
        <f>+VLOOKUP($BD63,'July-25'!$A:$J,5,0)</f>
        <v>0</v>
      </c>
      <c r="BL63" s="106">
        <f>+VLOOKUP($BD63,'Aug-25'!$A:$J,5,0)</f>
        <v>0</v>
      </c>
      <c r="BM63" s="106">
        <f>+VLOOKUP($BD63,'Sep-25'!$A:$J,5,0)</f>
        <v>0</v>
      </c>
      <c r="BN63" s="106">
        <f>+VLOOKUP($BD63,'Oct-25'!$A:$J,5,0)</f>
        <v>0</v>
      </c>
      <c r="BO63" s="106">
        <f>+VLOOKUP($BD63,'Nov-25'!$A:$J,5,0)</f>
        <v>0</v>
      </c>
      <c r="BP63" s="106">
        <f>+VLOOKUP($BD63,'Dec-25'!$A:$J,5,0)</f>
        <v>0</v>
      </c>
      <c r="BQ63" s="106">
        <f t="shared" si="892"/>
        <v>0</v>
      </c>
      <c r="BR63" s="118">
        <f t="shared" si="417"/>
        <v>0</v>
      </c>
      <c r="BS63" s="106"/>
      <c r="BT63" s="106"/>
      <c r="BU63" s="106"/>
      <c r="BV63" s="106"/>
      <c r="BW63" s="106"/>
      <c r="BX63" s="106"/>
      <c r="BY63" s="106"/>
      <c r="BZ63" s="106"/>
      <c r="CA63" s="106"/>
      <c r="CB63" s="106"/>
      <c r="CC63" s="106"/>
      <c r="CD63" s="106"/>
      <c r="CE63" s="106">
        <f t="shared" si="893"/>
        <v>0</v>
      </c>
      <c r="CF63" s="106"/>
      <c r="CG63" s="106"/>
      <c r="CH63" s="106"/>
      <c r="CI63" s="106"/>
      <c r="CJ63" s="106"/>
      <c r="CK63" s="106"/>
      <c r="CL63" s="106"/>
      <c r="CM63" s="106"/>
      <c r="CN63" s="106"/>
      <c r="CO63" s="106"/>
      <c r="CP63" s="106"/>
      <c r="CQ63" s="106"/>
      <c r="CR63" s="106"/>
      <c r="CS63" s="106">
        <f t="shared" si="894"/>
        <v>0</v>
      </c>
      <c r="CT63" s="7" t="str">
        <f t="shared" si="901"/>
        <v>Finance Commission</v>
      </c>
      <c r="CU63" s="106">
        <f>+VLOOKUP($BD63,'Jan-25'!$A:$J,8,0)</f>
        <v>0</v>
      </c>
      <c r="CV63" s="106">
        <f>+VLOOKUP($BD63,'Feb-25'!$A:$J,8,0)</f>
        <v>0</v>
      </c>
      <c r="CW63" s="106">
        <f>+VLOOKUP($BD63,'Mar-25'!$A:$J,8,0)</f>
        <v>0</v>
      </c>
      <c r="CX63" s="106">
        <f>+VLOOKUP($BD63,'Apr-25'!$A:$J,8,0)</f>
        <v>0</v>
      </c>
      <c r="CY63" s="106">
        <f>+VLOOKUP($BD63,'May-25'!$A:$J,8,0)</f>
        <v>0</v>
      </c>
      <c r="CZ63" s="106">
        <f>+VLOOKUP($BD63,'June-25'!$A:$J,8,0)</f>
        <v>0</v>
      </c>
      <c r="DA63" s="106">
        <f>+VLOOKUP($BD63,'July-25'!$A:$J,8,0)</f>
        <v>0</v>
      </c>
      <c r="DB63" s="106">
        <f>+VLOOKUP($BD63,'Aug-25'!$A:$J,8,0)</f>
        <v>0</v>
      </c>
      <c r="DC63" s="106">
        <f>+VLOOKUP($BD63,'Sep-25'!$A:$J,8,0)</f>
        <v>0</v>
      </c>
      <c r="DD63" s="106">
        <f>+VLOOKUP($BD63,'Oct-25'!$A:$J,8,0)</f>
        <v>0</v>
      </c>
      <c r="DE63" s="106">
        <f>+VLOOKUP($BD63,'Nov-25'!$A:$J,8,0)</f>
        <v>0</v>
      </c>
      <c r="DF63" s="106">
        <f>+VLOOKUP($BD63,'Dec-25'!$A:$J,8,0)</f>
        <v>0</v>
      </c>
      <c r="DG63" s="106">
        <f t="shared" si="895"/>
        <v>0</v>
      </c>
      <c r="DH63" s="118">
        <f t="shared" si="421"/>
        <v>0</v>
      </c>
      <c r="DI63" s="106"/>
      <c r="DJ63" s="106"/>
      <c r="DK63" s="106"/>
      <c r="DL63" s="106"/>
      <c r="DM63" s="106"/>
      <c r="DN63" s="106"/>
      <c r="DO63" s="106"/>
      <c r="DP63" s="106"/>
      <c r="DQ63" s="106"/>
      <c r="DR63" s="106"/>
      <c r="DS63" s="106"/>
      <c r="DT63" s="106"/>
      <c r="DU63" s="106">
        <f t="shared" si="896"/>
        <v>0</v>
      </c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106">
        <f t="shared" si="897"/>
        <v>0</v>
      </c>
      <c r="EJ63" s="7" t="str">
        <f t="shared" si="217"/>
        <v>Finance Commission</v>
      </c>
      <c r="EK63" s="22">
        <f>+VLOOKUP($BD63,'Jan-25'!$A:$J,10,0)</f>
        <v>0</v>
      </c>
      <c r="EL63" s="22">
        <f>+VLOOKUP($BD63,'Feb-25'!$A:$J,10,0)</f>
        <v>0</v>
      </c>
      <c r="EM63" s="22">
        <f>+VLOOKUP($BD63,'Mar-25'!$A:$J,10,0)</f>
        <v>0</v>
      </c>
      <c r="EN63" s="22">
        <f>+VLOOKUP($BD63,'Apr-25'!$A:$J,10,0)</f>
        <v>0</v>
      </c>
      <c r="EO63" s="22">
        <f>+VLOOKUP($BD63,'May-25'!$A:$J,10,0)</f>
        <v>0</v>
      </c>
      <c r="EP63" s="22">
        <f>+VLOOKUP($BD63,'June-25'!$A:$J,10,0)</f>
        <v>0</v>
      </c>
      <c r="EQ63" s="22">
        <f>+VLOOKUP($BD63,'July-25'!$A:$J,10,0)</f>
        <v>0</v>
      </c>
      <c r="ER63" s="22">
        <f>+VLOOKUP($BD63,'Aug-25'!$A:$J,10,0)</f>
        <v>0</v>
      </c>
      <c r="ES63" s="22">
        <f>+VLOOKUP($BD63,'Sep-25'!$A:$J,10,0)</f>
        <v>0</v>
      </c>
      <c r="ET63" s="22">
        <f>+VLOOKUP($BD63,'Oct-25'!$A:$J,10,0)</f>
        <v>0</v>
      </c>
      <c r="EU63" s="22">
        <f>+VLOOKUP($BD63,'Nov-25'!$A:$J,10,0)</f>
        <v>0</v>
      </c>
      <c r="EV63" s="22">
        <f>+VLOOKUP($BD63,'Dec-25'!$A:$J,10,0)</f>
        <v>0</v>
      </c>
      <c r="EW63" s="22">
        <f t="shared" si="898"/>
        <v>0</v>
      </c>
      <c r="EX63" s="118" t="e">
        <f t="shared" si="425"/>
        <v>#DIV/0!</v>
      </c>
      <c r="EY63" s="106">
        <f>+_xlfn.XLOOKUP($EJ63,Budget!$A:$A,Budget!DR:DR)</f>
        <v>0</v>
      </c>
      <c r="EZ63" s="106">
        <f>+_xlfn.XLOOKUP($EJ63,Budget!$A:$A,Budget!DS:DS)</f>
        <v>0</v>
      </c>
      <c r="FA63" s="106">
        <f>+_xlfn.XLOOKUP($EJ63,Budget!$A:$A,Budget!DT:DT)</f>
        <v>0</v>
      </c>
      <c r="FB63" s="106">
        <f>+_xlfn.XLOOKUP($EJ63,Budget!$A:$A,Budget!DU:DU)</f>
        <v>0</v>
      </c>
      <c r="FC63" s="106">
        <f>+_xlfn.XLOOKUP($EJ63,Budget!$A:$A,Budget!DV:DV)</f>
        <v>0</v>
      </c>
      <c r="FD63" s="106">
        <f>+_xlfn.XLOOKUP($EJ63,Budget!$A:$A,Budget!DW:DW)</f>
        <v>0</v>
      </c>
      <c r="FE63" s="106">
        <f>+_xlfn.XLOOKUP($EJ63,Budget!$A:$A,Budget!DX:DX)</f>
        <v>0</v>
      </c>
      <c r="FF63" s="106">
        <f>+_xlfn.XLOOKUP($EJ63,Budget!$A:$A,Budget!DY:DY)</f>
        <v>0</v>
      </c>
      <c r="FG63" s="106">
        <f>+_xlfn.XLOOKUP($EJ63,Budget!$A:$A,Budget!DZ:DZ)</f>
        <v>0</v>
      </c>
      <c r="FH63" s="106">
        <f>+_xlfn.XLOOKUP($EJ63,Budget!$A:$A,Budget!EA:EA)</f>
        <v>0</v>
      </c>
      <c r="FI63" s="106">
        <f>+_xlfn.XLOOKUP($EJ63,Budget!$A:$A,Budget!EB:EB)</f>
        <v>0</v>
      </c>
      <c r="FJ63" s="106">
        <f>+_xlfn.XLOOKUP($EJ63,Budget!$A:$A,Budget!EC:EC)</f>
        <v>0</v>
      </c>
      <c r="FK63" s="106">
        <f t="shared" si="899"/>
        <v>0</v>
      </c>
    </row>
    <row r="64" spans="1:167" ht="14.45" hidden="1" customHeight="1" outlineLevel="1">
      <c r="A64" s="106">
        <f t="shared" si="852"/>
        <v>0</v>
      </c>
      <c r="B64" s="106">
        <f t="shared" si="853"/>
        <v>0</v>
      </c>
      <c r="C64" s="106">
        <f t="shared" si="854"/>
        <v>0</v>
      </c>
      <c r="D64" s="106">
        <f t="shared" si="855"/>
        <v>0</v>
      </c>
      <c r="E64" s="106">
        <f t="shared" si="856"/>
        <v>0</v>
      </c>
      <c r="F64" s="106">
        <f t="shared" si="857"/>
        <v>0</v>
      </c>
      <c r="G64" s="106">
        <f t="shared" si="858"/>
        <v>0</v>
      </c>
      <c r="H64" s="106">
        <f t="shared" si="859"/>
        <v>0</v>
      </c>
      <c r="I64" s="106">
        <f t="shared" si="860"/>
        <v>0</v>
      </c>
      <c r="J64" s="106">
        <f t="shared" si="861"/>
        <v>0</v>
      </c>
      <c r="K64" s="106">
        <f t="shared" si="862"/>
        <v>0</v>
      </c>
      <c r="L64" s="106">
        <f t="shared" si="863"/>
        <v>0</v>
      </c>
      <c r="M64" s="106">
        <f t="shared" si="864"/>
        <v>0</v>
      </c>
      <c r="N64" s="7" t="s">
        <v>50</v>
      </c>
      <c r="O64" s="106">
        <f t="shared" si="865"/>
        <v>0</v>
      </c>
      <c r="P64" s="106">
        <f t="shared" si="866"/>
        <v>0</v>
      </c>
      <c r="Q64" s="106">
        <f t="shared" si="867"/>
        <v>0</v>
      </c>
      <c r="R64" s="106">
        <f t="shared" si="868"/>
        <v>0</v>
      </c>
      <c r="S64" s="106">
        <f t="shared" si="869"/>
        <v>0</v>
      </c>
      <c r="T64" s="106">
        <f t="shared" si="870"/>
        <v>0</v>
      </c>
      <c r="U64" s="106">
        <f t="shared" si="871"/>
        <v>0</v>
      </c>
      <c r="V64" s="106">
        <f t="shared" si="872"/>
        <v>0</v>
      </c>
      <c r="W64" s="106">
        <f t="shared" si="873"/>
        <v>0</v>
      </c>
      <c r="X64" s="106">
        <f t="shared" si="874"/>
        <v>0</v>
      </c>
      <c r="Y64" s="106">
        <f t="shared" si="875"/>
        <v>0</v>
      </c>
      <c r="Z64" s="106">
        <f t="shared" si="876"/>
        <v>0</v>
      </c>
      <c r="AA64" s="106">
        <f t="shared" si="877"/>
        <v>0</v>
      </c>
      <c r="AB64" s="118">
        <f t="shared" si="401"/>
        <v>0</v>
      </c>
      <c r="AC64" s="106">
        <f t="shared" si="878"/>
        <v>0</v>
      </c>
      <c r="AD64" s="106">
        <f t="shared" si="879"/>
        <v>0</v>
      </c>
      <c r="AE64" s="106">
        <f t="shared" si="880"/>
        <v>0</v>
      </c>
      <c r="AF64" s="106">
        <f t="shared" si="881"/>
        <v>0</v>
      </c>
      <c r="AG64" s="106">
        <f t="shared" si="882"/>
        <v>0</v>
      </c>
      <c r="AH64" s="106">
        <f t="shared" si="883"/>
        <v>0</v>
      </c>
      <c r="AI64" s="106">
        <f t="shared" si="884"/>
        <v>0</v>
      </c>
      <c r="AJ64" s="106">
        <f t="shared" si="885"/>
        <v>0</v>
      </c>
      <c r="AK64" s="106">
        <f t="shared" si="886"/>
        <v>0</v>
      </c>
      <c r="AL64" s="106">
        <f t="shared" si="887"/>
        <v>0</v>
      </c>
      <c r="AM64" s="106">
        <f t="shared" si="888"/>
        <v>0</v>
      </c>
      <c r="AN64" s="106">
        <f t="shared" si="889"/>
        <v>0</v>
      </c>
      <c r="AO64" s="106">
        <f t="shared" si="890"/>
        <v>0</v>
      </c>
      <c r="AQ64" s="106">
        <v>0</v>
      </c>
      <c r="AR64" s="106">
        <v>0</v>
      </c>
      <c r="AS64" s="106">
        <v>0</v>
      </c>
      <c r="AT64" s="106">
        <v>0</v>
      </c>
      <c r="AU64" s="106">
        <v>0</v>
      </c>
      <c r="AV64" s="106">
        <v>0</v>
      </c>
      <c r="AW64" s="106">
        <v>0</v>
      </c>
      <c r="AX64" s="106">
        <v>0</v>
      </c>
      <c r="AY64" s="106">
        <v>0</v>
      </c>
      <c r="AZ64" s="106">
        <v>0</v>
      </c>
      <c r="BA64" s="106">
        <v>0</v>
      </c>
      <c r="BB64" s="106">
        <v>0</v>
      </c>
      <c r="BC64" s="106">
        <f t="shared" si="891"/>
        <v>0</v>
      </c>
      <c r="BD64" s="7" t="str">
        <f t="shared" si="900"/>
        <v>Dealer Incentive</v>
      </c>
      <c r="BE64" s="106">
        <f>+VLOOKUP($BD64,'Jan-25'!$A:$J,5,0)</f>
        <v>0</v>
      </c>
      <c r="BF64" s="106">
        <f>+VLOOKUP($BD64,'Feb-25'!$A:$J,5,0)</f>
        <v>0</v>
      </c>
      <c r="BG64" s="106">
        <f>+VLOOKUP($BD64,'Mar-25'!$A:$J,5,0)</f>
        <v>0</v>
      </c>
      <c r="BH64" s="106">
        <f>+VLOOKUP($BD64,'Apr-25'!$A:$J,5,0)</f>
        <v>0</v>
      </c>
      <c r="BI64" s="106">
        <f>+VLOOKUP($BD64,'May-25'!$A:$J,5,0)</f>
        <v>0</v>
      </c>
      <c r="BJ64" s="106">
        <f>+VLOOKUP($BD64,'June-25'!$A:$J,5,0)</f>
        <v>0</v>
      </c>
      <c r="BK64" s="106">
        <f>+VLOOKUP($BD64,'July-25'!$A:$J,5,0)</f>
        <v>0</v>
      </c>
      <c r="BL64" s="106">
        <f>+VLOOKUP($BD64,'Aug-25'!$A:$J,5,0)</f>
        <v>0</v>
      </c>
      <c r="BM64" s="106">
        <f>+VLOOKUP($BD64,'Sep-25'!$A:$J,5,0)</f>
        <v>0</v>
      </c>
      <c r="BN64" s="106">
        <f>+VLOOKUP($BD64,'Oct-25'!$A:$J,5,0)</f>
        <v>0</v>
      </c>
      <c r="BO64" s="106">
        <f>+VLOOKUP($BD64,'Nov-25'!$A:$J,5,0)</f>
        <v>0</v>
      </c>
      <c r="BP64" s="106">
        <f>+VLOOKUP($BD64,'Dec-25'!$A:$J,5,0)</f>
        <v>0</v>
      </c>
      <c r="BQ64" s="106">
        <f t="shared" si="892"/>
        <v>0</v>
      </c>
      <c r="BR64" s="118">
        <f t="shared" si="417"/>
        <v>0</v>
      </c>
      <c r="BS64" s="106"/>
      <c r="BT64" s="106"/>
      <c r="BU64" s="106"/>
      <c r="BV64" s="106"/>
      <c r="BW64" s="106"/>
      <c r="BX64" s="106"/>
      <c r="BY64" s="106"/>
      <c r="BZ64" s="106"/>
      <c r="CA64" s="106"/>
      <c r="CB64" s="106"/>
      <c r="CC64" s="106"/>
      <c r="CD64" s="106"/>
      <c r="CE64" s="106">
        <f t="shared" si="893"/>
        <v>0</v>
      </c>
      <c r="CF64" s="106"/>
      <c r="CG64" s="106"/>
      <c r="CH64" s="106"/>
      <c r="CI64" s="106"/>
      <c r="CJ64" s="106"/>
      <c r="CK64" s="106"/>
      <c r="CL64" s="106"/>
      <c r="CM64" s="106"/>
      <c r="CN64" s="106"/>
      <c r="CO64" s="106"/>
      <c r="CP64" s="106"/>
      <c r="CQ64" s="106"/>
      <c r="CR64" s="106"/>
      <c r="CS64" s="106">
        <f t="shared" si="894"/>
        <v>0</v>
      </c>
      <c r="CT64" s="7" t="str">
        <f t="shared" si="901"/>
        <v>Dealer Incentive</v>
      </c>
      <c r="CU64" s="106">
        <f>+VLOOKUP($BD64,'Jan-25'!$A:$J,8,0)</f>
        <v>0</v>
      </c>
      <c r="CV64" s="106">
        <f>+VLOOKUP($BD64,'Feb-25'!$A:$J,8,0)</f>
        <v>0</v>
      </c>
      <c r="CW64" s="106">
        <f>+VLOOKUP($BD64,'Mar-25'!$A:$J,8,0)</f>
        <v>0</v>
      </c>
      <c r="CX64" s="106">
        <f>+VLOOKUP($BD64,'Apr-25'!$A:$J,8,0)</f>
        <v>0</v>
      </c>
      <c r="CY64" s="106">
        <f>+VLOOKUP($BD64,'May-25'!$A:$J,8,0)</f>
        <v>0</v>
      </c>
      <c r="CZ64" s="106">
        <f>+VLOOKUP($BD64,'June-25'!$A:$J,8,0)</f>
        <v>0</v>
      </c>
      <c r="DA64" s="106">
        <f>+VLOOKUP($BD64,'July-25'!$A:$J,8,0)</f>
        <v>0</v>
      </c>
      <c r="DB64" s="106">
        <f>+VLOOKUP($BD64,'Aug-25'!$A:$J,8,0)</f>
        <v>0</v>
      </c>
      <c r="DC64" s="106">
        <f>+VLOOKUP($BD64,'Sep-25'!$A:$J,8,0)</f>
        <v>0</v>
      </c>
      <c r="DD64" s="106">
        <f>+VLOOKUP($BD64,'Oct-25'!$A:$J,8,0)</f>
        <v>0</v>
      </c>
      <c r="DE64" s="106">
        <f>+VLOOKUP($BD64,'Nov-25'!$A:$J,8,0)</f>
        <v>0</v>
      </c>
      <c r="DF64" s="106">
        <f>+VLOOKUP($BD64,'Dec-25'!$A:$J,8,0)</f>
        <v>0</v>
      </c>
      <c r="DG64" s="106">
        <f t="shared" si="895"/>
        <v>0</v>
      </c>
      <c r="DH64" s="118">
        <f t="shared" si="421"/>
        <v>0</v>
      </c>
      <c r="DI64" s="106"/>
      <c r="DJ64" s="106"/>
      <c r="DK64" s="106"/>
      <c r="DL64" s="106"/>
      <c r="DM64" s="106"/>
      <c r="DN64" s="106"/>
      <c r="DO64" s="106"/>
      <c r="DP64" s="106"/>
      <c r="DQ64" s="106"/>
      <c r="DR64" s="106"/>
      <c r="DS64" s="106"/>
      <c r="DT64" s="106"/>
      <c r="DU64" s="106">
        <f t="shared" si="896"/>
        <v>0</v>
      </c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106">
        <f t="shared" si="897"/>
        <v>0</v>
      </c>
      <c r="EJ64" s="7" t="str">
        <f t="shared" si="217"/>
        <v>Dealer Incentive</v>
      </c>
      <c r="EK64" s="22">
        <f>+VLOOKUP($BD64,'Jan-25'!$A:$J,10,0)</f>
        <v>0</v>
      </c>
      <c r="EL64" s="22">
        <f>+VLOOKUP($BD64,'Feb-25'!$A:$J,10,0)</f>
        <v>0</v>
      </c>
      <c r="EM64" s="22">
        <f>+VLOOKUP($BD64,'Mar-25'!$A:$J,10,0)</f>
        <v>0</v>
      </c>
      <c r="EN64" s="22">
        <f>+VLOOKUP($BD64,'Apr-25'!$A:$J,10,0)</f>
        <v>0</v>
      </c>
      <c r="EO64" s="22">
        <f>+VLOOKUP($BD64,'May-25'!$A:$J,10,0)</f>
        <v>0</v>
      </c>
      <c r="EP64" s="22">
        <f>+VLOOKUP($BD64,'June-25'!$A:$J,10,0)</f>
        <v>0</v>
      </c>
      <c r="EQ64" s="22">
        <f>+VLOOKUP($BD64,'July-25'!$A:$J,10,0)</f>
        <v>0</v>
      </c>
      <c r="ER64" s="22">
        <f>+VLOOKUP($BD64,'Aug-25'!$A:$J,10,0)</f>
        <v>0</v>
      </c>
      <c r="ES64" s="22">
        <f>+VLOOKUP($BD64,'Sep-25'!$A:$J,10,0)</f>
        <v>0</v>
      </c>
      <c r="ET64" s="22">
        <f>+VLOOKUP($BD64,'Oct-25'!$A:$J,10,0)</f>
        <v>0</v>
      </c>
      <c r="EU64" s="22">
        <f>+VLOOKUP($BD64,'Nov-25'!$A:$J,10,0)</f>
        <v>0</v>
      </c>
      <c r="EV64" s="22">
        <f>+VLOOKUP($BD64,'Dec-25'!$A:$J,10,0)</f>
        <v>0</v>
      </c>
      <c r="EW64" s="22">
        <f t="shared" si="898"/>
        <v>0</v>
      </c>
      <c r="EX64" s="118" t="e">
        <f t="shared" si="425"/>
        <v>#DIV/0!</v>
      </c>
      <c r="EY64" s="106">
        <f>+_xlfn.XLOOKUP($EJ64,Budget!$A:$A,Budget!DR:DR)</f>
        <v>0</v>
      </c>
      <c r="EZ64" s="106">
        <f>+_xlfn.XLOOKUP($EJ64,Budget!$A:$A,Budget!DS:DS)</f>
        <v>0</v>
      </c>
      <c r="FA64" s="106">
        <f>+_xlfn.XLOOKUP($EJ64,Budget!$A:$A,Budget!DT:DT)</f>
        <v>0</v>
      </c>
      <c r="FB64" s="106">
        <f>+_xlfn.XLOOKUP($EJ64,Budget!$A:$A,Budget!DU:DU)</f>
        <v>0</v>
      </c>
      <c r="FC64" s="106">
        <f>+_xlfn.XLOOKUP($EJ64,Budget!$A:$A,Budget!DV:DV)</f>
        <v>0</v>
      </c>
      <c r="FD64" s="106">
        <f>+_xlfn.XLOOKUP($EJ64,Budget!$A:$A,Budget!DW:DW)</f>
        <v>0</v>
      </c>
      <c r="FE64" s="106">
        <f>+_xlfn.XLOOKUP($EJ64,Budget!$A:$A,Budget!DX:DX)</f>
        <v>0</v>
      </c>
      <c r="FF64" s="106">
        <f>+_xlfn.XLOOKUP($EJ64,Budget!$A:$A,Budget!DY:DY)</f>
        <v>0</v>
      </c>
      <c r="FG64" s="106">
        <f>+_xlfn.XLOOKUP($EJ64,Budget!$A:$A,Budget!DZ:DZ)</f>
        <v>0</v>
      </c>
      <c r="FH64" s="106">
        <f>+_xlfn.XLOOKUP($EJ64,Budget!$A:$A,Budget!EA:EA)</f>
        <v>0</v>
      </c>
      <c r="FI64" s="106">
        <f>+_xlfn.XLOOKUP($EJ64,Budget!$A:$A,Budget!EB:EB)</f>
        <v>0</v>
      </c>
      <c r="FJ64" s="106">
        <f>+_xlfn.XLOOKUP($EJ64,Budget!$A:$A,Budget!EC:EC)</f>
        <v>0</v>
      </c>
      <c r="FK64" s="106">
        <f t="shared" si="899"/>
        <v>0</v>
      </c>
    </row>
    <row r="65" spans="1:167" ht="14.45" hidden="1" customHeight="1" outlineLevel="1">
      <c r="A65" s="106">
        <f t="shared" si="852"/>
        <v>0</v>
      </c>
      <c r="B65" s="106">
        <f t="shared" si="853"/>
        <v>0</v>
      </c>
      <c r="C65" s="106">
        <f t="shared" si="854"/>
        <v>0</v>
      </c>
      <c r="D65" s="106">
        <f t="shared" si="855"/>
        <v>0</v>
      </c>
      <c r="E65" s="106">
        <f t="shared" si="856"/>
        <v>0</v>
      </c>
      <c r="F65" s="106">
        <f t="shared" si="857"/>
        <v>0</v>
      </c>
      <c r="G65" s="106">
        <f t="shared" si="858"/>
        <v>0</v>
      </c>
      <c r="H65" s="106">
        <f t="shared" si="859"/>
        <v>0</v>
      </c>
      <c r="I65" s="106">
        <f t="shared" si="860"/>
        <v>0</v>
      </c>
      <c r="J65" s="106">
        <f t="shared" si="861"/>
        <v>0</v>
      </c>
      <c r="K65" s="106">
        <f t="shared" si="862"/>
        <v>0</v>
      </c>
      <c r="L65" s="106">
        <f t="shared" si="863"/>
        <v>0</v>
      </c>
      <c r="M65" s="106">
        <f t="shared" si="864"/>
        <v>0</v>
      </c>
      <c r="N65" s="7" t="s">
        <v>51</v>
      </c>
      <c r="O65" s="106">
        <f t="shared" si="865"/>
        <v>0</v>
      </c>
      <c r="P65" s="106">
        <f t="shared" si="866"/>
        <v>0</v>
      </c>
      <c r="Q65" s="106">
        <f t="shared" si="867"/>
        <v>39080.339999999997</v>
      </c>
      <c r="R65" s="106">
        <f t="shared" si="868"/>
        <v>0</v>
      </c>
      <c r="S65" s="106">
        <f t="shared" si="869"/>
        <v>0</v>
      </c>
      <c r="T65" s="106">
        <f t="shared" si="870"/>
        <v>0</v>
      </c>
      <c r="U65" s="106">
        <f t="shared" si="871"/>
        <v>0</v>
      </c>
      <c r="V65" s="106">
        <f t="shared" si="872"/>
        <v>0</v>
      </c>
      <c r="W65" s="106">
        <f t="shared" si="873"/>
        <v>0</v>
      </c>
      <c r="X65" s="106">
        <f t="shared" si="874"/>
        <v>0</v>
      </c>
      <c r="Y65" s="106">
        <f t="shared" si="875"/>
        <v>0</v>
      </c>
      <c r="Z65" s="106">
        <f t="shared" si="876"/>
        <v>0</v>
      </c>
      <c r="AA65" s="106">
        <f t="shared" si="877"/>
        <v>39080.339999999997</v>
      </c>
      <c r="AB65" s="118">
        <f t="shared" si="401"/>
        <v>0</v>
      </c>
      <c r="AC65" s="106">
        <f t="shared" si="878"/>
        <v>0</v>
      </c>
      <c r="AD65" s="106">
        <f t="shared" si="879"/>
        <v>0</v>
      </c>
      <c r="AE65" s="106">
        <f t="shared" si="880"/>
        <v>0</v>
      </c>
      <c r="AF65" s="106">
        <f t="shared" si="881"/>
        <v>0</v>
      </c>
      <c r="AG65" s="106">
        <f t="shared" si="882"/>
        <v>0</v>
      </c>
      <c r="AH65" s="106">
        <f t="shared" si="883"/>
        <v>0</v>
      </c>
      <c r="AI65" s="106">
        <f t="shared" si="884"/>
        <v>0</v>
      </c>
      <c r="AJ65" s="106">
        <f t="shared" si="885"/>
        <v>0</v>
      </c>
      <c r="AK65" s="106">
        <f t="shared" si="886"/>
        <v>0</v>
      </c>
      <c r="AL65" s="106">
        <f t="shared" si="887"/>
        <v>0</v>
      </c>
      <c r="AM65" s="106">
        <f t="shared" si="888"/>
        <v>0</v>
      </c>
      <c r="AN65" s="106">
        <f t="shared" si="889"/>
        <v>0</v>
      </c>
      <c r="AO65" s="106">
        <f t="shared" si="890"/>
        <v>0</v>
      </c>
      <c r="AQ65" s="106">
        <v>0</v>
      </c>
      <c r="AR65" s="106">
        <v>0</v>
      </c>
      <c r="AS65" s="106">
        <v>0</v>
      </c>
      <c r="AT65" s="106">
        <v>0</v>
      </c>
      <c r="AU65" s="106">
        <v>0</v>
      </c>
      <c r="AV65" s="106">
        <v>0</v>
      </c>
      <c r="AW65" s="106">
        <v>0</v>
      </c>
      <c r="AX65" s="106">
        <v>0</v>
      </c>
      <c r="AY65" s="106">
        <v>0</v>
      </c>
      <c r="AZ65" s="106">
        <v>0</v>
      </c>
      <c r="BA65" s="106">
        <v>0</v>
      </c>
      <c r="BB65" s="106">
        <v>0</v>
      </c>
      <c r="BC65" s="106">
        <f t="shared" si="891"/>
        <v>0</v>
      </c>
      <c r="BD65" s="7" t="str">
        <f t="shared" si="900"/>
        <v>Profit/Loss on sale of fixed Asset</v>
      </c>
      <c r="BE65" s="106">
        <f>+VLOOKUP($BD65,'Jan-25'!$A:$J,5,0)</f>
        <v>0</v>
      </c>
      <c r="BF65" s="106">
        <f>+VLOOKUP($BD65,'Feb-25'!$A:$J,5,0)</f>
        <v>0</v>
      </c>
      <c r="BG65" s="106">
        <f>+VLOOKUP($BD65,'Mar-25'!$A:$J,5,0)</f>
        <v>26053.559999999998</v>
      </c>
      <c r="BH65" s="106">
        <f>+VLOOKUP($BD65,'Apr-25'!$A:$J,5,0)</f>
        <v>0</v>
      </c>
      <c r="BI65" s="106">
        <f>+VLOOKUP($BD65,'May-25'!$A:$J,5,0)</f>
        <v>0</v>
      </c>
      <c r="BJ65" s="106">
        <f>+VLOOKUP($BD65,'June-25'!$A:$J,5,0)</f>
        <v>0</v>
      </c>
      <c r="BK65" s="106">
        <f>+VLOOKUP($BD65,'July-25'!$A:$J,5,0)</f>
        <v>0</v>
      </c>
      <c r="BL65" s="106">
        <f>+VLOOKUP($BD65,'Aug-25'!$A:$J,5,0)</f>
        <v>0</v>
      </c>
      <c r="BM65" s="106">
        <f>+VLOOKUP($BD65,'Sep-25'!$A:$J,5,0)</f>
        <v>0</v>
      </c>
      <c r="BN65" s="106">
        <f>+VLOOKUP($BD65,'Oct-25'!$A:$J,5,0)</f>
        <v>0</v>
      </c>
      <c r="BO65" s="106">
        <f>+VLOOKUP($BD65,'Nov-25'!$A:$J,5,0)</f>
        <v>0</v>
      </c>
      <c r="BP65" s="106">
        <f>+VLOOKUP($BD65,'Dec-25'!$A:$J,5,0)</f>
        <v>0</v>
      </c>
      <c r="BQ65" s="106">
        <f t="shared" si="892"/>
        <v>26053.559999999998</v>
      </c>
      <c r="BR65" s="118">
        <f t="shared" si="417"/>
        <v>0</v>
      </c>
      <c r="BS65" s="106"/>
      <c r="BT65" s="106"/>
      <c r="BU65" s="106"/>
      <c r="BV65" s="106"/>
      <c r="BW65" s="106"/>
      <c r="BX65" s="106"/>
      <c r="BY65" s="106"/>
      <c r="BZ65" s="106"/>
      <c r="CA65" s="106"/>
      <c r="CB65" s="106"/>
      <c r="CC65" s="106"/>
      <c r="CD65" s="106"/>
      <c r="CE65" s="106">
        <f t="shared" si="893"/>
        <v>0</v>
      </c>
      <c r="CF65" s="106"/>
      <c r="CG65" s="106"/>
      <c r="CH65" s="106"/>
      <c r="CI65" s="106"/>
      <c r="CJ65" s="106"/>
      <c r="CK65" s="106"/>
      <c r="CL65" s="106"/>
      <c r="CM65" s="106"/>
      <c r="CN65" s="106"/>
      <c r="CO65" s="106"/>
      <c r="CP65" s="106"/>
      <c r="CQ65" s="106"/>
      <c r="CR65" s="106"/>
      <c r="CS65" s="106">
        <f t="shared" si="894"/>
        <v>0</v>
      </c>
      <c r="CT65" s="7" t="str">
        <f t="shared" si="901"/>
        <v>Profit/Loss on sale of fixed Asset</v>
      </c>
      <c r="CU65" s="106">
        <f>+VLOOKUP($BD65,'Jan-25'!$A:$J,8,0)</f>
        <v>0</v>
      </c>
      <c r="CV65" s="106">
        <f>+VLOOKUP($BD65,'Feb-25'!$A:$J,8,0)</f>
        <v>0</v>
      </c>
      <c r="CW65" s="106">
        <f>+VLOOKUP($BD65,'Mar-25'!$A:$J,8,0)</f>
        <v>13026.779999999999</v>
      </c>
      <c r="CX65" s="106">
        <f>+VLOOKUP($BD65,'Apr-25'!$A:$J,8,0)</f>
        <v>0</v>
      </c>
      <c r="CY65" s="106">
        <f>+VLOOKUP($BD65,'May-25'!$A:$J,8,0)</f>
        <v>0</v>
      </c>
      <c r="CZ65" s="106">
        <f>+VLOOKUP($BD65,'June-25'!$A:$J,8,0)</f>
        <v>0</v>
      </c>
      <c r="DA65" s="106">
        <f>+VLOOKUP($BD65,'July-25'!$A:$J,8,0)</f>
        <v>0</v>
      </c>
      <c r="DB65" s="106">
        <f>+VLOOKUP($BD65,'Aug-25'!$A:$J,8,0)</f>
        <v>0</v>
      </c>
      <c r="DC65" s="106">
        <f>+VLOOKUP($BD65,'Sep-25'!$A:$J,8,0)</f>
        <v>0</v>
      </c>
      <c r="DD65" s="106">
        <f>+VLOOKUP($BD65,'Oct-25'!$A:$J,8,0)</f>
        <v>0</v>
      </c>
      <c r="DE65" s="106">
        <f>+VLOOKUP($BD65,'Nov-25'!$A:$J,8,0)</f>
        <v>0</v>
      </c>
      <c r="DF65" s="106">
        <f>+VLOOKUP($BD65,'Dec-25'!$A:$J,8,0)</f>
        <v>0</v>
      </c>
      <c r="DG65" s="106">
        <f t="shared" si="895"/>
        <v>13026.779999999999</v>
      </c>
      <c r="DH65" s="118">
        <f t="shared" si="421"/>
        <v>0</v>
      </c>
      <c r="DI65" s="106"/>
      <c r="DJ65" s="106"/>
      <c r="DK65" s="106"/>
      <c r="DL65" s="106"/>
      <c r="DM65" s="106"/>
      <c r="DN65" s="106"/>
      <c r="DO65" s="106"/>
      <c r="DP65" s="106"/>
      <c r="DQ65" s="106"/>
      <c r="DR65" s="106"/>
      <c r="DS65" s="106"/>
      <c r="DT65" s="106"/>
      <c r="DU65" s="106">
        <f t="shared" si="896"/>
        <v>0</v>
      </c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106">
        <f t="shared" si="897"/>
        <v>0</v>
      </c>
      <c r="EJ65" s="7" t="str">
        <f t="shared" si="217"/>
        <v>Profit/Loss on sale of fixed Asset</v>
      </c>
      <c r="EK65" s="22">
        <f>+VLOOKUP($BD65,'Jan-25'!$A:$J,10,0)</f>
        <v>0</v>
      </c>
      <c r="EL65" s="22">
        <f>+VLOOKUP($BD65,'Feb-25'!$A:$J,10,0)</f>
        <v>0</v>
      </c>
      <c r="EM65" s="22">
        <f>+VLOOKUP($BD65,'Mar-25'!$A:$J,10,0)</f>
        <v>0</v>
      </c>
      <c r="EN65" s="22">
        <f>+VLOOKUP($BD65,'Apr-25'!$A:$J,10,0)</f>
        <v>0</v>
      </c>
      <c r="EO65" s="22">
        <f>+VLOOKUP($BD65,'May-25'!$A:$J,10,0)</f>
        <v>0</v>
      </c>
      <c r="EP65" s="22">
        <f>+VLOOKUP($BD65,'June-25'!$A:$J,10,0)</f>
        <v>0</v>
      </c>
      <c r="EQ65" s="22">
        <f>+VLOOKUP($BD65,'July-25'!$A:$J,10,0)</f>
        <v>0</v>
      </c>
      <c r="ER65" s="22">
        <f>+VLOOKUP($BD65,'Aug-25'!$A:$J,10,0)</f>
        <v>0</v>
      </c>
      <c r="ES65" s="22">
        <f>+VLOOKUP($BD65,'Sep-25'!$A:$J,10,0)</f>
        <v>0</v>
      </c>
      <c r="ET65" s="22">
        <f>+VLOOKUP($BD65,'Oct-25'!$A:$J,10,0)</f>
        <v>0</v>
      </c>
      <c r="EU65" s="22">
        <f>+VLOOKUP($BD65,'Nov-25'!$A:$J,10,0)</f>
        <v>0</v>
      </c>
      <c r="EV65" s="22">
        <f>+VLOOKUP($BD65,'Dec-25'!$A:$J,10,0)</f>
        <v>0</v>
      </c>
      <c r="EW65" s="22">
        <f t="shared" si="898"/>
        <v>0</v>
      </c>
      <c r="EX65" s="118" t="e">
        <f t="shared" si="425"/>
        <v>#DIV/0!</v>
      </c>
      <c r="EY65" s="106"/>
      <c r="EZ65" s="106"/>
      <c r="FA65" s="106"/>
      <c r="FB65" s="106"/>
      <c r="FC65" s="106"/>
      <c r="FD65" s="106"/>
      <c r="FE65" s="106"/>
      <c r="FF65" s="106"/>
      <c r="FG65" s="106"/>
      <c r="FH65" s="106"/>
      <c r="FI65" s="106"/>
      <c r="FJ65" s="106"/>
      <c r="FK65" s="106">
        <f t="shared" si="899"/>
        <v>0</v>
      </c>
    </row>
    <row r="66" spans="1:167" ht="14.45" hidden="1" customHeight="1" outlineLevel="1">
      <c r="A66" s="106">
        <f t="shared" si="852"/>
        <v>0</v>
      </c>
      <c r="B66" s="106">
        <f t="shared" si="853"/>
        <v>0</v>
      </c>
      <c r="C66" s="106">
        <f t="shared" si="854"/>
        <v>0</v>
      </c>
      <c r="D66" s="106">
        <f t="shared" si="855"/>
        <v>0</v>
      </c>
      <c r="E66" s="106">
        <f t="shared" si="856"/>
        <v>0</v>
      </c>
      <c r="F66" s="106">
        <f t="shared" si="857"/>
        <v>0</v>
      </c>
      <c r="G66" s="106">
        <f t="shared" si="858"/>
        <v>0</v>
      </c>
      <c r="H66" s="106">
        <f t="shared" si="859"/>
        <v>0</v>
      </c>
      <c r="I66" s="106">
        <f t="shared" si="860"/>
        <v>0</v>
      </c>
      <c r="J66" s="106">
        <f t="shared" si="861"/>
        <v>0</v>
      </c>
      <c r="K66" s="106">
        <f t="shared" si="862"/>
        <v>0</v>
      </c>
      <c r="L66" s="106">
        <f t="shared" si="863"/>
        <v>0</v>
      </c>
      <c r="M66" s="106">
        <f t="shared" si="864"/>
        <v>0</v>
      </c>
      <c r="N66" s="7" t="s">
        <v>52</v>
      </c>
      <c r="O66" s="106">
        <f t="shared" si="865"/>
        <v>0</v>
      </c>
      <c r="P66" s="106">
        <f t="shared" si="866"/>
        <v>0</v>
      </c>
      <c r="Q66" s="106">
        <f t="shared" si="867"/>
        <v>0</v>
      </c>
      <c r="R66" s="106">
        <f t="shared" si="868"/>
        <v>0</v>
      </c>
      <c r="S66" s="106">
        <f t="shared" si="869"/>
        <v>0</v>
      </c>
      <c r="T66" s="106">
        <f t="shared" si="870"/>
        <v>0</v>
      </c>
      <c r="U66" s="106">
        <f t="shared" si="871"/>
        <v>0</v>
      </c>
      <c r="V66" s="106">
        <f t="shared" si="872"/>
        <v>0</v>
      </c>
      <c r="W66" s="106">
        <f t="shared" si="873"/>
        <v>0</v>
      </c>
      <c r="X66" s="106">
        <f t="shared" si="874"/>
        <v>0</v>
      </c>
      <c r="Y66" s="106">
        <f t="shared" si="875"/>
        <v>0</v>
      </c>
      <c r="Z66" s="106">
        <f t="shared" si="876"/>
        <v>0</v>
      </c>
      <c r="AA66" s="106">
        <f t="shared" si="877"/>
        <v>0</v>
      </c>
      <c r="AB66" s="118">
        <f t="shared" si="401"/>
        <v>0</v>
      </c>
      <c r="AC66" s="106">
        <f t="shared" si="878"/>
        <v>0</v>
      </c>
      <c r="AD66" s="106">
        <f t="shared" si="879"/>
        <v>0</v>
      </c>
      <c r="AE66" s="106">
        <f t="shared" si="880"/>
        <v>0</v>
      </c>
      <c r="AF66" s="106">
        <f t="shared" si="881"/>
        <v>0</v>
      </c>
      <c r="AG66" s="106">
        <f t="shared" si="882"/>
        <v>0</v>
      </c>
      <c r="AH66" s="106">
        <f t="shared" si="883"/>
        <v>0</v>
      </c>
      <c r="AI66" s="106">
        <f t="shared" si="884"/>
        <v>0</v>
      </c>
      <c r="AJ66" s="106">
        <f t="shared" si="885"/>
        <v>0</v>
      </c>
      <c r="AK66" s="106">
        <f t="shared" si="886"/>
        <v>0</v>
      </c>
      <c r="AL66" s="106">
        <f t="shared" si="887"/>
        <v>0</v>
      </c>
      <c r="AM66" s="106">
        <f t="shared" si="888"/>
        <v>0</v>
      </c>
      <c r="AN66" s="106">
        <f t="shared" si="889"/>
        <v>0</v>
      </c>
      <c r="AO66" s="106">
        <f t="shared" si="890"/>
        <v>0</v>
      </c>
      <c r="AQ66" s="106">
        <v>0</v>
      </c>
      <c r="AR66" s="106">
        <v>0</v>
      </c>
      <c r="AS66" s="106">
        <v>0</v>
      </c>
      <c r="AT66" s="106">
        <v>0</v>
      </c>
      <c r="AU66" s="106">
        <v>0</v>
      </c>
      <c r="AV66" s="106">
        <v>0</v>
      </c>
      <c r="AW66" s="106">
        <v>0</v>
      </c>
      <c r="AX66" s="106">
        <v>0</v>
      </c>
      <c r="AY66" s="106">
        <v>0</v>
      </c>
      <c r="AZ66" s="106">
        <v>0</v>
      </c>
      <c r="BA66" s="106">
        <v>0</v>
      </c>
      <c r="BB66" s="106">
        <v>0</v>
      </c>
      <c r="BC66" s="106">
        <f t="shared" si="891"/>
        <v>0</v>
      </c>
      <c r="BD66" s="7" t="str">
        <f t="shared" si="900"/>
        <v>Sales of Scraps/Wastages/Dead Stock/Oil</v>
      </c>
      <c r="BE66" s="106">
        <f>+VLOOKUP($BD66,'Jan-25'!$A:$J,5,0)</f>
        <v>0</v>
      </c>
      <c r="BF66" s="106">
        <f>+VLOOKUP($BD66,'Feb-25'!$A:$J,5,0)</f>
        <v>0</v>
      </c>
      <c r="BG66" s="106">
        <f>+VLOOKUP($BD66,'Mar-25'!$A:$J,5,0)</f>
        <v>0</v>
      </c>
      <c r="BH66" s="106">
        <f>+VLOOKUP($BD66,'Apr-25'!$A:$J,5,0)</f>
        <v>0</v>
      </c>
      <c r="BI66" s="106">
        <f>+VLOOKUP($BD66,'May-25'!$A:$J,5,0)</f>
        <v>0</v>
      </c>
      <c r="BJ66" s="106">
        <f>+VLOOKUP($BD66,'June-25'!$A:$J,5,0)</f>
        <v>0</v>
      </c>
      <c r="BK66" s="106">
        <f>+VLOOKUP($BD66,'July-25'!$A:$J,5,0)</f>
        <v>0</v>
      </c>
      <c r="BL66" s="106">
        <f>+VLOOKUP($BD66,'Aug-25'!$A:$J,5,0)</f>
        <v>0</v>
      </c>
      <c r="BM66" s="106">
        <f>+VLOOKUP($BD66,'Sep-25'!$A:$J,5,0)</f>
        <v>0</v>
      </c>
      <c r="BN66" s="106">
        <f>+VLOOKUP($BD66,'Oct-25'!$A:$J,5,0)</f>
        <v>0</v>
      </c>
      <c r="BO66" s="106">
        <f>+VLOOKUP($BD66,'Nov-25'!$A:$J,5,0)</f>
        <v>0</v>
      </c>
      <c r="BP66" s="106">
        <f>+VLOOKUP($BD66,'Dec-25'!$A:$J,5,0)</f>
        <v>0</v>
      </c>
      <c r="BQ66" s="106">
        <f t="shared" si="892"/>
        <v>0</v>
      </c>
      <c r="BR66" s="118">
        <f t="shared" si="417"/>
        <v>0</v>
      </c>
      <c r="BS66" s="106"/>
      <c r="BT66" s="106"/>
      <c r="BU66" s="106"/>
      <c r="BV66" s="106"/>
      <c r="BW66" s="106"/>
      <c r="BX66" s="106"/>
      <c r="BY66" s="106"/>
      <c r="BZ66" s="106"/>
      <c r="CA66" s="106"/>
      <c r="CB66" s="106"/>
      <c r="CC66" s="106"/>
      <c r="CD66" s="106"/>
      <c r="CE66" s="106">
        <f t="shared" si="893"/>
        <v>0</v>
      </c>
      <c r="CF66" s="106"/>
      <c r="CG66" s="106"/>
      <c r="CH66" s="106"/>
      <c r="CI66" s="106"/>
      <c r="CJ66" s="106"/>
      <c r="CK66" s="106"/>
      <c r="CL66" s="106"/>
      <c r="CM66" s="106"/>
      <c r="CN66" s="106"/>
      <c r="CO66" s="106"/>
      <c r="CP66" s="106"/>
      <c r="CQ66" s="106"/>
      <c r="CR66" s="106"/>
      <c r="CS66" s="106">
        <f t="shared" si="894"/>
        <v>0</v>
      </c>
      <c r="CT66" s="7" t="str">
        <f t="shared" si="901"/>
        <v>Sales of Scraps/Wastages/Dead Stock/Oil</v>
      </c>
      <c r="CU66" s="106">
        <f>+VLOOKUP($BD66,'Jan-25'!$A:$J,8,0)</f>
        <v>0</v>
      </c>
      <c r="CV66" s="106">
        <f>+VLOOKUP($BD66,'Feb-25'!$A:$J,8,0)</f>
        <v>0</v>
      </c>
      <c r="CW66" s="106">
        <f>+VLOOKUP($BD66,'Mar-25'!$A:$J,8,0)</f>
        <v>0</v>
      </c>
      <c r="CX66" s="106">
        <f>+VLOOKUP($BD66,'Apr-25'!$A:$J,8,0)</f>
        <v>0</v>
      </c>
      <c r="CY66" s="106">
        <f>+VLOOKUP($BD66,'May-25'!$A:$J,8,0)</f>
        <v>0</v>
      </c>
      <c r="CZ66" s="106">
        <f>+VLOOKUP($BD66,'June-25'!$A:$J,8,0)</f>
        <v>0</v>
      </c>
      <c r="DA66" s="106">
        <f>+VLOOKUP($BD66,'July-25'!$A:$J,8,0)</f>
        <v>0</v>
      </c>
      <c r="DB66" s="106">
        <f>+VLOOKUP($BD66,'Aug-25'!$A:$J,8,0)</f>
        <v>0</v>
      </c>
      <c r="DC66" s="106">
        <f>+VLOOKUP($BD66,'Sep-25'!$A:$J,8,0)</f>
        <v>0</v>
      </c>
      <c r="DD66" s="106">
        <f>+VLOOKUP($BD66,'Oct-25'!$A:$J,8,0)</f>
        <v>0</v>
      </c>
      <c r="DE66" s="106">
        <f>+VLOOKUP($BD66,'Nov-25'!$A:$J,8,0)</f>
        <v>0</v>
      </c>
      <c r="DF66" s="106">
        <f>+VLOOKUP($BD66,'Dec-25'!$A:$J,8,0)</f>
        <v>0</v>
      </c>
      <c r="DG66" s="106">
        <f t="shared" si="895"/>
        <v>0</v>
      </c>
      <c r="DH66" s="118">
        <f t="shared" si="421"/>
        <v>0</v>
      </c>
      <c r="DI66" s="106"/>
      <c r="DJ66" s="106"/>
      <c r="DK66" s="106"/>
      <c r="DL66" s="106"/>
      <c r="DM66" s="106"/>
      <c r="DN66" s="106"/>
      <c r="DO66" s="106"/>
      <c r="DP66" s="106"/>
      <c r="DQ66" s="106"/>
      <c r="DR66" s="106"/>
      <c r="DS66" s="106"/>
      <c r="DT66" s="106"/>
      <c r="DU66" s="106">
        <f t="shared" si="896"/>
        <v>0</v>
      </c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106">
        <f t="shared" si="897"/>
        <v>0</v>
      </c>
      <c r="EJ66" s="7" t="str">
        <f t="shared" si="217"/>
        <v>Sales of Scraps/Wastages/Dead Stock/Oil</v>
      </c>
      <c r="EK66" s="22">
        <f>+VLOOKUP($BD66,'Jan-25'!$A:$J,10,0)</f>
        <v>0</v>
      </c>
      <c r="EL66" s="22">
        <f>+VLOOKUP($BD66,'Feb-25'!$A:$J,10,0)</f>
        <v>0</v>
      </c>
      <c r="EM66" s="22">
        <f>+VLOOKUP($BD66,'Mar-25'!$A:$J,10,0)</f>
        <v>0</v>
      </c>
      <c r="EN66" s="22">
        <f>+VLOOKUP($BD66,'Apr-25'!$A:$J,10,0)</f>
        <v>0</v>
      </c>
      <c r="EO66" s="22">
        <f>+VLOOKUP($BD66,'May-25'!$A:$J,10,0)</f>
        <v>0</v>
      </c>
      <c r="EP66" s="22">
        <f>+VLOOKUP($BD66,'June-25'!$A:$J,10,0)</f>
        <v>0</v>
      </c>
      <c r="EQ66" s="22">
        <f>+VLOOKUP($BD66,'July-25'!$A:$J,10,0)</f>
        <v>0</v>
      </c>
      <c r="ER66" s="22">
        <f>+VLOOKUP($BD66,'Aug-25'!$A:$J,10,0)</f>
        <v>0</v>
      </c>
      <c r="ES66" s="22">
        <f>+VLOOKUP($BD66,'Sep-25'!$A:$J,10,0)</f>
        <v>0</v>
      </c>
      <c r="ET66" s="22">
        <f>+VLOOKUP($BD66,'Oct-25'!$A:$J,10,0)</f>
        <v>0</v>
      </c>
      <c r="EU66" s="22">
        <f>+VLOOKUP($BD66,'Nov-25'!$A:$J,10,0)</f>
        <v>0</v>
      </c>
      <c r="EV66" s="22">
        <f>+VLOOKUP($BD66,'Dec-25'!$A:$J,10,0)</f>
        <v>0</v>
      </c>
      <c r="EW66" s="22">
        <f t="shared" si="898"/>
        <v>0</v>
      </c>
      <c r="EX66" s="118" t="e">
        <f t="shared" si="425"/>
        <v>#DIV/0!</v>
      </c>
      <c r="EY66" s="106"/>
      <c r="EZ66" s="106"/>
      <c r="FA66" s="106"/>
      <c r="FB66" s="106"/>
      <c r="FC66" s="106"/>
      <c r="FD66" s="106"/>
      <c r="FE66" s="106"/>
      <c r="FF66" s="106"/>
      <c r="FG66" s="106"/>
      <c r="FH66" s="106"/>
      <c r="FI66" s="106"/>
      <c r="FJ66" s="106"/>
      <c r="FK66" s="106">
        <f t="shared" si="899"/>
        <v>0</v>
      </c>
    </row>
    <row r="67" spans="1:167" ht="14.45" hidden="1" customHeight="1" outlineLevel="1">
      <c r="A67" s="106">
        <f t="shared" si="852"/>
        <v>0</v>
      </c>
      <c r="B67" s="106">
        <f t="shared" si="853"/>
        <v>0</v>
      </c>
      <c r="C67" s="106">
        <f t="shared" si="854"/>
        <v>0</v>
      </c>
      <c r="D67" s="106">
        <f t="shared" si="855"/>
        <v>0</v>
      </c>
      <c r="E67" s="106">
        <f t="shared" si="856"/>
        <v>0</v>
      </c>
      <c r="F67" s="106">
        <f t="shared" si="857"/>
        <v>0</v>
      </c>
      <c r="G67" s="106">
        <f t="shared" si="858"/>
        <v>0</v>
      </c>
      <c r="H67" s="106">
        <f t="shared" si="859"/>
        <v>0</v>
      </c>
      <c r="I67" s="106">
        <f t="shared" si="860"/>
        <v>0</v>
      </c>
      <c r="J67" s="106">
        <f t="shared" si="861"/>
        <v>0</v>
      </c>
      <c r="K67" s="106">
        <f t="shared" si="862"/>
        <v>0</v>
      </c>
      <c r="L67" s="106">
        <f t="shared" si="863"/>
        <v>0</v>
      </c>
      <c r="M67" s="106">
        <f t="shared" si="864"/>
        <v>0</v>
      </c>
      <c r="N67" s="7" t="s">
        <v>53</v>
      </c>
      <c r="O67" s="106">
        <f t="shared" si="865"/>
        <v>0</v>
      </c>
      <c r="P67" s="106">
        <f t="shared" si="866"/>
        <v>0</v>
      </c>
      <c r="Q67" s="106">
        <f t="shared" si="867"/>
        <v>0</v>
      </c>
      <c r="R67" s="106">
        <f t="shared" si="868"/>
        <v>0</v>
      </c>
      <c r="S67" s="106">
        <f t="shared" si="869"/>
        <v>0</v>
      </c>
      <c r="T67" s="106">
        <f t="shared" si="870"/>
        <v>0</v>
      </c>
      <c r="U67" s="106">
        <f t="shared" si="871"/>
        <v>0</v>
      </c>
      <c r="V67" s="106">
        <f t="shared" si="872"/>
        <v>0</v>
      </c>
      <c r="W67" s="106">
        <f t="shared" si="873"/>
        <v>0</v>
      </c>
      <c r="X67" s="106">
        <f t="shared" si="874"/>
        <v>0</v>
      </c>
      <c r="Y67" s="106">
        <f t="shared" si="875"/>
        <v>0</v>
      </c>
      <c r="Z67" s="106">
        <f t="shared" si="876"/>
        <v>0</v>
      </c>
      <c r="AA67" s="106">
        <f t="shared" si="877"/>
        <v>0</v>
      </c>
      <c r="AB67" s="118">
        <f t="shared" si="401"/>
        <v>0</v>
      </c>
      <c r="AC67" s="106">
        <f t="shared" si="878"/>
        <v>0</v>
      </c>
      <c r="AD67" s="106">
        <f t="shared" si="879"/>
        <v>0</v>
      </c>
      <c r="AE67" s="106">
        <f t="shared" si="880"/>
        <v>0</v>
      </c>
      <c r="AF67" s="106">
        <f t="shared" si="881"/>
        <v>0</v>
      </c>
      <c r="AG67" s="106">
        <f t="shared" si="882"/>
        <v>0</v>
      </c>
      <c r="AH67" s="106">
        <f t="shared" si="883"/>
        <v>0</v>
      </c>
      <c r="AI67" s="106">
        <f t="shared" si="884"/>
        <v>0</v>
      </c>
      <c r="AJ67" s="106">
        <f t="shared" si="885"/>
        <v>0</v>
      </c>
      <c r="AK67" s="106">
        <f t="shared" si="886"/>
        <v>0</v>
      </c>
      <c r="AL67" s="106">
        <f t="shared" si="887"/>
        <v>0</v>
      </c>
      <c r="AM67" s="106">
        <f t="shared" si="888"/>
        <v>0</v>
      </c>
      <c r="AN67" s="106">
        <f t="shared" si="889"/>
        <v>0</v>
      </c>
      <c r="AO67" s="106">
        <f t="shared" si="890"/>
        <v>0</v>
      </c>
      <c r="AQ67" s="106">
        <v>0</v>
      </c>
      <c r="AR67" s="106">
        <v>0</v>
      </c>
      <c r="AS67" s="106">
        <v>0</v>
      </c>
      <c r="AT67" s="106">
        <v>0</v>
      </c>
      <c r="AU67" s="106">
        <v>0</v>
      </c>
      <c r="AV67" s="106">
        <v>0</v>
      </c>
      <c r="AW67" s="106">
        <v>0</v>
      </c>
      <c r="AX67" s="106">
        <v>0</v>
      </c>
      <c r="AY67" s="106">
        <v>0</v>
      </c>
      <c r="AZ67" s="106">
        <v>0</v>
      </c>
      <c r="BA67" s="106">
        <v>0</v>
      </c>
      <c r="BB67" s="106">
        <v>0</v>
      </c>
      <c r="BC67" s="106">
        <f t="shared" si="891"/>
        <v>0</v>
      </c>
      <c r="BD67" s="7" t="str">
        <f t="shared" si="900"/>
        <v>Logistic and Facilitation</v>
      </c>
      <c r="BE67" s="106">
        <f>+VLOOKUP($BD67,'Jan-25'!$A:$J,5,0)</f>
        <v>0</v>
      </c>
      <c r="BF67" s="106">
        <f>+VLOOKUP($BD67,'Feb-25'!$A:$J,5,0)</f>
        <v>0</v>
      </c>
      <c r="BG67" s="106">
        <f>+VLOOKUP($BD67,'Mar-25'!$A:$J,5,0)</f>
        <v>0</v>
      </c>
      <c r="BH67" s="106">
        <f>+VLOOKUP($BD67,'Apr-25'!$A:$J,5,0)</f>
        <v>0</v>
      </c>
      <c r="BI67" s="106">
        <f>+VLOOKUP($BD67,'May-25'!$A:$J,5,0)</f>
        <v>0</v>
      </c>
      <c r="BJ67" s="106">
        <f>+VLOOKUP($BD67,'June-25'!$A:$J,5,0)</f>
        <v>0</v>
      </c>
      <c r="BK67" s="106">
        <f>+VLOOKUP($BD67,'July-25'!$A:$J,5,0)</f>
        <v>0</v>
      </c>
      <c r="BL67" s="106">
        <f>+VLOOKUP($BD67,'Aug-25'!$A:$J,5,0)</f>
        <v>0</v>
      </c>
      <c r="BM67" s="106">
        <f>+VLOOKUP($BD67,'Sep-25'!$A:$J,5,0)</f>
        <v>0</v>
      </c>
      <c r="BN67" s="106">
        <f>+VLOOKUP($BD67,'Oct-25'!$A:$J,5,0)</f>
        <v>0</v>
      </c>
      <c r="BO67" s="106">
        <f>+VLOOKUP($BD67,'Nov-25'!$A:$J,5,0)</f>
        <v>0</v>
      </c>
      <c r="BP67" s="106">
        <f>+VLOOKUP($BD67,'Dec-25'!$A:$J,5,0)</f>
        <v>0</v>
      </c>
      <c r="BQ67" s="106">
        <f t="shared" si="892"/>
        <v>0</v>
      </c>
      <c r="BR67" s="118">
        <f t="shared" si="417"/>
        <v>0</v>
      </c>
      <c r="BS67" s="106"/>
      <c r="BT67" s="106"/>
      <c r="BU67" s="106"/>
      <c r="BV67" s="106"/>
      <c r="BW67" s="106"/>
      <c r="BX67" s="106"/>
      <c r="BY67" s="106"/>
      <c r="BZ67" s="106"/>
      <c r="CA67" s="106"/>
      <c r="CB67" s="106"/>
      <c r="CC67" s="106"/>
      <c r="CD67" s="106"/>
      <c r="CE67" s="106">
        <f t="shared" si="893"/>
        <v>0</v>
      </c>
      <c r="CF67" s="106"/>
      <c r="CG67" s="106"/>
      <c r="CH67" s="106"/>
      <c r="CI67" s="106"/>
      <c r="CJ67" s="106"/>
      <c r="CK67" s="106"/>
      <c r="CL67" s="106"/>
      <c r="CM67" s="106"/>
      <c r="CN67" s="106"/>
      <c r="CO67" s="106"/>
      <c r="CP67" s="106"/>
      <c r="CQ67" s="106"/>
      <c r="CR67" s="106"/>
      <c r="CS67" s="106">
        <f t="shared" si="894"/>
        <v>0</v>
      </c>
      <c r="CT67" s="7" t="str">
        <f t="shared" si="901"/>
        <v>Logistic and Facilitation</v>
      </c>
      <c r="CU67" s="106">
        <f>+VLOOKUP($BD67,'Jan-25'!$A:$J,8,0)</f>
        <v>0</v>
      </c>
      <c r="CV67" s="106">
        <f>+VLOOKUP($BD67,'Feb-25'!$A:$J,8,0)</f>
        <v>0</v>
      </c>
      <c r="CW67" s="106">
        <f>+VLOOKUP($BD67,'Mar-25'!$A:$J,8,0)</f>
        <v>0</v>
      </c>
      <c r="CX67" s="106">
        <f>+VLOOKUP($BD67,'Apr-25'!$A:$J,8,0)</f>
        <v>0</v>
      </c>
      <c r="CY67" s="106">
        <f>+VLOOKUP($BD67,'May-25'!$A:$J,8,0)</f>
        <v>0</v>
      </c>
      <c r="CZ67" s="106">
        <f>+VLOOKUP($BD67,'June-25'!$A:$J,8,0)</f>
        <v>0</v>
      </c>
      <c r="DA67" s="106">
        <f>+VLOOKUP($BD67,'July-25'!$A:$J,8,0)</f>
        <v>0</v>
      </c>
      <c r="DB67" s="106">
        <f>+VLOOKUP($BD67,'Aug-25'!$A:$J,8,0)</f>
        <v>0</v>
      </c>
      <c r="DC67" s="106">
        <f>+VLOOKUP($BD67,'Sep-25'!$A:$J,8,0)</f>
        <v>0</v>
      </c>
      <c r="DD67" s="106">
        <f>+VLOOKUP($BD67,'Oct-25'!$A:$J,8,0)</f>
        <v>0</v>
      </c>
      <c r="DE67" s="106">
        <f>+VLOOKUP($BD67,'Nov-25'!$A:$J,8,0)</f>
        <v>0</v>
      </c>
      <c r="DF67" s="106">
        <f>+VLOOKUP($BD67,'Dec-25'!$A:$J,8,0)</f>
        <v>0</v>
      </c>
      <c r="DG67" s="106">
        <f t="shared" si="895"/>
        <v>0</v>
      </c>
      <c r="DH67" s="118">
        <f t="shared" si="421"/>
        <v>0</v>
      </c>
      <c r="DI67" s="106"/>
      <c r="DJ67" s="106"/>
      <c r="DK67" s="106"/>
      <c r="DL67" s="106"/>
      <c r="DM67" s="106"/>
      <c r="DN67" s="106"/>
      <c r="DO67" s="106"/>
      <c r="DP67" s="106"/>
      <c r="DQ67" s="106"/>
      <c r="DR67" s="106"/>
      <c r="DS67" s="106"/>
      <c r="DT67" s="106"/>
      <c r="DU67" s="106">
        <f t="shared" si="896"/>
        <v>0</v>
      </c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106">
        <f t="shared" si="897"/>
        <v>0</v>
      </c>
      <c r="EJ67" s="7" t="str">
        <f t="shared" si="217"/>
        <v>Logistic and Facilitation</v>
      </c>
      <c r="EK67" s="22">
        <f>+VLOOKUP($BD67,'Jan-25'!$A:$J,10,0)</f>
        <v>0</v>
      </c>
      <c r="EL67" s="22">
        <f>+VLOOKUP($BD67,'Feb-25'!$A:$J,10,0)</f>
        <v>0</v>
      </c>
      <c r="EM67" s="22">
        <f>+VLOOKUP($BD67,'Mar-25'!$A:$J,10,0)</f>
        <v>0</v>
      </c>
      <c r="EN67" s="22">
        <f>+VLOOKUP($BD67,'Apr-25'!$A:$J,10,0)</f>
        <v>0</v>
      </c>
      <c r="EO67" s="22">
        <f>+VLOOKUP($BD67,'May-25'!$A:$J,10,0)</f>
        <v>0</v>
      </c>
      <c r="EP67" s="22">
        <f>+VLOOKUP($BD67,'June-25'!$A:$J,10,0)</f>
        <v>0</v>
      </c>
      <c r="EQ67" s="22">
        <f>+VLOOKUP($BD67,'July-25'!$A:$J,10,0)</f>
        <v>0</v>
      </c>
      <c r="ER67" s="22">
        <f>+VLOOKUP($BD67,'Aug-25'!$A:$J,10,0)</f>
        <v>0</v>
      </c>
      <c r="ES67" s="22">
        <f>+VLOOKUP($BD67,'Sep-25'!$A:$J,10,0)</f>
        <v>0</v>
      </c>
      <c r="ET67" s="22">
        <f>+VLOOKUP($BD67,'Oct-25'!$A:$J,10,0)</f>
        <v>0</v>
      </c>
      <c r="EU67" s="22">
        <f>+VLOOKUP($BD67,'Nov-25'!$A:$J,10,0)</f>
        <v>0</v>
      </c>
      <c r="EV67" s="22">
        <f>+VLOOKUP($BD67,'Dec-25'!$A:$J,10,0)</f>
        <v>0</v>
      </c>
      <c r="EW67" s="22">
        <f t="shared" si="898"/>
        <v>0</v>
      </c>
      <c r="EX67" s="118" t="e">
        <f t="shared" si="425"/>
        <v>#DIV/0!</v>
      </c>
      <c r="EY67" s="106"/>
      <c r="EZ67" s="106"/>
      <c r="FA67" s="106"/>
      <c r="FB67" s="106"/>
      <c r="FC67" s="106"/>
      <c r="FD67" s="106"/>
      <c r="FE67" s="106"/>
      <c r="FF67" s="106"/>
      <c r="FG67" s="106"/>
      <c r="FH67" s="106"/>
      <c r="FI67" s="106"/>
      <c r="FJ67" s="106"/>
      <c r="FK67" s="106">
        <f t="shared" si="899"/>
        <v>0</v>
      </c>
    </row>
    <row r="68" spans="1:167" ht="14.45" hidden="1" customHeight="1" outlineLevel="1">
      <c r="A68" s="106">
        <f t="shared" si="852"/>
        <v>0</v>
      </c>
      <c r="B68" s="106">
        <f t="shared" si="853"/>
        <v>0</v>
      </c>
      <c r="C68" s="106">
        <f t="shared" si="854"/>
        <v>0</v>
      </c>
      <c r="D68" s="106">
        <f t="shared" si="855"/>
        <v>0</v>
      </c>
      <c r="E68" s="106">
        <f t="shared" si="856"/>
        <v>0</v>
      </c>
      <c r="F68" s="106">
        <f t="shared" si="857"/>
        <v>0</v>
      </c>
      <c r="G68" s="106">
        <f t="shared" si="858"/>
        <v>0</v>
      </c>
      <c r="H68" s="106">
        <f t="shared" si="859"/>
        <v>0</v>
      </c>
      <c r="I68" s="106">
        <f t="shared" si="860"/>
        <v>0</v>
      </c>
      <c r="J68" s="106">
        <f t="shared" si="861"/>
        <v>0</v>
      </c>
      <c r="K68" s="106">
        <f t="shared" si="862"/>
        <v>0</v>
      </c>
      <c r="L68" s="106">
        <f t="shared" si="863"/>
        <v>0</v>
      </c>
      <c r="M68" s="106">
        <f t="shared" si="864"/>
        <v>0</v>
      </c>
      <c r="N68" s="7" t="s">
        <v>54</v>
      </c>
      <c r="O68" s="106">
        <f t="shared" si="865"/>
        <v>11323.746000000001</v>
      </c>
      <c r="P68" s="106">
        <f t="shared" si="866"/>
        <v>16856.332200000001</v>
      </c>
      <c r="Q68" s="106">
        <f t="shared" si="867"/>
        <v>24634.556999999993</v>
      </c>
      <c r="R68" s="106">
        <f t="shared" si="868"/>
        <v>15590.690999999999</v>
      </c>
      <c r="S68" s="106">
        <f t="shared" si="869"/>
        <v>0</v>
      </c>
      <c r="T68" s="106">
        <f t="shared" si="870"/>
        <v>10762.502400000001</v>
      </c>
      <c r="U68" s="106">
        <f t="shared" si="871"/>
        <v>11447.315999999999</v>
      </c>
      <c r="V68" s="106">
        <f t="shared" si="872"/>
        <v>19056.018599999999</v>
      </c>
      <c r="W68" s="106">
        <f t="shared" si="873"/>
        <v>14703.217199999999</v>
      </c>
      <c r="X68" s="106">
        <f t="shared" si="874"/>
        <v>13068.904200000001</v>
      </c>
      <c r="Y68" s="106">
        <f t="shared" si="875"/>
        <v>0</v>
      </c>
      <c r="Z68" s="106">
        <f t="shared" si="876"/>
        <v>0</v>
      </c>
      <c r="AA68" s="106">
        <f t="shared" si="877"/>
        <v>137443.28459999998</v>
      </c>
      <c r="AB68" s="118">
        <f t="shared" si="401"/>
        <v>0</v>
      </c>
      <c r="AC68" s="106">
        <f t="shared" si="878"/>
        <v>0</v>
      </c>
      <c r="AD68" s="106">
        <f t="shared" si="879"/>
        <v>0</v>
      </c>
      <c r="AE68" s="106">
        <f t="shared" si="880"/>
        <v>0</v>
      </c>
      <c r="AF68" s="106">
        <f t="shared" si="881"/>
        <v>0</v>
      </c>
      <c r="AG68" s="106">
        <f t="shared" si="882"/>
        <v>0</v>
      </c>
      <c r="AH68" s="106">
        <f t="shared" si="883"/>
        <v>0</v>
      </c>
      <c r="AI68" s="106">
        <f t="shared" si="884"/>
        <v>0</v>
      </c>
      <c r="AJ68" s="106">
        <f t="shared" si="885"/>
        <v>0</v>
      </c>
      <c r="AK68" s="106">
        <f t="shared" si="886"/>
        <v>0</v>
      </c>
      <c r="AL68" s="106">
        <f t="shared" si="887"/>
        <v>0</v>
      </c>
      <c r="AM68" s="106">
        <f t="shared" si="888"/>
        <v>0</v>
      </c>
      <c r="AN68" s="106">
        <f t="shared" si="889"/>
        <v>0</v>
      </c>
      <c r="AO68" s="106">
        <f t="shared" si="890"/>
        <v>0</v>
      </c>
      <c r="AQ68" s="106">
        <v>0</v>
      </c>
      <c r="AR68" s="106">
        <v>0</v>
      </c>
      <c r="AS68" s="106">
        <v>0</v>
      </c>
      <c r="AT68" s="106">
        <v>0</v>
      </c>
      <c r="AU68" s="106">
        <v>0</v>
      </c>
      <c r="AV68" s="106">
        <v>0</v>
      </c>
      <c r="AW68" s="106">
        <v>0</v>
      </c>
      <c r="AX68" s="106">
        <v>0</v>
      </c>
      <c r="AY68" s="106">
        <v>0</v>
      </c>
      <c r="AZ68" s="106">
        <v>0</v>
      </c>
      <c r="BA68" s="106">
        <v>0</v>
      </c>
      <c r="BB68" s="106">
        <v>0</v>
      </c>
      <c r="BC68" s="106">
        <f t="shared" si="891"/>
        <v>0</v>
      </c>
      <c r="BD68" s="7" t="str">
        <f t="shared" si="900"/>
        <v>Bank Interest</v>
      </c>
      <c r="BE68" s="106">
        <f>+VLOOKUP($BD68,'Jan-25'!$A:$J,5,0)</f>
        <v>7549.1640000000007</v>
      </c>
      <c r="BF68" s="106">
        <f>+VLOOKUP($BD68,'Feb-25'!$A:$J,5,0)</f>
        <v>11237.5548</v>
      </c>
      <c r="BG68" s="106">
        <f>+VLOOKUP($BD68,'Mar-25'!$A:$J,5,0)</f>
        <v>16423.037999999997</v>
      </c>
      <c r="BH68" s="106">
        <f>+VLOOKUP($BD68,'Apr-25'!$A:$J,5,0)</f>
        <v>10393.794</v>
      </c>
      <c r="BI68" s="106">
        <f>+VLOOKUP($BD68,'May-25'!$A:$J,5,0)</f>
        <v>0</v>
      </c>
      <c r="BJ68" s="106">
        <f>+VLOOKUP($BD68,'June-25'!$A:$J,5,0)</f>
        <v>7175.0016000000005</v>
      </c>
      <c r="BK68" s="106">
        <f>+VLOOKUP($BD68,'July-25'!$A:$J,5,0)</f>
        <v>7631.543999999999</v>
      </c>
      <c r="BL68" s="106">
        <f>+VLOOKUP($BD68,'Aug-25'!$A:$J,5,0)</f>
        <v>12704.0124</v>
      </c>
      <c r="BM68" s="106">
        <f>+VLOOKUP($BD68,'Sep-25'!$A:$J,5,0)</f>
        <v>9802.1448</v>
      </c>
      <c r="BN68" s="106">
        <f>+VLOOKUP($BD68,'Oct-25'!$A:$J,5,0)</f>
        <v>7128.4932000000008</v>
      </c>
      <c r="BO68" s="106">
        <f>+VLOOKUP($BD68,'Nov-25'!$A:$J,5,0)</f>
        <v>0</v>
      </c>
      <c r="BP68" s="106">
        <f>+VLOOKUP($BD68,'Dec-25'!$A:$J,5,0)</f>
        <v>0</v>
      </c>
      <c r="BQ68" s="106">
        <f t="shared" si="892"/>
        <v>90044.746800000008</v>
      </c>
      <c r="BR68" s="118">
        <f t="shared" si="417"/>
        <v>0</v>
      </c>
      <c r="BS68" s="106"/>
      <c r="BT68" s="106"/>
      <c r="BU68" s="113"/>
      <c r="BV68" s="106"/>
      <c r="BW68" s="106"/>
      <c r="BX68" s="106"/>
      <c r="BY68" s="106"/>
      <c r="BZ68" s="106"/>
      <c r="CA68" s="106"/>
      <c r="CB68" s="106"/>
      <c r="CC68" s="106"/>
      <c r="CD68" s="106"/>
      <c r="CE68" s="106">
        <f t="shared" si="893"/>
        <v>0</v>
      </c>
      <c r="CF68" s="106"/>
      <c r="CG68" s="106"/>
      <c r="CH68" s="106"/>
      <c r="CI68" s="106"/>
      <c r="CJ68" s="106"/>
      <c r="CK68" s="106"/>
      <c r="CL68" s="106"/>
      <c r="CM68" s="106"/>
      <c r="CN68" s="106"/>
      <c r="CO68" s="106"/>
      <c r="CP68" s="106"/>
      <c r="CQ68" s="106"/>
      <c r="CR68" s="106"/>
      <c r="CS68" s="106">
        <f t="shared" si="894"/>
        <v>0</v>
      </c>
      <c r="CT68" s="7" t="str">
        <f t="shared" si="901"/>
        <v>Bank Interest</v>
      </c>
      <c r="CU68" s="106">
        <f>+VLOOKUP($BD68,'Jan-25'!$A:$J,8,0)</f>
        <v>3774.5820000000003</v>
      </c>
      <c r="CV68" s="106">
        <f>+VLOOKUP($BD68,'Feb-25'!$A:$J,8,0)</f>
        <v>5618.7773999999999</v>
      </c>
      <c r="CW68" s="106">
        <f>+VLOOKUP($BD68,'Mar-25'!$A:$J,8,0)</f>
        <v>8211.5189999999984</v>
      </c>
      <c r="CX68" s="106">
        <f>+VLOOKUP($BD68,'Apr-25'!$A:$J,8,0)</f>
        <v>5196.8969999999999</v>
      </c>
      <c r="CY68" s="106">
        <f>+VLOOKUP($BD68,'May-25'!$A:$J,8,0)</f>
        <v>0</v>
      </c>
      <c r="CZ68" s="106">
        <f>+VLOOKUP($BD68,'June-25'!$A:$J,8,0)</f>
        <v>3587.5008000000003</v>
      </c>
      <c r="DA68" s="106">
        <f>+VLOOKUP($BD68,'July-25'!$A:$J,8,0)</f>
        <v>3815.7719999999995</v>
      </c>
      <c r="DB68" s="106">
        <f>+VLOOKUP($BD68,'Aug-25'!$A:$J,8,0)</f>
        <v>6352.0061999999998</v>
      </c>
      <c r="DC68" s="106">
        <f>+VLOOKUP($BD68,'Sep-25'!$A:$J,8,0)</f>
        <v>4901.0724</v>
      </c>
      <c r="DD68" s="106">
        <f>+VLOOKUP($BD68,'Oct-25'!$A:$J,8,0)</f>
        <v>3564.2466000000004</v>
      </c>
      <c r="DE68" s="106">
        <f>+VLOOKUP($BD68,'Nov-25'!$A:$J,8,0)</f>
        <v>0</v>
      </c>
      <c r="DF68" s="106">
        <f>+VLOOKUP($BD68,'Dec-25'!$A:$J,8,0)</f>
        <v>0</v>
      </c>
      <c r="DG68" s="106">
        <f t="shared" si="895"/>
        <v>45022.373400000004</v>
      </c>
      <c r="DH68" s="118">
        <f t="shared" si="421"/>
        <v>0</v>
      </c>
      <c r="DI68" s="106"/>
      <c r="DJ68" s="106"/>
      <c r="DK68" s="106"/>
      <c r="DL68" s="106"/>
      <c r="DM68" s="106"/>
      <c r="DN68" s="106"/>
      <c r="DO68" s="106"/>
      <c r="DP68" s="106"/>
      <c r="DQ68" s="106"/>
      <c r="DR68" s="106"/>
      <c r="DS68" s="106"/>
      <c r="DT68" s="106"/>
      <c r="DU68" s="106">
        <f t="shared" si="896"/>
        <v>0</v>
      </c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106">
        <f t="shared" si="897"/>
        <v>0</v>
      </c>
      <c r="EJ68" s="7" t="str">
        <f t="shared" si="217"/>
        <v>Bank Interest</v>
      </c>
      <c r="EK68" s="22">
        <f>+VLOOKUP($BD68,'Jan-25'!$A:$J,10,0)</f>
        <v>0</v>
      </c>
      <c r="EL68" s="22">
        <f>+VLOOKUP($BD68,'Feb-25'!$A:$J,10,0)</f>
        <v>0</v>
      </c>
      <c r="EM68" s="22">
        <f>+VLOOKUP($BD68,'Mar-25'!$A:$J,10,0)</f>
        <v>0</v>
      </c>
      <c r="EN68" s="22">
        <f>+VLOOKUP($BD68,'Apr-25'!$A:$J,10,0)</f>
        <v>0</v>
      </c>
      <c r="EO68" s="22">
        <f>+VLOOKUP($BD68,'May-25'!$A:$J,10,0)</f>
        <v>0</v>
      </c>
      <c r="EP68" s="22">
        <f>+VLOOKUP($BD68,'June-25'!$A:$J,10,0)</f>
        <v>0</v>
      </c>
      <c r="EQ68" s="22">
        <f>+VLOOKUP($BD68,'July-25'!$A:$J,10,0)</f>
        <v>0</v>
      </c>
      <c r="ER68" s="22">
        <f>+VLOOKUP($BD68,'Aug-25'!$A:$J,10,0)</f>
        <v>0</v>
      </c>
      <c r="ES68" s="22">
        <f>+VLOOKUP($BD68,'Sep-25'!$A:$J,10,0)</f>
        <v>0</v>
      </c>
      <c r="ET68" s="22">
        <f>+VLOOKUP($BD68,'Oct-25'!$A:$J,10,0)</f>
        <v>2376.1644000000001</v>
      </c>
      <c r="EU68" s="22">
        <f>+VLOOKUP($BD68,'Nov-25'!$A:$J,10,0)</f>
        <v>0</v>
      </c>
      <c r="EV68" s="22">
        <f>+VLOOKUP($BD68,'Dec-25'!$A:$J,10,0)</f>
        <v>0</v>
      </c>
      <c r="EW68" s="22">
        <f t="shared" si="898"/>
        <v>2376.1644000000001</v>
      </c>
      <c r="EX68" s="118" t="e">
        <f t="shared" si="425"/>
        <v>#DIV/0!</v>
      </c>
      <c r="EY68" s="106"/>
      <c r="EZ68" s="106"/>
      <c r="FA68" s="106"/>
      <c r="FB68" s="106"/>
      <c r="FC68" s="106"/>
      <c r="FD68" s="106"/>
      <c r="FE68" s="106"/>
      <c r="FF68" s="106"/>
      <c r="FG68" s="106"/>
      <c r="FH68" s="106"/>
      <c r="FI68" s="106"/>
      <c r="FJ68" s="106"/>
      <c r="FK68" s="106">
        <f t="shared" si="899"/>
        <v>0</v>
      </c>
    </row>
    <row r="69" spans="1:167" ht="14.45" hidden="1" customHeight="1" outlineLevel="1">
      <c r="A69" s="106">
        <f t="shared" si="852"/>
        <v>0</v>
      </c>
      <c r="B69" s="106">
        <f t="shared" si="853"/>
        <v>0</v>
      </c>
      <c r="C69" s="106">
        <f t="shared" si="854"/>
        <v>0</v>
      </c>
      <c r="D69" s="106">
        <f t="shared" si="855"/>
        <v>0</v>
      </c>
      <c r="E69" s="106">
        <f t="shared" si="856"/>
        <v>0</v>
      </c>
      <c r="F69" s="106">
        <f t="shared" si="857"/>
        <v>0</v>
      </c>
      <c r="G69" s="106">
        <f t="shared" si="858"/>
        <v>0</v>
      </c>
      <c r="H69" s="106">
        <f t="shared" si="859"/>
        <v>0</v>
      </c>
      <c r="I69" s="106">
        <f t="shared" si="860"/>
        <v>0</v>
      </c>
      <c r="J69" s="106">
        <f t="shared" si="861"/>
        <v>0</v>
      </c>
      <c r="K69" s="106">
        <f t="shared" si="862"/>
        <v>0</v>
      </c>
      <c r="L69" s="106">
        <f t="shared" si="863"/>
        <v>0</v>
      </c>
      <c r="M69" s="106">
        <f t="shared" si="864"/>
        <v>0</v>
      </c>
      <c r="N69" s="7" t="s">
        <v>55</v>
      </c>
      <c r="O69" s="106">
        <f t="shared" si="865"/>
        <v>0</v>
      </c>
      <c r="P69" s="106">
        <f t="shared" si="866"/>
        <v>0</v>
      </c>
      <c r="Q69" s="106">
        <f t="shared" si="867"/>
        <v>0</v>
      </c>
      <c r="R69" s="106">
        <f t="shared" si="868"/>
        <v>0</v>
      </c>
      <c r="S69" s="106">
        <f t="shared" si="869"/>
        <v>0</v>
      </c>
      <c r="T69" s="106">
        <f t="shared" si="870"/>
        <v>0</v>
      </c>
      <c r="U69" s="106">
        <f t="shared" si="871"/>
        <v>9147.2000000000007</v>
      </c>
      <c r="V69" s="106">
        <f t="shared" si="872"/>
        <v>0</v>
      </c>
      <c r="W69" s="106">
        <f t="shared" si="873"/>
        <v>0</v>
      </c>
      <c r="X69" s="106">
        <f t="shared" si="874"/>
        <v>3389.83</v>
      </c>
      <c r="Y69" s="106">
        <f t="shared" si="875"/>
        <v>0</v>
      </c>
      <c r="Z69" s="106">
        <f t="shared" si="876"/>
        <v>0</v>
      </c>
      <c r="AA69" s="106">
        <f t="shared" si="877"/>
        <v>12537.03</v>
      </c>
      <c r="AB69" s="118">
        <f t="shared" si="401"/>
        <v>0</v>
      </c>
      <c r="AC69" s="106">
        <f t="shared" si="878"/>
        <v>0</v>
      </c>
      <c r="AD69" s="106">
        <f t="shared" si="879"/>
        <v>0</v>
      </c>
      <c r="AE69" s="106">
        <f t="shared" si="880"/>
        <v>0</v>
      </c>
      <c r="AF69" s="106">
        <f t="shared" si="881"/>
        <v>0</v>
      </c>
      <c r="AG69" s="106">
        <f t="shared" si="882"/>
        <v>0</v>
      </c>
      <c r="AH69" s="106">
        <f t="shared" si="883"/>
        <v>0</v>
      </c>
      <c r="AI69" s="106">
        <f t="shared" si="884"/>
        <v>0</v>
      </c>
      <c r="AJ69" s="106">
        <f t="shared" si="885"/>
        <v>0</v>
      </c>
      <c r="AK69" s="106">
        <f t="shared" si="886"/>
        <v>0</v>
      </c>
      <c r="AL69" s="106">
        <f t="shared" si="887"/>
        <v>0</v>
      </c>
      <c r="AM69" s="106">
        <f t="shared" si="888"/>
        <v>0</v>
      </c>
      <c r="AN69" s="106">
        <f t="shared" si="889"/>
        <v>0</v>
      </c>
      <c r="AO69" s="106">
        <f t="shared" si="890"/>
        <v>0</v>
      </c>
      <c r="AQ69" s="106">
        <v>0</v>
      </c>
      <c r="AR69" s="106">
        <v>0</v>
      </c>
      <c r="AS69" s="106">
        <v>0</v>
      </c>
      <c r="AT69" s="106">
        <v>0</v>
      </c>
      <c r="AU69" s="106">
        <v>0</v>
      </c>
      <c r="AV69" s="106">
        <v>0</v>
      </c>
      <c r="AW69" s="106">
        <v>0</v>
      </c>
      <c r="AX69" s="106">
        <v>0</v>
      </c>
      <c r="AY69" s="106">
        <v>0</v>
      </c>
      <c r="AZ69" s="106">
        <v>0</v>
      </c>
      <c r="BA69" s="106">
        <v>0</v>
      </c>
      <c r="BB69" s="106">
        <v>0</v>
      </c>
      <c r="BC69" s="106">
        <f t="shared" si="891"/>
        <v>0</v>
      </c>
      <c r="BD69" s="7" t="str">
        <f t="shared" si="900"/>
        <v>Others</v>
      </c>
      <c r="BE69" s="106">
        <f>+VLOOKUP($BD69,'Jan-25'!$A:$J,5,0)</f>
        <v>0</v>
      </c>
      <c r="BF69" s="106">
        <f>+VLOOKUP($BD69,'Feb-25'!$A:$J,5,0)</f>
        <v>0</v>
      </c>
      <c r="BG69" s="106">
        <f>+VLOOKUP($BD69,'Mar-25'!$A:$J,5,0)</f>
        <v>0</v>
      </c>
      <c r="BH69" s="106">
        <f>+VLOOKUP($BD69,'Apr-25'!$A:$J,5,0)</f>
        <v>0</v>
      </c>
      <c r="BI69" s="106">
        <f>+VLOOKUP($BD69,'May-25'!$A:$J,5,0)</f>
        <v>0</v>
      </c>
      <c r="BJ69" s="106">
        <f>+VLOOKUP($BD69,'June-25'!$A:$J,5,0)</f>
        <v>0</v>
      </c>
      <c r="BK69" s="106">
        <f>+VLOOKUP($BD69,'July-25'!$A:$J,5,0)</f>
        <v>5320.8</v>
      </c>
      <c r="BL69" s="106">
        <f>+VLOOKUP($BD69,'Aug-25'!$A:$J,5,0)</f>
        <v>0</v>
      </c>
      <c r="BM69" s="106">
        <f>+VLOOKUP($BD69,'Sep-25'!$A:$J,5,0)</f>
        <v>0</v>
      </c>
      <c r="BN69" s="106">
        <f>+VLOOKUP($BD69,'Oct-25'!$A:$J,5,0)</f>
        <v>0</v>
      </c>
      <c r="BO69" s="106">
        <f>+VLOOKUP($BD69,'Nov-25'!$A:$J,5,0)</f>
        <v>0</v>
      </c>
      <c r="BP69" s="106">
        <f>+VLOOKUP($BD69,'Dec-25'!$A:$J,5,0)</f>
        <v>0</v>
      </c>
      <c r="BQ69" s="106">
        <f t="shared" si="892"/>
        <v>5320.8</v>
      </c>
      <c r="BR69" s="118">
        <f t="shared" si="417"/>
        <v>0</v>
      </c>
      <c r="BS69" s="106"/>
      <c r="BT69" s="106"/>
      <c r="BU69" s="106"/>
      <c r="BV69" s="106"/>
      <c r="BW69" s="106"/>
      <c r="BX69" s="106"/>
      <c r="BY69" s="106"/>
      <c r="BZ69" s="106"/>
      <c r="CA69" s="106"/>
      <c r="CB69" s="106"/>
      <c r="CC69" s="106"/>
      <c r="CD69" s="106"/>
      <c r="CE69" s="106">
        <f t="shared" si="893"/>
        <v>0</v>
      </c>
      <c r="CF69" s="106"/>
      <c r="CG69" s="106"/>
      <c r="CH69" s="106"/>
      <c r="CI69" s="106"/>
      <c r="CJ69" s="106"/>
      <c r="CK69" s="106"/>
      <c r="CL69" s="106"/>
      <c r="CM69" s="106"/>
      <c r="CN69" s="106"/>
      <c r="CO69" s="106"/>
      <c r="CP69" s="106"/>
      <c r="CQ69" s="106"/>
      <c r="CR69" s="106"/>
      <c r="CS69" s="106">
        <f t="shared" si="894"/>
        <v>0</v>
      </c>
      <c r="CT69" s="7" t="str">
        <f t="shared" si="901"/>
        <v>Others</v>
      </c>
      <c r="CU69" s="106">
        <f>+VLOOKUP($BD69,'Jan-25'!$A:$J,8,0)</f>
        <v>0</v>
      </c>
      <c r="CV69" s="106">
        <f>+VLOOKUP($BD69,'Feb-25'!$A:$J,8,0)</f>
        <v>0</v>
      </c>
      <c r="CW69" s="106">
        <f>+VLOOKUP($BD69,'Mar-25'!$A:$J,8,0)</f>
        <v>0</v>
      </c>
      <c r="CX69" s="106">
        <f>+VLOOKUP($BD69,'Apr-25'!$A:$J,8,0)</f>
        <v>0</v>
      </c>
      <c r="CY69" s="106">
        <f>+VLOOKUP($BD69,'May-25'!$A:$J,8,0)</f>
        <v>0</v>
      </c>
      <c r="CZ69" s="106">
        <f>+VLOOKUP($BD69,'June-25'!$A:$J,8,0)</f>
        <v>0</v>
      </c>
      <c r="DA69" s="106">
        <f>+VLOOKUP($BD69,'July-25'!$A:$J,8,0)</f>
        <v>3826.4</v>
      </c>
      <c r="DB69" s="106">
        <f>+VLOOKUP($BD69,'Aug-25'!$A:$J,8,0)</f>
        <v>0</v>
      </c>
      <c r="DC69" s="106">
        <f>+VLOOKUP($BD69,'Sep-25'!$A:$J,8,0)</f>
        <v>0</v>
      </c>
      <c r="DD69" s="106">
        <f>+VLOOKUP($BD69,'Oct-25'!$A:$J,8,0)</f>
        <v>0</v>
      </c>
      <c r="DE69" s="106">
        <f>+VLOOKUP($BD69,'Nov-25'!$A:$J,8,0)</f>
        <v>0</v>
      </c>
      <c r="DF69" s="106">
        <f>+VLOOKUP($BD69,'Dec-25'!$A:$J,8,0)</f>
        <v>0</v>
      </c>
      <c r="DG69" s="106">
        <f t="shared" si="895"/>
        <v>3826.4</v>
      </c>
      <c r="DH69" s="118">
        <f t="shared" si="421"/>
        <v>0</v>
      </c>
      <c r="DI69" s="106"/>
      <c r="DJ69" s="106"/>
      <c r="DK69" s="106"/>
      <c r="DL69" s="106"/>
      <c r="DM69" s="106"/>
      <c r="DN69" s="106"/>
      <c r="DO69" s="106"/>
      <c r="DP69" s="106"/>
      <c r="DQ69" s="106"/>
      <c r="DR69" s="106"/>
      <c r="DS69" s="106"/>
      <c r="DT69" s="106"/>
      <c r="DU69" s="106">
        <f t="shared" si="896"/>
        <v>0</v>
      </c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106">
        <f t="shared" si="897"/>
        <v>0</v>
      </c>
      <c r="EJ69" s="7" t="str">
        <f t="shared" si="217"/>
        <v>Others</v>
      </c>
      <c r="EK69" s="22">
        <f>+VLOOKUP($BD69,'Jan-25'!$A:$J,10,0)</f>
        <v>0</v>
      </c>
      <c r="EL69" s="22">
        <f>+VLOOKUP($BD69,'Feb-25'!$A:$J,10,0)</f>
        <v>0</v>
      </c>
      <c r="EM69" s="22">
        <f>+VLOOKUP($BD69,'Mar-25'!$A:$J,10,0)</f>
        <v>0</v>
      </c>
      <c r="EN69" s="22">
        <f>+VLOOKUP($BD69,'Apr-25'!$A:$J,10,0)</f>
        <v>0</v>
      </c>
      <c r="EO69" s="22">
        <f>+VLOOKUP($BD69,'May-25'!$A:$J,10,0)</f>
        <v>0</v>
      </c>
      <c r="EP69" s="22">
        <f>+VLOOKUP($BD69,'June-25'!$A:$J,10,0)</f>
        <v>0</v>
      </c>
      <c r="EQ69" s="22">
        <f>+VLOOKUP($BD69,'July-25'!$A:$J,10,0)</f>
        <v>0</v>
      </c>
      <c r="ER69" s="22">
        <f>+VLOOKUP($BD69,'Aug-25'!$A:$J,10,0)</f>
        <v>0</v>
      </c>
      <c r="ES69" s="22">
        <f>+VLOOKUP($BD69,'Sep-25'!$A:$J,10,0)</f>
        <v>0</v>
      </c>
      <c r="ET69" s="22">
        <f>+VLOOKUP($BD69,'Oct-25'!$A:$J,10,0)</f>
        <v>3389.83</v>
      </c>
      <c r="EU69" s="22">
        <f>+VLOOKUP($BD69,'Nov-25'!$A:$J,10,0)</f>
        <v>0</v>
      </c>
      <c r="EV69" s="22">
        <f>+VLOOKUP($BD69,'Dec-25'!$A:$J,10,0)</f>
        <v>0</v>
      </c>
      <c r="EW69" s="22">
        <f t="shared" si="898"/>
        <v>3389.83</v>
      </c>
      <c r="EX69" s="118" t="e">
        <f t="shared" si="425"/>
        <v>#DIV/0!</v>
      </c>
      <c r="EY69" s="106"/>
      <c r="EZ69" s="106"/>
      <c r="FA69" s="106"/>
      <c r="FB69" s="106"/>
      <c r="FC69" s="106"/>
      <c r="FD69" s="106"/>
      <c r="FE69" s="106"/>
      <c r="FF69" s="106"/>
      <c r="FG69" s="106"/>
      <c r="FH69" s="106"/>
      <c r="FI69" s="106"/>
      <c r="FJ69" s="106"/>
      <c r="FK69" s="106">
        <f t="shared" si="899"/>
        <v>0</v>
      </c>
    </row>
    <row r="70" spans="1:167" ht="14.45" customHeight="1" collapsed="1">
      <c r="A70" s="58">
        <f t="shared" ref="A70:M70" si="902">+A60+A55+A51+A52+A29+A27+(A7/3.5%)+A8+A13</f>
        <v>6737707.2699999996</v>
      </c>
      <c r="B70" s="58">
        <f t="shared" si="902"/>
        <v>17954561.399999999</v>
      </c>
      <c r="C70" s="58">
        <f t="shared" si="902"/>
        <v>8660994.5799999982</v>
      </c>
      <c r="D70" s="58">
        <f t="shared" si="902"/>
        <v>8641861.1699999999</v>
      </c>
      <c r="E70" s="58">
        <f t="shared" si="902"/>
        <v>8316844.7300000004</v>
      </c>
      <c r="F70" s="58">
        <f t="shared" si="902"/>
        <v>8771118.4299999997</v>
      </c>
      <c r="G70" s="58">
        <f t="shared" si="902"/>
        <v>10477789.82</v>
      </c>
      <c r="H70" s="58">
        <f t="shared" si="902"/>
        <v>16390126.770000001</v>
      </c>
      <c r="I70" s="58">
        <f t="shared" si="902"/>
        <v>8874551.6999999993</v>
      </c>
      <c r="J70" s="58">
        <f t="shared" si="902"/>
        <v>10968923.649999999</v>
      </c>
      <c r="K70" s="58">
        <f t="shared" si="902"/>
        <v>14211175</v>
      </c>
      <c r="L70" s="58">
        <f t="shared" si="902"/>
        <v>14132127.59</v>
      </c>
      <c r="M70" s="58">
        <f t="shared" si="902"/>
        <v>134137782.11000001</v>
      </c>
      <c r="N70" s="14" t="s">
        <v>56</v>
      </c>
      <c r="O70" s="58">
        <f t="shared" ref="O70:AA70" si="903">+O60+O55+O51+O52+O29+O27+(O7/3.5%)+O8+O13</f>
        <v>11375999.585999999</v>
      </c>
      <c r="P70" s="58">
        <f t="shared" si="903"/>
        <v>4421958.3322000001</v>
      </c>
      <c r="Q70" s="58">
        <f t="shared" si="903"/>
        <v>15195299.046999998</v>
      </c>
      <c r="R70" s="58">
        <f t="shared" si="903"/>
        <v>11037988.755000001</v>
      </c>
      <c r="S70" s="58">
        <f t="shared" si="903"/>
        <v>13846217.060000002</v>
      </c>
      <c r="T70" s="58">
        <f t="shared" si="903"/>
        <v>11502964.592399999</v>
      </c>
      <c r="U70" s="58">
        <f t="shared" si="903"/>
        <v>11847895.786</v>
      </c>
      <c r="V70" s="58">
        <f t="shared" si="903"/>
        <v>12111540.388599999</v>
      </c>
      <c r="W70" s="58">
        <f t="shared" si="903"/>
        <v>10877498.0572</v>
      </c>
      <c r="X70" s="58">
        <f t="shared" si="903"/>
        <v>8925117.3442000002</v>
      </c>
      <c r="Y70" s="58">
        <f t="shared" si="903"/>
        <v>0</v>
      </c>
      <c r="Z70" s="58">
        <f t="shared" si="903"/>
        <v>0</v>
      </c>
      <c r="AA70" s="58">
        <f t="shared" si="903"/>
        <v>111142478.94860002</v>
      </c>
      <c r="AB70" s="118">
        <f t="shared" si="401"/>
        <v>-0.28632402785841654</v>
      </c>
      <c r="AC70" s="58">
        <f t="shared" ref="AC70:AO70" si="904">+AC60+AC55+AC51+AC52+AC29+AC27+(AC7/3.5%)+AC8+AC13</f>
        <v>13266130.305</v>
      </c>
      <c r="AD70" s="58">
        <f t="shared" si="904"/>
        <v>13020007.110000001</v>
      </c>
      <c r="AE70" s="58">
        <f t="shared" si="904"/>
        <v>13309512.815000001</v>
      </c>
      <c r="AF70" s="58">
        <f t="shared" si="904"/>
        <v>10852863.32</v>
      </c>
      <c r="AG70" s="58">
        <f t="shared" si="904"/>
        <v>12409441.970000001</v>
      </c>
      <c r="AH70" s="58">
        <f t="shared" si="904"/>
        <v>13511874.609999999</v>
      </c>
      <c r="AI70" s="58">
        <f t="shared" si="904"/>
        <v>14048658.310000001</v>
      </c>
      <c r="AJ70" s="58">
        <f t="shared" si="904"/>
        <v>14775906.175000001</v>
      </c>
      <c r="AK70" s="58">
        <f t="shared" si="904"/>
        <v>15409004.145</v>
      </c>
      <c r="AL70" s="58">
        <f t="shared" si="904"/>
        <v>12505839.754444445</v>
      </c>
      <c r="AM70" s="58">
        <f t="shared" si="904"/>
        <v>10362626.037777778</v>
      </c>
      <c r="AN70" s="58">
        <f t="shared" si="904"/>
        <v>13337577.87050505</v>
      </c>
      <c r="AO70" s="58">
        <f t="shared" si="904"/>
        <v>156809442.42272729</v>
      </c>
      <c r="AQ70" s="58">
        <f t="shared" ref="AQ70:BC70" si="905">+AQ60+AQ55+AQ51+AQ52+AQ29+AQ27+(AQ7/3.5%)+AQ8+AQ13</f>
        <v>4170969.4</v>
      </c>
      <c r="AR70" s="58">
        <f t="shared" si="905"/>
        <v>14485205.700000001</v>
      </c>
      <c r="AS70" s="58">
        <f t="shared" si="905"/>
        <v>6999091.7000000002</v>
      </c>
      <c r="AT70" s="58">
        <f t="shared" si="905"/>
        <v>7413276.96</v>
      </c>
      <c r="AU70" s="58">
        <f t="shared" si="905"/>
        <v>3668484.1300000004</v>
      </c>
      <c r="AV70" s="58">
        <f t="shared" si="905"/>
        <v>6850228.7199999997</v>
      </c>
      <c r="AW70" s="58">
        <f t="shared" si="905"/>
        <v>8100789.6000000006</v>
      </c>
      <c r="AX70" s="58">
        <f t="shared" si="905"/>
        <v>12132499.840000002</v>
      </c>
      <c r="AY70" s="58">
        <f t="shared" si="905"/>
        <v>6804407.5800000001</v>
      </c>
      <c r="AZ70" s="58">
        <f t="shared" si="905"/>
        <v>7584630.0799999991</v>
      </c>
      <c r="BA70" s="58">
        <f t="shared" si="905"/>
        <v>8484685.75</v>
      </c>
      <c r="BB70" s="58">
        <f t="shared" si="905"/>
        <v>8803594.8900000006</v>
      </c>
      <c r="BC70" s="58">
        <f t="shared" si="905"/>
        <v>95497864.349999994</v>
      </c>
      <c r="BD70" s="14" t="str">
        <f t="shared" si="900"/>
        <v>Total Revenue</v>
      </c>
      <c r="BE70" s="58">
        <f t="shared" ref="BE70:BQ70" si="906">+BE60+BE55+BE51+BE52+BE29+BE27+(BE7/3.5%)+BE8+BE13</f>
        <v>7961695.3139999993</v>
      </c>
      <c r="BF70" s="58">
        <f t="shared" si="906"/>
        <v>3304745.7548000002</v>
      </c>
      <c r="BG70" s="58">
        <f t="shared" si="906"/>
        <v>10505086.697999999</v>
      </c>
      <c r="BH70" s="58">
        <f t="shared" si="906"/>
        <v>9189230.284</v>
      </c>
      <c r="BI70" s="58">
        <f t="shared" si="906"/>
        <v>10228335.370000001</v>
      </c>
      <c r="BJ70" s="58">
        <f t="shared" si="906"/>
        <v>7528731.9616</v>
      </c>
      <c r="BK70" s="58">
        <f t="shared" si="906"/>
        <v>7888715.0539999995</v>
      </c>
      <c r="BL70" s="58">
        <f t="shared" si="906"/>
        <v>6457943.6124</v>
      </c>
      <c r="BM70" s="58">
        <f t="shared" si="906"/>
        <v>8018185.8848000001</v>
      </c>
      <c r="BN70" s="58">
        <f t="shared" si="906"/>
        <v>5199711.3132000007</v>
      </c>
      <c r="BO70" s="58">
        <f t="shared" si="906"/>
        <v>0</v>
      </c>
      <c r="BP70" s="58">
        <f t="shared" si="906"/>
        <v>0</v>
      </c>
      <c r="BQ70" s="58">
        <f t="shared" si="906"/>
        <v>76282381.246799991</v>
      </c>
      <c r="BR70" s="118">
        <f t="shared" si="417"/>
        <v>-0.38334788807594838</v>
      </c>
      <c r="BS70" s="58">
        <f t="shared" ref="BS70:CE70" si="907">+BS60+BS55+BS51+BS52+BS29+BS27+(BS7/3.5%)+BS8+BS13</f>
        <v>8770282.3049999997</v>
      </c>
      <c r="BT70" s="58">
        <f t="shared" si="907"/>
        <v>8418115.9100000001</v>
      </c>
      <c r="BU70" s="58">
        <f t="shared" si="907"/>
        <v>7941607.0149999997</v>
      </c>
      <c r="BV70" s="58">
        <f t="shared" si="907"/>
        <v>7351223.3200000003</v>
      </c>
      <c r="BW70" s="58">
        <f t="shared" si="907"/>
        <v>7791209.9699999997</v>
      </c>
      <c r="BX70" s="58">
        <f t="shared" si="907"/>
        <v>8464466.6099999994</v>
      </c>
      <c r="BY70" s="58">
        <f t="shared" si="907"/>
        <v>8955564.3100000005</v>
      </c>
      <c r="BZ70" s="58">
        <f t="shared" si="907"/>
        <v>8930726.1750000007</v>
      </c>
      <c r="CA70" s="58">
        <f t="shared" si="907"/>
        <v>9407738.1449999996</v>
      </c>
      <c r="CB70" s="58">
        <f t="shared" si="907"/>
        <v>8432163.3099999987</v>
      </c>
      <c r="CC70" s="58">
        <f t="shared" si="907"/>
        <v>6859462.6600000001</v>
      </c>
      <c r="CD70" s="58">
        <f t="shared" si="907"/>
        <v>9020120.4199999999</v>
      </c>
      <c r="CE70" s="58">
        <f t="shared" si="907"/>
        <v>100342680.14999999</v>
      </c>
      <c r="CF70" s="106"/>
      <c r="CG70" s="58">
        <f t="shared" ref="CG70:CS70" si="908">+CG60+CG55+CG51+CG52+CG29+CG27+(CG7/3.5%)+CG8+CG13</f>
        <v>2566737.87</v>
      </c>
      <c r="CH70" s="58">
        <f t="shared" si="908"/>
        <v>3469355.7</v>
      </c>
      <c r="CI70" s="58">
        <f t="shared" si="908"/>
        <v>1661902.8799999997</v>
      </c>
      <c r="CJ70" s="58">
        <f t="shared" si="908"/>
        <v>1228584.21</v>
      </c>
      <c r="CK70" s="58">
        <f t="shared" si="908"/>
        <v>4648360.5999999996</v>
      </c>
      <c r="CL70" s="58">
        <f t="shared" si="908"/>
        <v>1920889.71</v>
      </c>
      <c r="CM70" s="58">
        <f t="shared" si="908"/>
        <v>2377000.2199999997</v>
      </c>
      <c r="CN70" s="58">
        <f t="shared" si="908"/>
        <v>4257626.93</v>
      </c>
      <c r="CO70" s="58">
        <f t="shared" si="908"/>
        <v>2070144.12</v>
      </c>
      <c r="CP70" s="58">
        <f t="shared" si="908"/>
        <v>3384293.57</v>
      </c>
      <c r="CQ70" s="58">
        <f t="shared" si="908"/>
        <v>5726489.25</v>
      </c>
      <c r="CR70" s="58">
        <f t="shared" si="908"/>
        <v>5328532.7</v>
      </c>
      <c r="CS70" s="58">
        <f t="shared" si="908"/>
        <v>38639917.759999998</v>
      </c>
      <c r="CT70" s="14" t="str">
        <f t="shared" si="901"/>
        <v>Total Revenue</v>
      </c>
      <c r="CU70" s="58">
        <f t="shared" ref="CU70:DG70" si="909">+CU60+CU55+CU51+CU52+CU29+CU27+(CU7/3.5%)+CU8+CU13</f>
        <v>2888019.5720000002</v>
      </c>
      <c r="CV70" s="58">
        <f t="shared" si="909"/>
        <v>809802.17740000004</v>
      </c>
      <c r="CW70" s="58">
        <f t="shared" si="909"/>
        <v>3763831.449</v>
      </c>
      <c r="CX70" s="58">
        <f t="shared" si="909"/>
        <v>1697718.1790000002</v>
      </c>
      <c r="CY70" s="58">
        <f t="shared" si="909"/>
        <v>3278206.7</v>
      </c>
      <c r="CZ70" s="58">
        <f t="shared" si="909"/>
        <v>1711689.7007999998</v>
      </c>
      <c r="DA70" s="58">
        <f t="shared" si="909"/>
        <v>3037238.9219999998</v>
      </c>
      <c r="DB70" s="58">
        <f t="shared" si="909"/>
        <v>4077431.3262</v>
      </c>
      <c r="DC70" s="58">
        <f t="shared" si="909"/>
        <v>2290960.1723999996</v>
      </c>
      <c r="DD70" s="58">
        <f t="shared" si="909"/>
        <v>3009392.0366000002</v>
      </c>
      <c r="DE70" s="58">
        <f t="shared" si="909"/>
        <v>0</v>
      </c>
      <c r="DF70" s="58">
        <f t="shared" si="909"/>
        <v>0</v>
      </c>
      <c r="DG70" s="58">
        <f t="shared" si="909"/>
        <v>26564290.235400002</v>
      </c>
      <c r="DH70" s="118">
        <f t="shared" si="421"/>
        <v>1.7175892540923022E-3</v>
      </c>
      <c r="DI70" s="58">
        <f t="shared" ref="DI70:DU70" si="910">+DI60+DI55+DI51+DI52+DI29+DI27+(DI7/3.5%)+DI8+DI13</f>
        <v>3043248.0000000005</v>
      </c>
      <c r="DJ70" s="58">
        <f t="shared" si="910"/>
        <v>3246131.2000000007</v>
      </c>
      <c r="DK70" s="58">
        <f t="shared" si="910"/>
        <v>3854780.8000000007</v>
      </c>
      <c r="DL70" s="58">
        <f t="shared" si="910"/>
        <v>2145880.0000000005</v>
      </c>
      <c r="DM70" s="58">
        <f t="shared" si="910"/>
        <v>3004232</v>
      </c>
      <c r="DN70" s="58">
        <f t="shared" si="910"/>
        <v>3433408.0000000005</v>
      </c>
      <c r="DO70" s="58">
        <f t="shared" si="910"/>
        <v>3277344</v>
      </c>
      <c r="DP70" s="58">
        <f t="shared" si="910"/>
        <v>4096679.9999999991</v>
      </c>
      <c r="DQ70" s="58">
        <f t="shared" si="910"/>
        <v>4330776</v>
      </c>
      <c r="DR70" s="58">
        <f t="shared" si="910"/>
        <v>3004232</v>
      </c>
      <c r="DS70" s="58">
        <f t="shared" si="910"/>
        <v>2403385.6</v>
      </c>
      <c r="DT70" s="58">
        <f t="shared" si="910"/>
        <v>3175902.4</v>
      </c>
      <c r="DU70" s="58">
        <f t="shared" si="910"/>
        <v>39016000.000000007</v>
      </c>
      <c r="DW70" s="58">
        <f t="shared" ref="DW70:EI70" si="911">+DW60+DW55+DW51+DW52+DW29+DW27+(DW7/3.5%)+DW8+DW13</f>
        <v>0</v>
      </c>
      <c r="DX70" s="58">
        <f t="shared" si="911"/>
        <v>0</v>
      </c>
      <c r="DY70" s="58">
        <f t="shared" si="911"/>
        <v>0</v>
      </c>
      <c r="DZ70" s="58">
        <f t="shared" si="911"/>
        <v>0</v>
      </c>
      <c r="EA70" s="58">
        <f t="shared" si="911"/>
        <v>0</v>
      </c>
      <c r="EB70" s="58">
        <f t="shared" si="911"/>
        <v>0</v>
      </c>
      <c r="EC70" s="58">
        <f t="shared" si="911"/>
        <v>0</v>
      </c>
      <c r="ED70" s="58">
        <f t="shared" si="911"/>
        <v>0</v>
      </c>
      <c r="EE70" s="58">
        <f t="shared" si="911"/>
        <v>0</v>
      </c>
      <c r="EF70" s="58">
        <f t="shared" si="911"/>
        <v>0</v>
      </c>
      <c r="EG70" s="58">
        <f t="shared" si="911"/>
        <v>0</v>
      </c>
      <c r="EH70" s="58">
        <f t="shared" si="911"/>
        <v>0</v>
      </c>
      <c r="EI70" s="58">
        <f t="shared" si="911"/>
        <v>0</v>
      </c>
      <c r="EJ70" s="14" t="str">
        <f t="shared" ref="EJ70:EJ71" si="912">CT70</f>
        <v>Total Revenue</v>
      </c>
      <c r="EK70" s="58">
        <f t="shared" ref="EK70:EW70" si="913">+EK60+EK55+EK51+EK52+EK29+EK27+(EK7/3.5%)+EK8+EK13</f>
        <v>526284.69999999995</v>
      </c>
      <c r="EL70" s="58">
        <f t="shared" si="913"/>
        <v>307410.40000000002</v>
      </c>
      <c r="EM70" s="58">
        <f t="shared" si="913"/>
        <v>926380.9</v>
      </c>
      <c r="EN70" s="58">
        <f t="shared" si="913"/>
        <v>151040.29199999999</v>
      </c>
      <c r="EO70" s="58">
        <f t="shared" si="913"/>
        <v>339674.99</v>
      </c>
      <c r="EP70" s="58">
        <f t="shared" si="913"/>
        <v>2262542.9300000002</v>
      </c>
      <c r="EQ70" s="58">
        <f t="shared" si="913"/>
        <v>921941.81</v>
      </c>
      <c r="ER70" s="58">
        <f t="shared" si="913"/>
        <v>1576165.45</v>
      </c>
      <c r="ES70" s="58">
        <f t="shared" si="913"/>
        <v>568352</v>
      </c>
      <c r="ET70" s="58">
        <f t="shared" si="913"/>
        <v>716013.99439999997</v>
      </c>
      <c r="EU70" s="58">
        <f t="shared" si="913"/>
        <v>0</v>
      </c>
      <c r="EV70" s="58">
        <f t="shared" si="913"/>
        <v>0</v>
      </c>
      <c r="EW70" s="58">
        <f t="shared" si="913"/>
        <v>8295807.4664000003</v>
      </c>
      <c r="EX70" s="118">
        <f t="shared" si="425"/>
        <v>-0.65976928925045952</v>
      </c>
      <c r="EY70" s="58">
        <f t="shared" ref="EY70:FJ70" si="914">+EY60+EY55+EY51+EY52+EY29+EY27+(EY7/3.5%)+EY8+EY13</f>
        <v>1452600</v>
      </c>
      <c r="EZ70" s="58">
        <f t="shared" si="914"/>
        <v>1355760.0000000002</v>
      </c>
      <c r="FA70" s="58">
        <f t="shared" si="914"/>
        <v>1513125.0000000002</v>
      </c>
      <c r="FB70" s="58">
        <f t="shared" si="914"/>
        <v>1355760.0000000002</v>
      </c>
      <c r="FC70" s="58">
        <f t="shared" si="914"/>
        <v>1614000</v>
      </c>
      <c r="FD70" s="58">
        <f t="shared" si="914"/>
        <v>1614000</v>
      </c>
      <c r="FE70" s="58">
        <f t="shared" si="914"/>
        <v>1815750.0000000002</v>
      </c>
      <c r="FF70" s="58">
        <f t="shared" si="914"/>
        <v>1748500.0000000002</v>
      </c>
      <c r="FG70" s="58">
        <f t="shared" si="914"/>
        <v>1670490.0000000002</v>
      </c>
      <c r="FH70" s="58">
        <f t="shared" si="914"/>
        <v>1069444.4444444445</v>
      </c>
      <c r="FI70" s="58">
        <f t="shared" si="914"/>
        <v>1099777.777777778</v>
      </c>
      <c r="FJ70" s="58">
        <f t="shared" si="914"/>
        <v>1141555.0505050505</v>
      </c>
      <c r="FK70" s="58">
        <f>+FK60+FK55+FK51+FK52+FK29+FK27+(FK7/3.5%)+FK8+FK13</f>
        <v>17450762.272727273</v>
      </c>
    </row>
    <row r="71" spans="1:167" ht="14.45" customHeight="1">
      <c r="A71" s="58">
        <f>+A60+A58+A47+A27+A6</f>
        <v>2883912.4239999996</v>
      </c>
      <c r="B71" s="58">
        <f t="shared" ref="B71:M71" si="915">+B60+B58+B47+B27+B6</f>
        <v>6383512.4039999992</v>
      </c>
      <c r="C71" s="58">
        <f t="shared" si="915"/>
        <v>3133203.9219999993</v>
      </c>
      <c r="D71" s="58">
        <f t="shared" si="915"/>
        <v>3458976.3420000002</v>
      </c>
      <c r="E71" s="58">
        <f t="shared" si="915"/>
        <v>3046402.8559999997</v>
      </c>
      <c r="F71" s="58">
        <f t="shared" si="915"/>
        <v>3522486.5880000005</v>
      </c>
      <c r="G71" s="58">
        <f t="shared" si="915"/>
        <v>4183378.0160000008</v>
      </c>
      <c r="H71" s="58">
        <f t="shared" si="915"/>
        <v>4752447.1560000014</v>
      </c>
      <c r="I71" s="58">
        <f t="shared" si="915"/>
        <v>3187369.3619999997</v>
      </c>
      <c r="J71" s="58">
        <f t="shared" si="915"/>
        <v>2845519.7819999987</v>
      </c>
      <c r="K71" s="58">
        <f t="shared" si="915"/>
        <v>6177726.2540000007</v>
      </c>
      <c r="L71" s="58">
        <f t="shared" si="915"/>
        <v>5209255.0820000004</v>
      </c>
      <c r="M71" s="58">
        <f t="shared" si="915"/>
        <v>48784190.188000038</v>
      </c>
      <c r="N71" s="14" t="s">
        <v>57</v>
      </c>
      <c r="O71" s="58">
        <f>+O60+O58+O47+O27+O6</f>
        <v>5789018.8260000004</v>
      </c>
      <c r="P71" s="58">
        <f t="shared" ref="P71:AA71" si="916">+P60+P58+P47+P27+P6</f>
        <v>2009864.0222</v>
      </c>
      <c r="Q71" s="58">
        <f t="shared" si="916"/>
        <v>5759027.4269999973</v>
      </c>
      <c r="R71" s="58">
        <f t="shared" si="916"/>
        <v>3310529.1990000024</v>
      </c>
      <c r="S71" s="58">
        <f t="shared" si="916"/>
        <v>5016332.3080000021</v>
      </c>
      <c r="T71" s="58">
        <f t="shared" si="916"/>
        <v>4437204.2724000011</v>
      </c>
      <c r="U71" s="58">
        <f t="shared" si="916"/>
        <v>4649568.7479999997</v>
      </c>
      <c r="V71" s="58">
        <f t="shared" si="916"/>
        <v>4341925.2325999998</v>
      </c>
      <c r="W71" s="58">
        <f t="shared" si="916"/>
        <v>4432831.2252000002</v>
      </c>
      <c r="X71" s="58">
        <f t="shared" si="916"/>
        <v>3143580.5521999989</v>
      </c>
      <c r="Y71" s="58">
        <f t="shared" si="916"/>
        <v>0</v>
      </c>
      <c r="Z71" s="58">
        <f t="shared" si="916"/>
        <v>0</v>
      </c>
      <c r="AA71" s="58">
        <f t="shared" si="916"/>
        <v>42889881.812600024</v>
      </c>
      <c r="AB71" s="118">
        <f t="shared" si="401"/>
        <v>-0.31441810286747485</v>
      </c>
      <c r="AC71" s="58">
        <f>+AC60+AC58+AC47+AC27+AC6</f>
        <v>4866730.4498444442</v>
      </c>
      <c r="AD71" s="58">
        <f t="shared" ref="AD71:AO71" si="917">+AD60+AD58+AD47+AD27+AD6</f>
        <v>4704469.9168444453</v>
      </c>
      <c r="AE71" s="58">
        <f t="shared" si="917"/>
        <v>4958850.607844444</v>
      </c>
      <c r="AF71" s="58">
        <f t="shared" si="917"/>
        <v>3831993.0905244453</v>
      </c>
      <c r="AG71" s="58">
        <f t="shared" si="917"/>
        <v>4283371.3424444441</v>
      </c>
      <c r="AH71" s="58">
        <f t="shared" si="917"/>
        <v>4973160.2288444461</v>
      </c>
      <c r="AI71" s="58">
        <f t="shared" si="917"/>
        <v>5335503.7752444446</v>
      </c>
      <c r="AJ71" s="58">
        <f t="shared" si="917"/>
        <v>5430349.0974444458</v>
      </c>
      <c r="AK71" s="58">
        <f t="shared" si="917"/>
        <v>5644128.6218444444</v>
      </c>
      <c r="AL71" s="58">
        <f t="shared" si="917"/>
        <v>4585273.568844445</v>
      </c>
      <c r="AM71" s="58">
        <f t="shared" si="917"/>
        <v>3802554.0100444434</v>
      </c>
      <c r="AN71" s="58">
        <f t="shared" si="917"/>
        <v>4976601.6138262637</v>
      </c>
      <c r="AO71" s="58">
        <f t="shared" si="917"/>
        <v>57392986.323595151</v>
      </c>
      <c r="AQ71" s="58">
        <f>+AQ60+AQ58+AQ47+AQ27+AQ6</f>
        <v>2029964.7139999997</v>
      </c>
      <c r="AR71" s="58">
        <f t="shared" ref="AR71:BC71" si="918">+AR60+AR58+AR47+AR27+AR6</f>
        <v>5000083.0600000005</v>
      </c>
      <c r="AS71" s="58">
        <f t="shared" si="918"/>
        <v>2679959.42</v>
      </c>
      <c r="AT71" s="58">
        <f t="shared" si="918"/>
        <v>2960430.8960000006</v>
      </c>
      <c r="AU71" s="58">
        <f t="shared" si="918"/>
        <v>1392983.8399999999</v>
      </c>
      <c r="AV71" s="58">
        <f t="shared" si="918"/>
        <v>2878868.0279999999</v>
      </c>
      <c r="AW71" s="58">
        <f t="shared" si="918"/>
        <v>3350503.3320000004</v>
      </c>
      <c r="AX71" s="58">
        <f t="shared" si="918"/>
        <v>3414469.4400000013</v>
      </c>
      <c r="AY71" s="58">
        <f t="shared" si="918"/>
        <v>2505091.2579999994</v>
      </c>
      <c r="AZ71" s="58">
        <f t="shared" si="918"/>
        <v>1568046.0459999992</v>
      </c>
      <c r="BA71" s="58">
        <f t="shared" si="918"/>
        <v>3417817.3600000003</v>
      </c>
      <c r="BB71" s="58">
        <f t="shared" si="918"/>
        <v>3578584.762000001</v>
      </c>
      <c r="BC71" s="58">
        <f t="shared" si="918"/>
        <v>34776802.155999996</v>
      </c>
      <c r="BD71" s="14" t="str">
        <f t="shared" si="900"/>
        <v>Total Income</v>
      </c>
      <c r="BE71" s="58">
        <f t="shared" ref="BE71:BP71" si="919">+BE60+BE58+BE47+BE27+BE6</f>
        <v>3946227.3739999994</v>
      </c>
      <c r="BF71" s="58">
        <f t="shared" si="919"/>
        <v>1744131.7248</v>
      </c>
      <c r="BG71" s="58">
        <f t="shared" si="919"/>
        <v>4337611.3679999989</v>
      </c>
      <c r="BH71" s="58">
        <f t="shared" si="919"/>
        <v>2776401.4640000006</v>
      </c>
      <c r="BI71" s="58">
        <f t="shared" si="919"/>
        <v>3735662.2660000008</v>
      </c>
      <c r="BJ71" s="58">
        <f t="shared" si="919"/>
        <v>3050328.9736000011</v>
      </c>
      <c r="BK71" s="58">
        <f t="shared" si="919"/>
        <v>3381913.07</v>
      </c>
      <c r="BL71" s="58">
        <f t="shared" si="919"/>
        <v>2486848.4783999994</v>
      </c>
      <c r="BM71" s="58">
        <f t="shared" si="919"/>
        <v>3234104.2588000009</v>
      </c>
      <c r="BN71" s="58">
        <f t="shared" si="919"/>
        <v>1993953.9512</v>
      </c>
      <c r="BO71" s="58">
        <f t="shared" si="919"/>
        <v>0</v>
      </c>
      <c r="BP71" s="58">
        <f t="shared" si="919"/>
        <v>0</v>
      </c>
      <c r="BQ71" s="58">
        <f t="shared" ref="BQ71" si="920">+BQ60+BQ58+BQ47+BQ27+BQ6</f>
        <v>30687182.928799983</v>
      </c>
      <c r="BR71" s="118">
        <f t="shared" si="417"/>
        <v>-0.37982005438637212</v>
      </c>
      <c r="BS71" s="58">
        <f t="shared" ref="BS71:CE71" si="921">+BS60+BS58+BS47+BS27+BS6</f>
        <v>3344332.7406246257</v>
      </c>
      <c r="BT71" s="58">
        <f t="shared" si="921"/>
        <v>3141386.2556246268</v>
      </c>
      <c r="BU71" s="58">
        <f t="shared" si="921"/>
        <v>3112537.0906246253</v>
      </c>
      <c r="BV71" s="58">
        <f t="shared" si="921"/>
        <v>2678535.8613046268</v>
      </c>
      <c r="BW71" s="58">
        <f t="shared" si="921"/>
        <v>2717419.3932246263</v>
      </c>
      <c r="BX71" s="58">
        <f t="shared" si="921"/>
        <v>3247424.9196246266</v>
      </c>
      <c r="BY71" s="58">
        <f t="shared" si="921"/>
        <v>3595271.5060246256</v>
      </c>
      <c r="BZ71" s="58">
        <f t="shared" si="921"/>
        <v>3409275.8682246255</v>
      </c>
      <c r="CA71" s="58">
        <f t="shared" si="921"/>
        <v>3563972.8326246259</v>
      </c>
      <c r="CB71" s="58">
        <f t="shared" si="921"/>
        <v>3215121.6196246264</v>
      </c>
      <c r="CC71" s="58">
        <f t="shared" si="921"/>
        <v>2645178.764824626</v>
      </c>
      <c r="CD71" s="58">
        <f t="shared" si="921"/>
        <v>3516576.5024246266</v>
      </c>
      <c r="CE71" s="58">
        <f t="shared" si="921"/>
        <v>38187033.354775503</v>
      </c>
      <c r="CF71" s="106"/>
      <c r="CG71" s="58">
        <f>+CG60+CG58+CG47+CG27+CG6</f>
        <v>853947.7100000002</v>
      </c>
      <c r="CH71" s="58">
        <f t="shared" ref="CH71:CS71" si="922">+CH60+CH58+CH47+CH27+CH6</f>
        <v>1383429.3440000003</v>
      </c>
      <c r="CI71" s="58">
        <f t="shared" si="922"/>
        <v>453244.5019999994</v>
      </c>
      <c r="CJ71" s="58">
        <f t="shared" si="922"/>
        <v>498545.446</v>
      </c>
      <c r="CK71" s="58">
        <f t="shared" si="922"/>
        <v>1653419.0159999994</v>
      </c>
      <c r="CL71" s="58">
        <f t="shared" si="922"/>
        <v>643618.55999999982</v>
      </c>
      <c r="CM71" s="58">
        <f t="shared" si="922"/>
        <v>832874.68399999989</v>
      </c>
      <c r="CN71" s="58">
        <f t="shared" si="922"/>
        <v>1337977.7159999995</v>
      </c>
      <c r="CO71" s="58">
        <f t="shared" si="922"/>
        <v>682278.10400000005</v>
      </c>
      <c r="CP71" s="58">
        <f t="shared" si="922"/>
        <v>1277473.736</v>
      </c>
      <c r="CQ71" s="58">
        <f t="shared" si="922"/>
        <v>2759908.8940000003</v>
      </c>
      <c r="CR71" s="58">
        <f t="shared" si="922"/>
        <v>1630670.3200000003</v>
      </c>
      <c r="CS71" s="58">
        <f t="shared" si="922"/>
        <v>14007388.031999998</v>
      </c>
      <c r="CT71" s="14" t="str">
        <f t="shared" si="901"/>
        <v>Total Income</v>
      </c>
      <c r="CU71" s="58">
        <f t="shared" ref="CU71:DF71" si="923">+CU60+CU58+CU47+CU27+CU6</f>
        <v>1698995.5920000002</v>
      </c>
      <c r="CV71" s="58">
        <f t="shared" si="923"/>
        <v>216393.02740000011</v>
      </c>
      <c r="CW71" s="58">
        <f t="shared" si="923"/>
        <v>1097629.8790000002</v>
      </c>
      <c r="CX71" s="58">
        <f t="shared" si="923"/>
        <v>535219.09500000032</v>
      </c>
      <c r="CY71" s="58">
        <f t="shared" si="923"/>
        <v>1121420.5300000003</v>
      </c>
      <c r="CZ71" s="58">
        <f t="shared" si="923"/>
        <v>682155.8507999999</v>
      </c>
      <c r="DA71" s="58">
        <f t="shared" si="923"/>
        <v>1033208.5760000001</v>
      </c>
      <c r="DB71" s="58">
        <f t="shared" si="923"/>
        <v>1319079.8901999996</v>
      </c>
      <c r="DC71" s="58">
        <f t="shared" si="923"/>
        <v>1008784.2163999996</v>
      </c>
      <c r="DD71" s="58">
        <f t="shared" si="923"/>
        <v>977346.24659999995</v>
      </c>
      <c r="DE71" s="58">
        <f t="shared" si="923"/>
        <v>0</v>
      </c>
      <c r="DF71" s="58">
        <f t="shared" si="923"/>
        <v>0</v>
      </c>
      <c r="DG71" s="58">
        <f t="shared" ref="DG71:DU71" si="924">+DG60+DG58+DG47+DG27+DG6</f>
        <v>9690232.9034000058</v>
      </c>
      <c r="DH71" s="118">
        <f t="shared" si="421"/>
        <v>-4.1259490128263382E-2</v>
      </c>
      <c r="DI71" s="58">
        <f t="shared" si="924"/>
        <v>1033932.1963993057</v>
      </c>
      <c r="DJ71" s="58">
        <f t="shared" si="924"/>
        <v>1109466.148399306</v>
      </c>
      <c r="DK71" s="58">
        <f t="shared" si="924"/>
        <v>1336068.0043993061</v>
      </c>
      <c r="DL71" s="58">
        <f t="shared" si="924"/>
        <v>699839.71639930573</v>
      </c>
      <c r="DM71" s="58">
        <f t="shared" si="924"/>
        <v>1019406.4363993052</v>
      </c>
      <c r="DN71" s="58">
        <f t="shared" si="924"/>
        <v>1179189.796399306</v>
      </c>
      <c r="DO71" s="58">
        <f t="shared" si="924"/>
        <v>1121086.7563993055</v>
      </c>
      <c r="DP71" s="58">
        <f t="shared" si="924"/>
        <v>1426127.716399305</v>
      </c>
      <c r="DQ71" s="58">
        <f t="shared" si="924"/>
        <v>1513282.276399306</v>
      </c>
      <c r="DR71" s="58">
        <f t="shared" si="924"/>
        <v>1019406.4363993052</v>
      </c>
      <c r="DS71" s="58">
        <f t="shared" si="924"/>
        <v>795709.73239930533</v>
      </c>
      <c r="DT71" s="58">
        <f t="shared" si="924"/>
        <v>1083319.7803993055</v>
      </c>
      <c r="DU71" s="58">
        <f t="shared" si="924"/>
        <v>13336834.996791676</v>
      </c>
      <c r="DW71" s="28">
        <f t="shared" ref="DW71:EI71" si="925">+DW60+DW58+DW47+DW27+DW6</f>
        <v>0</v>
      </c>
      <c r="DX71" s="28">
        <f t="shared" si="925"/>
        <v>0</v>
      </c>
      <c r="DY71" s="28">
        <f t="shared" si="925"/>
        <v>0</v>
      </c>
      <c r="DZ71" s="28">
        <f t="shared" si="925"/>
        <v>0</v>
      </c>
      <c r="EA71" s="28">
        <f t="shared" si="925"/>
        <v>0</v>
      </c>
      <c r="EB71" s="28">
        <f t="shared" si="925"/>
        <v>0</v>
      </c>
      <c r="EC71" s="28">
        <f t="shared" si="925"/>
        <v>0</v>
      </c>
      <c r="ED71" s="28">
        <f t="shared" si="925"/>
        <v>0</v>
      </c>
      <c r="EE71" s="28">
        <f t="shared" si="925"/>
        <v>0</v>
      </c>
      <c r="EF71" s="28">
        <f t="shared" si="925"/>
        <v>0</v>
      </c>
      <c r="EG71" s="28">
        <f t="shared" si="925"/>
        <v>0</v>
      </c>
      <c r="EH71" s="28">
        <f t="shared" si="925"/>
        <v>0</v>
      </c>
      <c r="EI71" s="58">
        <f t="shared" si="925"/>
        <v>0</v>
      </c>
      <c r="EJ71" s="14" t="str">
        <f t="shared" si="912"/>
        <v>Total Income</v>
      </c>
      <c r="EK71" s="28">
        <f t="shared" ref="EK71:EV71" si="926">+EK60+EK58+EK47+EK27+EK6</f>
        <v>143795.85999999999</v>
      </c>
      <c r="EL71" s="28">
        <f t="shared" si="926"/>
        <v>49339.270000000019</v>
      </c>
      <c r="EM71" s="28">
        <f t="shared" si="926"/>
        <v>323786.18000000005</v>
      </c>
      <c r="EN71" s="28">
        <f t="shared" si="926"/>
        <v>-1091.3600000000151</v>
      </c>
      <c r="EO71" s="28">
        <f t="shared" si="926"/>
        <v>159249.51199999999</v>
      </c>
      <c r="EP71" s="28">
        <f t="shared" si="926"/>
        <v>704719.44800000009</v>
      </c>
      <c r="EQ71" s="28">
        <f t="shared" si="926"/>
        <v>234447.10199999996</v>
      </c>
      <c r="ER71" s="28">
        <f t="shared" si="926"/>
        <v>535996.86399999994</v>
      </c>
      <c r="ES71" s="58">
        <f t="shared" si="926"/>
        <v>189942.75</v>
      </c>
      <c r="ET71" s="28">
        <f t="shared" si="926"/>
        <v>172280.35439999998</v>
      </c>
      <c r="EU71" s="28">
        <f t="shared" si="926"/>
        <v>0</v>
      </c>
      <c r="EV71" s="28">
        <f t="shared" si="926"/>
        <v>0</v>
      </c>
      <c r="EW71" s="28">
        <f t="shared" ref="EW71" si="927">+EW60+EW58+EW47+EW27+EW6</f>
        <v>2512465.9804000007</v>
      </c>
      <c r="EX71" s="118">
        <f t="shared" si="425"/>
        <v>-0.66492922018012701</v>
      </c>
      <c r="EY71" s="58">
        <f t="shared" ref="EY71:FK71" si="928">+EY60+EY58+EY47+EY27+EY6</f>
        <v>488465.51282051287</v>
      </c>
      <c r="EZ71" s="58">
        <f t="shared" si="928"/>
        <v>453617.51282051287</v>
      </c>
      <c r="FA71" s="58">
        <f t="shared" si="928"/>
        <v>510245.51282051287</v>
      </c>
      <c r="FB71" s="58">
        <f t="shared" si="928"/>
        <v>453617.51282051287</v>
      </c>
      <c r="FC71" s="58">
        <f t="shared" si="928"/>
        <v>546545.51282051299</v>
      </c>
      <c r="FD71" s="58">
        <f t="shared" si="928"/>
        <v>546545.51282051299</v>
      </c>
      <c r="FE71" s="58">
        <f t="shared" si="928"/>
        <v>619145.51282051275</v>
      </c>
      <c r="FF71" s="58">
        <f t="shared" si="928"/>
        <v>594945.51282051275</v>
      </c>
      <c r="FG71" s="58">
        <f t="shared" si="928"/>
        <v>566873.51282051275</v>
      </c>
      <c r="FH71" s="58">
        <f t="shared" si="928"/>
        <v>350745.51282051299</v>
      </c>
      <c r="FI71" s="58">
        <f t="shared" si="928"/>
        <v>361665.51282051299</v>
      </c>
      <c r="FJ71" s="58">
        <f t="shared" si="928"/>
        <v>376705.33100233099</v>
      </c>
      <c r="FK71" s="58">
        <f t="shared" si="928"/>
        <v>5869117.9720279723</v>
      </c>
    </row>
    <row r="72" spans="1:167" ht="14.45" customHeight="1">
      <c r="A72" s="108">
        <f>+IFERROR(A71/A70,0)</f>
        <v>0.42802578212929693</v>
      </c>
      <c r="B72" s="108">
        <f t="shared" ref="B72:M72" si="929">+IFERROR(B71/B70,0)</f>
        <v>0.35553708396352135</v>
      </c>
      <c r="C72" s="108">
        <f t="shared" si="929"/>
        <v>0.36176029127592413</v>
      </c>
      <c r="D72" s="108">
        <f t="shared" si="929"/>
        <v>0.40025826311671703</v>
      </c>
      <c r="E72" s="108">
        <f t="shared" si="929"/>
        <v>0.36629310211975058</v>
      </c>
      <c r="F72" s="108">
        <f t="shared" si="929"/>
        <v>0.40160061867959529</v>
      </c>
      <c r="G72" s="108">
        <f t="shared" si="929"/>
        <v>0.39926149387104243</v>
      </c>
      <c r="H72" s="108">
        <f t="shared" si="929"/>
        <v>0.28995792544440468</v>
      </c>
      <c r="I72" s="108">
        <f t="shared" si="929"/>
        <v>0.35915835185229694</v>
      </c>
      <c r="J72" s="108">
        <f t="shared" si="929"/>
        <v>0.2594164999954211</v>
      </c>
      <c r="K72" s="108">
        <f t="shared" si="929"/>
        <v>0.43470904087804146</v>
      </c>
      <c r="L72" s="108">
        <f t="shared" si="929"/>
        <v>0.36861081594579637</v>
      </c>
      <c r="M72" s="108">
        <f t="shared" si="929"/>
        <v>0.36368716867552237</v>
      </c>
      <c r="N72" s="15" t="s">
        <v>58</v>
      </c>
      <c r="O72" s="108">
        <f>+IFERROR(O71/O70,0)</f>
        <v>0.50888001377253222</v>
      </c>
      <c r="P72" s="108">
        <f t="shared" ref="P72" si="930">+IFERROR(P71/P70,0)</f>
        <v>0.45451898711131866</v>
      </c>
      <c r="Q72" s="108">
        <f t="shared" ref="Q72" si="931">+IFERROR(Q71/Q70,0)</f>
        <v>0.3790005980920132</v>
      </c>
      <c r="R72" s="108">
        <f t="shared" ref="R72" si="932">+IFERROR(R71/R70,0)</f>
        <v>0.29992141435190312</v>
      </c>
      <c r="S72" s="108">
        <f t="shared" ref="S72" si="933">+IFERROR(S71/S70,0)</f>
        <v>0.36228901267852875</v>
      </c>
      <c r="T72" s="108">
        <f t="shared" ref="T72" si="934">+IFERROR(T71/T70,0)</f>
        <v>0.38574440847463431</v>
      </c>
      <c r="U72" s="108">
        <f t="shared" ref="U72" si="935">+IFERROR(U71/U70,0)</f>
        <v>0.39243835631084267</v>
      </c>
      <c r="V72" s="108">
        <f t="shared" ref="V72" si="936">+IFERROR(V71/V70,0)</f>
        <v>0.35849488118677636</v>
      </c>
      <c r="W72" s="108">
        <f t="shared" ref="W72" si="937">+IFERROR(W71/W70,0)</f>
        <v>0.40752305372887054</v>
      </c>
      <c r="X72" s="108">
        <f t="shared" ref="X72" si="938">+IFERROR(X71/X70,0)</f>
        <v>0.35221727972493933</v>
      </c>
      <c r="Y72" s="108">
        <f t="shared" ref="Y72" si="939">+IFERROR(Y71/Y70,0)</f>
        <v>0</v>
      </c>
      <c r="Z72" s="108">
        <f t="shared" ref="Z72" si="940">+IFERROR(Z71/Z70,0)</f>
        <v>0</v>
      </c>
      <c r="AA72" s="108">
        <f t="shared" ref="AA72" si="941">+IFERROR(AA71/AA70,0)</f>
        <v>0.38589999267908426</v>
      </c>
      <c r="AB72" s="118">
        <f t="shared" si="401"/>
        <v>-3.9365308775569652E-2</v>
      </c>
      <c r="AC72" s="108">
        <f>+IFERROR(AC71/AC70,0)</f>
        <v>0.3668538102637342</v>
      </c>
      <c r="AD72" s="108">
        <f t="shared" ref="AD72" si="942">+IFERROR(AD71/AD70,0)</f>
        <v>0.36132621719009528</v>
      </c>
      <c r="AE72" s="108">
        <f t="shared" ref="AE72" si="943">+IFERROR(AE71/AE70,0)</f>
        <v>0.37257942321192644</v>
      </c>
      <c r="AF72" s="108">
        <f t="shared" ref="AF72" si="944">+IFERROR(AF71/AF70,0)</f>
        <v>0.35308590715067117</v>
      </c>
      <c r="AG72" s="108">
        <f t="shared" ref="AG72" si="945">+IFERROR(AG71/AG70,0)</f>
        <v>0.34517034309838862</v>
      </c>
      <c r="AH72" s="108">
        <f t="shared" ref="AH72" si="946">+IFERROR(AH71/AH70,0)</f>
        <v>0.36805849464913337</v>
      </c>
      <c r="AI72" s="108">
        <f t="shared" ref="AI72" si="947">+IFERROR(AI71/AI70,0)</f>
        <v>0.37978742578190333</v>
      </c>
      <c r="AJ72" s="108">
        <f t="shared" ref="AJ72" si="948">+IFERROR(AJ71/AJ70,0)</f>
        <v>0.36751377770876009</v>
      </c>
      <c r="AK72" s="108">
        <f t="shared" ref="AK72" si="949">+IFERROR(AK71/AK70,0)</f>
        <v>0.36628769573508635</v>
      </c>
      <c r="AL72" s="108">
        <f t="shared" ref="AL72" si="950">+IFERROR(AL71/AL70,0)</f>
        <v>0.36665059355289492</v>
      </c>
      <c r="AM72" s="108">
        <f t="shared" ref="AM72" si="951">+IFERROR(AM71/AM70,0)</f>
        <v>0.366948879191619</v>
      </c>
      <c r="AN72" s="108">
        <f t="shared" ref="AN72" si="952">+IFERROR(AN71/AN70,0)</f>
        <v>0.37312633989051391</v>
      </c>
      <c r="AO72" s="108">
        <f t="shared" ref="AO72" si="953">+IFERROR(AO71/AO70,0)</f>
        <v>0.36600465786285369</v>
      </c>
      <c r="AP72" s="32"/>
      <c r="AQ72" s="108">
        <f>+IFERROR(AQ71/AQ70,0)</f>
        <v>0.48668894909658167</v>
      </c>
      <c r="AR72" s="108">
        <f t="shared" ref="AR72:BC72" si="954">+IFERROR(AR71/AR70,0)</f>
        <v>0.34518550606430121</v>
      </c>
      <c r="AS72" s="108">
        <f t="shared" si="954"/>
        <v>0.38290102985791713</v>
      </c>
      <c r="AT72" s="108">
        <f t="shared" si="954"/>
        <v>0.39934173672097645</v>
      </c>
      <c r="AU72" s="108">
        <f t="shared" si="954"/>
        <v>0.37971646888383831</v>
      </c>
      <c r="AV72" s="108">
        <f t="shared" si="954"/>
        <v>0.42025867247247184</v>
      </c>
      <c r="AW72" s="108">
        <f t="shared" si="954"/>
        <v>0.4136020681243221</v>
      </c>
      <c r="AX72" s="108">
        <f t="shared" si="954"/>
        <v>0.28143164929149511</v>
      </c>
      <c r="AY72" s="108">
        <f t="shared" si="954"/>
        <v>0.3681571435202004</v>
      </c>
      <c r="AZ72" s="108">
        <f t="shared" si="954"/>
        <v>0.20673995032859918</v>
      </c>
      <c r="BA72" s="108">
        <f t="shared" si="954"/>
        <v>0.40282191476567064</v>
      </c>
      <c r="BB72" s="108">
        <f t="shared" si="954"/>
        <v>0.40649130346341966</v>
      </c>
      <c r="BC72" s="108">
        <f t="shared" si="954"/>
        <v>0.36416314011528989</v>
      </c>
      <c r="BD72" s="46" t="str">
        <f t="shared" si="900"/>
        <v>% to Sales</v>
      </c>
      <c r="BE72" s="108">
        <f t="shared" ref="BE72:BP72" si="955">+IFERROR(BE71/BE70,0)</f>
        <v>0.49565164432515729</v>
      </c>
      <c r="BF72" s="108">
        <f t="shared" si="955"/>
        <v>0.52776578115479056</v>
      </c>
      <c r="BG72" s="108">
        <f t="shared" si="955"/>
        <v>0.41290581341187893</v>
      </c>
      <c r="BH72" s="108">
        <f t="shared" si="955"/>
        <v>0.30213645519736121</v>
      </c>
      <c r="BI72" s="108">
        <f t="shared" si="955"/>
        <v>0.36522680679368458</v>
      </c>
      <c r="BJ72" s="108">
        <f t="shared" si="955"/>
        <v>0.40515839707909429</v>
      </c>
      <c r="BK72" s="108">
        <f t="shared" si="955"/>
        <v>0.42870265269439406</v>
      </c>
      <c r="BL72" s="108">
        <f t="shared" si="955"/>
        <v>0.38508364700257869</v>
      </c>
      <c r="BM72" s="108">
        <f t="shared" si="955"/>
        <v>0.40334613156460514</v>
      </c>
      <c r="BN72" s="108">
        <f t="shared" si="955"/>
        <v>0.38347397212959561</v>
      </c>
      <c r="BO72" s="108">
        <f t="shared" si="955"/>
        <v>0</v>
      </c>
      <c r="BP72" s="108">
        <f t="shared" si="955"/>
        <v>0</v>
      </c>
      <c r="BQ72" s="108">
        <f t="shared" ref="BQ72" si="956">+IFERROR(BQ71/BQ70,0)</f>
        <v>0.40228401928770802</v>
      </c>
      <c r="BR72" s="118">
        <f t="shared" si="417"/>
        <v>5.7209464159117306E-3</v>
      </c>
      <c r="BS72" s="108">
        <f t="shared" ref="BS72:CE72" si="957">+IFERROR(BS71/BS70,0)</f>
        <v>0.38132555194010093</v>
      </c>
      <c r="BT72" s="108">
        <f t="shared" si="957"/>
        <v>0.37316975546665127</v>
      </c>
      <c r="BU72" s="108">
        <f t="shared" si="957"/>
        <v>0.39192786607870517</v>
      </c>
      <c r="BV72" s="108">
        <f t="shared" si="957"/>
        <v>0.36436600341297026</v>
      </c>
      <c r="BW72" s="108">
        <f t="shared" si="957"/>
        <v>0.34878015143835567</v>
      </c>
      <c r="BX72" s="108">
        <f t="shared" si="957"/>
        <v>0.38365381650724317</v>
      </c>
      <c r="BY72" s="108">
        <f t="shared" si="957"/>
        <v>0.40145672361595997</v>
      </c>
      <c r="BZ72" s="108">
        <f t="shared" si="957"/>
        <v>0.3817467696824357</v>
      </c>
      <c r="CA72" s="108">
        <f t="shared" si="957"/>
        <v>0.37883418710147637</v>
      </c>
      <c r="CB72" s="108">
        <f t="shared" si="957"/>
        <v>0.38129261749611759</v>
      </c>
      <c r="CC72" s="108">
        <f t="shared" si="957"/>
        <v>0.38562477790711175</v>
      </c>
      <c r="CD72" s="108">
        <f t="shared" si="957"/>
        <v>0.38985915250393371</v>
      </c>
      <c r="CE72" s="108">
        <f t="shared" si="957"/>
        <v>0.38056620869295671</v>
      </c>
      <c r="CF72" s="32"/>
      <c r="CG72" s="108">
        <f>+IFERROR(CG71/CG70,0)</f>
        <v>0.33269767044813198</v>
      </c>
      <c r="CH72" s="108">
        <f t="shared" ref="CH72:CS72" si="958">+IFERROR(CH71/CH70,0)</f>
        <v>0.39875684813753753</v>
      </c>
      <c r="CI72" s="108">
        <f t="shared" si="958"/>
        <v>0.2727262269381226</v>
      </c>
      <c r="CJ72" s="108">
        <f t="shared" si="958"/>
        <v>0.40578858326691342</v>
      </c>
      <c r="CK72" s="108">
        <f t="shared" si="958"/>
        <v>0.35569938700538839</v>
      </c>
      <c r="CL72" s="108">
        <f t="shared" si="958"/>
        <v>0.33506273506978174</v>
      </c>
      <c r="CM72" s="108">
        <f t="shared" si="958"/>
        <v>0.3503889806118739</v>
      </c>
      <c r="CN72" s="108">
        <f t="shared" si="958"/>
        <v>0.31425433416262227</v>
      </c>
      <c r="CO72" s="108">
        <f t="shared" si="958"/>
        <v>0.32958000238166996</v>
      </c>
      <c r="CP72" s="108">
        <f t="shared" si="958"/>
        <v>0.37747131257292199</v>
      </c>
      <c r="CQ72" s="108">
        <f t="shared" si="958"/>
        <v>0.48195478477498238</v>
      </c>
      <c r="CR72" s="108">
        <f t="shared" si="958"/>
        <v>0.30602614487098861</v>
      </c>
      <c r="CS72" s="108">
        <f t="shared" si="958"/>
        <v>0.36251081379113159</v>
      </c>
      <c r="CT72" s="22"/>
      <c r="CU72" s="48">
        <f t="shared" ref="CU72:DF72" si="959">+IFERROR(CU71/CU70,0)</f>
        <v>0.58829088572395594</v>
      </c>
      <c r="CV72" s="48">
        <f t="shared" si="959"/>
        <v>0.26721714690217885</v>
      </c>
      <c r="CW72" s="48">
        <f t="shared" si="959"/>
        <v>0.2916256729008484</v>
      </c>
      <c r="CX72" s="48">
        <f t="shared" si="959"/>
        <v>0.31525791596062086</v>
      </c>
      <c r="CY72" s="48">
        <f t="shared" si="959"/>
        <v>0.34208353304872452</v>
      </c>
      <c r="CZ72" s="48">
        <f t="shared" si="959"/>
        <v>0.3985277532961598</v>
      </c>
      <c r="DA72" s="48">
        <f t="shared" si="959"/>
        <v>0.34018021055769948</v>
      </c>
      <c r="DB72" s="48">
        <f t="shared" si="959"/>
        <v>0.32350756755217464</v>
      </c>
      <c r="DC72" s="48">
        <f t="shared" si="959"/>
        <v>0.44033249837914107</v>
      </c>
      <c r="DD72" s="48">
        <f t="shared" si="959"/>
        <v>0.32476534619404457</v>
      </c>
      <c r="DE72" s="48">
        <f t="shared" si="959"/>
        <v>0</v>
      </c>
      <c r="DF72" s="48">
        <f t="shared" si="959"/>
        <v>0</v>
      </c>
      <c r="DG72" s="48">
        <f t="shared" ref="DG72" si="960">+IFERROR(DG71/DG70,0)</f>
        <v>0.36478418273290225</v>
      </c>
      <c r="DH72" s="118">
        <f t="shared" si="421"/>
        <v>-4.2903388982475331E-2</v>
      </c>
      <c r="DI72" s="108">
        <f t="shared" ref="DI72:DU72" si="961">+IFERROR(DI71/DI70,0)</f>
        <v>0.33974628304998655</v>
      </c>
      <c r="DJ72" s="108">
        <f t="shared" si="961"/>
        <v>0.34178105567615558</v>
      </c>
      <c r="DK72" s="108">
        <f t="shared" si="961"/>
        <v>0.34660025400129257</v>
      </c>
      <c r="DL72" s="108">
        <f t="shared" si="961"/>
        <v>0.32613180438761979</v>
      </c>
      <c r="DM72" s="108">
        <f t="shared" si="961"/>
        <v>0.3393234731536397</v>
      </c>
      <c r="DN72" s="108">
        <f t="shared" si="961"/>
        <v>0.34344586964302115</v>
      </c>
      <c r="DO72" s="108">
        <f t="shared" si="961"/>
        <v>0.34207173747989394</v>
      </c>
      <c r="DP72" s="108">
        <f t="shared" si="961"/>
        <v>0.34811791899765304</v>
      </c>
      <c r="DQ72" s="108">
        <f t="shared" si="961"/>
        <v>0.34942520148797951</v>
      </c>
      <c r="DR72" s="108">
        <f t="shared" si="961"/>
        <v>0.3393234731536397</v>
      </c>
      <c r="DS72" s="108">
        <f t="shared" si="961"/>
        <v>0.33107868017487718</v>
      </c>
      <c r="DT72" s="108">
        <f t="shared" si="961"/>
        <v>0.34110613109499383</v>
      </c>
      <c r="DU72" s="108">
        <f t="shared" si="961"/>
        <v>0.34182989021918375</v>
      </c>
      <c r="DW72" s="30">
        <f t="shared" ref="DW72:EI72" si="962">+IFERROR(DW71/DW70,0)</f>
        <v>0</v>
      </c>
      <c r="DX72" s="30">
        <f t="shared" si="962"/>
        <v>0</v>
      </c>
      <c r="DY72" s="30">
        <f t="shared" si="962"/>
        <v>0</v>
      </c>
      <c r="DZ72" s="30">
        <f t="shared" si="962"/>
        <v>0</v>
      </c>
      <c r="EA72" s="30">
        <f t="shared" si="962"/>
        <v>0</v>
      </c>
      <c r="EB72" s="30">
        <f t="shared" si="962"/>
        <v>0</v>
      </c>
      <c r="EC72" s="30">
        <f t="shared" si="962"/>
        <v>0</v>
      </c>
      <c r="ED72" s="30">
        <f t="shared" si="962"/>
        <v>0</v>
      </c>
      <c r="EE72" s="30">
        <f t="shared" si="962"/>
        <v>0</v>
      </c>
      <c r="EF72" s="30">
        <f t="shared" si="962"/>
        <v>0</v>
      </c>
      <c r="EG72" s="30">
        <f t="shared" si="962"/>
        <v>0</v>
      </c>
      <c r="EH72" s="30">
        <f t="shared" si="962"/>
        <v>0</v>
      </c>
      <c r="EI72" s="48">
        <f t="shared" si="962"/>
        <v>0</v>
      </c>
      <c r="EJ72" s="22"/>
      <c r="EK72" s="30">
        <f t="shared" ref="EK72:EV72" si="963">+IFERROR(EK71/EK70,0)</f>
        <v>0.27322827359412122</v>
      </c>
      <c r="EL72" s="30">
        <f t="shared" si="963"/>
        <v>0.16049967730434628</v>
      </c>
      <c r="EM72" s="30">
        <f t="shared" si="963"/>
        <v>0.34951733136985019</v>
      </c>
      <c r="EN72" s="30">
        <f t="shared" si="963"/>
        <v>-7.2256216241955839E-3</v>
      </c>
      <c r="EO72" s="30">
        <f t="shared" si="963"/>
        <v>0.46882907687728198</v>
      </c>
      <c r="EP72" s="30">
        <f t="shared" si="963"/>
        <v>0.31147229900296303</v>
      </c>
      <c r="EQ72" s="30">
        <f t="shared" si="963"/>
        <v>0.25429707109172101</v>
      </c>
      <c r="ER72" s="30">
        <f t="shared" si="963"/>
        <v>0.34006383276577973</v>
      </c>
      <c r="ES72" s="30">
        <f t="shared" si="963"/>
        <v>0.33419914067338552</v>
      </c>
      <c r="ET72" s="30">
        <f t="shared" si="963"/>
        <v>0.24061031732259114</v>
      </c>
      <c r="EU72" s="30">
        <f t="shared" si="963"/>
        <v>0</v>
      </c>
      <c r="EV72" s="30">
        <f t="shared" si="963"/>
        <v>0</v>
      </c>
      <c r="EW72" s="30">
        <f t="shared" ref="EW72" si="964">+IFERROR(EW71/EW70,0)</f>
        <v>0.30285972650354864</v>
      </c>
      <c r="EX72" s="118">
        <f t="shared" si="425"/>
        <v>-1.5165976399661166E-2</v>
      </c>
      <c r="EY72" s="108">
        <f t="shared" ref="EY72:FK72" si="965">+IFERROR(EY71/EY70,0)</f>
        <v>0.33626980092283687</v>
      </c>
      <c r="EZ72" s="108">
        <f t="shared" si="965"/>
        <v>0.33458540805195081</v>
      </c>
      <c r="FA72" s="108">
        <f t="shared" si="965"/>
        <v>0.33721306093053305</v>
      </c>
      <c r="FB72" s="108">
        <f t="shared" si="965"/>
        <v>0.33458540805195081</v>
      </c>
      <c r="FC72" s="108">
        <f t="shared" si="965"/>
        <v>0.33862795094207743</v>
      </c>
      <c r="FD72" s="108">
        <f t="shared" si="965"/>
        <v>0.33862795094207743</v>
      </c>
      <c r="FE72" s="108">
        <f t="shared" si="965"/>
        <v>0.34098610096131771</v>
      </c>
      <c r="FF72" s="108">
        <f t="shared" si="965"/>
        <v>0.34026051634001298</v>
      </c>
      <c r="FG72" s="108">
        <f t="shared" si="965"/>
        <v>0.33934564877402001</v>
      </c>
      <c r="FH72" s="108">
        <f t="shared" si="965"/>
        <v>0.32796983016983033</v>
      </c>
      <c r="FI72" s="108">
        <f t="shared" si="965"/>
        <v>0.32885326483982785</v>
      </c>
      <c r="FJ72" s="108">
        <f t="shared" si="965"/>
        <v>0.3299931359733092</v>
      </c>
      <c r="FK72" s="108">
        <f t="shared" si="965"/>
        <v>0.33632444705297815</v>
      </c>
    </row>
    <row r="73" spans="1:167" ht="14.4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16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118">
        <f t="shared" si="401"/>
        <v>0</v>
      </c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16">
        <f t="shared" si="900"/>
        <v>0</v>
      </c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118">
        <f t="shared" si="417"/>
        <v>0</v>
      </c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106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16">
        <f t="shared" si="901"/>
        <v>0</v>
      </c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118">
        <f t="shared" si="421"/>
        <v>0</v>
      </c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58"/>
      <c r="EJ73" s="16">
        <f t="shared" ref="EJ73:EJ136" si="966">CT73</f>
        <v>0</v>
      </c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118" t="e">
        <f t="shared" si="425"/>
        <v>#DIV/0!</v>
      </c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</row>
    <row r="74" spans="1:167" ht="14.4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18">
        <f t="shared" si="401"/>
        <v>0</v>
      </c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6">
        <f t="shared" si="900"/>
        <v>0</v>
      </c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118">
        <f t="shared" si="417"/>
        <v>0</v>
      </c>
      <c r="BS74" s="106"/>
      <c r="BT74" s="106"/>
      <c r="BU74" s="106"/>
      <c r="BV74" s="106"/>
      <c r="BW74" s="106"/>
      <c r="BX74" s="106"/>
      <c r="BY74" s="106"/>
      <c r="BZ74" s="106"/>
      <c r="CA74" s="106"/>
      <c r="CB74" s="106"/>
      <c r="CC74" s="106"/>
      <c r="CD74" s="106"/>
      <c r="CE74" s="106"/>
      <c r="CF74" s="106"/>
      <c r="CG74" s="106"/>
      <c r="CH74" s="106"/>
      <c r="CI74" s="106"/>
      <c r="CJ74" s="106"/>
      <c r="CK74" s="106"/>
      <c r="CL74" s="106"/>
      <c r="CM74" s="106"/>
      <c r="CN74" s="106"/>
      <c r="CO74" s="106"/>
      <c r="CP74" s="106"/>
      <c r="CQ74" s="106"/>
      <c r="CR74" s="106"/>
      <c r="CS74" s="106"/>
      <c r="CT74" s="16">
        <f t="shared" si="901"/>
        <v>0</v>
      </c>
      <c r="CU74" s="106"/>
      <c r="CV74" s="106"/>
      <c r="CW74" s="106"/>
      <c r="CX74" s="106"/>
      <c r="CY74" s="106"/>
      <c r="CZ74" s="106"/>
      <c r="DA74" s="106"/>
      <c r="DB74" s="106"/>
      <c r="DC74" s="106"/>
      <c r="DD74" s="106"/>
      <c r="DE74" s="106"/>
      <c r="DF74" s="106"/>
      <c r="DG74" s="106"/>
      <c r="DH74" s="118">
        <f t="shared" si="421"/>
        <v>0</v>
      </c>
      <c r="DI74" s="106"/>
      <c r="DJ74" s="106"/>
      <c r="DK74" s="106"/>
      <c r="DL74" s="106"/>
      <c r="DM74" s="106"/>
      <c r="DN74" s="106"/>
      <c r="DO74" s="106"/>
      <c r="DP74" s="106"/>
      <c r="DQ74" s="106"/>
      <c r="DR74" s="106"/>
      <c r="DS74" s="106"/>
      <c r="DT74" s="106"/>
      <c r="DU74" s="106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106"/>
      <c r="EJ74" s="16">
        <f t="shared" si="966"/>
        <v>0</v>
      </c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118" t="e">
        <f t="shared" si="425"/>
        <v>#DIV/0!</v>
      </c>
      <c r="EY74" s="106"/>
      <c r="EZ74" s="106"/>
      <c r="FA74" s="106"/>
      <c r="FB74" s="106"/>
      <c r="FC74" s="106"/>
      <c r="FD74" s="106"/>
      <c r="FE74" s="106"/>
      <c r="FF74" s="106"/>
      <c r="FG74" s="106"/>
      <c r="FH74" s="106"/>
      <c r="FI74" s="106"/>
      <c r="FJ74" s="106"/>
      <c r="FK74" s="106"/>
    </row>
    <row r="75" spans="1:167" ht="14.45" customHeight="1">
      <c r="A75" s="58">
        <f t="shared" ref="A75:M75" si="967">+A76+A87+A90</f>
        <v>128123.82</v>
      </c>
      <c r="B75" s="58">
        <f t="shared" si="967"/>
        <v>314598.85100000002</v>
      </c>
      <c r="C75" s="58">
        <f t="shared" si="967"/>
        <v>76428.639999999999</v>
      </c>
      <c r="D75" s="58">
        <f t="shared" si="967"/>
        <v>213493.78900000002</v>
      </c>
      <c r="E75" s="58">
        <f t="shared" si="967"/>
        <v>228920.31800000003</v>
      </c>
      <c r="F75" s="58">
        <f t="shared" si="967"/>
        <v>62059.18</v>
      </c>
      <c r="G75" s="58">
        <f t="shared" si="967"/>
        <v>216786.77500000008</v>
      </c>
      <c r="H75" s="58">
        <f t="shared" si="967"/>
        <v>26679.083999999999</v>
      </c>
      <c r="I75" s="58">
        <f t="shared" si="967"/>
        <v>183279.37400000001</v>
      </c>
      <c r="J75" s="58">
        <f t="shared" si="967"/>
        <v>256082.47100000002</v>
      </c>
      <c r="K75" s="58">
        <f t="shared" si="967"/>
        <v>277614.16500000004</v>
      </c>
      <c r="L75" s="58">
        <f t="shared" si="967"/>
        <v>163008.01399999997</v>
      </c>
      <c r="M75" s="58">
        <f t="shared" si="967"/>
        <v>2147074.4810000006</v>
      </c>
      <c r="N75" s="17" t="s">
        <v>59</v>
      </c>
      <c r="O75" s="58">
        <f>+O76+O87+O90</f>
        <v>170399.75447793319</v>
      </c>
      <c r="P75" s="58">
        <f t="shared" ref="P75" si="968">+P76+P87+P90</f>
        <v>14957.171229466807</v>
      </c>
      <c r="Q75" s="58">
        <f t="shared" ref="Q75" si="969">+Q76+Q87+Q90</f>
        <v>254968.65600000002</v>
      </c>
      <c r="R75" s="58">
        <f t="shared" ref="R75" si="970">+R76+R87+R90</f>
        <v>174538.37400000004</v>
      </c>
      <c r="S75" s="58">
        <f t="shared" ref="S75" si="971">+S76+S87+S90</f>
        <v>289557.34299999999</v>
      </c>
      <c r="T75" s="58">
        <f t="shared" ref="T75" si="972">+T76+T87+T90</f>
        <v>252996.18000000002</v>
      </c>
      <c r="U75" s="58">
        <f t="shared" ref="U75" si="973">+U76+U87+U90</f>
        <v>253811.07799999998</v>
      </c>
      <c r="V75" s="58">
        <f t="shared" ref="V75" si="974">+V76+V87+V90</f>
        <v>198238.85900000003</v>
      </c>
      <c r="W75" s="58">
        <f t="shared" ref="W75" si="975">+W76+W87+W90</f>
        <v>302837.81988888892</v>
      </c>
      <c r="X75" s="58">
        <f t="shared" ref="X75" si="976">+X76+X87+X90</f>
        <v>281166.788</v>
      </c>
      <c r="Y75" s="58">
        <f t="shared" ref="Y75" si="977">+Y76+Y87+Y90</f>
        <v>0</v>
      </c>
      <c r="Z75" s="58">
        <f t="shared" ref="Z75" si="978">+Z76+Z87+Z90</f>
        <v>0</v>
      </c>
      <c r="AA75" s="58">
        <f t="shared" ref="AA75" si="979">+AA76+AA87+AA90</f>
        <v>2193472.0235962891</v>
      </c>
      <c r="AB75" s="118">
        <f t="shared" si="401"/>
        <v>1.9028687161324043E-2</v>
      </c>
      <c r="AC75" s="58">
        <f>+AC76+AC87+AC90</f>
        <v>269042.27250000002</v>
      </c>
      <c r="AD75" s="58">
        <f t="shared" ref="AD75" si="980">+AD76+AD87+AD90</f>
        <v>266298.299</v>
      </c>
      <c r="AE75" s="58">
        <f t="shared" ref="AE75" si="981">+AE76+AE87+AE90</f>
        <v>272052.37850000005</v>
      </c>
      <c r="AF75" s="58">
        <f t="shared" ref="AF75" si="982">+AF76+AF87+AF90</f>
        <v>226046.42240000001</v>
      </c>
      <c r="AG75" s="58">
        <f t="shared" ref="AG75" si="983">+AG76+AG87+AG90</f>
        <v>263590.40800000005</v>
      </c>
      <c r="AH75" s="58">
        <f t="shared" ref="AH75" si="984">+AH76+AH87+AH90</f>
        <v>276759.98000000004</v>
      </c>
      <c r="AI75" s="58">
        <f t="shared" ref="AI75" si="985">+AI76+AI87+AI90</f>
        <v>283624.75200000004</v>
      </c>
      <c r="AJ75" s="58">
        <f t="shared" ref="AJ75" si="986">+AJ76+AJ87+AJ90</f>
        <v>303588.28049999999</v>
      </c>
      <c r="AK75" s="58">
        <f t="shared" ref="AK75" si="987">+AK76+AK87+AK90</f>
        <v>315027.8175</v>
      </c>
      <c r="AL75" s="58">
        <f t="shared" ref="AL75" si="988">+AL76+AL87+AL90</f>
        <v>275916.46000000002</v>
      </c>
      <c r="AM75" s="58">
        <f t="shared" ref="AM75" si="989">+AM76+AM87+AM90</f>
        <v>237593.16800000001</v>
      </c>
      <c r="AN75" s="58">
        <f t="shared" ref="AN75" si="990">+AN76+AN87+AN90</f>
        <v>294185.97200000001</v>
      </c>
      <c r="AO75" s="58">
        <f t="shared" ref="AO75" si="991">+AO76+AO87+AO90</f>
        <v>3283726.2104000002</v>
      </c>
      <c r="AQ75" s="58">
        <f>+AQ76+AQ87+AQ90</f>
        <v>88947.08</v>
      </c>
      <c r="AR75" s="58">
        <f t="shared" ref="AR75:BC75" si="992">+AR76+AR87+AR90</f>
        <v>231516.18700000003</v>
      </c>
      <c r="AS75" s="58">
        <f t="shared" si="992"/>
        <v>75498.760000000009</v>
      </c>
      <c r="AT75" s="58">
        <f t="shared" si="992"/>
        <v>168524.66800000001</v>
      </c>
      <c r="AU75" s="58">
        <f t="shared" si="992"/>
        <v>129408.86</v>
      </c>
      <c r="AV75" s="58">
        <f t="shared" si="992"/>
        <v>13312.119999999999</v>
      </c>
      <c r="AW75" s="58">
        <f t="shared" si="992"/>
        <v>158918.44000000006</v>
      </c>
      <c r="AX75" s="58">
        <f t="shared" si="992"/>
        <v>21899.599999999999</v>
      </c>
      <c r="AY75" s="58">
        <f t="shared" si="992"/>
        <v>128329.048</v>
      </c>
      <c r="AZ75" s="58">
        <f t="shared" si="992"/>
        <v>171374.90600000002</v>
      </c>
      <c r="BA75" s="58">
        <f t="shared" si="992"/>
        <v>192181.29900000003</v>
      </c>
      <c r="BB75" s="58">
        <f t="shared" si="992"/>
        <v>111883.4</v>
      </c>
      <c r="BC75" s="58">
        <f t="shared" si="992"/>
        <v>1491794.3680000002</v>
      </c>
      <c r="BD75" s="17" t="str">
        <f t="shared" si="900"/>
        <v>Selling &amp; Distribution Expenses</v>
      </c>
      <c r="BE75" s="58">
        <f t="shared" ref="BE75:BP75" si="993">+BE76+BE87+BE90</f>
        <v>116616.8767705332</v>
      </c>
      <c r="BF75" s="58">
        <f t="shared" si="993"/>
        <v>11586.723229466807</v>
      </c>
      <c r="BG75" s="58">
        <f t="shared" si="993"/>
        <v>178644.33500000002</v>
      </c>
      <c r="BH75" s="58">
        <f t="shared" si="993"/>
        <v>128420.54900000003</v>
      </c>
      <c r="BI75" s="58">
        <f t="shared" si="993"/>
        <v>198149.59299999999</v>
      </c>
      <c r="BJ75" s="58">
        <f t="shared" si="993"/>
        <v>151302.69600000003</v>
      </c>
      <c r="BK75" s="58">
        <f t="shared" si="993"/>
        <v>159192.66799999998</v>
      </c>
      <c r="BL75" s="58">
        <f t="shared" si="993"/>
        <v>113936.448</v>
      </c>
      <c r="BM75" s="58">
        <f t="shared" si="993"/>
        <v>214408.90777777776</v>
      </c>
      <c r="BN75" s="58">
        <f t="shared" si="993"/>
        <v>138909.27000000002</v>
      </c>
      <c r="BO75" s="58">
        <f t="shared" si="993"/>
        <v>0</v>
      </c>
      <c r="BP75" s="58">
        <f t="shared" si="993"/>
        <v>0</v>
      </c>
      <c r="BQ75" s="58">
        <f t="shared" ref="BQ75" si="994">+BQ76+BQ87+BQ90</f>
        <v>1411168.0667777779</v>
      </c>
      <c r="BR75" s="118">
        <f t="shared" si="417"/>
        <v>-8.8592538295258122E-2</v>
      </c>
      <c r="BS75" s="58">
        <f t="shared" ref="BS75:CE75" si="995">+BS76+BS87+BS90</f>
        <v>158137.3125</v>
      </c>
      <c r="BT75" s="58">
        <f t="shared" si="995"/>
        <v>154047.67500000002</v>
      </c>
      <c r="BU75" s="58">
        <f t="shared" si="995"/>
        <v>141778.76250000001</v>
      </c>
      <c r="BV75" s="58">
        <f t="shared" si="995"/>
        <v>137492.8224</v>
      </c>
      <c r="BW75" s="58">
        <f t="shared" si="995"/>
        <v>148485.76800000001</v>
      </c>
      <c r="BX75" s="58">
        <f t="shared" si="995"/>
        <v>152411.82</v>
      </c>
      <c r="BY75" s="58">
        <f t="shared" si="995"/>
        <v>156337.87200000003</v>
      </c>
      <c r="BZ75" s="58">
        <f t="shared" si="995"/>
        <v>160754.68050000002</v>
      </c>
      <c r="CA75" s="58">
        <f t="shared" si="995"/>
        <v>169588.29749999999</v>
      </c>
      <c r="CB75" s="58">
        <f t="shared" si="995"/>
        <v>152411.82</v>
      </c>
      <c r="CC75" s="58">
        <f t="shared" si="995"/>
        <v>124929.45600000001</v>
      </c>
      <c r="CD75" s="58">
        <f t="shared" si="995"/>
        <v>160263.924</v>
      </c>
      <c r="CE75" s="58">
        <f t="shared" si="995"/>
        <v>1816640.2104000002</v>
      </c>
      <c r="CF75" s="106"/>
      <c r="CG75" s="58">
        <f>+CG76+CG87+CG90</f>
        <v>39176.740000000005</v>
      </c>
      <c r="CH75" s="58">
        <f t="shared" ref="CH75:CS75" si="996">+CH76+CH87+CH90</f>
        <v>83082.664000000019</v>
      </c>
      <c r="CI75" s="58">
        <f t="shared" si="996"/>
        <v>929.88</v>
      </c>
      <c r="CJ75" s="58">
        <f t="shared" si="996"/>
        <v>44969.121000000014</v>
      </c>
      <c r="CK75" s="58">
        <f t="shared" si="996"/>
        <v>99511.458000000028</v>
      </c>
      <c r="CL75" s="58">
        <f t="shared" si="996"/>
        <v>48747.06</v>
      </c>
      <c r="CM75" s="58">
        <f t="shared" si="996"/>
        <v>57868.334999999999</v>
      </c>
      <c r="CN75" s="58">
        <f t="shared" si="996"/>
        <v>4779.4839999999995</v>
      </c>
      <c r="CO75" s="58">
        <f t="shared" si="996"/>
        <v>54950.326000000001</v>
      </c>
      <c r="CP75" s="58">
        <f t="shared" si="996"/>
        <v>84707.564999999988</v>
      </c>
      <c r="CQ75" s="58">
        <f t="shared" si="996"/>
        <v>85432.866000000009</v>
      </c>
      <c r="CR75" s="58">
        <f t="shared" si="996"/>
        <v>51124.614000000001</v>
      </c>
      <c r="CS75" s="58">
        <f t="shared" si="996"/>
        <v>655280.11300000001</v>
      </c>
      <c r="CT75" s="17" t="str">
        <f t="shared" si="901"/>
        <v>Selling &amp; Distribution Expenses</v>
      </c>
      <c r="CU75" s="58">
        <f t="shared" ref="CU75:DF75" si="997">+CU76+CU87+CU90</f>
        <v>53782.877707399995</v>
      </c>
      <c r="CV75" s="58">
        <f t="shared" si="997"/>
        <v>3370.4480000000003</v>
      </c>
      <c r="CW75" s="58">
        <f t="shared" si="997"/>
        <v>52994.031000000003</v>
      </c>
      <c r="CX75" s="58">
        <f t="shared" si="997"/>
        <v>46117.824999999997</v>
      </c>
      <c r="CY75" s="58">
        <f t="shared" si="997"/>
        <v>79574.19</v>
      </c>
      <c r="CZ75" s="58">
        <f t="shared" si="997"/>
        <v>60892.005999999994</v>
      </c>
      <c r="DA75" s="58">
        <f t="shared" si="997"/>
        <v>82454.528999999995</v>
      </c>
      <c r="DB75" s="58">
        <f t="shared" si="997"/>
        <v>84302.411000000007</v>
      </c>
      <c r="DC75" s="58">
        <f t="shared" si="997"/>
        <v>74105.71211111109</v>
      </c>
      <c r="DD75" s="58">
        <f t="shared" si="997"/>
        <v>131608.51800000001</v>
      </c>
      <c r="DE75" s="58">
        <f t="shared" si="997"/>
        <v>0</v>
      </c>
      <c r="DF75" s="58">
        <f t="shared" si="997"/>
        <v>0</v>
      </c>
      <c r="DG75" s="58">
        <f t="shared" ref="DG75" si="998">+DG76+DG87+DG90</f>
        <v>669202.54781851103</v>
      </c>
      <c r="DH75" s="118">
        <f t="shared" si="421"/>
        <v>1.0339888762227869</v>
      </c>
      <c r="DI75" s="58">
        <f t="shared" ref="DI75:DU75" si="999">+DI76+DI87+DI90</f>
        <v>65544.960000000006</v>
      </c>
      <c r="DJ75" s="58">
        <f t="shared" si="999"/>
        <v>69914.624000000011</v>
      </c>
      <c r="DK75" s="58">
        <f t="shared" si="999"/>
        <v>83023.616000000024</v>
      </c>
      <c r="DL75" s="58">
        <f t="shared" si="999"/>
        <v>46217.600000000006</v>
      </c>
      <c r="DM75" s="58">
        <f t="shared" si="999"/>
        <v>64704.640000000007</v>
      </c>
      <c r="DN75" s="58">
        <f t="shared" si="999"/>
        <v>73948.160000000018</v>
      </c>
      <c r="DO75" s="58">
        <f t="shared" si="999"/>
        <v>70586.880000000005</v>
      </c>
      <c r="DP75" s="58">
        <f t="shared" si="999"/>
        <v>88233.599999999977</v>
      </c>
      <c r="DQ75" s="58">
        <f t="shared" si="999"/>
        <v>93275.520000000004</v>
      </c>
      <c r="DR75" s="58">
        <f t="shared" si="999"/>
        <v>64704.640000000007</v>
      </c>
      <c r="DS75" s="58">
        <f t="shared" si="999"/>
        <v>51763.712000000007</v>
      </c>
      <c r="DT75" s="58">
        <f t="shared" si="999"/>
        <v>68402.047999999995</v>
      </c>
      <c r="DU75" s="58">
        <f t="shared" si="999"/>
        <v>840320.00000000012</v>
      </c>
      <c r="DW75" s="28">
        <f t="shared" ref="DW75:EI75" si="1000">+DW76+DW87+DW90</f>
        <v>0</v>
      </c>
      <c r="DX75" s="28">
        <f t="shared" si="1000"/>
        <v>0</v>
      </c>
      <c r="DY75" s="28">
        <f t="shared" si="1000"/>
        <v>0</v>
      </c>
      <c r="DZ75" s="28">
        <f t="shared" si="1000"/>
        <v>0</v>
      </c>
      <c r="EA75" s="28">
        <f t="shared" si="1000"/>
        <v>0</v>
      </c>
      <c r="EB75" s="28">
        <f t="shared" si="1000"/>
        <v>0</v>
      </c>
      <c r="EC75" s="28">
        <f t="shared" si="1000"/>
        <v>0</v>
      </c>
      <c r="ED75" s="28">
        <f t="shared" si="1000"/>
        <v>0</v>
      </c>
      <c r="EE75" s="28">
        <f t="shared" si="1000"/>
        <v>0</v>
      </c>
      <c r="EF75" s="28">
        <f t="shared" si="1000"/>
        <v>0</v>
      </c>
      <c r="EG75" s="28">
        <f t="shared" si="1000"/>
        <v>0</v>
      </c>
      <c r="EH75" s="28">
        <f t="shared" si="1000"/>
        <v>0</v>
      </c>
      <c r="EI75" s="58">
        <f t="shared" si="1000"/>
        <v>0</v>
      </c>
      <c r="EJ75" s="17" t="str">
        <f t="shared" si="966"/>
        <v>Selling &amp; Distribution Expenses</v>
      </c>
      <c r="EK75" s="28">
        <f t="shared" ref="EK75:EV75" si="1001">+EK76+EK87+EK90</f>
        <v>0</v>
      </c>
      <c r="EL75" s="28">
        <f t="shared" si="1001"/>
        <v>0</v>
      </c>
      <c r="EM75" s="28">
        <f t="shared" si="1001"/>
        <v>23330.29</v>
      </c>
      <c r="EN75" s="28">
        <f t="shared" si="1001"/>
        <v>0</v>
      </c>
      <c r="EO75" s="28">
        <f t="shared" si="1001"/>
        <v>11833.560000000001</v>
      </c>
      <c r="EP75" s="28">
        <f t="shared" si="1001"/>
        <v>40801.478000000003</v>
      </c>
      <c r="EQ75" s="28">
        <f t="shared" si="1001"/>
        <v>12163.881000000001</v>
      </c>
      <c r="ER75" s="28">
        <f t="shared" si="1001"/>
        <v>0</v>
      </c>
      <c r="ES75" s="28">
        <f t="shared" si="1001"/>
        <v>14323.2</v>
      </c>
      <c r="ET75" s="28">
        <f t="shared" si="1001"/>
        <v>10649</v>
      </c>
      <c r="EU75" s="28">
        <f t="shared" si="1001"/>
        <v>0</v>
      </c>
      <c r="EV75" s="28">
        <f t="shared" si="1001"/>
        <v>0</v>
      </c>
      <c r="EW75" s="28">
        <f t="shared" ref="EW75" si="1002">+EW76+EW87+EW90</f>
        <v>113101.409</v>
      </c>
      <c r="EX75" s="118">
        <f t="shared" si="425"/>
        <v>-0.72541982976765584</v>
      </c>
      <c r="EY75" s="58">
        <f t="shared" ref="EY75:FK75" si="1003">+EY76+EY87+EY90</f>
        <v>45360</v>
      </c>
      <c r="EZ75" s="58">
        <f t="shared" si="1003"/>
        <v>42336.000000000007</v>
      </c>
      <c r="FA75" s="58">
        <f t="shared" si="1003"/>
        <v>47250.000000000007</v>
      </c>
      <c r="FB75" s="58">
        <f t="shared" si="1003"/>
        <v>42336.000000000007</v>
      </c>
      <c r="FC75" s="58">
        <f t="shared" si="1003"/>
        <v>50400</v>
      </c>
      <c r="FD75" s="58">
        <f t="shared" si="1003"/>
        <v>50400</v>
      </c>
      <c r="FE75" s="58">
        <f t="shared" si="1003"/>
        <v>56700.000000000007</v>
      </c>
      <c r="FF75" s="58">
        <f t="shared" si="1003"/>
        <v>54600.000000000007</v>
      </c>
      <c r="FG75" s="58">
        <f t="shared" si="1003"/>
        <v>52164.000000000007</v>
      </c>
      <c r="FH75" s="58">
        <f t="shared" si="1003"/>
        <v>58800</v>
      </c>
      <c r="FI75" s="58">
        <f t="shared" si="1003"/>
        <v>60900</v>
      </c>
      <c r="FJ75" s="58">
        <f t="shared" si="1003"/>
        <v>65520.000000000007</v>
      </c>
      <c r="FK75" s="58">
        <f t="shared" si="1003"/>
        <v>626766</v>
      </c>
    </row>
    <row r="76" spans="1:167" ht="14.45" hidden="1" customHeight="1" outlineLevel="1">
      <c r="A76" s="58">
        <f t="shared" ref="A76:M76" si="1004">+SUM(A77:A86)</f>
        <v>17484</v>
      </c>
      <c r="B76" s="58">
        <f t="shared" si="1004"/>
        <v>13308</v>
      </c>
      <c r="C76" s="58">
        <f t="shared" si="1004"/>
        <v>26023</v>
      </c>
      <c r="D76" s="58">
        <f t="shared" si="1004"/>
        <v>6146</v>
      </c>
      <c r="E76" s="58">
        <f t="shared" si="1004"/>
        <v>4475.78</v>
      </c>
      <c r="F76" s="58">
        <f t="shared" si="1004"/>
        <v>9656</v>
      </c>
      <c r="G76" s="58">
        <f t="shared" si="1004"/>
        <v>23609</v>
      </c>
      <c r="H76" s="58">
        <f t="shared" si="1004"/>
        <v>10996</v>
      </c>
      <c r="I76" s="58">
        <f t="shared" si="1004"/>
        <v>8193.9</v>
      </c>
      <c r="J76" s="58">
        <f t="shared" si="1004"/>
        <v>21978</v>
      </c>
      <c r="K76" s="58">
        <f t="shared" si="1004"/>
        <v>28862</v>
      </c>
      <c r="L76" s="58">
        <f t="shared" si="1004"/>
        <v>30364</v>
      </c>
      <c r="M76" s="58">
        <f t="shared" si="1004"/>
        <v>201095.67999999999</v>
      </c>
      <c r="N76" s="18" t="s">
        <v>60</v>
      </c>
      <c r="O76" s="58">
        <f t="shared" ref="O76" si="1005">+SUM(O77:O86)</f>
        <v>19927</v>
      </c>
      <c r="P76" s="58">
        <f t="shared" ref="P76" si="1006">+SUM(P77:P86)</f>
        <v>10243</v>
      </c>
      <c r="Q76" s="58">
        <f t="shared" ref="Q76" si="1007">+SUM(Q77:Q86)</f>
        <v>19597.72</v>
      </c>
      <c r="R76" s="58">
        <f t="shared" ref="R76" si="1008">+SUM(R77:R86)</f>
        <v>9543</v>
      </c>
      <c r="S76" s="58">
        <f t="shared" ref="S76" si="1009">+SUM(S77:S86)</f>
        <v>10787</v>
      </c>
      <c r="T76" s="58">
        <f t="shared" ref="T76" si="1010">+SUM(T77:T86)</f>
        <v>16130</v>
      </c>
      <c r="U76" s="58">
        <f t="shared" ref="U76" si="1011">+SUM(U77:U86)</f>
        <v>33972</v>
      </c>
      <c r="V76" s="58">
        <f t="shared" ref="V76" si="1012">+SUM(V77:V86)</f>
        <v>27253</v>
      </c>
      <c r="W76" s="58">
        <f t="shared" ref="W76" si="1013">+SUM(W77:W86)</f>
        <v>18127.14</v>
      </c>
      <c r="X76" s="58">
        <f t="shared" ref="X76" si="1014">+SUM(X77:X86)</f>
        <v>188050.51</v>
      </c>
      <c r="Y76" s="58">
        <f t="shared" ref="Y76" si="1015">+SUM(Y77:Y86)</f>
        <v>0</v>
      </c>
      <c r="Z76" s="58">
        <f t="shared" ref="Z76" si="1016">+SUM(Z77:Z86)</f>
        <v>0</v>
      </c>
      <c r="AA76" s="58">
        <f t="shared" ref="AA76" si="1017">+SUM(AA77:AA86)</f>
        <v>353630.37</v>
      </c>
      <c r="AB76" s="118">
        <f t="shared" si="401"/>
        <v>11.536700666666666</v>
      </c>
      <c r="AC76" s="58">
        <f t="shared" ref="AC76" si="1018">+SUM(AC77:AC86)</f>
        <v>15000</v>
      </c>
      <c r="AD76" s="58">
        <f t="shared" ref="AD76" si="1019">+SUM(AD77:AD86)</f>
        <v>15000</v>
      </c>
      <c r="AE76" s="58">
        <f t="shared" ref="AE76" si="1020">+SUM(AE77:AE86)</f>
        <v>15000</v>
      </c>
      <c r="AF76" s="58">
        <f t="shared" ref="AF76" si="1021">+SUM(AF77:AF86)</f>
        <v>15000</v>
      </c>
      <c r="AG76" s="58">
        <f t="shared" ref="AG76" si="1022">+SUM(AG77:AG86)</f>
        <v>15000</v>
      </c>
      <c r="AH76" s="58">
        <f t="shared" ref="AH76" si="1023">+SUM(AH77:AH86)</f>
        <v>15000</v>
      </c>
      <c r="AI76" s="58">
        <f t="shared" ref="AI76" si="1024">+SUM(AI77:AI86)</f>
        <v>15000</v>
      </c>
      <c r="AJ76" s="58">
        <f t="shared" ref="AJ76" si="1025">+SUM(AJ77:AJ86)</f>
        <v>15000</v>
      </c>
      <c r="AK76" s="58">
        <f t="shared" ref="AK76" si="1026">+SUM(AK77:AK86)</f>
        <v>15000</v>
      </c>
      <c r="AL76" s="58">
        <f t="shared" ref="AL76" si="1027">+SUM(AL77:AL86)</f>
        <v>15000</v>
      </c>
      <c r="AM76" s="58">
        <f t="shared" ref="AM76" si="1028">+SUM(AM77:AM86)</f>
        <v>15000</v>
      </c>
      <c r="AN76" s="58">
        <f t="shared" ref="AN76" si="1029">+SUM(AN77:AN86)</f>
        <v>15000</v>
      </c>
      <c r="AO76" s="58">
        <f t="shared" ref="AO76" si="1030">+SUM(AO77:AO86)</f>
        <v>180000</v>
      </c>
      <c r="AQ76" s="58">
        <f t="shared" ref="AQ76:BC76" si="1031">+SUM(AQ77:AQ86)</f>
        <v>17484</v>
      </c>
      <c r="AR76" s="58">
        <f t="shared" si="1031"/>
        <v>13308</v>
      </c>
      <c r="AS76" s="58">
        <f t="shared" si="1031"/>
        <v>26023</v>
      </c>
      <c r="AT76" s="58">
        <f t="shared" si="1031"/>
        <v>6146</v>
      </c>
      <c r="AU76" s="58">
        <f t="shared" si="1031"/>
        <v>4475.78</v>
      </c>
      <c r="AV76" s="58">
        <f t="shared" si="1031"/>
        <v>9656</v>
      </c>
      <c r="AW76" s="58">
        <f t="shared" si="1031"/>
        <v>23609</v>
      </c>
      <c r="AX76" s="58">
        <f t="shared" si="1031"/>
        <v>10996</v>
      </c>
      <c r="AY76" s="58">
        <f t="shared" si="1031"/>
        <v>8193.9</v>
      </c>
      <c r="AZ76" s="58">
        <f t="shared" si="1031"/>
        <v>21978</v>
      </c>
      <c r="BA76" s="58">
        <f t="shared" si="1031"/>
        <v>28862</v>
      </c>
      <c r="BB76" s="58">
        <f t="shared" si="1031"/>
        <v>30364</v>
      </c>
      <c r="BC76" s="58">
        <f t="shared" si="1031"/>
        <v>201095.67999999999</v>
      </c>
      <c r="BD76" s="18" t="str">
        <f t="shared" si="900"/>
        <v>Selling Expenses</v>
      </c>
      <c r="BE76" s="58">
        <f t="shared" ref="BE76:BQ76" si="1032">+SUM(BE77:BE86)</f>
        <v>19417</v>
      </c>
      <c r="BF76" s="58">
        <f t="shared" ref="BF76:BP76" si="1033">+SUM(BF77:BF86)</f>
        <v>10243</v>
      </c>
      <c r="BG76" s="58">
        <f t="shared" si="1033"/>
        <v>19597.72</v>
      </c>
      <c r="BH76" s="58">
        <f t="shared" si="1033"/>
        <v>9543</v>
      </c>
      <c r="BI76" s="58">
        <f t="shared" si="1033"/>
        <v>10787</v>
      </c>
      <c r="BJ76" s="58">
        <f t="shared" si="1033"/>
        <v>16130</v>
      </c>
      <c r="BK76" s="58">
        <f t="shared" si="1033"/>
        <v>33972</v>
      </c>
      <c r="BL76" s="58">
        <f t="shared" si="1033"/>
        <v>27253</v>
      </c>
      <c r="BM76" s="58">
        <f t="shared" si="1033"/>
        <v>18127.14</v>
      </c>
      <c r="BN76" s="58">
        <f t="shared" si="1033"/>
        <v>113050.51000000001</v>
      </c>
      <c r="BO76" s="58">
        <f t="shared" si="1033"/>
        <v>0</v>
      </c>
      <c r="BP76" s="58">
        <f t="shared" si="1033"/>
        <v>0</v>
      </c>
      <c r="BQ76" s="58">
        <f t="shared" si="1032"/>
        <v>278120.37</v>
      </c>
      <c r="BR76" s="118">
        <f t="shared" si="417"/>
        <v>6.5367006666666674</v>
      </c>
      <c r="BS76" s="58">
        <f t="shared" ref="BS76:CE76" si="1034">+SUM(BS77:BS86)</f>
        <v>15000</v>
      </c>
      <c r="BT76" s="58">
        <f t="shared" si="1034"/>
        <v>15000</v>
      </c>
      <c r="BU76" s="58">
        <f t="shared" si="1034"/>
        <v>15000</v>
      </c>
      <c r="BV76" s="58">
        <f t="shared" si="1034"/>
        <v>15000</v>
      </c>
      <c r="BW76" s="58">
        <f t="shared" si="1034"/>
        <v>15000</v>
      </c>
      <c r="BX76" s="58">
        <f t="shared" si="1034"/>
        <v>15000</v>
      </c>
      <c r="BY76" s="58">
        <f t="shared" si="1034"/>
        <v>15000</v>
      </c>
      <c r="BZ76" s="58">
        <f t="shared" si="1034"/>
        <v>15000</v>
      </c>
      <c r="CA76" s="58">
        <f t="shared" si="1034"/>
        <v>15000</v>
      </c>
      <c r="CB76" s="58">
        <f t="shared" si="1034"/>
        <v>15000</v>
      </c>
      <c r="CC76" s="58">
        <f t="shared" si="1034"/>
        <v>15000</v>
      </c>
      <c r="CD76" s="58">
        <f t="shared" si="1034"/>
        <v>15000</v>
      </c>
      <c r="CE76" s="58">
        <f t="shared" si="1034"/>
        <v>180000</v>
      </c>
      <c r="CF76" s="106"/>
      <c r="CG76" s="58">
        <f t="shared" ref="CG76:CS76" si="1035">+SUM(CG77:CG86)</f>
        <v>0</v>
      </c>
      <c r="CH76" s="58">
        <f t="shared" si="1035"/>
        <v>0</v>
      </c>
      <c r="CI76" s="58">
        <f t="shared" si="1035"/>
        <v>0</v>
      </c>
      <c r="CJ76" s="58">
        <f t="shared" si="1035"/>
        <v>0</v>
      </c>
      <c r="CK76" s="58">
        <f t="shared" si="1035"/>
        <v>0</v>
      </c>
      <c r="CL76" s="58">
        <f t="shared" si="1035"/>
        <v>0</v>
      </c>
      <c r="CM76" s="58">
        <f t="shared" si="1035"/>
        <v>0</v>
      </c>
      <c r="CN76" s="58">
        <f t="shared" si="1035"/>
        <v>0</v>
      </c>
      <c r="CO76" s="58">
        <f t="shared" si="1035"/>
        <v>0</v>
      </c>
      <c r="CP76" s="58">
        <f t="shared" si="1035"/>
        <v>0</v>
      </c>
      <c r="CQ76" s="58">
        <f t="shared" si="1035"/>
        <v>0</v>
      </c>
      <c r="CR76" s="58">
        <f t="shared" si="1035"/>
        <v>0</v>
      </c>
      <c r="CS76" s="58">
        <f t="shared" si="1035"/>
        <v>0</v>
      </c>
      <c r="CT76" s="18" t="str">
        <f t="shared" si="901"/>
        <v>Selling Expenses</v>
      </c>
      <c r="CU76" s="58">
        <f t="shared" ref="CU76:DG76" si="1036">+SUM(CU77:CU86)</f>
        <v>510</v>
      </c>
      <c r="CV76" s="58">
        <f t="shared" si="1036"/>
        <v>0</v>
      </c>
      <c r="CW76" s="58">
        <f t="shared" si="1036"/>
        <v>0</v>
      </c>
      <c r="CX76" s="58">
        <f t="shared" si="1036"/>
        <v>0</v>
      </c>
      <c r="CY76" s="58">
        <f t="shared" si="1036"/>
        <v>0</v>
      </c>
      <c r="CZ76" s="58">
        <f t="shared" si="1036"/>
        <v>0</v>
      </c>
      <c r="DA76" s="58">
        <f t="shared" si="1036"/>
        <v>0</v>
      </c>
      <c r="DB76" s="58">
        <f t="shared" si="1036"/>
        <v>0</v>
      </c>
      <c r="DC76" s="58">
        <f t="shared" si="1036"/>
        <v>0</v>
      </c>
      <c r="DD76" s="58">
        <f t="shared" si="1036"/>
        <v>75000</v>
      </c>
      <c r="DE76" s="58">
        <f t="shared" si="1036"/>
        <v>0</v>
      </c>
      <c r="DF76" s="58">
        <f t="shared" si="1036"/>
        <v>0</v>
      </c>
      <c r="DG76" s="58">
        <f t="shared" si="1036"/>
        <v>75510</v>
      </c>
      <c r="DH76" s="118">
        <f t="shared" si="421"/>
        <v>0</v>
      </c>
      <c r="DI76" s="58">
        <f t="shared" ref="DI76:DU76" si="1037">+SUM(DI77:DI86)</f>
        <v>0</v>
      </c>
      <c r="DJ76" s="58">
        <f t="shared" si="1037"/>
        <v>0</v>
      </c>
      <c r="DK76" s="58">
        <f t="shared" si="1037"/>
        <v>0</v>
      </c>
      <c r="DL76" s="58">
        <f t="shared" si="1037"/>
        <v>0</v>
      </c>
      <c r="DM76" s="58">
        <f t="shared" si="1037"/>
        <v>0</v>
      </c>
      <c r="DN76" s="58">
        <f t="shared" si="1037"/>
        <v>0</v>
      </c>
      <c r="DO76" s="58">
        <f t="shared" si="1037"/>
        <v>0</v>
      </c>
      <c r="DP76" s="58">
        <f t="shared" si="1037"/>
        <v>0</v>
      </c>
      <c r="DQ76" s="58">
        <f t="shared" si="1037"/>
        <v>0</v>
      </c>
      <c r="DR76" s="58">
        <f t="shared" si="1037"/>
        <v>0</v>
      </c>
      <c r="DS76" s="58">
        <f t="shared" si="1037"/>
        <v>0</v>
      </c>
      <c r="DT76" s="58">
        <f t="shared" si="1037"/>
        <v>0</v>
      </c>
      <c r="DU76" s="58">
        <f t="shared" si="1037"/>
        <v>0</v>
      </c>
      <c r="DW76" s="28">
        <f t="shared" ref="DW76:EI76" si="1038">+SUM(DW77:DW86)</f>
        <v>0</v>
      </c>
      <c r="DX76" s="28">
        <f t="shared" si="1038"/>
        <v>0</v>
      </c>
      <c r="DY76" s="28">
        <f t="shared" si="1038"/>
        <v>0</v>
      </c>
      <c r="DZ76" s="28">
        <f t="shared" si="1038"/>
        <v>0</v>
      </c>
      <c r="EA76" s="28">
        <f t="shared" si="1038"/>
        <v>0</v>
      </c>
      <c r="EB76" s="28">
        <f t="shared" si="1038"/>
        <v>0</v>
      </c>
      <c r="EC76" s="28">
        <f t="shared" si="1038"/>
        <v>0</v>
      </c>
      <c r="ED76" s="28">
        <f t="shared" si="1038"/>
        <v>0</v>
      </c>
      <c r="EE76" s="28">
        <f t="shared" si="1038"/>
        <v>0</v>
      </c>
      <c r="EF76" s="28">
        <f t="shared" si="1038"/>
        <v>0</v>
      </c>
      <c r="EG76" s="28">
        <f t="shared" si="1038"/>
        <v>0</v>
      </c>
      <c r="EH76" s="28">
        <f t="shared" si="1038"/>
        <v>0</v>
      </c>
      <c r="EI76" s="58">
        <f t="shared" si="1038"/>
        <v>0</v>
      </c>
      <c r="EJ76" s="18" t="str">
        <f t="shared" si="966"/>
        <v>Selling Expenses</v>
      </c>
      <c r="EK76" s="28">
        <f t="shared" ref="EK76:EV76" si="1039">+SUM(EK77:EK86)</f>
        <v>0</v>
      </c>
      <c r="EL76" s="28">
        <f t="shared" si="1039"/>
        <v>0</v>
      </c>
      <c r="EM76" s="28">
        <f t="shared" si="1039"/>
        <v>0</v>
      </c>
      <c r="EN76" s="28">
        <f t="shared" si="1039"/>
        <v>0</v>
      </c>
      <c r="EO76" s="28">
        <f t="shared" si="1039"/>
        <v>0</v>
      </c>
      <c r="EP76" s="28">
        <f t="shared" si="1039"/>
        <v>0</v>
      </c>
      <c r="EQ76" s="28">
        <f t="shared" si="1039"/>
        <v>0</v>
      </c>
      <c r="ER76" s="28">
        <f t="shared" si="1039"/>
        <v>0</v>
      </c>
      <c r="ES76" s="28">
        <f t="shared" si="1039"/>
        <v>0</v>
      </c>
      <c r="ET76" s="28">
        <f t="shared" si="1039"/>
        <v>0</v>
      </c>
      <c r="EU76" s="28">
        <f t="shared" si="1039"/>
        <v>0</v>
      </c>
      <c r="EV76" s="28">
        <f t="shared" si="1039"/>
        <v>0</v>
      </c>
      <c r="EW76" s="28">
        <f t="shared" ref="EW76" si="1040">+SUM(EW77:EW86)</f>
        <v>0</v>
      </c>
      <c r="EX76" s="118" t="e">
        <f t="shared" si="425"/>
        <v>#DIV/0!</v>
      </c>
      <c r="EY76" s="58">
        <f t="shared" ref="EY76:FK76" si="1041">+SUM(EY77:EY86)</f>
        <v>0</v>
      </c>
      <c r="EZ76" s="58">
        <f t="shared" si="1041"/>
        <v>0</v>
      </c>
      <c r="FA76" s="58">
        <f t="shared" si="1041"/>
        <v>0</v>
      </c>
      <c r="FB76" s="58">
        <f t="shared" si="1041"/>
        <v>0</v>
      </c>
      <c r="FC76" s="58">
        <f t="shared" si="1041"/>
        <v>0</v>
      </c>
      <c r="FD76" s="58">
        <f t="shared" si="1041"/>
        <v>0</v>
      </c>
      <c r="FE76" s="58">
        <f t="shared" si="1041"/>
        <v>0</v>
      </c>
      <c r="FF76" s="58">
        <f t="shared" si="1041"/>
        <v>0</v>
      </c>
      <c r="FG76" s="58">
        <f t="shared" si="1041"/>
        <v>0</v>
      </c>
      <c r="FH76" s="58">
        <f t="shared" si="1041"/>
        <v>0</v>
      </c>
      <c r="FI76" s="58">
        <f t="shared" si="1041"/>
        <v>0</v>
      </c>
      <c r="FJ76" s="58">
        <f t="shared" si="1041"/>
        <v>0</v>
      </c>
      <c r="FK76" s="58">
        <f t="shared" si="1041"/>
        <v>0</v>
      </c>
    </row>
    <row r="77" spans="1:167" ht="14.45" hidden="1" customHeight="1" outlineLevel="2">
      <c r="A77" s="106">
        <f t="shared" ref="A77:L86" si="1042">+AQ77+CG77+DW77</f>
        <v>0</v>
      </c>
      <c r="B77" s="106">
        <f t="shared" si="1042"/>
        <v>0</v>
      </c>
      <c r="C77" s="106">
        <f t="shared" si="1042"/>
        <v>0</v>
      </c>
      <c r="D77" s="106">
        <f t="shared" si="1042"/>
        <v>0</v>
      </c>
      <c r="E77" s="106">
        <f t="shared" si="1042"/>
        <v>0</v>
      </c>
      <c r="F77" s="106">
        <f t="shared" si="1042"/>
        <v>0</v>
      </c>
      <c r="G77" s="106">
        <f t="shared" si="1042"/>
        <v>0</v>
      </c>
      <c r="H77" s="106">
        <f t="shared" si="1042"/>
        <v>0</v>
      </c>
      <c r="I77" s="106">
        <f t="shared" si="1042"/>
        <v>0</v>
      </c>
      <c r="J77" s="106">
        <f t="shared" si="1042"/>
        <v>0</v>
      </c>
      <c r="K77" s="106">
        <f t="shared" si="1042"/>
        <v>0</v>
      </c>
      <c r="L77" s="106">
        <f t="shared" si="1042"/>
        <v>0</v>
      </c>
      <c r="M77" s="106">
        <f>+SUM(A77:L77)</f>
        <v>0</v>
      </c>
      <c r="N77" s="16" t="s">
        <v>61</v>
      </c>
      <c r="O77" s="106">
        <f>+BE77+CU77+EK77</f>
        <v>0</v>
      </c>
      <c r="P77" s="106">
        <f t="shared" ref="P77:P86" si="1043">+BF77+CV77+EL77</f>
        <v>0</v>
      </c>
      <c r="Q77" s="106">
        <f t="shared" ref="Q77:Q86" si="1044">+BG77+CW77+EM77</f>
        <v>0</v>
      </c>
      <c r="R77" s="106">
        <f t="shared" ref="R77:R86" si="1045">+BH77+CX77+EN77</f>
        <v>0</v>
      </c>
      <c r="S77" s="106">
        <f t="shared" ref="S77:S86" si="1046">+BI77+CY77+EO77</f>
        <v>0</v>
      </c>
      <c r="T77" s="106">
        <f t="shared" ref="T77:T86" si="1047">+BJ77+CZ77+EP77</f>
        <v>0</v>
      </c>
      <c r="U77" s="106">
        <f t="shared" ref="U77:U86" si="1048">+BK77+DA77+EQ77</f>
        <v>0</v>
      </c>
      <c r="V77" s="106">
        <f t="shared" ref="V77:V86" si="1049">+BL77+DB77+ER77</f>
        <v>0</v>
      </c>
      <c r="W77" s="106">
        <f t="shared" ref="W77:W86" si="1050">+BM77+DC77+ES77</f>
        <v>0</v>
      </c>
      <c r="X77" s="106">
        <f t="shared" ref="X77:X86" si="1051">+BN77+DD77+ET77</f>
        <v>0</v>
      </c>
      <c r="Y77" s="106">
        <f t="shared" ref="Y77:Y86" si="1052">+BO77+DE77+EU77</f>
        <v>0</v>
      </c>
      <c r="Z77" s="106">
        <f t="shared" ref="Z77:Z86" si="1053">+BP77+DF77+EV77</f>
        <v>0</v>
      </c>
      <c r="AA77" s="106">
        <f>+SUM(O77:Z77)</f>
        <v>0</v>
      </c>
      <c r="AB77" s="118">
        <f t="shared" si="401"/>
        <v>0</v>
      </c>
      <c r="AC77" s="106">
        <f>+BS77+DI77+EY77</f>
        <v>0</v>
      </c>
      <c r="AD77" s="106">
        <f t="shared" ref="AD77:AD86" si="1054">+BT77+DJ77+EZ77</f>
        <v>0</v>
      </c>
      <c r="AE77" s="106">
        <f t="shared" ref="AE77:AE86" si="1055">+BU77+DK77+FA77</f>
        <v>0</v>
      </c>
      <c r="AF77" s="106">
        <f t="shared" ref="AF77:AF86" si="1056">+BV77+DL77+FB77</f>
        <v>0</v>
      </c>
      <c r="AG77" s="106">
        <f t="shared" ref="AG77:AG86" si="1057">+BW77+DM77+FC77</f>
        <v>0</v>
      </c>
      <c r="AH77" s="106">
        <f t="shared" ref="AH77:AH86" si="1058">+BX77+DN77+FD77</f>
        <v>0</v>
      </c>
      <c r="AI77" s="106">
        <f t="shared" ref="AI77:AI86" si="1059">+BY77+DO77+FE77</f>
        <v>0</v>
      </c>
      <c r="AJ77" s="106">
        <f t="shared" ref="AJ77:AJ86" si="1060">+BZ77+DP77+FF77</f>
        <v>0</v>
      </c>
      <c r="AK77" s="106">
        <f t="shared" ref="AK77:AK86" si="1061">+CA77+DQ77+FG77</f>
        <v>0</v>
      </c>
      <c r="AL77" s="106">
        <f t="shared" ref="AL77:AL86" si="1062">+CB77+DR77+FH77</f>
        <v>0</v>
      </c>
      <c r="AM77" s="106">
        <f t="shared" ref="AM77:AM86" si="1063">+CC77+DS77+FI77</f>
        <v>0</v>
      </c>
      <c r="AN77" s="106">
        <f t="shared" ref="AN77:AN86" si="1064">+CD77+DT77+FJ77</f>
        <v>0</v>
      </c>
      <c r="AO77" s="106">
        <f>+SUM(AC77:AN77)</f>
        <v>0</v>
      </c>
      <c r="AQ77" s="106">
        <v>0</v>
      </c>
      <c r="AR77" s="106">
        <v>0</v>
      </c>
      <c r="AS77" s="106">
        <v>0</v>
      </c>
      <c r="AT77" s="106">
        <v>0</v>
      </c>
      <c r="AU77" s="106">
        <v>0</v>
      </c>
      <c r="AV77" s="106">
        <v>0</v>
      </c>
      <c r="AW77" s="106">
        <v>0</v>
      </c>
      <c r="AX77" s="106">
        <v>0</v>
      </c>
      <c r="AY77" s="106">
        <v>0</v>
      </c>
      <c r="AZ77" s="106">
        <v>0</v>
      </c>
      <c r="BA77" s="106">
        <v>0</v>
      </c>
      <c r="BB77" s="106">
        <v>0</v>
      </c>
      <c r="BC77" s="106">
        <f>+SUM(AQ77:BB77)</f>
        <v>0</v>
      </c>
      <c r="BD77" s="16" t="str">
        <f t="shared" si="900"/>
        <v>Demo Vehicle Expense</v>
      </c>
      <c r="BE77" s="106">
        <f>+VLOOKUP($BD77,'Jan-25'!$A:$J,5,0)</f>
        <v>0</v>
      </c>
      <c r="BF77" s="106">
        <f>+VLOOKUP($BD77,'Feb-25'!$A:$J,5,0)</f>
        <v>0</v>
      </c>
      <c r="BG77" s="106">
        <f>+VLOOKUP($BD77,'Mar-25'!$A:$J,5,0)</f>
        <v>0</v>
      </c>
      <c r="BH77" s="106">
        <f>+VLOOKUP($BD77,'Apr-25'!$A:$J,5,0)</f>
        <v>0</v>
      </c>
      <c r="BI77" s="106">
        <f>+VLOOKUP($BD77,'May-25'!$A:$J,5,0)</f>
        <v>0</v>
      </c>
      <c r="BJ77" s="106">
        <f>+VLOOKUP($BD77,'June-25'!$A:$J,5,0)</f>
        <v>0</v>
      </c>
      <c r="BK77" s="106">
        <f>+VLOOKUP($BD77,'July-25'!$A:$J,5,0)</f>
        <v>0</v>
      </c>
      <c r="BL77" s="106">
        <f>+VLOOKUP($BD77,'Aug-25'!$A:$J,5,0)</f>
        <v>0</v>
      </c>
      <c r="BM77" s="106">
        <f>+VLOOKUP($BD77,'Sep-25'!$A:$J,5,0)</f>
        <v>0</v>
      </c>
      <c r="BN77" s="106">
        <f>+VLOOKUP($BD77,'Oct-25'!$A:$J,5,0)</f>
        <v>0</v>
      </c>
      <c r="BO77" s="106">
        <f>+VLOOKUP($BD77,'Nov-25'!$A:$J,5,0)</f>
        <v>0</v>
      </c>
      <c r="BP77" s="106">
        <f>+VLOOKUP($BD77,'Dec-25'!$A:$J,5,0)</f>
        <v>0</v>
      </c>
      <c r="BQ77" s="106">
        <f t="shared" ref="BQ77:BQ86" si="1065">+SUM(BE77:BP77)</f>
        <v>0</v>
      </c>
      <c r="BR77" s="118">
        <f t="shared" si="417"/>
        <v>0</v>
      </c>
      <c r="BS77" s="106">
        <f>+_xlfn.XLOOKUP($BD77,Budget!$A:$A,Budget!BD:BD)</f>
        <v>0</v>
      </c>
      <c r="BT77" s="106">
        <f>+_xlfn.XLOOKUP($BD77,Budget!$A:$A,Budget!BE:BE)</f>
        <v>0</v>
      </c>
      <c r="BU77" s="106">
        <f>+_xlfn.XLOOKUP($BD77,Budget!$A:$A,Budget!BF:BF)</f>
        <v>0</v>
      </c>
      <c r="BV77" s="106">
        <f>+_xlfn.XLOOKUP($BD77,Budget!$A:$A,Budget!BG:BG)</f>
        <v>0</v>
      </c>
      <c r="BW77" s="106">
        <f>+_xlfn.XLOOKUP($BD77,Budget!$A:$A,Budget!BH:BH)</f>
        <v>0</v>
      </c>
      <c r="BX77" s="106">
        <f>+_xlfn.XLOOKUP($BD77,Budget!$A:$A,Budget!BI:BI)</f>
        <v>0</v>
      </c>
      <c r="BY77" s="106">
        <f>+_xlfn.XLOOKUP($BD77,Budget!$A:$A,Budget!BJ:BJ)</f>
        <v>0</v>
      </c>
      <c r="BZ77" s="106">
        <f>+_xlfn.XLOOKUP($BD77,Budget!$A:$A,Budget!BK:BK)</f>
        <v>0</v>
      </c>
      <c r="CA77" s="106">
        <f>+_xlfn.XLOOKUP($BD77,Budget!$A:$A,Budget!BL:BL)</f>
        <v>0</v>
      </c>
      <c r="CB77" s="106">
        <f>+_xlfn.XLOOKUP($BD77,Budget!$A:$A,Budget!BM:BM)</f>
        <v>0</v>
      </c>
      <c r="CC77" s="106">
        <f>+_xlfn.XLOOKUP($BD77,Budget!$A:$A,Budget!BN:BN)</f>
        <v>0</v>
      </c>
      <c r="CD77" s="106">
        <f>+_xlfn.XLOOKUP($BD77,Budget!$A:$A,Budget!BO:BO)</f>
        <v>0</v>
      </c>
      <c r="CE77" s="106">
        <f>+SUM(BS77:CD77)</f>
        <v>0</v>
      </c>
      <c r="CF77" s="106"/>
      <c r="CG77" s="106">
        <v>0</v>
      </c>
      <c r="CH77" s="106">
        <v>0</v>
      </c>
      <c r="CI77" s="106">
        <v>0</v>
      </c>
      <c r="CJ77" s="106">
        <v>0</v>
      </c>
      <c r="CK77" s="106">
        <v>0</v>
      </c>
      <c r="CL77" s="106">
        <v>0</v>
      </c>
      <c r="CM77" s="106">
        <v>0</v>
      </c>
      <c r="CN77" s="106">
        <v>0</v>
      </c>
      <c r="CO77" s="106">
        <v>0</v>
      </c>
      <c r="CP77" s="106">
        <v>0</v>
      </c>
      <c r="CQ77" s="106">
        <v>0</v>
      </c>
      <c r="CR77" s="106">
        <v>0</v>
      </c>
      <c r="CS77" s="106">
        <f>+SUM(CG77:CR77)</f>
        <v>0</v>
      </c>
      <c r="CT77" s="16" t="str">
        <f t="shared" si="901"/>
        <v>Demo Vehicle Expense</v>
      </c>
      <c r="CU77" s="106">
        <f>+VLOOKUP($BD77,'Jan-25'!$A:$J,8,0)</f>
        <v>0</v>
      </c>
      <c r="CV77" s="106">
        <f>+VLOOKUP($BD77,'Feb-25'!$A:$J,8,0)</f>
        <v>0</v>
      </c>
      <c r="CW77" s="106">
        <f>+VLOOKUP($BD77,'Mar-25'!$A:$J,8,0)</f>
        <v>0</v>
      </c>
      <c r="CX77" s="106">
        <f>+VLOOKUP($BD77,'Apr-25'!$A:$J,8,0)</f>
        <v>0</v>
      </c>
      <c r="CY77" s="106">
        <f>+VLOOKUP($BD77,'May-25'!$A:$J,8,0)</f>
        <v>0</v>
      </c>
      <c r="CZ77" s="106">
        <f>+VLOOKUP($BD77,'June-25'!$A:$J,8,0)</f>
        <v>0</v>
      </c>
      <c r="DA77" s="106">
        <f>+VLOOKUP($BD77,'July-25'!$A:$J,8,0)</f>
        <v>0</v>
      </c>
      <c r="DB77" s="106">
        <f>+VLOOKUP($BD77,'Aug-25'!$A:$J,8,0)</f>
        <v>0</v>
      </c>
      <c r="DC77" s="106">
        <f>+VLOOKUP($BD77,'Sep-25'!$A:$J,8,0)</f>
        <v>0</v>
      </c>
      <c r="DD77" s="106">
        <f>+VLOOKUP($BD77,'Oct-25'!$A:$J,8,0)</f>
        <v>0</v>
      </c>
      <c r="DE77" s="106">
        <f>+VLOOKUP($BD77,'Nov-25'!$A:$J,8,0)</f>
        <v>0</v>
      </c>
      <c r="DF77" s="106">
        <f>+VLOOKUP($BD77,'Dec-25'!$A:$J,8,0)</f>
        <v>0</v>
      </c>
      <c r="DG77" s="106">
        <f t="shared" ref="DG77:DG86" si="1066">+SUM(CU77:DF77)</f>
        <v>0</v>
      </c>
      <c r="DH77" s="118">
        <f t="shared" si="421"/>
        <v>0</v>
      </c>
      <c r="DI77" s="106">
        <f>+_xlfn.XLOOKUP($CT77,Budget!$A:$A,Budget!CQ:CQ)</f>
        <v>0</v>
      </c>
      <c r="DJ77" s="106">
        <f>+_xlfn.XLOOKUP($CT77,Budget!$A:$A,Budget!CR:CR)</f>
        <v>0</v>
      </c>
      <c r="DK77" s="106">
        <f>+_xlfn.XLOOKUP($CT77,Budget!$A:$A,Budget!CS:CS)</f>
        <v>0</v>
      </c>
      <c r="DL77" s="106">
        <f>+_xlfn.XLOOKUP($CT77,Budget!$A:$A,Budget!CT:CT)</f>
        <v>0</v>
      </c>
      <c r="DM77" s="106">
        <f>+_xlfn.XLOOKUP($CT77,Budget!$A:$A,Budget!CU:CU)</f>
        <v>0</v>
      </c>
      <c r="DN77" s="106">
        <f>+_xlfn.XLOOKUP($CT77,Budget!$A:$A,Budget!CV:CV)</f>
        <v>0</v>
      </c>
      <c r="DO77" s="106">
        <f>+_xlfn.XLOOKUP($CT77,Budget!$A:$A,Budget!CW:CW)</f>
        <v>0</v>
      </c>
      <c r="DP77" s="106">
        <f>+_xlfn.XLOOKUP($CT77,Budget!$A:$A,Budget!CX:CX)</f>
        <v>0</v>
      </c>
      <c r="DQ77" s="106">
        <f>+_xlfn.XLOOKUP($CT77,Budget!$A:$A,Budget!CY:CY)</f>
        <v>0</v>
      </c>
      <c r="DR77" s="106">
        <f>+_xlfn.XLOOKUP($CT77,Budget!$A:$A,Budget!CZ:CZ)</f>
        <v>0</v>
      </c>
      <c r="DS77" s="106">
        <f>+_xlfn.XLOOKUP($CT77,Budget!$A:$A,Budget!DA:DA)</f>
        <v>0</v>
      </c>
      <c r="DT77" s="106">
        <f>+_xlfn.XLOOKUP($CT77,Budget!$A:$A,Budget!DB:DB)</f>
        <v>0</v>
      </c>
      <c r="DU77" s="106">
        <f>+SUM(DI77:DT77)</f>
        <v>0</v>
      </c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106">
        <f>+SUM(DW77:EH77)</f>
        <v>0</v>
      </c>
      <c r="EJ77" s="16" t="str">
        <f t="shared" si="966"/>
        <v>Demo Vehicle Expense</v>
      </c>
      <c r="EK77" s="22">
        <f>+VLOOKUP($BD77,'Jan-25'!$A:$J,10,0)</f>
        <v>0</v>
      </c>
      <c r="EL77" s="22">
        <f>+VLOOKUP($BD77,'Feb-25'!$A:$J,10,0)</f>
        <v>0</v>
      </c>
      <c r="EM77" s="22">
        <f>+VLOOKUP($BD77,'Mar-25'!$A:$J,10,0)</f>
        <v>0</v>
      </c>
      <c r="EN77" s="22">
        <f>+VLOOKUP($BD77,'Apr-25'!$A:$J,10,0)</f>
        <v>0</v>
      </c>
      <c r="EO77" s="22">
        <f>+VLOOKUP($BD77,'May-25'!$A:$J,10,0)</f>
        <v>0</v>
      </c>
      <c r="EP77" s="22">
        <f>+VLOOKUP($BD77,'June-25'!$A:$J,10,0)</f>
        <v>0</v>
      </c>
      <c r="EQ77" s="22">
        <f>+VLOOKUP($BD77,'July-25'!$A:$J,10,0)</f>
        <v>0</v>
      </c>
      <c r="ER77" s="22">
        <f>+VLOOKUP($BD77,'Aug-25'!$A:$J,10,0)</f>
        <v>0</v>
      </c>
      <c r="ES77" s="22">
        <f>+VLOOKUP($BD77,'Sep-25'!$A:$J,10,0)</f>
        <v>0</v>
      </c>
      <c r="ET77" s="22">
        <f>+VLOOKUP($BD77,'Oct-25'!$A:$J,10,0)</f>
        <v>0</v>
      </c>
      <c r="EU77" s="22">
        <f>+VLOOKUP($BD77,'Nov-25'!$A:$J,10,0)</f>
        <v>0</v>
      </c>
      <c r="EV77" s="22">
        <f>+VLOOKUP($BD77,'Dec-25'!$A:$J,10,0)</f>
        <v>0</v>
      </c>
      <c r="EW77" s="22">
        <f t="shared" ref="EW77:EW86" si="1067">+SUM(EK77:EV77)</f>
        <v>0</v>
      </c>
      <c r="EX77" s="118" t="e">
        <f t="shared" si="425"/>
        <v>#DIV/0!</v>
      </c>
      <c r="EY77" s="106">
        <f>+_xlfn.XLOOKUP($EJ77,Budget!$A:$A,Budget!DR:DR)</f>
        <v>0</v>
      </c>
      <c r="EZ77" s="106">
        <f>+_xlfn.XLOOKUP($EJ77,Budget!$A:$A,Budget!DS:DS)</f>
        <v>0</v>
      </c>
      <c r="FA77" s="106">
        <f>+_xlfn.XLOOKUP($EJ77,Budget!$A:$A,Budget!DT:DT)</f>
        <v>0</v>
      </c>
      <c r="FB77" s="106">
        <f>+_xlfn.XLOOKUP($EJ77,Budget!$A:$A,Budget!DU:DU)</f>
        <v>0</v>
      </c>
      <c r="FC77" s="106">
        <f>+_xlfn.XLOOKUP($EJ77,Budget!$A:$A,Budget!DV:DV)</f>
        <v>0</v>
      </c>
      <c r="FD77" s="106">
        <f>+_xlfn.XLOOKUP($EJ77,Budget!$A:$A,Budget!DW:DW)</f>
        <v>0</v>
      </c>
      <c r="FE77" s="106">
        <f>+_xlfn.XLOOKUP($EJ77,Budget!$A:$A,Budget!DX:DX)</f>
        <v>0</v>
      </c>
      <c r="FF77" s="106">
        <f>+_xlfn.XLOOKUP($EJ77,Budget!$A:$A,Budget!DY:DY)</f>
        <v>0</v>
      </c>
      <c r="FG77" s="106">
        <f>+_xlfn.XLOOKUP($EJ77,Budget!$A:$A,Budget!DZ:DZ)</f>
        <v>0</v>
      </c>
      <c r="FH77" s="106">
        <f>+_xlfn.XLOOKUP($EJ77,Budget!$A:$A,Budget!EA:EA)</f>
        <v>0</v>
      </c>
      <c r="FI77" s="106">
        <f>+_xlfn.XLOOKUP($EJ77,Budget!$A:$A,Budget!EB:EB)</f>
        <v>0</v>
      </c>
      <c r="FJ77" s="106">
        <f>+_xlfn.XLOOKUP($EJ77,Budget!$A:$A,Budget!EC:EC)</f>
        <v>0</v>
      </c>
      <c r="FK77" s="106">
        <f>+SUM(EY77:FJ77)</f>
        <v>0</v>
      </c>
    </row>
    <row r="78" spans="1:167" ht="14.45" hidden="1" customHeight="1" outlineLevel="2">
      <c r="A78" s="106">
        <f t="shared" si="1042"/>
        <v>0</v>
      </c>
      <c r="B78" s="106">
        <f t="shared" si="1042"/>
        <v>0</v>
      </c>
      <c r="C78" s="106">
        <f t="shared" si="1042"/>
        <v>0</v>
      </c>
      <c r="D78" s="106">
        <f t="shared" si="1042"/>
        <v>0</v>
      </c>
      <c r="E78" s="106">
        <f t="shared" si="1042"/>
        <v>0</v>
      </c>
      <c r="F78" s="106">
        <f t="shared" si="1042"/>
        <v>0</v>
      </c>
      <c r="G78" s="106">
        <f t="shared" si="1042"/>
        <v>0</v>
      </c>
      <c r="H78" s="106">
        <f t="shared" si="1042"/>
        <v>0</v>
      </c>
      <c r="I78" s="106">
        <f t="shared" si="1042"/>
        <v>0</v>
      </c>
      <c r="J78" s="106">
        <f t="shared" si="1042"/>
        <v>0</v>
      </c>
      <c r="K78" s="106">
        <f t="shared" si="1042"/>
        <v>0</v>
      </c>
      <c r="L78" s="106">
        <f t="shared" si="1042"/>
        <v>0</v>
      </c>
      <c r="M78" s="106">
        <f t="shared" ref="M78:M102" si="1068">+SUM(A78:L78)</f>
        <v>0</v>
      </c>
      <c r="N78" s="16" t="s">
        <v>62</v>
      </c>
      <c r="O78" s="106">
        <f t="shared" ref="O78:O86" si="1069">+BE78+CU78+EK78</f>
        <v>0</v>
      </c>
      <c r="P78" s="106">
        <f t="shared" si="1043"/>
        <v>0</v>
      </c>
      <c r="Q78" s="106">
        <f t="shared" si="1044"/>
        <v>0</v>
      </c>
      <c r="R78" s="106">
        <f t="shared" si="1045"/>
        <v>0</v>
      </c>
      <c r="S78" s="106">
        <f t="shared" si="1046"/>
        <v>0</v>
      </c>
      <c r="T78" s="106">
        <f t="shared" si="1047"/>
        <v>0</v>
      </c>
      <c r="U78" s="106">
        <f t="shared" si="1048"/>
        <v>0</v>
      </c>
      <c r="V78" s="106">
        <f t="shared" si="1049"/>
        <v>0</v>
      </c>
      <c r="W78" s="106">
        <f t="shared" si="1050"/>
        <v>0</v>
      </c>
      <c r="X78" s="106">
        <f t="shared" si="1051"/>
        <v>0</v>
      </c>
      <c r="Y78" s="106">
        <f t="shared" si="1052"/>
        <v>0</v>
      </c>
      <c r="Z78" s="106">
        <f t="shared" si="1053"/>
        <v>0</v>
      </c>
      <c r="AA78" s="106">
        <f t="shared" ref="AA78:AA86" si="1070">+SUM(O78:Z78)</f>
        <v>0</v>
      </c>
      <c r="AB78" s="118">
        <f t="shared" si="401"/>
        <v>0</v>
      </c>
      <c r="AC78" s="106">
        <f t="shared" ref="AC78:AC86" si="1071">+BS78+DI78+EY78</f>
        <v>0</v>
      </c>
      <c r="AD78" s="106">
        <f t="shared" si="1054"/>
        <v>0</v>
      </c>
      <c r="AE78" s="106">
        <f t="shared" si="1055"/>
        <v>0</v>
      </c>
      <c r="AF78" s="106">
        <f t="shared" si="1056"/>
        <v>0</v>
      </c>
      <c r="AG78" s="106">
        <f t="shared" si="1057"/>
        <v>0</v>
      </c>
      <c r="AH78" s="106">
        <f t="shared" si="1058"/>
        <v>0</v>
      </c>
      <c r="AI78" s="106">
        <f t="shared" si="1059"/>
        <v>0</v>
      </c>
      <c r="AJ78" s="106">
        <f t="shared" si="1060"/>
        <v>0</v>
      </c>
      <c r="AK78" s="106">
        <f t="shared" si="1061"/>
        <v>0</v>
      </c>
      <c r="AL78" s="106">
        <f t="shared" si="1062"/>
        <v>0</v>
      </c>
      <c r="AM78" s="106">
        <f t="shared" si="1063"/>
        <v>0</v>
      </c>
      <c r="AN78" s="106">
        <f t="shared" si="1064"/>
        <v>0</v>
      </c>
      <c r="AO78" s="106">
        <f t="shared" ref="AO78:AO86" si="1072">+SUM(AC78:AN78)</f>
        <v>0</v>
      </c>
      <c r="AQ78" s="106">
        <v>0</v>
      </c>
      <c r="AR78" s="106">
        <v>0</v>
      </c>
      <c r="AS78" s="106">
        <v>0</v>
      </c>
      <c r="AT78" s="106">
        <v>0</v>
      </c>
      <c r="AU78" s="106">
        <v>0</v>
      </c>
      <c r="AV78" s="106">
        <v>0</v>
      </c>
      <c r="AW78" s="106">
        <v>0</v>
      </c>
      <c r="AX78" s="106">
        <v>0</v>
      </c>
      <c r="AY78" s="106">
        <v>0</v>
      </c>
      <c r="AZ78" s="106">
        <v>0</v>
      </c>
      <c r="BA78" s="106">
        <v>0</v>
      </c>
      <c r="BB78" s="106">
        <v>0</v>
      </c>
      <c r="BC78" s="106">
        <f t="shared" ref="BC78:BC86" si="1073">+SUM(AQ78:BB78)</f>
        <v>0</v>
      </c>
      <c r="BD78" s="16" t="str">
        <f t="shared" si="900"/>
        <v>Demo Vehicle Fuel Expenses</v>
      </c>
      <c r="BE78" s="106">
        <f>+VLOOKUP($BD78,'Jan-25'!$A:$J,5,0)</f>
        <v>0</v>
      </c>
      <c r="BF78" s="106">
        <f>+VLOOKUP($BD78,'Feb-25'!$A:$J,5,0)</f>
        <v>0</v>
      </c>
      <c r="BG78" s="106">
        <f>+VLOOKUP($BD78,'Mar-25'!$A:$J,5,0)</f>
        <v>0</v>
      </c>
      <c r="BH78" s="106">
        <f>+VLOOKUP($BD78,'Apr-25'!$A:$J,5,0)</f>
        <v>0</v>
      </c>
      <c r="BI78" s="106">
        <f>+VLOOKUP($BD78,'May-25'!$A:$J,5,0)</f>
        <v>0</v>
      </c>
      <c r="BJ78" s="106">
        <f>+VLOOKUP($BD78,'June-25'!$A:$J,5,0)</f>
        <v>0</v>
      </c>
      <c r="BK78" s="106">
        <f>+VLOOKUP($BD78,'July-25'!$A:$J,5,0)</f>
        <v>0</v>
      </c>
      <c r="BL78" s="106">
        <f>+VLOOKUP($BD78,'Aug-25'!$A:$J,5,0)</f>
        <v>0</v>
      </c>
      <c r="BM78" s="106">
        <f>+VLOOKUP($BD78,'Sep-25'!$A:$J,5,0)</f>
        <v>0</v>
      </c>
      <c r="BN78" s="106">
        <f>+VLOOKUP($BD78,'Oct-25'!$A:$J,5,0)</f>
        <v>0</v>
      </c>
      <c r="BO78" s="106">
        <f>+VLOOKUP($BD78,'Nov-25'!$A:$J,5,0)</f>
        <v>0</v>
      </c>
      <c r="BP78" s="106">
        <f>+VLOOKUP($BD78,'Dec-25'!$A:$J,5,0)</f>
        <v>0</v>
      </c>
      <c r="BQ78" s="106">
        <f t="shared" si="1065"/>
        <v>0</v>
      </c>
      <c r="BR78" s="118">
        <f t="shared" si="417"/>
        <v>0</v>
      </c>
      <c r="BS78" s="106">
        <f>+_xlfn.XLOOKUP($BD78,Budget!$A:$A,Budget!BD:BD)</f>
        <v>0</v>
      </c>
      <c r="BT78" s="106">
        <f>+_xlfn.XLOOKUP($BD78,Budget!$A:$A,Budget!BE:BE)</f>
        <v>0</v>
      </c>
      <c r="BU78" s="106">
        <f>+_xlfn.XLOOKUP($BD78,Budget!$A:$A,Budget!BF:BF)</f>
        <v>0</v>
      </c>
      <c r="BV78" s="106">
        <f>+_xlfn.XLOOKUP($BD78,Budget!$A:$A,Budget!BG:BG)</f>
        <v>0</v>
      </c>
      <c r="BW78" s="106">
        <f>+_xlfn.XLOOKUP($BD78,Budget!$A:$A,Budget!BH:BH)</f>
        <v>0</v>
      </c>
      <c r="BX78" s="106">
        <f>+_xlfn.XLOOKUP($BD78,Budget!$A:$A,Budget!BI:BI)</f>
        <v>0</v>
      </c>
      <c r="BY78" s="106">
        <f>+_xlfn.XLOOKUP($BD78,Budget!$A:$A,Budget!BJ:BJ)</f>
        <v>0</v>
      </c>
      <c r="BZ78" s="106">
        <f>+_xlfn.XLOOKUP($BD78,Budget!$A:$A,Budget!BK:BK)</f>
        <v>0</v>
      </c>
      <c r="CA78" s="106">
        <f>+_xlfn.XLOOKUP($BD78,Budget!$A:$A,Budget!BL:BL)</f>
        <v>0</v>
      </c>
      <c r="CB78" s="106">
        <f>+_xlfn.XLOOKUP($BD78,Budget!$A:$A,Budget!BM:BM)</f>
        <v>0</v>
      </c>
      <c r="CC78" s="106">
        <f>+_xlfn.XLOOKUP($BD78,Budget!$A:$A,Budget!BN:BN)</f>
        <v>0</v>
      </c>
      <c r="CD78" s="106">
        <f>+_xlfn.XLOOKUP($BD78,Budget!$A:$A,Budget!BO:BO)</f>
        <v>0</v>
      </c>
      <c r="CE78" s="106">
        <f t="shared" ref="CE78:CE86" si="1074">+SUM(BS78:CD78)</f>
        <v>0</v>
      </c>
      <c r="CF78" s="106"/>
      <c r="CG78" s="106">
        <v>0</v>
      </c>
      <c r="CH78" s="106">
        <v>0</v>
      </c>
      <c r="CI78" s="106">
        <v>0</v>
      </c>
      <c r="CJ78" s="106">
        <v>0</v>
      </c>
      <c r="CK78" s="106">
        <v>0</v>
      </c>
      <c r="CL78" s="106">
        <v>0</v>
      </c>
      <c r="CM78" s="106">
        <v>0</v>
      </c>
      <c r="CN78" s="106">
        <v>0</v>
      </c>
      <c r="CO78" s="106">
        <v>0</v>
      </c>
      <c r="CP78" s="106">
        <v>0</v>
      </c>
      <c r="CQ78" s="106">
        <v>0</v>
      </c>
      <c r="CR78" s="106">
        <v>0</v>
      </c>
      <c r="CS78" s="106">
        <f t="shared" ref="CS78:CS86" si="1075">+SUM(CG78:CR78)</f>
        <v>0</v>
      </c>
      <c r="CT78" s="16" t="str">
        <f t="shared" si="901"/>
        <v>Demo Vehicle Fuel Expenses</v>
      </c>
      <c r="CU78" s="106">
        <f>+VLOOKUP($BD78,'Jan-25'!$A:$J,8,0)</f>
        <v>0</v>
      </c>
      <c r="CV78" s="106">
        <f>+VLOOKUP($BD78,'Feb-25'!$A:$J,8,0)</f>
        <v>0</v>
      </c>
      <c r="CW78" s="106">
        <f>+VLOOKUP($BD78,'Mar-25'!$A:$J,8,0)</f>
        <v>0</v>
      </c>
      <c r="CX78" s="106">
        <f>+VLOOKUP($BD78,'Apr-25'!$A:$J,8,0)</f>
        <v>0</v>
      </c>
      <c r="CY78" s="106">
        <f>+VLOOKUP($BD78,'May-25'!$A:$J,8,0)</f>
        <v>0</v>
      </c>
      <c r="CZ78" s="106">
        <f>+VLOOKUP($BD78,'June-25'!$A:$J,8,0)</f>
        <v>0</v>
      </c>
      <c r="DA78" s="106">
        <f>+VLOOKUP($BD78,'July-25'!$A:$J,8,0)</f>
        <v>0</v>
      </c>
      <c r="DB78" s="106">
        <f>+VLOOKUP($BD78,'Aug-25'!$A:$J,8,0)</f>
        <v>0</v>
      </c>
      <c r="DC78" s="106">
        <f>+VLOOKUP($BD78,'Sep-25'!$A:$J,8,0)</f>
        <v>0</v>
      </c>
      <c r="DD78" s="106">
        <f>+VLOOKUP($BD78,'Oct-25'!$A:$J,8,0)</f>
        <v>0</v>
      </c>
      <c r="DE78" s="106">
        <f>+VLOOKUP($BD78,'Nov-25'!$A:$J,8,0)</f>
        <v>0</v>
      </c>
      <c r="DF78" s="106">
        <f>+VLOOKUP($BD78,'Dec-25'!$A:$J,8,0)</f>
        <v>0</v>
      </c>
      <c r="DG78" s="106">
        <f t="shared" si="1066"/>
        <v>0</v>
      </c>
      <c r="DH78" s="118">
        <f t="shared" si="421"/>
        <v>0</v>
      </c>
      <c r="DI78" s="106">
        <f>+_xlfn.XLOOKUP($CT78,Budget!$A:$A,Budget!CQ:CQ)</f>
        <v>0</v>
      </c>
      <c r="DJ78" s="106">
        <f>+_xlfn.XLOOKUP($CT78,Budget!$A:$A,Budget!CR:CR)</f>
        <v>0</v>
      </c>
      <c r="DK78" s="106">
        <f>+_xlfn.XLOOKUP($CT78,Budget!$A:$A,Budget!CS:CS)</f>
        <v>0</v>
      </c>
      <c r="DL78" s="106">
        <f>+_xlfn.XLOOKUP($CT78,Budget!$A:$A,Budget!CT:CT)</f>
        <v>0</v>
      </c>
      <c r="DM78" s="106">
        <f>+_xlfn.XLOOKUP($CT78,Budget!$A:$A,Budget!CU:CU)</f>
        <v>0</v>
      </c>
      <c r="DN78" s="106">
        <f>+_xlfn.XLOOKUP($CT78,Budget!$A:$A,Budget!CV:CV)</f>
        <v>0</v>
      </c>
      <c r="DO78" s="106">
        <f>+_xlfn.XLOOKUP($CT78,Budget!$A:$A,Budget!CW:CW)</f>
        <v>0</v>
      </c>
      <c r="DP78" s="106">
        <f>+_xlfn.XLOOKUP($CT78,Budget!$A:$A,Budget!CX:CX)</f>
        <v>0</v>
      </c>
      <c r="DQ78" s="106">
        <f>+_xlfn.XLOOKUP($CT78,Budget!$A:$A,Budget!CY:CY)</f>
        <v>0</v>
      </c>
      <c r="DR78" s="106">
        <f>+_xlfn.XLOOKUP($CT78,Budget!$A:$A,Budget!CZ:CZ)</f>
        <v>0</v>
      </c>
      <c r="DS78" s="106">
        <f>+_xlfn.XLOOKUP($CT78,Budget!$A:$A,Budget!DA:DA)</f>
        <v>0</v>
      </c>
      <c r="DT78" s="106">
        <f>+_xlfn.XLOOKUP($CT78,Budget!$A:$A,Budget!DB:DB)</f>
        <v>0</v>
      </c>
      <c r="DU78" s="106">
        <f t="shared" ref="DU78:DU86" si="1076">+SUM(DI78:DT78)</f>
        <v>0</v>
      </c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106">
        <f t="shared" ref="EI78:EI86" si="1077">+SUM(DW78:EH78)</f>
        <v>0</v>
      </c>
      <c r="EJ78" s="16" t="str">
        <f t="shared" si="966"/>
        <v>Demo Vehicle Fuel Expenses</v>
      </c>
      <c r="EK78" s="22">
        <f>+VLOOKUP($BD78,'Jan-25'!$A:$J,10,0)</f>
        <v>0</v>
      </c>
      <c r="EL78" s="22">
        <f>+VLOOKUP($BD78,'Feb-25'!$A:$J,10,0)</f>
        <v>0</v>
      </c>
      <c r="EM78" s="22">
        <f>+VLOOKUP($BD78,'Mar-25'!$A:$J,10,0)</f>
        <v>0</v>
      </c>
      <c r="EN78" s="22">
        <f>+VLOOKUP($BD78,'Apr-25'!$A:$J,10,0)</f>
        <v>0</v>
      </c>
      <c r="EO78" s="22">
        <f>+VLOOKUP($BD78,'May-25'!$A:$J,10,0)</f>
        <v>0</v>
      </c>
      <c r="EP78" s="22">
        <f>+VLOOKUP($BD78,'June-25'!$A:$J,10,0)</f>
        <v>0</v>
      </c>
      <c r="EQ78" s="22">
        <f>+VLOOKUP($BD78,'July-25'!$A:$J,10,0)</f>
        <v>0</v>
      </c>
      <c r="ER78" s="22">
        <f>+VLOOKUP($BD78,'Aug-25'!$A:$J,10,0)</f>
        <v>0</v>
      </c>
      <c r="ES78" s="22">
        <f>+VLOOKUP($BD78,'Sep-25'!$A:$J,10,0)</f>
        <v>0</v>
      </c>
      <c r="ET78" s="22">
        <f>+VLOOKUP($BD78,'Oct-25'!$A:$J,10,0)</f>
        <v>0</v>
      </c>
      <c r="EU78" s="22">
        <f>+VLOOKUP($BD78,'Nov-25'!$A:$J,10,0)</f>
        <v>0</v>
      </c>
      <c r="EV78" s="22">
        <f>+VLOOKUP($BD78,'Dec-25'!$A:$J,10,0)</f>
        <v>0</v>
      </c>
      <c r="EW78" s="22">
        <f t="shared" si="1067"/>
        <v>0</v>
      </c>
      <c r="EX78" s="118" t="e">
        <f t="shared" si="425"/>
        <v>#DIV/0!</v>
      </c>
      <c r="EY78" s="106">
        <f>+_xlfn.XLOOKUP($EJ78,Budget!$A:$A,Budget!DR:DR)</f>
        <v>0</v>
      </c>
      <c r="EZ78" s="106">
        <f>+_xlfn.XLOOKUP($EJ78,Budget!$A:$A,Budget!DS:DS)</f>
        <v>0</v>
      </c>
      <c r="FA78" s="106">
        <f>+_xlfn.XLOOKUP($EJ78,Budget!$A:$A,Budget!DT:DT)</f>
        <v>0</v>
      </c>
      <c r="FB78" s="106">
        <f>+_xlfn.XLOOKUP($EJ78,Budget!$A:$A,Budget!DU:DU)</f>
        <v>0</v>
      </c>
      <c r="FC78" s="106">
        <f>+_xlfn.XLOOKUP($EJ78,Budget!$A:$A,Budget!DV:DV)</f>
        <v>0</v>
      </c>
      <c r="FD78" s="106">
        <f>+_xlfn.XLOOKUP($EJ78,Budget!$A:$A,Budget!DW:DW)</f>
        <v>0</v>
      </c>
      <c r="FE78" s="106">
        <f>+_xlfn.XLOOKUP($EJ78,Budget!$A:$A,Budget!DX:DX)</f>
        <v>0</v>
      </c>
      <c r="FF78" s="106">
        <f>+_xlfn.XLOOKUP($EJ78,Budget!$A:$A,Budget!DY:DY)</f>
        <v>0</v>
      </c>
      <c r="FG78" s="106">
        <f>+_xlfn.XLOOKUP($EJ78,Budget!$A:$A,Budget!DZ:DZ)</f>
        <v>0</v>
      </c>
      <c r="FH78" s="106">
        <f>+_xlfn.XLOOKUP($EJ78,Budget!$A:$A,Budget!EA:EA)</f>
        <v>0</v>
      </c>
      <c r="FI78" s="106">
        <f>+_xlfn.XLOOKUP($EJ78,Budget!$A:$A,Budget!EB:EB)</f>
        <v>0</v>
      </c>
      <c r="FJ78" s="106">
        <f>+_xlfn.XLOOKUP($EJ78,Budget!$A:$A,Budget!EC:EC)</f>
        <v>0</v>
      </c>
      <c r="FK78" s="106">
        <f t="shared" ref="FK78:FK86" si="1078">+SUM(EY78:FJ78)</f>
        <v>0</v>
      </c>
    </row>
    <row r="79" spans="1:167" ht="14.45" hidden="1" customHeight="1" outlineLevel="2">
      <c r="A79" s="106">
        <f t="shared" si="1042"/>
        <v>0</v>
      </c>
      <c r="B79" s="106">
        <f t="shared" si="1042"/>
        <v>0</v>
      </c>
      <c r="C79" s="106">
        <f t="shared" si="1042"/>
        <v>0</v>
      </c>
      <c r="D79" s="106">
        <f t="shared" si="1042"/>
        <v>0</v>
      </c>
      <c r="E79" s="106">
        <f t="shared" si="1042"/>
        <v>0</v>
      </c>
      <c r="F79" s="106">
        <f t="shared" si="1042"/>
        <v>0</v>
      </c>
      <c r="G79" s="106">
        <f t="shared" si="1042"/>
        <v>0</v>
      </c>
      <c r="H79" s="106">
        <f t="shared" si="1042"/>
        <v>0</v>
      </c>
      <c r="I79" s="106">
        <f t="shared" si="1042"/>
        <v>0</v>
      </c>
      <c r="J79" s="106">
        <f t="shared" si="1042"/>
        <v>0</v>
      </c>
      <c r="K79" s="106">
        <f t="shared" si="1042"/>
        <v>0</v>
      </c>
      <c r="L79" s="106">
        <f t="shared" si="1042"/>
        <v>0</v>
      </c>
      <c r="M79" s="106">
        <f t="shared" si="1068"/>
        <v>0</v>
      </c>
      <c r="N79" s="16" t="s">
        <v>63</v>
      </c>
      <c r="O79" s="106">
        <f t="shared" si="1069"/>
        <v>0</v>
      </c>
      <c r="P79" s="106">
        <f t="shared" si="1043"/>
        <v>0</v>
      </c>
      <c r="Q79" s="106">
        <f t="shared" si="1044"/>
        <v>0</v>
      </c>
      <c r="R79" s="106">
        <f t="shared" si="1045"/>
        <v>0</v>
      </c>
      <c r="S79" s="106">
        <f t="shared" si="1046"/>
        <v>0</v>
      </c>
      <c r="T79" s="106">
        <f t="shared" si="1047"/>
        <v>0</v>
      </c>
      <c r="U79" s="106">
        <f t="shared" si="1048"/>
        <v>0</v>
      </c>
      <c r="V79" s="106">
        <f t="shared" si="1049"/>
        <v>0</v>
      </c>
      <c r="W79" s="106">
        <f t="shared" si="1050"/>
        <v>0</v>
      </c>
      <c r="X79" s="106">
        <f t="shared" si="1051"/>
        <v>0</v>
      </c>
      <c r="Y79" s="106">
        <f t="shared" si="1052"/>
        <v>0</v>
      </c>
      <c r="Z79" s="106">
        <f t="shared" si="1053"/>
        <v>0</v>
      </c>
      <c r="AA79" s="106">
        <f t="shared" si="1070"/>
        <v>0</v>
      </c>
      <c r="AB79" s="118">
        <f t="shared" si="401"/>
        <v>0</v>
      </c>
      <c r="AC79" s="106">
        <f t="shared" si="1071"/>
        <v>0</v>
      </c>
      <c r="AD79" s="106">
        <f t="shared" si="1054"/>
        <v>0</v>
      </c>
      <c r="AE79" s="106">
        <f t="shared" si="1055"/>
        <v>0</v>
      </c>
      <c r="AF79" s="106">
        <f t="shared" si="1056"/>
        <v>0</v>
      </c>
      <c r="AG79" s="106">
        <f t="shared" si="1057"/>
        <v>0</v>
      </c>
      <c r="AH79" s="106">
        <f t="shared" si="1058"/>
        <v>0</v>
      </c>
      <c r="AI79" s="106">
        <f t="shared" si="1059"/>
        <v>0</v>
      </c>
      <c r="AJ79" s="106">
        <f t="shared" si="1060"/>
        <v>0</v>
      </c>
      <c r="AK79" s="106">
        <f t="shared" si="1061"/>
        <v>0</v>
      </c>
      <c r="AL79" s="106">
        <f t="shared" si="1062"/>
        <v>0</v>
      </c>
      <c r="AM79" s="106">
        <f t="shared" si="1063"/>
        <v>0</v>
      </c>
      <c r="AN79" s="106">
        <f t="shared" si="1064"/>
        <v>0</v>
      </c>
      <c r="AO79" s="106">
        <f t="shared" si="1072"/>
        <v>0</v>
      </c>
      <c r="AQ79" s="106">
        <v>0</v>
      </c>
      <c r="AR79" s="106">
        <v>0</v>
      </c>
      <c r="AS79" s="106">
        <v>0</v>
      </c>
      <c r="AT79" s="106">
        <v>0</v>
      </c>
      <c r="AU79" s="106">
        <v>0</v>
      </c>
      <c r="AV79" s="106">
        <v>0</v>
      </c>
      <c r="AW79" s="106">
        <v>0</v>
      </c>
      <c r="AX79" s="106">
        <v>0</v>
      </c>
      <c r="AY79" s="106">
        <v>0</v>
      </c>
      <c r="AZ79" s="106">
        <v>0</v>
      </c>
      <c r="BA79" s="106">
        <v>0</v>
      </c>
      <c r="BB79" s="106">
        <v>0</v>
      </c>
      <c r="BC79" s="106">
        <f t="shared" si="1073"/>
        <v>0</v>
      </c>
      <c r="BD79" s="16" t="str">
        <f t="shared" si="900"/>
        <v>Demo Vehicle Other Expenses</v>
      </c>
      <c r="BE79" s="106">
        <f>+VLOOKUP($BD79,'Jan-25'!$A:$J,5,0)</f>
        <v>0</v>
      </c>
      <c r="BF79" s="106">
        <f>+VLOOKUP($BD79,'Feb-25'!$A:$J,5,0)</f>
        <v>0</v>
      </c>
      <c r="BG79" s="106">
        <f>+VLOOKUP($BD79,'Mar-25'!$A:$J,5,0)</f>
        <v>0</v>
      </c>
      <c r="BH79" s="106">
        <f>+VLOOKUP($BD79,'Apr-25'!$A:$J,5,0)</f>
        <v>0</v>
      </c>
      <c r="BI79" s="106">
        <f>+VLOOKUP($BD79,'May-25'!$A:$J,5,0)</f>
        <v>0</v>
      </c>
      <c r="BJ79" s="106">
        <f>+VLOOKUP($BD79,'June-25'!$A:$J,5,0)</f>
        <v>0</v>
      </c>
      <c r="BK79" s="106">
        <f>+VLOOKUP($BD79,'July-25'!$A:$J,5,0)</f>
        <v>0</v>
      </c>
      <c r="BL79" s="106">
        <f>+VLOOKUP($BD79,'Aug-25'!$A:$J,5,0)</f>
        <v>0</v>
      </c>
      <c r="BM79" s="106">
        <f>+VLOOKUP($BD79,'Sep-25'!$A:$J,5,0)</f>
        <v>0</v>
      </c>
      <c r="BN79" s="106">
        <f>+VLOOKUP($BD79,'Oct-25'!$A:$J,5,0)</f>
        <v>0</v>
      </c>
      <c r="BO79" s="106">
        <f>+VLOOKUP($BD79,'Nov-25'!$A:$J,5,0)</f>
        <v>0</v>
      </c>
      <c r="BP79" s="106">
        <f>+VLOOKUP($BD79,'Dec-25'!$A:$J,5,0)</f>
        <v>0</v>
      </c>
      <c r="BQ79" s="106">
        <f t="shared" si="1065"/>
        <v>0</v>
      </c>
      <c r="BR79" s="118">
        <f t="shared" si="417"/>
        <v>0</v>
      </c>
      <c r="BS79" s="106">
        <f>+_xlfn.XLOOKUP($BD79,Budget!$A:$A,Budget!BD:BD)</f>
        <v>0</v>
      </c>
      <c r="BT79" s="106">
        <f>+_xlfn.XLOOKUP($BD79,Budget!$A:$A,Budget!BE:BE)</f>
        <v>0</v>
      </c>
      <c r="BU79" s="106">
        <f>+_xlfn.XLOOKUP($BD79,Budget!$A:$A,Budget!BF:BF)</f>
        <v>0</v>
      </c>
      <c r="BV79" s="106">
        <f>+_xlfn.XLOOKUP($BD79,Budget!$A:$A,Budget!BG:BG)</f>
        <v>0</v>
      </c>
      <c r="BW79" s="106">
        <f>+_xlfn.XLOOKUP($BD79,Budget!$A:$A,Budget!BH:BH)</f>
        <v>0</v>
      </c>
      <c r="BX79" s="106">
        <f>+_xlfn.XLOOKUP($BD79,Budget!$A:$A,Budget!BI:BI)</f>
        <v>0</v>
      </c>
      <c r="BY79" s="106">
        <f>+_xlfn.XLOOKUP($BD79,Budget!$A:$A,Budget!BJ:BJ)</f>
        <v>0</v>
      </c>
      <c r="BZ79" s="106">
        <f>+_xlfn.XLOOKUP($BD79,Budget!$A:$A,Budget!BK:BK)</f>
        <v>0</v>
      </c>
      <c r="CA79" s="106">
        <f>+_xlfn.XLOOKUP($BD79,Budget!$A:$A,Budget!BL:BL)</f>
        <v>0</v>
      </c>
      <c r="CB79" s="106">
        <f>+_xlfn.XLOOKUP($BD79,Budget!$A:$A,Budget!BM:BM)</f>
        <v>0</v>
      </c>
      <c r="CC79" s="106">
        <f>+_xlfn.XLOOKUP($BD79,Budget!$A:$A,Budget!BN:BN)</f>
        <v>0</v>
      </c>
      <c r="CD79" s="106">
        <f>+_xlfn.XLOOKUP($BD79,Budget!$A:$A,Budget!BO:BO)</f>
        <v>0</v>
      </c>
      <c r="CE79" s="106">
        <f t="shared" si="1074"/>
        <v>0</v>
      </c>
      <c r="CF79" s="106"/>
      <c r="CG79" s="106">
        <v>0</v>
      </c>
      <c r="CH79" s="106">
        <v>0</v>
      </c>
      <c r="CI79" s="106">
        <v>0</v>
      </c>
      <c r="CJ79" s="106">
        <v>0</v>
      </c>
      <c r="CK79" s="106">
        <v>0</v>
      </c>
      <c r="CL79" s="106">
        <v>0</v>
      </c>
      <c r="CM79" s="106">
        <v>0</v>
      </c>
      <c r="CN79" s="106">
        <v>0</v>
      </c>
      <c r="CO79" s="106">
        <v>0</v>
      </c>
      <c r="CP79" s="106">
        <v>0</v>
      </c>
      <c r="CQ79" s="106">
        <v>0</v>
      </c>
      <c r="CR79" s="106">
        <v>0</v>
      </c>
      <c r="CS79" s="106">
        <f t="shared" si="1075"/>
        <v>0</v>
      </c>
      <c r="CT79" s="16" t="str">
        <f t="shared" si="901"/>
        <v>Demo Vehicle Other Expenses</v>
      </c>
      <c r="CU79" s="106">
        <f>+VLOOKUP($BD79,'Jan-25'!$A:$J,8,0)</f>
        <v>0</v>
      </c>
      <c r="CV79" s="106">
        <f>+VLOOKUP($BD79,'Feb-25'!$A:$J,8,0)</f>
        <v>0</v>
      </c>
      <c r="CW79" s="106">
        <f>+VLOOKUP($BD79,'Mar-25'!$A:$J,8,0)</f>
        <v>0</v>
      </c>
      <c r="CX79" s="106">
        <f>+VLOOKUP($BD79,'Apr-25'!$A:$J,8,0)</f>
        <v>0</v>
      </c>
      <c r="CY79" s="106">
        <f>+VLOOKUP($BD79,'May-25'!$A:$J,8,0)</f>
        <v>0</v>
      </c>
      <c r="CZ79" s="106">
        <f>+VLOOKUP($BD79,'June-25'!$A:$J,8,0)</f>
        <v>0</v>
      </c>
      <c r="DA79" s="106">
        <f>+VLOOKUP($BD79,'July-25'!$A:$J,8,0)</f>
        <v>0</v>
      </c>
      <c r="DB79" s="106">
        <f>+VLOOKUP($BD79,'Aug-25'!$A:$J,8,0)</f>
        <v>0</v>
      </c>
      <c r="DC79" s="106">
        <f>+VLOOKUP($BD79,'Sep-25'!$A:$J,8,0)</f>
        <v>0</v>
      </c>
      <c r="DD79" s="106">
        <f>+VLOOKUP($BD79,'Oct-25'!$A:$J,8,0)</f>
        <v>0</v>
      </c>
      <c r="DE79" s="106">
        <f>+VLOOKUP($BD79,'Nov-25'!$A:$J,8,0)</f>
        <v>0</v>
      </c>
      <c r="DF79" s="106">
        <f>+VLOOKUP($BD79,'Dec-25'!$A:$J,8,0)</f>
        <v>0</v>
      </c>
      <c r="DG79" s="106">
        <f t="shared" si="1066"/>
        <v>0</v>
      </c>
      <c r="DH79" s="118">
        <f t="shared" si="421"/>
        <v>0</v>
      </c>
      <c r="DI79" s="106">
        <f>+_xlfn.XLOOKUP($CT79,Budget!$A:$A,Budget!CQ:CQ)</f>
        <v>0</v>
      </c>
      <c r="DJ79" s="106">
        <f>+_xlfn.XLOOKUP($CT79,Budget!$A:$A,Budget!CR:CR)</f>
        <v>0</v>
      </c>
      <c r="DK79" s="106">
        <f>+_xlfn.XLOOKUP($CT79,Budget!$A:$A,Budget!CS:CS)</f>
        <v>0</v>
      </c>
      <c r="DL79" s="106">
        <f>+_xlfn.XLOOKUP($CT79,Budget!$A:$A,Budget!CT:CT)</f>
        <v>0</v>
      </c>
      <c r="DM79" s="106">
        <f>+_xlfn.XLOOKUP($CT79,Budget!$A:$A,Budget!CU:CU)</f>
        <v>0</v>
      </c>
      <c r="DN79" s="106">
        <f>+_xlfn.XLOOKUP($CT79,Budget!$A:$A,Budget!CV:CV)</f>
        <v>0</v>
      </c>
      <c r="DO79" s="106">
        <f>+_xlfn.XLOOKUP($CT79,Budget!$A:$A,Budget!CW:CW)</f>
        <v>0</v>
      </c>
      <c r="DP79" s="106">
        <f>+_xlfn.XLOOKUP($CT79,Budget!$A:$A,Budget!CX:CX)</f>
        <v>0</v>
      </c>
      <c r="DQ79" s="106">
        <f>+_xlfn.XLOOKUP($CT79,Budget!$A:$A,Budget!CY:CY)</f>
        <v>0</v>
      </c>
      <c r="DR79" s="106">
        <f>+_xlfn.XLOOKUP($CT79,Budget!$A:$A,Budget!CZ:CZ)</f>
        <v>0</v>
      </c>
      <c r="DS79" s="106">
        <f>+_xlfn.XLOOKUP($CT79,Budget!$A:$A,Budget!DA:DA)</f>
        <v>0</v>
      </c>
      <c r="DT79" s="106">
        <f>+_xlfn.XLOOKUP($CT79,Budget!$A:$A,Budget!DB:DB)</f>
        <v>0</v>
      </c>
      <c r="DU79" s="106">
        <f t="shared" si="1076"/>
        <v>0</v>
      </c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106">
        <f t="shared" si="1077"/>
        <v>0</v>
      </c>
      <c r="EJ79" s="16" t="str">
        <f t="shared" si="966"/>
        <v>Demo Vehicle Other Expenses</v>
      </c>
      <c r="EK79" s="22">
        <f>+VLOOKUP($BD79,'Jan-25'!$A:$J,10,0)</f>
        <v>0</v>
      </c>
      <c r="EL79" s="22">
        <f>+VLOOKUP($BD79,'Feb-25'!$A:$J,10,0)</f>
        <v>0</v>
      </c>
      <c r="EM79" s="22">
        <f>+VLOOKUP($BD79,'Mar-25'!$A:$J,10,0)</f>
        <v>0</v>
      </c>
      <c r="EN79" s="22">
        <f>+VLOOKUP($BD79,'Apr-25'!$A:$J,10,0)</f>
        <v>0</v>
      </c>
      <c r="EO79" s="22">
        <f>+VLOOKUP($BD79,'May-25'!$A:$J,10,0)</f>
        <v>0</v>
      </c>
      <c r="EP79" s="22">
        <f>+VLOOKUP($BD79,'June-25'!$A:$J,10,0)</f>
        <v>0</v>
      </c>
      <c r="EQ79" s="22">
        <f>+VLOOKUP($BD79,'July-25'!$A:$J,10,0)</f>
        <v>0</v>
      </c>
      <c r="ER79" s="22">
        <f>+VLOOKUP($BD79,'Aug-25'!$A:$J,10,0)</f>
        <v>0</v>
      </c>
      <c r="ES79" s="22">
        <f>+VLOOKUP($BD79,'Sep-25'!$A:$J,10,0)</f>
        <v>0</v>
      </c>
      <c r="ET79" s="22">
        <f>+VLOOKUP($BD79,'Oct-25'!$A:$J,10,0)</f>
        <v>0</v>
      </c>
      <c r="EU79" s="22">
        <f>+VLOOKUP($BD79,'Nov-25'!$A:$J,10,0)</f>
        <v>0</v>
      </c>
      <c r="EV79" s="22">
        <f>+VLOOKUP($BD79,'Dec-25'!$A:$J,10,0)</f>
        <v>0</v>
      </c>
      <c r="EW79" s="22">
        <f t="shared" si="1067"/>
        <v>0</v>
      </c>
      <c r="EX79" s="118" t="e">
        <f t="shared" si="425"/>
        <v>#DIV/0!</v>
      </c>
      <c r="EY79" s="106">
        <f>+_xlfn.XLOOKUP($EJ79,Budget!$A:$A,Budget!DR:DR)</f>
        <v>0</v>
      </c>
      <c r="EZ79" s="106">
        <f>+_xlfn.XLOOKUP($EJ79,Budget!$A:$A,Budget!DS:DS)</f>
        <v>0</v>
      </c>
      <c r="FA79" s="106">
        <f>+_xlfn.XLOOKUP($EJ79,Budget!$A:$A,Budget!DT:DT)</f>
        <v>0</v>
      </c>
      <c r="FB79" s="106">
        <f>+_xlfn.XLOOKUP($EJ79,Budget!$A:$A,Budget!DU:DU)</f>
        <v>0</v>
      </c>
      <c r="FC79" s="106">
        <f>+_xlfn.XLOOKUP($EJ79,Budget!$A:$A,Budget!DV:DV)</f>
        <v>0</v>
      </c>
      <c r="FD79" s="106">
        <f>+_xlfn.XLOOKUP($EJ79,Budget!$A:$A,Budget!DW:DW)</f>
        <v>0</v>
      </c>
      <c r="FE79" s="106">
        <f>+_xlfn.XLOOKUP($EJ79,Budget!$A:$A,Budget!DX:DX)</f>
        <v>0</v>
      </c>
      <c r="FF79" s="106">
        <f>+_xlfn.XLOOKUP($EJ79,Budget!$A:$A,Budget!DY:DY)</f>
        <v>0</v>
      </c>
      <c r="FG79" s="106">
        <f>+_xlfn.XLOOKUP($EJ79,Budget!$A:$A,Budget!DZ:DZ)</f>
        <v>0</v>
      </c>
      <c r="FH79" s="106">
        <f>+_xlfn.XLOOKUP($EJ79,Budget!$A:$A,Budget!EA:EA)</f>
        <v>0</v>
      </c>
      <c r="FI79" s="106">
        <f>+_xlfn.XLOOKUP($EJ79,Budget!$A:$A,Budget!EB:EB)</f>
        <v>0</v>
      </c>
      <c r="FJ79" s="106">
        <f>+_xlfn.XLOOKUP($EJ79,Budget!$A:$A,Budget!EC:EC)</f>
        <v>0</v>
      </c>
      <c r="FK79" s="106">
        <f t="shared" si="1078"/>
        <v>0</v>
      </c>
    </row>
    <row r="80" spans="1:167" ht="14.45" hidden="1" customHeight="1" outlineLevel="2">
      <c r="A80" s="106">
        <f t="shared" si="1042"/>
        <v>0</v>
      </c>
      <c r="B80" s="106">
        <f t="shared" si="1042"/>
        <v>0</v>
      </c>
      <c r="C80" s="106">
        <f t="shared" si="1042"/>
        <v>0</v>
      </c>
      <c r="D80" s="106">
        <f t="shared" si="1042"/>
        <v>0</v>
      </c>
      <c r="E80" s="106">
        <f t="shared" si="1042"/>
        <v>0</v>
      </c>
      <c r="F80" s="106">
        <f t="shared" si="1042"/>
        <v>0</v>
      </c>
      <c r="G80" s="106">
        <f t="shared" si="1042"/>
        <v>0</v>
      </c>
      <c r="H80" s="106">
        <f t="shared" si="1042"/>
        <v>0</v>
      </c>
      <c r="I80" s="106">
        <f t="shared" si="1042"/>
        <v>0</v>
      </c>
      <c r="J80" s="106">
        <f t="shared" si="1042"/>
        <v>0</v>
      </c>
      <c r="K80" s="106">
        <f t="shared" si="1042"/>
        <v>0</v>
      </c>
      <c r="L80" s="106">
        <f t="shared" si="1042"/>
        <v>0</v>
      </c>
      <c r="M80" s="106">
        <f t="shared" si="1068"/>
        <v>0</v>
      </c>
      <c r="N80" s="16" t="s">
        <v>221</v>
      </c>
      <c r="O80" s="106">
        <f t="shared" si="1069"/>
        <v>0</v>
      </c>
      <c r="P80" s="106">
        <f t="shared" si="1043"/>
        <v>0</v>
      </c>
      <c r="Q80" s="106">
        <f t="shared" si="1044"/>
        <v>0</v>
      </c>
      <c r="R80" s="106">
        <f t="shared" si="1045"/>
        <v>0</v>
      </c>
      <c r="S80" s="106">
        <f t="shared" si="1046"/>
        <v>0</v>
      </c>
      <c r="T80" s="106">
        <f t="shared" si="1047"/>
        <v>0</v>
      </c>
      <c r="U80" s="106">
        <f t="shared" si="1048"/>
        <v>0</v>
      </c>
      <c r="V80" s="106">
        <f t="shared" si="1049"/>
        <v>0</v>
      </c>
      <c r="W80" s="106">
        <f t="shared" si="1050"/>
        <v>0</v>
      </c>
      <c r="X80" s="106">
        <f t="shared" si="1051"/>
        <v>0</v>
      </c>
      <c r="Y80" s="106">
        <f t="shared" si="1052"/>
        <v>0</v>
      </c>
      <c r="Z80" s="106">
        <f t="shared" si="1053"/>
        <v>0</v>
      </c>
      <c r="AA80" s="106">
        <f t="shared" si="1070"/>
        <v>0</v>
      </c>
      <c r="AB80" s="118">
        <f t="shared" si="401"/>
        <v>0</v>
      </c>
      <c r="AC80" s="106">
        <f t="shared" si="1071"/>
        <v>0</v>
      </c>
      <c r="AD80" s="106">
        <f t="shared" si="1054"/>
        <v>0</v>
      </c>
      <c r="AE80" s="106">
        <f t="shared" si="1055"/>
        <v>0</v>
      </c>
      <c r="AF80" s="106">
        <f t="shared" si="1056"/>
        <v>0</v>
      </c>
      <c r="AG80" s="106">
        <f t="shared" si="1057"/>
        <v>0</v>
      </c>
      <c r="AH80" s="106">
        <f t="shared" si="1058"/>
        <v>0</v>
      </c>
      <c r="AI80" s="106">
        <f t="shared" si="1059"/>
        <v>0</v>
      </c>
      <c r="AJ80" s="106">
        <f t="shared" si="1060"/>
        <v>0</v>
      </c>
      <c r="AK80" s="106">
        <f t="shared" si="1061"/>
        <v>0</v>
      </c>
      <c r="AL80" s="106">
        <f t="shared" si="1062"/>
        <v>0</v>
      </c>
      <c r="AM80" s="106">
        <f t="shared" si="1063"/>
        <v>0</v>
      </c>
      <c r="AN80" s="106">
        <f t="shared" si="1064"/>
        <v>0</v>
      </c>
      <c r="AO80" s="106">
        <f t="shared" si="1072"/>
        <v>0</v>
      </c>
      <c r="AQ80" s="106">
        <v>0</v>
      </c>
      <c r="AR80" s="106">
        <v>0</v>
      </c>
      <c r="AS80" s="106">
        <v>0</v>
      </c>
      <c r="AT80" s="106">
        <v>0</v>
      </c>
      <c r="AU80" s="106">
        <v>0</v>
      </c>
      <c r="AV80" s="106">
        <v>0</v>
      </c>
      <c r="AW80" s="106">
        <v>0</v>
      </c>
      <c r="AX80" s="106">
        <v>0</v>
      </c>
      <c r="AY80" s="106">
        <v>0</v>
      </c>
      <c r="AZ80" s="106">
        <v>0</v>
      </c>
      <c r="BA80" s="106">
        <v>0</v>
      </c>
      <c r="BB80" s="106">
        <v>0</v>
      </c>
      <c r="BC80" s="106">
        <f t="shared" si="1073"/>
        <v>0</v>
      </c>
      <c r="BD80" s="16" t="str">
        <f t="shared" si="900"/>
        <v>Demo Vehicle Repaire and Maintanence</v>
      </c>
      <c r="BE80" s="106">
        <f>+VLOOKUP($BD80,'Jan-25'!$A:$J,5,0)</f>
        <v>0</v>
      </c>
      <c r="BF80" s="106">
        <f>+VLOOKUP($BD80,'Feb-25'!$A:$J,5,0)</f>
        <v>0</v>
      </c>
      <c r="BG80" s="106">
        <f>+VLOOKUP($BD80,'Mar-25'!$A:$J,5,0)</f>
        <v>0</v>
      </c>
      <c r="BH80" s="106">
        <f>+VLOOKUP($BD80,'Apr-25'!$A:$J,5,0)</f>
        <v>0</v>
      </c>
      <c r="BI80" s="106">
        <f>+VLOOKUP($BD80,'May-25'!$A:$J,5,0)</f>
        <v>0</v>
      </c>
      <c r="BJ80" s="106">
        <f>+VLOOKUP($BD80,'June-25'!$A:$J,5,0)</f>
        <v>0</v>
      </c>
      <c r="BK80" s="106">
        <f>+VLOOKUP($BD80,'July-25'!$A:$J,5,0)</f>
        <v>0</v>
      </c>
      <c r="BL80" s="106">
        <f>+VLOOKUP($BD80,'Aug-25'!$A:$J,5,0)</f>
        <v>0</v>
      </c>
      <c r="BM80" s="106">
        <f>+VLOOKUP($BD80,'Sep-25'!$A:$J,5,0)</f>
        <v>0</v>
      </c>
      <c r="BN80" s="106">
        <f>+VLOOKUP($BD80,'Oct-25'!$A:$J,5,0)</f>
        <v>0</v>
      </c>
      <c r="BO80" s="106">
        <f>+VLOOKUP($BD80,'Nov-25'!$A:$J,5,0)</f>
        <v>0</v>
      </c>
      <c r="BP80" s="106">
        <f>+VLOOKUP($BD80,'Dec-25'!$A:$J,5,0)</f>
        <v>0</v>
      </c>
      <c r="BQ80" s="106">
        <f t="shared" si="1065"/>
        <v>0</v>
      </c>
      <c r="BR80" s="118">
        <f t="shared" si="417"/>
        <v>0</v>
      </c>
      <c r="BS80" s="106">
        <f>+_xlfn.XLOOKUP($BD80,Budget!$A:$A,Budget!BD:BD)</f>
        <v>0</v>
      </c>
      <c r="BT80" s="106">
        <f>+_xlfn.XLOOKUP($BD80,Budget!$A:$A,Budget!BE:BE)</f>
        <v>0</v>
      </c>
      <c r="BU80" s="106">
        <f>+_xlfn.XLOOKUP($BD80,Budget!$A:$A,Budget!BF:BF)</f>
        <v>0</v>
      </c>
      <c r="BV80" s="106">
        <f>+_xlfn.XLOOKUP($BD80,Budget!$A:$A,Budget!BG:BG)</f>
        <v>0</v>
      </c>
      <c r="BW80" s="106">
        <f>+_xlfn.XLOOKUP($BD80,Budget!$A:$A,Budget!BH:BH)</f>
        <v>0</v>
      </c>
      <c r="BX80" s="106">
        <f>+_xlfn.XLOOKUP($BD80,Budget!$A:$A,Budget!BI:BI)</f>
        <v>0</v>
      </c>
      <c r="BY80" s="106">
        <f>+_xlfn.XLOOKUP($BD80,Budget!$A:$A,Budget!BJ:BJ)</f>
        <v>0</v>
      </c>
      <c r="BZ80" s="106">
        <f>+_xlfn.XLOOKUP($BD80,Budget!$A:$A,Budget!BK:BK)</f>
        <v>0</v>
      </c>
      <c r="CA80" s="106">
        <f>+_xlfn.XLOOKUP($BD80,Budget!$A:$A,Budget!BL:BL)</f>
        <v>0</v>
      </c>
      <c r="CB80" s="106">
        <f>+_xlfn.XLOOKUP($BD80,Budget!$A:$A,Budget!BM:BM)</f>
        <v>0</v>
      </c>
      <c r="CC80" s="106">
        <f>+_xlfn.XLOOKUP($BD80,Budget!$A:$A,Budget!BN:BN)</f>
        <v>0</v>
      </c>
      <c r="CD80" s="106">
        <f>+_xlfn.XLOOKUP($BD80,Budget!$A:$A,Budget!BO:BO)</f>
        <v>0</v>
      </c>
      <c r="CE80" s="106">
        <f t="shared" si="1074"/>
        <v>0</v>
      </c>
      <c r="CF80" s="106"/>
      <c r="CG80" s="106">
        <v>0</v>
      </c>
      <c r="CH80" s="106">
        <v>0</v>
      </c>
      <c r="CI80" s="106">
        <v>0</v>
      </c>
      <c r="CJ80" s="106">
        <v>0</v>
      </c>
      <c r="CK80" s="106">
        <v>0</v>
      </c>
      <c r="CL80" s="106">
        <v>0</v>
      </c>
      <c r="CM80" s="106">
        <v>0</v>
      </c>
      <c r="CN80" s="106">
        <v>0</v>
      </c>
      <c r="CO80" s="106">
        <v>0</v>
      </c>
      <c r="CP80" s="106">
        <v>0</v>
      </c>
      <c r="CQ80" s="106">
        <v>0</v>
      </c>
      <c r="CR80" s="106">
        <v>0</v>
      </c>
      <c r="CS80" s="106">
        <f t="shared" si="1075"/>
        <v>0</v>
      </c>
      <c r="CT80" s="16" t="str">
        <f t="shared" si="901"/>
        <v>Demo Vehicle Repaire and Maintanence</v>
      </c>
      <c r="CU80" s="106">
        <f>+VLOOKUP($BD80,'Jan-25'!$A:$J,8,0)</f>
        <v>0</v>
      </c>
      <c r="CV80" s="106">
        <f>+VLOOKUP($BD80,'Feb-25'!$A:$J,8,0)</f>
        <v>0</v>
      </c>
      <c r="CW80" s="106">
        <f>+VLOOKUP($BD80,'Mar-25'!$A:$J,8,0)</f>
        <v>0</v>
      </c>
      <c r="CX80" s="106">
        <f>+VLOOKUP($BD80,'Apr-25'!$A:$J,8,0)</f>
        <v>0</v>
      </c>
      <c r="CY80" s="106">
        <f>+VLOOKUP($BD80,'May-25'!$A:$J,8,0)</f>
        <v>0</v>
      </c>
      <c r="CZ80" s="106">
        <f>+VLOOKUP($BD80,'June-25'!$A:$J,8,0)</f>
        <v>0</v>
      </c>
      <c r="DA80" s="106">
        <f>+VLOOKUP($BD80,'July-25'!$A:$J,8,0)</f>
        <v>0</v>
      </c>
      <c r="DB80" s="106">
        <f>+VLOOKUP($BD80,'Aug-25'!$A:$J,8,0)</f>
        <v>0</v>
      </c>
      <c r="DC80" s="106">
        <f>+VLOOKUP($BD80,'Sep-25'!$A:$J,8,0)</f>
        <v>0</v>
      </c>
      <c r="DD80" s="106">
        <f>+VLOOKUP($BD80,'Oct-25'!$A:$J,8,0)</f>
        <v>0</v>
      </c>
      <c r="DE80" s="106">
        <f>+VLOOKUP($BD80,'Nov-25'!$A:$J,8,0)</f>
        <v>0</v>
      </c>
      <c r="DF80" s="106">
        <f>+VLOOKUP($BD80,'Dec-25'!$A:$J,8,0)</f>
        <v>0</v>
      </c>
      <c r="DG80" s="106">
        <f t="shared" si="1066"/>
        <v>0</v>
      </c>
      <c r="DH80" s="118">
        <f t="shared" si="421"/>
        <v>0</v>
      </c>
      <c r="DI80" s="106">
        <f>+_xlfn.XLOOKUP($CT80,Budget!$A:$A,Budget!CQ:CQ)</f>
        <v>0</v>
      </c>
      <c r="DJ80" s="106">
        <f>+_xlfn.XLOOKUP($CT80,Budget!$A:$A,Budget!CR:CR)</f>
        <v>0</v>
      </c>
      <c r="DK80" s="106">
        <f>+_xlfn.XLOOKUP($CT80,Budget!$A:$A,Budget!CS:CS)</f>
        <v>0</v>
      </c>
      <c r="DL80" s="106">
        <f>+_xlfn.XLOOKUP($CT80,Budget!$A:$A,Budget!CT:CT)</f>
        <v>0</v>
      </c>
      <c r="DM80" s="106">
        <f>+_xlfn.XLOOKUP($CT80,Budget!$A:$A,Budget!CU:CU)</f>
        <v>0</v>
      </c>
      <c r="DN80" s="106">
        <f>+_xlfn.XLOOKUP($CT80,Budget!$A:$A,Budget!CV:CV)</f>
        <v>0</v>
      </c>
      <c r="DO80" s="106">
        <f>+_xlfn.XLOOKUP($CT80,Budget!$A:$A,Budget!CW:CW)</f>
        <v>0</v>
      </c>
      <c r="DP80" s="106">
        <f>+_xlfn.XLOOKUP($CT80,Budget!$A:$A,Budget!CX:CX)</f>
        <v>0</v>
      </c>
      <c r="DQ80" s="106">
        <f>+_xlfn.XLOOKUP($CT80,Budget!$A:$A,Budget!CY:CY)</f>
        <v>0</v>
      </c>
      <c r="DR80" s="106">
        <f>+_xlfn.XLOOKUP($CT80,Budget!$A:$A,Budget!CZ:CZ)</f>
        <v>0</v>
      </c>
      <c r="DS80" s="106">
        <f>+_xlfn.XLOOKUP($CT80,Budget!$A:$A,Budget!DA:DA)</f>
        <v>0</v>
      </c>
      <c r="DT80" s="106">
        <f>+_xlfn.XLOOKUP($CT80,Budget!$A:$A,Budget!DB:DB)</f>
        <v>0</v>
      </c>
      <c r="DU80" s="106">
        <f t="shared" si="1076"/>
        <v>0</v>
      </c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106">
        <f t="shared" si="1077"/>
        <v>0</v>
      </c>
      <c r="EJ80" s="16" t="str">
        <f t="shared" si="966"/>
        <v>Demo Vehicle Repaire and Maintanence</v>
      </c>
      <c r="EK80" s="22">
        <f>+VLOOKUP($BD80,'Jan-25'!$A:$J,10,0)</f>
        <v>0</v>
      </c>
      <c r="EL80" s="22">
        <f>+VLOOKUP($BD80,'Feb-25'!$A:$J,10,0)</f>
        <v>0</v>
      </c>
      <c r="EM80" s="22">
        <f>+VLOOKUP($BD80,'Mar-25'!$A:$J,10,0)</f>
        <v>0</v>
      </c>
      <c r="EN80" s="22">
        <f>+VLOOKUP($BD80,'Apr-25'!$A:$J,10,0)</f>
        <v>0</v>
      </c>
      <c r="EO80" s="22">
        <f>+VLOOKUP($BD80,'May-25'!$A:$J,10,0)</f>
        <v>0</v>
      </c>
      <c r="EP80" s="22">
        <f>+VLOOKUP($BD80,'June-25'!$A:$J,10,0)</f>
        <v>0</v>
      </c>
      <c r="EQ80" s="22">
        <f>+VLOOKUP($BD80,'July-25'!$A:$J,10,0)</f>
        <v>0</v>
      </c>
      <c r="ER80" s="22">
        <f>+VLOOKUP($BD80,'Aug-25'!$A:$J,10,0)</f>
        <v>0</v>
      </c>
      <c r="ES80" s="22">
        <f>+VLOOKUP($BD80,'Sep-25'!$A:$J,10,0)</f>
        <v>0</v>
      </c>
      <c r="ET80" s="22">
        <f>+VLOOKUP($BD80,'Oct-25'!$A:$J,10,0)</f>
        <v>0</v>
      </c>
      <c r="EU80" s="22">
        <f>+VLOOKUP($BD80,'Nov-25'!$A:$J,10,0)</f>
        <v>0</v>
      </c>
      <c r="EV80" s="22">
        <f>+VLOOKUP($BD80,'Dec-25'!$A:$J,10,0)</f>
        <v>0</v>
      </c>
      <c r="EW80" s="22">
        <f t="shared" si="1067"/>
        <v>0</v>
      </c>
      <c r="EX80" s="118" t="e">
        <f t="shared" si="425"/>
        <v>#DIV/0!</v>
      </c>
      <c r="EY80" s="106">
        <f>+_xlfn.XLOOKUP($EJ80,Budget!$A:$A,Budget!DR:DR)</f>
        <v>0</v>
      </c>
      <c r="EZ80" s="106">
        <f>+_xlfn.XLOOKUP($EJ80,Budget!$A:$A,Budget!DS:DS)</f>
        <v>0</v>
      </c>
      <c r="FA80" s="106">
        <f>+_xlfn.XLOOKUP($EJ80,Budget!$A:$A,Budget!DT:DT)</f>
        <v>0</v>
      </c>
      <c r="FB80" s="106">
        <f>+_xlfn.XLOOKUP($EJ80,Budget!$A:$A,Budget!DU:DU)</f>
        <v>0</v>
      </c>
      <c r="FC80" s="106">
        <f>+_xlfn.XLOOKUP($EJ80,Budget!$A:$A,Budget!DV:DV)</f>
        <v>0</v>
      </c>
      <c r="FD80" s="106">
        <f>+_xlfn.XLOOKUP($EJ80,Budget!$A:$A,Budget!DW:DW)</f>
        <v>0</v>
      </c>
      <c r="FE80" s="106">
        <f>+_xlfn.XLOOKUP($EJ80,Budget!$A:$A,Budget!DX:DX)</f>
        <v>0</v>
      </c>
      <c r="FF80" s="106">
        <f>+_xlfn.XLOOKUP($EJ80,Budget!$A:$A,Budget!DY:DY)</f>
        <v>0</v>
      </c>
      <c r="FG80" s="106">
        <f>+_xlfn.XLOOKUP($EJ80,Budget!$A:$A,Budget!DZ:DZ)</f>
        <v>0</v>
      </c>
      <c r="FH80" s="106">
        <f>+_xlfn.XLOOKUP($EJ80,Budget!$A:$A,Budget!EA:EA)</f>
        <v>0</v>
      </c>
      <c r="FI80" s="106">
        <f>+_xlfn.XLOOKUP($EJ80,Budget!$A:$A,Budget!EB:EB)</f>
        <v>0</v>
      </c>
      <c r="FJ80" s="106">
        <f>+_xlfn.XLOOKUP($EJ80,Budget!$A:$A,Budget!EC:EC)</f>
        <v>0</v>
      </c>
      <c r="FK80" s="106">
        <f t="shared" si="1078"/>
        <v>0</v>
      </c>
    </row>
    <row r="81" spans="1:167" ht="14.45" hidden="1" customHeight="1" outlineLevel="2">
      <c r="A81" s="106">
        <f t="shared" si="1042"/>
        <v>0</v>
      </c>
      <c r="B81" s="106">
        <f t="shared" si="1042"/>
        <v>0</v>
      </c>
      <c r="C81" s="106">
        <f t="shared" si="1042"/>
        <v>0</v>
      </c>
      <c r="D81" s="106">
        <f t="shared" si="1042"/>
        <v>0</v>
      </c>
      <c r="E81" s="106">
        <f t="shared" si="1042"/>
        <v>0</v>
      </c>
      <c r="F81" s="106">
        <f t="shared" si="1042"/>
        <v>0</v>
      </c>
      <c r="G81" s="106">
        <f t="shared" si="1042"/>
        <v>0</v>
      </c>
      <c r="H81" s="106">
        <f t="shared" si="1042"/>
        <v>0</v>
      </c>
      <c r="I81" s="106">
        <f t="shared" si="1042"/>
        <v>0</v>
      </c>
      <c r="J81" s="106">
        <f t="shared" si="1042"/>
        <v>0</v>
      </c>
      <c r="K81" s="106">
        <f t="shared" si="1042"/>
        <v>0</v>
      </c>
      <c r="L81" s="106">
        <f t="shared" si="1042"/>
        <v>0</v>
      </c>
      <c r="M81" s="106">
        <f t="shared" si="1068"/>
        <v>0</v>
      </c>
      <c r="N81" s="16" t="s">
        <v>65</v>
      </c>
      <c r="O81" s="106">
        <f t="shared" si="1069"/>
        <v>0</v>
      </c>
      <c r="P81" s="106">
        <f t="shared" si="1043"/>
        <v>0</v>
      </c>
      <c r="Q81" s="106">
        <f t="shared" si="1044"/>
        <v>0</v>
      </c>
      <c r="R81" s="106">
        <f t="shared" si="1045"/>
        <v>0</v>
      </c>
      <c r="S81" s="106">
        <f t="shared" si="1046"/>
        <v>0</v>
      </c>
      <c r="T81" s="106">
        <f t="shared" si="1047"/>
        <v>0</v>
      </c>
      <c r="U81" s="106">
        <f t="shared" si="1048"/>
        <v>0</v>
      </c>
      <c r="V81" s="106">
        <f t="shared" si="1049"/>
        <v>0</v>
      </c>
      <c r="W81" s="106">
        <f t="shared" si="1050"/>
        <v>0</v>
      </c>
      <c r="X81" s="106">
        <f t="shared" si="1051"/>
        <v>150000</v>
      </c>
      <c r="Y81" s="106">
        <f t="shared" si="1052"/>
        <v>0</v>
      </c>
      <c r="Z81" s="106">
        <f t="shared" si="1053"/>
        <v>0</v>
      </c>
      <c r="AA81" s="106">
        <f t="shared" si="1070"/>
        <v>150000</v>
      </c>
      <c r="AB81" s="118">
        <f t="shared" si="401"/>
        <v>0</v>
      </c>
      <c r="AC81" s="106">
        <f t="shared" si="1071"/>
        <v>0</v>
      </c>
      <c r="AD81" s="106">
        <f t="shared" si="1054"/>
        <v>0</v>
      </c>
      <c r="AE81" s="106">
        <f t="shared" si="1055"/>
        <v>0</v>
      </c>
      <c r="AF81" s="106">
        <f t="shared" si="1056"/>
        <v>0</v>
      </c>
      <c r="AG81" s="106">
        <f t="shared" si="1057"/>
        <v>0</v>
      </c>
      <c r="AH81" s="106">
        <f t="shared" si="1058"/>
        <v>0</v>
      </c>
      <c r="AI81" s="106">
        <f t="shared" si="1059"/>
        <v>0</v>
      </c>
      <c r="AJ81" s="106">
        <f t="shared" si="1060"/>
        <v>0</v>
      </c>
      <c r="AK81" s="106">
        <f t="shared" si="1061"/>
        <v>0</v>
      </c>
      <c r="AL81" s="106">
        <f t="shared" si="1062"/>
        <v>0</v>
      </c>
      <c r="AM81" s="106">
        <f t="shared" si="1063"/>
        <v>0</v>
      </c>
      <c r="AN81" s="106">
        <f t="shared" si="1064"/>
        <v>0</v>
      </c>
      <c r="AO81" s="106">
        <f t="shared" si="1072"/>
        <v>0</v>
      </c>
      <c r="AQ81" s="106">
        <v>0</v>
      </c>
      <c r="AR81" s="106">
        <v>0</v>
      </c>
      <c r="AS81" s="106">
        <v>0</v>
      </c>
      <c r="AT81" s="106">
        <v>0</v>
      </c>
      <c r="AU81" s="106">
        <v>0</v>
      </c>
      <c r="AV81" s="106">
        <v>0</v>
      </c>
      <c r="AW81" s="106">
        <v>0</v>
      </c>
      <c r="AX81" s="106">
        <v>0</v>
      </c>
      <c r="AY81" s="106">
        <v>0</v>
      </c>
      <c r="AZ81" s="106">
        <v>0</v>
      </c>
      <c r="BA81" s="106">
        <v>0</v>
      </c>
      <c r="BB81" s="106">
        <v>0</v>
      </c>
      <c r="BC81" s="106">
        <f t="shared" si="1073"/>
        <v>0</v>
      </c>
      <c r="BD81" s="16" t="str">
        <f t="shared" si="900"/>
        <v>Discount Customer Service</v>
      </c>
      <c r="BE81" s="106">
        <f>+VLOOKUP($BD81,'Jan-25'!$A:$J,5,0)</f>
        <v>0</v>
      </c>
      <c r="BF81" s="106">
        <f>+VLOOKUP($BD81,'Feb-25'!$A:$J,5,0)</f>
        <v>0</v>
      </c>
      <c r="BG81" s="106">
        <f>+VLOOKUP($BD81,'Mar-25'!$A:$J,5,0)</f>
        <v>0</v>
      </c>
      <c r="BH81" s="106">
        <f>+VLOOKUP($BD81,'Apr-25'!$A:$J,5,0)</f>
        <v>0</v>
      </c>
      <c r="BI81" s="106">
        <f>+VLOOKUP($BD81,'May-25'!$A:$J,5,0)</f>
        <v>0</v>
      </c>
      <c r="BJ81" s="106">
        <f>+VLOOKUP($BD81,'June-25'!$A:$J,5,0)</f>
        <v>0</v>
      </c>
      <c r="BK81" s="106">
        <f>+VLOOKUP($BD81,'July-25'!$A:$J,5,0)</f>
        <v>0</v>
      </c>
      <c r="BL81" s="106">
        <f>+VLOOKUP($BD81,'Aug-25'!$A:$J,5,0)</f>
        <v>0</v>
      </c>
      <c r="BM81" s="106">
        <f>+VLOOKUP($BD81,'Sep-25'!$A:$J,5,0)</f>
        <v>0</v>
      </c>
      <c r="BN81" s="106">
        <f>+VLOOKUP($BD81,'Oct-25'!$A:$J,5,0)</f>
        <v>75000</v>
      </c>
      <c r="BO81" s="106">
        <f>+VLOOKUP($BD81,'Nov-25'!$A:$J,5,0)</f>
        <v>0</v>
      </c>
      <c r="BP81" s="106">
        <f>+VLOOKUP($BD81,'Dec-25'!$A:$J,5,0)</f>
        <v>0</v>
      </c>
      <c r="BQ81" s="106">
        <f t="shared" si="1065"/>
        <v>75000</v>
      </c>
      <c r="BR81" s="118">
        <f t="shared" si="417"/>
        <v>0</v>
      </c>
      <c r="BS81" s="106">
        <f>+_xlfn.XLOOKUP($BD81,Budget!$A:$A,Budget!BD:BD)</f>
        <v>0</v>
      </c>
      <c r="BT81" s="106">
        <f>+_xlfn.XLOOKUP($BD81,Budget!$A:$A,Budget!BE:BE)</f>
        <v>0</v>
      </c>
      <c r="BU81" s="106">
        <f>+_xlfn.XLOOKUP($BD81,Budget!$A:$A,Budget!BF:BF)</f>
        <v>0</v>
      </c>
      <c r="BV81" s="106">
        <f>+_xlfn.XLOOKUP($BD81,Budget!$A:$A,Budget!BG:BG)</f>
        <v>0</v>
      </c>
      <c r="BW81" s="106">
        <f>+_xlfn.XLOOKUP($BD81,Budget!$A:$A,Budget!BH:BH)</f>
        <v>0</v>
      </c>
      <c r="BX81" s="106">
        <f>+_xlfn.XLOOKUP($BD81,Budget!$A:$A,Budget!BI:BI)</f>
        <v>0</v>
      </c>
      <c r="BY81" s="106">
        <f>+_xlfn.XLOOKUP($BD81,Budget!$A:$A,Budget!BJ:BJ)</f>
        <v>0</v>
      </c>
      <c r="BZ81" s="106">
        <f>+_xlfn.XLOOKUP($BD81,Budget!$A:$A,Budget!BK:BK)</f>
        <v>0</v>
      </c>
      <c r="CA81" s="106">
        <f>+_xlfn.XLOOKUP($BD81,Budget!$A:$A,Budget!BL:BL)</f>
        <v>0</v>
      </c>
      <c r="CB81" s="106">
        <f>+_xlfn.XLOOKUP($BD81,Budget!$A:$A,Budget!BM:BM)</f>
        <v>0</v>
      </c>
      <c r="CC81" s="106">
        <f>+_xlfn.XLOOKUP($BD81,Budget!$A:$A,Budget!BN:BN)</f>
        <v>0</v>
      </c>
      <c r="CD81" s="106">
        <f>+_xlfn.XLOOKUP($BD81,Budget!$A:$A,Budget!BO:BO)</f>
        <v>0</v>
      </c>
      <c r="CE81" s="106">
        <f t="shared" si="1074"/>
        <v>0</v>
      </c>
      <c r="CF81" s="106"/>
      <c r="CG81" s="106">
        <v>0</v>
      </c>
      <c r="CH81" s="106">
        <v>0</v>
      </c>
      <c r="CI81" s="106">
        <v>0</v>
      </c>
      <c r="CJ81" s="106">
        <v>0</v>
      </c>
      <c r="CK81" s="106">
        <v>0</v>
      </c>
      <c r="CL81" s="106">
        <v>0</v>
      </c>
      <c r="CM81" s="106">
        <v>0</v>
      </c>
      <c r="CN81" s="106">
        <v>0</v>
      </c>
      <c r="CO81" s="106">
        <v>0</v>
      </c>
      <c r="CP81" s="106">
        <v>0</v>
      </c>
      <c r="CQ81" s="106">
        <v>0</v>
      </c>
      <c r="CR81" s="106">
        <v>0</v>
      </c>
      <c r="CS81" s="106">
        <f t="shared" si="1075"/>
        <v>0</v>
      </c>
      <c r="CT81" s="16" t="str">
        <f t="shared" si="901"/>
        <v>Discount Customer Service</v>
      </c>
      <c r="CU81" s="106">
        <f>+VLOOKUP($BD81,'Jan-25'!$A:$J,8,0)</f>
        <v>0</v>
      </c>
      <c r="CV81" s="106">
        <f>+VLOOKUP($BD81,'Feb-25'!$A:$J,8,0)</f>
        <v>0</v>
      </c>
      <c r="CW81" s="106">
        <f>+VLOOKUP($BD81,'Mar-25'!$A:$J,8,0)</f>
        <v>0</v>
      </c>
      <c r="CX81" s="106">
        <f>+VLOOKUP($BD81,'Apr-25'!$A:$J,8,0)</f>
        <v>0</v>
      </c>
      <c r="CY81" s="106">
        <f>+VLOOKUP($BD81,'May-25'!$A:$J,8,0)</f>
        <v>0</v>
      </c>
      <c r="CZ81" s="106">
        <f>+VLOOKUP($BD81,'June-25'!$A:$J,8,0)</f>
        <v>0</v>
      </c>
      <c r="DA81" s="106">
        <f>+VLOOKUP($BD81,'July-25'!$A:$J,8,0)</f>
        <v>0</v>
      </c>
      <c r="DB81" s="106">
        <f>+VLOOKUP($BD81,'Aug-25'!$A:$J,8,0)</f>
        <v>0</v>
      </c>
      <c r="DC81" s="106">
        <f>+VLOOKUP($BD81,'Sep-25'!$A:$J,8,0)</f>
        <v>0</v>
      </c>
      <c r="DD81" s="106">
        <f>+VLOOKUP($BD81,'Oct-25'!$A:$J,8,0)</f>
        <v>75000</v>
      </c>
      <c r="DE81" s="106">
        <f>+VLOOKUP($BD81,'Nov-25'!$A:$J,8,0)</f>
        <v>0</v>
      </c>
      <c r="DF81" s="106">
        <f>+VLOOKUP($BD81,'Dec-25'!$A:$J,8,0)</f>
        <v>0</v>
      </c>
      <c r="DG81" s="106">
        <f t="shared" si="1066"/>
        <v>75000</v>
      </c>
      <c r="DH81" s="118">
        <f t="shared" si="421"/>
        <v>0</v>
      </c>
      <c r="DI81" s="106">
        <f>+_xlfn.XLOOKUP($CT81,Budget!$A:$A,Budget!CQ:CQ)</f>
        <v>0</v>
      </c>
      <c r="DJ81" s="106">
        <f>+_xlfn.XLOOKUP($CT81,Budget!$A:$A,Budget!CR:CR)</f>
        <v>0</v>
      </c>
      <c r="DK81" s="106">
        <f>+_xlfn.XLOOKUP($CT81,Budget!$A:$A,Budget!CS:CS)</f>
        <v>0</v>
      </c>
      <c r="DL81" s="106">
        <f>+_xlfn.XLOOKUP($CT81,Budget!$A:$A,Budget!CT:CT)</f>
        <v>0</v>
      </c>
      <c r="DM81" s="106">
        <f>+_xlfn.XLOOKUP($CT81,Budget!$A:$A,Budget!CU:CU)</f>
        <v>0</v>
      </c>
      <c r="DN81" s="106">
        <f>+_xlfn.XLOOKUP($CT81,Budget!$A:$A,Budget!CV:CV)</f>
        <v>0</v>
      </c>
      <c r="DO81" s="106">
        <f>+_xlfn.XLOOKUP($CT81,Budget!$A:$A,Budget!CW:CW)</f>
        <v>0</v>
      </c>
      <c r="DP81" s="106">
        <f>+_xlfn.XLOOKUP($CT81,Budget!$A:$A,Budget!CX:CX)</f>
        <v>0</v>
      </c>
      <c r="DQ81" s="106">
        <f>+_xlfn.XLOOKUP($CT81,Budget!$A:$A,Budget!CY:CY)</f>
        <v>0</v>
      </c>
      <c r="DR81" s="106">
        <f>+_xlfn.XLOOKUP($CT81,Budget!$A:$A,Budget!CZ:CZ)</f>
        <v>0</v>
      </c>
      <c r="DS81" s="106">
        <f>+_xlfn.XLOOKUP($CT81,Budget!$A:$A,Budget!DA:DA)</f>
        <v>0</v>
      </c>
      <c r="DT81" s="106">
        <f>+_xlfn.XLOOKUP($CT81,Budget!$A:$A,Budget!DB:DB)</f>
        <v>0</v>
      </c>
      <c r="DU81" s="106">
        <f t="shared" si="1076"/>
        <v>0</v>
      </c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106">
        <f t="shared" si="1077"/>
        <v>0</v>
      </c>
      <c r="EJ81" s="16" t="str">
        <f t="shared" si="966"/>
        <v>Discount Customer Service</v>
      </c>
      <c r="EK81" s="22">
        <f>+VLOOKUP($BD81,'Jan-25'!$A:$J,10,0)</f>
        <v>0</v>
      </c>
      <c r="EL81" s="22">
        <f>+VLOOKUP($BD81,'Feb-25'!$A:$J,10,0)</f>
        <v>0</v>
      </c>
      <c r="EM81" s="22">
        <f>+VLOOKUP($BD81,'Mar-25'!$A:$J,10,0)</f>
        <v>0</v>
      </c>
      <c r="EN81" s="22">
        <f>+VLOOKUP($BD81,'Apr-25'!$A:$J,10,0)</f>
        <v>0</v>
      </c>
      <c r="EO81" s="22">
        <f>+VLOOKUP($BD81,'May-25'!$A:$J,10,0)</f>
        <v>0</v>
      </c>
      <c r="EP81" s="22">
        <f>+VLOOKUP($BD81,'June-25'!$A:$J,10,0)</f>
        <v>0</v>
      </c>
      <c r="EQ81" s="22">
        <f>+VLOOKUP($BD81,'July-25'!$A:$J,10,0)</f>
        <v>0</v>
      </c>
      <c r="ER81" s="22">
        <f>+VLOOKUP($BD81,'Aug-25'!$A:$J,10,0)</f>
        <v>0</v>
      </c>
      <c r="ES81" s="22">
        <f>+VLOOKUP($BD81,'Sep-25'!$A:$J,10,0)</f>
        <v>0</v>
      </c>
      <c r="ET81" s="22">
        <f>+VLOOKUP($BD81,'Oct-25'!$A:$J,10,0)</f>
        <v>0</v>
      </c>
      <c r="EU81" s="22">
        <f>+VLOOKUP($BD81,'Nov-25'!$A:$J,10,0)</f>
        <v>0</v>
      </c>
      <c r="EV81" s="22">
        <f>+VLOOKUP($BD81,'Dec-25'!$A:$J,10,0)</f>
        <v>0</v>
      </c>
      <c r="EW81" s="22">
        <f t="shared" si="1067"/>
        <v>0</v>
      </c>
      <c r="EX81" s="118" t="e">
        <f t="shared" si="425"/>
        <v>#DIV/0!</v>
      </c>
      <c r="EY81" s="106">
        <f>+_xlfn.XLOOKUP($EJ81,Budget!$A:$A,Budget!DR:DR)</f>
        <v>0</v>
      </c>
      <c r="EZ81" s="106">
        <f>+_xlfn.XLOOKUP($EJ81,Budget!$A:$A,Budget!DS:DS)</f>
        <v>0</v>
      </c>
      <c r="FA81" s="106">
        <f>+_xlfn.XLOOKUP($EJ81,Budget!$A:$A,Budget!DT:DT)</f>
        <v>0</v>
      </c>
      <c r="FB81" s="106">
        <f>+_xlfn.XLOOKUP($EJ81,Budget!$A:$A,Budget!DU:DU)</f>
        <v>0</v>
      </c>
      <c r="FC81" s="106">
        <f>+_xlfn.XLOOKUP($EJ81,Budget!$A:$A,Budget!DV:DV)</f>
        <v>0</v>
      </c>
      <c r="FD81" s="106">
        <f>+_xlfn.XLOOKUP($EJ81,Budget!$A:$A,Budget!DW:DW)</f>
        <v>0</v>
      </c>
      <c r="FE81" s="106">
        <f>+_xlfn.XLOOKUP($EJ81,Budget!$A:$A,Budget!DX:DX)</f>
        <v>0</v>
      </c>
      <c r="FF81" s="106">
        <f>+_xlfn.XLOOKUP($EJ81,Budget!$A:$A,Budget!DY:DY)</f>
        <v>0</v>
      </c>
      <c r="FG81" s="106">
        <f>+_xlfn.XLOOKUP($EJ81,Budget!$A:$A,Budget!DZ:DZ)</f>
        <v>0</v>
      </c>
      <c r="FH81" s="106">
        <f>+_xlfn.XLOOKUP($EJ81,Budget!$A:$A,Budget!EA:EA)</f>
        <v>0</v>
      </c>
      <c r="FI81" s="106">
        <f>+_xlfn.XLOOKUP($EJ81,Budget!$A:$A,Budget!EB:EB)</f>
        <v>0</v>
      </c>
      <c r="FJ81" s="106">
        <f>+_xlfn.XLOOKUP($EJ81,Budget!$A:$A,Budget!EC:EC)</f>
        <v>0</v>
      </c>
      <c r="FK81" s="106">
        <f t="shared" si="1078"/>
        <v>0</v>
      </c>
    </row>
    <row r="82" spans="1:167" ht="14.45" hidden="1" customHeight="1" outlineLevel="2">
      <c r="A82" s="106">
        <f t="shared" si="1042"/>
        <v>17484</v>
      </c>
      <c r="B82" s="106">
        <f t="shared" si="1042"/>
        <v>13308</v>
      </c>
      <c r="C82" s="106">
        <f t="shared" si="1042"/>
        <v>26023</v>
      </c>
      <c r="D82" s="106">
        <f t="shared" si="1042"/>
        <v>6146</v>
      </c>
      <c r="E82" s="106">
        <f t="shared" si="1042"/>
        <v>4475.78</v>
      </c>
      <c r="F82" s="106">
        <f t="shared" si="1042"/>
        <v>9656</v>
      </c>
      <c r="G82" s="106">
        <f t="shared" si="1042"/>
        <v>23609</v>
      </c>
      <c r="H82" s="106">
        <f t="shared" si="1042"/>
        <v>10996</v>
      </c>
      <c r="I82" s="106">
        <f t="shared" si="1042"/>
        <v>8193.9</v>
      </c>
      <c r="J82" s="106">
        <f t="shared" si="1042"/>
        <v>21978</v>
      </c>
      <c r="K82" s="106">
        <f t="shared" si="1042"/>
        <v>28862</v>
      </c>
      <c r="L82" s="106">
        <f t="shared" si="1042"/>
        <v>30364</v>
      </c>
      <c r="M82" s="106">
        <f t="shared" si="1068"/>
        <v>201095.67999999999</v>
      </c>
      <c r="N82" s="16" t="s">
        <v>66</v>
      </c>
      <c r="O82" s="106">
        <f t="shared" si="1069"/>
        <v>19927</v>
      </c>
      <c r="P82" s="106">
        <f t="shared" si="1043"/>
        <v>10243</v>
      </c>
      <c r="Q82" s="106">
        <f t="shared" si="1044"/>
        <v>19597.72</v>
      </c>
      <c r="R82" s="106">
        <f t="shared" si="1045"/>
        <v>9543</v>
      </c>
      <c r="S82" s="106">
        <f t="shared" si="1046"/>
        <v>10787</v>
      </c>
      <c r="T82" s="106">
        <f t="shared" si="1047"/>
        <v>16130</v>
      </c>
      <c r="U82" s="106">
        <f t="shared" si="1048"/>
        <v>33972</v>
      </c>
      <c r="V82" s="106">
        <f t="shared" si="1049"/>
        <v>27253</v>
      </c>
      <c r="W82" s="106">
        <f t="shared" si="1050"/>
        <v>18127.14</v>
      </c>
      <c r="X82" s="106">
        <f t="shared" si="1051"/>
        <v>38050.51</v>
      </c>
      <c r="Y82" s="106">
        <f t="shared" si="1052"/>
        <v>0</v>
      </c>
      <c r="Z82" s="106">
        <f t="shared" si="1053"/>
        <v>0</v>
      </c>
      <c r="AA82" s="106">
        <f t="shared" si="1070"/>
        <v>203630.37</v>
      </c>
      <c r="AB82" s="118">
        <f t="shared" si="401"/>
        <v>1.5367006666666667</v>
      </c>
      <c r="AC82" s="106">
        <f t="shared" si="1071"/>
        <v>15000</v>
      </c>
      <c r="AD82" s="106">
        <f t="shared" si="1054"/>
        <v>15000</v>
      </c>
      <c r="AE82" s="106">
        <f t="shared" si="1055"/>
        <v>15000</v>
      </c>
      <c r="AF82" s="106">
        <f t="shared" si="1056"/>
        <v>15000</v>
      </c>
      <c r="AG82" s="106">
        <f t="shared" si="1057"/>
        <v>15000</v>
      </c>
      <c r="AH82" s="106">
        <f t="shared" si="1058"/>
        <v>15000</v>
      </c>
      <c r="AI82" s="106">
        <f t="shared" si="1059"/>
        <v>15000</v>
      </c>
      <c r="AJ82" s="106">
        <f t="shared" si="1060"/>
        <v>15000</v>
      </c>
      <c r="AK82" s="106">
        <f t="shared" si="1061"/>
        <v>15000</v>
      </c>
      <c r="AL82" s="106">
        <f t="shared" si="1062"/>
        <v>15000</v>
      </c>
      <c r="AM82" s="106">
        <f t="shared" si="1063"/>
        <v>15000</v>
      </c>
      <c r="AN82" s="106">
        <f t="shared" si="1064"/>
        <v>15000</v>
      </c>
      <c r="AO82" s="106">
        <f t="shared" si="1072"/>
        <v>180000</v>
      </c>
      <c r="AQ82" s="106">
        <v>17484</v>
      </c>
      <c r="AR82" s="106">
        <v>13308</v>
      </c>
      <c r="AS82" s="106">
        <v>26023</v>
      </c>
      <c r="AT82" s="106">
        <v>6146</v>
      </c>
      <c r="AU82" s="106">
        <v>4475.78</v>
      </c>
      <c r="AV82" s="106">
        <v>9656</v>
      </c>
      <c r="AW82" s="106">
        <v>23609</v>
      </c>
      <c r="AX82" s="106">
        <v>10996</v>
      </c>
      <c r="AY82" s="106">
        <v>8193.9</v>
      </c>
      <c r="AZ82" s="106">
        <v>21978</v>
      </c>
      <c r="BA82" s="106">
        <v>28862</v>
      </c>
      <c r="BB82" s="106">
        <v>30364</v>
      </c>
      <c r="BC82" s="106">
        <f t="shared" si="1073"/>
        <v>201095.67999999999</v>
      </c>
      <c r="BD82" s="16" t="str">
        <f t="shared" si="900"/>
        <v>Discount Insurance</v>
      </c>
      <c r="BE82" s="106">
        <f>+VLOOKUP($BD82,'Jan-25'!$A:$J,5,0)</f>
        <v>19417</v>
      </c>
      <c r="BF82" s="106">
        <f>+VLOOKUP($BD82,'Feb-25'!$A:$J,5,0)</f>
        <v>10243</v>
      </c>
      <c r="BG82" s="106">
        <f>+VLOOKUP($BD82,'Mar-25'!$A:$J,5,0)</f>
        <v>19597.72</v>
      </c>
      <c r="BH82" s="106">
        <f>+VLOOKUP($BD82,'Apr-25'!$A:$J,5,0)</f>
        <v>9543</v>
      </c>
      <c r="BI82" s="106">
        <f>+VLOOKUP($BD82,'May-25'!$A:$J,5,0)</f>
        <v>10787</v>
      </c>
      <c r="BJ82" s="106">
        <f>+VLOOKUP($BD82,'June-25'!$A:$J,5,0)</f>
        <v>16130</v>
      </c>
      <c r="BK82" s="106">
        <f>+VLOOKUP($BD82,'July-25'!$A:$J,5,0)</f>
        <v>33972</v>
      </c>
      <c r="BL82" s="106">
        <f>+VLOOKUP($BD82,'Aug-25'!$A:$J,5,0)</f>
        <v>27253</v>
      </c>
      <c r="BM82" s="106">
        <f>+VLOOKUP($BD82,'Sep-25'!$A:$J,5,0)</f>
        <v>18127.14</v>
      </c>
      <c r="BN82" s="106">
        <f>+VLOOKUP($BD82,'Oct-25'!$A:$J,5,0)</f>
        <v>38050.51</v>
      </c>
      <c r="BO82" s="106">
        <f>+VLOOKUP($BD82,'Nov-25'!$A:$J,5,0)</f>
        <v>0</v>
      </c>
      <c r="BP82" s="106">
        <f>+VLOOKUP($BD82,'Dec-25'!$A:$J,5,0)</f>
        <v>0</v>
      </c>
      <c r="BQ82" s="106">
        <f t="shared" si="1065"/>
        <v>203120.37</v>
      </c>
      <c r="BR82" s="118">
        <f t="shared" si="417"/>
        <v>1.5367006666666667</v>
      </c>
      <c r="BS82" s="106">
        <f>+_xlfn.XLOOKUP($BD82,Budget!$A:$A,Budget!BD:BD)</f>
        <v>15000</v>
      </c>
      <c r="BT82" s="106">
        <f>+_xlfn.XLOOKUP($BD82,Budget!$A:$A,Budget!BE:BE)</f>
        <v>15000</v>
      </c>
      <c r="BU82" s="106">
        <f>+_xlfn.XLOOKUP($BD82,Budget!$A:$A,Budget!BF:BF)</f>
        <v>15000</v>
      </c>
      <c r="BV82" s="106">
        <f>+_xlfn.XLOOKUP($BD82,Budget!$A:$A,Budget!BG:BG)</f>
        <v>15000</v>
      </c>
      <c r="BW82" s="106">
        <f>+_xlfn.XLOOKUP($BD82,Budget!$A:$A,Budget!BH:BH)</f>
        <v>15000</v>
      </c>
      <c r="BX82" s="106">
        <f>+_xlfn.XLOOKUP($BD82,Budget!$A:$A,Budget!BI:BI)</f>
        <v>15000</v>
      </c>
      <c r="BY82" s="106">
        <f>+_xlfn.XLOOKUP($BD82,Budget!$A:$A,Budget!BJ:BJ)</f>
        <v>15000</v>
      </c>
      <c r="BZ82" s="106">
        <f>+_xlfn.XLOOKUP($BD82,Budget!$A:$A,Budget!BK:BK)</f>
        <v>15000</v>
      </c>
      <c r="CA82" s="106">
        <f>+_xlfn.XLOOKUP($BD82,Budget!$A:$A,Budget!BL:BL)</f>
        <v>15000</v>
      </c>
      <c r="CB82" s="106">
        <f>+_xlfn.XLOOKUP($BD82,Budget!$A:$A,Budget!BM:BM)</f>
        <v>15000</v>
      </c>
      <c r="CC82" s="106">
        <f>+_xlfn.XLOOKUP($BD82,Budget!$A:$A,Budget!BN:BN)</f>
        <v>15000</v>
      </c>
      <c r="CD82" s="106">
        <f>+_xlfn.XLOOKUP($BD82,Budget!$A:$A,Budget!BO:BO)</f>
        <v>15000</v>
      </c>
      <c r="CE82" s="106">
        <f t="shared" si="1074"/>
        <v>180000</v>
      </c>
      <c r="CF82" s="106"/>
      <c r="CG82" s="106">
        <v>0</v>
      </c>
      <c r="CH82" s="106">
        <v>0</v>
      </c>
      <c r="CI82" s="106">
        <v>0</v>
      </c>
      <c r="CJ82" s="106">
        <v>0</v>
      </c>
      <c r="CK82" s="106">
        <v>0</v>
      </c>
      <c r="CL82" s="106">
        <v>0</v>
      </c>
      <c r="CM82" s="106">
        <v>0</v>
      </c>
      <c r="CN82" s="106">
        <v>0</v>
      </c>
      <c r="CO82" s="106">
        <v>0</v>
      </c>
      <c r="CP82" s="106">
        <v>0</v>
      </c>
      <c r="CQ82" s="106">
        <v>0</v>
      </c>
      <c r="CR82" s="106">
        <v>0</v>
      </c>
      <c r="CS82" s="106">
        <f t="shared" si="1075"/>
        <v>0</v>
      </c>
      <c r="CT82" s="16" t="str">
        <f t="shared" si="901"/>
        <v>Discount Insurance</v>
      </c>
      <c r="CU82" s="106">
        <f>+VLOOKUP($BD82,'Jan-25'!$A:$J,8,0)</f>
        <v>510</v>
      </c>
      <c r="CV82" s="106">
        <f>+VLOOKUP($BD82,'Feb-25'!$A:$J,8,0)</f>
        <v>0</v>
      </c>
      <c r="CW82" s="106">
        <f>+VLOOKUP($BD82,'Mar-25'!$A:$J,8,0)</f>
        <v>0</v>
      </c>
      <c r="CX82" s="106">
        <f>+VLOOKUP($BD82,'Apr-25'!$A:$J,8,0)</f>
        <v>0</v>
      </c>
      <c r="CY82" s="106">
        <f>+VLOOKUP($BD82,'May-25'!$A:$J,8,0)</f>
        <v>0</v>
      </c>
      <c r="CZ82" s="106">
        <f>+VLOOKUP($BD82,'June-25'!$A:$J,8,0)</f>
        <v>0</v>
      </c>
      <c r="DA82" s="106">
        <f>+VLOOKUP($BD82,'July-25'!$A:$J,8,0)</f>
        <v>0</v>
      </c>
      <c r="DB82" s="106">
        <f>+VLOOKUP($BD82,'Aug-25'!$A:$J,8,0)</f>
        <v>0</v>
      </c>
      <c r="DC82" s="106">
        <f>+VLOOKUP($BD82,'Sep-25'!$A:$J,8,0)</f>
        <v>0</v>
      </c>
      <c r="DD82" s="106">
        <f>+VLOOKUP($BD82,'Oct-25'!$A:$J,8,0)</f>
        <v>0</v>
      </c>
      <c r="DE82" s="106">
        <f>+VLOOKUP($BD82,'Nov-25'!$A:$J,8,0)</f>
        <v>0</v>
      </c>
      <c r="DF82" s="106">
        <f>+VLOOKUP($BD82,'Dec-25'!$A:$J,8,0)</f>
        <v>0</v>
      </c>
      <c r="DG82" s="106">
        <f t="shared" si="1066"/>
        <v>510</v>
      </c>
      <c r="DH82" s="118">
        <f t="shared" si="421"/>
        <v>0</v>
      </c>
      <c r="DI82" s="106">
        <f>+_xlfn.XLOOKUP($CT82,Budget!$A:$A,Budget!CQ:CQ)</f>
        <v>0</v>
      </c>
      <c r="DJ82" s="106">
        <f>+_xlfn.XLOOKUP($CT82,Budget!$A:$A,Budget!CR:CR)</f>
        <v>0</v>
      </c>
      <c r="DK82" s="106">
        <f>+_xlfn.XLOOKUP($CT82,Budget!$A:$A,Budget!CS:CS)</f>
        <v>0</v>
      </c>
      <c r="DL82" s="106">
        <f>+_xlfn.XLOOKUP($CT82,Budget!$A:$A,Budget!CT:CT)</f>
        <v>0</v>
      </c>
      <c r="DM82" s="106">
        <f>+_xlfn.XLOOKUP($CT82,Budget!$A:$A,Budget!CU:CU)</f>
        <v>0</v>
      </c>
      <c r="DN82" s="106">
        <f>+_xlfn.XLOOKUP($CT82,Budget!$A:$A,Budget!CV:CV)</f>
        <v>0</v>
      </c>
      <c r="DO82" s="106">
        <f>+_xlfn.XLOOKUP($CT82,Budget!$A:$A,Budget!CW:CW)</f>
        <v>0</v>
      </c>
      <c r="DP82" s="106">
        <f>+_xlfn.XLOOKUP($CT82,Budget!$A:$A,Budget!CX:CX)</f>
        <v>0</v>
      </c>
      <c r="DQ82" s="106">
        <f>+_xlfn.XLOOKUP($CT82,Budget!$A:$A,Budget!CY:CY)</f>
        <v>0</v>
      </c>
      <c r="DR82" s="106">
        <f>+_xlfn.XLOOKUP($CT82,Budget!$A:$A,Budget!CZ:CZ)</f>
        <v>0</v>
      </c>
      <c r="DS82" s="106">
        <f>+_xlfn.XLOOKUP($CT82,Budget!$A:$A,Budget!DA:DA)</f>
        <v>0</v>
      </c>
      <c r="DT82" s="106">
        <f>+_xlfn.XLOOKUP($CT82,Budget!$A:$A,Budget!DB:DB)</f>
        <v>0</v>
      </c>
      <c r="DU82" s="106">
        <f t="shared" si="1076"/>
        <v>0</v>
      </c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106">
        <f t="shared" si="1077"/>
        <v>0</v>
      </c>
      <c r="EJ82" s="16" t="str">
        <f t="shared" si="966"/>
        <v>Discount Insurance</v>
      </c>
      <c r="EK82" s="22">
        <f>+VLOOKUP($BD82,'Jan-25'!$A:$J,10,0)</f>
        <v>0</v>
      </c>
      <c r="EL82" s="22">
        <f>+VLOOKUP($BD82,'Feb-25'!$A:$J,10,0)</f>
        <v>0</v>
      </c>
      <c r="EM82" s="22">
        <f>+VLOOKUP($BD82,'Mar-25'!$A:$J,10,0)</f>
        <v>0</v>
      </c>
      <c r="EN82" s="22">
        <f>+VLOOKUP($BD82,'Apr-25'!$A:$J,10,0)</f>
        <v>0</v>
      </c>
      <c r="EO82" s="22">
        <f>+VLOOKUP($BD82,'May-25'!$A:$J,10,0)</f>
        <v>0</v>
      </c>
      <c r="EP82" s="22">
        <f>+VLOOKUP($BD82,'June-25'!$A:$J,10,0)</f>
        <v>0</v>
      </c>
      <c r="EQ82" s="22">
        <f>+VLOOKUP($BD82,'July-25'!$A:$J,10,0)</f>
        <v>0</v>
      </c>
      <c r="ER82" s="22">
        <f>+VLOOKUP($BD82,'Aug-25'!$A:$J,10,0)</f>
        <v>0</v>
      </c>
      <c r="ES82" s="22">
        <f>+VLOOKUP($BD82,'Sep-25'!$A:$J,10,0)</f>
        <v>0</v>
      </c>
      <c r="ET82" s="22">
        <f>+VLOOKUP($BD82,'Oct-25'!$A:$J,10,0)</f>
        <v>0</v>
      </c>
      <c r="EU82" s="22">
        <f>+VLOOKUP($BD82,'Nov-25'!$A:$J,10,0)</f>
        <v>0</v>
      </c>
      <c r="EV82" s="22">
        <f>+VLOOKUP($BD82,'Dec-25'!$A:$J,10,0)</f>
        <v>0</v>
      </c>
      <c r="EW82" s="22">
        <f t="shared" si="1067"/>
        <v>0</v>
      </c>
      <c r="EX82" s="118" t="e">
        <f t="shared" si="425"/>
        <v>#DIV/0!</v>
      </c>
      <c r="EY82" s="106">
        <f>+_xlfn.XLOOKUP($EJ82,Budget!$A:$A,Budget!DR:DR)</f>
        <v>0</v>
      </c>
      <c r="EZ82" s="106">
        <f>+_xlfn.XLOOKUP($EJ82,Budget!$A:$A,Budget!DS:DS)</f>
        <v>0</v>
      </c>
      <c r="FA82" s="106">
        <f>+_xlfn.XLOOKUP($EJ82,Budget!$A:$A,Budget!DT:DT)</f>
        <v>0</v>
      </c>
      <c r="FB82" s="106">
        <f>+_xlfn.XLOOKUP($EJ82,Budget!$A:$A,Budget!DU:DU)</f>
        <v>0</v>
      </c>
      <c r="FC82" s="106">
        <f>+_xlfn.XLOOKUP($EJ82,Budget!$A:$A,Budget!DV:DV)</f>
        <v>0</v>
      </c>
      <c r="FD82" s="106">
        <f>+_xlfn.XLOOKUP($EJ82,Budget!$A:$A,Budget!DW:DW)</f>
        <v>0</v>
      </c>
      <c r="FE82" s="106">
        <f>+_xlfn.XLOOKUP($EJ82,Budget!$A:$A,Budget!DX:DX)</f>
        <v>0</v>
      </c>
      <c r="FF82" s="106">
        <f>+_xlfn.XLOOKUP($EJ82,Budget!$A:$A,Budget!DY:DY)</f>
        <v>0</v>
      </c>
      <c r="FG82" s="106">
        <f>+_xlfn.XLOOKUP($EJ82,Budget!$A:$A,Budget!DZ:DZ)</f>
        <v>0</v>
      </c>
      <c r="FH82" s="106">
        <f>+_xlfn.XLOOKUP($EJ82,Budget!$A:$A,Budget!EA:EA)</f>
        <v>0</v>
      </c>
      <c r="FI82" s="106">
        <f>+_xlfn.XLOOKUP($EJ82,Budget!$A:$A,Budget!EB:EB)</f>
        <v>0</v>
      </c>
      <c r="FJ82" s="106">
        <f>+_xlfn.XLOOKUP($EJ82,Budget!$A:$A,Budget!EC:EC)</f>
        <v>0</v>
      </c>
      <c r="FK82" s="106">
        <f t="shared" si="1078"/>
        <v>0</v>
      </c>
    </row>
    <row r="83" spans="1:167" ht="14.45" hidden="1" customHeight="1" outlineLevel="2">
      <c r="A83" s="106">
        <f t="shared" si="1042"/>
        <v>0</v>
      </c>
      <c r="B83" s="106">
        <f t="shared" si="1042"/>
        <v>0</v>
      </c>
      <c r="C83" s="106">
        <f t="shared" si="1042"/>
        <v>0</v>
      </c>
      <c r="D83" s="106">
        <f t="shared" si="1042"/>
        <v>0</v>
      </c>
      <c r="E83" s="106">
        <f t="shared" si="1042"/>
        <v>0</v>
      </c>
      <c r="F83" s="106">
        <f t="shared" si="1042"/>
        <v>0</v>
      </c>
      <c r="G83" s="106">
        <f t="shared" si="1042"/>
        <v>0</v>
      </c>
      <c r="H83" s="106">
        <f t="shared" si="1042"/>
        <v>0</v>
      </c>
      <c r="I83" s="106">
        <f t="shared" si="1042"/>
        <v>0</v>
      </c>
      <c r="J83" s="106">
        <f t="shared" si="1042"/>
        <v>0</v>
      </c>
      <c r="K83" s="106">
        <f t="shared" si="1042"/>
        <v>0</v>
      </c>
      <c r="L83" s="106">
        <f t="shared" si="1042"/>
        <v>0</v>
      </c>
      <c r="M83" s="106">
        <f t="shared" si="1068"/>
        <v>0</v>
      </c>
      <c r="N83" s="16" t="s">
        <v>67</v>
      </c>
      <c r="O83" s="106">
        <f t="shared" si="1069"/>
        <v>0</v>
      </c>
      <c r="P83" s="106">
        <f t="shared" si="1043"/>
        <v>0</v>
      </c>
      <c r="Q83" s="106">
        <f t="shared" si="1044"/>
        <v>0</v>
      </c>
      <c r="R83" s="106">
        <f t="shared" si="1045"/>
        <v>0</v>
      </c>
      <c r="S83" s="106">
        <f t="shared" si="1046"/>
        <v>0</v>
      </c>
      <c r="T83" s="106">
        <f t="shared" si="1047"/>
        <v>0</v>
      </c>
      <c r="U83" s="106">
        <f t="shared" si="1048"/>
        <v>0</v>
      </c>
      <c r="V83" s="106">
        <f t="shared" si="1049"/>
        <v>0</v>
      </c>
      <c r="W83" s="106">
        <f t="shared" si="1050"/>
        <v>0</v>
      </c>
      <c r="X83" s="106">
        <f t="shared" si="1051"/>
        <v>0</v>
      </c>
      <c r="Y83" s="106">
        <f t="shared" si="1052"/>
        <v>0</v>
      </c>
      <c r="Z83" s="106">
        <f t="shared" si="1053"/>
        <v>0</v>
      </c>
      <c r="AA83" s="106">
        <f t="shared" si="1070"/>
        <v>0</v>
      </c>
      <c r="AB83" s="118">
        <f t="shared" si="401"/>
        <v>0</v>
      </c>
      <c r="AC83" s="106">
        <f t="shared" si="1071"/>
        <v>0</v>
      </c>
      <c r="AD83" s="106">
        <f t="shared" si="1054"/>
        <v>0</v>
      </c>
      <c r="AE83" s="106">
        <f t="shared" si="1055"/>
        <v>0</v>
      </c>
      <c r="AF83" s="106">
        <f t="shared" si="1056"/>
        <v>0</v>
      </c>
      <c r="AG83" s="106">
        <f t="shared" si="1057"/>
        <v>0</v>
      </c>
      <c r="AH83" s="106">
        <f t="shared" si="1058"/>
        <v>0</v>
      </c>
      <c r="AI83" s="106">
        <f t="shared" si="1059"/>
        <v>0</v>
      </c>
      <c r="AJ83" s="106">
        <f t="shared" si="1060"/>
        <v>0</v>
      </c>
      <c r="AK83" s="106">
        <f t="shared" si="1061"/>
        <v>0</v>
      </c>
      <c r="AL83" s="106">
        <f t="shared" si="1062"/>
        <v>0</v>
      </c>
      <c r="AM83" s="106">
        <f t="shared" si="1063"/>
        <v>0</v>
      </c>
      <c r="AN83" s="106">
        <f t="shared" si="1064"/>
        <v>0</v>
      </c>
      <c r="AO83" s="106">
        <f t="shared" si="1072"/>
        <v>0</v>
      </c>
      <c r="AQ83" s="106">
        <v>0</v>
      </c>
      <c r="AR83" s="106">
        <v>0</v>
      </c>
      <c r="AS83" s="106">
        <v>0</v>
      </c>
      <c r="AT83" s="106">
        <v>0</v>
      </c>
      <c r="AU83" s="106">
        <v>0</v>
      </c>
      <c r="AV83" s="106">
        <v>0</v>
      </c>
      <c r="AW83" s="106">
        <v>0</v>
      </c>
      <c r="AX83" s="106">
        <v>0</v>
      </c>
      <c r="AY83" s="106">
        <v>0</v>
      </c>
      <c r="AZ83" s="106">
        <v>0</v>
      </c>
      <c r="BA83" s="106">
        <v>0</v>
      </c>
      <c r="BB83" s="106">
        <v>0</v>
      </c>
      <c r="BC83" s="106">
        <f t="shared" si="1073"/>
        <v>0</v>
      </c>
      <c r="BD83" s="16" t="str">
        <f t="shared" si="900"/>
        <v>Discount New Car</v>
      </c>
      <c r="BE83" s="106">
        <f>+VLOOKUP($BD83,'Jan-25'!$A:$J,5,0)</f>
        <v>0</v>
      </c>
      <c r="BF83" s="106">
        <f>+VLOOKUP($BD83,'Feb-25'!$A:$J,5,0)</f>
        <v>0</v>
      </c>
      <c r="BG83" s="106">
        <f>+VLOOKUP($BD83,'Mar-25'!$A:$J,5,0)</f>
        <v>0</v>
      </c>
      <c r="BH83" s="106">
        <f>+VLOOKUP($BD83,'Apr-25'!$A:$J,5,0)</f>
        <v>0</v>
      </c>
      <c r="BI83" s="106">
        <f>+VLOOKUP($BD83,'May-25'!$A:$J,5,0)</f>
        <v>0</v>
      </c>
      <c r="BJ83" s="106">
        <f>+VLOOKUP($BD83,'June-25'!$A:$J,5,0)</f>
        <v>0</v>
      </c>
      <c r="BK83" s="106">
        <f>+VLOOKUP($BD83,'July-25'!$A:$J,5,0)</f>
        <v>0</v>
      </c>
      <c r="BL83" s="106">
        <f>+VLOOKUP($BD83,'Aug-25'!$A:$J,5,0)</f>
        <v>0</v>
      </c>
      <c r="BM83" s="106">
        <f>+VLOOKUP($BD83,'Sep-25'!$A:$J,5,0)</f>
        <v>0</v>
      </c>
      <c r="BN83" s="106">
        <f>+VLOOKUP($BD83,'Oct-25'!$A:$J,5,0)</f>
        <v>0</v>
      </c>
      <c r="BO83" s="106">
        <f>+VLOOKUP($BD83,'Nov-25'!$A:$J,5,0)</f>
        <v>0</v>
      </c>
      <c r="BP83" s="106">
        <f>+VLOOKUP($BD83,'Dec-25'!$A:$J,5,0)</f>
        <v>0</v>
      </c>
      <c r="BQ83" s="106">
        <f t="shared" si="1065"/>
        <v>0</v>
      </c>
      <c r="BR83" s="118">
        <f t="shared" si="417"/>
        <v>0</v>
      </c>
      <c r="BS83" s="106">
        <f>+_xlfn.XLOOKUP($BD83,Budget!$A:$A,Budget!BD:BD)</f>
        <v>0</v>
      </c>
      <c r="BT83" s="106">
        <f>+_xlfn.XLOOKUP($BD83,Budget!$A:$A,Budget!BE:BE)</f>
        <v>0</v>
      </c>
      <c r="BU83" s="106">
        <f>+_xlfn.XLOOKUP($BD83,Budget!$A:$A,Budget!BF:BF)</f>
        <v>0</v>
      </c>
      <c r="BV83" s="106">
        <f>+_xlfn.XLOOKUP($BD83,Budget!$A:$A,Budget!BG:BG)</f>
        <v>0</v>
      </c>
      <c r="BW83" s="106">
        <f>+_xlfn.XLOOKUP($BD83,Budget!$A:$A,Budget!BH:BH)</f>
        <v>0</v>
      </c>
      <c r="BX83" s="106">
        <f>+_xlfn.XLOOKUP($BD83,Budget!$A:$A,Budget!BI:BI)</f>
        <v>0</v>
      </c>
      <c r="BY83" s="106">
        <f>+_xlfn.XLOOKUP($BD83,Budget!$A:$A,Budget!BJ:BJ)</f>
        <v>0</v>
      </c>
      <c r="BZ83" s="106">
        <f>+_xlfn.XLOOKUP($BD83,Budget!$A:$A,Budget!BK:BK)</f>
        <v>0</v>
      </c>
      <c r="CA83" s="106">
        <f>+_xlfn.XLOOKUP($BD83,Budget!$A:$A,Budget!BL:BL)</f>
        <v>0</v>
      </c>
      <c r="CB83" s="106">
        <f>+_xlfn.XLOOKUP($BD83,Budget!$A:$A,Budget!BM:BM)</f>
        <v>0</v>
      </c>
      <c r="CC83" s="106">
        <f>+_xlfn.XLOOKUP($BD83,Budget!$A:$A,Budget!BN:BN)</f>
        <v>0</v>
      </c>
      <c r="CD83" s="106">
        <f>+_xlfn.XLOOKUP($BD83,Budget!$A:$A,Budget!BO:BO)</f>
        <v>0</v>
      </c>
      <c r="CE83" s="106">
        <f t="shared" si="1074"/>
        <v>0</v>
      </c>
      <c r="CF83" s="106"/>
      <c r="CG83" s="106">
        <v>0</v>
      </c>
      <c r="CH83" s="106">
        <v>0</v>
      </c>
      <c r="CI83" s="106">
        <v>0</v>
      </c>
      <c r="CJ83" s="106">
        <v>0</v>
      </c>
      <c r="CK83" s="106">
        <v>0</v>
      </c>
      <c r="CL83" s="106">
        <v>0</v>
      </c>
      <c r="CM83" s="106">
        <v>0</v>
      </c>
      <c r="CN83" s="106">
        <v>0</v>
      </c>
      <c r="CO83" s="106">
        <v>0</v>
      </c>
      <c r="CP83" s="106">
        <v>0</v>
      </c>
      <c r="CQ83" s="106">
        <v>0</v>
      </c>
      <c r="CR83" s="106">
        <v>0</v>
      </c>
      <c r="CS83" s="106">
        <f t="shared" si="1075"/>
        <v>0</v>
      </c>
      <c r="CT83" s="16" t="str">
        <f t="shared" si="901"/>
        <v>Discount New Car</v>
      </c>
      <c r="CU83" s="106">
        <f>+VLOOKUP($BD83,'Jan-25'!$A:$J,8,0)</f>
        <v>0</v>
      </c>
      <c r="CV83" s="106">
        <f>+VLOOKUP($BD83,'Feb-25'!$A:$J,8,0)</f>
        <v>0</v>
      </c>
      <c r="CW83" s="106">
        <f>+VLOOKUP($BD83,'Mar-25'!$A:$J,8,0)</f>
        <v>0</v>
      </c>
      <c r="CX83" s="106">
        <f>+VLOOKUP($BD83,'Apr-25'!$A:$J,8,0)</f>
        <v>0</v>
      </c>
      <c r="CY83" s="106">
        <f>+VLOOKUP($BD83,'May-25'!$A:$J,8,0)</f>
        <v>0</v>
      </c>
      <c r="CZ83" s="106">
        <f>+VLOOKUP($BD83,'June-25'!$A:$J,8,0)</f>
        <v>0</v>
      </c>
      <c r="DA83" s="106">
        <f>+VLOOKUP($BD83,'July-25'!$A:$J,8,0)</f>
        <v>0</v>
      </c>
      <c r="DB83" s="106">
        <f>+VLOOKUP($BD83,'Aug-25'!$A:$J,8,0)</f>
        <v>0</v>
      </c>
      <c r="DC83" s="106">
        <f>+VLOOKUP($BD83,'Sep-25'!$A:$J,8,0)</f>
        <v>0</v>
      </c>
      <c r="DD83" s="106">
        <f>+VLOOKUP($BD83,'Oct-25'!$A:$J,8,0)</f>
        <v>0</v>
      </c>
      <c r="DE83" s="106">
        <f>+VLOOKUP($BD83,'Nov-25'!$A:$J,8,0)</f>
        <v>0</v>
      </c>
      <c r="DF83" s="106">
        <f>+VLOOKUP($BD83,'Dec-25'!$A:$J,8,0)</f>
        <v>0</v>
      </c>
      <c r="DG83" s="106">
        <f t="shared" si="1066"/>
        <v>0</v>
      </c>
      <c r="DH83" s="118">
        <f t="shared" si="421"/>
        <v>0</v>
      </c>
      <c r="DI83" s="106">
        <f>+_xlfn.XLOOKUP($CT83,Budget!$A:$A,Budget!CQ:CQ)</f>
        <v>0</v>
      </c>
      <c r="DJ83" s="106">
        <f>+_xlfn.XLOOKUP($CT83,Budget!$A:$A,Budget!CR:CR)</f>
        <v>0</v>
      </c>
      <c r="DK83" s="106">
        <f>+_xlfn.XLOOKUP($CT83,Budget!$A:$A,Budget!CS:CS)</f>
        <v>0</v>
      </c>
      <c r="DL83" s="106">
        <f>+_xlfn.XLOOKUP($CT83,Budget!$A:$A,Budget!CT:CT)</f>
        <v>0</v>
      </c>
      <c r="DM83" s="106">
        <f>+_xlfn.XLOOKUP($CT83,Budget!$A:$A,Budget!CU:CU)</f>
        <v>0</v>
      </c>
      <c r="DN83" s="106">
        <f>+_xlfn.XLOOKUP($CT83,Budget!$A:$A,Budget!CV:CV)</f>
        <v>0</v>
      </c>
      <c r="DO83" s="106">
        <f>+_xlfn.XLOOKUP($CT83,Budget!$A:$A,Budget!CW:CW)</f>
        <v>0</v>
      </c>
      <c r="DP83" s="106">
        <f>+_xlfn.XLOOKUP($CT83,Budget!$A:$A,Budget!CX:CX)</f>
        <v>0</v>
      </c>
      <c r="DQ83" s="106">
        <f>+_xlfn.XLOOKUP($CT83,Budget!$A:$A,Budget!CY:CY)</f>
        <v>0</v>
      </c>
      <c r="DR83" s="106">
        <f>+_xlfn.XLOOKUP($CT83,Budget!$A:$A,Budget!CZ:CZ)</f>
        <v>0</v>
      </c>
      <c r="DS83" s="106">
        <f>+_xlfn.XLOOKUP($CT83,Budget!$A:$A,Budget!DA:DA)</f>
        <v>0</v>
      </c>
      <c r="DT83" s="106">
        <f>+_xlfn.XLOOKUP($CT83,Budget!$A:$A,Budget!DB:DB)</f>
        <v>0</v>
      </c>
      <c r="DU83" s="106">
        <f t="shared" si="1076"/>
        <v>0</v>
      </c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106">
        <f t="shared" si="1077"/>
        <v>0</v>
      </c>
      <c r="EJ83" s="16" t="str">
        <f t="shared" si="966"/>
        <v>Discount New Car</v>
      </c>
      <c r="EK83" s="22">
        <f>+VLOOKUP($BD83,'Jan-25'!$A:$J,10,0)</f>
        <v>0</v>
      </c>
      <c r="EL83" s="22">
        <f>+VLOOKUP($BD83,'Feb-25'!$A:$J,10,0)</f>
        <v>0</v>
      </c>
      <c r="EM83" s="22">
        <f>+VLOOKUP($BD83,'Mar-25'!$A:$J,10,0)</f>
        <v>0</v>
      </c>
      <c r="EN83" s="22">
        <f>+VLOOKUP($BD83,'Apr-25'!$A:$J,10,0)</f>
        <v>0</v>
      </c>
      <c r="EO83" s="22">
        <f>+VLOOKUP($BD83,'May-25'!$A:$J,10,0)</f>
        <v>0</v>
      </c>
      <c r="EP83" s="22">
        <f>+VLOOKUP($BD83,'June-25'!$A:$J,10,0)</f>
        <v>0</v>
      </c>
      <c r="EQ83" s="22">
        <f>+VLOOKUP($BD83,'July-25'!$A:$J,10,0)</f>
        <v>0</v>
      </c>
      <c r="ER83" s="22">
        <f>+VLOOKUP($BD83,'Aug-25'!$A:$J,10,0)</f>
        <v>0</v>
      </c>
      <c r="ES83" s="22">
        <f>+VLOOKUP($BD83,'Sep-25'!$A:$J,10,0)</f>
        <v>0</v>
      </c>
      <c r="ET83" s="22">
        <f>+VLOOKUP($BD83,'Oct-25'!$A:$J,10,0)</f>
        <v>0</v>
      </c>
      <c r="EU83" s="22">
        <f>+VLOOKUP($BD83,'Nov-25'!$A:$J,10,0)</f>
        <v>0</v>
      </c>
      <c r="EV83" s="22">
        <f>+VLOOKUP($BD83,'Dec-25'!$A:$J,10,0)</f>
        <v>0</v>
      </c>
      <c r="EW83" s="22">
        <f t="shared" si="1067"/>
        <v>0</v>
      </c>
      <c r="EX83" s="118" t="e">
        <f t="shared" si="425"/>
        <v>#DIV/0!</v>
      </c>
      <c r="EY83" s="106">
        <f>+_xlfn.XLOOKUP($EJ83,Budget!$A:$A,Budget!DR:DR)</f>
        <v>0</v>
      </c>
      <c r="EZ83" s="106">
        <f>+_xlfn.XLOOKUP($EJ83,Budget!$A:$A,Budget!DS:DS)</f>
        <v>0</v>
      </c>
      <c r="FA83" s="106">
        <f>+_xlfn.XLOOKUP($EJ83,Budget!$A:$A,Budget!DT:DT)</f>
        <v>0</v>
      </c>
      <c r="FB83" s="106">
        <f>+_xlfn.XLOOKUP($EJ83,Budget!$A:$A,Budget!DU:DU)</f>
        <v>0</v>
      </c>
      <c r="FC83" s="106">
        <f>+_xlfn.XLOOKUP($EJ83,Budget!$A:$A,Budget!DV:DV)</f>
        <v>0</v>
      </c>
      <c r="FD83" s="106">
        <f>+_xlfn.XLOOKUP($EJ83,Budget!$A:$A,Budget!DW:DW)</f>
        <v>0</v>
      </c>
      <c r="FE83" s="106">
        <f>+_xlfn.XLOOKUP($EJ83,Budget!$A:$A,Budget!DX:DX)</f>
        <v>0</v>
      </c>
      <c r="FF83" s="106">
        <f>+_xlfn.XLOOKUP($EJ83,Budget!$A:$A,Budget!DY:DY)</f>
        <v>0</v>
      </c>
      <c r="FG83" s="106">
        <f>+_xlfn.XLOOKUP($EJ83,Budget!$A:$A,Budget!DZ:DZ)</f>
        <v>0</v>
      </c>
      <c r="FH83" s="106">
        <f>+_xlfn.XLOOKUP($EJ83,Budget!$A:$A,Budget!EA:EA)</f>
        <v>0</v>
      </c>
      <c r="FI83" s="106">
        <f>+_xlfn.XLOOKUP($EJ83,Budget!$A:$A,Budget!EB:EB)</f>
        <v>0</v>
      </c>
      <c r="FJ83" s="106">
        <f>+_xlfn.XLOOKUP($EJ83,Budget!$A:$A,Budget!EC:EC)</f>
        <v>0</v>
      </c>
      <c r="FK83" s="106">
        <f t="shared" si="1078"/>
        <v>0</v>
      </c>
    </row>
    <row r="84" spans="1:167" ht="14.45" hidden="1" customHeight="1" outlineLevel="2">
      <c r="A84" s="106">
        <f t="shared" si="1042"/>
        <v>0</v>
      </c>
      <c r="B84" s="106">
        <f t="shared" si="1042"/>
        <v>0</v>
      </c>
      <c r="C84" s="106">
        <f t="shared" si="1042"/>
        <v>0</v>
      </c>
      <c r="D84" s="106">
        <f t="shared" si="1042"/>
        <v>0</v>
      </c>
      <c r="E84" s="106">
        <f t="shared" si="1042"/>
        <v>0</v>
      </c>
      <c r="F84" s="106">
        <f t="shared" si="1042"/>
        <v>0</v>
      </c>
      <c r="G84" s="106">
        <f t="shared" si="1042"/>
        <v>0</v>
      </c>
      <c r="H84" s="106">
        <f t="shared" si="1042"/>
        <v>0</v>
      </c>
      <c r="I84" s="106">
        <f t="shared" si="1042"/>
        <v>0</v>
      </c>
      <c r="J84" s="106">
        <f t="shared" si="1042"/>
        <v>0</v>
      </c>
      <c r="K84" s="106">
        <f t="shared" si="1042"/>
        <v>0</v>
      </c>
      <c r="L84" s="106">
        <f t="shared" si="1042"/>
        <v>0</v>
      </c>
      <c r="M84" s="106">
        <f t="shared" si="1068"/>
        <v>0</v>
      </c>
      <c r="N84" s="16" t="s">
        <v>68</v>
      </c>
      <c r="O84" s="106">
        <f t="shared" si="1069"/>
        <v>0</v>
      </c>
      <c r="P84" s="106">
        <f t="shared" si="1043"/>
        <v>0</v>
      </c>
      <c r="Q84" s="106">
        <f t="shared" si="1044"/>
        <v>0</v>
      </c>
      <c r="R84" s="106">
        <f t="shared" si="1045"/>
        <v>0</v>
      </c>
      <c r="S84" s="106">
        <f t="shared" si="1046"/>
        <v>0</v>
      </c>
      <c r="T84" s="106">
        <f t="shared" si="1047"/>
        <v>0</v>
      </c>
      <c r="U84" s="106">
        <f t="shared" si="1048"/>
        <v>0</v>
      </c>
      <c r="V84" s="106">
        <f t="shared" si="1049"/>
        <v>0</v>
      </c>
      <c r="W84" s="106">
        <f t="shared" si="1050"/>
        <v>0</v>
      </c>
      <c r="X84" s="106">
        <f t="shared" si="1051"/>
        <v>0</v>
      </c>
      <c r="Y84" s="106">
        <f t="shared" si="1052"/>
        <v>0</v>
      </c>
      <c r="Z84" s="106">
        <f t="shared" si="1053"/>
        <v>0</v>
      </c>
      <c r="AA84" s="106">
        <f t="shared" si="1070"/>
        <v>0</v>
      </c>
      <c r="AB84" s="118">
        <f t="shared" si="401"/>
        <v>0</v>
      </c>
      <c r="AC84" s="106">
        <f t="shared" si="1071"/>
        <v>0</v>
      </c>
      <c r="AD84" s="106">
        <f t="shared" si="1054"/>
        <v>0</v>
      </c>
      <c r="AE84" s="106">
        <f t="shared" si="1055"/>
        <v>0</v>
      </c>
      <c r="AF84" s="106">
        <f t="shared" si="1056"/>
        <v>0</v>
      </c>
      <c r="AG84" s="106">
        <f t="shared" si="1057"/>
        <v>0</v>
      </c>
      <c r="AH84" s="106">
        <f t="shared" si="1058"/>
        <v>0</v>
      </c>
      <c r="AI84" s="106">
        <f t="shared" si="1059"/>
        <v>0</v>
      </c>
      <c r="AJ84" s="106">
        <f t="shared" si="1060"/>
        <v>0</v>
      </c>
      <c r="AK84" s="106">
        <f t="shared" si="1061"/>
        <v>0</v>
      </c>
      <c r="AL84" s="106">
        <f t="shared" si="1062"/>
        <v>0</v>
      </c>
      <c r="AM84" s="106">
        <f t="shared" si="1063"/>
        <v>0</v>
      </c>
      <c r="AN84" s="106">
        <f t="shared" si="1064"/>
        <v>0</v>
      </c>
      <c r="AO84" s="106">
        <f t="shared" si="1072"/>
        <v>0</v>
      </c>
      <c r="AQ84" s="106">
        <v>0</v>
      </c>
      <c r="AR84" s="106">
        <v>0</v>
      </c>
      <c r="AS84" s="106">
        <v>0</v>
      </c>
      <c r="AT84" s="106">
        <v>0</v>
      </c>
      <c r="AU84" s="106">
        <v>0</v>
      </c>
      <c r="AV84" s="106">
        <v>0</v>
      </c>
      <c r="AW84" s="106">
        <v>0</v>
      </c>
      <c r="AX84" s="106">
        <v>0</v>
      </c>
      <c r="AY84" s="106">
        <v>0</v>
      </c>
      <c r="AZ84" s="106">
        <v>0</v>
      </c>
      <c r="BA84" s="106">
        <v>0</v>
      </c>
      <c r="BB84" s="106">
        <v>0</v>
      </c>
      <c r="BC84" s="106">
        <f t="shared" si="1073"/>
        <v>0</v>
      </c>
      <c r="BD84" s="16" t="str">
        <f t="shared" si="900"/>
        <v>Display Vehicle Expenses</v>
      </c>
      <c r="BE84" s="106">
        <f>+VLOOKUP($BD84,'Jan-25'!$A:$J,5,0)</f>
        <v>0</v>
      </c>
      <c r="BF84" s="106">
        <f>+VLOOKUP($BD84,'Feb-25'!$A:$J,5,0)</f>
        <v>0</v>
      </c>
      <c r="BG84" s="106">
        <f>+VLOOKUP($BD84,'Mar-25'!$A:$J,5,0)</f>
        <v>0</v>
      </c>
      <c r="BH84" s="106">
        <f>+VLOOKUP($BD84,'Apr-25'!$A:$J,5,0)</f>
        <v>0</v>
      </c>
      <c r="BI84" s="106">
        <f>+VLOOKUP($BD84,'May-25'!$A:$J,5,0)</f>
        <v>0</v>
      </c>
      <c r="BJ84" s="106">
        <f>+VLOOKUP($BD84,'June-25'!$A:$J,5,0)</f>
        <v>0</v>
      </c>
      <c r="BK84" s="106">
        <f>+VLOOKUP($BD84,'July-25'!$A:$J,5,0)</f>
        <v>0</v>
      </c>
      <c r="BL84" s="106">
        <f>+VLOOKUP($BD84,'Aug-25'!$A:$J,5,0)</f>
        <v>0</v>
      </c>
      <c r="BM84" s="106">
        <f>+VLOOKUP($BD84,'Sep-25'!$A:$J,5,0)</f>
        <v>0</v>
      </c>
      <c r="BN84" s="106">
        <f>+VLOOKUP($BD84,'Oct-25'!$A:$J,5,0)</f>
        <v>0</v>
      </c>
      <c r="BO84" s="106">
        <f>+VLOOKUP($BD84,'Nov-25'!$A:$J,5,0)</f>
        <v>0</v>
      </c>
      <c r="BP84" s="106">
        <f>+VLOOKUP($BD84,'Dec-25'!$A:$J,5,0)</f>
        <v>0</v>
      </c>
      <c r="BQ84" s="106">
        <f t="shared" si="1065"/>
        <v>0</v>
      </c>
      <c r="BR84" s="118">
        <f t="shared" si="417"/>
        <v>0</v>
      </c>
      <c r="BS84" s="106">
        <f>+_xlfn.XLOOKUP($BD84,Budget!$A:$A,Budget!BD:BD)</f>
        <v>0</v>
      </c>
      <c r="BT84" s="106">
        <f>+_xlfn.XLOOKUP($BD84,Budget!$A:$A,Budget!BE:BE)</f>
        <v>0</v>
      </c>
      <c r="BU84" s="106">
        <f>+_xlfn.XLOOKUP($BD84,Budget!$A:$A,Budget!BF:BF)</f>
        <v>0</v>
      </c>
      <c r="BV84" s="106">
        <f>+_xlfn.XLOOKUP($BD84,Budget!$A:$A,Budget!BG:BG)</f>
        <v>0</v>
      </c>
      <c r="BW84" s="106">
        <f>+_xlfn.XLOOKUP($BD84,Budget!$A:$A,Budget!BH:BH)</f>
        <v>0</v>
      </c>
      <c r="BX84" s="106">
        <f>+_xlfn.XLOOKUP($BD84,Budget!$A:$A,Budget!BI:BI)</f>
        <v>0</v>
      </c>
      <c r="BY84" s="106">
        <f>+_xlfn.XLOOKUP($BD84,Budget!$A:$A,Budget!BJ:BJ)</f>
        <v>0</v>
      </c>
      <c r="BZ84" s="106">
        <f>+_xlfn.XLOOKUP($BD84,Budget!$A:$A,Budget!BK:BK)</f>
        <v>0</v>
      </c>
      <c r="CA84" s="106">
        <f>+_xlfn.XLOOKUP($BD84,Budget!$A:$A,Budget!BL:BL)</f>
        <v>0</v>
      </c>
      <c r="CB84" s="106">
        <f>+_xlfn.XLOOKUP($BD84,Budget!$A:$A,Budget!BM:BM)</f>
        <v>0</v>
      </c>
      <c r="CC84" s="106">
        <f>+_xlfn.XLOOKUP($BD84,Budget!$A:$A,Budget!BN:BN)</f>
        <v>0</v>
      </c>
      <c r="CD84" s="106">
        <f>+_xlfn.XLOOKUP($BD84,Budget!$A:$A,Budget!BO:BO)</f>
        <v>0</v>
      </c>
      <c r="CE84" s="106">
        <f t="shared" si="1074"/>
        <v>0</v>
      </c>
      <c r="CF84" s="106"/>
      <c r="CG84" s="106">
        <v>0</v>
      </c>
      <c r="CH84" s="106">
        <v>0</v>
      </c>
      <c r="CI84" s="106">
        <v>0</v>
      </c>
      <c r="CJ84" s="106">
        <v>0</v>
      </c>
      <c r="CK84" s="106">
        <v>0</v>
      </c>
      <c r="CL84" s="106">
        <v>0</v>
      </c>
      <c r="CM84" s="106">
        <v>0</v>
      </c>
      <c r="CN84" s="106">
        <v>0</v>
      </c>
      <c r="CO84" s="106">
        <v>0</v>
      </c>
      <c r="CP84" s="106">
        <v>0</v>
      </c>
      <c r="CQ84" s="106">
        <v>0</v>
      </c>
      <c r="CR84" s="106">
        <v>0</v>
      </c>
      <c r="CS84" s="106">
        <f t="shared" si="1075"/>
        <v>0</v>
      </c>
      <c r="CT84" s="16" t="str">
        <f t="shared" si="901"/>
        <v>Display Vehicle Expenses</v>
      </c>
      <c r="CU84" s="106">
        <f>+VLOOKUP($BD84,'Jan-25'!$A:$J,8,0)</f>
        <v>0</v>
      </c>
      <c r="CV84" s="106">
        <f>+VLOOKUP($BD84,'Feb-25'!$A:$J,8,0)</f>
        <v>0</v>
      </c>
      <c r="CW84" s="106">
        <f>+VLOOKUP($BD84,'Mar-25'!$A:$J,8,0)</f>
        <v>0</v>
      </c>
      <c r="CX84" s="106">
        <f>+VLOOKUP($BD84,'Apr-25'!$A:$J,8,0)</f>
        <v>0</v>
      </c>
      <c r="CY84" s="106">
        <f>+VLOOKUP($BD84,'May-25'!$A:$J,8,0)</f>
        <v>0</v>
      </c>
      <c r="CZ84" s="106">
        <f>+VLOOKUP($BD84,'June-25'!$A:$J,8,0)</f>
        <v>0</v>
      </c>
      <c r="DA84" s="106">
        <f>+VLOOKUP($BD84,'July-25'!$A:$J,8,0)</f>
        <v>0</v>
      </c>
      <c r="DB84" s="106">
        <f>+VLOOKUP($BD84,'Aug-25'!$A:$J,8,0)</f>
        <v>0</v>
      </c>
      <c r="DC84" s="106">
        <f>+VLOOKUP($BD84,'Sep-25'!$A:$J,8,0)</f>
        <v>0</v>
      </c>
      <c r="DD84" s="106">
        <f>+VLOOKUP($BD84,'Oct-25'!$A:$J,8,0)</f>
        <v>0</v>
      </c>
      <c r="DE84" s="106">
        <f>+VLOOKUP($BD84,'Nov-25'!$A:$J,8,0)</f>
        <v>0</v>
      </c>
      <c r="DF84" s="106">
        <f>+VLOOKUP($BD84,'Dec-25'!$A:$J,8,0)</f>
        <v>0</v>
      </c>
      <c r="DG84" s="106">
        <f t="shared" si="1066"/>
        <v>0</v>
      </c>
      <c r="DH84" s="118">
        <f t="shared" si="421"/>
        <v>0</v>
      </c>
      <c r="DI84" s="106">
        <f>+_xlfn.XLOOKUP($CT84,Budget!$A:$A,Budget!CQ:CQ)</f>
        <v>0</v>
      </c>
      <c r="DJ84" s="106">
        <f>+_xlfn.XLOOKUP($CT84,Budget!$A:$A,Budget!CR:CR)</f>
        <v>0</v>
      </c>
      <c r="DK84" s="106">
        <f>+_xlfn.XLOOKUP($CT84,Budget!$A:$A,Budget!CS:CS)</f>
        <v>0</v>
      </c>
      <c r="DL84" s="106">
        <f>+_xlfn.XLOOKUP($CT84,Budget!$A:$A,Budget!CT:CT)</f>
        <v>0</v>
      </c>
      <c r="DM84" s="106">
        <f>+_xlfn.XLOOKUP($CT84,Budget!$A:$A,Budget!CU:CU)</f>
        <v>0</v>
      </c>
      <c r="DN84" s="106">
        <f>+_xlfn.XLOOKUP($CT84,Budget!$A:$A,Budget!CV:CV)</f>
        <v>0</v>
      </c>
      <c r="DO84" s="106">
        <f>+_xlfn.XLOOKUP($CT84,Budget!$A:$A,Budget!CW:CW)</f>
        <v>0</v>
      </c>
      <c r="DP84" s="106">
        <f>+_xlfn.XLOOKUP($CT84,Budget!$A:$A,Budget!CX:CX)</f>
        <v>0</v>
      </c>
      <c r="DQ84" s="106">
        <f>+_xlfn.XLOOKUP($CT84,Budget!$A:$A,Budget!CY:CY)</f>
        <v>0</v>
      </c>
      <c r="DR84" s="106">
        <f>+_xlfn.XLOOKUP($CT84,Budget!$A:$A,Budget!CZ:CZ)</f>
        <v>0</v>
      </c>
      <c r="DS84" s="106">
        <f>+_xlfn.XLOOKUP($CT84,Budget!$A:$A,Budget!DA:DA)</f>
        <v>0</v>
      </c>
      <c r="DT84" s="106">
        <f>+_xlfn.XLOOKUP($CT84,Budget!$A:$A,Budget!DB:DB)</f>
        <v>0</v>
      </c>
      <c r="DU84" s="106">
        <f t="shared" si="1076"/>
        <v>0</v>
      </c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106">
        <f t="shared" si="1077"/>
        <v>0</v>
      </c>
      <c r="EJ84" s="16" t="str">
        <f t="shared" si="966"/>
        <v>Display Vehicle Expenses</v>
      </c>
      <c r="EK84" s="22">
        <f>+VLOOKUP($BD84,'Jan-25'!$A:$J,10,0)</f>
        <v>0</v>
      </c>
      <c r="EL84" s="22">
        <f>+VLOOKUP($BD84,'Feb-25'!$A:$J,10,0)</f>
        <v>0</v>
      </c>
      <c r="EM84" s="22">
        <f>+VLOOKUP($BD84,'Mar-25'!$A:$J,10,0)</f>
        <v>0</v>
      </c>
      <c r="EN84" s="22">
        <f>+VLOOKUP($BD84,'Apr-25'!$A:$J,10,0)</f>
        <v>0</v>
      </c>
      <c r="EO84" s="22">
        <f>+VLOOKUP($BD84,'May-25'!$A:$J,10,0)</f>
        <v>0</v>
      </c>
      <c r="EP84" s="22">
        <f>+VLOOKUP($BD84,'June-25'!$A:$J,10,0)</f>
        <v>0</v>
      </c>
      <c r="EQ84" s="22">
        <f>+VLOOKUP($BD84,'July-25'!$A:$J,10,0)</f>
        <v>0</v>
      </c>
      <c r="ER84" s="22">
        <f>+VLOOKUP($BD84,'Aug-25'!$A:$J,10,0)</f>
        <v>0</v>
      </c>
      <c r="ES84" s="22">
        <f>+VLOOKUP($BD84,'Sep-25'!$A:$J,10,0)</f>
        <v>0</v>
      </c>
      <c r="ET84" s="22">
        <f>+VLOOKUP($BD84,'Oct-25'!$A:$J,10,0)</f>
        <v>0</v>
      </c>
      <c r="EU84" s="22">
        <f>+VLOOKUP($BD84,'Nov-25'!$A:$J,10,0)</f>
        <v>0</v>
      </c>
      <c r="EV84" s="22">
        <f>+VLOOKUP($BD84,'Dec-25'!$A:$J,10,0)</f>
        <v>0</v>
      </c>
      <c r="EW84" s="22">
        <f t="shared" si="1067"/>
        <v>0</v>
      </c>
      <c r="EX84" s="118" t="e">
        <f t="shared" si="425"/>
        <v>#DIV/0!</v>
      </c>
      <c r="EY84" s="106">
        <f>+_xlfn.XLOOKUP($EJ84,Budget!$A:$A,Budget!DR:DR)</f>
        <v>0</v>
      </c>
      <c r="EZ84" s="106">
        <f>+_xlfn.XLOOKUP($EJ84,Budget!$A:$A,Budget!DS:DS)</f>
        <v>0</v>
      </c>
      <c r="FA84" s="106">
        <f>+_xlfn.XLOOKUP($EJ84,Budget!$A:$A,Budget!DT:DT)</f>
        <v>0</v>
      </c>
      <c r="FB84" s="106">
        <f>+_xlfn.XLOOKUP($EJ84,Budget!$A:$A,Budget!DU:DU)</f>
        <v>0</v>
      </c>
      <c r="FC84" s="106">
        <f>+_xlfn.XLOOKUP($EJ84,Budget!$A:$A,Budget!DV:DV)</f>
        <v>0</v>
      </c>
      <c r="FD84" s="106">
        <f>+_xlfn.XLOOKUP($EJ84,Budget!$A:$A,Budget!DW:DW)</f>
        <v>0</v>
      </c>
      <c r="FE84" s="106">
        <f>+_xlfn.XLOOKUP($EJ84,Budget!$A:$A,Budget!DX:DX)</f>
        <v>0</v>
      </c>
      <c r="FF84" s="106">
        <f>+_xlfn.XLOOKUP($EJ84,Budget!$A:$A,Budget!DY:DY)</f>
        <v>0</v>
      </c>
      <c r="FG84" s="106">
        <f>+_xlfn.XLOOKUP($EJ84,Budget!$A:$A,Budget!DZ:DZ)</f>
        <v>0</v>
      </c>
      <c r="FH84" s="106">
        <f>+_xlfn.XLOOKUP($EJ84,Budget!$A:$A,Budget!EA:EA)</f>
        <v>0</v>
      </c>
      <c r="FI84" s="106">
        <f>+_xlfn.XLOOKUP($EJ84,Budget!$A:$A,Budget!EB:EB)</f>
        <v>0</v>
      </c>
      <c r="FJ84" s="106">
        <f>+_xlfn.XLOOKUP($EJ84,Budget!$A:$A,Budget!EC:EC)</f>
        <v>0</v>
      </c>
      <c r="FK84" s="106">
        <f t="shared" si="1078"/>
        <v>0</v>
      </c>
    </row>
    <row r="85" spans="1:167" ht="14.45" hidden="1" customHeight="1" outlineLevel="2">
      <c r="A85" s="106">
        <f t="shared" si="1042"/>
        <v>0</v>
      </c>
      <c r="B85" s="106">
        <f t="shared" si="1042"/>
        <v>0</v>
      </c>
      <c r="C85" s="106">
        <f t="shared" si="1042"/>
        <v>0</v>
      </c>
      <c r="D85" s="106">
        <f t="shared" si="1042"/>
        <v>0</v>
      </c>
      <c r="E85" s="106">
        <f t="shared" si="1042"/>
        <v>0</v>
      </c>
      <c r="F85" s="106">
        <f t="shared" si="1042"/>
        <v>0</v>
      </c>
      <c r="G85" s="106">
        <f t="shared" si="1042"/>
        <v>0</v>
      </c>
      <c r="H85" s="106">
        <f t="shared" si="1042"/>
        <v>0</v>
      </c>
      <c r="I85" s="106">
        <f t="shared" si="1042"/>
        <v>0</v>
      </c>
      <c r="J85" s="106">
        <f t="shared" si="1042"/>
        <v>0</v>
      </c>
      <c r="K85" s="106">
        <f t="shared" si="1042"/>
        <v>0</v>
      </c>
      <c r="L85" s="106">
        <f t="shared" si="1042"/>
        <v>0</v>
      </c>
      <c r="M85" s="106">
        <f t="shared" si="1068"/>
        <v>0</v>
      </c>
      <c r="N85" s="16" t="s">
        <v>69</v>
      </c>
      <c r="O85" s="106">
        <f t="shared" si="1069"/>
        <v>0</v>
      </c>
      <c r="P85" s="106">
        <f t="shared" si="1043"/>
        <v>0</v>
      </c>
      <c r="Q85" s="106">
        <f t="shared" si="1044"/>
        <v>0</v>
      </c>
      <c r="R85" s="106">
        <f t="shared" si="1045"/>
        <v>0</v>
      </c>
      <c r="S85" s="106">
        <f t="shared" si="1046"/>
        <v>0</v>
      </c>
      <c r="T85" s="106">
        <f t="shared" si="1047"/>
        <v>0</v>
      </c>
      <c r="U85" s="106">
        <f t="shared" si="1048"/>
        <v>0</v>
      </c>
      <c r="V85" s="106">
        <f t="shared" si="1049"/>
        <v>0</v>
      </c>
      <c r="W85" s="106">
        <f t="shared" si="1050"/>
        <v>0</v>
      </c>
      <c r="X85" s="106">
        <f t="shared" si="1051"/>
        <v>0</v>
      </c>
      <c r="Y85" s="106">
        <f t="shared" si="1052"/>
        <v>0</v>
      </c>
      <c r="Z85" s="106">
        <f t="shared" si="1053"/>
        <v>0</v>
      </c>
      <c r="AA85" s="106">
        <f t="shared" si="1070"/>
        <v>0</v>
      </c>
      <c r="AB85" s="118">
        <f t="shared" si="401"/>
        <v>0</v>
      </c>
      <c r="AC85" s="106">
        <f t="shared" si="1071"/>
        <v>0</v>
      </c>
      <c r="AD85" s="106">
        <f t="shared" si="1054"/>
        <v>0</v>
      </c>
      <c r="AE85" s="106">
        <f t="shared" si="1055"/>
        <v>0</v>
      </c>
      <c r="AF85" s="106">
        <f t="shared" si="1056"/>
        <v>0</v>
      </c>
      <c r="AG85" s="106">
        <f t="shared" si="1057"/>
        <v>0</v>
      </c>
      <c r="AH85" s="106">
        <f t="shared" si="1058"/>
        <v>0</v>
      </c>
      <c r="AI85" s="106">
        <f t="shared" si="1059"/>
        <v>0</v>
      </c>
      <c r="AJ85" s="106">
        <f t="shared" si="1060"/>
        <v>0</v>
      </c>
      <c r="AK85" s="106">
        <f t="shared" si="1061"/>
        <v>0</v>
      </c>
      <c r="AL85" s="106">
        <f t="shared" si="1062"/>
        <v>0</v>
      </c>
      <c r="AM85" s="106">
        <f t="shared" si="1063"/>
        <v>0</v>
      </c>
      <c r="AN85" s="106">
        <f t="shared" si="1064"/>
        <v>0</v>
      </c>
      <c r="AO85" s="106">
        <f t="shared" si="1072"/>
        <v>0</v>
      </c>
      <c r="AQ85" s="106">
        <v>0</v>
      </c>
      <c r="AR85" s="106">
        <v>0</v>
      </c>
      <c r="AS85" s="106">
        <v>0</v>
      </c>
      <c r="AT85" s="106">
        <v>0</v>
      </c>
      <c r="AU85" s="106">
        <v>0</v>
      </c>
      <c r="AV85" s="106">
        <v>0</v>
      </c>
      <c r="AW85" s="106">
        <v>0</v>
      </c>
      <c r="AX85" s="106">
        <v>0</v>
      </c>
      <c r="AY85" s="106">
        <v>0</v>
      </c>
      <c r="AZ85" s="106">
        <v>0</v>
      </c>
      <c r="BA85" s="106">
        <v>0</v>
      </c>
      <c r="BB85" s="106">
        <v>0</v>
      </c>
      <c r="BC85" s="106">
        <f t="shared" si="1073"/>
        <v>0</v>
      </c>
      <c r="BD85" s="16" t="str">
        <f t="shared" si="900"/>
        <v>Sale Commission (outsiders)</v>
      </c>
      <c r="BE85" s="106">
        <f>+VLOOKUP($BD85,'Jan-25'!$A:$J,5,0)</f>
        <v>0</v>
      </c>
      <c r="BF85" s="106">
        <f>+VLOOKUP($BD85,'Feb-25'!$A:$J,5,0)</f>
        <v>0</v>
      </c>
      <c r="BG85" s="106">
        <f>+VLOOKUP($BD85,'Mar-25'!$A:$J,5,0)</f>
        <v>0</v>
      </c>
      <c r="BH85" s="106">
        <f>+VLOOKUP($BD85,'Apr-25'!$A:$J,5,0)</f>
        <v>0</v>
      </c>
      <c r="BI85" s="106">
        <f>+VLOOKUP($BD85,'May-25'!$A:$J,5,0)</f>
        <v>0</v>
      </c>
      <c r="BJ85" s="106">
        <f>+VLOOKUP($BD85,'June-25'!$A:$J,5,0)</f>
        <v>0</v>
      </c>
      <c r="BK85" s="106">
        <f>+VLOOKUP($BD85,'July-25'!$A:$J,5,0)</f>
        <v>0</v>
      </c>
      <c r="BL85" s="106">
        <f>+VLOOKUP($BD85,'Aug-25'!$A:$J,5,0)</f>
        <v>0</v>
      </c>
      <c r="BM85" s="106">
        <f>+VLOOKUP($BD85,'Sep-25'!$A:$J,5,0)</f>
        <v>0</v>
      </c>
      <c r="BN85" s="106">
        <f>+VLOOKUP($BD85,'Oct-25'!$A:$J,5,0)</f>
        <v>0</v>
      </c>
      <c r="BO85" s="106">
        <f>+VLOOKUP($BD85,'Nov-25'!$A:$J,5,0)</f>
        <v>0</v>
      </c>
      <c r="BP85" s="106">
        <f>+VLOOKUP($BD85,'Dec-25'!$A:$J,5,0)</f>
        <v>0</v>
      </c>
      <c r="BQ85" s="106">
        <f t="shared" si="1065"/>
        <v>0</v>
      </c>
      <c r="BR85" s="118">
        <f t="shared" si="417"/>
        <v>0</v>
      </c>
      <c r="BS85" s="106">
        <f>+_xlfn.XLOOKUP($BD85,Budget!$A:$A,Budget!BD:BD)</f>
        <v>0</v>
      </c>
      <c r="BT85" s="106">
        <f>+_xlfn.XLOOKUP($BD85,Budget!$A:$A,Budget!BE:BE)</f>
        <v>0</v>
      </c>
      <c r="BU85" s="106">
        <f>+_xlfn.XLOOKUP($BD85,Budget!$A:$A,Budget!BF:BF)</f>
        <v>0</v>
      </c>
      <c r="BV85" s="106">
        <f>+_xlfn.XLOOKUP($BD85,Budget!$A:$A,Budget!BG:BG)</f>
        <v>0</v>
      </c>
      <c r="BW85" s="106">
        <f>+_xlfn.XLOOKUP($BD85,Budget!$A:$A,Budget!BH:BH)</f>
        <v>0</v>
      </c>
      <c r="BX85" s="106">
        <f>+_xlfn.XLOOKUP($BD85,Budget!$A:$A,Budget!BI:BI)</f>
        <v>0</v>
      </c>
      <c r="BY85" s="106">
        <f>+_xlfn.XLOOKUP($BD85,Budget!$A:$A,Budget!BJ:BJ)</f>
        <v>0</v>
      </c>
      <c r="BZ85" s="106">
        <f>+_xlfn.XLOOKUP($BD85,Budget!$A:$A,Budget!BK:BK)</f>
        <v>0</v>
      </c>
      <c r="CA85" s="106">
        <f>+_xlfn.XLOOKUP($BD85,Budget!$A:$A,Budget!BL:BL)</f>
        <v>0</v>
      </c>
      <c r="CB85" s="106">
        <f>+_xlfn.XLOOKUP($BD85,Budget!$A:$A,Budget!BM:BM)</f>
        <v>0</v>
      </c>
      <c r="CC85" s="106">
        <f>+_xlfn.XLOOKUP($BD85,Budget!$A:$A,Budget!BN:BN)</f>
        <v>0</v>
      </c>
      <c r="CD85" s="106">
        <f>+_xlfn.XLOOKUP($BD85,Budget!$A:$A,Budget!BO:BO)</f>
        <v>0</v>
      </c>
      <c r="CE85" s="106">
        <f t="shared" si="1074"/>
        <v>0</v>
      </c>
      <c r="CF85" s="106"/>
      <c r="CG85" s="106">
        <v>0</v>
      </c>
      <c r="CH85" s="106">
        <v>0</v>
      </c>
      <c r="CI85" s="106">
        <v>0</v>
      </c>
      <c r="CJ85" s="106">
        <v>0</v>
      </c>
      <c r="CK85" s="106">
        <v>0</v>
      </c>
      <c r="CL85" s="106">
        <v>0</v>
      </c>
      <c r="CM85" s="106">
        <v>0</v>
      </c>
      <c r="CN85" s="106">
        <v>0</v>
      </c>
      <c r="CO85" s="106">
        <v>0</v>
      </c>
      <c r="CP85" s="106">
        <v>0</v>
      </c>
      <c r="CQ85" s="106">
        <v>0</v>
      </c>
      <c r="CR85" s="106">
        <v>0</v>
      </c>
      <c r="CS85" s="106">
        <f t="shared" si="1075"/>
        <v>0</v>
      </c>
      <c r="CT85" s="16" t="str">
        <f t="shared" si="901"/>
        <v>Sale Commission (outsiders)</v>
      </c>
      <c r="CU85" s="106">
        <f>+VLOOKUP($BD85,'Jan-25'!$A:$J,8,0)</f>
        <v>0</v>
      </c>
      <c r="CV85" s="106">
        <f>+VLOOKUP($BD85,'Feb-25'!$A:$J,8,0)</f>
        <v>0</v>
      </c>
      <c r="CW85" s="106">
        <f>+VLOOKUP($BD85,'Mar-25'!$A:$J,8,0)</f>
        <v>0</v>
      </c>
      <c r="CX85" s="106">
        <f>+VLOOKUP($BD85,'Apr-25'!$A:$J,8,0)</f>
        <v>0</v>
      </c>
      <c r="CY85" s="106">
        <f>+VLOOKUP($BD85,'May-25'!$A:$J,8,0)</f>
        <v>0</v>
      </c>
      <c r="CZ85" s="106">
        <f>+VLOOKUP($BD85,'June-25'!$A:$J,8,0)</f>
        <v>0</v>
      </c>
      <c r="DA85" s="106">
        <f>+VLOOKUP($BD85,'July-25'!$A:$J,8,0)</f>
        <v>0</v>
      </c>
      <c r="DB85" s="106">
        <f>+VLOOKUP($BD85,'Aug-25'!$A:$J,8,0)</f>
        <v>0</v>
      </c>
      <c r="DC85" s="106">
        <f>+VLOOKUP($BD85,'Sep-25'!$A:$J,8,0)</f>
        <v>0</v>
      </c>
      <c r="DD85" s="106">
        <f>+VLOOKUP($BD85,'Oct-25'!$A:$J,8,0)</f>
        <v>0</v>
      </c>
      <c r="DE85" s="106">
        <f>+VLOOKUP($BD85,'Nov-25'!$A:$J,8,0)</f>
        <v>0</v>
      </c>
      <c r="DF85" s="106">
        <f>+VLOOKUP($BD85,'Dec-25'!$A:$J,8,0)</f>
        <v>0</v>
      </c>
      <c r="DG85" s="106">
        <f t="shared" si="1066"/>
        <v>0</v>
      </c>
      <c r="DH85" s="118">
        <f t="shared" si="421"/>
        <v>0</v>
      </c>
      <c r="DI85" s="106">
        <f>+_xlfn.XLOOKUP($CT85,Budget!$A:$A,Budget!CQ:CQ)</f>
        <v>0</v>
      </c>
      <c r="DJ85" s="106">
        <f>+_xlfn.XLOOKUP($CT85,Budget!$A:$A,Budget!CR:CR)</f>
        <v>0</v>
      </c>
      <c r="DK85" s="106">
        <f>+_xlfn.XLOOKUP($CT85,Budget!$A:$A,Budget!CS:CS)</f>
        <v>0</v>
      </c>
      <c r="DL85" s="106">
        <f>+_xlfn.XLOOKUP($CT85,Budget!$A:$A,Budget!CT:CT)</f>
        <v>0</v>
      </c>
      <c r="DM85" s="106">
        <f>+_xlfn.XLOOKUP($CT85,Budget!$A:$A,Budget!CU:CU)</f>
        <v>0</v>
      </c>
      <c r="DN85" s="106">
        <f>+_xlfn.XLOOKUP($CT85,Budget!$A:$A,Budget!CV:CV)</f>
        <v>0</v>
      </c>
      <c r="DO85" s="106">
        <f>+_xlfn.XLOOKUP($CT85,Budget!$A:$A,Budget!CW:CW)</f>
        <v>0</v>
      </c>
      <c r="DP85" s="106">
        <f>+_xlfn.XLOOKUP($CT85,Budget!$A:$A,Budget!CX:CX)</f>
        <v>0</v>
      </c>
      <c r="DQ85" s="106">
        <f>+_xlfn.XLOOKUP($CT85,Budget!$A:$A,Budget!CY:CY)</f>
        <v>0</v>
      </c>
      <c r="DR85" s="106">
        <f>+_xlfn.XLOOKUP($CT85,Budget!$A:$A,Budget!CZ:CZ)</f>
        <v>0</v>
      </c>
      <c r="DS85" s="106">
        <f>+_xlfn.XLOOKUP($CT85,Budget!$A:$A,Budget!DA:DA)</f>
        <v>0</v>
      </c>
      <c r="DT85" s="106">
        <f>+_xlfn.XLOOKUP($CT85,Budget!$A:$A,Budget!DB:DB)</f>
        <v>0</v>
      </c>
      <c r="DU85" s="106">
        <f t="shared" si="1076"/>
        <v>0</v>
      </c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106">
        <f t="shared" si="1077"/>
        <v>0</v>
      </c>
      <c r="EJ85" s="16" t="str">
        <f t="shared" si="966"/>
        <v>Sale Commission (outsiders)</v>
      </c>
      <c r="EK85" s="22">
        <f>+VLOOKUP($BD85,'Jan-25'!$A:$J,10,0)</f>
        <v>0</v>
      </c>
      <c r="EL85" s="22">
        <f>+VLOOKUP($BD85,'Feb-25'!$A:$J,10,0)</f>
        <v>0</v>
      </c>
      <c r="EM85" s="22">
        <f>+VLOOKUP($BD85,'Mar-25'!$A:$J,10,0)</f>
        <v>0</v>
      </c>
      <c r="EN85" s="22">
        <f>+VLOOKUP($BD85,'Apr-25'!$A:$J,10,0)</f>
        <v>0</v>
      </c>
      <c r="EO85" s="22">
        <f>+VLOOKUP($BD85,'May-25'!$A:$J,10,0)</f>
        <v>0</v>
      </c>
      <c r="EP85" s="22">
        <f>+VLOOKUP($BD85,'June-25'!$A:$J,10,0)</f>
        <v>0</v>
      </c>
      <c r="EQ85" s="22">
        <f>+VLOOKUP($BD85,'July-25'!$A:$J,10,0)</f>
        <v>0</v>
      </c>
      <c r="ER85" s="22">
        <f>+VLOOKUP($BD85,'Aug-25'!$A:$J,10,0)</f>
        <v>0</v>
      </c>
      <c r="ES85" s="22">
        <f>+VLOOKUP($BD85,'Sep-25'!$A:$J,10,0)</f>
        <v>0</v>
      </c>
      <c r="ET85" s="22">
        <f>+VLOOKUP($BD85,'Oct-25'!$A:$J,10,0)</f>
        <v>0</v>
      </c>
      <c r="EU85" s="22">
        <f>+VLOOKUP($BD85,'Nov-25'!$A:$J,10,0)</f>
        <v>0</v>
      </c>
      <c r="EV85" s="22">
        <f>+VLOOKUP($BD85,'Dec-25'!$A:$J,10,0)</f>
        <v>0</v>
      </c>
      <c r="EW85" s="22">
        <f t="shared" si="1067"/>
        <v>0</v>
      </c>
      <c r="EX85" s="118" t="e">
        <f t="shared" si="425"/>
        <v>#DIV/0!</v>
      </c>
      <c r="EY85" s="106">
        <f>+_xlfn.XLOOKUP($EJ85,Budget!$A:$A,Budget!DR:DR)</f>
        <v>0</v>
      </c>
      <c r="EZ85" s="106">
        <f>+_xlfn.XLOOKUP($EJ85,Budget!$A:$A,Budget!DS:DS)</f>
        <v>0</v>
      </c>
      <c r="FA85" s="106">
        <f>+_xlfn.XLOOKUP($EJ85,Budget!$A:$A,Budget!DT:DT)</f>
        <v>0</v>
      </c>
      <c r="FB85" s="106">
        <f>+_xlfn.XLOOKUP($EJ85,Budget!$A:$A,Budget!DU:DU)</f>
        <v>0</v>
      </c>
      <c r="FC85" s="106">
        <f>+_xlfn.XLOOKUP($EJ85,Budget!$A:$A,Budget!DV:DV)</f>
        <v>0</v>
      </c>
      <c r="FD85" s="106">
        <f>+_xlfn.XLOOKUP($EJ85,Budget!$A:$A,Budget!DW:DW)</f>
        <v>0</v>
      </c>
      <c r="FE85" s="106">
        <f>+_xlfn.XLOOKUP($EJ85,Budget!$A:$A,Budget!DX:DX)</f>
        <v>0</v>
      </c>
      <c r="FF85" s="106">
        <f>+_xlfn.XLOOKUP($EJ85,Budget!$A:$A,Budget!DY:DY)</f>
        <v>0</v>
      </c>
      <c r="FG85" s="106">
        <f>+_xlfn.XLOOKUP($EJ85,Budget!$A:$A,Budget!DZ:DZ)</f>
        <v>0</v>
      </c>
      <c r="FH85" s="106">
        <f>+_xlfn.XLOOKUP($EJ85,Budget!$A:$A,Budget!EA:EA)</f>
        <v>0</v>
      </c>
      <c r="FI85" s="106">
        <f>+_xlfn.XLOOKUP($EJ85,Budget!$A:$A,Budget!EB:EB)</f>
        <v>0</v>
      </c>
      <c r="FJ85" s="106">
        <f>+_xlfn.XLOOKUP($EJ85,Budget!$A:$A,Budget!EC:EC)</f>
        <v>0</v>
      </c>
      <c r="FK85" s="106">
        <f t="shared" si="1078"/>
        <v>0</v>
      </c>
    </row>
    <row r="86" spans="1:167" ht="14.45" hidden="1" customHeight="1" outlineLevel="2">
      <c r="A86" s="106">
        <f t="shared" si="1042"/>
        <v>0</v>
      </c>
      <c r="B86" s="106">
        <f t="shared" si="1042"/>
        <v>0</v>
      </c>
      <c r="C86" s="106">
        <f t="shared" si="1042"/>
        <v>0</v>
      </c>
      <c r="D86" s="106">
        <f t="shared" si="1042"/>
        <v>0</v>
      </c>
      <c r="E86" s="106">
        <f t="shared" si="1042"/>
        <v>0</v>
      </c>
      <c r="F86" s="106">
        <f t="shared" si="1042"/>
        <v>0</v>
      </c>
      <c r="G86" s="106">
        <f t="shared" si="1042"/>
        <v>0</v>
      </c>
      <c r="H86" s="106">
        <f t="shared" si="1042"/>
        <v>0</v>
      </c>
      <c r="I86" s="106">
        <f t="shared" si="1042"/>
        <v>0</v>
      </c>
      <c r="J86" s="106">
        <f t="shared" si="1042"/>
        <v>0</v>
      </c>
      <c r="K86" s="106">
        <f t="shared" si="1042"/>
        <v>0</v>
      </c>
      <c r="L86" s="106">
        <f t="shared" si="1042"/>
        <v>0</v>
      </c>
      <c r="M86" s="106">
        <f t="shared" si="1068"/>
        <v>0</v>
      </c>
      <c r="N86" s="16" t="s">
        <v>70</v>
      </c>
      <c r="O86" s="106">
        <f t="shared" si="1069"/>
        <v>0</v>
      </c>
      <c r="P86" s="106">
        <f t="shared" si="1043"/>
        <v>0</v>
      </c>
      <c r="Q86" s="106">
        <f t="shared" si="1044"/>
        <v>0</v>
      </c>
      <c r="R86" s="106">
        <f t="shared" si="1045"/>
        <v>0</v>
      </c>
      <c r="S86" s="106">
        <f t="shared" si="1046"/>
        <v>0</v>
      </c>
      <c r="T86" s="106">
        <f t="shared" si="1047"/>
        <v>0</v>
      </c>
      <c r="U86" s="106">
        <f t="shared" si="1048"/>
        <v>0</v>
      </c>
      <c r="V86" s="106">
        <f t="shared" si="1049"/>
        <v>0</v>
      </c>
      <c r="W86" s="106">
        <f t="shared" si="1050"/>
        <v>0</v>
      </c>
      <c r="X86" s="106">
        <f t="shared" si="1051"/>
        <v>0</v>
      </c>
      <c r="Y86" s="106">
        <f t="shared" si="1052"/>
        <v>0</v>
      </c>
      <c r="Z86" s="106">
        <f t="shared" si="1053"/>
        <v>0</v>
      </c>
      <c r="AA86" s="106">
        <f t="shared" si="1070"/>
        <v>0</v>
      </c>
      <c r="AB86" s="118">
        <f t="shared" si="401"/>
        <v>0</v>
      </c>
      <c r="AC86" s="106">
        <f t="shared" si="1071"/>
        <v>0</v>
      </c>
      <c r="AD86" s="106">
        <f t="shared" si="1054"/>
        <v>0</v>
      </c>
      <c r="AE86" s="106">
        <f t="shared" si="1055"/>
        <v>0</v>
      </c>
      <c r="AF86" s="106">
        <f t="shared" si="1056"/>
        <v>0</v>
      </c>
      <c r="AG86" s="106">
        <f t="shared" si="1057"/>
        <v>0</v>
      </c>
      <c r="AH86" s="106">
        <f t="shared" si="1058"/>
        <v>0</v>
      </c>
      <c r="AI86" s="106">
        <f t="shared" si="1059"/>
        <v>0</v>
      </c>
      <c r="AJ86" s="106">
        <f t="shared" si="1060"/>
        <v>0</v>
      </c>
      <c r="AK86" s="106">
        <f t="shared" si="1061"/>
        <v>0</v>
      </c>
      <c r="AL86" s="106">
        <f t="shared" si="1062"/>
        <v>0</v>
      </c>
      <c r="AM86" s="106">
        <f t="shared" si="1063"/>
        <v>0</v>
      </c>
      <c r="AN86" s="106">
        <f t="shared" si="1064"/>
        <v>0</v>
      </c>
      <c r="AO86" s="106">
        <f t="shared" si="1072"/>
        <v>0</v>
      </c>
      <c r="AQ86" s="106">
        <v>0</v>
      </c>
      <c r="AR86" s="106">
        <v>0</v>
      </c>
      <c r="AS86" s="106">
        <v>0</v>
      </c>
      <c r="AT86" s="106">
        <v>0</v>
      </c>
      <c r="AU86" s="106">
        <v>0</v>
      </c>
      <c r="AV86" s="106">
        <v>0</v>
      </c>
      <c r="AW86" s="106">
        <v>0</v>
      </c>
      <c r="AX86" s="106">
        <v>0</v>
      </c>
      <c r="AY86" s="106">
        <v>0</v>
      </c>
      <c r="AZ86" s="106">
        <v>0</v>
      </c>
      <c r="BA86" s="106">
        <v>0</v>
      </c>
      <c r="BB86" s="106">
        <v>0</v>
      </c>
      <c r="BC86" s="106">
        <f t="shared" si="1073"/>
        <v>0</v>
      </c>
      <c r="BD86" s="16" t="str">
        <f t="shared" si="900"/>
        <v>Sales promotion- Compl goods.</v>
      </c>
      <c r="BE86" s="106">
        <f>+VLOOKUP($BD86,'Jan-25'!$A:$J,5,0)</f>
        <v>0</v>
      </c>
      <c r="BF86" s="106">
        <f>+VLOOKUP($BD86,'Feb-25'!$A:$J,5,0)</f>
        <v>0</v>
      </c>
      <c r="BG86" s="106">
        <f>+VLOOKUP($BD86,'Mar-25'!$A:$J,5,0)</f>
        <v>0</v>
      </c>
      <c r="BH86" s="106">
        <f>+VLOOKUP($BD86,'Apr-25'!$A:$J,5,0)</f>
        <v>0</v>
      </c>
      <c r="BI86" s="106">
        <f>+VLOOKUP($BD86,'May-25'!$A:$J,5,0)</f>
        <v>0</v>
      </c>
      <c r="BJ86" s="106">
        <f>+VLOOKUP($BD86,'June-25'!$A:$J,5,0)</f>
        <v>0</v>
      </c>
      <c r="BK86" s="106">
        <f>+VLOOKUP($BD86,'July-25'!$A:$J,5,0)</f>
        <v>0</v>
      </c>
      <c r="BL86" s="106">
        <f>+VLOOKUP($BD86,'Aug-25'!$A:$J,5,0)</f>
        <v>0</v>
      </c>
      <c r="BM86" s="106">
        <f>+VLOOKUP($BD86,'Sep-25'!$A:$J,5,0)</f>
        <v>0</v>
      </c>
      <c r="BN86" s="106">
        <f>+VLOOKUP($BD86,'Oct-25'!$A:$J,5,0)</f>
        <v>0</v>
      </c>
      <c r="BO86" s="106">
        <f>+VLOOKUP($BD86,'Nov-25'!$A:$J,5,0)</f>
        <v>0</v>
      </c>
      <c r="BP86" s="106">
        <f>+VLOOKUP($BD86,'Dec-25'!$A:$J,5,0)</f>
        <v>0</v>
      </c>
      <c r="BQ86" s="106">
        <f t="shared" si="1065"/>
        <v>0</v>
      </c>
      <c r="BR86" s="118">
        <f t="shared" si="417"/>
        <v>0</v>
      </c>
      <c r="BS86" s="106">
        <f>+_xlfn.XLOOKUP($BD86,Budget!$A:$A,Budget!BD:BD)</f>
        <v>0</v>
      </c>
      <c r="BT86" s="106">
        <f>+_xlfn.XLOOKUP($BD86,Budget!$A:$A,Budget!BE:BE)</f>
        <v>0</v>
      </c>
      <c r="BU86" s="106">
        <f>+_xlfn.XLOOKUP($BD86,Budget!$A:$A,Budget!BF:BF)</f>
        <v>0</v>
      </c>
      <c r="BV86" s="106">
        <f>+_xlfn.XLOOKUP($BD86,Budget!$A:$A,Budget!BG:BG)</f>
        <v>0</v>
      </c>
      <c r="BW86" s="106">
        <f>+_xlfn.XLOOKUP($BD86,Budget!$A:$A,Budget!BH:BH)</f>
        <v>0</v>
      </c>
      <c r="BX86" s="106">
        <f>+_xlfn.XLOOKUP($BD86,Budget!$A:$A,Budget!BI:BI)</f>
        <v>0</v>
      </c>
      <c r="BY86" s="106">
        <f>+_xlfn.XLOOKUP($BD86,Budget!$A:$A,Budget!BJ:BJ)</f>
        <v>0</v>
      </c>
      <c r="BZ86" s="106">
        <f>+_xlfn.XLOOKUP($BD86,Budget!$A:$A,Budget!BK:BK)</f>
        <v>0</v>
      </c>
      <c r="CA86" s="106">
        <f>+_xlfn.XLOOKUP($BD86,Budget!$A:$A,Budget!BL:BL)</f>
        <v>0</v>
      </c>
      <c r="CB86" s="106">
        <f>+_xlfn.XLOOKUP($BD86,Budget!$A:$A,Budget!BM:BM)</f>
        <v>0</v>
      </c>
      <c r="CC86" s="106">
        <f>+_xlfn.XLOOKUP($BD86,Budget!$A:$A,Budget!BN:BN)</f>
        <v>0</v>
      </c>
      <c r="CD86" s="106">
        <f>+_xlfn.XLOOKUP($BD86,Budget!$A:$A,Budget!BO:BO)</f>
        <v>0</v>
      </c>
      <c r="CE86" s="106">
        <f t="shared" si="1074"/>
        <v>0</v>
      </c>
      <c r="CF86" s="106"/>
      <c r="CG86" s="106">
        <v>0</v>
      </c>
      <c r="CH86" s="106">
        <v>0</v>
      </c>
      <c r="CI86" s="106">
        <v>0</v>
      </c>
      <c r="CJ86" s="106">
        <v>0</v>
      </c>
      <c r="CK86" s="106">
        <v>0</v>
      </c>
      <c r="CL86" s="106">
        <v>0</v>
      </c>
      <c r="CM86" s="106">
        <v>0</v>
      </c>
      <c r="CN86" s="106">
        <v>0</v>
      </c>
      <c r="CO86" s="106">
        <v>0</v>
      </c>
      <c r="CP86" s="106">
        <v>0</v>
      </c>
      <c r="CQ86" s="106">
        <v>0</v>
      </c>
      <c r="CR86" s="106">
        <v>0</v>
      </c>
      <c r="CS86" s="106">
        <f t="shared" si="1075"/>
        <v>0</v>
      </c>
      <c r="CT86" s="16" t="str">
        <f t="shared" si="901"/>
        <v>Sales promotion- Compl goods.</v>
      </c>
      <c r="CU86" s="106">
        <f>+VLOOKUP($BD86,'Jan-25'!$A:$J,8,0)</f>
        <v>0</v>
      </c>
      <c r="CV86" s="106">
        <f>+VLOOKUP($BD86,'Feb-25'!$A:$J,8,0)</f>
        <v>0</v>
      </c>
      <c r="CW86" s="106">
        <f>+VLOOKUP($BD86,'Mar-25'!$A:$J,8,0)</f>
        <v>0</v>
      </c>
      <c r="CX86" s="106">
        <f>+VLOOKUP($BD86,'Apr-25'!$A:$J,8,0)</f>
        <v>0</v>
      </c>
      <c r="CY86" s="106">
        <f>+VLOOKUP($BD86,'May-25'!$A:$J,8,0)</f>
        <v>0</v>
      </c>
      <c r="CZ86" s="106">
        <f>+VLOOKUP($BD86,'June-25'!$A:$J,8,0)</f>
        <v>0</v>
      </c>
      <c r="DA86" s="106">
        <f>+VLOOKUP($BD86,'July-25'!$A:$J,8,0)</f>
        <v>0</v>
      </c>
      <c r="DB86" s="106">
        <f>+VLOOKUP($BD86,'Aug-25'!$A:$J,8,0)</f>
        <v>0</v>
      </c>
      <c r="DC86" s="106">
        <f>+VLOOKUP($BD86,'Sep-25'!$A:$J,8,0)</f>
        <v>0</v>
      </c>
      <c r="DD86" s="106">
        <f>+VLOOKUP($BD86,'Oct-25'!$A:$J,8,0)</f>
        <v>0</v>
      </c>
      <c r="DE86" s="106">
        <f>+VLOOKUP($BD86,'Nov-25'!$A:$J,8,0)</f>
        <v>0</v>
      </c>
      <c r="DF86" s="106">
        <f>+VLOOKUP($BD86,'Dec-25'!$A:$J,8,0)</f>
        <v>0</v>
      </c>
      <c r="DG86" s="106">
        <f t="shared" si="1066"/>
        <v>0</v>
      </c>
      <c r="DH86" s="118">
        <f t="shared" si="421"/>
        <v>0</v>
      </c>
      <c r="DI86" s="106">
        <f>+_xlfn.XLOOKUP($CT86,Budget!$A:$A,Budget!CQ:CQ)</f>
        <v>0</v>
      </c>
      <c r="DJ86" s="106">
        <f>+_xlfn.XLOOKUP($CT86,Budget!$A:$A,Budget!CR:CR)</f>
        <v>0</v>
      </c>
      <c r="DK86" s="106">
        <f>+_xlfn.XLOOKUP($CT86,Budget!$A:$A,Budget!CS:CS)</f>
        <v>0</v>
      </c>
      <c r="DL86" s="106">
        <f>+_xlfn.XLOOKUP($CT86,Budget!$A:$A,Budget!CT:CT)</f>
        <v>0</v>
      </c>
      <c r="DM86" s="106">
        <f>+_xlfn.XLOOKUP($CT86,Budget!$A:$A,Budget!CU:CU)</f>
        <v>0</v>
      </c>
      <c r="DN86" s="106">
        <f>+_xlfn.XLOOKUP($CT86,Budget!$A:$A,Budget!CV:CV)</f>
        <v>0</v>
      </c>
      <c r="DO86" s="106">
        <f>+_xlfn.XLOOKUP($CT86,Budget!$A:$A,Budget!CW:CW)</f>
        <v>0</v>
      </c>
      <c r="DP86" s="106">
        <f>+_xlfn.XLOOKUP($CT86,Budget!$A:$A,Budget!CX:CX)</f>
        <v>0</v>
      </c>
      <c r="DQ86" s="106">
        <f>+_xlfn.XLOOKUP($CT86,Budget!$A:$A,Budget!CY:CY)</f>
        <v>0</v>
      </c>
      <c r="DR86" s="106">
        <f>+_xlfn.XLOOKUP($CT86,Budget!$A:$A,Budget!CZ:CZ)</f>
        <v>0</v>
      </c>
      <c r="DS86" s="106">
        <f>+_xlfn.XLOOKUP($CT86,Budget!$A:$A,Budget!DA:DA)</f>
        <v>0</v>
      </c>
      <c r="DT86" s="106">
        <f>+_xlfn.XLOOKUP($CT86,Budget!$A:$A,Budget!DB:DB)</f>
        <v>0</v>
      </c>
      <c r="DU86" s="106">
        <f t="shared" si="1076"/>
        <v>0</v>
      </c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106">
        <f t="shared" si="1077"/>
        <v>0</v>
      </c>
      <c r="EJ86" s="16" t="str">
        <f t="shared" si="966"/>
        <v>Sales promotion- Compl goods.</v>
      </c>
      <c r="EK86" s="22">
        <f>+VLOOKUP($BD86,'Jan-25'!$A:$J,10,0)</f>
        <v>0</v>
      </c>
      <c r="EL86" s="22">
        <f>+VLOOKUP($BD86,'Feb-25'!$A:$J,10,0)</f>
        <v>0</v>
      </c>
      <c r="EM86" s="22">
        <f>+VLOOKUP($BD86,'Mar-25'!$A:$J,10,0)</f>
        <v>0</v>
      </c>
      <c r="EN86" s="22">
        <f>+VLOOKUP($BD86,'Apr-25'!$A:$J,10,0)</f>
        <v>0</v>
      </c>
      <c r="EO86" s="22">
        <f>+VLOOKUP($BD86,'May-25'!$A:$J,10,0)</f>
        <v>0</v>
      </c>
      <c r="EP86" s="22">
        <f>+VLOOKUP($BD86,'June-25'!$A:$J,10,0)</f>
        <v>0</v>
      </c>
      <c r="EQ86" s="22">
        <f>+VLOOKUP($BD86,'July-25'!$A:$J,10,0)</f>
        <v>0</v>
      </c>
      <c r="ER86" s="22">
        <f>+VLOOKUP($BD86,'Aug-25'!$A:$J,10,0)</f>
        <v>0</v>
      </c>
      <c r="ES86" s="22">
        <f>+VLOOKUP($BD86,'Sep-25'!$A:$J,10,0)</f>
        <v>0</v>
      </c>
      <c r="ET86" s="22">
        <f>+VLOOKUP($BD86,'Oct-25'!$A:$J,10,0)</f>
        <v>0</v>
      </c>
      <c r="EU86" s="22">
        <f>+VLOOKUP($BD86,'Nov-25'!$A:$J,10,0)</f>
        <v>0</v>
      </c>
      <c r="EV86" s="22">
        <f>+VLOOKUP($BD86,'Dec-25'!$A:$J,10,0)</f>
        <v>0</v>
      </c>
      <c r="EW86" s="22">
        <f t="shared" si="1067"/>
        <v>0</v>
      </c>
      <c r="EX86" s="118" t="e">
        <f t="shared" si="425"/>
        <v>#DIV/0!</v>
      </c>
      <c r="EY86" s="106">
        <f>+_xlfn.XLOOKUP($EJ86,Budget!$A:$A,Budget!DR:DR)</f>
        <v>0</v>
      </c>
      <c r="EZ86" s="106">
        <f>+_xlfn.XLOOKUP($EJ86,Budget!$A:$A,Budget!DS:DS)</f>
        <v>0</v>
      </c>
      <c r="FA86" s="106">
        <f>+_xlfn.XLOOKUP($EJ86,Budget!$A:$A,Budget!DT:DT)</f>
        <v>0</v>
      </c>
      <c r="FB86" s="106">
        <f>+_xlfn.XLOOKUP($EJ86,Budget!$A:$A,Budget!DU:DU)</f>
        <v>0</v>
      </c>
      <c r="FC86" s="106">
        <f>+_xlfn.XLOOKUP($EJ86,Budget!$A:$A,Budget!DV:DV)</f>
        <v>0</v>
      </c>
      <c r="FD86" s="106">
        <f>+_xlfn.XLOOKUP($EJ86,Budget!$A:$A,Budget!DW:DW)</f>
        <v>0</v>
      </c>
      <c r="FE86" s="106">
        <f>+_xlfn.XLOOKUP($EJ86,Budget!$A:$A,Budget!DX:DX)</f>
        <v>0</v>
      </c>
      <c r="FF86" s="106">
        <f>+_xlfn.XLOOKUP($EJ86,Budget!$A:$A,Budget!DY:DY)</f>
        <v>0</v>
      </c>
      <c r="FG86" s="106">
        <f>+_xlfn.XLOOKUP($EJ86,Budget!$A:$A,Budget!DZ:DZ)</f>
        <v>0</v>
      </c>
      <c r="FH86" s="106">
        <f>+_xlfn.XLOOKUP($EJ86,Budget!$A:$A,Budget!EA:EA)</f>
        <v>0</v>
      </c>
      <c r="FI86" s="106">
        <f>+_xlfn.XLOOKUP($EJ86,Budget!$A:$A,Budget!EB:EB)</f>
        <v>0</v>
      </c>
      <c r="FJ86" s="106">
        <f>+_xlfn.XLOOKUP($EJ86,Budget!$A:$A,Budget!EC:EC)</f>
        <v>0</v>
      </c>
      <c r="FK86" s="106">
        <f t="shared" si="1078"/>
        <v>0</v>
      </c>
    </row>
    <row r="87" spans="1:167" ht="14.45" hidden="1" customHeight="1" outlineLevel="1" collapsed="1">
      <c r="A87" s="58">
        <f t="shared" ref="A87:M87" si="1079">+SUM(A88:A89)</f>
        <v>110639.82</v>
      </c>
      <c r="B87" s="58">
        <f t="shared" si="1079"/>
        <v>301290.85100000002</v>
      </c>
      <c r="C87" s="58">
        <f t="shared" si="1079"/>
        <v>50405.64</v>
      </c>
      <c r="D87" s="58">
        <f t="shared" si="1079"/>
        <v>207347.78900000002</v>
      </c>
      <c r="E87" s="58">
        <f t="shared" si="1079"/>
        <v>224444.53800000003</v>
      </c>
      <c r="F87" s="58">
        <f t="shared" si="1079"/>
        <v>52403.18</v>
      </c>
      <c r="G87" s="58">
        <f t="shared" si="1079"/>
        <v>193038.49100000007</v>
      </c>
      <c r="H87" s="58">
        <f t="shared" si="1079"/>
        <v>2710</v>
      </c>
      <c r="I87" s="58">
        <f t="shared" si="1079"/>
        <v>174825.274</v>
      </c>
      <c r="J87" s="58">
        <f t="shared" si="1079"/>
        <v>233845.61300000001</v>
      </c>
      <c r="K87" s="58">
        <f t="shared" si="1079"/>
        <v>248423.66500000004</v>
      </c>
      <c r="L87" s="58">
        <f t="shared" si="1079"/>
        <v>114771.59999999999</v>
      </c>
      <c r="M87" s="58">
        <f t="shared" si="1079"/>
        <v>1914146.4610000006</v>
      </c>
      <c r="N87" s="18" t="s">
        <v>71</v>
      </c>
      <c r="O87" s="58">
        <f t="shared" ref="O87" si="1080">+SUM(O88:O89)</f>
        <v>136987.90447793319</v>
      </c>
      <c r="P87" s="58">
        <f t="shared" ref="P87" si="1081">+SUM(P88:P89)</f>
        <v>1577.7232294668065</v>
      </c>
      <c r="Q87" s="58">
        <f t="shared" ref="Q87" si="1082">+SUM(Q88:Q89)</f>
        <v>235181.72000000003</v>
      </c>
      <c r="R87" s="58">
        <f t="shared" ref="R87" si="1083">+SUM(R88:R89)</f>
        <v>162048.17400000003</v>
      </c>
      <c r="S87" s="58">
        <f t="shared" ref="S87" si="1084">+SUM(S88:S89)</f>
        <v>275539.223</v>
      </c>
      <c r="T87" s="58">
        <f t="shared" ref="T87" si="1085">+SUM(T88:T89)</f>
        <v>230601.18800000002</v>
      </c>
      <c r="U87" s="58">
        <f t="shared" ref="U87" si="1086">+SUM(U88:U89)</f>
        <v>216519.72399999999</v>
      </c>
      <c r="V87" s="58">
        <f t="shared" ref="V87" si="1087">+SUM(V88:V89)</f>
        <v>168038.65900000001</v>
      </c>
      <c r="W87" s="58">
        <f t="shared" ref="W87" si="1088">+SUM(W88:W89)</f>
        <v>269136.28899999999</v>
      </c>
      <c r="X87" s="58">
        <f t="shared" ref="X87" si="1089">+SUM(X88:X89)</f>
        <v>92733.04</v>
      </c>
      <c r="Y87" s="58">
        <f t="shared" ref="Y87" si="1090">+SUM(Y88:Y89)</f>
        <v>0</v>
      </c>
      <c r="Z87" s="58">
        <f t="shared" ref="Z87" si="1091">+SUM(Z88:Z89)</f>
        <v>0</v>
      </c>
      <c r="AA87" s="58">
        <f t="shared" ref="AA87" si="1092">+SUM(AA88:AA89)</f>
        <v>1788363.6447073999</v>
      </c>
      <c r="AB87" s="118">
        <f t="shared" si="401"/>
        <v>-0.64458723684967989</v>
      </c>
      <c r="AC87" s="58">
        <f t="shared" ref="AC87" si="1093">+SUM(AC88:AC89)</f>
        <v>254042.27250000002</v>
      </c>
      <c r="AD87" s="58">
        <f t="shared" ref="AD87" si="1094">+SUM(AD88:AD89)</f>
        <v>251298.29900000003</v>
      </c>
      <c r="AE87" s="58">
        <f t="shared" ref="AE87" si="1095">+SUM(AE88:AE89)</f>
        <v>257052.37850000005</v>
      </c>
      <c r="AF87" s="58">
        <f t="shared" ref="AF87" si="1096">+SUM(AF88:AF89)</f>
        <v>211046.42240000001</v>
      </c>
      <c r="AG87" s="58">
        <f t="shared" ref="AG87" si="1097">+SUM(AG88:AG89)</f>
        <v>248590.40800000002</v>
      </c>
      <c r="AH87" s="58">
        <f t="shared" ref="AH87" si="1098">+SUM(AH88:AH89)</f>
        <v>261759.98000000004</v>
      </c>
      <c r="AI87" s="58">
        <f t="shared" ref="AI87" si="1099">+SUM(AI88:AI89)</f>
        <v>268624.75200000004</v>
      </c>
      <c r="AJ87" s="58">
        <f t="shared" ref="AJ87" si="1100">+SUM(AJ88:AJ89)</f>
        <v>288588.28049999999</v>
      </c>
      <c r="AK87" s="58">
        <f t="shared" ref="AK87" si="1101">+SUM(AK88:AK89)</f>
        <v>300027.8175</v>
      </c>
      <c r="AL87" s="58">
        <f t="shared" ref="AL87" si="1102">+SUM(AL88:AL89)</f>
        <v>260916.46000000002</v>
      </c>
      <c r="AM87" s="58">
        <f t="shared" ref="AM87" si="1103">+SUM(AM88:AM89)</f>
        <v>222593.16800000001</v>
      </c>
      <c r="AN87" s="58">
        <f t="shared" ref="AN87" si="1104">+SUM(AN88:AN89)</f>
        <v>279185.97200000001</v>
      </c>
      <c r="AO87" s="58">
        <f t="shared" ref="AO87" si="1105">+SUM(AO88:AO89)</f>
        <v>3103726.2104000002</v>
      </c>
      <c r="AQ87" s="58">
        <f t="shared" ref="AQ87:CE87" si="1106">+SUM(AQ88:AQ89)</f>
        <v>71463.08</v>
      </c>
      <c r="AR87" s="58">
        <f t="shared" si="1106"/>
        <v>218208.18700000003</v>
      </c>
      <c r="AS87" s="58">
        <f t="shared" si="1106"/>
        <v>49475.76</v>
      </c>
      <c r="AT87" s="58">
        <f t="shared" si="1106"/>
        <v>162378.66800000001</v>
      </c>
      <c r="AU87" s="58">
        <f t="shared" si="1106"/>
        <v>124933.08</v>
      </c>
      <c r="AV87" s="58">
        <f t="shared" si="1106"/>
        <v>3656.12</v>
      </c>
      <c r="AW87" s="58">
        <f t="shared" si="1106"/>
        <v>135309.44000000006</v>
      </c>
      <c r="AX87" s="58">
        <f t="shared" si="1106"/>
        <v>2560</v>
      </c>
      <c r="AY87" s="58">
        <f t="shared" si="1106"/>
        <v>120135.148</v>
      </c>
      <c r="AZ87" s="58">
        <f t="shared" si="1106"/>
        <v>149396.90600000002</v>
      </c>
      <c r="BA87" s="58">
        <f t="shared" si="1106"/>
        <v>163319.29900000003</v>
      </c>
      <c r="BB87" s="58">
        <f t="shared" si="1106"/>
        <v>81519.399999999994</v>
      </c>
      <c r="BC87" s="58">
        <f t="shared" si="1106"/>
        <v>1282355.0880000002</v>
      </c>
      <c r="BD87" s="18" t="str">
        <f t="shared" si="900"/>
        <v>Incentive</v>
      </c>
      <c r="BE87" s="58">
        <f t="shared" si="1106"/>
        <v>94856.276770533193</v>
      </c>
      <c r="BF87" s="58">
        <f t="shared" ref="BF87:BP87" si="1107">+SUM(BF88:BF89)</f>
        <v>1343.7232294668065</v>
      </c>
      <c r="BG87" s="58">
        <f t="shared" si="1107"/>
        <v>159046.61500000002</v>
      </c>
      <c r="BH87" s="58">
        <f t="shared" si="1107"/>
        <v>118877.54900000003</v>
      </c>
      <c r="BI87" s="58">
        <f t="shared" si="1107"/>
        <v>187362.59299999999</v>
      </c>
      <c r="BJ87" s="58">
        <f t="shared" si="1107"/>
        <v>135172.69600000003</v>
      </c>
      <c r="BK87" s="58">
        <f t="shared" si="1107"/>
        <v>124076.76799999998</v>
      </c>
      <c r="BL87" s="58">
        <f t="shared" si="1107"/>
        <v>86683.448000000004</v>
      </c>
      <c r="BM87" s="58">
        <f t="shared" si="1107"/>
        <v>190263.59</v>
      </c>
      <c r="BN87" s="58">
        <f t="shared" si="1107"/>
        <v>25858.76</v>
      </c>
      <c r="BO87" s="58">
        <f t="shared" si="1107"/>
        <v>0</v>
      </c>
      <c r="BP87" s="58">
        <f t="shared" si="1107"/>
        <v>0</v>
      </c>
      <c r="BQ87" s="58">
        <f t="shared" si="1106"/>
        <v>1123542.0189999999</v>
      </c>
      <c r="BR87" s="118">
        <f t="shared" si="417"/>
        <v>-0.81181560654680218</v>
      </c>
      <c r="BS87" s="58">
        <f t="shared" si="1106"/>
        <v>143137.3125</v>
      </c>
      <c r="BT87" s="58">
        <f t="shared" si="1106"/>
        <v>139047.67500000002</v>
      </c>
      <c r="BU87" s="58">
        <f t="shared" si="1106"/>
        <v>126778.76250000001</v>
      </c>
      <c r="BV87" s="58">
        <f t="shared" si="1106"/>
        <v>122492.8224</v>
      </c>
      <c r="BW87" s="58">
        <f t="shared" si="1106"/>
        <v>133485.76800000001</v>
      </c>
      <c r="BX87" s="58">
        <f t="shared" si="1106"/>
        <v>137411.82</v>
      </c>
      <c r="BY87" s="58">
        <f t="shared" si="1106"/>
        <v>141337.87200000003</v>
      </c>
      <c r="BZ87" s="58">
        <f t="shared" si="1106"/>
        <v>145754.68050000002</v>
      </c>
      <c r="CA87" s="58">
        <f t="shared" si="1106"/>
        <v>154588.29749999999</v>
      </c>
      <c r="CB87" s="58">
        <f t="shared" si="1106"/>
        <v>137411.82</v>
      </c>
      <c r="CC87" s="58">
        <f t="shared" si="1106"/>
        <v>109929.45600000001</v>
      </c>
      <c r="CD87" s="58">
        <f t="shared" si="1106"/>
        <v>145263.924</v>
      </c>
      <c r="CE87" s="58">
        <f t="shared" si="1106"/>
        <v>1636640.2104000002</v>
      </c>
      <c r="CF87" s="106"/>
      <c r="CG87" s="58">
        <f t="shared" ref="CG87:CS87" si="1108">+SUM(CG88:CG89)</f>
        <v>39176.740000000005</v>
      </c>
      <c r="CH87" s="58">
        <f t="shared" si="1108"/>
        <v>83082.664000000019</v>
      </c>
      <c r="CI87" s="58">
        <f t="shared" si="1108"/>
        <v>929.88</v>
      </c>
      <c r="CJ87" s="58">
        <f t="shared" si="1108"/>
        <v>44969.121000000014</v>
      </c>
      <c r="CK87" s="58">
        <f t="shared" si="1108"/>
        <v>99511.458000000028</v>
      </c>
      <c r="CL87" s="58">
        <f t="shared" si="1108"/>
        <v>48747.06</v>
      </c>
      <c r="CM87" s="58">
        <f t="shared" si="1108"/>
        <v>57729.050999999999</v>
      </c>
      <c r="CN87" s="58">
        <f t="shared" si="1108"/>
        <v>150</v>
      </c>
      <c r="CO87" s="58">
        <f t="shared" si="1108"/>
        <v>54690.126000000004</v>
      </c>
      <c r="CP87" s="58">
        <f t="shared" si="1108"/>
        <v>84448.706999999995</v>
      </c>
      <c r="CQ87" s="58">
        <f t="shared" si="1108"/>
        <v>85104.366000000009</v>
      </c>
      <c r="CR87" s="58">
        <f t="shared" si="1108"/>
        <v>33252.199999999997</v>
      </c>
      <c r="CS87" s="58">
        <f t="shared" si="1108"/>
        <v>631791.37300000002</v>
      </c>
      <c r="CT87" s="18" t="str">
        <f t="shared" si="901"/>
        <v>Incentive</v>
      </c>
      <c r="CU87" s="58">
        <f t="shared" ref="CU87:DU87" si="1109">+SUM(CU88:CU89)</f>
        <v>42131.627707399995</v>
      </c>
      <c r="CV87" s="58">
        <f t="shared" si="1109"/>
        <v>234</v>
      </c>
      <c r="CW87" s="58">
        <f t="shared" si="1109"/>
        <v>52804.815000000002</v>
      </c>
      <c r="CX87" s="58">
        <f t="shared" si="1109"/>
        <v>43170.625</v>
      </c>
      <c r="CY87" s="58">
        <f t="shared" si="1109"/>
        <v>76343.070000000007</v>
      </c>
      <c r="CZ87" s="58">
        <f t="shared" si="1109"/>
        <v>57455.59</v>
      </c>
      <c r="DA87" s="58">
        <f t="shared" si="1109"/>
        <v>80279.074999999997</v>
      </c>
      <c r="DB87" s="58">
        <f t="shared" si="1109"/>
        <v>81355.21100000001</v>
      </c>
      <c r="DC87" s="58">
        <f t="shared" si="1109"/>
        <v>64549.498999999974</v>
      </c>
      <c r="DD87" s="58">
        <f t="shared" si="1109"/>
        <v>56225.279999999999</v>
      </c>
      <c r="DE87" s="58">
        <f t="shared" si="1109"/>
        <v>0</v>
      </c>
      <c r="DF87" s="58">
        <f t="shared" si="1109"/>
        <v>0</v>
      </c>
      <c r="DG87" s="58">
        <f t="shared" si="1109"/>
        <v>554548.79270739993</v>
      </c>
      <c r="DH87" s="118">
        <f t="shared" si="421"/>
        <v>-0.13104717065113117</v>
      </c>
      <c r="DI87" s="58">
        <f t="shared" si="1109"/>
        <v>65544.960000000006</v>
      </c>
      <c r="DJ87" s="58">
        <f t="shared" si="1109"/>
        <v>69914.624000000011</v>
      </c>
      <c r="DK87" s="58">
        <f t="shared" si="1109"/>
        <v>83023.616000000024</v>
      </c>
      <c r="DL87" s="58">
        <f t="shared" si="1109"/>
        <v>46217.600000000006</v>
      </c>
      <c r="DM87" s="58">
        <f t="shared" si="1109"/>
        <v>64704.640000000007</v>
      </c>
      <c r="DN87" s="58">
        <f t="shared" si="1109"/>
        <v>73948.160000000018</v>
      </c>
      <c r="DO87" s="58">
        <f t="shared" si="1109"/>
        <v>70586.880000000005</v>
      </c>
      <c r="DP87" s="58">
        <f t="shared" si="1109"/>
        <v>88233.599999999977</v>
      </c>
      <c r="DQ87" s="58">
        <f t="shared" si="1109"/>
        <v>93275.520000000004</v>
      </c>
      <c r="DR87" s="58">
        <f t="shared" si="1109"/>
        <v>64704.640000000007</v>
      </c>
      <c r="DS87" s="58">
        <f t="shared" si="1109"/>
        <v>51763.712000000007</v>
      </c>
      <c r="DT87" s="58">
        <f t="shared" si="1109"/>
        <v>68402.047999999995</v>
      </c>
      <c r="DU87" s="58">
        <f t="shared" si="1109"/>
        <v>840320.00000000012</v>
      </c>
      <c r="DW87" s="28">
        <f t="shared" ref="DW87:EI87" si="1110">+SUM(DW88:DW89)</f>
        <v>0</v>
      </c>
      <c r="DX87" s="28">
        <f t="shared" si="1110"/>
        <v>0</v>
      </c>
      <c r="DY87" s="28">
        <f t="shared" si="1110"/>
        <v>0</v>
      </c>
      <c r="DZ87" s="28">
        <f t="shared" si="1110"/>
        <v>0</v>
      </c>
      <c r="EA87" s="28">
        <f t="shared" si="1110"/>
        <v>0</v>
      </c>
      <c r="EB87" s="28">
        <f t="shared" si="1110"/>
        <v>0</v>
      </c>
      <c r="EC87" s="28">
        <f t="shared" si="1110"/>
        <v>0</v>
      </c>
      <c r="ED87" s="28">
        <f t="shared" si="1110"/>
        <v>0</v>
      </c>
      <c r="EE87" s="28">
        <f t="shared" si="1110"/>
        <v>0</v>
      </c>
      <c r="EF87" s="28">
        <f t="shared" si="1110"/>
        <v>0</v>
      </c>
      <c r="EG87" s="28">
        <f t="shared" si="1110"/>
        <v>0</v>
      </c>
      <c r="EH87" s="28">
        <f t="shared" si="1110"/>
        <v>0</v>
      </c>
      <c r="EI87" s="58">
        <f t="shared" si="1110"/>
        <v>0</v>
      </c>
      <c r="EJ87" s="18" t="str">
        <f t="shared" si="966"/>
        <v>Incentive</v>
      </c>
      <c r="EK87" s="28">
        <f t="shared" ref="EK87:EV87" si="1111">+SUM(EK88:EK89)</f>
        <v>0</v>
      </c>
      <c r="EL87" s="28">
        <f t="shared" si="1111"/>
        <v>0</v>
      </c>
      <c r="EM87" s="28">
        <f t="shared" si="1111"/>
        <v>23330.29</v>
      </c>
      <c r="EN87" s="28">
        <f t="shared" si="1111"/>
        <v>0</v>
      </c>
      <c r="EO87" s="28">
        <f t="shared" si="1111"/>
        <v>11833.560000000001</v>
      </c>
      <c r="EP87" s="28">
        <f t="shared" si="1111"/>
        <v>37972.902000000002</v>
      </c>
      <c r="EQ87" s="28">
        <f t="shared" si="1111"/>
        <v>12163.881000000001</v>
      </c>
      <c r="ER87" s="28">
        <f t="shared" si="1111"/>
        <v>0</v>
      </c>
      <c r="ES87" s="28">
        <f t="shared" si="1111"/>
        <v>14323.2</v>
      </c>
      <c r="ET87" s="28">
        <f t="shared" si="1111"/>
        <v>10649</v>
      </c>
      <c r="EU87" s="28">
        <f t="shared" si="1111"/>
        <v>0</v>
      </c>
      <c r="EV87" s="28">
        <f t="shared" si="1111"/>
        <v>0</v>
      </c>
      <c r="EW87" s="28">
        <f t="shared" ref="EW87" si="1112">+SUM(EW88:EW89)</f>
        <v>110272.833</v>
      </c>
      <c r="EX87" s="118">
        <f t="shared" si="425"/>
        <v>-0.72541982976765584</v>
      </c>
      <c r="EY87" s="58">
        <f t="shared" ref="EY87:FK87" si="1113">+SUM(EY88:EY89)</f>
        <v>45360</v>
      </c>
      <c r="EZ87" s="58">
        <f t="shared" si="1113"/>
        <v>42336.000000000007</v>
      </c>
      <c r="FA87" s="58">
        <f t="shared" si="1113"/>
        <v>47250.000000000007</v>
      </c>
      <c r="FB87" s="58">
        <f t="shared" si="1113"/>
        <v>42336.000000000007</v>
      </c>
      <c r="FC87" s="58">
        <f t="shared" si="1113"/>
        <v>50400</v>
      </c>
      <c r="FD87" s="58">
        <f t="shared" si="1113"/>
        <v>50400</v>
      </c>
      <c r="FE87" s="58">
        <f t="shared" si="1113"/>
        <v>56700.000000000007</v>
      </c>
      <c r="FF87" s="58">
        <f t="shared" si="1113"/>
        <v>54600.000000000007</v>
      </c>
      <c r="FG87" s="58">
        <f t="shared" si="1113"/>
        <v>52164.000000000007</v>
      </c>
      <c r="FH87" s="58">
        <f t="shared" si="1113"/>
        <v>58800</v>
      </c>
      <c r="FI87" s="58">
        <f t="shared" si="1113"/>
        <v>60900</v>
      </c>
      <c r="FJ87" s="58">
        <f t="shared" si="1113"/>
        <v>65520.000000000007</v>
      </c>
      <c r="FK87" s="58">
        <f t="shared" si="1113"/>
        <v>626766</v>
      </c>
    </row>
    <row r="88" spans="1:167" ht="14.45" hidden="1" customHeight="1" outlineLevel="2">
      <c r="A88" s="106">
        <f t="shared" ref="A88:L89" si="1114">+AQ88+CG88+DW88</f>
        <v>110639.82</v>
      </c>
      <c r="B88" s="106">
        <f t="shared" si="1114"/>
        <v>301290.85100000002</v>
      </c>
      <c r="C88" s="106">
        <f t="shared" si="1114"/>
        <v>50405.64</v>
      </c>
      <c r="D88" s="106">
        <f t="shared" si="1114"/>
        <v>207347.78900000002</v>
      </c>
      <c r="E88" s="106">
        <f t="shared" si="1114"/>
        <v>224444.53800000003</v>
      </c>
      <c r="F88" s="106">
        <f t="shared" si="1114"/>
        <v>52403.18</v>
      </c>
      <c r="G88" s="106">
        <f t="shared" si="1114"/>
        <v>193038.49100000007</v>
      </c>
      <c r="H88" s="106">
        <f t="shared" si="1114"/>
        <v>2710</v>
      </c>
      <c r="I88" s="106">
        <f t="shared" si="1114"/>
        <v>174825.274</v>
      </c>
      <c r="J88" s="106">
        <f t="shared" si="1114"/>
        <v>233845.61300000001</v>
      </c>
      <c r="K88" s="106">
        <f t="shared" si="1114"/>
        <v>248423.66500000004</v>
      </c>
      <c r="L88" s="106">
        <f t="shared" si="1114"/>
        <v>114771.59999999999</v>
      </c>
      <c r="M88" s="106">
        <f t="shared" si="1068"/>
        <v>1914146.4610000006</v>
      </c>
      <c r="N88" s="16" t="s">
        <v>222</v>
      </c>
      <c r="O88" s="106">
        <f t="shared" ref="O88:O89" si="1115">+BE88+CU88+EK88</f>
        <v>136987.90447793319</v>
      </c>
      <c r="P88" s="106">
        <f t="shared" ref="P88:P89" si="1116">+BF88+CV88+EL88</f>
        <v>1577.7232294668065</v>
      </c>
      <c r="Q88" s="106">
        <f t="shared" ref="Q88:Q89" si="1117">+BG88+CW88+EM88</f>
        <v>235181.72000000003</v>
      </c>
      <c r="R88" s="106">
        <f t="shared" ref="R88:R89" si="1118">+BH88+CX88+EN88</f>
        <v>162048.17400000003</v>
      </c>
      <c r="S88" s="106">
        <f t="shared" ref="S88:S89" si="1119">+BI88+CY88+EO88</f>
        <v>275539.223</v>
      </c>
      <c r="T88" s="106">
        <f t="shared" ref="T88:T89" si="1120">+BJ88+CZ88+EP88</f>
        <v>230601.18800000002</v>
      </c>
      <c r="U88" s="106">
        <f t="shared" ref="U88:U89" si="1121">+BK88+DA88+EQ88</f>
        <v>216519.72399999999</v>
      </c>
      <c r="V88" s="106">
        <f t="shared" ref="V88:V89" si="1122">+BL88+DB88+ER88</f>
        <v>168038.65900000001</v>
      </c>
      <c r="W88" s="106">
        <f t="shared" ref="W88:W89" si="1123">+BM88+DC88+ES88</f>
        <v>269136.28899999999</v>
      </c>
      <c r="X88" s="106">
        <f t="shared" ref="X88:X89" si="1124">+BN88+DD88+ET88</f>
        <v>92733.04</v>
      </c>
      <c r="Y88" s="106">
        <f t="shared" ref="Y88:Y89" si="1125">+BO88+DE88+EU88</f>
        <v>0</v>
      </c>
      <c r="Z88" s="106">
        <f t="shared" ref="Z88:Z89" si="1126">+BP88+DF88+EV88</f>
        <v>0</v>
      </c>
      <c r="AA88" s="106">
        <f t="shared" ref="AA88:AA89" si="1127">+SUM(O88:Z88)</f>
        <v>1788363.6447073999</v>
      </c>
      <c r="AB88" s="118">
        <f t="shared" si="401"/>
        <v>-0.64458723684967989</v>
      </c>
      <c r="AC88" s="106">
        <f t="shared" ref="AC88:AC89" si="1128">+BS88+DI88+EY88</f>
        <v>254042.27250000002</v>
      </c>
      <c r="AD88" s="106">
        <f t="shared" ref="AD88:AD89" si="1129">+BT88+DJ88+EZ88</f>
        <v>251298.29900000003</v>
      </c>
      <c r="AE88" s="106">
        <f t="shared" ref="AE88:AE89" si="1130">+BU88+DK88+FA88</f>
        <v>257052.37850000005</v>
      </c>
      <c r="AF88" s="106">
        <f t="shared" ref="AF88:AF89" si="1131">+BV88+DL88+FB88</f>
        <v>211046.42240000001</v>
      </c>
      <c r="AG88" s="106">
        <f t="shared" ref="AG88:AG89" si="1132">+BW88+DM88+FC88</f>
        <v>248590.40800000002</v>
      </c>
      <c r="AH88" s="106">
        <f t="shared" ref="AH88:AH89" si="1133">+BX88+DN88+FD88</f>
        <v>261759.98000000004</v>
      </c>
      <c r="AI88" s="106">
        <f t="shared" ref="AI88:AI89" si="1134">+BY88+DO88+FE88</f>
        <v>268624.75200000004</v>
      </c>
      <c r="AJ88" s="106">
        <f t="shared" ref="AJ88:AJ89" si="1135">+BZ88+DP88+FF88</f>
        <v>288588.28049999999</v>
      </c>
      <c r="AK88" s="106">
        <f t="shared" ref="AK88:AK89" si="1136">+CA88+DQ88+FG88</f>
        <v>300027.8175</v>
      </c>
      <c r="AL88" s="106">
        <f t="shared" ref="AL88:AL89" si="1137">+CB88+DR88+FH88</f>
        <v>260916.46000000002</v>
      </c>
      <c r="AM88" s="106">
        <f t="shared" ref="AM88:AM89" si="1138">+CC88+DS88+FI88</f>
        <v>222593.16800000001</v>
      </c>
      <c r="AN88" s="106">
        <f t="shared" ref="AN88:AN89" si="1139">+CD88+DT88+FJ88</f>
        <v>279185.97200000001</v>
      </c>
      <c r="AO88" s="106">
        <f t="shared" ref="AO88:AO89" si="1140">+SUM(AC88:AN88)</f>
        <v>3103726.2104000002</v>
      </c>
      <c r="AQ88" s="106">
        <v>71463.08</v>
      </c>
      <c r="AR88" s="106">
        <v>218208.18700000003</v>
      </c>
      <c r="AS88" s="106">
        <v>49475.76</v>
      </c>
      <c r="AT88" s="106">
        <v>162378.66800000001</v>
      </c>
      <c r="AU88" s="106">
        <v>124933.08</v>
      </c>
      <c r="AV88" s="106">
        <v>3656.12</v>
      </c>
      <c r="AW88" s="106">
        <v>135309.44000000006</v>
      </c>
      <c r="AX88" s="106">
        <v>2560</v>
      </c>
      <c r="AY88" s="106">
        <v>120135.148</v>
      </c>
      <c r="AZ88" s="106">
        <v>149396.90600000002</v>
      </c>
      <c r="BA88" s="106">
        <v>163319.29900000003</v>
      </c>
      <c r="BB88" s="106">
        <v>81519.399999999994</v>
      </c>
      <c r="BC88" s="106">
        <f t="shared" ref="BC88:BC89" si="1141">+SUM(AQ88:BB88)</f>
        <v>1282355.0880000002</v>
      </c>
      <c r="BD88" s="16" t="str">
        <f t="shared" si="900"/>
        <v>Incentive to Employee</v>
      </c>
      <c r="BE88" s="106">
        <f>+VLOOKUP($BD88,'Jan-25'!$A:$J,5,0)</f>
        <v>94856.276770533193</v>
      </c>
      <c r="BF88" s="106">
        <f>+VLOOKUP($BD88,'Feb-25'!$A:$J,5,0)</f>
        <v>1343.7232294668065</v>
      </c>
      <c r="BG88" s="106">
        <f>+VLOOKUP($BD88,'Mar-25'!$A:$J,5,0)</f>
        <v>159046.61500000002</v>
      </c>
      <c r="BH88" s="106">
        <f>+VLOOKUP($BD88,'Apr-25'!$A:$J,5,0)</f>
        <v>118877.54900000003</v>
      </c>
      <c r="BI88" s="106">
        <f>+VLOOKUP($BD88,'May-25'!$A:$J,5,0)</f>
        <v>187362.59299999999</v>
      </c>
      <c r="BJ88" s="106">
        <f>+VLOOKUP($BD88,'June-25'!$A:$J,5,0)</f>
        <v>135172.69600000003</v>
      </c>
      <c r="BK88" s="106">
        <f>+VLOOKUP($BD88,'July-25'!$A:$J,5,0)</f>
        <v>124076.76799999998</v>
      </c>
      <c r="BL88" s="106">
        <f>+VLOOKUP($BD88,'Aug-25'!$A:$J,5,0)</f>
        <v>86683.448000000004</v>
      </c>
      <c r="BM88" s="106">
        <f>+VLOOKUP($BD88,'Sep-25'!$A:$J,5,0)</f>
        <v>190263.59</v>
      </c>
      <c r="BN88" s="106">
        <f>+VLOOKUP($BD88,'Oct-25'!$A:$J,5,0)</f>
        <v>25858.76</v>
      </c>
      <c r="BO88" s="106">
        <f>+VLOOKUP($BD88,'Nov-25'!$A:$J,5,0)</f>
        <v>0</v>
      </c>
      <c r="BP88" s="106">
        <f>+VLOOKUP($BD88,'Dec-25'!$A:$J,5,0)</f>
        <v>0</v>
      </c>
      <c r="BQ88" s="106">
        <f t="shared" ref="BQ88:BQ89" si="1142">+SUM(BE88:BP88)</f>
        <v>1123542.0189999999</v>
      </c>
      <c r="BR88" s="118">
        <f t="shared" si="417"/>
        <v>-0.81181560654680218</v>
      </c>
      <c r="BS88" s="106">
        <f>+BS32*10%</f>
        <v>143137.3125</v>
      </c>
      <c r="BT88" s="106">
        <f t="shared" ref="BT88:CD88" si="1143">+BT32*10%</f>
        <v>139047.67500000002</v>
      </c>
      <c r="BU88" s="106">
        <f t="shared" si="1143"/>
        <v>126778.76250000001</v>
      </c>
      <c r="BV88" s="106">
        <f t="shared" si="1143"/>
        <v>122492.8224</v>
      </c>
      <c r="BW88" s="106">
        <f t="shared" si="1143"/>
        <v>133485.76800000001</v>
      </c>
      <c r="BX88" s="106">
        <f t="shared" si="1143"/>
        <v>137411.82</v>
      </c>
      <c r="BY88" s="106">
        <f t="shared" si="1143"/>
        <v>141337.87200000003</v>
      </c>
      <c r="BZ88" s="106">
        <f t="shared" si="1143"/>
        <v>145754.68050000002</v>
      </c>
      <c r="CA88" s="106">
        <f t="shared" si="1143"/>
        <v>154588.29749999999</v>
      </c>
      <c r="CB88" s="106">
        <f t="shared" si="1143"/>
        <v>137411.82</v>
      </c>
      <c r="CC88" s="106">
        <f t="shared" si="1143"/>
        <v>109929.45600000001</v>
      </c>
      <c r="CD88" s="106">
        <f t="shared" si="1143"/>
        <v>145263.924</v>
      </c>
      <c r="CE88" s="106">
        <f t="shared" ref="CE88:CE89" si="1144">+SUM(BS88:CD88)</f>
        <v>1636640.2104000002</v>
      </c>
      <c r="CF88" s="106"/>
      <c r="CG88" s="106">
        <v>39176.740000000005</v>
      </c>
      <c r="CH88" s="106">
        <v>83082.664000000019</v>
      </c>
      <c r="CI88" s="106">
        <v>929.88</v>
      </c>
      <c r="CJ88" s="106">
        <v>44969.121000000014</v>
      </c>
      <c r="CK88" s="106">
        <v>99511.458000000028</v>
      </c>
      <c r="CL88" s="106">
        <v>48747.06</v>
      </c>
      <c r="CM88" s="106">
        <v>57729.050999999999</v>
      </c>
      <c r="CN88" s="106">
        <v>150</v>
      </c>
      <c r="CO88" s="106">
        <v>54690.126000000004</v>
      </c>
      <c r="CP88" s="106">
        <v>84448.706999999995</v>
      </c>
      <c r="CQ88" s="106">
        <v>85104.366000000009</v>
      </c>
      <c r="CR88" s="106">
        <v>33252.199999999997</v>
      </c>
      <c r="CS88" s="106">
        <f t="shared" ref="CS88:CS89" si="1145">+SUM(CG88:CR88)</f>
        <v>631791.37300000002</v>
      </c>
      <c r="CT88" s="16" t="str">
        <f t="shared" si="901"/>
        <v>Incentive to Employee</v>
      </c>
      <c r="CU88" s="106">
        <f>+VLOOKUP($BD88,'Jan-25'!$A:$J,8,0)</f>
        <v>42131.627707399995</v>
      </c>
      <c r="CV88" s="106">
        <f>+VLOOKUP($BD88,'Feb-25'!$A:$J,8,0)</f>
        <v>234</v>
      </c>
      <c r="CW88" s="106">
        <f>+VLOOKUP($BD88,'Mar-25'!$A:$J,8,0)</f>
        <v>52804.815000000002</v>
      </c>
      <c r="CX88" s="106">
        <f>+VLOOKUP($BD88,'Apr-25'!$A:$J,8,0)</f>
        <v>43170.625</v>
      </c>
      <c r="CY88" s="106">
        <f>+VLOOKUP($BD88,'May-25'!$A:$J,8,0)</f>
        <v>76343.070000000007</v>
      </c>
      <c r="CZ88" s="106">
        <f>+VLOOKUP($BD88,'June-25'!$A:$J,8,0)</f>
        <v>57455.59</v>
      </c>
      <c r="DA88" s="106">
        <f>+VLOOKUP($BD88,'July-25'!$A:$J,8,0)</f>
        <v>80279.074999999997</v>
      </c>
      <c r="DB88" s="106">
        <f>+VLOOKUP($BD88,'Aug-25'!$A:$J,8,0)</f>
        <v>81355.21100000001</v>
      </c>
      <c r="DC88" s="106">
        <f>+VLOOKUP($BD88,'Sep-25'!$A:$J,8,0)</f>
        <v>64549.498999999974</v>
      </c>
      <c r="DD88" s="106">
        <f>+VLOOKUP($BD88,'Oct-25'!$A:$J,8,0)</f>
        <v>56225.279999999999</v>
      </c>
      <c r="DE88" s="106">
        <f>+VLOOKUP($BD88,'Nov-25'!$A:$J,8,0)</f>
        <v>0</v>
      </c>
      <c r="DF88" s="106">
        <f>+VLOOKUP($BD88,'Dec-25'!$A:$J,8,0)</f>
        <v>0</v>
      </c>
      <c r="DG88" s="106">
        <f t="shared" ref="DG88:DG89" si="1146">+SUM(CU88:DF88)</f>
        <v>554548.79270739993</v>
      </c>
      <c r="DH88" s="118">
        <f t="shared" si="421"/>
        <v>-0.13104717065113117</v>
      </c>
      <c r="DI88" s="106">
        <f>+DI32*10%</f>
        <v>65544.960000000006</v>
      </c>
      <c r="DJ88" s="106">
        <f t="shared" ref="DJ88:DT88" si="1147">+DJ32*10%</f>
        <v>69914.624000000011</v>
      </c>
      <c r="DK88" s="106">
        <f t="shared" si="1147"/>
        <v>83023.616000000024</v>
      </c>
      <c r="DL88" s="106">
        <f t="shared" si="1147"/>
        <v>46217.600000000006</v>
      </c>
      <c r="DM88" s="106">
        <f t="shared" si="1147"/>
        <v>64704.640000000007</v>
      </c>
      <c r="DN88" s="106">
        <f t="shared" si="1147"/>
        <v>73948.160000000018</v>
      </c>
      <c r="DO88" s="106">
        <f t="shared" si="1147"/>
        <v>70586.880000000005</v>
      </c>
      <c r="DP88" s="106">
        <f t="shared" si="1147"/>
        <v>88233.599999999977</v>
      </c>
      <c r="DQ88" s="106">
        <f t="shared" si="1147"/>
        <v>93275.520000000004</v>
      </c>
      <c r="DR88" s="106">
        <f t="shared" si="1147"/>
        <v>64704.640000000007</v>
      </c>
      <c r="DS88" s="106">
        <f t="shared" si="1147"/>
        <v>51763.712000000007</v>
      </c>
      <c r="DT88" s="106">
        <f t="shared" si="1147"/>
        <v>68402.047999999995</v>
      </c>
      <c r="DU88" s="106">
        <f t="shared" ref="DU88:DU89" si="1148">+SUM(DI88:DT88)</f>
        <v>840320.00000000012</v>
      </c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106">
        <f t="shared" ref="EI88:EI89" si="1149">+SUM(DW88:EH88)</f>
        <v>0</v>
      </c>
      <c r="EJ88" s="16" t="str">
        <f t="shared" si="966"/>
        <v>Incentive to Employee</v>
      </c>
      <c r="EK88" s="22">
        <f>+VLOOKUP($BD88,'Jan-25'!$A:$J,10,0)</f>
        <v>0</v>
      </c>
      <c r="EL88" s="22">
        <f>+VLOOKUP($BD88,'Feb-25'!$A:$J,10,0)</f>
        <v>0</v>
      </c>
      <c r="EM88" s="22">
        <f>+VLOOKUP($BD88,'Mar-25'!$A:$J,10,0)</f>
        <v>23330.29</v>
      </c>
      <c r="EN88" s="22">
        <f>+VLOOKUP($BD88,'Apr-25'!$A:$J,10,0)</f>
        <v>0</v>
      </c>
      <c r="EO88" s="22">
        <f>+VLOOKUP($BD88,'May-25'!$A:$J,10,0)</f>
        <v>11833.560000000001</v>
      </c>
      <c r="EP88" s="22">
        <f>+VLOOKUP($BD88,'June-25'!$A:$J,10,0)</f>
        <v>37972.902000000002</v>
      </c>
      <c r="EQ88" s="22">
        <f>+VLOOKUP($BD88,'July-25'!$A:$J,10,0)</f>
        <v>12163.881000000001</v>
      </c>
      <c r="ER88" s="22">
        <f>+VLOOKUP($BD88,'Aug-25'!$A:$J,10,0)</f>
        <v>0</v>
      </c>
      <c r="ES88" s="22">
        <f>+VLOOKUP($BD88,'Sep-25'!$A:$J,10,0)</f>
        <v>14323.2</v>
      </c>
      <c r="ET88" s="22">
        <f>+VLOOKUP($BD88,'Oct-25'!$A:$J,10,0)</f>
        <v>10649</v>
      </c>
      <c r="EU88" s="22">
        <f>+VLOOKUP($BD88,'Nov-25'!$A:$J,10,0)</f>
        <v>0</v>
      </c>
      <c r="EV88" s="22">
        <f>+VLOOKUP($BD88,'Dec-25'!$A:$J,10,0)</f>
        <v>0</v>
      </c>
      <c r="EW88" s="22">
        <f t="shared" ref="EW88:EW89" si="1150">+SUM(EK88:EV88)</f>
        <v>110272.833</v>
      </c>
      <c r="EX88" s="118">
        <f t="shared" si="425"/>
        <v>-0.72541982976765584</v>
      </c>
      <c r="EY88" s="106">
        <f>+_xlfn.XLOOKUP($EJ88,Budget!$A:$A,Budget!DR:DR)</f>
        <v>45360</v>
      </c>
      <c r="EZ88" s="106">
        <f>+_xlfn.XLOOKUP($EJ88,Budget!$A:$A,Budget!DS:DS)</f>
        <v>42336.000000000007</v>
      </c>
      <c r="FA88" s="106">
        <f>+_xlfn.XLOOKUP($EJ88,Budget!$A:$A,Budget!DT:DT)</f>
        <v>47250.000000000007</v>
      </c>
      <c r="FB88" s="106">
        <f>+_xlfn.XLOOKUP($EJ88,Budget!$A:$A,Budget!DU:DU)</f>
        <v>42336.000000000007</v>
      </c>
      <c r="FC88" s="106">
        <f>+_xlfn.XLOOKUP($EJ88,Budget!$A:$A,Budget!DV:DV)</f>
        <v>50400</v>
      </c>
      <c r="FD88" s="106">
        <f>+_xlfn.XLOOKUP($EJ88,Budget!$A:$A,Budget!DW:DW)</f>
        <v>50400</v>
      </c>
      <c r="FE88" s="106">
        <f>+_xlfn.XLOOKUP($EJ88,Budget!$A:$A,Budget!DX:DX)</f>
        <v>56700.000000000007</v>
      </c>
      <c r="FF88" s="106">
        <f>+_xlfn.XLOOKUP($EJ88,Budget!$A:$A,Budget!DY:DY)</f>
        <v>54600.000000000007</v>
      </c>
      <c r="FG88" s="106">
        <f>+_xlfn.XLOOKUP($EJ88,Budget!$A:$A,Budget!DZ:DZ)</f>
        <v>52164.000000000007</v>
      </c>
      <c r="FH88" s="106">
        <f>+_xlfn.XLOOKUP($EJ88,Budget!$A:$A,Budget!EA:EA)</f>
        <v>58800</v>
      </c>
      <c r="FI88" s="106">
        <f>+_xlfn.XLOOKUP($EJ88,Budget!$A:$A,Budget!EB:EB)</f>
        <v>60900</v>
      </c>
      <c r="FJ88" s="106">
        <f>+_xlfn.XLOOKUP($EJ88,Budget!$A:$A,Budget!EC:EC)</f>
        <v>65520.000000000007</v>
      </c>
      <c r="FK88" s="106">
        <f t="shared" ref="FK88:FK89" si="1151">+SUM(EY88:FJ88)</f>
        <v>626766</v>
      </c>
    </row>
    <row r="89" spans="1:167" ht="14.45" hidden="1" customHeight="1" outlineLevel="2">
      <c r="A89" s="106">
        <f t="shared" si="1114"/>
        <v>0</v>
      </c>
      <c r="B89" s="106">
        <f t="shared" si="1114"/>
        <v>0</v>
      </c>
      <c r="C89" s="106">
        <f t="shared" si="1114"/>
        <v>0</v>
      </c>
      <c r="D89" s="106">
        <f t="shared" si="1114"/>
        <v>0</v>
      </c>
      <c r="E89" s="106">
        <f t="shared" si="1114"/>
        <v>0</v>
      </c>
      <c r="F89" s="106">
        <f t="shared" si="1114"/>
        <v>0</v>
      </c>
      <c r="G89" s="106">
        <f t="shared" si="1114"/>
        <v>0</v>
      </c>
      <c r="H89" s="106">
        <f t="shared" si="1114"/>
        <v>0</v>
      </c>
      <c r="I89" s="106">
        <f t="shared" si="1114"/>
        <v>0</v>
      </c>
      <c r="J89" s="106">
        <f t="shared" si="1114"/>
        <v>0</v>
      </c>
      <c r="K89" s="106">
        <f t="shared" si="1114"/>
        <v>0</v>
      </c>
      <c r="L89" s="106">
        <f t="shared" si="1114"/>
        <v>0</v>
      </c>
      <c r="M89" s="106">
        <f t="shared" si="1068"/>
        <v>0</v>
      </c>
      <c r="N89" s="16" t="s">
        <v>223</v>
      </c>
      <c r="O89" s="106">
        <f t="shared" si="1115"/>
        <v>0</v>
      </c>
      <c r="P89" s="106">
        <f t="shared" si="1116"/>
        <v>0</v>
      </c>
      <c r="Q89" s="106">
        <f t="shared" si="1117"/>
        <v>0</v>
      </c>
      <c r="R89" s="106">
        <f t="shared" si="1118"/>
        <v>0</v>
      </c>
      <c r="S89" s="106">
        <f t="shared" si="1119"/>
        <v>0</v>
      </c>
      <c r="T89" s="106">
        <f t="shared" si="1120"/>
        <v>0</v>
      </c>
      <c r="U89" s="106">
        <f t="shared" si="1121"/>
        <v>0</v>
      </c>
      <c r="V89" s="106">
        <f t="shared" si="1122"/>
        <v>0</v>
      </c>
      <c r="W89" s="106">
        <f t="shared" si="1123"/>
        <v>0</v>
      </c>
      <c r="X89" s="106">
        <f t="shared" si="1124"/>
        <v>0</v>
      </c>
      <c r="Y89" s="106">
        <f t="shared" si="1125"/>
        <v>0</v>
      </c>
      <c r="Z89" s="106">
        <f t="shared" si="1126"/>
        <v>0</v>
      </c>
      <c r="AA89" s="106">
        <f t="shared" si="1127"/>
        <v>0</v>
      </c>
      <c r="AB89" s="118">
        <f t="shared" si="401"/>
        <v>0</v>
      </c>
      <c r="AC89" s="106">
        <f t="shared" si="1128"/>
        <v>0</v>
      </c>
      <c r="AD89" s="106">
        <f t="shared" si="1129"/>
        <v>0</v>
      </c>
      <c r="AE89" s="106">
        <f t="shared" si="1130"/>
        <v>0</v>
      </c>
      <c r="AF89" s="106">
        <f t="shared" si="1131"/>
        <v>0</v>
      </c>
      <c r="AG89" s="106">
        <f t="shared" si="1132"/>
        <v>0</v>
      </c>
      <c r="AH89" s="106">
        <f t="shared" si="1133"/>
        <v>0</v>
      </c>
      <c r="AI89" s="106">
        <f t="shared" si="1134"/>
        <v>0</v>
      </c>
      <c r="AJ89" s="106">
        <f t="shared" si="1135"/>
        <v>0</v>
      </c>
      <c r="AK89" s="106">
        <f t="shared" si="1136"/>
        <v>0</v>
      </c>
      <c r="AL89" s="106">
        <f t="shared" si="1137"/>
        <v>0</v>
      </c>
      <c r="AM89" s="106">
        <f t="shared" si="1138"/>
        <v>0</v>
      </c>
      <c r="AN89" s="106">
        <f t="shared" si="1139"/>
        <v>0</v>
      </c>
      <c r="AO89" s="106">
        <f t="shared" si="1140"/>
        <v>0</v>
      </c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>
        <f t="shared" si="1141"/>
        <v>0</v>
      </c>
      <c r="BD89" s="16" t="str">
        <f t="shared" si="900"/>
        <v>XOXODAY MBIL Incentive</v>
      </c>
      <c r="BE89" s="106">
        <f>+VLOOKUP($BD89,'Jan-25'!$A:$J,5,0)</f>
        <v>0</v>
      </c>
      <c r="BF89" s="106">
        <f>+VLOOKUP($BD89,'Feb-25'!$A:$J,5,0)</f>
        <v>0</v>
      </c>
      <c r="BG89" s="106">
        <f>+VLOOKUP($BD89,'Mar-25'!$A:$J,5,0)</f>
        <v>0</v>
      </c>
      <c r="BH89" s="106">
        <f>+VLOOKUP($BD89,'Apr-25'!$A:$J,5,0)</f>
        <v>0</v>
      </c>
      <c r="BI89" s="106">
        <f>+VLOOKUP($BD89,'May-25'!$A:$J,5,0)</f>
        <v>0</v>
      </c>
      <c r="BJ89" s="106">
        <f>+VLOOKUP($BD89,'June-25'!$A:$J,5,0)</f>
        <v>0</v>
      </c>
      <c r="BK89" s="106">
        <f>+VLOOKUP($BD89,'July-25'!$A:$J,5,0)</f>
        <v>0</v>
      </c>
      <c r="BL89" s="106">
        <f>+VLOOKUP($BD89,'Aug-25'!$A:$J,5,0)</f>
        <v>0</v>
      </c>
      <c r="BM89" s="106">
        <f>+VLOOKUP($BD89,'Sep-25'!$A:$J,5,0)</f>
        <v>0</v>
      </c>
      <c r="BN89" s="106">
        <f>+VLOOKUP($BD89,'Oct-25'!$A:$J,5,0)</f>
        <v>0</v>
      </c>
      <c r="BO89" s="106">
        <f>+VLOOKUP($BD89,'Nov-25'!$A:$J,5,0)</f>
        <v>0</v>
      </c>
      <c r="BP89" s="106">
        <f>+VLOOKUP($BD89,'Dec-25'!$A:$J,5,0)</f>
        <v>0</v>
      </c>
      <c r="BQ89" s="106">
        <f t="shared" si="1142"/>
        <v>0</v>
      </c>
      <c r="BR89" s="118">
        <f t="shared" si="417"/>
        <v>0</v>
      </c>
      <c r="BS89" s="106"/>
      <c r="BT89" s="106"/>
      <c r="BU89" s="106"/>
      <c r="BV89" s="106"/>
      <c r="BW89" s="106"/>
      <c r="BX89" s="106"/>
      <c r="BY89" s="106"/>
      <c r="BZ89" s="106"/>
      <c r="CA89" s="106"/>
      <c r="CB89" s="106"/>
      <c r="CC89" s="106"/>
      <c r="CD89" s="106"/>
      <c r="CE89" s="106">
        <f t="shared" si="1144"/>
        <v>0</v>
      </c>
      <c r="CF89" s="106"/>
      <c r="CG89" s="106"/>
      <c r="CH89" s="106"/>
      <c r="CI89" s="106"/>
      <c r="CJ89" s="106"/>
      <c r="CK89" s="106"/>
      <c r="CL89" s="106"/>
      <c r="CM89" s="106"/>
      <c r="CN89" s="106"/>
      <c r="CO89" s="106"/>
      <c r="CP89" s="106"/>
      <c r="CQ89" s="106"/>
      <c r="CR89" s="106"/>
      <c r="CS89" s="106">
        <f t="shared" si="1145"/>
        <v>0</v>
      </c>
      <c r="CT89" s="16" t="str">
        <f t="shared" si="901"/>
        <v>XOXODAY MBIL Incentive</v>
      </c>
      <c r="CU89" s="106">
        <f>+VLOOKUP($BD89,'Jan-25'!$A:$J,8,0)</f>
        <v>0</v>
      </c>
      <c r="CV89" s="106">
        <f>+VLOOKUP($BD89,'Feb-25'!$A:$J,8,0)</f>
        <v>0</v>
      </c>
      <c r="CW89" s="106">
        <f>+VLOOKUP($BD89,'Mar-25'!$A:$J,8,0)</f>
        <v>0</v>
      </c>
      <c r="CX89" s="106">
        <f>+VLOOKUP($BD89,'Apr-25'!$A:$J,8,0)</f>
        <v>0</v>
      </c>
      <c r="CY89" s="106">
        <f>+VLOOKUP($BD89,'May-25'!$A:$J,8,0)</f>
        <v>0</v>
      </c>
      <c r="CZ89" s="106">
        <f>+VLOOKUP($BD89,'June-25'!$A:$J,8,0)</f>
        <v>0</v>
      </c>
      <c r="DA89" s="106">
        <f>+VLOOKUP($BD89,'July-25'!$A:$J,8,0)</f>
        <v>0</v>
      </c>
      <c r="DB89" s="106">
        <f>+VLOOKUP($BD89,'Aug-25'!$A:$J,8,0)</f>
        <v>0</v>
      </c>
      <c r="DC89" s="106">
        <f>+VLOOKUP($BD89,'Sep-25'!$A:$J,8,0)</f>
        <v>0</v>
      </c>
      <c r="DD89" s="106">
        <f>+VLOOKUP($BD89,'Oct-25'!$A:$J,8,0)</f>
        <v>0</v>
      </c>
      <c r="DE89" s="106">
        <f>+VLOOKUP($BD89,'Nov-25'!$A:$J,8,0)</f>
        <v>0</v>
      </c>
      <c r="DF89" s="106">
        <f>+VLOOKUP($BD89,'Dec-25'!$A:$J,8,0)</f>
        <v>0</v>
      </c>
      <c r="DG89" s="106">
        <f t="shared" si="1146"/>
        <v>0</v>
      </c>
      <c r="DH89" s="118">
        <f t="shared" si="421"/>
        <v>0</v>
      </c>
      <c r="DI89" s="106"/>
      <c r="DJ89" s="106"/>
      <c r="DK89" s="106"/>
      <c r="DL89" s="106"/>
      <c r="DM89" s="106"/>
      <c r="DN89" s="106"/>
      <c r="DO89" s="106"/>
      <c r="DP89" s="106"/>
      <c r="DQ89" s="106"/>
      <c r="DR89" s="106"/>
      <c r="DS89" s="106"/>
      <c r="DT89" s="106"/>
      <c r="DU89" s="106">
        <f t="shared" si="1148"/>
        <v>0</v>
      </c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106">
        <f t="shared" si="1149"/>
        <v>0</v>
      </c>
      <c r="EJ89" s="16" t="str">
        <f t="shared" si="966"/>
        <v>XOXODAY MBIL Incentive</v>
      </c>
      <c r="EK89" s="22">
        <f>+VLOOKUP($BD89,'Jan-25'!$A:$J,10,0)</f>
        <v>0</v>
      </c>
      <c r="EL89" s="22">
        <f>+VLOOKUP($BD89,'Feb-25'!$A:$J,10,0)</f>
        <v>0</v>
      </c>
      <c r="EM89" s="22">
        <f>+VLOOKUP($BD89,'Mar-25'!$A:$J,10,0)</f>
        <v>0</v>
      </c>
      <c r="EN89" s="22">
        <f>+VLOOKUP($BD89,'Apr-25'!$A:$J,10,0)</f>
        <v>0</v>
      </c>
      <c r="EO89" s="22">
        <f>+VLOOKUP($BD89,'May-25'!$A:$J,10,0)</f>
        <v>0</v>
      </c>
      <c r="EP89" s="22">
        <f>+VLOOKUP($BD89,'June-25'!$A:$J,10,0)</f>
        <v>0</v>
      </c>
      <c r="EQ89" s="22">
        <f>+VLOOKUP($BD89,'July-25'!$A:$J,10,0)</f>
        <v>0</v>
      </c>
      <c r="ER89" s="22">
        <f>+VLOOKUP($BD89,'Aug-25'!$A:$J,10,0)</f>
        <v>0</v>
      </c>
      <c r="ES89" s="22">
        <f>+VLOOKUP($BD89,'Sep-25'!$A:$J,10,0)</f>
        <v>0</v>
      </c>
      <c r="ET89" s="22">
        <f>+VLOOKUP($BD89,'Oct-25'!$A:$J,10,0)</f>
        <v>0</v>
      </c>
      <c r="EU89" s="22">
        <f>+VLOOKUP($BD89,'Nov-25'!$A:$J,10,0)</f>
        <v>0</v>
      </c>
      <c r="EV89" s="22">
        <f>+VLOOKUP($BD89,'Dec-25'!$A:$J,10,0)</f>
        <v>0</v>
      </c>
      <c r="EW89" s="22">
        <f t="shared" si="1150"/>
        <v>0</v>
      </c>
      <c r="EX89" s="118" t="e">
        <f t="shared" si="425"/>
        <v>#DIV/0!</v>
      </c>
      <c r="EY89" s="106"/>
      <c r="EZ89" s="106"/>
      <c r="FA89" s="106"/>
      <c r="FB89" s="106"/>
      <c r="FC89" s="106"/>
      <c r="FD89" s="106"/>
      <c r="FE89" s="106"/>
      <c r="FF89" s="106"/>
      <c r="FG89" s="106"/>
      <c r="FH89" s="106"/>
      <c r="FI89" s="106"/>
      <c r="FJ89" s="106"/>
      <c r="FK89" s="106">
        <f t="shared" si="1151"/>
        <v>0</v>
      </c>
    </row>
    <row r="90" spans="1:167" ht="14.45" hidden="1" customHeight="1" outlineLevel="1" collapsed="1">
      <c r="A90" s="58">
        <f t="shared" ref="A90:M90" si="1152">+SUM(A91:A102)</f>
        <v>0</v>
      </c>
      <c r="B90" s="58">
        <f t="shared" si="1152"/>
        <v>0</v>
      </c>
      <c r="C90" s="58">
        <f t="shared" si="1152"/>
        <v>0</v>
      </c>
      <c r="D90" s="58">
        <f t="shared" si="1152"/>
        <v>0</v>
      </c>
      <c r="E90" s="58">
        <f t="shared" si="1152"/>
        <v>0</v>
      </c>
      <c r="F90" s="58">
        <f t="shared" si="1152"/>
        <v>0</v>
      </c>
      <c r="G90" s="58">
        <f t="shared" si="1152"/>
        <v>139.28399999999999</v>
      </c>
      <c r="H90" s="58">
        <f t="shared" si="1152"/>
        <v>12973.083999999999</v>
      </c>
      <c r="I90" s="58">
        <f t="shared" si="1152"/>
        <v>260.2</v>
      </c>
      <c r="J90" s="58">
        <f t="shared" si="1152"/>
        <v>258.858</v>
      </c>
      <c r="K90" s="58">
        <f t="shared" si="1152"/>
        <v>328.5</v>
      </c>
      <c r="L90" s="58">
        <f t="shared" si="1152"/>
        <v>17872.414000000001</v>
      </c>
      <c r="M90" s="58">
        <f t="shared" si="1152"/>
        <v>31832.34</v>
      </c>
      <c r="N90" s="18" t="s">
        <v>72</v>
      </c>
      <c r="O90" s="58">
        <f t="shared" ref="O90" si="1153">+SUM(O91:O102)</f>
        <v>13484.85</v>
      </c>
      <c r="P90" s="58">
        <f t="shared" ref="P90" si="1154">+SUM(P91:P102)</f>
        <v>3136.4480000000003</v>
      </c>
      <c r="Q90" s="58">
        <f t="shared" ref="Q90" si="1155">+SUM(Q91:Q102)</f>
        <v>189.21600000000001</v>
      </c>
      <c r="R90" s="58">
        <f t="shared" ref="R90" si="1156">+SUM(R91:R102)</f>
        <v>2947.2000000000003</v>
      </c>
      <c r="S90" s="58">
        <f t="shared" ref="S90" si="1157">+SUM(S91:S102)</f>
        <v>3231.1200000000003</v>
      </c>
      <c r="T90" s="58">
        <f t="shared" ref="T90" si="1158">+SUM(T91:T102)</f>
        <v>6264.9920000000002</v>
      </c>
      <c r="U90" s="58">
        <f t="shared" ref="U90" si="1159">+SUM(U91:U102)</f>
        <v>3319.3540000000003</v>
      </c>
      <c r="V90" s="58">
        <f t="shared" ref="V90" si="1160">+SUM(V91:V102)</f>
        <v>2947.2000000000003</v>
      </c>
      <c r="W90" s="58">
        <f t="shared" ref="W90" si="1161">+SUM(W91:W102)</f>
        <v>15574.390888888887</v>
      </c>
      <c r="X90" s="58">
        <f t="shared" ref="X90" si="1162">+SUM(X91:X102)</f>
        <v>383.23800000000006</v>
      </c>
      <c r="Y90" s="58">
        <f t="shared" ref="Y90" si="1163">+SUM(Y91:Y102)</f>
        <v>0</v>
      </c>
      <c r="Z90" s="58">
        <f t="shared" ref="Z90" si="1164">+SUM(Z91:Z102)</f>
        <v>0</v>
      </c>
      <c r="AA90" s="58">
        <f t="shared" ref="AA90" si="1165">+SUM(AA91:AA102)</f>
        <v>51478.0088888889</v>
      </c>
      <c r="AB90" s="118">
        <f t="shared" si="401"/>
        <v>0</v>
      </c>
      <c r="AC90" s="58">
        <f t="shared" ref="AC90" si="1166">+SUM(AC91:AC102)</f>
        <v>0</v>
      </c>
      <c r="AD90" s="58">
        <f t="shared" ref="AD90" si="1167">+SUM(AD91:AD102)</f>
        <v>0</v>
      </c>
      <c r="AE90" s="58">
        <f t="shared" ref="AE90" si="1168">+SUM(AE91:AE102)</f>
        <v>0</v>
      </c>
      <c r="AF90" s="58">
        <f t="shared" ref="AF90" si="1169">+SUM(AF91:AF102)</f>
        <v>0</v>
      </c>
      <c r="AG90" s="58">
        <f t="shared" ref="AG90" si="1170">+SUM(AG91:AG102)</f>
        <v>0</v>
      </c>
      <c r="AH90" s="58">
        <f t="shared" ref="AH90" si="1171">+SUM(AH91:AH102)</f>
        <v>0</v>
      </c>
      <c r="AI90" s="58">
        <f t="shared" ref="AI90" si="1172">+SUM(AI91:AI102)</f>
        <v>0</v>
      </c>
      <c r="AJ90" s="58">
        <f t="shared" ref="AJ90" si="1173">+SUM(AJ91:AJ102)</f>
        <v>0</v>
      </c>
      <c r="AK90" s="58">
        <f t="shared" ref="AK90" si="1174">+SUM(AK91:AK102)</f>
        <v>0</v>
      </c>
      <c r="AL90" s="58">
        <f t="shared" ref="AL90" si="1175">+SUM(AL91:AL102)</f>
        <v>0</v>
      </c>
      <c r="AM90" s="58">
        <f t="shared" ref="AM90" si="1176">+SUM(AM91:AM102)</f>
        <v>0</v>
      </c>
      <c r="AN90" s="58">
        <f t="shared" ref="AN90" si="1177">+SUM(AN91:AN102)</f>
        <v>0</v>
      </c>
      <c r="AO90" s="58">
        <f t="shared" ref="AO90" si="1178">+SUM(AO91:AO102)</f>
        <v>0</v>
      </c>
      <c r="AQ90" s="58">
        <f t="shared" ref="AQ90:CE90" si="1179">+SUM(AQ91:AQ102)</f>
        <v>0</v>
      </c>
      <c r="AR90" s="58">
        <f t="shared" si="1179"/>
        <v>0</v>
      </c>
      <c r="AS90" s="58">
        <f t="shared" si="1179"/>
        <v>0</v>
      </c>
      <c r="AT90" s="58">
        <f t="shared" si="1179"/>
        <v>0</v>
      </c>
      <c r="AU90" s="58">
        <f t="shared" si="1179"/>
        <v>0</v>
      </c>
      <c r="AV90" s="58">
        <f t="shared" si="1179"/>
        <v>0</v>
      </c>
      <c r="AW90" s="58">
        <f t="shared" si="1179"/>
        <v>0</v>
      </c>
      <c r="AX90" s="58">
        <f t="shared" si="1179"/>
        <v>8343.6</v>
      </c>
      <c r="AY90" s="58">
        <f t="shared" si="1179"/>
        <v>0</v>
      </c>
      <c r="AZ90" s="58">
        <f t="shared" si="1179"/>
        <v>0</v>
      </c>
      <c r="BA90" s="58">
        <f t="shared" si="1179"/>
        <v>0</v>
      </c>
      <c r="BB90" s="58">
        <f t="shared" si="1179"/>
        <v>0</v>
      </c>
      <c r="BC90" s="58">
        <f t="shared" si="1179"/>
        <v>8343.6</v>
      </c>
      <c r="BD90" s="18" t="str">
        <f t="shared" si="900"/>
        <v>Delivery Expenses</v>
      </c>
      <c r="BE90" s="58">
        <f t="shared" si="1179"/>
        <v>2343.6</v>
      </c>
      <c r="BF90" s="58">
        <f t="shared" ref="BF90:BP90" si="1180">+SUM(BF91:BF102)</f>
        <v>0</v>
      </c>
      <c r="BG90" s="58">
        <f t="shared" si="1180"/>
        <v>0</v>
      </c>
      <c r="BH90" s="58">
        <f t="shared" si="1180"/>
        <v>0</v>
      </c>
      <c r="BI90" s="58">
        <f t="shared" si="1180"/>
        <v>0</v>
      </c>
      <c r="BJ90" s="58">
        <f t="shared" si="1180"/>
        <v>0</v>
      </c>
      <c r="BK90" s="58">
        <f t="shared" si="1180"/>
        <v>1143.9000000000001</v>
      </c>
      <c r="BL90" s="58">
        <f t="shared" si="1180"/>
        <v>0</v>
      </c>
      <c r="BM90" s="58">
        <f t="shared" si="1180"/>
        <v>6018.1777777777779</v>
      </c>
      <c r="BN90" s="58">
        <f t="shared" si="1180"/>
        <v>0</v>
      </c>
      <c r="BO90" s="58">
        <f t="shared" si="1180"/>
        <v>0</v>
      </c>
      <c r="BP90" s="58">
        <f t="shared" si="1180"/>
        <v>0</v>
      </c>
      <c r="BQ90" s="58">
        <f t="shared" si="1179"/>
        <v>9505.6777777777788</v>
      </c>
      <c r="BR90" s="118">
        <f t="shared" si="417"/>
        <v>0</v>
      </c>
      <c r="BS90" s="58">
        <f t="shared" si="1179"/>
        <v>0</v>
      </c>
      <c r="BT90" s="58">
        <f t="shared" si="1179"/>
        <v>0</v>
      </c>
      <c r="BU90" s="58">
        <f t="shared" si="1179"/>
        <v>0</v>
      </c>
      <c r="BV90" s="58">
        <f t="shared" si="1179"/>
        <v>0</v>
      </c>
      <c r="BW90" s="58">
        <f t="shared" si="1179"/>
        <v>0</v>
      </c>
      <c r="BX90" s="58">
        <f t="shared" si="1179"/>
        <v>0</v>
      </c>
      <c r="BY90" s="58">
        <f t="shared" si="1179"/>
        <v>0</v>
      </c>
      <c r="BZ90" s="58">
        <f t="shared" si="1179"/>
        <v>0</v>
      </c>
      <c r="CA90" s="58">
        <f t="shared" si="1179"/>
        <v>0</v>
      </c>
      <c r="CB90" s="58">
        <f t="shared" si="1179"/>
        <v>0</v>
      </c>
      <c r="CC90" s="58">
        <f t="shared" si="1179"/>
        <v>0</v>
      </c>
      <c r="CD90" s="58">
        <f t="shared" si="1179"/>
        <v>0</v>
      </c>
      <c r="CE90" s="58">
        <f t="shared" si="1179"/>
        <v>0</v>
      </c>
      <c r="CF90" s="106"/>
      <c r="CG90" s="58">
        <f t="shared" ref="CG90:CS90" si="1181">+SUM(CG91:CG102)</f>
        <v>0</v>
      </c>
      <c r="CH90" s="58">
        <f t="shared" si="1181"/>
        <v>0</v>
      </c>
      <c r="CI90" s="58">
        <f t="shared" si="1181"/>
        <v>0</v>
      </c>
      <c r="CJ90" s="58">
        <f t="shared" si="1181"/>
        <v>0</v>
      </c>
      <c r="CK90" s="58">
        <f t="shared" si="1181"/>
        <v>0</v>
      </c>
      <c r="CL90" s="58">
        <f t="shared" si="1181"/>
        <v>0</v>
      </c>
      <c r="CM90" s="58">
        <f t="shared" si="1181"/>
        <v>139.28399999999999</v>
      </c>
      <c r="CN90" s="58">
        <f t="shared" si="1181"/>
        <v>4629.4839999999995</v>
      </c>
      <c r="CO90" s="58">
        <f t="shared" si="1181"/>
        <v>260.2</v>
      </c>
      <c r="CP90" s="58">
        <f t="shared" si="1181"/>
        <v>258.858</v>
      </c>
      <c r="CQ90" s="58">
        <f t="shared" si="1181"/>
        <v>328.5</v>
      </c>
      <c r="CR90" s="58">
        <f t="shared" si="1181"/>
        <v>17872.414000000001</v>
      </c>
      <c r="CS90" s="58">
        <f t="shared" si="1181"/>
        <v>23488.74</v>
      </c>
      <c r="CT90" s="18" t="str">
        <f t="shared" si="901"/>
        <v>Delivery Expenses</v>
      </c>
      <c r="CU90" s="58">
        <f t="shared" ref="CU90:DU90" si="1182">+SUM(CU91:CU102)</f>
        <v>11141.25</v>
      </c>
      <c r="CV90" s="58">
        <f t="shared" si="1182"/>
        <v>3136.4480000000003</v>
      </c>
      <c r="CW90" s="58">
        <f t="shared" si="1182"/>
        <v>189.21600000000001</v>
      </c>
      <c r="CX90" s="58">
        <f t="shared" si="1182"/>
        <v>2947.2000000000003</v>
      </c>
      <c r="CY90" s="58">
        <f t="shared" si="1182"/>
        <v>3231.1200000000003</v>
      </c>
      <c r="CZ90" s="58">
        <f t="shared" si="1182"/>
        <v>3436.4160000000002</v>
      </c>
      <c r="DA90" s="58">
        <f t="shared" si="1182"/>
        <v>2175.4540000000002</v>
      </c>
      <c r="DB90" s="58">
        <f t="shared" si="1182"/>
        <v>2947.2000000000003</v>
      </c>
      <c r="DC90" s="58">
        <f t="shared" si="1182"/>
        <v>9556.2131111111103</v>
      </c>
      <c r="DD90" s="58">
        <f t="shared" si="1182"/>
        <v>383.23800000000006</v>
      </c>
      <c r="DE90" s="58">
        <f t="shared" si="1182"/>
        <v>0</v>
      </c>
      <c r="DF90" s="58">
        <f t="shared" si="1182"/>
        <v>0</v>
      </c>
      <c r="DG90" s="58">
        <f t="shared" si="1182"/>
        <v>39143.75511111111</v>
      </c>
      <c r="DH90" s="118">
        <f t="shared" si="421"/>
        <v>0</v>
      </c>
      <c r="DI90" s="58">
        <f t="shared" si="1182"/>
        <v>0</v>
      </c>
      <c r="DJ90" s="58">
        <f t="shared" si="1182"/>
        <v>0</v>
      </c>
      <c r="DK90" s="58">
        <f t="shared" si="1182"/>
        <v>0</v>
      </c>
      <c r="DL90" s="58">
        <f t="shared" si="1182"/>
        <v>0</v>
      </c>
      <c r="DM90" s="58">
        <f t="shared" si="1182"/>
        <v>0</v>
      </c>
      <c r="DN90" s="58">
        <f t="shared" si="1182"/>
        <v>0</v>
      </c>
      <c r="DO90" s="58">
        <f t="shared" si="1182"/>
        <v>0</v>
      </c>
      <c r="DP90" s="58">
        <f t="shared" si="1182"/>
        <v>0</v>
      </c>
      <c r="DQ90" s="58">
        <f t="shared" si="1182"/>
        <v>0</v>
      </c>
      <c r="DR90" s="58">
        <f t="shared" si="1182"/>
        <v>0</v>
      </c>
      <c r="DS90" s="58">
        <f t="shared" si="1182"/>
        <v>0</v>
      </c>
      <c r="DT90" s="58">
        <f t="shared" si="1182"/>
        <v>0</v>
      </c>
      <c r="DU90" s="58">
        <f t="shared" si="1182"/>
        <v>0</v>
      </c>
      <c r="DW90" s="28">
        <f t="shared" ref="DW90:EI90" si="1183">+SUM(DW91:DW102)</f>
        <v>0</v>
      </c>
      <c r="DX90" s="28">
        <f t="shared" si="1183"/>
        <v>0</v>
      </c>
      <c r="DY90" s="28">
        <f t="shared" si="1183"/>
        <v>0</v>
      </c>
      <c r="DZ90" s="28">
        <f t="shared" si="1183"/>
        <v>0</v>
      </c>
      <c r="EA90" s="28">
        <f t="shared" si="1183"/>
        <v>0</v>
      </c>
      <c r="EB90" s="28">
        <f t="shared" si="1183"/>
        <v>0</v>
      </c>
      <c r="EC90" s="28">
        <f t="shared" si="1183"/>
        <v>0</v>
      </c>
      <c r="ED90" s="28">
        <f t="shared" si="1183"/>
        <v>0</v>
      </c>
      <c r="EE90" s="28">
        <f t="shared" si="1183"/>
        <v>0</v>
      </c>
      <c r="EF90" s="28">
        <f t="shared" si="1183"/>
        <v>0</v>
      </c>
      <c r="EG90" s="28">
        <f t="shared" si="1183"/>
        <v>0</v>
      </c>
      <c r="EH90" s="28">
        <f t="shared" si="1183"/>
        <v>0</v>
      </c>
      <c r="EI90" s="58">
        <f t="shared" si="1183"/>
        <v>0</v>
      </c>
      <c r="EJ90" s="18" t="str">
        <f t="shared" si="966"/>
        <v>Delivery Expenses</v>
      </c>
      <c r="EK90" s="28">
        <f t="shared" ref="EK90:EV90" si="1184">+SUM(EK91:EK102)</f>
        <v>0</v>
      </c>
      <c r="EL90" s="28">
        <f t="shared" si="1184"/>
        <v>0</v>
      </c>
      <c r="EM90" s="28">
        <f t="shared" si="1184"/>
        <v>0</v>
      </c>
      <c r="EN90" s="28">
        <f t="shared" si="1184"/>
        <v>0</v>
      </c>
      <c r="EO90" s="28">
        <f t="shared" si="1184"/>
        <v>0</v>
      </c>
      <c r="EP90" s="28">
        <f t="shared" si="1184"/>
        <v>2828.576</v>
      </c>
      <c r="EQ90" s="28">
        <f t="shared" si="1184"/>
        <v>0</v>
      </c>
      <c r="ER90" s="28">
        <f t="shared" si="1184"/>
        <v>0</v>
      </c>
      <c r="ES90" s="28">
        <f t="shared" si="1184"/>
        <v>0</v>
      </c>
      <c r="ET90" s="28">
        <f t="shared" si="1184"/>
        <v>0</v>
      </c>
      <c r="EU90" s="28">
        <f t="shared" si="1184"/>
        <v>0</v>
      </c>
      <c r="EV90" s="28">
        <f t="shared" si="1184"/>
        <v>0</v>
      </c>
      <c r="EW90" s="28">
        <f t="shared" ref="EW90" si="1185">+SUM(EW91:EW102)</f>
        <v>2828.576</v>
      </c>
      <c r="EX90" s="118" t="e">
        <f t="shared" si="425"/>
        <v>#DIV/0!</v>
      </c>
      <c r="EY90" s="58">
        <f t="shared" ref="EY90:FK90" si="1186">+SUM(EY91:EY102)</f>
        <v>0</v>
      </c>
      <c r="EZ90" s="58">
        <f t="shared" si="1186"/>
        <v>0</v>
      </c>
      <c r="FA90" s="58">
        <f t="shared" si="1186"/>
        <v>0</v>
      </c>
      <c r="FB90" s="58">
        <f t="shared" si="1186"/>
        <v>0</v>
      </c>
      <c r="FC90" s="58">
        <f t="shared" si="1186"/>
        <v>0</v>
      </c>
      <c r="FD90" s="58">
        <f t="shared" si="1186"/>
        <v>0</v>
      </c>
      <c r="FE90" s="58">
        <f t="shared" si="1186"/>
        <v>0</v>
      </c>
      <c r="FF90" s="58">
        <f t="shared" si="1186"/>
        <v>0</v>
      </c>
      <c r="FG90" s="58">
        <f t="shared" si="1186"/>
        <v>0</v>
      </c>
      <c r="FH90" s="58">
        <f t="shared" si="1186"/>
        <v>0</v>
      </c>
      <c r="FI90" s="58">
        <f t="shared" si="1186"/>
        <v>0</v>
      </c>
      <c r="FJ90" s="58">
        <f t="shared" si="1186"/>
        <v>0</v>
      </c>
      <c r="FK90" s="58">
        <f t="shared" si="1186"/>
        <v>0</v>
      </c>
    </row>
    <row r="91" spans="1:167" ht="14.45" hidden="1" customHeight="1" outlineLevel="2">
      <c r="A91" s="106">
        <f t="shared" ref="A91:L102" si="1187">+AQ91+CG91+DW91</f>
        <v>0</v>
      </c>
      <c r="B91" s="106">
        <f t="shared" si="1187"/>
        <v>0</v>
      </c>
      <c r="C91" s="106">
        <f t="shared" si="1187"/>
        <v>0</v>
      </c>
      <c r="D91" s="106">
        <f t="shared" si="1187"/>
        <v>0</v>
      </c>
      <c r="E91" s="106">
        <f t="shared" si="1187"/>
        <v>0</v>
      </c>
      <c r="F91" s="106">
        <f t="shared" si="1187"/>
        <v>0</v>
      </c>
      <c r="G91" s="106">
        <f t="shared" si="1187"/>
        <v>0</v>
      </c>
      <c r="H91" s="106">
        <f t="shared" si="1187"/>
        <v>0</v>
      </c>
      <c r="I91" s="106">
        <f t="shared" si="1187"/>
        <v>0</v>
      </c>
      <c r="J91" s="106">
        <f t="shared" si="1187"/>
        <v>0</v>
      </c>
      <c r="K91" s="106">
        <f t="shared" si="1187"/>
        <v>0</v>
      </c>
      <c r="L91" s="106">
        <f t="shared" si="1187"/>
        <v>0</v>
      </c>
      <c r="M91" s="106">
        <f t="shared" si="1068"/>
        <v>0</v>
      </c>
      <c r="N91" s="16" t="s">
        <v>224</v>
      </c>
      <c r="O91" s="106">
        <f t="shared" ref="O91:O102" si="1188">+BE91+CU91+EK91</f>
        <v>0</v>
      </c>
      <c r="P91" s="106">
        <f t="shared" ref="P91:P102" si="1189">+BF91+CV91+EL91</f>
        <v>0</v>
      </c>
      <c r="Q91" s="106">
        <f t="shared" ref="Q91:Q102" si="1190">+BG91+CW91+EM91</f>
        <v>0</v>
      </c>
      <c r="R91" s="106">
        <f t="shared" ref="R91:R102" si="1191">+BH91+CX91+EN91</f>
        <v>0</v>
      </c>
      <c r="S91" s="106">
        <f t="shared" ref="S91:S102" si="1192">+BI91+CY91+EO91</f>
        <v>0</v>
      </c>
      <c r="T91" s="106">
        <f t="shared" ref="T91:T102" si="1193">+BJ91+CZ91+EP91</f>
        <v>0</v>
      </c>
      <c r="U91" s="106">
        <f t="shared" ref="U91:U102" si="1194">+BK91+DA91+EQ91</f>
        <v>0</v>
      </c>
      <c r="V91" s="106">
        <f t="shared" ref="V91:V102" si="1195">+BL91+DB91+ER91</f>
        <v>0</v>
      </c>
      <c r="W91" s="106">
        <f t="shared" ref="W91:W102" si="1196">+BM91+DC91+ES91</f>
        <v>0</v>
      </c>
      <c r="X91" s="106">
        <f t="shared" ref="X91:X102" si="1197">+BN91+DD91+ET91</f>
        <v>0</v>
      </c>
      <c r="Y91" s="106">
        <f t="shared" ref="Y91:Y102" si="1198">+BO91+DE91+EU91</f>
        <v>0</v>
      </c>
      <c r="Z91" s="106">
        <f t="shared" ref="Z91:Z102" si="1199">+BP91+DF91+EV91</f>
        <v>0</v>
      </c>
      <c r="AA91" s="106">
        <f t="shared" ref="AA91:AA102" si="1200">+SUM(O91:Z91)</f>
        <v>0</v>
      </c>
      <c r="AB91" s="118">
        <f t="shared" si="401"/>
        <v>0</v>
      </c>
      <c r="AC91" s="106">
        <f t="shared" ref="AC91:AC102" si="1201">+BS91+DI91+EY91</f>
        <v>0</v>
      </c>
      <c r="AD91" s="106">
        <f t="shared" ref="AD91:AD102" si="1202">+BT91+DJ91+EZ91</f>
        <v>0</v>
      </c>
      <c r="AE91" s="106">
        <f t="shared" ref="AE91:AE102" si="1203">+BU91+DK91+FA91</f>
        <v>0</v>
      </c>
      <c r="AF91" s="106">
        <f t="shared" ref="AF91:AF102" si="1204">+BV91+DL91+FB91</f>
        <v>0</v>
      </c>
      <c r="AG91" s="106">
        <f t="shared" ref="AG91:AG102" si="1205">+BW91+DM91+FC91</f>
        <v>0</v>
      </c>
      <c r="AH91" s="106">
        <f t="shared" ref="AH91:AH102" si="1206">+BX91+DN91+FD91</f>
        <v>0</v>
      </c>
      <c r="AI91" s="106">
        <f t="shared" ref="AI91:AI102" si="1207">+BY91+DO91+FE91</f>
        <v>0</v>
      </c>
      <c r="AJ91" s="106">
        <f t="shared" ref="AJ91:AJ102" si="1208">+BZ91+DP91+FF91</f>
        <v>0</v>
      </c>
      <c r="AK91" s="106">
        <f t="shared" ref="AK91:AK102" si="1209">+CA91+DQ91+FG91</f>
        <v>0</v>
      </c>
      <c r="AL91" s="106">
        <f t="shared" ref="AL91:AL102" si="1210">+CB91+DR91+FH91</f>
        <v>0</v>
      </c>
      <c r="AM91" s="106">
        <f t="shared" ref="AM91:AM102" si="1211">+CC91+DS91+FI91</f>
        <v>0</v>
      </c>
      <c r="AN91" s="106">
        <f t="shared" ref="AN91:AN102" si="1212">+CD91+DT91+FJ91</f>
        <v>0</v>
      </c>
      <c r="AO91" s="106">
        <f t="shared" ref="AO91:AO102" si="1213">+SUM(AC91:AN91)</f>
        <v>0</v>
      </c>
      <c r="AQ91" s="106">
        <v>0</v>
      </c>
      <c r="AR91" s="106">
        <v>0</v>
      </c>
      <c r="AS91" s="106">
        <v>0</v>
      </c>
      <c r="AT91" s="106">
        <v>0</v>
      </c>
      <c r="AU91" s="106">
        <v>0</v>
      </c>
      <c r="AV91" s="106">
        <v>0</v>
      </c>
      <c r="AW91" s="106">
        <v>0</v>
      </c>
      <c r="AX91" s="106">
        <v>0</v>
      </c>
      <c r="AY91" s="106">
        <v>0</v>
      </c>
      <c r="AZ91" s="106">
        <v>0</v>
      </c>
      <c r="BA91" s="106">
        <v>0</v>
      </c>
      <c r="BB91" s="106">
        <v>0</v>
      </c>
      <c r="BC91" s="106">
        <f t="shared" ref="BC91:BC102" si="1214">+SUM(AQ91:BB91)</f>
        <v>0</v>
      </c>
      <c r="BD91" s="16" t="str">
        <f t="shared" si="900"/>
        <v>"Registration -Expenses_x000D_"</v>
      </c>
      <c r="BE91" s="106">
        <f>+VLOOKUP($BD91,'Jan-25'!$A:$J,5,0)</f>
        <v>0</v>
      </c>
      <c r="BF91" s="106">
        <f>+VLOOKUP($BD91,'Feb-25'!$A:$J,5,0)</f>
        <v>0</v>
      </c>
      <c r="BG91" s="106">
        <f>+VLOOKUP($BD91,'Mar-25'!$A:$J,5,0)</f>
        <v>0</v>
      </c>
      <c r="BH91" s="106">
        <f>+VLOOKUP($BD91,'Apr-25'!$A:$J,5,0)</f>
        <v>0</v>
      </c>
      <c r="BI91" s="106">
        <f>+VLOOKUP($BD91,'May-25'!$A:$J,5,0)</f>
        <v>0</v>
      </c>
      <c r="BJ91" s="106">
        <f>+VLOOKUP($BD91,'June-25'!$A:$J,5,0)</f>
        <v>0</v>
      </c>
      <c r="BK91" s="106">
        <f>+VLOOKUP($BD91,'July-25'!$A:$J,5,0)</f>
        <v>0</v>
      </c>
      <c r="BL91" s="106">
        <f>+VLOOKUP($BD91,'Aug-25'!$A:$J,5,0)</f>
        <v>0</v>
      </c>
      <c r="BM91" s="106">
        <f>+VLOOKUP($BD91,'Sep-25'!$A:$J,5,0)</f>
        <v>0</v>
      </c>
      <c r="BN91" s="106">
        <f>+VLOOKUP($BD91,'Oct-25'!$A:$J,5,0)</f>
        <v>0</v>
      </c>
      <c r="BO91" s="106">
        <f>+VLOOKUP($BD91,'Nov-25'!$A:$J,5,0)</f>
        <v>0</v>
      </c>
      <c r="BP91" s="106">
        <f>+VLOOKUP($BD91,'Dec-25'!$A:$J,5,0)</f>
        <v>0</v>
      </c>
      <c r="BQ91" s="106">
        <f t="shared" ref="BQ91:BQ102" si="1215">+SUM(BE91:BP91)</f>
        <v>0</v>
      </c>
      <c r="BR91" s="118">
        <f t="shared" si="417"/>
        <v>0</v>
      </c>
      <c r="BS91" s="106">
        <f>+_xlfn.XLOOKUP($BD91,Budget!$A:$A,Budget!BD:BD)</f>
        <v>0</v>
      </c>
      <c r="BT91" s="106">
        <f>+_xlfn.XLOOKUP($BD91,Budget!$A:$A,Budget!BE:BE)</f>
        <v>0</v>
      </c>
      <c r="BU91" s="106">
        <f>+_xlfn.XLOOKUP($BD91,Budget!$A:$A,Budget!BF:BF)</f>
        <v>0</v>
      </c>
      <c r="BV91" s="106">
        <f>+_xlfn.XLOOKUP($BD91,Budget!$A:$A,Budget!BG:BG)</f>
        <v>0</v>
      </c>
      <c r="BW91" s="106">
        <f>+_xlfn.XLOOKUP($BD91,Budget!$A:$A,Budget!BH:BH)</f>
        <v>0</v>
      </c>
      <c r="BX91" s="106">
        <f>+_xlfn.XLOOKUP($BD91,Budget!$A:$A,Budget!BI:BI)</f>
        <v>0</v>
      </c>
      <c r="BY91" s="106">
        <f>+_xlfn.XLOOKUP($BD91,Budget!$A:$A,Budget!BJ:BJ)</f>
        <v>0</v>
      </c>
      <c r="BZ91" s="106">
        <f>+_xlfn.XLOOKUP($BD91,Budget!$A:$A,Budget!BK:BK)</f>
        <v>0</v>
      </c>
      <c r="CA91" s="106">
        <f>+_xlfn.XLOOKUP($BD91,Budget!$A:$A,Budget!BL:BL)</f>
        <v>0</v>
      </c>
      <c r="CB91" s="106">
        <f>+_xlfn.XLOOKUP($BD91,Budget!$A:$A,Budget!BM:BM)</f>
        <v>0</v>
      </c>
      <c r="CC91" s="106">
        <f>+_xlfn.XLOOKUP($BD91,Budget!$A:$A,Budget!BN:BN)</f>
        <v>0</v>
      </c>
      <c r="CD91" s="106">
        <f>+_xlfn.XLOOKUP($BD91,Budget!$A:$A,Budget!BO:BO)</f>
        <v>0</v>
      </c>
      <c r="CE91" s="106">
        <f t="shared" ref="CE91:CE102" si="1216">+SUM(BS91:CD91)</f>
        <v>0</v>
      </c>
      <c r="CF91" s="106"/>
      <c r="CG91" s="106">
        <v>0</v>
      </c>
      <c r="CH91" s="106">
        <v>0</v>
      </c>
      <c r="CI91" s="106">
        <v>0</v>
      </c>
      <c r="CJ91" s="106">
        <v>0</v>
      </c>
      <c r="CK91" s="106">
        <v>0</v>
      </c>
      <c r="CL91" s="106">
        <v>0</v>
      </c>
      <c r="CM91" s="106">
        <v>0</v>
      </c>
      <c r="CN91" s="106">
        <v>0</v>
      </c>
      <c r="CO91" s="106">
        <v>0</v>
      </c>
      <c r="CP91" s="106">
        <v>0</v>
      </c>
      <c r="CQ91" s="106">
        <v>0</v>
      </c>
      <c r="CR91" s="106">
        <v>0</v>
      </c>
      <c r="CS91" s="106">
        <f t="shared" ref="CS91:CS102" si="1217">+SUM(CG91:CR91)</f>
        <v>0</v>
      </c>
      <c r="CT91" s="16" t="str">
        <f t="shared" si="901"/>
        <v>"Registration -Expenses_x000D_"</v>
      </c>
      <c r="CU91" s="106">
        <f>+VLOOKUP($BD91,'Jan-25'!$A:$J,8,0)</f>
        <v>0</v>
      </c>
      <c r="CV91" s="106">
        <f>+VLOOKUP($BD91,'Feb-25'!$A:$J,8,0)</f>
        <v>0</v>
      </c>
      <c r="CW91" s="106">
        <f>+VLOOKUP($BD91,'Mar-25'!$A:$J,8,0)</f>
        <v>0</v>
      </c>
      <c r="CX91" s="106">
        <f>+VLOOKUP($BD91,'Apr-25'!$A:$J,8,0)</f>
        <v>0</v>
      </c>
      <c r="CY91" s="106">
        <f>+VLOOKUP($BD91,'May-25'!$A:$J,8,0)</f>
        <v>0</v>
      </c>
      <c r="CZ91" s="106">
        <f>+VLOOKUP($BD91,'June-25'!$A:$J,8,0)</f>
        <v>0</v>
      </c>
      <c r="DA91" s="106">
        <f>+VLOOKUP($BD91,'July-25'!$A:$J,8,0)</f>
        <v>0</v>
      </c>
      <c r="DB91" s="106">
        <f>+VLOOKUP($BD91,'Aug-25'!$A:$J,8,0)</f>
        <v>0</v>
      </c>
      <c r="DC91" s="106">
        <f>+VLOOKUP($BD91,'Sep-25'!$A:$J,8,0)</f>
        <v>0</v>
      </c>
      <c r="DD91" s="106">
        <f>+VLOOKUP($BD91,'Oct-25'!$A:$J,8,0)</f>
        <v>0</v>
      </c>
      <c r="DE91" s="106">
        <f>+VLOOKUP($BD91,'Nov-25'!$A:$J,8,0)</f>
        <v>0</v>
      </c>
      <c r="DF91" s="106">
        <f>+VLOOKUP($BD91,'Dec-25'!$A:$J,8,0)</f>
        <v>0</v>
      </c>
      <c r="DG91" s="106">
        <f t="shared" ref="DG91:DG102" si="1218">+SUM(CU91:DF91)</f>
        <v>0</v>
      </c>
      <c r="DH91" s="118">
        <f t="shared" si="421"/>
        <v>0</v>
      </c>
      <c r="DI91" s="106">
        <f>+_xlfn.XLOOKUP($CT91,Budget!$A:$A,Budget!CQ:CQ)</f>
        <v>0</v>
      </c>
      <c r="DJ91" s="106">
        <f>+_xlfn.XLOOKUP($CT91,Budget!$A:$A,Budget!CR:CR)</f>
        <v>0</v>
      </c>
      <c r="DK91" s="106">
        <f>+_xlfn.XLOOKUP($CT91,Budget!$A:$A,Budget!CS:CS)</f>
        <v>0</v>
      </c>
      <c r="DL91" s="106">
        <f>+_xlfn.XLOOKUP($CT91,Budget!$A:$A,Budget!CT:CT)</f>
        <v>0</v>
      </c>
      <c r="DM91" s="106">
        <f>+_xlfn.XLOOKUP($CT91,Budget!$A:$A,Budget!CU:CU)</f>
        <v>0</v>
      </c>
      <c r="DN91" s="106">
        <f>+_xlfn.XLOOKUP($CT91,Budget!$A:$A,Budget!CV:CV)</f>
        <v>0</v>
      </c>
      <c r="DO91" s="106">
        <f>+_xlfn.XLOOKUP($CT91,Budget!$A:$A,Budget!CW:CW)</f>
        <v>0</v>
      </c>
      <c r="DP91" s="106">
        <f>+_xlfn.XLOOKUP($CT91,Budget!$A:$A,Budget!CX:CX)</f>
        <v>0</v>
      </c>
      <c r="DQ91" s="106">
        <f>+_xlfn.XLOOKUP($CT91,Budget!$A:$A,Budget!CY:CY)</f>
        <v>0</v>
      </c>
      <c r="DR91" s="106">
        <f>+_xlfn.XLOOKUP($CT91,Budget!$A:$A,Budget!CZ:CZ)</f>
        <v>0</v>
      </c>
      <c r="DS91" s="106">
        <f>+_xlfn.XLOOKUP($CT91,Budget!$A:$A,Budget!DA:DA)</f>
        <v>0</v>
      </c>
      <c r="DT91" s="106">
        <f>+_xlfn.XLOOKUP($CT91,Budget!$A:$A,Budget!DB:DB)</f>
        <v>0</v>
      </c>
      <c r="DU91" s="106">
        <f t="shared" ref="DU91:DU102" si="1219">+SUM(DI91:DT91)</f>
        <v>0</v>
      </c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106">
        <f t="shared" ref="EI91:EI102" si="1220">+SUM(DW91:EH91)</f>
        <v>0</v>
      </c>
      <c r="EJ91" s="16" t="str">
        <f t="shared" si="966"/>
        <v>"Registration -Expenses_x000D_"</v>
      </c>
      <c r="EK91" s="22">
        <f>+VLOOKUP($BD91,'Jan-25'!$A:$J,10,0)</f>
        <v>0</v>
      </c>
      <c r="EL91" s="22">
        <f>+VLOOKUP($BD91,'Feb-25'!$A:$J,10,0)</f>
        <v>0</v>
      </c>
      <c r="EM91" s="22">
        <f>+VLOOKUP($BD91,'Mar-25'!$A:$J,10,0)</f>
        <v>0</v>
      </c>
      <c r="EN91" s="22">
        <f>+VLOOKUP($BD91,'Apr-25'!$A:$J,10,0)</f>
        <v>0</v>
      </c>
      <c r="EO91" s="22">
        <f>+VLOOKUP($BD91,'May-25'!$A:$J,10,0)</f>
        <v>0</v>
      </c>
      <c r="EP91" s="22">
        <f>+VLOOKUP($BD91,'June-25'!$A:$J,10,0)</f>
        <v>0</v>
      </c>
      <c r="EQ91" s="22">
        <f>+VLOOKUP($BD91,'July-25'!$A:$J,10,0)</f>
        <v>0</v>
      </c>
      <c r="ER91" s="22">
        <f>+VLOOKUP($BD91,'Aug-25'!$A:$J,10,0)</f>
        <v>0</v>
      </c>
      <c r="ES91" s="22">
        <f>+VLOOKUP($BD91,'Sep-25'!$A:$J,10,0)</f>
        <v>0</v>
      </c>
      <c r="ET91" s="22">
        <f>+VLOOKUP($BD91,'Oct-25'!$A:$J,10,0)</f>
        <v>0</v>
      </c>
      <c r="EU91" s="22">
        <f>+VLOOKUP($BD91,'Nov-25'!$A:$J,10,0)</f>
        <v>0</v>
      </c>
      <c r="EV91" s="22">
        <f>+VLOOKUP($BD91,'Dec-25'!$A:$J,10,0)</f>
        <v>0</v>
      </c>
      <c r="EW91" s="22">
        <f t="shared" ref="EW91:EW102" si="1221">+SUM(EK91:EV91)</f>
        <v>0</v>
      </c>
      <c r="EX91" s="118" t="e">
        <f t="shared" si="425"/>
        <v>#DIV/0!</v>
      </c>
      <c r="EY91" s="106">
        <f>+_xlfn.XLOOKUP($EJ91,Budget!$A:$A,Budget!DR:DR)</f>
        <v>0</v>
      </c>
      <c r="EZ91" s="106">
        <f>+_xlfn.XLOOKUP($EJ91,Budget!$A:$A,Budget!DS:DS)</f>
        <v>0</v>
      </c>
      <c r="FA91" s="106">
        <f>+_xlfn.XLOOKUP($EJ91,Budget!$A:$A,Budget!DT:DT)</f>
        <v>0</v>
      </c>
      <c r="FB91" s="106">
        <f>+_xlfn.XLOOKUP($EJ91,Budget!$A:$A,Budget!DU:DU)</f>
        <v>0</v>
      </c>
      <c r="FC91" s="106">
        <f>+_xlfn.XLOOKUP($EJ91,Budget!$A:$A,Budget!DV:DV)</f>
        <v>0</v>
      </c>
      <c r="FD91" s="106">
        <f>+_xlfn.XLOOKUP($EJ91,Budget!$A:$A,Budget!DW:DW)</f>
        <v>0</v>
      </c>
      <c r="FE91" s="106">
        <f>+_xlfn.XLOOKUP($EJ91,Budget!$A:$A,Budget!DX:DX)</f>
        <v>0</v>
      </c>
      <c r="FF91" s="106">
        <f>+_xlfn.XLOOKUP($EJ91,Budget!$A:$A,Budget!DY:DY)</f>
        <v>0</v>
      </c>
      <c r="FG91" s="106">
        <f>+_xlfn.XLOOKUP($EJ91,Budget!$A:$A,Budget!DZ:DZ)</f>
        <v>0</v>
      </c>
      <c r="FH91" s="106">
        <f>+_xlfn.XLOOKUP($EJ91,Budget!$A:$A,Budget!EA:EA)</f>
        <v>0</v>
      </c>
      <c r="FI91" s="106">
        <f>+_xlfn.XLOOKUP($EJ91,Budget!$A:$A,Budget!EB:EB)</f>
        <v>0</v>
      </c>
      <c r="FJ91" s="106">
        <f>+_xlfn.XLOOKUP($EJ91,Budget!$A:$A,Budget!EC:EC)</f>
        <v>0</v>
      </c>
      <c r="FK91" s="106">
        <f t="shared" ref="FK91:FK102" si="1222">+SUM(EY91:FJ91)</f>
        <v>0</v>
      </c>
    </row>
    <row r="92" spans="1:167" ht="14.45" hidden="1" customHeight="1" outlineLevel="2">
      <c r="A92" s="106">
        <f t="shared" si="1187"/>
        <v>0</v>
      </c>
      <c r="B92" s="106">
        <f t="shared" si="1187"/>
        <v>0</v>
      </c>
      <c r="C92" s="106">
        <f t="shared" si="1187"/>
        <v>0</v>
      </c>
      <c r="D92" s="106">
        <f t="shared" si="1187"/>
        <v>0</v>
      </c>
      <c r="E92" s="106">
        <f t="shared" si="1187"/>
        <v>0</v>
      </c>
      <c r="F92" s="106">
        <f t="shared" si="1187"/>
        <v>0</v>
      </c>
      <c r="G92" s="106">
        <f t="shared" si="1187"/>
        <v>0</v>
      </c>
      <c r="H92" s="106">
        <f t="shared" si="1187"/>
        <v>0</v>
      </c>
      <c r="I92" s="106">
        <f t="shared" si="1187"/>
        <v>0</v>
      </c>
      <c r="J92" s="106">
        <f t="shared" si="1187"/>
        <v>0</v>
      </c>
      <c r="K92" s="106">
        <f t="shared" si="1187"/>
        <v>0</v>
      </c>
      <c r="L92" s="106">
        <f t="shared" si="1187"/>
        <v>0</v>
      </c>
      <c r="M92" s="106">
        <f t="shared" si="1068"/>
        <v>0</v>
      </c>
      <c r="N92" s="16" t="s">
        <v>73</v>
      </c>
      <c r="O92" s="106">
        <f t="shared" si="1188"/>
        <v>600</v>
      </c>
      <c r="P92" s="106">
        <f t="shared" si="1189"/>
        <v>0</v>
      </c>
      <c r="Q92" s="106">
        <f t="shared" si="1190"/>
        <v>0</v>
      </c>
      <c r="R92" s="106">
        <f t="shared" si="1191"/>
        <v>0</v>
      </c>
      <c r="S92" s="106">
        <f t="shared" si="1192"/>
        <v>0</v>
      </c>
      <c r="T92" s="106">
        <f t="shared" si="1193"/>
        <v>300</v>
      </c>
      <c r="U92" s="106">
        <f t="shared" si="1194"/>
        <v>0</v>
      </c>
      <c r="V92" s="106">
        <f t="shared" si="1195"/>
        <v>0</v>
      </c>
      <c r="W92" s="106">
        <f t="shared" si="1196"/>
        <v>15574.390888888887</v>
      </c>
      <c r="X92" s="106">
        <f t="shared" si="1197"/>
        <v>383.23800000000006</v>
      </c>
      <c r="Y92" s="106">
        <f t="shared" si="1198"/>
        <v>0</v>
      </c>
      <c r="Z92" s="106">
        <f t="shared" si="1199"/>
        <v>0</v>
      </c>
      <c r="AA92" s="106">
        <f t="shared" si="1200"/>
        <v>16857.628888888888</v>
      </c>
      <c r="AB92" s="118">
        <f t="shared" si="401"/>
        <v>0</v>
      </c>
      <c r="AC92" s="106">
        <f t="shared" si="1201"/>
        <v>0</v>
      </c>
      <c r="AD92" s="106">
        <f t="shared" si="1202"/>
        <v>0</v>
      </c>
      <c r="AE92" s="106">
        <f t="shared" si="1203"/>
        <v>0</v>
      </c>
      <c r="AF92" s="106">
        <f t="shared" si="1204"/>
        <v>0</v>
      </c>
      <c r="AG92" s="106">
        <f t="shared" si="1205"/>
        <v>0</v>
      </c>
      <c r="AH92" s="106">
        <f t="shared" si="1206"/>
        <v>0</v>
      </c>
      <c r="AI92" s="106">
        <f t="shared" si="1207"/>
        <v>0</v>
      </c>
      <c r="AJ92" s="106">
        <f t="shared" si="1208"/>
        <v>0</v>
      </c>
      <c r="AK92" s="106">
        <f t="shared" si="1209"/>
        <v>0</v>
      </c>
      <c r="AL92" s="106">
        <f t="shared" si="1210"/>
        <v>0</v>
      </c>
      <c r="AM92" s="106">
        <f t="shared" si="1211"/>
        <v>0</v>
      </c>
      <c r="AN92" s="106">
        <f t="shared" si="1212"/>
        <v>0</v>
      </c>
      <c r="AO92" s="106">
        <f t="shared" si="1213"/>
        <v>0</v>
      </c>
      <c r="AQ92" s="106">
        <v>0</v>
      </c>
      <c r="AR92" s="106">
        <v>0</v>
      </c>
      <c r="AS92" s="106">
        <v>0</v>
      </c>
      <c r="AT92" s="106">
        <v>0</v>
      </c>
      <c r="AU92" s="106">
        <v>0</v>
      </c>
      <c r="AV92" s="106">
        <v>0</v>
      </c>
      <c r="AW92" s="106">
        <v>0</v>
      </c>
      <c r="AX92" s="106">
        <v>0</v>
      </c>
      <c r="AY92" s="106">
        <v>0</v>
      </c>
      <c r="AZ92" s="106">
        <v>0</v>
      </c>
      <c r="BA92" s="106">
        <v>0</v>
      </c>
      <c r="BB92" s="106">
        <v>0</v>
      </c>
      <c r="BC92" s="106">
        <f t="shared" si="1214"/>
        <v>0</v>
      </c>
      <c r="BD92" s="16" t="str">
        <f t="shared" si="900"/>
        <v>Delivery Charges Customer Service</v>
      </c>
      <c r="BE92" s="106">
        <f>+VLOOKUP($BD92,'Jan-25'!$A:$J,5,0)</f>
        <v>0</v>
      </c>
      <c r="BF92" s="106">
        <f>+VLOOKUP($BD92,'Feb-25'!$A:$J,5,0)</f>
        <v>0</v>
      </c>
      <c r="BG92" s="106">
        <f>+VLOOKUP($BD92,'Mar-25'!$A:$J,5,0)</f>
        <v>0</v>
      </c>
      <c r="BH92" s="106">
        <f>+VLOOKUP($BD92,'Apr-25'!$A:$J,5,0)</f>
        <v>0</v>
      </c>
      <c r="BI92" s="106">
        <f>+VLOOKUP($BD92,'May-25'!$A:$J,5,0)</f>
        <v>0</v>
      </c>
      <c r="BJ92" s="106">
        <f>+VLOOKUP($BD92,'June-25'!$A:$J,5,0)</f>
        <v>0</v>
      </c>
      <c r="BK92" s="106">
        <f>+VLOOKUP($BD92,'July-25'!$A:$J,5,0)</f>
        <v>0</v>
      </c>
      <c r="BL92" s="106">
        <f>+VLOOKUP($BD92,'Aug-25'!$A:$J,5,0)</f>
        <v>0</v>
      </c>
      <c r="BM92" s="106">
        <f>+VLOOKUP($BD92,'Sep-25'!$A:$J,5,0)</f>
        <v>6018.1777777777779</v>
      </c>
      <c r="BN92" s="106">
        <f>+VLOOKUP($BD92,'Oct-25'!$A:$J,5,0)</f>
        <v>0</v>
      </c>
      <c r="BO92" s="106">
        <f>+VLOOKUP($BD92,'Nov-25'!$A:$J,5,0)</f>
        <v>0</v>
      </c>
      <c r="BP92" s="106">
        <f>+VLOOKUP($BD92,'Dec-25'!$A:$J,5,0)</f>
        <v>0</v>
      </c>
      <c r="BQ92" s="106">
        <f t="shared" si="1215"/>
        <v>6018.1777777777779</v>
      </c>
      <c r="BR92" s="118">
        <f t="shared" si="417"/>
        <v>0</v>
      </c>
      <c r="BS92" s="106">
        <f>+_xlfn.XLOOKUP($BD92,Budget!$A:$A,Budget!BD:BD)</f>
        <v>0</v>
      </c>
      <c r="BT92" s="106">
        <f>+_xlfn.XLOOKUP($BD92,Budget!$A:$A,Budget!BE:BE)</f>
        <v>0</v>
      </c>
      <c r="BU92" s="106">
        <f>+_xlfn.XLOOKUP($BD92,Budget!$A:$A,Budget!BF:BF)</f>
        <v>0</v>
      </c>
      <c r="BV92" s="106">
        <f>+_xlfn.XLOOKUP($BD92,Budget!$A:$A,Budget!BG:BG)</f>
        <v>0</v>
      </c>
      <c r="BW92" s="106">
        <f>+_xlfn.XLOOKUP($BD92,Budget!$A:$A,Budget!BH:BH)</f>
        <v>0</v>
      </c>
      <c r="BX92" s="106">
        <f>+_xlfn.XLOOKUP($BD92,Budget!$A:$A,Budget!BI:BI)</f>
        <v>0</v>
      </c>
      <c r="BY92" s="106">
        <f>+_xlfn.XLOOKUP($BD92,Budget!$A:$A,Budget!BJ:BJ)</f>
        <v>0</v>
      </c>
      <c r="BZ92" s="106">
        <f>+_xlfn.XLOOKUP($BD92,Budget!$A:$A,Budget!BK:BK)</f>
        <v>0</v>
      </c>
      <c r="CA92" s="106">
        <f>+_xlfn.XLOOKUP($BD92,Budget!$A:$A,Budget!BL:BL)</f>
        <v>0</v>
      </c>
      <c r="CB92" s="106">
        <f>+_xlfn.XLOOKUP($BD92,Budget!$A:$A,Budget!BM:BM)</f>
        <v>0</v>
      </c>
      <c r="CC92" s="106">
        <f>+_xlfn.XLOOKUP($BD92,Budget!$A:$A,Budget!BN:BN)</f>
        <v>0</v>
      </c>
      <c r="CD92" s="106">
        <f>+_xlfn.XLOOKUP($BD92,Budget!$A:$A,Budget!BO:BO)</f>
        <v>0</v>
      </c>
      <c r="CE92" s="106">
        <f t="shared" si="1216"/>
        <v>0</v>
      </c>
      <c r="CF92" s="106"/>
      <c r="CG92" s="106">
        <v>0</v>
      </c>
      <c r="CH92" s="106">
        <v>0</v>
      </c>
      <c r="CI92" s="106">
        <v>0</v>
      </c>
      <c r="CJ92" s="106">
        <v>0</v>
      </c>
      <c r="CK92" s="106">
        <v>0</v>
      </c>
      <c r="CL92" s="106">
        <v>0</v>
      </c>
      <c r="CM92" s="106">
        <v>0</v>
      </c>
      <c r="CN92" s="106">
        <v>0</v>
      </c>
      <c r="CO92" s="106">
        <v>0</v>
      </c>
      <c r="CP92" s="106">
        <v>0</v>
      </c>
      <c r="CQ92" s="106">
        <v>0</v>
      </c>
      <c r="CR92" s="106">
        <v>0</v>
      </c>
      <c r="CS92" s="106">
        <f t="shared" si="1217"/>
        <v>0</v>
      </c>
      <c r="CT92" s="16" t="str">
        <f t="shared" si="901"/>
        <v>Delivery Charges Customer Service</v>
      </c>
      <c r="CU92" s="106">
        <f>+VLOOKUP($BD92,'Jan-25'!$A:$J,8,0)</f>
        <v>600</v>
      </c>
      <c r="CV92" s="106">
        <f>+VLOOKUP($BD92,'Feb-25'!$A:$J,8,0)</f>
        <v>0</v>
      </c>
      <c r="CW92" s="106">
        <f>+VLOOKUP($BD92,'Mar-25'!$A:$J,8,0)</f>
        <v>0</v>
      </c>
      <c r="CX92" s="106">
        <f>+VLOOKUP($BD92,'Apr-25'!$A:$J,8,0)</f>
        <v>0</v>
      </c>
      <c r="CY92" s="106">
        <f>+VLOOKUP($BD92,'May-25'!$A:$J,8,0)</f>
        <v>0</v>
      </c>
      <c r="CZ92" s="106">
        <f>+VLOOKUP($BD92,'June-25'!$A:$J,8,0)</f>
        <v>300</v>
      </c>
      <c r="DA92" s="106">
        <f>+VLOOKUP($BD92,'July-25'!$A:$J,8,0)</f>
        <v>0</v>
      </c>
      <c r="DB92" s="106">
        <f>+VLOOKUP($BD92,'Aug-25'!$A:$J,8,0)</f>
        <v>0</v>
      </c>
      <c r="DC92" s="106">
        <f>+VLOOKUP($BD92,'Sep-25'!$A:$J,8,0)</f>
        <v>9556.2131111111103</v>
      </c>
      <c r="DD92" s="106">
        <f>+VLOOKUP($BD92,'Oct-25'!$A:$J,8,0)</f>
        <v>383.23800000000006</v>
      </c>
      <c r="DE92" s="106">
        <f>+VLOOKUP($BD92,'Nov-25'!$A:$J,8,0)</f>
        <v>0</v>
      </c>
      <c r="DF92" s="106">
        <f>+VLOOKUP($BD92,'Dec-25'!$A:$J,8,0)</f>
        <v>0</v>
      </c>
      <c r="DG92" s="106">
        <f t="shared" si="1218"/>
        <v>10839.45111111111</v>
      </c>
      <c r="DH92" s="118">
        <f t="shared" si="421"/>
        <v>0</v>
      </c>
      <c r="DI92" s="106">
        <f>+_xlfn.XLOOKUP($CT92,Budget!$A:$A,Budget!CQ:CQ)</f>
        <v>0</v>
      </c>
      <c r="DJ92" s="106">
        <f>+_xlfn.XLOOKUP($CT92,Budget!$A:$A,Budget!CR:CR)</f>
        <v>0</v>
      </c>
      <c r="DK92" s="106">
        <f>+_xlfn.XLOOKUP($CT92,Budget!$A:$A,Budget!CS:CS)</f>
        <v>0</v>
      </c>
      <c r="DL92" s="106">
        <f>+_xlfn.XLOOKUP($CT92,Budget!$A:$A,Budget!CT:CT)</f>
        <v>0</v>
      </c>
      <c r="DM92" s="106">
        <f>+_xlfn.XLOOKUP($CT92,Budget!$A:$A,Budget!CU:CU)</f>
        <v>0</v>
      </c>
      <c r="DN92" s="106">
        <f>+_xlfn.XLOOKUP($CT92,Budget!$A:$A,Budget!CV:CV)</f>
        <v>0</v>
      </c>
      <c r="DO92" s="106">
        <f>+_xlfn.XLOOKUP($CT92,Budget!$A:$A,Budget!CW:CW)</f>
        <v>0</v>
      </c>
      <c r="DP92" s="106">
        <f>+_xlfn.XLOOKUP($CT92,Budget!$A:$A,Budget!CX:CX)</f>
        <v>0</v>
      </c>
      <c r="DQ92" s="106">
        <f>+_xlfn.XLOOKUP($CT92,Budget!$A:$A,Budget!CY:CY)</f>
        <v>0</v>
      </c>
      <c r="DR92" s="106">
        <f>+_xlfn.XLOOKUP($CT92,Budget!$A:$A,Budget!CZ:CZ)</f>
        <v>0</v>
      </c>
      <c r="DS92" s="106">
        <f>+_xlfn.XLOOKUP($CT92,Budget!$A:$A,Budget!DA:DA)</f>
        <v>0</v>
      </c>
      <c r="DT92" s="106">
        <f>+_xlfn.XLOOKUP($CT92,Budget!$A:$A,Budget!DB:DB)</f>
        <v>0</v>
      </c>
      <c r="DU92" s="106">
        <f t="shared" si="1219"/>
        <v>0</v>
      </c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106">
        <f t="shared" si="1220"/>
        <v>0</v>
      </c>
      <c r="EJ92" s="16" t="str">
        <f t="shared" si="966"/>
        <v>Delivery Charges Customer Service</v>
      </c>
      <c r="EK92" s="22">
        <f>+VLOOKUP($BD92,'Jan-25'!$A:$J,10,0)</f>
        <v>0</v>
      </c>
      <c r="EL92" s="22">
        <f>+VLOOKUP($BD92,'Feb-25'!$A:$J,10,0)</f>
        <v>0</v>
      </c>
      <c r="EM92" s="22">
        <f>+VLOOKUP($BD92,'Mar-25'!$A:$J,10,0)</f>
        <v>0</v>
      </c>
      <c r="EN92" s="22">
        <f>+VLOOKUP($BD92,'Apr-25'!$A:$J,10,0)</f>
        <v>0</v>
      </c>
      <c r="EO92" s="22">
        <f>+VLOOKUP($BD92,'May-25'!$A:$J,10,0)</f>
        <v>0</v>
      </c>
      <c r="EP92" s="22">
        <f>+VLOOKUP($BD92,'June-25'!$A:$J,10,0)</f>
        <v>0</v>
      </c>
      <c r="EQ92" s="22">
        <f>+VLOOKUP($BD92,'July-25'!$A:$J,10,0)</f>
        <v>0</v>
      </c>
      <c r="ER92" s="22">
        <f>+VLOOKUP($BD92,'Aug-25'!$A:$J,10,0)</f>
        <v>0</v>
      </c>
      <c r="ES92" s="22">
        <f>+VLOOKUP($BD92,'Sep-25'!$A:$J,10,0)</f>
        <v>0</v>
      </c>
      <c r="ET92" s="22">
        <f>+VLOOKUP($BD92,'Oct-25'!$A:$J,10,0)</f>
        <v>0</v>
      </c>
      <c r="EU92" s="22">
        <f>+VLOOKUP($BD92,'Nov-25'!$A:$J,10,0)</f>
        <v>0</v>
      </c>
      <c r="EV92" s="22">
        <f>+VLOOKUP($BD92,'Dec-25'!$A:$J,10,0)</f>
        <v>0</v>
      </c>
      <c r="EW92" s="22">
        <f t="shared" si="1221"/>
        <v>0</v>
      </c>
      <c r="EX92" s="118" t="e">
        <f t="shared" si="425"/>
        <v>#DIV/0!</v>
      </c>
      <c r="EY92" s="106">
        <f>+_xlfn.XLOOKUP($EJ92,Budget!$A:$A,Budget!DR:DR)</f>
        <v>0</v>
      </c>
      <c r="EZ92" s="106">
        <f>+_xlfn.XLOOKUP($EJ92,Budget!$A:$A,Budget!DS:DS)</f>
        <v>0</v>
      </c>
      <c r="FA92" s="106">
        <f>+_xlfn.XLOOKUP($EJ92,Budget!$A:$A,Budget!DT:DT)</f>
        <v>0</v>
      </c>
      <c r="FB92" s="106">
        <f>+_xlfn.XLOOKUP($EJ92,Budget!$A:$A,Budget!DU:DU)</f>
        <v>0</v>
      </c>
      <c r="FC92" s="106">
        <f>+_xlfn.XLOOKUP($EJ92,Budget!$A:$A,Budget!DV:DV)</f>
        <v>0</v>
      </c>
      <c r="FD92" s="106">
        <f>+_xlfn.XLOOKUP($EJ92,Budget!$A:$A,Budget!DW:DW)</f>
        <v>0</v>
      </c>
      <c r="FE92" s="106">
        <f>+_xlfn.XLOOKUP($EJ92,Budget!$A:$A,Budget!DX:DX)</f>
        <v>0</v>
      </c>
      <c r="FF92" s="106">
        <f>+_xlfn.XLOOKUP($EJ92,Budget!$A:$A,Budget!DY:DY)</f>
        <v>0</v>
      </c>
      <c r="FG92" s="106">
        <f>+_xlfn.XLOOKUP($EJ92,Budget!$A:$A,Budget!DZ:DZ)</f>
        <v>0</v>
      </c>
      <c r="FH92" s="106">
        <f>+_xlfn.XLOOKUP($EJ92,Budget!$A:$A,Budget!EA:EA)</f>
        <v>0</v>
      </c>
      <c r="FI92" s="106">
        <f>+_xlfn.XLOOKUP($EJ92,Budget!$A:$A,Budget!EB:EB)</f>
        <v>0</v>
      </c>
      <c r="FJ92" s="106">
        <f>+_xlfn.XLOOKUP($EJ92,Budget!$A:$A,Budget!EC:EC)</f>
        <v>0</v>
      </c>
      <c r="FK92" s="106">
        <f t="shared" si="1222"/>
        <v>0</v>
      </c>
    </row>
    <row r="93" spans="1:167" ht="14.45" hidden="1" customHeight="1" outlineLevel="2">
      <c r="A93" s="106">
        <f t="shared" si="1187"/>
        <v>0</v>
      </c>
      <c r="B93" s="106">
        <f t="shared" si="1187"/>
        <v>0</v>
      </c>
      <c r="C93" s="106">
        <f t="shared" si="1187"/>
        <v>0</v>
      </c>
      <c r="D93" s="106">
        <f t="shared" si="1187"/>
        <v>0</v>
      </c>
      <c r="E93" s="106">
        <f t="shared" si="1187"/>
        <v>0</v>
      </c>
      <c r="F93" s="106">
        <f t="shared" si="1187"/>
        <v>0</v>
      </c>
      <c r="G93" s="106">
        <f t="shared" si="1187"/>
        <v>139.28399999999999</v>
      </c>
      <c r="H93" s="106">
        <f t="shared" si="1187"/>
        <v>139.28399999999999</v>
      </c>
      <c r="I93" s="106">
        <f t="shared" si="1187"/>
        <v>260.2</v>
      </c>
      <c r="J93" s="106">
        <f t="shared" si="1187"/>
        <v>94.608000000000004</v>
      </c>
      <c r="K93" s="106">
        <f t="shared" si="1187"/>
        <v>328.5</v>
      </c>
      <c r="L93" s="106">
        <f t="shared" si="1187"/>
        <v>189.21400000000003</v>
      </c>
      <c r="M93" s="106">
        <f t="shared" si="1068"/>
        <v>1151.0899999999999</v>
      </c>
      <c r="N93" s="16" t="s">
        <v>74</v>
      </c>
      <c r="O93" s="106">
        <f t="shared" si="1188"/>
        <v>324.25</v>
      </c>
      <c r="P93" s="106">
        <f t="shared" si="1189"/>
        <v>189.24800000000002</v>
      </c>
      <c r="Q93" s="106">
        <f t="shared" si="1190"/>
        <v>189.21600000000001</v>
      </c>
      <c r="R93" s="106">
        <f t="shared" si="1191"/>
        <v>0</v>
      </c>
      <c r="S93" s="106">
        <f t="shared" si="1192"/>
        <v>283.92</v>
      </c>
      <c r="T93" s="106">
        <f t="shared" si="1193"/>
        <v>189.21600000000001</v>
      </c>
      <c r="U93" s="106">
        <f t="shared" si="1194"/>
        <v>1905.0660000000003</v>
      </c>
      <c r="V93" s="106">
        <f t="shared" si="1195"/>
        <v>0</v>
      </c>
      <c r="W93" s="106">
        <f t="shared" si="1196"/>
        <v>0</v>
      </c>
      <c r="X93" s="106">
        <f t="shared" si="1197"/>
        <v>0</v>
      </c>
      <c r="Y93" s="106">
        <f t="shared" si="1198"/>
        <v>0</v>
      </c>
      <c r="Z93" s="106">
        <f t="shared" si="1199"/>
        <v>0</v>
      </c>
      <c r="AA93" s="106">
        <f t="shared" si="1200"/>
        <v>3080.9160000000002</v>
      </c>
      <c r="AB93" s="118">
        <f t="shared" si="401"/>
        <v>0</v>
      </c>
      <c r="AC93" s="106">
        <f t="shared" si="1201"/>
        <v>0</v>
      </c>
      <c r="AD93" s="106">
        <f t="shared" si="1202"/>
        <v>0</v>
      </c>
      <c r="AE93" s="106">
        <f t="shared" si="1203"/>
        <v>0</v>
      </c>
      <c r="AF93" s="106">
        <f t="shared" si="1204"/>
        <v>0</v>
      </c>
      <c r="AG93" s="106">
        <f t="shared" si="1205"/>
        <v>0</v>
      </c>
      <c r="AH93" s="106">
        <f t="shared" si="1206"/>
        <v>0</v>
      </c>
      <c r="AI93" s="106">
        <f t="shared" si="1207"/>
        <v>0</v>
      </c>
      <c r="AJ93" s="106">
        <f t="shared" si="1208"/>
        <v>0</v>
      </c>
      <c r="AK93" s="106">
        <f t="shared" si="1209"/>
        <v>0</v>
      </c>
      <c r="AL93" s="106">
        <f t="shared" si="1210"/>
        <v>0</v>
      </c>
      <c r="AM93" s="106">
        <f t="shared" si="1211"/>
        <v>0</v>
      </c>
      <c r="AN93" s="106">
        <f t="shared" si="1212"/>
        <v>0</v>
      </c>
      <c r="AO93" s="106">
        <f t="shared" si="1213"/>
        <v>0</v>
      </c>
      <c r="AQ93" s="106">
        <v>0</v>
      </c>
      <c r="AR93" s="106">
        <v>0</v>
      </c>
      <c r="AS93" s="106">
        <v>0</v>
      </c>
      <c r="AT93" s="106">
        <v>0</v>
      </c>
      <c r="AU93" s="106">
        <v>0</v>
      </c>
      <c r="AV93" s="106">
        <v>0</v>
      </c>
      <c r="AW93" s="106">
        <v>0</v>
      </c>
      <c r="AX93" s="106">
        <v>0</v>
      </c>
      <c r="AY93" s="106">
        <v>0</v>
      </c>
      <c r="AZ93" s="106">
        <v>0</v>
      </c>
      <c r="BA93" s="106">
        <v>0</v>
      </c>
      <c r="BB93" s="106">
        <v>0</v>
      </c>
      <c r="BC93" s="106">
        <f t="shared" si="1214"/>
        <v>0</v>
      </c>
      <c r="BD93" s="16" t="str">
        <f t="shared" si="900"/>
        <v>Delivery Expenses Others</v>
      </c>
      <c r="BE93" s="106">
        <f>+VLOOKUP($BD93,'Jan-25'!$A:$J,5,0)</f>
        <v>0</v>
      </c>
      <c r="BF93" s="106">
        <f>+VLOOKUP($BD93,'Feb-25'!$A:$J,5,0)</f>
        <v>0</v>
      </c>
      <c r="BG93" s="106">
        <f>+VLOOKUP($BD93,'Mar-25'!$A:$J,5,0)</f>
        <v>0</v>
      </c>
      <c r="BH93" s="106">
        <f>+VLOOKUP($BD93,'Apr-25'!$A:$J,5,0)</f>
        <v>0</v>
      </c>
      <c r="BI93" s="106">
        <f>+VLOOKUP($BD93,'May-25'!$A:$J,5,0)</f>
        <v>0</v>
      </c>
      <c r="BJ93" s="106">
        <f>+VLOOKUP($BD93,'June-25'!$A:$J,5,0)</f>
        <v>0</v>
      </c>
      <c r="BK93" s="106">
        <f>+VLOOKUP($BD93,'July-25'!$A:$J,5,0)</f>
        <v>1143.9000000000001</v>
      </c>
      <c r="BL93" s="106">
        <f>+VLOOKUP($BD93,'Aug-25'!$A:$J,5,0)</f>
        <v>0</v>
      </c>
      <c r="BM93" s="106">
        <f>+VLOOKUP($BD93,'Sep-25'!$A:$J,5,0)</f>
        <v>0</v>
      </c>
      <c r="BN93" s="106">
        <f>+VLOOKUP($BD93,'Oct-25'!$A:$J,5,0)</f>
        <v>0</v>
      </c>
      <c r="BO93" s="106">
        <f>+VLOOKUP($BD93,'Nov-25'!$A:$J,5,0)</f>
        <v>0</v>
      </c>
      <c r="BP93" s="106">
        <f>+VLOOKUP($BD93,'Dec-25'!$A:$J,5,0)</f>
        <v>0</v>
      </c>
      <c r="BQ93" s="106">
        <f t="shared" si="1215"/>
        <v>1143.9000000000001</v>
      </c>
      <c r="BR93" s="118">
        <f t="shared" si="417"/>
        <v>0</v>
      </c>
      <c r="BS93" s="106">
        <f>+_xlfn.XLOOKUP($BD93,Budget!$A:$A,Budget!BD:BD)</f>
        <v>0</v>
      </c>
      <c r="BT93" s="106">
        <f>+_xlfn.XLOOKUP($BD93,Budget!$A:$A,Budget!BE:BE)</f>
        <v>0</v>
      </c>
      <c r="BU93" s="106">
        <f>+_xlfn.XLOOKUP($BD93,Budget!$A:$A,Budget!BF:BF)</f>
        <v>0</v>
      </c>
      <c r="BV93" s="106">
        <f>+_xlfn.XLOOKUP($BD93,Budget!$A:$A,Budget!BG:BG)</f>
        <v>0</v>
      </c>
      <c r="BW93" s="106">
        <f>+_xlfn.XLOOKUP($BD93,Budget!$A:$A,Budget!BH:BH)</f>
        <v>0</v>
      </c>
      <c r="BX93" s="106">
        <f>+_xlfn.XLOOKUP($BD93,Budget!$A:$A,Budget!BI:BI)</f>
        <v>0</v>
      </c>
      <c r="BY93" s="106">
        <f>+_xlfn.XLOOKUP($BD93,Budget!$A:$A,Budget!BJ:BJ)</f>
        <v>0</v>
      </c>
      <c r="BZ93" s="106">
        <f>+_xlfn.XLOOKUP($BD93,Budget!$A:$A,Budget!BK:BK)</f>
        <v>0</v>
      </c>
      <c r="CA93" s="106">
        <f>+_xlfn.XLOOKUP($BD93,Budget!$A:$A,Budget!BL:BL)</f>
        <v>0</v>
      </c>
      <c r="CB93" s="106">
        <f>+_xlfn.XLOOKUP($BD93,Budget!$A:$A,Budget!BM:BM)</f>
        <v>0</v>
      </c>
      <c r="CC93" s="106">
        <f>+_xlfn.XLOOKUP($BD93,Budget!$A:$A,Budget!BN:BN)</f>
        <v>0</v>
      </c>
      <c r="CD93" s="106">
        <f>+_xlfn.XLOOKUP($BD93,Budget!$A:$A,Budget!BO:BO)</f>
        <v>0</v>
      </c>
      <c r="CE93" s="106">
        <f t="shared" si="1216"/>
        <v>0</v>
      </c>
      <c r="CF93" s="106"/>
      <c r="CG93" s="106">
        <v>0</v>
      </c>
      <c r="CH93" s="106">
        <v>0</v>
      </c>
      <c r="CI93" s="106">
        <v>0</v>
      </c>
      <c r="CJ93" s="106">
        <v>0</v>
      </c>
      <c r="CK93" s="106">
        <v>0</v>
      </c>
      <c r="CL93" s="106">
        <v>0</v>
      </c>
      <c r="CM93" s="106">
        <v>139.28399999999999</v>
      </c>
      <c r="CN93" s="106">
        <v>139.28399999999999</v>
      </c>
      <c r="CO93" s="106">
        <v>260.2</v>
      </c>
      <c r="CP93" s="106">
        <v>94.608000000000004</v>
      </c>
      <c r="CQ93" s="106">
        <v>328.5</v>
      </c>
      <c r="CR93" s="106">
        <v>189.21400000000003</v>
      </c>
      <c r="CS93" s="106">
        <f t="shared" si="1217"/>
        <v>1151.0899999999999</v>
      </c>
      <c r="CT93" s="16" t="str">
        <f t="shared" si="901"/>
        <v>Delivery Expenses Others</v>
      </c>
      <c r="CU93" s="106">
        <f>+VLOOKUP($BD93,'Jan-25'!$A:$J,8,0)</f>
        <v>324.25</v>
      </c>
      <c r="CV93" s="106">
        <f>+VLOOKUP($BD93,'Feb-25'!$A:$J,8,0)</f>
        <v>189.24800000000002</v>
      </c>
      <c r="CW93" s="106">
        <f>+VLOOKUP($BD93,'Mar-25'!$A:$J,8,0)</f>
        <v>189.21600000000001</v>
      </c>
      <c r="CX93" s="106">
        <f>+VLOOKUP($BD93,'Apr-25'!$A:$J,8,0)</f>
        <v>0</v>
      </c>
      <c r="CY93" s="106">
        <f>+VLOOKUP($BD93,'May-25'!$A:$J,8,0)</f>
        <v>283.92</v>
      </c>
      <c r="CZ93" s="106">
        <f>+VLOOKUP($BD93,'June-25'!$A:$J,8,0)</f>
        <v>189.21600000000001</v>
      </c>
      <c r="DA93" s="106">
        <f>+VLOOKUP($BD93,'July-25'!$A:$J,8,0)</f>
        <v>761.16600000000005</v>
      </c>
      <c r="DB93" s="106">
        <f>+VLOOKUP($BD93,'Aug-25'!$A:$J,8,0)</f>
        <v>0</v>
      </c>
      <c r="DC93" s="106">
        <f>+VLOOKUP($BD93,'Sep-25'!$A:$J,8,0)</f>
        <v>0</v>
      </c>
      <c r="DD93" s="106">
        <f>+VLOOKUP($BD93,'Oct-25'!$A:$J,8,0)</f>
        <v>0</v>
      </c>
      <c r="DE93" s="106">
        <f>+VLOOKUP($BD93,'Nov-25'!$A:$J,8,0)</f>
        <v>0</v>
      </c>
      <c r="DF93" s="106">
        <f>+VLOOKUP($BD93,'Dec-25'!$A:$J,8,0)</f>
        <v>0</v>
      </c>
      <c r="DG93" s="106">
        <f t="shared" si="1218"/>
        <v>1937.0160000000001</v>
      </c>
      <c r="DH93" s="118">
        <f t="shared" si="421"/>
        <v>0</v>
      </c>
      <c r="DI93" s="106">
        <f>+_xlfn.XLOOKUP($CT93,Budget!$A:$A,Budget!CQ:CQ)</f>
        <v>0</v>
      </c>
      <c r="DJ93" s="106">
        <f>+_xlfn.XLOOKUP($CT93,Budget!$A:$A,Budget!CR:CR)</f>
        <v>0</v>
      </c>
      <c r="DK93" s="106">
        <f>+_xlfn.XLOOKUP($CT93,Budget!$A:$A,Budget!CS:CS)</f>
        <v>0</v>
      </c>
      <c r="DL93" s="106">
        <f>+_xlfn.XLOOKUP($CT93,Budget!$A:$A,Budget!CT:CT)</f>
        <v>0</v>
      </c>
      <c r="DM93" s="106">
        <f>+_xlfn.XLOOKUP($CT93,Budget!$A:$A,Budget!CU:CU)</f>
        <v>0</v>
      </c>
      <c r="DN93" s="106">
        <f>+_xlfn.XLOOKUP($CT93,Budget!$A:$A,Budget!CV:CV)</f>
        <v>0</v>
      </c>
      <c r="DO93" s="106">
        <f>+_xlfn.XLOOKUP($CT93,Budget!$A:$A,Budget!CW:CW)</f>
        <v>0</v>
      </c>
      <c r="DP93" s="106">
        <f>+_xlfn.XLOOKUP($CT93,Budget!$A:$A,Budget!CX:CX)</f>
        <v>0</v>
      </c>
      <c r="DQ93" s="106">
        <f>+_xlfn.XLOOKUP($CT93,Budget!$A:$A,Budget!CY:CY)</f>
        <v>0</v>
      </c>
      <c r="DR93" s="106">
        <f>+_xlfn.XLOOKUP($CT93,Budget!$A:$A,Budget!CZ:CZ)</f>
        <v>0</v>
      </c>
      <c r="DS93" s="106">
        <f>+_xlfn.XLOOKUP($CT93,Budget!$A:$A,Budget!DA:DA)</f>
        <v>0</v>
      </c>
      <c r="DT93" s="106">
        <f>+_xlfn.XLOOKUP($CT93,Budget!$A:$A,Budget!DB:DB)</f>
        <v>0</v>
      </c>
      <c r="DU93" s="106">
        <f t="shared" si="1219"/>
        <v>0</v>
      </c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106">
        <f t="shared" si="1220"/>
        <v>0</v>
      </c>
      <c r="EJ93" s="16" t="str">
        <f t="shared" si="966"/>
        <v>Delivery Expenses Others</v>
      </c>
      <c r="EK93" s="22">
        <f>+VLOOKUP($BD93,'Jan-25'!$A:$J,10,0)</f>
        <v>0</v>
      </c>
      <c r="EL93" s="22">
        <f>+VLOOKUP($BD93,'Feb-25'!$A:$J,10,0)</f>
        <v>0</v>
      </c>
      <c r="EM93" s="22">
        <f>+VLOOKUP($BD93,'Mar-25'!$A:$J,10,0)</f>
        <v>0</v>
      </c>
      <c r="EN93" s="22">
        <f>+VLOOKUP($BD93,'Apr-25'!$A:$J,10,0)</f>
        <v>0</v>
      </c>
      <c r="EO93" s="22">
        <f>+VLOOKUP($BD93,'May-25'!$A:$J,10,0)</f>
        <v>0</v>
      </c>
      <c r="EP93" s="22">
        <f>+VLOOKUP($BD93,'June-25'!$A:$J,10,0)</f>
        <v>0</v>
      </c>
      <c r="EQ93" s="22">
        <f>+VLOOKUP($BD93,'July-25'!$A:$J,10,0)</f>
        <v>0</v>
      </c>
      <c r="ER93" s="22">
        <f>+VLOOKUP($BD93,'Aug-25'!$A:$J,10,0)</f>
        <v>0</v>
      </c>
      <c r="ES93" s="22">
        <f>+VLOOKUP($BD93,'Sep-25'!$A:$J,10,0)</f>
        <v>0</v>
      </c>
      <c r="ET93" s="22">
        <f>+VLOOKUP($BD93,'Oct-25'!$A:$J,10,0)</f>
        <v>0</v>
      </c>
      <c r="EU93" s="22">
        <f>+VLOOKUP($BD93,'Nov-25'!$A:$J,10,0)</f>
        <v>0</v>
      </c>
      <c r="EV93" s="22">
        <f>+VLOOKUP($BD93,'Dec-25'!$A:$J,10,0)</f>
        <v>0</v>
      </c>
      <c r="EW93" s="22">
        <f t="shared" si="1221"/>
        <v>0</v>
      </c>
      <c r="EX93" s="118" t="e">
        <f t="shared" si="425"/>
        <v>#DIV/0!</v>
      </c>
      <c r="EY93" s="106">
        <f>+_xlfn.XLOOKUP($EJ93,Budget!$A:$A,Budget!DR:DR)</f>
        <v>0</v>
      </c>
      <c r="EZ93" s="106">
        <f>+_xlfn.XLOOKUP($EJ93,Budget!$A:$A,Budget!DS:DS)</f>
        <v>0</v>
      </c>
      <c r="FA93" s="106">
        <f>+_xlfn.XLOOKUP($EJ93,Budget!$A:$A,Budget!DT:DT)</f>
        <v>0</v>
      </c>
      <c r="FB93" s="106">
        <f>+_xlfn.XLOOKUP($EJ93,Budget!$A:$A,Budget!DU:DU)</f>
        <v>0</v>
      </c>
      <c r="FC93" s="106">
        <f>+_xlfn.XLOOKUP($EJ93,Budget!$A:$A,Budget!DV:DV)</f>
        <v>0</v>
      </c>
      <c r="FD93" s="106">
        <f>+_xlfn.XLOOKUP($EJ93,Budget!$A:$A,Budget!DW:DW)</f>
        <v>0</v>
      </c>
      <c r="FE93" s="106">
        <f>+_xlfn.XLOOKUP($EJ93,Budget!$A:$A,Budget!DX:DX)</f>
        <v>0</v>
      </c>
      <c r="FF93" s="106">
        <f>+_xlfn.XLOOKUP($EJ93,Budget!$A:$A,Budget!DY:DY)</f>
        <v>0</v>
      </c>
      <c r="FG93" s="106">
        <f>+_xlfn.XLOOKUP($EJ93,Budget!$A:$A,Budget!DZ:DZ)</f>
        <v>0</v>
      </c>
      <c r="FH93" s="106">
        <f>+_xlfn.XLOOKUP($EJ93,Budget!$A:$A,Budget!EA:EA)</f>
        <v>0</v>
      </c>
      <c r="FI93" s="106">
        <f>+_xlfn.XLOOKUP($EJ93,Budget!$A:$A,Budget!EB:EB)</f>
        <v>0</v>
      </c>
      <c r="FJ93" s="106">
        <f>+_xlfn.XLOOKUP($EJ93,Budget!$A:$A,Budget!EC:EC)</f>
        <v>0</v>
      </c>
      <c r="FK93" s="106">
        <f t="shared" si="1222"/>
        <v>0</v>
      </c>
    </row>
    <row r="94" spans="1:167" ht="14.45" hidden="1" customHeight="1" outlineLevel="2">
      <c r="A94" s="106">
        <f t="shared" si="1187"/>
        <v>0</v>
      </c>
      <c r="B94" s="106">
        <f t="shared" si="1187"/>
        <v>0</v>
      </c>
      <c r="C94" s="106">
        <f t="shared" si="1187"/>
        <v>0</v>
      </c>
      <c r="D94" s="106">
        <f t="shared" si="1187"/>
        <v>0</v>
      </c>
      <c r="E94" s="106">
        <f t="shared" si="1187"/>
        <v>0</v>
      </c>
      <c r="F94" s="106">
        <f t="shared" si="1187"/>
        <v>0</v>
      </c>
      <c r="G94" s="106">
        <f t="shared" si="1187"/>
        <v>0</v>
      </c>
      <c r="H94" s="106">
        <f t="shared" si="1187"/>
        <v>0</v>
      </c>
      <c r="I94" s="106">
        <f t="shared" si="1187"/>
        <v>0</v>
      </c>
      <c r="J94" s="106">
        <f t="shared" si="1187"/>
        <v>0</v>
      </c>
      <c r="K94" s="106">
        <f t="shared" si="1187"/>
        <v>0</v>
      </c>
      <c r="L94" s="106">
        <f t="shared" si="1187"/>
        <v>0</v>
      </c>
      <c r="M94" s="106">
        <f t="shared" si="1068"/>
        <v>0</v>
      </c>
      <c r="N94" s="16" t="s">
        <v>75</v>
      </c>
      <c r="O94" s="106">
        <f t="shared" si="1188"/>
        <v>0</v>
      </c>
      <c r="P94" s="106">
        <f t="shared" si="1189"/>
        <v>0</v>
      </c>
      <c r="Q94" s="106">
        <f t="shared" si="1190"/>
        <v>0</v>
      </c>
      <c r="R94" s="106">
        <f t="shared" si="1191"/>
        <v>0</v>
      </c>
      <c r="S94" s="106">
        <f t="shared" si="1192"/>
        <v>0</v>
      </c>
      <c r="T94" s="106">
        <f t="shared" si="1193"/>
        <v>0</v>
      </c>
      <c r="U94" s="106">
        <f t="shared" si="1194"/>
        <v>0</v>
      </c>
      <c r="V94" s="106">
        <f t="shared" si="1195"/>
        <v>0</v>
      </c>
      <c r="W94" s="106">
        <f t="shared" si="1196"/>
        <v>0</v>
      </c>
      <c r="X94" s="106">
        <f t="shared" si="1197"/>
        <v>0</v>
      </c>
      <c r="Y94" s="106">
        <f t="shared" si="1198"/>
        <v>0</v>
      </c>
      <c r="Z94" s="106">
        <f t="shared" si="1199"/>
        <v>0</v>
      </c>
      <c r="AA94" s="106">
        <f t="shared" si="1200"/>
        <v>0</v>
      </c>
      <c r="AB94" s="118">
        <f t="shared" ref="AB94:AB157" si="1223">IFERROR((X94-AL94)/AL94,0)</f>
        <v>0</v>
      </c>
      <c r="AC94" s="106">
        <f t="shared" si="1201"/>
        <v>0</v>
      </c>
      <c r="AD94" s="106">
        <f t="shared" si="1202"/>
        <v>0</v>
      </c>
      <c r="AE94" s="106">
        <f t="shared" si="1203"/>
        <v>0</v>
      </c>
      <c r="AF94" s="106">
        <f t="shared" si="1204"/>
        <v>0</v>
      </c>
      <c r="AG94" s="106">
        <f t="shared" si="1205"/>
        <v>0</v>
      </c>
      <c r="AH94" s="106">
        <f t="shared" si="1206"/>
        <v>0</v>
      </c>
      <c r="AI94" s="106">
        <f t="shared" si="1207"/>
        <v>0</v>
      </c>
      <c r="AJ94" s="106">
        <f t="shared" si="1208"/>
        <v>0</v>
      </c>
      <c r="AK94" s="106">
        <f t="shared" si="1209"/>
        <v>0</v>
      </c>
      <c r="AL94" s="106">
        <f t="shared" si="1210"/>
        <v>0</v>
      </c>
      <c r="AM94" s="106">
        <f t="shared" si="1211"/>
        <v>0</v>
      </c>
      <c r="AN94" s="106">
        <f t="shared" si="1212"/>
        <v>0</v>
      </c>
      <c r="AO94" s="106">
        <f t="shared" si="1213"/>
        <v>0</v>
      </c>
      <c r="AQ94" s="106">
        <v>0</v>
      </c>
      <c r="AR94" s="106">
        <v>0</v>
      </c>
      <c r="AS94" s="106">
        <v>0</v>
      </c>
      <c r="AT94" s="106">
        <v>0</v>
      </c>
      <c r="AU94" s="106">
        <v>0</v>
      </c>
      <c r="AV94" s="106">
        <v>0</v>
      </c>
      <c r="AW94" s="106">
        <v>0</v>
      </c>
      <c r="AX94" s="106">
        <v>0</v>
      </c>
      <c r="AY94" s="106">
        <v>0</v>
      </c>
      <c r="AZ94" s="106">
        <v>0</v>
      </c>
      <c r="BA94" s="106">
        <v>0</v>
      </c>
      <c r="BB94" s="106">
        <v>0</v>
      </c>
      <c r="BC94" s="106">
        <f t="shared" si="1214"/>
        <v>0</v>
      </c>
      <c r="BD94" s="16" t="str">
        <f t="shared" si="900"/>
        <v>Delivery Polish - New  Car</v>
      </c>
      <c r="BE94" s="106">
        <f>+VLOOKUP($BD94,'Jan-25'!$A:$J,5,0)</f>
        <v>0</v>
      </c>
      <c r="BF94" s="106">
        <f>+VLOOKUP($BD94,'Feb-25'!$A:$J,5,0)</f>
        <v>0</v>
      </c>
      <c r="BG94" s="106">
        <f>+VLOOKUP($BD94,'Mar-25'!$A:$J,5,0)</f>
        <v>0</v>
      </c>
      <c r="BH94" s="106">
        <f>+VLOOKUP($BD94,'Apr-25'!$A:$J,5,0)</f>
        <v>0</v>
      </c>
      <c r="BI94" s="106">
        <f>+VLOOKUP($BD94,'May-25'!$A:$J,5,0)</f>
        <v>0</v>
      </c>
      <c r="BJ94" s="106">
        <f>+VLOOKUP($BD94,'June-25'!$A:$J,5,0)</f>
        <v>0</v>
      </c>
      <c r="BK94" s="106">
        <f>+VLOOKUP($BD94,'July-25'!$A:$J,5,0)</f>
        <v>0</v>
      </c>
      <c r="BL94" s="106">
        <f>+VLOOKUP($BD94,'Aug-25'!$A:$J,5,0)</f>
        <v>0</v>
      </c>
      <c r="BM94" s="106">
        <f>+VLOOKUP($BD94,'Sep-25'!$A:$J,5,0)</f>
        <v>0</v>
      </c>
      <c r="BN94" s="106">
        <f>+VLOOKUP($BD94,'Oct-25'!$A:$J,5,0)</f>
        <v>0</v>
      </c>
      <c r="BO94" s="106">
        <f>+VLOOKUP($BD94,'Nov-25'!$A:$J,5,0)</f>
        <v>0</v>
      </c>
      <c r="BP94" s="106">
        <f>+VLOOKUP($BD94,'Dec-25'!$A:$J,5,0)</f>
        <v>0</v>
      </c>
      <c r="BQ94" s="106">
        <f t="shared" si="1215"/>
        <v>0</v>
      </c>
      <c r="BR94" s="118">
        <f t="shared" ref="BR94:BR157" si="1224">IFERROR((BN94-CB94)/CB94,0)</f>
        <v>0</v>
      </c>
      <c r="BS94" s="106">
        <f>+_xlfn.XLOOKUP($BD94,Budget!$A:$A,Budget!BD:BD)</f>
        <v>0</v>
      </c>
      <c r="BT94" s="106">
        <f>+_xlfn.XLOOKUP($BD94,Budget!$A:$A,Budget!BE:BE)</f>
        <v>0</v>
      </c>
      <c r="BU94" s="106">
        <f>+_xlfn.XLOOKUP($BD94,Budget!$A:$A,Budget!BF:BF)</f>
        <v>0</v>
      </c>
      <c r="BV94" s="106">
        <f>+_xlfn.XLOOKUP($BD94,Budget!$A:$A,Budget!BG:BG)</f>
        <v>0</v>
      </c>
      <c r="BW94" s="106">
        <f>+_xlfn.XLOOKUP($BD94,Budget!$A:$A,Budget!BH:BH)</f>
        <v>0</v>
      </c>
      <c r="BX94" s="106">
        <f>+_xlfn.XLOOKUP($BD94,Budget!$A:$A,Budget!BI:BI)</f>
        <v>0</v>
      </c>
      <c r="BY94" s="106">
        <f>+_xlfn.XLOOKUP($BD94,Budget!$A:$A,Budget!BJ:BJ)</f>
        <v>0</v>
      </c>
      <c r="BZ94" s="106">
        <f>+_xlfn.XLOOKUP($BD94,Budget!$A:$A,Budget!BK:BK)</f>
        <v>0</v>
      </c>
      <c r="CA94" s="106">
        <f>+_xlfn.XLOOKUP($BD94,Budget!$A:$A,Budget!BL:BL)</f>
        <v>0</v>
      </c>
      <c r="CB94" s="106">
        <f>+_xlfn.XLOOKUP($BD94,Budget!$A:$A,Budget!BM:BM)</f>
        <v>0</v>
      </c>
      <c r="CC94" s="106">
        <f>+_xlfn.XLOOKUP($BD94,Budget!$A:$A,Budget!BN:BN)</f>
        <v>0</v>
      </c>
      <c r="CD94" s="106">
        <f>+_xlfn.XLOOKUP($BD94,Budget!$A:$A,Budget!BO:BO)</f>
        <v>0</v>
      </c>
      <c r="CE94" s="106">
        <f t="shared" si="1216"/>
        <v>0</v>
      </c>
      <c r="CF94" s="106"/>
      <c r="CG94" s="106">
        <v>0</v>
      </c>
      <c r="CH94" s="106">
        <v>0</v>
      </c>
      <c r="CI94" s="106">
        <v>0</v>
      </c>
      <c r="CJ94" s="106">
        <v>0</v>
      </c>
      <c r="CK94" s="106">
        <v>0</v>
      </c>
      <c r="CL94" s="106">
        <v>0</v>
      </c>
      <c r="CM94" s="106">
        <v>0</v>
      </c>
      <c r="CN94" s="106">
        <v>0</v>
      </c>
      <c r="CO94" s="106">
        <v>0</v>
      </c>
      <c r="CP94" s="106">
        <v>0</v>
      </c>
      <c r="CQ94" s="106">
        <v>0</v>
      </c>
      <c r="CR94" s="106">
        <v>0</v>
      </c>
      <c r="CS94" s="106">
        <f t="shared" si="1217"/>
        <v>0</v>
      </c>
      <c r="CT94" s="16" t="str">
        <f t="shared" si="901"/>
        <v>Delivery Polish - New  Car</v>
      </c>
      <c r="CU94" s="106">
        <f>+VLOOKUP($BD94,'Jan-25'!$A:$J,8,0)</f>
        <v>0</v>
      </c>
      <c r="CV94" s="106">
        <f>+VLOOKUP($BD94,'Feb-25'!$A:$J,8,0)</f>
        <v>0</v>
      </c>
      <c r="CW94" s="106">
        <f>+VLOOKUP($BD94,'Mar-25'!$A:$J,8,0)</f>
        <v>0</v>
      </c>
      <c r="CX94" s="106">
        <f>+VLOOKUP($BD94,'Apr-25'!$A:$J,8,0)</f>
        <v>0</v>
      </c>
      <c r="CY94" s="106">
        <f>+VLOOKUP($BD94,'May-25'!$A:$J,8,0)</f>
        <v>0</v>
      </c>
      <c r="CZ94" s="106">
        <f>+VLOOKUP($BD94,'June-25'!$A:$J,8,0)</f>
        <v>0</v>
      </c>
      <c r="DA94" s="106">
        <f>+VLOOKUP($BD94,'July-25'!$A:$J,8,0)</f>
        <v>0</v>
      </c>
      <c r="DB94" s="106">
        <f>+VLOOKUP($BD94,'Aug-25'!$A:$J,8,0)</f>
        <v>0</v>
      </c>
      <c r="DC94" s="106">
        <f>+VLOOKUP($BD94,'Sep-25'!$A:$J,8,0)</f>
        <v>0</v>
      </c>
      <c r="DD94" s="106">
        <f>+VLOOKUP($BD94,'Oct-25'!$A:$J,8,0)</f>
        <v>0</v>
      </c>
      <c r="DE94" s="106">
        <f>+VLOOKUP($BD94,'Nov-25'!$A:$J,8,0)</f>
        <v>0</v>
      </c>
      <c r="DF94" s="106">
        <f>+VLOOKUP($BD94,'Dec-25'!$A:$J,8,0)</f>
        <v>0</v>
      </c>
      <c r="DG94" s="106">
        <f t="shared" si="1218"/>
        <v>0</v>
      </c>
      <c r="DH94" s="118">
        <f t="shared" ref="DH94:DH157" si="1225">IFERROR((DD94-DR94)/DR94,0)</f>
        <v>0</v>
      </c>
      <c r="DI94" s="106">
        <f>+_xlfn.XLOOKUP($CT94,Budget!$A:$A,Budget!CQ:CQ)</f>
        <v>0</v>
      </c>
      <c r="DJ94" s="106">
        <f>+_xlfn.XLOOKUP($CT94,Budget!$A:$A,Budget!CR:CR)</f>
        <v>0</v>
      </c>
      <c r="DK94" s="106">
        <f>+_xlfn.XLOOKUP($CT94,Budget!$A:$A,Budget!CS:CS)</f>
        <v>0</v>
      </c>
      <c r="DL94" s="106">
        <f>+_xlfn.XLOOKUP($CT94,Budget!$A:$A,Budget!CT:CT)</f>
        <v>0</v>
      </c>
      <c r="DM94" s="106">
        <f>+_xlfn.XLOOKUP($CT94,Budget!$A:$A,Budget!CU:CU)</f>
        <v>0</v>
      </c>
      <c r="DN94" s="106">
        <f>+_xlfn.XLOOKUP($CT94,Budget!$A:$A,Budget!CV:CV)</f>
        <v>0</v>
      </c>
      <c r="DO94" s="106">
        <f>+_xlfn.XLOOKUP($CT94,Budget!$A:$A,Budget!CW:CW)</f>
        <v>0</v>
      </c>
      <c r="DP94" s="106">
        <f>+_xlfn.XLOOKUP($CT94,Budget!$A:$A,Budget!CX:CX)</f>
        <v>0</v>
      </c>
      <c r="DQ94" s="106">
        <f>+_xlfn.XLOOKUP($CT94,Budget!$A:$A,Budget!CY:CY)</f>
        <v>0</v>
      </c>
      <c r="DR94" s="106">
        <f>+_xlfn.XLOOKUP($CT94,Budget!$A:$A,Budget!CZ:CZ)</f>
        <v>0</v>
      </c>
      <c r="DS94" s="106">
        <f>+_xlfn.XLOOKUP($CT94,Budget!$A:$A,Budget!DA:DA)</f>
        <v>0</v>
      </c>
      <c r="DT94" s="106">
        <f>+_xlfn.XLOOKUP($CT94,Budget!$A:$A,Budget!DB:DB)</f>
        <v>0</v>
      </c>
      <c r="DU94" s="106">
        <f t="shared" si="1219"/>
        <v>0</v>
      </c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106">
        <f t="shared" si="1220"/>
        <v>0</v>
      </c>
      <c r="EJ94" s="16" t="str">
        <f t="shared" si="966"/>
        <v>Delivery Polish - New  Car</v>
      </c>
      <c r="EK94" s="22">
        <f>+VLOOKUP($BD94,'Jan-25'!$A:$J,10,0)</f>
        <v>0</v>
      </c>
      <c r="EL94" s="22">
        <f>+VLOOKUP($BD94,'Feb-25'!$A:$J,10,0)</f>
        <v>0</v>
      </c>
      <c r="EM94" s="22">
        <f>+VLOOKUP($BD94,'Mar-25'!$A:$J,10,0)</f>
        <v>0</v>
      </c>
      <c r="EN94" s="22">
        <f>+VLOOKUP($BD94,'Apr-25'!$A:$J,10,0)</f>
        <v>0</v>
      </c>
      <c r="EO94" s="22">
        <f>+VLOOKUP($BD94,'May-25'!$A:$J,10,0)</f>
        <v>0</v>
      </c>
      <c r="EP94" s="22">
        <f>+VLOOKUP($BD94,'June-25'!$A:$J,10,0)</f>
        <v>0</v>
      </c>
      <c r="EQ94" s="22">
        <f>+VLOOKUP($BD94,'July-25'!$A:$J,10,0)</f>
        <v>0</v>
      </c>
      <c r="ER94" s="22">
        <f>+VLOOKUP($BD94,'Aug-25'!$A:$J,10,0)</f>
        <v>0</v>
      </c>
      <c r="ES94" s="22">
        <f>+VLOOKUP($BD94,'Sep-25'!$A:$J,10,0)</f>
        <v>0</v>
      </c>
      <c r="ET94" s="22">
        <f>+VLOOKUP($BD94,'Oct-25'!$A:$J,10,0)</f>
        <v>0</v>
      </c>
      <c r="EU94" s="22">
        <f>+VLOOKUP($BD94,'Nov-25'!$A:$J,10,0)</f>
        <v>0</v>
      </c>
      <c r="EV94" s="22">
        <f>+VLOOKUP($BD94,'Dec-25'!$A:$J,10,0)</f>
        <v>0</v>
      </c>
      <c r="EW94" s="22">
        <f t="shared" si="1221"/>
        <v>0</v>
      </c>
      <c r="EX94" s="118" t="e">
        <f t="shared" ref="EX94:EX157" si="1226">+(ES94-FG94)/FG94</f>
        <v>#DIV/0!</v>
      </c>
      <c r="EY94" s="106">
        <f>+_xlfn.XLOOKUP($EJ94,Budget!$A:$A,Budget!DR:DR)</f>
        <v>0</v>
      </c>
      <c r="EZ94" s="106">
        <f>+_xlfn.XLOOKUP($EJ94,Budget!$A:$A,Budget!DS:DS)</f>
        <v>0</v>
      </c>
      <c r="FA94" s="106">
        <f>+_xlfn.XLOOKUP($EJ94,Budget!$A:$A,Budget!DT:DT)</f>
        <v>0</v>
      </c>
      <c r="FB94" s="106">
        <f>+_xlfn.XLOOKUP($EJ94,Budget!$A:$A,Budget!DU:DU)</f>
        <v>0</v>
      </c>
      <c r="FC94" s="106">
        <f>+_xlfn.XLOOKUP($EJ94,Budget!$A:$A,Budget!DV:DV)</f>
        <v>0</v>
      </c>
      <c r="FD94" s="106">
        <f>+_xlfn.XLOOKUP($EJ94,Budget!$A:$A,Budget!DW:DW)</f>
        <v>0</v>
      </c>
      <c r="FE94" s="106">
        <f>+_xlfn.XLOOKUP($EJ94,Budget!$A:$A,Budget!DX:DX)</f>
        <v>0</v>
      </c>
      <c r="FF94" s="106">
        <f>+_xlfn.XLOOKUP($EJ94,Budget!$A:$A,Budget!DY:DY)</f>
        <v>0</v>
      </c>
      <c r="FG94" s="106">
        <f>+_xlfn.XLOOKUP($EJ94,Budget!$A:$A,Budget!DZ:DZ)</f>
        <v>0</v>
      </c>
      <c r="FH94" s="106">
        <f>+_xlfn.XLOOKUP($EJ94,Budget!$A:$A,Budget!EA:EA)</f>
        <v>0</v>
      </c>
      <c r="FI94" s="106">
        <f>+_xlfn.XLOOKUP($EJ94,Budget!$A:$A,Budget!EB:EB)</f>
        <v>0</v>
      </c>
      <c r="FJ94" s="106">
        <f>+_xlfn.XLOOKUP($EJ94,Budget!$A:$A,Budget!EC:EC)</f>
        <v>0</v>
      </c>
      <c r="FK94" s="106">
        <f t="shared" si="1222"/>
        <v>0</v>
      </c>
    </row>
    <row r="95" spans="1:167" ht="14.45" hidden="1" customHeight="1" outlineLevel="2">
      <c r="A95" s="106">
        <f t="shared" si="1187"/>
        <v>0</v>
      </c>
      <c r="B95" s="106">
        <f t="shared" si="1187"/>
        <v>0</v>
      </c>
      <c r="C95" s="106">
        <f t="shared" si="1187"/>
        <v>0</v>
      </c>
      <c r="D95" s="106">
        <f t="shared" si="1187"/>
        <v>0</v>
      </c>
      <c r="E95" s="106">
        <f t="shared" si="1187"/>
        <v>0</v>
      </c>
      <c r="F95" s="106">
        <f t="shared" si="1187"/>
        <v>0</v>
      </c>
      <c r="G95" s="106">
        <f t="shared" si="1187"/>
        <v>0</v>
      </c>
      <c r="H95" s="106">
        <f t="shared" si="1187"/>
        <v>0</v>
      </c>
      <c r="I95" s="106">
        <f t="shared" si="1187"/>
        <v>0</v>
      </c>
      <c r="J95" s="106">
        <f t="shared" si="1187"/>
        <v>0</v>
      </c>
      <c r="K95" s="106">
        <f t="shared" si="1187"/>
        <v>0</v>
      </c>
      <c r="L95" s="106">
        <f t="shared" si="1187"/>
        <v>0</v>
      </c>
      <c r="M95" s="106">
        <f t="shared" si="1068"/>
        <v>0</v>
      </c>
      <c r="N95" s="16" t="s">
        <v>76</v>
      </c>
      <c r="O95" s="106">
        <f t="shared" si="1188"/>
        <v>0</v>
      </c>
      <c r="P95" s="106">
        <f t="shared" si="1189"/>
        <v>0</v>
      </c>
      <c r="Q95" s="106">
        <f t="shared" si="1190"/>
        <v>0</v>
      </c>
      <c r="R95" s="106">
        <f t="shared" si="1191"/>
        <v>0</v>
      </c>
      <c r="S95" s="106">
        <f t="shared" si="1192"/>
        <v>0</v>
      </c>
      <c r="T95" s="106">
        <f t="shared" si="1193"/>
        <v>0</v>
      </c>
      <c r="U95" s="106">
        <f t="shared" si="1194"/>
        <v>0</v>
      </c>
      <c r="V95" s="106">
        <f t="shared" si="1195"/>
        <v>0</v>
      </c>
      <c r="W95" s="106">
        <f t="shared" si="1196"/>
        <v>0</v>
      </c>
      <c r="X95" s="106">
        <f t="shared" si="1197"/>
        <v>0</v>
      </c>
      <c r="Y95" s="106">
        <f t="shared" si="1198"/>
        <v>0</v>
      </c>
      <c r="Z95" s="106">
        <f t="shared" si="1199"/>
        <v>0</v>
      </c>
      <c r="AA95" s="106">
        <f t="shared" si="1200"/>
        <v>0</v>
      </c>
      <c r="AB95" s="118">
        <f t="shared" si="1223"/>
        <v>0</v>
      </c>
      <c r="AC95" s="106">
        <f t="shared" si="1201"/>
        <v>0</v>
      </c>
      <c r="AD95" s="106">
        <f t="shared" si="1202"/>
        <v>0</v>
      </c>
      <c r="AE95" s="106">
        <f t="shared" si="1203"/>
        <v>0</v>
      </c>
      <c r="AF95" s="106">
        <f t="shared" si="1204"/>
        <v>0</v>
      </c>
      <c r="AG95" s="106">
        <f t="shared" si="1205"/>
        <v>0</v>
      </c>
      <c r="AH95" s="106">
        <f t="shared" si="1206"/>
        <v>0</v>
      </c>
      <c r="AI95" s="106">
        <f t="shared" si="1207"/>
        <v>0</v>
      </c>
      <c r="AJ95" s="106">
        <f t="shared" si="1208"/>
        <v>0</v>
      </c>
      <c r="AK95" s="106">
        <f t="shared" si="1209"/>
        <v>0</v>
      </c>
      <c r="AL95" s="106">
        <f t="shared" si="1210"/>
        <v>0</v>
      </c>
      <c r="AM95" s="106">
        <f t="shared" si="1211"/>
        <v>0</v>
      </c>
      <c r="AN95" s="106">
        <f t="shared" si="1212"/>
        <v>0</v>
      </c>
      <c r="AO95" s="106">
        <f t="shared" si="1213"/>
        <v>0</v>
      </c>
      <c r="AQ95" s="106">
        <v>0</v>
      </c>
      <c r="AR95" s="106">
        <v>0</v>
      </c>
      <c r="AS95" s="106">
        <v>0</v>
      </c>
      <c r="AT95" s="106">
        <v>0</v>
      </c>
      <c r="AU95" s="106">
        <v>0</v>
      </c>
      <c r="AV95" s="106">
        <v>0</v>
      </c>
      <c r="AW95" s="106">
        <v>0</v>
      </c>
      <c r="AX95" s="106">
        <v>0</v>
      </c>
      <c r="AY95" s="106">
        <v>0</v>
      </c>
      <c r="AZ95" s="106">
        <v>0</v>
      </c>
      <c r="BA95" s="106">
        <v>0</v>
      </c>
      <c r="BB95" s="106">
        <v>0</v>
      </c>
      <c r="BC95" s="106">
        <f t="shared" si="1214"/>
        <v>0</v>
      </c>
      <c r="BD95" s="16" t="str">
        <f t="shared" si="900"/>
        <v>Flat Bed  Charges</v>
      </c>
      <c r="BE95" s="106">
        <f>+VLOOKUP($BD95,'Jan-25'!$A:$J,5,0)</f>
        <v>0</v>
      </c>
      <c r="BF95" s="106">
        <f>+VLOOKUP($BD95,'Feb-25'!$A:$J,5,0)</f>
        <v>0</v>
      </c>
      <c r="BG95" s="106">
        <f>+VLOOKUP($BD95,'Mar-25'!$A:$J,5,0)</f>
        <v>0</v>
      </c>
      <c r="BH95" s="106">
        <f>+VLOOKUP($BD95,'Apr-25'!$A:$J,5,0)</f>
        <v>0</v>
      </c>
      <c r="BI95" s="106">
        <f>+VLOOKUP($BD95,'May-25'!$A:$J,5,0)</f>
        <v>0</v>
      </c>
      <c r="BJ95" s="106">
        <f>+VLOOKUP($BD95,'June-25'!$A:$J,5,0)</f>
        <v>0</v>
      </c>
      <c r="BK95" s="106">
        <f>+VLOOKUP($BD95,'July-25'!$A:$J,5,0)</f>
        <v>0</v>
      </c>
      <c r="BL95" s="106">
        <f>+VLOOKUP($BD95,'Aug-25'!$A:$J,5,0)</f>
        <v>0</v>
      </c>
      <c r="BM95" s="106">
        <f>+VLOOKUP($BD95,'Sep-25'!$A:$J,5,0)</f>
        <v>0</v>
      </c>
      <c r="BN95" s="106">
        <f>+VLOOKUP($BD95,'Oct-25'!$A:$J,5,0)</f>
        <v>0</v>
      </c>
      <c r="BO95" s="106">
        <f>+VLOOKUP($BD95,'Nov-25'!$A:$J,5,0)</f>
        <v>0</v>
      </c>
      <c r="BP95" s="106">
        <f>+VLOOKUP($BD95,'Dec-25'!$A:$J,5,0)</f>
        <v>0</v>
      </c>
      <c r="BQ95" s="106">
        <f t="shared" si="1215"/>
        <v>0</v>
      </c>
      <c r="BR95" s="118">
        <f t="shared" si="1224"/>
        <v>0</v>
      </c>
      <c r="BS95" s="106">
        <f>+_xlfn.XLOOKUP($BD95,Budget!$A:$A,Budget!BD:BD)</f>
        <v>0</v>
      </c>
      <c r="BT95" s="106">
        <f>+_xlfn.XLOOKUP($BD95,Budget!$A:$A,Budget!BE:BE)</f>
        <v>0</v>
      </c>
      <c r="BU95" s="106">
        <f>+_xlfn.XLOOKUP($BD95,Budget!$A:$A,Budget!BF:BF)</f>
        <v>0</v>
      </c>
      <c r="BV95" s="106">
        <f>+_xlfn.XLOOKUP($BD95,Budget!$A:$A,Budget!BG:BG)</f>
        <v>0</v>
      </c>
      <c r="BW95" s="106">
        <f>+_xlfn.XLOOKUP($BD95,Budget!$A:$A,Budget!BH:BH)</f>
        <v>0</v>
      </c>
      <c r="BX95" s="106">
        <f>+_xlfn.XLOOKUP($BD95,Budget!$A:$A,Budget!BI:BI)</f>
        <v>0</v>
      </c>
      <c r="BY95" s="106">
        <f>+_xlfn.XLOOKUP($BD95,Budget!$A:$A,Budget!BJ:BJ)</f>
        <v>0</v>
      </c>
      <c r="BZ95" s="106">
        <f>+_xlfn.XLOOKUP($BD95,Budget!$A:$A,Budget!BK:BK)</f>
        <v>0</v>
      </c>
      <c r="CA95" s="106">
        <f>+_xlfn.XLOOKUP($BD95,Budget!$A:$A,Budget!BL:BL)</f>
        <v>0</v>
      </c>
      <c r="CB95" s="106">
        <f>+_xlfn.XLOOKUP($BD95,Budget!$A:$A,Budget!BM:BM)</f>
        <v>0</v>
      </c>
      <c r="CC95" s="106">
        <f>+_xlfn.XLOOKUP($BD95,Budget!$A:$A,Budget!BN:BN)</f>
        <v>0</v>
      </c>
      <c r="CD95" s="106">
        <f>+_xlfn.XLOOKUP($BD95,Budget!$A:$A,Budget!BO:BO)</f>
        <v>0</v>
      </c>
      <c r="CE95" s="106">
        <f t="shared" si="1216"/>
        <v>0</v>
      </c>
      <c r="CF95" s="106"/>
      <c r="CG95" s="106">
        <v>0</v>
      </c>
      <c r="CH95" s="106">
        <v>0</v>
      </c>
      <c r="CI95" s="106">
        <v>0</v>
      </c>
      <c r="CJ95" s="106">
        <v>0</v>
      </c>
      <c r="CK95" s="106">
        <v>0</v>
      </c>
      <c r="CL95" s="106">
        <v>0</v>
      </c>
      <c r="CM95" s="106">
        <v>0</v>
      </c>
      <c r="CN95" s="106">
        <v>0</v>
      </c>
      <c r="CO95" s="106">
        <v>0</v>
      </c>
      <c r="CP95" s="106">
        <v>0</v>
      </c>
      <c r="CQ95" s="106">
        <v>0</v>
      </c>
      <c r="CR95" s="106">
        <v>0</v>
      </c>
      <c r="CS95" s="106">
        <f t="shared" si="1217"/>
        <v>0</v>
      </c>
      <c r="CT95" s="16" t="str">
        <f t="shared" si="901"/>
        <v>Flat Bed  Charges</v>
      </c>
      <c r="CU95" s="106">
        <f>+VLOOKUP($BD95,'Jan-25'!$A:$J,8,0)</f>
        <v>0</v>
      </c>
      <c r="CV95" s="106">
        <f>+VLOOKUP($BD95,'Feb-25'!$A:$J,8,0)</f>
        <v>0</v>
      </c>
      <c r="CW95" s="106">
        <f>+VLOOKUP($BD95,'Mar-25'!$A:$J,8,0)</f>
        <v>0</v>
      </c>
      <c r="CX95" s="106">
        <f>+VLOOKUP($BD95,'Apr-25'!$A:$J,8,0)</f>
        <v>0</v>
      </c>
      <c r="CY95" s="106">
        <f>+VLOOKUP($BD95,'May-25'!$A:$J,8,0)</f>
        <v>0</v>
      </c>
      <c r="CZ95" s="106">
        <f>+VLOOKUP($BD95,'June-25'!$A:$J,8,0)</f>
        <v>0</v>
      </c>
      <c r="DA95" s="106">
        <f>+VLOOKUP($BD95,'July-25'!$A:$J,8,0)</f>
        <v>0</v>
      </c>
      <c r="DB95" s="106">
        <f>+VLOOKUP($BD95,'Aug-25'!$A:$J,8,0)</f>
        <v>0</v>
      </c>
      <c r="DC95" s="106">
        <f>+VLOOKUP($BD95,'Sep-25'!$A:$J,8,0)</f>
        <v>0</v>
      </c>
      <c r="DD95" s="106">
        <f>+VLOOKUP($BD95,'Oct-25'!$A:$J,8,0)</f>
        <v>0</v>
      </c>
      <c r="DE95" s="106">
        <f>+VLOOKUP($BD95,'Nov-25'!$A:$J,8,0)</f>
        <v>0</v>
      </c>
      <c r="DF95" s="106">
        <f>+VLOOKUP($BD95,'Dec-25'!$A:$J,8,0)</f>
        <v>0</v>
      </c>
      <c r="DG95" s="106">
        <f t="shared" si="1218"/>
        <v>0</v>
      </c>
      <c r="DH95" s="118">
        <f t="shared" si="1225"/>
        <v>0</v>
      </c>
      <c r="DI95" s="106">
        <f>+_xlfn.XLOOKUP($CT95,Budget!$A:$A,Budget!CQ:CQ)</f>
        <v>0</v>
      </c>
      <c r="DJ95" s="106">
        <f>+_xlfn.XLOOKUP($CT95,Budget!$A:$A,Budget!CR:CR)</f>
        <v>0</v>
      </c>
      <c r="DK95" s="106">
        <f>+_xlfn.XLOOKUP($CT95,Budget!$A:$A,Budget!CS:CS)</f>
        <v>0</v>
      </c>
      <c r="DL95" s="106">
        <f>+_xlfn.XLOOKUP($CT95,Budget!$A:$A,Budget!CT:CT)</f>
        <v>0</v>
      </c>
      <c r="DM95" s="106">
        <f>+_xlfn.XLOOKUP($CT95,Budget!$A:$A,Budget!CU:CU)</f>
        <v>0</v>
      </c>
      <c r="DN95" s="106">
        <f>+_xlfn.XLOOKUP($CT95,Budget!$A:$A,Budget!CV:CV)</f>
        <v>0</v>
      </c>
      <c r="DO95" s="106">
        <f>+_xlfn.XLOOKUP($CT95,Budget!$A:$A,Budget!CW:CW)</f>
        <v>0</v>
      </c>
      <c r="DP95" s="106">
        <f>+_xlfn.XLOOKUP($CT95,Budget!$A:$A,Budget!CX:CX)</f>
        <v>0</v>
      </c>
      <c r="DQ95" s="106">
        <f>+_xlfn.XLOOKUP($CT95,Budget!$A:$A,Budget!CY:CY)</f>
        <v>0</v>
      </c>
      <c r="DR95" s="106">
        <f>+_xlfn.XLOOKUP($CT95,Budget!$A:$A,Budget!CZ:CZ)</f>
        <v>0</v>
      </c>
      <c r="DS95" s="106">
        <f>+_xlfn.XLOOKUP($CT95,Budget!$A:$A,Budget!DA:DA)</f>
        <v>0</v>
      </c>
      <c r="DT95" s="106">
        <f>+_xlfn.XLOOKUP($CT95,Budget!$A:$A,Budget!DB:DB)</f>
        <v>0</v>
      </c>
      <c r="DU95" s="106">
        <f t="shared" si="1219"/>
        <v>0</v>
      </c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106">
        <f t="shared" si="1220"/>
        <v>0</v>
      </c>
      <c r="EJ95" s="16" t="str">
        <f t="shared" si="966"/>
        <v>Flat Bed  Charges</v>
      </c>
      <c r="EK95" s="22">
        <f>+VLOOKUP($BD95,'Jan-25'!$A:$J,10,0)</f>
        <v>0</v>
      </c>
      <c r="EL95" s="22">
        <f>+VLOOKUP($BD95,'Feb-25'!$A:$J,10,0)</f>
        <v>0</v>
      </c>
      <c r="EM95" s="22">
        <f>+VLOOKUP($BD95,'Mar-25'!$A:$J,10,0)</f>
        <v>0</v>
      </c>
      <c r="EN95" s="22">
        <f>+VLOOKUP($BD95,'Apr-25'!$A:$J,10,0)</f>
        <v>0</v>
      </c>
      <c r="EO95" s="22">
        <f>+VLOOKUP($BD95,'May-25'!$A:$J,10,0)</f>
        <v>0</v>
      </c>
      <c r="EP95" s="22">
        <f>+VLOOKUP($BD95,'June-25'!$A:$J,10,0)</f>
        <v>0</v>
      </c>
      <c r="EQ95" s="22">
        <f>+VLOOKUP($BD95,'July-25'!$A:$J,10,0)</f>
        <v>0</v>
      </c>
      <c r="ER95" s="22">
        <f>+VLOOKUP($BD95,'Aug-25'!$A:$J,10,0)</f>
        <v>0</v>
      </c>
      <c r="ES95" s="22">
        <f>+VLOOKUP($BD95,'Sep-25'!$A:$J,10,0)</f>
        <v>0</v>
      </c>
      <c r="ET95" s="22">
        <f>+VLOOKUP($BD95,'Oct-25'!$A:$J,10,0)</f>
        <v>0</v>
      </c>
      <c r="EU95" s="22">
        <f>+VLOOKUP($BD95,'Nov-25'!$A:$J,10,0)</f>
        <v>0</v>
      </c>
      <c r="EV95" s="22">
        <f>+VLOOKUP($BD95,'Dec-25'!$A:$J,10,0)</f>
        <v>0</v>
      </c>
      <c r="EW95" s="22">
        <f t="shared" si="1221"/>
        <v>0</v>
      </c>
      <c r="EX95" s="118" t="e">
        <f t="shared" si="1226"/>
        <v>#DIV/0!</v>
      </c>
      <c r="EY95" s="106">
        <f>+_xlfn.XLOOKUP($EJ95,Budget!$A:$A,Budget!DR:DR)</f>
        <v>0</v>
      </c>
      <c r="EZ95" s="106">
        <f>+_xlfn.XLOOKUP($EJ95,Budget!$A:$A,Budget!DS:DS)</f>
        <v>0</v>
      </c>
      <c r="FA95" s="106">
        <f>+_xlfn.XLOOKUP($EJ95,Budget!$A:$A,Budget!DT:DT)</f>
        <v>0</v>
      </c>
      <c r="FB95" s="106">
        <f>+_xlfn.XLOOKUP($EJ95,Budget!$A:$A,Budget!DU:DU)</f>
        <v>0</v>
      </c>
      <c r="FC95" s="106">
        <f>+_xlfn.XLOOKUP($EJ95,Budget!$A:$A,Budget!DV:DV)</f>
        <v>0</v>
      </c>
      <c r="FD95" s="106">
        <f>+_xlfn.XLOOKUP($EJ95,Budget!$A:$A,Budget!DW:DW)</f>
        <v>0</v>
      </c>
      <c r="FE95" s="106">
        <f>+_xlfn.XLOOKUP($EJ95,Budget!$A:$A,Budget!DX:DX)</f>
        <v>0</v>
      </c>
      <c r="FF95" s="106">
        <f>+_xlfn.XLOOKUP($EJ95,Budget!$A:$A,Budget!DY:DY)</f>
        <v>0</v>
      </c>
      <c r="FG95" s="106">
        <f>+_xlfn.XLOOKUP($EJ95,Budget!$A:$A,Budget!DZ:DZ)</f>
        <v>0</v>
      </c>
      <c r="FH95" s="106">
        <f>+_xlfn.XLOOKUP($EJ95,Budget!$A:$A,Budget!EA:EA)</f>
        <v>0</v>
      </c>
      <c r="FI95" s="106">
        <f>+_xlfn.XLOOKUP($EJ95,Budget!$A:$A,Budget!EB:EB)</f>
        <v>0</v>
      </c>
      <c r="FJ95" s="106">
        <f>+_xlfn.XLOOKUP($EJ95,Budget!$A:$A,Budget!EC:EC)</f>
        <v>0</v>
      </c>
      <c r="FK95" s="106">
        <f t="shared" si="1222"/>
        <v>0</v>
      </c>
    </row>
    <row r="96" spans="1:167" ht="14.45" hidden="1" customHeight="1" outlineLevel="2">
      <c r="A96" s="106">
        <f t="shared" si="1187"/>
        <v>0</v>
      </c>
      <c r="B96" s="106">
        <f t="shared" si="1187"/>
        <v>0</v>
      </c>
      <c r="C96" s="106">
        <f t="shared" si="1187"/>
        <v>0</v>
      </c>
      <c r="D96" s="106">
        <f t="shared" si="1187"/>
        <v>0</v>
      </c>
      <c r="E96" s="106">
        <f t="shared" si="1187"/>
        <v>0</v>
      </c>
      <c r="F96" s="106">
        <f t="shared" si="1187"/>
        <v>0</v>
      </c>
      <c r="G96" s="106">
        <f t="shared" si="1187"/>
        <v>0</v>
      </c>
      <c r="H96" s="106">
        <f t="shared" si="1187"/>
        <v>0</v>
      </c>
      <c r="I96" s="106">
        <f t="shared" si="1187"/>
        <v>0</v>
      </c>
      <c r="J96" s="106">
        <f t="shared" si="1187"/>
        <v>0</v>
      </c>
      <c r="K96" s="106">
        <f t="shared" si="1187"/>
        <v>0</v>
      </c>
      <c r="L96" s="106">
        <f t="shared" si="1187"/>
        <v>0</v>
      </c>
      <c r="M96" s="106">
        <f t="shared" si="1068"/>
        <v>0</v>
      </c>
      <c r="N96" s="16" t="s">
        <v>77</v>
      </c>
      <c r="O96" s="106">
        <f t="shared" si="1188"/>
        <v>6968.6</v>
      </c>
      <c r="P96" s="106">
        <f t="shared" si="1189"/>
        <v>0</v>
      </c>
      <c r="Q96" s="106">
        <f t="shared" si="1190"/>
        <v>0</v>
      </c>
      <c r="R96" s="106">
        <f t="shared" si="1191"/>
        <v>0</v>
      </c>
      <c r="S96" s="106">
        <f t="shared" si="1192"/>
        <v>0</v>
      </c>
      <c r="T96" s="106">
        <f t="shared" si="1193"/>
        <v>0</v>
      </c>
      <c r="U96" s="106">
        <f t="shared" si="1194"/>
        <v>0</v>
      </c>
      <c r="V96" s="106">
        <f t="shared" si="1195"/>
        <v>0</v>
      </c>
      <c r="W96" s="106">
        <f t="shared" si="1196"/>
        <v>0</v>
      </c>
      <c r="X96" s="106">
        <f t="shared" si="1197"/>
        <v>0</v>
      </c>
      <c r="Y96" s="106">
        <f t="shared" si="1198"/>
        <v>0</v>
      </c>
      <c r="Z96" s="106">
        <f t="shared" si="1199"/>
        <v>0</v>
      </c>
      <c r="AA96" s="106">
        <f t="shared" si="1200"/>
        <v>6968.6</v>
      </c>
      <c r="AB96" s="118">
        <f t="shared" si="1223"/>
        <v>0</v>
      </c>
      <c r="AC96" s="106">
        <f t="shared" si="1201"/>
        <v>0</v>
      </c>
      <c r="AD96" s="106">
        <f t="shared" si="1202"/>
        <v>0</v>
      </c>
      <c r="AE96" s="106">
        <f t="shared" si="1203"/>
        <v>0</v>
      </c>
      <c r="AF96" s="106">
        <f t="shared" si="1204"/>
        <v>0</v>
      </c>
      <c r="AG96" s="106">
        <f t="shared" si="1205"/>
        <v>0</v>
      </c>
      <c r="AH96" s="106">
        <f t="shared" si="1206"/>
        <v>0</v>
      </c>
      <c r="AI96" s="106">
        <f t="shared" si="1207"/>
        <v>0</v>
      </c>
      <c r="AJ96" s="106">
        <f t="shared" si="1208"/>
        <v>0</v>
      </c>
      <c r="AK96" s="106">
        <f t="shared" si="1209"/>
        <v>0</v>
      </c>
      <c r="AL96" s="106">
        <f t="shared" si="1210"/>
        <v>0</v>
      </c>
      <c r="AM96" s="106">
        <f t="shared" si="1211"/>
        <v>0</v>
      </c>
      <c r="AN96" s="106">
        <f t="shared" si="1212"/>
        <v>0</v>
      </c>
      <c r="AO96" s="106">
        <f t="shared" si="1213"/>
        <v>0</v>
      </c>
      <c r="AQ96" s="106">
        <v>0</v>
      </c>
      <c r="AR96" s="106">
        <v>0</v>
      </c>
      <c r="AS96" s="106">
        <v>0</v>
      </c>
      <c r="AT96" s="106">
        <v>0</v>
      </c>
      <c r="AU96" s="106">
        <v>0</v>
      </c>
      <c r="AV96" s="106">
        <v>0</v>
      </c>
      <c r="AW96" s="106">
        <v>0</v>
      </c>
      <c r="AX96" s="106">
        <v>0</v>
      </c>
      <c r="AY96" s="106">
        <v>0</v>
      </c>
      <c r="AZ96" s="106">
        <v>0</v>
      </c>
      <c r="BA96" s="106">
        <v>0</v>
      </c>
      <c r="BB96" s="106">
        <v>0</v>
      </c>
      <c r="BC96" s="106">
        <f t="shared" si="1214"/>
        <v>0</v>
      </c>
      <c r="BD96" s="16" t="str">
        <f t="shared" si="900"/>
        <v>Flatbed Vehicle Expense (KL11CA7195)</v>
      </c>
      <c r="BE96" s="106">
        <f>+VLOOKUP($BD96,'Jan-25'!$A:$J,5,0)</f>
        <v>2343.6</v>
      </c>
      <c r="BF96" s="106">
        <f>+VLOOKUP($BD96,'Feb-25'!$A:$J,5,0)</f>
        <v>0</v>
      </c>
      <c r="BG96" s="106">
        <f>+VLOOKUP($BD96,'Mar-25'!$A:$J,5,0)</f>
        <v>0</v>
      </c>
      <c r="BH96" s="106">
        <f>+VLOOKUP($BD96,'Apr-25'!$A:$J,5,0)</f>
        <v>0</v>
      </c>
      <c r="BI96" s="106">
        <f>+VLOOKUP($BD96,'May-25'!$A:$J,5,0)</f>
        <v>0</v>
      </c>
      <c r="BJ96" s="106">
        <f>+VLOOKUP($BD96,'June-25'!$A:$J,5,0)</f>
        <v>0</v>
      </c>
      <c r="BK96" s="106">
        <f>+VLOOKUP($BD96,'July-25'!$A:$J,5,0)</f>
        <v>0</v>
      </c>
      <c r="BL96" s="106">
        <f>+VLOOKUP($BD96,'Aug-25'!$A:$J,5,0)</f>
        <v>0</v>
      </c>
      <c r="BM96" s="106">
        <f>+VLOOKUP($BD96,'Sep-25'!$A:$J,5,0)</f>
        <v>0</v>
      </c>
      <c r="BN96" s="106">
        <f>+VLOOKUP($BD96,'Oct-25'!$A:$J,5,0)</f>
        <v>0</v>
      </c>
      <c r="BO96" s="106">
        <f>+VLOOKUP($BD96,'Nov-25'!$A:$J,5,0)</f>
        <v>0</v>
      </c>
      <c r="BP96" s="106">
        <f>+VLOOKUP($BD96,'Dec-25'!$A:$J,5,0)</f>
        <v>0</v>
      </c>
      <c r="BQ96" s="106">
        <f t="shared" si="1215"/>
        <v>2343.6</v>
      </c>
      <c r="BR96" s="118">
        <f t="shared" si="1224"/>
        <v>0</v>
      </c>
      <c r="BS96" s="106">
        <f>+_xlfn.XLOOKUP($BD96,Budget!$A:$A,Budget!BD:BD)</f>
        <v>0</v>
      </c>
      <c r="BT96" s="106">
        <f>+_xlfn.XLOOKUP($BD96,Budget!$A:$A,Budget!BE:BE)</f>
        <v>0</v>
      </c>
      <c r="BU96" s="106">
        <f>+_xlfn.XLOOKUP($BD96,Budget!$A:$A,Budget!BF:BF)</f>
        <v>0</v>
      </c>
      <c r="BV96" s="106">
        <f>+_xlfn.XLOOKUP($BD96,Budget!$A:$A,Budget!BG:BG)</f>
        <v>0</v>
      </c>
      <c r="BW96" s="106">
        <f>+_xlfn.XLOOKUP($BD96,Budget!$A:$A,Budget!BH:BH)</f>
        <v>0</v>
      </c>
      <c r="BX96" s="106">
        <f>+_xlfn.XLOOKUP($BD96,Budget!$A:$A,Budget!BI:BI)</f>
        <v>0</v>
      </c>
      <c r="BY96" s="106">
        <f>+_xlfn.XLOOKUP($BD96,Budget!$A:$A,Budget!BJ:BJ)</f>
        <v>0</v>
      </c>
      <c r="BZ96" s="106">
        <f>+_xlfn.XLOOKUP($BD96,Budget!$A:$A,Budget!BK:BK)</f>
        <v>0</v>
      </c>
      <c r="CA96" s="106">
        <f>+_xlfn.XLOOKUP($BD96,Budget!$A:$A,Budget!BL:BL)</f>
        <v>0</v>
      </c>
      <c r="CB96" s="106">
        <f>+_xlfn.XLOOKUP($BD96,Budget!$A:$A,Budget!BM:BM)</f>
        <v>0</v>
      </c>
      <c r="CC96" s="106">
        <f>+_xlfn.XLOOKUP($BD96,Budget!$A:$A,Budget!BN:BN)</f>
        <v>0</v>
      </c>
      <c r="CD96" s="106">
        <f>+_xlfn.XLOOKUP($BD96,Budget!$A:$A,Budget!BO:BO)</f>
        <v>0</v>
      </c>
      <c r="CE96" s="106">
        <f t="shared" si="1216"/>
        <v>0</v>
      </c>
      <c r="CF96" s="106"/>
      <c r="CG96" s="106">
        <v>0</v>
      </c>
      <c r="CH96" s="106">
        <v>0</v>
      </c>
      <c r="CI96" s="106">
        <v>0</v>
      </c>
      <c r="CJ96" s="106">
        <v>0</v>
      </c>
      <c r="CK96" s="106">
        <v>0</v>
      </c>
      <c r="CL96" s="106">
        <v>0</v>
      </c>
      <c r="CM96" s="106">
        <v>0</v>
      </c>
      <c r="CN96" s="106">
        <v>0</v>
      </c>
      <c r="CO96" s="106">
        <v>0</v>
      </c>
      <c r="CP96" s="106">
        <v>0</v>
      </c>
      <c r="CQ96" s="106">
        <v>0</v>
      </c>
      <c r="CR96" s="106">
        <v>0</v>
      </c>
      <c r="CS96" s="106">
        <f t="shared" si="1217"/>
        <v>0</v>
      </c>
      <c r="CT96" s="16" t="str">
        <f t="shared" si="901"/>
        <v>Flatbed Vehicle Expense (KL11CA7195)</v>
      </c>
      <c r="CU96" s="106">
        <f>+VLOOKUP($BD96,'Jan-25'!$A:$J,8,0)</f>
        <v>4625</v>
      </c>
      <c r="CV96" s="106">
        <f>+VLOOKUP($BD96,'Feb-25'!$A:$J,8,0)</f>
        <v>0</v>
      </c>
      <c r="CW96" s="106">
        <f>+VLOOKUP($BD96,'Mar-25'!$A:$J,8,0)</f>
        <v>0</v>
      </c>
      <c r="CX96" s="106">
        <f>+VLOOKUP($BD96,'Apr-25'!$A:$J,8,0)</f>
        <v>0</v>
      </c>
      <c r="CY96" s="106">
        <f>+VLOOKUP($BD96,'May-25'!$A:$J,8,0)</f>
        <v>0</v>
      </c>
      <c r="CZ96" s="106">
        <f>+VLOOKUP($BD96,'June-25'!$A:$J,8,0)</f>
        <v>0</v>
      </c>
      <c r="DA96" s="106">
        <f>+VLOOKUP($BD96,'July-25'!$A:$J,8,0)</f>
        <v>0</v>
      </c>
      <c r="DB96" s="106">
        <f>+VLOOKUP($BD96,'Aug-25'!$A:$J,8,0)</f>
        <v>0</v>
      </c>
      <c r="DC96" s="106">
        <f>+VLOOKUP($BD96,'Sep-25'!$A:$J,8,0)</f>
        <v>0</v>
      </c>
      <c r="DD96" s="106">
        <f>+VLOOKUP($BD96,'Oct-25'!$A:$J,8,0)</f>
        <v>0</v>
      </c>
      <c r="DE96" s="106">
        <f>+VLOOKUP($BD96,'Nov-25'!$A:$J,8,0)</f>
        <v>0</v>
      </c>
      <c r="DF96" s="106">
        <f>+VLOOKUP($BD96,'Dec-25'!$A:$J,8,0)</f>
        <v>0</v>
      </c>
      <c r="DG96" s="106">
        <f t="shared" si="1218"/>
        <v>4625</v>
      </c>
      <c r="DH96" s="118">
        <f t="shared" si="1225"/>
        <v>0</v>
      </c>
      <c r="DI96" s="106">
        <f>+_xlfn.XLOOKUP($CT96,Budget!$A:$A,Budget!CQ:CQ)</f>
        <v>0</v>
      </c>
      <c r="DJ96" s="106">
        <f>+_xlfn.XLOOKUP($CT96,Budget!$A:$A,Budget!CR:CR)</f>
        <v>0</v>
      </c>
      <c r="DK96" s="106">
        <f>+_xlfn.XLOOKUP($CT96,Budget!$A:$A,Budget!CS:CS)</f>
        <v>0</v>
      </c>
      <c r="DL96" s="106">
        <f>+_xlfn.XLOOKUP($CT96,Budget!$A:$A,Budget!CT:CT)</f>
        <v>0</v>
      </c>
      <c r="DM96" s="106">
        <f>+_xlfn.XLOOKUP($CT96,Budget!$A:$A,Budget!CU:CU)</f>
        <v>0</v>
      </c>
      <c r="DN96" s="106">
        <f>+_xlfn.XLOOKUP($CT96,Budget!$A:$A,Budget!CV:CV)</f>
        <v>0</v>
      </c>
      <c r="DO96" s="106">
        <f>+_xlfn.XLOOKUP($CT96,Budget!$A:$A,Budget!CW:CW)</f>
        <v>0</v>
      </c>
      <c r="DP96" s="106">
        <f>+_xlfn.XLOOKUP($CT96,Budget!$A:$A,Budget!CX:CX)</f>
        <v>0</v>
      </c>
      <c r="DQ96" s="106">
        <f>+_xlfn.XLOOKUP($CT96,Budget!$A:$A,Budget!CY:CY)</f>
        <v>0</v>
      </c>
      <c r="DR96" s="106">
        <f>+_xlfn.XLOOKUP($CT96,Budget!$A:$A,Budget!CZ:CZ)</f>
        <v>0</v>
      </c>
      <c r="DS96" s="106">
        <f>+_xlfn.XLOOKUP($CT96,Budget!$A:$A,Budget!DA:DA)</f>
        <v>0</v>
      </c>
      <c r="DT96" s="106">
        <f>+_xlfn.XLOOKUP($CT96,Budget!$A:$A,Budget!DB:DB)</f>
        <v>0</v>
      </c>
      <c r="DU96" s="106">
        <f t="shared" si="1219"/>
        <v>0</v>
      </c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106">
        <f t="shared" si="1220"/>
        <v>0</v>
      </c>
      <c r="EJ96" s="16" t="str">
        <f t="shared" si="966"/>
        <v>Flatbed Vehicle Expense (KL11CA7195)</v>
      </c>
      <c r="EK96" s="22">
        <f>+VLOOKUP($BD96,'Jan-25'!$A:$J,10,0)</f>
        <v>0</v>
      </c>
      <c r="EL96" s="22">
        <f>+VLOOKUP($BD96,'Feb-25'!$A:$J,10,0)</f>
        <v>0</v>
      </c>
      <c r="EM96" s="22">
        <f>+VLOOKUP($BD96,'Mar-25'!$A:$J,10,0)</f>
        <v>0</v>
      </c>
      <c r="EN96" s="22">
        <f>+VLOOKUP($BD96,'Apr-25'!$A:$J,10,0)</f>
        <v>0</v>
      </c>
      <c r="EO96" s="22">
        <f>+VLOOKUP($BD96,'May-25'!$A:$J,10,0)</f>
        <v>0</v>
      </c>
      <c r="EP96" s="22">
        <f>+VLOOKUP($BD96,'June-25'!$A:$J,10,0)</f>
        <v>0</v>
      </c>
      <c r="EQ96" s="22">
        <f>+VLOOKUP($BD96,'July-25'!$A:$J,10,0)</f>
        <v>0</v>
      </c>
      <c r="ER96" s="22">
        <f>+VLOOKUP($BD96,'Aug-25'!$A:$J,10,0)</f>
        <v>0</v>
      </c>
      <c r="ES96" s="22">
        <f>+VLOOKUP($BD96,'Sep-25'!$A:$J,10,0)</f>
        <v>0</v>
      </c>
      <c r="ET96" s="22">
        <f>+VLOOKUP($BD96,'Oct-25'!$A:$J,10,0)</f>
        <v>0</v>
      </c>
      <c r="EU96" s="22">
        <f>+VLOOKUP($BD96,'Nov-25'!$A:$J,10,0)</f>
        <v>0</v>
      </c>
      <c r="EV96" s="22">
        <f>+VLOOKUP($BD96,'Dec-25'!$A:$J,10,0)</f>
        <v>0</v>
      </c>
      <c r="EW96" s="22">
        <f t="shared" si="1221"/>
        <v>0</v>
      </c>
      <c r="EX96" s="118" t="e">
        <f t="shared" si="1226"/>
        <v>#DIV/0!</v>
      </c>
      <c r="EY96" s="106">
        <f>+_xlfn.XLOOKUP($EJ96,Budget!$A:$A,Budget!DR:DR)</f>
        <v>0</v>
      </c>
      <c r="EZ96" s="106">
        <f>+_xlfn.XLOOKUP($EJ96,Budget!$A:$A,Budget!DS:DS)</f>
        <v>0</v>
      </c>
      <c r="FA96" s="106">
        <f>+_xlfn.XLOOKUP($EJ96,Budget!$A:$A,Budget!DT:DT)</f>
        <v>0</v>
      </c>
      <c r="FB96" s="106">
        <f>+_xlfn.XLOOKUP($EJ96,Budget!$A:$A,Budget!DU:DU)</f>
        <v>0</v>
      </c>
      <c r="FC96" s="106">
        <f>+_xlfn.XLOOKUP($EJ96,Budget!$A:$A,Budget!DV:DV)</f>
        <v>0</v>
      </c>
      <c r="FD96" s="106">
        <f>+_xlfn.XLOOKUP($EJ96,Budget!$A:$A,Budget!DW:DW)</f>
        <v>0</v>
      </c>
      <c r="FE96" s="106">
        <f>+_xlfn.XLOOKUP($EJ96,Budget!$A:$A,Budget!DX:DX)</f>
        <v>0</v>
      </c>
      <c r="FF96" s="106">
        <f>+_xlfn.XLOOKUP($EJ96,Budget!$A:$A,Budget!DY:DY)</f>
        <v>0</v>
      </c>
      <c r="FG96" s="106">
        <f>+_xlfn.XLOOKUP($EJ96,Budget!$A:$A,Budget!DZ:DZ)</f>
        <v>0</v>
      </c>
      <c r="FH96" s="106">
        <f>+_xlfn.XLOOKUP($EJ96,Budget!$A:$A,Budget!EA:EA)</f>
        <v>0</v>
      </c>
      <c r="FI96" s="106">
        <f>+_xlfn.XLOOKUP($EJ96,Budget!$A:$A,Budget!EB:EB)</f>
        <v>0</v>
      </c>
      <c r="FJ96" s="106">
        <f>+_xlfn.XLOOKUP($EJ96,Budget!$A:$A,Budget!EC:EC)</f>
        <v>0</v>
      </c>
      <c r="FK96" s="106">
        <f t="shared" si="1222"/>
        <v>0</v>
      </c>
    </row>
    <row r="97" spans="1:167" ht="14.45" hidden="1" customHeight="1" outlineLevel="2">
      <c r="A97" s="106">
        <f t="shared" si="1187"/>
        <v>0</v>
      </c>
      <c r="B97" s="106">
        <f t="shared" si="1187"/>
        <v>0</v>
      </c>
      <c r="C97" s="106">
        <f t="shared" si="1187"/>
        <v>0</v>
      </c>
      <c r="D97" s="106">
        <f t="shared" si="1187"/>
        <v>0</v>
      </c>
      <c r="E97" s="106">
        <f t="shared" si="1187"/>
        <v>0</v>
      </c>
      <c r="F97" s="106">
        <f t="shared" si="1187"/>
        <v>0</v>
      </c>
      <c r="G97" s="106">
        <f t="shared" si="1187"/>
        <v>0</v>
      </c>
      <c r="H97" s="106">
        <f t="shared" si="1187"/>
        <v>12833.8</v>
      </c>
      <c r="I97" s="106">
        <f t="shared" si="1187"/>
        <v>0</v>
      </c>
      <c r="J97" s="106">
        <f t="shared" si="1187"/>
        <v>0</v>
      </c>
      <c r="K97" s="106">
        <f t="shared" si="1187"/>
        <v>0</v>
      </c>
      <c r="L97" s="106">
        <f t="shared" si="1187"/>
        <v>0</v>
      </c>
      <c r="M97" s="106">
        <f t="shared" si="1068"/>
        <v>12833.8</v>
      </c>
      <c r="N97" s="16" t="s">
        <v>78</v>
      </c>
      <c r="O97" s="106">
        <f t="shared" si="1188"/>
        <v>0</v>
      </c>
      <c r="P97" s="106">
        <f t="shared" si="1189"/>
        <v>0</v>
      </c>
      <c r="Q97" s="106">
        <f t="shared" si="1190"/>
        <v>0</v>
      </c>
      <c r="R97" s="106">
        <f t="shared" si="1191"/>
        <v>0</v>
      </c>
      <c r="S97" s="106">
        <f t="shared" si="1192"/>
        <v>0</v>
      </c>
      <c r="T97" s="106">
        <f t="shared" si="1193"/>
        <v>0</v>
      </c>
      <c r="U97" s="106">
        <f t="shared" si="1194"/>
        <v>0</v>
      </c>
      <c r="V97" s="106">
        <f t="shared" si="1195"/>
        <v>0</v>
      </c>
      <c r="W97" s="106">
        <f t="shared" si="1196"/>
        <v>0</v>
      </c>
      <c r="X97" s="106">
        <f t="shared" si="1197"/>
        <v>0</v>
      </c>
      <c r="Y97" s="106">
        <f t="shared" si="1198"/>
        <v>0</v>
      </c>
      <c r="Z97" s="106">
        <f t="shared" si="1199"/>
        <v>0</v>
      </c>
      <c r="AA97" s="106">
        <f t="shared" si="1200"/>
        <v>0</v>
      </c>
      <c r="AB97" s="118">
        <f t="shared" si="1223"/>
        <v>0</v>
      </c>
      <c r="AC97" s="106">
        <f t="shared" si="1201"/>
        <v>0</v>
      </c>
      <c r="AD97" s="106">
        <f t="shared" si="1202"/>
        <v>0</v>
      </c>
      <c r="AE97" s="106">
        <f t="shared" si="1203"/>
        <v>0</v>
      </c>
      <c r="AF97" s="106">
        <f t="shared" si="1204"/>
        <v>0</v>
      </c>
      <c r="AG97" s="106">
        <f t="shared" si="1205"/>
        <v>0</v>
      </c>
      <c r="AH97" s="106">
        <f t="shared" si="1206"/>
        <v>0</v>
      </c>
      <c r="AI97" s="106">
        <f t="shared" si="1207"/>
        <v>0</v>
      </c>
      <c r="AJ97" s="106">
        <f t="shared" si="1208"/>
        <v>0</v>
      </c>
      <c r="AK97" s="106">
        <f t="shared" si="1209"/>
        <v>0</v>
      </c>
      <c r="AL97" s="106">
        <f t="shared" si="1210"/>
        <v>0</v>
      </c>
      <c r="AM97" s="106">
        <f t="shared" si="1211"/>
        <v>0</v>
      </c>
      <c r="AN97" s="106">
        <f t="shared" si="1212"/>
        <v>0</v>
      </c>
      <c r="AO97" s="106">
        <f t="shared" si="1213"/>
        <v>0</v>
      </c>
      <c r="AQ97" s="106">
        <v>0</v>
      </c>
      <c r="AR97" s="106">
        <v>0</v>
      </c>
      <c r="AS97" s="106">
        <v>0</v>
      </c>
      <c r="AT97" s="106">
        <v>0</v>
      </c>
      <c r="AU97" s="106">
        <v>0</v>
      </c>
      <c r="AV97" s="106">
        <v>0</v>
      </c>
      <c r="AW97" s="106">
        <v>0</v>
      </c>
      <c r="AX97" s="106">
        <v>8343.6</v>
      </c>
      <c r="AY97" s="106">
        <v>0</v>
      </c>
      <c r="AZ97" s="106">
        <v>0</v>
      </c>
      <c r="BA97" s="106">
        <v>0</v>
      </c>
      <c r="BB97" s="106">
        <v>0</v>
      </c>
      <c r="BC97" s="106">
        <f t="shared" si="1214"/>
        <v>8343.6</v>
      </c>
      <c r="BD97" s="16" t="str">
        <f t="shared" si="900"/>
        <v>Flatbed Vehicle Expenses (KL 11 BK 224 )</v>
      </c>
      <c r="BE97" s="106">
        <f>+VLOOKUP($BD97,'Jan-25'!$A:$J,5,0)</f>
        <v>0</v>
      </c>
      <c r="BF97" s="106">
        <f>+VLOOKUP($BD97,'Feb-25'!$A:$J,5,0)</f>
        <v>0</v>
      </c>
      <c r="BG97" s="106">
        <f>+VLOOKUP($BD97,'Mar-25'!$A:$J,5,0)</f>
        <v>0</v>
      </c>
      <c r="BH97" s="106">
        <f>+VLOOKUP($BD97,'Apr-25'!$A:$J,5,0)</f>
        <v>0</v>
      </c>
      <c r="BI97" s="106">
        <f>+VLOOKUP($BD97,'May-25'!$A:$J,5,0)</f>
        <v>0</v>
      </c>
      <c r="BJ97" s="106">
        <f>+VLOOKUP($BD97,'June-25'!$A:$J,5,0)</f>
        <v>0</v>
      </c>
      <c r="BK97" s="106">
        <f>+VLOOKUP($BD97,'July-25'!$A:$J,5,0)</f>
        <v>0</v>
      </c>
      <c r="BL97" s="106">
        <f>+VLOOKUP($BD97,'Aug-25'!$A:$J,5,0)</f>
        <v>0</v>
      </c>
      <c r="BM97" s="106">
        <f>+VLOOKUP($BD97,'Sep-25'!$A:$J,5,0)</f>
        <v>0</v>
      </c>
      <c r="BN97" s="106">
        <f>+VLOOKUP($BD97,'Oct-25'!$A:$J,5,0)</f>
        <v>0</v>
      </c>
      <c r="BO97" s="106">
        <f>+VLOOKUP($BD97,'Nov-25'!$A:$J,5,0)</f>
        <v>0</v>
      </c>
      <c r="BP97" s="106">
        <f>+VLOOKUP($BD97,'Dec-25'!$A:$J,5,0)</f>
        <v>0</v>
      </c>
      <c r="BQ97" s="106">
        <f t="shared" si="1215"/>
        <v>0</v>
      </c>
      <c r="BR97" s="118">
        <f t="shared" si="1224"/>
        <v>0</v>
      </c>
      <c r="BS97" s="106">
        <f>+_xlfn.XLOOKUP($BD97,Budget!$A:$A,Budget!BD:BD)</f>
        <v>0</v>
      </c>
      <c r="BT97" s="106">
        <f>+_xlfn.XLOOKUP($BD97,Budget!$A:$A,Budget!BE:BE)</f>
        <v>0</v>
      </c>
      <c r="BU97" s="106">
        <f>+_xlfn.XLOOKUP($BD97,Budget!$A:$A,Budget!BF:BF)</f>
        <v>0</v>
      </c>
      <c r="BV97" s="106">
        <f>+_xlfn.XLOOKUP($BD97,Budget!$A:$A,Budget!BG:BG)</f>
        <v>0</v>
      </c>
      <c r="BW97" s="106">
        <f>+_xlfn.XLOOKUP($BD97,Budget!$A:$A,Budget!BH:BH)</f>
        <v>0</v>
      </c>
      <c r="BX97" s="106">
        <f>+_xlfn.XLOOKUP($BD97,Budget!$A:$A,Budget!BI:BI)</f>
        <v>0</v>
      </c>
      <c r="BY97" s="106">
        <f>+_xlfn.XLOOKUP($BD97,Budget!$A:$A,Budget!BJ:BJ)</f>
        <v>0</v>
      </c>
      <c r="BZ97" s="106">
        <f>+_xlfn.XLOOKUP($BD97,Budget!$A:$A,Budget!BK:BK)</f>
        <v>0</v>
      </c>
      <c r="CA97" s="106">
        <f>+_xlfn.XLOOKUP($BD97,Budget!$A:$A,Budget!BL:BL)</f>
        <v>0</v>
      </c>
      <c r="CB97" s="106">
        <f>+_xlfn.XLOOKUP($BD97,Budget!$A:$A,Budget!BM:BM)</f>
        <v>0</v>
      </c>
      <c r="CC97" s="106">
        <f>+_xlfn.XLOOKUP($BD97,Budget!$A:$A,Budget!BN:BN)</f>
        <v>0</v>
      </c>
      <c r="CD97" s="106">
        <f>+_xlfn.XLOOKUP($BD97,Budget!$A:$A,Budget!BO:BO)</f>
        <v>0</v>
      </c>
      <c r="CE97" s="106">
        <f t="shared" si="1216"/>
        <v>0</v>
      </c>
      <c r="CF97" s="106"/>
      <c r="CG97" s="106">
        <v>0</v>
      </c>
      <c r="CH97" s="106">
        <v>0</v>
      </c>
      <c r="CI97" s="106">
        <v>0</v>
      </c>
      <c r="CJ97" s="106">
        <v>0</v>
      </c>
      <c r="CK97" s="106">
        <v>0</v>
      </c>
      <c r="CL97" s="106">
        <v>0</v>
      </c>
      <c r="CM97" s="106">
        <v>0</v>
      </c>
      <c r="CN97" s="106">
        <v>4490.2</v>
      </c>
      <c r="CO97" s="106">
        <v>0</v>
      </c>
      <c r="CP97" s="106">
        <v>0</v>
      </c>
      <c r="CQ97" s="106">
        <v>0</v>
      </c>
      <c r="CR97" s="106">
        <v>0</v>
      </c>
      <c r="CS97" s="106">
        <f t="shared" si="1217"/>
        <v>4490.2</v>
      </c>
      <c r="CT97" s="16" t="str">
        <f t="shared" si="901"/>
        <v>Flatbed Vehicle Expenses (KL 11 BK 224 )</v>
      </c>
      <c r="CU97" s="106">
        <f>+VLOOKUP($BD97,'Jan-25'!$A:$J,8,0)</f>
        <v>0</v>
      </c>
      <c r="CV97" s="106">
        <f>+VLOOKUP($BD97,'Feb-25'!$A:$J,8,0)</f>
        <v>0</v>
      </c>
      <c r="CW97" s="106">
        <f>+VLOOKUP($BD97,'Mar-25'!$A:$J,8,0)</f>
        <v>0</v>
      </c>
      <c r="CX97" s="106">
        <f>+VLOOKUP($BD97,'Apr-25'!$A:$J,8,0)</f>
        <v>0</v>
      </c>
      <c r="CY97" s="106">
        <f>+VLOOKUP($BD97,'May-25'!$A:$J,8,0)</f>
        <v>0</v>
      </c>
      <c r="CZ97" s="106">
        <f>+VLOOKUP($BD97,'June-25'!$A:$J,8,0)</f>
        <v>0</v>
      </c>
      <c r="DA97" s="106">
        <f>+VLOOKUP($BD97,'July-25'!$A:$J,8,0)</f>
        <v>0</v>
      </c>
      <c r="DB97" s="106">
        <f>+VLOOKUP($BD97,'Aug-25'!$A:$J,8,0)</f>
        <v>0</v>
      </c>
      <c r="DC97" s="106">
        <f>+VLOOKUP($BD97,'Sep-25'!$A:$J,8,0)</f>
        <v>0</v>
      </c>
      <c r="DD97" s="106">
        <f>+VLOOKUP($BD97,'Oct-25'!$A:$J,8,0)</f>
        <v>0</v>
      </c>
      <c r="DE97" s="106">
        <f>+VLOOKUP($BD97,'Nov-25'!$A:$J,8,0)</f>
        <v>0</v>
      </c>
      <c r="DF97" s="106">
        <f>+VLOOKUP($BD97,'Dec-25'!$A:$J,8,0)</f>
        <v>0</v>
      </c>
      <c r="DG97" s="106">
        <f t="shared" si="1218"/>
        <v>0</v>
      </c>
      <c r="DH97" s="118">
        <f t="shared" si="1225"/>
        <v>0</v>
      </c>
      <c r="DI97" s="106">
        <f>+_xlfn.XLOOKUP($CT97,Budget!$A:$A,Budget!CQ:CQ)</f>
        <v>0</v>
      </c>
      <c r="DJ97" s="106">
        <f>+_xlfn.XLOOKUP($CT97,Budget!$A:$A,Budget!CR:CR)</f>
        <v>0</v>
      </c>
      <c r="DK97" s="106">
        <f>+_xlfn.XLOOKUP($CT97,Budget!$A:$A,Budget!CS:CS)</f>
        <v>0</v>
      </c>
      <c r="DL97" s="106">
        <f>+_xlfn.XLOOKUP($CT97,Budget!$A:$A,Budget!CT:CT)</f>
        <v>0</v>
      </c>
      <c r="DM97" s="106">
        <f>+_xlfn.XLOOKUP($CT97,Budget!$A:$A,Budget!CU:CU)</f>
        <v>0</v>
      </c>
      <c r="DN97" s="106">
        <f>+_xlfn.XLOOKUP($CT97,Budget!$A:$A,Budget!CV:CV)</f>
        <v>0</v>
      </c>
      <c r="DO97" s="106">
        <f>+_xlfn.XLOOKUP($CT97,Budget!$A:$A,Budget!CW:CW)</f>
        <v>0</v>
      </c>
      <c r="DP97" s="106">
        <f>+_xlfn.XLOOKUP($CT97,Budget!$A:$A,Budget!CX:CX)</f>
        <v>0</v>
      </c>
      <c r="DQ97" s="106">
        <f>+_xlfn.XLOOKUP($CT97,Budget!$A:$A,Budget!CY:CY)</f>
        <v>0</v>
      </c>
      <c r="DR97" s="106">
        <f>+_xlfn.XLOOKUP($CT97,Budget!$A:$A,Budget!CZ:CZ)</f>
        <v>0</v>
      </c>
      <c r="DS97" s="106">
        <f>+_xlfn.XLOOKUP($CT97,Budget!$A:$A,Budget!DA:DA)</f>
        <v>0</v>
      </c>
      <c r="DT97" s="106">
        <f>+_xlfn.XLOOKUP($CT97,Budget!$A:$A,Budget!DB:DB)</f>
        <v>0</v>
      </c>
      <c r="DU97" s="106">
        <f t="shared" si="1219"/>
        <v>0</v>
      </c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106">
        <f t="shared" si="1220"/>
        <v>0</v>
      </c>
      <c r="EJ97" s="16" t="str">
        <f t="shared" si="966"/>
        <v>Flatbed Vehicle Expenses (KL 11 BK 224 )</v>
      </c>
      <c r="EK97" s="22">
        <f>+VLOOKUP($BD97,'Jan-25'!$A:$J,10,0)</f>
        <v>0</v>
      </c>
      <c r="EL97" s="22">
        <f>+VLOOKUP($BD97,'Feb-25'!$A:$J,10,0)</f>
        <v>0</v>
      </c>
      <c r="EM97" s="22">
        <f>+VLOOKUP($BD97,'Mar-25'!$A:$J,10,0)</f>
        <v>0</v>
      </c>
      <c r="EN97" s="22">
        <f>+VLOOKUP($BD97,'Apr-25'!$A:$J,10,0)</f>
        <v>0</v>
      </c>
      <c r="EO97" s="22">
        <f>+VLOOKUP($BD97,'May-25'!$A:$J,10,0)</f>
        <v>0</v>
      </c>
      <c r="EP97" s="22">
        <f>+VLOOKUP($BD97,'June-25'!$A:$J,10,0)</f>
        <v>0</v>
      </c>
      <c r="EQ97" s="22">
        <f>+VLOOKUP($BD97,'July-25'!$A:$J,10,0)</f>
        <v>0</v>
      </c>
      <c r="ER97" s="22">
        <f>+VLOOKUP($BD97,'Aug-25'!$A:$J,10,0)</f>
        <v>0</v>
      </c>
      <c r="ES97" s="22">
        <f>+VLOOKUP($BD97,'Sep-25'!$A:$J,10,0)</f>
        <v>0</v>
      </c>
      <c r="ET97" s="22">
        <f>+VLOOKUP($BD97,'Oct-25'!$A:$J,10,0)</f>
        <v>0</v>
      </c>
      <c r="EU97" s="22">
        <f>+VLOOKUP($BD97,'Nov-25'!$A:$J,10,0)</f>
        <v>0</v>
      </c>
      <c r="EV97" s="22">
        <f>+VLOOKUP($BD97,'Dec-25'!$A:$J,10,0)</f>
        <v>0</v>
      </c>
      <c r="EW97" s="22">
        <f t="shared" si="1221"/>
        <v>0</v>
      </c>
      <c r="EX97" s="118" t="e">
        <f t="shared" si="1226"/>
        <v>#DIV/0!</v>
      </c>
      <c r="EY97" s="106">
        <f>+_xlfn.XLOOKUP($EJ97,Budget!$A:$A,Budget!DR:DR)</f>
        <v>0</v>
      </c>
      <c r="EZ97" s="106">
        <f>+_xlfn.XLOOKUP($EJ97,Budget!$A:$A,Budget!DS:DS)</f>
        <v>0</v>
      </c>
      <c r="FA97" s="106">
        <f>+_xlfn.XLOOKUP($EJ97,Budget!$A:$A,Budget!DT:DT)</f>
        <v>0</v>
      </c>
      <c r="FB97" s="106">
        <f>+_xlfn.XLOOKUP($EJ97,Budget!$A:$A,Budget!DU:DU)</f>
        <v>0</v>
      </c>
      <c r="FC97" s="106">
        <f>+_xlfn.XLOOKUP($EJ97,Budget!$A:$A,Budget!DV:DV)</f>
        <v>0</v>
      </c>
      <c r="FD97" s="106">
        <f>+_xlfn.XLOOKUP($EJ97,Budget!$A:$A,Budget!DW:DW)</f>
        <v>0</v>
      </c>
      <c r="FE97" s="106">
        <f>+_xlfn.XLOOKUP($EJ97,Budget!$A:$A,Budget!DX:DX)</f>
        <v>0</v>
      </c>
      <c r="FF97" s="106">
        <f>+_xlfn.XLOOKUP($EJ97,Budget!$A:$A,Budget!DY:DY)</f>
        <v>0</v>
      </c>
      <c r="FG97" s="106">
        <f>+_xlfn.XLOOKUP($EJ97,Budget!$A:$A,Budget!DZ:DZ)</f>
        <v>0</v>
      </c>
      <c r="FH97" s="106">
        <f>+_xlfn.XLOOKUP($EJ97,Budget!$A:$A,Budget!EA:EA)</f>
        <v>0</v>
      </c>
      <c r="FI97" s="106">
        <f>+_xlfn.XLOOKUP($EJ97,Budget!$A:$A,Budget!EB:EB)</f>
        <v>0</v>
      </c>
      <c r="FJ97" s="106">
        <f>+_xlfn.XLOOKUP($EJ97,Budget!$A:$A,Budget!EC:EC)</f>
        <v>0</v>
      </c>
      <c r="FK97" s="106">
        <f t="shared" si="1222"/>
        <v>0</v>
      </c>
    </row>
    <row r="98" spans="1:167" ht="14.45" hidden="1" customHeight="1" outlineLevel="2">
      <c r="A98" s="106">
        <f t="shared" si="1187"/>
        <v>0</v>
      </c>
      <c r="B98" s="106">
        <f t="shared" si="1187"/>
        <v>0</v>
      </c>
      <c r="C98" s="106">
        <f t="shared" si="1187"/>
        <v>0</v>
      </c>
      <c r="D98" s="106">
        <f t="shared" si="1187"/>
        <v>0</v>
      </c>
      <c r="E98" s="106">
        <f t="shared" si="1187"/>
        <v>0</v>
      </c>
      <c r="F98" s="106">
        <f t="shared" si="1187"/>
        <v>0</v>
      </c>
      <c r="G98" s="106">
        <f t="shared" si="1187"/>
        <v>0</v>
      </c>
      <c r="H98" s="106">
        <f t="shared" si="1187"/>
        <v>0</v>
      </c>
      <c r="I98" s="106">
        <f t="shared" si="1187"/>
        <v>0</v>
      </c>
      <c r="J98" s="106">
        <f t="shared" si="1187"/>
        <v>0</v>
      </c>
      <c r="K98" s="106">
        <f t="shared" si="1187"/>
        <v>0</v>
      </c>
      <c r="L98" s="106">
        <f t="shared" si="1187"/>
        <v>0</v>
      </c>
      <c r="M98" s="106">
        <f t="shared" si="1068"/>
        <v>0</v>
      </c>
      <c r="N98" s="16" t="s">
        <v>79</v>
      </c>
      <c r="O98" s="106">
        <f t="shared" si="1188"/>
        <v>0</v>
      </c>
      <c r="P98" s="106">
        <f t="shared" si="1189"/>
        <v>0</v>
      </c>
      <c r="Q98" s="106">
        <f t="shared" si="1190"/>
        <v>0</v>
      </c>
      <c r="R98" s="106">
        <f t="shared" si="1191"/>
        <v>0</v>
      </c>
      <c r="S98" s="106">
        <f t="shared" si="1192"/>
        <v>0</v>
      </c>
      <c r="T98" s="106">
        <f t="shared" si="1193"/>
        <v>0</v>
      </c>
      <c r="U98" s="106">
        <f t="shared" si="1194"/>
        <v>0</v>
      </c>
      <c r="V98" s="106">
        <f t="shared" si="1195"/>
        <v>0</v>
      </c>
      <c r="W98" s="106">
        <f t="shared" si="1196"/>
        <v>0</v>
      </c>
      <c r="X98" s="106">
        <f t="shared" si="1197"/>
        <v>0</v>
      </c>
      <c r="Y98" s="106">
        <f t="shared" si="1198"/>
        <v>0</v>
      </c>
      <c r="Z98" s="106">
        <f t="shared" si="1199"/>
        <v>0</v>
      </c>
      <c r="AA98" s="106">
        <f t="shared" si="1200"/>
        <v>0</v>
      </c>
      <c r="AB98" s="118">
        <f t="shared" si="1223"/>
        <v>0</v>
      </c>
      <c r="AC98" s="106">
        <f t="shared" si="1201"/>
        <v>0</v>
      </c>
      <c r="AD98" s="106">
        <f t="shared" si="1202"/>
        <v>0</v>
      </c>
      <c r="AE98" s="106">
        <f t="shared" si="1203"/>
        <v>0</v>
      </c>
      <c r="AF98" s="106">
        <f t="shared" si="1204"/>
        <v>0</v>
      </c>
      <c r="AG98" s="106">
        <f t="shared" si="1205"/>
        <v>0</v>
      </c>
      <c r="AH98" s="106">
        <f t="shared" si="1206"/>
        <v>0</v>
      </c>
      <c r="AI98" s="106">
        <f t="shared" si="1207"/>
        <v>0</v>
      </c>
      <c r="AJ98" s="106">
        <f t="shared" si="1208"/>
        <v>0</v>
      </c>
      <c r="AK98" s="106">
        <f t="shared" si="1209"/>
        <v>0</v>
      </c>
      <c r="AL98" s="106">
        <f t="shared" si="1210"/>
        <v>0</v>
      </c>
      <c r="AM98" s="106">
        <f t="shared" si="1211"/>
        <v>0</v>
      </c>
      <c r="AN98" s="106">
        <f t="shared" si="1212"/>
        <v>0</v>
      </c>
      <c r="AO98" s="106">
        <f t="shared" si="1213"/>
        <v>0</v>
      </c>
      <c r="AQ98" s="106">
        <v>0</v>
      </c>
      <c r="AR98" s="106">
        <v>0</v>
      </c>
      <c r="AS98" s="106">
        <v>0</v>
      </c>
      <c r="AT98" s="106">
        <v>0</v>
      </c>
      <c r="AU98" s="106">
        <v>0</v>
      </c>
      <c r="AV98" s="106">
        <v>0</v>
      </c>
      <c r="AW98" s="106">
        <v>0</v>
      </c>
      <c r="AX98" s="106">
        <v>0</v>
      </c>
      <c r="AY98" s="106">
        <v>0</v>
      </c>
      <c r="AZ98" s="106">
        <v>0</v>
      </c>
      <c r="BA98" s="106">
        <v>0</v>
      </c>
      <c r="BB98" s="106">
        <v>0</v>
      </c>
      <c r="BC98" s="106">
        <f t="shared" si="1214"/>
        <v>0</v>
      </c>
      <c r="BD98" s="16" t="str">
        <f t="shared" si="900"/>
        <v>Fuel-New Car Delivery</v>
      </c>
      <c r="BE98" s="106">
        <f>+VLOOKUP($BD98,'Jan-25'!$A:$J,5,0)</f>
        <v>0</v>
      </c>
      <c r="BF98" s="106">
        <f>+VLOOKUP($BD98,'Feb-25'!$A:$J,5,0)</f>
        <v>0</v>
      </c>
      <c r="BG98" s="106">
        <f>+VLOOKUP($BD98,'Mar-25'!$A:$J,5,0)</f>
        <v>0</v>
      </c>
      <c r="BH98" s="106">
        <f>+VLOOKUP($BD98,'Apr-25'!$A:$J,5,0)</f>
        <v>0</v>
      </c>
      <c r="BI98" s="106">
        <f>+VLOOKUP($BD98,'May-25'!$A:$J,5,0)</f>
        <v>0</v>
      </c>
      <c r="BJ98" s="106">
        <f>+VLOOKUP($BD98,'June-25'!$A:$J,5,0)</f>
        <v>0</v>
      </c>
      <c r="BK98" s="106">
        <f>+VLOOKUP($BD98,'July-25'!$A:$J,5,0)</f>
        <v>0</v>
      </c>
      <c r="BL98" s="106">
        <f>+VLOOKUP($BD98,'Aug-25'!$A:$J,5,0)</f>
        <v>0</v>
      </c>
      <c r="BM98" s="106">
        <f>+VLOOKUP($BD98,'Sep-25'!$A:$J,5,0)</f>
        <v>0</v>
      </c>
      <c r="BN98" s="106">
        <f>+VLOOKUP($BD98,'Oct-25'!$A:$J,5,0)</f>
        <v>0</v>
      </c>
      <c r="BO98" s="106">
        <f>+VLOOKUP($BD98,'Nov-25'!$A:$J,5,0)</f>
        <v>0</v>
      </c>
      <c r="BP98" s="106">
        <f>+VLOOKUP($BD98,'Dec-25'!$A:$J,5,0)</f>
        <v>0</v>
      </c>
      <c r="BQ98" s="106">
        <f t="shared" si="1215"/>
        <v>0</v>
      </c>
      <c r="BR98" s="118">
        <f t="shared" si="1224"/>
        <v>0</v>
      </c>
      <c r="BS98" s="106">
        <f>+_xlfn.XLOOKUP($BD98,Budget!$A:$A,Budget!BD:BD)</f>
        <v>0</v>
      </c>
      <c r="BT98" s="106">
        <f>+_xlfn.XLOOKUP($BD98,Budget!$A:$A,Budget!BE:BE)</f>
        <v>0</v>
      </c>
      <c r="BU98" s="106">
        <f>+_xlfn.XLOOKUP($BD98,Budget!$A:$A,Budget!BF:BF)</f>
        <v>0</v>
      </c>
      <c r="BV98" s="106">
        <f>+_xlfn.XLOOKUP($BD98,Budget!$A:$A,Budget!BG:BG)</f>
        <v>0</v>
      </c>
      <c r="BW98" s="106">
        <f>+_xlfn.XLOOKUP($BD98,Budget!$A:$A,Budget!BH:BH)</f>
        <v>0</v>
      </c>
      <c r="BX98" s="106">
        <f>+_xlfn.XLOOKUP($BD98,Budget!$A:$A,Budget!BI:BI)</f>
        <v>0</v>
      </c>
      <c r="BY98" s="106">
        <f>+_xlfn.XLOOKUP($BD98,Budget!$A:$A,Budget!BJ:BJ)</f>
        <v>0</v>
      </c>
      <c r="BZ98" s="106">
        <f>+_xlfn.XLOOKUP($BD98,Budget!$A:$A,Budget!BK:BK)</f>
        <v>0</v>
      </c>
      <c r="CA98" s="106">
        <f>+_xlfn.XLOOKUP($BD98,Budget!$A:$A,Budget!BL:BL)</f>
        <v>0</v>
      </c>
      <c r="CB98" s="106">
        <f>+_xlfn.XLOOKUP($BD98,Budget!$A:$A,Budget!BM:BM)</f>
        <v>0</v>
      </c>
      <c r="CC98" s="106">
        <f>+_xlfn.XLOOKUP($BD98,Budget!$A:$A,Budget!BN:BN)</f>
        <v>0</v>
      </c>
      <c r="CD98" s="106">
        <f>+_xlfn.XLOOKUP($BD98,Budget!$A:$A,Budget!BO:BO)</f>
        <v>0</v>
      </c>
      <c r="CE98" s="106">
        <f t="shared" si="1216"/>
        <v>0</v>
      </c>
      <c r="CF98" s="106"/>
      <c r="CG98" s="106">
        <v>0</v>
      </c>
      <c r="CH98" s="106">
        <v>0</v>
      </c>
      <c r="CI98" s="106">
        <v>0</v>
      </c>
      <c r="CJ98" s="106">
        <v>0</v>
      </c>
      <c r="CK98" s="106">
        <v>0</v>
      </c>
      <c r="CL98" s="106">
        <v>0</v>
      </c>
      <c r="CM98" s="106">
        <v>0</v>
      </c>
      <c r="CN98" s="106">
        <v>0</v>
      </c>
      <c r="CO98" s="106">
        <v>0</v>
      </c>
      <c r="CP98" s="106">
        <v>0</v>
      </c>
      <c r="CQ98" s="106">
        <v>0</v>
      </c>
      <c r="CR98" s="106">
        <v>0</v>
      </c>
      <c r="CS98" s="106">
        <f t="shared" si="1217"/>
        <v>0</v>
      </c>
      <c r="CT98" s="16" t="str">
        <f t="shared" si="901"/>
        <v>Fuel-New Car Delivery</v>
      </c>
      <c r="CU98" s="106">
        <f>+VLOOKUP($BD98,'Jan-25'!$A:$J,8,0)</f>
        <v>0</v>
      </c>
      <c r="CV98" s="106">
        <f>+VLOOKUP($BD98,'Feb-25'!$A:$J,8,0)</f>
        <v>0</v>
      </c>
      <c r="CW98" s="106">
        <f>+VLOOKUP($BD98,'Mar-25'!$A:$J,8,0)</f>
        <v>0</v>
      </c>
      <c r="CX98" s="106">
        <f>+VLOOKUP($BD98,'Apr-25'!$A:$J,8,0)</f>
        <v>0</v>
      </c>
      <c r="CY98" s="106">
        <f>+VLOOKUP($BD98,'May-25'!$A:$J,8,0)</f>
        <v>0</v>
      </c>
      <c r="CZ98" s="106">
        <f>+VLOOKUP($BD98,'June-25'!$A:$J,8,0)</f>
        <v>0</v>
      </c>
      <c r="DA98" s="106">
        <f>+VLOOKUP($BD98,'July-25'!$A:$J,8,0)</f>
        <v>0</v>
      </c>
      <c r="DB98" s="106">
        <f>+VLOOKUP($BD98,'Aug-25'!$A:$J,8,0)</f>
        <v>0</v>
      </c>
      <c r="DC98" s="106">
        <f>+VLOOKUP($BD98,'Sep-25'!$A:$J,8,0)</f>
        <v>0</v>
      </c>
      <c r="DD98" s="106">
        <f>+VLOOKUP($BD98,'Oct-25'!$A:$J,8,0)</f>
        <v>0</v>
      </c>
      <c r="DE98" s="106">
        <f>+VLOOKUP($BD98,'Nov-25'!$A:$J,8,0)</f>
        <v>0</v>
      </c>
      <c r="DF98" s="106">
        <f>+VLOOKUP($BD98,'Dec-25'!$A:$J,8,0)</f>
        <v>0</v>
      </c>
      <c r="DG98" s="106">
        <f t="shared" si="1218"/>
        <v>0</v>
      </c>
      <c r="DH98" s="118">
        <f t="shared" si="1225"/>
        <v>0</v>
      </c>
      <c r="DI98" s="106">
        <f>+_xlfn.XLOOKUP($CT98,Budget!$A:$A,Budget!CQ:CQ)</f>
        <v>0</v>
      </c>
      <c r="DJ98" s="106">
        <f>+_xlfn.XLOOKUP($CT98,Budget!$A:$A,Budget!CR:CR)</f>
        <v>0</v>
      </c>
      <c r="DK98" s="106">
        <f>+_xlfn.XLOOKUP($CT98,Budget!$A:$A,Budget!CS:CS)</f>
        <v>0</v>
      </c>
      <c r="DL98" s="106">
        <f>+_xlfn.XLOOKUP($CT98,Budget!$A:$A,Budget!CT:CT)</f>
        <v>0</v>
      </c>
      <c r="DM98" s="106">
        <f>+_xlfn.XLOOKUP($CT98,Budget!$A:$A,Budget!CU:CU)</f>
        <v>0</v>
      </c>
      <c r="DN98" s="106">
        <f>+_xlfn.XLOOKUP($CT98,Budget!$A:$A,Budget!CV:CV)</f>
        <v>0</v>
      </c>
      <c r="DO98" s="106">
        <f>+_xlfn.XLOOKUP($CT98,Budget!$A:$A,Budget!CW:CW)</f>
        <v>0</v>
      </c>
      <c r="DP98" s="106">
        <f>+_xlfn.XLOOKUP($CT98,Budget!$A:$A,Budget!CX:CX)</f>
        <v>0</v>
      </c>
      <c r="DQ98" s="106">
        <f>+_xlfn.XLOOKUP($CT98,Budget!$A:$A,Budget!CY:CY)</f>
        <v>0</v>
      </c>
      <c r="DR98" s="106">
        <f>+_xlfn.XLOOKUP($CT98,Budget!$A:$A,Budget!CZ:CZ)</f>
        <v>0</v>
      </c>
      <c r="DS98" s="106">
        <f>+_xlfn.XLOOKUP($CT98,Budget!$A:$A,Budget!DA:DA)</f>
        <v>0</v>
      </c>
      <c r="DT98" s="106">
        <f>+_xlfn.XLOOKUP($CT98,Budget!$A:$A,Budget!DB:DB)</f>
        <v>0</v>
      </c>
      <c r="DU98" s="106">
        <f t="shared" si="1219"/>
        <v>0</v>
      </c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106">
        <f t="shared" si="1220"/>
        <v>0</v>
      </c>
      <c r="EJ98" s="16" t="str">
        <f t="shared" si="966"/>
        <v>Fuel-New Car Delivery</v>
      </c>
      <c r="EK98" s="22">
        <f>+VLOOKUP($BD98,'Jan-25'!$A:$J,10,0)</f>
        <v>0</v>
      </c>
      <c r="EL98" s="22">
        <f>+VLOOKUP($BD98,'Feb-25'!$A:$J,10,0)</f>
        <v>0</v>
      </c>
      <c r="EM98" s="22">
        <f>+VLOOKUP($BD98,'Mar-25'!$A:$J,10,0)</f>
        <v>0</v>
      </c>
      <c r="EN98" s="22">
        <f>+VLOOKUP($BD98,'Apr-25'!$A:$J,10,0)</f>
        <v>0</v>
      </c>
      <c r="EO98" s="22">
        <f>+VLOOKUP($BD98,'May-25'!$A:$J,10,0)</f>
        <v>0</v>
      </c>
      <c r="EP98" s="22">
        <f>+VLOOKUP($BD98,'June-25'!$A:$J,10,0)</f>
        <v>0</v>
      </c>
      <c r="EQ98" s="22">
        <f>+VLOOKUP($BD98,'July-25'!$A:$J,10,0)</f>
        <v>0</v>
      </c>
      <c r="ER98" s="22">
        <f>+VLOOKUP($BD98,'Aug-25'!$A:$J,10,0)</f>
        <v>0</v>
      </c>
      <c r="ES98" s="22">
        <f>+VLOOKUP($BD98,'Sep-25'!$A:$J,10,0)</f>
        <v>0</v>
      </c>
      <c r="ET98" s="22">
        <f>+VLOOKUP($BD98,'Oct-25'!$A:$J,10,0)</f>
        <v>0</v>
      </c>
      <c r="EU98" s="22">
        <f>+VLOOKUP($BD98,'Nov-25'!$A:$J,10,0)</f>
        <v>0</v>
      </c>
      <c r="EV98" s="22">
        <f>+VLOOKUP($BD98,'Dec-25'!$A:$J,10,0)</f>
        <v>0</v>
      </c>
      <c r="EW98" s="22">
        <f t="shared" si="1221"/>
        <v>0</v>
      </c>
      <c r="EX98" s="118" t="e">
        <f t="shared" si="1226"/>
        <v>#DIV/0!</v>
      </c>
      <c r="EY98" s="106">
        <f>+_xlfn.XLOOKUP($EJ98,Budget!$A:$A,Budget!DR:DR)</f>
        <v>0</v>
      </c>
      <c r="EZ98" s="106">
        <f>+_xlfn.XLOOKUP($EJ98,Budget!$A:$A,Budget!DS:DS)</f>
        <v>0</v>
      </c>
      <c r="FA98" s="106">
        <f>+_xlfn.XLOOKUP($EJ98,Budget!$A:$A,Budget!DT:DT)</f>
        <v>0</v>
      </c>
      <c r="FB98" s="106">
        <f>+_xlfn.XLOOKUP($EJ98,Budget!$A:$A,Budget!DU:DU)</f>
        <v>0</v>
      </c>
      <c r="FC98" s="106">
        <f>+_xlfn.XLOOKUP($EJ98,Budget!$A:$A,Budget!DV:DV)</f>
        <v>0</v>
      </c>
      <c r="FD98" s="106">
        <f>+_xlfn.XLOOKUP($EJ98,Budget!$A:$A,Budget!DW:DW)</f>
        <v>0</v>
      </c>
      <c r="FE98" s="106">
        <f>+_xlfn.XLOOKUP($EJ98,Budget!$A:$A,Budget!DX:DX)</f>
        <v>0</v>
      </c>
      <c r="FF98" s="106">
        <f>+_xlfn.XLOOKUP($EJ98,Budget!$A:$A,Budget!DY:DY)</f>
        <v>0</v>
      </c>
      <c r="FG98" s="106">
        <f>+_xlfn.XLOOKUP($EJ98,Budget!$A:$A,Budget!DZ:DZ)</f>
        <v>0</v>
      </c>
      <c r="FH98" s="106">
        <f>+_xlfn.XLOOKUP($EJ98,Budget!$A:$A,Budget!EA:EA)</f>
        <v>0</v>
      </c>
      <c r="FI98" s="106">
        <f>+_xlfn.XLOOKUP($EJ98,Budget!$A:$A,Budget!EB:EB)</f>
        <v>0</v>
      </c>
      <c r="FJ98" s="106">
        <f>+_xlfn.XLOOKUP($EJ98,Budget!$A:$A,Budget!EC:EC)</f>
        <v>0</v>
      </c>
      <c r="FK98" s="106">
        <f t="shared" si="1222"/>
        <v>0</v>
      </c>
    </row>
    <row r="99" spans="1:167" ht="14.45" hidden="1" customHeight="1" outlineLevel="2">
      <c r="A99" s="106">
        <f t="shared" si="1187"/>
        <v>0</v>
      </c>
      <c r="B99" s="106">
        <f t="shared" si="1187"/>
        <v>0</v>
      </c>
      <c r="C99" s="106">
        <f t="shared" si="1187"/>
        <v>0</v>
      </c>
      <c r="D99" s="106">
        <f t="shared" si="1187"/>
        <v>0</v>
      </c>
      <c r="E99" s="106">
        <f t="shared" si="1187"/>
        <v>0</v>
      </c>
      <c r="F99" s="106">
        <f t="shared" si="1187"/>
        <v>0</v>
      </c>
      <c r="G99" s="106">
        <f t="shared" si="1187"/>
        <v>0</v>
      </c>
      <c r="H99" s="106">
        <f t="shared" si="1187"/>
        <v>0</v>
      </c>
      <c r="I99" s="106">
        <f t="shared" si="1187"/>
        <v>0</v>
      </c>
      <c r="J99" s="106">
        <f t="shared" si="1187"/>
        <v>0</v>
      </c>
      <c r="K99" s="106">
        <f t="shared" si="1187"/>
        <v>0</v>
      </c>
      <c r="L99" s="106">
        <f t="shared" si="1187"/>
        <v>0</v>
      </c>
      <c r="M99" s="106">
        <f t="shared" si="1068"/>
        <v>0</v>
      </c>
      <c r="N99" s="16" t="s">
        <v>80</v>
      </c>
      <c r="O99" s="106">
        <f t="shared" si="1188"/>
        <v>0</v>
      </c>
      <c r="P99" s="106">
        <f t="shared" si="1189"/>
        <v>0</v>
      </c>
      <c r="Q99" s="106">
        <f t="shared" si="1190"/>
        <v>0</v>
      </c>
      <c r="R99" s="106">
        <f t="shared" si="1191"/>
        <v>0</v>
      </c>
      <c r="S99" s="106">
        <f t="shared" si="1192"/>
        <v>0</v>
      </c>
      <c r="T99" s="106">
        <f t="shared" si="1193"/>
        <v>0</v>
      </c>
      <c r="U99" s="106">
        <f t="shared" si="1194"/>
        <v>0</v>
      </c>
      <c r="V99" s="106">
        <f t="shared" si="1195"/>
        <v>0</v>
      </c>
      <c r="W99" s="106">
        <f t="shared" si="1196"/>
        <v>0</v>
      </c>
      <c r="X99" s="106">
        <f t="shared" si="1197"/>
        <v>0</v>
      </c>
      <c r="Y99" s="106">
        <f t="shared" si="1198"/>
        <v>0</v>
      </c>
      <c r="Z99" s="106">
        <f t="shared" si="1199"/>
        <v>0</v>
      </c>
      <c r="AA99" s="106">
        <f t="shared" si="1200"/>
        <v>0</v>
      </c>
      <c r="AB99" s="118">
        <f t="shared" si="1223"/>
        <v>0</v>
      </c>
      <c r="AC99" s="106">
        <f t="shared" si="1201"/>
        <v>0</v>
      </c>
      <c r="AD99" s="106">
        <f t="shared" si="1202"/>
        <v>0</v>
      </c>
      <c r="AE99" s="106">
        <f t="shared" si="1203"/>
        <v>0</v>
      </c>
      <c r="AF99" s="106">
        <f t="shared" si="1204"/>
        <v>0</v>
      </c>
      <c r="AG99" s="106">
        <f t="shared" si="1205"/>
        <v>0</v>
      </c>
      <c r="AH99" s="106">
        <f t="shared" si="1206"/>
        <v>0</v>
      </c>
      <c r="AI99" s="106">
        <f t="shared" si="1207"/>
        <v>0</v>
      </c>
      <c r="AJ99" s="106">
        <f t="shared" si="1208"/>
        <v>0</v>
      </c>
      <c r="AK99" s="106">
        <f t="shared" si="1209"/>
        <v>0</v>
      </c>
      <c r="AL99" s="106">
        <f t="shared" si="1210"/>
        <v>0</v>
      </c>
      <c r="AM99" s="106">
        <f t="shared" si="1211"/>
        <v>0</v>
      </c>
      <c r="AN99" s="106">
        <f t="shared" si="1212"/>
        <v>0</v>
      </c>
      <c r="AO99" s="106">
        <f t="shared" si="1213"/>
        <v>0</v>
      </c>
      <c r="AQ99" s="106">
        <v>0</v>
      </c>
      <c r="AR99" s="106">
        <v>0</v>
      </c>
      <c r="AS99" s="106">
        <v>0</v>
      </c>
      <c r="AT99" s="106">
        <v>0</v>
      </c>
      <c r="AU99" s="106">
        <v>0</v>
      </c>
      <c r="AV99" s="106">
        <v>0</v>
      </c>
      <c r="AW99" s="106">
        <v>0</v>
      </c>
      <c r="AX99" s="106">
        <v>0</v>
      </c>
      <c r="AY99" s="106">
        <v>0</v>
      </c>
      <c r="AZ99" s="106">
        <v>0</v>
      </c>
      <c r="BA99" s="106">
        <v>0</v>
      </c>
      <c r="BB99" s="106">
        <v>0</v>
      </c>
      <c r="BC99" s="106">
        <f t="shared" si="1214"/>
        <v>0</v>
      </c>
      <c r="BD99" s="16" t="str">
        <f t="shared" si="900"/>
        <v>New Car - PDI Transportation</v>
      </c>
      <c r="BE99" s="106">
        <f>+VLOOKUP($BD99,'Jan-25'!$A:$J,5,0)</f>
        <v>0</v>
      </c>
      <c r="BF99" s="106">
        <f>+VLOOKUP($BD99,'Feb-25'!$A:$J,5,0)</f>
        <v>0</v>
      </c>
      <c r="BG99" s="106">
        <f>+VLOOKUP($BD99,'Mar-25'!$A:$J,5,0)</f>
        <v>0</v>
      </c>
      <c r="BH99" s="106">
        <f>+VLOOKUP($BD99,'Apr-25'!$A:$J,5,0)</f>
        <v>0</v>
      </c>
      <c r="BI99" s="106">
        <f>+VLOOKUP($BD99,'May-25'!$A:$J,5,0)</f>
        <v>0</v>
      </c>
      <c r="BJ99" s="106">
        <f>+VLOOKUP($BD99,'June-25'!$A:$J,5,0)</f>
        <v>0</v>
      </c>
      <c r="BK99" s="106">
        <f>+VLOOKUP($BD99,'July-25'!$A:$J,5,0)</f>
        <v>0</v>
      </c>
      <c r="BL99" s="106">
        <f>+VLOOKUP($BD99,'Aug-25'!$A:$J,5,0)</f>
        <v>0</v>
      </c>
      <c r="BM99" s="106">
        <f>+VLOOKUP($BD99,'Sep-25'!$A:$J,5,0)</f>
        <v>0</v>
      </c>
      <c r="BN99" s="106">
        <f>+VLOOKUP($BD99,'Oct-25'!$A:$J,5,0)</f>
        <v>0</v>
      </c>
      <c r="BO99" s="106">
        <f>+VLOOKUP($BD99,'Nov-25'!$A:$J,5,0)</f>
        <v>0</v>
      </c>
      <c r="BP99" s="106">
        <f>+VLOOKUP($BD99,'Dec-25'!$A:$J,5,0)</f>
        <v>0</v>
      </c>
      <c r="BQ99" s="106">
        <f t="shared" si="1215"/>
        <v>0</v>
      </c>
      <c r="BR99" s="118">
        <f t="shared" si="1224"/>
        <v>0</v>
      </c>
      <c r="BS99" s="106">
        <f>+_xlfn.XLOOKUP($BD99,Budget!$A:$A,Budget!BD:BD)</f>
        <v>0</v>
      </c>
      <c r="BT99" s="106">
        <f>+_xlfn.XLOOKUP($BD99,Budget!$A:$A,Budget!BE:BE)</f>
        <v>0</v>
      </c>
      <c r="BU99" s="106">
        <f>+_xlfn.XLOOKUP($BD99,Budget!$A:$A,Budget!BF:BF)</f>
        <v>0</v>
      </c>
      <c r="BV99" s="106">
        <f>+_xlfn.XLOOKUP($BD99,Budget!$A:$A,Budget!BG:BG)</f>
        <v>0</v>
      </c>
      <c r="BW99" s="106">
        <f>+_xlfn.XLOOKUP($BD99,Budget!$A:$A,Budget!BH:BH)</f>
        <v>0</v>
      </c>
      <c r="BX99" s="106">
        <f>+_xlfn.XLOOKUP($BD99,Budget!$A:$A,Budget!BI:BI)</f>
        <v>0</v>
      </c>
      <c r="BY99" s="106">
        <f>+_xlfn.XLOOKUP($BD99,Budget!$A:$A,Budget!BJ:BJ)</f>
        <v>0</v>
      </c>
      <c r="BZ99" s="106">
        <f>+_xlfn.XLOOKUP($BD99,Budget!$A:$A,Budget!BK:BK)</f>
        <v>0</v>
      </c>
      <c r="CA99" s="106">
        <f>+_xlfn.XLOOKUP($BD99,Budget!$A:$A,Budget!BL:BL)</f>
        <v>0</v>
      </c>
      <c r="CB99" s="106">
        <f>+_xlfn.XLOOKUP($BD99,Budget!$A:$A,Budget!BM:BM)</f>
        <v>0</v>
      </c>
      <c r="CC99" s="106">
        <f>+_xlfn.XLOOKUP($BD99,Budget!$A:$A,Budget!BN:BN)</f>
        <v>0</v>
      </c>
      <c r="CD99" s="106">
        <f>+_xlfn.XLOOKUP($BD99,Budget!$A:$A,Budget!BO:BO)</f>
        <v>0</v>
      </c>
      <c r="CE99" s="106">
        <f t="shared" si="1216"/>
        <v>0</v>
      </c>
      <c r="CF99" s="106"/>
      <c r="CG99" s="106">
        <v>0</v>
      </c>
      <c r="CH99" s="106">
        <v>0</v>
      </c>
      <c r="CI99" s="106">
        <v>0</v>
      </c>
      <c r="CJ99" s="106">
        <v>0</v>
      </c>
      <c r="CK99" s="106">
        <v>0</v>
      </c>
      <c r="CL99" s="106">
        <v>0</v>
      </c>
      <c r="CM99" s="106">
        <v>0</v>
      </c>
      <c r="CN99" s="106">
        <v>0</v>
      </c>
      <c r="CO99" s="106">
        <v>0</v>
      </c>
      <c r="CP99" s="106">
        <v>0</v>
      </c>
      <c r="CQ99" s="106">
        <v>0</v>
      </c>
      <c r="CR99" s="106">
        <v>0</v>
      </c>
      <c r="CS99" s="106">
        <f t="shared" si="1217"/>
        <v>0</v>
      </c>
      <c r="CT99" s="16" t="str">
        <f t="shared" si="901"/>
        <v>New Car - PDI Transportation</v>
      </c>
      <c r="CU99" s="106">
        <f>+VLOOKUP($BD99,'Jan-25'!$A:$J,8,0)</f>
        <v>0</v>
      </c>
      <c r="CV99" s="106">
        <f>+VLOOKUP($BD99,'Feb-25'!$A:$J,8,0)</f>
        <v>0</v>
      </c>
      <c r="CW99" s="106">
        <f>+VLOOKUP($BD99,'Mar-25'!$A:$J,8,0)</f>
        <v>0</v>
      </c>
      <c r="CX99" s="106">
        <f>+VLOOKUP($BD99,'Apr-25'!$A:$J,8,0)</f>
        <v>0</v>
      </c>
      <c r="CY99" s="106">
        <f>+VLOOKUP($BD99,'May-25'!$A:$J,8,0)</f>
        <v>0</v>
      </c>
      <c r="CZ99" s="106">
        <f>+VLOOKUP($BD99,'June-25'!$A:$J,8,0)</f>
        <v>0</v>
      </c>
      <c r="DA99" s="106">
        <f>+VLOOKUP($BD99,'July-25'!$A:$J,8,0)</f>
        <v>0</v>
      </c>
      <c r="DB99" s="106">
        <f>+VLOOKUP($BD99,'Aug-25'!$A:$J,8,0)</f>
        <v>0</v>
      </c>
      <c r="DC99" s="106">
        <f>+VLOOKUP($BD99,'Sep-25'!$A:$J,8,0)</f>
        <v>0</v>
      </c>
      <c r="DD99" s="106">
        <f>+VLOOKUP($BD99,'Oct-25'!$A:$J,8,0)</f>
        <v>0</v>
      </c>
      <c r="DE99" s="106">
        <f>+VLOOKUP($BD99,'Nov-25'!$A:$J,8,0)</f>
        <v>0</v>
      </c>
      <c r="DF99" s="106">
        <f>+VLOOKUP($BD99,'Dec-25'!$A:$J,8,0)</f>
        <v>0</v>
      </c>
      <c r="DG99" s="106">
        <f t="shared" si="1218"/>
        <v>0</v>
      </c>
      <c r="DH99" s="118">
        <f t="shared" si="1225"/>
        <v>0</v>
      </c>
      <c r="DI99" s="106">
        <f>+_xlfn.XLOOKUP($CT99,Budget!$A:$A,Budget!CQ:CQ)</f>
        <v>0</v>
      </c>
      <c r="DJ99" s="106">
        <f>+_xlfn.XLOOKUP($CT99,Budget!$A:$A,Budget!CR:CR)</f>
        <v>0</v>
      </c>
      <c r="DK99" s="106">
        <f>+_xlfn.XLOOKUP($CT99,Budget!$A:$A,Budget!CS:CS)</f>
        <v>0</v>
      </c>
      <c r="DL99" s="106">
        <f>+_xlfn.XLOOKUP($CT99,Budget!$A:$A,Budget!CT:CT)</f>
        <v>0</v>
      </c>
      <c r="DM99" s="106">
        <f>+_xlfn.XLOOKUP($CT99,Budget!$A:$A,Budget!CU:CU)</f>
        <v>0</v>
      </c>
      <c r="DN99" s="106">
        <f>+_xlfn.XLOOKUP($CT99,Budget!$A:$A,Budget!CV:CV)</f>
        <v>0</v>
      </c>
      <c r="DO99" s="106">
        <f>+_xlfn.XLOOKUP($CT99,Budget!$A:$A,Budget!CW:CW)</f>
        <v>0</v>
      </c>
      <c r="DP99" s="106">
        <f>+_xlfn.XLOOKUP($CT99,Budget!$A:$A,Budget!CX:CX)</f>
        <v>0</v>
      </c>
      <c r="DQ99" s="106">
        <f>+_xlfn.XLOOKUP($CT99,Budget!$A:$A,Budget!CY:CY)</f>
        <v>0</v>
      </c>
      <c r="DR99" s="106">
        <f>+_xlfn.XLOOKUP($CT99,Budget!$A:$A,Budget!CZ:CZ)</f>
        <v>0</v>
      </c>
      <c r="DS99" s="106">
        <f>+_xlfn.XLOOKUP($CT99,Budget!$A:$A,Budget!DA:DA)</f>
        <v>0</v>
      </c>
      <c r="DT99" s="106">
        <f>+_xlfn.XLOOKUP($CT99,Budget!$A:$A,Budget!DB:DB)</f>
        <v>0</v>
      </c>
      <c r="DU99" s="106">
        <f t="shared" si="1219"/>
        <v>0</v>
      </c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106">
        <f t="shared" si="1220"/>
        <v>0</v>
      </c>
      <c r="EJ99" s="16" t="str">
        <f t="shared" si="966"/>
        <v>New Car - PDI Transportation</v>
      </c>
      <c r="EK99" s="22">
        <f>+VLOOKUP($BD99,'Jan-25'!$A:$J,10,0)</f>
        <v>0</v>
      </c>
      <c r="EL99" s="22">
        <f>+VLOOKUP($BD99,'Feb-25'!$A:$J,10,0)</f>
        <v>0</v>
      </c>
      <c r="EM99" s="22">
        <f>+VLOOKUP($BD99,'Mar-25'!$A:$J,10,0)</f>
        <v>0</v>
      </c>
      <c r="EN99" s="22">
        <f>+VLOOKUP($BD99,'Apr-25'!$A:$J,10,0)</f>
        <v>0</v>
      </c>
      <c r="EO99" s="22">
        <f>+VLOOKUP($BD99,'May-25'!$A:$J,10,0)</f>
        <v>0</v>
      </c>
      <c r="EP99" s="22">
        <f>+VLOOKUP($BD99,'June-25'!$A:$J,10,0)</f>
        <v>0</v>
      </c>
      <c r="EQ99" s="22">
        <f>+VLOOKUP($BD99,'July-25'!$A:$J,10,0)</f>
        <v>0</v>
      </c>
      <c r="ER99" s="22">
        <f>+VLOOKUP($BD99,'Aug-25'!$A:$J,10,0)</f>
        <v>0</v>
      </c>
      <c r="ES99" s="22">
        <f>+VLOOKUP($BD99,'Sep-25'!$A:$J,10,0)</f>
        <v>0</v>
      </c>
      <c r="ET99" s="22">
        <f>+VLOOKUP($BD99,'Oct-25'!$A:$J,10,0)</f>
        <v>0</v>
      </c>
      <c r="EU99" s="22">
        <f>+VLOOKUP($BD99,'Nov-25'!$A:$J,10,0)</f>
        <v>0</v>
      </c>
      <c r="EV99" s="22">
        <f>+VLOOKUP($BD99,'Dec-25'!$A:$J,10,0)</f>
        <v>0</v>
      </c>
      <c r="EW99" s="22">
        <f t="shared" si="1221"/>
        <v>0</v>
      </c>
      <c r="EX99" s="118" t="e">
        <f t="shared" si="1226"/>
        <v>#DIV/0!</v>
      </c>
      <c r="EY99" s="106">
        <f>+_xlfn.XLOOKUP($EJ99,Budget!$A:$A,Budget!DR:DR)</f>
        <v>0</v>
      </c>
      <c r="EZ99" s="106">
        <f>+_xlfn.XLOOKUP($EJ99,Budget!$A:$A,Budget!DS:DS)</f>
        <v>0</v>
      </c>
      <c r="FA99" s="106">
        <f>+_xlfn.XLOOKUP($EJ99,Budget!$A:$A,Budget!DT:DT)</f>
        <v>0</v>
      </c>
      <c r="FB99" s="106">
        <f>+_xlfn.XLOOKUP($EJ99,Budget!$A:$A,Budget!DU:DU)</f>
        <v>0</v>
      </c>
      <c r="FC99" s="106">
        <f>+_xlfn.XLOOKUP($EJ99,Budget!$A:$A,Budget!DV:DV)</f>
        <v>0</v>
      </c>
      <c r="FD99" s="106">
        <f>+_xlfn.XLOOKUP($EJ99,Budget!$A:$A,Budget!DW:DW)</f>
        <v>0</v>
      </c>
      <c r="FE99" s="106">
        <f>+_xlfn.XLOOKUP($EJ99,Budget!$A:$A,Budget!DX:DX)</f>
        <v>0</v>
      </c>
      <c r="FF99" s="106">
        <f>+_xlfn.XLOOKUP($EJ99,Budget!$A:$A,Budget!DY:DY)</f>
        <v>0</v>
      </c>
      <c r="FG99" s="106">
        <f>+_xlfn.XLOOKUP($EJ99,Budget!$A:$A,Budget!DZ:DZ)</f>
        <v>0</v>
      </c>
      <c r="FH99" s="106">
        <f>+_xlfn.XLOOKUP($EJ99,Budget!$A:$A,Budget!EA:EA)</f>
        <v>0</v>
      </c>
      <c r="FI99" s="106">
        <f>+_xlfn.XLOOKUP($EJ99,Budget!$A:$A,Budget!EB:EB)</f>
        <v>0</v>
      </c>
      <c r="FJ99" s="106">
        <f>+_xlfn.XLOOKUP($EJ99,Budget!$A:$A,Budget!EC:EC)</f>
        <v>0</v>
      </c>
      <c r="FK99" s="106">
        <f t="shared" si="1222"/>
        <v>0</v>
      </c>
    </row>
    <row r="100" spans="1:167" ht="14.45" hidden="1" customHeight="1" outlineLevel="2">
      <c r="A100" s="106">
        <f t="shared" si="1187"/>
        <v>0</v>
      </c>
      <c r="B100" s="106">
        <f t="shared" si="1187"/>
        <v>0</v>
      </c>
      <c r="C100" s="106">
        <f t="shared" si="1187"/>
        <v>0</v>
      </c>
      <c r="D100" s="106">
        <f t="shared" si="1187"/>
        <v>0</v>
      </c>
      <c r="E100" s="106">
        <f t="shared" si="1187"/>
        <v>0</v>
      </c>
      <c r="F100" s="106">
        <f t="shared" si="1187"/>
        <v>0</v>
      </c>
      <c r="G100" s="106">
        <f t="shared" si="1187"/>
        <v>0</v>
      </c>
      <c r="H100" s="106">
        <f t="shared" si="1187"/>
        <v>0</v>
      </c>
      <c r="I100" s="106">
        <f t="shared" si="1187"/>
        <v>0</v>
      </c>
      <c r="J100" s="106">
        <f t="shared" si="1187"/>
        <v>0</v>
      </c>
      <c r="K100" s="106">
        <f t="shared" si="1187"/>
        <v>0</v>
      </c>
      <c r="L100" s="106">
        <f t="shared" si="1187"/>
        <v>0</v>
      </c>
      <c r="M100" s="106">
        <f t="shared" si="1068"/>
        <v>0</v>
      </c>
      <c r="N100" s="16" t="s">
        <v>81</v>
      </c>
      <c r="O100" s="106">
        <f t="shared" si="1188"/>
        <v>0</v>
      </c>
      <c r="P100" s="106">
        <f t="shared" si="1189"/>
        <v>0</v>
      </c>
      <c r="Q100" s="106">
        <f t="shared" si="1190"/>
        <v>0</v>
      </c>
      <c r="R100" s="106">
        <f t="shared" si="1191"/>
        <v>0</v>
      </c>
      <c r="S100" s="106">
        <f t="shared" si="1192"/>
        <v>0</v>
      </c>
      <c r="T100" s="106">
        <f t="shared" si="1193"/>
        <v>0</v>
      </c>
      <c r="U100" s="106">
        <f t="shared" si="1194"/>
        <v>0</v>
      </c>
      <c r="V100" s="106">
        <f t="shared" si="1195"/>
        <v>0</v>
      </c>
      <c r="W100" s="106">
        <f t="shared" si="1196"/>
        <v>0</v>
      </c>
      <c r="X100" s="106">
        <f t="shared" si="1197"/>
        <v>0</v>
      </c>
      <c r="Y100" s="106">
        <f t="shared" si="1198"/>
        <v>0</v>
      </c>
      <c r="Z100" s="106">
        <f t="shared" si="1199"/>
        <v>0</v>
      </c>
      <c r="AA100" s="106">
        <f t="shared" si="1200"/>
        <v>0</v>
      </c>
      <c r="AB100" s="118">
        <f t="shared" si="1223"/>
        <v>0</v>
      </c>
      <c r="AC100" s="106">
        <f t="shared" si="1201"/>
        <v>0</v>
      </c>
      <c r="AD100" s="106">
        <f t="shared" si="1202"/>
        <v>0</v>
      </c>
      <c r="AE100" s="106">
        <f t="shared" si="1203"/>
        <v>0</v>
      </c>
      <c r="AF100" s="106">
        <f t="shared" si="1204"/>
        <v>0</v>
      </c>
      <c r="AG100" s="106">
        <f t="shared" si="1205"/>
        <v>0</v>
      </c>
      <c r="AH100" s="106">
        <f t="shared" si="1206"/>
        <v>0</v>
      </c>
      <c r="AI100" s="106">
        <f t="shared" si="1207"/>
        <v>0</v>
      </c>
      <c r="AJ100" s="106">
        <f t="shared" si="1208"/>
        <v>0</v>
      </c>
      <c r="AK100" s="106">
        <f t="shared" si="1209"/>
        <v>0</v>
      </c>
      <c r="AL100" s="106">
        <f t="shared" si="1210"/>
        <v>0</v>
      </c>
      <c r="AM100" s="106">
        <f t="shared" si="1211"/>
        <v>0</v>
      </c>
      <c r="AN100" s="106">
        <f t="shared" si="1212"/>
        <v>0</v>
      </c>
      <c r="AO100" s="106">
        <f t="shared" si="1213"/>
        <v>0</v>
      </c>
      <c r="AQ100" s="106">
        <v>0</v>
      </c>
      <c r="AR100" s="106">
        <v>0</v>
      </c>
      <c r="AS100" s="106">
        <v>0</v>
      </c>
      <c r="AT100" s="106">
        <v>0</v>
      </c>
      <c r="AU100" s="106">
        <v>0</v>
      </c>
      <c r="AV100" s="106">
        <v>0</v>
      </c>
      <c r="AW100" s="106">
        <v>0</v>
      </c>
      <c r="AX100" s="106">
        <v>0</v>
      </c>
      <c r="AY100" s="106">
        <v>0</v>
      </c>
      <c r="AZ100" s="106">
        <v>0</v>
      </c>
      <c r="BA100" s="106">
        <v>0</v>
      </c>
      <c r="BB100" s="106">
        <v>0</v>
      </c>
      <c r="BC100" s="106">
        <f t="shared" si="1214"/>
        <v>0</v>
      </c>
      <c r="BD100" s="16" t="str">
        <f t="shared" si="900"/>
        <v>New Car - PDI Washing</v>
      </c>
      <c r="BE100" s="106">
        <f>+VLOOKUP($BD100,'Jan-25'!$A:$J,5,0)</f>
        <v>0</v>
      </c>
      <c r="BF100" s="106">
        <f>+VLOOKUP($BD100,'Feb-25'!$A:$J,5,0)</f>
        <v>0</v>
      </c>
      <c r="BG100" s="106">
        <f>+VLOOKUP($BD100,'Mar-25'!$A:$J,5,0)</f>
        <v>0</v>
      </c>
      <c r="BH100" s="106">
        <f>+VLOOKUP($BD100,'Apr-25'!$A:$J,5,0)</f>
        <v>0</v>
      </c>
      <c r="BI100" s="106">
        <f>+VLOOKUP($BD100,'May-25'!$A:$J,5,0)</f>
        <v>0</v>
      </c>
      <c r="BJ100" s="106">
        <f>+VLOOKUP($BD100,'June-25'!$A:$J,5,0)</f>
        <v>0</v>
      </c>
      <c r="BK100" s="106">
        <f>+VLOOKUP($BD100,'July-25'!$A:$J,5,0)</f>
        <v>0</v>
      </c>
      <c r="BL100" s="106">
        <f>+VLOOKUP($BD100,'Aug-25'!$A:$J,5,0)</f>
        <v>0</v>
      </c>
      <c r="BM100" s="106">
        <f>+VLOOKUP($BD100,'Sep-25'!$A:$J,5,0)</f>
        <v>0</v>
      </c>
      <c r="BN100" s="106">
        <f>+VLOOKUP($BD100,'Oct-25'!$A:$J,5,0)</f>
        <v>0</v>
      </c>
      <c r="BO100" s="106">
        <f>+VLOOKUP($BD100,'Nov-25'!$A:$J,5,0)</f>
        <v>0</v>
      </c>
      <c r="BP100" s="106">
        <f>+VLOOKUP($BD100,'Dec-25'!$A:$J,5,0)</f>
        <v>0</v>
      </c>
      <c r="BQ100" s="106">
        <f t="shared" si="1215"/>
        <v>0</v>
      </c>
      <c r="BR100" s="118">
        <f t="shared" si="1224"/>
        <v>0</v>
      </c>
      <c r="BS100" s="106">
        <f>+_xlfn.XLOOKUP($BD100,Budget!$A:$A,Budget!BD:BD)</f>
        <v>0</v>
      </c>
      <c r="BT100" s="106">
        <f>+_xlfn.XLOOKUP($BD100,Budget!$A:$A,Budget!BE:BE)</f>
        <v>0</v>
      </c>
      <c r="BU100" s="106">
        <f>+_xlfn.XLOOKUP($BD100,Budget!$A:$A,Budget!BF:BF)</f>
        <v>0</v>
      </c>
      <c r="BV100" s="106">
        <f>+_xlfn.XLOOKUP($BD100,Budget!$A:$A,Budget!BG:BG)</f>
        <v>0</v>
      </c>
      <c r="BW100" s="106">
        <f>+_xlfn.XLOOKUP($BD100,Budget!$A:$A,Budget!BH:BH)</f>
        <v>0</v>
      </c>
      <c r="BX100" s="106">
        <f>+_xlfn.XLOOKUP($BD100,Budget!$A:$A,Budget!BI:BI)</f>
        <v>0</v>
      </c>
      <c r="BY100" s="106">
        <f>+_xlfn.XLOOKUP($BD100,Budget!$A:$A,Budget!BJ:BJ)</f>
        <v>0</v>
      </c>
      <c r="BZ100" s="106">
        <f>+_xlfn.XLOOKUP($BD100,Budget!$A:$A,Budget!BK:BK)</f>
        <v>0</v>
      </c>
      <c r="CA100" s="106">
        <f>+_xlfn.XLOOKUP($BD100,Budget!$A:$A,Budget!BL:BL)</f>
        <v>0</v>
      </c>
      <c r="CB100" s="106">
        <f>+_xlfn.XLOOKUP($BD100,Budget!$A:$A,Budget!BM:BM)</f>
        <v>0</v>
      </c>
      <c r="CC100" s="106">
        <f>+_xlfn.XLOOKUP($BD100,Budget!$A:$A,Budget!BN:BN)</f>
        <v>0</v>
      </c>
      <c r="CD100" s="106">
        <f>+_xlfn.XLOOKUP($BD100,Budget!$A:$A,Budget!BO:BO)</f>
        <v>0</v>
      </c>
      <c r="CE100" s="106">
        <f t="shared" si="1216"/>
        <v>0</v>
      </c>
      <c r="CF100" s="106"/>
      <c r="CG100" s="106">
        <v>0</v>
      </c>
      <c r="CH100" s="106">
        <v>0</v>
      </c>
      <c r="CI100" s="106">
        <v>0</v>
      </c>
      <c r="CJ100" s="106">
        <v>0</v>
      </c>
      <c r="CK100" s="106">
        <v>0</v>
      </c>
      <c r="CL100" s="106">
        <v>0</v>
      </c>
      <c r="CM100" s="106">
        <v>0</v>
      </c>
      <c r="CN100" s="106">
        <v>0</v>
      </c>
      <c r="CO100" s="106">
        <v>0</v>
      </c>
      <c r="CP100" s="106">
        <v>0</v>
      </c>
      <c r="CQ100" s="106">
        <v>0</v>
      </c>
      <c r="CR100" s="106">
        <v>0</v>
      </c>
      <c r="CS100" s="106">
        <f t="shared" si="1217"/>
        <v>0</v>
      </c>
      <c r="CT100" s="16" t="str">
        <f t="shared" si="901"/>
        <v>New Car - PDI Washing</v>
      </c>
      <c r="CU100" s="106">
        <f>+VLOOKUP($BD100,'Jan-25'!$A:$J,8,0)</f>
        <v>0</v>
      </c>
      <c r="CV100" s="106">
        <f>+VLOOKUP($BD100,'Feb-25'!$A:$J,8,0)</f>
        <v>0</v>
      </c>
      <c r="CW100" s="106">
        <f>+VLOOKUP($BD100,'Mar-25'!$A:$J,8,0)</f>
        <v>0</v>
      </c>
      <c r="CX100" s="106">
        <f>+VLOOKUP($BD100,'Apr-25'!$A:$J,8,0)</f>
        <v>0</v>
      </c>
      <c r="CY100" s="106">
        <f>+VLOOKUP($BD100,'May-25'!$A:$J,8,0)</f>
        <v>0</v>
      </c>
      <c r="CZ100" s="106">
        <f>+VLOOKUP($BD100,'June-25'!$A:$J,8,0)</f>
        <v>0</v>
      </c>
      <c r="DA100" s="106">
        <f>+VLOOKUP($BD100,'July-25'!$A:$J,8,0)</f>
        <v>0</v>
      </c>
      <c r="DB100" s="106">
        <f>+VLOOKUP($BD100,'Aug-25'!$A:$J,8,0)</f>
        <v>0</v>
      </c>
      <c r="DC100" s="106">
        <f>+VLOOKUP($BD100,'Sep-25'!$A:$J,8,0)</f>
        <v>0</v>
      </c>
      <c r="DD100" s="106">
        <f>+VLOOKUP($BD100,'Oct-25'!$A:$J,8,0)</f>
        <v>0</v>
      </c>
      <c r="DE100" s="106">
        <f>+VLOOKUP($BD100,'Nov-25'!$A:$J,8,0)</f>
        <v>0</v>
      </c>
      <c r="DF100" s="106">
        <f>+VLOOKUP($BD100,'Dec-25'!$A:$J,8,0)</f>
        <v>0</v>
      </c>
      <c r="DG100" s="106">
        <f t="shared" si="1218"/>
        <v>0</v>
      </c>
      <c r="DH100" s="118">
        <f t="shared" si="1225"/>
        <v>0</v>
      </c>
      <c r="DI100" s="106">
        <f>+_xlfn.XLOOKUP($CT100,Budget!$A:$A,Budget!CQ:CQ)</f>
        <v>0</v>
      </c>
      <c r="DJ100" s="106">
        <f>+_xlfn.XLOOKUP($CT100,Budget!$A:$A,Budget!CR:CR)</f>
        <v>0</v>
      </c>
      <c r="DK100" s="106">
        <f>+_xlfn.XLOOKUP($CT100,Budget!$A:$A,Budget!CS:CS)</f>
        <v>0</v>
      </c>
      <c r="DL100" s="106">
        <f>+_xlfn.XLOOKUP($CT100,Budget!$A:$A,Budget!CT:CT)</f>
        <v>0</v>
      </c>
      <c r="DM100" s="106">
        <f>+_xlfn.XLOOKUP($CT100,Budget!$A:$A,Budget!CU:CU)</f>
        <v>0</v>
      </c>
      <c r="DN100" s="106">
        <f>+_xlfn.XLOOKUP($CT100,Budget!$A:$A,Budget!CV:CV)</f>
        <v>0</v>
      </c>
      <c r="DO100" s="106">
        <f>+_xlfn.XLOOKUP($CT100,Budget!$A:$A,Budget!CW:CW)</f>
        <v>0</v>
      </c>
      <c r="DP100" s="106">
        <f>+_xlfn.XLOOKUP($CT100,Budget!$A:$A,Budget!CX:CX)</f>
        <v>0</v>
      </c>
      <c r="DQ100" s="106">
        <f>+_xlfn.XLOOKUP($CT100,Budget!$A:$A,Budget!CY:CY)</f>
        <v>0</v>
      </c>
      <c r="DR100" s="106">
        <f>+_xlfn.XLOOKUP($CT100,Budget!$A:$A,Budget!CZ:CZ)</f>
        <v>0</v>
      </c>
      <c r="DS100" s="106">
        <f>+_xlfn.XLOOKUP($CT100,Budget!$A:$A,Budget!DA:DA)</f>
        <v>0</v>
      </c>
      <c r="DT100" s="106">
        <f>+_xlfn.XLOOKUP($CT100,Budget!$A:$A,Budget!DB:DB)</f>
        <v>0</v>
      </c>
      <c r="DU100" s="106">
        <f t="shared" si="1219"/>
        <v>0</v>
      </c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106">
        <f t="shared" si="1220"/>
        <v>0</v>
      </c>
      <c r="EJ100" s="16" t="str">
        <f t="shared" si="966"/>
        <v>New Car - PDI Washing</v>
      </c>
      <c r="EK100" s="22">
        <f>+VLOOKUP($BD100,'Jan-25'!$A:$J,10,0)</f>
        <v>0</v>
      </c>
      <c r="EL100" s="22">
        <f>+VLOOKUP($BD100,'Feb-25'!$A:$J,10,0)</f>
        <v>0</v>
      </c>
      <c r="EM100" s="22">
        <f>+VLOOKUP($BD100,'Mar-25'!$A:$J,10,0)</f>
        <v>0</v>
      </c>
      <c r="EN100" s="22">
        <f>+VLOOKUP($BD100,'Apr-25'!$A:$J,10,0)</f>
        <v>0</v>
      </c>
      <c r="EO100" s="22">
        <f>+VLOOKUP($BD100,'May-25'!$A:$J,10,0)</f>
        <v>0</v>
      </c>
      <c r="EP100" s="22">
        <f>+VLOOKUP($BD100,'June-25'!$A:$J,10,0)</f>
        <v>0</v>
      </c>
      <c r="EQ100" s="22">
        <f>+VLOOKUP($BD100,'July-25'!$A:$J,10,0)</f>
        <v>0</v>
      </c>
      <c r="ER100" s="22">
        <f>+VLOOKUP($BD100,'Aug-25'!$A:$J,10,0)</f>
        <v>0</v>
      </c>
      <c r="ES100" s="22">
        <f>+VLOOKUP($BD100,'Sep-25'!$A:$J,10,0)</f>
        <v>0</v>
      </c>
      <c r="ET100" s="22">
        <f>+VLOOKUP($BD100,'Oct-25'!$A:$J,10,0)</f>
        <v>0</v>
      </c>
      <c r="EU100" s="22">
        <f>+VLOOKUP($BD100,'Nov-25'!$A:$J,10,0)</f>
        <v>0</v>
      </c>
      <c r="EV100" s="22">
        <f>+VLOOKUP($BD100,'Dec-25'!$A:$J,10,0)</f>
        <v>0</v>
      </c>
      <c r="EW100" s="22">
        <f t="shared" si="1221"/>
        <v>0</v>
      </c>
      <c r="EX100" s="118" t="e">
        <f t="shared" si="1226"/>
        <v>#DIV/0!</v>
      </c>
      <c r="EY100" s="106">
        <f>+_xlfn.XLOOKUP($EJ100,Budget!$A:$A,Budget!DR:DR)</f>
        <v>0</v>
      </c>
      <c r="EZ100" s="106">
        <f>+_xlfn.XLOOKUP($EJ100,Budget!$A:$A,Budget!DS:DS)</f>
        <v>0</v>
      </c>
      <c r="FA100" s="106">
        <f>+_xlfn.XLOOKUP($EJ100,Budget!$A:$A,Budget!DT:DT)</f>
        <v>0</v>
      </c>
      <c r="FB100" s="106">
        <f>+_xlfn.XLOOKUP($EJ100,Budget!$A:$A,Budget!DU:DU)</f>
        <v>0</v>
      </c>
      <c r="FC100" s="106">
        <f>+_xlfn.XLOOKUP($EJ100,Budget!$A:$A,Budget!DV:DV)</f>
        <v>0</v>
      </c>
      <c r="FD100" s="106">
        <f>+_xlfn.XLOOKUP($EJ100,Budget!$A:$A,Budget!DW:DW)</f>
        <v>0</v>
      </c>
      <c r="FE100" s="106">
        <f>+_xlfn.XLOOKUP($EJ100,Budget!$A:$A,Budget!DX:DX)</f>
        <v>0</v>
      </c>
      <c r="FF100" s="106">
        <f>+_xlfn.XLOOKUP($EJ100,Budget!$A:$A,Budget!DY:DY)</f>
        <v>0</v>
      </c>
      <c r="FG100" s="106">
        <f>+_xlfn.XLOOKUP($EJ100,Budget!$A:$A,Budget!DZ:DZ)</f>
        <v>0</v>
      </c>
      <c r="FH100" s="106">
        <f>+_xlfn.XLOOKUP($EJ100,Budget!$A:$A,Budget!EA:EA)</f>
        <v>0</v>
      </c>
      <c r="FI100" s="106">
        <f>+_xlfn.XLOOKUP($EJ100,Budget!$A:$A,Budget!EB:EB)</f>
        <v>0</v>
      </c>
      <c r="FJ100" s="106">
        <f>+_xlfn.XLOOKUP($EJ100,Budget!$A:$A,Budget!EC:EC)</f>
        <v>0</v>
      </c>
      <c r="FK100" s="106">
        <f t="shared" si="1222"/>
        <v>0</v>
      </c>
    </row>
    <row r="101" spans="1:167" ht="14.45" hidden="1" customHeight="1" outlineLevel="2">
      <c r="A101" s="106">
        <f t="shared" si="1187"/>
        <v>0</v>
      </c>
      <c r="B101" s="106">
        <f t="shared" si="1187"/>
        <v>0</v>
      </c>
      <c r="C101" s="106">
        <f t="shared" si="1187"/>
        <v>0</v>
      </c>
      <c r="D101" s="106">
        <f t="shared" si="1187"/>
        <v>0</v>
      </c>
      <c r="E101" s="106">
        <f t="shared" si="1187"/>
        <v>0</v>
      </c>
      <c r="F101" s="106">
        <f t="shared" si="1187"/>
        <v>0</v>
      </c>
      <c r="G101" s="106">
        <f t="shared" si="1187"/>
        <v>0</v>
      </c>
      <c r="H101" s="106">
        <f t="shared" si="1187"/>
        <v>0</v>
      </c>
      <c r="I101" s="106">
        <f t="shared" si="1187"/>
        <v>0</v>
      </c>
      <c r="J101" s="106">
        <f t="shared" si="1187"/>
        <v>0</v>
      </c>
      <c r="K101" s="106">
        <f t="shared" si="1187"/>
        <v>0</v>
      </c>
      <c r="L101" s="106">
        <f t="shared" si="1187"/>
        <v>0</v>
      </c>
      <c r="M101" s="106">
        <f t="shared" si="1068"/>
        <v>0</v>
      </c>
      <c r="N101" s="16" t="s">
        <v>82</v>
      </c>
      <c r="O101" s="106">
        <f t="shared" si="1188"/>
        <v>0</v>
      </c>
      <c r="P101" s="106">
        <f t="shared" si="1189"/>
        <v>0</v>
      </c>
      <c r="Q101" s="106">
        <f t="shared" si="1190"/>
        <v>0</v>
      </c>
      <c r="R101" s="106">
        <f t="shared" si="1191"/>
        <v>0</v>
      </c>
      <c r="S101" s="106">
        <f t="shared" si="1192"/>
        <v>0</v>
      </c>
      <c r="T101" s="106">
        <f t="shared" si="1193"/>
        <v>0</v>
      </c>
      <c r="U101" s="106">
        <f t="shared" si="1194"/>
        <v>0</v>
      </c>
      <c r="V101" s="106">
        <f t="shared" si="1195"/>
        <v>0</v>
      </c>
      <c r="W101" s="106">
        <f t="shared" si="1196"/>
        <v>0</v>
      </c>
      <c r="X101" s="106">
        <f t="shared" si="1197"/>
        <v>0</v>
      </c>
      <c r="Y101" s="106">
        <f t="shared" si="1198"/>
        <v>0</v>
      </c>
      <c r="Z101" s="106">
        <f t="shared" si="1199"/>
        <v>0</v>
      </c>
      <c r="AA101" s="106">
        <f t="shared" si="1200"/>
        <v>0</v>
      </c>
      <c r="AB101" s="118">
        <f t="shared" si="1223"/>
        <v>0</v>
      </c>
      <c r="AC101" s="106">
        <f t="shared" si="1201"/>
        <v>0</v>
      </c>
      <c r="AD101" s="106">
        <f t="shared" si="1202"/>
        <v>0</v>
      </c>
      <c r="AE101" s="106">
        <f t="shared" si="1203"/>
        <v>0</v>
      </c>
      <c r="AF101" s="106">
        <f t="shared" si="1204"/>
        <v>0</v>
      </c>
      <c r="AG101" s="106">
        <f t="shared" si="1205"/>
        <v>0</v>
      </c>
      <c r="AH101" s="106">
        <f t="shared" si="1206"/>
        <v>0</v>
      </c>
      <c r="AI101" s="106">
        <f t="shared" si="1207"/>
        <v>0</v>
      </c>
      <c r="AJ101" s="106">
        <f t="shared" si="1208"/>
        <v>0</v>
      </c>
      <c r="AK101" s="106">
        <f t="shared" si="1209"/>
        <v>0</v>
      </c>
      <c r="AL101" s="106">
        <f t="shared" si="1210"/>
        <v>0</v>
      </c>
      <c r="AM101" s="106">
        <f t="shared" si="1211"/>
        <v>0</v>
      </c>
      <c r="AN101" s="106">
        <f t="shared" si="1212"/>
        <v>0</v>
      </c>
      <c r="AO101" s="106">
        <f t="shared" si="1213"/>
        <v>0</v>
      </c>
      <c r="AQ101" s="106">
        <v>0</v>
      </c>
      <c r="AR101" s="106">
        <v>0</v>
      </c>
      <c r="AS101" s="106">
        <v>0</v>
      </c>
      <c r="AT101" s="106">
        <v>0</v>
      </c>
      <c r="AU101" s="106">
        <v>0</v>
      </c>
      <c r="AV101" s="106">
        <v>0</v>
      </c>
      <c r="AW101" s="106">
        <v>0</v>
      </c>
      <c r="AX101" s="106">
        <v>0</v>
      </c>
      <c r="AY101" s="106">
        <v>0</v>
      </c>
      <c r="AZ101" s="106">
        <v>0</v>
      </c>
      <c r="BA101" s="106">
        <v>0</v>
      </c>
      <c r="BB101" s="106">
        <v>0</v>
      </c>
      <c r="BC101" s="106">
        <f t="shared" si="1214"/>
        <v>0</v>
      </c>
      <c r="BD101" s="16" t="str">
        <f t="shared" si="900"/>
        <v>New Car Delivery-Gifts</v>
      </c>
      <c r="BE101" s="106">
        <f>+VLOOKUP($BD101,'Jan-25'!$A:$J,5,0)</f>
        <v>0</v>
      </c>
      <c r="BF101" s="106">
        <f>+VLOOKUP($BD101,'Feb-25'!$A:$J,5,0)</f>
        <v>0</v>
      </c>
      <c r="BG101" s="106">
        <f>+VLOOKUP($BD101,'Mar-25'!$A:$J,5,0)</f>
        <v>0</v>
      </c>
      <c r="BH101" s="106">
        <f>+VLOOKUP($BD101,'Apr-25'!$A:$J,5,0)</f>
        <v>0</v>
      </c>
      <c r="BI101" s="106">
        <f>+VLOOKUP($BD101,'May-25'!$A:$J,5,0)</f>
        <v>0</v>
      </c>
      <c r="BJ101" s="106">
        <f>+VLOOKUP($BD101,'June-25'!$A:$J,5,0)</f>
        <v>0</v>
      </c>
      <c r="BK101" s="106">
        <f>+VLOOKUP($BD101,'July-25'!$A:$J,5,0)</f>
        <v>0</v>
      </c>
      <c r="BL101" s="106">
        <f>+VLOOKUP($BD101,'Aug-25'!$A:$J,5,0)</f>
        <v>0</v>
      </c>
      <c r="BM101" s="106">
        <f>+VLOOKUP($BD101,'Sep-25'!$A:$J,5,0)</f>
        <v>0</v>
      </c>
      <c r="BN101" s="106">
        <f>+VLOOKUP($BD101,'Oct-25'!$A:$J,5,0)</f>
        <v>0</v>
      </c>
      <c r="BO101" s="106">
        <f>+VLOOKUP($BD101,'Nov-25'!$A:$J,5,0)</f>
        <v>0</v>
      </c>
      <c r="BP101" s="106">
        <f>+VLOOKUP($BD101,'Dec-25'!$A:$J,5,0)</f>
        <v>0</v>
      </c>
      <c r="BQ101" s="106">
        <f t="shared" si="1215"/>
        <v>0</v>
      </c>
      <c r="BR101" s="118">
        <f t="shared" si="1224"/>
        <v>0</v>
      </c>
      <c r="BS101" s="106">
        <f>+_xlfn.XLOOKUP($BD101,Budget!$A:$A,Budget!BD:BD)</f>
        <v>0</v>
      </c>
      <c r="BT101" s="106">
        <f>+_xlfn.XLOOKUP($BD101,Budget!$A:$A,Budget!BE:BE)</f>
        <v>0</v>
      </c>
      <c r="BU101" s="106">
        <f>+_xlfn.XLOOKUP($BD101,Budget!$A:$A,Budget!BF:BF)</f>
        <v>0</v>
      </c>
      <c r="BV101" s="106">
        <f>+_xlfn.XLOOKUP($BD101,Budget!$A:$A,Budget!BG:BG)</f>
        <v>0</v>
      </c>
      <c r="BW101" s="106">
        <f>+_xlfn.XLOOKUP($BD101,Budget!$A:$A,Budget!BH:BH)</f>
        <v>0</v>
      </c>
      <c r="BX101" s="106">
        <f>+_xlfn.XLOOKUP($BD101,Budget!$A:$A,Budget!BI:BI)</f>
        <v>0</v>
      </c>
      <c r="BY101" s="106">
        <f>+_xlfn.XLOOKUP($BD101,Budget!$A:$A,Budget!BJ:BJ)</f>
        <v>0</v>
      </c>
      <c r="BZ101" s="106">
        <f>+_xlfn.XLOOKUP($BD101,Budget!$A:$A,Budget!BK:BK)</f>
        <v>0</v>
      </c>
      <c r="CA101" s="106">
        <f>+_xlfn.XLOOKUP($BD101,Budget!$A:$A,Budget!BL:BL)</f>
        <v>0</v>
      </c>
      <c r="CB101" s="106">
        <f>+_xlfn.XLOOKUP($BD101,Budget!$A:$A,Budget!BM:BM)</f>
        <v>0</v>
      </c>
      <c r="CC101" s="106">
        <f>+_xlfn.XLOOKUP($BD101,Budget!$A:$A,Budget!BN:BN)</f>
        <v>0</v>
      </c>
      <c r="CD101" s="106">
        <f>+_xlfn.XLOOKUP($BD101,Budget!$A:$A,Budget!BO:BO)</f>
        <v>0</v>
      </c>
      <c r="CE101" s="106">
        <f t="shared" si="1216"/>
        <v>0</v>
      </c>
      <c r="CF101" s="106"/>
      <c r="CG101" s="106">
        <v>0</v>
      </c>
      <c r="CH101" s="106">
        <v>0</v>
      </c>
      <c r="CI101" s="106">
        <v>0</v>
      </c>
      <c r="CJ101" s="106">
        <v>0</v>
      </c>
      <c r="CK101" s="106">
        <v>0</v>
      </c>
      <c r="CL101" s="106">
        <v>0</v>
      </c>
      <c r="CM101" s="106">
        <v>0</v>
      </c>
      <c r="CN101" s="106">
        <v>0</v>
      </c>
      <c r="CO101" s="106">
        <v>0</v>
      </c>
      <c r="CP101" s="106">
        <v>0</v>
      </c>
      <c r="CQ101" s="106">
        <v>0</v>
      </c>
      <c r="CR101" s="106">
        <v>0</v>
      </c>
      <c r="CS101" s="106">
        <f t="shared" si="1217"/>
        <v>0</v>
      </c>
      <c r="CT101" s="16" t="str">
        <f t="shared" si="901"/>
        <v>New Car Delivery-Gifts</v>
      </c>
      <c r="CU101" s="106">
        <f>+VLOOKUP($BD101,'Jan-25'!$A:$J,8,0)</f>
        <v>0</v>
      </c>
      <c r="CV101" s="106">
        <f>+VLOOKUP($BD101,'Feb-25'!$A:$J,8,0)</f>
        <v>0</v>
      </c>
      <c r="CW101" s="106">
        <f>+VLOOKUP($BD101,'Mar-25'!$A:$J,8,0)</f>
        <v>0</v>
      </c>
      <c r="CX101" s="106">
        <f>+VLOOKUP($BD101,'Apr-25'!$A:$J,8,0)</f>
        <v>0</v>
      </c>
      <c r="CY101" s="106">
        <f>+VLOOKUP($BD101,'May-25'!$A:$J,8,0)</f>
        <v>0</v>
      </c>
      <c r="CZ101" s="106">
        <f>+VLOOKUP($BD101,'June-25'!$A:$J,8,0)</f>
        <v>0</v>
      </c>
      <c r="DA101" s="106">
        <f>+VLOOKUP($BD101,'July-25'!$A:$J,8,0)</f>
        <v>0</v>
      </c>
      <c r="DB101" s="106">
        <f>+VLOOKUP($BD101,'Aug-25'!$A:$J,8,0)</f>
        <v>0</v>
      </c>
      <c r="DC101" s="106">
        <f>+VLOOKUP($BD101,'Sep-25'!$A:$J,8,0)</f>
        <v>0</v>
      </c>
      <c r="DD101" s="106">
        <f>+VLOOKUP($BD101,'Oct-25'!$A:$J,8,0)</f>
        <v>0</v>
      </c>
      <c r="DE101" s="106">
        <f>+VLOOKUP($BD101,'Nov-25'!$A:$J,8,0)</f>
        <v>0</v>
      </c>
      <c r="DF101" s="106">
        <f>+VLOOKUP($BD101,'Dec-25'!$A:$J,8,0)</f>
        <v>0</v>
      </c>
      <c r="DG101" s="106">
        <f t="shared" si="1218"/>
        <v>0</v>
      </c>
      <c r="DH101" s="118">
        <f t="shared" si="1225"/>
        <v>0</v>
      </c>
      <c r="DI101" s="106">
        <f>+_xlfn.XLOOKUP($CT101,Budget!$A:$A,Budget!CQ:CQ)</f>
        <v>0</v>
      </c>
      <c r="DJ101" s="106">
        <f>+_xlfn.XLOOKUP($CT101,Budget!$A:$A,Budget!CR:CR)</f>
        <v>0</v>
      </c>
      <c r="DK101" s="106">
        <f>+_xlfn.XLOOKUP($CT101,Budget!$A:$A,Budget!CS:CS)</f>
        <v>0</v>
      </c>
      <c r="DL101" s="106">
        <f>+_xlfn.XLOOKUP($CT101,Budget!$A:$A,Budget!CT:CT)</f>
        <v>0</v>
      </c>
      <c r="DM101" s="106">
        <f>+_xlfn.XLOOKUP($CT101,Budget!$A:$A,Budget!CU:CU)</f>
        <v>0</v>
      </c>
      <c r="DN101" s="106">
        <f>+_xlfn.XLOOKUP($CT101,Budget!$A:$A,Budget!CV:CV)</f>
        <v>0</v>
      </c>
      <c r="DO101" s="106">
        <f>+_xlfn.XLOOKUP($CT101,Budget!$A:$A,Budget!CW:CW)</f>
        <v>0</v>
      </c>
      <c r="DP101" s="106">
        <f>+_xlfn.XLOOKUP($CT101,Budget!$A:$A,Budget!CX:CX)</f>
        <v>0</v>
      </c>
      <c r="DQ101" s="106">
        <f>+_xlfn.XLOOKUP($CT101,Budget!$A:$A,Budget!CY:CY)</f>
        <v>0</v>
      </c>
      <c r="DR101" s="106">
        <f>+_xlfn.XLOOKUP($CT101,Budget!$A:$A,Budget!CZ:CZ)</f>
        <v>0</v>
      </c>
      <c r="DS101" s="106">
        <f>+_xlfn.XLOOKUP($CT101,Budget!$A:$A,Budget!DA:DA)</f>
        <v>0</v>
      </c>
      <c r="DT101" s="106">
        <f>+_xlfn.XLOOKUP($CT101,Budget!$A:$A,Budget!DB:DB)</f>
        <v>0</v>
      </c>
      <c r="DU101" s="106">
        <f t="shared" si="1219"/>
        <v>0</v>
      </c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106">
        <f t="shared" si="1220"/>
        <v>0</v>
      </c>
      <c r="EJ101" s="16" t="str">
        <f t="shared" si="966"/>
        <v>New Car Delivery-Gifts</v>
      </c>
      <c r="EK101" s="22">
        <f>+VLOOKUP($BD101,'Jan-25'!$A:$J,10,0)</f>
        <v>0</v>
      </c>
      <c r="EL101" s="22">
        <f>+VLOOKUP($BD101,'Feb-25'!$A:$J,10,0)</f>
        <v>0</v>
      </c>
      <c r="EM101" s="22">
        <f>+VLOOKUP($BD101,'Mar-25'!$A:$J,10,0)</f>
        <v>0</v>
      </c>
      <c r="EN101" s="22">
        <f>+VLOOKUP($BD101,'Apr-25'!$A:$J,10,0)</f>
        <v>0</v>
      </c>
      <c r="EO101" s="22">
        <f>+VLOOKUP($BD101,'May-25'!$A:$J,10,0)</f>
        <v>0</v>
      </c>
      <c r="EP101" s="22">
        <f>+VLOOKUP($BD101,'June-25'!$A:$J,10,0)</f>
        <v>0</v>
      </c>
      <c r="EQ101" s="22">
        <f>+VLOOKUP($BD101,'July-25'!$A:$J,10,0)</f>
        <v>0</v>
      </c>
      <c r="ER101" s="22">
        <f>+VLOOKUP($BD101,'Aug-25'!$A:$J,10,0)</f>
        <v>0</v>
      </c>
      <c r="ES101" s="22">
        <f>+VLOOKUP($BD101,'Sep-25'!$A:$J,10,0)</f>
        <v>0</v>
      </c>
      <c r="ET101" s="22">
        <f>+VLOOKUP($BD101,'Oct-25'!$A:$J,10,0)</f>
        <v>0</v>
      </c>
      <c r="EU101" s="22">
        <f>+VLOOKUP($BD101,'Nov-25'!$A:$J,10,0)</f>
        <v>0</v>
      </c>
      <c r="EV101" s="22">
        <f>+VLOOKUP($BD101,'Dec-25'!$A:$J,10,0)</f>
        <v>0</v>
      </c>
      <c r="EW101" s="22">
        <f t="shared" si="1221"/>
        <v>0</v>
      </c>
      <c r="EX101" s="118" t="e">
        <f t="shared" si="1226"/>
        <v>#DIV/0!</v>
      </c>
      <c r="EY101" s="106">
        <f>+_xlfn.XLOOKUP($EJ101,Budget!$A:$A,Budget!DR:DR)</f>
        <v>0</v>
      </c>
      <c r="EZ101" s="106">
        <f>+_xlfn.XLOOKUP($EJ101,Budget!$A:$A,Budget!DS:DS)</f>
        <v>0</v>
      </c>
      <c r="FA101" s="106">
        <f>+_xlfn.XLOOKUP($EJ101,Budget!$A:$A,Budget!DT:DT)</f>
        <v>0</v>
      </c>
      <c r="FB101" s="106">
        <f>+_xlfn.XLOOKUP($EJ101,Budget!$A:$A,Budget!DU:DU)</f>
        <v>0</v>
      </c>
      <c r="FC101" s="106">
        <f>+_xlfn.XLOOKUP($EJ101,Budget!$A:$A,Budget!DV:DV)</f>
        <v>0</v>
      </c>
      <c r="FD101" s="106">
        <f>+_xlfn.XLOOKUP($EJ101,Budget!$A:$A,Budget!DW:DW)</f>
        <v>0</v>
      </c>
      <c r="FE101" s="106">
        <f>+_xlfn.XLOOKUP($EJ101,Budget!$A:$A,Budget!DX:DX)</f>
        <v>0</v>
      </c>
      <c r="FF101" s="106">
        <f>+_xlfn.XLOOKUP($EJ101,Budget!$A:$A,Budget!DY:DY)</f>
        <v>0</v>
      </c>
      <c r="FG101" s="106">
        <f>+_xlfn.XLOOKUP($EJ101,Budget!$A:$A,Budget!DZ:DZ)</f>
        <v>0</v>
      </c>
      <c r="FH101" s="106">
        <f>+_xlfn.XLOOKUP($EJ101,Budget!$A:$A,Budget!EA:EA)</f>
        <v>0</v>
      </c>
      <c r="FI101" s="106">
        <f>+_xlfn.XLOOKUP($EJ101,Budget!$A:$A,Budget!EB:EB)</f>
        <v>0</v>
      </c>
      <c r="FJ101" s="106">
        <f>+_xlfn.XLOOKUP($EJ101,Budget!$A:$A,Budget!EC:EC)</f>
        <v>0</v>
      </c>
      <c r="FK101" s="106">
        <f t="shared" si="1222"/>
        <v>0</v>
      </c>
    </row>
    <row r="102" spans="1:167" ht="14.45" hidden="1" customHeight="1" outlineLevel="2">
      <c r="A102" s="106">
        <f t="shared" si="1187"/>
        <v>0</v>
      </c>
      <c r="B102" s="106">
        <f t="shared" si="1187"/>
        <v>0</v>
      </c>
      <c r="C102" s="106">
        <f t="shared" si="1187"/>
        <v>0</v>
      </c>
      <c r="D102" s="106">
        <f t="shared" si="1187"/>
        <v>0</v>
      </c>
      <c r="E102" s="106">
        <f t="shared" si="1187"/>
        <v>0</v>
      </c>
      <c r="F102" s="106">
        <f t="shared" si="1187"/>
        <v>0</v>
      </c>
      <c r="G102" s="106">
        <f t="shared" si="1187"/>
        <v>0</v>
      </c>
      <c r="H102" s="106">
        <f t="shared" si="1187"/>
        <v>0</v>
      </c>
      <c r="I102" s="106">
        <f t="shared" si="1187"/>
        <v>0</v>
      </c>
      <c r="J102" s="106">
        <f t="shared" si="1187"/>
        <v>164.25</v>
      </c>
      <c r="K102" s="106">
        <f t="shared" si="1187"/>
        <v>0</v>
      </c>
      <c r="L102" s="106">
        <f t="shared" si="1187"/>
        <v>17683.2</v>
      </c>
      <c r="M102" s="106">
        <f t="shared" si="1068"/>
        <v>17847.45</v>
      </c>
      <c r="N102" s="16" t="s">
        <v>83</v>
      </c>
      <c r="O102" s="106">
        <f t="shared" si="1188"/>
        <v>5592</v>
      </c>
      <c r="P102" s="106">
        <f t="shared" si="1189"/>
        <v>2947.2000000000003</v>
      </c>
      <c r="Q102" s="106">
        <f t="shared" si="1190"/>
        <v>0</v>
      </c>
      <c r="R102" s="106">
        <f t="shared" si="1191"/>
        <v>2947.2000000000003</v>
      </c>
      <c r="S102" s="106">
        <f t="shared" si="1192"/>
        <v>2947.2000000000003</v>
      </c>
      <c r="T102" s="106">
        <f t="shared" si="1193"/>
        <v>5775.7759999999998</v>
      </c>
      <c r="U102" s="106">
        <f t="shared" si="1194"/>
        <v>1414.288</v>
      </c>
      <c r="V102" s="106">
        <f t="shared" si="1195"/>
        <v>2947.2000000000003</v>
      </c>
      <c r="W102" s="106">
        <f t="shared" si="1196"/>
        <v>0</v>
      </c>
      <c r="X102" s="106">
        <f t="shared" si="1197"/>
        <v>0</v>
      </c>
      <c r="Y102" s="106">
        <f t="shared" si="1198"/>
        <v>0</v>
      </c>
      <c r="Z102" s="106">
        <f t="shared" si="1199"/>
        <v>0</v>
      </c>
      <c r="AA102" s="106">
        <f t="shared" si="1200"/>
        <v>24570.864000000005</v>
      </c>
      <c r="AB102" s="118">
        <f t="shared" si="1223"/>
        <v>0</v>
      </c>
      <c r="AC102" s="106">
        <f t="shared" si="1201"/>
        <v>0</v>
      </c>
      <c r="AD102" s="106">
        <f t="shared" si="1202"/>
        <v>0</v>
      </c>
      <c r="AE102" s="106">
        <f t="shared" si="1203"/>
        <v>0</v>
      </c>
      <c r="AF102" s="106">
        <f t="shared" si="1204"/>
        <v>0</v>
      </c>
      <c r="AG102" s="106">
        <f t="shared" si="1205"/>
        <v>0</v>
      </c>
      <c r="AH102" s="106">
        <f t="shared" si="1206"/>
        <v>0</v>
      </c>
      <c r="AI102" s="106">
        <f t="shared" si="1207"/>
        <v>0</v>
      </c>
      <c r="AJ102" s="106">
        <f t="shared" si="1208"/>
        <v>0</v>
      </c>
      <c r="AK102" s="106">
        <f t="shared" si="1209"/>
        <v>0</v>
      </c>
      <c r="AL102" s="106">
        <f t="shared" si="1210"/>
        <v>0</v>
      </c>
      <c r="AM102" s="106">
        <f t="shared" si="1211"/>
        <v>0</v>
      </c>
      <c r="AN102" s="106">
        <f t="shared" si="1212"/>
        <v>0</v>
      </c>
      <c r="AO102" s="106">
        <f t="shared" si="1213"/>
        <v>0</v>
      </c>
      <c r="AQ102" s="106">
        <v>0</v>
      </c>
      <c r="AR102" s="106">
        <v>0</v>
      </c>
      <c r="AS102" s="106">
        <v>0</v>
      </c>
      <c r="AT102" s="106">
        <v>0</v>
      </c>
      <c r="AU102" s="106">
        <v>0</v>
      </c>
      <c r="AV102" s="106">
        <v>0</v>
      </c>
      <c r="AW102" s="106">
        <v>0</v>
      </c>
      <c r="AX102" s="106">
        <v>0</v>
      </c>
      <c r="AY102" s="106">
        <v>0</v>
      </c>
      <c r="AZ102" s="106">
        <v>0</v>
      </c>
      <c r="BA102" s="106">
        <v>0</v>
      </c>
      <c r="BB102" s="106">
        <v>0</v>
      </c>
      <c r="BC102" s="106">
        <f t="shared" si="1214"/>
        <v>0</v>
      </c>
      <c r="BD102" s="16" t="str">
        <f t="shared" si="900"/>
        <v>Refreshment Expenses -Delivery</v>
      </c>
      <c r="BE102" s="106">
        <f>+VLOOKUP($BD102,'Jan-25'!$A:$J,5,0)</f>
        <v>0</v>
      </c>
      <c r="BF102" s="106">
        <f>+VLOOKUP($BD102,'Feb-25'!$A:$J,5,0)</f>
        <v>0</v>
      </c>
      <c r="BG102" s="106">
        <f>+VLOOKUP($BD102,'Mar-25'!$A:$J,5,0)</f>
        <v>0</v>
      </c>
      <c r="BH102" s="106">
        <f>+VLOOKUP($BD102,'Apr-25'!$A:$J,5,0)</f>
        <v>0</v>
      </c>
      <c r="BI102" s="106">
        <f>+VLOOKUP($BD102,'May-25'!$A:$J,5,0)</f>
        <v>0</v>
      </c>
      <c r="BJ102" s="106">
        <f>+VLOOKUP($BD102,'June-25'!$A:$J,5,0)</f>
        <v>0</v>
      </c>
      <c r="BK102" s="106">
        <f>+VLOOKUP($BD102,'July-25'!$A:$J,5,0)</f>
        <v>0</v>
      </c>
      <c r="BL102" s="106">
        <f>+VLOOKUP($BD102,'Aug-25'!$A:$J,5,0)</f>
        <v>0</v>
      </c>
      <c r="BM102" s="106">
        <f>+VLOOKUP($BD102,'Sep-25'!$A:$J,5,0)</f>
        <v>0</v>
      </c>
      <c r="BN102" s="106">
        <f>+VLOOKUP($BD102,'Oct-25'!$A:$J,5,0)</f>
        <v>0</v>
      </c>
      <c r="BO102" s="106">
        <f>+VLOOKUP($BD102,'Nov-25'!$A:$J,5,0)</f>
        <v>0</v>
      </c>
      <c r="BP102" s="106">
        <f>+VLOOKUP($BD102,'Dec-25'!$A:$J,5,0)</f>
        <v>0</v>
      </c>
      <c r="BQ102" s="106">
        <f t="shared" si="1215"/>
        <v>0</v>
      </c>
      <c r="BR102" s="118">
        <f t="shared" si="1224"/>
        <v>0</v>
      </c>
      <c r="BS102" s="106">
        <f>+_xlfn.XLOOKUP($BD102,Budget!$A:$A,Budget!BD:BD)</f>
        <v>0</v>
      </c>
      <c r="BT102" s="106">
        <f>+_xlfn.XLOOKUP($BD102,Budget!$A:$A,Budget!BE:BE)</f>
        <v>0</v>
      </c>
      <c r="BU102" s="106">
        <f>+_xlfn.XLOOKUP($BD102,Budget!$A:$A,Budget!BF:BF)</f>
        <v>0</v>
      </c>
      <c r="BV102" s="106">
        <f>+_xlfn.XLOOKUP($BD102,Budget!$A:$A,Budget!BG:BG)</f>
        <v>0</v>
      </c>
      <c r="BW102" s="106">
        <f>+_xlfn.XLOOKUP($BD102,Budget!$A:$A,Budget!BH:BH)</f>
        <v>0</v>
      </c>
      <c r="BX102" s="106">
        <f>+_xlfn.XLOOKUP($BD102,Budget!$A:$A,Budget!BI:BI)</f>
        <v>0</v>
      </c>
      <c r="BY102" s="106">
        <f>+_xlfn.XLOOKUP($BD102,Budget!$A:$A,Budget!BJ:BJ)</f>
        <v>0</v>
      </c>
      <c r="BZ102" s="106">
        <f>+_xlfn.XLOOKUP($BD102,Budget!$A:$A,Budget!BK:BK)</f>
        <v>0</v>
      </c>
      <c r="CA102" s="106">
        <f>+_xlfn.XLOOKUP($BD102,Budget!$A:$A,Budget!BL:BL)</f>
        <v>0</v>
      </c>
      <c r="CB102" s="106">
        <f>+_xlfn.XLOOKUP($BD102,Budget!$A:$A,Budget!BM:BM)</f>
        <v>0</v>
      </c>
      <c r="CC102" s="106">
        <f>+_xlfn.XLOOKUP($BD102,Budget!$A:$A,Budget!BN:BN)</f>
        <v>0</v>
      </c>
      <c r="CD102" s="106">
        <f>+_xlfn.XLOOKUP($BD102,Budget!$A:$A,Budget!BO:BO)</f>
        <v>0</v>
      </c>
      <c r="CE102" s="106">
        <f t="shared" si="1216"/>
        <v>0</v>
      </c>
      <c r="CF102" s="106"/>
      <c r="CG102" s="106">
        <v>0</v>
      </c>
      <c r="CH102" s="106">
        <v>0</v>
      </c>
      <c r="CI102" s="106">
        <v>0</v>
      </c>
      <c r="CJ102" s="106">
        <v>0</v>
      </c>
      <c r="CK102" s="106">
        <v>0</v>
      </c>
      <c r="CL102" s="106">
        <v>0</v>
      </c>
      <c r="CM102" s="106">
        <v>0</v>
      </c>
      <c r="CN102" s="106">
        <v>0</v>
      </c>
      <c r="CO102" s="106">
        <v>0</v>
      </c>
      <c r="CP102" s="106">
        <v>164.25</v>
      </c>
      <c r="CQ102" s="106">
        <v>0</v>
      </c>
      <c r="CR102" s="106">
        <v>17683.2</v>
      </c>
      <c r="CS102" s="106">
        <f t="shared" si="1217"/>
        <v>17847.45</v>
      </c>
      <c r="CT102" s="16" t="str">
        <f t="shared" si="901"/>
        <v>Refreshment Expenses -Delivery</v>
      </c>
      <c r="CU102" s="106">
        <f>+VLOOKUP($BD102,'Jan-25'!$A:$J,8,0)</f>
        <v>5592</v>
      </c>
      <c r="CV102" s="106">
        <f>+VLOOKUP($BD102,'Feb-25'!$A:$J,8,0)</f>
        <v>2947.2000000000003</v>
      </c>
      <c r="CW102" s="106">
        <f>+VLOOKUP($BD102,'Mar-25'!$A:$J,8,0)</f>
        <v>0</v>
      </c>
      <c r="CX102" s="106">
        <f>+VLOOKUP($BD102,'Apr-25'!$A:$J,8,0)</f>
        <v>2947.2000000000003</v>
      </c>
      <c r="CY102" s="106">
        <f>+VLOOKUP($BD102,'May-25'!$A:$J,8,0)</f>
        <v>2947.2000000000003</v>
      </c>
      <c r="CZ102" s="106">
        <f>+VLOOKUP($BD102,'June-25'!$A:$J,8,0)</f>
        <v>2947.2000000000003</v>
      </c>
      <c r="DA102" s="106">
        <f>+VLOOKUP($BD102,'July-25'!$A:$J,8,0)</f>
        <v>1414.288</v>
      </c>
      <c r="DB102" s="106">
        <f>+VLOOKUP($BD102,'Aug-25'!$A:$J,8,0)</f>
        <v>2947.2000000000003</v>
      </c>
      <c r="DC102" s="106">
        <f>+VLOOKUP($BD102,'Sep-25'!$A:$J,8,0)</f>
        <v>0</v>
      </c>
      <c r="DD102" s="106">
        <f>+VLOOKUP($BD102,'Oct-25'!$A:$J,8,0)</f>
        <v>0</v>
      </c>
      <c r="DE102" s="106">
        <f>+VLOOKUP($BD102,'Nov-25'!$A:$J,8,0)</f>
        <v>0</v>
      </c>
      <c r="DF102" s="106">
        <f>+VLOOKUP($BD102,'Dec-25'!$A:$J,8,0)</f>
        <v>0</v>
      </c>
      <c r="DG102" s="106">
        <f t="shared" si="1218"/>
        <v>21742.288000000004</v>
      </c>
      <c r="DH102" s="118">
        <f t="shared" si="1225"/>
        <v>0</v>
      </c>
      <c r="DI102" s="106">
        <f>+_xlfn.XLOOKUP($CT102,Budget!$A:$A,Budget!CQ:CQ)</f>
        <v>0</v>
      </c>
      <c r="DJ102" s="106">
        <f>+_xlfn.XLOOKUP($CT102,Budget!$A:$A,Budget!CR:CR)</f>
        <v>0</v>
      </c>
      <c r="DK102" s="106">
        <f>+_xlfn.XLOOKUP($CT102,Budget!$A:$A,Budget!CS:CS)</f>
        <v>0</v>
      </c>
      <c r="DL102" s="106">
        <f>+_xlfn.XLOOKUP($CT102,Budget!$A:$A,Budget!CT:CT)</f>
        <v>0</v>
      </c>
      <c r="DM102" s="106">
        <f>+_xlfn.XLOOKUP($CT102,Budget!$A:$A,Budget!CU:CU)</f>
        <v>0</v>
      </c>
      <c r="DN102" s="106">
        <f>+_xlfn.XLOOKUP($CT102,Budget!$A:$A,Budget!CV:CV)</f>
        <v>0</v>
      </c>
      <c r="DO102" s="106">
        <f>+_xlfn.XLOOKUP($CT102,Budget!$A:$A,Budget!CW:CW)</f>
        <v>0</v>
      </c>
      <c r="DP102" s="106">
        <f>+_xlfn.XLOOKUP($CT102,Budget!$A:$A,Budget!CX:CX)</f>
        <v>0</v>
      </c>
      <c r="DQ102" s="106">
        <f>+_xlfn.XLOOKUP($CT102,Budget!$A:$A,Budget!CY:CY)</f>
        <v>0</v>
      </c>
      <c r="DR102" s="106">
        <f>+_xlfn.XLOOKUP($CT102,Budget!$A:$A,Budget!CZ:CZ)</f>
        <v>0</v>
      </c>
      <c r="DS102" s="106">
        <f>+_xlfn.XLOOKUP($CT102,Budget!$A:$A,Budget!DA:DA)</f>
        <v>0</v>
      </c>
      <c r="DT102" s="106">
        <f>+_xlfn.XLOOKUP($CT102,Budget!$A:$A,Budget!DB:DB)</f>
        <v>0</v>
      </c>
      <c r="DU102" s="106">
        <f t="shared" si="1219"/>
        <v>0</v>
      </c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106">
        <f t="shared" si="1220"/>
        <v>0</v>
      </c>
      <c r="EJ102" s="16" t="str">
        <f t="shared" si="966"/>
        <v>Refreshment Expenses -Delivery</v>
      </c>
      <c r="EK102" s="22">
        <f>+VLOOKUP($BD102,'Jan-25'!$A:$J,10,0)</f>
        <v>0</v>
      </c>
      <c r="EL102" s="22">
        <f>+VLOOKUP($BD102,'Feb-25'!$A:$J,10,0)</f>
        <v>0</v>
      </c>
      <c r="EM102" s="22">
        <f>+VLOOKUP($BD102,'Mar-25'!$A:$J,10,0)</f>
        <v>0</v>
      </c>
      <c r="EN102" s="22">
        <f>+VLOOKUP($BD102,'Apr-25'!$A:$J,10,0)</f>
        <v>0</v>
      </c>
      <c r="EO102" s="22">
        <f>+VLOOKUP($BD102,'May-25'!$A:$J,10,0)</f>
        <v>0</v>
      </c>
      <c r="EP102" s="22">
        <f>+VLOOKUP($BD102,'June-25'!$A:$J,10,0)</f>
        <v>2828.576</v>
      </c>
      <c r="EQ102" s="22">
        <f>+VLOOKUP($BD102,'July-25'!$A:$J,10,0)</f>
        <v>0</v>
      </c>
      <c r="ER102" s="22">
        <f>+VLOOKUP($BD102,'Aug-25'!$A:$J,10,0)</f>
        <v>0</v>
      </c>
      <c r="ES102" s="22">
        <f>+VLOOKUP($BD102,'Sep-25'!$A:$J,10,0)</f>
        <v>0</v>
      </c>
      <c r="ET102" s="22">
        <f>+VLOOKUP($BD102,'Oct-25'!$A:$J,10,0)</f>
        <v>0</v>
      </c>
      <c r="EU102" s="22">
        <f>+VLOOKUP($BD102,'Nov-25'!$A:$J,10,0)</f>
        <v>0</v>
      </c>
      <c r="EV102" s="22">
        <f>+VLOOKUP($BD102,'Dec-25'!$A:$J,10,0)</f>
        <v>0</v>
      </c>
      <c r="EW102" s="22">
        <f t="shared" si="1221"/>
        <v>2828.576</v>
      </c>
      <c r="EX102" s="118" t="e">
        <f t="shared" si="1226"/>
        <v>#DIV/0!</v>
      </c>
      <c r="EY102" s="106">
        <f>+_xlfn.XLOOKUP($EJ102,Budget!$A:$A,Budget!DR:DR)</f>
        <v>0</v>
      </c>
      <c r="EZ102" s="106">
        <f>+_xlfn.XLOOKUP($EJ102,Budget!$A:$A,Budget!DS:DS)</f>
        <v>0</v>
      </c>
      <c r="FA102" s="106">
        <f>+_xlfn.XLOOKUP($EJ102,Budget!$A:$A,Budget!DT:DT)</f>
        <v>0</v>
      </c>
      <c r="FB102" s="106">
        <f>+_xlfn.XLOOKUP($EJ102,Budget!$A:$A,Budget!DU:DU)</f>
        <v>0</v>
      </c>
      <c r="FC102" s="106">
        <f>+_xlfn.XLOOKUP($EJ102,Budget!$A:$A,Budget!DV:DV)</f>
        <v>0</v>
      </c>
      <c r="FD102" s="106">
        <f>+_xlfn.XLOOKUP($EJ102,Budget!$A:$A,Budget!DW:DW)</f>
        <v>0</v>
      </c>
      <c r="FE102" s="106">
        <f>+_xlfn.XLOOKUP($EJ102,Budget!$A:$A,Budget!DX:DX)</f>
        <v>0</v>
      </c>
      <c r="FF102" s="106">
        <f>+_xlfn.XLOOKUP($EJ102,Budget!$A:$A,Budget!DY:DY)</f>
        <v>0</v>
      </c>
      <c r="FG102" s="106">
        <f>+_xlfn.XLOOKUP($EJ102,Budget!$A:$A,Budget!DZ:DZ)</f>
        <v>0</v>
      </c>
      <c r="FH102" s="106">
        <f>+_xlfn.XLOOKUP($EJ102,Budget!$A:$A,Budget!EA:EA)</f>
        <v>0</v>
      </c>
      <c r="FI102" s="106">
        <f>+_xlfn.XLOOKUP($EJ102,Budget!$A:$A,Budget!EB:EB)</f>
        <v>0</v>
      </c>
      <c r="FJ102" s="106">
        <f>+_xlfn.XLOOKUP($EJ102,Budget!$A:$A,Budget!EC:EC)</f>
        <v>0</v>
      </c>
      <c r="FK102" s="106">
        <f t="shared" si="1222"/>
        <v>0</v>
      </c>
    </row>
    <row r="103" spans="1:167" ht="14.45" hidden="1" customHeight="1" outlineLevel="2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18">
        <f t="shared" si="1223"/>
        <v>0</v>
      </c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Q103" s="106">
        <v>0</v>
      </c>
      <c r="AR103" s="106">
        <v>0</v>
      </c>
      <c r="AS103" s="106">
        <v>0</v>
      </c>
      <c r="AT103" s="106">
        <v>0</v>
      </c>
      <c r="AU103" s="106">
        <v>0</v>
      </c>
      <c r="AV103" s="106">
        <v>0</v>
      </c>
      <c r="AW103" s="106">
        <v>0</v>
      </c>
      <c r="AX103" s="106">
        <v>0</v>
      </c>
      <c r="AY103" s="106">
        <v>0</v>
      </c>
      <c r="AZ103" s="106">
        <v>0</v>
      </c>
      <c r="BA103" s="106">
        <v>0</v>
      </c>
      <c r="BB103" s="106">
        <v>0</v>
      </c>
      <c r="BC103" s="106"/>
      <c r="BD103" s="16">
        <f t="shared" si="900"/>
        <v>0</v>
      </c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18">
        <f t="shared" si="1224"/>
        <v>0</v>
      </c>
      <c r="BS103" s="106"/>
      <c r="BT103" s="106"/>
      <c r="BU103" s="106"/>
      <c r="BV103" s="106"/>
      <c r="BW103" s="106"/>
      <c r="BX103" s="106"/>
      <c r="BY103" s="106"/>
      <c r="BZ103" s="106"/>
      <c r="CA103" s="106"/>
      <c r="CB103" s="106"/>
      <c r="CC103" s="106"/>
      <c r="CD103" s="106"/>
      <c r="CE103" s="106"/>
      <c r="CF103" s="106"/>
      <c r="CG103" s="106">
        <v>0</v>
      </c>
      <c r="CH103" s="106">
        <v>0</v>
      </c>
      <c r="CI103" s="106">
        <v>0</v>
      </c>
      <c r="CJ103" s="106">
        <v>0</v>
      </c>
      <c r="CK103" s="106">
        <v>0</v>
      </c>
      <c r="CL103" s="106">
        <v>0</v>
      </c>
      <c r="CM103" s="106">
        <v>0</v>
      </c>
      <c r="CN103" s="106">
        <v>0</v>
      </c>
      <c r="CO103" s="106">
        <v>0</v>
      </c>
      <c r="CP103" s="106">
        <v>0</v>
      </c>
      <c r="CQ103" s="106">
        <v>0</v>
      </c>
      <c r="CR103" s="106">
        <v>0</v>
      </c>
      <c r="CS103" s="106"/>
      <c r="CT103" s="16">
        <f t="shared" si="901"/>
        <v>0</v>
      </c>
      <c r="CU103" s="106"/>
      <c r="CV103" s="106"/>
      <c r="CW103" s="106"/>
      <c r="CX103" s="106"/>
      <c r="CY103" s="106"/>
      <c r="CZ103" s="106"/>
      <c r="DA103" s="106"/>
      <c r="DB103" s="106"/>
      <c r="DC103" s="106"/>
      <c r="DD103" s="106"/>
      <c r="DE103" s="106"/>
      <c r="DF103" s="106"/>
      <c r="DG103" s="106"/>
      <c r="DH103" s="118">
        <f t="shared" si="1225"/>
        <v>0</v>
      </c>
      <c r="DI103" s="106"/>
      <c r="DJ103" s="106"/>
      <c r="DK103" s="106"/>
      <c r="DL103" s="106"/>
      <c r="DM103" s="106"/>
      <c r="DN103" s="106"/>
      <c r="DO103" s="106"/>
      <c r="DP103" s="106"/>
      <c r="DQ103" s="106"/>
      <c r="DR103" s="106"/>
      <c r="DS103" s="106"/>
      <c r="DT103" s="106"/>
      <c r="DU103" s="106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106"/>
      <c r="EJ103" s="16">
        <f t="shared" si="966"/>
        <v>0</v>
      </c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118" t="e">
        <f t="shared" si="1226"/>
        <v>#DIV/0!</v>
      </c>
      <c r="EY103" s="106"/>
      <c r="EZ103" s="106"/>
      <c r="FA103" s="106"/>
      <c r="FB103" s="106"/>
      <c r="FC103" s="106"/>
      <c r="FD103" s="106"/>
      <c r="FE103" s="106"/>
      <c r="FF103" s="106"/>
      <c r="FG103" s="106"/>
      <c r="FH103" s="106"/>
      <c r="FI103" s="106"/>
      <c r="FJ103" s="106"/>
      <c r="FK103" s="106"/>
    </row>
    <row r="104" spans="1:167" ht="14.45" customHeight="1" collapsed="1">
      <c r="A104" s="58">
        <f t="shared" ref="A104:M104" si="1227">+SUM(A105:A113)</f>
        <v>4151.8</v>
      </c>
      <c r="B104" s="58">
        <f t="shared" si="1227"/>
        <v>0</v>
      </c>
      <c r="C104" s="58">
        <f t="shared" si="1227"/>
        <v>0</v>
      </c>
      <c r="D104" s="58">
        <f t="shared" si="1227"/>
        <v>0</v>
      </c>
      <c r="E104" s="58">
        <f t="shared" si="1227"/>
        <v>45676.800000000003</v>
      </c>
      <c r="F104" s="58">
        <f t="shared" si="1227"/>
        <v>0</v>
      </c>
      <c r="G104" s="58">
        <f t="shared" si="1227"/>
        <v>0</v>
      </c>
      <c r="H104" s="58">
        <f t="shared" si="1227"/>
        <v>1455.8400000000011</v>
      </c>
      <c r="I104" s="58">
        <f t="shared" si="1227"/>
        <v>15290</v>
      </c>
      <c r="J104" s="58">
        <f t="shared" si="1227"/>
        <v>47406.42</v>
      </c>
      <c r="K104" s="58">
        <f t="shared" si="1227"/>
        <v>0</v>
      </c>
      <c r="L104" s="58">
        <f t="shared" si="1227"/>
        <v>0</v>
      </c>
      <c r="M104" s="58">
        <f t="shared" si="1227"/>
        <v>113980.86</v>
      </c>
      <c r="N104" s="17" t="s">
        <v>84</v>
      </c>
      <c r="O104" s="58">
        <f t="shared" ref="O104" si="1228">+SUM(O105:O113)</f>
        <v>0</v>
      </c>
      <c r="P104" s="58">
        <f t="shared" ref="P104" si="1229">+SUM(P105:P113)</f>
        <v>4140</v>
      </c>
      <c r="Q104" s="58">
        <f t="shared" ref="Q104" si="1230">+SUM(Q105:Q113)</f>
        <v>16695.900000000001</v>
      </c>
      <c r="R104" s="58">
        <f t="shared" ref="R104" si="1231">+SUM(R105:R113)</f>
        <v>18540</v>
      </c>
      <c r="S104" s="58">
        <f t="shared" ref="S104" si="1232">+SUM(S105:S113)</f>
        <v>81925.172000000006</v>
      </c>
      <c r="T104" s="58">
        <f t="shared" ref="T104" si="1233">+SUM(T105:T113)</f>
        <v>11700</v>
      </c>
      <c r="U104" s="58">
        <f t="shared" ref="U104" si="1234">+SUM(U105:U113)</f>
        <v>5400</v>
      </c>
      <c r="V104" s="58">
        <f t="shared" ref="V104" si="1235">+SUM(V105:V113)</f>
        <v>92064.42</v>
      </c>
      <c r="W104" s="58">
        <f t="shared" ref="W104" si="1236">+SUM(W105:W113)</f>
        <v>0</v>
      </c>
      <c r="X104" s="58">
        <f t="shared" ref="X104" si="1237">+SUM(X105:X113)</f>
        <v>16200</v>
      </c>
      <c r="Y104" s="58">
        <f t="shared" ref="Y104" si="1238">+SUM(Y105:Y113)</f>
        <v>0</v>
      </c>
      <c r="Z104" s="58">
        <f t="shared" ref="Z104" si="1239">+SUM(Z105:Z113)</f>
        <v>0</v>
      </c>
      <c r="AA104" s="58">
        <f t="shared" ref="AA104" si="1240">+SUM(AA105:AA113)</f>
        <v>246665.49200000003</v>
      </c>
      <c r="AB104" s="118">
        <f t="shared" si="1223"/>
        <v>-0.89820839994043566</v>
      </c>
      <c r="AC104" s="58">
        <f t="shared" ref="AC104" si="1241">+SUM(AC105:AC113)</f>
        <v>68844.608891249998</v>
      </c>
      <c r="AD104" s="58">
        <f t="shared" ref="AD104" si="1242">+SUM(AD105:AD113)</f>
        <v>68128.170191500001</v>
      </c>
      <c r="AE104" s="58">
        <f t="shared" ref="AE104" si="1243">+SUM(AE105:AE113)</f>
        <v>68373.257292250011</v>
      </c>
      <c r="AF104" s="58">
        <f t="shared" ref="AF104" si="1244">+SUM(AF105:AF113)</f>
        <v>57071.568104128004</v>
      </c>
      <c r="AG104" s="58">
        <f t="shared" ref="AG104" si="1245">+SUM(AG105:AG113)</f>
        <v>221745.66137295999</v>
      </c>
      <c r="AH104" s="58">
        <f t="shared" ref="AH104" si="1246">+SUM(AH105:AH113)</f>
        <v>176114.44938040001</v>
      </c>
      <c r="AI104" s="58">
        <f t="shared" ref="AI104" si="1247">+SUM(AI105:AI113)</f>
        <v>177200.29178783999</v>
      </c>
      <c r="AJ104" s="58">
        <f t="shared" ref="AJ104" si="1248">+SUM(AJ105:AJ113)</f>
        <v>186396.97401621001</v>
      </c>
      <c r="AK104" s="58">
        <f t="shared" ref="AK104" si="1249">+SUM(AK105:AK113)</f>
        <v>205806.32183294999</v>
      </c>
      <c r="AL104" s="58">
        <f t="shared" ref="AL104" si="1250">+SUM(AL105:AL113)</f>
        <v>159148.69194039999</v>
      </c>
      <c r="AM104" s="58">
        <f t="shared" ref="AM104" si="1251">+SUM(AM105:AM113)</f>
        <v>157687.78555232001</v>
      </c>
      <c r="AN104" s="58">
        <f t="shared" ref="AN104" si="1252">+SUM(AN105:AN113)</f>
        <v>149751.99205127999</v>
      </c>
      <c r="AO104" s="58">
        <f t="shared" ref="AO104" si="1253">+SUM(AO105:AO113)</f>
        <v>1696269.772413488</v>
      </c>
      <c r="AQ104" s="58">
        <f t="shared" ref="AQ104:CE104" si="1254">+SUM(AQ105:AQ113)</f>
        <v>2448</v>
      </c>
      <c r="AR104" s="58">
        <f t="shared" si="1254"/>
        <v>0</v>
      </c>
      <c r="AS104" s="58">
        <f t="shared" si="1254"/>
        <v>0</v>
      </c>
      <c r="AT104" s="58">
        <f t="shared" si="1254"/>
        <v>0</v>
      </c>
      <c r="AU104" s="58">
        <f t="shared" si="1254"/>
        <v>30451.200000000001</v>
      </c>
      <c r="AV104" s="58">
        <f t="shared" si="1254"/>
        <v>0</v>
      </c>
      <c r="AW104" s="58">
        <f t="shared" si="1254"/>
        <v>0</v>
      </c>
      <c r="AX104" s="58">
        <f t="shared" si="1254"/>
        <v>970.56000000000063</v>
      </c>
      <c r="AY104" s="58">
        <f t="shared" si="1254"/>
        <v>0</v>
      </c>
      <c r="AZ104" s="58">
        <f t="shared" si="1254"/>
        <v>47406.42</v>
      </c>
      <c r="BA104" s="58">
        <f t="shared" si="1254"/>
        <v>0</v>
      </c>
      <c r="BB104" s="58">
        <f t="shared" si="1254"/>
        <v>0</v>
      </c>
      <c r="BC104" s="58">
        <f t="shared" si="1254"/>
        <v>81276.179999999993</v>
      </c>
      <c r="BD104" s="17" t="str">
        <f t="shared" si="900"/>
        <v>Marketing Expenses</v>
      </c>
      <c r="BE104" s="58">
        <f t="shared" si="1254"/>
        <v>0</v>
      </c>
      <c r="BF104" s="58">
        <f t="shared" ref="BF104:BP104" si="1255">+SUM(BF105:BF113)</f>
        <v>2760</v>
      </c>
      <c r="BG104" s="58">
        <f t="shared" si="1255"/>
        <v>11130.6</v>
      </c>
      <c r="BH104" s="58">
        <f t="shared" si="1255"/>
        <v>12360</v>
      </c>
      <c r="BI104" s="58">
        <f t="shared" si="1255"/>
        <v>1800</v>
      </c>
      <c r="BJ104" s="58">
        <f t="shared" si="1255"/>
        <v>7800</v>
      </c>
      <c r="BK104" s="58">
        <f t="shared" si="1255"/>
        <v>3600</v>
      </c>
      <c r="BL104" s="58">
        <f t="shared" si="1255"/>
        <v>61376.28</v>
      </c>
      <c r="BM104" s="58">
        <f t="shared" si="1255"/>
        <v>0</v>
      </c>
      <c r="BN104" s="58">
        <f t="shared" si="1255"/>
        <v>10800</v>
      </c>
      <c r="BO104" s="58">
        <f t="shared" si="1255"/>
        <v>0</v>
      </c>
      <c r="BP104" s="58">
        <f t="shared" si="1255"/>
        <v>0</v>
      </c>
      <c r="BQ104" s="58">
        <f t="shared" si="1254"/>
        <v>111626.88</v>
      </c>
      <c r="BR104" s="118">
        <f t="shared" si="1224"/>
        <v>-0.74911883717921735</v>
      </c>
      <c r="BS104" s="58">
        <f t="shared" si="1254"/>
        <v>44841.947771250008</v>
      </c>
      <c r="BT104" s="58">
        <f t="shared" si="1254"/>
        <v>43560.749263500002</v>
      </c>
      <c r="BU104" s="58">
        <f t="shared" si="1254"/>
        <v>39717.153740250003</v>
      </c>
      <c r="BV104" s="58">
        <f t="shared" si="1254"/>
        <v>38374.457704128006</v>
      </c>
      <c r="BW104" s="58">
        <f t="shared" si="1254"/>
        <v>41818.319292960005</v>
      </c>
      <c r="BX104" s="58">
        <f t="shared" si="1254"/>
        <v>43048.269860399996</v>
      </c>
      <c r="BY104" s="58">
        <f t="shared" si="1254"/>
        <v>44278.22042784001</v>
      </c>
      <c r="BZ104" s="58">
        <f t="shared" si="1254"/>
        <v>45661.914816210003</v>
      </c>
      <c r="CA104" s="58">
        <f t="shared" si="1254"/>
        <v>48429.303592950004</v>
      </c>
      <c r="CB104" s="58">
        <f t="shared" si="1254"/>
        <v>43048.269860399996</v>
      </c>
      <c r="CC104" s="58">
        <f t="shared" si="1254"/>
        <v>34438.615888320004</v>
      </c>
      <c r="CD104" s="58">
        <f t="shared" si="1254"/>
        <v>45508.170995280001</v>
      </c>
      <c r="CE104" s="58">
        <f t="shared" si="1254"/>
        <v>512725.39321348799</v>
      </c>
      <c r="CF104" s="106"/>
      <c r="CG104" s="58">
        <f t="shared" ref="CG104:CS104" si="1256">+SUM(CG105:CG113)</f>
        <v>1703.8</v>
      </c>
      <c r="CH104" s="58">
        <f t="shared" si="1256"/>
        <v>0</v>
      </c>
      <c r="CI104" s="58">
        <f t="shared" si="1256"/>
        <v>0</v>
      </c>
      <c r="CJ104" s="58">
        <f t="shared" si="1256"/>
        <v>0</v>
      </c>
      <c r="CK104" s="58">
        <f t="shared" si="1256"/>
        <v>15225.6</v>
      </c>
      <c r="CL104" s="58">
        <f t="shared" si="1256"/>
        <v>0</v>
      </c>
      <c r="CM104" s="58">
        <f t="shared" si="1256"/>
        <v>0</v>
      </c>
      <c r="CN104" s="58">
        <f t="shared" si="1256"/>
        <v>485.28000000000031</v>
      </c>
      <c r="CO104" s="58">
        <f t="shared" si="1256"/>
        <v>15290</v>
      </c>
      <c r="CP104" s="58">
        <f t="shared" si="1256"/>
        <v>0</v>
      </c>
      <c r="CQ104" s="58">
        <f t="shared" si="1256"/>
        <v>0</v>
      </c>
      <c r="CR104" s="58">
        <f t="shared" si="1256"/>
        <v>0</v>
      </c>
      <c r="CS104" s="58">
        <f t="shared" si="1256"/>
        <v>32704.68</v>
      </c>
      <c r="CT104" s="17" t="str">
        <f t="shared" si="901"/>
        <v>Marketing Expenses</v>
      </c>
      <c r="CU104" s="58">
        <f t="shared" ref="CU104:DU104" si="1257">+SUM(CU105:CU113)</f>
        <v>0</v>
      </c>
      <c r="CV104" s="58">
        <f t="shared" si="1257"/>
        <v>1380</v>
      </c>
      <c r="CW104" s="58">
        <f t="shared" si="1257"/>
        <v>5565.3</v>
      </c>
      <c r="CX104" s="58">
        <f t="shared" si="1257"/>
        <v>6180</v>
      </c>
      <c r="CY104" s="58">
        <f t="shared" si="1257"/>
        <v>900</v>
      </c>
      <c r="CZ104" s="58">
        <f t="shared" si="1257"/>
        <v>3900</v>
      </c>
      <c r="DA104" s="58">
        <f t="shared" si="1257"/>
        <v>1800</v>
      </c>
      <c r="DB104" s="58">
        <f t="shared" si="1257"/>
        <v>30688.14</v>
      </c>
      <c r="DC104" s="58">
        <f t="shared" si="1257"/>
        <v>0</v>
      </c>
      <c r="DD104" s="58">
        <f t="shared" si="1257"/>
        <v>5400</v>
      </c>
      <c r="DE104" s="58">
        <f t="shared" si="1257"/>
        <v>0</v>
      </c>
      <c r="DF104" s="58">
        <f t="shared" si="1257"/>
        <v>0</v>
      </c>
      <c r="DG104" s="58">
        <f t="shared" si="1257"/>
        <v>55813.440000000002</v>
      </c>
      <c r="DH104" s="118">
        <f t="shared" si="1225"/>
        <v>-0.94907287262699314</v>
      </c>
      <c r="DI104" s="58">
        <f t="shared" si="1257"/>
        <v>16237.029120000001</v>
      </c>
      <c r="DJ104" s="58">
        <f t="shared" si="1257"/>
        <v>17319.497728000002</v>
      </c>
      <c r="DK104" s="58">
        <f t="shared" si="1257"/>
        <v>20566.903552000003</v>
      </c>
      <c r="DL104" s="58">
        <f t="shared" si="1257"/>
        <v>11449.1872</v>
      </c>
      <c r="DM104" s="58">
        <f t="shared" si="1257"/>
        <v>171298.86207999999</v>
      </c>
      <c r="DN104" s="58">
        <f t="shared" si="1257"/>
        <v>124437.69952000001</v>
      </c>
      <c r="DO104" s="58">
        <f t="shared" si="1257"/>
        <v>123215.03135999999</v>
      </c>
      <c r="DP104" s="58">
        <f t="shared" si="1257"/>
        <v>131387.5392</v>
      </c>
      <c r="DQ104" s="58">
        <f t="shared" si="1257"/>
        <v>148446.54144</v>
      </c>
      <c r="DR104" s="58">
        <f t="shared" si="1257"/>
        <v>106033.86207999999</v>
      </c>
      <c r="DS104" s="58">
        <f t="shared" si="1257"/>
        <v>112823.089664</v>
      </c>
      <c r="DT104" s="58">
        <f t="shared" si="1257"/>
        <v>93026.79705600001</v>
      </c>
      <c r="DU104" s="58">
        <f t="shared" si="1257"/>
        <v>1076242.04</v>
      </c>
      <c r="DW104" s="28">
        <f t="shared" ref="DW104:EI104" si="1258">+SUM(DW105:DW113)</f>
        <v>0</v>
      </c>
      <c r="DX104" s="28">
        <f t="shared" si="1258"/>
        <v>0</v>
      </c>
      <c r="DY104" s="28">
        <f t="shared" si="1258"/>
        <v>0</v>
      </c>
      <c r="DZ104" s="28">
        <f t="shared" si="1258"/>
        <v>0</v>
      </c>
      <c r="EA104" s="28">
        <f t="shared" si="1258"/>
        <v>0</v>
      </c>
      <c r="EB104" s="28">
        <f t="shared" si="1258"/>
        <v>0</v>
      </c>
      <c r="EC104" s="28">
        <f t="shared" si="1258"/>
        <v>0</v>
      </c>
      <c r="ED104" s="28">
        <f t="shared" si="1258"/>
        <v>0</v>
      </c>
      <c r="EE104" s="28">
        <f t="shared" si="1258"/>
        <v>0</v>
      </c>
      <c r="EF104" s="28">
        <f t="shared" si="1258"/>
        <v>0</v>
      </c>
      <c r="EG104" s="28">
        <f t="shared" si="1258"/>
        <v>0</v>
      </c>
      <c r="EH104" s="28">
        <f t="shared" si="1258"/>
        <v>0</v>
      </c>
      <c r="EI104" s="58">
        <f t="shared" si="1258"/>
        <v>0</v>
      </c>
      <c r="EJ104" s="17" t="str">
        <f t="shared" si="966"/>
        <v>Marketing Expenses</v>
      </c>
      <c r="EK104" s="28">
        <f t="shared" ref="EK104:EV104" si="1259">+SUM(EK105:EK113)</f>
        <v>0</v>
      </c>
      <c r="EL104" s="28">
        <f t="shared" si="1259"/>
        <v>0</v>
      </c>
      <c r="EM104" s="28">
        <f t="shared" si="1259"/>
        <v>0</v>
      </c>
      <c r="EN104" s="28">
        <f t="shared" si="1259"/>
        <v>0</v>
      </c>
      <c r="EO104" s="28">
        <f t="shared" si="1259"/>
        <v>79225.172000000006</v>
      </c>
      <c r="EP104" s="28">
        <f t="shared" si="1259"/>
        <v>0</v>
      </c>
      <c r="EQ104" s="28">
        <f t="shared" si="1259"/>
        <v>0</v>
      </c>
      <c r="ER104" s="28">
        <f t="shared" si="1259"/>
        <v>0</v>
      </c>
      <c r="ES104" s="28">
        <f t="shared" si="1259"/>
        <v>0</v>
      </c>
      <c r="ET104" s="28">
        <f t="shared" si="1259"/>
        <v>0</v>
      </c>
      <c r="EU104" s="28">
        <f t="shared" si="1259"/>
        <v>0</v>
      </c>
      <c r="EV104" s="28">
        <f t="shared" si="1259"/>
        <v>0</v>
      </c>
      <c r="EW104" s="28">
        <f t="shared" ref="EW104" si="1260">+SUM(EW105:EW113)</f>
        <v>79225.172000000006</v>
      </c>
      <c r="EX104" s="118">
        <f t="shared" si="1226"/>
        <v>-1</v>
      </c>
      <c r="EY104" s="58">
        <f t="shared" ref="EY104:FK104" si="1261">+SUM(EY105:EY113)</f>
        <v>7765.6320000000005</v>
      </c>
      <c r="EZ104" s="58">
        <f t="shared" si="1261"/>
        <v>7247.923200000002</v>
      </c>
      <c r="FA104" s="58">
        <f t="shared" si="1261"/>
        <v>8089.2000000000016</v>
      </c>
      <c r="FB104" s="58">
        <f t="shared" si="1261"/>
        <v>7247.923200000002</v>
      </c>
      <c r="FC104" s="58">
        <f t="shared" si="1261"/>
        <v>8628.48</v>
      </c>
      <c r="FD104" s="58">
        <f t="shared" si="1261"/>
        <v>8628.48</v>
      </c>
      <c r="FE104" s="58">
        <f t="shared" si="1261"/>
        <v>9707.0400000000009</v>
      </c>
      <c r="FF104" s="58">
        <f t="shared" si="1261"/>
        <v>9347.5200000000023</v>
      </c>
      <c r="FG104" s="58">
        <f t="shared" si="1261"/>
        <v>8930.4768000000022</v>
      </c>
      <c r="FH104" s="58">
        <f t="shared" si="1261"/>
        <v>10066.56</v>
      </c>
      <c r="FI104" s="58">
        <f t="shared" si="1261"/>
        <v>10426.08</v>
      </c>
      <c r="FJ104" s="58">
        <f t="shared" si="1261"/>
        <v>11217.024000000001</v>
      </c>
      <c r="FK104" s="58">
        <f t="shared" si="1261"/>
        <v>107302.33920000002</v>
      </c>
    </row>
    <row r="105" spans="1:167" ht="14.45" hidden="1" customHeight="1" outlineLevel="1">
      <c r="A105" s="106">
        <f t="shared" ref="A105:L113" si="1262">+AQ105+CG105+DW105</f>
        <v>479.8</v>
      </c>
      <c r="B105" s="106">
        <f t="shared" si="1262"/>
        <v>0</v>
      </c>
      <c r="C105" s="106">
        <f t="shared" si="1262"/>
        <v>0</v>
      </c>
      <c r="D105" s="106">
        <f t="shared" si="1262"/>
        <v>0</v>
      </c>
      <c r="E105" s="106">
        <f t="shared" si="1262"/>
        <v>0</v>
      </c>
      <c r="F105" s="106">
        <f t="shared" si="1262"/>
        <v>0</v>
      </c>
      <c r="G105" s="106">
        <f t="shared" si="1262"/>
        <v>0</v>
      </c>
      <c r="H105" s="106">
        <f t="shared" si="1262"/>
        <v>0</v>
      </c>
      <c r="I105" s="106">
        <f t="shared" si="1262"/>
        <v>0</v>
      </c>
      <c r="J105" s="106">
        <f t="shared" si="1262"/>
        <v>38306.42</v>
      </c>
      <c r="K105" s="106">
        <f t="shared" si="1262"/>
        <v>0</v>
      </c>
      <c r="L105" s="106">
        <f t="shared" si="1262"/>
        <v>0</v>
      </c>
      <c r="M105" s="106">
        <f t="shared" ref="M105:M113" si="1263">+SUM(A105:L105)</f>
        <v>38786.22</v>
      </c>
      <c r="N105" s="16" t="s">
        <v>85</v>
      </c>
      <c r="O105" s="106">
        <f t="shared" ref="O105:O113" si="1264">+BE105+CU105+EK105</f>
        <v>0</v>
      </c>
      <c r="P105" s="106">
        <f t="shared" ref="P105:P113" si="1265">+BF105+CV105+EL105</f>
        <v>0</v>
      </c>
      <c r="Q105" s="106">
        <f t="shared" ref="Q105:Q113" si="1266">+BG105+CW105+EM105</f>
        <v>0</v>
      </c>
      <c r="R105" s="106">
        <f t="shared" ref="R105:R113" si="1267">+BH105+CX105+EN105</f>
        <v>0</v>
      </c>
      <c r="S105" s="106">
        <f t="shared" ref="S105:S113" si="1268">+BI105+CY105+EO105</f>
        <v>0</v>
      </c>
      <c r="T105" s="106">
        <f t="shared" ref="T105:T113" si="1269">+BJ105+CZ105+EP105</f>
        <v>0</v>
      </c>
      <c r="U105" s="106">
        <f t="shared" ref="U105:U113" si="1270">+BK105+DA105+EQ105</f>
        <v>0</v>
      </c>
      <c r="V105" s="106">
        <f t="shared" ref="V105:V113" si="1271">+BL105+DB105+ER105</f>
        <v>0</v>
      </c>
      <c r="W105" s="106">
        <f t="shared" ref="W105:W113" si="1272">+BM105+DC105+ES105</f>
        <v>0</v>
      </c>
      <c r="X105" s="106">
        <f t="shared" ref="X105:X113" si="1273">+BN105+DD105+ET105</f>
        <v>0</v>
      </c>
      <c r="Y105" s="106">
        <f t="shared" ref="Y105:Y113" si="1274">+BO105+DE105+EU105</f>
        <v>0</v>
      </c>
      <c r="Z105" s="106">
        <f t="shared" ref="Z105:Z113" si="1275">+BP105+DF105+EV105</f>
        <v>0</v>
      </c>
      <c r="AA105" s="106">
        <f t="shared" ref="AA105:AA113" si="1276">+SUM(O105:Z105)</f>
        <v>0</v>
      </c>
      <c r="AB105" s="118">
        <f t="shared" si="1223"/>
        <v>-1</v>
      </c>
      <c r="AC105" s="106">
        <f t="shared" ref="AC105:AC113" si="1277">+BS105+DI105+EY105</f>
        <v>16362.596981250004</v>
      </c>
      <c r="AD105" s="106">
        <f t="shared" ref="AD105:AD113" si="1278">+BT105+DJ105+EZ105</f>
        <v>16169.680267500004</v>
      </c>
      <c r="AE105" s="106">
        <f t="shared" ref="AE105:AE113" si="1279">+BU105+DK105+FA105</f>
        <v>16129.391126250004</v>
      </c>
      <c r="AF105" s="106">
        <f t="shared" ref="AF105:AF113" si="1280">+BV105+DL105+FB105</f>
        <v>13598.535529920002</v>
      </c>
      <c r="AG105" s="106">
        <f t="shared" ref="AG105:AG113" si="1281">+BW105+DM105+FC105</f>
        <v>15766.674554400002</v>
      </c>
      <c r="AH105" s="106">
        <f t="shared" ref="AH105:AH113" si="1282">+BX105+DN105+FD105</f>
        <v>16574.447405999999</v>
      </c>
      <c r="AI105" s="106">
        <f t="shared" ref="AI105:AI113" si="1283">+BY105+DO105+FE105</f>
        <v>16935.982257600004</v>
      </c>
      <c r="AJ105" s="106">
        <f t="shared" ref="AJ105:AJ113" si="1284">+BZ105+DP105+FF105</f>
        <v>18159.929815650001</v>
      </c>
      <c r="AK105" s="106">
        <f t="shared" ref="AK105:AK113" si="1285">+CA105+DQ105+FG105</f>
        <v>19022.647731750003</v>
      </c>
      <c r="AL105" s="106">
        <f t="shared" ref="AL105:AL113" si="1286">+CB105+DR105+FH105</f>
        <v>16392.736206000001</v>
      </c>
      <c r="AM105" s="106">
        <f t="shared" ref="AM105:AM113" si="1287">+CC105+DS105+FI105</f>
        <v>13647.798964800002</v>
      </c>
      <c r="AN105" s="106">
        <f t="shared" ref="AN105:AN113" si="1288">+CD105+DT105+FJ105</f>
        <v>17458.823989199998</v>
      </c>
      <c r="AO105" s="106">
        <f t="shared" ref="AO105:AO113" si="1289">+SUM(AC105:AN105)</f>
        <v>196219.24483032001</v>
      </c>
      <c r="AQ105" s="106">
        <v>0</v>
      </c>
      <c r="AR105" s="106">
        <v>0</v>
      </c>
      <c r="AS105" s="106">
        <v>0</v>
      </c>
      <c r="AT105" s="106">
        <v>0</v>
      </c>
      <c r="AU105" s="106">
        <v>0</v>
      </c>
      <c r="AV105" s="106">
        <v>0</v>
      </c>
      <c r="AW105" s="106">
        <v>0</v>
      </c>
      <c r="AX105" s="106">
        <v>0</v>
      </c>
      <c r="AY105" s="106">
        <v>0</v>
      </c>
      <c r="AZ105" s="106">
        <v>38306.42</v>
      </c>
      <c r="BA105" s="106">
        <v>0</v>
      </c>
      <c r="BB105" s="106">
        <v>0</v>
      </c>
      <c r="BC105" s="106">
        <f t="shared" ref="BC105:BC113" si="1290">+SUM(AQ105:BB105)</f>
        <v>38306.42</v>
      </c>
      <c r="BD105" s="16" t="str">
        <f t="shared" si="900"/>
        <v>CRM Activities</v>
      </c>
      <c r="BE105" s="106">
        <f>+VLOOKUP($BD105,'Jan-25'!$A:$J,5,0)</f>
        <v>0</v>
      </c>
      <c r="BF105" s="106">
        <f>+VLOOKUP($BD105,'Feb-25'!$A:$J,5,0)</f>
        <v>0</v>
      </c>
      <c r="BG105" s="106">
        <f>+VLOOKUP($BD105,'Mar-25'!$A:$J,5,0)</f>
        <v>0</v>
      </c>
      <c r="BH105" s="106">
        <f>+VLOOKUP($BD105,'Apr-25'!$A:$J,5,0)</f>
        <v>0</v>
      </c>
      <c r="BI105" s="106">
        <f>+VLOOKUP($BD105,'May-25'!$A:$J,5,0)</f>
        <v>0</v>
      </c>
      <c r="BJ105" s="106">
        <f>+VLOOKUP($BD105,'June-25'!$A:$J,5,0)</f>
        <v>0</v>
      </c>
      <c r="BK105" s="106">
        <f>+VLOOKUP($BD105,'July-25'!$A:$J,5,0)</f>
        <v>0</v>
      </c>
      <c r="BL105" s="106">
        <f>+VLOOKUP($BD105,'Aug-25'!$A:$J,5,0)</f>
        <v>0</v>
      </c>
      <c r="BM105" s="106">
        <f>+VLOOKUP($BD105,'Sep-25'!$A:$J,5,0)</f>
        <v>0</v>
      </c>
      <c r="BN105" s="106">
        <f>+VLOOKUP($BD105,'Oct-25'!$A:$J,5,0)</f>
        <v>0</v>
      </c>
      <c r="BO105" s="106">
        <f>+VLOOKUP($BD105,'Nov-25'!$A:$J,5,0)</f>
        <v>0</v>
      </c>
      <c r="BP105" s="106">
        <f>+VLOOKUP($BD105,'Dec-25'!$A:$J,5,0)</f>
        <v>0</v>
      </c>
      <c r="BQ105" s="106">
        <f t="shared" ref="BQ105:BQ113" si="1291">+SUM(BE105:BP105)</f>
        <v>0</v>
      </c>
      <c r="BR105" s="118">
        <f t="shared" si="1224"/>
        <v>-1</v>
      </c>
      <c r="BS105" s="106">
        <f>+_xlfn.XLOOKUP($BD105,Budget!$A:$A,Budget!BD:BD)</f>
        <v>11034.539381250002</v>
      </c>
      <c r="BT105" s="106">
        <f>+_xlfn.XLOOKUP($BD105,Budget!$A:$A,Budget!BE:BE)</f>
        <v>10719.266827500001</v>
      </c>
      <c r="BU105" s="106">
        <f>+_xlfn.XLOOKUP($BD105,Budget!$A:$A,Budget!BF:BF)</f>
        <v>9773.4491662500022</v>
      </c>
      <c r="BV105" s="106">
        <f>+_xlfn.XLOOKUP($BD105,Budget!$A:$A,Budget!BG:BG)</f>
        <v>9443.0435299199999</v>
      </c>
      <c r="BW105" s="106">
        <f>+_xlfn.XLOOKUP($BD105,Budget!$A:$A,Budget!BH:BH)</f>
        <v>10290.496154400002</v>
      </c>
      <c r="BX105" s="106">
        <f>+_xlfn.XLOOKUP($BD105,Budget!$A:$A,Budget!BI:BI)</f>
        <v>10593.157805999999</v>
      </c>
      <c r="BY105" s="106">
        <f>+_xlfn.XLOOKUP($BD105,Budget!$A:$A,Budget!BJ:BJ)</f>
        <v>10895.819457600002</v>
      </c>
      <c r="BZ105" s="106">
        <f>+_xlfn.XLOOKUP($BD105,Budget!$A:$A,Budget!BK:BK)</f>
        <v>11236.313815650003</v>
      </c>
      <c r="CA105" s="106">
        <f>+_xlfn.XLOOKUP($BD105,Budget!$A:$A,Budget!BL:BL)</f>
        <v>11917.302531750001</v>
      </c>
      <c r="CB105" s="106">
        <f>+_xlfn.XLOOKUP($BD105,Budget!$A:$A,Budget!BM:BM)</f>
        <v>10593.157805999999</v>
      </c>
      <c r="CC105" s="106">
        <f>+_xlfn.XLOOKUP($BD105,Budget!$A:$A,Budget!BN:BN)</f>
        <v>8474.526244800003</v>
      </c>
      <c r="CD105" s="106">
        <f>+_xlfn.XLOOKUP($BD105,Budget!$A:$A,Budget!BO:BO)</f>
        <v>11198.4811092</v>
      </c>
      <c r="CE105" s="106">
        <f t="shared" ref="CE105:CE113" si="1292">+SUM(BS105:CD105)</f>
        <v>126169.55383032002</v>
      </c>
      <c r="CF105" s="106"/>
      <c r="CG105" s="110">
        <v>479.8</v>
      </c>
      <c r="CH105" s="106">
        <v>0</v>
      </c>
      <c r="CI105" s="106">
        <v>0</v>
      </c>
      <c r="CJ105" s="106">
        <v>0</v>
      </c>
      <c r="CK105" s="106">
        <v>0</v>
      </c>
      <c r="CL105" s="106">
        <v>0</v>
      </c>
      <c r="CM105" s="106">
        <v>0</v>
      </c>
      <c r="CN105" s="106">
        <v>0</v>
      </c>
      <c r="CO105" s="106">
        <v>0</v>
      </c>
      <c r="CP105" s="106">
        <v>0</v>
      </c>
      <c r="CQ105" s="106">
        <v>0</v>
      </c>
      <c r="CR105" s="106">
        <v>0</v>
      </c>
      <c r="CS105" s="106">
        <f t="shared" ref="CS105:CS113" si="1293">+SUM(CG105:CR105)</f>
        <v>479.8</v>
      </c>
      <c r="CT105" s="16" t="str">
        <f t="shared" si="901"/>
        <v>CRM Activities</v>
      </c>
      <c r="CU105" s="106">
        <f>+VLOOKUP($BD105,'Jan-25'!$A:$J,8,0)</f>
        <v>0</v>
      </c>
      <c r="CV105" s="106">
        <f>+VLOOKUP($BD105,'Feb-25'!$A:$J,8,0)</f>
        <v>0</v>
      </c>
      <c r="CW105" s="106">
        <f>+VLOOKUP($BD105,'Mar-25'!$A:$J,8,0)</f>
        <v>0</v>
      </c>
      <c r="CX105" s="106">
        <f>+VLOOKUP($BD105,'Apr-25'!$A:$J,8,0)</f>
        <v>0</v>
      </c>
      <c r="CY105" s="106">
        <f>+VLOOKUP($BD105,'May-25'!$A:$J,8,0)</f>
        <v>0</v>
      </c>
      <c r="CZ105" s="106">
        <f>+VLOOKUP($BD105,'June-25'!$A:$J,8,0)</f>
        <v>0</v>
      </c>
      <c r="DA105" s="106">
        <f>+VLOOKUP($BD105,'July-25'!$A:$J,8,0)</f>
        <v>0</v>
      </c>
      <c r="DB105" s="106">
        <f>+VLOOKUP($BD105,'Aug-25'!$A:$J,8,0)</f>
        <v>0</v>
      </c>
      <c r="DC105" s="106">
        <f>+VLOOKUP($BD105,'Sep-25'!$A:$J,8,0)</f>
        <v>0</v>
      </c>
      <c r="DD105" s="106">
        <f>+VLOOKUP($BD105,'Oct-25'!$A:$J,8,0)</f>
        <v>0</v>
      </c>
      <c r="DE105" s="106">
        <f>+VLOOKUP($BD105,'Nov-25'!$A:$J,8,0)</f>
        <v>0</v>
      </c>
      <c r="DF105" s="106">
        <f>+VLOOKUP($BD105,'Dec-25'!$A:$J,8,0)</f>
        <v>0</v>
      </c>
      <c r="DG105" s="106">
        <f t="shared" ref="DG105:DG113" si="1294">+SUM(CU105:DF105)</f>
        <v>0</v>
      </c>
      <c r="DH105" s="118">
        <f t="shared" si="1225"/>
        <v>-1</v>
      </c>
      <c r="DI105" s="106">
        <f>+_xlfn.XLOOKUP($CT105,Budget!$A:$A,Budget!CQ:CQ)</f>
        <v>3581.6976000000004</v>
      </c>
      <c r="DJ105" s="106">
        <f>+_xlfn.XLOOKUP($CT105,Budget!$A:$A,Budget!CR:CR)</f>
        <v>3820.4774400000006</v>
      </c>
      <c r="DK105" s="106">
        <f>+_xlfn.XLOOKUP($CT105,Budget!$A:$A,Budget!CS:CS)</f>
        <v>4536.816960000001</v>
      </c>
      <c r="DL105" s="106">
        <f>+_xlfn.XLOOKUP($CT105,Budget!$A:$A,Budget!CT:CT)</f>
        <v>2525.5560000000005</v>
      </c>
      <c r="DM105" s="106">
        <f>+_xlfn.XLOOKUP($CT105,Budget!$A:$A,Budget!CU:CU)</f>
        <v>3535.7784000000006</v>
      </c>
      <c r="DN105" s="106">
        <f>+_xlfn.XLOOKUP($CT105,Budget!$A:$A,Budget!CV:CV)</f>
        <v>4040.8896000000004</v>
      </c>
      <c r="DO105" s="106">
        <f>+_xlfn.XLOOKUP($CT105,Budget!$A:$A,Budget!CW:CW)</f>
        <v>3857.2128000000002</v>
      </c>
      <c r="DP105" s="106">
        <f>+_xlfn.XLOOKUP($CT105,Budget!$A:$A,Budget!CX:CX)</f>
        <v>4821.5159999999996</v>
      </c>
      <c r="DQ105" s="106">
        <f>+_xlfn.XLOOKUP($CT105,Budget!$A:$A,Budget!CY:CY)</f>
        <v>5097.0311999999994</v>
      </c>
      <c r="DR105" s="106">
        <f>+_xlfn.XLOOKUP($CT105,Budget!$A:$A,Budget!CZ:CZ)</f>
        <v>3535.7784000000006</v>
      </c>
      <c r="DS105" s="106">
        <f>+_xlfn.XLOOKUP($CT105,Budget!$A:$A,Budget!DA:DA)</f>
        <v>2828.6227200000003</v>
      </c>
      <c r="DT105" s="106">
        <f>+_xlfn.XLOOKUP($CT105,Budget!$A:$A,Budget!DB:DB)</f>
        <v>3737.8228800000002</v>
      </c>
      <c r="DU105" s="106">
        <f t="shared" ref="DU105:DU113" si="1295">+SUM(DI105:DT105)</f>
        <v>45919.200000000004</v>
      </c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106">
        <f t="shared" ref="EI105:EI113" si="1296">+SUM(DW105:EH105)</f>
        <v>0</v>
      </c>
      <c r="EJ105" s="16" t="str">
        <f t="shared" si="966"/>
        <v>CRM Activities</v>
      </c>
      <c r="EK105" s="22">
        <f>+VLOOKUP($BD105,'Jan-25'!$A:$J,10,0)</f>
        <v>0</v>
      </c>
      <c r="EL105" s="22">
        <f>+VLOOKUP($BD105,'Feb-25'!$A:$J,10,0)</f>
        <v>0</v>
      </c>
      <c r="EM105" s="22">
        <f>+VLOOKUP($BD105,'Mar-25'!$A:$J,10,0)</f>
        <v>0</v>
      </c>
      <c r="EN105" s="22">
        <f>+VLOOKUP($BD105,'Apr-25'!$A:$J,10,0)</f>
        <v>0</v>
      </c>
      <c r="EO105" s="22">
        <f>+VLOOKUP($BD105,'May-25'!$A:$J,10,0)</f>
        <v>0</v>
      </c>
      <c r="EP105" s="22">
        <f>+VLOOKUP($BD105,'June-25'!$A:$J,10,0)</f>
        <v>0</v>
      </c>
      <c r="EQ105" s="22">
        <f>+VLOOKUP($BD105,'July-25'!$A:$J,10,0)</f>
        <v>0</v>
      </c>
      <c r="ER105" s="22">
        <f>+VLOOKUP($BD105,'Aug-25'!$A:$J,10,0)</f>
        <v>0</v>
      </c>
      <c r="ES105" s="22">
        <f>+VLOOKUP($BD105,'Sep-25'!$A:$J,10,0)</f>
        <v>0</v>
      </c>
      <c r="ET105" s="22">
        <f>+VLOOKUP($BD105,'Oct-25'!$A:$J,10,0)</f>
        <v>0</v>
      </c>
      <c r="EU105" s="22">
        <f>+VLOOKUP($BD105,'Nov-25'!$A:$J,10,0)</f>
        <v>0</v>
      </c>
      <c r="EV105" s="22">
        <f>+VLOOKUP($BD105,'Dec-25'!$A:$J,10,0)</f>
        <v>0</v>
      </c>
      <c r="EW105" s="22">
        <f t="shared" ref="EW105:EW113" si="1297">+SUM(EK105:EV105)</f>
        <v>0</v>
      </c>
      <c r="EX105" s="118">
        <f t="shared" si="1226"/>
        <v>-1</v>
      </c>
      <c r="EY105" s="106">
        <f>+_xlfn.XLOOKUP($EJ105,Budget!$A:$A,Budget!DR:DR)</f>
        <v>1746.3600000000001</v>
      </c>
      <c r="EZ105" s="106">
        <f>+_xlfn.XLOOKUP($EJ105,Budget!$A:$A,Budget!DS:DS)</f>
        <v>1629.9360000000006</v>
      </c>
      <c r="FA105" s="106">
        <f>+_xlfn.XLOOKUP($EJ105,Budget!$A:$A,Budget!DT:DT)</f>
        <v>1819.1250000000005</v>
      </c>
      <c r="FB105" s="106">
        <f>+_xlfn.XLOOKUP($EJ105,Budget!$A:$A,Budget!DU:DU)</f>
        <v>1629.9360000000006</v>
      </c>
      <c r="FC105" s="106">
        <f>+_xlfn.XLOOKUP($EJ105,Budget!$A:$A,Budget!DV:DV)</f>
        <v>1940.4</v>
      </c>
      <c r="FD105" s="106">
        <f>+_xlfn.XLOOKUP($EJ105,Budget!$A:$A,Budget!DW:DW)</f>
        <v>1940.4</v>
      </c>
      <c r="FE105" s="106">
        <f>+_xlfn.XLOOKUP($EJ105,Budget!$A:$A,Budget!DX:DX)</f>
        <v>2182.9500000000007</v>
      </c>
      <c r="FF105" s="106">
        <f>+_xlfn.XLOOKUP($EJ105,Budget!$A:$A,Budget!DY:DY)</f>
        <v>2102.1000000000004</v>
      </c>
      <c r="FG105" s="106">
        <f>+_xlfn.XLOOKUP($EJ105,Budget!$A:$A,Budget!DZ:DZ)</f>
        <v>2008.3140000000005</v>
      </c>
      <c r="FH105" s="106">
        <f>+_xlfn.XLOOKUP($EJ105,Budget!$A:$A,Budget!EA:EA)</f>
        <v>2263.8000000000002</v>
      </c>
      <c r="FI105" s="106">
        <f>+_xlfn.XLOOKUP($EJ105,Budget!$A:$A,Budget!EB:EB)</f>
        <v>2344.65</v>
      </c>
      <c r="FJ105" s="106">
        <f>+_xlfn.XLOOKUP($EJ105,Budget!$A:$A,Budget!EC:EC)</f>
        <v>2522.5200000000004</v>
      </c>
      <c r="FK105" s="106">
        <f t="shared" ref="FK105:FK113" si="1298">+SUM(EY105:FJ105)</f>
        <v>24130.491000000005</v>
      </c>
    </row>
    <row r="106" spans="1:167" ht="14.45" hidden="1" customHeight="1" outlineLevel="1">
      <c r="A106" s="106">
        <f t="shared" si="1262"/>
        <v>3672</v>
      </c>
      <c r="B106" s="106">
        <f t="shared" si="1262"/>
        <v>0</v>
      </c>
      <c r="C106" s="106">
        <f t="shared" si="1262"/>
        <v>0</v>
      </c>
      <c r="D106" s="106">
        <f t="shared" si="1262"/>
        <v>0</v>
      </c>
      <c r="E106" s="106">
        <f t="shared" si="1262"/>
        <v>0</v>
      </c>
      <c r="F106" s="106">
        <f t="shared" si="1262"/>
        <v>0</v>
      </c>
      <c r="G106" s="106">
        <f t="shared" si="1262"/>
        <v>0</v>
      </c>
      <c r="H106" s="106">
        <f t="shared" si="1262"/>
        <v>0</v>
      </c>
      <c r="I106" s="106">
        <f t="shared" si="1262"/>
        <v>0</v>
      </c>
      <c r="J106" s="106">
        <f t="shared" si="1262"/>
        <v>0</v>
      </c>
      <c r="K106" s="106">
        <f t="shared" si="1262"/>
        <v>0</v>
      </c>
      <c r="L106" s="106">
        <f t="shared" si="1262"/>
        <v>0</v>
      </c>
      <c r="M106" s="106">
        <f t="shared" si="1263"/>
        <v>3672</v>
      </c>
      <c r="N106" s="16" t="s">
        <v>86</v>
      </c>
      <c r="O106" s="106">
        <f t="shared" si="1264"/>
        <v>0</v>
      </c>
      <c r="P106" s="106">
        <f t="shared" si="1265"/>
        <v>4140</v>
      </c>
      <c r="Q106" s="106">
        <f t="shared" si="1266"/>
        <v>8730</v>
      </c>
      <c r="R106" s="106">
        <f t="shared" si="1267"/>
        <v>18540</v>
      </c>
      <c r="S106" s="106">
        <f t="shared" si="1268"/>
        <v>0</v>
      </c>
      <c r="T106" s="106">
        <f t="shared" si="1269"/>
        <v>11700</v>
      </c>
      <c r="U106" s="106">
        <f t="shared" si="1270"/>
        <v>5400</v>
      </c>
      <c r="V106" s="106">
        <f t="shared" si="1271"/>
        <v>7974</v>
      </c>
      <c r="W106" s="106">
        <f t="shared" si="1272"/>
        <v>0</v>
      </c>
      <c r="X106" s="106">
        <f t="shared" si="1273"/>
        <v>16200</v>
      </c>
      <c r="Y106" s="106">
        <f t="shared" si="1274"/>
        <v>0</v>
      </c>
      <c r="Z106" s="106">
        <f t="shared" si="1275"/>
        <v>0</v>
      </c>
      <c r="AA106" s="106">
        <f t="shared" si="1276"/>
        <v>72684</v>
      </c>
      <c r="AB106" s="118">
        <f t="shared" si="1223"/>
        <v>-0.67409549227393062</v>
      </c>
      <c r="AC106" s="106">
        <f t="shared" si="1277"/>
        <v>49454.704500000007</v>
      </c>
      <c r="AD106" s="106">
        <f t="shared" si="1278"/>
        <v>48962.7598</v>
      </c>
      <c r="AE106" s="106">
        <f t="shared" si="1279"/>
        <v>49235.175700000007</v>
      </c>
      <c r="AF106" s="106">
        <f t="shared" si="1280"/>
        <v>40963.170880000005</v>
      </c>
      <c r="AG106" s="106">
        <f t="shared" si="1281"/>
        <v>47784.329599999997</v>
      </c>
      <c r="AH106" s="106">
        <f t="shared" si="1282"/>
        <v>50341.515999999996</v>
      </c>
      <c r="AI106" s="106">
        <f t="shared" si="1283"/>
        <v>51390.242400000003</v>
      </c>
      <c r="AJ106" s="106">
        <f t="shared" si="1284"/>
        <v>55324.754099999998</v>
      </c>
      <c r="AK106" s="106">
        <f t="shared" si="1285"/>
        <v>57903.9735</v>
      </c>
      <c r="AL106" s="106">
        <f t="shared" si="1286"/>
        <v>49707.811999999991</v>
      </c>
      <c r="AM106" s="106">
        <f t="shared" si="1287"/>
        <v>41498.749600000003</v>
      </c>
      <c r="AN106" s="106">
        <f t="shared" si="1288"/>
        <v>52968.258399999999</v>
      </c>
      <c r="AO106" s="106">
        <f t="shared" si="1289"/>
        <v>595535.44648000004</v>
      </c>
      <c r="AQ106" s="106">
        <v>2448</v>
      </c>
      <c r="AR106" s="106">
        <v>0</v>
      </c>
      <c r="AS106" s="106">
        <v>0</v>
      </c>
      <c r="AT106" s="106">
        <v>0</v>
      </c>
      <c r="AU106" s="106">
        <v>0</v>
      </c>
      <c r="AV106" s="106">
        <v>0</v>
      </c>
      <c r="AW106" s="106">
        <v>0</v>
      </c>
      <c r="AX106" s="106">
        <v>0</v>
      </c>
      <c r="AY106" s="106">
        <v>0</v>
      </c>
      <c r="AZ106" s="106">
        <v>0</v>
      </c>
      <c r="BA106" s="106">
        <v>0</v>
      </c>
      <c r="BB106" s="106">
        <v>0</v>
      </c>
      <c r="BC106" s="106">
        <f t="shared" si="1290"/>
        <v>2448</v>
      </c>
      <c r="BD106" s="16" t="str">
        <f t="shared" si="900"/>
        <v>Digital Marketing</v>
      </c>
      <c r="BE106" s="106">
        <f>+VLOOKUP($BD106,'Jan-25'!$A:$J,5,0)</f>
        <v>0</v>
      </c>
      <c r="BF106" s="106">
        <f>+VLOOKUP($BD106,'Feb-25'!$A:$J,5,0)</f>
        <v>2760</v>
      </c>
      <c r="BG106" s="106">
        <f>+VLOOKUP($BD106,'Mar-25'!$A:$J,5,0)</f>
        <v>5820</v>
      </c>
      <c r="BH106" s="106">
        <f>+VLOOKUP($BD106,'Apr-25'!$A:$J,5,0)</f>
        <v>12360</v>
      </c>
      <c r="BI106" s="106">
        <f>+VLOOKUP($BD106,'May-25'!$A:$J,5,0)</f>
        <v>0</v>
      </c>
      <c r="BJ106" s="106">
        <f>+VLOOKUP($BD106,'June-25'!$A:$J,5,0)</f>
        <v>7800</v>
      </c>
      <c r="BK106" s="106">
        <f>+VLOOKUP($BD106,'July-25'!$A:$J,5,0)</f>
        <v>3600</v>
      </c>
      <c r="BL106" s="106">
        <f>+VLOOKUP($BD106,'Aug-25'!$A:$J,5,0)</f>
        <v>5316</v>
      </c>
      <c r="BM106" s="106">
        <f>+VLOOKUP($BD106,'Sep-25'!$A:$J,5,0)</f>
        <v>0</v>
      </c>
      <c r="BN106" s="106">
        <f>+VLOOKUP($BD106,'Oct-25'!$A:$J,5,0)</f>
        <v>10800</v>
      </c>
      <c r="BO106" s="106">
        <f>+VLOOKUP($BD106,'Nov-25'!$A:$J,5,0)</f>
        <v>0</v>
      </c>
      <c r="BP106" s="106">
        <f>+VLOOKUP($BD106,'Dec-25'!$A:$J,5,0)</f>
        <v>0</v>
      </c>
      <c r="BQ106" s="106">
        <f t="shared" si="1291"/>
        <v>48456</v>
      </c>
      <c r="BR106" s="118">
        <f t="shared" si="1224"/>
        <v>-0.64673423463205593</v>
      </c>
      <c r="BS106" s="106">
        <f>+_xlfn.XLOOKUP($BD106,Budget!$A:$A,Budget!BD:BD)</f>
        <v>31845.712500000001</v>
      </c>
      <c r="BT106" s="106">
        <f>+_xlfn.XLOOKUP($BD106,Budget!$A:$A,Budget!BE:BE)</f>
        <v>30935.834999999999</v>
      </c>
      <c r="BU106" s="106">
        <f>+_xlfn.XLOOKUP($BD106,Budget!$A:$A,Budget!BF:BF)</f>
        <v>28206.202499999999</v>
      </c>
      <c r="BV106" s="106">
        <f>+_xlfn.XLOOKUP($BD106,Budget!$A:$A,Budget!BG:BG)</f>
        <v>27252.650880000001</v>
      </c>
      <c r="BW106" s="106">
        <f>+_xlfn.XLOOKUP($BD106,Budget!$A:$A,Budget!BH:BH)</f>
        <v>29698.401600000001</v>
      </c>
      <c r="BX106" s="106">
        <f>+_xlfn.XLOOKUP($BD106,Budget!$A:$A,Budget!BI:BI)</f>
        <v>30571.883999999995</v>
      </c>
      <c r="BY106" s="106">
        <f>+_xlfn.XLOOKUP($BD106,Budget!$A:$A,Budget!BJ:BJ)</f>
        <v>31445.366400000003</v>
      </c>
      <c r="BZ106" s="106">
        <f>+_xlfn.XLOOKUP($BD106,Budget!$A:$A,Budget!BK:BK)</f>
        <v>32428.034100000001</v>
      </c>
      <c r="CA106" s="106">
        <f>+_xlfn.XLOOKUP($BD106,Budget!$A:$A,Budget!BL:BL)</f>
        <v>34393.369500000001</v>
      </c>
      <c r="CB106" s="106">
        <f>+_xlfn.XLOOKUP($BD106,Budget!$A:$A,Budget!BM:BM)</f>
        <v>30571.883999999995</v>
      </c>
      <c r="CC106" s="106">
        <f>+_xlfn.XLOOKUP($BD106,Budget!$A:$A,Budget!BN:BN)</f>
        <v>24457.507200000004</v>
      </c>
      <c r="CD106" s="106">
        <f>+_xlfn.XLOOKUP($BD106,Budget!$A:$A,Budget!BO:BO)</f>
        <v>32318.8488</v>
      </c>
      <c r="CE106" s="106">
        <f t="shared" si="1292"/>
        <v>364125.69647999998</v>
      </c>
      <c r="CF106" s="106"/>
      <c r="CG106" s="110">
        <v>1224</v>
      </c>
      <c r="CH106" s="106">
        <v>0</v>
      </c>
      <c r="CI106" s="106">
        <v>0</v>
      </c>
      <c r="CJ106" s="106">
        <v>0</v>
      </c>
      <c r="CK106" s="106">
        <v>0</v>
      </c>
      <c r="CL106" s="106">
        <v>0</v>
      </c>
      <c r="CM106" s="106">
        <v>0</v>
      </c>
      <c r="CN106" s="106">
        <v>0</v>
      </c>
      <c r="CO106" s="106">
        <v>0</v>
      </c>
      <c r="CP106" s="106">
        <v>0</v>
      </c>
      <c r="CQ106" s="106">
        <v>0</v>
      </c>
      <c r="CR106" s="106">
        <v>0</v>
      </c>
      <c r="CS106" s="106">
        <f t="shared" si="1293"/>
        <v>1224</v>
      </c>
      <c r="CT106" s="16" t="str">
        <f t="shared" si="901"/>
        <v>Digital Marketing</v>
      </c>
      <c r="CU106" s="106">
        <f>+VLOOKUP($BD106,'Jan-25'!$A:$J,8,0)</f>
        <v>0</v>
      </c>
      <c r="CV106" s="106">
        <f>+VLOOKUP($BD106,'Feb-25'!$A:$J,8,0)</f>
        <v>1380</v>
      </c>
      <c r="CW106" s="106">
        <f>+VLOOKUP($BD106,'Mar-25'!$A:$J,8,0)</f>
        <v>2910</v>
      </c>
      <c r="CX106" s="106">
        <f>+VLOOKUP($BD106,'Apr-25'!$A:$J,8,0)</f>
        <v>6180</v>
      </c>
      <c r="CY106" s="106">
        <f>+VLOOKUP($BD106,'May-25'!$A:$J,8,0)</f>
        <v>0</v>
      </c>
      <c r="CZ106" s="106">
        <f>+VLOOKUP($BD106,'June-25'!$A:$J,8,0)</f>
        <v>3900</v>
      </c>
      <c r="DA106" s="106">
        <f>+VLOOKUP($BD106,'July-25'!$A:$J,8,0)</f>
        <v>1800</v>
      </c>
      <c r="DB106" s="106">
        <f>+VLOOKUP($BD106,'Aug-25'!$A:$J,8,0)</f>
        <v>2658</v>
      </c>
      <c r="DC106" s="106">
        <f>+VLOOKUP($BD106,'Sep-25'!$A:$J,8,0)</f>
        <v>0</v>
      </c>
      <c r="DD106" s="106">
        <f>+VLOOKUP($BD106,'Oct-25'!$A:$J,8,0)</f>
        <v>5400</v>
      </c>
      <c r="DE106" s="106">
        <f>+VLOOKUP($BD106,'Nov-25'!$A:$J,8,0)</f>
        <v>0</v>
      </c>
      <c r="DF106" s="106">
        <f>+VLOOKUP($BD106,'Dec-25'!$A:$J,8,0)</f>
        <v>0</v>
      </c>
      <c r="DG106" s="106">
        <f t="shared" si="1294"/>
        <v>24228</v>
      </c>
      <c r="DH106" s="118">
        <f t="shared" si="1225"/>
        <v>-0.54182649003116257</v>
      </c>
      <c r="DI106" s="106">
        <f>+_xlfn.XLOOKUP($CT106,Budget!$A:$A,Budget!CQ:CQ)</f>
        <v>11938.992000000002</v>
      </c>
      <c r="DJ106" s="106">
        <f>+_xlfn.XLOOKUP($CT106,Budget!$A:$A,Budget!CR:CR)</f>
        <v>12734.924800000003</v>
      </c>
      <c r="DK106" s="106">
        <f>+_xlfn.XLOOKUP($CT106,Budget!$A:$A,Budget!CS:CS)</f>
        <v>15122.723200000004</v>
      </c>
      <c r="DL106" s="106">
        <f>+_xlfn.XLOOKUP($CT106,Budget!$A:$A,Budget!CT:CT)</f>
        <v>8418.52</v>
      </c>
      <c r="DM106" s="106">
        <f>+_xlfn.XLOOKUP($CT106,Budget!$A:$A,Budget!CU:CU)</f>
        <v>11785.928</v>
      </c>
      <c r="DN106" s="106">
        <f>+_xlfn.XLOOKUP($CT106,Budget!$A:$A,Budget!CV:CV)</f>
        <v>13469.632000000001</v>
      </c>
      <c r="DO106" s="106">
        <f>+_xlfn.XLOOKUP($CT106,Budget!$A:$A,Budget!CW:CW)</f>
        <v>12857.376000000002</v>
      </c>
      <c r="DP106" s="106">
        <f>+_xlfn.XLOOKUP($CT106,Budget!$A:$A,Budget!CX:CX)</f>
        <v>16071.719999999998</v>
      </c>
      <c r="DQ106" s="106">
        <f>+_xlfn.XLOOKUP($CT106,Budget!$A:$A,Budget!CY:CY)</f>
        <v>16990.103999999999</v>
      </c>
      <c r="DR106" s="106">
        <f>+_xlfn.XLOOKUP($CT106,Budget!$A:$A,Budget!CZ:CZ)</f>
        <v>11785.928</v>
      </c>
      <c r="DS106" s="106">
        <f>+_xlfn.XLOOKUP($CT106,Budget!$A:$A,Budget!DA:DA)</f>
        <v>9428.742400000001</v>
      </c>
      <c r="DT106" s="106">
        <f>+_xlfn.XLOOKUP($CT106,Budget!$A:$A,Budget!DB:DB)</f>
        <v>12459.409599999999</v>
      </c>
      <c r="DU106" s="106">
        <f t="shared" si="1295"/>
        <v>153064</v>
      </c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106">
        <f t="shared" si="1296"/>
        <v>0</v>
      </c>
      <c r="EJ106" s="16" t="str">
        <f t="shared" si="966"/>
        <v>Digital Marketing</v>
      </c>
      <c r="EK106" s="22">
        <f>+VLOOKUP($BD106,'Jan-25'!$A:$J,10,0)</f>
        <v>0</v>
      </c>
      <c r="EL106" s="22">
        <f>+VLOOKUP($BD106,'Feb-25'!$A:$J,10,0)</f>
        <v>0</v>
      </c>
      <c r="EM106" s="22">
        <f>+VLOOKUP($BD106,'Mar-25'!$A:$J,10,0)</f>
        <v>0</v>
      </c>
      <c r="EN106" s="22">
        <f>+VLOOKUP($BD106,'Apr-25'!$A:$J,10,0)</f>
        <v>0</v>
      </c>
      <c r="EO106" s="22">
        <f>+VLOOKUP($BD106,'May-25'!$A:$J,10,0)</f>
        <v>0</v>
      </c>
      <c r="EP106" s="22">
        <f>+VLOOKUP($BD106,'June-25'!$A:$J,10,0)</f>
        <v>0</v>
      </c>
      <c r="EQ106" s="22">
        <f>+VLOOKUP($BD106,'July-25'!$A:$J,10,0)</f>
        <v>0</v>
      </c>
      <c r="ER106" s="22">
        <f>+VLOOKUP($BD106,'Aug-25'!$A:$J,10,0)</f>
        <v>0</v>
      </c>
      <c r="ES106" s="22">
        <f>+VLOOKUP($BD106,'Sep-25'!$A:$J,10,0)</f>
        <v>0</v>
      </c>
      <c r="ET106" s="22">
        <f>+VLOOKUP($BD106,'Oct-25'!$A:$J,10,0)</f>
        <v>0</v>
      </c>
      <c r="EU106" s="22">
        <f>+VLOOKUP($BD106,'Nov-25'!$A:$J,10,0)</f>
        <v>0</v>
      </c>
      <c r="EV106" s="22">
        <f>+VLOOKUP($BD106,'Dec-25'!$A:$J,10,0)</f>
        <v>0</v>
      </c>
      <c r="EW106" s="22">
        <f t="shared" si="1297"/>
        <v>0</v>
      </c>
      <c r="EX106" s="118">
        <f t="shared" si="1226"/>
        <v>-1</v>
      </c>
      <c r="EY106" s="106">
        <f>+_xlfn.XLOOKUP($EJ106,Budget!$A:$A,Budget!DR:DR)</f>
        <v>5670</v>
      </c>
      <c r="EZ106" s="106">
        <f>+_xlfn.XLOOKUP($EJ106,Budget!$A:$A,Budget!DS:DS)</f>
        <v>5292.0000000000009</v>
      </c>
      <c r="FA106" s="106">
        <f>+_xlfn.XLOOKUP($EJ106,Budget!$A:$A,Budget!DT:DT)</f>
        <v>5906.2500000000009</v>
      </c>
      <c r="FB106" s="106">
        <f>+_xlfn.XLOOKUP($EJ106,Budget!$A:$A,Budget!DU:DU)</f>
        <v>5292.0000000000009</v>
      </c>
      <c r="FC106" s="106">
        <f>+_xlfn.XLOOKUP($EJ106,Budget!$A:$A,Budget!DV:DV)</f>
        <v>6300</v>
      </c>
      <c r="FD106" s="106">
        <f>+_xlfn.XLOOKUP($EJ106,Budget!$A:$A,Budget!DW:DW)</f>
        <v>6300</v>
      </c>
      <c r="FE106" s="106">
        <f>+_xlfn.XLOOKUP($EJ106,Budget!$A:$A,Budget!DX:DX)</f>
        <v>7087.5000000000009</v>
      </c>
      <c r="FF106" s="106">
        <f>+_xlfn.XLOOKUP($EJ106,Budget!$A:$A,Budget!DY:DY)</f>
        <v>6825.0000000000009</v>
      </c>
      <c r="FG106" s="106">
        <f>+_xlfn.XLOOKUP($EJ106,Budget!$A:$A,Budget!DZ:DZ)</f>
        <v>6520.5000000000009</v>
      </c>
      <c r="FH106" s="106">
        <f>+_xlfn.XLOOKUP($EJ106,Budget!$A:$A,Budget!EA:EA)</f>
        <v>7350</v>
      </c>
      <c r="FI106" s="106">
        <f>+_xlfn.XLOOKUP($EJ106,Budget!$A:$A,Budget!EB:EB)</f>
        <v>7612.5</v>
      </c>
      <c r="FJ106" s="106">
        <f>+_xlfn.XLOOKUP($EJ106,Budget!$A:$A,Budget!EC:EC)</f>
        <v>8190.0000000000009</v>
      </c>
      <c r="FK106" s="106">
        <f t="shared" si="1298"/>
        <v>78345.75</v>
      </c>
    </row>
    <row r="107" spans="1:167" ht="14.45" hidden="1" customHeight="1" outlineLevel="1">
      <c r="A107" s="106">
        <f t="shared" si="1262"/>
        <v>0</v>
      </c>
      <c r="B107" s="106">
        <f t="shared" si="1262"/>
        <v>0</v>
      </c>
      <c r="C107" s="106">
        <f t="shared" si="1262"/>
        <v>0</v>
      </c>
      <c r="D107" s="106">
        <f t="shared" si="1262"/>
        <v>0</v>
      </c>
      <c r="E107" s="106">
        <f t="shared" si="1262"/>
        <v>0</v>
      </c>
      <c r="F107" s="106">
        <f t="shared" si="1262"/>
        <v>0</v>
      </c>
      <c r="G107" s="106">
        <f t="shared" si="1262"/>
        <v>0</v>
      </c>
      <c r="H107" s="106">
        <f t="shared" si="1262"/>
        <v>0</v>
      </c>
      <c r="I107" s="106">
        <f t="shared" si="1262"/>
        <v>0</v>
      </c>
      <c r="J107" s="106">
        <f t="shared" si="1262"/>
        <v>0</v>
      </c>
      <c r="K107" s="106">
        <f t="shared" si="1262"/>
        <v>0</v>
      </c>
      <c r="L107" s="106">
        <f t="shared" si="1262"/>
        <v>0</v>
      </c>
      <c r="M107" s="106">
        <f t="shared" si="1263"/>
        <v>0</v>
      </c>
      <c r="N107" s="16" t="s">
        <v>87</v>
      </c>
      <c r="O107" s="106">
        <f t="shared" si="1264"/>
        <v>0</v>
      </c>
      <c r="P107" s="106">
        <f t="shared" si="1265"/>
        <v>0</v>
      </c>
      <c r="Q107" s="106">
        <f t="shared" si="1266"/>
        <v>0</v>
      </c>
      <c r="R107" s="106">
        <f t="shared" si="1267"/>
        <v>0</v>
      </c>
      <c r="S107" s="106">
        <f t="shared" si="1268"/>
        <v>0</v>
      </c>
      <c r="T107" s="106">
        <f t="shared" si="1269"/>
        <v>0</v>
      </c>
      <c r="U107" s="106">
        <f t="shared" si="1270"/>
        <v>0</v>
      </c>
      <c r="V107" s="106">
        <f t="shared" si="1271"/>
        <v>0</v>
      </c>
      <c r="W107" s="106">
        <f t="shared" si="1272"/>
        <v>0</v>
      </c>
      <c r="X107" s="106">
        <f t="shared" si="1273"/>
        <v>0</v>
      </c>
      <c r="Y107" s="106">
        <f t="shared" si="1274"/>
        <v>0</v>
      </c>
      <c r="Z107" s="106">
        <f t="shared" si="1275"/>
        <v>0</v>
      </c>
      <c r="AA107" s="106">
        <f t="shared" si="1276"/>
        <v>0</v>
      </c>
      <c r="AB107" s="118">
        <f t="shared" si="1223"/>
        <v>0</v>
      </c>
      <c r="AC107" s="106">
        <f t="shared" si="1277"/>
        <v>0</v>
      </c>
      <c r="AD107" s="106">
        <f t="shared" si="1278"/>
        <v>0</v>
      </c>
      <c r="AE107" s="106">
        <f t="shared" si="1279"/>
        <v>0</v>
      </c>
      <c r="AF107" s="106">
        <f t="shared" si="1280"/>
        <v>0</v>
      </c>
      <c r="AG107" s="106">
        <f t="shared" si="1281"/>
        <v>0</v>
      </c>
      <c r="AH107" s="106">
        <f t="shared" si="1282"/>
        <v>0</v>
      </c>
      <c r="AI107" s="106">
        <f t="shared" si="1283"/>
        <v>0</v>
      </c>
      <c r="AJ107" s="106">
        <f t="shared" si="1284"/>
        <v>0</v>
      </c>
      <c r="AK107" s="106">
        <f t="shared" si="1285"/>
        <v>0</v>
      </c>
      <c r="AL107" s="106">
        <f t="shared" si="1286"/>
        <v>0</v>
      </c>
      <c r="AM107" s="106">
        <f t="shared" si="1287"/>
        <v>0</v>
      </c>
      <c r="AN107" s="106">
        <f t="shared" si="1288"/>
        <v>0</v>
      </c>
      <c r="AO107" s="106">
        <f t="shared" si="1289"/>
        <v>0</v>
      </c>
      <c r="AQ107" s="106">
        <v>0</v>
      </c>
      <c r="AR107" s="106">
        <v>0</v>
      </c>
      <c r="AS107" s="106">
        <v>0</v>
      </c>
      <c r="AT107" s="106">
        <v>0</v>
      </c>
      <c r="AU107" s="106">
        <v>0</v>
      </c>
      <c r="AV107" s="106">
        <v>0</v>
      </c>
      <c r="AW107" s="106">
        <v>0</v>
      </c>
      <c r="AX107" s="106">
        <v>0</v>
      </c>
      <c r="AY107" s="106">
        <v>0</v>
      </c>
      <c r="AZ107" s="106">
        <v>0</v>
      </c>
      <c r="BA107" s="106">
        <v>0</v>
      </c>
      <c r="BB107" s="106">
        <v>0</v>
      </c>
      <c r="BC107" s="106">
        <f t="shared" si="1290"/>
        <v>0</v>
      </c>
      <c r="BD107" s="16" t="str">
        <f t="shared" si="900"/>
        <v>Flexi Kit</v>
      </c>
      <c r="BE107" s="106">
        <f>+VLOOKUP($BD107,'Jan-25'!$A:$J,5,0)</f>
        <v>0</v>
      </c>
      <c r="BF107" s="106">
        <f>+VLOOKUP($BD107,'Feb-25'!$A:$J,5,0)</f>
        <v>0</v>
      </c>
      <c r="BG107" s="106">
        <f>+VLOOKUP($BD107,'Mar-25'!$A:$J,5,0)</f>
        <v>0</v>
      </c>
      <c r="BH107" s="106">
        <f>+VLOOKUP($BD107,'Apr-25'!$A:$J,5,0)</f>
        <v>0</v>
      </c>
      <c r="BI107" s="106">
        <f>+VLOOKUP($BD107,'May-25'!$A:$J,5,0)</f>
        <v>0</v>
      </c>
      <c r="BJ107" s="106">
        <f>+VLOOKUP($BD107,'June-25'!$A:$J,5,0)</f>
        <v>0</v>
      </c>
      <c r="BK107" s="106">
        <f>+VLOOKUP($BD107,'July-25'!$A:$J,5,0)</f>
        <v>0</v>
      </c>
      <c r="BL107" s="106">
        <f>+VLOOKUP($BD107,'Aug-25'!$A:$J,5,0)</f>
        <v>0</v>
      </c>
      <c r="BM107" s="106">
        <f>+VLOOKUP($BD107,'Sep-25'!$A:$J,5,0)</f>
        <v>0</v>
      </c>
      <c r="BN107" s="106">
        <f>+VLOOKUP($BD107,'Oct-25'!$A:$J,5,0)</f>
        <v>0</v>
      </c>
      <c r="BO107" s="106">
        <f>+VLOOKUP($BD107,'Nov-25'!$A:$J,5,0)</f>
        <v>0</v>
      </c>
      <c r="BP107" s="106">
        <f>+VLOOKUP($BD107,'Dec-25'!$A:$J,5,0)</f>
        <v>0</v>
      </c>
      <c r="BQ107" s="106">
        <f t="shared" si="1291"/>
        <v>0</v>
      </c>
      <c r="BR107" s="118">
        <f t="shared" si="1224"/>
        <v>0</v>
      </c>
      <c r="BS107" s="106">
        <f>+_xlfn.XLOOKUP($BD107,Budget!$A:$A,Budget!BD:BD)</f>
        <v>0</v>
      </c>
      <c r="BT107" s="106">
        <f>+_xlfn.XLOOKUP($BD107,Budget!$A:$A,Budget!BE:BE)</f>
        <v>0</v>
      </c>
      <c r="BU107" s="106">
        <f>+_xlfn.XLOOKUP($BD107,Budget!$A:$A,Budget!BF:BF)</f>
        <v>0</v>
      </c>
      <c r="BV107" s="106">
        <f>+_xlfn.XLOOKUP($BD107,Budget!$A:$A,Budget!BG:BG)</f>
        <v>0</v>
      </c>
      <c r="BW107" s="106">
        <f>+_xlfn.XLOOKUP($BD107,Budget!$A:$A,Budget!BH:BH)</f>
        <v>0</v>
      </c>
      <c r="BX107" s="106">
        <f>+_xlfn.XLOOKUP($BD107,Budget!$A:$A,Budget!BI:BI)</f>
        <v>0</v>
      </c>
      <c r="BY107" s="106">
        <f>+_xlfn.XLOOKUP($BD107,Budget!$A:$A,Budget!BJ:BJ)</f>
        <v>0</v>
      </c>
      <c r="BZ107" s="106">
        <f>+_xlfn.XLOOKUP($BD107,Budget!$A:$A,Budget!BK:BK)</f>
        <v>0</v>
      </c>
      <c r="CA107" s="106">
        <f>+_xlfn.XLOOKUP($BD107,Budget!$A:$A,Budget!BL:BL)</f>
        <v>0</v>
      </c>
      <c r="CB107" s="106">
        <f>+_xlfn.XLOOKUP($BD107,Budget!$A:$A,Budget!BM:BM)</f>
        <v>0</v>
      </c>
      <c r="CC107" s="106">
        <f>+_xlfn.XLOOKUP($BD107,Budget!$A:$A,Budget!BN:BN)</f>
        <v>0</v>
      </c>
      <c r="CD107" s="106">
        <f>+_xlfn.XLOOKUP($BD107,Budget!$A:$A,Budget!BO:BO)</f>
        <v>0</v>
      </c>
      <c r="CE107" s="106">
        <f t="shared" si="1292"/>
        <v>0</v>
      </c>
      <c r="CF107" s="106"/>
      <c r="CG107" s="110">
        <v>0</v>
      </c>
      <c r="CH107" s="106">
        <v>0</v>
      </c>
      <c r="CI107" s="106">
        <v>0</v>
      </c>
      <c r="CJ107" s="106">
        <v>0</v>
      </c>
      <c r="CK107" s="106">
        <v>0</v>
      </c>
      <c r="CL107" s="106">
        <v>0</v>
      </c>
      <c r="CM107" s="106">
        <v>0</v>
      </c>
      <c r="CN107" s="106">
        <v>0</v>
      </c>
      <c r="CO107" s="106">
        <v>0</v>
      </c>
      <c r="CP107" s="106">
        <v>0</v>
      </c>
      <c r="CQ107" s="106">
        <v>0</v>
      </c>
      <c r="CR107" s="106">
        <v>0</v>
      </c>
      <c r="CS107" s="106">
        <f t="shared" si="1293"/>
        <v>0</v>
      </c>
      <c r="CT107" s="16" t="str">
        <f t="shared" si="901"/>
        <v>Flexi Kit</v>
      </c>
      <c r="CU107" s="106">
        <f>+VLOOKUP($BD107,'Jan-25'!$A:$J,8,0)</f>
        <v>0</v>
      </c>
      <c r="CV107" s="106">
        <f>+VLOOKUP($BD107,'Feb-25'!$A:$J,8,0)</f>
        <v>0</v>
      </c>
      <c r="CW107" s="106">
        <f>+VLOOKUP($BD107,'Mar-25'!$A:$J,8,0)</f>
        <v>0</v>
      </c>
      <c r="CX107" s="106">
        <f>+VLOOKUP($BD107,'Apr-25'!$A:$J,8,0)</f>
        <v>0</v>
      </c>
      <c r="CY107" s="106">
        <f>+VLOOKUP($BD107,'May-25'!$A:$J,8,0)</f>
        <v>0</v>
      </c>
      <c r="CZ107" s="106">
        <f>+VLOOKUP($BD107,'June-25'!$A:$J,8,0)</f>
        <v>0</v>
      </c>
      <c r="DA107" s="106">
        <f>+VLOOKUP($BD107,'July-25'!$A:$J,8,0)</f>
        <v>0</v>
      </c>
      <c r="DB107" s="106">
        <f>+VLOOKUP($BD107,'Aug-25'!$A:$J,8,0)</f>
        <v>0</v>
      </c>
      <c r="DC107" s="106">
        <f>+VLOOKUP($BD107,'Sep-25'!$A:$J,8,0)</f>
        <v>0</v>
      </c>
      <c r="DD107" s="106">
        <f>+VLOOKUP($BD107,'Oct-25'!$A:$J,8,0)</f>
        <v>0</v>
      </c>
      <c r="DE107" s="106">
        <f>+VLOOKUP($BD107,'Nov-25'!$A:$J,8,0)</f>
        <v>0</v>
      </c>
      <c r="DF107" s="106">
        <f>+VLOOKUP($BD107,'Dec-25'!$A:$J,8,0)</f>
        <v>0</v>
      </c>
      <c r="DG107" s="106">
        <f t="shared" si="1294"/>
        <v>0</v>
      </c>
      <c r="DH107" s="118">
        <f t="shared" si="1225"/>
        <v>0</v>
      </c>
      <c r="DI107" s="106">
        <f>+_xlfn.XLOOKUP($CT107,Budget!$A:$A,Budget!CQ:CQ)</f>
        <v>0</v>
      </c>
      <c r="DJ107" s="106">
        <f>+_xlfn.XLOOKUP($CT107,Budget!$A:$A,Budget!CR:CR)</f>
        <v>0</v>
      </c>
      <c r="DK107" s="106">
        <f>+_xlfn.XLOOKUP($CT107,Budget!$A:$A,Budget!CS:CS)</f>
        <v>0</v>
      </c>
      <c r="DL107" s="106">
        <f>+_xlfn.XLOOKUP($CT107,Budget!$A:$A,Budget!CT:CT)</f>
        <v>0</v>
      </c>
      <c r="DM107" s="106">
        <f>+_xlfn.XLOOKUP($CT107,Budget!$A:$A,Budget!CU:CU)</f>
        <v>0</v>
      </c>
      <c r="DN107" s="106">
        <f>+_xlfn.XLOOKUP($CT107,Budget!$A:$A,Budget!CV:CV)</f>
        <v>0</v>
      </c>
      <c r="DO107" s="106">
        <f>+_xlfn.XLOOKUP($CT107,Budget!$A:$A,Budget!CW:CW)</f>
        <v>0</v>
      </c>
      <c r="DP107" s="106">
        <f>+_xlfn.XLOOKUP($CT107,Budget!$A:$A,Budget!CX:CX)</f>
        <v>0</v>
      </c>
      <c r="DQ107" s="106">
        <f>+_xlfn.XLOOKUP($CT107,Budget!$A:$A,Budget!CY:CY)</f>
        <v>0</v>
      </c>
      <c r="DR107" s="106">
        <f>+_xlfn.XLOOKUP($CT107,Budget!$A:$A,Budget!CZ:CZ)</f>
        <v>0</v>
      </c>
      <c r="DS107" s="106">
        <f>+_xlfn.XLOOKUP($CT107,Budget!$A:$A,Budget!DA:DA)</f>
        <v>0</v>
      </c>
      <c r="DT107" s="106">
        <f>+_xlfn.XLOOKUP($CT107,Budget!$A:$A,Budget!DB:DB)</f>
        <v>0</v>
      </c>
      <c r="DU107" s="106">
        <f t="shared" si="1295"/>
        <v>0</v>
      </c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106">
        <f t="shared" si="1296"/>
        <v>0</v>
      </c>
      <c r="EJ107" s="16" t="str">
        <f t="shared" si="966"/>
        <v>Flexi Kit</v>
      </c>
      <c r="EK107" s="22">
        <f>+VLOOKUP($BD107,'Jan-25'!$A:$J,10,0)</f>
        <v>0</v>
      </c>
      <c r="EL107" s="22">
        <f>+VLOOKUP($BD107,'Feb-25'!$A:$J,10,0)</f>
        <v>0</v>
      </c>
      <c r="EM107" s="22">
        <f>+VLOOKUP($BD107,'Mar-25'!$A:$J,10,0)</f>
        <v>0</v>
      </c>
      <c r="EN107" s="22">
        <f>+VLOOKUP($BD107,'Apr-25'!$A:$J,10,0)</f>
        <v>0</v>
      </c>
      <c r="EO107" s="22">
        <f>+VLOOKUP($BD107,'May-25'!$A:$J,10,0)</f>
        <v>0</v>
      </c>
      <c r="EP107" s="22">
        <f>+VLOOKUP($BD107,'June-25'!$A:$J,10,0)</f>
        <v>0</v>
      </c>
      <c r="EQ107" s="22">
        <f>+VLOOKUP($BD107,'July-25'!$A:$J,10,0)</f>
        <v>0</v>
      </c>
      <c r="ER107" s="22">
        <f>+VLOOKUP($BD107,'Aug-25'!$A:$J,10,0)</f>
        <v>0</v>
      </c>
      <c r="ES107" s="22">
        <f>+VLOOKUP($BD107,'Sep-25'!$A:$J,10,0)</f>
        <v>0</v>
      </c>
      <c r="ET107" s="22">
        <f>+VLOOKUP($BD107,'Oct-25'!$A:$J,10,0)</f>
        <v>0</v>
      </c>
      <c r="EU107" s="22">
        <f>+VLOOKUP($BD107,'Nov-25'!$A:$J,10,0)</f>
        <v>0</v>
      </c>
      <c r="EV107" s="22">
        <f>+VLOOKUP($BD107,'Dec-25'!$A:$J,10,0)</f>
        <v>0</v>
      </c>
      <c r="EW107" s="22">
        <f t="shared" si="1297"/>
        <v>0</v>
      </c>
      <c r="EX107" s="118" t="e">
        <f t="shared" si="1226"/>
        <v>#DIV/0!</v>
      </c>
      <c r="EY107" s="106">
        <f>+_xlfn.XLOOKUP($EJ107,Budget!$A:$A,Budget!DR:DR)</f>
        <v>0</v>
      </c>
      <c r="EZ107" s="106">
        <f>+_xlfn.XLOOKUP($EJ107,Budget!$A:$A,Budget!DS:DS)</f>
        <v>0</v>
      </c>
      <c r="FA107" s="106">
        <f>+_xlfn.XLOOKUP($EJ107,Budget!$A:$A,Budget!DT:DT)</f>
        <v>0</v>
      </c>
      <c r="FB107" s="106">
        <f>+_xlfn.XLOOKUP($EJ107,Budget!$A:$A,Budget!DU:DU)</f>
        <v>0</v>
      </c>
      <c r="FC107" s="106">
        <f>+_xlfn.XLOOKUP($EJ107,Budget!$A:$A,Budget!DV:DV)</f>
        <v>0</v>
      </c>
      <c r="FD107" s="106">
        <f>+_xlfn.XLOOKUP($EJ107,Budget!$A:$A,Budget!DW:DW)</f>
        <v>0</v>
      </c>
      <c r="FE107" s="106">
        <f>+_xlfn.XLOOKUP($EJ107,Budget!$A:$A,Budget!DX:DX)</f>
        <v>0</v>
      </c>
      <c r="FF107" s="106">
        <f>+_xlfn.XLOOKUP($EJ107,Budget!$A:$A,Budget!DY:DY)</f>
        <v>0</v>
      </c>
      <c r="FG107" s="106">
        <f>+_xlfn.XLOOKUP($EJ107,Budget!$A:$A,Budget!DZ:DZ)</f>
        <v>0</v>
      </c>
      <c r="FH107" s="106">
        <f>+_xlfn.XLOOKUP($EJ107,Budget!$A:$A,Budget!EA:EA)</f>
        <v>0</v>
      </c>
      <c r="FI107" s="106">
        <f>+_xlfn.XLOOKUP($EJ107,Budget!$A:$A,Budget!EB:EB)</f>
        <v>0</v>
      </c>
      <c r="FJ107" s="106">
        <f>+_xlfn.XLOOKUP($EJ107,Budget!$A:$A,Budget!EC:EC)</f>
        <v>0</v>
      </c>
      <c r="FK107" s="106">
        <f t="shared" si="1298"/>
        <v>0</v>
      </c>
    </row>
    <row r="108" spans="1:167" ht="14.45" hidden="1" customHeight="1" outlineLevel="1">
      <c r="A108" s="106">
        <f t="shared" si="1262"/>
        <v>0</v>
      </c>
      <c r="B108" s="106">
        <f t="shared" si="1262"/>
        <v>0</v>
      </c>
      <c r="C108" s="106">
        <f t="shared" si="1262"/>
        <v>0</v>
      </c>
      <c r="D108" s="106">
        <f t="shared" si="1262"/>
        <v>0</v>
      </c>
      <c r="E108" s="106">
        <f t="shared" si="1262"/>
        <v>45676.800000000003</v>
      </c>
      <c r="F108" s="106">
        <f t="shared" si="1262"/>
        <v>0</v>
      </c>
      <c r="G108" s="106">
        <f t="shared" si="1262"/>
        <v>0</v>
      </c>
      <c r="H108" s="106">
        <f t="shared" si="1262"/>
        <v>0</v>
      </c>
      <c r="I108" s="106">
        <f t="shared" si="1262"/>
        <v>0</v>
      </c>
      <c r="J108" s="106">
        <f t="shared" si="1262"/>
        <v>0</v>
      </c>
      <c r="K108" s="106">
        <f t="shared" si="1262"/>
        <v>0</v>
      </c>
      <c r="L108" s="106">
        <f t="shared" si="1262"/>
        <v>0</v>
      </c>
      <c r="M108" s="106">
        <f t="shared" si="1263"/>
        <v>45676.800000000003</v>
      </c>
      <c r="N108" s="16" t="s">
        <v>88</v>
      </c>
      <c r="O108" s="106">
        <f t="shared" si="1264"/>
        <v>0</v>
      </c>
      <c r="P108" s="106">
        <f t="shared" si="1265"/>
        <v>0</v>
      </c>
      <c r="Q108" s="106">
        <f t="shared" si="1266"/>
        <v>0</v>
      </c>
      <c r="R108" s="106">
        <f t="shared" si="1267"/>
        <v>0</v>
      </c>
      <c r="S108" s="106">
        <f t="shared" si="1268"/>
        <v>0</v>
      </c>
      <c r="T108" s="106">
        <f t="shared" si="1269"/>
        <v>0</v>
      </c>
      <c r="U108" s="106">
        <f t="shared" si="1270"/>
        <v>0</v>
      </c>
      <c r="V108" s="106">
        <f t="shared" si="1271"/>
        <v>0</v>
      </c>
      <c r="W108" s="106">
        <f t="shared" si="1272"/>
        <v>0</v>
      </c>
      <c r="X108" s="106">
        <f t="shared" si="1273"/>
        <v>0</v>
      </c>
      <c r="Y108" s="106">
        <f t="shared" si="1274"/>
        <v>0</v>
      </c>
      <c r="Z108" s="106">
        <f t="shared" si="1275"/>
        <v>0</v>
      </c>
      <c r="AA108" s="106">
        <f t="shared" si="1276"/>
        <v>0</v>
      </c>
      <c r="AB108" s="118">
        <f t="shared" si="1223"/>
        <v>0</v>
      </c>
      <c r="AC108" s="106">
        <f t="shared" si="1277"/>
        <v>0</v>
      </c>
      <c r="AD108" s="106">
        <f t="shared" si="1278"/>
        <v>0</v>
      </c>
      <c r="AE108" s="106">
        <f t="shared" si="1279"/>
        <v>0</v>
      </c>
      <c r="AF108" s="106">
        <f t="shared" si="1280"/>
        <v>0</v>
      </c>
      <c r="AG108" s="106">
        <f t="shared" si="1281"/>
        <v>0</v>
      </c>
      <c r="AH108" s="106">
        <f t="shared" si="1282"/>
        <v>0</v>
      </c>
      <c r="AI108" s="106">
        <f t="shared" si="1283"/>
        <v>0</v>
      </c>
      <c r="AJ108" s="106">
        <f t="shared" si="1284"/>
        <v>0</v>
      </c>
      <c r="AK108" s="106">
        <f t="shared" si="1285"/>
        <v>0</v>
      </c>
      <c r="AL108" s="106">
        <f t="shared" si="1286"/>
        <v>0</v>
      </c>
      <c r="AM108" s="106">
        <f t="shared" si="1287"/>
        <v>0</v>
      </c>
      <c r="AN108" s="106">
        <f t="shared" si="1288"/>
        <v>0</v>
      </c>
      <c r="AO108" s="106">
        <f t="shared" si="1289"/>
        <v>0</v>
      </c>
      <c r="AQ108" s="106">
        <v>0</v>
      </c>
      <c r="AR108" s="106">
        <v>0</v>
      </c>
      <c r="AS108" s="106">
        <v>0</v>
      </c>
      <c r="AT108" s="106">
        <v>0</v>
      </c>
      <c r="AU108" s="106">
        <v>30451.200000000001</v>
      </c>
      <c r="AV108" s="106">
        <v>0</v>
      </c>
      <c r="AW108" s="106">
        <v>0</v>
      </c>
      <c r="AX108" s="106">
        <v>0</v>
      </c>
      <c r="AY108" s="106">
        <v>0</v>
      </c>
      <c r="AZ108" s="106">
        <v>0</v>
      </c>
      <c r="BA108" s="106">
        <v>0</v>
      </c>
      <c r="BB108" s="106">
        <v>0</v>
      </c>
      <c r="BC108" s="106">
        <f t="shared" si="1290"/>
        <v>30451.200000000001</v>
      </c>
      <c r="BD108" s="16" t="str">
        <f t="shared" si="900"/>
        <v>print Advertisement</v>
      </c>
      <c r="BE108" s="106">
        <f>+VLOOKUP($BD108,'Jan-25'!$A:$J,5,0)</f>
        <v>0</v>
      </c>
      <c r="BF108" s="106">
        <f>+VLOOKUP($BD108,'Feb-25'!$A:$J,5,0)</f>
        <v>0</v>
      </c>
      <c r="BG108" s="106">
        <f>+VLOOKUP($BD108,'Mar-25'!$A:$J,5,0)</f>
        <v>0</v>
      </c>
      <c r="BH108" s="106">
        <f>+VLOOKUP($BD108,'Apr-25'!$A:$J,5,0)</f>
        <v>0</v>
      </c>
      <c r="BI108" s="106">
        <f>+VLOOKUP($BD108,'May-25'!$A:$J,5,0)</f>
        <v>0</v>
      </c>
      <c r="BJ108" s="106">
        <f>+VLOOKUP($BD108,'June-25'!$A:$J,5,0)</f>
        <v>0</v>
      </c>
      <c r="BK108" s="106">
        <f>+VLOOKUP($BD108,'July-25'!$A:$J,5,0)</f>
        <v>0</v>
      </c>
      <c r="BL108" s="106">
        <f>+VLOOKUP($BD108,'Aug-25'!$A:$J,5,0)</f>
        <v>0</v>
      </c>
      <c r="BM108" s="106">
        <f>+VLOOKUP($BD108,'Sep-25'!$A:$J,5,0)</f>
        <v>0</v>
      </c>
      <c r="BN108" s="106">
        <f>+VLOOKUP($BD108,'Oct-25'!$A:$J,5,0)</f>
        <v>0</v>
      </c>
      <c r="BO108" s="106">
        <f>+VLOOKUP($BD108,'Nov-25'!$A:$J,5,0)</f>
        <v>0</v>
      </c>
      <c r="BP108" s="106">
        <f>+VLOOKUP($BD108,'Dec-25'!$A:$J,5,0)</f>
        <v>0</v>
      </c>
      <c r="BQ108" s="106">
        <f t="shared" si="1291"/>
        <v>0</v>
      </c>
      <c r="BR108" s="118">
        <f t="shared" si="1224"/>
        <v>0</v>
      </c>
      <c r="BS108" s="106">
        <f>+_xlfn.XLOOKUP($BD108,Budget!$A:$A,Budget!BD:BD)</f>
        <v>0</v>
      </c>
      <c r="BT108" s="106">
        <f>+_xlfn.XLOOKUP($BD108,Budget!$A:$A,Budget!BE:BE)</f>
        <v>0</v>
      </c>
      <c r="BU108" s="106">
        <f>+_xlfn.XLOOKUP($BD108,Budget!$A:$A,Budget!BF:BF)</f>
        <v>0</v>
      </c>
      <c r="BV108" s="106">
        <f>+_xlfn.XLOOKUP($BD108,Budget!$A:$A,Budget!BG:BG)</f>
        <v>0</v>
      </c>
      <c r="BW108" s="106">
        <f>+_xlfn.XLOOKUP($BD108,Budget!$A:$A,Budget!BH:BH)</f>
        <v>0</v>
      </c>
      <c r="BX108" s="106">
        <f>+_xlfn.XLOOKUP($BD108,Budget!$A:$A,Budget!BI:BI)</f>
        <v>0</v>
      </c>
      <c r="BY108" s="106">
        <f>+_xlfn.XLOOKUP($BD108,Budget!$A:$A,Budget!BJ:BJ)</f>
        <v>0</v>
      </c>
      <c r="BZ108" s="106">
        <f>+_xlfn.XLOOKUP($BD108,Budget!$A:$A,Budget!BK:BK)</f>
        <v>0</v>
      </c>
      <c r="CA108" s="106">
        <f>+_xlfn.XLOOKUP($BD108,Budget!$A:$A,Budget!BL:BL)</f>
        <v>0</v>
      </c>
      <c r="CB108" s="106">
        <f>+_xlfn.XLOOKUP($BD108,Budget!$A:$A,Budget!BM:BM)</f>
        <v>0</v>
      </c>
      <c r="CC108" s="106">
        <f>+_xlfn.XLOOKUP($BD108,Budget!$A:$A,Budget!BN:BN)</f>
        <v>0</v>
      </c>
      <c r="CD108" s="106">
        <f>+_xlfn.XLOOKUP($BD108,Budget!$A:$A,Budget!BO:BO)</f>
        <v>0</v>
      </c>
      <c r="CE108" s="106">
        <f t="shared" si="1292"/>
        <v>0</v>
      </c>
      <c r="CF108" s="106"/>
      <c r="CG108" s="110">
        <v>0</v>
      </c>
      <c r="CH108" s="106">
        <v>0</v>
      </c>
      <c r="CI108" s="106">
        <v>0</v>
      </c>
      <c r="CJ108" s="106">
        <v>0</v>
      </c>
      <c r="CK108" s="106">
        <v>15225.6</v>
      </c>
      <c r="CL108" s="106">
        <v>0</v>
      </c>
      <c r="CM108" s="106">
        <v>0</v>
      </c>
      <c r="CN108" s="106">
        <v>0</v>
      </c>
      <c r="CO108" s="106">
        <v>0</v>
      </c>
      <c r="CP108" s="106">
        <v>0</v>
      </c>
      <c r="CQ108" s="106">
        <v>0</v>
      </c>
      <c r="CR108" s="106">
        <v>0</v>
      </c>
      <c r="CS108" s="106">
        <f t="shared" si="1293"/>
        <v>15225.6</v>
      </c>
      <c r="CT108" s="16" t="str">
        <f t="shared" si="901"/>
        <v>print Advertisement</v>
      </c>
      <c r="CU108" s="106">
        <f>+VLOOKUP($BD108,'Jan-25'!$A:$J,8,0)</f>
        <v>0</v>
      </c>
      <c r="CV108" s="106">
        <f>+VLOOKUP($BD108,'Feb-25'!$A:$J,8,0)</f>
        <v>0</v>
      </c>
      <c r="CW108" s="106">
        <f>+VLOOKUP($BD108,'Mar-25'!$A:$J,8,0)</f>
        <v>0</v>
      </c>
      <c r="CX108" s="106">
        <f>+VLOOKUP($BD108,'Apr-25'!$A:$J,8,0)</f>
        <v>0</v>
      </c>
      <c r="CY108" s="106">
        <f>+VLOOKUP($BD108,'May-25'!$A:$J,8,0)</f>
        <v>0</v>
      </c>
      <c r="CZ108" s="106">
        <f>+VLOOKUP($BD108,'June-25'!$A:$J,8,0)</f>
        <v>0</v>
      </c>
      <c r="DA108" s="106">
        <f>+VLOOKUP($BD108,'July-25'!$A:$J,8,0)</f>
        <v>0</v>
      </c>
      <c r="DB108" s="106">
        <f>+VLOOKUP($BD108,'Aug-25'!$A:$J,8,0)</f>
        <v>0</v>
      </c>
      <c r="DC108" s="106">
        <f>+VLOOKUP($BD108,'Sep-25'!$A:$J,8,0)</f>
        <v>0</v>
      </c>
      <c r="DD108" s="106">
        <f>+VLOOKUP($BD108,'Oct-25'!$A:$J,8,0)</f>
        <v>0</v>
      </c>
      <c r="DE108" s="106">
        <f>+VLOOKUP($BD108,'Nov-25'!$A:$J,8,0)</f>
        <v>0</v>
      </c>
      <c r="DF108" s="106">
        <f>+VLOOKUP($BD108,'Dec-25'!$A:$J,8,0)</f>
        <v>0</v>
      </c>
      <c r="DG108" s="106">
        <f t="shared" si="1294"/>
        <v>0</v>
      </c>
      <c r="DH108" s="118">
        <f t="shared" si="1225"/>
        <v>0</v>
      </c>
      <c r="DI108" s="106">
        <f>+_xlfn.XLOOKUP($CT108,Budget!$A:$A,Budget!CQ:CQ)</f>
        <v>0</v>
      </c>
      <c r="DJ108" s="106">
        <f>+_xlfn.XLOOKUP($CT108,Budget!$A:$A,Budget!CR:CR)</f>
        <v>0</v>
      </c>
      <c r="DK108" s="106">
        <f>+_xlfn.XLOOKUP($CT108,Budget!$A:$A,Budget!CS:CS)</f>
        <v>0</v>
      </c>
      <c r="DL108" s="106">
        <f>+_xlfn.XLOOKUP($CT108,Budget!$A:$A,Budget!CT:CT)</f>
        <v>0</v>
      </c>
      <c r="DM108" s="106">
        <f>+_xlfn.XLOOKUP($CT108,Budget!$A:$A,Budget!CU:CU)</f>
        <v>0</v>
      </c>
      <c r="DN108" s="106">
        <f>+_xlfn.XLOOKUP($CT108,Budget!$A:$A,Budget!CV:CV)</f>
        <v>0</v>
      </c>
      <c r="DO108" s="106">
        <f>+_xlfn.XLOOKUP($CT108,Budget!$A:$A,Budget!CW:CW)</f>
        <v>0</v>
      </c>
      <c r="DP108" s="106">
        <f>+_xlfn.XLOOKUP($CT108,Budget!$A:$A,Budget!CX:CX)</f>
        <v>0</v>
      </c>
      <c r="DQ108" s="106">
        <f>+_xlfn.XLOOKUP($CT108,Budget!$A:$A,Budget!CY:CY)</f>
        <v>0</v>
      </c>
      <c r="DR108" s="106">
        <f>+_xlfn.XLOOKUP($CT108,Budget!$A:$A,Budget!CZ:CZ)</f>
        <v>0</v>
      </c>
      <c r="DS108" s="106">
        <f>+_xlfn.XLOOKUP($CT108,Budget!$A:$A,Budget!DA:DA)</f>
        <v>0</v>
      </c>
      <c r="DT108" s="106">
        <f>+_xlfn.XLOOKUP($CT108,Budget!$A:$A,Budget!DB:DB)</f>
        <v>0</v>
      </c>
      <c r="DU108" s="106">
        <f t="shared" si="1295"/>
        <v>0</v>
      </c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106">
        <f t="shared" si="1296"/>
        <v>0</v>
      </c>
      <c r="EJ108" s="16" t="str">
        <f t="shared" si="966"/>
        <v>print Advertisement</v>
      </c>
      <c r="EK108" s="22">
        <f>+VLOOKUP($BD108,'Jan-25'!$A:$J,10,0)</f>
        <v>0</v>
      </c>
      <c r="EL108" s="22">
        <f>+VLOOKUP($BD108,'Feb-25'!$A:$J,10,0)</f>
        <v>0</v>
      </c>
      <c r="EM108" s="22">
        <f>+VLOOKUP($BD108,'Mar-25'!$A:$J,10,0)</f>
        <v>0</v>
      </c>
      <c r="EN108" s="22">
        <f>+VLOOKUP($BD108,'Apr-25'!$A:$J,10,0)</f>
        <v>0</v>
      </c>
      <c r="EO108" s="22">
        <f>+VLOOKUP($BD108,'May-25'!$A:$J,10,0)</f>
        <v>0</v>
      </c>
      <c r="EP108" s="22">
        <f>+VLOOKUP($BD108,'June-25'!$A:$J,10,0)</f>
        <v>0</v>
      </c>
      <c r="EQ108" s="22">
        <f>+VLOOKUP($BD108,'July-25'!$A:$J,10,0)</f>
        <v>0</v>
      </c>
      <c r="ER108" s="22">
        <f>+VLOOKUP($BD108,'Aug-25'!$A:$J,10,0)</f>
        <v>0</v>
      </c>
      <c r="ES108" s="22">
        <f>+VLOOKUP($BD108,'Sep-25'!$A:$J,10,0)</f>
        <v>0</v>
      </c>
      <c r="ET108" s="22">
        <f>+VLOOKUP($BD108,'Oct-25'!$A:$J,10,0)</f>
        <v>0</v>
      </c>
      <c r="EU108" s="22">
        <f>+VLOOKUP($BD108,'Nov-25'!$A:$J,10,0)</f>
        <v>0</v>
      </c>
      <c r="EV108" s="22">
        <f>+VLOOKUP($BD108,'Dec-25'!$A:$J,10,0)</f>
        <v>0</v>
      </c>
      <c r="EW108" s="22">
        <f t="shared" si="1297"/>
        <v>0</v>
      </c>
      <c r="EX108" s="118" t="e">
        <f t="shared" si="1226"/>
        <v>#DIV/0!</v>
      </c>
      <c r="EY108" s="106">
        <f>+_xlfn.XLOOKUP($EJ108,Budget!$A:$A,Budget!DR:DR)</f>
        <v>0</v>
      </c>
      <c r="EZ108" s="106">
        <f>+_xlfn.XLOOKUP($EJ108,Budget!$A:$A,Budget!DS:DS)</f>
        <v>0</v>
      </c>
      <c r="FA108" s="106">
        <f>+_xlfn.XLOOKUP($EJ108,Budget!$A:$A,Budget!DT:DT)</f>
        <v>0</v>
      </c>
      <c r="FB108" s="106">
        <f>+_xlfn.XLOOKUP($EJ108,Budget!$A:$A,Budget!DU:DU)</f>
        <v>0</v>
      </c>
      <c r="FC108" s="106">
        <f>+_xlfn.XLOOKUP($EJ108,Budget!$A:$A,Budget!DV:DV)</f>
        <v>0</v>
      </c>
      <c r="FD108" s="106">
        <f>+_xlfn.XLOOKUP($EJ108,Budget!$A:$A,Budget!DW:DW)</f>
        <v>0</v>
      </c>
      <c r="FE108" s="106">
        <f>+_xlfn.XLOOKUP($EJ108,Budget!$A:$A,Budget!DX:DX)</f>
        <v>0</v>
      </c>
      <c r="FF108" s="106">
        <f>+_xlfn.XLOOKUP($EJ108,Budget!$A:$A,Budget!DY:DY)</f>
        <v>0</v>
      </c>
      <c r="FG108" s="106">
        <f>+_xlfn.XLOOKUP($EJ108,Budget!$A:$A,Budget!DZ:DZ)</f>
        <v>0</v>
      </c>
      <c r="FH108" s="106">
        <f>+_xlfn.XLOOKUP($EJ108,Budget!$A:$A,Budget!EA:EA)</f>
        <v>0</v>
      </c>
      <c r="FI108" s="106">
        <f>+_xlfn.XLOOKUP($EJ108,Budget!$A:$A,Budget!EB:EB)</f>
        <v>0</v>
      </c>
      <c r="FJ108" s="106">
        <f>+_xlfn.XLOOKUP($EJ108,Budget!$A:$A,Budget!EC:EC)</f>
        <v>0</v>
      </c>
      <c r="FK108" s="106">
        <f t="shared" si="1298"/>
        <v>0</v>
      </c>
    </row>
    <row r="109" spans="1:167" ht="14.45" hidden="1" customHeight="1" outlineLevel="1">
      <c r="A109" s="106">
        <f t="shared" si="1262"/>
        <v>0</v>
      </c>
      <c r="B109" s="106">
        <f t="shared" si="1262"/>
        <v>0</v>
      </c>
      <c r="C109" s="106">
        <f t="shared" si="1262"/>
        <v>0</v>
      </c>
      <c r="D109" s="106">
        <f t="shared" si="1262"/>
        <v>0</v>
      </c>
      <c r="E109" s="106">
        <f t="shared" si="1262"/>
        <v>0</v>
      </c>
      <c r="F109" s="106">
        <f t="shared" si="1262"/>
        <v>0</v>
      </c>
      <c r="G109" s="106">
        <f t="shared" si="1262"/>
        <v>0</v>
      </c>
      <c r="H109" s="106">
        <f t="shared" si="1262"/>
        <v>0</v>
      </c>
      <c r="I109" s="106">
        <f t="shared" si="1262"/>
        <v>0</v>
      </c>
      <c r="J109" s="106">
        <f t="shared" si="1262"/>
        <v>0</v>
      </c>
      <c r="K109" s="106">
        <f t="shared" si="1262"/>
        <v>0</v>
      </c>
      <c r="L109" s="106">
        <f t="shared" si="1262"/>
        <v>0</v>
      </c>
      <c r="M109" s="106">
        <f t="shared" si="1263"/>
        <v>0</v>
      </c>
      <c r="N109" s="16" t="s">
        <v>89</v>
      </c>
      <c r="O109" s="106">
        <f t="shared" si="1264"/>
        <v>0</v>
      </c>
      <c r="P109" s="106">
        <f t="shared" si="1265"/>
        <v>0</v>
      </c>
      <c r="Q109" s="106">
        <f t="shared" si="1266"/>
        <v>0</v>
      </c>
      <c r="R109" s="106">
        <f t="shared" si="1267"/>
        <v>0</v>
      </c>
      <c r="S109" s="106">
        <f t="shared" si="1268"/>
        <v>0</v>
      </c>
      <c r="T109" s="106">
        <f t="shared" si="1269"/>
        <v>0</v>
      </c>
      <c r="U109" s="106">
        <f t="shared" si="1270"/>
        <v>0</v>
      </c>
      <c r="V109" s="106">
        <f t="shared" si="1271"/>
        <v>13641.300000000001</v>
      </c>
      <c r="W109" s="106">
        <f t="shared" si="1272"/>
        <v>0</v>
      </c>
      <c r="X109" s="106">
        <f t="shared" si="1273"/>
        <v>0</v>
      </c>
      <c r="Y109" s="106">
        <f t="shared" si="1274"/>
        <v>0</v>
      </c>
      <c r="Z109" s="106">
        <f t="shared" si="1275"/>
        <v>0</v>
      </c>
      <c r="AA109" s="106">
        <f t="shared" si="1276"/>
        <v>13641.300000000001</v>
      </c>
      <c r="AB109" s="118">
        <f t="shared" si="1223"/>
        <v>0</v>
      </c>
      <c r="AC109" s="106">
        <f t="shared" si="1277"/>
        <v>0</v>
      </c>
      <c r="AD109" s="106">
        <f t="shared" si="1278"/>
        <v>0</v>
      </c>
      <c r="AE109" s="106">
        <f t="shared" si="1279"/>
        <v>0</v>
      </c>
      <c r="AF109" s="106">
        <f t="shared" si="1280"/>
        <v>0</v>
      </c>
      <c r="AG109" s="106">
        <f t="shared" si="1281"/>
        <v>0</v>
      </c>
      <c r="AH109" s="106">
        <f t="shared" si="1282"/>
        <v>0</v>
      </c>
      <c r="AI109" s="106">
        <f t="shared" si="1283"/>
        <v>0</v>
      </c>
      <c r="AJ109" s="106">
        <f t="shared" si="1284"/>
        <v>0</v>
      </c>
      <c r="AK109" s="106">
        <f t="shared" si="1285"/>
        <v>0</v>
      </c>
      <c r="AL109" s="106">
        <f t="shared" si="1286"/>
        <v>0</v>
      </c>
      <c r="AM109" s="106">
        <f t="shared" si="1287"/>
        <v>0</v>
      </c>
      <c r="AN109" s="106">
        <f t="shared" si="1288"/>
        <v>0</v>
      </c>
      <c r="AO109" s="106">
        <f t="shared" si="1289"/>
        <v>0</v>
      </c>
      <c r="AQ109" s="106">
        <v>0</v>
      </c>
      <c r="AR109" s="106">
        <v>0</v>
      </c>
      <c r="AS109" s="106">
        <v>0</v>
      </c>
      <c r="AT109" s="106">
        <v>0</v>
      </c>
      <c r="AU109" s="106">
        <v>0</v>
      </c>
      <c r="AV109" s="106">
        <v>0</v>
      </c>
      <c r="AW109" s="106">
        <v>0</v>
      </c>
      <c r="AX109" s="106">
        <v>0</v>
      </c>
      <c r="AY109" s="106">
        <v>0</v>
      </c>
      <c r="AZ109" s="106">
        <v>0</v>
      </c>
      <c r="BA109" s="106">
        <v>0</v>
      </c>
      <c r="BB109" s="106">
        <v>0</v>
      </c>
      <c r="BC109" s="106">
        <f t="shared" si="1290"/>
        <v>0</v>
      </c>
      <c r="BD109" s="16" t="str">
        <f t="shared" si="900"/>
        <v>Printing and other Charges</v>
      </c>
      <c r="BE109" s="106">
        <f>+VLOOKUP($BD109,'Jan-25'!$A:$J,5,0)</f>
        <v>0</v>
      </c>
      <c r="BF109" s="106">
        <f>+VLOOKUP($BD109,'Feb-25'!$A:$J,5,0)</f>
        <v>0</v>
      </c>
      <c r="BG109" s="106">
        <f>+VLOOKUP($BD109,'Mar-25'!$A:$J,5,0)</f>
        <v>0</v>
      </c>
      <c r="BH109" s="106">
        <f>+VLOOKUP($BD109,'Apr-25'!$A:$J,5,0)</f>
        <v>0</v>
      </c>
      <c r="BI109" s="106">
        <f>+VLOOKUP($BD109,'May-25'!$A:$J,5,0)</f>
        <v>0</v>
      </c>
      <c r="BJ109" s="106">
        <f>+VLOOKUP($BD109,'June-25'!$A:$J,5,0)</f>
        <v>0</v>
      </c>
      <c r="BK109" s="106">
        <f>+VLOOKUP($BD109,'July-25'!$A:$J,5,0)</f>
        <v>0</v>
      </c>
      <c r="BL109" s="106">
        <f>+VLOOKUP($BD109,'Aug-25'!$A:$J,5,0)</f>
        <v>9094.2000000000007</v>
      </c>
      <c r="BM109" s="106">
        <f>+VLOOKUP($BD109,'Sep-25'!$A:$J,5,0)</f>
        <v>0</v>
      </c>
      <c r="BN109" s="106">
        <f>+VLOOKUP($BD109,'Oct-25'!$A:$J,5,0)</f>
        <v>0</v>
      </c>
      <c r="BO109" s="106">
        <f>+VLOOKUP($BD109,'Nov-25'!$A:$J,5,0)</f>
        <v>0</v>
      </c>
      <c r="BP109" s="106">
        <f>+VLOOKUP($BD109,'Dec-25'!$A:$J,5,0)</f>
        <v>0</v>
      </c>
      <c r="BQ109" s="106">
        <f t="shared" si="1291"/>
        <v>9094.2000000000007</v>
      </c>
      <c r="BR109" s="118">
        <f t="shared" si="1224"/>
        <v>0</v>
      </c>
      <c r="BS109" s="106">
        <f>+_xlfn.XLOOKUP($BD109,Budget!$A:$A,Budget!BD:BD)</f>
        <v>0</v>
      </c>
      <c r="BT109" s="106">
        <f>+_xlfn.XLOOKUP($BD109,Budget!$A:$A,Budget!BE:BE)</f>
        <v>0</v>
      </c>
      <c r="BU109" s="106">
        <f>+_xlfn.XLOOKUP($BD109,Budget!$A:$A,Budget!BF:BF)</f>
        <v>0</v>
      </c>
      <c r="BV109" s="106">
        <f>+_xlfn.XLOOKUP($BD109,Budget!$A:$A,Budget!BG:BG)</f>
        <v>0</v>
      </c>
      <c r="BW109" s="106">
        <f>+_xlfn.XLOOKUP($BD109,Budget!$A:$A,Budget!BH:BH)</f>
        <v>0</v>
      </c>
      <c r="BX109" s="106">
        <f>+_xlfn.XLOOKUP($BD109,Budget!$A:$A,Budget!BI:BI)</f>
        <v>0</v>
      </c>
      <c r="BY109" s="106">
        <f>+_xlfn.XLOOKUP($BD109,Budget!$A:$A,Budget!BJ:BJ)</f>
        <v>0</v>
      </c>
      <c r="BZ109" s="106">
        <f>+_xlfn.XLOOKUP($BD109,Budget!$A:$A,Budget!BK:BK)</f>
        <v>0</v>
      </c>
      <c r="CA109" s="106">
        <f>+_xlfn.XLOOKUP($BD109,Budget!$A:$A,Budget!BL:BL)</f>
        <v>0</v>
      </c>
      <c r="CB109" s="106">
        <f>+_xlfn.XLOOKUP($BD109,Budget!$A:$A,Budget!BM:BM)</f>
        <v>0</v>
      </c>
      <c r="CC109" s="106">
        <f>+_xlfn.XLOOKUP($BD109,Budget!$A:$A,Budget!BN:BN)</f>
        <v>0</v>
      </c>
      <c r="CD109" s="106">
        <f>+_xlfn.XLOOKUP($BD109,Budget!$A:$A,Budget!BO:BO)</f>
        <v>0</v>
      </c>
      <c r="CE109" s="106">
        <f t="shared" si="1292"/>
        <v>0</v>
      </c>
      <c r="CF109" s="106"/>
      <c r="CG109" s="110">
        <v>0</v>
      </c>
      <c r="CH109" s="106">
        <v>0</v>
      </c>
      <c r="CI109" s="106">
        <v>0</v>
      </c>
      <c r="CJ109" s="106">
        <v>0</v>
      </c>
      <c r="CK109" s="106">
        <v>0</v>
      </c>
      <c r="CL109" s="106">
        <v>0</v>
      </c>
      <c r="CM109" s="106">
        <v>0</v>
      </c>
      <c r="CN109" s="106">
        <v>0</v>
      </c>
      <c r="CO109" s="106">
        <v>0</v>
      </c>
      <c r="CP109" s="106">
        <v>0</v>
      </c>
      <c r="CQ109" s="106">
        <v>0</v>
      </c>
      <c r="CR109" s="106">
        <v>0</v>
      </c>
      <c r="CS109" s="106">
        <f t="shared" si="1293"/>
        <v>0</v>
      </c>
      <c r="CT109" s="16" t="str">
        <f t="shared" si="901"/>
        <v>Printing and other Charges</v>
      </c>
      <c r="CU109" s="106">
        <f>+VLOOKUP($BD109,'Jan-25'!$A:$J,8,0)</f>
        <v>0</v>
      </c>
      <c r="CV109" s="106">
        <f>+VLOOKUP($BD109,'Feb-25'!$A:$J,8,0)</f>
        <v>0</v>
      </c>
      <c r="CW109" s="106">
        <f>+VLOOKUP($BD109,'Mar-25'!$A:$J,8,0)</f>
        <v>0</v>
      </c>
      <c r="CX109" s="106">
        <f>+VLOOKUP($BD109,'Apr-25'!$A:$J,8,0)</f>
        <v>0</v>
      </c>
      <c r="CY109" s="106">
        <f>+VLOOKUP($BD109,'May-25'!$A:$J,8,0)</f>
        <v>0</v>
      </c>
      <c r="CZ109" s="106">
        <f>+VLOOKUP($BD109,'June-25'!$A:$J,8,0)</f>
        <v>0</v>
      </c>
      <c r="DA109" s="106">
        <f>+VLOOKUP($BD109,'July-25'!$A:$J,8,0)</f>
        <v>0</v>
      </c>
      <c r="DB109" s="106">
        <f>+VLOOKUP($BD109,'Aug-25'!$A:$J,8,0)</f>
        <v>4547.1000000000004</v>
      </c>
      <c r="DC109" s="106">
        <f>+VLOOKUP($BD109,'Sep-25'!$A:$J,8,0)</f>
        <v>0</v>
      </c>
      <c r="DD109" s="106">
        <f>+VLOOKUP($BD109,'Oct-25'!$A:$J,8,0)</f>
        <v>0</v>
      </c>
      <c r="DE109" s="106">
        <f>+VLOOKUP($BD109,'Nov-25'!$A:$J,8,0)</f>
        <v>0</v>
      </c>
      <c r="DF109" s="106">
        <f>+VLOOKUP($BD109,'Dec-25'!$A:$J,8,0)</f>
        <v>0</v>
      </c>
      <c r="DG109" s="106">
        <f t="shared" si="1294"/>
        <v>4547.1000000000004</v>
      </c>
      <c r="DH109" s="118">
        <f t="shared" si="1225"/>
        <v>0</v>
      </c>
      <c r="DI109" s="106">
        <f>+_xlfn.XLOOKUP($CT109,Budget!$A:$A,Budget!CQ:CQ)</f>
        <v>0</v>
      </c>
      <c r="DJ109" s="106">
        <f>+_xlfn.XLOOKUP($CT109,Budget!$A:$A,Budget!CR:CR)</f>
        <v>0</v>
      </c>
      <c r="DK109" s="106">
        <f>+_xlfn.XLOOKUP($CT109,Budget!$A:$A,Budget!CS:CS)</f>
        <v>0</v>
      </c>
      <c r="DL109" s="106">
        <f>+_xlfn.XLOOKUP($CT109,Budget!$A:$A,Budget!CT:CT)</f>
        <v>0</v>
      </c>
      <c r="DM109" s="106">
        <f>+_xlfn.XLOOKUP($CT109,Budget!$A:$A,Budget!CU:CU)</f>
        <v>0</v>
      </c>
      <c r="DN109" s="106">
        <f>+_xlfn.XLOOKUP($CT109,Budget!$A:$A,Budget!CV:CV)</f>
        <v>0</v>
      </c>
      <c r="DO109" s="106">
        <f>+_xlfn.XLOOKUP($CT109,Budget!$A:$A,Budget!CW:CW)</f>
        <v>0</v>
      </c>
      <c r="DP109" s="106">
        <f>+_xlfn.XLOOKUP($CT109,Budget!$A:$A,Budget!CX:CX)</f>
        <v>0</v>
      </c>
      <c r="DQ109" s="106">
        <f>+_xlfn.XLOOKUP($CT109,Budget!$A:$A,Budget!CY:CY)</f>
        <v>0</v>
      </c>
      <c r="DR109" s="106">
        <f>+_xlfn.XLOOKUP($CT109,Budget!$A:$A,Budget!CZ:CZ)</f>
        <v>0</v>
      </c>
      <c r="DS109" s="106">
        <f>+_xlfn.XLOOKUP($CT109,Budget!$A:$A,Budget!DA:DA)</f>
        <v>0</v>
      </c>
      <c r="DT109" s="106">
        <f>+_xlfn.XLOOKUP($CT109,Budget!$A:$A,Budget!DB:DB)</f>
        <v>0</v>
      </c>
      <c r="DU109" s="106">
        <f t="shared" si="1295"/>
        <v>0</v>
      </c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106">
        <f t="shared" si="1296"/>
        <v>0</v>
      </c>
      <c r="EJ109" s="16" t="str">
        <f t="shared" si="966"/>
        <v>Printing and other Charges</v>
      </c>
      <c r="EK109" s="22">
        <f>+VLOOKUP($BD109,'Jan-25'!$A:$J,10,0)</f>
        <v>0</v>
      </c>
      <c r="EL109" s="22">
        <f>+VLOOKUP($BD109,'Feb-25'!$A:$J,10,0)</f>
        <v>0</v>
      </c>
      <c r="EM109" s="22">
        <f>+VLOOKUP($BD109,'Mar-25'!$A:$J,10,0)</f>
        <v>0</v>
      </c>
      <c r="EN109" s="22">
        <f>+VLOOKUP($BD109,'Apr-25'!$A:$J,10,0)</f>
        <v>0</v>
      </c>
      <c r="EO109" s="22">
        <f>+VLOOKUP($BD109,'May-25'!$A:$J,10,0)</f>
        <v>0</v>
      </c>
      <c r="EP109" s="22">
        <f>+VLOOKUP($BD109,'June-25'!$A:$J,10,0)</f>
        <v>0</v>
      </c>
      <c r="EQ109" s="22">
        <f>+VLOOKUP($BD109,'July-25'!$A:$J,10,0)</f>
        <v>0</v>
      </c>
      <c r="ER109" s="22">
        <f>+VLOOKUP($BD109,'Aug-25'!$A:$J,10,0)</f>
        <v>0</v>
      </c>
      <c r="ES109" s="22">
        <f>+VLOOKUP($BD109,'Sep-25'!$A:$J,10,0)</f>
        <v>0</v>
      </c>
      <c r="ET109" s="22">
        <f>+VLOOKUP($BD109,'Oct-25'!$A:$J,10,0)</f>
        <v>0</v>
      </c>
      <c r="EU109" s="22">
        <f>+VLOOKUP($BD109,'Nov-25'!$A:$J,10,0)</f>
        <v>0</v>
      </c>
      <c r="EV109" s="22">
        <f>+VLOOKUP($BD109,'Dec-25'!$A:$J,10,0)</f>
        <v>0</v>
      </c>
      <c r="EW109" s="22">
        <f t="shared" si="1297"/>
        <v>0</v>
      </c>
      <c r="EX109" s="118" t="e">
        <f t="shared" si="1226"/>
        <v>#DIV/0!</v>
      </c>
      <c r="EY109" s="106">
        <f>+_xlfn.XLOOKUP($EJ109,Budget!$A:$A,Budget!DR:DR)</f>
        <v>0</v>
      </c>
      <c r="EZ109" s="106">
        <f>+_xlfn.XLOOKUP($EJ109,Budget!$A:$A,Budget!DS:DS)</f>
        <v>0</v>
      </c>
      <c r="FA109" s="106">
        <f>+_xlfn.XLOOKUP($EJ109,Budget!$A:$A,Budget!DT:DT)</f>
        <v>0</v>
      </c>
      <c r="FB109" s="106">
        <f>+_xlfn.XLOOKUP($EJ109,Budget!$A:$A,Budget!DU:DU)</f>
        <v>0</v>
      </c>
      <c r="FC109" s="106">
        <f>+_xlfn.XLOOKUP($EJ109,Budget!$A:$A,Budget!DV:DV)</f>
        <v>0</v>
      </c>
      <c r="FD109" s="106">
        <f>+_xlfn.XLOOKUP($EJ109,Budget!$A:$A,Budget!DW:DW)</f>
        <v>0</v>
      </c>
      <c r="FE109" s="106">
        <f>+_xlfn.XLOOKUP($EJ109,Budget!$A:$A,Budget!DX:DX)</f>
        <v>0</v>
      </c>
      <c r="FF109" s="106">
        <f>+_xlfn.XLOOKUP($EJ109,Budget!$A:$A,Budget!DY:DY)</f>
        <v>0</v>
      </c>
      <c r="FG109" s="106">
        <f>+_xlfn.XLOOKUP($EJ109,Budget!$A:$A,Budget!DZ:DZ)</f>
        <v>0</v>
      </c>
      <c r="FH109" s="106">
        <f>+_xlfn.XLOOKUP($EJ109,Budget!$A:$A,Budget!EA:EA)</f>
        <v>0</v>
      </c>
      <c r="FI109" s="106">
        <f>+_xlfn.XLOOKUP($EJ109,Budget!$A:$A,Budget!EB:EB)</f>
        <v>0</v>
      </c>
      <c r="FJ109" s="106">
        <f>+_xlfn.XLOOKUP($EJ109,Budget!$A:$A,Budget!EC:EC)</f>
        <v>0</v>
      </c>
      <c r="FK109" s="106">
        <f t="shared" si="1298"/>
        <v>0</v>
      </c>
    </row>
    <row r="110" spans="1:167" ht="14.45" hidden="1" customHeight="1" outlineLevel="1">
      <c r="A110" s="106">
        <f t="shared" si="1262"/>
        <v>0</v>
      </c>
      <c r="B110" s="106">
        <f t="shared" si="1262"/>
        <v>0</v>
      </c>
      <c r="C110" s="106">
        <f t="shared" si="1262"/>
        <v>0</v>
      </c>
      <c r="D110" s="106">
        <f t="shared" si="1262"/>
        <v>0</v>
      </c>
      <c r="E110" s="106">
        <f t="shared" si="1262"/>
        <v>0</v>
      </c>
      <c r="F110" s="106">
        <f t="shared" si="1262"/>
        <v>0</v>
      </c>
      <c r="G110" s="106">
        <f t="shared" si="1262"/>
        <v>0</v>
      </c>
      <c r="H110" s="106">
        <f t="shared" si="1262"/>
        <v>1455.8400000000011</v>
      </c>
      <c r="I110" s="106">
        <f t="shared" si="1262"/>
        <v>15290</v>
      </c>
      <c r="J110" s="106">
        <f t="shared" si="1262"/>
        <v>0</v>
      </c>
      <c r="K110" s="106">
        <f t="shared" si="1262"/>
        <v>0</v>
      </c>
      <c r="L110" s="106">
        <f t="shared" si="1262"/>
        <v>0</v>
      </c>
      <c r="M110" s="106">
        <f t="shared" si="1263"/>
        <v>16745.84</v>
      </c>
      <c r="N110" s="16" t="s">
        <v>90</v>
      </c>
      <c r="O110" s="106">
        <f t="shared" si="1264"/>
        <v>0</v>
      </c>
      <c r="P110" s="106">
        <f t="shared" si="1265"/>
        <v>0</v>
      </c>
      <c r="Q110" s="106">
        <f t="shared" si="1266"/>
        <v>45.900000000000006</v>
      </c>
      <c r="R110" s="106">
        <f t="shared" si="1267"/>
        <v>0</v>
      </c>
      <c r="S110" s="106">
        <f t="shared" si="1268"/>
        <v>2700</v>
      </c>
      <c r="T110" s="106">
        <f t="shared" si="1269"/>
        <v>0</v>
      </c>
      <c r="U110" s="106">
        <f t="shared" si="1270"/>
        <v>0</v>
      </c>
      <c r="V110" s="106">
        <f t="shared" si="1271"/>
        <v>70449.119999999995</v>
      </c>
      <c r="W110" s="106">
        <f t="shared" si="1272"/>
        <v>0</v>
      </c>
      <c r="X110" s="106">
        <f t="shared" si="1273"/>
        <v>0</v>
      </c>
      <c r="Y110" s="106">
        <f t="shared" si="1274"/>
        <v>0</v>
      </c>
      <c r="Z110" s="106">
        <f t="shared" si="1275"/>
        <v>0</v>
      </c>
      <c r="AA110" s="106">
        <f t="shared" si="1276"/>
        <v>73195.01999999999</v>
      </c>
      <c r="AB110" s="118">
        <f t="shared" si="1223"/>
        <v>0</v>
      </c>
      <c r="AC110" s="106">
        <f t="shared" si="1277"/>
        <v>0</v>
      </c>
      <c r="AD110" s="106">
        <f t="shared" si="1278"/>
        <v>0</v>
      </c>
      <c r="AE110" s="106">
        <f t="shared" si="1279"/>
        <v>0</v>
      </c>
      <c r="AF110" s="106">
        <f t="shared" si="1280"/>
        <v>0</v>
      </c>
      <c r="AG110" s="106">
        <f t="shared" si="1281"/>
        <v>0</v>
      </c>
      <c r="AH110" s="106">
        <f t="shared" si="1282"/>
        <v>0</v>
      </c>
      <c r="AI110" s="106">
        <f t="shared" si="1283"/>
        <v>0</v>
      </c>
      <c r="AJ110" s="106">
        <f t="shared" si="1284"/>
        <v>0</v>
      </c>
      <c r="AK110" s="106">
        <f t="shared" si="1285"/>
        <v>0</v>
      </c>
      <c r="AL110" s="106">
        <f t="shared" si="1286"/>
        <v>0</v>
      </c>
      <c r="AM110" s="106">
        <f t="shared" si="1287"/>
        <v>0</v>
      </c>
      <c r="AN110" s="106">
        <f t="shared" si="1288"/>
        <v>0</v>
      </c>
      <c r="AO110" s="106">
        <f t="shared" si="1289"/>
        <v>0</v>
      </c>
      <c r="AQ110" s="106">
        <v>0</v>
      </c>
      <c r="AR110" s="106">
        <v>0</v>
      </c>
      <c r="AS110" s="106">
        <v>0</v>
      </c>
      <c r="AT110" s="106">
        <v>0</v>
      </c>
      <c r="AU110" s="106">
        <v>0</v>
      </c>
      <c r="AV110" s="106">
        <v>0</v>
      </c>
      <c r="AW110" s="106">
        <v>0</v>
      </c>
      <c r="AX110" s="106">
        <v>970.56000000000063</v>
      </c>
      <c r="AY110" s="106">
        <v>0</v>
      </c>
      <c r="AZ110" s="106">
        <v>0</v>
      </c>
      <c r="BA110" s="106">
        <v>0</v>
      </c>
      <c r="BB110" s="106">
        <v>0</v>
      </c>
      <c r="BC110" s="106">
        <f t="shared" si="1290"/>
        <v>970.56000000000063</v>
      </c>
      <c r="BD110" s="16" t="str">
        <f t="shared" si="900"/>
        <v>Retail Activation Program</v>
      </c>
      <c r="BE110" s="106">
        <f>+VLOOKUP($BD110,'Jan-25'!$A:$J,5,0)</f>
        <v>0</v>
      </c>
      <c r="BF110" s="106">
        <f>+VLOOKUP($BD110,'Feb-25'!$A:$J,5,0)</f>
        <v>0</v>
      </c>
      <c r="BG110" s="106">
        <f>+VLOOKUP($BD110,'Mar-25'!$A:$J,5,0)</f>
        <v>30.6</v>
      </c>
      <c r="BH110" s="106">
        <f>+VLOOKUP($BD110,'Apr-25'!$A:$J,5,0)</f>
        <v>0</v>
      </c>
      <c r="BI110" s="106">
        <f>+VLOOKUP($BD110,'May-25'!$A:$J,5,0)</f>
        <v>1800</v>
      </c>
      <c r="BJ110" s="106">
        <f>+VLOOKUP($BD110,'June-25'!$A:$J,5,0)</f>
        <v>0</v>
      </c>
      <c r="BK110" s="106">
        <f>+VLOOKUP($BD110,'July-25'!$A:$J,5,0)</f>
        <v>0</v>
      </c>
      <c r="BL110" s="106">
        <f>+VLOOKUP($BD110,'Aug-25'!$A:$J,5,0)</f>
        <v>46966.080000000002</v>
      </c>
      <c r="BM110" s="106">
        <f>+VLOOKUP($BD110,'Sep-25'!$A:$J,5,0)</f>
        <v>0</v>
      </c>
      <c r="BN110" s="106">
        <f>+VLOOKUP($BD110,'Oct-25'!$A:$J,5,0)</f>
        <v>0</v>
      </c>
      <c r="BO110" s="106">
        <f>+VLOOKUP($BD110,'Nov-25'!$A:$J,5,0)</f>
        <v>0</v>
      </c>
      <c r="BP110" s="106">
        <f>+VLOOKUP($BD110,'Dec-25'!$A:$J,5,0)</f>
        <v>0</v>
      </c>
      <c r="BQ110" s="106">
        <f t="shared" si="1291"/>
        <v>48796.68</v>
      </c>
      <c r="BR110" s="118">
        <f t="shared" si="1224"/>
        <v>0</v>
      </c>
      <c r="BS110" s="106">
        <f>+_xlfn.XLOOKUP($BD110,Budget!$A:$A,Budget!BD:BD)</f>
        <v>0</v>
      </c>
      <c r="BT110" s="106">
        <f>+_xlfn.XLOOKUP($BD110,Budget!$A:$A,Budget!BE:BE)</f>
        <v>0</v>
      </c>
      <c r="BU110" s="106">
        <f>+_xlfn.XLOOKUP($BD110,Budget!$A:$A,Budget!BF:BF)</f>
        <v>0</v>
      </c>
      <c r="BV110" s="106">
        <f>+_xlfn.XLOOKUP($BD110,Budget!$A:$A,Budget!BG:BG)</f>
        <v>0</v>
      </c>
      <c r="BW110" s="106">
        <f>+_xlfn.XLOOKUP($BD110,Budget!$A:$A,Budget!BH:BH)</f>
        <v>0</v>
      </c>
      <c r="BX110" s="106">
        <f>+_xlfn.XLOOKUP($BD110,Budget!$A:$A,Budget!BI:BI)</f>
        <v>0</v>
      </c>
      <c r="BY110" s="106">
        <f>+_xlfn.XLOOKUP($BD110,Budget!$A:$A,Budget!BJ:BJ)</f>
        <v>0</v>
      </c>
      <c r="BZ110" s="106">
        <f>+_xlfn.XLOOKUP($BD110,Budget!$A:$A,Budget!BK:BK)</f>
        <v>0</v>
      </c>
      <c r="CA110" s="106">
        <f>+_xlfn.XLOOKUP($BD110,Budget!$A:$A,Budget!BL:BL)</f>
        <v>0</v>
      </c>
      <c r="CB110" s="106">
        <f>+_xlfn.XLOOKUP($BD110,Budget!$A:$A,Budget!BM:BM)</f>
        <v>0</v>
      </c>
      <c r="CC110" s="106">
        <f>+_xlfn.XLOOKUP($BD110,Budget!$A:$A,Budget!BN:BN)</f>
        <v>0</v>
      </c>
      <c r="CD110" s="106">
        <f>+_xlfn.XLOOKUP($BD110,Budget!$A:$A,Budget!BO:BO)</f>
        <v>0</v>
      </c>
      <c r="CE110" s="106">
        <f t="shared" si="1292"/>
        <v>0</v>
      </c>
      <c r="CF110" s="106"/>
      <c r="CG110" s="110">
        <v>0</v>
      </c>
      <c r="CH110" s="106">
        <v>0</v>
      </c>
      <c r="CI110" s="106">
        <v>0</v>
      </c>
      <c r="CJ110" s="106">
        <v>0</v>
      </c>
      <c r="CK110" s="106">
        <v>0</v>
      </c>
      <c r="CL110" s="106">
        <v>0</v>
      </c>
      <c r="CM110" s="106">
        <v>0</v>
      </c>
      <c r="CN110" s="106">
        <v>485.28000000000031</v>
      </c>
      <c r="CO110" s="106">
        <v>15290</v>
      </c>
      <c r="CP110" s="106">
        <v>0</v>
      </c>
      <c r="CQ110" s="106">
        <v>0</v>
      </c>
      <c r="CR110" s="106">
        <v>0</v>
      </c>
      <c r="CS110" s="106">
        <f t="shared" si="1293"/>
        <v>15775.28</v>
      </c>
      <c r="CT110" s="16" t="str">
        <f t="shared" si="901"/>
        <v>Retail Activation Program</v>
      </c>
      <c r="CU110" s="106">
        <f>+VLOOKUP($BD110,'Jan-25'!$A:$J,8,0)</f>
        <v>0</v>
      </c>
      <c r="CV110" s="106">
        <f>+VLOOKUP($BD110,'Feb-25'!$A:$J,8,0)</f>
        <v>0</v>
      </c>
      <c r="CW110" s="106">
        <f>+VLOOKUP($BD110,'Mar-25'!$A:$J,8,0)</f>
        <v>15.3</v>
      </c>
      <c r="CX110" s="106">
        <f>+VLOOKUP($BD110,'Apr-25'!$A:$J,8,0)</f>
        <v>0</v>
      </c>
      <c r="CY110" s="106">
        <f>+VLOOKUP($BD110,'May-25'!$A:$J,8,0)</f>
        <v>900</v>
      </c>
      <c r="CZ110" s="106">
        <f>+VLOOKUP($BD110,'June-25'!$A:$J,8,0)</f>
        <v>0</v>
      </c>
      <c r="DA110" s="106">
        <f>+VLOOKUP($BD110,'July-25'!$A:$J,8,0)</f>
        <v>0</v>
      </c>
      <c r="DB110" s="106">
        <f>+VLOOKUP($BD110,'Aug-25'!$A:$J,8,0)</f>
        <v>23483.040000000001</v>
      </c>
      <c r="DC110" s="106">
        <f>+VLOOKUP($BD110,'Sep-25'!$A:$J,8,0)</f>
        <v>0</v>
      </c>
      <c r="DD110" s="106">
        <f>+VLOOKUP($BD110,'Oct-25'!$A:$J,8,0)</f>
        <v>0</v>
      </c>
      <c r="DE110" s="106">
        <f>+VLOOKUP($BD110,'Nov-25'!$A:$J,8,0)</f>
        <v>0</v>
      </c>
      <c r="DF110" s="106">
        <f>+VLOOKUP($BD110,'Dec-25'!$A:$J,8,0)</f>
        <v>0</v>
      </c>
      <c r="DG110" s="106">
        <f t="shared" si="1294"/>
        <v>24398.34</v>
      </c>
      <c r="DH110" s="118">
        <f t="shared" si="1225"/>
        <v>0</v>
      </c>
      <c r="DI110" s="106">
        <f>+_xlfn.XLOOKUP($CT110,Budget!$A:$A,Budget!CQ:CQ)</f>
        <v>0</v>
      </c>
      <c r="DJ110" s="106">
        <f>+_xlfn.XLOOKUP($CT110,Budget!$A:$A,Budget!CR:CR)</f>
        <v>0</v>
      </c>
      <c r="DK110" s="106">
        <f>+_xlfn.XLOOKUP($CT110,Budget!$A:$A,Budget!CS:CS)</f>
        <v>0</v>
      </c>
      <c r="DL110" s="106">
        <f>+_xlfn.XLOOKUP($CT110,Budget!$A:$A,Budget!CT:CT)</f>
        <v>0</v>
      </c>
      <c r="DM110" s="106">
        <f>+_xlfn.XLOOKUP($CT110,Budget!$A:$A,Budget!CU:CU)</f>
        <v>0</v>
      </c>
      <c r="DN110" s="106">
        <f>+_xlfn.XLOOKUP($CT110,Budget!$A:$A,Budget!CV:CV)</f>
        <v>0</v>
      </c>
      <c r="DO110" s="106">
        <f>+_xlfn.XLOOKUP($CT110,Budget!$A:$A,Budget!CW:CW)</f>
        <v>0</v>
      </c>
      <c r="DP110" s="106">
        <f>+_xlfn.XLOOKUP($CT110,Budget!$A:$A,Budget!CX:CX)</f>
        <v>0</v>
      </c>
      <c r="DQ110" s="106">
        <f>+_xlfn.XLOOKUP($CT110,Budget!$A:$A,Budget!CY:CY)</f>
        <v>0</v>
      </c>
      <c r="DR110" s="106">
        <f>+_xlfn.XLOOKUP($CT110,Budget!$A:$A,Budget!CZ:CZ)</f>
        <v>0</v>
      </c>
      <c r="DS110" s="106">
        <f>+_xlfn.XLOOKUP($CT110,Budget!$A:$A,Budget!DA:DA)</f>
        <v>0</v>
      </c>
      <c r="DT110" s="106">
        <f>+_xlfn.XLOOKUP($CT110,Budget!$A:$A,Budget!DB:DB)</f>
        <v>0</v>
      </c>
      <c r="DU110" s="106">
        <f t="shared" si="1295"/>
        <v>0</v>
      </c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106">
        <f t="shared" si="1296"/>
        <v>0</v>
      </c>
      <c r="EJ110" s="16" t="str">
        <f t="shared" si="966"/>
        <v>Retail Activation Program</v>
      </c>
      <c r="EK110" s="22">
        <f>+VLOOKUP($BD110,'Jan-25'!$A:$J,10,0)</f>
        <v>0</v>
      </c>
      <c r="EL110" s="22">
        <f>+VLOOKUP($BD110,'Feb-25'!$A:$J,10,0)</f>
        <v>0</v>
      </c>
      <c r="EM110" s="22">
        <f>+VLOOKUP($BD110,'Mar-25'!$A:$J,10,0)</f>
        <v>0</v>
      </c>
      <c r="EN110" s="22">
        <f>+VLOOKUP($BD110,'Apr-25'!$A:$J,10,0)</f>
        <v>0</v>
      </c>
      <c r="EO110" s="22">
        <f>+VLOOKUP($BD110,'May-25'!$A:$J,10,0)</f>
        <v>0</v>
      </c>
      <c r="EP110" s="22">
        <f>+VLOOKUP($BD110,'June-25'!$A:$J,10,0)</f>
        <v>0</v>
      </c>
      <c r="EQ110" s="22">
        <f>+VLOOKUP($BD110,'July-25'!$A:$J,10,0)</f>
        <v>0</v>
      </c>
      <c r="ER110" s="22">
        <f>+VLOOKUP($BD110,'Aug-25'!$A:$J,10,0)</f>
        <v>0</v>
      </c>
      <c r="ES110" s="22">
        <f>+VLOOKUP($BD110,'Sep-25'!$A:$J,10,0)</f>
        <v>0</v>
      </c>
      <c r="ET110" s="22">
        <f>+VLOOKUP($BD110,'Oct-25'!$A:$J,10,0)</f>
        <v>0</v>
      </c>
      <c r="EU110" s="22">
        <f>+VLOOKUP($BD110,'Nov-25'!$A:$J,10,0)</f>
        <v>0</v>
      </c>
      <c r="EV110" s="22">
        <f>+VLOOKUP($BD110,'Dec-25'!$A:$J,10,0)</f>
        <v>0</v>
      </c>
      <c r="EW110" s="22">
        <f t="shared" si="1297"/>
        <v>0</v>
      </c>
      <c r="EX110" s="118" t="e">
        <f t="shared" si="1226"/>
        <v>#DIV/0!</v>
      </c>
      <c r="EY110" s="106">
        <f>+_xlfn.XLOOKUP($EJ110,Budget!$A:$A,Budget!DR:DR)</f>
        <v>0</v>
      </c>
      <c r="EZ110" s="106">
        <f>+_xlfn.XLOOKUP($EJ110,Budget!$A:$A,Budget!DS:DS)</f>
        <v>0</v>
      </c>
      <c r="FA110" s="106">
        <f>+_xlfn.XLOOKUP($EJ110,Budget!$A:$A,Budget!DT:DT)</f>
        <v>0</v>
      </c>
      <c r="FB110" s="106">
        <f>+_xlfn.XLOOKUP($EJ110,Budget!$A:$A,Budget!DU:DU)</f>
        <v>0</v>
      </c>
      <c r="FC110" s="106">
        <f>+_xlfn.XLOOKUP($EJ110,Budget!$A:$A,Budget!DV:DV)</f>
        <v>0</v>
      </c>
      <c r="FD110" s="106">
        <f>+_xlfn.XLOOKUP($EJ110,Budget!$A:$A,Budget!DW:DW)</f>
        <v>0</v>
      </c>
      <c r="FE110" s="106">
        <f>+_xlfn.XLOOKUP($EJ110,Budget!$A:$A,Budget!DX:DX)</f>
        <v>0</v>
      </c>
      <c r="FF110" s="106">
        <f>+_xlfn.XLOOKUP($EJ110,Budget!$A:$A,Budget!DY:DY)</f>
        <v>0</v>
      </c>
      <c r="FG110" s="106">
        <f>+_xlfn.XLOOKUP($EJ110,Budget!$A:$A,Budget!DZ:DZ)</f>
        <v>0</v>
      </c>
      <c r="FH110" s="106">
        <f>+_xlfn.XLOOKUP($EJ110,Budget!$A:$A,Budget!EA:EA)</f>
        <v>0</v>
      </c>
      <c r="FI110" s="106">
        <f>+_xlfn.XLOOKUP($EJ110,Budget!$A:$A,Budget!EB:EB)</f>
        <v>0</v>
      </c>
      <c r="FJ110" s="106">
        <f>+_xlfn.XLOOKUP($EJ110,Budget!$A:$A,Budget!EC:EC)</f>
        <v>0</v>
      </c>
      <c r="FK110" s="106">
        <f t="shared" si="1298"/>
        <v>0</v>
      </c>
    </row>
    <row r="111" spans="1:167" ht="14.45" hidden="1" customHeight="1" outlineLevel="1">
      <c r="A111" s="106">
        <f t="shared" si="1262"/>
        <v>0</v>
      </c>
      <c r="B111" s="106">
        <f t="shared" si="1262"/>
        <v>0</v>
      </c>
      <c r="C111" s="106">
        <f t="shared" si="1262"/>
        <v>0</v>
      </c>
      <c r="D111" s="106">
        <f t="shared" si="1262"/>
        <v>0</v>
      </c>
      <c r="E111" s="106">
        <f t="shared" si="1262"/>
        <v>0</v>
      </c>
      <c r="F111" s="106">
        <f t="shared" si="1262"/>
        <v>0</v>
      </c>
      <c r="G111" s="106">
        <f t="shared" si="1262"/>
        <v>0</v>
      </c>
      <c r="H111" s="106">
        <f t="shared" si="1262"/>
        <v>0</v>
      </c>
      <c r="I111" s="106">
        <f t="shared" si="1262"/>
        <v>0</v>
      </c>
      <c r="J111" s="106">
        <f t="shared" si="1262"/>
        <v>0</v>
      </c>
      <c r="K111" s="106">
        <f t="shared" si="1262"/>
        <v>0</v>
      </c>
      <c r="L111" s="106">
        <f t="shared" si="1262"/>
        <v>0</v>
      </c>
      <c r="M111" s="106">
        <f t="shared" si="1263"/>
        <v>0</v>
      </c>
      <c r="N111" s="16" t="s">
        <v>91</v>
      </c>
      <c r="O111" s="106">
        <f t="shared" si="1264"/>
        <v>0</v>
      </c>
      <c r="P111" s="106">
        <f t="shared" si="1265"/>
        <v>0</v>
      </c>
      <c r="Q111" s="106">
        <f t="shared" si="1266"/>
        <v>0</v>
      </c>
      <c r="R111" s="106">
        <f t="shared" si="1267"/>
        <v>0</v>
      </c>
      <c r="S111" s="106">
        <f t="shared" si="1268"/>
        <v>0</v>
      </c>
      <c r="T111" s="106">
        <f t="shared" si="1269"/>
        <v>0</v>
      </c>
      <c r="U111" s="106">
        <f t="shared" si="1270"/>
        <v>0</v>
      </c>
      <c r="V111" s="106">
        <f t="shared" si="1271"/>
        <v>0</v>
      </c>
      <c r="W111" s="106">
        <f t="shared" si="1272"/>
        <v>0</v>
      </c>
      <c r="X111" s="106">
        <f t="shared" si="1273"/>
        <v>0</v>
      </c>
      <c r="Y111" s="106">
        <f t="shared" si="1274"/>
        <v>0</v>
      </c>
      <c r="Z111" s="106">
        <f t="shared" si="1275"/>
        <v>0</v>
      </c>
      <c r="AA111" s="106">
        <f t="shared" si="1276"/>
        <v>0</v>
      </c>
      <c r="AB111" s="118">
        <f t="shared" si="1223"/>
        <v>-1</v>
      </c>
      <c r="AC111" s="106">
        <f t="shared" si="1277"/>
        <v>0</v>
      </c>
      <c r="AD111" s="106">
        <f t="shared" si="1278"/>
        <v>0</v>
      </c>
      <c r="AE111" s="106">
        <f t="shared" si="1279"/>
        <v>0</v>
      </c>
      <c r="AF111" s="106">
        <f t="shared" si="1280"/>
        <v>0</v>
      </c>
      <c r="AG111" s="106">
        <f t="shared" si="1281"/>
        <v>155270</v>
      </c>
      <c r="AH111" s="106">
        <f t="shared" si="1282"/>
        <v>106119.00000000001</v>
      </c>
      <c r="AI111" s="106">
        <f t="shared" si="1283"/>
        <v>105729</v>
      </c>
      <c r="AJ111" s="106">
        <f t="shared" si="1284"/>
        <v>109530</v>
      </c>
      <c r="AK111" s="106">
        <f t="shared" si="1285"/>
        <v>125340</v>
      </c>
      <c r="AL111" s="106">
        <f t="shared" si="1286"/>
        <v>90005</v>
      </c>
      <c r="AM111" s="106">
        <f t="shared" si="1287"/>
        <v>100000</v>
      </c>
      <c r="AN111" s="106">
        <f t="shared" si="1288"/>
        <v>76082</v>
      </c>
      <c r="AO111" s="106">
        <f t="shared" si="1289"/>
        <v>868075</v>
      </c>
      <c r="AQ111" s="106">
        <v>0</v>
      </c>
      <c r="AR111" s="106">
        <v>0</v>
      </c>
      <c r="AS111" s="106">
        <v>0</v>
      </c>
      <c r="AT111" s="106">
        <v>0</v>
      </c>
      <c r="AU111" s="106">
        <v>0</v>
      </c>
      <c r="AV111" s="106">
        <v>0</v>
      </c>
      <c r="AW111" s="106">
        <v>0</v>
      </c>
      <c r="AX111" s="106">
        <v>0</v>
      </c>
      <c r="AY111" s="106">
        <v>0</v>
      </c>
      <c r="AZ111" s="106">
        <v>0</v>
      </c>
      <c r="BA111" s="106">
        <v>0</v>
      </c>
      <c r="BB111" s="106">
        <v>0</v>
      </c>
      <c r="BC111" s="106">
        <f t="shared" si="1290"/>
        <v>0</v>
      </c>
      <c r="BD111" s="16" t="str">
        <f t="shared" si="900"/>
        <v>Retention Program</v>
      </c>
      <c r="BE111" s="106">
        <f>+VLOOKUP($BD111,'Jan-25'!$A:$J,5,0)</f>
        <v>0</v>
      </c>
      <c r="BF111" s="106">
        <f>+VLOOKUP($BD111,'Feb-25'!$A:$J,5,0)</f>
        <v>0</v>
      </c>
      <c r="BG111" s="106">
        <f>+VLOOKUP($BD111,'Mar-25'!$A:$J,5,0)</f>
        <v>0</v>
      </c>
      <c r="BH111" s="106">
        <f>+VLOOKUP($BD111,'Apr-25'!$A:$J,5,0)</f>
        <v>0</v>
      </c>
      <c r="BI111" s="106">
        <f>+VLOOKUP($BD111,'May-25'!$A:$J,5,0)</f>
        <v>0</v>
      </c>
      <c r="BJ111" s="106">
        <f>+VLOOKUP($BD111,'June-25'!$A:$J,5,0)</f>
        <v>0</v>
      </c>
      <c r="BK111" s="106">
        <f>+VLOOKUP($BD111,'July-25'!$A:$J,5,0)</f>
        <v>0</v>
      </c>
      <c r="BL111" s="106">
        <f>+VLOOKUP($BD111,'Aug-25'!$A:$J,5,0)</f>
        <v>0</v>
      </c>
      <c r="BM111" s="106">
        <f>+VLOOKUP($BD111,'Sep-25'!$A:$J,5,0)</f>
        <v>0</v>
      </c>
      <c r="BN111" s="106">
        <f>+VLOOKUP($BD111,'Oct-25'!$A:$J,5,0)</f>
        <v>0</v>
      </c>
      <c r="BO111" s="106">
        <f>+VLOOKUP($BD111,'Nov-25'!$A:$J,5,0)</f>
        <v>0</v>
      </c>
      <c r="BP111" s="106">
        <f>+VLOOKUP($BD111,'Dec-25'!$A:$J,5,0)</f>
        <v>0</v>
      </c>
      <c r="BQ111" s="106">
        <f t="shared" si="1291"/>
        <v>0</v>
      </c>
      <c r="BR111" s="118">
        <f t="shared" si="1224"/>
        <v>0</v>
      </c>
      <c r="BS111" s="106">
        <f>+_xlfn.XLOOKUP($BD111,Budget!$A:$A,Budget!BD:BD)</f>
        <v>0</v>
      </c>
      <c r="BT111" s="106">
        <f>+_xlfn.XLOOKUP($BD111,Budget!$A:$A,Budget!BE:BE)</f>
        <v>0</v>
      </c>
      <c r="BU111" s="106">
        <f>+_xlfn.XLOOKUP($BD111,Budget!$A:$A,Budget!BF:BF)</f>
        <v>0</v>
      </c>
      <c r="BV111" s="106">
        <f>+_xlfn.XLOOKUP($BD111,Budget!$A:$A,Budget!BG:BG)</f>
        <v>0</v>
      </c>
      <c r="BW111" s="106">
        <f>+_xlfn.XLOOKUP($BD111,Budget!$A:$A,Budget!BH:BH)</f>
        <v>0</v>
      </c>
      <c r="BX111" s="106">
        <f>+_xlfn.XLOOKUP($BD111,Budget!$A:$A,Budget!BI:BI)</f>
        <v>0</v>
      </c>
      <c r="BY111" s="106">
        <f>+_xlfn.XLOOKUP($BD111,Budget!$A:$A,Budget!BJ:BJ)</f>
        <v>0</v>
      </c>
      <c r="BZ111" s="106">
        <f>+_xlfn.XLOOKUP($BD111,Budget!$A:$A,Budget!BK:BK)</f>
        <v>0</v>
      </c>
      <c r="CA111" s="106">
        <f>+_xlfn.XLOOKUP($BD111,Budget!$A:$A,Budget!BL:BL)</f>
        <v>0</v>
      </c>
      <c r="CB111" s="106">
        <f>+_xlfn.XLOOKUP($BD111,Budget!$A:$A,Budget!BM:BM)</f>
        <v>0</v>
      </c>
      <c r="CC111" s="106">
        <f>+_xlfn.XLOOKUP($BD111,Budget!$A:$A,Budget!BN:BN)</f>
        <v>0</v>
      </c>
      <c r="CD111" s="106">
        <f>+_xlfn.XLOOKUP($BD111,Budget!$A:$A,Budget!BO:BO)</f>
        <v>0</v>
      </c>
      <c r="CE111" s="106">
        <f t="shared" si="1292"/>
        <v>0</v>
      </c>
      <c r="CF111" s="106"/>
      <c r="CG111" s="110">
        <v>0</v>
      </c>
      <c r="CH111" s="106">
        <v>0</v>
      </c>
      <c r="CI111" s="106">
        <v>0</v>
      </c>
      <c r="CJ111" s="106">
        <v>0</v>
      </c>
      <c r="CK111" s="106">
        <v>0</v>
      </c>
      <c r="CL111" s="106">
        <v>0</v>
      </c>
      <c r="CM111" s="106">
        <v>0</v>
      </c>
      <c r="CN111" s="106">
        <v>0</v>
      </c>
      <c r="CO111" s="106">
        <v>0</v>
      </c>
      <c r="CP111" s="106">
        <v>0</v>
      </c>
      <c r="CQ111" s="106">
        <v>0</v>
      </c>
      <c r="CR111" s="106">
        <v>0</v>
      </c>
      <c r="CS111" s="106">
        <f t="shared" si="1293"/>
        <v>0</v>
      </c>
      <c r="CT111" s="16" t="str">
        <f t="shared" si="901"/>
        <v>Retention Program</v>
      </c>
      <c r="CU111" s="106">
        <f>+VLOOKUP($BD111,'Jan-25'!$A:$J,8,0)</f>
        <v>0</v>
      </c>
      <c r="CV111" s="106">
        <f>+VLOOKUP($BD111,'Feb-25'!$A:$J,8,0)</f>
        <v>0</v>
      </c>
      <c r="CW111" s="106">
        <f>+VLOOKUP($BD111,'Mar-25'!$A:$J,8,0)</f>
        <v>0</v>
      </c>
      <c r="CX111" s="106">
        <f>+VLOOKUP($BD111,'Apr-25'!$A:$J,8,0)</f>
        <v>0</v>
      </c>
      <c r="CY111" s="106">
        <f>+VLOOKUP($BD111,'May-25'!$A:$J,8,0)</f>
        <v>0</v>
      </c>
      <c r="CZ111" s="106">
        <f>+VLOOKUP($BD111,'June-25'!$A:$J,8,0)</f>
        <v>0</v>
      </c>
      <c r="DA111" s="106">
        <f>+VLOOKUP($BD111,'July-25'!$A:$J,8,0)</f>
        <v>0</v>
      </c>
      <c r="DB111" s="106">
        <f>+VLOOKUP($BD111,'Aug-25'!$A:$J,8,0)</f>
        <v>0</v>
      </c>
      <c r="DC111" s="106">
        <f>+VLOOKUP($BD111,'Sep-25'!$A:$J,8,0)</f>
        <v>0</v>
      </c>
      <c r="DD111" s="106">
        <f>+VLOOKUP($BD111,'Oct-25'!$A:$J,8,0)</f>
        <v>0</v>
      </c>
      <c r="DE111" s="106">
        <f>+VLOOKUP($BD111,'Nov-25'!$A:$J,8,0)</f>
        <v>0</v>
      </c>
      <c r="DF111" s="106">
        <f>+VLOOKUP($BD111,'Dec-25'!$A:$J,8,0)</f>
        <v>0</v>
      </c>
      <c r="DG111" s="106">
        <f t="shared" si="1294"/>
        <v>0</v>
      </c>
      <c r="DH111" s="118">
        <f t="shared" si="1225"/>
        <v>-1</v>
      </c>
      <c r="DI111" s="106">
        <f>+_xlfn.XLOOKUP($CT111,Budget!$A:$A,Budget!CQ:CQ)</f>
        <v>0</v>
      </c>
      <c r="DJ111" s="106">
        <f>+_xlfn.XLOOKUP($CT111,Budget!$A:$A,Budget!CR:CR)</f>
        <v>0</v>
      </c>
      <c r="DK111" s="106">
        <f>+_xlfn.XLOOKUP($CT111,Budget!$A:$A,Budget!CS:CS)</f>
        <v>0</v>
      </c>
      <c r="DL111" s="106">
        <f>+_xlfn.XLOOKUP($CT111,Budget!$A:$A,Budget!CT:CT)</f>
        <v>0</v>
      </c>
      <c r="DM111" s="106">
        <f>+_xlfn.XLOOKUP($CT111,Budget!$A:$A,Budget!CU:CU)</f>
        <v>155270</v>
      </c>
      <c r="DN111" s="106">
        <f>+_xlfn.XLOOKUP($CT111,Budget!$A:$A,Budget!CV:CV)</f>
        <v>106119.00000000001</v>
      </c>
      <c r="DO111" s="106">
        <f>+_xlfn.XLOOKUP($CT111,Budget!$A:$A,Budget!CW:CW)</f>
        <v>105729</v>
      </c>
      <c r="DP111" s="106">
        <f>+_xlfn.XLOOKUP($CT111,Budget!$A:$A,Budget!CX:CX)</f>
        <v>109530</v>
      </c>
      <c r="DQ111" s="106">
        <f>+_xlfn.XLOOKUP($CT111,Budget!$A:$A,Budget!CY:CY)</f>
        <v>125340</v>
      </c>
      <c r="DR111" s="106">
        <f>+_xlfn.XLOOKUP($CT111,Budget!$A:$A,Budget!CZ:CZ)</f>
        <v>90005</v>
      </c>
      <c r="DS111" s="106">
        <f>+_xlfn.XLOOKUP($CT111,Budget!$A:$A,Budget!DA:DA)</f>
        <v>100000</v>
      </c>
      <c r="DT111" s="106">
        <f>+_xlfn.XLOOKUP($CT111,Budget!$A:$A,Budget!DB:DB)</f>
        <v>76082</v>
      </c>
      <c r="DU111" s="106">
        <f t="shared" si="1295"/>
        <v>868075</v>
      </c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106">
        <f t="shared" si="1296"/>
        <v>0</v>
      </c>
      <c r="EJ111" s="16" t="str">
        <f t="shared" si="966"/>
        <v>Retention Program</v>
      </c>
      <c r="EK111" s="22">
        <f>+VLOOKUP($BD111,'Jan-25'!$A:$J,10,0)</f>
        <v>0</v>
      </c>
      <c r="EL111" s="22">
        <f>+VLOOKUP($BD111,'Feb-25'!$A:$J,10,0)</f>
        <v>0</v>
      </c>
      <c r="EM111" s="22">
        <f>+VLOOKUP($BD111,'Mar-25'!$A:$J,10,0)</f>
        <v>0</v>
      </c>
      <c r="EN111" s="22">
        <f>+VLOOKUP($BD111,'Apr-25'!$A:$J,10,0)</f>
        <v>0</v>
      </c>
      <c r="EO111" s="22">
        <f>+VLOOKUP($BD111,'May-25'!$A:$J,10,0)</f>
        <v>0</v>
      </c>
      <c r="EP111" s="22">
        <f>+VLOOKUP($BD111,'June-25'!$A:$J,10,0)</f>
        <v>0</v>
      </c>
      <c r="EQ111" s="22">
        <f>+VLOOKUP($BD111,'July-25'!$A:$J,10,0)</f>
        <v>0</v>
      </c>
      <c r="ER111" s="22">
        <f>+VLOOKUP($BD111,'Aug-25'!$A:$J,10,0)</f>
        <v>0</v>
      </c>
      <c r="ES111" s="22">
        <f>+VLOOKUP($BD111,'Sep-25'!$A:$J,10,0)</f>
        <v>0</v>
      </c>
      <c r="ET111" s="22">
        <f>+VLOOKUP($BD111,'Oct-25'!$A:$J,10,0)</f>
        <v>0</v>
      </c>
      <c r="EU111" s="22">
        <f>+VLOOKUP($BD111,'Nov-25'!$A:$J,10,0)</f>
        <v>0</v>
      </c>
      <c r="EV111" s="22">
        <f>+VLOOKUP($BD111,'Dec-25'!$A:$J,10,0)</f>
        <v>0</v>
      </c>
      <c r="EW111" s="22">
        <f t="shared" si="1297"/>
        <v>0</v>
      </c>
      <c r="EX111" s="118" t="e">
        <f t="shared" si="1226"/>
        <v>#DIV/0!</v>
      </c>
      <c r="EY111" s="106">
        <f>+_xlfn.XLOOKUP($EJ111,Budget!$A:$A,Budget!DR:DR)</f>
        <v>0</v>
      </c>
      <c r="EZ111" s="106">
        <f>+_xlfn.XLOOKUP($EJ111,Budget!$A:$A,Budget!DS:DS)</f>
        <v>0</v>
      </c>
      <c r="FA111" s="106">
        <f>+_xlfn.XLOOKUP($EJ111,Budget!$A:$A,Budget!DT:DT)</f>
        <v>0</v>
      </c>
      <c r="FB111" s="106">
        <f>+_xlfn.XLOOKUP($EJ111,Budget!$A:$A,Budget!DU:DU)</f>
        <v>0</v>
      </c>
      <c r="FC111" s="106">
        <f>+_xlfn.XLOOKUP($EJ111,Budget!$A:$A,Budget!DV:DV)</f>
        <v>0</v>
      </c>
      <c r="FD111" s="106">
        <f>+_xlfn.XLOOKUP($EJ111,Budget!$A:$A,Budget!DW:DW)</f>
        <v>0</v>
      </c>
      <c r="FE111" s="106">
        <f>+_xlfn.XLOOKUP($EJ111,Budget!$A:$A,Budget!DX:DX)</f>
        <v>0</v>
      </c>
      <c r="FF111" s="106">
        <f>+_xlfn.XLOOKUP($EJ111,Budget!$A:$A,Budget!DY:DY)</f>
        <v>0</v>
      </c>
      <c r="FG111" s="106">
        <f>+_xlfn.XLOOKUP($EJ111,Budget!$A:$A,Budget!DZ:DZ)</f>
        <v>0</v>
      </c>
      <c r="FH111" s="106">
        <f>+_xlfn.XLOOKUP($EJ111,Budget!$A:$A,Budget!EA:EA)</f>
        <v>0</v>
      </c>
      <c r="FI111" s="106">
        <f>+_xlfn.XLOOKUP($EJ111,Budget!$A:$A,Budget!EB:EB)</f>
        <v>0</v>
      </c>
      <c r="FJ111" s="106">
        <f>+_xlfn.XLOOKUP($EJ111,Budget!$A:$A,Budget!EC:EC)</f>
        <v>0</v>
      </c>
      <c r="FK111" s="106">
        <f t="shared" si="1298"/>
        <v>0</v>
      </c>
    </row>
    <row r="112" spans="1:167" ht="14.45" hidden="1" customHeight="1" outlineLevel="1">
      <c r="A112" s="106">
        <f t="shared" si="1262"/>
        <v>0</v>
      </c>
      <c r="B112" s="106">
        <f t="shared" si="1262"/>
        <v>0</v>
      </c>
      <c r="C112" s="106">
        <f t="shared" si="1262"/>
        <v>0</v>
      </c>
      <c r="D112" s="106">
        <f t="shared" si="1262"/>
        <v>0</v>
      </c>
      <c r="E112" s="106">
        <f t="shared" si="1262"/>
        <v>0</v>
      </c>
      <c r="F112" s="106">
        <f t="shared" si="1262"/>
        <v>0</v>
      </c>
      <c r="G112" s="106">
        <f t="shared" si="1262"/>
        <v>0</v>
      </c>
      <c r="H112" s="106">
        <f t="shared" si="1262"/>
        <v>0</v>
      </c>
      <c r="I112" s="106">
        <f t="shared" si="1262"/>
        <v>0</v>
      </c>
      <c r="J112" s="106">
        <f t="shared" si="1262"/>
        <v>9100</v>
      </c>
      <c r="K112" s="106">
        <f t="shared" si="1262"/>
        <v>0</v>
      </c>
      <c r="L112" s="106">
        <f t="shared" si="1262"/>
        <v>0</v>
      </c>
      <c r="M112" s="106">
        <f t="shared" si="1263"/>
        <v>9100</v>
      </c>
      <c r="N112" s="16" t="s">
        <v>92</v>
      </c>
      <c r="O112" s="106">
        <f t="shared" si="1264"/>
        <v>0</v>
      </c>
      <c r="P112" s="106">
        <f t="shared" si="1265"/>
        <v>0</v>
      </c>
      <c r="Q112" s="106">
        <f t="shared" si="1266"/>
        <v>7920</v>
      </c>
      <c r="R112" s="106">
        <f t="shared" si="1267"/>
        <v>0</v>
      </c>
      <c r="S112" s="106">
        <f t="shared" si="1268"/>
        <v>79225.172000000006</v>
      </c>
      <c r="T112" s="106">
        <f t="shared" si="1269"/>
        <v>0</v>
      </c>
      <c r="U112" s="106">
        <f t="shared" si="1270"/>
        <v>0</v>
      </c>
      <c r="V112" s="106">
        <f t="shared" si="1271"/>
        <v>0</v>
      </c>
      <c r="W112" s="106">
        <f t="shared" si="1272"/>
        <v>0</v>
      </c>
      <c r="X112" s="106">
        <f t="shared" si="1273"/>
        <v>0</v>
      </c>
      <c r="Y112" s="106">
        <f t="shared" si="1274"/>
        <v>0</v>
      </c>
      <c r="Z112" s="106">
        <f t="shared" si="1275"/>
        <v>0</v>
      </c>
      <c r="AA112" s="106">
        <f t="shared" si="1276"/>
        <v>87145.172000000006</v>
      </c>
      <c r="AB112" s="118">
        <f t="shared" si="1223"/>
        <v>-1</v>
      </c>
      <c r="AC112" s="106">
        <f t="shared" si="1277"/>
        <v>3027.3074100000003</v>
      </c>
      <c r="AD112" s="106">
        <f t="shared" si="1278"/>
        <v>2995.7301240000002</v>
      </c>
      <c r="AE112" s="106">
        <f t="shared" si="1279"/>
        <v>3008.6904660000009</v>
      </c>
      <c r="AF112" s="106">
        <f t="shared" si="1280"/>
        <v>2509.8616942080002</v>
      </c>
      <c r="AG112" s="106">
        <f t="shared" si="1281"/>
        <v>2924.6572185600003</v>
      </c>
      <c r="AH112" s="106">
        <f t="shared" si="1282"/>
        <v>3079.4859743999996</v>
      </c>
      <c r="AI112" s="106">
        <f t="shared" si="1283"/>
        <v>3145.0671302400006</v>
      </c>
      <c r="AJ112" s="106">
        <f t="shared" si="1284"/>
        <v>3382.2901005600002</v>
      </c>
      <c r="AK112" s="106">
        <f t="shared" si="1285"/>
        <v>3539.7006011999997</v>
      </c>
      <c r="AL112" s="106">
        <f t="shared" si="1286"/>
        <v>3043.1437344000001</v>
      </c>
      <c r="AM112" s="106">
        <f t="shared" si="1287"/>
        <v>2541.2369875200002</v>
      </c>
      <c r="AN112" s="106">
        <f t="shared" si="1288"/>
        <v>3242.9096620800001</v>
      </c>
      <c r="AO112" s="106">
        <f t="shared" si="1289"/>
        <v>36440.081103167999</v>
      </c>
      <c r="AQ112" s="106">
        <v>0</v>
      </c>
      <c r="AR112" s="106">
        <v>0</v>
      </c>
      <c r="AS112" s="106">
        <v>0</v>
      </c>
      <c r="AT112" s="106">
        <v>0</v>
      </c>
      <c r="AU112" s="106">
        <v>0</v>
      </c>
      <c r="AV112" s="106">
        <v>0</v>
      </c>
      <c r="AW112" s="106">
        <v>0</v>
      </c>
      <c r="AX112" s="106">
        <v>0</v>
      </c>
      <c r="AY112" s="106">
        <v>0</v>
      </c>
      <c r="AZ112" s="106">
        <v>9100</v>
      </c>
      <c r="BA112" s="106">
        <v>0</v>
      </c>
      <c r="BB112" s="106">
        <v>0</v>
      </c>
      <c r="BC112" s="106">
        <f t="shared" si="1290"/>
        <v>9100</v>
      </c>
      <c r="BD112" s="16" t="str">
        <f t="shared" si="900"/>
        <v>Service Compaign and Other Activities</v>
      </c>
      <c r="BE112" s="106">
        <f>+VLOOKUP($BD112,'Jan-25'!$A:$J,5,0)</f>
        <v>0</v>
      </c>
      <c r="BF112" s="106">
        <f>+VLOOKUP($BD112,'Feb-25'!$A:$J,5,0)</f>
        <v>0</v>
      </c>
      <c r="BG112" s="106">
        <f>+VLOOKUP($BD112,'Mar-25'!$A:$J,5,0)</f>
        <v>5280</v>
      </c>
      <c r="BH112" s="106">
        <f>+VLOOKUP($BD112,'Apr-25'!$A:$J,5,0)</f>
        <v>0</v>
      </c>
      <c r="BI112" s="106">
        <f>+VLOOKUP($BD112,'May-25'!$A:$J,5,0)</f>
        <v>0</v>
      </c>
      <c r="BJ112" s="106">
        <f>+VLOOKUP($BD112,'June-25'!$A:$J,5,0)</f>
        <v>0</v>
      </c>
      <c r="BK112" s="106">
        <f>+VLOOKUP($BD112,'July-25'!$A:$J,5,0)</f>
        <v>0</v>
      </c>
      <c r="BL112" s="106">
        <f>+VLOOKUP($BD112,'Aug-25'!$A:$J,5,0)</f>
        <v>0</v>
      </c>
      <c r="BM112" s="106">
        <f>+VLOOKUP($BD112,'Sep-25'!$A:$J,5,0)</f>
        <v>0</v>
      </c>
      <c r="BN112" s="106">
        <f>+VLOOKUP($BD112,'Oct-25'!$A:$J,5,0)</f>
        <v>0</v>
      </c>
      <c r="BO112" s="106">
        <f>+VLOOKUP($BD112,'Nov-25'!$A:$J,5,0)</f>
        <v>0</v>
      </c>
      <c r="BP112" s="106">
        <f>+VLOOKUP($BD112,'Dec-25'!$A:$J,5,0)</f>
        <v>0</v>
      </c>
      <c r="BQ112" s="106">
        <f t="shared" si="1291"/>
        <v>5280</v>
      </c>
      <c r="BR112" s="118">
        <f t="shared" si="1224"/>
        <v>-1</v>
      </c>
      <c r="BS112" s="106">
        <f>+_xlfn.XLOOKUP($BD112,Budget!$A:$A,Budget!BD:BD)</f>
        <v>1961.6958900000002</v>
      </c>
      <c r="BT112" s="106">
        <f>+_xlfn.XLOOKUP($BD112,Budget!$A:$A,Budget!BE:BE)</f>
        <v>1905.6474360000002</v>
      </c>
      <c r="BU112" s="106">
        <f>+_xlfn.XLOOKUP($BD112,Budget!$A:$A,Budget!BF:BF)</f>
        <v>1737.5020740000004</v>
      </c>
      <c r="BV112" s="106">
        <f>+_xlfn.XLOOKUP($BD112,Budget!$A:$A,Budget!BG:BG)</f>
        <v>1678.7632942079999</v>
      </c>
      <c r="BW112" s="106">
        <f>+_xlfn.XLOOKUP($BD112,Budget!$A:$A,Budget!BH:BH)</f>
        <v>1829.42153856</v>
      </c>
      <c r="BX112" s="106">
        <f>+_xlfn.XLOOKUP($BD112,Budget!$A:$A,Budget!BI:BI)</f>
        <v>1883.2280543999998</v>
      </c>
      <c r="BY112" s="106">
        <f>+_xlfn.XLOOKUP($BD112,Budget!$A:$A,Budget!BJ:BJ)</f>
        <v>1937.0345702400002</v>
      </c>
      <c r="BZ112" s="106">
        <f>+_xlfn.XLOOKUP($BD112,Budget!$A:$A,Budget!BK:BK)</f>
        <v>1997.5669005600002</v>
      </c>
      <c r="CA112" s="106">
        <f>+_xlfn.XLOOKUP($BD112,Budget!$A:$A,Budget!BL:BL)</f>
        <v>2118.6315611999999</v>
      </c>
      <c r="CB112" s="106">
        <f>+_xlfn.XLOOKUP($BD112,Budget!$A:$A,Budget!BM:BM)</f>
        <v>1883.2280543999998</v>
      </c>
      <c r="CC112" s="106">
        <f>+_xlfn.XLOOKUP($BD112,Budget!$A:$A,Budget!BN:BN)</f>
        <v>1506.5824435200002</v>
      </c>
      <c r="CD112" s="106">
        <f>+_xlfn.XLOOKUP($BD112,Budget!$A:$A,Budget!BO:BO)</f>
        <v>1990.84108608</v>
      </c>
      <c r="CE112" s="106">
        <f t="shared" si="1292"/>
        <v>22430.142903168002</v>
      </c>
      <c r="CF112" s="106"/>
      <c r="CG112" s="110">
        <v>0</v>
      </c>
      <c r="CH112" s="106">
        <v>0</v>
      </c>
      <c r="CI112" s="106">
        <v>0</v>
      </c>
      <c r="CJ112" s="106">
        <v>0</v>
      </c>
      <c r="CK112" s="106">
        <v>0</v>
      </c>
      <c r="CL112" s="106">
        <v>0</v>
      </c>
      <c r="CM112" s="106">
        <v>0</v>
      </c>
      <c r="CN112" s="106">
        <v>0</v>
      </c>
      <c r="CO112" s="106">
        <v>0</v>
      </c>
      <c r="CP112" s="106">
        <v>0</v>
      </c>
      <c r="CQ112" s="106">
        <v>0</v>
      </c>
      <c r="CR112" s="106">
        <v>0</v>
      </c>
      <c r="CS112" s="106">
        <f t="shared" si="1293"/>
        <v>0</v>
      </c>
      <c r="CT112" s="16" t="str">
        <f t="shared" si="901"/>
        <v>Service Compaign and Other Activities</v>
      </c>
      <c r="CU112" s="106">
        <f>+VLOOKUP($BD112,'Jan-25'!$A:$J,8,0)</f>
        <v>0</v>
      </c>
      <c r="CV112" s="106">
        <f>+VLOOKUP($BD112,'Feb-25'!$A:$J,8,0)</f>
        <v>0</v>
      </c>
      <c r="CW112" s="106">
        <f>+VLOOKUP($BD112,'Mar-25'!$A:$J,8,0)</f>
        <v>2640</v>
      </c>
      <c r="CX112" s="106">
        <f>+VLOOKUP($BD112,'Apr-25'!$A:$J,8,0)</f>
        <v>0</v>
      </c>
      <c r="CY112" s="106">
        <f>+VLOOKUP($BD112,'May-25'!$A:$J,8,0)</f>
        <v>0</v>
      </c>
      <c r="CZ112" s="106">
        <f>+VLOOKUP($BD112,'June-25'!$A:$J,8,0)</f>
        <v>0</v>
      </c>
      <c r="DA112" s="106">
        <f>+VLOOKUP($BD112,'July-25'!$A:$J,8,0)</f>
        <v>0</v>
      </c>
      <c r="DB112" s="106">
        <f>+VLOOKUP($BD112,'Aug-25'!$A:$J,8,0)</f>
        <v>0</v>
      </c>
      <c r="DC112" s="106">
        <f>+VLOOKUP($BD112,'Sep-25'!$A:$J,8,0)</f>
        <v>0</v>
      </c>
      <c r="DD112" s="106">
        <f>+VLOOKUP($BD112,'Oct-25'!$A:$J,8,0)</f>
        <v>0</v>
      </c>
      <c r="DE112" s="106">
        <f>+VLOOKUP($BD112,'Nov-25'!$A:$J,8,0)</f>
        <v>0</v>
      </c>
      <c r="DF112" s="106">
        <f>+VLOOKUP($BD112,'Dec-25'!$A:$J,8,0)</f>
        <v>0</v>
      </c>
      <c r="DG112" s="106">
        <f t="shared" si="1294"/>
        <v>2640</v>
      </c>
      <c r="DH112" s="118">
        <f t="shared" si="1225"/>
        <v>-1</v>
      </c>
      <c r="DI112" s="106">
        <f>+_xlfn.XLOOKUP($CT112,Budget!$A:$A,Budget!CQ:CQ)</f>
        <v>716.33952000000011</v>
      </c>
      <c r="DJ112" s="106">
        <f>+_xlfn.XLOOKUP($CT112,Budget!$A:$A,Budget!CR:CR)</f>
        <v>764.09548800000016</v>
      </c>
      <c r="DK112" s="106">
        <f>+_xlfn.XLOOKUP($CT112,Budget!$A:$A,Budget!CS:CS)</f>
        <v>907.3633920000002</v>
      </c>
      <c r="DL112" s="106">
        <f>+_xlfn.XLOOKUP($CT112,Budget!$A:$A,Budget!CT:CT)</f>
        <v>505.11120000000011</v>
      </c>
      <c r="DM112" s="106">
        <f>+_xlfn.XLOOKUP($CT112,Budget!$A:$A,Budget!CU:CU)</f>
        <v>707.15568000000019</v>
      </c>
      <c r="DN112" s="106">
        <f>+_xlfn.XLOOKUP($CT112,Budget!$A:$A,Budget!CV:CV)</f>
        <v>808.17792000000009</v>
      </c>
      <c r="DO112" s="106">
        <f>+_xlfn.XLOOKUP($CT112,Budget!$A:$A,Budget!CW:CW)</f>
        <v>771.44256000000007</v>
      </c>
      <c r="DP112" s="106">
        <f>+_xlfn.XLOOKUP($CT112,Budget!$A:$A,Budget!CX:CX)</f>
        <v>964.30319999999995</v>
      </c>
      <c r="DQ112" s="106">
        <f>+_xlfn.XLOOKUP($CT112,Budget!$A:$A,Budget!CY:CY)</f>
        <v>1019.4062399999999</v>
      </c>
      <c r="DR112" s="106">
        <f>+_xlfn.XLOOKUP($CT112,Budget!$A:$A,Budget!CZ:CZ)</f>
        <v>707.15568000000019</v>
      </c>
      <c r="DS112" s="106">
        <f>+_xlfn.XLOOKUP($CT112,Budget!$A:$A,Budget!DA:DA)</f>
        <v>565.72454400000004</v>
      </c>
      <c r="DT112" s="106">
        <f>+_xlfn.XLOOKUP($CT112,Budget!$A:$A,Budget!DB:DB)</f>
        <v>747.5645760000001</v>
      </c>
      <c r="DU112" s="106">
        <f t="shared" si="1295"/>
        <v>9183.840000000002</v>
      </c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106">
        <f t="shared" si="1296"/>
        <v>0</v>
      </c>
      <c r="EJ112" s="16" t="str">
        <f t="shared" si="966"/>
        <v>Service Compaign and Other Activities</v>
      </c>
      <c r="EK112" s="22">
        <f>+VLOOKUP($BD112,'Jan-25'!$A:$J,10,0)</f>
        <v>0</v>
      </c>
      <c r="EL112" s="22">
        <f>+VLOOKUP($BD112,'Feb-25'!$A:$J,10,0)</f>
        <v>0</v>
      </c>
      <c r="EM112" s="22">
        <f>+VLOOKUP($BD112,'Mar-25'!$A:$J,10,0)</f>
        <v>0</v>
      </c>
      <c r="EN112" s="22">
        <f>+VLOOKUP($BD112,'Apr-25'!$A:$J,10,0)</f>
        <v>0</v>
      </c>
      <c r="EO112" s="22">
        <f>+VLOOKUP($BD112,'May-25'!$A:$J,10,0)</f>
        <v>79225.172000000006</v>
      </c>
      <c r="EP112" s="22">
        <f>+VLOOKUP($BD112,'June-25'!$A:$J,10,0)</f>
        <v>0</v>
      </c>
      <c r="EQ112" s="22">
        <f>+VLOOKUP($BD112,'July-25'!$A:$J,10,0)</f>
        <v>0</v>
      </c>
      <c r="ER112" s="22">
        <f>+VLOOKUP($BD112,'Aug-25'!$A:$J,10,0)</f>
        <v>0</v>
      </c>
      <c r="ES112" s="22">
        <f>+VLOOKUP($BD112,'Sep-25'!$A:$J,10,0)</f>
        <v>0</v>
      </c>
      <c r="ET112" s="22">
        <f>+VLOOKUP($BD112,'Oct-25'!$A:$J,10,0)</f>
        <v>0</v>
      </c>
      <c r="EU112" s="22">
        <f>+VLOOKUP($BD112,'Nov-25'!$A:$J,10,0)</f>
        <v>0</v>
      </c>
      <c r="EV112" s="22">
        <f>+VLOOKUP($BD112,'Dec-25'!$A:$J,10,0)</f>
        <v>0</v>
      </c>
      <c r="EW112" s="22">
        <f t="shared" si="1297"/>
        <v>79225.172000000006</v>
      </c>
      <c r="EX112" s="118">
        <f t="shared" si="1226"/>
        <v>-1</v>
      </c>
      <c r="EY112" s="106">
        <f>+_xlfn.XLOOKUP($EJ112,Budget!$A:$A,Budget!DR:DR)</f>
        <v>349.27200000000005</v>
      </c>
      <c r="EZ112" s="106">
        <f>+_xlfn.XLOOKUP($EJ112,Budget!$A:$A,Budget!DS:DS)</f>
        <v>325.98720000000014</v>
      </c>
      <c r="FA112" s="106">
        <f>+_xlfn.XLOOKUP($EJ112,Budget!$A:$A,Budget!DT:DT)</f>
        <v>363.8250000000001</v>
      </c>
      <c r="FB112" s="106">
        <f>+_xlfn.XLOOKUP($EJ112,Budget!$A:$A,Budget!DU:DU)</f>
        <v>325.98720000000014</v>
      </c>
      <c r="FC112" s="106">
        <f>+_xlfn.XLOOKUP($EJ112,Budget!$A:$A,Budget!DV:DV)</f>
        <v>388.08000000000004</v>
      </c>
      <c r="FD112" s="106">
        <f>+_xlfn.XLOOKUP($EJ112,Budget!$A:$A,Budget!DW:DW)</f>
        <v>388.08000000000004</v>
      </c>
      <c r="FE112" s="106">
        <f>+_xlfn.XLOOKUP($EJ112,Budget!$A:$A,Budget!DX:DX)</f>
        <v>436.59000000000015</v>
      </c>
      <c r="FF112" s="106">
        <f>+_xlfn.XLOOKUP($EJ112,Budget!$A:$A,Budget!DY:DY)</f>
        <v>420.42000000000007</v>
      </c>
      <c r="FG112" s="106">
        <f>+_xlfn.XLOOKUP($EJ112,Budget!$A:$A,Budget!DZ:DZ)</f>
        <v>401.66280000000012</v>
      </c>
      <c r="FH112" s="106">
        <f>+_xlfn.XLOOKUP($EJ112,Budget!$A:$A,Budget!EA:EA)</f>
        <v>452.76000000000005</v>
      </c>
      <c r="FI112" s="106">
        <f>+_xlfn.XLOOKUP($EJ112,Budget!$A:$A,Budget!EB:EB)</f>
        <v>468.93000000000006</v>
      </c>
      <c r="FJ112" s="106">
        <f>+_xlfn.XLOOKUP($EJ112,Budget!$A:$A,Budget!EC:EC)</f>
        <v>504.50400000000013</v>
      </c>
      <c r="FK112" s="106">
        <f t="shared" si="1298"/>
        <v>4826.0982000000004</v>
      </c>
    </row>
    <row r="113" spans="1:167" ht="14.45" hidden="1" customHeight="1" outlineLevel="1">
      <c r="A113" s="106">
        <f t="shared" si="1262"/>
        <v>0</v>
      </c>
      <c r="B113" s="106">
        <f t="shared" si="1262"/>
        <v>0</v>
      </c>
      <c r="C113" s="106">
        <f t="shared" si="1262"/>
        <v>0</v>
      </c>
      <c r="D113" s="106">
        <f t="shared" si="1262"/>
        <v>0</v>
      </c>
      <c r="E113" s="106">
        <f t="shared" si="1262"/>
        <v>0</v>
      </c>
      <c r="F113" s="106">
        <f t="shared" si="1262"/>
        <v>0</v>
      </c>
      <c r="G113" s="106">
        <f t="shared" si="1262"/>
        <v>0</v>
      </c>
      <c r="H113" s="106">
        <f t="shared" si="1262"/>
        <v>0</v>
      </c>
      <c r="I113" s="106">
        <f t="shared" si="1262"/>
        <v>0</v>
      </c>
      <c r="J113" s="106">
        <f t="shared" si="1262"/>
        <v>0</v>
      </c>
      <c r="K113" s="106">
        <f t="shared" si="1262"/>
        <v>0</v>
      </c>
      <c r="L113" s="106">
        <f t="shared" si="1262"/>
        <v>0</v>
      </c>
      <c r="M113" s="106">
        <f t="shared" si="1263"/>
        <v>0</v>
      </c>
      <c r="N113" s="16" t="s">
        <v>225</v>
      </c>
      <c r="O113" s="106">
        <f t="shared" si="1264"/>
        <v>0</v>
      </c>
      <c r="P113" s="106">
        <f t="shared" si="1265"/>
        <v>0</v>
      </c>
      <c r="Q113" s="106">
        <f t="shared" si="1266"/>
        <v>0</v>
      </c>
      <c r="R113" s="106">
        <f t="shared" si="1267"/>
        <v>0</v>
      </c>
      <c r="S113" s="106">
        <f t="shared" si="1268"/>
        <v>0</v>
      </c>
      <c r="T113" s="106">
        <f t="shared" si="1269"/>
        <v>0</v>
      </c>
      <c r="U113" s="106">
        <f t="shared" si="1270"/>
        <v>0</v>
      </c>
      <c r="V113" s="106">
        <f t="shared" si="1271"/>
        <v>0</v>
      </c>
      <c r="W113" s="106">
        <f t="shared" si="1272"/>
        <v>0</v>
      </c>
      <c r="X113" s="106">
        <f t="shared" si="1273"/>
        <v>0</v>
      </c>
      <c r="Y113" s="106">
        <f t="shared" si="1274"/>
        <v>0</v>
      </c>
      <c r="Z113" s="106">
        <f t="shared" si="1275"/>
        <v>0</v>
      </c>
      <c r="AA113" s="106">
        <f t="shared" si="1276"/>
        <v>0</v>
      </c>
      <c r="AB113" s="118">
        <f t="shared" si="1223"/>
        <v>0</v>
      </c>
      <c r="AC113" s="106">
        <f t="shared" si="1277"/>
        <v>0</v>
      </c>
      <c r="AD113" s="106">
        <f t="shared" si="1278"/>
        <v>0</v>
      </c>
      <c r="AE113" s="106">
        <f t="shared" si="1279"/>
        <v>0</v>
      </c>
      <c r="AF113" s="106">
        <f t="shared" si="1280"/>
        <v>0</v>
      </c>
      <c r="AG113" s="106">
        <f t="shared" si="1281"/>
        <v>0</v>
      </c>
      <c r="AH113" s="106">
        <f t="shared" si="1282"/>
        <v>0</v>
      </c>
      <c r="AI113" s="106">
        <f t="shared" si="1283"/>
        <v>0</v>
      </c>
      <c r="AJ113" s="106">
        <f t="shared" si="1284"/>
        <v>0</v>
      </c>
      <c r="AK113" s="106">
        <f t="shared" si="1285"/>
        <v>0</v>
      </c>
      <c r="AL113" s="106">
        <f t="shared" si="1286"/>
        <v>0</v>
      </c>
      <c r="AM113" s="106">
        <f t="shared" si="1287"/>
        <v>0</v>
      </c>
      <c r="AN113" s="106">
        <f t="shared" si="1288"/>
        <v>0</v>
      </c>
      <c r="AO113" s="106">
        <f t="shared" si="1289"/>
        <v>0</v>
      </c>
      <c r="AQ113" s="106">
        <v>0</v>
      </c>
      <c r="AR113" s="106">
        <v>0</v>
      </c>
      <c r="AS113" s="106">
        <v>0</v>
      </c>
      <c r="AT113" s="106">
        <v>0</v>
      </c>
      <c r="AU113" s="106">
        <v>0</v>
      </c>
      <c r="AV113" s="106">
        <v>0</v>
      </c>
      <c r="AW113" s="106">
        <v>0</v>
      </c>
      <c r="AX113" s="106">
        <v>0</v>
      </c>
      <c r="AY113" s="106">
        <v>0</v>
      </c>
      <c r="AZ113" s="106">
        <v>0</v>
      </c>
      <c r="BA113" s="106">
        <v>0</v>
      </c>
      <c r="BB113" s="106">
        <v>0</v>
      </c>
      <c r="BC113" s="106">
        <f t="shared" si="1290"/>
        <v>0</v>
      </c>
      <c r="BD113" s="16" t="str">
        <f t="shared" si="900"/>
        <v>Sponcership</v>
      </c>
      <c r="BE113" s="106">
        <f>+VLOOKUP($BD113,'Jan-25'!$A:$J,5,0)</f>
        <v>0</v>
      </c>
      <c r="BF113" s="106">
        <f>+VLOOKUP($BD113,'Feb-25'!$A:$J,5,0)</f>
        <v>0</v>
      </c>
      <c r="BG113" s="106">
        <f>+VLOOKUP($BD113,'Mar-25'!$A:$J,5,0)</f>
        <v>0</v>
      </c>
      <c r="BH113" s="106">
        <f>+VLOOKUP($BD113,'Apr-25'!$A:$J,5,0)</f>
        <v>0</v>
      </c>
      <c r="BI113" s="106">
        <f>+VLOOKUP($BD113,'May-25'!$A:$J,5,0)</f>
        <v>0</v>
      </c>
      <c r="BJ113" s="106">
        <f>+VLOOKUP($BD113,'June-25'!$A:$J,5,0)</f>
        <v>0</v>
      </c>
      <c r="BK113" s="106">
        <f>+VLOOKUP($BD113,'July-25'!$A:$J,5,0)</f>
        <v>0</v>
      </c>
      <c r="BL113" s="106">
        <f>+VLOOKUP($BD113,'Aug-25'!$A:$J,5,0)</f>
        <v>0</v>
      </c>
      <c r="BM113" s="106">
        <f>+VLOOKUP($BD113,'Sep-25'!$A:$J,5,0)</f>
        <v>0</v>
      </c>
      <c r="BN113" s="106">
        <f>+VLOOKUP($BD113,'Oct-25'!$A:$J,5,0)</f>
        <v>0</v>
      </c>
      <c r="BO113" s="106">
        <f>+VLOOKUP($BD113,'Nov-25'!$A:$J,5,0)</f>
        <v>0</v>
      </c>
      <c r="BP113" s="106">
        <f>+VLOOKUP($BD113,'Dec-25'!$A:$J,5,0)</f>
        <v>0</v>
      </c>
      <c r="BQ113" s="106">
        <f t="shared" si="1291"/>
        <v>0</v>
      </c>
      <c r="BR113" s="118">
        <f t="shared" si="1224"/>
        <v>0</v>
      </c>
      <c r="BS113" s="106">
        <f>+_xlfn.XLOOKUP($BD113,Budget!$A:$A,Budget!BD:BD)</f>
        <v>0</v>
      </c>
      <c r="BT113" s="106">
        <f>+_xlfn.XLOOKUP($BD113,Budget!$A:$A,Budget!BE:BE)</f>
        <v>0</v>
      </c>
      <c r="BU113" s="106">
        <f>+_xlfn.XLOOKUP($BD113,Budget!$A:$A,Budget!BF:BF)</f>
        <v>0</v>
      </c>
      <c r="BV113" s="106">
        <f>+_xlfn.XLOOKUP($BD113,Budget!$A:$A,Budget!BG:BG)</f>
        <v>0</v>
      </c>
      <c r="BW113" s="106">
        <f>+_xlfn.XLOOKUP($BD113,Budget!$A:$A,Budget!BH:BH)</f>
        <v>0</v>
      </c>
      <c r="BX113" s="106">
        <f>+_xlfn.XLOOKUP($BD113,Budget!$A:$A,Budget!BI:BI)</f>
        <v>0</v>
      </c>
      <c r="BY113" s="106">
        <f>+_xlfn.XLOOKUP($BD113,Budget!$A:$A,Budget!BJ:BJ)</f>
        <v>0</v>
      </c>
      <c r="BZ113" s="106">
        <f>+_xlfn.XLOOKUP($BD113,Budget!$A:$A,Budget!BK:BK)</f>
        <v>0</v>
      </c>
      <c r="CA113" s="106">
        <f>+_xlfn.XLOOKUP($BD113,Budget!$A:$A,Budget!BL:BL)</f>
        <v>0</v>
      </c>
      <c r="CB113" s="106">
        <f>+_xlfn.XLOOKUP($BD113,Budget!$A:$A,Budget!BM:BM)</f>
        <v>0</v>
      </c>
      <c r="CC113" s="106">
        <f>+_xlfn.XLOOKUP($BD113,Budget!$A:$A,Budget!BN:BN)</f>
        <v>0</v>
      </c>
      <c r="CD113" s="106">
        <f>+_xlfn.XLOOKUP($BD113,Budget!$A:$A,Budget!BO:BO)</f>
        <v>0</v>
      </c>
      <c r="CE113" s="106">
        <f t="shared" si="1292"/>
        <v>0</v>
      </c>
      <c r="CF113" s="106"/>
      <c r="CG113" s="110">
        <v>0</v>
      </c>
      <c r="CH113" s="106">
        <v>0</v>
      </c>
      <c r="CI113" s="106">
        <v>0</v>
      </c>
      <c r="CJ113" s="106">
        <v>0</v>
      </c>
      <c r="CK113" s="106">
        <v>0</v>
      </c>
      <c r="CL113" s="106">
        <v>0</v>
      </c>
      <c r="CM113" s="106">
        <v>0</v>
      </c>
      <c r="CN113" s="106">
        <v>0</v>
      </c>
      <c r="CO113" s="106">
        <v>0</v>
      </c>
      <c r="CP113" s="106">
        <v>0</v>
      </c>
      <c r="CQ113" s="106">
        <v>0</v>
      </c>
      <c r="CR113" s="106">
        <v>0</v>
      </c>
      <c r="CS113" s="106">
        <f t="shared" si="1293"/>
        <v>0</v>
      </c>
      <c r="CT113" s="16" t="str">
        <f t="shared" si="901"/>
        <v>Sponcership</v>
      </c>
      <c r="CU113" s="106">
        <f>+VLOOKUP($BD113,'Jan-25'!$A:$J,8,0)</f>
        <v>0</v>
      </c>
      <c r="CV113" s="106">
        <f>+VLOOKUP($BD113,'Feb-25'!$A:$J,8,0)</f>
        <v>0</v>
      </c>
      <c r="CW113" s="106">
        <f>+VLOOKUP($BD113,'Mar-25'!$A:$J,8,0)</f>
        <v>0</v>
      </c>
      <c r="CX113" s="106">
        <f>+VLOOKUP($BD113,'Apr-25'!$A:$J,8,0)</f>
        <v>0</v>
      </c>
      <c r="CY113" s="106">
        <f>+VLOOKUP($BD113,'May-25'!$A:$J,8,0)</f>
        <v>0</v>
      </c>
      <c r="CZ113" s="106">
        <f>+VLOOKUP($BD113,'June-25'!$A:$J,8,0)</f>
        <v>0</v>
      </c>
      <c r="DA113" s="106">
        <f>+VLOOKUP($BD113,'July-25'!$A:$J,8,0)</f>
        <v>0</v>
      </c>
      <c r="DB113" s="106">
        <f>+VLOOKUP($BD113,'Aug-25'!$A:$J,8,0)</f>
        <v>0</v>
      </c>
      <c r="DC113" s="106">
        <f>+VLOOKUP($BD113,'Sep-25'!$A:$J,8,0)</f>
        <v>0</v>
      </c>
      <c r="DD113" s="106">
        <f>+VLOOKUP($BD113,'Oct-25'!$A:$J,8,0)</f>
        <v>0</v>
      </c>
      <c r="DE113" s="106">
        <f>+VLOOKUP($BD113,'Nov-25'!$A:$J,8,0)</f>
        <v>0</v>
      </c>
      <c r="DF113" s="106">
        <f>+VLOOKUP($BD113,'Dec-25'!$A:$J,8,0)</f>
        <v>0</v>
      </c>
      <c r="DG113" s="106">
        <f t="shared" si="1294"/>
        <v>0</v>
      </c>
      <c r="DH113" s="118">
        <f t="shared" si="1225"/>
        <v>0</v>
      </c>
      <c r="DI113" s="106">
        <f>+_xlfn.XLOOKUP($CT113,Budget!$A:$A,Budget!CQ:CQ)</f>
        <v>0</v>
      </c>
      <c r="DJ113" s="106">
        <f>+_xlfn.XLOOKUP($CT113,Budget!$A:$A,Budget!CR:CR)</f>
        <v>0</v>
      </c>
      <c r="DK113" s="106">
        <f>+_xlfn.XLOOKUP($CT113,Budget!$A:$A,Budget!CS:CS)</f>
        <v>0</v>
      </c>
      <c r="DL113" s="106">
        <f>+_xlfn.XLOOKUP($CT113,Budget!$A:$A,Budget!CT:CT)</f>
        <v>0</v>
      </c>
      <c r="DM113" s="106">
        <f>+_xlfn.XLOOKUP($CT113,Budget!$A:$A,Budget!CU:CU)</f>
        <v>0</v>
      </c>
      <c r="DN113" s="106">
        <f>+_xlfn.XLOOKUP($CT113,Budget!$A:$A,Budget!CV:CV)</f>
        <v>0</v>
      </c>
      <c r="DO113" s="106">
        <f>+_xlfn.XLOOKUP($CT113,Budget!$A:$A,Budget!CW:CW)</f>
        <v>0</v>
      </c>
      <c r="DP113" s="106">
        <f>+_xlfn.XLOOKUP($CT113,Budget!$A:$A,Budget!CX:CX)</f>
        <v>0</v>
      </c>
      <c r="DQ113" s="106">
        <f>+_xlfn.XLOOKUP($CT113,Budget!$A:$A,Budget!CY:CY)</f>
        <v>0</v>
      </c>
      <c r="DR113" s="106">
        <f>+_xlfn.XLOOKUP($CT113,Budget!$A:$A,Budget!CZ:CZ)</f>
        <v>0</v>
      </c>
      <c r="DS113" s="106">
        <f>+_xlfn.XLOOKUP($CT113,Budget!$A:$A,Budget!DA:DA)</f>
        <v>0</v>
      </c>
      <c r="DT113" s="106">
        <f>+_xlfn.XLOOKUP($CT113,Budget!$A:$A,Budget!DB:DB)</f>
        <v>0</v>
      </c>
      <c r="DU113" s="106">
        <f t="shared" si="1295"/>
        <v>0</v>
      </c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106">
        <f t="shared" si="1296"/>
        <v>0</v>
      </c>
      <c r="EJ113" s="16" t="str">
        <f t="shared" si="966"/>
        <v>Sponcership</v>
      </c>
      <c r="EK113" s="22">
        <f>+VLOOKUP($BD113,'Jan-25'!$A:$J,10,0)</f>
        <v>0</v>
      </c>
      <c r="EL113" s="22">
        <f>+VLOOKUP($BD113,'Feb-25'!$A:$J,10,0)</f>
        <v>0</v>
      </c>
      <c r="EM113" s="22">
        <f>+VLOOKUP($BD113,'Mar-25'!$A:$J,10,0)</f>
        <v>0</v>
      </c>
      <c r="EN113" s="22">
        <f>+VLOOKUP($BD113,'Apr-25'!$A:$J,10,0)</f>
        <v>0</v>
      </c>
      <c r="EO113" s="22">
        <f>+VLOOKUP($BD113,'May-25'!$A:$J,10,0)</f>
        <v>0</v>
      </c>
      <c r="EP113" s="22">
        <f>+VLOOKUP($BD113,'June-25'!$A:$J,10,0)</f>
        <v>0</v>
      </c>
      <c r="EQ113" s="22">
        <f>+VLOOKUP($BD113,'July-25'!$A:$J,10,0)</f>
        <v>0</v>
      </c>
      <c r="ER113" s="22">
        <f>+VLOOKUP($BD113,'Aug-25'!$A:$J,10,0)</f>
        <v>0</v>
      </c>
      <c r="ES113" s="22">
        <f>+VLOOKUP($BD113,'Sep-25'!$A:$J,10,0)</f>
        <v>0</v>
      </c>
      <c r="ET113" s="22">
        <f>+VLOOKUP($BD113,'Oct-25'!$A:$J,10,0)</f>
        <v>0</v>
      </c>
      <c r="EU113" s="22">
        <f>+VLOOKUP($BD113,'Nov-25'!$A:$J,10,0)</f>
        <v>0</v>
      </c>
      <c r="EV113" s="22">
        <f>+VLOOKUP($BD113,'Dec-25'!$A:$J,10,0)</f>
        <v>0</v>
      </c>
      <c r="EW113" s="22">
        <f t="shared" si="1297"/>
        <v>0</v>
      </c>
      <c r="EX113" s="118" t="e">
        <f t="shared" si="1226"/>
        <v>#DIV/0!</v>
      </c>
      <c r="EY113" s="106">
        <f>+_xlfn.XLOOKUP($EJ113,Budget!$A:$A,Budget!DR:DR)</f>
        <v>0</v>
      </c>
      <c r="EZ113" s="106">
        <f>+_xlfn.XLOOKUP($EJ113,Budget!$A:$A,Budget!DS:DS)</f>
        <v>0</v>
      </c>
      <c r="FA113" s="106">
        <f>+_xlfn.XLOOKUP($EJ113,Budget!$A:$A,Budget!DT:DT)</f>
        <v>0</v>
      </c>
      <c r="FB113" s="106">
        <f>+_xlfn.XLOOKUP($EJ113,Budget!$A:$A,Budget!DU:DU)</f>
        <v>0</v>
      </c>
      <c r="FC113" s="106">
        <f>+_xlfn.XLOOKUP($EJ113,Budget!$A:$A,Budget!DV:DV)</f>
        <v>0</v>
      </c>
      <c r="FD113" s="106">
        <f>+_xlfn.XLOOKUP($EJ113,Budget!$A:$A,Budget!DW:DW)</f>
        <v>0</v>
      </c>
      <c r="FE113" s="106">
        <f>+_xlfn.XLOOKUP($EJ113,Budget!$A:$A,Budget!DX:DX)</f>
        <v>0</v>
      </c>
      <c r="FF113" s="106">
        <f>+_xlfn.XLOOKUP($EJ113,Budget!$A:$A,Budget!DY:DY)</f>
        <v>0</v>
      </c>
      <c r="FG113" s="106">
        <f>+_xlfn.XLOOKUP($EJ113,Budget!$A:$A,Budget!DZ:DZ)</f>
        <v>0</v>
      </c>
      <c r="FH113" s="106">
        <f>+_xlfn.XLOOKUP($EJ113,Budget!$A:$A,Budget!EA:EA)</f>
        <v>0</v>
      </c>
      <c r="FI113" s="106">
        <f>+_xlfn.XLOOKUP($EJ113,Budget!$A:$A,Budget!EB:EB)</f>
        <v>0</v>
      </c>
      <c r="FJ113" s="106">
        <f>+_xlfn.XLOOKUP($EJ113,Budget!$A:$A,Budget!EC:EC)</f>
        <v>0</v>
      </c>
      <c r="FK113" s="106">
        <f t="shared" si="1298"/>
        <v>0</v>
      </c>
    </row>
    <row r="114" spans="1:167" ht="14.45" hidden="1" customHeight="1" outlineLevel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18">
        <f t="shared" si="1223"/>
        <v>0</v>
      </c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Q114" s="106">
        <v>0</v>
      </c>
      <c r="AR114" s="106">
        <v>0</v>
      </c>
      <c r="AS114" s="106">
        <v>0</v>
      </c>
      <c r="AT114" s="106">
        <v>0</v>
      </c>
      <c r="AU114" s="106">
        <v>0</v>
      </c>
      <c r="AV114" s="106">
        <v>0</v>
      </c>
      <c r="AW114" s="106">
        <v>0</v>
      </c>
      <c r="AX114" s="106">
        <v>0</v>
      </c>
      <c r="AY114" s="106">
        <v>0</v>
      </c>
      <c r="AZ114" s="106">
        <v>0</v>
      </c>
      <c r="BA114" s="106">
        <v>0</v>
      </c>
      <c r="BB114" s="106">
        <v>0</v>
      </c>
      <c r="BC114" s="106"/>
      <c r="BD114" s="16">
        <f t="shared" si="900"/>
        <v>0</v>
      </c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6"/>
      <c r="BQ114" s="106"/>
      <c r="BR114" s="118">
        <f t="shared" si="1224"/>
        <v>0</v>
      </c>
      <c r="BS114" s="106"/>
      <c r="BT114" s="106"/>
      <c r="BU114" s="106"/>
      <c r="BV114" s="106"/>
      <c r="BW114" s="106"/>
      <c r="BX114" s="106"/>
      <c r="BY114" s="106"/>
      <c r="BZ114" s="106"/>
      <c r="CA114" s="106"/>
      <c r="CB114" s="106"/>
      <c r="CC114" s="106"/>
      <c r="CD114" s="106"/>
      <c r="CE114" s="106"/>
      <c r="CF114" s="106"/>
      <c r="CG114" s="110">
        <v>0</v>
      </c>
      <c r="CH114" s="106">
        <v>0</v>
      </c>
      <c r="CI114" s="106">
        <v>0</v>
      </c>
      <c r="CJ114" s="106">
        <v>0</v>
      </c>
      <c r="CK114" s="106">
        <v>0</v>
      </c>
      <c r="CL114" s="106">
        <v>0</v>
      </c>
      <c r="CM114" s="106">
        <v>0</v>
      </c>
      <c r="CN114" s="106">
        <v>0</v>
      </c>
      <c r="CO114" s="106">
        <v>0</v>
      </c>
      <c r="CP114" s="106">
        <v>0</v>
      </c>
      <c r="CQ114" s="106">
        <v>0</v>
      </c>
      <c r="CR114" s="106">
        <v>0</v>
      </c>
      <c r="CS114" s="106"/>
      <c r="CT114" s="16">
        <f t="shared" si="901"/>
        <v>0</v>
      </c>
      <c r="CU114" s="106"/>
      <c r="CV114" s="106"/>
      <c r="CW114" s="106"/>
      <c r="CX114" s="106"/>
      <c r="CY114" s="106"/>
      <c r="CZ114" s="106"/>
      <c r="DA114" s="106"/>
      <c r="DB114" s="106"/>
      <c r="DC114" s="106"/>
      <c r="DD114" s="106"/>
      <c r="DE114" s="106"/>
      <c r="DF114" s="106"/>
      <c r="DG114" s="106"/>
      <c r="DH114" s="118">
        <f t="shared" si="1225"/>
        <v>0</v>
      </c>
      <c r="DI114" s="106"/>
      <c r="DJ114" s="106"/>
      <c r="DK114" s="106"/>
      <c r="DL114" s="106"/>
      <c r="DM114" s="106"/>
      <c r="DN114" s="106"/>
      <c r="DO114" s="106"/>
      <c r="DP114" s="106"/>
      <c r="DQ114" s="106"/>
      <c r="DR114" s="106"/>
      <c r="DS114" s="106"/>
      <c r="DT114" s="106"/>
      <c r="DU114" s="106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106"/>
      <c r="EJ114" s="16">
        <f t="shared" si="966"/>
        <v>0</v>
      </c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118" t="e">
        <f t="shared" si="1226"/>
        <v>#DIV/0!</v>
      </c>
      <c r="EY114" s="106"/>
      <c r="EZ114" s="106"/>
      <c r="FA114" s="106"/>
      <c r="FB114" s="106"/>
      <c r="FC114" s="106"/>
      <c r="FD114" s="106"/>
      <c r="FE114" s="106"/>
      <c r="FF114" s="106"/>
      <c r="FG114" s="106"/>
      <c r="FH114" s="106"/>
      <c r="FI114" s="106"/>
      <c r="FJ114" s="106"/>
      <c r="FK114" s="106"/>
    </row>
    <row r="115" spans="1:167" ht="14.45" customHeight="1" collapsed="1">
      <c r="A115" s="58">
        <f t="shared" ref="A115:M115" si="1299">+A116+A129+A133+A138+A146+A150</f>
        <v>461878.62961538398</v>
      </c>
      <c r="B115" s="58">
        <f t="shared" si="1299"/>
        <v>502339.73671794869</v>
      </c>
      <c r="C115" s="58">
        <f t="shared" si="1299"/>
        <v>525509.6437179487</v>
      </c>
      <c r="D115" s="58">
        <f t="shared" si="1299"/>
        <v>520596.05611794878</v>
      </c>
      <c r="E115" s="58">
        <f t="shared" si="1299"/>
        <v>495045.08251794876</v>
      </c>
      <c r="F115" s="58">
        <f t="shared" si="1299"/>
        <v>510479.05571794877</v>
      </c>
      <c r="G115" s="58">
        <f t="shared" si="1299"/>
        <v>523063.67371794872</v>
      </c>
      <c r="H115" s="58">
        <f t="shared" si="1299"/>
        <v>699896.5849179487</v>
      </c>
      <c r="I115" s="58">
        <f t="shared" si="1299"/>
        <v>648849.24571794877</v>
      </c>
      <c r="J115" s="58">
        <f t="shared" si="1299"/>
        <v>633055.2317179488</v>
      </c>
      <c r="K115" s="58">
        <f t="shared" si="1299"/>
        <v>829829.03331794846</v>
      </c>
      <c r="L115" s="58">
        <f t="shared" si="1299"/>
        <v>530767.30651794875</v>
      </c>
      <c r="M115" s="58">
        <f t="shared" si="1299"/>
        <v>6881309.2803128194</v>
      </c>
      <c r="N115" s="19" t="s">
        <v>93</v>
      </c>
      <c r="O115" s="58">
        <f t="shared" ref="O115" si="1300">+O116+O129+O133+O138+O146+O150</f>
        <v>601556.83179487183</v>
      </c>
      <c r="P115" s="58">
        <f t="shared" ref="P115" si="1301">+P116+P129+P133+P138+P146+P150</f>
        <v>567545.32239487174</v>
      </c>
      <c r="Q115" s="58">
        <f t="shared" ref="Q115" si="1302">+Q116+Q129+Q133+Q138+Q146+Q150</f>
        <v>631886.01179487177</v>
      </c>
      <c r="R115" s="58">
        <f t="shared" ref="R115" si="1303">+R116+R129+R133+R138+R146+R150</f>
        <v>649976.59067153838</v>
      </c>
      <c r="S115" s="58">
        <f t="shared" ref="S115" si="1304">+S116+S129+S133+S138+S146+S150</f>
        <v>598072.12011153833</v>
      </c>
      <c r="T115" s="58">
        <f t="shared" ref="T115" si="1305">+T116+T129+T133+T138+T146+T150</f>
        <v>642469.00411153852</v>
      </c>
      <c r="U115" s="58">
        <f t="shared" ref="U115" si="1306">+U116+U129+U133+U138+U146+U150</f>
        <v>739167.3799444153</v>
      </c>
      <c r="V115" s="58">
        <f t="shared" ref="V115" si="1307">+V116+V129+V133+V138+V146+V150</f>
        <v>574440.27611153852</v>
      </c>
      <c r="W115" s="58">
        <f t="shared" ref="W115" si="1308">+W116+W129+W133+W138+W146+W150</f>
        <v>746409.66211153846</v>
      </c>
      <c r="X115" s="58">
        <f t="shared" ref="X115" si="1309">+X116+X129+X133+X138+X146+X150</f>
        <v>638061.82211153838</v>
      </c>
      <c r="Y115" s="58">
        <f t="shared" ref="Y115" si="1310">+Y116+Y129+Y133+Y138+Y146+Y150</f>
        <v>0</v>
      </c>
      <c r="Z115" s="58">
        <f t="shared" ref="Z115" si="1311">+Z116+Z129+Z133+Z138+Z146+Z150</f>
        <v>0</v>
      </c>
      <c r="AA115" s="58">
        <f t="shared" ref="AA115" si="1312">+AA116+AA129+AA133+AA138+AA146+AA150</f>
        <v>6389585.0211582612</v>
      </c>
      <c r="AB115" s="118">
        <f t="shared" si="1223"/>
        <v>-0.21817098771318683</v>
      </c>
      <c r="AC115" s="58">
        <f t="shared" ref="AC115" si="1313">+AC116+AC129+AC133+AC138+AC146+AC150</f>
        <v>761572.61418514955</v>
      </c>
      <c r="AD115" s="58">
        <f t="shared" ref="AD115" si="1314">+AD116+AD129+AD133+AD138+AD146+AD150</f>
        <v>761572.61418514955</v>
      </c>
      <c r="AE115" s="58">
        <f t="shared" ref="AE115" si="1315">+AE116+AE129+AE133+AE138+AE146+AE150</f>
        <v>766822.61418514955</v>
      </c>
      <c r="AF115" s="58">
        <f t="shared" ref="AF115" si="1316">+AF116+AF129+AF133+AF138+AF146+AF150</f>
        <v>773822.61418514955</v>
      </c>
      <c r="AG115" s="58">
        <f t="shared" ref="AG115" si="1317">+AG116+AG129+AG133+AG138+AG146+AG150</f>
        <v>761572.61418514955</v>
      </c>
      <c r="AH115" s="58">
        <f t="shared" ref="AH115" si="1318">+AH116+AH129+AH133+AH138+AH146+AH150</f>
        <v>762447.61418514955</v>
      </c>
      <c r="AI115" s="58">
        <f t="shared" ref="AI115" si="1319">+AI116+AI129+AI133+AI138+AI146+AI150</f>
        <v>761572.61418514955</v>
      </c>
      <c r="AJ115" s="58">
        <f t="shared" ref="AJ115" si="1320">+AJ116+AJ129+AJ133+AJ138+AJ146+AJ150</f>
        <v>761572.61418514955</v>
      </c>
      <c r="AK115" s="58">
        <f t="shared" ref="AK115" si="1321">+AK116+AK129+AK133+AK138+AK146+AK150</f>
        <v>766822.61418514955</v>
      </c>
      <c r="AL115" s="58">
        <f t="shared" ref="AL115" si="1322">+AL116+AL129+AL133+AL138+AL146+AL150</f>
        <v>816114.28085181629</v>
      </c>
      <c r="AM115" s="58">
        <f t="shared" ref="AM115" si="1323">+AM116+AM129+AM133+AM138+AM146+AM150</f>
        <v>761572.61418514955</v>
      </c>
      <c r="AN115" s="58">
        <f t="shared" ref="AN115" si="1324">+AN116+AN129+AN133+AN138+AN146+AN150</f>
        <v>772447.61418514955</v>
      </c>
      <c r="AO115" s="58">
        <f t="shared" ref="AO115" si="1325">+AO116+AO129+AO133+AO138+AO146+AO150</f>
        <v>9227913.0368884634</v>
      </c>
      <c r="AQ115" s="58">
        <f t="shared" ref="AQ115:BC115" si="1326">+AQ116+AQ129+AQ133+AQ138+AQ146+AQ150</f>
        <v>336933.66994871752</v>
      </c>
      <c r="AR115" s="58">
        <f t="shared" si="1326"/>
        <v>366223.8326153846</v>
      </c>
      <c r="AS115" s="58">
        <f t="shared" si="1326"/>
        <v>392465.83461538458</v>
      </c>
      <c r="AT115" s="58">
        <f t="shared" si="1326"/>
        <v>385420.55621538457</v>
      </c>
      <c r="AU115" s="58">
        <f t="shared" si="1326"/>
        <v>357786.97381538455</v>
      </c>
      <c r="AV115" s="58">
        <f t="shared" si="1326"/>
        <v>360182.7946153846</v>
      </c>
      <c r="AW115" s="58">
        <f t="shared" si="1326"/>
        <v>371539.2346153846</v>
      </c>
      <c r="AX115" s="58">
        <f t="shared" si="1326"/>
        <v>495875.57541538461</v>
      </c>
      <c r="AY115" s="58">
        <f t="shared" si="1326"/>
        <v>493533.91861538461</v>
      </c>
      <c r="AZ115" s="58">
        <f t="shared" si="1326"/>
        <v>471164.8546153846</v>
      </c>
      <c r="BA115" s="58">
        <f t="shared" si="1326"/>
        <v>479566.14101538452</v>
      </c>
      <c r="BB115" s="58">
        <f t="shared" si="1326"/>
        <v>385533.98981538456</v>
      </c>
      <c r="BC115" s="58">
        <f t="shared" si="1326"/>
        <v>4896227.3759179479</v>
      </c>
      <c r="BD115" s="19" t="s">
        <v>211</v>
      </c>
      <c r="BE115" s="58">
        <f t="shared" ref="BE115:CE115" si="1327">+BE116+BE129+BE133+BE138+BE146+BE150</f>
        <v>393883.56692307693</v>
      </c>
      <c r="BF115" s="58">
        <f t="shared" ref="BF115:BP115" si="1328">+BF116+BF129+BF133+BF138+BF146+BF150</f>
        <v>368965.82732307696</v>
      </c>
      <c r="BG115" s="58">
        <f t="shared" si="1328"/>
        <v>390440.25692307693</v>
      </c>
      <c r="BH115" s="58">
        <f t="shared" si="1328"/>
        <v>425751.74025335471</v>
      </c>
      <c r="BI115" s="58">
        <f t="shared" si="1328"/>
        <v>384971.99321335467</v>
      </c>
      <c r="BJ115" s="58">
        <f t="shared" si="1328"/>
        <v>414534.04921335471</v>
      </c>
      <c r="BK115" s="58">
        <f t="shared" si="1328"/>
        <v>481406.2904352725</v>
      </c>
      <c r="BL115" s="58">
        <f t="shared" si="1328"/>
        <v>363919.67721335468</v>
      </c>
      <c r="BM115" s="58">
        <f t="shared" si="1328"/>
        <v>445241.62121335469</v>
      </c>
      <c r="BN115" s="58">
        <f t="shared" si="1328"/>
        <v>422982.66121335473</v>
      </c>
      <c r="BO115" s="58">
        <f t="shared" si="1328"/>
        <v>0</v>
      </c>
      <c r="BP115" s="58">
        <f t="shared" si="1328"/>
        <v>0</v>
      </c>
      <c r="BQ115" s="58">
        <f t="shared" si="1327"/>
        <v>4092097.6839246303</v>
      </c>
      <c r="BR115" s="118">
        <f t="shared" si="1224"/>
        <v>-0.17957174963161207</v>
      </c>
      <c r="BS115" s="58">
        <f t="shared" si="1327"/>
        <v>473854.92405502143</v>
      </c>
      <c r="BT115" s="58">
        <f t="shared" si="1327"/>
        <v>473854.92405502143</v>
      </c>
      <c r="BU115" s="58">
        <f t="shared" si="1327"/>
        <v>477104.92405502143</v>
      </c>
      <c r="BV115" s="58">
        <f t="shared" si="1327"/>
        <v>481438.25738835474</v>
      </c>
      <c r="BW115" s="58">
        <f t="shared" si="1327"/>
        <v>473854.92405502143</v>
      </c>
      <c r="BX115" s="58">
        <f t="shared" si="1327"/>
        <v>474396.59072168812</v>
      </c>
      <c r="BY115" s="58">
        <f t="shared" si="1327"/>
        <v>473854.92405502143</v>
      </c>
      <c r="BZ115" s="58">
        <f t="shared" si="1327"/>
        <v>473854.92405502143</v>
      </c>
      <c r="CA115" s="58">
        <f t="shared" si="1327"/>
        <v>477104.92405502143</v>
      </c>
      <c r="CB115" s="58">
        <f t="shared" si="1327"/>
        <v>515563.25738835474</v>
      </c>
      <c r="CC115" s="58">
        <f t="shared" si="1327"/>
        <v>473854.92405502143</v>
      </c>
      <c r="CD115" s="58">
        <f t="shared" si="1327"/>
        <v>474396.59072168812</v>
      </c>
      <c r="CE115" s="58">
        <f t="shared" si="1327"/>
        <v>5743134.088660256</v>
      </c>
      <c r="CF115" s="106"/>
      <c r="CG115" s="58">
        <f t="shared" ref="CG115:CS115" si="1329">+CG116+CG129+CG133+CG138+CG146+CG150</f>
        <v>124944.95966666643</v>
      </c>
      <c r="CH115" s="58">
        <f t="shared" si="1329"/>
        <v>136115.90410256412</v>
      </c>
      <c r="CI115" s="58">
        <f t="shared" si="1329"/>
        <v>133043.80910256412</v>
      </c>
      <c r="CJ115" s="58">
        <f t="shared" si="1329"/>
        <v>135175.49990256413</v>
      </c>
      <c r="CK115" s="58">
        <f t="shared" si="1329"/>
        <v>137258.10870256412</v>
      </c>
      <c r="CL115" s="58">
        <f t="shared" si="1329"/>
        <v>150296.26110256411</v>
      </c>
      <c r="CM115" s="58">
        <f t="shared" si="1329"/>
        <v>151524.43910256409</v>
      </c>
      <c r="CN115" s="58">
        <f t="shared" si="1329"/>
        <v>204021.00950256412</v>
      </c>
      <c r="CO115" s="58">
        <f t="shared" si="1329"/>
        <v>155315.3271025641</v>
      </c>
      <c r="CP115" s="58">
        <f t="shared" si="1329"/>
        <v>161890.37710256409</v>
      </c>
      <c r="CQ115" s="58">
        <f t="shared" si="1329"/>
        <v>350262.89230256411</v>
      </c>
      <c r="CR115" s="58">
        <f t="shared" si="1329"/>
        <v>145233.3167025641</v>
      </c>
      <c r="CS115" s="58">
        <f t="shared" si="1329"/>
        <v>1985081.9043948716</v>
      </c>
      <c r="CT115" s="19" t="str">
        <f t="shared" si="901"/>
        <v>Personnel Expenses</v>
      </c>
      <c r="CU115" s="58">
        <f t="shared" ref="CU115:DG115" si="1330">+CU116+CU129+CU133+CU138+CU146+CU150</f>
        <v>107659.0917948718</v>
      </c>
      <c r="CV115" s="58">
        <f t="shared" si="1330"/>
        <v>105483.32199487179</v>
      </c>
      <c r="CW115" s="58">
        <f t="shared" si="1330"/>
        <v>137934.5817948718</v>
      </c>
      <c r="CX115" s="58">
        <f t="shared" si="1330"/>
        <v>116379.80234126069</v>
      </c>
      <c r="CY115" s="58">
        <f t="shared" si="1330"/>
        <v>126477.07882126069</v>
      </c>
      <c r="CZ115" s="58">
        <f t="shared" si="1330"/>
        <v>148614.90682126069</v>
      </c>
      <c r="DA115" s="58">
        <f t="shared" si="1330"/>
        <v>168301.04143221959</v>
      </c>
      <c r="DB115" s="58">
        <f t="shared" si="1330"/>
        <v>133060.55082126072</v>
      </c>
      <c r="DC115" s="58">
        <f t="shared" si="1330"/>
        <v>169972.79282126069</v>
      </c>
      <c r="DD115" s="58">
        <f t="shared" si="1330"/>
        <v>148668.1128212607</v>
      </c>
      <c r="DE115" s="58">
        <f t="shared" si="1330"/>
        <v>0</v>
      </c>
      <c r="DF115" s="58">
        <f t="shared" si="1330"/>
        <v>0</v>
      </c>
      <c r="DG115" s="58">
        <f t="shared" si="1330"/>
        <v>1362551.2814643991</v>
      </c>
      <c r="DH115" s="118">
        <f t="shared" si="1225"/>
        <v>0.25782163065595326</v>
      </c>
      <c r="DI115" s="58">
        <f t="shared" ref="DI115:DU115" si="1331">+DI116+DI129+DI133+DI138+DI146+DI150</f>
        <v>118194.9087198718</v>
      </c>
      <c r="DJ115" s="58">
        <f t="shared" si="1331"/>
        <v>118194.9087198718</v>
      </c>
      <c r="DK115" s="58">
        <f t="shared" si="1331"/>
        <v>119194.9087198718</v>
      </c>
      <c r="DL115" s="58">
        <f t="shared" si="1331"/>
        <v>120528.24205320515</v>
      </c>
      <c r="DM115" s="58">
        <f t="shared" si="1331"/>
        <v>118194.9087198718</v>
      </c>
      <c r="DN115" s="58">
        <f t="shared" si="1331"/>
        <v>118361.57538653846</v>
      </c>
      <c r="DO115" s="58">
        <f t="shared" si="1331"/>
        <v>118194.9087198718</v>
      </c>
      <c r="DP115" s="58">
        <f t="shared" si="1331"/>
        <v>118194.9087198718</v>
      </c>
      <c r="DQ115" s="58">
        <f t="shared" si="1331"/>
        <v>119194.9087198718</v>
      </c>
      <c r="DR115" s="58">
        <f t="shared" si="1331"/>
        <v>118194.9087198718</v>
      </c>
      <c r="DS115" s="58">
        <f t="shared" si="1331"/>
        <v>118194.9087198718</v>
      </c>
      <c r="DT115" s="58">
        <f t="shared" si="1331"/>
        <v>128361.57538653846</v>
      </c>
      <c r="DU115" s="58">
        <f t="shared" si="1331"/>
        <v>1433005.571305128</v>
      </c>
      <c r="DW115" s="28">
        <f t="shared" ref="DW115:EI115" si="1332">+DW116+DW129+DW133+DW138+DW146+DW150</f>
        <v>0</v>
      </c>
      <c r="DX115" s="28">
        <f t="shared" si="1332"/>
        <v>0</v>
      </c>
      <c r="DY115" s="28">
        <f t="shared" si="1332"/>
        <v>0</v>
      </c>
      <c r="DZ115" s="28">
        <f t="shared" si="1332"/>
        <v>0</v>
      </c>
      <c r="EA115" s="28">
        <f t="shared" si="1332"/>
        <v>0</v>
      </c>
      <c r="EB115" s="28">
        <f t="shared" si="1332"/>
        <v>0</v>
      </c>
      <c r="EC115" s="28">
        <f t="shared" si="1332"/>
        <v>0</v>
      </c>
      <c r="ED115" s="28">
        <f t="shared" si="1332"/>
        <v>0</v>
      </c>
      <c r="EE115" s="28">
        <f t="shared" si="1332"/>
        <v>0</v>
      </c>
      <c r="EF115" s="28">
        <f t="shared" si="1332"/>
        <v>0</v>
      </c>
      <c r="EG115" s="28">
        <f t="shared" si="1332"/>
        <v>0</v>
      </c>
      <c r="EH115" s="28">
        <f t="shared" si="1332"/>
        <v>0</v>
      </c>
      <c r="EI115" s="58">
        <f t="shared" si="1332"/>
        <v>0</v>
      </c>
      <c r="EJ115" s="19" t="str">
        <f t="shared" si="966"/>
        <v>Personnel Expenses</v>
      </c>
      <c r="EK115" s="28">
        <f t="shared" ref="EK115:EV115" si="1333">+EK116+EK129+EK133+EK138+EK146+EK150</f>
        <v>100014.17307692308</v>
      </c>
      <c r="EL115" s="28">
        <f t="shared" si="1333"/>
        <v>93096.173076923078</v>
      </c>
      <c r="EM115" s="28">
        <f t="shared" si="1333"/>
        <v>103511.17307692308</v>
      </c>
      <c r="EN115" s="28">
        <f t="shared" si="1333"/>
        <v>107845.04807692308</v>
      </c>
      <c r="EO115" s="28">
        <f t="shared" si="1333"/>
        <v>86623.048076923078</v>
      </c>
      <c r="EP115" s="28">
        <f t="shared" si="1333"/>
        <v>79320.048076923078</v>
      </c>
      <c r="EQ115" s="28">
        <f t="shared" si="1333"/>
        <v>89460.048076923078</v>
      </c>
      <c r="ER115" s="28">
        <f t="shared" si="1333"/>
        <v>77460.048076923078</v>
      </c>
      <c r="ES115" s="28">
        <f t="shared" si="1333"/>
        <v>131195.24807692308</v>
      </c>
      <c r="ET115" s="28">
        <f t="shared" si="1333"/>
        <v>66411.048076923078</v>
      </c>
      <c r="EU115" s="28">
        <f t="shared" si="1333"/>
        <v>0</v>
      </c>
      <c r="EV115" s="28">
        <f t="shared" si="1333"/>
        <v>0</v>
      </c>
      <c r="EW115" s="28">
        <f t="shared" ref="EW115" si="1334">+EW116+EW129+EW133+EW138+EW146+EW150</f>
        <v>934936.0557692307</v>
      </c>
      <c r="EX115" s="118">
        <f t="shared" si="1226"/>
        <v>-0.23062920395789357</v>
      </c>
      <c r="EY115" s="58">
        <f t="shared" ref="EY115:FK115" si="1335">+EY116+EY129+EY133+EY138+EY146+EY150</f>
        <v>169522.7814102564</v>
      </c>
      <c r="EZ115" s="58">
        <f t="shared" si="1335"/>
        <v>169522.7814102564</v>
      </c>
      <c r="FA115" s="58">
        <f t="shared" si="1335"/>
        <v>170522.7814102564</v>
      </c>
      <c r="FB115" s="58">
        <f t="shared" si="1335"/>
        <v>171856.11474358974</v>
      </c>
      <c r="FC115" s="58">
        <f t="shared" si="1335"/>
        <v>169522.7814102564</v>
      </c>
      <c r="FD115" s="58">
        <f t="shared" si="1335"/>
        <v>169689.44807692309</v>
      </c>
      <c r="FE115" s="58">
        <f t="shared" si="1335"/>
        <v>169522.7814102564</v>
      </c>
      <c r="FF115" s="58">
        <f t="shared" si="1335"/>
        <v>169522.7814102564</v>
      </c>
      <c r="FG115" s="58">
        <f t="shared" si="1335"/>
        <v>170522.7814102564</v>
      </c>
      <c r="FH115" s="58">
        <f t="shared" si="1335"/>
        <v>182356.11474358974</v>
      </c>
      <c r="FI115" s="58">
        <f t="shared" si="1335"/>
        <v>169522.7814102564</v>
      </c>
      <c r="FJ115" s="58">
        <f t="shared" si="1335"/>
        <v>169689.44807692309</v>
      </c>
      <c r="FK115" s="58">
        <f t="shared" si="1335"/>
        <v>2051773.376923077</v>
      </c>
    </row>
    <row r="116" spans="1:167" ht="14.45" hidden="1" customHeight="1" outlineLevel="1">
      <c r="A116" s="58">
        <f t="shared" ref="A116:M116" si="1336">+SUM(A117:A128)</f>
        <v>356954.34761538397</v>
      </c>
      <c r="B116" s="58">
        <f t="shared" si="1336"/>
        <v>377917.54751794873</v>
      </c>
      <c r="C116" s="58">
        <f t="shared" si="1336"/>
        <v>419872.36371794873</v>
      </c>
      <c r="D116" s="58">
        <f t="shared" si="1336"/>
        <v>412401.92371794878</v>
      </c>
      <c r="E116" s="58">
        <f t="shared" si="1336"/>
        <v>354358.20371794875</v>
      </c>
      <c r="F116" s="58">
        <f t="shared" si="1336"/>
        <v>400880.20371794875</v>
      </c>
      <c r="G116" s="58">
        <f t="shared" si="1336"/>
        <v>429554.20371794875</v>
      </c>
      <c r="H116" s="58">
        <f t="shared" si="1336"/>
        <v>577500.82371794875</v>
      </c>
      <c r="I116" s="58">
        <f t="shared" si="1336"/>
        <v>499806.90771794878</v>
      </c>
      <c r="J116" s="58">
        <f t="shared" si="1336"/>
        <v>498795.98371794878</v>
      </c>
      <c r="K116" s="58">
        <f t="shared" si="1336"/>
        <v>726195.38371794857</v>
      </c>
      <c r="L116" s="58">
        <f t="shared" si="1336"/>
        <v>414887.06371794874</v>
      </c>
      <c r="M116" s="58">
        <f t="shared" si="1336"/>
        <v>5469124.9563128194</v>
      </c>
      <c r="N116" s="20" t="s">
        <v>94</v>
      </c>
      <c r="O116" s="58">
        <f t="shared" ref="O116" si="1337">+SUM(O117:O128)</f>
        <v>511120.22179487173</v>
      </c>
      <c r="P116" s="58">
        <f t="shared" ref="P116" si="1338">+SUM(P117:P128)</f>
        <v>481007.82179487176</v>
      </c>
      <c r="Q116" s="58">
        <f t="shared" ref="Q116" si="1339">+SUM(Q117:Q128)</f>
        <v>540478.82179487182</v>
      </c>
      <c r="R116" s="58">
        <f t="shared" ref="R116" si="1340">+SUM(R117:R128)</f>
        <v>464051.96211153845</v>
      </c>
      <c r="S116" s="58">
        <f t="shared" ref="S116" si="1341">+SUM(S117:S128)</f>
        <v>450488.56211153843</v>
      </c>
      <c r="T116" s="58">
        <f t="shared" ref="T116" si="1342">+SUM(T117:T128)</f>
        <v>456436.46611153847</v>
      </c>
      <c r="U116" s="58">
        <f t="shared" ref="U116" si="1343">+SUM(U117:U128)</f>
        <v>506006.46611153847</v>
      </c>
      <c r="V116" s="58">
        <f t="shared" ref="V116" si="1344">+SUM(V117:V128)</f>
        <v>480506.06611153844</v>
      </c>
      <c r="W116" s="58">
        <f t="shared" ref="W116" si="1345">+SUM(W117:W128)</f>
        <v>566519.36211153853</v>
      </c>
      <c r="X116" s="58">
        <f t="shared" ref="X116" si="1346">+SUM(X117:X128)</f>
        <v>511355.46211153845</v>
      </c>
      <c r="Y116" s="58">
        <f t="shared" ref="Y116" si="1347">+SUM(Y117:Y128)</f>
        <v>0</v>
      </c>
      <c r="Z116" s="58">
        <f t="shared" ref="Z116" si="1348">+SUM(Z117:Z128)</f>
        <v>0</v>
      </c>
      <c r="AA116" s="58">
        <f t="shared" ref="AA116" si="1349">+SUM(AA117:AA128)</f>
        <v>4967971.2121653846</v>
      </c>
      <c r="AB116" s="118">
        <f t="shared" si="1223"/>
        <v>4.15514184466362E-2</v>
      </c>
      <c r="AC116" s="58">
        <f t="shared" ref="AC116" si="1350">+SUM(AC117:AC128)</f>
        <v>490955.56211153843</v>
      </c>
      <c r="AD116" s="58">
        <f t="shared" ref="AD116" si="1351">+SUM(AD117:AD128)</f>
        <v>490955.56211153843</v>
      </c>
      <c r="AE116" s="58">
        <f t="shared" ref="AE116" si="1352">+SUM(AE117:AE128)</f>
        <v>490955.56211153843</v>
      </c>
      <c r="AF116" s="58">
        <f t="shared" ref="AF116" si="1353">+SUM(AF117:AF128)</f>
        <v>490955.56211153843</v>
      </c>
      <c r="AG116" s="58">
        <f t="shared" ref="AG116" si="1354">+SUM(AG117:AG128)</f>
        <v>490955.56211153843</v>
      </c>
      <c r="AH116" s="58">
        <f t="shared" ref="AH116" si="1355">+SUM(AH117:AH128)</f>
        <v>490955.56211153843</v>
      </c>
      <c r="AI116" s="58">
        <f t="shared" ref="AI116" si="1356">+SUM(AI117:AI128)</f>
        <v>490955.56211153843</v>
      </c>
      <c r="AJ116" s="58">
        <f t="shared" ref="AJ116" si="1357">+SUM(AJ117:AJ128)</f>
        <v>490955.56211153843</v>
      </c>
      <c r="AK116" s="58">
        <f t="shared" ref="AK116" si="1358">+SUM(AK117:AK128)</f>
        <v>490955.56211153843</v>
      </c>
      <c r="AL116" s="58">
        <f t="shared" ref="AL116" si="1359">+SUM(AL117:AL128)</f>
        <v>490955.56211153843</v>
      </c>
      <c r="AM116" s="58">
        <f t="shared" ref="AM116" si="1360">+SUM(AM117:AM128)</f>
        <v>490955.56211153843</v>
      </c>
      <c r="AN116" s="58">
        <f t="shared" ref="AN116" si="1361">+SUM(AN117:AN128)</f>
        <v>490955.56211153843</v>
      </c>
      <c r="AO116" s="58">
        <f t="shared" ref="AO116" si="1362">+SUM(AO117:AO128)</f>
        <v>5891466.7453384623</v>
      </c>
      <c r="AQ116" s="58">
        <f t="shared" ref="AQ116:BC116" si="1363">+SUM(AQ117:AQ128)</f>
        <v>271234.2099487175</v>
      </c>
      <c r="AR116" s="58">
        <f t="shared" si="1363"/>
        <v>287298.16381538461</v>
      </c>
      <c r="AS116" s="58">
        <f t="shared" si="1363"/>
        <v>326191.89461538458</v>
      </c>
      <c r="AT116" s="58">
        <f t="shared" si="1363"/>
        <v>320237.13461538457</v>
      </c>
      <c r="AU116" s="58">
        <f t="shared" si="1363"/>
        <v>267137.45461538457</v>
      </c>
      <c r="AV116" s="58">
        <f t="shared" si="1363"/>
        <v>290839.45461538457</v>
      </c>
      <c r="AW116" s="58">
        <f t="shared" si="1363"/>
        <v>319513.45461538457</v>
      </c>
      <c r="AX116" s="58">
        <f t="shared" si="1363"/>
        <v>424364.93461538461</v>
      </c>
      <c r="AY116" s="58">
        <f t="shared" si="1363"/>
        <v>391116.0986153846</v>
      </c>
      <c r="AZ116" s="58">
        <f t="shared" si="1363"/>
        <v>390105.1746153846</v>
      </c>
      <c r="BA116" s="58">
        <f t="shared" si="1363"/>
        <v>421282.37461538456</v>
      </c>
      <c r="BB116" s="58">
        <f t="shared" si="1363"/>
        <v>321525.69461538456</v>
      </c>
      <c r="BC116" s="58">
        <f t="shared" si="1363"/>
        <v>4030846.0439179479</v>
      </c>
      <c r="BD116" s="16" t="str">
        <f t="shared" si="900"/>
        <v>Salaries and Allowances</v>
      </c>
      <c r="BE116" s="58">
        <f t="shared" ref="BE116:CE116" si="1364">+SUM(BE117:BE128)</f>
        <v>346634.17692307691</v>
      </c>
      <c r="BF116" s="58">
        <f t="shared" ref="BF116:BP116" si="1365">+SUM(BF117:BF128)</f>
        <v>320990.77692307695</v>
      </c>
      <c r="BG116" s="58">
        <f t="shared" si="1365"/>
        <v>350943.77692307695</v>
      </c>
      <c r="BH116" s="58">
        <f t="shared" si="1365"/>
        <v>313575.22121335473</v>
      </c>
      <c r="BI116" s="58">
        <f t="shared" si="1365"/>
        <v>298318.82121335471</v>
      </c>
      <c r="BJ116" s="58">
        <f t="shared" si="1365"/>
        <v>306982.75721335469</v>
      </c>
      <c r="BK116" s="58">
        <f t="shared" si="1365"/>
        <v>335312.75721335469</v>
      </c>
      <c r="BL116" s="58">
        <f t="shared" si="1365"/>
        <v>317912.35721335473</v>
      </c>
      <c r="BM116" s="58">
        <f t="shared" si="1365"/>
        <v>376753.02121335472</v>
      </c>
      <c r="BN116" s="58">
        <f t="shared" si="1365"/>
        <v>347218.42121335474</v>
      </c>
      <c r="BO116" s="58">
        <f t="shared" si="1365"/>
        <v>0</v>
      </c>
      <c r="BP116" s="58">
        <f t="shared" si="1365"/>
        <v>0</v>
      </c>
      <c r="BQ116" s="58">
        <f t="shared" si="1364"/>
        <v>3314642.0872627129</v>
      </c>
      <c r="BR116" s="118">
        <f t="shared" si="1224"/>
        <v>1.9794476425823826E-2</v>
      </c>
      <c r="BS116" s="58">
        <f t="shared" si="1364"/>
        <v>340478.82121335471</v>
      </c>
      <c r="BT116" s="58">
        <f t="shared" si="1364"/>
        <v>340478.82121335471</v>
      </c>
      <c r="BU116" s="58">
        <f t="shared" si="1364"/>
        <v>340478.82121335471</v>
      </c>
      <c r="BV116" s="58">
        <f t="shared" si="1364"/>
        <v>340478.82121335471</v>
      </c>
      <c r="BW116" s="58">
        <f t="shared" si="1364"/>
        <v>340478.82121335471</v>
      </c>
      <c r="BX116" s="58">
        <f t="shared" si="1364"/>
        <v>340478.82121335471</v>
      </c>
      <c r="BY116" s="58">
        <f t="shared" si="1364"/>
        <v>340478.82121335471</v>
      </c>
      <c r="BZ116" s="58">
        <f t="shared" si="1364"/>
        <v>340478.82121335471</v>
      </c>
      <c r="CA116" s="58">
        <f t="shared" si="1364"/>
        <v>340478.82121335471</v>
      </c>
      <c r="CB116" s="58">
        <f t="shared" si="1364"/>
        <v>340478.82121335471</v>
      </c>
      <c r="CC116" s="58">
        <f t="shared" si="1364"/>
        <v>340478.82121335471</v>
      </c>
      <c r="CD116" s="58">
        <f t="shared" si="1364"/>
        <v>340478.82121335471</v>
      </c>
      <c r="CE116" s="58">
        <f t="shared" si="1364"/>
        <v>4085745.8545602565</v>
      </c>
      <c r="CF116" s="106"/>
      <c r="CG116" s="58">
        <f t="shared" ref="CG116:CS116" si="1366">+SUM(CG117:CG128)</f>
        <v>85720.137666666429</v>
      </c>
      <c r="CH116" s="58">
        <f t="shared" si="1366"/>
        <v>90619.383702564111</v>
      </c>
      <c r="CI116" s="58">
        <f t="shared" si="1366"/>
        <v>93680.469102564108</v>
      </c>
      <c r="CJ116" s="58">
        <f t="shared" si="1366"/>
        <v>92164.789102564115</v>
      </c>
      <c r="CK116" s="58">
        <f t="shared" si="1366"/>
        <v>87220.749102564107</v>
      </c>
      <c r="CL116" s="58">
        <f t="shared" si="1366"/>
        <v>110040.74910256411</v>
      </c>
      <c r="CM116" s="58">
        <f t="shared" si="1366"/>
        <v>110040.74910256411</v>
      </c>
      <c r="CN116" s="58">
        <f t="shared" si="1366"/>
        <v>153135.88910256414</v>
      </c>
      <c r="CO116" s="58">
        <f t="shared" si="1366"/>
        <v>108690.8091025641</v>
      </c>
      <c r="CP116" s="58">
        <f t="shared" si="1366"/>
        <v>108690.8091025641</v>
      </c>
      <c r="CQ116" s="58">
        <f t="shared" si="1366"/>
        <v>304913.00910256413</v>
      </c>
      <c r="CR116" s="58">
        <f t="shared" si="1366"/>
        <v>93361.369102564102</v>
      </c>
      <c r="CS116" s="58">
        <f t="shared" si="1366"/>
        <v>1438278.9123948717</v>
      </c>
      <c r="CT116" s="16" t="str">
        <f t="shared" si="901"/>
        <v>Salaries and Allowances</v>
      </c>
      <c r="CU116" s="58">
        <f t="shared" ref="CU116:DG116" si="1367">+SUM(CU117:CU128)</f>
        <v>64471.871794871797</v>
      </c>
      <c r="CV116" s="58">
        <f t="shared" si="1367"/>
        <v>66920.871794871797</v>
      </c>
      <c r="CW116" s="58">
        <f t="shared" si="1367"/>
        <v>88488.871794871797</v>
      </c>
      <c r="CX116" s="58">
        <f t="shared" si="1367"/>
        <v>57096.692821260687</v>
      </c>
      <c r="CY116" s="58">
        <f t="shared" si="1367"/>
        <v>67176.692821260687</v>
      </c>
      <c r="CZ116" s="58">
        <f t="shared" si="1367"/>
        <v>82073.660821260695</v>
      </c>
      <c r="DA116" s="58">
        <f t="shared" si="1367"/>
        <v>93233.660821260695</v>
      </c>
      <c r="DB116" s="58">
        <f t="shared" si="1367"/>
        <v>85133.660821260695</v>
      </c>
      <c r="DC116" s="58">
        <f>+SUM(DC117:DC128)</f>
        <v>115786.29282126069</v>
      </c>
      <c r="DD116" s="58">
        <f t="shared" si="1367"/>
        <v>97725.99282126069</v>
      </c>
      <c r="DE116" s="58">
        <f t="shared" si="1367"/>
        <v>0</v>
      </c>
      <c r="DF116" s="58">
        <f t="shared" si="1367"/>
        <v>0</v>
      </c>
      <c r="DG116" s="58">
        <f t="shared" si="1367"/>
        <v>818108.26913344022</v>
      </c>
      <c r="DH116" s="118">
        <f t="shared" si="1225"/>
        <v>0.71158762429881339</v>
      </c>
      <c r="DI116" s="58">
        <f t="shared" ref="DI116:DU116" si="1368">+SUM(DI117:DI128)</f>
        <v>57096.692821260687</v>
      </c>
      <c r="DJ116" s="58">
        <f t="shared" si="1368"/>
        <v>57096.692821260687</v>
      </c>
      <c r="DK116" s="58">
        <f t="shared" si="1368"/>
        <v>57096.692821260687</v>
      </c>
      <c r="DL116" s="58">
        <f t="shared" si="1368"/>
        <v>57096.692821260687</v>
      </c>
      <c r="DM116" s="58">
        <f t="shared" si="1368"/>
        <v>57096.692821260687</v>
      </c>
      <c r="DN116" s="58">
        <f t="shared" si="1368"/>
        <v>57096.692821260687</v>
      </c>
      <c r="DO116" s="58">
        <f t="shared" si="1368"/>
        <v>57096.692821260687</v>
      </c>
      <c r="DP116" s="58">
        <f t="shared" si="1368"/>
        <v>57096.692821260687</v>
      </c>
      <c r="DQ116" s="58">
        <f>+SUM(DQ117:DQ128)</f>
        <v>57096.692821260687</v>
      </c>
      <c r="DR116" s="58">
        <f t="shared" si="1368"/>
        <v>57096.692821260687</v>
      </c>
      <c r="DS116" s="58">
        <f t="shared" si="1368"/>
        <v>57096.692821260687</v>
      </c>
      <c r="DT116" s="58">
        <f t="shared" si="1368"/>
        <v>57096.692821260687</v>
      </c>
      <c r="DU116" s="58">
        <f t="shared" si="1368"/>
        <v>685160.31385512813</v>
      </c>
      <c r="DW116" s="28">
        <f t="shared" ref="DW116:EI116" si="1369">+SUM(DW117:DW128)</f>
        <v>0</v>
      </c>
      <c r="DX116" s="28">
        <f t="shared" si="1369"/>
        <v>0</v>
      </c>
      <c r="DY116" s="28">
        <f t="shared" si="1369"/>
        <v>0</v>
      </c>
      <c r="DZ116" s="28">
        <f t="shared" si="1369"/>
        <v>0</v>
      </c>
      <c r="EA116" s="28">
        <f t="shared" si="1369"/>
        <v>0</v>
      </c>
      <c r="EB116" s="28">
        <f t="shared" si="1369"/>
        <v>0</v>
      </c>
      <c r="EC116" s="28">
        <f t="shared" si="1369"/>
        <v>0</v>
      </c>
      <c r="ED116" s="28">
        <f t="shared" si="1369"/>
        <v>0</v>
      </c>
      <c r="EE116" s="28">
        <f t="shared" si="1369"/>
        <v>0</v>
      </c>
      <c r="EF116" s="28">
        <f t="shared" si="1369"/>
        <v>0</v>
      </c>
      <c r="EG116" s="28">
        <f t="shared" si="1369"/>
        <v>0</v>
      </c>
      <c r="EH116" s="28">
        <f t="shared" si="1369"/>
        <v>0</v>
      </c>
      <c r="EI116" s="58">
        <f t="shared" si="1369"/>
        <v>0</v>
      </c>
      <c r="EJ116" s="16" t="str">
        <f t="shared" si="966"/>
        <v>Salaries and Allowances</v>
      </c>
      <c r="EK116" s="28">
        <f t="shared" ref="EK116:EV116" si="1370">+SUM(EK117:EK128)</f>
        <v>100014.17307692308</v>
      </c>
      <c r="EL116" s="28">
        <f t="shared" si="1370"/>
        <v>93096.173076923078</v>
      </c>
      <c r="EM116" s="28">
        <f t="shared" si="1370"/>
        <v>101046.17307692308</v>
      </c>
      <c r="EN116" s="28">
        <f t="shared" si="1370"/>
        <v>93380.048076923078</v>
      </c>
      <c r="EO116" s="28">
        <f t="shared" si="1370"/>
        <v>84993.048076923078</v>
      </c>
      <c r="EP116" s="28">
        <f t="shared" si="1370"/>
        <v>67380.048076923078</v>
      </c>
      <c r="EQ116" s="28">
        <f t="shared" si="1370"/>
        <v>77460.048076923078</v>
      </c>
      <c r="ER116" s="28">
        <f t="shared" si="1370"/>
        <v>77460.048076923078</v>
      </c>
      <c r="ES116" s="28">
        <f t="shared" si="1370"/>
        <v>73980.048076923078</v>
      </c>
      <c r="ET116" s="28">
        <f t="shared" si="1370"/>
        <v>66411.048076923078</v>
      </c>
      <c r="EU116" s="28">
        <f t="shared" si="1370"/>
        <v>0</v>
      </c>
      <c r="EV116" s="28">
        <f t="shared" si="1370"/>
        <v>0</v>
      </c>
      <c r="EW116" s="28">
        <f t="shared" ref="EW116" si="1371">+SUM(EW117:EW128)</f>
        <v>835220.85576923075</v>
      </c>
      <c r="EX116" s="118">
        <f t="shared" si="1226"/>
        <v>-0.2077531592618049</v>
      </c>
      <c r="EY116" s="58">
        <f t="shared" ref="EY116:FK116" si="1372">+SUM(EY117:EY128)</f>
        <v>93380.048076923078</v>
      </c>
      <c r="EZ116" s="58">
        <f t="shared" si="1372"/>
        <v>93380.048076923078</v>
      </c>
      <c r="FA116" s="58">
        <f t="shared" si="1372"/>
        <v>93380.048076923078</v>
      </c>
      <c r="FB116" s="58">
        <f t="shared" si="1372"/>
        <v>93380.048076923078</v>
      </c>
      <c r="FC116" s="58">
        <f t="shared" si="1372"/>
        <v>93380.048076923078</v>
      </c>
      <c r="FD116" s="58">
        <f t="shared" si="1372"/>
        <v>93380.048076923078</v>
      </c>
      <c r="FE116" s="58">
        <f t="shared" si="1372"/>
        <v>93380.048076923078</v>
      </c>
      <c r="FF116" s="58">
        <f t="shared" si="1372"/>
        <v>93380.048076923078</v>
      </c>
      <c r="FG116" s="58">
        <f t="shared" si="1372"/>
        <v>93380.048076923078</v>
      </c>
      <c r="FH116" s="58">
        <f t="shared" si="1372"/>
        <v>93380.048076923078</v>
      </c>
      <c r="FI116" s="58">
        <f t="shared" si="1372"/>
        <v>93380.048076923078</v>
      </c>
      <c r="FJ116" s="58">
        <f t="shared" si="1372"/>
        <v>93380.048076923078</v>
      </c>
      <c r="FK116" s="58">
        <f t="shared" si="1372"/>
        <v>1120560.576923077</v>
      </c>
    </row>
    <row r="117" spans="1:167" ht="14.45" hidden="1" customHeight="1" outlineLevel="2">
      <c r="A117" s="106">
        <f t="shared" ref="A117:L128" si="1373">+AQ117+CG117+DW117</f>
        <v>100364.40959999933</v>
      </c>
      <c r="B117" s="106">
        <f t="shared" si="1373"/>
        <v>103354.69380000001</v>
      </c>
      <c r="C117" s="106">
        <f t="shared" si="1373"/>
        <v>131030.82</v>
      </c>
      <c r="D117" s="106">
        <f t="shared" si="1373"/>
        <v>128780.82</v>
      </c>
      <c r="E117" s="106">
        <f t="shared" si="1373"/>
        <v>114814.22</v>
      </c>
      <c r="F117" s="106">
        <f t="shared" si="1373"/>
        <v>117425.02</v>
      </c>
      <c r="G117" s="106">
        <f t="shared" si="1373"/>
        <v>131382.22</v>
      </c>
      <c r="H117" s="106">
        <f t="shared" si="1373"/>
        <v>290427.38</v>
      </c>
      <c r="I117" s="106">
        <f t="shared" si="1373"/>
        <v>165953.66200000001</v>
      </c>
      <c r="J117" s="106">
        <f t="shared" si="1373"/>
        <v>166114.4</v>
      </c>
      <c r="K117" s="106">
        <f t="shared" si="1373"/>
        <v>268417.59999999998</v>
      </c>
      <c r="L117" s="106">
        <f t="shared" si="1373"/>
        <v>101684.2</v>
      </c>
      <c r="M117" s="106">
        <f t="shared" ref="M117:M128" si="1374">+SUM(A117:L117)</f>
        <v>1819749.4453999994</v>
      </c>
      <c r="N117" s="16" t="s">
        <v>95</v>
      </c>
      <c r="O117" s="106">
        <f t="shared" ref="O117:O128" si="1375">+BE117+CU117+EK117</f>
        <v>171032</v>
      </c>
      <c r="P117" s="106">
        <f t="shared" ref="P117:P128" si="1376">+BF117+CV117+EL117</f>
        <v>172739</v>
      </c>
      <c r="Q117" s="106">
        <f t="shared" ref="Q117:Q128" si="1377">+BG117+CW117+EM117</f>
        <v>159720</v>
      </c>
      <c r="R117" s="106">
        <f t="shared" ref="R117:R128" si="1378">+BH117+CX117+EN117</f>
        <v>151498.20000000001</v>
      </c>
      <c r="S117" s="106">
        <f t="shared" ref="S117:S128" si="1379">+BI117+CY117+EO117</f>
        <v>149756</v>
      </c>
      <c r="T117" s="106">
        <f t="shared" ref="T117:T128" si="1380">+BJ117+CZ117+EP117</f>
        <v>140465</v>
      </c>
      <c r="U117" s="106">
        <f t="shared" ref="U117:U128" si="1381">+BK117+DA117+EQ117</f>
        <v>140950</v>
      </c>
      <c r="V117" s="106">
        <f t="shared" ref="V117:V128" si="1382">+BL117+DB117+ER117</f>
        <v>140350</v>
      </c>
      <c r="W117" s="106">
        <f t="shared" ref="W117:W128" si="1383">+BM117+DC117+ES117</f>
        <v>137378</v>
      </c>
      <c r="X117" s="106">
        <f t="shared" ref="X117:X128" si="1384">+BN117+DD117+ET117</f>
        <v>171123</v>
      </c>
      <c r="Y117" s="106">
        <f t="shared" ref="Y117:Y128" si="1385">+BO117+DE117+EU117</f>
        <v>0</v>
      </c>
      <c r="Z117" s="106">
        <f t="shared" ref="Z117:Z128" si="1386">+BP117+DF117+EV117</f>
        <v>0</v>
      </c>
      <c r="AA117" s="106">
        <f t="shared" ref="AA117:AA128" si="1387">+SUM(O117:Z117)</f>
        <v>1535011.2</v>
      </c>
      <c r="AB117" s="118">
        <f t="shared" si="1223"/>
        <v>3.7423461655046987E-2</v>
      </c>
      <c r="AC117" s="106">
        <f t="shared" ref="AC117:AC128" si="1388">+BS117+DI117+EY117</f>
        <v>164950</v>
      </c>
      <c r="AD117" s="106">
        <f t="shared" ref="AD117:AD128" si="1389">+BT117+DJ117+EZ117</f>
        <v>164950</v>
      </c>
      <c r="AE117" s="106">
        <f t="shared" ref="AE117:AE128" si="1390">+BU117+DK117+FA117</f>
        <v>164950</v>
      </c>
      <c r="AF117" s="106">
        <f t="shared" ref="AF117:AF128" si="1391">+BV117+DL117+FB117</f>
        <v>164950</v>
      </c>
      <c r="AG117" s="106">
        <f t="shared" ref="AG117:AG128" si="1392">+BW117+DM117+FC117</f>
        <v>164950</v>
      </c>
      <c r="AH117" s="106">
        <f t="shared" ref="AH117:AH128" si="1393">+BX117+DN117+FD117</f>
        <v>164950</v>
      </c>
      <c r="AI117" s="106">
        <f t="shared" ref="AI117:AI128" si="1394">+BY117+DO117+FE117</f>
        <v>164950</v>
      </c>
      <c r="AJ117" s="106">
        <f t="shared" ref="AJ117:AJ128" si="1395">+BZ117+DP117+FF117</f>
        <v>164950</v>
      </c>
      <c r="AK117" s="106">
        <f t="shared" ref="AK117:AK128" si="1396">+CA117+DQ117+FG117</f>
        <v>164950</v>
      </c>
      <c r="AL117" s="106">
        <f t="shared" ref="AL117:AL128" si="1397">+CB117+DR117+FH117</f>
        <v>164950</v>
      </c>
      <c r="AM117" s="106">
        <f t="shared" ref="AM117:AM128" si="1398">+CC117+DS117+FI117</f>
        <v>164950</v>
      </c>
      <c r="AN117" s="106">
        <f t="shared" ref="AN117:AN128" si="1399">+CD117+DT117+FJ117</f>
        <v>164950</v>
      </c>
      <c r="AO117" s="106">
        <f t="shared" ref="AO117:AO128" si="1400">+SUM(AC117:AN117)</f>
        <v>1979400</v>
      </c>
      <c r="AQ117" s="106">
        <v>76283.606399999553</v>
      </c>
      <c r="AR117" s="106">
        <v>79780.239200000011</v>
      </c>
      <c r="AS117" s="106">
        <v>102986.88</v>
      </c>
      <c r="AT117" s="106">
        <v>101486.88</v>
      </c>
      <c r="AU117" s="106">
        <v>92950.28</v>
      </c>
      <c r="AV117" s="106">
        <v>91561.08</v>
      </c>
      <c r="AW117" s="106">
        <v>105518.28</v>
      </c>
      <c r="AX117" s="106">
        <v>216198.91999999998</v>
      </c>
      <c r="AY117" s="106">
        <v>140689.66200000001</v>
      </c>
      <c r="AZ117" s="106">
        <v>140850.4</v>
      </c>
      <c r="BA117" s="106">
        <v>153874.79999999999</v>
      </c>
      <c r="BB117" s="106">
        <v>77024.2</v>
      </c>
      <c r="BC117" s="106">
        <f t="shared" ref="BC117:BC128" si="1401">+SUM(AQ117:BB117)</f>
        <v>1379205.2275999994</v>
      </c>
      <c r="BD117" s="16" t="str">
        <f t="shared" si="900"/>
        <v>Salaries &amp; Wages - basic Staff</v>
      </c>
      <c r="BE117" s="106">
        <f>+VLOOKUP($BD117,'Jan-25'!$A:$J,5,0)</f>
        <v>110280</v>
      </c>
      <c r="BF117" s="106">
        <f>+VLOOKUP($BD117,'Feb-25'!$A:$J,5,0)</f>
        <v>109819</v>
      </c>
      <c r="BG117" s="106">
        <f>+VLOOKUP($BD117,'Mar-25'!$A:$J,5,0)</f>
        <v>94989</v>
      </c>
      <c r="BH117" s="106">
        <f>+VLOOKUP($BD117,'Apr-25'!$A:$J,5,0)</f>
        <v>92848.2</v>
      </c>
      <c r="BI117" s="106">
        <f>+VLOOKUP($BD117,'May-25'!$A:$J,5,0)</f>
        <v>95300</v>
      </c>
      <c r="BJ117" s="106">
        <f>+VLOOKUP($BD117,'June-25'!$A:$J,5,0)</f>
        <v>94815</v>
      </c>
      <c r="BK117" s="106">
        <f>+VLOOKUP($BD117,'July-25'!$A:$J,5,0)</f>
        <v>95300</v>
      </c>
      <c r="BL117" s="106">
        <f>+VLOOKUP($BD117,'Aug-25'!$A:$J,5,0)</f>
        <v>94700</v>
      </c>
      <c r="BM117" s="106">
        <f>+VLOOKUP($BD117,'Sep-25'!$A:$J,5,0)</f>
        <v>93468</v>
      </c>
      <c r="BN117" s="106">
        <f>+VLOOKUP($BD117,'Oct-25'!$A:$J,5,0)</f>
        <v>115397</v>
      </c>
      <c r="BO117" s="106">
        <f>+VLOOKUP($BD117,'Nov-25'!$A:$J,5,0)</f>
        <v>0</v>
      </c>
      <c r="BP117" s="106">
        <f>+VLOOKUP($BD117,'Dec-25'!$A:$J,5,0)</f>
        <v>0</v>
      </c>
      <c r="BQ117" s="106">
        <f t="shared" ref="BQ117:BQ128" si="1402">+SUM(BE117:BP117)</f>
        <v>996916.2</v>
      </c>
      <c r="BR117" s="118">
        <f t="shared" si="1224"/>
        <v>8.5578551269990588E-2</v>
      </c>
      <c r="BS117" s="106">
        <f>+_xlfn.XLOOKUP($BD117,Budget!$A:$A,Budget!BD:BD)</f>
        <v>106300</v>
      </c>
      <c r="BT117" s="106">
        <f>+_xlfn.XLOOKUP($BD117,Budget!$A:$A,Budget!BE:BE)</f>
        <v>106300</v>
      </c>
      <c r="BU117" s="106">
        <f>+_xlfn.XLOOKUP($BD117,Budget!$A:$A,Budget!BF:BF)</f>
        <v>106300</v>
      </c>
      <c r="BV117" s="106">
        <f>+_xlfn.XLOOKUP($BD117,Budget!$A:$A,Budget!BG:BG)</f>
        <v>106300</v>
      </c>
      <c r="BW117" s="106">
        <f>+_xlfn.XLOOKUP($BD117,Budget!$A:$A,Budget!BH:BH)</f>
        <v>106300</v>
      </c>
      <c r="BX117" s="106">
        <f>+_xlfn.XLOOKUP($BD117,Budget!$A:$A,Budget!BI:BI)</f>
        <v>106300</v>
      </c>
      <c r="BY117" s="106">
        <f>+_xlfn.XLOOKUP($BD117,Budget!$A:$A,Budget!BJ:BJ)</f>
        <v>106300</v>
      </c>
      <c r="BZ117" s="106">
        <f>+_xlfn.XLOOKUP($BD117,Budget!$A:$A,Budget!BK:BK)</f>
        <v>106300</v>
      </c>
      <c r="CA117" s="106">
        <f>+_xlfn.XLOOKUP($BD117,Budget!$A:$A,Budget!BL:BL)</f>
        <v>106300</v>
      </c>
      <c r="CB117" s="106">
        <f>+_xlfn.XLOOKUP($BD117,Budget!$A:$A,Budget!BM:BM)</f>
        <v>106300</v>
      </c>
      <c r="CC117" s="106">
        <f>+_xlfn.XLOOKUP($BD117,Budget!$A:$A,Budget!BN:BN)</f>
        <v>106300</v>
      </c>
      <c r="CD117" s="106">
        <f>+_xlfn.XLOOKUP($BD117,Budget!$A:$A,Budget!BO:BO)</f>
        <v>106300</v>
      </c>
      <c r="CE117" s="106">
        <f t="shared" ref="CE117:CE128" si="1403">+SUM(BS117:CD117)</f>
        <v>1275600</v>
      </c>
      <c r="CF117" s="106"/>
      <c r="CG117" s="106">
        <v>24080.803199999777</v>
      </c>
      <c r="CH117" s="106">
        <v>23574.454600000005</v>
      </c>
      <c r="CI117" s="106">
        <v>28043.940000000002</v>
      </c>
      <c r="CJ117" s="106">
        <v>27293.940000000002</v>
      </c>
      <c r="CK117" s="106">
        <v>21863.940000000002</v>
      </c>
      <c r="CL117" s="106">
        <v>25863.940000000002</v>
      </c>
      <c r="CM117" s="106">
        <v>25863.940000000002</v>
      </c>
      <c r="CN117" s="106">
        <v>74228.459999999992</v>
      </c>
      <c r="CO117" s="106">
        <v>25264</v>
      </c>
      <c r="CP117" s="106">
        <v>25264</v>
      </c>
      <c r="CQ117" s="106">
        <v>114542.8</v>
      </c>
      <c r="CR117" s="106">
        <v>24660</v>
      </c>
      <c r="CS117" s="106">
        <f t="shared" ref="CS117:CS128" si="1404">+SUM(CG117:CR117)</f>
        <v>440544.21779999981</v>
      </c>
      <c r="CT117" s="16" t="str">
        <f t="shared" si="901"/>
        <v>Salaries &amp; Wages - basic Staff</v>
      </c>
      <c r="CU117" s="106">
        <f>+VLOOKUP($BD117,'Jan-25'!$A:$J,8,0)</f>
        <v>19986</v>
      </c>
      <c r="CV117" s="106">
        <f>+VLOOKUP($BD117,'Feb-25'!$A:$J,8,0)</f>
        <v>21670</v>
      </c>
      <c r="CW117" s="106">
        <f>+VLOOKUP($BD117,'Mar-25'!$A:$J,8,0)</f>
        <v>23481</v>
      </c>
      <c r="CX117" s="106">
        <f>+VLOOKUP($BD117,'Apr-25'!$A:$J,8,0)</f>
        <v>17400</v>
      </c>
      <c r="CY117" s="106">
        <f>+VLOOKUP($BD117,'May-25'!$A:$J,8,0)</f>
        <v>17400</v>
      </c>
      <c r="CZ117" s="106">
        <f>+VLOOKUP($BD117,'June-25'!$A:$J,8,0)</f>
        <v>17400</v>
      </c>
      <c r="DA117" s="106">
        <f>+VLOOKUP($BD117,'July-25'!$A:$J,8,0)</f>
        <v>17400</v>
      </c>
      <c r="DB117" s="106">
        <f>+VLOOKUP($BD117,'Aug-25'!$A:$J,8,0)</f>
        <v>17400</v>
      </c>
      <c r="DC117" s="106">
        <f>+VLOOKUP($BD117,'Sep-25'!$A:$J,8,0)</f>
        <v>17400</v>
      </c>
      <c r="DD117" s="106">
        <f>+VLOOKUP($BD117,'Oct-25'!$A:$J,8,0)</f>
        <v>27960</v>
      </c>
      <c r="DE117" s="106">
        <f>+VLOOKUP($BD117,'Nov-25'!$A:$J,8,0)</f>
        <v>0</v>
      </c>
      <c r="DF117" s="106">
        <f>+VLOOKUP($BD117,'Dec-25'!$A:$J,8,0)</f>
        <v>0</v>
      </c>
      <c r="DG117" s="106">
        <f t="shared" ref="DG117:DG128" si="1405">+SUM(CU117:DF117)</f>
        <v>197497</v>
      </c>
      <c r="DH117" s="118">
        <f t="shared" si="1225"/>
        <v>0.60689655172413792</v>
      </c>
      <c r="DI117" s="106">
        <f>+_xlfn.XLOOKUP($CT117,Budget!$A:$A,Budget!CQ:CQ)</f>
        <v>17400</v>
      </c>
      <c r="DJ117" s="106">
        <f>+_xlfn.XLOOKUP($CT117,Budget!$A:$A,Budget!CR:CR)</f>
        <v>17400</v>
      </c>
      <c r="DK117" s="106">
        <f>+_xlfn.XLOOKUP($CT117,Budget!$A:$A,Budget!CS:CS)</f>
        <v>17400</v>
      </c>
      <c r="DL117" s="106">
        <f>+_xlfn.XLOOKUP($CT117,Budget!$A:$A,Budget!CT:CT)</f>
        <v>17400</v>
      </c>
      <c r="DM117" s="106">
        <f>+_xlfn.XLOOKUP($CT117,Budget!$A:$A,Budget!CU:CU)</f>
        <v>17400</v>
      </c>
      <c r="DN117" s="106">
        <f>+_xlfn.XLOOKUP($CT117,Budget!$A:$A,Budget!CV:CV)</f>
        <v>17400</v>
      </c>
      <c r="DO117" s="106">
        <f>+_xlfn.XLOOKUP($CT117,Budget!$A:$A,Budget!CW:CW)</f>
        <v>17400</v>
      </c>
      <c r="DP117" s="106">
        <f>+_xlfn.XLOOKUP($CT117,Budget!$A:$A,Budget!CX:CX)</f>
        <v>17400</v>
      </c>
      <c r="DQ117" s="106">
        <f>+_xlfn.XLOOKUP($CT117,Budget!$A:$A,Budget!CY:CY)</f>
        <v>17400</v>
      </c>
      <c r="DR117" s="106">
        <f>+_xlfn.XLOOKUP($CT117,Budget!$A:$A,Budget!CZ:CZ)</f>
        <v>17400</v>
      </c>
      <c r="DS117" s="106">
        <f>+_xlfn.XLOOKUP($CT117,Budget!$A:$A,Budget!DA:DA)</f>
        <v>17400</v>
      </c>
      <c r="DT117" s="106">
        <f>+_xlfn.XLOOKUP($CT117,Budget!$A:$A,Budget!DB:DB)</f>
        <v>17400</v>
      </c>
      <c r="DU117" s="106">
        <f t="shared" ref="DU117:DU128" si="1406">+SUM(DI117:DT117)</f>
        <v>208800</v>
      </c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106">
        <f t="shared" ref="EI117:EI128" si="1407">+SUM(DW117:EH117)</f>
        <v>0</v>
      </c>
      <c r="EJ117" s="16" t="str">
        <f t="shared" si="966"/>
        <v>Salaries &amp; Wages - basic Staff</v>
      </c>
      <c r="EK117" s="22">
        <f>+VLOOKUP($BD117,'Jan-25'!$A:$J,10,0)</f>
        <v>40766</v>
      </c>
      <c r="EL117" s="22">
        <f>+VLOOKUP($BD117,'Feb-25'!$A:$J,10,0)</f>
        <v>41250</v>
      </c>
      <c r="EM117" s="22">
        <f>+VLOOKUP($BD117,'Mar-25'!$A:$J,10,0)</f>
        <v>41250</v>
      </c>
      <c r="EN117" s="22">
        <f>+VLOOKUP($BD117,'Apr-25'!$A:$J,10,0)</f>
        <v>41250</v>
      </c>
      <c r="EO117" s="22">
        <f>+VLOOKUP($BD117,'May-25'!$A:$J,10,0)</f>
        <v>37056</v>
      </c>
      <c r="EP117" s="22">
        <f>+VLOOKUP($BD117,'June-25'!$A:$J,10,0)</f>
        <v>28250</v>
      </c>
      <c r="EQ117" s="22">
        <f>+VLOOKUP($BD117,'July-25'!$A:$J,10,0)</f>
        <v>28250</v>
      </c>
      <c r="ER117" s="22">
        <f>+VLOOKUP($BD117,'Aug-25'!$A:$J,10,0)</f>
        <v>28250</v>
      </c>
      <c r="ES117" s="22">
        <f>+VLOOKUP($BD117,'Sep-25'!$A:$J,10,0)</f>
        <v>26510</v>
      </c>
      <c r="ET117" s="22">
        <f>+VLOOKUP($BD117,'Oct-25'!$A:$J,10,0)</f>
        <v>27766</v>
      </c>
      <c r="EU117" s="22">
        <f>+VLOOKUP($BD117,'Nov-25'!$A:$J,10,0)</f>
        <v>0</v>
      </c>
      <c r="EV117" s="22">
        <f>+VLOOKUP($BD117,'Dec-25'!$A:$J,10,0)</f>
        <v>0</v>
      </c>
      <c r="EW117" s="22">
        <f t="shared" ref="EW117:EW128" si="1408">+SUM(EK117:EV117)</f>
        <v>340598</v>
      </c>
      <c r="EX117" s="118">
        <f t="shared" si="1226"/>
        <v>-0.35733333333333334</v>
      </c>
      <c r="EY117" s="106">
        <f>+_xlfn.XLOOKUP($EJ117,Budget!$A:$A,Budget!DR:DR)</f>
        <v>41250</v>
      </c>
      <c r="EZ117" s="106">
        <f>+_xlfn.XLOOKUP($EJ117,Budget!$A:$A,Budget!DS:DS)</f>
        <v>41250</v>
      </c>
      <c r="FA117" s="106">
        <f>+_xlfn.XLOOKUP($EJ117,Budget!$A:$A,Budget!DT:DT)</f>
        <v>41250</v>
      </c>
      <c r="FB117" s="106">
        <f>+_xlfn.XLOOKUP($EJ117,Budget!$A:$A,Budget!DU:DU)</f>
        <v>41250</v>
      </c>
      <c r="FC117" s="106">
        <f>+_xlfn.XLOOKUP($EJ117,Budget!$A:$A,Budget!DV:DV)</f>
        <v>41250</v>
      </c>
      <c r="FD117" s="106">
        <f>+_xlfn.XLOOKUP($EJ117,Budget!$A:$A,Budget!DW:DW)</f>
        <v>41250</v>
      </c>
      <c r="FE117" s="106">
        <f>+_xlfn.XLOOKUP($EJ117,Budget!$A:$A,Budget!DX:DX)</f>
        <v>41250</v>
      </c>
      <c r="FF117" s="106">
        <f>+_xlfn.XLOOKUP($EJ117,Budget!$A:$A,Budget!DY:DY)</f>
        <v>41250</v>
      </c>
      <c r="FG117" s="106">
        <f>+_xlfn.XLOOKUP($EJ117,Budget!$A:$A,Budget!DZ:DZ)</f>
        <v>41250</v>
      </c>
      <c r="FH117" s="106">
        <f>+_xlfn.XLOOKUP($EJ117,Budget!$A:$A,Budget!EA:EA)</f>
        <v>41250</v>
      </c>
      <c r="FI117" s="106">
        <f>+_xlfn.XLOOKUP($EJ117,Budget!$A:$A,Budget!EB:EB)</f>
        <v>41250</v>
      </c>
      <c r="FJ117" s="106">
        <f>+_xlfn.XLOOKUP($EJ117,Budget!$A:$A,Budget!EC:EC)</f>
        <v>41250</v>
      </c>
      <c r="FK117" s="106">
        <f t="shared" ref="FK117:FK128" si="1409">+SUM(EY117:FJ117)</f>
        <v>495000</v>
      </c>
    </row>
    <row r="118" spans="1:167" ht="14.45" hidden="1" customHeight="1" outlineLevel="2">
      <c r="A118" s="106">
        <f t="shared" si="1373"/>
        <v>13563.4804</v>
      </c>
      <c r="B118" s="106">
        <f t="shared" si="1373"/>
        <v>14199.43</v>
      </c>
      <c r="C118" s="106">
        <f t="shared" si="1373"/>
        <v>20175</v>
      </c>
      <c r="D118" s="106">
        <f t="shared" si="1373"/>
        <v>19707</v>
      </c>
      <c r="E118" s="106">
        <f t="shared" si="1373"/>
        <v>20713.400000000001</v>
      </c>
      <c r="F118" s="106">
        <f t="shared" si="1373"/>
        <v>20365.8</v>
      </c>
      <c r="G118" s="106">
        <f t="shared" si="1373"/>
        <v>22180.6</v>
      </c>
      <c r="H118" s="106">
        <f t="shared" si="1373"/>
        <v>22015.3</v>
      </c>
      <c r="I118" s="106">
        <f t="shared" si="1373"/>
        <v>26806.668000000001</v>
      </c>
      <c r="J118" s="106">
        <f t="shared" si="1373"/>
        <v>26757</v>
      </c>
      <c r="K118" s="106">
        <f t="shared" si="1373"/>
        <v>40452.400000000001</v>
      </c>
      <c r="L118" s="106">
        <f t="shared" si="1373"/>
        <v>18603</v>
      </c>
      <c r="M118" s="106">
        <f t="shared" si="1374"/>
        <v>265539.0784</v>
      </c>
      <c r="N118" s="16" t="s">
        <v>96</v>
      </c>
      <c r="O118" s="106">
        <f t="shared" si="1375"/>
        <v>24922</v>
      </c>
      <c r="P118" s="106">
        <f t="shared" si="1376"/>
        <v>25279</v>
      </c>
      <c r="Q118" s="106">
        <f t="shared" si="1377"/>
        <v>25826</v>
      </c>
      <c r="R118" s="106">
        <f t="shared" si="1378"/>
        <v>25093</v>
      </c>
      <c r="S118" s="106">
        <f t="shared" si="1379"/>
        <v>25261</v>
      </c>
      <c r="T118" s="106">
        <f t="shared" si="1380"/>
        <v>23772</v>
      </c>
      <c r="U118" s="106">
        <f t="shared" si="1381"/>
        <v>23940</v>
      </c>
      <c r="V118" s="106">
        <f t="shared" si="1382"/>
        <v>23754.400000000001</v>
      </c>
      <c r="W118" s="106">
        <f t="shared" si="1383"/>
        <v>23170</v>
      </c>
      <c r="X118" s="106">
        <f t="shared" si="1384"/>
        <v>28157</v>
      </c>
      <c r="Y118" s="106">
        <f t="shared" si="1385"/>
        <v>0</v>
      </c>
      <c r="Z118" s="106">
        <f t="shared" si="1386"/>
        <v>0</v>
      </c>
      <c r="AA118" s="106">
        <f t="shared" si="1387"/>
        <v>249174.39999999999</v>
      </c>
      <c r="AB118" s="118">
        <f t="shared" si="1223"/>
        <v>9.5733237719612761E-3</v>
      </c>
      <c r="AC118" s="106">
        <f t="shared" si="1388"/>
        <v>27890</v>
      </c>
      <c r="AD118" s="106">
        <f t="shared" si="1389"/>
        <v>27890</v>
      </c>
      <c r="AE118" s="106">
        <f t="shared" si="1390"/>
        <v>27890</v>
      </c>
      <c r="AF118" s="106">
        <f t="shared" si="1391"/>
        <v>27890</v>
      </c>
      <c r="AG118" s="106">
        <f t="shared" si="1392"/>
        <v>27890</v>
      </c>
      <c r="AH118" s="106">
        <f t="shared" si="1393"/>
        <v>27890</v>
      </c>
      <c r="AI118" s="106">
        <f t="shared" si="1394"/>
        <v>27890</v>
      </c>
      <c r="AJ118" s="106">
        <f t="shared" si="1395"/>
        <v>27890</v>
      </c>
      <c r="AK118" s="106">
        <f t="shared" si="1396"/>
        <v>27890</v>
      </c>
      <c r="AL118" s="106">
        <f t="shared" si="1397"/>
        <v>27890</v>
      </c>
      <c r="AM118" s="106">
        <f t="shared" si="1398"/>
        <v>27890</v>
      </c>
      <c r="AN118" s="106">
        <f t="shared" si="1399"/>
        <v>27890</v>
      </c>
      <c r="AO118" s="106">
        <f t="shared" si="1400"/>
        <v>334680</v>
      </c>
      <c r="AQ118" s="106">
        <v>10888.053600000001</v>
      </c>
      <c r="AR118" s="106">
        <v>11637.93</v>
      </c>
      <c r="AS118" s="106">
        <v>16330</v>
      </c>
      <c r="AT118" s="106">
        <v>16018</v>
      </c>
      <c r="AU118" s="106">
        <v>17024.400000000001</v>
      </c>
      <c r="AV118" s="106">
        <v>16676.8</v>
      </c>
      <c r="AW118" s="106">
        <v>18491.599999999999</v>
      </c>
      <c r="AX118" s="106">
        <v>18360.2</v>
      </c>
      <c r="AY118" s="106">
        <v>23267.668000000001</v>
      </c>
      <c r="AZ118" s="106">
        <v>23218</v>
      </c>
      <c r="BA118" s="106">
        <v>24167</v>
      </c>
      <c r="BB118" s="106">
        <v>14479</v>
      </c>
      <c r="BC118" s="106">
        <f t="shared" si="1401"/>
        <v>210558.65159999998</v>
      </c>
      <c r="BD118" s="16" t="str">
        <f t="shared" si="900"/>
        <v>Conveyance  - Staff</v>
      </c>
      <c r="BE118" s="106">
        <f>+VLOOKUP($BD118,'Jan-25'!$A:$J,5,0)</f>
        <v>16076</v>
      </c>
      <c r="BF118" s="106">
        <f>+VLOOKUP($BD118,'Feb-25'!$A:$J,5,0)</f>
        <v>15989</v>
      </c>
      <c r="BG118" s="106">
        <f>+VLOOKUP($BD118,'Mar-25'!$A:$J,5,0)</f>
        <v>16121</v>
      </c>
      <c r="BH118" s="106">
        <f>+VLOOKUP($BD118,'Apr-25'!$A:$J,5,0)</f>
        <v>16323</v>
      </c>
      <c r="BI118" s="106">
        <f>+VLOOKUP($BD118,'May-25'!$A:$J,5,0)</f>
        <v>17120</v>
      </c>
      <c r="BJ118" s="106">
        <f>+VLOOKUP($BD118,'June-25'!$A:$J,5,0)</f>
        <v>16952</v>
      </c>
      <c r="BK118" s="106">
        <f>+VLOOKUP($BD118,'July-25'!$A:$J,5,0)</f>
        <v>17120</v>
      </c>
      <c r="BL118" s="106">
        <f>+VLOOKUP($BD118,'Aug-25'!$A:$J,5,0)</f>
        <v>16934.400000000001</v>
      </c>
      <c r="BM118" s="106">
        <f>+VLOOKUP($BD118,'Sep-25'!$A:$J,5,0)</f>
        <v>16611</v>
      </c>
      <c r="BN118" s="106">
        <f>+VLOOKUP($BD118,'Oct-25'!$A:$J,5,0)</f>
        <v>20048</v>
      </c>
      <c r="BO118" s="106">
        <f>+VLOOKUP($BD118,'Nov-25'!$A:$J,5,0)</f>
        <v>0</v>
      </c>
      <c r="BP118" s="106">
        <f>+VLOOKUP($BD118,'Dec-25'!$A:$J,5,0)</f>
        <v>0</v>
      </c>
      <c r="BQ118" s="106">
        <f t="shared" si="1402"/>
        <v>169294.4</v>
      </c>
      <c r="BR118" s="118">
        <f t="shared" si="1224"/>
        <v>4.8535564853556486E-2</v>
      </c>
      <c r="BS118" s="106">
        <f>+_xlfn.XLOOKUP($BD118,Budget!$A:$A,Budget!BD:BD)</f>
        <v>19120</v>
      </c>
      <c r="BT118" s="106">
        <f>+_xlfn.XLOOKUP($BD118,Budget!$A:$A,Budget!BE:BE)</f>
        <v>19120</v>
      </c>
      <c r="BU118" s="106">
        <f>+_xlfn.XLOOKUP($BD118,Budget!$A:$A,Budget!BF:BF)</f>
        <v>19120</v>
      </c>
      <c r="BV118" s="106">
        <f>+_xlfn.XLOOKUP($BD118,Budget!$A:$A,Budget!BG:BG)</f>
        <v>19120</v>
      </c>
      <c r="BW118" s="106">
        <f>+_xlfn.XLOOKUP($BD118,Budget!$A:$A,Budget!BH:BH)</f>
        <v>19120</v>
      </c>
      <c r="BX118" s="106">
        <f>+_xlfn.XLOOKUP($BD118,Budget!$A:$A,Budget!BI:BI)</f>
        <v>19120</v>
      </c>
      <c r="BY118" s="106">
        <f>+_xlfn.XLOOKUP($BD118,Budget!$A:$A,Budget!BJ:BJ)</f>
        <v>19120</v>
      </c>
      <c r="BZ118" s="106">
        <f>+_xlfn.XLOOKUP($BD118,Budget!$A:$A,Budget!BK:BK)</f>
        <v>19120</v>
      </c>
      <c r="CA118" s="106">
        <f>+_xlfn.XLOOKUP($BD118,Budget!$A:$A,Budget!BL:BL)</f>
        <v>19120</v>
      </c>
      <c r="CB118" s="106">
        <f>+_xlfn.XLOOKUP($BD118,Budget!$A:$A,Budget!BM:BM)</f>
        <v>19120</v>
      </c>
      <c r="CC118" s="106">
        <f>+_xlfn.XLOOKUP($BD118,Budget!$A:$A,Budget!BN:BN)</f>
        <v>19120</v>
      </c>
      <c r="CD118" s="106">
        <f>+_xlfn.XLOOKUP($BD118,Budget!$A:$A,Budget!BO:BO)</f>
        <v>19120</v>
      </c>
      <c r="CE118" s="106">
        <f t="shared" si="1403"/>
        <v>229440</v>
      </c>
      <c r="CF118" s="106"/>
      <c r="CG118" s="106">
        <v>2675.4268000000002</v>
      </c>
      <c r="CH118" s="106">
        <v>2561.5000000000005</v>
      </c>
      <c r="CI118" s="106">
        <v>3845</v>
      </c>
      <c r="CJ118" s="106">
        <v>3689</v>
      </c>
      <c r="CK118" s="106">
        <v>3689</v>
      </c>
      <c r="CL118" s="106">
        <v>3689</v>
      </c>
      <c r="CM118" s="106">
        <v>3689</v>
      </c>
      <c r="CN118" s="106">
        <v>3655.1</v>
      </c>
      <c r="CO118" s="106">
        <v>3539</v>
      </c>
      <c r="CP118" s="106">
        <v>3539</v>
      </c>
      <c r="CQ118" s="106">
        <v>16285.400000000001</v>
      </c>
      <c r="CR118" s="106">
        <v>4124</v>
      </c>
      <c r="CS118" s="106">
        <f t="shared" si="1404"/>
        <v>54980.426800000001</v>
      </c>
      <c r="CT118" s="16" t="str">
        <f t="shared" si="901"/>
        <v>Conveyance  - Staff</v>
      </c>
      <c r="CU118" s="106">
        <f>+VLOOKUP($BD118,'Jan-25'!$A:$J,8,0)</f>
        <v>2769</v>
      </c>
      <c r="CV118" s="106">
        <f>+VLOOKUP($BD118,'Feb-25'!$A:$J,8,0)</f>
        <v>3140</v>
      </c>
      <c r="CW118" s="106">
        <f>+VLOOKUP($BD118,'Mar-25'!$A:$J,8,0)</f>
        <v>3555</v>
      </c>
      <c r="CX118" s="106">
        <f>+VLOOKUP($BD118,'Apr-25'!$A:$J,8,0)</f>
        <v>2620</v>
      </c>
      <c r="CY118" s="106">
        <f>+VLOOKUP($BD118,'May-25'!$A:$J,8,0)</f>
        <v>2620</v>
      </c>
      <c r="CZ118" s="106">
        <f>+VLOOKUP($BD118,'June-25'!$A:$J,8,0)</f>
        <v>2620</v>
      </c>
      <c r="DA118" s="106">
        <f>+VLOOKUP($BD118,'July-25'!$A:$J,8,0)</f>
        <v>2620</v>
      </c>
      <c r="DB118" s="106">
        <f>+VLOOKUP($BD118,'Aug-25'!$A:$J,8,0)</f>
        <v>2620</v>
      </c>
      <c r="DC118" s="106">
        <f>+VLOOKUP($BD118,'Sep-25'!$A:$J,8,0)</f>
        <v>2620</v>
      </c>
      <c r="DD118" s="106">
        <f>+VLOOKUP($BD118,'Oct-25'!$A:$J,8,0)</f>
        <v>3982</v>
      </c>
      <c r="DE118" s="106">
        <f>+VLOOKUP($BD118,'Nov-25'!$A:$J,8,0)</f>
        <v>0</v>
      </c>
      <c r="DF118" s="106">
        <f>+VLOOKUP($BD118,'Dec-25'!$A:$J,8,0)</f>
        <v>0</v>
      </c>
      <c r="DG118" s="106">
        <f t="shared" si="1405"/>
        <v>29166</v>
      </c>
      <c r="DH118" s="118">
        <f t="shared" si="1225"/>
        <v>0.51984732824427482</v>
      </c>
      <c r="DI118" s="106">
        <f>+_xlfn.XLOOKUP($CT118,Budget!$A:$A,Budget!CQ:CQ)</f>
        <v>2620</v>
      </c>
      <c r="DJ118" s="106">
        <f>+_xlfn.XLOOKUP($CT118,Budget!$A:$A,Budget!CR:CR)</f>
        <v>2620</v>
      </c>
      <c r="DK118" s="106">
        <f>+_xlfn.XLOOKUP($CT118,Budget!$A:$A,Budget!CS:CS)</f>
        <v>2620</v>
      </c>
      <c r="DL118" s="106">
        <f>+_xlfn.XLOOKUP($CT118,Budget!$A:$A,Budget!CT:CT)</f>
        <v>2620</v>
      </c>
      <c r="DM118" s="106">
        <f>+_xlfn.XLOOKUP($CT118,Budget!$A:$A,Budget!CU:CU)</f>
        <v>2620</v>
      </c>
      <c r="DN118" s="106">
        <f>+_xlfn.XLOOKUP($CT118,Budget!$A:$A,Budget!CV:CV)</f>
        <v>2620</v>
      </c>
      <c r="DO118" s="106">
        <f>+_xlfn.XLOOKUP($CT118,Budget!$A:$A,Budget!CW:CW)</f>
        <v>2620</v>
      </c>
      <c r="DP118" s="106">
        <f>+_xlfn.XLOOKUP($CT118,Budget!$A:$A,Budget!CX:CX)</f>
        <v>2620</v>
      </c>
      <c r="DQ118" s="106">
        <f>+_xlfn.XLOOKUP($CT118,Budget!$A:$A,Budget!CY:CY)</f>
        <v>2620</v>
      </c>
      <c r="DR118" s="106">
        <f>+_xlfn.XLOOKUP($CT118,Budget!$A:$A,Budget!CZ:CZ)</f>
        <v>2620</v>
      </c>
      <c r="DS118" s="106">
        <f>+_xlfn.XLOOKUP($CT118,Budget!$A:$A,Budget!DA:DA)</f>
        <v>2620</v>
      </c>
      <c r="DT118" s="106">
        <f>+_xlfn.XLOOKUP($CT118,Budget!$A:$A,Budget!DB:DB)</f>
        <v>2620</v>
      </c>
      <c r="DU118" s="106">
        <f t="shared" si="1406"/>
        <v>31440</v>
      </c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106">
        <f t="shared" si="1407"/>
        <v>0</v>
      </c>
      <c r="EJ118" s="16" t="str">
        <f t="shared" si="966"/>
        <v>Conveyance  - Staff</v>
      </c>
      <c r="EK118" s="22">
        <f>+VLOOKUP($BD118,'Jan-25'!$A:$J,10,0)</f>
        <v>6077</v>
      </c>
      <c r="EL118" s="22">
        <f>+VLOOKUP($BD118,'Feb-25'!$A:$J,10,0)</f>
        <v>6150</v>
      </c>
      <c r="EM118" s="22">
        <f>+VLOOKUP($BD118,'Mar-25'!$A:$J,10,0)</f>
        <v>6150</v>
      </c>
      <c r="EN118" s="22">
        <f>+VLOOKUP($BD118,'Apr-25'!$A:$J,10,0)</f>
        <v>6150</v>
      </c>
      <c r="EO118" s="22">
        <f>+VLOOKUP($BD118,'May-25'!$A:$J,10,0)</f>
        <v>5521</v>
      </c>
      <c r="EP118" s="22">
        <f>+VLOOKUP($BD118,'June-25'!$A:$J,10,0)</f>
        <v>4200</v>
      </c>
      <c r="EQ118" s="22">
        <f>+VLOOKUP($BD118,'July-25'!$A:$J,10,0)</f>
        <v>4200</v>
      </c>
      <c r="ER118" s="22">
        <f>+VLOOKUP($BD118,'Aug-25'!$A:$J,10,0)</f>
        <v>4200</v>
      </c>
      <c r="ES118" s="22">
        <f>+VLOOKUP($BD118,'Sep-25'!$A:$J,10,0)</f>
        <v>3939</v>
      </c>
      <c r="ET118" s="22">
        <f>+VLOOKUP($BD118,'Oct-25'!$A:$J,10,0)</f>
        <v>4127</v>
      </c>
      <c r="EU118" s="22">
        <f>+VLOOKUP($BD118,'Nov-25'!$A:$J,10,0)</f>
        <v>0</v>
      </c>
      <c r="EV118" s="22">
        <f>+VLOOKUP($BD118,'Dec-25'!$A:$J,10,0)</f>
        <v>0</v>
      </c>
      <c r="EW118" s="22">
        <f t="shared" si="1408"/>
        <v>50714</v>
      </c>
      <c r="EX118" s="118">
        <f t="shared" si="1226"/>
        <v>-0.35951219512195121</v>
      </c>
      <c r="EY118" s="106">
        <f>+_xlfn.XLOOKUP($EJ118,Budget!$A:$A,Budget!DR:DR)</f>
        <v>6150</v>
      </c>
      <c r="EZ118" s="106">
        <f>+_xlfn.XLOOKUP($EJ118,Budget!$A:$A,Budget!DS:DS)</f>
        <v>6150</v>
      </c>
      <c r="FA118" s="106">
        <f>+_xlfn.XLOOKUP($EJ118,Budget!$A:$A,Budget!DT:DT)</f>
        <v>6150</v>
      </c>
      <c r="FB118" s="106">
        <f>+_xlfn.XLOOKUP($EJ118,Budget!$A:$A,Budget!DU:DU)</f>
        <v>6150</v>
      </c>
      <c r="FC118" s="106">
        <f>+_xlfn.XLOOKUP($EJ118,Budget!$A:$A,Budget!DV:DV)</f>
        <v>6150</v>
      </c>
      <c r="FD118" s="106">
        <f>+_xlfn.XLOOKUP($EJ118,Budget!$A:$A,Budget!DW:DW)</f>
        <v>6150</v>
      </c>
      <c r="FE118" s="106">
        <f>+_xlfn.XLOOKUP($EJ118,Budget!$A:$A,Budget!DX:DX)</f>
        <v>6150</v>
      </c>
      <c r="FF118" s="106">
        <f>+_xlfn.XLOOKUP($EJ118,Budget!$A:$A,Budget!DY:DY)</f>
        <v>6150</v>
      </c>
      <c r="FG118" s="106">
        <f>+_xlfn.XLOOKUP($EJ118,Budget!$A:$A,Budget!DZ:DZ)</f>
        <v>6150</v>
      </c>
      <c r="FH118" s="106">
        <f>+_xlfn.XLOOKUP($EJ118,Budget!$A:$A,Budget!EA:EA)</f>
        <v>6150</v>
      </c>
      <c r="FI118" s="106">
        <f>+_xlfn.XLOOKUP($EJ118,Budget!$A:$A,Budget!EB:EB)</f>
        <v>6150</v>
      </c>
      <c r="FJ118" s="106">
        <f>+_xlfn.XLOOKUP($EJ118,Budget!$A:$A,Budget!EC:EC)</f>
        <v>6150</v>
      </c>
      <c r="FK118" s="106">
        <f t="shared" si="1409"/>
        <v>73800</v>
      </c>
    </row>
    <row r="119" spans="1:167" ht="14.45" hidden="1" customHeight="1" outlineLevel="2">
      <c r="A119" s="106">
        <f t="shared" si="1373"/>
        <v>2725</v>
      </c>
      <c r="B119" s="106">
        <f t="shared" si="1373"/>
        <v>2725</v>
      </c>
      <c r="C119" s="106">
        <f t="shared" si="1373"/>
        <v>2500</v>
      </c>
      <c r="D119" s="106">
        <f t="shared" si="1373"/>
        <v>2500</v>
      </c>
      <c r="E119" s="106">
        <f t="shared" si="1373"/>
        <v>2500</v>
      </c>
      <c r="F119" s="106">
        <f t="shared" si="1373"/>
        <v>2500</v>
      </c>
      <c r="G119" s="106">
        <f t="shared" si="1373"/>
        <v>2500</v>
      </c>
      <c r="H119" s="106">
        <f t="shared" si="1373"/>
        <v>2500</v>
      </c>
      <c r="I119" s="106">
        <f t="shared" si="1373"/>
        <v>2500</v>
      </c>
      <c r="J119" s="106">
        <f t="shared" si="1373"/>
        <v>2500</v>
      </c>
      <c r="K119" s="106">
        <f t="shared" si="1373"/>
        <v>4569.8</v>
      </c>
      <c r="L119" s="106">
        <f t="shared" si="1373"/>
        <v>2336</v>
      </c>
      <c r="M119" s="106">
        <f t="shared" si="1374"/>
        <v>32355.8</v>
      </c>
      <c r="N119" s="16" t="s">
        <v>97</v>
      </c>
      <c r="O119" s="106">
        <f t="shared" si="1375"/>
        <v>2500</v>
      </c>
      <c r="P119" s="106">
        <f t="shared" si="1376"/>
        <v>2500</v>
      </c>
      <c r="Q119" s="106">
        <f t="shared" si="1377"/>
        <v>2500</v>
      </c>
      <c r="R119" s="106">
        <f t="shared" si="1378"/>
        <v>2500</v>
      </c>
      <c r="S119" s="106">
        <f t="shared" si="1379"/>
        <v>2500</v>
      </c>
      <c r="T119" s="106">
        <f t="shared" si="1380"/>
        <v>2500</v>
      </c>
      <c r="U119" s="106">
        <f t="shared" si="1381"/>
        <v>2500</v>
      </c>
      <c r="V119" s="106">
        <f t="shared" si="1382"/>
        <v>2500</v>
      </c>
      <c r="W119" s="106">
        <f t="shared" si="1383"/>
        <v>2500</v>
      </c>
      <c r="X119" s="106">
        <f t="shared" si="1384"/>
        <v>2379</v>
      </c>
      <c r="Y119" s="106">
        <f t="shared" si="1385"/>
        <v>0</v>
      </c>
      <c r="Z119" s="106">
        <f t="shared" si="1386"/>
        <v>0</v>
      </c>
      <c r="AA119" s="106">
        <f t="shared" si="1387"/>
        <v>24879</v>
      </c>
      <c r="AB119" s="118">
        <f t="shared" si="1223"/>
        <v>-4.8399999999999999E-2</v>
      </c>
      <c r="AC119" s="106">
        <f t="shared" si="1388"/>
        <v>2500</v>
      </c>
      <c r="AD119" s="106">
        <f t="shared" si="1389"/>
        <v>2500</v>
      </c>
      <c r="AE119" s="106">
        <f t="shared" si="1390"/>
        <v>2500</v>
      </c>
      <c r="AF119" s="106">
        <f t="shared" si="1391"/>
        <v>2500</v>
      </c>
      <c r="AG119" s="106">
        <f t="shared" si="1392"/>
        <v>2500</v>
      </c>
      <c r="AH119" s="106">
        <f t="shared" si="1393"/>
        <v>2500</v>
      </c>
      <c r="AI119" s="106">
        <f t="shared" si="1394"/>
        <v>2500</v>
      </c>
      <c r="AJ119" s="106">
        <f t="shared" si="1395"/>
        <v>2500</v>
      </c>
      <c r="AK119" s="106">
        <f t="shared" si="1396"/>
        <v>2500</v>
      </c>
      <c r="AL119" s="106">
        <f t="shared" si="1397"/>
        <v>2500</v>
      </c>
      <c r="AM119" s="106">
        <f t="shared" si="1398"/>
        <v>2500</v>
      </c>
      <c r="AN119" s="106">
        <f t="shared" si="1399"/>
        <v>2500</v>
      </c>
      <c r="AO119" s="106">
        <f t="shared" si="1400"/>
        <v>30000</v>
      </c>
      <c r="AQ119" s="106">
        <v>2725</v>
      </c>
      <c r="AR119" s="106">
        <v>2725</v>
      </c>
      <c r="AS119" s="106">
        <v>2500</v>
      </c>
      <c r="AT119" s="106">
        <v>2500</v>
      </c>
      <c r="AU119" s="106">
        <v>2500</v>
      </c>
      <c r="AV119" s="106">
        <v>2500</v>
      </c>
      <c r="AW119" s="106">
        <v>2500</v>
      </c>
      <c r="AX119" s="106">
        <v>2500</v>
      </c>
      <c r="AY119" s="106">
        <v>2500</v>
      </c>
      <c r="AZ119" s="106">
        <v>2500</v>
      </c>
      <c r="BA119" s="106">
        <v>2636</v>
      </c>
      <c r="BB119" s="106">
        <v>2336</v>
      </c>
      <c r="BC119" s="106">
        <f t="shared" si="1401"/>
        <v>30422</v>
      </c>
      <c r="BD119" s="16" t="str">
        <f t="shared" si="900"/>
        <v>Fuel Allowance - Staff</v>
      </c>
      <c r="BE119" s="106">
        <f>+VLOOKUP($BD119,'Jan-25'!$A:$J,5,0)</f>
        <v>2500</v>
      </c>
      <c r="BF119" s="106">
        <f>+VLOOKUP($BD119,'Feb-25'!$A:$J,5,0)</f>
        <v>2500</v>
      </c>
      <c r="BG119" s="106">
        <f>+VLOOKUP($BD119,'Mar-25'!$A:$J,5,0)</f>
        <v>2500</v>
      </c>
      <c r="BH119" s="106">
        <f>+VLOOKUP($BD119,'Apr-25'!$A:$J,5,0)</f>
        <v>2500</v>
      </c>
      <c r="BI119" s="106">
        <f>+VLOOKUP($BD119,'May-25'!$A:$J,5,0)</f>
        <v>2500</v>
      </c>
      <c r="BJ119" s="106">
        <f>+VLOOKUP($BD119,'June-25'!$A:$J,5,0)</f>
        <v>2500</v>
      </c>
      <c r="BK119" s="106">
        <f>+VLOOKUP($BD119,'July-25'!$A:$J,5,0)</f>
        <v>2500</v>
      </c>
      <c r="BL119" s="106">
        <f>+VLOOKUP($BD119,'Aug-25'!$A:$J,5,0)</f>
        <v>2500</v>
      </c>
      <c r="BM119" s="106">
        <f>+VLOOKUP($BD119,'Sep-25'!$A:$J,5,0)</f>
        <v>2500</v>
      </c>
      <c r="BN119" s="106">
        <f>+VLOOKUP($BD119,'Oct-25'!$A:$J,5,0)</f>
        <v>2379</v>
      </c>
      <c r="BO119" s="106">
        <f>+VLOOKUP($BD119,'Nov-25'!$A:$J,5,0)</f>
        <v>0</v>
      </c>
      <c r="BP119" s="106">
        <f>+VLOOKUP($BD119,'Dec-25'!$A:$J,5,0)</f>
        <v>0</v>
      </c>
      <c r="BQ119" s="106">
        <f t="shared" si="1402"/>
        <v>24879</v>
      </c>
      <c r="BR119" s="118">
        <f t="shared" si="1224"/>
        <v>-4.8399999999999999E-2</v>
      </c>
      <c r="BS119" s="106">
        <f>+_xlfn.XLOOKUP($BD119,Budget!$A:$A,Budget!BD:BD)</f>
        <v>2500</v>
      </c>
      <c r="BT119" s="106">
        <f>+_xlfn.XLOOKUP($BD119,Budget!$A:$A,Budget!BE:BE)</f>
        <v>2500</v>
      </c>
      <c r="BU119" s="106">
        <f>+_xlfn.XLOOKUP($BD119,Budget!$A:$A,Budget!BF:BF)</f>
        <v>2500</v>
      </c>
      <c r="BV119" s="106">
        <f>+_xlfn.XLOOKUP($BD119,Budget!$A:$A,Budget!BG:BG)</f>
        <v>2500</v>
      </c>
      <c r="BW119" s="106">
        <f>+_xlfn.XLOOKUP($BD119,Budget!$A:$A,Budget!BH:BH)</f>
        <v>2500</v>
      </c>
      <c r="BX119" s="106">
        <f>+_xlfn.XLOOKUP($BD119,Budget!$A:$A,Budget!BI:BI)</f>
        <v>2500</v>
      </c>
      <c r="BY119" s="106">
        <f>+_xlfn.XLOOKUP($BD119,Budget!$A:$A,Budget!BJ:BJ)</f>
        <v>2500</v>
      </c>
      <c r="BZ119" s="106">
        <f>+_xlfn.XLOOKUP($BD119,Budget!$A:$A,Budget!BK:BK)</f>
        <v>2500</v>
      </c>
      <c r="CA119" s="106">
        <f>+_xlfn.XLOOKUP($BD119,Budget!$A:$A,Budget!BL:BL)</f>
        <v>2500</v>
      </c>
      <c r="CB119" s="106">
        <f>+_xlfn.XLOOKUP($BD119,Budget!$A:$A,Budget!BM:BM)</f>
        <v>2500</v>
      </c>
      <c r="CC119" s="106">
        <f>+_xlfn.XLOOKUP($BD119,Budget!$A:$A,Budget!BN:BN)</f>
        <v>2500</v>
      </c>
      <c r="CD119" s="106">
        <f>+_xlfn.XLOOKUP($BD119,Budget!$A:$A,Budget!BO:BO)</f>
        <v>2500</v>
      </c>
      <c r="CE119" s="106">
        <f t="shared" si="1403"/>
        <v>30000</v>
      </c>
      <c r="CF119" s="106"/>
      <c r="CG119" s="106">
        <v>0</v>
      </c>
      <c r="CH119" s="106">
        <v>0</v>
      </c>
      <c r="CI119" s="106">
        <v>0</v>
      </c>
      <c r="CJ119" s="106">
        <v>0</v>
      </c>
      <c r="CK119" s="106">
        <v>0</v>
      </c>
      <c r="CL119" s="106">
        <v>0</v>
      </c>
      <c r="CM119" s="106">
        <v>0</v>
      </c>
      <c r="CN119" s="106">
        <v>0</v>
      </c>
      <c r="CO119" s="106">
        <v>0</v>
      </c>
      <c r="CP119" s="106">
        <v>0</v>
      </c>
      <c r="CQ119" s="106">
        <v>1933.8000000000002</v>
      </c>
      <c r="CR119" s="106">
        <v>0</v>
      </c>
      <c r="CS119" s="106">
        <f t="shared" si="1404"/>
        <v>1933.8000000000002</v>
      </c>
      <c r="CT119" s="16" t="str">
        <f t="shared" si="901"/>
        <v>Fuel Allowance - Staff</v>
      </c>
      <c r="CU119" s="106">
        <f>+VLOOKUP($BD119,'Jan-25'!$A:$J,8,0)</f>
        <v>0</v>
      </c>
      <c r="CV119" s="106">
        <f>+VLOOKUP($BD119,'Feb-25'!$A:$J,8,0)</f>
        <v>0</v>
      </c>
      <c r="CW119" s="106">
        <f>+VLOOKUP($BD119,'Mar-25'!$A:$J,8,0)</f>
        <v>0</v>
      </c>
      <c r="CX119" s="106">
        <f>+VLOOKUP($BD119,'Apr-25'!$A:$J,8,0)</f>
        <v>0</v>
      </c>
      <c r="CY119" s="106">
        <f>+VLOOKUP($BD119,'May-25'!$A:$J,8,0)</f>
        <v>0</v>
      </c>
      <c r="CZ119" s="106">
        <f>+VLOOKUP($BD119,'June-25'!$A:$J,8,0)</f>
        <v>0</v>
      </c>
      <c r="DA119" s="106">
        <f>+VLOOKUP($BD119,'July-25'!$A:$J,8,0)</f>
        <v>0</v>
      </c>
      <c r="DB119" s="106">
        <f>+VLOOKUP($BD119,'Aug-25'!$A:$J,8,0)</f>
        <v>0</v>
      </c>
      <c r="DC119" s="106">
        <f>+VLOOKUP($BD119,'Sep-25'!$A:$J,8,0)</f>
        <v>0</v>
      </c>
      <c r="DD119" s="106">
        <f>+VLOOKUP($BD119,'Oct-25'!$A:$J,8,0)</f>
        <v>0</v>
      </c>
      <c r="DE119" s="106">
        <f>+VLOOKUP($BD119,'Nov-25'!$A:$J,8,0)</f>
        <v>0</v>
      </c>
      <c r="DF119" s="106">
        <f>+VLOOKUP($BD119,'Dec-25'!$A:$J,8,0)</f>
        <v>0</v>
      </c>
      <c r="DG119" s="106">
        <f t="shared" si="1405"/>
        <v>0</v>
      </c>
      <c r="DH119" s="118">
        <f t="shared" si="1225"/>
        <v>0</v>
      </c>
      <c r="DI119" s="106">
        <f>+_xlfn.XLOOKUP($CT119,Budget!$A:$A,Budget!CQ:CQ)</f>
        <v>0</v>
      </c>
      <c r="DJ119" s="106">
        <f>+_xlfn.XLOOKUP($CT119,Budget!$A:$A,Budget!CR:CR)</f>
        <v>0</v>
      </c>
      <c r="DK119" s="106">
        <f>+_xlfn.XLOOKUP($CT119,Budget!$A:$A,Budget!CS:CS)</f>
        <v>0</v>
      </c>
      <c r="DL119" s="106">
        <f>+_xlfn.XLOOKUP($CT119,Budget!$A:$A,Budget!CT:CT)</f>
        <v>0</v>
      </c>
      <c r="DM119" s="106">
        <f>+_xlfn.XLOOKUP($CT119,Budget!$A:$A,Budget!CU:CU)</f>
        <v>0</v>
      </c>
      <c r="DN119" s="106">
        <f>+_xlfn.XLOOKUP($CT119,Budget!$A:$A,Budget!CV:CV)</f>
        <v>0</v>
      </c>
      <c r="DO119" s="106">
        <f>+_xlfn.XLOOKUP($CT119,Budget!$A:$A,Budget!CW:CW)</f>
        <v>0</v>
      </c>
      <c r="DP119" s="106">
        <f>+_xlfn.XLOOKUP($CT119,Budget!$A:$A,Budget!CX:CX)</f>
        <v>0</v>
      </c>
      <c r="DQ119" s="106">
        <f>+_xlfn.XLOOKUP($CT119,Budget!$A:$A,Budget!CY:CY)</f>
        <v>0</v>
      </c>
      <c r="DR119" s="106">
        <f>+_xlfn.XLOOKUP($CT119,Budget!$A:$A,Budget!CZ:CZ)</f>
        <v>0</v>
      </c>
      <c r="DS119" s="106">
        <f>+_xlfn.XLOOKUP($CT119,Budget!$A:$A,Budget!DA:DA)</f>
        <v>0</v>
      </c>
      <c r="DT119" s="106">
        <f>+_xlfn.XLOOKUP($CT119,Budget!$A:$A,Budget!DB:DB)</f>
        <v>0</v>
      </c>
      <c r="DU119" s="106">
        <f t="shared" si="1406"/>
        <v>0</v>
      </c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106">
        <f t="shared" si="1407"/>
        <v>0</v>
      </c>
      <c r="EJ119" s="16" t="str">
        <f t="shared" si="966"/>
        <v>Fuel Allowance - Staff</v>
      </c>
      <c r="EK119" s="22">
        <f>+VLOOKUP($BD119,'Jan-25'!$A:$J,10,0)</f>
        <v>0</v>
      </c>
      <c r="EL119" s="22">
        <f>+VLOOKUP($BD119,'Feb-25'!$A:$J,10,0)</f>
        <v>0</v>
      </c>
      <c r="EM119" s="22">
        <f>+VLOOKUP($BD119,'Mar-25'!$A:$J,10,0)</f>
        <v>0</v>
      </c>
      <c r="EN119" s="22">
        <f>+VLOOKUP($BD119,'Apr-25'!$A:$J,10,0)</f>
        <v>0</v>
      </c>
      <c r="EO119" s="22">
        <f>+VLOOKUP($BD119,'May-25'!$A:$J,10,0)</f>
        <v>0</v>
      </c>
      <c r="EP119" s="22">
        <f>+VLOOKUP($BD119,'June-25'!$A:$J,10,0)</f>
        <v>0</v>
      </c>
      <c r="EQ119" s="22">
        <f>+VLOOKUP($BD119,'July-25'!$A:$J,10,0)</f>
        <v>0</v>
      </c>
      <c r="ER119" s="22">
        <f>+VLOOKUP($BD119,'Aug-25'!$A:$J,10,0)</f>
        <v>0</v>
      </c>
      <c r="ES119" s="22">
        <f>+VLOOKUP($BD119,'Sep-25'!$A:$J,10,0)</f>
        <v>0</v>
      </c>
      <c r="ET119" s="22">
        <f>+VLOOKUP($BD119,'Oct-25'!$A:$J,10,0)</f>
        <v>0</v>
      </c>
      <c r="EU119" s="22">
        <f>+VLOOKUP($BD119,'Nov-25'!$A:$J,10,0)</f>
        <v>0</v>
      </c>
      <c r="EV119" s="22">
        <f>+VLOOKUP($BD119,'Dec-25'!$A:$J,10,0)</f>
        <v>0</v>
      </c>
      <c r="EW119" s="22">
        <f t="shared" si="1408"/>
        <v>0</v>
      </c>
      <c r="EX119" s="118" t="e">
        <f t="shared" si="1226"/>
        <v>#DIV/0!</v>
      </c>
      <c r="EY119" s="106">
        <f>+_xlfn.XLOOKUP($EJ119,Budget!$A:$A,Budget!DR:DR)</f>
        <v>0</v>
      </c>
      <c r="EZ119" s="106">
        <f>+_xlfn.XLOOKUP($EJ119,Budget!$A:$A,Budget!DS:DS)</f>
        <v>0</v>
      </c>
      <c r="FA119" s="106">
        <f>+_xlfn.XLOOKUP($EJ119,Budget!$A:$A,Budget!DT:DT)</f>
        <v>0</v>
      </c>
      <c r="FB119" s="106">
        <f>+_xlfn.XLOOKUP($EJ119,Budget!$A:$A,Budget!DU:DU)</f>
        <v>0</v>
      </c>
      <c r="FC119" s="106">
        <f>+_xlfn.XLOOKUP($EJ119,Budget!$A:$A,Budget!DV:DV)</f>
        <v>0</v>
      </c>
      <c r="FD119" s="106">
        <f>+_xlfn.XLOOKUP($EJ119,Budget!$A:$A,Budget!DW:DW)</f>
        <v>0</v>
      </c>
      <c r="FE119" s="106">
        <f>+_xlfn.XLOOKUP($EJ119,Budget!$A:$A,Budget!DX:DX)</f>
        <v>0</v>
      </c>
      <c r="FF119" s="106">
        <f>+_xlfn.XLOOKUP($EJ119,Budget!$A:$A,Budget!DY:DY)</f>
        <v>0</v>
      </c>
      <c r="FG119" s="106">
        <f>+_xlfn.XLOOKUP($EJ119,Budget!$A:$A,Budget!DZ:DZ)</f>
        <v>0</v>
      </c>
      <c r="FH119" s="106">
        <f>+_xlfn.XLOOKUP($EJ119,Budget!$A:$A,Budget!EA:EA)</f>
        <v>0</v>
      </c>
      <c r="FI119" s="106">
        <f>+_xlfn.XLOOKUP($EJ119,Budget!$A:$A,Budget!EB:EB)</f>
        <v>0</v>
      </c>
      <c r="FJ119" s="106">
        <f>+_xlfn.XLOOKUP($EJ119,Budget!$A:$A,Budget!EC:EC)</f>
        <v>0</v>
      </c>
      <c r="FK119" s="106">
        <f t="shared" si="1409"/>
        <v>0</v>
      </c>
    </row>
    <row r="120" spans="1:167" ht="14.45" hidden="1" customHeight="1" outlineLevel="2">
      <c r="A120" s="106">
        <f t="shared" si="1373"/>
        <v>33658.567800000004</v>
      </c>
      <c r="B120" s="106">
        <f t="shared" si="1373"/>
        <v>34086.479999999996</v>
      </c>
      <c r="C120" s="106">
        <f t="shared" si="1373"/>
        <v>40480</v>
      </c>
      <c r="D120" s="106">
        <f t="shared" si="1373"/>
        <v>40048</v>
      </c>
      <c r="E120" s="106">
        <f t="shared" si="1373"/>
        <v>40590</v>
      </c>
      <c r="F120" s="106">
        <f t="shared" si="1373"/>
        <v>40314.800000000003</v>
      </c>
      <c r="G120" s="106">
        <f t="shared" si="1373"/>
        <v>46404</v>
      </c>
      <c r="H120" s="106">
        <f t="shared" si="1373"/>
        <v>48685.46</v>
      </c>
      <c r="I120" s="106">
        <f t="shared" si="1373"/>
        <v>60952.662000000004</v>
      </c>
      <c r="J120" s="106">
        <f t="shared" si="1373"/>
        <v>60468</v>
      </c>
      <c r="K120" s="106">
        <f t="shared" si="1373"/>
        <v>94681</v>
      </c>
      <c r="L120" s="106">
        <f t="shared" si="1373"/>
        <v>28895.8</v>
      </c>
      <c r="M120" s="106">
        <f t="shared" si="1374"/>
        <v>569264.76980000013</v>
      </c>
      <c r="N120" s="16" t="s">
        <v>98</v>
      </c>
      <c r="O120" s="106">
        <f t="shared" si="1375"/>
        <v>76183</v>
      </c>
      <c r="P120" s="106">
        <f t="shared" si="1376"/>
        <v>46184</v>
      </c>
      <c r="Q120" s="106">
        <f t="shared" si="1377"/>
        <v>103506</v>
      </c>
      <c r="R120" s="106">
        <f t="shared" si="1378"/>
        <v>54210.2</v>
      </c>
      <c r="S120" s="106">
        <f t="shared" si="1379"/>
        <v>53223</v>
      </c>
      <c r="T120" s="106">
        <f t="shared" si="1380"/>
        <v>49571</v>
      </c>
      <c r="U120" s="106">
        <f t="shared" si="1381"/>
        <v>49700</v>
      </c>
      <c r="V120" s="106">
        <f t="shared" si="1382"/>
        <v>49524.6</v>
      </c>
      <c r="W120" s="106">
        <f t="shared" si="1383"/>
        <v>48531</v>
      </c>
      <c r="X120" s="106">
        <f t="shared" si="1384"/>
        <v>58752</v>
      </c>
      <c r="Y120" s="106">
        <f t="shared" si="1385"/>
        <v>0</v>
      </c>
      <c r="Z120" s="106">
        <f t="shared" si="1386"/>
        <v>0</v>
      </c>
      <c r="AA120" s="106">
        <f t="shared" si="1387"/>
        <v>589384.80000000005</v>
      </c>
      <c r="AB120" s="118">
        <f t="shared" si="1223"/>
        <v>-9.2411467116357508E-3</v>
      </c>
      <c r="AC120" s="106">
        <f t="shared" si="1388"/>
        <v>59300</v>
      </c>
      <c r="AD120" s="106">
        <f t="shared" si="1389"/>
        <v>59300</v>
      </c>
      <c r="AE120" s="106">
        <f t="shared" si="1390"/>
        <v>59300</v>
      </c>
      <c r="AF120" s="106">
        <f t="shared" si="1391"/>
        <v>59300</v>
      </c>
      <c r="AG120" s="106">
        <f t="shared" si="1392"/>
        <v>59300</v>
      </c>
      <c r="AH120" s="106">
        <f t="shared" si="1393"/>
        <v>59300</v>
      </c>
      <c r="AI120" s="106">
        <f t="shared" si="1394"/>
        <v>59300</v>
      </c>
      <c r="AJ120" s="106">
        <f t="shared" si="1395"/>
        <v>59300</v>
      </c>
      <c r="AK120" s="106">
        <f t="shared" si="1396"/>
        <v>59300</v>
      </c>
      <c r="AL120" s="106">
        <f t="shared" si="1397"/>
        <v>59300</v>
      </c>
      <c r="AM120" s="106">
        <f t="shared" si="1398"/>
        <v>59300</v>
      </c>
      <c r="AN120" s="106">
        <f t="shared" si="1399"/>
        <v>59300</v>
      </c>
      <c r="AO120" s="106">
        <f t="shared" si="1400"/>
        <v>711600</v>
      </c>
      <c r="AQ120" s="106">
        <v>25055.0452</v>
      </c>
      <c r="AR120" s="106">
        <v>25641.16</v>
      </c>
      <c r="AS120" s="106">
        <v>30900</v>
      </c>
      <c r="AT120" s="106">
        <v>30612</v>
      </c>
      <c r="AU120" s="106">
        <v>31154</v>
      </c>
      <c r="AV120" s="106">
        <v>30878.799999999999</v>
      </c>
      <c r="AW120" s="106">
        <v>36968</v>
      </c>
      <c r="AX120" s="106">
        <v>39303.64</v>
      </c>
      <c r="AY120" s="106">
        <v>51756.662000000004</v>
      </c>
      <c r="AZ120" s="106">
        <v>51272</v>
      </c>
      <c r="BA120" s="106">
        <v>55059.8</v>
      </c>
      <c r="BB120" s="106">
        <v>21444.799999999999</v>
      </c>
      <c r="BC120" s="106">
        <f t="shared" si="1401"/>
        <v>430045.90719999996</v>
      </c>
      <c r="BD120" s="16" t="str">
        <f t="shared" si="900"/>
        <v>HRA - Staff</v>
      </c>
      <c r="BE120" s="106">
        <f>+VLOOKUP($BD120,'Jan-25'!$A:$J,5,0)</f>
        <v>49136</v>
      </c>
      <c r="BF120" s="106">
        <f>+VLOOKUP($BD120,'Feb-25'!$A:$J,5,0)</f>
        <v>24814</v>
      </c>
      <c r="BG120" s="106">
        <f>+VLOOKUP($BD120,'Mar-25'!$A:$J,5,0)</f>
        <v>59894</v>
      </c>
      <c r="BH120" s="106">
        <f>+VLOOKUP($BD120,'Apr-25'!$A:$J,5,0)</f>
        <v>32030.2</v>
      </c>
      <c r="BI120" s="106">
        <f>+VLOOKUP($BD120,'May-25'!$A:$J,5,0)</f>
        <v>32720</v>
      </c>
      <c r="BJ120" s="106">
        <f>+VLOOKUP($BD120,'June-25'!$A:$J,5,0)</f>
        <v>32591</v>
      </c>
      <c r="BK120" s="106">
        <f>+VLOOKUP($BD120,'July-25'!$A:$J,5,0)</f>
        <v>32720</v>
      </c>
      <c r="BL120" s="106">
        <f>+VLOOKUP($BD120,'Aug-25'!$A:$J,5,0)</f>
        <v>32544.6</v>
      </c>
      <c r="BM120" s="106">
        <f>+VLOOKUP($BD120,'Sep-25'!$A:$J,5,0)</f>
        <v>32247</v>
      </c>
      <c r="BN120" s="106">
        <f>+VLOOKUP($BD120,'Oct-25'!$A:$J,5,0)</f>
        <v>38792</v>
      </c>
      <c r="BO120" s="106">
        <f>+VLOOKUP($BD120,'Nov-25'!$A:$J,5,0)</f>
        <v>0</v>
      </c>
      <c r="BP120" s="106">
        <f>+VLOOKUP($BD120,'Dec-25'!$A:$J,5,0)</f>
        <v>0</v>
      </c>
      <c r="BQ120" s="106">
        <f t="shared" si="1402"/>
        <v>367488.8</v>
      </c>
      <c r="BR120" s="118">
        <f t="shared" si="1224"/>
        <v>4.5043103448275862E-2</v>
      </c>
      <c r="BS120" s="106">
        <f>+_xlfn.XLOOKUP($BD120,Budget!$A:$A,Budget!BD:BD)</f>
        <v>37120</v>
      </c>
      <c r="BT120" s="106">
        <f>+_xlfn.XLOOKUP($BD120,Budget!$A:$A,Budget!BE:BE)</f>
        <v>37120</v>
      </c>
      <c r="BU120" s="106">
        <f>+_xlfn.XLOOKUP($BD120,Budget!$A:$A,Budget!BF:BF)</f>
        <v>37120</v>
      </c>
      <c r="BV120" s="106">
        <f>+_xlfn.XLOOKUP($BD120,Budget!$A:$A,Budget!BG:BG)</f>
        <v>37120</v>
      </c>
      <c r="BW120" s="106">
        <f>+_xlfn.XLOOKUP($BD120,Budget!$A:$A,Budget!BH:BH)</f>
        <v>37120</v>
      </c>
      <c r="BX120" s="106">
        <f>+_xlfn.XLOOKUP($BD120,Budget!$A:$A,Budget!BI:BI)</f>
        <v>37120</v>
      </c>
      <c r="BY120" s="106">
        <f>+_xlfn.XLOOKUP($BD120,Budget!$A:$A,Budget!BJ:BJ)</f>
        <v>37120</v>
      </c>
      <c r="BZ120" s="106">
        <f>+_xlfn.XLOOKUP($BD120,Budget!$A:$A,Budget!BK:BK)</f>
        <v>37120</v>
      </c>
      <c r="CA120" s="106">
        <f>+_xlfn.XLOOKUP($BD120,Budget!$A:$A,Budget!BL:BL)</f>
        <v>37120</v>
      </c>
      <c r="CB120" s="106">
        <f>+_xlfn.XLOOKUP($BD120,Budget!$A:$A,Budget!BM:BM)</f>
        <v>37120</v>
      </c>
      <c r="CC120" s="106">
        <f>+_xlfn.XLOOKUP($BD120,Budget!$A:$A,Budget!BN:BN)</f>
        <v>37120</v>
      </c>
      <c r="CD120" s="106">
        <f>+_xlfn.XLOOKUP($BD120,Budget!$A:$A,Budget!BO:BO)</f>
        <v>37120</v>
      </c>
      <c r="CE120" s="106">
        <f t="shared" si="1403"/>
        <v>445440</v>
      </c>
      <c r="CF120" s="106"/>
      <c r="CG120" s="106">
        <v>8603.5226000000002</v>
      </c>
      <c r="CH120" s="106">
        <v>8445.32</v>
      </c>
      <c r="CI120" s="106">
        <v>9580</v>
      </c>
      <c r="CJ120" s="106">
        <v>9436</v>
      </c>
      <c r="CK120" s="106">
        <v>9436</v>
      </c>
      <c r="CL120" s="106">
        <v>9436</v>
      </c>
      <c r="CM120" s="106">
        <v>9436</v>
      </c>
      <c r="CN120" s="106">
        <v>9381.82</v>
      </c>
      <c r="CO120" s="106">
        <v>9196</v>
      </c>
      <c r="CP120" s="106">
        <v>9196</v>
      </c>
      <c r="CQ120" s="106">
        <v>39621.199999999997</v>
      </c>
      <c r="CR120" s="106">
        <v>7451</v>
      </c>
      <c r="CS120" s="106">
        <f t="shared" si="1404"/>
        <v>139218.86259999999</v>
      </c>
      <c r="CT120" s="16" t="str">
        <f t="shared" si="901"/>
        <v>HRA - Staff</v>
      </c>
      <c r="CU120" s="106">
        <f>+VLOOKUP($BD120,'Jan-25'!$A:$J,8,0)</f>
        <v>4741</v>
      </c>
      <c r="CV120" s="106">
        <f>+VLOOKUP($BD120,'Feb-25'!$A:$J,8,0)</f>
        <v>4870</v>
      </c>
      <c r="CW120" s="106">
        <f>+VLOOKUP($BD120,'Mar-25'!$A:$J,8,0)</f>
        <v>21112</v>
      </c>
      <c r="CX120" s="106">
        <f>+VLOOKUP($BD120,'Apr-25'!$A:$J,8,0)</f>
        <v>5680</v>
      </c>
      <c r="CY120" s="106">
        <f>+VLOOKUP($BD120,'May-25'!$A:$J,8,0)</f>
        <v>5680</v>
      </c>
      <c r="CZ120" s="106">
        <f>+VLOOKUP($BD120,'June-25'!$A:$J,8,0)</f>
        <v>5680</v>
      </c>
      <c r="DA120" s="106">
        <f>+VLOOKUP($BD120,'July-25'!$A:$J,8,0)</f>
        <v>5680</v>
      </c>
      <c r="DB120" s="106">
        <f>+VLOOKUP($BD120,'Aug-25'!$A:$J,8,0)</f>
        <v>5680</v>
      </c>
      <c r="DC120" s="106">
        <f>+VLOOKUP($BD120,'Sep-25'!$A:$J,8,0)</f>
        <v>5680</v>
      </c>
      <c r="DD120" s="106">
        <f>+VLOOKUP($BD120,'Oct-25'!$A:$J,8,0)</f>
        <v>8854</v>
      </c>
      <c r="DE120" s="106">
        <f>+VLOOKUP($BD120,'Nov-25'!$A:$J,8,0)</f>
        <v>0</v>
      </c>
      <c r="DF120" s="106">
        <f>+VLOOKUP($BD120,'Dec-25'!$A:$J,8,0)</f>
        <v>0</v>
      </c>
      <c r="DG120" s="106">
        <f t="shared" si="1405"/>
        <v>73657</v>
      </c>
      <c r="DH120" s="118">
        <f t="shared" si="1225"/>
        <v>0.55880281690140843</v>
      </c>
      <c r="DI120" s="106">
        <f>+_xlfn.XLOOKUP($CT120,Budget!$A:$A,Budget!CQ:CQ)</f>
        <v>5680</v>
      </c>
      <c r="DJ120" s="106">
        <f>+_xlfn.XLOOKUP($CT120,Budget!$A:$A,Budget!CR:CR)</f>
        <v>5680</v>
      </c>
      <c r="DK120" s="106">
        <f>+_xlfn.XLOOKUP($CT120,Budget!$A:$A,Budget!CS:CS)</f>
        <v>5680</v>
      </c>
      <c r="DL120" s="106">
        <f>+_xlfn.XLOOKUP($CT120,Budget!$A:$A,Budget!CT:CT)</f>
        <v>5680</v>
      </c>
      <c r="DM120" s="106">
        <f>+_xlfn.XLOOKUP($CT120,Budget!$A:$A,Budget!CU:CU)</f>
        <v>5680</v>
      </c>
      <c r="DN120" s="106">
        <f>+_xlfn.XLOOKUP($CT120,Budget!$A:$A,Budget!CV:CV)</f>
        <v>5680</v>
      </c>
      <c r="DO120" s="106">
        <f>+_xlfn.XLOOKUP($CT120,Budget!$A:$A,Budget!CW:CW)</f>
        <v>5680</v>
      </c>
      <c r="DP120" s="106">
        <f>+_xlfn.XLOOKUP($CT120,Budget!$A:$A,Budget!CX:CX)</f>
        <v>5680</v>
      </c>
      <c r="DQ120" s="106">
        <f>+_xlfn.XLOOKUP($CT120,Budget!$A:$A,Budget!CY:CY)</f>
        <v>5680</v>
      </c>
      <c r="DR120" s="106">
        <f>+_xlfn.XLOOKUP($CT120,Budget!$A:$A,Budget!CZ:CZ)</f>
        <v>5680</v>
      </c>
      <c r="DS120" s="106">
        <f>+_xlfn.XLOOKUP($CT120,Budget!$A:$A,Budget!DA:DA)</f>
        <v>5680</v>
      </c>
      <c r="DT120" s="106">
        <f>+_xlfn.XLOOKUP($CT120,Budget!$A:$A,Budget!DB:DB)</f>
        <v>5680</v>
      </c>
      <c r="DU120" s="106">
        <f t="shared" si="1406"/>
        <v>68160</v>
      </c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106">
        <f t="shared" si="1407"/>
        <v>0</v>
      </c>
      <c r="EJ120" s="16" t="str">
        <f t="shared" si="966"/>
        <v>HRA - Staff</v>
      </c>
      <c r="EK120" s="22">
        <f>+VLOOKUP($BD120,'Jan-25'!$A:$J,10,0)</f>
        <v>22306</v>
      </c>
      <c r="EL120" s="22">
        <f>+VLOOKUP($BD120,'Feb-25'!$A:$J,10,0)</f>
        <v>16500</v>
      </c>
      <c r="EM120" s="22">
        <f>+VLOOKUP($BD120,'Mar-25'!$A:$J,10,0)</f>
        <v>22500</v>
      </c>
      <c r="EN120" s="22">
        <f>+VLOOKUP($BD120,'Apr-25'!$A:$J,10,0)</f>
        <v>16500</v>
      </c>
      <c r="EO120" s="22">
        <f>+VLOOKUP($BD120,'May-25'!$A:$J,10,0)</f>
        <v>14823</v>
      </c>
      <c r="EP120" s="22">
        <f>+VLOOKUP($BD120,'June-25'!$A:$J,10,0)</f>
        <v>11300</v>
      </c>
      <c r="EQ120" s="22">
        <f>+VLOOKUP($BD120,'July-25'!$A:$J,10,0)</f>
        <v>11300</v>
      </c>
      <c r="ER120" s="22">
        <f>+VLOOKUP($BD120,'Aug-25'!$A:$J,10,0)</f>
        <v>11300</v>
      </c>
      <c r="ES120" s="22">
        <f>+VLOOKUP($BD120,'Sep-25'!$A:$J,10,0)</f>
        <v>10604</v>
      </c>
      <c r="ET120" s="22">
        <f>+VLOOKUP($BD120,'Oct-25'!$A:$J,10,0)</f>
        <v>11106</v>
      </c>
      <c r="EU120" s="22">
        <f>+VLOOKUP($BD120,'Nov-25'!$A:$J,10,0)</f>
        <v>0</v>
      </c>
      <c r="EV120" s="22">
        <f>+VLOOKUP($BD120,'Dec-25'!$A:$J,10,0)</f>
        <v>0</v>
      </c>
      <c r="EW120" s="22">
        <f t="shared" si="1408"/>
        <v>148239</v>
      </c>
      <c r="EX120" s="118">
        <f t="shared" si="1226"/>
        <v>-0.35733333333333334</v>
      </c>
      <c r="EY120" s="106">
        <f>+_xlfn.XLOOKUP($EJ120,Budget!$A:$A,Budget!DR:DR)</f>
        <v>16500</v>
      </c>
      <c r="EZ120" s="106">
        <f>+_xlfn.XLOOKUP($EJ120,Budget!$A:$A,Budget!DS:DS)</f>
        <v>16500</v>
      </c>
      <c r="FA120" s="106">
        <f>+_xlfn.XLOOKUP($EJ120,Budget!$A:$A,Budget!DT:DT)</f>
        <v>16500</v>
      </c>
      <c r="FB120" s="106">
        <f>+_xlfn.XLOOKUP($EJ120,Budget!$A:$A,Budget!DU:DU)</f>
        <v>16500</v>
      </c>
      <c r="FC120" s="106">
        <f>+_xlfn.XLOOKUP($EJ120,Budget!$A:$A,Budget!DV:DV)</f>
        <v>16500</v>
      </c>
      <c r="FD120" s="106">
        <f>+_xlfn.XLOOKUP($EJ120,Budget!$A:$A,Budget!DW:DW)</f>
        <v>16500</v>
      </c>
      <c r="FE120" s="106">
        <f>+_xlfn.XLOOKUP($EJ120,Budget!$A:$A,Budget!DX:DX)</f>
        <v>16500</v>
      </c>
      <c r="FF120" s="106">
        <f>+_xlfn.XLOOKUP($EJ120,Budget!$A:$A,Budget!DY:DY)</f>
        <v>16500</v>
      </c>
      <c r="FG120" s="106">
        <f>+_xlfn.XLOOKUP($EJ120,Budget!$A:$A,Budget!DZ:DZ)</f>
        <v>16500</v>
      </c>
      <c r="FH120" s="106">
        <f>+_xlfn.XLOOKUP($EJ120,Budget!$A:$A,Budget!EA:EA)</f>
        <v>16500</v>
      </c>
      <c r="FI120" s="106">
        <f>+_xlfn.XLOOKUP($EJ120,Budget!$A:$A,Budget!EB:EB)</f>
        <v>16500</v>
      </c>
      <c r="FJ120" s="106">
        <f>+_xlfn.XLOOKUP($EJ120,Budget!$A:$A,Budget!EC:EC)</f>
        <v>16500</v>
      </c>
      <c r="FK120" s="106">
        <f t="shared" si="1409"/>
        <v>198000</v>
      </c>
    </row>
    <row r="121" spans="1:167" ht="14.45" hidden="1" customHeight="1" outlineLevel="2">
      <c r="A121" s="106">
        <f t="shared" si="1373"/>
        <v>8664.3882000000012</v>
      </c>
      <c r="B121" s="106">
        <f t="shared" si="1373"/>
        <v>8436.6</v>
      </c>
      <c r="C121" s="106">
        <f t="shared" si="1373"/>
        <v>8100</v>
      </c>
      <c r="D121" s="106">
        <f t="shared" si="1373"/>
        <v>7740</v>
      </c>
      <c r="E121" s="106">
        <f t="shared" si="1373"/>
        <v>7740</v>
      </c>
      <c r="F121" s="106">
        <f t="shared" si="1373"/>
        <v>7740</v>
      </c>
      <c r="G121" s="106">
        <f t="shared" si="1373"/>
        <v>8540</v>
      </c>
      <c r="H121" s="106">
        <f t="shared" si="1373"/>
        <v>8540</v>
      </c>
      <c r="I121" s="106">
        <f t="shared" si="1373"/>
        <v>8540</v>
      </c>
      <c r="J121" s="106">
        <f t="shared" si="1373"/>
        <v>8540</v>
      </c>
      <c r="K121" s="106">
        <f t="shared" si="1373"/>
        <v>18287.8</v>
      </c>
      <c r="L121" s="106">
        <f t="shared" si="1373"/>
        <v>4328</v>
      </c>
      <c r="M121" s="106">
        <f t="shared" si="1374"/>
        <v>105196.7882</v>
      </c>
      <c r="N121" s="16" t="s">
        <v>99</v>
      </c>
      <c r="O121" s="106">
        <f t="shared" si="1375"/>
        <v>6346</v>
      </c>
      <c r="P121" s="106">
        <f t="shared" si="1376"/>
        <v>6100</v>
      </c>
      <c r="Q121" s="106">
        <f t="shared" si="1377"/>
        <v>7910</v>
      </c>
      <c r="R121" s="106">
        <f t="shared" si="1378"/>
        <v>6473.2</v>
      </c>
      <c r="S121" s="106">
        <f t="shared" si="1379"/>
        <v>6500</v>
      </c>
      <c r="T121" s="106">
        <f t="shared" si="1380"/>
        <v>6500</v>
      </c>
      <c r="U121" s="106">
        <f t="shared" si="1381"/>
        <v>6500</v>
      </c>
      <c r="V121" s="106">
        <f t="shared" si="1382"/>
        <v>6500</v>
      </c>
      <c r="W121" s="106">
        <f t="shared" si="1383"/>
        <v>6668</v>
      </c>
      <c r="X121" s="106">
        <f t="shared" si="1384"/>
        <v>11344</v>
      </c>
      <c r="Y121" s="106">
        <f t="shared" si="1385"/>
        <v>0</v>
      </c>
      <c r="Z121" s="106">
        <f t="shared" si="1386"/>
        <v>0</v>
      </c>
      <c r="AA121" s="106">
        <f t="shared" si="1387"/>
        <v>70841.2</v>
      </c>
      <c r="AB121" s="118">
        <f t="shared" si="1223"/>
        <v>0.49263157894736842</v>
      </c>
      <c r="AC121" s="106">
        <f t="shared" si="1388"/>
        <v>7600</v>
      </c>
      <c r="AD121" s="106">
        <f t="shared" si="1389"/>
        <v>7600</v>
      </c>
      <c r="AE121" s="106">
        <f t="shared" si="1390"/>
        <v>7600</v>
      </c>
      <c r="AF121" s="106">
        <f t="shared" si="1391"/>
        <v>7600</v>
      </c>
      <c r="AG121" s="106">
        <f t="shared" si="1392"/>
        <v>7600</v>
      </c>
      <c r="AH121" s="106">
        <f t="shared" si="1393"/>
        <v>7600</v>
      </c>
      <c r="AI121" s="106">
        <f t="shared" si="1394"/>
        <v>7600</v>
      </c>
      <c r="AJ121" s="106">
        <f t="shared" si="1395"/>
        <v>7600</v>
      </c>
      <c r="AK121" s="106">
        <f t="shared" si="1396"/>
        <v>7600</v>
      </c>
      <c r="AL121" s="106">
        <f t="shared" si="1397"/>
        <v>7600</v>
      </c>
      <c r="AM121" s="106">
        <f t="shared" si="1398"/>
        <v>7600</v>
      </c>
      <c r="AN121" s="106">
        <f t="shared" si="1399"/>
        <v>7600</v>
      </c>
      <c r="AO121" s="106">
        <f t="shared" si="1400"/>
        <v>91200</v>
      </c>
      <c r="AQ121" s="106">
        <v>5187.6588000000002</v>
      </c>
      <c r="AR121" s="106">
        <v>5035.8</v>
      </c>
      <c r="AS121" s="106">
        <v>4860</v>
      </c>
      <c r="AT121" s="106">
        <v>4620</v>
      </c>
      <c r="AU121" s="106">
        <v>4620</v>
      </c>
      <c r="AV121" s="106">
        <v>4620</v>
      </c>
      <c r="AW121" s="106">
        <v>5420</v>
      </c>
      <c r="AX121" s="106">
        <v>5420</v>
      </c>
      <c r="AY121" s="106">
        <v>5420</v>
      </c>
      <c r="AZ121" s="106">
        <v>5420</v>
      </c>
      <c r="BA121" s="106">
        <v>6974.8</v>
      </c>
      <c r="BB121" s="106">
        <v>1102</v>
      </c>
      <c r="BC121" s="106">
        <f t="shared" si="1401"/>
        <v>58700.258800000003</v>
      </c>
      <c r="BD121" s="16" t="str">
        <f t="shared" si="900"/>
        <v>Meals Allowance - Staff</v>
      </c>
      <c r="BE121" s="106">
        <f>+VLOOKUP($BD121,'Jan-25'!$A:$J,5,0)</f>
        <v>4023</v>
      </c>
      <c r="BF121" s="106">
        <f>+VLOOKUP($BD121,'Feb-25'!$A:$J,5,0)</f>
        <v>3700</v>
      </c>
      <c r="BG121" s="106">
        <f>+VLOOKUP($BD121,'Mar-25'!$A:$J,5,0)</f>
        <v>4668</v>
      </c>
      <c r="BH121" s="106">
        <f>+VLOOKUP($BD121,'Apr-25'!$A:$J,5,0)</f>
        <v>4073.2</v>
      </c>
      <c r="BI121" s="106">
        <f>+VLOOKUP($BD121,'May-25'!$A:$J,5,0)</f>
        <v>4100</v>
      </c>
      <c r="BJ121" s="106">
        <f>+VLOOKUP($BD121,'June-25'!$A:$J,5,0)</f>
        <v>4100</v>
      </c>
      <c r="BK121" s="106">
        <f>+VLOOKUP($BD121,'July-25'!$A:$J,5,0)</f>
        <v>4100</v>
      </c>
      <c r="BL121" s="106">
        <f>+VLOOKUP($BD121,'Aug-25'!$A:$J,5,0)</f>
        <v>4100</v>
      </c>
      <c r="BM121" s="106">
        <f>+VLOOKUP($BD121,'Sep-25'!$A:$J,5,0)</f>
        <v>4268</v>
      </c>
      <c r="BN121" s="106">
        <f>+VLOOKUP($BD121,'Oct-25'!$A:$J,5,0)</f>
        <v>7516</v>
      </c>
      <c r="BO121" s="106">
        <f>+VLOOKUP($BD121,'Nov-25'!$A:$J,5,0)</f>
        <v>0</v>
      </c>
      <c r="BP121" s="106">
        <f>+VLOOKUP($BD121,'Dec-25'!$A:$J,5,0)</f>
        <v>0</v>
      </c>
      <c r="BQ121" s="106">
        <f t="shared" si="1402"/>
        <v>44648.2</v>
      </c>
      <c r="BR121" s="118">
        <f t="shared" si="1224"/>
        <v>0.44538461538461538</v>
      </c>
      <c r="BS121" s="106">
        <f>+_xlfn.XLOOKUP($BD121,Budget!$A:$A,Budget!BD:BD)</f>
        <v>5200</v>
      </c>
      <c r="BT121" s="106">
        <f>+_xlfn.XLOOKUP($BD121,Budget!$A:$A,Budget!BE:BE)</f>
        <v>5200</v>
      </c>
      <c r="BU121" s="106">
        <f>+_xlfn.XLOOKUP($BD121,Budget!$A:$A,Budget!BF:BF)</f>
        <v>5200</v>
      </c>
      <c r="BV121" s="106">
        <f>+_xlfn.XLOOKUP($BD121,Budget!$A:$A,Budget!BG:BG)</f>
        <v>5200</v>
      </c>
      <c r="BW121" s="106">
        <f>+_xlfn.XLOOKUP($BD121,Budget!$A:$A,Budget!BH:BH)</f>
        <v>5200</v>
      </c>
      <c r="BX121" s="106">
        <f>+_xlfn.XLOOKUP($BD121,Budget!$A:$A,Budget!BI:BI)</f>
        <v>5200</v>
      </c>
      <c r="BY121" s="106">
        <f>+_xlfn.XLOOKUP($BD121,Budget!$A:$A,Budget!BJ:BJ)</f>
        <v>5200</v>
      </c>
      <c r="BZ121" s="106">
        <f>+_xlfn.XLOOKUP($BD121,Budget!$A:$A,Budget!BK:BK)</f>
        <v>5200</v>
      </c>
      <c r="CA121" s="106">
        <f>+_xlfn.XLOOKUP($BD121,Budget!$A:$A,Budget!BL:BL)</f>
        <v>5200</v>
      </c>
      <c r="CB121" s="106">
        <f>+_xlfn.XLOOKUP($BD121,Budget!$A:$A,Budget!BM:BM)</f>
        <v>5200</v>
      </c>
      <c r="CC121" s="106">
        <f>+_xlfn.XLOOKUP($BD121,Budget!$A:$A,Budget!BN:BN)</f>
        <v>5200</v>
      </c>
      <c r="CD121" s="106">
        <f>+_xlfn.XLOOKUP($BD121,Budget!$A:$A,Budget!BO:BO)</f>
        <v>5200</v>
      </c>
      <c r="CE121" s="106">
        <f t="shared" si="1403"/>
        <v>62400</v>
      </c>
      <c r="CF121" s="106"/>
      <c r="CG121" s="106">
        <v>3476.7294000000002</v>
      </c>
      <c r="CH121" s="106">
        <v>3400.8</v>
      </c>
      <c r="CI121" s="106">
        <v>3240</v>
      </c>
      <c r="CJ121" s="106">
        <v>3120</v>
      </c>
      <c r="CK121" s="106">
        <v>3120</v>
      </c>
      <c r="CL121" s="106">
        <v>3120</v>
      </c>
      <c r="CM121" s="106">
        <v>3120</v>
      </c>
      <c r="CN121" s="106">
        <v>3120</v>
      </c>
      <c r="CO121" s="106">
        <v>3120</v>
      </c>
      <c r="CP121" s="106">
        <v>3120</v>
      </c>
      <c r="CQ121" s="106">
        <v>11313</v>
      </c>
      <c r="CR121" s="106">
        <v>3226</v>
      </c>
      <c r="CS121" s="106">
        <f t="shared" si="1404"/>
        <v>46496.529399999999</v>
      </c>
      <c r="CT121" s="16" t="str">
        <f t="shared" si="901"/>
        <v>Meals Allowance - Staff</v>
      </c>
      <c r="CU121" s="106">
        <f>+VLOOKUP($BD121,'Jan-25'!$A:$J,8,0)</f>
        <v>2323</v>
      </c>
      <c r="CV121" s="106">
        <f>+VLOOKUP($BD121,'Feb-25'!$A:$J,8,0)</f>
        <v>2400</v>
      </c>
      <c r="CW121" s="106">
        <f>+VLOOKUP($BD121,'Mar-25'!$A:$J,8,0)</f>
        <v>3242</v>
      </c>
      <c r="CX121" s="106">
        <f>+VLOOKUP($BD121,'Apr-25'!$A:$J,8,0)</f>
        <v>2400</v>
      </c>
      <c r="CY121" s="106">
        <f>+VLOOKUP($BD121,'May-25'!$A:$J,8,0)</f>
        <v>2400</v>
      </c>
      <c r="CZ121" s="106">
        <f>+VLOOKUP($BD121,'June-25'!$A:$J,8,0)</f>
        <v>2400</v>
      </c>
      <c r="DA121" s="106">
        <f>+VLOOKUP($BD121,'July-25'!$A:$J,8,0)</f>
        <v>2400</v>
      </c>
      <c r="DB121" s="106">
        <f>+VLOOKUP($BD121,'Aug-25'!$A:$J,8,0)</f>
        <v>2400</v>
      </c>
      <c r="DC121" s="106">
        <f>+VLOOKUP($BD121,'Sep-25'!$A:$J,8,0)</f>
        <v>2400</v>
      </c>
      <c r="DD121" s="106">
        <f>+VLOOKUP($BD121,'Oct-25'!$A:$J,8,0)</f>
        <v>3828</v>
      </c>
      <c r="DE121" s="106">
        <f>+VLOOKUP($BD121,'Nov-25'!$A:$J,8,0)</f>
        <v>0</v>
      </c>
      <c r="DF121" s="106">
        <f>+VLOOKUP($BD121,'Dec-25'!$A:$J,8,0)</f>
        <v>0</v>
      </c>
      <c r="DG121" s="106">
        <f t="shared" si="1405"/>
        <v>26193</v>
      </c>
      <c r="DH121" s="118">
        <f t="shared" si="1225"/>
        <v>0.59499999999999997</v>
      </c>
      <c r="DI121" s="106">
        <f>+_xlfn.XLOOKUP($CT121,Budget!$A:$A,Budget!CQ:CQ)</f>
        <v>2400</v>
      </c>
      <c r="DJ121" s="106">
        <f>+_xlfn.XLOOKUP($CT121,Budget!$A:$A,Budget!CR:CR)</f>
        <v>2400</v>
      </c>
      <c r="DK121" s="106">
        <f>+_xlfn.XLOOKUP($CT121,Budget!$A:$A,Budget!CS:CS)</f>
        <v>2400</v>
      </c>
      <c r="DL121" s="106">
        <f>+_xlfn.XLOOKUP($CT121,Budget!$A:$A,Budget!CT:CT)</f>
        <v>2400</v>
      </c>
      <c r="DM121" s="106">
        <f>+_xlfn.XLOOKUP($CT121,Budget!$A:$A,Budget!CU:CU)</f>
        <v>2400</v>
      </c>
      <c r="DN121" s="106">
        <f>+_xlfn.XLOOKUP($CT121,Budget!$A:$A,Budget!CV:CV)</f>
        <v>2400</v>
      </c>
      <c r="DO121" s="106">
        <f>+_xlfn.XLOOKUP($CT121,Budget!$A:$A,Budget!CW:CW)</f>
        <v>2400</v>
      </c>
      <c r="DP121" s="106">
        <f>+_xlfn.XLOOKUP($CT121,Budget!$A:$A,Budget!CX:CX)</f>
        <v>2400</v>
      </c>
      <c r="DQ121" s="106">
        <f>+_xlfn.XLOOKUP($CT121,Budget!$A:$A,Budget!CY:CY)</f>
        <v>2400</v>
      </c>
      <c r="DR121" s="106">
        <f>+_xlfn.XLOOKUP($CT121,Budget!$A:$A,Budget!CZ:CZ)</f>
        <v>2400</v>
      </c>
      <c r="DS121" s="106">
        <f>+_xlfn.XLOOKUP($CT121,Budget!$A:$A,Budget!DA:DA)</f>
        <v>2400</v>
      </c>
      <c r="DT121" s="106">
        <f>+_xlfn.XLOOKUP($CT121,Budget!$A:$A,Budget!DB:DB)</f>
        <v>2400</v>
      </c>
      <c r="DU121" s="106">
        <f t="shared" si="1406"/>
        <v>28800</v>
      </c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106">
        <f t="shared" si="1407"/>
        <v>0</v>
      </c>
      <c r="EJ121" s="16" t="str">
        <f t="shared" si="966"/>
        <v>Meals Allowance - Staff</v>
      </c>
      <c r="EK121" s="22">
        <f>+VLOOKUP($BD121,'Jan-25'!$A:$J,10,0)</f>
        <v>0</v>
      </c>
      <c r="EL121" s="22">
        <f>+VLOOKUP($BD121,'Feb-25'!$A:$J,10,0)</f>
        <v>0</v>
      </c>
      <c r="EM121" s="22">
        <f>+VLOOKUP($BD121,'Mar-25'!$A:$J,10,0)</f>
        <v>0</v>
      </c>
      <c r="EN121" s="22">
        <f>+VLOOKUP($BD121,'Apr-25'!$A:$J,10,0)</f>
        <v>0</v>
      </c>
      <c r="EO121" s="22">
        <f>+VLOOKUP($BD121,'May-25'!$A:$J,10,0)</f>
        <v>0</v>
      </c>
      <c r="EP121" s="22">
        <f>+VLOOKUP($BD121,'June-25'!$A:$J,10,0)</f>
        <v>0</v>
      </c>
      <c r="EQ121" s="22">
        <f>+VLOOKUP($BD121,'July-25'!$A:$J,10,0)</f>
        <v>0</v>
      </c>
      <c r="ER121" s="22">
        <f>+VLOOKUP($BD121,'Aug-25'!$A:$J,10,0)</f>
        <v>0</v>
      </c>
      <c r="ES121" s="22">
        <f>+VLOOKUP($BD121,'Sep-25'!$A:$J,10,0)</f>
        <v>0</v>
      </c>
      <c r="ET121" s="22">
        <f>+VLOOKUP($BD121,'Oct-25'!$A:$J,10,0)</f>
        <v>0</v>
      </c>
      <c r="EU121" s="22">
        <f>+VLOOKUP($BD121,'Nov-25'!$A:$J,10,0)</f>
        <v>0</v>
      </c>
      <c r="EV121" s="22">
        <f>+VLOOKUP($BD121,'Dec-25'!$A:$J,10,0)</f>
        <v>0</v>
      </c>
      <c r="EW121" s="22">
        <f t="shared" si="1408"/>
        <v>0</v>
      </c>
      <c r="EX121" s="118" t="e">
        <f t="shared" si="1226"/>
        <v>#DIV/0!</v>
      </c>
      <c r="EY121" s="106">
        <f>+_xlfn.XLOOKUP($EJ121,Budget!$A:$A,Budget!DR:DR)</f>
        <v>0</v>
      </c>
      <c r="EZ121" s="106">
        <f>+_xlfn.XLOOKUP($EJ121,Budget!$A:$A,Budget!DS:DS)</f>
        <v>0</v>
      </c>
      <c r="FA121" s="106">
        <f>+_xlfn.XLOOKUP($EJ121,Budget!$A:$A,Budget!DT:DT)</f>
        <v>0</v>
      </c>
      <c r="FB121" s="106">
        <f>+_xlfn.XLOOKUP($EJ121,Budget!$A:$A,Budget!DU:DU)</f>
        <v>0</v>
      </c>
      <c r="FC121" s="106">
        <f>+_xlfn.XLOOKUP($EJ121,Budget!$A:$A,Budget!DV:DV)</f>
        <v>0</v>
      </c>
      <c r="FD121" s="106">
        <f>+_xlfn.XLOOKUP($EJ121,Budget!$A:$A,Budget!DW:DW)</f>
        <v>0</v>
      </c>
      <c r="FE121" s="106">
        <f>+_xlfn.XLOOKUP($EJ121,Budget!$A:$A,Budget!DX:DX)</f>
        <v>0</v>
      </c>
      <c r="FF121" s="106">
        <f>+_xlfn.XLOOKUP($EJ121,Budget!$A:$A,Budget!DY:DY)</f>
        <v>0</v>
      </c>
      <c r="FG121" s="106">
        <f>+_xlfn.XLOOKUP($EJ121,Budget!$A:$A,Budget!DZ:DZ)</f>
        <v>0</v>
      </c>
      <c r="FH121" s="106">
        <f>+_xlfn.XLOOKUP($EJ121,Budget!$A:$A,Budget!EA:EA)</f>
        <v>0</v>
      </c>
      <c r="FI121" s="106">
        <f>+_xlfn.XLOOKUP($EJ121,Budget!$A:$A,Budget!EB:EB)</f>
        <v>0</v>
      </c>
      <c r="FJ121" s="106">
        <f>+_xlfn.XLOOKUP($EJ121,Budget!$A:$A,Budget!EC:EC)</f>
        <v>0</v>
      </c>
      <c r="FK121" s="106">
        <f t="shared" si="1409"/>
        <v>0</v>
      </c>
    </row>
    <row r="122" spans="1:167" ht="14.45" hidden="1" customHeight="1" outlineLevel="2">
      <c r="A122" s="106">
        <f t="shared" si="1373"/>
        <v>4735.2216000000008</v>
      </c>
      <c r="B122" s="106">
        <f t="shared" si="1373"/>
        <v>4545.3</v>
      </c>
      <c r="C122" s="106">
        <f t="shared" si="1373"/>
        <v>4170</v>
      </c>
      <c r="D122" s="106">
        <f t="shared" si="1373"/>
        <v>4170</v>
      </c>
      <c r="E122" s="106">
        <f t="shared" si="1373"/>
        <v>4170</v>
      </c>
      <c r="F122" s="106">
        <f t="shared" si="1373"/>
        <v>4170</v>
      </c>
      <c r="G122" s="106">
        <f t="shared" si="1373"/>
        <v>4170</v>
      </c>
      <c r="H122" s="106">
        <f t="shared" si="1373"/>
        <v>4088.6400000000003</v>
      </c>
      <c r="I122" s="106">
        <f t="shared" si="1373"/>
        <v>3810</v>
      </c>
      <c r="J122" s="106">
        <f t="shared" si="1373"/>
        <v>3810</v>
      </c>
      <c r="K122" s="106">
        <f t="shared" si="1373"/>
        <v>7678</v>
      </c>
      <c r="L122" s="106">
        <f t="shared" si="1373"/>
        <v>3012</v>
      </c>
      <c r="M122" s="106">
        <f t="shared" si="1374"/>
        <v>52529.161599999999</v>
      </c>
      <c r="N122" s="16" t="s">
        <v>100</v>
      </c>
      <c r="O122" s="106">
        <f t="shared" si="1375"/>
        <v>3210</v>
      </c>
      <c r="P122" s="106">
        <f t="shared" si="1376"/>
        <v>3250</v>
      </c>
      <c r="Q122" s="106">
        <f t="shared" si="1377"/>
        <v>3500</v>
      </c>
      <c r="R122" s="106">
        <f t="shared" si="1378"/>
        <v>3500</v>
      </c>
      <c r="S122" s="106">
        <f t="shared" si="1379"/>
        <v>3500</v>
      </c>
      <c r="T122" s="106">
        <f t="shared" si="1380"/>
        <v>3500</v>
      </c>
      <c r="U122" s="106">
        <f t="shared" si="1381"/>
        <v>3500</v>
      </c>
      <c r="V122" s="106">
        <f t="shared" si="1382"/>
        <v>3500</v>
      </c>
      <c r="W122" s="106">
        <f t="shared" si="1383"/>
        <v>3500</v>
      </c>
      <c r="X122" s="106">
        <f t="shared" si="1384"/>
        <v>4814</v>
      </c>
      <c r="Y122" s="106">
        <f t="shared" si="1385"/>
        <v>0</v>
      </c>
      <c r="Z122" s="106">
        <f t="shared" si="1386"/>
        <v>0</v>
      </c>
      <c r="AA122" s="106">
        <f t="shared" si="1387"/>
        <v>35774</v>
      </c>
      <c r="AB122" s="118">
        <f t="shared" si="1223"/>
        <v>0.37542857142857144</v>
      </c>
      <c r="AC122" s="106">
        <f t="shared" si="1388"/>
        <v>3500</v>
      </c>
      <c r="AD122" s="106">
        <f t="shared" si="1389"/>
        <v>3500</v>
      </c>
      <c r="AE122" s="106">
        <f t="shared" si="1390"/>
        <v>3500</v>
      </c>
      <c r="AF122" s="106">
        <f t="shared" si="1391"/>
        <v>3500</v>
      </c>
      <c r="AG122" s="106">
        <f t="shared" si="1392"/>
        <v>3500</v>
      </c>
      <c r="AH122" s="106">
        <f t="shared" si="1393"/>
        <v>3500</v>
      </c>
      <c r="AI122" s="106">
        <f t="shared" si="1394"/>
        <v>3500</v>
      </c>
      <c r="AJ122" s="106">
        <f t="shared" si="1395"/>
        <v>3500</v>
      </c>
      <c r="AK122" s="106">
        <f t="shared" si="1396"/>
        <v>3500</v>
      </c>
      <c r="AL122" s="106">
        <f t="shared" si="1397"/>
        <v>3500</v>
      </c>
      <c r="AM122" s="106">
        <f t="shared" si="1398"/>
        <v>3500</v>
      </c>
      <c r="AN122" s="106">
        <f t="shared" si="1399"/>
        <v>3500</v>
      </c>
      <c r="AO122" s="106">
        <f t="shared" si="1400"/>
        <v>42000</v>
      </c>
      <c r="AQ122" s="106">
        <v>2786.2144000000003</v>
      </c>
      <c r="AR122" s="106">
        <v>2659.6000000000004</v>
      </c>
      <c r="AS122" s="106">
        <v>2440</v>
      </c>
      <c r="AT122" s="106">
        <v>2440</v>
      </c>
      <c r="AU122" s="106">
        <v>2440</v>
      </c>
      <c r="AV122" s="106">
        <v>2440</v>
      </c>
      <c r="AW122" s="106">
        <v>2440</v>
      </c>
      <c r="AX122" s="106">
        <v>2385.7600000000002</v>
      </c>
      <c r="AY122" s="106">
        <v>2200</v>
      </c>
      <c r="AZ122" s="106">
        <v>2200</v>
      </c>
      <c r="BA122" s="106">
        <v>3472</v>
      </c>
      <c r="BB122" s="106">
        <v>1802</v>
      </c>
      <c r="BC122" s="106">
        <f t="shared" si="1401"/>
        <v>29705.574400000005</v>
      </c>
      <c r="BD122" s="16" t="str">
        <f t="shared" si="900"/>
        <v>Medical Allowance - Staff</v>
      </c>
      <c r="BE122" s="106">
        <f>+VLOOKUP($BD122,'Jan-25'!$A:$J,5,0)</f>
        <v>2000</v>
      </c>
      <c r="BF122" s="106">
        <f>+VLOOKUP($BD122,'Feb-25'!$A:$J,5,0)</f>
        <v>2000</v>
      </c>
      <c r="BG122" s="106">
        <f>+VLOOKUP($BD122,'Mar-25'!$A:$J,5,0)</f>
        <v>2000</v>
      </c>
      <c r="BH122" s="106">
        <f>+VLOOKUP($BD122,'Apr-25'!$A:$J,5,0)</f>
        <v>2000</v>
      </c>
      <c r="BI122" s="106">
        <f>+VLOOKUP($BD122,'May-25'!$A:$J,5,0)</f>
        <v>2000</v>
      </c>
      <c r="BJ122" s="106">
        <f>+VLOOKUP($BD122,'June-25'!$A:$J,5,0)</f>
        <v>2000</v>
      </c>
      <c r="BK122" s="106">
        <f>+VLOOKUP($BD122,'July-25'!$A:$J,5,0)</f>
        <v>2000</v>
      </c>
      <c r="BL122" s="106">
        <f>+VLOOKUP($BD122,'Aug-25'!$A:$J,5,0)</f>
        <v>2000</v>
      </c>
      <c r="BM122" s="106">
        <f>+VLOOKUP($BD122,'Sep-25'!$A:$J,5,0)</f>
        <v>2000</v>
      </c>
      <c r="BN122" s="106">
        <f>+VLOOKUP($BD122,'Oct-25'!$A:$J,5,0)</f>
        <v>2876</v>
      </c>
      <c r="BO122" s="106">
        <f>+VLOOKUP($BD122,'Nov-25'!$A:$J,5,0)</f>
        <v>0</v>
      </c>
      <c r="BP122" s="106">
        <f>+VLOOKUP($BD122,'Dec-25'!$A:$J,5,0)</f>
        <v>0</v>
      </c>
      <c r="BQ122" s="106">
        <f t="shared" si="1402"/>
        <v>20876</v>
      </c>
      <c r="BR122" s="118">
        <f t="shared" si="1224"/>
        <v>0.438</v>
      </c>
      <c r="BS122" s="106">
        <f>+_xlfn.XLOOKUP($BD122,Budget!$A:$A,Budget!BD:BD)</f>
        <v>2000</v>
      </c>
      <c r="BT122" s="106">
        <f>+_xlfn.XLOOKUP($BD122,Budget!$A:$A,Budget!BE:BE)</f>
        <v>2000</v>
      </c>
      <c r="BU122" s="106">
        <f>+_xlfn.XLOOKUP($BD122,Budget!$A:$A,Budget!BF:BF)</f>
        <v>2000</v>
      </c>
      <c r="BV122" s="106">
        <f>+_xlfn.XLOOKUP($BD122,Budget!$A:$A,Budget!BG:BG)</f>
        <v>2000</v>
      </c>
      <c r="BW122" s="106">
        <f>+_xlfn.XLOOKUP($BD122,Budget!$A:$A,Budget!BH:BH)</f>
        <v>2000</v>
      </c>
      <c r="BX122" s="106">
        <f>+_xlfn.XLOOKUP($BD122,Budget!$A:$A,Budget!BI:BI)</f>
        <v>2000</v>
      </c>
      <c r="BY122" s="106">
        <f>+_xlfn.XLOOKUP($BD122,Budget!$A:$A,Budget!BJ:BJ)</f>
        <v>2000</v>
      </c>
      <c r="BZ122" s="106">
        <f>+_xlfn.XLOOKUP($BD122,Budget!$A:$A,Budget!BK:BK)</f>
        <v>2000</v>
      </c>
      <c r="CA122" s="106">
        <f>+_xlfn.XLOOKUP($BD122,Budget!$A:$A,Budget!BL:BL)</f>
        <v>2000</v>
      </c>
      <c r="CB122" s="106">
        <f>+_xlfn.XLOOKUP($BD122,Budget!$A:$A,Budget!BM:BM)</f>
        <v>2000</v>
      </c>
      <c r="CC122" s="106">
        <f>+_xlfn.XLOOKUP($BD122,Budget!$A:$A,Budget!BN:BN)</f>
        <v>2000</v>
      </c>
      <c r="CD122" s="106">
        <f>+_xlfn.XLOOKUP($BD122,Budget!$A:$A,Budget!BO:BO)</f>
        <v>2000</v>
      </c>
      <c r="CE122" s="106">
        <f t="shared" si="1403"/>
        <v>24000</v>
      </c>
      <c r="CF122" s="106"/>
      <c r="CG122" s="106">
        <v>1949.0072</v>
      </c>
      <c r="CH122" s="106">
        <v>1885.7</v>
      </c>
      <c r="CI122" s="106">
        <v>1730</v>
      </c>
      <c r="CJ122" s="106">
        <v>1730</v>
      </c>
      <c r="CK122" s="106">
        <v>1730</v>
      </c>
      <c r="CL122" s="106">
        <v>1730</v>
      </c>
      <c r="CM122" s="106">
        <v>1730</v>
      </c>
      <c r="CN122" s="106">
        <v>1702.88</v>
      </c>
      <c r="CO122" s="106">
        <v>1610</v>
      </c>
      <c r="CP122" s="106">
        <v>1610</v>
      </c>
      <c r="CQ122" s="106">
        <v>4206</v>
      </c>
      <c r="CR122" s="106">
        <v>1210</v>
      </c>
      <c r="CS122" s="106">
        <f t="shared" si="1404"/>
        <v>22823.587200000002</v>
      </c>
      <c r="CT122" s="16" t="str">
        <f t="shared" si="901"/>
        <v>Medical Allowance - Staff</v>
      </c>
      <c r="CU122" s="106">
        <f>+VLOOKUP($BD122,'Jan-25'!$A:$J,8,0)</f>
        <v>1210</v>
      </c>
      <c r="CV122" s="106">
        <f>+VLOOKUP($BD122,'Feb-25'!$A:$J,8,0)</f>
        <v>1250</v>
      </c>
      <c r="CW122" s="106">
        <f>+VLOOKUP($BD122,'Mar-25'!$A:$J,8,0)</f>
        <v>1500</v>
      </c>
      <c r="CX122" s="106">
        <f>+VLOOKUP($BD122,'Apr-25'!$A:$J,8,0)</f>
        <v>1500</v>
      </c>
      <c r="CY122" s="106">
        <f>+VLOOKUP($BD122,'May-25'!$A:$J,8,0)</f>
        <v>1500</v>
      </c>
      <c r="CZ122" s="106">
        <f>+VLOOKUP($BD122,'June-25'!$A:$J,8,0)</f>
        <v>1500</v>
      </c>
      <c r="DA122" s="106">
        <f>+VLOOKUP($BD122,'July-25'!$A:$J,8,0)</f>
        <v>1500</v>
      </c>
      <c r="DB122" s="106">
        <f>+VLOOKUP($BD122,'Aug-25'!$A:$J,8,0)</f>
        <v>1500</v>
      </c>
      <c r="DC122" s="106">
        <f>+VLOOKUP($BD122,'Sep-25'!$A:$J,8,0)</f>
        <v>1500</v>
      </c>
      <c r="DD122" s="106">
        <f>+VLOOKUP($BD122,'Oct-25'!$A:$J,8,0)</f>
        <v>1938</v>
      </c>
      <c r="DE122" s="106">
        <f>+VLOOKUP($BD122,'Nov-25'!$A:$J,8,0)</f>
        <v>0</v>
      </c>
      <c r="DF122" s="106">
        <f>+VLOOKUP($BD122,'Dec-25'!$A:$J,8,0)</f>
        <v>0</v>
      </c>
      <c r="DG122" s="106">
        <f t="shared" si="1405"/>
        <v>14898</v>
      </c>
      <c r="DH122" s="118">
        <f t="shared" si="1225"/>
        <v>0.29199999999999998</v>
      </c>
      <c r="DI122" s="106">
        <f>+_xlfn.XLOOKUP($CT122,Budget!$A:$A,Budget!CQ:CQ)</f>
        <v>1500</v>
      </c>
      <c r="DJ122" s="106">
        <f>+_xlfn.XLOOKUP($CT122,Budget!$A:$A,Budget!CR:CR)</f>
        <v>1500</v>
      </c>
      <c r="DK122" s="106">
        <f>+_xlfn.XLOOKUP($CT122,Budget!$A:$A,Budget!CS:CS)</f>
        <v>1500</v>
      </c>
      <c r="DL122" s="106">
        <f>+_xlfn.XLOOKUP($CT122,Budget!$A:$A,Budget!CT:CT)</f>
        <v>1500</v>
      </c>
      <c r="DM122" s="106">
        <f>+_xlfn.XLOOKUP($CT122,Budget!$A:$A,Budget!CU:CU)</f>
        <v>1500</v>
      </c>
      <c r="DN122" s="106">
        <f>+_xlfn.XLOOKUP($CT122,Budget!$A:$A,Budget!CV:CV)</f>
        <v>1500</v>
      </c>
      <c r="DO122" s="106">
        <f>+_xlfn.XLOOKUP($CT122,Budget!$A:$A,Budget!CW:CW)</f>
        <v>1500</v>
      </c>
      <c r="DP122" s="106">
        <f>+_xlfn.XLOOKUP($CT122,Budget!$A:$A,Budget!CX:CX)</f>
        <v>1500</v>
      </c>
      <c r="DQ122" s="106">
        <f>+_xlfn.XLOOKUP($CT122,Budget!$A:$A,Budget!CY:CY)</f>
        <v>1500</v>
      </c>
      <c r="DR122" s="106">
        <f>+_xlfn.XLOOKUP($CT122,Budget!$A:$A,Budget!CZ:CZ)</f>
        <v>1500</v>
      </c>
      <c r="DS122" s="106">
        <f>+_xlfn.XLOOKUP($CT122,Budget!$A:$A,Budget!DA:DA)</f>
        <v>1500</v>
      </c>
      <c r="DT122" s="106">
        <f>+_xlfn.XLOOKUP($CT122,Budget!$A:$A,Budget!DB:DB)</f>
        <v>1500</v>
      </c>
      <c r="DU122" s="106">
        <f t="shared" si="1406"/>
        <v>18000</v>
      </c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106">
        <f t="shared" si="1407"/>
        <v>0</v>
      </c>
      <c r="EJ122" s="16" t="str">
        <f t="shared" si="966"/>
        <v>Medical Allowance - Staff</v>
      </c>
      <c r="EK122" s="22">
        <f>+VLOOKUP($BD122,'Jan-25'!$A:$J,10,0)</f>
        <v>0</v>
      </c>
      <c r="EL122" s="22">
        <f>+VLOOKUP($BD122,'Feb-25'!$A:$J,10,0)</f>
        <v>0</v>
      </c>
      <c r="EM122" s="22">
        <f>+VLOOKUP($BD122,'Mar-25'!$A:$J,10,0)</f>
        <v>0</v>
      </c>
      <c r="EN122" s="22">
        <f>+VLOOKUP($BD122,'Apr-25'!$A:$J,10,0)</f>
        <v>0</v>
      </c>
      <c r="EO122" s="22">
        <f>+VLOOKUP($BD122,'May-25'!$A:$J,10,0)</f>
        <v>0</v>
      </c>
      <c r="EP122" s="22">
        <f>+VLOOKUP($BD122,'June-25'!$A:$J,10,0)</f>
        <v>0</v>
      </c>
      <c r="EQ122" s="22">
        <f>+VLOOKUP($BD122,'July-25'!$A:$J,10,0)</f>
        <v>0</v>
      </c>
      <c r="ER122" s="22">
        <f>+VLOOKUP($BD122,'Aug-25'!$A:$J,10,0)</f>
        <v>0</v>
      </c>
      <c r="ES122" s="22">
        <f>+VLOOKUP($BD122,'Sep-25'!$A:$J,10,0)</f>
        <v>0</v>
      </c>
      <c r="ET122" s="22">
        <f>+VLOOKUP($BD122,'Oct-25'!$A:$J,10,0)</f>
        <v>0</v>
      </c>
      <c r="EU122" s="22">
        <f>+VLOOKUP($BD122,'Nov-25'!$A:$J,10,0)</f>
        <v>0</v>
      </c>
      <c r="EV122" s="22">
        <f>+VLOOKUP($BD122,'Dec-25'!$A:$J,10,0)</f>
        <v>0</v>
      </c>
      <c r="EW122" s="22">
        <f t="shared" si="1408"/>
        <v>0</v>
      </c>
      <c r="EX122" s="118" t="e">
        <f t="shared" si="1226"/>
        <v>#DIV/0!</v>
      </c>
      <c r="EY122" s="106">
        <f>+_xlfn.XLOOKUP($EJ122,Budget!$A:$A,Budget!DR:DR)</f>
        <v>0</v>
      </c>
      <c r="EZ122" s="106">
        <f>+_xlfn.XLOOKUP($EJ122,Budget!$A:$A,Budget!DS:DS)</f>
        <v>0</v>
      </c>
      <c r="FA122" s="106">
        <f>+_xlfn.XLOOKUP($EJ122,Budget!$A:$A,Budget!DT:DT)</f>
        <v>0</v>
      </c>
      <c r="FB122" s="106">
        <f>+_xlfn.XLOOKUP($EJ122,Budget!$A:$A,Budget!DU:DU)</f>
        <v>0</v>
      </c>
      <c r="FC122" s="106">
        <f>+_xlfn.XLOOKUP($EJ122,Budget!$A:$A,Budget!DV:DV)</f>
        <v>0</v>
      </c>
      <c r="FD122" s="106">
        <f>+_xlfn.XLOOKUP($EJ122,Budget!$A:$A,Budget!DW:DW)</f>
        <v>0</v>
      </c>
      <c r="FE122" s="106">
        <f>+_xlfn.XLOOKUP($EJ122,Budget!$A:$A,Budget!DX:DX)</f>
        <v>0</v>
      </c>
      <c r="FF122" s="106">
        <f>+_xlfn.XLOOKUP($EJ122,Budget!$A:$A,Budget!DY:DY)</f>
        <v>0</v>
      </c>
      <c r="FG122" s="106">
        <f>+_xlfn.XLOOKUP($EJ122,Budget!$A:$A,Budget!DZ:DZ)</f>
        <v>0</v>
      </c>
      <c r="FH122" s="106">
        <f>+_xlfn.XLOOKUP($EJ122,Budget!$A:$A,Budget!EA:EA)</f>
        <v>0</v>
      </c>
      <c r="FI122" s="106">
        <f>+_xlfn.XLOOKUP($EJ122,Budget!$A:$A,Budget!EB:EB)</f>
        <v>0</v>
      </c>
      <c r="FJ122" s="106">
        <f>+_xlfn.XLOOKUP($EJ122,Budget!$A:$A,Budget!EC:EC)</f>
        <v>0</v>
      </c>
      <c r="FK122" s="106">
        <f t="shared" si="1409"/>
        <v>0</v>
      </c>
    </row>
    <row r="123" spans="1:167" ht="14.45" hidden="1" customHeight="1" outlineLevel="2">
      <c r="A123" s="106">
        <f t="shared" si="1373"/>
        <v>60304.860400000005</v>
      </c>
      <c r="B123" s="106">
        <f t="shared" si="1373"/>
        <v>61417.140000000014</v>
      </c>
      <c r="C123" s="106">
        <f t="shared" si="1373"/>
        <v>59783</v>
      </c>
      <c r="D123" s="106">
        <f t="shared" si="1373"/>
        <v>58523</v>
      </c>
      <c r="E123" s="106">
        <f t="shared" si="1373"/>
        <v>60735.200000000004</v>
      </c>
      <c r="F123" s="106">
        <f t="shared" si="1373"/>
        <v>57269.200000000004</v>
      </c>
      <c r="G123" s="106">
        <f t="shared" si="1373"/>
        <v>63282.000000000007</v>
      </c>
      <c r="H123" s="106">
        <f t="shared" si="1373"/>
        <v>50148.66</v>
      </c>
      <c r="I123" s="106">
        <f t="shared" si="1373"/>
        <v>80148.532000000007</v>
      </c>
      <c r="J123" s="106">
        <f t="shared" si="1373"/>
        <v>79511.200000000012</v>
      </c>
      <c r="K123" s="106">
        <f t="shared" si="1373"/>
        <v>141013.4</v>
      </c>
      <c r="L123" s="106">
        <f t="shared" si="1373"/>
        <v>46874</v>
      </c>
      <c r="M123" s="106">
        <f t="shared" si="1374"/>
        <v>819010.19240000017</v>
      </c>
      <c r="N123" s="16" t="s">
        <v>101</v>
      </c>
      <c r="O123" s="106">
        <f t="shared" si="1375"/>
        <v>70002</v>
      </c>
      <c r="P123" s="106">
        <f t="shared" si="1376"/>
        <v>69646</v>
      </c>
      <c r="Q123" s="106">
        <f t="shared" si="1377"/>
        <v>80377</v>
      </c>
      <c r="R123" s="106">
        <f t="shared" si="1378"/>
        <v>78121.8</v>
      </c>
      <c r="S123" s="106">
        <f t="shared" si="1379"/>
        <v>77173</v>
      </c>
      <c r="T123" s="106">
        <f t="shared" si="1380"/>
        <v>73022</v>
      </c>
      <c r="U123" s="106">
        <f t="shared" si="1381"/>
        <v>73210</v>
      </c>
      <c r="V123" s="106">
        <f t="shared" si="1382"/>
        <v>72970.600000000006</v>
      </c>
      <c r="W123" s="106">
        <f t="shared" si="1383"/>
        <v>138706.40000000002</v>
      </c>
      <c r="X123" s="106">
        <f t="shared" si="1384"/>
        <v>89493</v>
      </c>
      <c r="Y123" s="106">
        <f t="shared" si="1385"/>
        <v>0</v>
      </c>
      <c r="Z123" s="106">
        <f t="shared" si="1386"/>
        <v>0</v>
      </c>
      <c r="AA123" s="106">
        <f t="shared" si="1387"/>
        <v>822721.8</v>
      </c>
      <c r="AB123" s="118">
        <f t="shared" si="1223"/>
        <v>8.3975290697674412E-2</v>
      </c>
      <c r="AC123" s="106">
        <f t="shared" si="1388"/>
        <v>82560</v>
      </c>
      <c r="AD123" s="106">
        <f t="shared" si="1389"/>
        <v>82560</v>
      </c>
      <c r="AE123" s="106">
        <f t="shared" si="1390"/>
        <v>82560</v>
      </c>
      <c r="AF123" s="106">
        <f t="shared" si="1391"/>
        <v>82560</v>
      </c>
      <c r="AG123" s="106">
        <f t="shared" si="1392"/>
        <v>82560</v>
      </c>
      <c r="AH123" s="106">
        <f t="shared" si="1393"/>
        <v>82560</v>
      </c>
      <c r="AI123" s="106">
        <f t="shared" si="1394"/>
        <v>82560</v>
      </c>
      <c r="AJ123" s="106">
        <f t="shared" si="1395"/>
        <v>82560</v>
      </c>
      <c r="AK123" s="106">
        <f t="shared" si="1396"/>
        <v>82560</v>
      </c>
      <c r="AL123" s="106">
        <f t="shared" si="1397"/>
        <v>82560</v>
      </c>
      <c r="AM123" s="106">
        <f t="shared" si="1398"/>
        <v>82560</v>
      </c>
      <c r="AN123" s="106">
        <f t="shared" si="1399"/>
        <v>82560</v>
      </c>
      <c r="AO123" s="106">
        <f t="shared" si="1400"/>
        <v>990720</v>
      </c>
      <c r="AQ123" s="106">
        <v>42441.373600000006</v>
      </c>
      <c r="AR123" s="106">
        <v>44059.98000000001</v>
      </c>
      <c r="AS123" s="106">
        <v>46442</v>
      </c>
      <c r="AT123" s="106">
        <v>45602</v>
      </c>
      <c r="AU123" s="106">
        <v>47334.8</v>
      </c>
      <c r="AV123" s="106">
        <v>44248.800000000003</v>
      </c>
      <c r="AW123" s="106">
        <v>50261.600000000006</v>
      </c>
      <c r="AX123" s="106">
        <v>42282.44</v>
      </c>
      <c r="AY123" s="106">
        <v>67368.131999999998</v>
      </c>
      <c r="AZ123" s="106">
        <v>66730.8</v>
      </c>
      <c r="BA123" s="106">
        <v>77184</v>
      </c>
      <c r="BB123" s="106">
        <v>38384</v>
      </c>
      <c r="BC123" s="106">
        <f t="shared" si="1401"/>
        <v>612339.92559999996</v>
      </c>
      <c r="BD123" s="16" t="str">
        <f t="shared" si="900"/>
        <v>Special Allowance - Staff</v>
      </c>
      <c r="BE123" s="106">
        <f>+VLOOKUP($BD123,'Jan-25'!$A:$J,5,0)</f>
        <v>44936</v>
      </c>
      <c r="BF123" s="106">
        <f>+VLOOKUP($BD123,'Feb-25'!$A:$J,5,0)</f>
        <v>44196</v>
      </c>
      <c r="BG123" s="106">
        <f>+VLOOKUP($BD123,'Mar-25'!$A:$J,5,0)</f>
        <v>52506</v>
      </c>
      <c r="BH123" s="106">
        <f>+VLOOKUP($BD123,'Apr-25'!$A:$J,5,0)</f>
        <v>52121.8</v>
      </c>
      <c r="BI123" s="106">
        <f>+VLOOKUP($BD123,'May-25'!$A:$J,5,0)</f>
        <v>53060</v>
      </c>
      <c r="BJ123" s="106">
        <f>+VLOOKUP($BD123,'June-25'!$A:$J,5,0)</f>
        <v>52872</v>
      </c>
      <c r="BK123" s="106">
        <f>+VLOOKUP($BD123,'July-25'!$A:$J,5,0)</f>
        <v>53060</v>
      </c>
      <c r="BL123" s="106">
        <f>+VLOOKUP($BD123,'Aug-25'!$A:$J,5,0)</f>
        <v>52820.6</v>
      </c>
      <c r="BM123" s="106">
        <f>+VLOOKUP($BD123,'Sep-25'!$A:$J,5,0)</f>
        <v>96906.6</v>
      </c>
      <c r="BN123" s="106">
        <f>+VLOOKUP($BD123,'Oct-25'!$A:$J,5,0)</f>
        <v>63573</v>
      </c>
      <c r="BO123" s="106">
        <f>+VLOOKUP($BD123,'Nov-25'!$A:$J,5,0)</f>
        <v>0</v>
      </c>
      <c r="BP123" s="106">
        <f>+VLOOKUP($BD123,'Dec-25'!$A:$J,5,0)</f>
        <v>0</v>
      </c>
      <c r="BQ123" s="106">
        <f t="shared" si="1402"/>
        <v>566052</v>
      </c>
      <c r="BR123" s="118">
        <f t="shared" si="1224"/>
        <v>0.12399222065063649</v>
      </c>
      <c r="BS123" s="106">
        <f>+_xlfn.XLOOKUP($BD123,Budget!$A:$A,Budget!BD:BD)</f>
        <v>56560</v>
      </c>
      <c r="BT123" s="106">
        <f>+_xlfn.XLOOKUP($BD123,Budget!$A:$A,Budget!BE:BE)</f>
        <v>56560</v>
      </c>
      <c r="BU123" s="106">
        <f>+_xlfn.XLOOKUP($BD123,Budget!$A:$A,Budget!BF:BF)</f>
        <v>56560</v>
      </c>
      <c r="BV123" s="106">
        <f>+_xlfn.XLOOKUP($BD123,Budget!$A:$A,Budget!BG:BG)</f>
        <v>56560</v>
      </c>
      <c r="BW123" s="106">
        <f>+_xlfn.XLOOKUP($BD123,Budget!$A:$A,Budget!BH:BH)</f>
        <v>56560</v>
      </c>
      <c r="BX123" s="106">
        <f>+_xlfn.XLOOKUP($BD123,Budget!$A:$A,Budget!BI:BI)</f>
        <v>56560</v>
      </c>
      <c r="BY123" s="106">
        <f>+_xlfn.XLOOKUP($BD123,Budget!$A:$A,Budget!BJ:BJ)</f>
        <v>56560</v>
      </c>
      <c r="BZ123" s="106">
        <f>+_xlfn.XLOOKUP($BD123,Budget!$A:$A,Budget!BK:BK)</f>
        <v>56560</v>
      </c>
      <c r="CA123" s="106">
        <f>+_xlfn.XLOOKUP($BD123,Budget!$A:$A,Budget!BL:BL)</f>
        <v>56560</v>
      </c>
      <c r="CB123" s="106">
        <f>+_xlfn.XLOOKUP($BD123,Budget!$A:$A,Budget!BM:BM)</f>
        <v>56560</v>
      </c>
      <c r="CC123" s="106">
        <f>+_xlfn.XLOOKUP($BD123,Budget!$A:$A,Budget!BN:BN)</f>
        <v>56560</v>
      </c>
      <c r="CD123" s="106">
        <f>+_xlfn.XLOOKUP($BD123,Budget!$A:$A,Budget!BO:BO)</f>
        <v>56560</v>
      </c>
      <c r="CE123" s="106">
        <f t="shared" si="1403"/>
        <v>678720</v>
      </c>
      <c r="CF123" s="106"/>
      <c r="CG123" s="106">
        <v>17863.486799999999</v>
      </c>
      <c r="CH123" s="106">
        <v>17357.160000000003</v>
      </c>
      <c r="CI123" s="106">
        <v>13341</v>
      </c>
      <c r="CJ123" s="106">
        <v>12921</v>
      </c>
      <c r="CK123" s="106">
        <v>13400.400000000001</v>
      </c>
      <c r="CL123" s="106">
        <v>13020.400000000001</v>
      </c>
      <c r="CM123" s="106">
        <v>13020.400000000001</v>
      </c>
      <c r="CN123" s="106">
        <v>7866.2199999999993</v>
      </c>
      <c r="CO123" s="106">
        <v>12780.400000000001</v>
      </c>
      <c r="CP123" s="106">
        <v>12780.400000000001</v>
      </c>
      <c r="CQ123" s="106">
        <v>63829.4</v>
      </c>
      <c r="CR123" s="106">
        <v>8490</v>
      </c>
      <c r="CS123" s="106">
        <f t="shared" si="1404"/>
        <v>206670.26679999998</v>
      </c>
      <c r="CT123" s="16" t="str">
        <f t="shared" si="901"/>
        <v>Special Allowance - Staff</v>
      </c>
      <c r="CU123" s="106">
        <f>+VLOOKUP($BD123,'Jan-25'!$A:$J,8,0)</f>
        <v>6684</v>
      </c>
      <c r="CV123" s="106">
        <f>+VLOOKUP($BD123,'Feb-25'!$A:$J,8,0)</f>
        <v>6850</v>
      </c>
      <c r="CW123" s="106">
        <f>+VLOOKUP($BD123,'Mar-25'!$A:$J,8,0)</f>
        <v>9271</v>
      </c>
      <c r="CX123" s="106">
        <f>+VLOOKUP($BD123,'Apr-25'!$A:$J,8,0)</f>
        <v>7400</v>
      </c>
      <c r="CY123" s="106">
        <f>+VLOOKUP($BD123,'May-25'!$A:$J,8,0)</f>
        <v>7400</v>
      </c>
      <c r="CZ123" s="106">
        <f>+VLOOKUP($BD123,'June-25'!$A:$J,8,0)</f>
        <v>7400</v>
      </c>
      <c r="DA123" s="106">
        <f>+VLOOKUP($BD123,'July-25'!$A:$J,8,0)</f>
        <v>7400</v>
      </c>
      <c r="DB123" s="106">
        <f>+VLOOKUP($BD123,'Aug-25'!$A:$J,8,0)</f>
        <v>7400</v>
      </c>
      <c r="DC123" s="106">
        <f>+VLOOKUP($BD123,'Sep-25'!$A:$J,8,0)</f>
        <v>29832.800000000003</v>
      </c>
      <c r="DD123" s="106">
        <f>+VLOOKUP($BD123,'Oct-25'!$A:$J,8,0)</f>
        <v>13388</v>
      </c>
      <c r="DE123" s="106">
        <f>+VLOOKUP($BD123,'Nov-25'!$A:$J,8,0)</f>
        <v>0</v>
      </c>
      <c r="DF123" s="106">
        <f>+VLOOKUP($BD123,'Dec-25'!$A:$J,8,0)</f>
        <v>0</v>
      </c>
      <c r="DG123" s="106">
        <f t="shared" si="1405"/>
        <v>103025.8</v>
      </c>
      <c r="DH123" s="118">
        <f t="shared" si="1225"/>
        <v>0.80918918918918914</v>
      </c>
      <c r="DI123" s="106">
        <f>+_xlfn.XLOOKUP($CT123,Budget!$A:$A,Budget!CQ:CQ)</f>
        <v>7400</v>
      </c>
      <c r="DJ123" s="106">
        <f>+_xlfn.XLOOKUP($CT123,Budget!$A:$A,Budget!CR:CR)</f>
        <v>7400</v>
      </c>
      <c r="DK123" s="106">
        <f>+_xlfn.XLOOKUP($CT123,Budget!$A:$A,Budget!CS:CS)</f>
        <v>7400</v>
      </c>
      <c r="DL123" s="106">
        <f>+_xlfn.XLOOKUP($CT123,Budget!$A:$A,Budget!CT:CT)</f>
        <v>7400</v>
      </c>
      <c r="DM123" s="106">
        <f>+_xlfn.XLOOKUP($CT123,Budget!$A:$A,Budget!CU:CU)</f>
        <v>7400</v>
      </c>
      <c r="DN123" s="106">
        <f>+_xlfn.XLOOKUP($CT123,Budget!$A:$A,Budget!CV:CV)</f>
        <v>7400</v>
      </c>
      <c r="DO123" s="106">
        <f>+_xlfn.XLOOKUP($CT123,Budget!$A:$A,Budget!CW:CW)</f>
        <v>7400</v>
      </c>
      <c r="DP123" s="106">
        <f>+_xlfn.XLOOKUP($CT123,Budget!$A:$A,Budget!CX:CX)</f>
        <v>7400</v>
      </c>
      <c r="DQ123" s="106">
        <f>+_xlfn.XLOOKUP($CT123,Budget!$A:$A,Budget!CY:CY)</f>
        <v>7400</v>
      </c>
      <c r="DR123" s="106">
        <f>+_xlfn.XLOOKUP($CT123,Budget!$A:$A,Budget!CZ:CZ)</f>
        <v>7400</v>
      </c>
      <c r="DS123" s="106">
        <f>+_xlfn.XLOOKUP($CT123,Budget!$A:$A,Budget!DA:DA)</f>
        <v>7400</v>
      </c>
      <c r="DT123" s="106">
        <f>+_xlfn.XLOOKUP($CT123,Budget!$A:$A,Budget!DB:DB)</f>
        <v>7400</v>
      </c>
      <c r="DU123" s="106">
        <f t="shared" si="1406"/>
        <v>88800</v>
      </c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106">
        <f t="shared" si="1407"/>
        <v>0</v>
      </c>
      <c r="EJ123" s="16" t="str">
        <f t="shared" si="966"/>
        <v>Special Allowance - Staff</v>
      </c>
      <c r="EK123" s="22">
        <f>+VLOOKUP($BD123,'Jan-25'!$A:$J,10,0)</f>
        <v>18382</v>
      </c>
      <c r="EL123" s="22">
        <f>+VLOOKUP($BD123,'Feb-25'!$A:$J,10,0)</f>
        <v>18600</v>
      </c>
      <c r="EM123" s="22">
        <f>+VLOOKUP($BD123,'Mar-25'!$A:$J,10,0)</f>
        <v>18600</v>
      </c>
      <c r="EN123" s="22">
        <f>+VLOOKUP($BD123,'Apr-25'!$A:$J,10,0)</f>
        <v>18600</v>
      </c>
      <c r="EO123" s="22">
        <f>+VLOOKUP($BD123,'May-25'!$A:$J,10,0)</f>
        <v>16713</v>
      </c>
      <c r="EP123" s="22">
        <f>+VLOOKUP($BD123,'June-25'!$A:$J,10,0)</f>
        <v>12750</v>
      </c>
      <c r="EQ123" s="22">
        <f>+VLOOKUP($BD123,'July-25'!$A:$J,10,0)</f>
        <v>12750</v>
      </c>
      <c r="ER123" s="22">
        <f>+VLOOKUP($BD123,'Aug-25'!$A:$J,10,0)</f>
        <v>12750</v>
      </c>
      <c r="ES123" s="22">
        <f>+VLOOKUP($BD123,'Sep-25'!$A:$J,10,0)</f>
        <v>11967</v>
      </c>
      <c r="ET123" s="22">
        <f>+VLOOKUP($BD123,'Oct-25'!$A:$J,10,0)</f>
        <v>12532</v>
      </c>
      <c r="EU123" s="22">
        <f>+VLOOKUP($BD123,'Nov-25'!$A:$J,10,0)</f>
        <v>0</v>
      </c>
      <c r="EV123" s="22">
        <f>+VLOOKUP($BD123,'Dec-25'!$A:$J,10,0)</f>
        <v>0</v>
      </c>
      <c r="EW123" s="22">
        <f t="shared" si="1408"/>
        <v>153644</v>
      </c>
      <c r="EX123" s="118">
        <f t="shared" si="1226"/>
        <v>-0.35661290322580647</v>
      </c>
      <c r="EY123" s="106">
        <f>+_xlfn.XLOOKUP($EJ123,Budget!$A:$A,Budget!DR:DR)</f>
        <v>18600</v>
      </c>
      <c r="EZ123" s="106">
        <f>+_xlfn.XLOOKUP($EJ123,Budget!$A:$A,Budget!DS:DS)</f>
        <v>18600</v>
      </c>
      <c r="FA123" s="106">
        <f>+_xlfn.XLOOKUP($EJ123,Budget!$A:$A,Budget!DT:DT)</f>
        <v>18600</v>
      </c>
      <c r="FB123" s="106">
        <f>+_xlfn.XLOOKUP($EJ123,Budget!$A:$A,Budget!DU:DU)</f>
        <v>18600</v>
      </c>
      <c r="FC123" s="106">
        <f>+_xlfn.XLOOKUP($EJ123,Budget!$A:$A,Budget!DV:DV)</f>
        <v>18600</v>
      </c>
      <c r="FD123" s="106">
        <f>+_xlfn.XLOOKUP($EJ123,Budget!$A:$A,Budget!DW:DW)</f>
        <v>18600</v>
      </c>
      <c r="FE123" s="106">
        <f>+_xlfn.XLOOKUP($EJ123,Budget!$A:$A,Budget!DX:DX)</f>
        <v>18600</v>
      </c>
      <c r="FF123" s="106">
        <f>+_xlfn.XLOOKUP($EJ123,Budget!$A:$A,Budget!DY:DY)</f>
        <v>18600</v>
      </c>
      <c r="FG123" s="106">
        <f>+_xlfn.XLOOKUP($EJ123,Budget!$A:$A,Budget!DZ:DZ)</f>
        <v>18600</v>
      </c>
      <c r="FH123" s="106">
        <f>+_xlfn.XLOOKUP($EJ123,Budget!$A:$A,Budget!EA:EA)</f>
        <v>18600</v>
      </c>
      <c r="FI123" s="106">
        <f>+_xlfn.XLOOKUP($EJ123,Budget!$A:$A,Budget!EB:EB)</f>
        <v>18600</v>
      </c>
      <c r="FJ123" s="106">
        <f>+_xlfn.XLOOKUP($EJ123,Budget!$A:$A,Budget!EC:EC)</f>
        <v>18600</v>
      </c>
      <c r="FK123" s="106">
        <f t="shared" si="1409"/>
        <v>223200</v>
      </c>
    </row>
    <row r="124" spans="1:167" ht="14.45" hidden="1" customHeight="1" outlineLevel="2">
      <c r="A124" s="106">
        <f t="shared" si="1373"/>
        <v>25480.639999999999</v>
      </c>
      <c r="B124" s="106">
        <f t="shared" si="1373"/>
        <v>25837.56</v>
      </c>
      <c r="C124" s="106">
        <f t="shared" si="1373"/>
        <v>29930.159999999996</v>
      </c>
      <c r="D124" s="106">
        <f t="shared" si="1373"/>
        <v>27139.72</v>
      </c>
      <c r="E124" s="106">
        <f t="shared" si="1373"/>
        <v>27139.72</v>
      </c>
      <c r="F124" s="106">
        <f t="shared" si="1373"/>
        <v>27139.72</v>
      </c>
      <c r="G124" s="106">
        <f t="shared" si="1373"/>
        <v>27139.72</v>
      </c>
      <c r="H124" s="106">
        <f t="shared" si="1373"/>
        <v>27139.72</v>
      </c>
      <c r="I124" s="106">
        <f t="shared" si="1373"/>
        <v>27139.72</v>
      </c>
      <c r="J124" s="106">
        <f t="shared" si="1373"/>
        <v>27139.72</v>
      </c>
      <c r="K124" s="106">
        <f t="shared" si="1373"/>
        <v>27139.72</v>
      </c>
      <c r="L124" s="106">
        <f t="shared" si="1373"/>
        <v>3445.72</v>
      </c>
      <c r="M124" s="106">
        <f t="shared" si="1374"/>
        <v>301811.83999999997</v>
      </c>
      <c r="N124" s="16" t="s">
        <v>102</v>
      </c>
      <c r="O124" s="106">
        <f t="shared" si="1375"/>
        <v>36866</v>
      </c>
      <c r="P124" s="106">
        <f t="shared" si="1376"/>
        <v>35552</v>
      </c>
      <c r="Q124" s="106">
        <f t="shared" si="1377"/>
        <v>37274</v>
      </c>
      <c r="R124" s="106">
        <f t="shared" si="1378"/>
        <v>22580.190316666667</v>
      </c>
      <c r="S124" s="106">
        <f t="shared" si="1379"/>
        <v>22580.190316666667</v>
      </c>
      <c r="T124" s="106">
        <f t="shared" si="1380"/>
        <v>22580.190316666667</v>
      </c>
      <c r="U124" s="106">
        <f t="shared" si="1381"/>
        <v>22580.190316666667</v>
      </c>
      <c r="V124" s="106">
        <f t="shared" si="1382"/>
        <v>22580.190316666667</v>
      </c>
      <c r="W124" s="106">
        <f t="shared" si="1383"/>
        <v>22580.190316666667</v>
      </c>
      <c r="X124" s="106">
        <f t="shared" si="1384"/>
        <v>22580.190316666667</v>
      </c>
      <c r="Y124" s="106">
        <f t="shared" si="1385"/>
        <v>0</v>
      </c>
      <c r="Z124" s="106">
        <f t="shared" si="1386"/>
        <v>0</v>
      </c>
      <c r="AA124" s="106">
        <f t="shared" si="1387"/>
        <v>267753.33221666672</v>
      </c>
      <c r="AB124" s="118">
        <f t="shared" si="1223"/>
        <v>0</v>
      </c>
      <c r="AC124" s="106">
        <f t="shared" si="1388"/>
        <v>22580.190316666667</v>
      </c>
      <c r="AD124" s="106">
        <f t="shared" si="1389"/>
        <v>22580.190316666667</v>
      </c>
      <c r="AE124" s="106">
        <f t="shared" si="1390"/>
        <v>22580.190316666667</v>
      </c>
      <c r="AF124" s="106">
        <f t="shared" si="1391"/>
        <v>22580.190316666667</v>
      </c>
      <c r="AG124" s="106">
        <f t="shared" si="1392"/>
        <v>22580.190316666667</v>
      </c>
      <c r="AH124" s="106">
        <f t="shared" si="1393"/>
        <v>22580.190316666667</v>
      </c>
      <c r="AI124" s="106">
        <f t="shared" si="1394"/>
        <v>22580.190316666667</v>
      </c>
      <c r="AJ124" s="106">
        <f t="shared" si="1395"/>
        <v>22580.190316666667</v>
      </c>
      <c r="AK124" s="106">
        <f t="shared" si="1396"/>
        <v>22580.190316666667</v>
      </c>
      <c r="AL124" s="106">
        <f t="shared" si="1397"/>
        <v>22580.190316666667</v>
      </c>
      <c r="AM124" s="106">
        <f t="shared" si="1398"/>
        <v>22580.190316666667</v>
      </c>
      <c r="AN124" s="106">
        <f t="shared" si="1399"/>
        <v>22580.190316666667</v>
      </c>
      <c r="AO124" s="106">
        <f t="shared" si="1400"/>
        <v>270962.28380000003</v>
      </c>
      <c r="AQ124" s="106">
        <v>17099.759999999998</v>
      </c>
      <c r="AR124" s="106">
        <v>17517.04</v>
      </c>
      <c r="AS124" s="106">
        <v>20993.439999999999</v>
      </c>
      <c r="AT124" s="106">
        <v>18158.68</v>
      </c>
      <c r="AU124" s="106">
        <v>18158.68</v>
      </c>
      <c r="AV124" s="106">
        <v>18158.68</v>
      </c>
      <c r="AW124" s="106">
        <v>18158.68</v>
      </c>
      <c r="AX124" s="106">
        <v>18158.68</v>
      </c>
      <c r="AY124" s="106">
        <v>18158.68</v>
      </c>
      <c r="AZ124" s="106">
        <v>18158.68</v>
      </c>
      <c r="BA124" s="106">
        <v>18158.68</v>
      </c>
      <c r="BB124" s="106">
        <v>2559.08</v>
      </c>
      <c r="BC124" s="106">
        <f t="shared" si="1401"/>
        <v>203438.75999999995</v>
      </c>
      <c r="BD124" s="16" t="str">
        <f t="shared" si="900"/>
        <v>Provident Fund Contribution Company - Staff</v>
      </c>
      <c r="BE124" s="106">
        <f>+VLOOKUP($BD124,'Jan-25'!$A:$J,5,0)</f>
        <v>20824</v>
      </c>
      <c r="BF124" s="106">
        <f>+VLOOKUP($BD124,'Feb-25'!$A:$J,5,0)</f>
        <v>21258</v>
      </c>
      <c r="BG124" s="106">
        <f>+VLOOKUP($BD124,'Mar-25'!$A:$J,5,0)</f>
        <v>21838</v>
      </c>
      <c r="BH124" s="106">
        <f>+VLOOKUP($BD124,'Apr-25'!$A:$J,5,0)</f>
        <v>14646.494290277777</v>
      </c>
      <c r="BI124" s="106">
        <f>+VLOOKUP($BD124,'May-25'!$A:$J,5,0)</f>
        <v>14646.494290277777</v>
      </c>
      <c r="BJ124" s="106">
        <f>+VLOOKUP($BD124,'June-25'!$A:$J,5,0)</f>
        <v>14646.494290277777</v>
      </c>
      <c r="BK124" s="106">
        <f>+VLOOKUP($BD124,'July-25'!$A:$J,5,0)</f>
        <v>14646.494290277777</v>
      </c>
      <c r="BL124" s="106">
        <f>+VLOOKUP($BD124,'Aug-25'!$A:$J,5,0)</f>
        <v>14646.494290277777</v>
      </c>
      <c r="BM124" s="106">
        <f>+VLOOKUP($BD124,'Sep-25'!$A:$J,5,0)</f>
        <v>14646.494290277777</v>
      </c>
      <c r="BN124" s="106">
        <f>+VLOOKUP($BD124,'Oct-25'!$A:$J,5,0)</f>
        <v>14646.494290277777</v>
      </c>
      <c r="BO124" s="106">
        <f>+VLOOKUP($BD124,'Nov-25'!$A:$J,5,0)</f>
        <v>0</v>
      </c>
      <c r="BP124" s="106">
        <f>+VLOOKUP($BD124,'Dec-25'!$A:$J,5,0)</f>
        <v>0</v>
      </c>
      <c r="BQ124" s="106">
        <f t="shared" si="1402"/>
        <v>166445.46003194439</v>
      </c>
      <c r="BR124" s="118">
        <f t="shared" si="1224"/>
        <v>0</v>
      </c>
      <c r="BS124" s="106">
        <f>+_xlfn.XLOOKUP($BD124,Budget!$A:$A,Budget!BD:BD)</f>
        <v>14646.494290277777</v>
      </c>
      <c r="BT124" s="106">
        <f>+_xlfn.XLOOKUP($BD124,Budget!$A:$A,Budget!BE:BE)</f>
        <v>14646.494290277777</v>
      </c>
      <c r="BU124" s="106">
        <f>+_xlfn.XLOOKUP($BD124,Budget!$A:$A,Budget!BF:BF)</f>
        <v>14646.494290277777</v>
      </c>
      <c r="BV124" s="106">
        <f>+_xlfn.XLOOKUP($BD124,Budget!$A:$A,Budget!BG:BG)</f>
        <v>14646.494290277777</v>
      </c>
      <c r="BW124" s="106">
        <f>+_xlfn.XLOOKUP($BD124,Budget!$A:$A,Budget!BH:BH)</f>
        <v>14646.494290277777</v>
      </c>
      <c r="BX124" s="106">
        <f>+_xlfn.XLOOKUP($BD124,Budget!$A:$A,Budget!BI:BI)</f>
        <v>14646.494290277777</v>
      </c>
      <c r="BY124" s="106">
        <f>+_xlfn.XLOOKUP($BD124,Budget!$A:$A,Budget!BJ:BJ)</f>
        <v>14646.494290277777</v>
      </c>
      <c r="BZ124" s="106">
        <f>+_xlfn.XLOOKUP($BD124,Budget!$A:$A,Budget!BK:BK)</f>
        <v>14646.494290277777</v>
      </c>
      <c r="CA124" s="106">
        <f>+_xlfn.XLOOKUP($BD124,Budget!$A:$A,Budget!BL:BL)</f>
        <v>14646.494290277777</v>
      </c>
      <c r="CB124" s="106">
        <f>+_xlfn.XLOOKUP($BD124,Budget!$A:$A,Budget!BM:BM)</f>
        <v>14646.494290277777</v>
      </c>
      <c r="CC124" s="106">
        <f>+_xlfn.XLOOKUP($BD124,Budget!$A:$A,Budget!BN:BN)</f>
        <v>14646.494290277777</v>
      </c>
      <c r="CD124" s="106">
        <f>+_xlfn.XLOOKUP($BD124,Budget!$A:$A,Budget!BO:BO)</f>
        <v>14646.494290277777</v>
      </c>
      <c r="CE124" s="106">
        <f t="shared" si="1403"/>
        <v>175757.93148333326</v>
      </c>
      <c r="CF124" s="106"/>
      <c r="CG124" s="106">
        <v>8380.8799999999992</v>
      </c>
      <c r="CH124" s="106">
        <v>8320.52</v>
      </c>
      <c r="CI124" s="106">
        <v>8936.7199999999993</v>
      </c>
      <c r="CJ124" s="106">
        <v>8981.0400000000009</v>
      </c>
      <c r="CK124" s="106">
        <v>8981.0400000000009</v>
      </c>
      <c r="CL124" s="106">
        <v>8981.0400000000009</v>
      </c>
      <c r="CM124" s="106">
        <v>8981.0400000000009</v>
      </c>
      <c r="CN124" s="106">
        <v>8981.0400000000009</v>
      </c>
      <c r="CO124" s="106">
        <v>8981.0400000000009</v>
      </c>
      <c r="CP124" s="106">
        <v>8981.0400000000009</v>
      </c>
      <c r="CQ124" s="106">
        <v>8981.0400000000009</v>
      </c>
      <c r="CR124" s="106">
        <v>886.64</v>
      </c>
      <c r="CS124" s="106">
        <f t="shared" si="1404"/>
        <v>98373.080000000031</v>
      </c>
      <c r="CT124" s="16" t="str">
        <f t="shared" si="901"/>
        <v>Provident Fund Contribution Company - Staff</v>
      </c>
      <c r="CU124" s="106">
        <f>+VLOOKUP($BD124,'Jan-25'!$A:$J,8,0)</f>
        <v>8792</v>
      </c>
      <c r="CV124" s="106">
        <f>+VLOOKUP($BD124,'Feb-25'!$A:$J,8,0)</f>
        <v>8931</v>
      </c>
      <c r="CW124" s="106">
        <f>+VLOOKUP($BD124,'Mar-25'!$A:$J,8,0)</f>
        <v>8123</v>
      </c>
      <c r="CX124" s="106">
        <f>+VLOOKUP($BD124,'Apr-25'!$A:$J,8,0)</f>
        <v>2286.8210263888886</v>
      </c>
      <c r="CY124" s="106">
        <f>+VLOOKUP($BD124,'May-25'!$A:$J,8,0)</f>
        <v>2286.8210263888886</v>
      </c>
      <c r="CZ124" s="106">
        <f>+VLOOKUP($BD124,'June-25'!$A:$J,8,0)</f>
        <v>2286.8210263888886</v>
      </c>
      <c r="DA124" s="106">
        <f>+VLOOKUP($BD124,'July-25'!$A:$J,8,0)</f>
        <v>2286.8210263888886</v>
      </c>
      <c r="DB124" s="106">
        <f>+VLOOKUP($BD124,'Aug-25'!$A:$J,8,0)</f>
        <v>2286.8210263888886</v>
      </c>
      <c r="DC124" s="106">
        <f>+VLOOKUP($BD124,'Sep-25'!$A:$J,8,0)</f>
        <v>2286.8210263888886</v>
      </c>
      <c r="DD124" s="106">
        <f>+VLOOKUP($BD124,'Oct-25'!$A:$J,8,0)</f>
        <v>2286.8210263888886</v>
      </c>
      <c r="DE124" s="106">
        <f>+VLOOKUP($BD124,'Nov-25'!$A:$J,8,0)</f>
        <v>0</v>
      </c>
      <c r="DF124" s="106">
        <f>+VLOOKUP($BD124,'Dec-25'!$A:$J,8,0)</f>
        <v>0</v>
      </c>
      <c r="DG124" s="106">
        <f t="shared" si="1405"/>
        <v>41853.747184722233</v>
      </c>
      <c r="DH124" s="118">
        <f t="shared" si="1225"/>
        <v>0</v>
      </c>
      <c r="DI124" s="106">
        <f>+_xlfn.XLOOKUP($CT124,Budget!$A:$A,Budget!CQ:CQ)</f>
        <v>2286.8210263888886</v>
      </c>
      <c r="DJ124" s="106">
        <f>+_xlfn.XLOOKUP($CT124,Budget!$A:$A,Budget!CR:CR)</f>
        <v>2286.8210263888886</v>
      </c>
      <c r="DK124" s="106">
        <f>+_xlfn.XLOOKUP($CT124,Budget!$A:$A,Budget!CS:CS)</f>
        <v>2286.8210263888886</v>
      </c>
      <c r="DL124" s="106">
        <f>+_xlfn.XLOOKUP($CT124,Budget!$A:$A,Budget!CT:CT)</f>
        <v>2286.8210263888886</v>
      </c>
      <c r="DM124" s="106">
        <f>+_xlfn.XLOOKUP($CT124,Budget!$A:$A,Budget!CU:CU)</f>
        <v>2286.8210263888886</v>
      </c>
      <c r="DN124" s="106">
        <f>+_xlfn.XLOOKUP($CT124,Budget!$A:$A,Budget!CV:CV)</f>
        <v>2286.8210263888886</v>
      </c>
      <c r="DO124" s="106">
        <f>+_xlfn.XLOOKUP($CT124,Budget!$A:$A,Budget!CW:CW)</f>
        <v>2286.8210263888886</v>
      </c>
      <c r="DP124" s="106">
        <f>+_xlfn.XLOOKUP($CT124,Budget!$A:$A,Budget!CX:CX)</f>
        <v>2286.8210263888886</v>
      </c>
      <c r="DQ124" s="106">
        <f>+_xlfn.XLOOKUP($CT124,Budget!$A:$A,Budget!CY:CY)</f>
        <v>2286.8210263888886</v>
      </c>
      <c r="DR124" s="106">
        <f>+_xlfn.XLOOKUP($CT124,Budget!$A:$A,Budget!CZ:CZ)</f>
        <v>2286.8210263888886</v>
      </c>
      <c r="DS124" s="106">
        <f>+_xlfn.XLOOKUP($CT124,Budget!$A:$A,Budget!DA:DA)</f>
        <v>2286.8210263888886</v>
      </c>
      <c r="DT124" s="106">
        <f>+_xlfn.XLOOKUP($CT124,Budget!$A:$A,Budget!DB:DB)</f>
        <v>2286.8210263888886</v>
      </c>
      <c r="DU124" s="106">
        <f t="shared" si="1406"/>
        <v>27441.852316666671</v>
      </c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106">
        <f t="shared" si="1407"/>
        <v>0</v>
      </c>
      <c r="EJ124" s="16" t="str">
        <f t="shared" si="966"/>
        <v>Provident Fund Contribution Company - Staff</v>
      </c>
      <c r="EK124" s="22">
        <f>+VLOOKUP($BD124,'Jan-25'!$A:$J,10,0)</f>
        <v>7250</v>
      </c>
      <c r="EL124" s="22">
        <f>+VLOOKUP($BD124,'Feb-25'!$A:$J,10,0)</f>
        <v>5363</v>
      </c>
      <c r="EM124" s="22">
        <f>+VLOOKUP($BD124,'Mar-25'!$A:$J,10,0)</f>
        <v>7313</v>
      </c>
      <c r="EN124" s="22">
        <f>+VLOOKUP($BD124,'Apr-25'!$A:$J,10,0)</f>
        <v>5646.875</v>
      </c>
      <c r="EO124" s="22">
        <f>+VLOOKUP($BD124,'May-25'!$A:$J,10,0)</f>
        <v>5646.875</v>
      </c>
      <c r="EP124" s="22">
        <f>+VLOOKUP($BD124,'June-25'!$A:$J,10,0)</f>
        <v>5646.875</v>
      </c>
      <c r="EQ124" s="22">
        <f>+VLOOKUP($BD124,'July-25'!$A:$J,10,0)</f>
        <v>5646.875</v>
      </c>
      <c r="ER124" s="22">
        <f>+VLOOKUP($BD124,'Aug-25'!$A:$J,10,0)</f>
        <v>5646.875</v>
      </c>
      <c r="ES124" s="22">
        <f>+VLOOKUP($BD124,'Sep-25'!$A:$J,10,0)</f>
        <v>5646.875</v>
      </c>
      <c r="ET124" s="22">
        <f>+VLOOKUP($BD124,'Oct-25'!$A:$J,10,0)</f>
        <v>5646.875</v>
      </c>
      <c r="EU124" s="22">
        <f>+VLOOKUP($BD124,'Nov-25'!$A:$J,10,0)</f>
        <v>0</v>
      </c>
      <c r="EV124" s="22">
        <f>+VLOOKUP($BD124,'Dec-25'!$A:$J,10,0)</f>
        <v>0</v>
      </c>
      <c r="EW124" s="22">
        <f t="shared" si="1408"/>
        <v>59454.125</v>
      </c>
      <c r="EX124" s="118">
        <f t="shared" si="1226"/>
        <v>0</v>
      </c>
      <c r="EY124" s="106">
        <f>+_xlfn.XLOOKUP($EJ124,Budget!$A:$A,Budget!DR:DR)</f>
        <v>5646.875</v>
      </c>
      <c r="EZ124" s="106">
        <f>+_xlfn.XLOOKUP($EJ124,Budget!$A:$A,Budget!DS:DS)</f>
        <v>5646.875</v>
      </c>
      <c r="FA124" s="106">
        <f>+_xlfn.XLOOKUP($EJ124,Budget!$A:$A,Budget!DT:DT)</f>
        <v>5646.875</v>
      </c>
      <c r="FB124" s="106">
        <f>+_xlfn.XLOOKUP($EJ124,Budget!$A:$A,Budget!DU:DU)</f>
        <v>5646.875</v>
      </c>
      <c r="FC124" s="106">
        <f>+_xlfn.XLOOKUP($EJ124,Budget!$A:$A,Budget!DV:DV)</f>
        <v>5646.875</v>
      </c>
      <c r="FD124" s="106">
        <f>+_xlfn.XLOOKUP($EJ124,Budget!$A:$A,Budget!DW:DW)</f>
        <v>5646.875</v>
      </c>
      <c r="FE124" s="106">
        <f>+_xlfn.XLOOKUP($EJ124,Budget!$A:$A,Budget!DX:DX)</f>
        <v>5646.875</v>
      </c>
      <c r="FF124" s="106">
        <f>+_xlfn.XLOOKUP($EJ124,Budget!$A:$A,Budget!DY:DY)</f>
        <v>5646.875</v>
      </c>
      <c r="FG124" s="106">
        <f>+_xlfn.XLOOKUP($EJ124,Budget!$A:$A,Budget!DZ:DZ)</f>
        <v>5646.875</v>
      </c>
      <c r="FH124" s="106">
        <f>+_xlfn.XLOOKUP($EJ124,Budget!$A:$A,Budget!EA:EA)</f>
        <v>5646.875</v>
      </c>
      <c r="FI124" s="106">
        <f>+_xlfn.XLOOKUP($EJ124,Budget!$A:$A,Budget!EB:EB)</f>
        <v>5646.875</v>
      </c>
      <c r="FJ124" s="106">
        <f>+_xlfn.XLOOKUP($EJ124,Budget!$A:$A,Budget!EC:EC)</f>
        <v>5646.875</v>
      </c>
      <c r="FK124" s="106">
        <f t="shared" si="1409"/>
        <v>67762.5</v>
      </c>
    </row>
    <row r="125" spans="1:167" ht="14.45" hidden="1" customHeight="1" outlineLevel="2">
      <c r="A125" s="106">
        <f t="shared" si="1373"/>
        <v>2536.6000000000004</v>
      </c>
      <c r="B125" s="106">
        <f t="shared" si="1373"/>
        <v>2536.6000000000004</v>
      </c>
      <c r="C125" s="106">
        <f t="shared" si="1373"/>
        <v>3283.44</v>
      </c>
      <c r="D125" s="106">
        <f t="shared" si="1373"/>
        <v>3283.44</v>
      </c>
      <c r="E125" s="106">
        <f t="shared" si="1373"/>
        <v>3445.72</v>
      </c>
      <c r="F125" s="106">
        <f t="shared" si="1373"/>
        <v>3445.72</v>
      </c>
      <c r="G125" s="106">
        <f t="shared" si="1373"/>
        <v>3445.72</v>
      </c>
      <c r="H125" s="106">
        <f t="shared" si="1373"/>
        <v>3445.72</v>
      </c>
      <c r="I125" s="106">
        <f t="shared" si="1373"/>
        <v>3445.72</v>
      </c>
      <c r="J125" s="106">
        <f t="shared" si="1373"/>
        <v>3445.72</v>
      </c>
      <c r="K125" s="106">
        <f t="shared" si="1373"/>
        <v>3445.72</v>
      </c>
      <c r="L125" s="106">
        <f t="shared" si="1373"/>
        <v>48000</v>
      </c>
      <c r="M125" s="106">
        <f t="shared" si="1374"/>
        <v>83760.12</v>
      </c>
      <c r="N125" s="16" t="s">
        <v>103</v>
      </c>
      <c r="O125" s="106">
        <f t="shared" si="1375"/>
        <v>1850.6</v>
      </c>
      <c r="P125" s="106">
        <f t="shared" si="1376"/>
        <v>1549.2</v>
      </c>
      <c r="Q125" s="106">
        <f t="shared" si="1377"/>
        <v>1657.2</v>
      </c>
      <c r="R125" s="106">
        <f t="shared" si="1378"/>
        <v>1866.75</v>
      </c>
      <c r="S125" s="106">
        <f t="shared" si="1379"/>
        <v>1866.75</v>
      </c>
      <c r="T125" s="106">
        <f t="shared" si="1380"/>
        <v>1866.75</v>
      </c>
      <c r="U125" s="106">
        <f t="shared" si="1381"/>
        <v>1866.75</v>
      </c>
      <c r="V125" s="106">
        <f t="shared" si="1382"/>
        <v>1866.75</v>
      </c>
      <c r="W125" s="106">
        <f t="shared" si="1383"/>
        <v>1866.75</v>
      </c>
      <c r="X125" s="106">
        <f t="shared" si="1384"/>
        <v>1866.75</v>
      </c>
      <c r="Y125" s="106">
        <f t="shared" si="1385"/>
        <v>0</v>
      </c>
      <c r="Z125" s="106">
        <f t="shared" si="1386"/>
        <v>0</v>
      </c>
      <c r="AA125" s="106">
        <f t="shared" si="1387"/>
        <v>18124.25</v>
      </c>
      <c r="AB125" s="118">
        <f t="shared" si="1223"/>
        <v>0</v>
      </c>
      <c r="AC125" s="106">
        <f t="shared" si="1388"/>
        <v>1866.75</v>
      </c>
      <c r="AD125" s="106">
        <f t="shared" si="1389"/>
        <v>1866.75</v>
      </c>
      <c r="AE125" s="106">
        <f t="shared" si="1390"/>
        <v>1866.75</v>
      </c>
      <c r="AF125" s="106">
        <f t="shared" si="1391"/>
        <v>1866.75</v>
      </c>
      <c r="AG125" s="106">
        <f t="shared" si="1392"/>
        <v>1866.75</v>
      </c>
      <c r="AH125" s="106">
        <f t="shared" si="1393"/>
        <v>1866.75</v>
      </c>
      <c r="AI125" s="106">
        <f t="shared" si="1394"/>
        <v>1866.75</v>
      </c>
      <c r="AJ125" s="106">
        <f t="shared" si="1395"/>
        <v>1866.75</v>
      </c>
      <c r="AK125" s="106">
        <f t="shared" si="1396"/>
        <v>1866.75</v>
      </c>
      <c r="AL125" s="106">
        <f t="shared" si="1397"/>
        <v>1866.75</v>
      </c>
      <c r="AM125" s="106">
        <f t="shared" si="1398"/>
        <v>1866.75</v>
      </c>
      <c r="AN125" s="106">
        <f t="shared" si="1399"/>
        <v>1866.75</v>
      </c>
      <c r="AO125" s="106">
        <f t="shared" si="1400"/>
        <v>22401</v>
      </c>
      <c r="AQ125" s="106">
        <v>1708.4</v>
      </c>
      <c r="AR125" s="106">
        <v>1708.4</v>
      </c>
      <c r="AS125" s="106">
        <v>2403.36</v>
      </c>
      <c r="AT125" s="106">
        <v>2403.36</v>
      </c>
      <c r="AU125" s="106">
        <v>2559.08</v>
      </c>
      <c r="AV125" s="106">
        <v>2559.08</v>
      </c>
      <c r="AW125" s="106">
        <v>2559.08</v>
      </c>
      <c r="AX125" s="106">
        <v>2559.08</v>
      </c>
      <c r="AY125" s="106">
        <v>2559.08</v>
      </c>
      <c r="AZ125" s="106">
        <v>2559.08</v>
      </c>
      <c r="BA125" s="106">
        <v>2559.08</v>
      </c>
      <c r="BB125" s="106">
        <v>28800</v>
      </c>
      <c r="BC125" s="106">
        <f t="shared" si="1401"/>
        <v>54937.08</v>
      </c>
      <c r="BD125" s="16" t="str">
        <f t="shared" si="900"/>
        <v>Employer Insurance Contributions - Staff</v>
      </c>
      <c r="BE125" s="106">
        <f>+VLOOKUP($BD125,'Jan-25'!$A:$J,5,0)</f>
        <v>1693.6</v>
      </c>
      <c r="BF125" s="106">
        <f>+VLOOKUP($BD125,'Feb-25'!$A:$J,5,0)</f>
        <v>1549.2</v>
      </c>
      <c r="BG125" s="106">
        <f>+VLOOKUP($BD125,'Mar-25'!$A:$J,5,0)</f>
        <v>1262.2</v>
      </c>
      <c r="BH125" s="106">
        <f>+VLOOKUP($BD125,'Apr-25'!$A:$J,5,0)</f>
        <v>1866.75</v>
      </c>
      <c r="BI125" s="106">
        <f>+VLOOKUP($BD125,'May-25'!$A:$J,5,0)</f>
        <v>1866.75</v>
      </c>
      <c r="BJ125" s="106">
        <f>+VLOOKUP($BD125,'June-25'!$A:$J,5,0)</f>
        <v>1866.75</v>
      </c>
      <c r="BK125" s="106">
        <f>+VLOOKUP($BD125,'July-25'!$A:$J,5,0)</f>
        <v>1866.75</v>
      </c>
      <c r="BL125" s="106">
        <f>+VLOOKUP($BD125,'Aug-25'!$A:$J,5,0)</f>
        <v>1866.75</v>
      </c>
      <c r="BM125" s="106">
        <f>+VLOOKUP($BD125,'Sep-25'!$A:$J,5,0)</f>
        <v>1866.75</v>
      </c>
      <c r="BN125" s="106">
        <f>+VLOOKUP($BD125,'Oct-25'!$A:$J,5,0)</f>
        <v>1866.75</v>
      </c>
      <c r="BO125" s="106">
        <f>+VLOOKUP($BD125,'Nov-25'!$A:$J,5,0)</f>
        <v>0</v>
      </c>
      <c r="BP125" s="106">
        <f>+VLOOKUP($BD125,'Dec-25'!$A:$J,5,0)</f>
        <v>0</v>
      </c>
      <c r="BQ125" s="106">
        <f t="shared" si="1402"/>
        <v>17572.25</v>
      </c>
      <c r="BR125" s="118">
        <f t="shared" si="1224"/>
        <v>0</v>
      </c>
      <c r="BS125" s="106">
        <f>+_xlfn.XLOOKUP($BD125,Budget!$A:$A,Budget!BD:BD)</f>
        <v>1866.75</v>
      </c>
      <c r="BT125" s="106">
        <f>+_xlfn.XLOOKUP($BD125,Budget!$A:$A,Budget!BE:BE)</f>
        <v>1866.75</v>
      </c>
      <c r="BU125" s="106">
        <f>+_xlfn.XLOOKUP($BD125,Budget!$A:$A,Budget!BF:BF)</f>
        <v>1866.75</v>
      </c>
      <c r="BV125" s="106">
        <f>+_xlfn.XLOOKUP($BD125,Budget!$A:$A,Budget!BG:BG)</f>
        <v>1866.75</v>
      </c>
      <c r="BW125" s="106">
        <f>+_xlfn.XLOOKUP($BD125,Budget!$A:$A,Budget!BH:BH)</f>
        <v>1866.75</v>
      </c>
      <c r="BX125" s="106">
        <f>+_xlfn.XLOOKUP($BD125,Budget!$A:$A,Budget!BI:BI)</f>
        <v>1866.75</v>
      </c>
      <c r="BY125" s="106">
        <f>+_xlfn.XLOOKUP($BD125,Budget!$A:$A,Budget!BJ:BJ)</f>
        <v>1866.75</v>
      </c>
      <c r="BZ125" s="106">
        <f>+_xlfn.XLOOKUP($BD125,Budget!$A:$A,Budget!BK:BK)</f>
        <v>1866.75</v>
      </c>
      <c r="CA125" s="106">
        <f>+_xlfn.XLOOKUP($BD125,Budget!$A:$A,Budget!BL:BL)</f>
        <v>1866.75</v>
      </c>
      <c r="CB125" s="106">
        <f>+_xlfn.XLOOKUP($BD125,Budget!$A:$A,Budget!BM:BM)</f>
        <v>1866.75</v>
      </c>
      <c r="CC125" s="106">
        <f>+_xlfn.XLOOKUP($BD125,Budget!$A:$A,Budget!BN:BN)</f>
        <v>1866.75</v>
      </c>
      <c r="CD125" s="106">
        <f>+_xlfn.XLOOKUP($BD125,Budget!$A:$A,Budget!BO:BO)</f>
        <v>1866.75</v>
      </c>
      <c r="CE125" s="106">
        <f t="shared" si="1403"/>
        <v>22401</v>
      </c>
      <c r="CF125" s="106"/>
      <c r="CG125" s="106">
        <v>828.2</v>
      </c>
      <c r="CH125" s="106">
        <v>828.2</v>
      </c>
      <c r="CI125" s="106">
        <v>880.08</v>
      </c>
      <c r="CJ125" s="106">
        <v>880.08</v>
      </c>
      <c r="CK125" s="106">
        <v>886.64</v>
      </c>
      <c r="CL125" s="106">
        <v>886.64</v>
      </c>
      <c r="CM125" s="106">
        <v>886.64</v>
      </c>
      <c r="CN125" s="106">
        <v>886.64</v>
      </c>
      <c r="CO125" s="106">
        <v>886.64</v>
      </c>
      <c r="CP125" s="106">
        <v>886.64</v>
      </c>
      <c r="CQ125" s="106">
        <v>886.64</v>
      </c>
      <c r="CR125" s="106">
        <v>19200</v>
      </c>
      <c r="CS125" s="106">
        <f t="shared" si="1404"/>
        <v>28823.040000000001</v>
      </c>
      <c r="CT125" s="16" t="str">
        <f t="shared" si="901"/>
        <v>Employer Insurance Contributions - Staff</v>
      </c>
      <c r="CU125" s="106">
        <f>+VLOOKUP($BD125,'Jan-25'!$A:$J,8,0)</f>
        <v>157</v>
      </c>
      <c r="CV125" s="106">
        <f>+VLOOKUP($BD125,'Feb-25'!$A:$J,8,0)</f>
        <v>0</v>
      </c>
      <c r="CW125" s="106">
        <f>+VLOOKUP($BD125,'Mar-25'!$A:$J,8,0)</f>
        <v>395</v>
      </c>
      <c r="CX125" s="106">
        <f>+VLOOKUP($BD125,'Apr-25'!$A:$J,8,0)</f>
        <v>0</v>
      </c>
      <c r="CY125" s="106">
        <f>+VLOOKUP($BD125,'May-25'!$A:$J,8,0)</f>
        <v>0</v>
      </c>
      <c r="CZ125" s="106">
        <f>+VLOOKUP($BD125,'June-25'!$A:$J,8,0)</f>
        <v>0</v>
      </c>
      <c r="DA125" s="106">
        <f>+VLOOKUP($BD125,'July-25'!$A:$J,8,0)</f>
        <v>0</v>
      </c>
      <c r="DB125" s="106">
        <f>+VLOOKUP($BD125,'Aug-25'!$A:$J,8,0)</f>
        <v>0</v>
      </c>
      <c r="DC125" s="106">
        <f>+VLOOKUP($BD125,'Sep-25'!$A:$J,8,0)</f>
        <v>0</v>
      </c>
      <c r="DD125" s="106">
        <f>+VLOOKUP($BD125,'Oct-25'!$A:$J,8,0)</f>
        <v>0</v>
      </c>
      <c r="DE125" s="106">
        <f>+VLOOKUP($BD125,'Nov-25'!$A:$J,8,0)</f>
        <v>0</v>
      </c>
      <c r="DF125" s="106">
        <f>+VLOOKUP($BD125,'Dec-25'!$A:$J,8,0)</f>
        <v>0</v>
      </c>
      <c r="DG125" s="106">
        <f t="shared" si="1405"/>
        <v>552</v>
      </c>
      <c r="DH125" s="118">
        <f t="shared" si="1225"/>
        <v>0</v>
      </c>
      <c r="DI125" s="106">
        <f>+_xlfn.XLOOKUP($CT125,Budget!$A:$A,Budget!CQ:CQ)</f>
        <v>0</v>
      </c>
      <c r="DJ125" s="106">
        <f>+_xlfn.XLOOKUP($CT125,Budget!$A:$A,Budget!CR:CR)</f>
        <v>0</v>
      </c>
      <c r="DK125" s="106">
        <f>+_xlfn.XLOOKUP($CT125,Budget!$A:$A,Budget!CS:CS)</f>
        <v>0</v>
      </c>
      <c r="DL125" s="106">
        <f>+_xlfn.XLOOKUP($CT125,Budget!$A:$A,Budget!CT:CT)</f>
        <v>0</v>
      </c>
      <c r="DM125" s="106">
        <f>+_xlfn.XLOOKUP($CT125,Budget!$A:$A,Budget!CU:CU)</f>
        <v>0</v>
      </c>
      <c r="DN125" s="106">
        <f>+_xlfn.XLOOKUP($CT125,Budget!$A:$A,Budget!CV:CV)</f>
        <v>0</v>
      </c>
      <c r="DO125" s="106">
        <f>+_xlfn.XLOOKUP($CT125,Budget!$A:$A,Budget!CW:CW)</f>
        <v>0</v>
      </c>
      <c r="DP125" s="106">
        <f>+_xlfn.XLOOKUP($CT125,Budget!$A:$A,Budget!CX:CX)</f>
        <v>0</v>
      </c>
      <c r="DQ125" s="106">
        <f>+_xlfn.XLOOKUP($CT125,Budget!$A:$A,Budget!CY:CY)</f>
        <v>0</v>
      </c>
      <c r="DR125" s="106">
        <f>+_xlfn.XLOOKUP($CT125,Budget!$A:$A,Budget!CZ:CZ)</f>
        <v>0</v>
      </c>
      <c r="DS125" s="106">
        <f>+_xlfn.XLOOKUP($CT125,Budget!$A:$A,Budget!DA:DA)</f>
        <v>0</v>
      </c>
      <c r="DT125" s="106">
        <f>+_xlfn.XLOOKUP($CT125,Budget!$A:$A,Budget!DB:DB)</f>
        <v>0</v>
      </c>
      <c r="DU125" s="106">
        <f t="shared" si="1406"/>
        <v>0</v>
      </c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106">
        <f t="shared" si="1407"/>
        <v>0</v>
      </c>
      <c r="EJ125" s="16" t="str">
        <f t="shared" si="966"/>
        <v>Employer Insurance Contributions - Staff</v>
      </c>
      <c r="EK125" s="22">
        <f>+VLOOKUP($BD125,'Jan-25'!$A:$J,10,0)</f>
        <v>0</v>
      </c>
      <c r="EL125" s="22">
        <f>+VLOOKUP($BD125,'Feb-25'!$A:$J,10,0)</f>
        <v>0</v>
      </c>
      <c r="EM125" s="22">
        <f>+VLOOKUP($BD125,'Mar-25'!$A:$J,10,0)</f>
        <v>0</v>
      </c>
      <c r="EN125" s="22">
        <f>+VLOOKUP($BD125,'Apr-25'!$A:$J,10,0)</f>
        <v>0</v>
      </c>
      <c r="EO125" s="22">
        <f>+VLOOKUP($BD125,'May-25'!$A:$J,10,0)</f>
        <v>0</v>
      </c>
      <c r="EP125" s="22">
        <f>+VLOOKUP($BD125,'June-25'!$A:$J,10,0)</f>
        <v>0</v>
      </c>
      <c r="EQ125" s="22">
        <f>+VLOOKUP($BD125,'July-25'!$A:$J,10,0)</f>
        <v>0</v>
      </c>
      <c r="ER125" s="22">
        <f>+VLOOKUP($BD125,'Aug-25'!$A:$J,10,0)</f>
        <v>0</v>
      </c>
      <c r="ES125" s="22">
        <f>+VLOOKUP($BD125,'Sep-25'!$A:$J,10,0)</f>
        <v>0</v>
      </c>
      <c r="ET125" s="22">
        <f>+VLOOKUP($BD125,'Oct-25'!$A:$J,10,0)</f>
        <v>0</v>
      </c>
      <c r="EU125" s="22">
        <f>+VLOOKUP($BD125,'Nov-25'!$A:$J,10,0)</f>
        <v>0</v>
      </c>
      <c r="EV125" s="22">
        <f>+VLOOKUP($BD125,'Dec-25'!$A:$J,10,0)</f>
        <v>0</v>
      </c>
      <c r="EW125" s="22">
        <f t="shared" si="1408"/>
        <v>0</v>
      </c>
      <c r="EX125" s="118" t="e">
        <f t="shared" si="1226"/>
        <v>#DIV/0!</v>
      </c>
      <c r="EY125" s="106">
        <f>+_xlfn.XLOOKUP($EJ125,Budget!$A:$A,Budget!DR:DR)</f>
        <v>0</v>
      </c>
      <c r="EZ125" s="106">
        <f>+_xlfn.XLOOKUP($EJ125,Budget!$A:$A,Budget!DS:DS)</f>
        <v>0</v>
      </c>
      <c r="FA125" s="106">
        <f>+_xlfn.XLOOKUP($EJ125,Budget!$A:$A,Budget!DT:DT)</f>
        <v>0</v>
      </c>
      <c r="FB125" s="106">
        <f>+_xlfn.XLOOKUP($EJ125,Budget!$A:$A,Budget!DU:DU)</f>
        <v>0</v>
      </c>
      <c r="FC125" s="106">
        <f>+_xlfn.XLOOKUP($EJ125,Budget!$A:$A,Budget!DV:DV)</f>
        <v>0</v>
      </c>
      <c r="FD125" s="106">
        <f>+_xlfn.XLOOKUP($EJ125,Budget!$A:$A,Budget!DW:DW)</f>
        <v>0</v>
      </c>
      <c r="FE125" s="106">
        <f>+_xlfn.XLOOKUP($EJ125,Budget!$A:$A,Budget!DX:DX)</f>
        <v>0</v>
      </c>
      <c r="FF125" s="106">
        <f>+_xlfn.XLOOKUP($EJ125,Budget!$A:$A,Budget!DY:DY)</f>
        <v>0</v>
      </c>
      <c r="FG125" s="106">
        <f>+_xlfn.XLOOKUP($EJ125,Budget!$A:$A,Budget!DZ:DZ)</f>
        <v>0</v>
      </c>
      <c r="FH125" s="106">
        <f>+_xlfn.XLOOKUP($EJ125,Budget!$A:$A,Budget!EA:EA)</f>
        <v>0</v>
      </c>
      <c r="FI125" s="106">
        <f>+_xlfn.XLOOKUP($EJ125,Budget!$A:$A,Budget!EB:EB)</f>
        <v>0</v>
      </c>
      <c r="FJ125" s="106">
        <f>+_xlfn.XLOOKUP($EJ125,Budget!$A:$A,Budget!EC:EC)</f>
        <v>0</v>
      </c>
      <c r="FK125" s="106">
        <f t="shared" si="1409"/>
        <v>0</v>
      </c>
    </row>
    <row r="126" spans="1:167" ht="14.45" hidden="1" customHeight="1" outlineLevel="2">
      <c r="A126" s="106">
        <f t="shared" si="1373"/>
        <v>92998.8</v>
      </c>
      <c r="B126" s="106">
        <f t="shared" si="1373"/>
        <v>92998.8</v>
      </c>
      <c r="C126" s="106">
        <f t="shared" si="1373"/>
        <v>92640</v>
      </c>
      <c r="D126" s="106">
        <f t="shared" si="1373"/>
        <v>92730</v>
      </c>
      <c r="E126" s="106">
        <f t="shared" si="1373"/>
        <v>44730</v>
      </c>
      <c r="F126" s="106">
        <f t="shared" si="1373"/>
        <v>92730</v>
      </c>
      <c r="G126" s="106">
        <f t="shared" si="1373"/>
        <v>92730</v>
      </c>
      <c r="H126" s="106">
        <f t="shared" si="1373"/>
        <v>92730</v>
      </c>
      <c r="I126" s="106">
        <f t="shared" si="1373"/>
        <v>92730</v>
      </c>
      <c r="J126" s="106">
        <f t="shared" si="1373"/>
        <v>92730</v>
      </c>
      <c r="K126" s="106">
        <f t="shared" si="1373"/>
        <v>92730</v>
      </c>
      <c r="L126" s="106">
        <f t="shared" si="1373"/>
        <v>129928.40000000001</v>
      </c>
      <c r="M126" s="106">
        <f t="shared" si="1374"/>
        <v>1102406</v>
      </c>
      <c r="N126" s="16" t="s">
        <v>104</v>
      </c>
      <c r="O126" s="106">
        <f t="shared" si="1375"/>
        <v>97470</v>
      </c>
      <c r="P126" s="106">
        <f t="shared" si="1376"/>
        <v>97470</v>
      </c>
      <c r="Q126" s="106">
        <f t="shared" si="1377"/>
        <v>97470</v>
      </c>
      <c r="R126" s="106">
        <f t="shared" si="1378"/>
        <v>97470</v>
      </c>
      <c r="S126" s="106">
        <f t="shared" si="1379"/>
        <v>87390</v>
      </c>
      <c r="T126" s="106">
        <f t="shared" si="1380"/>
        <v>111920.90400000001</v>
      </c>
      <c r="U126" s="106">
        <f t="shared" si="1381"/>
        <v>160520.90400000001</v>
      </c>
      <c r="V126" s="106">
        <f t="shared" si="1382"/>
        <v>136220.90400000001</v>
      </c>
      <c r="W126" s="106">
        <f t="shared" si="1383"/>
        <v>160880.40000000002</v>
      </c>
      <c r="X126" s="106">
        <f t="shared" si="1384"/>
        <v>100107.90000000001</v>
      </c>
      <c r="Y126" s="106">
        <f t="shared" si="1385"/>
        <v>0</v>
      </c>
      <c r="Z126" s="106">
        <f t="shared" si="1386"/>
        <v>0</v>
      </c>
      <c r="AA126" s="106">
        <f t="shared" si="1387"/>
        <v>1146921.0119999999</v>
      </c>
      <c r="AB126" s="118">
        <f t="shared" si="1223"/>
        <v>2.7063711911357431E-2</v>
      </c>
      <c r="AC126" s="106">
        <f t="shared" si="1388"/>
        <v>97470</v>
      </c>
      <c r="AD126" s="106">
        <f t="shared" si="1389"/>
        <v>97470</v>
      </c>
      <c r="AE126" s="106">
        <f t="shared" si="1390"/>
        <v>97470</v>
      </c>
      <c r="AF126" s="106">
        <f t="shared" si="1391"/>
        <v>97470</v>
      </c>
      <c r="AG126" s="106">
        <f t="shared" si="1392"/>
        <v>97470</v>
      </c>
      <c r="AH126" s="106">
        <f t="shared" si="1393"/>
        <v>97470</v>
      </c>
      <c r="AI126" s="106">
        <f t="shared" si="1394"/>
        <v>97470</v>
      </c>
      <c r="AJ126" s="106">
        <f t="shared" si="1395"/>
        <v>97470</v>
      </c>
      <c r="AK126" s="106">
        <f t="shared" si="1396"/>
        <v>97470</v>
      </c>
      <c r="AL126" s="106">
        <f t="shared" si="1397"/>
        <v>97470</v>
      </c>
      <c r="AM126" s="106">
        <f t="shared" si="1398"/>
        <v>97470</v>
      </c>
      <c r="AN126" s="106">
        <f t="shared" si="1399"/>
        <v>97470</v>
      </c>
      <c r="AO126" s="106">
        <f t="shared" si="1400"/>
        <v>1169640</v>
      </c>
      <c r="AQ126" s="106">
        <v>77956.800000000003</v>
      </c>
      <c r="AR126" s="106">
        <v>77956.800000000003</v>
      </c>
      <c r="AS126" s="106">
        <v>77760</v>
      </c>
      <c r="AT126" s="106">
        <v>77820</v>
      </c>
      <c r="AU126" s="106">
        <v>29820</v>
      </c>
      <c r="AV126" s="106">
        <v>58620</v>
      </c>
      <c r="AW126" s="106">
        <v>58620</v>
      </c>
      <c r="AX126" s="106">
        <v>58620</v>
      </c>
      <c r="AY126" s="106">
        <v>58620</v>
      </c>
      <c r="AZ126" s="106">
        <v>58620</v>
      </c>
      <c r="BA126" s="106">
        <v>58620</v>
      </c>
      <c r="BB126" s="106">
        <v>115018.40000000001</v>
      </c>
      <c r="BC126" s="106">
        <f t="shared" si="1401"/>
        <v>808052</v>
      </c>
      <c r="BD126" s="16" t="str">
        <f t="shared" ref="BD126:BD189" si="1410">N126</f>
        <v>Salary - Consultancy Service</v>
      </c>
      <c r="BE126" s="106">
        <f>+VLOOKUP($BD126,'Jan-25'!$A:$J,5,0)</f>
        <v>81780</v>
      </c>
      <c r="BF126" s="106">
        <f>+VLOOKUP($BD126,'Feb-25'!$A:$J,5,0)</f>
        <v>81780</v>
      </c>
      <c r="BG126" s="106">
        <f>+VLOOKUP($BD126,'Mar-25'!$A:$J,5,0)</f>
        <v>81780</v>
      </c>
      <c r="BH126" s="106">
        <f>+VLOOKUP($BD126,'Apr-25'!$A:$J,5,0)</f>
        <v>81780</v>
      </c>
      <c r="BI126" s="106">
        <f>+VLOOKUP($BD126,'May-25'!$A:$J,5,0)</f>
        <v>61620</v>
      </c>
      <c r="BJ126" s="106">
        <f>+VLOOKUP($BD126,'June-25'!$A:$J,5,0)</f>
        <v>71253.936000000002</v>
      </c>
      <c r="BK126" s="106">
        <f>+VLOOKUP($BD126,'July-25'!$A:$J,5,0)</f>
        <v>98613.936000000002</v>
      </c>
      <c r="BL126" s="106">
        <f>+VLOOKUP($BD126,'Aug-25'!$A:$J,5,0)</f>
        <v>82413.936000000002</v>
      </c>
      <c r="BM126" s="106">
        <f>+VLOOKUP($BD126,'Sep-25'!$A:$J,5,0)</f>
        <v>98853.6</v>
      </c>
      <c r="BN126" s="106">
        <f>+VLOOKUP($BD126,'Oct-25'!$A:$J,5,0)</f>
        <v>66738.600000000006</v>
      </c>
      <c r="BO126" s="106">
        <f>+VLOOKUP($BD126,'Nov-25'!$A:$J,5,0)</f>
        <v>0</v>
      </c>
      <c r="BP126" s="106">
        <f>+VLOOKUP($BD126,'Dec-25'!$A:$J,5,0)</f>
        <v>0</v>
      </c>
      <c r="BQ126" s="106">
        <f t="shared" si="1402"/>
        <v>806614.00799999991</v>
      </c>
      <c r="BR126" s="118">
        <f t="shared" si="1224"/>
        <v>-0.18392516507703588</v>
      </c>
      <c r="BS126" s="106">
        <f>+_xlfn.XLOOKUP($BD126,Budget!$A:$A,Budget!BD:BD)</f>
        <v>81780</v>
      </c>
      <c r="BT126" s="106">
        <f>+_xlfn.XLOOKUP($BD126,Budget!$A:$A,Budget!BE:BE)</f>
        <v>81780</v>
      </c>
      <c r="BU126" s="106">
        <f>+_xlfn.XLOOKUP($BD126,Budget!$A:$A,Budget!BF:BF)</f>
        <v>81780</v>
      </c>
      <c r="BV126" s="106">
        <f>+_xlfn.XLOOKUP($BD126,Budget!$A:$A,Budget!BG:BG)</f>
        <v>81780</v>
      </c>
      <c r="BW126" s="106">
        <f>+_xlfn.XLOOKUP($BD126,Budget!$A:$A,Budget!BH:BH)</f>
        <v>81780</v>
      </c>
      <c r="BX126" s="106">
        <f>+_xlfn.XLOOKUP($BD126,Budget!$A:$A,Budget!BI:BI)</f>
        <v>81780</v>
      </c>
      <c r="BY126" s="106">
        <f>+_xlfn.XLOOKUP($BD126,Budget!$A:$A,Budget!BJ:BJ)</f>
        <v>81780</v>
      </c>
      <c r="BZ126" s="106">
        <f>+_xlfn.XLOOKUP($BD126,Budget!$A:$A,Budget!BK:BK)</f>
        <v>81780</v>
      </c>
      <c r="CA126" s="106">
        <f>+_xlfn.XLOOKUP($BD126,Budget!$A:$A,Budget!BL:BL)</f>
        <v>81780</v>
      </c>
      <c r="CB126" s="106">
        <f>+_xlfn.XLOOKUP($BD126,Budget!$A:$A,Budget!BM:BM)</f>
        <v>81780</v>
      </c>
      <c r="CC126" s="106">
        <f>+_xlfn.XLOOKUP($BD126,Budget!$A:$A,Budget!BN:BN)</f>
        <v>81780</v>
      </c>
      <c r="CD126" s="106">
        <f>+_xlfn.XLOOKUP($BD126,Budget!$A:$A,Budget!BO:BO)</f>
        <v>81780</v>
      </c>
      <c r="CE126" s="106">
        <f t="shared" si="1403"/>
        <v>981360</v>
      </c>
      <c r="CF126" s="106"/>
      <c r="CG126" s="106">
        <v>15042.000000000002</v>
      </c>
      <c r="CH126" s="106">
        <v>15042.000000000002</v>
      </c>
      <c r="CI126" s="106">
        <v>14880</v>
      </c>
      <c r="CJ126" s="106">
        <v>14910</v>
      </c>
      <c r="CK126" s="106">
        <v>14910</v>
      </c>
      <c r="CL126" s="106">
        <v>34110</v>
      </c>
      <c r="CM126" s="106">
        <v>34110</v>
      </c>
      <c r="CN126" s="106">
        <v>34110</v>
      </c>
      <c r="CO126" s="106">
        <v>34110</v>
      </c>
      <c r="CP126" s="106">
        <v>34110</v>
      </c>
      <c r="CQ126" s="106">
        <v>34110</v>
      </c>
      <c r="CR126" s="106">
        <v>14910</v>
      </c>
      <c r="CS126" s="106">
        <f t="shared" si="1404"/>
        <v>294354</v>
      </c>
      <c r="CT126" s="16" t="str">
        <f t="shared" ref="CT126:CT189" si="1411">BD126</f>
        <v>Salary - Consultancy Service</v>
      </c>
      <c r="CU126" s="106">
        <f>+VLOOKUP($BD126,'Jan-25'!$A:$J,8,0)</f>
        <v>15690</v>
      </c>
      <c r="CV126" s="106">
        <f>+VLOOKUP($BD126,'Feb-25'!$A:$J,8,0)</f>
        <v>15690</v>
      </c>
      <c r="CW126" s="106">
        <f>+VLOOKUP($BD126,'Mar-25'!$A:$J,8,0)</f>
        <v>15690</v>
      </c>
      <c r="CX126" s="106">
        <f>+VLOOKUP($BD126,'Apr-25'!$A:$J,8,0)</f>
        <v>15690</v>
      </c>
      <c r="CY126" s="106">
        <f>+VLOOKUP($BD126,'May-25'!$A:$J,8,0)</f>
        <v>25770</v>
      </c>
      <c r="CZ126" s="106">
        <f>+VLOOKUP($BD126,'June-25'!$A:$J,8,0)</f>
        <v>40666.968000000001</v>
      </c>
      <c r="DA126" s="106">
        <f>+VLOOKUP($BD126,'July-25'!$A:$J,8,0)</f>
        <v>51826.968000000001</v>
      </c>
      <c r="DB126" s="106">
        <f>+VLOOKUP($BD126,'Aug-25'!$A:$J,8,0)</f>
        <v>43726.968000000001</v>
      </c>
      <c r="DC126" s="106">
        <f>+VLOOKUP($BD126,'Sep-25'!$A:$J,8,0)</f>
        <v>51946.8</v>
      </c>
      <c r="DD126" s="106">
        <f>+VLOOKUP($BD126,'Oct-25'!$A:$J,8,0)</f>
        <v>33369.300000000003</v>
      </c>
      <c r="DE126" s="106">
        <f>+VLOOKUP($BD126,'Nov-25'!$A:$J,8,0)</f>
        <v>0</v>
      </c>
      <c r="DF126" s="106">
        <f>+VLOOKUP($BD126,'Dec-25'!$A:$J,8,0)</f>
        <v>0</v>
      </c>
      <c r="DG126" s="106">
        <f t="shared" si="1405"/>
        <v>310067.00399999996</v>
      </c>
      <c r="DH126" s="118">
        <f t="shared" si="1225"/>
        <v>1.1267877629063099</v>
      </c>
      <c r="DI126" s="106">
        <f>+_xlfn.XLOOKUP($CT126,Budget!$A:$A,Budget!CQ:CQ)</f>
        <v>15690</v>
      </c>
      <c r="DJ126" s="106">
        <f>+_xlfn.XLOOKUP($CT126,Budget!$A:$A,Budget!CR:CR)</f>
        <v>15690</v>
      </c>
      <c r="DK126" s="106">
        <f>+_xlfn.XLOOKUP($CT126,Budget!$A:$A,Budget!CS:CS)</f>
        <v>15690</v>
      </c>
      <c r="DL126" s="106">
        <f>+_xlfn.XLOOKUP($CT126,Budget!$A:$A,Budget!CT:CT)</f>
        <v>15690</v>
      </c>
      <c r="DM126" s="106">
        <f>+_xlfn.XLOOKUP($CT126,Budget!$A:$A,Budget!CU:CU)</f>
        <v>15690</v>
      </c>
      <c r="DN126" s="106">
        <f>+_xlfn.XLOOKUP($CT126,Budget!$A:$A,Budget!CV:CV)</f>
        <v>15690</v>
      </c>
      <c r="DO126" s="106">
        <f>+_xlfn.XLOOKUP($CT126,Budget!$A:$A,Budget!CW:CW)</f>
        <v>15690</v>
      </c>
      <c r="DP126" s="106">
        <f>+_xlfn.XLOOKUP($CT126,Budget!$A:$A,Budget!CX:CX)</f>
        <v>15690</v>
      </c>
      <c r="DQ126" s="106">
        <f>+_xlfn.XLOOKUP($CT126,Budget!$A:$A,Budget!CY:CY)</f>
        <v>15690</v>
      </c>
      <c r="DR126" s="106">
        <f>+_xlfn.XLOOKUP($CT126,Budget!$A:$A,Budget!CZ:CZ)</f>
        <v>15690</v>
      </c>
      <c r="DS126" s="106">
        <f>+_xlfn.XLOOKUP($CT126,Budget!$A:$A,Budget!DA:DA)</f>
        <v>15690</v>
      </c>
      <c r="DT126" s="106">
        <f>+_xlfn.XLOOKUP($CT126,Budget!$A:$A,Budget!DB:DB)</f>
        <v>15690</v>
      </c>
      <c r="DU126" s="106">
        <f t="shared" si="1406"/>
        <v>188280</v>
      </c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106">
        <f t="shared" si="1407"/>
        <v>0</v>
      </c>
      <c r="EJ126" s="16" t="str">
        <f t="shared" si="966"/>
        <v>Salary - Consultancy Service</v>
      </c>
      <c r="EK126" s="22">
        <f>+VLOOKUP($BD126,'Jan-25'!$A:$J,10,0)</f>
        <v>0</v>
      </c>
      <c r="EL126" s="22">
        <f>+VLOOKUP($BD126,'Feb-25'!$A:$J,10,0)</f>
        <v>0</v>
      </c>
      <c r="EM126" s="22">
        <f>+VLOOKUP($BD126,'Mar-25'!$A:$J,10,0)</f>
        <v>0</v>
      </c>
      <c r="EN126" s="22">
        <f>+VLOOKUP($BD126,'Apr-25'!$A:$J,10,0)</f>
        <v>0</v>
      </c>
      <c r="EO126" s="22">
        <f>+VLOOKUP($BD126,'May-25'!$A:$J,10,0)</f>
        <v>0</v>
      </c>
      <c r="EP126" s="22">
        <f>+VLOOKUP($BD126,'June-25'!$A:$J,10,0)</f>
        <v>0</v>
      </c>
      <c r="EQ126" s="22">
        <f>+VLOOKUP($BD126,'July-25'!$A:$J,10,0)</f>
        <v>10080</v>
      </c>
      <c r="ER126" s="22">
        <f>+VLOOKUP($BD126,'Aug-25'!$A:$J,10,0)</f>
        <v>10080</v>
      </c>
      <c r="ES126" s="22">
        <f>+VLOOKUP($BD126,'Sep-25'!$A:$J,10,0)</f>
        <v>10080</v>
      </c>
      <c r="ET126" s="22">
        <f>+VLOOKUP($BD126,'Oct-25'!$A:$J,10,0)</f>
        <v>0</v>
      </c>
      <c r="EU126" s="22">
        <f>+VLOOKUP($BD126,'Nov-25'!$A:$J,10,0)</f>
        <v>0</v>
      </c>
      <c r="EV126" s="22">
        <f>+VLOOKUP($BD126,'Dec-25'!$A:$J,10,0)</f>
        <v>0</v>
      </c>
      <c r="EW126" s="22">
        <f t="shared" si="1408"/>
        <v>30240</v>
      </c>
      <c r="EX126" s="118" t="e">
        <f t="shared" si="1226"/>
        <v>#DIV/0!</v>
      </c>
      <c r="EY126" s="106">
        <f>+_xlfn.XLOOKUP($EJ126,Budget!$A:$A,Budget!DR:DR)</f>
        <v>0</v>
      </c>
      <c r="EZ126" s="106">
        <f>+_xlfn.XLOOKUP($EJ126,Budget!$A:$A,Budget!DS:DS)</f>
        <v>0</v>
      </c>
      <c r="FA126" s="106">
        <f>+_xlfn.XLOOKUP($EJ126,Budget!$A:$A,Budget!DT:DT)</f>
        <v>0</v>
      </c>
      <c r="FB126" s="106">
        <f>+_xlfn.XLOOKUP($EJ126,Budget!$A:$A,Budget!DU:DU)</f>
        <v>0</v>
      </c>
      <c r="FC126" s="106">
        <f>+_xlfn.XLOOKUP($EJ126,Budget!$A:$A,Budget!DV:DV)</f>
        <v>0</v>
      </c>
      <c r="FD126" s="106">
        <f>+_xlfn.XLOOKUP($EJ126,Budget!$A:$A,Budget!DW:DW)</f>
        <v>0</v>
      </c>
      <c r="FE126" s="106">
        <f>+_xlfn.XLOOKUP($EJ126,Budget!$A:$A,Budget!DX:DX)</f>
        <v>0</v>
      </c>
      <c r="FF126" s="106">
        <f>+_xlfn.XLOOKUP($EJ126,Budget!$A:$A,Budget!DY:DY)</f>
        <v>0</v>
      </c>
      <c r="FG126" s="106">
        <f>+_xlfn.XLOOKUP($EJ126,Budget!$A:$A,Budget!DZ:DZ)</f>
        <v>0</v>
      </c>
      <c r="FH126" s="106">
        <f>+_xlfn.XLOOKUP($EJ126,Budget!$A:$A,Budget!EA:EA)</f>
        <v>0</v>
      </c>
      <c r="FI126" s="106">
        <f>+_xlfn.XLOOKUP($EJ126,Budget!$A:$A,Budget!EB:EB)</f>
        <v>0</v>
      </c>
      <c r="FJ126" s="106">
        <f>+_xlfn.XLOOKUP($EJ126,Budget!$A:$A,Budget!EC:EC)</f>
        <v>0</v>
      </c>
      <c r="FK126" s="106">
        <f t="shared" si="1409"/>
        <v>0</v>
      </c>
    </row>
    <row r="127" spans="1:167" ht="14.45" hidden="1" customHeight="1" outlineLevel="2">
      <c r="A127" s="106">
        <f t="shared" si="1373"/>
        <v>4735.6096153846156</v>
      </c>
      <c r="B127" s="106">
        <f t="shared" si="1373"/>
        <v>10548.590384615385</v>
      </c>
      <c r="C127" s="106">
        <f t="shared" si="1373"/>
        <v>10548.590384615385</v>
      </c>
      <c r="D127" s="106">
        <f t="shared" si="1373"/>
        <v>10548.590384615385</v>
      </c>
      <c r="E127" s="106">
        <f t="shared" si="1373"/>
        <v>10548.590384615385</v>
      </c>
      <c r="F127" s="106">
        <f t="shared" si="1373"/>
        <v>10548.590384615385</v>
      </c>
      <c r="G127" s="106">
        <f t="shared" si="1373"/>
        <v>10548.590384615385</v>
      </c>
      <c r="H127" s="106">
        <f t="shared" si="1373"/>
        <v>10548.590384615385</v>
      </c>
      <c r="I127" s="106">
        <f t="shared" si="1373"/>
        <v>10548.590384615385</v>
      </c>
      <c r="J127" s="106">
        <f t="shared" si="1373"/>
        <v>10548.590384615385</v>
      </c>
      <c r="K127" s="106">
        <f t="shared" si="1373"/>
        <v>10548.590384615385</v>
      </c>
      <c r="L127" s="106">
        <f t="shared" si="1373"/>
        <v>10548.590384615385</v>
      </c>
      <c r="M127" s="106">
        <f t="shared" si="1374"/>
        <v>120770.10384615383</v>
      </c>
      <c r="N127" s="16" t="s">
        <v>105</v>
      </c>
      <c r="O127" s="106">
        <f t="shared" si="1375"/>
        <v>7930.2884615384619</v>
      </c>
      <c r="P127" s="106">
        <f t="shared" si="1376"/>
        <v>7930.2884615384619</v>
      </c>
      <c r="Q127" s="106">
        <f t="shared" si="1377"/>
        <v>7930.2884615384619</v>
      </c>
      <c r="R127" s="106">
        <f t="shared" si="1378"/>
        <v>7930.2884615384619</v>
      </c>
      <c r="S127" s="106">
        <f t="shared" si="1379"/>
        <v>7930.2884615384619</v>
      </c>
      <c r="T127" s="106">
        <f t="shared" si="1380"/>
        <v>7930.2884615384619</v>
      </c>
      <c r="U127" s="106">
        <f t="shared" si="1381"/>
        <v>7930.2884615384619</v>
      </c>
      <c r="V127" s="106">
        <f t="shared" si="1382"/>
        <v>7930.2884615384619</v>
      </c>
      <c r="W127" s="106">
        <f t="shared" si="1383"/>
        <v>7930.2884615384619</v>
      </c>
      <c r="X127" s="106">
        <f t="shared" si="1384"/>
        <v>7930.2884615384619</v>
      </c>
      <c r="Y127" s="106">
        <f t="shared" si="1385"/>
        <v>0</v>
      </c>
      <c r="Z127" s="106">
        <f t="shared" si="1386"/>
        <v>0</v>
      </c>
      <c r="AA127" s="106">
        <f t="shared" si="1387"/>
        <v>79302.884615384624</v>
      </c>
      <c r="AB127" s="118">
        <f t="shared" si="1223"/>
        <v>0</v>
      </c>
      <c r="AC127" s="106">
        <f t="shared" si="1388"/>
        <v>7930.2884615384619</v>
      </c>
      <c r="AD127" s="106">
        <f t="shared" si="1389"/>
        <v>7930.2884615384619</v>
      </c>
      <c r="AE127" s="106">
        <f t="shared" si="1390"/>
        <v>7930.2884615384619</v>
      </c>
      <c r="AF127" s="106">
        <f t="shared" si="1391"/>
        <v>7930.2884615384619</v>
      </c>
      <c r="AG127" s="106">
        <f t="shared" si="1392"/>
        <v>7930.2884615384619</v>
      </c>
      <c r="AH127" s="106">
        <f t="shared" si="1393"/>
        <v>7930.2884615384619</v>
      </c>
      <c r="AI127" s="106">
        <f t="shared" si="1394"/>
        <v>7930.2884615384619</v>
      </c>
      <c r="AJ127" s="106">
        <f t="shared" si="1395"/>
        <v>7930.2884615384619</v>
      </c>
      <c r="AK127" s="106">
        <f t="shared" si="1396"/>
        <v>7930.2884615384619</v>
      </c>
      <c r="AL127" s="106">
        <f t="shared" si="1397"/>
        <v>7930.2884615384619</v>
      </c>
      <c r="AM127" s="106">
        <f t="shared" si="1398"/>
        <v>7930.2884615384619</v>
      </c>
      <c r="AN127" s="106">
        <f t="shared" si="1399"/>
        <v>7930.2884615384619</v>
      </c>
      <c r="AO127" s="106">
        <f t="shared" si="1400"/>
        <v>95163.461538461561</v>
      </c>
      <c r="AQ127" s="106">
        <v>3579.2846153846158</v>
      </c>
      <c r="AR127" s="106">
        <v>7056.7846153846158</v>
      </c>
      <c r="AS127" s="106">
        <v>7056.7846153846158</v>
      </c>
      <c r="AT127" s="106">
        <v>7056.7846153846158</v>
      </c>
      <c r="AU127" s="106">
        <v>7056.7846153846158</v>
      </c>
      <c r="AV127" s="106">
        <v>7056.7846153846158</v>
      </c>
      <c r="AW127" s="106">
        <v>7056.7846153846158</v>
      </c>
      <c r="AX127" s="106">
        <v>7056.7846153846158</v>
      </c>
      <c r="AY127" s="106">
        <v>7056.7846153846158</v>
      </c>
      <c r="AZ127" s="106">
        <v>7056.7846153846158</v>
      </c>
      <c r="BA127" s="106">
        <v>7056.7846153846158</v>
      </c>
      <c r="BB127" s="106">
        <v>7056.7846153846158</v>
      </c>
      <c r="BC127" s="106">
        <f t="shared" si="1401"/>
        <v>81203.915384615408</v>
      </c>
      <c r="BD127" s="16" t="str">
        <f t="shared" si="1410"/>
        <v>Employee Gratuity</v>
      </c>
      <c r="BE127" s="106">
        <f>+VLOOKUP($BD127,'Jan-25'!$A:$J,5,0)</f>
        <v>5110.5769230769229</v>
      </c>
      <c r="BF127" s="106">
        <f>+VLOOKUP($BD127,'Feb-25'!$A:$J,5,0)</f>
        <v>5110.5769230769229</v>
      </c>
      <c r="BG127" s="106">
        <f>+VLOOKUP($BD127,'Mar-25'!$A:$J,5,0)</f>
        <v>5110.5769230769229</v>
      </c>
      <c r="BH127" s="106">
        <f>+VLOOKUP($BD127,'Apr-25'!$A:$J,5,0)</f>
        <v>5110.5769230769229</v>
      </c>
      <c r="BI127" s="106">
        <f>+VLOOKUP($BD127,'May-25'!$A:$J,5,0)</f>
        <v>5110.5769230769229</v>
      </c>
      <c r="BJ127" s="106">
        <f>+VLOOKUP($BD127,'June-25'!$A:$J,5,0)</f>
        <v>5110.5769230769229</v>
      </c>
      <c r="BK127" s="106">
        <f>+VLOOKUP($BD127,'July-25'!$A:$J,5,0)</f>
        <v>5110.5769230769229</v>
      </c>
      <c r="BL127" s="106">
        <f>+VLOOKUP($BD127,'Aug-25'!$A:$J,5,0)</f>
        <v>5110.5769230769229</v>
      </c>
      <c r="BM127" s="106">
        <f>+VLOOKUP($BD127,'Sep-25'!$A:$J,5,0)</f>
        <v>5110.5769230769229</v>
      </c>
      <c r="BN127" s="106">
        <f>+VLOOKUP($BD127,'Oct-25'!$A:$J,5,0)</f>
        <v>5110.5769230769229</v>
      </c>
      <c r="BO127" s="106">
        <f>+VLOOKUP($BD127,'Nov-25'!$A:$J,5,0)</f>
        <v>0</v>
      </c>
      <c r="BP127" s="106">
        <f>+VLOOKUP($BD127,'Dec-25'!$A:$J,5,0)</f>
        <v>0</v>
      </c>
      <c r="BQ127" s="106">
        <f t="shared" si="1402"/>
        <v>51105.769230769227</v>
      </c>
      <c r="BR127" s="118">
        <f t="shared" si="1224"/>
        <v>0</v>
      </c>
      <c r="BS127" s="106">
        <f>+_xlfn.XLOOKUP($BD127,Budget!$A:$A,Budget!BD:BD)</f>
        <v>5110.5769230769229</v>
      </c>
      <c r="BT127" s="106">
        <f>+_xlfn.XLOOKUP($BD127,Budget!$A:$A,Budget!BE:BE)</f>
        <v>5110.5769230769229</v>
      </c>
      <c r="BU127" s="106">
        <f>+_xlfn.XLOOKUP($BD127,Budget!$A:$A,Budget!BF:BF)</f>
        <v>5110.5769230769229</v>
      </c>
      <c r="BV127" s="106">
        <f>+_xlfn.XLOOKUP($BD127,Budget!$A:$A,Budget!BG:BG)</f>
        <v>5110.5769230769229</v>
      </c>
      <c r="BW127" s="106">
        <f>+_xlfn.XLOOKUP($BD127,Budget!$A:$A,Budget!BH:BH)</f>
        <v>5110.5769230769229</v>
      </c>
      <c r="BX127" s="106">
        <f>+_xlfn.XLOOKUP($BD127,Budget!$A:$A,Budget!BI:BI)</f>
        <v>5110.5769230769229</v>
      </c>
      <c r="BY127" s="106">
        <f>+_xlfn.XLOOKUP($BD127,Budget!$A:$A,Budget!BJ:BJ)</f>
        <v>5110.5769230769229</v>
      </c>
      <c r="BZ127" s="106">
        <f>+_xlfn.XLOOKUP($BD127,Budget!$A:$A,Budget!BK:BK)</f>
        <v>5110.5769230769229</v>
      </c>
      <c r="CA127" s="106">
        <f>+_xlfn.XLOOKUP($BD127,Budget!$A:$A,Budget!BL:BL)</f>
        <v>5110.5769230769229</v>
      </c>
      <c r="CB127" s="106">
        <f>+_xlfn.XLOOKUP($BD127,Budget!$A:$A,Budget!BM:BM)</f>
        <v>5110.5769230769229</v>
      </c>
      <c r="CC127" s="106">
        <f>+_xlfn.XLOOKUP($BD127,Budget!$A:$A,Budget!BN:BN)</f>
        <v>5110.5769230769229</v>
      </c>
      <c r="CD127" s="106">
        <f>+_xlfn.XLOOKUP($BD127,Budget!$A:$A,Budget!BO:BO)</f>
        <v>5110.5769230769229</v>
      </c>
      <c r="CE127" s="106">
        <f t="shared" si="1403"/>
        <v>61326.923076923071</v>
      </c>
      <c r="CF127" s="106"/>
      <c r="CG127" s="106">
        <v>1156.3249999999998</v>
      </c>
      <c r="CH127" s="106">
        <v>3491.8057692307689</v>
      </c>
      <c r="CI127" s="106">
        <v>3491.8057692307689</v>
      </c>
      <c r="CJ127" s="106">
        <v>3491.8057692307689</v>
      </c>
      <c r="CK127" s="106">
        <v>3491.8057692307689</v>
      </c>
      <c r="CL127" s="106">
        <v>3491.8057692307689</v>
      </c>
      <c r="CM127" s="106">
        <v>3491.8057692307689</v>
      </c>
      <c r="CN127" s="106">
        <v>3491.8057692307689</v>
      </c>
      <c r="CO127" s="106">
        <v>3491.8057692307689</v>
      </c>
      <c r="CP127" s="106">
        <v>3491.8057692307689</v>
      </c>
      <c r="CQ127" s="106">
        <v>3491.8057692307689</v>
      </c>
      <c r="CR127" s="106">
        <v>3491.8057692307689</v>
      </c>
      <c r="CS127" s="106">
        <f t="shared" si="1404"/>
        <v>39566.188461538462</v>
      </c>
      <c r="CT127" s="16" t="str">
        <f t="shared" si="1411"/>
        <v>Employee Gratuity</v>
      </c>
      <c r="CU127" s="106">
        <f>+VLOOKUP($BD127,'Jan-25'!$A:$J,8,0)</f>
        <v>836.53846153846155</v>
      </c>
      <c r="CV127" s="106">
        <f>+VLOOKUP($BD127,'Feb-25'!$A:$J,8,0)</f>
        <v>836.53846153846155</v>
      </c>
      <c r="CW127" s="106">
        <f>+VLOOKUP($BD127,'Mar-25'!$A:$J,8,0)</f>
        <v>836.53846153846155</v>
      </c>
      <c r="CX127" s="106">
        <f>+VLOOKUP($BD127,'Apr-25'!$A:$J,8,0)</f>
        <v>836.53846153846155</v>
      </c>
      <c r="CY127" s="106">
        <f>+VLOOKUP($BD127,'May-25'!$A:$J,8,0)</f>
        <v>836.53846153846155</v>
      </c>
      <c r="CZ127" s="106">
        <f>+VLOOKUP($BD127,'June-25'!$A:$J,8,0)</f>
        <v>836.53846153846155</v>
      </c>
      <c r="DA127" s="106">
        <f>+VLOOKUP($BD127,'July-25'!$A:$J,8,0)</f>
        <v>836.53846153846155</v>
      </c>
      <c r="DB127" s="106">
        <f>+VLOOKUP($BD127,'Aug-25'!$A:$J,8,0)</f>
        <v>836.53846153846155</v>
      </c>
      <c r="DC127" s="106">
        <f>+VLOOKUP($BD127,'Sep-25'!$A:$J,8,0)</f>
        <v>836.53846153846155</v>
      </c>
      <c r="DD127" s="106">
        <f>+VLOOKUP($BD127,'Oct-25'!$A:$J,8,0)</f>
        <v>836.53846153846155</v>
      </c>
      <c r="DE127" s="106">
        <f>+VLOOKUP($BD127,'Nov-25'!$A:$J,8,0)</f>
        <v>0</v>
      </c>
      <c r="DF127" s="106">
        <f>+VLOOKUP($BD127,'Dec-25'!$A:$J,8,0)</f>
        <v>0</v>
      </c>
      <c r="DG127" s="106">
        <f t="shared" si="1405"/>
        <v>8365.3846153846171</v>
      </c>
      <c r="DH127" s="118">
        <f t="shared" si="1225"/>
        <v>0</v>
      </c>
      <c r="DI127" s="106">
        <f>+_xlfn.XLOOKUP($CT127,Budget!$A:$A,Budget!CQ:CQ)</f>
        <v>836.53846153846155</v>
      </c>
      <c r="DJ127" s="106">
        <f>+_xlfn.XLOOKUP($CT127,Budget!$A:$A,Budget!CR:CR)</f>
        <v>836.53846153846155</v>
      </c>
      <c r="DK127" s="106">
        <f>+_xlfn.XLOOKUP($CT127,Budget!$A:$A,Budget!CS:CS)</f>
        <v>836.53846153846155</v>
      </c>
      <c r="DL127" s="106">
        <f>+_xlfn.XLOOKUP($CT127,Budget!$A:$A,Budget!CT:CT)</f>
        <v>836.53846153846155</v>
      </c>
      <c r="DM127" s="106">
        <f>+_xlfn.XLOOKUP($CT127,Budget!$A:$A,Budget!CU:CU)</f>
        <v>836.53846153846155</v>
      </c>
      <c r="DN127" s="106">
        <f>+_xlfn.XLOOKUP($CT127,Budget!$A:$A,Budget!CV:CV)</f>
        <v>836.53846153846155</v>
      </c>
      <c r="DO127" s="106">
        <f>+_xlfn.XLOOKUP($CT127,Budget!$A:$A,Budget!CW:CW)</f>
        <v>836.53846153846155</v>
      </c>
      <c r="DP127" s="106">
        <f>+_xlfn.XLOOKUP($CT127,Budget!$A:$A,Budget!CX:CX)</f>
        <v>836.53846153846155</v>
      </c>
      <c r="DQ127" s="106">
        <f>+_xlfn.XLOOKUP($CT127,Budget!$A:$A,Budget!CY:CY)</f>
        <v>836.53846153846155</v>
      </c>
      <c r="DR127" s="106">
        <f>+_xlfn.XLOOKUP($CT127,Budget!$A:$A,Budget!CZ:CZ)</f>
        <v>836.53846153846155</v>
      </c>
      <c r="DS127" s="106">
        <f>+_xlfn.XLOOKUP($CT127,Budget!$A:$A,Budget!DA:DA)</f>
        <v>836.53846153846155</v>
      </c>
      <c r="DT127" s="106">
        <f>+_xlfn.XLOOKUP($CT127,Budget!$A:$A,Budget!DB:DB)</f>
        <v>836.53846153846155</v>
      </c>
      <c r="DU127" s="106">
        <f t="shared" si="1406"/>
        <v>10038.461538461539</v>
      </c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106">
        <f t="shared" si="1407"/>
        <v>0</v>
      </c>
      <c r="EJ127" s="16" t="str">
        <f t="shared" si="966"/>
        <v>Employee Gratuity</v>
      </c>
      <c r="EK127" s="22">
        <f>+VLOOKUP($BD127,'Jan-25'!$A:$J,10,0)</f>
        <v>1983.1730769230771</v>
      </c>
      <c r="EL127" s="22">
        <f>+VLOOKUP($BD127,'Feb-25'!$A:$J,10,0)</f>
        <v>1983.1730769230771</v>
      </c>
      <c r="EM127" s="22">
        <f>+VLOOKUP($BD127,'Mar-25'!$A:$J,10,0)</f>
        <v>1983.1730769230771</v>
      </c>
      <c r="EN127" s="22">
        <f>+VLOOKUP($BD127,'Apr-25'!$A:$J,10,0)</f>
        <v>1983.1730769230771</v>
      </c>
      <c r="EO127" s="22">
        <f>+VLOOKUP($BD127,'May-25'!$A:$J,10,0)</f>
        <v>1983.1730769230771</v>
      </c>
      <c r="EP127" s="22">
        <f>+VLOOKUP($BD127,'June-25'!$A:$J,10,0)</f>
        <v>1983.1730769230771</v>
      </c>
      <c r="EQ127" s="22">
        <f>+VLOOKUP($BD127,'July-25'!$A:$J,10,0)</f>
        <v>1983.1730769230771</v>
      </c>
      <c r="ER127" s="22">
        <f>+VLOOKUP($BD127,'Aug-25'!$A:$J,10,0)</f>
        <v>1983.1730769230771</v>
      </c>
      <c r="ES127" s="22">
        <f>+VLOOKUP($BD127,'Sep-25'!$A:$J,10,0)</f>
        <v>1983.1730769230771</v>
      </c>
      <c r="ET127" s="22">
        <f>+VLOOKUP($BD127,'Oct-25'!$A:$J,10,0)</f>
        <v>1983.1730769230771</v>
      </c>
      <c r="EU127" s="22">
        <f>+VLOOKUP($BD127,'Nov-25'!$A:$J,10,0)</f>
        <v>0</v>
      </c>
      <c r="EV127" s="22">
        <f>+VLOOKUP($BD127,'Dec-25'!$A:$J,10,0)</f>
        <v>0</v>
      </c>
      <c r="EW127" s="22">
        <f t="shared" si="1408"/>
        <v>19831.730769230777</v>
      </c>
      <c r="EX127" s="118">
        <f t="shared" si="1226"/>
        <v>0</v>
      </c>
      <c r="EY127" s="106">
        <f>+_xlfn.XLOOKUP($EJ127,Budget!$A:$A,Budget!DR:DR)</f>
        <v>1983.1730769230771</v>
      </c>
      <c r="EZ127" s="106">
        <f>+_xlfn.XLOOKUP($EJ127,Budget!$A:$A,Budget!DS:DS)</f>
        <v>1983.1730769230771</v>
      </c>
      <c r="FA127" s="106">
        <f>+_xlfn.XLOOKUP($EJ127,Budget!$A:$A,Budget!DT:DT)</f>
        <v>1983.1730769230771</v>
      </c>
      <c r="FB127" s="106">
        <f>+_xlfn.XLOOKUP($EJ127,Budget!$A:$A,Budget!DU:DU)</f>
        <v>1983.1730769230771</v>
      </c>
      <c r="FC127" s="106">
        <f>+_xlfn.XLOOKUP($EJ127,Budget!$A:$A,Budget!DV:DV)</f>
        <v>1983.1730769230771</v>
      </c>
      <c r="FD127" s="106">
        <f>+_xlfn.XLOOKUP($EJ127,Budget!$A:$A,Budget!DW:DW)</f>
        <v>1983.1730769230771</v>
      </c>
      <c r="FE127" s="106">
        <f>+_xlfn.XLOOKUP($EJ127,Budget!$A:$A,Budget!DX:DX)</f>
        <v>1983.1730769230771</v>
      </c>
      <c r="FF127" s="106">
        <f>+_xlfn.XLOOKUP($EJ127,Budget!$A:$A,Budget!DY:DY)</f>
        <v>1983.1730769230771</v>
      </c>
      <c r="FG127" s="106">
        <f>+_xlfn.XLOOKUP($EJ127,Budget!$A:$A,Budget!DZ:DZ)</f>
        <v>1983.1730769230771</v>
      </c>
      <c r="FH127" s="106">
        <f>+_xlfn.XLOOKUP($EJ127,Budget!$A:$A,Budget!EA:EA)</f>
        <v>1983.1730769230771</v>
      </c>
      <c r="FI127" s="106">
        <f>+_xlfn.XLOOKUP($EJ127,Budget!$A:$A,Budget!EB:EB)</f>
        <v>1983.1730769230771</v>
      </c>
      <c r="FJ127" s="106">
        <f>+_xlfn.XLOOKUP($EJ127,Budget!$A:$A,Budget!EC:EC)</f>
        <v>1983.1730769230771</v>
      </c>
      <c r="FK127" s="106">
        <f t="shared" si="1409"/>
        <v>23798.076923076933</v>
      </c>
    </row>
    <row r="128" spans="1:167" ht="14.45" hidden="1" customHeight="1" outlineLevel="2">
      <c r="A128" s="106">
        <f t="shared" si="1373"/>
        <v>7186.77</v>
      </c>
      <c r="B128" s="106">
        <f t="shared" si="1373"/>
        <v>17231.353333333333</v>
      </c>
      <c r="C128" s="106">
        <f t="shared" si="1373"/>
        <v>17231.353333333333</v>
      </c>
      <c r="D128" s="106">
        <f t="shared" si="1373"/>
        <v>17231.353333333333</v>
      </c>
      <c r="E128" s="106">
        <f t="shared" si="1373"/>
        <v>17231.353333333333</v>
      </c>
      <c r="F128" s="106">
        <f t="shared" si="1373"/>
        <v>17231.353333333333</v>
      </c>
      <c r="G128" s="106">
        <f t="shared" si="1373"/>
        <v>17231.353333333333</v>
      </c>
      <c r="H128" s="106">
        <f t="shared" si="1373"/>
        <v>17231.353333333333</v>
      </c>
      <c r="I128" s="106">
        <f t="shared" si="1373"/>
        <v>17231.353333333333</v>
      </c>
      <c r="J128" s="106">
        <f t="shared" si="1373"/>
        <v>17231.353333333333</v>
      </c>
      <c r="K128" s="106">
        <f t="shared" si="1373"/>
        <v>17231.353333333333</v>
      </c>
      <c r="L128" s="106">
        <f t="shared" si="1373"/>
        <v>17231.353333333333</v>
      </c>
      <c r="M128" s="106">
        <f t="shared" si="1374"/>
        <v>196731.65666666668</v>
      </c>
      <c r="N128" s="16" t="s">
        <v>226</v>
      </c>
      <c r="O128" s="106">
        <f t="shared" si="1375"/>
        <v>12808.333333333332</v>
      </c>
      <c r="P128" s="106">
        <f t="shared" si="1376"/>
        <v>12808.333333333332</v>
      </c>
      <c r="Q128" s="106">
        <f t="shared" si="1377"/>
        <v>12808.333333333332</v>
      </c>
      <c r="R128" s="106">
        <f t="shared" si="1378"/>
        <v>12808.333333333332</v>
      </c>
      <c r="S128" s="106">
        <f t="shared" si="1379"/>
        <v>12808.333333333332</v>
      </c>
      <c r="T128" s="106">
        <f t="shared" si="1380"/>
        <v>12808.333333333332</v>
      </c>
      <c r="U128" s="106">
        <f t="shared" si="1381"/>
        <v>12808.333333333332</v>
      </c>
      <c r="V128" s="106">
        <f t="shared" si="1382"/>
        <v>12808.333333333332</v>
      </c>
      <c r="W128" s="106">
        <f t="shared" si="1383"/>
        <v>12808.333333333332</v>
      </c>
      <c r="X128" s="106">
        <f t="shared" si="1384"/>
        <v>12808.333333333332</v>
      </c>
      <c r="Y128" s="106">
        <f t="shared" si="1385"/>
        <v>0</v>
      </c>
      <c r="Z128" s="106">
        <f t="shared" si="1386"/>
        <v>0</v>
      </c>
      <c r="AA128" s="106">
        <f t="shared" si="1387"/>
        <v>128083.3333333333</v>
      </c>
      <c r="AB128" s="118">
        <f t="shared" si="1223"/>
        <v>0</v>
      </c>
      <c r="AC128" s="106">
        <f t="shared" si="1388"/>
        <v>12808.333333333332</v>
      </c>
      <c r="AD128" s="106">
        <f t="shared" si="1389"/>
        <v>12808.333333333332</v>
      </c>
      <c r="AE128" s="106">
        <f t="shared" si="1390"/>
        <v>12808.333333333332</v>
      </c>
      <c r="AF128" s="106">
        <f t="shared" si="1391"/>
        <v>12808.333333333332</v>
      </c>
      <c r="AG128" s="106">
        <f t="shared" si="1392"/>
        <v>12808.333333333332</v>
      </c>
      <c r="AH128" s="106">
        <f t="shared" si="1393"/>
        <v>12808.333333333332</v>
      </c>
      <c r="AI128" s="106">
        <f t="shared" si="1394"/>
        <v>12808.333333333332</v>
      </c>
      <c r="AJ128" s="106">
        <f t="shared" si="1395"/>
        <v>12808.333333333332</v>
      </c>
      <c r="AK128" s="106">
        <f t="shared" si="1396"/>
        <v>12808.333333333332</v>
      </c>
      <c r="AL128" s="106">
        <f t="shared" si="1397"/>
        <v>12808.333333333332</v>
      </c>
      <c r="AM128" s="106">
        <f t="shared" si="1398"/>
        <v>12808.333333333332</v>
      </c>
      <c r="AN128" s="106">
        <f t="shared" si="1399"/>
        <v>12808.333333333332</v>
      </c>
      <c r="AO128" s="106">
        <f t="shared" si="1400"/>
        <v>153699.99999999997</v>
      </c>
      <c r="AQ128" s="106">
        <v>5523.0133333333342</v>
      </c>
      <c r="AR128" s="106">
        <v>11519.43</v>
      </c>
      <c r="AS128" s="106">
        <v>11519.43</v>
      </c>
      <c r="AT128" s="106">
        <v>11519.43</v>
      </c>
      <c r="AU128" s="106">
        <v>11519.43</v>
      </c>
      <c r="AV128" s="106">
        <v>11519.43</v>
      </c>
      <c r="AW128" s="106">
        <v>11519.43</v>
      </c>
      <c r="AX128" s="106">
        <v>11519.43</v>
      </c>
      <c r="AY128" s="106">
        <v>11519.43</v>
      </c>
      <c r="AZ128" s="106">
        <v>11519.43</v>
      </c>
      <c r="BA128" s="106">
        <v>11519.43</v>
      </c>
      <c r="BB128" s="106">
        <v>11519.43</v>
      </c>
      <c r="BC128" s="106">
        <f t="shared" si="1401"/>
        <v>132236.74333333332</v>
      </c>
      <c r="BD128" s="16" t="str">
        <f t="shared" si="1410"/>
        <v>Bonus</v>
      </c>
      <c r="BE128" s="106">
        <f>+VLOOKUP($BD128,'Jan-25'!$A:$J,5,0)</f>
        <v>8274.9999999999982</v>
      </c>
      <c r="BF128" s="106">
        <f>+VLOOKUP($BD128,'Feb-25'!$A:$J,5,0)</f>
        <v>8274.9999999999982</v>
      </c>
      <c r="BG128" s="106">
        <f>+VLOOKUP($BD128,'Mar-25'!$A:$J,5,0)</f>
        <v>8274.9999999999982</v>
      </c>
      <c r="BH128" s="106">
        <f>+VLOOKUP($BD128,'Apr-25'!$A:$J,5,0)</f>
        <v>8274.9999999999982</v>
      </c>
      <c r="BI128" s="106">
        <f>+VLOOKUP($BD128,'May-25'!$A:$J,5,0)</f>
        <v>8274.9999999999982</v>
      </c>
      <c r="BJ128" s="106">
        <f>+VLOOKUP($BD128,'June-25'!$A:$J,5,0)</f>
        <v>8274.9999999999982</v>
      </c>
      <c r="BK128" s="106">
        <f>+VLOOKUP($BD128,'July-25'!$A:$J,5,0)</f>
        <v>8274.9999999999982</v>
      </c>
      <c r="BL128" s="106">
        <f>+VLOOKUP($BD128,'Aug-25'!$A:$J,5,0)</f>
        <v>8274.9999999999982</v>
      </c>
      <c r="BM128" s="106">
        <f>+VLOOKUP($BD128,'Sep-25'!$A:$J,5,0)</f>
        <v>8274.9999999999982</v>
      </c>
      <c r="BN128" s="106">
        <f>+VLOOKUP($BD128,'Oct-25'!$A:$J,5,0)</f>
        <v>8274.9999999999982</v>
      </c>
      <c r="BO128" s="106">
        <f>+VLOOKUP($BD128,'Nov-25'!$A:$J,5,0)</f>
        <v>0</v>
      </c>
      <c r="BP128" s="106">
        <f>+VLOOKUP($BD128,'Dec-25'!$A:$J,5,0)</f>
        <v>0</v>
      </c>
      <c r="BQ128" s="106">
        <f t="shared" si="1402"/>
        <v>82749.999999999985</v>
      </c>
      <c r="BR128" s="118">
        <f t="shared" si="1224"/>
        <v>0</v>
      </c>
      <c r="BS128" s="106">
        <f>+_xlfn.XLOOKUP($BD128,Budget!$A:$A,Budget!BD:BD)</f>
        <v>8274.9999999999982</v>
      </c>
      <c r="BT128" s="106">
        <f>+_xlfn.XLOOKUP($BD128,Budget!$A:$A,Budget!BE:BE)</f>
        <v>8274.9999999999982</v>
      </c>
      <c r="BU128" s="106">
        <f>+_xlfn.XLOOKUP($BD128,Budget!$A:$A,Budget!BF:BF)</f>
        <v>8274.9999999999982</v>
      </c>
      <c r="BV128" s="106">
        <f>+_xlfn.XLOOKUP($BD128,Budget!$A:$A,Budget!BG:BG)</f>
        <v>8274.9999999999982</v>
      </c>
      <c r="BW128" s="106">
        <f>+_xlfn.XLOOKUP($BD128,Budget!$A:$A,Budget!BH:BH)</f>
        <v>8274.9999999999982</v>
      </c>
      <c r="BX128" s="106">
        <f>+_xlfn.XLOOKUP($BD128,Budget!$A:$A,Budget!BI:BI)</f>
        <v>8274.9999999999982</v>
      </c>
      <c r="BY128" s="106">
        <f>+_xlfn.XLOOKUP($BD128,Budget!$A:$A,Budget!BJ:BJ)</f>
        <v>8274.9999999999982</v>
      </c>
      <c r="BZ128" s="106">
        <f>+_xlfn.XLOOKUP($BD128,Budget!$A:$A,Budget!BK:BK)</f>
        <v>8274.9999999999982</v>
      </c>
      <c r="CA128" s="106">
        <f>+_xlfn.XLOOKUP($BD128,Budget!$A:$A,Budget!BL:BL)</f>
        <v>8274.9999999999982</v>
      </c>
      <c r="CB128" s="106">
        <f>+_xlfn.XLOOKUP($BD128,Budget!$A:$A,Budget!BM:BM)</f>
        <v>8274.9999999999982</v>
      </c>
      <c r="CC128" s="106">
        <f>+_xlfn.XLOOKUP($BD128,Budget!$A:$A,Budget!BN:BN)</f>
        <v>8274.9999999999982</v>
      </c>
      <c r="CD128" s="106">
        <f>+_xlfn.XLOOKUP($BD128,Budget!$A:$A,Budget!BO:BO)</f>
        <v>8274.9999999999982</v>
      </c>
      <c r="CE128" s="106">
        <f t="shared" si="1403"/>
        <v>99299.999999999985</v>
      </c>
      <c r="CF128" s="106"/>
      <c r="CG128" s="106">
        <v>1663.7566666666667</v>
      </c>
      <c r="CH128" s="106">
        <v>5711.9233333333341</v>
      </c>
      <c r="CI128" s="106">
        <v>5711.9233333333341</v>
      </c>
      <c r="CJ128" s="106">
        <v>5711.9233333333341</v>
      </c>
      <c r="CK128" s="106">
        <v>5711.9233333333341</v>
      </c>
      <c r="CL128" s="106">
        <v>5711.9233333333341</v>
      </c>
      <c r="CM128" s="106">
        <v>5711.9233333333341</v>
      </c>
      <c r="CN128" s="106">
        <v>5711.9233333333341</v>
      </c>
      <c r="CO128" s="106">
        <v>5711.9233333333341</v>
      </c>
      <c r="CP128" s="106">
        <v>5711.9233333333341</v>
      </c>
      <c r="CQ128" s="106">
        <v>5711.9233333333341</v>
      </c>
      <c r="CR128" s="106">
        <v>5711.9233333333341</v>
      </c>
      <c r="CS128" s="106">
        <f t="shared" si="1404"/>
        <v>64494.91333333333</v>
      </c>
      <c r="CT128" s="16" t="str">
        <f t="shared" si="1411"/>
        <v>Bonus</v>
      </c>
      <c r="CU128" s="106">
        <f>+VLOOKUP($BD128,'Jan-25'!$A:$J,8,0)</f>
        <v>1283.3333333333333</v>
      </c>
      <c r="CV128" s="106">
        <f>+VLOOKUP($BD128,'Feb-25'!$A:$J,8,0)</f>
        <v>1283.3333333333333</v>
      </c>
      <c r="CW128" s="106">
        <f>+VLOOKUP($BD128,'Mar-25'!$A:$J,8,0)</f>
        <v>1283.3333333333333</v>
      </c>
      <c r="CX128" s="106">
        <f>+VLOOKUP($BD128,'Apr-25'!$A:$J,8,0)</f>
        <v>1283.3333333333333</v>
      </c>
      <c r="CY128" s="106">
        <f>+VLOOKUP($BD128,'May-25'!$A:$J,8,0)</f>
        <v>1283.3333333333333</v>
      </c>
      <c r="CZ128" s="106">
        <f>+VLOOKUP($BD128,'June-25'!$A:$J,8,0)</f>
        <v>1283.3333333333333</v>
      </c>
      <c r="DA128" s="106">
        <f>+VLOOKUP($BD128,'July-25'!$A:$J,8,0)</f>
        <v>1283.3333333333333</v>
      </c>
      <c r="DB128" s="106">
        <f>+VLOOKUP($BD128,'Aug-25'!$A:$J,8,0)</f>
        <v>1283.3333333333333</v>
      </c>
      <c r="DC128" s="106">
        <f>+VLOOKUP($BD128,'Sep-25'!$A:$J,8,0)</f>
        <v>1283.3333333333333</v>
      </c>
      <c r="DD128" s="106">
        <f>+VLOOKUP($BD128,'Oct-25'!$A:$J,8,0)</f>
        <v>1283.3333333333333</v>
      </c>
      <c r="DE128" s="106">
        <f>+VLOOKUP($BD128,'Nov-25'!$A:$J,8,0)</f>
        <v>0</v>
      </c>
      <c r="DF128" s="106">
        <f>+VLOOKUP($BD128,'Dec-25'!$A:$J,8,0)</f>
        <v>0</v>
      </c>
      <c r="DG128" s="106">
        <f t="shared" si="1405"/>
        <v>12833.333333333334</v>
      </c>
      <c r="DH128" s="118">
        <f t="shared" si="1225"/>
        <v>0</v>
      </c>
      <c r="DI128" s="106">
        <f>+_xlfn.XLOOKUP($CT128,Budget!$A:$A,Budget!CQ:CQ)</f>
        <v>1283.3333333333333</v>
      </c>
      <c r="DJ128" s="106">
        <f>+_xlfn.XLOOKUP($CT128,Budget!$A:$A,Budget!CR:CR)</f>
        <v>1283.3333333333333</v>
      </c>
      <c r="DK128" s="106">
        <f>+_xlfn.XLOOKUP($CT128,Budget!$A:$A,Budget!CS:CS)</f>
        <v>1283.3333333333333</v>
      </c>
      <c r="DL128" s="106">
        <f>+_xlfn.XLOOKUP($CT128,Budget!$A:$A,Budget!CT:CT)</f>
        <v>1283.3333333333333</v>
      </c>
      <c r="DM128" s="106">
        <f>+_xlfn.XLOOKUP($CT128,Budget!$A:$A,Budget!CU:CU)</f>
        <v>1283.3333333333333</v>
      </c>
      <c r="DN128" s="106">
        <f>+_xlfn.XLOOKUP($CT128,Budget!$A:$A,Budget!CV:CV)</f>
        <v>1283.3333333333333</v>
      </c>
      <c r="DO128" s="106">
        <f>+_xlfn.XLOOKUP($CT128,Budget!$A:$A,Budget!CW:CW)</f>
        <v>1283.3333333333333</v>
      </c>
      <c r="DP128" s="106">
        <f>+_xlfn.XLOOKUP($CT128,Budget!$A:$A,Budget!CX:CX)</f>
        <v>1283.3333333333333</v>
      </c>
      <c r="DQ128" s="106">
        <f>+_xlfn.XLOOKUP($CT128,Budget!$A:$A,Budget!CY:CY)</f>
        <v>1283.3333333333333</v>
      </c>
      <c r="DR128" s="106">
        <f>+_xlfn.XLOOKUP($CT128,Budget!$A:$A,Budget!CZ:CZ)</f>
        <v>1283.3333333333333</v>
      </c>
      <c r="DS128" s="106">
        <f>+_xlfn.XLOOKUP($CT128,Budget!$A:$A,Budget!DA:DA)</f>
        <v>1283.3333333333333</v>
      </c>
      <c r="DT128" s="106">
        <f>+_xlfn.XLOOKUP($CT128,Budget!$A:$A,Budget!DB:DB)</f>
        <v>1283.3333333333333</v>
      </c>
      <c r="DU128" s="106">
        <f t="shared" si="1406"/>
        <v>15400.000000000002</v>
      </c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106">
        <f t="shared" si="1407"/>
        <v>0</v>
      </c>
      <c r="EJ128" s="16" t="str">
        <f t="shared" si="966"/>
        <v>Bonus</v>
      </c>
      <c r="EK128" s="22">
        <f>+VLOOKUP($BD128,'Jan-25'!$A:$J,10,0)</f>
        <v>3250</v>
      </c>
      <c r="EL128" s="22">
        <f>+VLOOKUP($BD128,'Feb-25'!$A:$J,10,0)</f>
        <v>3250</v>
      </c>
      <c r="EM128" s="22">
        <f>+VLOOKUP($BD128,'Mar-25'!$A:$J,10,0)</f>
        <v>3250</v>
      </c>
      <c r="EN128" s="22">
        <f>+VLOOKUP($BD128,'Apr-25'!$A:$J,10,0)</f>
        <v>3250</v>
      </c>
      <c r="EO128" s="22">
        <f>+VLOOKUP($BD128,'May-25'!$A:$J,10,0)</f>
        <v>3250</v>
      </c>
      <c r="EP128" s="22">
        <f>+VLOOKUP($BD128,'June-25'!$A:$J,10,0)</f>
        <v>3250</v>
      </c>
      <c r="EQ128" s="22">
        <f>+VLOOKUP($BD128,'July-25'!$A:$J,10,0)</f>
        <v>3250</v>
      </c>
      <c r="ER128" s="22">
        <f>+VLOOKUP($BD128,'Aug-25'!$A:$J,10,0)</f>
        <v>3250</v>
      </c>
      <c r="ES128" s="22">
        <f>+VLOOKUP($BD128,'Sep-25'!$A:$J,10,0)</f>
        <v>3250</v>
      </c>
      <c r="ET128" s="22">
        <f>+VLOOKUP($BD128,'Oct-25'!$A:$J,10,0)</f>
        <v>3250</v>
      </c>
      <c r="EU128" s="22">
        <f>+VLOOKUP($BD128,'Nov-25'!$A:$J,10,0)</f>
        <v>0</v>
      </c>
      <c r="EV128" s="22">
        <f>+VLOOKUP($BD128,'Dec-25'!$A:$J,10,0)</f>
        <v>0</v>
      </c>
      <c r="EW128" s="22">
        <f t="shared" si="1408"/>
        <v>32500</v>
      </c>
      <c r="EX128" s="118">
        <f t="shared" si="1226"/>
        <v>0</v>
      </c>
      <c r="EY128" s="106">
        <f>+_xlfn.XLOOKUP($EJ128,Budget!$A:$A,Budget!DR:DR)</f>
        <v>3250</v>
      </c>
      <c r="EZ128" s="106">
        <f>+_xlfn.XLOOKUP($EJ128,Budget!$A:$A,Budget!DS:DS)</f>
        <v>3250</v>
      </c>
      <c r="FA128" s="106">
        <f>+_xlfn.XLOOKUP($EJ128,Budget!$A:$A,Budget!DT:DT)</f>
        <v>3250</v>
      </c>
      <c r="FB128" s="106">
        <f>+_xlfn.XLOOKUP($EJ128,Budget!$A:$A,Budget!DU:DU)</f>
        <v>3250</v>
      </c>
      <c r="FC128" s="106">
        <f>+_xlfn.XLOOKUP($EJ128,Budget!$A:$A,Budget!DV:DV)</f>
        <v>3250</v>
      </c>
      <c r="FD128" s="106">
        <f>+_xlfn.XLOOKUP($EJ128,Budget!$A:$A,Budget!DW:DW)</f>
        <v>3250</v>
      </c>
      <c r="FE128" s="106">
        <f>+_xlfn.XLOOKUP($EJ128,Budget!$A:$A,Budget!DX:DX)</f>
        <v>3250</v>
      </c>
      <c r="FF128" s="106">
        <f>+_xlfn.XLOOKUP($EJ128,Budget!$A:$A,Budget!DY:DY)</f>
        <v>3250</v>
      </c>
      <c r="FG128" s="106">
        <f>+_xlfn.XLOOKUP($EJ128,Budget!$A:$A,Budget!DZ:DZ)</f>
        <v>3250</v>
      </c>
      <c r="FH128" s="106">
        <f>+_xlfn.XLOOKUP($EJ128,Budget!$A:$A,Budget!EA:EA)</f>
        <v>3250</v>
      </c>
      <c r="FI128" s="106">
        <f>+_xlfn.XLOOKUP($EJ128,Budget!$A:$A,Budget!EB:EB)</f>
        <v>3250</v>
      </c>
      <c r="FJ128" s="106">
        <f>+_xlfn.XLOOKUP($EJ128,Budget!$A:$A,Budget!EC:EC)</f>
        <v>3250</v>
      </c>
      <c r="FK128" s="106">
        <f t="shared" si="1409"/>
        <v>39000</v>
      </c>
    </row>
    <row r="129" spans="1:167" ht="14.45" hidden="1" customHeight="1" outlineLevel="1" collapsed="1">
      <c r="A129" s="58">
        <f t="shared" ref="A129:M129" si="1412">+SUM(A130:A132)</f>
        <v>0</v>
      </c>
      <c r="B129" s="58">
        <f t="shared" si="1412"/>
        <v>0</v>
      </c>
      <c r="C129" s="58">
        <f t="shared" si="1412"/>
        <v>0</v>
      </c>
      <c r="D129" s="58">
        <f t="shared" si="1412"/>
        <v>0</v>
      </c>
      <c r="E129" s="58">
        <f t="shared" si="1412"/>
        <v>8526.24</v>
      </c>
      <c r="F129" s="58">
        <f t="shared" si="1412"/>
        <v>0</v>
      </c>
      <c r="G129" s="58">
        <f t="shared" si="1412"/>
        <v>0</v>
      </c>
      <c r="H129" s="58">
        <f t="shared" si="1412"/>
        <v>0</v>
      </c>
      <c r="I129" s="58">
        <f t="shared" si="1412"/>
        <v>0</v>
      </c>
      <c r="J129" s="58">
        <f t="shared" si="1412"/>
        <v>0</v>
      </c>
      <c r="K129" s="58">
        <f t="shared" si="1412"/>
        <v>0</v>
      </c>
      <c r="L129" s="58">
        <f t="shared" si="1412"/>
        <v>0</v>
      </c>
      <c r="M129" s="58">
        <f t="shared" si="1412"/>
        <v>8526.24</v>
      </c>
      <c r="N129" s="20" t="s">
        <v>106</v>
      </c>
      <c r="O129" s="58">
        <f t="shared" ref="O129" si="1413">+SUM(O130:O132)</f>
        <v>0</v>
      </c>
      <c r="P129" s="58">
        <f t="shared" ref="P129" si="1414">+SUM(P130:P132)</f>
        <v>0</v>
      </c>
      <c r="Q129" s="58">
        <f t="shared" ref="Q129" si="1415">+SUM(Q130:Q132)</f>
        <v>0</v>
      </c>
      <c r="R129" s="58">
        <f t="shared" ref="R129" si="1416">+SUM(R130:R132)</f>
        <v>0</v>
      </c>
      <c r="S129" s="58">
        <f t="shared" ref="S129" si="1417">+SUM(S130:S132)</f>
        <v>0</v>
      </c>
      <c r="T129" s="58">
        <f t="shared" ref="T129" si="1418">+SUM(T130:T132)</f>
        <v>0</v>
      </c>
      <c r="U129" s="58">
        <f t="shared" ref="U129" si="1419">+SUM(U130:U132)</f>
        <v>0</v>
      </c>
      <c r="V129" s="58">
        <f t="shared" ref="V129" si="1420">+SUM(V130:V132)</f>
        <v>0</v>
      </c>
      <c r="W129" s="58">
        <f t="shared" ref="W129" si="1421">+SUM(W130:W132)</f>
        <v>10287</v>
      </c>
      <c r="X129" s="58">
        <f t="shared" ref="X129" si="1422">+SUM(X130:X132)</f>
        <v>0</v>
      </c>
      <c r="Y129" s="58">
        <f t="shared" ref="Y129" si="1423">+SUM(Y130:Y132)</f>
        <v>0</v>
      </c>
      <c r="Z129" s="58">
        <f t="shared" ref="Z129" si="1424">+SUM(Z130:Z132)</f>
        <v>0</v>
      </c>
      <c r="AA129" s="58">
        <f t="shared" ref="AA129" si="1425">+SUM(AA130:AA132)</f>
        <v>10287</v>
      </c>
      <c r="AB129" s="118">
        <f t="shared" si="1223"/>
        <v>-1</v>
      </c>
      <c r="AC129" s="58">
        <f t="shared" ref="AC129" si="1426">+SUM(AC130:AC132)</f>
        <v>27500</v>
      </c>
      <c r="AD129" s="58">
        <f t="shared" ref="AD129" si="1427">+SUM(AD130:AD132)</f>
        <v>27500</v>
      </c>
      <c r="AE129" s="58">
        <f t="shared" ref="AE129" si="1428">+SUM(AE130:AE132)</f>
        <v>27500</v>
      </c>
      <c r="AF129" s="58">
        <f t="shared" ref="AF129" si="1429">+SUM(AF130:AF132)</f>
        <v>27500</v>
      </c>
      <c r="AG129" s="58">
        <f t="shared" ref="AG129" si="1430">+SUM(AG130:AG132)</f>
        <v>27500</v>
      </c>
      <c r="AH129" s="58">
        <f t="shared" ref="AH129" si="1431">+SUM(AH130:AH132)</f>
        <v>27500</v>
      </c>
      <c r="AI129" s="58">
        <f t="shared" ref="AI129" si="1432">+SUM(AI130:AI132)</f>
        <v>27500</v>
      </c>
      <c r="AJ129" s="58">
        <f t="shared" ref="AJ129" si="1433">+SUM(AJ130:AJ132)</f>
        <v>27500</v>
      </c>
      <c r="AK129" s="58">
        <f t="shared" ref="AK129" si="1434">+SUM(AK130:AK132)</f>
        <v>27500</v>
      </c>
      <c r="AL129" s="58">
        <f t="shared" ref="AL129" si="1435">+SUM(AL130:AL132)</f>
        <v>27500</v>
      </c>
      <c r="AM129" s="58">
        <f t="shared" ref="AM129" si="1436">+SUM(AM130:AM132)</f>
        <v>27500</v>
      </c>
      <c r="AN129" s="58">
        <f t="shared" ref="AN129" si="1437">+SUM(AN130:AN132)</f>
        <v>27500</v>
      </c>
      <c r="AO129" s="58">
        <f t="shared" ref="AO129" si="1438">+SUM(AO130:AO132)</f>
        <v>330000</v>
      </c>
      <c r="AQ129" s="58">
        <f t="shared" ref="AQ129:CE129" si="1439">+SUM(AQ130:AQ132)</f>
        <v>0</v>
      </c>
      <c r="AR129" s="58">
        <f t="shared" si="1439"/>
        <v>0</v>
      </c>
      <c r="AS129" s="58">
        <f t="shared" si="1439"/>
        <v>0</v>
      </c>
      <c r="AT129" s="58">
        <f t="shared" si="1439"/>
        <v>0</v>
      </c>
      <c r="AU129" s="58">
        <f t="shared" si="1439"/>
        <v>5684.16</v>
      </c>
      <c r="AV129" s="58">
        <f t="shared" si="1439"/>
        <v>0</v>
      </c>
      <c r="AW129" s="58">
        <f t="shared" si="1439"/>
        <v>0</v>
      </c>
      <c r="AX129" s="58">
        <f t="shared" si="1439"/>
        <v>0</v>
      </c>
      <c r="AY129" s="58">
        <f t="shared" si="1439"/>
        <v>0</v>
      </c>
      <c r="AZ129" s="58">
        <f t="shared" si="1439"/>
        <v>0</v>
      </c>
      <c r="BA129" s="58">
        <f t="shared" si="1439"/>
        <v>0</v>
      </c>
      <c r="BB129" s="58">
        <f t="shared" si="1439"/>
        <v>0</v>
      </c>
      <c r="BC129" s="58">
        <f t="shared" si="1439"/>
        <v>5684.16</v>
      </c>
      <c r="BD129" s="20" t="str">
        <f t="shared" si="1410"/>
        <v>Training Expenses</v>
      </c>
      <c r="BE129" s="58">
        <f t="shared" si="1439"/>
        <v>0</v>
      </c>
      <c r="BF129" s="58">
        <f t="shared" ref="BF129:BP129" si="1440">+SUM(BF130:BF132)</f>
        <v>0</v>
      </c>
      <c r="BG129" s="58">
        <f t="shared" si="1440"/>
        <v>0</v>
      </c>
      <c r="BH129" s="58">
        <f t="shared" si="1440"/>
        <v>0</v>
      </c>
      <c r="BI129" s="58">
        <f t="shared" si="1440"/>
        <v>0</v>
      </c>
      <c r="BJ129" s="58">
        <f t="shared" si="1440"/>
        <v>0</v>
      </c>
      <c r="BK129" s="58">
        <f t="shared" si="1440"/>
        <v>0</v>
      </c>
      <c r="BL129" s="58">
        <f t="shared" si="1440"/>
        <v>0</v>
      </c>
      <c r="BM129" s="58">
        <f t="shared" si="1440"/>
        <v>6858</v>
      </c>
      <c r="BN129" s="58">
        <f t="shared" si="1440"/>
        <v>0</v>
      </c>
      <c r="BO129" s="58">
        <f t="shared" si="1440"/>
        <v>0</v>
      </c>
      <c r="BP129" s="58">
        <f t="shared" si="1440"/>
        <v>0</v>
      </c>
      <c r="BQ129" s="58">
        <f t="shared" si="1439"/>
        <v>6858</v>
      </c>
      <c r="BR129" s="118">
        <f t="shared" si="1224"/>
        <v>-1</v>
      </c>
      <c r="BS129" s="58">
        <f t="shared" si="1439"/>
        <v>10000</v>
      </c>
      <c r="BT129" s="58">
        <f t="shared" si="1439"/>
        <v>10000</v>
      </c>
      <c r="BU129" s="58">
        <f t="shared" si="1439"/>
        <v>10000</v>
      </c>
      <c r="BV129" s="58">
        <f t="shared" si="1439"/>
        <v>10000</v>
      </c>
      <c r="BW129" s="58">
        <f t="shared" si="1439"/>
        <v>10000</v>
      </c>
      <c r="BX129" s="58">
        <f t="shared" si="1439"/>
        <v>10000</v>
      </c>
      <c r="BY129" s="58">
        <f t="shared" si="1439"/>
        <v>10000</v>
      </c>
      <c r="BZ129" s="58">
        <f t="shared" si="1439"/>
        <v>10000</v>
      </c>
      <c r="CA129" s="58">
        <f t="shared" si="1439"/>
        <v>10000</v>
      </c>
      <c r="CB129" s="58">
        <f t="shared" si="1439"/>
        <v>10000</v>
      </c>
      <c r="CC129" s="58">
        <f t="shared" si="1439"/>
        <v>10000</v>
      </c>
      <c r="CD129" s="58">
        <f t="shared" si="1439"/>
        <v>10000</v>
      </c>
      <c r="CE129" s="58">
        <f t="shared" si="1439"/>
        <v>120000</v>
      </c>
      <c r="CF129" s="106"/>
      <c r="CG129" s="58">
        <f t="shared" ref="CG129:CS129" si="1441">+SUM(CG130:CG132)</f>
        <v>0</v>
      </c>
      <c r="CH129" s="58">
        <f t="shared" si="1441"/>
        <v>0</v>
      </c>
      <c r="CI129" s="58">
        <f t="shared" si="1441"/>
        <v>0</v>
      </c>
      <c r="CJ129" s="58">
        <f t="shared" si="1441"/>
        <v>0</v>
      </c>
      <c r="CK129" s="58">
        <f t="shared" si="1441"/>
        <v>2842.08</v>
      </c>
      <c r="CL129" s="58">
        <f t="shared" si="1441"/>
        <v>0</v>
      </c>
      <c r="CM129" s="58">
        <f t="shared" si="1441"/>
        <v>0</v>
      </c>
      <c r="CN129" s="58">
        <f t="shared" si="1441"/>
        <v>0</v>
      </c>
      <c r="CO129" s="58">
        <f t="shared" si="1441"/>
        <v>0</v>
      </c>
      <c r="CP129" s="58">
        <f t="shared" si="1441"/>
        <v>0</v>
      </c>
      <c r="CQ129" s="58">
        <f t="shared" si="1441"/>
        <v>0</v>
      </c>
      <c r="CR129" s="58">
        <f t="shared" si="1441"/>
        <v>0</v>
      </c>
      <c r="CS129" s="58">
        <f t="shared" si="1441"/>
        <v>2842.08</v>
      </c>
      <c r="CT129" s="20" t="str">
        <f t="shared" si="1411"/>
        <v>Training Expenses</v>
      </c>
      <c r="CU129" s="58">
        <f t="shared" ref="CU129:DU129" si="1442">+SUM(CU130:CU132)</f>
        <v>0</v>
      </c>
      <c r="CV129" s="58">
        <f t="shared" si="1442"/>
        <v>0</v>
      </c>
      <c r="CW129" s="58">
        <f t="shared" si="1442"/>
        <v>0</v>
      </c>
      <c r="CX129" s="58">
        <f t="shared" si="1442"/>
        <v>0</v>
      </c>
      <c r="CY129" s="58">
        <f t="shared" si="1442"/>
        <v>0</v>
      </c>
      <c r="CZ129" s="58">
        <f t="shared" si="1442"/>
        <v>0</v>
      </c>
      <c r="DA129" s="58">
        <f t="shared" si="1442"/>
        <v>0</v>
      </c>
      <c r="DB129" s="58">
        <f t="shared" si="1442"/>
        <v>0</v>
      </c>
      <c r="DC129" s="58">
        <f t="shared" si="1442"/>
        <v>3429</v>
      </c>
      <c r="DD129" s="58">
        <f t="shared" si="1442"/>
        <v>0</v>
      </c>
      <c r="DE129" s="58">
        <f t="shared" si="1442"/>
        <v>0</v>
      </c>
      <c r="DF129" s="58">
        <f t="shared" si="1442"/>
        <v>0</v>
      </c>
      <c r="DG129" s="58">
        <f t="shared" si="1442"/>
        <v>3429</v>
      </c>
      <c r="DH129" s="118">
        <f t="shared" si="1225"/>
        <v>-1</v>
      </c>
      <c r="DI129" s="58">
        <f t="shared" si="1442"/>
        <v>10000</v>
      </c>
      <c r="DJ129" s="58">
        <f t="shared" si="1442"/>
        <v>10000</v>
      </c>
      <c r="DK129" s="58">
        <f t="shared" si="1442"/>
        <v>10000</v>
      </c>
      <c r="DL129" s="58">
        <f t="shared" si="1442"/>
        <v>10000</v>
      </c>
      <c r="DM129" s="58">
        <f t="shared" si="1442"/>
        <v>10000</v>
      </c>
      <c r="DN129" s="58">
        <f t="shared" si="1442"/>
        <v>10000</v>
      </c>
      <c r="DO129" s="58">
        <f t="shared" si="1442"/>
        <v>10000</v>
      </c>
      <c r="DP129" s="58">
        <f t="shared" si="1442"/>
        <v>10000</v>
      </c>
      <c r="DQ129" s="58">
        <f t="shared" si="1442"/>
        <v>10000</v>
      </c>
      <c r="DR129" s="58">
        <f t="shared" si="1442"/>
        <v>10000</v>
      </c>
      <c r="DS129" s="58">
        <f t="shared" si="1442"/>
        <v>10000</v>
      </c>
      <c r="DT129" s="58">
        <f t="shared" si="1442"/>
        <v>10000</v>
      </c>
      <c r="DU129" s="58">
        <f t="shared" si="1442"/>
        <v>120000</v>
      </c>
      <c r="DW129" s="28">
        <f t="shared" ref="DW129:EI129" si="1443">+SUM(DW130:DW132)</f>
        <v>0</v>
      </c>
      <c r="DX129" s="28">
        <f t="shared" si="1443"/>
        <v>0</v>
      </c>
      <c r="DY129" s="28">
        <f t="shared" si="1443"/>
        <v>0</v>
      </c>
      <c r="DZ129" s="28">
        <f t="shared" si="1443"/>
        <v>0</v>
      </c>
      <c r="EA129" s="28">
        <f t="shared" si="1443"/>
        <v>0</v>
      </c>
      <c r="EB129" s="28">
        <f t="shared" si="1443"/>
        <v>0</v>
      </c>
      <c r="EC129" s="28">
        <f t="shared" si="1443"/>
        <v>0</v>
      </c>
      <c r="ED129" s="28">
        <f t="shared" si="1443"/>
        <v>0</v>
      </c>
      <c r="EE129" s="28">
        <f t="shared" si="1443"/>
        <v>0</v>
      </c>
      <c r="EF129" s="28">
        <f t="shared" si="1443"/>
        <v>0</v>
      </c>
      <c r="EG129" s="28">
        <f t="shared" si="1443"/>
        <v>0</v>
      </c>
      <c r="EH129" s="28">
        <f t="shared" si="1443"/>
        <v>0</v>
      </c>
      <c r="EI129" s="58">
        <f t="shared" si="1443"/>
        <v>0</v>
      </c>
      <c r="EJ129" s="20" t="str">
        <f t="shared" si="966"/>
        <v>Training Expenses</v>
      </c>
      <c r="EK129" s="28">
        <f t="shared" ref="EK129:EV129" si="1444">+SUM(EK130:EK132)</f>
        <v>0</v>
      </c>
      <c r="EL129" s="28">
        <f t="shared" si="1444"/>
        <v>0</v>
      </c>
      <c r="EM129" s="28">
        <f t="shared" si="1444"/>
        <v>0</v>
      </c>
      <c r="EN129" s="28">
        <f t="shared" si="1444"/>
        <v>0</v>
      </c>
      <c r="EO129" s="28">
        <f t="shared" si="1444"/>
        <v>0</v>
      </c>
      <c r="EP129" s="28">
        <f t="shared" si="1444"/>
        <v>0</v>
      </c>
      <c r="EQ129" s="28">
        <f t="shared" si="1444"/>
        <v>0</v>
      </c>
      <c r="ER129" s="28">
        <f t="shared" si="1444"/>
        <v>0</v>
      </c>
      <c r="ES129" s="28">
        <f t="shared" si="1444"/>
        <v>0</v>
      </c>
      <c r="ET129" s="28">
        <f t="shared" si="1444"/>
        <v>0</v>
      </c>
      <c r="EU129" s="28">
        <f t="shared" si="1444"/>
        <v>0</v>
      </c>
      <c r="EV129" s="28">
        <f t="shared" si="1444"/>
        <v>0</v>
      </c>
      <c r="EW129" s="28">
        <f t="shared" ref="EW129" si="1445">+SUM(EW130:EW132)</f>
        <v>0</v>
      </c>
      <c r="EX129" s="118">
        <f t="shared" si="1226"/>
        <v>-1</v>
      </c>
      <c r="EY129" s="58">
        <f t="shared" ref="EY129:FK129" si="1446">+SUM(EY130:EY132)</f>
        <v>7500</v>
      </c>
      <c r="EZ129" s="58">
        <f t="shared" si="1446"/>
        <v>7500</v>
      </c>
      <c r="FA129" s="58">
        <f t="shared" si="1446"/>
        <v>7500</v>
      </c>
      <c r="FB129" s="58">
        <f t="shared" si="1446"/>
        <v>7500</v>
      </c>
      <c r="FC129" s="58">
        <f t="shared" si="1446"/>
        <v>7500</v>
      </c>
      <c r="FD129" s="58">
        <f t="shared" si="1446"/>
        <v>7500</v>
      </c>
      <c r="FE129" s="58">
        <f t="shared" si="1446"/>
        <v>7500</v>
      </c>
      <c r="FF129" s="58">
        <f t="shared" si="1446"/>
        <v>7500</v>
      </c>
      <c r="FG129" s="58">
        <f t="shared" si="1446"/>
        <v>7500</v>
      </c>
      <c r="FH129" s="58">
        <f t="shared" si="1446"/>
        <v>7500</v>
      </c>
      <c r="FI129" s="58">
        <f t="shared" si="1446"/>
        <v>7500</v>
      </c>
      <c r="FJ129" s="58">
        <f t="shared" si="1446"/>
        <v>7500</v>
      </c>
      <c r="FK129" s="58">
        <f t="shared" si="1446"/>
        <v>90000</v>
      </c>
    </row>
    <row r="130" spans="1:167" ht="14.45" hidden="1" customHeight="1" outlineLevel="2">
      <c r="A130" s="106">
        <f t="shared" ref="A130:L154" si="1447">+AQ130+CG130+DW130</f>
        <v>0</v>
      </c>
      <c r="B130" s="106">
        <f t="shared" si="1447"/>
        <v>0</v>
      </c>
      <c r="C130" s="106">
        <f t="shared" si="1447"/>
        <v>0</v>
      </c>
      <c r="D130" s="106">
        <f t="shared" si="1447"/>
        <v>0</v>
      </c>
      <c r="E130" s="106">
        <f t="shared" si="1447"/>
        <v>8526.24</v>
      </c>
      <c r="F130" s="106">
        <f t="shared" si="1447"/>
        <v>0</v>
      </c>
      <c r="G130" s="106">
        <f t="shared" si="1447"/>
        <v>0</v>
      </c>
      <c r="H130" s="106">
        <f t="shared" si="1447"/>
        <v>0</v>
      </c>
      <c r="I130" s="106">
        <f t="shared" si="1447"/>
        <v>0</v>
      </c>
      <c r="J130" s="106">
        <f t="shared" si="1447"/>
        <v>0</v>
      </c>
      <c r="K130" s="106">
        <f t="shared" si="1447"/>
        <v>0</v>
      </c>
      <c r="L130" s="106">
        <f t="shared" si="1447"/>
        <v>0</v>
      </c>
      <c r="M130" s="106">
        <f t="shared" ref="M130:M132" si="1448">+SUM(A130:L130)</f>
        <v>8526.24</v>
      </c>
      <c r="N130" s="16" t="s">
        <v>107</v>
      </c>
      <c r="O130" s="106">
        <f t="shared" ref="O130:O132" si="1449">+BE130+CU130+EK130</f>
        <v>0</v>
      </c>
      <c r="P130" s="106">
        <f t="shared" ref="P130:P132" si="1450">+BF130+CV130+EL130</f>
        <v>0</v>
      </c>
      <c r="Q130" s="106">
        <f t="shared" ref="Q130:Q132" si="1451">+BG130+CW130+EM130</f>
        <v>0</v>
      </c>
      <c r="R130" s="106">
        <f t="shared" ref="R130:R132" si="1452">+BH130+CX130+EN130</f>
        <v>0</v>
      </c>
      <c r="S130" s="106">
        <f t="shared" ref="S130:S132" si="1453">+BI130+CY130+EO130</f>
        <v>0</v>
      </c>
      <c r="T130" s="106">
        <f t="shared" ref="T130:T132" si="1454">+BJ130+CZ130+EP130</f>
        <v>0</v>
      </c>
      <c r="U130" s="106">
        <f t="shared" ref="U130:U132" si="1455">+BK130+DA130+EQ130</f>
        <v>0</v>
      </c>
      <c r="V130" s="106">
        <f t="shared" ref="V130:V132" si="1456">+BL130+DB130+ER130</f>
        <v>0</v>
      </c>
      <c r="W130" s="106">
        <f t="shared" ref="W130:W132" si="1457">+BM130+DC130+ES130</f>
        <v>10287</v>
      </c>
      <c r="X130" s="106">
        <f t="shared" ref="X130:X132" si="1458">+BN130+DD130+ET130</f>
        <v>0</v>
      </c>
      <c r="Y130" s="106">
        <f t="shared" ref="Y130:Y132" si="1459">+BO130+DE130+EU130</f>
        <v>0</v>
      </c>
      <c r="Z130" s="106">
        <f t="shared" ref="Z130:Z132" si="1460">+BP130+DF130+EV130</f>
        <v>0</v>
      </c>
      <c r="AA130" s="106">
        <f t="shared" ref="AA130:AA132" si="1461">+SUM(O130:Z130)</f>
        <v>10287</v>
      </c>
      <c r="AB130" s="118">
        <f t="shared" si="1223"/>
        <v>0</v>
      </c>
      <c r="AC130" s="106">
        <f t="shared" ref="AC130:AC132" si="1462">+BS130+DI130+EY130</f>
        <v>0</v>
      </c>
      <c r="AD130" s="106">
        <f t="shared" ref="AD130:AD132" si="1463">+BT130+DJ130+EZ130</f>
        <v>0</v>
      </c>
      <c r="AE130" s="106">
        <f t="shared" ref="AE130:AE132" si="1464">+BU130+DK130+FA130</f>
        <v>0</v>
      </c>
      <c r="AF130" s="106">
        <f t="shared" ref="AF130:AF132" si="1465">+BV130+DL130+FB130</f>
        <v>0</v>
      </c>
      <c r="AG130" s="106">
        <f t="shared" ref="AG130:AG132" si="1466">+BW130+DM130+FC130</f>
        <v>0</v>
      </c>
      <c r="AH130" s="106">
        <f t="shared" ref="AH130:AH132" si="1467">+BX130+DN130+FD130</f>
        <v>0</v>
      </c>
      <c r="AI130" s="106">
        <f t="shared" ref="AI130:AI132" si="1468">+BY130+DO130+FE130</f>
        <v>0</v>
      </c>
      <c r="AJ130" s="106">
        <f t="shared" ref="AJ130:AJ132" si="1469">+BZ130+DP130+FF130</f>
        <v>0</v>
      </c>
      <c r="AK130" s="106">
        <f t="shared" ref="AK130:AK132" si="1470">+CA130+DQ130+FG130</f>
        <v>0</v>
      </c>
      <c r="AL130" s="106">
        <f t="shared" ref="AL130:AL132" si="1471">+CB130+DR130+FH130</f>
        <v>0</v>
      </c>
      <c r="AM130" s="106">
        <f t="shared" ref="AM130:AM132" si="1472">+CC130+DS130+FI130</f>
        <v>0</v>
      </c>
      <c r="AN130" s="106">
        <f t="shared" ref="AN130:AN132" si="1473">+CD130+DT130+FJ130</f>
        <v>0</v>
      </c>
      <c r="AO130" s="106">
        <f t="shared" ref="AO130:AO132" si="1474">+SUM(AC130:AN130)</f>
        <v>0</v>
      </c>
      <c r="AQ130" s="106">
        <v>0</v>
      </c>
      <c r="AR130" s="106">
        <v>0</v>
      </c>
      <c r="AS130" s="106">
        <v>0</v>
      </c>
      <c r="AT130" s="106">
        <v>0</v>
      </c>
      <c r="AU130" s="106">
        <v>5684.16</v>
      </c>
      <c r="AV130" s="106">
        <v>0</v>
      </c>
      <c r="AW130" s="106">
        <v>0</v>
      </c>
      <c r="AX130" s="106">
        <v>0</v>
      </c>
      <c r="AY130" s="106">
        <v>0</v>
      </c>
      <c r="AZ130" s="106">
        <v>0</v>
      </c>
      <c r="BA130" s="106">
        <v>0</v>
      </c>
      <c r="BB130" s="106">
        <v>0</v>
      </c>
      <c r="BC130" s="106">
        <f t="shared" ref="BC130:BC132" si="1475">+SUM(AQ130:BB130)</f>
        <v>5684.16</v>
      </c>
      <c r="BD130" s="16" t="str">
        <f t="shared" si="1410"/>
        <v>Training Expenses - Others</v>
      </c>
      <c r="BE130" s="106">
        <f>+VLOOKUP($BD130,'Jan-25'!$A:$J,5,0)</f>
        <v>0</v>
      </c>
      <c r="BF130" s="106">
        <f>+VLOOKUP($BD130,'Feb-25'!$A:$J,5,0)</f>
        <v>0</v>
      </c>
      <c r="BG130" s="106">
        <f>+VLOOKUP($BD130,'Mar-25'!$A:$J,5,0)</f>
        <v>0</v>
      </c>
      <c r="BH130" s="106">
        <f>+VLOOKUP($BD130,'Apr-25'!$A:$J,5,0)</f>
        <v>0</v>
      </c>
      <c r="BI130" s="106">
        <f>+VLOOKUP($BD130,'May-25'!$A:$J,5,0)</f>
        <v>0</v>
      </c>
      <c r="BJ130" s="106">
        <f>+VLOOKUP($BD130,'June-25'!$A:$J,5,0)</f>
        <v>0</v>
      </c>
      <c r="BK130" s="106">
        <f>+VLOOKUP($BD130,'July-25'!$A:$J,5,0)</f>
        <v>0</v>
      </c>
      <c r="BL130" s="106">
        <f>+VLOOKUP($BD130,'Aug-25'!$A:$J,5,0)</f>
        <v>0</v>
      </c>
      <c r="BM130" s="106">
        <f>+VLOOKUP($BD130,'Sep-25'!$A:$J,5,0)</f>
        <v>6858</v>
      </c>
      <c r="BN130" s="106">
        <f>+VLOOKUP($BD130,'Oct-25'!$A:$J,5,0)</f>
        <v>0</v>
      </c>
      <c r="BO130" s="106">
        <f>+VLOOKUP($BD130,'Nov-25'!$A:$J,5,0)</f>
        <v>0</v>
      </c>
      <c r="BP130" s="106">
        <f>+VLOOKUP($BD130,'Dec-25'!$A:$J,5,0)</f>
        <v>0</v>
      </c>
      <c r="BQ130" s="106">
        <f t="shared" ref="BQ130:BQ132" si="1476">+SUM(BE130:BP130)</f>
        <v>6858</v>
      </c>
      <c r="BR130" s="118">
        <f t="shared" si="1224"/>
        <v>0</v>
      </c>
      <c r="BS130" s="106">
        <f>+_xlfn.XLOOKUP($BD130,Budget!$A:$A,Budget!BD:BD)</f>
        <v>0</v>
      </c>
      <c r="BT130" s="106">
        <f>+_xlfn.XLOOKUP($BD130,Budget!$A:$A,Budget!BE:BE)</f>
        <v>0</v>
      </c>
      <c r="BU130" s="106">
        <f>+_xlfn.XLOOKUP($BD130,Budget!$A:$A,Budget!BF:BF)</f>
        <v>0</v>
      </c>
      <c r="BV130" s="106">
        <f>+_xlfn.XLOOKUP($BD130,Budget!$A:$A,Budget!BG:BG)</f>
        <v>0</v>
      </c>
      <c r="BW130" s="106">
        <f>+_xlfn.XLOOKUP($BD130,Budget!$A:$A,Budget!BH:BH)</f>
        <v>0</v>
      </c>
      <c r="BX130" s="106">
        <f>+_xlfn.XLOOKUP($BD130,Budget!$A:$A,Budget!BI:BI)</f>
        <v>0</v>
      </c>
      <c r="BY130" s="106">
        <f>+_xlfn.XLOOKUP($BD130,Budget!$A:$A,Budget!BJ:BJ)</f>
        <v>0</v>
      </c>
      <c r="BZ130" s="106">
        <f>+_xlfn.XLOOKUP($BD130,Budget!$A:$A,Budget!BK:BK)</f>
        <v>0</v>
      </c>
      <c r="CA130" s="106">
        <f>+_xlfn.XLOOKUP($BD130,Budget!$A:$A,Budget!BL:BL)</f>
        <v>0</v>
      </c>
      <c r="CB130" s="106">
        <f>+_xlfn.XLOOKUP($BD130,Budget!$A:$A,Budget!BM:BM)</f>
        <v>0</v>
      </c>
      <c r="CC130" s="106">
        <f>+_xlfn.XLOOKUP($BD130,Budget!$A:$A,Budget!BN:BN)</f>
        <v>0</v>
      </c>
      <c r="CD130" s="106">
        <f>+_xlfn.XLOOKUP($BD130,Budget!$A:$A,Budget!BO:BO)</f>
        <v>0</v>
      </c>
      <c r="CE130" s="106">
        <f t="shared" ref="CE130:CE132" si="1477">+SUM(BS130:CD130)</f>
        <v>0</v>
      </c>
      <c r="CF130" s="106"/>
      <c r="CG130" s="106">
        <v>0</v>
      </c>
      <c r="CH130" s="106">
        <v>0</v>
      </c>
      <c r="CI130" s="106">
        <v>0</v>
      </c>
      <c r="CJ130" s="106">
        <v>0</v>
      </c>
      <c r="CK130" s="106">
        <v>2842.08</v>
      </c>
      <c r="CL130" s="106">
        <v>0</v>
      </c>
      <c r="CM130" s="106">
        <v>0</v>
      </c>
      <c r="CN130" s="106">
        <v>0</v>
      </c>
      <c r="CO130" s="106">
        <v>0</v>
      </c>
      <c r="CP130" s="106">
        <v>0</v>
      </c>
      <c r="CQ130" s="106">
        <v>0</v>
      </c>
      <c r="CR130" s="106">
        <v>0</v>
      </c>
      <c r="CS130" s="106">
        <f t="shared" ref="CS130:CS132" si="1478">+SUM(CG130:CR130)</f>
        <v>2842.08</v>
      </c>
      <c r="CT130" s="16" t="str">
        <f t="shared" si="1411"/>
        <v>Training Expenses - Others</v>
      </c>
      <c r="CU130" s="106">
        <f>+VLOOKUP($BD130,'Jan-25'!$A:$J,8,0)</f>
        <v>0</v>
      </c>
      <c r="CV130" s="106">
        <f>+VLOOKUP($BD130,'Feb-25'!$A:$J,8,0)</f>
        <v>0</v>
      </c>
      <c r="CW130" s="106">
        <f>+VLOOKUP($BD130,'Mar-25'!$A:$J,8,0)</f>
        <v>0</v>
      </c>
      <c r="CX130" s="106">
        <f>+VLOOKUP($BD130,'Apr-25'!$A:$J,8,0)</f>
        <v>0</v>
      </c>
      <c r="CY130" s="106">
        <f>+VLOOKUP($BD130,'May-25'!$A:$J,8,0)</f>
        <v>0</v>
      </c>
      <c r="CZ130" s="106">
        <f>+VLOOKUP($BD130,'June-25'!$A:$J,8,0)</f>
        <v>0</v>
      </c>
      <c r="DA130" s="106">
        <f>+VLOOKUP($BD130,'July-25'!$A:$J,8,0)</f>
        <v>0</v>
      </c>
      <c r="DB130" s="106">
        <f>+VLOOKUP($BD130,'Aug-25'!$A:$J,8,0)</f>
        <v>0</v>
      </c>
      <c r="DC130" s="106">
        <f>+VLOOKUP($BD130,'Sep-25'!$A:$J,8,0)</f>
        <v>3429</v>
      </c>
      <c r="DD130" s="106">
        <f>+VLOOKUP($BD130,'Oct-25'!$A:$J,8,0)</f>
        <v>0</v>
      </c>
      <c r="DE130" s="106">
        <f>+VLOOKUP($BD130,'Nov-25'!$A:$J,8,0)</f>
        <v>0</v>
      </c>
      <c r="DF130" s="106">
        <f>+VLOOKUP($BD130,'Dec-25'!$A:$J,8,0)</f>
        <v>0</v>
      </c>
      <c r="DG130" s="106">
        <f t="shared" ref="DG130:DG132" si="1479">+SUM(CU130:DF130)</f>
        <v>3429</v>
      </c>
      <c r="DH130" s="118">
        <f t="shared" si="1225"/>
        <v>0</v>
      </c>
      <c r="DI130" s="106">
        <f>+_xlfn.XLOOKUP($CT130,Budget!$A:$A,Budget!CQ:CQ)</f>
        <v>0</v>
      </c>
      <c r="DJ130" s="106">
        <f>+_xlfn.XLOOKUP($CT130,Budget!$A:$A,Budget!CR:CR)</f>
        <v>0</v>
      </c>
      <c r="DK130" s="106">
        <f>+_xlfn.XLOOKUP($CT130,Budget!$A:$A,Budget!CS:CS)</f>
        <v>0</v>
      </c>
      <c r="DL130" s="106">
        <f>+_xlfn.XLOOKUP($CT130,Budget!$A:$A,Budget!CT:CT)</f>
        <v>0</v>
      </c>
      <c r="DM130" s="106">
        <f>+_xlfn.XLOOKUP($CT130,Budget!$A:$A,Budget!CU:CU)</f>
        <v>0</v>
      </c>
      <c r="DN130" s="106">
        <f>+_xlfn.XLOOKUP($CT130,Budget!$A:$A,Budget!CV:CV)</f>
        <v>0</v>
      </c>
      <c r="DO130" s="106">
        <f>+_xlfn.XLOOKUP($CT130,Budget!$A:$A,Budget!CW:CW)</f>
        <v>0</v>
      </c>
      <c r="DP130" s="106">
        <f>+_xlfn.XLOOKUP($CT130,Budget!$A:$A,Budget!CX:CX)</f>
        <v>0</v>
      </c>
      <c r="DQ130" s="106">
        <f>+_xlfn.XLOOKUP($CT130,Budget!$A:$A,Budget!CY:CY)</f>
        <v>0</v>
      </c>
      <c r="DR130" s="106">
        <f>+_xlfn.XLOOKUP($CT130,Budget!$A:$A,Budget!CZ:CZ)</f>
        <v>0</v>
      </c>
      <c r="DS130" s="106">
        <f>+_xlfn.XLOOKUP($CT130,Budget!$A:$A,Budget!DA:DA)</f>
        <v>0</v>
      </c>
      <c r="DT130" s="106">
        <f>+_xlfn.XLOOKUP($CT130,Budget!$A:$A,Budget!DB:DB)</f>
        <v>0</v>
      </c>
      <c r="DU130" s="106">
        <f t="shared" ref="DU130:DU132" si="1480">+SUM(DI130:DT130)</f>
        <v>0</v>
      </c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106">
        <f t="shared" ref="EI130:EI132" si="1481">+SUM(DW130:EH130)</f>
        <v>0</v>
      </c>
      <c r="EJ130" s="16" t="str">
        <f t="shared" si="966"/>
        <v>Training Expenses - Others</v>
      </c>
      <c r="EK130" s="22">
        <f>+VLOOKUP($BD130,'Jan-25'!$A:$J,10,0)</f>
        <v>0</v>
      </c>
      <c r="EL130" s="22">
        <f>+VLOOKUP($BD130,'Feb-25'!$A:$J,10,0)</f>
        <v>0</v>
      </c>
      <c r="EM130" s="22">
        <f>+VLOOKUP($BD130,'Mar-25'!$A:$J,10,0)</f>
        <v>0</v>
      </c>
      <c r="EN130" s="22">
        <f>+VLOOKUP($BD130,'Apr-25'!$A:$J,10,0)</f>
        <v>0</v>
      </c>
      <c r="EO130" s="22">
        <f>+VLOOKUP($BD130,'May-25'!$A:$J,10,0)</f>
        <v>0</v>
      </c>
      <c r="EP130" s="22">
        <f>+VLOOKUP($BD130,'June-25'!$A:$J,10,0)</f>
        <v>0</v>
      </c>
      <c r="EQ130" s="22">
        <f>+VLOOKUP($BD130,'July-25'!$A:$J,10,0)</f>
        <v>0</v>
      </c>
      <c r="ER130" s="22">
        <f>+VLOOKUP($BD130,'Aug-25'!$A:$J,10,0)</f>
        <v>0</v>
      </c>
      <c r="ES130" s="22">
        <f>+VLOOKUP($BD130,'Sep-25'!$A:$J,10,0)</f>
        <v>0</v>
      </c>
      <c r="ET130" s="22">
        <f>+VLOOKUP($BD130,'Oct-25'!$A:$J,10,0)</f>
        <v>0</v>
      </c>
      <c r="EU130" s="22">
        <f>+VLOOKUP($BD130,'Nov-25'!$A:$J,10,0)</f>
        <v>0</v>
      </c>
      <c r="EV130" s="22">
        <f>+VLOOKUP($BD130,'Dec-25'!$A:$J,10,0)</f>
        <v>0</v>
      </c>
      <c r="EW130" s="22">
        <f t="shared" ref="EW130:EW132" si="1482">+SUM(EK130:EV130)</f>
        <v>0</v>
      </c>
      <c r="EX130" s="118" t="e">
        <f t="shared" si="1226"/>
        <v>#DIV/0!</v>
      </c>
      <c r="EY130" s="106">
        <f>+_xlfn.XLOOKUP($EJ130,Budget!$A:$A,Budget!DR:DR)</f>
        <v>0</v>
      </c>
      <c r="EZ130" s="106">
        <f>+_xlfn.XLOOKUP($EJ130,Budget!$A:$A,Budget!DS:DS)</f>
        <v>0</v>
      </c>
      <c r="FA130" s="106">
        <f>+_xlfn.XLOOKUP($EJ130,Budget!$A:$A,Budget!DT:DT)</f>
        <v>0</v>
      </c>
      <c r="FB130" s="106">
        <f>+_xlfn.XLOOKUP($EJ130,Budget!$A:$A,Budget!DU:DU)</f>
        <v>0</v>
      </c>
      <c r="FC130" s="106">
        <f>+_xlfn.XLOOKUP($EJ130,Budget!$A:$A,Budget!DV:DV)</f>
        <v>0</v>
      </c>
      <c r="FD130" s="106">
        <f>+_xlfn.XLOOKUP($EJ130,Budget!$A:$A,Budget!DW:DW)</f>
        <v>0</v>
      </c>
      <c r="FE130" s="106">
        <f>+_xlfn.XLOOKUP($EJ130,Budget!$A:$A,Budget!DX:DX)</f>
        <v>0</v>
      </c>
      <c r="FF130" s="106">
        <f>+_xlfn.XLOOKUP($EJ130,Budget!$A:$A,Budget!DY:DY)</f>
        <v>0</v>
      </c>
      <c r="FG130" s="106">
        <f>+_xlfn.XLOOKUP($EJ130,Budget!$A:$A,Budget!DZ:DZ)</f>
        <v>0</v>
      </c>
      <c r="FH130" s="106">
        <f>+_xlfn.XLOOKUP($EJ130,Budget!$A:$A,Budget!EA:EA)</f>
        <v>0</v>
      </c>
      <c r="FI130" s="106">
        <f>+_xlfn.XLOOKUP($EJ130,Budget!$A:$A,Budget!EB:EB)</f>
        <v>0</v>
      </c>
      <c r="FJ130" s="106">
        <f>+_xlfn.XLOOKUP($EJ130,Budget!$A:$A,Budget!EC:EC)</f>
        <v>0</v>
      </c>
      <c r="FK130" s="106">
        <f t="shared" ref="FK130:FK132" si="1483">+SUM(EY130:FJ130)</f>
        <v>0</v>
      </c>
    </row>
    <row r="131" spans="1:167" ht="14.45" hidden="1" customHeight="1" outlineLevel="2">
      <c r="A131" s="106">
        <f t="shared" si="1447"/>
        <v>0</v>
      </c>
      <c r="B131" s="106">
        <f t="shared" si="1447"/>
        <v>0</v>
      </c>
      <c r="C131" s="106">
        <f t="shared" si="1447"/>
        <v>0</v>
      </c>
      <c r="D131" s="106">
        <f t="shared" si="1447"/>
        <v>0</v>
      </c>
      <c r="E131" s="106">
        <f t="shared" si="1447"/>
        <v>0</v>
      </c>
      <c r="F131" s="106">
        <f t="shared" si="1447"/>
        <v>0</v>
      </c>
      <c r="G131" s="106">
        <f t="shared" si="1447"/>
        <v>0</v>
      </c>
      <c r="H131" s="106">
        <f t="shared" si="1447"/>
        <v>0</v>
      </c>
      <c r="I131" s="106">
        <f t="shared" si="1447"/>
        <v>0</v>
      </c>
      <c r="J131" s="106">
        <f t="shared" si="1447"/>
        <v>0</v>
      </c>
      <c r="K131" s="106">
        <f t="shared" si="1447"/>
        <v>0</v>
      </c>
      <c r="L131" s="106">
        <f t="shared" si="1447"/>
        <v>0</v>
      </c>
      <c r="M131" s="106">
        <f t="shared" si="1448"/>
        <v>0</v>
      </c>
      <c r="N131" s="16" t="s">
        <v>108</v>
      </c>
      <c r="O131" s="106">
        <f t="shared" si="1449"/>
        <v>0</v>
      </c>
      <c r="P131" s="106">
        <f t="shared" si="1450"/>
        <v>0</v>
      </c>
      <c r="Q131" s="106">
        <f t="shared" si="1451"/>
        <v>0</v>
      </c>
      <c r="R131" s="106">
        <f t="shared" si="1452"/>
        <v>0</v>
      </c>
      <c r="S131" s="106">
        <f t="shared" si="1453"/>
        <v>0</v>
      </c>
      <c r="T131" s="106">
        <f t="shared" si="1454"/>
        <v>0</v>
      </c>
      <c r="U131" s="106">
        <f t="shared" si="1455"/>
        <v>0</v>
      </c>
      <c r="V131" s="106">
        <f t="shared" si="1456"/>
        <v>0</v>
      </c>
      <c r="W131" s="106">
        <f t="shared" si="1457"/>
        <v>0</v>
      </c>
      <c r="X131" s="106">
        <f t="shared" si="1458"/>
        <v>0</v>
      </c>
      <c r="Y131" s="106">
        <f t="shared" si="1459"/>
        <v>0</v>
      </c>
      <c r="Z131" s="106">
        <f t="shared" si="1460"/>
        <v>0</v>
      </c>
      <c r="AA131" s="106">
        <f t="shared" si="1461"/>
        <v>0</v>
      </c>
      <c r="AB131" s="118">
        <f t="shared" si="1223"/>
        <v>0</v>
      </c>
      <c r="AC131" s="106">
        <f t="shared" si="1462"/>
        <v>0</v>
      </c>
      <c r="AD131" s="106">
        <f t="shared" si="1463"/>
        <v>0</v>
      </c>
      <c r="AE131" s="106">
        <f t="shared" si="1464"/>
        <v>0</v>
      </c>
      <c r="AF131" s="106">
        <f t="shared" si="1465"/>
        <v>0</v>
      </c>
      <c r="AG131" s="106">
        <f t="shared" si="1466"/>
        <v>0</v>
      </c>
      <c r="AH131" s="106">
        <f t="shared" si="1467"/>
        <v>0</v>
      </c>
      <c r="AI131" s="106">
        <f t="shared" si="1468"/>
        <v>0</v>
      </c>
      <c r="AJ131" s="106">
        <f t="shared" si="1469"/>
        <v>0</v>
      </c>
      <c r="AK131" s="106">
        <f t="shared" si="1470"/>
        <v>0</v>
      </c>
      <c r="AL131" s="106">
        <f t="shared" si="1471"/>
        <v>0</v>
      </c>
      <c r="AM131" s="106">
        <f t="shared" si="1472"/>
        <v>0</v>
      </c>
      <c r="AN131" s="106">
        <f t="shared" si="1473"/>
        <v>0</v>
      </c>
      <c r="AO131" s="106">
        <f t="shared" si="1474"/>
        <v>0</v>
      </c>
      <c r="AQ131" s="106">
        <v>0</v>
      </c>
      <c r="AR131" s="106">
        <v>0</v>
      </c>
      <c r="AS131" s="106">
        <v>0</v>
      </c>
      <c r="AT131" s="106">
        <v>0</v>
      </c>
      <c r="AU131" s="106">
        <v>0</v>
      </c>
      <c r="AV131" s="106">
        <v>0</v>
      </c>
      <c r="AW131" s="106">
        <v>0</v>
      </c>
      <c r="AX131" s="106">
        <v>0</v>
      </c>
      <c r="AY131" s="106">
        <v>0</v>
      </c>
      <c r="AZ131" s="106">
        <v>0</v>
      </c>
      <c r="BA131" s="106">
        <v>0</v>
      </c>
      <c r="BB131" s="106">
        <v>0</v>
      </c>
      <c r="BC131" s="106">
        <f t="shared" si="1475"/>
        <v>0</v>
      </c>
      <c r="BD131" s="16" t="str">
        <f t="shared" si="1410"/>
        <v>Training Expenses - Senior Management MBIL</v>
      </c>
      <c r="BE131" s="106">
        <f>+VLOOKUP($BD131,'Jan-25'!$A:$J,5,0)</f>
        <v>0</v>
      </c>
      <c r="BF131" s="106">
        <f>+VLOOKUP($BD131,'Feb-25'!$A:$J,5,0)</f>
        <v>0</v>
      </c>
      <c r="BG131" s="106">
        <f>+VLOOKUP($BD131,'Mar-25'!$A:$J,5,0)</f>
        <v>0</v>
      </c>
      <c r="BH131" s="106">
        <f>+VLOOKUP($BD131,'Apr-25'!$A:$J,5,0)</f>
        <v>0</v>
      </c>
      <c r="BI131" s="106">
        <f>+VLOOKUP($BD131,'May-25'!$A:$J,5,0)</f>
        <v>0</v>
      </c>
      <c r="BJ131" s="106">
        <f>+VLOOKUP($BD131,'June-25'!$A:$J,5,0)</f>
        <v>0</v>
      </c>
      <c r="BK131" s="106">
        <f>+VLOOKUP($BD131,'July-25'!$A:$J,5,0)</f>
        <v>0</v>
      </c>
      <c r="BL131" s="106">
        <f>+VLOOKUP($BD131,'Aug-25'!$A:$J,5,0)</f>
        <v>0</v>
      </c>
      <c r="BM131" s="106">
        <f>+VLOOKUP($BD131,'Sep-25'!$A:$J,5,0)</f>
        <v>0</v>
      </c>
      <c r="BN131" s="106">
        <f>+VLOOKUP($BD131,'Oct-25'!$A:$J,5,0)</f>
        <v>0</v>
      </c>
      <c r="BO131" s="106">
        <f>+VLOOKUP($BD131,'Nov-25'!$A:$J,5,0)</f>
        <v>0</v>
      </c>
      <c r="BP131" s="106">
        <f>+VLOOKUP($BD131,'Dec-25'!$A:$J,5,0)</f>
        <v>0</v>
      </c>
      <c r="BQ131" s="106">
        <f t="shared" si="1476"/>
        <v>0</v>
      </c>
      <c r="BR131" s="118">
        <f t="shared" si="1224"/>
        <v>0</v>
      </c>
      <c r="BS131" s="106">
        <f>+_xlfn.XLOOKUP($BD131,Budget!$A:$A,Budget!BD:BD)</f>
        <v>0</v>
      </c>
      <c r="BT131" s="106">
        <f>+_xlfn.XLOOKUP($BD131,Budget!$A:$A,Budget!BE:BE)</f>
        <v>0</v>
      </c>
      <c r="BU131" s="106">
        <f>+_xlfn.XLOOKUP($BD131,Budget!$A:$A,Budget!BF:BF)</f>
        <v>0</v>
      </c>
      <c r="BV131" s="106">
        <f>+_xlfn.XLOOKUP($BD131,Budget!$A:$A,Budget!BG:BG)</f>
        <v>0</v>
      </c>
      <c r="BW131" s="106">
        <f>+_xlfn.XLOOKUP($BD131,Budget!$A:$A,Budget!BH:BH)</f>
        <v>0</v>
      </c>
      <c r="BX131" s="106">
        <f>+_xlfn.XLOOKUP($BD131,Budget!$A:$A,Budget!BI:BI)</f>
        <v>0</v>
      </c>
      <c r="BY131" s="106">
        <f>+_xlfn.XLOOKUP($BD131,Budget!$A:$A,Budget!BJ:BJ)</f>
        <v>0</v>
      </c>
      <c r="BZ131" s="106">
        <f>+_xlfn.XLOOKUP($BD131,Budget!$A:$A,Budget!BK:BK)</f>
        <v>0</v>
      </c>
      <c r="CA131" s="106">
        <f>+_xlfn.XLOOKUP($BD131,Budget!$A:$A,Budget!BL:BL)</f>
        <v>0</v>
      </c>
      <c r="CB131" s="106">
        <f>+_xlfn.XLOOKUP($BD131,Budget!$A:$A,Budget!BM:BM)</f>
        <v>0</v>
      </c>
      <c r="CC131" s="106">
        <f>+_xlfn.XLOOKUP($BD131,Budget!$A:$A,Budget!BN:BN)</f>
        <v>0</v>
      </c>
      <c r="CD131" s="106">
        <f>+_xlfn.XLOOKUP($BD131,Budget!$A:$A,Budget!BO:BO)</f>
        <v>0</v>
      </c>
      <c r="CE131" s="106">
        <f t="shared" si="1477"/>
        <v>0</v>
      </c>
      <c r="CF131" s="106"/>
      <c r="CG131" s="106">
        <v>0</v>
      </c>
      <c r="CH131" s="106">
        <v>0</v>
      </c>
      <c r="CI131" s="106">
        <v>0</v>
      </c>
      <c r="CJ131" s="106">
        <v>0</v>
      </c>
      <c r="CK131" s="106">
        <v>0</v>
      </c>
      <c r="CL131" s="106">
        <v>0</v>
      </c>
      <c r="CM131" s="106">
        <v>0</v>
      </c>
      <c r="CN131" s="106">
        <v>0</v>
      </c>
      <c r="CO131" s="106">
        <v>0</v>
      </c>
      <c r="CP131" s="106">
        <v>0</v>
      </c>
      <c r="CQ131" s="106">
        <v>0</v>
      </c>
      <c r="CR131" s="106">
        <v>0</v>
      </c>
      <c r="CS131" s="106">
        <f t="shared" si="1478"/>
        <v>0</v>
      </c>
      <c r="CT131" s="16" t="str">
        <f t="shared" si="1411"/>
        <v>Training Expenses - Senior Management MBIL</v>
      </c>
      <c r="CU131" s="106">
        <f>+VLOOKUP($BD131,'Jan-25'!$A:$J,8,0)</f>
        <v>0</v>
      </c>
      <c r="CV131" s="106">
        <f>+VLOOKUP($BD131,'Feb-25'!$A:$J,8,0)</f>
        <v>0</v>
      </c>
      <c r="CW131" s="106">
        <f>+VLOOKUP($BD131,'Mar-25'!$A:$J,8,0)</f>
        <v>0</v>
      </c>
      <c r="CX131" s="106">
        <f>+VLOOKUP($BD131,'Apr-25'!$A:$J,8,0)</f>
        <v>0</v>
      </c>
      <c r="CY131" s="106">
        <f>+VLOOKUP($BD131,'May-25'!$A:$J,8,0)</f>
        <v>0</v>
      </c>
      <c r="CZ131" s="106">
        <f>+VLOOKUP($BD131,'June-25'!$A:$J,8,0)</f>
        <v>0</v>
      </c>
      <c r="DA131" s="106">
        <f>+VLOOKUP($BD131,'July-25'!$A:$J,8,0)</f>
        <v>0</v>
      </c>
      <c r="DB131" s="106">
        <f>+VLOOKUP($BD131,'Aug-25'!$A:$J,8,0)</f>
        <v>0</v>
      </c>
      <c r="DC131" s="106">
        <f>+VLOOKUP($BD131,'Sep-25'!$A:$J,8,0)</f>
        <v>0</v>
      </c>
      <c r="DD131" s="106">
        <f>+VLOOKUP($BD131,'Oct-25'!$A:$J,8,0)</f>
        <v>0</v>
      </c>
      <c r="DE131" s="106">
        <f>+VLOOKUP($BD131,'Nov-25'!$A:$J,8,0)</f>
        <v>0</v>
      </c>
      <c r="DF131" s="106">
        <f>+VLOOKUP($BD131,'Dec-25'!$A:$J,8,0)</f>
        <v>0</v>
      </c>
      <c r="DG131" s="106">
        <f t="shared" si="1479"/>
        <v>0</v>
      </c>
      <c r="DH131" s="118">
        <f t="shared" si="1225"/>
        <v>0</v>
      </c>
      <c r="DI131" s="106">
        <f>+_xlfn.XLOOKUP($CT131,Budget!$A:$A,Budget!CQ:CQ)</f>
        <v>0</v>
      </c>
      <c r="DJ131" s="106">
        <f>+_xlfn.XLOOKUP($CT131,Budget!$A:$A,Budget!CR:CR)</f>
        <v>0</v>
      </c>
      <c r="DK131" s="106">
        <f>+_xlfn.XLOOKUP($CT131,Budget!$A:$A,Budget!CS:CS)</f>
        <v>0</v>
      </c>
      <c r="DL131" s="106">
        <f>+_xlfn.XLOOKUP($CT131,Budget!$A:$A,Budget!CT:CT)</f>
        <v>0</v>
      </c>
      <c r="DM131" s="106">
        <f>+_xlfn.XLOOKUP($CT131,Budget!$A:$A,Budget!CU:CU)</f>
        <v>0</v>
      </c>
      <c r="DN131" s="106">
        <f>+_xlfn.XLOOKUP($CT131,Budget!$A:$A,Budget!CV:CV)</f>
        <v>0</v>
      </c>
      <c r="DO131" s="106">
        <f>+_xlfn.XLOOKUP($CT131,Budget!$A:$A,Budget!CW:CW)</f>
        <v>0</v>
      </c>
      <c r="DP131" s="106">
        <f>+_xlfn.XLOOKUP($CT131,Budget!$A:$A,Budget!CX:CX)</f>
        <v>0</v>
      </c>
      <c r="DQ131" s="106">
        <f>+_xlfn.XLOOKUP($CT131,Budget!$A:$A,Budget!CY:CY)</f>
        <v>0</v>
      </c>
      <c r="DR131" s="106">
        <f>+_xlfn.XLOOKUP($CT131,Budget!$A:$A,Budget!CZ:CZ)</f>
        <v>0</v>
      </c>
      <c r="DS131" s="106">
        <f>+_xlfn.XLOOKUP($CT131,Budget!$A:$A,Budget!DA:DA)</f>
        <v>0</v>
      </c>
      <c r="DT131" s="106">
        <f>+_xlfn.XLOOKUP($CT131,Budget!$A:$A,Budget!DB:DB)</f>
        <v>0</v>
      </c>
      <c r="DU131" s="106">
        <f t="shared" si="1480"/>
        <v>0</v>
      </c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106">
        <f t="shared" si="1481"/>
        <v>0</v>
      </c>
      <c r="EJ131" s="16" t="str">
        <f t="shared" si="966"/>
        <v>Training Expenses - Senior Management MBIL</v>
      </c>
      <c r="EK131" s="22">
        <f>+VLOOKUP($BD131,'Jan-25'!$A:$J,10,0)</f>
        <v>0</v>
      </c>
      <c r="EL131" s="22">
        <f>+VLOOKUP($BD131,'Feb-25'!$A:$J,10,0)</f>
        <v>0</v>
      </c>
      <c r="EM131" s="22">
        <f>+VLOOKUP($BD131,'Mar-25'!$A:$J,10,0)</f>
        <v>0</v>
      </c>
      <c r="EN131" s="22">
        <f>+VLOOKUP($BD131,'Apr-25'!$A:$J,10,0)</f>
        <v>0</v>
      </c>
      <c r="EO131" s="22">
        <f>+VLOOKUP($BD131,'May-25'!$A:$J,10,0)</f>
        <v>0</v>
      </c>
      <c r="EP131" s="22">
        <f>+VLOOKUP($BD131,'June-25'!$A:$J,10,0)</f>
        <v>0</v>
      </c>
      <c r="EQ131" s="22">
        <f>+VLOOKUP($BD131,'July-25'!$A:$J,10,0)</f>
        <v>0</v>
      </c>
      <c r="ER131" s="22">
        <f>+VLOOKUP($BD131,'Aug-25'!$A:$J,10,0)</f>
        <v>0</v>
      </c>
      <c r="ES131" s="22">
        <f>+VLOOKUP($BD131,'Sep-25'!$A:$J,10,0)</f>
        <v>0</v>
      </c>
      <c r="ET131" s="22">
        <f>+VLOOKUP($BD131,'Oct-25'!$A:$J,10,0)</f>
        <v>0</v>
      </c>
      <c r="EU131" s="22">
        <f>+VLOOKUP($BD131,'Nov-25'!$A:$J,10,0)</f>
        <v>0</v>
      </c>
      <c r="EV131" s="22">
        <f>+VLOOKUP($BD131,'Dec-25'!$A:$J,10,0)</f>
        <v>0</v>
      </c>
      <c r="EW131" s="22">
        <f t="shared" si="1482"/>
        <v>0</v>
      </c>
      <c r="EX131" s="118" t="e">
        <f t="shared" si="1226"/>
        <v>#DIV/0!</v>
      </c>
      <c r="EY131" s="106">
        <f>+_xlfn.XLOOKUP($EJ131,Budget!$A:$A,Budget!DR:DR)</f>
        <v>0</v>
      </c>
      <c r="EZ131" s="106">
        <f>+_xlfn.XLOOKUP($EJ131,Budget!$A:$A,Budget!DS:DS)</f>
        <v>0</v>
      </c>
      <c r="FA131" s="106">
        <f>+_xlfn.XLOOKUP($EJ131,Budget!$A:$A,Budget!DT:DT)</f>
        <v>0</v>
      </c>
      <c r="FB131" s="106">
        <f>+_xlfn.XLOOKUP($EJ131,Budget!$A:$A,Budget!DU:DU)</f>
        <v>0</v>
      </c>
      <c r="FC131" s="106">
        <f>+_xlfn.XLOOKUP($EJ131,Budget!$A:$A,Budget!DV:DV)</f>
        <v>0</v>
      </c>
      <c r="FD131" s="106">
        <f>+_xlfn.XLOOKUP($EJ131,Budget!$A:$A,Budget!DW:DW)</f>
        <v>0</v>
      </c>
      <c r="FE131" s="106">
        <f>+_xlfn.XLOOKUP($EJ131,Budget!$A:$A,Budget!DX:DX)</f>
        <v>0</v>
      </c>
      <c r="FF131" s="106">
        <f>+_xlfn.XLOOKUP($EJ131,Budget!$A:$A,Budget!DY:DY)</f>
        <v>0</v>
      </c>
      <c r="FG131" s="106">
        <f>+_xlfn.XLOOKUP($EJ131,Budget!$A:$A,Budget!DZ:DZ)</f>
        <v>0</v>
      </c>
      <c r="FH131" s="106">
        <f>+_xlfn.XLOOKUP($EJ131,Budget!$A:$A,Budget!EA:EA)</f>
        <v>0</v>
      </c>
      <c r="FI131" s="106">
        <f>+_xlfn.XLOOKUP($EJ131,Budget!$A:$A,Budget!EB:EB)</f>
        <v>0</v>
      </c>
      <c r="FJ131" s="106">
        <f>+_xlfn.XLOOKUP($EJ131,Budget!$A:$A,Budget!EC:EC)</f>
        <v>0</v>
      </c>
      <c r="FK131" s="106">
        <f t="shared" si="1483"/>
        <v>0</v>
      </c>
    </row>
    <row r="132" spans="1:167" ht="14.45" hidden="1" customHeight="1" outlineLevel="2">
      <c r="A132" s="106">
        <f t="shared" si="1447"/>
        <v>0</v>
      </c>
      <c r="B132" s="106">
        <f t="shared" si="1447"/>
        <v>0</v>
      </c>
      <c r="C132" s="106">
        <f t="shared" si="1447"/>
        <v>0</v>
      </c>
      <c r="D132" s="106">
        <f t="shared" si="1447"/>
        <v>0</v>
      </c>
      <c r="E132" s="106">
        <f t="shared" si="1447"/>
        <v>0</v>
      </c>
      <c r="F132" s="106">
        <f t="shared" si="1447"/>
        <v>0</v>
      </c>
      <c r="G132" s="106">
        <f t="shared" si="1447"/>
        <v>0</v>
      </c>
      <c r="H132" s="106">
        <f t="shared" si="1447"/>
        <v>0</v>
      </c>
      <c r="I132" s="106">
        <f t="shared" si="1447"/>
        <v>0</v>
      </c>
      <c r="J132" s="106">
        <f t="shared" si="1447"/>
        <v>0</v>
      </c>
      <c r="K132" s="106">
        <f t="shared" si="1447"/>
        <v>0</v>
      </c>
      <c r="L132" s="106">
        <f t="shared" si="1447"/>
        <v>0</v>
      </c>
      <c r="M132" s="106">
        <f t="shared" si="1448"/>
        <v>0</v>
      </c>
      <c r="N132" s="16" t="s">
        <v>109</v>
      </c>
      <c r="O132" s="106">
        <f t="shared" si="1449"/>
        <v>0</v>
      </c>
      <c r="P132" s="106">
        <f t="shared" si="1450"/>
        <v>0</v>
      </c>
      <c r="Q132" s="106">
        <f t="shared" si="1451"/>
        <v>0</v>
      </c>
      <c r="R132" s="106">
        <f t="shared" si="1452"/>
        <v>0</v>
      </c>
      <c r="S132" s="106">
        <f t="shared" si="1453"/>
        <v>0</v>
      </c>
      <c r="T132" s="106">
        <f t="shared" si="1454"/>
        <v>0</v>
      </c>
      <c r="U132" s="106">
        <f t="shared" si="1455"/>
        <v>0</v>
      </c>
      <c r="V132" s="106">
        <f t="shared" si="1456"/>
        <v>0</v>
      </c>
      <c r="W132" s="106">
        <f t="shared" si="1457"/>
        <v>0</v>
      </c>
      <c r="X132" s="106">
        <f t="shared" si="1458"/>
        <v>0</v>
      </c>
      <c r="Y132" s="106">
        <f t="shared" si="1459"/>
        <v>0</v>
      </c>
      <c r="Z132" s="106">
        <f t="shared" si="1460"/>
        <v>0</v>
      </c>
      <c r="AA132" s="106">
        <f t="shared" si="1461"/>
        <v>0</v>
      </c>
      <c r="AB132" s="118">
        <f t="shared" si="1223"/>
        <v>-1</v>
      </c>
      <c r="AC132" s="106">
        <f t="shared" si="1462"/>
        <v>27500</v>
      </c>
      <c r="AD132" s="106">
        <f t="shared" si="1463"/>
        <v>27500</v>
      </c>
      <c r="AE132" s="106">
        <f t="shared" si="1464"/>
        <v>27500</v>
      </c>
      <c r="AF132" s="106">
        <f t="shared" si="1465"/>
        <v>27500</v>
      </c>
      <c r="AG132" s="106">
        <f t="shared" si="1466"/>
        <v>27500</v>
      </c>
      <c r="AH132" s="106">
        <f t="shared" si="1467"/>
        <v>27500</v>
      </c>
      <c r="AI132" s="106">
        <f t="shared" si="1468"/>
        <v>27500</v>
      </c>
      <c r="AJ132" s="106">
        <f t="shared" si="1469"/>
        <v>27500</v>
      </c>
      <c r="AK132" s="106">
        <f t="shared" si="1470"/>
        <v>27500</v>
      </c>
      <c r="AL132" s="106">
        <f t="shared" si="1471"/>
        <v>27500</v>
      </c>
      <c r="AM132" s="106">
        <f t="shared" si="1472"/>
        <v>27500</v>
      </c>
      <c r="AN132" s="106">
        <f t="shared" si="1473"/>
        <v>27500</v>
      </c>
      <c r="AO132" s="106">
        <f t="shared" si="1474"/>
        <v>330000</v>
      </c>
      <c r="AQ132" s="106">
        <v>0</v>
      </c>
      <c r="AR132" s="106">
        <v>0</v>
      </c>
      <c r="AS132" s="106">
        <v>0</v>
      </c>
      <c r="AT132" s="106">
        <v>0</v>
      </c>
      <c r="AU132" s="106">
        <v>0</v>
      </c>
      <c r="AV132" s="106">
        <v>0</v>
      </c>
      <c r="AW132" s="106">
        <v>0</v>
      </c>
      <c r="AX132" s="106">
        <v>0</v>
      </c>
      <c r="AY132" s="106">
        <v>0</v>
      </c>
      <c r="AZ132" s="106">
        <v>0</v>
      </c>
      <c r="BA132" s="106">
        <v>0</v>
      </c>
      <c r="BB132" s="106">
        <v>0</v>
      </c>
      <c r="BC132" s="106">
        <f t="shared" si="1475"/>
        <v>0</v>
      </c>
      <c r="BD132" s="16" t="str">
        <f t="shared" si="1410"/>
        <v>Training Expenses MBIL</v>
      </c>
      <c r="BE132" s="106">
        <f>+VLOOKUP($BD132,'Jan-25'!$A:$J,5,0)</f>
        <v>0</v>
      </c>
      <c r="BF132" s="106">
        <f>+VLOOKUP($BD132,'Feb-25'!$A:$J,5,0)</f>
        <v>0</v>
      </c>
      <c r="BG132" s="106">
        <f>+VLOOKUP($BD132,'Mar-25'!$A:$J,5,0)</f>
        <v>0</v>
      </c>
      <c r="BH132" s="106">
        <f>+VLOOKUP($BD132,'Apr-25'!$A:$J,5,0)</f>
        <v>0</v>
      </c>
      <c r="BI132" s="106">
        <f>+VLOOKUP($BD132,'May-25'!$A:$J,5,0)</f>
        <v>0</v>
      </c>
      <c r="BJ132" s="106">
        <f>+VLOOKUP($BD132,'June-25'!$A:$J,5,0)</f>
        <v>0</v>
      </c>
      <c r="BK132" s="106">
        <f>+VLOOKUP($BD132,'July-25'!$A:$J,5,0)</f>
        <v>0</v>
      </c>
      <c r="BL132" s="106">
        <f>+VLOOKUP($BD132,'Aug-25'!$A:$J,5,0)</f>
        <v>0</v>
      </c>
      <c r="BM132" s="106">
        <f>+VLOOKUP($BD132,'Sep-25'!$A:$J,5,0)</f>
        <v>0</v>
      </c>
      <c r="BN132" s="106">
        <f>+VLOOKUP($BD132,'Oct-25'!$A:$J,5,0)</f>
        <v>0</v>
      </c>
      <c r="BO132" s="106">
        <f>+VLOOKUP($BD132,'Nov-25'!$A:$J,5,0)</f>
        <v>0</v>
      </c>
      <c r="BP132" s="106">
        <f>+VLOOKUP($BD132,'Dec-25'!$A:$J,5,0)</f>
        <v>0</v>
      </c>
      <c r="BQ132" s="106">
        <f t="shared" si="1476"/>
        <v>0</v>
      </c>
      <c r="BR132" s="118">
        <f t="shared" si="1224"/>
        <v>-1</v>
      </c>
      <c r="BS132" s="106">
        <f>+_xlfn.XLOOKUP($BD132,Budget!$A:$A,Budget!BD:BD)</f>
        <v>10000</v>
      </c>
      <c r="BT132" s="106">
        <f>+_xlfn.XLOOKUP($BD132,Budget!$A:$A,Budget!BE:BE)</f>
        <v>10000</v>
      </c>
      <c r="BU132" s="106">
        <f>+_xlfn.XLOOKUP($BD132,Budget!$A:$A,Budget!BF:BF)</f>
        <v>10000</v>
      </c>
      <c r="BV132" s="106">
        <f>+_xlfn.XLOOKUP($BD132,Budget!$A:$A,Budget!BG:BG)</f>
        <v>10000</v>
      </c>
      <c r="BW132" s="106">
        <f>+_xlfn.XLOOKUP($BD132,Budget!$A:$A,Budget!BH:BH)</f>
        <v>10000</v>
      </c>
      <c r="BX132" s="106">
        <f>+_xlfn.XLOOKUP($BD132,Budget!$A:$A,Budget!BI:BI)</f>
        <v>10000</v>
      </c>
      <c r="BY132" s="106">
        <f>+_xlfn.XLOOKUP($BD132,Budget!$A:$A,Budget!BJ:BJ)</f>
        <v>10000</v>
      </c>
      <c r="BZ132" s="106">
        <f>+_xlfn.XLOOKUP($BD132,Budget!$A:$A,Budget!BK:BK)</f>
        <v>10000</v>
      </c>
      <c r="CA132" s="106">
        <f>+_xlfn.XLOOKUP($BD132,Budget!$A:$A,Budget!BL:BL)</f>
        <v>10000</v>
      </c>
      <c r="CB132" s="106">
        <f>+_xlfn.XLOOKUP($BD132,Budget!$A:$A,Budget!BM:BM)</f>
        <v>10000</v>
      </c>
      <c r="CC132" s="106">
        <f>+_xlfn.XLOOKUP($BD132,Budget!$A:$A,Budget!BN:BN)</f>
        <v>10000</v>
      </c>
      <c r="CD132" s="106">
        <f>+_xlfn.XLOOKUP($BD132,Budget!$A:$A,Budget!BO:BO)</f>
        <v>10000</v>
      </c>
      <c r="CE132" s="106">
        <f t="shared" si="1477"/>
        <v>120000</v>
      </c>
      <c r="CF132" s="106"/>
      <c r="CG132" s="106">
        <v>0</v>
      </c>
      <c r="CH132" s="106">
        <v>0</v>
      </c>
      <c r="CI132" s="106">
        <v>0</v>
      </c>
      <c r="CJ132" s="106">
        <v>0</v>
      </c>
      <c r="CK132" s="106">
        <v>0</v>
      </c>
      <c r="CL132" s="106">
        <v>0</v>
      </c>
      <c r="CM132" s="106">
        <v>0</v>
      </c>
      <c r="CN132" s="106">
        <v>0</v>
      </c>
      <c r="CO132" s="106">
        <v>0</v>
      </c>
      <c r="CP132" s="106">
        <v>0</v>
      </c>
      <c r="CQ132" s="106">
        <v>0</v>
      </c>
      <c r="CR132" s="106">
        <v>0</v>
      </c>
      <c r="CS132" s="106">
        <f t="shared" si="1478"/>
        <v>0</v>
      </c>
      <c r="CT132" s="16" t="str">
        <f t="shared" si="1411"/>
        <v>Training Expenses MBIL</v>
      </c>
      <c r="CU132" s="106">
        <f>+VLOOKUP($BD132,'Jan-25'!$A:$J,8,0)</f>
        <v>0</v>
      </c>
      <c r="CV132" s="106">
        <f>+VLOOKUP($BD132,'Feb-25'!$A:$J,8,0)</f>
        <v>0</v>
      </c>
      <c r="CW132" s="106">
        <f>+VLOOKUP($BD132,'Mar-25'!$A:$J,8,0)</f>
        <v>0</v>
      </c>
      <c r="CX132" s="106">
        <f>+VLOOKUP($BD132,'Apr-25'!$A:$J,8,0)</f>
        <v>0</v>
      </c>
      <c r="CY132" s="106">
        <f>+VLOOKUP($BD132,'May-25'!$A:$J,8,0)</f>
        <v>0</v>
      </c>
      <c r="CZ132" s="106">
        <f>+VLOOKUP($BD132,'June-25'!$A:$J,8,0)</f>
        <v>0</v>
      </c>
      <c r="DA132" s="106">
        <f>+VLOOKUP($BD132,'July-25'!$A:$J,8,0)</f>
        <v>0</v>
      </c>
      <c r="DB132" s="106">
        <f>+VLOOKUP($BD132,'Aug-25'!$A:$J,8,0)</f>
        <v>0</v>
      </c>
      <c r="DC132" s="106">
        <f>+VLOOKUP($BD132,'Sep-25'!$A:$J,8,0)</f>
        <v>0</v>
      </c>
      <c r="DD132" s="106">
        <f>+VLOOKUP($BD132,'Oct-25'!$A:$J,8,0)</f>
        <v>0</v>
      </c>
      <c r="DE132" s="106">
        <f>+VLOOKUP($BD132,'Nov-25'!$A:$J,8,0)</f>
        <v>0</v>
      </c>
      <c r="DF132" s="106">
        <f>+VLOOKUP($BD132,'Dec-25'!$A:$J,8,0)</f>
        <v>0</v>
      </c>
      <c r="DG132" s="106">
        <f t="shared" si="1479"/>
        <v>0</v>
      </c>
      <c r="DH132" s="118">
        <f t="shared" si="1225"/>
        <v>-1</v>
      </c>
      <c r="DI132" s="106">
        <f>+_xlfn.XLOOKUP($CT132,Budget!$A:$A,Budget!CQ:CQ)</f>
        <v>10000</v>
      </c>
      <c r="DJ132" s="106">
        <f>+_xlfn.XLOOKUP($CT132,Budget!$A:$A,Budget!CR:CR)</f>
        <v>10000</v>
      </c>
      <c r="DK132" s="106">
        <f>+_xlfn.XLOOKUP($CT132,Budget!$A:$A,Budget!CS:CS)</f>
        <v>10000</v>
      </c>
      <c r="DL132" s="106">
        <f>+_xlfn.XLOOKUP($CT132,Budget!$A:$A,Budget!CT:CT)</f>
        <v>10000</v>
      </c>
      <c r="DM132" s="106">
        <f>+_xlfn.XLOOKUP($CT132,Budget!$A:$A,Budget!CU:CU)</f>
        <v>10000</v>
      </c>
      <c r="DN132" s="106">
        <f>+_xlfn.XLOOKUP($CT132,Budget!$A:$A,Budget!CV:CV)</f>
        <v>10000</v>
      </c>
      <c r="DO132" s="106">
        <f>+_xlfn.XLOOKUP($CT132,Budget!$A:$A,Budget!CW:CW)</f>
        <v>10000</v>
      </c>
      <c r="DP132" s="106">
        <f>+_xlfn.XLOOKUP($CT132,Budget!$A:$A,Budget!CX:CX)</f>
        <v>10000</v>
      </c>
      <c r="DQ132" s="106">
        <f>+_xlfn.XLOOKUP($CT132,Budget!$A:$A,Budget!CY:CY)</f>
        <v>10000</v>
      </c>
      <c r="DR132" s="106">
        <f>+_xlfn.XLOOKUP($CT132,Budget!$A:$A,Budget!CZ:CZ)</f>
        <v>10000</v>
      </c>
      <c r="DS132" s="106">
        <f>+_xlfn.XLOOKUP($CT132,Budget!$A:$A,Budget!DA:DA)</f>
        <v>10000</v>
      </c>
      <c r="DT132" s="106">
        <f>+_xlfn.XLOOKUP($CT132,Budget!$A:$A,Budget!DB:DB)</f>
        <v>10000</v>
      </c>
      <c r="DU132" s="106">
        <f t="shared" si="1480"/>
        <v>120000</v>
      </c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106">
        <f t="shared" si="1481"/>
        <v>0</v>
      </c>
      <c r="EJ132" s="16" t="str">
        <f t="shared" si="966"/>
        <v>Training Expenses MBIL</v>
      </c>
      <c r="EK132" s="22">
        <f>+VLOOKUP($BD132,'Jan-25'!$A:$J,10,0)</f>
        <v>0</v>
      </c>
      <c r="EL132" s="22">
        <f>+VLOOKUP($BD132,'Feb-25'!$A:$J,10,0)</f>
        <v>0</v>
      </c>
      <c r="EM132" s="22">
        <f>+VLOOKUP($BD132,'Mar-25'!$A:$J,10,0)</f>
        <v>0</v>
      </c>
      <c r="EN132" s="22">
        <f>+VLOOKUP($BD132,'Apr-25'!$A:$J,10,0)</f>
        <v>0</v>
      </c>
      <c r="EO132" s="22">
        <f>+VLOOKUP($BD132,'May-25'!$A:$J,10,0)</f>
        <v>0</v>
      </c>
      <c r="EP132" s="22">
        <f>+VLOOKUP($BD132,'June-25'!$A:$J,10,0)</f>
        <v>0</v>
      </c>
      <c r="EQ132" s="22">
        <f>+VLOOKUP($BD132,'July-25'!$A:$J,10,0)</f>
        <v>0</v>
      </c>
      <c r="ER132" s="22">
        <f>+VLOOKUP($BD132,'Aug-25'!$A:$J,10,0)</f>
        <v>0</v>
      </c>
      <c r="ES132" s="22">
        <f>+VLOOKUP($BD132,'Sep-25'!$A:$J,10,0)</f>
        <v>0</v>
      </c>
      <c r="ET132" s="22">
        <f>+VLOOKUP($BD132,'Oct-25'!$A:$J,10,0)</f>
        <v>0</v>
      </c>
      <c r="EU132" s="22">
        <f>+VLOOKUP($BD132,'Nov-25'!$A:$J,10,0)</f>
        <v>0</v>
      </c>
      <c r="EV132" s="22">
        <f>+VLOOKUP($BD132,'Dec-25'!$A:$J,10,0)</f>
        <v>0</v>
      </c>
      <c r="EW132" s="22">
        <f t="shared" si="1482"/>
        <v>0</v>
      </c>
      <c r="EX132" s="118">
        <f t="shared" si="1226"/>
        <v>-1</v>
      </c>
      <c r="EY132" s="106">
        <f>+_xlfn.XLOOKUP($EJ132,Budget!$A:$A,Budget!DR:DR)</f>
        <v>7500</v>
      </c>
      <c r="EZ132" s="106">
        <f>+_xlfn.XLOOKUP($EJ132,Budget!$A:$A,Budget!DS:DS)</f>
        <v>7500</v>
      </c>
      <c r="FA132" s="106">
        <f>+_xlfn.XLOOKUP($EJ132,Budget!$A:$A,Budget!DT:DT)</f>
        <v>7500</v>
      </c>
      <c r="FB132" s="106">
        <f>+_xlfn.XLOOKUP($EJ132,Budget!$A:$A,Budget!DU:DU)</f>
        <v>7500</v>
      </c>
      <c r="FC132" s="106">
        <f>+_xlfn.XLOOKUP($EJ132,Budget!$A:$A,Budget!DV:DV)</f>
        <v>7500</v>
      </c>
      <c r="FD132" s="106">
        <f>+_xlfn.XLOOKUP($EJ132,Budget!$A:$A,Budget!DW:DW)</f>
        <v>7500</v>
      </c>
      <c r="FE132" s="106">
        <f>+_xlfn.XLOOKUP($EJ132,Budget!$A:$A,Budget!DX:DX)</f>
        <v>7500</v>
      </c>
      <c r="FF132" s="106">
        <f>+_xlfn.XLOOKUP($EJ132,Budget!$A:$A,Budget!DY:DY)</f>
        <v>7500</v>
      </c>
      <c r="FG132" s="106">
        <f>+_xlfn.XLOOKUP($EJ132,Budget!$A:$A,Budget!DZ:DZ)</f>
        <v>7500</v>
      </c>
      <c r="FH132" s="106">
        <f>+_xlfn.XLOOKUP($EJ132,Budget!$A:$A,Budget!EA:EA)</f>
        <v>7500</v>
      </c>
      <c r="FI132" s="106">
        <f>+_xlfn.XLOOKUP($EJ132,Budget!$A:$A,Budget!EB:EB)</f>
        <v>7500</v>
      </c>
      <c r="FJ132" s="106">
        <f>+_xlfn.XLOOKUP($EJ132,Budget!$A:$A,Budget!EC:EC)</f>
        <v>7500</v>
      </c>
      <c r="FK132" s="106">
        <f t="shared" si="1483"/>
        <v>90000</v>
      </c>
    </row>
    <row r="133" spans="1:167" ht="14.45" hidden="1" customHeight="1" outlineLevel="1" collapsed="1">
      <c r="A133" s="58">
        <f t="shared" ref="A133:M133" si="1484">+SUM(A134:A137)</f>
        <v>0</v>
      </c>
      <c r="B133" s="58">
        <f t="shared" si="1484"/>
        <v>22081.633199999993</v>
      </c>
      <c r="C133" s="58">
        <f t="shared" si="1484"/>
        <v>0</v>
      </c>
      <c r="D133" s="58">
        <f t="shared" si="1484"/>
        <v>4513.2623999999996</v>
      </c>
      <c r="E133" s="58">
        <f t="shared" si="1484"/>
        <v>14803.768800000002</v>
      </c>
      <c r="F133" s="58">
        <f t="shared" si="1484"/>
        <v>1260</v>
      </c>
      <c r="G133" s="58">
        <f t="shared" si="1484"/>
        <v>877</v>
      </c>
      <c r="H133" s="58">
        <f t="shared" si="1484"/>
        <v>30466.051200000002</v>
      </c>
      <c r="I133" s="58">
        <f t="shared" si="1484"/>
        <v>42090</v>
      </c>
      <c r="J133" s="58">
        <f t="shared" si="1484"/>
        <v>630</v>
      </c>
      <c r="K133" s="58">
        <f t="shared" si="1484"/>
        <v>32158.648800000003</v>
      </c>
      <c r="L133" s="58">
        <f t="shared" si="1484"/>
        <v>43677.982799999998</v>
      </c>
      <c r="M133" s="58">
        <f t="shared" si="1484"/>
        <v>192558.34719999999</v>
      </c>
      <c r="N133" s="20" t="s">
        <v>110</v>
      </c>
      <c r="O133" s="58">
        <f t="shared" ref="O133" si="1485">+SUM(O134:O137)</f>
        <v>4805.46</v>
      </c>
      <c r="P133" s="58">
        <f t="shared" ref="P133" si="1486">+SUM(P134:P137)</f>
        <v>2945.9106000000002</v>
      </c>
      <c r="Q133" s="58">
        <f t="shared" ref="Q133" si="1487">+SUM(Q134:Q137)</f>
        <v>774</v>
      </c>
      <c r="R133" s="58">
        <f t="shared" ref="R133" si="1488">+SUM(R134:R137)</f>
        <v>40112.379999999997</v>
      </c>
      <c r="S133" s="58">
        <f t="shared" ref="S133" si="1489">+SUM(S134:S137)</f>
        <v>-2044.260000000002</v>
      </c>
      <c r="T133" s="58">
        <f t="shared" ref="T133" si="1490">+SUM(T134:T137)</f>
        <v>2415.96</v>
      </c>
      <c r="U133" s="58">
        <f t="shared" ref="U133" si="1491">+SUM(U134:U137)</f>
        <v>86763.738599999997</v>
      </c>
      <c r="V133" s="58">
        <f t="shared" ref="V133" si="1492">+SUM(V134:V137)</f>
        <v>3350.88</v>
      </c>
      <c r="W133" s="58">
        <f t="shared" ref="W133" si="1493">+SUM(W134:W137)</f>
        <v>2505.2000000000003</v>
      </c>
      <c r="X133" s="58">
        <f t="shared" ref="X133" si="1494">+SUM(X134:X137)</f>
        <v>6767.4599999999991</v>
      </c>
      <c r="Y133" s="58">
        <f t="shared" ref="Y133" si="1495">+SUM(Y134:Y137)</f>
        <v>0</v>
      </c>
      <c r="Z133" s="58">
        <f t="shared" ref="Z133" si="1496">+SUM(Z134:Z137)</f>
        <v>0</v>
      </c>
      <c r="AA133" s="58">
        <f t="shared" ref="AA133" si="1497">+SUM(AA134:AA137)</f>
        <v>148396.7292</v>
      </c>
      <c r="AB133" s="118">
        <f t="shared" si="1223"/>
        <v>-0.83212407778903097</v>
      </c>
      <c r="AC133" s="58">
        <f t="shared" ref="AC133" si="1498">+SUM(AC134:AC137)</f>
        <v>40312.272962499999</v>
      </c>
      <c r="AD133" s="58">
        <f t="shared" ref="AD133" si="1499">+SUM(AD134:AD137)</f>
        <v>40312.272962499999</v>
      </c>
      <c r="AE133" s="58">
        <f t="shared" ref="AE133" si="1500">+SUM(AE134:AE137)</f>
        <v>40312.272962499999</v>
      </c>
      <c r="AF133" s="58">
        <f t="shared" ref="AF133" si="1501">+SUM(AF134:AF137)</f>
        <v>40312.272962499999</v>
      </c>
      <c r="AG133" s="58">
        <f t="shared" ref="AG133" si="1502">+SUM(AG134:AG137)</f>
        <v>40312.272962499999</v>
      </c>
      <c r="AH133" s="58">
        <f t="shared" ref="AH133" si="1503">+SUM(AH134:AH137)</f>
        <v>40312.272962499999</v>
      </c>
      <c r="AI133" s="58">
        <f t="shared" ref="AI133" si="1504">+SUM(AI134:AI137)</f>
        <v>40312.272962499999</v>
      </c>
      <c r="AJ133" s="58">
        <f t="shared" ref="AJ133" si="1505">+SUM(AJ134:AJ137)</f>
        <v>40312.272962499999</v>
      </c>
      <c r="AK133" s="58">
        <f t="shared" ref="AK133" si="1506">+SUM(AK134:AK137)</f>
        <v>40312.272962499999</v>
      </c>
      <c r="AL133" s="58">
        <f t="shared" ref="AL133" si="1507">+SUM(AL134:AL137)</f>
        <v>40312.272962499999</v>
      </c>
      <c r="AM133" s="58">
        <f t="shared" ref="AM133" si="1508">+SUM(AM134:AM137)</f>
        <v>40312.272962499999</v>
      </c>
      <c r="AN133" s="58">
        <f t="shared" ref="AN133" si="1509">+SUM(AN134:AN137)</f>
        <v>40312.272962499999</v>
      </c>
      <c r="AO133" s="58">
        <f t="shared" ref="AO133" si="1510">+SUM(AO134:AO137)</f>
        <v>483747.27554999996</v>
      </c>
      <c r="AQ133" s="58">
        <f t="shared" ref="AQ133:CE133" si="1511">+SUM(AQ134:AQ137)</f>
        <v>0</v>
      </c>
      <c r="AR133" s="58">
        <f t="shared" si="1511"/>
        <v>14721.088799999996</v>
      </c>
      <c r="AS133" s="58">
        <f t="shared" si="1511"/>
        <v>0</v>
      </c>
      <c r="AT133" s="58">
        <f t="shared" si="1511"/>
        <v>3008.8415999999997</v>
      </c>
      <c r="AU133" s="58">
        <f t="shared" si="1511"/>
        <v>9869.1792000000005</v>
      </c>
      <c r="AV133" s="58">
        <f t="shared" si="1511"/>
        <v>840</v>
      </c>
      <c r="AW133" s="58">
        <f t="shared" si="1511"/>
        <v>420</v>
      </c>
      <c r="AX133" s="58">
        <f t="shared" si="1511"/>
        <v>20310.700800000002</v>
      </c>
      <c r="AY133" s="58">
        <f t="shared" si="1511"/>
        <v>41040</v>
      </c>
      <c r="AZ133" s="58">
        <f t="shared" si="1511"/>
        <v>420</v>
      </c>
      <c r="BA133" s="58">
        <f t="shared" si="1511"/>
        <v>21439.099200000001</v>
      </c>
      <c r="BB133" s="58">
        <f t="shared" si="1511"/>
        <v>29118.655199999997</v>
      </c>
      <c r="BC133" s="58">
        <f t="shared" si="1511"/>
        <v>141187.56479999999</v>
      </c>
      <c r="BD133" s="20" t="str">
        <f t="shared" si="1410"/>
        <v>Travelling - Operational</v>
      </c>
      <c r="BE133" s="58">
        <f t="shared" si="1511"/>
        <v>3203.64</v>
      </c>
      <c r="BF133" s="58">
        <f t="shared" ref="BF133:BP133" si="1512">+SUM(BF134:BF137)</f>
        <v>1963.9404</v>
      </c>
      <c r="BG133" s="58">
        <f t="shared" si="1512"/>
        <v>516</v>
      </c>
      <c r="BH133" s="58">
        <f t="shared" si="1512"/>
        <v>33919.119999999995</v>
      </c>
      <c r="BI133" s="58">
        <f t="shared" si="1512"/>
        <v>1813.1599999999999</v>
      </c>
      <c r="BJ133" s="58">
        <f t="shared" si="1512"/>
        <v>1610.64</v>
      </c>
      <c r="BK133" s="58">
        <f t="shared" si="1512"/>
        <v>57842.492399999996</v>
      </c>
      <c r="BL133" s="58">
        <f t="shared" si="1512"/>
        <v>2233.92</v>
      </c>
      <c r="BM133" s="58">
        <f t="shared" si="1512"/>
        <v>0</v>
      </c>
      <c r="BN133" s="58">
        <f t="shared" si="1512"/>
        <v>3135.24</v>
      </c>
      <c r="BO133" s="58">
        <f t="shared" si="1512"/>
        <v>0</v>
      </c>
      <c r="BP133" s="58">
        <f t="shared" si="1512"/>
        <v>0</v>
      </c>
      <c r="BQ133" s="58">
        <f t="shared" si="1511"/>
        <v>106238.15279999998</v>
      </c>
      <c r="BR133" s="118">
        <f t="shared" si="1224"/>
        <v>-0.91562122748653751</v>
      </c>
      <c r="BS133" s="58">
        <f t="shared" si="1511"/>
        <v>37156.738675000001</v>
      </c>
      <c r="BT133" s="58">
        <f t="shared" si="1511"/>
        <v>37156.738675000001</v>
      </c>
      <c r="BU133" s="58">
        <f t="shared" si="1511"/>
        <v>37156.738675000001</v>
      </c>
      <c r="BV133" s="58">
        <f t="shared" si="1511"/>
        <v>37156.738675000001</v>
      </c>
      <c r="BW133" s="58">
        <f t="shared" si="1511"/>
        <v>37156.738675000001</v>
      </c>
      <c r="BX133" s="58">
        <f t="shared" si="1511"/>
        <v>37156.738675000001</v>
      </c>
      <c r="BY133" s="58">
        <f t="shared" si="1511"/>
        <v>37156.738675000001</v>
      </c>
      <c r="BZ133" s="58">
        <f t="shared" si="1511"/>
        <v>37156.738675000001</v>
      </c>
      <c r="CA133" s="58">
        <f t="shared" si="1511"/>
        <v>37156.738675000001</v>
      </c>
      <c r="CB133" s="58">
        <f t="shared" si="1511"/>
        <v>37156.738675000001</v>
      </c>
      <c r="CC133" s="58">
        <f t="shared" si="1511"/>
        <v>37156.738675000001</v>
      </c>
      <c r="CD133" s="58">
        <f t="shared" si="1511"/>
        <v>37156.738675000001</v>
      </c>
      <c r="CE133" s="58">
        <f t="shared" si="1511"/>
        <v>445880.86410000012</v>
      </c>
      <c r="CF133" s="106"/>
      <c r="CG133" s="58">
        <f t="shared" ref="CG133:CS133" si="1513">+SUM(CG134:CG137)</f>
        <v>0</v>
      </c>
      <c r="CH133" s="58">
        <f t="shared" si="1513"/>
        <v>7360.5443999999979</v>
      </c>
      <c r="CI133" s="58">
        <f t="shared" si="1513"/>
        <v>0</v>
      </c>
      <c r="CJ133" s="58">
        <f t="shared" si="1513"/>
        <v>1504.4207999999999</v>
      </c>
      <c r="CK133" s="58">
        <f t="shared" si="1513"/>
        <v>4934.5896000000002</v>
      </c>
      <c r="CL133" s="58">
        <f t="shared" si="1513"/>
        <v>420</v>
      </c>
      <c r="CM133" s="58">
        <f t="shared" si="1513"/>
        <v>457</v>
      </c>
      <c r="CN133" s="58">
        <f t="shared" si="1513"/>
        <v>10155.350400000001</v>
      </c>
      <c r="CO133" s="58">
        <f t="shared" si="1513"/>
        <v>1050</v>
      </c>
      <c r="CP133" s="58">
        <f t="shared" si="1513"/>
        <v>210</v>
      </c>
      <c r="CQ133" s="58">
        <f t="shared" si="1513"/>
        <v>10719.5496</v>
      </c>
      <c r="CR133" s="58">
        <f t="shared" si="1513"/>
        <v>14559.327599999999</v>
      </c>
      <c r="CS133" s="58">
        <f t="shared" si="1513"/>
        <v>51370.782399999996</v>
      </c>
      <c r="CT133" s="20" t="str">
        <f t="shared" si="1411"/>
        <v>Travelling - Operational</v>
      </c>
      <c r="CU133" s="58">
        <f t="shared" ref="CU133:DU133" si="1514">+SUM(CU134:CU137)</f>
        <v>1601.82</v>
      </c>
      <c r="CV133" s="58">
        <f t="shared" si="1514"/>
        <v>981.97019999999998</v>
      </c>
      <c r="CW133" s="58">
        <f t="shared" si="1514"/>
        <v>258</v>
      </c>
      <c r="CX133" s="58">
        <f t="shared" si="1514"/>
        <v>6193.26</v>
      </c>
      <c r="CY133" s="58">
        <f t="shared" si="1514"/>
        <v>-4593.42</v>
      </c>
      <c r="CZ133" s="58">
        <f t="shared" si="1514"/>
        <v>805.32</v>
      </c>
      <c r="DA133" s="58">
        <f t="shared" si="1514"/>
        <v>28921.246199999998</v>
      </c>
      <c r="DB133" s="58">
        <f t="shared" si="1514"/>
        <v>1116.96</v>
      </c>
      <c r="DC133" s="58">
        <f t="shared" si="1514"/>
        <v>2505.2000000000003</v>
      </c>
      <c r="DD133" s="58">
        <f t="shared" si="1514"/>
        <v>3632.22</v>
      </c>
      <c r="DE133" s="58">
        <f t="shared" si="1514"/>
        <v>0</v>
      </c>
      <c r="DF133" s="58">
        <f t="shared" si="1514"/>
        <v>0</v>
      </c>
      <c r="DG133" s="58">
        <f t="shared" si="1514"/>
        <v>41422.576399999998</v>
      </c>
      <c r="DH133" s="118">
        <f t="shared" si="1225"/>
        <v>0.15106339182822148</v>
      </c>
      <c r="DI133" s="58">
        <f t="shared" si="1514"/>
        <v>3155.5342874999997</v>
      </c>
      <c r="DJ133" s="58">
        <f t="shared" si="1514"/>
        <v>3155.5342874999997</v>
      </c>
      <c r="DK133" s="58">
        <f t="shared" si="1514"/>
        <v>3155.5342874999997</v>
      </c>
      <c r="DL133" s="58">
        <f t="shared" si="1514"/>
        <v>3155.5342874999997</v>
      </c>
      <c r="DM133" s="58">
        <f t="shared" si="1514"/>
        <v>3155.5342874999997</v>
      </c>
      <c r="DN133" s="58">
        <f t="shared" si="1514"/>
        <v>3155.5342874999997</v>
      </c>
      <c r="DO133" s="58">
        <f t="shared" si="1514"/>
        <v>3155.5342874999997</v>
      </c>
      <c r="DP133" s="58">
        <f t="shared" si="1514"/>
        <v>3155.5342874999997</v>
      </c>
      <c r="DQ133" s="58">
        <f t="shared" si="1514"/>
        <v>3155.5342874999997</v>
      </c>
      <c r="DR133" s="58">
        <f t="shared" si="1514"/>
        <v>3155.5342874999997</v>
      </c>
      <c r="DS133" s="58">
        <f t="shared" si="1514"/>
        <v>3155.5342874999997</v>
      </c>
      <c r="DT133" s="58">
        <f t="shared" si="1514"/>
        <v>3155.5342874999997</v>
      </c>
      <c r="DU133" s="58">
        <f t="shared" si="1514"/>
        <v>37866.411449999992</v>
      </c>
      <c r="DW133" s="28">
        <f t="shared" ref="DW133:EI133" si="1515">+SUM(DW134:DW137)</f>
        <v>0</v>
      </c>
      <c r="DX133" s="28">
        <f t="shared" si="1515"/>
        <v>0</v>
      </c>
      <c r="DY133" s="28">
        <f t="shared" si="1515"/>
        <v>0</v>
      </c>
      <c r="DZ133" s="28">
        <f t="shared" si="1515"/>
        <v>0</v>
      </c>
      <c r="EA133" s="28">
        <f t="shared" si="1515"/>
        <v>0</v>
      </c>
      <c r="EB133" s="28">
        <f t="shared" si="1515"/>
        <v>0</v>
      </c>
      <c r="EC133" s="28">
        <f t="shared" si="1515"/>
        <v>0</v>
      </c>
      <c r="ED133" s="28">
        <f t="shared" si="1515"/>
        <v>0</v>
      </c>
      <c r="EE133" s="28">
        <f t="shared" si="1515"/>
        <v>0</v>
      </c>
      <c r="EF133" s="28">
        <f t="shared" si="1515"/>
        <v>0</v>
      </c>
      <c r="EG133" s="28">
        <f t="shared" si="1515"/>
        <v>0</v>
      </c>
      <c r="EH133" s="28">
        <f t="shared" si="1515"/>
        <v>0</v>
      </c>
      <c r="EI133" s="58">
        <f t="shared" si="1515"/>
        <v>0</v>
      </c>
      <c r="EJ133" s="20" t="str">
        <f t="shared" si="966"/>
        <v>Travelling - Operational</v>
      </c>
      <c r="EK133" s="28">
        <f t="shared" ref="EK133:EV133" si="1516">+SUM(EK134:EK137)</f>
        <v>0</v>
      </c>
      <c r="EL133" s="28">
        <f t="shared" si="1516"/>
        <v>0</v>
      </c>
      <c r="EM133" s="28">
        <f t="shared" si="1516"/>
        <v>0</v>
      </c>
      <c r="EN133" s="28">
        <f t="shared" si="1516"/>
        <v>0</v>
      </c>
      <c r="EO133" s="28">
        <f t="shared" si="1516"/>
        <v>736</v>
      </c>
      <c r="EP133" s="28">
        <f t="shared" si="1516"/>
        <v>0</v>
      </c>
      <c r="EQ133" s="28">
        <f t="shared" si="1516"/>
        <v>0</v>
      </c>
      <c r="ER133" s="28">
        <f t="shared" si="1516"/>
        <v>0</v>
      </c>
      <c r="ES133" s="28">
        <f t="shared" si="1516"/>
        <v>0</v>
      </c>
      <c r="ET133" s="28">
        <f t="shared" si="1516"/>
        <v>0</v>
      </c>
      <c r="EU133" s="28">
        <f t="shared" si="1516"/>
        <v>0</v>
      </c>
      <c r="EV133" s="28">
        <f t="shared" si="1516"/>
        <v>0</v>
      </c>
      <c r="EW133" s="28">
        <f t="shared" ref="EW133" si="1517">+SUM(EW134:EW137)</f>
        <v>736</v>
      </c>
      <c r="EX133" s="118" t="e">
        <f t="shared" si="1226"/>
        <v>#DIV/0!</v>
      </c>
      <c r="EY133" s="58">
        <f t="shared" ref="EY133:FK133" si="1518">+SUM(EY134:EY137)</f>
        <v>0</v>
      </c>
      <c r="EZ133" s="58">
        <f t="shared" si="1518"/>
        <v>0</v>
      </c>
      <c r="FA133" s="58">
        <f t="shared" si="1518"/>
        <v>0</v>
      </c>
      <c r="FB133" s="58">
        <f t="shared" si="1518"/>
        <v>0</v>
      </c>
      <c r="FC133" s="58">
        <f t="shared" si="1518"/>
        <v>0</v>
      </c>
      <c r="FD133" s="58">
        <f t="shared" si="1518"/>
        <v>0</v>
      </c>
      <c r="FE133" s="58">
        <f t="shared" si="1518"/>
        <v>0</v>
      </c>
      <c r="FF133" s="58">
        <f t="shared" si="1518"/>
        <v>0</v>
      </c>
      <c r="FG133" s="58">
        <f t="shared" si="1518"/>
        <v>0</v>
      </c>
      <c r="FH133" s="58">
        <f t="shared" si="1518"/>
        <v>0</v>
      </c>
      <c r="FI133" s="58">
        <f t="shared" si="1518"/>
        <v>0</v>
      </c>
      <c r="FJ133" s="58">
        <f t="shared" si="1518"/>
        <v>0</v>
      </c>
      <c r="FK133" s="58">
        <f t="shared" si="1518"/>
        <v>0</v>
      </c>
    </row>
    <row r="134" spans="1:167" ht="14.45" hidden="1" customHeight="1" outlineLevel="2">
      <c r="A134" s="106">
        <f t="shared" si="1447"/>
        <v>0</v>
      </c>
      <c r="B134" s="106">
        <f t="shared" si="1447"/>
        <v>0</v>
      </c>
      <c r="C134" s="106">
        <f t="shared" si="1447"/>
        <v>0</v>
      </c>
      <c r="D134" s="106">
        <f t="shared" si="1447"/>
        <v>0</v>
      </c>
      <c r="E134" s="106">
        <f t="shared" si="1447"/>
        <v>0</v>
      </c>
      <c r="F134" s="106">
        <f t="shared" si="1447"/>
        <v>0</v>
      </c>
      <c r="G134" s="106">
        <f t="shared" si="1447"/>
        <v>0</v>
      </c>
      <c r="H134" s="106">
        <f t="shared" si="1447"/>
        <v>0</v>
      </c>
      <c r="I134" s="106">
        <f t="shared" si="1447"/>
        <v>0</v>
      </c>
      <c r="J134" s="106">
        <f t="shared" si="1447"/>
        <v>0</v>
      </c>
      <c r="K134" s="106">
        <f t="shared" si="1447"/>
        <v>0</v>
      </c>
      <c r="L134" s="106">
        <f t="shared" si="1447"/>
        <v>0</v>
      </c>
      <c r="M134" s="106">
        <f t="shared" ref="M134:M137" si="1519">+SUM(A134:L134)</f>
        <v>0</v>
      </c>
      <c r="N134" s="16" t="s">
        <v>111</v>
      </c>
      <c r="O134" s="106">
        <f t="shared" ref="O134:O137" si="1520">+BE134+CU134+EK134</f>
        <v>0</v>
      </c>
      <c r="P134" s="106">
        <f t="shared" ref="P134:P137" si="1521">+BF134+CV134+EL134</f>
        <v>0</v>
      </c>
      <c r="Q134" s="106">
        <f t="shared" ref="Q134:Q137" si="1522">+BG134+CW134+EM134</f>
        <v>0</v>
      </c>
      <c r="R134" s="106">
        <f t="shared" ref="R134:R137" si="1523">+BH134+CX134+EN134</f>
        <v>0</v>
      </c>
      <c r="S134" s="106">
        <f t="shared" ref="S134:S137" si="1524">+BI134+CY134+EO134</f>
        <v>0</v>
      </c>
      <c r="T134" s="106">
        <f t="shared" ref="T134:T137" si="1525">+BJ134+CZ134+EP134</f>
        <v>0</v>
      </c>
      <c r="U134" s="106">
        <f t="shared" ref="U134:U137" si="1526">+BK134+DA134+EQ134</f>
        <v>0</v>
      </c>
      <c r="V134" s="106">
        <f t="shared" ref="V134:V137" si="1527">+BL134+DB134+ER134</f>
        <v>0</v>
      </c>
      <c r="W134" s="106">
        <f t="shared" ref="W134:W137" si="1528">+BM134+DC134+ES134</f>
        <v>0</v>
      </c>
      <c r="X134" s="106">
        <f t="shared" ref="X134:X137" si="1529">+BN134+DD134+ET134</f>
        <v>0</v>
      </c>
      <c r="Y134" s="106">
        <f t="shared" ref="Y134:Y137" si="1530">+BO134+DE134+EU134</f>
        <v>0</v>
      </c>
      <c r="Z134" s="106">
        <f t="shared" ref="Z134:Z137" si="1531">+BP134+DF134+EV134</f>
        <v>0</v>
      </c>
      <c r="AA134" s="106">
        <f t="shared" ref="AA134:AA137" si="1532">+SUM(O134:Z134)</f>
        <v>0</v>
      </c>
      <c r="AB134" s="118">
        <f t="shared" si="1223"/>
        <v>0</v>
      </c>
      <c r="AC134" s="106">
        <f t="shared" ref="AC134:AC137" si="1533">+BS134+DI134+EY134</f>
        <v>0</v>
      </c>
      <c r="AD134" s="106">
        <f t="shared" ref="AD134:AD137" si="1534">+BT134+DJ134+EZ134</f>
        <v>0</v>
      </c>
      <c r="AE134" s="106">
        <f t="shared" ref="AE134:AE137" si="1535">+BU134+DK134+FA134</f>
        <v>0</v>
      </c>
      <c r="AF134" s="106">
        <f t="shared" ref="AF134:AF137" si="1536">+BV134+DL134+FB134</f>
        <v>0</v>
      </c>
      <c r="AG134" s="106">
        <f t="shared" ref="AG134:AG137" si="1537">+BW134+DM134+FC134</f>
        <v>0</v>
      </c>
      <c r="AH134" s="106">
        <f t="shared" ref="AH134:AH137" si="1538">+BX134+DN134+FD134</f>
        <v>0</v>
      </c>
      <c r="AI134" s="106">
        <f t="shared" ref="AI134:AI137" si="1539">+BY134+DO134+FE134</f>
        <v>0</v>
      </c>
      <c r="AJ134" s="106">
        <f t="shared" ref="AJ134:AJ137" si="1540">+BZ134+DP134+FF134</f>
        <v>0</v>
      </c>
      <c r="AK134" s="106">
        <f t="shared" ref="AK134:AK137" si="1541">+CA134+DQ134+FG134</f>
        <v>0</v>
      </c>
      <c r="AL134" s="106">
        <f t="shared" ref="AL134:AL137" si="1542">+CB134+DR134+FH134</f>
        <v>0</v>
      </c>
      <c r="AM134" s="106">
        <f t="shared" ref="AM134:AM137" si="1543">+CC134+DS134+FI134</f>
        <v>0</v>
      </c>
      <c r="AN134" s="106">
        <f t="shared" ref="AN134:AN137" si="1544">+CD134+DT134+FJ134</f>
        <v>0</v>
      </c>
      <c r="AO134" s="106">
        <f t="shared" ref="AO134:AO137" si="1545">+SUM(AC134:AN134)</f>
        <v>0</v>
      </c>
      <c r="AQ134" s="106">
        <v>0</v>
      </c>
      <c r="AR134" s="106">
        <v>0</v>
      </c>
      <c r="AS134" s="106">
        <v>0</v>
      </c>
      <c r="AT134" s="106">
        <v>0</v>
      </c>
      <c r="AU134" s="106">
        <v>0</v>
      </c>
      <c r="AV134" s="106">
        <v>0</v>
      </c>
      <c r="AW134" s="106">
        <v>0</v>
      </c>
      <c r="AX134" s="106">
        <v>0</v>
      </c>
      <c r="AY134" s="106">
        <v>0</v>
      </c>
      <c r="AZ134" s="106">
        <v>0</v>
      </c>
      <c r="BA134" s="106">
        <v>0</v>
      </c>
      <c r="BB134" s="106">
        <v>0</v>
      </c>
      <c r="BC134" s="106">
        <f t="shared" ref="BC134:BC137" si="1546">+SUM(AQ134:BB134)</f>
        <v>0</v>
      </c>
      <c r="BD134" s="16" t="str">
        <f t="shared" si="1410"/>
        <v>Travel Costs - Other</v>
      </c>
      <c r="BE134" s="106">
        <f>+VLOOKUP($BD134,'Jan-25'!$A:$J,5,0)</f>
        <v>0</v>
      </c>
      <c r="BF134" s="106">
        <f>+VLOOKUP($BD134,'Feb-25'!$A:$J,5,0)</f>
        <v>0</v>
      </c>
      <c r="BG134" s="106">
        <f>+VLOOKUP($BD134,'Mar-25'!$A:$J,5,0)</f>
        <v>0</v>
      </c>
      <c r="BH134" s="106">
        <f>+VLOOKUP($BD134,'Apr-25'!$A:$J,5,0)</f>
        <v>0</v>
      </c>
      <c r="BI134" s="106">
        <f>+VLOOKUP($BD134,'May-25'!$A:$J,5,0)</f>
        <v>0</v>
      </c>
      <c r="BJ134" s="106">
        <f>+VLOOKUP($BD134,'June-25'!$A:$J,5,0)</f>
        <v>0</v>
      </c>
      <c r="BK134" s="106">
        <f>+VLOOKUP($BD134,'July-25'!$A:$J,5,0)</f>
        <v>0</v>
      </c>
      <c r="BL134" s="106">
        <f>+VLOOKUP($BD134,'Aug-25'!$A:$J,5,0)</f>
        <v>0</v>
      </c>
      <c r="BM134" s="106">
        <f>+VLOOKUP($BD134,'Sep-25'!$A:$J,5,0)</f>
        <v>0</v>
      </c>
      <c r="BN134" s="106">
        <f>+VLOOKUP($BD134,'Oct-25'!$A:$J,5,0)</f>
        <v>0</v>
      </c>
      <c r="BO134" s="106">
        <f>+VLOOKUP($BD134,'Nov-25'!$A:$J,5,0)</f>
        <v>0</v>
      </c>
      <c r="BP134" s="106">
        <f>+VLOOKUP($BD134,'Dec-25'!$A:$J,5,0)</f>
        <v>0</v>
      </c>
      <c r="BQ134" s="106">
        <f t="shared" ref="BQ134:BQ137" si="1547">+SUM(BE134:BP134)</f>
        <v>0</v>
      </c>
      <c r="BR134" s="118">
        <f t="shared" si="1224"/>
        <v>0</v>
      </c>
      <c r="BS134" s="106">
        <f>+_xlfn.XLOOKUP($BD134,Budget!$A:$A,Budget!BD:BD)</f>
        <v>0</v>
      </c>
      <c r="BT134" s="106">
        <f>+_xlfn.XLOOKUP($BD134,Budget!$A:$A,Budget!BE:BE)</f>
        <v>0</v>
      </c>
      <c r="BU134" s="106">
        <f>+_xlfn.XLOOKUP($BD134,Budget!$A:$A,Budget!BF:BF)</f>
        <v>0</v>
      </c>
      <c r="BV134" s="106">
        <f>+_xlfn.XLOOKUP($BD134,Budget!$A:$A,Budget!BG:BG)</f>
        <v>0</v>
      </c>
      <c r="BW134" s="106">
        <f>+_xlfn.XLOOKUP($BD134,Budget!$A:$A,Budget!BH:BH)</f>
        <v>0</v>
      </c>
      <c r="BX134" s="106">
        <f>+_xlfn.XLOOKUP($BD134,Budget!$A:$A,Budget!BI:BI)</f>
        <v>0</v>
      </c>
      <c r="BY134" s="106">
        <f>+_xlfn.XLOOKUP($BD134,Budget!$A:$A,Budget!BJ:BJ)</f>
        <v>0</v>
      </c>
      <c r="BZ134" s="106">
        <f>+_xlfn.XLOOKUP($BD134,Budget!$A:$A,Budget!BK:BK)</f>
        <v>0</v>
      </c>
      <c r="CA134" s="106">
        <f>+_xlfn.XLOOKUP($BD134,Budget!$A:$A,Budget!BL:BL)</f>
        <v>0</v>
      </c>
      <c r="CB134" s="106">
        <f>+_xlfn.XLOOKUP($BD134,Budget!$A:$A,Budget!BM:BM)</f>
        <v>0</v>
      </c>
      <c r="CC134" s="106">
        <f>+_xlfn.XLOOKUP($BD134,Budget!$A:$A,Budget!BN:BN)</f>
        <v>0</v>
      </c>
      <c r="CD134" s="106">
        <f>+_xlfn.XLOOKUP($BD134,Budget!$A:$A,Budget!BO:BO)</f>
        <v>0</v>
      </c>
      <c r="CE134" s="106">
        <f t="shared" ref="CE134:CE137" si="1548">+SUM(BS134:CD134)</f>
        <v>0</v>
      </c>
      <c r="CF134" s="106"/>
      <c r="CG134" s="106">
        <v>0</v>
      </c>
      <c r="CH134" s="106">
        <v>0</v>
      </c>
      <c r="CI134" s="106">
        <v>0</v>
      </c>
      <c r="CJ134" s="106">
        <v>0</v>
      </c>
      <c r="CK134" s="106">
        <v>0</v>
      </c>
      <c r="CL134" s="106">
        <v>0</v>
      </c>
      <c r="CM134" s="106">
        <v>0</v>
      </c>
      <c r="CN134" s="106">
        <v>0</v>
      </c>
      <c r="CO134" s="106">
        <v>0</v>
      </c>
      <c r="CP134" s="106">
        <v>0</v>
      </c>
      <c r="CQ134" s="106">
        <v>0</v>
      </c>
      <c r="CR134" s="106">
        <v>0</v>
      </c>
      <c r="CS134" s="106">
        <f t="shared" ref="CS134:CS137" si="1549">+SUM(CG134:CR134)</f>
        <v>0</v>
      </c>
      <c r="CT134" s="16" t="str">
        <f t="shared" si="1411"/>
        <v>Travel Costs - Other</v>
      </c>
      <c r="CU134" s="106">
        <f>+VLOOKUP($BD134,'Jan-25'!$A:$J,8,0)</f>
        <v>0</v>
      </c>
      <c r="CV134" s="106">
        <f>+VLOOKUP($BD134,'Feb-25'!$A:$J,8,0)</f>
        <v>0</v>
      </c>
      <c r="CW134" s="106">
        <f>+VLOOKUP($BD134,'Mar-25'!$A:$J,8,0)</f>
        <v>0</v>
      </c>
      <c r="CX134" s="106">
        <f>+VLOOKUP($BD134,'Apr-25'!$A:$J,8,0)</f>
        <v>0</v>
      </c>
      <c r="CY134" s="106">
        <f>+VLOOKUP($BD134,'May-25'!$A:$J,8,0)</f>
        <v>0</v>
      </c>
      <c r="CZ134" s="106">
        <f>+VLOOKUP($BD134,'June-25'!$A:$J,8,0)</f>
        <v>0</v>
      </c>
      <c r="DA134" s="106">
        <f>+VLOOKUP($BD134,'July-25'!$A:$J,8,0)</f>
        <v>0</v>
      </c>
      <c r="DB134" s="106">
        <f>+VLOOKUP($BD134,'Aug-25'!$A:$J,8,0)</f>
        <v>0</v>
      </c>
      <c r="DC134" s="106">
        <f>+VLOOKUP($BD134,'Sep-25'!$A:$J,8,0)</f>
        <v>0</v>
      </c>
      <c r="DD134" s="106">
        <f>+VLOOKUP($BD134,'Oct-25'!$A:$J,8,0)</f>
        <v>0</v>
      </c>
      <c r="DE134" s="106">
        <f>+VLOOKUP($BD134,'Nov-25'!$A:$J,8,0)</f>
        <v>0</v>
      </c>
      <c r="DF134" s="106">
        <f>+VLOOKUP($BD134,'Dec-25'!$A:$J,8,0)</f>
        <v>0</v>
      </c>
      <c r="DG134" s="106">
        <f t="shared" ref="DG134:DG137" si="1550">+SUM(CU134:DF134)</f>
        <v>0</v>
      </c>
      <c r="DH134" s="118">
        <f t="shared" si="1225"/>
        <v>0</v>
      </c>
      <c r="DI134" s="106">
        <f>+_xlfn.XLOOKUP($CT134,Budget!$A:$A,Budget!CQ:CQ)</f>
        <v>0</v>
      </c>
      <c r="DJ134" s="106">
        <f>+_xlfn.XLOOKUP($CT134,Budget!$A:$A,Budget!CR:CR)</f>
        <v>0</v>
      </c>
      <c r="DK134" s="106">
        <f>+_xlfn.XLOOKUP($CT134,Budget!$A:$A,Budget!CS:CS)</f>
        <v>0</v>
      </c>
      <c r="DL134" s="106">
        <f>+_xlfn.XLOOKUP($CT134,Budget!$A:$A,Budget!CT:CT)</f>
        <v>0</v>
      </c>
      <c r="DM134" s="106">
        <f>+_xlfn.XLOOKUP($CT134,Budget!$A:$A,Budget!CU:CU)</f>
        <v>0</v>
      </c>
      <c r="DN134" s="106">
        <f>+_xlfn.XLOOKUP($CT134,Budget!$A:$A,Budget!CV:CV)</f>
        <v>0</v>
      </c>
      <c r="DO134" s="106">
        <f>+_xlfn.XLOOKUP($CT134,Budget!$A:$A,Budget!CW:CW)</f>
        <v>0</v>
      </c>
      <c r="DP134" s="106">
        <f>+_xlfn.XLOOKUP($CT134,Budget!$A:$A,Budget!CX:CX)</f>
        <v>0</v>
      </c>
      <c r="DQ134" s="106">
        <f>+_xlfn.XLOOKUP($CT134,Budget!$A:$A,Budget!CY:CY)</f>
        <v>0</v>
      </c>
      <c r="DR134" s="106">
        <f>+_xlfn.XLOOKUP($CT134,Budget!$A:$A,Budget!CZ:CZ)</f>
        <v>0</v>
      </c>
      <c r="DS134" s="106">
        <f>+_xlfn.XLOOKUP($CT134,Budget!$A:$A,Budget!DA:DA)</f>
        <v>0</v>
      </c>
      <c r="DT134" s="106">
        <f>+_xlfn.XLOOKUP($CT134,Budget!$A:$A,Budget!DB:DB)</f>
        <v>0</v>
      </c>
      <c r="DU134" s="106">
        <f t="shared" ref="DU134:DU137" si="1551">+SUM(DI134:DT134)</f>
        <v>0</v>
      </c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106">
        <f t="shared" ref="EI134:EI137" si="1552">+SUM(DW134:EH134)</f>
        <v>0</v>
      </c>
      <c r="EJ134" s="16" t="str">
        <f t="shared" si="966"/>
        <v>Travel Costs - Other</v>
      </c>
      <c r="EK134" s="22">
        <f>+VLOOKUP($BD134,'Jan-25'!$A:$J,10,0)</f>
        <v>0</v>
      </c>
      <c r="EL134" s="22">
        <f>+VLOOKUP($BD134,'Feb-25'!$A:$J,10,0)</f>
        <v>0</v>
      </c>
      <c r="EM134" s="22">
        <f>+VLOOKUP($BD134,'Mar-25'!$A:$J,10,0)</f>
        <v>0</v>
      </c>
      <c r="EN134" s="22">
        <f>+VLOOKUP($BD134,'Apr-25'!$A:$J,10,0)</f>
        <v>0</v>
      </c>
      <c r="EO134" s="22">
        <f>+VLOOKUP($BD134,'May-25'!$A:$J,10,0)</f>
        <v>0</v>
      </c>
      <c r="EP134" s="22">
        <f>+VLOOKUP($BD134,'June-25'!$A:$J,10,0)</f>
        <v>0</v>
      </c>
      <c r="EQ134" s="22">
        <f>+VLOOKUP($BD134,'July-25'!$A:$J,10,0)</f>
        <v>0</v>
      </c>
      <c r="ER134" s="22">
        <f>+VLOOKUP($BD134,'Aug-25'!$A:$J,10,0)</f>
        <v>0</v>
      </c>
      <c r="ES134" s="22">
        <f>+VLOOKUP($BD134,'Sep-25'!$A:$J,10,0)</f>
        <v>0</v>
      </c>
      <c r="ET134" s="22">
        <f>+VLOOKUP($BD134,'Oct-25'!$A:$J,10,0)</f>
        <v>0</v>
      </c>
      <c r="EU134" s="22">
        <f>+VLOOKUP($BD134,'Nov-25'!$A:$J,10,0)</f>
        <v>0</v>
      </c>
      <c r="EV134" s="22">
        <f>+VLOOKUP($BD134,'Dec-25'!$A:$J,10,0)</f>
        <v>0</v>
      </c>
      <c r="EW134" s="22">
        <f t="shared" ref="EW134:EW137" si="1553">+SUM(EK134:EV134)</f>
        <v>0</v>
      </c>
      <c r="EX134" s="118" t="e">
        <f t="shared" si="1226"/>
        <v>#DIV/0!</v>
      </c>
      <c r="EY134" s="106">
        <f>+_xlfn.XLOOKUP($EJ134,Budget!$A:$A,Budget!DR:DR)</f>
        <v>0</v>
      </c>
      <c r="EZ134" s="106">
        <f>+_xlfn.XLOOKUP($EJ134,Budget!$A:$A,Budget!DS:DS)</f>
        <v>0</v>
      </c>
      <c r="FA134" s="106">
        <f>+_xlfn.XLOOKUP($EJ134,Budget!$A:$A,Budget!DT:DT)</f>
        <v>0</v>
      </c>
      <c r="FB134" s="106">
        <f>+_xlfn.XLOOKUP($EJ134,Budget!$A:$A,Budget!DU:DU)</f>
        <v>0</v>
      </c>
      <c r="FC134" s="106">
        <f>+_xlfn.XLOOKUP($EJ134,Budget!$A:$A,Budget!DV:DV)</f>
        <v>0</v>
      </c>
      <c r="FD134" s="106">
        <f>+_xlfn.XLOOKUP($EJ134,Budget!$A:$A,Budget!DW:DW)</f>
        <v>0</v>
      </c>
      <c r="FE134" s="106">
        <f>+_xlfn.XLOOKUP($EJ134,Budget!$A:$A,Budget!DX:DX)</f>
        <v>0</v>
      </c>
      <c r="FF134" s="106">
        <f>+_xlfn.XLOOKUP($EJ134,Budget!$A:$A,Budget!DY:DY)</f>
        <v>0</v>
      </c>
      <c r="FG134" s="106">
        <f>+_xlfn.XLOOKUP($EJ134,Budget!$A:$A,Budget!DZ:DZ)</f>
        <v>0</v>
      </c>
      <c r="FH134" s="106">
        <f>+_xlfn.XLOOKUP($EJ134,Budget!$A:$A,Budget!EA:EA)</f>
        <v>0</v>
      </c>
      <c r="FI134" s="106">
        <f>+_xlfn.XLOOKUP($EJ134,Budget!$A:$A,Budget!EB:EB)</f>
        <v>0</v>
      </c>
      <c r="FJ134" s="106">
        <f>+_xlfn.XLOOKUP($EJ134,Budget!$A:$A,Budget!EC:EC)</f>
        <v>0</v>
      </c>
      <c r="FK134" s="106">
        <f t="shared" ref="FK134:FK137" si="1554">+SUM(EY134:FJ134)</f>
        <v>0</v>
      </c>
    </row>
    <row r="135" spans="1:167" ht="14.45" hidden="1" customHeight="1" outlineLevel="2">
      <c r="A135" s="106">
        <f t="shared" si="1447"/>
        <v>0</v>
      </c>
      <c r="B135" s="106">
        <f t="shared" si="1447"/>
        <v>22081.633199999993</v>
      </c>
      <c r="C135" s="106">
        <f t="shared" si="1447"/>
        <v>0</v>
      </c>
      <c r="D135" s="106">
        <f t="shared" si="1447"/>
        <v>4513.2623999999996</v>
      </c>
      <c r="E135" s="106">
        <f t="shared" si="1447"/>
        <v>14803.768800000002</v>
      </c>
      <c r="F135" s="106">
        <f t="shared" si="1447"/>
        <v>1260</v>
      </c>
      <c r="G135" s="106">
        <f t="shared" si="1447"/>
        <v>877</v>
      </c>
      <c r="H135" s="106">
        <f t="shared" si="1447"/>
        <v>30466.051200000002</v>
      </c>
      <c r="I135" s="106">
        <f t="shared" si="1447"/>
        <v>42090</v>
      </c>
      <c r="J135" s="106">
        <f t="shared" si="1447"/>
        <v>630</v>
      </c>
      <c r="K135" s="106">
        <f t="shared" si="1447"/>
        <v>32158.648800000003</v>
      </c>
      <c r="L135" s="106">
        <f t="shared" si="1447"/>
        <v>43677.982799999998</v>
      </c>
      <c r="M135" s="106">
        <f t="shared" si="1519"/>
        <v>192558.34719999999</v>
      </c>
      <c r="N135" s="16" t="s">
        <v>112</v>
      </c>
      <c r="O135" s="106">
        <f t="shared" si="1520"/>
        <v>4805.46</v>
      </c>
      <c r="P135" s="106">
        <f t="shared" si="1521"/>
        <v>2945.9106000000002</v>
      </c>
      <c r="Q135" s="106">
        <f t="shared" si="1522"/>
        <v>774</v>
      </c>
      <c r="R135" s="106">
        <f t="shared" si="1523"/>
        <v>40112.379999999997</v>
      </c>
      <c r="S135" s="106">
        <f t="shared" si="1524"/>
        <v>16442.28</v>
      </c>
      <c r="T135" s="106">
        <f t="shared" si="1525"/>
        <v>2415.96</v>
      </c>
      <c r="U135" s="106">
        <f t="shared" si="1526"/>
        <v>4444.0199999999995</v>
      </c>
      <c r="V135" s="106">
        <f t="shared" si="1527"/>
        <v>3350.88</v>
      </c>
      <c r="W135" s="106">
        <f t="shared" si="1528"/>
        <v>2505.2000000000003</v>
      </c>
      <c r="X135" s="106">
        <f t="shared" si="1529"/>
        <v>6767.4599999999991</v>
      </c>
      <c r="Y135" s="106">
        <f t="shared" si="1530"/>
        <v>0</v>
      </c>
      <c r="Z135" s="106">
        <f t="shared" si="1531"/>
        <v>0</v>
      </c>
      <c r="AA135" s="106">
        <f t="shared" si="1532"/>
        <v>84563.550600000017</v>
      </c>
      <c r="AB135" s="118">
        <f t="shared" si="1223"/>
        <v>-0.83212407778903097</v>
      </c>
      <c r="AC135" s="106">
        <f t="shared" si="1533"/>
        <v>40312.272962499999</v>
      </c>
      <c r="AD135" s="106">
        <f t="shared" si="1534"/>
        <v>40312.272962499999</v>
      </c>
      <c r="AE135" s="106">
        <f t="shared" si="1535"/>
        <v>40312.272962499999</v>
      </c>
      <c r="AF135" s="106">
        <f t="shared" si="1536"/>
        <v>40312.272962499999</v>
      </c>
      <c r="AG135" s="106">
        <f t="shared" si="1537"/>
        <v>40312.272962499999</v>
      </c>
      <c r="AH135" s="106">
        <f t="shared" si="1538"/>
        <v>40312.272962499999</v>
      </c>
      <c r="AI135" s="106">
        <f t="shared" si="1539"/>
        <v>40312.272962499999</v>
      </c>
      <c r="AJ135" s="106">
        <f t="shared" si="1540"/>
        <v>40312.272962499999</v>
      </c>
      <c r="AK135" s="106">
        <f t="shared" si="1541"/>
        <v>40312.272962499999</v>
      </c>
      <c r="AL135" s="106">
        <f t="shared" si="1542"/>
        <v>40312.272962499999</v>
      </c>
      <c r="AM135" s="106">
        <f t="shared" si="1543"/>
        <v>40312.272962499999</v>
      </c>
      <c r="AN135" s="106">
        <f t="shared" si="1544"/>
        <v>40312.272962499999</v>
      </c>
      <c r="AO135" s="106">
        <f t="shared" si="1545"/>
        <v>483747.27554999996</v>
      </c>
      <c r="AQ135" s="106">
        <v>0</v>
      </c>
      <c r="AR135" s="106">
        <v>14721.088799999996</v>
      </c>
      <c r="AS135" s="106">
        <v>0</v>
      </c>
      <c r="AT135" s="106">
        <v>3008.8415999999997</v>
      </c>
      <c r="AU135" s="106">
        <v>9869.1792000000005</v>
      </c>
      <c r="AV135" s="106">
        <v>840</v>
      </c>
      <c r="AW135" s="106">
        <v>420</v>
      </c>
      <c r="AX135" s="106">
        <v>20310.700800000002</v>
      </c>
      <c r="AY135" s="106">
        <v>41040</v>
      </c>
      <c r="AZ135" s="106">
        <v>420</v>
      </c>
      <c r="BA135" s="106">
        <v>21439.099200000001</v>
      </c>
      <c r="BB135" s="106">
        <v>29118.655199999997</v>
      </c>
      <c r="BC135" s="106">
        <f t="shared" si="1546"/>
        <v>141187.56479999999</v>
      </c>
      <c r="BD135" s="16" t="str">
        <f t="shared" si="1410"/>
        <v>Travelling Domestic</v>
      </c>
      <c r="BE135" s="106">
        <f>+VLOOKUP($BD135,'Jan-25'!$A:$J,5,0)</f>
        <v>3203.64</v>
      </c>
      <c r="BF135" s="106">
        <f>+VLOOKUP($BD135,'Feb-25'!$A:$J,5,0)</f>
        <v>1963.9404</v>
      </c>
      <c r="BG135" s="106">
        <f>+VLOOKUP($BD135,'Mar-25'!$A:$J,5,0)</f>
        <v>516</v>
      </c>
      <c r="BH135" s="106">
        <f>+VLOOKUP($BD135,'Apr-25'!$A:$J,5,0)</f>
        <v>33919.119999999995</v>
      </c>
      <c r="BI135" s="106">
        <f>+VLOOKUP($BD135,'May-25'!$A:$J,5,0)</f>
        <v>14137.52</v>
      </c>
      <c r="BJ135" s="106">
        <f>+VLOOKUP($BD135,'June-25'!$A:$J,5,0)</f>
        <v>1610.64</v>
      </c>
      <c r="BK135" s="106">
        <f>+VLOOKUP($BD135,'July-25'!$A:$J,5,0)</f>
        <v>2962.68</v>
      </c>
      <c r="BL135" s="106">
        <f>+VLOOKUP($BD135,'Aug-25'!$A:$J,5,0)</f>
        <v>2233.92</v>
      </c>
      <c r="BM135" s="106">
        <f>+VLOOKUP($BD135,'Sep-25'!$A:$J,5,0)</f>
        <v>0</v>
      </c>
      <c r="BN135" s="106">
        <f>+VLOOKUP($BD135,'Oct-25'!$A:$J,5,0)</f>
        <v>3135.24</v>
      </c>
      <c r="BO135" s="106">
        <f>+VLOOKUP($BD135,'Nov-25'!$A:$J,5,0)</f>
        <v>0</v>
      </c>
      <c r="BP135" s="106">
        <f>+VLOOKUP($BD135,'Dec-25'!$A:$J,5,0)</f>
        <v>0</v>
      </c>
      <c r="BQ135" s="106">
        <f t="shared" si="1547"/>
        <v>63682.700399999987</v>
      </c>
      <c r="BR135" s="118">
        <f t="shared" si="1224"/>
        <v>-0.91562122748653751</v>
      </c>
      <c r="BS135" s="106">
        <f>+_xlfn.XLOOKUP($BD135,Budget!$A:$A,Budget!BD:BD)</f>
        <v>37156.738675000001</v>
      </c>
      <c r="BT135" s="106">
        <f>+_xlfn.XLOOKUP($BD135,Budget!$A:$A,Budget!BE:BE)</f>
        <v>37156.738675000001</v>
      </c>
      <c r="BU135" s="106">
        <f>+_xlfn.XLOOKUP($BD135,Budget!$A:$A,Budget!BF:BF)</f>
        <v>37156.738675000001</v>
      </c>
      <c r="BV135" s="106">
        <f>+_xlfn.XLOOKUP($BD135,Budget!$A:$A,Budget!BG:BG)</f>
        <v>37156.738675000001</v>
      </c>
      <c r="BW135" s="106">
        <f>+_xlfn.XLOOKUP($BD135,Budget!$A:$A,Budget!BH:BH)</f>
        <v>37156.738675000001</v>
      </c>
      <c r="BX135" s="106">
        <f>+_xlfn.XLOOKUP($BD135,Budget!$A:$A,Budget!BI:BI)</f>
        <v>37156.738675000001</v>
      </c>
      <c r="BY135" s="106">
        <f>+_xlfn.XLOOKUP($BD135,Budget!$A:$A,Budget!BJ:BJ)</f>
        <v>37156.738675000001</v>
      </c>
      <c r="BZ135" s="106">
        <f>+_xlfn.XLOOKUP($BD135,Budget!$A:$A,Budget!BK:BK)</f>
        <v>37156.738675000001</v>
      </c>
      <c r="CA135" s="106">
        <f>+_xlfn.XLOOKUP($BD135,Budget!$A:$A,Budget!BL:BL)</f>
        <v>37156.738675000001</v>
      </c>
      <c r="CB135" s="106">
        <f>+_xlfn.XLOOKUP($BD135,Budget!$A:$A,Budget!BM:BM)</f>
        <v>37156.738675000001</v>
      </c>
      <c r="CC135" s="106">
        <f>+_xlfn.XLOOKUP($BD135,Budget!$A:$A,Budget!BN:BN)</f>
        <v>37156.738675000001</v>
      </c>
      <c r="CD135" s="106">
        <f>+_xlfn.XLOOKUP($BD135,Budget!$A:$A,Budget!BO:BO)</f>
        <v>37156.738675000001</v>
      </c>
      <c r="CE135" s="106">
        <f t="shared" si="1548"/>
        <v>445880.86410000012</v>
      </c>
      <c r="CF135" s="106"/>
      <c r="CG135" s="106">
        <v>0</v>
      </c>
      <c r="CH135" s="106">
        <v>7360.5443999999979</v>
      </c>
      <c r="CI135" s="106">
        <v>0</v>
      </c>
      <c r="CJ135" s="106">
        <v>1504.4207999999999</v>
      </c>
      <c r="CK135" s="106">
        <v>4934.5896000000002</v>
      </c>
      <c r="CL135" s="106">
        <v>420</v>
      </c>
      <c r="CM135" s="106">
        <v>457</v>
      </c>
      <c r="CN135" s="106">
        <v>10155.350400000001</v>
      </c>
      <c r="CO135" s="106">
        <v>1050</v>
      </c>
      <c r="CP135" s="106">
        <v>210</v>
      </c>
      <c r="CQ135" s="106">
        <v>10719.5496</v>
      </c>
      <c r="CR135" s="106">
        <v>14559.327599999999</v>
      </c>
      <c r="CS135" s="106">
        <f t="shared" si="1549"/>
        <v>51370.782399999996</v>
      </c>
      <c r="CT135" s="16" t="str">
        <f t="shared" si="1411"/>
        <v>Travelling Domestic</v>
      </c>
      <c r="CU135" s="106">
        <f>+VLOOKUP($BD135,'Jan-25'!$A:$J,8,0)</f>
        <v>1601.82</v>
      </c>
      <c r="CV135" s="106">
        <f>+VLOOKUP($BD135,'Feb-25'!$A:$J,8,0)</f>
        <v>981.97019999999998</v>
      </c>
      <c r="CW135" s="106">
        <f>+VLOOKUP($BD135,'Mar-25'!$A:$J,8,0)</f>
        <v>258</v>
      </c>
      <c r="CX135" s="106">
        <f>+VLOOKUP($BD135,'Apr-25'!$A:$J,8,0)</f>
        <v>6193.26</v>
      </c>
      <c r="CY135" s="106">
        <f>+VLOOKUP($BD135,'May-25'!$A:$J,8,0)</f>
        <v>1568.76</v>
      </c>
      <c r="CZ135" s="106">
        <f>+VLOOKUP($BD135,'June-25'!$A:$J,8,0)</f>
        <v>805.32</v>
      </c>
      <c r="DA135" s="106">
        <f>+VLOOKUP($BD135,'July-25'!$A:$J,8,0)</f>
        <v>1481.34</v>
      </c>
      <c r="DB135" s="106">
        <f>+VLOOKUP($BD135,'Aug-25'!$A:$J,8,0)</f>
        <v>1116.96</v>
      </c>
      <c r="DC135" s="106">
        <f>+VLOOKUP($BD135,'Sep-25'!$A:$J,8,0)</f>
        <v>2505.2000000000003</v>
      </c>
      <c r="DD135" s="106">
        <f>+VLOOKUP($BD135,'Oct-25'!$A:$J,8,0)</f>
        <v>3632.22</v>
      </c>
      <c r="DE135" s="106">
        <f>+VLOOKUP($BD135,'Nov-25'!$A:$J,8,0)</f>
        <v>0</v>
      </c>
      <c r="DF135" s="106">
        <f>+VLOOKUP($BD135,'Dec-25'!$A:$J,8,0)</f>
        <v>0</v>
      </c>
      <c r="DG135" s="106">
        <f t="shared" si="1550"/>
        <v>20144.850200000001</v>
      </c>
      <c r="DH135" s="118">
        <f t="shared" si="1225"/>
        <v>0.15106339182822148</v>
      </c>
      <c r="DI135" s="106">
        <f>+_xlfn.XLOOKUP($CT135,Budget!$A:$A,Budget!CQ:CQ)</f>
        <v>3155.5342874999997</v>
      </c>
      <c r="DJ135" s="106">
        <f>+_xlfn.XLOOKUP($CT135,Budget!$A:$A,Budget!CR:CR)</f>
        <v>3155.5342874999997</v>
      </c>
      <c r="DK135" s="106">
        <f>+_xlfn.XLOOKUP($CT135,Budget!$A:$A,Budget!CS:CS)</f>
        <v>3155.5342874999997</v>
      </c>
      <c r="DL135" s="106">
        <f>+_xlfn.XLOOKUP($CT135,Budget!$A:$A,Budget!CT:CT)</f>
        <v>3155.5342874999997</v>
      </c>
      <c r="DM135" s="106">
        <f>+_xlfn.XLOOKUP($CT135,Budget!$A:$A,Budget!CU:CU)</f>
        <v>3155.5342874999997</v>
      </c>
      <c r="DN135" s="106">
        <f>+_xlfn.XLOOKUP($CT135,Budget!$A:$A,Budget!CV:CV)</f>
        <v>3155.5342874999997</v>
      </c>
      <c r="DO135" s="106">
        <f>+_xlfn.XLOOKUP($CT135,Budget!$A:$A,Budget!CW:CW)</f>
        <v>3155.5342874999997</v>
      </c>
      <c r="DP135" s="106">
        <f>+_xlfn.XLOOKUP($CT135,Budget!$A:$A,Budget!CX:CX)</f>
        <v>3155.5342874999997</v>
      </c>
      <c r="DQ135" s="106">
        <f>+_xlfn.XLOOKUP($CT135,Budget!$A:$A,Budget!CY:CY)</f>
        <v>3155.5342874999997</v>
      </c>
      <c r="DR135" s="106">
        <f>+_xlfn.XLOOKUP($CT135,Budget!$A:$A,Budget!CZ:CZ)</f>
        <v>3155.5342874999997</v>
      </c>
      <c r="DS135" s="106">
        <f>+_xlfn.XLOOKUP($CT135,Budget!$A:$A,Budget!DA:DA)</f>
        <v>3155.5342874999997</v>
      </c>
      <c r="DT135" s="106">
        <f>+_xlfn.XLOOKUP($CT135,Budget!$A:$A,Budget!DB:DB)</f>
        <v>3155.5342874999997</v>
      </c>
      <c r="DU135" s="106">
        <f t="shared" si="1551"/>
        <v>37866.411449999992</v>
      </c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106">
        <f t="shared" si="1552"/>
        <v>0</v>
      </c>
      <c r="EJ135" s="16" t="str">
        <f t="shared" si="966"/>
        <v>Travelling Domestic</v>
      </c>
      <c r="EK135" s="22">
        <f>+VLOOKUP($BD135,'Jan-25'!$A:$J,10,0)</f>
        <v>0</v>
      </c>
      <c r="EL135" s="22">
        <f>+VLOOKUP($BD135,'Feb-25'!$A:$J,10,0)</f>
        <v>0</v>
      </c>
      <c r="EM135" s="22">
        <f>+VLOOKUP($BD135,'Mar-25'!$A:$J,10,0)</f>
        <v>0</v>
      </c>
      <c r="EN135" s="22">
        <f>+VLOOKUP($BD135,'Apr-25'!$A:$J,10,0)</f>
        <v>0</v>
      </c>
      <c r="EO135" s="22">
        <f>+VLOOKUP($BD135,'May-25'!$A:$J,10,0)</f>
        <v>736</v>
      </c>
      <c r="EP135" s="22">
        <f>+VLOOKUP($BD135,'June-25'!$A:$J,10,0)</f>
        <v>0</v>
      </c>
      <c r="EQ135" s="22">
        <f>+VLOOKUP($BD135,'July-25'!$A:$J,10,0)</f>
        <v>0</v>
      </c>
      <c r="ER135" s="22">
        <f>+VLOOKUP($BD135,'Aug-25'!$A:$J,10,0)</f>
        <v>0</v>
      </c>
      <c r="ES135" s="22">
        <f>+VLOOKUP($BD135,'Sep-25'!$A:$J,10,0)</f>
        <v>0</v>
      </c>
      <c r="ET135" s="22">
        <f>+VLOOKUP($BD135,'Oct-25'!$A:$J,10,0)</f>
        <v>0</v>
      </c>
      <c r="EU135" s="22">
        <f>+VLOOKUP($BD135,'Nov-25'!$A:$J,10,0)</f>
        <v>0</v>
      </c>
      <c r="EV135" s="22">
        <f>+VLOOKUP($BD135,'Dec-25'!$A:$J,10,0)</f>
        <v>0</v>
      </c>
      <c r="EW135" s="22">
        <f t="shared" si="1553"/>
        <v>736</v>
      </c>
      <c r="EX135" s="118" t="e">
        <f t="shared" si="1226"/>
        <v>#DIV/0!</v>
      </c>
      <c r="EY135" s="106">
        <f>+_xlfn.XLOOKUP($EJ135,Budget!$A:$A,Budget!DR:DR)</f>
        <v>0</v>
      </c>
      <c r="EZ135" s="106">
        <f>+_xlfn.XLOOKUP($EJ135,Budget!$A:$A,Budget!DS:DS)</f>
        <v>0</v>
      </c>
      <c r="FA135" s="106">
        <f>+_xlfn.XLOOKUP($EJ135,Budget!$A:$A,Budget!DT:DT)</f>
        <v>0</v>
      </c>
      <c r="FB135" s="106">
        <f>+_xlfn.XLOOKUP($EJ135,Budget!$A:$A,Budget!DU:DU)</f>
        <v>0</v>
      </c>
      <c r="FC135" s="106">
        <f>+_xlfn.XLOOKUP($EJ135,Budget!$A:$A,Budget!DV:DV)</f>
        <v>0</v>
      </c>
      <c r="FD135" s="106">
        <f>+_xlfn.XLOOKUP($EJ135,Budget!$A:$A,Budget!DW:DW)</f>
        <v>0</v>
      </c>
      <c r="FE135" s="106">
        <f>+_xlfn.XLOOKUP($EJ135,Budget!$A:$A,Budget!DX:DX)</f>
        <v>0</v>
      </c>
      <c r="FF135" s="106">
        <f>+_xlfn.XLOOKUP($EJ135,Budget!$A:$A,Budget!DY:DY)</f>
        <v>0</v>
      </c>
      <c r="FG135" s="106">
        <f>+_xlfn.XLOOKUP($EJ135,Budget!$A:$A,Budget!DZ:DZ)</f>
        <v>0</v>
      </c>
      <c r="FH135" s="106">
        <f>+_xlfn.XLOOKUP($EJ135,Budget!$A:$A,Budget!EA:EA)</f>
        <v>0</v>
      </c>
      <c r="FI135" s="106">
        <f>+_xlfn.XLOOKUP($EJ135,Budget!$A:$A,Budget!EB:EB)</f>
        <v>0</v>
      </c>
      <c r="FJ135" s="106">
        <f>+_xlfn.XLOOKUP($EJ135,Budget!$A:$A,Budget!EC:EC)</f>
        <v>0</v>
      </c>
      <c r="FK135" s="106">
        <f t="shared" si="1554"/>
        <v>0</v>
      </c>
    </row>
    <row r="136" spans="1:167" ht="14.45" hidden="1" customHeight="1" outlineLevel="2">
      <c r="A136" s="106">
        <f t="shared" si="1447"/>
        <v>0</v>
      </c>
      <c r="B136" s="106">
        <f t="shared" si="1447"/>
        <v>0</v>
      </c>
      <c r="C136" s="106">
        <f t="shared" si="1447"/>
        <v>0</v>
      </c>
      <c r="D136" s="106">
        <f t="shared" si="1447"/>
        <v>0</v>
      </c>
      <c r="E136" s="106">
        <f t="shared" si="1447"/>
        <v>0</v>
      </c>
      <c r="F136" s="106">
        <f t="shared" si="1447"/>
        <v>0</v>
      </c>
      <c r="G136" s="106">
        <f t="shared" si="1447"/>
        <v>0</v>
      </c>
      <c r="H136" s="106">
        <f t="shared" si="1447"/>
        <v>0</v>
      </c>
      <c r="I136" s="106">
        <f t="shared" si="1447"/>
        <v>0</v>
      </c>
      <c r="J136" s="106">
        <f t="shared" si="1447"/>
        <v>0</v>
      </c>
      <c r="K136" s="106">
        <f t="shared" si="1447"/>
        <v>0</v>
      </c>
      <c r="L136" s="106">
        <f t="shared" si="1447"/>
        <v>0</v>
      </c>
      <c r="M136" s="106">
        <f t="shared" si="1519"/>
        <v>0</v>
      </c>
      <c r="N136" s="16" t="s">
        <v>113</v>
      </c>
      <c r="O136" s="106">
        <f t="shared" si="1520"/>
        <v>0</v>
      </c>
      <c r="P136" s="106">
        <f t="shared" si="1521"/>
        <v>0</v>
      </c>
      <c r="Q136" s="106">
        <f t="shared" si="1522"/>
        <v>0</v>
      </c>
      <c r="R136" s="106">
        <f t="shared" si="1523"/>
        <v>0</v>
      </c>
      <c r="S136" s="106">
        <f t="shared" si="1524"/>
        <v>0</v>
      </c>
      <c r="T136" s="106">
        <f t="shared" si="1525"/>
        <v>0</v>
      </c>
      <c r="U136" s="106">
        <f t="shared" si="1526"/>
        <v>0</v>
      </c>
      <c r="V136" s="106">
        <f t="shared" si="1527"/>
        <v>0</v>
      </c>
      <c r="W136" s="106">
        <f t="shared" si="1528"/>
        <v>0</v>
      </c>
      <c r="X136" s="106">
        <f t="shared" si="1529"/>
        <v>0</v>
      </c>
      <c r="Y136" s="106">
        <f t="shared" si="1530"/>
        <v>0</v>
      </c>
      <c r="Z136" s="106">
        <f t="shared" si="1531"/>
        <v>0</v>
      </c>
      <c r="AA136" s="106">
        <f t="shared" si="1532"/>
        <v>0</v>
      </c>
      <c r="AB136" s="118">
        <f t="shared" si="1223"/>
        <v>0</v>
      </c>
      <c r="AC136" s="106">
        <f t="shared" si="1533"/>
        <v>0</v>
      </c>
      <c r="AD136" s="106">
        <f t="shared" si="1534"/>
        <v>0</v>
      </c>
      <c r="AE136" s="106">
        <f t="shared" si="1535"/>
        <v>0</v>
      </c>
      <c r="AF136" s="106">
        <f t="shared" si="1536"/>
        <v>0</v>
      </c>
      <c r="AG136" s="106">
        <f t="shared" si="1537"/>
        <v>0</v>
      </c>
      <c r="AH136" s="106">
        <f t="shared" si="1538"/>
        <v>0</v>
      </c>
      <c r="AI136" s="106">
        <f t="shared" si="1539"/>
        <v>0</v>
      </c>
      <c r="AJ136" s="106">
        <f t="shared" si="1540"/>
        <v>0</v>
      </c>
      <c r="AK136" s="106">
        <f t="shared" si="1541"/>
        <v>0</v>
      </c>
      <c r="AL136" s="106">
        <f t="shared" si="1542"/>
        <v>0</v>
      </c>
      <c r="AM136" s="106">
        <f t="shared" si="1543"/>
        <v>0</v>
      </c>
      <c r="AN136" s="106">
        <f t="shared" si="1544"/>
        <v>0</v>
      </c>
      <c r="AO136" s="106">
        <f t="shared" si="1545"/>
        <v>0</v>
      </c>
      <c r="AQ136" s="106">
        <v>0</v>
      </c>
      <c r="AR136" s="106">
        <v>0</v>
      </c>
      <c r="AS136" s="106">
        <v>0</v>
      </c>
      <c r="AT136" s="106">
        <v>0</v>
      </c>
      <c r="AU136" s="106">
        <v>0</v>
      </c>
      <c r="AV136" s="106">
        <v>0</v>
      </c>
      <c r="AW136" s="106">
        <v>0</v>
      </c>
      <c r="AX136" s="106">
        <v>0</v>
      </c>
      <c r="AY136" s="106">
        <v>0</v>
      </c>
      <c r="AZ136" s="106">
        <v>0</v>
      </c>
      <c r="BA136" s="106">
        <v>0</v>
      </c>
      <c r="BB136" s="106">
        <v>0</v>
      </c>
      <c r="BC136" s="106">
        <f t="shared" si="1546"/>
        <v>0</v>
      </c>
      <c r="BD136" s="16" t="str">
        <f t="shared" si="1410"/>
        <v>Travelling Expenses - Directors</v>
      </c>
      <c r="BE136" s="106">
        <f>+VLOOKUP($BD136,'Jan-25'!$A:$J,5,0)</f>
        <v>0</v>
      </c>
      <c r="BF136" s="106">
        <f>+VLOOKUP($BD136,'Feb-25'!$A:$J,5,0)</f>
        <v>0</v>
      </c>
      <c r="BG136" s="106">
        <f>+VLOOKUP($BD136,'Mar-25'!$A:$J,5,0)</f>
        <v>0</v>
      </c>
      <c r="BH136" s="106">
        <f>+VLOOKUP($BD136,'Apr-25'!$A:$J,5,0)</f>
        <v>0</v>
      </c>
      <c r="BI136" s="106">
        <f>+VLOOKUP($BD136,'May-25'!$A:$J,5,0)</f>
        <v>0</v>
      </c>
      <c r="BJ136" s="106">
        <f>+VLOOKUP($BD136,'June-25'!$A:$J,5,0)</f>
        <v>0</v>
      </c>
      <c r="BK136" s="106">
        <f>+VLOOKUP($BD136,'July-25'!$A:$J,5,0)</f>
        <v>0</v>
      </c>
      <c r="BL136" s="106">
        <f>+VLOOKUP($BD136,'Aug-25'!$A:$J,5,0)</f>
        <v>0</v>
      </c>
      <c r="BM136" s="106">
        <f>+VLOOKUP($BD136,'Sep-25'!$A:$J,5,0)</f>
        <v>0</v>
      </c>
      <c r="BN136" s="106">
        <f>+VLOOKUP($BD136,'Oct-25'!$A:$J,5,0)</f>
        <v>0</v>
      </c>
      <c r="BO136" s="106">
        <f>+VLOOKUP($BD136,'Nov-25'!$A:$J,5,0)</f>
        <v>0</v>
      </c>
      <c r="BP136" s="106">
        <f>+VLOOKUP($BD136,'Dec-25'!$A:$J,5,0)</f>
        <v>0</v>
      </c>
      <c r="BQ136" s="106">
        <f t="shared" si="1547"/>
        <v>0</v>
      </c>
      <c r="BR136" s="118">
        <f t="shared" si="1224"/>
        <v>0</v>
      </c>
      <c r="BS136" s="106">
        <f>+_xlfn.XLOOKUP($BD136,Budget!$A:$A,Budget!BD:BD)</f>
        <v>0</v>
      </c>
      <c r="BT136" s="106">
        <f>+_xlfn.XLOOKUP($BD136,Budget!$A:$A,Budget!BE:BE)</f>
        <v>0</v>
      </c>
      <c r="BU136" s="106">
        <f>+_xlfn.XLOOKUP($BD136,Budget!$A:$A,Budget!BF:BF)</f>
        <v>0</v>
      </c>
      <c r="BV136" s="106">
        <f>+_xlfn.XLOOKUP($BD136,Budget!$A:$A,Budget!BG:BG)</f>
        <v>0</v>
      </c>
      <c r="BW136" s="106">
        <f>+_xlfn.XLOOKUP($BD136,Budget!$A:$A,Budget!BH:BH)</f>
        <v>0</v>
      </c>
      <c r="BX136" s="106">
        <f>+_xlfn.XLOOKUP($BD136,Budget!$A:$A,Budget!BI:BI)</f>
        <v>0</v>
      </c>
      <c r="BY136" s="106">
        <f>+_xlfn.XLOOKUP($BD136,Budget!$A:$A,Budget!BJ:BJ)</f>
        <v>0</v>
      </c>
      <c r="BZ136" s="106">
        <f>+_xlfn.XLOOKUP($BD136,Budget!$A:$A,Budget!BK:BK)</f>
        <v>0</v>
      </c>
      <c r="CA136" s="106">
        <f>+_xlfn.XLOOKUP($BD136,Budget!$A:$A,Budget!BL:BL)</f>
        <v>0</v>
      </c>
      <c r="CB136" s="106">
        <f>+_xlfn.XLOOKUP($BD136,Budget!$A:$A,Budget!BM:BM)</f>
        <v>0</v>
      </c>
      <c r="CC136" s="106">
        <f>+_xlfn.XLOOKUP($BD136,Budget!$A:$A,Budget!BN:BN)</f>
        <v>0</v>
      </c>
      <c r="CD136" s="106">
        <f>+_xlfn.XLOOKUP($BD136,Budget!$A:$A,Budget!BO:BO)</f>
        <v>0</v>
      </c>
      <c r="CE136" s="106">
        <f t="shared" si="1548"/>
        <v>0</v>
      </c>
      <c r="CF136" s="106"/>
      <c r="CG136" s="106">
        <v>0</v>
      </c>
      <c r="CH136" s="106">
        <v>0</v>
      </c>
      <c r="CI136" s="106">
        <v>0</v>
      </c>
      <c r="CJ136" s="106">
        <v>0</v>
      </c>
      <c r="CK136" s="106">
        <v>0</v>
      </c>
      <c r="CL136" s="106">
        <v>0</v>
      </c>
      <c r="CM136" s="106">
        <v>0</v>
      </c>
      <c r="CN136" s="106">
        <v>0</v>
      </c>
      <c r="CO136" s="106">
        <v>0</v>
      </c>
      <c r="CP136" s="106">
        <v>0</v>
      </c>
      <c r="CQ136" s="106">
        <v>0</v>
      </c>
      <c r="CR136" s="106">
        <v>0</v>
      </c>
      <c r="CS136" s="106">
        <f t="shared" si="1549"/>
        <v>0</v>
      </c>
      <c r="CT136" s="16" t="str">
        <f t="shared" si="1411"/>
        <v>Travelling Expenses - Directors</v>
      </c>
      <c r="CU136" s="106">
        <f>+VLOOKUP($BD136,'Jan-25'!$A:$J,8,0)</f>
        <v>0</v>
      </c>
      <c r="CV136" s="106">
        <f>+VLOOKUP($BD136,'Feb-25'!$A:$J,8,0)</f>
        <v>0</v>
      </c>
      <c r="CW136" s="106">
        <f>+VLOOKUP($BD136,'Mar-25'!$A:$J,8,0)</f>
        <v>0</v>
      </c>
      <c r="CX136" s="106">
        <f>+VLOOKUP($BD136,'Apr-25'!$A:$J,8,0)</f>
        <v>0</v>
      </c>
      <c r="CY136" s="106">
        <f>+VLOOKUP($BD136,'May-25'!$A:$J,8,0)</f>
        <v>0</v>
      </c>
      <c r="CZ136" s="106">
        <f>+VLOOKUP($BD136,'June-25'!$A:$J,8,0)</f>
        <v>0</v>
      </c>
      <c r="DA136" s="106">
        <f>+VLOOKUP($BD136,'July-25'!$A:$J,8,0)</f>
        <v>0</v>
      </c>
      <c r="DB136" s="106">
        <f>+VLOOKUP($BD136,'Aug-25'!$A:$J,8,0)</f>
        <v>0</v>
      </c>
      <c r="DC136" s="106">
        <f>+VLOOKUP($BD136,'Sep-25'!$A:$J,8,0)</f>
        <v>0</v>
      </c>
      <c r="DD136" s="106">
        <f>+VLOOKUP($BD136,'Oct-25'!$A:$J,8,0)</f>
        <v>0</v>
      </c>
      <c r="DE136" s="106">
        <f>+VLOOKUP($BD136,'Nov-25'!$A:$J,8,0)</f>
        <v>0</v>
      </c>
      <c r="DF136" s="106">
        <f>+VLOOKUP($BD136,'Dec-25'!$A:$J,8,0)</f>
        <v>0</v>
      </c>
      <c r="DG136" s="106">
        <f t="shared" si="1550"/>
        <v>0</v>
      </c>
      <c r="DH136" s="118">
        <f t="shared" si="1225"/>
        <v>0</v>
      </c>
      <c r="DI136" s="106">
        <f>+_xlfn.XLOOKUP($CT136,Budget!$A:$A,Budget!CQ:CQ)</f>
        <v>0</v>
      </c>
      <c r="DJ136" s="106">
        <f>+_xlfn.XLOOKUP($CT136,Budget!$A:$A,Budget!CR:CR)</f>
        <v>0</v>
      </c>
      <c r="DK136" s="106">
        <f>+_xlfn.XLOOKUP($CT136,Budget!$A:$A,Budget!CS:CS)</f>
        <v>0</v>
      </c>
      <c r="DL136" s="106">
        <f>+_xlfn.XLOOKUP($CT136,Budget!$A:$A,Budget!CT:CT)</f>
        <v>0</v>
      </c>
      <c r="DM136" s="106">
        <f>+_xlfn.XLOOKUP($CT136,Budget!$A:$A,Budget!CU:CU)</f>
        <v>0</v>
      </c>
      <c r="DN136" s="106">
        <f>+_xlfn.XLOOKUP($CT136,Budget!$A:$A,Budget!CV:CV)</f>
        <v>0</v>
      </c>
      <c r="DO136" s="106">
        <f>+_xlfn.XLOOKUP($CT136,Budget!$A:$A,Budget!CW:CW)</f>
        <v>0</v>
      </c>
      <c r="DP136" s="106">
        <f>+_xlfn.XLOOKUP($CT136,Budget!$A:$A,Budget!CX:CX)</f>
        <v>0</v>
      </c>
      <c r="DQ136" s="106">
        <f>+_xlfn.XLOOKUP($CT136,Budget!$A:$A,Budget!CY:CY)</f>
        <v>0</v>
      </c>
      <c r="DR136" s="106">
        <f>+_xlfn.XLOOKUP($CT136,Budget!$A:$A,Budget!CZ:CZ)</f>
        <v>0</v>
      </c>
      <c r="DS136" s="106">
        <f>+_xlfn.XLOOKUP($CT136,Budget!$A:$A,Budget!DA:DA)</f>
        <v>0</v>
      </c>
      <c r="DT136" s="106">
        <f>+_xlfn.XLOOKUP($CT136,Budget!$A:$A,Budget!DB:DB)</f>
        <v>0</v>
      </c>
      <c r="DU136" s="106">
        <f t="shared" si="1551"/>
        <v>0</v>
      </c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106">
        <f t="shared" si="1552"/>
        <v>0</v>
      </c>
      <c r="EJ136" s="16" t="str">
        <f t="shared" si="966"/>
        <v>Travelling Expenses - Directors</v>
      </c>
      <c r="EK136" s="22">
        <f>+VLOOKUP($BD136,'Jan-25'!$A:$J,10,0)</f>
        <v>0</v>
      </c>
      <c r="EL136" s="22">
        <f>+VLOOKUP($BD136,'Feb-25'!$A:$J,10,0)</f>
        <v>0</v>
      </c>
      <c r="EM136" s="22">
        <f>+VLOOKUP($BD136,'Mar-25'!$A:$J,10,0)</f>
        <v>0</v>
      </c>
      <c r="EN136" s="22">
        <f>+VLOOKUP($BD136,'Apr-25'!$A:$J,10,0)</f>
        <v>0</v>
      </c>
      <c r="EO136" s="22">
        <f>+VLOOKUP($BD136,'May-25'!$A:$J,10,0)</f>
        <v>0</v>
      </c>
      <c r="EP136" s="22">
        <f>+VLOOKUP($BD136,'June-25'!$A:$J,10,0)</f>
        <v>0</v>
      </c>
      <c r="EQ136" s="22">
        <f>+VLOOKUP($BD136,'July-25'!$A:$J,10,0)</f>
        <v>0</v>
      </c>
      <c r="ER136" s="22">
        <f>+VLOOKUP($BD136,'Aug-25'!$A:$J,10,0)</f>
        <v>0</v>
      </c>
      <c r="ES136" s="22">
        <f>+VLOOKUP($BD136,'Sep-25'!$A:$J,10,0)</f>
        <v>0</v>
      </c>
      <c r="ET136" s="22">
        <f>+VLOOKUP($BD136,'Oct-25'!$A:$J,10,0)</f>
        <v>0</v>
      </c>
      <c r="EU136" s="22">
        <f>+VLOOKUP($BD136,'Nov-25'!$A:$J,10,0)</f>
        <v>0</v>
      </c>
      <c r="EV136" s="22">
        <f>+VLOOKUP($BD136,'Dec-25'!$A:$J,10,0)</f>
        <v>0</v>
      </c>
      <c r="EW136" s="22">
        <f t="shared" si="1553"/>
        <v>0</v>
      </c>
      <c r="EX136" s="118" t="e">
        <f t="shared" si="1226"/>
        <v>#DIV/0!</v>
      </c>
      <c r="EY136" s="106">
        <f>+_xlfn.XLOOKUP($EJ136,Budget!$A:$A,Budget!DR:DR)</f>
        <v>0</v>
      </c>
      <c r="EZ136" s="106">
        <f>+_xlfn.XLOOKUP($EJ136,Budget!$A:$A,Budget!DS:DS)</f>
        <v>0</v>
      </c>
      <c r="FA136" s="106">
        <f>+_xlfn.XLOOKUP($EJ136,Budget!$A:$A,Budget!DT:DT)</f>
        <v>0</v>
      </c>
      <c r="FB136" s="106">
        <f>+_xlfn.XLOOKUP($EJ136,Budget!$A:$A,Budget!DU:DU)</f>
        <v>0</v>
      </c>
      <c r="FC136" s="106">
        <f>+_xlfn.XLOOKUP($EJ136,Budget!$A:$A,Budget!DV:DV)</f>
        <v>0</v>
      </c>
      <c r="FD136" s="106">
        <f>+_xlfn.XLOOKUP($EJ136,Budget!$A:$A,Budget!DW:DW)</f>
        <v>0</v>
      </c>
      <c r="FE136" s="106">
        <f>+_xlfn.XLOOKUP($EJ136,Budget!$A:$A,Budget!DX:DX)</f>
        <v>0</v>
      </c>
      <c r="FF136" s="106">
        <f>+_xlfn.XLOOKUP($EJ136,Budget!$A:$A,Budget!DY:DY)</f>
        <v>0</v>
      </c>
      <c r="FG136" s="106">
        <f>+_xlfn.XLOOKUP($EJ136,Budget!$A:$A,Budget!DZ:DZ)</f>
        <v>0</v>
      </c>
      <c r="FH136" s="106">
        <f>+_xlfn.XLOOKUP($EJ136,Budget!$A:$A,Budget!EA:EA)</f>
        <v>0</v>
      </c>
      <c r="FI136" s="106">
        <f>+_xlfn.XLOOKUP($EJ136,Budget!$A:$A,Budget!EB:EB)</f>
        <v>0</v>
      </c>
      <c r="FJ136" s="106">
        <f>+_xlfn.XLOOKUP($EJ136,Budget!$A:$A,Budget!EC:EC)</f>
        <v>0</v>
      </c>
      <c r="FK136" s="106">
        <f t="shared" si="1554"/>
        <v>0</v>
      </c>
    </row>
    <row r="137" spans="1:167" ht="14.45" hidden="1" customHeight="1" outlineLevel="2">
      <c r="A137" s="106">
        <f t="shared" si="1447"/>
        <v>0</v>
      </c>
      <c r="B137" s="106">
        <f t="shared" si="1447"/>
        <v>0</v>
      </c>
      <c r="C137" s="106">
        <f t="shared" si="1447"/>
        <v>0</v>
      </c>
      <c r="D137" s="106">
        <f t="shared" si="1447"/>
        <v>0</v>
      </c>
      <c r="E137" s="106">
        <f t="shared" si="1447"/>
        <v>0</v>
      </c>
      <c r="F137" s="106">
        <f t="shared" si="1447"/>
        <v>0</v>
      </c>
      <c r="G137" s="106">
        <f t="shared" si="1447"/>
        <v>0</v>
      </c>
      <c r="H137" s="106">
        <f t="shared" si="1447"/>
        <v>0</v>
      </c>
      <c r="I137" s="106">
        <f t="shared" si="1447"/>
        <v>0</v>
      </c>
      <c r="J137" s="106">
        <f t="shared" si="1447"/>
        <v>0</v>
      </c>
      <c r="K137" s="106">
        <f t="shared" si="1447"/>
        <v>0</v>
      </c>
      <c r="L137" s="106">
        <f t="shared" si="1447"/>
        <v>0</v>
      </c>
      <c r="M137" s="106">
        <f t="shared" si="1519"/>
        <v>0</v>
      </c>
      <c r="N137" s="16" t="s">
        <v>114</v>
      </c>
      <c r="O137" s="106">
        <f t="shared" si="1520"/>
        <v>0</v>
      </c>
      <c r="P137" s="106">
        <f t="shared" si="1521"/>
        <v>0</v>
      </c>
      <c r="Q137" s="106">
        <f t="shared" si="1522"/>
        <v>0</v>
      </c>
      <c r="R137" s="106">
        <f t="shared" si="1523"/>
        <v>0</v>
      </c>
      <c r="S137" s="106">
        <f t="shared" si="1524"/>
        <v>-18486.54</v>
      </c>
      <c r="T137" s="106">
        <f t="shared" si="1525"/>
        <v>0</v>
      </c>
      <c r="U137" s="106">
        <f t="shared" si="1526"/>
        <v>82319.718599999993</v>
      </c>
      <c r="V137" s="106">
        <f t="shared" si="1527"/>
        <v>0</v>
      </c>
      <c r="W137" s="106">
        <f t="shared" si="1528"/>
        <v>0</v>
      </c>
      <c r="X137" s="106">
        <f t="shared" si="1529"/>
        <v>0</v>
      </c>
      <c r="Y137" s="106">
        <f t="shared" si="1530"/>
        <v>0</v>
      </c>
      <c r="Z137" s="106">
        <f t="shared" si="1531"/>
        <v>0</v>
      </c>
      <c r="AA137" s="106">
        <f t="shared" si="1532"/>
        <v>63833.178599999992</v>
      </c>
      <c r="AB137" s="118">
        <f t="shared" si="1223"/>
        <v>0</v>
      </c>
      <c r="AC137" s="106">
        <f t="shared" si="1533"/>
        <v>0</v>
      </c>
      <c r="AD137" s="106">
        <f t="shared" si="1534"/>
        <v>0</v>
      </c>
      <c r="AE137" s="106">
        <f t="shared" si="1535"/>
        <v>0</v>
      </c>
      <c r="AF137" s="106">
        <f t="shared" si="1536"/>
        <v>0</v>
      </c>
      <c r="AG137" s="106">
        <f t="shared" si="1537"/>
        <v>0</v>
      </c>
      <c r="AH137" s="106">
        <f t="shared" si="1538"/>
        <v>0</v>
      </c>
      <c r="AI137" s="106">
        <f t="shared" si="1539"/>
        <v>0</v>
      </c>
      <c r="AJ137" s="106">
        <f t="shared" si="1540"/>
        <v>0</v>
      </c>
      <c r="AK137" s="106">
        <f t="shared" si="1541"/>
        <v>0</v>
      </c>
      <c r="AL137" s="106">
        <f t="shared" si="1542"/>
        <v>0</v>
      </c>
      <c r="AM137" s="106">
        <f t="shared" si="1543"/>
        <v>0</v>
      </c>
      <c r="AN137" s="106">
        <f t="shared" si="1544"/>
        <v>0</v>
      </c>
      <c r="AO137" s="106">
        <f t="shared" si="1545"/>
        <v>0</v>
      </c>
      <c r="AQ137" s="106">
        <v>0</v>
      </c>
      <c r="AR137" s="106">
        <v>0</v>
      </c>
      <c r="AS137" s="106">
        <v>0</v>
      </c>
      <c r="AT137" s="106">
        <v>0</v>
      </c>
      <c r="AU137" s="106">
        <v>0</v>
      </c>
      <c r="AV137" s="106">
        <v>0</v>
      </c>
      <c r="AW137" s="106">
        <v>0</v>
      </c>
      <c r="AX137" s="106">
        <v>0</v>
      </c>
      <c r="AY137" s="106">
        <v>0</v>
      </c>
      <c r="AZ137" s="106">
        <v>0</v>
      </c>
      <c r="BA137" s="106">
        <v>0</v>
      </c>
      <c r="BB137" s="106">
        <v>0</v>
      </c>
      <c r="BC137" s="106">
        <f t="shared" si="1546"/>
        <v>0</v>
      </c>
      <c r="BD137" s="16" t="str">
        <f t="shared" si="1410"/>
        <v>Travelling Foreign</v>
      </c>
      <c r="BE137" s="106">
        <f>+VLOOKUP($BD137,'Jan-25'!$A:$J,5,0)</f>
        <v>0</v>
      </c>
      <c r="BF137" s="106">
        <f>+VLOOKUP($BD137,'Feb-25'!$A:$J,5,0)</f>
        <v>0</v>
      </c>
      <c r="BG137" s="106">
        <f>+VLOOKUP($BD137,'Mar-25'!$A:$J,5,0)</f>
        <v>0</v>
      </c>
      <c r="BH137" s="106">
        <f>+VLOOKUP($BD137,'Apr-25'!$A:$J,5,0)</f>
        <v>0</v>
      </c>
      <c r="BI137" s="106">
        <f>+VLOOKUP($BD137,'May-25'!$A:$J,5,0)</f>
        <v>-12324.36</v>
      </c>
      <c r="BJ137" s="106">
        <f>+VLOOKUP($BD137,'June-25'!$A:$J,5,0)</f>
        <v>0</v>
      </c>
      <c r="BK137" s="106">
        <f>+VLOOKUP($BD137,'July-25'!$A:$J,5,0)</f>
        <v>54879.812399999995</v>
      </c>
      <c r="BL137" s="106">
        <f>+VLOOKUP($BD137,'Aug-25'!$A:$J,5,0)</f>
        <v>0</v>
      </c>
      <c r="BM137" s="106">
        <f>+VLOOKUP($BD137,'Sep-25'!$A:$J,5,0)</f>
        <v>0</v>
      </c>
      <c r="BN137" s="106">
        <f>+VLOOKUP($BD137,'Oct-25'!$A:$J,5,0)</f>
        <v>0</v>
      </c>
      <c r="BO137" s="106">
        <f>+VLOOKUP($BD137,'Nov-25'!$A:$J,5,0)</f>
        <v>0</v>
      </c>
      <c r="BP137" s="106">
        <f>+VLOOKUP($BD137,'Dec-25'!$A:$J,5,0)</f>
        <v>0</v>
      </c>
      <c r="BQ137" s="106">
        <f t="shared" si="1547"/>
        <v>42555.452399999995</v>
      </c>
      <c r="BR137" s="118">
        <f t="shared" si="1224"/>
        <v>0</v>
      </c>
      <c r="BS137" s="106">
        <f>+_xlfn.XLOOKUP($BD137,Budget!$A:$A,Budget!BD:BD)</f>
        <v>0</v>
      </c>
      <c r="BT137" s="106">
        <f>+_xlfn.XLOOKUP($BD137,Budget!$A:$A,Budget!BE:BE)</f>
        <v>0</v>
      </c>
      <c r="BU137" s="106">
        <f>+_xlfn.XLOOKUP($BD137,Budget!$A:$A,Budget!BF:BF)</f>
        <v>0</v>
      </c>
      <c r="BV137" s="106">
        <f>+_xlfn.XLOOKUP($BD137,Budget!$A:$A,Budget!BG:BG)</f>
        <v>0</v>
      </c>
      <c r="BW137" s="106">
        <f>+_xlfn.XLOOKUP($BD137,Budget!$A:$A,Budget!BH:BH)</f>
        <v>0</v>
      </c>
      <c r="BX137" s="106">
        <f>+_xlfn.XLOOKUP($BD137,Budget!$A:$A,Budget!BI:BI)</f>
        <v>0</v>
      </c>
      <c r="BY137" s="106">
        <f>+_xlfn.XLOOKUP($BD137,Budget!$A:$A,Budget!BJ:BJ)</f>
        <v>0</v>
      </c>
      <c r="BZ137" s="106">
        <f>+_xlfn.XLOOKUP($BD137,Budget!$A:$A,Budget!BK:BK)</f>
        <v>0</v>
      </c>
      <c r="CA137" s="106">
        <f>+_xlfn.XLOOKUP($BD137,Budget!$A:$A,Budget!BL:BL)</f>
        <v>0</v>
      </c>
      <c r="CB137" s="106">
        <f>+_xlfn.XLOOKUP($BD137,Budget!$A:$A,Budget!BM:BM)</f>
        <v>0</v>
      </c>
      <c r="CC137" s="106">
        <f>+_xlfn.XLOOKUP($BD137,Budget!$A:$A,Budget!BN:BN)</f>
        <v>0</v>
      </c>
      <c r="CD137" s="106">
        <f>+_xlfn.XLOOKUP($BD137,Budget!$A:$A,Budget!BO:BO)</f>
        <v>0</v>
      </c>
      <c r="CE137" s="106">
        <f t="shared" si="1548"/>
        <v>0</v>
      </c>
      <c r="CF137" s="106"/>
      <c r="CG137" s="106">
        <v>0</v>
      </c>
      <c r="CH137" s="106">
        <v>0</v>
      </c>
      <c r="CI137" s="106">
        <v>0</v>
      </c>
      <c r="CJ137" s="106">
        <v>0</v>
      </c>
      <c r="CK137" s="106">
        <v>0</v>
      </c>
      <c r="CL137" s="106">
        <v>0</v>
      </c>
      <c r="CM137" s="106">
        <v>0</v>
      </c>
      <c r="CN137" s="106">
        <v>0</v>
      </c>
      <c r="CO137" s="106">
        <v>0</v>
      </c>
      <c r="CP137" s="106">
        <v>0</v>
      </c>
      <c r="CQ137" s="106">
        <v>0</v>
      </c>
      <c r="CR137" s="106">
        <v>0</v>
      </c>
      <c r="CS137" s="106">
        <f t="shared" si="1549"/>
        <v>0</v>
      </c>
      <c r="CT137" s="16" t="str">
        <f t="shared" si="1411"/>
        <v>Travelling Foreign</v>
      </c>
      <c r="CU137" s="106">
        <f>+VLOOKUP($BD137,'Jan-25'!$A:$J,8,0)</f>
        <v>0</v>
      </c>
      <c r="CV137" s="106">
        <f>+VLOOKUP($BD137,'Feb-25'!$A:$J,8,0)</f>
        <v>0</v>
      </c>
      <c r="CW137" s="106">
        <f>+VLOOKUP($BD137,'Mar-25'!$A:$J,8,0)</f>
        <v>0</v>
      </c>
      <c r="CX137" s="106">
        <f>+VLOOKUP($BD137,'Apr-25'!$A:$J,8,0)</f>
        <v>0</v>
      </c>
      <c r="CY137" s="106">
        <f>+VLOOKUP($BD137,'May-25'!$A:$J,8,0)</f>
        <v>-6162.18</v>
      </c>
      <c r="CZ137" s="106">
        <f>+VLOOKUP($BD137,'June-25'!$A:$J,8,0)</f>
        <v>0</v>
      </c>
      <c r="DA137" s="106">
        <f>+VLOOKUP($BD137,'July-25'!$A:$J,8,0)</f>
        <v>27439.906199999998</v>
      </c>
      <c r="DB137" s="106">
        <f>+VLOOKUP($BD137,'Aug-25'!$A:$J,8,0)</f>
        <v>0</v>
      </c>
      <c r="DC137" s="106">
        <f>+VLOOKUP($BD137,'Sep-25'!$A:$J,8,0)</f>
        <v>0</v>
      </c>
      <c r="DD137" s="106">
        <f>+VLOOKUP($BD137,'Oct-25'!$A:$J,8,0)</f>
        <v>0</v>
      </c>
      <c r="DE137" s="106">
        <f>+VLOOKUP($BD137,'Nov-25'!$A:$J,8,0)</f>
        <v>0</v>
      </c>
      <c r="DF137" s="106">
        <f>+VLOOKUP($BD137,'Dec-25'!$A:$J,8,0)</f>
        <v>0</v>
      </c>
      <c r="DG137" s="106">
        <f t="shared" si="1550"/>
        <v>21277.726199999997</v>
      </c>
      <c r="DH137" s="118">
        <f t="shared" si="1225"/>
        <v>0</v>
      </c>
      <c r="DI137" s="106">
        <f>+_xlfn.XLOOKUP($CT137,Budget!$A:$A,Budget!CQ:CQ)</f>
        <v>0</v>
      </c>
      <c r="DJ137" s="106">
        <f>+_xlfn.XLOOKUP($CT137,Budget!$A:$A,Budget!CR:CR)</f>
        <v>0</v>
      </c>
      <c r="DK137" s="106">
        <f>+_xlfn.XLOOKUP($CT137,Budget!$A:$A,Budget!CS:CS)</f>
        <v>0</v>
      </c>
      <c r="DL137" s="106">
        <f>+_xlfn.XLOOKUP($CT137,Budget!$A:$A,Budget!CT:CT)</f>
        <v>0</v>
      </c>
      <c r="DM137" s="106">
        <f>+_xlfn.XLOOKUP($CT137,Budget!$A:$A,Budget!CU:CU)</f>
        <v>0</v>
      </c>
      <c r="DN137" s="106">
        <f>+_xlfn.XLOOKUP($CT137,Budget!$A:$A,Budget!CV:CV)</f>
        <v>0</v>
      </c>
      <c r="DO137" s="106">
        <f>+_xlfn.XLOOKUP($CT137,Budget!$A:$A,Budget!CW:CW)</f>
        <v>0</v>
      </c>
      <c r="DP137" s="106">
        <f>+_xlfn.XLOOKUP($CT137,Budget!$A:$A,Budget!CX:CX)</f>
        <v>0</v>
      </c>
      <c r="DQ137" s="106">
        <f>+_xlfn.XLOOKUP($CT137,Budget!$A:$A,Budget!CY:CY)</f>
        <v>0</v>
      </c>
      <c r="DR137" s="106">
        <f>+_xlfn.XLOOKUP($CT137,Budget!$A:$A,Budget!CZ:CZ)</f>
        <v>0</v>
      </c>
      <c r="DS137" s="106">
        <f>+_xlfn.XLOOKUP($CT137,Budget!$A:$A,Budget!DA:DA)</f>
        <v>0</v>
      </c>
      <c r="DT137" s="106">
        <f>+_xlfn.XLOOKUP($CT137,Budget!$A:$A,Budget!DB:DB)</f>
        <v>0</v>
      </c>
      <c r="DU137" s="106">
        <f t="shared" si="1551"/>
        <v>0</v>
      </c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106">
        <f t="shared" si="1552"/>
        <v>0</v>
      </c>
      <c r="EJ137" s="16" t="str">
        <f t="shared" ref="EJ137:EJ198" si="1555">CT137</f>
        <v>Travelling Foreign</v>
      </c>
      <c r="EK137" s="22">
        <f>+VLOOKUP($BD137,'Jan-25'!$A:$J,10,0)</f>
        <v>0</v>
      </c>
      <c r="EL137" s="22">
        <f>+VLOOKUP($BD137,'Feb-25'!$A:$J,10,0)</f>
        <v>0</v>
      </c>
      <c r="EM137" s="22">
        <f>+VLOOKUP($BD137,'Mar-25'!$A:$J,10,0)</f>
        <v>0</v>
      </c>
      <c r="EN137" s="22">
        <f>+VLOOKUP($BD137,'Apr-25'!$A:$J,10,0)</f>
        <v>0</v>
      </c>
      <c r="EO137" s="22">
        <f>+VLOOKUP($BD137,'May-25'!$A:$J,10,0)</f>
        <v>0</v>
      </c>
      <c r="EP137" s="22">
        <f>+VLOOKUP($BD137,'June-25'!$A:$J,10,0)</f>
        <v>0</v>
      </c>
      <c r="EQ137" s="22">
        <f>+VLOOKUP($BD137,'July-25'!$A:$J,10,0)</f>
        <v>0</v>
      </c>
      <c r="ER137" s="22">
        <f>+VLOOKUP($BD137,'Aug-25'!$A:$J,10,0)</f>
        <v>0</v>
      </c>
      <c r="ES137" s="22">
        <f>+VLOOKUP($BD137,'Sep-25'!$A:$J,10,0)</f>
        <v>0</v>
      </c>
      <c r="ET137" s="22">
        <f>+VLOOKUP($BD137,'Oct-25'!$A:$J,10,0)</f>
        <v>0</v>
      </c>
      <c r="EU137" s="22">
        <f>+VLOOKUP($BD137,'Nov-25'!$A:$J,10,0)</f>
        <v>0</v>
      </c>
      <c r="EV137" s="22">
        <f>+VLOOKUP($BD137,'Dec-25'!$A:$J,10,0)</f>
        <v>0</v>
      </c>
      <c r="EW137" s="22">
        <f t="shared" si="1553"/>
        <v>0</v>
      </c>
      <c r="EX137" s="118" t="e">
        <f t="shared" si="1226"/>
        <v>#DIV/0!</v>
      </c>
      <c r="EY137" s="106">
        <f>+_xlfn.XLOOKUP($EJ137,Budget!$A:$A,Budget!DR:DR)</f>
        <v>0</v>
      </c>
      <c r="EZ137" s="106">
        <f>+_xlfn.XLOOKUP($EJ137,Budget!$A:$A,Budget!DS:DS)</f>
        <v>0</v>
      </c>
      <c r="FA137" s="106">
        <f>+_xlfn.XLOOKUP($EJ137,Budget!$A:$A,Budget!DT:DT)</f>
        <v>0</v>
      </c>
      <c r="FB137" s="106">
        <f>+_xlfn.XLOOKUP($EJ137,Budget!$A:$A,Budget!DU:DU)</f>
        <v>0</v>
      </c>
      <c r="FC137" s="106">
        <f>+_xlfn.XLOOKUP($EJ137,Budget!$A:$A,Budget!DV:DV)</f>
        <v>0</v>
      </c>
      <c r="FD137" s="106">
        <f>+_xlfn.XLOOKUP($EJ137,Budget!$A:$A,Budget!DW:DW)</f>
        <v>0</v>
      </c>
      <c r="FE137" s="106">
        <f>+_xlfn.XLOOKUP($EJ137,Budget!$A:$A,Budget!DX:DX)</f>
        <v>0</v>
      </c>
      <c r="FF137" s="106">
        <f>+_xlfn.XLOOKUP($EJ137,Budget!$A:$A,Budget!DY:DY)</f>
        <v>0</v>
      </c>
      <c r="FG137" s="106">
        <f>+_xlfn.XLOOKUP($EJ137,Budget!$A:$A,Budget!DZ:DZ)</f>
        <v>0</v>
      </c>
      <c r="FH137" s="106">
        <f>+_xlfn.XLOOKUP($EJ137,Budget!$A:$A,Budget!EA:EA)</f>
        <v>0</v>
      </c>
      <c r="FI137" s="106">
        <f>+_xlfn.XLOOKUP($EJ137,Budget!$A:$A,Budget!EB:EB)</f>
        <v>0</v>
      </c>
      <c r="FJ137" s="106">
        <f>+_xlfn.XLOOKUP($EJ137,Budget!$A:$A,Budget!EC:EC)</f>
        <v>0</v>
      </c>
      <c r="FK137" s="106">
        <f t="shared" si="1554"/>
        <v>0</v>
      </c>
    </row>
    <row r="138" spans="1:167" ht="14.45" hidden="1" customHeight="1" outlineLevel="1" collapsed="1">
      <c r="A138" s="58">
        <f t="shared" ref="A138:M138" si="1556">+SUM(A139:A145)</f>
        <v>40349.681999999993</v>
      </c>
      <c r="B138" s="58">
        <f t="shared" si="1556"/>
        <v>38999.955999999998</v>
      </c>
      <c r="C138" s="58">
        <f t="shared" si="1556"/>
        <v>39551.679999999993</v>
      </c>
      <c r="D138" s="58">
        <f t="shared" si="1556"/>
        <v>42373.07</v>
      </c>
      <c r="E138" s="58">
        <f t="shared" si="1556"/>
        <v>49742.07</v>
      </c>
      <c r="F138" s="58">
        <f t="shared" si="1556"/>
        <v>40724.051999999996</v>
      </c>
      <c r="G138" s="58">
        <f t="shared" si="1556"/>
        <v>39695.47</v>
      </c>
      <c r="H138" s="58">
        <f t="shared" si="1556"/>
        <v>40400.51</v>
      </c>
      <c r="I138" s="58">
        <f t="shared" si="1556"/>
        <v>43663.538</v>
      </c>
      <c r="J138" s="58">
        <f t="shared" si="1556"/>
        <v>27226.448</v>
      </c>
      <c r="K138" s="58">
        <f t="shared" si="1556"/>
        <v>14364.800800000001</v>
      </c>
      <c r="L138" s="58">
        <f t="shared" si="1556"/>
        <v>10286.86</v>
      </c>
      <c r="M138" s="58">
        <f t="shared" si="1556"/>
        <v>427378.13679999998</v>
      </c>
      <c r="N138" s="20" t="s">
        <v>115</v>
      </c>
      <c r="O138" s="58">
        <f t="shared" ref="O138" si="1557">+SUM(O139:O145)</f>
        <v>29106.35</v>
      </c>
      <c r="P138" s="58">
        <f t="shared" ref="P138" si="1558">+SUM(P139:P145)</f>
        <v>24918.989999999998</v>
      </c>
      <c r="Q138" s="58">
        <f t="shared" ref="Q138" si="1559">+SUM(Q139:Q145)</f>
        <v>31992.59</v>
      </c>
      <c r="R138" s="58">
        <f t="shared" ref="R138" si="1560">+SUM(R139:R145)</f>
        <v>73380.048559999996</v>
      </c>
      <c r="S138" s="58">
        <f t="shared" ref="S138" si="1561">+SUM(S139:S145)</f>
        <v>91769.618000000002</v>
      </c>
      <c r="T138" s="58">
        <f t="shared" ref="T138" si="1562">+SUM(T139:T145)</f>
        <v>123355.178</v>
      </c>
      <c r="U138" s="58">
        <f t="shared" ref="U138" si="1563">+SUM(U139:U145)</f>
        <v>56855.375232876715</v>
      </c>
      <c r="V138" s="58">
        <f t="shared" ref="V138" si="1564">+SUM(V139:V145)</f>
        <v>28898.530000000002</v>
      </c>
      <c r="W138" s="58">
        <f t="shared" ref="W138" si="1565">+SUM(W139:W145)</f>
        <v>41834.9</v>
      </c>
      <c r="X138" s="58">
        <f t="shared" ref="X138" si="1566">+SUM(X139:X145)</f>
        <v>29939.7</v>
      </c>
      <c r="Y138" s="58">
        <f t="shared" ref="Y138" si="1567">+SUM(Y139:Y145)</f>
        <v>0</v>
      </c>
      <c r="Z138" s="58">
        <f t="shared" ref="Z138" si="1568">+SUM(Z139:Z145)</f>
        <v>0</v>
      </c>
      <c r="AA138" s="58">
        <f t="shared" ref="AA138" si="1569">+SUM(AA139:AA145)</f>
        <v>532051.27979287668</v>
      </c>
      <c r="AB138" s="118">
        <f t="shared" si="1223"/>
        <v>-0.79270377953286153</v>
      </c>
      <c r="AC138" s="58">
        <f t="shared" ref="AC138" si="1570">+SUM(AC139:AC145)</f>
        <v>89887.884111111111</v>
      </c>
      <c r="AD138" s="58">
        <f t="shared" ref="AD138" si="1571">+SUM(AD139:AD145)</f>
        <v>89887.884111111111</v>
      </c>
      <c r="AE138" s="58">
        <f t="shared" ref="AE138" si="1572">+SUM(AE139:AE145)</f>
        <v>95137.884111111111</v>
      </c>
      <c r="AF138" s="58">
        <f t="shared" ref="AF138" si="1573">+SUM(AF139:AF145)</f>
        <v>102137.88411111111</v>
      </c>
      <c r="AG138" s="58">
        <f t="shared" ref="AG138" si="1574">+SUM(AG139:AG145)</f>
        <v>89887.884111111111</v>
      </c>
      <c r="AH138" s="58">
        <f t="shared" ref="AH138" si="1575">+SUM(AH139:AH145)</f>
        <v>90762.884111111111</v>
      </c>
      <c r="AI138" s="58">
        <f t="shared" ref="AI138" si="1576">+SUM(AI139:AI145)</f>
        <v>89887.884111111111</v>
      </c>
      <c r="AJ138" s="58">
        <f t="shared" ref="AJ138" si="1577">+SUM(AJ139:AJ145)</f>
        <v>89887.884111111111</v>
      </c>
      <c r="AK138" s="58">
        <f t="shared" ref="AK138" si="1578">+SUM(AK139:AK145)</f>
        <v>95137.884111111111</v>
      </c>
      <c r="AL138" s="58">
        <f t="shared" ref="AL138" si="1579">+SUM(AL139:AL145)</f>
        <v>144429.55077777777</v>
      </c>
      <c r="AM138" s="58">
        <f t="shared" ref="AM138" si="1580">+SUM(AM139:AM145)</f>
        <v>89887.884111111111</v>
      </c>
      <c r="AN138" s="58">
        <f t="shared" ref="AN138" si="1581">+SUM(AN139:AN145)</f>
        <v>100762.88411111111</v>
      </c>
      <c r="AO138" s="58">
        <f t="shared" ref="AO138" si="1582">+SUM(AO139:AO145)</f>
        <v>1167696.2760000001</v>
      </c>
      <c r="AQ138" s="58">
        <f t="shared" ref="AQ138:CE138" si="1583">+SUM(AQ139:AQ145)</f>
        <v>20709.46</v>
      </c>
      <c r="AR138" s="58">
        <f t="shared" si="1583"/>
        <v>20411.38</v>
      </c>
      <c r="AS138" s="58">
        <f t="shared" si="1583"/>
        <v>20607.939999999999</v>
      </c>
      <c r="AT138" s="58">
        <f t="shared" si="1583"/>
        <v>20411.38</v>
      </c>
      <c r="AU138" s="58">
        <f t="shared" si="1583"/>
        <v>27278.18</v>
      </c>
      <c r="AV138" s="58">
        <f t="shared" si="1583"/>
        <v>20685.34</v>
      </c>
      <c r="AW138" s="58">
        <f t="shared" si="1583"/>
        <v>20411.38</v>
      </c>
      <c r="AX138" s="58">
        <f t="shared" si="1583"/>
        <v>20678.739999999998</v>
      </c>
      <c r="AY138" s="58">
        <f t="shared" si="1583"/>
        <v>20541.82</v>
      </c>
      <c r="AZ138" s="58">
        <f t="shared" si="1583"/>
        <v>11404.88</v>
      </c>
      <c r="BA138" s="58">
        <f t="shared" si="1583"/>
        <v>2943.0672000000004</v>
      </c>
      <c r="BB138" s="58">
        <f t="shared" si="1583"/>
        <v>1775.6399999999999</v>
      </c>
      <c r="BC138" s="58">
        <f t="shared" si="1583"/>
        <v>207859.20719999998</v>
      </c>
      <c r="BD138" s="20" t="str">
        <f t="shared" si="1410"/>
        <v>Employee Benefit Expenses</v>
      </c>
      <c r="BE138" s="58">
        <f t="shared" si="1583"/>
        <v>10981.75</v>
      </c>
      <c r="BF138" s="58">
        <f t="shared" ref="BF138:BP138" si="1584">+SUM(BF139:BF145)</f>
        <v>10890.31</v>
      </c>
      <c r="BG138" s="58">
        <f t="shared" si="1584"/>
        <v>3923.68</v>
      </c>
      <c r="BH138" s="58">
        <f t="shared" si="1584"/>
        <v>29882.599040000001</v>
      </c>
      <c r="BI138" s="58">
        <f t="shared" si="1584"/>
        <v>51310.811999999998</v>
      </c>
      <c r="BJ138" s="58">
        <f t="shared" si="1584"/>
        <v>70925.851999999999</v>
      </c>
      <c r="BK138" s="58">
        <f t="shared" si="1584"/>
        <v>27332.640821917812</v>
      </c>
      <c r="BL138" s="58">
        <f t="shared" si="1584"/>
        <v>7471.8</v>
      </c>
      <c r="BM138" s="58">
        <f t="shared" si="1584"/>
        <v>7471.8</v>
      </c>
      <c r="BN138" s="58">
        <f t="shared" si="1584"/>
        <v>7471.8</v>
      </c>
      <c r="BO138" s="58">
        <f t="shared" si="1584"/>
        <v>0</v>
      </c>
      <c r="BP138" s="58">
        <f t="shared" si="1584"/>
        <v>0</v>
      </c>
      <c r="BQ138" s="58">
        <f t="shared" si="1583"/>
        <v>227663.04386191783</v>
      </c>
      <c r="BR138" s="118">
        <f t="shared" si="1224"/>
        <v>-0.90692273523807787</v>
      </c>
      <c r="BS138" s="58">
        <f t="shared" si="1583"/>
        <v>38566.909166666672</v>
      </c>
      <c r="BT138" s="58">
        <f t="shared" si="1583"/>
        <v>38566.909166666672</v>
      </c>
      <c r="BU138" s="58">
        <f t="shared" si="1583"/>
        <v>41816.909166666672</v>
      </c>
      <c r="BV138" s="58">
        <f t="shared" si="1583"/>
        <v>46150.242500000008</v>
      </c>
      <c r="BW138" s="58">
        <f t="shared" si="1583"/>
        <v>38566.909166666672</v>
      </c>
      <c r="BX138" s="58">
        <f t="shared" si="1583"/>
        <v>39108.575833333343</v>
      </c>
      <c r="BY138" s="58">
        <f t="shared" si="1583"/>
        <v>38566.909166666672</v>
      </c>
      <c r="BZ138" s="58">
        <f t="shared" si="1583"/>
        <v>38566.909166666672</v>
      </c>
      <c r="CA138" s="58">
        <f t="shared" si="1583"/>
        <v>41816.909166666672</v>
      </c>
      <c r="CB138" s="58">
        <f t="shared" si="1583"/>
        <v>80275.242500000008</v>
      </c>
      <c r="CC138" s="58">
        <f t="shared" si="1583"/>
        <v>38566.909166666672</v>
      </c>
      <c r="CD138" s="58">
        <f t="shared" si="1583"/>
        <v>39108.575833333343</v>
      </c>
      <c r="CE138" s="58">
        <f t="shared" si="1583"/>
        <v>519677.91</v>
      </c>
      <c r="CF138" s="106"/>
      <c r="CG138" s="58">
        <f t="shared" ref="CG138:CS138" si="1585">+SUM(CG139:CG145)</f>
        <v>19640.221999999998</v>
      </c>
      <c r="CH138" s="58">
        <f t="shared" si="1585"/>
        <v>18588.576000000001</v>
      </c>
      <c r="CI138" s="58">
        <f t="shared" si="1585"/>
        <v>18943.740000000002</v>
      </c>
      <c r="CJ138" s="58">
        <f t="shared" si="1585"/>
        <v>21961.69</v>
      </c>
      <c r="CK138" s="58">
        <f t="shared" si="1585"/>
        <v>22463.89</v>
      </c>
      <c r="CL138" s="58">
        <f t="shared" si="1585"/>
        <v>20038.712</v>
      </c>
      <c r="CM138" s="58">
        <f t="shared" si="1585"/>
        <v>19284.09</v>
      </c>
      <c r="CN138" s="58">
        <f t="shared" si="1585"/>
        <v>19721.77</v>
      </c>
      <c r="CO138" s="58">
        <f t="shared" si="1585"/>
        <v>23121.718000000001</v>
      </c>
      <c r="CP138" s="58">
        <f t="shared" si="1585"/>
        <v>15821.567999999999</v>
      </c>
      <c r="CQ138" s="58">
        <f t="shared" si="1585"/>
        <v>11421.733600000001</v>
      </c>
      <c r="CR138" s="58">
        <f t="shared" si="1585"/>
        <v>8511.2200000000012</v>
      </c>
      <c r="CS138" s="58">
        <f t="shared" si="1585"/>
        <v>219518.9296</v>
      </c>
      <c r="CT138" s="20" t="str">
        <f t="shared" si="1411"/>
        <v>Employee Benefit Expenses</v>
      </c>
      <c r="CU138" s="58">
        <f t="shared" ref="CU138:DU138" si="1586">+SUM(CU139:CU145)</f>
        <v>18124.599999999999</v>
      </c>
      <c r="CV138" s="58">
        <f t="shared" si="1586"/>
        <v>14028.68</v>
      </c>
      <c r="CW138" s="58">
        <f t="shared" si="1586"/>
        <v>25603.91</v>
      </c>
      <c r="CX138" s="58">
        <f t="shared" si="1586"/>
        <v>29032.449520000002</v>
      </c>
      <c r="CY138" s="58">
        <f t="shared" si="1586"/>
        <v>39564.805999999997</v>
      </c>
      <c r="CZ138" s="58">
        <f t="shared" si="1586"/>
        <v>40489.326000000001</v>
      </c>
      <c r="DA138" s="58">
        <f t="shared" si="1586"/>
        <v>17522.734410958903</v>
      </c>
      <c r="DB138" s="58">
        <f t="shared" si="1586"/>
        <v>21426.730000000003</v>
      </c>
      <c r="DC138" s="58">
        <f t="shared" si="1586"/>
        <v>23441.5</v>
      </c>
      <c r="DD138" s="58">
        <f t="shared" si="1586"/>
        <v>22467.9</v>
      </c>
      <c r="DE138" s="58">
        <f t="shared" si="1586"/>
        <v>0</v>
      </c>
      <c r="DF138" s="58">
        <f t="shared" si="1586"/>
        <v>0</v>
      </c>
      <c r="DG138" s="58">
        <f t="shared" si="1586"/>
        <v>251702.6359309589</v>
      </c>
      <c r="DH138" s="118">
        <f t="shared" si="1225"/>
        <v>-0.15095777926546081</v>
      </c>
      <c r="DI138" s="58">
        <f t="shared" si="1586"/>
        <v>26462.64161111111</v>
      </c>
      <c r="DJ138" s="58">
        <f t="shared" si="1586"/>
        <v>26462.64161111111</v>
      </c>
      <c r="DK138" s="58">
        <f t="shared" si="1586"/>
        <v>27462.64161111111</v>
      </c>
      <c r="DL138" s="58">
        <f t="shared" si="1586"/>
        <v>28795.974944444442</v>
      </c>
      <c r="DM138" s="58">
        <f t="shared" si="1586"/>
        <v>26462.64161111111</v>
      </c>
      <c r="DN138" s="58">
        <f t="shared" si="1586"/>
        <v>26629.308277777774</v>
      </c>
      <c r="DO138" s="58">
        <f t="shared" si="1586"/>
        <v>26462.64161111111</v>
      </c>
      <c r="DP138" s="58">
        <f t="shared" si="1586"/>
        <v>26462.64161111111</v>
      </c>
      <c r="DQ138" s="58">
        <f t="shared" si="1586"/>
        <v>27462.64161111111</v>
      </c>
      <c r="DR138" s="58">
        <f t="shared" si="1586"/>
        <v>26462.64161111111</v>
      </c>
      <c r="DS138" s="58">
        <f t="shared" si="1586"/>
        <v>26462.64161111111</v>
      </c>
      <c r="DT138" s="58">
        <f t="shared" si="1586"/>
        <v>36629.308277777774</v>
      </c>
      <c r="DU138" s="58">
        <f t="shared" si="1586"/>
        <v>332218.36599999998</v>
      </c>
      <c r="DW138" s="28">
        <f t="shared" ref="DW138:EI138" si="1587">+SUM(DW139:DW145)</f>
        <v>0</v>
      </c>
      <c r="DX138" s="28">
        <f t="shared" si="1587"/>
        <v>0</v>
      </c>
      <c r="DY138" s="28">
        <f t="shared" si="1587"/>
        <v>0</v>
      </c>
      <c r="DZ138" s="28">
        <f t="shared" si="1587"/>
        <v>0</v>
      </c>
      <c r="EA138" s="28">
        <f t="shared" si="1587"/>
        <v>0</v>
      </c>
      <c r="EB138" s="28">
        <f t="shared" si="1587"/>
        <v>0</v>
      </c>
      <c r="EC138" s="28">
        <f t="shared" si="1587"/>
        <v>0</v>
      </c>
      <c r="ED138" s="28">
        <f t="shared" si="1587"/>
        <v>0</v>
      </c>
      <c r="EE138" s="28">
        <f t="shared" si="1587"/>
        <v>0</v>
      </c>
      <c r="EF138" s="28">
        <f t="shared" si="1587"/>
        <v>0</v>
      </c>
      <c r="EG138" s="28">
        <f t="shared" si="1587"/>
        <v>0</v>
      </c>
      <c r="EH138" s="28">
        <f t="shared" si="1587"/>
        <v>0</v>
      </c>
      <c r="EI138" s="58">
        <f t="shared" si="1587"/>
        <v>0</v>
      </c>
      <c r="EJ138" s="20" t="str">
        <f t="shared" si="1555"/>
        <v>Employee Benefit Expenses</v>
      </c>
      <c r="EK138" s="28">
        <f t="shared" ref="EK138:EV138" si="1588">+SUM(EK139:EK145)</f>
        <v>0</v>
      </c>
      <c r="EL138" s="28">
        <f t="shared" si="1588"/>
        <v>0</v>
      </c>
      <c r="EM138" s="28">
        <f t="shared" si="1588"/>
        <v>2465</v>
      </c>
      <c r="EN138" s="28">
        <f t="shared" si="1588"/>
        <v>14465</v>
      </c>
      <c r="EO138" s="28">
        <f t="shared" si="1588"/>
        <v>894</v>
      </c>
      <c r="EP138" s="28">
        <f t="shared" si="1588"/>
        <v>11940</v>
      </c>
      <c r="EQ138" s="28">
        <f t="shared" si="1588"/>
        <v>12000</v>
      </c>
      <c r="ER138" s="28">
        <f t="shared" si="1588"/>
        <v>0</v>
      </c>
      <c r="ES138" s="28">
        <f t="shared" si="1588"/>
        <v>10921.6</v>
      </c>
      <c r="ET138" s="28">
        <f t="shared" si="1588"/>
        <v>0</v>
      </c>
      <c r="EU138" s="28">
        <f t="shared" si="1588"/>
        <v>0</v>
      </c>
      <c r="EV138" s="28">
        <f t="shared" si="1588"/>
        <v>0</v>
      </c>
      <c r="EW138" s="28">
        <f t="shared" ref="EW138" si="1589">+SUM(EW139:EW145)</f>
        <v>52685.599999999999</v>
      </c>
      <c r="EX138" s="118">
        <f t="shared" si="1226"/>
        <v>-0.5776371253625523</v>
      </c>
      <c r="EY138" s="58">
        <f t="shared" ref="EY138:FK138" si="1590">+SUM(EY139:EY145)</f>
        <v>24858.333333333332</v>
      </c>
      <c r="EZ138" s="58">
        <f t="shared" si="1590"/>
        <v>24858.333333333332</v>
      </c>
      <c r="FA138" s="58">
        <f t="shared" si="1590"/>
        <v>25858.333333333332</v>
      </c>
      <c r="FB138" s="58">
        <f t="shared" si="1590"/>
        <v>27191.666666666664</v>
      </c>
      <c r="FC138" s="58">
        <f t="shared" si="1590"/>
        <v>24858.333333333332</v>
      </c>
      <c r="FD138" s="58">
        <f t="shared" si="1590"/>
        <v>25024.999999999996</v>
      </c>
      <c r="FE138" s="58">
        <f t="shared" si="1590"/>
        <v>24858.333333333332</v>
      </c>
      <c r="FF138" s="58">
        <f t="shared" si="1590"/>
        <v>24858.333333333332</v>
      </c>
      <c r="FG138" s="58">
        <f t="shared" si="1590"/>
        <v>25858.333333333332</v>
      </c>
      <c r="FH138" s="58">
        <f t="shared" si="1590"/>
        <v>37691.666666666664</v>
      </c>
      <c r="FI138" s="58">
        <f t="shared" si="1590"/>
        <v>24858.333333333332</v>
      </c>
      <c r="FJ138" s="58">
        <f t="shared" si="1590"/>
        <v>25024.999999999996</v>
      </c>
      <c r="FK138" s="58">
        <f t="shared" si="1590"/>
        <v>315800</v>
      </c>
    </row>
    <row r="139" spans="1:167" ht="14.45" hidden="1" customHeight="1" outlineLevel="2">
      <c r="A139" s="106">
        <f t="shared" si="1447"/>
        <v>5337.32</v>
      </c>
      <c r="B139" s="106">
        <f t="shared" si="1447"/>
        <v>5157.32</v>
      </c>
      <c r="C139" s="106">
        <f t="shared" si="1447"/>
        <v>5107.32</v>
      </c>
      <c r="D139" s="106">
        <f t="shared" si="1447"/>
        <v>5107.32</v>
      </c>
      <c r="E139" s="106">
        <f t="shared" si="1447"/>
        <v>5107.32</v>
      </c>
      <c r="F139" s="106">
        <f t="shared" si="1447"/>
        <v>5107.32</v>
      </c>
      <c r="G139" s="106">
        <f t="shared" si="1447"/>
        <v>5123.32</v>
      </c>
      <c r="H139" s="106">
        <f t="shared" si="1447"/>
        <v>5505.92</v>
      </c>
      <c r="I139" s="106">
        <f t="shared" si="1447"/>
        <v>5107.32</v>
      </c>
      <c r="J139" s="106">
        <f t="shared" si="1447"/>
        <v>5107.32</v>
      </c>
      <c r="K139" s="106">
        <f t="shared" si="1447"/>
        <v>3428.2008000000005</v>
      </c>
      <c r="L139" s="106">
        <f t="shared" si="1447"/>
        <v>373</v>
      </c>
      <c r="M139" s="106">
        <f t="shared" ref="M139:M145" si="1591">+SUM(A139:L139)</f>
        <v>55569.000799999994</v>
      </c>
      <c r="N139" s="16" t="s">
        <v>116</v>
      </c>
      <c r="O139" s="106">
        <f t="shared" ref="O139:O145" si="1592">+BE139+CU139+EK139</f>
        <v>0</v>
      </c>
      <c r="P139" s="106">
        <f t="shared" ref="P139:P145" si="1593">+BF139+CV139+EL139</f>
        <v>0</v>
      </c>
      <c r="Q139" s="106">
        <f t="shared" ref="Q139:Q145" si="1594">+BG139+CW139+EM139</f>
        <v>0</v>
      </c>
      <c r="R139" s="106">
        <f t="shared" ref="R139:R145" si="1595">+BH139+CX139+EN139</f>
        <v>13085.81856</v>
      </c>
      <c r="S139" s="106">
        <f t="shared" ref="S139:S145" si="1596">+BI139+CY139+EO139</f>
        <v>11626.761200000001</v>
      </c>
      <c r="T139" s="106">
        <f t="shared" ref="T139:T145" si="1597">+BJ139+CZ139+EP139</f>
        <v>11207.761200000001</v>
      </c>
      <c r="U139" s="106">
        <f t="shared" ref="U139:U145" si="1598">+BK139+DA139+EQ139</f>
        <v>11414.961232876713</v>
      </c>
      <c r="V139" s="106">
        <f t="shared" ref="V139:V145" si="1599">+BL139+DB139+ER139</f>
        <v>11207.7</v>
      </c>
      <c r="W139" s="106">
        <f t="shared" ref="W139:W145" si="1600">+BM139+DC139+ES139</f>
        <v>11457.7</v>
      </c>
      <c r="X139" s="106">
        <f t="shared" ref="X139:X145" si="1601">+BN139+DD139+ET139</f>
        <v>11219.900000000001</v>
      </c>
      <c r="Y139" s="106">
        <f t="shared" ref="Y139:Y145" si="1602">+BO139+DE139+EU139</f>
        <v>0</v>
      </c>
      <c r="Z139" s="106">
        <f t="shared" ref="Z139:Z145" si="1603">+BP139+DF139+EV139</f>
        <v>0</v>
      </c>
      <c r="AA139" s="106">
        <f t="shared" ref="AA139:AA145" si="1604">+SUM(O139:Z139)</f>
        <v>81220.602192876715</v>
      </c>
      <c r="AB139" s="118">
        <f t="shared" si="1223"/>
        <v>1.199980392156863</v>
      </c>
      <c r="AC139" s="106">
        <f t="shared" ref="AC139:AC145" si="1605">+BS139+DI139+EY139</f>
        <v>5100</v>
      </c>
      <c r="AD139" s="106">
        <f t="shared" ref="AD139:AD145" si="1606">+BT139+DJ139+EZ139</f>
        <v>5100</v>
      </c>
      <c r="AE139" s="106">
        <f t="shared" ref="AE139:AE145" si="1607">+BU139+DK139+FA139</f>
        <v>5100</v>
      </c>
      <c r="AF139" s="106">
        <f t="shared" ref="AF139:AF145" si="1608">+BV139+DL139+FB139</f>
        <v>5100</v>
      </c>
      <c r="AG139" s="106">
        <f t="shared" ref="AG139:AG145" si="1609">+BW139+DM139+FC139</f>
        <v>5100</v>
      </c>
      <c r="AH139" s="106">
        <f t="shared" ref="AH139:AH145" si="1610">+BX139+DN139+FD139</f>
        <v>5100</v>
      </c>
      <c r="AI139" s="106">
        <f t="shared" ref="AI139:AI145" si="1611">+BY139+DO139+FE139</f>
        <v>5100</v>
      </c>
      <c r="AJ139" s="106">
        <f t="shared" ref="AJ139:AJ145" si="1612">+BZ139+DP139+FF139</f>
        <v>5100</v>
      </c>
      <c r="AK139" s="106">
        <f t="shared" ref="AK139:AK145" si="1613">+CA139+DQ139+FG139</f>
        <v>5100</v>
      </c>
      <c r="AL139" s="106">
        <f t="shared" ref="AL139:AL145" si="1614">+CB139+DR139+FH139</f>
        <v>5100</v>
      </c>
      <c r="AM139" s="106">
        <f t="shared" ref="AM139:AM145" si="1615">+CC139+DS139+FI139</f>
        <v>5100</v>
      </c>
      <c r="AN139" s="106">
        <f t="shared" ref="AN139:AN145" si="1616">+CD139+DT139+FJ139</f>
        <v>5100</v>
      </c>
      <c r="AO139" s="106">
        <f t="shared" ref="AO139:AO145" si="1617">+SUM(AC139:AN139)</f>
        <v>61200</v>
      </c>
      <c r="AQ139" s="106">
        <v>3404.8799999999997</v>
      </c>
      <c r="AR139" s="106">
        <v>3404.8799999999997</v>
      </c>
      <c r="AS139" s="106">
        <v>3404.8799999999997</v>
      </c>
      <c r="AT139" s="106">
        <v>3404.8799999999997</v>
      </c>
      <c r="AU139" s="106">
        <v>3404.8799999999997</v>
      </c>
      <c r="AV139" s="106">
        <v>3404.8799999999997</v>
      </c>
      <c r="AW139" s="106">
        <v>3404.8799999999997</v>
      </c>
      <c r="AX139" s="106">
        <v>3404.8799999999997</v>
      </c>
      <c r="AY139" s="106">
        <v>3404.8799999999997</v>
      </c>
      <c r="AZ139" s="106">
        <v>3404.8799999999997</v>
      </c>
      <c r="BA139" s="106">
        <v>2285.4672000000005</v>
      </c>
      <c r="BB139" s="106">
        <v>0</v>
      </c>
      <c r="BC139" s="106">
        <f t="shared" ref="BC139:BC145" si="1618">+SUM(AQ139:BB139)</f>
        <v>36334.267200000002</v>
      </c>
      <c r="BD139" s="16" t="str">
        <f t="shared" si="1410"/>
        <v>Medical Expenses</v>
      </c>
      <c r="BE139" s="106">
        <f>+VLOOKUP($BD139,'Jan-25'!$A:$J,5,0)</f>
        <v>0</v>
      </c>
      <c r="BF139" s="106">
        <f>+VLOOKUP($BD139,'Feb-25'!$A:$J,5,0)</f>
        <v>0</v>
      </c>
      <c r="BG139" s="106">
        <f>+VLOOKUP($BD139,'Mar-25'!$A:$J,5,0)</f>
        <v>0</v>
      </c>
      <c r="BH139" s="106">
        <f>+VLOOKUP($BD139,'Apr-25'!$A:$J,5,0)</f>
        <v>8723.8790399999998</v>
      </c>
      <c r="BI139" s="106">
        <f>+VLOOKUP($BD139,'May-25'!$A:$J,5,0)</f>
        <v>7471.8407999999999</v>
      </c>
      <c r="BJ139" s="106">
        <f>+VLOOKUP($BD139,'June-25'!$A:$J,5,0)</f>
        <v>7471.8407999999999</v>
      </c>
      <c r="BK139" s="106">
        <f>+VLOOKUP($BD139,'July-25'!$A:$J,5,0)</f>
        <v>7471.8408219178082</v>
      </c>
      <c r="BL139" s="106">
        <f>+VLOOKUP($BD139,'Aug-25'!$A:$J,5,0)</f>
        <v>7471.8</v>
      </c>
      <c r="BM139" s="106">
        <f>+VLOOKUP($BD139,'Sep-25'!$A:$J,5,0)</f>
        <v>7471.8</v>
      </c>
      <c r="BN139" s="106">
        <f>+VLOOKUP($BD139,'Oct-25'!$A:$J,5,0)</f>
        <v>7471.8</v>
      </c>
      <c r="BO139" s="106">
        <f>+VLOOKUP($BD139,'Nov-25'!$A:$J,5,0)</f>
        <v>0</v>
      </c>
      <c r="BP139" s="106">
        <f>+VLOOKUP($BD139,'Dec-25'!$A:$J,5,0)</f>
        <v>0</v>
      </c>
      <c r="BQ139" s="106">
        <f t="shared" ref="BQ139:BQ145" si="1619">+SUM(BE139:BP139)</f>
        <v>53554.801461917814</v>
      </c>
      <c r="BR139" s="118">
        <f t="shared" si="1224"/>
        <v>1.4906000000000001</v>
      </c>
      <c r="BS139" s="106">
        <f>+_xlfn.XLOOKUP($BD139,Budget!$A:$A,Budget!BD:BD)</f>
        <v>3000</v>
      </c>
      <c r="BT139" s="106">
        <f>+_xlfn.XLOOKUP($BD139,Budget!$A:$A,Budget!BE:BE)</f>
        <v>3000</v>
      </c>
      <c r="BU139" s="106">
        <f>+_xlfn.XLOOKUP($BD139,Budget!$A:$A,Budget!BF:BF)</f>
        <v>3000</v>
      </c>
      <c r="BV139" s="106">
        <f>+_xlfn.XLOOKUP($BD139,Budget!$A:$A,Budget!BG:BG)</f>
        <v>3000</v>
      </c>
      <c r="BW139" s="106">
        <f>+_xlfn.XLOOKUP($BD139,Budget!$A:$A,Budget!BH:BH)</f>
        <v>3000</v>
      </c>
      <c r="BX139" s="106">
        <f>+_xlfn.XLOOKUP($BD139,Budget!$A:$A,Budget!BI:BI)</f>
        <v>3000</v>
      </c>
      <c r="BY139" s="106">
        <f>+_xlfn.XLOOKUP($BD139,Budget!$A:$A,Budget!BJ:BJ)</f>
        <v>3000</v>
      </c>
      <c r="BZ139" s="106">
        <f>+_xlfn.XLOOKUP($BD139,Budget!$A:$A,Budget!BK:BK)</f>
        <v>3000</v>
      </c>
      <c r="CA139" s="106">
        <f>+_xlfn.XLOOKUP($BD139,Budget!$A:$A,Budget!BL:BL)</f>
        <v>3000</v>
      </c>
      <c r="CB139" s="106">
        <f>+_xlfn.XLOOKUP($BD139,Budget!$A:$A,Budget!BM:BM)</f>
        <v>3000</v>
      </c>
      <c r="CC139" s="106">
        <f>+_xlfn.XLOOKUP($BD139,Budget!$A:$A,Budget!BN:BN)</f>
        <v>3000</v>
      </c>
      <c r="CD139" s="106">
        <f>+_xlfn.XLOOKUP($BD139,Budget!$A:$A,Budget!BO:BO)</f>
        <v>3000</v>
      </c>
      <c r="CE139" s="106">
        <f t="shared" ref="CE139:CE145" si="1620">+SUM(BS139:CD139)</f>
        <v>36000</v>
      </c>
      <c r="CF139" s="106"/>
      <c r="CG139" s="106">
        <v>1932.4399999999998</v>
      </c>
      <c r="CH139" s="106">
        <v>1752.4399999999998</v>
      </c>
      <c r="CI139" s="106">
        <v>1702.4399999999998</v>
      </c>
      <c r="CJ139" s="106">
        <v>1702.4399999999998</v>
      </c>
      <c r="CK139" s="106">
        <v>1702.4399999999998</v>
      </c>
      <c r="CL139" s="106">
        <v>1702.4399999999998</v>
      </c>
      <c r="CM139" s="106">
        <v>1718.4399999999998</v>
      </c>
      <c r="CN139" s="106">
        <v>2101.04</v>
      </c>
      <c r="CO139" s="106">
        <v>1702.4399999999998</v>
      </c>
      <c r="CP139" s="106">
        <v>1702.4399999999998</v>
      </c>
      <c r="CQ139" s="106">
        <v>1142.7336000000003</v>
      </c>
      <c r="CR139" s="106">
        <v>373</v>
      </c>
      <c r="CS139" s="106">
        <f t="shared" ref="CS139:CS145" si="1621">+SUM(CG139:CR139)</f>
        <v>19234.7336</v>
      </c>
      <c r="CT139" s="16" t="str">
        <f t="shared" si="1411"/>
        <v>Medical Expenses</v>
      </c>
      <c r="CU139" s="106">
        <f>+VLOOKUP($BD139,'Jan-25'!$A:$J,8,0)</f>
        <v>0</v>
      </c>
      <c r="CV139" s="106">
        <f>+VLOOKUP($BD139,'Feb-25'!$A:$J,8,0)</f>
        <v>0</v>
      </c>
      <c r="CW139" s="106">
        <f>+VLOOKUP($BD139,'Mar-25'!$A:$J,8,0)</f>
        <v>0</v>
      </c>
      <c r="CX139" s="106">
        <f>+VLOOKUP($BD139,'Apr-25'!$A:$J,8,0)</f>
        <v>4361.9395199999999</v>
      </c>
      <c r="CY139" s="106">
        <f>+VLOOKUP($BD139,'May-25'!$A:$J,8,0)</f>
        <v>4154.9204</v>
      </c>
      <c r="CZ139" s="106">
        <f>+VLOOKUP($BD139,'June-25'!$A:$J,8,0)</f>
        <v>3735.9204</v>
      </c>
      <c r="DA139" s="106">
        <f>+VLOOKUP($BD139,'July-25'!$A:$J,8,0)</f>
        <v>3943.1204109589039</v>
      </c>
      <c r="DB139" s="106">
        <f>+VLOOKUP($BD139,'Aug-25'!$A:$J,8,0)</f>
        <v>3735.9</v>
      </c>
      <c r="DC139" s="106">
        <f>+VLOOKUP($BD139,'Sep-25'!$A:$J,8,0)</f>
        <v>3985.9</v>
      </c>
      <c r="DD139" s="106">
        <f>+VLOOKUP($BD139,'Oct-25'!$A:$J,8,0)</f>
        <v>3748.1000000000004</v>
      </c>
      <c r="DE139" s="106">
        <f>+VLOOKUP($BD139,'Nov-25'!$A:$J,8,0)</f>
        <v>0</v>
      </c>
      <c r="DF139" s="106">
        <f>+VLOOKUP($BD139,'Dec-25'!$A:$J,8,0)</f>
        <v>0</v>
      </c>
      <c r="DG139" s="106">
        <f t="shared" ref="DG139:DG145" si="1622">+SUM(CU139:DF139)</f>
        <v>27665.800730958901</v>
      </c>
      <c r="DH139" s="118">
        <f t="shared" si="1225"/>
        <v>5.2468333333333339</v>
      </c>
      <c r="DI139" s="106">
        <f>+_xlfn.XLOOKUP($CT139,Budget!$A:$A,Budget!CQ:CQ)</f>
        <v>600</v>
      </c>
      <c r="DJ139" s="106">
        <f>+_xlfn.XLOOKUP($CT139,Budget!$A:$A,Budget!CR:CR)</f>
        <v>600</v>
      </c>
      <c r="DK139" s="106">
        <f>+_xlfn.XLOOKUP($CT139,Budget!$A:$A,Budget!CS:CS)</f>
        <v>600</v>
      </c>
      <c r="DL139" s="106">
        <f>+_xlfn.XLOOKUP($CT139,Budget!$A:$A,Budget!CT:CT)</f>
        <v>600</v>
      </c>
      <c r="DM139" s="106">
        <f>+_xlfn.XLOOKUP($CT139,Budget!$A:$A,Budget!CU:CU)</f>
        <v>600</v>
      </c>
      <c r="DN139" s="106">
        <f>+_xlfn.XLOOKUP($CT139,Budget!$A:$A,Budget!CV:CV)</f>
        <v>600</v>
      </c>
      <c r="DO139" s="106">
        <f>+_xlfn.XLOOKUP($CT139,Budget!$A:$A,Budget!CW:CW)</f>
        <v>600</v>
      </c>
      <c r="DP139" s="106">
        <f>+_xlfn.XLOOKUP($CT139,Budget!$A:$A,Budget!CX:CX)</f>
        <v>600</v>
      </c>
      <c r="DQ139" s="106">
        <f>+_xlfn.XLOOKUP($CT139,Budget!$A:$A,Budget!CY:CY)</f>
        <v>600</v>
      </c>
      <c r="DR139" s="106">
        <f>+_xlfn.XLOOKUP($CT139,Budget!$A:$A,Budget!CZ:CZ)</f>
        <v>600</v>
      </c>
      <c r="DS139" s="106">
        <f>+_xlfn.XLOOKUP($CT139,Budget!$A:$A,Budget!DA:DA)</f>
        <v>600</v>
      </c>
      <c r="DT139" s="106">
        <f>+_xlfn.XLOOKUP($CT139,Budget!$A:$A,Budget!DB:DB)</f>
        <v>600</v>
      </c>
      <c r="DU139" s="106">
        <f t="shared" ref="DU139:DU145" si="1623">+SUM(DI139:DT139)</f>
        <v>7200</v>
      </c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106">
        <f t="shared" ref="EI139:EI145" si="1624">+SUM(DW139:EH139)</f>
        <v>0</v>
      </c>
      <c r="EJ139" s="16" t="str">
        <f t="shared" si="1555"/>
        <v>Medical Expenses</v>
      </c>
      <c r="EK139" s="22">
        <f>+VLOOKUP($BD139,'Jan-25'!$A:$J,10,0)</f>
        <v>0</v>
      </c>
      <c r="EL139" s="22">
        <f>+VLOOKUP($BD139,'Feb-25'!$A:$J,10,0)</f>
        <v>0</v>
      </c>
      <c r="EM139" s="22">
        <f>+VLOOKUP($BD139,'Mar-25'!$A:$J,10,0)</f>
        <v>0</v>
      </c>
      <c r="EN139" s="22">
        <f>+VLOOKUP($BD139,'Apr-25'!$A:$J,10,0)</f>
        <v>0</v>
      </c>
      <c r="EO139" s="22">
        <f>+VLOOKUP($BD139,'May-25'!$A:$J,10,0)</f>
        <v>0</v>
      </c>
      <c r="EP139" s="22">
        <f>+VLOOKUP($BD139,'June-25'!$A:$J,10,0)</f>
        <v>0</v>
      </c>
      <c r="EQ139" s="22">
        <f>+VLOOKUP($BD139,'July-25'!$A:$J,10,0)</f>
        <v>0</v>
      </c>
      <c r="ER139" s="22">
        <f>+VLOOKUP($BD139,'Aug-25'!$A:$J,10,0)</f>
        <v>0</v>
      </c>
      <c r="ES139" s="22">
        <f>+VLOOKUP($BD139,'Sep-25'!$A:$J,10,0)</f>
        <v>0</v>
      </c>
      <c r="ET139" s="22">
        <f>+VLOOKUP($BD139,'Oct-25'!$A:$J,10,0)</f>
        <v>0</v>
      </c>
      <c r="EU139" s="22">
        <f>+VLOOKUP($BD139,'Nov-25'!$A:$J,10,0)</f>
        <v>0</v>
      </c>
      <c r="EV139" s="22">
        <f>+VLOOKUP($BD139,'Dec-25'!$A:$J,10,0)</f>
        <v>0</v>
      </c>
      <c r="EW139" s="22">
        <f t="shared" ref="EW139:EW145" si="1625">+SUM(EK139:EV139)</f>
        <v>0</v>
      </c>
      <c r="EX139" s="118">
        <f t="shared" si="1226"/>
        <v>-1</v>
      </c>
      <c r="EY139" s="106">
        <f>+_xlfn.XLOOKUP($EJ139,Budget!$A:$A,Budget!DR:DR)</f>
        <v>1500</v>
      </c>
      <c r="EZ139" s="106">
        <f>+_xlfn.XLOOKUP($EJ139,Budget!$A:$A,Budget!DS:DS)</f>
        <v>1500</v>
      </c>
      <c r="FA139" s="106">
        <f>+_xlfn.XLOOKUP($EJ139,Budget!$A:$A,Budget!DT:DT)</f>
        <v>1500</v>
      </c>
      <c r="FB139" s="106">
        <f>+_xlfn.XLOOKUP($EJ139,Budget!$A:$A,Budget!DU:DU)</f>
        <v>1500</v>
      </c>
      <c r="FC139" s="106">
        <f>+_xlfn.XLOOKUP($EJ139,Budget!$A:$A,Budget!DV:DV)</f>
        <v>1500</v>
      </c>
      <c r="FD139" s="106">
        <f>+_xlfn.XLOOKUP($EJ139,Budget!$A:$A,Budget!DW:DW)</f>
        <v>1500</v>
      </c>
      <c r="FE139" s="106">
        <f>+_xlfn.XLOOKUP($EJ139,Budget!$A:$A,Budget!DX:DX)</f>
        <v>1500</v>
      </c>
      <c r="FF139" s="106">
        <f>+_xlfn.XLOOKUP($EJ139,Budget!$A:$A,Budget!DY:DY)</f>
        <v>1500</v>
      </c>
      <c r="FG139" s="106">
        <f>+_xlfn.XLOOKUP($EJ139,Budget!$A:$A,Budget!DZ:DZ)</f>
        <v>1500</v>
      </c>
      <c r="FH139" s="106">
        <f>+_xlfn.XLOOKUP($EJ139,Budget!$A:$A,Budget!EA:EA)</f>
        <v>1500</v>
      </c>
      <c r="FI139" s="106">
        <f>+_xlfn.XLOOKUP($EJ139,Budget!$A:$A,Budget!EB:EB)</f>
        <v>1500</v>
      </c>
      <c r="FJ139" s="106">
        <f>+_xlfn.XLOOKUP($EJ139,Budget!$A:$A,Budget!EC:EC)</f>
        <v>1500</v>
      </c>
      <c r="FK139" s="106">
        <f t="shared" ref="FK139:FK145" si="1626">+SUM(EY139:FJ139)</f>
        <v>18000</v>
      </c>
    </row>
    <row r="140" spans="1:167" ht="14.45" hidden="1" customHeight="1" outlineLevel="2">
      <c r="A140" s="106">
        <f t="shared" si="1447"/>
        <v>3927.0119999999997</v>
      </c>
      <c r="B140" s="106">
        <f t="shared" si="1447"/>
        <v>3732.8860000000004</v>
      </c>
      <c r="C140" s="106">
        <f t="shared" si="1447"/>
        <v>3500.4100000000003</v>
      </c>
      <c r="D140" s="106">
        <f t="shared" si="1447"/>
        <v>3156</v>
      </c>
      <c r="E140" s="106">
        <f t="shared" si="1447"/>
        <v>4585.66</v>
      </c>
      <c r="F140" s="106">
        <f t="shared" si="1447"/>
        <v>4946.982</v>
      </c>
      <c r="G140" s="106">
        <f t="shared" si="1447"/>
        <v>4062.4</v>
      </c>
      <c r="H140" s="106">
        <f t="shared" si="1447"/>
        <v>4384.84</v>
      </c>
      <c r="I140" s="106">
        <f t="shared" si="1447"/>
        <v>4024.8680000000004</v>
      </c>
      <c r="J140" s="106">
        <f t="shared" si="1447"/>
        <v>4617.3280000000004</v>
      </c>
      <c r="K140" s="106">
        <f t="shared" si="1447"/>
        <v>5936.6000000000013</v>
      </c>
      <c r="L140" s="106">
        <f t="shared" si="1447"/>
        <v>4913.8600000000006</v>
      </c>
      <c r="M140" s="106">
        <f t="shared" si="1591"/>
        <v>51788.846000000005</v>
      </c>
      <c r="N140" s="16" t="s">
        <v>117</v>
      </c>
      <c r="O140" s="106">
        <f t="shared" si="1592"/>
        <v>6509.6</v>
      </c>
      <c r="P140" s="106">
        <f t="shared" si="1593"/>
        <v>2468.6400000000003</v>
      </c>
      <c r="Q140" s="106">
        <f t="shared" si="1594"/>
        <v>9572.52</v>
      </c>
      <c r="R140" s="106">
        <f t="shared" si="1595"/>
        <v>6286.68</v>
      </c>
      <c r="S140" s="106">
        <f t="shared" si="1596"/>
        <v>5879.4000000000005</v>
      </c>
      <c r="T140" s="106">
        <f t="shared" si="1597"/>
        <v>6083.16</v>
      </c>
      <c r="U140" s="106">
        <f t="shared" si="1598"/>
        <v>4579.6140000000005</v>
      </c>
      <c r="V140" s="106">
        <f t="shared" si="1599"/>
        <v>4401</v>
      </c>
      <c r="W140" s="106">
        <f t="shared" si="1600"/>
        <v>983.2</v>
      </c>
      <c r="X140" s="106">
        <f t="shared" si="1601"/>
        <v>4419.8</v>
      </c>
      <c r="Y140" s="106">
        <f t="shared" si="1602"/>
        <v>0</v>
      </c>
      <c r="Z140" s="106">
        <f t="shared" si="1603"/>
        <v>0</v>
      </c>
      <c r="AA140" s="106">
        <f t="shared" si="1604"/>
        <v>51183.614000000001</v>
      </c>
      <c r="AB140" s="118">
        <f t="shared" si="1223"/>
        <v>-0.66696571618583955</v>
      </c>
      <c r="AC140" s="106">
        <f t="shared" si="1605"/>
        <v>13271.306333333334</v>
      </c>
      <c r="AD140" s="106">
        <f t="shared" si="1606"/>
        <v>13271.306333333334</v>
      </c>
      <c r="AE140" s="106">
        <f t="shared" si="1607"/>
        <v>13271.306333333334</v>
      </c>
      <c r="AF140" s="106">
        <f t="shared" si="1608"/>
        <v>13271.306333333334</v>
      </c>
      <c r="AG140" s="106">
        <f t="shared" si="1609"/>
        <v>13271.306333333334</v>
      </c>
      <c r="AH140" s="106">
        <f t="shared" si="1610"/>
        <v>13271.306333333334</v>
      </c>
      <c r="AI140" s="106">
        <f t="shared" si="1611"/>
        <v>13271.306333333334</v>
      </c>
      <c r="AJ140" s="106">
        <f t="shared" si="1612"/>
        <v>13271.306333333334</v>
      </c>
      <c r="AK140" s="106">
        <f t="shared" si="1613"/>
        <v>13271.306333333334</v>
      </c>
      <c r="AL140" s="106">
        <f t="shared" si="1614"/>
        <v>13271.306333333334</v>
      </c>
      <c r="AM140" s="106">
        <f t="shared" si="1615"/>
        <v>13271.306333333334</v>
      </c>
      <c r="AN140" s="106">
        <f t="shared" si="1616"/>
        <v>13271.306333333334</v>
      </c>
      <c r="AO140" s="106">
        <f t="shared" si="1617"/>
        <v>159255.67600000006</v>
      </c>
      <c r="AQ140" s="106">
        <v>298.08</v>
      </c>
      <c r="AR140" s="106">
        <v>0</v>
      </c>
      <c r="AS140" s="106">
        <v>196.56</v>
      </c>
      <c r="AT140" s="106">
        <v>0</v>
      </c>
      <c r="AU140" s="106">
        <v>750.84</v>
      </c>
      <c r="AV140" s="106">
        <v>273.95999999999998</v>
      </c>
      <c r="AW140" s="106">
        <v>0</v>
      </c>
      <c r="AX140" s="106">
        <v>267.36</v>
      </c>
      <c r="AY140" s="106">
        <v>130.44</v>
      </c>
      <c r="AZ140" s="106">
        <v>0</v>
      </c>
      <c r="BA140" s="106">
        <v>657.6</v>
      </c>
      <c r="BB140" s="106">
        <v>1775.6399999999999</v>
      </c>
      <c r="BC140" s="106">
        <f t="shared" si="1618"/>
        <v>4350.4799999999996</v>
      </c>
      <c r="BD140" s="16" t="str">
        <f t="shared" si="1410"/>
        <v>Refreshment Expenses</v>
      </c>
      <c r="BE140" s="106">
        <f>+VLOOKUP($BD140,'Jan-25'!$A:$J,5,0)</f>
        <v>0</v>
      </c>
      <c r="BF140" s="106">
        <f>+VLOOKUP($BD140,'Feb-25'!$A:$J,5,0)</f>
        <v>208.56</v>
      </c>
      <c r="BG140" s="106">
        <f>+VLOOKUP($BD140,'Mar-25'!$A:$J,5,0)</f>
        <v>3923.68</v>
      </c>
      <c r="BH140" s="106">
        <f>+VLOOKUP($BD140,'Apr-25'!$A:$J,5,0)</f>
        <v>1297.92</v>
      </c>
      <c r="BI140" s="106">
        <f>+VLOOKUP($BD140,'May-25'!$A:$J,5,0)</f>
        <v>330</v>
      </c>
      <c r="BJ140" s="106">
        <f>+VLOOKUP($BD140,'June-25'!$A:$J,5,0)</f>
        <v>84.240000000000009</v>
      </c>
      <c r="BK140" s="106">
        <f>+VLOOKUP($BD140,'July-25'!$A:$J,5,0)</f>
        <v>0</v>
      </c>
      <c r="BL140" s="106">
        <f>+VLOOKUP($BD140,'Aug-25'!$A:$J,5,0)</f>
        <v>0</v>
      </c>
      <c r="BM140" s="106">
        <f>+VLOOKUP($BD140,'Sep-25'!$A:$J,5,0)</f>
        <v>0</v>
      </c>
      <c r="BN140" s="106">
        <f>+VLOOKUP($BD140,'Oct-25'!$A:$J,5,0)</f>
        <v>0</v>
      </c>
      <c r="BO140" s="106">
        <f>+VLOOKUP($BD140,'Nov-25'!$A:$J,5,0)</f>
        <v>0</v>
      </c>
      <c r="BP140" s="106">
        <f>+VLOOKUP($BD140,'Dec-25'!$A:$J,5,0)</f>
        <v>0</v>
      </c>
      <c r="BQ140" s="106">
        <f t="shared" si="1619"/>
        <v>5844.4</v>
      </c>
      <c r="BR140" s="118">
        <f t="shared" si="1224"/>
        <v>-1</v>
      </c>
      <c r="BS140" s="106">
        <f>+_xlfn.XLOOKUP($BD140,Budget!$A:$A,Budget!BD:BD)</f>
        <v>2651.4425000000001</v>
      </c>
      <c r="BT140" s="106">
        <f>+_xlfn.XLOOKUP($BD140,Budget!$A:$A,Budget!BE:BE)</f>
        <v>2651.4425000000001</v>
      </c>
      <c r="BU140" s="106">
        <f>+_xlfn.XLOOKUP($BD140,Budget!$A:$A,Budget!BF:BF)</f>
        <v>2651.4425000000001</v>
      </c>
      <c r="BV140" s="106">
        <f>+_xlfn.XLOOKUP($BD140,Budget!$A:$A,Budget!BG:BG)</f>
        <v>2651.4425000000001</v>
      </c>
      <c r="BW140" s="106">
        <f>+_xlfn.XLOOKUP($BD140,Budget!$A:$A,Budget!BH:BH)</f>
        <v>2651.4425000000001</v>
      </c>
      <c r="BX140" s="106">
        <f>+_xlfn.XLOOKUP($BD140,Budget!$A:$A,Budget!BI:BI)</f>
        <v>2651.4425000000001</v>
      </c>
      <c r="BY140" s="106">
        <f>+_xlfn.XLOOKUP($BD140,Budget!$A:$A,Budget!BJ:BJ)</f>
        <v>2651.4425000000001</v>
      </c>
      <c r="BZ140" s="106">
        <f>+_xlfn.XLOOKUP($BD140,Budget!$A:$A,Budget!BK:BK)</f>
        <v>2651.4425000000001</v>
      </c>
      <c r="CA140" s="106">
        <f>+_xlfn.XLOOKUP($BD140,Budget!$A:$A,Budget!BL:BL)</f>
        <v>2651.4425000000001</v>
      </c>
      <c r="CB140" s="106">
        <f>+_xlfn.XLOOKUP($BD140,Budget!$A:$A,Budget!BM:BM)</f>
        <v>2651.4425000000001</v>
      </c>
      <c r="CC140" s="106">
        <f>+_xlfn.XLOOKUP($BD140,Budget!$A:$A,Budget!BN:BN)</f>
        <v>2651.4425000000001</v>
      </c>
      <c r="CD140" s="106">
        <f>+_xlfn.XLOOKUP($BD140,Budget!$A:$A,Budget!BO:BO)</f>
        <v>2651.4425000000001</v>
      </c>
      <c r="CE140" s="106">
        <f t="shared" si="1620"/>
        <v>31817.310000000009</v>
      </c>
      <c r="CF140" s="106"/>
      <c r="CG140" s="106">
        <v>3628.9319999999998</v>
      </c>
      <c r="CH140" s="106">
        <v>3732.8860000000004</v>
      </c>
      <c r="CI140" s="106">
        <v>3303.8500000000004</v>
      </c>
      <c r="CJ140" s="106">
        <v>3156</v>
      </c>
      <c r="CK140" s="106">
        <v>3834.82</v>
      </c>
      <c r="CL140" s="106">
        <v>4673.0219999999999</v>
      </c>
      <c r="CM140" s="106">
        <v>4062.4</v>
      </c>
      <c r="CN140" s="106">
        <v>4117.4800000000005</v>
      </c>
      <c r="CO140" s="106">
        <v>3894.4280000000003</v>
      </c>
      <c r="CP140" s="106">
        <v>4617.3280000000004</v>
      </c>
      <c r="CQ140" s="106">
        <v>5279.0000000000009</v>
      </c>
      <c r="CR140" s="106">
        <v>3138.2200000000003</v>
      </c>
      <c r="CS140" s="106">
        <f t="shared" si="1621"/>
        <v>47438.366000000009</v>
      </c>
      <c r="CT140" s="16" t="str">
        <f t="shared" si="1411"/>
        <v>Refreshment Expenses</v>
      </c>
      <c r="CU140" s="106">
        <f>+VLOOKUP($BD140,'Jan-25'!$A:$J,8,0)</f>
        <v>6509.6</v>
      </c>
      <c r="CV140" s="106">
        <f>+VLOOKUP($BD140,'Feb-25'!$A:$J,8,0)</f>
        <v>2260.0800000000004</v>
      </c>
      <c r="CW140" s="106">
        <f>+VLOOKUP($BD140,'Mar-25'!$A:$J,8,0)</f>
        <v>5648.84</v>
      </c>
      <c r="CX140" s="106">
        <f>+VLOOKUP($BD140,'Apr-25'!$A:$J,8,0)</f>
        <v>4988.76</v>
      </c>
      <c r="CY140" s="106">
        <f>+VLOOKUP($BD140,'May-25'!$A:$J,8,0)</f>
        <v>4655.4000000000005</v>
      </c>
      <c r="CZ140" s="106">
        <f>+VLOOKUP($BD140,'June-25'!$A:$J,8,0)</f>
        <v>5998.92</v>
      </c>
      <c r="DA140" s="106">
        <f>+VLOOKUP($BD140,'July-25'!$A:$J,8,0)</f>
        <v>4579.6140000000005</v>
      </c>
      <c r="DB140" s="106">
        <f>+VLOOKUP($BD140,'Aug-25'!$A:$J,8,0)</f>
        <v>4401</v>
      </c>
      <c r="DC140" s="106">
        <f>+VLOOKUP($BD140,'Sep-25'!$A:$J,8,0)</f>
        <v>983.2</v>
      </c>
      <c r="DD140" s="106">
        <f>+VLOOKUP($BD140,'Oct-25'!$A:$J,8,0)</f>
        <v>4419.8</v>
      </c>
      <c r="DE140" s="106">
        <f>+VLOOKUP($BD140,'Nov-25'!$A:$J,8,0)</f>
        <v>0</v>
      </c>
      <c r="DF140" s="106">
        <f>+VLOOKUP($BD140,'Dec-25'!$A:$J,8,0)</f>
        <v>0</v>
      </c>
      <c r="DG140" s="106">
        <f t="shared" si="1622"/>
        <v>44445.214</v>
      </c>
      <c r="DH140" s="118">
        <f t="shared" si="1225"/>
        <v>0.11803176357296949</v>
      </c>
      <c r="DI140" s="106">
        <f>+_xlfn.XLOOKUP($CT140,Budget!$A:$A,Budget!CQ:CQ)</f>
        <v>3953.1971666666673</v>
      </c>
      <c r="DJ140" s="106">
        <f>+_xlfn.XLOOKUP($CT140,Budget!$A:$A,Budget!CR:CR)</f>
        <v>3953.1971666666673</v>
      </c>
      <c r="DK140" s="106">
        <f>+_xlfn.XLOOKUP($CT140,Budget!$A:$A,Budget!CS:CS)</f>
        <v>3953.1971666666673</v>
      </c>
      <c r="DL140" s="106">
        <f>+_xlfn.XLOOKUP($CT140,Budget!$A:$A,Budget!CT:CT)</f>
        <v>3953.1971666666673</v>
      </c>
      <c r="DM140" s="106">
        <f>+_xlfn.XLOOKUP($CT140,Budget!$A:$A,Budget!CU:CU)</f>
        <v>3953.1971666666673</v>
      </c>
      <c r="DN140" s="106">
        <f>+_xlfn.XLOOKUP($CT140,Budget!$A:$A,Budget!CV:CV)</f>
        <v>3953.1971666666673</v>
      </c>
      <c r="DO140" s="106">
        <f>+_xlfn.XLOOKUP($CT140,Budget!$A:$A,Budget!CW:CW)</f>
        <v>3953.1971666666673</v>
      </c>
      <c r="DP140" s="106">
        <f>+_xlfn.XLOOKUP($CT140,Budget!$A:$A,Budget!CX:CX)</f>
        <v>3953.1971666666673</v>
      </c>
      <c r="DQ140" s="106">
        <f>+_xlfn.XLOOKUP($CT140,Budget!$A:$A,Budget!CY:CY)</f>
        <v>3953.1971666666673</v>
      </c>
      <c r="DR140" s="106">
        <f>+_xlfn.XLOOKUP($CT140,Budget!$A:$A,Budget!CZ:CZ)</f>
        <v>3953.1971666666673</v>
      </c>
      <c r="DS140" s="106">
        <f>+_xlfn.XLOOKUP($CT140,Budget!$A:$A,Budget!DA:DA)</f>
        <v>3953.1971666666673</v>
      </c>
      <c r="DT140" s="106">
        <f>+_xlfn.XLOOKUP($CT140,Budget!$A:$A,Budget!DB:DB)</f>
        <v>3953.1971666666673</v>
      </c>
      <c r="DU140" s="106">
        <f t="shared" si="1623"/>
        <v>47438.366000000002</v>
      </c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106">
        <f t="shared" si="1624"/>
        <v>0</v>
      </c>
      <c r="EJ140" s="16" t="str">
        <f t="shared" si="1555"/>
        <v>Refreshment Expenses</v>
      </c>
      <c r="EK140" s="22">
        <f>+VLOOKUP($BD140,'Jan-25'!$A:$J,10,0)</f>
        <v>0</v>
      </c>
      <c r="EL140" s="22">
        <f>+VLOOKUP($BD140,'Feb-25'!$A:$J,10,0)</f>
        <v>0</v>
      </c>
      <c r="EM140" s="22">
        <f>+VLOOKUP($BD140,'Mar-25'!$A:$J,10,0)</f>
        <v>0</v>
      </c>
      <c r="EN140" s="22">
        <f>+VLOOKUP($BD140,'Apr-25'!$A:$J,10,0)</f>
        <v>0</v>
      </c>
      <c r="EO140" s="22">
        <f>+VLOOKUP($BD140,'May-25'!$A:$J,10,0)</f>
        <v>894</v>
      </c>
      <c r="EP140" s="22">
        <f>+VLOOKUP($BD140,'June-25'!$A:$J,10,0)</f>
        <v>0</v>
      </c>
      <c r="EQ140" s="22">
        <f>+VLOOKUP($BD140,'July-25'!$A:$J,10,0)</f>
        <v>0</v>
      </c>
      <c r="ER140" s="22">
        <f>+VLOOKUP($BD140,'Aug-25'!$A:$J,10,0)</f>
        <v>0</v>
      </c>
      <c r="ES140" s="22">
        <f>+VLOOKUP($BD140,'Sep-25'!$A:$J,10,0)</f>
        <v>0</v>
      </c>
      <c r="ET140" s="22">
        <f>+VLOOKUP($BD140,'Oct-25'!$A:$J,10,0)</f>
        <v>0</v>
      </c>
      <c r="EU140" s="22">
        <f>+VLOOKUP($BD140,'Nov-25'!$A:$J,10,0)</f>
        <v>0</v>
      </c>
      <c r="EV140" s="22">
        <f>+VLOOKUP($BD140,'Dec-25'!$A:$J,10,0)</f>
        <v>0</v>
      </c>
      <c r="EW140" s="22">
        <f t="shared" si="1625"/>
        <v>894</v>
      </c>
      <c r="EX140" s="118">
        <f t="shared" si="1226"/>
        <v>-1</v>
      </c>
      <c r="EY140" s="106">
        <f>+_xlfn.XLOOKUP($EJ140,Budget!$A:$A,Budget!DR:DR)</f>
        <v>6666.6666666666661</v>
      </c>
      <c r="EZ140" s="106">
        <f>+_xlfn.XLOOKUP($EJ140,Budget!$A:$A,Budget!DS:DS)</f>
        <v>6666.6666666666661</v>
      </c>
      <c r="FA140" s="106">
        <f>+_xlfn.XLOOKUP($EJ140,Budget!$A:$A,Budget!DT:DT)</f>
        <v>6666.6666666666661</v>
      </c>
      <c r="FB140" s="106">
        <f>+_xlfn.XLOOKUP($EJ140,Budget!$A:$A,Budget!DU:DU)</f>
        <v>6666.6666666666661</v>
      </c>
      <c r="FC140" s="106">
        <f>+_xlfn.XLOOKUP($EJ140,Budget!$A:$A,Budget!DV:DV)</f>
        <v>6666.6666666666661</v>
      </c>
      <c r="FD140" s="106">
        <f>+_xlfn.XLOOKUP($EJ140,Budget!$A:$A,Budget!DW:DW)</f>
        <v>6666.6666666666661</v>
      </c>
      <c r="FE140" s="106">
        <f>+_xlfn.XLOOKUP($EJ140,Budget!$A:$A,Budget!DX:DX)</f>
        <v>6666.6666666666661</v>
      </c>
      <c r="FF140" s="106">
        <f>+_xlfn.XLOOKUP($EJ140,Budget!$A:$A,Budget!DY:DY)</f>
        <v>6666.6666666666661</v>
      </c>
      <c r="FG140" s="106">
        <f>+_xlfn.XLOOKUP($EJ140,Budget!$A:$A,Budget!DZ:DZ)</f>
        <v>6666.6666666666661</v>
      </c>
      <c r="FH140" s="106">
        <f>+_xlfn.XLOOKUP($EJ140,Budget!$A:$A,Budget!EA:EA)</f>
        <v>6666.6666666666661</v>
      </c>
      <c r="FI140" s="106">
        <f>+_xlfn.XLOOKUP($EJ140,Budget!$A:$A,Budget!EB:EB)</f>
        <v>6666.6666666666661</v>
      </c>
      <c r="FJ140" s="106">
        <f>+_xlfn.XLOOKUP($EJ140,Budget!$A:$A,Budget!EC:EC)</f>
        <v>6666.6666666666661</v>
      </c>
      <c r="FK140" s="106">
        <f t="shared" si="1626"/>
        <v>80000</v>
      </c>
    </row>
    <row r="141" spans="1:167" ht="14.45" hidden="1" customHeight="1" outlineLevel="2">
      <c r="A141" s="106">
        <f t="shared" si="1447"/>
        <v>4600</v>
      </c>
      <c r="B141" s="106">
        <f t="shared" si="1447"/>
        <v>4600</v>
      </c>
      <c r="C141" s="106">
        <f t="shared" si="1447"/>
        <v>4600</v>
      </c>
      <c r="D141" s="106">
        <f t="shared" si="1447"/>
        <v>4600</v>
      </c>
      <c r="E141" s="106">
        <f t="shared" si="1447"/>
        <v>4600</v>
      </c>
      <c r="F141" s="106">
        <f t="shared" si="1447"/>
        <v>4600</v>
      </c>
      <c r="G141" s="106">
        <f t="shared" si="1447"/>
        <v>5000</v>
      </c>
      <c r="H141" s="106">
        <f t="shared" si="1447"/>
        <v>5000</v>
      </c>
      <c r="I141" s="106">
        <f t="shared" si="1447"/>
        <v>5000</v>
      </c>
      <c r="J141" s="106">
        <f t="shared" si="1447"/>
        <v>5000</v>
      </c>
      <c r="K141" s="106">
        <f t="shared" si="1447"/>
        <v>5000</v>
      </c>
      <c r="L141" s="106">
        <f t="shared" si="1447"/>
        <v>5000</v>
      </c>
      <c r="M141" s="106">
        <f t="shared" si="1591"/>
        <v>57600</v>
      </c>
      <c r="N141" s="16" t="s">
        <v>227</v>
      </c>
      <c r="O141" s="106">
        <f t="shared" si="1592"/>
        <v>9000</v>
      </c>
      <c r="P141" s="106">
        <f t="shared" si="1593"/>
        <v>9000</v>
      </c>
      <c r="Q141" s="106">
        <f t="shared" si="1594"/>
        <v>9000</v>
      </c>
      <c r="R141" s="106">
        <f t="shared" si="1595"/>
        <v>40860.800000000003</v>
      </c>
      <c r="S141" s="106">
        <f t="shared" si="1596"/>
        <v>9000</v>
      </c>
      <c r="T141" s="106">
        <f t="shared" si="1597"/>
        <v>40800.800000000003</v>
      </c>
      <c r="U141" s="106">
        <f t="shared" si="1598"/>
        <v>40860.800000000003</v>
      </c>
      <c r="V141" s="106">
        <f t="shared" si="1599"/>
        <v>9900</v>
      </c>
      <c r="W141" s="106">
        <f t="shared" si="1600"/>
        <v>9300</v>
      </c>
      <c r="X141" s="106">
        <f t="shared" si="1601"/>
        <v>9300</v>
      </c>
      <c r="Y141" s="106">
        <f t="shared" si="1602"/>
        <v>0</v>
      </c>
      <c r="Z141" s="106">
        <f t="shared" si="1603"/>
        <v>0</v>
      </c>
      <c r="AA141" s="106">
        <f t="shared" si="1604"/>
        <v>187022.40000000002</v>
      </c>
      <c r="AB141" s="118">
        <f t="shared" si="1223"/>
        <v>-0.81786419327546767</v>
      </c>
      <c r="AC141" s="106">
        <f t="shared" si="1605"/>
        <v>51060.800000000003</v>
      </c>
      <c r="AD141" s="106">
        <f t="shared" si="1606"/>
        <v>51060.800000000003</v>
      </c>
      <c r="AE141" s="106">
        <f t="shared" si="1607"/>
        <v>51060.800000000003</v>
      </c>
      <c r="AF141" s="106">
        <f t="shared" si="1608"/>
        <v>51060.800000000003</v>
      </c>
      <c r="AG141" s="106">
        <f t="shared" si="1609"/>
        <v>51060.800000000003</v>
      </c>
      <c r="AH141" s="106">
        <f t="shared" si="1610"/>
        <v>51060.800000000003</v>
      </c>
      <c r="AI141" s="106">
        <f t="shared" si="1611"/>
        <v>51060.800000000003</v>
      </c>
      <c r="AJ141" s="106">
        <f t="shared" si="1612"/>
        <v>51060.800000000003</v>
      </c>
      <c r="AK141" s="106">
        <f t="shared" si="1613"/>
        <v>51060.800000000003</v>
      </c>
      <c r="AL141" s="106">
        <f t="shared" si="1614"/>
        <v>51060.800000000003</v>
      </c>
      <c r="AM141" s="106">
        <f t="shared" si="1615"/>
        <v>51060.800000000003</v>
      </c>
      <c r="AN141" s="106">
        <f t="shared" si="1616"/>
        <v>51060.800000000003</v>
      </c>
      <c r="AO141" s="106">
        <f t="shared" si="1617"/>
        <v>612729.59999999998</v>
      </c>
      <c r="AQ141" s="106">
        <v>0</v>
      </c>
      <c r="AR141" s="106">
        <v>0</v>
      </c>
      <c r="AS141" s="106">
        <v>0</v>
      </c>
      <c r="AT141" s="106">
        <v>0</v>
      </c>
      <c r="AU141" s="106">
        <v>0</v>
      </c>
      <c r="AV141" s="106">
        <v>0</v>
      </c>
      <c r="AW141" s="106">
        <v>0</v>
      </c>
      <c r="AX141" s="106">
        <v>0</v>
      </c>
      <c r="AY141" s="106">
        <v>0</v>
      </c>
      <c r="AZ141" s="106">
        <v>0</v>
      </c>
      <c r="BA141" s="106">
        <v>0</v>
      </c>
      <c r="BB141" s="106">
        <v>0</v>
      </c>
      <c r="BC141" s="106">
        <f t="shared" si="1618"/>
        <v>0</v>
      </c>
      <c r="BD141" s="16" t="str">
        <f t="shared" si="1410"/>
        <v>Staff Accommedation -Rent</v>
      </c>
      <c r="BE141" s="106">
        <f>+VLOOKUP($BD141,'Jan-25'!$A:$J,5,0)</f>
        <v>0</v>
      </c>
      <c r="BF141" s="106">
        <f>+VLOOKUP($BD141,'Feb-25'!$A:$J,5,0)</f>
        <v>0</v>
      </c>
      <c r="BG141" s="106">
        <f>+VLOOKUP($BD141,'Mar-25'!$A:$J,5,0)</f>
        <v>0</v>
      </c>
      <c r="BH141" s="106">
        <f>+VLOOKUP($BD141,'Apr-25'!$A:$J,5,0)</f>
        <v>19860.800000000003</v>
      </c>
      <c r="BI141" s="106">
        <f>+VLOOKUP($BD141,'May-25'!$A:$J,5,0)</f>
        <v>0</v>
      </c>
      <c r="BJ141" s="106">
        <f>+VLOOKUP($BD141,'June-25'!$A:$J,5,0)</f>
        <v>19860.800000000003</v>
      </c>
      <c r="BK141" s="106">
        <f>+VLOOKUP($BD141,'July-25'!$A:$J,5,0)</f>
        <v>19860.800000000003</v>
      </c>
      <c r="BL141" s="106">
        <f>+VLOOKUP($BD141,'Aug-25'!$A:$J,5,0)</f>
        <v>0</v>
      </c>
      <c r="BM141" s="106">
        <f>+VLOOKUP($BD141,'Sep-25'!$A:$J,5,0)</f>
        <v>0</v>
      </c>
      <c r="BN141" s="106">
        <f>+VLOOKUP($BD141,'Oct-25'!$A:$J,5,0)</f>
        <v>0</v>
      </c>
      <c r="BO141" s="106">
        <f>+VLOOKUP($BD141,'Nov-25'!$A:$J,5,0)</f>
        <v>0</v>
      </c>
      <c r="BP141" s="106">
        <f>+VLOOKUP($BD141,'Dec-25'!$A:$J,5,0)</f>
        <v>0</v>
      </c>
      <c r="BQ141" s="106">
        <f t="shared" si="1619"/>
        <v>59582.400000000009</v>
      </c>
      <c r="BR141" s="118">
        <f t="shared" si="1224"/>
        <v>-1</v>
      </c>
      <c r="BS141" s="106">
        <f>+_xlfn.XLOOKUP($BD141,Budget!$A:$A,Budget!BD:BD)</f>
        <v>19660.800000000003</v>
      </c>
      <c r="BT141" s="106">
        <f>+_xlfn.XLOOKUP($BD141,Budget!$A:$A,Budget!BE:BE)</f>
        <v>19660.800000000003</v>
      </c>
      <c r="BU141" s="106">
        <f>+_xlfn.XLOOKUP($BD141,Budget!$A:$A,Budget!BF:BF)</f>
        <v>19660.800000000003</v>
      </c>
      <c r="BV141" s="106">
        <f>+_xlfn.XLOOKUP($BD141,Budget!$A:$A,Budget!BG:BG)</f>
        <v>19660.800000000003</v>
      </c>
      <c r="BW141" s="106">
        <f>+_xlfn.XLOOKUP($BD141,Budget!$A:$A,Budget!BH:BH)</f>
        <v>19660.800000000003</v>
      </c>
      <c r="BX141" s="106">
        <f>+_xlfn.XLOOKUP($BD141,Budget!$A:$A,Budget!BI:BI)</f>
        <v>19660.800000000003</v>
      </c>
      <c r="BY141" s="106">
        <f>+_xlfn.XLOOKUP($BD141,Budget!$A:$A,Budget!BJ:BJ)</f>
        <v>19660.800000000003</v>
      </c>
      <c r="BZ141" s="106">
        <f>+_xlfn.XLOOKUP($BD141,Budget!$A:$A,Budget!BK:BK)</f>
        <v>19660.800000000003</v>
      </c>
      <c r="CA141" s="106">
        <f>+_xlfn.XLOOKUP($BD141,Budget!$A:$A,Budget!BL:BL)</f>
        <v>19660.800000000003</v>
      </c>
      <c r="CB141" s="106">
        <f>+_xlfn.XLOOKUP($BD141,Budget!$A:$A,Budget!BM:BM)</f>
        <v>19660.800000000003</v>
      </c>
      <c r="CC141" s="106">
        <f>+_xlfn.XLOOKUP($BD141,Budget!$A:$A,Budget!BN:BN)</f>
        <v>19660.800000000003</v>
      </c>
      <c r="CD141" s="106">
        <f>+_xlfn.XLOOKUP($BD141,Budget!$A:$A,Budget!BO:BO)</f>
        <v>19660.800000000003</v>
      </c>
      <c r="CE141" s="106">
        <f t="shared" si="1620"/>
        <v>235929.59999999998</v>
      </c>
      <c r="CF141" s="106"/>
      <c r="CG141" s="106">
        <v>4600</v>
      </c>
      <c r="CH141" s="106">
        <v>4600</v>
      </c>
      <c r="CI141" s="106">
        <v>4600</v>
      </c>
      <c r="CJ141" s="106">
        <v>4600</v>
      </c>
      <c r="CK141" s="106">
        <v>4600</v>
      </c>
      <c r="CL141" s="106">
        <v>4600</v>
      </c>
      <c r="CM141" s="106">
        <v>5000</v>
      </c>
      <c r="CN141" s="106">
        <v>5000</v>
      </c>
      <c r="CO141" s="106">
        <v>5000</v>
      </c>
      <c r="CP141" s="106">
        <v>5000</v>
      </c>
      <c r="CQ141" s="106">
        <v>5000</v>
      </c>
      <c r="CR141" s="106">
        <v>5000</v>
      </c>
      <c r="CS141" s="106">
        <f t="shared" si="1621"/>
        <v>57600</v>
      </c>
      <c r="CT141" s="16" t="str">
        <f t="shared" si="1411"/>
        <v>Staff Accommedation -Rent</v>
      </c>
      <c r="CU141" s="106">
        <f>+VLOOKUP($BD141,'Jan-25'!$A:$J,8,0)</f>
        <v>9000</v>
      </c>
      <c r="CV141" s="106">
        <f>+VLOOKUP($BD141,'Feb-25'!$A:$J,8,0)</f>
        <v>9000</v>
      </c>
      <c r="CW141" s="106">
        <f>+VLOOKUP($BD141,'Mar-25'!$A:$J,8,0)</f>
        <v>9000</v>
      </c>
      <c r="CX141" s="106">
        <f>+VLOOKUP($BD141,'Apr-25'!$A:$J,8,0)</f>
        <v>9000</v>
      </c>
      <c r="CY141" s="106">
        <f>+VLOOKUP($BD141,'May-25'!$A:$J,8,0)</f>
        <v>9000</v>
      </c>
      <c r="CZ141" s="106">
        <f>+VLOOKUP($BD141,'June-25'!$A:$J,8,0)</f>
        <v>9000</v>
      </c>
      <c r="DA141" s="106">
        <f>+VLOOKUP($BD141,'July-25'!$A:$J,8,0)</f>
        <v>9000</v>
      </c>
      <c r="DB141" s="106">
        <f>+VLOOKUP($BD141,'Aug-25'!$A:$J,8,0)</f>
        <v>9900</v>
      </c>
      <c r="DC141" s="106">
        <f>+VLOOKUP($BD141,'Sep-25'!$A:$J,8,0)</f>
        <v>9300</v>
      </c>
      <c r="DD141" s="106">
        <f>+VLOOKUP($BD141,'Oct-25'!$A:$J,8,0)</f>
        <v>9300</v>
      </c>
      <c r="DE141" s="106">
        <f>+VLOOKUP($BD141,'Nov-25'!$A:$J,8,0)</f>
        <v>0</v>
      </c>
      <c r="DF141" s="106">
        <f>+VLOOKUP($BD141,'Dec-25'!$A:$J,8,0)</f>
        <v>0</v>
      </c>
      <c r="DG141" s="106">
        <f t="shared" si="1622"/>
        <v>91500</v>
      </c>
      <c r="DH141" s="118">
        <f t="shared" si="1225"/>
        <v>-0.48333333333333334</v>
      </c>
      <c r="DI141" s="106">
        <f>+_xlfn.XLOOKUP($CT141,Budget!$A:$A,Budget!CQ:CQ)</f>
        <v>18000</v>
      </c>
      <c r="DJ141" s="106">
        <f>+_xlfn.XLOOKUP($CT141,Budget!$A:$A,Budget!CR:CR)</f>
        <v>18000</v>
      </c>
      <c r="DK141" s="106">
        <f>+_xlfn.XLOOKUP($CT141,Budget!$A:$A,Budget!CS:CS)</f>
        <v>18000</v>
      </c>
      <c r="DL141" s="106">
        <f>+_xlfn.XLOOKUP($CT141,Budget!$A:$A,Budget!CT:CT)</f>
        <v>18000</v>
      </c>
      <c r="DM141" s="106">
        <f>+_xlfn.XLOOKUP($CT141,Budget!$A:$A,Budget!CU:CU)</f>
        <v>18000</v>
      </c>
      <c r="DN141" s="106">
        <f>+_xlfn.XLOOKUP($CT141,Budget!$A:$A,Budget!CV:CV)</f>
        <v>18000</v>
      </c>
      <c r="DO141" s="106">
        <f>+_xlfn.XLOOKUP($CT141,Budget!$A:$A,Budget!CW:CW)</f>
        <v>18000</v>
      </c>
      <c r="DP141" s="106">
        <f>+_xlfn.XLOOKUP($CT141,Budget!$A:$A,Budget!CX:CX)</f>
        <v>18000</v>
      </c>
      <c r="DQ141" s="106">
        <f>+_xlfn.XLOOKUP($CT141,Budget!$A:$A,Budget!CY:CY)</f>
        <v>18000</v>
      </c>
      <c r="DR141" s="106">
        <f>+_xlfn.XLOOKUP($CT141,Budget!$A:$A,Budget!CZ:CZ)</f>
        <v>18000</v>
      </c>
      <c r="DS141" s="106">
        <f>+_xlfn.XLOOKUP($CT141,Budget!$A:$A,Budget!DA:DA)</f>
        <v>18000</v>
      </c>
      <c r="DT141" s="106">
        <f>+_xlfn.XLOOKUP($CT141,Budget!$A:$A,Budget!DB:DB)</f>
        <v>18000</v>
      </c>
      <c r="DU141" s="106">
        <f t="shared" si="1623"/>
        <v>216000</v>
      </c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106">
        <f t="shared" si="1624"/>
        <v>0</v>
      </c>
      <c r="EJ141" s="16" t="str">
        <f t="shared" si="1555"/>
        <v>Staff Accommedation -Rent</v>
      </c>
      <c r="EK141" s="22">
        <f>+VLOOKUP($BD141,'Jan-25'!$A:$J,10,0)</f>
        <v>0</v>
      </c>
      <c r="EL141" s="22">
        <f>+VLOOKUP($BD141,'Feb-25'!$A:$J,10,0)</f>
        <v>0</v>
      </c>
      <c r="EM141" s="22">
        <f>+VLOOKUP($BD141,'Mar-25'!$A:$J,10,0)</f>
        <v>0</v>
      </c>
      <c r="EN141" s="22">
        <f>+VLOOKUP($BD141,'Apr-25'!$A:$J,10,0)</f>
        <v>12000</v>
      </c>
      <c r="EO141" s="22">
        <f>+VLOOKUP($BD141,'May-25'!$A:$J,10,0)</f>
        <v>0</v>
      </c>
      <c r="EP141" s="22">
        <f>+VLOOKUP($BD141,'June-25'!$A:$J,10,0)</f>
        <v>11940</v>
      </c>
      <c r="EQ141" s="22">
        <f>+VLOOKUP($BD141,'July-25'!$A:$J,10,0)</f>
        <v>12000</v>
      </c>
      <c r="ER141" s="22">
        <f>+VLOOKUP($BD141,'Aug-25'!$A:$J,10,0)</f>
        <v>0</v>
      </c>
      <c r="ES141" s="22">
        <f>+VLOOKUP($BD141,'Sep-25'!$A:$J,10,0)</f>
        <v>0</v>
      </c>
      <c r="ET141" s="22">
        <f>+VLOOKUP($BD141,'Oct-25'!$A:$J,10,0)</f>
        <v>0</v>
      </c>
      <c r="EU141" s="22">
        <f>+VLOOKUP($BD141,'Nov-25'!$A:$J,10,0)</f>
        <v>0</v>
      </c>
      <c r="EV141" s="22">
        <f>+VLOOKUP($BD141,'Dec-25'!$A:$J,10,0)</f>
        <v>0</v>
      </c>
      <c r="EW141" s="22">
        <f t="shared" si="1625"/>
        <v>35940</v>
      </c>
      <c r="EX141" s="118">
        <f t="shared" si="1226"/>
        <v>-1</v>
      </c>
      <c r="EY141" s="106">
        <f>+_xlfn.XLOOKUP($EJ141,Budget!$A:$A,Budget!DR:DR)</f>
        <v>13400</v>
      </c>
      <c r="EZ141" s="106">
        <f>+_xlfn.XLOOKUP($EJ141,Budget!$A:$A,Budget!DS:DS)</f>
        <v>13400</v>
      </c>
      <c r="FA141" s="106">
        <f>+_xlfn.XLOOKUP($EJ141,Budget!$A:$A,Budget!DT:DT)</f>
        <v>13400</v>
      </c>
      <c r="FB141" s="106">
        <f>+_xlfn.XLOOKUP($EJ141,Budget!$A:$A,Budget!DU:DU)</f>
        <v>13400</v>
      </c>
      <c r="FC141" s="106">
        <f>+_xlfn.XLOOKUP($EJ141,Budget!$A:$A,Budget!DV:DV)</f>
        <v>13400</v>
      </c>
      <c r="FD141" s="106">
        <f>+_xlfn.XLOOKUP($EJ141,Budget!$A:$A,Budget!DW:DW)</f>
        <v>13400</v>
      </c>
      <c r="FE141" s="106">
        <f>+_xlfn.XLOOKUP($EJ141,Budget!$A:$A,Budget!DX:DX)</f>
        <v>13400</v>
      </c>
      <c r="FF141" s="106">
        <f>+_xlfn.XLOOKUP($EJ141,Budget!$A:$A,Budget!DY:DY)</f>
        <v>13400</v>
      </c>
      <c r="FG141" s="106">
        <f>+_xlfn.XLOOKUP($EJ141,Budget!$A:$A,Budget!DZ:DZ)</f>
        <v>13400</v>
      </c>
      <c r="FH141" s="106">
        <f>+_xlfn.XLOOKUP($EJ141,Budget!$A:$A,Budget!EA:EA)</f>
        <v>13400</v>
      </c>
      <c r="FI141" s="106">
        <f>+_xlfn.XLOOKUP($EJ141,Budget!$A:$A,Budget!EB:EB)</f>
        <v>13400</v>
      </c>
      <c r="FJ141" s="106">
        <f>+_xlfn.XLOOKUP($EJ141,Budget!$A:$A,Budget!EC:EC)</f>
        <v>13400</v>
      </c>
      <c r="FK141" s="106">
        <f t="shared" si="1626"/>
        <v>160800</v>
      </c>
    </row>
    <row r="142" spans="1:167" ht="14.45" hidden="1" customHeight="1" outlineLevel="2">
      <c r="A142" s="106">
        <f t="shared" si="1447"/>
        <v>0</v>
      </c>
      <c r="B142" s="106">
        <f t="shared" si="1447"/>
        <v>0</v>
      </c>
      <c r="C142" s="106">
        <f t="shared" si="1447"/>
        <v>0</v>
      </c>
      <c r="D142" s="106">
        <f t="shared" si="1447"/>
        <v>0</v>
      </c>
      <c r="E142" s="106">
        <f t="shared" si="1447"/>
        <v>1565.4</v>
      </c>
      <c r="F142" s="106">
        <f t="shared" si="1447"/>
        <v>560</v>
      </c>
      <c r="G142" s="106">
        <f t="shared" si="1447"/>
        <v>0</v>
      </c>
      <c r="H142" s="106">
        <f t="shared" si="1447"/>
        <v>0</v>
      </c>
      <c r="I142" s="106">
        <f t="shared" si="1447"/>
        <v>0</v>
      </c>
      <c r="J142" s="106">
        <f t="shared" si="1447"/>
        <v>0</v>
      </c>
      <c r="K142" s="106">
        <f t="shared" si="1447"/>
        <v>0</v>
      </c>
      <c r="L142" s="106">
        <f t="shared" si="1447"/>
        <v>0</v>
      </c>
      <c r="M142" s="106">
        <f t="shared" si="1591"/>
        <v>2125.4</v>
      </c>
      <c r="N142" s="16" t="s">
        <v>228</v>
      </c>
      <c r="O142" s="106">
        <f t="shared" si="1592"/>
        <v>0</v>
      </c>
      <c r="P142" s="106">
        <f t="shared" si="1593"/>
        <v>303.60000000000002</v>
      </c>
      <c r="Q142" s="106">
        <f t="shared" si="1594"/>
        <v>273.32</v>
      </c>
      <c r="R142" s="106">
        <f t="shared" si="1595"/>
        <v>0</v>
      </c>
      <c r="S142" s="106">
        <f t="shared" si="1596"/>
        <v>0</v>
      </c>
      <c r="T142" s="106">
        <f t="shared" si="1597"/>
        <v>0</v>
      </c>
      <c r="U142" s="106">
        <f t="shared" si="1598"/>
        <v>0</v>
      </c>
      <c r="V142" s="106">
        <f t="shared" si="1599"/>
        <v>3389.8300000000004</v>
      </c>
      <c r="W142" s="106">
        <f t="shared" si="1600"/>
        <v>0</v>
      </c>
      <c r="X142" s="106">
        <f t="shared" si="1601"/>
        <v>0</v>
      </c>
      <c r="Y142" s="106">
        <f t="shared" si="1602"/>
        <v>0</v>
      </c>
      <c r="Z142" s="106">
        <f t="shared" si="1603"/>
        <v>0</v>
      </c>
      <c r="AA142" s="106">
        <f t="shared" si="1604"/>
        <v>3966.7500000000005</v>
      </c>
      <c r="AB142" s="118">
        <f t="shared" si="1223"/>
        <v>0</v>
      </c>
      <c r="AC142" s="106">
        <f t="shared" si="1605"/>
        <v>0</v>
      </c>
      <c r="AD142" s="106">
        <f t="shared" si="1606"/>
        <v>0</v>
      </c>
      <c r="AE142" s="106">
        <f t="shared" si="1607"/>
        <v>0</v>
      </c>
      <c r="AF142" s="106">
        <f t="shared" si="1608"/>
        <v>0</v>
      </c>
      <c r="AG142" s="106">
        <f t="shared" si="1609"/>
        <v>0</v>
      </c>
      <c r="AH142" s="106">
        <f t="shared" si="1610"/>
        <v>0</v>
      </c>
      <c r="AI142" s="106">
        <f t="shared" si="1611"/>
        <v>0</v>
      </c>
      <c r="AJ142" s="106">
        <f t="shared" si="1612"/>
        <v>0</v>
      </c>
      <c r="AK142" s="106">
        <f t="shared" si="1613"/>
        <v>0</v>
      </c>
      <c r="AL142" s="106">
        <f t="shared" si="1614"/>
        <v>0</v>
      </c>
      <c r="AM142" s="106">
        <f t="shared" si="1615"/>
        <v>0</v>
      </c>
      <c r="AN142" s="106">
        <f t="shared" si="1616"/>
        <v>0</v>
      </c>
      <c r="AO142" s="106">
        <f t="shared" si="1617"/>
        <v>0</v>
      </c>
      <c r="AQ142" s="106">
        <v>0</v>
      </c>
      <c r="AR142" s="106">
        <v>0</v>
      </c>
      <c r="AS142" s="106">
        <v>0</v>
      </c>
      <c r="AT142" s="106">
        <v>0</v>
      </c>
      <c r="AU142" s="106">
        <v>0</v>
      </c>
      <c r="AV142" s="106">
        <v>0</v>
      </c>
      <c r="AW142" s="106">
        <v>0</v>
      </c>
      <c r="AX142" s="106">
        <v>0</v>
      </c>
      <c r="AY142" s="106">
        <v>0</v>
      </c>
      <c r="AZ142" s="106">
        <v>0</v>
      </c>
      <c r="BA142" s="106">
        <v>0</v>
      </c>
      <c r="BB142" s="106">
        <v>0</v>
      </c>
      <c r="BC142" s="106">
        <f t="shared" si="1618"/>
        <v>0</v>
      </c>
      <c r="BD142" s="16" t="str">
        <f t="shared" si="1410"/>
        <v>Staff Accommedation -Maintanence</v>
      </c>
      <c r="BE142" s="106">
        <f>+VLOOKUP($BD142,'Jan-25'!$A:$J,5,0)</f>
        <v>0</v>
      </c>
      <c r="BF142" s="106">
        <f>+VLOOKUP($BD142,'Feb-25'!$A:$J,5,0)</f>
        <v>0</v>
      </c>
      <c r="BG142" s="106">
        <f>+VLOOKUP($BD142,'Mar-25'!$A:$J,5,0)</f>
        <v>0</v>
      </c>
      <c r="BH142" s="106">
        <f>+VLOOKUP($BD142,'Apr-25'!$A:$J,5,0)</f>
        <v>0</v>
      </c>
      <c r="BI142" s="106">
        <f>+VLOOKUP($BD142,'May-25'!$A:$J,5,0)</f>
        <v>0</v>
      </c>
      <c r="BJ142" s="106">
        <f>+VLOOKUP($BD142,'June-25'!$A:$J,5,0)</f>
        <v>0</v>
      </c>
      <c r="BK142" s="106">
        <f>+VLOOKUP($BD142,'July-25'!$A:$J,5,0)</f>
        <v>0</v>
      </c>
      <c r="BL142" s="106">
        <f>+VLOOKUP($BD142,'Aug-25'!$A:$J,5,0)</f>
        <v>0</v>
      </c>
      <c r="BM142" s="106">
        <f>+VLOOKUP($BD142,'Sep-25'!$A:$J,5,0)</f>
        <v>0</v>
      </c>
      <c r="BN142" s="106">
        <f>+VLOOKUP($BD142,'Oct-25'!$A:$J,5,0)</f>
        <v>0</v>
      </c>
      <c r="BO142" s="106">
        <f>+VLOOKUP($BD142,'Nov-25'!$A:$J,5,0)</f>
        <v>0</v>
      </c>
      <c r="BP142" s="106">
        <f>+VLOOKUP($BD142,'Dec-25'!$A:$J,5,0)</f>
        <v>0</v>
      </c>
      <c r="BQ142" s="106">
        <f t="shared" si="1619"/>
        <v>0</v>
      </c>
      <c r="BR142" s="118">
        <f t="shared" si="1224"/>
        <v>0</v>
      </c>
      <c r="BS142" s="106">
        <f>+_xlfn.XLOOKUP($BD142,Budget!$A:$A,Budget!BD:BD)</f>
        <v>0</v>
      </c>
      <c r="BT142" s="106">
        <f>+_xlfn.XLOOKUP($BD142,Budget!$A:$A,Budget!BE:BE)</f>
        <v>0</v>
      </c>
      <c r="BU142" s="106">
        <f>+_xlfn.XLOOKUP($BD142,Budget!$A:$A,Budget!BF:BF)</f>
        <v>0</v>
      </c>
      <c r="BV142" s="106">
        <f>+_xlfn.XLOOKUP($BD142,Budget!$A:$A,Budget!BG:BG)</f>
        <v>0</v>
      </c>
      <c r="BW142" s="106">
        <f>+_xlfn.XLOOKUP($BD142,Budget!$A:$A,Budget!BH:BH)</f>
        <v>0</v>
      </c>
      <c r="BX142" s="106">
        <f>+_xlfn.XLOOKUP($BD142,Budget!$A:$A,Budget!BI:BI)</f>
        <v>0</v>
      </c>
      <c r="BY142" s="106">
        <f>+_xlfn.XLOOKUP($BD142,Budget!$A:$A,Budget!BJ:BJ)</f>
        <v>0</v>
      </c>
      <c r="BZ142" s="106">
        <f>+_xlfn.XLOOKUP($BD142,Budget!$A:$A,Budget!BK:BK)</f>
        <v>0</v>
      </c>
      <c r="CA142" s="106">
        <f>+_xlfn.XLOOKUP($BD142,Budget!$A:$A,Budget!BL:BL)</f>
        <v>0</v>
      </c>
      <c r="CB142" s="106">
        <f>+_xlfn.XLOOKUP($BD142,Budget!$A:$A,Budget!BM:BM)</f>
        <v>0</v>
      </c>
      <c r="CC142" s="106">
        <f>+_xlfn.XLOOKUP($BD142,Budget!$A:$A,Budget!BN:BN)</f>
        <v>0</v>
      </c>
      <c r="CD142" s="106">
        <f>+_xlfn.XLOOKUP($BD142,Budget!$A:$A,Budget!BO:BO)</f>
        <v>0</v>
      </c>
      <c r="CE142" s="106">
        <f t="shared" si="1620"/>
        <v>0</v>
      </c>
      <c r="CF142" s="106"/>
      <c r="CG142" s="106">
        <v>0</v>
      </c>
      <c r="CH142" s="106">
        <v>0</v>
      </c>
      <c r="CI142" s="106">
        <v>0</v>
      </c>
      <c r="CJ142" s="106">
        <v>0</v>
      </c>
      <c r="CK142" s="106">
        <v>1565.4</v>
      </c>
      <c r="CL142" s="106">
        <v>560</v>
      </c>
      <c r="CM142" s="106">
        <v>0</v>
      </c>
      <c r="CN142" s="106">
        <v>0</v>
      </c>
      <c r="CO142" s="106">
        <v>0</v>
      </c>
      <c r="CP142" s="106">
        <v>0</v>
      </c>
      <c r="CQ142" s="106">
        <v>0</v>
      </c>
      <c r="CR142" s="106">
        <v>0</v>
      </c>
      <c r="CS142" s="106">
        <f t="shared" si="1621"/>
        <v>2125.4</v>
      </c>
      <c r="CT142" s="16" t="str">
        <f t="shared" si="1411"/>
        <v>Staff Accommedation -Maintanence</v>
      </c>
      <c r="CU142" s="106">
        <f>+VLOOKUP($BD142,'Jan-25'!$A:$J,8,0)</f>
        <v>0</v>
      </c>
      <c r="CV142" s="106">
        <f>+VLOOKUP($BD142,'Feb-25'!$A:$J,8,0)</f>
        <v>303.60000000000002</v>
      </c>
      <c r="CW142" s="106">
        <f>+VLOOKUP($BD142,'Mar-25'!$A:$J,8,0)</f>
        <v>273.32</v>
      </c>
      <c r="CX142" s="106">
        <f>+VLOOKUP($BD142,'Apr-25'!$A:$J,8,0)</f>
        <v>0</v>
      </c>
      <c r="CY142" s="106">
        <f>+VLOOKUP($BD142,'May-25'!$A:$J,8,0)</f>
        <v>0</v>
      </c>
      <c r="CZ142" s="106">
        <f>+VLOOKUP($BD142,'June-25'!$A:$J,8,0)</f>
        <v>0</v>
      </c>
      <c r="DA142" s="106">
        <f>+VLOOKUP($BD142,'July-25'!$A:$J,8,0)</f>
        <v>0</v>
      </c>
      <c r="DB142" s="106">
        <f>+VLOOKUP($BD142,'Aug-25'!$A:$J,8,0)</f>
        <v>3389.8300000000004</v>
      </c>
      <c r="DC142" s="106">
        <f>+VLOOKUP($BD142,'Sep-25'!$A:$J,8,0)</f>
        <v>0</v>
      </c>
      <c r="DD142" s="106">
        <f>+VLOOKUP($BD142,'Oct-25'!$A:$J,8,0)</f>
        <v>0</v>
      </c>
      <c r="DE142" s="106">
        <f>+VLOOKUP($BD142,'Nov-25'!$A:$J,8,0)</f>
        <v>0</v>
      </c>
      <c r="DF142" s="106">
        <f>+VLOOKUP($BD142,'Dec-25'!$A:$J,8,0)</f>
        <v>0</v>
      </c>
      <c r="DG142" s="106">
        <f t="shared" si="1622"/>
        <v>3966.7500000000005</v>
      </c>
      <c r="DH142" s="118">
        <f t="shared" si="1225"/>
        <v>0</v>
      </c>
      <c r="DI142" s="106">
        <f>+_xlfn.XLOOKUP($CT142,Budget!$A:$A,Budget!CQ:CQ)</f>
        <v>0</v>
      </c>
      <c r="DJ142" s="106">
        <f>+_xlfn.XLOOKUP($CT142,Budget!$A:$A,Budget!CR:CR)</f>
        <v>0</v>
      </c>
      <c r="DK142" s="106">
        <f>+_xlfn.XLOOKUP($CT142,Budget!$A:$A,Budget!CS:CS)</f>
        <v>0</v>
      </c>
      <c r="DL142" s="106">
        <f>+_xlfn.XLOOKUP($CT142,Budget!$A:$A,Budget!CT:CT)</f>
        <v>0</v>
      </c>
      <c r="DM142" s="106">
        <f>+_xlfn.XLOOKUP($CT142,Budget!$A:$A,Budget!CU:CU)</f>
        <v>0</v>
      </c>
      <c r="DN142" s="106">
        <f>+_xlfn.XLOOKUP($CT142,Budget!$A:$A,Budget!CV:CV)</f>
        <v>0</v>
      </c>
      <c r="DO142" s="106">
        <f>+_xlfn.XLOOKUP($CT142,Budget!$A:$A,Budget!CW:CW)</f>
        <v>0</v>
      </c>
      <c r="DP142" s="106">
        <f>+_xlfn.XLOOKUP($CT142,Budget!$A:$A,Budget!CX:CX)</f>
        <v>0</v>
      </c>
      <c r="DQ142" s="106">
        <f>+_xlfn.XLOOKUP($CT142,Budget!$A:$A,Budget!CY:CY)</f>
        <v>0</v>
      </c>
      <c r="DR142" s="106">
        <f>+_xlfn.XLOOKUP($CT142,Budget!$A:$A,Budget!CZ:CZ)</f>
        <v>0</v>
      </c>
      <c r="DS142" s="106">
        <f>+_xlfn.XLOOKUP($CT142,Budget!$A:$A,Budget!DA:DA)</f>
        <v>0</v>
      </c>
      <c r="DT142" s="106">
        <f>+_xlfn.XLOOKUP($CT142,Budget!$A:$A,Budget!DB:DB)</f>
        <v>0</v>
      </c>
      <c r="DU142" s="106">
        <f t="shared" si="1623"/>
        <v>0</v>
      </c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106">
        <f t="shared" si="1624"/>
        <v>0</v>
      </c>
      <c r="EJ142" s="16" t="str">
        <f t="shared" si="1555"/>
        <v>Staff Accommedation -Maintanence</v>
      </c>
      <c r="EK142" s="22">
        <f>+VLOOKUP($BD142,'Jan-25'!$A:$J,10,0)</f>
        <v>0</v>
      </c>
      <c r="EL142" s="22">
        <f>+VLOOKUP($BD142,'Feb-25'!$A:$J,10,0)</f>
        <v>0</v>
      </c>
      <c r="EM142" s="22">
        <f>+VLOOKUP($BD142,'Mar-25'!$A:$J,10,0)</f>
        <v>0</v>
      </c>
      <c r="EN142" s="22">
        <f>+VLOOKUP($BD142,'Apr-25'!$A:$J,10,0)</f>
        <v>0</v>
      </c>
      <c r="EO142" s="22">
        <f>+VLOOKUP($BD142,'May-25'!$A:$J,10,0)</f>
        <v>0</v>
      </c>
      <c r="EP142" s="22">
        <f>+VLOOKUP($BD142,'June-25'!$A:$J,10,0)</f>
        <v>0</v>
      </c>
      <c r="EQ142" s="22">
        <f>+VLOOKUP($BD142,'July-25'!$A:$J,10,0)</f>
        <v>0</v>
      </c>
      <c r="ER142" s="22">
        <f>+VLOOKUP($BD142,'Aug-25'!$A:$J,10,0)</f>
        <v>0</v>
      </c>
      <c r="ES142" s="22">
        <f>+VLOOKUP($BD142,'Sep-25'!$A:$J,10,0)</f>
        <v>0</v>
      </c>
      <c r="ET142" s="22">
        <f>+VLOOKUP($BD142,'Oct-25'!$A:$J,10,0)</f>
        <v>0</v>
      </c>
      <c r="EU142" s="22">
        <f>+VLOOKUP($BD142,'Nov-25'!$A:$J,10,0)</f>
        <v>0</v>
      </c>
      <c r="EV142" s="22">
        <f>+VLOOKUP($BD142,'Dec-25'!$A:$J,10,0)</f>
        <v>0</v>
      </c>
      <c r="EW142" s="22">
        <f t="shared" si="1625"/>
        <v>0</v>
      </c>
      <c r="EX142" s="118" t="e">
        <f t="shared" si="1226"/>
        <v>#DIV/0!</v>
      </c>
      <c r="EY142" s="106">
        <f>+_xlfn.XLOOKUP($EJ142,Budget!$A:$A,Budget!DR:DR)</f>
        <v>0</v>
      </c>
      <c r="EZ142" s="106">
        <f>+_xlfn.XLOOKUP($EJ142,Budget!$A:$A,Budget!DS:DS)</f>
        <v>0</v>
      </c>
      <c r="FA142" s="106">
        <f>+_xlfn.XLOOKUP($EJ142,Budget!$A:$A,Budget!DT:DT)</f>
        <v>0</v>
      </c>
      <c r="FB142" s="106">
        <f>+_xlfn.XLOOKUP($EJ142,Budget!$A:$A,Budget!DU:DU)</f>
        <v>0</v>
      </c>
      <c r="FC142" s="106">
        <f>+_xlfn.XLOOKUP($EJ142,Budget!$A:$A,Budget!DV:DV)</f>
        <v>0</v>
      </c>
      <c r="FD142" s="106">
        <f>+_xlfn.XLOOKUP($EJ142,Budget!$A:$A,Budget!DW:DW)</f>
        <v>0</v>
      </c>
      <c r="FE142" s="106">
        <f>+_xlfn.XLOOKUP($EJ142,Budget!$A:$A,Budget!DX:DX)</f>
        <v>0</v>
      </c>
      <c r="FF142" s="106">
        <f>+_xlfn.XLOOKUP($EJ142,Budget!$A:$A,Budget!DY:DY)</f>
        <v>0</v>
      </c>
      <c r="FG142" s="106">
        <f>+_xlfn.XLOOKUP($EJ142,Budget!$A:$A,Budget!DZ:DZ)</f>
        <v>0</v>
      </c>
      <c r="FH142" s="106">
        <f>+_xlfn.XLOOKUP($EJ142,Budget!$A:$A,Budget!EA:EA)</f>
        <v>0</v>
      </c>
      <c r="FI142" s="106">
        <f>+_xlfn.XLOOKUP($EJ142,Budget!$A:$A,Budget!EB:EB)</f>
        <v>0</v>
      </c>
      <c r="FJ142" s="106">
        <f>+_xlfn.XLOOKUP($EJ142,Budget!$A:$A,Budget!EC:EC)</f>
        <v>0</v>
      </c>
      <c r="FK142" s="106">
        <f t="shared" si="1626"/>
        <v>0</v>
      </c>
    </row>
    <row r="143" spans="1:167" ht="14.45" hidden="1" customHeight="1" outlineLevel="2">
      <c r="A143" s="106">
        <f t="shared" si="1447"/>
        <v>0</v>
      </c>
      <c r="B143" s="106">
        <f t="shared" si="1447"/>
        <v>0</v>
      </c>
      <c r="C143" s="106">
        <f t="shared" si="1447"/>
        <v>0</v>
      </c>
      <c r="D143" s="106">
        <f t="shared" si="1447"/>
        <v>0</v>
      </c>
      <c r="E143" s="106">
        <f t="shared" si="1447"/>
        <v>0</v>
      </c>
      <c r="F143" s="106">
        <f t="shared" si="1447"/>
        <v>0</v>
      </c>
      <c r="G143" s="106">
        <f t="shared" si="1447"/>
        <v>0</v>
      </c>
      <c r="H143" s="106">
        <f t="shared" si="1447"/>
        <v>0</v>
      </c>
      <c r="I143" s="106">
        <f t="shared" si="1447"/>
        <v>0</v>
      </c>
      <c r="J143" s="106">
        <f t="shared" si="1447"/>
        <v>0</v>
      </c>
      <c r="K143" s="106">
        <f t="shared" si="1447"/>
        <v>0</v>
      </c>
      <c r="L143" s="106">
        <f t="shared" si="1447"/>
        <v>0</v>
      </c>
      <c r="M143" s="106">
        <f t="shared" si="1591"/>
        <v>0</v>
      </c>
      <c r="N143" s="16" t="s">
        <v>118</v>
      </c>
      <c r="O143" s="106">
        <f t="shared" si="1592"/>
        <v>0</v>
      </c>
      <c r="P143" s="106">
        <f t="shared" si="1593"/>
        <v>0</v>
      </c>
      <c r="Q143" s="106">
        <f t="shared" si="1594"/>
        <v>0</v>
      </c>
      <c r="R143" s="106">
        <f t="shared" si="1595"/>
        <v>0</v>
      </c>
      <c r="S143" s="106">
        <f t="shared" si="1596"/>
        <v>0</v>
      </c>
      <c r="T143" s="106">
        <f t="shared" si="1597"/>
        <v>0</v>
      </c>
      <c r="U143" s="106">
        <f t="shared" si="1598"/>
        <v>0</v>
      </c>
      <c r="V143" s="106">
        <f t="shared" si="1599"/>
        <v>0</v>
      </c>
      <c r="W143" s="106">
        <f t="shared" si="1600"/>
        <v>0</v>
      </c>
      <c r="X143" s="106">
        <f t="shared" si="1601"/>
        <v>0</v>
      </c>
      <c r="Y143" s="106">
        <f t="shared" si="1602"/>
        <v>0</v>
      </c>
      <c r="Z143" s="106">
        <f t="shared" si="1603"/>
        <v>0</v>
      </c>
      <c r="AA143" s="106">
        <f t="shared" si="1604"/>
        <v>0</v>
      </c>
      <c r="AB143" s="118">
        <f t="shared" si="1223"/>
        <v>0</v>
      </c>
      <c r="AC143" s="106">
        <f t="shared" si="1605"/>
        <v>0</v>
      </c>
      <c r="AD143" s="106">
        <f t="shared" si="1606"/>
        <v>0</v>
      </c>
      <c r="AE143" s="106">
        <f t="shared" si="1607"/>
        <v>0</v>
      </c>
      <c r="AF143" s="106">
        <f t="shared" si="1608"/>
        <v>0</v>
      </c>
      <c r="AG143" s="106">
        <f t="shared" si="1609"/>
        <v>0</v>
      </c>
      <c r="AH143" s="106">
        <f t="shared" si="1610"/>
        <v>0</v>
      </c>
      <c r="AI143" s="106">
        <f t="shared" si="1611"/>
        <v>0</v>
      </c>
      <c r="AJ143" s="106">
        <f t="shared" si="1612"/>
        <v>0</v>
      </c>
      <c r="AK143" s="106">
        <f t="shared" si="1613"/>
        <v>0</v>
      </c>
      <c r="AL143" s="106">
        <f t="shared" si="1614"/>
        <v>0</v>
      </c>
      <c r="AM143" s="106">
        <f t="shared" si="1615"/>
        <v>0</v>
      </c>
      <c r="AN143" s="106">
        <f t="shared" si="1616"/>
        <v>0</v>
      </c>
      <c r="AO143" s="106">
        <f t="shared" si="1617"/>
        <v>0</v>
      </c>
      <c r="AQ143" s="106">
        <v>0</v>
      </c>
      <c r="AR143" s="106">
        <v>0</v>
      </c>
      <c r="AS143" s="106">
        <v>0</v>
      </c>
      <c r="AT143" s="106">
        <v>0</v>
      </c>
      <c r="AU143" s="106">
        <v>0</v>
      </c>
      <c r="AV143" s="106">
        <v>0</v>
      </c>
      <c r="AW143" s="106">
        <v>0</v>
      </c>
      <c r="AX143" s="106">
        <v>0</v>
      </c>
      <c r="AY143" s="106">
        <v>0</v>
      </c>
      <c r="AZ143" s="106">
        <v>0</v>
      </c>
      <c r="BA143" s="106">
        <v>0</v>
      </c>
      <c r="BB143" s="106">
        <v>0</v>
      </c>
      <c r="BC143" s="106">
        <f t="shared" si="1618"/>
        <v>0</v>
      </c>
      <c r="BD143" s="16" t="str">
        <f t="shared" si="1410"/>
        <v>Staff Recruitment Expenses</v>
      </c>
      <c r="BE143" s="106">
        <f>+VLOOKUP($BD143,'Jan-25'!$A:$J,5,0)</f>
        <v>0</v>
      </c>
      <c r="BF143" s="106">
        <f>+VLOOKUP($BD143,'Feb-25'!$A:$J,5,0)</f>
        <v>0</v>
      </c>
      <c r="BG143" s="106">
        <f>+VLOOKUP($BD143,'Mar-25'!$A:$J,5,0)</f>
        <v>0</v>
      </c>
      <c r="BH143" s="106">
        <f>+VLOOKUP($BD143,'Apr-25'!$A:$J,5,0)</f>
        <v>0</v>
      </c>
      <c r="BI143" s="106">
        <f>+VLOOKUP($BD143,'May-25'!$A:$J,5,0)</f>
        <v>0</v>
      </c>
      <c r="BJ143" s="106">
        <f>+VLOOKUP($BD143,'June-25'!$A:$J,5,0)</f>
        <v>0</v>
      </c>
      <c r="BK143" s="106">
        <f>+VLOOKUP($BD143,'July-25'!$A:$J,5,0)</f>
        <v>0</v>
      </c>
      <c r="BL143" s="106">
        <f>+VLOOKUP($BD143,'Aug-25'!$A:$J,5,0)</f>
        <v>0</v>
      </c>
      <c r="BM143" s="106">
        <f>+VLOOKUP($BD143,'Sep-25'!$A:$J,5,0)</f>
        <v>0</v>
      </c>
      <c r="BN143" s="106">
        <f>+VLOOKUP($BD143,'Oct-25'!$A:$J,5,0)</f>
        <v>0</v>
      </c>
      <c r="BO143" s="106">
        <f>+VLOOKUP($BD143,'Nov-25'!$A:$J,5,0)</f>
        <v>0</v>
      </c>
      <c r="BP143" s="106">
        <f>+VLOOKUP($BD143,'Dec-25'!$A:$J,5,0)</f>
        <v>0</v>
      </c>
      <c r="BQ143" s="106">
        <f t="shared" si="1619"/>
        <v>0</v>
      </c>
      <c r="BR143" s="118">
        <f t="shared" si="1224"/>
        <v>0</v>
      </c>
      <c r="BS143" s="106">
        <f>+_xlfn.XLOOKUP($BD143,Budget!$A:$A,Budget!BD:BD)</f>
        <v>0</v>
      </c>
      <c r="BT143" s="106">
        <f>+_xlfn.XLOOKUP($BD143,Budget!$A:$A,Budget!BE:BE)</f>
        <v>0</v>
      </c>
      <c r="BU143" s="106">
        <f>+_xlfn.XLOOKUP($BD143,Budget!$A:$A,Budget!BF:BF)</f>
        <v>0</v>
      </c>
      <c r="BV143" s="106">
        <f>+_xlfn.XLOOKUP($BD143,Budget!$A:$A,Budget!BG:BG)</f>
        <v>0</v>
      </c>
      <c r="BW143" s="106">
        <f>+_xlfn.XLOOKUP($BD143,Budget!$A:$A,Budget!BH:BH)</f>
        <v>0</v>
      </c>
      <c r="BX143" s="106">
        <f>+_xlfn.XLOOKUP($BD143,Budget!$A:$A,Budget!BI:BI)</f>
        <v>0</v>
      </c>
      <c r="BY143" s="106">
        <f>+_xlfn.XLOOKUP($BD143,Budget!$A:$A,Budget!BJ:BJ)</f>
        <v>0</v>
      </c>
      <c r="BZ143" s="106">
        <f>+_xlfn.XLOOKUP($BD143,Budget!$A:$A,Budget!BK:BK)</f>
        <v>0</v>
      </c>
      <c r="CA143" s="106">
        <f>+_xlfn.XLOOKUP($BD143,Budget!$A:$A,Budget!BL:BL)</f>
        <v>0</v>
      </c>
      <c r="CB143" s="106">
        <f>+_xlfn.XLOOKUP($BD143,Budget!$A:$A,Budget!BM:BM)</f>
        <v>0</v>
      </c>
      <c r="CC143" s="106">
        <f>+_xlfn.XLOOKUP($BD143,Budget!$A:$A,Budget!BN:BN)</f>
        <v>0</v>
      </c>
      <c r="CD143" s="106">
        <f>+_xlfn.XLOOKUP($BD143,Budget!$A:$A,Budget!BO:BO)</f>
        <v>0</v>
      </c>
      <c r="CE143" s="106">
        <f t="shared" si="1620"/>
        <v>0</v>
      </c>
      <c r="CF143" s="106"/>
      <c r="CG143" s="106">
        <v>0</v>
      </c>
      <c r="CH143" s="106">
        <v>0</v>
      </c>
      <c r="CI143" s="106">
        <v>0</v>
      </c>
      <c r="CJ143" s="106">
        <v>0</v>
      </c>
      <c r="CK143" s="106">
        <v>0</v>
      </c>
      <c r="CL143" s="106">
        <v>0</v>
      </c>
      <c r="CM143" s="106">
        <v>0</v>
      </c>
      <c r="CN143" s="106">
        <v>0</v>
      </c>
      <c r="CO143" s="106">
        <v>0</v>
      </c>
      <c r="CP143" s="106">
        <v>0</v>
      </c>
      <c r="CQ143" s="106">
        <v>0</v>
      </c>
      <c r="CR143" s="106">
        <v>0</v>
      </c>
      <c r="CS143" s="106">
        <f t="shared" si="1621"/>
        <v>0</v>
      </c>
      <c r="CT143" s="16" t="str">
        <f t="shared" si="1411"/>
        <v>Staff Recruitment Expenses</v>
      </c>
      <c r="CU143" s="106">
        <f>+VLOOKUP($BD143,'Jan-25'!$A:$J,8,0)</f>
        <v>0</v>
      </c>
      <c r="CV143" s="106">
        <f>+VLOOKUP($BD143,'Feb-25'!$A:$J,8,0)</f>
        <v>0</v>
      </c>
      <c r="CW143" s="106">
        <f>+VLOOKUP($BD143,'Mar-25'!$A:$J,8,0)</f>
        <v>0</v>
      </c>
      <c r="CX143" s="106">
        <f>+VLOOKUP($BD143,'Apr-25'!$A:$J,8,0)</f>
        <v>0</v>
      </c>
      <c r="CY143" s="106">
        <f>+VLOOKUP($BD143,'May-25'!$A:$J,8,0)</f>
        <v>0</v>
      </c>
      <c r="CZ143" s="106">
        <f>+VLOOKUP($BD143,'June-25'!$A:$J,8,0)</f>
        <v>0</v>
      </c>
      <c r="DA143" s="106">
        <f>+VLOOKUP($BD143,'July-25'!$A:$J,8,0)</f>
        <v>0</v>
      </c>
      <c r="DB143" s="106">
        <f>+VLOOKUP($BD143,'Aug-25'!$A:$J,8,0)</f>
        <v>0</v>
      </c>
      <c r="DC143" s="106">
        <f>+VLOOKUP($BD143,'Sep-25'!$A:$J,8,0)</f>
        <v>0</v>
      </c>
      <c r="DD143" s="106">
        <f>+VLOOKUP($BD143,'Oct-25'!$A:$J,8,0)</f>
        <v>0</v>
      </c>
      <c r="DE143" s="106">
        <f>+VLOOKUP($BD143,'Nov-25'!$A:$J,8,0)</f>
        <v>0</v>
      </c>
      <c r="DF143" s="106">
        <f>+VLOOKUP($BD143,'Dec-25'!$A:$J,8,0)</f>
        <v>0</v>
      </c>
      <c r="DG143" s="106">
        <f t="shared" si="1622"/>
        <v>0</v>
      </c>
      <c r="DH143" s="118">
        <f t="shared" si="1225"/>
        <v>0</v>
      </c>
      <c r="DI143" s="106">
        <f>+_xlfn.XLOOKUP($CT143,Budget!$A:$A,Budget!CQ:CQ)</f>
        <v>0</v>
      </c>
      <c r="DJ143" s="106">
        <f>+_xlfn.XLOOKUP($CT143,Budget!$A:$A,Budget!CR:CR)</f>
        <v>0</v>
      </c>
      <c r="DK143" s="106">
        <f>+_xlfn.XLOOKUP($CT143,Budget!$A:$A,Budget!CS:CS)</f>
        <v>0</v>
      </c>
      <c r="DL143" s="106">
        <f>+_xlfn.XLOOKUP($CT143,Budget!$A:$A,Budget!CT:CT)</f>
        <v>0</v>
      </c>
      <c r="DM143" s="106">
        <f>+_xlfn.XLOOKUP($CT143,Budget!$A:$A,Budget!CU:CU)</f>
        <v>0</v>
      </c>
      <c r="DN143" s="106">
        <f>+_xlfn.XLOOKUP($CT143,Budget!$A:$A,Budget!CV:CV)</f>
        <v>0</v>
      </c>
      <c r="DO143" s="106">
        <f>+_xlfn.XLOOKUP($CT143,Budget!$A:$A,Budget!CW:CW)</f>
        <v>0</v>
      </c>
      <c r="DP143" s="106">
        <f>+_xlfn.XLOOKUP($CT143,Budget!$A:$A,Budget!CX:CX)</f>
        <v>0</v>
      </c>
      <c r="DQ143" s="106">
        <f>+_xlfn.XLOOKUP($CT143,Budget!$A:$A,Budget!CY:CY)</f>
        <v>0</v>
      </c>
      <c r="DR143" s="106">
        <f>+_xlfn.XLOOKUP($CT143,Budget!$A:$A,Budget!CZ:CZ)</f>
        <v>0</v>
      </c>
      <c r="DS143" s="106">
        <f>+_xlfn.XLOOKUP($CT143,Budget!$A:$A,Budget!DA:DA)</f>
        <v>0</v>
      </c>
      <c r="DT143" s="106">
        <f>+_xlfn.XLOOKUP($CT143,Budget!$A:$A,Budget!DB:DB)</f>
        <v>0</v>
      </c>
      <c r="DU143" s="106">
        <f t="shared" si="1623"/>
        <v>0</v>
      </c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106">
        <f t="shared" si="1624"/>
        <v>0</v>
      </c>
      <c r="EJ143" s="16" t="str">
        <f t="shared" si="1555"/>
        <v>Staff Recruitment Expenses</v>
      </c>
      <c r="EK143" s="22">
        <f>+VLOOKUP($BD143,'Jan-25'!$A:$J,10,0)</f>
        <v>0</v>
      </c>
      <c r="EL143" s="22">
        <f>+VLOOKUP($BD143,'Feb-25'!$A:$J,10,0)</f>
        <v>0</v>
      </c>
      <c r="EM143" s="22">
        <f>+VLOOKUP($BD143,'Mar-25'!$A:$J,10,0)</f>
        <v>0</v>
      </c>
      <c r="EN143" s="22">
        <f>+VLOOKUP($BD143,'Apr-25'!$A:$J,10,0)</f>
        <v>0</v>
      </c>
      <c r="EO143" s="22">
        <f>+VLOOKUP($BD143,'May-25'!$A:$J,10,0)</f>
        <v>0</v>
      </c>
      <c r="EP143" s="22">
        <f>+VLOOKUP($BD143,'June-25'!$A:$J,10,0)</f>
        <v>0</v>
      </c>
      <c r="EQ143" s="22">
        <f>+VLOOKUP($BD143,'July-25'!$A:$J,10,0)</f>
        <v>0</v>
      </c>
      <c r="ER143" s="22">
        <f>+VLOOKUP($BD143,'Aug-25'!$A:$J,10,0)</f>
        <v>0</v>
      </c>
      <c r="ES143" s="22">
        <f>+VLOOKUP($BD143,'Sep-25'!$A:$J,10,0)</f>
        <v>0</v>
      </c>
      <c r="ET143" s="22">
        <f>+VLOOKUP($BD143,'Oct-25'!$A:$J,10,0)</f>
        <v>0</v>
      </c>
      <c r="EU143" s="22">
        <f>+VLOOKUP($BD143,'Nov-25'!$A:$J,10,0)</f>
        <v>0</v>
      </c>
      <c r="EV143" s="22">
        <f>+VLOOKUP($BD143,'Dec-25'!$A:$J,10,0)</f>
        <v>0</v>
      </c>
      <c r="EW143" s="22">
        <f t="shared" si="1625"/>
        <v>0</v>
      </c>
      <c r="EX143" s="118" t="e">
        <f t="shared" si="1226"/>
        <v>#DIV/0!</v>
      </c>
      <c r="EY143" s="106">
        <f>+_xlfn.XLOOKUP($EJ143,Budget!$A:$A,Budget!DR:DR)</f>
        <v>0</v>
      </c>
      <c r="EZ143" s="106">
        <f>+_xlfn.XLOOKUP($EJ143,Budget!$A:$A,Budget!DS:DS)</f>
        <v>0</v>
      </c>
      <c r="FA143" s="106">
        <f>+_xlfn.XLOOKUP($EJ143,Budget!$A:$A,Budget!DT:DT)</f>
        <v>0</v>
      </c>
      <c r="FB143" s="106">
        <f>+_xlfn.XLOOKUP($EJ143,Budget!$A:$A,Budget!DU:DU)</f>
        <v>0</v>
      </c>
      <c r="FC143" s="106">
        <f>+_xlfn.XLOOKUP($EJ143,Budget!$A:$A,Budget!DV:DV)</f>
        <v>0</v>
      </c>
      <c r="FD143" s="106">
        <f>+_xlfn.XLOOKUP($EJ143,Budget!$A:$A,Budget!DW:DW)</f>
        <v>0</v>
      </c>
      <c r="FE143" s="106">
        <f>+_xlfn.XLOOKUP($EJ143,Budget!$A:$A,Budget!DX:DX)</f>
        <v>0</v>
      </c>
      <c r="FF143" s="106">
        <f>+_xlfn.XLOOKUP($EJ143,Budget!$A:$A,Budget!DY:DY)</f>
        <v>0</v>
      </c>
      <c r="FG143" s="106">
        <f>+_xlfn.XLOOKUP($EJ143,Budget!$A:$A,Budget!DZ:DZ)</f>
        <v>0</v>
      </c>
      <c r="FH143" s="106">
        <f>+_xlfn.XLOOKUP($EJ143,Budget!$A:$A,Budget!EA:EA)</f>
        <v>0</v>
      </c>
      <c r="FI143" s="106">
        <f>+_xlfn.XLOOKUP($EJ143,Budget!$A:$A,Budget!EB:EB)</f>
        <v>0</v>
      </c>
      <c r="FJ143" s="106">
        <f>+_xlfn.XLOOKUP($EJ143,Budget!$A:$A,Budget!EC:EC)</f>
        <v>0</v>
      </c>
      <c r="FK143" s="106">
        <f t="shared" si="1626"/>
        <v>0</v>
      </c>
    </row>
    <row r="144" spans="1:167" ht="14.45" hidden="1" customHeight="1" outlineLevel="2">
      <c r="A144" s="106">
        <f t="shared" si="1447"/>
        <v>25509.75</v>
      </c>
      <c r="B144" s="106">
        <f t="shared" si="1447"/>
        <v>25509.75</v>
      </c>
      <c r="C144" s="106">
        <f t="shared" si="1447"/>
        <v>25509.75</v>
      </c>
      <c r="D144" s="106">
        <f t="shared" si="1447"/>
        <v>25509.75</v>
      </c>
      <c r="E144" s="106">
        <f t="shared" si="1447"/>
        <v>25509.75</v>
      </c>
      <c r="F144" s="106">
        <f t="shared" si="1447"/>
        <v>25509.75</v>
      </c>
      <c r="G144" s="106">
        <f t="shared" si="1447"/>
        <v>25509.75</v>
      </c>
      <c r="H144" s="106">
        <f t="shared" si="1447"/>
        <v>25509.75</v>
      </c>
      <c r="I144" s="106">
        <f t="shared" si="1447"/>
        <v>25509.75</v>
      </c>
      <c r="J144" s="106">
        <f t="shared" si="1447"/>
        <v>0</v>
      </c>
      <c r="K144" s="106">
        <f t="shared" si="1447"/>
        <v>0</v>
      </c>
      <c r="L144" s="106">
        <f t="shared" si="1447"/>
        <v>0</v>
      </c>
      <c r="M144" s="106">
        <f t="shared" si="1591"/>
        <v>229587.75</v>
      </c>
      <c r="N144" s="16" t="s">
        <v>119</v>
      </c>
      <c r="O144" s="106">
        <f t="shared" si="1592"/>
        <v>13146.75</v>
      </c>
      <c r="P144" s="106">
        <f t="shared" si="1593"/>
        <v>13146.75</v>
      </c>
      <c r="Q144" s="106">
        <f t="shared" si="1594"/>
        <v>13146.75</v>
      </c>
      <c r="R144" s="106">
        <f t="shared" si="1595"/>
        <v>13146.75</v>
      </c>
      <c r="S144" s="106">
        <f t="shared" si="1596"/>
        <v>65263.4568</v>
      </c>
      <c r="T144" s="106">
        <f t="shared" si="1597"/>
        <v>65263.4568</v>
      </c>
      <c r="U144" s="106">
        <f t="shared" si="1598"/>
        <v>0</v>
      </c>
      <c r="V144" s="106">
        <f t="shared" si="1599"/>
        <v>0</v>
      </c>
      <c r="W144" s="106">
        <f t="shared" si="1600"/>
        <v>289.40000000000003</v>
      </c>
      <c r="X144" s="106">
        <f t="shared" si="1601"/>
        <v>0</v>
      </c>
      <c r="Y144" s="106">
        <f t="shared" si="1602"/>
        <v>0</v>
      </c>
      <c r="Z144" s="106">
        <f t="shared" si="1603"/>
        <v>0</v>
      </c>
      <c r="AA144" s="106">
        <f t="shared" si="1604"/>
        <v>183403.31359999999</v>
      </c>
      <c r="AB144" s="118">
        <f t="shared" si="1223"/>
        <v>-1</v>
      </c>
      <c r="AC144" s="106">
        <f t="shared" si="1605"/>
        <v>16146.75</v>
      </c>
      <c r="AD144" s="106">
        <f t="shared" si="1606"/>
        <v>16146.75</v>
      </c>
      <c r="AE144" s="106">
        <f t="shared" si="1607"/>
        <v>16146.75</v>
      </c>
      <c r="AF144" s="106">
        <f t="shared" si="1608"/>
        <v>16146.75</v>
      </c>
      <c r="AG144" s="106">
        <f t="shared" si="1609"/>
        <v>16146.75</v>
      </c>
      <c r="AH144" s="106">
        <f t="shared" si="1610"/>
        <v>16146.75</v>
      </c>
      <c r="AI144" s="106">
        <f t="shared" si="1611"/>
        <v>16146.75</v>
      </c>
      <c r="AJ144" s="106">
        <f t="shared" si="1612"/>
        <v>16146.75</v>
      </c>
      <c r="AK144" s="106">
        <f t="shared" si="1613"/>
        <v>16146.75</v>
      </c>
      <c r="AL144" s="106">
        <f t="shared" si="1614"/>
        <v>16146.75</v>
      </c>
      <c r="AM144" s="106">
        <f t="shared" si="1615"/>
        <v>16146.75</v>
      </c>
      <c r="AN144" s="106">
        <f t="shared" si="1616"/>
        <v>16146.75</v>
      </c>
      <c r="AO144" s="106">
        <f t="shared" si="1617"/>
        <v>193761</v>
      </c>
      <c r="AQ144" s="106">
        <v>17006.5</v>
      </c>
      <c r="AR144" s="106">
        <v>17006.5</v>
      </c>
      <c r="AS144" s="106">
        <v>17006.5</v>
      </c>
      <c r="AT144" s="106">
        <v>17006.5</v>
      </c>
      <c r="AU144" s="106">
        <v>17006.5</v>
      </c>
      <c r="AV144" s="106">
        <v>17006.5</v>
      </c>
      <c r="AW144" s="106">
        <v>17006.5</v>
      </c>
      <c r="AX144" s="106">
        <v>17006.5</v>
      </c>
      <c r="AY144" s="106">
        <v>17006.5</v>
      </c>
      <c r="AZ144" s="106">
        <v>0</v>
      </c>
      <c r="BA144" s="106">
        <v>0</v>
      </c>
      <c r="BB144" s="106">
        <v>0</v>
      </c>
      <c r="BC144" s="106">
        <f t="shared" si="1618"/>
        <v>153058.5</v>
      </c>
      <c r="BD144" s="16" t="str">
        <f t="shared" si="1410"/>
        <v>Staff Uniform</v>
      </c>
      <c r="BE144" s="106">
        <f>+VLOOKUP($BD144,'Jan-25'!$A:$J,5,0)</f>
        <v>10681.75</v>
      </c>
      <c r="BF144" s="106">
        <f>+VLOOKUP($BD144,'Feb-25'!$A:$J,5,0)</f>
        <v>10681.75</v>
      </c>
      <c r="BG144" s="106">
        <f>+VLOOKUP($BD144,'Mar-25'!$A:$J,5,0)</f>
        <v>0</v>
      </c>
      <c r="BH144" s="106">
        <f>+VLOOKUP($BD144,'Apr-25'!$A:$J,5,0)</f>
        <v>0</v>
      </c>
      <c r="BI144" s="106">
        <f>+VLOOKUP($BD144,'May-25'!$A:$J,5,0)</f>
        <v>43508.9712</v>
      </c>
      <c r="BJ144" s="106">
        <f>+VLOOKUP($BD144,'June-25'!$A:$J,5,0)</f>
        <v>43508.9712</v>
      </c>
      <c r="BK144" s="106">
        <f>+VLOOKUP($BD144,'July-25'!$A:$J,5,0)</f>
        <v>0</v>
      </c>
      <c r="BL144" s="106">
        <f>+VLOOKUP($BD144,'Aug-25'!$A:$J,5,0)</f>
        <v>0</v>
      </c>
      <c r="BM144" s="106">
        <f>+VLOOKUP($BD144,'Sep-25'!$A:$J,5,0)</f>
        <v>0</v>
      </c>
      <c r="BN144" s="106">
        <f>+VLOOKUP($BD144,'Oct-25'!$A:$J,5,0)</f>
        <v>0</v>
      </c>
      <c r="BO144" s="106">
        <f>+VLOOKUP($BD144,'Nov-25'!$A:$J,5,0)</f>
        <v>0</v>
      </c>
      <c r="BP144" s="106">
        <f>+VLOOKUP($BD144,'Dec-25'!$A:$J,5,0)</f>
        <v>0</v>
      </c>
      <c r="BQ144" s="106">
        <f t="shared" si="1619"/>
        <v>108381.4424</v>
      </c>
      <c r="BR144" s="118">
        <f t="shared" si="1224"/>
        <v>-1</v>
      </c>
      <c r="BS144" s="106">
        <f>+_xlfn.XLOOKUP($BD144,Budget!$A:$A,Budget!BD:BD)</f>
        <v>10681.75</v>
      </c>
      <c r="BT144" s="106">
        <f>+_xlfn.XLOOKUP($BD144,Budget!$A:$A,Budget!BE:BE)</f>
        <v>10681.75</v>
      </c>
      <c r="BU144" s="106">
        <f>+_xlfn.XLOOKUP($BD144,Budget!$A:$A,Budget!BF:BF)</f>
        <v>10681.75</v>
      </c>
      <c r="BV144" s="106">
        <f>+_xlfn.XLOOKUP($BD144,Budget!$A:$A,Budget!BG:BG)</f>
        <v>10681.75</v>
      </c>
      <c r="BW144" s="106">
        <f>+_xlfn.XLOOKUP($BD144,Budget!$A:$A,Budget!BH:BH)</f>
        <v>10681.75</v>
      </c>
      <c r="BX144" s="106">
        <f>+_xlfn.XLOOKUP($BD144,Budget!$A:$A,Budget!BI:BI)</f>
        <v>10681.75</v>
      </c>
      <c r="BY144" s="106">
        <f>+_xlfn.XLOOKUP($BD144,Budget!$A:$A,Budget!BJ:BJ)</f>
        <v>10681.75</v>
      </c>
      <c r="BZ144" s="106">
        <f>+_xlfn.XLOOKUP($BD144,Budget!$A:$A,Budget!BK:BK)</f>
        <v>10681.75</v>
      </c>
      <c r="CA144" s="106">
        <f>+_xlfn.XLOOKUP($BD144,Budget!$A:$A,Budget!BL:BL)</f>
        <v>10681.75</v>
      </c>
      <c r="CB144" s="106">
        <f>+_xlfn.XLOOKUP($BD144,Budget!$A:$A,Budget!BM:BM)</f>
        <v>10681.75</v>
      </c>
      <c r="CC144" s="106">
        <f>+_xlfn.XLOOKUP($BD144,Budget!$A:$A,Budget!BN:BN)</f>
        <v>10681.75</v>
      </c>
      <c r="CD144" s="106">
        <f>+_xlfn.XLOOKUP($BD144,Budget!$A:$A,Budget!BO:BO)</f>
        <v>10681.75</v>
      </c>
      <c r="CE144" s="106">
        <f t="shared" si="1620"/>
        <v>128181</v>
      </c>
      <c r="CF144" s="106"/>
      <c r="CG144" s="106">
        <v>8503.25</v>
      </c>
      <c r="CH144" s="106">
        <v>8503.25</v>
      </c>
      <c r="CI144" s="106">
        <v>8503.25</v>
      </c>
      <c r="CJ144" s="106">
        <v>8503.25</v>
      </c>
      <c r="CK144" s="106">
        <v>8503.25</v>
      </c>
      <c r="CL144" s="106">
        <v>8503.25</v>
      </c>
      <c r="CM144" s="106">
        <v>8503.25</v>
      </c>
      <c r="CN144" s="106">
        <v>8503.25</v>
      </c>
      <c r="CO144" s="106">
        <v>8503.25</v>
      </c>
      <c r="CP144" s="106">
        <v>0</v>
      </c>
      <c r="CQ144" s="106">
        <v>0</v>
      </c>
      <c r="CR144" s="106">
        <v>0</v>
      </c>
      <c r="CS144" s="106">
        <f t="shared" si="1621"/>
        <v>76529.25</v>
      </c>
      <c r="CT144" s="16" t="str">
        <f t="shared" si="1411"/>
        <v>Staff Uniform</v>
      </c>
      <c r="CU144" s="106">
        <f>+VLOOKUP($BD144,'Jan-25'!$A:$J,8,0)</f>
        <v>2465</v>
      </c>
      <c r="CV144" s="106">
        <f>+VLOOKUP($BD144,'Feb-25'!$A:$J,8,0)</f>
        <v>2465</v>
      </c>
      <c r="CW144" s="106">
        <f>+VLOOKUP($BD144,'Mar-25'!$A:$J,8,0)</f>
        <v>10681.75</v>
      </c>
      <c r="CX144" s="106">
        <f>+VLOOKUP($BD144,'Apr-25'!$A:$J,8,0)</f>
        <v>10681.75</v>
      </c>
      <c r="CY144" s="106">
        <f>+VLOOKUP($BD144,'May-25'!$A:$J,8,0)</f>
        <v>21754.4856</v>
      </c>
      <c r="CZ144" s="106">
        <f>+VLOOKUP($BD144,'June-25'!$A:$J,8,0)</f>
        <v>21754.4856</v>
      </c>
      <c r="DA144" s="106">
        <f>+VLOOKUP($BD144,'July-25'!$A:$J,8,0)</f>
        <v>0</v>
      </c>
      <c r="DB144" s="106">
        <f>+VLOOKUP($BD144,'Aug-25'!$A:$J,8,0)</f>
        <v>0</v>
      </c>
      <c r="DC144" s="106">
        <f>+VLOOKUP($BD144,'Sep-25'!$A:$J,8,0)</f>
        <v>289.40000000000003</v>
      </c>
      <c r="DD144" s="106">
        <f>+VLOOKUP($BD144,'Oct-25'!$A:$J,8,0)</f>
        <v>0</v>
      </c>
      <c r="DE144" s="106">
        <f>+VLOOKUP($BD144,'Nov-25'!$A:$J,8,0)</f>
        <v>0</v>
      </c>
      <c r="DF144" s="106">
        <f>+VLOOKUP($BD144,'Dec-25'!$A:$J,8,0)</f>
        <v>0</v>
      </c>
      <c r="DG144" s="106">
        <f t="shared" si="1622"/>
        <v>70091.871199999994</v>
      </c>
      <c r="DH144" s="118">
        <f t="shared" si="1225"/>
        <v>-1</v>
      </c>
      <c r="DI144" s="106">
        <f>+_xlfn.XLOOKUP($CT144,Budget!$A:$A,Budget!CQ:CQ)</f>
        <v>2465</v>
      </c>
      <c r="DJ144" s="106">
        <f>+_xlfn.XLOOKUP($CT144,Budget!$A:$A,Budget!CR:CR)</f>
        <v>2465</v>
      </c>
      <c r="DK144" s="106">
        <f>+_xlfn.XLOOKUP($CT144,Budget!$A:$A,Budget!CS:CS)</f>
        <v>2465</v>
      </c>
      <c r="DL144" s="106">
        <f>+_xlfn.XLOOKUP($CT144,Budget!$A:$A,Budget!CT:CT)</f>
        <v>2465</v>
      </c>
      <c r="DM144" s="106">
        <f>+_xlfn.XLOOKUP($CT144,Budget!$A:$A,Budget!CU:CU)</f>
        <v>2465</v>
      </c>
      <c r="DN144" s="106">
        <f>+_xlfn.XLOOKUP($CT144,Budget!$A:$A,Budget!CV:CV)</f>
        <v>2465</v>
      </c>
      <c r="DO144" s="106">
        <f>+_xlfn.XLOOKUP($CT144,Budget!$A:$A,Budget!CW:CW)</f>
        <v>2465</v>
      </c>
      <c r="DP144" s="106">
        <f>+_xlfn.XLOOKUP($CT144,Budget!$A:$A,Budget!CX:CX)</f>
        <v>2465</v>
      </c>
      <c r="DQ144" s="106">
        <f>+_xlfn.XLOOKUP($CT144,Budget!$A:$A,Budget!CY:CY)</f>
        <v>2465</v>
      </c>
      <c r="DR144" s="106">
        <f>+_xlfn.XLOOKUP($CT144,Budget!$A:$A,Budget!CZ:CZ)</f>
        <v>2465</v>
      </c>
      <c r="DS144" s="106">
        <f>+_xlfn.XLOOKUP($CT144,Budget!$A:$A,Budget!DA:DA)</f>
        <v>2465</v>
      </c>
      <c r="DT144" s="106">
        <f>+_xlfn.XLOOKUP($CT144,Budget!$A:$A,Budget!DB:DB)</f>
        <v>2465</v>
      </c>
      <c r="DU144" s="106">
        <f t="shared" si="1623"/>
        <v>29580</v>
      </c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106">
        <f t="shared" si="1624"/>
        <v>0</v>
      </c>
      <c r="EJ144" s="16" t="str">
        <f t="shared" si="1555"/>
        <v>Staff Uniform</v>
      </c>
      <c r="EK144" s="22">
        <f>+VLOOKUP($BD144,'Jan-25'!$A:$J,10,0)</f>
        <v>0</v>
      </c>
      <c r="EL144" s="22">
        <f>+VLOOKUP($BD144,'Feb-25'!$A:$J,10,0)</f>
        <v>0</v>
      </c>
      <c r="EM144" s="22">
        <f>+VLOOKUP($BD144,'Mar-25'!$A:$J,10,0)</f>
        <v>2465</v>
      </c>
      <c r="EN144" s="22">
        <f>+VLOOKUP($BD144,'Apr-25'!$A:$J,10,0)</f>
        <v>2465</v>
      </c>
      <c r="EO144" s="22">
        <f>+VLOOKUP($BD144,'May-25'!$A:$J,10,0)</f>
        <v>0</v>
      </c>
      <c r="EP144" s="22">
        <f>+VLOOKUP($BD144,'June-25'!$A:$J,10,0)</f>
        <v>0</v>
      </c>
      <c r="EQ144" s="22">
        <f>+VLOOKUP($BD144,'July-25'!$A:$J,10,0)</f>
        <v>0</v>
      </c>
      <c r="ER144" s="22">
        <f>+VLOOKUP($BD144,'Aug-25'!$A:$J,10,0)</f>
        <v>0</v>
      </c>
      <c r="ES144" s="22">
        <f>+VLOOKUP($BD144,'Sep-25'!$A:$J,10,0)</f>
        <v>0</v>
      </c>
      <c r="ET144" s="22">
        <f>+VLOOKUP($BD144,'Oct-25'!$A:$J,10,0)</f>
        <v>0</v>
      </c>
      <c r="EU144" s="22">
        <f>+VLOOKUP($BD144,'Nov-25'!$A:$J,10,0)</f>
        <v>0</v>
      </c>
      <c r="EV144" s="22">
        <f>+VLOOKUP($BD144,'Dec-25'!$A:$J,10,0)</f>
        <v>0</v>
      </c>
      <c r="EW144" s="22">
        <f t="shared" si="1625"/>
        <v>4930</v>
      </c>
      <c r="EX144" s="118">
        <f t="shared" si="1226"/>
        <v>-1</v>
      </c>
      <c r="EY144" s="106">
        <f>+_xlfn.XLOOKUP($EJ144,Budget!$A:$A,Budget!DR:DR)</f>
        <v>3000</v>
      </c>
      <c r="EZ144" s="106">
        <f>+_xlfn.XLOOKUP($EJ144,Budget!$A:$A,Budget!DS:DS)</f>
        <v>3000</v>
      </c>
      <c r="FA144" s="106">
        <f>+_xlfn.XLOOKUP($EJ144,Budget!$A:$A,Budget!DT:DT)</f>
        <v>3000</v>
      </c>
      <c r="FB144" s="106">
        <f>+_xlfn.XLOOKUP($EJ144,Budget!$A:$A,Budget!DU:DU)</f>
        <v>3000</v>
      </c>
      <c r="FC144" s="106">
        <f>+_xlfn.XLOOKUP($EJ144,Budget!$A:$A,Budget!DV:DV)</f>
        <v>3000</v>
      </c>
      <c r="FD144" s="106">
        <f>+_xlfn.XLOOKUP($EJ144,Budget!$A:$A,Budget!DW:DW)</f>
        <v>3000</v>
      </c>
      <c r="FE144" s="106">
        <f>+_xlfn.XLOOKUP($EJ144,Budget!$A:$A,Budget!DX:DX)</f>
        <v>3000</v>
      </c>
      <c r="FF144" s="106">
        <f>+_xlfn.XLOOKUP($EJ144,Budget!$A:$A,Budget!DY:DY)</f>
        <v>3000</v>
      </c>
      <c r="FG144" s="106">
        <f>+_xlfn.XLOOKUP($EJ144,Budget!$A:$A,Budget!DZ:DZ)</f>
        <v>3000</v>
      </c>
      <c r="FH144" s="106">
        <f>+_xlfn.XLOOKUP($EJ144,Budget!$A:$A,Budget!EA:EA)</f>
        <v>3000</v>
      </c>
      <c r="FI144" s="106">
        <f>+_xlfn.XLOOKUP($EJ144,Budget!$A:$A,Budget!EB:EB)</f>
        <v>3000</v>
      </c>
      <c r="FJ144" s="106">
        <f>+_xlfn.XLOOKUP($EJ144,Budget!$A:$A,Budget!EC:EC)</f>
        <v>3000</v>
      </c>
      <c r="FK144" s="106">
        <f t="shared" si="1626"/>
        <v>36000</v>
      </c>
    </row>
    <row r="145" spans="1:167" ht="14.45" hidden="1" customHeight="1" outlineLevel="2">
      <c r="A145" s="106">
        <f t="shared" si="1447"/>
        <v>975.6</v>
      </c>
      <c r="B145" s="106">
        <f t="shared" si="1447"/>
        <v>0</v>
      </c>
      <c r="C145" s="106">
        <f t="shared" si="1447"/>
        <v>834.2</v>
      </c>
      <c r="D145" s="106">
        <f t="shared" si="1447"/>
        <v>4000</v>
      </c>
      <c r="E145" s="106">
        <f t="shared" si="1447"/>
        <v>8373.94</v>
      </c>
      <c r="F145" s="106">
        <f t="shared" si="1447"/>
        <v>0</v>
      </c>
      <c r="G145" s="106">
        <f t="shared" si="1447"/>
        <v>0</v>
      </c>
      <c r="H145" s="106">
        <f t="shared" si="1447"/>
        <v>0</v>
      </c>
      <c r="I145" s="106">
        <f t="shared" si="1447"/>
        <v>4021.6000000000004</v>
      </c>
      <c r="J145" s="106">
        <f t="shared" si="1447"/>
        <v>12501.8</v>
      </c>
      <c r="K145" s="106">
        <f t="shared" si="1447"/>
        <v>0</v>
      </c>
      <c r="L145" s="106">
        <f t="shared" si="1447"/>
        <v>0</v>
      </c>
      <c r="M145" s="106">
        <f t="shared" si="1591"/>
        <v>30707.140000000003</v>
      </c>
      <c r="N145" s="16" t="s">
        <v>120</v>
      </c>
      <c r="O145" s="106">
        <f t="shared" si="1592"/>
        <v>450</v>
      </c>
      <c r="P145" s="106">
        <f t="shared" si="1593"/>
        <v>0</v>
      </c>
      <c r="Q145" s="106">
        <f t="shared" si="1594"/>
        <v>0</v>
      </c>
      <c r="R145" s="106">
        <f t="shared" si="1595"/>
        <v>0</v>
      </c>
      <c r="S145" s="106">
        <f t="shared" si="1596"/>
        <v>0</v>
      </c>
      <c r="T145" s="106">
        <f t="shared" si="1597"/>
        <v>0</v>
      </c>
      <c r="U145" s="106">
        <f t="shared" si="1598"/>
        <v>0</v>
      </c>
      <c r="V145" s="106">
        <f t="shared" si="1599"/>
        <v>0</v>
      </c>
      <c r="W145" s="106">
        <f t="shared" si="1600"/>
        <v>19804.599999999999</v>
      </c>
      <c r="X145" s="106">
        <f t="shared" si="1601"/>
        <v>5000</v>
      </c>
      <c r="Y145" s="106">
        <f t="shared" si="1602"/>
        <v>0</v>
      </c>
      <c r="Z145" s="106">
        <f t="shared" si="1603"/>
        <v>0</v>
      </c>
      <c r="AA145" s="106">
        <f t="shared" si="1604"/>
        <v>25254.6</v>
      </c>
      <c r="AB145" s="118">
        <f t="shared" si="1223"/>
        <v>-0.91503923535311815</v>
      </c>
      <c r="AC145" s="106">
        <f t="shared" si="1605"/>
        <v>4309.0277777777783</v>
      </c>
      <c r="AD145" s="106">
        <f t="shared" si="1606"/>
        <v>4309.0277777777783</v>
      </c>
      <c r="AE145" s="106">
        <f t="shared" si="1607"/>
        <v>9559.0277777777756</v>
      </c>
      <c r="AF145" s="106">
        <f t="shared" si="1608"/>
        <v>16559.027777777777</v>
      </c>
      <c r="AG145" s="106">
        <f t="shared" si="1609"/>
        <v>4309.0277777777783</v>
      </c>
      <c r="AH145" s="106">
        <f t="shared" si="1610"/>
        <v>5184.0277777777774</v>
      </c>
      <c r="AI145" s="106">
        <f t="shared" si="1611"/>
        <v>4309.0277777777783</v>
      </c>
      <c r="AJ145" s="106">
        <f t="shared" si="1612"/>
        <v>4309.0277777777783</v>
      </c>
      <c r="AK145" s="106">
        <f t="shared" si="1613"/>
        <v>9559.0277777777756</v>
      </c>
      <c r="AL145" s="106">
        <f t="shared" si="1614"/>
        <v>58850.694444444445</v>
      </c>
      <c r="AM145" s="106">
        <f t="shared" si="1615"/>
        <v>4309.0277777777783</v>
      </c>
      <c r="AN145" s="106">
        <f t="shared" si="1616"/>
        <v>15184.027777777779</v>
      </c>
      <c r="AO145" s="106">
        <f t="shared" si="1617"/>
        <v>140750</v>
      </c>
      <c r="AQ145" s="106">
        <v>0</v>
      </c>
      <c r="AR145" s="106">
        <v>0</v>
      </c>
      <c r="AS145" s="106">
        <v>0</v>
      </c>
      <c r="AT145" s="106">
        <v>0</v>
      </c>
      <c r="AU145" s="106">
        <v>6115.96</v>
      </c>
      <c r="AV145" s="106">
        <v>0</v>
      </c>
      <c r="AW145" s="106">
        <v>0</v>
      </c>
      <c r="AX145" s="106">
        <v>0</v>
      </c>
      <c r="AY145" s="106">
        <v>0</v>
      </c>
      <c r="AZ145" s="106">
        <v>8000</v>
      </c>
      <c r="BA145" s="106">
        <v>0</v>
      </c>
      <c r="BB145" s="106">
        <v>0</v>
      </c>
      <c r="BC145" s="106">
        <f t="shared" si="1618"/>
        <v>14115.96</v>
      </c>
      <c r="BD145" s="16" t="str">
        <f t="shared" si="1410"/>
        <v>Staff Welfare Expenses</v>
      </c>
      <c r="BE145" s="106">
        <f>+VLOOKUP($BD145,'Jan-25'!$A:$J,5,0)</f>
        <v>300</v>
      </c>
      <c r="BF145" s="106">
        <f>+VLOOKUP($BD145,'Feb-25'!$A:$J,5,0)</f>
        <v>0</v>
      </c>
      <c r="BG145" s="106">
        <f>+VLOOKUP($BD145,'Mar-25'!$A:$J,5,0)</f>
        <v>0</v>
      </c>
      <c r="BH145" s="106">
        <f>+VLOOKUP($BD145,'Apr-25'!$A:$J,5,0)</f>
        <v>0</v>
      </c>
      <c r="BI145" s="106">
        <f>+VLOOKUP($BD145,'May-25'!$A:$J,5,0)</f>
        <v>0</v>
      </c>
      <c r="BJ145" s="106">
        <f>+VLOOKUP($BD145,'June-25'!$A:$J,5,0)</f>
        <v>0</v>
      </c>
      <c r="BK145" s="106">
        <f>+VLOOKUP($BD145,'July-25'!$A:$J,5,0)</f>
        <v>0</v>
      </c>
      <c r="BL145" s="106">
        <f>+VLOOKUP($BD145,'Aug-25'!$A:$J,5,0)</f>
        <v>0</v>
      </c>
      <c r="BM145" s="106">
        <f>+VLOOKUP($BD145,'Sep-25'!$A:$J,5,0)</f>
        <v>0</v>
      </c>
      <c r="BN145" s="106">
        <f>+VLOOKUP($BD145,'Oct-25'!$A:$J,5,0)</f>
        <v>0</v>
      </c>
      <c r="BO145" s="106">
        <f>+VLOOKUP($BD145,'Nov-25'!$A:$J,5,0)</f>
        <v>0</v>
      </c>
      <c r="BP145" s="106">
        <f>+VLOOKUP($BD145,'Dec-25'!$A:$J,5,0)</f>
        <v>0</v>
      </c>
      <c r="BQ145" s="106">
        <f t="shared" si="1619"/>
        <v>300</v>
      </c>
      <c r="BR145" s="118">
        <f t="shared" si="1224"/>
        <v>-1</v>
      </c>
      <c r="BS145" s="106">
        <f>+_xlfn.XLOOKUP($BD145,Budget!$A:$A,Budget!BD:BD)</f>
        <v>2572.9166666666665</v>
      </c>
      <c r="BT145" s="106">
        <f>+_xlfn.XLOOKUP($BD145,Budget!$A:$A,Budget!BE:BE)</f>
        <v>2572.9166666666665</v>
      </c>
      <c r="BU145" s="106">
        <f>+_xlfn.XLOOKUP($BD145,Budget!$A:$A,Budget!BF:BF)</f>
        <v>5822.9166666666661</v>
      </c>
      <c r="BV145" s="106">
        <f>+_xlfn.XLOOKUP($BD145,Budget!$A:$A,Budget!BG:BG)</f>
        <v>10156.25</v>
      </c>
      <c r="BW145" s="106">
        <f>+_xlfn.XLOOKUP($BD145,Budget!$A:$A,Budget!BH:BH)</f>
        <v>2572.9166666666665</v>
      </c>
      <c r="BX145" s="106">
        <f>+_xlfn.XLOOKUP($BD145,Budget!$A:$A,Budget!BI:BI)</f>
        <v>3114.583333333333</v>
      </c>
      <c r="BY145" s="106">
        <f>+_xlfn.XLOOKUP($BD145,Budget!$A:$A,Budget!BJ:BJ)</f>
        <v>2572.9166666666665</v>
      </c>
      <c r="BZ145" s="106">
        <f>+_xlfn.XLOOKUP($BD145,Budget!$A:$A,Budget!BK:BK)</f>
        <v>2572.9166666666665</v>
      </c>
      <c r="CA145" s="106">
        <f>+_xlfn.XLOOKUP($BD145,Budget!$A:$A,Budget!BL:BL)</f>
        <v>5822.9166666666661</v>
      </c>
      <c r="CB145" s="106">
        <f>+_xlfn.XLOOKUP($BD145,Budget!$A:$A,Budget!BM:BM)</f>
        <v>44281.25</v>
      </c>
      <c r="CC145" s="106">
        <f>+_xlfn.XLOOKUP($BD145,Budget!$A:$A,Budget!BN:BN)</f>
        <v>2572.9166666666665</v>
      </c>
      <c r="CD145" s="106">
        <f>+_xlfn.XLOOKUP($BD145,Budget!$A:$A,Budget!BO:BO)</f>
        <v>3114.583333333333</v>
      </c>
      <c r="CE145" s="106">
        <f t="shared" si="1620"/>
        <v>87750</v>
      </c>
      <c r="CF145" s="106"/>
      <c r="CG145" s="106">
        <v>975.6</v>
      </c>
      <c r="CH145" s="106">
        <v>0</v>
      </c>
      <c r="CI145" s="106">
        <v>834.2</v>
      </c>
      <c r="CJ145" s="106">
        <v>4000</v>
      </c>
      <c r="CK145" s="106">
        <v>2257.98</v>
      </c>
      <c r="CL145" s="106">
        <v>0</v>
      </c>
      <c r="CM145" s="106">
        <v>0</v>
      </c>
      <c r="CN145" s="106">
        <v>0</v>
      </c>
      <c r="CO145" s="106">
        <v>4021.6000000000004</v>
      </c>
      <c r="CP145" s="106">
        <v>4501.8</v>
      </c>
      <c r="CQ145" s="106">
        <v>0</v>
      </c>
      <c r="CR145" s="106">
        <v>0</v>
      </c>
      <c r="CS145" s="106">
        <f t="shared" si="1621"/>
        <v>16591.18</v>
      </c>
      <c r="CT145" s="16" t="str">
        <f t="shared" si="1411"/>
        <v>Staff Welfare Expenses</v>
      </c>
      <c r="CU145" s="106">
        <f>+VLOOKUP($BD145,'Jan-25'!$A:$J,8,0)</f>
        <v>150</v>
      </c>
      <c r="CV145" s="106">
        <f>+VLOOKUP($BD145,'Feb-25'!$A:$J,8,0)</f>
        <v>0</v>
      </c>
      <c r="CW145" s="106">
        <f>+VLOOKUP($BD145,'Mar-25'!$A:$J,8,0)</f>
        <v>0</v>
      </c>
      <c r="CX145" s="106">
        <f>+VLOOKUP($BD145,'Apr-25'!$A:$J,8,0)</f>
        <v>0</v>
      </c>
      <c r="CY145" s="106">
        <f>+VLOOKUP($BD145,'May-25'!$A:$J,8,0)</f>
        <v>0</v>
      </c>
      <c r="CZ145" s="106">
        <f>+VLOOKUP($BD145,'June-25'!$A:$J,8,0)</f>
        <v>0</v>
      </c>
      <c r="DA145" s="106">
        <f>+VLOOKUP($BD145,'July-25'!$A:$J,8,0)</f>
        <v>0</v>
      </c>
      <c r="DB145" s="106">
        <f>+VLOOKUP($BD145,'Aug-25'!$A:$J,8,0)</f>
        <v>0</v>
      </c>
      <c r="DC145" s="106">
        <f>+VLOOKUP($BD145,'Sep-25'!$A:$J,8,0)</f>
        <v>8883</v>
      </c>
      <c r="DD145" s="106">
        <f>+VLOOKUP($BD145,'Oct-25'!$A:$J,8,0)</f>
        <v>5000</v>
      </c>
      <c r="DE145" s="106">
        <f>+VLOOKUP($BD145,'Nov-25'!$A:$J,8,0)</f>
        <v>0</v>
      </c>
      <c r="DF145" s="106">
        <f>+VLOOKUP($BD145,'Dec-25'!$A:$J,8,0)</f>
        <v>0</v>
      </c>
      <c r="DG145" s="106">
        <f t="shared" si="1622"/>
        <v>14033</v>
      </c>
      <c r="DH145" s="118">
        <f t="shared" si="1225"/>
        <v>2.4615384615384612</v>
      </c>
      <c r="DI145" s="106">
        <f>+_xlfn.XLOOKUP($CT145,Budget!$A:$A,Budget!CQ:CQ)</f>
        <v>1444.4444444444446</v>
      </c>
      <c r="DJ145" s="106">
        <f>+_xlfn.XLOOKUP($CT145,Budget!$A:$A,Budget!CR:CR)</f>
        <v>1444.4444444444446</v>
      </c>
      <c r="DK145" s="106">
        <f>+_xlfn.XLOOKUP($CT145,Budget!$A:$A,Budget!CS:CS)</f>
        <v>2444.4444444444443</v>
      </c>
      <c r="DL145" s="106">
        <f>+_xlfn.XLOOKUP($CT145,Budget!$A:$A,Budget!CT:CT)</f>
        <v>3777.7777777777783</v>
      </c>
      <c r="DM145" s="106">
        <f>+_xlfn.XLOOKUP($CT145,Budget!$A:$A,Budget!CU:CU)</f>
        <v>1444.4444444444446</v>
      </c>
      <c r="DN145" s="106">
        <f>+_xlfn.XLOOKUP($CT145,Budget!$A:$A,Budget!CV:CV)</f>
        <v>1611.1111111111113</v>
      </c>
      <c r="DO145" s="106">
        <f>+_xlfn.XLOOKUP($CT145,Budget!$A:$A,Budget!CW:CW)</f>
        <v>1444.4444444444446</v>
      </c>
      <c r="DP145" s="106">
        <f>+_xlfn.XLOOKUP($CT145,Budget!$A:$A,Budget!CX:CX)</f>
        <v>1444.4444444444446</v>
      </c>
      <c r="DQ145" s="106">
        <f>+_xlfn.XLOOKUP($CT145,Budget!$A:$A,Budget!CY:CY)</f>
        <v>2444.4444444444443</v>
      </c>
      <c r="DR145" s="106">
        <f>+_xlfn.XLOOKUP($CT145,Budget!$A:$A,Budget!CZ:CZ)</f>
        <v>1444.4444444444446</v>
      </c>
      <c r="DS145" s="106">
        <f>+_xlfn.XLOOKUP($CT145,Budget!$A:$A,Budget!DA:DA)</f>
        <v>1444.4444444444446</v>
      </c>
      <c r="DT145" s="106">
        <f>+_xlfn.XLOOKUP($CT145,Budget!$A:$A,Budget!DB:DB)</f>
        <v>11611.111111111111</v>
      </c>
      <c r="DU145" s="106">
        <f t="shared" si="1623"/>
        <v>32000.000000000007</v>
      </c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106">
        <f t="shared" si="1624"/>
        <v>0</v>
      </c>
      <c r="EJ145" s="16" t="str">
        <f t="shared" si="1555"/>
        <v>Staff Welfare Expenses</v>
      </c>
      <c r="EK145" s="22">
        <f>+VLOOKUP($BD145,'Jan-25'!$A:$J,10,0)</f>
        <v>0</v>
      </c>
      <c r="EL145" s="22">
        <f>+VLOOKUP($BD145,'Feb-25'!$A:$J,10,0)</f>
        <v>0</v>
      </c>
      <c r="EM145" s="22">
        <f>+VLOOKUP($BD145,'Mar-25'!$A:$J,10,0)</f>
        <v>0</v>
      </c>
      <c r="EN145" s="22">
        <f>+VLOOKUP($BD145,'Apr-25'!$A:$J,10,0)</f>
        <v>0</v>
      </c>
      <c r="EO145" s="22">
        <f>+VLOOKUP($BD145,'May-25'!$A:$J,10,0)</f>
        <v>0</v>
      </c>
      <c r="EP145" s="22">
        <f>+VLOOKUP($BD145,'June-25'!$A:$J,10,0)</f>
        <v>0</v>
      </c>
      <c r="EQ145" s="22">
        <f>+VLOOKUP($BD145,'July-25'!$A:$J,10,0)</f>
        <v>0</v>
      </c>
      <c r="ER145" s="22">
        <f>+VLOOKUP($BD145,'Aug-25'!$A:$J,10,0)</f>
        <v>0</v>
      </c>
      <c r="ES145" s="22">
        <f>+VLOOKUP($BD145,'Sep-25'!$A:$J,10,0)</f>
        <v>10921.6</v>
      </c>
      <c r="ET145" s="22">
        <f>+VLOOKUP($BD145,'Oct-25'!$A:$J,10,0)</f>
        <v>0</v>
      </c>
      <c r="EU145" s="22">
        <f>+VLOOKUP($BD145,'Nov-25'!$A:$J,10,0)</f>
        <v>0</v>
      </c>
      <c r="EV145" s="22">
        <f>+VLOOKUP($BD145,'Dec-25'!$A:$J,10,0)</f>
        <v>0</v>
      </c>
      <c r="EW145" s="22">
        <f t="shared" si="1625"/>
        <v>10921.6</v>
      </c>
      <c r="EX145" s="118">
        <f t="shared" si="1226"/>
        <v>7.4554322580645165</v>
      </c>
      <c r="EY145" s="106">
        <f>+_xlfn.XLOOKUP($EJ145,Budget!$A:$A,Budget!DR:DR)</f>
        <v>291.66666666666669</v>
      </c>
      <c r="EZ145" s="106">
        <f>+_xlfn.XLOOKUP($EJ145,Budget!$A:$A,Budget!DS:DS)</f>
        <v>291.66666666666669</v>
      </c>
      <c r="FA145" s="106">
        <f>+_xlfn.XLOOKUP($EJ145,Budget!$A:$A,Budget!DT:DT)</f>
        <v>1291.6666666666667</v>
      </c>
      <c r="FB145" s="106">
        <f>+_xlfn.XLOOKUP($EJ145,Budget!$A:$A,Budget!DU:DU)</f>
        <v>2625</v>
      </c>
      <c r="FC145" s="106">
        <f>+_xlfn.XLOOKUP($EJ145,Budget!$A:$A,Budget!DV:DV)</f>
        <v>291.66666666666669</v>
      </c>
      <c r="FD145" s="106">
        <f>+_xlfn.XLOOKUP($EJ145,Budget!$A:$A,Budget!DW:DW)</f>
        <v>458.33333333333337</v>
      </c>
      <c r="FE145" s="106">
        <f>+_xlfn.XLOOKUP($EJ145,Budget!$A:$A,Budget!DX:DX)</f>
        <v>291.66666666666669</v>
      </c>
      <c r="FF145" s="106">
        <f>+_xlfn.XLOOKUP($EJ145,Budget!$A:$A,Budget!DY:DY)</f>
        <v>291.66666666666669</v>
      </c>
      <c r="FG145" s="106">
        <f>+_xlfn.XLOOKUP($EJ145,Budget!$A:$A,Budget!DZ:DZ)</f>
        <v>1291.6666666666667</v>
      </c>
      <c r="FH145" s="106">
        <f>+_xlfn.XLOOKUP($EJ145,Budget!$A:$A,Budget!EA:EA)</f>
        <v>13125</v>
      </c>
      <c r="FI145" s="106">
        <f>+_xlfn.XLOOKUP($EJ145,Budget!$A:$A,Budget!EB:EB)</f>
        <v>291.66666666666669</v>
      </c>
      <c r="FJ145" s="106">
        <f>+_xlfn.XLOOKUP($EJ145,Budget!$A:$A,Budget!EC:EC)</f>
        <v>458.33333333333337</v>
      </c>
      <c r="FK145" s="106">
        <f t="shared" si="1626"/>
        <v>21000</v>
      </c>
    </row>
    <row r="146" spans="1:167" ht="14.45" hidden="1" customHeight="1" outlineLevel="1" collapsed="1">
      <c r="A146" s="58">
        <f t="shared" ref="A146:M146" si="1627">+SUM(A147:A149)</f>
        <v>0</v>
      </c>
      <c r="B146" s="58">
        <f t="shared" si="1627"/>
        <v>0</v>
      </c>
      <c r="C146" s="58">
        <f t="shared" si="1627"/>
        <v>0</v>
      </c>
      <c r="D146" s="58">
        <f t="shared" si="1627"/>
        <v>0</v>
      </c>
      <c r="E146" s="58">
        <f t="shared" si="1627"/>
        <v>0</v>
      </c>
      <c r="F146" s="58">
        <f t="shared" si="1627"/>
        <v>0</v>
      </c>
      <c r="G146" s="58">
        <f t="shared" si="1627"/>
        <v>0</v>
      </c>
      <c r="H146" s="58">
        <f t="shared" si="1627"/>
        <v>0</v>
      </c>
      <c r="I146" s="58">
        <f t="shared" si="1627"/>
        <v>0</v>
      </c>
      <c r="J146" s="58">
        <f t="shared" si="1627"/>
        <v>0</v>
      </c>
      <c r="K146" s="58">
        <f t="shared" si="1627"/>
        <v>0</v>
      </c>
      <c r="L146" s="58">
        <f t="shared" si="1627"/>
        <v>117</v>
      </c>
      <c r="M146" s="58">
        <f t="shared" si="1627"/>
        <v>117</v>
      </c>
      <c r="N146" s="20" t="s">
        <v>121</v>
      </c>
      <c r="O146" s="58">
        <f t="shared" ref="O146" si="1628">+SUM(O147:O149)</f>
        <v>0</v>
      </c>
      <c r="P146" s="58">
        <f t="shared" ref="P146" si="1629">+SUM(P147:P149)</f>
        <v>0</v>
      </c>
      <c r="Q146" s="58">
        <f t="shared" ref="Q146" si="1630">+SUM(Q147:Q149)</f>
        <v>0</v>
      </c>
      <c r="R146" s="58">
        <f t="shared" ref="R146" si="1631">+SUM(R147:R149)</f>
        <v>0</v>
      </c>
      <c r="S146" s="58">
        <f t="shared" ref="S146" si="1632">+SUM(S147:S149)</f>
        <v>0</v>
      </c>
      <c r="T146" s="58">
        <f t="shared" ref="T146" si="1633">+SUM(T147:T149)</f>
        <v>0</v>
      </c>
      <c r="U146" s="58">
        <f t="shared" ref="U146" si="1634">+SUM(U147:U149)</f>
        <v>0</v>
      </c>
      <c r="V146" s="58">
        <f t="shared" ref="V146" si="1635">+SUM(V147:V149)</f>
        <v>0</v>
      </c>
      <c r="W146" s="58">
        <f t="shared" ref="W146" si="1636">+SUM(W147:W149)</f>
        <v>0</v>
      </c>
      <c r="X146" s="58">
        <f t="shared" ref="X146" si="1637">+SUM(X147:X149)</f>
        <v>0</v>
      </c>
      <c r="Y146" s="58">
        <f t="shared" ref="Y146" si="1638">+SUM(Y147:Y149)</f>
        <v>0</v>
      </c>
      <c r="Z146" s="58">
        <f t="shared" ref="Z146" si="1639">+SUM(Z147:Z149)</f>
        <v>0</v>
      </c>
      <c r="AA146" s="58">
        <f t="shared" ref="AA146" si="1640">+SUM(AA147:AA149)</f>
        <v>0</v>
      </c>
      <c r="AB146" s="118">
        <f t="shared" si="1223"/>
        <v>0</v>
      </c>
      <c r="AC146" s="58">
        <f t="shared" ref="AC146" si="1641">+SUM(AC147:AC149)</f>
        <v>0</v>
      </c>
      <c r="AD146" s="58">
        <f t="shared" ref="AD146" si="1642">+SUM(AD147:AD149)</f>
        <v>0</v>
      </c>
      <c r="AE146" s="58">
        <f t="shared" ref="AE146" si="1643">+SUM(AE147:AE149)</f>
        <v>0</v>
      </c>
      <c r="AF146" s="58">
        <f t="shared" ref="AF146" si="1644">+SUM(AF147:AF149)</f>
        <v>0</v>
      </c>
      <c r="AG146" s="58">
        <f t="shared" ref="AG146" si="1645">+SUM(AG147:AG149)</f>
        <v>0</v>
      </c>
      <c r="AH146" s="58">
        <f t="shared" ref="AH146" si="1646">+SUM(AH147:AH149)</f>
        <v>0</v>
      </c>
      <c r="AI146" s="58">
        <f t="shared" ref="AI146" si="1647">+SUM(AI147:AI149)</f>
        <v>0</v>
      </c>
      <c r="AJ146" s="58">
        <f t="shared" ref="AJ146" si="1648">+SUM(AJ147:AJ149)</f>
        <v>0</v>
      </c>
      <c r="AK146" s="58">
        <f t="shared" ref="AK146" si="1649">+SUM(AK147:AK149)</f>
        <v>0</v>
      </c>
      <c r="AL146" s="58">
        <f t="shared" ref="AL146" si="1650">+SUM(AL147:AL149)</f>
        <v>0</v>
      </c>
      <c r="AM146" s="58">
        <f t="shared" ref="AM146" si="1651">+SUM(AM147:AM149)</f>
        <v>0</v>
      </c>
      <c r="AN146" s="58">
        <f t="shared" ref="AN146" si="1652">+SUM(AN147:AN149)</f>
        <v>0</v>
      </c>
      <c r="AO146" s="58">
        <f t="shared" ref="AO146" si="1653">+SUM(AO147:AO149)</f>
        <v>0</v>
      </c>
      <c r="AQ146" s="58">
        <f t="shared" ref="AQ146:CE146" si="1654">+SUM(AQ147:AQ149)</f>
        <v>0</v>
      </c>
      <c r="AR146" s="58">
        <f t="shared" si="1654"/>
        <v>0</v>
      </c>
      <c r="AS146" s="58">
        <f t="shared" si="1654"/>
        <v>0</v>
      </c>
      <c r="AT146" s="58">
        <f t="shared" si="1654"/>
        <v>0</v>
      </c>
      <c r="AU146" s="58">
        <f t="shared" si="1654"/>
        <v>0</v>
      </c>
      <c r="AV146" s="58">
        <f t="shared" si="1654"/>
        <v>0</v>
      </c>
      <c r="AW146" s="58">
        <f t="shared" si="1654"/>
        <v>0</v>
      </c>
      <c r="AX146" s="58">
        <f t="shared" si="1654"/>
        <v>0</v>
      </c>
      <c r="AY146" s="58">
        <f t="shared" si="1654"/>
        <v>0</v>
      </c>
      <c r="AZ146" s="58">
        <f t="shared" si="1654"/>
        <v>0</v>
      </c>
      <c r="BA146" s="58">
        <f t="shared" si="1654"/>
        <v>0</v>
      </c>
      <c r="BB146" s="58">
        <f t="shared" si="1654"/>
        <v>78</v>
      </c>
      <c r="BC146" s="58">
        <f t="shared" si="1654"/>
        <v>78</v>
      </c>
      <c r="BD146" s="20" t="str">
        <f t="shared" si="1410"/>
        <v>Daily Allowance</v>
      </c>
      <c r="BE146" s="58">
        <f t="shared" si="1654"/>
        <v>0</v>
      </c>
      <c r="BF146" s="58">
        <f t="shared" ref="BF146:BP146" si="1655">+SUM(BF147:BF149)</f>
        <v>0</v>
      </c>
      <c r="BG146" s="58">
        <f t="shared" si="1655"/>
        <v>0</v>
      </c>
      <c r="BH146" s="58">
        <f t="shared" si="1655"/>
        <v>0</v>
      </c>
      <c r="BI146" s="58">
        <f t="shared" si="1655"/>
        <v>0</v>
      </c>
      <c r="BJ146" s="58">
        <f t="shared" si="1655"/>
        <v>0</v>
      </c>
      <c r="BK146" s="58">
        <f t="shared" si="1655"/>
        <v>0</v>
      </c>
      <c r="BL146" s="58">
        <f t="shared" si="1655"/>
        <v>0</v>
      </c>
      <c r="BM146" s="58">
        <f t="shared" si="1655"/>
        <v>0</v>
      </c>
      <c r="BN146" s="58">
        <f t="shared" si="1655"/>
        <v>0</v>
      </c>
      <c r="BO146" s="58">
        <f t="shared" si="1655"/>
        <v>0</v>
      </c>
      <c r="BP146" s="58">
        <f t="shared" si="1655"/>
        <v>0</v>
      </c>
      <c r="BQ146" s="58">
        <f t="shared" si="1654"/>
        <v>0</v>
      </c>
      <c r="BR146" s="118">
        <f t="shared" si="1224"/>
        <v>0</v>
      </c>
      <c r="BS146" s="58">
        <f t="shared" si="1654"/>
        <v>0</v>
      </c>
      <c r="BT146" s="58">
        <f t="shared" si="1654"/>
        <v>0</v>
      </c>
      <c r="BU146" s="58">
        <f t="shared" si="1654"/>
        <v>0</v>
      </c>
      <c r="BV146" s="58">
        <f t="shared" si="1654"/>
        <v>0</v>
      </c>
      <c r="BW146" s="58">
        <f t="shared" si="1654"/>
        <v>0</v>
      </c>
      <c r="BX146" s="58">
        <f t="shared" si="1654"/>
        <v>0</v>
      </c>
      <c r="BY146" s="58">
        <f t="shared" si="1654"/>
        <v>0</v>
      </c>
      <c r="BZ146" s="58">
        <f t="shared" si="1654"/>
        <v>0</v>
      </c>
      <c r="CA146" s="58">
        <f t="shared" si="1654"/>
        <v>0</v>
      </c>
      <c r="CB146" s="58">
        <f t="shared" si="1654"/>
        <v>0</v>
      </c>
      <c r="CC146" s="58">
        <f t="shared" si="1654"/>
        <v>0</v>
      </c>
      <c r="CD146" s="58">
        <f t="shared" si="1654"/>
        <v>0</v>
      </c>
      <c r="CE146" s="58">
        <f t="shared" si="1654"/>
        <v>0</v>
      </c>
      <c r="CF146" s="106"/>
      <c r="CG146" s="58">
        <f t="shared" ref="CG146:CS146" si="1656">+SUM(CG147:CG149)</f>
        <v>0</v>
      </c>
      <c r="CH146" s="58">
        <f t="shared" si="1656"/>
        <v>0</v>
      </c>
      <c r="CI146" s="58">
        <f t="shared" si="1656"/>
        <v>0</v>
      </c>
      <c r="CJ146" s="58">
        <f t="shared" si="1656"/>
        <v>0</v>
      </c>
      <c r="CK146" s="58">
        <f t="shared" si="1656"/>
        <v>0</v>
      </c>
      <c r="CL146" s="58">
        <f t="shared" si="1656"/>
        <v>0</v>
      </c>
      <c r="CM146" s="58">
        <f t="shared" si="1656"/>
        <v>0</v>
      </c>
      <c r="CN146" s="58">
        <f t="shared" si="1656"/>
        <v>0</v>
      </c>
      <c r="CO146" s="58">
        <f t="shared" si="1656"/>
        <v>0</v>
      </c>
      <c r="CP146" s="58">
        <f t="shared" si="1656"/>
        <v>0</v>
      </c>
      <c r="CQ146" s="58">
        <f t="shared" si="1656"/>
        <v>0</v>
      </c>
      <c r="CR146" s="58">
        <f t="shared" si="1656"/>
        <v>39</v>
      </c>
      <c r="CS146" s="58">
        <f t="shared" si="1656"/>
        <v>39</v>
      </c>
      <c r="CT146" s="20" t="str">
        <f t="shared" si="1411"/>
        <v>Daily Allowance</v>
      </c>
      <c r="CU146" s="58">
        <f t="shared" ref="CU146:DU146" si="1657">+SUM(CU147:CU149)</f>
        <v>0</v>
      </c>
      <c r="CV146" s="58">
        <f t="shared" si="1657"/>
        <v>0</v>
      </c>
      <c r="CW146" s="58">
        <f t="shared" si="1657"/>
        <v>0</v>
      </c>
      <c r="CX146" s="58">
        <f t="shared" si="1657"/>
        <v>0</v>
      </c>
      <c r="CY146" s="58">
        <f t="shared" si="1657"/>
        <v>0</v>
      </c>
      <c r="CZ146" s="58">
        <f t="shared" si="1657"/>
        <v>0</v>
      </c>
      <c r="DA146" s="58">
        <f t="shared" si="1657"/>
        <v>0</v>
      </c>
      <c r="DB146" s="58">
        <f t="shared" si="1657"/>
        <v>0</v>
      </c>
      <c r="DC146" s="58">
        <f t="shared" si="1657"/>
        <v>0</v>
      </c>
      <c r="DD146" s="58">
        <f t="shared" si="1657"/>
        <v>0</v>
      </c>
      <c r="DE146" s="58">
        <f t="shared" si="1657"/>
        <v>0</v>
      </c>
      <c r="DF146" s="58">
        <f t="shared" si="1657"/>
        <v>0</v>
      </c>
      <c r="DG146" s="58">
        <f t="shared" si="1657"/>
        <v>0</v>
      </c>
      <c r="DH146" s="118">
        <f t="shared" si="1225"/>
        <v>0</v>
      </c>
      <c r="DI146" s="58">
        <f t="shared" si="1657"/>
        <v>0</v>
      </c>
      <c r="DJ146" s="58">
        <f t="shared" si="1657"/>
        <v>0</v>
      </c>
      <c r="DK146" s="58">
        <f t="shared" si="1657"/>
        <v>0</v>
      </c>
      <c r="DL146" s="58">
        <f t="shared" si="1657"/>
        <v>0</v>
      </c>
      <c r="DM146" s="58">
        <f t="shared" si="1657"/>
        <v>0</v>
      </c>
      <c r="DN146" s="58">
        <f t="shared" si="1657"/>
        <v>0</v>
      </c>
      <c r="DO146" s="58">
        <f t="shared" si="1657"/>
        <v>0</v>
      </c>
      <c r="DP146" s="58">
        <f t="shared" si="1657"/>
        <v>0</v>
      </c>
      <c r="DQ146" s="58">
        <f t="shared" si="1657"/>
        <v>0</v>
      </c>
      <c r="DR146" s="58">
        <f t="shared" si="1657"/>
        <v>0</v>
      </c>
      <c r="DS146" s="58">
        <f t="shared" si="1657"/>
        <v>0</v>
      </c>
      <c r="DT146" s="58">
        <f t="shared" si="1657"/>
        <v>0</v>
      </c>
      <c r="DU146" s="58">
        <f t="shared" si="1657"/>
        <v>0</v>
      </c>
      <c r="DW146" s="28">
        <f t="shared" ref="DW146:EI146" si="1658">+SUM(DW147:DW149)</f>
        <v>0</v>
      </c>
      <c r="DX146" s="28">
        <f t="shared" si="1658"/>
        <v>0</v>
      </c>
      <c r="DY146" s="28">
        <f t="shared" si="1658"/>
        <v>0</v>
      </c>
      <c r="DZ146" s="28">
        <f t="shared" si="1658"/>
        <v>0</v>
      </c>
      <c r="EA146" s="28">
        <f t="shared" si="1658"/>
        <v>0</v>
      </c>
      <c r="EB146" s="28">
        <f t="shared" si="1658"/>
        <v>0</v>
      </c>
      <c r="EC146" s="28">
        <f t="shared" si="1658"/>
        <v>0</v>
      </c>
      <c r="ED146" s="28">
        <f t="shared" si="1658"/>
        <v>0</v>
      </c>
      <c r="EE146" s="28">
        <f t="shared" si="1658"/>
        <v>0</v>
      </c>
      <c r="EF146" s="28">
        <f t="shared" si="1658"/>
        <v>0</v>
      </c>
      <c r="EG146" s="28">
        <f t="shared" si="1658"/>
        <v>0</v>
      </c>
      <c r="EH146" s="28">
        <f t="shared" si="1658"/>
        <v>0</v>
      </c>
      <c r="EI146" s="58">
        <f t="shared" si="1658"/>
        <v>0</v>
      </c>
      <c r="EJ146" s="20" t="str">
        <f t="shared" si="1555"/>
        <v>Daily Allowance</v>
      </c>
      <c r="EK146" s="28">
        <f t="shared" ref="EK146:EV146" si="1659">+SUM(EK147:EK149)</f>
        <v>0</v>
      </c>
      <c r="EL146" s="28">
        <f t="shared" si="1659"/>
        <v>0</v>
      </c>
      <c r="EM146" s="28">
        <f t="shared" si="1659"/>
        <v>0</v>
      </c>
      <c r="EN146" s="28">
        <f t="shared" si="1659"/>
        <v>0</v>
      </c>
      <c r="EO146" s="28">
        <f t="shared" si="1659"/>
        <v>0</v>
      </c>
      <c r="EP146" s="28">
        <f t="shared" si="1659"/>
        <v>0</v>
      </c>
      <c r="EQ146" s="28">
        <f t="shared" si="1659"/>
        <v>0</v>
      </c>
      <c r="ER146" s="28">
        <f t="shared" si="1659"/>
        <v>0</v>
      </c>
      <c r="ES146" s="28">
        <f t="shared" si="1659"/>
        <v>0</v>
      </c>
      <c r="ET146" s="28">
        <f t="shared" si="1659"/>
        <v>0</v>
      </c>
      <c r="EU146" s="28">
        <f t="shared" si="1659"/>
        <v>0</v>
      </c>
      <c r="EV146" s="28">
        <f t="shared" si="1659"/>
        <v>0</v>
      </c>
      <c r="EW146" s="28">
        <f t="shared" ref="EW146" si="1660">+SUM(EW147:EW149)</f>
        <v>0</v>
      </c>
      <c r="EX146" s="118" t="e">
        <f t="shared" si="1226"/>
        <v>#DIV/0!</v>
      </c>
      <c r="EY146" s="58">
        <f t="shared" ref="EY146:FK146" si="1661">+SUM(EY147:EY149)</f>
        <v>0</v>
      </c>
      <c r="EZ146" s="58">
        <f t="shared" si="1661"/>
        <v>0</v>
      </c>
      <c r="FA146" s="58">
        <f t="shared" si="1661"/>
        <v>0</v>
      </c>
      <c r="FB146" s="58">
        <f t="shared" si="1661"/>
        <v>0</v>
      </c>
      <c r="FC146" s="58">
        <f t="shared" si="1661"/>
        <v>0</v>
      </c>
      <c r="FD146" s="58">
        <f t="shared" si="1661"/>
        <v>0</v>
      </c>
      <c r="FE146" s="58">
        <f t="shared" si="1661"/>
        <v>0</v>
      </c>
      <c r="FF146" s="58">
        <f t="shared" si="1661"/>
        <v>0</v>
      </c>
      <c r="FG146" s="58">
        <f t="shared" si="1661"/>
        <v>0</v>
      </c>
      <c r="FH146" s="58">
        <f t="shared" si="1661"/>
        <v>0</v>
      </c>
      <c r="FI146" s="58">
        <f t="shared" si="1661"/>
        <v>0</v>
      </c>
      <c r="FJ146" s="58">
        <f t="shared" si="1661"/>
        <v>0</v>
      </c>
      <c r="FK146" s="58">
        <f t="shared" si="1661"/>
        <v>0</v>
      </c>
    </row>
    <row r="147" spans="1:167" ht="14.45" hidden="1" customHeight="1" outlineLevel="2">
      <c r="A147" s="106">
        <f t="shared" si="1447"/>
        <v>0</v>
      </c>
      <c r="B147" s="106">
        <f t="shared" si="1447"/>
        <v>0</v>
      </c>
      <c r="C147" s="106">
        <f t="shared" si="1447"/>
        <v>0</v>
      </c>
      <c r="D147" s="106">
        <f t="shared" si="1447"/>
        <v>0</v>
      </c>
      <c r="E147" s="106">
        <f t="shared" si="1447"/>
        <v>0</v>
      </c>
      <c r="F147" s="106">
        <f t="shared" si="1447"/>
        <v>0</v>
      </c>
      <c r="G147" s="106">
        <f t="shared" si="1447"/>
        <v>0</v>
      </c>
      <c r="H147" s="106">
        <f t="shared" si="1447"/>
        <v>0</v>
      </c>
      <c r="I147" s="106">
        <f t="shared" si="1447"/>
        <v>0</v>
      </c>
      <c r="J147" s="106">
        <f t="shared" si="1447"/>
        <v>0</v>
      </c>
      <c r="K147" s="106">
        <f t="shared" si="1447"/>
        <v>0</v>
      </c>
      <c r="L147" s="106">
        <f t="shared" si="1447"/>
        <v>0</v>
      </c>
      <c r="M147" s="106">
        <f t="shared" ref="M147:M149" si="1662">+SUM(A147:L147)</f>
        <v>0</v>
      </c>
      <c r="N147" s="16" t="s">
        <v>122</v>
      </c>
      <c r="O147" s="106">
        <f t="shared" ref="O147:O149" si="1663">+BE147+CU147+EK147</f>
        <v>0</v>
      </c>
      <c r="P147" s="106">
        <f t="shared" ref="P147:P149" si="1664">+BF147+CV147+EL147</f>
        <v>0</v>
      </c>
      <c r="Q147" s="106">
        <f t="shared" ref="Q147:Q149" si="1665">+BG147+CW147+EM147</f>
        <v>0</v>
      </c>
      <c r="R147" s="106">
        <f t="shared" ref="R147:R149" si="1666">+BH147+CX147+EN147</f>
        <v>0</v>
      </c>
      <c r="S147" s="106">
        <f t="shared" ref="S147:S149" si="1667">+BI147+CY147+EO147</f>
        <v>0</v>
      </c>
      <c r="T147" s="106">
        <f t="shared" ref="T147:T149" si="1668">+BJ147+CZ147+EP147</f>
        <v>0</v>
      </c>
      <c r="U147" s="106">
        <f t="shared" ref="U147:U149" si="1669">+BK147+DA147+EQ147</f>
        <v>0</v>
      </c>
      <c r="V147" s="106">
        <f t="shared" ref="V147:V149" si="1670">+BL147+DB147+ER147</f>
        <v>0</v>
      </c>
      <c r="W147" s="106">
        <f t="shared" ref="W147:W149" si="1671">+BM147+DC147+ES147</f>
        <v>0</v>
      </c>
      <c r="X147" s="106">
        <f t="shared" ref="X147:X149" si="1672">+BN147+DD147+ET147</f>
        <v>0</v>
      </c>
      <c r="Y147" s="106">
        <f t="shared" ref="Y147:Y149" si="1673">+BO147+DE147+EU147</f>
        <v>0</v>
      </c>
      <c r="Z147" s="106">
        <f t="shared" ref="Z147:Z149" si="1674">+BP147+DF147+EV147</f>
        <v>0</v>
      </c>
      <c r="AA147" s="106">
        <f t="shared" ref="AA147:AA149" si="1675">+SUM(O147:Z147)</f>
        <v>0</v>
      </c>
      <c r="AB147" s="118">
        <f t="shared" si="1223"/>
        <v>0</v>
      </c>
      <c r="AC147" s="106">
        <f t="shared" ref="AC147:AC149" si="1676">+BS147+DI147+EY147</f>
        <v>0</v>
      </c>
      <c r="AD147" s="106">
        <f t="shared" ref="AD147:AD149" si="1677">+BT147+DJ147+EZ147</f>
        <v>0</v>
      </c>
      <c r="AE147" s="106">
        <f t="shared" ref="AE147:AE149" si="1678">+BU147+DK147+FA147</f>
        <v>0</v>
      </c>
      <c r="AF147" s="106">
        <f t="shared" ref="AF147:AF149" si="1679">+BV147+DL147+FB147</f>
        <v>0</v>
      </c>
      <c r="AG147" s="106">
        <f t="shared" ref="AG147:AG149" si="1680">+BW147+DM147+FC147</f>
        <v>0</v>
      </c>
      <c r="AH147" s="106">
        <f t="shared" ref="AH147:AH149" si="1681">+BX147+DN147+FD147</f>
        <v>0</v>
      </c>
      <c r="AI147" s="106">
        <f t="shared" ref="AI147:AI149" si="1682">+BY147+DO147+FE147</f>
        <v>0</v>
      </c>
      <c r="AJ147" s="106">
        <f t="shared" ref="AJ147:AJ149" si="1683">+BZ147+DP147+FF147</f>
        <v>0</v>
      </c>
      <c r="AK147" s="106">
        <f t="shared" ref="AK147:AK149" si="1684">+CA147+DQ147+FG147</f>
        <v>0</v>
      </c>
      <c r="AL147" s="106">
        <f t="shared" ref="AL147:AL149" si="1685">+CB147+DR147+FH147</f>
        <v>0</v>
      </c>
      <c r="AM147" s="106">
        <f t="shared" ref="AM147:AM149" si="1686">+CC147+DS147+FI147</f>
        <v>0</v>
      </c>
      <c r="AN147" s="106">
        <f t="shared" ref="AN147:AN149" si="1687">+CD147+DT147+FJ147</f>
        <v>0</v>
      </c>
      <c r="AO147" s="106">
        <f t="shared" ref="AO147:AO149" si="1688">+SUM(AC147:AN147)</f>
        <v>0</v>
      </c>
      <c r="AQ147" s="106">
        <v>0</v>
      </c>
      <c r="AR147" s="106">
        <v>0</v>
      </c>
      <c r="AS147" s="106">
        <v>0</v>
      </c>
      <c r="AT147" s="106">
        <v>0</v>
      </c>
      <c r="AU147" s="106">
        <v>0</v>
      </c>
      <c r="AV147" s="106">
        <v>0</v>
      </c>
      <c r="AW147" s="106">
        <v>0</v>
      </c>
      <c r="AX147" s="106">
        <v>0</v>
      </c>
      <c r="AY147" s="106">
        <v>0</v>
      </c>
      <c r="AZ147" s="106">
        <v>0</v>
      </c>
      <c r="BA147" s="106">
        <v>0</v>
      </c>
      <c r="BB147" s="106">
        <v>0</v>
      </c>
      <c r="BC147" s="106">
        <f t="shared" ref="BC147:BC149" si="1689">+SUM(AQ147:BB147)</f>
        <v>0</v>
      </c>
      <c r="BD147" s="16" t="str">
        <f t="shared" si="1410"/>
        <v>Daily Allowance to Consultant</v>
      </c>
      <c r="BE147" s="106">
        <f>+VLOOKUP($BD147,'Jan-25'!$A:$J,5,0)</f>
        <v>0</v>
      </c>
      <c r="BF147" s="106">
        <f>+VLOOKUP($BD147,'Feb-25'!$A:$J,5,0)</f>
        <v>0</v>
      </c>
      <c r="BG147" s="106">
        <f>+VLOOKUP($BD147,'Mar-25'!$A:$J,5,0)</f>
        <v>0</v>
      </c>
      <c r="BH147" s="106">
        <f>+VLOOKUP($BD147,'Apr-25'!$A:$J,5,0)</f>
        <v>0</v>
      </c>
      <c r="BI147" s="106">
        <f>+VLOOKUP($BD147,'May-25'!$A:$J,5,0)</f>
        <v>0</v>
      </c>
      <c r="BJ147" s="106">
        <f>+VLOOKUP($BD147,'June-25'!$A:$J,5,0)</f>
        <v>0</v>
      </c>
      <c r="BK147" s="106">
        <f>+VLOOKUP($BD147,'July-25'!$A:$J,5,0)</f>
        <v>0</v>
      </c>
      <c r="BL147" s="106">
        <f>+VLOOKUP($BD147,'Aug-25'!$A:$J,5,0)</f>
        <v>0</v>
      </c>
      <c r="BM147" s="106">
        <f>+VLOOKUP($BD147,'Sep-25'!$A:$J,5,0)</f>
        <v>0</v>
      </c>
      <c r="BN147" s="106">
        <f>+VLOOKUP($BD147,'Oct-25'!$A:$J,5,0)</f>
        <v>0</v>
      </c>
      <c r="BO147" s="106">
        <f>+VLOOKUP($BD147,'Nov-25'!$A:$J,5,0)</f>
        <v>0</v>
      </c>
      <c r="BP147" s="106">
        <f>+VLOOKUP($BD147,'Dec-25'!$A:$J,5,0)</f>
        <v>0</v>
      </c>
      <c r="BQ147" s="106">
        <f t="shared" ref="BQ147:BQ149" si="1690">+SUM(BE147:BP147)</f>
        <v>0</v>
      </c>
      <c r="BR147" s="118">
        <f t="shared" si="1224"/>
        <v>0</v>
      </c>
      <c r="BS147" s="106">
        <f>+_xlfn.XLOOKUP($BD147,Budget!$A:$A,Budget!BD:BD)</f>
        <v>0</v>
      </c>
      <c r="BT147" s="106">
        <f>+_xlfn.XLOOKUP($BD147,Budget!$A:$A,Budget!BE:BE)</f>
        <v>0</v>
      </c>
      <c r="BU147" s="106">
        <f>+_xlfn.XLOOKUP($BD147,Budget!$A:$A,Budget!BF:BF)</f>
        <v>0</v>
      </c>
      <c r="BV147" s="106">
        <f>+_xlfn.XLOOKUP($BD147,Budget!$A:$A,Budget!BG:BG)</f>
        <v>0</v>
      </c>
      <c r="BW147" s="106">
        <f>+_xlfn.XLOOKUP($BD147,Budget!$A:$A,Budget!BH:BH)</f>
        <v>0</v>
      </c>
      <c r="BX147" s="106">
        <f>+_xlfn.XLOOKUP($BD147,Budget!$A:$A,Budget!BI:BI)</f>
        <v>0</v>
      </c>
      <c r="BY147" s="106">
        <f>+_xlfn.XLOOKUP($BD147,Budget!$A:$A,Budget!BJ:BJ)</f>
        <v>0</v>
      </c>
      <c r="BZ147" s="106">
        <f>+_xlfn.XLOOKUP($BD147,Budget!$A:$A,Budget!BK:BK)</f>
        <v>0</v>
      </c>
      <c r="CA147" s="106">
        <f>+_xlfn.XLOOKUP($BD147,Budget!$A:$A,Budget!BL:BL)</f>
        <v>0</v>
      </c>
      <c r="CB147" s="106">
        <f>+_xlfn.XLOOKUP($BD147,Budget!$A:$A,Budget!BM:BM)</f>
        <v>0</v>
      </c>
      <c r="CC147" s="106">
        <f>+_xlfn.XLOOKUP($BD147,Budget!$A:$A,Budget!BN:BN)</f>
        <v>0</v>
      </c>
      <c r="CD147" s="106">
        <f>+_xlfn.XLOOKUP($BD147,Budget!$A:$A,Budget!BO:BO)</f>
        <v>0</v>
      </c>
      <c r="CE147" s="106">
        <f t="shared" ref="CE147:CE149" si="1691">+SUM(BS147:CD147)</f>
        <v>0</v>
      </c>
      <c r="CF147" s="106"/>
      <c r="CG147" s="106">
        <v>0</v>
      </c>
      <c r="CH147" s="106">
        <v>0</v>
      </c>
      <c r="CI147" s="106">
        <v>0</v>
      </c>
      <c r="CJ147" s="106">
        <v>0</v>
      </c>
      <c r="CK147" s="106">
        <v>0</v>
      </c>
      <c r="CL147" s="106">
        <v>0</v>
      </c>
      <c r="CM147" s="106">
        <v>0</v>
      </c>
      <c r="CN147" s="106">
        <v>0</v>
      </c>
      <c r="CO147" s="106">
        <v>0</v>
      </c>
      <c r="CP147" s="106">
        <v>0</v>
      </c>
      <c r="CQ147" s="106">
        <v>0</v>
      </c>
      <c r="CR147" s="106">
        <v>0</v>
      </c>
      <c r="CS147" s="106">
        <f t="shared" ref="CS147:CS149" si="1692">+SUM(CG147:CR147)</f>
        <v>0</v>
      </c>
      <c r="CT147" s="16" t="str">
        <f t="shared" si="1411"/>
        <v>Daily Allowance to Consultant</v>
      </c>
      <c r="CU147" s="106">
        <f>+VLOOKUP($BD147,'Jan-25'!$A:$J,8,0)</f>
        <v>0</v>
      </c>
      <c r="CV147" s="106">
        <f>+VLOOKUP($BD147,'Feb-25'!$A:$J,8,0)</f>
        <v>0</v>
      </c>
      <c r="CW147" s="106">
        <f>+VLOOKUP($BD147,'Mar-25'!$A:$J,8,0)</f>
        <v>0</v>
      </c>
      <c r="CX147" s="106">
        <f>+VLOOKUP($BD147,'Apr-25'!$A:$J,8,0)</f>
        <v>0</v>
      </c>
      <c r="CY147" s="106">
        <f>+VLOOKUP($BD147,'May-25'!$A:$J,8,0)</f>
        <v>0</v>
      </c>
      <c r="CZ147" s="106">
        <f>+VLOOKUP($BD147,'June-25'!$A:$J,8,0)</f>
        <v>0</v>
      </c>
      <c r="DA147" s="106">
        <f>+VLOOKUP($BD147,'July-25'!$A:$J,8,0)</f>
        <v>0</v>
      </c>
      <c r="DB147" s="106">
        <f>+VLOOKUP($BD147,'Aug-25'!$A:$J,8,0)</f>
        <v>0</v>
      </c>
      <c r="DC147" s="106">
        <f>+VLOOKUP($BD147,'Sep-25'!$A:$J,8,0)</f>
        <v>0</v>
      </c>
      <c r="DD147" s="106">
        <f>+VLOOKUP($BD147,'Oct-25'!$A:$J,8,0)</f>
        <v>0</v>
      </c>
      <c r="DE147" s="106">
        <f>+VLOOKUP($BD147,'Nov-25'!$A:$J,8,0)</f>
        <v>0</v>
      </c>
      <c r="DF147" s="106">
        <f>+VLOOKUP($BD147,'Dec-25'!$A:$J,8,0)</f>
        <v>0</v>
      </c>
      <c r="DG147" s="106">
        <f t="shared" ref="DG147:DG149" si="1693">+SUM(CU147:DF147)</f>
        <v>0</v>
      </c>
      <c r="DH147" s="118">
        <f t="shared" si="1225"/>
        <v>0</v>
      </c>
      <c r="DI147" s="106">
        <f>+_xlfn.XLOOKUP($CT147,Budget!$A:$A,Budget!CQ:CQ)</f>
        <v>0</v>
      </c>
      <c r="DJ147" s="106">
        <f>+_xlfn.XLOOKUP($CT147,Budget!$A:$A,Budget!CR:CR)</f>
        <v>0</v>
      </c>
      <c r="DK147" s="106">
        <f>+_xlfn.XLOOKUP($CT147,Budget!$A:$A,Budget!CS:CS)</f>
        <v>0</v>
      </c>
      <c r="DL147" s="106">
        <f>+_xlfn.XLOOKUP($CT147,Budget!$A:$A,Budget!CT:CT)</f>
        <v>0</v>
      </c>
      <c r="DM147" s="106">
        <f>+_xlfn.XLOOKUP($CT147,Budget!$A:$A,Budget!CU:CU)</f>
        <v>0</v>
      </c>
      <c r="DN147" s="106">
        <f>+_xlfn.XLOOKUP($CT147,Budget!$A:$A,Budget!CV:CV)</f>
        <v>0</v>
      </c>
      <c r="DO147" s="106">
        <f>+_xlfn.XLOOKUP($CT147,Budget!$A:$A,Budget!CW:CW)</f>
        <v>0</v>
      </c>
      <c r="DP147" s="106">
        <f>+_xlfn.XLOOKUP($CT147,Budget!$A:$A,Budget!CX:CX)</f>
        <v>0</v>
      </c>
      <c r="DQ147" s="106">
        <f>+_xlfn.XLOOKUP($CT147,Budget!$A:$A,Budget!CY:CY)</f>
        <v>0</v>
      </c>
      <c r="DR147" s="106">
        <f>+_xlfn.XLOOKUP($CT147,Budget!$A:$A,Budget!CZ:CZ)</f>
        <v>0</v>
      </c>
      <c r="DS147" s="106">
        <f>+_xlfn.XLOOKUP($CT147,Budget!$A:$A,Budget!DA:DA)</f>
        <v>0</v>
      </c>
      <c r="DT147" s="106">
        <f>+_xlfn.XLOOKUP($CT147,Budget!$A:$A,Budget!DB:DB)</f>
        <v>0</v>
      </c>
      <c r="DU147" s="106">
        <f t="shared" ref="DU147:DU149" si="1694">+SUM(DI147:DT147)</f>
        <v>0</v>
      </c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106">
        <f t="shared" ref="EI147:EI149" si="1695">+SUM(DW147:EH147)</f>
        <v>0</v>
      </c>
      <c r="EJ147" s="16" t="str">
        <f t="shared" si="1555"/>
        <v>Daily Allowance to Consultant</v>
      </c>
      <c r="EK147" s="22">
        <f>+VLOOKUP($BD147,'Jan-25'!$A:$J,10,0)</f>
        <v>0</v>
      </c>
      <c r="EL147" s="22">
        <f>+VLOOKUP($BD147,'Feb-25'!$A:$J,10,0)</f>
        <v>0</v>
      </c>
      <c r="EM147" s="22">
        <f>+VLOOKUP($BD147,'Mar-25'!$A:$J,10,0)</f>
        <v>0</v>
      </c>
      <c r="EN147" s="22">
        <f>+VLOOKUP($BD147,'Apr-25'!$A:$J,10,0)</f>
        <v>0</v>
      </c>
      <c r="EO147" s="22">
        <f>+VLOOKUP($BD147,'May-25'!$A:$J,10,0)</f>
        <v>0</v>
      </c>
      <c r="EP147" s="22">
        <f>+VLOOKUP($BD147,'June-25'!$A:$J,10,0)</f>
        <v>0</v>
      </c>
      <c r="EQ147" s="22">
        <f>+VLOOKUP($BD147,'July-25'!$A:$J,10,0)</f>
        <v>0</v>
      </c>
      <c r="ER147" s="22">
        <f>+VLOOKUP($BD147,'Aug-25'!$A:$J,10,0)</f>
        <v>0</v>
      </c>
      <c r="ES147" s="22">
        <f>+VLOOKUP($BD147,'Sep-25'!$A:$J,10,0)</f>
        <v>0</v>
      </c>
      <c r="ET147" s="22">
        <f>+VLOOKUP($BD147,'Oct-25'!$A:$J,10,0)</f>
        <v>0</v>
      </c>
      <c r="EU147" s="22">
        <f>+VLOOKUP($BD147,'Nov-25'!$A:$J,10,0)</f>
        <v>0</v>
      </c>
      <c r="EV147" s="22">
        <f>+VLOOKUP($BD147,'Dec-25'!$A:$J,10,0)</f>
        <v>0</v>
      </c>
      <c r="EW147" s="22">
        <f t="shared" ref="EW147:EW149" si="1696">+SUM(EK147:EV147)</f>
        <v>0</v>
      </c>
      <c r="EX147" s="118" t="e">
        <f t="shared" si="1226"/>
        <v>#DIV/0!</v>
      </c>
      <c r="EY147" s="106">
        <f>+_xlfn.XLOOKUP($EJ147,Budget!$A:$A,Budget!DR:DR)</f>
        <v>0</v>
      </c>
      <c r="EZ147" s="106">
        <f>+_xlfn.XLOOKUP($EJ147,Budget!$A:$A,Budget!DS:DS)</f>
        <v>0</v>
      </c>
      <c r="FA147" s="106">
        <f>+_xlfn.XLOOKUP($EJ147,Budget!$A:$A,Budget!DT:DT)</f>
        <v>0</v>
      </c>
      <c r="FB147" s="106">
        <f>+_xlfn.XLOOKUP($EJ147,Budget!$A:$A,Budget!DU:DU)</f>
        <v>0</v>
      </c>
      <c r="FC147" s="106">
        <f>+_xlfn.XLOOKUP($EJ147,Budget!$A:$A,Budget!DV:DV)</f>
        <v>0</v>
      </c>
      <c r="FD147" s="106">
        <f>+_xlfn.XLOOKUP($EJ147,Budget!$A:$A,Budget!DW:DW)</f>
        <v>0</v>
      </c>
      <c r="FE147" s="106">
        <f>+_xlfn.XLOOKUP($EJ147,Budget!$A:$A,Budget!DX:DX)</f>
        <v>0</v>
      </c>
      <c r="FF147" s="106">
        <f>+_xlfn.XLOOKUP($EJ147,Budget!$A:$A,Budget!DY:DY)</f>
        <v>0</v>
      </c>
      <c r="FG147" s="106">
        <f>+_xlfn.XLOOKUP($EJ147,Budget!$A:$A,Budget!DZ:DZ)</f>
        <v>0</v>
      </c>
      <c r="FH147" s="106">
        <f>+_xlfn.XLOOKUP($EJ147,Budget!$A:$A,Budget!EA:EA)</f>
        <v>0</v>
      </c>
      <c r="FI147" s="106">
        <f>+_xlfn.XLOOKUP($EJ147,Budget!$A:$A,Budget!EB:EB)</f>
        <v>0</v>
      </c>
      <c r="FJ147" s="106">
        <f>+_xlfn.XLOOKUP($EJ147,Budget!$A:$A,Budget!EC:EC)</f>
        <v>0</v>
      </c>
      <c r="FK147" s="106">
        <f t="shared" ref="FK147:FK149" si="1697">+SUM(EY147:FJ147)</f>
        <v>0</v>
      </c>
    </row>
    <row r="148" spans="1:167" ht="14.45" hidden="1" customHeight="1" outlineLevel="2">
      <c r="A148" s="106">
        <f t="shared" si="1447"/>
        <v>0</v>
      </c>
      <c r="B148" s="106">
        <f t="shared" si="1447"/>
        <v>0</v>
      </c>
      <c r="C148" s="106">
        <f t="shared" si="1447"/>
        <v>0</v>
      </c>
      <c r="D148" s="106">
        <f t="shared" si="1447"/>
        <v>0</v>
      </c>
      <c r="E148" s="106">
        <f t="shared" si="1447"/>
        <v>0</v>
      </c>
      <c r="F148" s="106">
        <f t="shared" si="1447"/>
        <v>0</v>
      </c>
      <c r="G148" s="106">
        <f t="shared" si="1447"/>
        <v>0</v>
      </c>
      <c r="H148" s="106">
        <f t="shared" si="1447"/>
        <v>0</v>
      </c>
      <c r="I148" s="106">
        <f t="shared" si="1447"/>
        <v>0</v>
      </c>
      <c r="J148" s="106">
        <f t="shared" si="1447"/>
        <v>0</v>
      </c>
      <c r="K148" s="106">
        <f t="shared" si="1447"/>
        <v>0</v>
      </c>
      <c r="L148" s="106">
        <f t="shared" si="1447"/>
        <v>117</v>
      </c>
      <c r="M148" s="106">
        <f t="shared" si="1662"/>
        <v>117</v>
      </c>
      <c r="N148" s="16" t="s">
        <v>123</v>
      </c>
      <c r="O148" s="106">
        <f t="shared" si="1663"/>
        <v>0</v>
      </c>
      <c r="P148" s="106">
        <f t="shared" si="1664"/>
        <v>0</v>
      </c>
      <c r="Q148" s="106">
        <f t="shared" si="1665"/>
        <v>0</v>
      </c>
      <c r="R148" s="106">
        <f t="shared" si="1666"/>
        <v>0</v>
      </c>
      <c r="S148" s="106">
        <f t="shared" si="1667"/>
        <v>0</v>
      </c>
      <c r="T148" s="106">
        <f t="shared" si="1668"/>
        <v>0</v>
      </c>
      <c r="U148" s="106">
        <f t="shared" si="1669"/>
        <v>0</v>
      </c>
      <c r="V148" s="106">
        <f t="shared" si="1670"/>
        <v>0</v>
      </c>
      <c r="W148" s="106">
        <f t="shared" si="1671"/>
        <v>0</v>
      </c>
      <c r="X148" s="106">
        <f t="shared" si="1672"/>
        <v>0</v>
      </c>
      <c r="Y148" s="106">
        <f t="shared" si="1673"/>
        <v>0</v>
      </c>
      <c r="Z148" s="106">
        <f t="shared" si="1674"/>
        <v>0</v>
      </c>
      <c r="AA148" s="106">
        <f t="shared" si="1675"/>
        <v>0</v>
      </c>
      <c r="AB148" s="118">
        <f t="shared" si="1223"/>
        <v>0</v>
      </c>
      <c r="AC148" s="106">
        <f t="shared" si="1676"/>
        <v>0</v>
      </c>
      <c r="AD148" s="106">
        <f t="shared" si="1677"/>
        <v>0</v>
      </c>
      <c r="AE148" s="106">
        <f t="shared" si="1678"/>
        <v>0</v>
      </c>
      <c r="AF148" s="106">
        <f t="shared" si="1679"/>
        <v>0</v>
      </c>
      <c r="AG148" s="106">
        <f t="shared" si="1680"/>
        <v>0</v>
      </c>
      <c r="AH148" s="106">
        <f t="shared" si="1681"/>
        <v>0</v>
      </c>
      <c r="AI148" s="106">
        <f t="shared" si="1682"/>
        <v>0</v>
      </c>
      <c r="AJ148" s="106">
        <f t="shared" si="1683"/>
        <v>0</v>
      </c>
      <c r="AK148" s="106">
        <f t="shared" si="1684"/>
        <v>0</v>
      </c>
      <c r="AL148" s="106">
        <f t="shared" si="1685"/>
        <v>0</v>
      </c>
      <c r="AM148" s="106">
        <f t="shared" si="1686"/>
        <v>0</v>
      </c>
      <c r="AN148" s="106">
        <f t="shared" si="1687"/>
        <v>0</v>
      </c>
      <c r="AO148" s="106">
        <f t="shared" si="1688"/>
        <v>0</v>
      </c>
      <c r="AQ148" s="106">
        <v>0</v>
      </c>
      <c r="AR148" s="106">
        <v>0</v>
      </c>
      <c r="AS148" s="106">
        <v>0</v>
      </c>
      <c r="AT148" s="106">
        <v>0</v>
      </c>
      <c r="AU148" s="106">
        <v>0</v>
      </c>
      <c r="AV148" s="106">
        <v>0</v>
      </c>
      <c r="AW148" s="106">
        <v>0</v>
      </c>
      <c r="AX148" s="106">
        <v>0</v>
      </c>
      <c r="AY148" s="106">
        <v>0</v>
      </c>
      <c r="AZ148" s="106">
        <v>0</v>
      </c>
      <c r="BA148" s="106">
        <v>0</v>
      </c>
      <c r="BB148" s="106">
        <v>78</v>
      </c>
      <c r="BC148" s="106">
        <f t="shared" si="1689"/>
        <v>78</v>
      </c>
      <c r="BD148" s="16" t="str">
        <f t="shared" si="1410"/>
        <v>Daily Allowance to Drivers</v>
      </c>
      <c r="BE148" s="106">
        <f>+VLOOKUP($BD148,'Jan-25'!$A:$J,5,0)</f>
        <v>0</v>
      </c>
      <c r="BF148" s="106">
        <f>+VLOOKUP($BD148,'Feb-25'!$A:$J,5,0)</f>
        <v>0</v>
      </c>
      <c r="BG148" s="106">
        <f>+VLOOKUP($BD148,'Mar-25'!$A:$J,5,0)</f>
        <v>0</v>
      </c>
      <c r="BH148" s="106">
        <f>+VLOOKUP($BD148,'Apr-25'!$A:$J,5,0)</f>
        <v>0</v>
      </c>
      <c r="BI148" s="106">
        <f>+VLOOKUP($BD148,'May-25'!$A:$J,5,0)</f>
        <v>0</v>
      </c>
      <c r="BJ148" s="106">
        <f>+VLOOKUP($BD148,'June-25'!$A:$J,5,0)</f>
        <v>0</v>
      </c>
      <c r="BK148" s="106">
        <f>+VLOOKUP($BD148,'July-25'!$A:$J,5,0)</f>
        <v>0</v>
      </c>
      <c r="BL148" s="106">
        <f>+VLOOKUP($BD148,'Aug-25'!$A:$J,5,0)</f>
        <v>0</v>
      </c>
      <c r="BM148" s="106">
        <f>+VLOOKUP($BD148,'Sep-25'!$A:$J,5,0)</f>
        <v>0</v>
      </c>
      <c r="BN148" s="106">
        <f>+VLOOKUP($BD148,'Oct-25'!$A:$J,5,0)</f>
        <v>0</v>
      </c>
      <c r="BO148" s="106">
        <f>+VLOOKUP($BD148,'Nov-25'!$A:$J,5,0)</f>
        <v>0</v>
      </c>
      <c r="BP148" s="106">
        <f>+VLOOKUP($BD148,'Dec-25'!$A:$J,5,0)</f>
        <v>0</v>
      </c>
      <c r="BQ148" s="106">
        <f t="shared" si="1690"/>
        <v>0</v>
      </c>
      <c r="BR148" s="118">
        <f t="shared" si="1224"/>
        <v>0</v>
      </c>
      <c r="BS148" s="106">
        <f>+_xlfn.XLOOKUP($BD148,Budget!$A:$A,Budget!BD:BD)</f>
        <v>0</v>
      </c>
      <c r="BT148" s="106">
        <f>+_xlfn.XLOOKUP($BD148,Budget!$A:$A,Budget!BE:BE)</f>
        <v>0</v>
      </c>
      <c r="BU148" s="106">
        <f>+_xlfn.XLOOKUP($BD148,Budget!$A:$A,Budget!BF:BF)</f>
        <v>0</v>
      </c>
      <c r="BV148" s="106">
        <f>+_xlfn.XLOOKUP($BD148,Budget!$A:$A,Budget!BG:BG)</f>
        <v>0</v>
      </c>
      <c r="BW148" s="106">
        <f>+_xlfn.XLOOKUP($BD148,Budget!$A:$A,Budget!BH:BH)</f>
        <v>0</v>
      </c>
      <c r="BX148" s="106">
        <f>+_xlfn.XLOOKUP($BD148,Budget!$A:$A,Budget!BI:BI)</f>
        <v>0</v>
      </c>
      <c r="BY148" s="106">
        <f>+_xlfn.XLOOKUP($BD148,Budget!$A:$A,Budget!BJ:BJ)</f>
        <v>0</v>
      </c>
      <c r="BZ148" s="106">
        <f>+_xlfn.XLOOKUP($BD148,Budget!$A:$A,Budget!BK:BK)</f>
        <v>0</v>
      </c>
      <c r="CA148" s="106">
        <f>+_xlfn.XLOOKUP($BD148,Budget!$A:$A,Budget!BL:BL)</f>
        <v>0</v>
      </c>
      <c r="CB148" s="106">
        <f>+_xlfn.XLOOKUP($BD148,Budget!$A:$A,Budget!BM:BM)</f>
        <v>0</v>
      </c>
      <c r="CC148" s="106">
        <f>+_xlfn.XLOOKUP($BD148,Budget!$A:$A,Budget!BN:BN)</f>
        <v>0</v>
      </c>
      <c r="CD148" s="106">
        <f>+_xlfn.XLOOKUP($BD148,Budget!$A:$A,Budget!BO:BO)</f>
        <v>0</v>
      </c>
      <c r="CE148" s="106">
        <f t="shared" si="1691"/>
        <v>0</v>
      </c>
      <c r="CF148" s="106"/>
      <c r="CG148" s="106">
        <v>0</v>
      </c>
      <c r="CH148" s="106">
        <v>0</v>
      </c>
      <c r="CI148" s="106">
        <v>0</v>
      </c>
      <c r="CJ148" s="106">
        <v>0</v>
      </c>
      <c r="CK148" s="106">
        <v>0</v>
      </c>
      <c r="CL148" s="106">
        <v>0</v>
      </c>
      <c r="CM148" s="106">
        <v>0</v>
      </c>
      <c r="CN148" s="106">
        <v>0</v>
      </c>
      <c r="CO148" s="106">
        <v>0</v>
      </c>
      <c r="CP148" s="106">
        <v>0</v>
      </c>
      <c r="CQ148" s="106">
        <v>0</v>
      </c>
      <c r="CR148" s="106">
        <v>39</v>
      </c>
      <c r="CS148" s="106">
        <f t="shared" si="1692"/>
        <v>39</v>
      </c>
      <c r="CT148" s="16" t="str">
        <f t="shared" si="1411"/>
        <v>Daily Allowance to Drivers</v>
      </c>
      <c r="CU148" s="106">
        <f>+VLOOKUP($BD148,'Jan-25'!$A:$J,8,0)</f>
        <v>0</v>
      </c>
      <c r="CV148" s="106">
        <f>+VLOOKUP($BD148,'Feb-25'!$A:$J,8,0)</f>
        <v>0</v>
      </c>
      <c r="CW148" s="106">
        <f>+VLOOKUP($BD148,'Mar-25'!$A:$J,8,0)</f>
        <v>0</v>
      </c>
      <c r="CX148" s="106">
        <f>+VLOOKUP($BD148,'Apr-25'!$A:$J,8,0)</f>
        <v>0</v>
      </c>
      <c r="CY148" s="106">
        <f>+VLOOKUP($BD148,'May-25'!$A:$J,8,0)</f>
        <v>0</v>
      </c>
      <c r="CZ148" s="106">
        <f>+VLOOKUP($BD148,'June-25'!$A:$J,8,0)</f>
        <v>0</v>
      </c>
      <c r="DA148" s="106">
        <f>+VLOOKUP($BD148,'July-25'!$A:$J,8,0)</f>
        <v>0</v>
      </c>
      <c r="DB148" s="106">
        <f>+VLOOKUP($BD148,'Aug-25'!$A:$J,8,0)</f>
        <v>0</v>
      </c>
      <c r="DC148" s="106">
        <f>+VLOOKUP($BD148,'Sep-25'!$A:$J,8,0)</f>
        <v>0</v>
      </c>
      <c r="DD148" s="106">
        <f>+VLOOKUP($BD148,'Oct-25'!$A:$J,8,0)</f>
        <v>0</v>
      </c>
      <c r="DE148" s="106">
        <f>+VLOOKUP($BD148,'Nov-25'!$A:$J,8,0)</f>
        <v>0</v>
      </c>
      <c r="DF148" s="106">
        <f>+VLOOKUP($BD148,'Dec-25'!$A:$J,8,0)</f>
        <v>0</v>
      </c>
      <c r="DG148" s="106">
        <f t="shared" si="1693"/>
        <v>0</v>
      </c>
      <c r="DH148" s="118">
        <f t="shared" si="1225"/>
        <v>0</v>
      </c>
      <c r="DI148" s="106">
        <f>+_xlfn.XLOOKUP($CT148,Budget!$A:$A,Budget!CQ:CQ)</f>
        <v>0</v>
      </c>
      <c r="DJ148" s="106">
        <f>+_xlfn.XLOOKUP($CT148,Budget!$A:$A,Budget!CR:CR)</f>
        <v>0</v>
      </c>
      <c r="DK148" s="106">
        <f>+_xlfn.XLOOKUP($CT148,Budget!$A:$A,Budget!CS:CS)</f>
        <v>0</v>
      </c>
      <c r="DL148" s="106">
        <f>+_xlfn.XLOOKUP($CT148,Budget!$A:$A,Budget!CT:CT)</f>
        <v>0</v>
      </c>
      <c r="DM148" s="106">
        <f>+_xlfn.XLOOKUP($CT148,Budget!$A:$A,Budget!CU:CU)</f>
        <v>0</v>
      </c>
      <c r="DN148" s="106">
        <f>+_xlfn.XLOOKUP($CT148,Budget!$A:$A,Budget!CV:CV)</f>
        <v>0</v>
      </c>
      <c r="DO148" s="106">
        <f>+_xlfn.XLOOKUP($CT148,Budget!$A:$A,Budget!CW:CW)</f>
        <v>0</v>
      </c>
      <c r="DP148" s="106">
        <f>+_xlfn.XLOOKUP($CT148,Budget!$A:$A,Budget!CX:CX)</f>
        <v>0</v>
      </c>
      <c r="DQ148" s="106">
        <f>+_xlfn.XLOOKUP($CT148,Budget!$A:$A,Budget!CY:CY)</f>
        <v>0</v>
      </c>
      <c r="DR148" s="106">
        <f>+_xlfn.XLOOKUP($CT148,Budget!$A:$A,Budget!CZ:CZ)</f>
        <v>0</v>
      </c>
      <c r="DS148" s="106">
        <f>+_xlfn.XLOOKUP($CT148,Budget!$A:$A,Budget!DA:DA)</f>
        <v>0</v>
      </c>
      <c r="DT148" s="106">
        <f>+_xlfn.XLOOKUP($CT148,Budget!$A:$A,Budget!DB:DB)</f>
        <v>0</v>
      </c>
      <c r="DU148" s="106">
        <f t="shared" si="1694"/>
        <v>0</v>
      </c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106">
        <f t="shared" si="1695"/>
        <v>0</v>
      </c>
      <c r="EJ148" s="16" t="str">
        <f t="shared" si="1555"/>
        <v>Daily Allowance to Drivers</v>
      </c>
      <c r="EK148" s="22">
        <f>+VLOOKUP($BD148,'Jan-25'!$A:$J,10,0)</f>
        <v>0</v>
      </c>
      <c r="EL148" s="22">
        <f>+VLOOKUP($BD148,'Feb-25'!$A:$J,10,0)</f>
        <v>0</v>
      </c>
      <c r="EM148" s="22">
        <f>+VLOOKUP($BD148,'Mar-25'!$A:$J,10,0)</f>
        <v>0</v>
      </c>
      <c r="EN148" s="22">
        <f>+VLOOKUP($BD148,'Apr-25'!$A:$J,10,0)</f>
        <v>0</v>
      </c>
      <c r="EO148" s="22">
        <f>+VLOOKUP($BD148,'May-25'!$A:$J,10,0)</f>
        <v>0</v>
      </c>
      <c r="EP148" s="22">
        <f>+VLOOKUP($BD148,'June-25'!$A:$J,10,0)</f>
        <v>0</v>
      </c>
      <c r="EQ148" s="22">
        <f>+VLOOKUP($BD148,'July-25'!$A:$J,10,0)</f>
        <v>0</v>
      </c>
      <c r="ER148" s="22">
        <f>+VLOOKUP($BD148,'Aug-25'!$A:$J,10,0)</f>
        <v>0</v>
      </c>
      <c r="ES148" s="22">
        <f>+VLOOKUP($BD148,'Sep-25'!$A:$J,10,0)</f>
        <v>0</v>
      </c>
      <c r="ET148" s="22">
        <f>+VLOOKUP($BD148,'Oct-25'!$A:$J,10,0)</f>
        <v>0</v>
      </c>
      <c r="EU148" s="22">
        <f>+VLOOKUP($BD148,'Nov-25'!$A:$J,10,0)</f>
        <v>0</v>
      </c>
      <c r="EV148" s="22">
        <f>+VLOOKUP($BD148,'Dec-25'!$A:$J,10,0)</f>
        <v>0</v>
      </c>
      <c r="EW148" s="22">
        <f t="shared" si="1696"/>
        <v>0</v>
      </c>
      <c r="EX148" s="118" t="e">
        <f t="shared" si="1226"/>
        <v>#DIV/0!</v>
      </c>
      <c r="EY148" s="106">
        <f>+_xlfn.XLOOKUP($EJ148,Budget!$A:$A,Budget!DR:DR)</f>
        <v>0</v>
      </c>
      <c r="EZ148" s="106">
        <f>+_xlfn.XLOOKUP($EJ148,Budget!$A:$A,Budget!DS:DS)</f>
        <v>0</v>
      </c>
      <c r="FA148" s="106">
        <f>+_xlfn.XLOOKUP($EJ148,Budget!$A:$A,Budget!DT:DT)</f>
        <v>0</v>
      </c>
      <c r="FB148" s="106">
        <f>+_xlfn.XLOOKUP($EJ148,Budget!$A:$A,Budget!DU:DU)</f>
        <v>0</v>
      </c>
      <c r="FC148" s="106">
        <f>+_xlfn.XLOOKUP($EJ148,Budget!$A:$A,Budget!DV:DV)</f>
        <v>0</v>
      </c>
      <c r="FD148" s="106">
        <f>+_xlfn.XLOOKUP($EJ148,Budget!$A:$A,Budget!DW:DW)</f>
        <v>0</v>
      </c>
      <c r="FE148" s="106">
        <f>+_xlfn.XLOOKUP($EJ148,Budget!$A:$A,Budget!DX:DX)</f>
        <v>0</v>
      </c>
      <c r="FF148" s="106">
        <f>+_xlfn.XLOOKUP($EJ148,Budget!$A:$A,Budget!DY:DY)</f>
        <v>0</v>
      </c>
      <c r="FG148" s="106">
        <f>+_xlfn.XLOOKUP($EJ148,Budget!$A:$A,Budget!DZ:DZ)</f>
        <v>0</v>
      </c>
      <c r="FH148" s="106">
        <f>+_xlfn.XLOOKUP($EJ148,Budget!$A:$A,Budget!EA:EA)</f>
        <v>0</v>
      </c>
      <c r="FI148" s="106">
        <f>+_xlfn.XLOOKUP($EJ148,Budget!$A:$A,Budget!EB:EB)</f>
        <v>0</v>
      </c>
      <c r="FJ148" s="106">
        <f>+_xlfn.XLOOKUP($EJ148,Budget!$A:$A,Budget!EC:EC)</f>
        <v>0</v>
      </c>
      <c r="FK148" s="106">
        <f t="shared" si="1697"/>
        <v>0</v>
      </c>
    </row>
    <row r="149" spans="1:167" ht="14.45" hidden="1" customHeight="1" outlineLevel="2">
      <c r="A149" s="106">
        <f t="shared" si="1447"/>
        <v>0</v>
      </c>
      <c r="B149" s="106">
        <f t="shared" si="1447"/>
        <v>0</v>
      </c>
      <c r="C149" s="106">
        <f t="shared" si="1447"/>
        <v>0</v>
      </c>
      <c r="D149" s="106">
        <f t="shared" si="1447"/>
        <v>0</v>
      </c>
      <c r="E149" s="106">
        <f t="shared" si="1447"/>
        <v>0</v>
      </c>
      <c r="F149" s="106">
        <f t="shared" si="1447"/>
        <v>0</v>
      </c>
      <c r="G149" s="106">
        <f t="shared" si="1447"/>
        <v>0</v>
      </c>
      <c r="H149" s="106">
        <f t="shared" si="1447"/>
        <v>0</v>
      </c>
      <c r="I149" s="106">
        <f t="shared" si="1447"/>
        <v>0</v>
      </c>
      <c r="J149" s="106">
        <f t="shared" si="1447"/>
        <v>0</v>
      </c>
      <c r="K149" s="106">
        <f t="shared" si="1447"/>
        <v>0</v>
      </c>
      <c r="L149" s="106">
        <f t="shared" si="1447"/>
        <v>0</v>
      </c>
      <c r="M149" s="106">
        <f t="shared" si="1662"/>
        <v>0</v>
      </c>
      <c r="N149" s="16" t="s">
        <v>124</v>
      </c>
      <c r="O149" s="106">
        <f t="shared" si="1663"/>
        <v>0</v>
      </c>
      <c r="P149" s="106">
        <f t="shared" si="1664"/>
        <v>0</v>
      </c>
      <c r="Q149" s="106">
        <f t="shared" si="1665"/>
        <v>0</v>
      </c>
      <c r="R149" s="106">
        <f t="shared" si="1666"/>
        <v>0</v>
      </c>
      <c r="S149" s="106">
        <f t="shared" si="1667"/>
        <v>0</v>
      </c>
      <c r="T149" s="106">
        <f t="shared" si="1668"/>
        <v>0</v>
      </c>
      <c r="U149" s="106">
        <f t="shared" si="1669"/>
        <v>0</v>
      </c>
      <c r="V149" s="106">
        <f t="shared" si="1670"/>
        <v>0</v>
      </c>
      <c r="W149" s="106">
        <f t="shared" si="1671"/>
        <v>0</v>
      </c>
      <c r="X149" s="106">
        <f t="shared" si="1672"/>
        <v>0</v>
      </c>
      <c r="Y149" s="106">
        <f t="shared" si="1673"/>
        <v>0</v>
      </c>
      <c r="Z149" s="106">
        <f t="shared" si="1674"/>
        <v>0</v>
      </c>
      <c r="AA149" s="106">
        <f t="shared" si="1675"/>
        <v>0</v>
      </c>
      <c r="AB149" s="118">
        <f t="shared" si="1223"/>
        <v>0</v>
      </c>
      <c r="AC149" s="106">
        <f t="shared" si="1676"/>
        <v>0</v>
      </c>
      <c r="AD149" s="106">
        <f t="shared" si="1677"/>
        <v>0</v>
      </c>
      <c r="AE149" s="106">
        <f t="shared" si="1678"/>
        <v>0</v>
      </c>
      <c r="AF149" s="106">
        <f t="shared" si="1679"/>
        <v>0</v>
      </c>
      <c r="AG149" s="106">
        <f t="shared" si="1680"/>
        <v>0</v>
      </c>
      <c r="AH149" s="106">
        <f t="shared" si="1681"/>
        <v>0</v>
      </c>
      <c r="AI149" s="106">
        <f t="shared" si="1682"/>
        <v>0</v>
      </c>
      <c r="AJ149" s="106">
        <f t="shared" si="1683"/>
        <v>0</v>
      </c>
      <c r="AK149" s="106">
        <f t="shared" si="1684"/>
        <v>0</v>
      </c>
      <c r="AL149" s="106">
        <f t="shared" si="1685"/>
        <v>0</v>
      </c>
      <c r="AM149" s="106">
        <f t="shared" si="1686"/>
        <v>0</v>
      </c>
      <c r="AN149" s="106">
        <f t="shared" si="1687"/>
        <v>0</v>
      </c>
      <c r="AO149" s="106">
        <f t="shared" si="1688"/>
        <v>0</v>
      </c>
      <c r="AQ149" s="106">
        <v>0</v>
      </c>
      <c r="AR149" s="106">
        <v>0</v>
      </c>
      <c r="AS149" s="106">
        <v>0</v>
      </c>
      <c r="AT149" s="106">
        <v>0</v>
      </c>
      <c r="AU149" s="106">
        <v>0</v>
      </c>
      <c r="AV149" s="106">
        <v>0</v>
      </c>
      <c r="AW149" s="106">
        <v>0</v>
      </c>
      <c r="AX149" s="106">
        <v>0</v>
      </c>
      <c r="AY149" s="106">
        <v>0</v>
      </c>
      <c r="AZ149" s="106">
        <v>0</v>
      </c>
      <c r="BA149" s="106">
        <v>0</v>
      </c>
      <c r="BB149" s="106">
        <v>0</v>
      </c>
      <c r="BC149" s="106">
        <f t="shared" si="1689"/>
        <v>0</v>
      </c>
      <c r="BD149" s="16" t="str">
        <f t="shared" si="1410"/>
        <v>Daily Allowance to Others</v>
      </c>
      <c r="BE149" s="106">
        <f>+VLOOKUP($BD149,'Jan-25'!$A:$J,5,0)</f>
        <v>0</v>
      </c>
      <c r="BF149" s="106">
        <f>+VLOOKUP($BD149,'Feb-25'!$A:$J,5,0)</f>
        <v>0</v>
      </c>
      <c r="BG149" s="106">
        <f>+VLOOKUP($BD149,'Mar-25'!$A:$J,5,0)</f>
        <v>0</v>
      </c>
      <c r="BH149" s="106">
        <f>+VLOOKUP($BD149,'Apr-25'!$A:$J,5,0)</f>
        <v>0</v>
      </c>
      <c r="BI149" s="106">
        <f>+VLOOKUP($BD149,'May-25'!$A:$J,5,0)</f>
        <v>0</v>
      </c>
      <c r="BJ149" s="106">
        <f>+VLOOKUP($BD149,'June-25'!$A:$J,5,0)</f>
        <v>0</v>
      </c>
      <c r="BK149" s="106">
        <f>+VLOOKUP($BD149,'July-25'!$A:$J,5,0)</f>
        <v>0</v>
      </c>
      <c r="BL149" s="106">
        <f>+VLOOKUP($BD149,'Aug-25'!$A:$J,5,0)</f>
        <v>0</v>
      </c>
      <c r="BM149" s="106">
        <f>+VLOOKUP($BD149,'Sep-25'!$A:$J,5,0)</f>
        <v>0</v>
      </c>
      <c r="BN149" s="106">
        <f>+VLOOKUP($BD149,'Oct-25'!$A:$J,5,0)</f>
        <v>0</v>
      </c>
      <c r="BO149" s="106">
        <f>+VLOOKUP($BD149,'Nov-25'!$A:$J,5,0)</f>
        <v>0</v>
      </c>
      <c r="BP149" s="106">
        <f>+VLOOKUP($BD149,'Dec-25'!$A:$J,5,0)</f>
        <v>0</v>
      </c>
      <c r="BQ149" s="106">
        <f t="shared" si="1690"/>
        <v>0</v>
      </c>
      <c r="BR149" s="118">
        <f t="shared" si="1224"/>
        <v>0</v>
      </c>
      <c r="BS149" s="106">
        <f>+_xlfn.XLOOKUP($BD149,Budget!$A:$A,Budget!BD:BD)</f>
        <v>0</v>
      </c>
      <c r="BT149" s="106">
        <f>+_xlfn.XLOOKUP($BD149,Budget!$A:$A,Budget!BE:BE)</f>
        <v>0</v>
      </c>
      <c r="BU149" s="106">
        <f>+_xlfn.XLOOKUP($BD149,Budget!$A:$A,Budget!BF:BF)</f>
        <v>0</v>
      </c>
      <c r="BV149" s="106">
        <f>+_xlfn.XLOOKUP($BD149,Budget!$A:$A,Budget!BG:BG)</f>
        <v>0</v>
      </c>
      <c r="BW149" s="106">
        <f>+_xlfn.XLOOKUP($BD149,Budget!$A:$A,Budget!BH:BH)</f>
        <v>0</v>
      </c>
      <c r="BX149" s="106">
        <f>+_xlfn.XLOOKUP($BD149,Budget!$A:$A,Budget!BI:BI)</f>
        <v>0</v>
      </c>
      <c r="BY149" s="106">
        <f>+_xlfn.XLOOKUP($BD149,Budget!$A:$A,Budget!BJ:BJ)</f>
        <v>0</v>
      </c>
      <c r="BZ149" s="106">
        <f>+_xlfn.XLOOKUP($BD149,Budget!$A:$A,Budget!BK:BK)</f>
        <v>0</v>
      </c>
      <c r="CA149" s="106">
        <f>+_xlfn.XLOOKUP($BD149,Budget!$A:$A,Budget!BL:BL)</f>
        <v>0</v>
      </c>
      <c r="CB149" s="106">
        <f>+_xlfn.XLOOKUP($BD149,Budget!$A:$A,Budget!BM:BM)</f>
        <v>0</v>
      </c>
      <c r="CC149" s="106">
        <f>+_xlfn.XLOOKUP($BD149,Budget!$A:$A,Budget!BN:BN)</f>
        <v>0</v>
      </c>
      <c r="CD149" s="106">
        <f>+_xlfn.XLOOKUP($BD149,Budget!$A:$A,Budget!BO:BO)</f>
        <v>0</v>
      </c>
      <c r="CE149" s="106">
        <f t="shared" si="1691"/>
        <v>0</v>
      </c>
      <c r="CF149" s="106"/>
      <c r="CG149" s="106">
        <v>0</v>
      </c>
      <c r="CH149" s="106">
        <v>0</v>
      </c>
      <c r="CI149" s="106">
        <v>0</v>
      </c>
      <c r="CJ149" s="106">
        <v>0</v>
      </c>
      <c r="CK149" s="106">
        <v>0</v>
      </c>
      <c r="CL149" s="106">
        <v>0</v>
      </c>
      <c r="CM149" s="106">
        <v>0</v>
      </c>
      <c r="CN149" s="106">
        <v>0</v>
      </c>
      <c r="CO149" s="106">
        <v>0</v>
      </c>
      <c r="CP149" s="106">
        <v>0</v>
      </c>
      <c r="CQ149" s="106">
        <v>0</v>
      </c>
      <c r="CR149" s="106">
        <v>0</v>
      </c>
      <c r="CS149" s="106">
        <f t="shared" si="1692"/>
        <v>0</v>
      </c>
      <c r="CT149" s="16" t="str">
        <f t="shared" si="1411"/>
        <v>Daily Allowance to Others</v>
      </c>
      <c r="CU149" s="106">
        <f>+VLOOKUP($BD149,'Jan-25'!$A:$J,8,0)</f>
        <v>0</v>
      </c>
      <c r="CV149" s="106">
        <f>+VLOOKUP($BD149,'Feb-25'!$A:$J,8,0)</f>
        <v>0</v>
      </c>
      <c r="CW149" s="106">
        <f>+VLOOKUP($BD149,'Mar-25'!$A:$J,8,0)</f>
        <v>0</v>
      </c>
      <c r="CX149" s="106">
        <f>+VLOOKUP($BD149,'Apr-25'!$A:$J,8,0)</f>
        <v>0</v>
      </c>
      <c r="CY149" s="106">
        <f>+VLOOKUP($BD149,'May-25'!$A:$J,8,0)</f>
        <v>0</v>
      </c>
      <c r="CZ149" s="106">
        <f>+VLOOKUP($BD149,'June-25'!$A:$J,8,0)</f>
        <v>0</v>
      </c>
      <c r="DA149" s="106">
        <f>+VLOOKUP($BD149,'July-25'!$A:$J,8,0)</f>
        <v>0</v>
      </c>
      <c r="DB149" s="106">
        <f>+VLOOKUP($BD149,'Aug-25'!$A:$J,8,0)</f>
        <v>0</v>
      </c>
      <c r="DC149" s="106">
        <f>+VLOOKUP($BD149,'Sep-25'!$A:$J,8,0)</f>
        <v>0</v>
      </c>
      <c r="DD149" s="106">
        <f>+VLOOKUP($BD149,'Oct-25'!$A:$J,8,0)</f>
        <v>0</v>
      </c>
      <c r="DE149" s="106">
        <f>+VLOOKUP($BD149,'Nov-25'!$A:$J,8,0)</f>
        <v>0</v>
      </c>
      <c r="DF149" s="106">
        <f>+VLOOKUP($BD149,'Dec-25'!$A:$J,8,0)</f>
        <v>0</v>
      </c>
      <c r="DG149" s="106">
        <f t="shared" si="1693"/>
        <v>0</v>
      </c>
      <c r="DH149" s="118">
        <f t="shared" si="1225"/>
        <v>0</v>
      </c>
      <c r="DI149" s="106">
        <f>+_xlfn.XLOOKUP($CT149,Budget!$A:$A,Budget!CQ:CQ)</f>
        <v>0</v>
      </c>
      <c r="DJ149" s="106">
        <f>+_xlfn.XLOOKUP($CT149,Budget!$A:$A,Budget!CR:CR)</f>
        <v>0</v>
      </c>
      <c r="DK149" s="106">
        <f>+_xlfn.XLOOKUP($CT149,Budget!$A:$A,Budget!CS:CS)</f>
        <v>0</v>
      </c>
      <c r="DL149" s="106">
        <f>+_xlfn.XLOOKUP($CT149,Budget!$A:$A,Budget!CT:CT)</f>
        <v>0</v>
      </c>
      <c r="DM149" s="106">
        <f>+_xlfn.XLOOKUP($CT149,Budget!$A:$A,Budget!CU:CU)</f>
        <v>0</v>
      </c>
      <c r="DN149" s="106">
        <f>+_xlfn.XLOOKUP($CT149,Budget!$A:$A,Budget!CV:CV)</f>
        <v>0</v>
      </c>
      <c r="DO149" s="106">
        <f>+_xlfn.XLOOKUP($CT149,Budget!$A:$A,Budget!CW:CW)</f>
        <v>0</v>
      </c>
      <c r="DP149" s="106">
        <f>+_xlfn.XLOOKUP($CT149,Budget!$A:$A,Budget!CX:CX)</f>
        <v>0</v>
      </c>
      <c r="DQ149" s="106">
        <f>+_xlfn.XLOOKUP($CT149,Budget!$A:$A,Budget!CY:CY)</f>
        <v>0</v>
      </c>
      <c r="DR149" s="106">
        <f>+_xlfn.XLOOKUP($CT149,Budget!$A:$A,Budget!CZ:CZ)</f>
        <v>0</v>
      </c>
      <c r="DS149" s="106">
        <f>+_xlfn.XLOOKUP($CT149,Budget!$A:$A,Budget!DA:DA)</f>
        <v>0</v>
      </c>
      <c r="DT149" s="106">
        <f>+_xlfn.XLOOKUP($CT149,Budget!$A:$A,Budget!DB:DB)</f>
        <v>0</v>
      </c>
      <c r="DU149" s="106">
        <f t="shared" si="1694"/>
        <v>0</v>
      </c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106">
        <f t="shared" si="1695"/>
        <v>0</v>
      </c>
      <c r="EJ149" s="16" t="str">
        <f t="shared" si="1555"/>
        <v>Daily Allowance to Others</v>
      </c>
      <c r="EK149" s="22">
        <f>+VLOOKUP($BD149,'Jan-25'!$A:$J,10,0)</f>
        <v>0</v>
      </c>
      <c r="EL149" s="22">
        <f>+VLOOKUP($BD149,'Feb-25'!$A:$J,10,0)</f>
        <v>0</v>
      </c>
      <c r="EM149" s="22">
        <f>+VLOOKUP($BD149,'Mar-25'!$A:$J,10,0)</f>
        <v>0</v>
      </c>
      <c r="EN149" s="22">
        <f>+VLOOKUP($BD149,'Apr-25'!$A:$J,10,0)</f>
        <v>0</v>
      </c>
      <c r="EO149" s="22">
        <f>+VLOOKUP($BD149,'May-25'!$A:$J,10,0)</f>
        <v>0</v>
      </c>
      <c r="EP149" s="22">
        <f>+VLOOKUP($BD149,'June-25'!$A:$J,10,0)</f>
        <v>0</v>
      </c>
      <c r="EQ149" s="22">
        <f>+VLOOKUP($BD149,'July-25'!$A:$J,10,0)</f>
        <v>0</v>
      </c>
      <c r="ER149" s="22">
        <f>+VLOOKUP($BD149,'Aug-25'!$A:$J,10,0)</f>
        <v>0</v>
      </c>
      <c r="ES149" s="22">
        <f>+VLOOKUP($BD149,'Sep-25'!$A:$J,10,0)</f>
        <v>0</v>
      </c>
      <c r="ET149" s="22">
        <f>+VLOOKUP($BD149,'Oct-25'!$A:$J,10,0)</f>
        <v>0</v>
      </c>
      <c r="EU149" s="22">
        <f>+VLOOKUP($BD149,'Nov-25'!$A:$J,10,0)</f>
        <v>0</v>
      </c>
      <c r="EV149" s="22">
        <f>+VLOOKUP($BD149,'Dec-25'!$A:$J,10,0)</f>
        <v>0</v>
      </c>
      <c r="EW149" s="22">
        <f t="shared" si="1696"/>
        <v>0</v>
      </c>
      <c r="EX149" s="118" t="e">
        <f t="shared" si="1226"/>
        <v>#DIV/0!</v>
      </c>
      <c r="EY149" s="106">
        <f>+_xlfn.XLOOKUP($EJ149,Budget!$A:$A,Budget!DR:DR)</f>
        <v>0</v>
      </c>
      <c r="EZ149" s="106">
        <f>+_xlfn.XLOOKUP($EJ149,Budget!$A:$A,Budget!DS:DS)</f>
        <v>0</v>
      </c>
      <c r="FA149" s="106">
        <f>+_xlfn.XLOOKUP($EJ149,Budget!$A:$A,Budget!DT:DT)</f>
        <v>0</v>
      </c>
      <c r="FB149" s="106">
        <f>+_xlfn.XLOOKUP($EJ149,Budget!$A:$A,Budget!DU:DU)</f>
        <v>0</v>
      </c>
      <c r="FC149" s="106">
        <f>+_xlfn.XLOOKUP($EJ149,Budget!$A:$A,Budget!DV:DV)</f>
        <v>0</v>
      </c>
      <c r="FD149" s="106">
        <f>+_xlfn.XLOOKUP($EJ149,Budget!$A:$A,Budget!DW:DW)</f>
        <v>0</v>
      </c>
      <c r="FE149" s="106">
        <f>+_xlfn.XLOOKUP($EJ149,Budget!$A:$A,Budget!DX:DX)</f>
        <v>0</v>
      </c>
      <c r="FF149" s="106">
        <f>+_xlfn.XLOOKUP($EJ149,Budget!$A:$A,Budget!DY:DY)</f>
        <v>0</v>
      </c>
      <c r="FG149" s="106">
        <f>+_xlfn.XLOOKUP($EJ149,Budget!$A:$A,Budget!DZ:DZ)</f>
        <v>0</v>
      </c>
      <c r="FH149" s="106">
        <f>+_xlfn.XLOOKUP($EJ149,Budget!$A:$A,Budget!EA:EA)</f>
        <v>0</v>
      </c>
      <c r="FI149" s="106">
        <f>+_xlfn.XLOOKUP($EJ149,Budget!$A:$A,Budget!EB:EB)</f>
        <v>0</v>
      </c>
      <c r="FJ149" s="106">
        <f>+_xlfn.XLOOKUP($EJ149,Budget!$A:$A,Budget!EC:EC)</f>
        <v>0</v>
      </c>
      <c r="FK149" s="106">
        <f t="shared" si="1697"/>
        <v>0</v>
      </c>
    </row>
    <row r="150" spans="1:167" ht="14.45" hidden="1" customHeight="1" outlineLevel="1" collapsed="1">
      <c r="A150" s="58">
        <f t="shared" ref="A150:M150" si="1698">+SUM(A151:A154)</f>
        <v>64574.600000000013</v>
      </c>
      <c r="B150" s="58">
        <f t="shared" si="1698"/>
        <v>63340.6</v>
      </c>
      <c r="C150" s="58">
        <f t="shared" si="1698"/>
        <v>66085.600000000006</v>
      </c>
      <c r="D150" s="58">
        <f t="shared" si="1698"/>
        <v>61307.799999999996</v>
      </c>
      <c r="E150" s="58">
        <f t="shared" si="1698"/>
        <v>67614.8</v>
      </c>
      <c r="F150" s="58">
        <f t="shared" si="1698"/>
        <v>67614.8</v>
      </c>
      <c r="G150" s="58">
        <f t="shared" si="1698"/>
        <v>52937</v>
      </c>
      <c r="H150" s="58">
        <f t="shared" si="1698"/>
        <v>51529.2</v>
      </c>
      <c r="I150" s="58">
        <f t="shared" si="1698"/>
        <v>63288.800000000003</v>
      </c>
      <c r="J150" s="58">
        <f t="shared" si="1698"/>
        <v>106402.8</v>
      </c>
      <c r="K150" s="58">
        <f t="shared" si="1698"/>
        <v>57110.2</v>
      </c>
      <c r="L150" s="58">
        <f t="shared" si="1698"/>
        <v>61798.400000000001</v>
      </c>
      <c r="M150" s="58">
        <f t="shared" si="1698"/>
        <v>783604.6</v>
      </c>
      <c r="N150" s="20" t="s">
        <v>125</v>
      </c>
      <c r="O150" s="58">
        <f t="shared" ref="O150" si="1699">+SUM(O151:O154)</f>
        <v>56524.799999999996</v>
      </c>
      <c r="P150" s="58">
        <f t="shared" ref="P150" si="1700">+SUM(P151:P154)</f>
        <v>58672.6</v>
      </c>
      <c r="Q150" s="58">
        <f t="shared" ref="Q150" si="1701">+SUM(Q151:Q154)</f>
        <v>58640.6</v>
      </c>
      <c r="R150" s="58">
        <f t="shared" ref="R150" si="1702">+SUM(R151:R154)</f>
        <v>72432.2</v>
      </c>
      <c r="S150" s="58">
        <f t="shared" ref="S150" si="1703">+SUM(S151:S154)</f>
        <v>57858.200000000004</v>
      </c>
      <c r="T150" s="58">
        <f t="shared" ref="T150" si="1704">+SUM(T151:T154)</f>
        <v>60261.4</v>
      </c>
      <c r="U150" s="58">
        <f t="shared" ref="U150" si="1705">+SUM(U151:U154)</f>
        <v>89541.8</v>
      </c>
      <c r="V150" s="58">
        <f t="shared" ref="V150" si="1706">+SUM(V151:V154)</f>
        <v>61684.799999999996</v>
      </c>
      <c r="W150" s="58">
        <f t="shared" ref="W150" si="1707">+SUM(W151:W154)</f>
        <v>125263.2</v>
      </c>
      <c r="X150" s="58">
        <f t="shared" ref="X150" si="1708">+SUM(X151:X154)</f>
        <v>89999.2</v>
      </c>
      <c r="Y150" s="58">
        <f t="shared" ref="Y150" si="1709">+SUM(Y151:Y154)</f>
        <v>0</v>
      </c>
      <c r="Z150" s="58">
        <f t="shared" ref="Z150" si="1710">+SUM(Z151:Z154)</f>
        <v>0</v>
      </c>
      <c r="AA150" s="58">
        <f t="shared" ref="AA150" si="1711">+SUM(AA151:AA154)</f>
        <v>730878.79999999993</v>
      </c>
      <c r="AB150" s="118">
        <f t="shared" si="1223"/>
        <v>-0.20296072611631771</v>
      </c>
      <c r="AC150" s="58">
        <f t="shared" ref="AC150" si="1712">+SUM(AC151:AC154)</f>
        <v>112916.895</v>
      </c>
      <c r="AD150" s="58">
        <f t="shared" ref="AD150" si="1713">+SUM(AD151:AD154)</f>
        <v>112916.895</v>
      </c>
      <c r="AE150" s="58">
        <f t="shared" ref="AE150" si="1714">+SUM(AE151:AE154)</f>
        <v>112916.895</v>
      </c>
      <c r="AF150" s="58">
        <f t="shared" ref="AF150" si="1715">+SUM(AF151:AF154)</f>
        <v>112916.895</v>
      </c>
      <c r="AG150" s="58">
        <f t="shared" ref="AG150" si="1716">+SUM(AG151:AG154)</f>
        <v>112916.895</v>
      </c>
      <c r="AH150" s="58">
        <f t="shared" ref="AH150" si="1717">+SUM(AH151:AH154)</f>
        <v>112916.895</v>
      </c>
      <c r="AI150" s="58">
        <f t="shared" ref="AI150" si="1718">+SUM(AI151:AI154)</f>
        <v>112916.895</v>
      </c>
      <c r="AJ150" s="58">
        <f t="shared" ref="AJ150" si="1719">+SUM(AJ151:AJ154)</f>
        <v>112916.895</v>
      </c>
      <c r="AK150" s="58">
        <f t="shared" ref="AK150" si="1720">+SUM(AK151:AK154)</f>
        <v>112916.895</v>
      </c>
      <c r="AL150" s="58">
        <f t="shared" ref="AL150" si="1721">+SUM(AL151:AL154)</f>
        <v>112916.895</v>
      </c>
      <c r="AM150" s="58">
        <f t="shared" ref="AM150" si="1722">+SUM(AM151:AM154)</f>
        <v>112916.895</v>
      </c>
      <c r="AN150" s="58">
        <f t="shared" ref="AN150" si="1723">+SUM(AN151:AN154)</f>
        <v>112916.895</v>
      </c>
      <c r="AO150" s="58">
        <f t="shared" ref="AO150" si="1724">+SUM(AO151:AO154)</f>
        <v>1355002.7400000002</v>
      </c>
      <c r="AQ150" s="58">
        <f t="shared" ref="AQ150:CE150" si="1725">+SUM(AQ151:AQ154)</f>
        <v>44990.000000000015</v>
      </c>
      <c r="AR150" s="58">
        <f t="shared" si="1725"/>
        <v>43793.2</v>
      </c>
      <c r="AS150" s="58">
        <f t="shared" si="1725"/>
        <v>45666</v>
      </c>
      <c r="AT150" s="58">
        <f t="shared" si="1725"/>
        <v>41763.199999999997</v>
      </c>
      <c r="AU150" s="58">
        <f t="shared" si="1725"/>
        <v>47818</v>
      </c>
      <c r="AV150" s="58">
        <f t="shared" si="1725"/>
        <v>47818</v>
      </c>
      <c r="AW150" s="58">
        <f t="shared" si="1725"/>
        <v>31194.400000000001</v>
      </c>
      <c r="AX150" s="58">
        <f t="shared" si="1725"/>
        <v>30521.200000000001</v>
      </c>
      <c r="AY150" s="58">
        <f t="shared" si="1725"/>
        <v>40836</v>
      </c>
      <c r="AZ150" s="58">
        <f t="shared" si="1725"/>
        <v>69234.8</v>
      </c>
      <c r="BA150" s="58">
        <f t="shared" si="1725"/>
        <v>33901.599999999999</v>
      </c>
      <c r="BB150" s="58">
        <f t="shared" si="1725"/>
        <v>33036</v>
      </c>
      <c r="BC150" s="58">
        <f t="shared" si="1725"/>
        <v>510572.39999999997</v>
      </c>
      <c r="BD150" s="20" t="str">
        <f t="shared" si="1410"/>
        <v>"Outside sourced services</v>
      </c>
      <c r="BE150" s="58">
        <f t="shared" si="1725"/>
        <v>33064</v>
      </c>
      <c r="BF150" s="58">
        <f t="shared" ref="BF150:BP150" si="1726">+SUM(BF151:BF154)</f>
        <v>35120.800000000003</v>
      </c>
      <c r="BG150" s="58">
        <f t="shared" si="1726"/>
        <v>35056.800000000003</v>
      </c>
      <c r="BH150" s="58">
        <f t="shared" si="1726"/>
        <v>48374.8</v>
      </c>
      <c r="BI150" s="58">
        <f t="shared" si="1726"/>
        <v>33529.200000000004</v>
      </c>
      <c r="BJ150" s="58">
        <f t="shared" si="1726"/>
        <v>35014.800000000003</v>
      </c>
      <c r="BK150" s="58">
        <f t="shared" si="1726"/>
        <v>60918.400000000001</v>
      </c>
      <c r="BL150" s="58">
        <f t="shared" si="1726"/>
        <v>36301.599999999999</v>
      </c>
      <c r="BM150" s="58">
        <f t="shared" si="1726"/>
        <v>54158.8</v>
      </c>
      <c r="BN150" s="58">
        <f t="shared" si="1726"/>
        <v>65157.200000000004</v>
      </c>
      <c r="BO150" s="58">
        <f t="shared" si="1726"/>
        <v>0</v>
      </c>
      <c r="BP150" s="58">
        <f t="shared" si="1726"/>
        <v>0</v>
      </c>
      <c r="BQ150" s="58">
        <f t="shared" si="1725"/>
        <v>436696.4</v>
      </c>
      <c r="BR150" s="118">
        <f t="shared" si="1224"/>
        <v>0.36734193442919155</v>
      </c>
      <c r="BS150" s="58">
        <f t="shared" si="1725"/>
        <v>47652.455000000002</v>
      </c>
      <c r="BT150" s="58">
        <f t="shared" si="1725"/>
        <v>47652.455000000002</v>
      </c>
      <c r="BU150" s="58">
        <f t="shared" si="1725"/>
        <v>47652.455000000002</v>
      </c>
      <c r="BV150" s="58">
        <f t="shared" si="1725"/>
        <v>47652.455000000002</v>
      </c>
      <c r="BW150" s="58">
        <f t="shared" si="1725"/>
        <v>47652.455000000002</v>
      </c>
      <c r="BX150" s="58">
        <f t="shared" si="1725"/>
        <v>47652.455000000002</v>
      </c>
      <c r="BY150" s="58">
        <f t="shared" si="1725"/>
        <v>47652.455000000002</v>
      </c>
      <c r="BZ150" s="58">
        <f t="shared" si="1725"/>
        <v>47652.455000000002</v>
      </c>
      <c r="CA150" s="58">
        <f t="shared" si="1725"/>
        <v>47652.455000000002</v>
      </c>
      <c r="CB150" s="58">
        <f t="shared" si="1725"/>
        <v>47652.455000000002</v>
      </c>
      <c r="CC150" s="58">
        <f t="shared" si="1725"/>
        <v>47652.455000000002</v>
      </c>
      <c r="CD150" s="58">
        <f t="shared" si="1725"/>
        <v>47652.455000000002</v>
      </c>
      <c r="CE150" s="58">
        <f t="shared" si="1725"/>
        <v>571829.4600000002</v>
      </c>
      <c r="CF150" s="106"/>
      <c r="CG150" s="58">
        <f t="shared" ref="CG150:CS150" si="1727">+SUM(CG151:CG154)</f>
        <v>19584.599999999999</v>
      </c>
      <c r="CH150" s="58">
        <f t="shared" si="1727"/>
        <v>19547.400000000001</v>
      </c>
      <c r="CI150" s="58">
        <f t="shared" si="1727"/>
        <v>20419.599999999999</v>
      </c>
      <c r="CJ150" s="58">
        <f t="shared" si="1727"/>
        <v>19544.599999999999</v>
      </c>
      <c r="CK150" s="58">
        <f t="shared" si="1727"/>
        <v>19796.800000000003</v>
      </c>
      <c r="CL150" s="58">
        <f t="shared" si="1727"/>
        <v>19796.800000000003</v>
      </c>
      <c r="CM150" s="58">
        <f t="shared" si="1727"/>
        <v>21742.6</v>
      </c>
      <c r="CN150" s="58">
        <f t="shared" si="1727"/>
        <v>21008</v>
      </c>
      <c r="CO150" s="58">
        <f t="shared" si="1727"/>
        <v>22452.800000000003</v>
      </c>
      <c r="CP150" s="58">
        <f t="shared" si="1727"/>
        <v>37168</v>
      </c>
      <c r="CQ150" s="58">
        <f t="shared" si="1727"/>
        <v>23208.6</v>
      </c>
      <c r="CR150" s="58">
        <f t="shared" si="1727"/>
        <v>28762.400000000001</v>
      </c>
      <c r="CS150" s="58">
        <f t="shared" si="1727"/>
        <v>273032.2</v>
      </c>
      <c r="CT150" s="20" t="str">
        <f t="shared" si="1411"/>
        <v>"Outside sourced services</v>
      </c>
      <c r="CU150" s="58">
        <f t="shared" ref="CU150:DU150" si="1728">+SUM(CU151:CU154)</f>
        <v>23460.799999999999</v>
      </c>
      <c r="CV150" s="58">
        <f t="shared" si="1728"/>
        <v>23551.8</v>
      </c>
      <c r="CW150" s="58">
        <f t="shared" si="1728"/>
        <v>23583.8</v>
      </c>
      <c r="CX150" s="58">
        <f t="shared" si="1728"/>
        <v>24057.4</v>
      </c>
      <c r="CY150" s="58">
        <f t="shared" si="1728"/>
        <v>24329</v>
      </c>
      <c r="CZ150" s="58">
        <f t="shared" si="1728"/>
        <v>25246.600000000002</v>
      </c>
      <c r="DA150" s="58">
        <f t="shared" si="1728"/>
        <v>28623.4</v>
      </c>
      <c r="DB150" s="58">
        <f t="shared" si="1728"/>
        <v>25383.200000000001</v>
      </c>
      <c r="DC150" s="58">
        <f t="shared" si="1728"/>
        <v>24810.800000000003</v>
      </c>
      <c r="DD150" s="58">
        <f t="shared" si="1728"/>
        <v>24842</v>
      </c>
      <c r="DE150" s="58">
        <f t="shared" si="1728"/>
        <v>0</v>
      </c>
      <c r="DF150" s="58">
        <f t="shared" si="1728"/>
        <v>0</v>
      </c>
      <c r="DG150" s="58">
        <f t="shared" si="1728"/>
        <v>247888.80000000002</v>
      </c>
      <c r="DH150" s="118">
        <f t="shared" si="1225"/>
        <v>0.15651553721501446</v>
      </c>
      <c r="DI150" s="58">
        <f t="shared" si="1728"/>
        <v>21480.04</v>
      </c>
      <c r="DJ150" s="58">
        <f t="shared" si="1728"/>
        <v>21480.04</v>
      </c>
      <c r="DK150" s="58">
        <f t="shared" si="1728"/>
        <v>21480.04</v>
      </c>
      <c r="DL150" s="58">
        <f t="shared" si="1728"/>
        <v>21480.04</v>
      </c>
      <c r="DM150" s="58">
        <f t="shared" si="1728"/>
        <v>21480.04</v>
      </c>
      <c r="DN150" s="58">
        <f t="shared" si="1728"/>
        <v>21480.04</v>
      </c>
      <c r="DO150" s="58">
        <f t="shared" si="1728"/>
        <v>21480.04</v>
      </c>
      <c r="DP150" s="58">
        <f t="shared" si="1728"/>
        <v>21480.04</v>
      </c>
      <c r="DQ150" s="58">
        <f t="shared" si="1728"/>
        <v>21480.04</v>
      </c>
      <c r="DR150" s="58">
        <f t="shared" si="1728"/>
        <v>21480.04</v>
      </c>
      <c r="DS150" s="58">
        <f t="shared" si="1728"/>
        <v>21480.04</v>
      </c>
      <c r="DT150" s="58">
        <f t="shared" si="1728"/>
        <v>21480.04</v>
      </c>
      <c r="DU150" s="58">
        <f t="shared" si="1728"/>
        <v>257760.47999999998</v>
      </c>
      <c r="DW150" s="28">
        <f t="shared" ref="DW150:EI150" si="1729">+SUM(DW151:DW154)</f>
        <v>0</v>
      </c>
      <c r="DX150" s="28">
        <f t="shared" si="1729"/>
        <v>0</v>
      </c>
      <c r="DY150" s="28">
        <f t="shared" si="1729"/>
        <v>0</v>
      </c>
      <c r="DZ150" s="28">
        <f t="shared" si="1729"/>
        <v>0</v>
      </c>
      <c r="EA150" s="28">
        <f t="shared" si="1729"/>
        <v>0</v>
      </c>
      <c r="EB150" s="28">
        <f t="shared" si="1729"/>
        <v>0</v>
      </c>
      <c r="EC150" s="28">
        <f t="shared" si="1729"/>
        <v>0</v>
      </c>
      <c r="ED150" s="28">
        <f t="shared" si="1729"/>
        <v>0</v>
      </c>
      <c r="EE150" s="28">
        <f t="shared" si="1729"/>
        <v>0</v>
      </c>
      <c r="EF150" s="28">
        <f t="shared" si="1729"/>
        <v>0</v>
      </c>
      <c r="EG150" s="28">
        <f t="shared" si="1729"/>
        <v>0</v>
      </c>
      <c r="EH150" s="28">
        <f t="shared" si="1729"/>
        <v>0</v>
      </c>
      <c r="EI150" s="58">
        <f t="shared" si="1729"/>
        <v>0</v>
      </c>
      <c r="EJ150" s="20" t="str">
        <f t="shared" si="1555"/>
        <v>"Outside sourced services</v>
      </c>
      <c r="EK150" s="28">
        <f t="shared" ref="EK150:EV150" si="1730">+SUM(EK151:EK154)</f>
        <v>0</v>
      </c>
      <c r="EL150" s="28">
        <f t="shared" si="1730"/>
        <v>0</v>
      </c>
      <c r="EM150" s="28">
        <f t="shared" si="1730"/>
        <v>0</v>
      </c>
      <c r="EN150" s="28">
        <f t="shared" si="1730"/>
        <v>0</v>
      </c>
      <c r="EO150" s="28">
        <f t="shared" si="1730"/>
        <v>0</v>
      </c>
      <c r="EP150" s="28">
        <f t="shared" si="1730"/>
        <v>0</v>
      </c>
      <c r="EQ150" s="28">
        <f t="shared" si="1730"/>
        <v>0</v>
      </c>
      <c r="ER150" s="28">
        <f t="shared" si="1730"/>
        <v>0</v>
      </c>
      <c r="ES150" s="28">
        <f t="shared" si="1730"/>
        <v>46293.599999999999</v>
      </c>
      <c r="ET150" s="28">
        <f t="shared" si="1730"/>
        <v>0</v>
      </c>
      <c r="EU150" s="28">
        <f t="shared" si="1730"/>
        <v>0</v>
      </c>
      <c r="EV150" s="28">
        <f t="shared" si="1730"/>
        <v>0</v>
      </c>
      <c r="EW150" s="28">
        <f t="shared" ref="EW150" si="1731">+SUM(EW151:EW154)</f>
        <v>46293.599999999999</v>
      </c>
      <c r="EX150" s="118">
        <f t="shared" si="1226"/>
        <v>5.7308082330693053E-2</v>
      </c>
      <c r="EY150" s="58">
        <f t="shared" ref="EY150:FK150" si="1732">+SUM(EY151:EY154)</f>
        <v>43784.4</v>
      </c>
      <c r="EZ150" s="58">
        <f t="shared" si="1732"/>
        <v>43784.4</v>
      </c>
      <c r="FA150" s="58">
        <f t="shared" si="1732"/>
        <v>43784.4</v>
      </c>
      <c r="FB150" s="58">
        <f t="shared" si="1732"/>
        <v>43784.4</v>
      </c>
      <c r="FC150" s="58">
        <f t="shared" si="1732"/>
        <v>43784.4</v>
      </c>
      <c r="FD150" s="58">
        <f t="shared" si="1732"/>
        <v>43784.4</v>
      </c>
      <c r="FE150" s="58">
        <f t="shared" si="1732"/>
        <v>43784.4</v>
      </c>
      <c r="FF150" s="58">
        <f t="shared" si="1732"/>
        <v>43784.4</v>
      </c>
      <c r="FG150" s="58">
        <f t="shared" si="1732"/>
        <v>43784.4</v>
      </c>
      <c r="FH150" s="58">
        <f t="shared" si="1732"/>
        <v>43784.4</v>
      </c>
      <c r="FI150" s="58">
        <f t="shared" si="1732"/>
        <v>43784.4</v>
      </c>
      <c r="FJ150" s="58">
        <f t="shared" si="1732"/>
        <v>43784.4</v>
      </c>
      <c r="FK150" s="58">
        <f t="shared" si="1732"/>
        <v>525412.80000000005</v>
      </c>
    </row>
    <row r="151" spans="1:167" ht="14.45" hidden="1" customHeight="1" outlineLevel="2">
      <c r="A151" s="106">
        <f t="shared" si="1447"/>
        <v>44129.600000000013</v>
      </c>
      <c r="B151" s="106">
        <f t="shared" si="1447"/>
        <v>42895.6</v>
      </c>
      <c r="C151" s="106">
        <f t="shared" si="1447"/>
        <v>45560.6</v>
      </c>
      <c r="D151" s="106">
        <f t="shared" si="1447"/>
        <v>40842.799999999996</v>
      </c>
      <c r="E151" s="106">
        <f t="shared" si="1447"/>
        <v>47149.8</v>
      </c>
      <c r="F151" s="106">
        <f t="shared" si="1447"/>
        <v>47149.8</v>
      </c>
      <c r="G151" s="106">
        <f t="shared" si="1447"/>
        <v>45252</v>
      </c>
      <c r="H151" s="106">
        <f t="shared" si="1447"/>
        <v>43864.2</v>
      </c>
      <c r="I151" s="106">
        <f t="shared" si="1447"/>
        <v>55623.8</v>
      </c>
      <c r="J151" s="106">
        <f t="shared" si="1447"/>
        <v>98717.8</v>
      </c>
      <c r="K151" s="106">
        <f t="shared" si="1447"/>
        <v>49445.2</v>
      </c>
      <c r="L151" s="106">
        <f t="shared" si="1447"/>
        <v>48393.4</v>
      </c>
      <c r="M151" s="106">
        <f t="shared" ref="M151:M154" si="1733">+SUM(A151:L151)</f>
        <v>609024.6</v>
      </c>
      <c r="N151" s="16" t="s">
        <v>126</v>
      </c>
      <c r="O151" s="106">
        <f t="shared" ref="O151:O154" si="1734">+BE151+CU151+EK151</f>
        <v>48812.6</v>
      </c>
      <c r="P151" s="106">
        <f t="shared" ref="P151:P154" si="1735">+BF151+CV151+EL151</f>
        <v>50960.4</v>
      </c>
      <c r="Q151" s="106">
        <f t="shared" ref="Q151:Q154" si="1736">+BG151+CW151+EM151</f>
        <v>50928.4</v>
      </c>
      <c r="R151" s="106">
        <f t="shared" ref="R151:R154" si="1737">+BH151+CX151+EN151</f>
        <v>50090</v>
      </c>
      <c r="S151" s="106">
        <f t="shared" ref="S151:S154" si="1738">+BI151+CY151+EO151</f>
        <v>49546.000000000007</v>
      </c>
      <c r="T151" s="106">
        <f t="shared" ref="T151:T154" si="1739">+BJ151+CZ151+EP151</f>
        <v>51949.200000000004</v>
      </c>
      <c r="U151" s="106">
        <f t="shared" ref="U151:U154" si="1740">+BK151+DA151+EQ151</f>
        <v>81229.600000000006</v>
      </c>
      <c r="V151" s="106">
        <f t="shared" ref="V151:V154" si="1741">+BL151+DB151+ER151</f>
        <v>53372.6</v>
      </c>
      <c r="W151" s="106">
        <f t="shared" ref="W151:W154" si="1742">+BM151+DC151+ES151</f>
        <v>84197.8</v>
      </c>
      <c r="X151" s="106">
        <f t="shared" ref="X151:X154" si="1743">+BN151+DD151+ET151</f>
        <v>63718.2</v>
      </c>
      <c r="Y151" s="106">
        <f t="shared" ref="Y151:Y154" si="1744">+BO151+DE151+EU151</f>
        <v>0</v>
      </c>
      <c r="Z151" s="106">
        <f t="shared" ref="Z151:Z154" si="1745">+BP151+DF151+EV151</f>
        <v>0</v>
      </c>
      <c r="AA151" s="106">
        <f t="shared" ref="AA151:AA154" si="1746">+SUM(O151:Z151)</f>
        <v>584804.79999999993</v>
      </c>
      <c r="AB151" s="118">
        <f t="shared" si="1223"/>
        <v>-0.10684137204647109</v>
      </c>
      <c r="AC151" s="106">
        <f t="shared" ref="AC151:AC154" si="1747">+BS151+DI151+EY151</f>
        <v>71340.294999999998</v>
      </c>
      <c r="AD151" s="106">
        <f t="shared" ref="AD151:AD154" si="1748">+BT151+DJ151+EZ151</f>
        <v>71340.294999999998</v>
      </c>
      <c r="AE151" s="106">
        <f t="shared" ref="AE151:AE154" si="1749">+BU151+DK151+FA151</f>
        <v>71340.294999999998</v>
      </c>
      <c r="AF151" s="106">
        <f t="shared" ref="AF151:AF154" si="1750">+BV151+DL151+FB151</f>
        <v>71340.294999999998</v>
      </c>
      <c r="AG151" s="106">
        <f t="shared" ref="AG151:AG154" si="1751">+BW151+DM151+FC151</f>
        <v>71340.294999999998</v>
      </c>
      <c r="AH151" s="106">
        <f t="shared" ref="AH151:AH154" si="1752">+BX151+DN151+FD151</f>
        <v>71340.294999999998</v>
      </c>
      <c r="AI151" s="106">
        <f t="shared" ref="AI151:AI154" si="1753">+BY151+DO151+FE151</f>
        <v>71340.294999999998</v>
      </c>
      <c r="AJ151" s="106">
        <f t="shared" ref="AJ151:AJ154" si="1754">+BZ151+DP151+FF151</f>
        <v>71340.294999999998</v>
      </c>
      <c r="AK151" s="106">
        <f t="shared" ref="AK151:AK154" si="1755">+CA151+DQ151+FG151</f>
        <v>71340.294999999998</v>
      </c>
      <c r="AL151" s="106">
        <f t="shared" ref="AL151:AL154" si="1756">+CB151+DR151+FH151</f>
        <v>71340.294999999998</v>
      </c>
      <c r="AM151" s="106">
        <f t="shared" ref="AM151:AM154" si="1757">+CC151+DS151+FI151</f>
        <v>71340.294999999998</v>
      </c>
      <c r="AN151" s="106">
        <f t="shared" ref="AN151:AN154" si="1758">+CD151+DT151+FJ151</f>
        <v>71340.294999999998</v>
      </c>
      <c r="AO151" s="106">
        <f t="shared" ref="AO151:AO154" si="1759">+SUM(AC151:AN151)</f>
        <v>856083.54000000015</v>
      </c>
      <c r="AQ151" s="106">
        <v>32190.000000000015</v>
      </c>
      <c r="AR151" s="106">
        <v>30993.199999999997</v>
      </c>
      <c r="AS151" s="106">
        <v>32866</v>
      </c>
      <c r="AT151" s="106">
        <v>28963.199999999997</v>
      </c>
      <c r="AU151" s="106">
        <v>35018</v>
      </c>
      <c r="AV151" s="106">
        <v>35018</v>
      </c>
      <c r="AW151" s="106">
        <v>31194.400000000001</v>
      </c>
      <c r="AX151" s="106">
        <v>30521.200000000001</v>
      </c>
      <c r="AY151" s="106">
        <v>40836</v>
      </c>
      <c r="AZ151" s="106">
        <v>69234.8</v>
      </c>
      <c r="BA151" s="106">
        <v>33901.599999999999</v>
      </c>
      <c r="BB151" s="106">
        <v>33036</v>
      </c>
      <c r="BC151" s="106">
        <f t="shared" ref="BC151:BC154" si="1760">+SUM(AQ151:BB151)</f>
        <v>433772.39999999997</v>
      </c>
      <c r="BD151" s="16" t="str">
        <f t="shared" si="1410"/>
        <v>Cleaning Service</v>
      </c>
      <c r="BE151" s="106">
        <f>+VLOOKUP($BD151,'Jan-25'!$A:$J,5,0)</f>
        <v>33064</v>
      </c>
      <c r="BF151" s="106">
        <f>+VLOOKUP($BD151,'Feb-25'!$A:$J,5,0)</f>
        <v>35120.800000000003</v>
      </c>
      <c r="BG151" s="106">
        <f>+VLOOKUP($BD151,'Mar-25'!$A:$J,5,0)</f>
        <v>35056.800000000003</v>
      </c>
      <c r="BH151" s="106">
        <f>+VLOOKUP($BD151,'Apr-25'!$A:$J,5,0)</f>
        <v>34374.800000000003</v>
      </c>
      <c r="BI151" s="106">
        <f>+VLOOKUP($BD151,'May-25'!$A:$J,5,0)</f>
        <v>33529.200000000004</v>
      </c>
      <c r="BJ151" s="106">
        <f>+VLOOKUP($BD151,'June-25'!$A:$J,5,0)</f>
        <v>35014.800000000003</v>
      </c>
      <c r="BK151" s="106">
        <f>+VLOOKUP($BD151,'July-25'!$A:$J,5,0)</f>
        <v>60918.400000000001</v>
      </c>
      <c r="BL151" s="106">
        <f>+VLOOKUP($BD151,'Aug-25'!$A:$J,5,0)</f>
        <v>36301.599999999999</v>
      </c>
      <c r="BM151" s="106">
        <f>+VLOOKUP($BD151,'Sep-25'!$A:$J,5,0)</f>
        <v>36190</v>
      </c>
      <c r="BN151" s="106">
        <f>+VLOOKUP($BD151,'Oct-25'!$A:$J,5,0)</f>
        <v>47188.4</v>
      </c>
      <c r="BO151" s="106">
        <f>+VLOOKUP($BD151,'Nov-25'!$A:$J,5,0)</f>
        <v>0</v>
      </c>
      <c r="BP151" s="106">
        <f>+VLOOKUP($BD151,'Dec-25'!$A:$J,5,0)</f>
        <v>0</v>
      </c>
      <c r="BQ151" s="106">
        <f t="shared" ref="BQ151:BQ154" si="1761">+SUM(BE151:BP151)</f>
        <v>386758.80000000005</v>
      </c>
      <c r="BR151" s="118">
        <f t="shared" si="1224"/>
        <v>0.45407797345378026</v>
      </c>
      <c r="BS151" s="106">
        <f>+_xlfn.XLOOKUP($BD151,Budget!$A:$A,Budget!BD:BD)</f>
        <v>32452.455000000002</v>
      </c>
      <c r="BT151" s="106">
        <f>+_xlfn.XLOOKUP($BD151,Budget!$A:$A,Budget!BE:BE)</f>
        <v>32452.455000000002</v>
      </c>
      <c r="BU151" s="106">
        <f>+_xlfn.XLOOKUP($BD151,Budget!$A:$A,Budget!BF:BF)</f>
        <v>32452.455000000002</v>
      </c>
      <c r="BV151" s="106">
        <f>+_xlfn.XLOOKUP($BD151,Budget!$A:$A,Budget!BG:BG)</f>
        <v>32452.455000000002</v>
      </c>
      <c r="BW151" s="106">
        <f>+_xlfn.XLOOKUP($BD151,Budget!$A:$A,Budget!BH:BH)</f>
        <v>32452.455000000002</v>
      </c>
      <c r="BX151" s="106">
        <f>+_xlfn.XLOOKUP($BD151,Budget!$A:$A,Budget!BI:BI)</f>
        <v>32452.455000000002</v>
      </c>
      <c r="BY151" s="106">
        <f>+_xlfn.XLOOKUP($BD151,Budget!$A:$A,Budget!BJ:BJ)</f>
        <v>32452.455000000002</v>
      </c>
      <c r="BZ151" s="106">
        <f>+_xlfn.XLOOKUP($BD151,Budget!$A:$A,Budget!BK:BK)</f>
        <v>32452.455000000002</v>
      </c>
      <c r="CA151" s="106">
        <f>+_xlfn.XLOOKUP($BD151,Budget!$A:$A,Budget!BL:BL)</f>
        <v>32452.455000000002</v>
      </c>
      <c r="CB151" s="106">
        <f>+_xlfn.XLOOKUP($BD151,Budget!$A:$A,Budget!BM:BM)</f>
        <v>32452.455000000002</v>
      </c>
      <c r="CC151" s="106">
        <f>+_xlfn.XLOOKUP($BD151,Budget!$A:$A,Budget!BN:BN)</f>
        <v>32452.455000000002</v>
      </c>
      <c r="CD151" s="106">
        <f>+_xlfn.XLOOKUP($BD151,Budget!$A:$A,Budget!BO:BO)</f>
        <v>32452.455000000002</v>
      </c>
      <c r="CE151" s="106">
        <f t="shared" ref="CE151:CE154" si="1762">+SUM(BS151:CD151)</f>
        <v>389429.46000000014</v>
      </c>
      <c r="CF151" s="106"/>
      <c r="CG151" s="106">
        <v>11939.6</v>
      </c>
      <c r="CH151" s="106">
        <v>11902.400000000001</v>
      </c>
      <c r="CI151" s="106">
        <v>12694.6</v>
      </c>
      <c r="CJ151" s="106">
        <v>11879.6</v>
      </c>
      <c r="CK151" s="106">
        <v>12131.800000000001</v>
      </c>
      <c r="CL151" s="106">
        <v>12131.800000000001</v>
      </c>
      <c r="CM151" s="106">
        <v>14057.6</v>
      </c>
      <c r="CN151" s="106">
        <v>13343</v>
      </c>
      <c r="CO151" s="106">
        <v>14787.800000000001</v>
      </c>
      <c r="CP151" s="106">
        <v>29483</v>
      </c>
      <c r="CQ151" s="106">
        <v>15543.6</v>
      </c>
      <c r="CR151" s="106">
        <v>15357.400000000001</v>
      </c>
      <c r="CS151" s="106">
        <f t="shared" ref="CS151:CS154" si="1763">+SUM(CG151:CR151)</f>
        <v>175252.2</v>
      </c>
      <c r="CT151" s="16" t="str">
        <f t="shared" si="1411"/>
        <v>Cleaning Service</v>
      </c>
      <c r="CU151" s="106">
        <f>+VLOOKUP($BD151,'Jan-25'!$A:$J,8,0)</f>
        <v>15748.6</v>
      </c>
      <c r="CV151" s="106">
        <f>+VLOOKUP($BD151,'Feb-25'!$A:$J,8,0)</f>
        <v>15839.6</v>
      </c>
      <c r="CW151" s="106">
        <f>+VLOOKUP($BD151,'Mar-25'!$A:$J,8,0)</f>
        <v>15871.6</v>
      </c>
      <c r="CX151" s="106">
        <f>+VLOOKUP($BD151,'Apr-25'!$A:$J,8,0)</f>
        <v>15715.2</v>
      </c>
      <c r="CY151" s="106">
        <f>+VLOOKUP($BD151,'May-25'!$A:$J,8,0)</f>
        <v>16016.800000000001</v>
      </c>
      <c r="CZ151" s="106">
        <f>+VLOOKUP($BD151,'June-25'!$A:$J,8,0)</f>
        <v>16934.400000000001</v>
      </c>
      <c r="DA151" s="106">
        <f>+VLOOKUP($BD151,'July-25'!$A:$J,8,0)</f>
        <v>20311.2</v>
      </c>
      <c r="DB151" s="106">
        <f>+VLOOKUP($BD151,'Aug-25'!$A:$J,8,0)</f>
        <v>17071</v>
      </c>
      <c r="DC151" s="106">
        <f>+VLOOKUP($BD151,'Sep-25'!$A:$J,8,0)</f>
        <v>16498.600000000002</v>
      </c>
      <c r="DD151" s="106">
        <f>+VLOOKUP($BD151,'Oct-25'!$A:$J,8,0)</f>
        <v>16529.8</v>
      </c>
      <c r="DE151" s="106">
        <f>+VLOOKUP($BD151,'Nov-25'!$A:$J,8,0)</f>
        <v>0</v>
      </c>
      <c r="DF151" s="106">
        <f>+VLOOKUP($BD151,'Dec-25'!$A:$J,8,0)</f>
        <v>0</v>
      </c>
      <c r="DG151" s="106">
        <f t="shared" ref="DG151:DG154" si="1764">+SUM(CU151:DF151)</f>
        <v>166536.80000000002</v>
      </c>
      <c r="DH151" s="118">
        <f t="shared" si="1225"/>
        <v>0.28258885895541835</v>
      </c>
      <c r="DI151" s="106">
        <f>+_xlfn.XLOOKUP($CT151,Budget!$A:$A,Budget!CQ:CQ)</f>
        <v>12887.84</v>
      </c>
      <c r="DJ151" s="106">
        <f>+_xlfn.XLOOKUP($CT151,Budget!$A:$A,Budget!CR:CR)</f>
        <v>12887.84</v>
      </c>
      <c r="DK151" s="106">
        <f>+_xlfn.XLOOKUP($CT151,Budget!$A:$A,Budget!CS:CS)</f>
        <v>12887.84</v>
      </c>
      <c r="DL151" s="106">
        <f>+_xlfn.XLOOKUP($CT151,Budget!$A:$A,Budget!CT:CT)</f>
        <v>12887.84</v>
      </c>
      <c r="DM151" s="106">
        <f>+_xlfn.XLOOKUP($CT151,Budget!$A:$A,Budget!CU:CU)</f>
        <v>12887.84</v>
      </c>
      <c r="DN151" s="106">
        <f>+_xlfn.XLOOKUP($CT151,Budget!$A:$A,Budget!CV:CV)</f>
        <v>12887.84</v>
      </c>
      <c r="DO151" s="106">
        <f>+_xlfn.XLOOKUP($CT151,Budget!$A:$A,Budget!CW:CW)</f>
        <v>12887.84</v>
      </c>
      <c r="DP151" s="106">
        <f>+_xlfn.XLOOKUP($CT151,Budget!$A:$A,Budget!CX:CX)</f>
        <v>12887.84</v>
      </c>
      <c r="DQ151" s="106">
        <f>+_xlfn.XLOOKUP($CT151,Budget!$A:$A,Budget!CY:CY)</f>
        <v>12887.84</v>
      </c>
      <c r="DR151" s="106">
        <f>+_xlfn.XLOOKUP($CT151,Budget!$A:$A,Budget!CZ:CZ)</f>
        <v>12887.84</v>
      </c>
      <c r="DS151" s="106">
        <f>+_xlfn.XLOOKUP($CT151,Budget!$A:$A,Budget!DA:DA)</f>
        <v>12887.84</v>
      </c>
      <c r="DT151" s="106">
        <f>+_xlfn.XLOOKUP($CT151,Budget!$A:$A,Budget!DB:DB)</f>
        <v>12887.84</v>
      </c>
      <c r="DU151" s="106">
        <f t="shared" ref="DU151:DU154" si="1765">+SUM(DI151:DT151)</f>
        <v>154654.07999999999</v>
      </c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106">
        <f t="shared" ref="EI151:EI154" si="1766">+SUM(DW151:EH151)</f>
        <v>0</v>
      </c>
      <c r="EJ151" s="16" t="str">
        <f t="shared" si="1555"/>
        <v>Cleaning Service</v>
      </c>
      <c r="EK151" s="22">
        <f>+VLOOKUP($BD151,'Jan-25'!$A:$J,10,0)</f>
        <v>0</v>
      </c>
      <c r="EL151" s="22">
        <f>+VLOOKUP($BD151,'Feb-25'!$A:$J,10,0)</f>
        <v>0</v>
      </c>
      <c r="EM151" s="22">
        <f>+VLOOKUP($BD151,'Mar-25'!$A:$J,10,0)</f>
        <v>0</v>
      </c>
      <c r="EN151" s="22">
        <f>+VLOOKUP($BD151,'Apr-25'!$A:$J,10,0)</f>
        <v>0</v>
      </c>
      <c r="EO151" s="22">
        <f>+VLOOKUP($BD151,'May-25'!$A:$J,10,0)</f>
        <v>0</v>
      </c>
      <c r="EP151" s="22">
        <f>+VLOOKUP($BD151,'June-25'!$A:$J,10,0)</f>
        <v>0</v>
      </c>
      <c r="EQ151" s="22">
        <f>+VLOOKUP($BD151,'July-25'!$A:$J,10,0)</f>
        <v>0</v>
      </c>
      <c r="ER151" s="22">
        <f>+VLOOKUP($BD151,'Aug-25'!$A:$J,10,0)</f>
        <v>0</v>
      </c>
      <c r="ES151" s="22">
        <f>+VLOOKUP($BD151,'Sep-25'!$A:$J,10,0)</f>
        <v>31509.199999999997</v>
      </c>
      <c r="ET151" s="22">
        <f>+VLOOKUP($BD151,'Oct-25'!$A:$J,10,0)</f>
        <v>0</v>
      </c>
      <c r="EU151" s="22">
        <f>+VLOOKUP($BD151,'Nov-25'!$A:$J,10,0)</f>
        <v>0</v>
      </c>
      <c r="EV151" s="22">
        <f>+VLOOKUP($BD151,'Dec-25'!$A:$J,10,0)</f>
        <v>0</v>
      </c>
      <c r="EW151" s="22">
        <f t="shared" ref="EW151:EW154" si="1767">+SUM(EK151:EV151)</f>
        <v>31509.199999999997</v>
      </c>
      <c r="EX151" s="118">
        <f t="shared" si="1226"/>
        <v>0.21189230769230757</v>
      </c>
      <c r="EY151" s="106">
        <f>+_xlfn.XLOOKUP($EJ151,Budget!$A:$A,Budget!DR:DR)</f>
        <v>26000</v>
      </c>
      <c r="EZ151" s="106">
        <f>+_xlfn.XLOOKUP($EJ151,Budget!$A:$A,Budget!DS:DS)</f>
        <v>26000</v>
      </c>
      <c r="FA151" s="106">
        <f>+_xlfn.XLOOKUP($EJ151,Budget!$A:$A,Budget!DT:DT)</f>
        <v>26000</v>
      </c>
      <c r="FB151" s="106">
        <f>+_xlfn.XLOOKUP($EJ151,Budget!$A:$A,Budget!DU:DU)</f>
        <v>26000</v>
      </c>
      <c r="FC151" s="106">
        <f>+_xlfn.XLOOKUP($EJ151,Budget!$A:$A,Budget!DV:DV)</f>
        <v>26000</v>
      </c>
      <c r="FD151" s="106">
        <f>+_xlfn.XLOOKUP($EJ151,Budget!$A:$A,Budget!DW:DW)</f>
        <v>26000</v>
      </c>
      <c r="FE151" s="106">
        <f>+_xlfn.XLOOKUP($EJ151,Budget!$A:$A,Budget!DX:DX)</f>
        <v>26000</v>
      </c>
      <c r="FF151" s="106">
        <f>+_xlfn.XLOOKUP($EJ151,Budget!$A:$A,Budget!DY:DY)</f>
        <v>26000</v>
      </c>
      <c r="FG151" s="106">
        <f>+_xlfn.XLOOKUP($EJ151,Budget!$A:$A,Budget!DZ:DZ)</f>
        <v>26000</v>
      </c>
      <c r="FH151" s="106">
        <f>+_xlfn.XLOOKUP($EJ151,Budget!$A:$A,Budget!EA:EA)</f>
        <v>26000</v>
      </c>
      <c r="FI151" s="106">
        <f>+_xlfn.XLOOKUP($EJ151,Budget!$A:$A,Budget!EB:EB)</f>
        <v>26000</v>
      </c>
      <c r="FJ151" s="106">
        <f>+_xlfn.XLOOKUP($EJ151,Budget!$A:$A,Budget!EC:EC)</f>
        <v>26000</v>
      </c>
      <c r="FK151" s="106">
        <f t="shared" ref="FK151:FK154" si="1768">+SUM(EY151:FJ151)</f>
        <v>312000</v>
      </c>
    </row>
    <row r="152" spans="1:167" ht="14.45" hidden="1" customHeight="1" outlineLevel="2">
      <c r="A152" s="106">
        <f t="shared" si="1447"/>
        <v>945</v>
      </c>
      <c r="B152" s="106">
        <f t="shared" si="1447"/>
        <v>945</v>
      </c>
      <c r="C152" s="106">
        <f t="shared" si="1447"/>
        <v>945</v>
      </c>
      <c r="D152" s="106">
        <f t="shared" si="1447"/>
        <v>945</v>
      </c>
      <c r="E152" s="106">
        <f t="shared" si="1447"/>
        <v>945</v>
      </c>
      <c r="F152" s="106">
        <f t="shared" si="1447"/>
        <v>945</v>
      </c>
      <c r="G152" s="106">
        <f t="shared" si="1447"/>
        <v>945</v>
      </c>
      <c r="H152" s="106">
        <f t="shared" si="1447"/>
        <v>945</v>
      </c>
      <c r="I152" s="106">
        <f t="shared" si="1447"/>
        <v>945</v>
      </c>
      <c r="J152" s="106">
        <f t="shared" si="1447"/>
        <v>945</v>
      </c>
      <c r="K152" s="106">
        <f t="shared" si="1447"/>
        <v>945</v>
      </c>
      <c r="L152" s="106">
        <f t="shared" si="1447"/>
        <v>945</v>
      </c>
      <c r="M152" s="106">
        <f t="shared" si="1733"/>
        <v>11340</v>
      </c>
      <c r="N152" s="16" t="s">
        <v>229</v>
      </c>
      <c r="O152" s="106">
        <f t="shared" si="1734"/>
        <v>992.2</v>
      </c>
      <c r="P152" s="106">
        <f t="shared" si="1735"/>
        <v>992.2</v>
      </c>
      <c r="Q152" s="106">
        <f t="shared" si="1736"/>
        <v>992.2</v>
      </c>
      <c r="R152" s="106">
        <f t="shared" si="1737"/>
        <v>992.2</v>
      </c>
      <c r="S152" s="106">
        <f t="shared" si="1738"/>
        <v>992.2</v>
      </c>
      <c r="T152" s="106">
        <f t="shared" si="1739"/>
        <v>992.2</v>
      </c>
      <c r="U152" s="106">
        <f t="shared" si="1740"/>
        <v>992.2</v>
      </c>
      <c r="V152" s="106">
        <f t="shared" si="1741"/>
        <v>992.2</v>
      </c>
      <c r="W152" s="106">
        <f t="shared" si="1742"/>
        <v>6945.4</v>
      </c>
      <c r="X152" s="106">
        <f t="shared" si="1743"/>
        <v>4961</v>
      </c>
      <c r="Y152" s="106">
        <f t="shared" si="1744"/>
        <v>0</v>
      </c>
      <c r="Z152" s="106">
        <f t="shared" si="1745"/>
        <v>0</v>
      </c>
      <c r="AA152" s="106">
        <f t="shared" si="1746"/>
        <v>19844</v>
      </c>
      <c r="AB152" s="118">
        <f t="shared" si="1223"/>
        <v>0.66666666666666641</v>
      </c>
      <c r="AC152" s="106">
        <f t="shared" si="1747"/>
        <v>2976.6000000000004</v>
      </c>
      <c r="AD152" s="106">
        <f t="shared" si="1748"/>
        <v>2976.6000000000004</v>
      </c>
      <c r="AE152" s="106">
        <f t="shared" si="1749"/>
        <v>2976.6000000000004</v>
      </c>
      <c r="AF152" s="106">
        <f t="shared" si="1750"/>
        <v>2976.6000000000004</v>
      </c>
      <c r="AG152" s="106">
        <f t="shared" si="1751"/>
        <v>2976.6000000000004</v>
      </c>
      <c r="AH152" s="106">
        <f t="shared" si="1752"/>
        <v>2976.6000000000004</v>
      </c>
      <c r="AI152" s="106">
        <f t="shared" si="1753"/>
        <v>2976.6000000000004</v>
      </c>
      <c r="AJ152" s="106">
        <f t="shared" si="1754"/>
        <v>2976.6000000000004</v>
      </c>
      <c r="AK152" s="106">
        <f t="shared" si="1755"/>
        <v>2976.6000000000004</v>
      </c>
      <c r="AL152" s="106">
        <f t="shared" si="1756"/>
        <v>2976.6000000000004</v>
      </c>
      <c r="AM152" s="106">
        <f t="shared" si="1757"/>
        <v>2976.6000000000004</v>
      </c>
      <c r="AN152" s="106">
        <f t="shared" si="1758"/>
        <v>2976.6000000000004</v>
      </c>
      <c r="AO152" s="106">
        <f t="shared" si="1759"/>
        <v>35719.199999999997</v>
      </c>
      <c r="AQ152" s="106">
        <v>0</v>
      </c>
      <c r="AR152" s="106">
        <v>0</v>
      </c>
      <c r="AS152" s="106">
        <v>0</v>
      </c>
      <c r="AT152" s="106">
        <v>0</v>
      </c>
      <c r="AU152" s="106">
        <v>0</v>
      </c>
      <c r="AV152" s="106">
        <v>0</v>
      </c>
      <c r="AW152" s="106">
        <v>0</v>
      </c>
      <c r="AX152" s="106">
        <v>0</v>
      </c>
      <c r="AY152" s="106">
        <v>0</v>
      </c>
      <c r="AZ152" s="106">
        <v>0</v>
      </c>
      <c r="BA152" s="106">
        <v>0</v>
      </c>
      <c r="BB152" s="106">
        <v>0</v>
      </c>
      <c r="BC152" s="106">
        <f t="shared" si="1760"/>
        <v>0</v>
      </c>
      <c r="BD152" s="16" t="str">
        <f t="shared" si="1410"/>
        <v>Pest Contol</v>
      </c>
      <c r="BE152" s="106">
        <f>+VLOOKUP($BD152,'Jan-25'!$A:$J,5,0)</f>
        <v>0</v>
      </c>
      <c r="BF152" s="106">
        <f>+VLOOKUP($BD152,'Feb-25'!$A:$J,5,0)</f>
        <v>0</v>
      </c>
      <c r="BG152" s="106">
        <f>+VLOOKUP($BD152,'Mar-25'!$A:$J,5,0)</f>
        <v>0</v>
      </c>
      <c r="BH152" s="106">
        <f>+VLOOKUP($BD152,'Apr-25'!$A:$J,5,0)</f>
        <v>0</v>
      </c>
      <c r="BI152" s="106">
        <f>+VLOOKUP($BD152,'May-25'!$A:$J,5,0)</f>
        <v>0</v>
      </c>
      <c r="BJ152" s="106">
        <f>+VLOOKUP($BD152,'June-25'!$A:$J,5,0)</f>
        <v>0</v>
      </c>
      <c r="BK152" s="106">
        <f>+VLOOKUP($BD152,'July-25'!$A:$J,5,0)</f>
        <v>0</v>
      </c>
      <c r="BL152" s="106">
        <f>+VLOOKUP($BD152,'Aug-25'!$A:$J,5,0)</f>
        <v>0</v>
      </c>
      <c r="BM152" s="106">
        <f>+VLOOKUP($BD152,'Sep-25'!$A:$J,5,0)</f>
        <v>3968.8</v>
      </c>
      <c r="BN152" s="106">
        <f>+VLOOKUP($BD152,'Oct-25'!$A:$J,5,0)</f>
        <v>3968.8</v>
      </c>
      <c r="BO152" s="106">
        <f>+VLOOKUP($BD152,'Nov-25'!$A:$J,5,0)</f>
        <v>0</v>
      </c>
      <c r="BP152" s="106">
        <f>+VLOOKUP($BD152,'Dec-25'!$A:$J,5,0)</f>
        <v>0</v>
      </c>
      <c r="BQ152" s="106">
        <f t="shared" si="1761"/>
        <v>7937.6</v>
      </c>
      <c r="BR152" s="118">
        <f t="shared" si="1224"/>
        <v>0</v>
      </c>
      <c r="BS152" s="106">
        <f>+_xlfn.XLOOKUP($BD152,Budget!$A:$A,Budget!BD:BD)</f>
        <v>0</v>
      </c>
      <c r="BT152" s="106">
        <f>+_xlfn.XLOOKUP($BD152,Budget!$A:$A,Budget!BE:BE)</f>
        <v>0</v>
      </c>
      <c r="BU152" s="106">
        <f>+_xlfn.XLOOKUP($BD152,Budget!$A:$A,Budget!BF:BF)</f>
        <v>0</v>
      </c>
      <c r="BV152" s="106">
        <f>+_xlfn.XLOOKUP($BD152,Budget!$A:$A,Budget!BG:BG)</f>
        <v>0</v>
      </c>
      <c r="BW152" s="106">
        <f>+_xlfn.XLOOKUP($BD152,Budget!$A:$A,Budget!BH:BH)</f>
        <v>0</v>
      </c>
      <c r="BX152" s="106">
        <f>+_xlfn.XLOOKUP($BD152,Budget!$A:$A,Budget!BI:BI)</f>
        <v>0</v>
      </c>
      <c r="BY152" s="106">
        <f>+_xlfn.XLOOKUP($BD152,Budget!$A:$A,Budget!BJ:BJ)</f>
        <v>0</v>
      </c>
      <c r="BZ152" s="106">
        <f>+_xlfn.XLOOKUP($BD152,Budget!$A:$A,Budget!BK:BK)</f>
        <v>0</v>
      </c>
      <c r="CA152" s="106">
        <f>+_xlfn.XLOOKUP($BD152,Budget!$A:$A,Budget!BL:BL)</f>
        <v>0</v>
      </c>
      <c r="CB152" s="106">
        <f>+_xlfn.XLOOKUP($BD152,Budget!$A:$A,Budget!BM:BM)</f>
        <v>0</v>
      </c>
      <c r="CC152" s="106">
        <f>+_xlfn.XLOOKUP($BD152,Budget!$A:$A,Budget!BN:BN)</f>
        <v>0</v>
      </c>
      <c r="CD152" s="106">
        <f>+_xlfn.XLOOKUP($BD152,Budget!$A:$A,Budget!BO:BO)</f>
        <v>0</v>
      </c>
      <c r="CE152" s="106">
        <f t="shared" si="1762"/>
        <v>0</v>
      </c>
      <c r="CF152" s="106"/>
      <c r="CG152" s="106">
        <v>945</v>
      </c>
      <c r="CH152" s="106">
        <v>945</v>
      </c>
      <c r="CI152" s="106">
        <v>945</v>
      </c>
      <c r="CJ152" s="106">
        <v>945</v>
      </c>
      <c r="CK152" s="106">
        <v>945</v>
      </c>
      <c r="CL152" s="106">
        <v>945</v>
      </c>
      <c r="CM152" s="106">
        <v>945</v>
      </c>
      <c r="CN152" s="106">
        <v>945</v>
      </c>
      <c r="CO152" s="106">
        <v>945</v>
      </c>
      <c r="CP152" s="106">
        <v>945</v>
      </c>
      <c r="CQ152" s="106">
        <v>945</v>
      </c>
      <c r="CR152" s="106">
        <v>945</v>
      </c>
      <c r="CS152" s="106">
        <f t="shared" si="1763"/>
        <v>11340</v>
      </c>
      <c r="CT152" s="16" t="str">
        <f t="shared" si="1411"/>
        <v>Pest Contol</v>
      </c>
      <c r="CU152" s="106">
        <f>+VLOOKUP($BD152,'Jan-25'!$A:$J,8,0)</f>
        <v>992.2</v>
      </c>
      <c r="CV152" s="106">
        <f>+VLOOKUP($BD152,'Feb-25'!$A:$J,8,0)</f>
        <v>992.2</v>
      </c>
      <c r="CW152" s="106">
        <f>+VLOOKUP($BD152,'Mar-25'!$A:$J,8,0)</f>
        <v>992.2</v>
      </c>
      <c r="CX152" s="106">
        <f>+VLOOKUP($BD152,'Apr-25'!$A:$J,8,0)</f>
        <v>992.2</v>
      </c>
      <c r="CY152" s="106">
        <f>+VLOOKUP($BD152,'May-25'!$A:$J,8,0)</f>
        <v>992.2</v>
      </c>
      <c r="CZ152" s="106">
        <f>+VLOOKUP($BD152,'June-25'!$A:$J,8,0)</f>
        <v>992.2</v>
      </c>
      <c r="DA152" s="106">
        <f>+VLOOKUP($BD152,'July-25'!$A:$J,8,0)</f>
        <v>992.2</v>
      </c>
      <c r="DB152" s="106">
        <f>+VLOOKUP($BD152,'Aug-25'!$A:$J,8,0)</f>
        <v>992.2</v>
      </c>
      <c r="DC152" s="106">
        <f>+VLOOKUP($BD152,'Sep-25'!$A:$J,8,0)</f>
        <v>992.2</v>
      </c>
      <c r="DD152" s="106">
        <f>+VLOOKUP($BD152,'Oct-25'!$A:$J,8,0)</f>
        <v>992.2</v>
      </c>
      <c r="DE152" s="106">
        <f>+VLOOKUP($BD152,'Nov-25'!$A:$J,8,0)</f>
        <v>0</v>
      </c>
      <c r="DF152" s="106">
        <f>+VLOOKUP($BD152,'Dec-25'!$A:$J,8,0)</f>
        <v>0</v>
      </c>
      <c r="DG152" s="106">
        <f t="shared" si="1764"/>
        <v>9922</v>
      </c>
      <c r="DH152" s="118">
        <f t="shared" si="1225"/>
        <v>0</v>
      </c>
      <c r="DI152" s="106">
        <f>+_xlfn.XLOOKUP($CT152,Budget!$A:$A,Budget!CQ:CQ)</f>
        <v>992.2</v>
      </c>
      <c r="DJ152" s="106">
        <f>+_xlfn.XLOOKUP($CT152,Budget!$A:$A,Budget!CR:CR)</f>
        <v>992.2</v>
      </c>
      <c r="DK152" s="106">
        <f>+_xlfn.XLOOKUP($CT152,Budget!$A:$A,Budget!CS:CS)</f>
        <v>992.2</v>
      </c>
      <c r="DL152" s="106">
        <f>+_xlfn.XLOOKUP($CT152,Budget!$A:$A,Budget!CT:CT)</f>
        <v>992.2</v>
      </c>
      <c r="DM152" s="106">
        <f>+_xlfn.XLOOKUP($CT152,Budget!$A:$A,Budget!CU:CU)</f>
        <v>992.2</v>
      </c>
      <c r="DN152" s="106">
        <f>+_xlfn.XLOOKUP($CT152,Budget!$A:$A,Budget!CV:CV)</f>
        <v>992.2</v>
      </c>
      <c r="DO152" s="106">
        <f>+_xlfn.XLOOKUP($CT152,Budget!$A:$A,Budget!CW:CW)</f>
        <v>992.2</v>
      </c>
      <c r="DP152" s="106">
        <f>+_xlfn.XLOOKUP($CT152,Budget!$A:$A,Budget!CX:CX)</f>
        <v>992.2</v>
      </c>
      <c r="DQ152" s="106">
        <f>+_xlfn.XLOOKUP($CT152,Budget!$A:$A,Budget!CY:CY)</f>
        <v>992.2</v>
      </c>
      <c r="DR152" s="106">
        <f>+_xlfn.XLOOKUP($CT152,Budget!$A:$A,Budget!CZ:CZ)</f>
        <v>992.2</v>
      </c>
      <c r="DS152" s="106">
        <f>+_xlfn.XLOOKUP($CT152,Budget!$A:$A,Budget!DA:DA)</f>
        <v>992.2</v>
      </c>
      <c r="DT152" s="106">
        <f>+_xlfn.XLOOKUP($CT152,Budget!$A:$A,Budget!DB:DB)</f>
        <v>992.2</v>
      </c>
      <c r="DU152" s="106">
        <f t="shared" si="1765"/>
        <v>11906.400000000001</v>
      </c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106">
        <f t="shared" si="1766"/>
        <v>0</v>
      </c>
      <c r="EJ152" s="16" t="str">
        <f t="shared" si="1555"/>
        <v>Pest Contol</v>
      </c>
      <c r="EK152" s="22">
        <f>+VLOOKUP($BD152,'Jan-25'!$A:$J,10,0)</f>
        <v>0</v>
      </c>
      <c r="EL152" s="22">
        <f>+VLOOKUP($BD152,'Feb-25'!$A:$J,10,0)</f>
        <v>0</v>
      </c>
      <c r="EM152" s="22">
        <f>+VLOOKUP($BD152,'Mar-25'!$A:$J,10,0)</f>
        <v>0</v>
      </c>
      <c r="EN152" s="22">
        <f>+VLOOKUP($BD152,'Apr-25'!$A:$J,10,0)</f>
        <v>0</v>
      </c>
      <c r="EO152" s="22">
        <f>+VLOOKUP($BD152,'May-25'!$A:$J,10,0)</f>
        <v>0</v>
      </c>
      <c r="EP152" s="22">
        <f>+VLOOKUP($BD152,'June-25'!$A:$J,10,0)</f>
        <v>0</v>
      </c>
      <c r="EQ152" s="22">
        <f>+VLOOKUP($BD152,'July-25'!$A:$J,10,0)</f>
        <v>0</v>
      </c>
      <c r="ER152" s="22">
        <f>+VLOOKUP($BD152,'Aug-25'!$A:$J,10,0)</f>
        <v>0</v>
      </c>
      <c r="ES152" s="22">
        <f>+VLOOKUP($BD152,'Sep-25'!$A:$J,10,0)</f>
        <v>1984.4</v>
      </c>
      <c r="ET152" s="22">
        <f>+VLOOKUP($BD152,'Oct-25'!$A:$J,10,0)</f>
        <v>0</v>
      </c>
      <c r="EU152" s="22">
        <f>+VLOOKUP($BD152,'Nov-25'!$A:$J,10,0)</f>
        <v>0</v>
      </c>
      <c r="EV152" s="22">
        <f>+VLOOKUP($BD152,'Dec-25'!$A:$J,10,0)</f>
        <v>0</v>
      </c>
      <c r="EW152" s="22">
        <f t="shared" si="1767"/>
        <v>1984.4</v>
      </c>
      <c r="EX152" s="118">
        <f t="shared" si="1226"/>
        <v>0</v>
      </c>
      <c r="EY152" s="106">
        <f>+_xlfn.XLOOKUP($EJ152,Budget!$A:$A,Budget!DR:DR)</f>
        <v>1984.4</v>
      </c>
      <c r="EZ152" s="106">
        <f>+_xlfn.XLOOKUP($EJ152,Budget!$A:$A,Budget!DS:DS)</f>
        <v>1984.4</v>
      </c>
      <c r="FA152" s="106">
        <f>+_xlfn.XLOOKUP($EJ152,Budget!$A:$A,Budget!DT:DT)</f>
        <v>1984.4</v>
      </c>
      <c r="FB152" s="106">
        <f>+_xlfn.XLOOKUP($EJ152,Budget!$A:$A,Budget!DU:DU)</f>
        <v>1984.4</v>
      </c>
      <c r="FC152" s="106">
        <f>+_xlfn.XLOOKUP($EJ152,Budget!$A:$A,Budget!DV:DV)</f>
        <v>1984.4</v>
      </c>
      <c r="FD152" s="106">
        <f>+_xlfn.XLOOKUP($EJ152,Budget!$A:$A,Budget!DW:DW)</f>
        <v>1984.4</v>
      </c>
      <c r="FE152" s="106">
        <f>+_xlfn.XLOOKUP($EJ152,Budget!$A:$A,Budget!DX:DX)</f>
        <v>1984.4</v>
      </c>
      <c r="FF152" s="106">
        <f>+_xlfn.XLOOKUP($EJ152,Budget!$A:$A,Budget!DY:DY)</f>
        <v>1984.4</v>
      </c>
      <c r="FG152" s="106">
        <f>+_xlfn.XLOOKUP($EJ152,Budget!$A:$A,Budget!DZ:DZ)</f>
        <v>1984.4</v>
      </c>
      <c r="FH152" s="106">
        <f>+_xlfn.XLOOKUP($EJ152,Budget!$A:$A,Budget!EA:EA)</f>
        <v>1984.4</v>
      </c>
      <c r="FI152" s="106">
        <f>+_xlfn.XLOOKUP($EJ152,Budget!$A:$A,Budget!EB:EB)</f>
        <v>1984.4</v>
      </c>
      <c r="FJ152" s="106">
        <f>+_xlfn.XLOOKUP($EJ152,Budget!$A:$A,Budget!EC:EC)</f>
        <v>1984.4</v>
      </c>
      <c r="FK152" s="106">
        <f t="shared" si="1768"/>
        <v>23812.800000000003</v>
      </c>
    </row>
    <row r="153" spans="1:167" ht="14.45" hidden="1" customHeight="1" outlineLevel="2">
      <c r="A153" s="106">
        <f t="shared" si="1447"/>
        <v>19200</v>
      </c>
      <c r="B153" s="106">
        <f t="shared" si="1447"/>
        <v>19200</v>
      </c>
      <c r="C153" s="106">
        <f t="shared" si="1447"/>
        <v>19200</v>
      </c>
      <c r="D153" s="106">
        <f t="shared" si="1447"/>
        <v>19200</v>
      </c>
      <c r="E153" s="106">
        <f t="shared" si="1447"/>
        <v>19200</v>
      </c>
      <c r="F153" s="106">
        <f t="shared" si="1447"/>
        <v>19200</v>
      </c>
      <c r="G153" s="106">
        <f t="shared" si="1447"/>
        <v>6400</v>
      </c>
      <c r="H153" s="106">
        <f t="shared" si="1447"/>
        <v>6400</v>
      </c>
      <c r="I153" s="106">
        <f t="shared" si="1447"/>
        <v>6400</v>
      </c>
      <c r="J153" s="106">
        <f t="shared" si="1447"/>
        <v>6400</v>
      </c>
      <c r="K153" s="106">
        <f t="shared" si="1447"/>
        <v>6400</v>
      </c>
      <c r="L153" s="106">
        <f t="shared" si="1447"/>
        <v>6400</v>
      </c>
      <c r="M153" s="106">
        <f t="shared" si="1733"/>
        <v>153600</v>
      </c>
      <c r="N153" s="16" t="s">
        <v>127</v>
      </c>
      <c r="O153" s="106">
        <f t="shared" si="1734"/>
        <v>6400</v>
      </c>
      <c r="P153" s="106">
        <f t="shared" si="1735"/>
        <v>6400</v>
      </c>
      <c r="Q153" s="106">
        <f t="shared" si="1736"/>
        <v>6400</v>
      </c>
      <c r="R153" s="106">
        <f t="shared" si="1737"/>
        <v>21000</v>
      </c>
      <c r="S153" s="106">
        <f t="shared" si="1738"/>
        <v>7000</v>
      </c>
      <c r="T153" s="106">
        <f t="shared" si="1739"/>
        <v>7000</v>
      </c>
      <c r="U153" s="106">
        <f t="shared" si="1740"/>
        <v>7000</v>
      </c>
      <c r="V153" s="106">
        <f t="shared" si="1741"/>
        <v>7000</v>
      </c>
      <c r="W153" s="106">
        <f t="shared" si="1742"/>
        <v>33800</v>
      </c>
      <c r="X153" s="106">
        <f t="shared" si="1743"/>
        <v>21000</v>
      </c>
      <c r="Y153" s="106">
        <f t="shared" si="1744"/>
        <v>0</v>
      </c>
      <c r="Z153" s="106">
        <f t="shared" si="1745"/>
        <v>0</v>
      </c>
      <c r="AA153" s="106">
        <f t="shared" si="1746"/>
        <v>123000</v>
      </c>
      <c r="AB153" s="118">
        <f t="shared" si="1223"/>
        <v>-0.34375</v>
      </c>
      <c r="AC153" s="106">
        <f t="shared" si="1747"/>
        <v>32000</v>
      </c>
      <c r="AD153" s="106">
        <f t="shared" si="1748"/>
        <v>32000</v>
      </c>
      <c r="AE153" s="106">
        <f t="shared" si="1749"/>
        <v>32000</v>
      </c>
      <c r="AF153" s="106">
        <f t="shared" si="1750"/>
        <v>32000</v>
      </c>
      <c r="AG153" s="106">
        <f t="shared" si="1751"/>
        <v>32000</v>
      </c>
      <c r="AH153" s="106">
        <f t="shared" si="1752"/>
        <v>32000</v>
      </c>
      <c r="AI153" s="106">
        <f t="shared" si="1753"/>
        <v>32000</v>
      </c>
      <c r="AJ153" s="106">
        <f t="shared" si="1754"/>
        <v>32000</v>
      </c>
      <c r="AK153" s="106">
        <f t="shared" si="1755"/>
        <v>32000</v>
      </c>
      <c r="AL153" s="106">
        <f t="shared" si="1756"/>
        <v>32000</v>
      </c>
      <c r="AM153" s="106">
        <f t="shared" si="1757"/>
        <v>32000</v>
      </c>
      <c r="AN153" s="106">
        <f t="shared" si="1758"/>
        <v>32000</v>
      </c>
      <c r="AO153" s="106">
        <f t="shared" si="1759"/>
        <v>384000</v>
      </c>
      <c r="AQ153" s="106">
        <v>12800</v>
      </c>
      <c r="AR153" s="106">
        <v>12800</v>
      </c>
      <c r="AS153" s="106">
        <v>12800</v>
      </c>
      <c r="AT153" s="106">
        <v>12800</v>
      </c>
      <c r="AU153" s="106">
        <v>12800</v>
      </c>
      <c r="AV153" s="106">
        <v>12800</v>
      </c>
      <c r="AW153" s="106">
        <v>0</v>
      </c>
      <c r="AX153" s="106">
        <v>0</v>
      </c>
      <c r="AY153" s="106">
        <v>0</v>
      </c>
      <c r="AZ153" s="106">
        <v>0</v>
      </c>
      <c r="BA153" s="106">
        <v>0</v>
      </c>
      <c r="BB153" s="106">
        <v>0</v>
      </c>
      <c r="BC153" s="106">
        <f t="shared" si="1760"/>
        <v>76800</v>
      </c>
      <c r="BD153" s="16" t="str">
        <f t="shared" si="1410"/>
        <v>Security Service</v>
      </c>
      <c r="BE153" s="106">
        <f>+VLOOKUP($BD153,'Jan-25'!$A:$J,5,0)</f>
        <v>0</v>
      </c>
      <c r="BF153" s="106">
        <f>+VLOOKUP($BD153,'Feb-25'!$A:$J,5,0)</f>
        <v>0</v>
      </c>
      <c r="BG153" s="106">
        <f>+VLOOKUP($BD153,'Mar-25'!$A:$J,5,0)</f>
        <v>0</v>
      </c>
      <c r="BH153" s="106">
        <f>+VLOOKUP($BD153,'Apr-25'!$A:$J,5,0)</f>
        <v>14000</v>
      </c>
      <c r="BI153" s="106">
        <f>+VLOOKUP($BD153,'May-25'!$A:$J,5,0)</f>
        <v>0</v>
      </c>
      <c r="BJ153" s="106">
        <f>+VLOOKUP($BD153,'June-25'!$A:$J,5,0)</f>
        <v>0</v>
      </c>
      <c r="BK153" s="106">
        <f>+VLOOKUP($BD153,'July-25'!$A:$J,5,0)</f>
        <v>0</v>
      </c>
      <c r="BL153" s="106">
        <f>+VLOOKUP($BD153,'Aug-25'!$A:$J,5,0)</f>
        <v>0</v>
      </c>
      <c r="BM153" s="106">
        <f>+VLOOKUP($BD153,'Sep-25'!$A:$J,5,0)</f>
        <v>14000</v>
      </c>
      <c r="BN153" s="106">
        <f>+VLOOKUP($BD153,'Oct-25'!$A:$J,5,0)</f>
        <v>14000</v>
      </c>
      <c r="BO153" s="106">
        <f>+VLOOKUP($BD153,'Nov-25'!$A:$J,5,0)</f>
        <v>0</v>
      </c>
      <c r="BP153" s="106">
        <f>+VLOOKUP($BD153,'Dec-25'!$A:$J,5,0)</f>
        <v>0</v>
      </c>
      <c r="BQ153" s="106">
        <f t="shared" si="1761"/>
        <v>42000</v>
      </c>
      <c r="BR153" s="118">
        <f t="shared" si="1224"/>
        <v>9.375E-2</v>
      </c>
      <c r="BS153" s="106">
        <f>+_xlfn.XLOOKUP($BD153,Budget!$A:$A,Budget!BD:BD)</f>
        <v>12800</v>
      </c>
      <c r="BT153" s="106">
        <f>+_xlfn.XLOOKUP($BD153,Budget!$A:$A,Budget!BE:BE)</f>
        <v>12800</v>
      </c>
      <c r="BU153" s="106">
        <f>+_xlfn.XLOOKUP($BD153,Budget!$A:$A,Budget!BF:BF)</f>
        <v>12800</v>
      </c>
      <c r="BV153" s="106">
        <f>+_xlfn.XLOOKUP($BD153,Budget!$A:$A,Budget!BG:BG)</f>
        <v>12800</v>
      </c>
      <c r="BW153" s="106">
        <f>+_xlfn.XLOOKUP($BD153,Budget!$A:$A,Budget!BH:BH)</f>
        <v>12800</v>
      </c>
      <c r="BX153" s="106">
        <f>+_xlfn.XLOOKUP($BD153,Budget!$A:$A,Budget!BI:BI)</f>
        <v>12800</v>
      </c>
      <c r="BY153" s="106">
        <f>+_xlfn.XLOOKUP($BD153,Budget!$A:$A,Budget!BJ:BJ)</f>
        <v>12800</v>
      </c>
      <c r="BZ153" s="106">
        <f>+_xlfn.XLOOKUP($BD153,Budget!$A:$A,Budget!BK:BK)</f>
        <v>12800</v>
      </c>
      <c r="CA153" s="106">
        <f>+_xlfn.XLOOKUP($BD153,Budget!$A:$A,Budget!BL:BL)</f>
        <v>12800</v>
      </c>
      <c r="CB153" s="106">
        <f>+_xlfn.XLOOKUP($BD153,Budget!$A:$A,Budget!BM:BM)</f>
        <v>12800</v>
      </c>
      <c r="CC153" s="106">
        <f>+_xlfn.XLOOKUP($BD153,Budget!$A:$A,Budget!BN:BN)</f>
        <v>12800</v>
      </c>
      <c r="CD153" s="106">
        <f>+_xlfn.XLOOKUP($BD153,Budget!$A:$A,Budget!BO:BO)</f>
        <v>12800</v>
      </c>
      <c r="CE153" s="106">
        <f t="shared" si="1762"/>
        <v>153600</v>
      </c>
      <c r="CF153" s="106"/>
      <c r="CG153" s="106">
        <v>6400</v>
      </c>
      <c r="CH153" s="106">
        <v>6400</v>
      </c>
      <c r="CI153" s="106">
        <v>6400</v>
      </c>
      <c r="CJ153" s="106">
        <v>6400</v>
      </c>
      <c r="CK153" s="106">
        <v>6400</v>
      </c>
      <c r="CL153" s="106">
        <v>6400</v>
      </c>
      <c r="CM153" s="106">
        <v>6400</v>
      </c>
      <c r="CN153" s="106">
        <v>6400</v>
      </c>
      <c r="CO153" s="106">
        <v>6400</v>
      </c>
      <c r="CP153" s="106">
        <v>6400</v>
      </c>
      <c r="CQ153" s="106">
        <v>6400</v>
      </c>
      <c r="CR153" s="106">
        <v>6400</v>
      </c>
      <c r="CS153" s="106">
        <f t="shared" si="1763"/>
        <v>76800</v>
      </c>
      <c r="CT153" s="16" t="str">
        <f t="shared" si="1411"/>
        <v>Security Service</v>
      </c>
      <c r="CU153" s="106">
        <f>+VLOOKUP($BD153,'Jan-25'!$A:$J,8,0)</f>
        <v>6400</v>
      </c>
      <c r="CV153" s="106">
        <f>+VLOOKUP($BD153,'Feb-25'!$A:$J,8,0)</f>
        <v>6400</v>
      </c>
      <c r="CW153" s="106">
        <f>+VLOOKUP($BD153,'Mar-25'!$A:$J,8,0)</f>
        <v>6400</v>
      </c>
      <c r="CX153" s="106">
        <f>+VLOOKUP($BD153,'Apr-25'!$A:$J,8,0)</f>
        <v>7000</v>
      </c>
      <c r="CY153" s="106">
        <f>+VLOOKUP($BD153,'May-25'!$A:$J,8,0)</f>
        <v>7000</v>
      </c>
      <c r="CZ153" s="106">
        <f>+VLOOKUP($BD153,'June-25'!$A:$J,8,0)</f>
        <v>7000</v>
      </c>
      <c r="DA153" s="106">
        <f>+VLOOKUP($BD153,'July-25'!$A:$J,8,0)</f>
        <v>7000</v>
      </c>
      <c r="DB153" s="106">
        <f>+VLOOKUP($BD153,'Aug-25'!$A:$J,8,0)</f>
        <v>7000</v>
      </c>
      <c r="DC153" s="106">
        <f>+VLOOKUP($BD153,'Sep-25'!$A:$J,8,0)</f>
        <v>7000</v>
      </c>
      <c r="DD153" s="106">
        <f>+VLOOKUP($BD153,'Oct-25'!$A:$J,8,0)</f>
        <v>7000</v>
      </c>
      <c r="DE153" s="106">
        <f>+VLOOKUP($BD153,'Nov-25'!$A:$J,8,0)</f>
        <v>0</v>
      </c>
      <c r="DF153" s="106">
        <f>+VLOOKUP($BD153,'Dec-25'!$A:$J,8,0)</f>
        <v>0</v>
      </c>
      <c r="DG153" s="106">
        <f t="shared" si="1764"/>
        <v>68200</v>
      </c>
      <c r="DH153" s="118">
        <f t="shared" si="1225"/>
        <v>9.375E-2</v>
      </c>
      <c r="DI153" s="106">
        <f>+_xlfn.XLOOKUP($CT153,Budget!$A:$A,Budget!CQ:CQ)</f>
        <v>6400</v>
      </c>
      <c r="DJ153" s="106">
        <f>+_xlfn.XLOOKUP($CT153,Budget!$A:$A,Budget!CR:CR)</f>
        <v>6400</v>
      </c>
      <c r="DK153" s="106">
        <f>+_xlfn.XLOOKUP($CT153,Budget!$A:$A,Budget!CS:CS)</f>
        <v>6400</v>
      </c>
      <c r="DL153" s="106">
        <f>+_xlfn.XLOOKUP($CT153,Budget!$A:$A,Budget!CT:CT)</f>
        <v>6400</v>
      </c>
      <c r="DM153" s="106">
        <f>+_xlfn.XLOOKUP($CT153,Budget!$A:$A,Budget!CU:CU)</f>
        <v>6400</v>
      </c>
      <c r="DN153" s="106">
        <f>+_xlfn.XLOOKUP($CT153,Budget!$A:$A,Budget!CV:CV)</f>
        <v>6400</v>
      </c>
      <c r="DO153" s="106">
        <f>+_xlfn.XLOOKUP($CT153,Budget!$A:$A,Budget!CW:CW)</f>
        <v>6400</v>
      </c>
      <c r="DP153" s="106">
        <f>+_xlfn.XLOOKUP($CT153,Budget!$A:$A,Budget!CX:CX)</f>
        <v>6400</v>
      </c>
      <c r="DQ153" s="106">
        <f>+_xlfn.XLOOKUP($CT153,Budget!$A:$A,Budget!CY:CY)</f>
        <v>6400</v>
      </c>
      <c r="DR153" s="106">
        <f>+_xlfn.XLOOKUP($CT153,Budget!$A:$A,Budget!CZ:CZ)</f>
        <v>6400</v>
      </c>
      <c r="DS153" s="106">
        <f>+_xlfn.XLOOKUP($CT153,Budget!$A:$A,Budget!DA:DA)</f>
        <v>6400</v>
      </c>
      <c r="DT153" s="106">
        <f>+_xlfn.XLOOKUP($CT153,Budget!$A:$A,Budget!DB:DB)</f>
        <v>6400</v>
      </c>
      <c r="DU153" s="106">
        <f t="shared" si="1765"/>
        <v>76800</v>
      </c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106">
        <f t="shared" si="1766"/>
        <v>0</v>
      </c>
      <c r="EJ153" s="16" t="str">
        <f t="shared" si="1555"/>
        <v>Security Service</v>
      </c>
      <c r="EK153" s="22">
        <f>+VLOOKUP($BD153,'Jan-25'!$A:$J,10,0)</f>
        <v>0</v>
      </c>
      <c r="EL153" s="22">
        <f>+VLOOKUP($BD153,'Feb-25'!$A:$J,10,0)</f>
        <v>0</v>
      </c>
      <c r="EM153" s="22">
        <f>+VLOOKUP($BD153,'Mar-25'!$A:$J,10,0)</f>
        <v>0</v>
      </c>
      <c r="EN153" s="22">
        <f>+VLOOKUP($BD153,'Apr-25'!$A:$J,10,0)</f>
        <v>0</v>
      </c>
      <c r="EO153" s="22">
        <f>+VLOOKUP($BD153,'May-25'!$A:$J,10,0)</f>
        <v>0</v>
      </c>
      <c r="EP153" s="22">
        <f>+VLOOKUP($BD153,'June-25'!$A:$J,10,0)</f>
        <v>0</v>
      </c>
      <c r="EQ153" s="22">
        <f>+VLOOKUP($BD153,'July-25'!$A:$J,10,0)</f>
        <v>0</v>
      </c>
      <c r="ER153" s="22">
        <f>+VLOOKUP($BD153,'Aug-25'!$A:$J,10,0)</f>
        <v>0</v>
      </c>
      <c r="ES153" s="22">
        <f>+VLOOKUP($BD153,'Sep-25'!$A:$J,10,0)</f>
        <v>12800</v>
      </c>
      <c r="ET153" s="22">
        <f>+VLOOKUP($BD153,'Oct-25'!$A:$J,10,0)</f>
        <v>0</v>
      </c>
      <c r="EU153" s="22">
        <f>+VLOOKUP($BD153,'Nov-25'!$A:$J,10,0)</f>
        <v>0</v>
      </c>
      <c r="EV153" s="22">
        <f>+VLOOKUP($BD153,'Dec-25'!$A:$J,10,0)</f>
        <v>0</v>
      </c>
      <c r="EW153" s="22">
        <f t="shared" si="1767"/>
        <v>12800</v>
      </c>
      <c r="EX153" s="118">
        <f t="shared" si="1226"/>
        <v>0</v>
      </c>
      <c r="EY153" s="106">
        <f>+_xlfn.XLOOKUP($EJ153,Budget!$A:$A,Budget!DR:DR)</f>
        <v>12800</v>
      </c>
      <c r="EZ153" s="106">
        <f>+_xlfn.XLOOKUP($EJ153,Budget!$A:$A,Budget!DS:DS)</f>
        <v>12800</v>
      </c>
      <c r="FA153" s="106">
        <f>+_xlfn.XLOOKUP($EJ153,Budget!$A:$A,Budget!DT:DT)</f>
        <v>12800</v>
      </c>
      <c r="FB153" s="106">
        <f>+_xlfn.XLOOKUP($EJ153,Budget!$A:$A,Budget!DU:DU)</f>
        <v>12800</v>
      </c>
      <c r="FC153" s="106">
        <f>+_xlfn.XLOOKUP($EJ153,Budget!$A:$A,Budget!DV:DV)</f>
        <v>12800</v>
      </c>
      <c r="FD153" s="106">
        <f>+_xlfn.XLOOKUP($EJ153,Budget!$A:$A,Budget!DW:DW)</f>
        <v>12800</v>
      </c>
      <c r="FE153" s="106">
        <f>+_xlfn.XLOOKUP($EJ153,Budget!$A:$A,Budget!DX:DX)</f>
        <v>12800</v>
      </c>
      <c r="FF153" s="106">
        <f>+_xlfn.XLOOKUP($EJ153,Budget!$A:$A,Budget!DY:DY)</f>
        <v>12800</v>
      </c>
      <c r="FG153" s="106">
        <f>+_xlfn.XLOOKUP($EJ153,Budget!$A:$A,Budget!DZ:DZ)</f>
        <v>12800</v>
      </c>
      <c r="FH153" s="106">
        <f>+_xlfn.XLOOKUP($EJ153,Budget!$A:$A,Budget!EA:EA)</f>
        <v>12800</v>
      </c>
      <c r="FI153" s="106">
        <f>+_xlfn.XLOOKUP($EJ153,Budget!$A:$A,Budget!EB:EB)</f>
        <v>12800</v>
      </c>
      <c r="FJ153" s="106">
        <f>+_xlfn.XLOOKUP($EJ153,Budget!$A:$A,Budget!EC:EC)</f>
        <v>12800</v>
      </c>
      <c r="FK153" s="106">
        <f t="shared" si="1768"/>
        <v>153600</v>
      </c>
    </row>
    <row r="154" spans="1:167" ht="14.45" hidden="1" customHeight="1" outlineLevel="2">
      <c r="A154" s="106">
        <f t="shared" si="1447"/>
        <v>300</v>
      </c>
      <c r="B154" s="106">
        <f t="shared" si="1447"/>
        <v>300</v>
      </c>
      <c r="C154" s="106">
        <f t="shared" si="1447"/>
        <v>380</v>
      </c>
      <c r="D154" s="106">
        <f t="shared" si="1447"/>
        <v>320</v>
      </c>
      <c r="E154" s="106">
        <f t="shared" si="1447"/>
        <v>320</v>
      </c>
      <c r="F154" s="106">
        <f t="shared" si="1447"/>
        <v>320</v>
      </c>
      <c r="G154" s="106">
        <f t="shared" si="1447"/>
        <v>340</v>
      </c>
      <c r="H154" s="106">
        <f t="shared" si="1447"/>
        <v>320</v>
      </c>
      <c r="I154" s="106">
        <f t="shared" si="1447"/>
        <v>320</v>
      </c>
      <c r="J154" s="106">
        <f t="shared" si="1447"/>
        <v>340</v>
      </c>
      <c r="K154" s="106">
        <f t="shared" si="1447"/>
        <v>320</v>
      </c>
      <c r="L154" s="106">
        <f t="shared" si="1447"/>
        <v>6060</v>
      </c>
      <c r="M154" s="106">
        <f t="shared" si="1733"/>
        <v>9640</v>
      </c>
      <c r="N154" s="16" t="s">
        <v>128</v>
      </c>
      <c r="O154" s="106">
        <f t="shared" si="1734"/>
        <v>320</v>
      </c>
      <c r="P154" s="106">
        <f t="shared" si="1735"/>
        <v>320</v>
      </c>
      <c r="Q154" s="106">
        <f t="shared" si="1736"/>
        <v>320</v>
      </c>
      <c r="R154" s="106">
        <f t="shared" si="1737"/>
        <v>350</v>
      </c>
      <c r="S154" s="106">
        <f t="shared" si="1738"/>
        <v>320</v>
      </c>
      <c r="T154" s="106">
        <f t="shared" si="1739"/>
        <v>320</v>
      </c>
      <c r="U154" s="106">
        <f t="shared" si="1740"/>
        <v>320</v>
      </c>
      <c r="V154" s="106">
        <f t="shared" si="1741"/>
        <v>320</v>
      </c>
      <c r="W154" s="106">
        <f t="shared" si="1742"/>
        <v>320</v>
      </c>
      <c r="X154" s="106">
        <f t="shared" si="1743"/>
        <v>320</v>
      </c>
      <c r="Y154" s="106">
        <f t="shared" si="1744"/>
        <v>0</v>
      </c>
      <c r="Z154" s="106">
        <f t="shared" si="1745"/>
        <v>0</v>
      </c>
      <c r="AA154" s="106">
        <f t="shared" si="1746"/>
        <v>3230</v>
      </c>
      <c r="AB154" s="118">
        <f t="shared" si="1223"/>
        <v>-0.95151515151515154</v>
      </c>
      <c r="AC154" s="106">
        <f t="shared" si="1747"/>
        <v>6600</v>
      </c>
      <c r="AD154" s="106">
        <f t="shared" si="1748"/>
        <v>6600</v>
      </c>
      <c r="AE154" s="106">
        <f t="shared" si="1749"/>
        <v>6600</v>
      </c>
      <c r="AF154" s="106">
        <f t="shared" si="1750"/>
        <v>6600</v>
      </c>
      <c r="AG154" s="106">
        <f t="shared" si="1751"/>
        <v>6600</v>
      </c>
      <c r="AH154" s="106">
        <f t="shared" si="1752"/>
        <v>6600</v>
      </c>
      <c r="AI154" s="106">
        <f t="shared" si="1753"/>
        <v>6600</v>
      </c>
      <c r="AJ154" s="106">
        <f t="shared" si="1754"/>
        <v>6600</v>
      </c>
      <c r="AK154" s="106">
        <f t="shared" si="1755"/>
        <v>6600</v>
      </c>
      <c r="AL154" s="106">
        <f t="shared" si="1756"/>
        <v>6600</v>
      </c>
      <c r="AM154" s="106">
        <f t="shared" si="1757"/>
        <v>6600</v>
      </c>
      <c r="AN154" s="106">
        <f t="shared" si="1758"/>
        <v>6600</v>
      </c>
      <c r="AO154" s="106">
        <f t="shared" si="1759"/>
        <v>79200</v>
      </c>
      <c r="AQ154" s="106">
        <v>0</v>
      </c>
      <c r="AR154" s="106">
        <v>0</v>
      </c>
      <c r="AS154" s="106">
        <v>0</v>
      </c>
      <c r="AT154" s="106">
        <v>0</v>
      </c>
      <c r="AU154" s="106">
        <v>0</v>
      </c>
      <c r="AV154" s="106">
        <v>0</v>
      </c>
      <c r="AW154" s="106">
        <v>0</v>
      </c>
      <c r="AX154" s="106">
        <v>0</v>
      </c>
      <c r="AY154" s="106">
        <v>0</v>
      </c>
      <c r="AZ154" s="106">
        <v>0</v>
      </c>
      <c r="BA154" s="106">
        <v>0</v>
      </c>
      <c r="BB154" s="106">
        <v>0</v>
      </c>
      <c r="BC154" s="106">
        <f t="shared" si="1760"/>
        <v>0</v>
      </c>
      <c r="BD154" s="16" t="str">
        <f t="shared" si="1410"/>
        <v>Waste Disposal</v>
      </c>
      <c r="BE154" s="106">
        <f>+VLOOKUP($BD154,'Jan-25'!$A:$J,5,0)</f>
        <v>0</v>
      </c>
      <c r="BF154" s="106">
        <f>+VLOOKUP($BD154,'Feb-25'!$A:$J,5,0)</f>
        <v>0</v>
      </c>
      <c r="BG154" s="106">
        <f>+VLOOKUP($BD154,'Mar-25'!$A:$J,5,0)</f>
        <v>0</v>
      </c>
      <c r="BH154" s="106">
        <f>+VLOOKUP($BD154,'Apr-25'!$A:$J,5,0)</f>
        <v>0</v>
      </c>
      <c r="BI154" s="106">
        <f>+VLOOKUP($BD154,'May-25'!$A:$J,5,0)</f>
        <v>0</v>
      </c>
      <c r="BJ154" s="106">
        <f>+VLOOKUP($BD154,'June-25'!$A:$J,5,0)</f>
        <v>0</v>
      </c>
      <c r="BK154" s="106">
        <f>+VLOOKUP($BD154,'July-25'!$A:$J,5,0)</f>
        <v>0</v>
      </c>
      <c r="BL154" s="106">
        <f>+VLOOKUP($BD154,'Aug-25'!$A:$J,5,0)</f>
        <v>0</v>
      </c>
      <c r="BM154" s="106">
        <f>+VLOOKUP($BD154,'Sep-25'!$A:$J,5,0)</f>
        <v>0</v>
      </c>
      <c r="BN154" s="106">
        <f>+VLOOKUP($BD154,'Oct-25'!$A:$J,5,0)</f>
        <v>0</v>
      </c>
      <c r="BO154" s="106">
        <f>+VLOOKUP($BD154,'Nov-25'!$A:$J,5,0)</f>
        <v>0</v>
      </c>
      <c r="BP154" s="106">
        <f>+VLOOKUP($BD154,'Dec-25'!$A:$J,5,0)</f>
        <v>0</v>
      </c>
      <c r="BQ154" s="106">
        <f t="shared" si="1761"/>
        <v>0</v>
      </c>
      <c r="BR154" s="118">
        <f t="shared" si="1224"/>
        <v>-1</v>
      </c>
      <c r="BS154" s="106">
        <f>+_xlfn.XLOOKUP($BD154,Budget!$A:$A,Budget!BD:BD)</f>
        <v>2400</v>
      </c>
      <c r="BT154" s="106">
        <f>+_xlfn.XLOOKUP($BD154,Budget!$A:$A,Budget!BE:BE)</f>
        <v>2400</v>
      </c>
      <c r="BU154" s="106">
        <f>+_xlfn.XLOOKUP($BD154,Budget!$A:$A,Budget!BF:BF)</f>
        <v>2400</v>
      </c>
      <c r="BV154" s="106">
        <f>+_xlfn.XLOOKUP($BD154,Budget!$A:$A,Budget!BG:BG)</f>
        <v>2400</v>
      </c>
      <c r="BW154" s="106">
        <f>+_xlfn.XLOOKUP($BD154,Budget!$A:$A,Budget!BH:BH)</f>
        <v>2400</v>
      </c>
      <c r="BX154" s="106">
        <f>+_xlfn.XLOOKUP($BD154,Budget!$A:$A,Budget!BI:BI)</f>
        <v>2400</v>
      </c>
      <c r="BY154" s="106">
        <f>+_xlfn.XLOOKUP($BD154,Budget!$A:$A,Budget!BJ:BJ)</f>
        <v>2400</v>
      </c>
      <c r="BZ154" s="106">
        <f>+_xlfn.XLOOKUP($BD154,Budget!$A:$A,Budget!BK:BK)</f>
        <v>2400</v>
      </c>
      <c r="CA154" s="106">
        <f>+_xlfn.XLOOKUP($BD154,Budget!$A:$A,Budget!BL:BL)</f>
        <v>2400</v>
      </c>
      <c r="CB154" s="106">
        <f>+_xlfn.XLOOKUP($BD154,Budget!$A:$A,Budget!BM:BM)</f>
        <v>2400</v>
      </c>
      <c r="CC154" s="106">
        <f>+_xlfn.XLOOKUP($BD154,Budget!$A:$A,Budget!BN:BN)</f>
        <v>2400</v>
      </c>
      <c r="CD154" s="106">
        <f>+_xlfn.XLOOKUP($BD154,Budget!$A:$A,Budget!BO:BO)</f>
        <v>2400</v>
      </c>
      <c r="CE154" s="106">
        <f t="shared" si="1762"/>
        <v>28800</v>
      </c>
      <c r="CF154" s="106"/>
      <c r="CG154" s="106">
        <v>300</v>
      </c>
      <c r="CH154" s="106">
        <v>300</v>
      </c>
      <c r="CI154" s="106">
        <v>380</v>
      </c>
      <c r="CJ154" s="106">
        <v>320</v>
      </c>
      <c r="CK154" s="106">
        <v>320</v>
      </c>
      <c r="CL154" s="106">
        <v>320</v>
      </c>
      <c r="CM154" s="106">
        <v>340</v>
      </c>
      <c r="CN154" s="106">
        <v>320</v>
      </c>
      <c r="CO154" s="106">
        <v>320</v>
      </c>
      <c r="CP154" s="106">
        <v>340</v>
      </c>
      <c r="CQ154" s="106">
        <v>320</v>
      </c>
      <c r="CR154" s="106">
        <v>6060</v>
      </c>
      <c r="CS154" s="106">
        <f t="shared" si="1763"/>
        <v>9640</v>
      </c>
      <c r="CT154" s="16" t="str">
        <f t="shared" si="1411"/>
        <v>Waste Disposal</v>
      </c>
      <c r="CU154" s="106">
        <f>+VLOOKUP($BD154,'Jan-25'!$A:$J,8,0)</f>
        <v>320</v>
      </c>
      <c r="CV154" s="106">
        <f>+VLOOKUP($BD154,'Feb-25'!$A:$J,8,0)</f>
        <v>320</v>
      </c>
      <c r="CW154" s="106">
        <f>+VLOOKUP($BD154,'Mar-25'!$A:$J,8,0)</f>
        <v>320</v>
      </c>
      <c r="CX154" s="106">
        <f>+VLOOKUP($BD154,'Apr-25'!$A:$J,8,0)</f>
        <v>350</v>
      </c>
      <c r="CY154" s="106">
        <f>+VLOOKUP($BD154,'May-25'!$A:$J,8,0)</f>
        <v>320</v>
      </c>
      <c r="CZ154" s="106">
        <f>+VLOOKUP($BD154,'June-25'!$A:$J,8,0)</f>
        <v>320</v>
      </c>
      <c r="DA154" s="106">
        <f>+VLOOKUP($BD154,'July-25'!$A:$J,8,0)</f>
        <v>320</v>
      </c>
      <c r="DB154" s="106">
        <f>+VLOOKUP($BD154,'Aug-25'!$A:$J,8,0)</f>
        <v>320</v>
      </c>
      <c r="DC154" s="106">
        <f>+VLOOKUP($BD154,'Sep-25'!$A:$J,8,0)</f>
        <v>320</v>
      </c>
      <c r="DD154" s="106">
        <f>+VLOOKUP($BD154,'Oct-25'!$A:$J,8,0)</f>
        <v>320</v>
      </c>
      <c r="DE154" s="106">
        <f>+VLOOKUP($BD154,'Nov-25'!$A:$J,8,0)</f>
        <v>0</v>
      </c>
      <c r="DF154" s="106">
        <f>+VLOOKUP($BD154,'Dec-25'!$A:$J,8,0)</f>
        <v>0</v>
      </c>
      <c r="DG154" s="106">
        <f t="shared" si="1764"/>
        <v>3230</v>
      </c>
      <c r="DH154" s="118">
        <f t="shared" si="1225"/>
        <v>-0.73333333333333328</v>
      </c>
      <c r="DI154" s="106">
        <f>+_xlfn.XLOOKUP($CT154,Budget!$A:$A,Budget!CQ:CQ)</f>
        <v>1200</v>
      </c>
      <c r="DJ154" s="106">
        <f>+_xlfn.XLOOKUP($CT154,Budget!$A:$A,Budget!CR:CR)</f>
        <v>1200</v>
      </c>
      <c r="DK154" s="106">
        <f>+_xlfn.XLOOKUP($CT154,Budget!$A:$A,Budget!CS:CS)</f>
        <v>1200</v>
      </c>
      <c r="DL154" s="106">
        <f>+_xlfn.XLOOKUP($CT154,Budget!$A:$A,Budget!CT:CT)</f>
        <v>1200</v>
      </c>
      <c r="DM154" s="106">
        <f>+_xlfn.XLOOKUP($CT154,Budget!$A:$A,Budget!CU:CU)</f>
        <v>1200</v>
      </c>
      <c r="DN154" s="106">
        <f>+_xlfn.XLOOKUP($CT154,Budget!$A:$A,Budget!CV:CV)</f>
        <v>1200</v>
      </c>
      <c r="DO154" s="106">
        <f>+_xlfn.XLOOKUP($CT154,Budget!$A:$A,Budget!CW:CW)</f>
        <v>1200</v>
      </c>
      <c r="DP154" s="106">
        <f>+_xlfn.XLOOKUP($CT154,Budget!$A:$A,Budget!CX:CX)</f>
        <v>1200</v>
      </c>
      <c r="DQ154" s="106">
        <f>+_xlfn.XLOOKUP($CT154,Budget!$A:$A,Budget!CY:CY)</f>
        <v>1200</v>
      </c>
      <c r="DR154" s="106">
        <f>+_xlfn.XLOOKUP($CT154,Budget!$A:$A,Budget!CZ:CZ)</f>
        <v>1200</v>
      </c>
      <c r="DS154" s="106">
        <f>+_xlfn.XLOOKUP($CT154,Budget!$A:$A,Budget!DA:DA)</f>
        <v>1200</v>
      </c>
      <c r="DT154" s="106">
        <f>+_xlfn.XLOOKUP($CT154,Budget!$A:$A,Budget!DB:DB)</f>
        <v>1200</v>
      </c>
      <c r="DU154" s="106">
        <f t="shared" si="1765"/>
        <v>14400</v>
      </c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106">
        <f t="shared" si="1766"/>
        <v>0</v>
      </c>
      <c r="EJ154" s="16" t="str">
        <f t="shared" si="1555"/>
        <v>Waste Disposal</v>
      </c>
      <c r="EK154" s="22">
        <f>+VLOOKUP($BD154,'Jan-25'!$A:$J,10,0)</f>
        <v>0</v>
      </c>
      <c r="EL154" s="22">
        <f>+VLOOKUP($BD154,'Feb-25'!$A:$J,10,0)</f>
        <v>0</v>
      </c>
      <c r="EM154" s="22">
        <f>+VLOOKUP($BD154,'Mar-25'!$A:$J,10,0)</f>
        <v>0</v>
      </c>
      <c r="EN154" s="22">
        <f>+VLOOKUP($BD154,'Apr-25'!$A:$J,10,0)</f>
        <v>0</v>
      </c>
      <c r="EO154" s="22">
        <f>+VLOOKUP($BD154,'May-25'!$A:$J,10,0)</f>
        <v>0</v>
      </c>
      <c r="EP154" s="22">
        <f>+VLOOKUP($BD154,'June-25'!$A:$J,10,0)</f>
        <v>0</v>
      </c>
      <c r="EQ154" s="22">
        <f>+VLOOKUP($BD154,'July-25'!$A:$J,10,0)</f>
        <v>0</v>
      </c>
      <c r="ER154" s="22">
        <f>+VLOOKUP($BD154,'Aug-25'!$A:$J,10,0)</f>
        <v>0</v>
      </c>
      <c r="ES154" s="22">
        <f>+VLOOKUP($BD154,'Sep-25'!$A:$J,10,0)</f>
        <v>0</v>
      </c>
      <c r="ET154" s="22">
        <f>+VLOOKUP($BD154,'Oct-25'!$A:$J,10,0)</f>
        <v>0</v>
      </c>
      <c r="EU154" s="22">
        <f>+VLOOKUP($BD154,'Nov-25'!$A:$J,10,0)</f>
        <v>0</v>
      </c>
      <c r="EV154" s="22">
        <f>+VLOOKUP($BD154,'Dec-25'!$A:$J,10,0)</f>
        <v>0</v>
      </c>
      <c r="EW154" s="22">
        <f t="shared" si="1767"/>
        <v>0</v>
      </c>
      <c r="EX154" s="118">
        <f t="shared" si="1226"/>
        <v>-1</v>
      </c>
      <c r="EY154" s="106">
        <f>+_xlfn.XLOOKUP($EJ154,Budget!$A:$A,Budget!DR:DR)</f>
        <v>3000</v>
      </c>
      <c r="EZ154" s="106">
        <f>+_xlfn.XLOOKUP($EJ154,Budget!$A:$A,Budget!DS:DS)</f>
        <v>3000</v>
      </c>
      <c r="FA154" s="106">
        <f>+_xlfn.XLOOKUP($EJ154,Budget!$A:$A,Budget!DT:DT)</f>
        <v>3000</v>
      </c>
      <c r="FB154" s="106">
        <f>+_xlfn.XLOOKUP($EJ154,Budget!$A:$A,Budget!DU:DU)</f>
        <v>3000</v>
      </c>
      <c r="FC154" s="106">
        <f>+_xlfn.XLOOKUP($EJ154,Budget!$A:$A,Budget!DV:DV)</f>
        <v>3000</v>
      </c>
      <c r="FD154" s="106">
        <f>+_xlfn.XLOOKUP($EJ154,Budget!$A:$A,Budget!DW:DW)</f>
        <v>3000</v>
      </c>
      <c r="FE154" s="106">
        <f>+_xlfn.XLOOKUP($EJ154,Budget!$A:$A,Budget!DX:DX)</f>
        <v>3000</v>
      </c>
      <c r="FF154" s="106">
        <f>+_xlfn.XLOOKUP($EJ154,Budget!$A:$A,Budget!DY:DY)</f>
        <v>3000</v>
      </c>
      <c r="FG154" s="106">
        <f>+_xlfn.XLOOKUP($EJ154,Budget!$A:$A,Budget!DZ:DZ)</f>
        <v>3000</v>
      </c>
      <c r="FH154" s="106">
        <f>+_xlfn.XLOOKUP($EJ154,Budget!$A:$A,Budget!EA:EA)</f>
        <v>3000</v>
      </c>
      <c r="FI154" s="106">
        <f>+_xlfn.XLOOKUP($EJ154,Budget!$A:$A,Budget!EB:EB)</f>
        <v>3000</v>
      </c>
      <c r="FJ154" s="106">
        <f>+_xlfn.XLOOKUP($EJ154,Budget!$A:$A,Budget!EC:EC)</f>
        <v>3000</v>
      </c>
      <c r="FK154" s="106">
        <f t="shared" si="1768"/>
        <v>36000</v>
      </c>
    </row>
    <row r="155" spans="1:167" ht="14.45" hidden="1" customHeight="1" outlineLevel="2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18">
        <f t="shared" si="1223"/>
        <v>0</v>
      </c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06"/>
      <c r="BC155" s="106"/>
      <c r="BD155" s="16">
        <f t="shared" si="1410"/>
        <v>0</v>
      </c>
      <c r="BE155" s="106"/>
      <c r="BF155" s="106"/>
      <c r="BG155" s="106"/>
      <c r="BH155" s="106"/>
      <c r="BI155" s="106"/>
      <c r="BJ155" s="106"/>
      <c r="BK155" s="106"/>
      <c r="BL155" s="106"/>
      <c r="BM155" s="106"/>
      <c r="BN155" s="106"/>
      <c r="BO155" s="106"/>
      <c r="BP155" s="106"/>
      <c r="BQ155" s="106"/>
      <c r="BR155" s="118">
        <f t="shared" si="1224"/>
        <v>0</v>
      </c>
      <c r="BS155" s="106"/>
      <c r="BT155" s="106"/>
      <c r="BU155" s="106"/>
      <c r="BV155" s="106"/>
      <c r="BW155" s="106"/>
      <c r="BX155" s="106"/>
      <c r="BY155" s="106"/>
      <c r="BZ155" s="106"/>
      <c r="CA155" s="106"/>
      <c r="CB155" s="106"/>
      <c r="CC155" s="106"/>
      <c r="CD155" s="106"/>
      <c r="CE155" s="106"/>
      <c r="CF155" s="106"/>
      <c r="CG155" s="106"/>
      <c r="CH155" s="106"/>
      <c r="CI155" s="106"/>
      <c r="CJ155" s="106"/>
      <c r="CK155" s="106"/>
      <c r="CL155" s="106"/>
      <c r="CM155" s="106"/>
      <c r="CN155" s="106"/>
      <c r="CO155" s="106"/>
      <c r="CP155" s="106"/>
      <c r="CQ155" s="106"/>
      <c r="CR155" s="106"/>
      <c r="CS155" s="106"/>
      <c r="CT155" s="16">
        <f t="shared" si="1411"/>
        <v>0</v>
      </c>
      <c r="CU155" s="106"/>
      <c r="CV155" s="106"/>
      <c r="CW155" s="106"/>
      <c r="CX155" s="106"/>
      <c r="CY155" s="106"/>
      <c r="CZ155" s="106"/>
      <c r="DA155" s="106"/>
      <c r="DB155" s="106"/>
      <c r="DC155" s="106"/>
      <c r="DD155" s="106"/>
      <c r="DE155" s="106"/>
      <c r="DF155" s="106"/>
      <c r="DG155" s="106"/>
      <c r="DH155" s="118">
        <f t="shared" si="1225"/>
        <v>0</v>
      </c>
      <c r="DI155" s="106"/>
      <c r="DJ155" s="106"/>
      <c r="DK155" s="106"/>
      <c r="DL155" s="106"/>
      <c r="DM155" s="106"/>
      <c r="DN155" s="106"/>
      <c r="DO155" s="106"/>
      <c r="DP155" s="106"/>
      <c r="DQ155" s="106"/>
      <c r="DR155" s="106"/>
      <c r="DS155" s="106"/>
      <c r="DT155" s="106"/>
      <c r="DU155" s="106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106"/>
      <c r="EJ155" s="16">
        <f t="shared" si="1555"/>
        <v>0</v>
      </c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118" t="e">
        <f t="shared" si="1226"/>
        <v>#DIV/0!</v>
      </c>
      <c r="EY155" s="106"/>
      <c r="EZ155" s="106"/>
      <c r="FA155" s="106"/>
      <c r="FB155" s="106"/>
      <c r="FC155" s="106"/>
      <c r="FD155" s="106"/>
      <c r="FE155" s="106"/>
      <c r="FF155" s="106"/>
      <c r="FG155" s="106"/>
      <c r="FH155" s="106"/>
      <c r="FI155" s="106"/>
      <c r="FJ155" s="106"/>
      <c r="FK155" s="106"/>
    </row>
    <row r="156" spans="1:167" ht="14.45" customHeight="1" collapsed="1">
      <c r="A156" s="58">
        <f>+A157+A164+A172+A178+A182+A187+A193+A205+A209+A214</f>
        <v>535060.5517999999</v>
      </c>
      <c r="B156" s="58">
        <f t="shared" ref="B156:L156" si="1769">+B157+B164+B172+B178+B182+B187+B193+B205+B209+B214</f>
        <v>503083.99479999987</v>
      </c>
      <c r="C156" s="58">
        <f t="shared" si="1769"/>
        <v>514467.99819999991</v>
      </c>
      <c r="D156" s="58">
        <f t="shared" si="1769"/>
        <v>522998.91440000001</v>
      </c>
      <c r="E156" s="58">
        <f t="shared" si="1769"/>
        <v>451734.99119999999</v>
      </c>
      <c r="F156" s="58">
        <f t="shared" si="1769"/>
        <v>590603.14379999996</v>
      </c>
      <c r="G156" s="58">
        <f t="shared" si="1769"/>
        <v>492713.97279939998</v>
      </c>
      <c r="H156" s="58">
        <f t="shared" si="1769"/>
        <v>468532.84362051275</v>
      </c>
      <c r="I156" s="58">
        <f t="shared" si="1769"/>
        <v>464484.82579999999</v>
      </c>
      <c r="J156" s="58">
        <f t="shared" si="1769"/>
        <v>505465.41039999999</v>
      </c>
      <c r="K156" s="58">
        <f t="shared" si="1769"/>
        <v>522237.83259999997</v>
      </c>
      <c r="L156" s="58">
        <f t="shared" si="1769"/>
        <v>565397.34939999995</v>
      </c>
      <c r="M156" s="58">
        <f>+M157+M164+M172+M178+M182+M187+M193+M205+M209+M214</f>
        <v>294000.40259999997</v>
      </c>
      <c r="N156" s="19" t="s">
        <v>129</v>
      </c>
      <c r="O156" s="58">
        <f>+O157+O164+O172+O178+O182+O187+O193+O205+O209+O214</f>
        <v>639916.19753333332</v>
      </c>
      <c r="P156" s="58">
        <f t="shared" ref="P156" si="1770">+P157+P164+P172+P178+P182+P187+P193+P205+P209+P214</f>
        <v>657306.51160000009</v>
      </c>
      <c r="Q156" s="58">
        <f t="shared" ref="Q156" si="1771">+Q157+Q164+Q172+Q178+Q182+Q187+Q193+Q205+Q209+Q214</f>
        <v>605723.38133333332</v>
      </c>
      <c r="R156" s="58">
        <f t="shared" ref="R156" si="1772">+R157+R164+R172+R178+R182+R187+R193+R205+R209+R214</f>
        <v>653840.44720000005</v>
      </c>
      <c r="S156" s="58">
        <f t="shared" ref="S156" si="1773">+S157+S164+S172+S178+S182+S187+S193+S205+S209+S214</f>
        <v>1092188.4391999999</v>
      </c>
      <c r="T156" s="58">
        <f t="shared" ref="T156" si="1774">+T157+T164+T172+T178+T182+T187+T193+T205+T209+T214</f>
        <v>826766.58140000002</v>
      </c>
      <c r="U156" s="58">
        <f t="shared" ref="U156" si="1775">+U157+U164+U172+U178+U182+U187+U193+U205+U209+U214</f>
        <v>818772.04034597753</v>
      </c>
      <c r="V156" s="58">
        <f t="shared" ref="V156" si="1776">+V157+V164+V172+V178+V182+V187+V193+V205+V209+V214</f>
        <v>703259.63800000004</v>
      </c>
      <c r="W156" s="58">
        <f t="shared" ref="W156" si="1777">+W157+W164+W172+W178+W182+W187+W193+W205+W209+W214</f>
        <v>972384.76699999999</v>
      </c>
      <c r="X156" s="58">
        <f t="shared" ref="X156" si="1778">+X157+X164+X172+X178+X182+X187+X193+X205+X209+X214</f>
        <v>944689.64919999999</v>
      </c>
      <c r="Y156" s="58">
        <f t="shared" ref="Y156" si="1779">+Y157+Y164+Y172+Y178+Y182+Y187+Y193+Y205+Y209+Y214</f>
        <v>0</v>
      </c>
      <c r="Z156" s="58">
        <f t="shared" ref="Z156" si="1780">+Z157+Z164+Z172+Z178+Z182+Z187+Z193+Z205+Z209+Z214</f>
        <v>0</v>
      </c>
      <c r="AA156" s="58">
        <f>+AA157+AA164+AA172+AA178+AA182+AA187+AA193+AA205+AA209+AA214</f>
        <v>338975.44071111118</v>
      </c>
      <c r="AB156" s="118">
        <f t="shared" si="1223"/>
        <v>-7.32548469952604E-2</v>
      </c>
      <c r="AC156" s="58">
        <f>+AC157+AC164+AC172+AC178+AC182+AC187+AC193+AC205+AC209+AC214</f>
        <v>1012001.9205622124</v>
      </c>
      <c r="AD156" s="58">
        <f t="shared" ref="AD156" si="1781">+AD157+AD164+AD172+AD178+AD182+AD187+AD193+AD205+AD209+AD214</f>
        <v>1012001.9205622122</v>
      </c>
      <c r="AE156" s="58">
        <f t="shared" ref="AE156" si="1782">+AE157+AE164+AE172+AE178+AE182+AE187+AE193+AE205+AE209+AE214</f>
        <v>1012001.9205622122</v>
      </c>
      <c r="AF156" s="58">
        <f t="shared" ref="AF156" si="1783">+AF157+AF164+AF172+AF178+AF182+AF187+AF193+AF205+AF209+AF214</f>
        <v>1012358.9205622122</v>
      </c>
      <c r="AG156" s="58">
        <f t="shared" ref="AG156" si="1784">+AG157+AG164+AG172+AG178+AG182+AG187+AG193+AG205+AG209+AG214</f>
        <v>1012358.9205622122</v>
      </c>
      <c r="AH156" s="58">
        <f t="shared" ref="AH156" si="1785">+AH157+AH164+AH172+AH178+AH182+AH187+AH193+AH205+AH209+AH214</f>
        <v>1018564.2258292122</v>
      </c>
      <c r="AI156" s="58">
        <f t="shared" ref="AI156" si="1786">+AI157+AI164+AI172+AI178+AI182+AI187+AI193+AI205+AI209+AI214</f>
        <v>1018564.2258292122</v>
      </c>
      <c r="AJ156" s="58">
        <f t="shared" ref="AJ156" si="1787">+AJ157+AJ164+AJ172+AJ178+AJ182+AJ187+AJ193+AJ205+AJ209+AJ214</f>
        <v>1018564.2258292122</v>
      </c>
      <c r="AK156" s="58">
        <f t="shared" ref="AK156" si="1788">+AK157+AK164+AK172+AK178+AK182+AK187+AK193+AK205+AK209+AK214</f>
        <v>1022648.3213734623</v>
      </c>
      <c r="AL156" s="58">
        <f t="shared" ref="AL156" si="1789">+AL157+AL164+AL172+AL178+AL182+AL187+AL193+AL205+AL209+AL214</f>
        <v>1019362.9242484623</v>
      </c>
      <c r="AM156" s="58">
        <f t="shared" ref="AM156" si="1790">+AM157+AM164+AM172+AM178+AM182+AM187+AM193+AM205+AM209+AM214</f>
        <v>1019362.9242484623</v>
      </c>
      <c r="AN156" s="58">
        <f t="shared" ref="AN156" si="1791">+AN157+AN164+AN172+AN178+AN182+AN187+AN193+AN205+AN209+AN214</f>
        <v>1019362.9242484623</v>
      </c>
      <c r="AO156" s="58">
        <f>+AO157+AO164+AO172+AO178+AO182+AO187+AO193+AO205+AO209+AO214</f>
        <v>12197153.374417545</v>
      </c>
      <c r="AQ156" s="58">
        <f>+AQ157+AQ164+AQ172+AQ178+AQ182+AQ187+AQ193+AQ205+AQ209+AQ214</f>
        <v>404698.21839999995</v>
      </c>
      <c r="AR156" s="58">
        <f t="shared" ref="AR156:BB156" si="1792">+AR157+AR164+AR172+AR178+AR182+AR187+AR193+AR205+AR209+AR214</f>
        <v>380600.72039999999</v>
      </c>
      <c r="AS156" s="58">
        <f t="shared" si="1792"/>
        <v>393225.554</v>
      </c>
      <c r="AT156" s="58">
        <f t="shared" si="1792"/>
        <v>407041.06160000002</v>
      </c>
      <c r="AU156" s="58">
        <f t="shared" si="1792"/>
        <v>333946.59880000004</v>
      </c>
      <c r="AV156" s="58">
        <f t="shared" si="1792"/>
        <v>388970.96120000002</v>
      </c>
      <c r="AW156" s="58">
        <f t="shared" si="1792"/>
        <v>351405.39919959998</v>
      </c>
      <c r="AX156" s="58">
        <f t="shared" si="1792"/>
        <v>335507.77863589744</v>
      </c>
      <c r="AY156" s="58">
        <f t="shared" si="1792"/>
        <v>349530.39319999999</v>
      </c>
      <c r="AZ156" s="58">
        <f t="shared" si="1792"/>
        <v>382791.33360000001</v>
      </c>
      <c r="BA156" s="58">
        <f t="shared" si="1792"/>
        <v>379222.58039999998</v>
      </c>
      <c r="BB156" s="58">
        <f t="shared" si="1792"/>
        <v>409409.08960000001</v>
      </c>
      <c r="BC156" s="58">
        <f>+BC157+BC164+BC172+BC178+BC182+BC187+BC193+BC205+BC209+BC214</f>
        <v>4516349.6890354967</v>
      </c>
      <c r="BD156" s="19" t="str">
        <f t="shared" si="1410"/>
        <v>Administrative Expenses</v>
      </c>
      <c r="BE156" s="58">
        <f t="shared" ref="BE156:BQ156" si="1793">+BE157+BE164+BE172+BE178+BE182+BE187+BE193+BE205+BE209+BE214</f>
        <v>340263.28746666666</v>
      </c>
      <c r="BF156" s="58">
        <f t="shared" si="1793"/>
        <v>349546.58640000003</v>
      </c>
      <c r="BG156" s="58">
        <f t="shared" si="1793"/>
        <v>329552.47866666666</v>
      </c>
      <c r="BH156" s="58">
        <f t="shared" si="1793"/>
        <v>361026.53480000002</v>
      </c>
      <c r="BI156" s="58">
        <f t="shared" si="1793"/>
        <v>522621.06520000007</v>
      </c>
      <c r="BJ156" s="58">
        <f t="shared" si="1793"/>
        <v>523918.78360000002</v>
      </c>
      <c r="BK156" s="58">
        <f t="shared" si="1793"/>
        <v>360001.17857139243</v>
      </c>
      <c r="BL156" s="58">
        <f t="shared" si="1793"/>
        <v>410387.36</v>
      </c>
      <c r="BM156" s="58">
        <f t="shared" si="1793"/>
        <v>421101.42200000002</v>
      </c>
      <c r="BN156" s="58">
        <f t="shared" si="1793"/>
        <v>417029.06880000001</v>
      </c>
      <c r="BO156" s="58">
        <f t="shared" si="1793"/>
        <v>0</v>
      </c>
      <c r="BP156" s="58">
        <f t="shared" si="1793"/>
        <v>0</v>
      </c>
      <c r="BQ156" s="58">
        <f t="shared" si="1793"/>
        <v>4035447.7655047257</v>
      </c>
      <c r="BR156" s="118">
        <f t="shared" si="1224"/>
        <v>-0.12980230159266445</v>
      </c>
      <c r="BS156" s="58">
        <f>+BS157+BS164+BS172+BS178+BS182+BS187+BS193+BS205+BS209+BS214</f>
        <v>472350.21593696973</v>
      </c>
      <c r="BT156" s="58">
        <f t="shared" ref="BT156:CD156" si="1794">+BT157+BT164+BT172+BT178+BT182+BT187+BT193+BT205+BT209+BT214</f>
        <v>472350.21593696973</v>
      </c>
      <c r="BU156" s="58">
        <f t="shared" si="1794"/>
        <v>472350.21593696973</v>
      </c>
      <c r="BV156" s="58">
        <f t="shared" si="1794"/>
        <v>472707.21593696973</v>
      </c>
      <c r="BW156" s="58">
        <f t="shared" si="1794"/>
        <v>472707.21593696973</v>
      </c>
      <c r="BX156" s="58">
        <f t="shared" si="1794"/>
        <v>478912.52120396972</v>
      </c>
      <c r="BY156" s="58">
        <f t="shared" si="1794"/>
        <v>478912.52120396972</v>
      </c>
      <c r="BZ156" s="58">
        <f t="shared" si="1794"/>
        <v>478912.52120396972</v>
      </c>
      <c r="CA156" s="58">
        <f t="shared" si="1794"/>
        <v>482512.52120396972</v>
      </c>
      <c r="CB156" s="58">
        <f t="shared" si="1794"/>
        <v>479234.8561289697</v>
      </c>
      <c r="CC156" s="58">
        <f t="shared" si="1794"/>
        <v>479234.8561289697</v>
      </c>
      <c r="CD156" s="58">
        <f t="shared" si="1794"/>
        <v>479234.8561289697</v>
      </c>
      <c r="CE156" s="58">
        <f>+CE157+CE164+CE172+CE178+CE182+CE187+CE193+CE205+CE209+CE214</f>
        <v>5719419.7328876369</v>
      </c>
      <c r="CF156" s="106"/>
      <c r="CG156" s="58">
        <f>+CG157+CG164+CG172+CG178+CG182+CG187+CG193+CG205+CG209+CG214</f>
        <v>130362.33339999996</v>
      </c>
      <c r="CH156" s="58">
        <f t="shared" ref="CH156:CR156" si="1795">+CH157+CH164+CH172+CH178+CH182+CH187+CH193+CH205+CH209+CH214</f>
        <v>122483.27439999997</v>
      </c>
      <c r="CI156" s="58">
        <f t="shared" si="1795"/>
        <v>121242.44419999995</v>
      </c>
      <c r="CJ156" s="58">
        <f t="shared" si="1795"/>
        <v>115957.85279999999</v>
      </c>
      <c r="CK156" s="58">
        <f t="shared" si="1795"/>
        <v>117788.3924</v>
      </c>
      <c r="CL156" s="58">
        <f t="shared" si="1795"/>
        <v>201632.18260000003</v>
      </c>
      <c r="CM156" s="58">
        <f t="shared" si="1795"/>
        <v>141308.5735998</v>
      </c>
      <c r="CN156" s="58">
        <f t="shared" si="1795"/>
        <v>133025.06498461537</v>
      </c>
      <c r="CO156" s="58">
        <f t="shared" si="1795"/>
        <v>114954.4326</v>
      </c>
      <c r="CP156" s="58">
        <f t="shared" si="1795"/>
        <v>122674.0768</v>
      </c>
      <c r="CQ156" s="58">
        <f t="shared" si="1795"/>
        <v>143015.25220000002</v>
      </c>
      <c r="CR156" s="58">
        <f t="shared" si="1795"/>
        <v>155988.2598</v>
      </c>
      <c r="CS156" s="58">
        <f>+CS157+CS164+CS172+CS178+CS182+CS187+CS193+CS205+CS209+CS214</f>
        <v>1620432.1397844153</v>
      </c>
      <c r="CT156" s="19" t="str">
        <f t="shared" si="1411"/>
        <v>Administrative Expenses</v>
      </c>
      <c r="CU156" s="58">
        <f t="shared" ref="CU156:DG156" si="1796">+CU157+CU164+CU172+CU178+CU182+CU187+CU193+CU205+CU209+CU214</f>
        <v>119402.91006666666</v>
      </c>
      <c r="CV156" s="58">
        <f t="shared" si="1796"/>
        <v>128509.92520000001</v>
      </c>
      <c r="CW156" s="58">
        <f t="shared" si="1796"/>
        <v>96920.902666666661</v>
      </c>
      <c r="CX156" s="58">
        <f t="shared" si="1796"/>
        <v>113563.9124</v>
      </c>
      <c r="CY156" s="58">
        <f t="shared" si="1796"/>
        <v>184629.59</v>
      </c>
      <c r="CZ156" s="58">
        <f t="shared" si="1796"/>
        <v>123597.7978</v>
      </c>
      <c r="DA156" s="58">
        <f t="shared" si="1796"/>
        <v>115539.66177458508</v>
      </c>
      <c r="DB156" s="58">
        <f t="shared" si="1796"/>
        <v>146258.67800000001</v>
      </c>
      <c r="DC156" s="58">
        <f t="shared" si="1796"/>
        <v>210971.34499999997</v>
      </c>
      <c r="DD156" s="58">
        <f t="shared" si="1796"/>
        <v>179332.58040000001</v>
      </c>
      <c r="DE156" s="58">
        <f t="shared" si="1796"/>
        <v>0</v>
      </c>
      <c r="DF156" s="58">
        <f t="shared" si="1796"/>
        <v>0</v>
      </c>
      <c r="DG156" s="58">
        <f t="shared" si="1796"/>
        <v>1418727.3033079184</v>
      </c>
      <c r="DH156" s="118">
        <f t="shared" si="1225"/>
        <v>1.618256149912E-2</v>
      </c>
      <c r="DI156" s="58">
        <f t="shared" ref="DI156:DT156" si="1797">+DI157+DI164+DI172+DI178+DI182+DI187+DI193+DI205+DI209+DI214</f>
        <v>176000.37129190908</v>
      </c>
      <c r="DJ156" s="58">
        <f t="shared" si="1797"/>
        <v>176000.37129190908</v>
      </c>
      <c r="DK156" s="58">
        <f t="shared" si="1797"/>
        <v>176000.37129190908</v>
      </c>
      <c r="DL156" s="58">
        <f t="shared" si="1797"/>
        <v>176000.37129190908</v>
      </c>
      <c r="DM156" s="58">
        <f t="shared" si="1797"/>
        <v>176000.37129190908</v>
      </c>
      <c r="DN156" s="58">
        <f t="shared" si="1797"/>
        <v>176000.37129190908</v>
      </c>
      <c r="DO156" s="58">
        <f t="shared" si="1797"/>
        <v>176000.37129190908</v>
      </c>
      <c r="DP156" s="58">
        <f t="shared" si="1797"/>
        <v>176000.37129190908</v>
      </c>
      <c r="DQ156" s="58">
        <f t="shared" si="1797"/>
        <v>176484.46683615912</v>
      </c>
      <c r="DR156" s="58">
        <f t="shared" si="1797"/>
        <v>176476.7347861591</v>
      </c>
      <c r="DS156" s="58">
        <f t="shared" si="1797"/>
        <v>176476.7347861591</v>
      </c>
      <c r="DT156" s="58">
        <f t="shared" si="1797"/>
        <v>176476.7347861591</v>
      </c>
      <c r="DU156" s="58">
        <f>+DU157+DU164+DU172+DU178+DU182+DU187+DU193+DU205+DU209+DU214</f>
        <v>2113917.6415299093</v>
      </c>
      <c r="DW156" s="28">
        <f t="shared" ref="DW156:EH156" si="1798">+DW157+DW164+DW172+DW178+DW182+DW187+DW193+DW205+DW209+DW214</f>
        <v>0</v>
      </c>
      <c r="DX156" s="28">
        <f t="shared" si="1798"/>
        <v>0</v>
      </c>
      <c r="DY156" s="28">
        <f t="shared" si="1798"/>
        <v>0</v>
      </c>
      <c r="DZ156" s="28">
        <f t="shared" si="1798"/>
        <v>0</v>
      </c>
      <c r="EA156" s="28">
        <f t="shared" si="1798"/>
        <v>0</v>
      </c>
      <c r="EB156" s="28">
        <f t="shared" si="1798"/>
        <v>0</v>
      </c>
      <c r="EC156" s="28">
        <f t="shared" si="1798"/>
        <v>0</v>
      </c>
      <c r="ED156" s="28">
        <f t="shared" si="1798"/>
        <v>0</v>
      </c>
      <c r="EE156" s="28">
        <f t="shared" si="1798"/>
        <v>0</v>
      </c>
      <c r="EF156" s="28">
        <f t="shared" si="1798"/>
        <v>0</v>
      </c>
      <c r="EG156" s="28">
        <f t="shared" si="1798"/>
        <v>0</v>
      </c>
      <c r="EH156" s="28">
        <f t="shared" si="1798"/>
        <v>0</v>
      </c>
      <c r="EI156" s="58">
        <f>+EI157+EI164+EI172+EI178+EI182+EI187+EI193+EI205+EI209+EI214</f>
        <v>0</v>
      </c>
      <c r="EJ156" s="19" t="str">
        <f t="shared" si="1555"/>
        <v>Administrative Expenses</v>
      </c>
      <c r="EK156" s="28">
        <f t="shared" ref="EK156:EW156" si="1799">+EK157+EK164+EK172+EK178+EK182+EK187+EK193+EK205+EK209+EK214</f>
        <v>180250</v>
      </c>
      <c r="EL156" s="28">
        <f t="shared" si="1799"/>
        <v>179250</v>
      </c>
      <c r="EM156" s="28">
        <f t="shared" si="1799"/>
        <v>179250</v>
      </c>
      <c r="EN156" s="28">
        <f t="shared" si="1799"/>
        <v>179250</v>
      </c>
      <c r="EO156" s="28">
        <f t="shared" si="1799"/>
        <v>384937.78399999999</v>
      </c>
      <c r="EP156" s="28">
        <f t="shared" si="1799"/>
        <v>179250</v>
      </c>
      <c r="EQ156" s="28">
        <f t="shared" si="1799"/>
        <v>343231.2</v>
      </c>
      <c r="ER156" s="28">
        <f t="shared" si="1799"/>
        <v>146613.6</v>
      </c>
      <c r="ES156" s="28">
        <f t="shared" si="1799"/>
        <v>340312</v>
      </c>
      <c r="ET156" s="28">
        <f t="shared" si="1799"/>
        <v>348328</v>
      </c>
      <c r="EU156" s="28">
        <f t="shared" si="1799"/>
        <v>0</v>
      </c>
      <c r="EV156" s="28">
        <f t="shared" si="1799"/>
        <v>0</v>
      </c>
      <c r="EW156" s="28">
        <f t="shared" si="1799"/>
        <v>2460672.5839999998</v>
      </c>
      <c r="EX156" s="118">
        <f t="shared" si="1226"/>
        <v>-6.4180524568405367E-2</v>
      </c>
      <c r="EY156" s="58">
        <f t="shared" ref="EY156:FJ156" si="1800">+EY157+EY164+EY172+EY178+EY182+EY187+EY193+EY205+EY209+EY214</f>
        <v>363651.33333333349</v>
      </c>
      <c r="EZ156" s="58">
        <f t="shared" si="1800"/>
        <v>363651.33333333337</v>
      </c>
      <c r="FA156" s="58">
        <f t="shared" si="1800"/>
        <v>363651.33333333337</v>
      </c>
      <c r="FB156" s="58">
        <f t="shared" si="1800"/>
        <v>363651.33333333337</v>
      </c>
      <c r="FC156" s="58">
        <f t="shared" si="1800"/>
        <v>363651.33333333337</v>
      </c>
      <c r="FD156" s="58">
        <f t="shared" si="1800"/>
        <v>363651.33333333337</v>
      </c>
      <c r="FE156" s="58">
        <f t="shared" si="1800"/>
        <v>363651.33333333337</v>
      </c>
      <c r="FF156" s="58">
        <f t="shared" si="1800"/>
        <v>363651.33333333337</v>
      </c>
      <c r="FG156" s="58">
        <f t="shared" si="1800"/>
        <v>363651.33333333337</v>
      </c>
      <c r="FH156" s="58">
        <f t="shared" si="1800"/>
        <v>363651.33333333337</v>
      </c>
      <c r="FI156" s="58">
        <f t="shared" si="1800"/>
        <v>363651.33333333337</v>
      </c>
      <c r="FJ156" s="58">
        <f t="shared" si="1800"/>
        <v>363651.33333333337</v>
      </c>
      <c r="FK156" s="58">
        <f>+FK157+FK164+FK172+FK178+FK182+FK187+FK193+FK205+FK209+FK214</f>
        <v>4363816</v>
      </c>
    </row>
    <row r="157" spans="1:167" ht="14.45" hidden="1" customHeight="1" outlineLevel="1">
      <c r="A157" s="58">
        <f t="shared" ref="A157:M157" si="1801">+SUM(A158:A162)</f>
        <v>24154.937399999999</v>
      </c>
      <c r="B157" s="58">
        <f t="shared" si="1801"/>
        <v>14678.806</v>
      </c>
      <c r="C157" s="58">
        <f t="shared" si="1801"/>
        <v>12759.5</v>
      </c>
      <c r="D157" s="58">
        <f t="shared" si="1801"/>
        <v>22331.200000000001</v>
      </c>
      <c r="E157" s="58">
        <f t="shared" si="1801"/>
        <v>10710.5224</v>
      </c>
      <c r="F157" s="58">
        <f t="shared" si="1801"/>
        <v>91744.2</v>
      </c>
      <c r="G157" s="58">
        <f t="shared" si="1801"/>
        <v>14181.2</v>
      </c>
      <c r="H157" s="58">
        <f t="shared" si="1801"/>
        <v>26148.14</v>
      </c>
      <c r="I157" s="58">
        <f t="shared" si="1801"/>
        <v>23276.9048</v>
      </c>
      <c r="J157" s="58">
        <f t="shared" si="1801"/>
        <v>10327.14</v>
      </c>
      <c r="K157" s="58">
        <f t="shared" si="1801"/>
        <v>6196.1120000000001</v>
      </c>
      <c r="L157" s="58">
        <f t="shared" si="1801"/>
        <v>37491.74</v>
      </c>
      <c r="M157" s="58">
        <f t="shared" si="1801"/>
        <v>294000.40259999997</v>
      </c>
      <c r="N157" s="20" t="s">
        <v>130</v>
      </c>
      <c r="O157" s="58">
        <f t="shared" ref="O157" si="1802">+SUM(O158:O162)</f>
        <v>5536.9495999999999</v>
      </c>
      <c r="P157" s="58">
        <f t="shared" ref="P157" si="1803">+SUM(P158:P162)</f>
        <v>27528.6302</v>
      </c>
      <c r="Q157" s="58">
        <f t="shared" ref="Q157" si="1804">+SUM(Q158:Q162)</f>
        <v>2849.3865999999998</v>
      </c>
      <c r="R157" s="58">
        <f t="shared" ref="R157" si="1805">+SUM(R158:R162)</f>
        <v>16954.862000000001</v>
      </c>
      <c r="S157" s="58">
        <f t="shared" ref="S157" si="1806">+SUM(S158:S162)</f>
        <v>18116.112000000001</v>
      </c>
      <c r="T157" s="58">
        <f t="shared" ref="T157" si="1807">+SUM(T158:T162)</f>
        <v>136970.8388</v>
      </c>
      <c r="U157" s="58">
        <f t="shared" ref="U157" si="1808">+SUM(U158:U162)</f>
        <v>38642.111111111109</v>
      </c>
      <c r="V157" s="58">
        <f t="shared" ref="V157" si="1809">+SUM(V158:V162)</f>
        <v>5360.8404</v>
      </c>
      <c r="W157" s="58">
        <f t="shared" ref="W157" si="1810">+SUM(W158:W162)</f>
        <v>67281.67</v>
      </c>
      <c r="X157" s="58">
        <f t="shared" ref="X157" si="1811">+SUM(X158:X162)</f>
        <v>19734.04</v>
      </c>
      <c r="Y157" s="58">
        <f t="shared" ref="Y157" si="1812">+SUM(Y158:Y162)</f>
        <v>0</v>
      </c>
      <c r="Z157" s="58">
        <f t="shared" ref="Z157" si="1813">+SUM(Z158:Z162)</f>
        <v>0</v>
      </c>
      <c r="AA157" s="58">
        <f t="shared" ref="AA157" si="1814">+SUM(AA158:AA162)</f>
        <v>338975.44071111118</v>
      </c>
      <c r="AB157" s="118">
        <f t="shared" si="1223"/>
        <v>-0.54570994069838163</v>
      </c>
      <c r="AC157" s="58">
        <f t="shared" ref="AC157" si="1815">+SUM(AC158:AC162)</f>
        <v>44581.551012000004</v>
      </c>
      <c r="AD157" s="58">
        <f t="shared" ref="AD157" si="1816">+SUM(AD158:AD162)</f>
        <v>44581.551012000004</v>
      </c>
      <c r="AE157" s="58">
        <f t="shared" ref="AE157" si="1817">+SUM(AE158:AE162)</f>
        <v>44581.551012000004</v>
      </c>
      <c r="AF157" s="58">
        <f t="shared" ref="AF157" si="1818">+SUM(AF158:AF162)</f>
        <v>44938.551012000004</v>
      </c>
      <c r="AG157" s="58">
        <f t="shared" ref="AG157" si="1819">+SUM(AG158:AG162)</f>
        <v>44938.551012000004</v>
      </c>
      <c r="AH157" s="58">
        <f t="shared" ref="AH157" si="1820">+SUM(AH158:AH162)</f>
        <v>44938.551012000004</v>
      </c>
      <c r="AI157" s="58">
        <f t="shared" ref="AI157" si="1821">+SUM(AI158:AI162)</f>
        <v>44938.551012000004</v>
      </c>
      <c r="AJ157" s="58">
        <f t="shared" ref="AJ157" si="1822">+SUM(AJ158:AJ162)</f>
        <v>44938.551012000004</v>
      </c>
      <c r="AK157" s="58">
        <f t="shared" ref="AK157" si="1823">+SUM(AK158:AK162)</f>
        <v>43082.797025000007</v>
      </c>
      <c r="AL157" s="58">
        <f t="shared" ref="AL157" si="1824">+SUM(AL158:AL162)</f>
        <v>43439.295216666658</v>
      </c>
      <c r="AM157" s="58">
        <f t="shared" ref="AM157" si="1825">+SUM(AM158:AM162)</f>
        <v>43439.295216666658</v>
      </c>
      <c r="AN157" s="58">
        <f t="shared" ref="AN157" si="1826">+SUM(AN158:AN162)</f>
        <v>43439.295216666658</v>
      </c>
      <c r="AO157" s="58">
        <f t="shared" ref="AO157" si="1827">+SUM(AO158:AO162)</f>
        <v>531838.09077100013</v>
      </c>
      <c r="AQ157" s="58">
        <f t="shared" ref="AQ157:BC157" si="1828">+SUM(AQ158:AQ162)</f>
        <v>20026.5736</v>
      </c>
      <c r="AR157" s="58">
        <f t="shared" si="1828"/>
        <v>7229.96</v>
      </c>
      <c r="AS157" s="58">
        <f t="shared" si="1828"/>
        <v>8273</v>
      </c>
      <c r="AT157" s="58">
        <f t="shared" si="1828"/>
        <v>19130</v>
      </c>
      <c r="AU157" s="58">
        <f t="shared" si="1828"/>
        <v>7302.8815999999997</v>
      </c>
      <c r="AV157" s="58">
        <f t="shared" si="1828"/>
        <v>7130</v>
      </c>
      <c r="AW157" s="58">
        <f t="shared" si="1828"/>
        <v>7130</v>
      </c>
      <c r="AX157" s="58">
        <f t="shared" si="1828"/>
        <v>20570.760000000002</v>
      </c>
      <c r="AY157" s="58">
        <f t="shared" si="1828"/>
        <v>22646.047200000001</v>
      </c>
      <c r="AZ157" s="58">
        <f t="shared" si="1828"/>
        <v>9784.76</v>
      </c>
      <c r="BA157" s="58">
        <f t="shared" si="1828"/>
        <v>800</v>
      </c>
      <c r="BB157" s="58">
        <f t="shared" si="1828"/>
        <v>24570.36</v>
      </c>
      <c r="BC157" s="58">
        <f t="shared" si="1828"/>
        <v>154594.34239999999</v>
      </c>
      <c r="BD157" s="20" t="str">
        <f t="shared" si="1410"/>
        <v>Repair and Maintenance</v>
      </c>
      <c r="BE157" s="58">
        <f t="shared" ref="BE157:BQ157" si="1829">+SUM(BE158:BE162)</f>
        <v>1927.1664000000001</v>
      </c>
      <c r="BF157" s="58">
        <f t="shared" ref="BF157:BP157" si="1830">+SUM(BF158:BF162)</f>
        <v>21966.426800000001</v>
      </c>
      <c r="BG157" s="58">
        <f t="shared" si="1830"/>
        <v>1475.5164</v>
      </c>
      <c r="BH157" s="58">
        <f t="shared" si="1830"/>
        <v>15918.75</v>
      </c>
      <c r="BI157" s="58">
        <f t="shared" si="1830"/>
        <v>17540</v>
      </c>
      <c r="BJ157" s="58">
        <f t="shared" si="1830"/>
        <v>132029.55919999999</v>
      </c>
      <c r="BK157" s="58">
        <f t="shared" si="1830"/>
        <v>2400</v>
      </c>
      <c r="BL157" s="58">
        <f t="shared" si="1830"/>
        <v>2643.0936000000002</v>
      </c>
      <c r="BM157" s="58">
        <f t="shared" si="1830"/>
        <v>4708.47</v>
      </c>
      <c r="BN157" s="58">
        <f t="shared" si="1830"/>
        <v>514.55999999999995</v>
      </c>
      <c r="BO157" s="58">
        <f t="shared" si="1830"/>
        <v>0</v>
      </c>
      <c r="BP157" s="58">
        <f t="shared" si="1830"/>
        <v>0</v>
      </c>
      <c r="BQ157" s="58">
        <f t="shared" si="1829"/>
        <v>201123.54240000001</v>
      </c>
      <c r="BR157" s="118">
        <f t="shared" si="1224"/>
        <v>-0.98334764216892179</v>
      </c>
      <c r="BS157" s="58">
        <f t="shared" ref="BS157:CE157" si="1831">+SUM(BS158:BS162)</f>
        <v>30186.630500000007</v>
      </c>
      <c r="BT157" s="58">
        <f t="shared" si="1831"/>
        <v>30186.630500000007</v>
      </c>
      <c r="BU157" s="58">
        <f t="shared" si="1831"/>
        <v>30186.630500000007</v>
      </c>
      <c r="BV157" s="58">
        <f t="shared" si="1831"/>
        <v>30543.630500000007</v>
      </c>
      <c r="BW157" s="58">
        <f t="shared" si="1831"/>
        <v>30543.630500000007</v>
      </c>
      <c r="BX157" s="58">
        <f t="shared" si="1831"/>
        <v>30543.630500000007</v>
      </c>
      <c r="BY157" s="58">
        <f t="shared" si="1831"/>
        <v>30543.630500000007</v>
      </c>
      <c r="BZ157" s="58">
        <f t="shared" si="1831"/>
        <v>30543.630500000007</v>
      </c>
      <c r="CA157" s="58">
        <f t="shared" si="1831"/>
        <v>30543.630500000007</v>
      </c>
      <c r="CB157" s="58">
        <f t="shared" si="1831"/>
        <v>30900.128691666658</v>
      </c>
      <c r="CC157" s="58">
        <f t="shared" si="1831"/>
        <v>30900.128691666658</v>
      </c>
      <c r="CD157" s="58">
        <f t="shared" si="1831"/>
        <v>30900.128691666658</v>
      </c>
      <c r="CE157" s="58">
        <f t="shared" si="1831"/>
        <v>366522.06057499995</v>
      </c>
      <c r="CF157" s="106"/>
      <c r="CG157" s="58">
        <f t="shared" ref="CG157:CS157" si="1832">+SUM(CG158:CG162)</f>
        <v>4128.3638000000001</v>
      </c>
      <c r="CH157" s="58">
        <f t="shared" si="1832"/>
        <v>7448.8460000000005</v>
      </c>
      <c r="CI157" s="58">
        <f t="shared" si="1832"/>
        <v>4486.5</v>
      </c>
      <c r="CJ157" s="58">
        <f t="shared" si="1832"/>
        <v>3201.2</v>
      </c>
      <c r="CK157" s="58">
        <f t="shared" si="1832"/>
        <v>3407.6408000000001</v>
      </c>
      <c r="CL157" s="58">
        <f t="shared" si="1832"/>
        <v>84614.2</v>
      </c>
      <c r="CM157" s="58">
        <f t="shared" si="1832"/>
        <v>7051.2</v>
      </c>
      <c r="CN157" s="58">
        <f t="shared" si="1832"/>
        <v>5577.38</v>
      </c>
      <c r="CO157" s="58">
        <f t="shared" si="1832"/>
        <v>630.85760000000005</v>
      </c>
      <c r="CP157" s="58">
        <f t="shared" si="1832"/>
        <v>542.38</v>
      </c>
      <c r="CQ157" s="58">
        <f t="shared" si="1832"/>
        <v>5396.1120000000001</v>
      </c>
      <c r="CR157" s="58">
        <f t="shared" si="1832"/>
        <v>12921.380000000001</v>
      </c>
      <c r="CS157" s="58">
        <f t="shared" si="1832"/>
        <v>139406.06020000001</v>
      </c>
      <c r="CT157" s="20" t="str">
        <f t="shared" si="1411"/>
        <v>Repair and Maintenance</v>
      </c>
      <c r="CU157" s="58">
        <f t="shared" ref="CU157:DG157" si="1833">+SUM(CU158:CU162)</f>
        <v>3609.7831999999999</v>
      </c>
      <c r="CV157" s="58">
        <f t="shared" si="1833"/>
        <v>5562.2034000000003</v>
      </c>
      <c r="CW157" s="58">
        <f t="shared" si="1833"/>
        <v>1373.8701999999998</v>
      </c>
      <c r="CX157" s="58">
        <f t="shared" si="1833"/>
        <v>1036.1120000000001</v>
      </c>
      <c r="CY157" s="58">
        <f t="shared" si="1833"/>
        <v>576.11199999999997</v>
      </c>
      <c r="CZ157" s="58">
        <f t="shared" si="1833"/>
        <v>4941.2795999999998</v>
      </c>
      <c r="DA157" s="58">
        <f t="shared" si="1833"/>
        <v>1042.1111111111113</v>
      </c>
      <c r="DB157" s="58">
        <f t="shared" si="1833"/>
        <v>2717.7467999999999</v>
      </c>
      <c r="DC157" s="58">
        <f t="shared" si="1833"/>
        <v>62573.2</v>
      </c>
      <c r="DD157" s="58">
        <f t="shared" si="1833"/>
        <v>19219.480000000003</v>
      </c>
      <c r="DE157" s="58">
        <f t="shared" si="1833"/>
        <v>0</v>
      </c>
      <c r="DF157" s="58">
        <f t="shared" si="1833"/>
        <v>0</v>
      </c>
      <c r="DG157" s="58">
        <f t="shared" si="1833"/>
        <v>102651.89831111112</v>
      </c>
      <c r="DH157" s="118">
        <f t="shared" si="1225"/>
        <v>0.53275578258579692</v>
      </c>
      <c r="DI157" s="58">
        <f t="shared" ref="DI157:DU157" si="1834">+SUM(DI158:DI162)</f>
        <v>14394.920512000001</v>
      </c>
      <c r="DJ157" s="58">
        <f t="shared" si="1834"/>
        <v>14394.920512000001</v>
      </c>
      <c r="DK157" s="58">
        <f t="shared" si="1834"/>
        <v>14394.920512000001</v>
      </c>
      <c r="DL157" s="58">
        <f t="shared" si="1834"/>
        <v>14394.920512000001</v>
      </c>
      <c r="DM157" s="58">
        <f t="shared" si="1834"/>
        <v>14394.920512000001</v>
      </c>
      <c r="DN157" s="58">
        <f t="shared" si="1834"/>
        <v>14394.920512000001</v>
      </c>
      <c r="DO157" s="58">
        <f t="shared" si="1834"/>
        <v>14394.920512000001</v>
      </c>
      <c r="DP157" s="58">
        <f t="shared" si="1834"/>
        <v>14394.920512000001</v>
      </c>
      <c r="DQ157" s="58">
        <f t="shared" si="1834"/>
        <v>12539.166525000001</v>
      </c>
      <c r="DR157" s="58">
        <f t="shared" si="1834"/>
        <v>12539.166525000001</v>
      </c>
      <c r="DS157" s="58">
        <f t="shared" si="1834"/>
        <v>12539.166525000001</v>
      </c>
      <c r="DT157" s="58">
        <f t="shared" si="1834"/>
        <v>12539.166525000001</v>
      </c>
      <c r="DU157" s="58">
        <f t="shared" si="1834"/>
        <v>165316.03019600001</v>
      </c>
      <c r="DW157" s="28">
        <f t="shared" ref="DW157:EI157" si="1835">+SUM(DW158:DW162)</f>
        <v>0</v>
      </c>
      <c r="DX157" s="28">
        <f t="shared" si="1835"/>
        <v>0</v>
      </c>
      <c r="DY157" s="28">
        <f t="shared" si="1835"/>
        <v>0</v>
      </c>
      <c r="DZ157" s="28">
        <f t="shared" si="1835"/>
        <v>0</v>
      </c>
      <c r="EA157" s="28">
        <f t="shared" si="1835"/>
        <v>0</v>
      </c>
      <c r="EB157" s="28">
        <f t="shared" si="1835"/>
        <v>0</v>
      </c>
      <c r="EC157" s="28">
        <f t="shared" si="1835"/>
        <v>0</v>
      </c>
      <c r="ED157" s="28">
        <f t="shared" si="1835"/>
        <v>0</v>
      </c>
      <c r="EE157" s="28">
        <f t="shared" si="1835"/>
        <v>0</v>
      </c>
      <c r="EF157" s="28">
        <f t="shared" si="1835"/>
        <v>0</v>
      </c>
      <c r="EG157" s="28">
        <f t="shared" si="1835"/>
        <v>0</v>
      </c>
      <c r="EH157" s="28">
        <f t="shared" si="1835"/>
        <v>0</v>
      </c>
      <c r="EI157" s="58">
        <f t="shared" si="1835"/>
        <v>0</v>
      </c>
      <c r="EJ157" s="20" t="str">
        <f t="shared" si="1555"/>
        <v>Repair and Maintenance</v>
      </c>
      <c r="EK157" s="28">
        <f t="shared" ref="EK157:EV157" si="1836">+SUM(EK158:EK162)</f>
        <v>0</v>
      </c>
      <c r="EL157" s="28">
        <f t="shared" si="1836"/>
        <v>0</v>
      </c>
      <c r="EM157" s="28">
        <f t="shared" si="1836"/>
        <v>0</v>
      </c>
      <c r="EN157" s="28">
        <f t="shared" si="1836"/>
        <v>0</v>
      </c>
      <c r="EO157" s="28">
        <f t="shared" si="1836"/>
        <v>0</v>
      </c>
      <c r="EP157" s="28">
        <f t="shared" si="1836"/>
        <v>0</v>
      </c>
      <c r="EQ157" s="28">
        <f t="shared" si="1836"/>
        <v>35200</v>
      </c>
      <c r="ER157" s="28">
        <f t="shared" si="1836"/>
        <v>0</v>
      </c>
      <c r="ES157" s="28">
        <f t="shared" si="1836"/>
        <v>0</v>
      </c>
      <c r="ET157" s="28">
        <f t="shared" si="1836"/>
        <v>0</v>
      </c>
      <c r="EU157" s="28">
        <f t="shared" si="1836"/>
        <v>0</v>
      </c>
      <c r="EV157" s="28">
        <f t="shared" si="1836"/>
        <v>0</v>
      </c>
      <c r="EW157" s="28">
        <f t="shared" ref="EW157" si="1837">+SUM(EW158:EW162)</f>
        <v>35200</v>
      </c>
      <c r="EX157" s="118" t="e">
        <f t="shared" si="1226"/>
        <v>#DIV/0!</v>
      </c>
      <c r="EY157" s="58">
        <f t="shared" ref="EY157:FK157" si="1838">+SUM(EY158:EY162)</f>
        <v>0</v>
      </c>
      <c r="EZ157" s="58">
        <f t="shared" si="1838"/>
        <v>0</v>
      </c>
      <c r="FA157" s="58">
        <f t="shared" si="1838"/>
        <v>0</v>
      </c>
      <c r="FB157" s="58">
        <f t="shared" si="1838"/>
        <v>0</v>
      </c>
      <c r="FC157" s="58">
        <f t="shared" si="1838"/>
        <v>0</v>
      </c>
      <c r="FD157" s="58">
        <f t="shared" si="1838"/>
        <v>0</v>
      </c>
      <c r="FE157" s="58">
        <f t="shared" si="1838"/>
        <v>0</v>
      </c>
      <c r="FF157" s="58">
        <f t="shared" si="1838"/>
        <v>0</v>
      </c>
      <c r="FG157" s="58">
        <f t="shared" si="1838"/>
        <v>0</v>
      </c>
      <c r="FH157" s="58">
        <f t="shared" si="1838"/>
        <v>0</v>
      </c>
      <c r="FI157" s="58">
        <f t="shared" si="1838"/>
        <v>0</v>
      </c>
      <c r="FJ157" s="58">
        <f t="shared" si="1838"/>
        <v>0</v>
      </c>
      <c r="FK157" s="58">
        <f t="shared" si="1838"/>
        <v>0</v>
      </c>
    </row>
    <row r="158" spans="1:167" ht="14.45" hidden="1" customHeight="1" outlineLevel="2">
      <c r="A158" s="106">
        <f t="shared" ref="A158:L162" si="1839">+AQ158+CG158+DW158</f>
        <v>0</v>
      </c>
      <c r="B158" s="106">
        <f t="shared" si="1839"/>
        <v>0</v>
      </c>
      <c r="C158" s="106">
        <f t="shared" si="1839"/>
        <v>0</v>
      </c>
      <c r="D158" s="106">
        <f t="shared" si="1839"/>
        <v>0</v>
      </c>
      <c r="E158" s="106">
        <f t="shared" si="1839"/>
        <v>0</v>
      </c>
      <c r="F158" s="106">
        <f t="shared" si="1839"/>
        <v>0</v>
      </c>
      <c r="G158" s="106">
        <f t="shared" si="1839"/>
        <v>2230</v>
      </c>
      <c r="H158" s="106">
        <f t="shared" si="1839"/>
        <v>0</v>
      </c>
      <c r="I158" s="106">
        <f t="shared" si="1839"/>
        <v>0</v>
      </c>
      <c r="J158" s="106">
        <f t="shared" si="1839"/>
        <v>0</v>
      </c>
      <c r="K158" s="106">
        <f t="shared" si="1839"/>
        <v>4270</v>
      </c>
      <c r="L158" s="106">
        <f t="shared" si="1839"/>
        <v>35978.400000000001</v>
      </c>
      <c r="M158" s="106">
        <f t="shared" ref="M158:M162" si="1840">+SUM(A158:L158)</f>
        <v>42478.400000000001</v>
      </c>
      <c r="N158" s="16" t="s">
        <v>131</v>
      </c>
      <c r="O158" s="106">
        <f t="shared" ref="O158:O162" si="1841">+BE158+CU158+EK158</f>
        <v>0</v>
      </c>
      <c r="P158" s="106">
        <f t="shared" ref="P158:P162" si="1842">+BF158+CV158+EL158</f>
        <v>0</v>
      </c>
      <c r="Q158" s="106">
        <f t="shared" ref="Q158:Q162" si="1843">+BG158+CW158+EM158</f>
        <v>0</v>
      </c>
      <c r="R158" s="106">
        <f t="shared" ref="R158:R162" si="1844">+BH158+CX158+EN158</f>
        <v>0</v>
      </c>
      <c r="S158" s="106">
        <f t="shared" ref="S158:S162" si="1845">+BI158+CY158+EO158</f>
        <v>16460</v>
      </c>
      <c r="T158" s="106">
        <f t="shared" ref="T158:T162" si="1846">+BJ158+CZ158+EP158</f>
        <v>129450</v>
      </c>
      <c r="U158" s="106">
        <f t="shared" ref="U158:U162" si="1847">+BK158+DA158+EQ158</f>
        <v>0</v>
      </c>
      <c r="V158" s="106">
        <f t="shared" ref="V158:V162" si="1848">+BL158+DB158+ER158</f>
        <v>0</v>
      </c>
      <c r="W158" s="106">
        <f t="shared" ref="W158:W162" si="1849">+BM158+DC158+ES158</f>
        <v>0</v>
      </c>
      <c r="X158" s="106">
        <f t="shared" ref="X158:X162" si="1850">+BN158+DD158+ET158</f>
        <v>0</v>
      </c>
      <c r="Y158" s="106">
        <f t="shared" ref="Y158:Y162" si="1851">+BO158+DE158+EU158</f>
        <v>0</v>
      </c>
      <c r="Z158" s="106">
        <f t="shared" ref="Z158:Z162" si="1852">+BP158+DF158+EV158</f>
        <v>0</v>
      </c>
      <c r="AA158" s="106">
        <f t="shared" ref="AA158:AA162" si="1853">+SUM(O158:Z158)</f>
        <v>145910</v>
      </c>
      <c r="AB158" s="118">
        <f t="shared" ref="AB158:AB221" si="1854">IFERROR((X158-AL158)/AL158,0)</f>
        <v>-1</v>
      </c>
      <c r="AC158" s="106">
        <f t="shared" ref="AC158:AC162" si="1855">+BS158+DI158+EY158</f>
        <v>11560</v>
      </c>
      <c r="AD158" s="106">
        <f t="shared" ref="AD158:AD162" si="1856">+BT158+DJ158+EZ158</f>
        <v>11560</v>
      </c>
      <c r="AE158" s="106">
        <f t="shared" ref="AE158:AE162" si="1857">+BU158+DK158+FA158</f>
        <v>11560</v>
      </c>
      <c r="AF158" s="106">
        <f t="shared" ref="AF158:AF162" si="1858">+BV158+DL158+FB158</f>
        <v>11560</v>
      </c>
      <c r="AG158" s="106">
        <f t="shared" ref="AG158:AG162" si="1859">+BW158+DM158+FC158</f>
        <v>11560</v>
      </c>
      <c r="AH158" s="106">
        <f t="shared" ref="AH158:AH162" si="1860">+BX158+DN158+FD158</f>
        <v>11560</v>
      </c>
      <c r="AI158" s="106">
        <f t="shared" ref="AI158:AI162" si="1861">+BY158+DO158+FE158</f>
        <v>11560</v>
      </c>
      <c r="AJ158" s="106">
        <f t="shared" ref="AJ158:AJ162" si="1862">+BZ158+DP158+FF158</f>
        <v>11560</v>
      </c>
      <c r="AK158" s="106">
        <f t="shared" ref="AK158:AK162" si="1863">+CA158+DQ158+FG158</f>
        <v>11560</v>
      </c>
      <c r="AL158" s="106">
        <f t="shared" ref="AL158:AL162" si="1864">+CB158+DR158+FH158</f>
        <v>11560</v>
      </c>
      <c r="AM158" s="106">
        <f t="shared" ref="AM158:AM162" si="1865">+CC158+DS158+FI158</f>
        <v>11560</v>
      </c>
      <c r="AN158" s="106">
        <f t="shared" ref="AN158:AN162" si="1866">+CD158+DT158+FJ158</f>
        <v>11560</v>
      </c>
      <c r="AO158" s="106">
        <f t="shared" ref="AO158:AO162" si="1867">+SUM(AC158:AN158)</f>
        <v>138720</v>
      </c>
      <c r="AQ158" s="106">
        <v>0</v>
      </c>
      <c r="AR158" s="106">
        <v>0</v>
      </c>
      <c r="AS158" s="106">
        <v>0</v>
      </c>
      <c r="AT158" s="106">
        <v>0</v>
      </c>
      <c r="AU158" s="106">
        <v>0</v>
      </c>
      <c r="AV158" s="106">
        <v>0</v>
      </c>
      <c r="AW158" s="106">
        <v>0</v>
      </c>
      <c r="AX158" s="106">
        <v>0</v>
      </c>
      <c r="AY158" s="106">
        <v>0</v>
      </c>
      <c r="AZ158" s="106">
        <v>0</v>
      </c>
      <c r="BA158" s="106">
        <v>0</v>
      </c>
      <c r="BB158" s="106">
        <v>23985.600000000002</v>
      </c>
      <c r="BC158" s="106">
        <f t="shared" ref="BC158:BC162" si="1868">+SUM(AQ158:BB158)</f>
        <v>23985.600000000002</v>
      </c>
      <c r="BD158" s="16" t="str">
        <f t="shared" si="1410"/>
        <v>Repair and Maintenance - Building</v>
      </c>
      <c r="BE158" s="106">
        <f>+VLOOKUP($BD158,'Jan-25'!$A:$J,5,0)</f>
        <v>0</v>
      </c>
      <c r="BF158" s="106">
        <f>+VLOOKUP($BD158,'Feb-25'!$A:$J,5,0)</f>
        <v>0</v>
      </c>
      <c r="BG158" s="106">
        <f>+VLOOKUP($BD158,'Mar-25'!$A:$J,5,0)</f>
        <v>0</v>
      </c>
      <c r="BH158" s="106">
        <f>+VLOOKUP($BD158,'Apr-25'!$A:$J,5,0)</f>
        <v>0</v>
      </c>
      <c r="BI158" s="106">
        <f>+VLOOKUP($BD158,'May-25'!$A:$J,5,0)</f>
        <v>16340</v>
      </c>
      <c r="BJ158" s="106">
        <f>+VLOOKUP($BD158,'June-25'!$A:$J,5,0)</f>
        <v>129450</v>
      </c>
      <c r="BK158" s="106">
        <f>+VLOOKUP($BD158,'July-25'!$A:$J,5,0)</f>
        <v>0</v>
      </c>
      <c r="BL158" s="106">
        <f>+VLOOKUP($BD158,'Aug-25'!$A:$J,5,0)</f>
        <v>0</v>
      </c>
      <c r="BM158" s="106">
        <f>+VLOOKUP($BD158,'Sep-25'!$A:$J,5,0)</f>
        <v>0</v>
      </c>
      <c r="BN158" s="106">
        <f>+VLOOKUP($BD158,'Oct-25'!$A:$J,5,0)</f>
        <v>0</v>
      </c>
      <c r="BO158" s="106">
        <f>+VLOOKUP($BD158,'Nov-25'!$A:$J,5,0)</f>
        <v>0</v>
      </c>
      <c r="BP158" s="106">
        <f>+VLOOKUP($BD158,'Dec-25'!$A:$J,5,0)</f>
        <v>0</v>
      </c>
      <c r="BQ158" s="106">
        <f t="shared" ref="BQ158:BQ162" si="1869">+SUM(BE158:BP158)</f>
        <v>145790</v>
      </c>
      <c r="BR158" s="118">
        <f t="shared" ref="BR158:BR221" si="1870">IFERROR((BN158-CB158)/CB158,0)</f>
        <v>-1</v>
      </c>
      <c r="BS158" s="106">
        <f>+_xlfn.XLOOKUP($BD158,Budget!$A:$A,Budget!BD:BD)</f>
        <v>7320</v>
      </c>
      <c r="BT158" s="106">
        <f>+_xlfn.XLOOKUP($BD158,Budget!$A:$A,Budget!BE:BE)</f>
        <v>7320</v>
      </c>
      <c r="BU158" s="106">
        <f>+_xlfn.XLOOKUP($BD158,Budget!$A:$A,Budget!BF:BF)</f>
        <v>7320</v>
      </c>
      <c r="BV158" s="106">
        <f>+_xlfn.XLOOKUP($BD158,Budget!$A:$A,Budget!BG:BG)</f>
        <v>7320</v>
      </c>
      <c r="BW158" s="106">
        <f>+_xlfn.XLOOKUP($BD158,Budget!$A:$A,Budget!BH:BH)</f>
        <v>7320</v>
      </c>
      <c r="BX158" s="106">
        <f>+_xlfn.XLOOKUP($BD158,Budget!$A:$A,Budget!BI:BI)</f>
        <v>7320</v>
      </c>
      <c r="BY158" s="106">
        <f>+_xlfn.XLOOKUP($BD158,Budget!$A:$A,Budget!BJ:BJ)</f>
        <v>7320</v>
      </c>
      <c r="BZ158" s="106">
        <f>+_xlfn.XLOOKUP($BD158,Budget!$A:$A,Budget!BK:BK)</f>
        <v>7320</v>
      </c>
      <c r="CA158" s="106">
        <f>+_xlfn.XLOOKUP($BD158,Budget!$A:$A,Budget!BL:BL)</f>
        <v>7320</v>
      </c>
      <c r="CB158" s="106">
        <f>+_xlfn.XLOOKUP($BD158,Budget!$A:$A,Budget!BM:BM)</f>
        <v>7320</v>
      </c>
      <c r="CC158" s="106">
        <f>+_xlfn.XLOOKUP($BD158,Budget!$A:$A,Budget!BN:BN)</f>
        <v>7320</v>
      </c>
      <c r="CD158" s="106">
        <f>+_xlfn.XLOOKUP($BD158,Budget!$A:$A,Budget!BO:BO)</f>
        <v>7320</v>
      </c>
      <c r="CE158" s="106">
        <f t="shared" ref="CE158:CE162" si="1871">+SUM(BS158:CD158)</f>
        <v>87840</v>
      </c>
      <c r="CF158" s="106"/>
      <c r="CG158" s="106">
        <v>0</v>
      </c>
      <c r="CH158" s="106">
        <v>0</v>
      </c>
      <c r="CI158" s="106">
        <v>0</v>
      </c>
      <c r="CJ158" s="106">
        <v>0</v>
      </c>
      <c r="CK158" s="106">
        <v>0</v>
      </c>
      <c r="CL158" s="106">
        <v>0</v>
      </c>
      <c r="CM158" s="106">
        <v>2230</v>
      </c>
      <c r="CN158" s="106">
        <v>0</v>
      </c>
      <c r="CO158" s="106">
        <v>0</v>
      </c>
      <c r="CP158" s="106">
        <v>0</v>
      </c>
      <c r="CQ158" s="106">
        <v>4270</v>
      </c>
      <c r="CR158" s="106">
        <v>11992.800000000001</v>
      </c>
      <c r="CS158" s="106">
        <f t="shared" ref="CS158:CS162" si="1872">+SUM(CG158:CR158)</f>
        <v>18492.800000000003</v>
      </c>
      <c r="CT158" s="16" t="str">
        <f t="shared" si="1411"/>
        <v>Repair and Maintenance - Building</v>
      </c>
      <c r="CU158" s="106">
        <f>+VLOOKUP($BD158,'Jan-25'!$A:$J,8,0)</f>
        <v>0</v>
      </c>
      <c r="CV158" s="106">
        <f>+VLOOKUP($BD158,'Feb-25'!$A:$J,8,0)</f>
        <v>0</v>
      </c>
      <c r="CW158" s="106">
        <f>+VLOOKUP($BD158,'Mar-25'!$A:$J,8,0)</f>
        <v>0</v>
      </c>
      <c r="CX158" s="106">
        <f>+VLOOKUP($BD158,'Apr-25'!$A:$J,8,0)</f>
        <v>0</v>
      </c>
      <c r="CY158" s="106">
        <f>+VLOOKUP($BD158,'May-25'!$A:$J,8,0)</f>
        <v>120</v>
      </c>
      <c r="CZ158" s="106">
        <f>+VLOOKUP($BD158,'June-25'!$A:$J,8,0)</f>
        <v>0</v>
      </c>
      <c r="DA158" s="106">
        <f>+VLOOKUP($BD158,'July-25'!$A:$J,8,0)</f>
        <v>0</v>
      </c>
      <c r="DB158" s="106">
        <f>+VLOOKUP($BD158,'Aug-25'!$A:$J,8,0)</f>
        <v>0</v>
      </c>
      <c r="DC158" s="106">
        <f>+VLOOKUP($BD158,'Sep-25'!$A:$J,8,0)</f>
        <v>0</v>
      </c>
      <c r="DD158" s="106">
        <f>+VLOOKUP($BD158,'Oct-25'!$A:$J,8,0)</f>
        <v>0</v>
      </c>
      <c r="DE158" s="106">
        <f>+VLOOKUP($BD158,'Nov-25'!$A:$J,8,0)</f>
        <v>0</v>
      </c>
      <c r="DF158" s="106">
        <f>+VLOOKUP($BD158,'Dec-25'!$A:$J,8,0)</f>
        <v>0</v>
      </c>
      <c r="DG158" s="106">
        <f t="shared" ref="DG158:DG162" si="1873">+SUM(CU158:DF158)</f>
        <v>120</v>
      </c>
      <c r="DH158" s="118">
        <f t="shared" ref="DH158:DH221" si="1874">IFERROR((DD158-DR158)/DR158,0)</f>
        <v>-1</v>
      </c>
      <c r="DI158" s="106">
        <f>+_xlfn.XLOOKUP($CT158,Budget!$A:$A,Budget!CQ:CQ)</f>
        <v>4240</v>
      </c>
      <c r="DJ158" s="106">
        <f>+_xlfn.XLOOKUP($CT158,Budget!$A:$A,Budget!CR:CR)</f>
        <v>4240</v>
      </c>
      <c r="DK158" s="106">
        <f>+_xlfn.XLOOKUP($CT158,Budget!$A:$A,Budget!CS:CS)</f>
        <v>4240</v>
      </c>
      <c r="DL158" s="106">
        <f>+_xlfn.XLOOKUP($CT158,Budget!$A:$A,Budget!CT:CT)</f>
        <v>4240</v>
      </c>
      <c r="DM158" s="106">
        <f>+_xlfn.XLOOKUP($CT158,Budget!$A:$A,Budget!CU:CU)</f>
        <v>4240</v>
      </c>
      <c r="DN158" s="106">
        <f>+_xlfn.XLOOKUP($CT158,Budget!$A:$A,Budget!CV:CV)</f>
        <v>4240</v>
      </c>
      <c r="DO158" s="106">
        <f>+_xlfn.XLOOKUP($CT158,Budget!$A:$A,Budget!CW:CW)</f>
        <v>4240</v>
      </c>
      <c r="DP158" s="106">
        <f>+_xlfn.XLOOKUP($CT158,Budget!$A:$A,Budget!CX:CX)</f>
        <v>4240</v>
      </c>
      <c r="DQ158" s="106">
        <f>+_xlfn.XLOOKUP($CT158,Budget!$A:$A,Budget!CY:CY)</f>
        <v>4240</v>
      </c>
      <c r="DR158" s="106">
        <f>+_xlfn.XLOOKUP($CT158,Budget!$A:$A,Budget!CZ:CZ)</f>
        <v>4240</v>
      </c>
      <c r="DS158" s="106">
        <f>+_xlfn.XLOOKUP($CT158,Budget!$A:$A,Budget!DA:DA)</f>
        <v>4240</v>
      </c>
      <c r="DT158" s="106">
        <f>+_xlfn.XLOOKUP($CT158,Budget!$A:$A,Budget!DB:DB)</f>
        <v>4240</v>
      </c>
      <c r="DU158" s="106">
        <f t="shared" ref="DU158:DU162" si="1875">+SUM(DI158:DT158)</f>
        <v>50880</v>
      </c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106">
        <f t="shared" ref="EI158:EI162" si="1876">+SUM(DW158:EH158)</f>
        <v>0</v>
      </c>
      <c r="EJ158" s="16" t="str">
        <f t="shared" si="1555"/>
        <v>Repair and Maintenance - Building</v>
      </c>
      <c r="EK158" s="22">
        <f>+VLOOKUP($BD158,'Jan-25'!$A:$J,10,0)</f>
        <v>0</v>
      </c>
      <c r="EL158" s="22">
        <f>+VLOOKUP($BD158,'Feb-25'!$A:$J,10,0)</f>
        <v>0</v>
      </c>
      <c r="EM158" s="22">
        <f>+VLOOKUP($BD158,'Mar-25'!$A:$J,10,0)</f>
        <v>0</v>
      </c>
      <c r="EN158" s="22">
        <f>+VLOOKUP($BD158,'Apr-25'!$A:$J,10,0)</f>
        <v>0</v>
      </c>
      <c r="EO158" s="22">
        <f>+VLOOKUP($BD158,'May-25'!$A:$J,10,0)</f>
        <v>0</v>
      </c>
      <c r="EP158" s="22">
        <f>+VLOOKUP($BD158,'June-25'!$A:$J,10,0)</f>
        <v>0</v>
      </c>
      <c r="EQ158" s="22">
        <f>+VLOOKUP($BD158,'July-25'!$A:$J,10,0)</f>
        <v>0</v>
      </c>
      <c r="ER158" s="22">
        <f>+VLOOKUP($BD158,'Aug-25'!$A:$J,10,0)</f>
        <v>0</v>
      </c>
      <c r="ES158" s="22">
        <f>+VLOOKUP($BD158,'Sep-25'!$A:$J,10,0)</f>
        <v>0</v>
      </c>
      <c r="ET158" s="22">
        <f>+VLOOKUP($BD158,'Oct-25'!$A:$J,10,0)</f>
        <v>0</v>
      </c>
      <c r="EU158" s="22">
        <f>+VLOOKUP($BD158,'Nov-25'!$A:$J,10,0)</f>
        <v>0</v>
      </c>
      <c r="EV158" s="22">
        <f>+VLOOKUP($BD158,'Dec-25'!$A:$J,10,0)</f>
        <v>0</v>
      </c>
      <c r="EW158" s="22">
        <f t="shared" ref="EW158:EW162" si="1877">+SUM(EK158:EV158)</f>
        <v>0</v>
      </c>
      <c r="EX158" s="118" t="e">
        <f t="shared" ref="EX158:EX221" si="1878">+(ES158-FG158)/FG158</f>
        <v>#DIV/0!</v>
      </c>
      <c r="EY158" s="106">
        <f>+_xlfn.XLOOKUP($EJ158,Budget!$A:$A,Budget!DR:DR)</f>
        <v>0</v>
      </c>
      <c r="EZ158" s="106">
        <f>+_xlfn.XLOOKUP($EJ158,Budget!$A:$A,Budget!DS:DS)</f>
        <v>0</v>
      </c>
      <c r="FA158" s="106">
        <f>+_xlfn.XLOOKUP($EJ158,Budget!$A:$A,Budget!DT:DT)</f>
        <v>0</v>
      </c>
      <c r="FB158" s="106">
        <f>+_xlfn.XLOOKUP($EJ158,Budget!$A:$A,Budget!DU:DU)</f>
        <v>0</v>
      </c>
      <c r="FC158" s="106">
        <f>+_xlfn.XLOOKUP($EJ158,Budget!$A:$A,Budget!DV:DV)</f>
        <v>0</v>
      </c>
      <c r="FD158" s="106">
        <f>+_xlfn.XLOOKUP($EJ158,Budget!$A:$A,Budget!DW:DW)</f>
        <v>0</v>
      </c>
      <c r="FE158" s="106">
        <f>+_xlfn.XLOOKUP($EJ158,Budget!$A:$A,Budget!DX:DX)</f>
        <v>0</v>
      </c>
      <c r="FF158" s="106">
        <f>+_xlfn.XLOOKUP($EJ158,Budget!$A:$A,Budget!DY:DY)</f>
        <v>0</v>
      </c>
      <c r="FG158" s="106">
        <f>+_xlfn.XLOOKUP($EJ158,Budget!$A:$A,Budget!DZ:DZ)</f>
        <v>0</v>
      </c>
      <c r="FH158" s="106">
        <f>+_xlfn.XLOOKUP($EJ158,Budget!$A:$A,Budget!EA:EA)</f>
        <v>0</v>
      </c>
      <c r="FI158" s="106">
        <f>+_xlfn.XLOOKUP($EJ158,Budget!$A:$A,Budget!EB:EB)</f>
        <v>0</v>
      </c>
      <c r="FJ158" s="106">
        <f>+_xlfn.XLOOKUP($EJ158,Budget!$A:$A,Budget!EC:EC)</f>
        <v>0</v>
      </c>
      <c r="FK158" s="106">
        <f t="shared" ref="FK158:FK162" si="1879">+SUM(EY158:FJ158)</f>
        <v>0</v>
      </c>
    </row>
    <row r="159" spans="1:167" ht="14.45" hidden="1" customHeight="1" outlineLevel="2">
      <c r="A159" s="106">
        <f t="shared" si="1839"/>
        <v>446.60939999999999</v>
      </c>
      <c r="B159" s="106">
        <f t="shared" si="1839"/>
        <v>149.94</v>
      </c>
      <c r="C159" s="106">
        <f t="shared" si="1839"/>
        <v>340</v>
      </c>
      <c r="D159" s="106">
        <f t="shared" si="1839"/>
        <v>0</v>
      </c>
      <c r="E159" s="106">
        <f t="shared" si="1839"/>
        <v>259.32240000000002</v>
      </c>
      <c r="F159" s="106">
        <f t="shared" si="1839"/>
        <v>0</v>
      </c>
      <c r="G159" s="106">
        <f t="shared" si="1839"/>
        <v>0</v>
      </c>
      <c r="H159" s="106">
        <f t="shared" si="1839"/>
        <v>0</v>
      </c>
      <c r="I159" s="106">
        <f t="shared" si="1839"/>
        <v>134.23679999999999</v>
      </c>
      <c r="J159" s="106">
        <f t="shared" si="1839"/>
        <v>0</v>
      </c>
      <c r="K159" s="106">
        <f t="shared" si="1839"/>
        <v>800</v>
      </c>
      <c r="L159" s="106">
        <f t="shared" si="1839"/>
        <v>0</v>
      </c>
      <c r="M159" s="106">
        <f t="shared" si="1840"/>
        <v>2130.1085999999996</v>
      </c>
      <c r="N159" s="16" t="s">
        <v>132</v>
      </c>
      <c r="O159" s="106">
        <f t="shared" si="1841"/>
        <v>0</v>
      </c>
      <c r="P159" s="106">
        <f t="shared" si="1842"/>
        <v>0</v>
      </c>
      <c r="Q159" s="106">
        <f t="shared" si="1843"/>
        <v>0</v>
      </c>
      <c r="R159" s="106">
        <f t="shared" si="1844"/>
        <v>0</v>
      </c>
      <c r="S159" s="106">
        <f t="shared" si="1845"/>
        <v>0</v>
      </c>
      <c r="T159" s="106">
        <f t="shared" si="1846"/>
        <v>2669.3388000000004</v>
      </c>
      <c r="U159" s="106">
        <f t="shared" si="1847"/>
        <v>0</v>
      </c>
      <c r="V159" s="106">
        <f t="shared" si="1848"/>
        <v>0</v>
      </c>
      <c r="W159" s="106">
        <f t="shared" si="1849"/>
        <v>4708.47</v>
      </c>
      <c r="X159" s="106">
        <f t="shared" si="1850"/>
        <v>1400</v>
      </c>
      <c r="Y159" s="106">
        <f t="shared" si="1851"/>
        <v>0</v>
      </c>
      <c r="Z159" s="106">
        <f t="shared" si="1852"/>
        <v>0</v>
      </c>
      <c r="AA159" s="106">
        <f t="shared" si="1853"/>
        <v>8777.8088000000007</v>
      </c>
      <c r="AB159" s="118">
        <f t="shared" si="1854"/>
        <v>-0.46360153256704983</v>
      </c>
      <c r="AC159" s="106">
        <f t="shared" si="1855"/>
        <v>2610</v>
      </c>
      <c r="AD159" s="106">
        <f t="shared" si="1856"/>
        <v>2610</v>
      </c>
      <c r="AE159" s="106">
        <f t="shared" si="1857"/>
        <v>2610</v>
      </c>
      <c r="AF159" s="106">
        <f t="shared" si="1858"/>
        <v>2610</v>
      </c>
      <c r="AG159" s="106">
        <f t="shared" si="1859"/>
        <v>2610</v>
      </c>
      <c r="AH159" s="106">
        <f t="shared" si="1860"/>
        <v>2610</v>
      </c>
      <c r="AI159" s="106">
        <f t="shared" si="1861"/>
        <v>2610</v>
      </c>
      <c r="AJ159" s="106">
        <f t="shared" si="1862"/>
        <v>2610</v>
      </c>
      <c r="AK159" s="106">
        <f t="shared" si="1863"/>
        <v>2610</v>
      </c>
      <c r="AL159" s="106">
        <f t="shared" si="1864"/>
        <v>2610</v>
      </c>
      <c r="AM159" s="106">
        <f t="shared" si="1865"/>
        <v>2610</v>
      </c>
      <c r="AN159" s="106">
        <f t="shared" si="1866"/>
        <v>2610</v>
      </c>
      <c r="AO159" s="106">
        <f t="shared" si="1867"/>
        <v>31320</v>
      </c>
      <c r="AQ159" s="106">
        <v>396.6096</v>
      </c>
      <c r="AR159" s="106">
        <v>99.96</v>
      </c>
      <c r="AS159" s="106">
        <v>0</v>
      </c>
      <c r="AT159" s="106">
        <v>0</v>
      </c>
      <c r="AU159" s="106">
        <v>172.88160000000002</v>
      </c>
      <c r="AV159" s="106">
        <v>0</v>
      </c>
      <c r="AW159" s="106">
        <v>0</v>
      </c>
      <c r="AX159" s="106">
        <v>0</v>
      </c>
      <c r="AY159" s="106">
        <v>89.491199999999992</v>
      </c>
      <c r="AZ159" s="106">
        <v>0</v>
      </c>
      <c r="BA159" s="106">
        <v>800</v>
      </c>
      <c r="BB159" s="106">
        <v>0</v>
      </c>
      <c r="BC159" s="106">
        <f t="shared" si="1868"/>
        <v>1558.9423999999999</v>
      </c>
      <c r="BD159" s="16" t="str">
        <f t="shared" si="1410"/>
        <v>Repair and Maintenance - Computer</v>
      </c>
      <c r="BE159" s="106">
        <f>+VLOOKUP($BD159,'Jan-25'!$A:$J,5,0)</f>
        <v>0</v>
      </c>
      <c r="BF159" s="106">
        <f>+VLOOKUP($BD159,'Feb-25'!$A:$J,5,0)</f>
        <v>0</v>
      </c>
      <c r="BG159" s="106">
        <f>+VLOOKUP($BD159,'Mar-25'!$A:$J,5,0)</f>
        <v>0</v>
      </c>
      <c r="BH159" s="106">
        <f>+VLOOKUP($BD159,'Apr-25'!$A:$J,5,0)</f>
        <v>0</v>
      </c>
      <c r="BI159" s="106">
        <f>+VLOOKUP($BD159,'May-25'!$A:$J,5,0)</f>
        <v>0</v>
      </c>
      <c r="BJ159" s="106">
        <f>+VLOOKUP($BD159,'June-25'!$A:$J,5,0)</f>
        <v>1779.5592000000001</v>
      </c>
      <c r="BK159" s="106">
        <f>+VLOOKUP($BD159,'July-25'!$A:$J,5,0)</f>
        <v>0</v>
      </c>
      <c r="BL159" s="106">
        <f>+VLOOKUP($BD159,'Aug-25'!$A:$J,5,0)</f>
        <v>0</v>
      </c>
      <c r="BM159" s="106">
        <f>+VLOOKUP($BD159,'Sep-25'!$A:$J,5,0)</f>
        <v>4708.47</v>
      </c>
      <c r="BN159" s="106">
        <f>+VLOOKUP($BD159,'Oct-25'!$A:$J,5,0)</f>
        <v>0</v>
      </c>
      <c r="BO159" s="106">
        <f>+VLOOKUP($BD159,'Nov-25'!$A:$J,5,0)</f>
        <v>0</v>
      </c>
      <c r="BP159" s="106">
        <f>+VLOOKUP($BD159,'Dec-25'!$A:$J,5,0)</f>
        <v>0</v>
      </c>
      <c r="BQ159" s="106">
        <f t="shared" si="1869"/>
        <v>6488.0292000000009</v>
      </c>
      <c r="BR159" s="118">
        <f t="shared" si="1870"/>
        <v>-1</v>
      </c>
      <c r="BS159" s="106">
        <f>+_xlfn.XLOOKUP($BD159,Budget!$A:$A,Budget!BD:BD)</f>
        <v>1740</v>
      </c>
      <c r="BT159" s="106">
        <f>+_xlfn.XLOOKUP($BD159,Budget!$A:$A,Budget!BE:BE)</f>
        <v>1740</v>
      </c>
      <c r="BU159" s="106">
        <f>+_xlfn.XLOOKUP($BD159,Budget!$A:$A,Budget!BF:BF)</f>
        <v>1740</v>
      </c>
      <c r="BV159" s="106">
        <f>+_xlfn.XLOOKUP($BD159,Budget!$A:$A,Budget!BG:BG)</f>
        <v>1740</v>
      </c>
      <c r="BW159" s="106">
        <f>+_xlfn.XLOOKUP($BD159,Budget!$A:$A,Budget!BH:BH)</f>
        <v>1740</v>
      </c>
      <c r="BX159" s="106">
        <f>+_xlfn.XLOOKUP($BD159,Budget!$A:$A,Budget!BI:BI)</f>
        <v>1740</v>
      </c>
      <c r="BY159" s="106">
        <f>+_xlfn.XLOOKUP($BD159,Budget!$A:$A,Budget!BJ:BJ)</f>
        <v>1740</v>
      </c>
      <c r="BZ159" s="106">
        <f>+_xlfn.XLOOKUP($BD159,Budget!$A:$A,Budget!BK:BK)</f>
        <v>1740</v>
      </c>
      <c r="CA159" s="106">
        <f>+_xlfn.XLOOKUP($BD159,Budget!$A:$A,Budget!BL:BL)</f>
        <v>1740</v>
      </c>
      <c r="CB159" s="106">
        <f>+_xlfn.XLOOKUP($BD159,Budget!$A:$A,Budget!BM:BM)</f>
        <v>1740</v>
      </c>
      <c r="CC159" s="106">
        <f>+_xlfn.XLOOKUP($BD159,Budget!$A:$A,Budget!BN:BN)</f>
        <v>1740</v>
      </c>
      <c r="CD159" s="106">
        <f>+_xlfn.XLOOKUP($BD159,Budget!$A:$A,Budget!BO:BO)</f>
        <v>1740</v>
      </c>
      <c r="CE159" s="106">
        <f t="shared" si="1871"/>
        <v>20880</v>
      </c>
      <c r="CF159" s="106"/>
      <c r="CG159" s="106">
        <v>49.9998</v>
      </c>
      <c r="CH159" s="106">
        <v>49.98</v>
      </c>
      <c r="CI159" s="106">
        <v>340</v>
      </c>
      <c r="CJ159" s="106">
        <v>0</v>
      </c>
      <c r="CK159" s="106">
        <v>86.44080000000001</v>
      </c>
      <c r="CL159" s="106">
        <v>0</v>
      </c>
      <c r="CM159" s="106">
        <v>0</v>
      </c>
      <c r="CN159" s="106">
        <v>0</v>
      </c>
      <c r="CO159" s="106">
        <v>44.745599999999996</v>
      </c>
      <c r="CP159" s="106">
        <v>0</v>
      </c>
      <c r="CQ159" s="106">
        <v>0</v>
      </c>
      <c r="CR159" s="106">
        <v>0</v>
      </c>
      <c r="CS159" s="106">
        <f t="shared" si="1872"/>
        <v>571.1662</v>
      </c>
      <c r="CT159" s="16" t="str">
        <f t="shared" si="1411"/>
        <v>Repair and Maintenance - Computer</v>
      </c>
      <c r="CU159" s="106">
        <f>+VLOOKUP($BD159,'Jan-25'!$A:$J,8,0)</f>
        <v>0</v>
      </c>
      <c r="CV159" s="106">
        <f>+VLOOKUP($BD159,'Feb-25'!$A:$J,8,0)</f>
        <v>0</v>
      </c>
      <c r="CW159" s="106">
        <f>+VLOOKUP($BD159,'Mar-25'!$A:$J,8,0)</f>
        <v>0</v>
      </c>
      <c r="CX159" s="106">
        <f>+VLOOKUP($BD159,'Apr-25'!$A:$J,8,0)</f>
        <v>0</v>
      </c>
      <c r="CY159" s="106">
        <f>+VLOOKUP($BD159,'May-25'!$A:$J,8,0)</f>
        <v>0</v>
      </c>
      <c r="CZ159" s="106">
        <f>+VLOOKUP($BD159,'June-25'!$A:$J,8,0)</f>
        <v>889.77960000000007</v>
      </c>
      <c r="DA159" s="106">
        <f>+VLOOKUP($BD159,'July-25'!$A:$J,8,0)</f>
        <v>0</v>
      </c>
      <c r="DB159" s="106">
        <f>+VLOOKUP($BD159,'Aug-25'!$A:$J,8,0)</f>
        <v>0</v>
      </c>
      <c r="DC159" s="106">
        <f>+VLOOKUP($BD159,'Sep-25'!$A:$J,8,0)</f>
        <v>0</v>
      </c>
      <c r="DD159" s="106">
        <f>+VLOOKUP($BD159,'Oct-25'!$A:$J,8,0)</f>
        <v>1400</v>
      </c>
      <c r="DE159" s="106">
        <f>+VLOOKUP($BD159,'Nov-25'!$A:$J,8,0)</f>
        <v>0</v>
      </c>
      <c r="DF159" s="106">
        <f>+VLOOKUP($BD159,'Dec-25'!$A:$J,8,0)</f>
        <v>0</v>
      </c>
      <c r="DG159" s="106">
        <f t="shared" si="1873"/>
        <v>2289.7795999999998</v>
      </c>
      <c r="DH159" s="118">
        <f t="shared" si="1874"/>
        <v>0.60919540229885061</v>
      </c>
      <c r="DI159" s="106">
        <f>+_xlfn.XLOOKUP($CT159,Budget!$A:$A,Budget!CQ:CQ)</f>
        <v>870</v>
      </c>
      <c r="DJ159" s="106">
        <f>+_xlfn.XLOOKUP($CT159,Budget!$A:$A,Budget!CR:CR)</f>
        <v>870</v>
      </c>
      <c r="DK159" s="106">
        <f>+_xlfn.XLOOKUP($CT159,Budget!$A:$A,Budget!CS:CS)</f>
        <v>870</v>
      </c>
      <c r="DL159" s="106">
        <f>+_xlfn.XLOOKUP($CT159,Budget!$A:$A,Budget!CT:CT)</f>
        <v>870</v>
      </c>
      <c r="DM159" s="106">
        <f>+_xlfn.XLOOKUP($CT159,Budget!$A:$A,Budget!CU:CU)</f>
        <v>870</v>
      </c>
      <c r="DN159" s="106">
        <f>+_xlfn.XLOOKUP($CT159,Budget!$A:$A,Budget!CV:CV)</f>
        <v>870</v>
      </c>
      <c r="DO159" s="106">
        <f>+_xlfn.XLOOKUP($CT159,Budget!$A:$A,Budget!CW:CW)</f>
        <v>870</v>
      </c>
      <c r="DP159" s="106">
        <f>+_xlfn.XLOOKUP($CT159,Budget!$A:$A,Budget!CX:CX)</f>
        <v>870</v>
      </c>
      <c r="DQ159" s="106">
        <f>+_xlfn.XLOOKUP($CT159,Budget!$A:$A,Budget!CY:CY)</f>
        <v>870</v>
      </c>
      <c r="DR159" s="106">
        <f>+_xlfn.XLOOKUP($CT159,Budget!$A:$A,Budget!CZ:CZ)</f>
        <v>870</v>
      </c>
      <c r="DS159" s="106">
        <f>+_xlfn.XLOOKUP($CT159,Budget!$A:$A,Budget!DA:DA)</f>
        <v>870</v>
      </c>
      <c r="DT159" s="106">
        <f>+_xlfn.XLOOKUP($CT159,Budget!$A:$A,Budget!DB:DB)</f>
        <v>870</v>
      </c>
      <c r="DU159" s="106">
        <f t="shared" si="1875"/>
        <v>10440</v>
      </c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106">
        <f t="shared" si="1876"/>
        <v>0</v>
      </c>
      <c r="EJ159" s="16" t="str">
        <f t="shared" si="1555"/>
        <v>Repair and Maintenance - Computer</v>
      </c>
      <c r="EK159" s="22">
        <f>+VLOOKUP($BD159,'Jan-25'!$A:$J,10,0)</f>
        <v>0</v>
      </c>
      <c r="EL159" s="22">
        <f>+VLOOKUP($BD159,'Feb-25'!$A:$J,10,0)</f>
        <v>0</v>
      </c>
      <c r="EM159" s="22">
        <f>+VLOOKUP($BD159,'Mar-25'!$A:$J,10,0)</f>
        <v>0</v>
      </c>
      <c r="EN159" s="22">
        <f>+VLOOKUP($BD159,'Apr-25'!$A:$J,10,0)</f>
        <v>0</v>
      </c>
      <c r="EO159" s="22">
        <f>+VLOOKUP($BD159,'May-25'!$A:$J,10,0)</f>
        <v>0</v>
      </c>
      <c r="EP159" s="22">
        <f>+VLOOKUP($BD159,'June-25'!$A:$J,10,0)</f>
        <v>0</v>
      </c>
      <c r="EQ159" s="22">
        <f>+VLOOKUP($BD159,'July-25'!$A:$J,10,0)</f>
        <v>0</v>
      </c>
      <c r="ER159" s="22">
        <f>+VLOOKUP($BD159,'Aug-25'!$A:$J,10,0)</f>
        <v>0</v>
      </c>
      <c r="ES159" s="22">
        <f>+VLOOKUP($BD159,'Sep-25'!$A:$J,10,0)</f>
        <v>0</v>
      </c>
      <c r="ET159" s="22">
        <f>+VLOOKUP($BD159,'Oct-25'!$A:$J,10,0)</f>
        <v>0</v>
      </c>
      <c r="EU159" s="22">
        <f>+VLOOKUP($BD159,'Nov-25'!$A:$J,10,0)</f>
        <v>0</v>
      </c>
      <c r="EV159" s="22">
        <f>+VLOOKUP($BD159,'Dec-25'!$A:$J,10,0)</f>
        <v>0</v>
      </c>
      <c r="EW159" s="22">
        <f t="shared" si="1877"/>
        <v>0</v>
      </c>
      <c r="EX159" s="118" t="e">
        <f t="shared" si="1878"/>
        <v>#DIV/0!</v>
      </c>
      <c r="EY159" s="106">
        <f>+_xlfn.XLOOKUP($EJ159,Budget!$A:$A,Budget!DR:DR)</f>
        <v>0</v>
      </c>
      <c r="EZ159" s="106">
        <f>+_xlfn.XLOOKUP($EJ159,Budget!$A:$A,Budget!DS:DS)</f>
        <v>0</v>
      </c>
      <c r="FA159" s="106">
        <f>+_xlfn.XLOOKUP($EJ159,Budget!$A:$A,Budget!DT:DT)</f>
        <v>0</v>
      </c>
      <c r="FB159" s="106">
        <f>+_xlfn.XLOOKUP($EJ159,Budget!$A:$A,Budget!DU:DU)</f>
        <v>0</v>
      </c>
      <c r="FC159" s="106">
        <f>+_xlfn.XLOOKUP($EJ159,Budget!$A:$A,Budget!DV:DV)</f>
        <v>0</v>
      </c>
      <c r="FD159" s="106">
        <f>+_xlfn.XLOOKUP($EJ159,Budget!$A:$A,Budget!DW:DW)</f>
        <v>0</v>
      </c>
      <c r="FE159" s="106">
        <f>+_xlfn.XLOOKUP($EJ159,Budget!$A:$A,Budget!DX:DX)</f>
        <v>0</v>
      </c>
      <c r="FF159" s="106">
        <f>+_xlfn.XLOOKUP($EJ159,Budget!$A:$A,Budget!DY:DY)</f>
        <v>0</v>
      </c>
      <c r="FG159" s="106">
        <f>+_xlfn.XLOOKUP($EJ159,Budget!$A:$A,Budget!DZ:DZ)</f>
        <v>0</v>
      </c>
      <c r="FH159" s="106">
        <f>+_xlfn.XLOOKUP($EJ159,Budget!$A:$A,Budget!EA:EA)</f>
        <v>0</v>
      </c>
      <c r="FI159" s="106">
        <f>+_xlfn.XLOOKUP($EJ159,Budget!$A:$A,Budget!EB:EB)</f>
        <v>0</v>
      </c>
      <c r="FJ159" s="106">
        <f>+_xlfn.XLOOKUP($EJ159,Budget!$A:$A,Budget!EC:EC)</f>
        <v>0</v>
      </c>
      <c r="FK159" s="106">
        <f t="shared" si="1879"/>
        <v>0</v>
      </c>
    </row>
    <row r="160" spans="1:167" ht="14.45" hidden="1" customHeight="1" outlineLevel="2">
      <c r="A160" s="106">
        <f t="shared" si="1839"/>
        <v>100</v>
      </c>
      <c r="B160" s="106">
        <f t="shared" si="1839"/>
        <v>2730.4660000000003</v>
      </c>
      <c r="C160" s="106">
        <f t="shared" si="1839"/>
        <v>156.60000000000002</v>
      </c>
      <c r="D160" s="106">
        <f t="shared" si="1839"/>
        <v>136.20000000000002</v>
      </c>
      <c r="E160" s="106">
        <f t="shared" si="1839"/>
        <v>136.20000000000002</v>
      </c>
      <c r="F160" s="106">
        <f t="shared" si="1839"/>
        <v>136.20000000000002</v>
      </c>
      <c r="G160" s="106">
        <f t="shared" si="1839"/>
        <v>136.20000000000002</v>
      </c>
      <c r="H160" s="106">
        <f t="shared" si="1839"/>
        <v>136.20000000000002</v>
      </c>
      <c r="I160" s="106">
        <f t="shared" si="1839"/>
        <v>136.11199999999999</v>
      </c>
      <c r="J160" s="106">
        <f t="shared" si="1839"/>
        <v>0</v>
      </c>
      <c r="K160" s="106">
        <f t="shared" si="1839"/>
        <v>136.11199999999999</v>
      </c>
      <c r="L160" s="106">
        <f t="shared" si="1839"/>
        <v>136.20000000000002</v>
      </c>
      <c r="M160" s="106">
        <f t="shared" si="1840"/>
        <v>4076.4899999999993</v>
      </c>
      <c r="N160" s="16" t="s">
        <v>133</v>
      </c>
      <c r="O160" s="106">
        <f t="shared" si="1841"/>
        <v>2554.0680000000002</v>
      </c>
      <c r="P160" s="106">
        <f t="shared" si="1842"/>
        <v>136.20000000000002</v>
      </c>
      <c r="Q160" s="106">
        <f t="shared" si="1843"/>
        <v>2349.3865999999998</v>
      </c>
      <c r="R160" s="106">
        <f t="shared" si="1844"/>
        <v>136.11199999999999</v>
      </c>
      <c r="S160" s="106">
        <f t="shared" si="1845"/>
        <v>136.11199999999999</v>
      </c>
      <c r="T160" s="106">
        <f t="shared" si="1846"/>
        <v>2801.5</v>
      </c>
      <c r="U160" s="106">
        <f t="shared" si="1847"/>
        <v>136.1111111111112</v>
      </c>
      <c r="V160" s="106">
        <f t="shared" si="1848"/>
        <v>136.20000000000002</v>
      </c>
      <c r="W160" s="106">
        <f t="shared" si="1849"/>
        <v>136.20000000000002</v>
      </c>
      <c r="X160" s="106">
        <f t="shared" si="1850"/>
        <v>136.20000000000002</v>
      </c>
      <c r="Y160" s="106">
        <f t="shared" si="1851"/>
        <v>0</v>
      </c>
      <c r="Z160" s="106">
        <f t="shared" si="1852"/>
        <v>0</v>
      </c>
      <c r="AA160" s="106">
        <f t="shared" si="1853"/>
        <v>8658.0897111111135</v>
      </c>
      <c r="AB160" s="118">
        <f t="shared" si="1854"/>
        <v>0</v>
      </c>
      <c r="AC160" s="106">
        <f t="shared" si="1855"/>
        <v>0</v>
      </c>
      <c r="AD160" s="106">
        <f t="shared" si="1856"/>
        <v>0</v>
      </c>
      <c r="AE160" s="106">
        <f t="shared" si="1857"/>
        <v>0</v>
      </c>
      <c r="AF160" s="106">
        <f t="shared" si="1858"/>
        <v>0</v>
      </c>
      <c r="AG160" s="106">
        <f t="shared" si="1859"/>
        <v>0</v>
      </c>
      <c r="AH160" s="106">
        <f t="shared" si="1860"/>
        <v>0</v>
      </c>
      <c r="AI160" s="106">
        <f t="shared" si="1861"/>
        <v>0</v>
      </c>
      <c r="AJ160" s="106">
        <f t="shared" si="1862"/>
        <v>0</v>
      </c>
      <c r="AK160" s="106">
        <f t="shared" si="1863"/>
        <v>0</v>
      </c>
      <c r="AL160" s="106">
        <f t="shared" si="1864"/>
        <v>0</v>
      </c>
      <c r="AM160" s="106">
        <f t="shared" si="1865"/>
        <v>0</v>
      </c>
      <c r="AN160" s="106">
        <f t="shared" si="1866"/>
        <v>0</v>
      </c>
      <c r="AO160" s="106">
        <f t="shared" si="1867"/>
        <v>0</v>
      </c>
      <c r="AQ160" s="106">
        <v>0</v>
      </c>
      <c r="AR160" s="106">
        <v>0</v>
      </c>
      <c r="AS160" s="106">
        <v>0</v>
      </c>
      <c r="AT160" s="106">
        <v>0</v>
      </c>
      <c r="AU160" s="106">
        <v>0</v>
      </c>
      <c r="AV160" s="106">
        <v>0</v>
      </c>
      <c r="AW160" s="106">
        <v>0</v>
      </c>
      <c r="AX160" s="106">
        <v>0</v>
      </c>
      <c r="AY160" s="106">
        <v>0</v>
      </c>
      <c r="AZ160" s="106">
        <v>0</v>
      </c>
      <c r="BA160" s="106">
        <v>0</v>
      </c>
      <c r="BB160" s="106">
        <v>0</v>
      </c>
      <c r="BC160" s="106">
        <f t="shared" si="1868"/>
        <v>0</v>
      </c>
      <c r="BD160" s="16" t="str">
        <f t="shared" si="1410"/>
        <v>Repair and Maintenance - Generator</v>
      </c>
      <c r="BE160" s="106">
        <f>+VLOOKUP($BD160,'Jan-25'!$A:$J,5,0)</f>
        <v>1611.912</v>
      </c>
      <c r="BF160" s="106">
        <f>+VLOOKUP($BD160,'Feb-25'!$A:$J,5,0)</f>
        <v>0</v>
      </c>
      <c r="BG160" s="106">
        <f>+VLOOKUP($BD160,'Mar-25'!$A:$J,5,0)</f>
        <v>1475.5164</v>
      </c>
      <c r="BH160" s="106">
        <f>+VLOOKUP($BD160,'Apr-25'!$A:$J,5,0)</f>
        <v>0</v>
      </c>
      <c r="BI160" s="106">
        <f>+VLOOKUP($BD160,'May-25'!$A:$J,5,0)</f>
        <v>0</v>
      </c>
      <c r="BJ160" s="106">
        <f>+VLOOKUP($BD160,'June-25'!$A:$J,5,0)</f>
        <v>0</v>
      </c>
      <c r="BK160" s="106">
        <f>+VLOOKUP($BD160,'July-25'!$A:$J,5,0)</f>
        <v>0</v>
      </c>
      <c r="BL160" s="106">
        <f>+VLOOKUP($BD160,'Aug-25'!$A:$J,5,0)</f>
        <v>0</v>
      </c>
      <c r="BM160" s="106">
        <f>+VLOOKUP($BD160,'Sep-25'!$A:$J,5,0)</f>
        <v>0</v>
      </c>
      <c r="BN160" s="106">
        <f>+VLOOKUP($BD160,'Oct-25'!$A:$J,5,0)</f>
        <v>0</v>
      </c>
      <c r="BO160" s="106">
        <f>+VLOOKUP($BD160,'Nov-25'!$A:$J,5,0)</f>
        <v>0</v>
      </c>
      <c r="BP160" s="106">
        <f>+VLOOKUP($BD160,'Dec-25'!$A:$J,5,0)</f>
        <v>0</v>
      </c>
      <c r="BQ160" s="106">
        <f t="shared" si="1869"/>
        <v>3087.4283999999998</v>
      </c>
      <c r="BR160" s="118">
        <f t="shared" si="1870"/>
        <v>0</v>
      </c>
      <c r="BS160" s="106">
        <f>+_xlfn.XLOOKUP($BD160,Budget!$A:$A,Budget!BD:BD)</f>
        <v>0</v>
      </c>
      <c r="BT160" s="106">
        <f>+_xlfn.XLOOKUP($BD160,Budget!$A:$A,Budget!BE:BE)</f>
        <v>0</v>
      </c>
      <c r="BU160" s="106">
        <f>+_xlfn.XLOOKUP($BD160,Budget!$A:$A,Budget!BF:BF)</f>
        <v>0</v>
      </c>
      <c r="BV160" s="106">
        <f>+_xlfn.XLOOKUP($BD160,Budget!$A:$A,Budget!BG:BG)</f>
        <v>0</v>
      </c>
      <c r="BW160" s="106">
        <f>+_xlfn.XLOOKUP($BD160,Budget!$A:$A,Budget!BH:BH)</f>
        <v>0</v>
      </c>
      <c r="BX160" s="106">
        <f>+_xlfn.XLOOKUP($BD160,Budget!$A:$A,Budget!BI:BI)</f>
        <v>0</v>
      </c>
      <c r="BY160" s="106">
        <f>+_xlfn.XLOOKUP($BD160,Budget!$A:$A,Budget!BJ:BJ)</f>
        <v>0</v>
      </c>
      <c r="BZ160" s="106">
        <f>+_xlfn.XLOOKUP($BD160,Budget!$A:$A,Budget!BK:BK)</f>
        <v>0</v>
      </c>
      <c r="CA160" s="106">
        <f>+_xlfn.XLOOKUP($BD160,Budget!$A:$A,Budget!BL:BL)</f>
        <v>0</v>
      </c>
      <c r="CB160" s="106">
        <f>+_xlfn.XLOOKUP($BD160,Budget!$A:$A,Budget!BM:BM)</f>
        <v>0</v>
      </c>
      <c r="CC160" s="106">
        <f>+_xlfn.XLOOKUP($BD160,Budget!$A:$A,Budget!BN:BN)</f>
        <v>0</v>
      </c>
      <c r="CD160" s="106">
        <f>+_xlfn.XLOOKUP($BD160,Budget!$A:$A,Budget!BO:BO)</f>
        <v>0</v>
      </c>
      <c r="CE160" s="106">
        <f t="shared" si="1871"/>
        <v>0</v>
      </c>
      <c r="CF160" s="106"/>
      <c r="CG160" s="106">
        <v>100</v>
      </c>
      <c r="CH160" s="106">
        <v>2730.4660000000003</v>
      </c>
      <c r="CI160" s="106">
        <v>156.60000000000002</v>
      </c>
      <c r="CJ160" s="106">
        <v>136.20000000000002</v>
      </c>
      <c r="CK160" s="106">
        <v>136.20000000000002</v>
      </c>
      <c r="CL160" s="106">
        <v>136.20000000000002</v>
      </c>
      <c r="CM160" s="106">
        <v>136.20000000000002</v>
      </c>
      <c r="CN160" s="106">
        <v>136.20000000000002</v>
      </c>
      <c r="CO160" s="106">
        <v>136.11199999999999</v>
      </c>
      <c r="CP160" s="106">
        <v>0</v>
      </c>
      <c r="CQ160" s="106">
        <v>136.11199999999999</v>
      </c>
      <c r="CR160" s="106">
        <v>136.20000000000002</v>
      </c>
      <c r="CS160" s="106">
        <f t="shared" si="1872"/>
        <v>4076.4899999999993</v>
      </c>
      <c r="CT160" s="16" t="str">
        <f t="shared" si="1411"/>
        <v>Repair and Maintenance - Generator</v>
      </c>
      <c r="CU160" s="106">
        <f>+VLOOKUP($BD160,'Jan-25'!$A:$J,8,0)</f>
        <v>942.15600000000006</v>
      </c>
      <c r="CV160" s="106">
        <f>+VLOOKUP($BD160,'Feb-25'!$A:$J,8,0)</f>
        <v>136.20000000000002</v>
      </c>
      <c r="CW160" s="106">
        <f>+VLOOKUP($BD160,'Mar-25'!$A:$J,8,0)</f>
        <v>873.87019999999995</v>
      </c>
      <c r="CX160" s="106">
        <f>+VLOOKUP($BD160,'Apr-25'!$A:$J,8,0)</f>
        <v>136.11199999999999</v>
      </c>
      <c r="CY160" s="106">
        <f>+VLOOKUP($BD160,'May-25'!$A:$J,8,0)</f>
        <v>136.11199999999999</v>
      </c>
      <c r="CZ160" s="106">
        <f>+VLOOKUP($BD160,'June-25'!$A:$J,8,0)</f>
        <v>2801.5</v>
      </c>
      <c r="DA160" s="106">
        <f>+VLOOKUP($BD160,'July-25'!$A:$J,8,0)</f>
        <v>136.1111111111112</v>
      </c>
      <c r="DB160" s="106">
        <f>+VLOOKUP($BD160,'Aug-25'!$A:$J,8,0)</f>
        <v>136.20000000000002</v>
      </c>
      <c r="DC160" s="106">
        <f>+VLOOKUP($BD160,'Sep-25'!$A:$J,8,0)</f>
        <v>136.20000000000002</v>
      </c>
      <c r="DD160" s="106">
        <f>+VLOOKUP($BD160,'Oct-25'!$A:$J,8,0)</f>
        <v>136.20000000000002</v>
      </c>
      <c r="DE160" s="106">
        <f>+VLOOKUP($BD160,'Nov-25'!$A:$J,8,0)</f>
        <v>0</v>
      </c>
      <c r="DF160" s="106">
        <f>+VLOOKUP($BD160,'Dec-25'!$A:$J,8,0)</f>
        <v>0</v>
      </c>
      <c r="DG160" s="106">
        <f t="shared" si="1873"/>
        <v>5570.661311111111</v>
      </c>
      <c r="DH160" s="118">
        <f t="shared" si="1874"/>
        <v>0</v>
      </c>
      <c r="DI160" s="106">
        <f>+_xlfn.XLOOKUP($CT160,Budget!$A:$A,Budget!CQ:CQ)</f>
        <v>0</v>
      </c>
      <c r="DJ160" s="106">
        <f>+_xlfn.XLOOKUP($CT160,Budget!$A:$A,Budget!CR:CR)</f>
        <v>0</v>
      </c>
      <c r="DK160" s="106">
        <f>+_xlfn.XLOOKUP($CT160,Budget!$A:$A,Budget!CS:CS)</f>
        <v>0</v>
      </c>
      <c r="DL160" s="106">
        <f>+_xlfn.XLOOKUP($CT160,Budget!$A:$A,Budget!CT:CT)</f>
        <v>0</v>
      </c>
      <c r="DM160" s="106">
        <f>+_xlfn.XLOOKUP($CT160,Budget!$A:$A,Budget!CU:CU)</f>
        <v>0</v>
      </c>
      <c r="DN160" s="106">
        <f>+_xlfn.XLOOKUP($CT160,Budget!$A:$A,Budget!CV:CV)</f>
        <v>0</v>
      </c>
      <c r="DO160" s="106">
        <f>+_xlfn.XLOOKUP($CT160,Budget!$A:$A,Budget!CW:CW)</f>
        <v>0</v>
      </c>
      <c r="DP160" s="106">
        <f>+_xlfn.XLOOKUP($CT160,Budget!$A:$A,Budget!CX:CX)</f>
        <v>0</v>
      </c>
      <c r="DQ160" s="106">
        <f>+_xlfn.XLOOKUP($CT160,Budget!$A:$A,Budget!CY:CY)</f>
        <v>0</v>
      </c>
      <c r="DR160" s="106">
        <f>+_xlfn.XLOOKUP($CT160,Budget!$A:$A,Budget!CZ:CZ)</f>
        <v>0</v>
      </c>
      <c r="DS160" s="106">
        <f>+_xlfn.XLOOKUP($CT160,Budget!$A:$A,Budget!DA:DA)</f>
        <v>0</v>
      </c>
      <c r="DT160" s="106">
        <f>+_xlfn.XLOOKUP($CT160,Budget!$A:$A,Budget!DB:DB)</f>
        <v>0</v>
      </c>
      <c r="DU160" s="106">
        <f t="shared" si="1875"/>
        <v>0</v>
      </c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106">
        <f t="shared" si="1876"/>
        <v>0</v>
      </c>
      <c r="EJ160" s="16" t="str">
        <f t="shared" si="1555"/>
        <v>Repair and Maintenance - Generator</v>
      </c>
      <c r="EK160" s="22">
        <f>+VLOOKUP($BD160,'Jan-25'!$A:$J,10,0)</f>
        <v>0</v>
      </c>
      <c r="EL160" s="22">
        <f>+VLOOKUP($BD160,'Feb-25'!$A:$J,10,0)</f>
        <v>0</v>
      </c>
      <c r="EM160" s="22">
        <f>+VLOOKUP($BD160,'Mar-25'!$A:$J,10,0)</f>
        <v>0</v>
      </c>
      <c r="EN160" s="22">
        <f>+VLOOKUP($BD160,'Apr-25'!$A:$J,10,0)</f>
        <v>0</v>
      </c>
      <c r="EO160" s="22">
        <f>+VLOOKUP($BD160,'May-25'!$A:$J,10,0)</f>
        <v>0</v>
      </c>
      <c r="EP160" s="22">
        <f>+VLOOKUP($BD160,'June-25'!$A:$J,10,0)</f>
        <v>0</v>
      </c>
      <c r="EQ160" s="22">
        <f>+VLOOKUP($BD160,'July-25'!$A:$J,10,0)</f>
        <v>0</v>
      </c>
      <c r="ER160" s="22">
        <f>+VLOOKUP($BD160,'Aug-25'!$A:$J,10,0)</f>
        <v>0</v>
      </c>
      <c r="ES160" s="22">
        <f>+VLOOKUP($BD160,'Sep-25'!$A:$J,10,0)</f>
        <v>0</v>
      </c>
      <c r="ET160" s="22">
        <f>+VLOOKUP($BD160,'Oct-25'!$A:$J,10,0)</f>
        <v>0</v>
      </c>
      <c r="EU160" s="22">
        <f>+VLOOKUP($BD160,'Nov-25'!$A:$J,10,0)</f>
        <v>0</v>
      </c>
      <c r="EV160" s="22">
        <f>+VLOOKUP($BD160,'Dec-25'!$A:$J,10,0)</f>
        <v>0</v>
      </c>
      <c r="EW160" s="22">
        <f t="shared" si="1877"/>
        <v>0</v>
      </c>
      <c r="EX160" s="118" t="e">
        <f t="shared" si="1878"/>
        <v>#DIV/0!</v>
      </c>
      <c r="EY160" s="106">
        <f>+_xlfn.XLOOKUP($EJ160,Budget!$A:$A,Budget!DR:DR)</f>
        <v>0</v>
      </c>
      <c r="EZ160" s="106">
        <f>+_xlfn.XLOOKUP($EJ160,Budget!$A:$A,Budget!DS:DS)</f>
        <v>0</v>
      </c>
      <c r="FA160" s="106">
        <f>+_xlfn.XLOOKUP($EJ160,Budget!$A:$A,Budget!DT:DT)</f>
        <v>0</v>
      </c>
      <c r="FB160" s="106">
        <f>+_xlfn.XLOOKUP($EJ160,Budget!$A:$A,Budget!DU:DU)</f>
        <v>0</v>
      </c>
      <c r="FC160" s="106">
        <f>+_xlfn.XLOOKUP($EJ160,Budget!$A:$A,Budget!DV:DV)</f>
        <v>0</v>
      </c>
      <c r="FD160" s="106">
        <f>+_xlfn.XLOOKUP($EJ160,Budget!$A:$A,Budget!DW:DW)</f>
        <v>0</v>
      </c>
      <c r="FE160" s="106">
        <f>+_xlfn.XLOOKUP($EJ160,Budget!$A:$A,Budget!DX:DX)</f>
        <v>0</v>
      </c>
      <c r="FF160" s="106">
        <f>+_xlfn.XLOOKUP($EJ160,Budget!$A:$A,Budget!DY:DY)</f>
        <v>0</v>
      </c>
      <c r="FG160" s="106">
        <f>+_xlfn.XLOOKUP($EJ160,Budget!$A:$A,Budget!DZ:DZ)</f>
        <v>0</v>
      </c>
      <c r="FH160" s="106">
        <f>+_xlfn.XLOOKUP($EJ160,Budget!$A:$A,Budget!EA:EA)</f>
        <v>0</v>
      </c>
      <c r="FI160" s="106">
        <f>+_xlfn.XLOOKUP($EJ160,Budget!$A:$A,Budget!EB:EB)</f>
        <v>0</v>
      </c>
      <c r="FJ160" s="106">
        <f>+_xlfn.XLOOKUP($EJ160,Budget!$A:$A,Budget!EC:EC)</f>
        <v>0</v>
      </c>
      <c r="FK160" s="106">
        <f t="shared" si="1879"/>
        <v>0</v>
      </c>
    </row>
    <row r="161" spans="1:167" ht="14.45" hidden="1" customHeight="1" outlineLevel="2">
      <c r="A161" s="106">
        <f t="shared" si="1839"/>
        <v>12769.444</v>
      </c>
      <c r="B161" s="106">
        <f t="shared" si="1839"/>
        <v>133.4</v>
      </c>
      <c r="C161" s="106">
        <f t="shared" si="1839"/>
        <v>133.4</v>
      </c>
      <c r="D161" s="106">
        <f t="shared" si="1839"/>
        <v>12000</v>
      </c>
      <c r="E161" s="106">
        <f t="shared" si="1839"/>
        <v>0</v>
      </c>
      <c r="F161" s="106">
        <f t="shared" si="1839"/>
        <v>81403</v>
      </c>
      <c r="G161" s="106">
        <f t="shared" si="1839"/>
        <v>0</v>
      </c>
      <c r="H161" s="106">
        <f t="shared" si="1839"/>
        <v>12856</v>
      </c>
      <c r="I161" s="106">
        <f t="shared" si="1839"/>
        <v>15011</v>
      </c>
      <c r="J161" s="106">
        <f t="shared" si="1839"/>
        <v>9200</v>
      </c>
      <c r="K161" s="106">
        <f t="shared" si="1839"/>
        <v>0</v>
      </c>
      <c r="L161" s="106">
        <f t="shared" si="1839"/>
        <v>0</v>
      </c>
      <c r="M161" s="106">
        <f t="shared" si="1840"/>
        <v>143506.24400000001</v>
      </c>
      <c r="N161" s="16" t="s">
        <v>134</v>
      </c>
      <c r="O161" s="106">
        <f t="shared" si="1841"/>
        <v>0</v>
      </c>
      <c r="P161" s="106">
        <f t="shared" si="1842"/>
        <v>7250.01</v>
      </c>
      <c r="Q161" s="106">
        <f t="shared" si="1843"/>
        <v>0</v>
      </c>
      <c r="R161" s="106">
        <f t="shared" si="1844"/>
        <v>15918.75</v>
      </c>
      <c r="S161" s="106">
        <f t="shared" si="1845"/>
        <v>0</v>
      </c>
      <c r="T161" s="106">
        <f t="shared" si="1846"/>
        <v>0</v>
      </c>
      <c r="U161" s="106">
        <f t="shared" si="1847"/>
        <v>2400</v>
      </c>
      <c r="V161" s="106">
        <f t="shared" si="1848"/>
        <v>3964.6404000000002</v>
      </c>
      <c r="W161" s="106">
        <f t="shared" si="1849"/>
        <v>9017</v>
      </c>
      <c r="X161" s="106">
        <f t="shared" si="1850"/>
        <v>8369.44</v>
      </c>
      <c r="Y161" s="106">
        <f t="shared" si="1851"/>
        <v>0</v>
      </c>
      <c r="Z161" s="106">
        <f t="shared" si="1852"/>
        <v>0</v>
      </c>
      <c r="AA161" s="106">
        <f t="shared" si="1853"/>
        <v>46919.840400000001</v>
      </c>
      <c r="AB161" s="118">
        <f t="shared" si="1854"/>
        <v>-0.55371713975933601</v>
      </c>
      <c r="AC161" s="106">
        <f t="shared" si="1855"/>
        <v>18396.666666666672</v>
      </c>
      <c r="AD161" s="106">
        <f t="shared" si="1856"/>
        <v>18396.666666666672</v>
      </c>
      <c r="AE161" s="106">
        <f t="shared" si="1857"/>
        <v>18396.666666666672</v>
      </c>
      <c r="AF161" s="106">
        <f t="shared" si="1858"/>
        <v>18753.666666666672</v>
      </c>
      <c r="AG161" s="106">
        <f t="shared" si="1859"/>
        <v>18753.666666666672</v>
      </c>
      <c r="AH161" s="106">
        <f t="shared" si="1860"/>
        <v>18753.666666666672</v>
      </c>
      <c r="AI161" s="106">
        <f t="shared" si="1861"/>
        <v>18753.666666666672</v>
      </c>
      <c r="AJ161" s="106">
        <f t="shared" si="1862"/>
        <v>18753.666666666672</v>
      </c>
      <c r="AK161" s="106">
        <f t="shared" si="1863"/>
        <v>18753.666666666672</v>
      </c>
      <c r="AL161" s="106">
        <f t="shared" si="1864"/>
        <v>18753.666666666672</v>
      </c>
      <c r="AM161" s="106">
        <f t="shared" si="1865"/>
        <v>18753.666666666672</v>
      </c>
      <c r="AN161" s="106">
        <f t="shared" si="1866"/>
        <v>18753.666666666672</v>
      </c>
      <c r="AO161" s="106">
        <f t="shared" si="1867"/>
        <v>223973.00000000012</v>
      </c>
      <c r="AQ161" s="106">
        <v>12500</v>
      </c>
      <c r="AR161" s="106">
        <v>0</v>
      </c>
      <c r="AS161" s="106">
        <v>0</v>
      </c>
      <c r="AT161" s="106">
        <v>12000</v>
      </c>
      <c r="AU161" s="106">
        <v>0</v>
      </c>
      <c r="AV161" s="106">
        <v>0</v>
      </c>
      <c r="AW161" s="106">
        <v>0</v>
      </c>
      <c r="AX161" s="106">
        <v>12856</v>
      </c>
      <c r="AY161" s="106">
        <v>15011</v>
      </c>
      <c r="AZ161" s="106">
        <v>9200</v>
      </c>
      <c r="BA161" s="106">
        <v>0</v>
      </c>
      <c r="BB161" s="106">
        <v>0</v>
      </c>
      <c r="BC161" s="106">
        <f t="shared" si="1868"/>
        <v>61567</v>
      </c>
      <c r="BD161" s="16" t="str">
        <f t="shared" si="1410"/>
        <v>Repair and Maintenance - Machinery</v>
      </c>
      <c r="BE161" s="106">
        <f>+VLOOKUP($BD161,'Jan-25'!$A:$J,5,0)</f>
        <v>0</v>
      </c>
      <c r="BF161" s="106">
        <f>+VLOOKUP($BD161,'Feb-25'!$A:$J,5,0)</f>
        <v>7250.01</v>
      </c>
      <c r="BG161" s="106">
        <f>+VLOOKUP($BD161,'Mar-25'!$A:$J,5,0)</f>
        <v>0</v>
      </c>
      <c r="BH161" s="106">
        <f>+VLOOKUP($BD161,'Apr-25'!$A:$J,5,0)</f>
        <v>15918.75</v>
      </c>
      <c r="BI161" s="106">
        <f>+VLOOKUP($BD161,'May-25'!$A:$J,5,0)</f>
        <v>0</v>
      </c>
      <c r="BJ161" s="106">
        <f>+VLOOKUP($BD161,'June-25'!$A:$J,5,0)</f>
        <v>0</v>
      </c>
      <c r="BK161" s="106">
        <f>+VLOOKUP($BD161,'July-25'!$A:$J,5,0)</f>
        <v>2400</v>
      </c>
      <c r="BL161" s="106">
        <f>+VLOOKUP($BD161,'Aug-25'!$A:$J,5,0)</f>
        <v>2643.0936000000002</v>
      </c>
      <c r="BM161" s="106">
        <f>+VLOOKUP($BD161,'Sep-25'!$A:$J,5,0)</f>
        <v>0</v>
      </c>
      <c r="BN161" s="106">
        <f>+VLOOKUP($BD161,'Oct-25'!$A:$J,5,0)</f>
        <v>514.55999999999995</v>
      </c>
      <c r="BO161" s="106">
        <f>+VLOOKUP($BD161,'Nov-25'!$A:$J,5,0)</f>
        <v>0</v>
      </c>
      <c r="BP161" s="106">
        <f>+VLOOKUP($BD161,'Dec-25'!$A:$J,5,0)</f>
        <v>0</v>
      </c>
      <c r="BQ161" s="106">
        <f t="shared" si="1869"/>
        <v>28726.413600000003</v>
      </c>
      <c r="BR161" s="118">
        <f t="shared" si="1870"/>
        <v>-0.96415132022015282</v>
      </c>
      <c r="BS161" s="106">
        <f>+_xlfn.XLOOKUP($BD161,Budget!$A:$A,Budget!BD:BD)</f>
        <v>13996.66666666667</v>
      </c>
      <c r="BT161" s="106">
        <f>+_xlfn.XLOOKUP($BD161,Budget!$A:$A,Budget!BE:BE)</f>
        <v>13996.66666666667</v>
      </c>
      <c r="BU161" s="106">
        <f>+_xlfn.XLOOKUP($BD161,Budget!$A:$A,Budget!BF:BF)</f>
        <v>13996.66666666667</v>
      </c>
      <c r="BV161" s="106">
        <f>+_xlfn.XLOOKUP($BD161,Budget!$A:$A,Budget!BG:BG)</f>
        <v>14353.66666666667</v>
      </c>
      <c r="BW161" s="106">
        <f>+_xlfn.XLOOKUP($BD161,Budget!$A:$A,Budget!BH:BH)</f>
        <v>14353.66666666667</v>
      </c>
      <c r="BX161" s="106">
        <f>+_xlfn.XLOOKUP($BD161,Budget!$A:$A,Budget!BI:BI)</f>
        <v>14353.66666666667</v>
      </c>
      <c r="BY161" s="106">
        <f>+_xlfn.XLOOKUP($BD161,Budget!$A:$A,Budget!BJ:BJ)</f>
        <v>14353.66666666667</v>
      </c>
      <c r="BZ161" s="106">
        <f>+_xlfn.XLOOKUP($BD161,Budget!$A:$A,Budget!BK:BK)</f>
        <v>14353.66666666667</v>
      </c>
      <c r="CA161" s="106">
        <f>+_xlfn.XLOOKUP($BD161,Budget!$A:$A,Budget!BL:BL)</f>
        <v>14353.66666666667</v>
      </c>
      <c r="CB161" s="106">
        <f>+_xlfn.XLOOKUP($BD161,Budget!$A:$A,Budget!BM:BM)</f>
        <v>14353.66666666667</v>
      </c>
      <c r="CC161" s="106">
        <f>+_xlfn.XLOOKUP($BD161,Budget!$A:$A,Budget!BN:BN)</f>
        <v>14353.66666666667</v>
      </c>
      <c r="CD161" s="106">
        <f>+_xlfn.XLOOKUP($BD161,Budget!$A:$A,Budget!BO:BO)</f>
        <v>14353.66666666667</v>
      </c>
      <c r="CE161" s="106">
        <f t="shared" si="1871"/>
        <v>171173</v>
      </c>
      <c r="CF161" s="106"/>
      <c r="CG161" s="106">
        <v>269.44400000000002</v>
      </c>
      <c r="CH161" s="106">
        <v>133.4</v>
      </c>
      <c r="CI161" s="106">
        <v>133.4</v>
      </c>
      <c r="CJ161" s="106">
        <v>0</v>
      </c>
      <c r="CK161" s="106">
        <v>0</v>
      </c>
      <c r="CL161" s="106">
        <v>81403</v>
      </c>
      <c r="CM161" s="106">
        <v>0</v>
      </c>
      <c r="CN161" s="106">
        <v>0</v>
      </c>
      <c r="CO161" s="106">
        <v>0</v>
      </c>
      <c r="CP161" s="106">
        <v>0</v>
      </c>
      <c r="CQ161" s="106">
        <v>0</v>
      </c>
      <c r="CR161" s="106">
        <v>0</v>
      </c>
      <c r="CS161" s="106">
        <f t="shared" si="1872"/>
        <v>81939.244000000006</v>
      </c>
      <c r="CT161" s="16" t="str">
        <f t="shared" si="1411"/>
        <v>Repair and Maintenance - Machinery</v>
      </c>
      <c r="CU161" s="106">
        <f>+VLOOKUP($BD161,'Jan-25'!$A:$J,8,0)</f>
        <v>0</v>
      </c>
      <c r="CV161" s="106">
        <f>+VLOOKUP($BD161,'Feb-25'!$A:$J,8,0)</f>
        <v>0</v>
      </c>
      <c r="CW161" s="106">
        <f>+VLOOKUP($BD161,'Mar-25'!$A:$J,8,0)</f>
        <v>0</v>
      </c>
      <c r="CX161" s="106">
        <f>+VLOOKUP($BD161,'Apr-25'!$A:$J,8,0)</f>
        <v>0</v>
      </c>
      <c r="CY161" s="106">
        <f>+VLOOKUP($BD161,'May-25'!$A:$J,8,0)</f>
        <v>0</v>
      </c>
      <c r="CZ161" s="106">
        <f>+VLOOKUP($BD161,'June-25'!$A:$J,8,0)</f>
        <v>0</v>
      </c>
      <c r="DA161" s="106">
        <f>+VLOOKUP($BD161,'July-25'!$A:$J,8,0)</f>
        <v>0</v>
      </c>
      <c r="DB161" s="106">
        <f>+VLOOKUP($BD161,'Aug-25'!$A:$J,8,0)</f>
        <v>1321.5468000000001</v>
      </c>
      <c r="DC161" s="106">
        <f>+VLOOKUP($BD161,'Sep-25'!$A:$J,8,0)</f>
        <v>9017</v>
      </c>
      <c r="DD161" s="106">
        <f>+VLOOKUP($BD161,'Oct-25'!$A:$J,8,0)</f>
        <v>7854.88</v>
      </c>
      <c r="DE161" s="106">
        <f>+VLOOKUP($BD161,'Nov-25'!$A:$J,8,0)</f>
        <v>0</v>
      </c>
      <c r="DF161" s="106">
        <f>+VLOOKUP($BD161,'Dec-25'!$A:$J,8,0)</f>
        <v>0</v>
      </c>
      <c r="DG161" s="106">
        <f t="shared" si="1873"/>
        <v>18193.426800000001</v>
      </c>
      <c r="DH161" s="118">
        <f t="shared" si="1874"/>
        <v>0.78520000000000001</v>
      </c>
      <c r="DI161" s="106">
        <f>+_xlfn.XLOOKUP($CT161,Budget!$A:$A,Budget!CQ:CQ)</f>
        <v>4400</v>
      </c>
      <c r="DJ161" s="106">
        <f>+_xlfn.XLOOKUP($CT161,Budget!$A:$A,Budget!CR:CR)</f>
        <v>4400</v>
      </c>
      <c r="DK161" s="106">
        <f>+_xlfn.XLOOKUP($CT161,Budget!$A:$A,Budget!CS:CS)</f>
        <v>4400</v>
      </c>
      <c r="DL161" s="106">
        <f>+_xlfn.XLOOKUP($CT161,Budget!$A:$A,Budget!CT:CT)</f>
        <v>4400</v>
      </c>
      <c r="DM161" s="106">
        <f>+_xlfn.XLOOKUP($CT161,Budget!$A:$A,Budget!CU:CU)</f>
        <v>4400</v>
      </c>
      <c r="DN161" s="106">
        <f>+_xlfn.XLOOKUP($CT161,Budget!$A:$A,Budget!CV:CV)</f>
        <v>4400</v>
      </c>
      <c r="DO161" s="106">
        <f>+_xlfn.XLOOKUP($CT161,Budget!$A:$A,Budget!CW:CW)</f>
        <v>4400</v>
      </c>
      <c r="DP161" s="106">
        <f>+_xlfn.XLOOKUP($CT161,Budget!$A:$A,Budget!CX:CX)</f>
        <v>4400</v>
      </c>
      <c r="DQ161" s="106">
        <f>+_xlfn.XLOOKUP($CT161,Budget!$A:$A,Budget!CY:CY)</f>
        <v>4400</v>
      </c>
      <c r="DR161" s="106">
        <f>+_xlfn.XLOOKUP($CT161,Budget!$A:$A,Budget!CZ:CZ)</f>
        <v>4400</v>
      </c>
      <c r="DS161" s="106">
        <f>+_xlfn.XLOOKUP($CT161,Budget!$A:$A,Budget!DA:DA)</f>
        <v>4400</v>
      </c>
      <c r="DT161" s="106">
        <f>+_xlfn.XLOOKUP($CT161,Budget!$A:$A,Budget!DB:DB)</f>
        <v>4400</v>
      </c>
      <c r="DU161" s="106">
        <f t="shared" si="1875"/>
        <v>52800</v>
      </c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106">
        <f t="shared" si="1876"/>
        <v>0</v>
      </c>
      <c r="EJ161" s="16" t="str">
        <f t="shared" si="1555"/>
        <v>Repair and Maintenance - Machinery</v>
      </c>
      <c r="EK161" s="22">
        <f>+VLOOKUP($BD161,'Jan-25'!$A:$J,10,0)</f>
        <v>0</v>
      </c>
      <c r="EL161" s="22">
        <f>+VLOOKUP($BD161,'Feb-25'!$A:$J,10,0)</f>
        <v>0</v>
      </c>
      <c r="EM161" s="22">
        <f>+VLOOKUP($BD161,'Mar-25'!$A:$J,10,0)</f>
        <v>0</v>
      </c>
      <c r="EN161" s="22">
        <f>+VLOOKUP($BD161,'Apr-25'!$A:$J,10,0)</f>
        <v>0</v>
      </c>
      <c r="EO161" s="22">
        <f>+VLOOKUP($BD161,'May-25'!$A:$J,10,0)</f>
        <v>0</v>
      </c>
      <c r="EP161" s="22">
        <f>+VLOOKUP($BD161,'June-25'!$A:$J,10,0)</f>
        <v>0</v>
      </c>
      <c r="EQ161" s="22">
        <f>+VLOOKUP($BD161,'July-25'!$A:$J,10,0)</f>
        <v>0</v>
      </c>
      <c r="ER161" s="22">
        <f>+VLOOKUP($BD161,'Aug-25'!$A:$J,10,0)</f>
        <v>0</v>
      </c>
      <c r="ES161" s="22">
        <f>+VLOOKUP($BD161,'Sep-25'!$A:$J,10,0)</f>
        <v>0</v>
      </c>
      <c r="ET161" s="22">
        <f>+VLOOKUP($BD161,'Oct-25'!$A:$J,10,0)</f>
        <v>0</v>
      </c>
      <c r="EU161" s="22">
        <f>+VLOOKUP($BD161,'Nov-25'!$A:$J,10,0)</f>
        <v>0</v>
      </c>
      <c r="EV161" s="22">
        <f>+VLOOKUP($BD161,'Dec-25'!$A:$J,10,0)</f>
        <v>0</v>
      </c>
      <c r="EW161" s="22">
        <f t="shared" si="1877"/>
        <v>0</v>
      </c>
      <c r="EX161" s="118" t="e">
        <f t="shared" si="1878"/>
        <v>#DIV/0!</v>
      </c>
      <c r="EY161" s="106">
        <f>+_xlfn.XLOOKUP($EJ161,Budget!$A:$A,Budget!DR:DR)</f>
        <v>0</v>
      </c>
      <c r="EZ161" s="106">
        <f>+_xlfn.XLOOKUP($EJ161,Budget!$A:$A,Budget!DS:DS)</f>
        <v>0</v>
      </c>
      <c r="FA161" s="106">
        <f>+_xlfn.XLOOKUP($EJ161,Budget!$A:$A,Budget!DT:DT)</f>
        <v>0</v>
      </c>
      <c r="FB161" s="106">
        <f>+_xlfn.XLOOKUP($EJ161,Budget!$A:$A,Budget!DU:DU)</f>
        <v>0</v>
      </c>
      <c r="FC161" s="106">
        <f>+_xlfn.XLOOKUP($EJ161,Budget!$A:$A,Budget!DV:DV)</f>
        <v>0</v>
      </c>
      <c r="FD161" s="106">
        <f>+_xlfn.XLOOKUP($EJ161,Budget!$A:$A,Budget!DW:DW)</f>
        <v>0</v>
      </c>
      <c r="FE161" s="106">
        <f>+_xlfn.XLOOKUP($EJ161,Budget!$A:$A,Budget!DX:DX)</f>
        <v>0</v>
      </c>
      <c r="FF161" s="106">
        <f>+_xlfn.XLOOKUP($EJ161,Budget!$A:$A,Budget!DY:DY)</f>
        <v>0</v>
      </c>
      <c r="FG161" s="106">
        <f>+_xlfn.XLOOKUP($EJ161,Budget!$A:$A,Budget!DZ:DZ)</f>
        <v>0</v>
      </c>
      <c r="FH161" s="106">
        <f>+_xlfn.XLOOKUP($EJ161,Budget!$A:$A,Budget!EA:EA)</f>
        <v>0</v>
      </c>
      <c r="FI161" s="106">
        <f>+_xlfn.XLOOKUP($EJ161,Budget!$A:$A,Budget!EB:EB)</f>
        <v>0</v>
      </c>
      <c r="FJ161" s="106">
        <f>+_xlfn.XLOOKUP($EJ161,Budget!$A:$A,Budget!EC:EC)</f>
        <v>0</v>
      </c>
      <c r="FK161" s="106">
        <f t="shared" si="1879"/>
        <v>0</v>
      </c>
    </row>
    <row r="162" spans="1:167" ht="14.45" hidden="1" customHeight="1" outlineLevel="2">
      <c r="A162" s="106">
        <f t="shared" si="1839"/>
        <v>10838.884</v>
      </c>
      <c r="B162" s="106">
        <f t="shared" si="1839"/>
        <v>11665</v>
      </c>
      <c r="C162" s="106">
        <f t="shared" si="1839"/>
        <v>12129.5</v>
      </c>
      <c r="D162" s="106">
        <f t="shared" si="1839"/>
        <v>10195</v>
      </c>
      <c r="E162" s="106">
        <f t="shared" si="1839"/>
        <v>10315</v>
      </c>
      <c r="F162" s="106">
        <f t="shared" si="1839"/>
        <v>10205</v>
      </c>
      <c r="G162" s="106">
        <f t="shared" si="1839"/>
        <v>11815</v>
      </c>
      <c r="H162" s="106">
        <f t="shared" si="1839"/>
        <v>13155.94</v>
      </c>
      <c r="I162" s="106">
        <f t="shared" si="1839"/>
        <v>7995.5560000000005</v>
      </c>
      <c r="J162" s="106">
        <f t="shared" si="1839"/>
        <v>1127.1399999999999</v>
      </c>
      <c r="K162" s="106">
        <f t="shared" si="1839"/>
        <v>990</v>
      </c>
      <c r="L162" s="106">
        <f t="shared" si="1839"/>
        <v>1377.1399999999999</v>
      </c>
      <c r="M162" s="106">
        <f t="shared" si="1840"/>
        <v>101809.15999999999</v>
      </c>
      <c r="N162" s="16" t="s">
        <v>135</v>
      </c>
      <c r="O162" s="106">
        <f t="shared" si="1841"/>
        <v>2982.8815999999997</v>
      </c>
      <c r="P162" s="106">
        <f t="shared" si="1842"/>
        <v>20142.4202</v>
      </c>
      <c r="Q162" s="106">
        <f t="shared" si="1843"/>
        <v>500</v>
      </c>
      <c r="R162" s="106">
        <f t="shared" si="1844"/>
        <v>900</v>
      </c>
      <c r="S162" s="106">
        <f t="shared" si="1845"/>
        <v>1520</v>
      </c>
      <c r="T162" s="106">
        <f t="shared" si="1846"/>
        <v>2050</v>
      </c>
      <c r="U162" s="106">
        <f t="shared" si="1847"/>
        <v>36106</v>
      </c>
      <c r="V162" s="106">
        <f t="shared" si="1848"/>
        <v>1260</v>
      </c>
      <c r="W162" s="106">
        <f t="shared" si="1849"/>
        <v>53420</v>
      </c>
      <c r="X162" s="106">
        <f t="shared" si="1850"/>
        <v>9828.4000000000015</v>
      </c>
      <c r="Y162" s="106">
        <f t="shared" si="1851"/>
        <v>0</v>
      </c>
      <c r="Z162" s="106">
        <f t="shared" si="1852"/>
        <v>0</v>
      </c>
      <c r="AA162" s="106">
        <f t="shared" si="1853"/>
        <v>128709.70180000001</v>
      </c>
      <c r="AB162" s="118">
        <f t="shared" si="1854"/>
        <v>-6.5353064415724929E-2</v>
      </c>
      <c r="AC162" s="106">
        <f t="shared" si="1855"/>
        <v>12014.884345333334</v>
      </c>
      <c r="AD162" s="106">
        <f t="shared" si="1856"/>
        <v>12014.884345333334</v>
      </c>
      <c r="AE162" s="106">
        <f t="shared" si="1857"/>
        <v>12014.884345333334</v>
      </c>
      <c r="AF162" s="106">
        <f t="shared" si="1858"/>
        <v>12014.884345333334</v>
      </c>
      <c r="AG162" s="106">
        <f t="shared" si="1859"/>
        <v>12014.884345333334</v>
      </c>
      <c r="AH162" s="106">
        <f t="shared" si="1860"/>
        <v>12014.884345333334</v>
      </c>
      <c r="AI162" s="106">
        <f t="shared" si="1861"/>
        <v>12014.884345333334</v>
      </c>
      <c r="AJ162" s="106">
        <f t="shared" si="1862"/>
        <v>12014.884345333334</v>
      </c>
      <c r="AK162" s="106">
        <f t="shared" si="1863"/>
        <v>10159.130358333336</v>
      </c>
      <c r="AL162" s="106">
        <f t="shared" si="1864"/>
        <v>10515.628549999987</v>
      </c>
      <c r="AM162" s="106">
        <f t="shared" si="1865"/>
        <v>10515.628549999987</v>
      </c>
      <c r="AN162" s="106">
        <f t="shared" si="1866"/>
        <v>10515.628549999987</v>
      </c>
      <c r="AO162" s="106">
        <f t="shared" si="1867"/>
        <v>137825.09077099999</v>
      </c>
      <c r="AQ162" s="106">
        <v>7129.9639999999999</v>
      </c>
      <c r="AR162" s="106">
        <v>7130</v>
      </c>
      <c r="AS162" s="106">
        <v>8273</v>
      </c>
      <c r="AT162" s="106">
        <v>7130</v>
      </c>
      <c r="AU162" s="106">
        <v>7130</v>
      </c>
      <c r="AV162" s="106">
        <v>7130</v>
      </c>
      <c r="AW162" s="106">
        <v>7130</v>
      </c>
      <c r="AX162" s="106">
        <v>7714.76</v>
      </c>
      <c r="AY162" s="106">
        <v>7545.5560000000005</v>
      </c>
      <c r="AZ162" s="106">
        <v>584.76</v>
      </c>
      <c r="BA162" s="106">
        <v>0</v>
      </c>
      <c r="BB162" s="106">
        <v>584.76</v>
      </c>
      <c r="BC162" s="106">
        <f t="shared" si="1868"/>
        <v>67482.799999999988</v>
      </c>
      <c r="BD162" s="16" t="str">
        <f t="shared" si="1410"/>
        <v>Repair and Maintenance - Others</v>
      </c>
      <c r="BE162" s="106">
        <f>+VLOOKUP($BD162,'Jan-25'!$A:$J,5,0)</f>
        <v>315.25440000000003</v>
      </c>
      <c r="BF162" s="106">
        <f>+VLOOKUP($BD162,'Feb-25'!$A:$J,5,0)</f>
        <v>14716.416800000001</v>
      </c>
      <c r="BG162" s="106">
        <f>+VLOOKUP($BD162,'Mar-25'!$A:$J,5,0)</f>
        <v>0</v>
      </c>
      <c r="BH162" s="106">
        <f>+VLOOKUP($BD162,'Apr-25'!$A:$J,5,0)</f>
        <v>0</v>
      </c>
      <c r="BI162" s="106">
        <f>+VLOOKUP($BD162,'May-25'!$A:$J,5,0)</f>
        <v>1200</v>
      </c>
      <c r="BJ162" s="106">
        <f>+VLOOKUP($BD162,'June-25'!$A:$J,5,0)</f>
        <v>800</v>
      </c>
      <c r="BK162" s="106">
        <f>+VLOOKUP($BD162,'July-25'!$A:$J,5,0)</f>
        <v>0</v>
      </c>
      <c r="BL162" s="106">
        <f>+VLOOKUP($BD162,'Aug-25'!$A:$J,5,0)</f>
        <v>0</v>
      </c>
      <c r="BM162" s="106">
        <f>+VLOOKUP($BD162,'Sep-25'!$A:$J,5,0)</f>
        <v>0</v>
      </c>
      <c r="BN162" s="106">
        <f>+VLOOKUP($BD162,'Oct-25'!$A:$J,5,0)</f>
        <v>0</v>
      </c>
      <c r="BO162" s="106">
        <f>+VLOOKUP($BD162,'Nov-25'!$A:$J,5,0)</f>
        <v>0</v>
      </c>
      <c r="BP162" s="106">
        <f>+VLOOKUP($BD162,'Dec-25'!$A:$J,5,0)</f>
        <v>0</v>
      </c>
      <c r="BQ162" s="106">
        <f t="shared" si="1869"/>
        <v>17031.671200000001</v>
      </c>
      <c r="BR162" s="118">
        <f t="shared" si="1870"/>
        <v>-1</v>
      </c>
      <c r="BS162" s="106">
        <f>+_xlfn.XLOOKUP($BD162,Budget!$A:$A,Budget!BD:BD)</f>
        <v>7129.9638333333342</v>
      </c>
      <c r="BT162" s="106">
        <f>+_xlfn.XLOOKUP($BD162,Budget!$A:$A,Budget!BE:BE)</f>
        <v>7129.9638333333342</v>
      </c>
      <c r="BU162" s="106">
        <f>+_xlfn.XLOOKUP($BD162,Budget!$A:$A,Budget!BF:BF)</f>
        <v>7129.9638333333342</v>
      </c>
      <c r="BV162" s="106">
        <f>+_xlfn.XLOOKUP($BD162,Budget!$A:$A,Budget!BG:BG)</f>
        <v>7129.9638333333342</v>
      </c>
      <c r="BW162" s="106">
        <f>+_xlfn.XLOOKUP($BD162,Budget!$A:$A,Budget!BH:BH)</f>
        <v>7129.9638333333342</v>
      </c>
      <c r="BX162" s="106">
        <f>+_xlfn.XLOOKUP($BD162,Budget!$A:$A,Budget!BI:BI)</f>
        <v>7129.9638333333342</v>
      </c>
      <c r="BY162" s="106">
        <f>+_xlfn.XLOOKUP($BD162,Budget!$A:$A,Budget!BJ:BJ)</f>
        <v>7129.9638333333342</v>
      </c>
      <c r="BZ162" s="106">
        <f>+_xlfn.XLOOKUP($BD162,Budget!$A:$A,Budget!BK:BK)</f>
        <v>7129.9638333333342</v>
      </c>
      <c r="CA162" s="106">
        <f>+_xlfn.XLOOKUP($BD162,Budget!$A:$A,Budget!BL:BL)</f>
        <v>7129.9638333333342</v>
      </c>
      <c r="CB162" s="106">
        <f>+_xlfn.XLOOKUP($BD162,Budget!$A:$A,Budget!BM:BM)</f>
        <v>7486.4620249999862</v>
      </c>
      <c r="CC162" s="106">
        <f>+_xlfn.XLOOKUP($BD162,Budget!$A:$A,Budget!BN:BN)</f>
        <v>7486.4620249999862</v>
      </c>
      <c r="CD162" s="106">
        <f>+_xlfn.XLOOKUP($BD162,Budget!$A:$A,Budget!BO:BO)</f>
        <v>7486.4620249999862</v>
      </c>
      <c r="CE162" s="106">
        <f t="shared" si="1871"/>
        <v>86629.060574999967</v>
      </c>
      <c r="CF162" s="106"/>
      <c r="CG162" s="106">
        <v>3708.92</v>
      </c>
      <c r="CH162" s="106">
        <v>4535</v>
      </c>
      <c r="CI162" s="106">
        <v>3856.5</v>
      </c>
      <c r="CJ162" s="106">
        <v>3065</v>
      </c>
      <c r="CK162" s="106">
        <v>3185</v>
      </c>
      <c r="CL162" s="106">
        <v>3075</v>
      </c>
      <c r="CM162" s="106">
        <v>4685</v>
      </c>
      <c r="CN162" s="106">
        <v>5441.18</v>
      </c>
      <c r="CO162" s="106">
        <v>450</v>
      </c>
      <c r="CP162" s="106">
        <v>542.38</v>
      </c>
      <c r="CQ162" s="106">
        <v>990</v>
      </c>
      <c r="CR162" s="106">
        <v>792.38</v>
      </c>
      <c r="CS162" s="106">
        <f t="shared" si="1872"/>
        <v>34326.359999999993</v>
      </c>
      <c r="CT162" s="16" t="str">
        <f t="shared" si="1411"/>
        <v>Repair and Maintenance - Others</v>
      </c>
      <c r="CU162" s="106">
        <f>+VLOOKUP($BD162,'Jan-25'!$A:$J,8,0)</f>
        <v>2667.6271999999999</v>
      </c>
      <c r="CV162" s="106">
        <f>+VLOOKUP($BD162,'Feb-25'!$A:$J,8,0)</f>
        <v>5426.0034000000005</v>
      </c>
      <c r="CW162" s="106">
        <f>+VLOOKUP($BD162,'Mar-25'!$A:$J,8,0)</f>
        <v>500</v>
      </c>
      <c r="CX162" s="106">
        <f>+VLOOKUP($BD162,'Apr-25'!$A:$J,8,0)</f>
        <v>900</v>
      </c>
      <c r="CY162" s="106">
        <f>+VLOOKUP($BD162,'May-25'!$A:$J,8,0)</f>
        <v>320</v>
      </c>
      <c r="CZ162" s="106">
        <f>+VLOOKUP($BD162,'June-25'!$A:$J,8,0)</f>
        <v>1250</v>
      </c>
      <c r="DA162" s="106">
        <f>+VLOOKUP($BD162,'July-25'!$A:$J,8,0)</f>
        <v>906</v>
      </c>
      <c r="DB162" s="106">
        <f>+VLOOKUP($BD162,'Aug-25'!$A:$J,8,0)</f>
        <v>1260</v>
      </c>
      <c r="DC162" s="106">
        <f>+VLOOKUP($BD162,'Sep-25'!$A:$J,8,0)</f>
        <v>53420</v>
      </c>
      <c r="DD162" s="106">
        <f>+VLOOKUP($BD162,'Oct-25'!$A:$J,8,0)</f>
        <v>9828.4000000000015</v>
      </c>
      <c r="DE162" s="106">
        <f>+VLOOKUP($BD162,'Nov-25'!$A:$J,8,0)</f>
        <v>0</v>
      </c>
      <c r="DF162" s="106">
        <f>+VLOOKUP($BD162,'Dec-25'!$A:$J,8,0)</f>
        <v>0</v>
      </c>
      <c r="DG162" s="106">
        <f t="shared" si="1873"/>
        <v>76478.030599999998</v>
      </c>
      <c r="DH162" s="118">
        <f t="shared" si="1874"/>
        <v>2.2445888725117218</v>
      </c>
      <c r="DI162" s="106">
        <f>+_xlfn.XLOOKUP($CT162,Budget!$A:$A,Budget!CQ:CQ)</f>
        <v>4884.9205119999997</v>
      </c>
      <c r="DJ162" s="106">
        <f>+_xlfn.XLOOKUP($CT162,Budget!$A:$A,Budget!CR:CR)</f>
        <v>4884.9205119999997</v>
      </c>
      <c r="DK162" s="106">
        <f>+_xlfn.XLOOKUP($CT162,Budget!$A:$A,Budget!CS:CS)</f>
        <v>4884.9205119999997</v>
      </c>
      <c r="DL162" s="106">
        <f>+_xlfn.XLOOKUP($CT162,Budget!$A:$A,Budget!CT:CT)</f>
        <v>4884.9205119999997</v>
      </c>
      <c r="DM162" s="106">
        <f>+_xlfn.XLOOKUP($CT162,Budget!$A:$A,Budget!CU:CU)</f>
        <v>4884.9205119999997</v>
      </c>
      <c r="DN162" s="106">
        <f>+_xlfn.XLOOKUP($CT162,Budget!$A:$A,Budget!CV:CV)</f>
        <v>4884.9205119999997</v>
      </c>
      <c r="DO162" s="106">
        <f>+_xlfn.XLOOKUP($CT162,Budget!$A:$A,Budget!CW:CW)</f>
        <v>4884.9205119999997</v>
      </c>
      <c r="DP162" s="106">
        <f>+_xlfn.XLOOKUP($CT162,Budget!$A:$A,Budget!CX:CX)</f>
        <v>4884.9205119999997</v>
      </c>
      <c r="DQ162" s="106">
        <f>+_xlfn.XLOOKUP($CT162,Budget!$A:$A,Budget!CY:CY)</f>
        <v>3029.1665250000005</v>
      </c>
      <c r="DR162" s="106">
        <f>+_xlfn.XLOOKUP($CT162,Budget!$A:$A,Budget!CZ:CZ)</f>
        <v>3029.1665250000005</v>
      </c>
      <c r="DS162" s="106">
        <f>+_xlfn.XLOOKUP($CT162,Budget!$A:$A,Budget!DA:DA)</f>
        <v>3029.1665250000005</v>
      </c>
      <c r="DT162" s="106">
        <f>+_xlfn.XLOOKUP($CT162,Budget!$A:$A,Budget!DB:DB)</f>
        <v>3029.1665250000005</v>
      </c>
      <c r="DU162" s="106">
        <f t="shared" si="1875"/>
        <v>51196.030196</v>
      </c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106">
        <f t="shared" si="1876"/>
        <v>0</v>
      </c>
      <c r="EJ162" s="16" t="str">
        <f t="shared" si="1555"/>
        <v>Repair and Maintenance - Others</v>
      </c>
      <c r="EK162" s="22">
        <f>+VLOOKUP($BD162,'Jan-25'!$A:$J,10,0)</f>
        <v>0</v>
      </c>
      <c r="EL162" s="22">
        <f>+VLOOKUP($BD162,'Feb-25'!$A:$J,10,0)</f>
        <v>0</v>
      </c>
      <c r="EM162" s="22">
        <f>+VLOOKUP($BD162,'Mar-25'!$A:$J,10,0)</f>
        <v>0</v>
      </c>
      <c r="EN162" s="22">
        <f>+VLOOKUP($BD162,'Apr-25'!$A:$J,10,0)</f>
        <v>0</v>
      </c>
      <c r="EO162" s="22">
        <f>+VLOOKUP($BD162,'May-25'!$A:$J,10,0)</f>
        <v>0</v>
      </c>
      <c r="EP162" s="22">
        <f>+VLOOKUP($BD162,'June-25'!$A:$J,10,0)</f>
        <v>0</v>
      </c>
      <c r="EQ162" s="22">
        <f>+VLOOKUP($BD162,'July-25'!$A:$J,10,0)</f>
        <v>35200</v>
      </c>
      <c r="ER162" s="22">
        <f>+VLOOKUP($BD162,'Aug-25'!$A:$J,10,0)</f>
        <v>0</v>
      </c>
      <c r="ES162" s="22">
        <f>+VLOOKUP($BD162,'Sep-25'!$A:$J,10,0)</f>
        <v>0</v>
      </c>
      <c r="ET162" s="22">
        <f>+VLOOKUP($BD162,'Oct-25'!$A:$J,10,0)</f>
        <v>0</v>
      </c>
      <c r="EU162" s="22">
        <f>+VLOOKUP($BD162,'Nov-25'!$A:$J,10,0)</f>
        <v>0</v>
      </c>
      <c r="EV162" s="22">
        <f>+VLOOKUP($BD162,'Dec-25'!$A:$J,10,0)</f>
        <v>0</v>
      </c>
      <c r="EW162" s="22">
        <f t="shared" si="1877"/>
        <v>35200</v>
      </c>
      <c r="EX162" s="118" t="e">
        <f t="shared" si="1878"/>
        <v>#DIV/0!</v>
      </c>
      <c r="EY162" s="106">
        <f>+_xlfn.XLOOKUP($EJ162,Budget!$A:$A,Budget!DR:DR)</f>
        <v>0</v>
      </c>
      <c r="EZ162" s="106">
        <f>+_xlfn.XLOOKUP($EJ162,Budget!$A:$A,Budget!DS:DS)</f>
        <v>0</v>
      </c>
      <c r="FA162" s="106">
        <f>+_xlfn.XLOOKUP($EJ162,Budget!$A:$A,Budget!DT:DT)</f>
        <v>0</v>
      </c>
      <c r="FB162" s="106">
        <f>+_xlfn.XLOOKUP($EJ162,Budget!$A:$A,Budget!DU:DU)</f>
        <v>0</v>
      </c>
      <c r="FC162" s="106">
        <f>+_xlfn.XLOOKUP($EJ162,Budget!$A:$A,Budget!DV:DV)</f>
        <v>0</v>
      </c>
      <c r="FD162" s="106">
        <f>+_xlfn.XLOOKUP($EJ162,Budget!$A:$A,Budget!DW:DW)</f>
        <v>0</v>
      </c>
      <c r="FE162" s="106">
        <f>+_xlfn.XLOOKUP($EJ162,Budget!$A:$A,Budget!DX:DX)</f>
        <v>0</v>
      </c>
      <c r="FF162" s="106">
        <f>+_xlfn.XLOOKUP($EJ162,Budget!$A:$A,Budget!DY:DY)</f>
        <v>0</v>
      </c>
      <c r="FG162" s="106">
        <f>+_xlfn.XLOOKUP($EJ162,Budget!$A:$A,Budget!DZ:DZ)</f>
        <v>0</v>
      </c>
      <c r="FH162" s="106">
        <f>+_xlfn.XLOOKUP($EJ162,Budget!$A:$A,Budget!EA:EA)</f>
        <v>0</v>
      </c>
      <c r="FI162" s="106">
        <f>+_xlfn.XLOOKUP($EJ162,Budget!$A:$A,Budget!EB:EB)</f>
        <v>0</v>
      </c>
      <c r="FJ162" s="106">
        <f>+_xlfn.XLOOKUP($EJ162,Budget!$A:$A,Budget!EC:EC)</f>
        <v>0</v>
      </c>
      <c r="FK162" s="106">
        <f t="shared" si="1879"/>
        <v>0</v>
      </c>
    </row>
    <row r="163" spans="1:167" ht="14.45" hidden="1" customHeight="1" outlineLevel="2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18">
        <f t="shared" si="1854"/>
        <v>0</v>
      </c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  <c r="BC163" s="106"/>
      <c r="BD163" s="16">
        <f t="shared" si="1410"/>
        <v>0</v>
      </c>
      <c r="BE163" s="106"/>
      <c r="BF163" s="106"/>
      <c r="BG163" s="106"/>
      <c r="BH163" s="106"/>
      <c r="BI163" s="106"/>
      <c r="BJ163" s="106"/>
      <c r="BK163" s="106"/>
      <c r="BL163" s="106"/>
      <c r="BM163" s="106"/>
      <c r="BN163" s="106"/>
      <c r="BO163" s="106"/>
      <c r="BP163" s="106"/>
      <c r="BQ163" s="106"/>
      <c r="BR163" s="118">
        <f t="shared" si="1870"/>
        <v>0</v>
      </c>
      <c r="BS163" s="106"/>
      <c r="BT163" s="106"/>
      <c r="BU163" s="106"/>
      <c r="BV163" s="106"/>
      <c r="BW163" s="106"/>
      <c r="BX163" s="106"/>
      <c r="BY163" s="106"/>
      <c r="BZ163" s="106"/>
      <c r="CA163" s="106"/>
      <c r="CB163" s="106"/>
      <c r="CC163" s="106"/>
      <c r="CD163" s="106"/>
      <c r="CE163" s="106"/>
      <c r="CF163" s="106"/>
      <c r="CG163" s="106"/>
      <c r="CH163" s="106"/>
      <c r="CI163" s="106"/>
      <c r="CJ163" s="106"/>
      <c r="CK163" s="106"/>
      <c r="CL163" s="106"/>
      <c r="CM163" s="106"/>
      <c r="CN163" s="106"/>
      <c r="CO163" s="106"/>
      <c r="CP163" s="106"/>
      <c r="CQ163" s="106"/>
      <c r="CR163" s="106"/>
      <c r="CS163" s="106"/>
      <c r="CT163" s="16">
        <f t="shared" si="1411"/>
        <v>0</v>
      </c>
      <c r="CU163" s="106"/>
      <c r="CV163" s="106"/>
      <c r="CW163" s="106"/>
      <c r="CX163" s="106"/>
      <c r="CY163" s="106"/>
      <c r="CZ163" s="106"/>
      <c r="DA163" s="106"/>
      <c r="DB163" s="106"/>
      <c r="DC163" s="106"/>
      <c r="DD163" s="106"/>
      <c r="DE163" s="106"/>
      <c r="DF163" s="106"/>
      <c r="DG163" s="106"/>
      <c r="DH163" s="118">
        <f t="shared" si="1874"/>
        <v>0</v>
      </c>
      <c r="DI163" s="106"/>
      <c r="DJ163" s="106"/>
      <c r="DK163" s="106"/>
      <c r="DL163" s="106"/>
      <c r="DM163" s="106"/>
      <c r="DN163" s="106"/>
      <c r="DO163" s="106"/>
      <c r="DP163" s="106"/>
      <c r="DQ163" s="106"/>
      <c r="DR163" s="106"/>
      <c r="DS163" s="106"/>
      <c r="DT163" s="106"/>
      <c r="DU163" s="106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106"/>
      <c r="EJ163" s="16">
        <f t="shared" si="1555"/>
        <v>0</v>
      </c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118" t="e">
        <f t="shared" si="1878"/>
        <v>#DIV/0!</v>
      </c>
      <c r="EY163" s="106"/>
      <c r="EZ163" s="106"/>
      <c r="FA163" s="106"/>
      <c r="FB163" s="106"/>
      <c r="FC163" s="106"/>
      <c r="FD163" s="106"/>
      <c r="FE163" s="106"/>
      <c r="FF163" s="106"/>
      <c r="FG163" s="106"/>
      <c r="FH163" s="106"/>
      <c r="FI163" s="106"/>
      <c r="FJ163" s="106"/>
      <c r="FK163" s="106"/>
    </row>
    <row r="164" spans="1:167" ht="14.45" hidden="1" customHeight="1" outlineLevel="1" collapsed="1">
      <c r="A164" s="58">
        <f t="shared" ref="A164:L164" si="1880">+SUM(A165:A171)</f>
        <v>4888.4485999999997</v>
      </c>
      <c r="B164" s="58">
        <f t="shared" si="1880"/>
        <v>6412.4920000000002</v>
      </c>
      <c r="C164" s="58">
        <f t="shared" si="1880"/>
        <v>3895.096</v>
      </c>
      <c r="D164" s="58">
        <f t="shared" si="1880"/>
        <v>2204</v>
      </c>
      <c r="E164" s="58">
        <f t="shared" si="1880"/>
        <v>7807.6556</v>
      </c>
      <c r="F164" s="58">
        <f t="shared" si="1880"/>
        <v>5862.1040000000003</v>
      </c>
      <c r="G164" s="58">
        <f t="shared" si="1880"/>
        <v>14925.139800000001</v>
      </c>
      <c r="H164" s="58">
        <f t="shared" si="1880"/>
        <v>2915.1424000000002</v>
      </c>
      <c r="I164" s="58">
        <f t="shared" si="1880"/>
        <v>10502.429599999999</v>
      </c>
      <c r="J164" s="58">
        <f t="shared" si="1880"/>
        <v>5122.4855999999991</v>
      </c>
      <c r="K164" s="58">
        <f t="shared" si="1880"/>
        <v>8427.5507999999991</v>
      </c>
      <c r="L164" s="58">
        <f t="shared" si="1880"/>
        <v>11329.14</v>
      </c>
      <c r="M164" s="58"/>
      <c r="N164" s="20" t="s">
        <v>136</v>
      </c>
      <c r="O164" s="58">
        <f t="shared" ref="O164" si="1881">+SUM(O165:O171)</f>
        <v>5992.076</v>
      </c>
      <c r="P164" s="58">
        <f t="shared" ref="P164" si="1882">+SUM(P165:P171)</f>
        <v>10549.314199999999</v>
      </c>
      <c r="Q164" s="58">
        <f t="shared" ref="Q164" si="1883">+SUM(Q165:Q171)</f>
        <v>3316.3325999999997</v>
      </c>
      <c r="R164" s="58">
        <f t="shared" ref="R164" si="1884">+SUM(R165:R171)</f>
        <v>5963.576</v>
      </c>
      <c r="S164" s="58">
        <f t="shared" ref="S164" si="1885">+SUM(S165:S171)</f>
        <v>66073.627200000003</v>
      </c>
      <c r="T164" s="58">
        <f t="shared" ref="T164" si="1886">+SUM(T165:T171)</f>
        <v>13647.182599999998</v>
      </c>
      <c r="U164" s="58">
        <f t="shared" ref="U164" si="1887">+SUM(U165:U171)</f>
        <v>9586.1594000000005</v>
      </c>
      <c r="V164" s="58">
        <f t="shared" ref="V164" si="1888">+SUM(V165:V171)</f>
        <v>12500.641</v>
      </c>
      <c r="W164" s="58">
        <f t="shared" ref="W164" si="1889">+SUM(W165:W171)</f>
        <v>3190.3160000000003</v>
      </c>
      <c r="X164" s="58">
        <f t="shared" ref="X164" si="1890">+SUM(X165:X171)</f>
        <v>6229.8960000000006</v>
      </c>
      <c r="Y164" s="58">
        <f t="shared" ref="Y164" si="1891">+SUM(Y165:Y171)</f>
        <v>0</v>
      </c>
      <c r="Z164" s="58">
        <f t="shared" ref="Z164" si="1892">+SUM(Z165:Z171)</f>
        <v>0</v>
      </c>
      <c r="AA164" s="58"/>
      <c r="AB164" s="118">
        <f t="shared" si="1854"/>
        <v>0.94684250000000025</v>
      </c>
      <c r="AC164" s="58">
        <f t="shared" ref="AC164" si="1893">+SUM(AC165:AC171)</f>
        <v>3200</v>
      </c>
      <c r="AD164" s="58">
        <f t="shared" ref="AD164" si="1894">+SUM(AD165:AD171)</f>
        <v>3200</v>
      </c>
      <c r="AE164" s="58">
        <f t="shared" ref="AE164" si="1895">+SUM(AE165:AE171)</f>
        <v>3200</v>
      </c>
      <c r="AF164" s="58">
        <f t="shared" ref="AF164" si="1896">+SUM(AF165:AF171)</f>
        <v>3200</v>
      </c>
      <c r="AG164" s="58">
        <f t="shared" ref="AG164" si="1897">+SUM(AG165:AG171)</f>
        <v>3200</v>
      </c>
      <c r="AH164" s="58">
        <f t="shared" ref="AH164" si="1898">+SUM(AH165:AH171)</f>
        <v>3200</v>
      </c>
      <c r="AI164" s="58">
        <f t="shared" ref="AI164" si="1899">+SUM(AI165:AI171)</f>
        <v>3200</v>
      </c>
      <c r="AJ164" s="58">
        <f t="shared" ref="AJ164" si="1900">+SUM(AJ165:AJ171)</f>
        <v>3200</v>
      </c>
      <c r="AK164" s="58">
        <f t="shared" ref="AK164" si="1901">+SUM(AK165:AK171)</f>
        <v>6800</v>
      </c>
      <c r="AL164" s="58">
        <f t="shared" ref="AL164" si="1902">+SUM(AL165:AL171)</f>
        <v>3200</v>
      </c>
      <c r="AM164" s="58">
        <f t="shared" ref="AM164" si="1903">+SUM(AM165:AM171)</f>
        <v>3200</v>
      </c>
      <c r="AN164" s="58">
        <f t="shared" ref="AN164:AO164" si="1904">+SUM(AN165:AN171)</f>
        <v>3200</v>
      </c>
      <c r="AO164" s="58">
        <f t="shared" si="1904"/>
        <v>42000</v>
      </c>
      <c r="AQ164" s="58">
        <f t="shared" ref="AQ164:CD164" si="1905">+SUM(AQ165:AQ171)</f>
        <v>3128.3004000000001</v>
      </c>
      <c r="AR164" s="58">
        <f t="shared" si="1905"/>
        <v>5236.9279999999999</v>
      </c>
      <c r="AS164" s="58">
        <f t="shared" si="1905"/>
        <v>3565.096</v>
      </c>
      <c r="AT164" s="58">
        <f t="shared" si="1905"/>
        <v>480</v>
      </c>
      <c r="AU164" s="58">
        <f t="shared" si="1905"/>
        <v>6963.7904000000008</v>
      </c>
      <c r="AV164" s="58">
        <f t="shared" si="1905"/>
        <v>4330.5680000000002</v>
      </c>
      <c r="AW164" s="58">
        <f t="shared" si="1905"/>
        <v>11307.9172</v>
      </c>
      <c r="AX164" s="58">
        <f t="shared" si="1905"/>
        <v>2296.7656000000002</v>
      </c>
      <c r="AY164" s="58">
        <f t="shared" si="1905"/>
        <v>8163.7664000000004</v>
      </c>
      <c r="AZ164" s="58">
        <f t="shared" si="1905"/>
        <v>3914.3183999999997</v>
      </c>
      <c r="BA164" s="58">
        <f t="shared" si="1905"/>
        <v>7098.5471999999991</v>
      </c>
      <c r="BB164" s="58">
        <f t="shared" si="1905"/>
        <v>8281.5280000000002</v>
      </c>
      <c r="BC164" s="58">
        <f>+SUM(AQ164:BB164)</f>
        <v>64767.525599999994</v>
      </c>
      <c r="BD164" s="20" t="str">
        <f t="shared" si="1410"/>
        <v>Company Vehicle Expenses</v>
      </c>
      <c r="BE164" s="58">
        <f t="shared" si="1905"/>
        <v>4750.2280000000001</v>
      </c>
      <c r="BF164" s="58">
        <f t="shared" ref="BF164:BP164" si="1906">+SUM(BF165:BF171)</f>
        <v>7854.2708000000002</v>
      </c>
      <c r="BG164" s="58">
        <f t="shared" si="1906"/>
        <v>2729.5523999999996</v>
      </c>
      <c r="BH164" s="58">
        <f t="shared" si="1906"/>
        <v>5963.576</v>
      </c>
      <c r="BI164" s="58">
        <f t="shared" si="1906"/>
        <v>54176.308799999999</v>
      </c>
      <c r="BJ164" s="58">
        <f t="shared" si="1906"/>
        <v>10975.312399999999</v>
      </c>
      <c r="BK164" s="58">
        <f t="shared" si="1906"/>
        <v>7498.6676000000007</v>
      </c>
      <c r="BL164" s="58">
        <f t="shared" si="1906"/>
        <v>9319.69</v>
      </c>
      <c r="BM164" s="58">
        <f t="shared" si="1906"/>
        <v>3190.3160000000003</v>
      </c>
      <c r="BN164" s="58">
        <f t="shared" si="1906"/>
        <v>6229.8960000000006</v>
      </c>
      <c r="BO164" s="58">
        <f t="shared" si="1906"/>
        <v>0</v>
      </c>
      <c r="BP164" s="58">
        <f t="shared" si="1906"/>
        <v>0</v>
      </c>
      <c r="BQ164" s="58">
        <f t="shared" si="1905"/>
        <v>112687.818</v>
      </c>
      <c r="BR164" s="118">
        <f t="shared" si="1870"/>
        <v>0.94684250000000025</v>
      </c>
      <c r="BS164" s="58">
        <f t="shared" si="1905"/>
        <v>3200</v>
      </c>
      <c r="BT164" s="58">
        <f t="shared" si="1905"/>
        <v>3200</v>
      </c>
      <c r="BU164" s="58">
        <f t="shared" si="1905"/>
        <v>3200</v>
      </c>
      <c r="BV164" s="58">
        <f t="shared" si="1905"/>
        <v>3200</v>
      </c>
      <c r="BW164" s="58">
        <f t="shared" si="1905"/>
        <v>3200</v>
      </c>
      <c r="BX164" s="58">
        <f t="shared" si="1905"/>
        <v>3200</v>
      </c>
      <c r="BY164" s="58">
        <f t="shared" si="1905"/>
        <v>3200</v>
      </c>
      <c r="BZ164" s="58">
        <f t="shared" si="1905"/>
        <v>3200</v>
      </c>
      <c r="CA164" s="58">
        <f t="shared" si="1905"/>
        <v>6800</v>
      </c>
      <c r="CB164" s="58">
        <f t="shared" si="1905"/>
        <v>3200</v>
      </c>
      <c r="CC164" s="58">
        <f t="shared" si="1905"/>
        <v>3200</v>
      </c>
      <c r="CD164" s="58">
        <f t="shared" si="1905"/>
        <v>3200</v>
      </c>
      <c r="CE164" s="58">
        <f>+SUM(BS164:CD164)</f>
        <v>42000</v>
      </c>
      <c r="CF164" s="106"/>
      <c r="CG164" s="58">
        <f t="shared" ref="CG164:CR164" si="1907">+SUM(CG165:CG171)</f>
        <v>1760.1482000000001</v>
      </c>
      <c r="CH164" s="58">
        <f t="shared" si="1907"/>
        <v>1175.5640000000001</v>
      </c>
      <c r="CI164" s="58">
        <f t="shared" si="1907"/>
        <v>330</v>
      </c>
      <c r="CJ164" s="58">
        <f t="shared" si="1907"/>
        <v>1724</v>
      </c>
      <c r="CK164" s="58">
        <f t="shared" si="1907"/>
        <v>843.86519999999996</v>
      </c>
      <c r="CL164" s="58">
        <f t="shared" si="1907"/>
        <v>1531.5360000000001</v>
      </c>
      <c r="CM164" s="58">
        <f t="shared" si="1907"/>
        <v>3617.2226000000001</v>
      </c>
      <c r="CN164" s="58">
        <f t="shared" si="1907"/>
        <v>618.3768</v>
      </c>
      <c r="CO164" s="58">
        <f t="shared" si="1907"/>
        <v>2338.6632</v>
      </c>
      <c r="CP164" s="58">
        <f t="shared" si="1907"/>
        <v>1208.1671999999999</v>
      </c>
      <c r="CQ164" s="58">
        <f t="shared" si="1907"/>
        <v>1329.0035999999998</v>
      </c>
      <c r="CR164" s="58">
        <f t="shared" si="1907"/>
        <v>3047.6120000000001</v>
      </c>
      <c r="CS164" s="58">
        <f>+SUM(CG164:CR164)</f>
        <v>19524.158800000001</v>
      </c>
      <c r="CT164" s="20" t="str">
        <f t="shared" si="1411"/>
        <v>Company Vehicle Expenses</v>
      </c>
      <c r="CU164" s="58">
        <f t="shared" ref="CU164:DT164" si="1908">+SUM(CU165:CU171)</f>
        <v>1241.848</v>
      </c>
      <c r="CV164" s="58">
        <f t="shared" si="1908"/>
        <v>2695.0433999999996</v>
      </c>
      <c r="CW164" s="58">
        <f t="shared" si="1908"/>
        <v>586.78019999999981</v>
      </c>
      <c r="CX164" s="58">
        <f t="shared" si="1908"/>
        <v>0</v>
      </c>
      <c r="CY164" s="58">
        <f t="shared" si="1908"/>
        <v>11897.3184</v>
      </c>
      <c r="CZ164" s="58">
        <f t="shared" si="1908"/>
        <v>2671.8701999999998</v>
      </c>
      <c r="DA164" s="58">
        <f t="shared" si="1908"/>
        <v>2087.4918000000002</v>
      </c>
      <c r="DB164" s="58">
        <f t="shared" si="1908"/>
        <v>3180.951</v>
      </c>
      <c r="DC164" s="58">
        <f t="shared" si="1908"/>
        <v>0</v>
      </c>
      <c r="DD164" s="58">
        <f t="shared" si="1908"/>
        <v>0</v>
      </c>
      <c r="DE164" s="58">
        <f t="shared" si="1908"/>
        <v>0</v>
      </c>
      <c r="DF164" s="58">
        <f t="shared" si="1908"/>
        <v>0</v>
      </c>
      <c r="DG164" s="58">
        <f t="shared" si="1908"/>
        <v>24361.303</v>
      </c>
      <c r="DH164" s="118">
        <f t="shared" si="1874"/>
        <v>0</v>
      </c>
      <c r="DI164" s="58">
        <f t="shared" si="1908"/>
        <v>0</v>
      </c>
      <c r="DJ164" s="58">
        <f t="shared" si="1908"/>
        <v>0</v>
      </c>
      <c r="DK164" s="58">
        <f t="shared" si="1908"/>
        <v>0</v>
      </c>
      <c r="DL164" s="58">
        <f t="shared" si="1908"/>
        <v>0</v>
      </c>
      <c r="DM164" s="58">
        <f t="shared" si="1908"/>
        <v>0</v>
      </c>
      <c r="DN164" s="58">
        <f t="shared" si="1908"/>
        <v>0</v>
      </c>
      <c r="DO164" s="58">
        <f t="shared" si="1908"/>
        <v>0</v>
      </c>
      <c r="DP164" s="58">
        <f t="shared" si="1908"/>
        <v>0</v>
      </c>
      <c r="DQ164" s="58">
        <f t="shared" si="1908"/>
        <v>0</v>
      </c>
      <c r="DR164" s="58">
        <f t="shared" si="1908"/>
        <v>0</v>
      </c>
      <c r="DS164" s="58">
        <f t="shared" si="1908"/>
        <v>0</v>
      </c>
      <c r="DT164" s="58">
        <f t="shared" si="1908"/>
        <v>0</v>
      </c>
      <c r="DU164" s="58">
        <f>+SUM(DI164:DT164)</f>
        <v>0</v>
      </c>
      <c r="DW164" s="28">
        <f t="shared" ref="DW164:EH164" si="1909">+SUM(DW165:DW171)</f>
        <v>0</v>
      </c>
      <c r="DX164" s="28">
        <f t="shared" si="1909"/>
        <v>0</v>
      </c>
      <c r="DY164" s="28">
        <f t="shared" si="1909"/>
        <v>0</v>
      </c>
      <c r="DZ164" s="28">
        <f t="shared" si="1909"/>
        <v>0</v>
      </c>
      <c r="EA164" s="28">
        <f t="shared" si="1909"/>
        <v>0</v>
      </c>
      <c r="EB164" s="28">
        <f t="shared" si="1909"/>
        <v>0</v>
      </c>
      <c r="EC164" s="28">
        <f t="shared" si="1909"/>
        <v>0</v>
      </c>
      <c r="ED164" s="28">
        <f t="shared" si="1909"/>
        <v>0</v>
      </c>
      <c r="EE164" s="28">
        <f t="shared" si="1909"/>
        <v>0</v>
      </c>
      <c r="EF164" s="28">
        <f t="shared" si="1909"/>
        <v>0</v>
      </c>
      <c r="EG164" s="28">
        <f t="shared" si="1909"/>
        <v>0</v>
      </c>
      <c r="EH164" s="28">
        <f t="shared" si="1909"/>
        <v>0</v>
      </c>
      <c r="EI164" s="58">
        <f>+SUM(DW164:EH164)</f>
        <v>0</v>
      </c>
      <c r="EJ164" s="20" t="str">
        <f t="shared" si="1555"/>
        <v>Company Vehicle Expenses</v>
      </c>
      <c r="EK164" s="28">
        <f t="shared" ref="EK164:EV164" si="1910">+SUM(EK165:EK171)</f>
        <v>0</v>
      </c>
      <c r="EL164" s="28">
        <f t="shared" si="1910"/>
        <v>0</v>
      </c>
      <c r="EM164" s="28">
        <f t="shared" si="1910"/>
        <v>0</v>
      </c>
      <c r="EN164" s="28">
        <f t="shared" si="1910"/>
        <v>0</v>
      </c>
      <c r="EO164" s="28">
        <f t="shared" si="1910"/>
        <v>0</v>
      </c>
      <c r="EP164" s="28">
        <f t="shared" si="1910"/>
        <v>0</v>
      </c>
      <c r="EQ164" s="28">
        <f t="shared" si="1910"/>
        <v>0</v>
      </c>
      <c r="ER164" s="28">
        <f t="shared" si="1910"/>
        <v>0</v>
      </c>
      <c r="ES164" s="28">
        <f t="shared" si="1910"/>
        <v>0</v>
      </c>
      <c r="ET164" s="28">
        <f t="shared" si="1910"/>
        <v>0</v>
      </c>
      <c r="EU164" s="28">
        <f t="shared" si="1910"/>
        <v>0</v>
      </c>
      <c r="EV164" s="28">
        <f t="shared" si="1910"/>
        <v>0</v>
      </c>
      <c r="EW164" s="28">
        <f t="shared" ref="EW164" si="1911">+SUM(EW165:EW171)</f>
        <v>0</v>
      </c>
      <c r="EX164" s="118" t="e">
        <f t="shared" si="1878"/>
        <v>#DIV/0!</v>
      </c>
      <c r="EY164" s="58">
        <f t="shared" ref="EY164:FJ164" si="1912">+SUM(EY165:EY171)</f>
        <v>0</v>
      </c>
      <c r="EZ164" s="58">
        <f t="shared" si="1912"/>
        <v>0</v>
      </c>
      <c r="FA164" s="58">
        <f t="shared" si="1912"/>
        <v>0</v>
      </c>
      <c r="FB164" s="58">
        <f t="shared" si="1912"/>
        <v>0</v>
      </c>
      <c r="FC164" s="58">
        <f t="shared" si="1912"/>
        <v>0</v>
      </c>
      <c r="FD164" s="58">
        <f t="shared" si="1912"/>
        <v>0</v>
      </c>
      <c r="FE164" s="58">
        <f t="shared" si="1912"/>
        <v>0</v>
      </c>
      <c r="FF164" s="58">
        <f t="shared" si="1912"/>
        <v>0</v>
      </c>
      <c r="FG164" s="58">
        <f t="shared" si="1912"/>
        <v>0</v>
      </c>
      <c r="FH164" s="58">
        <f t="shared" si="1912"/>
        <v>0</v>
      </c>
      <c r="FI164" s="58">
        <f t="shared" si="1912"/>
        <v>0</v>
      </c>
      <c r="FJ164" s="58">
        <f t="shared" si="1912"/>
        <v>0</v>
      </c>
      <c r="FK164" s="58">
        <f>+SUM(EY164:FJ164)</f>
        <v>0</v>
      </c>
    </row>
    <row r="165" spans="1:167" ht="14.45" hidden="1" customHeight="1" outlineLevel="2">
      <c r="A165" s="106">
        <f t="shared" ref="A165:L171" si="1913">+AQ165+CG165+DW165</f>
        <v>4888.4485999999997</v>
      </c>
      <c r="B165" s="106">
        <f t="shared" si="1913"/>
        <v>6412.4920000000002</v>
      </c>
      <c r="C165" s="106">
        <f t="shared" si="1913"/>
        <v>3895.096</v>
      </c>
      <c r="D165" s="106">
        <f t="shared" si="1913"/>
        <v>720</v>
      </c>
      <c r="E165" s="106">
        <f t="shared" si="1913"/>
        <v>6399.6080000000002</v>
      </c>
      <c r="F165" s="106">
        <f t="shared" si="1913"/>
        <v>5862.1040000000003</v>
      </c>
      <c r="G165" s="106">
        <f t="shared" si="1913"/>
        <v>5393.0940000000001</v>
      </c>
      <c r="H165" s="106">
        <f t="shared" si="1913"/>
        <v>2825.1424000000002</v>
      </c>
      <c r="I165" s="106">
        <f t="shared" si="1913"/>
        <v>6293.2197999999999</v>
      </c>
      <c r="J165" s="106">
        <f t="shared" si="1913"/>
        <v>5090.0855999999994</v>
      </c>
      <c r="K165" s="106">
        <f t="shared" si="1913"/>
        <v>5840.0507999999991</v>
      </c>
      <c r="L165" s="106">
        <f t="shared" si="1913"/>
        <v>9239.14</v>
      </c>
      <c r="M165" s="106">
        <f t="shared" ref="M165:M171" si="1914">+SUM(A165:L165)</f>
        <v>62858.481199999987</v>
      </c>
      <c r="N165" s="16" t="s">
        <v>137</v>
      </c>
      <c r="O165" s="106">
        <f t="shared" ref="O165:O171" si="1915">+BE165+CU165+EK165</f>
        <v>4930.2280000000001</v>
      </c>
      <c r="P165" s="106">
        <f t="shared" ref="P165:P171" si="1916">+BF165+CV165+EL165</f>
        <v>9124.9039999999986</v>
      </c>
      <c r="Q165" s="106">
        <f t="shared" ref="Q165:Q171" si="1917">+BG165+CW165+EM165</f>
        <v>1555.9920000000002</v>
      </c>
      <c r="R165" s="106">
        <f t="shared" ref="R165:R171" si="1918">+BH165+CX165+EN165</f>
        <v>5963.576</v>
      </c>
      <c r="S165" s="106">
        <f t="shared" ref="S165:S171" si="1919">+BI165+CY165+EO165</f>
        <v>8005.0912000000008</v>
      </c>
      <c r="T165" s="106">
        <f t="shared" ref="T165:T171" si="1920">+BJ165+CZ165+EP165</f>
        <v>13647.182599999998</v>
      </c>
      <c r="U165" s="106">
        <f t="shared" ref="U165:U171" si="1921">+BK165+DA165+EQ165</f>
        <v>7897.1239999999998</v>
      </c>
      <c r="V165" s="106">
        <f t="shared" ref="V165:V171" si="1922">+BL165+DB165+ER165</f>
        <v>12500.641</v>
      </c>
      <c r="W165" s="106">
        <f t="shared" ref="W165:W171" si="1923">+BM165+DC165+ES165</f>
        <v>3190.3160000000003</v>
      </c>
      <c r="X165" s="106">
        <f t="shared" ref="X165:X171" si="1924">+BN165+DD165+ET165</f>
        <v>6229.8960000000006</v>
      </c>
      <c r="Y165" s="106">
        <f t="shared" ref="Y165:Y171" si="1925">+BO165+DE165+EU165</f>
        <v>0</v>
      </c>
      <c r="Z165" s="106">
        <f t="shared" ref="Z165:Z171" si="1926">+BP165+DF165+EV165</f>
        <v>0</v>
      </c>
      <c r="AA165" s="106">
        <f t="shared" ref="AA165:AA171" si="1927">+SUM(O165:Z165)</f>
        <v>73044.950800000021</v>
      </c>
      <c r="AB165" s="118">
        <f t="shared" si="1854"/>
        <v>0.94684250000000025</v>
      </c>
      <c r="AC165" s="106">
        <f t="shared" ref="AC165:AC171" si="1928">+BS165+DI165+EY165</f>
        <v>3200</v>
      </c>
      <c r="AD165" s="106">
        <f t="shared" ref="AD165:AD171" si="1929">+BT165+DJ165+EZ165</f>
        <v>3200</v>
      </c>
      <c r="AE165" s="106">
        <f t="shared" ref="AE165:AE171" si="1930">+BU165+DK165+FA165</f>
        <v>3200</v>
      </c>
      <c r="AF165" s="106">
        <f t="shared" ref="AF165:AF171" si="1931">+BV165+DL165+FB165</f>
        <v>3200</v>
      </c>
      <c r="AG165" s="106">
        <f t="shared" ref="AG165:AG171" si="1932">+BW165+DM165+FC165</f>
        <v>3200</v>
      </c>
      <c r="AH165" s="106">
        <f t="shared" ref="AH165:AH171" si="1933">+BX165+DN165+FD165</f>
        <v>3200</v>
      </c>
      <c r="AI165" s="106">
        <f t="shared" ref="AI165:AI171" si="1934">+BY165+DO165+FE165</f>
        <v>3200</v>
      </c>
      <c r="AJ165" s="106">
        <f t="shared" ref="AJ165:AJ171" si="1935">+BZ165+DP165+FF165</f>
        <v>3200</v>
      </c>
      <c r="AK165" s="106">
        <f t="shared" ref="AK165:AK171" si="1936">+CA165+DQ165+FG165</f>
        <v>3200</v>
      </c>
      <c r="AL165" s="106">
        <f t="shared" ref="AL165:AL171" si="1937">+CB165+DR165+FH165</f>
        <v>3200</v>
      </c>
      <c r="AM165" s="106">
        <f t="shared" ref="AM165:AM171" si="1938">+CC165+DS165+FI165</f>
        <v>3200</v>
      </c>
      <c r="AN165" s="106">
        <f t="shared" ref="AN165:AN171" si="1939">+CD165+DT165+FJ165</f>
        <v>3200</v>
      </c>
      <c r="AO165" s="106">
        <f t="shared" ref="AO165:AO171" si="1940">+SUM(AC165:AN165)</f>
        <v>38400</v>
      </c>
      <c r="AQ165" s="106">
        <v>3128.3004000000001</v>
      </c>
      <c r="AR165" s="106">
        <v>5236.9279999999999</v>
      </c>
      <c r="AS165" s="106">
        <v>3565.096</v>
      </c>
      <c r="AT165" s="106">
        <v>480</v>
      </c>
      <c r="AU165" s="106">
        <v>5769.6080000000002</v>
      </c>
      <c r="AV165" s="106">
        <v>4330.5680000000002</v>
      </c>
      <c r="AW165" s="106">
        <v>4953.22</v>
      </c>
      <c r="AX165" s="106">
        <v>2236.7656000000002</v>
      </c>
      <c r="AY165" s="106">
        <v>5488.7932000000001</v>
      </c>
      <c r="AZ165" s="106">
        <v>3892.7183999999997</v>
      </c>
      <c r="BA165" s="106">
        <v>4811.0471999999991</v>
      </c>
      <c r="BB165" s="106">
        <v>8221.5280000000002</v>
      </c>
      <c r="BC165" s="106">
        <f t="shared" ref="BC165:BC171" si="1941">+SUM(AQ165:BB165)</f>
        <v>52114.572799999994</v>
      </c>
      <c r="BD165" s="16" t="str">
        <f t="shared" si="1410"/>
        <v>Fuel Expenses For Company Car</v>
      </c>
      <c r="BE165" s="106">
        <f>+VLOOKUP($BD165,'Jan-25'!$A:$J,5,0)</f>
        <v>4750.2280000000001</v>
      </c>
      <c r="BF165" s="106">
        <f>+VLOOKUP($BD165,'Feb-25'!$A:$J,5,0)</f>
        <v>6904.6639999999998</v>
      </c>
      <c r="BG165" s="106">
        <f>+VLOOKUP($BD165,'Mar-25'!$A:$J,5,0)</f>
        <v>1555.9920000000002</v>
      </c>
      <c r="BH165" s="106">
        <f>+VLOOKUP($BD165,'Apr-25'!$A:$J,5,0)</f>
        <v>5963.576</v>
      </c>
      <c r="BI165" s="106">
        <f>+VLOOKUP($BD165,'May-25'!$A:$J,5,0)</f>
        <v>6607.7728000000006</v>
      </c>
      <c r="BJ165" s="106">
        <f>+VLOOKUP($BD165,'June-25'!$A:$J,5,0)</f>
        <v>10975.312399999999</v>
      </c>
      <c r="BK165" s="106">
        <f>+VLOOKUP($BD165,'July-25'!$A:$J,5,0)</f>
        <v>6372.6440000000002</v>
      </c>
      <c r="BL165" s="106">
        <f>+VLOOKUP($BD165,'Aug-25'!$A:$J,5,0)</f>
        <v>9319.69</v>
      </c>
      <c r="BM165" s="106">
        <f>+VLOOKUP($BD165,'Sep-25'!$A:$J,5,0)</f>
        <v>3190.3160000000003</v>
      </c>
      <c r="BN165" s="106">
        <f>+VLOOKUP($BD165,'Oct-25'!$A:$J,5,0)</f>
        <v>6229.8960000000006</v>
      </c>
      <c r="BO165" s="106">
        <f>+VLOOKUP($BD165,'Nov-25'!$A:$J,5,0)</f>
        <v>0</v>
      </c>
      <c r="BP165" s="106">
        <f>+VLOOKUP($BD165,'Dec-25'!$A:$J,5,0)</f>
        <v>0</v>
      </c>
      <c r="BQ165" s="106">
        <f t="shared" ref="BQ165:BQ171" si="1942">+SUM(BE165:BP165)</f>
        <v>61870.091199999995</v>
      </c>
      <c r="BR165" s="118">
        <f t="shared" si="1870"/>
        <v>0.94684250000000025</v>
      </c>
      <c r="BS165" s="106">
        <f>+_xlfn.XLOOKUP($BD165,Budget!$A:$A,Budget!BD:BD)</f>
        <v>3200</v>
      </c>
      <c r="BT165" s="106">
        <f>+_xlfn.XLOOKUP($BD165,Budget!$A:$A,Budget!BE:BE)</f>
        <v>3200</v>
      </c>
      <c r="BU165" s="106">
        <f>+_xlfn.XLOOKUP($BD165,Budget!$A:$A,Budget!BF:BF)</f>
        <v>3200</v>
      </c>
      <c r="BV165" s="106">
        <f>+_xlfn.XLOOKUP($BD165,Budget!$A:$A,Budget!BG:BG)</f>
        <v>3200</v>
      </c>
      <c r="BW165" s="106">
        <f>+_xlfn.XLOOKUP($BD165,Budget!$A:$A,Budget!BH:BH)</f>
        <v>3200</v>
      </c>
      <c r="BX165" s="106">
        <f>+_xlfn.XLOOKUP($BD165,Budget!$A:$A,Budget!BI:BI)</f>
        <v>3200</v>
      </c>
      <c r="BY165" s="106">
        <f>+_xlfn.XLOOKUP($BD165,Budget!$A:$A,Budget!BJ:BJ)</f>
        <v>3200</v>
      </c>
      <c r="BZ165" s="106">
        <f>+_xlfn.XLOOKUP($BD165,Budget!$A:$A,Budget!BK:BK)</f>
        <v>3200</v>
      </c>
      <c r="CA165" s="106">
        <f>+_xlfn.XLOOKUP($BD165,Budget!$A:$A,Budget!BL:BL)</f>
        <v>3200</v>
      </c>
      <c r="CB165" s="106">
        <f>+_xlfn.XLOOKUP($BD165,Budget!$A:$A,Budget!BM:BM)</f>
        <v>3200</v>
      </c>
      <c r="CC165" s="106">
        <f>+_xlfn.XLOOKUP($BD165,Budget!$A:$A,Budget!BN:BN)</f>
        <v>3200</v>
      </c>
      <c r="CD165" s="106">
        <f>+_xlfn.XLOOKUP($BD165,Budget!$A:$A,Budget!BO:BO)</f>
        <v>3200</v>
      </c>
      <c r="CE165" s="106">
        <f t="shared" ref="CE165:CE171" si="1943">+SUM(BS165:CD165)</f>
        <v>38400</v>
      </c>
      <c r="CF165" s="106"/>
      <c r="CG165" s="106">
        <v>1760.1482000000001</v>
      </c>
      <c r="CH165" s="106">
        <v>1175.5640000000001</v>
      </c>
      <c r="CI165" s="106">
        <v>330</v>
      </c>
      <c r="CJ165" s="106">
        <v>240</v>
      </c>
      <c r="CK165" s="106">
        <v>630</v>
      </c>
      <c r="CL165" s="106">
        <v>1531.5360000000001</v>
      </c>
      <c r="CM165" s="106">
        <v>439.87400000000002</v>
      </c>
      <c r="CN165" s="106">
        <v>588.3768</v>
      </c>
      <c r="CO165" s="106">
        <v>804.42660000000001</v>
      </c>
      <c r="CP165" s="106">
        <v>1197.3671999999999</v>
      </c>
      <c r="CQ165" s="106">
        <v>1029.0035999999998</v>
      </c>
      <c r="CR165" s="106">
        <v>1017.6120000000001</v>
      </c>
      <c r="CS165" s="106">
        <f t="shared" ref="CS165:CS171" si="1944">+SUM(CG165:CR165)</f>
        <v>10743.9084</v>
      </c>
      <c r="CT165" s="16" t="str">
        <f t="shared" si="1411"/>
        <v>Fuel Expenses For Company Car</v>
      </c>
      <c r="CU165" s="106">
        <f>+VLOOKUP($BD165,'Jan-25'!$A:$J,8,0)</f>
        <v>180</v>
      </c>
      <c r="CV165" s="106">
        <f>+VLOOKUP($BD165,'Feb-25'!$A:$J,8,0)</f>
        <v>2220.2399999999998</v>
      </c>
      <c r="CW165" s="106">
        <f>+VLOOKUP($BD165,'Mar-25'!$A:$J,8,0)</f>
        <v>0</v>
      </c>
      <c r="CX165" s="106">
        <f>+VLOOKUP($BD165,'Apr-25'!$A:$J,8,0)</f>
        <v>0</v>
      </c>
      <c r="CY165" s="106">
        <f>+VLOOKUP($BD165,'May-25'!$A:$J,8,0)</f>
        <v>1397.3184000000001</v>
      </c>
      <c r="CZ165" s="106">
        <f>+VLOOKUP($BD165,'June-25'!$A:$J,8,0)</f>
        <v>2671.8701999999998</v>
      </c>
      <c r="DA165" s="106">
        <f>+VLOOKUP($BD165,'July-25'!$A:$J,8,0)</f>
        <v>1524.48</v>
      </c>
      <c r="DB165" s="106">
        <f>+VLOOKUP($BD165,'Aug-25'!$A:$J,8,0)</f>
        <v>3180.951</v>
      </c>
      <c r="DC165" s="106">
        <f>+VLOOKUP($BD165,'Sep-25'!$A:$J,8,0)</f>
        <v>0</v>
      </c>
      <c r="DD165" s="106">
        <f>+VLOOKUP($BD165,'Oct-25'!$A:$J,8,0)</f>
        <v>0</v>
      </c>
      <c r="DE165" s="106">
        <f>+VLOOKUP($BD165,'Nov-25'!$A:$J,8,0)</f>
        <v>0</v>
      </c>
      <c r="DF165" s="106">
        <f>+VLOOKUP($BD165,'Dec-25'!$A:$J,8,0)</f>
        <v>0</v>
      </c>
      <c r="DG165" s="106">
        <f t="shared" ref="DG165:DG171" si="1945">+SUM(CU165:DF165)</f>
        <v>11174.8596</v>
      </c>
      <c r="DH165" s="118">
        <f t="shared" si="1874"/>
        <v>0</v>
      </c>
      <c r="DI165" s="106">
        <f>+_xlfn.XLOOKUP($CT165,Budget!$A:$A,Budget!CQ:CQ)</f>
        <v>0</v>
      </c>
      <c r="DJ165" s="106">
        <f>+_xlfn.XLOOKUP($CT165,Budget!$A:$A,Budget!CR:CR)</f>
        <v>0</v>
      </c>
      <c r="DK165" s="106">
        <f>+_xlfn.XLOOKUP($CT165,Budget!$A:$A,Budget!CS:CS)</f>
        <v>0</v>
      </c>
      <c r="DL165" s="106">
        <f>+_xlfn.XLOOKUP($CT165,Budget!$A:$A,Budget!CT:CT)</f>
        <v>0</v>
      </c>
      <c r="DM165" s="106">
        <f>+_xlfn.XLOOKUP($CT165,Budget!$A:$A,Budget!CU:CU)</f>
        <v>0</v>
      </c>
      <c r="DN165" s="106">
        <f>+_xlfn.XLOOKUP($CT165,Budget!$A:$A,Budget!CV:CV)</f>
        <v>0</v>
      </c>
      <c r="DO165" s="106">
        <f>+_xlfn.XLOOKUP($CT165,Budget!$A:$A,Budget!CW:CW)</f>
        <v>0</v>
      </c>
      <c r="DP165" s="106">
        <f>+_xlfn.XLOOKUP($CT165,Budget!$A:$A,Budget!CX:CX)</f>
        <v>0</v>
      </c>
      <c r="DQ165" s="106">
        <f>+_xlfn.XLOOKUP($CT165,Budget!$A:$A,Budget!CY:CY)</f>
        <v>0</v>
      </c>
      <c r="DR165" s="106">
        <f>+_xlfn.XLOOKUP($CT165,Budget!$A:$A,Budget!CZ:CZ)</f>
        <v>0</v>
      </c>
      <c r="DS165" s="106">
        <f>+_xlfn.XLOOKUP($CT165,Budget!$A:$A,Budget!DA:DA)</f>
        <v>0</v>
      </c>
      <c r="DT165" s="106">
        <f>+_xlfn.XLOOKUP($CT165,Budget!$A:$A,Budget!DB:DB)</f>
        <v>0</v>
      </c>
      <c r="DU165" s="106">
        <f t="shared" ref="DU165:DU171" si="1946">+SUM(DI165:DT165)</f>
        <v>0</v>
      </c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106">
        <f t="shared" ref="EI165:EI171" si="1947">+SUM(DW165:EH165)</f>
        <v>0</v>
      </c>
      <c r="EJ165" s="16" t="str">
        <f t="shared" si="1555"/>
        <v>Fuel Expenses For Company Car</v>
      </c>
      <c r="EK165" s="22">
        <f>+VLOOKUP($BD165,'Jan-25'!$A:$J,10,0)</f>
        <v>0</v>
      </c>
      <c r="EL165" s="22">
        <f>+VLOOKUP($BD165,'Feb-25'!$A:$J,10,0)</f>
        <v>0</v>
      </c>
      <c r="EM165" s="22">
        <f>+VLOOKUP($BD165,'Mar-25'!$A:$J,10,0)</f>
        <v>0</v>
      </c>
      <c r="EN165" s="22">
        <f>+VLOOKUP($BD165,'Apr-25'!$A:$J,10,0)</f>
        <v>0</v>
      </c>
      <c r="EO165" s="22">
        <f>+VLOOKUP($BD165,'May-25'!$A:$J,10,0)</f>
        <v>0</v>
      </c>
      <c r="EP165" s="22">
        <f>+VLOOKUP($BD165,'June-25'!$A:$J,10,0)</f>
        <v>0</v>
      </c>
      <c r="EQ165" s="22">
        <f>+VLOOKUP($BD165,'July-25'!$A:$J,10,0)</f>
        <v>0</v>
      </c>
      <c r="ER165" s="22">
        <f>+VLOOKUP($BD165,'Aug-25'!$A:$J,10,0)</f>
        <v>0</v>
      </c>
      <c r="ES165" s="22">
        <f>+VLOOKUP($BD165,'Sep-25'!$A:$J,10,0)</f>
        <v>0</v>
      </c>
      <c r="ET165" s="22">
        <f>+VLOOKUP($BD165,'Oct-25'!$A:$J,10,0)</f>
        <v>0</v>
      </c>
      <c r="EU165" s="22">
        <f>+VLOOKUP($BD165,'Nov-25'!$A:$J,10,0)</f>
        <v>0</v>
      </c>
      <c r="EV165" s="22">
        <f>+VLOOKUP($BD165,'Dec-25'!$A:$J,10,0)</f>
        <v>0</v>
      </c>
      <c r="EW165" s="22">
        <f t="shared" ref="EW165:EW171" si="1948">+SUM(EK165:EV165)</f>
        <v>0</v>
      </c>
      <c r="EX165" s="118" t="e">
        <f t="shared" si="1878"/>
        <v>#DIV/0!</v>
      </c>
      <c r="EY165" s="106">
        <f>+_xlfn.XLOOKUP($EJ165,Budget!$A:$A,Budget!DR:DR)</f>
        <v>0</v>
      </c>
      <c r="EZ165" s="106">
        <f>+_xlfn.XLOOKUP($EJ165,Budget!$A:$A,Budget!DS:DS)</f>
        <v>0</v>
      </c>
      <c r="FA165" s="106">
        <f>+_xlfn.XLOOKUP($EJ165,Budget!$A:$A,Budget!DT:DT)</f>
        <v>0</v>
      </c>
      <c r="FB165" s="106">
        <f>+_xlfn.XLOOKUP($EJ165,Budget!$A:$A,Budget!DU:DU)</f>
        <v>0</v>
      </c>
      <c r="FC165" s="106">
        <f>+_xlfn.XLOOKUP($EJ165,Budget!$A:$A,Budget!DV:DV)</f>
        <v>0</v>
      </c>
      <c r="FD165" s="106">
        <f>+_xlfn.XLOOKUP($EJ165,Budget!$A:$A,Budget!DW:DW)</f>
        <v>0</v>
      </c>
      <c r="FE165" s="106">
        <f>+_xlfn.XLOOKUP($EJ165,Budget!$A:$A,Budget!DX:DX)</f>
        <v>0</v>
      </c>
      <c r="FF165" s="106">
        <f>+_xlfn.XLOOKUP($EJ165,Budget!$A:$A,Budget!DY:DY)</f>
        <v>0</v>
      </c>
      <c r="FG165" s="106">
        <f>+_xlfn.XLOOKUP($EJ165,Budget!$A:$A,Budget!DZ:DZ)</f>
        <v>0</v>
      </c>
      <c r="FH165" s="106">
        <f>+_xlfn.XLOOKUP($EJ165,Budget!$A:$A,Budget!EA:EA)</f>
        <v>0</v>
      </c>
      <c r="FI165" s="106">
        <f>+_xlfn.XLOOKUP($EJ165,Budget!$A:$A,Budget!EB:EB)</f>
        <v>0</v>
      </c>
      <c r="FJ165" s="106">
        <f>+_xlfn.XLOOKUP($EJ165,Budget!$A:$A,Budget!EC:EC)</f>
        <v>0</v>
      </c>
      <c r="FK165" s="106">
        <f t="shared" ref="FK165:FK171" si="1949">+SUM(EY165:FJ165)</f>
        <v>0</v>
      </c>
    </row>
    <row r="166" spans="1:167" ht="14.45" hidden="1" customHeight="1" outlineLevel="2">
      <c r="A166" s="106">
        <f t="shared" si="1913"/>
        <v>0</v>
      </c>
      <c r="B166" s="106">
        <f t="shared" si="1913"/>
        <v>0</v>
      </c>
      <c r="C166" s="106">
        <f t="shared" si="1913"/>
        <v>0</v>
      </c>
      <c r="D166" s="106">
        <f t="shared" si="1913"/>
        <v>0</v>
      </c>
      <c r="E166" s="106">
        <f t="shared" si="1913"/>
        <v>766.452</v>
      </c>
      <c r="F166" s="106">
        <f t="shared" si="1913"/>
        <v>0</v>
      </c>
      <c r="G166" s="106">
        <f t="shared" si="1913"/>
        <v>0</v>
      </c>
      <c r="H166" s="106">
        <f t="shared" si="1913"/>
        <v>0</v>
      </c>
      <c r="I166" s="106">
        <f t="shared" si="1913"/>
        <v>506.5</v>
      </c>
      <c r="J166" s="106">
        <f t="shared" si="1913"/>
        <v>0</v>
      </c>
      <c r="K166" s="106">
        <f t="shared" si="1913"/>
        <v>0</v>
      </c>
      <c r="L166" s="106">
        <f t="shared" si="1913"/>
        <v>0</v>
      </c>
      <c r="M166" s="106">
        <f t="shared" si="1914"/>
        <v>1272.952</v>
      </c>
      <c r="N166" s="16" t="s">
        <v>138</v>
      </c>
      <c r="O166" s="106">
        <f t="shared" si="1915"/>
        <v>0</v>
      </c>
      <c r="P166" s="106">
        <f t="shared" si="1916"/>
        <v>0</v>
      </c>
      <c r="Q166" s="106">
        <f t="shared" si="1917"/>
        <v>0</v>
      </c>
      <c r="R166" s="106">
        <f t="shared" si="1918"/>
        <v>0</v>
      </c>
      <c r="S166" s="106">
        <f t="shared" si="1919"/>
        <v>0</v>
      </c>
      <c r="T166" s="106">
        <f t="shared" si="1920"/>
        <v>0</v>
      </c>
      <c r="U166" s="106">
        <f t="shared" si="1921"/>
        <v>0</v>
      </c>
      <c r="V166" s="106">
        <f t="shared" si="1922"/>
        <v>0</v>
      </c>
      <c r="W166" s="106">
        <f t="shared" si="1923"/>
        <v>0</v>
      </c>
      <c r="X166" s="106">
        <f t="shared" si="1924"/>
        <v>0</v>
      </c>
      <c r="Y166" s="106">
        <f t="shared" si="1925"/>
        <v>0</v>
      </c>
      <c r="Z166" s="106">
        <f t="shared" si="1926"/>
        <v>0</v>
      </c>
      <c r="AA166" s="106">
        <f t="shared" si="1927"/>
        <v>0</v>
      </c>
      <c r="AB166" s="118">
        <f t="shared" si="1854"/>
        <v>0</v>
      </c>
      <c r="AC166" s="106">
        <f t="shared" si="1928"/>
        <v>0</v>
      </c>
      <c r="AD166" s="106">
        <f t="shared" si="1929"/>
        <v>0</v>
      </c>
      <c r="AE166" s="106">
        <f t="shared" si="1930"/>
        <v>0</v>
      </c>
      <c r="AF166" s="106">
        <f t="shared" si="1931"/>
        <v>0</v>
      </c>
      <c r="AG166" s="106">
        <f t="shared" si="1932"/>
        <v>0</v>
      </c>
      <c r="AH166" s="106">
        <f t="shared" si="1933"/>
        <v>0</v>
      </c>
      <c r="AI166" s="106">
        <f t="shared" si="1934"/>
        <v>0</v>
      </c>
      <c r="AJ166" s="106">
        <f t="shared" si="1935"/>
        <v>0</v>
      </c>
      <c r="AK166" s="106">
        <f t="shared" si="1936"/>
        <v>0</v>
      </c>
      <c r="AL166" s="106">
        <f t="shared" si="1937"/>
        <v>0</v>
      </c>
      <c r="AM166" s="106">
        <f t="shared" si="1938"/>
        <v>0</v>
      </c>
      <c r="AN166" s="106">
        <f t="shared" si="1939"/>
        <v>0</v>
      </c>
      <c r="AO166" s="106">
        <f t="shared" si="1940"/>
        <v>0</v>
      </c>
      <c r="AQ166" s="106">
        <v>0</v>
      </c>
      <c r="AR166" s="106">
        <v>0</v>
      </c>
      <c r="AS166" s="106">
        <v>0</v>
      </c>
      <c r="AT166" s="106">
        <v>0</v>
      </c>
      <c r="AU166" s="106">
        <v>766.452</v>
      </c>
      <c r="AV166" s="106">
        <v>0</v>
      </c>
      <c r="AW166" s="106">
        <v>0</v>
      </c>
      <c r="AX166" s="106">
        <v>0</v>
      </c>
      <c r="AY166" s="106">
        <v>206.5</v>
      </c>
      <c r="AZ166" s="106">
        <v>0</v>
      </c>
      <c r="BA166" s="106">
        <v>0</v>
      </c>
      <c r="BB166" s="106">
        <v>0</v>
      </c>
      <c r="BC166" s="106">
        <f t="shared" si="1941"/>
        <v>972.952</v>
      </c>
      <c r="BD166" s="16" t="str">
        <f t="shared" si="1410"/>
        <v>Fuel Expenses For Courtesy Car</v>
      </c>
      <c r="BE166" s="106">
        <f>+VLOOKUP($BD166,'Jan-25'!$A:$J,5,0)</f>
        <v>0</v>
      </c>
      <c r="BF166" s="106">
        <f>+VLOOKUP($BD166,'Feb-25'!$A:$J,5,0)</f>
        <v>0</v>
      </c>
      <c r="BG166" s="106">
        <f>+VLOOKUP($BD166,'Mar-25'!$A:$J,5,0)</f>
        <v>0</v>
      </c>
      <c r="BH166" s="106">
        <f>+VLOOKUP($BD166,'Apr-25'!$A:$J,5,0)</f>
        <v>0</v>
      </c>
      <c r="BI166" s="106">
        <f>+VLOOKUP($BD166,'May-25'!$A:$J,5,0)</f>
        <v>0</v>
      </c>
      <c r="BJ166" s="106">
        <f>+VLOOKUP($BD166,'June-25'!$A:$J,5,0)</f>
        <v>0</v>
      </c>
      <c r="BK166" s="106">
        <f>+VLOOKUP($BD166,'July-25'!$A:$J,5,0)</f>
        <v>0</v>
      </c>
      <c r="BL166" s="106">
        <f>+VLOOKUP($BD166,'Aug-25'!$A:$J,5,0)</f>
        <v>0</v>
      </c>
      <c r="BM166" s="106">
        <f>+VLOOKUP($BD166,'Sep-25'!$A:$J,5,0)</f>
        <v>0</v>
      </c>
      <c r="BN166" s="106">
        <f>+VLOOKUP($BD166,'Oct-25'!$A:$J,5,0)</f>
        <v>0</v>
      </c>
      <c r="BO166" s="106">
        <f>+VLOOKUP($BD166,'Nov-25'!$A:$J,5,0)</f>
        <v>0</v>
      </c>
      <c r="BP166" s="106">
        <f>+VLOOKUP($BD166,'Dec-25'!$A:$J,5,0)</f>
        <v>0</v>
      </c>
      <c r="BQ166" s="106">
        <f t="shared" si="1942"/>
        <v>0</v>
      </c>
      <c r="BR166" s="118">
        <f t="shared" si="1870"/>
        <v>0</v>
      </c>
      <c r="BS166" s="106">
        <f>+_xlfn.XLOOKUP($BD166,Budget!$A:$A,Budget!BD:BD)</f>
        <v>0</v>
      </c>
      <c r="BT166" s="106">
        <f>+_xlfn.XLOOKUP($BD166,Budget!$A:$A,Budget!BE:BE)</f>
        <v>0</v>
      </c>
      <c r="BU166" s="106">
        <f>+_xlfn.XLOOKUP($BD166,Budget!$A:$A,Budget!BF:BF)</f>
        <v>0</v>
      </c>
      <c r="BV166" s="106">
        <f>+_xlfn.XLOOKUP($BD166,Budget!$A:$A,Budget!BG:BG)</f>
        <v>0</v>
      </c>
      <c r="BW166" s="106">
        <f>+_xlfn.XLOOKUP($BD166,Budget!$A:$A,Budget!BH:BH)</f>
        <v>0</v>
      </c>
      <c r="BX166" s="106">
        <f>+_xlfn.XLOOKUP($BD166,Budget!$A:$A,Budget!BI:BI)</f>
        <v>0</v>
      </c>
      <c r="BY166" s="106">
        <f>+_xlfn.XLOOKUP($BD166,Budget!$A:$A,Budget!BJ:BJ)</f>
        <v>0</v>
      </c>
      <c r="BZ166" s="106">
        <f>+_xlfn.XLOOKUP($BD166,Budget!$A:$A,Budget!BK:BK)</f>
        <v>0</v>
      </c>
      <c r="CA166" s="106">
        <f>+_xlfn.XLOOKUP($BD166,Budget!$A:$A,Budget!BL:BL)</f>
        <v>0</v>
      </c>
      <c r="CB166" s="106">
        <f>+_xlfn.XLOOKUP($BD166,Budget!$A:$A,Budget!BM:BM)</f>
        <v>0</v>
      </c>
      <c r="CC166" s="106">
        <f>+_xlfn.XLOOKUP($BD166,Budget!$A:$A,Budget!BN:BN)</f>
        <v>0</v>
      </c>
      <c r="CD166" s="106">
        <f>+_xlfn.XLOOKUP($BD166,Budget!$A:$A,Budget!BO:BO)</f>
        <v>0</v>
      </c>
      <c r="CE166" s="106">
        <f t="shared" si="1943"/>
        <v>0</v>
      </c>
      <c r="CF166" s="106"/>
      <c r="CG166" s="106">
        <v>0</v>
      </c>
      <c r="CH166" s="106">
        <v>0</v>
      </c>
      <c r="CI166" s="106">
        <v>0</v>
      </c>
      <c r="CJ166" s="106">
        <v>0</v>
      </c>
      <c r="CK166" s="106">
        <v>0</v>
      </c>
      <c r="CL166" s="106">
        <v>0</v>
      </c>
      <c r="CM166" s="106">
        <v>0</v>
      </c>
      <c r="CN166" s="106">
        <v>0</v>
      </c>
      <c r="CO166" s="106">
        <v>300</v>
      </c>
      <c r="CP166" s="106">
        <v>0</v>
      </c>
      <c r="CQ166" s="106">
        <v>0</v>
      </c>
      <c r="CR166" s="106">
        <v>0</v>
      </c>
      <c r="CS166" s="106">
        <f t="shared" si="1944"/>
        <v>300</v>
      </c>
      <c r="CT166" s="16" t="str">
        <f t="shared" si="1411"/>
        <v>Fuel Expenses For Courtesy Car</v>
      </c>
      <c r="CU166" s="106">
        <f>+VLOOKUP($BD166,'Jan-25'!$A:$J,8,0)</f>
        <v>0</v>
      </c>
      <c r="CV166" s="106">
        <f>+VLOOKUP($BD166,'Feb-25'!$A:$J,8,0)</f>
        <v>0</v>
      </c>
      <c r="CW166" s="106">
        <f>+VLOOKUP($BD166,'Mar-25'!$A:$J,8,0)</f>
        <v>0</v>
      </c>
      <c r="CX166" s="106">
        <f>+VLOOKUP($BD166,'Apr-25'!$A:$J,8,0)</f>
        <v>0</v>
      </c>
      <c r="CY166" s="106">
        <f>+VLOOKUP($BD166,'May-25'!$A:$J,8,0)</f>
        <v>0</v>
      </c>
      <c r="CZ166" s="106">
        <f>+VLOOKUP($BD166,'June-25'!$A:$J,8,0)</f>
        <v>0</v>
      </c>
      <c r="DA166" s="106">
        <f>+VLOOKUP($BD166,'July-25'!$A:$J,8,0)</f>
        <v>0</v>
      </c>
      <c r="DB166" s="106">
        <f>+VLOOKUP($BD166,'Aug-25'!$A:$J,8,0)</f>
        <v>0</v>
      </c>
      <c r="DC166" s="106">
        <f>+VLOOKUP($BD166,'Sep-25'!$A:$J,8,0)</f>
        <v>0</v>
      </c>
      <c r="DD166" s="106">
        <f>+VLOOKUP($BD166,'Oct-25'!$A:$J,8,0)</f>
        <v>0</v>
      </c>
      <c r="DE166" s="106">
        <f>+VLOOKUP($BD166,'Nov-25'!$A:$J,8,0)</f>
        <v>0</v>
      </c>
      <c r="DF166" s="106">
        <f>+VLOOKUP($BD166,'Dec-25'!$A:$J,8,0)</f>
        <v>0</v>
      </c>
      <c r="DG166" s="106">
        <f t="shared" si="1945"/>
        <v>0</v>
      </c>
      <c r="DH166" s="118">
        <f t="shared" si="1874"/>
        <v>0</v>
      </c>
      <c r="DI166" s="106">
        <f>+_xlfn.XLOOKUP($CT166,Budget!$A:$A,Budget!CQ:CQ)</f>
        <v>0</v>
      </c>
      <c r="DJ166" s="106">
        <f>+_xlfn.XLOOKUP($CT166,Budget!$A:$A,Budget!CR:CR)</f>
        <v>0</v>
      </c>
      <c r="DK166" s="106">
        <f>+_xlfn.XLOOKUP($CT166,Budget!$A:$A,Budget!CS:CS)</f>
        <v>0</v>
      </c>
      <c r="DL166" s="106">
        <f>+_xlfn.XLOOKUP($CT166,Budget!$A:$A,Budget!CT:CT)</f>
        <v>0</v>
      </c>
      <c r="DM166" s="106">
        <f>+_xlfn.XLOOKUP($CT166,Budget!$A:$A,Budget!CU:CU)</f>
        <v>0</v>
      </c>
      <c r="DN166" s="106">
        <f>+_xlfn.XLOOKUP($CT166,Budget!$A:$A,Budget!CV:CV)</f>
        <v>0</v>
      </c>
      <c r="DO166" s="106">
        <f>+_xlfn.XLOOKUP($CT166,Budget!$A:$A,Budget!CW:CW)</f>
        <v>0</v>
      </c>
      <c r="DP166" s="106">
        <f>+_xlfn.XLOOKUP($CT166,Budget!$A:$A,Budget!CX:CX)</f>
        <v>0</v>
      </c>
      <c r="DQ166" s="106">
        <f>+_xlfn.XLOOKUP($CT166,Budget!$A:$A,Budget!CY:CY)</f>
        <v>0</v>
      </c>
      <c r="DR166" s="106">
        <f>+_xlfn.XLOOKUP($CT166,Budget!$A:$A,Budget!CZ:CZ)</f>
        <v>0</v>
      </c>
      <c r="DS166" s="106">
        <f>+_xlfn.XLOOKUP($CT166,Budget!$A:$A,Budget!DA:DA)</f>
        <v>0</v>
      </c>
      <c r="DT166" s="106">
        <f>+_xlfn.XLOOKUP($CT166,Budget!$A:$A,Budget!DB:DB)</f>
        <v>0</v>
      </c>
      <c r="DU166" s="106">
        <f t="shared" si="1946"/>
        <v>0</v>
      </c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106">
        <f t="shared" si="1947"/>
        <v>0</v>
      </c>
      <c r="EJ166" s="16" t="str">
        <f t="shared" si="1555"/>
        <v>Fuel Expenses For Courtesy Car</v>
      </c>
      <c r="EK166" s="22">
        <f>+VLOOKUP($BD166,'Jan-25'!$A:$J,10,0)</f>
        <v>0</v>
      </c>
      <c r="EL166" s="22">
        <f>+VLOOKUP($BD166,'Feb-25'!$A:$J,10,0)</f>
        <v>0</v>
      </c>
      <c r="EM166" s="22">
        <f>+VLOOKUP($BD166,'Mar-25'!$A:$J,10,0)</f>
        <v>0</v>
      </c>
      <c r="EN166" s="22">
        <f>+VLOOKUP($BD166,'Apr-25'!$A:$J,10,0)</f>
        <v>0</v>
      </c>
      <c r="EO166" s="22">
        <f>+VLOOKUP($BD166,'May-25'!$A:$J,10,0)</f>
        <v>0</v>
      </c>
      <c r="EP166" s="22">
        <f>+VLOOKUP($BD166,'June-25'!$A:$J,10,0)</f>
        <v>0</v>
      </c>
      <c r="EQ166" s="22">
        <f>+VLOOKUP($BD166,'July-25'!$A:$J,10,0)</f>
        <v>0</v>
      </c>
      <c r="ER166" s="22">
        <f>+VLOOKUP($BD166,'Aug-25'!$A:$J,10,0)</f>
        <v>0</v>
      </c>
      <c r="ES166" s="22">
        <f>+VLOOKUP($BD166,'Sep-25'!$A:$J,10,0)</f>
        <v>0</v>
      </c>
      <c r="ET166" s="22">
        <f>+VLOOKUP($BD166,'Oct-25'!$A:$J,10,0)</f>
        <v>0</v>
      </c>
      <c r="EU166" s="22">
        <f>+VLOOKUP($BD166,'Nov-25'!$A:$J,10,0)</f>
        <v>0</v>
      </c>
      <c r="EV166" s="22">
        <f>+VLOOKUP($BD166,'Dec-25'!$A:$J,10,0)</f>
        <v>0</v>
      </c>
      <c r="EW166" s="22">
        <f t="shared" si="1948"/>
        <v>0</v>
      </c>
      <c r="EX166" s="118" t="e">
        <f t="shared" si="1878"/>
        <v>#DIV/0!</v>
      </c>
      <c r="EY166" s="106">
        <f>+_xlfn.XLOOKUP($EJ166,Budget!$A:$A,Budget!DR:DR)</f>
        <v>0</v>
      </c>
      <c r="EZ166" s="106">
        <f>+_xlfn.XLOOKUP($EJ166,Budget!$A:$A,Budget!DS:DS)</f>
        <v>0</v>
      </c>
      <c r="FA166" s="106">
        <f>+_xlfn.XLOOKUP($EJ166,Budget!$A:$A,Budget!DT:DT)</f>
        <v>0</v>
      </c>
      <c r="FB166" s="106">
        <f>+_xlfn.XLOOKUP($EJ166,Budget!$A:$A,Budget!DU:DU)</f>
        <v>0</v>
      </c>
      <c r="FC166" s="106">
        <f>+_xlfn.XLOOKUP($EJ166,Budget!$A:$A,Budget!DV:DV)</f>
        <v>0</v>
      </c>
      <c r="FD166" s="106">
        <f>+_xlfn.XLOOKUP($EJ166,Budget!$A:$A,Budget!DW:DW)</f>
        <v>0</v>
      </c>
      <c r="FE166" s="106">
        <f>+_xlfn.XLOOKUP($EJ166,Budget!$A:$A,Budget!DX:DX)</f>
        <v>0</v>
      </c>
      <c r="FF166" s="106">
        <f>+_xlfn.XLOOKUP($EJ166,Budget!$A:$A,Budget!DY:DY)</f>
        <v>0</v>
      </c>
      <c r="FG166" s="106">
        <f>+_xlfn.XLOOKUP($EJ166,Budget!$A:$A,Budget!DZ:DZ)</f>
        <v>0</v>
      </c>
      <c r="FH166" s="106">
        <f>+_xlfn.XLOOKUP($EJ166,Budget!$A:$A,Budget!EA:EA)</f>
        <v>0</v>
      </c>
      <c r="FI166" s="106">
        <f>+_xlfn.XLOOKUP($EJ166,Budget!$A:$A,Budget!EB:EB)</f>
        <v>0</v>
      </c>
      <c r="FJ166" s="106">
        <f>+_xlfn.XLOOKUP($EJ166,Budget!$A:$A,Budget!EC:EC)</f>
        <v>0</v>
      </c>
      <c r="FK166" s="106">
        <f t="shared" si="1949"/>
        <v>0</v>
      </c>
    </row>
    <row r="167" spans="1:167" ht="14.45" hidden="1" customHeight="1" outlineLevel="2">
      <c r="A167" s="106">
        <f t="shared" si="1913"/>
        <v>0</v>
      </c>
      <c r="B167" s="106">
        <f t="shared" si="1913"/>
        <v>0</v>
      </c>
      <c r="C167" s="106">
        <f t="shared" si="1913"/>
        <v>0</v>
      </c>
      <c r="D167" s="106">
        <f t="shared" si="1913"/>
        <v>0</v>
      </c>
      <c r="E167" s="106">
        <f t="shared" si="1913"/>
        <v>0</v>
      </c>
      <c r="F167" s="106">
        <f t="shared" si="1913"/>
        <v>0</v>
      </c>
      <c r="G167" s="106">
        <f t="shared" si="1913"/>
        <v>0</v>
      </c>
      <c r="H167" s="106">
        <f t="shared" si="1913"/>
        <v>0</v>
      </c>
      <c r="I167" s="106">
        <f t="shared" si="1913"/>
        <v>0</v>
      </c>
      <c r="J167" s="106">
        <f t="shared" si="1913"/>
        <v>0</v>
      </c>
      <c r="K167" s="106">
        <f t="shared" si="1913"/>
        <v>0</v>
      </c>
      <c r="L167" s="106">
        <f t="shared" si="1913"/>
        <v>0</v>
      </c>
      <c r="M167" s="106">
        <f t="shared" si="1914"/>
        <v>0</v>
      </c>
      <c r="N167" s="16" t="s">
        <v>139</v>
      </c>
      <c r="O167" s="106">
        <f t="shared" si="1915"/>
        <v>0</v>
      </c>
      <c r="P167" s="106">
        <f t="shared" si="1916"/>
        <v>0</v>
      </c>
      <c r="Q167" s="106">
        <f t="shared" si="1917"/>
        <v>0</v>
      </c>
      <c r="R167" s="106">
        <f t="shared" si="1918"/>
        <v>0</v>
      </c>
      <c r="S167" s="106">
        <f t="shared" si="1919"/>
        <v>0</v>
      </c>
      <c r="T167" s="106">
        <f t="shared" si="1920"/>
        <v>0</v>
      </c>
      <c r="U167" s="106">
        <f t="shared" si="1921"/>
        <v>0</v>
      </c>
      <c r="V167" s="106">
        <f t="shared" si="1922"/>
        <v>0</v>
      </c>
      <c r="W167" s="106">
        <f t="shared" si="1923"/>
        <v>0</v>
      </c>
      <c r="X167" s="106">
        <f t="shared" si="1924"/>
        <v>0</v>
      </c>
      <c r="Y167" s="106">
        <f t="shared" si="1925"/>
        <v>0</v>
      </c>
      <c r="Z167" s="106">
        <f t="shared" si="1926"/>
        <v>0</v>
      </c>
      <c r="AA167" s="106">
        <f t="shared" si="1927"/>
        <v>0</v>
      </c>
      <c r="AB167" s="118">
        <f t="shared" si="1854"/>
        <v>0</v>
      </c>
      <c r="AC167" s="106">
        <f t="shared" si="1928"/>
        <v>0</v>
      </c>
      <c r="AD167" s="106">
        <f t="shared" si="1929"/>
        <v>0</v>
      </c>
      <c r="AE167" s="106">
        <f t="shared" si="1930"/>
        <v>0</v>
      </c>
      <c r="AF167" s="106">
        <f t="shared" si="1931"/>
        <v>0</v>
      </c>
      <c r="AG167" s="106">
        <f t="shared" si="1932"/>
        <v>0</v>
      </c>
      <c r="AH167" s="106">
        <f t="shared" si="1933"/>
        <v>0</v>
      </c>
      <c r="AI167" s="106">
        <f t="shared" si="1934"/>
        <v>0</v>
      </c>
      <c r="AJ167" s="106">
        <f t="shared" si="1935"/>
        <v>0</v>
      </c>
      <c r="AK167" s="106">
        <f t="shared" si="1936"/>
        <v>0</v>
      </c>
      <c r="AL167" s="106">
        <f t="shared" si="1937"/>
        <v>0</v>
      </c>
      <c r="AM167" s="106">
        <f t="shared" si="1938"/>
        <v>0</v>
      </c>
      <c r="AN167" s="106">
        <f t="shared" si="1939"/>
        <v>0</v>
      </c>
      <c r="AO167" s="106">
        <f t="shared" si="1940"/>
        <v>0</v>
      </c>
      <c r="AQ167" s="106">
        <v>0</v>
      </c>
      <c r="AR167" s="106">
        <v>0</v>
      </c>
      <c r="AS167" s="106">
        <v>0</v>
      </c>
      <c r="AT167" s="106">
        <v>0</v>
      </c>
      <c r="AU167" s="106">
        <v>0</v>
      </c>
      <c r="AV167" s="106">
        <v>0</v>
      </c>
      <c r="AW167" s="106">
        <v>0</v>
      </c>
      <c r="AX167" s="106">
        <v>0</v>
      </c>
      <c r="AY167" s="106">
        <v>0</v>
      </c>
      <c r="AZ167" s="106">
        <v>0</v>
      </c>
      <c r="BA167" s="106">
        <v>0</v>
      </c>
      <c r="BB167" s="106">
        <v>0</v>
      </c>
      <c r="BC167" s="106">
        <f t="shared" si="1941"/>
        <v>0</v>
      </c>
      <c r="BD167" s="16" t="str">
        <f t="shared" si="1410"/>
        <v>Fuel Expenses For Scooter</v>
      </c>
      <c r="BE167" s="106">
        <f>+VLOOKUP($BD167,'Jan-25'!$A:$J,5,0)</f>
        <v>0</v>
      </c>
      <c r="BF167" s="106">
        <f>+VLOOKUP($BD167,'Feb-25'!$A:$J,5,0)</f>
        <v>0</v>
      </c>
      <c r="BG167" s="106">
        <f>+VLOOKUP($BD167,'Mar-25'!$A:$J,5,0)</f>
        <v>0</v>
      </c>
      <c r="BH167" s="106">
        <f>+VLOOKUP($BD167,'Apr-25'!$A:$J,5,0)</f>
        <v>0</v>
      </c>
      <c r="BI167" s="106">
        <f>+VLOOKUP($BD167,'May-25'!$A:$J,5,0)</f>
        <v>0</v>
      </c>
      <c r="BJ167" s="106">
        <f>+VLOOKUP($BD167,'June-25'!$A:$J,5,0)</f>
        <v>0</v>
      </c>
      <c r="BK167" s="106">
        <f>+VLOOKUP($BD167,'July-25'!$A:$J,5,0)</f>
        <v>0</v>
      </c>
      <c r="BL167" s="106">
        <f>+VLOOKUP($BD167,'Aug-25'!$A:$J,5,0)</f>
        <v>0</v>
      </c>
      <c r="BM167" s="106">
        <f>+VLOOKUP($BD167,'Sep-25'!$A:$J,5,0)</f>
        <v>0</v>
      </c>
      <c r="BN167" s="106">
        <f>+VLOOKUP($BD167,'Oct-25'!$A:$J,5,0)</f>
        <v>0</v>
      </c>
      <c r="BO167" s="106">
        <f>+VLOOKUP($BD167,'Nov-25'!$A:$J,5,0)</f>
        <v>0</v>
      </c>
      <c r="BP167" s="106">
        <f>+VLOOKUP($BD167,'Dec-25'!$A:$J,5,0)</f>
        <v>0</v>
      </c>
      <c r="BQ167" s="106">
        <f t="shared" si="1942"/>
        <v>0</v>
      </c>
      <c r="BR167" s="118">
        <f t="shared" si="1870"/>
        <v>0</v>
      </c>
      <c r="BS167" s="106">
        <f>+_xlfn.XLOOKUP($BD167,Budget!$A:$A,Budget!BD:BD)</f>
        <v>0</v>
      </c>
      <c r="BT167" s="106">
        <f>+_xlfn.XLOOKUP($BD167,Budget!$A:$A,Budget!BE:BE)</f>
        <v>0</v>
      </c>
      <c r="BU167" s="106">
        <f>+_xlfn.XLOOKUP($BD167,Budget!$A:$A,Budget!BF:BF)</f>
        <v>0</v>
      </c>
      <c r="BV167" s="106">
        <f>+_xlfn.XLOOKUP($BD167,Budget!$A:$A,Budget!BG:BG)</f>
        <v>0</v>
      </c>
      <c r="BW167" s="106">
        <f>+_xlfn.XLOOKUP($BD167,Budget!$A:$A,Budget!BH:BH)</f>
        <v>0</v>
      </c>
      <c r="BX167" s="106">
        <f>+_xlfn.XLOOKUP($BD167,Budget!$A:$A,Budget!BI:BI)</f>
        <v>0</v>
      </c>
      <c r="BY167" s="106">
        <f>+_xlfn.XLOOKUP($BD167,Budget!$A:$A,Budget!BJ:BJ)</f>
        <v>0</v>
      </c>
      <c r="BZ167" s="106">
        <f>+_xlfn.XLOOKUP($BD167,Budget!$A:$A,Budget!BK:BK)</f>
        <v>0</v>
      </c>
      <c r="CA167" s="106">
        <f>+_xlfn.XLOOKUP($BD167,Budget!$A:$A,Budget!BL:BL)</f>
        <v>0</v>
      </c>
      <c r="CB167" s="106">
        <f>+_xlfn.XLOOKUP($BD167,Budget!$A:$A,Budget!BM:BM)</f>
        <v>0</v>
      </c>
      <c r="CC167" s="106">
        <f>+_xlfn.XLOOKUP($BD167,Budget!$A:$A,Budget!BN:BN)</f>
        <v>0</v>
      </c>
      <c r="CD167" s="106">
        <f>+_xlfn.XLOOKUP($BD167,Budget!$A:$A,Budget!BO:BO)</f>
        <v>0</v>
      </c>
      <c r="CE167" s="106">
        <f t="shared" si="1943"/>
        <v>0</v>
      </c>
      <c r="CF167" s="106"/>
      <c r="CG167" s="106">
        <v>0</v>
      </c>
      <c r="CH167" s="106">
        <v>0</v>
      </c>
      <c r="CI167" s="106">
        <v>0</v>
      </c>
      <c r="CJ167" s="106">
        <v>0</v>
      </c>
      <c r="CK167" s="106">
        <v>0</v>
      </c>
      <c r="CL167" s="106">
        <v>0</v>
      </c>
      <c r="CM167" s="106">
        <v>0</v>
      </c>
      <c r="CN167" s="106">
        <v>0</v>
      </c>
      <c r="CO167" s="106">
        <v>0</v>
      </c>
      <c r="CP167" s="106">
        <v>0</v>
      </c>
      <c r="CQ167" s="106">
        <v>0</v>
      </c>
      <c r="CR167" s="106">
        <v>0</v>
      </c>
      <c r="CS167" s="106">
        <f t="shared" si="1944"/>
        <v>0</v>
      </c>
      <c r="CT167" s="16" t="str">
        <f t="shared" si="1411"/>
        <v>Fuel Expenses For Scooter</v>
      </c>
      <c r="CU167" s="106">
        <f>+VLOOKUP($BD167,'Jan-25'!$A:$J,8,0)</f>
        <v>0</v>
      </c>
      <c r="CV167" s="106">
        <f>+VLOOKUP($BD167,'Feb-25'!$A:$J,8,0)</f>
        <v>0</v>
      </c>
      <c r="CW167" s="106">
        <f>+VLOOKUP($BD167,'Mar-25'!$A:$J,8,0)</f>
        <v>0</v>
      </c>
      <c r="CX167" s="106">
        <f>+VLOOKUP($BD167,'Apr-25'!$A:$J,8,0)</f>
        <v>0</v>
      </c>
      <c r="CY167" s="106">
        <f>+VLOOKUP($BD167,'May-25'!$A:$J,8,0)</f>
        <v>0</v>
      </c>
      <c r="CZ167" s="106">
        <f>+VLOOKUP($BD167,'June-25'!$A:$J,8,0)</f>
        <v>0</v>
      </c>
      <c r="DA167" s="106">
        <f>+VLOOKUP($BD167,'July-25'!$A:$J,8,0)</f>
        <v>0</v>
      </c>
      <c r="DB167" s="106">
        <f>+VLOOKUP($BD167,'Aug-25'!$A:$J,8,0)</f>
        <v>0</v>
      </c>
      <c r="DC167" s="106">
        <f>+VLOOKUP($BD167,'Sep-25'!$A:$J,8,0)</f>
        <v>0</v>
      </c>
      <c r="DD167" s="106">
        <f>+VLOOKUP($BD167,'Oct-25'!$A:$J,8,0)</f>
        <v>0</v>
      </c>
      <c r="DE167" s="106">
        <f>+VLOOKUP($BD167,'Nov-25'!$A:$J,8,0)</f>
        <v>0</v>
      </c>
      <c r="DF167" s="106">
        <f>+VLOOKUP($BD167,'Dec-25'!$A:$J,8,0)</f>
        <v>0</v>
      </c>
      <c r="DG167" s="106">
        <f t="shared" si="1945"/>
        <v>0</v>
      </c>
      <c r="DH167" s="118">
        <f t="shared" si="1874"/>
        <v>0</v>
      </c>
      <c r="DI167" s="106">
        <f>+_xlfn.XLOOKUP($CT167,Budget!$A:$A,Budget!CQ:CQ)</f>
        <v>0</v>
      </c>
      <c r="DJ167" s="106">
        <f>+_xlfn.XLOOKUP($CT167,Budget!$A:$A,Budget!CR:CR)</f>
        <v>0</v>
      </c>
      <c r="DK167" s="106">
        <f>+_xlfn.XLOOKUP($CT167,Budget!$A:$A,Budget!CS:CS)</f>
        <v>0</v>
      </c>
      <c r="DL167" s="106">
        <f>+_xlfn.XLOOKUP($CT167,Budget!$A:$A,Budget!CT:CT)</f>
        <v>0</v>
      </c>
      <c r="DM167" s="106">
        <f>+_xlfn.XLOOKUP($CT167,Budget!$A:$A,Budget!CU:CU)</f>
        <v>0</v>
      </c>
      <c r="DN167" s="106">
        <f>+_xlfn.XLOOKUP($CT167,Budget!$A:$A,Budget!CV:CV)</f>
        <v>0</v>
      </c>
      <c r="DO167" s="106">
        <f>+_xlfn.XLOOKUP($CT167,Budget!$A:$A,Budget!CW:CW)</f>
        <v>0</v>
      </c>
      <c r="DP167" s="106">
        <f>+_xlfn.XLOOKUP($CT167,Budget!$A:$A,Budget!CX:CX)</f>
        <v>0</v>
      </c>
      <c r="DQ167" s="106">
        <f>+_xlfn.XLOOKUP($CT167,Budget!$A:$A,Budget!CY:CY)</f>
        <v>0</v>
      </c>
      <c r="DR167" s="106">
        <f>+_xlfn.XLOOKUP($CT167,Budget!$A:$A,Budget!CZ:CZ)</f>
        <v>0</v>
      </c>
      <c r="DS167" s="106">
        <f>+_xlfn.XLOOKUP($CT167,Budget!$A:$A,Budget!DA:DA)</f>
        <v>0</v>
      </c>
      <c r="DT167" s="106">
        <f>+_xlfn.XLOOKUP($CT167,Budget!$A:$A,Budget!DB:DB)</f>
        <v>0</v>
      </c>
      <c r="DU167" s="106">
        <f t="shared" si="1946"/>
        <v>0</v>
      </c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106">
        <f t="shared" si="1947"/>
        <v>0</v>
      </c>
      <c r="EJ167" s="16" t="str">
        <f t="shared" si="1555"/>
        <v>Fuel Expenses For Scooter</v>
      </c>
      <c r="EK167" s="22">
        <f>+VLOOKUP($BD167,'Jan-25'!$A:$J,10,0)</f>
        <v>0</v>
      </c>
      <c r="EL167" s="22">
        <f>+VLOOKUP($BD167,'Feb-25'!$A:$J,10,0)</f>
        <v>0</v>
      </c>
      <c r="EM167" s="22">
        <f>+VLOOKUP($BD167,'Mar-25'!$A:$J,10,0)</f>
        <v>0</v>
      </c>
      <c r="EN167" s="22">
        <f>+VLOOKUP($BD167,'Apr-25'!$A:$J,10,0)</f>
        <v>0</v>
      </c>
      <c r="EO167" s="22">
        <f>+VLOOKUP($BD167,'May-25'!$A:$J,10,0)</f>
        <v>0</v>
      </c>
      <c r="EP167" s="22">
        <f>+VLOOKUP($BD167,'June-25'!$A:$J,10,0)</f>
        <v>0</v>
      </c>
      <c r="EQ167" s="22">
        <f>+VLOOKUP($BD167,'July-25'!$A:$J,10,0)</f>
        <v>0</v>
      </c>
      <c r="ER167" s="22">
        <f>+VLOOKUP($BD167,'Aug-25'!$A:$J,10,0)</f>
        <v>0</v>
      </c>
      <c r="ES167" s="22">
        <f>+VLOOKUP($BD167,'Sep-25'!$A:$J,10,0)</f>
        <v>0</v>
      </c>
      <c r="ET167" s="22">
        <f>+VLOOKUP($BD167,'Oct-25'!$A:$J,10,0)</f>
        <v>0</v>
      </c>
      <c r="EU167" s="22">
        <f>+VLOOKUP($BD167,'Nov-25'!$A:$J,10,0)</f>
        <v>0</v>
      </c>
      <c r="EV167" s="22">
        <f>+VLOOKUP($BD167,'Dec-25'!$A:$J,10,0)</f>
        <v>0</v>
      </c>
      <c r="EW167" s="22">
        <f t="shared" si="1948"/>
        <v>0</v>
      </c>
      <c r="EX167" s="118" t="e">
        <f t="shared" si="1878"/>
        <v>#DIV/0!</v>
      </c>
      <c r="EY167" s="106">
        <f>+_xlfn.XLOOKUP($EJ167,Budget!$A:$A,Budget!DR:DR)</f>
        <v>0</v>
      </c>
      <c r="EZ167" s="106">
        <f>+_xlfn.XLOOKUP($EJ167,Budget!$A:$A,Budget!DS:DS)</f>
        <v>0</v>
      </c>
      <c r="FA167" s="106">
        <f>+_xlfn.XLOOKUP($EJ167,Budget!$A:$A,Budget!DT:DT)</f>
        <v>0</v>
      </c>
      <c r="FB167" s="106">
        <f>+_xlfn.XLOOKUP($EJ167,Budget!$A:$A,Budget!DU:DU)</f>
        <v>0</v>
      </c>
      <c r="FC167" s="106">
        <f>+_xlfn.XLOOKUP($EJ167,Budget!$A:$A,Budget!DV:DV)</f>
        <v>0</v>
      </c>
      <c r="FD167" s="106">
        <f>+_xlfn.XLOOKUP($EJ167,Budget!$A:$A,Budget!DW:DW)</f>
        <v>0</v>
      </c>
      <c r="FE167" s="106">
        <f>+_xlfn.XLOOKUP($EJ167,Budget!$A:$A,Budget!DX:DX)</f>
        <v>0</v>
      </c>
      <c r="FF167" s="106">
        <f>+_xlfn.XLOOKUP($EJ167,Budget!$A:$A,Budget!DY:DY)</f>
        <v>0</v>
      </c>
      <c r="FG167" s="106">
        <f>+_xlfn.XLOOKUP($EJ167,Budget!$A:$A,Budget!DZ:DZ)</f>
        <v>0</v>
      </c>
      <c r="FH167" s="106">
        <f>+_xlfn.XLOOKUP($EJ167,Budget!$A:$A,Budget!EA:EA)</f>
        <v>0</v>
      </c>
      <c r="FI167" s="106">
        <f>+_xlfn.XLOOKUP($EJ167,Budget!$A:$A,Budget!EB:EB)</f>
        <v>0</v>
      </c>
      <c r="FJ167" s="106">
        <f>+_xlfn.XLOOKUP($EJ167,Budget!$A:$A,Budget!EC:EC)</f>
        <v>0</v>
      </c>
      <c r="FK167" s="106">
        <f t="shared" si="1949"/>
        <v>0</v>
      </c>
    </row>
    <row r="168" spans="1:167" ht="14.45" hidden="1" customHeight="1" outlineLevel="2">
      <c r="A168" s="106">
        <f t="shared" si="1913"/>
        <v>0</v>
      </c>
      <c r="B168" s="106">
        <f t="shared" si="1913"/>
        <v>0</v>
      </c>
      <c r="C168" s="106">
        <f t="shared" si="1913"/>
        <v>0</v>
      </c>
      <c r="D168" s="106">
        <f t="shared" si="1913"/>
        <v>0</v>
      </c>
      <c r="E168" s="106">
        <f t="shared" si="1913"/>
        <v>0</v>
      </c>
      <c r="F168" s="106">
        <f t="shared" si="1913"/>
        <v>0</v>
      </c>
      <c r="G168" s="106">
        <f t="shared" si="1913"/>
        <v>0</v>
      </c>
      <c r="H168" s="106">
        <f t="shared" si="1913"/>
        <v>0</v>
      </c>
      <c r="I168" s="106">
        <f t="shared" si="1913"/>
        <v>0</v>
      </c>
      <c r="J168" s="106">
        <f t="shared" si="1913"/>
        <v>0</v>
      </c>
      <c r="K168" s="106">
        <f t="shared" si="1913"/>
        <v>0</v>
      </c>
      <c r="L168" s="106">
        <f t="shared" si="1913"/>
        <v>2000</v>
      </c>
      <c r="M168" s="106">
        <f t="shared" si="1914"/>
        <v>2000</v>
      </c>
      <c r="N168" s="16" t="s">
        <v>140</v>
      </c>
      <c r="O168" s="106">
        <f t="shared" si="1915"/>
        <v>0</v>
      </c>
      <c r="P168" s="106">
        <f t="shared" si="1916"/>
        <v>0</v>
      </c>
      <c r="Q168" s="106">
        <f t="shared" si="1917"/>
        <v>0</v>
      </c>
      <c r="R168" s="106">
        <f t="shared" si="1918"/>
        <v>0</v>
      </c>
      <c r="S168" s="106">
        <f t="shared" si="1919"/>
        <v>0</v>
      </c>
      <c r="T168" s="106">
        <f t="shared" si="1920"/>
        <v>0</v>
      </c>
      <c r="U168" s="106">
        <f t="shared" si="1921"/>
        <v>0</v>
      </c>
      <c r="V168" s="106">
        <f t="shared" si="1922"/>
        <v>0</v>
      </c>
      <c r="W168" s="106">
        <f t="shared" si="1923"/>
        <v>0</v>
      </c>
      <c r="X168" s="106">
        <f t="shared" si="1924"/>
        <v>0</v>
      </c>
      <c r="Y168" s="106">
        <f t="shared" si="1925"/>
        <v>0</v>
      </c>
      <c r="Z168" s="106">
        <f t="shared" si="1926"/>
        <v>0</v>
      </c>
      <c r="AA168" s="106">
        <f t="shared" si="1927"/>
        <v>0</v>
      </c>
      <c r="AB168" s="118">
        <f t="shared" si="1854"/>
        <v>0</v>
      </c>
      <c r="AC168" s="106">
        <f t="shared" si="1928"/>
        <v>0</v>
      </c>
      <c r="AD168" s="106">
        <f t="shared" si="1929"/>
        <v>0</v>
      </c>
      <c r="AE168" s="106">
        <f t="shared" si="1930"/>
        <v>0</v>
      </c>
      <c r="AF168" s="106">
        <f t="shared" si="1931"/>
        <v>0</v>
      </c>
      <c r="AG168" s="106">
        <f t="shared" si="1932"/>
        <v>0</v>
      </c>
      <c r="AH168" s="106">
        <f t="shared" si="1933"/>
        <v>0</v>
      </c>
      <c r="AI168" s="106">
        <f t="shared" si="1934"/>
        <v>0</v>
      </c>
      <c r="AJ168" s="106">
        <f t="shared" si="1935"/>
        <v>0</v>
      </c>
      <c r="AK168" s="106">
        <f t="shared" si="1936"/>
        <v>0</v>
      </c>
      <c r="AL168" s="106">
        <f t="shared" si="1937"/>
        <v>0</v>
      </c>
      <c r="AM168" s="106">
        <f t="shared" si="1938"/>
        <v>0</v>
      </c>
      <c r="AN168" s="106">
        <f t="shared" si="1939"/>
        <v>0</v>
      </c>
      <c r="AO168" s="106">
        <f t="shared" si="1940"/>
        <v>0</v>
      </c>
      <c r="AQ168" s="106">
        <v>0</v>
      </c>
      <c r="AR168" s="106">
        <v>0</v>
      </c>
      <c r="AS168" s="106">
        <v>0</v>
      </c>
      <c r="AT168" s="106">
        <v>0</v>
      </c>
      <c r="AU168" s="106">
        <v>0</v>
      </c>
      <c r="AV168" s="106">
        <v>0</v>
      </c>
      <c r="AW168" s="106">
        <v>0</v>
      </c>
      <c r="AX168" s="106">
        <v>0</v>
      </c>
      <c r="AY168" s="106">
        <v>0</v>
      </c>
      <c r="AZ168" s="106">
        <v>0</v>
      </c>
      <c r="BA168" s="106">
        <v>0</v>
      </c>
      <c r="BB168" s="106">
        <v>0</v>
      </c>
      <c r="BC168" s="106">
        <f t="shared" si="1941"/>
        <v>0</v>
      </c>
      <c r="BD168" s="16" t="str">
        <f t="shared" si="1410"/>
        <v>Repair and Maintenance - Courtesy Car</v>
      </c>
      <c r="BE168" s="106">
        <f>+VLOOKUP($BD168,'Jan-25'!$A:$J,5,0)</f>
        <v>0</v>
      </c>
      <c r="BF168" s="106">
        <f>+VLOOKUP($BD168,'Feb-25'!$A:$J,5,0)</f>
        <v>0</v>
      </c>
      <c r="BG168" s="106">
        <f>+VLOOKUP($BD168,'Mar-25'!$A:$J,5,0)</f>
        <v>0</v>
      </c>
      <c r="BH168" s="106">
        <f>+VLOOKUP($BD168,'Apr-25'!$A:$J,5,0)</f>
        <v>0</v>
      </c>
      <c r="BI168" s="106">
        <f>+VLOOKUP($BD168,'May-25'!$A:$J,5,0)</f>
        <v>0</v>
      </c>
      <c r="BJ168" s="106">
        <f>+VLOOKUP($BD168,'June-25'!$A:$J,5,0)</f>
        <v>0</v>
      </c>
      <c r="BK168" s="106">
        <f>+VLOOKUP($BD168,'July-25'!$A:$J,5,0)</f>
        <v>0</v>
      </c>
      <c r="BL168" s="106">
        <f>+VLOOKUP($BD168,'Aug-25'!$A:$J,5,0)</f>
        <v>0</v>
      </c>
      <c r="BM168" s="106">
        <f>+VLOOKUP($BD168,'Sep-25'!$A:$J,5,0)</f>
        <v>0</v>
      </c>
      <c r="BN168" s="106">
        <f>+VLOOKUP($BD168,'Oct-25'!$A:$J,5,0)</f>
        <v>0</v>
      </c>
      <c r="BO168" s="106">
        <f>+VLOOKUP($BD168,'Nov-25'!$A:$J,5,0)</f>
        <v>0</v>
      </c>
      <c r="BP168" s="106">
        <f>+VLOOKUP($BD168,'Dec-25'!$A:$J,5,0)</f>
        <v>0</v>
      </c>
      <c r="BQ168" s="106">
        <f t="shared" si="1942"/>
        <v>0</v>
      </c>
      <c r="BR168" s="118">
        <f t="shared" si="1870"/>
        <v>0</v>
      </c>
      <c r="BS168" s="106">
        <f>+_xlfn.XLOOKUP($BD168,Budget!$A:$A,Budget!BD:BD)</f>
        <v>0</v>
      </c>
      <c r="BT168" s="106">
        <f>+_xlfn.XLOOKUP($BD168,Budget!$A:$A,Budget!BE:BE)</f>
        <v>0</v>
      </c>
      <c r="BU168" s="106">
        <f>+_xlfn.XLOOKUP($BD168,Budget!$A:$A,Budget!BF:BF)</f>
        <v>0</v>
      </c>
      <c r="BV168" s="106">
        <f>+_xlfn.XLOOKUP($BD168,Budget!$A:$A,Budget!BG:BG)</f>
        <v>0</v>
      </c>
      <c r="BW168" s="106">
        <f>+_xlfn.XLOOKUP($BD168,Budget!$A:$A,Budget!BH:BH)</f>
        <v>0</v>
      </c>
      <c r="BX168" s="106">
        <f>+_xlfn.XLOOKUP($BD168,Budget!$A:$A,Budget!BI:BI)</f>
        <v>0</v>
      </c>
      <c r="BY168" s="106">
        <f>+_xlfn.XLOOKUP($BD168,Budget!$A:$A,Budget!BJ:BJ)</f>
        <v>0</v>
      </c>
      <c r="BZ168" s="106">
        <f>+_xlfn.XLOOKUP($BD168,Budget!$A:$A,Budget!BK:BK)</f>
        <v>0</v>
      </c>
      <c r="CA168" s="106">
        <f>+_xlfn.XLOOKUP($BD168,Budget!$A:$A,Budget!BL:BL)</f>
        <v>0</v>
      </c>
      <c r="CB168" s="106">
        <f>+_xlfn.XLOOKUP($BD168,Budget!$A:$A,Budget!BM:BM)</f>
        <v>0</v>
      </c>
      <c r="CC168" s="106">
        <f>+_xlfn.XLOOKUP($BD168,Budget!$A:$A,Budget!BN:BN)</f>
        <v>0</v>
      </c>
      <c r="CD168" s="106">
        <f>+_xlfn.XLOOKUP($BD168,Budget!$A:$A,Budget!BO:BO)</f>
        <v>0</v>
      </c>
      <c r="CE168" s="106">
        <f t="shared" si="1943"/>
        <v>0</v>
      </c>
      <c r="CF168" s="106"/>
      <c r="CG168" s="106">
        <v>0</v>
      </c>
      <c r="CH168" s="106">
        <v>0</v>
      </c>
      <c r="CI168" s="106">
        <v>0</v>
      </c>
      <c r="CJ168" s="106">
        <v>0</v>
      </c>
      <c r="CK168" s="106">
        <v>0</v>
      </c>
      <c r="CL168" s="106">
        <v>0</v>
      </c>
      <c r="CM168" s="106">
        <v>0</v>
      </c>
      <c r="CN168" s="106">
        <v>0</v>
      </c>
      <c r="CO168" s="106">
        <v>0</v>
      </c>
      <c r="CP168" s="106">
        <v>0</v>
      </c>
      <c r="CQ168" s="106">
        <v>0</v>
      </c>
      <c r="CR168" s="106">
        <v>2000</v>
      </c>
      <c r="CS168" s="106">
        <f t="shared" si="1944"/>
        <v>2000</v>
      </c>
      <c r="CT168" s="16" t="str">
        <f t="shared" si="1411"/>
        <v>Repair and Maintenance - Courtesy Car</v>
      </c>
      <c r="CU168" s="106">
        <f>+VLOOKUP($BD168,'Jan-25'!$A:$J,8,0)</f>
        <v>0</v>
      </c>
      <c r="CV168" s="106">
        <f>+VLOOKUP($BD168,'Feb-25'!$A:$J,8,0)</f>
        <v>0</v>
      </c>
      <c r="CW168" s="106">
        <f>+VLOOKUP($BD168,'Mar-25'!$A:$J,8,0)</f>
        <v>0</v>
      </c>
      <c r="CX168" s="106">
        <f>+VLOOKUP($BD168,'Apr-25'!$A:$J,8,0)</f>
        <v>0</v>
      </c>
      <c r="CY168" s="106">
        <f>+VLOOKUP($BD168,'May-25'!$A:$J,8,0)</f>
        <v>0</v>
      </c>
      <c r="CZ168" s="106">
        <f>+VLOOKUP($BD168,'June-25'!$A:$J,8,0)</f>
        <v>0</v>
      </c>
      <c r="DA168" s="106">
        <f>+VLOOKUP($BD168,'July-25'!$A:$J,8,0)</f>
        <v>0</v>
      </c>
      <c r="DB168" s="106">
        <f>+VLOOKUP($BD168,'Aug-25'!$A:$J,8,0)</f>
        <v>0</v>
      </c>
      <c r="DC168" s="106">
        <f>+VLOOKUP($BD168,'Sep-25'!$A:$J,8,0)</f>
        <v>0</v>
      </c>
      <c r="DD168" s="106">
        <f>+VLOOKUP($BD168,'Oct-25'!$A:$J,8,0)</f>
        <v>0</v>
      </c>
      <c r="DE168" s="106">
        <f>+VLOOKUP($BD168,'Nov-25'!$A:$J,8,0)</f>
        <v>0</v>
      </c>
      <c r="DF168" s="106">
        <f>+VLOOKUP($BD168,'Dec-25'!$A:$J,8,0)</f>
        <v>0</v>
      </c>
      <c r="DG168" s="106">
        <f t="shared" si="1945"/>
        <v>0</v>
      </c>
      <c r="DH168" s="118">
        <f t="shared" si="1874"/>
        <v>0</v>
      </c>
      <c r="DI168" s="106">
        <f>+_xlfn.XLOOKUP($CT168,Budget!$A:$A,Budget!CQ:CQ)</f>
        <v>0</v>
      </c>
      <c r="DJ168" s="106">
        <f>+_xlfn.XLOOKUP($CT168,Budget!$A:$A,Budget!CR:CR)</f>
        <v>0</v>
      </c>
      <c r="DK168" s="106">
        <f>+_xlfn.XLOOKUP($CT168,Budget!$A:$A,Budget!CS:CS)</f>
        <v>0</v>
      </c>
      <c r="DL168" s="106">
        <f>+_xlfn.XLOOKUP($CT168,Budget!$A:$A,Budget!CT:CT)</f>
        <v>0</v>
      </c>
      <c r="DM168" s="106">
        <f>+_xlfn.XLOOKUP($CT168,Budget!$A:$A,Budget!CU:CU)</f>
        <v>0</v>
      </c>
      <c r="DN168" s="106">
        <f>+_xlfn.XLOOKUP($CT168,Budget!$A:$A,Budget!CV:CV)</f>
        <v>0</v>
      </c>
      <c r="DO168" s="106">
        <f>+_xlfn.XLOOKUP($CT168,Budget!$A:$A,Budget!CW:CW)</f>
        <v>0</v>
      </c>
      <c r="DP168" s="106">
        <f>+_xlfn.XLOOKUP($CT168,Budget!$A:$A,Budget!CX:CX)</f>
        <v>0</v>
      </c>
      <c r="DQ168" s="106">
        <f>+_xlfn.XLOOKUP($CT168,Budget!$A:$A,Budget!CY:CY)</f>
        <v>0</v>
      </c>
      <c r="DR168" s="106">
        <f>+_xlfn.XLOOKUP($CT168,Budget!$A:$A,Budget!CZ:CZ)</f>
        <v>0</v>
      </c>
      <c r="DS168" s="106">
        <f>+_xlfn.XLOOKUP($CT168,Budget!$A:$A,Budget!DA:DA)</f>
        <v>0</v>
      </c>
      <c r="DT168" s="106">
        <f>+_xlfn.XLOOKUP($CT168,Budget!$A:$A,Budget!DB:DB)</f>
        <v>0</v>
      </c>
      <c r="DU168" s="106">
        <f t="shared" si="1946"/>
        <v>0</v>
      </c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106">
        <f t="shared" si="1947"/>
        <v>0</v>
      </c>
      <c r="EJ168" s="16" t="str">
        <f t="shared" si="1555"/>
        <v>Repair and Maintenance - Courtesy Car</v>
      </c>
      <c r="EK168" s="22">
        <f>+VLOOKUP($BD168,'Jan-25'!$A:$J,10,0)</f>
        <v>0</v>
      </c>
      <c r="EL168" s="22">
        <f>+VLOOKUP($BD168,'Feb-25'!$A:$J,10,0)</f>
        <v>0</v>
      </c>
      <c r="EM168" s="22">
        <f>+VLOOKUP($BD168,'Mar-25'!$A:$J,10,0)</f>
        <v>0</v>
      </c>
      <c r="EN168" s="22">
        <f>+VLOOKUP($BD168,'Apr-25'!$A:$J,10,0)</f>
        <v>0</v>
      </c>
      <c r="EO168" s="22">
        <f>+VLOOKUP($BD168,'May-25'!$A:$J,10,0)</f>
        <v>0</v>
      </c>
      <c r="EP168" s="22">
        <f>+VLOOKUP($BD168,'June-25'!$A:$J,10,0)</f>
        <v>0</v>
      </c>
      <c r="EQ168" s="22">
        <f>+VLOOKUP($BD168,'July-25'!$A:$J,10,0)</f>
        <v>0</v>
      </c>
      <c r="ER168" s="22">
        <f>+VLOOKUP($BD168,'Aug-25'!$A:$J,10,0)</f>
        <v>0</v>
      </c>
      <c r="ES168" s="22">
        <f>+VLOOKUP($BD168,'Sep-25'!$A:$J,10,0)</f>
        <v>0</v>
      </c>
      <c r="ET168" s="22">
        <f>+VLOOKUP($BD168,'Oct-25'!$A:$J,10,0)</f>
        <v>0</v>
      </c>
      <c r="EU168" s="22">
        <f>+VLOOKUP($BD168,'Nov-25'!$A:$J,10,0)</f>
        <v>0</v>
      </c>
      <c r="EV168" s="22">
        <f>+VLOOKUP($BD168,'Dec-25'!$A:$J,10,0)</f>
        <v>0</v>
      </c>
      <c r="EW168" s="22">
        <f t="shared" si="1948"/>
        <v>0</v>
      </c>
      <c r="EX168" s="118" t="e">
        <f t="shared" si="1878"/>
        <v>#DIV/0!</v>
      </c>
      <c r="EY168" s="106">
        <f>+_xlfn.XLOOKUP($EJ168,Budget!$A:$A,Budget!DR:DR)</f>
        <v>0</v>
      </c>
      <c r="EZ168" s="106">
        <f>+_xlfn.XLOOKUP($EJ168,Budget!$A:$A,Budget!DS:DS)</f>
        <v>0</v>
      </c>
      <c r="FA168" s="106">
        <f>+_xlfn.XLOOKUP($EJ168,Budget!$A:$A,Budget!DT:DT)</f>
        <v>0</v>
      </c>
      <c r="FB168" s="106">
        <f>+_xlfn.XLOOKUP($EJ168,Budget!$A:$A,Budget!DU:DU)</f>
        <v>0</v>
      </c>
      <c r="FC168" s="106">
        <f>+_xlfn.XLOOKUP($EJ168,Budget!$A:$A,Budget!DV:DV)</f>
        <v>0</v>
      </c>
      <c r="FD168" s="106">
        <f>+_xlfn.XLOOKUP($EJ168,Budget!$A:$A,Budget!DW:DW)</f>
        <v>0</v>
      </c>
      <c r="FE168" s="106">
        <f>+_xlfn.XLOOKUP($EJ168,Budget!$A:$A,Budget!DX:DX)</f>
        <v>0</v>
      </c>
      <c r="FF168" s="106">
        <f>+_xlfn.XLOOKUP($EJ168,Budget!$A:$A,Budget!DY:DY)</f>
        <v>0</v>
      </c>
      <c r="FG168" s="106">
        <f>+_xlfn.XLOOKUP($EJ168,Budget!$A:$A,Budget!DZ:DZ)</f>
        <v>0</v>
      </c>
      <c r="FH168" s="106">
        <f>+_xlfn.XLOOKUP($EJ168,Budget!$A:$A,Budget!EA:EA)</f>
        <v>0</v>
      </c>
      <c r="FI168" s="106">
        <f>+_xlfn.XLOOKUP($EJ168,Budget!$A:$A,Budget!EB:EB)</f>
        <v>0</v>
      </c>
      <c r="FJ168" s="106">
        <f>+_xlfn.XLOOKUP($EJ168,Budget!$A:$A,Budget!EC:EC)</f>
        <v>0</v>
      </c>
      <c r="FK168" s="106">
        <f t="shared" si="1949"/>
        <v>0</v>
      </c>
    </row>
    <row r="169" spans="1:167" ht="14.45" hidden="1" customHeight="1" outlineLevel="2">
      <c r="A169" s="106">
        <f t="shared" si="1913"/>
        <v>0</v>
      </c>
      <c r="B169" s="106">
        <f t="shared" si="1913"/>
        <v>0</v>
      </c>
      <c r="C169" s="106">
        <f t="shared" si="1913"/>
        <v>0</v>
      </c>
      <c r="D169" s="106">
        <f t="shared" si="1913"/>
        <v>0</v>
      </c>
      <c r="E169" s="106">
        <f t="shared" si="1913"/>
        <v>0</v>
      </c>
      <c r="F169" s="106">
        <f t="shared" si="1913"/>
        <v>0</v>
      </c>
      <c r="G169" s="106">
        <f t="shared" si="1913"/>
        <v>0</v>
      </c>
      <c r="H169" s="106">
        <f t="shared" si="1913"/>
        <v>0</v>
      </c>
      <c r="I169" s="106">
        <f t="shared" si="1913"/>
        <v>0</v>
      </c>
      <c r="J169" s="106">
        <f t="shared" si="1913"/>
        <v>0</v>
      </c>
      <c r="K169" s="106">
        <f t="shared" si="1913"/>
        <v>0</v>
      </c>
      <c r="L169" s="106">
        <f t="shared" si="1913"/>
        <v>0</v>
      </c>
      <c r="M169" s="106">
        <f t="shared" si="1914"/>
        <v>0</v>
      </c>
      <c r="N169" s="16" t="s">
        <v>141</v>
      </c>
      <c r="O169" s="106">
        <f t="shared" si="1915"/>
        <v>0</v>
      </c>
      <c r="P169" s="106">
        <f t="shared" si="1916"/>
        <v>0</v>
      </c>
      <c r="Q169" s="106">
        <f t="shared" si="1917"/>
        <v>0</v>
      </c>
      <c r="R169" s="106">
        <f t="shared" si="1918"/>
        <v>0</v>
      </c>
      <c r="S169" s="106">
        <f t="shared" si="1919"/>
        <v>0</v>
      </c>
      <c r="T169" s="106">
        <f t="shared" si="1920"/>
        <v>0</v>
      </c>
      <c r="U169" s="106">
        <f t="shared" si="1921"/>
        <v>0</v>
      </c>
      <c r="V169" s="106">
        <f t="shared" si="1922"/>
        <v>0</v>
      </c>
      <c r="W169" s="106">
        <f t="shared" si="1923"/>
        <v>0</v>
      </c>
      <c r="X169" s="106">
        <f t="shared" si="1924"/>
        <v>0</v>
      </c>
      <c r="Y169" s="106">
        <f t="shared" si="1925"/>
        <v>0</v>
      </c>
      <c r="Z169" s="106">
        <f t="shared" si="1926"/>
        <v>0</v>
      </c>
      <c r="AA169" s="106">
        <f t="shared" si="1927"/>
        <v>0</v>
      </c>
      <c r="AB169" s="118">
        <f t="shared" si="1854"/>
        <v>0</v>
      </c>
      <c r="AC169" s="106">
        <f t="shared" si="1928"/>
        <v>0</v>
      </c>
      <c r="AD169" s="106">
        <f t="shared" si="1929"/>
        <v>0</v>
      </c>
      <c r="AE169" s="106">
        <f t="shared" si="1930"/>
        <v>0</v>
      </c>
      <c r="AF169" s="106">
        <f t="shared" si="1931"/>
        <v>0</v>
      </c>
      <c r="AG169" s="106">
        <f t="shared" si="1932"/>
        <v>0</v>
      </c>
      <c r="AH169" s="106">
        <f t="shared" si="1933"/>
        <v>0</v>
      </c>
      <c r="AI169" s="106">
        <f t="shared" si="1934"/>
        <v>0</v>
      </c>
      <c r="AJ169" s="106">
        <f t="shared" si="1935"/>
        <v>0</v>
      </c>
      <c r="AK169" s="106">
        <f t="shared" si="1936"/>
        <v>0</v>
      </c>
      <c r="AL169" s="106">
        <f t="shared" si="1937"/>
        <v>0</v>
      </c>
      <c r="AM169" s="106">
        <f t="shared" si="1938"/>
        <v>0</v>
      </c>
      <c r="AN169" s="106">
        <f t="shared" si="1939"/>
        <v>0</v>
      </c>
      <c r="AO169" s="106">
        <f t="shared" si="1940"/>
        <v>0</v>
      </c>
      <c r="AQ169" s="106">
        <v>0</v>
      </c>
      <c r="AR169" s="106">
        <v>0</v>
      </c>
      <c r="AS169" s="106">
        <v>0</v>
      </c>
      <c r="AT169" s="106">
        <v>0</v>
      </c>
      <c r="AU169" s="106">
        <v>0</v>
      </c>
      <c r="AV169" s="106">
        <v>0</v>
      </c>
      <c r="AW169" s="106">
        <v>0</v>
      </c>
      <c r="AX169" s="106">
        <v>0</v>
      </c>
      <c r="AY169" s="106">
        <v>0</v>
      </c>
      <c r="AZ169" s="106">
        <v>0</v>
      </c>
      <c r="BA169" s="106">
        <v>0</v>
      </c>
      <c r="BB169" s="106">
        <v>0</v>
      </c>
      <c r="BC169" s="106">
        <f t="shared" si="1941"/>
        <v>0</v>
      </c>
      <c r="BD169" s="16" t="str">
        <f t="shared" si="1410"/>
        <v>Repair and Maintenance - Flatbed</v>
      </c>
      <c r="BE169" s="106">
        <f>+VLOOKUP($BD169,'Jan-25'!$A:$J,5,0)</f>
        <v>0</v>
      </c>
      <c r="BF169" s="106">
        <f>+VLOOKUP($BD169,'Feb-25'!$A:$J,5,0)</f>
        <v>0</v>
      </c>
      <c r="BG169" s="106">
        <f>+VLOOKUP($BD169,'Mar-25'!$A:$J,5,0)</f>
        <v>0</v>
      </c>
      <c r="BH169" s="106">
        <f>+VLOOKUP($BD169,'Apr-25'!$A:$J,5,0)</f>
        <v>0</v>
      </c>
      <c r="BI169" s="106">
        <f>+VLOOKUP($BD169,'May-25'!$A:$J,5,0)</f>
        <v>0</v>
      </c>
      <c r="BJ169" s="106">
        <f>+VLOOKUP($BD169,'June-25'!$A:$J,5,0)</f>
        <v>0</v>
      </c>
      <c r="BK169" s="106">
        <f>+VLOOKUP($BD169,'July-25'!$A:$J,5,0)</f>
        <v>0</v>
      </c>
      <c r="BL169" s="106">
        <f>+VLOOKUP($BD169,'Aug-25'!$A:$J,5,0)</f>
        <v>0</v>
      </c>
      <c r="BM169" s="106">
        <f>+VLOOKUP($BD169,'Sep-25'!$A:$J,5,0)</f>
        <v>0</v>
      </c>
      <c r="BN169" s="106">
        <f>+VLOOKUP($BD169,'Oct-25'!$A:$J,5,0)</f>
        <v>0</v>
      </c>
      <c r="BO169" s="106">
        <f>+VLOOKUP($BD169,'Nov-25'!$A:$J,5,0)</f>
        <v>0</v>
      </c>
      <c r="BP169" s="106">
        <f>+VLOOKUP($BD169,'Dec-25'!$A:$J,5,0)</f>
        <v>0</v>
      </c>
      <c r="BQ169" s="106">
        <f t="shared" si="1942"/>
        <v>0</v>
      </c>
      <c r="BR169" s="118">
        <f t="shared" si="1870"/>
        <v>0</v>
      </c>
      <c r="BS169" s="106">
        <f>+_xlfn.XLOOKUP($BD169,Budget!$A:$A,Budget!BD:BD)</f>
        <v>0</v>
      </c>
      <c r="BT169" s="106">
        <f>+_xlfn.XLOOKUP($BD169,Budget!$A:$A,Budget!BE:BE)</f>
        <v>0</v>
      </c>
      <c r="BU169" s="106">
        <f>+_xlfn.XLOOKUP($BD169,Budget!$A:$A,Budget!BF:BF)</f>
        <v>0</v>
      </c>
      <c r="BV169" s="106">
        <f>+_xlfn.XLOOKUP($BD169,Budget!$A:$A,Budget!BG:BG)</f>
        <v>0</v>
      </c>
      <c r="BW169" s="106">
        <f>+_xlfn.XLOOKUP($BD169,Budget!$A:$A,Budget!BH:BH)</f>
        <v>0</v>
      </c>
      <c r="BX169" s="106">
        <f>+_xlfn.XLOOKUP($BD169,Budget!$A:$A,Budget!BI:BI)</f>
        <v>0</v>
      </c>
      <c r="BY169" s="106">
        <f>+_xlfn.XLOOKUP($BD169,Budget!$A:$A,Budget!BJ:BJ)</f>
        <v>0</v>
      </c>
      <c r="BZ169" s="106">
        <f>+_xlfn.XLOOKUP($BD169,Budget!$A:$A,Budget!BK:BK)</f>
        <v>0</v>
      </c>
      <c r="CA169" s="106">
        <f>+_xlfn.XLOOKUP($BD169,Budget!$A:$A,Budget!BL:BL)</f>
        <v>0</v>
      </c>
      <c r="CB169" s="106">
        <f>+_xlfn.XLOOKUP($BD169,Budget!$A:$A,Budget!BM:BM)</f>
        <v>0</v>
      </c>
      <c r="CC169" s="106">
        <f>+_xlfn.XLOOKUP($BD169,Budget!$A:$A,Budget!BN:BN)</f>
        <v>0</v>
      </c>
      <c r="CD169" s="106">
        <f>+_xlfn.XLOOKUP($BD169,Budget!$A:$A,Budget!BO:BO)</f>
        <v>0</v>
      </c>
      <c r="CE169" s="106">
        <f t="shared" si="1943"/>
        <v>0</v>
      </c>
      <c r="CF169" s="106"/>
      <c r="CG169" s="106">
        <v>0</v>
      </c>
      <c r="CH169" s="106">
        <v>0</v>
      </c>
      <c r="CI169" s="106">
        <v>0</v>
      </c>
      <c r="CJ169" s="106">
        <v>0</v>
      </c>
      <c r="CK169" s="106">
        <v>0</v>
      </c>
      <c r="CL169" s="106">
        <v>0</v>
      </c>
      <c r="CM169" s="106">
        <v>0</v>
      </c>
      <c r="CN169" s="106">
        <v>0</v>
      </c>
      <c r="CO169" s="106">
        <v>0</v>
      </c>
      <c r="CP169" s="106">
        <v>0</v>
      </c>
      <c r="CQ169" s="106">
        <v>0</v>
      </c>
      <c r="CR169" s="106">
        <v>0</v>
      </c>
      <c r="CS169" s="106">
        <f t="shared" si="1944"/>
        <v>0</v>
      </c>
      <c r="CT169" s="16" t="str">
        <f t="shared" si="1411"/>
        <v>Repair and Maintenance - Flatbed</v>
      </c>
      <c r="CU169" s="106">
        <f>+VLOOKUP($BD169,'Jan-25'!$A:$J,8,0)</f>
        <v>0</v>
      </c>
      <c r="CV169" s="106">
        <f>+VLOOKUP($BD169,'Feb-25'!$A:$J,8,0)</f>
        <v>0</v>
      </c>
      <c r="CW169" s="106">
        <f>+VLOOKUP($BD169,'Mar-25'!$A:$J,8,0)</f>
        <v>0</v>
      </c>
      <c r="CX169" s="106">
        <f>+VLOOKUP($BD169,'Apr-25'!$A:$J,8,0)</f>
        <v>0</v>
      </c>
      <c r="CY169" s="106">
        <f>+VLOOKUP($BD169,'May-25'!$A:$J,8,0)</f>
        <v>0</v>
      </c>
      <c r="CZ169" s="106">
        <f>+VLOOKUP($BD169,'June-25'!$A:$J,8,0)</f>
        <v>0</v>
      </c>
      <c r="DA169" s="106">
        <f>+VLOOKUP($BD169,'July-25'!$A:$J,8,0)</f>
        <v>0</v>
      </c>
      <c r="DB169" s="106">
        <f>+VLOOKUP($BD169,'Aug-25'!$A:$J,8,0)</f>
        <v>0</v>
      </c>
      <c r="DC169" s="106">
        <f>+VLOOKUP($BD169,'Sep-25'!$A:$J,8,0)</f>
        <v>0</v>
      </c>
      <c r="DD169" s="106">
        <f>+VLOOKUP($BD169,'Oct-25'!$A:$J,8,0)</f>
        <v>0</v>
      </c>
      <c r="DE169" s="106">
        <f>+VLOOKUP($BD169,'Nov-25'!$A:$J,8,0)</f>
        <v>0</v>
      </c>
      <c r="DF169" s="106">
        <f>+VLOOKUP($BD169,'Dec-25'!$A:$J,8,0)</f>
        <v>0</v>
      </c>
      <c r="DG169" s="106">
        <f t="shared" si="1945"/>
        <v>0</v>
      </c>
      <c r="DH169" s="118">
        <f t="shared" si="1874"/>
        <v>0</v>
      </c>
      <c r="DI169" s="106">
        <f>+_xlfn.XLOOKUP($CT169,Budget!$A:$A,Budget!CQ:CQ)</f>
        <v>0</v>
      </c>
      <c r="DJ169" s="106">
        <f>+_xlfn.XLOOKUP($CT169,Budget!$A:$A,Budget!CR:CR)</f>
        <v>0</v>
      </c>
      <c r="DK169" s="106">
        <f>+_xlfn.XLOOKUP($CT169,Budget!$A:$A,Budget!CS:CS)</f>
        <v>0</v>
      </c>
      <c r="DL169" s="106">
        <f>+_xlfn.XLOOKUP($CT169,Budget!$A:$A,Budget!CT:CT)</f>
        <v>0</v>
      </c>
      <c r="DM169" s="106">
        <f>+_xlfn.XLOOKUP($CT169,Budget!$A:$A,Budget!CU:CU)</f>
        <v>0</v>
      </c>
      <c r="DN169" s="106">
        <f>+_xlfn.XLOOKUP($CT169,Budget!$A:$A,Budget!CV:CV)</f>
        <v>0</v>
      </c>
      <c r="DO169" s="106">
        <f>+_xlfn.XLOOKUP($CT169,Budget!$A:$A,Budget!CW:CW)</f>
        <v>0</v>
      </c>
      <c r="DP169" s="106">
        <f>+_xlfn.XLOOKUP($CT169,Budget!$A:$A,Budget!CX:CX)</f>
        <v>0</v>
      </c>
      <c r="DQ169" s="106">
        <f>+_xlfn.XLOOKUP($CT169,Budget!$A:$A,Budget!CY:CY)</f>
        <v>0</v>
      </c>
      <c r="DR169" s="106">
        <f>+_xlfn.XLOOKUP($CT169,Budget!$A:$A,Budget!CZ:CZ)</f>
        <v>0</v>
      </c>
      <c r="DS169" s="106">
        <f>+_xlfn.XLOOKUP($CT169,Budget!$A:$A,Budget!DA:DA)</f>
        <v>0</v>
      </c>
      <c r="DT169" s="106">
        <f>+_xlfn.XLOOKUP($CT169,Budget!$A:$A,Budget!DB:DB)</f>
        <v>0</v>
      </c>
      <c r="DU169" s="106">
        <f t="shared" si="1946"/>
        <v>0</v>
      </c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106">
        <f t="shared" si="1947"/>
        <v>0</v>
      </c>
      <c r="EJ169" s="16" t="str">
        <f t="shared" si="1555"/>
        <v>Repair and Maintenance - Flatbed</v>
      </c>
      <c r="EK169" s="22">
        <f>+VLOOKUP($BD169,'Jan-25'!$A:$J,10,0)</f>
        <v>0</v>
      </c>
      <c r="EL169" s="22">
        <f>+VLOOKUP($BD169,'Feb-25'!$A:$J,10,0)</f>
        <v>0</v>
      </c>
      <c r="EM169" s="22">
        <f>+VLOOKUP($BD169,'Mar-25'!$A:$J,10,0)</f>
        <v>0</v>
      </c>
      <c r="EN169" s="22">
        <f>+VLOOKUP($BD169,'Apr-25'!$A:$J,10,0)</f>
        <v>0</v>
      </c>
      <c r="EO169" s="22">
        <f>+VLOOKUP($BD169,'May-25'!$A:$J,10,0)</f>
        <v>0</v>
      </c>
      <c r="EP169" s="22">
        <f>+VLOOKUP($BD169,'June-25'!$A:$J,10,0)</f>
        <v>0</v>
      </c>
      <c r="EQ169" s="22">
        <f>+VLOOKUP($BD169,'July-25'!$A:$J,10,0)</f>
        <v>0</v>
      </c>
      <c r="ER169" s="22">
        <f>+VLOOKUP($BD169,'Aug-25'!$A:$J,10,0)</f>
        <v>0</v>
      </c>
      <c r="ES169" s="22">
        <f>+VLOOKUP($BD169,'Sep-25'!$A:$J,10,0)</f>
        <v>0</v>
      </c>
      <c r="ET169" s="22">
        <f>+VLOOKUP($BD169,'Oct-25'!$A:$J,10,0)</f>
        <v>0</v>
      </c>
      <c r="EU169" s="22">
        <f>+VLOOKUP($BD169,'Nov-25'!$A:$J,10,0)</f>
        <v>0</v>
      </c>
      <c r="EV169" s="22">
        <f>+VLOOKUP($BD169,'Dec-25'!$A:$J,10,0)</f>
        <v>0</v>
      </c>
      <c r="EW169" s="22">
        <f t="shared" si="1948"/>
        <v>0</v>
      </c>
      <c r="EX169" s="118" t="e">
        <f t="shared" si="1878"/>
        <v>#DIV/0!</v>
      </c>
      <c r="EY169" s="106">
        <f>+_xlfn.XLOOKUP($EJ169,Budget!$A:$A,Budget!DR:DR)</f>
        <v>0</v>
      </c>
      <c r="EZ169" s="106">
        <f>+_xlfn.XLOOKUP($EJ169,Budget!$A:$A,Budget!DS:DS)</f>
        <v>0</v>
      </c>
      <c r="FA169" s="106">
        <f>+_xlfn.XLOOKUP($EJ169,Budget!$A:$A,Budget!DT:DT)</f>
        <v>0</v>
      </c>
      <c r="FB169" s="106">
        <f>+_xlfn.XLOOKUP($EJ169,Budget!$A:$A,Budget!DU:DU)</f>
        <v>0</v>
      </c>
      <c r="FC169" s="106">
        <f>+_xlfn.XLOOKUP($EJ169,Budget!$A:$A,Budget!DV:DV)</f>
        <v>0</v>
      </c>
      <c r="FD169" s="106">
        <f>+_xlfn.XLOOKUP($EJ169,Budget!$A:$A,Budget!DW:DW)</f>
        <v>0</v>
      </c>
      <c r="FE169" s="106">
        <f>+_xlfn.XLOOKUP($EJ169,Budget!$A:$A,Budget!DX:DX)</f>
        <v>0</v>
      </c>
      <c r="FF169" s="106">
        <f>+_xlfn.XLOOKUP($EJ169,Budget!$A:$A,Budget!DY:DY)</f>
        <v>0</v>
      </c>
      <c r="FG169" s="106">
        <f>+_xlfn.XLOOKUP($EJ169,Budget!$A:$A,Budget!DZ:DZ)</f>
        <v>0</v>
      </c>
      <c r="FH169" s="106">
        <f>+_xlfn.XLOOKUP($EJ169,Budget!$A:$A,Budget!EA:EA)</f>
        <v>0</v>
      </c>
      <c r="FI169" s="106">
        <f>+_xlfn.XLOOKUP($EJ169,Budget!$A:$A,Budget!EB:EB)</f>
        <v>0</v>
      </c>
      <c r="FJ169" s="106">
        <f>+_xlfn.XLOOKUP($EJ169,Budget!$A:$A,Budget!EC:EC)</f>
        <v>0</v>
      </c>
      <c r="FK169" s="106">
        <f t="shared" si="1949"/>
        <v>0</v>
      </c>
    </row>
    <row r="170" spans="1:167" ht="14.45" hidden="1" customHeight="1" outlineLevel="2">
      <c r="A170" s="106">
        <f t="shared" si="1913"/>
        <v>0</v>
      </c>
      <c r="B170" s="106">
        <f t="shared" si="1913"/>
        <v>0</v>
      </c>
      <c r="C170" s="106">
        <f t="shared" si="1913"/>
        <v>0</v>
      </c>
      <c r="D170" s="106">
        <f t="shared" si="1913"/>
        <v>1484</v>
      </c>
      <c r="E170" s="106">
        <f t="shared" si="1913"/>
        <v>641.5956000000001</v>
      </c>
      <c r="F170" s="106">
        <f t="shared" si="1913"/>
        <v>0</v>
      </c>
      <c r="G170" s="106">
        <f t="shared" si="1913"/>
        <v>9532.0457999999999</v>
      </c>
      <c r="H170" s="106">
        <f t="shared" si="1913"/>
        <v>90</v>
      </c>
      <c r="I170" s="106">
        <f t="shared" si="1913"/>
        <v>3702.7098000000005</v>
      </c>
      <c r="J170" s="106">
        <f t="shared" si="1913"/>
        <v>32.400000000000006</v>
      </c>
      <c r="K170" s="106">
        <f t="shared" si="1913"/>
        <v>2587.5</v>
      </c>
      <c r="L170" s="106">
        <f t="shared" si="1913"/>
        <v>90</v>
      </c>
      <c r="M170" s="106">
        <f t="shared" si="1914"/>
        <v>18160.251199999999</v>
      </c>
      <c r="N170" s="16" t="s">
        <v>142</v>
      </c>
      <c r="O170" s="106">
        <f t="shared" si="1915"/>
        <v>1061.848</v>
      </c>
      <c r="P170" s="106">
        <f t="shared" si="1916"/>
        <v>1424.4102</v>
      </c>
      <c r="Q170" s="106">
        <f t="shared" si="1917"/>
        <v>1760.3405999999995</v>
      </c>
      <c r="R170" s="106">
        <f t="shared" si="1918"/>
        <v>0</v>
      </c>
      <c r="S170" s="106">
        <f t="shared" si="1919"/>
        <v>58068.536</v>
      </c>
      <c r="T170" s="106">
        <f t="shared" si="1920"/>
        <v>0</v>
      </c>
      <c r="U170" s="106">
        <f t="shared" si="1921"/>
        <v>1689.0354000000002</v>
      </c>
      <c r="V170" s="106">
        <f t="shared" si="1922"/>
        <v>0</v>
      </c>
      <c r="W170" s="106">
        <f t="shared" si="1923"/>
        <v>0</v>
      </c>
      <c r="X170" s="106">
        <f t="shared" si="1924"/>
        <v>0</v>
      </c>
      <c r="Y170" s="106">
        <f t="shared" si="1925"/>
        <v>0</v>
      </c>
      <c r="Z170" s="106">
        <f t="shared" si="1926"/>
        <v>0</v>
      </c>
      <c r="AA170" s="106">
        <f t="shared" si="1927"/>
        <v>64004.1702</v>
      </c>
      <c r="AB170" s="118">
        <f t="shared" si="1854"/>
        <v>0</v>
      </c>
      <c r="AC170" s="106">
        <f t="shared" si="1928"/>
        <v>0</v>
      </c>
      <c r="AD170" s="106">
        <f t="shared" si="1929"/>
        <v>0</v>
      </c>
      <c r="AE170" s="106">
        <f t="shared" si="1930"/>
        <v>0</v>
      </c>
      <c r="AF170" s="106">
        <f t="shared" si="1931"/>
        <v>0</v>
      </c>
      <c r="AG170" s="106">
        <f t="shared" si="1932"/>
        <v>0</v>
      </c>
      <c r="AH170" s="106">
        <f t="shared" si="1933"/>
        <v>0</v>
      </c>
      <c r="AI170" s="106">
        <f t="shared" si="1934"/>
        <v>0</v>
      </c>
      <c r="AJ170" s="106">
        <f t="shared" si="1935"/>
        <v>0</v>
      </c>
      <c r="AK170" s="106">
        <f t="shared" si="1936"/>
        <v>3600</v>
      </c>
      <c r="AL170" s="106">
        <f t="shared" si="1937"/>
        <v>0</v>
      </c>
      <c r="AM170" s="106">
        <f t="shared" si="1938"/>
        <v>0</v>
      </c>
      <c r="AN170" s="106">
        <f t="shared" si="1939"/>
        <v>0</v>
      </c>
      <c r="AO170" s="106">
        <f t="shared" si="1940"/>
        <v>3600</v>
      </c>
      <c r="AQ170" s="106">
        <v>0</v>
      </c>
      <c r="AR170" s="106">
        <v>0</v>
      </c>
      <c r="AS170" s="106">
        <v>0</v>
      </c>
      <c r="AT170" s="106">
        <v>0</v>
      </c>
      <c r="AU170" s="106">
        <v>427.73040000000003</v>
      </c>
      <c r="AV170" s="106">
        <v>0</v>
      </c>
      <c r="AW170" s="106">
        <v>6354.6971999999996</v>
      </c>
      <c r="AX170" s="106">
        <v>60</v>
      </c>
      <c r="AY170" s="106">
        <v>2468.4732000000004</v>
      </c>
      <c r="AZ170" s="106">
        <v>21.6</v>
      </c>
      <c r="BA170" s="106">
        <v>2287.5</v>
      </c>
      <c r="BB170" s="106">
        <v>60</v>
      </c>
      <c r="BC170" s="106">
        <f t="shared" si="1941"/>
        <v>11680.0008</v>
      </c>
      <c r="BD170" s="16" t="str">
        <f t="shared" si="1410"/>
        <v>Repair and Maintenance - Own Car</v>
      </c>
      <c r="BE170" s="106">
        <f>+VLOOKUP($BD170,'Jan-25'!$A:$J,5,0)</f>
        <v>0</v>
      </c>
      <c r="BF170" s="106">
        <f>+VLOOKUP($BD170,'Feb-25'!$A:$J,5,0)</f>
        <v>949.60680000000002</v>
      </c>
      <c r="BG170" s="106">
        <f>+VLOOKUP($BD170,'Mar-25'!$A:$J,5,0)</f>
        <v>1173.5603999999996</v>
      </c>
      <c r="BH170" s="106">
        <f>+VLOOKUP($BD170,'Apr-25'!$A:$J,5,0)</f>
        <v>0</v>
      </c>
      <c r="BI170" s="106">
        <f>+VLOOKUP($BD170,'May-25'!$A:$J,5,0)</f>
        <v>47568.536</v>
      </c>
      <c r="BJ170" s="106">
        <f>+VLOOKUP($BD170,'June-25'!$A:$J,5,0)</f>
        <v>0</v>
      </c>
      <c r="BK170" s="106">
        <f>+VLOOKUP($BD170,'July-25'!$A:$J,5,0)</f>
        <v>1126.0236000000002</v>
      </c>
      <c r="BL170" s="106">
        <f>+VLOOKUP($BD170,'Aug-25'!$A:$J,5,0)</f>
        <v>0</v>
      </c>
      <c r="BM170" s="106">
        <f>+VLOOKUP($BD170,'Sep-25'!$A:$J,5,0)</f>
        <v>0</v>
      </c>
      <c r="BN170" s="106">
        <f>+VLOOKUP($BD170,'Oct-25'!$A:$J,5,0)</f>
        <v>0</v>
      </c>
      <c r="BO170" s="106">
        <f>+VLOOKUP($BD170,'Nov-25'!$A:$J,5,0)</f>
        <v>0</v>
      </c>
      <c r="BP170" s="106">
        <f>+VLOOKUP($BD170,'Dec-25'!$A:$J,5,0)</f>
        <v>0</v>
      </c>
      <c r="BQ170" s="106">
        <f t="shared" si="1942"/>
        <v>50817.726800000004</v>
      </c>
      <c r="BR170" s="118">
        <f t="shared" si="1870"/>
        <v>0</v>
      </c>
      <c r="BS170" s="106">
        <f>+_xlfn.XLOOKUP($BD170,Budget!$A:$A,Budget!BD:BD)</f>
        <v>0</v>
      </c>
      <c r="BT170" s="106">
        <f>+_xlfn.XLOOKUP($BD170,Budget!$A:$A,Budget!BE:BE)</f>
        <v>0</v>
      </c>
      <c r="BU170" s="106">
        <f>+_xlfn.XLOOKUP($BD170,Budget!$A:$A,Budget!BF:BF)</f>
        <v>0</v>
      </c>
      <c r="BV170" s="106">
        <f>+_xlfn.XLOOKUP($BD170,Budget!$A:$A,Budget!BG:BG)</f>
        <v>0</v>
      </c>
      <c r="BW170" s="106">
        <f>+_xlfn.XLOOKUP($BD170,Budget!$A:$A,Budget!BH:BH)</f>
        <v>0</v>
      </c>
      <c r="BX170" s="106">
        <f>+_xlfn.XLOOKUP($BD170,Budget!$A:$A,Budget!BI:BI)</f>
        <v>0</v>
      </c>
      <c r="BY170" s="106">
        <f>+_xlfn.XLOOKUP($BD170,Budget!$A:$A,Budget!BJ:BJ)</f>
        <v>0</v>
      </c>
      <c r="BZ170" s="106">
        <f>+_xlfn.XLOOKUP($BD170,Budget!$A:$A,Budget!BK:BK)</f>
        <v>0</v>
      </c>
      <c r="CA170" s="106">
        <f>+_xlfn.XLOOKUP($BD170,Budget!$A:$A,Budget!BL:BL)</f>
        <v>3600</v>
      </c>
      <c r="CB170" s="106">
        <f>+_xlfn.XLOOKUP($BD170,Budget!$A:$A,Budget!BM:BM)</f>
        <v>0</v>
      </c>
      <c r="CC170" s="106">
        <f>+_xlfn.XLOOKUP($BD170,Budget!$A:$A,Budget!BN:BN)</f>
        <v>0</v>
      </c>
      <c r="CD170" s="106">
        <f>+_xlfn.XLOOKUP($BD170,Budget!$A:$A,Budget!BO:BO)</f>
        <v>0</v>
      </c>
      <c r="CE170" s="106">
        <f t="shared" si="1943"/>
        <v>3600</v>
      </c>
      <c r="CF170" s="106"/>
      <c r="CG170" s="106">
        <v>0</v>
      </c>
      <c r="CH170" s="106">
        <v>0</v>
      </c>
      <c r="CI170" s="106">
        <v>0</v>
      </c>
      <c r="CJ170" s="106">
        <v>1484</v>
      </c>
      <c r="CK170" s="106">
        <v>213.86520000000002</v>
      </c>
      <c r="CL170" s="106">
        <v>0</v>
      </c>
      <c r="CM170" s="106">
        <v>3177.3485999999998</v>
      </c>
      <c r="CN170" s="106">
        <v>30</v>
      </c>
      <c r="CO170" s="106">
        <v>1234.2366000000002</v>
      </c>
      <c r="CP170" s="106">
        <v>10.8</v>
      </c>
      <c r="CQ170" s="106">
        <v>300</v>
      </c>
      <c r="CR170" s="106">
        <v>30</v>
      </c>
      <c r="CS170" s="106">
        <f t="shared" si="1944"/>
        <v>6480.2503999999999</v>
      </c>
      <c r="CT170" s="16" t="str">
        <f t="shared" si="1411"/>
        <v>Repair and Maintenance - Own Car</v>
      </c>
      <c r="CU170" s="106">
        <f>+VLOOKUP($BD170,'Jan-25'!$A:$J,8,0)</f>
        <v>1061.848</v>
      </c>
      <c r="CV170" s="106">
        <f>+VLOOKUP($BD170,'Feb-25'!$A:$J,8,0)</f>
        <v>474.80340000000001</v>
      </c>
      <c r="CW170" s="106">
        <f>+VLOOKUP($BD170,'Mar-25'!$A:$J,8,0)</f>
        <v>586.78019999999981</v>
      </c>
      <c r="CX170" s="106">
        <f>+VLOOKUP($BD170,'Apr-25'!$A:$J,8,0)</f>
        <v>0</v>
      </c>
      <c r="CY170" s="106">
        <f>+VLOOKUP($BD170,'May-25'!$A:$J,8,0)</f>
        <v>10500</v>
      </c>
      <c r="CZ170" s="106">
        <f>+VLOOKUP($BD170,'June-25'!$A:$J,8,0)</f>
        <v>0</v>
      </c>
      <c r="DA170" s="106">
        <f>+VLOOKUP($BD170,'July-25'!$A:$J,8,0)</f>
        <v>563.01180000000011</v>
      </c>
      <c r="DB170" s="106">
        <f>+VLOOKUP($BD170,'Aug-25'!$A:$J,8,0)</f>
        <v>0</v>
      </c>
      <c r="DC170" s="106">
        <f>+VLOOKUP($BD170,'Sep-25'!$A:$J,8,0)</f>
        <v>0</v>
      </c>
      <c r="DD170" s="106">
        <f>+VLOOKUP($BD170,'Oct-25'!$A:$J,8,0)</f>
        <v>0</v>
      </c>
      <c r="DE170" s="106">
        <f>+VLOOKUP($BD170,'Nov-25'!$A:$J,8,0)</f>
        <v>0</v>
      </c>
      <c r="DF170" s="106">
        <f>+VLOOKUP($BD170,'Dec-25'!$A:$J,8,0)</f>
        <v>0</v>
      </c>
      <c r="DG170" s="106">
        <f t="shared" si="1945"/>
        <v>13186.4434</v>
      </c>
      <c r="DH170" s="118">
        <f t="shared" si="1874"/>
        <v>0</v>
      </c>
      <c r="DI170" s="106">
        <f>+_xlfn.XLOOKUP($CT170,Budget!$A:$A,Budget!CQ:CQ)</f>
        <v>0</v>
      </c>
      <c r="DJ170" s="106">
        <f>+_xlfn.XLOOKUP($CT170,Budget!$A:$A,Budget!CR:CR)</f>
        <v>0</v>
      </c>
      <c r="DK170" s="106">
        <f>+_xlfn.XLOOKUP($CT170,Budget!$A:$A,Budget!CS:CS)</f>
        <v>0</v>
      </c>
      <c r="DL170" s="106">
        <f>+_xlfn.XLOOKUP($CT170,Budget!$A:$A,Budget!CT:CT)</f>
        <v>0</v>
      </c>
      <c r="DM170" s="106">
        <f>+_xlfn.XLOOKUP($CT170,Budget!$A:$A,Budget!CU:CU)</f>
        <v>0</v>
      </c>
      <c r="DN170" s="106">
        <f>+_xlfn.XLOOKUP($CT170,Budget!$A:$A,Budget!CV:CV)</f>
        <v>0</v>
      </c>
      <c r="DO170" s="106">
        <f>+_xlfn.XLOOKUP($CT170,Budget!$A:$A,Budget!CW:CW)</f>
        <v>0</v>
      </c>
      <c r="DP170" s="106">
        <f>+_xlfn.XLOOKUP($CT170,Budget!$A:$A,Budget!CX:CX)</f>
        <v>0</v>
      </c>
      <c r="DQ170" s="106">
        <f>+_xlfn.XLOOKUP($CT170,Budget!$A:$A,Budget!CY:CY)</f>
        <v>0</v>
      </c>
      <c r="DR170" s="106">
        <f>+_xlfn.XLOOKUP($CT170,Budget!$A:$A,Budget!CZ:CZ)</f>
        <v>0</v>
      </c>
      <c r="DS170" s="106">
        <f>+_xlfn.XLOOKUP($CT170,Budget!$A:$A,Budget!DA:DA)</f>
        <v>0</v>
      </c>
      <c r="DT170" s="106">
        <f>+_xlfn.XLOOKUP($CT170,Budget!$A:$A,Budget!DB:DB)</f>
        <v>0</v>
      </c>
      <c r="DU170" s="106">
        <f t="shared" si="1946"/>
        <v>0</v>
      </c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106">
        <f t="shared" si="1947"/>
        <v>0</v>
      </c>
      <c r="EJ170" s="16" t="str">
        <f t="shared" si="1555"/>
        <v>Repair and Maintenance - Own Car</v>
      </c>
      <c r="EK170" s="22">
        <f>+VLOOKUP($BD170,'Jan-25'!$A:$J,10,0)</f>
        <v>0</v>
      </c>
      <c r="EL170" s="22">
        <f>+VLOOKUP($BD170,'Feb-25'!$A:$J,10,0)</f>
        <v>0</v>
      </c>
      <c r="EM170" s="22">
        <f>+VLOOKUP($BD170,'Mar-25'!$A:$J,10,0)</f>
        <v>0</v>
      </c>
      <c r="EN170" s="22">
        <f>+VLOOKUP($BD170,'Apr-25'!$A:$J,10,0)</f>
        <v>0</v>
      </c>
      <c r="EO170" s="22">
        <f>+VLOOKUP($BD170,'May-25'!$A:$J,10,0)</f>
        <v>0</v>
      </c>
      <c r="EP170" s="22">
        <f>+VLOOKUP($BD170,'June-25'!$A:$J,10,0)</f>
        <v>0</v>
      </c>
      <c r="EQ170" s="22">
        <f>+VLOOKUP($BD170,'July-25'!$A:$J,10,0)</f>
        <v>0</v>
      </c>
      <c r="ER170" s="22">
        <f>+VLOOKUP($BD170,'Aug-25'!$A:$J,10,0)</f>
        <v>0</v>
      </c>
      <c r="ES170" s="22">
        <f>+VLOOKUP($BD170,'Sep-25'!$A:$J,10,0)</f>
        <v>0</v>
      </c>
      <c r="ET170" s="22">
        <f>+VLOOKUP($BD170,'Oct-25'!$A:$J,10,0)</f>
        <v>0</v>
      </c>
      <c r="EU170" s="22">
        <f>+VLOOKUP($BD170,'Nov-25'!$A:$J,10,0)</f>
        <v>0</v>
      </c>
      <c r="EV170" s="22">
        <f>+VLOOKUP($BD170,'Dec-25'!$A:$J,10,0)</f>
        <v>0</v>
      </c>
      <c r="EW170" s="22">
        <f t="shared" si="1948"/>
        <v>0</v>
      </c>
      <c r="EX170" s="118" t="e">
        <f t="shared" si="1878"/>
        <v>#DIV/0!</v>
      </c>
      <c r="EY170" s="106">
        <f>+_xlfn.XLOOKUP($EJ170,Budget!$A:$A,Budget!DR:DR)</f>
        <v>0</v>
      </c>
      <c r="EZ170" s="106">
        <f>+_xlfn.XLOOKUP($EJ170,Budget!$A:$A,Budget!DS:DS)</f>
        <v>0</v>
      </c>
      <c r="FA170" s="106">
        <f>+_xlfn.XLOOKUP($EJ170,Budget!$A:$A,Budget!DT:DT)</f>
        <v>0</v>
      </c>
      <c r="FB170" s="106">
        <f>+_xlfn.XLOOKUP($EJ170,Budget!$A:$A,Budget!DU:DU)</f>
        <v>0</v>
      </c>
      <c r="FC170" s="106">
        <f>+_xlfn.XLOOKUP($EJ170,Budget!$A:$A,Budget!DV:DV)</f>
        <v>0</v>
      </c>
      <c r="FD170" s="106">
        <f>+_xlfn.XLOOKUP($EJ170,Budget!$A:$A,Budget!DW:DW)</f>
        <v>0</v>
      </c>
      <c r="FE170" s="106">
        <f>+_xlfn.XLOOKUP($EJ170,Budget!$A:$A,Budget!DX:DX)</f>
        <v>0</v>
      </c>
      <c r="FF170" s="106">
        <f>+_xlfn.XLOOKUP($EJ170,Budget!$A:$A,Budget!DY:DY)</f>
        <v>0</v>
      </c>
      <c r="FG170" s="106">
        <f>+_xlfn.XLOOKUP($EJ170,Budget!$A:$A,Budget!DZ:DZ)</f>
        <v>0</v>
      </c>
      <c r="FH170" s="106">
        <f>+_xlfn.XLOOKUP($EJ170,Budget!$A:$A,Budget!EA:EA)</f>
        <v>0</v>
      </c>
      <c r="FI170" s="106">
        <f>+_xlfn.XLOOKUP($EJ170,Budget!$A:$A,Budget!EB:EB)</f>
        <v>0</v>
      </c>
      <c r="FJ170" s="106">
        <f>+_xlfn.XLOOKUP($EJ170,Budget!$A:$A,Budget!EC:EC)</f>
        <v>0</v>
      </c>
      <c r="FK170" s="106">
        <f t="shared" si="1949"/>
        <v>0</v>
      </c>
    </row>
    <row r="171" spans="1:167" ht="14.45" hidden="1" customHeight="1" outlineLevel="2">
      <c r="A171" s="106">
        <f t="shared" si="1913"/>
        <v>0</v>
      </c>
      <c r="B171" s="106">
        <f t="shared" si="1913"/>
        <v>0</v>
      </c>
      <c r="C171" s="106">
        <f t="shared" si="1913"/>
        <v>0</v>
      </c>
      <c r="D171" s="106">
        <f t="shared" si="1913"/>
        <v>0</v>
      </c>
      <c r="E171" s="106">
        <f t="shared" si="1913"/>
        <v>0</v>
      </c>
      <c r="F171" s="106">
        <f t="shared" si="1913"/>
        <v>0</v>
      </c>
      <c r="G171" s="106">
        <f t="shared" si="1913"/>
        <v>0</v>
      </c>
      <c r="H171" s="106">
        <f t="shared" si="1913"/>
        <v>0</v>
      </c>
      <c r="I171" s="106">
        <f t="shared" si="1913"/>
        <v>0</v>
      </c>
      <c r="J171" s="106">
        <f t="shared" si="1913"/>
        <v>0</v>
      </c>
      <c r="K171" s="106">
        <f t="shared" si="1913"/>
        <v>0</v>
      </c>
      <c r="L171" s="106">
        <f t="shared" si="1913"/>
        <v>0</v>
      </c>
      <c r="M171" s="106">
        <f t="shared" si="1914"/>
        <v>0</v>
      </c>
      <c r="N171" s="16" t="s">
        <v>143</v>
      </c>
      <c r="O171" s="106">
        <f t="shared" si="1915"/>
        <v>0</v>
      </c>
      <c r="P171" s="106">
        <f t="shared" si="1916"/>
        <v>0</v>
      </c>
      <c r="Q171" s="106">
        <f t="shared" si="1917"/>
        <v>0</v>
      </c>
      <c r="R171" s="106">
        <f t="shared" si="1918"/>
        <v>0</v>
      </c>
      <c r="S171" s="106">
        <f t="shared" si="1919"/>
        <v>0</v>
      </c>
      <c r="T171" s="106">
        <f t="shared" si="1920"/>
        <v>0</v>
      </c>
      <c r="U171" s="106">
        <f t="shared" si="1921"/>
        <v>0</v>
      </c>
      <c r="V171" s="106">
        <f t="shared" si="1922"/>
        <v>0</v>
      </c>
      <c r="W171" s="106">
        <f t="shared" si="1923"/>
        <v>0</v>
      </c>
      <c r="X171" s="106">
        <f t="shared" si="1924"/>
        <v>0</v>
      </c>
      <c r="Y171" s="106">
        <f t="shared" si="1925"/>
        <v>0</v>
      </c>
      <c r="Z171" s="106">
        <f t="shared" si="1926"/>
        <v>0</v>
      </c>
      <c r="AA171" s="106">
        <f t="shared" si="1927"/>
        <v>0</v>
      </c>
      <c r="AB171" s="118">
        <f t="shared" si="1854"/>
        <v>0</v>
      </c>
      <c r="AC171" s="106">
        <f t="shared" si="1928"/>
        <v>0</v>
      </c>
      <c r="AD171" s="106">
        <f t="shared" si="1929"/>
        <v>0</v>
      </c>
      <c r="AE171" s="106">
        <f t="shared" si="1930"/>
        <v>0</v>
      </c>
      <c r="AF171" s="106">
        <f t="shared" si="1931"/>
        <v>0</v>
      </c>
      <c r="AG171" s="106">
        <f t="shared" si="1932"/>
        <v>0</v>
      </c>
      <c r="AH171" s="106">
        <f t="shared" si="1933"/>
        <v>0</v>
      </c>
      <c r="AI171" s="106">
        <f t="shared" si="1934"/>
        <v>0</v>
      </c>
      <c r="AJ171" s="106">
        <f t="shared" si="1935"/>
        <v>0</v>
      </c>
      <c r="AK171" s="106">
        <f t="shared" si="1936"/>
        <v>0</v>
      </c>
      <c r="AL171" s="106">
        <f t="shared" si="1937"/>
        <v>0</v>
      </c>
      <c r="AM171" s="106">
        <f t="shared" si="1938"/>
        <v>0</v>
      </c>
      <c r="AN171" s="106">
        <f t="shared" si="1939"/>
        <v>0</v>
      </c>
      <c r="AO171" s="106">
        <f t="shared" si="1940"/>
        <v>0</v>
      </c>
      <c r="AQ171" s="106">
        <v>0</v>
      </c>
      <c r="AR171" s="106">
        <v>0</v>
      </c>
      <c r="AS171" s="106">
        <v>0</v>
      </c>
      <c r="AT171" s="106">
        <v>0</v>
      </c>
      <c r="AU171" s="106">
        <v>0</v>
      </c>
      <c r="AV171" s="106">
        <v>0</v>
      </c>
      <c r="AW171" s="106">
        <v>0</v>
      </c>
      <c r="AX171" s="106">
        <v>0</v>
      </c>
      <c r="AY171" s="106">
        <v>0</v>
      </c>
      <c r="AZ171" s="106">
        <v>0</v>
      </c>
      <c r="BA171" s="106">
        <v>0</v>
      </c>
      <c r="BB171" s="106">
        <v>0</v>
      </c>
      <c r="BC171" s="106">
        <f t="shared" si="1941"/>
        <v>0</v>
      </c>
      <c r="BD171" s="16" t="str">
        <f t="shared" si="1410"/>
        <v>Repair and Maintenance - Pickup Vehicle</v>
      </c>
      <c r="BE171" s="106">
        <f>+VLOOKUP($BD171,'Jan-25'!$A:$J,5,0)</f>
        <v>0</v>
      </c>
      <c r="BF171" s="106">
        <f>+VLOOKUP($BD171,'Feb-25'!$A:$J,5,0)</f>
        <v>0</v>
      </c>
      <c r="BG171" s="106">
        <f>+VLOOKUP($BD171,'Mar-25'!$A:$J,5,0)</f>
        <v>0</v>
      </c>
      <c r="BH171" s="106">
        <f>+VLOOKUP($BD171,'Apr-25'!$A:$J,5,0)</f>
        <v>0</v>
      </c>
      <c r="BI171" s="106">
        <f>+VLOOKUP($BD171,'May-25'!$A:$J,5,0)</f>
        <v>0</v>
      </c>
      <c r="BJ171" s="106">
        <f>+VLOOKUP($BD171,'June-25'!$A:$J,5,0)</f>
        <v>0</v>
      </c>
      <c r="BK171" s="106">
        <f>+VLOOKUP($BD171,'July-25'!$A:$J,5,0)</f>
        <v>0</v>
      </c>
      <c r="BL171" s="106">
        <f>+VLOOKUP($BD171,'Aug-25'!$A:$J,5,0)</f>
        <v>0</v>
      </c>
      <c r="BM171" s="106">
        <f>+VLOOKUP($BD171,'Sep-25'!$A:$J,5,0)</f>
        <v>0</v>
      </c>
      <c r="BN171" s="106">
        <f>+VLOOKUP($BD171,'Oct-25'!$A:$J,5,0)</f>
        <v>0</v>
      </c>
      <c r="BO171" s="106">
        <f>+VLOOKUP($BD171,'Nov-25'!$A:$J,5,0)</f>
        <v>0</v>
      </c>
      <c r="BP171" s="106">
        <f>+VLOOKUP($BD171,'Dec-25'!$A:$J,5,0)</f>
        <v>0</v>
      </c>
      <c r="BQ171" s="106">
        <f t="shared" si="1942"/>
        <v>0</v>
      </c>
      <c r="BR171" s="118">
        <f t="shared" si="1870"/>
        <v>0</v>
      </c>
      <c r="BS171" s="106">
        <f>+_xlfn.XLOOKUP($BD171,Budget!$A:$A,Budget!BD:BD)</f>
        <v>0</v>
      </c>
      <c r="BT171" s="106">
        <f>+_xlfn.XLOOKUP($BD171,Budget!$A:$A,Budget!BE:BE)</f>
        <v>0</v>
      </c>
      <c r="BU171" s="106">
        <f>+_xlfn.XLOOKUP($BD171,Budget!$A:$A,Budget!BF:BF)</f>
        <v>0</v>
      </c>
      <c r="BV171" s="106">
        <f>+_xlfn.XLOOKUP($BD171,Budget!$A:$A,Budget!BG:BG)</f>
        <v>0</v>
      </c>
      <c r="BW171" s="106">
        <f>+_xlfn.XLOOKUP($BD171,Budget!$A:$A,Budget!BH:BH)</f>
        <v>0</v>
      </c>
      <c r="BX171" s="106">
        <f>+_xlfn.XLOOKUP($BD171,Budget!$A:$A,Budget!BI:BI)</f>
        <v>0</v>
      </c>
      <c r="BY171" s="106">
        <f>+_xlfn.XLOOKUP($BD171,Budget!$A:$A,Budget!BJ:BJ)</f>
        <v>0</v>
      </c>
      <c r="BZ171" s="106">
        <f>+_xlfn.XLOOKUP($BD171,Budget!$A:$A,Budget!BK:BK)</f>
        <v>0</v>
      </c>
      <c r="CA171" s="106">
        <f>+_xlfn.XLOOKUP($BD171,Budget!$A:$A,Budget!BL:BL)</f>
        <v>0</v>
      </c>
      <c r="CB171" s="106">
        <f>+_xlfn.XLOOKUP($BD171,Budget!$A:$A,Budget!BM:BM)</f>
        <v>0</v>
      </c>
      <c r="CC171" s="106">
        <f>+_xlfn.XLOOKUP($BD171,Budget!$A:$A,Budget!BN:BN)</f>
        <v>0</v>
      </c>
      <c r="CD171" s="106">
        <f>+_xlfn.XLOOKUP($BD171,Budget!$A:$A,Budget!BO:BO)</f>
        <v>0</v>
      </c>
      <c r="CE171" s="106">
        <f t="shared" si="1943"/>
        <v>0</v>
      </c>
      <c r="CF171" s="106"/>
      <c r="CG171" s="106">
        <v>0</v>
      </c>
      <c r="CH171" s="106">
        <v>0</v>
      </c>
      <c r="CI171" s="106">
        <v>0</v>
      </c>
      <c r="CJ171" s="106">
        <v>0</v>
      </c>
      <c r="CK171" s="106">
        <v>0</v>
      </c>
      <c r="CL171" s="106">
        <v>0</v>
      </c>
      <c r="CM171" s="106">
        <v>0</v>
      </c>
      <c r="CN171" s="106">
        <v>0</v>
      </c>
      <c r="CO171" s="106">
        <v>0</v>
      </c>
      <c r="CP171" s="106">
        <v>0</v>
      </c>
      <c r="CQ171" s="106">
        <v>0</v>
      </c>
      <c r="CR171" s="106">
        <v>0</v>
      </c>
      <c r="CS171" s="106">
        <f t="shared" si="1944"/>
        <v>0</v>
      </c>
      <c r="CT171" s="16" t="str">
        <f t="shared" si="1411"/>
        <v>Repair and Maintenance - Pickup Vehicle</v>
      </c>
      <c r="CU171" s="106">
        <f>+VLOOKUP($BD171,'Jan-25'!$A:$J,8,0)</f>
        <v>0</v>
      </c>
      <c r="CV171" s="106">
        <f>+VLOOKUP($BD171,'Feb-25'!$A:$J,8,0)</f>
        <v>0</v>
      </c>
      <c r="CW171" s="106">
        <f>+VLOOKUP($BD171,'Mar-25'!$A:$J,8,0)</f>
        <v>0</v>
      </c>
      <c r="CX171" s="106">
        <f>+VLOOKUP($BD171,'Apr-25'!$A:$J,8,0)</f>
        <v>0</v>
      </c>
      <c r="CY171" s="106">
        <f>+VLOOKUP($BD171,'May-25'!$A:$J,8,0)</f>
        <v>0</v>
      </c>
      <c r="CZ171" s="106">
        <f>+VLOOKUP($BD171,'June-25'!$A:$J,8,0)</f>
        <v>0</v>
      </c>
      <c r="DA171" s="106">
        <f>+VLOOKUP($BD171,'July-25'!$A:$J,8,0)</f>
        <v>0</v>
      </c>
      <c r="DB171" s="106">
        <f>+VLOOKUP($BD171,'Aug-25'!$A:$J,8,0)</f>
        <v>0</v>
      </c>
      <c r="DC171" s="106">
        <f>+VLOOKUP($BD171,'Sep-25'!$A:$J,8,0)</f>
        <v>0</v>
      </c>
      <c r="DD171" s="106">
        <f>+VLOOKUP($BD171,'Oct-25'!$A:$J,8,0)</f>
        <v>0</v>
      </c>
      <c r="DE171" s="106">
        <f>+VLOOKUP($BD171,'Nov-25'!$A:$J,8,0)</f>
        <v>0</v>
      </c>
      <c r="DF171" s="106">
        <f>+VLOOKUP($BD171,'Dec-25'!$A:$J,8,0)</f>
        <v>0</v>
      </c>
      <c r="DG171" s="106">
        <f t="shared" si="1945"/>
        <v>0</v>
      </c>
      <c r="DH171" s="118">
        <f t="shared" si="1874"/>
        <v>0</v>
      </c>
      <c r="DI171" s="106">
        <f>+_xlfn.XLOOKUP($CT171,Budget!$A:$A,Budget!CQ:CQ)</f>
        <v>0</v>
      </c>
      <c r="DJ171" s="106">
        <f>+_xlfn.XLOOKUP($CT171,Budget!$A:$A,Budget!CR:CR)</f>
        <v>0</v>
      </c>
      <c r="DK171" s="106">
        <f>+_xlfn.XLOOKUP($CT171,Budget!$A:$A,Budget!CS:CS)</f>
        <v>0</v>
      </c>
      <c r="DL171" s="106">
        <f>+_xlfn.XLOOKUP($CT171,Budget!$A:$A,Budget!CT:CT)</f>
        <v>0</v>
      </c>
      <c r="DM171" s="106">
        <f>+_xlfn.XLOOKUP($CT171,Budget!$A:$A,Budget!CU:CU)</f>
        <v>0</v>
      </c>
      <c r="DN171" s="106">
        <f>+_xlfn.XLOOKUP($CT171,Budget!$A:$A,Budget!CV:CV)</f>
        <v>0</v>
      </c>
      <c r="DO171" s="106">
        <f>+_xlfn.XLOOKUP($CT171,Budget!$A:$A,Budget!CW:CW)</f>
        <v>0</v>
      </c>
      <c r="DP171" s="106">
        <f>+_xlfn.XLOOKUP($CT171,Budget!$A:$A,Budget!CX:CX)</f>
        <v>0</v>
      </c>
      <c r="DQ171" s="106">
        <f>+_xlfn.XLOOKUP($CT171,Budget!$A:$A,Budget!CY:CY)</f>
        <v>0</v>
      </c>
      <c r="DR171" s="106">
        <f>+_xlfn.XLOOKUP($CT171,Budget!$A:$A,Budget!CZ:CZ)</f>
        <v>0</v>
      </c>
      <c r="DS171" s="106">
        <f>+_xlfn.XLOOKUP($CT171,Budget!$A:$A,Budget!DA:DA)</f>
        <v>0</v>
      </c>
      <c r="DT171" s="106">
        <f>+_xlfn.XLOOKUP($CT171,Budget!$A:$A,Budget!DB:DB)</f>
        <v>0</v>
      </c>
      <c r="DU171" s="106">
        <f t="shared" si="1946"/>
        <v>0</v>
      </c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106">
        <f t="shared" si="1947"/>
        <v>0</v>
      </c>
      <c r="EJ171" s="16" t="str">
        <f t="shared" si="1555"/>
        <v>Repair and Maintenance - Pickup Vehicle</v>
      </c>
      <c r="EK171" s="22">
        <f>+VLOOKUP($BD171,'Jan-25'!$A:$J,10,0)</f>
        <v>0</v>
      </c>
      <c r="EL171" s="22">
        <f>+VLOOKUP($BD171,'Feb-25'!$A:$J,10,0)</f>
        <v>0</v>
      </c>
      <c r="EM171" s="22">
        <f>+VLOOKUP($BD171,'Mar-25'!$A:$J,10,0)</f>
        <v>0</v>
      </c>
      <c r="EN171" s="22">
        <f>+VLOOKUP($BD171,'Apr-25'!$A:$J,10,0)</f>
        <v>0</v>
      </c>
      <c r="EO171" s="22">
        <f>+VLOOKUP($BD171,'May-25'!$A:$J,10,0)</f>
        <v>0</v>
      </c>
      <c r="EP171" s="22">
        <f>+VLOOKUP($BD171,'June-25'!$A:$J,10,0)</f>
        <v>0</v>
      </c>
      <c r="EQ171" s="22">
        <f>+VLOOKUP($BD171,'July-25'!$A:$J,10,0)</f>
        <v>0</v>
      </c>
      <c r="ER171" s="22">
        <f>+VLOOKUP($BD171,'Aug-25'!$A:$J,10,0)</f>
        <v>0</v>
      </c>
      <c r="ES171" s="22">
        <f>+VLOOKUP($BD171,'Sep-25'!$A:$J,10,0)</f>
        <v>0</v>
      </c>
      <c r="ET171" s="22">
        <f>+VLOOKUP($BD171,'Oct-25'!$A:$J,10,0)</f>
        <v>0</v>
      </c>
      <c r="EU171" s="22">
        <f>+VLOOKUP($BD171,'Nov-25'!$A:$J,10,0)</f>
        <v>0</v>
      </c>
      <c r="EV171" s="22">
        <f>+VLOOKUP($BD171,'Dec-25'!$A:$J,10,0)</f>
        <v>0</v>
      </c>
      <c r="EW171" s="22">
        <f t="shared" si="1948"/>
        <v>0</v>
      </c>
      <c r="EX171" s="118" t="e">
        <f t="shared" si="1878"/>
        <v>#DIV/0!</v>
      </c>
      <c r="EY171" s="106">
        <f>+_xlfn.XLOOKUP($EJ171,Budget!$A:$A,Budget!DR:DR)</f>
        <v>0</v>
      </c>
      <c r="EZ171" s="106">
        <f>+_xlfn.XLOOKUP($EJ171,Budget!$A:$A,Budget!DS:DS)</f>
        <v>0</v>
      </c>
      <c r="FA171" s="106">
        <f>+_xlfn.XLOOKUP($EJ171,Budget!$A:$A,Budget!DT:DT)</f>
        <v>0</v>
      </c>
      <c r="FB171" s="106">
        <f>+_xlfn.XLOOKUP($EJ171,Budget!$A:$A,Budget!DU:DU)</f>
        <v>0</v>
      </c>
      <c r="FC171" s="106">
        <f>+_xlfn.XLOOKUP($EJ171,Budget!$A:$A,Budget!DV:DV)</f>
        <v>0</v>
      </c>
      <c r="FD171" s="106">
        <f>+_xlfn.XLOOKUP($EJ171,Budget!$A:$A,Budget!DW:DW)</f>
        <v>0</v>
      </c>
      <c r="FE171" s="106">
        <f>+_xlfn.XLOOKUP($EJ171,Budget!$A:$A,Budget!DX:DX)</f>
        <v>0</v>
      </c>
      <c r="FF171" s="106">
        <f>+_xlfn.XLOOKUP($EJ171,Budget!$A:$A,Budget!DY:DY)</f>
        <v>0</v>
      </c>
      <c r="FG171" s="106">
        <f>+_xlfn.XLOOKUP($EJ171,Budget!$A:$A,Budget!DZ:DZ)</f>
        <v>0</v>
      </c>
      <c r="FH171" s="106">
        <f>+_xlfn.XLOOKUP($EJ171,Budget!$A:$A,Budget!EA:EA)</f>
        <v>0</v>
      </c>
      <c r="FI171" s="106">
        <f>+_xlfn.XLOOKUP($EJ171,Budget!$A:$A,Budget!EB:EB)</f>
        <v>0</v>
      </c>
      <c r="FJ171" s="106">
        <f>+_xlfn.XLOOKUP($EJ171,Budget!$A:$A,Budget!EC:EC)</f>
        <v>0</v>
      </c>
      <c r="FK171" s="106">
        <f t="shared" si="1949"/>
        <v>0</v>
      </c>
    </row>
    <row r="172" spans="1:167" ht="14.45" hidden="1" customHeight="1" outlineLevel="1" collapsed="1">
      <c r="A172" s="58">
        <f t="shared" ref="A172:L172" si="1950">+SUM(A173:A177)</f>
        <v>93672.291399999871</v>
      </c>
      <c r="B172" s="58">
        <f t="shared" si="1950"/>
        <v>93638.211999999869</v>
      </c>
      <c r="C172" s="58">
        <f t="shared" si="1950"/>
        <v>91699.541799999875</v>
      </c>
      <c r="D172" s="58">
        <f t="shared" si="1950"/>
        <v>98666.4</v>
      </c>
      <c r="E172" s="58">
        <f t="shared" si="1950"/>
        <v>98666.4</v>
      </c>
      <c r="F172" s="58">
        <f t="shared" si="1950"/>
        <v>98666.4</v>
      </c>
      <c r="G172" s="58">
        <f t="shared" si="1950"/>
        <v>98666.4</v>
      </c>
      <c r="H172" s="58">
        <f t="shared" si="1950"/>
        <v>98666.4</v>
      </c>
      <c r="I172" s="58">
        <f t="shared" si="1950"/>
        <v>98666.459400000007</v>
      </c>
      <c r="J172" s="58">
        <f t="shared" si="1950"/>
        <v>98666.4</v>
      </c>
      <c r="K172" s="58">
        <f t="shared" si="1950"/>
        <v>98312.469599999997</v>
      </c>
      <c r="L172" s="58">
        <f t="shared" si="1950"/>
        <v>98061.24</v>
      </c>
      <c r="M172" s="58"/>
      <c r="N172" s="20" t="s">
        <v>144</v>
      </c>
      <c r="O172" s="58">
        <f t="shared" ref="O172" si="1951">+SUM(O173:O177)</f>
        <v>31374.06</v>
      </c>
      <c r="P172" s="58">
        <f t="shared" ref="P172" si="1952">+SUM(P173:P177)</f>
        <v>31374.06</v>
      </c>
      <c r="Q172" s="58">
        <f t="shared" ref="Q172" si="1953">+SUM(Q173:Q177)</f>
        <v>31374.0314</v>
      </c>
      <c r="R172" s="58">
        <f t="shared" ref="R172" si="1954">+SUM(R173:R177)</f>
        <v>31374.0314</v>
      </c>
      <c r="S172" s="58">
        <f t="shared" ref="S172" si="1955">+SUM(S173:S177)</f>
        <v>190788.43140000003</v>
      </c>
      <c r="T172" s="58">
        <f t="shared" ref="T172" si="1956">+SUM(T173:T177)</f>
        <v>38089.651400000002</v>
      </c>
      <c r="U172" s="58">
        <f t="shared" ref="U172" si="1957">+SUM(U173:U177)</f>
        <v>31456.659511111113</v>
      </c>
      <c r="V172" s="58">
        <f t="shared" ref="V172" si="1958">+SUM(V173:V177)</f>
        <v>134888.62059999999</v>
      </c>
      <c r="W172" s="58">
        <f t="shared" ref="W172" si="1959">+SUM(W173:W177)</f>
        <v>134888.68</v>
      </c>
      <c r="X172" s="58">
        <f t="shared" ref="X172" si="1960">+SUM(X173:X177)</f>
        <v>134888.68</v>
      </c>
      <c r="Y172" s="58">
        <f t="shared" ref="Y172" si="1961">+SUM(Y173:Y177)</f>
        <v>0</v>
      </c>
      <c r="Z172" s="58">
        <f t="shared" ref="Z172" si="1962">+SUM(Z173:Z177)</f>
        <v>0</v>
      </c>
      <c r="AA172" s="58"/>
      <c r="AB172" s="118">
        <f t="shared" si="1854"/>
        <v>-0.1752046569077057</v>
      </c>
      <c r="AC172" s="58">
        <f t="shared" ref="AC172" si="1963">+SUM(AC173:AC177)</f>
        <v>163542</v>
      </c>
      <c r="AD172" s="58">
        <f t="shared" ref="AD172" si="1964">+SUM(AD173:AD177)</f>
        <v>163542</v>
      </c>
      <c r="AE172" s="58">
        <f t="shared" ref="AE172" si="1965">+SUM(AE173:AE177)</f>
        <v>163542</v>
      </c>
      <c r="AF172" s="58">
        <f t="shared" ref="AF172" si="1966">+SUM(AF173:AF177)</f>
        <v>163542</v>
      </c>
      <c r="AG172" s="58">
        <f t="shared" ref="AG172" si="1967">+SUM(AG173:AG177)</f>
        <v>163542</v>
      </c>
      <c r="AH172" s="58">
        <f t="shared" ref="AH172" si="1968">+SUM(AH173:AH177)</f>
        <v>163542</v>
      </c>
      <c r="AI172" s="58">
        <f t="shared" ref="AI172" si="1969">+SUM(AI173:AI177)</f>
        <v>163542</v>
      </c>
      <c r="AJ172" s="58">
        <f t="shared" ref="AJ172" si="1970">+SUM(AJ173:AJ177)</f>
        <v>163542</v>
      </c>
      <c r="AK172" s="58">
        <f t="shared" ref="AK172" si="1971">+SUM(AK173:AK177)</f>
        <v>163542</v>
      </c>
      <c r="AL172" s="58">
        <f t="shared" ref="AL172" si="1972">+SUM(AL173:AL177)</f>
        <v>163542</v>
      </c>
      <c r="AM172" s="58">
        <f t="shared" ref="AM172" si="1973">+SUM(AM173:AM177)</f>
        <v>163542</v>
      </c>
      <c r="AN172" s="58">
        <f t="shared" ref="AN172:AO172" si="1974">+SUM(AN173:AN177)</f>
        <v>163542</v>
      </c>
      <c r="AO172" s="58">
        <f t="shared" si="1974"/>
        <v>1962504</v>
      </c>
      <c r="AQ172" s="58">
        <f t="shared" ref="AQ172:CD172" si="1975">+SUM(AQ173:AQ177)</f>
        <v>60805.806799999933</v>
      </c>
      <c r="AR172" s="58">
        <f t="shared" si="1975"/>
        <v>60783.087199999929</v>
      </c>
      <c r="AS172" s="58">
        <f t="shared" si="1975"/>
        <v>59490.640399999931</v>
      </c>
      <c r="AT172" s="58">
        <f t="shared" si="1975"/>
        <v>63801.599999999999</v>
      </c>
      <c r="AU172" s="58">
        <f t="shared" si="1975"/>
        <v>63801.599999999999</v>
      </c>
      <c r="AV172" s="58">
        <f t="shared" si="1975"/>
        <v>63801.599999999999</v>
      </c>
      <c r="AW172" s="58">
        <f t="shared" si="1975"/>
        <v>63801.599999999999</v>
      </c>
      <c r="AX172" s="58">
        <f t="shared" si="1975"/>
        <v>63801.599999999999</v>
      </c>
      <c r="AY172" s="58">
        <f t="shared" si="1975"/>
        <v>63801.639600000002</v>
      </c>
      <c r="AZ172" s="58">
        <f t="shared" si="1975"/>
        <v>63801.599999999999</v>
      </c>
      <c r="BA172" s="58">
        <f t="shared" si="1975"/>
        <v>63565.646399999998</v>
      </c>
      <c r="BB172" s="58">
        <f t="shared" si="1975"/>
        <v>63398.16</v>
      </c>
      <c r="BC172" s="58">
        <f>+SUM(AQ172:BB172)</f>
        <v>754654.58039999974</v>
      </c>
      <c r="BD172" s="20" t="str">
        <f t="shared" si="1410"/>
        <v>System Updation charge -Mercedes</v>
      </c>
      <c r="BE172" s="58">
        <f t="shared" si="1975"/>
        <v>23225.24</v>
      </c>
      <c r="BF172" s="58">
        <f t="shared" ref="BF172:BP172" si="1976">+SUM(BF173:BF177)</f>
        <v>23225.24</v>
      </c>
      <c r="BG172" s="58">
        <f t="shared" si="1976"/>
        <v>23225.279600000002</v>
      </c>
      <c r="BH172" s="58">
        <f t="shared" si="1976"/>
        <v>23225.279600000002</v>
      </c>
      <c r="BI172" s="58">
        <f t="shared" si="1976"/>
        <v>142786.0796</v>
      </c>
      <c r="BJ172" s="58">
        <f t="shared" si="1976"/>
        <v>27702.3596</v>
      </c>
      <c r="BK172" s="58">
        <f t="shared" si="1976"/>
        <v>23280.365600000001</v>
      </c>
      <c r="BL172" s="58">
        <f t="shared" si="1976"/>
        <v>85340.280400000003</v>
      </c>
      <c r="BM172" s="58">
        <f t="shared" si="1976"/>
        <v>85340.32</v>
      </c>
      <c r="BN172" s="58">
        <f t="shared" si="1976"/>
        <v>85340.32</v>
      </c>
      <c r="BO172" s="58">
        <f t="shared" si="1976"/>
        <v>0</v>
      </c>
      <c r="BP172" s="58">
        <f t="shared" si="1976"/>
        <v>0</v>
      </c>
      <c r="BQ172" s="58">
        <f t="shared" si="1975"/>
        <v>542690.76439999999</v>
      </c>
      <c r="BR172" s="118">
        <f t="shared" si="1870"/>
        <v>-0.15168667992047707</v>
      </c>
      <c r="BS172" s="58">
        <f t="shared" si="1975"/>
        <v>100600</v>
      </c>
      <c r="BT172" s="58">
        <f t="shared" si="1975"/>
        <v>100600</v>
      </c>
      <c r="BU172" s="58">
        <f t="shared" si="1975"/>
        <v>100600</v>
      </c>
      <c r="BV172" s="58">
        <f t="shared" si="1975"/>
        <v>100600</v>
      </c>
      <c r="BW172" s="58">
        <f t="shared" si="1975"/>
        <v>100600</v>
      </c>
      <c r="BX172" s="58">
        <f t="shared" si="1975"/>
        <v>100600</v>
      </c>
      <c r="BY172" s="58">
        <f t="shared" si="1975"/>
        <v>100600</v>
      </c>
      <c r="BZ172" s="58">
        <f t="shared" si="1975"/>
        <v>100600</v>
      </c>
      <c r="CA172" s="58">
        <f t="shared" si="1975"/>
        <v>100600</v>
      </c>
      <c r="CB172" s="58">
        <f t="shared" si="1975"/>
        <v>100600</v>
      </c>
      <c r="CC172" s="58">
        <f t="shared" si="1975"/>
        <v>100600</v>
      </c>
      <c r="CD172" s="58">
        <f t="shared" si="1975"/>
        <v>100600</v>
      </c>
      <c r="CE172" s="58">
        <f>+SUM(BS172:CD172)</f>
        <v>1207200</v>
      </c>
      <c r="CF172" s="106"/>
      <c r="CG172" s="58">
        <f t="shared" ref="CG172:CR172" si="1977">+SUM(CG173:CG177)</f>
        <v>32866.484599999952</v>
      </c>
      <c r="CH172" s="58">
        <f t="shared" si="1977"/>
        <v>32855.124799999954</v>
      </c>
      <c r="CI172" s="58">
        <f t="shared" si="1977"/>
        <v>32208.901399999952</v>
      </c>
      <c r="CJ172" s="58">
        <f t="shared" si="1977"/>
        <v>34864.800000000003</v>
      </c>
      <c r="CK172" s="58">
        <f t="shared" si="1977"/>
        <v>34864.800000000003</v>
      </c>
      <c r="CL172" s="58">
        <f t="shared" si="1977"/>
        <v>34864.800000000003</v>
      </c>
      <c r="CM172" s="58">
        <f t="shared" si="1977"/>
        <v>34864.800000000003</v>
      </c>
      <c r="CN172" s="58">
        <f t="shared" si="1977"/>
        <v>34864.800000000003</v>
      </c>
      <c r="CO172" s="58">
        <f t="shared" si="1977"/>
        <v>34864.819799999997</v>
      </c>
      <c r="CP172" s="58">
        <f t="shared" si="1977"/>
        <v>34864.800000000003</v>
      </c>
      <c r="CQ172" s="58">
        <f t="shared" si="1977"/>
        <v>34746.823199999999</v>
      </c>
      <c r="CR172" s="58">
        <f t="shared" si="1977"/>
        <v>34663.08</v>
      </c>
      <c r="CS172" s="58">
        <f>+SUM(CG172:CR172)</f>
        <v>411394.0337999998</v>
      </c>
      <c r="CT172" s="20" t="str">
        <f t="shared" si="1411"/>
        <v>System Updation charge -Mercedes</v>
      </c>
      <c r="CU172" s="58">
        <f t="shared" ref="CU172:DT172" si="1978">+SUM(CU173:CU177)</f>
        <v>8148.82</v>
      </c>
      <c r="CV172" s="58">
        <f t="shared" si="1978"/>
        <v>8148.82</v>
      </c>
      <c r="CW172" s="58">
        <f t="shared" si="1978"/>
        <v>8148.7518</v>
      </c>
      <c r="CX172" s="58">
        <f t="shared" si="1978"/>
        <v>8148.7518</v>
      </c>
      <c r="CY172" s="58">
        <f t="shared" si="1978"/>
        <v>48002.351800000004</v>
      </c>
      <c r="CZ172" s="58">
        <f t="shared" si="1978"/>
        <v>10387.291800000001</v>
      </c>
      <c r="DA172" s="58">
        <f t="shared" si="1978"/>
        <v>8176.2939111111118</v>
      </c>
      <c r="DB172" s="58">
        <f t="shared" si="1978"/>
        <v>49548.340199999999</v>
      </c>
      <c r="DC172" s="58">
        <f t="shared" si="1978"/>
        <v>49548.36</v>
      </c>
      <c r="DD172" s="58">
        <f t="shared" si="1978"/>
        <v>49548.36</v>
      </c>
      <c r="DE172" s="58">
        <f t="shared" si="1978"/>
        <v>0</v>
      </c>
      <c r="DF172" s="58">
        <f t="shared" si="1978"/>
        <v>0</v>
      </c>
      <c r="DG172" s="58">
        <f t="shared" si="1978"/>
        <v>247806.14131111113</v>
      </c>
      <c r="DH172" s="118">
        <f t="shared" si="1874"/>
        <v>-0.14780434109593751</v>
      </c>
      <c r="DI172" s="58">
        <f t="shared" si="1978"/>
        <v>58142</v>
      </c>
      <c r="DJ172" s="58">
        <f t="shared" si="1978"/>
        <v>58142</v>
      </c>
      <c r="DK172" s="58">
        <f t="shared" si="1978"/>
        <v>58142</v>
      </c>
      <c r="DL172" s="58">
        <f t="shared" si="1978"/>
        <v>58142</v>
      </c>
      <c r="DM172" s="58">
        <f t="shared" si="1978"/>
        <v>58142</v>
      </c>
      <c r="DN172" s="58">
        <f t="shared" si="1978"/>
        <v>58142</v>
      </c>
      <c r="DO172" s="58">
        <f t="shared" si="1978"/>
        <v>58142</v>
      </c>
      <c r="DP172" s="58">
        <f t="shared" si="1978"/>
        <v>58142</v>
      </c>
      <c r="DQ172" s="58">
        <f t="shared" si="1978"/>
        <v>58142</v>
      </c>
      <c r="DR172" s="58">
        <f t="shared" si="1978"/>
        <v>58142</v>
      </c>
      <c r="DS172" s="58">
        <f t="shared" si="1978"/>
        <v>58142</v>
      </c>
      <c r="DT172" s="58">
        <f t="shared" si="1978"/>
        <v>58142</v>
      </c>
      <c r="DU172" s="58">
        <f>+SUM(DI172:DT172)</f>
        <v>697704</v>
      </c>
      <c r="DW172" s="28">
        <f t="shared" ref="DW172:EH172" si="1979">+SUM(DW173:DW177)</f>
        <v>0</v>
      </c>
      <c r="DX172" s="28">
        <f t="shared" si="1979"/>
        <v>0</v>
      </c>
      <c r="DY172" s="28">
        <f t="shared" si="1979"/>
        <v>0</v>
      </c>
      <c r="DZ172" s="28">
        <f t="shared" si="1979"/>
        <v>0</v>
      </c>
      <c r="EA172" s="28">
        <f t="shared" si="1979"/>
        <v>0</v>
      </c>
      <c r="EB172" s="28">
        <f t="shared" si="1979"/>
        <v>0</v>
      </c>
      <c r="EC172" s="28">
        <f t="shared" si="1979"/>
        <v>0</v>
      </c>
      <c r="ED172" s="28">
        <f t="shared" si="1979"/>
        <v>0</v>
      </c>
      <c r="EE172" s="28">
        <f t="shared" si="1979"/>
        <v>0</v>
      </c>
      <c r="EF172" s="28">
        <f t="shared" si="1979"/>
        <v>0</v>
      </c>
      <c r="EG172" s="28">
        <f t="shared" si="1979"/>
        <v>0</v>
      </c>
      <c r="EH172" s="28">
        <f t="shared" si="1979"/>
        <v>0</v>
      </c>
      <c r="EI172" s="58">
        <f>+SUM(DW172:EH172)</f>
        <v>0</v>
      </c>
      <c r="EJ172" s="20" t="str">
        <f t="shared" si="1555"/>
        <v>System Updation charge -Mercedes</v>
      </c>
      <c r="EK172" s="28">
        <f t="shared" ref="EK172:EV172" si="1980">+SUM(EK173:EK177)</f>
        <v>0</v>
      </c>
      <c r="EL172" s="28">
        <f t="shared" si="1980"/>
        <v>0</v>
      </c>
      <c r="EM172" s="28">
        <f t="shared" si="1980"/>
        <v>0</v>
      </c>
      <c r="EN172" s="28">
        <f t="shared" si="1980"/>
        <v>0</v>
      </c>
      <c r="EO172" s="28">
        <f t="shared" si="1980"/>
        <v>0</v>
      </c>
      <c r="EP172" s="28">
        <f t="shared" si="1980"/>
        <v>0</v>
      </c>
      <c r="EQ172" s="28">
        <f t="shared" si="1980"/>
        <v>0</v>
      </c>
      <c r="ER172" s="28">
        <f t="shared" si="1980"/>
        <v>0</v>
      </c>
      <c r="ES172" s="28">
        <f t="shared" si="1980"/>
        <v>0</v>
      </c>
      <c r="ET172" s="28">
        <f t="shared" si="1980"/>
        <v>0</v>
      </c>
      <c r="EU172" s="28">
        <f t="shared" si="1980"/>
        <v>0</v>
      </c>
      <c r="EV172" s="28">
        <f t="shared" si="1980"/>
        <v>0</v>
      </c>
      <c r="EW172" s="28">
        <f t="shared" ref="EW172" si="1981">+SUM(EW173:EW177)</f>
        <v>0</v>
      </c>
      <c r="EX172" s="118">
        <f t="shared" si="1878"/>
        <v>-1</v>
      </c>
      <c r="EY172" s="58">
        <f t="shared" ref="EY172:FJ172" si="1982">+SUM(EY173:EY177)</f>
        <v>4800</v>
      </c>
      <c r="EZ172" s="58">
        <f t="shared" si="1982"/>
        <v>4800</v>
      </c>
      <c r="FA172" s="58">
        <f t="shared" si="1982"/>
        <v>4800</v>
      </c>
      <c r="FB172" s="58">
        <f t="shared" si="1982"/>
        <v>4800</v>
      </c>
      <c r="FC172" s="58">
        <f t="shared" si="1982"/>
        <v>4800</v>
      </c>
      <c r="FD172" s="58">
        <f t="shared" si="1982"/>
        <v>4800</v>
      </c>
      <c r="FE172" s="58">
        <f t="shared" si="1982"/>
        <v>4800</v>
      </c>
      <c r="FF172" s="58">
        <f t="shared" si="1982"/>
        <v>4800</v>
      </c>
      <c r="FG172" s="58">
        <f t="shared" si="1982"/>
        <v>4800</v>
      </c>
      <c r="FH172" s="58">
        <f t="shared" si="1982"/>
        <v>4800</v>
      </c>
      <c r="FI172" s="58">
        <f t="shared" si="1982"/>
        <v>4800</v>
      </c>
      <c r="FJ172" s="58">
        <f t="shared" si="1982"/>
        <v>4800</v>
      </c>
      <c r="FK172" s="58">
        <f>+SUM(EY172:FJ172)</f>
        <v>57600</v>
      </c>
    </row>
    <row r="173" spans="1:167" ht="14.45" hidden="1" customHeight="1" outlineLevel="2">
      <c r="A173" s="106">
        <f t="shared" ref="A173:L177" si="1983">+AQ173+CG173+DW173</f>
        <v>29000</v>
      </c>
      <c r="B173" s="106">
        <f t="shared" si="1983"/>
        <v>29000</v>
      </c>
      <c r="C173" s="106">
        <f t="shared" si="1983"/>
        <v>29000</v>
      </c>
      <c r="D173" s="106">
        <f t="shared" si="1983"/>
        <v>29000</v>
      </c>
      <c r="E173" s="106">
        <f t="shared" si="1983"/>
        <v>29000</v>
      </c>
      <c r="F173" s="106">
        <f t="shared" si="1983"/>
        <v>29000</v>
      </c>
      <c r="G173" s="106">
        <f t="shared" si="1983"/>
        <v>29000</v>
      </c>
      <c r="H173" s="106">
        <f t="shared" si="1983"/>
        <v>29000</v>
      </c>
      <c r="I173" s="106">
        <f t="shared" si="1983"/>
        <v>29000</v>
      </c>
      <c r="J173" s="106">
        <f t="shared" si="1983"/>
        <v>29000</v>
      </c>
      <c r="K173" s="106">
        <f t="shared" si="1983"/>
        <v>29000</v>
      </c>
      <c r="L173" s="106">
        <f t="shared" si="1983"/>
        <v>29000</v>
      </c>
      <c r="M173" s="106">
        <f t="shared" ref="M173:M177" si="1984">+SUM(A173:L173)</f>
        <v>348000</v>
      </c>
      <c r="N173" s="16" t="s">
        <v>145</v>
      </c>
      <c r="O173" s="106">
        <f t="shared" ref="O173:O177" si="1985">+BE173+CU173+EK173</f>
        <v>29000</v>
      </c>
      <c r="P173" s="106">
        <f t="shared" ref="P173:P177" si="1986">+BF173+CV173+EL173</f>
        <v>29000</v>
      </c>
      <c r="Q173" s="106">
        <f t="shared" ref="Q173:Q177" si="1987">+BG173+CW173+EM173</f>
        <v>29000</v>
      </c>
      <c r="R173" s="106">
        <f t="shared" ref="R173:R177" si="1988">+BH173+CX173+EN173</f>
        <v>29000</v>
      </c>
      <c r="S173" s="106">
        <f t="shared" ref="S173:S177" si="1989">+BI173+CY173+EO173</f>
        <v>29000</v>
      </c>
      <c r="T173" s="106">
        <f t="shared" ref="T173:T177" si="1990">+BJ173+CZ173+EP173</f>
        <v>29000</v>
      </c>
      <c r="U173" s="106">
        <f t="shared" ref="U173:U177" si="1991">+BK173+DA173+EQ173</f>
        <v>29000</v>
      </c>
      <c r="V173" s="106">
        <f t="shared" ref="V173:V177" si="1992">+BL173+DB173+ER173</f>
        <v>29000</v>
      </c>
      <c r="W173" s="106">
        <f t="shared" ref="W173:W177" si="1993">+BM173+DC173+ES173</f>
        <v>29000</v>
      </c>
      <c r="X173" s="106">
        <f t="shared" ref="X173:X177" si="1994">+BN173+DD173+ET173</f>
        <v>29000</v>
      </c>
      <c r="Y173" s="106">
        <f t="shared" ref="Y173:Y177" si="1995">+BO173+DE173+EU173</f>
        <v>0</v>
      </c>
      <c r="Z173" s="106">
        <f t="shared" ref="Z173:Z177" si="1996">+BP173+DF173+EV173</f>
        <v>0</v>
      </c>
      <c r="AA173" s="106">
        <f t="shared" ref="AA173:AA177" si="1997">+SUM(O173:Z173)</f>
        <v>290000</v>
      </c>
      <c r="AB173" s="118">
        <f t="shared" si="1854"/>
        <v>0</v>
      </c>
      <c r="AC173" s="106">
        <f t="shared" ref="AC173:AC177" si="1998">+BS173+DI173+EY173</f>
        <v>29000</v>
      </c>
      <c r="AD173" s="106">
        <f t="shared" ref="AD173:AD177" si="1999">+BT173+DJ173+EZ173</f>
        <v>29000</v>
      </c>
      <c r="AE173" s="106">
        <f t="shared" ref="AE173:AE177" si="2000">+BU173+DK173+FA173</f>
        <v>29000</v>
      </c>
      <c r="AF173" s="106">
        <f t="shared" ref="AF173:AF177" si="2001">+BV173+DL173+FB173</f>
        <v>29000</v>
      </c>
      <c r="AG173" s="106">
        <f t="shared" ref="AG173:AG177" si="2002">+BW173+DM173+FC173</f>
        <v>29000</v>
      </c>
      <c r="AH173" s="106">
        <f t="shared" ref="AH173:AH177" si="2003">+BX173+DN173+FD173</f>
        <v>29000</v>
      </c>
      <c r="AI173" s="106">
        <f t="shared" ref="AI173:AI177" si="2004">+BY173+DO173+FE173</f>
        <v>29000</v>
      </c>
      <c r="AJ173" s="106">
        <f t="shared" ref="AJ173:AJ177" si="2005">+BZ173+DP173+FF173</f>
        <v>29000</v>
      </c>
      <c r="AK173" s="106">
        <f t="shared" ref="AK173:AK177" si="2006">+CA173+DQ173+FG173</f>
        <v>29000</v>
      </c>
      <c r="AL173" s="106">
        <f t="shared" ref="AL173:AL177" si="2007">+CB173+DR173+FH173</f>
        <v>29000</v>
      </c>
      <c r="AM173" s="106">
        <f t="shared" ref="AM173:AM177" si="2008">+CC173+DS173+FI173</f>
        <v>29000</v>
      </c>
      <c r="AN173" s="106">
        <f t="shared" ref="AN173:AN177" si="2009">+CD173+DT173+FJ173</f>
        <v>29000</v>
      </c>
      <c r="AO173" s="106">
        <f t="shared" ref="AO173:AO177" si="2010">+SUM(AC173:AN173)</f>
        <v>348000</v>
      </c>
      <c r="AQ173" s="106">
        <v>21800</v>
      </c>
      <c r="AR173" s="106">
        <v>21800</v>
      </c>
      <c r="AS173" s="106">
        <v>21800</v>
      </c>
      <c r="AT173" s="106">
        <v>21800</v>
      </c>
      <c r="AU173" s="106">
        <v>21800</v>
      </c>
      <c r="AV173" s="106">
        <v>21800</v>
      </c>
      <c r="AW173" s="106">
        <v>21800</v>
      </c>
      <c r="AX173" s="106">
        <v>21800</v>
      </c>
      <c r="AY173" s="106">
        <v>21800</v>
      </c>
      <c r="AZ173" s="106">
        <v>21800</v>
      </c>
      <c r="BA173" s="106">
        <v>21800</v>
      </c>
      <c r="BB173" s="106">
        <v>21800</v>
      </c>
      <c r="BC173" s="106">
        <f t="shared" ref="BC173:BC177" si="2011">+SUM(AQ173:BB173)</f>
        <v>261600</v>
      </c>
      <c r="BD173" s="16" t="str">
        <f t="shared" si="1410"/>
        <v>Ewnet Charge</v>
      </c>
      <c r="BE173" s="106">
        <f>+VLOOKUP($BD173,'Jan-25'!$A:$J,5,0)</f>
        <v>21800</v>
      </c>
      <c r="BF173" s="106">
        <f>+VLOOKUP($BD173,'Feb-25'!$A:$J,5,0)</f>
        <v>21800</v>
      </c>
      <c r="BG173" s="106">
        <f>+VLOOKUP($BD173,'Mar-25'!$A:$J,5,0)</f>
        <v>21800</v>
      </c>
      <c r="BH173" s="106">
        <f>+VLOOKUP($BD173,'Apr-25'!$A:$J,5,0)</f>
        <v>21800</v>
      </c>
      <c r="BI173" s="106">
        <f>+VLOOKUP($BD173,'May-25'!$A:$J,5,0)</f>
        <v>21800</v>
      </c>
      <c r="BJ173" s="106">
        <f>+VLOOKUP($BD173,'June-25'!$A:$J,5,0)</f>
        <v>21800</v>
      </c>
      <c r="BK173" s="106">
        <f>+VLOOKUP($BD173,'July-25'!$A:$J,5,0)</f>
        <v>21800</v>
      </c>
      <c r="BL173" s="106">
        <f>+VLOOKUP($BD173,'Aug-25'!$A:$J,5,0)</f>
        <v>21800</v>
      </c>
      <c r="BM173" s="106">
        <f>+VLOOKUP($BD173,'Sep-25'!$A:$J,5,0)</f>
        <v>21800</v>
      </c>
      <c r="BN173" s="106">
        <f>+VLOOKUP($BD173,'Oct-25'!$A:$J,5,0)</f>
        <v>21800</v>
      </c>
      <c r="BO173" s="106">
        <f>+VLOOKUP($BD173,'Nov-25'!$A:$J,5,0)</f>
        <v>0</v>
      </c>
      <c r="BP173" s="106">
        <f>+VLOOKUP($BD173,'Dec-25'!$A:$J,5,0)</f>
        <v>0</v>
      </c>
      <c r="BQ173" s="106">
        <f t="shared" ref="BQ173:BQ177" si="2012">+SUM(BE173:BP173)</f>
        <v>218000</v>
      </c>
      <c r="BR173" s="118">
        <f t="shared" si="1870"/>
        <v>0</v>
      </c>
      <c r="BS173" s="106">
        <f>+_xlfn.XLOOKUP($BD173,Budget!$A:$A,Budget!BD:BD)</f>
        <v>21800</v>
      </c>
      <c r="BT173" s="106">
        <f>+_xlfn.XLOOKUP($BD173,Budget!$A:$A,Budget!BE:BE)</f>
        <v>21800</v>
      </c>
      <c r="BU173" s="106">
        <f>+_xlfn.XLOOKUP($BD173,Budget!$A:$A,Budget!BF:BF)</f>
        <v>21800</v>
      </c>
      <c r="BV173" s="106">
        <f>+_xlfn.XLOOKUP($BD173,Budget!$A:$A,Budget!BG:BG)</f>
        <v>21800</v>
      </c>
      <c r="BW173" s="106">
        <f>+_xlfn.XLOOKUP($BD173,Budget!$A:$A,Budget!BH:BH)</f>
        <v>21800</v>
      </c>
      <c r="BX173" s="106">
        <f>+_xlfn.XLOOKUP($BD173,Budget!$A:$A,Budget!BI:BI)</f>
        <v>21800</v>
      </c>
      <c r="BY173" s="106">
        <f>+_xlfn.XLOOKUP($BD173,Budget!$A:$A,Budget!BJ:BJ)</f>
        <v>21800</v>
      </c>
      <c r="BZ173" s="106">
        <f>+_xlfn.XLOOKUP($BD173,Budget!$A:$A,Budget!BK:BK)</f>
        <v>21800</v>
      </c>
      <c r="CA173" s="106">
        <f>+_xlfn.XLOOKUP($BD173,Budget!$A:$A,Budget!BL:BL)</f>
        <v>21800</v>
      </c>
      <c r="CB173" s="106">
        <f>+_xlfn.XLOOKUP($BD173,Budget!$A:$A,Budget!BM:BM)</f>
        <v>21800</v>
      </c>
      <c r="CC173" s="106">
        <f>+_xlfn.XLOOKUP($BD173,Budget!$A:$A,Budget!BN:BN)</f>
        <v>21800</v>
      </c>
      <c r="CD173" s="106">
        <f>+_xlfn.XLOOKUP($BD173,Budget!$A:$A,Budget!BO:BO)</f>
        <v>21800</v>
      </c>
      <c r="CE173" s="106">
        <f t="shared" ref="CE173:CE177" si="2013">+SUM(BS173:CD173)</f>
        <v>261600</v>
      </c>
      <c r="CF173" s="106"/>
      <c r="CG173" s="106">
        <v>7200</v>
      </c>
      <c r="CH173" s="106">
        <v>7200</v>
      </c>
      <c r="CI173" s="106">
        <v>7200</v>
      </c>
      <c r="CJ173" s="106">
        <v>7200</v>
      </c>
      <c r="CK173" s="106">
        <v>7200</v>
      </c>
      <c r="CL173" s="106">
        <v>7200</v>
      </c>
      <c r="CM173" s="106">
        <v>7200</v>
      </c>
      <c r="CN173" s="106">
        <v>7200</v>
      </c>
      <c r="CO173" s="106">
        <v>7200</v>
      </c>
      <c r="CP173" s="106">
        <v>7200</v>
      </c>
      <c r="CQ173" s="106">
        <v>7200</v>
      </c>
      <c r="CR173" s="106">
        <v>7200</v>
      </c>
      <c r="CS173" s="106">
        <f t="shared" ref="CS173:CS177" si="2014">+SUM(CG173:CR173)</f>
        <v>86400</v>
      </c>
      <c r="CT173" s="16" t="str">
        <f t="shared" si="1411"/>
        <v>Ewnet Charge</v>
      </c>
      <c r="CU173" s="106">
        <f>+VLOOKUP($BD173,'Jan-25'!$A:$J,8,0)</f>
        <v>7200</v>
      </c>
      <c r="CV173" s="106">
        <f>+VLOOKUP($BD173,'Feb-25'!$A:$J,8,0)</f>
        <v>7200</v>
      </c>
      <c r="CW173" s="106">
        <f>+VLOOKUP($BD173,'Mar-25'!$A:$J,8,0)</f>
        <v>7200</v>
      </c>
      <c r="CX173" s="106">
        <f>+VLOOKUP($BD173,'Apr-25'!$A:$J,8,0)</f>
        <v>7200</v>
      </c>
      <c r="CY173" s="106">
        <f>+VLOOKUP($BD173,'May-25'!$A:$J,8,0)</f>
        <v>7200</v>
      </c>
      <c r="CZ173" s="106">
        <f>+VLOOKUP($BD173,'June-25'!$A:$J,8,0)</f>
        <v>7200</v>
      </c>
      <c r="DA173" s="106">
        <f>+VLOOKUP($BD173,'July-25'!$A:$J,8,0)</f>
        <v>7200</v>
      </c>
      <c r="DB173" s="106">
        <f>+VLOOKUP($BD173,'Aug-25'!$A:$J,8,0)</f>
        <v>7200</v>
      </c>
      <c r="DC173" s="106">
        <f>+VLOOKUP($BD173,'Sep-25'!$A:$J,8,0)</f>
        <v>7200</v>
      </c>
      <c r="DD173" s="106">
        <f>+VLOOKUP($BD173,'Oct-25'!$A:$J,8,0)</f>
        <v>7200</v>
      </c>
      <c r="DE173" s="106">
        <f>+VLOOKUP($BD173,'Nov-25'!$A:$J,8,0)</f>
        <v>0</v>
      </c>
      <c r="DF173" s="106">
        <f>+VLOOKUP($BD173,'Dec-25'!$A:$J,8,0)</f>
        <v>0</v>
      </c>
      <c r="DG173" s="106">
        <f t="shared" ref="DG173:DG177" si="2015">+SUM(CU173:DF173)</f>
        <v>72000</v>
      </c>
      <c r="DH173" s="118">
        <f t="shared" si="1874"/>
        <v>0</v>
      </c>
      <c r="DI173" s="106">
        <f>+_xlfn.XLOOKUP($CT173,Budget!$A:$A,Budget!CQ:CQ)</f>
        <v>7200</v>
      </c>
      <c r="DJ173" s="106">
        <f>+_xlfn.XLOOKUP($CT173,Budget!$A:$A,Budget!CR:CR)</f>
        <v>7200</v>
      </c>
      <c r="DK173" s="106">
        <f>+_xlfn.XLOOKUP($CT173,Budget!$A:$A,Budget!CS:CS)</f>
        <v>7200</v>
      </c>
      <c r="DL173" s="106">
        <f>+_xlfn.XLOOKUP($CT173,Budget!$A:$A,Budget!CT:CT)</f>
        <v>7200</v>
      </c>
      <c r="DM173" s="106">
        <f>+_xlfn.XLOOKUP($CT173,Budget!$A:$A,Budget!CU:CU)</f>
        <v>7200</v>
      </c>
      <c r="DN173" s="106">
        <f>+_xlfn.XLOOKUP($CT173,Budget!$A:$A,Budget!CV:CV)</f>
        <v>7200</v>
      </c>
      <c r="DO173" s="106">
        <f>+_xlfn.XLOOKUP($CT173,Budget!$A:$A,Budget!CW:CW)</f>
        <v>7200</v>
      </c>
      <c r="DP173" s="106">
        <f>+_xlfn.XLOOKUP($CT173,Budget!$A:$A,Budget!CX:CX)</f>
        <v>7200</v>
      </c>
      <c r="DQ173" s="106">
        <f>+_xlfn.XLOOKUP($CT173,Budget!$A:$A,Budget!CY:CY)</f>
        <v>7200</v>
      </c>
      <c r="DR173" s="106">
        <f>+_xlfn.XLOOKUP($CT173,Budget!$A:$A,Budget!CZ:CZ)</f>
        <v>7200</v>
      </c>
      <c r="DS173" s="106">
        <f>+_xlfn.XLOOKUP($CT173,Budget!$A:$A,Budget!DA:DA)</f>
        <v>7200</v>
      </c>
      <c r="DT173" s="106">
        <f>+_xlfn.XLOOKUP($CT173,Budget!$A:$A,Budget!DB:DB)</f>
        <v>7200</v>
      </c>
      <c r="DU173" s="106">
        <f t="shared" ref="DU173:DU177" si="2016">+SUM(DI173:DT173)</f>
        <v>86400</v>
      </c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106">
        <f t="shared" ref="EI173:EI177" si="2017">+SUM(DW173:EH173)</f>
        <v>0</v>
      </c>
      <c r="EJ173" s="16" t="str">
        <f t="shared" si="1555"/>
        <v>Ewnet Charge</v>
      </c>
      <c r="EK173" s="22">
        <f>+VLOOKUP($BD173,'Jan-25'!$A:$J,10,0)</f>
        <v>0</v>
      </c>
      <c r="EL173" s="22">
        <f>+VLOOKUP($BD173,'Feb-25'!$A:$J,10,0)</f>
        <v>0</v>
      </c>
      <c r="EM173" s="22">
        <f>+VLOOKUP($BD173,'Mar-25'!$A:$J,10,0)</f>
        <v>0</v>
      </c>
      <c r="EN173" s="22">
        <f>+VLOOKUP($BD173,'Apr-25'!$A:$J,10,0)</f>
        <v>0</v>
      </c>
      <c r="EO173" s="22">
        <f>+VLOOKUP($BD173,'May-25'!$A:$J,10,0)</f>
        <v>0</v>
      </c>
      <c r="EP173" s="22">
        <f>+VLOOKUP($BD173,'June-25'!$A:$J,10,0)</f>
        <v>0</v>
      </c>
      <c r="EQ173" s="22">
        <f>+VLOOKUP($BD173,'July-25'!$A:$J,10,0)</f>
        <v>0</v>
      </c>
      <c r="ER173" s="22">
        <f>+VLOOKUP($BD173,'Aug-25'!$A:$J,10,0)</f>
        <v>0</v>
      </c>
      <c r="ES173" s="22">
        <f>+VLOOKUP($BD173,'Sep-25'!$A:$J,10,0)</f>
        <v>0</v>
      </c>
      <c r="ET173" s="22">
        <f>+VLOOKUP($BD173,'Oct-25'!$A:$J,10,0)</f>
        <v>0</v>
      </c>
      <c r="EU173" s="22">
        <f>+VLOOKUP($BD173,'Nov-25'!$A:$J,10,0)</f>
        <v>0</v>
      </c>
      <c r="EV173" s="22">
        <f>+VLOOKUP($BD173,'Dec-25'!$A:$J,10,0)</f>
        <v>0</v>
      </c>
      <c r="EW173" s="22">
        <f t="shared" ref="EW173:EW177" si="2018">+SUM(EK173:EV173)</f>
        <v>0</v>
      </c>
      <c r="EX173" s="118" t="e">
        <f t="shared" si="1878"/>
        <v>#DIV/0!</v>
      </c>
      <c r="EY173" s="106">
        <f>+_xlfn.XLOOKUP($EJ173,Budget!$A:$A,Budget!DR:DR)</f>
        <v>0</v>
      </c>
      <c r="EZ173" s="106">
        <f>+_xlfn.XLOOKUP($EJ173,Budget!$A:$A,Budget!DS:DS)</f>
        <v>0</v>
      </c>
      <c r="FA173" s="106">
        <f>+_xlfn.XLOOKUP($EJ173,Budget!$A:$A,Budget!DT:DT)</f>
        <v>0</v>
      </c>
      <c r="FB173" s="106">
        <f>+_xlfn.XLOOKUP($EJ173,Budget!$A:$A,Budget!DU:DU)</f>
        <v>0</v>
      </c>
      <c r="FC173" s="106">
        <f>+_xlfn.XLOOKUP($EJ173,Budget!$A:$A,Budget!DV:DV)</f>
        <v>0</v>
      </c>
      <c r="FD173" s="106">
        <f>+_xlfn.XLOOKUP($EJ173,Budget!$A:$A,Budget!DW:DW)</f>
        <v>0</v>
      </c>
      <c r="FE173" s="106">
        <f>+_xlfn.XLOOKUP($EJ173,Budget!$A:$A,Budget!DX:DX)</f>
        <v>0</v>
      </c>
      <c r="FF173" s="106">
        <f>+_xlfn.XLOOKUP($EJ173,Budget!$A:$A,Budget!DY:DY)</f>
        <v>0</v>
      </c>
      <c r="FG173" s="106">
        <f>+_xlfn.XLOOKUP($EJ173,Budget!$A:$A,Budget!DZ:DZ)</f>
        <v>0</v>
      </c>
      <c r="FH173" s="106">
        <f>+_xlfn.XLOOKUP($EJ173,Budget!$A:$A,Budget!EA:EA)</f>
        <v>0</v>
      </c>
      <c r="FI173" s="106">
        <f>+_xlfn.XLOOKUP($EJ173,Budget!$A:$A,Budget!EB:EB)</f>
        <v>0</v>
      </c>
      <c r="FJ173" s="106">
        <f>+_xlfn.XLOOKUP($EJ173,Budget!$A:$A,Budget!EC:EC)</f>
        <v>0</v>
      </c>
      <c r="FK173" s="106">
        <f t="shared" ref="FK173:FK177" si="2019">+SUM(EY173:FJ173)</f>
        <v>0</v>
      </c>
    </row>
    <row r="174" spans="1:167" ht="14.45" hidden="1" customHeight="1" outlineLevel="2">
      <c r="A174" s="106">
        <f t="shared" si="1983"/>
        <v>0</v>
      </c>
      <c r="B174" s="106">
        <f t="shared" si="1983"/>
        <v>0</v>
      </c>
      <c r="C174" s="106">
        <f t="shared" si="1983"/>
        <v>0</v>
      </c>
      <c r="D174" s="106">
        <f t="shared" si="1983"/>
        <v>0</v>
      </c>
      <c r="E174" s="106">
        <f t="shared" si="1983"/>
        <v>0</v>
      </c>
      <c r="F174" s="106">
        <f t="shared" si="1983"/>
        <v>0</v>
      </c>
      <c r="G174" s="106">
        <f t="shared" si="1983"/>
        <v>0</v>
      </c>
      <c r="H174" s="106">
        <f t="shared" si="1983"/>
        <v>0</v>
      </c>
      <c r="I174" s="106">
        <f t="shared" si="1983"/>
        <v>0</v>
      </c>
      <c r="J174" s="106">
        <f t="shared" si="1983"/>
        <v>0</v>
      </c>
      <c r="K174" s="106">
        <f t="shared" si="1983"/>
        <v>0</v>
      </c>
      <c r="L174" s="106">
        <f t="shared" si="1983"/>
        <v>0</v>
      </c>
      <c r="M174" s="106">
        <f t="shared" si="1984"/>
        <v>0</v>
      </c>
      <c r="N174" s="16" t="s">
        <v>146</v>
      </c>
      <c r="O174" s="106">
        <f t="shared" si="1985"/>
        <v>0</v>
      </c>
      <c r="P174" s="106">
        <f t="shared" si="1986"/>
        <v>0</v>
      </c>
      <c r="Q174" s="106">
        <f t="shared" si="1987"/>
        <v>0</v>
      </c>
      <c r="R174" s="106">
        <f t="shared" si="1988"/>
        <v>0</v>
      </c>
      <c r="S174" s="106">
        <f t="shared" si="1989"/>
        <v>0</v>
      </c>
      <c r="T174" s="106">
        <f t="shared" si="1990"/>
        <v>0</v>
      </c>
      <c r="U174" s="106">
        <f t="shared" si="1991"/>
        <v>0</v>
      </c>
      <c r="V174" s="106">
        <f t="shared" si="1992"/>
        <v>0</v>
      </c>
      <c r="W174" s="106">
        <f t="shared" si="1993"/>
        <v>0</v>
      </c>
      <c r="X174" s="106">
        <f t="shared" si="1994"/>
        <v>0</v>
      </c>
      <c r="Y174" s="106">
        <f t="shared" si="1995"/>
        <v>0</v>
      </c>
      <c r="Z174" s="106">
        <f t="shared" si="1996"/>
        <v>0</v>
      </c>
      <c r="AA174" s="106">
        <f t="shared" si="1997"/>
        <v>0</v>
      </c>
      <c r="AB174" s="118">
        <f t="shared" si="1854"/>
        <v>-1</v>
      </c>
      <c r="AC174" s="106">
        <f t="shared" si="1998"/>
        <v>24000</v>
      </c>
      <c r="AD174" s="106">
        <f t="shared" si="1999"/>
        <v>24000</v>
      </c>
      <c r="AE174" s="106">
        <f t="shared" si="2000"/>
        <v>24000</v>
      </c>
      <c r="AF174" s="106">
        <f t="shared" si="2001"/>
        <v>24000</v>
      </c>
      <c r="AG174" s="106">
        <f t="shared" si="2002"/>
        <v>24000</v>
      </c>
      <c r="AH174" s="106">
        <f t="shared" si="2003"/>
        <v>24000</v>
      </c>
      <c r="AI174" s="106">
        <f t="shared" si="2004"/>
        <v>24000</v>
      </c>
      <c r="AJ174" s="106">
        <f t="shared" si="2005"/>
        <v>24000</v>
      </c>
      <c r="AK174" s="106">
        <f t="shared" si="2006"/>
        <v>24000</v>
      </c>
      <c r="AL174" s="106">
        <f t="shared" si="2007"/>
        <v>24000</v>
      </c>
      <c r="AM174" s="106">
        <f t="shared" si="2008"/>
        <v>24000</v>
      </c>
      <c r="AN174" s="106">
        <f t="shared" si="2009"/>
        <v>24000</v>
      </c>
      <c r="AO174" s="106">
        <f t="shared" si="2010"/>
        <v>288000</v>
      </c>
      <c r="AQ174" s="106">
        <v>0</v>
      </c>
      <c r="AR174" s="106">
        <v>0</v>
      </c>
      <c r="AS174" s="106">
        <v>0</v>
      </c>
      <c r="AT174" s="106">
        <v>0</v>
      </c>
      <c r="AU174" s="106">
        <v>0</v>
      </c>
      <c r="AV174" s="106">
        <v>0</v>
      </c>
      <c r="AW174" s="106">
        <v>0</v>
      </c>
      <c r="AX174" s="106">
        <v>0</v>
      </c>
      <c r="AY174" s="106">
        <v>0</v>
      </c>
      <c r="AZ174" s="106">
        <v>0</v>
      </c>
      <c r="BA174" s="106">
        <v>0</v>
      </c>
      <c r="BB174" s="106">
        <v>0</v>
      </c>
      <c r="BC174" s="106">
        <f t="shared" si="2011"/>
        <v>0</v>
      </c>
      <c r="BD174" s="16" t="str">
        <f t="shared" si="1410"/>
        <v>Edealer Charges</v>
      </c>
      <c r="BE174" s="106">
        <f>+VLOOKUP($BD174,'Jan-25'!$A:$J,5,0)</f>
        <v>0</v>
      </c>
      <c r="BF174" s="106">
        <f>+VLOOKUP($BD174,'Feb-25'!$A:$J,5,0)</f>
        <v>0</v>
      </c>
      <c r="BG174" s="106">
        <f>+VLOOKUP($BD174,'Mar-25'!$A:$J,5,0)</f>
        <v>0</v>
      </c>
      <c r="BH174" s="106">
        <f>+VLOOKUP($BD174,'Apr-25'!$A:$J,5,0)</f>
        <v>0</v>
      </c>
      <c r="BI174" s="106">
        <f>+VLOOKUP($BD174,'May-25'!$A:$J,5,0)</f>
        <v>0</v>
      </c>
      <c r="BJ174" s="106">
        <f>+VLOOKUP($BD174,'June-25'!$A:$J,5,0)</f>
        <v>0</v>
      </c>
      <c r="BK174" s="106">
        <f>+VLOOKUP($BD174,'July-25'!$A:$J,5,0)</f>
        <v>0</v>
      </c>
      <c r="BL174" s="106">
        <f>+VLOOKUP($BD174,'Aug-25'!$A:$J,5,0)</f>
        <v>0</v>
      </c>
      <c r="BM174" s="106">
        <f>+VLOOKUP($BD174,'Sep-25'!$A:$J,5,0)</f>
        <v>0</v>
      </c>
      <c r="BN174" s="106">
        <f>+VLOOKUP($BD174,'Oct-25'!$A:$J,5,0)</f>
        <v>0</v>
      </c>
      <c r="BO174" s="106">
        <f>+VLOOKUP($BD174,'Nov-25'!$A:$J,5,0)</f>
        <v>0</v>
      </c>
      <c r="BP174" s="106">
        <f>+VLOOKUP($BD174,'Dec-25'!$A:$J,5,0)</f>
        <v>0</v>
      </c>
      <c r="BQ174" s="106">
        <f t="shared" si="2012"/>
        <v>0</v>
      </c>
      <c r="BR174" s="118">
        <f t="shared" si="1870"/>
        <v>-1</v>
      </c>
      <c r="BS174" s="106">
        <f>+_xlfn.XLOOKUP($BD174,Budget!$A:$A,Budget!BD:BD)</f>
        <v>12000</v>
      </c>
      <c r="BT174" s="106">
        <f>+_xlfn.XLOOKUP($BD174,Budget!$A:$A,Budget!BE:BE)</f>
        <v>12000</v>
      </c>
      <c r="BU174" s="106">
        <f>+_xlfn.XLOOKUP($BD174,Budget!$A:$A,Budget!BF:BF)</f>
        <v>12000</v>
      </c>
      <c r="BV174" s="106">
        <f>+_xlfn.XLOOKUP($BD174,Budget!$A:$A,Budget!BG:BG)</f>
        <v>12000</v>
      </c>
      <c r="BW174" s="106">
        <f>+_xlfn.XLOOKUP($BD174,Budget!$A:$A,Budget!BH:BH)</f>
        <v>12000</v>
      </c>
      <c r="BX174" s="106">
        <f>+_xlfn.XLOOKUP($BD174,Budget!$A:$A,Budget!BI:BI)</f>
        <v>12000</v>
      </c>
      <c r="BY174" s="106">
        <f>+_xlfn.XLOOKUP($BD174,Budget!$A:$A,Budget!BJ:BJ)</f>
        <v>12000</v>
      </c>
      <c r="BZ174" s="106">
        <f>+_xlfn.XLOOKUP($BD174,Budget!$A:$A,Budget!BK:BK)</f>
        <v>12000</v>
      </c>
      <c r="CA174" s="106">
        <f>+_xlfn.XLOOKUP($BD174,Budget!$A:$A,Budget!BL:BL)</f>
        <v>12000</v>
      </c>
      <c r="CB174" s="106">
        <f>+_xlfn.XLOOKUP($BD174,Budget!$A:$A,Budget!BM:BM)</f>
        <v>12000</v>
      </c>
      <c r="CC174" s="106">
        <f>+_xlfn.XLOOKUP($BD174,Budget!$A:$A,Budget!BN:BN)</f>
        <v>12000</v>
      </c>
      <c r="CD174" s="106">
        <f>+_xlfn.XLOOKUP($BD174,Budget!$A:$A,Budget!BO:BO)</f>
        <v>12000</v>
      </c>
      <c r="CE174" s="106">
        <f t="shared" si="2013"/>
        <v>144000</v>
      </c>
      <c r="CF174" s="106"/>
      <c r="CG174" s="106">
        <v>0</v>
      </c>
      <c r="CH174" s="106">
        <v>0</v>
      </c>
      <c r="CI174" s="106">
        <v>0</v>
      </c>
      <c r="CJ174" s="106">
        <v>0</v>
      </c>
      <c r="CK174" s="106">
        <v>0</v>
      </c>
      <c r="CL174" s="106">
        <v>0</v>
      </c>
      <c r="CM174" s="106">
        <v>0</v>
      </c>
      <c r="CN174" s="106">
        <v>0</v>
      </c>
      <c r="CO174" s="106">
        <v>0</v>
      </c>
      <c r="CP174" s="106">
        <v>0</v>
      </c>
      <c r="CQ174" s="106">
        <v>0</v>
      </c>
      <c r="CR174" s="106">
        <v>0</v>
      </c>
      <c r="CS174" s="106">
        <f t="shared" si="2014"/>
        <v>0</v>
      </c>
      <c r="CT174" s="16" t="str">
        <f t="shared" si="1411"/>
        <v>Edealer Charges</v>
      </c>
      <c r="CU174" s="106">
        <f>+VLOOKUP($BD174,'Jan-25'!$A:$J,8,0)</f>
        <v>0</v>
      </c>
      <c r="CV174" s="106">
        <f>+VLOOKUP($BD174,'Feb-25'!$A:$J,8,0)</f>
        <v>0</v>
      </c>
      <c r="CW174" s="106">
        <f>+VLOOKUP($BD174,'Mar-25'!$A:$J,8,0)</f>
        <v>0</v>
      </c>
      <c r="CX174" s="106">
        <f>+VLOOKUP($BD174,'Apr-25'!$A:$J,8,0)</f>
        <v>0</v>
      </c>
      <c r="CY174" s="106">
        <f>+VLOOKUP($BD174,'May-25'!$A:$J,8,0)</f>
        <v>0</v>
      </c>
      <c r="CZ174" s="106">
        <f>+VLOOKUP($BD174,'June-25'!$A:$J,8,0)</f>
        <v>0</v>
      </c>
      <c r="DA174" s="106">
        <f>+VLOOKUP($BD174,'July-25'!$A:$J,8,0)</f>
        <v>0</v>
      </c>
      <c r="DB174" s="106">
        <f>+VLOOKUP($BD174,'Aug-25'!$A:$J,8,0)</f>
        <v>0</v>
      </c>
      <c r="DC174" s="106">
        <f>+VLOOKUP($BD174,'Sep-25'!$A:$J,8,0)</f>
        <v>0</v>
      </c>
      <c r="DD174" s="106">
        <f>+VLOOKUP($BD174,'Oct-25'!$A:$J,8,0)</f>
        <v>0</v>
      </c>
      <c r="DE174" s="106">
        <f>+VLOOKUP($BD174,'Nov-25'!$A:$J,8,0)</f>
        <v>0</v>
      </c>
      <c r="DF174" s="106">
        <f>+VLOOKUP($BD174,'Dec-25'!$A:$J,8,0)</f>
        <v>0</v>
      </c>
      <c r="DG174" s="106">
        <f t="shared" si="2015"/>
        <v>0</v>
      </c>
      <c r="DH174" s="118">
        <f t="shared" si="1874"/>
        <v>-1</v>
      </c>
      <c r="DI174" s="106">
        <f>+_xlfn.XLOOKUP($CT174,Budget!$A:$A,Budget!CQ:CQ)</f>
        <v>7200</v>
      </c>
      <c r="DJ174" s="106">
        <f>+_xlfn.XLOOKUP($CT174,Budget!$A:$A,Budget!CR:CR)</f>
        <v>7200</v>
      </c>
      <c r="DK174" s="106">
        <f>+_xlfn.XLOOKUP($CT174,Budget!$A:$A,Budget!CS:CS)</f>
        <v>7200</v>
      </c>
      <c r="DL174" s="106">
        <f>+_xlfn.XLOOKUP($CT174,Budget!$A:$A,Budget!CT:CT)</f>
        <v>7200</v>
      </c>
      <c r="DM174" s="106">
        <f>+_xlfn.XLOOKUP($CT174,Budget!$A:$A,Budget!CU:CU)</f>
        <v>7200</v>
      </c>
      <c r="DN174" s="106">
        <f>+_xlfn.XLOOKUP($CT174,Budget!$A:$A,Budget!CV:CV)</f>
        <v>7200</v>
      </c>
      <c r="DO174" s="106">
        <f>+_xlfn.XLOOKUP($CT174,Budget!$A:$A,Budget!CW:CW)</f>
        <v>7200</v>
      </c>
      <c r="DP174" s="106">
        <f>+_xlfn.XLOOKUP($CT174,Budget!$A:$A,Budget!CX:CX)</f>
        <v>7200</v>
      </c>
      <c r="DQ174" s="106">
        <f>+_xlfn.XLOOKUP($CT174,Budget!$A:$A,Budget!CY:CY)</f>
        <v>7200</v>
      </c>
      <c r="DR174" s="106">
        <f>+_xlfn.XLOOKUP($CT174,Budget!$A:$A,Budget!CZ:CZ)</f>
        <v>7200</v>
      </c>
      <c r="DS174" s="106">
        <f>+_xlfn.XLOOKUP($CT174,Budget!$A:$A,Budget!DA:DA)</f>
        <v>7200</v>
      </c>
      <c r="DT174" s="106">
        <f>+_xlfn.XLOOKUP($CT174,Budget!$A:$A,Budget!DB:DB)</f>
        <v>7200</v>
      </c>
      <c r="DU174" s="106">
        <f t="shared" si="2016"/>
        <v>86400</v>
      </c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106">
        <f t="shared" si="2017"/>
        <v>0</v>
      </c>
      <c r="EJ174" s="16" t="str">
        <f t="shared" si="1555"/>
        <v>Edealer Charges</v>
      </c>
      <c r="EK174" s="22">
        <f>+VLOOKUP($BD174,'Jan-25'!$A:$J,10,0)</f>
        <v>0</v>
      </c>
      <c r="EL174" s="22">
        <f>+VLOOKUP($BD174,'Feb-25'!$A:$J,10,0)</f>
        <v>0</v>
      </c>
      <c r="EM174" s="22">
        <f>+VLOOKUP($BD174,'Mar-25'!$A:$J,10,0)</f>
        <v>0</v>
      </c>
      <c r="EN174" s="22">
        <f>+VLOOKUP($BD174,'Apr-25'!$A:$J,10,0)</f>
        <v>0</v>
      </c>
      <c r="EO174" s="22">
        <f>+VLOOKUP($BD174,'May-25'!$A:$J,10,0)</f>
        <v>0</v>
      </c>
      <c r="EP174" s="22">
        <f>+VLOOKUP($BD174,'June-25'!$A:$J,10,0)</f>
        <v>0</v>
      </c>
      <c r="EQ174" s="22">
        <f>+VLOOKUP($BD174,'July-25'!$A:$J,10,0)</f>
        <v>0</v>
      </c>
      <c r="ER174" s="22">
        <f>+VLOOKUP($BD174,'Aug-25'!$A:$J,10,0)</f>
        <v>0</v>
      </c>
      <c r="ES174" s="22">
        <f>+VLOOKUP($BD174,'Sep-25'!$A:$J,10,0)</f>
        <v>0</v>
      </c>
      <c r="ET174" s="22">
        <f>+VLOOKUP($BD174,'Oct-25'!$A:$J,10,0)</f>
        <v>0</v>
      </c>
      <c r="EU174" s="22">
        <f>+VLOOKUP($BD174,'Nov-25'!$A:$J,10,0)</f>
        <v>0</v>
      </c>
      <c r="EV174" s="22">
        <f>+VLOOKUP($BD174,'Dec-25'!$A:$J,10,0)</f>
        <v>0</v>
      </c>
      <c r="EW174" s="22">
        <f t="shared" si="2018"/>
        <v>0</v>
      </c>
      <c r="EX174" s="118">
        <f t="shared" si="1878"/>
        <v>-1</v>
      </c>
      <c r="EY174" s="106">
        <f>+_xlfn.XLOOKUP($EJ174,Budget!$A:$A,Budget!DR:DR)</f>
        <v>4800</v>
      </c>
      <c r="EZ174" s="106">
        <f>+_xlfn.XLOOKUP($EJ174,Budget!$A:$A,Budget!DS:DS)</f>
        <v>4800</v>
      </c>
      <c r="FA174" s="106">
        <f>+_xlfn.XLOOKUP($EJ174,Budget!$A:$A,Budget!DT:DT)</f>
        <v>4800</v>
      </c>
      <c r="FB174" s="106">
        <f>+_xlfn.XLOOKUP($EJ174,Budget!$A:$A,Budget!DU:DU)</f>
        <v>4800</v>
      </c>
      <c r="FC174" s="106">
        <f>+_xlfn.XLOOKUP($EJ174,Budget!$A:$A,Budget!DV:DV)</f>
        <v>4800</v>
      </c>
      <c r="FD174" s="106">
        <f>+_xlfn.XLOOKUP($EJ174,Budget!$A:$A,Budget!DW:DW)</f>
        <v>4800</v>
      </c>
      <c r="FE174" s="106">
        <f>+_xlfn.XLOOKUP($EJ174,Budget!$A:$A,Budget!DX:DX)</f>
        <v>4800</v>
      </c>
      <c r="FF174" s="106">
        <f>+_xlfn.XLOOKUP($EJ174,Budget!$A:$A,Budget!DY:DY)</f>
        <v>4800</v>
      </c>
      <c r="FG174" s="106">
        <f>+_xlfn.XLOOKUP($EJ174,Budget!$A:$A,Budget!DZ:DZ)</f>
        <v>4800</v>
      </c>
      <c r="FH174" s="106">
        <f>+_xlfn.XLOOKUP($EJ174,Budget!$A:$A,Budget!EA:EA)</f>
        <v>4800</v>
      </c>
      <c r="FI174" s="106">
        <f>+_xlfn.XLOOKUP($EJ174,Budget!$A:$A,Budget!EB:EB)</f>
        <v>4800</v>
      </c>
      <c r="FJ174" s="106">
        <f>+_xlfn.XLOOKUP($EJ174,Budget!$A:$A,Budget!EC:EC)</f>
        <v>4800</v>
      </c>
      <c r="FK174" s="106">
        <f t="shared" si="2019"/>
        <v>57600</v>
      </c>
    </row>
    <row r="175" spans="1:167" ht="14.45" hidden="1" customHeight="1" outlineLevel="2">
      <c r="A175" s="106">
        <f t="shared" si="1983"/>
        <v>55059.945333333199</v>
      </c>
      <c r="B175" s="106">
        <f t="shared" si="1983"/>
        <v>55059.945333333199</v>
      </c>
      <c r="C175" s="106">
        <f t="shared" si="1983"/>
        <v>55059.945333333199</v>
      </c>
      <c r="D175" s="106">
        <f t="shared" si="1983"/>
        <v>59232</v>
      </c>
      <c r="E175" s="106">
        <f t="shared" si="1983"/>
        <v>59232</v>
      </c>
      <c r="F175" s="106">
        <f t="shared" si="1983"/>
        <v>59232</v>
      </c>
      <c r="G175" s="106">
        <f t="shared" si="1983"/>
        <v>59232</v>
      </c>
      <c r="H175" s="106">
        <f t="shared" si="1983"/>
        <v>59232</v>
      </c>
      <c r="I175" s="106">
        <f t="shared" si="1983"/>
        <v>59232</v>
      </c>
      <c r="J175" s="106">
        <f t="shared" si="1983"/>
        <v>59232</v>
      </c>
      <c r="K175" s="106">
        <f t="shared" si="1983"/>
        <v>59232</v>
      </c>
      <c r="L175" s="106">
        <f t="shared" si="1983"/>
        <v>59232</v>
      </c>
      <c r="M175" s="106">
        <f t="shared" si="1984"/>
        <v>698267.83599999966</v>
      </c>
      <c r="N175" s="16" t="s">
        <v>230</v>
      </c>
      <c r="O175" s="106">
        <f t="shared" si="1985"/>
        <v>0</v>
      </c>
      <c r="P175" s="106">
        <f t="shared" si="1986"/>
        <v>0</v>
      </c>
      <c r="Q175" s="106">
        <f t="shared" si="1987"/>
        <v>0</v>
      </c>
      <c r="R175" s="106">
        <f t="shared" si="1988"/>
        <v>0</v>
      </c>
      <c r="S175" s="106">
        <f t="shared" si="1989"/>
        <v>126204.16</v>
      </c>
      <c r="T175" s="106">
        <f t="shared" si="1990"/>
        <v>0</v>
      </c>
      <c r="U175" s="106">
        <f t="shared" si="1991"/>
        <v>0</v>
      </c>
      <c r="V175" s="106">
        <f t="shared" si="1992"/>
        <v>96000</v>
      </c>
      <c r="W175" s="106">
        <f t="shared" si="1993"/>
        <v>96000</v>
      </c>
      <c r="X175" s="106">
        <f t="shared" si="1994"/>
        <v>96000</v>
      </c>
      <c r="Y175" s="106">
        <f t="shared" si="1995"/>
        <v>0</v>
      </c>
      <c r="Z175" s="106">
        <f t="shared" si="1996"/>
        <v>0</v>
      </c>
      <c r="AA175" s="106">
        <f t="shared" si="1997"/>
        <v>414204.16000000003</v>
      </c>
      <c r="AB175" s="118">
        <f t="shared" si="1854"/>
        <v>0</v>
      </c>
      <c r="AC175" s="106">
        <f t="shared" si="1998"/>
        <v>96000</v>
      </c>
      <c r="AD175" s="106">
        <f t="shared" si="1999"/>
        <v>96000</v>
      </c>
      <c r="AE175" s="106">
        <f t="shared" si="2000"/>
        <v>96000</v>
      </c>
      <c r="AF175" s="106">
        <f t="shared" si="2001"/>
        <v>96000</v>
      </c>
      <c r="AG175" s="106">
        <f t="shared" si="2002"/>
        <v>96000</v>
      </c>
      <c r="AH175" s="106">
        <f t="shared" si="2003"/>
        <v>96000</v>
      </c>
      <c r="AI175" s="106">
        <f t="shared" si="2004"/>
        <v>96000</v>
      </c>
      <c r="AJ175" s="106">
        <f t="shared" si="2005"/>
        <v>96000</v>
      </c>
      <c r="AK175" s="106">
        <f t="shared" si="2006"/>
        <v>96000</v>
      </c>
      <c r="AL175" s="106">
        <f t="shared" si="2007"/>
        <v>96000</v>
      </c>
      <c r="AM175" s="106">
        <f t="shared" si="2008"/>
        <v>96000</v>
      </c>
      <c r="AN175" s="106">
        <f t="shared" si="2009"/>
        <v>96000</v>
      </c>
      <c r="AO175" s="106">
        <f t="shared" si="2010"/>
        <v>1152000</v>
      </c>
      <c r="AQ175" s="106">
        <v>33035.967199999919</v>
      </c>
      <c r="AR175" s="106">
        <v>33035.967199999919</v>
      </c>
      <c r="AS175" s="106">
        <v>33035.967199999919</v>
      </c>
      <c r="AT175" s="106">
        <v>35540</v>
      </c>
      <c r="AU175" s="106">
        <v>35540</v>
      </c>
      <c r="AV175" s="106">
        <v>35540</v>
      </c>
      <c r="AW175" s="106">
        <v>35540</v>
      </c>
      <c r="AX175" s="106">
        <v>35540</v>
      </c>
      <c r="AY175" s="106">
        <v>35540</v>
      </c>
      <c r="AZ175" s="106">
        <v>35540</v>
      </c>
      <c r="BA175" s="106">
        <v>35540</v>
      </c>
      <c r="BB175" s="106">
        <v>35540</v>
      </c>
      <c r="BC175" s="106">
        <f t="shared" si="2011"/>
        <v>418967.90159999975</v>
      </c>
      <c r="BD175" s="16" t="str">
        <f t="shared" si="1410"/>
        <v>Xentry Finance Charge</v>
      </c>
      <c r="BE175" s="106">
        <f>+VLOOKUP($BD175,'Jan-25'!$A:$J,5,0)</f>
        <v>0</v>
      </c>
      <c r="BF175" s="106">
        <f>+VLOOKUP($BD175,'Feb-25'!$A:$J,5,0)</f>
        <v>0</v>
      </c>
      <c r="BG175" s="106">
        <f>+VLOOKUP($BD175,'Mar-25'!$A:$J,5,0)</f>
        <v>0</v>
      </c>
      <c r="BH175" s="106">
        <f>+VLOOKUP($BD175,'Apr-25'!$A:$J,5,0)</f>
        <v>0</v>
      </c>
      <c r="BI175" s="106">
        <f>+VLOOKUP($BD175,'May-25'!$A:$J,5,0)</f>
        <v>94653.119999999995</v>
      </c>
      <c r="BJ175" s="106">
        <f>+VLOOKUP($BD175,'June-25'!$A:$J,5,0)</f>
        <v>0</v>
      </c>
      <c r="BK175" s="106">
        <f>+VLOOKUP($BD175,'July-25'!$A:$J,5,0)</f>
        <v>0</v>
      </c>
      <c r="BL175" s="106">
        <f>+VLOOKUP($BD175,'Aug-25'!$A:$J,5,0)</f>
        <v>57600</v>
      </c>
      <c r="BM175" s="106">
        <f>+VLOOKUP($BD175,'Sep-25'!$A:$J,5,0)</f>
        <v>57600</v>
      </c>
      <c r="BN175" s="106">
        <f>+VLOOKUP($BD175,'Oct-25'!$A:$J,5,0)</f>
        <v>57600</v>
      </c>
      <c r="BO175" s="106">
        <f>+VLOOKUP($BD175,'Nov-25'!$A:$J,5,0)</f>
        <v>0</v>
      </c>
      <c r="BP175" s="106">
        <f>+VLOOKUP($BD175,'Dec-25'!$A:$J,5,0)</f>
        <v>0</v>
      </c>
      <c r="BQ175" s="106">
        <f t="shared" si="2012"/>
        <v>267453.12</v>
      </c>
      <c r="BR175" s="118">
        <f t="shared" si="1870"/>
        <v>0</v>
      </c>
      <c r="BS175" s="106">
        <f>+_xlfn.XLOOKUP($BD175,Budget!$A:$A,Budget!BD:BD)</f>
        <v>57600</v>
      </c>
      <c r="BT175" s="106">
        <f>+_xlfn.XLOOKUP($BD175,Budget!$A:$A,Budget!BE:BE)</f>
        <v>57600</v>
      </c>
      <c r="BU175" s="106">
        <f>+_xlfn.XLOOKUP($BD175,Budget!$A:$A,Budget!BF:BF)</f>
        <v>57600</v>
      </c>
      <c r="BV175" s="106">
        <f>+_xlfn.XLOOKUP($BD175,Budget!$A:$A,Budget!BG:BG)</f>
        <v>57600</v>
      </c>
      <c r="BW175" s="106">
        <f>+_xlfn.XLOOKUP($BD175,Budget!$A:$A,Budget!BH:BH)</f>
        <v>57600</v>
      </c>
      <c r="BX175" s="106">
        <f>+_xlfn.XLOOKUP($BD175,Budget!$A:$A,Budget!BI:BI)</f>
        <v>57600</v>
      </c>
      <c r="BY175" s="106">
        <f>+_xlfn.XLOOKUP($BD175,Budget!$A:$A,Budget!BJ:BJ)</f>
        <v>57600</v>
      </c>
      <c r="BZ175" s="106">
        <f>+_xlfn.XLOOKUP($BD175,Budget!$A:$A,Budget!BK:BK)</f>
        <v>57600</v>
      </c>
      <c r="CA175" s="106">
        <f>+_xlfn.XLOOKUP($BD175,Budget!$A:$A,Budget!BL:BL)</f>
        <v>57600</v>
      </c>
      <c r="CB175" s="106">
        <f>+_xlfn.XLOOKUP($BD175,Budget!$A:$A,Budget!BM:BM)</f>
        <v>57600</v>
      </c>
      <c r="CC175" s="106">
        <f>+_xlfn.XLOOKUP($BD175,Budget!$A:$A,Budget!BN:BN)</f>
        <v>57600</v>
      </c>
      <c r="CD175" s="106">
        <f>+_xlfn.XLOOKUP($BD175,Budget!$A:$A,Budget!BO:BO)</f>
        <v>57600</v>
      </c>
      <c r="CE175" s="106">
        <f t="shared" si="2013"/>
        <v>691200</v>
      </c>
      <c r="CF175" s="106"/>
      <c r="CG175" s="106">
        <v>22023.978133333279</v>
      </c>
      <c r="CH175" s="106">
        <v>22023.978133333279</v>
      </c>
      <c r="CI175" s="106">
        <v>22023.978133333279</v>
      </c>
      <c r="CJ175" s="106">
        <v>23692</v>
      </c>
      <c r="CK175" s="106">
        <v>23692</v>
      </c>
      <c r="CL175" s="106">
        <v>23692</v>
      </c>
      <c r="CM175" s="106">
        <v>23692</v>
      </c>
      <c r="CN175" s="106">
        <v>23692</v>
      </c>
      <c r="CO175" s="106">
        <v>23692</v>
      </c>
      <c r="CP175" s="106">
        <v>23692</v>
      </c>
      <c r="CQ175" s="106">
        <v>23692</v>
      </c>
      <c r="CR175" s="106">
        <v>23692</v>
      </c>
      <c r="CS175" s="106">
        <f t="shared" si="2014"/>
        <v>279299.93439999985</v>
      </c>
      <c r="CT175" s="16" t="str">
        <f t="shared" si="1411"/>
        <v>Xentry Finance Charge</v>
      </c>
      <c r="CU175" s="106">
        <f>+VLOOKUP($BD175,'Jan-25'!$A:$J,8,0)</f>
        <v>0</v>
      </c>
      <c r="CV175" s="106">
        <f>+VLOOKUP($BD175,'Feb-25'!$A:$J,8,0)</f>
        <v>0</v>
      </c>
      <c r="CW175" s="106">
        <f>+VLOOKUP($BD175,'Mar-25'!$A:$J,8,0)</f>
        <v>0</v>
      </c>
      <c r="CX175" s="106">
        <f>+VLOOKUP($BD175,'Apr-25'!$A:$J,8,0)</f>
        <v>0</v>
      </c>
      <c r="CY175" s="106">
        <f>+VLOOKUP($BD175,'May-25'!$A:$J,8,0)</f>
        <v>31551.040000000001</v>
      </c>
      <c r="CZ175" s="106">
        <f>+VLOOKUP($BD175,'June-25'!$A:$J,8,0)</f>
        <v>0</v>
      </c>
      <c r="DA175" s="106">
        <f>+VLOOKUP($BD175,'July-25'!$A:$J,8,0)</f>
        <v>0</v>
      </c>
      <c r="DB175" s="106">
        <f>+VLOOKUP($BD175,'Aug-25'!$A:$J,8,0)</f>
        <v>38400</v>
      </c>
      <c r="DC175" s="106">
        <f>+VLOOKUP($BD175,'Sep-25'!$A:$J,8,0)</f>
        <v>38400</v>
      </c>
      <c r="DD175" s="106">
        <f>+VLOOKUP($BD175,'Oct-25'!$A:$J,8,0)</f>
        <v>38400</v>
      </c>
      <c r="DE175" s="106">
        <f>+VLOOKUP($BD175,'Nov-25'!$A:$J,8,0)</f>
        <v>0</v>
      </c>
      <c r="DF175" s="106">
        <f>+VLOOKUP($BD175,'Dec-25'!$A:$J,8,0)</f>
        <v>0</v>
      </c>
      <c r="DG175" s="106">
        <f t="shared" si="2015"/>
        <v>146751.04000000001</v>
      </c>
      <c r="DH175" s="118">
        <f t="shared" si="1874"/>
        <v>0</v>
      </c>
      <c r="DI175" s="106">
        <f>+_xlfn.XLOOKUP($CT175,Budget!$A:$A,Budget!CQ:CQ)</f>
        <v>38400</v>
      </c>
      <c r="DJ175" s="106">
        <f>+_xlfn.XLOOKUP($CT175,Budget!$A:$A,Budget!CR:CR)</f>
        <v>38400</v>
      </c>
      <c r="DK175" s="106">
        <f>+_xlfn.XLOOKUP($CT175,Budget!$A:$A,Budget!CS:CS)</f>
        <v>38400</v>
      </c>
      <c r="DL175" s="106">
        <f>+_xlfn.XLOOKUP($CT175,Budget!$A:$A,Budget!CT:CT)</f>
        <v>38400</v>
      </c>
      <c r="DM175" s="106">
        <f>+_xlfn.XLOOKUP($CT175,Budget!$A:$A,Budget!CU:CU)</f>
        <v>38400</v>
      </c>
      <c r="DN175" s="106">
        <f>+_xlfn.XLOOKUP($CT175,Budget!$A:$A,Budget!CV:CV)</f>
        <v>38400</v>
      </c>
      <c r="DO175" s="106">
        <f>+_xlfn.XLOOKUP($CT175,Budget!$A:$A,Budget!CW:CW)</f>
        <v>38400</v>
      </c>
      <c r="DP175" s="106">
        <f>+_xlfn.XLOOKUP($CT175,Budget!$A:$A,Budget!CX:CX)</f>
        <v>38400</v>
      </c>
      <c r="DQ175" s="106">
        <f>+_xlfn.XLOOKUP($CT175,Budget!$A:$A,Budget!CY:CY)</f>
        <v>38400</v>
      </c>
      <c r="DR175" s="106">
        <f>+_xlfn.XLOOKUP($CT175,Budget!$A:$A,Budget!CZ:CZ)</f>
        <v>38400</v>
      </c>
      <c r="DS175" s="106">
        <f>+_xlfn.XLOOKUP($CT175,Budget!$A:$A,Budget!DA:DA)</f>
        <v>38400</v>
      </c>
      <c r="DT175" s="106">
        <f>+_xlfn.XLOOKUP($CT175,Budget!$A:$A,Budget!DB:DB)</f>
        <v>38400</v>
      </c>
      <c r="DU175" s="106">
        <f t="shared" si="2016"/>
        <v>460800</v>
      </c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106">
        <f t="shared" si="2017"/>
        <v>0</v>
      </c>
      <c r="EJ175" s="16" t="str">
        <f t="shared" si="1555"/>
        <v>Xentry Finance Charge</v>
      </c>
      <c r="EK175" s="22">
        <f>+VLOOKUP($BD175,'Jan-25'!$A:$J,10,0)</f>
        <v>0</v>
      </c>
      <c r="EL175" s="22">
        <f>+VLOOKUP($BD175,'Feb-25'!$A:$J,10,0)</f>
        <v>0</v>
      </c>
      <c r="EM175" s="22">
        <f>+VLOOKUP($BD175,'Mar-25'!$A:$J,10,0)</f>
        <v>0</v>
      </c>
      <c r="EN175" s="22">
        <f>+VLOOKUP($BD175,'Apr-25'!$A:$J,10,0)</f>
        <v>0</v>
      </c>
      <c r="EO175" s="22">
        <f>+VLOOKUP($BD175,'May-25'!$A:$J,10,0)</f>
        <v>0</v>
      </c>
      <c r="EP175" s="22">
        <f>+VLOOKUP($BD175,'June-25'!$A:$J,10,0)</f>
        <v>0</v>
      </c>
      <c r="EQ175" s="22">
        <f>+VLOOKUP($BD175,'July-25'!$A:$J,10,0)</f>
        <v>0</v>
      </c>
      <c r="ER175" s="22">
        <f>+VLOOKUP($BD175,'Aug-25'!$A:$J,10,0)</f>
        <v>0</v>
      </c>
      <c r="ES175" s="22">
        <f>+VLOOKUP($BD175,'Sep-25'!$A:$J,10,0)</f>
        <v>0</v>
      </c>
      <c r="ET175" s="22">
        <f>+VLOOKUP($BD175,'Oct-25'!$A:$J,10,0)</f>
        <v>0</v>
      </c>
      <c r="EU175" s="22">
        <f>+VLOOKUP($BD175,'Nov-25'!$A:$J,10,0)</f>
        <v>0</v>
      </c>
      <c r="EV175" s="22">
        <f>+VLOOKUP($BD175,'Dec-25'!$A:$J,10,0)</f>
        <v>0</v>
      </c>
      <c r="EW175" s="22">
        <f t="shared" si="2018"/>
        <v>0</v>
      </c>
      <c r="EX175" s="118" t="e">
        <f t="shared" si="1878"/>
        <v>#DIV/0!</v>
      </c>
      <c r="EY175" s="106">
        <f>+_xlfn.XLOOKUP($EJ175,Budget!$A:$A,Budget!DR:DR)</f>
        <v>0</v>
      </c>
      <c r="EZ175" s="106">
        <f>+_xlfn.XLOOKUP($EJ175,Budget!$A:$A,Budget!DS:DS)</f>
        <v>0</v>
      </c>
      <c r="FA175" s="106">
        <f>+_xlfn.XLOOKUP($EJ175,Budget!$A:$A,Budget!DT:DT)</f>
        <v>0</v>
      </c>
      <c r="FB175" s="106">
        <f>+_xlfn.XLOOKUP($EJ175,Budget!$A:$A,Budget!DU:DU)</f>
        <v>0</v>
      </c>
      <c r="FC175" s="106">
        <f>+_xlfn.XLOOKUP($EJ175,Budget!$A:$A,Budget!DV:DV)</f>
        <v>0</v>
      </c>
      <c r="FD175" s="106">
        <f>+_xlfn.XLOOKUP($EJ175,Budget!$A:$A,Budget!DW:DW)</f>
        <v>0</v>
      </c>
      <c r="FE175" s="106">
        <f>+_xlfn.XLOOKUP($EJ175,Budget!$A:$A,Budget!DX:DX)</f>
        <v>0</v>
      </c>
      <c r="FF175" s="106">
        <f>+_xlfn.XLOOKUP($EJ175,Budget!$A:$A,Budget!DY:DY)</f>
        <v>0</v>
      </c>
      <c r="FG175" s="106">
        <f>+_xlfn.XLOOKUP($EJ175,Budget!$A:$A,Budget!DZ:DZ)</f>
        <v>0</v>
      </c>
      <c r="FH175" s="106">
        <f>+_xlfn.XLOOKUP($EJ175,Budget!$A:$A,Budget!EA:EA)</f>
        <v>0</v>
      </c>
      <c r="FI175" s="106">
        <f>+_xlfn.XLOOKUP($EJ175,Budget!$A:$A,Budget!EB:EB)</f>
        <v>0</v>
      </c>
      <c r="FJ175" s="106">
        <f>+_xlfn.XLOOKUP($EJ175,Budget!$A:$A,Budget!EC:EC)</f>
        <v>0</v>
      </c>
      <c r="FK175" s="106">
        <f t="shared" si="2019"/>
        <v>0</v>
      </c>
    </row>
    <row r="176" spans="1:167" ht="14.45" hidden="1" customHeight="1" outlineLevel="2">
      <c r="A176" s="106">
        <f t="shared" si="1983"/>
        <v>6575.8666666666804</v>
      </c>
      <c r="B176" s="106">
        <f t="shared" si="1983"/>
        <v>6575.8666666666804</v>
      </c>
      <c r="C176" s="106">
        <f t="shared" si="1983"/>
        <v>6575.8666666666804</v>
      </c>
      <c r="D176" s="106">
        <f t="shared" si="1983"/>
        <v>7432</v>
      </c>
      <c r="E176" s="106">
        <f t="shared" si="1983"/>
        <v>7432</v>
      </c>
      <c r="F176" s="106">
        <f t="shared" si="1983"/>
        <v>7432</v>
      </c>
      <c r="G176" s="106">
        <f t="shared" si="1983"/>
        <v>7432</v>
      </c>
      <c r="H176" s="106">
        <f t="shared" si="1983"/>
        <v>7432</v>
      </c>
      <c r="I176" s="106">
        <f t="shared" si="1983"/>
        <v>7432</v>
      </c>
      <c r="J176" s="106">
        <f t="shared" si="1983"/>
        <v>7432</v>
      </c>
      <c r="K176" s="106">
        <f t="shared" si="1983"/>
        <v>7432</v>
      </c>
      <c r="L176" s="106">
        <f t="shared" si="1983"/>
        <v>7432</v>
      </c>
      <c r="M176" s="106">
        <f t="shared" si="1984"/>
        <v>86615.600000000035</v>
      </c>
      <c r="N176" s="16" t="s">
        <v>231</v>
      </c>
      <c r="O176" s="106">
        <f t="shared" si="1985"/>
        <v>0</v>
      </c>
      <c r="P176" s="106">
        <f t="shared" si="1986"/>
        <v>0</v>
      </c>
      <c r="Q176" s="106">
        <f t="shared" si="1987"/>
        <v>0</v>
      </c>
      <c r="R176" s="106">
        <f t="shared" si="1988"/>
        <v>0</v>
      </c>
      <c r="S176" s="106">
        <f t="shared" si="1989"/>
        <v>33210.240000000005</v>
      </c>
      <c r="T176" s="106">
        <f t="shared" si="1990"/>
        <v>0</v>
      </c>
      <c r="U176" s="106">
        <f t="shared" si="1991"/>
        <v>0</v>
      </c>
      <c r="V176" s="106">
        <f t="shared" si="1992"/>
        <v>7432</v>
      </c>
      <c r="W176" s="106">
        <f t="shared" si="1993"/>
        <v>7432</v>
      </c>
      <c r="X176" s="106">
        <f t="shared" si="1994"/>
        <v>7432</v>
      </c>
      <c r="Y176" s="106">
        <f t="shared" si="1995"/>
        <v>0</v>
      </c>
      <c r="Z176" s="106">
        <f t="shared" si="1996"/>
        <v>0</v>
      </c>
      <c r="AA176" s="106">
        <f t="shared" si="1997"/>
        <v>55506.240000000005</v>
      </c>
      <c r="AB176" s="118">
        <f t="shared" si="1854"/>
        <v>0</v>
      </c>
      <c r="AC176" s="106">
        <f t="shared" si="1998"/>
        <v>7432</v>
      </c>
      <c r="AD176" s="106">
        <f t="shared" si="1999"/>
        <v>7432</v>
      </c>
      <c r="AE176" s="106">
        <f t="shared" si="2000"/>
        <v>7432</v>
      </c>
      <c r="AF176" s="106">
        <f t="shared" si="2001"/>
        <v>7432</v>
      </c>
      <c r="AG176" s="106">
        <f t="shared" si="2002"/>
        <v>7432</v>
      </c>
      <c r="AH176" s="106">
        <f t="shared" si="2003"/>
        <v>7432</v>
      </c>
      <c r="AI176" s="106">
        <f t="shared" si="2004"/>
        <v>7432</v>
      </c>
      <c r="AJ176" s="106">
        <f t="shared" si="2005"/>
        <v>7432</v>
      </c>
      <c r="AK176" s="106">
        <f t="shared" si="2006"/>
        <v>7432</v>
      </c>
      <c r="AL176" s="106">
        <f t="shared" si="2007"/>
        <v>7432</v>
      </c>
      <c r="AM176" s="106">
        <f t="shared" si="2008"/>
        <v>7432</v>
      </c>
      <c r="AN176" s="106">
        <f t="shared" si="2009"/>
        <v>7432</v>
      </c>
      <c r="AO176" s="106">
        <f t="shared" si="2010"/>
        <v>89184</v>
      </c>
      <c r="AQ176" s="106">
        <v>3945.5200000000082</v>
      </c>
      <c r="AR176" s="106">
        <v>3945.5200000000082</v>
      </c>
      <c r="AS176" s="106">
        <v>3945.5200000000082</v>
      </c>
      <c r="AT176" s="106">
        <v>4460</v>
      </c>
      <c r="AU176" s="106">
        <v>4460</v>
      </c>
      <c r="AV176" s="106">
        <v>4460</v>
      </c>
      <c r="AW176" s="106">
        <v>4460</v>
      </c>
      <c r="AX176" s="106">
        <v>4460</v>
      </c>
      <c r="AY176" s="106">
        <v>4460</v>
      </c>
      <c r="AZ176" s="106">
        <v>4460</v>
      </c>
      <c r="BA176" s="106">
        <v>4460</v>
      </c>
      <c r="BB176" s="106">
        <v>4460</v>
      </c>
      <c r="BC176" s="106">
        <f t="shared" si="2011"/>
        <v>51976.560000000027</v>
      </c>
      <c r="BD176" s="16" t="str">
        <f t="shared" si="1410"/>
        <v>Xentry Finance Charge Interest</v>
      </c>
      <c r="BE176" s="106">
        <f>+VLOOKUP($BD176,'Jan-25'!$A:$J,5,0)</f>
        <v>0</v>
      </c>
      <c r="BF176" s="106">
        <f>+VLOOKUP($BD176,'Feb-25'!$A:$J,5,0)</f>
        <v>0</v>
      </c>
      <c r="BG176" s="106">
        <f>+VLOOKUP($BD176,'Mar-25'!$A:$J,5,0)</f>
        <v>0</v>
      </c>
      <c r="BH176" s="106">
        <f>+VLOOKUP($BD176,'Apr-25'!$A:$J,5,0)</f>
        <v>0</v>
      </c>
      <c r="BI176" s="106">
        <f>+VLOOKUP($BD176,'May-25'!$A:$J,5,0)</f>
        <v>24907.68</v>
      </c>
      <c r="BJ176" s="106">
        <f>+VLOOKUP($BD176,'June-25'!$A:$J,5,0)</f>
        <v>0</v>
      </c>
      <c r="BK176" s="106">
        <f>+VLOOKUP($BD176,'July-25'!$A:$J,5,0)</f>
        <v>0</v>
      </c>
      <c r="BL176" s="106">
        <f>+VLOOKUP($BD176,'Aug-25'!$A:$J,5,0)</f>
        <v>4460</v>
      </c>
      <c r="BM176" s="106">
        <f>+VLOOKUP($BD176,'Sep-25'!$A:$J,5,0)</f>
        <v>4460</v>
      </c>
      <c r="BN176" s="106">
        <f>+VLOOKUP($BD176,'Oct-25'!$A:$J,5,0)</f>
        <v>4460</v>
      </c>
      <c r="BO176" s="106">
        <f>+VLOOKUP($BD176,'Nov-25'!$A:$J,5,0)</f>
        <v>0</v>
      </c>
      <c r="BP176" s="106">
        <f>+VLOOKUP($BD176,'Dec-25'!$A:$J,5,0)</f>
        <v>0</v>
      </c>
      <c r="BQ176" s="106">
        <f t="shared" si="2012"/>
        <v>38287.68</v>
      </c>
      <c r="BR176" s="118">
        <f t="shared" si="1870"/>
        <v>0</v>
      </c>
      <c r="BS176" s="106">
        <f>+_xlfn.XLOOKUP($BD176,Budget!$A:$A,Budget!BD:BD)</f>
        <v>4460</v>
      </c>
      <c r="BT176" s="106">
        <f>+_xlfn.XLOOKUP($BD176,Budget!$A:$A,Budget!BE:BE)</f>
        <v>4460</v>
      </c>
      <c r="BU176" s="106">
        <f>+_xlfn.XLOOKUP($BD176,Budget!$A:$A,Budget!BF:BF)</f>
        <v>4460</v>
      </c>
      <c r="BV176" s="106">
        <f>+_xlfn.XLOOKUP($BD176,Budget!$A:$A,Budget!BG:BG)</f>
        <v>4460</v>
      </c>
      <c r="BW176" s="106">
        <f>+_xlfn.XLOOKUP($BD176,Budget!$A:$A,Budget!BH:BH)</f>
        <v>4460</v>
      </c>
      <c r="BX176" s="106">
        <f>+_xlfn.XLOOKUP($BD176,Budget!$A:$A,Budget!BI:BI)</f>
        <v>4460</v>
      </c>
      <c r="BY176" s="106">
        <f>+_xlfn.XLOOKUP($BD176,Budget!$A:$A,Budget!BJ:BJ)</f>
        <v>4460</v>
      </c>
      <c r="BZ176" s="106">
        <f>+_xlfn.XLOOKUP($BD176,Budget!$A:$A,Budget!BK:BK)</f>
        <v>4460</v>
      </c>
      <c r="CA176" s="106">
        <f>+_xlfn.XLOOKUP($BD176,Budget!$A:$A,Budget!BL:BL)</f>
        <v>4460</v>
      </c>
      <c r="CB176" s="106">
        <f>+_xlfn.XLOOKUP($BD176,Budget!$A:$A,Budget!BM:BM)</f>
        <v>4460</v>
      </c>
      <c r="CC176" s="106">
        <f>+_xlfn.XLOOKUP($BD176,Budget!$A:$A,Budget!BN:BN)</f>
        <v>4460</v>
      </c>
      <c r="CD176" s="106">
        <f>+_xlfn.XLOOKUP($BD176,Budget!$A:$A,Budget!BO:BO)</f>
        <v>4460</v>
      </c>
      <c r="CE176" s="106">
        <f t="shared" si="2013"/>
        <v>53520</v>
      </c>
      <c r="CF176" s="106"/>
      <c r="CG176" s="106">
        <v>2630.3466666666723</v>
      </c>
      <c r="CH176" s="106">
        <v>2630.3466666666723</v>
      </c>
      <c r="CI176" s="106">
        <v>2630.3466666666723</v>
      </c>
      <c r="CJ176" s="106">
        <v>2972</v>
      </c>
      <c r="CK176" s="106">
        <v>2972</v>
      </c>
      <c r="CL176" s="106">
        <v>2972</v>
      </c>
      <c r="CM176" s="106">
        <v>2972</v>
      </c>
      <c r="CN176" s="106">
        <v>2972</v>
      </c>
      <c r="CO176" s="106">
        <v>2972</v>
      </c>
      <c r="CP176" s="106">
        <v>2972</v>
      </c>
      <c r="CQ176" s="106">
        <v>2972</v>
      </c>
      <c r="CR176" s="106">
        <v>2972</v>
      </c>
      <c r="CS176" s="106">
        <f t="shared" si="2014"/>
        <v>34639.040000000015</v>
      </c>
      <c r="CT176" s="16" t="str">
        <f t="shared" si="1411"/>
        <v>Xentry Finance Charge Interest</v>
      </c>
      <c r="CU176" s="106">
        <f>+VLOOKUP($BD176,'Jan-25'!$A:$J,8,0)</f>
        <v>0</v>
      </c>
      <c r="CV176" s="106">
        <f>+VLOOKUP($BD176,'Feb-25'!$A:$J,8,0)</f>
        <v>0</v>
      </c>
      <c r="CW176" s="106">
        <f>+VLOOKUP($BD176,'Mar-25'!$A:$J,8,0)</f>
        <v>0</v>
      </c>
      <c r="CX176" s="106">
        <f>+VLOOKUP($BD176,'Apr-25'!$A:$J,8,0)</f>
        <v>0</v>
      </c>
      <c r="CY176" s="106">
        <f>+VLOOKUP($BD176,'May-25'!$A:$J,8,0)</f>
        <v>8302.5600000000013</v>
      </c>
      <c r="CZ176" s="106">
        <f>+VLOOKUP($BD176,'June-25'!$A:$J,8,0)</f>
        <v>0</v>
      </c>
      <c r="DA176" s="106">
        <f>+VLOOKUP($BD176,'July-25'!$A:$J,8,0)</f>
        <v>0</v>
      </c>
      <c r="DB176" s="106">
        <f>+VLOOKUP($BD176,'Aug-25'!$A:$J,8,0)</f>
        <v>2972</v>
      </c>
      <c r="DC176" s="106">
        <f>+VLOOKUP($BD176,'Sep-25'!$A:$J,8,0)</f>
        <v>2972</v>
      </c>
      <c r="DD176" s="106">
        <f>+VLOOKUP($BD176,'Oct-25'!$A:$J,8,0)</f>
        <v>2972</v>
      </c>
      <c r="DE176" s="106">
        <f>+VLOOKUP($BD176,'Nov-25'!$A:$J,8,0)</f>
        <v>0</v>
      </c>
      <c r="DF176" s="106">
        <f>+VLOOKUP($BD176,'Dec-25'!$A:$J,8,0)</f>
        <v>0</v>
      </c>
      <c r="DG176" s="106">
        <f t="shared" si="2015"/>
        <v>17218.560000000001</v>
      </c>
      <c r="DH176" s="118">
        <f t="shared" si="1874"/>
        <v>0</v>
      </c>
      <c r="DI176" s="106">
        <f>+_xlfn.XLOOKUP($CT176,Budget!$A:$A,Budget!CQ:CQ)</f>
        <v>2972</v>
      </c>
      <c r="DJ176" s="106">
        <f>+_xlfn.XLOOKUP($CT176,Budget!$A:$A,Budget!CR:CR)</f>
        <v>2972</v>
      </c>
      <c r="DK176" s="106">
        <f>+_xlfn.XLOOKUP($CT176,Budget!$A:$A,Budget!CS:CS)</f>
        <v>2972</v>
      </c>
      <c r="DL176" s="106">
        <f>+_xlfn.XLOOKUP($CT176,Budget!$A:$A,Budget!CT:CT)</f>
        <v>2972</v>
      </c>
      <c r="DM176" s="106">
        <f>+_xlfn.XLOOKUP($CT176,Budget!$A:$A,Budget!CU:CU)</f>
        <v>2972</v>
      </c>
      <c r="DN176" s="106">
        <f>+_xlfn.XLOOKUP($CT176,Budget!$A:$A,Budget!CV:CV)</f>
        <v>2972</v>
      </c>
      <c r="DO176" s="106">
        <f>+_xlfn.XLOOKUP($CT176,Budget!$A:$A,Budget!CW:CW)</f>
        <v>2972</v>
      </c>
      <c r="DP176" s="106">
        <f>+_xlfn.XLOOKUP($CT176,Budget!$A:$A,Budget!CX:CX)</f>
        <v>2972</v>
      </c>
      <c r="DQ176" s="106">
        <f>+_xlfn.XLOOKUP($CT176,Budget!$A:$A,Budget!CY:CY)</f>
        <v>2972</v>
      </c>
      <c r="DR176" s="106">
        <f>+_xlfn.XLOOKUP($CT176,Budget!$A:$A,Budget!CZ:CZ)</f>
        <v>2972</v>
      </c>
      <c r="DS176" s="106">
        <f>+_xlfn.XLOOKUP($CT176,Budget!$A:$A,Budget!DA:DA)</f>
        <v>2972</v>
      </c>
      <c r="DT176" s="106">
        <f>+_xlfn.XLOOKUP($CT176,Budget!$A:$A,Budget!DB:DB)</f>
        <v>2972</v>
      </c>
      <c r="DU176" s="106">
        <f t="shared" si="2016"/>
        <v>35664</v>
      </c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106">
        <f t="shared" si="2017"/>
        <v>0</v>
      </c>
      <c r="EJ176" s="16" t="str">
        <f t="shared" si="1555"/>
        <v>Xentry Finance Charge Interest</v>
      </c>
      <c r="EK176" s="22">
        <f>+VLOOKUP($BD176,'Jan-25'!$A:$J,10,0)</f>
        <v>0</v>
      </c>
      <c r="EL176" s="22">
        <f>+VLOOKUP($BD176,'Feb-25'!$A:$J,10,0)</f>
        <v>0</v>
      </c>
      <c r="EM176" s="22">
        <f>+VLOOKUP($BD176,'Mar-25'!$A:$J,10,0)</f>
        <v>0</v>
      </c>
      <c r="EN176" s="22">
        <f>+VLOOKUP($BD176,'Apr-25'!$A:$J,10,0)</f>
        <v>0</v>
      </c>
      <c r="EO176" s="22">
        <f>+VLOOKUP($BD176,'May-25'!$A:$J,10,0)</f>
        <v>0</v>
      </c>
      <c r="EP176" s="22">
        <f>+VLOOKUP($BD176,'June-25'!$A:$J,10,0)</f>
        <v>0</v>
      </c>
      <c r="EQ176" s="22">
        <f>+VLOOKUP($BD176,'July-25'!$A:$J,10,0)</f>
        <v>0</v>
      </c>
      <c r="ER176" s="22">
        <f>+VLOOKUP($BD176,'Aug-25'!$A:$J,10,0)</f>
        <v>0</v>
      </c>
      <c r="ES176" s="22">
        <f>+VLOOKUP($BD176,'Sep-25'!$A:$J,10,0)</f>
        <v>0</v>
      </c>
      <c r="ET176" s="22">
        <f>+VLOOKUP($BD176,'Oct-25'!$A:$J,10,0)</f>
        <v>0</v>
      </c>
      <c r="EU176" s="22">
        <f>+VLOOKUP($BD176,'Nov-25'!$A:$J,10,0)</f>
        <v>0</v>
      </c>
      <c r="EV176" s="22">
        <f>+VLOOKUP($BD176,'Dec-25'!$A:$J,10,0)</f>
        <v>0</v>
      </c>
      <c r="EW176" s="22">
        <f t="shared" si="2018"/>
        <v>0</v>
      </c>
      <c r="EX176" s="118" t="e">
        <f t="shared" si="1878"/>
        <v>#DIV/0!</v>
      </c>
      <c r="EY176" s="106">
        <f>+_xlfn.XLOOKUP($EJ176,Budget!$A:$A,Budget!DR:DR)</f>
        <v>0</v>
      </c>
      <c r="EZ176" s="106">
        <f>+_xlfn.XLOOKUP($EJ176,Budget!$A:$A,Budget!DS:DS)</f>
        <v>0</v>
      </c>
      <c r="FA176" s="106">
        <f>+_xlfn.XLOOKUP($EJ176,Budget!$A:$A,Budget!DT:DT)</f>
        <v>0</v>
      </c>
      <c r="FB176" s="106">
        <f>+_xlfn.XLOOKUP($EJ176,Budget!$A:$A,Budget!DU:DU)</f>
        <v>0</v>
      </c>
      <c r="FC176" s="106">
        <f>+_xlfn.XLOOKUP($EJ176,Budget!$A:$A,Budget!DV:DV)</f>
        <v>0</v>
      </c>
      <c r="FD176" s="106">
        <f>+_xlfn.XLOOKUP($EJ176,Budget!$A:$A,Budget!DW:DW)</f>
        <v>0</v>
      </c>
      <c r="FE176" s="106">
        <f>+_xlfn.XLOOKUP($EJ176,Budget!$A:$A,Budget!DX:DX)</f>
        <v>0</v>
      </c>
      <c r="FF176" s="106">
        <f>+_xlfn.XLOOKUP($EJ176,Budget!$A:$A,Budget!DY:DY)</f>
        <v>0</v>
      </c>
      <c r="FG176" s="106">
        <f>+_xlfn.XLOOKUP($EJ176,Budget!$A:$A,Budget!DZ:DZ)</f>
        <v>0</v>
      </c>
      <c r="FH176" s="106">
        <f>+_xlfn.XLOOKUP($EJ176,Budget!$A:$A,Budget!EA:EA)</f>
        <v>0</v>
      </c>
      <c r="FI176" s="106">
        <f>+_xlfn.XLOOKUP($EJ176,Budget!$A:$A,Budget!EB:EB)</f>
        <v>0</v>
      </c>
      <c r="FJ176" s="106">
        <f>+_xlfn.XLOOKUP($EJ176,Budget!$A:$A,Budget!EC:EC)</f>
        <v>0</v>
      </c>
      <c r="FK176" s="106">
        <f t="shared" si="2019"/>
        <v>0</v>
      </c>
    </row>
    <row r="177" spans="1:167" ht="14.45" hidden="1" customHeight="1" outlineLevel="2">
      <c r="A177" s="106">
        <f t="shared" si="1983"/>
        <v>3036.4794000000002</v>
      </c>
      <c r="B177" s="106">
        <f t="shared" si="1983"/>
        <v>3002.4</v>
      </c>
      <c r="C177" s="106">
        <f t="shared" si="1983"/>
        <v>1063.7298000000005</v>
      </c>
      <c r="D177" s="106">
        <f t="shared" si="1983"/>
        <v>3002.4</v>
      </c>
      <c r="E177" s="106">
        <f t="shared" si="1983"/>
        <v>3002.4</v>
      </c>
      <c r="F177" s="106">
        <f t="shared" si="1983"/>
        <v>3002.4</v>
      </c>
      <c r="G177" s="106">
        <f t="shared" si="1983"/>
        <v>3002.4</v>
      </c>
      <c r="H177" s="106">
        <f t="shared" si="1983"/>
        <v>3002.4</v>
      </c>
      <c r="I177" s="106">
        <f t="shared" si="1983"/>
        <v>3002.4594000000002</v>
      </c>
      <c r="J177" s="106">
        <f t="shared" si="1983"/>
        <v>3002.4</v>
      </c>
      <c r="K177" s="106">
        <f t="shared" si="1983"/>
        <v>2648.4696000000004</v>
      </c>
      <c r="L177" s="106">
        <f t="shared" si="1983"/>
        <v>2397.2399999999998</v>
      </c>
      <c r="M177" s="106">
        <f t="shared" si="1984"/>
        <v>33165.178200000002</v>
      </c>
      <c r="N177" s="16" t="s">
        <v>232</v>
      </c>
      <c r="O177" s="106">
        <f t="shared" si="1985"/>
        <v>2374.06</v>
      </c>
      <c r="P177" s="106">
        <f t="shared" si="1986"/>
        <v>2374.06</v>
      </c>
      <c r="Q177" s="106">
        <f t="shared" si="1987"/>
        <v>2374.0313999999998</v>
      </c>
      <c r="R177" s="106">
        <f t="shared" si="1988"/>
        <v>2374.0313999999998</v>
      </c>
      <c r="S177" s="106">
        <f t="shared" si="1989"/>
        <v>2374.0314000000003</v>
      </c>
      <c r="T177" s="106">
        <f t="shared" si="1990"/>
        <v>9089.6514000000006</v>
      </c>
      <c r="U177" s="106">
        <f t="shared" si="1991"/>
        <v>2456.6595111111119</v>
      </c>
      <c r="V177" s="106">
        <f t="shared" si="1992"/>
        <v>2456.6206000000006</v>
      </c>
      <c r="W177" s="106">
        <f t="shared" si="1993"/>
        <v>2456.6799999999998</v>
      </c>
      <c r="X177" s="106">
        <f t="shared" si="1994"/>
        <v>2456.6799999999998</v>
      </c>
      <c r="Y177" s="106">
        <f t="shared" si="1995"/>
        <v>0</v>
      </c>
      <c r="Z177" s="106">
        <f t="shared" si="1996"/>
        <v>0</v>
      </c>
      <c r="AA177" s="106">
        <f t="shared" si="1997"/>
        <v>30786.505711111113</v>
      </c>
      <c r="AB177" s="118">
        <f t="shared" si="1854"/>
        <v>-0.65447538677918415</v>
      </c>
      <c r="AC177" s="106">
        <f t="shared" si="1998"/>
        <v>7110</v>
      </c>
      <c r="AD177" s="106">
        <f t="shared" si="1999"/>
        <v>7110</v>
      </c>
      <c r="AE177" s="106">
        <f t="shared" si="2000"/>
        <v>7110</v>
      </c>
      <c r="AF177" s="106">
        <f t="shared" si="2001"/>
        <v>7110</v>
      </c>
      <c r="AG177" s="106">
        <f t="shared" si="2002"/>
        <v>7110</v>
      </c>
      <c r="AH177" s="106">
        <f t="shared" si="2003"/>
        <v>7110</v>
      </c>
      <c r="AI177" s="106">
        <f t="shared" si="2004"/>
        <v>7110</v>
      </c>
      <c r="AJ177" s="106">
        <f t="shared" si="2005"/>
        <v>7110</v>
      </c>
      <c r="AK177" s="106">
        <f t="shared" si="2006"/>
        <v>7110</v>
      </c>
      <c r="AL177" s="106">
        <f t="shared" si="2007"/>
        <v>7110</v>
      </c>
      <c r="AM177" s="106">
        <f t="shared" si="2008"/>
        <v>7110</v>
      </c>
      <c r="AN177" s="106">
        <f t="shared" si="2009"/>
        <v>7110</v>
      </c>
      <c r="AO177" s="106">
        <f t="shared" si="2010"/>
        <v>85320</v>
      </c>
      <c r="AQ177" s="106">
        <v>2024.3196</v>
      </c>
      <c r="AR177" s="106">
        <v>2001.6000000000001</v>
      </c>
      <c r="AS177" s="106">
        <v>709.15320000000031</v>
      </c>
      <c r="AT177" s="106">
        <v>2001.6000000000001</v>
      </c>
      <c r="AU177" s="106">
        <v>2001.6000000000001</v>
      </c>
      <c r="AV177" s="106">
        <v>2001.6000000000001</v>
      </c>
      <c r="AW177" s="106">
        <v>2001.6000000000001</v>
      </c>
      <c r="AX177" s="106">
        <v>2001.6000000000001</v>
      </c>
      <c r="AY177" s="106">
        <v>2001.6396000000002</v>
      </c>
      <c r="AZ177" s="106">
        <v>2001.6000000000001</v>
      </c>
      <c r="BA177" s="106">
        <v>1765.6464000000001</v>
      </c>
      <c r="BB177" s="106">
        <v>1598.1599999999999</v>
      </c>
      <c r="BC177" s="106">
        <f t="shared" si="2011"/>
        <v>22110.1188</v>
      </c>
      <c r="BD177" s="16" t="str">
        <f t="shared" si="1410"/>
        <v>Other Software Charges</v>
      </c>
      <c r="BE177" s="106">
        <f>+VLOOKUP($BD177,'Jan-25'!$A:$J,5,0)</f>
        <v>1425.24</v>
      </c>
      <c r="BF177" s="106">
        <f>+VLOOKUP($BD177,'Feb-25'!$A:$J,5,0)</f>
        <v>1425.24</v>
      </c>
      <c r="BG177" s="106">
        <f>+VLOOKUP($BD177,'Mar-25'!$A:$J,5,0)</f>
        <v>1425.2796000000001</v>
      </c>
      <c r="BH177" s="106">
        <f>+VLOOKUP($BD177,'Apr-25'!$A:$J,5,0)</f>
        <v>1425.2796000000001</v>
      </c>
      <c r="BI177" s="106">
        <f>+VLOOKUP($BD177,'May-25'!$A:$J,5,0)</f>
        <v>1425.2796000000003</v>
      </c>
      <c r="BJ177" s="106">
        <f>+VLOOKUP($BD177,'June-25'!$A:$J,5,0)</f>
        <v>5902.3596000000007</v>
      </c>
      <c r="BK177" s="106">
        <f>+VLOOKUP($BD177,'July-25'!$A:$J,5,0)</f>
        <v>1480.3656000000001</v>
      </c>
      <c r="BL177" s="106">
        <f>+VLOOKUP($BD177,'Aug-25'!$A:$J,5,0)</f>
        <v>1480.2804000000003</v>
      </c>
      <c r="BM177" s="106">
        <f>+VLOOKUP($BD177,'Sep-25'!$A:$J,5,0)</f>
        <v>1480.32</v>
      </c>
      <c r="BN177" s="106">
        <f>+VLOOKUP($BD177,'Oct-25'!$A:$J,5,0)</f>
        <v>1480.32</v>
      </c>
      <c r="BO177" s="106">
        <f>+VLOOKUP($BD177,'Nov-25'!$A:$J,5,0)</f>
        <v>0</v>
      </c>
      <c r="BP177" s="106">
        <f>+VLOOKUP($BD177,'Dec-25'!$A:$J,5,0)</f>
        <v>0</v>
      </c>
      <c r="BQ177" s="106">
        <f t="shared" si="2012"/>
        <v>18949.964400000001</v>
      </c>
      <c r="BR177" s="118">
        <f t="shared" si="1870"/>
        <v>-0.68769620253164565</v>
      </c>
      <c r="BS177" s="106">
        <f>+_xlfn.XLOOKUP($BD177,Budget!$A:$A,Budget!BD:BD)</f>
        <v>4740</v>
      </c>
      <c r="BT177" s="106">
        <f>+_xlfn.XLOOKUP($BD177,Budget!$A:$A,Budget!BE:BE)</f>
        <v>4740</v>
      </c>
      <c r="BU177" s="106">
        <f>+_xlfn.XLOOKUP($BD177,Budget!$A:$A,Budget!BF:BF)</f>
        <v>4740</v>
      </c>
      <c r="BV177" s="106">
        <f>+_xlfn.XLOOKUP($BD177,Budget!$A:$A,Budget!BG:BG)</f>
        <v>4740</v>
      </c>
      <c r="BW177" s="106">
        <f>+_xlfn.XLOOKUP($BD177,Budget!$A:$A,Budget!BH:BH)</f>
        <v>4740</v>
      </c>
      <c r="BX177" s="106">
        <f>+_xlfn.XLOOKUP($BD177,Budget!$A:$A,Budget!BI:BI)</f>
        <v>4740</v>
      </c>
      <c r="BY177" s="106">
        <f>+_xlfn.XLOOKUP($BD177,Budget!$A:$A,Budget!BJ:BJ)</f>
        <v>4740</v>
      </c>
      <c r="BZ177" s="106">
        <f>+_xlfn.XLOOKUP($BD177,Budget!$A:$A,Budget!BK:BK)</f>
        <v>4740</v>
      </c>
      <c r="CA177" s="106">
        <f>+_xlfn.XLOOKUP($BD177,Budget!$A:$A,Budget!BL:BL)</f>
        <v>4740</v>
      </c>
      <c r="CB177" s="106">
        <f>+_xlfn.XLOOKUP($BD177,Budget!$A:$A,Budget!BM:BM)</f>
        <v>4740</v>
      </c>
      <c r="CC177" s="106">
        <f>+_xlfn.XLOOKUP($BD177,Budget!$A:$A,Budget!BN:BN)</f>
        <v>4740</v>
      </c>
      <c r="CD177" s="106">
        <f>+_xlfn.XLOOKUP($BD177,Budget!$A:$A,Budget!BO:BO)</f>
        <v>4740</v>
      </c>
      <c r="CE177" s="106">
        <f t="shared" si="2013"/>
        <v>56880</v>
      </c>
      <c r="CF177" s="106"/>
      <c r="CG177" s="106">
        <v>1012.1598</v>
      </c>
      <c r="CH177" s="106">
        <v>1000.8000000000001</v>
      </c>
      <c r="CI177" s="106">
        <v>354.57660000000016</v>
      </c>
      <c r="CJ177" s="106">
        <v>1000.8000000000001</v>
      </c>
      <c r="CK177" s="106">
        <v>1000.8000000000001</v>
      </c>
      <c r="CL177" s="106">
        <v>1000.8000000000001</v>
      </c>
      <c r="CM177" s="106">
        <v>1000.8000000000001</v>
      </c>
      <c r="CN177" s="106">
        <v>1000.8000000000001</v>
      </c>
      <c r="CO177" s="106">
        <v>1000.8198000000001</v>
      </c>
      <c r="CP177" s="106">
        <v>1000.8000000000001</v>
      </c>
      <c r="CQ177" s="106">
        <v>882.82320000000004</v>
      </c>
      <c r="CR177" s="106">
        <v>799.07999999999993</v>
      </c>
      <c r="CS177" s="106">
        <f t="shared" si="2014"/>
        <v>11055.0594</v>
      </c>
      <c r="CT177" s="16" t="str">
        <f t="shared" si="1411"/>
        <v>Other Software Charges</v>
      </c>
      <c r="CU177" s="106">
        <f>+VLOOKUP($BD177,'Jan-25'!$A:$J,8,0)</f>
        <v>948.82</v>
      </c>
      <c r="CV177" s="106">
        <f>+VLOOKUP($BD177,'Feb-25'!$A:$J,8,0)</f>
        <v>948.82</v>
      </c>
      <c r="CW177" s="106">
        <f>+VLOOKUP($BD177,'Mar-25'!$A:$J,8,0)</f>
        <v>948.7518</v>
      </c>
      <c r="CX177" s="106">
        <f>+VLOOKUP($BD177,'Apr-25'!$A:$J,8,0)</f>
        <v>948.7518</v>
      </c>
      <c r="CY177" s="106">
        <f>+VLOOKUP($BD177,'May-25'!$A:$J,8,0)</f>
        <v>948.75180000000012</v>
      </c>
      <c r="CZ177" s="106">
        <f>+VLOOKUP($BD177,'June-25'!$A:$J,8,0)</f>
        <v>3187.2918000000004</v>
      </c>
      <c r="DA177" s="106">
        <f>+VLOOKUP($BD177,'July-25'!$A:$J,8,0)</f>
        <v>976.29391111111204</v>
      </c>
      <c r="DB177" s="106">
        <f>+VLOOKUP($BD177,'Aug-25'!$A:$J,8,0)</f>
        <v>976.34020000000021</v>
      </c>
      <c r="DC177" s="106">
        <f>+VLOOKUP($BD177,'Sep-25'!$A:$J,8,0)</f>
        <v>976.36</v>
      </c>
      <c r="DD177" s="106">
        <f>+VLOOKUP($BD177,'Oct-25'!$A:$J,8,0)</f>
        <v>976.36</v>
      </c>
      <c r="DE177" s="106">
        <f>+VLOOKUP($BD177,'Nov-25'!$A:$J,8,0)</f>
        <v>0</v>
      </c>
      <c r="DF177" s="106">
        <f>+VLOOKUP($BD177,'Dec-25'!$A:$J,8,0)</f>
        <v>0</v>
      </c>
      <c r="DG177" s="106">
        <f t="shared" si="2015"/>
        <v>11836.541311111114</v>
      </c>
      <c r="DH177" s="118">
        <f t="shared" si="1874"/>
        <v>-0.5880337552742616</v>
      </c>
      <c r="DI177" s="106">
        <f>+_xlfn.XLOOKUP($CT177,Budget!$A:$A,Budget!CQ:CQ)</f>
        <v>2370</v>
      </c>
      <c r="DJ177" s="106">
        <f>+_xlfn.XLOOKUP($CT177,Budget!$A:$A,Budget!CR:CR)</f>
        <v>2370</v>
      </c>
      <c r="DK177" s="106">
        <f>+_xlfn.XLOOKUP($CT177,Budget!$A:$A,Budget!CS:CS)</f>
        <v>2370</v>
      </c>
      <c r="DL177" s="106">
        <f>+_xlfn.XLOOKUP($CT177,Budget!$A:$A,Budget!CT:CT)</f>
        <v>2370</v>
      </c>
      <c r="DM177" s="106">
        <f>+_xlfn.XLOOKUP($CT177,Budget!$A:$A,Budget!CU:CU)</f>
        <v>2370</v>
      </c>
      <c r="DN177" s="106">
        <f>+_xlfn.XLOOKUP($CT177,Budget!$A:$A,Budget!CV:CV)</f>
        <v>2370</v>
      </c>
      <c r="DO177" s="106">
        <f>+_xlfn.XLOOKUP($CT177,Budget!$A:$A,Budget!CW:CW)</f>
        <v>2370</v>
      </c>
      <c r="DP177" s="106">
        <f>+_xlfn.XLOOKUP($CT177,Budget!$A:$A,Budget!CX:CX)</f>
        <v>2370</v>
      </c>
      <c r="DQ177" s="106">
        <f>+_xlfn.XLOOKUP($CT177,Budget!$A:$A,Budget!CY:CY)</f>
        <v>2370</v>
      </c>
      <c r="DR177" s="106">
        <f>+_xlfn.XLOOKUP($CT177,Budget!$A:$A,Budget!CZ:CZ)</f>
        <v>2370</v>
      </c>
      <c r="DS177" s="106">
        <f>+_xlfn.XLOOKUP($CT177,Budget!$A:$A,Budget!DA:DA)</f>
        <v>2370</v>
      </c>
      <c r="DT177" s="106">
        <f>+_xlfn.XLOOKUP($CT177,Budget!$A:$A,Budget!DB:DB)</f>
        <v>2370</v>
      </c>
      <c r="DU177" s="106">
        <f t="shared" si="2016"/>
        <v>28440</v>
      </c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106">
        <f t="shared" si="2017"/>
        <v>0</v>
      </c>
      <c r="EJ177" s="16" t="str">
        <f t="shared" si="1555"/>
        <v>Other Software Charges</v>
      </c>
      <c r="EK177" s="22">
        <f>+VLOOKUP($BD177,'Jan-25'!$A:$J,10,0)</f>
        <v>0</v>
      </c>
      <c r="EL177" s="22">
        <f>+VLOOKUP($BD177,'Feb-25'!$A:$J,10,0)</f>
        <v>0</v>
      </c>
      <c r="EM177" s="22">
        <f>+VLOOKUP($BD177,'Mar-25'!$A:$J,10,0)</f>
        <v>0</v>
      </c>
      <c r="EN177" s="22">
        <f>+VLOOKUP($BD177,'Apr-25'!$A:$J,10,0)</f>
        <v>0</v>
      </c>
      <c r="EO177" s="22">
        <f>+VLOOKUP($BD177,'May-25'!$A:$J,10,0)</f>
        <v>0</v>
      </c>
      <c r="EP177" s="22">
        <f>+VLOOKUP($BD177,'June-25'!$A:$J,10,0)</f>
        <v>0</v>
      </c>
      <c r="EQ177" s="22">
        <f>+VLOOKUP($BD177,'July-25'!$A:$J,10,0)</f>
        <v>0</v>
      </c>
      <c r="ER177" s="22">
        <f>+VLOOKUP($BD177,'Aug-25'!$A:$J,10,0)</f>
        <v>0</v>
      </c>
      <c r="ES177" s="22">
        <f>+VLOOKUP($BD177,'Sep-25'!$A:$J,10,0)</f>
        <v>0</v>
      </c>
      <c r="ET177" s="22">
        <f>+VLOOKUP($BD177,'Oct-25'!$A:$J,10,0)</f>
        <v>0</v>
      </c>
      <c r="EU177" s="22">
        <f>+VLOOKUP($BD177,'Nov-25'!$A:$J,10,0)</f>
        <v>0</v>
      </c>
      <c r="EV177" s="22">
        <f>+VLOOKUP($BD177,'Dec-25'!$A:$J,10,0)</f>
        <v>0</v>
      </c>
      <c r="EW177" s="22">
        <f t="shared" si="2018"/>
        <v>0</v>
      </c>
      <c r="EX177" s="118" t="e">
        <f t="shared" si="1878"/>
        <v>#DIV/0!</v>
      </c>
      <c r="EY177" s="106">
        <f>+_xlfn.XLOOKUP($EJ177,Budget!$A:$A,Budget!DR:DR)</f>
        <v>0</v>
      </c>
      <c r="EZ177" s="106">
        <f>+_xlfn.XLOOKUP($EJ177,Budget!$A:$A,Budget!DS:DS)</f>
        <v>0</v>
      </c>
      <c r="FA177" s="106">
        <f>+_xlfn.XLOOKUP($EJ177,Budget!$A:$A,Budget!DT:DT)</f>
        <v>0</v>
      </c>
      <c r="FB177" s="106">
        <f>+_xlfn.XLOOKUP($EJ177,Budget!$A:$A,Budget!DU:DU)</f>
        <v>0</v>
      </c>
      <c r="FC177" s="106">
        <f>+_xlfn.XLOOKUP($EJ177,Budget!$A:$A,Budget!DV:DV)</f>
        <v>0</v>
      </c>
      <c r="FD177" s="106">
        <f>+_xlfn.XLOOKUP($EJ177,Budget!$A:$A,Budget!DW:DW)</f>
        <v>0</v>
      </c>
      <c r="FE177" s="106">
        <f>+_xlfn.XLOOKUP($EJ177,Budget!$A:$A,Budget!DX:DX)</f>
        <v>0</v>
      </c>
      <c r="FF177" s="106">
        <f>+_xlfn.XLOOKUP($EJ177,Budget!$A:$A,Budget!DY:DY)</f>
        <v>0</v>
      </c>
      <c r="FG177" s="106">
        <f>+_xlfn.XLOOKUP($EJ177,Budget!$A:$A,Budget!DZ:DZ)</f>
        <v>0</v>
      </c>
      <c r="FH177" s="106">
        <f>+_xlfn.XLOOKUP($EJ177,Budget!$A:$A,Budget!EA:EA)</f>
        <v>0</v>
      </c>
      <c r="FI177" s="106">
        <f>+_xlfn.XLOOKUP($EJ177,Budget!$A:$A,Budget!EB:EB)</f>
        <v>0</v>
      </c>
      <c r="FJ177" s="106">
        <f>+_xlfn.XLOOKUP($EJ177,Budget!$A:$A,Budget!EC:EC)</f>
        <v>0</v>
      </c>
      <c r="FK177" s="106">
        <f t="shared" si="2019"/>
        <v>0</v>
      </c>
    </row>
    <row r="178" spans="1:167" ht="14.45" hidden="1" customHeight="1" outlineLevel="1" collapsed="1">
      <c r="A178" s="58">
        <f t="shared" ref="A178:L178" si="2020">+SUM(A179:A181)</f>
        <v>97755.960400000011</v>
      </c>
      <c r="B178" s="58">
        <f t="shared" si="2020"/>
        <v>83217.399999999994</v>
      </c>
      <c r="C178" s="58">
        <f t="shared" si="2020"/>
        <v>93100.620400000014</v>
      </c>
      <c r="D178" s="58">
        <f t="shared" si="2020"/>
        <v>95986.923999999999</v>
      </c>
      <c r="E178" s="58">
        <f t="shared" si="2020"/>
        <v>23262.400000000001</v>
      </c>
      <c r="F178" s="58">
        <f t="shared" si="2020"/>
        <v>81501.600000000006</v>
      </c>
      <c r="G178" s="58">
        <f t="shared" si="2020"/>
        <v>34153.236000000004</v>
      </c>
      <c r="H178" s="58">
        <f t="shared" si="2020"/>
        <v>28054.36</v>
      </c>
      <c r="I178" s="58">
        <f t="shared" si="2020"/>
        <v>2548.8000000000002</v>
      </c>
      <c r="J178" s="58">
        <f t="shared" si="2020"/>
        <v>78756.331999999995</v>
      </c>
      <c r="K178" s="58">
        <f t="shared" si="2020"/>
        <v>93776</v>
      </c>
      <c r="L178" s="58">
        <f t="shared" si="2020"/>
        <v>111091.284</v>
      </c>
      <c r="M178" s="58"/>
      <c r="N178" s="20" t="s">
        <v>147</v>
      </c>
      <c r="O178" s="58">
        <f t="shared" ref="O178" si="2021">+SUM(O179:O181)</f>
        <v>103385.20000000001</v>
      </c>
      <c r="P178" s="58">
        <f t="shared" ref="P178" si="2022">+SUM(P179:P181)</f>
        <v>106543.236</v>
      </c>
      <c r="Q178" s="58">
        <f t="shared" ref="Q178" si="2023">+SUM(Q179:Q181)</f>
        <v>82220.400000000009</v>
      </c>
      <c r="R178" s="58">
        <f t="shared" ref="R178" si="2024">+SUM(R179:R181)</f>
        <v>109463.416</v>
      </c>
      <c r="S178" s="58">
        <f t="shared" ref="S178" si="2025">+SUM(S179:S181)</f>
        <v>312919.12</v>
      </c>
      <c r="T178" s="58">
        <f t="shared" ref="T178" si="2026">+SUM(T179:T181)</f>
        <v>129568.42800000001</v>
      </c>
      <c r="U178" s="58">
        <f t="shared" ref="U178" si="2027">+SUM(U179:U181)</f>
        <v>95510.290000000008</v>
      </c>
      <c r="V178" s="58">
        <f t="shared" ref="V178" si="2028">+SUM(V179:V181)</f>
        <v>228310.40000000002</v>
      </c>
      <c r="W178" s="58">
        <f t="shared" ref="W178" si="2029">+SUM(W179:W181)</f>
        <v>241056.74000000002</v>
      </c>
      <c r="X178" s="58">
        <f t="shared" ref="X178" si="2030">+SUM(X179:X181)</f>
        <v>256543.38</v>
      </c>
      <c r="Y178" s="58">
        <f t="shared" ref="Y178" si="2031">+SUM(Y179:Y181)</f>
        <v>0</v>
      </c>
      <c r="Z178" s="58">
        <f t="shared" ref="Z178" si="2032">+SUM(Z179:Z181)</f>
        <v>0</v>
      </c>
      <c r="AA178" s="58"/>
      <c r="AB178" s="118">
        <f t="shared" si="1854"/>
        <v>0.1004846021806993</v>
      </c>
      <c r="AC178" s="58">
        <f t="shared" ref="AC178" si="2033">+SUM(AC179:AC181)</f>
        <v>233118.55476363644</v>
      </c>
      <c r="AD178" s="58">
        <f t="shared" ref="AD178" si="2034">+SUM(AD179:AD181)</f>
        <v>233118.55476363644</v>
      </c>
      <c r="AE178" s="58">
        <f t="shared" ref="AE178" si="2035">+SUM(AE179:AE181)</f>
        <v>233118.55476363644</v>
      </c>
      <c r="AF178" s="58">
        <f t="shared" ref="AF178" si="2036">+SUM(AF179:AF181)</f>
        <v>233118.55476363644</v>
      </c>
      <c r="AG178" s="58">
        <f t="shared" ref="AG178" si="2037">+SUM(AG179:AG181)</f>
        <v>233118.55476363644</v>
      </c>
      <c r="AH178" s="58">
        <f t="shared" ref="AH178" si="2038">+SUM(AH179:AH181)</f>
        <v>233118.55476363644</v>
      </c>
      <c r="AI178" s="58">
        <f t="shared" ref="AI178" si="2039">+SUM(AI179:AI181)</f>
        <v>233118.55476363644</v>
      </c>
      <c r="AJ178" s="58">
        <f t="shared" ref="AJ178" si="2040">+SUM(AJ179:AJ181)</f>
        <v>233118.55476363644</v>
      </c>
      <c r="AK178" s="58">
        <f t="shared" ref="AK178" si="2041">+SUM(AK179:AK181)</f>
        <v>233118.55476363644</v>
      </c>
      <c r="AL178" s="58">
        <f t="shared" ref="AL178" si="2042">+SUM(AL179:AL181)</f>
        <v>233118.55476363644</v>
      </c>
      <c r="AM178" s="58">
        <f t="shared" ref="AM178" si="2043">+SUM(AM179:AM181)</f>
        <v>233118.55476363644</v>
      </c>
      <c r="AN178" s="58">
        <f t="shared" ref="AN178:AO178" si="2044">+SUM(AN179:AN181)</f>
        <v>233118.55476363644</v>
      </c>
      <c r="AO178" s="58">
        <f t="shared" si="2044"/>
        <v>2797422.6571636363</v>
      </c>
      <c r="AQ178" s="58">
        <f t="shared" ref="AQ178:CD178" si="2045">+SUM(AQ179:AQ181)</f>
        <v>69173.973600000012</v>
      </c>
      <c r="AR178" s="58">
        <f t="shared" si="2045"/>
        <v>60976</v>
      </c>
      <c r="AS178" s="58">
        <f t="shared" si="2045"/>
        <v>69438.013600000006</v>
      </c>
      <c r="AT178" s="58">
        <f t="shared" si="2045"/>
        <v>77007.224000000002</v>
      </c>
      <c r="AU178" s="58">
        <f t="shared" si="2045"/>
        <v>4254</v>
      </c>
      <c r="AV178" s="58">
        <f t="shared" si="2045"/>
        <v>58748.800000000003</v>
      </c>
      <c r="AW178" s="58">
        <f t="shared" si="2045"/>
        <v>9197.5159999999996</v>
      </c>
      <c r="AX178" s="58">
        <f t="shared" si="2045"/>
        <v>1130.6400000000001</v>
      </c>
      <c r="AY178" s="58">
        <f t="shared" si="2045"/>
        <v>1699.2</v>
      </c>
      <c r="AZ178" s="58">
        <f t="shared" si="2045"/>
        <v>61122</v>
      </c>
      <c r="BA178" s="58">
        <f t="shared" si="2045"/>
        <v>64578</v>
      </c>
      <c r="BB178" s="58">
        <f t="shared" si="2045"/>
        <v>72965.683999999994</v>
      </c>
      <c r="BC178" s="58">
        <f>+SUM(AQ178:BB178)</f>
        <v>550291.05119999999</v>
      </c>
      <c r="BD178" s="20" t="str">
        <f t="shared" si="1410"/>
        <v>Utilities</v>
      </c>
      <c r="BE178" s="58">
        <f t="shared" si="2045"/>
        <v>66233.600000000006</v>
      </c>
      <c r="BF178" s="58">
        <f t="shared" ref="BF178:BP178" si="2046">+SUM(BF179:BF181)</f>
        <v>63816.036</v>
      </c>
      <c r="BG178" s="58">
        <f t="shared" si="2046"/>
        <v>61637.600000000006</v>
      </c>
      <c r="BH178" s="58">
        <f t="shared" si="2046"/>
        <v>75477.415999999997</v>
      </c>
      <c r="BI178" s="58">
        <f t="shared" si="2046"/>
        <v>73366.52</v>
      </c>
      <c r="BJ178" s="58">
        <f t="shared" si="2046"/>
        <v>100752.228</v>
      </c>
      <c r="BK178" s="58">
        <f t="shared" si="2046"/>
        <v>67393.092000000004</v>
      </c>
      <c r="BL178" s="58">
        <f t="shared" si="2046"/>
        <v>63316.2</v>
      </c>
      <c r="BM178" s="58">
        <f t="shared" si="2046"/>
        <v>63281.340000000004</v>
      </c>
      <c r="BN178" s="58">
        <f t="shared" si="2046"/>
        <v>72389.179999999993</v>
      </c>
      <c r="BO178" s="58">
        <f t="shared" si="2046"/>
        <v>0</v>
      </c>
      <c r="BP178" s="58">
        <f t="shared" si="2046"/>
        <v>0</v>
      </c>
      <c r="BQ178" s="58">
        <f t="shared" si="2045"/>
        <v>707663.21200000006</v>
      </c>
      <c r="BR178" s="118">
        <f t="shared" si="1870"/>
        <v>0.15419081757876477</v>
      </c>
      <c r="BS178" s="58">
        <f t="shared" si="2045"/>
        <v>62718.55476363637</v>
      </c>
      <c r="BT178" s="58">
        <f t="shared" si="2045"/>
        <v>62718.55476363637</v>
      </c>
      <c r="BU178" s="58">
        <f t="shared" si="2045"/>
        <v>62718.55476363637</v>
      </c>
      <c r="BV178" s="58">
        <f t="shared" si="2045"/>
        <v>62718.55476363637</v>
      </c>
      <c r="BW178" s="58">
        <f t="shared" si="2045"/>
        <v>62718.55476363637</v>
      </c>
      <c r="BX178" s="58">
        <f t="shared" si="2045"/>
        <v>62718.55476363637</v>
      </c>
      <c r="BY178" s="58">
        <f t="shared" si="2045"/>
        <v>62718.55476363637</v>
      </c>
      <c r="BZ178" s="58">
        <f t="shared" si="2045"/>
        <v>62718.55476363637</v>
      </c>
      <c r="CA178" s="58">
        <f t="shared" si="2045"/>
        <v>62718.55476363637</v>
      </c>
      <c r="CB178" s="58">
        <f t="shared" si="2045"/>
        <v>62718.55476363637</v>
      </c>
      <c r="CC178" s="58">
        <f t="shared" si="2045"/>
        <v>62718.55476363637</v>
      </c>
      <c r="CD178" s="58">
        <f t="shared" si="2045"/>
        <v>62718.55476363637</v>
      </c>
      <c r="CE178" s="58">
        <f>+SUM(BS178:CD178)</f>
        <v>752622.65716363629</v>
      </c>
      <c r="CF178" s="106"/>
      <c r="CG178" s="58">
        <f t="shared" ref="CG178:CR178" si="2047">+SUM(CG179:CG181)</f>
        <v>28581.986799999999</v>
      </c>
      <c r="CH178" s="58">
        <f t="shared" si="2047"/>
        <v>22241.4</v>
      </c>
      <c r="CI178" s="58">
        <f t="shared" si="2047"/>
        <v>23662.606800000001</v>
      </c>
      <c r="CJ178" s="58">
        <f t="shared" si="2047"/>
        <v>18979.7</v>
      </c>
      <c r="CK178" s="58">
        <f t="shared" si="2047"/>
        <v>19008.400000000001</v>
      </c>
      <c r="CL178" s="58">
        <f t="shared" si="2047"/>
        <v>22752.800000000003</v>
      </c>
      <c r="CM178" s="58">
        <f t="shared" si="2047"/>
        <v>24955.72</v>
      </c>
      <c r="CN178" s="58">
        <f t="shared" si="2047"/>
        <v>26923.72</v>
      </c>
      <c r="CO178" s="58">
        <f t="shared" si="2047"/>
        <v>849.6</v>
      </c>
      <c r="CP178" s="58">
        <f t="shared" si="2047"/>
        <v>17634.332000000002</v>
      </c>
      <c r="CQ178" s="58">
        <f t="shared" si="2047"/>
        <v>29198</v>
      </c>
      <c r="CR178" s="58">
        <f t="shared" si="2047"/>
        <v>38125.600000000006</v>
      </c>
      <c r="CS178" s="58">
        <f>+SUM(CG178:CR178)</f>
        <v>272913.86560000002</v>
      </c>
      <c r="CT178" s="20" t="str">
        <f t="shared" si="1411"/>
        <v>Utilities</v>
      </c>
      <c r="CU178" s="58">
        <f t="shared" ref="CU178:DT178" si="2048">+SUM(CU179:CU181)</f>
        <v>37151.600000000006</v>
      </c>
      <c r="CV178" s="58">
        <f t="shared" si="2048"/>
        <v>42727.200000000004</v>
      </c>
      <c r="CW178" s="58">
        <f t="shared" si="2048"/>
        <v>20582.800000000003</v>
      </c>
      <c r="CX178" s="58">
        <f t="shared" si="2048"/>
        <v>33986</v>
      </c>
      <c r="CY178" s="58">
        <f t="shared" si="2048"/>
        <v>39461.800000000003</v>
      </c>
      <c r="CZ178" s="58">
        <f t="shared" si="2048"/>
        <v>28816.2</v>
      </c>
      <c r="DA178" s="58">
        <f t="shared" si="2048"/>
        <v>28117.198000000004</v>
      </c>
      <c r="DB178" s="58">
        <f t="shared" si="2048"/>
        <v>19630.599999999999</v>
      </c>
      <c r="DC178" s="58">
        <f t="shared" si="2048"/>
        <v>22275.4</v>
      </c>
      <c r="DD178" s="58">
        <f t="shared" si="2048"/>
        <v>25741</v>
      </c>
      <c r="DE178" s="58">
        <f t="shared" si="2048"/>
        <v>0</v>
      </c>
      <c r="DF178" s="58">
        <f t="shared" si="2048"/>
        <v>0</v>
      </c>
      <c r="DG178" s="58">
        <f t="shared" si="2048"/>
        <v>298489.79800000007</v>
      </c>
      <c r="DH178" s="118">
        <f t="shared" si="1874"/>
        <v>-0.13852074966532799</v>
      </c>
      <c r="DI178" s="58">
        <f t="shared" si="2048"/>
        <v>29880</v>
      </c>
      <c r="DJ178" s="58">
        <f t="shared" si="2048"/>
        <v>29880</v>
      </c>
      <c r="DK178" s="58">
        <f t="shared" si="2048"/>
        <v>29880</v>
      </c>
      <c r="DL178" s="58">
        <f t="shared" si="2048"/>
        <v>29880</v>
      </c>
      <c r="DM178" s="58">
        <f t="shared" si="2048"/>
        <v>29880</v>
      </c>
      <c r="DN178" s="58">
        <f t="shared" si="2048"/>
        <v>29880</v>
      </c>
      <c r="DO178" s="58">
        <f t="shared" si="2048"/>
        <v>29880</v>
      </c>
      <c r="DP178" s="58">
        <f t="shared" si="2048"/>
        <v>29880</v>
      </c>
      <c r="DQ178" s="58">
        <f t="shared" si="2048"/>
        <v>29880</v>
      </c>
      <c r="DR178" s="58">
        <f t="shared" si="2048"/>
        <v>29880</v>
      </c>
      <c r="DS178" s="58">
        <f t="shared" si="2048"/>
        <v>29880</v>
      </c>
      <c r="DT178" s="58">
        <f t="shared" si="2048"/>
        <v>29880</v>
      </c>
      <c r="DU178" s="58">
        <f>+SUM(DI178:DT178)</f>
        <v>358560</v>
      </c>
      <c r="DW178" s="28">
        <f t="shared" ref="DW178:EH178" si="2049">+SUM(DW179:DW181)</f>
        <v>0</v>
      </c>
      <c r="DX178" s="28">
        <f t="shared" si="2049"/>
        <v>0</v>
      </c>
      <c r="DY178" s="28">
        <f t="shared" si="2049"/>
        <v>0</v>
      </c>
      <c r="DZ178" s="28">
        <f t="shared" si="2049"/>
        <v>0</v>
      </c>
      <c r="EA178" s="28">
        <f t="shared" si="2049"/>
        <v>0</v>
      </c>
      <c r="EB178" s="28">
        <f t="shared" si="2049"/>
        <v>0</v>
      </c>
      <c r="EC178" s="28">
        <f t="shared" si="2049"/>
        <v>0</v>
      </c>
      <c r="ED178" s="28">
        <f t="shared" si="2049"/>
        <v>0</v>
      </c>
      <c r="EE178" s="28">
        <f t="shared" si="2049"/>
        <v>0</v>
      </c>
      <c r="EF178" s="28">
        <f t="shared" si="2049"/>
        <v>0</v>
      </c>
      <c r="EG178" s="28">
        <f t="shared" si="2049"/>
        <v>0</v>
      </c>
      <c r="EH178" s="28">
        <f t="shared" si="2049"/>
        <v>0</v>
      </c>
      <c r="EI178" s="58">
        <f>+SUM(DW178:EH178)</f>
        <v>0</v>
      </c>
      <c r="EJ178" s="20" t="str">
        <f t="shared" si="1555"/>
        <v>Utilities</v>
      </c>
      <c r="EK178" s="28">
        <f t="shared" ref="EK178:EV178" si="2050">+SUM(EK179:EK181)</f>
        <v>0</v>
      </c>
      <c r="EL178" s="28">
        <f t="shared" si="2050"/>
        <v>0</v>
      </c>
      <c r="EM178" s="28">
        <f t="shared" si="2050"/>
        <v>0</v>
      </c>
      <c r="EN178" s="28">
        <f t="shared" si="2050"/>
        <v>0</v>
      </c>
      <c r="EO178" s="28">
        <f t="shared" si="2050"/>
        <v>200090.8</v>
      </c>
      <c r="EP178" s="28">
        <f t="shared" si="2050"/>
        <v>0</v>
      </c>
      <c r="EQ178" s="28">
        <f t="shared" si="2050"/>
        <v>0</v>
      </c>
      <c r="ER178" s="28">
        <f t="shared" si="2050"/>
        <v>145363.6</v>
      </c>
      <c r="ES178" s="28">
        <f t="shared" si="2050"/>
        <v>155500</v>
      </c>
      <c r="ET178" s="28">
        <f t="shared" si="2050"/>
        <v>158413.20000000001</v>
      </c>
      <c r="EU178" s="28">
        <f t="shared" si="2050"/>
        <v>0</v>
      </c>
      <c r="EV178" s="28">
        <f t="shared" si="2050"/>
        <v>0</v>
      </c>
      <c r="EW178" s="28">
        <f t="shared" ref="EW178" si="2051">+SUM(EW179:EW181)</f>
        <v>659367.6</v>
      </c>
      <c r="EX178" s="118">
        <f t="shared" si="1878"/>
        <v>0.10660404212923381</v>
      </c>
      <c r="EY178" s="58">
        <f t="shared" ref="EY178:FJ178" si="2052">+SUM(EY179:EY181)</f>
        <v>140520.00000000006</v>
      </c>
      <c r="EZ178" s="58">
        <f t="shared" si="2052"/>
        <v>140520.00000000006</v>
      </c>
      <c r="FA178" s="58">
        <f t="shared" si="2052"/>
        <v>140520.00000000006</v>
      </c>
      <c r="FB178" s="58">
        <f t="shared" si="2052"/>
        <v>140520.00000000006</v>
      </c>
      <c r="FC178" s="58">
        <f t="shared" si="2052"/>
        <v>140520.00000000006</v>
      </c>
      <c r="FD178" s="58">
        <f t="shared" si="2052"/>
        <v>140520.00000000006</v>
      </c>
      <c r="FE178" s="58">
        <f t="shared" si="2052"/>
        <v>140520.00000000006</v>
      </c>
      <c r="FF178" s="58">
        <f t="shared" si="2052"/>
        <v>140520.00000000006</v>
      </c>
      <c r="FG178" s="58">
        <f t="shared" si="2052"/>
        <v>140520.00000000006</v>
      </c>
      <c r="FH178" s="58">
        <f t="shared" si="2052"/>
        <v>140520.00000000006</v>
      </c>
      <c r="FI178" s="58">
        <f t="shared" si="2052"/>
        <v>140520.00000000006</v>
      </c>
      <c r="FJ178" s="58">
        <f t="shared" si="2052"/>
        <v>140520.00000000006</v>
      </c>
      <c r="FK178" s="58">
        <f>+SUM(EY178:FJ178)</f>
        <v>1686240.0000000002</v>
      </c>
    </row>
    <row r="179" spans="1:167" ht="14.45" hidden="1" customHeight="1" outlineLevel="2">
      <c r="A179" s="106">
        <f t="shared" ref="A179:L181" si="2053">+AQ179+CG179+DW179</f>
        <v>86646.60040000001</v>
      </c>
      <c r="B179" s="106">
        <f t="shared" si="2053"/>
        <v>79857.399999999994</v>
      </c>
      <c r="C179" s="106">
        <f t="shared" si="2053"/>
        <v>87220.620400000014</v>
      </c>
      <c r="D179" s="106">
        <f t="shared" si="2053"/>
        <v>90896.7</v>
      </c>
      <c r="E179" s="106">
        <f t="shared" si="2053"/>
        <v>19902.400000000001</v>
      </c>
      <c r="F179" s="106">
        <f t="shared" si="2053"/>
        <v>81501.600000000006</v>
      </c>
      <c r="G179" s="106">
        <f t="shared" si="2053"/>
        <v>21330.760000000002</v>
      </c>
      <c r="H179" s="106">
        <f t="shared" si="2053"/>
        <v>28054.36</v>
      </c>
      <c r="I179" s="106">
        <f t="shared" si="2053"/>
        <v>2548.8000000000002</v>
      </c>
      <c r="J179" s="106">
        <f t="shared" si="2053"/>
        <v>78756.331999999995</v>
      </c>
      <c r="K179" s="106">
        <f t="shared" si="2053"/>
        <v>93776</v>
      </c>
      <c r="L179" s="106">
        <f t="shared" si="2053"/>
        <v>92426.8</v>
      </c>
      <c r="M179" s="106">
        <f t="shared" ref="M179:M181" si="2054">+SUM(A179:L179)</f>
        <v>762918.37280000013</v>
      </c>
      <c r="N179" s="16" t="s">
        <v>148</v>
      </c>
      <c r="O179" s="106">
        <f t="shared" ref="O179:O181" si="2055">+BE179+CU179+EK179</f>
        <v>98065.200000000012</v>
      </c>
      <c r="P179" s="106">
        <f t="shared" ref="P179:P181" si="2056">+BF179+CV179+EL179</f>
        <v>103656</v>
      </c>
      <c r="Q179" s="106">
        <f t="shared" ref="Q179:Q181" si="2057">+BG179+CW179+EM179</f>
        <v>78426.400000000009</v>
      </c>
      <c r="R179" s="106">
        <f t="shared" ref="R179:R181" si="2058">+BH179+CX179+EN179</f>
        <v>100988</v>
      </c>
      <c r="S179" s="106">
        <f t="shared" ref="S179:S181" si="2059">+BI179+CY179+EO179</f>
        <v>114858.6</v>
      </c>
      <c r="T179" s="106">
        <f t="shared" ref="T179:T181" si="2060">+BJ179+CZ179+EP179</f>
        <v>115648.6</v>
      </c>
      <c r="U179" s="106">
        <f t="shared" ref="U179:U181" si="2061">+BK179+DA179+EQ179</f>
        <v>82886.850000000006</v>
      </c>
      <c r="V179" s="106">
        <f t="shared" ref="V179:V181" si="2062">+BL179+DB179+ER179</f>
        <v>72395.8</v>
      </c>
      <c r="W179" s="106">
        <f t="shared" ref="W179:W181" si="2063">+BM179+DC179+ES179</f>
        <v>94109.800000000017</v>
      </c>
      <c r="X179" s="106">
        <f t="shared" ref="X179:X181" si="2064">+BN179+DD179+ET179</f>
        <v>101106.2</v>
      </c>
      <c r="Y179" s="106">
        <f t="shared" ref="Y179:Y181" si="2065">+BO179+DE179+EU179</f>
        <v>0</v>
      </c>
      <c r="Z179" s="106">
        <f t="shared" ref="Z179:Z181" si="2066">+BP179+DF179+EV179</f>
        <v>0</v>
      </c>
      <c r="AA179" s="106">
        <f t="shared" ref="AA179:AA181" si="2067">+SUM(O179:Z179)</f>
        <v>962141.45000000007</v>
      </c>
      <c r="AB179" s="118">
        <f t="shared" si="1854"/>
        <v>-3.9996321380311908E-2</v>
      </c>
      <c r="AC179" s="106">
        <f t="shared" ref="AC179:AC181" si="2068">+BS179+DI179+EY179</f>
        <v>105318.55476363638</v>
      </c>
      <c r="AD179" s="106">
        <f t="shared" ref="AD179:AD181" si="2069">+BT179+DJ179+EZ179</f>
        <v>105318.55476363638</v>
      </c>
      <c r="AE179" s="106">
        <f t="shared" ref="AE179:AE181" si="2070">+BU179+DK179+FA179</f>
        <v>105318.55476363638</v>
      </c>
      <c r="AF179" s="106">
        <f t="shared" ref="AF179:AF181" si="2071">+BV179+DL179+FB179</f>
        <v>105318.55476363638</v>
      </c>
      <c r="AG179" s="106">
        <f t="shared" ref="AG179:AG181" si="2072">+BW179+DM179+FC179</f>
        <v>105318.55476363638</v>
      </c>
      <c r="AH179" s="106">
        <f t="shared" ref="AH179:AH181" si="2073">+BX179+DN179+FD179</f>
        <v>105318.55476363638</v>
      </c>
      <c r="AI179" s="106">
        <f t="shared" ref="AI179:AI181" si="2074">+BY179+DO179+FE179</f>
        <v>105318.55476363638</v>
      </c>
      <c r="AJ179" s="106">
        <f t="shared" ref="AJ179:AJ181" si="2075">+BZ179+DP179+FF179</f>
        <v>105318.55476363638</v>
      </c>
      <c r="AK179" s="106">
        <f t="shared" ref="AK179:AK181" si="2076">+CA179+DQ179+FG179</f>
        <v>105318.55476363638</v>
      </c>
      <c r="AL179" s="106">
        <f t="shared" ref="AL179:AL181" si="2077">+CB179+DR179+FH179</f>
        <v>105318.55476363638</v>
      </c>
      <c r="AM179" s="106">
        <f t="shared" ref="AM179:AM181" si="2078">+CC179+DS179+FI179</f>
        <v>105318.55476363638</v>
      </c>
      <c r="AN179" s="106">
        <f t="shared" ref="AN179:AN181" si="2079">+CD179+DT179+FJ179</f>
        <v>105318.55476363638</v>
      </c>
      <c r="AO179" s="106">
        <f t="shared" ref="AO179:AO181" si="2080">+SUM(AC179:AN179)</f>
        <v>1263822.6571636361</v>
      </c>
      <c r="AQ179" s="106">
        <v>65687.733600000007</v>
      </c>
      <c r="AR179" s="106">
        <v>60976</v>
      </c>
      <c r="AS179" s="106">
        <v>69438.013600000006</v>
      </c>
      <c r="AT179" s="106">
        <v>71917</v>
      </c>
      <c r="AU179" s="106">
        <v>4254</v>
      </c>
      <c r="AV179" s="106">
        <v>58748.800000000003</v>
      </c>
      <c r="AW179" s="106">
        <v>575.04</v>
      </c>
      <c r="AX179" s="106">
        <v>1130.6400000000001</v>
      </c>
      <c r="AY179" s="106">
        <v>1699.2</v>
      </c>
      <c r="AZ179" s="106">
        <v>61122</v>
      </c>
      <c r="BA179" s="106">
        <v>64578</v>
      </c>
      <c r="BB179" s="106">
        <v>66621.2</v>
      </c>
      <c r="BC179" s="106">
        <f t="shared" ref="BC179:BC181" si="2081">+SUM(AQ179:BB179)</f>
        <v>526747.62719999999</v>
      </c>
      <c r="BD179" s="16" t="str">
        <f t="shared" si="1410"/>
        <v>Electricity</v>
      </c>
      <c r="BE179" s="106">
        <f>+VLOOKUP($BD179,'Jan-25'!$A:$J,5,0)</f>
        <v>66233.600000000006</v>
      </c>
      <c r="BF179" s="106">
        <f>+VLOOKUP($BD179,'Feb-25'!$A:$J,5,0)</f>
        <v>60928.800000000003</v>
      </c>
      <c r="BG179" s="106">
        <f>+VLOOKUP($BD179,'Mar-25'!$A:$J,5,0)</f>
        <v>57843.600000000006</v>
      </c>
      <c r="BH179" s="106">
        <f>+VLOOKUP($BD179,'Apr-25'!$A:$J,5,0)</f>
        <v>67002</v>
      </c>
      <c r="BI179" s="106">
        <f>+VLOOKUP($BD179,'May-25'!$A:$J,5,0)</f>
        <v>65095.600000000006</v>
      </c>
      <c r="BJ179" s="106">
        <f>+VLOOKUP($BD179,'June-25'!$A:$J,5,0)</f>
        <v>89072.400000000009</v>
      </c>
      <c r="BK179" s="106">
        <f>+VLOOKUP($BD179,'July-25'!$A:$J,5,0)</f>
        <v>58969.652000000002</v>
      </c>
      <c r="BL179" s="106">
        <f>+VLOOKUP($BD179,'Aug-25'!$A:$J,5,0)</f>
        <v>58365.2</v>
      </c>
      <c r="BM179" s="106">
        <f>+VLOOKUP($BD179,'Sep-25'!$A:$J,5,0)</f>
        <v>59828.800000000003</v>
      </c>
      <c r="BN179" s="106">
        <f>+VLOOKUP($BD179,'Oct-25'!$A:$J,5,0)</f>
        <v>66812</v>
      </c>
      <c r="BO179" s="106">
        <f>+VLOOKUP($BD179,'Nov-25'!$A:$J,5,0)</f>
        <v>0</v>
      </c>
      <c r="BP179" s="106">
        <f>+VLOOKUP($BD179,'Dec-25'!$A:$J,5,0)</f>
        <v>0</v>
      </c>
      <c r="BQ179" s="106">
        <f t="shared" ref="BQ179:BQ181" si="2082">+SUM(BE179:BP179)</f>
        <v>650151.652</v>
      </c>
      <c r="BR179" s="118">
        <f t="shared" si="1870"/>
        <v>6.5266893533984474E-2</v>
      </c>
      <c r="BS179" s="106">
        <f>+_xlfn.XLOOKUP($BD179,Budget!$A:$A,Budget!BD:BD)</f>
        <v>62718.55476363637</v>
      </c>
      <c r="BT179" s="106">
        <f>+_xlfn.XLOOKUP($BD179,Budget!$A:$A,Budget!BE:BE)</f>
        <v>62718.55476363637</v>
      </c>
      <c r="BU179" s="106">
        <f>+_xlfn.XLOOKUP($BD179,Budget!$A:$A,Budget!BF:BF)</f>
        <v>62718.55476363637</v>
      </c>
      <c r="BV179" s="106">
        <f>+_xlfn.XLOOKUP($BD179,Budget!$A:$A,Budget!BG:BG)</f>
        <v>62718.55476363637</v>
      </c>
      <c r="BW179" s="106">
        <f>+_xlfn.XLOOKUP($BD179,Budget!$A:$A,Budget!BH:BH)</f>
        <v>62718.55476363637</v>
      </c>
      <c r="BX179" s="106">
        <f>+_xlfn.XLOOKUP($BD179,Budget!$A:$A,Budget!BI:BI)</f>
        <v>62718.55476363637</v>
      </c>
      <c r="BY179" s="106">
        <f>+_xlfn.XLOOKUP($BD179,Budget!$A:$A,Budget!BJ:BJ)</f>
        <v>62718.55476363637</v>
      </c>
      <c r="BZ179" s="106">
        <f>+_xlfn.XLOOKUP($BD179,Budget!$A:$A,Budget!BK:BK)</f>
        <v>62718.55476363637</v>
      </c>
      <c r="CA179" s="106">
        <f>+_xlfn.XLOOKUP($BD179,Budget!$A:$A,Budget!BL:BL)</f>
        <v>62718.55476363637</v>
      </c>
      <c r="CB179" s="106">
        <f>+_xlfn.XLOOKUP($BD179,Budget!$A:$A,Budget!BM:BM)</f>
        <v>62718.55476363637</v>
      </c>
      <c r="CC179" s="106">
        <f>+_xlfn.XLOOKUP($BD179,Budget!$A:$A,Budget!BN:BN)</f>
        <v>62718.55476363637</v>
      </c>
      <c r="CD179" s="106">
        <f>+_xlfn.XLOOKUP($BD179,Budget!$A:$A,Budget!BO:BO)</f>
        <v>62718.55476363637</v>
      </c>
      <c r="CE179" s="106">
        <f t="shared" ref="CE179:CE181" si="2083">+SUM(BS179:CD179)</f>
        <v>752622.65716363629</v>
      </c>
      <c r="CF179" s="106"/>
      <c r="CG179" s="106">
        <v>20958.8668</v>
      </c>
      <c r="CH179" s="106">
        <v>18881.400000000001</v>
      </c>
      <c r="CI179" s="106">
        <v>17782.606800000001</v>
      </c>
      <c r="CJ179" s="106">
        <v>18979.7</v>
      </c>
      <c r="CK179" s="106">
        <v>15648.400000000001</v>
      </c>
      <c r="CL179" s="106">
        <v>22752.800000000003</v>
      </c>
      <c r="CM179" s="106">
        <v>20755.72</v>
      </c>
      <c r="CN179" s="106">
        <v>26923.72</v>
      </c>
      <c r="CO179" s="106">
        <v>849.6</v>
      </c>
      <c r="CP179" s="106">
        <v>17634.332000000002</v>
      </c>
      <c r="CQ179" s="106">
        <v>29198</v>
      </c>
      <c r="CR179" s="106">
        <v>25805.600000000002</v>
      </c>
      <c r="CS179" s="106">
        <f t="shared" ref="CS179:CS181" si="2084">+SUM(CG179:CR179)</f>
        <v>236170.74559999999</v>
      </c>
      <c r="CT179" s="16" t="str">
        <f t="shared" si="1411"/>
        <v>Electricity</v>
      </c>
      <c r="CU179" s="106">
        <f>+VLOOKUP($BD179,'Jan-25'!$A:$J,8,0)</f>
        <v>31831.600000000002</v>
      </c>
      <c r="CV179" s="106">
        <f>+VLOOKUP($BD179,'Feb-25'!$A:$J,8,0)</f>
        <v>42727.200000000004</v>
      </c>
      <c r="CW179" s="106">
        <f>+VLOOKUP($BD179,'Mar-25'!$A:$J,8,0)</f>
        <v>20582.800000000003</v>
      </c>
      <c r="CX179" s="106">
        <f>+VLOOKUP($BD179,'Apr-25'!$A:$J,8,0)</f>
        <v>33986</v>
      </c>
      <c r="CY179" s="106">
        <f>+VLOOKUP($BD179,'May-25'!$A:$J,8,0)</f>
        <v>31621.800000000003</v>
      </c>
      <c r="CZ179" s="106">
        <f>+VLOOKUP($BD179,'June-25'!$A:$J,8,0)</f>
        <v>26576.2</v>
      </c>
      <c r="DA179" s="106">
        <f>+VLOOKUP($BD179,'July-25'!$A:$J,8,0)</f>
        <v>23917.198000000004</v>
      </c>
      <c r="DB179" s="106">
        <f>+VLOOKUP($BD179,'Aug-25'!$A:$J,8,0)</f>
        <v>14030.6</v>
      </c>
      <c r="DC179" s="106">
        <f>+VLOOKUP($BD179,'Sep-25'!$A:$J,8,0)</f>
        <v>16115.400000000001</v>
      </c>
      <c r="DD179" s="106">
        <f>+VLOOKUP($BD179,'Oct-25'!$A:$J,8,0)</f>
        <v>20981</v>
      </c>
      <c r="DE179" s="106">
        <f>+VLOOKUP($BD179,'Nov-25'!$A:$J,8,0)</f>
        <v>0</v>
      </c>
      <c r="DF179" s="106">
        <f>+VLOOKUP($BD179,'Dec-25'!$A:$J,8,0)</f>
        <v>0</v>
      </c>
      <c r="DG179" s="106">
        <f t="shared" ref="DG179:DG181" si="2085">+SUM(CU179:DF179)</f>
        <v>262369.79800000007</v>
      </c>
      <c r="DH179" s="118">
        <f t="shared" si="1874"/>
        <v>-0.12579166666666666</v>
      </c>
      <c r="DI179" s="106">
        <f>+_xlfn.XLOOKUP($CT179,Budget!$A:$A,Budget!CQ:CQ)</f>
        <v>24000</v>
      </c>
      <c r="DJ179" s="106">
        <f>+_xlfn.XLOOKUP($CT179,Budget!$A:$A,Budget!CR:CR)</f>
        <v>24000</v>
      </c>
      <c r="DK179" s="106">
        <f>+_xlfn.XLOOKUP($CT179,Budget!$A:$A,Budget!CS:CS)</f>
        <v>24000</v>
      </c>
      <c r="DL179" s="106">
        <f>+_xlfn.XLOOKUP($CT179,Budget!$A:$A,Budget!CT:CT)</f>
        <v>24000</v>
      </c>
      <c r="DM179" s="106">
        <f>+_xlfn.XLOOKUP($CT179,Budget!$A:$A,Budget!CU:CU)</f>
        <v>24000</v>
      </c>
      <c r="DN179" s="106">
        <f>+_xlfn.XLOOKUP($CT179,Budget!$A:$A,Budget!CV:CV)</f>
        <v>24000</v>
      </c>
      <c r="DO179" s="106">
        <f>+_xlfn.XLOOKUP($CT179,Budget!$A:$A,Budget!CW:CW)</f>
        <v>24000</v>
      </c>
      <c r="DP179" s="106">
        <f>+_xlfn.XLOOKUP($CT179,Budget!$A:$A,Budget!CX:CX)</f>
        <v>24000</v>
      </c>
      <c r="DQ179" s="106">
        <f>+_xlfn.XLOOKUP($CT179,Budget!$A:$A,Budget!CY:CY)</f>
        <v>24000</v>
      </c>
      <c r="DR179" s="106">
        <f>+_xlfn.XLOOKUP($CT179,Budget!$A:$A,Budget!CZ:CZ)</f>
        <v>24000</v>
      </c>
      <c r="DS179" s="106">
        <f>+_xlfn.XLOOKUP($CT179,Budget!$A:$A,Budget!DA:DA)</f>
        <v>24000</v>
      </c>
      <c r="DT179" s="106">
        <f>+_xlfn.XLOOKUP($CT179,Budget!$A:$A,Budget!DB:DB)</f>
        <v>24000</v>
      </c>
      <c r="DU179" s="106">
        <f t="shared" ref="DU179:DU181" si="2086">+SUM(DI179:DT179)</f>
        <v>288000</v>
      </c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106">
        <f t="shared" ref="EI179:EI181" si="2087">+SUM(DW179:EH179)</f>
        <v>0</v>
      </c>
      <c r="EJ179" s="16" t="str">
        <f t="shared" si="1555"/>
        <v>Electricity</v>
      </c>
      <c r="EK179" s="22">
        <f>+VLOOKUP($BD179,'Jan-25'!$A:$J,10,0)</f>
        <v>0</v>
      </c>
      <c r="EL179" s="22">
        <f>+VLOOKUP($BD179,'Feb-25'!$A:$J,10,0)</f>
        <v>0</v>
      </c>
      <c r="EM179" s="22">
        <f>+VLOOKUP($BD179,'Mar-25'!$A:$J,10,0)</f>
        <v>0</v>
      </c>
      <c r="EN179" s="22">
        <f>+VLOOKUP($BD179,'Apr-25'!$A:$J,10,0)</f>
        <v>0</v>
      </c>
      <c r="EO179" s="22">
        <f>+VLOOKUP($BD179,'May-25'!$A:$J,10,0)</f>
        <v>18141.2</v>
      </c>
      <c r="EP179" s="22">
        <f>+VLOOKUP($BD179,'June-25'!$A:$J,10,0)</f>
        <v>0</v>
      </c>
      <c r="EQ179" s="22">
        <f>+VLOOKUP($BD179,'July-25'!$A:$J,10,0)</f>
        <v>0</v>
      </c>
      <c r="ER179" s="22">
        <f>+VLOOKUP($BD179,'Aug-25'!$A:$J,10,0)</f>
        <v>0</v>
      </c>
      <c r="ES179" s="22">
        <f>+VLOOKUP($BD179,'Sep-25'!$A:$J,10,0)</f>
        <v>18165.599999999999</v>
      </c>
      <c r="ET179" s="22">
        <f>+VLOOKUP($BD179,'Oct-25'!$A:$J,10,0)</f>
        <v>13313.199999999999</v>
      </c>
      <c r="EU179" s="22">
        <f>+VLOOKUP($BD179,'Nov-25'!$A:$J,10,0)</f>
        <v>0</v>
      </c>
      <c r="EV179" s="22">
        <f>+VLOOKUP($BD179,'Dec-25'!$A:$J,10,0)</f>
        <v>0</v>
      </c>
      <c r="EW179" s="22">
        <f t="shared" ref="EW179:EW181" si="2088">+SUM(EK179:EV179)</f>
        <v>49620</v>
      </c>
      <c r="EX179" s="118">
        <f t="shared" si="1878"/>
        <v>-2.3354838709677497E-2</v>
      </c>
      <c r="EY179" s="106">
        <f>+_xlfn.XLOOKUP($EJ179,Budget!$A:$A,Budget!DR:DR)</f>
        <v>18600</v>
      </c>
      <c r="EZ179" s="106">
        <f>+_xlfn.XLOOKUP($EJ179,Budget!$A:$A,Budget!DS:DS)</f>
        <v>18600</v>
      </c>
      <c r="FA179" s="106">
        <f>+_xlfn.XLOOKUP($EJ179,Budget!$A:$A,Budget!DT:DT)</f>
        <v>18600</v>
      </c>
      <c r="FB179" s="106">
        <f>+_xlfn.XLOOKUP($EJ179,Budget!$A:$A,Budget!DU:DU)</f>
        <v>18600</v>
      </c>
      <c r="FC179" s="106">
        <f>+_xlfn.XLOOKUP($EJ179,Budget!$A:$A,Budget!DV:DV)</f>
        <v>18600</v>
      </c>
      <c r="FD179" s="106">
        <f>+_xlfn.XLOOKUP($EJ179,Budget!$A:$A,Budget!DW:DW)</f>
        <v>18600</v>
      </c>
      <c r="FE179" s="106">
        <f>+_xlfn.XLOOKUP($EJ179,Budget!$A:$A,Budget!DX:DX)</f>
        <v>18600</v>
      </c>
      <c r="FF179" s="106">
        <f>+_xlfn.XLOOKUP($EJ179,Budget!$A:$A,Budget!DY:DY)</f>
        <v>18600</v>
      </c>
      <c r="FG179" s="106">
        <f>+_xlfn.XLOOKUP($EJ179,Budget!$A:$A,Budget!DZ:DZ)</f>
        <v>18600</v>
      </c>
      <c r="FH179" s="106">
        <f>+_xlfn.XLOOKUP($EJ179,Budget!$A:$A,Budget!EA:EA)</f>
        <v>18600</v>
      </c>
      <c r="FI179" s="106">
        <f>+_xlfn.XLOOKUP($EJ179,Budget!$A:$A,Budget!EB:EB)</f>
        <v>18600</v>
      </c>
      <c r="FJ179" s="106">
        <f>+_xlfn.XLOOKUP($EJ179,Budget!$A:$A,Budget!EC:EC)</f>
        <v>18600</v>
      </c>
      <c r="FK179" s="106">
        <f t="shared" ref="FK179:FK181" si="2089">+SUM(EY179:FJ179)</f>
        <v>223200</v>
      </c>
    </row>
    <row r="180" spans="1:167" ht="14.45" hidden="1" customHeight="1" outlineLevel="2">
      <c r="A180" s="106">
        <f t="shared" si="2053"/>
        <v>5229.3600000000006</v>
      </c>
      <c r="B180" s="106">
        <f t="shared" si="2053"/>
        <v>0</v>
      </c>
      <c r="C180" s="106">
        <f t="shared" si="2053"/>
        <v>0</v>
      </c>
      <c r="D180" s="106">
        <f t="shared" si="2053"/>
        <v>5090.2240000000002</v>
      </c>
      <c r="E180" s="106">
        <f t="shared" si="2053"/>
        <v>0</v>
      </c>
      <c r="F180" s="106">
        <f t="shared" si="2053"/>
        <v>0</v>
      </c>
      <c r="G180" s="106">
        <f t="shared" si="2053"/>
        <v>8622.4760000000006</v>
      </c>
      <c r="H180" s="106">
        <f t="shared" si="2053"/>
        <v>0</v>
      </c>
      <c r="I180" s="106">
        <f t="shared" si="2053"/>
        <v>0</v>
      </c>
      <c r="J180" s="106">
        <f t="shared" si="2053"/>
        <v>0</v>
      </c>
      <c r="K180" s="106">
        <f t="shared" si="2053"/>
        <v>0</v>
      </c>
      <c r="L180" s="106">
        <f t="shared" si="2053"/>
        <v>6344.4840000000004</v>
      </c>
      <c r="M180" s="106">
        <f t="shared" si="2054"/>
        <v>25286.544000000002</v>
      </c>
      <c r="N180" s="16" t="s">
        <v>149</v>
      </c>
      <c r="O180" s="106">
        <f t="shared" si="2055"/>
        <v>0</v>
      </c>
      <c r="P180" s="106">
        <f t="shared" si="2056"/>
        <v>2887.2360000000003</v>
      </c>
      <c r="Q180" s="106">
        <f t="shared" si="2057"/>
        <v>3794</v>
      </c>
      <c r="R180" s="106">
        <f t="shared" si="2058"/>
        <v>8475.4160000000011</v>
      </c>
      <c r="S180" s="106">
        <f t="shared" si="2059"/>
        <v>190220.52</v>
      </c>
      <c r="T180" s="106">
        <f t="shared" si="2060"/>
        <v>11679.828000000001</v>
      </c>
      <c r="U180" s="106">
        <f t="shared" si="2061"/>
        <v>8423.44</v>
      </c>
      <c r="V180" s="106">
        <f t="shared" si="2062"/>
        <v>150314.6</v>
      </c>
      <c r="W180" s="106">
        <f t="shared" si="2063"/>
        <v>140786.94</v>
      </c>
      <c r="X180" s="106">
        <f t="shared" si="2064"/>
        <v>150677.18</v>
      </c>
      <c r="Y180" s="106">
        <f t="shared" si="2065"/>
        <v>0</v>
      </c>
      <c r="Z180" s="106">
        <f t="shared" si="2066"/>
        <v>0</v>
      </c>
      <c r="AA180" s="106">
        <f t="shared" si="2067"/>
        <v>667259.16</v>
      </c>
      <c r="AB180" s="118">
        <f t="shared" si="1854"/>
        <v>0.25564316666666598</v>
      </c>
      <c r="AC180" s="106">
        <f t="shared" si="2068"/>
        <v>120000.00000000006</v>
      </c>
      <c r="AD180" s="106">
        <f t="shared" si="2069"/>
        <v>120000.00000000006</v>
      </c>
      <c r="AE180" s="106">
        <f t="shared" si="2070"/>
        <v>120000.00000000006</v>
      </c>
      <c r="AF180" s="106">
        <f t="shared" si="2071"/>
        <v>120000.00000000006</v>
      </c>
      <c r="AG180" s="106">
        <f t="shared" si="2072"/>
        <v>120000.00000000006</v>
      </c>
      <c r="AH180" s="106">
        <f t="shared" si="2073"/>
        <v>120000.00000000006</v>
      </c>
      <c r="AI180" s="106">
        <f t="shared" si="2074"/>
        <v>120000.00000000006</v>
      </c>
      <c r="AJ180" s="106">
        <f t="shared" si="2075"/>
        <v>120000.00000000006</v>
      </c>
      <c r="AK180" s="106">
        <f t="shared" si="2076"/>
        <v>120000.00000000006</v>
      </c>
      <c r="AL180" s="106">
        <f t="shared" si="2077"/>
        <v>120000.00000000006</v>
      </c>
      <c r="AM180" s="106">
        <f t="shared" si="2078"/>
        <v>120000.00000000006</v>
      </c>
      <c r="AN180" s="106">
        <f t="shared" si="2079"/>
        <v>120000.00000000006</v>
      </c>
      <c r="AO180" s="106">
        <f t="shared" si="2080"/>
        <v>1440000.0000000002</v>
      </c>
      <c r="AQ180" s="106">
        <v>3486.2400000000002</v>
      </c>
      <c r="AR180" s="106">
        <v>0</v>
      </c>
      <c r="AS180" s="106">
        <v>0</v>
      </c>
      <c r="AT180" s="106">
        <v>5090.2240000000002</v>
      </c>
      <c r="AU180" s="106">
        <v>0</v>
      </c>
      <c r="AV180" s="106">
        <v>0</v>
      </c>
      <c r="AW180" s="106">
        <v>8622.4760000000006</v>
      </c>
      <c r="AX180" s="106">
        <v>0</v>
      </c>
      <c r="AY180" s="106">
        <v>0</v>
      </c>
      <c r="AZ180" s="106">
        <v>0</v>
      </c>
      <c r="BA180" s="106">
        <v>0</v>
      </c>
      <c r="BB180" s="106">
        <v>6344.4840000000004</v>
      </c>
      <c r="BC180" s="106">
        <f t="shared" si="2081"/>
        <v>23543.424000000003</v>
      </c>
      <c r="BD180" s="16" t="str">
        <f t="shared" si="1410"/>
        <v>Diesel Expenses</v>
      </c>
      <c r="BE180" s="106">
        <f>+VLOOKUP($BD180,'Jan-25'!$A:$J,5,0)</f>
        <v>0</v>
      </c>
      <c r="BF180" s="106">
        <f>+VLOOKUP($BD180,'Feb-25'!$A:$J,5,0)</f>
        <v>2887.2360000000003</v>
      </c>
      <c r="BG180" s="106">
        <f>+VLOOKUP($BD180,'Mar-25'!$A:$J,5,0)</f>
        <v>3794</v>
      </c>
      <c r="BH180" s="106">
        <f>+VLOOKUP($BD180,'Apr-25'!$A:$J,5,0)</f>
        <v>8475.4160000000011</v>
      </c>
      <c r="BI180" s="106">
        <f>+VLOOKUP($BD180,'May-25'!$A:$J,5,0)</f>
        <v>8270.92</v>
      </c>
      <c r="BJ180" s="106">
        <f>+VLOOKUP($BD180,'June-25'!$A:$J,5,0)</f>
        <v>11679.828000000001</v>
      </c>
      <c r="BK180" s="106">
        <f>+VLOOKUP($BD180,'July-25'!$A:$J,5,0)</f>
        <v>8423.44</v>
      </c>
      <c r="BL180" s="106">
        <f>+VLOOKUP($BD180,'Aug-25'!$A:$J,5,0)</f>
        <v>4951</v>
      </c>
      <c r="BM180" s="106">
        <f>+VLOOKUP($BD180,'Sep-25'!$A:$J,5,0)</f>
        <v>3452.5400000000004</v>
      </c>
      <c r="BN180" s="106">
        <f>+VLOOKUP($BD180,'Oct-25'!$A:$J,5,0)</f>
        <v>5577.18</v>
      </c>
      <c r="BO180" s="106">
        <f>+VLOOKUP($BD180,'Nov-25'!$A:$J,5,0)</f>
        <v>0</v>
      </c>
      <c r="BP180" s="106">
        <f>+VLOOKUP($BD180,'Dec-25'!$A:$J,5,0)</f>
        <v>0</v>
      </c>
      <c r="BQ180" s="106">
        <f t="shared" si="2082"/>
        <v>57511.560000000005</v>
      </c>
      <c r="BR180" s="118">
        <f t="shared" si="1870"/>
        <v>0</v>
      </c>
      <c r="BS180" s="106">
        <f>+_xlfn.XLOOKUP($BD180,Budget!$A:$A,Budget!BD:BD)</f>
        <v>0</v>
      </c>
      <c r="BT180" s="106">
        <f>+_xlfn.XLOOKUP($BD180,Budget!$A:$A,Budget!BE:BE)</f>
        <v>0</v>
      </c>
      <c r="BU180" s="106">
        <f>+_xlfn.XLOOKUP($BD180,Budget!$A:$A,Budget!BF:BF)</f>
        <v>0</v>
      </c>
      <c r="BV180" s="106">
        <f>+_xlfn.XLOOKUP($BD180,Budget!$A:$A,Budget!BG:BG)</f>
        <v>0</v>
      </c>
      <c r="BW180" s="106">
        <f>+_xlfn.XLOOKUP($BD180,Budget!$A:$A,Budget!BH:BH)</f>
        <v>0</v>
      </c>
      <c r="BX180" s="106">
        <f>+_xlfn.XLOOKUP($BD180,Budget!$A:$A,Budget!BI:BI)</f>
        <v>0</v>
      </c>
      <c r="BY180" s="106">
        <f>+_xlfn.XLOOKUP($BD180,Budget!$A:$A,Budget!BJ:BJ)</f>
        <v>0</v>
      </c>
      <c r="BZ180" s="106">
        <f>+_xlfn.XLOOKUP($BD180,Budget!$A:$A,Budget!BK:BK)</f>
        <v>0</v>
      </c>
      <c r="CA180" s="106">
        <f>+_xlfn.XLOOKUP($BD180,Budget!$A:$A,Budget!BL:BL)</f>
        <v>0</v>
      </c>
      <c r="CB180" s="106">
        <f>+_xlfn.XLOOKUP($BD180,Budget!$A:$A,Budget!BM:BM)</f>
        <v>0</v>
      </c>
      <c r="CC180" s="106">
        <f>+_xlfn.XLOOKUP($BD180,Budget!$A:$A,Budget!BN:BN)</f>
        <v>0</v>
      </c>
      <c r="CD180" s="106">
        <f>+_xlfn.XLOOKUP($BD180,Budget!$A:$A,Budget!BO:BO)</f>
        <v>0</v>
      </c>
      <c r="CE180" s="106">
        <f t="shared" si="2083"/>
        <v>0</v>
      </c>
      <c r="CF180" s="106"/>
      <c r="CG180" s="106">
        <v>1743.1200000000001</v>
      </c>
      <c r="CH180" s="106">
        <v>0</v>
      </c>
      <c r="CI180" s="106">
        <v>0</v>
      </c>
      <c r="CJ180" s="106">
        <v>0</v>
      </c>
      <c r="CK180" s="106">
        <v>0</v>
      </c>
      <c r="CL180" s="106">
        <v>0</v>
      </c>
      <c r="CM180" s="106">
        <v>0</v>
      </c>
      <c r="CN180" s="106">
        <v>0</v>
      </c>
      <c r="CO180" s="106">
        <v>0</v>
      </c>
      <c r="CP180" s="106">
        <v>0</v>
      </c>
      <c r="CQ180" s="106">
        <v>0</v>
      </c>
      <c r="CR180" s="106">
        <v>0</v>
      </c>
      <c r="CS180" s="106">
        <f t="shared" si="2084"/>
        <v>1743.1200000000001</v>
      </c>
      <c r="CT180" s="16" t="str">
        <f t="shared" si="1411"/>
        <v>Diesel Expenses</v>
      </c>
      <c r="CU180" s="106">
        <f>+VLOOKUP($BD180,'Jan-25'!$A:$J,8,0)</f>
        <v>0</v>
      </c>
      <c r="CV180" s="106">
        <f>+VLOOKUP($BD180,'Feb-25'!$A:$J,8,0)</f>
        <v>0</v>
      </c>
      <c r="CW180" s="106">
        <f>+VLOOKUP($BD180,'Mar-25'!$A:$J,8,0)</f>
        <v>0</v>
      </c>
      <c r="CX180" s="106">
        <f>+VLOOKUP($BD180,'Apr-25'!$A:$J,8,0)</f>
        <v>0</v>
      </c>
      <c r="CY180" s="106">
        <f>+VLOOKUP($BD180,'May-25'!$A:$J,8,0)</f>
        <v>0</v>
      </c>
      <c r="CZ180" s="106">
        <f>+VLOOKUP($BD180,'June-25'!$A:$J,8,0)</f>
        <v>0</v>
      </c>
      <c r="DA180" s="106">
        <f>+VLOOKUP($BD180,'July-25'!$A:$J,8,0)</f>
        <v>0</v>
      </c>
      <c r="DB180" s="106">
        <f>+VLOOKUP($BD180,'Aug-25'!$A:$J,8,0)</f>
        <v>0</v>
      </c>
      <c r="DC180" s="106">
        <f>+VLOOKUP($BD180,'Sep-25'!$A:$J,8,0)</f>
        <v>0</v>
      </c>
      <c r="DD180" s="106">
        <f>+VLOOKUP($BD180,'Oct-25'!$A:$J,8,0)</f>
        <v>0</v>
      </c>
      <c r="DE180" s="106">
        <f>+VLOOKUP($BD180,'Nov-25'!$A:$J,8,0)</f>
        <v>0</v>
      </c>
      <c r="DF180" s="106">
        <f>+VLOOKUP($BD180,'Dec-25'!$A:$J,8,0)</f>
        <v>0</v>
      </c>
      <c r="DG180" s="106">
        <f t="shared" si="2085"/>
        <v>0</v>
      </c>
      <c r="DH180" s="118">
        <f t="shared" si="1874"/>
        <v>0</v>
      </c>
      <c r="DI180" s="106">
        <f>+_xlfn.XLOOKUP($CT180,Budget!$A:$A,Budget!CQ:CQ)</f>
        <v>0</v>
      </c>
      <c r="DJ180" s="106">
        <f>+_xlfn.XLOOKUP($CT180,Budget!$A:$A,Budget!CR:CR)</f>
        <v>0</v>
      </c>
      <c r="DK180" s="106">
        <f>+_xlfn.XLOOKUP($CT180,Budget!$A:$A,Budget!CS:CS)</f>
        <v>0</v>
      </c>
      <c r="DL180" s="106">
        <f>+_xlfn.XLOOKUP($CT180,Budget!$A:$A,Budget!CT:CT)</f>
        <v>0</v>
      </c>
      <c r="DM180" s="106">
        <f>+_xlfn.XLOOKUP($CT180,Budget!$A:$A,Budget!CU:CU)</f>
        <v>0</v>
      </c>
      <c r="DN180" s="106">
        <f>+_xlfn.XLOOKUP($CT180,Budget!$A:$A,Budget!CV:CV)</f>
        <v>0</v>
      </c>
      <c r="DO180" s="106">
        <f>+_xlfn.XLOOKUP($CT180,Budget!$A:$A,Budget!CW:CW)</f>
        <v>0</v>
      </c>
      <c r="DP180" s="106">
        <f>+_xlfn.XLOOKUP($CT180,Budget!$A:$A,Budget!CX:CX)</f>
        <v>0</v>
      </c>
      <c r="DQ180" s="106">
        <f>+_xlfn.XLOOKUP($CT180,Budget!$A:$A,Budget!CY:CY)</f>
        <v>0</v>
      </c>
      <c r="DR180" s="106">
        <f>+_xlfn.XLOOKUP($CT180,Budget!$A:$A,Budget!CZ:CZ)</f>
        <v>0</v>
      </c>
      <c r="DS180" s="106">
        <f>+_xlfn.XLOOKUP($CT180,Budget!$A:$A,Budget!DA:DA)</f>
        <v>0</v>
      </c>
      <c r="DT180" s="106">
        <f>+_xlfn.XLOOKUP($CT180,Budget!$A:$A,Budget!DB:DB)</f>
        <v>0</v>
      </c>
      <c r="DU180" s="106">
        <f t="shared" si="2086"/>
        <v>0</v>
      </c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106">
        <f t="shared" si="2087"/>
        <v>0</v>
      </c>
      <c r="EJ180" s="16" t="str">
        <f t="shared" si="1555"/>
        <v>Diesel Expenses</v>
      </c>
      <c r="EK180" s="22">
        <f>+VLOOKUP($BD180,'Jan-25'!$A:$J,10,0)</f>
        <v>0</v>
      </c>
      <c r="EL180" s="22">
        <f>+VLOOKUP($BD180,'Feb-25'!$A:$J,10,0)</f>
        <v>0</v>
      </c>
      <c r="EM180" s="22">
        <f>+VLOOKUP($BD180,'Mar-25'!$A:$J,10,0)</f>
        <v>0</v>
      </c>
      <c r="EN180" s="22">
        <f>+VLOOKUP($BD180,'Apr-25'!$A:$J,10,0)</f>
        <v>0</v>
      </c>
      <c r="EO180" s="22">
        <f>+VLOOKUP($BD180,'May-25'!$A:$J,10,0)</f>
        <v>181949.59999999998</v>
      </c>
      <c r="EP180" s="22">
        <f>+VLOOKUP($BD180,'June-25'!$A:$J,10,0)</f>
        <v>0</v>
      </c>
      <c r="EQ180" s="22">
        <f>+VLOOKUP($BD180,'July-25'!$A:$J,10,0)</f>
        <v>0</v>
      </c>
      <c r="ER180" s="22">
        <f>+VLOOKUP($BD180,'Aug-25'!$A:$J,10,0)</f>
        <v>145363.6</v>
      </c>
      <c r="ES180" s="22">
        <f>+VLOOKUP($BD180,'Sep-25'!$A:$J,10,0)</f>
        <v>137334.39999999999</v>
      </c>
      <c r="ET180" s="22">
        <f>+VLOOKUP($BD180,'Oct-25'!$A:$J,10,0)</f>
        <v>145100</v>
      </c>
      <c r="EU180" s="22">
        <f>+VLOOKUP($BD180,'Nov-25'!$A:$J,10,0)</f>
        <v>0</v>
      </c>
      <c r="EV180" s="22">
        <f>+VLOOKUP($BD180,'Dec-25'!$A:$J,10,0)</f>
        <v>0</v>
      </c>
      <c r="EW180" s="22">
        <f t="shared" si="2088"/>
        <v>609747.6</v>
      </c>
      <c r="EX180" s="118">
        <f t="shared" si="1878"/>
        <v>0.14445333333333274</v>
      </c>
      <c r="EY180" s="106">
        <f>+_xlfn.XLOOKUP($EJ180,Budget!$A:$A,Budget!DR:DR)</f>
        <v>120000.00000000006</v>
      </c>
      <c r="EZ180" s="106">
        <f>+_xlfn.XLOOKUP($EJ180,Budget!$A:$A,Budget!DS:DS)</f>
        <v>120000.00000000006</v>
      </c>
      <c r="FA180" s="106">
        <f>+_xlfn.XLOOKUP($EJ180,Budget!$A:$A,Budget!DT:DT)</f>
        <v>120000.00000000006</v>
      </c>
      <c r="FB180" s="106">
        <f>+_xlfn.XLOOKUP($EJ180,Budget!$A:$A,Budget!DU:DU)</f>
        <v>120000.00000000006</v>
      </c>
      <c r="FC180" s="106">
        <f>+_xlfn.XLOOKUP($EJ180,Budget!$A:$A,Budget!DV:DV)</f>
        <v>120000.00000000006</v>
      </c>
      <c r="FD180" s="106">
        <f>+_xlfn.XLOOKUP($EJ180,Budget!$A:$A,Budget!DW:DW)</f>
        <v>120000.00000000006</v>
      </c>
      <c r="FE180" s="106">
        <f>+_xlfn.XLOOKUP($EJ180,Budget!$A:$A,Budget!DX:DX)</f>
        <v>120000.00000000006</v>
      </c>
      <c r="FF180" s="106">
        <f>+_xlfn.XLOOKUP($EJ180,Budget!$A:$A,Budget!DY:DY)</f>
        <v>120000.00000000006</v>
      </c>
      <c r="FG180" s="106">
        <f>+_xlfn.XLOOKUP($EJ180,Budget!$A:$A,Budget!DZ:DZ)</f>
        <v>120000.00000000006</v>
      </c>
      <c r="FH180" s="106">
        <f>+_xlfn.XLOOKUP($EJ180,Budget!$A:$A,Budget!EA:EA)</f>
        <v>120000.00000000006</v>
      </c>
      <c r="FI180" s="106">
        <f>+_xlfn.XLOOKUP($EJ180,Budget!$A:$A,Budget!EB:EB)</f>
        <v>120000.00000000006</v>
      </c>
      <c r="FJ180" s="106">
        <f>+_xlfn.XLOOKUP($EJ180,Budget!$A:$A,Budget!EC:EC)</f>
        <v>120000.00000000006</v>
      </c>
      <c r="FK180" s="106">
        <f t="shared" si="2089"/>
        <v>1440000.0000000002</v>
      </c>
    </row>
    <row r="181" spans="1:167" ht="14.45" hidden="1" customHeight="1" outlineLevel="2">
      <c r="A181" s="106">
        <f t="shared" si="2053"/>
        <v>5880</v>
      </c>
      <c r="B181" s="106">
        <f t="shared" si="2053"/>
        <v>3360</v>
      </c>
      <c r="C181" s="106">
        <f t="shared" si="2053"/>
        <v>5880</v>
      </c>
      <c r="D181" s="106">
        <f t="shared" si="2053"/>
        <v>0</v>
      </c>
      <c r="E181" s="106">
        <f t="shared" si="2053"/>
        <v>3360</v>
      </c>
      <c r="F181" s="106">
        <f t="shared" si="2053"/>
        <v>0</v>
      </c>
      <c r="G181" s="106">
        <f t="shared" si="2053"/>
        <v>4200</v>
      </c>
      <c r="H181" s="106">
        <f t="shared" si="2053"/>
        <v>0</v>
      </c>
      <c r="I181" s="106">
        <f t="shared" si="2053"/>
        <v>0</v>
      </c>
      <c r="J181" s="106">
        <f t="shared" si="2053"/>
        <v>0</v>
      </c>
      <c r="K181" s="106">
        <f t="shared" si="2053"/>
        <v>0</v>
      </c>
      <c r="L181" s="106">
        <f t="shared" si="2053"/>
        <v>12320</v>
      </c>
      <c r="M181" s="106">
        <f t="shared" si="2054"/>
        <v>35000</v>
      </c>
      <c r="N181" s="16" t="s">
        <v>150</v>
      </c>
      <c r="O181" s="106">
        <f t="shared" si="2055"/>
        <v>5320</v>
      </c>
      <c r="P181" s="106">
        <f t="shared" si="2056"/>
        <v>0</v>
      </c>
      <c r="Q181" s="106">
        <f t="shared" si="2057"/>
        <v>0</v>
      </c>
      <c r="R181" s="106">
        <f t="shared" si="2058"/>
        <v>0</v>
      </c>
      <c r="S181" s="106">
        <f t="shared" si="2059"/>
        <v>7840</v>
      </c>
      <c r="T181" s="106">
        <f t="shared" si="2060"/>
        <v>2240</v>
      </c>
      <c r="U181" s="106">
        <f t="shared" si="2061"/>
        <v>4200</v>
      </c>
      <c r="V181" s="106">
        <f t="shared" si="2062"/>
        <v>5600</v>
      </c>
      <c r="W181" s="106">
        <f t="shared" si="2063"/>
        <v>6160</v>
      </c>
      <c r="X181" s="106">
        <f t="shared" si="2064"/>
        <v>4760</v>
      </c>
      <c r="Y181" s="106">
        <f t="shared" si="2065"/>
        <v>0</v>
      </c>
      <c r="Z181" s="106">
        <f t="shared" si="2066"/>
        <v>0</v>
      </c>
      <c r="AA181" s="106">
        <f t="shared" si="2067"/>
        <v>36120</v>
      </c>
      <c r="AB181" s="118">
        <f t="shared" si="1854"/>
        <v>-0.38974358974358975</v>
      </c>
      <c r="AC181" s="106">
        <f t="shared" si="2068"/>
        <v>7800</v>
      </c>
      <c r="AD181" s="106">
        <f t="shared" si="2069"/>
        <v>7800</v>
      </c>
      <c r="AE181" s="106">
        <f t="shared" si="2070"/>
        <v>7800</v>
      </c>
      <c r="AF181" s="106">
        <f t="shared" si="2071"/>
        <v>7800</v>
      </c>
      <c r="AG181" s="106">
        <f t="shared" si="2072"/>
        <v>7800</v>
      </c>
      <c r="AH181" s="106">
        <f t="shared" si="2073"/>
        <v>7800</v>
      </c>
      <c r="AI181" s="106">
        <f t="shared" si="2074"/>
        <v>7800</v>
      </c>
      <c r="AJ181" s="106">
        <f t="shared" si="2075"/>
        <v>7800</v>
      </c>
      <c r="AK181" s="106">
        <f t="shared" si="2076"/>
        <v>7800</v>
      </c>
      <c r="AL181" s="106">
        <f t="shared" si="2077"/>
        <v>7800</v>
      </c>
      <c r="AM181" s="106">
        <f t="shared" si="2078"/>
        <v>7800</v>
      </c>
      <c r="AN181" s="106">
        <f t="shared" si="2079"/>
        <v>7800</v>
      </c>
      <c r="AO181" s="106">
        <f t="shared" si="2080"/>
        <v>93600</v>
      </c>
      <c r="AQ181" s="106">
        <v>0</v>
      </c>
      <c r="AR181" s="106">
        <v>0</v>
      </c>
      <c r="AS181" s="106">
        <v>0</v>
      </c>
      <c r="AT181" s="106">
        <v>0</v>
      </c>
      <c r="AU181" s="106">
        <v>0</v>
      </c>
      <c r="AV181" s="106">
        <v>0</v>
      </c>
      <c r="AW181" s="106">
        <v>0</v>
      </c>
      <c r="AX181" s="106">
        <v>0</v>
      </c>
      <c r="AY181" s="106">
        <v>0</v>
      </c>
      <c r="AZ181" s="106">
        <v>0</v>
      </c>
      <c r="BA181" s="106">
        <v>0</v>
      </c>
      <c r="BB181" s="106">
        <v>0</v>
      </c>
      <c r="BC181" s="106">
        <f t="shared" si="2081"/>
        <v>0</v>
      </c>
      <c r="BD181" s="16" t="str">
        <f t="shared" si="1410"/>
        <v>Water</v>
      </c>
      <c r="BE181" s="106">
        <f>+VLOOKUP($BD181,'Jan-25'!$A:$J,5,0)</f>
        <v>0</v>
      </c>
      <c r="BF181" s="106">
        <f>+VLOOKUP($BD181,'Feb-25'!$A:$J,5,0)</f>
        <v>0</v>
      </c>
      <c r="BG181" s="106">
        <f>+VLOOKUP($BD181,'Mar-25'!$A:$J,5,0)</f>
        <v>0</v>
      </c>
      <c r="BH181" s="106">
        <f>+VLOOKUP($BD181,'Apr-25'!$A:$J,5,0)</f>
        <v>0</v>
      </c>
      <c r="BI181" s="106">
        <f>+VLOOKUP($BD181,'May-25'!$A:$J,5,0)</f>
        <v>0</v>
      </c>
      <c r="BJ181" s="106">
        <f>+VLOOKUP($BD181,'June-25'!$A:$J,5,0)</f>
        <v>0</v>
      </c>
      <c r="BK181" s="106">
        <f>+VLOOKUP($BD181,'July-25'!$A:$J,5,0)</f>
        <v>0</v>
      </c>
      <c r="BL181" s="106">
        <f>+VLOOKUP($BD181,'Aug-25'!$A:$J,5,0)</f>
        <v>0</v>
      </c>
      <c r="BM181" s="106">
        <f>+VLOOKUP($BD181,'Sep-25'!$A:$J,5,0)</f>
        <v>0</v>
      </c>
      <c r="BN181" s="106">
        <f>+VLOOKUP($BD181,'Oct-25'!$A:$J,5,0)</f>
        <v>0</v>
      </c>
      <c r="BO181" s="106">
        <f>+VLOOKUP($BD181,'Nov-25'!$A:$J,5,0)</f>
        <v>0</v>
      </c>
      <c r="BP181" s="106">
        <f>+VLOOKUP($BD181,'Dec-25'!$A:$J,5,0)</f>
        <v>0</v>
      </c>
      <c r="BQ181" s="106">
        <f t="shared" si="2082"/>
        <v>0</v>
      </c>
      <c r="BR181" s="118">
        <f t="shared" si="1870"/>
        <v>0</v>
      </c>
      <c r="BS181" s="106">
        <f>+_xlfn.XLOOKUP($BD181,Budget!$A:$A,Budget!BD:BD)</f>
        <v>0</v>
      </c>
      <c r="BT181" s="106">
        <f>+_xlfn.XLOOKUP($BD181,Budget!$A:$A,Budget!BE:BE)</f>
        <v>0</v>
      </c>
      <c r="BU181" s="106">
        <f>+_xlfn.XLOOKUP($BD181,Budget!$A:$A,Budget!BF:BF)</f>
        <v>0</v>
      </c>
      <c r="BV181" s="106">
        <f>+_xlfn.XLOOKUP($BD181,Budget!$A:$A,Budget!BG:BG)</f>
        <v>0</v>
      </c>
      <c r="BW181" s="106">
        <f>+_xlfn.XLOOKUP($BD181,Budget!$A:$A,Budget!BH:BH)</f>
        <v>0</v>
      </c>
      <c r="BX181" s="106">
        <f>+_xlfn.XLOOKUP($BD181,Budget!$A:$A,Budget!BI:BI)</f>
        <v>0</v>
      </c>
      <c r="BY181" s="106">
        <f>+_xlfn.XLOOKUP($BD181,Budget!$A:$A,Budget!BJ:BJ)</f>
        <v>0</v>
      </c>
      <c r="BZ181" s="106">
        <f>+_xlfn.XLOOKUP($BD181,Budget!$A:$A,Budget!BK:BK)</f>
        <v>0</v>
      </c>
      <c r="CA181" s="106">
        <f>+_xlfn.XLOOKUP($BD181,Budget!$A:$A,Budget!BL:BL)</f>
        <v>0</v>
      </c>
      <c r="CB181" s="106">
        <f>+_xlfn.XLOOKUP($BD181,Budget!$A:$A,Budget!BM:BM)</f>
        <v>0</v>
      </c>
      <c r="CC181" s="106">
        <f>+_xlfn.XLOOKUP($BD181,Budget!$A:$A,Budget!BN:BN)</f>
        <v>0</v>
      </c>
      <c r="CD181" s="106">
        <f>+_xlfn.XLOOKUP($BD181,Budget!$A:$A,Budget!BO:BO)</f>
        <v>0</v>
      </c>
      <c r="CE181" s="106">
        <f t="shared" si="2083"/>
        <v>0</v>
      </c>
      <c r="CF181" s="106"/>
      <c r="CG181" s="106">
        <v>5880</v>
      </c>
      <c r="CH181" s="106">
        <v>3360</v>
      </c>
      <c r="CI181" s="106">
        <v>5880</v>
      </c>
      <c r="CJ181" s="106">
        <v>0</v>
      </c>
      <c r="CK181" s="106">
        <v>3360</v>
      </c>
      <c r="CL181" s="106">
        <v>0</v>
      </c>
      <c r="CM181" s="106">
        <v>4200</v>
      </c>
      <c r="CN181" s="106">
        <v>0</v>
      </c>
      <c r="CO181" s="106">
        <v>0</v>
      </c>
      <c r="CP181" s="106">
        <v>0</v>
      </c>
      <c r="CQ181" s="106">
        <v>0</v>
      </c>
      <c r="CR181" s="106">
        <v>12320</v>
      </c>
      <c r="CS181" s="106">
        <f t="shared" si="2084"/>
        <v>35000</v>
      </c>
      <c r="CT181" s="16" t="str">
        <f t="shared" si="1411"/>
        <v>Water</v>
      </c>
      <c r="CU181" s="106">
        <f>+VLOOKUP($BD181,'Jan-25'!$A:$J,8,0)</f>
        <v>5320</v>
      </c>
      <c r="CV181" s="106">
        <f>+VLOOKUP($BD181,'Feb-25'!$A:$J,8,0)</f>
        <v>0</v>
      </c>
      <c r="CW181" s="106">
        <f>+VLOOKUP($BD181,'Mar-25'!$A:$J,8,0)</f>
        <v>0</v>
      </c>
      <c r="CX181" s="106">
        <f>+VLOOKUP($BD181,'Apr-25'!$A:$J,8,0)</f>
        <v>0</v>
      </c>
      <c r="CY181" s="106">
        <f>+VLOOKUP($BD181,'May-25'!$A:$J,8,0)</f>
        <v>7840</v>
      </c>
      <c r="CZ181" s="106">
        <f>+VLOOKUP($BD181,'June-25'!$A:$J,8,0)</f>
        <v>2240</v>
      </c>
      <c r="DA181" s="106">
        <f>+VLOOKUP($BD181,'July-25'!$A:$J,8,0)</f>
        <v>4200</v>
      </c>
      <c r="DB181" s="106">
        <f>+VLOOKUP($BD181,'Aug-25'!$A:$J,8,0)</f>
        <v>5600</v>
      </c>
      <c r="DC181" s="106">
        <f>+VLOOKUP($BD181,'Sep-25'!$A:$J,8,0)</f>
        <v>6160</v>
      </c>
      <c r="DD181" s="106">
        <f>+VLOOKUP($BD181,'Oct-25'!$A:$J,8,0)</f>
        <v>4760</v>
      </c>
      <c r="DE181" s="106">
        <f>+VLOOKUP($BD181,'Nov-25'!$A:$J,8,0)</f>
        <v>0</v>
      </c>
      <c r="DF181" s="106">
        <f>+VLOOKUP($BD181,'Dec-25'!$A:$J,8,0)</f>
        <v>0</v>
      </c>
      <c r="DG181" s="106">
        <f t="shared" si="2085"/>
        <v>36120</v>
      </c>
      <c r="DH181" s="118">
        <f t="shared" si="1874"/>
        <v>-0.19047619047619047</v>
      </c>
      <c r="DI181" s="106">
        <f>+_xlfn.XLOOKUP($CT181,Budget!$A:$A,Budget!CQ:CQ)</f>
        <v>5880</v>
      </c>
      <c r="DJ181" s="106">
        <f>+_xlfn.XLOOKUP($CT181,Budget!$A:$A,Budget!CR:CR)</f>
        <v>5880</v>
      </c>
      <c r="DK181" s="106">
        <f>+_xlfn.XLOOKUP($CT181,Budget!$A:$A,Budget!CS:CS)</f>
        <v>5880</v>
      </c>
      <c r="DL181" s="106">
        <f>+_xlfn.XLOOKUP($CT181,Budget!$A:$A,Budget!CT:CT)</f>
        <v>5880</v>
      </c>
      <c r="DM181" s="106">
        <f>+_xlfn.XLOOKUP($CT181,Budget!$A:$A,Budget!CU:CU)</f>
        <v>5880</v>
      </c>
      <c r="DN181" s="106">
        <f>+_xlfn.XLOOKUP($CT181,Budget!$A:$A,Budget!CV:CV)</f>
        <v>5880</v>
      </c>
      <c r="DO181" s="106">
        <f>+_xlfn.XLOOKUP($CT181,Budget!$A:$A,Budget!CW:CW)</f>
        <v>5880</v>
      </c>
      <c r="DP181" s="106">
        <f>+_xlfn.XLOOKUP($CT181,Budget!$A:$A,Budget!CX:CX)</f>
        <v>5880</v>
      </c>
      <c r="DQ181" s="106">
        <f>+_xlfn.XLOOKUP($CT181,Budget!$A:$A,Budget!CY:CY)</f>
        <v>5880</v>
      </c>
      <c r="DR181" s="106">
        <f>+_xlfn.XLOOKUP($CT181,Budget!$A:$A,Budget!CZ:CZ)</f>
        <v>5880</v>
      </c>
      <c r="DS181" s="106">
        <f>+_xlfn.XLOOKUP($CT181,Budget!$A:$A,Budget!DA:DA)</f>
        <v>5880</v>
      </c>
      <c r="DT181" s="106">
        <f>+_xlfn.XLOOKUP($CT181,Budget!$A:$A,Budget!DB:DB)</f>
        <v>5880</v>
      </c>
      <c r="DU181" s="106">
        <f t="shared" si="2086"/>
        <v>70560</v>
      </c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106">
        <f t="shared" si="2087"/>
        <v>0</v>
      </c>
      <c r="EJ181" s="16" t="str">
        <f t="shared" si="1555"/>
        <v>Water</v>
      </c>
      <c r="EK181" s="22">
        <f>+VLOOKUP($BD181,'Jan-25'!$A:$J,10,0)</f>
        <v>0</v>
      </c>
      <c r="EL181" s="22">
        <f>+VLOOKUP($BD181,'Feb-25'!$A:$J,10,0)</f>
        <v>0</v>
      </c>
      <c r="EM181" s="22">
        <f>+VLOOKUP($BD181,'Mar-25'!$A:$J,10,0)</f>
        <v>0</v>
      </c>
      <c r="EN181" s="22">
        <f>+VLOOKUP($BD181,'Apr-25'!$A:$J,10,0)</f>
        <v>0</v>
      </c>
      <c r="EO181" s="22">
        <f>+VLOOKUP($BD181,'May-25'!$A:$J,10,0)</f>
        <v>0</v>
      </c>
      <c r="EP181" s="22">
        <f>+VLOOKUP($BD181,'June-25'!$A:$J,10,0)</f>
        <v>0</v>
      </c>
      <c r="EQ181" s="22">
        <f>+VLOOKUP($BD181,'July-25'!$A:$J,10,0)</f>
        <v>0</v>
      </c>
      <c r="ER181" s="22">
        <f>+VLOOKUP($BD181,'Aug-25'!$A:$J,10,0)</f>
        <v>0</v>
      </c>
      <c r="ES181" s="22">
        <f>+VLOOKUP($BD181,'Sep-25'!$A:$J,10,0)</f>
        <v>0</v>
      </c>
      <c r="ET181" s="22">
        <f>+VLOOKUP($BD181,'Oct-25'!$A:$J,10,0)</f>
        <v>0</v>
      </c>
      <c r="EU181" s="22">
        <f>+VLOOKUP($BD181,'Nov-25'!$A:$J,10,0)</f>
        <v>0</v>
      </c>
      <c r="EV181" s="22">
        <f>+VLOOKUP($BD181,'Dec-25'!$A:$J,10,0)</f>
        <v>0</v>
      </c>
      <c r="EW181" s="22">
        <f t="shared" si="2088"/>
        <v>0</v>
      </c>
      <c r="EX181" s="118">
        <f t="shared" si="1878"/>
        <v>-1</v>
      </c>
      <c r="EY181" s="106">
        <f>+_xlfn.XLOOKUP($EJ181,Budget!$A:$A,Budget!DR:DR)</f>
        <v>1920</v>
      </c>
      <c r="EZ181" s="106">
        <f>+_xlfn.XLOOKUP($EJ181,Budget!$A:$A,Budget!DS:DS)</f>
        <v>1920</v>
      </c>
      <c r="FA181" s="106">
        <f>+_xlfn.XLOOKUP($EJ181,Budget!$A:$A,Budget!DT:DT)</f>
        <v>1920</v>
      </c>
      <c r="FB181" s="106">
        <f>+_xlfn.XLOOKUP($EJ181,Budget!$A:$A,Budget!DU:DU)</f>
        <v>1920</v>
      </c>
      <c r="FC181" s="106">
        <f>+_xlfn.XLOOKUP($EJ181,Budget!$A:$A,Budget!DV:DV)</f>
        <v>1920</v>
      </c>
      <c r="FD181" s="106">
        <f>+_xlfn.XLOOKUP($EJ181,Budget!$A:$A,Budget!DW:DW)</f>
        <v>1920</v>
      </c>
      <c r="FE181" s="106">
        <f>+_xlfn.XLOOKUP($EJ181,Budget!$A:$A,Budget!DX:DX)</f>
        <v>1920</v>
      </c>
      <c r="FF181" s="106">
        <f>+_xlfn.XLOOKUP($EJ181,Budget!$A:$A,Budget!DY:DY)</f>
        <v>1920</v>
      </c>
      <c r="FG181" s="106">
        <f>+_xlfn.XLOOKUP($EJ181,Budget!$A:$A,Budget!DZ:DZ)</f>
        <v>1920</v>
      </c>
      <c r="FH181" s="106">
        <f>+_xlfn.XLOOKUP($EJ181,Budget!$A:$A,Budget!EA:EA)</f>
        <v>1920</v>
      </c>
      <c r="FI181" s="106">
        <f>+_xlfn.XLOOKUP($EJ181,Budget!$A:$A,Budget!EB:EB)</f>
        <v>1920</v>
      </c>
      <c r="FJ181" s="106">
        <f>+_xlfn.XLOOKUP($EJ181,Budget!$A:$A,Budget!EC:EC)</f>
        <v>1920</v>
      </c>
      <c r="FK181" s="106">
        <f t="shared" si="2089"/>
        <v>23040</v>
      </c>
    </row>
    <row r="182" spans="1:167" ht="14.45" hidden="1" customHeight="1" outlineLevel="1" collapsed="1">
      <c r="A182" s="107">
        <f t="shared" ref="A182:L182" si="2090">+SUM(A183:A186)</f>
        <v>16715.397000000004</v>
      </c>
      <c r="B182" s="107">
        <f t="shared" si="2090"/>
        <v>13970.500000000002</v>
      </c>
      <c r="C182" s="107">
        <f t="shared" si="2090"/>
        <v>13570.9</v>
      </c>
      <c r="D182" s="107">
        <f t="shared" si="2090"/>
        <v>4570.9000000000005</v>
      </c>
      <c r="E182" s="107">
        <f t="shared" si="2090"/>
        <v>4890.5</v>
      </c>
      <c r="F182" s="107">
        <f t="shared" si="2090"/>
        <v>3833.8</v>
      </c>
      <c r="G182" s="107">
        <f t="shared" si="2090"/>
        <v>14030</v>
      </c>
      <c r="H182" s="107">
        <f t="shared" si="2090"/>
        <v>399.6</v>
      </c>
      <c r="I182" s="107">
        <f t="shared" si="2090"/>
        <v>12833.962000000001</v>
      </c>
      <c r="J182" s="107">
        <f t="shared" si="2090"/>
        <v>319.60000000000002</v>
      </c>
      <c r="K182" s="107">
        <f t="shared" si="2090"/>
        <v>3993.7620000000002</v>
      </c>
      <c r="L182" s="107">
        <f t="shared" si="2090"/>
        <v>4153.3999999999996</v>
      </c>
      <c r="M182" s="107"/>
      <c r="N182" s="20" t="s">
        <v>151</v>
      </c>
      <c r="O182" s="107">
        <f t="shared" ref="O182" si="2091">+SUM(O183:O186)</f>
        <v>6987.8600000000006</v>
      </c>
      <c r="P182" s="107">
        <f t="shared" ref="P182" si="2092">+SUM(P183:P186)</f>
        <v>8653.4</v>
      </c>
      <c r="Q182" s="107">
        <f t="shared" ref="Q182" si="2093">+SUM(Q183:Q186)</f>
        <v>5199.13</v>
      </c>
      <c r="R182" s="107">
        <f t="shared" ref="R182" si="2094">+SUM(R183:R186)</f>
        <v>7222.4232000000011</v>
      </c>
      <c r="S182" s="107">
        <f t="shared" ref="S182" si="2095">+SUM(S183:S186)</f>
        <v>16108.2644</v>
      </c>
      <c r="T182" s="107">
        <f t="shared" ref="T182" si="2096">+SUM(T183:T186)</f>
        <v>23314.664199999999</v>
      </c>
      <c r="U182" s="107">
        <f t="shared" ref="U182" si="2097">+SUM(U183:U186)</f>
        <v>23944.06961758242</v>
      </c>
      <c r="V182" s="107">
        <f t="shared" ref="V182" si="2098">+SUM(V183:V186)</f>
        <v>14217.499399999999</v>
      </c>
      <c r="W182" s="107">
        <f t="shared" ref="W182" si="2099">+SUM(W183:W186)</f>
        <v>24291.14</v>
      </c>
      <c r="X182" s="107">
        <f t="shared" ref="X182" si="2100">+SUM(X183:X186)</f>
        <v>23074.699999999997</v>
      </c>
      <c r="Y182" s="107">
        <f t="shared" ref="Y182" si="2101">+SUM(Y183:Y186)</f>
        <v>0</v>
      </c>
      <c r="Z182" s="107">
        <f t="shared" ref="Z182" si="2102">+SUM(Z183:Z186)</f>
        <v>0</v>
      </c>
      <c r="AA182" s="107"/>
      <c r="AB182" s="118">
        <f t="shared" si="1854"/>
        <v>-7.3264280751358532E-2</v>
      </c>
      <c r="AC182" s="107">
        <f t="shared" ref="AC182" si="2103">+SUM(AC183:AC186)</f>
        <v>24898.899999999998</v>
      </c>
      <c r="AD182" s="107">
        <f t="shared" ref="AD182" si="2104">+SUM(AD183:AD186)</f>
        <v>24898.899999999998</v>
      </c>
      <c r="AE182" s="107">
        <f t="shared" ref="AE182" si="2105">+SUM(AE183:AE186)</f>
        <v>24898.899999999998</v>
      </c>
      <c r="AF182" s="107">
        <f t="shared" ref="AF182" si="2106">+SUM(AF183:AF186)</f>
        <v>24898.899999999998</v>
      </c>
      <c r="AG182" s="107">
        <f t="shared" ref="AG182" si="2107">+SUM(AG183:AG186)</f>
        <v>24898.899999999998</v>
      </c>
      <c r="AH182" s="107">
        <f t="shared" ref="AH182" si="2108">+SUM(AH183:AH186)</f>
        <v>24898.899999999998</v>
      </c>
      <c r="AI182" s="107">
        <f t="shared" ref="AI182" si="2109">+SUM(AI183:AI186)</f>
        <v>24898.899999999998</v>
      </c>
      <c r="AJ182" s="107">
        <f t="shared" ref="AJ182" si="2110">+SUM(AJ183:AJ186)</f>
        <v>24898.899999999998</v>
      </c>
      <c r="AK182" s="107">
        <f t="shared" ref="AK182" si="2111">+SUM(AK183:AK186)</f>
        <v>24898.899999999998</v>
      </c>
      <c r="AL182" s="107">
        <f t="shared" ref="AL182" si="2112">+SUM(AL183:AL186)</f>
        <v>24898.899999999998</v>
      </c>
      <c r="AM182" s="107">
        <f t="shared" ref="AM182" si="2113">+SUM(AM183:AM186)</f>
        <v>24898.899999999998</v>
      </c>
      <c r="AN182" s="107">
        <f t="shared" ref="AN182:AO182" si="2114">+SUM(AN183:AN186)</f>
        <v>24898.899999999998</v>
      </c>
      <c r="AO182" s="107">
        <f t="shared" si="2114"/>
        <v>298786.79999999993</v>
      </c>
      <c r="AQ182" s="107">
        <f t="shared" ref="AQ182:CD182" si="2115">+SUM(AQ183:AQ186)</f>
        <v>10824.854000000001</v>
      </c>
      <c r="AR182" s="107">
        <f t="shared" si="2115"/>
        <v>9234.6</v>
      </c>
      <c r="AS182" s="107">
        <f t="shared" si="2115"/>
        <v>8835</v>
      </c>
      <c r="AT182" s="107">
        <f t="shared" si="2115"/>
        <v>2835</v>
      </c>
      <c r="AU182" s="107">
        <f t="shared" si="2115"/>
        <v>2835</v>
      </c>
      <c r="AV182" s="107">
        <f t="shared" si="2115"/>
        <v>2343.6</v>
      </c>
      <c r="AW182" s="107">
        <f t="shared" si="2115"/>
        <v>9061.2000000000007</v>
      </c>
      <c r="AX182" s="107">
        <f t="shared" si="2115"/>
        <v>399.6</v>
      </c>
      <c r="AY182" s="107">
        <f t="shared" si="2115"/>
        <v>8343.764000000001</v>
      </c>
      <c r="AZ182" s="107">
        <f t="shared" si="2115"/>
        <v>0</v>
      </c>
      <c r="BA182" s="107">
        <f t="shared" si="2115"/>
        <v>2343.7640000000001</v>
      </c>
      <c r="BB182" s="107">
        <f t="shared" si="2115"/>
        <v>2343.6</v>
      </c>
      <c r="BC182" s="107">
        <f>+SUM(AQ182:BB182)</f>
        <v>59399.982000000004</v>
      </c>
      <c r="BD182" s="20" t="str">
        <f t="shared" si="1410"/>
        <v>Telephone &amp; Internet Expenses</v>
      </c>
      <c r="BE182" s="107">
        <f t="shared" si="2115"/>
        <v>3564.84</v>
      </c>
      <c r="BF182" s="107">
        <f t="shared" ref="BF182:BP182" si="2116">+SUM(BF183:BF186)</f>
        <v>2343.6</v>
      </c>
      <c r="BG182" s="107">
        <f t="shared" si="2116"/>
        <v>2343.7640000000001</v>
      </c>
      <c r="BH182" s="107">
        <f t="shared" si="2116"/>
        <v>2496.2048</v>
      </c>
      <c r="BI182" s="107">
        <f t="shared" si="2116"/>
        <v>4688.7896000000001</v>
      </c>
      <c r="BJ182" s="107">
        <f t="shared" si="2116"/>
        <v>13012.1548</v>
      </c>
      <c r="BK182" s="107">
        <f t="shared" si="2116"/>
        <v>15856.179745054946</v>
      </c>
      <c r="BL182" s="107">
        <f t="shared" si="2116"/>
        <v>9371.7995999999985</v>
      </c>
      <c r="BM182" s="107">
        <f t="shared" si="2116"/>
        <v>16087.56</v>
      </c>
      <c r="BN182" s="107">
        <f t="shared" si="2116"/>
        <v>15276.6</v>
      </c>
      <c r="BO182" s="107">
        <f t="shared" si="2116"/>
        <v>0</v>
      </c>
      <c r="BP182" s="107">
        <f t="shared" si="2116"/>
        <v>0</v>
      </c>
      <c r="BQ182" s="107">
        <f t="shared" si="2115"/>
        <v>85041.492545054949</v>
      </c>
      <c r="BR182" s="118">
        <f t="shared" si="1870"/>
        <v>0.12700848395426045</v>
      </c>
      <c r="BS182" s="107">
        <f t="shared" si="2115"/>
        <v>13555</v>
      </c>
      <c r="BT182" s="107">
        <f t="shared" si="2115"/>
        <v>13555</v>
      </c>
      <c r="BU182" s="107">
        <f t="shared" si="2115"/>
        <v>13555</v>
      </c>
      <c r="BV182" s="107">
        <f t="shared" si="2115"/>
        <v>13555</v>
      </c>
      <c r="BW182" s="107">
        <f t="shared" si="2115"/>
        <v>13555</v>
      </c>
      <c r="BX182" s="107">
        <f t="shared" si="2115"/>
        <v>13555</v>
      </c>
      <c r="BY182" s="107">
        <f t="shared" si="2115"/>
        <v>13555</v>
      </c>
      <c r="BZ182" s="107">
        <f t="shared" si="2115"/>
        <v>13555</v>
      </c>
      <c r="CA182" s="107">
        <f t="shared" si="2115"/>
        <v>13555</v>
      </c>
      <c r="CB182" s="107">
        <f t="shared" si="2115"/>
        <v>13555</v>
      </c>
      <c r="CC182" s="107">
        <f t="shared" si="2115"/>
        <v>13555</v>
      </c>
      <c r="CD182" s="107">
        <f t="shared" si="2115"/>
        <v>13555</v>
      </c>
      <c r="CE182" s="107">
        <f>+SUM(BS182:CD182)</f>
        <v>162660</v>
      </c>
      <c r="CF182" s="106"/>
      <c r="CG182" s="107">
        <f t="shared" ref="CG182:CR182" si="2117">+SUM(CG183:CG186)</f>
        <v>5890.5430000000006</v>
      </c>
      <c r="CH182" s="107">
        <f t="shared" si="2117"/>
        <v>4735.8999999999996</v>
      </c>
      <c r="CI182" s="107">
        <f t="shared" si="2117"/>
        <v>4735.8999999999996</v>
      </c>
      <c r="CJ182" s="107">
        <f t="shared" si="2117"/>
        <v>1735.9</v>
      </c>
      <c r="CK182" s="107">
        <f t="shared" si="2117"/>
        <v>2055.5</v>
      </c>
      <c r="CL182" s="107">
        <f t="shared" si="2117"/>
        <v>1490.2</v>
      </c>
      <c r="CM182" s="107">
        <f t="shared" si="2117"/>
        <v>4968.8</v>
      </c>
      <c r="CN182" s="107">
        <f t="shared" si="2117"/>
        <v>0</v>
      </c>
      <c r="CO182" s="107">
        <f t="shared" si="2117"/>
        <v>4490.1980000000003</v>
      </c>
      <c r="CP182" s="107">
        <f t="shared" si="2117"/>
        <v>319.60000000000002</v>
      </c>
      <c r="CQ182" s="107">
        <f t="shared" si="2117"/>
        <v>1649.998</v>
      </c>
      <c r="CR182" s="107">
        <f t="shared" si="2117"/>
        <v>1809.8000000000002</v>
      </c>
      <c r="CS182" s="107">
        <f>+SUM(CG182:CR182)</f>
        <v>33882.339</v>
      </c>
      <c r="CT182" s="20" t="str">
        <f t="shared" si="1411"/>
        <v>Telephone &amp; Internet Expenses</v>
      </c>
      <c r="CU182" s="107">
        <f t="shared" ref="CU182:DT182" si="2118">+SUM(CU183:CU186)</f>
        <v>3423.0200000000004</v>
      </c>
      <c r="CV182" s="107">
        <f t="shared" si="2118"/>
        <v>6309.8</v>
      </c>
      <c r="CW182" s="107">
        <f t="shared" si="2118"/>
        <v>2855.366</v>
      </c>
      <c r="CX182" s="107">
        <f t="shared" si="2118"/>
        <v>4726.2184000000007</v>
      </c>
      <c r="CY182" s="107">
        <f t="shared" si="2118"/>
        <v>5822.5108000000009</v>
      </c>
      <c r="CZ182" s="107">
        <f t="shared" si="2118"/>
        <v>10302.509400000001</v>
      </c>
      <c r="DA182" s="107">
        <f t="shared" si="2118"/>
        <v>8087.8898725274739</v>
      </c>
      <c r="DB182" s="107">
        <f t="shared" si="2118"/>
        <v>4845.6997999999994</v>
      </c>
      <c r="DC182" s="107">
        <f t="shared" si="2118"/>
        <v>8203.58</v>
      </c>
      <c r="DD182" s="107">
        <f t="shared" si="2118"/>
        <v>7798.1</v>
      </c>
      <c r="DE182" s="107">
        <f t="shared" si="2118"/>
        <v>0</v>
      </c>
      <c r="DF182" s="107">
        <f t="shared" si="2118"/>
        <v>0</v>
      </c>
      <c r="DG182" s="107">
        <f t="shared" si="2118"/>
        <v>62374.694272527471</v>
      </c>
      <c r="DH182" s="118">
        <f t="shared" si="1874"/>
        <v>9.8958553530912319E-2</v>
      </c>
      <c r="DI182" s="107">
        <f t="shared" si="2118"/>
        <v>7095.9</v>
      </c>
      <c r="DJ182" s="107">
        <f t="shared" si="2118"/>
        <v>7095.9</v>
      </c>
      <c r="DK182" s="107">
        <f t="shared" si="2118"/>
        <v>7095.9</v>
      </c>
      <c r="DL182" s="107">
        <f t="shared" si="2118"/>
        <v>7095.9</v>
      </c>
      <c r="DM182" s="107">
        <f t="shared" si="2118"/>
        <v>7095.9</v>
      </c>
      <c r="DN182" s="107">
        <f t="shared" si="2118"/>
        <v>7095.9</v>
      </c>
      <c r="DO182" s="107">
        <f t="shared" si="2118"/>
        <v>7095.9</v>
      </c>
      <c r="DP182" s="107">
        <f t="shared" si="2118"/>
        <v>7095.9</v>
      </c>
      <c r="DQ182" s="107">
        <f t="shared" si="2118"/>
        <v>7095.9</v>
      </c>
      <c r="DR182" s="107">
        <f t="shared" si="2118"/>
        <v>7095.9</v>
      </c>
      <c r="DS182" s="107">
        <f t="shared" si="2118"/>
        <v>7095.9</v>
      </c>
      <c r="DT182" s="107">
        <f t="shared" si="2118"/>
        <v>7095.9</v>
      </c>
      <c r="DU182" s="107">
        <f>+SUM(DI182:DT182)</f>
        <v>85150.799999999988</v>
      </c>
      <c r="DW182" s="31">
        <f t="shared" ref="DW182:EH182" si="2119">+SUM(DW183:DW186)</f>
        <v>0</v>
      </c>
      <c r="DX182" s="31">
        <f t="shared" si="2119"/>
        <v>0</v>
      </c>
      <c r="DY182" s="31">
        <f t="shared" si="2119"/>
        <v>0</v>
      </c>
      <c r="DZ182" s="31">
        <f t="shared" si="2119"/>
        <v>0</v>
      </c>
      <c r="EA182" s="31">
        <f t="shared" si="2119"/>
        <v>0</v>
      </c>
      <c r="EB182" s="31">
        <f t="shared" si="2119"/>
        <v>0</v>
      </c>
      <c r="EC182" s="31">
        <f t="shared" si="2119"/>
        <v>0</v>
      </c>
      <c r="ED182" s="31">
        <f t="shared" si="2119"/>
        <v>0</v>
      </c>
      <c r="EE182" s="31">
        <f t="shared" si="2119"/>
        <v>0</v>
      </c>
      <c r="EF182" s="31">
        <f t="shared" si="2119"/>
        <v>0</v>
      </c>
      <c r="EG182" s="31">
        <f t="shared" si="2119"/>
        <v>0</v>
      </c>
      <c r="EH182" s="31">
        <f t="shared" si="2119"/>
        <v>0</v>
      </c>
      <c r="EI182" s="107">
        <f>+SUM(DW182:EH182)</f>
        <v>0</v>
      </c>
      <c r="EJ182" s="20" t="str">
        <f t="shared" si="1555"/>
        <v>Telephone &amp; Internet Expenses</v>
      </c>
      <c r="EK182" s="31">
        <f t="shared" ref="EK182:EV182" si="2120">+SUM(EK183:EK186)</f>
        <v>0</v>
      </c>
      <c r="EL182" s="31">
        <f t="shared" si="2120"/>
        <v>0</v>
      </c>
      <c r="EM182" s="31">
        <f t="shared" si="2120"/>
        <v>0</v>
      </c>
      <c r="EN182" s="31">
        <f t="shared" si="2120"/>
        <v>0</v>
      </c>
      <c r="EO182" s="31">
        <f t="shared" si="2120"/>
        <v>5596.9639999999999</v>
      </c>
      <c r="EP182" s="31">
        <f t="shared" si="2120"/>
        <v>0</v>
      </c>
      <c r="EQ182" s="31">
        <f t="shared" si="2120"/>
        <v>0</v>
      </c>
      <c r="ER182" s="31">
        <f t="shared" si="2120"/>
        <v>0</v>
      </c>
      <c r="ES182" s="31">
        <f t="shared" si="2120"/>
        <v>0</v>
      </c>
      <c r="ET182" s="31">
        <f t="shared" si="2120"/>
        <v>0</v>
      </c>
      <c r="EU182" s="31">
        <f t="shared" si="2120"/>
        <v>0</v>
      </c>
      <c r="EV182" s="31">
        <f t="shared" si="2120"/>
        <v>0</v>
      </c>
      <c r="EW182" s="31">
        <f t="shared" ref="EW182" si="2121">+SUM(EW183:EW186)</f>
        <v>5596.9639999999999</v>
      </c>
      <c r="EX182" s="118">
        <f t="shared" si="1878"/>
        <v>-1</v>
      </c>
      <c r="EY182" s="107">
        <f t="shared" ref="EY182:FJ182" si="2122">+SUM(EY183:EY186)</f>
        <v>4248</v>
      </c>
      <c r="EZ182" s="107">
        <f t="shared" si="2122"/>
        <v>4248</v>
      </c>
      <c r="FA182" s="107">
        <f t="shared" si="2122"/>
        <v>4248</v>
      </c>
      <c r="FB182" s="107">
        <f t="shared" si="2122"/>
        <v>4248</v>
      </c>
      <c r="FC182" s="107">
        <f t="shared" si="2122"/>
        <v>4248</v>
      </c>
      <c r="FD182" s="107">
        <f t="shared" si="2122"/>
        <v>4248</v>
      </c>
      <c r="FE182" s="107">
        <f t="shared" si="2122"/>
        <v>4248</v>
      </c>
      <c r="FF182" s="107">
        <f t="shared" si="2122"/>
        <v>4248</v>
      </c>
      <c r="FG182" s="107">
        <f t="shared" si="2122"/>
        <v>4248</v>
      </c>
      <c r="FH182" s="107">
        <f t="shared" si="2122"/>
        <v>4248</v>
      </c>
      <c r="FI182" s="107">
        <f t="shared" si="2122"/>
        <v>4248</v>
      </c>
      <c r="FJ182" s="107">
        <f t="shared" si="2122"/>
        <v>4248</v>
      </c>
      <c r="FK182" s="107">
        <f>+SUM(EY182:FJ182)</f>
        <v>50976</v>
      </c>
    </row>
    <row r="183" spans="1:167" ht="14.45" hidden="1" customHeight="1" outlineLevel="2">
      <c r="A183" s="106">
        <f t="shared" ref="A183:L186" si="2123">+AQ183+CG183+DW183</f>
        <v>737.1</v>
      </c>
      <c r="B183" s="106">
        <f t="shared" si="2123"/>
        <v>737.1</v>
      </c>
      <c r="C183" s="106">
        <f t="shared" si="2123"/>
        <v>737.1</v>
      </c>
      <c r="D183" s="106">
        <f t="shared" si="2123"/>
        <v>737.1</v>
      </c>
      <c r="E183" s="106">
        <f t="shared" si="2123"/>
        <v>737.1</v>
      </c>
      <c r="F183" s="106">
        <f t="shared" si="2123"/>
        <v>0</v>
      </c>
      <c r="G183" s="106">
        <f t="shared" si="2123"/>
        <v>0</v>
      </c>
      <c r="H183" s="106">
        <f t="shared" si="2123"/>
        <v>0</v>
      </c>
      <c r="I183" s="106">
        <f t="shared" si="2123"/>
        <v>0</v>
      </c>
      <c r="J183" s="106">
        <f t="shared" si="2123"/>
        <v>0</v>
      </c>
      <c r="K183" s="106">
        <f t="shared" si="2123"/>
        <v>0</v>
      </c>
      <c r="L183" s="106">
        <f t="shared" si="2123"/>
        <v>0</v>
      </c>
      <c r="M183" s="106">
        <f t="shared" ref="M183:M186" si="2124">+SUM(A183:L183)</f>
        <v>3685.5</v>
      </c>
      <c r="N183" s="16" t="s">
        <v>152</v>
      </c>
      <c r="O183" s="106">
        <f t="shared" ref="O183:O186" si="2125">+BE183+CU183+EK183</f>
        <v>6987.8600000000006</v>
      </c>
      <c r="P183" s="106">
        <f t="shared" ref="P183:P186" si="2126">+BF183+CV183+EL183</f>
        <v>0</v>
      </c>
      <c r="Q183" s="106">
        <f t="shared" ref="Q183:Q186" si="2127">+BG183+CW183+EM183</f>
        <v>0</v>
      </c>
      <c r="R183" s="106">
        <f t="shared" ref="R183:R186" si="2128">+BH183+CX183+EN183</f>
        <v>0</v>
      </c>
      <c r="S183" s="106">
        <f t="shared" ref="S183:S186" si="2129">+BI183+CY183+EO183</f>
        <v>933.822</v>
      </c>
      <c r="T183" s="106">
        <f t="shared" ref="T183:T186" si="2130">+BJ183+CZ183+EP183</f>
        <v>913.73939999999993</v>
      </c>
      <c r="U183" s="106">
        <f t="shared" ref="U183:U186" si="2131">+BK183+DA183+EQ183</f>
        <v>913.73939999999993</v>
      </c>
      <c r="V183" s="106">
        <f t="shared" ref="V183:V186" si="2132">+BL183+DB183+ER183</f>
        <v>913.73939999999993</v>
      </c>
      <c r="W183" s="106">
        <f t="shared" ref="W183:W186" si="2133">+BM183+DC183+ES183</f>
        <v>913.68000000000006</v>
      </c>
      <c r="X183" s="106">
        <f t="shared" ref="X183:X186" si="2134">+BN183+DD183+ET183</f>
        <v>913.68000000000006</v>
      </c>
      <c r="Y183" s="106">
        <f t="shared" ref="Y183:Y186" si="2135">+BO183+DE183+EU183</f>
        <v>0</v>
      </c>
      <c r="Z183" s="106">
        <f t="shared" ref="Z183:Z186" si="2136">+BP183+DF183+EV183</f>
        <v>0</v>
      </c>
      <c r="AA183" s="106">
        <f t="shared" ref="AA183:AA186" si="2137">+SUM(O183:Z183)</f>
        <v>12490.260200000002</v>
      </c>
      <c r="AB183" s="118">
        <f t="shared" si="1854"/>
        <v>-0.74168669248819663</v>
      </c>
      <c r="AC183" s="106">
        <f t="shared" ref="AC183:AC186" si="2138">+BS183+DI183+EY183</f>
        <v>3537.1</v>
      </c>
      <c r="AD183" s="106">
        <f t="shared" ref="AD183:AD186" si="2139">+BT183+DJ183+EZ183</f>
        <v>3537.1</v>
      </c>
      <c r="AE183" s="106">
        <f t="shared" ref="AE183:AE186" si="2140">+BU183+DK183+FA183</f>
        <v>3537.1</v>
      </c>
      <c r="AF183" s="106">
        <f t="shared" ref="AF183:AF186" si="2141">+BV183+DL183+FB183</f>
        <v>3537.1</v>
      </c>
      <c r="AG183" s="106">
        <f t="shared" ref="AG183:AG186" si="2142">+BW183+DM183+FC183</f>
        <v>3537.1</v>
      </c>
      <c r="AH183" s="106">
        <f t="shared" ref="AH183:AH186" si="2143">+BX183+DN183+FD183</f>
        <v>3537.1</v>
      </c>
      <c r="AI183" s="106">
        <f t="shared" ref="AI183:AI186" si="2144">+BY183+DO183+FE183</f>
        <v>3537.1</v>
      </c>
      <c r="AJ183" s="106">
        <f t="shared" ref="AJ183:AJ186" si="2145">+BZ183+DP183+FF183</f>
        <v>3537.1</v>
      </c>
      <c r="AK183" s="106">
        <f t="shared" ref="AK183:AK186" si="2146">+CA183+DQ183+FG183</f>
        <v>3537.1</v>
      </c>
      <c r="AL183" s="106">
        <f t="shared" ref="AL183:AL186" si="2147">+CB183+DR183+FH183</f>
        <v>3537.1</v>
      </c>
      <c r="AM183" s="106">
        <f t="shared" ref="AM183:AM186" si="2148">+CC183+DS183+FI183</f>
        <v>3537.1</v>
      </c>
      <c r="AN183" s="106">
        <f t="shared" ref="AN183:AN186" si="2149">+CD183+DT183+FJ183</f>
        <v>3537.1</v>
      </c>
      <c r="AO183" s="106">
        <f t="shared" ref="AO183:AO186" si="2150">+SUM(AC183:AN183)</f>
        <v>42445.19999999999</v>
      </c>
      <c r="AQ183" s="106">
        <v>491.40000000000003</v>
      </c>
      <c r="AR183" s="106">
        <v>491.40000000000003</v>
      </c>
      <c r="AS183" s="106">
        <v>491.40000000000003</v>
      </c>
      <c r="AT183" s="106">
        <v>491.40000000000003</v>
      </c>
      <c r="AU183" s="106">
        <v>491.40000000000003</v>
      </c>
      <c r="AV183" s="106">
        <v>0</v>
      </c>
      <c r="AW183" s="106">
        <v>0</v>
      </c>
      <c r="AX183" s="106">
        <v>0</v>
      </c>
      <c r="AY183" s="106">
        <v>0</v>
      </c>
      <c r="AZ183" s="106">
        <v>0</v>
      </c>
      <c r="BA183" s="106">
        <v>0</v>
      </c>
      <c r="BB183" s="106">
        <v>0</v>
      </c>
      <c r="BC183" s="106">
        <f t="shared" ref="BC183:BC186" si="2151">+SUM(AQ183:BB183)</f>
        <v>2457</v>
      </c>
      <c r="BD183" s="16" t="str">
        <f t="shared" si="1410"/>
        <v>Email Service</v>
      </c>
      <c r="BE183" s="106">
        <f>+VLOOKUP($BD183,'Jan-25'!$A:$J,5,0)</f>
        <v>3564.84</v>
      </c>
      <c r="BF183" s="106">
        <f>+VLOOKUP($BD183,'Feb-25'!$A:$J,5,0)</f>
        <v>0</v>
      </c>
      <c r="BG183" s="106">
        <f>+VLOOKUP($BD183,'Mar-25'!$A:$J,5,0)</f>
        <v>0</v>
      </c>
      <c r="BH183" s="106">
        <f>+VLOOKUP($BD183,'Apr-25'!$A:$J,5,0)</f>
        <v>0</v>
      </c>
      <c r="BI183" s="106">
        <f>+VLOOKUP($BD183,'May-25'!$A:$J,5,0)</f>
        <v>622.548</v>
      </c>
      <c r="BJ183" s="106">
        <f>+VLOOKUP($BD183,'June-25'!$A:$J,5,0)</f>
        <v>609.15959999999995</v>
      </c>
      <c r="BK183" s="106">
        <f>+VLOOKUP($BD183,'July-25'!$A:$J,5,0)</f>
        <v>609.15959999999995</v>
      </c>
      <c r="BL183" s="106">
        <f>+VLOOKUP($BD183,'Aug-25'!$A:$J,5,0)</f>
        <v>609.15959999999995</v>
      </c>
      <c r="BM183" s="106">
        <f>+VLOOKUP($BD183,'Sep-25'!$A:$J,5,0)</f>
        <v>609.12</v>
      </c>
      <c r="BN183" s="106">
        <f>+VLOOKUP($BD183,'Oct-25'!$A:$J,5,0)</f>
        <v>609.12</v>
      </c>
      <c r="BO183" s="106">
        <f>+VLOOKUP($BD183,'Nov-25'!$A:$J,5,0)</f>
        <v>0</v>
      </c>
      <c r="BP183" s="106">
        <f>+VLOOKUP($BD183,'Dec-25'!$A:$J,5,0)</f>
        <v>0</v>
      </c>
      <c r="BQ183" s="106">
        <f t="shared" ref="BQ183:BQ186" si="2152">+SUM(BE183:BP183)</f>
        <v>7233.1067999999996</v>
      </c>
      <c r="BR183" s="118">
        <f t="shared" si="1870"/>
        <v>0.23956043956043949</v>
      </c>
      <c r="BS183" s="106">
        <f>+_xlfn.XLOOKUP($BD183,Budget!$A:$A,Budget!BD:BD)</f>
        <v>491.40000000000003</v>
      </c>
      <c r="BT183" s="106">
        <f>+_xlfn.XLOOKUP($BD183,Budget!$A:$A,Budget!BE:BE)</f>
        <v>491.40000000000003</v>
      </c>
      <c r="BU183" s="106">
        <f>+_xlfn.XLOOKUP($BD183,Budget!$A:$A,Budget!BF:BF)</f>
        <v>491.40000000000003</v>
      </c>
      <c r="BV183" s="106">
        <f>+_xlfn.XLOOKUP($BD183,Budget!$A:$A,Budget!BG:BG)</f>
        <v>491.40000000000003</v>
      </c>
      <c r="BW183" s="106">
        <f>+_xlfn.XLOOKUP($BD183,Budget!$A:$A,Budget!BH:BH)</f>
        <v>491.40000000000003</v>
      </c>
      <c r="BX183" s="106">
        <f>+_xlfn.XLOOKUP($BD183,Budget!$A:$A,Budget!BI:BI)</f>
        <v>491.40000000000003</v>
      </c>
      <c r="BY183" s="106">
        <f>+_xlfn.XLOOKUP($BD183,Budget!$A:$A,Budget!BJ:BJ)</f>
        <v>491.40000000000003</v>
      </c>
      <c r="BZ183" s="106">
        <f>+_xlfn.XLOOKUP($BD183,Budget!$A:$A,Budget!BK:BK)</f>
        <v>491.40000000000003</v>
      </c>
      <c r="CA183" s="106">
        <f>+_xlfn.XLOOKUP($BD183,Budget!$A:$A,Budget!BL:BL)</f>
        <v>491.40000000000003</v>
      </c>
      <c r="CB183" s="106">
        <f>+_xlfn.XLOOKUP($BD183,Budget!$A:$A,Budget!BM:BM)</f>
        <v>491.40000000000003</v>
      </c>
      <c r="CC183" s="106">
        <f>+_xlfn.XLOOKUP($BD183,Budget!$A:$A,Budget!BN:BN)</f>
        <v>491.40000000000003</v>
      </c>
      <c r="CD183" s="106">
        <f>+_xlfn.XLOOKUP($BD183,Budget!$A:$A,Budget!BO:BO)</f>
        <v>491.40000000000003</v>
      </c>
      <c r="CE183" s="106">
        <f t="shared" ref="CE183:CE186" si="2153">+SUM(BS183:CD183)</f>
        <v>5896.7999999999993</v>
      </c>
      <c r="CF183" s="106"/>
      <c r="CG183" s="106">
        <v>245.70000000000002</v>
      </c>
      <c r="CH183" s="106">
        <v>245.70000000000002</v>
      </c>
      <c r="CI183" s="106">
        <v>245.70000000000002</v>
      </c>
      <c r="CJ183" s="106">
        <v>245.70000000000002</v>
      </c>
      <c r="CK183" s="106">
        <v>245.70000000000002</v>
      </c>
      <c r="CL183" s="106">
        <v>0</v>
      </c>
      <c r="CM183" s="106">
        <v>0</v>
      </c>
      <c r="CN183" s="106">
        <v>0</v>
      </c>
      <c r="CO183" s="106">
        <v>0</v>
      </c>
      <c r="CP183" s="106">
        <v>0</v>
      </c>
      <c r="CQ183" s="106">
        <v>0</v>
      </c>
      <c r="CR183" s="106">
        <v>0</v>
      </c>
      <c r="CS183" s="106">
        <f t="shared" ref="CS183:CS186" si="2154">+SUM(CG183:CR183)</f>
        <v>1228.5</v>
      </c>
      <c r="CT183" s="16" t="str">
        <f t="shared" si="1411"/>
        <v>Email Service</v>
      </c>
      <c r="CU183" s="106">
        <f>+VLOOKUP($BD183,'Jan-25'!$A:$J,8,0)</f>
        <v>3423.0200000000004</v>
      </c>
      <c r="CV183" s="106">
        <f>+VLOOKUP($BD183,'Feb-25'!$A:$J,8,0)</f>
        <v>0</v>
      </c>
      <c r="CW183" s="106">
        <f>+VLOOKUP($BD183,'Mar-25'!$A:$J,8,0)</f>
        <v>0</v>
      </c>
      <c r="CX183" s="106">
        <f>+VLOOKUP($BD183,'Apr-25'!$A:$J,8,0)</f>
        <v>0</v>
      </c>
      <c r="CY183" s="106">
        <f>+VLOOKUP($BD183,'May-25'!$A:$J,8,0)</f>
        <v>311.274</v>
      </c>
      <c r="CZ183" s="106">
        <f>+VLOOKUP($BD183,'June-25'!$A:$J,8,0)</f>
        <v>304.57979999999998</v>
      </c>
      <c r="DA183" s="106">
        <f>+VLOOKUP($BD183,'July-25'!$A:$J,8,0)</f>
        <v>304.57979999999998</v>
      </c>
      <c r="DB183" s="106">
        <f>+VLOOKUP($BD183,'Aug-25'!$A:$J,8,0)</f>
        <v>304.57979999999998</v>
      </c>
      <c r="DC183" s="106">
        <f>+VLOOKUP($BD183,'Sep-25'!$A:$J,8,0)</f>
        <v>304.56</v>
      </c>
      <c r="DD183" s="106">
        <f>+VLOOKUP($BD183,'Oct-25'!$A:$J,8,0)</f>
        <v>304.56</v>
      </c>
      <c r="DE183" s="106">
        <f>+VLOOKUP($BD183,'Nov-25'!$A:$J,8,0)</f>
        <v>0</v>
      </c>
      <c r="DF183" s="106">
        <f>+VLOOKUP($BD183,'Dec-25'!$A:$J,8,0)</f>
        <v>0</v>
      </c>
      <c r="DG183" s="106">
        <f t="shared" ref="DG183:DG186" si="2155">+SUM(CU183:DF183)</f>
        <v>5257.1534000000011</v>
      </c>
      <c r="DH183" s="118">
        <f t="shared" si="1874"/>
        <v>0.23956043956043949</v>
      </c>
      <c r="DI183" s="106">
        <f>+_xlfn.XLOOKUP($CT183,Budget!$A:$A,Budget!CQ:CQ)</f>
        <v>245.70000000000002</v>
      </c>
      <c r="DJ183" s="106">
        <f>+_xlfn.XLOOKUP($CT183,Budget!$A:$A,Budget!CR:CR)</f>
        <v>245.70000000000002</v>
      </c>
      <c r="DK183" s="106">
        <f>+_xlfn.XLOOKUP($CT183,Budget!$A:$A,Budget!CS:CS)</f>
        <v>245.70000000000002</v>
      </c>
      <c r="DL183" s="106">
        <f>+_xlfn.XLOOKUP($CT183,Budget!$A:$A,Budget!CT:CT)</f>
        <v>245.70000000000002</v>
      </c>
      <c r="DM183" s="106">
        <f>+_xlfn.XLOOKUP($CT183,Budget!$A:$A,Budget!CU:CU)</f>
        <v>245.70000000000002</v>
      </c>
      <c r="DN183" s="106">
        <f>+_xlfn.XLOOKUP($CT183,Budget!$A:$A,Budget!CV:CV)</f>
        <v>245.70000000000002</v>
      </c>
      <c r="DO183" s="106">
        <f>+_xlfn.XLOOKUP($CT183,Budget!$A:$A,Budget!CW:CW)</f>
        <v>245.70000000000002</v>
      </c>
      <c r="DP183" s="106">
        <f>+_xlfn.XLOOKUP($CT183,Budget!$A:$A,Budget!CX:CX)</f>
        <v>245.70000000000002</v>
      </c>
      <c r="DQ183" s="106">
        <f>+_xlfn.XLOOKUP($CT183,Budget!$A:$A,Budget!CY:CY)</f>
        <v>245.70000000000002</v>
      </c>
      <c r="DR183" s="106">
        <f>+_xlfn.XLOOKUP($CT183,Budget!$A:$A,Budget!CZ:CZ)</f>
        <v>245.70000000000002</v>
      </c>
      <c r="DS183" s="106">
        <f>+_xlfn.XLOOKUP($CT183,Budget!$A:$A,Budget!DA:DA)</f>
        <v>245.70000000000002</v>
      </c>
      <c r="DT183" s="106">
        <f>+_xlfn.XLOOKUP($CT183,Budget!$A:$A,Budget!DB:DB)</f>
        <v>245.70000000000002</v>
      </c>
      <c r="DU183" s="106">
        <f t="shared" ref="DU183:DU186" si="2156">+SUM(DI183:DT183)</f>
        <v>2948.3999999999996</v>
      </c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106">
        <f t="shared" ref="EI183:EI186" si="2157">+SUM(DW183:EH183)</f>
        <v>0</v>
      </c>
      <c r="EJ183" s="16" t="str">
        <f t="shared" si="1555"/>
        <v>Email Service</v>
      </c>
      <c r="EK183" s="22">
        <f>+VLOOKUP($BD183,'Jan-25'!$A:$J,10,0)</f>
        <v>0</v>
      </c>
      <c r="EL183" s="22">
        <f>+VLOOKUP($BD183,'Feb-25'!$A:$J,10,0)</f>
        <v>0</v>
      </c>
      <c r="EM183" s="22">
        <f>+VLOOKUP($BD183,'Mar-25'!$A:$J,10,0)</f>
        <v>0</v>
      </c>
      <c r="EN183" s="22">
        <f>+VLOOKUP($BD183,'Apr-25'!$A:$J,10,0)</f>
        <v>0</v>
      </c>
      <c r="EO183" s="22">
        <f>+VLOOKUP($BD183,'May-25'!$A:$J,10,0)</f>
        <v>0</v>
      </c>
      <c r="EP183" s="22">
        <f>+VLOOKUP($BD183,'June-25'!$A:$J,10,0)</f>
        <v>0</v>
      </c>
      <c r="EQ183" s="22">
        <f>+VLOOKUP($BD183,'July-25'!$A:$J,10,0)</f>
        <v>0</v>
      </c>
      <c r="ER183" s="22">
        <f>+VLOOKUP($BD183,'Aug-25'!$A:$J,10,0)</f>
        <v>0</v>
      </c>
      <c r="ES183" s="22">
        <f>+VLOOKUP($BD183,'Sep-25'!$A:$J,10,0)</f>
        <v>0</v>
      </c>
      <c r="ET183" s="22">
        <f>+VLOOKUP($BD183,'Oct-25'!$A:$J,10,0)</f>
        <v>0</v>
      </c>
      <c r="EU183" s="22">
        <f>+VLOOKUP($BD183,'Nov-25'!$A:$J,10,0)</f>
        <v>0</v>
      </c>
      <c r="EV183" s="22">
        <f>+VLOOKUP($BD183,'Dec-25'!$A:$J,10,0)</f>
        <v>0</v>
      </c>
      <c r="EW183" s="22">
        <f t="shared" ref="EW183:EW186" si="2158">+SUM(EK183:EV183)</f>
        <v>0</v>
      </c>
      <c r="EX183" s="118">
        <f t="shared" si="1878"/>
        <v>-1</v>
      </c>
      <c r="EY183" s="106">
        <f>+_xlfn.XLOOKUP($EJ183,Budget!$A:$A,Budget!DR:DR)</f>
        <v>2800</v>
      </c>
      <c r="EZ183" s="106">
        <f>+_xlfn.XLOOKUP($EJ183,Budget!$A:$A,Budget!DS:DS)</f>
        <v>2800</v>
      </c>
      <c r="FA183" s="106">
        <f>+_xlfn.XLOOKUP($EJ183,Budget!$A:$A,Budget!DT:DT)</f>
        <v>2800</v>
      </c>
      <c r="FB183" s="106">
        <f>+_xlfn.XLOOKUP($EJ183,Budget!$A:$A,Budget!DU:DU)</f>
        <v>2800</v>
      </c>
      <c r="FC183" s="106">
        <f>+_xlfn.XLOOKUP($EJ183,Budget!$A:$A,Budget!DV:DV)</f>
        <v>2800</v>
      </c>
      <c r="FD183" s="106">
        <f>+_xlfn.XLOOKUP($EJ183,Budget!$A:$A,Budget!DW:DW)</f>
        <v>2800</v>
      </c>
      <c r="FE183" s="106">
        <f>+_xlfn.XLOOKUP($EJ183,Budget!$A:$A,Budget!DX:DX)</f>
        <v>2800</v>
      </c>
      <c r="FF183" s="106">
        <f>+_xlfn.XLOOKUP($EJ183,Budget!$A:$A,Budget!DY:DY)</f>
        <v>2800</v>
      </c>
      <c r="FG183" s="106">
        <f>+_xlfn.XLOOKUP($EJ183,Budget!$A:$A,Budget!DZ:DZ)</f>
        <v>2800</v>
      </c>
      <c r="FH183" s="106">
        <f>+_xlfn.XLOOKUP($EJ183,Budget!$A:$A,Budget!EA:EA)</f>
        <v>2800</v>
      </c>
      <c r="FI183" s="106">
        <f>+_xlfn.XLOOKUP($EJ183,Budget!$A:$A,Budget!EB:EB)</f>
        <v>2800</v>
      </c>
      <c r="FJ183" s="106">
        <f>+_xlfn.XLOOKUP($EJ183,Budget!$A:$A,Budget!EC:EC)</f>
        <v>2800</v>
      </c>
      <c r="FK183" s="106">
        <f t="shared" ref="FK183:FK186" si="2159">+SUM(EY183:FJ183)</f>
        <v>33600</v>
      </c>
    </row>
    <row r="184" spans="1:167" ht="14.45" hidden="1" customHeight="1" outlineLevel="2">
      <c r="A184" s="106">
        <f t="shared" si="2123"/>
        <v>12993.762000000002</v>
      </c>
      <c r="B184" s="106">
        <f t="shared" si="2123"/>
        <v>13233.400000000001</v>
      </c>
      <c r="C184" s="106">
        <f t="shared" si="2123"/>
        <v>12833.8</v>
      </c>
      <c r="D184" s="106">
        <f t="shared" si="2123"/>
        <v>3833.8</v>
      </c>
      <c r="E184" s="106">
        <f t="shared" si="2123"/>
        <v>4153.3999999999996</v>
      </c>
      <c r="F184" s="106">
        <f t="shared" si="2123"/>
        <v>3833.8</v>
      </c>
      <c r="G184" s="106">
        <f t="shared" si="2123"/>
        <v>14030</v>
      </c>
      <c r="H184" s="106">
        <f t="shared" si="2123"/>
        <v>399.6</v>
      </c>
      <c r="I184" s="106">
        <f t="shared" si="2123"/>
        <v>12833.962000000001</v>
      </c>
      <c r="J184" s="106">
        <f t="shared" si="2123"/>
        <v>319.60000000000002</v>
      </c>
      <c r="K184" s="106">
        <f t="shared" si="2123"/>
        <v>3993.7620000000002</v>
      </c>
      <c r="L184" s="106">
        <f t="shared" si="2123"/>
        <v>4153.3999999999996</v>
      </c>
      <c r="M184" s="106">
        <f t="shared" si="2124"/>
        <v>86612.286000000007</v>
      </c>
      <c r="N184" s="16" t="s">
        <v>153</v>
      </c>
      <c r="O184" s="106">
        <f t="shared" si="2125"/>
        <v>0</v>
      </c>
      <c r="P184" s="106">
        <f t="shared" si="2126"/>
        <v>8653.4</v>
      </c>
      <c r="Q184" s="106">
        <f t="shared" si="2127"/>
        <v>5199.13</v>
      </c>
      <c r="R184" s="106">
        <f t="shared" si="2128"/>
        <v>6993.7620000000006</v>
      </c>
      <c r="S184" s="106">
        <f t="shared" si="2129"/>
        <v>12590.726000000001</v>
      </c>
      <c r="T184" s="106">
        <f t="shared" si="2130"/>
        <v>10629.922</v>
      </c>
      <c r="U184" s="106">
        <f t="shared" si="2131"/>
        <v>11452.168617582418</v>
      </c>
      <c r="V184" s="106">
        <f t="shared" si="2132"/>
        <v>10659.739999999998</v>
      </c>
      <c r="W184" s="106">
        <f t="shared" si="2133"/>
        <v>10428.98</v>
      </c>
      <c r="X184" s="106">
        <f t="shared" si="2134"/>
        <v>11784.739999999998</v>
      </c>
      <c r="Y184" s="106">
        <f t="shared" si="2135"/>
        <v>0</v>
      </c>
      <c r="Z184" s="106">
        <f t="shared" si="2136"/>
        <v>0</v>
      </c>
      <c r="AA184" s="106">
        <f t="shared" si="2137"/>
        <v>88392.568617582408</v>
      </c>
      <c r="AB184" s="118">
        <f t="shared" si="1854"/>
        <v>-0.1720594640925123</v>
      </c>
      <c r="AC184" s="106">
        <f t="shared" si="2138"/>
        <v>14233.8</v>
      </c>
      <c r="AD184" s="106">
        <f t="shared" si="2139"/>
        <v>14233.8</v>
      </c>
      <c r="AE184" s="106">
        <f t="shared" si="2140"/>
        <v>14233.8</v>
      </c>
      <c r="AF184" s="106">
        <f t="shared" si="2141"/>
        <v>14233.8</v>
      </c>
      <c r="AG184" s="106">
        <f t="shared" si="2142"/>
        <v>14233.8</v>
      </c>
      <c r="AH184" s="106">
        <f t="shared" si="2143"/>
        <v>14233.8</v>
      </c>
      <c r="AI184" s="106">
        <f t="shared" si="2144"/>
        <v>14233.8</v>
      </c>
      <c r="AJ184" s="106">
        <f t="shared" si="2145"/>
        <v>14233.8</v>
      </c>
      <c r="AK184" s="106">
        <f t="shared" si="2146"/>
        <v>14233.8</v>
      </c>
      <c r="AL184" s="106">
        <f t="shared" si="2147"/>
        <v>14233.8</v>
      </c>
      <c r="AM184" s="106">
        <f t="shared" si="2148"/>
        <v>14233.8</v>
      </c>
      <c r="AN184" s="106">
        <f t="shared" si="2149"/>
        <v>14233.8</v>
      </c>
      <c r="AO184" s="106">
        <f t="shared" si="2150"/>
        <v>170805.59999999998</v>
      </c>
      <c r="AQ184" s="106">
        <v>8343.764000000001</v>
      </c>
      <c r="AR184" s="106">
        <v>8743.2000000000007</v>
      </c>
      <c r="AS184" s="106">
        <v>8343.6</v>
      </c>
      <c r="AT184" s="106">
        <v>2343.6</v>
      </c>
      <c r="AU184" s="106">
        <v>2343.6</v>
      </c>
      <c r="AV184" s="106">
        <v>2343.6</v>
      </c>
      <c r="AW184" s="106">
        <v>9061.2000000000007</v>
      </c>
      <c r="AX184" s="106">
        <v>399.6</v>
      </c>
      <c r="AY184" s="106">
        <v>8343.764000000001</v>
      </c>
      <c r="AZ184" s="106">
        <v>0</v>
      </c>
      <c r="BA184" s="106">
        <v>2343.7640000000001</v>
      </c>
      <c r="BB184" s="106">
        <v>2343.6</v>
      </c>
      <c r="BC184" s="106">
        <f t="shared" si="2151"/>
        <v>54953.292000000001</v>
      </c>
      <c r="BD184" s="16" t="str">
        <f t="shared" si="1410"/>
        <v>Internet Charges</v>
      </c>
      <c r="BE184" s="106">
        <f>+VLOOKUP($BD184,'Jan-25'!$A:$J,5,0)</f>
        <v>0</v>
      </c>
      <c r="BF184" s="106">
        <f>+VLOOKUP($BD184,'Feb-25'!$A:$J,5,0)</f>
        <v>2343.6</v>
      </c>
      <c r="BG184" s="106">
        <f>+VLOOKUP($BD184,'Mar-25'!$A:$J,5,0)</f>
        <v>2343.7640000000001</v>
      </c>
      <c r="BH184" s="106">
        <f>+VLOOKUP($BD184,'Apr-25'!$A:$J,5,0)</f>
        <v>2343.7640000000001</v>
      </c>
      <c r="BI184" s="106">
        <f>+VLOOKUP($BD184,'May-25'!$A:$J,5,0)</f>
        <v>2343.7640000000001</v>
      </c>
      <c r="BJ184" s="106">
        <f>+VLOOKUP($BD184,'June-25'!$A:$J,5,0)</f>
        <v>4555.66</v>
      </c>
      <c r="BK184" s="106">
        <f>+VLOOKUP($BD184,'July-25'!$A:$J,5,0)</f>
        <v>7528.2457450549446</v>
      </c>
      <c r="BL184" s="106">
        <f>+VLOOKUP($BD184,'Aug-25'!$A:$J,5,0)</f>
        <v>6999.9599999999991</v>
      </c>
      <c r="BM184" s="106">
        <f>+VLOOKUP($BD184,'Sep-25'!$A:$J,5,0)</f>
        <v>6846.12</v>
      </c>
      <c r="BN184" s="106">
        <f>+VLOOKUP($BD184,'Oct-25'!$A:$J,5,0)</f>
        <v>7749.9599999999991</v>
      </c>
      <c r="BO184" s="106">
        <f>+VLOOKUP($BD184,'Nov-25'!$A:$J,5,0)</f>
        <v>0</v>
      </c>
      <c r="BP184" s="106">
        <f>+VLOOKUP($BD184,'Dec-25'!$A:$J,5,0)</f>
        <v>0</v>
      </c>
      <c r="BQ184" s="106">
        <f t="shared" si="2152"/>
        <v>43054.837745054945</v>
      </c>
      <c r="BR184" s="118">
        <f t="shared" si="1870"/>
        <v>-0.11364197813257711</v>
      </c>
      <c r="BS184" s="106">
        <f>+_xlfn.XLOOKUP($BD184,Budget!$A:$A,Budget!BD:BD)</f>
        <v>8743.6</v>
      </c>
      <c r="BT184" s="106">
        <f>+_xlfn.XLOOKUP($BD184,Budget!$A:$A,Budget!BE:BE)</f>
        <v>8743.6</v>
      </c>
      <c r="BU184" s="106">
        <f>+_xlfn.XLOOKUP($BD184,Budget!$A:$A,Budget!BF:BF)</f>
        <v>8743.6</v>
      </c>
      <c r="BV184" s="106">
        <f>+_xlfn.XLOOKUP($BD184,Budget!$A:$A,Budget!BG:BG)</f>
        <v>8743.6</v>
      </c>
      <c r="BW184" s="106">
        <f>+_xlfn.XLOOKUP($BD184,Budget!$A:$A,Budget!BH:BH)</f>
        <v>8743.6</v>
      </c>
      <c r="BX184" s="106">
        <f>+_xlfn.XLOOKUP($BD184,Budget!$A:$A,Budget!BI:BI)</f>
        <v>8743.6</v>
      </c>
      <c r="BY184" s="106">
        <f>+_xlfn.XLOOKUP($BD184,Budget!$A:$A,Budget!BJ:BJ)</f>
        <v>8743.6</v>
      </c>
      <c r="BZ184" s="106">
        <f>+_xlfn.XLOOKUP($BD184,Budget!$A:$A,Budget!BK:BK)</f>
        <v>8743.6</v>
      </c>
      <c r="CA184" s="106">
        <f>+_xlfn.XLOOKUP($BD184,Budget!$A:$A,Budget!BL:BL)</f>
        <v>8743.6</v>
      </c>
      <c r="CB184" s="106">
        <f>+_xlfn.XLOOKUP($BD184,Budget!$A:$A,Budget!BM:BM)</f>
        <v>8743.6</v>
      </c>
      <c r="CC184" s="106">
        <f>+_xlfn.XLOOKUP($BD184,Budget!$A:$A,Budget!BN:BN)</f>
        <v>8743.6</v>
      </c>
      <c r="CD184" s="106">
        <f>+_xlfn.XLOOKUP($BD184,Budget!$A:$A,Budget!BO:BO)</f>
        <v>8743.6</v>
      </c>
      <c r="CE184" s="106">
        <f t="shared" si="2153"/>
        <v>104923.20000000003</v>
      </c>
      <c r="CF184" s="106"/>
      <c r="CG184" s="106">
        <v>4649.9980000000005</v>
      </c>
      <c r="CH184" s="106">
        <v>4490.2</v>
      </c>
      <c r="CI184" s="106">
        <v>4490.2</v>
      </c>
      <c r="CJ184" s="106">
        <v>1490.2</v>
      </c>
      <c r="CK184" s="106">
        <v>1809.8000000000002</v>
      </c>
      <c r="CL184" s="106">
        <v>1490.2</v>
      </c>
      <c r="CM184" s="106">
        <v>4968.8</v>
      </c>
      <c r="CN184" s="106">
        <v>0</v>
      </c>
      <c r="CO184" s="106">
        <v>4490.1980000000003</v>
      </c>
      <c r="CP184" s="106">
        <v>319.60000000000002</v>
      </c>
      <c r="CQ184" s="106">
        <v>1649.998</v>
      </c>
      <c r="CR184" s="106">
        <v>1809.8000000000002</v>
      </c>
      <c r="CS184" s="106">
        <f t="shared" si="2154"/>
        <v>31658.993999999999</v>
      </c>
      <c r="CT184" s="16" t="str">
        <f t="shared" si="1411"/>
        <v>Internet Charges</v>
      </c>
      <c r="CU184" s="106">
        <f>+VLOOKUP($BD184,'Jan-25'!$A:$J,8,0)</f>
        <v>0</v>
      </c>
      <c r="CV184" s="106">
        <f>+VLOOKUP($BD184,'Feb-25'!$A:$J,8,0)</f>
        <v>6309.8</v>
      </c>
      <c r="CW184" s="106">
        <f>+VLOOKUP($BD184,'Mar-25'!$A:$J,8,0)</f>
        <v>2855.366</v>
      </c>
      <c r="CX184" s="106">
        <f>+VLOOKUP($BD184,'Apr-25'!$A:$J,8,0)</f>
        <v>4649.9980000000005</v>
      </c>
      <c r="CY184" s="106">
        <f>+VLOOKUP($BD184,'May-25'!$A:$J,8,0)</f>
        <v>4649.9980000000005</v>
      </c>
      <c r="CZ184" s="106">
        <f>+VLOOKUP($BD184,'June-25'!$A:$J,8,0)</f>
        <v>6074.2620000000006</v>
      </c>
      <c r="DA184" s="106">
        <f>+VLOOKUP($BD184,'July-25'!$A:$J,8,0)</f>
        <v>3923.9228725274725</v>
      </c>
      <c r="DB184" s="106">
        <f>+VLOOKUP($BD184,'Aug-25'!$A:$J,8,0)</f>
        <v>3659.7799999999997</v>
      </c>
      <c r="DC184" s="106">
        <f>+VLOOKUP($BD184,'Sep-25'!$A:$J,8,0)</f>
        <v>3582.86</v>
      </c>
      <c r="DD184" s="106">
        <f>+VLOOKUP($BD184,'Oct-25'!$A:$J,8,0)</f>
        <v>4034.7799999999997</v>
      </c>
      <c r="DE184" s="106">
        <f>+VLOOKUP($BD184,'Nov-25'!$A:$J,8,0)</f>
        <v>0</v>
      </c>
      <c r="DF184" s="106">
        <f>+VLOOKUP($BD184,'Dec-25'!$A:$J,8,0)</f>
        <v>0</v>
      </c>
      <c r="DG184" s="106">
        <f t="shared" si="2155"/>
        <v>39740.766872527471</v>
      </c>
      <c r="DH184" s="118">
        <f t="shared" si="1874"/>
        <v>-0.13974244168692168</v>
      </c>
      <c r="DI184" s="106">
        <f>+_xlfn.XLOOKUP($CT184,Budget!$A:$A,Budget!CQ:CQ)</f>
        <v>4690.2</v>
      </c>
      <c r="DJ184" s="106">
        <f>+_xlfn.XLOOKUP($CT184,Budget!$A:$A,Budget!CR:CR)</f>
        <v>4690.2</v>
      </c>
      <c r="DK184" s="106">
        <f>+_xlfn.XLOOKUP($CT184,Budget!$A:$A,Budget!CS:CS)</f>
        <v>4690.2</v>
      </c>
      <c r="DL184" s="106">
        <f>+_xlfn.XLOOKUP($CT184,Budget!$A:$A,Budget!CT:CT)</f>
        <v>4690.2</v>
      </c>
      <c r="DM184" s="106">
        <f>+_xlfn.XLOOKUP($CT184,Budget!$A:$A,Budget!CU:CU)</f>
        <v>4690.2</v>
      </c>
      <c r="DN184" s="106">
        <f>+_xlfn.XLOOKUP($CT184,Budget!$A:$A,Budget!CV:CV)</f>
        <v>4690.2</v>
      </c>
      <c r="DO184" s="106">
        <f>+_xlfn.XLOOKUP($CT184,Budget!$A:$A,Budget!CW:CW)</f>
        <v>4690.2</v>
      </c>
      <c r="DP184" s="106">
        <f>+_xlfn.XLOOKUP($CT184,Budget!$A:$A,Budget!CX:CX)</f>
        <v>4690.2</v>
      </c>
      <c r="DQ184" s="106">
        <f>+_xlfn.XLOOKUP($CT184,Budget!$A:$A,Budget!CY:CY)</f>
        <v>4690.2</v>
      </c>
      <c r="DR184" s="106">
        <f>+_xlfn.XLOOKUP($CT184,Budget!$A:$A,Budget!CZ:CZ)</f>
        <v>4690.2</v>
      </c>
      <c r="DS184" s="106">
        <f>+_xlfn.XLOOKUP($CT184,Budget!$A:$A,Budget!DA:DA)</f>
        <v>4690.2</v>
      </c>
      <c r="DT184" s="106">
        <f>+_xlfn.XLOOKUP($CT184,Budget!$A:$A,Budget!DB:DB)</f>
        <v>4690.2</v>
      </c>
      <c r="DU184" s="106">
        <f t="shared" si="2156"/>
        <v>56282.399999999987</v>
      </c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106">
        <f t="shared" si="2157"/>
        <v>0</v>
      </c>
      <c r="EJ184" s="16" t="str">
        <f t="shared" si="1555"/>
        <v>Internet Charges</v>
      </c>
      <c r="EK184" s="22">
        <f>+VLOOKUP($BD184,'Jan-25'!$A:$J,10,0)</f>
        <v>0</v>
      </c>
      <c r="EL184" s="22">
        <f>+VLOOKUP($BD184,'Feb-25'!$A:$J,10,0)</f>
        <v>0</v>
      </c>
      <c r="EM184" s="22">
        <f>+VLOOKUP($BD184,'Mar-25'!$A:$J,10,0)</f>
        <v>0</v>
      </c>
      <c r="EN184" s="22">
        <f>+VLOOKUP($BD184,'Apr-25'!$A:$J,10,0)</f>
        <v>0</v>
      </c>
      <c r="EO184" s="22">
        <f>+VLOOKUP($BD184,'May-25'!$A:$J,10,0)</f>
        <v>5596.9639999999999</v>
      </c>
      <c r="EP184" s="22">
        <f>+VLOOKUP($BD184,'June-25'!$A:$J,10,0)</f>
        <v>0</v>
      </c>
      <c r="EQ184" s="22">
        <f>+VLOOKUP($BD184,'July-25'!$A:$J,10,0)</f>
        <v>0</v>
      </c>
      <c r="ER184" s="22">
        <f>+VLOOKUP($BD184,'Aug-25'!$A:$J,10,0)</f>
        <v>0</v>
      </c>
      <c r="ES184" s="22">
        <f>+VLOOKUP($BD184,'Sep-25'!$A:$J,10,0)</f>
        <v>0</v>
      </c>
      <c r="ET184" s="22">
        <f>+VLOOKUP($BD184,'Oct-25'!$A:$J,10,0)</f>
        <v>0</v>
      </c>
      <c r="EU184" s="22">
        <f>+VLOOKUP($BD184,'Nov-25'!$A:$J,10,0)</f>
        <v>0</v>
      </c>
      <c r="EV184" s="22">
        <f>+VLOOKUP($BD184,'Dec-25'!$A:$J,10,0)</f>
        <v>0</v>
      </c>
      <c r="EW184" s="22">
        <f t="shared" si="2158"/>
        <v>5596.9639999999999</v>
      </c>
      <c r="EX184" s="118">
        <f t="shared" si="1878"/>
        <v>-1</v>
      </c>
      <c r="EY184" s="106">
        <f>+_xlfn.XLOOKUP($EJ184,Budget!$A:$A,Budget!DR:DR)</f>
        <v>800</v>
      </c>
      <c r="EZ184" s="106">
        <f>+_xlfn.XLOOKUP($EJ184,Budget!$A:$A,Budget!DS:DS)</f>
        <v>800</v>
      </c>
      <c r="FA184" s="106">
        <f>+_xlfn.XLOOKUP($EJ184,Budget!$A:$A,Budget!DT:DT)</f>
        <v>800</v>
      </c>
      <c r="FB184" s="106">
        <f>+_xlfn.XLOOKUP($EJ184,Budget!$A:$A,Budget!DU:DU)</f>
        <v>800</v>
      </c>
      <c r="FC184" s="106">
        <f>+_xlfn.XLOOKUP($EJ184,Budget!$A:$A,Budget!DV:DV)</f>
        <v>800</v>
      </c>
      <c r="FD184" s="106">
        <f>+_xlfn.XLOOKUP($EJ184,Budget!$A:$A,Budget!DW:DW)</f>
        <v>800</v>
      </c>
      <c r="FE184" s="106">
        <f>+_xlfn.XLOOKUP($EJ184,Budget!$A:$A,Budget!DX:DX)</f>
        <v>800</v>
      </c>
      <c r="FF184" s="106">
        <f>+_xlfn.XLOOKUP($EJ184,Budget!$A:$A,Budget!DY:DY)</f>
        <v>800</v>
      </c>
      <c r="FG184" s="106">
        <f>+_xlfn.XLOOKUP($EJ184,Budget!$A:$A,Budget!DZ:DZ)</f>
        <v>800</v>
      </c>
      <c r="FH184" s="106">
        <f>+_xlfn.XLOOKUP($EJ184,Budget!$A:$A,Budget!EA:EA)</f>
        <v>800</v>
      </c>
      <c r="FI184" s="106">
        <f>+_xlfn.XLOOKUP($EJ184,Budget!$A:$A,Budget!EB:EB)</f>
        <v>800</v>
      </c>
      <c r="FJ184" s="106">
        <f>+_xlfn.XLOOKUP($EJ184,Budget!$A:$A,Budget!EC:EC)</f>
        <v>800</v>
      </c>
      <c r="FK184" s="106">
        <f t="shared" si="2159"/>
        <v>9600</v>
      </c>
    </row>
    <row r="185" spans="1:167" ht="14.45" hidden="1" customHeight="1" outlineLevel="2">
      <c r="A185" s="106">
        <f t="shared" si="2123"/>
        <v>2984.5349999999999</v>
      </c>
      <c r="B185" s="106">
        <f t="shared" si="2123"/>
        <v>0</v>
      </c>
      <c r="C185" s="106">
        <f t="shared" si="2123"/>
        <v>0</v>
      </c>
      <c r="D185" s="106">
        <f t="shared" si="2123"/>
        <v>0</v>
      </c>
      <c r="E185" s="106">
        <f t="shared" si="2123"/>
        <v>0</v>
      </c>
      <c r="F185" s="106">
        <f t="shared" si="2123"/>
        <v>0</v>
      </c>
      <c r="G185" s="106">
        <f t="shared" si="2123"/>
        <v>0</v>
      </c>
      <c r="H185" s="106">
        <f t="shared" si="2123"/>
        <v>0</v>
      </c>
      <c r="I185" s="106">
        <f t="shared" si="2123"/>
        <v>0</v>
      </c>
      <c r="J185" s="106">
        <f t="shared" si="2123"/>
        <v>0</v>
      </c>
      <c r="K185" s="106">
        <f t="shared" si="2123"/>
        <v>0</v>
      </c>
      <c r="L185" s="106">
        <f t="shared" si="2123"/>
        <v>0</v>
      </c>
      <c r="M185" s="106">
        <f t="shared" si="2124"/>
        <v>2984.5349999999999</v>
      </c>
      <c r="N185" s="16" t="s">
        <v>154</v>
      </c>
      <c r="O185" s="106">
        <f t="shared" si="2125"/>
        <v>0</v>
      </c>
      <c r="P185" s="106">
        <f t="shared" si="2126"/>
        <v>0</v>
      </c>
      <c r="Q185" s="106">
        <f t="shared" si="2127"/>
        <v>0</v>
      </c>
      <c r="R185" s="106">
        <f t="shared" si="2128"/>
        <v>228.66120000000001</v>
      </c>
      <c r="S185" s="106">
        <f t="shared" si="2129"/>
        <v>2583.7163999999998</v>
      </c>
      <c r="T185" s="106">
        <f t="shared" si="2130"/>
        <v>11771.0028</v>
      </c>
      <c r="U185" s="106">
        <f t="shared" si="2131"/>
        <v>11578.161600000001</v>
      </c>
      <c r="V185" s="106">
        <f t="shared" si="2132"/>
        <v>2644.02</v>
      </c>
      <c r="W185" s="106">
        <f t="shared" si="2133"/>
        <v>12948.48</v>
      </c>
      <c r="X185" s="106">
        <f t="shared" si="2134"/>
        <v>10376.280000000001</v>
      </c>
      <c r="Y185" s="106">
        <f t="shared" si="2135"/>
        <v>0</v>
      </c>
      <c r="Z185" s="106">
        <f t="shared" si="2136"/>
        <v>0</v>
      </c>
      <c r="AA185" s="106">
        <f t="shared" si="2137"/>
        <v>52130.322</v>
      </c>
      <c r="AB185" s="118">
        <f t="shared" si="1854"/>
        <v>0.45570707070707078</v>
      </c>
      <c r="AC185" s="106">
        <f t="shared" si="2138"/>
        <v>7128</v>
      </c>
      <c r="AD185" s="106">
        <f t="shared" si="2139"/>
        <v>7128</v>
      </c>
      <c r="AE185" s="106">
        <f t="shared" si="2140"/>
        <v>7128</v>
      </c>
      <c r="AF185" s="106">
        <f t="shared" si="2141"/>
        <v>7128</v>
      </c>
      <c r="AG185" s="106">
        <f t="shared" si="2142"/>
        <v>7128</v>
      </c>
      <c r="AH185" s="106">
        <f t="shared" si="2143"/>
        <v>7128</v>
      </c>
      <c r="AI185" s="106">
        <f t="shared" si="2144"/>
        <v>7128</v>
      </c>
      <c r="AJ185" s="106">
        <f t="shared" si="2145"/>
        <v>7128</v>
      </c>
      <c r="AK185" s="106">
        <f t="shared" si="2146"/>
        <v>7128</v>
      </c>
      <c r="AL185" s="106">
        <f t="shared" si="2147"/>
        <v>7128</v>
      </c>
      <c r="AM185" s="106">
        <f t="shared" si="2148"/>
        <v>7128</v>
      </c>
      <c r="AN185" s="106">
        <f t="shared" si="2149"/>
        <v>7128</v>
      </c>
      <c r="AO185" s="106">
        <f t="shared" si="2150"/>
        <v>85536</v>
      </c>
      <c r="AQ185" s="106">
        <v>1989.6899999999998</v>
      </c>
      <c r="AR185" s="106">
        <v>0</v>
      </c>
      <c r="AS185" s="106">
        <v>0</v>
      </c>
      <c r="AT185" s="106">
        <v>0</v>
      </c>
      <c r="AU185" s="106">
        <v>0</v>
      </c>
      <c r="AV185" s="106">
        <v>0</v>
      </c>
      <c r="AW185" s="106">
        <v>0</v>
      </c>
      <c r="AX185" s="106">
        <v>0</v>
      </c>
      <c r="AY185" s="106">
        <v>0</v>
      </c>
      <c r="AZ185" s="106">
        <v>0</v>
      </c>
      <c r="BA185" s="106">
        <v>0</v>
      </c>
      <c r="BB185" s="106">
        <v>0</v>
      </c>
      <c r="BC185" s="106">
        <f t="shared" si="2151"/>
        <v>1989.6899999999998</v>
      </c>
      <c r="BD185" s="16" t="str">
        <f t="shared" si="1410"/>
        <v>Mobile Expenses</v>
      </c>
      <c r="BE185" s="106">
        <f>+VLOOKUP($BD185,'Jan-25'!$A:$J,5,0)</f>
        <v>0</v>
      </c>
      <c r="BF185" s="106">
        <f>+VLOOKUP($BD185,'Feb-25'!$A:$J,5,0)</f>
        <v>0</v>
      </c>
      <c r="BG185" s="106">
        <f>+VLOOKUP($BD185,'Mar-25'!$A:$J,5,0)</f>
        <v>0</v>
      </c>
      <c r="BH185" s="106">
        <f>+VLOOKUP($BD185,'Apr-25'!$A:$J,5,0)</f>
        <v>152.4408</v>
      </c>
      <c r="BI185" s="106">
        <f>+VLOOKUP($BD185,'May-25'!$A:$J,5,0)</f>
        <v>1722.4775999999999</v>
      </c>
      <c r="BJ185" s="106">
        <f>+VLOOKUP($BD185,'June-25'!$A:$J,5,0)</f>
        <v>7847.3352000000004</v>
      </c>
      <c r="BK185" s="106">
        <f>+VLOOKUP($BD185,'July-25'!$A:$J,5,0)</f>
        <v>7718.7744000000012</v>
      </c>
      <c r="BL185" s="106">
        <f>+VLOOKUP($BD185,'Aug-25'!$A:$J,5,0)</f>
        <v>1762.68</v>
      </c>
      <c r="BM185" s="106">
        <f>+VLOOKUP($BD185,'Sep-25'!$A:$J,5,0)</f>
        <v>8632.32</v>
      </c>
      <c r="BN185" s="106">
        <f>+VLOOKUP($BD185,'Oct-25'!$A:$J,5,0)</f>
        <v>6917.52</v>
      </c>
      <c r="BO185" s="106">
        <f>+VLOOKUP($BD185,'Nov-25'!$A:$J,5,0)</f>
        <v>0</v>
      </c>
      <c r="BP185" s="106">
        <f>+VLOOKUP($BD185,'Dec-25'!$A:$J,5,0)</f>
        <v>0</v>
      </c>
      <c r="BQ185" s="106">
        <f t="shared" si="2152"/>
        <v>34753.548000000003</v>
      </c>
      <c r="BR185" s="118">
        <f t="shared" si="1870"/>
        <v>0.60127777777777791</v>
      </c>
      <c r="BS185" s="106">
        <f>+_xlfn.XLOOKUP($BD185,Budget!$A:$A,Budget!BD:BD)</f>
        <v>4320</v>
      </c>
      <c r="BT185" s="106">
        <f>+_xlfn.XLOOKUP($BD185,Budget!$A:$A,Budget!BE:BE)</f>
        <v>4320</v>
      </c>
      <c r="BU185" s="106">
        <f>+_xlfn.XLOOKUP($BD185,Budget!$A:$A,Budget!BF:BF)</f>
        <v>4320</v>
      </c>
      <c r="BV185" s="106">
        <f>+_xlfn.XLOOKUP($BD185,Budget!$A:$A,Budget!BG:BG)</f>
        <v>4320</v>
      </c>
      <c r="BW185" s="106">
        <f>+_xlfn.XLOOKUP($BD185,Budget!$A:$A,Budget!BH:BH)</f>
        <v>4320</v>
      </c>
      <c r="BX185" s="106">
        <f>+_xlfn.XLOOKUP($BD185,Budget!$A:$A,Budget!BI:BI)</f>
        <v>4320</v>
      </c>
      <c r="BY185" s="106">
        <f>+_xlfn.XLOOKUP($BD185,Budget!$A:$A,Budget!BJ:BJ)</f>
        <v>4320</v>
      </c>
      <c r="BZ185" s="106">
        <f>+_xlfn.XLOOKUP($BD185,Budget!$A:$A,Budget!BK:BK)</f>
        <v>4320</v>
      </c>
      <c r="CA185" s="106">
        <f>+_xlfn.XLOOKUP($BD185,Budget!$A:$A,Budget!BL:BL)</f>
        <v>4320</v>
      </c>
      <c r="CB185" s="106">
        <f>+_xlfn.XLOOKUP($BD185,Budget!$A:$A,Budget!BM:BM)</f>
        <v>4320</v>
      </c>
      <c r="CC185" s="106">
        <f>+_xlfn.XLOOKUP($BD185,Budget!$A:$A,Budget!BN:BN)</f>
        <v>4320</v>
      </c>
      <c r="CD185" s="106">
        <f>+_xlfn.XLOOKUP($BD185,Budget!$A:$A,Budget!BO:BO)</f>
        <v>4320</v>
      </c>
      <c r="CE185" s="106">
        <f t="shared" si="2153"/>
        <v>51840</v>
      </c>
      <c r="CF185" s="106"/>
      <c r="CG185" s="106">
        <v>994.84499999999991</v>
      </c>
      <c r="CH185" s="106">
        <v>0</v>
      </c>
      <c r="CI185" s="106">
        <v>0</v>
      </c>
      <c r="CJ185" s="106">
        <v>0</v>
      </c>
      <c r="CK185" s="106">
        <v>0</v>
      </c>
      <c r="CL185" s="106">
        <v>0</v>
      </c>
      <c r="CM185" s="106">
        <v>0</v>
      </c>
      <c r="CN185" s="106">
        <v>0</v>
      </c>
      <c r="CO185" s="106">
        <v>0</v>
      </c>
      <c r="CP185" s="106">
        <v>0</v>
      </c>
      <c r="CQ185" s="106">
        <v>0</v>
      </c>
      <c r="CR185" s="106">
        <v>0</v>
      </c>
      <c r="CS185" s="106">
        <f t="shared" si="2154"/>
        <v>994.84499999999991</v>
      </c>
      <c r="CT185" s="16" t="str">
        <f t="shared" si="1411"/>
        <v>Mobile Expenses</v>
      </c>
      <c r="CU185" s="106">
        <f>+VLOOKUP($BD185,'Jan-25'!$A:$J,8,0)</f>
        <v>0</v>
      </c>
      <c r="CV185" s="106">
        <f>+VLOOKUP($BD185,'Feb-25'!$A:$J,8,0)</f>
        <v>0</v>
      </c>
      <c r="CW185" s="106">
        <f>+VLOOKUP($BD185,'Mar-25'!$A:$J,8,0)</f>
        <v>0</v>
      </c>
      <c r="CX185" s="106">
        <f>+VLOOKUP($BD185,'Apr-25'!$A:$J,8,0)</f>
        <v>76.220399999999998</v>
      </c>
      <c r="CY185" s="106">
        <f>+VLOOKUP($BD185,'May-25'!$A:$J,8,0)</f>
        <v>861.23879999999997</v>
      </c>
      <c r="CZ185" s="106">
        <f>+VLOOKUP($BD185,'June-25'!$A:$J,8,0)</f>
        <v>3923.6676000000002</v>
      </c>
      <c r="DA185" s="106">
        <f>+VLOOKUP($BD185,'July-25'!$A:$J,8,0)</f>
        <v>3859.3872000000006</v>
      </c>
      <c r="DB185" s="106">
        <f>+VLOOKUP($BD185,'Aug-25'!$A:$J,8,0)</f>
        <v>881.34</v>
      </c>
      <c r="DC185" s="106">
        <f>+VLOOKUP($BD185,'Sep-25'!$A:$J,8,0)</f>
        <v>4316.16</v>
      </c>
      <c r="DD185" s="106">
        <f>+VLOOKUP($BD185,'Oct-25'!$A:$J,8,0)</f>
        <v>3458.76</v>
      </c>
      <c r="DE185" s="106">
        <f>+VLOOKUP($BD185,'Nov-25'!$A:$J,8,0)</f>
        <v>0</v>
      </c>
      <c r="DF185" s="106">
        <f>+VLOOKUP($BD185,'Dec-25'!$A:$J,8,0)</f>
        <v>0</v>
      </c>
      <c r="DG185" s="106">
        <f t="shared" si="2155"/>
        <v>17376.774000000001</v>
      </c>
      <c r="DH185" s="118">
        <f t="shared" si="1874"/>
        <v>0.60127777777777791</v>
      </c>
      <c r="DI185" s="106">
        <f>+_xlfn.XLOOKUP($CT185,Budget!$A:$A,Budget!CQ:CQ)</f>
        <v>2160</v>
      </c>
      <c r="DJ185" s="106">
        <f>+_xlfn.XLOOKUP($CT185,Budget!$A:$A,Budget!CR:CR)</f>
        <v>2160</v>
      </c>
      <c r="DK185" s="106">
        <f>+_xlfn.XLOOKUP($CT185,Budget!$A:$A,Budget!CS:CS)</f>
        <v>2160</v>
      </c>
      <c r="DL185" s="106">
        <f>+_xlfn.XLOOKUP($CT185,Budget!$A:$A,Budget!CT:CT)</f>
        <v>2160</v>
      </c>
      <c r="DM185" s="106">
        <f>+_xlfn.XLOOKUP($CT185,Budget!$A:$A,Budget!CU:CU)</f>
        <v>2160</v>
      </c>
      <c r="DN185" s="106">
        <f>+_xlfn.XLOOKUP($CT185,Budget!$A:$A,Budget!CV:CV)</f>
        <v>2160</v>
      </c>
      <c r="DO185" s="106">
        <f>+_xlfn.XLOOKUP($CT185,Budget!$A:$A,Budget!CW:CW)</f>
        <v>2160</v>
      </c>
      <c r="DP185" s="106">
        <f>+_xlfn.XLOOKUP($CT185,Budget!$A:$A,Budget!CX:CX)</f>
        <v>2160</v>
      </c>
      <c r="DQ185" s="106">
        <f>+_xlfn.XLOOKUP($CT185,Budget!$A:$A,Budget!CY:CY)</f>
        <v>2160</v>
      </c>
      <c r="DR185" s="106">
        <f>+_xlfn.XLOOKUP($CT185,Budget!$A:$A,Budget!CZ:CZ)</f>
        <v>2160</v>
      </c>
      <c r="DS185" s="106">
        <f>+_xlfn.XLOOKUP($CT185,Budget!$A:$A,Budget!DA:DA)</f>
        <v>2160</v>
      </c>
      <c r="DT185" s="106">
        <f>+_xlfn.XLOOKUP($CT185,Budget!$A:$A,Budget!DB:DB)</f>
        <v>2160</v>
      </c>
      <c r="DU185" s="106">
        <f t="shared" si="2156"/>
        <v>25920</v>
      </c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106">
        <f t="shared" si="2157"/>
        <v>0</v>
      </c>
      <c r="EJ185" s="16" t="str">
        <f t="shared" si="1555"/>
        <v>Mobile Expenses</v>
      </c>
      <c r="EK185" s="22">
        <f>+VLOOKUP($BD185,'Jan-25'!$A:$J,10,0)</f>
        <v>0</v>
      </c>
      <c r="EL185" s="22">
        <f>+VLOOKUP($BD185,'Feb-25'!$A:$J,10,0)</f>
        <v>0</v>
      </c>
      <c r="EM185" s="22">
        <f>+VLOOKUP($BD185,'Mar-25'!$A:$J,10,0)</f>
        <v>0</v>
      </c>
      <c r="EN185" s="22">
        <f>+VLOOKUP($BD185,'Apr-25'!$A:$J,10,0)</f>
        <v>0</v>
      </c>
      <c r="EO185" s="22">
        <f>+VLOOKUP($BD185,'May-25'!$A:$J,10,0)</f>
        <v>0</v>
      </c>
      <c r="EP185" s="22">
        <f>+VLOOKUP($BD185,'June-25'!$A:$J,10,0)</f>
        <v>0</v>
      </c>
      <c r="EQ185" s="22">
        <f>+VLOOKUP($BD185,'July-25'!$A:$J,10,0)</f>
        <v>0</v>
      </c>
      <c r="ER185" s="22">
        <f>+VLOOKUP($BD185,'Aug-25'!$A:$J,10,0)</f>
        <v>0</v>
      </c>
      <c r="ES185" s="22">
        <f>+VLOOKUP($BD185,'Sep-25'!$A:$J,10,0)</f>
        <v>0</v>
      </c>
      <c r="ET185" s="22">
        <f>+VLOOKUP($BD185,'Oct-25'!$A:$J,10,0)</f>
        <v>0</v>
      </c>
      <c r="EU185" s="22">
        <f>+VLOOKUP($BD185,'Nov-25'!$A:$J,10,0)</f>
        <v>0</v>
      </c>
      <c r="EV185" s="22">
        <f>+VLOOKUP($BD185,'Dec-25'!$A:$J,10,0)</f>
        <v>0</v>
      </c>
      <c r="EW185" s="22">
        <f t="shared" si="2158"/>
        <v>0</v>
      </c>
      <c r="EX185" s="118">
        <f t="shared" si="1878"/>
        <v>-1</v>
      </c>
      <c r="EY185" s="106">
        <f>+_xlfn.XLOOKUP($EJ185,Budget!$A:$A,Budget!DR:DR)</f>
        <v>648</v>
      </c>
      <c r="EZ185" s="106">
        <f>+_xlfn.XLOOKUP($EJ185,Budget!$A:$A,Budget!DS:DS)</f>
        <v>648</v>
      </c>
      <c r="FA185" s="106">
        <f>+_xlfn.XLOOKUP($EJ185,Budget!$A:$A,Budget!DT:DT)</f>
        <v>648</v>
      </c>
      <c r="FB185" s="106">
        <f>+_xlfn.XLOOKUP($EJ185,Budget!$A:$A,Budget!DU:DU)</f>
        <v>648</v>
      </c>
      <c r="FC185" s="106">
        <f>+_xlfn.XLOOKUP($EJ185,Budget!$A:$A,Budget!DV:DV)</f>
        <v>648</v>
      </c>
      <c r="FD185" s="106">
        <f>+_xlfn.XLOOKUP($EJ185,Budget!$A:$A,Budget!DW:DW)</f>
        <v>648</v>
      </c>
      <c r="FE185" s="106">
        <f>+_xlfn.XLOOKUP($EJ185,Budget!$A:$A,Budget!DX:DX)</f>
        <v>648</v>
      </c>
      <c r="FF185" s="106">
        <f>+_xlfn.XLOOKUP($EJ185,Budget!$A:$A,Budget!DY:DY)</f>
        <v>648</v>
      </c>
      <c r="FG185" s="106">
        <f>+_xlfn.XLOOKUP($EJ185,Budget!$A:$A,Budget!DZ:DZ)</f>
        <v>648</v>
      </c>
      <c r="FH185" s="106">
        <f>+_xlfn.XLOOKUP($EJ185,Budget!$A:$A,Budget!EA:EA)</f>
        <v>648</v>
      </c>
      <c r="FI185" s="106">
        <f>+_xlfn.XLOOKUP($EJ185,Budget!$A:$A,Budget!EB:EB)</f>
        <v>648</v>
      </c>
      <c r="FJ185" s="106">
        <f>+_xlfn.XLOOKUP($EJ185,Budget!$A:$A,Budget!EC:EC)</f>
        <v>648</v>
      </c>
      <c r="FK185" s="106">
        <f t="shared" si="2159"/>
        <v>7776</v>
      </c>
    </row>
    <row r="186" spans="1:167" ht="14.45" hidden="1" customHeight="1" outlineLevel="2">
      <c r="A186" s="106">
        <f t="shared" si="2123"/>
        <v>0</v>
      </c>
      <c r="B186" s="106">
        <f t="shared" si="2123"/>
        <v>0</v>
      </c>
      <c r="C186" s="106">
        <f t="shared" si="2123"/>
        <v>0</v>
      </c>
      <c r="D186" s="106">
        <f t="shared" si="2123"/>
        <v>0</v>
      </c>
      <c r="E186" s="106">
        <f t="shared" si="2123"/>
        <v>0</v>
      </c>
      <c r="F186" s="106">
        <f t="shared" si="2123"/>
        <v>0</v>
      </c>
      <c r="G186" s="106">
        <f t="shared" si="2123"/>
        <v>0</v>
      </c>
      <c r="H186" s="106">
        <f t="shared" si="2123"/>
        <v>0</v>
      </c>
      <c r="I186" s="106">
        <f t="shared" si="2123"/>
        <v>0</v>
      </c>
      <c r="J186" s="106">
        <f t="shared" si="2123"/>
        <v>0</v>
      </c>
      <c r="K186" s="106">
        <f t="shared" si="2123"/>
        <v>0</v>
      </c>
      <c r="L186" s="106">
        <f t="shared" si="2123"/>
        <v>0</v>
      </c>
      <c r="M186" s="106">
        <f t="shared" si="2124"/>
        <v>0</v>
      </c>
      <c r="N186" s="16" t="s">
        <v>155</v>
      </c>
      <c r="O186" s="106">
        <f t="shared" si="2125"/>
        <v>0</v>
      </c>
      <c r="P186" s="106">
        <f t="shared" si="2126"/>
        <v>0</v>
      </c>
      <c r="Q186" s="106">
        <f t="shared" si="2127"/>
        <v>0</v>
      </c>
      <c r="R186" s="106">
        <f t="shared" si="2128"/>
        <v>0</v>
      </c>
      <c r="S186" s="106">
        <f t="shared" si="2129"/>
        <v>0</v>
      </c>
      <c r="T186" s="106">
        <f t="shared" si="2130"/>
        <v>0</v>
      </c>
      <c r="U186" s="106">
        <f t="shared" si="2131"/>
        <v>0</v>
      </c>
      <c r="V186" s="106">
        <f t="shared" si="2132"/>
        <v>0</v>
      </c>
      <c r="W186" s="106">
        <f t="shared" si="2133"/>
        <v>0</v>
      </c>
      <c r="X186" s="106">
        <f t="shared" si="2134"/>
        <v>0</v>
      </c>
      <c r="Y186" s="106">
        <f t="shared" si="2135"/>
        <v>0</v>
      </c>
      <c r="Z186" s="106">
        <f t="shared" si="2136"/>
        <v>0</v>
      </c>
      <c r="AA186" s="106">
        <f t="shared" si="2137"/>
        <v>0</v>
      </c>
      <c r="AB186" s="118">
        <f t="shared" si="1854"/>
        <v>0</v>
      </c>
      <c r="AC186" s="106">
        <f t="shared" si="2138"/>
        <v>0</v>
      </c>
      <c r="AD186" s="106">
        <f t="shared" si="2139"/>
        <v>0</v>
      </c>
      <c r="AE186" s="106">
        <f t="shared" si="2140"/>
        <v>0</v>
      </c>
      <c r="AF186" s="106">
        <f t="shared" si="2141"/>
        <v>0</v>
      </c>
      <c r="AG186" s="106">
        <f t="shared" si="2142"/>
        <v>0</v>
      </c>
      <c r="AH186" s="106">
        <f t="shared" si="2143"/>
        <v>0</v>
      </c>
      <c r="AI186" s="106">
        <f t="shared" si="2144"/>
        <v>0</v>
      </c>
      <c r="AJ186" s="106">
        <f t="shared" si="2145"/>
        <v>0</v>
      </c>
      <c r="AK186" s="106">
        <f t="shared" si="2146"/>
        <v>0</v>
      </c>
      <c r="AL186" s="106">
        <f t="shared" si="2147"/>
        <v>0</v>
      </c>
      <c r="AM186" s="106">
        <f t="shared" si="2148"/>
        <v>0</v>
      </c>
      <c r="AN186" s="106">
        <f t="shared" si="2149"/>
        <v>0</v>
      </c>
      <c r="AO186" s="106">
        <f t="shared" si="2150"/>
        <v>0</v>
      </c>
      <c r="AQ186" s="106">
        <v>0</v>
      </c>
      <c r="AR186" s="106">
        <v>0</v>
      </c>
      <c r="AS186" s="106">
        <v>0</v>
      </c>
      <c r="AT186" s="106">
        <v>0</v>
      </c>
      <c r="AU186" s="106">
        <v>0</v>
      </c>
      <c r="AV186" s="106">
        <v>0</v>
      </c>
      <c r="AW186" s="106">
        <v>0</v>
      </c>
      <c r="AX186" s="106">
        <v>0</v>
      </c>
      <c r="AY186" s="106">
        <v>0</v>
      </c>
      <c r="AZ186" s="106">
        <v>0</v>
      </c>
      <c r="BA186" s="106">
        <v>0</v>
      </c>
      <c r="BB186" s="106">
        <v>0</v>
      </c>
      <c r="BC186" s="106">
        <f t="shared" si="2151"/>
        <v>0</v>
      </c>
      <c r="BD186" s="16" t="str">
        <f t="shared" si="1410"/>
        <v>Telephone</v>
      </c>
      <c r="BE186" s="106">
        <f>+VLOOKUP($BD186,'Jan-25'!$A:$J,5,0)</f>
        <v>0</v>
      </c>
      <c r="BF186" s="106">
        <f>+VLOOKUP($BD186,'Feb-25'!$A:$J,5,0)</f>
        <v>0</v>
      </c>
      <c r="BG186" s="106">
        <f>+VLOOKUP($BD186,'Mar-25'!$A:$J,5,0)</f>
        <v>0</v>
      </c>
      <c r="BH186" s="106">
        <f>+VLOOKUP($BD186,'Apr-25'!$A:$J,5,0)</f>
        <v>0</v>
      </c>
      <c r="BI186" s="106">
        <f>+VLOOKUP($BD186,'May-25'!$A:$J,5,0)</f>
        <v>0</v>
      </c>
      <c r="BJ186" s="106">
        <f>+VLOOKUP($BD186,'June-25'!$A:$J,5,0)</f>
        <v>0</v>
      </c>
      <c r="BK186" s="106">
        <f>+VLOOKUP($BD186,'July-25'!$A:$J,5,0)</f>
        <v>0</v>
      </c>
      <c r="BL186" s="106">
        <f>+VLOOKUP($BD186,'Aug-25'!$A:$J,5,0)</f>
        <v>0</v>
      </c>
      <c r="BM186" s="106">
        <f>+VLOOKUP($BD186,'Sep-25'!$A:$J,5,0)</f>
        <v>0</v>
      </c>
      <c r="BN186" s="106">
        <f>+VLOOKUP($BD186,'Oct-25'!$A:$J,5,0)</f>
        <v>0</v>
      </c>
      <c r="BO186" s="106">
        <f>+VLOOKUP($BD186,'Nov-25'!$A:$J,5,0)</f>
        <v>0</v>
      </c>
      <c r="BP186" s="106">
        <f>+VLOOKUP($BD186,'Dec-25'!$A:$J,5,0)</f>
        <v>0</v>
      </c>
      <c r="BQ186" s="106">
        <f t="shared" si="2152"/>
        <v>0</v>
      </c>
      <c r="BR186" s="118">
        <f t="shared" si="1870"/>
        <v>0</v>
      </c>
      <c r="BS186" s="106">
        <f>+_xlfn.XLOOKUP($BD186,Budget!$A:$A,Budget!BD:BD)</f>
        <v>0</v>
      </c>
      <c r="BT186" s="106">
        <f>+_xlfn.XLOOKUP($BD186,Budget!$A:$A,Budget!BE:BE)</f>
        <v>0</v>
      </c>
      <c r="BU186" s="106">
        <f>+_xlfn.XLOOKUP($BD186,Budget!$A:$A,Budget!BF:BF)</f>
        <v>0</v>
      </c>
      <c r="BV186" s="106">
        <f>+_xlfn.XLOOKUP($BD186,Budget!$A:$A,Budget!BG:BG)</f>
        <v>0</v>
      </c>
      <c r="BW186" s="106">
        <f>+_xlfn.XLOOKUP($BD186,Budget!$A:$A,Budget!BH:BH)</f>
        <v>0</v>
      </c>
      <c r="BX186" s="106">
        <f>+_xlfn.XLOOKUP($BD186,Budget!$A:$A,Budget!BI:BI)</f>
        <v>0</v>
      </c>
      <c r="BY186" s="106">
        <f>+_xlfn.XLOOKUP($BD186,Budget!$A:$A,Budget!BJ:BJ)</f>
        <v>0</v>
      </c>
      <c r="BZ186" s="106">
        <f>+_xlfn.XLOOKUP($BD186,Budget!$A:$A,Budget!BK:BK)</f>
        <v>0</v>
      </c>
      <c r="CA186" s="106">
        <f>+_xlfn.XLOOKUP($BD186,Budget!$A:$A,Budget!BL:BL)</f>
        <v>0</v>
      </c>
      <c r="CB186" s="106">
        <f>+_xlfn.XLOOKUP($BD186,Budget!$A:$A,Budget!BM:BM)</f>
        <v>0</v>
      </c>
      <c r="CC186" s="106">
        <f>+_xlfn.XLOOKUP($BD186,Budget!$A:$A,Budget!BN:BN)</f>
        <v>0</v>
      </c>
      <c r="CD186" s="106">
        <f>+_xlfn.XLOOKUP($BD186,Budget!$A:$A,Budget!BO:BO)</f>
        <v>0</v>
      </c>
      <c r="CE186" s="106">
        <f t="shared" si="2153"/>
        <v>0</v>
      </c>
      <c r="CF186" s="106"/>
      <c r="CG186" s="106">
        <v>0</v>
      </c>
      <c r="CH186" s="106">
        <v>0</v>
      </c>
      <c r="CI186" s="106">
        <v>0</v>
      </c>
      <c r="CJ186" s="106">
        <v>0</v>
      </c>
      <c r="CK186" s="106">
        <v>0</v>
      </c>
      <c r="CL186" s="106">
        <v>0</v>
      </c>
      <c r="CM186" s="106">
        <v>0</v>
      </c>
      <c r="CN186" s="106">
        <v>0</v>
      </c>
      <c r="CO186" s="106">
        <v>0</v>
      </c>
      <c r="CP186" s="106">
        <v>0</v>
      </c>
      <c r="CQ186" s="106">
        <v>0</v>
      </c>
      <c r="CR186" s="106">
        <v>0</v>
      </c>
      <c r="CS186" s="106">
        <f t="shared" si="2154"/>
        <v>0</v>
      </c>
      <c r="CT186" s="16" t="str">
        <f t="shared" si="1411"/>
        <v>Telephone</v>
      </c>
      <c r="CU186" s="106">
        <f>+VLOOKUP($BD186,'Jan-25'!$A:$J,8,0)</f>
        <v>0</v>
      </c>
      <c r="CV186" s="106">
        <f>+VLOOKUP($BD186,'Feb-25'!$A:$J,8,0)</f>
        <v>0</v>
      </c>
      <c r="CW186" s="106">
        <f>+VLOOKUP($BD186,'Mar-25'!$A:$J,8,0)</f>
        <v>0</v>
      </c>
      <c r="CX186" s="106">
        <f>+VLOOKUP($BD186,'Apr-25'!$A:$J,8,0)</f>
        <v>0</v>
      </c>
      <c r="CY186" s="106">
        <f>+VLOOKUP($BD186,'May-25'!$A:$J,8,0)</f>
        <v>0</v>
      </c>
      <c r="CZ186" s="106">
        <f>+VLOOKUP($BD186,'June-25'!$A:$J,8,0)</f>
        <v>0</v>
      </c>
      <c r="DA186" s="106">
        <f>+VLOOKUP($BD186,'July-25'!$A:$J,8,0)</f>
        <v>0</v>
      </c>
      <c r="DB186" s="106">
        <f>+VLOOKUP($BD186,'Aug-25'!$A:$J,8,0)</f>
        <v>0</v>
      </c>
      <c r="DC186" s="106">
        <f>+VLOOKUP($BD186,'Sep-25'!$A:$J,8,0)</f>
        <v>0</v>
      </c>
      <c r="DD186" s="106">
        <f>+VLOOKUP($BD186,'Oct-25'!$A:$J,8,0)</f>
        <v>0</v>
      </c>
      <c r="DE186" s="106">
        <f>+VLOOKUP($BD186,'Nov-25'!$A:$J,8,0)</f>
        <v>0</v>
      </c>
      <c r="DF186" s="106">
        <f>+VLOOKUP($BD186,'Dec-25'!$A:$J,8,0)</f>
        <v>0</v>
      </c>
      <c r="DG186" s="106">
        <f t="shared" si="2155"/>
        <v>0</v>
      </c>
      <c r="DH186" s="118">
        <f t="shared" si="1874"/>
        <v>0</v>
      </c>
      <c r="DI186" s="106">
        <f>+_xlfn.XLOOKUP($CT186,Budget!$A:$A,Budget!CQ:CQ)</f>
        <v>0</v>
      </c>
      <c r="DJ186" s="106">
        <f>+_xlfn.XLOOKUP($CT186,Budget!$A:$A,Budget!CR:CR)</f>
        <v>0</v>
      </c>
      <c r="DK186" s="106">
        <f>+_xlfn.XLOOKUP($CT186,Budget!$A:$A,Budget!CS:CS)</f>
        <v>0</v>
      </c>
      <c r="DL186" s="106">
        <f>+_xlfn.XLOOKUP($CT186,Budget!$A:$A,Budget!CT:CT)</f>
        <v>0</v>
      </c>
      <c r="DM186" s="106">
        <f>+_xlfn.XLOOKUP($CT186,Budget!$A:$A,Budget!CU:CU)</f>
        <v>0</v>
      </c>
      <c r="DN186" s="106">
        <f>+_xlfn.XLOOKUP($CT186,Budget!$A:$A,Budget!CV:CV)</f>
        <v>0</v>
      </c>
      <c r="DO186" s="106">
        <f>+_xlfn.XLOOKUP($CT186,Budget!$A:$A,Budget!CW:CW)</f>
        <v>0</v>
      </c>
      <c r="DP186" s="106">
        <f>+_xlfn.XLOOKUP($CT186,Budget!$A:$A,Budget!CX:CX)</f>
        <v>0</v>
      </c>
      <c r="DQ186" s="106">
        <f>+_xlfn.XLOOKUP($CT186,Budget!$A:$A,Budget!CY:CY)</f>
        <v>0</v>
      </c>
      <c r="DR186" s="106">
        <f>+_xlfn.XLOOKUP($CT186,Budget!$A:$A,Budget!CZ:CZ)</f>
        <v>0</v>
      </c>
      <c r="DS186" s="106">
        <f>+_xlfn.XLOOKUP($CT186,Budget!$A:$A,Budget!DA:DA)</f>
        <v>0</v>
      </c>
      <c r="DT186" s="106">
        <f>+_xlfn.XLOOKUP($CT186,Budget!$A:$A,Budget!DB:DB)</f>
        <v>0</v>
      </c>
      <c r="DU186" s="106">
        <f t="shared" si="2156"/>
        <v>0</v>
      </c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106">
        <f t="shared" si="2157"/>
        <v>0</v>
      </c>
      <c r="EJ186" s="16" t="str">
        <f t="shared" si="1555"/>
        <v>Telephone</v>
      </c>
      <c r="EK186" s="22">
        <f>+VLOOKUP($BD186,'Jan-25'!$A:$J,10,0)</f>
        <v>0</v>
      </c>
      <c r="EL186" s="22">
        <f>+VLOOKUP($BD186,'Feb-25'!$A:$J,10,0)</f>
        <v>0</v>
      </c>
      <c r="EM186" s="22">
        <f>+VLOOKUP($BD186,'Mar-25'!$A:$J,10,0)</f>
        <v>0</v>
      </c>
      <c r="EN186" s="22">
        <f>+VLOOKUP($BD186,'Apr-25'!$A:$J,10,0)</f>
        <v>0</v>
      </c>
      <c r="EO186" s="22">
        <f>+VLOOKUP($BD186,'May-25'!$A:$J,10,0)</f>
        <v>0</v>
      </c>
      <c r="EP186" s="22">
        <f>+VLOOKUP($BD186,'June-25'!$A:$J,10,0)</f>
        <v>0</v>
      </c>
      <c r="EQ186" s="22">
        <f>+VLOOKUP($BD186,'July-25'!$A:$J,10,0)</f>
        <v>0</v>
      </c>
      <c r="ER186" s="22">
        <f>+VLOOKUP($BD186,'Aug-25'!$A:$J,10,0)</f>
        <v>0</v>
      </c>
      <c r="ES186" s="22">
        <f>+VLOOKUP($BD186,'Sep-25'!$A:$J,10,0)</f>
        <v>0</v>
      </c>
      <c r="ET186" s="22">
        <f>+VLOOKUP($BD186,'Oct-25'!$A:$J,10,0)</f>
        <v>0</v>
      </c>
      <c r="EU186" s="22">
        <f>+VLOOKUP($BD186,'Nov-25'!$A:$J,10,0)</f>
        <v>0</v>
      </c>
      <c r="EV186" s="22">
        <f>+VLOOKUP($BD186,'Dec-25'!$A:$J,10,0)</f>
        <v>0</v>
      </c>
      <c r="EW186" s="22">
        <f t="shared" si="2158"/>
        <v>0</v>
      </c>
      <c r="EX186" s="118" t="e">
        <f t="shared" si="1878"/>
        <v>#DIV/0!</v>
      </c>
      <c r="EY186" s="106">
        <f>+_xlfn.XLOOKUP($EJ186,Budget!$A:$A,Budget!DR:DR)</f>
        <v>0</v>
      </c>
      <c r="EZ186" s="106">
        <f>+_xlfn.XLOOKUP($EJ186,Budget!$A:$A,Budget!DS:DS)</f>
        <v>0</v>
      </c>
      <c r="FA186" s="106">
        <f>+_xlfn.XLOOKUP($EJ186,Budget!$A:$A,Budget!DT:DT)</f>
        <v>0</v>
      </c>
      <c r="FB186" s="106">
        <f>+_xlfn.XLOOKUP($EJ186,Budget!$A:$A,Budget!DU:DU)</f>
        <v>0</v>
      </c>
      <c r="FC186" s="106">
        <f>+_xlfn.XLOOKUP($EJ186,Budget!$A:$A,Budget!DV:DV)</f>
        <v>0</v>
      </c>
      <c r="FD186" s="106">
        <f>+_xlfn.XLOOKUP($EJ186,Budget!$A:$A,Budget!DW:DW)</f>
        <v>0</v>
      </c>
      <c r="FE186" s="106">
        <f>+_xlfn.XLOOKUP($EJ186,Budget!$A:$A,Budget!DX:DX)</f>
        <v>0</v>
      </c>
      <c r="FF186" s="106">
        <f>+_xlfn.XLOOKUP($EJ186,Budget!$A:$A,Budget!DY:DY)</f>
        <v>0</v>
      </c>
      <c r="FG186" s="106">
        <f>+_xlfn.XLOOKUP($EJ186,Budget!$A:$A,Budget!DZ:DZ)</f>
        <v>0</v>
      </c>
      <c r="FH186" s="106">
        <f>+_xlfn.XLOOKUP($EJ186,Budget!$A:$A,Budget!EA:EA)</f>
        <v>0</v>
      </c>
      <c r="FI186" s="106">
        <f>+_xlfn.XLOOKUP($EJ186,Budget!$A:$A,Budget!EB:EB)</f>
        <v>0</v>
      </c>
      <c r="FJ186" s="106">
        <f>+_xlfn.XLOOKUP($EJ186,Budget!$A:$A,Budget!EC:EC)</f>
        <v>0</v>
      </c>
      <c r="FK186" s="106">
        <f t="shared" si="2159"/>
        <v>0</v>
      </c>
    </row>
    <row r="187" spans="1:167" ht="14.45" hidden="1" customHeight="1" outlineLevel="1" collapsed="1">
      <c r="A187" s="107">
        <f t="shared" ref="A187:L187" si="2160">+SUM(A188:A192)</f>
        <v>10019.999999999995</v>
      </c>
      <c r="B187" s="107">
        <f t="shared" si="2160"/>
        <v>10019.999399999995</v>
      </c>
      <c r="C187" s="107">
        <f t="shared" si="2160"/>
        <v>10019.999399999995</v>
      </c>
      <c r="D187" s="107">
        <f t="shared" si="2160"/>
        <v>10019.999399999995</v>
      </c>
      <c r="E187" s="107">
        <f t="shared" si="2160"/>
        <v>10019.999399999995</v>
      </c>
      <c r="F187" s="107">
        <f t="shared" si="2160"/>
        <v>10019.999399999995</v>
      </c>
      <c r="G187" s="107">
        <f t="shared" si="2160"/>
        <v>10019.999399999995</v>
      </c>
      <c r="H187" s="107">
        <f t="shared" si="2160"/>
        <v>7949.9394000000011</v>
      </c>
      <c r="I187" s="107">
        <f t="shared" si="2160"/>
        <v>4199.9399999999996</v>
      </c>
      <c r="J187" s="107">
        <f t="shared" si="2160"/>
        <v>7949.9399999999951</v>
      </c>
      <c r="K187" s="107">
        <f t="shared" si="2160"/>
        <v>7949.9394000000011</v>
      </c>
      <c r="L187" s="107">
        <f t="shared" si="2160"/>
        <v>4199.9400000000005</v>
      </c>
      <c r="M187" s="107"/>
      <c r="N187" s="20" t="s">
        <v>156</v>
      </c>
      <c r="O187" s="107">
        <f t="shared" ref="O187" si="2161">+SUM(O188:O192)</f>
        <v>9199.7000000000007</v>
      </c>
      <c r="P187" s="107">
        <f t="shared" ref="P187" si="2162">+SUM(P188:P192)</f>
        <v>6499.7000000000007</v>
      </c>
      <c r="Q187" s="107">
        <f t="shared" ref="Q187" si="2163">+SUM(Q188:Q192)</f>
        <v>4999.76</v>
      </c>
      <c r="R187" s="107">
        <f t="shared" ref="R187" si="2164">+SUM(R188:R192)</f>
        <v>4999.76</v>
      </c>
      <c r="S187" s="107">
        <f t="shared" ref="S187" si="2165">+SUM(S188:S192)</f>
        <v>9199.7000000000007</v>
      </c>
      <c r="T187" s="107">
        <f t="shared" ref="T187" si="2166">+SUM(T188:T192)</f>
        <v>6499.7000000000007</v>
      </c>
      <c r="U187" s="107">
        <f t="shared" ref="U187" si="2167">+SUM(U188:U192)</f>
        <v>9199.7000000000007</v>
      </c>
      <c r="V187" s="107">
        <f t="shared" ref="V187" si="2168">+SUM(V188:V192)</f>
        <v>4999.76</v>
      </c>
      <c r="W187" s="107">
        <f t="shared" ref="W187" si="2169">+SUM(W188:W192)</f>
        <v>4999.76</v>
      </c>
      <c r="X187" s="107">
        <f t="shared" ref="X187" si="2170">+SUM(X188:X192)</f>
        <v>6499.7000000000007</v>
      </c>
      <c r="Y187" s="107">
        <f t="shared" ref="Y187" si="2171">+SUM(Y188:Y192)</f>
        <v>0</v>
      </c>
      <c r="Z187" s="107">
        <f t="shared" ref="Z187" si="2172">+SUM(Z188:Z192)</f>
        <v>0</v>
      </c>
      <c r="AA187" s="107"/>
      <c r="AB187" s="118">
        <f t="shared" si="1854"/>
        <v>-0.58888261993796265</v>
      </c>
      <c r="AC187" s="107">
        <f t="shared" ref="AC187" si="2173">+SUM(AC188:AC192)</f>
        <v>15809.84</v>
      </c>
      <c r="AD187" s="107">
        <f t="shared" ref="AD187" si="2174">+SUM(AD188:AD192)</f>
        <v>15809.84</v>
      </c>
      <c r="AE187" s="107">
        <f t="shared" ref="AE187" si="2175">+SUM(AE188:AE192)</f>
        <v>15809.84</v>
      </c>
      <c r="AF187" s="107">
        <f t="shared" ref="AF187" si="2176">+SUM(AF188:AF192)</f>
        <v>15809.84</v>
      </c>
      <c r="AG187" s="107">
        <f t="shared" ref="AG187" si="2177">+SUM(AG188:AG192)</f>
        <v>15809.84</v>
      </c>
      <c r="AH187" s="107">
        <f t="shared" ref="AH187" si="2178">+SUM(AH188:AH192)</f>
        <v>15809.84</v>
      </c>
      <c r="AI187" s="107">
        <f t="shared" ref="AI187" si="2179">+SUM(AI188:AI192)</f>
        <v>15809.84</v>
      </c>
      <c r="AJ187" s="107">
        <f t="shared" ref="AJ187" si="2180">+SUM(AJ188:AJ192)</f>
        <v>15809.84</v>
      </c>
      <c r="AK187" s="107">
        <f t="shared" ref="AK187" si="2181">+SUM(AK188:AK192)</f>
        <v>15809.84</v>
      </c>
      <c r="AL187" s="107">
        <f t="shared" ref="AL187" si="2182">+SUM(AL188:AL192)</f>
        <v>15809.84</v>
      </c>
      <c r="AM187" s="107">
        <f t="shared" ref="AM187" si="2183">+SUM(AM188:AM192)</f>
        <v>15809.84</v>
      </c>
      <c r="AN187" s="107">
        <f t="shared" ref="AN187:AO187" si="2184">+SUM(AN188:AN192)</f>
        <v>15809.84</v>
      </c>
      <c r="AO187" s="107">
        <f t="shared" si="2184"/>
        <v>189718.08000000002</v>
      </c>
      <c r="AQ187" s="107">
        <f t="shared" ref="AQ187:CD187" si="2185">+SUM(AQ188:AQ192)</f>
        <v>6679.9999999999964</v>
      </c>
      <c r="AR187" s="107">
        <f t="shared" si="2185"/>
        <v>6679.9995999999965</v>
      </c>
      <c r="AS187" s="107">
        <f t="shared" si="2185"/>
        <v>6679.9995999999965</v>
      </c>
      <c r="AT187" s="107">
        <f t="shared" si="2185"/>
        <v>6679.9995999999965</v>
      </c>
      <c r="AU187" s="107">
        <f t="shared" si="2185"/>
        <v>6679.9995999999965</v>
      </c>
      <c r="AV187" s="107">
        <f t="shared" si="2185"/>
        <v>6679.9995999999965</v>
      </c>
      <c r="AW187" s="107">
        <f t="shared" si="2185"/>
        <v>6679.9995999999965</v>
      </c>
      <c r="AX187" s="107">
        <f t="shared" si="2185"/>
        <v>5299.959600000001</v>
      </c>
      <c r="AY187" s="107">
        <f t="shared" si="2185"/>
        <v>2799.96</v>
      </c>
      <c r="AZ187" s="107">
        <f t="shared" si="2185"/>
        <v>5299.9599999999964</v>
      </c>
      <c r="BA187" s="107">
        <f t="shared" si="2185"/>
        <v>5299.959600000001</v>
      </c>
      <c r="BB187" s="107">
        <f t="shared" si="2185"/>
        <v>2799.96</v>
      </c>
      <c r="BC187" s="107">
        <f>+SUM(AQ187:BB187)</f>
        <v>68259.796799999982</v>
      </c>
      <c r="BD187" s="20" t="str">
        <f t="shared" si="1410"/>
        <v>Professional Fees</v>
      </c>
      <c r="BE187" s="107">
        <f t="shared" si="2185"/>
        <v>5299.8</v>
      </c>
      <c r="BF187" s="107">
        <f t="shared" ref="BF187:BP187" si="2186">+SUM(BF188:BF192)</f>
        <v>3499.8</v>
      </c>
      <c r="BG187" s="107">
        <f t="shared" si="2186"/>
        <v>2499.84</v>
      </c>
      <c r="BH187" s="107">
        <f t="shared" si="2186"/>
        <v>2499.84</v>
      </c>
      <c r="BI187" s="107">
        <f t="shared" si="2186"/>
        <v>5299.8</v>
      </c>
      <c r="BJ187" s="107">
        <f t="shared" si="2186"/>
        <v>3499.8</v>
      </c>
      <c r="BK187" s="107">
        <f t="shared" si="2186"/>
        <v>5299.8</v>
      </c>
      <c r="BL187" s="107">
        <f t="shared" si="2186"/>
        <v>2499.84</v>
      </c>
      <c r="BM187" s="107">
        <f t="shared" si="2186"/>
        <v>2499.84</v>
      </c>
      <c r="BN187" s="107">
        <f t="shared" si="2186"/>
        <v>3499.8</v>
      </c>
      <c r="BO187" s="107">
        <f t="shared" si="2186"/>
        <v>0</v>
      </c>
      <c r="BP187" s="107">
        <f t="shared" si="2186"/>
        <v>0</v>
      </c>
      <c r="BQ187" s="107">
        <f t="shared" si="2185"/>
        <v>36398.160000000003</v>
      </c>
      <c r="BR187" s="118">
        <f t="shared" si="1870"/>
        <v>-0.63943971911779252</v>
      </c>
      <c r="BS187" s="107">
        <f t="shared" si="2185"/>
        <v>9706.56</v>
      </c>
      <c r="BT187" s="107">
        <f t="shared" si="2185"/>
        <v>9706.56</v>
      </c>
      <c r="BU187" s="107">
        <f t="shared" si="2185"/>
        <v>9706.56</v>
      </c>
      <c r="BV187" s="107">
        <f t="shared" si="2185"/>
        <v>9706.56</v>
      </c>
      <c r="BW187" s="107">
        <f t="shared" si="2185"/>
        <v>9706.56</v>
      </c>
      <c r="BX187" s="107">
        <f t="shared" si="2185"/>
        <v>9706.56</v>
      </c>
      <c r="BY187" s="107">
        <f t="shared" si="2185"/>
        <v>9706.56</v>
      </c>
      <c r="BZ187" s="107">
        <f t="shared" si="2185"/>
        <v>9706.56</v>
      </c>
      <c r="CA187" s="107">
        <f t="shared" si="2185"/>
        <v>9706.56</v>
      </c>
      <c r="CB187" s="107">
        <f t="shared" si="2185"/>
        <v>9706.56</v>
      </c>
      <c r="CC187" s="107">
        <f t="shared" si="2185"/>
        <v>9706.56</v>
      </c>
      <c r="CD187" s="107">
        <f t="shared" si="2185"/>
        <v>9706.56</v>
      </c>
      <c r="CE187" s="107">
        <f>+SUM(BS187:CD187)</f>
        <v>116478.71999999999</v>
      </c>
      <c r="CF187" s="106"/>
      <c r="CG187" s="107">
        <f t="shared" ref="CG187:CR187" si="2187">+SUM(CG188:CG192)</f>
        <v>3339.9999999999982</v>
      </c>
      <c r="CH187" s="107">
        <f t="shared" si="2187"/>
        <v>3339.9997999999982</v>
      </c>
      <c r="CI187" s="107">
        <f t="shared" si="2187"/>
        <v>3339.9997999999982</v>
      </c>
      <c r="CJ187" s="107">
        <f t="shared" si="2187"/>
        <v>3339.9997999999982</v>
      </c>
      <c r="CK187" s="107">
        <f t="shared" si="2187"/>
        <v>3339.9997999999982</v>
      </c>
      <c r="CL187" s="107">
        <f t="shared" si="2187"/>
        <v>3339.9997999999982</v>
      </c>
      <c r="CM187" s="107">
        <f t="shared" si="2187"/>
        <v>3339.9997999999982</v>
      </c>
      <c r="CN187" s="107">
        <f t="shared" si="2187"/>
        <v>2649.9798000000005</v>
      </c>
      <c r="CO187" s="107">
        <f t="shared" si="2187"/>
        <v>1399.98</v>
      </c>
      <c r="CP187" s="107">
        <f t="shared" si="2187"/>
        <v>2649.9799999999982</v>
      </c>
      <c r="CQ187" s="107">
        <f t="shared" si="2187"/>
        <v>2649.9798000000005</v>
      </c>
      <c r="CR187" s="107">
        <f t="shared" si="2187"/>
        <v>1399.98</v>
      </c>
      <c r="CS187" s="107">
        <f>+SUM(CG187:CR187)</f>
        <v>34129.898399999991</v>
      </c>
      <c r="CT187" s="20" t="str">
        <f t="shared" si="1411"/>
        <v>Professional Fees</v>
      </c>
      <c r="CU187" s="107">
        <f t="shared" ref="CU187:DT187" si="2188">+SUM(CU188:CU192)</f>
        <v>2649.9</v>
      </c>
      <c r="CV187" s="107">
        <f t="shared" si="2188"/>
        <v>1749.9</v>
      </c>
      <c r="CW187" s="107">
        <f t="shared" si="2188"/>
        <v>1249.92</v>
      </c>
      <c r="CX187" s="107">
        <f t="shared" si="2188"/>
        <v>1249.92</v>
      </c>
      <c r="CY187" s="107">
        <f t="shared" si="2188"/>
        <v>2649.9</v>
      </c>
      <c r="CZ187" s="107">
        <f t="shared" si="2188"/>
        <v>1749.9</v>
      </c>
      <c r="DA187" s="107">
        <f t="shared" si="2188"/>
        <v>2649.9</v>
      </c>
      <c r="DB187" s="107">
        <f t="shared" si="2188"/>
        <v>1249.92</v>
      </c>
      <c r="DC187" s="107">
        <f t="shared" si="2188"/>
        <v>1249.92</v>
      </c>
      <c r="DD187" s="107">
        <f t="shared" si="2188"/>
        <v>1749.9</v>
      </c>
      <c r="DE187" s="107">
        <f t="shared" si="2188"/>
        <v>0</v>
      </c>
      <c r="DF187" s="107">
        <f t="shared" si="2188"/>
        <v>0</v>
      </c>
      <c r="DG187" s="107">
        <f t="shared" si="2188"/>
        <v>18199.080000000002</v>
      </c>
      <c r="DH187" s="118">
        <f t="shared" si="1874"/>
        <v>-0.63943971911779252</v>
      </c>
      <c r="DI187" s="107">
        <f t="shared" si="2188"/>
        <v>4853.28</v>
      </c>
      <c r="DJ187" s="107">
        <f t="shared" si="2188"/>
        <v>4853.28</v>
      </c>
      <c r="DK187" s="107">
        <f t="shared" si="2188"/>
        <v>4853.28</v>
      </c>
      <c r="DL187" s="107">
        <f t="shared" si="2188"/>
        <v>4853.28</v>
      </c>
      <c r="DM187" s="107">
        <f t="shared" si="2188"/>
        <v>4853.28</v>
      </c>
      <c r="DN187" s="107">
        <f t="shared" si="2188"/>
        <v>4853.28</v>
      </c>
      <c r="DO187" s="107">
        <f t="shared" si="2188"/>
        <v>4853.28</v>
      </c>
      <c r="DP187" s="107">
        <f t="shared" si="2188"/>
        <v>4853.28</v>
      </c>
      <c r="DQ187" s="107">
        <f t="shared" si="2188"/>
        <v>4853.28</v>
      </c>
      <c r="DR187" s="107">
        <f t="shared" si="2188"/>
        <v>4853.28</v>
      </c>
      <c r="DS187" s="107">
        <f t="shared" si="2188"/>
        <v>4853.28</v>
      </c>
      <c r="DT187" s="107">
        <f t="shared" si="2188"/>
        <v>4853.28</v>
      </c>
      <c r="DU187" s="107">
        <f>+SUM(DI187:DT187)</f>
        <v>58239.359999999993</v>
      </c>
      <c r="DW187" s="31">
        <f t="shared" ref="DW187:EH187" si="2189">+SUM(DW188:DW192)</f>
        <v>0</v>
      </c>
      <c r="DX187" s="31">
        <f t="shared" si="2189"/>
        <v>0</v>
      </c>
      <c r="DY187" s="31">
        <f t="shared" si="2189"/>
        <v>0</v>
      </c>
      <c r="DZ187" s="31">
        <f t="shared" si="2189"/>
        <v>0</v>
      </c>
      <c r="EA187" s="31">
        <f t="shared" si="2189"/>
        <v>0</v>
      </c>
      <c r="EB187" s="31">
        <f t="shared" si="2189"/>
        <v>0</v>
      </c>
      <c r="EC187" s="31">
        <f t="shared" si="2189"/>
        <v>0</v>
      </c>
      <c r="ED187" s="31">
        <f t="shared" si="2189"/>
        <v>0</v>
      </c>
      <c r="EE187" s="31">
        <f t="shared" si="2189"/>
        <v>0</v>
      </c>
      <c r="EF187" s="31">
        <f t="shared" si="2189"/>
        <v>0</v>
      </c>
      <c r="EG187" s="31">
        <f t="shared" si="2189"/>
        <v>0</v>
      </c>
      <c r="EH187" s="31">
        <f t="shared" si="2189"/>
        <v>0</v>
      </c>
      <c r="EI187" s="107">
        <f>+SUM(DW187:EH187)</f>
        <v>0</v>
      </c>
      <c r="EJ187" s="20" t="str">
        <f t="shared" si="1555"/>
        <v>Professional Fees</v>
      </c>
      <c r="EK187" s="31">
        <f t="shared" ref="EK187:EV187" si="2190">+SUM(EK188:EK192)</f>
        <v>1250</v>
      </c>
      <c r="EL187" s="31">
        <f t="shared" si="2190"/>
        <v>1250</v>
      </c>
      <c r="EM187" s="31">
        <f t="shared" si="2190"/>
        <v>1250</v>
      </c>
      <c r="EN187" s="31">
        <f t="shared" si="2190"/>
        <v>1250</v>
      </c>
      <c r="EO187" s="31">
        <f t="shared" si="2190"/>
        <v>1250</v>
      </c>
      <c r="EP187" s="31">
        <f t="shared" si="2190"/>
        <v>1250</v>
      </c>
      <c r="EQ187" s="31">
        <f t="shared" si="2190"/>
        <v>1250</v>
      </c>
      <c r="ER187" s="31">
        <f t="shared" si="2190"/>
        <v>1250</v>
      </c>
      <c r="ES187" s="31">
        <f t="shared" si="2190"/>
        <v>1250</v>
      </c>
      <c r="ET187" s="31">
        <f t="shared" si="2190"/>
        <v>1250</v>
      </c>
      <c r="EU187" s="31">
        <f t="shared" si="2190"/>
        <v>0</v>
      </c>
      <c r="EV187" s="31">
        <f t="shared" si="2190"/>
        <v>0</v>
      </c>
      <c r="EW187" s="31">
        <f t="shared" ref="EW187" si="2191">+SUM(EW188:EW192)</f>
        <v>12500</v>
      </c>
      <c r="EX187" s="118">
        <f t="shared" si="1878"/>
        <v>0</v>
      </c>
      <c r="EY187" s="107">
        <f t="shared" ref="EY187:FJ187" si="2192">+SUM(EY188:EY192)</f>
        <v>1250</v>
      </c>
      <c r="EZ187" s="107">
        <f t="shared" si="2192"/>
        <v>1250</v>
      </c>
      <c r="FA187" s="107">
        <f t="shared" si="2192"/>
        <v>1250</v>
      </c>
      <c r="FB187" s="107">
        <f t="shared" si="2192"/>
        <v>1250</v>
      </c>
      <c r="FC187" s="107">
        <f t="shared" si="2192"/>
        <v>1250</v>
      </c>
      <c r="FD187" s="107">
        <f t="shared" si="2192"/>
        <v>1250</v>
      </c>
      <c r="FE187" s="107">
        <f t="shared" si="2192"/>
        <v>1250</v>
      </c>
      <c r="FF187" s="107">
        <f t="shared" si="2192"/>
        <v>1250</v>
      </c>
      <c r="FG187" s="107">
        <f t="shared" si="2192"/>
        <v>1250</v>
      </c>
      <c r="FH187" s="107">
        <f t="shared" si="2192"/>
        <v>1250</v>
      </c>
      <c r="FI187" s="107">
        <f t="shared" si="2192"/>
        <v>1250</v>
      </c>
      <c r="FJ187" s="107">
        <f t="shared" si="2192"/>
        <v>1250</v>
      </c>
      <c r="FK187" s="107">
        <f>+SUM(EY187:FJ187)</f>
        <v>15000</v>
      </c>
    </row>
    <row r="188" spans="1:167" ht="14.45" hidden="1" customHeight="1" outlineLevel="2">
      <c r="A188" s="106">
        <f t="shared" ref="A188:L192" si="2193">+AQ188+CG188+DW188</f>
        <v>3749.9999999999945</v>
      </c>
      <c r="B188" s="106">
        <f t="shared" si="2193"/>
        <v>3749.9999999999945</v>
      </c>
      <c r="C188" s="106">
        <f t="shared" si="2193"/>
        <v>3749.9999999999945</v>
      </c>
      <c r="D188" s="106">
        <f t="shared" si="2193"/>
        <v>3749.9999999999945</v>
      </c>
      <c r="E188" s="106">
        <f t="shared" si="2193"/>
        <v>3749.9999999999945</v>
      </c>
      <c r="F188" s="106">
        <f t="shared" si="2193"/>
        <v>3749.9999999999945</v>
      </c>
      <c r="G188" s="106">
        <f t="shared" si="2193"/>
        <v>3749.9999999999945</v>
      </c>
      <c r="H188" s="106">
        <f t="shared" si="2193"/>
        <v>3749.9994000000006</v>
      </c>
      <c r="I188" s="106">
        <f t="shared" si="2193"/>
        <v>0</v>
      </c>
      <c r="J188" s="106">
        <f t="shared" si="2193"/>
        <v>3749.9999999999945</v>
      </c>
      <c r="K188" s="106">
        <f t="shared" si="2193"/>
        <v>3749.9994000000006</v>
      </c>
      <c r="L188" s="106">
        <f t="shared" si="2193"/>
        <v>0</v>
      </c>
      <c r="M188" s="106">
        <f t="shared" ref="M188:M192" si="2194">+SUM(A188:L188)</f>
        <v>37499.99879999995</v>
      </c>
      <c r="N188" s="16" t="s">
        <v>157</v>
      </c>
      <c r="O188" s="106">
        <f t="shared" ref="O188:O192" si="2195">+BE188+CU188+EK188</f>
        <v>4999.76</v>
      </c>
      <c r="P188" s="106">
        <f t="shared" ref="P188:P192" si="2196">+BF188+CV188+EL188</f>
        <v>4999.76</v>
      </c>
      <c r="Q188" s="106">
        <f t="shared" ref="Q188:Q192" si="2197">+BG188+CW188+EM188</f>
        <v>4999.76</v>
      </c>
      <c r="R188" s="106">
        <f t="shared" ref="R188:R192" si="2198">+BH188+CX188+EN188</f>
        <v>4999.76</v>
      </c>
      <c r="S188" s="106">
        <f t="shared" ref="S188:S192" si="2199">+BI188+CY188+EO188</f>
        <v>4999.76</v>
      </c>
      <c r="T188" s="106">
        <f t="shared" ref="T188:T192" si="2200">+BJ188+CZ188+EP188</f>
        <v>4999.76</v>
      </c>
      <c r="U188" s="106">
        <f t="shared" ref="U188:U192" si="2201">+BK188+DA188+EQ188</f>
        <v>4999.76</v>
      </c>
      <c r="V188" s="106">
        <f t="shared" ref="V188:V192" si="2202">+BL188+DB188+ER188</f>
        <v>4999.76</v>
      </c>
      <c r="W188" s="106">
        <f t="shared" ref="W188:W192" si="2203">+BM188+DC188+ES188</f>
        <v>4999.76</v>
      </c>
      <c r="X188" s="106">
        <f t="shared" ref="X188:X192" si="2204">+BN188+DD188+ET188</f>
        <v>4999.76</v>
      </c>
      <c r="Y188" s="106">
        <f t="shared" ref="Y188:Y192" si="2205">+BO188+DE188+EU188</f>
        <v>0</v>
      </c>
      <c r="Z188" s="106">
        <f t="shared" ref="Z188:Z192" si="2206">+BP188+DF188+EV188</f>
        <v>0</v>
      </c>
      <c r="AA188" s="106">
        <f t="shared" ref="AA188:AA192" si="2207">+SUM(O188:Z188)</f>
        <v>49997.600000000013</v>
      </c>
      <c r="AB188" s="118">
        <f t="shared" si="1854"/>
        <v>0</v>
      </c>
      <c r="AC188" s="106">
        <f t="shared" ref="AC188:AC192" si="2208">+BS188+DI188+EY188</f>
        <v>4999.76</v>
      </c>
      <c r="AD188" s="106">
        <f t="shared" ref="AD188:AD192" si="2209">+BT188+DJ188+EZ188</f>
        <v>4999.76</v>
      </c>
      <c r="AE188" s="106">
        <f t="shared" ref="AE188:AE192" si="2210">+BU188+DK188+FA188</f>
        <v>4999.76</v>
      </c>
      <c r="AF188" s="106">
        <f t="shared" ref="AF188:AF192" si="2211">+BV188+DL188+FB188</f>
        <v>4999.76</v>
      </c>
      <c r="AG188" s="106">
        <f t="shared" ref="AG188:AG192" si="2212">+BW188+DM188+FC188</f>
        <v>4999.76</v>
      </c>
      <c r="AH188" s="106">
        <f t="shared" ref="AH188:AH192" si="2213">+BX188+DN188+FD188</f>
        <v>4999.76</v>
      </c>
      <c r="AI188" s="106">
        <f t="shared" ref="AI188:AI192" si="2214">+BY188+DO188+FE188</f>
        <v>4999.76</v>
      </c>
      <c r="AJ188" s="106">
        <f t="shared" ref="AJ188:AJ192" si="2215">+BZ188+DP188+FF188</f>
        <v>4999.76</v>
      </c>
      <c r="AK188" s="106">
        <f t="shared" ref="AK188:AK192" si="2216">+CA188+DQ188+FG188</f>
        <v>4999.76</v>
      </c>
      <c r="AL188" s="106">
        <f t="shared" ref="AL188:AL192" si="2217">+CB188+DR188+FH188</f>
        <v>4999.76</v>
      </c>
      <c r="AM188" s="106">
        <f t="shared" ref="AM188:AM192" si="2218">+CC188+DS188+FI188</f>
        <v>4999.76</v>
      </c>
      <c r="AN188" s="106">
        <f t="shared" ref="AN188:AN192" si="2219">+CD188+DT188+FJ188</f>
        <v>4999.76</v>
      </c>
      <c r="AO188" s="106">
        <f t="shared" ref="AO188:AO192" si="2220">+SUM(AC188:AN188)</f>
        <v>59997.120000000017</v>
      </c>
      <c r="AQ188" s="106">
        <v>2499.9999999999964</v>
      </c>
      <c r="AR188" s="106">
        <v>2499.9999999999964</v>
      </c>
      <c r="AS188" s="106">
        <v>2499.9999999999964</v>
      </c>
      <c r="AT188" s="106">
        <v>2499.9999999999964</v>
      </c>
      <c r="AU188" s="106">
        <v>2499.9999999999964</v>
      </c>
      <c r="AV188" s="106">
        <v>2499.9999999999964</v>
      </c>
      <c r="AW188" s="106">
        <v>2499.9999999999964</v>
      </c>
      <c r="AX188" s="106">
        <v>2499.9996000000006</v>
      </c>
      <c r="AY188" s="106">
        <v>0</v>
      </c>
      <c r="AZ188" s="106">
        <v>2499.9999999999964</v>
      </c>
      <c r="BA188" s="106">
        <v>2499.9996000000006</v>
      </c>
      <c r="BB188" s="106">
        <v>0</v>
      </c>
      <c r="BC188" s="106">
        <f t="shared" ref="BC188:BC192" si="2221">+SUM(AQ188:BB188)</f>
        <v>24999.999199999969</v>
      </c>
      <c r="BD188" s="16" t="str">
        <f t="shared" si="1410"/>
        <v>Audit Fees</v>
      </c>
      <c r="BE188" s="106">
        <f>+VLOOKUP($BD188,'Jan-25'!$A:$J,5,0)</f>
        <v>2499.84</v>
      </c>
      <c r="BF188" s="106">
        <f>+VLOOKUP($BD188,'Feb-25'!$A:$J,5,0)</f>
        <v>2499.84</v>
      </c>
      <c r="BG188" s="106">
        <f>+VLOOKUP($BD188,'Mar-25'!$A:$J,5,0)</f>
        <v>2499.84</v>
      </c>
      <c r="BH188" s="106">
        <f>+VLOOKUP($BD188,'Apr-25'!$A:$J,5,0)</f>
        <v>2499.84</v>
      </c>
      <c r="BI188" s="106">
        <f>+VLOOKUP($BD188,'May-25'!$A:$J,5,0)</f>
        <v>2499.84</v>
      </c>
      <c r="BJ188" s="106">
        <f>+VLOOKUP($BD188,'June-25'!$A:$J,5,0)</f>
        <v>2499.84</v>
      </c>
      <c r="BK188" s="106">
        <f>+VLOOKUP($BD188,'July-25'!$A:$J,5,0)</f>
        <v>2499.84</v>
      </c>
      <c r="BL188" s="106">
        <f>+VLOOKUP($BD188,'Aug-25'!$A:$J,5,0)</f>
        <v>2499.84</v>
      </c>
      <c r="BM188" s="106">
        <f>+VLOOKUP($BD188,'Sep-25'!$A:$J,5,0)</f>
        <v>2499.84</v>
      </c>
      <c r="BN188" s="106">
        <f>+VLOOKUP($BD188,'Oct-25'!$A:$J,5,0)</f>
        <v>2499.84</v>
      </c>
      <c r="BO188" s="106">
        <f>+VLOOKUP($BD188,'Nov-25'!$A:$J,5,0)</f>
        <v>0</v>
      </c>
      <c r="BP188" s="106">
        <f>+VLOOKUP($BD188,'Dec-25'!$A:$J,5,0)</f>
        <v>0</v>
      </c>
      <c r="BQ188" s="106">
        <f t="shared" ref="BQ188:BQ192" si="2222">+SUM(BE188:BP188)</f>
        <v>24998.400000000001</v>
      </c>
      <c r="BR188" s="118">
        <f t="shared" si="1870"/>
        <v>0</v>
      </c>
      <c r="BS188" s="106">
        <f>+_xlfn.XLOOKUP($BD188,Budget!$A:$A,Budget!BD:BD)</f>
        <v>2499.84</v>
      </c>
      <c r="BT188" s="106">
        <f>+_xlfn.XLOOKUP($BD188,Budget!$A:$A,Budget!BE:BE)</f>
        <v>2499.84</v>
      </c>
      <c r="BU188" s="106">
        <f>+_xlfn.XLOOKUP($BD188,Budget!$A:$A,Budget!BF:BF)</f>
        <v>2499.84</v>
      </c>
      <c r="BV188" s="106">
        <f>+_xlfn.XLOOKUP($BD188,Budget!$A:$A,Budget!BG:BG)</f>
        <v>2499.84</v>
      </c>
      <c r="BW188" s="106">
        <f>+_xlfn.XLOOKUP($BD188,Budget!$A:$A,Budget!BH:BH)</f>
        <v>2499.84</v>
      </c>
      <c r="BX188" s="106">
        <f>+_xlfn.XLOOKUP($BD188,Budget!$A:$A,Budget!BI:BI)</f>
        <v>2499.84</v>
      </c>
      <c r="BY188" s="106">
        <f>+_xlfn.XLOOKUP($BD188,Budget!$A:$A,Budget!BJ:BJ)</f>
        <v>2499.84</v>
      </c>
      <c r="BZ188" s="106">
        <f>+_xlfn.XLOOKUP($BD188,Budget!$A:$A,Budget!BK:BK)</f>
        <v>2499.84</v>
      </c>
      <c r="CA188" s="106">
        <f>+_xlfn.XLOOKUP($BD188,Budget!$A:$A,Budget!BL:BL)</f>
        <v>2499.84</v>
      </c>
      <c r="CB188" s="106">
        <f>+_xlfn.XLOOKUP($BD188,Budget!$A:$A,Budget!BM:BM)</f>
        <v>2499.84</v>
      </c>
      <c r="CC188" s="106">
        <f>+_xlfn.XLOOKUP($BD188,Budget!$A:$A,Budget!BN:BN)</f>
        <v>2499.84</v>
      </c>
      <c r="CD188" s="106">
        <f>+_xlfn.XLOOKUP($BD188,Budget!$A:$A,Budget!BO:BO)</f>
        <v>2499.84</v>
      </c>
      <c r="CE188" s="106">
        <f t="shared" ref="CE188:CE192" si="2223">+SUM(BS188:CD188)</f>
        <v>29998.080000000002</v>
      </c>
      <c r="CF188" s="106"/>
      <c r="CG188" s="106">
        <v>1249.9999999999982</v>
      </c>
      <c r="CH188" s="106">
        <v>1249.9999999999982</v>
      </c>
      <c r="CI188" s="106">
        <v>1249.9999999999982</v>
      </c>
      <c r="CJ188" s="106">
        <v>1249.9999999999982</v>
      </c>
      <c r="CK188" s="106">
        <v>1249.9999999999982</v>
      </c>
      <c r="CL188" s="106">
        <v>1249.9999999999982</v>
      </c>
      <c r="CM188" s="106">
        <v>1249.9999999999982</v>
      </c>
      <c r="CN188" s="106">
        <v>1249.9998000000003</v>
      </c>
      <c r="CO188" s="106">
        <v>0</v>
      </c>
      <c r="CP188" s="106">
        <v>1249.9999999999982</v>
      </c>
      <c r="CQ188" s="106">
        <v>1249.9998000000003</v>
      </c>
      <c r="CR188" s="106">
        <v>0</v>
      </c>
      <c r="CS188" s="106">
        <f t="shared" ref="CS188:CS192" si="2224">+SUM(CG188:CR188)</f>
        <v>12499.999599999985</v>
      </c>
      <c r="CT188" s="16" t="str">
        <f t="shared" si="1411"/>
        <v>Audit Fees</v>
      </c>
      <c r="CU188" s="106">
        <f>+VLOOKUP($BD188,'Jan-25'!$A:$J,8,0)</f>
        <v>1249.92</v>
      </c>
      <c r="CV188" s="106">
        <f>+VLOOKUP($BD188,'Feb-25'!$A:$J,8,0)</f>
        <v>1249.92</v>
      </c>
      <c r="CW188" s="106">
        <f>+VLOOKUP($BD188,'Mar-25'!$A:$J,8,0)</f>
        <v>1249.92</v>
      </c>
      <c r="CX188" s="106">
        <f>+VLOOKUP($BD188,'Apr-25'!$A:$J,8,0)</f>
        <v>1249.92</v>
      </c>
      <c r="CY188" s="106">
        <f>+VLOOKUP($BD188,'May-25'!$A:$J,8,0)</f>
        <v>1249.92</v>
      </c>
      <c r="CZ188" s="106">
        <f>+VLOOKUP($BD188,'June-25'!$A:$J,8,0)</f>
        <v>1249.92</v>
      </c>
      <c r="DA188" s="106">
        <f>+VLOOKUP($BD188,'July-25'!$A:$J,8,0)</f>
        <v>1249.92</v>
      </c>
      <c r="DB188" s="106">
        <f>+VLOOKUP($BD188,'Aug-25'!$A:$J,8,0)</f>
        <v>1249.92</v>
      </c>
      <c r="DC188" s="106">
        <f>+VLOOKUP($BD188,'Sep-25'!$A:$J,8,0)</f>
        <v>1249.92</v>
      </c>
      <c r="DD188" s="106">
        <f>+VLOOKUP($BD188,'Oct-25'!$A:$J,8,0)</f>
        <v>1249.92</v>
      </c>
      <c r="DE188" s="106">
        <f>+VLOOKUP($BD188,'Nov-25'!$A:$J,8,0)</f>
        <v>0</v>
      </c>
      <c r="DF188" s="106">
        <f>+VLOOKUP($BD188,'Dec-25'!$A:$J,8,0)</f>
        <v>0</v>
      </c>
      <c r="DG188" s="106">
        <f t="shared" ref="DG188:DG192" si="2225">+SUM(CU188:DF188)</f>
        <v>12499.2</v>
      </c>
      <c r="DH188" s="118">
        <f t="shared" si="1874"/>
        <v>0</v>
      </c>
      <c r="DI188" s="106">
        <f>+_xlfn.XLOOKUP($CT188,Budget!$A:$A,Budget!CQ:CQ)</f>
        <v>1249.92</v>
      </c>
      <c r="DJ188" s="106">
        <f>+_xlfn.XLOOKUP($CT188,Budget!$A:$A,Budget!CR:CR)</f>
        <v>1249.92</v>
      </c>
      <c r="DK188" s="106">
        <f>+_xlfn.XLOOKUP($CT188,Budget!$A:$A,Budget!CS:CS)</f>
        <v>1249.92</v>
      </c>
      <c r="DL188" s="106">
        <f>+_xlfn.XLOOKUP($CT188,Budget!$A:$A,Budget!CT:CT)</f>
        <v>1249.92</v>
      </c>
      <c r="DM188" s="106">
        <f>+_xlfn.XLOOKUP($CT188,Budget!$A:$A,Budget!CU:CU)</f>
        <v>1249.92</v>
      </c>
      <c r="DN188" s="106">
        <f>+_xlfn.XLOOKUP($CT188,Budget!$A:$A,Budget!CV:CV)</f>
        <v>1249.92</v>
      </c>
      <c r="DO188" s="106">
        <f>+_xlfn.XLOOKUP($CT188,Budget!$A:$A,Budget!CW:CW)</f>
        <v>1249.92</v>
      </c>
      <c r="DP188" s="106">
        <f>+_xlfn.XLOOKUP($CT188,Budget!$A:$A,Budget!CX:CX)</f>
        <v>1249.92</v>
      </c>
      <c r="DQ188" s="106">
        <f>+_xlfn.XLOOKUP($CT188,Budget!$A:$A,Budget!CY:CY)</f>
        <v>1249.92</v>
      </c>
      <c r="DR188" s="106">
        <f>+_xlfn.XLOOKUP($CT188,Budget!$A:$A,Budget!CZ:CZ)</f>
        <v>1249.92</v>
      </c>
      <c r="DS188" s="106">
        <f>+_xlfn.XLOOKUP($CT188,Budget!$A:$A,Budget!DA:DA)</f>
        <v>1249.92</v>
      </c>
      <c r="DT188" s="106">
        <f>+_xlfn.XLOOKUP($CT188,Budget!$A:$A,Budget!DB:DB)</f>
        <v>1249.92</v>
      </c>
      <c r="DU188" s="106">
        <f t="shared" ref="DU188:DU192" si="2226">+SUM(DI188:DT188)</f>
        <v>14999.04</v>
      </c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106">
        <f t="shared" ref="EI188:EI192" si="2227">+SUM(DW188:EH188)</f>
        <v>0</v>
      </c>
      <c r="EJ188" s="16" t="str">
        <f t="shared" si="1555"/>
        <v>Audit Fees</v>
      </c>
      <c r="EK188" s="22">
        <f>+VLOOKUP($BD188,'Jan-25'!$A:$J,10,0)</f>
        <v>1250</v>
      </c>
      <c r="EL188" s="22">
        <f>+VLOOKUP($BD188,'Feb-25'!$A:$J,10,0)</f>
        <v>1250</v>
      </c>
      <c r="EM188" s="22">
        <f>+VLOOKUP($BD188,'Mar-25'!$A:$J,10,0)</f>
        <v>1250</v>
      </c>
      <c r="EN188" s="22">
        <f>+VLOOKUP($BD188,'Apr-25'!$A:$J,10,0)</f>
        <v>1250</v>
      </c>
      <c r="EO188" s="22">
        <f>+VLOOKUP($BD188,'May-25'!$A:$J,10,0)</f>
        <v>1250</v>
      </c>
      <c r="EP188" s="22">
        <f>+VLOOKUP($BD188,'June-25'!$A:$J,10,0)</f>
        <v>1250</v>
      </c>
      <c r="EQ188" s="22">
        <f>+VLOOKUP($BD188,'July-25'!$A:$J,10,0)</f>
        <v>1250</v>
      </c>
      <c r="ER188" s="22">
        <f>+VLOOKUP($BD188,'Aug-25'!$A:$J,10,0)</f>
        <v>1250</v>
      </c>
      <c r="ES188" s="22">
        <f>+VLOOKUP($BD188,'Sep-25'!$A:$J,10,0)</f>
        <v>1250</v>
      </c>
      <c r="ET188" s="22">
        <f>+VLOOKUP($BD188,'Oct-25'!$A:$J,10,0)</f>
        <v>1250</v>
      </c>
      <c r="EU188" s="22">
        <f>+VLOOKUP($BD188,'Nov-25'!$A:$J,10,0)</f>
        <v>0</v>
      </c>
      <c r="EV188" s="22">
        <f>+VLOOKUP($BD188,'Dec-25'!$A:$J,10,0)</f>
        <v>0</v>
      </c>
      <c r="EW188" s="22">
        <f t="shared" ref="EW188:EW192" si="2228">+SUM(EK188:EV188)</f>
        <v>12500</v>
      </c>
      <c r="EX188" s="118">
        <f t="shared" si="1878"/>
        <v>0</v>
      </c>
      <c r="EY188" s="106">
        <f>+_xlfn.XLOOKUP($EJ188,Budget!$A:$A,Budget!DR:DR)</f>
        <v>1250</v>
      </c>
      <c r="EZ188" s="106">
        <f>+_xlfn.XLOOKUP($EJ188,Budget!$A:$A,Budget!DS:DS)</f>
        <v>1250</v>
      </c>
      <c r="FA188" s="106">
        <f>+_xlfn.XLOOKUP($EJ188,Budget!$A:$A,Budget!DT:DT)</f>
        <v>1250</v>
      </c>
      <c r="FB188" s="106">
        <f>+_xlfn.XLOOKUP($EJ188,Budget!$A:$A,Budget!DU:DU)</f>
        <v>1250</v>
      </c>
      <c r="FC188" s="106">
        <f>+_xlfn.XLOOKUP($EJ188,Budget!$A:$A,Budget!DV:DV)</f>
        <v>1250</v>
      </c>
      <c r="FD188" s="106">
        <f>+_xlfn.XLOOKUP($EJ188,Budget!$A:$A,Budget!DW:DW)</f>
        <v>1250</v>
      </c>
      <c r="FE188" s="106">
        <f>+_xlfn.XLOOKUP($EJ188,Budget!$A:$A,Budget!DX:DX)</f>
        <v>1250</v>
      </c>
      <c r="FF188" s="106">
        <f>+_xlfn.XLOOKUP($EJ188,Budget!$A:$A,Budget!DY:DY)</f>
        <v>1250</v>
      </c>
      <c r="FG188" s="106">
        <f>+_xlfn.XLOOKUP($EJ188,Budget!$A:$A,Budget!DZ:DZ)</f>
        <v>1250</v>
      </c>
      <c r="FH188" s="106">
        <f>+_xlfn.XLOOKUP($EJ188,Budget!$A:$A,Budget!EA:EA)</f>
        <v>1250</v>
      </c>
      <c r="FI188" s="106">
        <f>+_xlfn.XLOOKUP($EJ188,Budget!$A:$A,Budget!EB:EB)</f>
        <v>1250</v>
      </c>
      <c r="FJ188" s="106">
        <f>+_xlfn.XLOOKUP($EJ188,Budget!$A:$A,Budget!EC:EC)</f>
        <v>1250</v>
      </c>
      <c r="FK188" s="106">
        <f t="shared" ref="FK188:FK192" si="2229">+SUM(EY188:FJ188)</f>
        <v>15000</v>
      </c>
    </row>
    <row r="189" spans="1:167" ht="14.45" hidden="1" customHeight="1" outlineLevel="2">
      <c r="A189" s="106">
        <f t="shared" si="2193"/>
        <v>4770</v>
      </c>
      <c r="B189" s="106">
        <f t="shared" si="2193"/>
        <v>4770</v>
      </c>
      <c r="C189" s="106">
        <f t="shared" si="2193"/>
        <v>4770</v>
      </c>
      <c r="D189" s="106">
        <f t="shared" si="2193"/>
        <v>4770</v>
      </c>
      <c r="E189" s="106">
        <f t="shared" si="2193"/>
        <v>4770</v>
      </c>
      <c r="F189" s="106">
        <f t="shared" si="2193"/>
        <v>4770</v>
      </c>
      <c r="G189" s="106">
        <f t="shared" si="2193"/>
        <v>4770</v>
      </c>
      <c r="H189" s="106">
        <f t="shared" si="2193"/>
        <v>2700</v>
      </c>
      <c r="I189" s="106">
        <f t="shared" si="2193"/>
        <v>2700</v>
      </c>
      <c r="J189" s="106">
        <f t="shared" si="2193"/>
        <v>2700</v>
      </c>
      <c r="K189" s="106">
        <f t="shared" si="2193"/>
        <v>2700</v>
      </c>
      <c r="L189" s="106">
        <f t="shared" si="2193"/>
        <v>2700</v>
      </c>
      <c r="M189" s="106">
        <f t="shared" si="2194"/>
        <v>46890</v>
      </c>
      <c r="N189" s="16" t="s">
        <v>158</v>
      </c>
      <c r="O189" s="106">
        <f t="shared" si="2195"/>
        <v>2700</v>
      </c>
      <c r="P189" s="106">
        <f t="shared" si="2196"/>
        <v>0</v>
      </c>
      <c r="Q189" s="106">
        <f t="shared" si="2197"/>
        <v>0</v>
      </c>
      <c r="R189" s="106">
        <f t="shared" si="2198"/>
        <v>0</v>
      </c>
      <c r="S189" s="106">
        <f t="shared" si="2199"/>
        <v>2700</v>
      </c>
      <c r="T189" s="106">
        <f t="shared" si="2200"/>
        <v>0</v>
      </c>
      <c r="U189" s="106">
        <f t="shared" si="2201"/>
        <v>2700</v>
      </c>
      <c r="V189" s="106">
        <f t="shared" si="2202"/>
        <v>0</v>
      </c>
      <c r="W189" s="106">
        <f t="shared" si="2203"/>
        <v>0</v>
      </c>
      <c r="X189" s="106">
        <f t="shared" si="2204"/>
        <v>0</v>
      </c>
      <c r="Y189" s="106">
        <f t="shared" si="2205"/>
        <v>0</v>
      </c>
      <c r="Z189" s="106">
        <f t="shared" si="2206"/>
        <v>0</v>
      </c>
      <c r="AA189" s="106">
        <f t="shared" si="2207"/>
        <v>8100</v>
      </c>
      <c r="AB189" s="118">
        <f t="shared" si="1854"/>
        <v>-1</v>
      </c>
      <c r="AC189" s="106">
        <f t="shared" si="2208"/>
        <v>4770</v>
      </c>
      <c r="AD189" s="106">
        <f t="shared" si="2209"/>
        <v>4770</v>
      </c>
      <c r="AE189" s="106">
        <f t="shared" si="2210"/>
        <v>4770</v>
      </c>
      <c r="AF189" s="106">
        <f t="shared" si="2211"/>
        <v>4770</v>
      </c>
      <c r="AG189" s="106">
        <f t="shared" si="2212"/>
        <v>4770</v>
      </c>
      <c r="AH189" s="106">
        <f t="shared" si="2213"/>
        <v>4770</v>
      </c>
      <c r="AI189" s="106">
        <f t="shared" si="2214"/>
        <v>4770</v>
      </c>
      <c r="AJ189" s="106">
        <f t="shared" si="2215"/>
        <v>4770</v>
      </c>
      <c r="AK189" s="106">
        <f t="shared" si="2216"/>
        <v>4770</v>
      </c>
      <c r="AL189" s="106">
        <f t="shared" si="2217"/>
        <v>4770</v>
      </c>
      <c r="AM189" s="106">
        <f t="shared" si="2218"/>
        <v>4770</v>
      </c>
      <c r="AN189" s="106">
        <f t="shared" si="2219"/>
        <v>4770</v>
      </c>
      <c r="AO189" s="106">
        <f t="shared" si="2220"/>
        <v>57240</v>
      </c>
      <c r="AQ189" s="106">
        <v>3180</v>
      </c>
      <c r="AR189" s="106">
        <v>3180</v>
      </c>
      <c r="AS189" s="106">
        <v>3180</v>
      </c>
      <c r="AT189" s="106">
        <v>3180</v>
      </c>
      <c r="AU189" s="106">
        <v>3180</v>
      </c>
      <c r="AV189" s="106">
        <v>3180</v>
      </c>
      <c r="AW189" s="106">
        <v>3180</v>
      </c>
      <c r="AX189" s="106">
        <v>1800</v>
      </c>
      <c r="AY189" s="106">
        <v>1800</v>
      </c>
      <c r="AZ189" s="106">
        <v>1800</v>
      </c>
      <c r="BA189" s="106">
        <v>1800</v>
      </c>
      <c r="BB189" s="106">
        <v>1800</v>
      </c>
      <c r="BC189" s="106">
        <f t="shared" si="2221"/>
        <v>31260</v>
      </c>
      <c r="BD189" s="16" t="str">
        <f t="shared" si="1410"/>
        <v>Consultancy Fees</v>
      </c>
      <c r="BE189" s="106">
        <f>+VLOOKUP($BD189,'Jan-25'!$A:$J,5,0)</f>
        <v>1800</v>
      </c>
      <c r="BF189" s="106">
        <f>+VLOOKUP($BD189,'Feb-25'!$A:$J,5,0)</f>
        <v>0</v>
      </c>
      <c r="BG189" s="106">
        <f>+VLOOKUP($BD189,'Mar-25'!$A:$J,5,0)</f>
        <v>0</v>
      </c>
      <c r="BH189" s="106">
        <f>+VLOOKUP($BD189,'Apr-25'!$A:$J,5,0)</f>
        <v>0</v>
      </c>
      <c r="BI189" s="106">
        <f>+VLOOKUP($BD189,'May-25'!$A:$J,5,0)</f>
        <v>1800</v>
      </c>
      <c r="BJ189" s="106">
        <f>+VLOOKUP($BD189,'June-25'!$A:$J,5,0)</f>
        <v>0</v>
      </c>
      <c r="BK189" s="106">
        <f>+VLOOKUP($BD189,'July-25'!$A:$J,5,0)</f>
        <v>1800</v>
      </c>
      <c r="BL189" s="106">
        <f>+VLOOKUP($BD189,'Aug-25'!$A:$J,5,0)</f>
        <v>0</v>
      </c>
      <c r="BM189" s="106">
        <f>+VLOOKUP($BD189,'Sep-25'!$A:$J,5,0)</f>
        <v>0</v>
      </c>
      <c r="BN189" s="106">
        <f>+VLOOKUP($BD189,'Oct-25'!$A:$J,5,0)</f>
        <v>0</v>
      </c>
      <c r="BO189" s="106">
        <f>+VLOOKUP($BD189,'Nov-25'!$A:$J,5,0)</f>
        <v>0</v>
      </c>
      <c r="BP189" s="106">
        <f>+VLOOKUP($BD189,'Dec-25'!$A:$J,5,0)</f>
        <v>0</v>
      </c>
      <c r="BQ189" s="106">
        <f t="shared" si="2222"/>
        <v>5400</v>
      </c>
      <c r="BR189" s="118">
        <f t="shared" si="1870"/>
        <v>-1</v>
      </c>
      <c r="BS189" s="106">
        <f>+_xlfn.XLOOKUP($BD189,Budget!$A:$A,Budget!BD:BD)</f>
        <v>3180</v>
      </c>
      <c r="BT189" s="106">
        <f>+_xlfn.XLOOKUP($BD189,Budget!$A:$A,Budget!BE:BE)</f>
        <v>3180</v>
      </c>
      <c r="BU189" s="106">
        <f>+_xlfn.XLOOKUP($BD189,Budget!$A:$A,Budget!BF:BF)</f>
        <v>3180</v>
      </c>
      <c r="BV189" s="106">
        <f>+_xlfn.XLOOKUP($BD189,Budget!$A:$A,Budget!BG:BG)</f>
        <v>3180</v>
      </c>
      <c r="BW189" s="106">
        <f>+_xlfn.XLOOKUP($BD189,Budget!$A:$A,Budget!BH:BH)</f>
        <v>3180</v>
      </c>
      <c r="BX189" s="106">
        <f>+_xlfn.XLOOKUP($BD189,Budget!$A:$A,Budget!BI:BI)</f>
        <v>3180</v>
      </c>
      <c r="BY189" s="106">
        <f>+_xlfn.XLOOKUP($BD189,Budget!$A:$A,Budget!BJ:BJ)</f>
        <v>3180</v>
      </c>
      <c r="BZ189" s="106">
        <f>+_xlfn.XLOOKUP($BD189,Budget!$A:$A,Budget!BK:BK)</f>
        <v>3180</v>
      </c>
      <c r="CA189" s="106">
        <f>+_xlfn.XLOOKUP($BD189,Budget!$A:$A,Budget!BL:BL)</f>
        <v>3180</v>
      </c>
      <c r="CB189" s="106">
        <f>+_xlfn.XLOOKUP($BD189,Budget!$A:$A,Budget!BM:BM)</f>
        <v>3180</v>
      </c>
      <c r="CC189" s="106">
        <f>+_xlfn.XLOOKUP($BD189,Budget!$A:$A,Budget!BN:BN)</f>
        <v>3180</v>
      </c>
      <c r="CD189" s="106">
        <f>+_xlfn.XLOOKUP($BD189,Budget!$A:$A,Budget!BO:BO)</f>
        <v>3180</v>
      </c>
      <c r="CE189" s="106">
        <f t="shared" si="2223"/>
        <v>38160</v>
      </c>
      <c r="CF189" s="106"/>
      <c r="CG189" s="106">
        <v>1590</v>
      </c>
      <c r="CH189" s="106">
        <v>1590</v>
      </c>
      <c r="CI189" s="106">
        <v>1590</v>
      </c>
      <c r="CJ189" s="106">
        <v>1590</v>
      </c>
      <c r="CK189" s="106">
        <v>1590</v>
      </c>
      <c r="CL189" s="106">
        <v>1590</v>
      </c>
      <c r="CM189" s="106">
        <v>1590</v>
      </c>
      <c r="CN189" s="106">
        <v>900</v>
      </c>
      <c r="CO189" s="106">
        <v>900</v>
      </c>
      <c r="CP189" s="106">
        <v>900</v>
      </c>
      <c r="CQ189" s="106">
        <v>900</v>
      </c>
      <c r="CR189" s="106">
        <v>900</v>
      </c>
      <c r="CS189" s="106">
        <f t="shared" si="2224"/>
        <v>15630</v>
      </c>
      <c r="CT189" s="16" t="str">
        <f t="shared" si="1411"/>
        <v>Consultancy Fees</v>
      </c>
      <c r="CU189" s="106">
        <f>+VLOOKUP($BD189,'Jan-25'!$A:$J,8,0)</f>
        <v>900</v>
      </c>
      <c r="CV189" s="106">
        <f>+VLOOKUP($BD189,'Feb-25'!$A:$J,8,0)</f>
        <v>0</v>
      </c>
      <c r="CW189" s="106">
        <f>+VLOOKUP($BD189,'Mar-25'!$A:$J,8,0)</f>
        <v>0</v>
      </c>
      <c r="CX189" s="106">
        <f>+VLOOKUP($BD189,'Apr-25'!$A:$J,8,0)</f>
        <v>0</v>
      </c>
      <c r="CY189" s="106">
        <f>+VLOOKUP($BD189,'May-25'!$A:$J,8,0)</f>
        <v>900</v>
      </c>
      <c r="CZ189" s="106">
        <f>+VLOOKUP($BD189,'June-25'!$A:$J,8,0)</f>
        <v>0</v>
      </c>
      <c r="DA189" s="106">
        <f>+VLOOKUP($BD189,'July-25'!$A:$J,8,0)</f>
        <v>900</v>
      </c>
      <c r="DB189" s="106">
        <f>+VLOOKUP($BD189,'Aug-25'!$A:$J,8,0)</f>
        <v>0</v>
      </c>
      <c r="DC189" s="106">
        <f>+VLOOKUP($BD189,'Sep-25'!$A:$J,8,0)</f>
        <v>0</v>
      </c>
      <c r="DD189" s="106">
        <f>+VLOOKUP($BD189,'Oct-25'!$A:$J,8,0)</f>
        <v>0</v>
      </c>
      <c r="DE189" s="106">
        <f>+VLOOKUP($BD189,'Nov-25'!$A:$J,8,0)</f>
        <v>0</v>
      </c>
      <c r="DF189" s="106">
        <f>+VLOOKUP($BD189,'Dec-25'!$A:$J,8,0)</f>
        <v>0</v>
      </c>
      <c r="DG189" s="106">
        <f t="shared" si="2225"/>
        <v>2700</v>
      </c>
      <c r="DH189" s="118">
        <f t="shared" si="1874"/>
        <v>-1</v>
      </c>
      <c r="DI189" s="106">
        <f>+_xlfn.XLOOKUP($CT189,Budget!$A:$A,Budget!CQ:CQ)</f>
        <v>1590</v>
      </c>
      <c r="DJ189" s="106">
        <f>+_xlfn.XLOOKUP($CT189,Budget!$A:$A,Budget!CR:CR)</f>
        <v>1590</v>
      </c>
      <c r="DK189" s="106">
        <f>+_xlfn.XLOOKUP($CT189,Budget!$A:$A,Budget!CS:CS)</f>
        <v>1590</v>
      </c>
      <c r="DL189" s="106">
        <f>+_xlfn.XLOOKUP($CT189,Budget!$A:$A,Budget!CT:CT)</f>
        <v>1590</v>
      </c>
      <c r="DM189" s="106">
        <f>+_xlfn.XLOOKUP($CT189,Budget!$A:$A,Budget!CU:CU)</f>
        <v>1590</v>
      </c>
      <c r="DN189" s="106">
        <f>+_xlfn.XLOOKUP($CT189,Budget!$A:$A,Budget!CV:CV)</f>
        <v>1590</v>
      </c>
      <c r="DO189" s="106">
        <f>+_xlfn.XLOOKUP($CT189,Budget!$A:$A,Budget!CW:CW)</f>
        <v>1590</v>
      </c>
      <c r="DP189" s="106">
        <f>+_xlfn.XLOOKUP($CT189,Budget!$A:$A,Budget!CX:CX)</f>
        <v>1590</v>
      </c>
      <c r="DQ189" s="106">
        <f>+_xlfn.XLOOKUP($CT189,Budget!$A:$A,Budget!CY:CY)</f>
        <v>1590</v>
      </c>
      <c r="DR189" s="106">
        <f>+_xlfn.XLOOKUP($CT189,Budget!$A:$A,Budget!CZ:CZ)</f>
        <v>1590</v>
      </c>
      <c r="DS189" s="106">
        <f>+_xlfn.XLOOKUP($CT189,Budget!$A:$A,Budget!DA:DA)</f>
        <v>1590</v>
      </c>
      <c r="DT189" s="106">
        <f>+_xlfn.XLOOKUP($CT189,Budget!$A:$A,Budget!DB:DB)</f>
        <v>1590</v>
      </c>
      <c r="DU189" s="106">
        <f t="shared" si="2226"/>
        <v>19080</v>
      </c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106">
        <f t="shared" si="2227"/>
        <v>0</v>
      </c>
      <c r="EJ189" s="16" t="str">
        <f t="shared" si="1555"/>
        <v>Consultancy Fees</v>
      </c>
      <c r="EK189" s="22">
        <f>+VLOOKUP($BD189,'Jan-25'!$A:$J,10,0)</f>
        <v>0</v>
      </c>
      <c r="EL189" s="22">
        <f>+VLOOKUP($BD189,'Feb-25'!$A:$J,10,0)</f>
        <v>0</v>
      </c>
      <c r="EM189" s="22">
        <f>+VLOOKUP($BD189,'Mar-25'!$A:$J,10,0)</f>
        <v>0</v>
      </c>
      <c r="EN189" s="22">
        <f>+VLOOKUP($BD189,'Apr-25'!$A:$J,10,0)</f>
        <v>0</v>
      </c>
      <c r="EO189" s="22">
        <f>+VLOOKUP($BD189,'May-25'!$A:$J,10,0)</f>
        <v>0</v>
      </c>
      <c r="EP189" s="22">
        <f>+VLOOKUP($BD189,'June-25'!$A:$J,10,0)</f>
        <v>0</v>
      </c>
      <c r="EQ189" s="22">
        <f>+VLOOKUP($BD189,'July-25'!$A:$J,10,0)</f>
        <v>0</v>
      </c>
      <c r="ER189" s="22">
        <f>+VLOOKUP($BD189,'Aug-25'!$A:$J,10,0)</f>
        <v>0</v>
      </c>
      <c r="ES189" s="22">
        <f>+VLOOKUP($BD189,'Sep-25'!$A:$J,10,0)</f>
        <v>0</v>
      </c>
      <c r="ET189" s="22">
        <f>+VLOOKUP($BD189,'Oct-25'!$A:$J,10,0)</f>
        <v>0</v>
      </c>
      <c r="EU189" s="22">
        <f>+VLOOKUP($BD189,'Nov-25'!$A:$J,10,0)</f>
        <v>0</v>
      </c>
      <c r="EV189" s="22">
        <f>+VLOOKUP($BD189,'Dec-25'!$A:$J,10,0)</f>
        <v>0</v>
      </c>
      <c r="EW189" s="22">
        <f t="shared" si="2228"/>
        <v>0</v>
      </c>
      <c r="EX189" s="118" t="e">
        <f t="shared" si="1878"/>
        <v>#DIV/0!</v>
      </c>
      <c r="EY189" s="106">
        <f>+_xlfn.XLOOKUP($EJ189,Budget!$A:$A,Budget!DR:DR)</f>
        <v>0</v>
      </c>
      <c r="EZ189" s="106">
        <f>+_xlfn.XLOOKUP($EJ189,Budget!$A:$A,Budget!DS:DS)</f>
        <v>0</v>
      </c>
      <c r="FA189" s="106">
        <f>+_xlfn.XLOOKUP($EJ189,Budget!$A:$A,Budget!DT:DT)</f>
        <v>0</v>
      </c>
      <c r="FB189" s="106">
        <f>+_xlfn.XLOOKUP($EJ189,Budget!$A:$A,Budget!DU:DU)</f>
        <v>0</v>
      </c>
      <c r="FC189" s="106">
        <f>+_xlfn.XLOOKUP($EJ189,Budget!$A:$A,Budget!DV:DV)</f>
        <v>0</v>
      </c>
      <c r="FD189" s="106">
        <f>+_xlfn.XLOOKUP($EJ189,Budget!$A:$A,Budget!DW:DW)</f>
        <v>0</v>
      </c>
      <c r="FE189" s="106">
        <f>+_xlfn.XLOOKUP($EJ189,Budget!$A:$A,Budget!DX:DX)</f>
        <v>0</v>
      </c>
      <c r="FF189" s="106">
        <f>+_xlfn.XLOOKUP($EJ189,Budget!$A:$A,Budget!DY:DY)</f>
        <v>0</v>
      </c>
      <c r="FG189" s="106">
        <f>+_xlfn.XLOOKUP($EJ189,Budget!$A:$A,Budget!DZ:DZ)</f>
        <v>0</v>
      </c>
      <c r="FH189" s="106">
        <f>+_xlfn.XLOOKUP($EJ189,Budget!$A:$A,Budget!EA:EA)</f>
        <v>0</v>
      </c>
      <c r="FI189" s="106">
        <f>+_xlfn.XLOOKUP($EJ189,Budget!$A:$A,Budget!EB:EB)</f>
        <v>0</v>
      </c>
      <c r="FJ189" s="106">
        <f>+_xlfn.XLOOKUP($EJ189,Budget!$A:$A,Budget!EC:EC)</f>
        <v>0</v>
      </c>
      <c r="FK189" s="106">
        <f t="shared" si="2229"/>
        <v>0</v>
      </c>
    </row>
    <row r="190" spans="1:167" ht="14.45" hidden="1" customHeight="1" outlineLevel="2">
      <c r="A190" s="106">
        <f t="shared" si="2193"/>
        <v>0</v>
      </c>
      <c r="B190" s="106">
        <f t="shared" si="2193"/>
        <v>0</v>
      </c>
      <c r="C190" s="106">
        <f t="shared" si="2193"/>
        <v>0</v>
      </c>
      <c r="D190" s="106">
        <f t="shared" si="2193"/>
        <v>0</v>
      </c>
      <c r="E190" s="106">
        <f t="shared" si="2193"/>
        <v>0</v>
      </c>
      <c r="F190" s="106">
        <f t="shared" si="2193"/>
        <v>0</v>
      </c>
      <c r="G190" s="106">
        <f t="shared" si="2193"/>
        <v>0</v>
      </c>
      <c r="H190" s="106">
        <f t="shared" si="2193"/>
        <v>0</v>
      </c>
      <c r="I190" s="106">
        <f t="shared" si="2193"/>
        <v>0</v>
      </c>
      <c r="J190" s="106">
        <f t="shared" si="2193"/>
        <v>0</v>
      </c>
      <c r="K190" s="106">
        <f t="shared" si="2193"/>
        <v>0</v>
      </c>
      <c r="L190" s="106">
        <f t="shared" si="2193"/>
        <v>0</v>
      </c>
      <c r="M190" s="106">
        <f t="shared" si="2194"/>
        <v>0</v>
      </c>
      <c r="N190" s="16" t="s">
        <v>159</v>
      </c>
      <c r="O190" s="106">
        <f t="shared" si="2195"/>
        <v>0</v>
      </c>
      <c r="P190" s="106">
        <f t="shared" si="2196"/>
        <v>0</v>
      </c>
      <c r="Q190" s="106">
        <f t="shared" si="2197"/>
        <v>0</v>
      </c>
      <c r="R190" s="106">
        <f t="shared" si="2198"/>
        <v>0</v>
      </c>
      <c r="S190" s="106">
        <f t="shared" si="2199"/>
        <v>0</v>
      </c>
      <c r="T190" s="106">
        <f t="shared" si="2200"/>
        <v>0</v>
      </c>
      <c r="U190" s="106">
        <f t="shared" si="2201"/>
        <v>0</v>
      </c>
      <c r="V190" s="106">
        <f t="shared" si="2202"/>
        <v>0</v>
      </c>
      <c r="W190" s="106">
        <f t="shared" si="2203"/>
        <v>0</v>
      </c>
      <c r="X190" s="106">
        <f t="shared" si="2204"/>
        <v>0</v>
      </c>
      <c r="Y190" s="106">
        <f t="shared" si="2205"/>
        <v>0</v>
      </c>
      <c r="Z190" s="106">
        <f t="shared" si="2206"/>
        <v>0</v>
      </c>
      <c r="AA190" s="106">
        <f t="shared" si="2207"/>
        <v>0</v>
      </c>
      <c r="AB190" s="118">
        <f t="shared" si="1854"/>
        <v>-1</v>
      </c>
      <c r="AC190" s="106">
        <f t="shared" si="2208"/>
        <v>3000.06</v>
      </c>
      <c r="AD190" s="106">
        <f t="shared" si="2209"/>
        <v>3000.06</v>
      </c>
      <c r="AE190" s="106">
        <f t="shared" si="2210"/>
        <v>3000.06</v>
      </c>
      <c r="AF190" s="106">
        <f t="shared" si="2211"/>
        <v>3000.06</v>
      </c>
      <c r="AG190" s="106">
        <f t="shared" si="2212"/>
        <v>3000.06</v>
      </c>
      <c r="AH190" s="106">
        <f t="shared" si="2213"/>
        <v>3000.06</v>
      </c>
      <c r="AI190" s="106">
        <f t="shared" si="2214"/>
        <v>3000.06</v>
      </c>
      <c r="AJ190" s="106">
        <f t="shared" si="2215"/>
        <v>3000.06</v>
      </c>
      <c r="AK190" s="106">
        <f t="shared" si="2216"/>
        <v>3000.06</v>
      </c>
      <c r="AL190" s="106">
        <f t="shared" si="2217"/>
        <v>3000.06</v>
      </c>
      <c r="AM190" s="106">
        <f t="shared" si="2218"/>
        <v>3000.06</v>
      </c>
      <c r="AN190" s="106">
        <f t="shared" si="2219"/>
        <v>3000.06</v>
      </c>
      <c r="AO190" s="106">
        <f t="shared" si="2220"/>
        <v>36000.720000000001</v>
      </c>
      <c r="AQ190" s="106">
        <v>0</v>
      </c>
      <c r="AR190" s="106">
        <v>0</v>
      </c>
      <c r="AS190" s="106">
        <v>0</v>
      </c>
      <c r="AT190" s="106">
        <v>0</v>
      </c>
      <c r="AU190" s="106">
        <v>0</v>
      </c>
      <c r="AV190" s="106">
        <v>0</v>
      </c>
      <c r="AW190" s="106">
        <v>0</v>
      </c>
      <c r="AX190" s="106">
        <v>0</v>
      </c>
      <c r="AY190" s="106">
        <v>0</v>
      </c>
      <c r="AZ190" s="106">
        <v>0</v>
      </c>
      <c r="BA190" s="106">
        <v>0</v>
      </c>
      <c r="BB190" s="106">
        <v>0</v>
      </c>
      <c r="BC190" s="106">
        <f t="shared" si="2221"/>
        <v>0</v>
      </c>
      <c r="BD190" s="16" t="str">
        <f t="shared" ref="BD190:BD249" si="2230">N190</f>
        <v>Legal Fees</v>
      </c>
      <c r="BE190" s="106">
        <f>+VLOOKUP($BD190,'Jan-25'!$A:$J,5,0)</f>
        <v>0</v>
      </c>
      <c r="BF190" s="106">
        <f>+VLOOKUP($BD190,'Feb-25'!$A:$J,5,0)</f>
        <v>0</v>
      </c>
      <c r="BG190" s="106">
        <f>+VLOOKUP($BD190,'Mar-25'!$A:$J,5,0)</f>
        <v>0</v>
      </c>
      <c r="BH190" s="106">
        <f>+VLOOKUP($BD190,'Apr-25'!$A:$J,5,0)</f>
        <v>0</v>
      </c>
      <c r="BI190" s="106">
        <f>+VLOOKUP($BD190,'May-25'!$A:$J,5,0)</f>
        <v>0</v>
      </c>
      <c r="BJ190" s="106">
        <f>+VLOOKUP($BD190,'June-25'!$A:$J,5,0)</f>
        <v>0</v>
      </c>
      <c r="BK190" s="106">
        <f>+VLOOKUP($BD190,'July-25'!$A:$J,5,0)</f>
        <v>0</v>
      </c>
      <c r="BL190" s="106">
        <f>+VLOOKUP($BD190,'Aug-25'!$A:$J,5,0)</f>
        <v>0</v>
      </c>
      <c r="BM190" s="106">
        <f>+VLOOKUP($BD190,'Sep-25'!$A:$J,5,0)</f>
        <v>0</v>
      </c>
      <c r="BN190" s="106">
        <f>+VLOOKUP($BD190,'Oct-25'!$A:$J,5,0)</f>
        <v>0</v>
      </c>
      <c r="BO190" s="106">
        <f>+VLOOKUP($BD190,'Nov-25'!$A:$J,5,0)</f>
        <v>0</v>
      </c>
      <c r="BP190" s="106">
        <f>+VLOOKUP($BD190,'Dec-25'!$A:$J,5,0)</f>
        <v>0</v>
      </c>
      <c r="BQ190" s="106">
        <f t="shared" si="2222"/>
        <v>0</v>
      </c>
      <c r="BR190" s="118">
        <f t="shared" si="1870"/>
        <v>-1</v>
      </c>
      <c r="BS190" s="106">
        <f>+_xlfn.XLOOKUP($BD190,Budget!$A:$A,Budget!BD:BD)</f>
        <v>2000.04</v>
      </c>
      <c r="BT190" s="106">
        <f>+_xlfn.XLOOKUP($BD190,Budget!$A:$A,Budget!BE:BE)</f>
        <v>2000.04</v>
      </c>
      <c r="BU190" s="106">
        <f>+_xlfn.XLOOKUP($BD190,Budget!$A:$A,Budget!BF:BF)</f>
        <v>2000.04</v>
      </c>
      <c r="BV190" s="106">
        <f>+_xlfn.XLOOKUP($BD190,Budget!$A:$A,Budget!BG:BG)</f>
        <v>2000.04</v>
      </c>
      <c r="BW190" s="106">
        <f>+_xlfn.XLOOKUP($BD190,Budget!$A:$A,Budget!BH:BH)</f>
        <v>2000.04</v>
      </c>
      <c r="BX190" s="106">
        <f>+_xlfn.XLOOKUP($BD190,Budget!$A:$A,Budget!BI:BI)</f>
        <v>2000.04</v>
      </c>
      <c r="BY190" s="106">
        <f>+_xlfn.XLOOKUP($BD190,Budget!$A:$A,Budget!BJ:BJ)</f>
        <v>2000.04</v>
      </c>
      <c r="BZ190" s="106">
        <f>+_xlfn.XLOOKUP($BD190,Budget!$A:$A,Budget!BK:BK)</f>
        <v>2000.04</v>
      </c>
      <c r="CA190" s="106">
        <f>+_xlfn.XLOOKUP($BD190,Budget!$A:$A,Budget!BL:BL)</f>
        <v>2000.04</v>
      </c>
      <c r="CB190" s="106">
        <f>+_xlfn.XLOOKUP($BD190,Budget!$A:$A,Budget!BM:BM)</f>
        <v>2000.04</v>
      </c>
      <c r="CC190" s="106">
        <f>+_xlfn.XLOOKUP($BD190,Budget!$A:$A,Budget!BN:BN)</f>
        <v>2000.04</v>
      </c>
      <c r="CD190" s="106">
        <f>+_xlfn.XLOOKUP($BD190,Budget!$A:$A,Budget!BO:BO)</f>
        <v>2000.04</v>
      </c>
      <c r="CE190" s="106">
        <f t="shared" si="2223"/>
        <v>24000.480000000007</v>
      </c>
      <c r="CF190" s="106"/>
      <c r="CG190" s="106">
        <v>0</v>
      </c>
      <c r="CH190" s="106">
        <v>0</v>
      </c>
      <c r="CI190" s="106">
        <v>0</v>
      </c>
      <c r="CJ190" s="106">
        <v>0</v>
      </c>
      <c r="CK190" s="106">
        <v>0</v>
      </c>
      <c r="CL190" s="106">
        <v>0</v>
      </c>
      <c r="CM190" s="106">
        <v>0</v>
      </c>
      <c r="CN190" s="106">
        <v>0</v>
      </c>
      <c r="CO190" s="106">
        <v>0</v>
      </c>
      <c r="CP190" s="106">
        <v>0</v>
      </c>
      <c r="CQ190" s="106">
        <v>0</v>
      </c>
      <c r="CR190" s="106">
        <v>0</v>
      </c>
      <c r="CS190" s="106">
        <f t="shared" si="2224"/>
        <v>0</v>
      </c>
      <c r="CT190" s="16" t="str">
        <f t="shared" ref="CT190:CT249" si="2231">BD190</f>
        <v>Legal Fees</v>
      </c>
      <c r="CU190" s="106">
        <f>+VLOOKUP($BD190,'Jan-25'!$A:$J,8,0)</f>
        <v>0</v>
      </c>
      <c r="CV190" s="106">
        <f>+VLOOKUP($BD190,'Feb-25'!$A:$J,8,0)</f>
        <v>0</v>
      </c>
      <c r="CW190" s="106">
        <f>+VLOOKUP($BD190,'Mar-25'!$A:$J,8,0)</f>
        <v>0</v>
      </c>
      <c r="CX190" s="106">
        <f>+VLOOKUP($BD190,'Apr-25'!$A:$J,8,0)</f>
        <v>0</v>
      </c>
      <c r="CY190" s="106">
        <f>+VLOOKUP($BD190,'May-25'!$A:$J,8,0)</f>
        <v>0</v>
      </c>
      <c r="CZ190" s="106">
        <f>+VLOOKUP($BD190,'June-25'!$A:$J,8,0)</f>
        <v>0</v>
      </c>
      <c r="DA190" s="106">
        <f>+VLOOKUP($BD190,'July-25'!$A:$J,8,0)</f>
        <v>0</v>
      </c>
      <c r="DB190" s="106">
        <f>+VLOOKUP($BD190,'Aug-25'!$A:$J,8,0)</f>
        <v>0</v>
      </c>
      <c r="DC190" s="106">
        <f>+VLOOKUP($BD190,'Sep-25'!$A:$J,8,0)</f>
        <v>0</v>
      </c>
      <c r="DD190" s="106">
        <f>+VLOOKUP($BD190,'Oct-25'!$A:$J,8,0)</f>
        <v>0</v>
      </c>
      <c r="DE190" s="106">
        <f>+VLOOKUP($BD190,'Nov-25'!$A:$J,8,0)</f>
        <v>0</v>
      </c>
      <c r="DF190" s="106">
        <f>+VLOOKUP($BD190,'Dec-25'!$A:$J,8,0)</f>
        <v>0</v>
      </c>
      <c r="DG190" s="106">
        <f t="shared" si="2225"/>
        <v>0</v>
      </c>
      <c r="DH190" s="118">
        <f t="shared" si="1874"/>
        <v>-1</v>
      </c>
      <c r="DI190" s="106">
        <f>+_xlfn.XLOOKUP($CT190,Budget!$A:$A,Budget!CQ:CQ)</f>
        <v>1000.02</v>
      </c>
      <c r="DJ190" s="106">
        <f>+_xlfn.XLOOKUP($CT190,Budget!$A:$A,Budget!CR:CR)</f>
        <v>1000.02</v>
      </c>
      <c r="DK190" s="106">
        <f>+_xlfn.XLOOKUP($CT190,Budget!$A:$A,Budget!CS:CS)</f>
        <v>1000.02</v>
      </c>
      <c r="DL190" s="106">
        <f>+_xlfn.XLOOKUP($CT190,Budget!$A:$A,Budget!CT:CT)</f>
        <v>1000.02</v>
      </c>
      <c r="DM190" s="106">
        <f>+_xlfn.XLOOKUP($CT190,Budget!$A:$A,Budget!CU:CU)</f>
        <v>1000.02</v>
      </c>
      <c r="DN190" s="106">
        <f>+_xlfn.XLOOKUP($CT190,Budget!$A:$A,Budget!CV:CV)</f>
        <v>1000.02</v>
      </c>
      <c r="DO190" s="106">
        <f>+_xlfn.XLOOKUP($CT190,Budget!$A:$A,Budget!CW:CW)</f>
        <v>1000.02</v>
      </c>
      <c r="DP190" s="106">
        <f>+_xlfn.XLOOKUP($CT190,Budget!$A:$A,Budget!CX:CX)</f>
        <v>1000.02</v>
      </c>
      <c r="DQ190" s="106">
        <f>+_xlfn.XLOOKUP($CT190,Budget!$A:$A,Budget!CY:CY)</f>
        <v>1000.02</v>
      </c>
      <c r="DR190" s="106">
        <f>+_xlfn.XLOOKUP($CT190,Budget!$A:$A,Budget!CZ:CZ)</f>
        <v>1000.02</v>
      </c>
      <c r="DS190" s="106">
        <f>+_xlfn.XLOOKUP($CT190,Budget!$A:$A,Budget!DA:DA)</f>
        <v>1000.02</v>
      </c>
      <c r="DT190" s="106">
        <f>+_xlfn.XLOOKUP($CT190,Budget!$A:$A,Budget!DB:DB)</f>
        <v>1000.02</v>
      </c>
      <c r="DU190" s="106">
        <f t="shared" si="2226"/>
        <v>12000.240000000003</v>
      </c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106">
        <f t="shared" si="2227"/>
        <v>0</v>
      </c>
      <c r="EJ190" s="16" t="str">
        <f t="shared" si="1555"/>
        <v>Legal Fees</v>
      </c>
      <c r="EK190" s="22">
        <f>+VLOOKUP($BD190,'Jan-25'!$A:$J,10,0)</f>
        <v>0</v>
      </c>
      <c r="EL190" s="22">
        <f>+VLOOKUP($BD190,'Feb-25'!$A:$J,10,0)</f>
        <v>0</v>
      </c>
      <c r="EM190" s="22">
        <f>+VLOOKUP($BD190,'Mar-25'!$A:$J,10,0)</f>
        <v>0</v>
      </c>
      <c r="EN190" s="22">
        <f>+VLOOKUP($BD190,'Apr-25'!$A:$J,10,0)</f>
        <v>0</v>
      </c>
      <c r="EO190" s="22">
        <f>+VLOOKUP($BD190,'May-25'!$A:$J,10,0)</f>
        <v>0</v>
      </c>
      <c r="EP190" s="22">
        <f>+VLOOKUP($BD190,'June-25'!$A:$J,10,0)</f>
        <v>0</v>
      </c>
      <c r="EQ190" s="22">
        <f>+VLOOKUP($BD190,'July-25'!$A:$J,10,0)</f>
        <v>0</v>
      </c>
      <c r="ER190" s="22">
        <f>+VLOOKUP($BD190,'Aug-25'!$A:$J,10,0)</f>
        <v>0</v>
      </c>
      <c r="ES190" s="22">
        <f>+VLOOKUP($BD190,'Sep-25'!$A:$J,10,0)</f>
        <v>0</v>
      </c>
      <c r="ET190" s="22">
        <f>+VLOOKUP($BD190,'Oct-25'!$A:$J,10,0)</f>
        <v>0</v>
      </c>
      <c r="EU190" s="22">
        <f>+VLOOKUP($BD190,'Nov-25'!$A:$J,10,0)</f>
        <v>0</v>
      </c>
      <c r="EV190" s="22">
        <f>+VLOOKUP($BD190,'Dec-25'!$A:$J,10,0)</f>
        <v>0</v>
      </c>
      <c r="EW190" s="22">
        <f t="shared" si="2228"/>
        <v>0</v>
      </c>
      <c r="EX190" s="118" t="e">
        <f t="shared" si="1878"/>
        <v>#DIV/0!</v>
      </c>
      <c r="EY190" s="106">
        <f>+_xlfn.XLOOKUP($EJ190,Budget!$A:$A,Budget!DR:DR)</f>
        <v>0</v>
      </c>
      <c r="EZ190" s="106">
        <f>+_xlfn.XLOOKUP($EJ190,Budget!$A:$A,Budget!DS:DS)</f>
        <v>0</v>
      </c>
      <c r="FA190" s="106">
        <f>+_xlfn.XLOOKUP($EJ190,Budget!$A:$A,Budget!DT:DT)</f>
        <v>0</v>
      </c>
      <c r="FB190" s="106">
        <f>+_xlfn.XLOOKUP($EJ190,Budget!$A:$A,Budget!DU:DU)</f>
        <v>0</v>
      </c>
      <c r="FC190" s="106">
        <f>+_xlfn.XLOOKUP($EJ190,Budget!$A:$A,Budget!DV:DV)</f>
        <v>0</v>
      </c>
      <c r="FD190" s="106">
        <f>+_xlfn.XLOOKUP($EJ190,Budget!$A:$A,Budget!DW:DW)</f>
        <v>0</v>
      </c>
      <c r="FE190" s="106">
        <f>+_xlfn.XLOOKUP($EJ190,Budget!$A:$A,Budget!DX:DX)</f>
        <v>0</v>
      </c>
      <c r="FF190" s="106">
        <f>+_xlfn.XLOOKUP($EJ190,Budget!$A:$A,Budget!DY:DY)</f>
        <v>0</v>
      </c>
      <c r="FG190" s="106">
        <f>+_xlfn.XLOOKUP($EJ190,Budget!$A:$A,Budget!DZ:DZ)</f>
        <v>0</v>
      </c>
      <c r="FH190" s="106">
        <f>+_xlfn.XLOOKUP($EJ190,Budget!$A:$A,Budget!EA:EA)</f>
        <v>0</v>
      </c>
      <c r="FI190" s="106">
        <f>+_xlfn.XLOOKUP($EJ190,Budget!$A:$A,Budget!EB:EB)</f>
        <v>0</v>
      </c>
      <c r="FJ190" s="106">
        <f>+_xlfn.XLOOKUP($EJ190,Budget!$A:$A,Budget!EC:EC)</f>
        <v>0</v>
      </c>
      <c r="FK190" s="106">
        <f t="shared" si="2229"/>
        <v>0</v>
      </c>
    </row>
    <row r="191" spans="1:167" ht="14.45" hidden="1" customHeight="1" outlineLevel="2">
      <c r="A191" s="106">
        <f t="shared" si="2193"/>
        <v>1499.9999999999995</v>
      </c>
      <c r="B191" s="106">
        <f t="shared" si="2193"/>
        <v>1499.9993999999999</v>
      </c>
      <c r="C191" s="106">
        <f t="shared" si="2193"/>
        <v>1499.9993999999999</v>
      </c>
      <c r="D191" s="106">
        <f t="shared" si="2193"/>
        <v>1499.9993999999999</v>
      </c>
      <c r="E191" s="106">
        <f t="shared" si="2193"/>
        <v>1499.9993999999999</v>
      </c>
      <c r="F191" s="106">
        <f t="shared" si="2193"/>
        <v>1499.9993999999999</v>
      </c>
      <c r="G191" s="106">
        <f t="shared" si="2193"/>
        <v>1499.9993999999999</v>
      </c>
      <c r="H191" s="106">
        <f t="shared" si="2193"/>
        <v>1499.94</v>
      </c>
      <c r="I191" s="106">
        <f t="shared" si="2193"/>
        <v>1499.9399999999998</v>
      </c>
      <c r="J191" s="106">
        <f t="shared" si="2193"/>
        <v>1499.94</v>
      </c>
      <c r="K191" s="106">
        <f t="shared" si="2193"/>
        <v>1499.94</v>
      </c>
      <c r="L191" s="106">
        <f t="shared" si="2193"/>
        <v>1499.94</v>
      </c>
      <c r="M191" s="106">
        <f t="shared" si="2194"/>
        <v>17999.696400000001</v>
      </c>
      <c r="N191" s="16" t="s">
        <v>160</v>
      </c>
      <c r="O191" s="106">
        <f t="shared" si="2195"/>
        <v>1499.94</v>
      </c>
      <c r="P191" s="106">
        <f t="shared" si="2196"/>
        <v>1499.94</v>
      </c>
      <c r="Q191" s="106">
        <f t="shared" si="2197"/>
        <v>0</v>
      </c>
      <c r="R191" s="106">
        <f t="shared" si="2198"/>
        <v>0</v>
      </c>
      <c r="S191" s="106">
        <f t="shared" si="2199"/>
        <v>1499.94</v>
      </c>
      <c r="T191" s="106">
        <f t="shared" si="2200"/>
        <v>1499.94</v>
      </c>
      <c r="U191" s="106">
        <f t="shared" si="2201"/>
        <v>1499.94</v>
      </c>
      <c r="V191" s="106">
        <f t="shared" si="2202"/>
        <v>0</v>
      </c>
      <c r="W191" s="106">
        <f t="shared" si="2203"/>
        <v>0</v>
      </c>
      <c r="X191" s="106">
        <f t="shared" si="2204"/>
        <v>1499.94</v>
      </c>
      <c r="Y191" s="106">
        <f t="shared" si="2205"/>
        <v>0</v>
      </c>
      <c r="Z191" s="106">
        <f t="shared" si="2206"/>
        <v>0</v>
      </c>
      <c r="AA191" s="106">
        <f t="shared" si="2207"/>
        <v>8999.6400000000012</v>
      </c>
      <c r="AB191" s="118">
        <f t="shared" si="1854"/>
        <v>-0.50660193025045885</v>
      </c>
      <c r="AC191" s="106">
        <f t="shared" si="2208"/>
        <v>3040.02</v>
      </c>
      <c r="AD191" s="106">
        <f t="shared" si="2209"/>
        <v>3040.02</v>
      </c>
      <c r="AE191" s="106">
        <f t="shared" si="2210"/>
        <v>3040.02</v>
      </c>
      <c r="AF191" s="106">
        <f t="shared" si="2211"/>
        <v>3040.02</v>
      </c>
      <c r="AG191" s="106">
        <f t="shared" si="2212"/>
        <v>3040.02</v>
      </c>
      <c r="AH191" s="106">
        <f t="shared" si="2213"/>
        <v>3040.02</v>
      </c>
      <c r="AI191" s="106">
        <f t="shared" si="2214"/>
        <v>3040.02</v>
      </c>
      <c r="AJ191" s="106">
        <f t="shared" si="2215"/>
        <v>3040.02</v>
      </c>
      <c r="AK191" s="106">
        <f t="shared" si="2216"/>
        <v>3040.02</v>
      </c>
      <c r="AL191" s="106">
        <f t="shared" si="2217"/>
        <v>3040.02</v>
      </c>
      <c r="AM191" s="106">
        <f t="shared" si="2218"/>
        <v>3040.02</v>
      </c>
      <c r="AN191" s="106">
        <f t="shared" si="2219"/>
        <v>3040.02</v>
      </c>
      <c r="AO191" s="106">
        <f t="shared" si="2220"/>
        <v>36480.239999999998</v>
      </c>
      <c r="AQ191" s="106">
        <v>999.99999999999966</v>
      </c>
      <c r="AR191" s="106">
        <v>999.99959999999999</v>
      </c>
      <c r="AS191" s="106">
        <v>999.99959999999999</v>
      </c>
      <c r="AT191" s="106">
        <v>999.99959999999999</v>
      </c>
      <c r="AU191" s="106">
        <v>999.99959999999999</v>
      </c>
      <c r="AV191" s="106">
        <v>999.99959999999999</v>
      </c>
      <c r="AW191" s="106">
        <v>999.99959999999999</v>
      </c>
      <c r="AX191" s="106">
        <v>999.96</v>
      </c>
      <c r="AY191" s="106">
        <v>999.95999999999992</v>
      </c>
      <c r="AZ191" s="106">
        <v>999.96</v>
      </c>
      <c r="BA191" s="106">
        <v>999.96</v>
      </c>
      <c r="BB191" s="106">
        <v>999.96</v>
      </c>
      <c r="BC191" s="106">
        <f t="shared" si="2221"/>
        <v>11999.797599999998</v>
      </c>
      <c r="BD191" s="16" t="str">
        <f t="shared" si="2230"/>
        <v>Other Professional Fees</v>
      </c>
      <c r="BE191" s="106">
        <f>+VLOOKUP($BD191,'Jan-25'!$A:$J,5,0)</f>
        <v>999.96</v>
      </c>
      <c r="BF191" s="106">
        <f>+VLOOKUP($BD191,'Feb-25'!$A:$J,5,0)</f>
        <v>999.96</v>
      </c>
      <c r="BG191" s="106">
        <f>+VLOOKUP($BD191,'Mar-25'!$A:$J,5,0)</f>
        <v>0</v>
      </c>
      <c r="BH191" s="106">
        <f>+VLOOKUP($BD191,'Apr-25'!$A:$J,5,0)</f>
        <v>0</v>
      </c>
      <c r="BI191" s="106">
        <f>+VLOOKUP($BD191,'May-25'!$A:$J,5,0)</f>
        <v>999.96</v>
      </c>
      <c r="BJ191" s="106">
        <f>+VLOOKUP($BD191,'June-25'!$A:$J,5,0)</f>
        <v>999.96</v>
      </c>
      <c r="BK191" s="106">
        <f>+VLOOKUP($BD191,'July-25'!$A:$J,5,0)</f>
        <v>999.96</v>
      </c>
      <c r="BL191" s="106">
        <f>+VLOOKUP($BD191,'Aug-25'!$A:$J,5,0)</f>
        <v>0</v>
      </c>
      <c r="BM191" s="106">
        <f>+VLOOKUP($BD191,'Sep-25'!$A:$J,5,0)</f>
        <v>0</v>
      </c>
      <c r="BN191" s="106">
        <f>+VLOOKUP($BD191,'Oct-25'!$A:$J,5,0)</f>
        <v>999.96</v>
      </c>
      <c r="BO191" s="106">
        <f>+VLOOKUP($BD191,'Nov-25'!$A:$J,5,0)</f>
        <v>0</v>
      </c>
      <c r="BP191" s="106">
        <f>+VLOOKUP($BD191,'Dec-25'!$A:$J,5,0)</f>
        <v>0</v>
      </c>
      <c r="BQ191" s="106">
        <f t="shared" si="2222"/>
        <v>5999.76</v>
      </c>
      <c r="BR191" s="118">
        <f t="shared" si="1870"/>
        <v>-0.50660193025045885</v>
      </c>
      <c r="BS191" s="106">
        <f>+_xlfn.XLOOKUP($BD191,Budget!$A:$A,Budget!BD:BD)</f>
        <v>2026.68</v>
      </c>
      <c r="BT191" s="106">
        <f>+_xlfn.XLOOKUP($BD191,Budget!$A:$A,Budget!BE:BE)</f>
        <v>2026.68</v>
      </c>
      <c r="BU191" s="106">
        <f>+_xlfn.XLOOKUP($BD191,Budget!$A:$A,Budget!BF:BF)</f>
        <v>2026.68</v>
      </c>
      <c r="BV191" s="106">
        <f>+_xlfn.XLOOKUP($BD191,Budget!$A:$A,Budget!BG:BG)</f>
        <v>2026.68</v>
      </c>
      <c r="BW191" s="106">
        <f>+_xlfn.XLOOKUP($BD191,Budget!$A:$A,Budget!BH:BH)</f>
        <v>2026.68</v>
      </c>
      <c r="BX191" s="106">
        <f>+_xlfn.XLOOKUP($BD191,Budget!$A:$A,Budget!BI:BI)</f>
        <v>2026.68</v>
      </c>
      <c r="BY191" s="106">
        <f>+_xlfn.XLOOKUP($BD191,Budget!$A:$A,Budget!BJ:BJ)</f>
        <v>2026.68</v>
      </c>
      <c r="BZ191" s="106">
        <f>+_xlfn.XLOOKUP($BD191,Budget!$A:$A,Budget!BK:BK)</f>
        <v>2026.68</v>
      </c>
      <c r="CA191" s="106">
        <f>+_xlfn.XLOOKUP($BD191,Budget!$A:$A,Budget!BL:BL)</f>
        <v>2026.68</v>
      </c>
      <c r="CB191" s="106">
        <f>+_xlfn.XLOOKUP($BD191,Budget!$A:$A,Budget!BM:BM)</f>
        <v>2026.68</v>
      </c>
      <c r="CC191" s="106">
        <f>+_xlfn.XLOOKUP($BD191,Budget!$A:$A,Budget!BN:BN)</f>
        <v>2026.68</v>
      </c>
      <c r="CD191" s="106">
        <f>+_xlfn.XLOOKUP($BD191,Budget!$A:$A,Budget!BO:BO)</f>
        <v>2026.68</v>
      </c>
      <c r="CE191" s="106">
        <f t="shared" si="2223"/>
        <v>24320.16</v>
      </c>
      <c r="CF191" s="106"/>
      <c r="CG191" s="106">
        <v>499.99999999999983</v>
      </c>
      <c r="CH191" s="106">
        <v>499.99979999999999</v>
      </c>
      <c r="CI191" s="106">
        <v>499.99979999999999</v>
      </c>
      <c r="CJ191" s="106">
        <v>499.99979999999999</v>
      </c>
      <c r="CK191" s="106">
        <v>499.99979999999999</v>
      </c>
      <c r="CL191" s="106">
        <v>499.99979999999999</v>
      </c>
      <c r="CM191" s="106">
        <v>499.99979999999999</v>
      </c>
      <c r="CN191" s="106">
        <v>499.98</v>
      </c>
      <c r="CO191" s="106">
        <v>499.97999999999996</v>
      </c>
      <c r="CP191" s="106">
        <v>499.98</v>
      </c>
      <c r="CQ191" s="106">
        <v>499.98</v>
      </c>
      <c r="CR191" s="106">
        <v>499.98</v>
      </c>
      <c r="CS191" s="106">
        <f t="shared" si="2224"/>
        <v>5999.898799999999</v>
      </c>
      <c r="CT191" s="16" t="str">
        <f t="shared" si="2231"/>
        <v>Other Professional Fees</v>
      </c>
      <c r="CU191" s="106">
        <f>+VLOOKUP($BD191,'Jan-25'!$A:$J,8,0)</f>
        <v>499.98</v>
      </c>
      <c r="CV191" s="106">
        <f>+VLOOKUP($BD191,'Feb-25'!$A:$J,8,0)</f>
        <v>499.98</v>
      </c>
      <c r="CW191" s="106">
        <f>+VLOOKUP($BD191,'Mar-25'!$A:$J,8,0)</f>
        <v>0</v>
      </c>
      <c r="CX191" s="106">
        <f>+VLOOKUP($BD191,'Apr-25'!$A:$J,8,0)</f>
        <v>0</v>
      </c>
      <c r="CY191" s="106">
        <f>+VLOOKUP($BD191,'May-25'!$A:$J,8,0)</f>
        <v>499.98</v>
      </c>
      <c r="CZ191" s="106">
        <f>+VLOOKUP($BD191,'June-25'!$A:$J,8,0)</f>
        <v>499.98</v>
      </c>
      <c r="DA191" s="106">
        <f>+VLOOKUP($BD191,'July-25'!$A:$J,8,0)</f>
        <v>499.98</v>
      </c>
      <c r="DB191" s="106">
        <f>+VLOOKUP($BD191,'Aug-25'!$A:$J,8,0)</f>
        <v>0</v>
      </c>
      <c r="DC191" s="106">
        <f>+VLOOKUP($BD191,'Sep-25'!$A:$J,8,0)</f>
        <v>0</v>
      </c>
      <c r="DD191" s="106">
        <f>+VLOOKUP($BD191,'Oct-25'!$A:$J,8,0)</f>
        <v>499.98</v>
      </c>
      <c r="DE191" s="106">
        <f>+VLOOKUP($BD191,'Nov-25'!$A:$J,8,0)</f>
        <v>0</v>
      </c>
      <c r="DF191" s="106">
        <f>+VLOOKUP($BD191,'Dec-25'!$A:$J,8,0)</f>
        <v>0</v>
      </c>
      <c r="DG191" s="106">
        <f t="shared" si="2225"/>
        <v>2999.88</v>
      </c>
      <c r="DH191" s="118">
        <f t="shared" si="1874"/>
        <v>-0.50660193025045885</v>
      </c>
      <c r="DI191" s="106">
        <f>+_xlfn.XLOOKUP($CT191,Budget!$A:$A,Budget!CQ:CQ)</f>
        <v>1013.34</v>
      </c>
      <c r="DJ191" s="106">
        <f>+_xlfn.XLOOKUP($CT191,Budget!$A:$A,Budget!CR:CR)</f>
        <v>1013.34</v>
      </c>
      <c r="DK191" s="106">
        <f>+_xlfn.XLOOKUP($CT191,Budget!$A:$A,Budget!CS:CS)</f>
        <v>1013.34</v>
      </c>
      <c r="DL191" s="106">
        <f>+_xlfn.XLOOKUP($CT191,Budget!$A:$A,Budget!CT:CT)</f>
        <v>1013.34</v>
      </c>
      <c r="DM191" s="106">
        <f>+_xlfn.XLOOKUP($CT191,Budget!$A:$A,Budget!CU:CU)</f>
        <v>1013.34</v>
      </c>
      <c r="DN191" s="106">
        <f>+_xlfn.XLOOKUP($CT191,Budget!$A:$A,Budget!CV:CV)</f>
        <v>1013.34</v>
      </c>
      <c r="DO191" s="106">
        <f>+_xlfn.XLOOKUP($CT191,Budget!$A:$A,Budget!CW:CW)</f>
        <v>1013.34</v>
      </c>
      <c r="DP191" s="106">
        <f>+_xlfn.XLOOKUP($CT191,Budget!$A:$A,Budget!CX:CX)</f>
        <v>1013.34</v>
      </c>
      <c r="DQ191" s="106">
        <f>+_xlfn.XLOOKUP($CT191,Budget!$A:$A,Budget!CY:CY)</f>
        <v>1013.34</v>
      </c>
      <c r="DR191" s="106">
        <f>+_xlfn.XLOOKUP($CT191,Budget!$A:$A,Budget!CZ:CZ)</f>
        <v>1013.34</v>
      </c>
      <c r="DS191" s="106">
        <f>+_xlfn.XLOOKUP($CT191,Budget!$A:$A,Budget!DA:DA)</f>
        <v>1013.34</v>
      </c>
      <c r="DT191" s="106">
        <f>+_xlfn.XLOOKUP($CT191,Budget!$A:$A,Budget!DB:DB)</f>
        <v>1013.34</v>
      </c>
      <c r="DU191" s="106">
        <f t="shared" si="2226"/>
        <v>12160.08</v>
      </c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106">
        <f t="shared" si="2227"/>
        <v>0</v>
      </c>
      <c r="EJ191" s="16" t="str">
        <f t="shared" si="1555"/>
        <v>Other Professional Fees</v>
      </c>
      <c r="EK191" s="22">
        <f>+VLOOKUP($BD191,'Jan-25'!$A:$J,10,0)</f>
        <v>0</v>
      </c>
      <c r="EL191" s="22">
        <f>+VLOOKUP($BD191,'Feb-25'!$A:$J,10,0)</f>
        <v>0</v>
      </c>
      <c r="EM191" s="22">
        <f>+VLOOKUP($BD191,'Mar-25'!$A:$J,10,0)</f>
        <v>0</v>
      </c>
      <c r="EN191" s="22">
        <f>+VLOOKUP($BD191,'Apr-25'!$A:$J,10,0)</f>
        <v>0</v>
      </c>
      <c r="EO191" s="22">
        <f>+VLOOKUP($BD191,'May-25'!$A:$J,10,0)</f>
        <v>0</v>
      </c>
      <c r="EP191" s="22">
        <f>+VLOOKUP($BD191,'June-25'!$A:$J,10,0)</f>
        <v>0</v>
      </c>
      <c r="EQ191" s="22">
        <f>+VLOOKUP($BD191,'July-25'!$A:$J,10,0)</f>
        <v>0</v>
      </c>
      <c r="ER191" s="22">
        <f>+VLOOKUP($BD191,'Aug-25'!$A:$J,10,0)</f>
        <v>0</v>
      </c>
      <c r="ES191" s="22">
        <f>+VLOOKUP($BD191,'Sep-25'!$A:$J,10,0)</f>
        <v>0</v>
      </c>
      <c r="ET191" s="22">
        <f>+VLOOKUP($BD191,'Oct-25'!$A:$J,10,0)</f>
        <v>0</v>
      </c>
      <c r="EU191" s="22">
        <f>+VLOOKUP($BD191,'Nov-25'!$A:$J,10,0)</f>
        <v>0</v>
      </c>
      <c r="EV191" s="22">
        <f>+VLOOKUP($BD191,'Dec-25'!$A:$J,10,0)</f>
        <v>0</v>
      </c>
      <c r="EW191" s="22">
        <f t="shared" si="2228"/>
        <v>0</v>
      </c>
      <c r="EX191" s="118" t="e">
        <f t="shared" si="1878"/>
        <v>#DIV/0!</v>
      </c>
      <c r="EY191" s="106">
        <f>+_xlfn.XLOOKUP($EJ191,Budget!$A:$A,Budget!DR:DR)</f>
        <v>0</v>
      </c>
      <c r="EZ191" s="106">
        <f>+_xlfn.XLOOKUP($EJ191,Budget!$A:$A,Budget!DS:DS)</f>
        <v>0</v>
      </c>
      <c r="FA191" s="106">
        <f>+_xlfn.XLOOKUP($EJ191,Budget!$A:$A,Budget!DT:DT)</f>
        <v>0</v>
      </c>
      <c r="FB191" s="106">
        <f>+_xlfn.XLOOKUP($EJ191,Budget!$A:$A,Budget!DU:DU)</f>
        <v>0</v>
      </c>
      <c r="FC191" s="106">
        <f>+_xlfn.XLOOKUP($EJ191,Budget!$A:$A,Budget!DV:DV)</f>
        <v>0</v>
      </c>
      <c r="FD191" s="106">
        <f>+_xlfn.XLOOKUP($EJ191,Budget!$A:$A,Budget!DW:DW)</f>
        <v>0</v>
      </c>
      <c r="FE191" s="106">
        <f>+_xlfn.XLOOKUP($EJ191,Budget!$A:$A,Budget!DX:DX)</f>
        <v>0</v>
      </c>
      <c r="FF191" s="106">
        <f>+_xlfn.XLOOKUP($EJ191,Budget!$A:$A,Budget!DY:DY)</f>
        <v>0</v>
      </c>
      <c r="FG191" s="106">
        <f>+_xlfn.XLOOKUP($EJ191,Budget!$A:$A,Budget!DZ:DZ)</f>
        <v>0</v>
      </c>
      <c r="FH191" s="106">
        <f>+_xlfn.XLOOKUP($EJ191,Budget!$A:$A,Budget!EA:EA)</f>
        <v>0</v>
      </c>
      <c r="FI191" s="106">
        <f>+_xlfn.XLOOKUP($EJ191,Budget!$A:$A,Budget!EB:EB)</f>
        <v>0</v>
      </c>
      <c r="FJ191" s="106">
        <f>+_xlfn.XLOOKUP($EJ191,Budget!$A:$A,Budget!EC:EC)</f>
        <v>0</v>
      </c>
      <c r="FK191" s="106">
        <f t="shared" si="2229"/>
        <v>0</v>
      </c>
    </row>
    <row r="192" spans="1:167" ht="14.45" hidden="1" customHeight="1" outlineLevel="2">
      <c r="A192" s="106">
        <f t="shared" si="2193"/>
        <v>0</v>
      </c>
      <c r="B192" s="106">
        <f t="shared" si="2193"/>
        <v>0</v>
      </c>
      <c r="C192" s="106">
        <f t="shared" si="2193"/>
        <v>0</v>
      </c>
      <c r="D192" s="106">
        <f t="shared" si="2193"/>
        <v>0</v>
      </c>
      <c r="E192" s="106">
        <f t="shared" si="2193"/>
        <v>0</v>
      </c>
      <c r="F192" s="106">
        <f t="shared" si="2193"/>
        <v>0</v>
      </c>
      <c r="G192" s="106">
        <f t="shared" si="2193"/>
        <v>0</v>
      </c>
      <c r="H192" s="106">
        <f t="shared" si="2193"/>
        <v>0</v>
      </c>
      <c r="I192" s="106">
        <f t="shared" si="2193"/>
        <v>0</v>
      </c>
      <c r="J192" s="106">
        <f t="shared" si="2193"/>
        <v>0</v>
      </c>
      <c r="K192" s="106">
        <f t="shared" si="2193"/>
        <v>0</v>
      </c>
      <c r="L192" s="106">
        <f t="shared" si="2193"/>
        <v>0</v>
      </c>
      <c r="M192" s="106">
        <f t="shared" si="2194"/>
        <v>0</v>
      </c>
      <c r="N192" s="16" t="s">
        <v>161</v>
      </c>
      <c r="O192" s="106">
        <f t="shared" si="2195"/>
        <v>0</v>
      </c>
      <c r="P192" s="106">
        <f t="shared" si="2196"/>
        <v>0</v>
      </c>
      <c r="Q192" s="106">
        <f t="shared" si="2197"/>
        <v>0</v>
      </c>
      <c r="R192" s="106">
        <f t="shared" si="2198"/>
        <v>0</v>
      </c>
      <c r="S192" s="106">
        <f t="shared" si="2199"/>
        <v>0</v>
      </c>
      <c r="T192" s="106">
        <f t="shared" si="2200"/>
        <v>0</v>
      </c>
      <c r="U192" s="106">
        <f t="shared" si="2201"/>
        <v>0</v>
      </c>
      <c r="V192" s="106">
        <f t="shared" si="2202"/>
        <v>0</v>
      </c>
      <c r="W192" s="106">
        <f t="shared" si="2203"/>
        <v>0</v>
      </c>
      <c r="X192" s="106">
        <f t="shared" si="2204"/>
        <v>0</v>
      </c>
      <c r="Y192" s="106">
        <f t="shared" si="2205"/>
        <v>0</v>
      </c>
      <c r="Z192" s="106">
        <f t="shared" si="2206"/>
        <v>0</v>
      </c>
      <c r="AA192" s="106">
        <f t="shared" si="2207"/>
        <v>0</v>
      </c>
      <c r="AB192" s="118">
        <f t="shared" si="1854"/>
        <v>0</v>
      </c>
      <c r="AC192" s="106">
        <f t="shared" si="2208"/>
        <v>0</v>
      </c>
      <c r="AD192" s="106">
        <f t="shared" si="2209"/>
        <v>0</v>
      </c>
      <c r="AE192" s="106">
        <f t="shared" si="2210"/>
        <v>0</v>
      </c>
      <c r="AF192" s="106">
        <f t="shared" si="2211"/>
        <v>0</v>
      </c>
      <c r="AG192" s="106">
        <f t="shared" si="2212"/>
        <v>0</v>
      </c>
      <c r="AH192" s="106">
        <f t="shared" si="2213"/>
        <v>0</v>
      </c>
      <c r="AI192" s="106">
        <f t="shared" si="2214"/>
        <v>0</v>
      </c>
      <c r="AJ192" s="106">
        <f t="shared" si="2215"/>
        <v>0</v>
      </c>
      <c r="AK192" s="106">
        <f t="shared" si="2216"/>
        <v>0</v>
      </c>
      <c r="AL192" s="106">
        <f t="shared" si="2217"/>
        <v>0</v>
      </c>
      <c r="AM192" s="106">
        <f t="shared" si="2218"/>
        <v>0</v>
      </c>
      <c r="AN192" s="106">
        <f t="shared" si="2219"/>
        <v>0</v>
      </c>
      <c r="AO192" s="106">
        <f t="shared" si="2220"/>
        <v>0</v>
      </c>
      <c r="AQ192" s="106">
        <v>0</v>
      </c>
      <c r="AR192" s="106">
        <v>0</v>
      </c>
      <c r="AS192" s="106">
        <v>0</v>
      </c>
      <c r="AT192" s="106">
        <v>0</v>
      </c>
      <c r="AU192" s="106">
        <v>0</v>
      </c>
      <c r="AV192" s="106">
        <v>0</v>
      </c>
      <c r="AW192" s="106">
        <v>0</v>
      </c>
      <c r="AX192" s="106">
        <v>0</v>
      </c>
      <c r="AY192" s="106">
        <v>0</v>
      </c>
      <c r="AZ192" s="106">
        <v>0</v>
      </c>
      <c r="BA192" s="106">
        <v>0</v>
      </c>
      <c r="BB192" s="106">
        <v>0</v>
      </c>
      <c r="BC192" s="106">
        <f t="shared" si="2221"/>
        <v>0</v>
      </c>
      <c r="BD192" s="16" t="str">
        <f t="shared" si="2230"/>
        <v>Professional Fee - Trainer</v>
      </c>
      <c r="BE192" s="106">
        <f>+VLOOKUP($BD192,'Jan-25'!$A:$J,5,0)</f>
        <v>0</v>
      </c>
      <c r="BF192" s="106">
        <f>+VLOOKUP($BD192,'Feb-25'!$A:$J,5,0)</f>
        <v>0</v>
      </c>
      <c r="BG192" s="106">
        <f>+VLOOKUP($BD192,'Mar-25'!$A:$J,5,0)</f>
        <v>0</v>
      </c>
      <c r="BH192" s="106">
        <f>+VLOOKUP($BD192,'Apr-25'!$A:$J,5,0)</f>
        <v>0</v>
      </c>
      <c r="BI192" s="106">
        <f>+VLOOKUP($BD192,'May-25'!$A:$J,5,0)</f>
        <v>0</v>
      </c>
      <c r="BJ192" s="106">
        <f>+VLOOKUP($BD192,'June-25'!$A:$J,5,0)</f>
        <v>0</v>
      </c>
      <c r="BK192" s="106">
        <f>+VLOOKUP($BD192,'July-25'!$A:$J,5,0)</f>
        <v>0</v>
      </c>
      <c r="BL192" s="106">
        <f>+VLOOKUP($BD192,'Aug-25'!$A:$J,5,0)</f>
        <v>0</v>
      </c>
      <c r="BM192" s="106">
        <f>+VLOOKUP($BD192,'Sep-25'!$A:$J,5,0)</f>
        <v>0</v>
      </c>
      <c r="BN192" s="106">
        <f>+VLOOKUP($BD192,'Oct-25'!$A:$J,5,0)</f>
        <v>0</v>
      </c>
      <c r="BO192" s="106">
        <f>+VLOOKUP($BD192,'Nov-25'!$A:$J,5,0)</f>
        <v>0</v>
      </c>
      <c r="BP192" s="106">
        <f>+VLOOKUP($BD192,'Dec-25'!$A:$J,5,0)</f>
        <v>0</v>
      </c>
      <c r="BQ192" s="106">
        <f t="shared" si="2222"/>
        <v>0</v>
      </c>
      <c r="BR192" s="118">
        <f t="shared" si="1870"/>
        <v>0</v>
      </c>
      <c r="BS192" s="106">
        <f>+_xlfn.XLOOKUP($BD192,Budget!$A:$A,Budget!BD:BD)</f>
        <v>0</v>
      </c>
      <c r="BT192" s="106">
        <f>+_xlfn.XLOOKUP($BD192,Budget!$A:$A,Budget!BE:BE)</f>
        <v>0</v>
      </c>
      <c r="BU192" s="106">
        <f>+_xlfn.XLOOKUP($BD192,Budget!$A:$A,Budget!BF:BF)</f>
        <v>0</v>
      </c>
      <c r="BV192" s="106">
        <f>+_xlfn.XLOOKUP($BD192,Budget!$A:$A,Budget!BG:BG)</f>
        <v>0</v>
      </c>
      <c r="BW192" s="106">
        <f>+_xlfn.XLOOKUP($BD192,Budget!$A:$A,Budget!BH:BH)</f>
        <v>0</v>
      </c>
      <c r="BX192" s="106">
        <f>+_xlfn.XLOOKUP($BD192,Budget!$A:$A,Budget!BI:BI)</f>
        <v>0</v>
      </c>
      <c r="BY192" s="106">
        <f>+_xlfn.XLOOKUP($BD192,Budget!$A:$A,Budget!BJ:BJ)</f>
        <v>0</v>
      </c>
      <c r="BZ192" s="106">
        <f>+_xlfn.XLOOKUP($BD192,Budget!$A:$A,Budget!BK:BK)</f>
        <v>0</v>
      </c>
      <c r="CA192" s="106">
        <f>+_xlfn.XLOOKUP($BD192,Budget!$A:$A,Budget!BL:BL)</f>
        <v>0</v>
      </c>
      <c r="CB192" s="106">
        <f>+_xlfn.XLOOKUP($BD192,Budget!$A:$A,Budget!BM:BM)</f>
        <v>0</v>
      </c>
      <c r="CC192" s="106">
        <f>+_xlfn.XLOOKUP($BD192,Budget!$A:$A,Budget!BN:BN)</f>
        <v>0</v>
      </c>
      <c r="CD192" s="106">
        <f>+_xlfn.XLOOKUP($BD192,Budget!$A:$A,Budget!BO:BO)</f>
        <v>0</v>
      </c>
      <c r="CE192" s="106">
        <f t="shared" si="2223"/>
        <v>0</v>
      </c>
      <c r="CF192" s="106"/>
      <c r="CG192" s="106">
        <v>0</v>
      </c>
      <c r="CH192" s="106">
        <v>0</v>
      </c>
      <c r="CI192" s="106">
        <v>0</v>
      </c>
      <c r="CJ192" s="106">
        <v>0</v>
      </c>
      <c r="CK192" s="106">
        <v>0</v>
      </c>
      <c r="CL192" s="106">
        <v>0</v>
      </c>
      <c r="CM192" s="106">
        <v>0</v>
      </c>
      <c r="CN192" s="106">
        <v>0</v>
      </c>
      <c r="CO192" s="106">
        <v>0</v>
      </c>
      <c r="CP192" s="106">
        <v>0</v>
      </c>
      <c r="CQ192" s="106">
        <v>0</v>
      </c>
      <c r="CR192" s="106">
        <v>0</v>
      </c>
      <c r="CS192" s="106">
        <f t="shared" si="2224"/>
        <v>0</v>
      </c>
      <c r="CT192" s="16" t="str">
        <f t="shared" si="2231"/>
        <v>Professional Fee - Trainer</v>
      </c>
      <c r="CU192" s="106">
        <f>+VLOOKUP($BD192,'Jan-25'!$A:$J,8,0)</f>
        <v>0</v>
      </c>
      <c r="CV192" s="106">
        <f>+VLOOKUP($BD192,'Feb-25'!$A:$J,8,0)</f>
        <v>0</v>
      </c>
      <c r="CW192" s="106">
        <f>+VLOOKUP($BD192,'Mar-25'!$A:$J,8,0)</f>
        <v>0</v>
      </c>
      <c r="CX192" s="106">
        <f>+VLOOKUP($BD192,'Apr-25'!$A:$J,8,0)</f>
        <v>0</v>
      </c>
      <c r="CY192" s="106">
        <f>+VLOOKUP($BD192,'May-25'!$A:$J,8,0)</f>
        <v>0</v>
      </c>
      <c r="CZ192" s="106">
        <f>+VLOOKUP($BD192,'June-25'!$A:$J,8,0)</f>
        <v>0</v>
      </c>
      <c r="DA192" s="106">
        <f>+VLOOKUP($BD192,'July-25'!$A:$J,8,0)</f>
        <v>0</v>
      </c>
      <c r="DB192" s="106">
        <f>+VLOOKUP($BD192,'Aug-25'!$A:$J,8,0)</f>
        <v>0</v>
      </c>
      <c r="DC192" s="106">
        <f>+VLOOKUP($BD192,'Sep-25'!$A:$J,8,0)</f>
        <v>0</v>
      </c>
      <c r="DD192" s="106">
        <f>+VLOOKUP($BD192,'Oct-25'!$A:$J,8,0)</f>
        <v>0</v>
      </c>
      <c r="DE192" s="106">
        <f>+VLOOKUP($BD192,'Nov-25'!$A:$J,8,0)</f>
        <v>0</v>
      </c>
      <c r="DF192" s="106">
        <f>+VLOOKUP($BD192,'Dec-25'!$A:$J,8,0)</f>
        <v>0</v>
      </c>
      <c r="DG192" s="106">
        <f t="shared" si="2225"/>
        <v>0</v>
      </c>
      <c r="DH192" s="118">
        <f t="shared" si="1874"/>
        <v>0</v>
      </c>
      <c r="DI192" s="106">
        <f>+_xlfn.XLOOKUP($CT192,Budget!$A:$A,Budget!CQ:CQ)</f>
        <v>0</v>
      </c>
      <c r="DJ192" s="106">
        <f>+_xlfn.XLOOKUP($CT192,Budget!$A:$A,Budget!CR:CR)</f>
        <v>0</v>
      </c>
      <c r="DK192" s="106">
        <f>+_xlfn.XLOOKUP($CT192,Budget!$A:$A,Budget!CS:CS)</f>
        <v>0</v>
      </c>
      <c r="DL192" s="106">
        <f>+_xlfn.XLOOKUP($CT192,Budget!$A:$A,Budget!CT:CT)</f>
        <v>0</v>
      </c>
      <c r="DM192" s="106">
        <f>+_xlfn.XLOOKUP($CT192,Budget!$A:$A,Budget!CU:CU)</f>
        <v>0</v>
      </c>
      <c r="DN192" s="106">
        <f>+_xlfn.XLOOKUP($CT192,Budget!$A:$A,Budget!CV:CV)</f>
        <v>0</v>
      </c>
      <c r="DO192" s="106">
        <f>+_xlfn.XLOOKUP($CT192,Budget!$A:$A,Budget!CW:CW)</f>
        <v>0</v>
      </c>
      <c r="DP192" s="106">
        <f>+_xlfn.XLOOKUP($CT192,Budget!$A:$A,Budget!CX:CX)</f>
        <v>0</v>
      </c>
      <c r="DQ192" s="106">
        <f>+_xlfn.XLOOKUP($CT192,Budget!$A:$A,Budget!CY:CY)</f>
        <v>0</v>
      </c>
      <c r="DR192" s="106">
        <f>+_xlfn.XLOOKUP($CT192,Budget!$A:$A,Budget!CZ:CZ)</f>
        <v>0</v>
      </c>
      <c r="DS192" s="106">
        <f>+_xlfn.XLOOKUP($CT192,Budget!$A:$A,Budget!DA:DA)</f>
        <v>0</v>
      </c>
      <c r="DT192" s="106">
        <f>+_xlfn.XLOOKUP($CT192,Budget!$A:$A,Budget!DB:DB)</f>
        <v>0</v>
      </c>
      <c r="DU192" s="106">
        <f t="shared" si="2226"/>
        <v>0</v>
      </c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106">
        <f t="shared" si="2227"/>
        <v>0</v>
      </c>
      <c r="EJ192" s="16" t="str">
        <f t="shared" si="1555"/>
        <v>Professional Fee - Trainer</v>
      </c>
      <c r="EK192" s="22">
        <f>+VLOOKUP($BD192,'Jan-25'!$A:$J,10,0)</f>
        <v>0</v>
      </c>
      <c r="EL192" s="22">
        <f>+VLOOKUP($BD192,'Feb-25'!$A:$J,10,0)</f>
        <v>0</v>
      </c>
      <c r="EM192" s="22">
        <f>+VLOOKUP($BD192,'Mar-25'!$A:$J,10,0)</f>
        <v>0</v>
      </c>
      <c r="EN192" s="22">
        <f>+VLOOKUP($BD192,'Apr-25'!$A:$J,10,0)</f>
        <v>0</v>
      </c>
      <c r="EO192" s="22">
        <f>+VLOOKUP($BD192,'May-25'!$A:$J,10,0)</f>
        <v>0</v>
      </c>
      <c r="EP192" s="22">
        <f>+VLOOKUP($BD192,'June-25'!$A:$J,10,0)</f>
        <v>0</v>
      </c>
      <c r="EQ192" s="22">
        <f>+VLOOKUP($BD192,'July-25'!$A:$J,10,0)</f>
        <v>0</v>
      </c>
      <c r="ER192" s="22">
        <f>+VLOOKUP($BD192,'Aug-25'!$A:$J,10,0)</f>
        <v>0</v>
      </c>
      <c r="ES192" s="22">
        <f>+VLOOKUP($BD192,'Sep-25'!$A:$J,10,0)</f>
        <v>0</v>
      </c>
      <c r="ET192" s="22">
        <f>+VLOOKUP($BD192,'Oct-25'!$A:$J,10,0)</f>
        <v>0</v>
      </c>
      <c r="EU192" s="22">
        <f>+VLOOKUP($BD192,'Nov-25'!$A:$J,10,0)</f>
        <v>0</v>
      </c>
      <c r="EV192" s="22">
        <f>+VLOOKUP($BD192,'Dec-25'!$A:$J,10,0)</f>
        <v>0</v>
      </c>
      <c r="EW192" s="22">
        <f t="shared" si="2228"/>
        <v>0</v>
      </c>
      <c r="EX192" s="118" t="e">
        <f t="shared" si="1878"/>
        <v>#DIV/0!</v>
      </c>
      <c r="EY192" s="106">
        <f>+_xlfn.XLOOKUP($EJ192,Budget!$A:$A,Budget!DR:DR)</f>
        <v>0</v>
      </c>
      <c r="EZ192" s="106">
        <f>+_xlfn.XLOOKUP($EJ192,Budget!$A:$A,Budget!DS:DS)</f>
        <v>0</v>
      </c>
      <c r="FA192" s="106">
        <f>+_xlfn.XLOOKUP($EJ192,Budget!$A:$A,Budget!DT:DT)</f>
        <v>0</v>
      </c>
      <c r="FB192" s="106">
        <f>+_xlfn.XLOOKUP($EJ192,Budget!$A:$A,Budget!DU:DU)</f>
        <v>0</v>
      </c>
      <c r="FC192" s="106">
        <f>+_xlfn.XLOOKUP($EJ192,Budget!$A:$A,Budget!DV:DV)</f>
        <v>0</v>
      </c>
      <c r="FD192" s="106">
        <f>+_xlfn.XLOOKUP($EJ192,Budget!$A:$A,Budget!DW:DW)</f>
        <v>0</v>
      </c>
      <c r="FE192" s="106">
        <f>+_xlfn.XLOOKUP($EJ192,Budget!$A:$A,Budget!DX:DX)</f>
        <v>0</v>
      </c>
      <c r="FF192" s="106">
        <f>+_xlfn.XLOOKUP($EJ192,Budget!$A:$A,Budget!DY:DY)</f>
        <v>0</v>
      </c>
      <c r="FG192" s="106">
        <f>+_xlfn.XLOOKUP($EJ192,Budget!$A:$A,Budget!DZ:DZ)</f>
        <v>0</v>
      </c>
      <c r="FH192" s="106">
        <f>+_xlfn.XLOOKUP($EJ192,Budget!$A:$A,Budget!EA:EA)</f>
        <v>0</v>
      </c>
      <c r="FI192" s="106">
        <f>+_xlfn.XLOOKUP($EJ192,Budget!$A:$A,Budget!EB:EB)</f>
        <v>0</v>
      </c>
      <c r="FJ192" s="106">
        <f>+_xlfn.XLOOKUP($EJ192,Budget!$A:$A,Budget!EC:EC)</f>
        <v>0</v>
      </c>
      <c r="FK192" s="106">
        <f t="shared" si="2229"/>
        <v>0</v>
      </c>
    </row>
    <row r="193" spans="1:167" ht="14.45" hidden="1" customHeight="1" outlineLevel="1" collapsed="1">
      <c r="A193" s="58">
        <f t="shared" ref="A193:L193" si="2232">+SUM(A194:A204)</f>
        <v>22553.037400000001</v>
      </c>
      <c r="B193" s="58">
        <f t="shared" si="2232"/>
        <v>16617.5854</v>
      </c>
      <c r="C193" s="58">
        <f t="shared" si="2232"/>
        <v>15683.095600000001</v>
      </c>
      <c r="D193" s="58">
        <f t="shared" si="2232"/>
        <v>16100.246000000003</v>
      </c>
      <c r="E193" s="58">
        <f t="shared" si="2232"/>
        <v>23378.268800000005</v>
      </c>
      <c r="F193" s="58">
        <f t="shared" si="2232"/>
        <v>19865.957400000003</v>
      </c>
      <c r="G193" s="58">
        <f t="shared" si="2232"/>
        <v>18329.227599999998</v>
      </c>
      <c r="H193" s="58">
        <f t="shared" si="2232"/>
        <v>15938.735200000003</v>
      </c>
      <c r="I193" s="58">
        <f t="shared" si="2232"/>
        <v>19111.584800000001</v>
      </c>
      <c r="J193" s="58">
        <f t="shared" si="2232"/>
        <v>16997.653400000003</v>
      </c>
      <c r="K193" s="58">
        <f t="shared" si="2232"/>
        <v>19649.644399999997</v>
      </c>
      <c r="L193" s="58">
        <f t="shared" si="2232"/>
        <v>15498.206</v>
      </c>
      <c r="M193" s="58"/>
      <c r="N193" s="20" t="s">
        <v>162</v>
      </c>
      <c r="O193" s="58">
        <f t="shared" ref="O193" si="2233">+SUM(O194:O204)</f>
        <v>18477.351933333335</v>
      </c>
      <c r="P193" s="58">
        <f t="shared" ref="P193" si="2234">+SUM(P194:P204)</f>
        <v>2635.5718000000002</v>
      </c>
      <c r="Q193" s="58">
        <f t="shared" ref="Q193" si="2235">+SUM(Q194:Q204)</f>
        <v>15671.870333333351</v>
      </c>
      <c r="R193" s="58">
        <f t="shared" ref="R193" si="2236">+SUM(R194:R204)</f>
        <v>17859.908199999994</v>
      </c>
      <c r="S193" s="58">
        <f t="shared" ref="S193" si="2237">+SUM(S194:S204)</f>
        <v>19240.713800000001</v>
      </c>
      <c r="T193" s="58">
        <f t="shared" ref="T193" si="2238">+SUM(T194:T204)</f>
        <v>18655.466</v>
      </c>
      <c r="U193" s="58">
        <f t="shared" ref="U193" si="2239">+SUM(U194:U204)</f>
        <v>149628.15903950619</v>
      </c>
      <c r="V193" s="58">
        <f t="shared" ref="V193" si="2240">+SUM(V194:V204)</f>
        <v>20888.899800000003</v>
      </c>
      <c r="W193" s="58">
        <f t="shared" ref="W193" si="2241">+SUM(W194:W204)</f>
        <v>24377.246399999993</v>
      </c>
      <c r="X193" s="58">
        <f t="shared" ref="X193" si="2242">+SUM(X194:X204)</f>
        <v>25708.633200000004</v>
      </c>
      <c r="Y193" s="58">
        <f t="shared" ref="Y193" si="2243">+SUM(Y194:Y204)</f>
        <v>0</v>
      </c>
      <c r="Z193" s="58">
        <f t="shared" ref="Z193" si="2244">+SUM(Z194:Z204)</f>
        <v>0</v>
      </c>
      <c r="AA193" s="58"/>
      <c r="AB193" s="118">
        <f t="shared" si="1854"/>
        <v>-0.55267491342503106</v>
      </c>
      <c r="AC193" s="58">
        <f t="shared" ref="AC193" si="2245">+SUM(AC194:AC204)</f>
        <v>57471.923600000009</v>
      </c>
      <c r="AD193" s="58">
        <f t="shared" ref="AD193" si="2246">+SUM(AD194:AD204)</f>
        <v>57471.923600000009</v>
      </c>
      <c r="AE193" s="58">
        <f t="shared" ref="AE193" si="2247">+SUM(AE194:AE204)</f>
        <v>57471.923600000009</v>
      </c>
      <c r="AF193" s="58">
        <f t="shared" ref="AF193" si="2248">+SUM(AF194:AF204)</f>
        <v>57471.923600000009</v>
      </c>
      <c r="AG193" s="58">
        <f t="shared" ref="AG193" si="2249">+SUM(AG194:AG204)</f>
        <v>57471.923600000009</v>
      </c>
      <c r="AH193" s="58">
        <f t="shared" ref="AH193" si="2250">+SUM(AH194:AH204)</f>
        <v>57471.923600000009</v>
      </c>
      <c r="AI193" s="58">
        <f t="shared" ref="AI193" si="2251">+SUM(AI194:AI204)</f>
        <v>57471.923600000009</v>
      </c>
      <c r="AJ193" s="58">
        <f t="shared" ref="AJ193" si="2252">+SUM(AJ194:AJ204)</f>
        <v>57471.923600000009</v>
      </c>
      <c r="AK193" s="58">
        <f t="shared" ref="AK193" si="2253">+SUM(AK194:AK204)</f>
        <v>57471.923600000009</v>
      </c>
      <c r="AL193" s="58">
        <f t="shared" ref="AL193" si="2254">+SUM(AL194:AL204)</f>
        <v>57471.923600000009</v>
      </c>
      <c r="AM193" s="58">
        <f t="shared" ref="AM193" si="2255">+SUM(AM194:AM204)</f>
        <v>57471.923600000009</v>
      </c>
      <c r="AN193" s="58">
        <f t="shared" ref="AN193:AO193" si="2256">+SUM(AN194:AN204)</f>
        <v>57471.923600000009</v>
      </c>
      <c r="AO193" s="58">
        <f t="shared" si="2256"/>
        <v>689663.08319999999</v>
      </c>
      <c r="AQ193" s="58">
        <f t="shared" ref="AQ193:CD193" si="2257">+SUM(AQ194:AQ204)</f>
        <v>14955.051600000001</v>
      </c>
      <c r="AR193" s="58">
        <f t="shared" si="2257"/>
        <v>11356.545599999999</v>
      </c>
      <c r="AS193" s="58">
        <f t="shared" si="2257"/>
        <v>11192.5744</v>
      </c>
      <c r="AT193" s="58">
        <f t="shared" si="2257"/>
        <v>11556.008</v>
      </c>
      <c r="AU193" s="58">
        <f t="shared" si="2257"/>
        <v>16558.097200000004</v>
      </c>
      <c r="AV193" s="58">
        <f t="shared" si="2257"/>
        <v>14475.3316</v>
      </c>
      <c r="AW193" s="58">
        <f t="shared" si="2257"/>
        <v>12766.386400000001</v>
      </c>
      <c r="AX193" s="58">
        <f t="shared" si="2257"/>
        <v>10873.146799999999</v>
      </c>
      <c r="AY193" s="58">
        <f t="shared" si="2257"/>
        <v>10633.4112</v>
      </c>
      <c r="AZ193" s="58">
        <f t="shared" si="2257"/>
        <v>10651.855600000001</v>
      </c>
      <c r="BA193" s="58">
        <f t="shared" si="2257"/>
        <v>11119.4936</v>
      </c>
      <c r="BB193" s="58">
        <f t="shared" si="2257"/>
        <v>10632.598</v>
      </c>
      <c r="BC193" s="58">
        <f>+SUM(AQ193:BB193)</f>
        <v>146770.5</v>
      </c>
      <c r="BD193" s="20" t="str">
        <f t="shared" si="2230"/>
        <v>General Expenses</v>
      </c>
      <c r="BE193" s="58">
        <f t="shared" si="2257"/>
        <v>11156.413066666668</v>
      </c>
      <c r="BF193" s="58">
        <f t="shared" ref="BF193:BP193" si="2258">+SUM(BF194:BF204)</f>
        <v>24.013200000000001</v>
      </c>
      <c r="BG193" s="58">
        <f t="shared" si="2258"/>
        <v>11223.756666666681</v>
      </c>
      <c r="BH193" s="58">
        <f t="shared" si="2258"/>
        <v>11028.298799999997</v>
      </c>
      <c r="BI193" s="58">
        <f t="shared" si="2258"/>
        <v>346.39760000000001</v>
      </c>
      <c r="BJ193" s="58">
        <f t="shared" si="2258"/>
        <v>11518.08</v>
      </c>
      <c r="BK193" s="58">
        <f t="shared" si="2258"/>
        <v>13227.623626337449</v>
      </c>
      <c r="BL193" s="58">
        <f t="shared" si="2258"/>
        <v>13451.005200000003</v>
      </c>
      <c r="BM193" s="58">
        <f t="shared" si="2258"/>
        <v>11622.499599999997</v>
      </c>
      <c r="BN193" s="58">
        <f t="shared" si="2258"/>
        <v>6857.2328000000007</v>
      </c>
      <c r="BO193" s="58">
        <f t="shared" si="2258"/>
        <v>0</v>
      </c>
      <c r="BP193" s="58">
        <f t="shared" si="2258"/>
        <v>0</v>
      </c>
      <c r="BQ193" s="58">
        <f t="shared" si="2257"/>
        <v>90455.320559670785</v>
      </c>
      <c r="BR193" s="118">
        <f t="shared" si="1870"/>
        <v>-0.6909885087858969</v>
      </c>
      <c r="BS193" s="58">
        <f t="shared" si="2257"/>
        <v>22190.866666666669</v>
      </c>
      <c r="BT193" s="58">
        <f t="shared" si="2257"/>
        <v>22190.866666666669</v>
      </c>
      <c r="BU193" s="58">
        <f t="shared" si="2257"/>
        <v>22190.866666666669</v>
      </c>
      <c r="BV193" s="58">
        <f t="shared" si="2257"/>
        <v>22190.866666666669</v>
      </c>
      <c r="BW193" s="58">
        <f t="shared" si="2257"/>
        <v>22190.866666666669</v>
      </c>
      <c r="BX193" s="58">
        <f t="shared" si="2257"/>
        <v>22190.866666666669</v>
      </c>
      <c r="BY193" s="58">
        <f t="shared" si="2257"/>
        <v>22190.866666666669</v>
      </c>
      <c r="BZ193" s="58">
        <f t="shared" si="2257"/>
        <v>22190.866666666669</v>
      </c>
      <c r="CA193" s="58">
        <f t="shared" si="2257"/>
        <v>22190.866666666669</v>
      </c>
      <c r="CB193" s="58">
        <f t="shared" si="2257"/>
        <v>22190.866666666669</v>
      </c>
      <c r="CC193" s="58">
        <f t="shared" si="2257"/>
        <v>22190.866666666669</v>
      </c>
      <c r="CD193" s="58">
        <f t="shared" si="2257"/>
        <v>22190.866666666669</v>
      </c>
      <c r="CE193" s="58">
        <f>+SUM(BS193:CD193)</f>
        <v>266290.40000000002</v>
      </c>
      <c r="CF193" s="106"/>
      <c r="CG193" s="58">
        <f t="shared" ref="CG193:CR193" si="2259">+SUM(CG194:CG204)</f>
        <v>7597.9858000000004</v>
      </c>
      <c r="CH193" s="58">
        <f t="shared" si="2259"/>
        <v>5261.0398000000005</v>
      </c>
      <c r="CI193" s="58">
        <f t="shared" si="2259"/>
        <v>4490.521200000001</v>
      </c>
      <c r="CJ193" s="58">
        <f t="shared" si="2259"/>
        <v>4544.2380000000003</v>
      </c>
      <c r="CK193" s="58">
        <f t="shared" si="2259"/>
        <v>6820.1716000000006</v>
      </c>
      <c r="CL193" s="58">
        <f t="shared" si="2259"/>
        <v>5390.6258000000016</v>
      </c>
      <c r="CM193" s="58">
        <f t="shared" si="2259"/>
        <v>5562.8412000000008</v>
      </c>
      <c r="CN193" s="58">
        <f t="shared" si="2259"/>
        <v>5065.5884000000005</v>
      </c>
      <c r="CO193" s="58">
        <f t="shared" si="2259"/>
        <v>8478.1736000000001</v>
      </c>
      <c r="CP193" s="58">
        <f t="shared" si="2259"/>
        <v>6345.7978000000012</v>
      </c>
      <c r="CQ193" s="58">
        <f t="shared" si="2259"/>
        <v>8530.1508000000013</v>
      </c>
      <c r="CR193" s="58">
        <f t="shared" si="2259"/>
        <v>4865.6080000000011</v>
      </c>
      <c r="CS193" s="58">
        <f>+SUM(CG193:CR193)</f>
        <v>72952.742000000013</v>
      </c>
      <c r="CT193" s="20" t="str">
        <f t="shared" si="2231"/>
        <v>General Expenses</v>
      </c>
      <c r="CU193" s="58">
        <f t="shared" ref="CU193:DT193" si="2260">+SUM(CU194:CU204)</f>
        <v>6320.9388666666664</v>
      </c>
      <c r="CV193" s="58">
        <f t="shared" si="2260"/>
        <v>2611.5586000000003</v>
      </c>
      <c r="CW193" s="58">
        <f t="shared" si="2260"/>
        <v>4448.1136666666707</v>
      </c>
      <c r="CX193" s="58">
        <f t="shared" si="2260"/>
        <v>6831.6094000000003</v>
      </c>
      <c r="CY193" s="58">
        <f t="shared" si="2260"/>
        <v>18894.296199999997</v>
      </c>
      <c r="CZ193" s="58">
        <f t="shared" si="2260"/>
        <v>7137.3860000000004</v>
      </c>
      <c r="DA193" s="58">
        <f t="shared" si="2260"/>
        <v>7619.3354131687256</v>
      </c>
      <c r="DB193" s="58">
        <f t="shared" si="2260"/>
        <v>7437.8946000000005</v>
      </c>
      <c r="DC193" s="58">
        <f t="shared" si="2260"/>
        <v>7192.7468000000008</v>
      </c>
      <c r="DD193" s="58">
        <f t="shared" si="2260"/>
        <v>14156.2004</v>
      </c>
      <c r="DE193" s="58">
        <f t="shared" si="2260"/>
        <v>0</v>
      </c>
      <c r="DF193" s="58">
        <f t="shared" si="2260"/>
        <v>0</v>
      </c>
      <c r="DG193" s="58">
        <f t="shared" si="2260"/>
        <v>82650.079946502068</v>
      </c>
      <c r="DH193" s="118">
        <f t="shared" si="1874"/>
        <v>0.13725214785456824</v>
      </c>
      <c r="DI193" s="58">
        <f t="shared" si="2260"/>
        <v>12447.723600000001</v>
      </c>
      <c r="DJ193" s="58">
        <f t="shared" si="2260"/>
        <v>12447.723600000001</v>
      </c>
      <c r="DK193" s="58">
        <f t="shared" si="2260"/>
        <v>12447.723600000001</v>
      </c>
      <c r="DL193" s="58">
        <f t="shared" si="2260"/>
        <v>12447.723600000001</v>
      </c>
      <c r="DM193" s="58">
        <f t="shared" si="2260"/>
        <v>12447.723600000001</v>
      </c>
      <c r="DN193" s="58">
        <f t="shared" si="2260"/>
        <v>12447.723600000001</v>
      </c>
      <c r="DO193" s="58">
        <f t="shared" si="2260"/>
        <v>12447.723600000001</v>
      </c>
      <c r="DP193" s="58">
        <f t="shared" si="2260"/>
        <v>12447.723600000001</v>
      </c>
      <c r="DQ193" s="58">
        <f t="shared" si="2260"/>
        <v>12447.723600000001</v>
      </c>
      <c r="DR193" s="58">
        <f t="shared" si="2260"/>
        <v>12447.723600000001</v>
      </c>
      <c r="DS193" s="58">
        <f t="shared" si="2260"/>
        <v>12447.723600000001</v>
      </c>
      <c r="DT193" s="58">
        <f t="shared" si="2260"/>
        <v>12447.723600000001</v>
      </c>
      <c r="DU193" s="58">
        <f>+SUM(DI193:DT193)</f>
        <v>149372.6832</v>
      </c>
      <c r="DW193" s="28">
        <f t="shared" ref="DW193:EH193" si="2261">+SUM(DW194:DW204)</f>
        <v>0</v>
      </c>
      <c r="DX193" s="28">
        <f t="shared" si="2261"/>
        <v>0</v>
      </c>
      <c r="DY193" s="28">
        <f t="shared" si="2261"/>
        <v>0</v>
      </c>
      <c r="DZ193" s="28">
        <f t="shared" si="2261"/>
        <v>0</v>
      </c>
      <c r="EA193" s="28">
        <f t="shared" si="2261"/>
        <v>0</v>
      </c>
      <c r="EB193" s="28">
        <f t="shared" si="2261"/>
        <v>0</v>
      </c>
      <c r="EC193" s="28">
        <f t="shared" si="2261"/>
        <v>0</v>
      </c>
      <c r="ED193" s="28">
        <f t="shared" si="2261"/>
        <v>0</v>
      </c>
      <c r="EE193" s="28">
        <f t="shared" si="2261"/>
        <v>0</v>
      </c>
      <c r="EF193" s="28">
        <f t="shared" si="2261"/>
        <v>0</v>
      </c>
      <c r="EG193" s="28">
        <f t="shared" si="2261"/>
        <v>0</v>
      </c>
      <c r="EH193" s="28">
        <f t="shared" si="2261"/>
        <v>0</v>
      </c>
      <c r="EI193" s="58">
        <f>+SUM(DW193:EH193)</f>
        <v>0</v>
      </c>
      <c r="EJ193" s="20" t="str">
        <f t="shared" si="1555"/>
        <v>General Expenses</v>
      </c>
      <c r="EK193" s="28">
        <f t="shared" ref="EK193:EV193" si="2262">+SUM(EK194:EK204)</f>
        <v>1000</v>
      </c>
      <c r="EL193" s="28">
        <f t="shared" si="2262"/>
        <v>0</v>
      </c>
      <c r="EM193" s="28">
        <f t="shared" si="2262"/>
        <v>0</v>
      </c>
      <c r="EN193" s="28">
        <f t="shared" si="2262"/>
        <v>0</v>
      </c>
      <c r="EO193" s="28">
        <f t="shared" si="2262"/>
        <v>0.02</v>
      </c>
      <c r="EP193" s="28">
        <f t="shared" si="2262"/>
        <v>0</v>
      </c>
      <c r="EQ193" s="28">
        <f t="shared" si="2262"/>
        <v>128781.2</v>
      </c>
      <c r="ER193" s="28">
        <f t="shared" si="2262"/>
        <v>0</v>
      </c>
      <c r="ES193" s="28">
        <f t="shared" si="2262"/>
        <v>5562.0000000000009</v>
      </c>
      <c r="ET193" s="28">
        <f t="shared" si="2262"/>
        <v>4695.2000000000025</v>
      </c>
      <c r="EU193" s="28">
        <f t="shared" si="2262"/>
        <v>0</v>
      </c>
      <c r="EV193" s="28">
        <f t="shared" si="2262"/>
        <v>0</v>
      </c>
      <c r="EW193" s="28">
        <f t="shared" ref="EW193" si="2263">+SUM(EW194:EW204)</f>
        <v>140038.42000000001</v>
      </c>
      <c r="EX193" s="118">
        <f t="shared" si="1878"/>
        <v>-0.75640875912408756</v>
      </c>
      <c r="EY193" s="58">
        <f t="shared" ref="EY193:FJ193" si="2264">+SUM(EY194:EY204)</f>
        <v>22833.333333333339</v>
      </c>
      <c r="EZ193" s="58">
        <f t="shared" si="2264"/>
        <v>22833.333333333332</v>
      </c>
      <c r="FA193" s="58">
        <f t="shared" si="2264"/>
        <v>22833.333333333332</v>
      </c>
      <c r="FB193" s="58">
        <f t="shared" si="2264"/>
        <v>22833.333333333332</v>
      </c>
      <c r="FC193" s="58">
        <f t="shared" si="2264"/>
        <v>22833.333333333332</v>
      </c>
      <c r="FD193" s="58">
        <f t="shared" si="2264"/>
        <v>22833.333333333332</v>
      </c>
      <c r="FE193" s="58">
        <f t="shared" si="2264"/>
        <v>22833.333333333332</v>
      </c>
      <c r="FF193" s="58">
        <f t="shared" si="2264"/>
        <v>22833.333333333332</v>
      </c>
      <c r="FG193" s="58">
        <f t="shared" si="2264"/>
        <v>22833.333333333332</v>
      </c>
      <c r="FH193" s="58">
        <f t="shared" si="2264"/>
        <v>22833.333333333332</v>
      </c>
      <c r="FI193" s="58">
        <f t="shared" si="2264"/>
        <v>22833.333333333332</v>
      </c>
      <c r="FJ193" s="58">
        <f t="shared" si="2264"/>
        <v>22833.333333333332</v>
      </c>
      <c r="FK193" s="58">
        <f>+SUM(EY193:FJ193)</f>
        <v>274000.00000000006</v>
      </c>
    </row>
    <row r="194" spans="1:167" ht="14.45" hidden="1" customHeight="1" outlineLevel="2">
      <c r="A194" s="106">
        <f t="shared" ref="A194:L204" si="2265">+AQ194+CG194+DW194</f>
        <v>12946.400000000001</v>
      </c>
      <c r="B194" s="106">
        <f t="shared" si="2265"/>
        <v>12946.400000000001</v>
      </c>
      <c r="C194" s="106">
        <f t="shared" si="2265"/>
        <v>12946.400000000001</v>
      </c>
      <c r="D194" s="106">
        <f t="shared" si="2265"/>
        <v>12946.400000000001</v>
      </c>
      <c r="E194" s="106">
        <f t="shared" si="2265"/>
        <v>12946.400000000001</v>
      </c>
      <c r="F194" s="106">
        <f t="shared" si="2265"/>
        <v>12946.400000000001</v>
      </c>
      <c r="G194" s="106">
        <f t="shared" si="2265"/>
        <v>12946.400000000001</v>
      </c>
      <c r="H194" s="106">
        <f t="shared" si="2265"/>
        <v>12946.400000000001</v>
      </c>
      <c r="I194" s="106">
        <f t="shared" si="2265"/>
        <v>12946.400000000001</v>
      </c>
      <c r="J194" s="106">
        <f t="shared" si="2265"/>
        <v>13064</v>
      </c>
      <c r="K194" s="106">
        <f t="shared" si="2265"/>
        <v>13064</v>
      </c>
      <c r="L194" s="106">
        <f t="shared" si="2265"/>
        <v>13064</v>
      </c>
      <c r="M194" s="106">
        <f t="shared" ref="M194:M204" si="2266">+SUM(A194:L194)</f>
        <v>155709.6</v>
      </c>
      <c r="N194" s="16" t="s">
        <v>163</v>
      </c>
      <c r="O194" s="106">
        <f t="shared" ref="O194:O204" si="2267">+BE194+CU194+EK194</f>
        <v>13593.733333333335</v>
      </c>
      <c r="P194" s="106">
        <f t="shared" ref="P194:P204" si="2268">+BF194+CV194+EL194</f>
        <v>0</v>
      </c>
      <c r="Q194" s="106">
        <f t="shared" ref="Q194:Q204" si="2269">+BG194+CW194+EM194</f>
        <v>13593.733333333352</v>
      </c>
      <c r="R194" s="106">
        <f t="shared" ref="R194:R204" si="2270">+BH194+CX194+EN194</f>
        <v>13449.049999999997</v>
      </c>
      <c r="S194" s="106">
        <f t="shared" ref="S194:S204" si="2271">+BI194+CY194+EO194</f>
        <v>13598.482</v>
      </c>
      <c r="T194" s="106">
        <f t="shared" ref="T194:T204" si="2272">+BJ194+CZ194+EP194</f>
        <v>13598.482</v>
      </c>
      <c r="U194" s="106">
        <f t="shared" ref="U194:U204" si="2273">+BK194+DA194+EQ194</f>
        <v>32379.682000000001</v>
      </c>
      <c r="V194" s="106">
        <f t="shared" ref="V194:V204" si="2274">+BL194+DB194+ER194</f>
        <v>13598.400000000003</v>
      </c>
      <c r="W194" s="106">
        <f t="shared" ref="W194:W204" si="2275">+BM194+DC194+ES194</f>
        <v>18293.599999999999</v>
      </c>
      <c r="X194" s="106">
        <f t="shared" ref="X194:X204" si="2276">+BN194+DD194+ET194</f>
        <v>7170.8000000000029</v>
      </c>
      <c r="Y194" s="106">
        <f t="shared" ref="Y194:Y204" si="2277">+BO194+DE194+EU194</f>
        <v>0</v>
      </c>
      <c r="Z194" s="106">
        <f t="shared" ref="Z194:Z204" si="2278">+BP194+DF194+EV194</f>
        <v>0</v>
      </c>
      <c r="AA194" s="106">
        <f t="shared" ref="AA194:AA204" si="2279">+SUM(O194:Z194)</f>
        <v>139275.96266666672</v>
      </c>
      <c r="AB194" s="118">
        <f t="shared" si="1854"/>
        <v>-0.47249222681039288</v>
      </c>
      <c r="AC194" s="106">
        <f t="shared" ref="AC194:AC204" si="2280">+BS194+DI194+EY194</f>
        <v>13593.733333333335</v>
      </c>
      <c r="AD194" s="106">
        <f t="shared" ref="AD194:AD204" si="2281">+BT194+DJ194+EZ194</f>
        <v>13593.733333333335</v>
      </c>
      <c r="AE194" s="106">
        <f t="shared" ref="AE194:AE204" si="2282">+BU194+DK194+FA194</f>
        <v>13593.733333333335</v>
      </c>
      <c r="AF194" s="106">
        <f t="shared" ref="AF194:AF204" si="2283">+BV194+DL194+FB194</f>
        <v>13593.733333333335</v>
      </c>
      <c r="AG194" s="106">
        <f t="shared" ref="AG194:AG204" si="2284">+BW194+DM194+FC194</f>
        <v>13593.733333333335</v>
      </c>
      <c r="AH194" s="106">
        <f t="shared" ref="AH194:AH204" si="2285">+BX194+DN194+FD194</f>
        <v>13593.733333333335</v>
      </c>
      <c r="AI194" s="106">
        <f t="shared" ref="AI194:AI204" si="2286">+BY194+DO194+FE194</f>
        <v>13593.733333333335</v>
      </c>
      <c r="AJ194" s="106">
        <f t="shared" ref="AJ194:AJ204" si="2287">+BZ194+DP194+FF194</f>
        <v>13593.733333333335</v>
      </c>
      <c r="AK194" s="106">
        <f t="shared" ref="AK194:AK204" si="2288">+CA194+DQ194+FG194</f>
        <v>13593.733333333335</v>
      </c>
      <c r="AL194" s="106">
        <f t="shared" ref="AL194:AL204" si="2289">+CB194+DR194+FH194</f>
        <v>13593.733333333335</v>
      </c>
      <c r="AM194" s="106">
        <f t="shared" ref="AM194:AM204" si="2290">+CC194+DS194+FI194</f>
        <v>13593.733333333335</v>
      </c>
      <c r="AN194" s="106">
        <f t="shared" ref="AN194:AN204" si="2291">+CD194+DT194+FJ194</f>
        <v>13593.733333333335</v>
      </c>
      <c r="AO194" s="106">
        <f t="shared" ref="AO194:AO204" si="2292">+SUM(AC194:AN194)</f>
        <v>163124.80000000002</v>
      </c>
      <c r="AQ194" s="106">
        <v>10593.2</v>
      </c>
      <c r="AR194" s="106">
        <v>10593.2</v>
      </c>
      <c r="AS194" s="106">
        <v>10593.2</v>
      </c>
      <c r="AT194" s="106">
        <v>10593.2</v>
      </c>
      <c r="AU194" s="106">
        <v>10593.2</v>
      </c>
      <c r="AV194" s="106">
        <v>10593.2</v>
      </c>
      <c r="AW194" s="106">
        <v>10593.2</v>
      </c>
      <c r="AX194" s="106">
        <v>10593.2</v>
      </c>
      <c r="AY194" s="106">
        <v>10593.2</v>
      </c>
      <c r="AZ194" s="106">
        <v>10593.2</v>
      </c>
      <c r="BA194" s="106">
        <v>10593.2</v>
      </c>
      <c r="BB194" s="106">
        <v>10593.2</v>
      </c>
      <c r="BC194" s="106">
        <f t="shared" ref="BC194:BC204" si="2293">+SUM(AQ194:BB194)</f>
        <v>127118.39999999998</v>
      </c>
      <c r="BD194" s="16" t="str">
        <f t="shared" si="2230"/>
        <v>Corporation or PunchayathTaxes</v>
      </c>
      <c r="BE194" s="106">
        <f>+VLOOKUP($BD194,'Jan-25'!$A:$J,5,0)</f>
        <v>11122.866666666669</v>
      </c>
      <c r="BF194" s="106">
        <f>+VLOOKUP($BD194,'Feb-25'!$A:$J,5,0)</f>
        <v>0</v>
      </c>
      <c r="BG194" s="106">
        <f>+VLOOKUP($BD194,'Mar-25'!$A:$J,5,0)</f>
        <v>11122.866666666681</v>
      </c>
      <c r="BH194" s="106">
        <f>+VLOOKUP($BD194,'Apr-25'!$A:$J,5,0)</f>
        <v>11000.703999999998</v>
      </c>
      <c r="BI194" s="106">
        <f>+VLOOKUP($BD194,'May-25'!$A:$J,5,0)</f>
        <v>0</v>
      </c>
      <c r="BJ194" s="106">
        <f>+VLOOKUP($BD194,'June-25'!$A:$J,5,0)</f>
        <v>11122.932000000001</v>
      </c>
      <c r="BK194" s="106">
        <f>+VLOOKUP($BD194,'July-25'!$A:$J,5,0)</f>
        <v>11122.932000000001</v>
      </c>
      <c r="BL194" s="106">
        <f>+VLOOKUP($BD194,'Aug-25'!$A:$J,5,0)</f>
        <v>11122.800000000003</v>
      </c>
      <c r="BM194" s="106">
        <f>+VLOOKUP($BD194,'Sep-25'!$A:$J,5,0)</f>
        <v>11122.8</v>
      </c>
      <c r="BN194" s="106">
        <f>+VLOOKUP($BD194,'Oct-25'!$A:$J,5,0)</f>
        <v>0</v>
      </c>
      <c r="BO194" s="106">
        <f>+VLOOKUP($BD194,'Nov-25'!$A:$J,5,0)</f>
        <v>0</v>
      </c>
      <c r="BP194" s="106">
        <f>+VLOOKUP($BD194,'Dec-25'!$A:$J,5,0)</f>
        <v>0</v>
      </c>
      <c r="BQ194" s="106">
        <f t="shared" ref="BQ194:BQ204" si="2294">+SUM(BE194:BP194)</f>
        <v>77737.901333333357</v>
      </c>
      <c r="BR194" s="118">
        <f t="shared" si="1870"/>
        <v>-1</v>
      </c>
      <c r="BS194" s="106">
        <f>+_xlfn.XLOOKUP($BD194,Budget!$A:$A,Budget!BD:BD)</f>
        <v>11122.866666666669</v>
      </c>
      <c r="BT194" s="106">
        <f>+_xlfn.XLOOKUP($BD194,Budget!$A:$A,Budget!BE:BE)</f>
        <v>11122.866666666669</v>
      </c>
      <c r="BU194" s="106">
        <f>+_xlfn.XLOOKUP($BD194,Budget!$A:$A,Budget!BF:BF)</f>
        <v>11122.866666666669</v>
      </c>
      <c r="BV194" s="106">
        <f>+_xlfn.XLOOKUP($BD194,Budget!$A:$A,Budget!BG:BG)</f>
        <v>11122.866666666669</v>
      </c>
      <c r="BW194" s="106">
        <f>+_xlfn.XLOOKUP($BD194,Budget!$A:$A,Budget!BH:BH)</f>
        <v>11122.866666666669</v>
      </c>
      <c r="BX194" s="106">
        <f>+_xlfn.XLOOKUP($BD194,Budget!$A:$A,Budget!BI:BI)</f>
        <v>11122.866666666669</v>
      </c>
      <c r="BY194" s="106">
        <f>+_xlfn.XLOOKUP($BD194,Budget!$A:$A,Budget!BJ:BJ)</f>
        <v>11122.866666666669</v>
      </c>
      <c r="BZ194" s="106">
        <f>+_xlfn.XLOOKUP($BD194,Budget!$A:$A,Budget!BK:BK)</f>
        <v>11122.866666666669</v>
      </c>
      <c r="CA194" s="106">
        <f>+_xlfn.XLOOKUP($BD194,Budget!$A:$A,Budget!BL:BL)</f>
        <v>11122.866666666669</v>
      </c>
      <c r="CB194" s="106">
        <f>+_xlfn.XLOOKUP($BD194,Budget!$A:$A,Budget!BM:BM)</f>
        <v>11122.866666666669</v>
      </c>
      <c r="CC194" s="106">
        <f>+_xlfn.XLOOKUP($BD194,Budget!$A:$A,Budget!BN:BN)</f>
        <v>11122.866666666669</v>
      </c>
      <c r="CD194" s="106">
        <f>+_xlfn.XLOOKUP($BD194,Budget!$A:$A,Budget!BO:BO)</f>
        <v>11122.866666666669</v>
      </c>
      <c r="CE194" s="106">
        <f t="shared" ref="CE194:CE204" si="2295">+SUM(BS194:CD194)</f>
        <v>133474.40000000002</v>
      </c>
      <c r="CF194" s="106"/>
      <c r="CG194" s="106">
        <v>2353.2000000000003</v>
      </c>
      <c r="CH194" s="106">
        <v>2353.2000000000003</v>
      </c>
      <c r="CI194" s="106">
        <v>2353.2000000000003</v>
      </c>
      <c r="CJ194" s="106">
        <v>2353.2000000000003</v>
      </c>
      <c r="CK194" s="106">
        <v>2353.2000000000003</v>
      </c>
      <c r="CL194" s="106">
        <v>2353.2000000000003</v>
      </c>
      <c r="CM194" s="106">
        <v>2353.2000000000003</v>
      </c>
      <c r="CN194" s="106">
        <v>2353.2000000000003</v>
      </c>
      <c r="CO194" s="106">
        <v>2353.1999999999998</v>
      </c>
      <c r="CP194" s="106">
        <v>2470.8000000000002</v>
      </c>
      <c r="CQ194" s="106">
        <v>2470.8000000000002</v>
      </c>
      <c r="CR194" s="106">
        <v>2470.8000000000002</v>
      </c>
      <c r="CS194" s="106">
        <f t="shared" ref="CS194:CS204" si="2296">+SUM(CG194:CR194)</f>
        <v>28591.200000000001</v>
      </c>
      <c r="CT194" s="16" t="str">
        <f t="shared" si="2231"/>
        <v>Corporation or PunchayathTaxes</v>
      </c>
      <c r="CU194" s="106">
        <f>+VLOOKUP($BD194,'Jan-25'!$A:$J,8,0)</f>
        <v>2470.8666666666668</v>
      </c>
      <c r="CV194" s="106">
        <f>+VLOOKUP($BD194,'Feb-25'!$A:$J,8,0)</f>
        <v>0</v>
      </c>
      <c r="CW194" s="106">
        <f>+VLOOKUP($BD194,'Mar-25'!$A:$J,8,0)</f>
        <v>2470.86666666667</v>
      </c>
      <c r="CX194" s="106">
        <f>+VLOOKUP($BD194,'Apr-25'!$A:$J,8,0)</f>
        <v>2448.346</v>
      </c>
      <c r="CY194" s="106">
        <f>+VLOOKUP($BD194,'May-25'!$A:$J,8,0)</f>
        <v>13598.482</v>
      </c>
      <c r="CZ194" s="106">
        <f>+VLOOKUP($BD194,'June-25'!$A:$J,8,0)</f>
        <v>2475.5500000000002</v>
      </c>
      <c r="DA194" s="106">
        <f>+VLOOKUP($BD194,'July-25'!$A:$J,8,0)</f>
        <v>2475.5500000000002</v>
      </c>
      <c r="DB194" s="106">
        <f>+VLOOKUP($BD194,'Aug-25'!$A:$J,8,0)</f>
        <v>2475.6000000000004</v>
      </c>
      <c r="DC194" s="106">
        <f>+VLOOKUP($BD194,'Sep-25'!$A:$J,8,0)</f>
        <v>2475.6000000000004</v>
      </c>
      <c r="DD194" s="106">
        <f>+VLOOKUP($BD194,'Oct-25'!$A:$J,8,0)</f>
        <v>2475.6000000000004</v>
      </c>
      <c r="DE194" s="106">
        <f>+VLOOKUP($BD194,'Nov-25'!$A:$J,8,0)</f>
        <v>0</v>
      </c>
      <c r="DF194" s="106">
        <f>+VLOOKUP($BD194,'Dec-25'!$A:$J,8,0)</f>
        <v>0</v>
      </c>
      <c r="DG194" s="106">
        <f t="shared" ref="DG194:DG204" si="2297">+SUM(CU194:DF194)</f>
        <v>33366.461333333333</v>
      </c>
      <c r="DH194" s="118">
        <f t="shared" si="1874"/>
        <v>1.9156571243559247E-3</v>
      </c>
      <c r="DI194" s="106">
        <f>+_xlfn.XLOOKUP($CT194,Budget!$A:$A,Budget!CQ:CQ)</f>
        <v>2470.8666666666668</v>
      </c>
      <c r="DJ194" s="106">
        <f>+_xlfn.XLOOKUP($CT194,Budget!$A:$A,Budget!CR:CR)</f>
        <v>2470.8666666666668</v>
      </c>
      <c r="DK194" s="106">
        <f>+_xlfn.XLOOKUP($CT194,Budget!$A:$A,Budget!CS:CS)</f>
        <v>2470.8666666666668</v>
      </c>
      <c r="DL194" s="106">
        <f>+_xlfn.XLOOKUP($CT194,Budget!$A:$A,Budget!CT:CT)</f>
        <v>2470.8666666666668</v>
      </c>
      <c r="DM194" s="106">
        <f>+_xlfn.XLOOKUP($CT194,Budget!$A:$A,Budget!CU:CU)</f>
        <v>2470.8666666666668</v>
      </c>
      <c r="DN194" s="106">
        <f>+_xlfn.XLOOKUP($CT194,Budget!$A:$A,Budget!CV:CV)</f>
        <v>2470.8666666666668</v>
      </c>
      <c r="DO194" s="106">
        <f>+_xlfn.XLOOKUP($CT194,Budget!$A:$A,Budget!CW:CW)</f>
        <v>2470.8666666666668</v>
      </c>
      <c r="DP194" s="106">
        <f>+_xlfn.XLOOKUP($CT194,Budget!$A:$A,Budget!CX:CX)</f>
        <v>2470.8666666666668</v>
      </c>
      <c r="DQ194" s="106">
        <f>+_xlfn.XLOOKUP($CT194,Budget!$A:$A,Budget!CY:CY)</f>
        <v>2470.8666666666668</v>
      </c>
      <c r="DR194" s="106">
        <f>+_xlfn.XLOOKUP($CT194,Budget!$A:$A,Budget!CZ:CZ)</f>
        <v>2470.8666666666668</v>
      </c>
      <c r="DS194" s="106">
        <f>+_xlfn.XLOOKUP($CT194,Budget!$A:$A,Budget!DA:DA)</f>
        <v>2470.8666666666668</v>
      </c>
      <c r="DT194" s="106">
        <f>+_xlfn.XLOOKUP($CT194,Budget!$A:$A,Budget!DB:DB)</f>
        <v>2470.8666666666668</v>
      </c>
      <c r="DU194" s="106">
        <f t="shared" ref="DU194:DU204" si="2298">+SUM(DI194:DT194)</f>
        <v>29650.400000000009</v>
      </c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106">
        <f t="shared" ref="EI194:EI204" si="2299">+SUM(DW194:EH194)</f>
        <v>0</v>
      </c>
      <c r="EJ194" s="16" t="str">
        <f t="shared" si="1555"/>
        <v>Corporation or PunchayathTaxes</v>
      </c>
      <c r="EK194" s="22">
        <f>+VLOOKUP($BD194,'Jan-25'!$A:$J,10,0)</f>
        <v>0</v>
      </c>
      <c r="EL194" s="22">
        <f>+VLOOKUP($BD194,'Feb-25'!$A:$J,10,0)</f>
        <v>0</v>
      </c>
      <c r="EM194" s="22">
        <f>+VLOOKUP($BD194,'Mar-25'!$A:$J,10,0)</f>
        <v>0</v>
      </c>
      <c r="EN194" s="22">
        <f>+VLOOKUP($BD194,'Apr-25'!$A:$J,10,0)</f>
        <v>0</v>
      </c>
      <c r="EO194" s="22">
        <f>+VLOOKUP($BD194,'May-25'!$A:$J,10,0)</f>
        <v>0</v>
      </c>
      <c r="EP194" s="22">
        <f>+VLOOKUP($BD194,'June-25'!$A:$J,10,0)</f>
        <v>0</v>
      </c>
      <c r="EQ194" s="22">
        <f>+VLOOKUP($BD194,'July-25'!$A:$J,10,0)</f>
        <v>18781.2</v>
      </c>
      <c r="ER194" s="22">
        <f>+VLOOKUP($BD194,'Aug-25'!$A:$J,10,0)</f>
        <v>0</v>
      </c>
      <c r="ES194" s="22">
        <f>+VLOOKUP($BD194,'Sep-25'!$A:$J,10,0)</f>
        <v>4695.2000000000007</v>
      </c>
      <c r="ET194" s="22">
        <f>+VLOOKUP($BD194,'Oct-25'!$A:$J,10,0)</f>
        <v>4695.2000000000025</v>
      </c>
      <c r="EU194" s="22">
        <f>+VLOOKUP($BD194,'Nov-25'!$A:$J,10,0)</f>
        <v>0</v>
      </c>
      <c r="EV194" s="22">
        <f>+VLOOKUP($BD194,'Dec-25'!$A:$J,10,0)</f>
        <v>0</v>
      </c>
      <c r="EW194" s="22">
        <f t="shared" ref="EW194:EW204" si="2300">+SUM(EK194:EV194)</f>
        <v>28171.600000000006</v>
      </c>
      <c r="EX194" s="118" t="e">
        <f t="shared" si="1878"/>
        <v>#DIV/0!</v>
      </c>
      <c r="EY194" s="106">
        <f>+_xlfn.XLOOKUP($EJ194,Budget!$A:$A,Budget!DR:DR)</f>
        <v>0</v>
      </c>
      <c r="EZ194" s="106">
        <f>+_xlfn.XLOOKUP($EJ194,Budget!$A:$A,Budget!DS:DS)</f>
        <v>0</v>
      </c>
      <c r="FA194" s="106">
        <f>+_xlfn.XLOOKUP($EJ194,Budget!$A:$A,Budget!DT:DT)</f>
        <v>0</v>
      </c>
      <c r="FB194" s="106">
        <f>+_xlfn.XLOOKUP($EJ194,Budget!$A:$A,Budget!DU:DU)</f>
        <v>0</v>
      </c>
      <c r="FC194" s="106">
        <f>+_xlfn.XLOOKUP($EJ194,Budget!$A:$A,Budget!DV:DV)</f>
        <v>0</v>
      </c>
      <c r="FD194" s="106">
        <f>+_xlfn.XLOOKUP($EJ194,Budget!$A:$A,Budget!DW:DW)</f>
        <v>0</v>
      </c>
      <c r="FE194" s="106">
        <f>+_xlfn.XLOOKUP($EJ194,Budget!$A:$A,Budget!DX:DX)</f>
        <v>0</v>
      </c>
      <c r="FF194" s="106">
        <f>+_xlfn.XLOOKUP($EJ194,Budget!$A:$A,Budget!DY:DY)</f>
        <v>0</v>
      </c>
      <c r="FG194" s="106">
        <f>+_xlfn.XLOOKUP($EJ194,Budget!$A:$A,Budget!DZ:DZ)</f>
        <v>0</v>
      </c>
      <c r="FH194" s="106">
        <f>+_xlfn.XLOOKUP($EJ194,Budget!$A:$A,Budget!EA:EA)</f>
        <v>0</v>
      </c>
      <c r="FI194" s="106">
        <f>+_xlfn.XLOOKUP($EJ194,Budget!$A:$A,Budget!EB:EB)</f>
        <v>0</v>
      </c>
      <c r="FJ194" s="106">
        <f>+_xlfn.XLOOKUP($EJ194,Budget!$A:$A,Budget!EC:EC)</f>
        <v>0</v>
      </c>
      <c r="FK194" s="106">
        <f t="shared" ref="FK194:FK204" si="2301">+SUM(EY194:FJ194)</f>
        <v>0</v>
      </c>
    </row>
    <row r="195" spans="1:167" ht="14.45" hidden="1" customHeight="1" outlineLevel="2">
      <c r="A195" s="106">
        <f t="shared" si="2265"/>
        <v>47.7</v>
      </c>
      <c r="B195" s="106">
        <f t="shared" si="2265"/>
        <v>47.7</v>
      </c>
      <c r="C195" s="106">
        <f t="shared" si="2265"/>
        <v>47.7</v>
      </c>
      <c r="D195" s="106">
        <f t="shared" si="2265"/>
        <v>47.7</v>
      </c>
      <c r="E195" s="106">
        <f t="shared" si="2265"/>
        <v>109.7</v>
      </c>
      <c r="F195" s="106">
        <f t="shared" si="2265"/>
        <v>47.7</v>
      </c>
      <c r="G195" s="106">
        <f t="shared" si="2265"/>
        <v>47.7</v>
      </c>
      <c r="H195" s="106">
        <f t="shared" si="2265"/>
        <v>47.7</v>
      </c>
      <c r="I195" s="106">
        <f t="shared" si="2265"/>
        <v>47.7</v>
      </c>
      <c r="J195" s="106">
        <f t="shared" si="2265"/>
        <v>47.7</v>
      </c>
      <c r="K195" s="106">
        <f t="shared" si="2265"/>
        <v>47.7</v>
      </c>
      <c r="L195" s="106">
        <f t="shared" si="2265"/>
        <v>47.7</v>
      </c>
      <c r="M195" s="106">
        <f t="shared" si="2266"/>
        <v>634.40000000000009</v>
      </c>
      <c r="N195" s="16" t="s">
        <v>164</v>
      </c>
      <c r="O195" s="106">
        <f t="shared" si="2267"/>
        <v>47.7</v>
      </c>
      <c r="P195" s="106">
        <f t="shared" si="2268"/>
        <v>47.7</v>
      </c>
      <c r="Q195" s="106">
        <f t="shared" si="2269"/>
        <v>47.7</v>
      </c>
      <c r="R195" s="106">
        <f t="shared" si="2270"/>
        <v>47.7</v>
      </c>
      <c r="S195" s="106">
        <f t="shared" si="2271"/>
        <v>47.7</v>
      </c>
      <c r="T195" s="106">
        <f t="shared" si="2272"/>
        <v>47.7</v>
      </c>
      <c r="U195" s="106">
        <f t="shared" si="2273"/>
        <v>1553.8728395061717</v>
      </c>
      <c r="V195" s="106">
        <f t="shared" si="2274"/>
        <v>422.64</v>
      </c>
      <c r="W195" s="106">
        <f t="shared" si="2275"/>
        <v>471.96000000000004</v>
      </c>
      <c r="X195" s="106">
        <f t="shared" si="2276"/>
        <v>1172.6999999999998</v>
      </c>
      <c r="Y195" s="106">
        <f t="shared" si="2277"/>
        <v>0</v>
      </c>
      <c r="Z195" s="106">
        <f t="shared" si="2278"/>
        <v>0</v>
      </c>
      <c r="AA195" s="106">
        <f t="shared" si="2279"/>
        <v>3907.3728395061717</v>
      </c>
      <c r="AB195" s="118">
        <f t="shared" si="1854"/>
        <v>3.3670556107249245</v>
      </c>
      <c r="AC195" s="106">
        <f t="shared" si="2280"/>
        <v>268.53333333333336</v>
      </c>
      <c r="AD195" s="106">
        <f t="shared" si="2281"/>
        <v>268.53333333333336</v>
      </c>
      <c r="AE195" s="106">
        <f t="shared" si="2282"/>
        <v>268.53333333333336</v>
      </c>
      <c r="AF195" s="106">
        <f t="shared" si="2283"/>
        <v>268.53333333333336</v>
      </c>
      <c r="AG195" s="106">
        <f t="shared" si="2284"/>
        <v>268.53333333333336</v>
      </c>
      <c r="AH195" s="106">
        <f t="shared" si="2285"/>
        <v>268.53333333333336</v>
      </c>
      <c r="AI195" s="106">
        <f t="shared" si="2286"/>
        <v>268.53333333333336</v>
      </c>
      <c r="AJ195" s="106">
        <f t="shared" si="2287"/>
        <v>268.53333333333336</v>
      </c>
      <c r="AK195" s="106">
        <f t="shared" si="2288"/>
        <v>268.53333333333336</v>
      </c>
      <c r="AL195" s="106">
        <f t="shared" si="2289"/>
        <v>268.53333333333336</v>
      </c>
      <c r="AM195" s="106">
        <f t="shared" si="2290"/>
        <v>268.53333333333336</v>
      </c>
      <c r="AN195" s="106">
        <f t="shared" si="2291"/>
        <v>268.53333333333336</v>
      </c>
      <c r="AO195" s="106">
        <f t="shared" si="2292"/>
        <v>3222.4</v>
      </c>
      <c r="AQ195" s="106">
        <v>31.8</v>
      </c>
      <c r="AR195" s="106">
        <v>31.8</v>
      </c>
      <c r="AS195" s="106">
        <v>31.8</v>
      </c>
      <c r="AT195" s="106">
        <v>31.8</v>
      </c>
      <c r="AU195" s="106">
        <v>31.8</v>
      </c>
      <c r="AV195" s="106">
        <v>31.8</v>
      </c>
      <c r="AW195" s="106">
        <v>31.8</v>
      </c>
      <c r="AX195" s="106">
        <v>31.8</v>
      </c>
      <c r="AY195" s="106">
        <v>31.8</v>
      </c>
      <c r="AZ195" s="106">
        <v>31.8</v>
      </c>
      <c r="BA195" s="106">
        <v>31.8</v>
      </c>
      <c r="BB195" s="106">
        <v>31.8</v>
      </c>
      <c r="BC195" s="106">
        <f t="shared" si="2293"/>
        <v>381.60000000000008</v>
      </c>
      <c r="BD195" s="16" t="str">
        <f t="shared" si="2230"/>
        <v>License Fees</v>
      </c>
      <c r="BE195" s="106">
        <f>+VLOOKUP($BD195,'Jan-25'!$A:$J,5,0)</f>
        <v>31.8</v>
      </c>
      <c r="BF195" s="106">
        <f>+VLOOKUP($BD195,'Feb-25'!$A:$J,5,0)</f>
        <v>31.8</v>
      </c>
      <c r="BG195" s="106">
        <f>+VLOOKUP($BD195,'Mar-25'!$A:$J,5,0)</f>
        <v>31.8</v>
      </c>
      <c r="BH195" s="106">
        <f>+VLOOKUP($BD195,'Apr-25'!$A:$J,5,0)</f>
        <v>31.8</v>
      </c>
      <c r="BI195" s="106">
        <f>+VLOOKUP($BD195,'May-25'!$A:$J,5,0)</f>
        <v>31.8</v>
      </c>
      <c r="BJ195" s="106">
        <f>+VLOOKUP($BD195,'June-25'!$A:$J,5,0)</f>
        <v>31.8</v>
      </c>
      <c r="BK195" s="106">
        <f>+VLOOKUP($BD195,'July-25'!$A:$J,5,0)</f>
        <v>1035.9152263374478</v>
      </c>
      <c r="BL195" s="106">
        <f>+VLOOKUP($BD195,'Aug-25'!$A:$J,5,0)</f>
        <v>281.76</v>
      </c>
      <c r="BM195" s="106">
        <f>+VLOOKUP($BD195,'Sep-25'!$A:$J,5,0)</f>
        <v>314.64000000000004</v>
      </c>
      <c r="BN195" s="106">
        <f>+VLOOKUP($BD195,'Oct-25'!$A:$J,5,0)</f>
        <v>781.8</v>
      </c>
      <c r="BO195" s="106">
        <f>+VLOOKUP($BD195,'Nov-25'!$A:$J,5,0)</f>
        <v>0</v>
      </c>
      <c r="BP195" s="106">
        <f>+VLOOKUP($BD195,'Dec-25'!$A:$J,5,0)</f>
        <v>0</v>
      </c>
      <c r="BQ195" s="106">
        <f t="shared" si="2294"/>
        <v>2604.9152263374481</v>
      </c>
      <c r="BR195" s="118">
        <f t="shared" si="1870"/>
        <v>23.584905660377359</v>
      </c>
      <c r="BS195" s="106">
        <f>+_xlfn.XLOOKUP($BD195,Budget!$A:$A,Budget!BD:BD)</f>
        <v>31.8</v>
      </c>
      <c r="BT195" s="106">
        <f>+_xlfn.XLOOKUP($BD195,Budget!$A:$A,Budget!BE:BE)</f>
        <v>31.8</v>
      </c>
      <c r="BU195" s="106">
        <f>+_xlfn.XLOOKUP($BD195,Budget!$A:$A,Budget!BF:BF)</f>
        <v>31.8</v>
      </c>
      <c r="BV195" s="106">
        <f>+_xlfn.XLOOKUP($BD195,Budget!$A:$A,Budget!BG:BG)</f>
        <v>31.8</v>
      </c>
      <c r="BW195" s="106">
        <f>+_xlfn.XLOOKUP($BD195,Budget!$A:$A,Budget!BH:BH)</f>
        <v>31.8</v>
      </c>
      <c r="BX195" s="106">
        <f>+_xlfn.XLOOKUP($BD195,Budget!$A:$A,Budget!BI:BI)</f>
        <v>31.8</v>
      </c>
      <c r="BY195" s="106">
        <f>+_xlfn.XLOOKUP($BD195,Budget!$A:$A,Budget!BJ:BJ)</f>
        <v>31.8</v>
      </c>
      <c r="BZ195" s="106">
        <f>+_xlfn.XLOOKUP($BD195,Budget!$A:$A,Budget!BK:BK)</f>
        <v>31.8</v>
      </c>
      <c r="CA195" s="106">
        <f>+_xlfn.XLOOKUP($BD195,Budget!$A:$A,Budget!BL:BL)</f>
        <v>31.8</v>
      </c>
      <c r="CB195" s="106">
        <f>+_xlfn.XLOOKUP($BD195,Budget!$A:$A,Budget!BM:BM)</f>
        <v>31.8</v>
      </c>
      <c r="CC195" s="106">
        <f>+_xlfn.XLOOKUP($BD195,Budget!$A:$A,Budget!BN:BN)</f>
        <v>31.8</v>
      </c>
      <c r="CD195" s="106">
        <f>+_xlfn.XLOOKUP($BD195,Budget!$A:$A,Budget!BO:BO)</f>
        <v>31.8</v>
      </c>
      <c r="CE195" s="106">
        <f t="shared" si="2295"/>
        <v>381.60000000000008</v>
      </c>
      <c r="CF195" s="106"/>
      <c r="CG195" s="106">
        <v>15.9</v>
      </c>
      <c r="CH195" s="106">
        <v>15.9</v>
      </c>
      <c r="CI195" s="106">
        <v>15.9</v>
      </c>
      <c r="CJ195" s="106">
        <v>15.9</v>
      </c>
      <c r="CK195" s="106">
        <v>77.900000000000006</v>
      </c>
      <c r="CL195" s="106">
        <v>15.9</v>
      </c>
      <c r="CM195" s="106">
        <v>15.9</v>
      </c>
      <c r="CN195" s="106">
        <v>15.9</v>
      </c>
      <c r="CO195" s="106">
        <v>15.9</v>
      </c>
      <c r="CP195" s="106">
        <v>15.9</v>
      </c>
      <c r="CQ195" s="106">
        <v>15.9</v>
      </c>
      <c r="CR195" s="106">
        <v>15.9</v>
      </c>
      <c r="CS195" s="106">
        <f t="shared" si="2296"/>
        <v>252.80000000000004</v>
      </c>
      <c r="CT195" s="16" t="str">
        <f t="shared" si="2231"/>
        <v>License Fees</v>
      </c>
      <c r="CU195" s="106">
        <f>+VLOOKUP($BD195,'Jan-25'!$A:$J,8,0)</f>
        <v>15.9</v>
      </c>
      <c r="CV195" s="106">
        <f>+VLOOKUP($BD195,'Feb-25'!$A:$J,8,0)</f>
        <v>15.9</v>
      </c>
      <c r="CW195" s="106">
        <f>+VLOOKUP($BD195,'Mar-25'!$A:$J,8,0)</f>
        <v>15.9</v>
      </c>
      <c r="CX195" s="106">
        <f>+VLOOKUP($BD195,'Apr-25'!$A:$J,8,0)</f>
        <v>15.9</v>
      </c>
      <c r="CY195" s="106">
        <f>+VLOOKUP($BD195,'May-25'!$A:$J,8,0)</f>
        <v>15.9</v>
      </c>
      <c r="CZ195" s="106">
        <f>+VLOOKUP($BD195,'June-25'!$A:$J,8,0)</f>
        <v>15.9</v>
      </c>
      <c r="DA195" s="106">
        <f>+VLOOKUP($BD195,'July-25'!$A:$J,8,0)</f>
        <v>517.95761316872392</v>
      </c>
      <c r="DB195" s="106">
        <f>+VLOOKUP($BD195,'Aug-25'!$A:$J,8,0)</f>
        <v>140.88</v>
      </c>
      <c r="DC195" s="106">
        <f>+VLOOKUP($BD195,'Sep-25'!$A:$J,8,0)</f>
        <v>157.32000000000002</v>
      </c>
      <c r="DD195" s="106">
        <f>+VLOOKUP($BD195,'Oct-25'!$A:$J,8,0)</f>
        <v>390.9</v>
      </c>
      <c r="DE195" s="106">
        <f>+VLOOKUP($BD195,'Nov-25'!$A:$J,8,0)</f>
        <v>0</v>
      </c>
      <c r="DF195" s="106">
        <f>+VLOOKUP($BD195,'Dec-25'!$A:$J,8,0)</f>
        <v>0</v>
      </c>
      <c r="DG195" s="106">
        <f t="shared" si="2297"/>
        <v>1302.457613168724</v>
      </c>
      <c r="DH195" s="118">
        <f t="shared" si="1874"/>
        <v>0.65122500704026998</v>
      </c>
      <c r="DI195" s="106">
        <f>+_xlfn.XLOOKUP($CT195,Budget!$A:$A,Budget!CQ:CQ)</f>
        <v>236.73333333333338</v>
      </c>
      <c r="DJ195" s="106">
        <f>+_xlfn.XLOOKUP($CT195,Budget!$A:$A,Budget!CR:CR)</f>
        <v>236.73333333333338</v>
      </c>
      <c r="DK195" s="106">
        <f>+_xlfn.XLOOKUP($CT195,Budget!$A:$A,Budget!CS:CS)</f>
        <v>236.73333333333338</v>
      </c>
      <c r="DL195" s="106">
        <f>+_xlfn.XLOOKUP($CT195,Budget!$A:$A,Budget!CT:CT)</f>
        <v>236.73333333333338</v>
      </c>
      <c r="DM195" s="106">
        <f>+_xlfn.XLOOKUP($CT195,Budget!$A:$A,Budget!CU:CU)</f>
        <v>236.73333333333338</v>
      </c>
      <c r="DN195" s="106">
        <f>+_xlfn.XLOOKUP($CT195,Budget!$A:$A,Budget!CV:CV)</f>
        <v>236.73333333333338</v>
      </c>
      <c r="DO195" s="106">
        <f>+_xlfn.XLOOKUP($CT195,Budget!$A:$A,Budget!CW:CW)</f>
        <v>236.73333333333338</v>
      </c>
      <c r="DP195" s="106">
        <f>+_xlfn.XLOOKUP($CT195,Budget!$A:$A,Budget!CX:CX)</f>
        <v>236.73333333333338</v>
      </c>
      <c r="DQ195" s="106">
        <f>+_xlfn.XLOOKUP($CT195,Budget!$A:$A,Budget!CY:CY)</f>
        <v>236.73333333333338</v>
      </c>
      <c r="DR195" s="106">
        <f>+_xlfn.XLOOKUP($CT195,Budget!$A:$A,Budget!CZ:CZ)</f>
        <v>236.73333333333338</v>
      </c>
      <c r="DS195" s="106">
        <f>+_xlfn.XLOOKUP($CT195,Budget!$A:$A,Budget!DA:DA)</f>
        <v>236.73333333333338</v>
      </c>
      <c r="DT195" s="106">
        <f>+_xlfn.XLOOKUP($CT195,Budget!$A:$A,Budget!DB:DB)</f>
        <v>236.73333333333338</v>
      </c>
      <c r="DU195" s="106">
        <f t="shared" si="2298"/>
        <v>2840.8000000000011</v>
      </c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106">
        <f t="shared" si="2299"/>
        <v>0</v>
      </c>
      <c r="EJ195" s="16" t="str">
        <f t="shared" si="1555"/>
        <v>License Fees</v>
      </c>
      <c r="EK195" s="22">
        <f>+VLOOKUP($BD195,'Jan-25'!$A:$J,10,0)</f>
        <v>0</v>
      </c>
      <c r="EL195" s="22">
        <f>+VLOOKUP($BD195,'Feb-25'!$A:$J,10,0)</f>
        <v>0</v>
      </c>
      <c r="EM195" s="22">
        <f>+VLOOKUP($BD195,'Mar-25'!$A:$J,10,0)</f>
        <v>0</v>
      </c>
      <c r="EN195" s="22">
        <f>+VLOOKUP($BD195,'Apr-25'!$A:$J,10,0)</f>
        <v>0</v>
      </c>
      <c r="EO195" s="22">
        <f>+VLOOKUP($BD195,'May-25'!$A:$J,10,0)</f>
        <v>0</v>
      </c>
      <c r="EP195" s="22">
        <f>+VLOOKUP($BD195,'June-25'!$A:$J,10,0)</f>
        <v>0</v>
      </c>
      <c r="EQ195" s="22">
        <f>+VLOOKUP($BD195,'July-25'!$A:$J,10,0)</f>
        <v>0</v>
      </c>
      <c r="ER195" s="22">
        <f>+VLOOKUP($BD195,'Aug-25'!$A:$J,10,0)</f>
        <v>0</v>
      </c>
      <c r="ES195" s="22">
        <f>+VLOOKUP($BD195,'Sep-25'!$A:$J,10,0)</f>
        <v>0</v>
      </c>
      <c r="ET195" s="22">
        <f>+VLOOKUP($BD195,'Oct-25'!$A:$J,10,0)</f>
        <v>0</v>
      </c>
      <c r="EU195" s="22">
        <f>+VLOOKUP($BD195,'Nov-25'!$A:$J,10,0)</f>
        <v>0</v>
      </c>
      <c r="EV195" s="22">
        <f>+VLOOKUP($BD195,'Dec-25'!$A:$J,10,0)</f>
        <v>0</v>
      </c>
      <c r="EW195" s="22">
        <f t="shared" si="2300"/>
        <v>0</v>
      </c>
      <c r="EX195" s="118" t="e">
        <f t="shared" si="1878"/>
        <v>#DIV/0!</v>
      </c>
      <c r="EY195" s="106">
        <f>+_xlfn.XLOOKUP($EJ195,Budget!$A:$A,Budget!DR:DR)</f>
        <v>0</v>
      </c>
      <c r="EZ195" s="106">
        <f>+_xlfn.XLOOKUP($EJ195,Budget!$A:$A,Budget!DS:DS)</f>
        <v>0</v>
      </c>
      <c r="FA195" s="106">
        <f>+_xlfn.XLOOKUP($EJ195,Budget!$A:$A,Budget!DT:DT)</f>
        <v>0</v>
      </c>
      <c r="FB195" s="106">
        <f>+_xlfn.XLOOKUP($EJ195,Budget!$A:$A,Budget!DU:DU)</f>
        <v>0</v>
      </c>
      <c r="FC195" s="106">
        <f>+_xlfn.XLOOKUP($EJ195,Budget!$A:$A,Budget!DV:DV)</f>
        <v>0</v>
      </c>
      <c r="FD195" s="106">
        <f>+_xlfn.XLOOKUP($EJ195,Budget!$A:$A,Budget!DW:DW)</f>
        <v>0</v>
      </c>
      <c r="FE195" s="106">
        <f>+_xlfn.XLOOKUP($EJ195,Budget!$A:$A,Budget!DX:DX)</f>
        <v>0</v>
      </c>
      <c r="FF195" s="106">
        <f>+_xlfn.XLOOKUP($EJ195,Budget!$A:$A,Budget!DY:DY)</f>
        <v>0</v>
      </c>
      <c r="FG195" s="106">
        <f>+_xlfn.XLOOKUP($EJ195,Budget!$A:$A,Budget!DZ:DZ)</f>
        <v>0</v>
      </c>
      <c r="FH195" s="106">
        <f>+_xlfn.XLOOKUP($EJ195,Budget!$A:$A,Budget!EA:EA)</f>
        <v>0</v>
      </c>
      <c r="FI195" s="106">
        <f>+_xlfn.XLOOKUP($EJ195,Budget!$A:$A,Budget!EB:EB)</f>
        <v>0</v>
      </c>
      <c r="FJ195" s="106">
        <f>+_xlfn.XLOOKUP($EJ195,Budget!$A:$A,Budget!EC:EC)</f>
        <v>0</v>
      </c>
      <c r="FK195" s="106">
        <f t="shared" si="2301"/>
        <v>0</v>
      </c>
    </row>
    <row r="196" spans="1:167" ht="14.45" hidden="1" customHeight="1" outlineLevel="2">
      <c r="A196" s="106">
        <f t="shared" si="2265"/>
        <v>550.024</v>
      </c>
      <c r="B196" s="106">
        <f t="shared" si="2265"/>
        <v>550</v>
      </c>
      <c r="C196" s="106">
        <f t="shared" si="2265"/>
        <v>550</v>
      </c>
      <c r="D196" s="106">
        <f t="shared" si="2265"/>
        <v>550</v>
      </c>
      <c r="E196" s="106">
        <f t="shared" si="2265"/>
        <v>550</v>
      </c>
      <c r="F196" s="106">
        <f t="shared" si="2265"/>
        <v>550</v>
      </c>
      <c r="G196" s="106">
        <f t="shared" si="2265"/>
        <v>550</v>
      </c>
      <c r="H196" s="106">
        <f t="shared" si="2265"/>
        <v>550</v>
      </c>
      <c r="I196" s="106">
        <f t="shared" si="2265"/>
        <v>550.024</v>
      </c>
      <c r="J196" s="106">
        <f t="shared" si="2265"/>
        <v>0</v>
      </c>
      <c r="K196" s="106">
        <f t="shared" si="2265"/>
        <v>3613.0240000000003</v>
      </c>
      <c r="L196" s="106">
        <f t="shared" si="2265"/>
        <v>550</v>
      </c>
      <c r="M196" s="106">
        <f t="shared" si="2266"/>
        <v>9113.0720000000001</v>
      </c>
      <c r="N196" s="16" t="s">
        <v>233</v>
      </c>
      <c r="O196" s="106">
        <f t="shared" si="2267"/>
        <v>550</v>
      </c>
      <c r="P196" s="106">
        <f t="shared" si="2268"/>
        <v>550</v>
      </c>
      <c r="Q196" s="106">
        <f t="shared" si="2269"/>
        <v>550.024</v>
      </c>
      <c r="R196" s="106">
        <f t="shared" si="2270"/>
        <v>550.024</v>
      </c>
      <c r="S196" s="106">
        <f t="shared" si="2271"/>
        <v>550.024</v>
      </c>
      <c r="T196" s="106">
        <f t="shared" si="2272"/>
        <v>550.024</v>
      </c>
      <c r="U196" s="106">
        <f t="shared" si="2273"/>
        <v>110550.0236</v>
      </c>
      <c r="V196" s="106">
        <f t="shared" si="2274"/>
        <v>2550</v>
      </c>
      <c r="W196" s="106">
        <f t="shared" si="2275"/>
        <v>1480.52</v>
      </c>
      <c r="X196" s="106">
        <f t="shared" si="2276"/>
        <v>550</v>
      </c>
      <c r="Y196" s="106">
        <f t="shared" si="2277"/>
        <v>0</v>
      </c>
      <c r="Z196" s="106">
        <f t="shared" si="2278"/>
        <v>0</v>
      </c>
      <c r="AA196" s="106">
        <f t="shared" si="2279"/>
        <v>118430.63960000001</v>
      </c>
      <c r="AB196" s="118">
        <f t="shared" si="1854"/>
        <v>-0.94786741519706175</v>
      </c>
      <c r="AC196" s="106">
        <f t="shared" si="2280"/>
        <v>10550.023600000004</v>
      </c>
      <c r="AD196" s="106">
        <f t="shared" si="2281"/>
        <v>10550.0236</v>
      </c>
      <c r="AE196" s="106">
        <f t="shared" si="2282"/>
        <v>10550.0236</v>
      </c>
      <c r="AF196" s="106">
        <f t="shared" si="2283"/>
        <v>10550.0236</v>
      </c>
      <c r="AG196" s="106">
        <f t="shared" si="2284"/>
        <v>10550.0236</v>
      </c>
      <c r="AH196" s="106">
        <f t="shared" si="2285"/>
        <v>10550.0236</v>
      </c>
      <c r="AI196" s="106">
        <f t="shared" si="2286"/>
        <v>10550.0236</v>
      </c>
      <c r="AJ196" s="106">
        <f t="shared" si="2287"/>
        <v>10550.0236</v>
      </c>
      <c r="AK196" s="106">
        <f t="shared" si="2288"/>
        <v>10550.0236</v>
      </c>
      <c r="AL196" s="106">
        <f t="shared" si="2289"/>
        <v>10550.0236</v>
      </c>
      <c r="AM196" s="106">
        <f t="shared" si="2290"/>
        <v>10550.0236</v>
      </c>
      <c r="AN196" s="106">
        <f t="shared" si="2291"/>
        <v>10550.0236</v>
      </c>
      <c r="AO196" s="106">
        <f t="shared" si="2292"/>
        <v>126600.28320000001</v>
      </c>
      <c r="AQ196" s="106">
        <v>0</v>
      </c>
      <c r="AR196" s="106">
        <v>0</v>
      </c>
      <c r="AS196" s="106">
        <v>0</v>
      </c>
      <c r="AT196" s="106">
        <v>0</v>
      </c>
      <c r="AU196" s="106">
        <v>0</v>
      </c>
      <c r="AV196" s="106">
        <v>0</v>
      </c>
      <c r="AW196" s="106">
        <v>0</v>
      </c>
      <c r="AX196" s="106">
        <v>0</v>
      </c>
      <c r="AY196" s="106">
        <v>0</v>
      </c>
      <c r="AZ196" s="106">
        <v>0</v>
      </c>
      <c r="BA196" s="106">
        <v>252</v>
      </c>
      <c r="BB196" s="106">
        <v>0</v>
      </c>
      <c r="BC196" s="106">
        <f t="shared" si="2293"/>
        <v>252</v>
      </c>
      <c r="BD196" s="16" t="str">
        <f t="shared" si="2230"/>
        <v>Fees and Taxes</v>
      </c>
      <c r="BE196" s="106">
        <f>+VLOOKUP($BD196,'Jan-25'!$A:$J,5,0)</f>
        <v>0</v>
      </c>
      <c r="BF196" s="106">
        <f>+VLOOKUP($BD196,'Feb-25'!$A:$J,5,0)</f>
        <v>0</v>
      </c>
      <c r="BG196" s="106">
        <f>+VLOOKUP($BD196,'Mar-25'!$A:$J,5,0)</f>
        <v>0</v>
      </c>
      <c r="BH196" s="106">
        <f>+VLOOKUP($BD196,'Apr-25'!$A:$J,5,0)</f>
        <v>0</v>
      </c>
      <c r="BI196" s="106">
        <f>+VLOOKUP($BD196,'May-25'!$A:$J,5,0)</f>
        <v>0</v>
      </c>
      <c r="BJ196" s="106">
        <f>+VLOOKUP($BD196,'June-25'!$A:$J,5,0)</f>
        <v>0</v>
      </c>
      <c r="BK196" s="106">
        <f>+VLOOKUP($BD196,'July-25'!$A:$J,5,0)</f>
        <v>0</v>
      </c>
      <c r="BL196" s="106">
        <f>+VLOOKUP($BD196,'Aug-25'!$A:$J,5,0)</f>
        <v>0</v>
      </c>
      <c r="BM196" s="106">
        <f>+VLOOKUP($BD196,'Sep-25'!$A:$J,5,0)</f>
        <v>42.480000000000004</v>
      </c>
      <c r="BN196" s="106">
        <f>+VLOOKUP($BD196,'Oct-25'!$A:$J,5,0)</f>
        <v>0</v>
      </c>
      <c r="BO196" s="106">
        <f>+VLOOKUP($BD196,'Nov-25'!$A:$J,5,0)</f>
        <v>0</v>
      </c>
      <c r="BP196" s="106">
        <f>+VLOOKUP($BD196,'Dec-25'!$A:$J,5,0)</f>
        <v>0</v>
      </c>
      <c r="BQ196" s="106">
        <f t="shared" si="2294"/>
        <v>42.480000000000004</v>
      </c>
      <c r="BR196" s="118">
        <f t="shared" si="1870"/>
        <v>0</v>
      </c>
      <c r="BS196" s="106">
        <f>+_xlfn.XLOOKUP($BD196,Budget!$A:$A,Budget!BD:BD)</f>
        <v>0</v>
      </c>
      <c r="BT196" s="106">
        <f>+_xlfn.XLOOKUP($BD196,Budget!$A:$A,Budget!BE:BE)</f>
        <v>0</v>
      </c>
      <c r="BU196" s="106">
        <f>+_xlfn.XLOOKUP($BD196,Budget!$A:$A,Budget!BF:BF)</f>
        <v>0</v>
      </c>
      <c r="BV196" s="106">
        <f>+_xlfn.XLOOKUP($BD196,Budget!$A:$A,Budget!BG:BG)</f>
        <v>0</v>
      </c>
      <c r="BW196" s="106">
        <f>+_xlfn.XLOOKUP($BD196,Budget!$A:$A,Budget!BH:BH)</f>
        <v>0</v>
      </c>
      <c r="BX196" s="106">
        <f>+_xlfn.XLOOKUP($BD196,Budget!$A:$A,Budget!BI:BI)</f>
        <v>0</v>
      </c>
      <c r="BY196" s="106">
        <f>+_xlfn.XLOOKUP($BD196,Budget!$A:$A,Budget!BJ:BJ)</f>
        <v>0</v>
      </c>
      <c r="BZ196" s="106">
        <f>+_xlfn.XLOOKUP($BD196,Budget!$A:$A,Budget!BK:BK)</f>
        <v>0</v>
      </c>
      <c r="CA196" s="106">
        <f>+_xlfn.XLOOKUP($BD196,Budget!$A:$A,Budget!BL:BL)</f>
        <v>0</v>
      </c>
      <c r="CB196" s="106">
        <f>+_xlfn.XLOOKUP($BD196,Budget!$A:$A,Budget!BM:BM)</f>
        <v>0</v>
      </c>
      <c r="CC196" s="106">
        <f>+_xlfn.XLOOKUP($BD196,Budget!$A:$A,Budget!BN:BN)</f>
        <v>0</v>
      </c>
      <c r="CD196" s="106">
        <f>+_xlfn.XLOOKUP($BD196,Budget!$A:$A,Budget!BO:BO)</f>
        <v>0</v>
      </c>
      <c r="CE196" s="106">
        <f t="shared" si="2295"/>
        <v>0</v>
      </c>
      <c r="CF196" s="106"/>
      <c r="CG196" s="106">
        <v>550.024</v>
      </c>
      <c r="CH196" s="106">
        <v>550</v>
      </c>
      <c r="CI196" s="106">
        <v>550</v>
      </c>
      <c r="CJ196" s="106">
        <v>550</v>
      </c>
      <c r="CK196" s="106">
        <v>550</v>
      </c>
      <c r="CL196" s="106">
        <v>550</v>
      </c>
      <c r="CM196" s="106">
        <v>550</v>
      </c>
      <c r="CN196" s="106">
        <v>550</v>
      </c>
      <c r="CO196" s="106">
        <v>550.024</v>
      </c>
      <c r="CP196" s="106">
        <v>0</v>
      </c>
      <c r="CQ196" s="106">
        <v>3361.0240000000003</v>
      </c>
      <c r="CR196" s="106">
        <v>550</v>
      </c>
      <c r="CS196" s="106">
        <f t="shared" si="2296"/>
        <v>8861.0720000000001</v>
      </c>
      <c r="CT196" s="16" t="str">
        <f t="shared" si="2231"/>
        <v>Fees and Taxes</v>
      </c>
      <c r="CU196" s="106">
        <f>+VLOOKUP($BD196,'Jan-25'!$A:$J,8,0)</f>
        <v>550</v>
      </c>
      <c r="CV196" s="106">
        <f>+VLOOKUP($BD196,'Feb-25'!$A:$J,8,0)</f>
        <v>550</v>
      </c>
      <c r="CW196" s="106">
        <f>+VLOOKUP($BD196,'Mar-25'!$A:$J,8,0)</f>
        <v>550.024</v>
      </c>
      <c r="CX196" s="106">
        <f>+VLOOKUP($BD196,'Apr-25'!$A:$J,8,0)</f>
        <v>550.024</v>
      </c>
      <c r="CY196" s="106">
        <f>+VLOOKUP($BD196,'May-25'!$A:$J,8,0)</f>
        <v>550.024</v>
      </c>
      <c r="CZ196" s="106">
        <f>+VLOOKUP($BD196,'June-25'!$A:$J,8,0)</f>
        <v>550.024</v>
      </c>
      <c r="DA196" s="106">
        <f>+VLOOKUP($BD196,'July-25'!$A:$J,8,0)</f>
        <v>550.02359999999999</v>
      </c>
      <c r="DB196" s="106">
        <f>+VLOOKUP($BD196,'Aug-25'!$A:$J,8,0)</f>
        <v>2550</v>
      </c>
      <c r="DC196" s="106">
        <f>+VLOOKUP($BD196,'Sep-25'!$A:$J,8,0)</f>
        <v>571.24</v>
      </c>
      <c r="DD196" s="106">
        <f>+VLOOKUP($BD196,'Oct-25'!$A:$J,8,0)</f>
        <v>550</v>
      </c>
      <c r="DE196" s="106">
        <f>+VLOOKUP($BD196,'Nov-25'!$A:$J,8,0)</f>
        <v>0</v>
      </c>
      <c r="DF196" s="106">
        <f>+VLOOKUP($BD196,'Dec-25'!$A:$J,8,0)</f>
        <v>0</v>
      </c>
      <c r="DG196" s="106">
        <f t="shared" si="2297"/>
        <v>7521.3595999999998</v>
      </c>
      <c r="DH196" s="118">
        <f t="shared" si="1874"/>
        <v>-4.2907249797986177E-5</v>
      </c>
      <c r="DI196" s="106">
        <f>+_xlfn.XLOOKUP($CT196,Budget!$A:$A,Budget!CQ:CQ)</f>
        <v>550.02359999999999</v>
      </c>
      <c r="DJ196" s="106">
        <f>+_xlfn.XLOOKUP($CT196,Budget!$A:$A,Budget!CR:CR)</f>
        <v>550.02359999999999</v>
      </c>
      <c r="DK196" s="106">
        <f>+_xlfn.XLOOKUP($CT196,Budget!$A:$A,Budget!CS:CS)</f>
        <v>550.02359999999999</v>
      </c>
      <c r="DL196" s="106">
        <f>+_xlfn.XLOOKUP($CT196,Budget!$A:$A,Budget!CT:CT)</f>
        <v>550.02359999999999</v>
      </c>
      <c r="DM196" s="106">
        <f>+_xlfn.XLOOKUP($CT196,Budget!$A:$A,Budget!CU:CU)</f>
        <v>550.02359999999999</v>
      </c>
      <c r="DN196" s="106">
        <f>+_xlfn.XLOOKUP($CT196,Budget!$A:$A,Budget!CV:CV)</f>
        <v>550.02359999999999</v>
      </c>
      <c r="DO196" s="106">
        <f>+_xlfn.XLOOKUP($CT196,Budget!$A:$A,Budget!CW:CW)</f>
        <v>550.02359999999999</v>
      </c>
      <c r="DP196" s="106">
        <f>+_xlfn.XLOOKUP($CT196,Budget!$A:$A,Budget!CX:CX)</f>
        <v>550.02359999999999</v>
      </c>
      <c r="DQ196" s="106">
        <f>+_xlfn.XLOOKUP($CT196,Budget!$A:$A,Budget!CY:CY)</f>
        <v>550.02359999999999</v>
      </c>
      <c r="DR196" s="106">
        <f>+_xlfn.XLOOKUP($CT196,Budget!$A:$A,Budget!CZ:CZ)</f>
        <v>550.02359999999999</v>
      </c>
      <c r="DS196" s="106">
        <f>+_xlfn.XLOOKUP($CT196,Budget!$A:$A,Budget!DA:DA)</f>
        <v>550.02359999999999</v>
      </c>
      <c r="DT196" s="106">
        <f>+_xlfn.XLOOKUP($CT196,Budget!$A:$A,Budget!DB:DB)</f>
        <v>550.02359999999999</v>
      </c>
      <c r="DU196" s="106">
        <f t="shared" si="2298"/>
        <v>6600.2832000000017</v>
      </c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106">
        <f t="shared" si="2299"/>
        <v>0</v>
      </c>
      <c r="EJ196" s="16" t="str">
        <f t="shared" si="1555"/>
        <v>Fees and Taxes</v>
      </c>
      <c r="EK196" s="22">
        <f>+VLOOKUP($BD196,'Jan-25'!$A:$J,10,0)</f>
        <v>0</v>
      </c>
      <c r="EL196" s="22">
        <f>+VLOOKUP($BD196,'Feb-25'!$A:$J,10,0)</f>
        <v>0</v>
      </c>
      <c r="EM196" s="22">
        <f>+VLOOKUP($BD196,'Mar-25'!$A:$J,10,0)</f>
        <v>0</v>
      </c>
      <c r="EN196" s="22">
        <f>+VLOOKUP($BD196,'Apr-25'!$A:$J,10,0)</f>
        <v>0</v>
      </c>
      <c r="EO196" s="22">
        <f>+VLOOKUP($BD196,'May-25'!$A:$J,10,0)</f>
        <v>0</v>
      </c>
      <c r="EP196" s="22">
        <f>+VLOOKUP($BD196,'June-25'!$A:$J,10,0)</f>
        <v>0</v>
      </c>
      <c r="EQ196" s="22">
        <f>+VLOOKUP($BD196,'July-25'!$A:$J,10,0)</f>
        <v>110000</v>
      </c>
      <c r="ER196" s="22">
        <f>+VLOOKUP($BD196,'Aug-25'!$A:$J,10,0)</f>
        <v>0</v>
      </c>
      <c r="ES196" s="22">
        <f>+VLOOKUP($BD196,'Sep-25'!$A:$J,10,0)</f>
        <v>866.80000000000007</v>
      </c>
      <c r="ET196" s="22">
        <f>+VLOOKUP($BD196,'Oct-25'!$A:$J,10,0)</f>
        <v>0</v>
      </c>
      <c r="EU196" s="22">
        <f>+VLOOKUP($BD196,'Nov-25'!$A:$J,10,0)</f>
        <v>0</v>
      </c>
      <c r="EV196" s="22">
        <f>+VLOOKUP($BD196,'Dec-25'!$A:$J,10,0)</f>
        <v>0</v>
      </c>
      <c r="EW196" s="22">
        <f t="shared" si="2300"/>
        <v>110866.8</v>
      </c>
      <c r="EX196" s="118">
        <f t="shared" si="1878"/>
        <v>-0.91332000000000002</v>
      </c>
      <c r="EY196" s="106">
        <f>+_xlfn.XLOOKUP($EJ196,Budget!$A:$A,Budget!DR:DR)</f>
        <v>10000.000000000004</v>
      </c>
      <c r="EZ196" s="106">
        <f>+_xlfn.XLOOKUP($EJ196,Budget!$A:$A,Budget!DS:DS)</f>
        <v>10000</v>
      </c>
      <c r="FA196" s="106">
        <f>+_xlfn.XLOOKUP($EJ196,Budget!$A:$A,Budget!DT:DT)</f>
        <v>10000</v>
      </c>
      <c r="FB196" s="106">
        <f>+_xlfn.XLOOKUP($EJ196,Budget!$A:$A,Budget!DU:DU)</f>
        <v>10000</v>
      </c>
      <c r="FC196" s="106">
        <f>+_xlfn.XLOOKUP($EJ196,Budget!$A:$A,Budget!DV:DV)</f>
        <v>10000</v>
      </c>
      <c r="FD196" s="106">
        <f>+_xlfn.XLOOKUP($EJ196,Budget!$A:$A,Budget!DW:DW)</f>
        <v>10000</v>
      </c>
      <c r="FE196" s="106">
        <f>+_xlfn.XLOOKUP($EJ196,Budget!$A:$A,Budget!DX:DX)</f>
        <v>10000</v>
      </c>
      <c r="FF196" s="106">
        <f>+_xlfn.XLOOKUP($EJ196,Budget!$A:$A,Budget!DY:DY)</f>
        <v>10000</v>
      </c>
      <c r="FG196" s="106">
        <f>+_xlfn.XLOOKUP($EJ196,Budget!$A:$A,Budget!DZ:DZ)</f>
        <v>10000</v>
      </c>
      <c r="FH196" s="106">
        <f>+_xlfn.XLOOKUP($EJ196,Budget!$A:$A,Budget!EA:EA)</f>
        <v>10000</v>
      </c>
      <c r="FI196" s="106">
        <f>+_xlfn.XLOOKUP($EJ196,Budget!$A:$A,Budget!EB:EB)</f>
        <v>10000</v>
      </c>
      <c r="FJ196" s="106">
        <f>+_xlfn.XLOOKUP($EJ196,Budget!$A:$A,Budget!EC:EC)</f>
        <v>10000</v>
      </c>
      <c r="FK196" s="106">
        <f t="shared" si="2301"/>
        <v>120000</v>
      </c>
    </row>
    <row r="197" spans="1:167" ht="14.45" hidden="1" customHeight="1" outlineLevel="2">
      <c r="A197" s="106">
        <f t="shared" si="2265"/>
        <v>0</v>
      </c>
      <c r="B197" s="106">
        <f t="shared" si="2265"/>
        <v>0</v>
      </c>
      <c r="C197" s="106">
        <f t="shared" si="2265"/>
        <v>0</v>
      </c>
      <c r="D197" s="106">
        <f t="shared" si="2265"/>
        <v>0</v>
      </c>
      <c r="E197" s="106">
        <f t="shared" si="2265"/>
        <v>0</v>
      </c>
      <c r="F197" s="106">
        <f t="shared" si="2265"/>
        <v>0</v>
      </c>
      <c r="G197" s="106">
        <f t="shared" si="2265"/>
        <v>0</v>
      </c>
      <c r="H197" s="106">
        <f t="shared" si="2265"/>
        <v>0</v>
      </c>
      <c r="I197" s="106">
        <f t="shared" si="2265"/>
        <v>0</v>
      </c>
      <c r="J197" s="106">
        <f t="shared" si="2265"/>
        <v>0</v>
      </c>
      <c r="K197" s="106">
        <f t="shared" si="2265"/>
        <v>0</v>
      </c>
      <c r="L197" s="106">
        <f t="shared" si="2265"/>
        <v>0</v>
      </c>
      <c r="M197" s="106">
        <f t="shared" si="2266"/>
        <v>0</v>
      </c>
      <c r="N197" s="16" t="s">
        <v>165</v>
      </c>
      <c r="O197" s="106">
        <f t="shared" si="2267"/>
        <v>0</v>
      </c>
      <c r="P197" s="106">
        <f t="shared" si="2268"/>
        <v>0</v>
      </c>
      <c r="Q197" s="106">
        <f t="shared" si="2269"/>
        <v>0</v>
      </c>
      <c r="R197" s="106">
        <f t="shared" si="2270"/>
        <v>0</v>
      </c>
      <c r="S197" s="106">
        <f t="shared" si="2271"/>
        <v>0</v>
      </c>
      <c r="T197" s="106">
        <f t="shared" si="2272"/>
        <v>0</v>
      </c>
      <c r="U197" s="106">
        <f t="shared" si="2273"/>
        <v>0</v>
      </c>
      <c r="V197" s="106">
        <f t="shared" si="2274"/>
        <v>0</v>
      </c>
      <c r="W197" s="106">
        <f t="shared" si="2275"/>
        <v>0</v>
      </c>
      <c r="X197" s="106">
        <f t="shared" si="2276"/>
        <v>0</v>
      </c>
      <c r="Y197" s="106">
        <f t="shared" si="2277"/>
        <v>0</v>
      </c>
      <c r="Z197" s="106">
        <f t="shared" si="2278"/>
        <v>0</v>
      </c>
      <c r="AA197" s="106">
        <f t="shared" si="2279"/>
        <v>0</v>
      </c>
      <c r="AB197" s="118">
        <f t="shared" si="1854"/>
        <v>0</v>
      </c>
      <c r="AC197" s="106">
        <f t="shared" si="2280"/>
        <v>0</v>
      </c>
      <c r="AD197" s="106">
        <f t="shared" si="2281"/>
        <v>0</v>
      </c>
      <c r="AE197" s="106">
        <f t="shared" si="2282"/>
        <v>0</v>
      </c>
      <c r="AF197" s="106">
        <f t="shared" si="2283"/>
        <v>0</v>
      </c>
      <c r="AG197" s="106">
        <f t="shared" si="2284"/>
        <v>0</v>
      </c>
      <c r="AH197" s="106">
        <f t="shared" si="2285"/>
        <v>0</v>
      </c>
      <c r="AI197" s="106">
        <f t="shared" si="2286"/>
        <v>0</v>
      </c>
      <c r="AJ197" s="106">
        <f t="shared" si="2287"/>
        <v>0</v>
      </c>
      <c r="AK197" s="106">
        <f t="shared" si="2288"/>
        <v>0</v>
      </c>
      <c r="AL197" s="106">
        <f t="shared" si="2289"/>
        <v>0</v>
      </c>
      <c r="AM197" s="106">
        <f t="shared" si="2290"/>
        <v>0</v>
      </c>
      <c r="AN197" s="106">
        <f t="shared" si="2291"/>
        <v>0</v>
      </c>
      <c r="AO197" s="106">
        <f t="shared" si="2292"/>
        <v>0</v>
      </c>
      <c r="AQ197" s="106">
        <v>0</v>
      </c>
      <c r="AR197" s="106">
        <v>0</v>
      </c>
      <c r="AS197" s="106">
        <v>0</v>
      </c>
      <c r="AT197" s="106">
        <v>0</v>
      </c>
      <c r="AU197" s="106">
        <v>0</v>
      </c>
      <c r="AV197" s="106">
        <v>0</v>
      </c>
      <c r="AW197" s="106">
        <v>0</v>
      </c>
      <c r="AX197" s="106">
        <v>0</v>
      </c>
      <c r="AY197" s="106">
        <v>0</v>
      </c>
      <c r="AZ197" s="106">
        <v>0</v>
      </c>
      <c r="BA197" s="106">
        <v>0</v>
      </c>
      <c r="BB197" s="106">
        <v>0</v>
      </c>
      <c r="BC197" s="106">
        <f t="shared" si="2293"/>
        <v>0</v>
      </c>
      <c r="BD197" s="16" t="str">
        <f t="shared" si="2230"/>
        <v>Lux Elements Expenses</v>
      </c>
      <c r="BE197" s="106">
        <f>+VLOOKUP($BD197,'Jan-25'!$A:$J,5,0)</f>
        <v>0</v>
      </c>
      <c r="BF197" s="106">
        <f>+VLOOKUP($BD197,'Feb-25'!$A:$J,5,0)</f>
        <v>0</v>
      </c>
      <c r="BG197" s="106">
        <f>+VLOOKUP($BD197,'Mar-25'!$A:$J,5,0)</f>
        <v>0</v>
      </c>
      <c r="BH197" s="106">
        <f>+VLOOKUP($BD197,'Apr-25'!$A:$J,5,0)</f>
        <v>0</v>
      </c>
      <c r="BI197" s="106">
        <f>+VLOOKUP($BD197,'May-25'!$A:$J,5,0)</f>
        <v>0</v>
      </c>
      <c r="BJ197" s="106">
        <f>+VLOOKUP($BD197,'June-25'!$A:$J,5,0)</f>
        <v>0</v>
      </c>
      <c r="BK197" s="106">
        <f>+VLOOKUP($BD197,'July-25'!$A:$J,5,0)</f>
        <v>0</v>
      </c>
      <c r="BL197" s="106">
        <f>+VLOOKUP($BD197,'Aug-25'!$A:$J,5,0)</f>
        <v>0</v>
      </c>
      <c r="BM197" s="106">
        <f>+VLOOKUP($BD197,'Sep-25'!$A:$J,5,0)</f>
        <v>0</v>
      </c>
      <c r="BN197" s="106">
        <f>+VLOOKUP($BD197,'Oct-25'!$A:$J,5,0)</f>
        <v>0</v>
      </c>
      <c r="BO197" s="106">
        <f>+VLOOKUP($BD197,'Nov-25'!$A:$J,5,0)</f>
        <v>0</v>
      </c>
      <c r="BP197" s="106">
        <f>+VLOOKUP($BD197,'Dec-25'!$A:$J,5,0)</f>
        <v>0</v>
      </c>
      <c r="BQ197" s="106">
        <f t="shared" si="2294"/>
        <v>0</v>
      </c>
      <c r="BR197" s="118">
        <f t="shared" si="1870"/>
        <v>0</v>
      </c>
      <c r="BS197" s="106">
        <f>+_xlfn.XLOOKUP($BD197,Budget!$A:$A,Budget!BD:BD)</f>
        <v>0</v>
      </c>
      <c r="BT197" s="106">
        <f>+_xlfn.XLOOKUP($BD197,Budget!$A:$A,Budget!BE:BE)</f>
        <v>0</v>
      </c>
      <c r="BU197" s="106">
        <f>+_xlfn.XLOOKUP($BD197,Budget!$A:$A,Budget!BF:BF)</f>
        <v>0</v>
      </c>
      <c r="BV197" s="106">
        <f>+_xlfn.XLOOKUP($BD197,Budget!$A:$A,Budget!BG:BG)</f>
        <v>0</v>
      </c>
      <c r="BW197" s="106">
        <f>+_xlfn.XLOOKUP($BD197,Budget!$A:$A,Budget!BH:BH)</f>
        <v>0</v>
      </c>
      <c r="BX197" s="106">
        <f>+_xlfn.XLOOKUP($BD197,Budget!$A:$A,Budget!BI:BI)</f>
        <v>0</v>
      </c>
      <c r="BY197" s="106">
        <f>+_xlfn.XLOOKUP($BD197,Budget!$A:$A,Budget!BJ:BJ)</f>
        <v>0</v>
      </c>
      <c r="BZ197" s="106">
        <f>+_xlfn.XLOOKUP($BD197,Budget!$A:$A,Budget!BK:BK)</f>
        <v>0</v>
      </c>
      <c r="CA197" s="106">
        <f>+_xlfn.XLOOKUP($BD197,Budget!$A:$A,Budget!BL:BL)</f>
        <v>0</v>
      </c>
      <c r="CB197" s="106">
        <f>+_xlfn.XLOOKUP($BD197,Budget!$A:$A,Budget!BM:BM)</f>
        <v>0</v>
      </c>
      <c r="CC197" s="106">
        <f>+_xlfn.XLOOKUP($BD197,Budget!$A:$A,Budget!BN:BN)</f>
        <v>0</v>
      </c>
      <c r="CD197" s="106">
        <f>+_xlfn.XLOOKUP($BD197,Budget!$A:$A,Budget!BO:BO)</f>
        <v>0</v>
      </c>
      <c r="CE197" s="106">
        <f t="shared" si="2295"/>
        <v>0</v>
      </c>
      <c r="CF197" s="106"/>
      <c r="CG197" s="106">
        <v>0</v>
      </c>
      <c r="CH197" s="106">
        <v>0</v>
      </c>
      <c r="CI197" s="106">
        <v>0</v>
      </c>
      <c r="CJ197" s="106">
        <v>0</v>
      </c>
      <c r="CK197" s="106">
        <v>0</v>
      </c>
      <c r="CL197" s="106">
        <v>0</v>
      </c>
      <c r="CM197" s="106">
        <v>0</v>
      </c>
      <c r="CN197" s="106">
        <v>0</v>
      </c>
      <c r="CO197" s="106">
        <v>0</v>
      </c>
      <c r="CP197" s="106">
        <v>0</v>
      </c>
      <c r="CQ197" s="106">
        <v>0</v>
      </c>
      <c r="CR197" s="106">
        <v>0</v>
      </c>
      <c r="CS197" s="106">
        <f t="shared" si="2296"/>
        <v>0</v>
      </c>
      <c r="CT197" s="16" t="str">
        <f t="shared" si="2231"/>
        <v>Lux Elements Expenses</v>
      </c>
      <c r="CU197" s="106">
        <f>+VLOOKUP($BD197,'Jan-25'!$A:$J,8,0)</f>
        <v>0</v>
      </c>
      <c r="CV197" s="106">
        <f>+VLOOKUP($BD197,'Feb-25'!$A:$J,8,0)</f>
        <v>0</v>
      </c>
      <c r="CW197" s="106">
        <f>+VLOOKUP($BD197,'Mar-25'!$A:$J,8,0)</f>
        <v>0</v>
      </c>
      <c r="CX197" s="106">
        <f>+VLOOKUP($BD197,'Apr-25'!$A:$J,8,0)</f>
        <v>0</v>
      </c>
      <c r="CY197" s="106">
        <f>+VLOOKUP($BD197,'May-25'!$A:$J,8,0)</f>
        <v>0</v>
      </c>
      <c r="CZ197" s="106">
        <f>+VLOOKUP($BD197,'June-25'!$A:$J,8,0)</f>
        <v>0</v>
      </c>
      <c r="DA197" s="106">
        <f>+VLOOKUP($BD197,'July-25'!$A:$J,8,0)</f>
        <v>0</v>
      </c>
      <c r="DB197" s="106">
        <f>+VLOOKUP($BD197,'Aug-25'!$A:$J,8,0)</f>
        <v>0</v>
      </c>
      <c r="DC197" s="106">
        <f>+VLOOKUP($BD197,'Sep-25'!$A:$J,8,0)</f>
        <v>0</v>
      </c>
      <c r="DD197" s="106">
        <f>+VLOOKUP($BD197,'Oct-25'!$A:$J,8,0)</f>
        <v>0</v>
      </c>
      <c r="DE197" s="106">
        <f>+VLOOKUP($BD197,'Nov-25'!$A:$J,8,0)</f>
        <v>0</v>
      </c>
      <c r="DF197" s="106">
        <f>+VLOOKUP($BD197,'Dec-25'!$A:$J,8,0)</f>
        <v>0</v>
      </c>
      <c r="DG197" s="106">
        <f t="shared" si="2297"/>
        <v>0</v>
      </c>
      <c r="DH197" s="118">
        <f t="shared" si="1874"/>
        <v>0</v>
      </c>
      <c r="DI197" s="106">
        <f>+_xlfn.XLOOKUP($CT197,Budget!$A:$A,Budget!CQ:CQ)</f>
        <v>0</v>
      </c>
      <c r="DJ197" s="106">
        <f>+_xlfn.XLOOKUP($CT197,Budget!$A:$A,Budget!CR:CR)</f>
        <v>0</v>
      </c>
      <c r="DK197" s="106">
        <f>+_xlfn.XLOOKUP($CT197,Budget!$A:$A,Budget!CS:CS)</f>
        <v>0</v>
      </c>
      <c r="DL197" s="106">
        <f>+_xlfn.XLOOKUP($CT197,Budget!$A:$A,Budget!CT:CT)</f>
        <v>0</v>
      </c>
      <c r="DM197" s="106">
        <f>+_xlfn.XLOOKUP($CT197,Budget!$A:$A,Budget!CU:CU)</f>
        <v>0</v>
      </c>
      <c r="DN197" s="106">
        <f>+_xlfn.XLOOKUP($CT197,Budget!$A:$A,Budget!CV:CV)</f>
        <v>0</v>
      </c>
      <c r="DO197" s="106">
        <f>+_xlfn.XLOOKUP($CT197,Budget!$A:$A,Budget!CW:CW)</f>
        <v>0</v>
      </c>
      <c r="DP197" s="106">
        <f>+_xlfn.XLOOKUP($CT197,Budget!$A:$A,Budget!CX:CX)</f>
        <v>0</v>
      </c>
      <c r="DQ197" s="106">
        <f>+_xlfn.XLOOKUP($CT197,Budget!$A:$A,Budget!CY:CY)</f>
        <v>0</v>
      </c>
      <c r="DR197" s="106">
        <f>+_xlfn.XLOOKUP($CT197,Budget!$A:$A,Budget!CZ:CZ)</f>
        <v>0</v>
      </c>
      <c r="DS197" s="106">
        <f>+_xlfn.XLOOKUP($CT197,Budget!$A:$A,Budget!DA:DA)</f>
        <v>0</v>
      </c>
      <c r="DT197" s="106">
        <f>+_xlfn.XLOOKUP($CT197,Budget!$A:$A,Budget!DB:DB)</f>
        <v>0</v>
      </c>
      <c r="DU197" s="106">
        <f t="shared" si="2298"/>
        <v>0</v>
      </c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106">
        <f t="shared" si="2299"/>
        <v>0</v>
      </c>
      <c r="EJ197" s="16" t="str">
        <f t="shared" si="1555"/>
        <v>Lux Elements Expenses</v>
      </c>
      <c r="EK197" s="22">
        <f>+VLOOKUP($BD197,'Jan-25'!$A:$J,10,0)</f>
        <v>0</v>
      </c>
      <c r="EL197" s="22">
        <f>+VLOOKUP($BD197,'Feb-25'!$A:$J,10,0)</f>
        <v>0</v>
      </c>
      <c r="EM197" s="22">
        <f>+VLOOKUP($BD197,'Mar-25'!$A:$J,10,0)</f>
        <v>0</v>
      </c>
      <c r="EN197" s="22">
        <f>+VLOOKUP($BD197,'Apr-25'!$A:$J,10,0)</f>
        <v>0</v>
      </c>
      <c r="EO197" s="22">
        <f>+VLOOKUP($BD197,'May-25'!$A:$J,10,0)</f>
        <v>0</v>
      </c>
      <c r="EP197" s="22">
        <f>+VLOOKUP($BD197,'June-25'!$A:$J,10,0)</f>
        <v>0</v>
      </c>
      <c r="EQ197" s="22">
        <f>+VLOOKUP($BD197,'July-25'!$A:$J,10,0)</f>
        <v>0</v>
      </c>
      <c r="ER197" s="22">
        <f>+VLOOKUP($BD197,'Aug-25'!$A:$J,10,0)</f>
        <v>0</v>
      </c>
      <c r="ES197" s="22">
        <f>+VLOOKUP($BD197,'Sep-25'!$A:$J,10,0)</f>
        <v>0</v>
      </c>
      <c r="ET197" s="22">
        <f>+VLOOKUP($BD197,'Oct-25'!$A:$J,10,0)</f>
        <v>0</v>
      </c>
      <c r="EU197" s="22">
        <f>+VLOOKUP($BD197,'Nov-25'!$A:$J,10,0)</f>
        <v>0</v>
      </c>
      <c r="EV197" s="22">
        <f>+VLOOKUP($BD197,'Dec-25'!$A:$J,10,0)</f>
        <v>0</v>
      </c>
      <c r="EW197" s="22">
        <f t="shared" si="2300"/>
        <v>0</v>
      </c>
      <c r="EX197" s="118" t="e">
        <f t="shared" si="1878"/>
        <v>#DIV/0!</v>
      </c>
      <c r="EY197" s="106">
        <f>+_xlfn.XLOOKUP($EJ197,Budget!$A:$A,Budget!DR:DR)</f>
        <v>0</v>
      </c>
      <c r="EZ197" s="106">
        <f>+_xlfn.XLOOKUP($EJ197,Budget!$A:$A,Budget!DS:DS)</f>
        <v>0</v>
      </c>
      <c r="FA197" s="106">
        <f>+_xlfn.XLOOKUP($EJ197,Budget!$A:$A,Budget!DT:DT)</f>
        <v>0</v>
      </c>
      <c r="FB197" s="106">
        <f>+_xlfn.XLOOKUP($EJ197,Budget!$A:$A,Budget!DU:DU)</f>
        <v>0</v>
      </c>
      <c r="FC197" s="106">
        <f>+_xlfn.XLOOKUP($EJ197,Budget!$A:$A,Budget!DV:DV)</f>
        <v>0</v>
      </c>
      <c r="FD197" s="106">
        <f>+_xlfn.XLOOKUP($EJ197,Budget!$A:$A,Budget!DW:DW)</f>
        <v>0</v>
      </c>
      <c r="FE197" s="106">
        <f>+_xlfn.XLOOKUP($EJ197,Budget!$A:$A,Budget!DX:DX)</f>
        <v>0</v>
      </c>
      <c r="FF197" s="106">
        <f>+_xlfn.XLOOKUP($EJ197,Budget!$A:$A,Budget!DY:DY)</f>
        <v>0</v>
      </c>
      <c r="FG197" s="106">
        <f>+_xlfn.XLOOKUP($EJ197,Budget!$A:$A,Budget!DZ:DZ)</f>
        <v>0</v>
      </c>
      <c r="FH197" s="106">
        <f>+_xlfn.XLOOKUP($EJ197,Budget!$A:$A,Budget!EA:EA)</f>
        <v>0</v>
      </c>
      <c r="FI197" s="106">
        <f>+_xlfn.XLOOKUP($EJ197,Budget!$A:$A,Budget!EB:EB)</f>
        <v>0</v>
      </c>
      <c r="FJ197" s="106">
        <f>+_xlfn.XLOOKUP($EJ197,Budget!$A:$A,Budget!EC:EC)</f>
        <v>0</v>
      </c>
      <c r="FK197" s="106">
        <f t="shared" si="2301"/>
        <v>0</v>
      </c>
    </row>
    <row r="198" spans="1:167" ht="14.45" hidden="1" customHeight="1" outlineLevel="2">
      <c r="A198" s="106">
        <f t="shared" si="2265"/>
        <v>4913.2939999999999</v>
      </c>
      <c r="B198" s="106">
        <f t="shared" si="2265"/>
        <v>1689.9008000000001</v>
      </c>
      <c r="C198" s="106">
        <f t="shared" si="2265"/>
        <v>1544.0600000000002</v>
      </c>
      <c r="D198" s="106">
        <f t="shared" si="2265"/>
        <v>2487.1459999999997</v>
      </c>
      <c r="E198" s="106">
        <f t="shared" si="2265"/>
        <v>2047.4299999999998</v>
      </c>
      <c r="F198" s="106">
        <f t="shared" si="2265"/>
        <v>1301.43</v>
      </c>
      <c r="G198" s="106">
        <f t="shared" si="2265"/>
        <v>3315.6200000000003</v>
      </c>
      <c r="H198" s="106">
        <f t="shared" si="2265"/>
        <v>1343.0332000000001</v>
      </c>
      <c r="I198" s="106">
        <f t="shared" si="2265"/>
        <v>4164.42</v>
      </c>
      <c r="J198" s="106">
        <f t="shared" si="2265"/>
        <v>1032.19</v>
      </c>
      <c r="K198" s="106">
        <f t="shared" si="2265"/>
        <v>942.2600000000001</v>
      </c>
      <c r="L198" s="106">
        <f t="shared" si="2265"/>
        <v>1192.93</v>
      </c>
      <c r="M198" s="106">
        <f t="shared" si="2266"/>
        <v>25973.714</v>
      </c>
      <c r="N198" s="16" t="s">
        <v>166</v>
      </c>
      <c r="O198" s="106">
        <f t="shared" si="2267"/>
        <v>3762.17</v>
      </c>
      <c r="P198" s="106">
        <f t="shared" si="2268"/>
        <v>1434.54</v>
      </c>
      <c r="Q198" s="106">
        <f t="shared" si="2269"/>
        <v>916.24</v>
      </c>
      <c r="R198" s="106">
        <f t="shared" si="2270"/>
        <v>1860.6599999999999</v>
      </c>
      <c r="S198" s="106">
        <f t="shared" si="2271"/>
        <v>1733.1980000000003</v>
      </c>
      <c r="T198" s="106">
        <f t="shared" si="2272"/>
        <v>1692.404</v>
      </c>
      <c r="U198" s="106">
        <f t="shared" si="2273"/>
        <v>1867.6000000000001</v>
      </c>
      <c r="V198" s="106">
        <f t="shared" si="2274"/>
        <v>1989.442</v>
      </c>
      <c r="W198" s="106">
        <f t="shared" si="2275"/>
        <v>3705.51</v>
      </c>
      <c r="X198" s="106">
        <f t="shared" si="2276"/>
        <v>9106.598</v>
      </c>
      <c r="Y198" s="106">
        <f t="shared" si="2277"/>
        <v>0</v>
      </c>
      <c r="Z198" s="106">
        <f t="shared" si="2278"/>
        <v>0</v>
      </c>
      <c r="AA198" s="106">
        <f t="shared" si="2279"/>
        <v>28068.362000000001</v>
      </c>
      <c r="AB198" s="118">
        <f t="shared" si="1854"/>
        <v>-0.52246137011970029</v>
      </c>
      <c r="AC198" s="106">
        <f t="shared" si="2280"/>
        <v>19069.866666666669</v>
      </c>
      <c r="AD198" s="106">
        <f t="shared" si="2281"/>
        <v>19069.866666666669</v>
      </c>
      <c r="AE198" s="106">
        <f t="shared" si="2282"/>
        <v>19069.866666666669</v>
      </c>
      <c r="AF198" s="106">
        <f t="shared" si="2283"/>
        <v>19069.866666666669</v>
      </c>
      <c r="AG198" s="106">
        <f t="shared" si="2284"/>
        <v>19069.866666666669</v>
      </c>
      <c r="AH198" s="106">
        <f t="shared" si="2285"/>
        <v>19069.866666666669</v>
      </c>
      <c r="AI198" s="106">
        <f t="shared" si="2286"/>
        <v>19069.866666666669</v>
      </c>
      <c r="AJ198" s="106">
        <f t="shared" si="2287"/>
        <v>19069.866666666669</v>
      </c>
      <c r="AK198" s="106">
        <f t="shared" si="2288"/>
        <v>19069.866666666669</v>
      </c>
      <c r="AL198" s="106">
        <f t="shared" si="2289"/>
        <v>19069.866666666669</v>
      </c>
      <c r="AM198" s="106">
        <f t="shared" si="2290"/>
        <v>19069.866666666669</v>
      </c>
      <c r="AN198" s="106">
        <f t="shared" si="2291"/>
        <v>19069.866666666669</v>
      </c>
      <c r="AO198" s="106">
        <f t="shared" si="2292"/>
        <v>228838.40000000002</v>
      </c>
      <c r="AQ198" s="106">
        <v>1942.6000000000001</v>
      </c>
      <c r="AR198" s="106">
        <v>91.423200000000008</v>
      </c>
      <c r="AS198" s="106">
        <v>456</v>
      </c>
      <c r="AT198" s="106">
        <v>925.00800000000004</v>
      </c>
      <c r="AU198" s="106">
        <v>129.6</v>
      </c>
      <c r="AV198" s="106">
        <v>0</v>
      </c>
      <c r="AW198" s="106">
        <v>1405.0800000000002</v>
      </c>
      <c r="AX198" s="106">
        <v>242.90879999999999</v>
      </c>
      <c r="AY198" s="106">
        <v>0</v>
      </c>
      <c r="AZ198" s="106">
        <v>0</v>
      </c>
      <c r="BA198" s="106">
        <v>0</v>
      </c>
      <c r="BB198" s="106">
        <v>0</v>
      </c>
      <c r="BC198" s="106">
        <f t="shared" si="2293"/>
        <v>5192.6200000000008</v>
      </c>
      <c r="BD198" s="16" t="str">
        <f t="shared" si="2230"/>
        <v>Office Expenses</v>
      </c>
      <c r="BE198" s="106">
        <f>+VLOOKUP($BD198,'Jan-25'!$A:$J,5,0)</f>
        <v>0</v>
      </c>
      <c r="BF198" s="106">
        <f>+VLOOKUP($BD198,'Feb-25'!$A:$J,5,0)</f>
        <v>0</v>
      </c>
      <c r="BG198" s="106">
        <f>+VLOOKUP($BD198,'Mar-25'!$A:$J,5,0)</f>
        <v>120</v>
      </c>
      <c r="BH198" s="106">
        <f>+VLOOKUP($BD198,'Apr-25'!$A:$J,5,0)</f>
        <v>0</v>
      </c>
      <c r="BI198" s="106">
        <f>+VLOOKUP($BD198,'May-25'!$A:$J,5,0)</f>
        <v>284.74400000000003</v>
      </c>
      <c r="BJ198" s="106">
        <f>+VLOOKUP($BD198,'June-25'!$A:$J,5,0)</f>
        <v>376.26400000000001</v>
      </c>
      <c r="BK198" s="106">
        <f>+VLOOKUP($BD198,'July-25'!$A:$J,5,0)</f>
        <v>112.80000000000001</v>
      </c>
      <c r="BL198" s="106">
        <f>+VLOOKUP($BD198,'Aug-25'!$A:$J,5,0)</f>
        <v>752.52800000000002</v>
      </c>
      <c r="BM198" s="106">
        <f>+VLOOKUP($BD198,'Sep-25'!$A:$J,5,0)</f>
        <v>150</v>
      </c>
      <c r="BN198" s="106">
        <f>+VLOOKUP($BD198,'Oct-25'!$A:$J,5,0)</f>
        <v>1584.4880000000001</v>
      </c>
      <c r="BO198" s="106">
        <f>+VLOOKUP($BD198,'Nov-25'!$A:$J,5,0)</f>
        <v>0</v>
      </c>
      <c r="BP198" s="106">
        <f>+VLOOKUP($BD198,'Dec-25'!$A:$J,5,0)</f>
        <v>0</v>
      </c>
      <c r="BQ198" s="106">
        <f t="shared" si="2294"/>
        <v>3380.8240000000001</v>
      </c>
      <c r="BR198" s="118">
        <f t="shared" si="1870"/>
        <v>-0.72853481359649119</v>
      </c>
      <c r="BS198" s="106">
        <f>+_xlfn.XLOOKUP($BD198,Budget!$A:$A,Budget!BD:BD)</f>
        <v>5836.8</v>
      </c>
      <c r="BT198" s="106">
        <f>+_xlfn.XLOOKUP($BD198,Budget!$A:$A,Budget!BE:BE)</f>
        <v>5836.8</v>
      </c>
      <c r="BU198" s="106">
        <f>+_xlfn.XLOOKUP($BD198,Budget!$A:$A,Budget!BF:BF)</f>
        <v>5836.8</v>
      </c>
      <c r="BV198" s="106">
        <f>+_xlfn.XLOOKUP($BD198,Budget!$A:$A,Budget!BG:BG)</f>
        <v>5836.8</v>
      </c>
      <c r="BW198" s="106">
        <f>+_xlfn.XLOOKUP($BD198,Budget!$A:$A,Budget!BH:BH)</f>
        <v>5836.8</v>
      </c>
      <c r="BX198" s="106">
        <f>+_xlfn.XLOOKUP($BD198,Budget!$A:$A,Budget!BI:BI)</f>
        <v>5836.8</v>
      </c>
      <c r="BY198" s="106">
        <f>+_xlfn.XLOOKUP($BD198,Budget!$A:$A,Budget!BJ:BJ)</f>
        <v>5836.8</v>
      </c>
      <c r="BZ198" s="106">
        <f>+_xlfn.XLOOKUP($BD198,Budget!$A:$A,Budget!BK:BK)</f>
        <v>5836.8</v>
      </c>
      <c r="CA198" s="106">
        <f>+_xlfn.XLOOKUP($BD198,Budget!$A:$A,Budget!BL:BL)</f>
        <v>5836.8</v>
      </c>
      <c r="CB198" s="106">
        <f>+_xlfn.XLOOKUP($BD198,Budget!$A:$A,Budget!BM:BM)</f>
        <v>5836.8</v>
      </c>
      <c r="CC198" s="106">
        <f>+_xlfn.XLOOKUP($BD198,Budget!$A:$A,Budget!BN:BN)</f>
        <v>5836.8</v>
      </c>
      <c r="CD198" s="106">
        <f>+_xlfn.XLOOKUP($BD198,Budget!$A:$A,Budget!BO:BO)</f>
        <v>5836.8</v>
      </c>
      <c r="CE198" s="106">
        <f t="shared" si="2295"/>
        <v>70041.60000000002</v>
      </c>
      <c r="CF198" s="106"/>
      <c r="CG198" s="106">
        <v>2970.694</v>
      </c>
      <c r="CH198" s="106">
        <v>1598.4776000000002</v>
      </c>
      <c r="CI198" s="106">
        <v>1088.0600000000002</v>
      </c>
      <c r="CJ198" s="106">
        <v>1562.1379999999999</v>
      </c>
      <c r="CK198" s="106">
        <v>1917.83</v>
      </c>
      <c r="CL198" s="106">
        <v>1301.43</v>
      </c>
      <c r="CM198" s="106">
        <v>1910.5400000000002</v>
      </c>
      <c r="CN198" s="106">
        <v>1100.1244000000002</v>
      </c>
      <c r="CO198" s="106">
        <v>4164.42</v>
      </c>
      <c r="CP198" s="106">
        <v>1032.19</v>
      </c>
      <c r="CQ198" s="106">
        <v>942.2600000000001</v>
      </c>
      <c r="CR198" s="106">
        <v>1192.93</v>
      </c>
      <c r="CS198" s="106">
        <f t="shared" si="2296"/>
        <v>20781.093999999997</v>
      </c>
      <c r="CT198" s="16" t="str">
        <f t="shared" si="2231"/>
        <v>Office Expenses</v>
      </c>
      <c r="CU198" s="106">
        <f>+VLOOKUP($BD198,'Jan-25'!$A:$J,8,0)</f>
        <v>2762.17</v>
      </c>
      <c r="CV198" s="106">
        <f>+VLOOKUP($BD198,'Feb-25'!$A:$J,8,0)</f>
        <v>1434.54</v>
      </c>
      <c r="CW198" s="106">
        <f>+VLOOKUP($BD198,'Mar-25'!$A:$J,8,0)</f>
        <v>796.24</v>
      </c>
      <c r="CX198" s="106">
        <f>+VLOOKUP($BD198,'Apr-25'!$A:$J,8,0)</f>
        <v>1860.6599999999999</v>
      </c>
      <c r="CY198" s="106">
        <f>+VLOOKUP($BD198,'May-25'!$A:$J,8,0)</f>
        <v>1448.4540000000002</v>
      </c>
      <c r="CZ198" s="106">
        <f>+VLOOKUP($BD198,'June-25'!$A:$J,8,0)</f>
        <v>1316.14</v>
      </c>
      <c r="DA198" s="106">
        <f>+VLOOKUP($BD198,'July-25'!$A:$J,8,0)</f>
        <v>1754.8000000000002</v>
      </c>
      <c r="DB198" s="106">
        <f>+VLOOKUP($BD198,'Aug-25'!$A:$J,8,0)</f>
        <v>1236.914</v>
      </c>
      <c r="DC198" s="106">
        <f>+VLOOKUP($BD198,'Sep-25'!$A:$J,8,0)</f>
        <v>3555.51</v>
      </c>
      <c r="DD198" s="106">
        <f>+VLOOKUP($BD198,'Oct-25'!$A:$J,8,0)</f>
        <v>7522.1100000000006</v>
      </c>
      <c r="DE198" s="106">
        <f>+VLOOKUP($BD198,'Nov-25'!$A:$J,8,0)</f>
        <v>0</v>
      </c>
      <c r="DF198" s="106">
        <f>+VLOOKUP($BD198,'Dec-25'!$A:$J,8,0)</f>
        <v>0</v>
      </c>
      <c r="DG198" s="106">
        <f t="shared" si="2297"/>
        <v>23687.538</v>
      </c>
      <c r="DH198" s="118">
        <f t="shared" si="1874"/>
        <v>0.14554550438596492</v>
      </c>
      <c r="DI198" s="106">
        <f>+_xlfn.XLOOKUP($CT198,Budget!$A:$A,Budget!CQ:CQ)</f>
        <v>6566.4000000000005</v>
      </c>
      <c r="DJ198" s="106">
        <f>+_xlfn.XLOOKUP($CT198,Budget!$A:$A,Budget!CR:CR)</f>
        <v>6566.4000000000005</v>
      </c>
      <c r="DK198" s="106">
        <f>+_xlfn.XLOOKUP($CT198,Budget!$A:$A,Budget!CS:CS)</f>
        <v>6566.4000000000005</v>
      </c>
      <c r="DL198" s="106">
        <f>+_xlfn.XLOOKUP($CT198,Budget!$A:$A,Budget!CT:CT)</f>
        <v>6566.4000000000005</v>
      </c>
      <c r="DM198" s="106">
        <f>+_xlfn.XLOOKUP($CT198,Budget!$A:$A,Budget!CU:CU)</f>
        <v>6566.4000000000005</v>
      </c>
      <c r="DN198" s="106">
        <f>+_xlfn.XLOOKUP($CT198,Budget!$A:$A,Budget!CV:CV)</f>
        <v>6566.4000000000005</v>
      </c>
      <c r="DO198" s="106">
        <f>+_xlfn.XLOOKUP($CT198,Budget!$A:$A,Budget!CW:CW)</f>
        <v>6566.4000000000005</v>
      </c>
      <c r="DP198" s="106">
        <f>+_xlfn.XLOOKUP($CT198,Budget!$A:$A,Budget!CX:CX)</f>
        <v>6566.4000000000005</v>
      </c>
      <c r="DQ198" s="106">
        <f>+_xlfn.XLOOKUP($CT198,Budget!$A:$A,Budget!CY:CY)</f>
        <v>6566.4000000000005</v>
      </c>
      <c r="DR198" s="106">
        <f>+_xlfn.XLOOKUP($CT198,Budget!$A:$A,Budget!CZ:CZ)</f>
        <v>6566.4000000000005</v>
      </c>
      <c r="DS198" s="106">
        <f>+_xlfn.XLOOKUP($CT198,Budget!$A:$A,Budget!DA:DA)</f>
        <v>6566.4000000000005</v>
      </c>
      <c r="DT198" s="106">
        <f>+_xlfn.XLOOKUP($CT198,Budget!$A:$A,Budget!DB:DB)</f>
        <v>6566.4000000000005</v>
      </c>
      <c r="DU198" s="106">
        <f t="shared" si="2298"/>
        <v>78796.799999999988</v>
      </c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106">
        <f t="shared" si="2299"/>
        <v>0</v>
      </c>
      <c r="EJ198" s="16" t="str">
        <f t="shared" si="1555"/>
        <v>Office Expenses</v>
      </c>
      <c r="EK198" s="22">
        <f>+VLOOKUP($BD198,'Jan-25'!$A:$J,10,0)</f>
        <v>1000</v>
      </c>
      <c r="EL198" s="22">
        <f>+VLOOKUP($BD198,'Feb-25'!$A:$J,10,0)</f>
        <v>0</v>
      </c>
      <c r="EM198" s="22">
        <f>+VLOOKUP($BD198,'Mar-25'!$A:$J,10,0)</f>
        <v>0</v>
      </c>
      <c r="EN198" s="22">
        <f>+VLOOKUP($BD198,'Apr-25'!$A:$J,10,0)</f>
        <v>0</v>
      </c>
      <c r="EO198" s="22">
        <f>+VLOOKUP($BD198,'May-25'!$A:$J,10,0)</f>
        <v>0</v>
      </c>
      <c r="EP198" s="22">
        <f>+VLOOKUP($BD198,'June-25'!$A:$J,10,0)</f>
        <v>0</v>
      </c>
      <c r="EQ198" s="22">
        <f>+VLOOKUP($BD198,'July-25'!$A:$J,10,0)</f>
        <v>0</v>
      </c>
      <c r="ER198" s="22">
        <f>+VLOOKUP($BD198,'Aug-25'!$A:$J,10,0)</f>
        <v>0</v>
      </c>
      <c r="ES198" s="22">
        <f>+VLOOKUP($BD198,'Sep-25'!$A:$J,10,0)</f>
        <v>0</v>
      </c>
      <c r="ET198" s="22">
        <f>+VLOOKUP($BD198,'Oct-25'!$A:$J,10,0)</f>
        <v>0</v>
      </c>
      <c r="EU198" s="22">
        <f>+VLOOKUP($BD198,'Nov-25'!$A:$J,10,0)</f>
        <v>0</v>
      </c>
      <c r="EV198" s="22">
        <f>+VLOOKUP($BD198,'Dec-25'!$A:$J,10,0)</f>
        <v>0</v>
      </c>
      <c r="EW198" s="22">
        <f t="shared" si="2300"/>
        <v>1000</v>
      </c>
      <c r="EX198" s="118">
        <f t="shared" si="1878"/>
        <v>-1</v>
      </c>
      <c r="EY198" s="106">
        <f>+_xlfn.XLOOKUP($EJ198,Budget!$A:$A,Budget!DR:DR)</f>
        <v>6666.6666666666661</v>
      </c>
      <c r="EZ198" s="106">
        <f>+_xlfn.XLOOKUP($EJ198,Budget!$A:$A,Budget!DS:DS)</f>
        <v>6666.6666666666661</v>
      </c>
      <c r="FA198" s="106">
        <f>+_xlfn.XLOOKUP($EJ198,Budget!$A:$A,Budget!DT:DT)</f>
        <v>6666.6666666666661</v>
      </c>
      <c r="FB198" s="106">
        <f>+_xlfn.XLOOKUP($EJ198,Budget!$A:$A,Budget!DU:DU)</f>
        <v>6666.6666666666661</v>
      </c>
      <c r="FC198" s="106">
        <f>+_xlfn.XLOOKUP($EJ198,Budget!$A:$A,Budget!DV:DV)</f>
        <v>6666.6666666666661</v>
      </c>
      <c r="FD198" s="106">
        <f>+_xlfn.XLOOKUP($EJ198,Budget!$A:$A,Budget!DW:DW)</f>
        <v>6666.6666666666661</v>
      </c>
      <c r="FE198" s="106">
        <f>+_xlfn.XLOOKUP($EJ198,Budget!$A:$A,Budget!DX:DX)</f>
        <v>6666.6666666666661</v>
      </c>
      <c r="FF198" s="106">
        <f>+_xlfn.XLOOKUP($EJ198,Budget!$A:$A,Budget!DY:DY)</f>
        <v>6666.6666666666661</v>
      </c>
      <c r="FG198" s="106">
        <f>+_xlfn.XLOOKUP($EJ198,Budget!$A:$A,Budget!DZ:DZ)</f>
        <v>6666.6666666666661</v>
      </c>
      <c r="FH198" s="106">
        <f>+_xlfn.XLOOKUP($EJ198,Budget!$A:$A,Budget!EA:EA)</f>
        <v>6666.6666666666661</v>
      </c>
      <c r="FI198" s="106">
        <f>+_xlfn.XLOOKUP($EJ198,Budget!$A:$A,Budget!EB:EB)</f>
        <v>6666.6666666666661</v>
      </c>
      <c r="FJ198" s="106">
        <f>+_xlfn.XLOOKUP($EJ198,Budget!$A:$A,Budget!EC:EC)</f>
        <v>6666.6666666666661</v>
      </c>
      <c r="FK198" s="106">
        <f t="shared" si="2301"/>
        <v>80000</v>
      </c>
    </row>
    <row r="199" spans="1:167" ht="14.45" hidden="1" customHeight="1" outlineLevel="2">
      <c r="A199" s="106">
        <f t="shared" si="2265"/>
        <v>2970.8</v>
      </c>
      <c r="B199" s="106">
        <f t="shared" si="2265"/>
        <v>0</v>
      </c>
      <c r="C199" s="106">
        <f t="shared" si="2265"/>
        <v>0</v>
      </c>
      <c r="D199" s="106">
        <f t="shared" si="2265"/>
        <v>0</v>
      </c>
      <c r="E199" s="106">
        <f t="shared" si="2265"/>
        <v>6554.9740000000011</v>
      </c>
      <c r="F199" s="106">
        <f t="shared" si="2265"/>
        <v>3070.3199999999997</v>
      </c>
      <c r="G199" s="106">
        <f t="shared" si="2265"/>
        <v>505.20000000000005</v>
      </c>
      <c r="H199" s="106">
        <f t="shared" si="2265"/>
        <v>0</v>
      </c>
      <c r="I199" s="106">
        <f t="shared" si="2265"/>
        <v>1171.068</v>
      </c>
      <c r="J199" s="106">
        <f t="shared" si="2265"/>
        <v>2171.2580000000003</v>
      </c>
      <c r="K199" s="106">
        <f t="shared" si="2265"/>
        <v>1269.2139999999999</v>
      </c>
      <c r="L199" s="106">
        <f t="shared" si="2265"/>
        <v>213.60000000000002</v>
      </c>
      <c r="M199" s="106">
        <f t="shared" si="2266"/>
        <v>17926.434000000001</v>
      </c>
      <c r="N199" s="16" t="s">
        <v>167</v>
      </c>
      <c r="O199" s="106">
        <f t="shared" si="2267"/>
        <v>115.06800000000001</v>
      </c>
      <c r="P199" s="106">
        <f t="shared" si="2268"/>
        <v>0</v>
      </c>
      <c r="Q199" s="106">
        <f t="shared" si="2269"/>
        <v>124</v>
      </c>
      <c r="R199" s="106">
        <f t="shared" si="2270"/>
        <v>1837.2660000000001</v>
      </c>
      <c r="S199" s="106">
        <f t="shared" si="2271"/>
        <v>2854.4120000000003</v>
      </c>
      <c r="T199" s="106">
        <f t="shared" si="2272"/>
        <v>2250.056</v>
      </c>
      <c r="U199" s="106">
        <f t="shared" si="2273"/>
        <v>390.50200000000001</v>
      </c>
      <c r="V199" s="106">
        <f t="shared" si="2274"/>
        <v>2271.6660000000002</v>
      </c>
      <c r="W199" s="106">
        <f t="shared" si="2275"/>
        <v>80</v>
      </c>
      <c r="X199" s="106">
        <f t="shared" si="2276"/>
        <v>7030.0640000000003</v>
      </c>
      <c r="Y199" s="106">
        <f t="shared" si="2277"/>
        <v>0</v>
      </c>
      <c r="Z199" s="106">
        <f t="shared" si="2278"/>
        <v>0</v>
      </c>
      <c r="AA199" s="106">
        <f t="shared" si="2279"/>
        <v>16953.034</v>
      </c>
      <c r="AB199" s="118">
        <f t="shared" si="1854"/>
        <v>-0.30160302006755413</v>
      </c>
      <c r="AC199" s="106">
        <f t="shared" si="2280"/>
        <v>10066</v>
      </c>
      <c r="AD199" s="106">
        <f t="shared" si="2281"/>
        <v>10066</v>
      </c>
      <c r="AE199" s="106">
        <f t="shared" si="2282"/>
        <v>10066</v>
      </c>
      <c r="AF199" s="106">
        <f t="shared" si="2283"/>
        <v>10066</v>
      </c>
      <c r="AG199" s="106">
        <f t="shared" si="2284"/>
        <v>10066</v>
      </c>
      <c r="AH199" s="106">
        <f t="shared" si="2285"/>
        <v>10066</v>
      </c>
      <c r="AI199" s="106">
        <f t="shared" si="2286"/>
        <v>10066</v>
      </c>
      <c r="AJ199" s="106">
        <f t="shared" si="2287"/>
        <v>10066</v>
      </c>
      <c r="AK199" s="106">
        <f t="shared" si="2288"/>
        <v>10066</v>
      </c>
      <c r="AL199" s="106">
        <f t="shared" si="2289"/>
        <v>10066</v>
      </c>
      <c r="AM199" s="106">
        <f t="shared" si="2290"/>
        <v>10066</v>
      </c>
      <c r="AN199" s="106">
        <f t="shared" si="2291"/>
        <v>10066</v>
      </c>
      <c r="AO199" s="106">
        <f t="shared" si="2292"/>
        <v>120792</v>
      </c>
      <c r="AQ199" s="106">
        <v>1991.53</v>
      </c>
      <c r="AR199" s="106">
        <v>0</v>
      </c>
      <c r="AS199" s="106">
        <v>0</v>
      </c>
      <c r="AT199" s="106">
        <v>0</v>
      </c>
      <c r="AU199" s="106">
        <v>5259.380000000001</v>
      </c>
      <c r="AV199" s="106">
        <v>2627.12</v>
      </c>
      <c r="AW199" s="106">
        <v>0</v>
      </c>
      <c r="AX199" s="106">
        <v>0</v>
      </c>
      <c r="AY199" s="106">
        <v>0</v>
      </c>
      <c r="AZ199" s="106">
        <v>0</v>
      </c>
      <c r="BA199" s="106">
        <v>0</v>
      </c>
      <c r="BB199" s="106">
        <v>0</v>
      </c>
      <c r="BC199" s="106">
        <f t="shared" si="2293"/>
        <v>9878.0300000000007</v>
      </c>
      <c r="BD199" s="16" t="str">
        <f t="shared" si="2230"/>
        <v>Office Stationery</v>
      </c>
      <c r="BE199" s="106">
        <f>+VLOOKUP($BD199,'Jan-25'!$A:$J,5,0)</f>
        <v>0</v>
      </c>
      <c r="BF199" s="106">
        <f>+VLOOKUP($BD199,'Feb-25'!$A:$J,5,0)</f>
        <v>0</v>
      </c>
      <c r="BG199" s="106">
        <f>+VLOOKUP($BD199,'Mar-25'!$A:$J,5,0)</f>
        <v>0</v>
      </c>
      <c r="BH199" s="106">
        <f>+VLOOKUP($BD199,'Apr-25'!$A:$J,5,0)</f>
        <v>0</v>
      </c>
      <c r="BI199" s="106">
        <f>+VLOOKUP($BD199,'May-25'!$A:$J,5,0)</f>
        <v>0</v>
      </c>
      <c r="BJ199" s="106">
        <f>+VLOOKUP($BD199,'June-25'!$A:$J,5,0)</f>
        <v>0</v>
      </c>
      <c r="BK199" s="106">
        <f>+VLOOKUP($BD199,'July-25'!$A:$J,5,0)</f>
        <v>0</v>
      </c>
      <c r="BL199" s="106">
        <f>+VLOOKUP($BD199,'Aug-25'!$A:$J,5,0)</f>
        <v>1296</v>
      </c>
      <c r="BM199" s="106">
        <f>+VLOOKUP($BD199,'Sep-25'!$A:$J,5,0)</f>
        <v>0</v>
      </c>
      <c r="BN199" s="106">
        <f>+VLOOKUP($BD199,'Oct-25'!$A:$J,5,0)</f>
        <v>4500</v>
      </c>
      <c r="BO199" s="106">
        <f>+VLOOKUP($BD199,'Nov-25'!$A:$J,5,0)</f>
        <v>0</v>
      </c>
      <c r="BP199" s="106">
        <f>+VLOOKUP($BD199,'Dec-25'!$A:$J,5,0)</f>
        <v>0</v>
      </c>
      <c r="BQ199" s="106">
        <f t="shared" si="2294"/>
        <v>5796</v>
      </c>
      <c r="BR199" s="118">
        <f t="shared" si="1870"/>
        <v>0.11275964391691394</v>
      </c>
      <c r="BS199" s="106">
        <f>+_xlfn.XLOOKUP($BD199,Budget!$A:$A,Budget!BD:BD)</f>
        <v>4044</v>
      </c>
      <c r="BT199" s="106">
        <f>+_xlfn.XLOOKUP($BD199,Budget!$A:$A,Budget!BE:BE)</f>
        <v>4044</v>
      </c>
      <c r="BU199" s="106">
        <f>+_xlfn.XLOOKUP($BD199,Budget!$A:$A,Budget!BF:BF)</f>
        <v>4044</v>
      </c>
      <c r="BV199" s="106">
        <f>+_xlfn.XLOOKUP($BD199,Budget!$A:$A,Budget!BG:BG)</f>
        <v>4044</v>
      </c>
      <c r="BW199" s="106">
        <f>+_xlfn.XLOOKUP($BD199,Budget!$A:$A,Budget!BH:BH)</f>
        <v>4044</v>
      </c>
      <c r="BX199" s="106">
        <f>+_xlfn.XLOOKUP($BD199,Budget!$A:$A,Budget!BI:BI)</f>
        <v>4044</v>
      </c>
      <c r="BY199" s="106">
        <f>+_xlfn.XLOOKUP($BD199,Budget!$A:$A,Budget!BJ:BJ)</f>
        <v>4044</v>
      </c>
      <c r="BZ199" s="106">
        <f>+_xlfn.XLOOKUP($BD199,Budget!$A:$A,Budget!BK:BK)</f>
        <v>4044</v>
      </c>
      <c r="CA199" s="106">
        <f>+_xlfn.XLOOKUP($BD199,Budget!$A:$A,Budget!BL:BL)</f>
        <v>4044</v>
      </c>
      <c r="CB199" s="106">
        <f>+_xlfn.XLOOKUP($BD199,Budget!$A:$A,Budget!BM:BM)</f>
        <v>4044</v>
      </c>
      <c r="CC199" s="106">
        <f>+_xlfn.XLOOKUP($BD199,Budget!$A:$A,Budget!BN:BN)</f>
        <v>4044</v>
      </c>
      <c r="CD199" s="106">
        <f>+_xlfn.XLOOKUP($BD199,Budget!$A:$A,Budget!BO:BO)</f>
        <v>4044</v>
      </c>
      <c r="CE199" s="106">
        <f t="shared" si="2295"/>
        <v>48528</v>
      </c>
      <c r="CF199" s="106"/>
      <c r="CG199" s="106">
        <v>979.2700000000001</v>
      </c>
      <c r="CH199" s="106">
        <v>0</v>
      </c>
      <c r="CI199" s="106">
        <v>0</v>
      </c>
      <c r="CJ199" s="106">
        <v>0</v>
      </c>
      <c r="CK199" s="106">
        <v>1295.5940000000001</v>
      </c>
      <c r="CL199" s="106">
        <v>443.20000000000005</v>
      </c>
      <c r="CM199" s="106">
        <v>505.20000000000005</v>
      </c>
      <c r="CN199" s="106">
        <v>0</v>
      </c>
      <c r="CO199" s="106">
        <v>1171.068</v>
      </c>
      <c r="CP199" s="106">
        <v>2171.2580000000003</v>
      </c>
      <c r="CQ199" s="106">
        <v>1269.2139999999999</v>
      </c>
      <c r="CR199" s="106">
        <v>213.60000000000002</v>
      </c>
      <c r="CS199" s="106">
        <f t="shared" si="2296"/>
        <v>8048.4040000000005</v>
      </c>
      <c r="CT199" s="16" t="str">
        <f t="shared" si="2231"/>
        <v>Office Stationery</v>
      </c>
      <c r="CU199" s="106">
        <f>+VLOOKUP($BD199,'Jan-25'!$A:$J,8,0)</f>
        <v>115.06800000000001</v>
      </c>
      <c r="CV199" s="106">
        <f>+VLOOKUP($BD199,'Feb-25'!$A:$J,8,0)</f>
        <v>0</v>
      </c>
      <c r="CW199" s="106">
        <f>+VLOOKUP($BD199,'Mar-25'!$A:$J,8,0)</f>
        <v>124</v>
      </c>
      <c r="CX199" s="106">
        <f>+VLOOKUP($BD199,'Apr-25'!$A:$J,8,0)</f>
        <v>1837.2660000000001</v>
      </c>
      <c r="CY199" s="106">
        <f>+VLOOKUP($BD199,'May-25'!$A:$J,8,0)</f>
        <v>2854.4120000000003</v>
      </c>
      <c r="CZ199" s="106">
        <f>+VLOOKUP($BD199,'June-25'!$A:$J,8,0)</f>
        <v>2250.056</v>
      </c>
      <c r="DA199" s="106">
        <f>+VLOOKUP($BD199,'July-25'!$A:$J,8,0)</f>
        <v>390.50200000000001</v>
      </c>
      <c r="DB199" s="106">
        <f>+VLOOKUP($BD199,'Aug-25'!$A:$J,8,0)</f>
        <v>975.66599999999994</v>
      </c>
      <c r="DC199" s="106">
        <f>+VLOOKUP($BD199,'Sep-25'!$A:$J,8,0)</f>
        <v>80</v>
      </c>
      <c r="DD199" s="106">
        <f>+VLOOKUP($BD199,'Oct-25'!$A:$J,8,0)</f>
        <v>2530.0640000000003</v>
      </c>
      <c r="DE199" s="106">
        <f>+VLOOKUP($BD199,'Nov-25'!$A:$J,8,0)</f>
        <v>0</v>
      </c>
      <c r="DF199" s="106">
        <f>+VLOOKUP($BD199,'Dec-25'!$A:$J,8,0)</f>
        <v>0</v>
      </c>
      <c r="DG199" s="106">
        <f t="shared" si="2297"/>
        <v>11157.034000000001</v>
      </c>
      <c r="DH199" s="118">
        <f t="shared" si="1874"/>
        <v>0.2512680514342237</v>
      </c>
      <c r="DI199" s="106">
        <f>+_xlfn.XLOOKUP($CT199,Budget!$A:$A,Budget!CQ:CQ)</f>
        <v>2022</v>
      </c>
      <c r="DJ199" s="106">
        <f>+_xlfn.XLOOKUP($CT199,Budget!$A:$A,Budget!CR:CR)</f>
        <v>2022</v>
      </c>
      <c r="DK199" s="106">
        <f>+_xlfn.XLOOKUP($CT199,Budget!$A:$A,Budget!CS:CS)</f>
        <v>2022</v>
      </c>
      <c r="DL199" s="106">
        <f>+_xlfn.XLOOKUP($CT199,Budget!$A:$A,Budget!CT:CT)</f>
        <v>2022</v>
      </c>
      <c r="DM199" s="106">
        <f>+_xlfn.XLOOKUP($CT199,Budget!$A:$A,Budget!CU:CU)</f>
        <v>2022</v>
      </c>
      <c r="DN199" s="106">
        <f>+_xlfn.XLOOKUP($CT199,Budget!$A:$A,Budget!CV:CV)</f>
        <v>2022</v>
      </c>
      <c r="DO199" s="106">
        <f>+_xlfn.XLOOKUP($CT199,Budget!$A:$A,Budget!CW:CW)</f>
        <v>2022</v>
      </c>
      <c r="DP199" s="106">
        <f>+_xlfn.XLOOKUP($CT199,Budget!$A:$A,Budget!CX:CX)</f>
        <v>2022</v>
      </c>
      <c r="DQ199" s="106">
        <f>+_xlfn.XLOOKUP($CT199,Budget!$A:$A,Budget!CY:CY)</f>
        <v>2022</v>
      </c>
      <c r="DR199" s="106">
        <f>+_xlfn.XLOOKUP($CT199,Budget!$A:$A,Budget!CZ:CZ)</f>
        <v>2022</v>
      </c>
      <c r="DS199" s="106">
        <f>+_xlfn.XLOOKUP($CT199,Budget!$A:$A,Budget!DA:DA)</f>
        <v>2022</v>
      </c>
      <c r="DT199" s="106">
        <f>+_xlfn.XLOOKUP($CT199,Budget!$A:$A,Budget!DB:DB)</f>
        <v>2022</v>
      </c>
      <c r="DU199" s="106">
        <f t="shared" si="2298"/>
        <v>24264</v>
      </c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106">
        <f t="shared" si="2299"/>
        <v>0</v>
      </c>
      <c r="EJ199" s="16" t="str">
        <f t="shared" ref="EJ199:EJ236" si="2302">CT199</f>
        <v>Office Stationery</v>
      </c>
      <c r="EK199" s="22">
        <f>+VLOOKUP($BD199,'Jan-25'!$A:$J,10,0)</f>
        <v>0</v>
      </c>
      <c r="EL199" s="22">
        <f>+VLOOKUP($BD199,'Feb-25'!$A:$J,10,0)</f>
        <v>0</v>
      </c>
      <c r="EM199" s="22">
        <f>+VLOOKUP($BD199,'Mar-25'!$A:$J,10,0)</f>
        <v>0</v>
      </c>
      <c r="EN199" s="22">
        <f>+VLOOKUP($BD199,'Apr-25'!$A:$J,10,0)</f>
        <v>0</v>
      </c>
      <c r="EO199" s="22">
        <f>+VLOOKUP($BD199,'May-25'!$A:$J,10,0)</f>
        <v>0</v>
      </c>
      <c r="EP199" s="22">
        <f>+VLOOKUP($BD199,'June-25'!$A:$J,10,0)</f>
        <v>0</v>
      </c>
      <c r="EQ199" s="22">
        <f>+VLOOKUP($BD199,'July-25'!$A:$J,10,0)</f>
        <v>0</v>
      </c>
      <c r="ER199" s="22">
        <f>+VLOOKUP($BD199,'Aug-25'!$A:$J,10,0)</f>
        <v>0</v>
      </c>
      <c r="ES199" s="22">
        <f>+VLOOKUP($BD199,'Sep-25'!$A:$J,10,0)</f>
        <v>0</v>
      </c>
      <c r="ET199" s="22">
        <f>+VLOOKUP($BD199,'Oct-25'!$A:$J,10,0)</f>
        <v>0</v>
      </c>
      <c r="EU199" s="22">
        <f>+VLOOKUP($BD199,'Nov-25'!$A:$J,10,0)</f>
        <v>0</v>
      </c>
      <c r="EV199" s="22">
        <f>+VLOOKUP($BD199,'Dec-25'!$A:$J,10,0)</f>
        <v>0</v>
      </c>
      <c r="EW199" s="22">
        <f t="shared" si="2300"/>
        <v>0</v>
      </c>
      <c r="EX199" s="118">
        <f t="shared" si="1878"/>
        <v>-1</v>
      </c>
      <c r="EY199" s="106">
        <f>+_xlfn.XLOOKUP($EJ199,Budget!$A:$A,Budget!DR:DR)</f>
        <v>4000</v>
      </c>
      <c r="EZ199" s="106">
        <f>+_xlfn.XLOOKUP($EJ199,Budget!$A:$A,Budget!DS:DS)</f>
        <v>4000</v>
      </c>
      <c r="FA199" s="106">
        <f>+_xlfn.XLOOKUP($EJ199,Budget!$A:$A,Budget!DT:DT)</f>
        <v>4000</v>
      </c>
      <c r="FB199" s="106">
        <f>+_xlfn.XLOOKUP($EJ199,Budget!$A:$A,Budget!DU:DU)</f>
        <v>4000</v>
      </c>
      <c r="FC199" s="106">
        <f>+_xlfn.XLOOKUP($EJ199,Budget!$A:$A,Budget!DV:DV)</f>
        <v>4000</v>
      </c>
      <c r="FD199" s="106">
        <f>+_xlfn.XLOOKUP($EJ199,Budget!$A:$A,Budget!DW:DW)</f>
        <v>4000</v>
      </c>
      <c r="FE199" s="106">
        <f>+_xlfn.XLOOKUP($EJ199,Budget!$A:$A,Budget!DX:DX)</f>
        <v>4000</v>
      </c>
      <c r="FF199" s="106">
        <f>+_xlfn.XLOOKUP($EJ199,Budget!$A:$A,Budget!DY:DY)</f>
        <v>4000</v>
      </c>
      <c r="FG199" s="106">
        <f>+_xlfn.XLOOKUP($EJ199,Budget!$A:$A,Budget!DZ:DZ)</f>
        <v>4000</v>
      </c>
      <c r="FH199" s="106">
        <f>+_xlfn.XLOOKUP($EJ199,Budget!$A:$A,Budget!EA:EA)</f>
        <v>4000</v>
      </c>
      <c r="FI199" s="106">
        <f>+_xlfn.XLOOKUP($EJ199,Budget!$A:$A,Budget!EB:EB)</f>
        <v>4000</v>
      </c>
      <c r="FJ199" s="106">
        <f>+_xlfn.XLOOKUP($EJ199,Budget!$A:$A,Budget!EC:EC)</f>
        <v>4000</v>
      </c>
      <c r="FK199" s="106">
        <f t="shared" si="2301"/>
        <v>48000</v>
      </c>
    </row>
    <row r="200" spans="1:167" ht="14.45" hidden="1" customHeight="1" outlineLevel="2">
      <c r="A200" s="106">
        <f t="shared" si="2265"/>
        <v>559.90800000000002</v>
      </c>
      <c r="B200" s="106">
        <f t="shared" si="2265"/>
        <v>190</v>
      </c>
      <c r="C200" s="106">
        <f t="shared" si="2265"/>
        <v>425.55400000000003</v>
      </c>
      <c r="D200" s="106">
        <f t="shared" si="2265"/>
        <v>60</v>
      </c>
      <c r="E200" s="106">
        <f t="shared" si="2265"/>
        <v>1146.912</v>
      </c>
      <c r="F200" s="106">
        <f t="shared" si="2265"/>
        <v>1913.6960000000001</v>
      </c>
      <c r="G200" s="106">
        <f t="shared" si="2265"/>
        <v>928.81600000000003</v>
      </c>
      <c r="H200" s="106">
        <f t="shared" si="2265"/>
        <v>845.10200000000009</v>
      </c>
      <c r="I200" s="106">
        <f t="shared" si="2265"/>
        <v>120</v>
      </c>
      <c r="J200" s="106">
        <f t="shared" si="2265"/>
        <v>641.17600000000004</v>
      </c>
      <c r="K200" s="106">
        <f t="shared" si="2265"/>
        <v>654.80619999999999</v>
      </c>
      <c r="L200" s="106">
        <f t="shared" si="2265"/>
        <v>372.8</v>
      </c>
      <c r="M200" s="106">
        <f t="shared" si="2266"/>
        <v>7858.7701999999999</v>
      </c>
      <c r="N200" s="16" t="s">
        <v>168</v>
      </c>
      <c r="O200" s="106">
        <f t="shared" si="2267"/>
        <v>406.04600000000005</v>
      </c>
      <c r="P200" s="106">
        <f t="shared" si="2268"/>
        <v>614.74800000000005</v>
      </c>
      <c r="Q200" s="106">
        <f t="shared" si="2269"/>
        <v>316.19200000000001</v>
      </c>
      <c r="R200" s="106">
        <f t="shared" si="2270"/>
        <v>60</v>
      </c>
      <c r="S200" s="106">
        <f t="shared" si="2271"/>
        <v>412.71199999999999</v>
      </c>
      <c r="T200" s="106">
        <f t="shared" si="2272"/>
        <v>520.42200000000003</v>
      </c>
      <c r="U200" s="106">
        <f t="shared" si="2273"/>
        <v>1266.364</v>
      </c>
      <c r="V200" s="106">
        <f t="shared" si="2274"/>
        <v>60</v>
      </c>
      <c r="W200" s="106">
        <f t="shared" si="2275"/>
        <v>357.17200000000003</v>
      </c>
      <c r="X200" s="106">
        <f t="shared" si="2276"/>
        <v>660.05400000000009</v>
      </c>
      <c r="Y200" s="106">
        <f t="shared" si="2277"/>
        <v>0</v>
      </c>
      <c r="Z200" s="106">
        <f t="shared" si="2278"/>
        <v>0</v>
      </c>
      <c r="AA200" s="106">
        <f t="shared" si="2279"/>
        <v>4673.71</v>
      </c>
      <c r="AB200" s="118">
        <f t="shared" si="1854"/>
        <v>-0.74896526369168348</v>
      </c>
      <c r="AC200" s="106">
        <f t="shared" si="2280"/>
        <v>2629.333333333333</v>
      </c>
      <c r="AD200" s="106">
        <f t="shared" si="2281"/>
        <v>2629.333333333333</v>
      </c>
      <c r="AE200" s="106">
        <f t="shared" si="2282"/>
        <v>2629.333333333333</v>
      </c>
      <c r="AF200" s="106">
        <f t="shared" si="2283"/>
        <v>2629.333333333333</v>
      </c>
      <c r="AG200" s="106">
        <f t="shared" si="2284"/>
        <v>2629.333333333333</v>
      </c>
      <c r="AH200" s="106">
        <f t="shared" si="2285"/>
        <v>2629.333333333333</v>
      </c>
      <c r="AI200" s="106">
        <f t="shared" si="2286"/>
        <v>2629.333333333333</v>
      </c>
      <c r="AJ200" s="106">
        <f t="shared" si="2287"/>
        <v>2629.333333333333</v>
      </c>
      <c r="AK200" s="106">
        <f t="shared" si="2288"/>
        <v>2629.333333333333</v>
      </c>
      <c r="AL200" s="106">
        <f t="shared" si="2289"/>
        <v>2629.333333333333</v>
      </c>
      <c r="AM200" s="106">
        <f t="shared" si="2290"/>
        <v>2629.333333333333</v>
      </c>
      <c r="AN200" s="106">
        <f t="shared" si="2291"/>
        <v>2629.333333333333</v>
      </c>
      <c r="AO200" s="106">
        <f t="shared" si="2292"/>
        <v>31551.999999999989</v>
      </c>
      <c r="AQ200" s="106">
        <v>381.40800000000002</v>
      </c>
      <c r="AR200" s="106">
        <v>0</v>
      </c>
      <c r="AS200" s="106">
        <v>0</v>
      </c>
      <c r="AT200" s="106">
        <v>0</v>
      </c>
      <c r="AU200" s="106">
        <v>542.37200000000007</v>
      </c>
      <c r="AV200" s="106">
        <v>1200.8320000000001</v>
      </c>
      <c r="AW200" s="106">
        <v>728.81600000000003</v>
      </c>
      <c r="AX200" s="106">
        <v>0</v>
      </c>
      <c r="AY200" s="106">
        <v>0</v>
      </c>
      <c r="AZ200" s="106">
        <v>0</v>
      </c>
      <c r="BA200" s="106">
        <v>223.72680000000003</v>
      </c>
      <c r="BB200" s="106">
        <v>0</v>
      </c>
      <c r="BC200" s="106">
        <f t="shared" si="2293"/>
        <v>3077.1547999999998</v>
      </c>
      <c r="BD200" s="16" t="str">
        <f t="shared" si="2230"/>
        <v>Printing</v>
      </c>
      <c r="BE200" s="106">
        <f>+VLOOKUP($BD200,'Jan-25'!$A:$J,5,0)</f>
        <v>0</v>
      </c>
      <c r="BF200" s="106">
        <f>+VLOOKUP($BD200,'Feb-25'!$A:$J,5,0)</f>
        <v>0</v>
      </c>
      <c r="BG200" s="106">
        <f>+VLOOKUP($BD200,'Mar-25'!$A:$J,5,0)</f>
        <v>0</v>
      </c>
      <c r="BH200" s="106">
        <f>+VLOOKUP($BD200,'Apr-25'!$A:$J,5,0)</f>
        <v>0</v>
      </c>
      <c r="BI200" s="106">
        <f>+VLOOKUP($BD200,'May-25'!$A:$J,5,0)</f>
        <v>0</v>
      </c>
      <c r="BJ200" s="106">
        <f>+VLOOKUP($BD200,'June-25'!$A:$J,5,0)</f>
        <v>0</v>
      </c>
      <c r="BK200" s="106">
        <f>+VLOOKUP($BD200,'July-25'!$A:$J,5,0)</f>
        <v>0</v>
      </c>
      <c r="BL200" s="106">
        <f>+VLOOKUP($BD200,'Aug-25'!$A:$J,5,0)</f>
        <v>0</v>
      </c>
      <c r="BM200" s="106">
        <f>+VLOOKUP($BD200,'Sep-25'!$A:$J,5,0)</f>
        <v>0</v>
      </c>
      <c r="BN200" s="106">
        <f>+VLOOKUP($BD200,'Oct-25'!$A:$J,5,0)</f>
        <v>0</v>
      </c>
      <c r="BO200" s="106">
        <f>+VLOOKUP($BD200,'Nov-25'!$A:$J,5,0)</f>
        <v>0</v>
      </c>
      <c r="BP200" s="106">
        <f>+VLOOKUP($BD200,'Dec-25'!$A:$J,5,0)</f>
        <v>0</v>
      </c>
      <c r="BQ200" s="106">
        <f t="shared" si="2294"/>
        <v>0</v>
      </c>
      <c r="BR200" s="118">
        <f t="shared" si="1870"/>
        <v>-1</v>
      </c>
      <c r="BS200" s="106">
        <f>+_xlfn.XLOOKUP($BD200,Budget!$A:$A,Budget!BD:BD)</f>
        <v>864</v>
      </c>
      <c r="BT200" s="106">
        <f>+_xlfn.XLOOKUP($BD200,Budget!$A:$A,Budget!BE:BE)</f>
        <v>864</v>
      </c>
      <c r="BU200" s="106">
        <f>+_xlfn.XLOOKUP($BD200,Budget!$A:$A,Budget!BF:BF)</f>
        <v>864</v>
      </c>
      <c r="BV200" s="106">
        <f>+_xlfn.XLOOKUP($BD200,Budget!$A:$A,Budget!BG:BG)</f>
        <v>864</v>
      </c>
      <c r="BW200" s="106">
        <f>+_xlfn.XLOOKUP($BD200,Budget!$A:$A,Budget!BH:BH)</f>
        <v>864</v>
      </c>
      <c r="BX200" s="106">
        <f>+_xlfn.XLOOKUP($BD200,Budget!$A:$A,Budget!BI:BI)</f>
        <v>864</v>
      </c>
      <c r="BY200" s="106">
        <f>+_xlfn.XLOOKUP($BD200,Budget!$A:$A,Budget!BJ:BJ)</f>
        <v>864</v>
      </c>
      <c r="BZ200" s="106">
        <f>+_xlfn.XLOOKUP($BD200,Budget!$A:$A,Budget!BK:BK)</f>
        <v>864</v>
      </c>
      <c r="CA200" s="106">
        <f>+_xlfn.XLOOKUP($BD200,Budget!$A:$A,Budget!BL:BL)</f>
        <v>864</v>
      </c>
      <c r="CB200" s="106">
        <f>+_xlfn.XLOOKUP($BD200,Budget!$A:$A,Budget!BM:BM)</f>
        <v>864</v>
      </c>
      <c r="CC200" s="106">
        <f>+_xlfn.XLOOKUP($BD200,Budget!$A:$A,Budget!BN:BN)</f>
        <v>864</v>
      </c>
      <c r="CD200" s="106">
        <f>+_xlfn.XLOOKUP($BD200,Budget!$A:$A,Budget!BO:BO)</f>
        <v>864</v>
      </c>
      <c r="CE200" s="106">
        <f t="shared" si="2295"/>
        <v>10368</v>
      </c>
      <c r="CF200" s="106"/>
      <c r="CG200" s="106">
        <v>178.5</v>
      </c>
      <c r="CH200" s="106">
        <v>190</v>
      </c>
      <c r="CI200" s="106">
        <v>425.55400000000003</v>
      </c>
      <c r="CJ200" s="106">
        <v>60</v>
      </c>
      <c r="CK200" s="106">
        <v>604.54</v>
      </c>
      <c r="CL200" s="106">
        <v>712.86400000000003</v>
      </c>
      <c r="CM200" s="106">
        <v>200</v>
      </c>
      <c r="CN200" s="106">
        <v>845.10200000000009</v>
      </c>
      <c r="CO200" s="106">
        <v>120</v>
      </c>
      <c r="CP200" s="106">
        <v>641.17600000000004</v>
      </c>
      <c r="CQ200" s="106">
        <v>431.07940000000002</v>
      </c>
      <c r="CR200" s="106">
        <v>372.8</v>
      </c>
      <c r="CS200" s="106">
        <f t="shared" si="2296"/>
        <v>4781.6154000000006</v>
      </c>
      <c r="CT200" s="16" t="str">
        <f t="shared" si="2231"/>
        <v>Printing</v>
      </c>
      <c r="CU200" s="106">
        <f>+VLOOKUP($BD200,'Jan-25'!$A:$J,8,0)</f>
        <v>406.04600000000005</v>
      </c>
      <c r="CV200" s="106">
        <f>+VLOOKUP($BD200,'Feb-25'!$A:$J,8,0)</f>
        <v>614.74800000000005</v>
      </c>
      <c r="CW200" s="106">
        <f>+VLOOKUP($BD200,'Mar-25'!$A:$J,8,0)</f>
        <v>316.19200000000001</v>
      </c>
      <c r="CX200" s="106">
        <f>+VLOOKUP($BD200,'Apr-25'!$A:$J,8,0)</f>
        <v>60</v>
      </c>
      <c r="CY200" s="106">
        <f>+VLOOKUP($BD200,'May-25'!$A:$J,8,0)</f>
        <v>412.71199999999999</v>
      </c>
      <c r="CZ200" s="106">
        <f>+VLOOKUP($BD200,'June-25'!$A:$J,8,0)</f>
        <v>520.42200000000003</v>
      </c>
      <c r="DA200" s="106">
        <f>+VLOOKUP($BD200,'July-25'!$A:$J,8,0)</f>
        <v>1266.364</v>
      </c>
      <c r="DB200" s="106">
        <f>+VLOOKUP($BD200,'Aug-25'!$A:$J,8,0)</f>
        <v>60</v>
      </c>
      <c r="DC200" s="106">
        <f>+VLOOKUP($BD200,'Sep-25'!$A:$J,8,0)</f>
        <v>357.17200000000003</v>
      </c>
      <c r="DD200" s="106">
        <f>+VLOOKUP($BD200,'Oct-25'!$A:$J,8,0)</f>
        <v>660.05400000000009</v>
      </c>
      <c r="DE200" s="106">
        <f>+VLOOKUP($BD200,'Nov-25'!$A:$J,8,0)</f>
        <v>0</v>
      </c>
      <c r="DF200" s="106">
        <f>+VLOOKUP($BD200,'Dec-25'!$A:$J,8,0)</f>
        <v>0</v>
      </c>
      <c r="DG200" s="106">
        <f t="shared" si="2297"/>
        <v>4673.71</v>
      </c>
      <c r="DH200" s="118">
        <f t="shared" si="1874"/>
        <v>0.52790277777777794</v>
      </c>
      <c r="DI200" s="106">
        <f>+_xlfn.XLOOKUP($CT200,Budget!$A:$A,Budget!CQ:CQ)</f>
        <v>432</v>
      </c>
      <c r="DJ200" s="106">
        <f>+_xlfn.XLOOKUP($CT200,Budget!$A:$A,Budget!CR:CR)</f>
        <v>432</v>
      </c>
      <c r="DK200" s="106">
        <f>+_xlfn.XLOOKUP($CT200,Budget!$A:$A,Budget!CS:CS)</f>
        <v>432</v>
      </c>
      <c r="DL200" s="106">
        <f>+_xlfn.XLOOKUP($CT200,Budget!$A:$A,Budget!CT:CT)</f>
        <v>432</v>
      </c>
      <c r="DM200" s="106">
        <f>+_xlfn.XLOOKUP($CT200,Budget!$A:$A,Budget!CU:CU)</f>
        <v>432</v>
      </c>
      <c r="DN200" s="106">
        <f>+_xlfn.XLOOKUP($CT200,Budget!$A:$A,Budget!CV:CV)</f>
        <v>432</v>
      </c>
      <c r="DO200" s="106">
        <f>+_xlfn.XLOOKUP($CT200,Budget!$A:$A,Budget!CW:CW)</f>
        <v>432</v>
      </c>
      <c r="DP200" s="106">
        <f>+_xlfn.XLOOKUP($CT200,Budget!$A:$A,Budget!CX:CX)</f>
        <v>432</v>
      </c>
      <c r="DQ200" s="106">
        <f>+_xlfn.XLOOKUP($CT200,Budget!$A:$A,Budget!CY:CY)</f>
        <v>432</v>
      </c>
      <c r="DR200" s="106">
        <f>+_xlfn.XLOOKUP($CT200,Budget!$A:$A,Budget!CZ:CZ)</f>
        <v>432</v>
      </c>
      <c r="DS200" s="106">
        <f>+_xlfn.XLOOKUP($CT200,Budget!$A:$A,Budget!DA:DA)</f>
        <v>432</v>
      </c>
      <c r="DT200" s="106">
        <f>+_xlfn.XLOOKUP($CT200,Budget!$A:$A,Budget!DB:DB)</f>
        <v>432</v>
      </c>
      <c r="DU200" s="106">
        <f t="shared" si="2298"/>
        <v>5184</v>
      </c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106">
        <f t="shared" si="2299"/>
        <v>0</v>
      </c>
      <c r="EJ200" s="16" t="str">
        <f t="shared" si="2302"/>
        <v>Printing</v>
      </c>
      <c r="EK200" s="22">
        <f>+VLOOKUP($BD200,'Jan-25'!$A:$J,10,0)</f>
        <v>0</v>
      </c>
      <c r="EL200" s="22">
        <f>+VLOOKUP($BD200,'Feb-25'!$A:$J,10,0)</f>
        <v>0</v>
      </c>
      <c r="EM200" s="22">
        <f>+VLOOKUP($BD200,'Mar-25'!$A:$J,10,0)</f>
        <v>0</v>
      </c>
      <c r="EN200" s="22">
        <f>+VLOOKUP($BD200,'Apr-25'!$A:$J,10,0)</f>
        <v>0</v>
      </c>
      <c r="EO200" s="22">
        <f>+VLOOKUP($BD200,'May-25'!$A:$J,10,0)</f>
        <v>0</v>
      </c>
      <c r="EP200" s="22">
        <f>+VLOOKUP($BD200,'June-25'!$A:$J,10,0)</f>
        <v>0</v>
      </c>
      <c r="EQ200" s="22">
        <f>+VLOOKUP($BD200,'July-25'!$A:$J,10,0)</f>
        <v>0</v>
      </c>
      <c r="ER200" s="22">
        <f>+VLOOKUP($BD200,'Aug-25'!$A:$J,10,0)</f>
        <v>0</v>
      </c>
      <c r="ES200" s="22">
        <f>+VLOOKUP($BD200,'Sep-25'!$A:$J,10,0)</f>
        <v>0</v>
      </c>
      <c r="ET200" s="22">
        <f>+VLOOKUP($BD200,'Oct-25'!$A:$J,10,0)</f>
        <v>0</v>
      </c>
      <c r="EU200" s="22">
        <f>+VLOOKUP($BD200,'Nov-25'!$A:$J,10,0)</f>
        <v>0</v>
      </c>
      <c r="EV200" s="22">
        <f>+VLOOKUP($BD200,'Dec-25'!$A:$J,10,0)</f>
        <v>0</v>
      </c>
      <c r="EW200" s="22">
        <f t="shared" si="2300"/>
        <v>0</v>
      </c>
      <c r="EX200" s="118">
        <f t="shared" si="1878"/>
        <v>-1</v>
      </c>
      <c r="EY200" s="106">
        <f>+_xlfn.XLOOKUP($EJ200,Budget!$A:$A,Budget!DR:DR)</f>
        <v>1333.3333333333333</v>
      </c>
      <c r="EZ200" s="106">
        <f>+_xlfn.XLOOKUP($EJ200,Budget!$A:$A,Budget!DS:DS)</f>
        <v>1333.3333333333333</v>
      </c>
      <c r="FA200" s="106">
        <f>+_xlfn.XLOOKUP($EJ200,Budget!$A:$A,Budget!DT:DT)</f>
        <v>1333.3333333333333</v>
      </c>
      <c r="FB200" s="106">
        <f>+_xlfn.XLOOKUP($EJ200,Budget!$A:$A,Budget!DU:DU)</f>
        <v>1333.3333333333333</v>
      </c>
      <c r="FC200" s="106">
        <f>+_xlfn.XLOOKUP($EJ200,Budget!$A:$A,Budget!DV:DV)</f>
        <v>1333.3333333333333</v>
      </c>
      <c r="FD200" s="106">
        <f>+_xlfn.XLOOKUP($EJ200,Budget!$A:$A,Budget!DW:DW)</f>
        <v>1333.3333333333333</v>
      </c>
      <c r="FE200" s="106">
        <f>+_xlfn.XLOOKUP($EJ200,Budget!$A:$A,Budget!DX:DX)</f>
        <v>1333.3333333333333</v>
      </c>
      <c r="FF200" s="106">
        <f>+_xlfn.XLOOKUP($EJ200,Budget!$A:$A,Budget!DY:DY)</f>
        <v>1333.3333333333333</v>
      </c>
      <c r="FG200" s="106">
        <f>+_xlfn.XLOOKUP($EJ200,Budget!$A:$A,Budget!DZ:DZ)</f>
        <v>1333.3333333333333</v>
      </c>
      <c r="FH200" s="106">
        <f>+_xlfn.XLOOKUP($EJ200,Budget!$A:$A,Budget!EA:EA)</f>
        <v>1333.3333333333333</v>
      </c>
      <c r="FI200" s="106">
        <f>+_xlfn.XLOOKUP($EJ200,Budget!$A:$A,Budget!EB:EB)</f>
        <v>1333.3333333333333</v>
      </c>
      <c r="FJ200" s="106">
        <f>+_xlfn.XLOOKUP($EJ200,Budget!$A:$A,Budget!EC:EC)</f>
        <v>1333.3333333333333</v>
      </c>
      <c r="FK200" s="106">
        <f t="shared" si="2301"/>
        <v>16000.000000000002</v>
      </c>
    </row>
    <row r="201" spans="1:167" ht="14.45" hidden="1" customHeight="1" outlineLevel="2">
      <c r="A201" s="106">
        <f t="shared" si="2265"/>
        <v>544</v>
      </c>
      <c r="B201" s="106">
        <f t="shared" si="2265"/>
        <v>985.6</v>
      </c>
      <c r="C201" s="106">
        <f t="shared" si="2265"/>
        <v>0</v>
      </c>
      <c r="D201" s="106">
        <f t="shared" si="2265"/>
        <v>0</v>
      </c>
      <c r="E201" s="106">
        <f t="shared" si="2265"/>
        <v>18</v>
      </c>
      <c r="F201" s="106">
        <f t="shared" si="2265"/>
        <v>0</v>
      </c>
      <c r="G201" s="106">
        <f t="shared" si="2265"/>
        <v>26.6</v>
      </c>
      <c r="H201" s="106">
        <f t="shared" si="2265"/>
        <v>200</v>
      </c>
      <c r="I201" s="106">
        <f t="shared" si="2265"/>
        <v>102</v>
      </c>
      <c r="J201" s="106">
        <f t="shared" si="2265"/>
        <v>0</v>
      </c>
      <c r="K201" s="106">
        <f t="shared" si="2265"/>
        <v>28.6</v>
      </c>
      <c r="L201" s="106">
        <f t="shared" si="2265"/>
        <v>46.6</v>
      </c>
      <c r="M201" s="106">
        <f t="shared" si="2266"/>
        <v>1951.3999999999996</v>
      </c>
      <c r="N201" s="16" t="s">
        <v>169</v>
      </c>
      <c r="O201" s="106">
        <f t="shared" si="2267"/>
        <v>0</v>
      </c>
      <c r="P201" s="106">
        <f t="shared" si="2268"/>
        <v>0</v>
      </c>
      <c r="Q201" s="106">
        <f t="shared" si="2269"/>
        <v>200</v>
      </c>
      <c r="R201" s="106">
        <f t="shared" si="2270"/>
        <v>61.6</v>
      </c>
      <c r="S201" s="106">
        <f t="shared" si="2271"/>
        <v>0</v>
      </c>
      <c r="T201" s="106">
        <f t="shared" si="2272"/>
        <v>16</v>
      </c>
      <c r="U201" s="106">
        <f t="shared" si="2273"/>
        <v>186.20000000000002</v>
      </c>
      <c r="V201" s="106">
        <f t="shared" si="2274"/>
        <v>0</v>
      </c>
      <c r="W201" s="106">
        <f t="shared" si="2275"/>
        <v>0</v>
      </c>
      <c r="X201" s="106">
        <f t="shared" si="2276"/>
        <v>32</v>
      </c>
      <c r="Y201" s="106">
        <f t="shared" si="2277"/>
        <v>0</v>
      </c>
      <c r="Z201" s="106">
        <f t="shared" si="2278"/>
        <v>0</v>
      </c>
      <c r="AA201" s="106">
        <f t="shared" si="2279"/>
        <v>495.80000000000007</v>
      </c>
      <c r="AB201" s="118">
        <f t="shared" si="1854"/>
        <v>-0.96919127086007706</v>
      </c>
      <c r="AC201" s="106">
        <f t="shared" si="2280"/>
        <v>1038.6666666666665</v>
      </c>
      <c r="AD201" s="106">
        <f t="shared" si="2281"/>
        <v>1038.6666666666665</v>
      </c>
      <c r="AE201" s="106">
        <f t="shared" si="2282"/>
        <v>1038.6666666666665</v>
      </c>
      <c r="AF201" s="106">
        <f t="shared" si="2283"/>
        <v>1038.6666666666665</v>
      </c>
      <c r="AG201" s="106">
        <f t="shared" si="2284"/>
        <v>1038.6666666666665</v>
      </c>
      <c r="AH201" s="106">
        <f t="shared" si="2285"/>
        <v>1038.6666666666665</v>
      </c>
      <c r="AI201" s="106">
        <f t="shared" si="2286"/>
        <v>1038.6666666666665</v>
      </c>
      <c r="AJ201" s="106">
        <f t="shared" si="2287"/>
        <v>1038.6666666666665</v>
      </c>
      <c r="AK201" s="106">
        <f t="shared" si="2288"/>
        <v>1038.6666666666665</v>
      </c>
      <c r="AL201" s="106">
        <f t="shared" si="2289"/>
        <v>1038.6666666666665</v>
      </c>
      <c r="AM201" s="106">
        <f t="shared" si="2290"/>
        <v>1038.6666666666665</v>
      </c>
      <c r="AN201" s="106">
        <f t="shared" si="2291"/>
        <v>1038.6666666666665</v>
      </c>
      <c r="AO201" s="106">
        <f t="shared" si="2292"/>
        <v>12463.999999999995</v>
      </c>
      <c r="AQ201" s="106">
        <v>0</v>
      </c>
      <c r="AR201" s="106">
        <v>500</v>
      </c>
      <c r="AS201" s="106">
        <v>0</v>
      </c>
      <c r="AT201" s="106">
        <v>0</v>
      </c>
      <c r="AU201" s="106">
        <v>0</v>
      </c>
      <c r="AV201" s="106">
        <v>0</v>
      </c>
      <c r="AW201" s="106">
        <v>0</v>
      </c>
      <c r="AX201" s="106">
        <v>0</v>
      </c>
      <c r="AY201" s="106">
        <v>0</v>
      </c>
      <c r="AZ201" s="106">
        <v>0</v>
      </c>
      <c r="BA201" s="106">
        <v>0</v>
      </c>
      <c r="BB201" s="106">
        <v>0</v>
      </c>
      <c r="BC201" s="106">
        <f t="shared" si="2293"/>
        <v>500</v>
      </c>
      <c r="BD201" s="16" t="str">
        <f t="shared" si="2230"/>
        <v>Postage</v>
      </c>
      <c r="BE201" s="106">
        <f>+VLOOKUP($BD201,'Jan-25'!$A:$J,5,0)</f>
        <v>0</v>
      </c>
      <c r="BF201" s="106">
        <f>+VLOOKUP($BD201,'Feb-25'!$A:$J,5,0)</f>
        <v>0</v>
      </c>
      <c r="BG201" s="106">
        <f>+VLOOKUP($BD201,'Mar-25'!$A:$J,5,0)</f>
        <v>0</v>
      </c>
      <c r="BH201" s="106">
        <f>+VLOOKUP($BD201,'Apr-25'!$A:$J,5,0)</f>
        <v>0</v>
      </c>
      <c r="BI201" s="106">
        <f>+VLOOKUP($BD201,'May-25'!$A:$J,5,0)</f>
        <v>0</v>
      </c>
      <c r="BJ201" s="106">
        <f>+VLOOKUP($BD201,'June-25'!$A:$J,5,0)</f>
        <v>0</v>
      </c>
      <c r="BK201" s="106">
        <f>+VLOOKUP($BD201,'July-25'!$A:$J,5,0)</f>
        <v>0</v>
      </c>
      <c r="BL201" s="106">
        <f>+VLOOKUP($BD201,'Aug-25'!$A:$J,5,0)</f>
        <v>0</v>
      </c>
      <c r="BM201" s="106">
        <f>+VLOOKUP($BD201,'Sep-25'!$A:$J,5,0)</f>
        <v>0</v>
      </c>
      <c r="BN201" s="106">
        <f>+VLOOKUP($BD201,'Oct-25'!$A:$J,5,0)</f>
        <v>0</v>
      </c>
      <c r="BO201" s="106">
        <f>+VLOOKUP($BD201,'Nov-25'!$A:$J,5,0)</f>
        <v>0</v>
      </c>
      <c r="BP201" s="106">
        <f>+VLOOKUP($BD201,'Dec-25'!$A:$J,5,0)</f>
        <v>0</v>
      </c>
      <c r="BQ201" s="106">
        <f t="shared" si="2294"/>
        <v>0</v>
      </c>
      <c r="BR201" s="118">
        <f t="shared" si="1870"/>
        <v>-1</v>
      </c>
      <c r="BS201" s="106">
        <f>+_xlfn.XLOOKUP($BD201,Budget!$A:$A,Budget!BD:BD)</f>
        <v>232</v>
      </c>
      <c r="BT201" s="106">
        <f>+_xlfn.XLOOKUP($BD201,Budget!$A:$A,Budget!BE:BE)</f>
        <v>232</v>
      </c>
      <c r="BU201" s="106">
        <f>+_xlfn.XLOOKUP($BD201,Budget!$A:$A,Budget!BF:BF)</f>
        <v>232</v>
      </c>
      <c r="BV201" s="106">
        <f>+_xlfn.XLOOKUP($BD201,Budget!$A:$A,Budget!BG:BG)</f>
        <v>232</v>
      </c>
      <c r="BW201" s="106">
        <f>+_xlfn.XLOOKUP($BD201,Budget!$A:$A,Budget!BH:BH)</f>
        <v>232</v>
      </c>
      <c r="BX201" s="106">
        <f>+_xlfn.XLOOKUP($BD201,Budget!$A:$A,Budget!BI:BI)</f>
        <v>232</v>
      </c>
      <c r="BY201" s="106">
        <f>+_xlfn.XLOOKUP($BD201,Budget!$A:$A,Budget!BJ:BJ)</f>
        <v>232</v>
      </c>
      <c r="BZ201" s="106">
        <f>+_xlfn.XLOOKUP($BD201,Budget!$A:$A,Budget!BK:BK)</f>
        <v>232</v>
      </c>
      <c r="CA201" s="106">
        <f>+_xlfn.XLOOKUP($BD201,Budget!$A:$A,Budget!BL:BL)</f>
        <v>232</v>
      </c>
      <c r="CB201" s="106">
        <f>+_xlfn.XLOOKUP($BD201,Budget!$A:$A,Budget!BM:BM)</f>
        <v>232</v>
      </c>
      <c r="CC201" s="106">
        <f>+_xlfn.XLOOKUP($BD201,Budget!$A:$A,Budget!BN:BN)</f>
        <v>232</v>
      </c>
      <c r="CD201" s="106">
        <f>+_xlfn.XLOOKUP($BD201,Budget!$A:$A,Budget!BO:BO)</f>
        <v>232</v>
      </c>
      <c r="CE201" s="106">
        <f t="shared" si="2295"/>
        <v>2784</v>
      </c>
      <c r="CF201" s="106"/>
      <c r="CG201" s="106">
        <v>544</v>
      </c>
      <c r="CH201" s="106">
        <v>485.6</v>
      </c>
      <c r="CI201" s="106">
        <v>0</v>
      </c>
      <c r="CJ201" s="106">
        <v>0</v>
      </c>
      <c r="CK201" s="106">
        <v>18</v>
      </c>
      <c r="CL201" s="106">
        <v>0</v>
      </c>
      <c r="CM201" s="106">
        <v>26.6</v>
      </c>
      <c r="CN201" s="106">
        <v>200</v>
      </c>
      <c r="CO201" s="106">
        <v>102</v>
      </c>
      <c r="CP201" s="106">
        <v>0</v>
      </c>
      <c r="CQ201" s="106">
        <v>28.6</v>
      </c>
      <c r="CR201" s="106">
        <v>46.6</v>
      </c>
      <c r="CS201" s="106">
        <f t="shared" si="2296"/>
        <v>1451.3999999999996</v>
      </c>
      <c r="CT201" s="16" t="str">
        <f t="shared" si="2231"/>
        <v>Postage</v>
      </c>
      <c r="CU201" s="106">
        <f>+VLOOKUP($BD201,'Jan-25'!$A:$J,8,0)</f>
        <v>0</v>
      </c>
      <c r="CV201" s="106">
        <f>+VLOOKUP($BD201,'Feb-25'!$A:$J,8,0)</f>
        <v>0</v>
      </c>
      <c r="CW201" s="106">
        <f>+VLOOKUP($BD201,'Mar-25'!$A:$J,8,0)</f>
        <v>200</v>
      </c>
      <c r="CX201" s="106">
        <f>+VLOOKUP($BD201,'Apr-25'!$A:$J,8,0)</f>
        <v>61.6</v>
      </c>
      <c r="CY201" s="106">
        <f>+VLOOKUP($BD201,'May-25'!$A:$J,8,0)</f>
        <v>0</v>
      </c>
      <c r="CZ201" s="106">
        <f>+VLOOKUP($BD201,'June-25'!$A:$J,8,0)</f>
        <v>16</v>
      </c>
      <c r="DA201" s="106">
        <f>+VLOOKUP($BD201,'July-25'!$A:$J,8,0)</f>
        <v>186.20000000000002</v>
      </c>
      <c r="DB201" s="106">
        <f>+VLOOKUP($BD201,'Aug-25'!$A:$J,8,0)</f>
        <v>0</v>
      </c>
      <c r="DC201" s="106">
        <f>+VLOOKUP($BD201,'Sep-25'!$A:$J,8,0)</f>
        <v>0</v>
      </c>
      <c r="DD201" s="106">
        <f>+VLOOKUP($BD201,'Oct-25'!$A:$J,8,0)</f>
        <v>32</v>
      </c>
      <c r="DE201" s="106">
        <f>+VLOOKUP($BD201,'Nov-25'!$A:$J,8,0)</f>
        <v>0</v>
      </c>
      <c r="DF201" s="106">
        <f>+VLOOKUP($BD201,'Dec-25'!$A:$J,8,0)</f>
        <v>0</v>
      </c>
      <c r="DG201" s="106">
        <f t="shared" si="2297"/>
        <v>495.80000000000007</v>
      </c>
      <c r="DH201" s="118">
        <f t="shared" si="1874"/>
        <v>-0.77142857142857146</v>
      </c>
      <c r="DI201" s="106">
        <f>+_xlfn.XLOOKUP($CT201,Budget!$A:$A,Budget!CQ:CQ)</f>
        <v>140</v>
      </c>
      <c r="DJ201" s="106">
        <f>+_xlfn.XLOOKUP($CT201,Budget!$A:$A,Budget!CR:CR)</f>
        <v>140</v>
      </c>
      <c r="DK201" s="106">
        <f>+_xlfn.XLOOKUP($CT201,Budget!$A:$A,Budget!CS:CS)</f>
        <v>140</v>
      </c>
      <c r="DL201" s="106">
        <f>+_xlfn.XLOOKUP($CT201,Budget!$A:$A,Budget!CT:CT)</f>
        <v>140</v>
      </c>
      <c r="DM201" s="106">
        <f>+_xlfn.XLOOKUP($CT201,Budget!$A:$A,Budget!CU:CU)</f>
        <v>140</v>
      </c>
      <c r="DN201" s="106">
        <f>+_xlfn.XLOOKUP($CT201,Budget!$A:$A,Budget!CV:CV)</f>
        <v>140</v>
      </c>
      <c r="DO201" s="106">
        <f>+_xlfn.XLOOKUP($CT201,Budget!$A:$A,Budget!CW:CW)</f>
        <v>140</v>
      </c>
      <c r="DP201" s="106">
        <f>+_xlfn.XLOOKUP($CT201,Budget!$A:$A,Budget!CX:CX)</f>
        <v>140</v>
      </c>
      <c r="DQ201" s="106">
        <f>+_xlfn.XLOOKUP($CT201,Budget!$A:$A,Budget!CY:CY)</f>
        <v>140</v>
      </c>
      <c r="DR201" s="106">
        <f>+_xlfn.XLOOKUP($CT201,Budget!$A:$A,Budget!CZ:CZ)</f>
        <v>140</v>
      </c>
      <c r="DS201" s="106">
        <f>+_xlfn.XLOOKUP($CT201,Budget!$A:$A,Budget!DA:DA)</f>
        <v>140</v>
      </c>
      <c r="DT201" s="106">
        <f>+_xlfn.XLOOKUP($CT201,Budget!$A:$A,Budget!DB:DB)</f>
        <v>140</v>
      </c>
      <c r="DU201" s="106">
        <f t="shared" si="2298"/>
        <v>1680</v>
      </c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106">
        <f t="shared" si="2299"/>
        <v>0</v>
      </c>
      <c r="EJ201" s="16" t="str">
        <f t="shared" si="2302"/>
        <v>Postage</v>
      </c>
      <c r="EK201" s="22">
        <f>+VLOOKUP($BD201,'Jan-25'!$A:$J,10,0)</f>
        <v>0</v>
      </c>
      <c r="EL201" s="22">
        <f>+VLOOKUP($BD201,'Feb-25'!$A:$J,10,0)</f>
        <v>0</v>
      </c>
      <c r="EM201" s="22">
        <f>+VLOOKUP($BD201,'Mar-25'!$A:$J,10,0)</f>
        <v>0</v>
      </c>
      <c r="EN201" s="22">
        <f>+VLOOKUP($BD201,'Apr-25'!$A:$J,10,0)</f>
        <v>0</v>
      </c>
      <c r="EO201" s="22">
        <f>+VLOOKUP($BD201,'May-25'!$A:$J,10,0)</f>
        <v>0</v>
      </c>
      <c r="EP201" s="22">
        <f>+VLOOKUP($BD201,'June-25'!$A:$J,10,0)</f>
        <v>0</v>
      </c>
      <c r="EQ201" s="22">
        <f>+VLOOKUP($BD201,'July-25'!$A:$J,10,0)</f>
        <v>0</v>
      </c>
      <c r="ER201" s="22">
        <f>+VLOOKUP($BD201,'Aug-25'!$A:$J,10,0)</f>
        <v>0</v>
      </c>
      <c r="ES201" s="22">
        <f>+VLOOKUP($BD201,'Sep-25'!$A:$J,10,0)</f>
        <v>0</v>
      </c>
      <c r="ET201" s="22">
        <f>+VLOOKUP($BD201,'Oct-25'!$A:$J,10,0)</f>
        <v>0</v>
      </c>
      <c r="EU201" s="22">
        <f>+VLOOKUP($BD201,'Nov-25'!$A:$J,10,0)</f>
        <v>0</v>
      </c>
      <c r="EV201" s="22">
        <f>+VLOOKUP($BD201,'Dec-25'!$A:$J,10,0)</f>
        <v>0</v>
      </c>
      <c r="EW201" s="22">
        <f t="shared" si="2300"/>
        <v>0</v>
      </c>
      <c r="EX201" s="118">
        <f t="shared" si="1878"/>
        <v>-1</v>
      </c>
      <c r="EY201" s="106">
        <f>+_xlfn.XLOOKUP($EJ201,Budget!$A:$A,Budget!DR:DR)</f>
        <v>666.66666666666663</v>
      </c>
      <c r="EZ201" s="106">
        <f>+_xlfn.XLOOKUP($EJ201,Budget!$A:$A,Budget!DS:DS)</f>
        <v>666.66666666666663</v>
      </c>
      <c r="FA201" s="106">
        <f>+_xlfn.XLOOKUP($EJ201,Budget!$A:$A,Budget!DT:DT)</f>
        <v>666.66666666666663</v>
      </c>
      <c r="FB201" s="106">
        <f>+_xlfn.XLOOKUP($EJ201,Budget!$A:$A,Budget!DU:DU)</f>
        <v>666.66666666666663</v>
      </c>
      <c r="FC201" s="106">
        <f>+_xlfn.XLOOKUP($EJ201,Budget!$A:$A,Budget!DV:DV)</f>
        <v>666.66666666666663</v>
      </c>
      <c r="FD201" s="106">
        <f>+_xlfn.XLOOKUP($EJ201,Budget!$A:$A,Budget!DW:DW)</f>
        <v>666.66666666666663</v>
      </c>
      <c r="FE201" s="106">
        <f>+_xlfn.XLOOKUP($EJ201,Budget!$A:$A,Budget!DX:DX)</f>
        <v>666.66666666666663</v>
      </c>
      <c r="FF201" s="106">
        <f>+_xlfn.XLOOKUP($EJ201,Budget!$A:$A,Budget!DY:DY)</f>
        <v>666.66666666666663</v>
      </c>
      <c r="FG201" s="106">
        <f>+_xlfn.XLOOKUP($EJ201,Budget!$A:$A,Budget!DZ:DZ)</f>
        <v>666.66666666666663</v>
      </c>
      <c r="FH201" s="106">
        <f>+_xlfn.XLOOKUP($EJ201,Budget!$A:$A,Budget!EA:EA)</f>
        <v>666.66666666666663</v>
      </c>
      <c r="FI201" s="106">
        <f>+_xlfn.XLOOKUP($EJ201,Budget!$A:$A,Budget!EB:EB)</f>
        <v>666.66666666666663</v>
      </c>
      <c r="FJ201" s="106">
        <f>+_xlfn.XLOOKUP($EJ201,Budget!$A:$A,Budget!EC:EC)</f>
        <v>666.66666666666663</v>
      </c>
      <c r="FK201" s="106">
        <f t="shared" si="2301"/>
        <v>8000.0000000000009</v>
      </c>
    </row>
    <row r="202" spans="1:167" ht="14.45" hidden="1" customHeight="1" outlineLevel="2">
      <c r="A202" s="106">
        <f t="shared" si="2265"/>
        <v>0</v>
      </c>
      <c r="B202" s="106">
        <f t="shared" si="2265"/>
        <v>0</v>
      </c>
      <c r="C202" s="106">
        <f t="shared" si="2265"/>
        <v>0</v>
      </c>
      <c r="D202" s="106">
        <f t="shared" si="2265"/>
        <v>0</v>
      </c>
      <c r="E202" s="106">
        <f t="shared" si="2265"/>
        <v>0</v>
      </c>
      <c r="F202" s="106">
        <f t="shared" si="2265"/>
        <v>0</v>
      </c>
      <c r="G202" s="106">
        <f t="shared" si="2265"/>
        <v>0</v>
      </c>
      <c r="H202" s="106">
        <f t="shared" si="2265"/>
        <v>0</v>
      </c>
      <c r="I202" s="106">
        <f t="shared" si="2265"/>
        <v>0</v>
      </c>
      <c r="J202" s="106">
        <f t="shared" si="2265"/>
        <v>0</v>
      </c>
      <c r="K202" s="106">
        <f t="shared" si="2265"/>
        <v>0</v>
      </c>
      <c r="L202" s="106">
        <f t="shared" si="2265"/>
        <v>0</v>
      </c>
      <c r="M202" s="106">
        <f t="shared" si="2266"/>
        <v>0</v>
      </c>
      <c r="N202" s="16" t="s">
        <v>170</v>
      </c>
      <c r="O202" s="106">
        <f t="shared" si="2267"/>
        <v>0</v>
      </c>
      <c r="P202" s="106">
        <f t="shared" si="2268"/>
        <v>0</v>
      </c>
      <c r="Q202" s="106">
        <f t="shared" si="2269"/>
        <v>0</v>
      </c>
      <c r="R202" s="106">
        <f t="shared" si="2270"/>
        <v>0</v>
      </c>
      <c r="S202" s="106">
        <f t="shared" si="2271"/>
        <v>0</v>
      </c>
      <c r="T202" s="106">
        <f t="shared" si="2272"/>
        <v>0</v>
      </c>
      <c r="U202" s="106">
        <f t="shared" si="2273"/>
        <v>1378.8000000000002</v>
      </c>
      <c r="V202" s="106">
        <f t="shared" si="2274"/>
        <v>0</v>
      </c>
      <c r="W202" s="106">
        <f t="shared" si="2275"/>
        <v>0</v>
      </c>
      <c r="X202" s="106">
        <f t="shared" si="2276"/>
        <v>0</v>
      </c>
      <c r="Y202" s="106">
        <f t="shared" si="2277"/>
        <v>0</v>
      </c>
      <c r="Z202" s="106">
        <f t="shared" si="2278"/>
        <v>0</v>
      </c>
      <c r="AA202" s="106">
        <f t="shared" si="2279"/>
        <v>1378.8000000000002</v>
      </c>
      <c r="AB202" s="118">
        <f t="shared" si="1854"/>
        <v>-1</v>
      </c>
      <c r="AC202" s="106">
        <f t="shared" si="2280"/>
        <v>255.76666666666665</v>
      </c>
      <c r="AD202" s="106">
        <f t="shared" si="2281"/>
        <v>255.76666666666665</v>
      </c>
      <c r="AE202" s="106">
        <f t="shared" si="2282"/>
        <v>255.76666666666665</v>
      </c>
      <c r="AF202" s="106">
        <f t="shared" si="2283"/>
        <v>255.76666666666665</v>
      </c>
      <c r="AG202" s="106">
        <f t="shared" si="2284"/>
        <v>255.76666666666665</v>
      </c>
      <c r="AH202" s="106">
        <f t="shared" si="2285"/>
        <v>255.76666666666665</v>
      </c>
      <c r="AI202" s="106">
        <f t="shared" si="2286"/>
        <v>255.76666666666665</v>
      </c>
      <c r="AJ202" s="106">
        <f t="shared" si="2287"/>
        <v>255.76666666666665</v>
      </c>
      <c r="AK202" s="106">
        <f t="shared" si="2288"/>
        <v>255.76666666666665</v>
      </c>
      <c r="AL202" s="106">
        <f t="shared" si="2289"/>
        <v>255.76666666666665</v>
      </c>
      <c r="AM202" s="106">
        <f t="shared" si="2290"/>
        <v>255.76666666666665</v>
      </c>
      <c r="AN202" s="106">
        <f t="shared" si="2291"/>
        <v>255.76666666666665</v>
      </c>
      <c r="AO202" s="106">
        <f t="shared" si="2292"/>
        <v>3069.1999999999989</v>
      </c>
      <c r="AQ202" s="106">
        <v>0</v>
      </c>
      <c r="AR202" s="106">
        <v>0</v>
      </c>
      <c r="AS202" s="106">
        <v>0</v>
      </c>
      <c r="AT202" s="106">
        <v>0</v>
      </c>
      <c r="AU202" s="106">
        <v>0</v>
      </c>
      <c r="AV202" s="106">
        <v>0</v>
      </c>
      <c r="AW202" s="106">
        <v>0</v>
      </c>
      <c r="AX202" s="106">
        <v>0</v>
      </c>
      <c r="AY202" s="106">
        <v>0</v>
      </c>
      <c r="AZ202" s="106">
        <v>0</v>
      </c>
      <c r="BA202" s="106">
        <v>0</v>
      </c>
      <c r="BB202" s="106">
        <v>0</v>
      </c>
      <c r="BC202" s="106">
        <f t="shared" si="2293"/>
        <v>0</v>
      </c>
      <c r="BD202" s="16" t="str">
        <f t="shared" si="2230"/>
        <v>Subscription and Periodicals</v>
      </c>
      <c r="BE202" s="106">
        <f>+VLOOKUP($BD202,'Jan-25'!$A:$J,5,0)</f>
        <v>0</v>
      </c>
      <c r="BF202" s="106">
        <f>+VLOOKUP($BD202,'Feb-25'!$A:$J,5,0)</f>
        <v>0</v>
      </c>
      <c r="BG202" s="106">
        <f>+VLOOKUP($BD202,'Mar-25'!$A:$J,5,0)</f>
        <v>0</v>
      </c>
      <c r="BH202" s="106">
        <f>+VLOOKUP($BD202,'Apr-25'!$A:$J,5,0)</f>
        <v>0</v>
      </c>
      <c r="BI202" s="106">
        <f>+VLOOKUP($BD202,'May-25'!$A:$J,5,0)</f>
        <v>0</v>
      </c>
      <c r="BJ202" s="106">
        <f>+VLOOKUP($BD202,'June-25'!$A:$J,5,0)</f>
        <v>0</v>
      </c>
      <c r="BK202" s="106">
        <f>+VLOOKUP($BD202,'July-25'!$A:$J,5,0)</f>
        <v>919.2</v>
      </c>
      <c r="BL202" s="106">
        <f>+VLOOKUP($BD202,'Aug-25'!$A:$J,5,0)</f>
        <v>0</v>
      </c>
      <c r="BM202" s="106">
        <f>+VLOOKUP($BD202,'Sep-25'!$A:$J,5,0)</f>
        <v>0</v>
      </c>
      <c r="BN202" s="106">
        <f>+VLOOKUP($BD202,'Oct-25'!$A:$J,5,0)</f>
        <v>0</v>
      </c>
      <c r="BO202" s="106">
        <f>+VLOOKUP($BD202,'Nov-25'!$A:$J,5,0)</f>
        <v>0</v>
      </c>
      <c r="BP202" s="106">
        <f>+VLOOKUP($BD202,'Dec-25'!$A:$J,5,0)</f>
        <v>0</v>
      </c>
      <c r="BQ202" s="106">
        <f t="shared" si="2294"/>
        <v>919.2</v>
      </c>
      <c r="BR202" s="118">
        <f t="shared" si="1870"/>
        <v>-1</v>
      </c>
      <c r="BS202" s="106">
        <f>+_xlfn.XLOOKUP($BD202,Budget!$A:$A,Budget!BD:BD)</f>
        <v>59.400000000000006</v>
      </c>
      <c r="BT202" s="106">
        <f>+_xlfn.XLOOKUP($BD202,Budget!$A:$A,Budget!BE:BE)</f>
        <v>59.400000000000006</v>
      </c>
      <c r="BU202" s="106">
        <f>+_xlfn.XLOOKUP($BD202,Budget!$A:$A,Budget!BF:BF)</f>
        <v>59.400000000000006</v>
      </c>
      <c r="BV202" s="106">
        <f>+_xlfn.XLOOKUP($BD202,Budget!$A:$A,Budget!BG:BG)</f>
        <v>59.400000000000006</v>
      </c>
      <c r="BW202" s="106">
        <f>+_xlfn.XLOOKUP($BD202,Budget!$A:$A,Budget!BH:BH)</f>
        <v>59.400000000000006</v>
      </c>
      <c r="BX202" s="106">
        <f>+_xlfn.XLOOKUP($BD202,Budget!$A:$A,Budget!BI:BI)</f>
        <v>59.400000000000006</v>
      </c>
      <c r="BY202" s="106">
        <f>+_xlfn.XLOOKUP($BD202,Budget!$A:$A,Budget!BJ:BJ)</f>
        <v>59.400000000000006</v>
      </c>
      <c r="BZ202" s="106">
        <f>+_xlfn.XLOOKUP($BD202,Budget!$A:$A,Budget!BK:BK)</f>
        <v>59.400000000000006</v>
      </c>
      <c r="CA202" s="106">
        <f>+_xlfn.XLOOKUP($BD202,Budget!$A:$A,Budget!BL:BL)</f>
        <v>59.400000000000006</v>
      </c>
      <c r="CB202" s="106">
        <f>+_xlfn.XLOOKUP($BD202,Budget!$A:$A,Budget!BM:BM)</f>
        <v>59.400000000000006</v>
      </c>
      <c r="CC202" s="106">
        <f>+_xlfn.XLOOKUP($BD202,Budget!$A:$A,Budget!BN:BN)</f>
        <v>59.400000000000006</v>
      </c>
      <c r="CD202" s="106">
        <f>+_xlfn.XLOOKUP($BD202,Budget!$A:$A,Budget!BO:BO)</f>
        <v>59.400000000000006</v>
      </c>
      <c r="CE202" s="106">
        <f t="shared" si="2295"/>
        <v>712.79999999999984</v>
      </c>
      <c r="CF202" s="106"/>
      <c r="CG202" s="106">
        <v>0</v>
      </c>
      <c r="CH202" s="106">
        <v>0</v>
      </c>
      <c r="CI202" s="106">
        <v>0</v>
      </c>
      <c r="CJ202" s="106">
        <v>0</v>
      </c>
      <c r="CK202" s="106">
        <v>0</v>
      </c>
      <c r="CL202" s="106">
        <v>0</v>
      </c>
      <c r="CM202" s="106">
        <v>0</v>
      </c>
      <c r="CN202" s="106">
        <v>0</v>
      </c>
      <c r="CO202" s="106">
        <v>0</v>
      </c>
      <c r="CP202" s="106">
        <v>0</v>
      </c>
      <c r="CQ202" s="106">
        <v>0</v>
      </c>
      <c r="CR202" s="106">
        <v>0</v>
      </c>
      <c r="CS202" s="106">
        <f t="shared" si="2296"/>
        <v>0</v>
      </c>
      <c r="CT202" s="16" t="str">
        <f t="shared" si="2231"/>
        <v>Subscription and Periodicals</v>
      </c>
      <c r="CU202" s="106">
        <f>+VLOOKUP($BD202,'Jan-25'!$A:$J,8,0)</f>
        <v>0</v>
      </c>
      <c r="CV202" s="106">
        <f>+VLOOKUP($BD202,'Feb-25'!$A:$J,8,0)</f>
        <v>0</v>
      </c>
      <c r="CW202" s="106">
        <f>+VLOOKUP($BD202,'Mar-25'!$A:$J,8,0)</f>
        <v>0</v>
      </c>
      <c r="CX202" s="106">
        <f>+VLOOKUP($BD202,'Apr-25'!$A:$J,8,0)</f>
        <v>0</v>
      </c>
      <c r="CY202" s="106">
        <f>+VLOOKUP($BD202,'May-25'!$A:$J,8,0)</f>
        <v>0</v>
      </c>
      <c r="CZ202" s="106">
        <f>+VLOOKUP($BD202,'June-25'!$A:$J,8,0)</f>
        <v>0</v>
      </c>
      <c r="DA202" s="106">
        <f>+VLOOKUP($BD202,'July-25'!$A:$J,8,0)</f>
        <v>459.6</v>
      </c>
      <c r="DB202" s="106">
        <f>+VLOOKUP($BD202,'Aug-25'!$A:$J,8,0)</f>
        <v>0</v>
      </c>
      <c r="DC202" s="106">
        <f>+VLOOKUP($BD202,'Sep-25'!$A:$J,8,0)</f>
        <v>0</v>
      </c>
      <c r="DD202" s="106">
        <f>+VLOOKUP($BD202,'Oct-25'!$A:$J,8,0)</f>
        <v>0</v>
      </c>
      <c r="DE202" s="106">
        <f>+VLOOKUP($BD202,'Nov-25'!$A:$J,8,0)</f>
        <v>0</v>
      </c>
      <c r="DF202" s="106">
        <f>+VLOOKUP($BD202,'Dec-25'!$A:$J,8,0)</f>
        <v>0</v>
      </c>
      <c r="DG202" s="106">
        <f t="shared" si="2297"/>
        <v>459.6</v>
      </c>
      <c r="DH202" s="118">
        <f t="shared" si="1874"/>
        <v>-1</v>
      </c>
      <c r="DI202" s="106">
        <f>+_xlfn.XLOOKUP($CT202,Budget!$A:$A,Budget!CQ:CQ)</f>
        <v>29.700000000000003</v>
      </c>
      <c r="DJ202" s="106">
        <f>+_xlfn.XLOOKUP($CT202,Budget!$A:$A,Budget!CR:CR)</f>
        <v>29.700000000000003</v>
      </c>
      <c r="DK202" s="106">
        <f>+_xlfn.XLOOKUP($CT202,Budget!$A:$A,Budget!CS:CS)</f>
        <v>29.700000000000003</v>
      </c>
      <c r="DL202" s="106">
        <f>+_xlfn.XLOOKUP($CT202,Budget!$A:$A,Budget!CT:CT)</f>
        <v>29.700000000000003</v>
      </c>
      <c r="DM202" s="106">
        <f>+_xlfn.XLOOKUP($CT202,Budget!$A:$A,Budget!CU:CU)</f>
        <v>29.700000000000003</v>
      </c>
      <c r="DN202" s="106">
        <f>+_xlfn.XLOOKUP($CT202,Budget!$A:$A,Budget!CV:CV)</f>
        <v>29.700000000000003</v>
      </c>
      <c r="DO202" s="106">
        <f>+_xlfn.XLOOKUP($CT202,Budget!$A:$A,Budget!CW:CW)</f>
        <v>29.700000000000003</v>
      </c>
      <c r="DP202" s="106">
        <f>+_xlfn.XLOOKUP($CT202,Budget!$A:$A,Budget!CX:CX)</f>
        <v>29.700000000000003</v>
      </c>
      <c r="DQ202" s="106">
        <f>+_xlfn.XLOOKUP($CT202,Budget!$A:$A,Budget!CY:CY)</f>
        <v>29.700000000000003</v>
      </c>
      <c r="DR202" s="106">
        <f>+_xlfn.XLOOKUP($CT202,Budget!$A:$A,Budget!CZ:CZ)</f>
        <v>29.700000000000003</v>
      </c>
      <c r="DS202" s="106">
        <f>+_xlfn.XLOOKUP($CT202,Budget!$A:$A,Budget!DA:DA)</f>
        <v>29.700000000000003</v>
      </c>
      <c r="DT202" s="106">
        <f>+_xlfn.XLOOKUP($CT202,Budget!$A:$A,Budget!DB:DB)</f>
        <v>29.700000000000003</v>
      </c>
      <c r="DU202" s="106">
        <f t="shared" si="2298"/>
        <v>356.39999999999992</v>
      </c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106">
        <f t="shared" si="2299"/>
        <v>0</v>
      </c>
      <c r="EJ202" s="16" t="str">
        <f t="shared" si="2302"/>
        <v>Subscription and Periodicals</v>
      </c>
      <c r="EK202" s="22">
        <f>+VLOOKUP($BD202,'Jan-25'!$A:$J,10,0)</f>
        <v>0</v>
      </c>
      <c r="EL202" s="22">
        <f>+VLOOKUP($BD202,'Feb-25'!$A:$J,10,0)</f>
        <v>0</v>
      </c>
      <c r="EM202" s="22">
        <f>+VLOOKUP($BD202,'Mar-25'!$A:$J,10,0)</f>
        <v>0</v>
      </c>
      <c r="EN202" s="22">
        <f>+VLOOKUP($BD202,'Apr-25'!$A:$J,10,0)</f>
        <v>0</v>
      </c>
      <c r="EO202" s="22">
        <f>+VLOOKUP($BD202,'May-25'!$A:$J,10,0)</f>
        <v>0</v>
      </c>
      <c r="EP202" s="22">
        <f>+VLOOKUP($BD202,'June-25'!$A:$J,10,0)</f>
        <v>0</v>
      </c>
      <c r="EQ202" s="22">
        <f>+VLOOKUP($BD202,'July-25'!$A:$J,10,0)</f>
        <v>0</v>
      </c>
      <c r="ER202" s="22">
        <f>+VLOOKUP($BD202,'Aug-25'!$A:$J,10,0)</f>
        <v>0</v>
      </c>
      <c r="ES202" s="22">
        <f>+VLOOKUP($BD202,'Sep-25'!$A:$J,10,0)</f>
        <v>0</v>
      </c>
      <c r="ET202" s="22">
        <f>+VLOOKUP($BD202,'Oct-25'!$A:$J,10,0)</f>
        <v>0</v>
      </c>
      <c r="EU202" s="22">
        <f>+VLOOKUP($BD202,'Nov-25'!$A:$J,10,0)</f>
        <v>0</v>
      </c>
      <c r="EV202" s="22">
        <f>+VLOOKUP($BD202,'Dec-25'!$A:$J,10,0)</f>
        <v>0</v>
      </c>
      <c r="EW202" s="22">
        <f t="shared" si="2300"/>
        <v>0</v>
      </c>
      <c r="EX202" s="118">
        <f t="shared" si="1878"/>
        <v>-1</v>
      </c>
      <c r="EY202" s="106">
        <f>+_xlfn.XLOOKUP($EJ202,Budget!$A:$A,Budget!DR:DR)</f>
        <v>166.66666666666666</v>
      </c>
      <c r="EZ202" s="106">
        <f>+_xlfn.XLOOKUP($EJ202,Budget!$A:$A,Budget!DS:DS)</f>
        <v>166.66666666666666</v>
      </c>
      <c r="FA202" s="106">
        <f>+_xlfn.XLOOKUP($EJ202,Budget!$A:$A,Budget!DT:DT)</f>
        <v>166.66666666666666</v>
      </c>
      <c r="FB202" s="106">
        <f>+_xlfn.XLOOKUP($EJ202,Budget!$A:$A,Budget!DU:DU)</f>
        <v>166.66666666666666</v>
      </c>
      <c r="FC202" s="106">
        <f>+_xlfn.XLOOKUP($EJ202,Budget!$A:$A,Budget!DV:DV)</f>
        <v>166.66666666666666</v>
      </c>
      <c r="FD202" s="106">
        <f>+_xlfn.XLOOKUP($EJ202,Budget!$A:$A,Budget!DW:DW)</f>
        <v>166.66666666666666</v>
      </c>
      <c r="FE202" s="106">
        <f>+_xlfn.XLOOKUP($EJ202,Budget!$A:$A,Budget!DX:DX)</f>
        <v>166.66666666666666</v>
      </c>
      <c r="FF202" s="106">
        <f>+_xlfn.XLOOKUP($EJ202,Budget!$A:$A,Budget!DY:DY)</f>
        <v>166.66666666666666</v>
      </c>
      <c r="FG202" s="106">
        <f>+_xlfn.XLOOKUP($EJ202,Budget!$A:$A,Budget!DZ:DZ)</f>
        <v>166.66666666666666</v>
      </c>
      <c r="FH202" s="106">
        <f>+_xlfn.XLOOKUP($EJ202,Budget!$A:$A,Budget!EA:EA)</f>
        <v>166.66666666666666</v>
      </c>
      <c r="FI202" s="106">
        <f>+_xlfn.XLOOKUP($EJ202,Budget!$A:$A,Budget!EB:EB)</f>
        <v>166.66666666666666</v>
      </c>
      <c r="FJ202" s="106">
        <f>+_xlfn.XLOOKUP($EJ202,Budget!$A:$A,Budget!EC:EC)</f>
        <v>166.66666666666666</v>
      </c>
      <c r="FK202" s="106">
        <f t="shared" si="2301"/>
        <v>2000.0000000000002</v>
      </c>
    </row>
    <row r="203" spans="1:167" ht="14.45" hidden="1" customHeight="1" outlineLevel="2">
      <c r="A203" s="106">
        <f t="shared" si="2265"/>
        <v>1.4839999999999998</v>
      </c>
      <c r="B203" s="106">
        <f t="shared" si="2265"/>
        <v>4.8185999999999991</v>
      </c>
      <c r="C203" s="106">
        <f t="shared" si="2265"/>
        <v>6.4816000000000003</v>
      </c>
      <c r="D203" s="106">
        <f t="shared" si="2265"/>
        <v>1.08</v>
      </c>
      <c r="E203" s="106">
        <f t="shared" si="2265"/>
        <v>0.6552</v>
      </c>
      <c r="F203" s="106">
        <f t="shared" si="2265"/>
        <v>3.3328000000000007</v>
      </c>
      <c r="G203" s="106">
        <f t="shared" si="2265"/>
        <v>8.8916000000000004</v>
      </c>
      <c r="H203" s="106">
        <f t="shared" si="2265"/>
        <v>6.5</v>
      </c>
      <c r="I203" s="106">
        <f t="shared" si="2265"/>
        <v>9.9728000000000012</v>
      </c>
      <c r="J203" s="106">
        <f t="shared" si="2265"/>
        <v>10.2056</v>
      </c>
      <c r="K203" s="106">
        <f t="shared" si="2265"/>
        <v>11.851199999999999</v>
      </c>
      <c r="L203" s="106">
        <f t="shared" si="2265"/>
        <v>10.576000000000001</v>
      </c>
      <c r="M203" s="106">
        <f t="shared" si="2266"/>
        <v>75.849400000000003</v>
      </c>
      <c r="N203" s="16" t="s">
        <v>234</v>
      </c>
      <c r="O203" s="106">
        <f t="shared" si="2267"/>
        <v>5.8224</v>
      </c>
      <c r="P203" s="106">
        <f t="shared" si="2268"/>
        <v>-1.1814</v>
      </c>
      <c r="Q203" s="106">
        <f t="shared" si="2269"/>
        <v>-3.0685999999999996</v>
      </c>
      <c r="R203" s="106">
        <f t="shared" si="2270"/>
        <v>1.2186000000000001</v>
      </c>
      <c r="S203" s="106">
        <f t="shared" si="2271"/>
        <v>-0.10979999999999997</v>
      </c>
      <c r="T203" s="106">
        <f t="shared" si="2272"/>
        <v>0.99340000000000006</v>
      </c>
      <c r="U203" s="106">
        <f t="shared" si="2273"/>
        <v>3.2223999999999999</v>
      </c>
      <c r="V203" s="106">
        <f t="shared" si="2274"/>
        <v>1.9016</v>
      </c>
      <c r="W203" s="106">
        <f t="shared" si="2275"/>
        <v>0.3644</v>
      </c>
      <c r="X203" s="106">
        <f t="shared" si="2276"/>
        <v>0.75959999999999994</v>
      </c>
      <c r="Y203" s="106">
        <f t="shared" si="2277"/>
        <v>0</v>
      </c>
      <c r="Z203" s="106">
        <f t="shared" si="2278"/>
        <v>0</v>
      </c>
      <c r="AA203" s="106">
        <f t="shared" si="2279"/>
        <v>9.922600000000001</v>
      </c>
      <c r="AB203" s="118">
        <f t="shared" si="1854"/>
        <v>0</v>
      </c>
      <c r="AC203" s="106">
        <f t="shared" si="2280"/>
        <v>0</v>
      </c>
      <c r="AD203" s="106">
        <f t="shared" si="2281"/>
        <v>0</v>
      </c>
      <c r="AE203" s="106">
        <f t="shared" si="2282"/>
        <v>0</v>
      </c>
      <c r="AF203" s="106">
        <f t="shared" si="2283"/>
        <v>0</v>
      </c>
      <c r="AG203" s="106">
        <f t="shared" si="2284"/>
        <v>0</v>
      </c>
      <c r="AH203" s="106">
        <f t="shared" si="2285"/>
        <v>0</v>
      </c>
      <c r="AI203" s="106">
        <f t="shared" si="2286"/>
        <v>0</v>
      </c>
      <c r="AJ203" s="106">
        <f t="shared" si="2287"/>
        <v>0</v>
      </c>
      <c r="AK203" s="106">
        <f t="shared" si="2288"/>
        <v>0</v>
      </c>
      <c r="AL203" s="106">
        <f t="shared" si="2289"/>
        <v>0</v>
      </c>
      <c r="AM203" s="106">
        <f t="shared" si="2290"/>
        <v>0</v>
      </c>
      <c r="AN203" s="106">
        <f t="shared" si="2291"/>
        <v>0</v>
      </c>
      <c r="AO203" s="106">
        <f t="shared" si="2292"/>
        <v>0</v>
      </c>
      <c r="AQ203" s="106">
        <v>1.5619999999999998</v>
      </c>
      <c r="AR203" s="106">
        <v>4.678399999999999</v>
      </c>
      <c r="AS203" s="106">
        <v>2.9744000000000002</v>
      </c>
      <c r="AT203" s="106">
        <v>0.72</v>
      </c>
      <c r="AU203" s="106">
        <v>-1.0531999999999999</v>
      </c>
      <c r="AV203" s="106">
        <v>0.32720000000000016</v>
      </c>
      <c r="AW203" s="106">
        <v>7.4904000000000002</v>
      </c>
      <c r="AX203" s="106">
        <v>5.2380000000000004</v>
      </c>
      <c r="AY203" s="106">
        <v>8.4112000000000009</v>
      </c>
      <c r="AZ203" s="106">
        <v>6.1064000000000007</v>
      </c>
      <c r="BA203" s="106">
        <v>6.6407999999999996</v>
      </c>
      <c r="BB203" s="106">
        <v>7.5980000000000008</v>
      </c>
      <c r="BC203" s="106">
        <f t="shared" si="2293"/>
        <v>50.693600000000004</v>
      </c>
      <c r="BD203" s="16" t="str">
        <f t="shared" si="2230"/>
        <v>Miscellanioues Expense</v>
      </c>
      <c r="BE203" s="106">
        <f>+VLOOKUP($BD203,'Jan-25'!$A:$J,5,0)</f>
        <v>3.8715999999999999</v>
      </c>
      <c r="BF203" s="106">
        <f>+VLOOKUP($BD203,'Feb-25'!$A:$J,5,0)</f>
        <v>-0.96360000000000001</v>
      </c>
      <c r="BG203" s="106">
        <f>+VLOOKUP($BD203,'Mar-25'!$A:$J,5,0)</f>
        <v>-2.2763999999999998</v>
      </c>
      <c r="BH203" s="106">
        <f>+VLOOKUP($BD203,'Apr-25'!$A:$J,5,0)</f>
        <v>0.86840000000000006</v>
      </c>
      <c r="BI203" s="106">
        <f>+VLOOKUP($BD203,'May-25'!$A:$J,5,0)</f>
        <v>0.32280000000000003</v>
      </c>
      <c r="BJ203" s="106">
        <f>+VLOOKUP($BD203,'June-25'!$A:$J,5,0)</f>
        <v>0.82760000000000011</v>
      </c>
      <c r="BK203" s="106">
        <f>+VLOOKUP($BD203,'July-25'!$A:$J,5,0)</f>
        <v>2.1816</v>
      </c>
      <c r="BL203" s="106">
        <f>+VLOOKUP($BD203,'Aug-25'!$A:$J,5,0)</f>
        <v>1.3504</v>
      </c>
      <c r="BM203" s="106">
        <f>+VLOOKUP($BD203,'Sep-25'!$A:$J,5,0)</f>
        <v>0.49959999999999999</v>
      </c>
      <c r="BN203" s="106">
        <f>+VLOOKUP($BD203,'Oct-25'!$A:$J,5,0)</f>
        <v>0.50639999999999996</v>
      </c>
      <c r="BO203" s="106">
        <f>+VLOOKUP($BD203,'Nov-25'!$A:$J,5,0)</f>
        <v>0</v>
      </c>
      <c r="BP203" s="106">
        <f>+VLOOKUP($BD203,'Dec-25'!$A:$J,5,0)</f>
        <v>0</v>
      </c>
      <c r="BQ203" s="106">
        <f t="shared" si="2294"/>
        <v>7.1884000000000015</v>
      </c>
      <c r="BR203" s="118">
        <f t="shared" si="1870"/>
        <v>0</v>
      </c>
      <c r="BS203" s="106">
        <f>+_xlfn.XLOOKUP($BD203,Budget!$A:$A,Budget!BD:BD)</f>
        <v>0</v>
      </c>
      <c r="BT203" s="106">
        <f>+_xlfn.XLOOKUP($BD203,Budget!$A:$A,Budget!BE:BE)</f>
        <v>0</v>
      </c>
      <c r="BU203" s="106">
        <f>+_xlfn.XLOOKUP($BD203,Budget!$A:$A,Budget!BF:BF)</f>
        <v>0</v>
      </c>
      <c r="BV203" s="106">
        <f>+_xlfn.XLOOKUP($BD203,Budget!$A:$A,Budget!BG:BG)</f>
        <v>0</v>
      </c>
      <c r="BW203" s="106">
        <f>+_xlfn.XLOOKUP($BD203,Budget!$A:$A,Budget!BH:BH)</f>
        <v>0</v>
      </c>
      <c r="BX203" s="106">
        <f>+_xlfn.XLOOKUP($BD203,Budget!$A:$A,Budget!BI:BI)</f>
        <v>0</v>
      </c>
      <c r="BY203" s="106">
        <f>+_xlfn.XLOOKUP($BD203,Budget!$A:$A,Budget!BJ:BJ)</f>
        <v>0</v>
      </c>
      <c r="BZ203" s="106">
        <f>+_xlfn.XLOOKUP($BD203,Budget!$A:$A,Budget!BK:BK)</f>
        <v>0</v>
      </c>
      <c r="CA203" s="106">
        <f>+_xlfn.XLOOKUP($BD203,Budget!$A:$A,Budget!BL:BL)</f>
        <v>0</v>
      </c>
      <c r="CB203" s="106">
        <f>+_xlfn.XLOOKUP($BD203,Budget!$A:$A,Budget!BM:BM)</f>
        <v>0</v>
      </c>
      <c r="CC203" s="106">
        <f>+_xlfn.XLOOKUP($BD203,Budget!$A:$A,Budget!BN:BN)</f>
        <v>0</v>
      </c>
      <c r="CD203" s="106">
        <f>+_xlfn.XLOOKUP($BD203,Budget!$A:$A,Budget!BO:BO)</f>
        <v>0</v>
      </c>
      <c r="CE203" s="106">
        <f t="shared" si="2295"/>
        <v>0</v>
      </c>
      <c r="CF203" s="106"/>
      <c r="CG203" s="106">
        <v>-7.7999999999999972E-2</v>
      </c>
      <c r="CH203" s="106">
        <v>0.14020000000000002</v>
      </c>
      <c r="CI203" s="106">
        <v>3.5072000000000001</v>
      </c>
      <c r="CJ203" s="106">
        <v>0.36</v>
      </c>
      <c r="CK203" s="106">
        <v>1.7083999999999999</v>
      </c>
      <c r="CL203" s="106">
        <v>3.0056000000000003</v>
      </c>
      <c r="CM203" s="106">
        <v>1.4012</v>
      </c>
      <c r="CN203" s="106">
        <v>1.262</v>
      </c>
      <c r="CO203" s="106">
        <v>1.5615999999999999</v>
      </c>
      <c r="CP203" s="106">
        <v>4.0991999999999997</v>
      </c>
      <c r="CQ203" s="106">
        <v>5.2103999999999999</v>
      </c>
      <c r="CR203" s="106">
        <v>2.9780000000000002</v>
      </c>
      <c r="CS203" s="106">
        <f t="shared" si="2296"/>
        <v>25.155799999999999</v>
      </c>
      <c r="CT203" s="16" t="str">
        <f t="shared" si="2231"/>
        <v>Miscellanioues Expense</v>
      </c>
      <c r="CU203" s="106">
        <f>+VLOOKUP($BD203,'Jan-25'!$A:$J,8,0)</f>
        <v>1.9507999999999999</v>
      </c>
      <c r="CV203" s="106">
        <f>+VLOOKUP($BD203,'Feb-25'!$A:$J,8,0)</f>
        <v>-0.21780000000000002</v>
      </c>
      <c r="CW203" s="106">
        <f>+VLOOKUP($BD203,'Mar-25'!$A:$J,8,0)</f>
        <v>-0.79219999999999979</v>
      </c>
      <c r="CX203" s="106">
        <f>+VLOOKUP($BD203,'Apr-25'!$A:$J,8,0)</f>
        <v>0.35020000000000001</v>
      </c>
      <c r="CY203" s="106">
        <f>+VLOOKUP($BD203,'May-25'!$A:$J,8,0)</f>
        <v>-0.4526</v>
      </c>
      <c r="CZ203" s="106">
        <f>+VLOOKUP($BD203,'June-25'!$A:$J,8,0)</f>
        <v>0.1658</v>
      </c>
      <c r="DA203" s="106">
        <f>+VLOOKUP($BD203,'July-25'!$A:$J,8,0)</f>
        <v>1.0407999999999999</v>
      </c>
      <c r="DB203" s="106">
        <f>+VLOOKUP($BD203,'Aug-25'!$A:$J,8,0)</f>
        <v>0.55119999999999991</v>
      </c>
      <c r="DC203" s="106">
        <f>+VLOOKUP($BD203,'Sep-25'!$A:$J,8,0)</f>
        <v>-0.13519999999999999</v>
      </c>
      <c r="DD203" s="106">
        <f>+VLOOKUP($BD203,'Oct-25'!$A:$J,8,0)</f>
        <v>0.25319999999999998</v>
      </c>
      <c r="DE203" s="106">
        <f>+VLOOKUP($BD203,'Nov-25'!$A:$J,8,0)</f>
        <v>0</v>
      </c>
      <c r="DF203" s="106">
        <f>+VLOOKUP($BD203,'Dec-25'!$A:$J,8,0)</f>
        <v>0</v>
      </c>
      <c r="DG203" s="106">
        <f t="shared" si="2297"/>
        <v>2.7141999999999995</v>
      </c>
      <c r="DH203" s="118">
        <f t="shared" si="1874"/>
        <v>0</v>
      </c>
      <c r="DI203" s="106">
        <f>+_xlfn.XLOOKUP($CT203,Budget!$A:$A,Budget!CQ:CQ)</f>
        <v>0</v>
      </c>
      <c r="DJ203" s="106">
        <f>+_xlfn.XLOOKUP($CT203,Budget!$A:$A,Budget!CR:CR)</f>
        <v>0</v>
      </c>
      <c r="DK203" s="106">
        <f>+_xlfn.XLOOKUP($CT203,Budget!$A:$A,Budget!CS:CS)</f>
        <v>0</v>
      </c>
      <c r="DL203" s="106">
        <f>+_xlfn.XLOOKUP($CT203,Budget!$A:$A,Budget!CT:CT)</f>
        <v>0</v>
      </c>
      <c r="DM203" s="106">
        <f>+_xlfn.XLOOKUP($CT203,Budget!$A:$A,Budget!CU:CU)</f>
        <v>0</v>
      </c>
      <c r="DN203" s="106">
        <f>+_xlfn.XLOOKUP($CT203,Budget!$A:$A,Budget!CV:CV)</f>
        <v>0</v>
      </c>
      <c r="DO203" s="106">
        <f>+_xlfn.XLOOKUP($CT203,Budget!$A:$A,Budget!CW:CW)</f>
        <v>0</v>
      </c>
      <c r="DP203" s="106">
        <f>+_xlfn.XLOOKUP($CT203,Budget!$A:$A,Budget!CX:CX)</f>
        <v>0</v>
      </c>
      <c r="DQ203" s="106">
        <f>+_xlfn.XLOOKUP($CT203,Budget!$A:$A,Budget!CY:CY)</f>
        <v>0</v>
      </c>
      <c r="DR203" s="106">
        <f>+_xlfn.XLOOKUP($CT203,Budget!$A:$A,Budget!CZ:CZ)</f>
        <v>0</v>
      </c>
      <c r="DS203" s="106">
        <f>+_xlfn.XLOOKUP($CT203,Budget!$A:$A,Budget!DA:DA)</f>
        <v>0</v>
      </c>
      <c r="DT203" s="106">
        <f>+_xlfn.XLOOKUP($CT203,Budget!$A:$A,Budget!DB:DB)</f>
        <v>0</v>
      </c>
      <c r="DU203" s="106">
        <f t="shared" si="2298"/>
        <v>0</v>
      </c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106">
        <f t="shared" si="2299"/>
        <v>0</v>
      </c>
      <c r="EJ203" s="16" t="str">
        <f t="shared" si="2302"/>
        <v>Miscellanioues Expense</v>
      </c>
      <c r="EK203" s="22">
        <f>+VLOOKUP($BD203,'Jan-25'!$A:$J,10,0)</f>
        <v>0</v>
      </c>
      <c r="EL203" s="22">
        <f>+VLOOKUP($BD203,'Feb-25'!$A:$J,10,0)</f>
        <v>0</v>
      </c>
      <c r="EM203" s="22">
        <f>+VLOOKUP($BD203,'Mar-25'!$A:$J,10,0)</f>
        <v>0</v>
      </c>
      <c r="EN203" s="22">
        <f>+VLOOKUP($BD203,'Apr-25'!$A:$J,10,0)</f>
        <v>0</v>
      </c>
      <c r="EO203" s="22">
        <f>+VLOOKUP($BD203,'May-25'!$A:$J,10,0)</f>
        <v>0.02</v>
      </c>
      <c r="EP203" s="22">
        <f>+VLOOKUP($BD203,'June-25'!$A:$J,10,0)</f>
        <v>0</v>
      </c>
      <c r="EQ203" s="22">
        <f>+VLOOKUP($BD203,'July-25'!$A:$J,10,0)</f>
        <v>0</v>
      </c>
      <c r="ER203" s="22">
        <f>+VLOOKUP($BD203,'Aug-25'!$A:$J,10,0)</f>
        <v>0</v>
      </c>
      <c r="ES203" s="22">
        <f>+VLOOKUP($BD203,'Sep-25'!$A:$J,10,0)</f>
        <v>0</v>
      </c>
      <c r="ET203" s="22">
        <f>+VLOOKUP($BD203,'Oct-25'!$A:$J,10,0)</f>
        <v>0</v>
      </c>
      <c r="EU203" s="22">
        <f>+VLOOKUP($BD203,'Nov-25'!$A:$J,10,0)</f>
        <v>0</v>
      </c>
      <c r="EV203" s="22">
        <f>+VLOOKUP($BD203,'Dec-25'!$A:$J,10,0)</f>
        <v>0</v>
      </c>
      <c r="EW203" s="22">
        <f t="shared" si="2300"/>
        <v>0.02</v>
      </c>
      <c r="EX203" s="118" t="e">
        <f t="shared" si="1878"/>
        <v>#DIV/0!</v>
      </c>
      <c r="EY203" s="106">
        <f>+_xlfn.XLOOKUP($EJ203,Budget!$A:$A,Budget!DR:DR)</f>
        <v>0</v>
      </c>
      <c r="EZ203" s="106">
        <f>+_xlfn.XLOOKUP($EJ203,Budget!$A:$A,Budget!DS:DS)</f>
        <v>0</v>
      </c>
      <c r="FA203" s="106">
        <f>+_xlfn.XLOOKUP($EJ203,Budget!$A:$A,Budget!DT:DT)</f>
        <v>0</v>
      </c>
      <c r="FB203" s="106">
        <f>+_xlfn.XLOOKUP($EJ203,Budget!$A:$A,Budget!DU:DU)</f>
        <v>0</v>
      </c>
      <c r="FC203" s="106">
        <f>+_xlfn.XLOOKUP($EJ203,Budget!$A:$A,Budget!DV:DV)</f>
        <v>0</v>
      </c>
      <c r="FD203" s="106">
        <f>+_xlfn.XLOOKUP($EJ203,Budget!$A:$A,Budget!DW:DW)</f>
        <v>0</v>
      </c>
      <c r="FE203" s="106">
        <f>+_xlfn.XLOOKUP($EJ203,Budget!$A:$A,Budget!DX:DX)</f>
        <v>0</v>
      </c>
      <c r="FF203" s="106">
        <f>+_xlfn.XLOOKUP($EJ203,Budget!$A:$A,Budget!DY:DY)</f>
        <v>0</v>
      </c>
      <c r="FG203" s="106">
        <f>+_xlfn.XLOOKUP($EJ203,Budget!$A:$A,Budget!DZ:DZ)</f>
        <v>0</v>
      </c>
      <c r="FH203" s="106">
        <f>+_xlfn.XLOOKUP($EJ203,Budget!$A:$A,Budget!EA:EA)</f>
        <v>0</v>
      </c>
      <c r="FI203" s="106">
        <f>+_xlfn.XLOOKUP($EJ203,Budget!$A:$A,Budget!EB:EB)</f>
        <v>0</v>
      </c>
      <c r="FJ203" s="106">
        <f>+_xlfn.XLOOKUP($EJ203,Budget!$A:$A,Budget!EC:EC)</f>
        <v>0</v>
      </c>
      <c r="FK203" s="106">
        <f t="shared" si="2301"/>
        <v>0</v>
      </c>
    </row>
    <row r="204" spans="1:167" ht="14.45" hidden="1" customHeight="1" outlineLevel="2">
      <c r="A204" s="106">
        <f t="shared" si="2265"/>
        <v>19.427399999999999</v>
      </c>
      <c r="B204" s="106">
        <f t="shared" si="2265"/>
        <v>203.16600000000003</v>
      </c>
      <c r="C204" s="106">
        <f t="shared" si="2265"/>
        <v>162.9</v>
      </c>
      <c r="D204" s="106">
        <f t="shared" si="2265"/>
        <v>7.92</v>
      </c>
      <c r="E204" s="106">
        <f t="shared" si="2265"/>
        <v>4.1975999999999996</v>
      </c>
      <c r="F204" s="106">
        <f t="shared" si="2265"/>
        <v>33.078600000000002</v>
      </c>
      <c r="G204" s="106">
        <f t="shared" si="2265"/>
        <v>0</v>
      </c>
      <c r="H204" s="106">
        <f t="shared" si="2265"/>
        <v>0</v>
      </c>
      <c r="I204" s="106">
        <f t="shared" si="2265"/>
        <v>0</v>
      </c>
      <c r="J204" s="106">
        <f t="shared" si="2265"/>
        <v>31.123800000000003</v>
      </c>
      <c r="K204" s="106">
        <f t="shared" si="2265"/>
        <v>18.189</v>
      </c>
      <c r="L204" s="106">
        <f t="shared" si="2265"/>
        <v>0</v>
      </c>
      <c r="M204" s="106">
        <f t="shared" si="2266"/>
        <v>480.00240000000014</v>
      </c>
      <c r="N204" s="16" t="s">
        <v>171</v>
      </c>
      <c r="O204" s="106">
        <f t="shared" si="2267"/>
        <v>-3.1878000000000002</v>
      </c>
      <c r="P204" s="106">
        <f t="shared" si="2268"/>
        <v>-10.2348</v>
      </c>
      <c r="Q204" s="106">
        <f t="shared" si="2269"/>
        <v>-72.950400000000002</v>
      </c>
      <c r="R204" s="106">
        <f t="shared" si="2270"/>
        <v>-7.6104000000000003</v>
      </c>
      <c r="S204" s="106">
        <f t="shared" si="2271"/>
        <v>44.2956</v>
      </c>
      <c r="T204" s="106">
        <f t="shared" si="2272"/>
        <v>-20.615400000000001</v>
      </c>
      <c r="U204" s="106">
        <f t="shared" si="2273"/>
        <v>51.89220000000001</v>
      </c>
      <c r="V204" s="106">
        <f t="shared" si="2274"/>
        <v>-5.1498000000000008</v>
      </c>
      <c r="W204" s="106">
        <f t="shared" si="2275"/>
        <v>-11.88</v>
      </c>
      <c r="X204" s="106">
        <f t="shared" si="2276"/>
        <v>-14.342400000000001</v>
      </c>
      <c r="Y204" s="106">
        <f t="shared" si="2277"/>
        <v>0</v>
      </c>
      <c r="Z204" s="106">
        <f t="shared" si="2278"/>
        <v>0</v>
      </c>
      <c r="AA204" s="106">
        <f t="shared" si="2279"/>
        <v>-49.783199999999994</v>
      </c>
      <c r="AB204" s="118">
        <f t="shared" si="1854"/>
        <v>0</v>
      </c>
      <c r="AC204" s="106">
        <f t="shared" si="2280"/>
        <v>0</v>
      </c>
      <c r="AD204" s="106">
        <f t="shared" si="2281"/>
        <v>0</v>
      </c>
      <c r="AE204" s="106">
        <f t="shared" si="2282"/>
        <v>0</v>
      </c>
      <c r="AF204" s="106">
        <f t="shared" si="2283"/>
        <v>0</v>
      </c>
      <c r="AG204" s="106">
        <f t="shared" si="2284"/>
        <v>0</v>
      </c>
      <c r="AH204" s="106">
        <f t="shared" si="2285"/>
        <v>0</v>
      </c>
      <c r="AI204" s="106">
        <f t="shared" si="2286"/>
        <v>0</v>
      </c>
      <c r="AJ204" s="106">
        <f t="shared" si="2287"/>
        <v>0</v>
      </c>
      <c r="AK204" s="106">
        <f t="shared" si="2288"/>
        <v>0</v>
      </c>
      <c r="AL204" s="106">
        <f t="shared" si="2289"/>
        <v>0</v>
      </c>
      <c r="AM204" s="106">
        <f t="shared" si="2290"/>
        <v>0</v>
      </c>
      <c r="AN204" s="106">
        <f t="shared" si="2291"/>
        <v>0</v>
      </c>
      <c r="AO204" s="106">
        <f t="shared" si="2292"/>
        <v>0</v>
      </c>
      <c r="AQ204" s="106">
        <v>12.951599999999999</v>
      </c>
      <c r="AR204" s="106">
        <v>135.44400000000002</v>
      </c>
      <c r="AS204" s="106">
        <v>108.60000000000001</v>
      </c>
      <c r="AT204" s="106">
        <v>5.28</v>
      </c>
      <c r="AU204" s="106">
        <v>2.7984</v>
      </c>
      <c r="AV204" s="106">
        <v>22.052400000000002</v>
      </c>
      <c r="AW204" s="106">
        <v>0</v>
      </c>
      <c r="AX204" s="106">
        <v>0</v>
      </c>
      <c r="AY204" s="106">
        <v>0</v>
      </c>
      <c r="AZ204" s="106">
        <v>20.749200000000002</v>
      </c>
      <c r="BA204" s="106">
        <v>12.125999999999999</v>
      </c>
      <c r="BB204" s="106">
        <v>0</v>
      </c>
      <c r="BC204" s="106">
        <f t="shared" si="2293"/>
        <v>320.00159999999994</v>
      </c>
      <c r="BD204" s="16" t="str">
        <f t="shared" si="2230"/>
        <v>Round Off</v>
      </c>
      <c r="BE204" s="106">
        <f>+VLOOKUP($BD204,'Jan-25'!$A:$J,5,0)</f>
        <v>-2.1252</v>
      </c>
      <c r="BF204" s="106">
        <f>+VLOOKUP($BD204,'Feb-25'!$A:$J,5,0)</f>
        <v>-6.8231999999999999</v>
      </c>
      <c r="BG204" s="106">
        <f>+VLOOKUP($BD204,'Mar-25'!$A:$J,5,0)</f>
        <v>-48.633600000000001</v>
      </c>
      <c r="BH204" s="106">
        <f>+VLOOKUP($BD204,'Apr-25'!$A:$J,5,0)</f>
        <v>-5.0735999999999999</v>
      </c>
      <c r="BI204" s="106">
        <f>+VLOOKUP($BD204,'May-25'!$A:$J,5,0)</f>
        <v>29.530799999999999</v>
      </c>
      <c r="BJ204" s="106">
        <f>+VLOOKUP($BD204,'June-25'!$A:$J,5,0)</f>
        <v>-13.743600000000001</v>
      </c>
      <c r="BK204" s="106">
        <f>+VLOOKUP($BD204,'July-25'!$A:$J,5,0)</f>
        <v>34.594800000000006</v>
      </c>
      <c r="BL204" s="106">
        <f>+VLOOKUP($BD204,'Aug-25'!$A:$J,5,0)</f>
        <v>-3.4332000000000003</v>
      </c>
      <c r="BM204" s="106">
        <f>+VLOOKUP($BD204,'Sep-25'!$A:$J,5,0)</f>
        <v>-7.9200000000000008</v>
      </c>
      <c r="BN204" s="106">
        <f>+VLOOKUP($BD204,'Oct-25'!$A:$J,5,0)</f>
        <v>-9.5616000000000003</v>
      </c>
      <c r="BO204" s="106">
        <f>+VLOOKUP($BD204,'Nov-25'!$A:$J,5,0)</f>
        <v>0</v>
      </c>
      <c r="BP204" s="106">
        <f>+VLOOKUP($BD204,'Dec-25'!$A:$J,5,0)</f>
        <v>0</v>
      </c>
      <c r="BQ204" s="106">
        <f t="shared" si="2294"/>
        <v>-33.188399999999994</v>
      </c>
      <c r="BR204" s="118">
        <f t="shared" si="1870"/>
        <v>0</v>
      </c>
      <c r="BS204" s="106">
        <f>+_xlfn.XLOOKUP($BD204,Budget!$A:$A,Budget!BD:BD)</f>
        <v>0</v>
      </c>
      <c r="BT204" s="106">
        <f>+_xlfn.XLOOKUP($BD204,Budget!$A:$A,Budget!BE:BE)</f>
        <v>0</v>
      </c>
      <c r="BU204" s="106">
        <f>+_xlfn.XLOOKUP($BD204,Budget!$A:$A,Budget!BF:BF)</f>
        <v>0</v>
      </c>
      <c r="BV204" s="106">
        <f>+_xlfn.XLOOKUP($BD204,Budget!$A:$A,Budget!BG:BG)</f>
        <v>0</v>
      </c>
      <c r="BW204" s="106">
        <f>+_xlfn.XLOOKUP($BD204,Budget!$A:$A,Budget!BH:BH)</f>
        <v>0</v>
      </c>
      <c r="BX204" s="106">
        <f>+_xlfn.XLOOKUP($BD204,Budget!$A:$A,Budget!BI:BI)</f>
        <v>0</v>
      </c>
      <c r="BY204" s="106">
        <f>+_xlfn.XLOOKUP($BD204,Budget!$A:$A,Budget!BJ:BJ)</f>
        <v>0</v>
      </c>
      <c r="BZ204" s="106">
        <f>+_xlfn.XLOOKUP($BD204,Budget!$A:$A,Budget!BK:BK)</f>
        <v>0</v>
      </c>
      <c r="CA204" s="106">
        <f>+_xlfn.XLOOKUP($BD204,Budget!$A:$A,Budget!BL:BL)</f>
        <v>0</v>
      </c>
      <c r="CB204" s="106">
        <f>+_xlfn.XLOOKUP($BD204,Budget!$A:$A,Budget!BM:BM)</f>
        <v>0</v>
      </c>
      <c r="CC204" s="106">
        <f>+_xlfn.XLOOKUP($BD204,Budget!$A:$A,Budget!BN:BN)</f>
        <v>0</v>
      </c>
      <c r="CD204" s="106">
        <f>+_xlfn.XLOOKUP($BD204,Budget!$A:$A,Budget!BO:BO)</f>
        <v>0</v>
      </c>
      <c r="CE204" s="106">
        <f t="shared" si="2295"/>
        <v>0</v>
      </c>
      <c r="CF204" s="106"/>
      <c r="CG204" s="106">
        <v>6.4757999999999996</v>
      </c>
      <c r="CH204" s="106">
        <v>67.722000000000008</v>
      </c>
      <c r="CI204" s="106">
        <v>54.300000000000004</v>
      </c>
      <c r="CJ204" s="106">
        <v>2.64</v>
      </c>
      <c r="CK204" s="106">
        <v>1.3992</v>
      </c>
      <c r="CL204" s="106">
        <v>11.026200000000001</v>
      </c>
      <c r="CM204" s="106">
        <v>0</v>
      </c>
      <c r="CN204" s="106">
        <v>0</v>
      </c>
      <c r="CO204" s="106">
        <v>0</v>
      </c>
      <c r="CP204" s="106">
        <v>10.374600000000001</v>
      </c>
      <c r="CQ204" s="106">
        <v>6.0629999999999997</v>
      </c>
      <c r="CR204" s="106">
        <v>0</v>
      </c>
      <c r="CS204" s="106">
        <f t="shared" si="2296"/>
        <v>160.00079999999997</v>
      </c>
      <c r="CT204" s="16" t="str">
        <f t="shared" si="2231"/>
        <v>Round Off</v>
      </c>
      <c r="CU204" s="106">
        <f>+VLOOKUP($BD204,'Jan-25'!$A:$J,8,0)</f>
        <v>-1.0626</v>
      </c>
      <c r="CV204" s="106">
        <f>+VLOOKUP($BD204,'Feb-25'!$A:$J,8,0)</f>
        <v>-3.4116</v>
      </c>
      <c r="CW204" s="106">
        <f>+VLOOKUP($BD204,'Mar-25'!$A:$J,8,0)</f>
        <v>-24.316800000000001</v>
      </c>
      <c r="CX204" s="106">
        <f>+VLOOKUP($BD204,'Apr-25'!$A:$J,8,0)</f>
        <v>-2.5367999999999999</v>
      </c>
      <c r="CY204" s="106">
        <f>+VLOOKUP($BD204,'May-25'!$A:$J,8,0)</f>
        <v>14.764800000000001</v>
      </c>
      <c r="CZ204" s="106">
        <f>+VLOOKUP($BD204,'June-25'!$A:$J,8,0)</f>
        <v>-6.8718000000000004</v>
      </c>
      <c r="DA204" s="106">
        <f>+VLOOKUP($BD204,'July-25'!$A:$J,8,0)</f>
        <v>17.297400000000003</v>
      </c>
      <c r="DB204" s="106">
        <f>+VLOOKUP($BD204,'Aug-25'!$A:$J,8,0)</f>
        <v>-1.7166000000000001</v>
      </c>
      <c r="DC204" s="106">
        <f>+VLOOKUP($BD204,'Sep-25'!$A:$J,8,0)</f>
        <v>-3.9600000000000004</v>
      </c>
      <c r="DD204" s="106">
        <f>+VLOOKUP($BD204,'Oct-25'!$A:$J,8,0)</f>
        <v>-4.7808000000000002</v>
      </c>
      <c r="DE204" s="106">
        <f>+VLOOKUP($BD204,'Nov-25'!$A:$J,8,0)</f>
        <v>0</v>
      </c>
      <c r="DF204" s="106">
        <f>+VLOOKUP($BD204,'Dec-25'!$A:$J,8,0)</f>
        <v>0</v>
      </c>
      <c r="DG204" s="106">
        <f t="shared" si="2297"/>
        <v>-16.594799999999996</v>
      </c>
      <c r="DH204" s="118">
        <f t="shared" si="1874"/>
        <v>0</v>
      </c>
      <c r="DI204" s="106">
        <f>+_xlfn.XLOOKUP($CT204,Budget!$A:$A,Budget!CQ:CQ)</f>
        <v>0</v>
      </c>
      <c r="DJ204" s="106">
        <f>+_xlfn.XLOOKUP($CT204,Budget!$A:$A,Budget!CR:CR)</f>
        <v>0</v>
      </c>
      <c r="DK204" s="106">
        <f>+_xlfn.XLOOKUP($CT204,Budget!$A:$A,Budget!CS:CS)</f>
        <v>0</v>
      </c>
      <c r="DL204" s="106">
        <f>+_xlfn.XLOOKUP($CT204,Budget!$A:$A,Budget!CT:CT)</f>
        <v>0</v>
      </c>
      <c r="DM204" s="106">
        <f>+_xlfn.XLOOKUP($CT204,Budget!$A:$A,Budget!CU:CU)</f>
        <v>0</v>
      </c>
      <c r="DN204" s="106">
        <f>+_xlfn.XLOOKUP($CT204,Budget!$A:$A,Budget!CV:CV)</f>
        <v>0</v>
      </c>
      <c r="DO204" s="106">
        <f>+_xlfn.XLOOKUP($CT204,Budget!$A:$A,Budget!CW:CW)</f>
        <v>0</v>
      </c>
      <c r="DP204" s="106">
        <f>+_xlfn.XLOOKUP($CT204,Budget!$A:$A,Budget!CX:CX)</f>
        <v>0</v>
      </c>
      <c r="DQ204" s="106">
        <f>+_xlfn.XLOOKUP($CT204,Budget!$A:$A,Budget!CY:CY)</f>
        <v>0</v>
      </c>
      <c r="DR204" s="106">
        <f>+_xlfn.XLOOKUP($CT204,Budget!$A:$A,Budget!CZ:CZ)</f>
        <v>0</v>
      </c>
      <c r="DS204" s="106">
        <f>+_xlfn.XLOOKUP($CT204,Budget!$A:$A,Budget!DA:DA)</f>
        <v>0</v>
      </c>
      <c r="DT204" s="106">
        <f>+_xlfn.XLOOKUP($CT204,Budget!$A:$A,Budget!DB:DB)</f>
        <v>0</v>
      </c>
      <c r="DU204" s="106">
        <f t="shared" si="2298"/>
        <v>0</v>
      </c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106">
        <f t="shared" si="2299"/>
        <v>0</v>
      </c>
      <c r="EJ204" s="16" t="str">
        <f t="shared" si="2302"/>
        <v>Round Off</v>
      </c>
      <c r="EK204" s="22">
        <f>+VLOOKUP($BD204,'Jan-25'!$A:$J,10,0)</f>
        <v>0</v>
      </c>
      <c r="EL204" s="22">
        <f>+VLOOKUP($BD204,'Feb-25'!$A:$J,10,0)</f>
        <v>0</v>
      </c>
      <c r="EM204" s="22">
        <f>+VLOOKUP($BD204,'Mar-25'!$A:$J,10,0)</f>
        <v>0</v>
      </c>
      <c r="EN204" s="22">
        <f>+VLOOKUP($BD204,'Apr-25'!$A:$J,10,0)</f>
        <v>0</v>
      </c>
      <c r="EO204" s="22">
        <f>+VLOOKUP($BD204,'May-25'!$A:$J,10,0)</f>
        <v>0</v>
      </c>
      <c r="EP204" s="22">
        <f>+VLOOKUP($BD204,'June-25'!$A:$J,10,0)</f>
        <v>0</v>
      </c>
      <c r="EQ204" s="22">
        <f>+VLOOKUP($BD204,'July-25'!$A:$J,10,0)</f>
        <v>0</v>
      </c>
      <c r="ER204" s="22">
        <f>+VLOOKUP($BD204,'Aug-25'!$A:$J,10,0)</f>
        <v>0</v>
      </c>
      <c r="ES204" s="22">
        <f>+VLOOKUP($BD204,'Sep-25'!$A:$J,10,0)</f>
        <v>0</v>
      </c>
      <c r="ET204" s="22">
        <f>+VLOOKUP($BD204,'Oct-25'!$A:$J,10,0)</f>
        <v>0</v>
      </c>
      <c r="EU204" s="22">
        <f>+VLOOKUP($BD204,'Nov-25'!$A:$J,10,0)</f>
        <v>0</v>
      </c>
      <c r="EV204" s="22">
        <f>+VLOOKUP($BD204,'Dec-25'!$A:$J,10,0)</f>
        <v>0</v>
      </c>
      <c r="EW204" s="22">
        <f t="shared" si="2300"/>
        <v>0</v>
      </c>
      <c r="EX204" s="118" t="e">
        <f t="shared" si="1878"/>
        <v>#DIV/0!</v>
      </c>
      <c r="EY204" s="106">
        <f>+_xlfn.XLOOKUP($EJ204,Budget!$A:$A,Budget!DR:DR)</f>
        <v>0</v>
      </c>
      <c r="EZ204" s="106">
        <f>+_xlfn.XLOOKUP($EJ204,Budget!$A:$A,Budget!DS:DS)</f>
        <v>0</v>
      </c>
      <c r="FA204" s="106">
        <f>+_xlfn.XLOOKUP($EJ204,Budget!$A:$A,Budget!DT:DT)</f>
        <v>0</v>
      </c>
      <c r="FB204" s="106">
        <f>+_xlfn.XLOOKUP($EJ204,Budget!$A:$A,Budget!DU:DU)</f>
        <v>0</v>
      </c>
      <c r="FC204" s="106">
        <f>+_xlfn.XLOOKUP($EJ204,Budget!$A:$A,Budget!DV:DV)</f>
        <v>0</v>
      </c>
      <c r="FD204" s="106">
        <f>+_xlfn.XLOOKUP($EJ204,Budget!$A:$A,Budget!DW:DW)</f>
        <v>0</v>
      </c>
      <c r="FE204" s="106">
        <f>+_xlfn.XLOOKUP($EJ204,Budget!$A:$A,Budget!DX:DX)</f>
        <v>0</v>
      </c>
      <c r="FF204" s="106">
        <f>+_xlfn.XLOOKUP($EJ204,Budget!$A:$A,Budget!DY:DY)</f>
        <v>0</v>
      </c>
      <c r="FG204" s="106">
        <f>+_xlfn.XLOOKUP($EJ204,Budget!$A:$A,Budget!DZ:DZ)</f>
        <v>0</v>
      </c>
      <c r="FH204" s="106">
        <f>+_xlfn.XLOOKUP($EJ204,Budget!$A:$A,Budget!EA:EA)</f>
        <v>0</v>
      </c>
      <c r="FI204" s="106">
        <f>+_xlfn.XLOOKUP($EJ204,Budget!$A:$A,Budget!EB:EB)</f>
        <v>0</v>
      </c>
      <c r="FJ204" s="106">
        <f>+_xlfn.XLOOKUP($EJ204,Budget!$A:$A,Budget!EC:EC)</f>
        <v>0</v>
      </c>
      <c r="FK204" s="106">
        <f t="shared" si="2301"/>
        <v>0</v>
      </c>
    </row>
    <row r="205" spans="1:167" ht="14.45" hidden="1" customHeight="1" outlineLevel="1" collapsed="1">
      <c r="A205" s="58">
        <f t="shared" ref="A205:L205" si="2303">+SUM(A206:A208)</f>
        <v>1395.4796000000001</v>
      </c>
      <c r="B205" s="58">
        <f t="shared" si="2303"/>
        <v>1163.9999999999995</v>
      </c>
      <c r="C205" s="58">
        <f t="shared" si="2303"/>
        <v>9954.244999999999</v>
      </c>
      <c r="D205" s="58">
        <f t="shared" si="2303"/>
        <v>9954.2450000000008</v>
      </c>
      <c r="E205" s="58">
        <f t="shared" si="2303"/>
        <v>9954.2450000000008</v>
      </c>
      <c r="F205" s="58">
        <f t="shared" si="2303"/>
        <v>9954.262999999999</v>
      </c>
      <c r="G205" s="58">
        <f t="shared" si="2303"/>
        <v>9954.169999400001</v>
      </c>
      <c r="H205" s="58">
        <f t="shared" si="2303"/>
        <v>9465.9266205128133</v>
      </c>
      <c r="I205" s="58">
        <f t="shared" si="2303"/>
        <v>9933.3451999999943</v>
      </c>
      <c r="J205" s="58">
        <f t="shared" si="2303"/>
        <v>6662.8594000000003</v>
      </c>
      <c r="K205" s="58">
        <f t="shared" si="2303"/>
        <v>2809.3544000000006</v>
      </c>
      <c r="L205" s="58">
        <f t="shared" si="2303"/>
        <v>2809.3994000000012</v>
      </c>
      <c r="M205" s="58"/>
      <c r="N205" s="20" t="s">
        <v>172</v>
      </c>
      <c r="O205" s="58">
        <f t="shared" ref="O205" si="2304">+SUM(O206:O208)</f>
        <v>0</v>
      </c>
      <c r="P205" s="58">
        <f t="shared" ref="P205" si="2305">+SUM(P206:P208)</f>
        <v>1119.599400000001</v>
      </c>
      <c r="Q205" s="58">
        <f t="shared" ref="Q205" si="2306">+SUM(Q206:Q208)</f>
        <v>1119.4704000000006</v>
      </c>
      <c r="R205" s="58">
        <f t="shared" ref="R205" si="2307">+SUM(R206:R208)</f>
        <v>1119.4704000000006</v>
      </c>
      <c r="S205" s="58">
        <f t="shared" ref="S205" si="2308">+SUM(S206:S208)</f>
        <v>1119.4704000000006</v>
      </c>
      <c r="T205" s="58">
        <f t="shared" ref="T205" si="2309">+SUM(T206:T208)</f>
        <v>1137.6504</v>
      </c>
      <c r="U205" s="58">
        <f t="shared" ref="U205" si="2310">+SUM(U206:U208)</f>
        <v>1161.8916666666605</v>
      </c>
      <c r="V205" s="58">
        <f t="shared" ref="V205" si="2311">+SUM(V206:V208)</f>
        <v>1161.9767999999999</v>
      </c>
      <c r="W205" s="58">
        <f t="shared" ref="W205" si="2312">+SUM(W206:W208)</f>
        <v>1158.4146000000001</v>
      </c>
      <c r="X205" s="58">
        <f t="shared" ref="X205" si="2313">+SUM(X206:X208)</f>
        <v>8645.82</v>
      </c>
      <c r="Y205" s="58">
        <f t="shared" ref="Y205" si="2314">+SUM(Y206:Y208)</f>
        <v>0</v>
      </c>
      <c r="Z205" s="58">
        <f t="shared" ref="Z205" si="2315">+SUM(Z206:Z208)</f>
        <v>0</v>
      </c>
      <c r="AA205" s="58"/>
      <c r="AB205" s="118">
        <f t="shared" si="1854"/>
        <v>-0.50180129448073729</v>
      </c>
      <c r="AC205" s="58">
        <f t="shared" ref="AC205" si="2316">+SUM(AC206:AC208)</f>
        <v>17396.05522157576</v>
      </c>
      <c r="AD205" s="58">
        <f t="shared" ref="AD205" si="2317">+SUM(AD206:AD208)</f>
        <v>17396.055221575756</v>
      </c>
      <c r="AE205" s="58">
        <f t="shared" ref="AE205" si="2318">+SUM(AE206:AE208)</f>
        <v>17396.055221575756</v>
      </c>
      <c r="AF205" s="58">
        <f t="shared" ref="AF205" si="2319">+SUM(AF206:AF208)</f>
        <v>17396.055221575756</v>
      </c>
      <c r="AG205" s="58">
        <f t="shared" ref="AG205" si="2320">+SUM(AG206:AG208)</f>
        <v>17396.055221575756</v>
      </c>
      <c r="AH205" s="58">
        <f t="shared" ref="AH205" si="2321">+SUM(AH206:AH208)</f>
        <v>17396.055221575756</v>
      </c>
      <c r="AI205" s="58">
        <f t="shared" ref="AI205" si="2322">+SUM(AI206:AI208)</f>
        <v>17396.055221575756</v>
      </c>
      <c r="AJ205" s="58">
        <f t="shared" ref="AJ205" si="2323">+SUM(AJ206:AJ208)</f>
        <v>17396.055221575756</v>
      </c>
      <c r="AK205" s="58">
        <f t="shared" ref="AK205" si="2324">+SUM(AK206:AK208)</f>
        <v>17396.055221575756</v>
      </c>
      <c r="AL205" s="58">
        <f t="shared" ref="AL205" si="2325">+SUM(AL206:AL208)</f>
        <v>17354.159904909091</v>
      </c>
      <c r="AM205" s="58">
        <f t="shared" ref="AM205" si="2326">+SUM(AM206:AM208)</f>
        <v>17354.159904909091</v>
      </c>
      <c r="AN205" s="58">
        <f t="shared" ref="AN205:AO205" si="2327">+SUM(AN206:AN208)</f>
        <v>17354.159904909091</v>
      </c>
      <c r="AO205" s="58">
        <f t="shared" si="2327"/>
        <v>208626.97670890912</v>
      </c>
      <c r="AQ205" s="58">
        <f t="shared" ref="AQ205:CD205" si="2328">+SUM(AQ206:AQ208)</f>
        <v>907.25839999999994</v>
      </c>
      <c r="AR205" s="58">
        <f t="shared" si="2328"/>
        <v>907.1999999999997</v>
      </c>
      <c r="AS205" s="58">
        <f t="shared" si="2328"/>
        <v>7354.83</v>
      </c>
      <c r="AT205" s="58">
        <f t="shared" si="2328"/>
        <v>7354.8300000000008</v>
      </c>
      <c r="AU205" s="58">
        <f t="shared" si="2328"/>
        <v>7354.8300000000008</v>
      </c>
      <c r="AV205" s="58">
        <f t="shared" si="2328"/>
        <v>7354.8420000000006</v>
      </c>
      <c r="AW205" s="58">
        <f t="shared" si="2328"/>
        <v>7354.7799996000003</v>
      </c>
      <c r="AX205" s="58">
        <f t="shared" si="2328"/>
        <v>7029.3066358974311</v>
      </c>
      <c r="AY205" s="58">
        <f t="shared" si="2328"/>
        <v>7336.6047999999973</v>
      </c>
      <c r="AZ205" s="58">
        <f t="shared" si="2328"/>
        <v>4110.8396000000002</v>
      </c>
      <c r="BA205" s="58">
        <f t="shared" si="2328"/>
        <v>311.1696000000004</v>
      </c>
      <c r="BB205" s="58">
        <f t="shared" si="2328"/>
        <v>311.19960000000066</v>
      </c>
      <c r="BC205" s="58">
        <f>+SUM(AQ205:BB205)</f>
        <v>57687.690635497427</v>
      </c>
      <c r="BD205" s="20" t="str">
        <f t="shared" si="2230"/>
        <v>Insurance</v>
      </c>
      <c r="BE205" s="58">
        <f t="shared" si="2328"/>
        <v>0</v>
      </c>
      <c r="BF205" s="58">
        <f t="shared" ref="BF205:BP205" si="2329">+SUM(BF206:BF208)</f>
        <v>311.19960000000066</v>
      </c>
      <c r="BG205" s="58">
        <f t="shared" si="2329"/>
        <v>311.1696000000004</v>
      </c>
      <c r="BH205" s="58">
        <f t="shared" si="2329"/>
        <v>311.1696000000004</v>
      </c>
      <c r="BI205" s="58">
        <f t="shared" si="2329"/>
        <v>311.1696000000004</v>
      </c>
      <c r="BJ205" s="58">
        <f t="shared" si="2329"/>
        <v>323.28960000000006</v>
      </c>
      <c r="BK205" s="58">
        <f t="shared" si="2329"/>
        <v>339.44999999999641</v>
      </c>
      <c r="BL205" s="58">
        <f t="shared" si="2329"/>
        <v>339.45119999999991</v>
      </c>
      <c r="BM205" s="58">
        <f t="shared" si="2329"/>
        <v>337.07639999999998</v>
      </c>
      <c r="BN205" s="58">
        <f t="shared" si="2329"/>
        <v>333.48</v>
      </c>
      <c r="BO205" s="58">
        <f t="shared" si="2329"/>
        <v>0</v>
      </c>
      <c r="BP205" s="58">
        <f t="shared" si="2329"/>
        <v>0</v>
      </c>
      <c r="BQ205" s="58">
        <f t="shared" si="2328"/>
        <v>2917.455599999998</v>
      </c>
      <c r="BR205" s="118">
        <f t="shared" si="1870"/>
        <v>-0.93746079813359084</v>
      </c>
      <c r="BS205" s="58">
        <f t="shared" si="2328"/>
        <v>5366.4986666666664</v>
      </c>
      <c r="BT205" s="58">
        <f t="shared" si="2328"/>
        <v>5366.4986666666664</v>
      </c>
      <c r="BU205" s="58">
        <f t="shared" si="2328"/>
        <v>5366.4986666666664</v>
      </c>
      <c r="BV205" s="58">
        <f t="shared" si="2328"/>
        <v>5366.4986666666664</v>
      </c>
      <c r="BW205" s="58">
        <f t="shared" si="2328"/>
        <v>5366.4986666666664</v>
      </c>
      <c r="BX205" s="58">
        <f t="shared" si="2328"/>
        <v>5366.4986666666664</v>
      </c>
      <c r="BY205" s="58">
        <f t="shared" si="2328"/>
        <v>5366.4986666666664</v>
      </c>
      <c r="BZ205" s="58">
        <f t="shared" si="2328"/>
        <v>5366.4986666666664</v>
      </c>
      <c r="CA205" s="58">
        <f t="shared" si="2328"/>
        <v>5366.4986666666664</v>
      </c>
      <c r="CB205" s="58">
        <f t="shared" si="2328"/>
        <v>5332.3353999999999</v>
      </c>
      <c r="CC205" s="58">
        <f t="shared" si="2328"/>
        <v>5332.3353999999999</v>
      </c>
      <c r="CD205" s="58">
        <f t="shared" si="2328"/>
        <v>5332.3353999999999</v>
      </c>
      <c r="CE205" s="58">
        <f>+SUM(BS205:CD205)</f>
        <v>64295.494199999986</v>
      </c>
      <c r="CF205" s="106"/>
      <c r="CG205" s="58">
        <f t="shared" ref="CG205:CR205" si="2330">+SUM(CG206:CG208)</f>
        <v>488.22120000000007</v>
      </c>
      <c r="CH205" s="58">
        <f t="shared" si="2330"/>
        <v>256.79999999999984</v>
      </c>
      <c r="CI205" s="58">
        <f t="shared" si="2330"/>
        <v>2599.415</v>
      </c>
      <c r="CJ205" s="58">
        <f t="shared" si="2330"/>
        <v>2599.415</v>
      </c>
      <c r="CK205" s="58">
        <f t="shared" si="2330"/>
        <v>2599.415</v>
      </c>
      <c r="CL205" s="58">
        <f t="shared" si="2330"/>
        <v>2599.4209999999998</v>
      </c>
      <c r="CM205" s="58">
        <f t="shared" si="2330"/>
        <v>2599.3899997999997</v>
      </c>
      <c r="CN205" s="58">
        <f t="shared" si="2330"/>
        <v>2436.6199846153822</v>
      </c>
      <c r="CO205" s="58">
        <f t="shared" si="2330"/>
        <v>2596.7403999999983</v>
      </c>
      <c r="CP205" s="58">
        <f t="shared" si="2330"/>
        <v>2552.0198000000005</v>
      </c>
      <c r="CQ205" s="58">
        <f t="shared" si="2330"/>
        <v>2498.1848</v>
      </c>
      <c r="CR205" s="58">
        <f t="shared" si="2330"/>
        <v>2498.1998000000003</v>
      </c>
      <c r="CS205" s="58">
        <f>+SUM(CG205:CR205)</f>
        <v>26323.841984415383</v>
      </c>
      <c r="CT205" s="20" t="str">
        <f t="shared" si="2231"/>
        <v>Insurance</v>
      </c>
      <c r="CU205" s="58">
        <f t="shared" ref="CU205:DT205" si="2331">+SUM(CU206:CU208)</f>
        <v>0</v>
      </c>
      <c r="CV205" s="58">
        <f t="shared" si="2331"/>
        <v>808.39980000000037</v>
      </c>
      <c r="CW205" s="58">
        <f t="shared" si="2331"/>
        <v>808.30080000000021</v>
      </c>
      <c r="CX205" s="58">
        <f t="shared" si="2331"/>
        <v>808.30080000000021</v>
      </c>
      <c r="CY205" s="58">
        <f t="shared" si="2331"/>
        <v>808.30080000000021</v>
      </c>
      <c r="CZ205" s="58">
        <f t="shared" si="2331"/>
        <v>814.36080000000004</v>
      </c>
      <c r="DA205" s="58">
        <f t="shared" si="2331"/>
        <v>822.44166666666422</v>
      </c>
      <c r="DB205" s="58">
        <f t="shared" si="2331"/>
        <v>822.52560000000005</v>
      </c>
      <c r="DC205" s="58">
        <f t="shared" si="2331"/>
        <v>821.33820000000003</v>
      </c>
      <c r="DD205" s="58">
        <f t="shared" si="2331"/>
        <v>2342.7400000000002</v>
      </c>
      <c r="DE205" s="58">
        <f t="shared" si="2331"/>
        <v>0</v>
      </c>
      <c r="DF205" s="58">
        <f t="shared" si="2331"/>
        <v>0</v>
      </c>
      <c r="DG205" s="58">
        <f t="shared" si="2331"/>
        <v>8856.7084666666651</v>
      </c>
      <c r="DH205" s="118">
        <f t="shared" si="1874"/>
        <v>0.15872569271552023</v>
      </c>
      <c r="DI205" s="58">
        <f t="shared" si="2331"/>
        <v>2029.5565549090911</v>
      </c>
      <c r="DJ205" s="58">
        <f t="shared" si="2331"/>
        <v>2029.5565549090911</v>
      </c>
      <c r="DK205" s="58">
        <f t="shared" si="2331"/>
        <v>2029.5565549090911</v>
      </c>
      <c r="DL205" s="58">
        <f t="shared" si="2331"/>
        <v>2029.5565549090911</v>
      </c>
      <c r="DM205" s="58">
        <f t="shared" si="2331"/>
        <v>2029.5565549090911</v>
      </c>
      <c r="DN205" s="58">
        <f t="shared" si="2331"/>
        <v>2029.5565549090911</v>
      </c>
      <c r="DO205" s="58">
        <f t="shared" si="2331"/>
        <v>2029.5565549090911</v>
      </c>
      <c r="DP205" s="58">
        <f t="shared" si="2331"/>
        <v>2029.5565549090911</v>
      </c>
      <c r="DQ205" s="58">
        <f t="shared" si="2331"/>
        <v>2029.5565549090911</v>
      </c>
      <c r="DR205" s="58">
        <f t="shared" si="2331"/>
        <v>2021.824504909091</v>
      </c>
      <c r="DS205" s="58">
        <f t="shared" si="2331"/>
        <v>2021.824504909091</v>
      </c>
      <c r="DT205" s="58">
        <f t="shared" si="2331"/>
        <v>2021.824504909091</v>
      </c>
      <c r="DU205" s="58">
        <f>+SUM(DI205:DT205)</f>
        <v>24331.482508909095</v>
      </c>
      <c r="DW205" s="28">
        <f t="shared" ref="DW205:EH205" si="2332">+SUM(DW206:DW208)</f>
        <v>0</v>
      </c>
      <c r="DX205" s="28">
        <f t="shared" si="2332"/>
        <v>0</v>
      </c>
      <c r="DY205" s="28">
        <f t="shared" si="2332"/>
        <v>0</v>
      </c>
      <c r="DZ205" s="28">
        <f t="shared" si="2332"/>
        <v>0</v>
      </c>
      <c r="EA205" s="28">
        <f t="shared" si="2332"/>
        <v>0</v>
      </c>
      <c r="EB205" s="28">
        <f t="shared" si="2332"/>
        <v>0</v>
      </c>
      <c r="EC205" s="28">
        <f t="shared" si="2332"/>
        <v>0</v>
      </c>
      <c r="ED205" s="28">
        <f t="shared" si="2332"/>
        <v>0</v>
      </c>
      <c r="EE205" s="28">
        <f t="shared" si="2332"/>
        <v>0</v>
      </c>
      <c r="EF205" s="28">
        <f t="shared" si="2332"/>
        <v>0</v>
      </c>
      <c r="EG205" s="28">
        <f t="shared" si="2332"/>
        <v>0</v>
      </c>
      <c r="EH205" s="28">
        <f t="shared" si="2332"/>
        <v>0</v>
      </c>
      <c r="EI205" s="58">
        <f>+SUM(DW205:EH205)</f>
        <v>0</v>
      </c>
      <c r="EJ205" s="20" t="str">
        <f t="shared" si="2302"/>
        <v>Insurance</v>
      </c>
      <c r="EK205" s="28">
        <f t="shared" ref="EK205:EV205" si="2333">+SUM(EK206:EK208)</f>
        <v>0</v>
      </c>
      <c r="EL205" s="28">
        <f t="shared" si="2333"/>
        <v>0</v>
      </c>
      <c r="EM205" s="28">
        <f t="shared" si="2333"/>
        <v>0</v>
      </c>
      <c r="EN205" s="28">
        <f t="shared" si="2333"/>
        <v>0</v>
      </c>
      <c r="EO205" s="28">
        <f t="shared" si="2333"/>
        <v>0</v>
      </c>
      <c r="EP205" s="28">
        <f t="shared" si="2333"/>
        <v>0</v>
      </c>
      <c r="EQ205" s="28">
        <f t="shared" si="2333"/>
        <v>0</v>
      </c>
      <c r="ER205" s="28">
        <f t="shared" si="2333"/>
        <v>0</v>
      </c>
      <c r="ES205" s="28">
        <f t="shared" si="2333"/>
        <v>0</v>
      </c>
      <c r="ET205" s="28">
        <f t="shared" si="2333"/>
        <v>5969.6</v>
      </c>
      <c r="EU205" s="28">
        <f t="shared" si="2333"/>
        <v>0</v>
      </c>
      <c r="EV205" s="28">
        <f t="shared" si="2333"/>
        <v>0</v>
      </c>
      <c r="EW205" s="28">
        <f t="shared" ref="EW205" si="2334">+SUM(EW206:EW208)</f>
        <v>5969.6</v>
      </c>
      <c r="EX205" s="118">
        <f t="shared" si="1878"/>
        <v>-1</v>
      </c>
      <c r="EY205" s="58">
        <f t="shared" ref="EY205:FJ205" si="2335">+SUM(EY206:EY208)</f>
        <v>10000.000000000004</v>
      </c>
      <c r="EZ205" s="58">
        <f t="shared" si="2335"/>
        <v>10000</v>
      </c>
      <c r="FA205" s="58">
        <f t="shared" si="2335"/>
        <v>10000</v>
      </c>
      <c r="FB205" s="58">
        <f t="shared" si="2335"/>
        <v>10000</v>
      </c>
      <c r="FC205" s="58">
        <f t="shared" si="2335"/>
        <v>10000</v>
      </c>
      <c r="FD205" s="58">
        <f t="shared" si="2335"/>
        <v>10000</v>
      </c>
      <c r="FE205" s="58">
        <f t="shared" si="2335"/>
        <v>10000</v>
      </c>
      <c r="FF205" s="58">
        <f t="shared" si="2335"/>
        <v>10000</v>
      </c>
      <c r="FG205" s="58">
        <f t="shared" si="2335"/>
        <v>10000</v>
      </c>
      <c r="FH205" s="58">
        <f t="shared" si="2335"/>
        <v>10000</v>
      </c>
      <c r="FI205" s="58">
        <f t="shared" si="2335"/>
        <v>10000</v>
      </c>
      <c r="FJ205" s="58">
        <f t="shared" si="2335"/>
        <v>10000</v>
      </c>
      <c r="FK205" s="58">
        <f>+SUM(EY205:FJ205)</f>
        <v>120000</v>
      </c>
    </row>
    <row r="206" spans="1:167" ht="14.45" hidden="1" customHeight="1" outlineLevel="2">
      <c r="A206" s="106">
        <f t="shared" ref="A206:L208" si="2336">+AQ206+CG206+DW206</f>
        <v>0</v>
      </c>
      <c r="B206" s="106">
        <f t="shared" si="2336"/>
        <v>0</v>
      </c>
      <c r="C206" s="106">
        <f t="shared" si="2336"/>
        <v>0</v>
      </c>
      <c r="D206" s="106">
        <f t="shared" si="2336"/>
        <v>0</v>
      </c>
      <c r="E206" s="106">
        <f t="shared" si="2336"/>
        <v>0</v>
      </c>
      <c r="F206" s="106">
        <f t="shared" si="2336"/>
        <v>0</v>
      </c>
      <c r="G206" s="106">
        <f t="shared" si="2336"/>
        <v>0</v>
      </c>
      <c r="H206" s="106">
        <f t="shared" si="2336"/>
        <v>0</v>
      </c>
      <c r="I206" s="106">
        <f t="shared" si="2336"/>
        <v>0</v>
      </c>
      <c r="J206" s="106">
        <f t="shared" si="2336"/>
        <v>0</v>
      </c>
      <c r="K206" s="106">
        <f t="shared" si="2336"/>
        <v>0</v>
      </c>
      <c r="L206" s="106">
        <f t="shared" si="2336"/>
        <v>0</v>
      </c>
      <c r="M206" s="106">
        <f t="shared" ref="M206:M208" si="2337">+SUM(A206:L206)</f>
        <v>0</v>
      </c>
      <c r="N206" s="16" t="s">
        <v>173</v>
      </c>
      <c r="O206" s="106">
        <f t="shared" ref="O206:O208" si="2338">+BE206+CU206+EK206</f>
        <v>0</v>
      </c>
      <c r="P206" s="106">
        <f t="shared" ref="P206:P208" si="2339">+BF206+CV206+EL206</f>
        <v>0</v>
      </c>
      <c r="Q206" s="106">
        <f t="shared" ref="Q206:Q208" si="2340">+BG206+CW206+EM206</f>
        <v>0</v>
      </c>
      <c r="R206" s="106">
        <f t="shared" ref="R206:R208" si="2341">+BH206+CX206+EN206</f>
        <v>0</v>
      </c>
      <c r="S206" s="106">
        <f t="shared" ref="S206:S208" si="2342">+BI206+CY206+EO206</f>
        <v>0</v>
      </c>
      <c r="T206" s="106">
        <f t="shared" ref="T206:T208" si="2343">+BJ206+CZ206+EP206</f>
        <v>0</v>
      </c>
      <c r="U206" s="106">
        <f t="shared" ref="U206:U208" si="2344">+BK206+DA206+EQ206</f>
        <v>0</v>
      </c>
      <c r="V206" s="106">
        <f t="shared" ref="V206:V208" si="2345">+BL206+DB206+ER206</f>
        <v>0</v>
      </c>
      <c r="W206" s="106">
        <f t="shared" ref="W206:W208" si="2346">+BM206+DC206+ES206</f>
        <v>0</v>
      </c>
      <c r="X206" s="106">
        <f t="shared" ref="X206:X208" si="2347">+BN206+DD206+ET206</f>
        <v>0</v>
      </c>
      <c r="Y206" s="106">
        <f t="shared" ref="Y206:Y208" si="2348">+BO206+DE206+EU206</f>
        <v>0</v>
      </c>
      <c r="Z206" s="106">
        <f t="shared" ref="Z206:Z208" si="2349">+BP206+DF206+EV206</f>
        <v>0</v>
      </c>
      <c r="AA206" s="106">
        <f t="shared" ref="AA206:AA208" si="2350">+SUM(O206:Z206)</f>
        <v>0</v>
      </c>
      <c r="AB206" s="118">
        <f t="shared" si="1854"/>
        <v>0</v>
      </c>
      <c r="AC206" s="106">
        <f t="shared" ref="AC206:AC208" si="2351">+BS206+DI206+EY206</f>
        <v>0</v>
      </c>
      <c r="AD206" s="106">
        <f t="shared" ref="AD206:AD208" si="2352">+BT206+DJ206+EZ206</f>
        <v>0</v>
      </c>
      <c r="AE206" s="106">
        <f t="shared" ref="AE206:AE208" si="2353">+BU206+DK206+FA206</f>
        <v>0</v>
      </c>
      <c r="AF206" s="106">
        <f t="shared" ref="AF206:AF208" si="2354">+BV206+DL206+FB206</f>
        <v>0</v>
      </c>
      <c r="AG206" s="106">
        <f t="shared" ref="AG206:AG208" si="2355">+BW206+DM206+FC206</f>
        <v>0</v>
      </c>
      <c r="AH206" s="106">
        <f t="shared" ref="AH206:AH208" si="2356">+BX206+DN206+FD206</f>
        <v>0</v>
      </c>
      <c r="AI206" s="106">
        <f t="shared" ref="AI206:AI208" si="2357">+BY206+DO206+FE206</f>
        <v>0</v>
      </c>
      <c r="AJ206" s="106">
        <f t="shared" ref="AJ206:AJ208" si="2358">+BZ206+DP206+FF206</f>
        <v>0</v>
      </c>
      <c r="AK206" s="106">
        <f t="shared" ref="AK206:AK208" si="2359">+CA206+DQ206+FG206</f>
        <v>0</v>
      </c>
      <c r="AL206" s="106">
        <f t="shared" ref="AL206:AL208" si="2360">+CB206+DR206+FH206</f>
        <v>0</v>
      </c>
      <c r="AM206" s="106">
        <f t="shared" ref="AM206:AM208" si="2361">+CC206+DS206+FI206</f>
        <v>0</v>
      </c>
      <c r="AN206" s="106">
        <f t="shared" ref="AN206:AN208" si="2362">+CD206+DT206+FJ206</f>
        <v>0</v>
      </c>
      <c r="AO206" s="106">
        <f t="shared" ref="AO206:AO208" si="2363">+SUM(AC206:AN206)</f>
        <v>0</v>
      </c>
      <c r="AQ206" s="106">
        <v>0</v>
      </c>
      <c r="AR206" s="106">
        <v>0</v>
      </c>
      <c r="AS206" s="106">
        <v>0</v>
      </c>
      <c r="AT206" s="106">
        <v>0</v>
      </c>
      <c r="AU206" s="106">
        <v>0</v>
      </c>
      <c r="AV206" s="106">
        <v>0</v>
      </c>
      <c r="AW206" s="106">
        <v>0</v>
      </c>
      <c r="AX206" s="106">
        <v>0</v>
      </c>
      <c r="AY206" s="106">
        <v>0</v>
      </c>
      <c r="AZ206" s="106">
        <v>0</v>
      </c>
      <c r="BA206" s="106">
        <v>0</v>
      </c>
      <c r="BB206" s="106">
        <v>0</v>
      </c>
      <c r="BC206" s="106">
        <f t="shared" ref="BC206:BC208" si="2364">+SUM(AQ206:BB206)</f>
        <v>0</v>
      </c>
      <c r="BD206" s="16" t="str">
        <f t="shared" si="2230"/>
        <v>Demo Car Insurance</v>
      </c>
      <c r="BE206" s="106">
        <f>+VLOOKUP($BD206,'Jan-25'!$A:$J,5,0)</f>
        <v>0</v>
      </c>
      <c r="BF206" s="106">
        <f>+VLOOKUP($BD206,'Feb-25'!$A:$J,5,0)</f>
        <v>0</v>
      </c>
      <c r="BG206" s="106">
        <f>+VLOOKUP($BD206,'Mar-25'!$A:$J,5,0)</f>
        <v>0</v>
      </c>
      <c r="BH206" s="106">
        <f>+VLOOKUP($BD206,'Apr-25'!$A:$J,5,0)</f>
        <v>0</v>
      </c>
      <c r="BI206" s="106">
        <f>+VLOOKUP($BD206,'May-25'!$A:$J,5,0)</f>
        <v>0</v>
      </c>
      <c r="BJ206" s="106">
        <f>+VLOOKUP($BD206,'June-25'!$A:$J,5,0)</f>
        <v>0</v>
      </c>
      <c r="BK206" s="106">
        <f>+VLOOKUP($BD206,'July-25'!$A:$J,5,0)</f>
        <v>0</v>
      </c>
      <c r="BL206" s="106">
        <f>+VLOOKUP($BD206,'Aug-25'!$A:$J,5,0)</f>
        <v>0</v>
      </c>
      <c r="BM206" s="106">
        <f>+VLOOKUP($BD206,'Sep-25'!$A:$J,5,0)</f>
        <v>0</v>
      </c>
      <c r="BN206" s="106">
        <f>+VLOOKUP($BD206,'Oct-25'!$A:$J,5,0)</f>
        <v>0</v>
      </c>
      <c r="BO206" s="106">
        <f>+VLOOKUP($BD206,'Nov-25'!$A:$J,5,0)</f>
        <v>0</v>
      </c>
      <c r="BP206" s="106">
        <f>+VLOOKUP($BD206,'Dec-25'!$A:$J,5,0)</f>
        <v>0</v>
      </c>
      <c r="BQ206" s="106">
        <f t="shared" ref="BQ206:BQ208" si="2365">+SUM(BE206:BP206)</f>
        <v>0</v>
      </c>
      <c r="BR206" s="118">
        <f t="shared" si="1870"/>
        <v>0</v>
      </c>
      <c r="BS206" s="106">
        <f>+_xlfn.XLOOKUP($BD206,Budget!$A:$A,Budget!BD:BD)</f>
        <v>0</v>
      </c>
      <c r="BT206" s="106">
        <f>+_xlfn.XLOOKUP($BD206,Budget!$A:$A,Budget!BE:BE)</f>
        <v>0</v>
      </c>
      <c r="BU206" s="106">
        <f>+_xlfn.XLOOKUP($BD206,Budget!$A:$A,Budget!BF:BF)</f>
        <v>0</v>
      </c>
      <c r="BV206" s="106">
        <f>+_xlfn.XLOOKUP($BD206,Budget!$A:$A,Budget!BG:BG)</f>
        <v>0</v>
      </c>
      <c r="BW206" s="106">
        <f>+_xlfn.XLOOKUP($BD206,Budget!$A:$A,Budget!BH:BH)</f>
        <v>0</v>
      </c>
      <c r="BX206" s="106">
        <f>+_xlfn.XLOOKUP($BD206,Budget!$A:$A,Budget!BI:BI)</f>
        <v>0</v>
      </c>
      <c r="BY206" s="106">
        <f>+_xlfn.XLOOKUP($BD206,Budget!$A:$A,Budget!BJ:BJ)</f>
        <v>0</v>
      </c>
      <c r="BZ206" s="106">
        <f>+_xlfn.XLOOKUP($BD206,Budget!$A:$A,Budget!BK:BK)</f>
        <v>0</v>
      </c>
      <c r="CA206" s="106">
        <f>+_xlfn.XLOOKUP($BD206,Budget!$A:$A,Budget!BL:BL)</f>
        <v>0</v>
      </c>
      <c r="CB206" s="106">
        <f>+_xlfn.XLOOKUP($BD206,Budget!$A:$A,Budget!BM:BM)</f>
        <v>0</v>
      </c>
      <c r="CC206" s="106">
        <f>+_xlfn.XLOOKUP($BD206,Budget!$A:$A,Budget!BN:BN)</f>
        <v>0</v>
      </c>
      <c r="CD206" s="106">
        <f>+_xlfn.XLOOKUP($BD206,Budget!$A:$A,Budget!BO:BO)</f>
        <v>0</v>
      </c>
      <c r="CE206" s="106">
        <f t="shared" ref="CE206:CE208" si="2366">+SUM(BS206:CD206)</f>
        <v>0</v>
      </c>
      <c r="CF206" s="106"/>
      <c r="CG206" s="106">
        <v>0</v>
      </c>
      <c r="CH206" s="106">
        <v>0</v>
      </c>
      <c r="CI206" s="106">
        <v>0</v>
      </c>
      <c r="CJ206" s="106">
        <v>0</v>
      </c>
      <c r="CK206" s="106">
        <v>0</v>
      </c>
      <c r="CL206" s="106">
        <v>0</v>
      </c>
      <c r="CM206" s="106">
        <v>0</v>
      </c>
      <c r="CN206" s="106">
        <v>0</v>
      </c>
      <c r="CO206" s="106">
        <v>0</v>
      </c>
      <c r="CP206" s="106">
        <v>0</v>
      </c>
      <c r="CQ206" s="106">
        <v>0</v>
      </c>
      <c r="CR206" s="106">
        <v>0</v>
      </c>
      <c r="CS206" s="106">
        <f t="shared" ref="CS206:CS208" si="2367">+SUM(CG206:CR206)</f>
        <v>0</v>
      </c>
      <c r="CT206" s="16" t="str">
        <f t="shared" si="2231"/>
        <v>Demo Car Insurance</v>
      </c>
      <c r="CU206" s="106">
        <f>+VLOOKUP($BD206,'Jan-25'!$A:$J,8,0)</f>
        <v>0</v>
      </c>
      <c r="CV206" s="106">
        <f>+VLOOKUP($BD206,'Feb-25'!$A:$J,8,0)</f>
        <v>0</v>
      </c>
      <c r="CW206" s="106">
        <f>+VLOOKUP($BD206,'Mar-25'!$A:$J,8,0)</f>
        <v>0</v>
      </c>
      <c r="CX206" s="106">
        <f>+VLOOKUP($BD206,'Apr-25'!$A:$J,8,0)</f>
        <v>0</v>
      </c>
      <c r="CY206" s="106">
        <f>+VLOOKUP($BD206,'May-25'!$A:$J,8,0)</f>
        <v>0</v>
      </c>
      <c r="CZ206" s="106">
        <f>+VLOOKUP($BD206,'June-25'!$A:$J,8,0)</f>
        <v>0</v>
      </c>
      <c r="DA206" s="106">
        <f>+VLOOKUP($BD206,'July-25'!$A:$J,8,0)</f>
        <v>0</v>
      </c>
      <c r="DB206" s="106">
        <f>+VLOOKUP($BD206,'Aug-25'!$A:$J,8,0)</f>
        <v>0</v>
      </c>
      <c r="DC206" s="106">
        <f>+VLOOKUP($BD206,'Sep-25'!$A:$J,8,0)</f>
        <v>0</v>
      </c>
      <c r="DD206" s="106">
        <f>+VLOOKUP($BD206,'Oct-25'!$A:$J,8,0)</f>
        <v>0</v>
      </c>
      <c r="DE206" s="106">
        <f>+VLOOKUP($BD206,'Nov-25'!$A:$J,8,0)</f>
        <v>0</v>
      </c>
      <c r="DF206" s="106">
        <f>+VLOOKUP($BD206,'Dec-25'!$A:$J,8,0)</f>
        <v>0</v>
      </c>
      <c r="DG206" s="106">
        <f t="shared" ref="DG206:DG208" si="2368">+SUM(CU206:DF206)</f>
        <v>0</v>
      </c>
      <c r="DH206" s="118">
        <f t="shared" si="1874"/>
        <v>0</v>
      </c>
      <c r="DI206" s="106">
        <f>+_xlfn.XLOOKUP($CT206,Budget!$A:$A,Budget!CQ:CQ)</f>
        <v>0</v>
      </c>
      <c r="DJ206" s="106">
        <f>+_xlfn.XLOOKUP($CT206,Budget!$A:$A,Budget!CR:CR)</f>
        <v>0</v>
      </c>
      <c r="DK206" s="106">
        <f>+_xlfn.XLOOKUP($CT206,Budget!$A:$A,Budget!CS:CS)</f>
        <v>0</v>
      </c>
      <c r="DL206" s="106">
        <f>+_xlfn.XLOOKUP($CT206,Budget!$A:$A,Budget!CT:CT)</f>
        <v>0</v>
      </c>
      <c r="DM206" s="106">
        <f>+_xlfn.XLOOKUP($CT206,Budget!$A:$A,Budget!CU:CU)</f>
        <v>0</v>
      </c>
      <c r="DN206" s="106">
        <f>+_xlfn.XLOOKUP($CT206,Budget!$A:$A,Budget!CV:CV)</f>
        <v>0</v>
      </c>
      <c r="DO206" s="106">
        <f>+_xlfn.XLOOKUP($CT206,Budget!$A:$A,Budget!CW:CW)</f>
        <v>0</v>
      </c>
      <c r="DP206" s="106">
        <f>+_xlfn.XLOOKUP($CT206,Budget!$A:$A,Budget!CX:CX)</f>
        <v>0</v>
      </c>
      <c r="DQ206" s="106">
        <f>+_xlfn.XLOOKUP($CT206,Budget!$A:$A,Budget!CY:CY)</f>
        <v>0</v>
      </c>
      <c r="DR206" s="106">
        <f>+_xlfn.XLOOKUP($CT206,Budget!$A:$A,Budget!CZ:CZ)</f>
        <v>0</v>
      </c>
      <c r="DS206" s="106">
        <f>+_xlfn.XLOOKUP($CT206,Budget!$A:$A,Budget!DA:DA)</f>
        <v>0</v>
      </c>
      <c r="DT206" s="106">
        <f>+_xlfn.XLOOKUP($CT206,Budget!$A:$A,Budget!DB:DB)</f>
        <v>0</v>
      </c>
      <c r="DU206" s="106">
        <f t="shared" ref="DU206:DU208" si="2369">+SUM(DI206:DT206)</f>
        <v>0</v>
      </c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106">
        <f t="shared" ref="EI206:EI208" si="2370">+SUM(DW206:EH206)</f>
        <v>0</v>
      </c>
      <c r="EJ206" s="16" t="str">
        <f t="shared" si="2302"/>
        <v>Demo Car Insurance</v>
      </c>
      <c r="EK206" s="22">
        <f>+VLOOKUP($BD206,'Jan-25'!$A:$J,10,0)</f>
        <v>0</v>
      </c>
      <c r="EL206" s="22">
        <f>+VLOOKUP($BD206,'Feb-25'!$A:$J,10,0)</f>
        <v>0</v>
      </c>
      <c r="EM206" s="22">
        <f>+VLOOKUP($BD206,'Mar-25'!$A:$J,10,0)</f>
        <v>0</v>
      </c>
      <c r="EN206" s="22">
        <f>+VLOOKUP($BD206,'Apr-25'!$A:$J,10,0)</f>
        <v>0</v>
      </c>
      <c r="EO206" s="22">
        <f>+VLOOKUP($BD206,'May-25'!$A:$J,10,0)</f>
        <v>0</v>
      </c>
      <c r="EP206" s="22">
        <f>+VLOOKUP($BD206,'June-25'!$A:$J,10,0)</f>
        <v>0</v>
      </c>
      <c r="EQ206" s="22">
        <f>+VLOOKUP($BD206,'July-25'!$A:$J,10,0)</f>
        <v>0</v>
      </c>
      <c r="ER206" s="22">
        <f>+VLOOKUP($BD206,'Aug-25'!$A:$J,10,0)</f>
        <v>0</v>
      </c>
      <c r="ES206" s="22">
        <f>+VLOOKUP($BD206,'Sep-25'!$A:$J,10,0)</f>
        <v>0</v>
      </c>
      <c r="ET206" s="22">
        <f>+VLOOKUP($BD206,'Oct-25'!$A:$J,10,0)</f>
        <v>0</v>
      </c>
      <c r="EU206" s="22">
        <f>+VLOOKUP($BD206,'Nov-25'!$A:$J,10,0)</f>
        <v>0</v>
      </c>
      <c r="EV206" s="22">
        <f>+VLOOKUP($BD206,'Dec-25'!$A:$J,10,0)</f>
        <v>0</v>
      </c>
      <c r="EW206" s="22">
        <f t="shared" ref="EW206:EW208" si="2371">+SUM(EK206:EV206)</f>
        <v>0</v>
      </c>
      <c r="EX206" s="118" t="e">
        <f t="shared" si="1878"/>
        <v>#DIV/0!</v>
      </c>
      <c r="EY206" s="106">
        <f>+_xlfn.XLOOKUP($EJ206,Budget!$A:$A,Budget!DR:DR)</f>
        <v>0</v>
      </c>
      <c r="EZ206" s="106">
        <f>+_xlfn.XLOOKUP($EJ206,Budget!$A:$A,Budget!DS:DS)</f>
        <v>0</v>
      </c>
      <c r="FA206" s="106">
        <f>+_xlfn.XLOOKUP($EJ206,Budget!$A:$A,Budget!DT:DT)</f>
        <v>0</v>
      </c>
      <c r="FB206" s="106">
        <f>+_xlfn.XLOOKUP($EJ206,Budget!$A:$A,Budget!DU:DU)</f>
        <v>0</v>
      </c>
      <c r="FC206" s="106">
        <f>+_xlfn.XLOOKUP($EJ206,Budget!$A:$A,Budget!DV:DV)</f>
        <v>0</v>
      </c>
      <c r="FD206" s="106">
        <f>+_xlfn.XLOOKUP($EJ206,Budget!$A:$A,Budget!DW:DW)</f>
        <v>0</v>
      </c>
      <c r="FE206" s="106">
        <f>+_xlfn.XLOOKUP($EJ206,Budget!$A:$A,Budget!DX:DX)</f>
        <v>0</v>
      </c>
      <c r="FF206" s="106">
        <f>+_xlfn.XLOOKUP($EJ206,Budget!$A:$A,Budget!DY:DY)</f>
        <v>0</v>
      </c>
      <c r="FG206" s="106">
        <f>+_xlfn.XLOOKUP($EJ206,Budget!$A:$A,Budget!DZ:DZ)</f>
        <v>0</v>
      </c>
      <c r="FH206" s="106">
        <f>+_xlfn.XLOOKUP($EJ206,Budget!$A:$A,Budget!EA:EA)</f>
        <v>0</v>
      </c>
      <c r="FI206" s="106">
        <f>+_xlfn.XLOOKUP($EJ206,Budget!$A:$A,Budget!EB:EB)</f>
        <v>0</v>
      </c>
      <c r="FJ206" s="106">
        <f>+_xlfn.XLOOKUP($EJ206,Budget!$A:$A,Budget!EC:EC)</f>
        <v>0</v>
      </c>
      <c r="FK206" s="106">
        <f t="shared" ref="FK206:FK208" si="2372">+SUM(EY206:FJ206)</f>
        <v>0</v>
      </c>
    </row>
    <row r="207" spans="1:167" ht="14.45" hidden="1" customHeight="1" outlineLevel="2">
      <c r="A207" s="106">
        <f t="shared" si="2336"/>
        <v>513.51660000000015</v>
      </c>
      <c r="B207" s="106">
        <f t="shared" si="2336"/>
        <v>282.06</v>
      </c>
      <c r="C207" s="106">
        <f t="shared" si="2336"/>
        <v>9072.26</v>
      </c>
      <c r="D207" s="106">
        <f t="shared" si="2336"/>
        <v>9072.26</v>
      </c>
      <c r="E207" s="106">
        <f t="shared" si="2336"/>
        <v>9072.26</v>
      </c>
      <c r="F207" s="106">
        <f t="shared" si="2336"/>
        <v>9072.26</v>
      </c>
      <c r="G207" s="106">
        <f t="shared" si="2336"/>
        <v>9072.26</v>
      </c>
      <c r="H207" s="106">
        <f t="shared" si="2336"/>
        <v>9072.26</v>
      </c>
      <c r="I207" s="106">
        <f t="shared" si="2336"/>
        <v>9072.2906000000003</v>
      </c>
      <c r="J207" s="106">
        <f t="shared" si="2336"/>
        <v>6196.0599999999995</v>
      </c>
      <c r="K207" s="106">
        <f t="shared" si="2336"/>
        <v>2342.6</v>
      </c>
      <c r="L207" s="106">
        <f t="shared" si="2336"/>
        <v>2342.6</v>
      </c>
      <c r="M207" s="106">
        <f t="shared" si="2337"/>
        <v>75182.687200000015</v>
      </c>
      <c r="N207" s="16" t="s">
        <v>174</v>
      </c>
      <c r="O207" s="106">
        <f t="shared" si="2338"/>
        <v>0</v>
      </c>
      <c r="P207" s="106">
        <f t="shared" si="2339"/>
        <v>0</v>
      </c>
      <c r="Q207" s="106">
        <f t="shared" si="2340"/>
        <v>0</v>
      </c>
      <c r="R207" s="106">
        <f t="shared" si="2341"/>
        <v>0</v>
      </c>
      <c r="S207" s="106">
        <f t="shared" si="2342"/>
        <v>0</v>
      </c>
      <c r="T207" s="106">
        <f t="shared" si="2343"/>
        <v>0</v>
      </c>
      <c r="U207" s="106">
        <f t="shared" si="2344"/>
        <v>0</v>
      </c>
      <c r="V207" s="106">
        <f t="shared" si="2345"/>
        <v>0</v>
      </c>
      <c r="W207" s="106">
        <f t="shared" si="2346"/>
        <v>0</v>
      </c>
      <c r="X207" s="106">
        <f t="shared" si="2347"/>
        <v>7492.8</v>
      </c>
      <c r="Y207" s="106">
        <f t="shared" si="2348"/>
        <v>0</v>
      </c>
      <c r="Z207" s="106">
        <f t="shared" si="2349"/>
        <v>0</v>
      </c>
      <c r="AA207" s="106">
        <f t="shared" si="2350"/>
        <v>7492.8</v>
      </c>
      <c r="AB207" s="118">
        <f t="shared" si="1854"/>
        <v>-0.54674016843701645</v>
      </c>
      <c r="AC207" s="106">
        <f t="shared" si="2351"/>
        <v>16530.915554909094</v>
      </c>
      <c r="AD207" s="106">
        <f t="shared" si="2352"/>
        <v>16530.91555490909</v>
      </c>
      <c r="AE207" s="106">
        <f t="shared" si="2353"/>
        <v>16530.91555490909</v>
      </c>
      <c r="AF207" s="106">
        <f t="shared" si="2354"/>
        <v>16530.91555490909</v>
      </c>
      <c r="AG207" s="106">
        <f t="shared" si="2355"/>
        <v>16530.91555490909</v>
      </c>
      <c r="AH207" s="106">
        <f t="shared" si="2356"/>
        <v>16530.91555490909</v>
      </c>
      <c r="AI207" s="106">
        <f t="shared" si="2357"/>
        <v>16530.91555490909</v>
      </c>
      <c r="AJ207" s="106">
        <f t="shared" si="2358"/>
        <v>16530.91555490909</v>
      </c>
      <c r="AK207" s="106">
        <f t="shared" si="2359"/>
        <v>16530.91555490909</v>
      </c>
      <c r="AL207" s="106">
        <f t="shared" si="2360"/>
        <v>16530.91555490909</v>
      </c>
      <c r="AM207" s="106">
        <f t="shared" si="2361"/>
        <v>16530.91555490909</v>
      </c>
      <c r="AN207" s="106">
        <f t="shared" si="2362"/>
        <v>16530.91555490909</v>
      </c>
      <c r="AO207" s="106">
        <f t="shared" si="2363"/>
        <v>198370.98665890913</v>
      </c>
      <c r="AQ207" s="106">
        <v>188.06040000000002</v>
      </c>
      <c r="AR207" s="106">
        <v>188.04</v>
      </c>
      <c r="AS207" s="106">
        <v>6635.64</v>
      </c>
      <c r="AT207" s="106">
        <v>6635.64</v>
      </c>
      <c r="AU207" s="106">
        <v>6635.64</v>
      </c>
      <c r="AV207" s="106">
        <v>6635.64</v>
      </c>
      <c r="AW207" s="106">
        <v>6635.64</v>
      </c>
      <c r="AX207" s="106">
        <v>6635.64</v>
      </c>
      <c r="AY207" s="106">
        <v>6635.6604000000007</v>
      </c>
      <c r="AZ207" s="106">
        <v>3799.64</v>
      </c>
      <c r="BA207" s="106">
        <v>0</v>
      </c>
      <c r="BB207" s="106">
        <v>0</v>
      </c>
      <c r="BC207" s="106">
        <f t="shared" si="2364"/>
        <v>50625.2408</v>
      </c>
      <c r="BD207" s="16" t="str">
        <f t="shared" si="2230"/>
        <v>Premises Insurance</v>
      </c>
      <c r="BE207" s="106">
        <f>+VLOOKUP($BD207,'Jan-25'!$A:$J,5,0)</f>
        <v>0</v>
      </c>
      <c r="BF207" s="106">
        <f>+VLOOKUP($BD207,'Feb-25'!$A:$J,5,0)</f>
        <v>0</v>
      </c>
      <c r="BG207" s="106">
        <f>+VLOOKUP($BD207,'Mar-25'!$A:$J,5,0)</f>
        <v>0</v>
      </c>
      <c r="BH207" s="106">
        <f>+VLOOKUP($BD207,'Apr-25'!$A:$J,5,0)</f>
        <v>0</v>
      </c>
      <c r="BI207" s="106">
        <f>+VLOOKUP($BD207,'May-25'!$A:$J,5,0)</f>
        <v>0</v>
      </c>
      <c r="BJ207" s="106">
        <f>+VLOOKUP($BD207,'June-25'!$A:$J,5,0)</f>
        <v>0</v>
      </c>
      <c r="BK207" s="106">
        <f>+VLOOKUP($BD207,'July-25'!$A:$J,5,0)</f>
        <v>0</v>
      </c>
      <c r="BL207" s="106">
        <f>+VLOOKUP($BD207,'Aug-25'!$A:$J,5,0)</f>
        <v>0</v>
      </c>
      <c r="BM207" s="106">
        <f>+VLOOKUP($BD207,'Sep-25'!$A:$J,5,0)</f>
        <v>0</v>
      </c>
      <c r="BN207" s="106">
        <f>+VLOOKUP($BD207,'Oct-25'!$A:$J,5,0)</f>
        <v>0</v>
      </c>
      <c r="BO207" s="106">
        <f>+VLOOKUP($BD207,'Nov-25'!$A:$J,5,0)</f>
        <v>0</v>
      </c>
      <c r="BP207" s="106">
        <f>+VLOOKUP($BD207,'Dec-25'!$A:$J,5,0)</f>
        <v>0</v>
      </c>
      <c r="BQ207" s="106">
        <f t="shared" si="2365"/>
        <v>0</v>
      </c>
      <c r="BR207" s="118">
        <f t="shared" si="1870"/>
        <v>-1</v>
      </c>
      <c r="BS207" s="106">
        <f>+_xlfn.XLOOKUP($BD207,Budget!$A:$A,Budget!BD:BD)</f>
        <v>4656</v>
      </c>
      <c r="BT207" s="106">
        <f>+_xlfn.XLOOKUP($BD207,Budget!$A:$A,Budget!BE:BE)</f>
        <v>4656</v>
      </c>
      <c r="BU207" s="106">
        <f>+_xlfn.XLOOKUP($BD207,Budget!$A:$A,Budget!BF:BF)</f>
        <v>4656</v>
      </c>
      <c r="BV207" s="106">
        <f>+_xlfn.XLOOKUP($BD207,Budget!$A:$A,Budget!BG:BG)</f>
        <v>4656</v>
      </c>
      <c r="BW207" s="106">
        <f>+_xlfn.XLOOKUP($BD207,Budget!$A:$A,Budget!BH:BH)</f>
        <v>4656</v>
      </c>
      <c r="BX207" s="106">
        <f>+_xlfn.XLOOKUP($BD207,Budget!$A:$A,Budget!BI:BI)</f>
        <v>4656</v>
      </c>
      <c r="BY207" s="106">
        <f>+_xlfn.XLOOKUP($BD207,Budget!$A:$A,Budget!BJ:BJ)</f>
        <v>4656</v>
      </c>
      <c r="BZ207" s="106">
        <f>+_xlfn.XLOOKUP($BD207,Budget!$A:$A,Budget!BK:BK)</f>
        <v>4656</v>
      </c>
      <c r="CA207" s="106">
        <f>+_xlfn.XLOOKUP($BD207,Budget!$A:$A,Budget!BL:BL)</f>
        <v>4656</v>
      </c>
      <c r="CB207" s="106">
        <f>+_xlfn.XLOOKUP($BD207,Budget!$A:$A,Budget!BM:BM)</f>
        <v>4656</v>
      </c>
      <c r="CC207" s="106">
        <f>+_xlfn.XLOOKUP($BD207,Budget!$A:$A,Budget!BN:BN)</f>
        <v>4656</v>
      </c>
      <c r="CD207" s="106">
        <f>+_xlfn.XLOOKUP($BD207,Budget!$A:$A,Budget!BO:BO)</f>
        <v>4656</v>
      </c>
      <c r="CE207" s="106">
        <f t="shared" si="2366"/>
        <v>55872</v>
      </c>
      <c r="CF207" s="106"/>
      <c r="CG207" s="106">
        <v>325.45620000000008</v>
      </c>
      <c r="CH207" s="106">
        <v>94.02</v>
      </c>
      <c r="CI207" s="106">
        <v>2436.62</v>
      </c>
      <c r="CJ207" s="106">
        <v>2436.62</v>
      </c>
      <c r="CK207" s="106">
        <v>2436.62</v>
      </c>
      <c r="CL207" s="106">
        <v>2436.62</v>
      </c>
      <c r="CM207" s="106">
        <v>2436.62</v>
      </c>
      <c r="CN207" s="106">
        <v>2436.62</v>
      </c>
      <c r="CO207" s="106">
        <v>2436.6302000000001</v>
      </c>
      <c r="CP207" s="106">
        <v>2396.42</v>
      </c>
      <c r="CQ207" s="106">
        <v>2342.6</v>
      </c>
      <c r="CR207" s="106">
        <v>2342.6</v>
      </c>
      <c r="CS207" s="106">
        <f t="shared" si="2367"/>
        <v>24557.446399999993</v>
      </c>
      <c r="CT207" s="16" t="str">
        <f t="shared" si="2231"/>
        <v>Premises Insurance</v>
      </c>
      <c r="CU207" s="106">
        <f>+VLOOKUP($BD207,'Jan-25'!$A:$J,8,0)</f>
        <v>0</v>
      </c>
      <c r="CV207" s="106">
        <f>+VLOOKUP($BD207,'Feb-25'!$A:$J,8,0)</f>
        <v>0</v>
      </c>
      <c r="CW207" s="106">
        <f>+VLOOKUP($BD207,'Mar-25'!$A:$J,8,0)</f>
        <v>0</v>
      </c>
      <c r="CX207" s="106">
        <f>+VLOOKUP($BD207,'Apr-25'!$A:$J,8,0)</f>
        <v>0</v>
      </c>
      <c r="CY207" s="106">
        <f>+VLOOKUP($BD207,'May-25'!$A:$J,8,0)</f>
        <v>0</v>
      </c>
      <c r="CZ207" s="106">
        <f>+VLOOKUP($BD207,'June-25'!$A:$J,8,0)</f>
        <v>0</v>
      </c>
      <c r="DA207" s="106">
        <f>+VLOOKUP($BD207,'July-25'!$A:$J,8,0)</f>
        <v>0</v>
      </c>
      <c r="DB207" s="106">
        <f>+VLOOKUP($BD207,'Aug-25'!$A:$J,8,0)</f>
        <v>0</v>
      </c>
      <c r="DC207" s="106">
        <f>+VLOOKUP($BD207,'Sep-25'!$A:$J,8,0)</f>
        <v>0</v>
      </c>
      <c r="DD207" s="106">
        <f>+VLOOKUP($BD207,'Oct-25'!$A:$J,8,0)</f>
        <v>1523.2</v>
      </c>
      <c r="DE207" s="106">
        <f>+VLOOKUP($BD207,'Nov-25'!$A:$J,8,0)</f>
        <v>0</v>
      </c>
      <c r="DF207" s="106">
        <f>+VLOOKUP($BD207,'Dec-25'!$A:$J,8,0)</f>
        <v>0</v>
      </c>
      <c r="DG207" s="106">
        <f t="shared" si="2368"/>
        <v>1523.2</v>
      </c>
      <c r="DH207" s="118">
        <f t="shared" si="1874"/>
        <v>-0.18759007785081</v>
      </c>
      <c r="DI207" s="106">
        <f>+_xlfn.XLOOKUP($CT207,Budget!$A:$A,Budget!CQ:CQ)</f>
        <v>1874.915554909091</v>
      </c>
      <c r="DJ207" s="106">
        <f>+_xlfn.XLOOKUP($CT207,Budget!$A:$A,Budget!CR:CR)</f>
        <v>1874.915554909091</v>
      </c>
      <c r="DK207" s="106">
        <f>+_xlfn.XLOOKUP($CT207,Budget!$A:$A,Budget!CS:CS)</f>
        <v>1874.915554909091</v>
      </c>
      <c r="DL207" s="106">
        <f>+_xlfn.XLOOKUP($CT207,Budget!$A:$A,Budget!CT:CT)</f>
        <v>1874.915554909091</v>
      </c>
      <c r="DM207" s="106">
        <f>+_xlfn.XLOOKUP($CT207,Budget!$A:$A,Budget!CU:CU)</f>
        <v>1874.915554909091</v>
      </c>
      <c r="DN207" s="106">
        <f>+_xlfn.XLOOKUP($CT207,Budget!$A:$A,Budget!CV:CV)</f>
        <v>1874.915554909091</v>
      </c>
      <c r="DO207" s="106">
        <f>+_xlfn.XLOOKUP($CT207,Budget!$A:$A,Budget!CW:CW)</f>
        <v>1874.915554909091</v>
      </c>
      <c r="DP207" s="106">
        <f>+_xlfn.XLOOKUP($CT207,Budget!$A:$A,Budget!CX:CX)</f>
        <v>1874.915554909091</v>
      </c>
      <c r="DQ207" s="106">
        <f>+_xlfn.XLOOKUP($CT207,Budget!$A:$A,Budget!CY:CY)</f>
        <v>1874.915554909091</v>
      </c>
      <c r="DR207" s="106">
        <f>+_xlfn.XLOOKUP($CT207,Budget!$A:$A,Budget!CZ:CZ)</f>
        <v>1874.915554909091</v>
      </c>
      <c r="DS207" s="106">
        <f>+_xlfn.XLOOKUP($CT207,Budget!$A:$A,Budget!DA:DA)</f>
        <v>1874.915554909091</v>
      </c>
      <c r="DT207" s="106">
        <f>+_xlfn.XLOOKUP($CT207,Budget!$A:$A,Budget!DB:DB)</f>
        <v>1874.915554909091</v>
      </c>
      <c r="DU207" s="106">
        <f t="shared" si="2369"/>
        <v>22498.986658909085</v>
      </c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106">
        <f t="shared" si="2370"/>
        <v>0</v>
      </c>
      <c r="EJ207" s="16" t="str">
        <f t="shared" si="2302"/>
        <v>Premises Insurance</v>
      </c>
      <c r="EK207" s="22">
        <f>+VLOOKUP($BD207,'Jan-25'!$A:$J,10,0)</f>
        <v>0</v>
      </c>
      <c r="EL207" s="22">
        <f>+VLOOKUP($BD207,'Feb-25'!$A:$J,10,0)</f>
        <v>0</v>
      </c>
      <c r="EM207" s="22">
        <f>+VLOOKUP($BD207,'Mar-25'!$A:$J,10,0)</f>
        <v>0</v>
      </c>
      <c r="EN207" s="22">
        <f>+VLOOKUP($BD207,'Apr-25'!$A:$J,10,0)</f>
        <v>0</v>
      </c>
      <c r="EO207" s="22">
        <f>+VLOOKUP($BD207,'May-25'!$A:$J,10,0)</f>
        <v>0</v>
      </c>
      <c r="EP207" s="22">
        <f>+VLOOKUP($BD207,'June-25'!$A:$J,10,0)</f>
        <v>0</v>
      </c>
      <c r="EQ207" s="22">
        <f>+VLOOKUP($BD207,'July-25'!$A:$J,10,0)</f>
        <v>0</v>
      </c>
      <c r="ER207" s="22">
        <f>+VLOOKUP($BD207,'Aug-25'!$A:$J,10,0)</f>
        <v>0</v>
      </c>
      <c r="ES207" s="22">
        <f>+VLOOKUP($BD207,'Sep-25'!$A:$J,10,0)</f>
        <v>0</v>
      </c>
      <c r="ET207" s="22">
        <f>+VLOOKUP($BD207,'Oct-25'!$A:$J,10,0)</f>
        <v>5969.6</v>
      </c>
      <c r="EU207" s="22">
        <f>+VLOOKUP($BD207,'Nov-25'!$A:$J,10,0)</f>
        <v>0</v>
      </c>
      <c r="EV207" s="22">
        <f>+VLOOKUP($BD207,'Dec-25'!$A:$J,10,0)</f>
        <v>0</v>
      </c>
      <c r="EW207" s="22">
        <f t="shared" si="2371"/>
        <v>5969.6</v>
      </c>
      <c r="EX207" s="118">
        <f t="shared" si="1878"/>
        <v>-1</v>
      </c>
      <c r="EY207" s="106">
        <f>+_xlfn.XLOOKUP($EJ207,Budget!$A:$A,Budget!DR:DR)</f>
        <v>10000.000000000004</v>
      </c>
      <c r="EZ207" s="106">
        <f>+_xlfn.XLOOKUP($EJ207,Budget!$A:$A,Budget!DS:DS)</f>
        <v>10000</v>
      </c>
      <c r="FA207" s="106">
        <f>+_xlfn.XLOOKUP($EJ207,Budget!$A:$A,Budget!DT:DT)</f>
        <v>10000</v>
      </c>
      <c r="FB207" s="106">
        <f>+_xlfn.XLOOKUP($EJ207,Budget!$A:$A,Budget!DU:DU)</f>
        <v>10000</v>
      </c>
      <c r="FC207" s="106">
        <f>+_xlfn.XLOOKUP($EJ207,Budget!$A:$A,Budget!DV:DV)</f>
        <v>10000</v>
      </c>
      <c r="FD207" s="106">
        <f>+_xlfn.XLOOKUP($EJ207,Budget!$A:$A,Budget!DW:DW)</f>
        <v>10000</v>
      </c>
      <c r="FE207" s="106">
        <f>+_xlfn.XLOOKUP($EJ207,Budget!$A:$A,Budget!DX:DX)</f>
        <v>10000</v>
      </c>
      <c r="FF207" s="106">
        <f>+_xlfn.XLOOKUP($EJ207,Budget!$A:$A,Budget!DY:DY)</f>
        <v>10000</v>
      </c>
      <c r="FG207" s="106">
        <f>+_xlfn.XLOOKUP($EJ207,Budget!$A:$A,Budget!DZ:DZ)</f>
        <v>10000</v>
      </c>
      <c r="FH207" s="106">
        <f>+_xlfn.XLOOKUP($EJ207,Budget!$A:$A,Budget!EA:EA)</f>
        <v>10000</v>
      </c>
      <c r="FI207" s="106">
        <f>+_xlfn.XLOOKUP($EJ207,Budget!$A:$A,Budget!EB:EB)</f>
        <v>10000</v>
      </c>
      <c r="FJ207" s="106">
        <f>+_xlfn.XLOOKUP($EJ207,Budget!$A:$A,Budget!EC:EC)</f>
        <v>10000</v>
      </c>
      <c r="FK207" s="106">
        <f t="shared" si="2372"/>
        <v>120000</v>
      </c>
    </row>
    <row r="208" spans="1:167" ht="14.45" hidden="1" customHeight="1" outlineLevel="2">
      <c r="A208" s="106">
        <f t="shared" si="2336"/>
        <v>881.96299999999997</v>
      </c>
      <c r="B208" s="106">
        <f t="shared" si="2336"/>
        <v>881.9399999999996</v>
      </c>
      <c r="C208" s="106">
        <f t="shared" si="2336"/>
        <v>881.98499999999967</v>
      </c>
      <c r="D208" s="106">
        <f t="shared" si="2336"/>
        <v>881.98500000000024</v>
      </c>
      <c r="E208" s="106">
        <f t="shared" si="2336"/>
        <v>881.98500000000024</v>
      </c>
      <c r="F208" s="106">
        <f t="shared" si="2336"/>
        <v>882.00299999999959</v>
      </c>
      <c r="G208" s="106">
        <f t="shared" si="2336"/>
        <v>881.90999940000006</v>
      </c>
      <c r="H208" s="106">
        <f t="shared" si="2336"/>
        <v>393.66662051281332</v>
      </c>
      <c r="I208" s="106">
        <f t="shared" si="2336"/>
        <v>861.05459999999425</v>
      </c>
      <c r="J208" s="106">
        <f t="shared" si="2336"/>
        <v>466.79940000000101</v>
      </c>
      <c r="K208" s="106">
        <f t="shared" si="2336"/>
        <v>466.7544000000006</v>
      </c>
      <c r="L208" s="106">
        <f t="shared" si="2336"/>
        <v>466.79940000000101</v>
      </c>
      <c r="M208" s="106">
        <f t="shared" si="2337"/>
        <v>8828.8454199128082</v>
      </c>
      <c r="N208" s="16" t="s">
        <v>235</v>
      </c>
      <c r="O208" s="106">
        <f t="shared" si="2338"/>
        <v>0</v>
      </c>
      <c r="P208" s="106">
        <f t="shared" si="2339"/>
        <v>1119.599400000001</v>
      </c>
      <c r="Q208" s="106">
        <f t="shared" si="2340"/>
        <v>1119.4704000000006</v>
      </c>
      <c r="R208" s="106">
        <f t="shared" si="2341"/>
        <v>1119.4704000000006</v>
      </c>
      <c r="S208" s="106">
        <f t="shared" si="2342"/>
        <v>1119.4704000000006</v>
      </c>
      <c r="T208" s="106">
        <f t="shared" si="2343"/>
        <v>1137.6504</v>
      </c>
      <c r="U208" s="106">
        <f t="shared" si="2344"/>
        <v>1161.8916666666605</v>
      </c>
      <c r="V208" s="106">
        <f t="shared" si="2345"/>
        <v>1161.9767999999999</v>
      </c>
      <c r="W208" s="106">
        <f t="shared" si="2346"/>
        <v>1158.4146000000001</v>
      </c>
      <c r="X208" s="106">
        <f t="shared" si="2347"/>
        <v>1153.02</v>
      </c>
      <c r="Y208" s="106">
        <f t="shared" si="2348"/>
        <v>0</v>
      </c>
      <c r="Z208" s="106">
        <f t="shared" si="2349"/>
        <v>0</v>
      </c>
      <c r="AA208" s="106">
        <f t="shared" si="2350"/>
        <v>10250.964066666666</v>
      </c>
      <c r="AB208" s="118">
        <f t="shared" si="1854"/>
        <v>0.40058052023071838</v>
      </c>
      <c r="AC208" s="106">
        <f t="shared" si="2351"/>
        <v>865.13966666666681</v>
      </c>
      <c r="AD208" s="106">
        <f t="shared" si="2352"/>
        <v>865.13966666666681</v>
      </c>
      <c r="AE208" s="106">
        <f t="shared" si="2353"/>
        <v>865.13966666666681</v>
      </c>
      <c r="AF208" s="106">
        <f t="shared" si="2354"/>
        <v>865.13966666666681</v>
      </c>
      <c r="AG208" s="106">
        <f t="shared" si="2355"/>
        <v>865.13966666666681</v>
      </c>
      <c r="AH208" s="106">
        <f t="shared" si="2356"/>
        <v>865.13966666666681</v>
      </c>
      <c r="AI208" s="106">
        <f t="shared" si="2357"/>
        <v>865.13966666666681</v>
      </c>
      <c r="AJ208" s="106">
        <f t="shared" si="2358"/>
        <v>865.13966666666681</v>
      </c>
      <c r="AK208" s="106">
        <f t="shared" si="2359"/>
        <v>865.13966666666681</v>
      </c>
      <c r="AL208" s="106">
        <f t="shared" si="2360"/>
        <v>823.24435000000028</v>
      </c>
      <c r="AM208" s="106">
        <f t="shared" si="2361"/>
        <v>823.24435000000028</v>
      </c>
      <c r="AN208" s="106">
        <f t="shared" si="2362"/>
        <v>823.24435000000028</v>
      </c>
      <c r="AO208" s="106">
        <f t="shared" si="2363"/>
        <v>10255.990050000004</v>
      </c>
      <c r="AQ208" s="106">
        <v>719.19799999999998</v>
      </c>
      <c r="AR208" s="106">
        <v>719.15999999999974</v>
      </c>
      <c r="AS208" s="106">
        <v>719.18999999999983</v>
      </c>
      <c r="AT208" s="106">
        <v>719.19000000000017</v>
      </c>
      <c r="AU208" s="106">
        <v>719.19000000000017</v>
      </c>
      <c r="AV208" s="106">
        <v>719.20199999999977</v>
      </c>
      <c r="AW208" s="106">
        <v>719.13999960000001</v>
      </c>
      <c r="AX208" s="106">
        <v>393.66663589743115</v>
      </c>
      <c r="AY208" s="106">
        <v>700.94439999999622</v>
      </c>
      <c r="AZ208" s="106">
        <v>311.19960000000066</v>
      </c>
      <c r="BA208" s="106">
        <v>311.1696000000004</v>
      </c>
      <c r="BB208" s="106">
        <v>311.19960000000066</v>
      </c>
      <c r="BC208" s="106">
        <f t="shared" si="2364"/>
        <v>7062.4498354974285</v>
      </c>
      <c r="BD208" s="16" t="str">
        <f t="shared" si="2230"/>
        <v>Company Vehicle Insurance</v>
      </c>
      <c r="BE208" s="106">
        <f>+VLOOKUP($BD208,'Jan-25'!$A:$J,5,0)</f>
        <v>0</v>
      </c>
      <c r="BF208" s="106">
        <f>+VLOOKUP($BD208,'Feb-25'!$A:$J,5,0)</f>
        <v>311.19960000000066</v>
      </c>
      <c r="BG208" s="106">
        <f>+VLOOKUP($BD208,'Mar-25'!$A:$J,5,0)</f>
        <v>311.1696000000004</v>
      </c>
      <c r="BH208" s="106">
        <f>+VLOOKUP($BD208,'Apr-25'!$A:$J,5,0)</f>
        <v>311.1696000000004</v>
      </c>
      <c r="BI208" s="106">
        <f>+VLOOKUP($BD208,'May-25'!$A:$J,5,0)</f>
        <v>311.1696000000004</v>
      </c>
      <c r="BJ208" s="106">
        <f>+VLOOKUP($BD208,'June-25'!$A:$J,5,0)</f>
        <v>323.28960000000006</v>
      </c>
      <c r="BK208" s="106">
        <f>+VLOOKUP($BD208,'July-25'!$A:$J,5,0)</f>
        <v>339.44999999999641</v>
      </c>
      <c r="BL208" s="106">
        <f>+VLOOKUP($BD208,'Aug-25'!$A:$J,5,0)</f>
        <v>339.45119999999991</v>
      </c>
      <c r="BM208" s="106">
        <f>+VLOOKUP($BD208,'Sep-25'!$A:$J,5,0)</f>
        <v>337.07639999999998</v>
      </c>
      <c r="BN208" s="106">
        <f>+VLOOKUP($BD208,'Oct-25'!$A:$J,5,0)</f>
        <v>333.48</v>
      </c>
      <c r="BO208" s="106">
        <f>+VLOOKUP($BD208,'Nov-25'!$A:$J,5,0)</f>
        <v>0</v>
      </c>
      <c r="BP208" s="106">
        <f>+VLOOKUP($BD208,'Dec-25'!$A:$J,5,0)</f>
        <v>0</v>
      </c>
      <c r="BQ208" s="106">
        <f t="shared" si="2365"/>
        <v>2917.455599999998</v>
      </c>
      <c r="BR208" s="118">
        <f t="shared" si="1870"/>
        <v>-0.5069310285991242</v>
      </c>
      <c r="BS208" s="106">
        <f>+_xlfn.XLOOKUP($BD208,Budget!$A:$A,Budget!BD:BD)</f>
        <v>710.49866666666685</v>
      </c>
      <c r="BT208" s="106">
        <f>+_xlfn.XLOOKUP($BD208,Budget!$A:$A,Budget!BE:BE)</f>
        <v>710.49866666666685</v>
      </c>
      <c r="BU208" s="106">
        <f>+_xlfn.XLOOKUP($BD208,Budget!$A:$A,Budget!BF:BF)</f>
        <v>710.49866666666685</v>
      </c>
      <c r="BV208" s="106">
        <f>+_xlfn.XLOOKUP($BD208,Budget!$A:$A,Budget!BG:BG)</f>
        <v>710.49866666666685</v>
      </c>
      <c r="BW208" s="106">
        <f>+_xlfn.XLOOKUP($BD208,Budget!$A:$A,Budget!BH:BH)</f>
        <v>710.49866666666685</v>
      </c>
      <c r="BX208" s="106">
        <f>+_xlfn.XLOOKUP($BD208,Budget!$A:$A,Budget!BI:BI)</f>
        <v>710.49866666666685</v>
      </c>
      <c r="BY208" s="106">
        <f>+_xlfn.XLOOKUP($BD208,Budget!$A:$A,Budget!BJ:BJ)</f>
        <v>710.49866666666685</v>
      </c>
      <c r="BZ208" s="106">
        <f>+_xlfn.XLOOKUP($BD208,Budget!$A:$A,Budget!BK:BK)</f>
        <v>710.49866666666685</v>
      </c>
      <c r="CA208" s="106">
        <f>+_xlfn.XLOOKUP($BD208,Budget!$A:$A,Budget!BL:BL)</f>
        <v>710.49866666666685</v>
      </c>
      <c r="CB208" s="106">
        <f>+_xlfn.XLOOKUP($BD208,Budget!$A:$A,Budget!BM:BM)</f>
        <v>676.33540000000028</v>
      </c>
      <c r="CC208" s="106">
        <f>+_xlfn.XLOOKUP($BD208,Budget!$A:$A,Budget!BN:BN)</f>
        <v>676.33540000000028</v>
      </c>
      <c r="CD208" s="106">
        <f>+_xlfn.XLOOKUP($BD208,Budget!$A:$A,Budget!BO:BO)</f>
        <v>676.33540000000028</v>
      </c>
      <c r="CE208" s="106">
        <f t="shared" si="2366"/>
        <v>8423.494200000001</v>
      </c>
      <c r="CF208" s="106"/>
      <c r="CG208" s="106">
        <v>162.76499999999999</v>
      </c>
      <c r="CH208" s="106">
        <v>162.77999999999986</v>
      </c>
      <c r="CI208" s="106">
        <v>162.7949999999999</v>
      </c>
      <c r="CJ208" s="106">
        <v>162.79500000000007</v>
      </c>
      <c r="CK208" s="106">
        <v>162.79500000000007</v>
      </c>
      <c r="CL208" s="106">
        <v>162.80099999999985</v>
      </c>
      <c r="CM208" s="106">
        <v>162.76999980000002</v>
      </c>
      <c r="CN208" s="106">
        <v>-1.5384617836389224E-5</v>
      </c>
      <c r="CO208" s="106">
        <v>160.11019999999809</v>
      </c>
      <c r="CP208" s="106">
        <v>155.59980000000033</v>
      </c>
      <c r="CQ208" s="106">
        <v>155.5848000000002</v>
      </c>
      <c r="CR208" s="106">
        <v>155.59980000000033</v>
      </c>
      <c r="CS208" s="106">
        <f t="shared" si="2367"/>
        <v>1766.3955844153807</v>
      </c>
      <c r="CT208" s="16" t="str">
        <f t="shared" si="2231"/>
        <v>Company Vehicle Insurance</v>
      </c>
      <c r="CU208" s="106">
        <f>+VLOOKUP($BD208,'Jan-25'!$A:$J,8,0)</f>
        <v>0</v>
      </c>
      <c r="CV208" s="106">
        <f>+VLOOKUP($BD208,'Feb-25'!$A:$J,8,0)</f>
        <v>808.39980000000037</v>
      </c>
      <c r="CW208" s="106">
        <f>+VLOOKUP($BD208,'Mar-25'!$A:$J,8,0)</f>
        <v>808.30080000000021</v>
      </c>
      <c r="CX208" s="106">
        <f>+VLOOKUP($BD208,'Apr-25'!$A:$J,8,0)</f>
        <v>808.30080000000021</v>
      </c>
      <c r="CY208" s="106">
        <f>+VLOOKUP($BD208,'May-25'!$A:$J,8,0)</f>
        <v>808.30080000000021</v>
      </c>
      <c r="CZ208" s="106">
        <f>+VLOOKUP($BD208,'June-25'!$A:$J,8,0)</f>
        <v>814.36080000000004</v>
      </c>
      <c r="DA208" s="106">
        <f>+VLOOKUP($BD208,'July-25'!$A:$J,8,0)</f>
        <v>822.44166666666422</v>
      </c>
      <c r="DB208" s="106">
        <f>+VLOOKUP($BD208,'Aug-25'!$A:$J,8,0)</f>
        <v>822.52560000000005</v>
      </c>
      <c r="DC208" s="106">
        <f>+VLOOKUP($BD208,'Sep-25'!$A:$J,8,0)</f>
        <v>821.33820000000003</v>
      </c>
      <c r="DD208" s="106">
        <f>+VLOOKUP($BD208,'Oct-25'!$A:$J,8,0)</f>
        <v>819.54000000000008</v>
      </c>
      <c r="DE208" s="106">
        <f>+VLOOKUP($BD208,'Nov-25'!$A:$J,8,0)</f>
        <v>0</v>
      </c>
      <c r="DF208" s="106">
        <f>+VLOOKUP($BD208,'Dec-25'!$A:$J,8,0)</f>
        <v>0</v>
      </c>
      <c r="DG208" s="106">
        <f t="shared" si="2368"/>
        <v>7333.5084666666653</v>
      </c>
      <c r="DH208" s="118">
        <f t="shared" si="1874"/>
        <v>4.5785573309182332</v>
      </c>
      <c r="DI208" s="106">
        <f>+_xlfn.XLOOKUP($CT208,Budget!$A:$A,Budget!CQ:CQ)</f>
        <v>154.64099999999999</v>
      </c>
      <c r="DJ208" s="106">
        <f>+_xlfn.XLOOKUP($CT208,Budget!$A:$A,Budget!CR:CR)</f>
        <v>154.64099999999999</v>
      </c>
      <c r="DK208" s="106">
        <f>+_xlfn.XLOOKUP($CT208,Budget!$A:$A,Budget!CS:CS)</f>
        <v>154.64099999999999</v>
      </c>
      <c r="DL208" s="106">
        <f>+_xlfn.XLOOKUP($CT208,Budget!$A:$A,Budget!CT:CT)</f>
        <v>154.64099999999999</v>
      </c>
      <c r="DM208" s="106">
        <f>+_xlfn.XLOOKUP($CT208,Budget!$A:$A,Budget!CU:CU)</f>
        <v>154.64099999999999</v>
      </c>
      <c r="DN208" s="106">
        <f>+_xlfn.XLOOKUP($CT208,Budget!$A:$A,Budget!CV:CV)</f>
        <v>154.64099999999999</v>
      </c>
      <c r="DO208" s="106">
        <f>+_xlfn.XLOOKUP($CT208,Budget!$A:$A,Budget!CW:CW)</f>
        <v>154.64099999999999</v>
      </c>
      <c r="DP208" s="106">
        <f>+_xlfn.XLOOKUP($CT208,Budget!$A:$A,Budget!CX:CX)</f>
        <v>154.64099999999999</v>
      </c>
      <c r="DQ208" s="106">
        <f>+_xlfn.XLOOKUP($CT208,Budget!$A:$A,Budget!CY:CY)</f>
        <v>154.64099999999999</v>
      </c>
      <c r="DR208" s="106">
        <f>+_xlfn.XLOOKUP($CT208,Budget!$A:$A,Budget!CZ:CZ)</f>
        <v>146.90894999999998</v>
      </c>
      <c r="DS208" s="106">
        <f>+_xlfn.XLOOKUP($CT208,Budget!$A:$A,Budget!DA:DA)</f>
        <v>146.90894999999998</v>
      </c>
      <c r="DT208" s="106">
        <f>+_xlfn.XLOOKUP($CT208,Budget!$A:$A,Budget!DB:DB)</f>
        <v>146.90894999999998</v>
      </c>
      <c r="DU208" s="106">
        <f t="shared" si="2369"/>
        <v>1832.49585</v>
      </c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106">
        <f t="shared" si="2370"/>
        <v>0</v>
      </c>
      <c r="EJ208" s="16" t="str">
        <f t="shared" si="2302"/>
        <v>Company Vehicle Insurance</v>
      </c>
      <c r="EK208" s="22">
        <f>+VLOOKUP($BD208,'Jan-25'!$A:$J,10,0)</f>
        <v>0</v>
      </c>
      <c r="EL208" s="22">
        <f>+VLOOKUP($BD208,'Feb-25'!$A:$J,10,0)</f>
        <v>0</v>
      </c>
      <c r="EM208" s="22">
        <f>+VLOOKUP($BD208,'Mar-25'!$A:$J,10,0)</f>
        <v>0</v>
      </c>
      <c r="EN208" s="22">
        <f>+VLOOKUP($BD208,'Apr-25'!$A:$J,10,0)</f>
        <v>0</v>
      </c>
      <c r="EO208" s="22">
        <f>+VLOOKUP($BD208,'May-25'!$A:$J,10,0)</f>
        <v>0</v>
      </c>
      <c r="EP208" s="22">
        <f>+VLOOKUP($BD208,'June-25'!$A:$J,10,0)</f>
        <v>0</v>
      </c>
      <c r="EQ208" s="22">
        <f>+VLOOKUP($BD208,'July-25'!$A:$J,10,0)</f>
        <v>0</v>
      </c>
      <c r="ER208" s="22">
        <f>+VLOOKUP($BD208,'Aug-25'!$A:$J,10,0)</f>
        <v>0</v>
      </c>
      <c r="ES208" s="22">
        <f>+VLOOKUP($BD208,'Sep-25'!$A:$J,10,0)</f>
        <v>0</v>
      </c>
      <c r="ET208" s="22">
        <f>+VLOOKUP($BD208,'Oct-25'!$A:$J,10,0)</f>
        <v>0</v>
      </c>
      <c r="EU208" s="22">
        <f>+VLOOKUP($BD208,'Nov-25'!$A:$J,10,0)</f>
        <v>0</v>
      </c>
      <c r="EV208" s="22">
        <f>+VLOOKUP($BD208,'Dec-25'!$A:$J,10,0)</f>
        <v>0</v>
      </c>
      <c r="EW208" s="22">
        <f t="shared" si="2371"/>
        <v>0</v>
      </c>
      <c r="EX208" s="118" t="e">
        <f t="shared" si="1878"/>
        <v>#DIV/0!</v>
      </c>
      <c r="EY208" s="106">
        <f>+_xlfn.XLOOKUP($EJ208,Budget!$A:$A,Budget!DR:DR)</f>
        <v>0</v>
      </c>
      <c r="EZ208" s="106">
        <f>+_xlfn.XLOOKUP($EJ208,Budget!$A:$A,Budget!DS:DS)</f>
        <v>0</v>
      </c>
      <c r="FA208" s="106">
        <f>+_xlfn.XLOOKUP($EJ208,Budget!$A:$A,Budget!DT:DT)</f>
        <v>0</v>
      </c>
      <c r="FB208" s="106">
        <f>+_xlfn.XLOOKUP($EJ208,Budget!$A:$A,Budget!DU:DU)</f>
        <v>0</v>
      </c>
      <c r="FC208" s="106">
        <f>+_xlfn.XLOOKUP($EJ208,Budget!$A:$A,Budget!DV:DV)</f>
        <v>0</v>
      </c>
      <c r="FD208" s="106">
        <f>+_xlfn.XLOOKUP($EJ208,Budget!$A:$A,Budget!DW:DW)</f>
        <v>0</v>
      </c>
      <c r="FE208" s="106">
        <f>+_xlfn.XLOOKUP($EJ208,Budget!$A:$A,Budget!DX:DX)</f>
        <v>0</v>
      </c>
      <c r="FF208" s="106">
        <f>+_xlfn.XLOOKUP($EJ208,Budget!$A:$A,Budget!DY:DY)</f>
        <v>0</v>
      </c>
      <c r="FG208" s="106">
        <f>+_xlfn.XLOOKUP($EJ208,Budget!$A:$A,Budget!DZ:DZ)</f>
        <v>0</v>
      </c>
      <c r="FH208" s="106">
        <f>+_xlfn.XLOOKUP($EJ208,Budget!$A:$A,Budget!EA:EA)</f>
        <v>0</v>
      </c>
      <c r="FI208" s="106">
        <f>+_xlfn.XLOOKUP($EJ208,Budget!$A:$A,Budget!EB:EB)</f>
        <v>0</v>
      </c>
      <c r="FJ208" s="106">
        <f>+_xlfn.XLOOKUP($EJ208,Budget!$A:$A,Budget!EC:EC)</f>
        <v>0</v>
      </c>
      <c r="FK208" s="106">
        <f t="shared" si="2372"/>
        <v>0</v>
      </c>
    </row>
    <row r="209" spans="1:167" ht="14.45" hidden="1" customHeight="1" outlineLevel="1" collapsed="1">
      <c r="A209" s="58">
        <f t="shared" ref="A209:L209" si="2373">+SUM(A210:A213)</f>
        <v>262765</v>
      </c>
      <c r="B209" s="58">
        <f t="shared" si="2373"/>
        <v>262765</v>
      </c>
      <c r="C209" s="58">
        <f t="shared" si="2373"/>
        <v>262765</v>
      </c>
      <c r="D209" s="58">
        <f t="shared" si="2373"/>
        <v>262765</v>
      </c>
      <c r="E209" s="58">
        <f t="shared" si="2373"/>
        <v>262765</v>
      </c>
      <c r="F209" s="58">
        <f t="shared" si="2373"/>
        <v>268674.82</v>
      </c>
      <c r="G209" s="58">
        <f t="shared" si="2373"/>
        <v>278274.59999999998</v>
      </c>
      <c r="H209" s="58">
        <f t="shared" si="2373"/>
        <v>278274.59999999998</v>
      </c>
      <c r="I209" s="58">
        <f t="shared" si="2373"/>
        <v>282731.40000000002</v>
      </c>
      <c r="J209" s="58">
        <f t="shared" si="2373"/>
        <v>280503</v>
      </c>
      <c r="K209" s="58">
        <f t="shared" si="2373"/>
        <v>280503</v>
      </c>
      <c r="L209" s="58">
        <f t="shared" si="2373"/>
        <v>280503</v>
      </c>
      <c r="M209" s="58"/>
      <c r="N209" s="20" t="s">
        <v>175</v>
      </c>
      <c r="O209" s="58">
        <f t="shared" ref="O209" si="2374">+SUM(O210:O213)</f>
        <v>458503</v>
      </c>
      <c r="P209" s="58">
        <f t="shared" ref="P209" si="2375">+SUM(P210:P213)</f>
        <v>458503</v>
      </c>
      <c r="Q209" s="58">
        <f t="shared" ref="Q209" si="2376">+SUM(Q210:Q213)</f>
        <v>458503</v>
      </c>
      <c r="R209" s="58">
        <f t="shared" ref="R209" si="2377">+SUM(R210:R213)</f>
        <v>458503</v>
      </c>
      <c r="S209" s="58">
        <f t="shared" ref="S209" si="2378">+SUM(S210:S213)</f>
        <v>458503</v>
      </c>
      <c r="T209" s="58">
        <f t="shared" ref="T209" si="2379">+SUM(T210:T213)</f>
        <v>458503</v>
      </c>
      <c r="U209" s="58">
        <f t="shared" ref="U209" si="2380">+SUM(U210:U213)</f>
        <v>458503</v>
      </c>
      <c r="V209" s="58">
        <f t="shared" ref="V209" si="2381">+SUM(V210:V213)</f>
        <v>280503</v>
      </c>
      <c r="W209" s="58">
        <f t="shared" ref="W209" si="2382">+SUM(W210:W213)</f>
        <v>470770.8</v>
      </c>
      <c r="X209" s="58">
        <f t="shared" ref="X209" si="2383">+SUM(X210:X213)</f>
        <v>463324.8</v>
      </c>
      <c r="Y209" s="58">
        <f t="shared" ref="Y209" si="2384">+SUM(Y210:Y213)</f>
        <v>0</v>
      </c>
      <c r="Z209" s="58">
        <f t="shared" ref="Z209" si="2385">+SUM(Z210:Z213)</f>
        <v>0</v>
      </c>
      <c r="AA209" s="58"/>
      <c r="AB209" s="118">
        <f t="shared" si="1854"/>
        <v>8.4374012313902427E-3</v>
      </c>
      <c r="AC209" s="58">
        <f t="shared" ref="AC209" si="2386">+SUM(AC210:AC213)</f>
        <v>450903.0959650001</v>
      </c>
      <c r="AD209" s="58">
        <f t="shared" ref="AD209" si="2387">+SUM(AD210:AD213)</f>
        <v>450903.09596499999</v>
      </c>
      <c r="AE209" s="58">
        <f t="shared" ref="AE209" si="2388">+SUM(AE210:AE213)</f>
        <v>450903.09596499999</v>
      </c>
      <c r="AF209" s="58">
        <f t="shared" ref="AF209" si="2389">+SUM(AF210:AF213)</f>
        <v>450903.09596499999</v>
      </c>
      <c r="AG209" s="58">
        <f t="shared" ref="AG209" si="2390">+SUM(AG210:AG213)</f>
        <v>450903.09596499999</v>
      </c>
      <c r="AH209" s="58">
        <f t="shared" ref="AH209" si="2391">+SUM(AH210:AH213)</f>
        <v>457108.40123200003</v>
      </c>
      <c r="AI209" s="58">
        <f t="shared" ref="AI209" si="2392">+SUM(AI210:AI213)</f>
        <v>457108.40123200003</v>
      </c>
      <c r="AJ209" s="58">
        <f t="shared" ref="AJ209" si="2393">+SUM(AJ210:AJ213)</f>
        <v>457108.40123200003</v>
      </c>
      <c r="AK209" s="58">
        <f t="shared" ref="AK209" si="2394">+SUM(AK210:AK213)</f>
        <v>459448.25076325005</v>
      </c>
      <c r="AL209" s="58">
        <f t="shared" ref="AL209" si="2395">+SUM(AL210:AL213)</f>
        <v>459448.25076325005</v>
      </c>
      <c r="AM209" s="58">
        <f t="shared" ref="AM209" si="2396">+SUM(AM210:AM213)</f>
        <v>459448.25076325005</v>
      </c>
      <c r="AN209" s="58">
        <f t="shared" ref="AN209:AO209" si="2397">+SUM(AN210:AN213)</f>
        <v>459448.25076325005</v>
      </c>
      <c r="AO209" s="58">
        <f t="shared" si="2397"/>
        <v>5463633.6865739999</v>
      </c>
      <c r="AQ209" s="58">
        <f t="shared" ref="AQ209:CD209" si="2398">+SUM(AQ210:AQ213)</f>
        <v>218196.40000000002</v>
      </c>
      <c r="AR209" s="58">
        <f t="shared" si="2398"/>
        <v>218196.40000000002</v>
      </c>
      <c r="AS209" s="58">
        <f t="shared" si="2398"/>
        <v>218196.40000000002</v>
      </c>
      <c r="AT209" s="58">
        <f t="shared" si="2398"/>
        <v>218196.40000000002</v>
      </c>
      <c r="AU209" s="58">
        <f t="shared" si="2398"/>
        <v>218196.40000000002</v>
      </c>
      <c r="AV209" s="58">
        <f t="shared" si="2398"/>
        <v>224106.22</v>
      </c>
      <c r="AW209" s="58">
        <f t="shared" si="2398"/>
        <v>224106</v>
      </c>
      <c r="AX209" s="58">
        <f t="shared" si="2398"/>
        <v>224106</v>
      </c>
      <c r="AY209" s="58">
        <f t="shared" si="2398"/>
        <v>224106</v>
      </c>
      <c r="AZ209" s="58">
        <f t="shared" si="2398"/>
        <v>224106</v>
      </c>
      <c r="BA209" s="58">
        <f t="shared" si="2398"/>
        <v>224106</v>
      </c>
      <c r="BB209" s="58">
        <f t="shared" si="2398"/>
        <v>224106</v>
      </c>
      <c r="BC209" s="58">
        <f>+SUM(AQ209:BB209)</f>
        <v>2659724.2199999997</v>
      </c>
      <c r="BD209" s="20" t="str">
        <f t="shared" si="2230"/>
        <v>Rent Expenses</v>
      </c>
      <c r="BE209" s="58">
        <f t="shared" si="2398"/>
        <v>224106</v>
      </c>
      <c r="BF209" s="58">
        <f t="shared" ref="BF209:BP209" si="2399">+SUM(BF210:BF213)</f>
        <v>224106</v>
      </c>
      <c r="BG209" s="58">
        <f t="shared" si="2399"/>
        <v>224106</v>
      </c>
      <c r="BH209" s="58">
        <f t="shared" si="2399"/>
        <v>224106</v>
      </c>
      <c r="BI209" s="58">
        <f t="shared" si="2399"/>
        <v>224106</v>
      </c>
      <c r="BJ209" s="58">
        <f t="shared" si="2399"/>
        <v>224106</v>
      </c>
      <c r="BK209" s="58">
        <f t="shared" si="2399"/>
        <v>224106</v>
      </c>
      <c r="BL209" s="58">
        <f t="shared" si="2399"/>
        <v>224106</v>
      </c>
      <c r="BM209" s="58">
        <f t="shared" si="2399"/>
        <v>234034</v>
      </c>
      <c r="BN209" s="58">
        <f t="shared" si="2399"/>
        <v>226588</v>
      </c>
      <c r="BO209" s="58">
        <f t="shared" si="2399"/>
        <v>0</v>
      </c>
      <c r="BP209" s="58">
        <f t="shared" si="2399"/>
        <v>0</v>
      </c>
      <c r="BQ209" s="58">
        <f t="shared" si="2398"/>
        <v>2253470</v>
      </c>
      <c r="BR209" s="118">
        <f t="shared" si="1870"/>
        <v>-1.6166852511504955E-2</v>
      </c>
      <c r="BS209" s="58">
        <f t="shared" si="2398"/>
        <v>224106.10534000001</v>
      </c>
      <c r="BT209" s="58">
        <f t="shared" si="2398"/>
        <v>224106.10534000001</v>
      </c>
      <c r="BU209" s="58">
        <f t="shared" si="2398"/>
        <v>224106.10534000001</v>
      </c>
      <c r="BV209" s="58">
        <f t="shared" si="2398"/>
        <v>224106.10534000001</v>
      </c>
      <c r="BW209" s="58">
        <f t="shared" si="2398"/>
        <v>224106.10534000001</v>
      </c>
      <c r="BX209" s="58">
        <f t="shared" si="2398"/>
        <v>230311.41060700003</v>
      </c>
      <c r="BY209" s="58">
        <f t="shared" si="2398"/>
        <v>230311.41060700003</v>
      </c>
      <c r="BZ209" s="58">
        <f t="shared" si="2398"/>
        <v>230311.41060700003</v>
      </c>
      <c r="CA209" s="58">
        <f t="shared" si="2398"/>
        <v>230311.41060700003</v>
      </c>
      <c r="CB209" s="58">
        <f t="shared" si="2398"/>
        <v>230311.41060700003</v>
      </c>
      <c r="CC209" s="58">
        <f t="shared" si="2398"/>
        <v>230311.41060700003</v>
      </c>
      <c r="CD209" s="58">
        <f t="shared" si="2398"/>
        <v>230311.41060700003</v>
      </c>
      <c r="CE209" s="58">
        <f>+SUM(BS209:CD209)</f>
        <v>2732710.4009490004</v>
      </c>
      <c r="CF209" s="106"/>
      <c r="CG209" s="58">
        <f t="shared" ref="CG209:CR209" si="2400">+SUM(CG210:CG213)</f>
        <v>44568.600000000006</v>
      </c>
      <c r="CH209" s="58">
        <f t="shared" si="2400"/>
        <v>44568.600000000006</v>
      </c>
      <c r="CI209" s="58">
        <f t="shared" si="2400"/>
        <v>44568.600000000006</v>
      </c>
      <c r="CJ209" s="58">
        <f t="shared" si="2400"/>
        <v>44568.600000000006</v>
      </c>
      <c r="CK209" s="58">
        <f t="shared" si="2400"/>
        <v>44568.600000000006</v>
      </c>
      <c r="CL209" s="58">
        <f t="shared" si="2400"/>
        <v>44568.600000000006</v>
      </c>
      <c r="CM209" s="58">
        <f t="shared" si="2400"/>
        <v>54168.600000000006</v>
      </c>
      <c r="CN209" s="58">
        <f t="shared" si="2400"/>
        <v>54168.600000000006</v>
      </c>
      <c r="CO209" s="58">
        <f t="shared" si="2400"/>
        <v>58625.4</v>
      </c>
      <c r="CP209" s="58">
        <f t="shared" si="2400"/>
        <v>56397</v>
      </c>
      <c r="CQ209" s="58">
        <f t="shared" si="2400"/>
        <v>56397</v>
      </c>
      <c r="CR209" s="58">
        <f t="shared" si="2400"/>
        <v>56397</v>
      </c>
      <c r="CS209" s="58">
        <f>+SUM(CG209:CR209)</f>
        <v>603565.20000000007</v>
      </c>
      <c r="CT209" s="20" t="str">
        <f t="shared" si="2231"/>
        <v>Rent Expenses</v>
      </c>
      <c r="CU209" s="58">
        <f t="shared" ref="CU209:DT209" si="2401">+SUM(CU210:CU213)</f>
        <v>56397</v>
      </c>
      <c r="CV209" s="58">
        <f t="shared" si="2401"/>
        <v>56397</v>
      </c>
      <c r="CW209" s="58">
        <f t="shared" si="2401"/>
        <v>56397</v>
      </c>
      <c r="CX209" s="58">
        <f t="shared" si="2401"/>
        <v>56397</v>
      </c>
      <c r="CY209" s="58">
        <f t="shared" si="2401"/>
        <v>56397</v>
      </c>
      <c r="CZ209" s="58">
        <f t="shared" si="2401"/>
        <v>56397</v>
      </c>
      <c r="DA209" s="58">
        <f t="shared" si="2401"/>
        <v>56397</v>
      </c>
      <c r="DB209" s="58">
        <f t="shared" si="2401"/>
        <v>56397</v>
      </c>
      <c r="DC209" s="58">
        <f t="shared" si="2401"/>
        <v>58736.800000000003</v>
      </c>
      <c r="DD209" s="58">
        <f t="shared" si="2401"/>
        <v>58736.800000000003</v>
      </c>
      <c r="DE209" s="58">
        <f t="shared" si="2401"/>
        <v>0</v>
      </c>
      <c r="DF209" s="58">
        <f t="shared" si="2401"/>
        <v>0</v>
      </c>
      <c r="DG209" s="58">
        <f t="shared" si="2401"/>
        <v>568649.6</v>
      </c>
      <c r="DH209" s="118">
        <f t="shared" si="1874"/>
        <v>0.19537194115907983</v>
      </c>
      <c r="DI209" s="58">
        <f t="shared" si="2401"/>
        <v>46796.990625000006</v>
      </c>
      <c r="DJ209" s="58">
        <f t="shared" si="2401"/>
        <v>46796.990625000006</v>
      </c>
      <c r="DK209" s="58">
        <f t="shared" si="2401"/>
        <v>46796.990625000006</v>
      </c>
      <c r="DL209" s="58">
        <f t="shared" si="2401"/>
        <v>46796.990625000006</v>
      </c>
      <c r="DM209" s="58">
        <f t="shared" si="2401"/>
        <v>46796.990625000006</v>
      </c>
      <c r="DN209" s="58">
        <f t="shared" si="2401"/>
        <v>46796.990625000006</v>
      </c>
      <c r="DO209" s="58">
        <f t="shared" si="2401"/>
        <v>46796.990625000006</v>
      </c>
      <c r="DP209" s="58">
        <f t="shared" si="2401"/>
        <v>46796.990625000006</v>
      </c>
      <c r="DQ209" s="58">
        <f t="shared" si="2401"/>
        <v>49136.840156250015</v>
      </c>
      <c r="DR209" s="58">
        <f t="shared" si="2401"/>
        <v>49136.840156250015</v>
      </c>
      <c r="DS209" s="58">
        <f t="shared" si="2401"/>
        <v>49136.840156250015</v>
      </c>
      <c r="DT209" s="58">
        <f t="shared" si="2401"/>
        <v>49136.840156250015</v>
      </c>
      <c r="DU209" s="58">
        <f>+SUM(DI209:DT209)</f>
        <v>570923.28562500002</v>
      </c>
      <c r="DW209" s="28">
        <f t="shared" ref="DW209:EH209" si="2402">+SUM(DW210:DW213)</f>
        <v>0</v>
      </c>
      <c r="DX209" s="28">
        <f t="shared" si="2402"/>
        <v>0</v>
      </c>
      <c r="DY209" s="28">
        <f t="shared" si="2402"/>
        <v>0</v>
      </c>
      <c r="DZ209" s="28">
        <f t="shared" si="2402"/>
        <v>0</v>
      </c>
      <c r="EA209" s="28">
        <f t="shared" si="2402"/>
        <v>0</v>
      </c>
      <c r="EB209" s="28">
        <f t="shared" si="2402"/>
        <v>0</v>
      </c>
      <c r="EC209" s="28">
        <f t="shared" si="2402"/>
        <v>0</v>
      </c>
      <c r="ED209" s="28">
        <f t="shared" si="2402"/>
        <v>0</v>
      </c>
      <c r="EE209" s="28">
        <f t="shared" si="2402"/>
        <v>0</v>
      </c>
      <c r="EF209" s="28">
        <f t="shared" si="2402"/>
        <v>0</v>
      </c>
      <c r="EG209" s="28">
        <f t="shared" si="2402"/>
        <v>0</v>
      </c>
      <c r="EH209" s="28">
        <f t="shared" si="2402"/>
        <v>0</v>
      </c>
      <c r="EI209" s="58">
        <f>+SUM(DW209:EH209)</f>
        <v>0</v>
      </c>
      <c r="EJ209" s="20" t="str">
        <f t="shared" si="2302"/>
        <v>Rent Expenses</v>
      </c>
      <c r="EK209" s="28">
        <f t="shared" ref="EK209:EV209" si="2403">+SUM(EK210:EK213)</f>
        <v>178000</v>
      </c>
      <c r="EL209" s="28">
        <f t="shared" si="2403"/>
        <v>178000</v>
      </c>
      <c r="EM209" s="28">
        <f t="shared" si="2403"/>
        <v>178000</v>
      </c>
      <c r="EN209" s="28">
        <f t="shared" si="2403"/>
        <v>178000</v>
      </c>
      <c r="EO209" s="28">
        <f t="shared" si="2403"/>
        <v>178000</v>
      </c>
      <c r="EP209" s="28">
        <f t="shared" si="2403"/>
        <v>178000</v>
      </c>
      <c r="EQ209" s="28">
        <f t="shared" si="2403"/>
        <v>178000</v>
      </c>
      <c r="ER209" s="28">
        <f t="shared" si="2403"/>
        <v>0</v>
      </c>
      <c r="ES209" s="28">
        <f t="shared" si="2403"/>
        <v>178000</v>
      </c>
      <c r="ET209" s="28">
        <f t="shared" si="2403"/>
        <v>178000</v>
      </c>
      <c r="EU209" s="28">
        <f t="shared" si="2403"/>
        <v>0</v>
      </c>
      <c r="EV209" s="28">
        <f t="shared" si="2403"/>
        <v>0</v>
      </c>
      <c r="EW209" s="28">
        <f t="shared" ref="EW209" si="2404">+SUM(EW210:EW213)</f>
        <v>1602000</v>
      </c>
      <c r="EX209" s="118">
        <f t="shared" si="1878"/>
        <v>-1.1111111111111112E-2</v>
      </c>
      <c r="EY209" s="58">
        <f t="shared" ref="EY209:FJ209" si="2405">+SUM(EY210:EY213)</f>
        <v>180000.00000000009</v>
      </c>
      <c r="EZ209" s="58">
        <f t="shared" si="2405"/>
        <v>180000</v>
      </c>
      <c r="FA209" s="58">
        <f t="shared" si="2405"/>
        <v>180000</v>
      </c>
      <c r="FB209" s="58">
        <f t="shared" si="2405"/>
        <v>180000</v>
      </c>
      <c r="FC209" s="58">
        <f t="shared" si="2405"/>
        <v>180000</v>
      </c>
      <c r="FD209" s="58">
        <f t="shared" si="2405"/>
        <v>180000</v>
      </c>
      <c r="FE209" s="58">
        <f t="shared" si="2405"/>
        <v>180000</v>
      </c>
      <c r="FF209" s="58">
        <f t="shared" si="2405"/>
        <v>180000</v>
      </c>
      <c r="FG209" s="58">
        <f t="shared" si="2405"/>
        <v>180000</v>
      </c>
      <c r="FH209" s="58">
        <f t="shared" si="2405"/>
        <v>180000</v>
      </c>
      <c r="FI209" s="58">
        <f t="shared" si="2405"/>
        <v>180000</v>
      </c>
      <c r="FJ209" s="58">
        <f t="shared" si="2405"/>
        <v>180000</v>
      </c>
      <c r="FK209" s="58">
        <f>+SUM(EY209:FJ209)</f>
        <v>2160000</v>
      </c>
    </row>
    <row r="210" spans="1:167" ht="14.45" hidden="1" customHeight="1" outlineLevel="2">
      <c r="A210" s="106">
        <f t="shared" ref="A210:L213" si="2406">+AQ210+CG210+DW210</f>
        <v>100000</v>
      </c>
      <c r="B210" s="106">
        <f t="shared" si="2406"/>
        <v>100000</v>
      </c>
      <c r="C210" s="106">
        <f t="shared" si="2406"/>
        <v>100000</v>
      </c>
      <c r="D210" s="106">
        <f t="shared" si="2406"/>
        <v>100000</v>
      </c>
      <c r="E210" s="106">
        <f t="shared" si="2406"/>
        <v>100000</v>
      </c>
      <c r="F210" s="106">
        <f t="shared" si="2406"/>
        <v>100000</v>
      </c>
      <c r="G210" s="106">
        <f t="shared" si="2406"/>
        <v>100000</v>
      </c>
      <c r="H210" s="106">
        <f t="shared" si="2406"/>
        <v>100000</v>
      </c>
      <c r="I210" s="106">
        <f t="shared" si="2406"/>
        <v>100000</v>
      </c>
      <c r="J210" s="106">
        <f t="shared" si="2406"/>
        <v>100000</v>
      </c>
      <c r="K210" s="106">
        <f t="shared" si="2406"/>
        <v>100000</v>
      </c>
      <c r="L210" s="106">
        <f t="shared" si="2406"/>
        <v>100000</v>
      </c>
      <c r="M210" s="106">
        <f t="shared" ref="M210:M213" si="2407">+SUM(A210:L210)</f>
        <v>1200000</v>
      </c>
      <c r="N210" s="16" t="s">
        <v>176</v>
      </c>
      <c r="O210" s="106">
        <f t="shared" ref="O210:O213" si="2408">+BE210+CU210+EK210</f>
        <v>100000</v>
      </c>
      <c r="P210" s="106">
        <f t="shared" ref="P210:P213" si="2409">+BF210+CV210+EL210</f>
        <v>100000</v>
      </c>
      <c r="Q210" s="106">
        <f t="shared" ref="Q210:Q213" si="2410">+BG210+CW210+EM210</f>
        <v>100000</v>
      </c>
      <c r="R210" s="106">
        <f t="shared" ref="R210:R213" si="2411">+BH210+CX210+EN210</f>
        <v>100000</v>
      </c>
      <c r="S210" s="106">
        <f t="shared" ref="S210:S213" si="2412">+BI210+CY210+EO210</f>
        <v>100000</v>
      </c>
      <c r="T210" s="106">
        <f t="shared" ref="T210:T213" si="2413">+BJ210+CZ210+EP210</f>
        <v>100000</v>
      </c>
      <c r="U210" s="106">
        <f t="shared" ref="U210:U213" si="2414">+BK210+DA210+EQ210</f>
        <v>100000</v>
      </c>
      <c r="V210" s="106">
        <f t="shared" ref="V210:V213" si="2415">+BL210+DB210+ER210</f>
        <v>100000</v>
      </c>
      <c r="W210" s="106">
        <f t="shared" ref="W210:W213" si="2416">+BM210+DC210+ES210</f>
        <v>100000</v>
      </c>
      <c r="X210" s="106">
        <f t="shared" ref="X210:X213" si="2417">+BN210+DD210+ET210</f>
        <v>100000</v>
      </c>
      <c r="Y210" s="106">
        <f t="shared" ref="Y210:Y213" si="2418">+BO210+DE210+EU210</f>
        <v>0</v>
      </c>
      <c r="Z210" s="106">
        <f t="shared" ref="Z210:Z213" si="2419">+BP210+DF210+EV210</f>
        <v>0</v>
      </c>
      <c r="AA210" s="106">
        <f t="shared" ref="AA210:AA213" si="2420">+SUM(O210:Z210)</f>
        <v>1000000</v>
      </c>
      <c r="AB210" s="118">
        <f t="shared" si="1854"/>
        <v>0</v>
      </c>
      <c r="AC210" s="106">
        <f t="shared" ref="AC210:AC213" si="2421">+BS210+DI210+EY210</f>
        <v>100000</v>
      </c>
      <c r="AD210" s="106">
        <f t="shared" ref="AD210:AD213" si="2422">+BT210+DJ210+EZ210</f>
        <v>100000</v>
      </c>
      <c r="AE210" s="106">
        <f t="shared" ref="AE210:AE213" si="2423">+BU210+DK210+FA210</f>
        <v>100000</v>
      </c>
      <c r="AF210" s="106">
        <f t="shared" ref="AF210:AF213" si="2424">+BV210+DL210+FB210</f>
        <v>100000</v>
      </c>
      <c r="AG210" s="106">
        <f t="shared" ref="AG210:AG213" si="2425">+BW210+DM210+FC210</f>
        <v>100000</v>
      </c>
      <c r="AH210" s="106">
        <f t="shared" ref="AH210:AH213" si="2426">+BX210+DN210+FD210</f>
        <v>100000</v>
      </c>
      <c r="AI210" s="106">
        <f t="shared" ref="AI210:AI213" si="2427">+BY210+DO210+FE210</f>
        <v>100000</v>
      </c>
      <c r="AJ210" s="106">
        <f t="shared" ref="AJ210:AJ213" si="2428">+BZ210+DP210+FF210</f>
        <v>100000</v>
      </c>
      <c r="AK210" s="106">
        <f t="shared" ref="AK210:AK213" si="2429">+CA210+DQ210+FG210</f>
        <v>100000</v>
      </c>
      <c r="AL210" s="106">
        <f t="shared" ref="AL210:AL213" si="2430">+CB210+DR210+FH210</f>
        <v>100000</v>
      </c>
      <c r="AM210" s="106">
        <f t="shared" ref="AM210:AM213" si="2431">+CC210+DS210+FI210</f>
        <v>100000</v>
      </c>
      <c r="AN210" s="106">
        <f t="shared" ref="AN210:AN213" si="2432">+CD210+DT210+FJ210</f>
        <v>100000</v>
      </c>
      <c r="AO210" s="106">
        <f t="shared" ref="AO210:AO213" si="2433">+SUM(AC210:AN210)</f>
        <v>1200000</v>
      </c>
      <c r="AQ210" s="106">
        <v>100000</v>
      </c>
      <c r="AR210" s="106">
        <v>100000</v>
      </c>
      <c r="AS210" s="106">
        <v>100000</v>
      </c>
      <c r="AT210" s="106">
        <v>100000</v>
      </c>
      <c r="AU210" s="106">
        <v>100000</v>
      </c>
      <c r="AV210" s="106">
        <v>100000</v>
      </c>
      <c r="AW210" s="106">
        <v>100000</v>
      </c>
      <c r="AX210" s="106">
        <v>100000</v>
      </c>
      <c r="AY210" s="106">
        <v>100000</v>
      </c>
      <c r="AZ210" s="106">
        <v>100000</v>
      </c>
      <c r="BA210" s="106">
        <v>100000</v>
      </c>
      <c r="BB210" s="106">
        <v>100000</v>
      </c>
      <c r="BC210" s="106">
        <f t="shared" ref="BC210:BC213" si="2434">+SUM(AQ210:BB210)</f>
        <v>1200000</v>
      </c>
      <c r="BD210" s="16" t="str">
        <f t="shared" si="2230"/>
        <v>Rent Machinery</v>
      </c>
      <c r="BE210" s="106">
        <f>+VLOOKUP($BD210,'Jan-25'!$A:$J,5,0)</f>
        <v>100000</v>
      </c>
      <c r="BF210" s="106">
        <f>+VLOOKUP($BD210,'Feb-25'!$A:$J,5,0)</f>
        <v>100000</v>
      </c>
      <c r="BG210" s="106">
        <f>+VLOOKUP($BD210,'Mar-25'!$A:$J,5,0)</f>
        <v>100000</v>
      </c>
      <c r="BH210" s="106">
        <f>+VLOOKUP($BD210,'Apr-25'!$A:$J,5,0)</f>
        <v>100000</v>
      </c>
      <c r="BI210" s="106">
        <f>+VLOOKUP($BD210,'May-25'!$A:$J,5,0)</f>
        <v>100000</v>
      </c>
      <c r="BJ210" s="106">
        <f>+VLOOKUP($BD210,'June-25'!$A:$J,5,0)</f>
        <v>100000</v>
      </c>
      <c r="BK210" s="106">
        <f>+VLOOKUP($BD210,'July-25'!$A:$J,5,0)</f>
        <v>100000</v>
      </c>
      <c r="BL210" s="106">
        <f>+VLOOKUP($BD210,'Aug-25'!$A:$J,5,0)</f>
        <v>100000</v>
      </c>
      <c r="BM210" s="106">
        <f>+VLOOKUP($BD210,'Sep-25'!$A:$J,5,0)</f>
        <v>100000</v>
      </c>
      <c r="BN210" s="106">
        <f>+VLOOKUP($BD210,'Oct-25'!$A:$J,5,0)</f>
        <v>100000</v>
      </c>
      <c r="BO210" s="106">
        <f>+VLOOKUP($BD210,'Nov-25'!$A:$J,5,0)</f>
        <v>0</v>
      </c>
      <c r="BP210" s="106">
        <f>+VLOOKUP($BD210,'Dec-25'!$A:$J,5,0)</f>
        <v>0</v>
      </c>
      <c r="BQ210" s="106">
        <f t="shared" ref="BQ210:BQ213" si="2435">+SUM(BE210:BP210)</f>
        <v>1000000</v>
      </c>
      <c r="BR210" s="118">
        <f t="shared" si="1870"/>
        <v>0</v>
      </c>
      <c r="BS210" s="106">
        <f>+_xlfn.XLOOKUP($BD210,Budget!$A:$A,Budget!BD:BD)</f>
        <v>100000</v>
      </c>
      <c r="BT210" s="106">
        <f>+_xlfn.XLOOKUP($BD210,Budget!$A:$A,Budget!BE:BE)</f>
        <v>100000</v>
      </c>
      <c r="BU210" s="106">
        <f>+_xlfn.XLOOKUP($BD210,Budget!$A:$A,Budget!BF:BF)</f>
        <v>100000</v>
      </c>
      <c r="BV210" s="106">
        <f>+_xlfn.XLOOKUP($BD210,Budget!$A:$A,Budget!BG:BG)</f>
        <v>100000</v>
      </c>
      <c r="BW210" s="106">
        <f>+_xlfn.XLOOKUP($BD210,Budget!$A:$A,Budget!BH:BH)</f>
        <v>100000</v>
      </c>
      <c r="BX210" s="106">
        <f>+_xlfn.XLOOKUP($BD210,Budget!$A:$A,Budget!BI:BI)</f>
        <v>100000</v>
      </c>
      <c r="BY210" s="106">
        <f>+_xlfn.XLOOKUP($BD210,Budget!$A:$A,Budget!BJ:BJ)</f>
        <v>100000</v>
      </c>
      <c r="BZ210" s="106">
        <f>+_xlfn.XLOOKUP($BD210,Budget!$A:$A,Budget!BK:BK)</f>
        <v>100000</v>
      </c>
      <c r="CA210" s="106">
        <f>+_xlfn.XLOOKUP($BD210,Budget!$A:$A,Budget!BL:BL)</f>
        <v>100000</v>
      </c>
      <c r="CB210" s="106">
        <f>+_xlfn.XLOOKUP($BD210,Budget!$A:$A,Budget!BM:BM)</f>
        <v>100000</v>
      </c>
      <c r="CC210" s="106">
        <f>+_xlfn.XLOOKUP($BD210,Budget!$A:$A,Budget!BN:BN)</f>
        <v>100000</v>
      </c>
      <c r="CD210" s="106">
        <f>+_xlfn.XLOOKUP($BD210,Budget!$A:$A,Budget!BO:BO)</f>
        <v>100000</v>
      </c>
      <c r="CE210" s="106">
        <f t="shared" ref="CE210:CE213" si="2436">+SUM(BS210:CD210)</f>
        <v>1200000</v>
      </c>
      <c r="CF210" s="106"/>
      <c r="CG210" s="106">
        <v>0</v>
      </c>
      <c r="CH210" s="106">
        <v>0</v>
      </c>
      <c r="CI210" s="106">
        <v>0</v>
      </c>
      <c r="CJ210" s="106">
        <v>0</v>
      </c>
      <c r="CK210" s="106">
        <v>0</v>
      </c>
      <c r="CL210" s="106">
        <v>0</v>
      </c>
      <c r="CM210" s="106">
        <v>0</v>
      </c>
      <c r="CN210" s="106">
        <v>0</v>
      </c>
      <c r="CO210" s="106">
        <v>0</v>
      </c>
      <c r="CP210" s="106">
        <v>0</v>
      </c>
      <c r="CQ210" s="106">
        <v>0</v>
      </c>
      <c r="CR210" s="106">
        <v>0</v>
      </c>
      <c r="CS210" s="106">
        <f t="shared" ref="CS210:CS213" si="2437">+SUM(CG210:CR210)</f>
        <v>0</v>
      </c>
      <c r="CT210" s="16" t="str">
        <f t="shared" si="2231"/>
        <v>Rent Machinery</v>
      </c>
      <c r="CU210" s="106">
        <f>+VLOOKUP($BD210,'Jan-25'!$A:$J,8,0)</f>
        <v>0</v>
      </c>
      <c r="CV210" s="106">
        <f>+VLOOKUP($BD210,'Feb-25'!$A:$J,8,0)</f>
        <v>0</v>
      </c>
      <c r="CW210" s="106">
        <f>+VLOOKUP($BD210,'Mar-25'!$A:$J,8,0)</f>
        <v>0</v>
      </c>
      <c r="CX210" s="106">
        <f>+VLOOKUP($BD210,'Apr-25'!$A:$J,8,0)</f>
        <v>0</v>
      </c>
      <c r="CY210" s="106">
        <f>+VLOOKUP($BD210,'May-25'!$A:$J,8,0)</f>
        <v>0</v>
      </c>
      <c r="CZ210" s="106">
        <f>+VLOOKUP($BD210,'June-25'!$A:$J,8,0)</f>
        <v>0</v>
      </c>
      <c r="DA210" s="106">
        <f>+VLOOKUP($BD210,'July-25'!$A:$J,8,0)</f>
        <v>0</v>
      </c>
      <c r="DB210" s="106">
        <f>+VLOOKUP($BD210,'Aug-25'!$A:$J,8,0)</f>
        <v>0</v>
      </c>
      <c r="DC210" s="106">
        <f>+VLOOKUP($BD210,'Sep-25'!$A:$J,8,0)</f>
        <v>0</v>
      </c>
      <c r="DD210" s="106">
        <f>+VLOOKUP($BD210,'Oct-25'!$A:$J,8,0)</f>
        <v>0</v>
      </c>
      <c r="DE210" s="106">
        <f>+VLOOKUP($BD210,'Nov-25'!$A:$J,8,0)</f>
        <v>0</v>
      </c>
      <c r="DF210" s="106">
        <f>+VLOOKUP($BD210,'Dec-25'!$A:$J,8,0)</f>
        <v>0</v>
      </c>
      <c r="DG210" s="106">
        <f t="shared" ref="DG210:DG213" si="2438">+SUM(CU210:DF210)</f>
        <v>0</v>
      </c>
      <c r="DH210" s="118">
        <f t="shared" si="1874"/>
        <v>0</v>
      </c>
      <c r="DI210" s="106">
        <f>+_xlfn.XLOOKUP($CT210,Budget!$A:$A,Budget!CQ:CQ)</f>
        <v>0</v>
      </c>
      <c r="DJ210" s="106">
        <f>+_xlfn.XLOOKUP($CT210,Budget!$A:$A,Budget!CR:CR)</f>
        <v>0</v>
      </c>
      <c r="DK210" s="106">
        <f>+_xlfn.XLOOKUP($CT210,Budget!$A:$A,Budget!CS:CS)</f>
        <v>0</v>
      </c>
      <c r="DL210" s="106">
        <f>+_xlfn.XLOOKUP($CT210,Budget!$A:$A,Budget!CT:CT)</f>
        <v>0</v>
      </c>
      <c r="DM210" s="106">
        <f>+_xlfn.XLOOKUP($CT210,Budget!$A:$A,Budget!CU:CU)</f>
        <v>0</v>
      </c>
      <c r="DN210" s="106">
        <f>+_xlfn.XLOOKUP($CT210,Budget!$A:$A,Budget!CV:CV)</f>
        <v>0</v>
      </c>
      <c r="DO210" s="106">
        <f>+_xlfn.XLOOKUP($CT210,Budget!$A:$A,Budget!CW:CW)</f>
        <v>0</v>
      </c>
      <c r="DP210" s="106">
        <f>+_xlfn.XLOOKUP($CT210,Budget!$A:$A,Budget!CX:CX)</f>
        <v>0</v>
      </c>
      <c r="DQ210" s="106">
        <f>+_xlfn.XLOOKUP($CT210,Budget!$A:$A,Budget!CY:CY)</f>
        <v>0</v>
      </c>
      <c r="DR210" s="106">
        <f>+_xlfn.XLOOKUP($CT210,Budget!$A:$A,Budget!CZ:CZ)</f>
        <v>0</v>
      </c>
      <c r="DS210" s="106">
        <f>+_xlfn.XLOOKUP($CT210,Budget!$A:$A,Budget!DA:DA)</f>
        <v>0</v>
      </c>
      <c r="DT210" s="106">
        <f>+_xlfn.XLOOKUP($CT210,Budget!$A:$A,Budget!DB:DB)</f>
        <v>0</v>
      </c>
      <c r="DU210" s="106">
        <f t="shared" ref="DU210:DU213" si="2439">+SUM(DI210:DT210)</f>
        <v>0</v>
      </c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106">
        <f t="shared" ref="EI210:EI213" si="2440">+SUM(DW210:EH210)</f>
        <v>0</v>
      </c>
      <c r="EJ210" s="16" t="str">
        <f t="shared" si="2302"/>
        <v>Rent Machinery</v>
      </c>
      <c r="EK210" s="22">
        <f>+VLOOKUP($BD210,'Jan-25'!$A:$J,10,0)</f>
        <v>0</v>
      </c>
      <c r="EL210" s="22">
        <f>+VLOOKUP($BD210,'Feb-25'!$A:$J,10,0)</f>
        <v>0</v>
      </c>
      <c r="EM210" s="22">
        <f>+VLOOKUP($BD210,'Mar-25'!$A:$J,10,0)</f>
        <v>0</v>
      </c>
      <c r="EN210" s="22">
        <f>+VLOOKUP($BD210,'Apr-25'!$A:$J,10,0)</f>
        <v>0</v>
      </c>
      <c r="EO210" s="22">
        <f>+VLOOKUP($BD210,'May-25'!$A:$J,10,0)</f>
        <v>0</v>
      </c>
      <c r="EP210" s="22">
        <f>+VLOOKUP($BD210,'June-25'!$A:$J,10,0)</f>
        <v>0</v>
      </c>
      <c r="EQ210" s="22">
        <f>+VLOOKUP($BD210,'July-25'!$A:$J,10,0)</f>
        <v>0</v>
      </c>
      <c r="ER210" s="22">
        <f>+VLOOKUP($BD210,'Aug-25'!$A:$J,10,0)</f>
        <v>0</v>
      </c>
      <c r="ES210" s="22">
        <f>+VLOOKUP($BD210,'Sep-25'!$A:$J,10,0)</f>
        <v>0</v>
      </c>
      <c r="ET210" s="22">
        <f>+VLOOKUP($BD210,'Oct-25'!$A:$J,10,0)</f>
        <v>0</v>
      </c>
      <c r="EU210" s="22">
        <f>+VLOOKUP($BD210,'Nov-25'!$A:$J,10,0)</f>
        <v>0</v>
      </c>
      <c r="EV210" s="22">
        <f>+VLOOKUP($BD210,'Dec-25'!$A:$J,10,0)</f>
        <v>0</v>
      </c>
      <c r="EW210" s="22">
        <f t="shared" ref="EW210:EW213" si="2441">+SUM(EK210:EV210)</f>
        <v>0</v>
      </c>
      <c r="EX210" s="118" t="e">
        <f t="shared" si="1878"/>
        <v>#DIV/0!</v>
      </c>
      <c r="EY210" s="106">
        <f>+_xlfn.XLOOKUP($EJ210,Budget!$A:$A,Budget!DR:DR)</f>
        <v>0</v>
      </c>
      <c r="EZ210" s="106">
        <f>+_xlfn.XLOOKUP($EJ210,Budget!$A:$A,Budget!DS:DS)</f>
        <v>0</v>
      </c>
      <c r="FA210" s="106">
        <f>+_xlfn.XLOOKUP($EJ210,Budget!$A:$A,Budget!DT:DT)</f>
        <v>0</v>
      </c>
      <c r="FB210" s="106">
        <f>+_xlfn.XLOOKUP($EJ210,Budget!$A:$A,Budget!DU:DU)</f>
        <v>0</v>
      </c>
      <c r="FC210" s="106">
        <f>+_xlfn.XLOOKUP($EJ210,Budget!$A:$A,Budget!DV:DV)</f>
        <v>0</v>
      </c>
      <c r="FD210" s="106">
        <f>+_xlfn.XLOOKUP($EJ210,Budget!$A:$A,Budget!DW:DW)</f>
        <v>0</v>
      </c>
      <c r="FE210" s="106">
        <f>+_xlfn.XLOOKUP($EJ210,Budget!$A:$A,Budget!DX:DX)</f>
        <v>0</v>
      </c>
      <c r="FF210" s="106">
        <f>+_xlfn.XLOOKUP($EJ210,Budget!$A:$A,Budget!DY:DY)</f>
        <v>0</v>
      </c>
      <c r="FG210" s="106">
        <f>+_xlfn.XLOOKUP($EJ210,Budget!$A:$A,Budget!DZ:DZ)</f>
        <v>0</v>
      </c>
      <c r="FH210" s="106">
        <f>+_xlfn.XLOOKUP($EJ210,Budget!$A:$A,Budget!EA:EA)</f>
        <v>0</v>
      </c>
      <c r="FI210" s="106">
        <f>+_xlfn.XLOOKUP($EJ210,Budget!$A:$A,Budget!EB:EB)</f>
        <v>0</v>
      </c>
      <c r="FJ210" s="106">
        <f>+_xlfn.XLOOKUP($EJ210,Budget!$A:$A,Budget!EC:EC)</f>
        <v>0</v>
      </c>
      <c r="FK210" s="106">
        <f t="shared" ref="FK210:FK213" si="2442">+SUM(EY210:FJ210)</f>
        <v>0</v>
      </c>
    </row>
    <row r="211" spans="1:167" ht="14.45" hidden="1" customHeight="1" outlineLevel="2">
      <c r="A211" s="106">
        <f t="shared" si="2406"/>
        <v>162765</v>
      </c>
      <c r="B211" s="106">
        <f t="shared" si="2406"/>
        <v>162765</v>
      </c>
      <c r="C211" s="106">
        <f t="shared" si="2406"/>
        <v>162765</v>
      </c>
      <c r="D211" s="106">
        <f t="shared" si="2406"/>
        <v>162765</v>
      </c>
      <c r="E211" s="106">
        <f t="shared" si="2406"/>
        <v>162765</v>
      </c>
      <c r="F211" s="106">
        <f t="shared" si="2406"/>
        <v>168674.82</v>
      </c>
      <c r="G211" s="106">
        <f t="shared" si="2406"/>
        <v>168674.6</v>
      </c>
      <c r="H211" s="106">
        <f t="shared" si="2406"/>
        <v>168674.6</v>
      </c>
      <c r="I211" s="106">
        <f t="shared" si="2406"/>
        <v>173131.4</v>
      </c>
      <c r="J211" s="106">
        <f t="shared" si="2406"/>
        <v>170903</v>
      </c>
      <c r="K211" s="106">
        <f t="shared" si="2406"/>
        <v>170903</v>
      </c>
      <c r="L211" s="106">
        <f t="shared" si="2406"/>
        <v>170903</v>
      </c>
      <c r="M211" s="106">
        <f t="shared" si="2407"/>
        <v>2005689.4200000002</v>
      </c>
      <c r="N211" s="16" t="s">
        <v>177</v>
      </c>
      <c r="O211" s="106">
        <f t="shared" si="2408"/>
        <v>348903</v>
      </c>
      <c r="P211" s="106">
        <f t="shared" si="2409"/>
        <v>348903</v>
      </c>
      <c r="Q211" s="106">
        <f t="shared" si="2410"/>
        <v>348903</v>
      </c>
      <c r="R211" s="106">
        <f t="shared" si="2411"/>
        <v>348903</v>
      </c>
      <c r="S211" s="106">
        <f t="shared" si="2412"/>
        <v>348903</v>
      </c>
      <c r="T211" s="106">
        <f t="shared" si="2413"/>
        <v>348903</v>
      </c>
      <c r="U211" s="106">
        <f t="shared" si="2414"/>
        <v>348903</v>
      </c>
      <c r="V211" s="106">
        <f t="shared" si="2415"/>
        <v>170903</v>
      </c>
      <c r="W211" s="106">
        <f t="shared" si="2416"/>
        <v>361170.8</v>
      </c>
      <c r="X211" s="106">
        <f t="shared" si="2417"/>
        <v>353724.8</v>
      </c>
      <c r="Y211" s="106">
        <f t="shared" si="2418"/>
        <v>0</v>
      </c>
      <c r="Z211" s="106">
        <f t="shared" si="2419"/>
        <v>0</v>
      </c>
      <c r="AA211" s="106">
        <f t="shared" si="2420"/>
        <v>3328119.5999999996</v>
      </c>
      <c r="AB211" s="118">
        <f t="shared" si="1854"/>
        <v>-1.5922878331155941E-2</v>
      </c>
      <c r="AC211" s="106">
        <f t="shared" si="2421"/>
        <v>350903.0959650001</v>
      </c>
      <c r="AD211" s="106">
        <f t="shared" si="2422"/>
        <v>350903.09596499999</v>
      </c>
      <c r="AE211" s="106">
        <f t="shared" si="2423"/>
        <v>350903.09596499999</v>
      </c>
      <c r="AF211" s="106">
        <f t="shared" si="2424"/>
        <v>350903.09596499999</v>
      </c>
      <c r="AG211" s="106">
        <f t="shared" si="2425"/>
        <v>350903.09596499999</v>
      </c>
      <c r="AH211" s="106">
        <f t="shared" si="2426"/>
        <v>357108.40123200003</v>
      </c>
      <c r="AI211" s="106">
        <f t="shared" si="2427"/>
        <v>357108.40123200003</v>
      </c>
      <c r="AJ211" s="106">
        <f t="shared" si="2428"/>
        <v>357108.40123200003</v>
      </c>
      <c r="AK211" s="106">
        <f t="shared" si="2429"/>
        <v>359448.25076325005</v>
      </c>
      <c r="AL211" s="106">
        <f t="shared" si="2430"/>
        <v>359448.25076325005</v>
      </c>
      <c r="AM211" s="106">
        <f t="shared" si="2431"/>
        <v>359448.25076325005</v>
      </c>
      <c r="AN211" s="106">
        <f t="shared" si="2432"/>
        <v>359448.25076325005</v>
      </c>
      <c r="AO211" s="106">
        <f t="shared" si="2433"/>
        <v>4263633.6865739999</v>
      </c>
      <c r="AQ211" s="106">
        <v>118196.40000000001</v>
      </c>
      <c r="AR211" s="106">
        <v>118196.40000000001</v>
      </c>
      <c r="AS211" s="106">
        <v>118196.40000000001</v>
      </c>
      <c r="AT211" s="106">
        <v>118196.40000000001</v>
      </c>
      <c r="AU211" s="106">
        <v>118196.40000000001</v>
      </c>
      <c r="AV211" s="106">
        <v>124106.22</v>
      </c>
      <c r="AW211" s="106">
        <v>124106</v>
      </c>
      <c r="AX211" s="106">
        <v>124106</v>
      </c>
      <c r="AY211" s="106">
        <v>124106</v>
      </c>
      <c r="AZ211" s="106">
        <v>124106</v>
      </c>
      <c r="BA211" s="106">
        <v>124106</v>
      </c>
      <c r="BB211" s="106">
        <v>124106</v>
      </c>
      <c r="BC211" s="106">
        <f t="shared" si="2434"/>
        <v>1459724.22</v>
      </c>
      <c r="BD211" s="16" t="str">
        <f t="shared" si="2230"/>
        <v>Rent Service</v>
      </c>
      <c r="BE211" s="106">
        <f>+VLOOKUP($BD211,'Jan-25'!$A:$J,5,0)</f>
        <v>124106</v>
      </c>
      <c r="BF211" s="106">
        <f>+VLOOKUP($BD211,'Feb-25'!$A:$J,5,0)</f>
        <v>124106</v>
      </c>
      <c r="BG211" s="106">
        <f>+VLOOKUP($BD211,'Mar-25'!$A:$J,5,0)</f>
        <v>124106</v>
      </c>
      <c r="BH211" s="106">
        <f>+VLOOKUP($BD211,'Apr-25'!$A:$J,5,0)</f>
        <v>124106</v>
      </c>
      <c r="BI211" s="106">
        <f>+VLOOKUP($BD211,'May-25'!$A:$J,5,0)</f>
        <v>124106</v>
      </c>
      <c r="BJ211" s="106">
        <f>+VLOOKUP($BD211,'June-25'!$A:$J,5,0)</f>
        <v>124106</v>
      </c>
      <c r="BK211" s="106">
        <f>+VLOOKUP($BD211,'July-25'!$A:$J,5,0)</f>
        <v>124106</v>
      </c>
      <c r="BL211" s="106">
        <f>+VLOOKUP($BD211,'Aug-25'!$A:$J,5,0)</f>
        <v>124106</v>
      </c>
      <c r="BM211" s="106">
        <f>+VLOOKUP($BD211,'Sep-25'!$A:$J,5,0)</f>
        <v>134034</v>
      </c>
      <c r="BN211" s="106">
        <f>+VLOOKUP($BD211,'Oct-25'!$A:$J,5,0)</f>
        <v>126588</v>
      </c>
      <c r="BO211" s="106">
        <f>+VLOOKUP($BD211,'Nov-25'!$A:$J,5,0)</f>
        <v>0</v>
      </c>
      <c r="BP211" s="106">
        <f>+VLOOKUP($BD211,'Dec-25'!$A:$J,5,0)</f>
        <v>0</v>
      </c>
      <c r="BQ211" s="106">
        <f t="shared" si="2435"/>
        <v>1253470</v>
      </c>
      <c r="BR211" s="118">
        <f t="shared" si="1870"/>
        <v>-2.8573173981128051E-2</v>
      </c>
      <c r="BS211" s="106">
        <f>+_xlfn.XLOOKUP($BD211,Budget!$A:$A,Budget!BD:BD)</f>
        <v>124106.10534000001</v>
      </c>
      <c r="BT211" s="106">
        <f>+_xlfn.XLOOKUP($BD211,Budget!$A:$A,Budget!BE:BE)</f>
        <v>124106.10534000001</v>
      </c>
      <c r="BU211" s="106">
        <f>+_xlfn.XLOOKUP($BD211,Budget!$A:$A,Budget!BF:BF)</f>
        <v>124106.10534000001</v>
      </c>
      <c r="BV211" s="106">
        <f>+_xlfn.XLOOKUP($BD211,Budget!$A:$A,Budget!BG:BG)</f>
        <v>124106.10534000001</v>
      </c>
      <c r="BW211" s="106">
        <f>+_xlfn.XLOOKUP($BD211,Budget!$A:$A,Budget!BH:BH)</f>
        <v>124106.10534000001</v>
      </c>
      <c r="BX211" s="106">
        <f>+_xlfn.XLOOKUP($BD211,Budget!$A:$A,Budget!BI:BI)</f>
        <v>130311.41060700003</v>
      </c>
      <c r="BY211" s="106">
        <f>+_xlfn.XLOOKUP($BD211,Budget!$A:$A,Budget!BJ:BJ)</f>
        <v>130311.41060700003</v>
      </c>
      <c r="BZ211" s="106">
        <f>+_xlfn.XLOOKUP($BD211,Budget!$A:$A,Budget!BK:BK)</f>
        <v>130311.41060700003</v>
      </c>
      <c r="CA211" s="106">
        <f>+_xlfn.XLOOKUP($BD211,Budget!$A:$A,Budget!BL:BL)</f>
        <v>130311.41060700003</v>
      </c>
      <c r="CB211" s="106">
        <f>+_xlfn.XLOOKUP($BD211,Budget!$A:$A,Budget!BM:BM)</f>
        <v>130311.41060700003</v>
      </c>
      <c r="CC211" s="106">
        <f>+_xlfn.XLOOKUP($BD211,Budget!$A:$A,Budget!BN:BN)</f>
        <v>130311.41060700003</v>
      </c>
      <c r="CD211" s="106">
        <f>+_xlfn.XLOOKUP($BD211,Budget!$A:$A,Budget!BO:BO)</f>
        <v>130311.41060700003</v>
      </c>
      <c r="CE211" s="106">
        <f t="shared" si="2436"/>
        <v>1532710.4009490004</v>
      </c>
      <c r="CF211" s="106"/>
      <c r="CG211" s="106">
        <v>44568.600000000006</v>
      </c>
      <c r="CH211" s="106">
        <v>44568.600000000006</v>
      </c>
      <c r="CI211" s="106">
        <v>44568.600000000006</v>
      </c>
      <c r="CJ211" s="106">
        <v>44568.600000000006</v>
      </c>
      <c r="CK211" s="106">
        <v>44568.600000000006</v>
      </c>
      <c r="CL211" s="106">
        <v>44568.600000000006</v>
      </c>
      <c r="CM211" s="106">
        <v>44568.600000000006</v>
      </c>
      <c r="CN211" s="106">
        <v>44568.600000000006</v>
      </c>
      <c r="CO211" s="106">
        <v>49025.4</v>
      </c>
      <c r="CP211" s="106">
        <v>46797</v>
      </c>
      <c r="CQ211" s="106">
        <v>46797</v>
      </c>
      <c r="CR211" s="106">
        <v>46797</v>
      </c>
      <c r="CS211" s="106">
        <f t="shared" si="2437"/>
        <v>545965.20000000007</v>
      </c>
      <c r="CT211" s="16" t="str">
        <f t="shared" si="2231"/>
        <v>Rent Service</v>
      </c>
      <c r="CU211" s="106">
        <f>+VLOOKUP($BD211,'Jan-25'!$A:$J,8,0)</f>
        <v>46797</v>
      </c>
      <c r="CV211" s="106">
        <f>+VLOOKUP($BD211,'Feb-25'!$A:$J,8,0)</f>
        <v>46797</v>
      </c>
      <c r="CW211" s="106">
        <f>+VLOOKUP($BD211,'Mar-25'!$A:$J,8,0)</f>
        <v>46797</v>
      </c>
      <c r="CX211" s="106">
        <f>+VLOOKUP($BD211,'Apr-25'!$A:$J,8,0)</f>
        <v>46797</v>
      </c>
      <c r="CY211" s="106">
        <f>+VLOOKUP($BD211,'May-25'!$A:$J,8,0)</f>
        <v>46797</v>
      </c>
      <c r="CZ211" s="106">
        <f>+VLOOKUP($BD211,'June-25'!$A:$J,8,0)</f>
        <v>46797</v>
      </c>
      <c r="DA211" s="106">
        <f>+VLOOKUP($BD211,'July-25'!$A:$J,8,0)</f>
        <v>46797</v>
      </c>
      <c r="DB211" s="106">
        <f>+VLOOKUP($BD211,'Aug-25'!$A:$J,8,0)</f>
        <v>46797</v>
      </c>
      <c r="DC211" s="106">
        <f>+VLOOKUP($BD211,'Sep-25'!$A:$J,8,0)</f>
        <v>49136.800000000003</v>
      </c>
      <c r="DD211" s="106">
        <f>+VLOOKUP($BD211,'Oct-25'!$A:$J,8,0)</f>
        <v>49136.800000000003</v>
      </c>
      <c r="DE211" s="106">
        <f>+VLOOKUP($BD211,'Nov-25'!$A:$J,8,0)</f>
        <v>0</v>
      </c>
      <c r="DF211" s="106">
        <f>+VLOOKUP($BD211,'Dec-25'!$A:$J,8,0)</f>
        <v>0</v>
      </c>
      <c r="DG211" s="106">
        <f t="shared" si="2438"/>
        <v>472649.6</v>
      </c>
      <c r="DH211" s="118">
        <f t="shared" si="1874"/>
        <v>-8.1723305536619557E-7</v>
      </c>
      <c r="DI211" s="106">
        <f>+_xlfn.XLOOKUP($CT211,Budget!$A:$A,Budget!CQ:CQ)</f>
        <v>46796.990625000006</v>
      </c>
      <c r="DJ211" s="106">
        <f>+_xlfn.XLOOKUP($CT211,Budget!$A:$A,Budget!CR:CR)</f>
        <v>46796.990625000006</v>
      </c>
      <c r="DK211" s="106">
        <f>+_xlfn.XLOOKUP($CT211,Budget!$A:$A,Budget!CS:CS)</f>
        <v>46796.990625000006</v>
      </c>
      <c r="DL211" s="106">
        <f>+_xlfn.XLOOKUP($CT211,Budget!$A:$A,Budget!CT:CT)</f>
        <v>46796.990625000006</v>
      </c>
      <c r="DM211" s="106">
        <f>+_xlfn.XLOOKUP($CT211,Budget!$A:$A,Budget!CU:CU)</f>
        <v>46796.990625000006</v>
      </c>
      <c r="DN211" s="106">
        <f>+_xlfn.XLOOKUP($CT211,Budget!$A:$A,Budget!CV:CV)</f>
        <v>46796.990625000006</v>
      </c>
      <c r="DO211" s="106">
        <f>+_xlfn.XLOOKUP($CT211,Budget!$A:$A,Budget!CW:CW)</f>
        <v>46796.990625000006</v>
      </c>
      <c r="DP211" s="106">
        <f>+_xlfn.XLOOKUP($CT211,Budget!$A:$A,Budget!CX:CX)</f>
        <v>46796.990625000006</v>
      </c>
      <c r="DQ211" s="106">
        <f>+_xlfn.XLOOKUP($CT211,Budget!$A:$A,Budget!CY:CY)</f>
        <v>49136.840156250015</v>
      </c>
      <c r="DR211" s="106">
        <f>+_xlfn.XLOOKUP($CT211,Budget!$A:$A,Budget!CZ:CZ)</f>
        <v>49136.840156250015</v>
      </c>
      <c r="DS211" s="106">
        <f>+_xlfn.XLOOKUP($CT211,Budget!$A:$A,Budget!DA:DA)</f>
        <v>49136.840156250015</v>
      </c>
      <c r="DT211" s="106">
        <f>+_xlfn.XLOOKUP($CT211,Budget!$A:$A,Budget!DB:DB)</f>
        <v>49136.840156250015</v>
      </c>
      <c r="DU211" s="106">
        <f t="shared" si="2439"/>
        <v>570923.28562500002</v>
      </c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106">
        <f t="shared" si="2440"/>
        <v>0</v>
      </c>
      <c r="EJ211" s="16" t="str">
        <f t="shared" si="2302"/>
        <v>Rent Service</v>
      </c>
      <c r="EK211" s="22">
        <f>+VLOOKUP($BD211,'Jan-25'!$A:$J,10,0)</f>
        <v>178000</v>
      </c>
      <c r="EL211" s="22">
        <f>+VLOOKUP($BD211,'Feb-25'!$A:$J,10,0)</f>
        <v>178000</v>
      </c>
      <c r="EM211" s="22">
        <f>+VLOOKUP($BD211,'Mar-25'!$A:$J,10,0)</f>
        <v>178000</v>
      </c>
      <c r="EN211" s="22">
        <f>+VLOOKUP($BD211,'Apr-25'!$A:$J,10,0)</f>
        <v>178000</v>
      </c>
      <c r="EO211" s="22">
        <f>+VLOOKUP($BD211,'May-25'!$A:$J,10,0)</f>
        <v>178000</v>
      </c>
      <c r="EP211" s="22">
        <f>+VLOOKUP($BD211,'June-25'!$A:$J,10,0)</f>
        <v>178000</v>
      </c>
      <c r="EQ211" s="22">
        <f>+VLOOKUP($BD211,'July-25'!$A:$J,10,0)</f>
        <v>178000</v>
      </c>
      <c r="ER211" s="22">
        <f>+VLOOKUP($BD211,'Aug-25'!$A:$J,10,0)</f>
        <v>0</v>
      </c>
      <c r="ES211" s="22">
        <f>+VLOOKUP($BD211,'Sep-25'!$A:$J,10,0)</f>
        <v>178000</v>
      </c>
      <c r="ET211" s="22">
        <f>+VLOOKUP($BD211,'Oct-25'!$A:$J,10,0)</f>
        <v>178000</v>
      </c>
      <c r="EU211" s="22">
        <f>+VLOOKUP($BD211,'Nov-25'!$A:$J,10,0)</f>
        <v>0</v>
      </c>
      <c r="EV211" s="22">
        <f>+VLOOKUP($BD211,'Dec-25'!$A:$J,10,0)</f>
        <v>0</v>
      </c>
      <c r="EW211" s="22">
        <f t="shared" si="2441"/>
        <v>1602000</v>
      </c>
      <c r="EX211" s="118">
        <f t="shared" si="1878"/>
        <v>-1.1111111111111112E-2</v>
      </c>
      <c r="EY211" s="106">
        <f>+_xlfn.XLOOKUP($EJ211,Budget!$A:$A,Budget!DR:DR)</f>
        <v>180000.00000000009</v>
      </c>
      <c r="EZ211" s="106">
        <f>+_xlfn.XLOOKUP($EJ211,Budget!$A:$A,Budget!DS:DS)</f>
        <v>180000</v>
      </c>
      <c r="FA211" s="106">
        <f>+_xlfn.XLOOKUP($EJ211,Budget!$A:$A,Budget!DT:DT)</f>
        <v>180000</v>
      </c>
      <c r="FB211" s="106">
        <f>+_xlfn.XLOOKUP($EJ211,Budget!$A:$A,Budget!DU:DU)</f>
        <v>180000</v>
      </c>
      <c r="FC211" s="106">
        <f>+_xlfn.XLOOKUP($EJ211,Budget!$A:$A,Budget!DV:DV)</f>
        <v>180000</v>
      </c>
      <c r="FD211" s="106">
        <f>+_xlfn.XLOOKUP($EJ211,Budget!$A:$A,Budget!DW:DW)</f>
        <v>180000</v>
      </c>
      <c r="FE211" s="106">
        <f>+_xlfn.XLOOKUP($EJ211,Budget!$A:$A,Budget!DX:DX)</f>
        <v>180000</v>
      </c>
      <c r="FF211" s="106">
        <f>+_xlfn.XLOOKUP($EJ211,Budget!$A:$A,Budget!DY:DY)</f>
        <v>180000</v>
      </c>
      <c r="FG211" s="106">
        <f>+_xlfn.XLOOKUP($EJ211,Budget!$A:$A,Budget!DZ:DZ)</f>
        <v>180000</v>
      </c>
      <c r="FH211" s="106">
        <f>+_xlfn.XLOOKUP($EJ211,Budget!$A:$A,Budget!EA:EA)</f>
        <v>180000</v>
      </c>
      <c r="FI211" s="106">
        <f>+_xlfn.XLOOKUP($EJ211,Budget!$A:$A,Budget!EB:EB)</f>
        <v>180000</v>
      </c>
      <c r="FJ211" s="106">
        <f>+_xlfn.XLOOKUP($EJ211,Budget!$A:$A,Budget!EC:EC)</f>
        <v>180000</v>
      </c>
      <c r="FK211" s="106">
        <f t="shared" si="2442"/>
        <v>2160000</v>
      </c>
    </row>
    <row r="212" spans="1:167" ht="14.45" hidden="1" customHeight="1" outlineLevel="2">
      <c r="A212" s="106">
        <f t="shared" si="2406"/>
        <v>0</v>
      </c>
      <c r="B212" s="106">
        <f t="shared" si="2406"/>
        <v>0</v>
      </c>
      <c r="C212" s="106">
        <f t="shared" si="2406"/>
        <v>0</v>
      </c>
      <c r="D212" s="106">
        <f t="shared" si="2406"/>
        <v>0</v>
      </c>
      <c r="E212" s="106">
        <f t="shared" si="2406"/>
        <v>0</v>
      </c>
      <c r="F212" s="106">
        <f t="shared" si="2406"/>
        <v>0</v>
      </c>
      <c r="G212" s="106">
        <f t="shared" si="2406"/>
        <v>0</v>
      </c>
      <c r="H212" s="106">
        <f t="shared" si="2406"/>
        <v>0</v>
      </c>
      <c r="I212" s="106">
        <f t="shared" si="2406"/>
        <v>0</v>
      </c>
      <c r="J212" s="106">
        <f t="shared" si="2406"/>
        <v>0</v>
      </c>
      <c r="K212" s="106">
        <f t="shared" si="2406"/>
        <v>0</v>
      </c>
      <c r="L212" s="106">
        <f t="shared" si="2406"/>
        <v>0</v>
      </c>
      <c r="M212" s="106">
        <f t="shared" si="2407"/>
        <v>0</v>
      </c>
      <c r="N212" s="16" t="s">
        <v>178</v>
      </c>
      <c r="O212" s="106">
        <f t="shared" si="2408"/>
        <v>0</v>
      </c>
      <c r="P212" s="106">
        <f t="shared" si="2409"/>
        <v>0</v>
      </c>
      <c r="Q212" s="106">
        <f t="shared" si="2410"/>
        <v>0</v>
      </c>
      <c r="R212" s="106">
        <f t="shared" si="2411"/>
        <v>0</v>
      </c>
      <c r="S212" s="106">
        <f t="shared" si="2412"/>
        <v>0</v>
      </c>
      <c r="T212" s="106">
        <f t="shared" si="2413"/>
        <v>0</v>
      </c>
      <c r="U212" s="106">
        <f t="shared" si="2414"/>
        <v>0</v>
      </c>
      <c r="V212" s="106">
        <f t="shared" si="2415"/>
        <v>0</v>
      </c>
      <c r="W212" s="106">
        <f t="shared" si="2416"/>
        <v>0</v>
      </c>
      <c r="X212" s="106">
        <f t="shared" si="2417"/>
        <v>0</v>
      </c>
      <c r="Y212" s="106">
        <f t="shared" si="2418"/>
        <v>0</v>
      </c>
      <c r="Z212" s="106">
        <f t="shared" si="2419"/>
        <v>0</v>
      </c>
      <c r="AA212" s="106">
        <f t="shared" si="2420"/>
        <v>0</v>
      </c>
      <c r="AB212" s="118">
        <f t="shared" si="1854"/>
        <v>0</v>
      </c>
      <c r="AC212" s="106">
        <f t="shared" si="2421"/>
        <v>0</v>
      </c>
      <c r="AD212" s="106">
        <f t="shared" si="2422"/>
        <v>0</v>
      </c>
      <c r="AE212" s="106">
        <f t="shared" si="2423"/>
        <v>0</v>
      </c>
      <c r="AF212" s="106">
        <f t="shared" si="2424"/>
        <v>0</v>
      </c>
      <c r="AG212" s="106">
        <f t="shared" si="2425"/>
        <v>0</v>
      </c>
      <c r="AH212" s="106">
        <f t="shared" si="2426"/>
        <v>0</v>
      </c>
      <c r="AI212" s="106">
        <f t="shared" si="2427"/>
        <v>0</v>
      </c>
      <c r="AJ212" s="106">
        <f t="shared" si="2428"/>
        <v>0</v>
      </c>
      <c r="AK212" s="106">
        <f t="shared" si="2429"/>
        <v>0</v>
      </c>
      <c r="AL212" s="106">
        <f t="shared" si="2430"/>
        <v>0</v>
      </c>
      <c r="AM212" s="106">
        <f t="shared" si="2431"/>
        <v>0</v>
      </c>
      <c r="AN212" s="106">
        <f t="shared" si="2432"/>
        <v>0</v>
      </c>
      <c r="AO212" s="106">
        <f t="shared" si="2433"/>
        <v>0</v>
      </c>
      <c r="AQ212" s="106">
        <v>0</v>
      </c>
      <c r="AR212" s="106">
        <v>0</v>
      </c>
      <c r="AS212" s="106">
        <v>0</v>
      </c>
      <c r="AT212" s="106">
        <v>0</v>
      </c>
      <c r="AU212" s="106">
        <v>0</v>
      </c>
      <c r="AV212" s="106">
        <v>0</v>
      </c>
      <c r="AW212" s="106">
        <v>0</v>
      </c>
      <c r="AX212" s="106">
        <v>0</v>
      </c>
      <c r="AY212" s="106">
        <v>0</v>
      </c>
      <c r="AZ212" s="106">
        <v>0</v>
      </c>
      <c r="BA212" s="106">
        <v>0</v>
      </c>
      <c r="BB212" s="106">
        <v>0</v>
      </c>
      <c r="BC212" s="106">
        <f t="shared" si="2434"/>
        <v>0</v>
      </c>
      <c r="BD212" s="16" t="str">
        <f t="shared" si="2230"/>
        <v>Rent Showroom</v>
      </c>
      <c r="BE212" s="106">
        <f>+VLOOKUP($BD212,'Jan-25'!$A:$J,5,0)</f>
        <v>0</v>
      </c>
      <c r="BF212" s="106">
        <f>+VLOOKUP($BD212,'Feb-25'!$A:$J,5,0)</f>
        <v>0</v>
      </c>
      <c r="BG212" s="106">
        <f>+VLOOKUP($BD212,'Mar-25'!$A:$J,5,0)</f>
        <v>0</v>
      </c>
      <c r="BH212" s="106">
        <f>+VLOOKUP($BD212,'Apr-25'!$A:$J,5,0)</f>
        <v>0</v>
      </c>
      <c r="BI212" s="106">
        <f>+VLOOKUP($BD212,'May-25'!$A:$J,5,0)</f>
        <v>0</v>
      </c>
      <c r="BJ212" s="106">
        <f>+VLOOKUP($BD212,'June-25'!$A:$J,5,0)</f>
        <v>0</v>
      </c>
      <c r="BK212" s="106">
        <f>+VLOOKUP($BD212,'July-25'!$A:$J,5,0)</f>
        <v>0</v>
      </c>
      <c r="BL212" s="106">
        <f>+VLOOKUP($BD212,'Aug-25'!$A:$J,5,0)</f>
        <v>0</v>
      </c>
      <c r="BM212" s="106">
        <f>+VLOOKUP($BD212,'Sep-25'!$A:$J,5,0)</f>
        <v>0</v>
      </c>
      <c r="BN212" s="106">
        <f>+VLOOKUP($BD212,'Oct-25'!$A:$J,5,0)</f>
        <v>0</v>
      </c>
      <c r="BO212" s="106">
        <f>+VLOOKUP($BD212,'Nov-25'!$A:$J,5,0)</f>
        <v>0</v>
      </c>
      <c r="BP212" s="106">
        <f>+VLOOKUP($BD212,'Dec-25'!$A:$J,5,0)</f>
        <v>0</v>
      </c>
      <c r="BQ212" s="106">
        <f t="shared" si="2435"/>
        <v>0</v>
      </c>
      <c r="BR212" s="118">
        <f t="shared" si="1870"/>
        <v>0</v>
      </c>
      <c r="BS212" s="106">
        <f>+_xlfn.XLOOKUP($BD212,Budget!$A:$A,Budget!BD:BD)</f>
        <v>0</v>
      </c>
      <c r="BT212" s="106">
        <f>+_xlfn.XLOOKUP($BD212,Budget!$A:$A,Budget!BE:BE)</f>
        <v>0</v>
      </c>
      <c r="BU212" s="106">
        <f>+_xlfn.XLOOKUP($BD212,Budget!$A:$A,Budget!BF:BF)</f>
        <v>0</v>
      </c>
      <c r="BV212" s="106">
        <f>+_xlfn.XLOOKUP($BD212,Budget!$A:$A,Budget!BG:BG)</f>
        <v>0</v>
      </c>
      <c r="BW212" s="106">
        <f>+_xlfn.XLOOKUP($BD212,Budget!$A:$A,Budget!BH:BH)</f>
        <v>0</v>
      </c>
      <c r="BX212" s="106">
        <f>+_xlfn.XLOOKUP($BD212,Budget!$A:$A,Budget!BI:BI)</f>
        <v>0</v>
      </c>
      <c r="BY212" s="106">
        <f>+_xlfn.XLOOKUP($BD212,Budget!$A:$A,Budget!BJ:BJ)</f>
        <v>0</v>
      </c>
      <c r="BZ212" s="106">
        <f>+_xlfn.XLOOKUP($BD212,Budget!$A:$A,Budget!BK:BK)</f>
        <v>0</v>
      </c>
      <c r="CA212" s="106">
        <f>+_xlfn.XLOOKUP($BD212,Budget!$A:$A,Budget!BL:BL)</f>
        <v>0</v>
      </c>
      <c r="CB212" s="106">
        <f>+_xlfn.XLOOKUP($BD212,Budget!$A:$A,Budget!BM:BM)</f>
        <v>0</v>
      </c>
      <c r="CC212" s="106">
        <f>+_xlfn.XLOOKUP($BD212,Budget!$A:$A,Budget!BN:BN)</f>
        <v>0</v>
      </c>
      <c r="CD212" s="106">
        <f>+_xlfn.XLOOKUP($BD212,Budget!$A:$A,Budget!BO:BO)</f>
        <v>0</v>
      </c>
      <c r="CE212" s="106">
        <f t="shared" si="2436"/>
        <v>0</v>
      </c>
      <c r="CF212" s="106"/>
      <c r="CG212" s="106">
        <v>0</v>
      </c>
      <c r="CH212" s="106">
        <v>0</v>
      </c>
      <c r="CI212" s="106">
        <v>0</v>
      </c>
      <c r="CJ212" s="106">
        <v>0</v>
      </c>
      <c r="CK212" s="106">
        <v>0</v>
      </c>
      <c r="CL212" s="106">
        <v>0</v>
      </c>
      <c r="CM212" s="106">
        <v>0</v>
      </c>
      <c r="CN212" s="106">
        <v>0</v>
      </c>
      <c r="CO212" s="106">
        <v>0</v>
      </c>
      <c r="CP212" s="106">
        <v>0</v>
      </c>
      <c r="CQ212" s="106">
        <v>0</v>
      </c>
      <c r="CR212" s="106">
        <v>0</v>
      </c>
      <c r="CS212" s="106">
        <f t="shared" si="2437"/>
        <v>0</v>
      </c>
      <c r="CT212" s="16" t="str">
        <f t="shared" si="2231"/>
        <v>Rent Showroom</v>
      </c>
      <c r="CU212" s="106">
        <f>+VLOOKUP($BD212,'Jan-25'!$A:$J,8,0)</f>
        <v>0</v>
      </c>
      <c r="CV212" s="106">
        <f>+VLOOKUP($BD212,'Feb-25'!$A:$J,8,0)</f>
        <v>0</v>
      </c>
      <c r="CW212" s="106">
        <f>+VLOOKUP($BD212,'Mar-25'!$A:$J,8,0)</f>
        <v>0</v>
      </c>
      <c r="CX212" s="106">
        <f>+VLOOKUP($BD212,'Apr-25'!$A:$J,8,0)</f>
        <v>0</v>
      </c>
      <c r="CY212" s="106">
        <f>+VLOOKUP($BD212,'May-25'!$A:$J,8,0)</f>
        <v>0</v>
      </c>
      <c r="CZ212" s="106">
        <f>+VLOOKUP($BD212,'June-25'!$A:$J,8,0)</f>
        <v>0</v>
      </c>
      <c r="DA212" s="106">
        <f>+VLOOKUP($BD212,'July-25'!$A:$J,8,0)</f>
        <v>0</v>
      </c>
      <c r="DB212" s="106">
        <f>+VLOOKUP($BD212,'Aug-25'!$A:$J,8,0)</f>
        <v>0</v>
      </c>
      <c r="DC212" s="106">
        <f>+VLOOKUP($BD212,'Sep-25'!$A:$J,8,0)</f>
        <v>0</v>
      </c>
      <c r="DD212" s="106">
        <f>+VLOOKUP($BD212,'Oct-25'!$A:$J,8,0)</f>
        <v>0</v>
      </c>
      <c r="DE212" s="106">
        <f>+VLOOKUP($BD212,'Nov-25'!$A:$J,8,0)</f>
        <v>0</v>
      </c>
      <c r="DF212" s="106">
        <f>+VLOOKUP($BD212,'Dec-25'!$A:$J,8,0)</f>
        <v>0</v>
      </c>
      <c r="DG212" s="106">
        <f t="shared" si="2438"/>
        <v>0</v>
      </c>
      <c r="DH212" s="118">
        <f t="shared" si="1874"/>
        <v>0</v>
      </c>
      <c r="DI212" s="106">
        <f>+_xlfn.XLOOKUP($CT212,Budget!$A:$A,Budget!CQ:CQ)</f>
        <v>0</v>
      </c>
      <c r="DJ212" s="106">
        <f>+_xlfn.XLOOKUP($CT212,Budget!$A:$A,Budget!CR:CR)</f>
        <v>0</v>
      </c>
      <c r="DK212" s="106">
        <f>+_xlfn.XLOOKUP($CT212,Budget!$A:$A,Budget!CS:CS)</f>
        <v>0</v>
      </c>
      <c r="DL212" s="106">
        <f>+_xlfn.XLOOKUP($CT212,Budget!$A:$A,Budget!CT:CT)</f>
        <v>0</v>
      </c>
      <c r="DM212" s="106">
        <f>+_xlfn.XLOOKUP($CT212,Budget!$A:$A,Budget!CU:CU)</f>
        <v>0</v>
      </c>
      <c r="DN212" s="106">
        <f>+_xlfn.XLOOKUP($CT212,Budget!$A:$A,Budget!CV:CV)</f>
        <v>0</v>
      </c>
      <c r="DO212" s="106">
        <f>+_xlfn.XLOOKUP($CT212,Budget!$A:$A,Budget!CW:CW)</f>
        <v>0</v>
      </c>
      <c r="DP212" s="106">
        <f>+_xlfn.XLOOKUP($CT212,Budget!$A:$A,Budget!CX:CX)</f>
        <v>0</v>
      </c>
      <c r="DQ212" s="106">
        <f>+_xlfn.XLOOKUP($CT212,Budget!$A:$A,Budget!CY:CY)</f>
        <v>0</v>
      </c>
      <c r="DR212" s="106">
        <f>+_xlfn.XLOOKUP($CT212,Budget!$A:$A,Budget!CZ:CZ)</f>
        <v>0</v>
      </c>
      <c r="DS212" s="106">
        <f>+_xlfn.XLOOKUP($CT212,Budget!$A:$A,Budget!DA:DA)</f>
        <v>0</v>
      </c>
      <c r="DT212" s="106">
        <f>+_xlfn.XLOOKUP($CT212,Budget!$A:$A,Budget!DB:DB)</f>
        <v>0</v>
      </c>
      <c r="DU212" s="106">
        <f t="shared" si="2439"/>
        <v>0</v>
      </c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106">
        <f t="shared" si="2440"/>
        <v>0</v>
      </c>
      <c r="EJ212" s="16" t="str">
        <f t="shared" si="2302"/>
        <v>Rent Showroom</v>
      </c>
      <c r="EK212" s="22">
        <f>+VLOOKUP($BD212,'Jan-25'!$A:$J,10,0)</f>
        <v>0</v>
      </c>
      <c r="EL212" s="22">
        <f>+VLOOKUP($BD212,'Feb-25'!$A:$J,10,0)</f>
        <v>0</v>
      </c>
      <c r="EM212" s="22">
        <f>+VLOOKUP($BD212,'Mar-25'!$A:$J,10,0)</f>
        <v>0</v>
      </c>
      <c r="EN212" s="22">
        <f>+VLOOKUP($BD212,'Apr-25'!$A:$J,10,0)</f>
        <v>0</v>
      </c>
      <c r="EO212" s="22">
        <f>+VLOOKUP($BD212,'May-25'!$A:$J,10,0)</f>
        <v>0</v>
      </c>
      <c r="EP212" s="22">
        <f>+VLOOKUP($BD212,'June-25'!$A:$J,10,0)</f>
        <v>0</v>
      </c>
      <c r="EQ212" s="22">
        <f>+VLOOKUP($BD212,'July-25'!$A:$J,10,0)</f>
        <v>0</v>
      </c>
      <c r="ER212" s="22">
        <f>+VLOOKUP($BD212,'Aug-25'!$A:$J,10,0)</f>
        <v>0</v>
      </c>
      <c r="ES212" s="22">
        <f>+VLOOKUP($BD212,'Sep-25'!$A:$J,10,0)</f>
        <v>0</v>
      </c>
      <c r="ET212" s="22">
        <f>+VLOOKUP($BD212,'Oct-25'!$A:$J,10,0)</f>
        <v>0</v>
      </c>
      <c r="EU212" s="22">
        <f>+VLOOKUP($BD212,'Nov-25'!$A:$J,10,0)</f>
        <v>0</v>
      </c>
      <c r="EV212" s="22">
        <f>+VLOOKUP($BD212,'Dec-25'!$A:$J,10,0)</f>
        <v>0</v>
      </c>
      <c r="EW212" s="22">
        <f t="shared" si="2441"/>
        <v>0</v>
      </c>
      <c r="EX212" s="118" t="e">
        <f t="shared" si="1878"/>
        <v>#DIV/0!</v>
      </c>
      <c r="EY212" s="106">
        <f>+_xlfn.XLOOKUP($EJ212,Budget!$A:$A,Budget!DR:DR)</f>
        <v>0</v>
      </c>
      <c r="EZ212" s="106">
        <f>+_xlfn.XLOOKUP($EJ212,Budget!$A:$A,Budget!DS:DS)</f>
        <v>0</v>
      </c>
      <c r="FA212" s="106">
        <f>+_xlfn.XLOOKUP($EJ212,Budget!$A:$A,Budget!DT:DT)</f>
        <v>0</v>
      </c>
      <c r="FB212" s="106">
        <f>+_xlfn.XLOOKUP($EJ212,Budget!$A:$A,Budget!DU:DU)</f>
        <v>0</v>
      </c>
      <c r="FC212" s="106">
        <f>+_xlfn.XLOOKUP($EJ212,Budget!$A:$A,Budget!DV:DV)</f>
        <v>0</v>
      </c>
      <c r="FD212" s="106">
        <f>+_xlfn.XLOOKUP($EJ212,Budget!$A:$A,Budget!DW:DW)</f>
        <v>0</v>
      </c>
      <c r="FE212" s="106">
        <f>+_xlfn.XLOOKUP($EJ212,Budget!$A:$A,Budget!DX:DX)</f>
        <v>0</v>
      </c>
      <c r="FF212" s="106">
        <f>+_xlfn.XLOOKUP($EJ212,Budget!$A:$A,Budget!DY:DY)</f>
        <v>0</v>
      </c>
      <c r="FG212" s="106">
        <f>+_xlfn.XLOOKUP($EJ212,Budget!$A:$A,Budget!DZ:DZ)</f>
        <v>0</v>
      </c>
      <c r="FH212" s="106">
        <f>+_xlfn.XLOOKUP($EJ212,Budget!$A:$A,Budget!EA:EA)</f>
        <v>0</v>
      </c>
      <c r="FI212" s="106">
        <f>+_xlfn.XLOOKUP($EJ212,Budget!$A:$A,Budget!EB:EB)</f>
        <v>0</v>
      </c>
      <c r="FJ212" s="106">
        <f>+_xlfn.XLOOKUP($EJ212,Budget!$A:$A,Budget!EC:EC)</f>
        <v>0</v>
      </c>
      <c r="FK212" s="106">
        <f t="shared" si="2442"/>
        <v>0</v>
      </c>
    </row>
    <row r="213" spans="1:167" ht="14.45" hidden="1" customHeight="1" outlineLevel="2">
      <c r="A213" s="106">
        <f t="shared" si="2406"/>
        <v>0</v>
      </c>
      <c r="B213" s="106">
        <f t="shared" si="2406"/>
        <v>0</v>
      </c>
      <c r="C213" s="106">
        <f t="shared" si="2406"/>
        <v>0</v>
      </c>
      <c r="D213" s="106">
        <f t="shared" si="2406"/>
        <v>0</v>
      </c>
      <c r="E213" s="106">
        <f t="shared" si="2406"/>
        <v>0</v>
      </c>
      <c r="F213" s="106">
        <f t="shared" si="2406"/>
        <v>0</v>
      </c>
      <c r="G213" s="106">
        <f t="shared" si="2406"/>
        <v>9600</v>
      </c>
      <c r="H213" s="106">
        <f t="shared" si="2406"/>
        <v>9600</v>
      </c>
      <c r="I213" s="106">
        <f t="shared" si="2406"/>
        <v>9600</v>
      </c>
      <c r="J213" s="106">
        <f t="shared" si="2406"/>
        <v>9600</v>
      </c>
      <c r="K213" s="106">
        <f t="shared" si="2406"/>
        <v>9600</v>
      </c>
      <c r="L213" s="106">
        <f t="shared" si="2406"/>
        <v>9600</v>
      </c>
      <c r="M213" s="106">
        <f t="shared" si="2407"/>
        <v>57600</v>
      </c>
      <c r="N213" s="16" t="s">
        <v>179</v>
      </c>
      <c r="O213" s="106">
        <f t="shared" si="2408"/>
        <v>9600</v>
      </c>
      <c r="P213" s="106">
        <f t="shared" si="2409"/>
        <v>9600</v>
      </c>
      <c r="Q213" s="106">
        <f t="shared" si="2410"/>
        <v>9600</v>
      </c>
      <c r="R213" s="106">
        <f t="shared" si="2411"/>
        <v>9600</v>
      </c>
      <c r="S213" s="106">
        <f t="shared" si="2412"/>
        <v>9600</v>
      </c>
      <c r="T213" s="106">
        <f t="shared" si="2413"/>
        <v>9600</v>
      </c>
      <c r="U213" s="106">
        <f t="shared" si="2414"/>
        <v>9600</v>
      </c>
      <c r="V213" s="106">
        <f t="shared" si="2415"/>
        <v>9600</v>
      </c>
      <c r="W213" s="106">
        <f t="shared" si="2416"/>
        <v>9600</v>
      </c>
      <c r="X213" s="106">
        <f t="shared" si="2417"/>
        <v>9600</v>
      </c>
      <c r="Y213" s="106">
        <f t="shared" si="2418"/>
        <v>0</v>
      </c>
      <c r="Z213" s="106">
        <f t="shared" si="2419"/>
        <v>0</v>
      </c>
      <c r="AA213" s="106">
        <f t="shared" si="2420"/>
        <v>96000</v>
      </c>
      <c r="AB213" s="118">
        <f t="shared" si="1854"/>
        <v>0</v>
      </c>
      <c r="AC213" s="106">
        <f t="shared" si="2421"/>
        <v>0</v>
      </c>
      <c r="AD213" s="106">
        <f t="shared" si="2422"/>
        <v>0</v>
      </c>
      <c r="AE213" s="106">
        <f t="shared" si="2423"/>
        <v>0</v>
      </c>
      <c r="AF213" s="106">
        <f t="shared" si="2424"/>
        <v>0</v>
      </c>
      <c r="AG213" s="106">
        <f t="shared" si="2425"/>
        <v>0</v>
      </c>
      <c r="AH213" s="106">
        <f t="shared" si="2426"/>
        <v>0</v>
      </c>
      <c r="AI213" s="106">
        <f t="shared" si="2427"/>
        <v>0</v>
      </c>
      <c r="AJ213" s="106">
        <f t="shared" si="2428"/>
        <v>0</v>
      </c>
      <c r="AK213" s="106">
        <f t="shared" si="2429"/>
        <v>0</v>
      </c>
      <c r="AL213" s="106">
        <f t="shared" si="2430"/>
        <v>0</v>
      </c>
      <c r="AM213" s="106">
        <f t="shared" si="2431"/>
        <v>0</v>
      </c>
      <c r="AN213" s="106">
        <f t="shared" si="2432"/>
        <v>0</v>
      </c>
      <c r="AO213" s="106">
        <f t="shared" si="2433"/>
        <v>0</v>
      </c>
      <c r="AQ213" s="106">
        <v>0</v>
      </c>
      <c r="AR213" s="106">
        <v>0</v>
      </c>
      <c r="AS213" s="106">
        <v>0</v>
      </c>
      <c r="AT213" s="106">
        <v>0</v>
      </c>
      <c r="AU213" s="106">
        <v>0</v>
      </c>
      <c r="AV213" s="106">
        <v>0</v>
      </c>
      <c r="AW213" s="106">
        <v>0</v>
      </c>
      <c r="AX213" s="106">
        <v>0</v>
      </c>
      <c r="AY213" s="106">
        <v>0</v>
      </c>
      <c r="AZ213" s="106">
        <v>0</v>
      </c>
      <c r="BA213" s="106">
        <v>0</v>
      </c>
      <c r="BB213" s="106">
        <v>0</v>
      </c>
      <c r="BC213" s="106">
        <f t="shared" si="2434"/>
        <v>0</v>
      </c>
      <c r="BD213" s="16" t="str">
        <f t="shared" si="2230"/>
        <v>Rent Yard</v>
      </c>
      <c r="BE213" s="106">
        <f>+VLOOKUP($BD213,'Jan-25'!$A:$J,5,0)</f>
        <v>0</v>
      </c>
      <c r="BF213" s="106">
        <f>+VLOOKUP($BD213,'Feb-25'!$A:$J,5,0)</f>
        <v>0</v>
      </c>
      <c r="BG213" s="106">
        <f>+VLOOKUP($BD213,'Mar-25'!$A:$J,5,0)</f>
        <v>0</v>
      </c>
      <c r="BH213" s="106">
        <f>+VLOOKUP($BD213,'Apr-25'!$A:$J,5,0)</f>
        <v>0</v>
      </c>
      <c r="BI213" s="106">
        <f>+VLOOKUP($BD213,'May-25'!$A:$J,5,0)</f>
        <v>0</v>
      </c>
      <c r="BJ213" s="106">
        <f>+VLOOKUP($BD213,'June-25'!$A:$J,5,0)</f>
        <v>0</v>
      </c>
      <c r="BK213" s="106">
        <f>+VLOOKUP($BD213,'July-25'!$A:$J,5,0)</f>
        <v>0</v>
      </c>
      <c r="BL213" s="106">
        <f>+VLOOKUP($BD213,'Aug-25'!$A:$J,5,0)</f>
        <v>0</v>
      </c>
      <c r="BM213" s="106">
        <f>+VLOOKUP($BD213,'Sep-25'!$A:$J,5,0)</f>
        <v>0</v>
      </c>
      <c r="BN213" s="106">
        <f>+VLOOKUP($BD213,'Oct-25'!$A:$J,5,0)</f>
        <v>0</v>
      </c>
      <c r="BO213" s="106">
        <f>+VLOOKUP($BD213,'Nov-25'!$A:$J,5,0)</f>
        <v>0</v>
      </c>
      <c r="BP213" s="106">
        <f>+VLOOKUP($BD213,'Dec-25'!$A:$J,5,0)</f>
        <v>0</v>
      </c>
      <c r="BQ213" s="106">
        <f t="shared" si="2435"/>
        <v>0</v>
      </c>
      <c r="BR213" s="118">
        <f t="shared" si="1870"/>
        <v>0</v>
      </c>
      <c r="BS213" s="106">
        <f>+_xlfn.XLOOKUP($BD213,Budget!$A:$A,Budget!BD:BD)</f>
        <v>0</v>
      </c>
      <c r="BT213" s="106">
        <f>+_xlfn.XLOOKUP($BD213,Budget!$A:$A,Budget!BE:BE)</f>
        <v>0</v>
      </c>
      <c r="BU213" s="106">
        <f>+_xlfn.XLOOKUP($BD213,Budget!$A:$A,Budget!BF:BF)</f>
        <v>0</v>
      </c>
      <c r="BV213" s="106">
        <f>+_xlfn.XLOOKUP($BD213,Budget!$A:$A,Budget!BG:BG)</f>
        <v>0</v>
      </c>
      <c r="BW213" s="106">
        <f>+_xlfn.XLOOKUP($BD213,Budget!$A:$A,Budget!BH:BH)</f>
        <v>0</v>
      </c>
      <c r="BX213" s="106">
        <f>+_xlfn.XLOOKUP($BD213,Budget!$A:$A,Budget!BI:BI)</f>
        <v>0</v>
      </c>
      <c r="BY213" s="106">
        <f>+_xlfn.XLOOKUP($BD213,Budget!$A:$A,Budget!BJ:BJ)</f>
        <v>0</v>
      </c>
      <c r="BZ213" s="106">
        <f>+_xlfn.XLOOKUP($BD213,Budget!$A:$A,Budget!BK:BK)</f>
        <v>0</v>
      </c>
      <c r="CA213" s="106">
        <f>+_xlfn.XLOOKUP($BD213,Budget!$A:$A,Budget!BL:BL)</f>
        <v>0</v>
      </c>
      <c r="CB213" s="106">
        <f>+_xlfn.XLOOKUP($BD213,Budget!$A:$A,Budget!BM:BM)</f>
        <v>0</v>
      </c>
      <c r="CC213" s="106">
        <f>+_xlfn.XLOOKUP($BD213,Budget!$A:$A,Budget!BN:BN)</f>
        <v>0</v>
      </c>
      <c r="CD213" s="106">
        <f>+_xlfn.XLOOKUP($BD213,Budget!$A:$A,Budget!BO:BO)</f>
        <v>0</v>
      </c>
      <c r="CE213" s="106">
        <f t="shared" si="2436"/>
        <v>0</v>
      </c>
      <c r="CF213" s="106"/>
      <c r="CG213" s="106">
        <v>0</v>
      </c>
      <c r="CH213" s="106">
        <v>0</v>
      </c>
      <c r="CI213" s="106">
        <v>0</v>
      </c>
      <c r="CJ213" s="106">
        <v>0</v>
      </c>
      <c r="CK213" s="106">
        <v>0</v>
      </c>
      <c r="CL213" s="106">
        <v>0</v>
      </c>
      <c r="CM213" s="106">
        <v>9600</v>
      </c>
      <c r="CN213" s="106">
        <v>9600</v>
      </c>
      <c r="CO213" s="106">
        <v>9600</v>
      </c>
      <c r="CP213" s="106">
        <v>9600</v>
      </c>
      <c r="CQ213" s="106">
        <v>9600</v>
      </c>
      <c r="CR213" s="106">
        <v>9600</v>
      </c>
      <c r="CS213" s="106">
        <f t="shared" si="2437"/>
        <v>57600</v>
      </c>
      <c r="CT213" s="16" t="str">
        <f t="shared" si="2231"/>
        <v>Rent Yard</v>
      </c>
      <c r="CU213" s="106">
        <f>+VLOOKUP($BD213,'Jan-25'!$A:$J,8,0)</f>
        <v>9600</v>
      </c>
      <c r="CV213" s="106">
        <f>+VLOOKUP($BD213,'Feb-25'!$A:$J,8,0)</f>
        <v>9600</v>
      </c>
      <c r="CW213" s="106">
        <f>+VLOOKUP($BD213,'Mar-25'!$A:$J,8,0)</f>
        <v>9600</v>
      </c>
      <c r="CX213" s="106">
        <f>+VLOOKUP($BD213,'Apr-25'!$A:$J,8,0)</f>
        <v>9600</v>
      </c>
      <c r="CY213" s="106">
        <f>+VLOOKUP($BD213,'May-25'!$A:$J,8,0)</f>
        <v>9600</v>
      </c>
      <c r="CZ213" s="106">
        <f>+VLOOKUP($BD213,'June-25'!$A:$J,8,0)</f>
        <v>9600</v>
      </c>
      <c r="DA213" s="106">
        <f>+VLOOKUP($BD213,'July-25'!$A:$J,8,0)</f>
        <v>9600</v>
      </c>
      <c r="DB213" s="106">
        <f>+VLOOKUP($BD213,'Aug-25'!$A:$J,8,0)</f>
        <v>9600</v>
      </c>
      <c r="DC213" s="106">
        <f>+VLOOKUP($BD213,'Sep-25'!$A:$J,8,0)</f>
        <v>9600</v>
      </c>
      <c r="DD213" s="106">
        <f>+VLOOKUP($BD213,'Oct-25'!$A:$J,8,0)</f>
        <v>9600</v>
      </c>
      <c r="DE213" s="106">
        <f>+VLOOKUP($BD213,'Nov-25'!$A:$J,8,0)</f>
        <v>0</v>
      </c>
      <c r="DF213" s="106">
        <f>+VLOOKUP($BD213,'Dec-25'!$A:$J,8,0)</f>
        <v>0</v>
      </c>
      <c r="DG213" s="106">
        <f t="shared" si="2438"/>
        <v>96000</v>
      </c>
      <c r="DH213" s="118">
        <f t="shared" si="1874"/>
        <v>0</v>
      </c>
      <c r="DI213" s="106">
        <f>+_xlfn.XLOOKUP($CT213,Budget!$A:$A,Budget!CQ:CQ)</f>
        <v>0</v>
      </c>
      <c r="DJ213" s="106">
        <f>+_xlfn.XLOOKUP($CT213,Budget!$A:$A,Budget!CR:CR)</f>
        <v>0</v>
      </c>
      <c r="DK213" s="106">
        <f>+_xlfn.XLOOKUP($CT213,Budget!$A:$A,Budget!CS:CS)</f>
        <v>0</v>
      </c>
      <c r="DL213" s="106">
        <f>+_xlfn.XLOOKUP($CT213,Budget!$A:$A,Budget!CT:CT)</f>
        <v>0</v>
      </c>
      <c r="DM213" s="106">
        <f>+_xlfn.XLOOKUP($CT213,Budget!$A:$A,Budget!CU:CU)</f>
        <v>0</v>
      </c>
      <c r="DN213" s="106">
        <f>+_xlfn.XLOOKUP($CT213,Budget!$A:$A,Budget!CV:CV)</f>
        <v>0</v>
      </c>
      <c r="DO213" s="106">
        <f>+_xlfn.XLOOKUP($CT213,Budget!$A:$A,Budget!CW:CW)</f>
        <v>0</v>
      </c>
      <c r="DP213" s="106">
        <f>+_xlfn.XLOOKUP($CT213,Budget!$A:$A,Budget!CX:CX)</f>
        <v>0</v>
      </c>
      <c r="DQ213" s="106">
        <f>+_xlfn.XLOOKUP($CT213,Budget!$A:$A,Budget!CY:CY)</f>
        <v>0</v>
      </c>
      <c r="DR213" s="106">
        <f>+_xlfn.XLOOKUP($CT213,Budget!$A:$A,Budget!CZ:CZ)</f>
        <v>0</v>
      </c>
      <c r="DS213" s="106">
        <f>+_xlfn.XLOOKUP($CT213,Budget!$A:$A,Budget!DA:DA)</f>
        <v>0</v>
      </c>
      <c r="DT213" s="106">
        <f>+_xlfn.XLOOKUP($CT213,Budget!$A:$A,Budget!DB:DB)</f>
        <v>0</v>
      </c>
      <c r="DU213" s="106">
        <f t="shared" si="2439"/>
        <v>0</v>
      </c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106">
        <f t="shared" si="2440"/>
        <v>0</v>
      </c>
      <c r="EJ213" s="16" t="str">
        <f t="shared" si="2302"/>
        <v>Rent Yard</v>
      </c>
      <c r="EK213" s="22">
        <f>+VLOOKUP($BD213,'Jan-25'!$A:$J,10,0)</f>
        <v>0</v>
      </c>
      <c r="EL213" s="22">
        <f>+VLOOKUP($BD213,'Feb-25'!$A:$J,10,0)</f>
        <v>0</v>
      </c>
      <c r="EM213" s="22">
        <f>+VLOOKUP($BD213,'Mar-25'!$A:$J,10,0)</f>
        <v>0</v>
      </c>
      <c r="EN213" s="22">
        <f>+VLOOKUP($BD213,'Apr-25'!$A:$J,10,0)</f>
        <v>0</v>
      </c>
      <c r="EO213" s="22">
        <f>+VLOOKUP($BD213,'May-25'!$A:$J,10,0)</f>
        <v>0</v>
      </c>
      <c r="EP213" s="22">
        <f>+VLOOKUP($BD213,'June-25'!$A:$J,10,0)</f>
        <v>0</v>
      </c>
      <c r="EQ213" s="22">
        <f>+VLOOKUP($BD213,'July-25'!$A:$J,10,0)</f>
        <v>0</v>
      </c>
      <c r="ER213" s="22">
        <f>+VLOOKUP($BD213,'Aug-25'!$A:$J,10,0)</f>
        <v>0</v>
      </c>
      <c r="ES213" s="22">
        <f>+VLOOKUP($BD213,'Sep-25'!$A:$J,10,0)</f>
        <v>0</v>
      </c>
      <c r="ET213" s="22">
        <f>+VLOOKUP($BD213,'Oct-25'!$A:$J,10,0)</f>
        <v>0</v>
      </c>
      <c r="EU213" s="22">
        <f>+VLOOKUP($BD213,'Nov-25'!$A:$J,10,0)</f>
        <v>0</v>
      </c>
      <c r="EV213" s="22">
        <f>+VLOOKUP($BD213,'Dec-25'!$A:$J,10,0)</f>
        <v>0</v>
      </c>
      <c r="EW213" s="22">
        <f t="shared" si="2441"/>
        <v>0</v>
      </c>
      <c r="EX213" s="118" t="e">
        <f t="shared" si="1878"/>
        <v>#DIV/0!</v>
      </c>
      <c r="EY213" s="106">
        <f>+_xlfn.XLOOKUP($EJ213,Budget!$A:$A,Budget!DR:DR)</f>
        <v>0</v>
      </c>
      <c r="EZ213" s="106">
        <f>+_xlfn.XLOOKUP($EJ213,Budget!$A:$A,Budget!DS:DS)</f>
        <v>0</v>
      </c>
      <c r="FA213" s="106">
        <f>+_xlfn.XLOOKUP($EJ213,Budget!$A:$A,Budget!DT:DT)</f>
        <v>0</v>
      </c>
      <c r="FB213" s="106">
        <f>+_xlfn.XLOOKUP($EJ213,Budget!$A:$A,Budget!DU:DU)</f>
        <v>0</v>
      </c>
      <c r="FC213" s="106">
        <f>+_xlfn.XLOOKUP($EJ213,Budget!$A:$A,Budget!DV:DV)</f>
        <v>0</v>
      </c>
      <c r="FD213" s="106">
        <f>+_xlfn.XLOOKUP($EJ213,Budget!$A:$A,Budget!DW:DW)</f>
        <v>0</v>
      </c>
      <c r="FE213" s="106">
        <f>+_xlfn.XLOOKUP($EJ213,Budget!$A:$A,Budget!DX:DX)</f>
        <v>0</v>
      </c>
      <c r="FF213" s="106">
        <f>+_xlfn.XLOOKUP($EJ213,Budget!$A:$A,Budget!DY:DY)</f>
        <v>0</v>
      </c>
      <c r="FG213" s="106">
        <f>+_xlfn.XLOOKUP($EJ213,Budget!$A:$A,Budget!DZ:DZ)</f>
        <v>0</v>
      </c>
      <c r="FH213" s="106">
        <f>+_xlfn.XLOOKUP($EJ213,Budget!$A:$A,Budget!EA:EA)</f>
        <v>0</v>
      </c>
      <c r="FI213" s="106">
        <f>+_xlfn.XLOOKUP($EJ213,Budget!$A:$A,Budget!EB:EB)</f>
        <v>0</v>
      </c>
      <c r="FJ213" s="106">
        <f>+_xlfn.XLOOKUP($EJ213,Budget!$A:$A,Budget!EC:EC)</f>
        <v>0</v>
      </c>
      <c r="FK213" s="106">
        <f t="shared" si="2442"/>
        <v>0</v>
      </c>
    </row>
    <row r="214" spans="1:167" ht="14.45" hidden="1" customHeight="1" outlineLevel="1" collapsed="1">
      <c r="A214" s="58">
        <f t="shared" ref="A214:L214" si="2443">+A215+A216</f>
        <v>1140</v>
      </c>
      <c r="B214" s="58">
        <f t="shared" si="2443"/>
        <v>600</v>
      </c>
      <c r="C214" s="58">
        <f t="shared" si="2443"/>
        <v>1020</v>
      </c>
      <c r="D214" s="58">
        <f t="shared" si="2443"/>
        <v>400</v>
      </c>
      <c r="E214" s="58">
        <f t="shared" si="2443"/>
        <v>280</v>
      </c>
      <c r="F214" s="58">
        <f t="shared" si="2443"/>
        <v>480</v>
      </c>
      <c r="G214" s="58">
        <f t="shared" si="2443"/>
        <v>180</v>
      </c>
      <c r="H214" s="58">
        <f t="shared" si="2443"/>
        <v>720</v>
      </c>
      <c r="I214" s="58">
        <f t="shared" si="2443"/>
        <v>680</v>
      </c>
      <c r="J214" s="58">
        <f t="shared" si="2443"/>
        <v>160</v>
      </c>
      <c r="K214" s="58">
        <f t="shared" si="2443"/>
        <v>620</v>
      </c>
      <c r="L214" s="58">
        <f t="shared" si="2443"/>
        <v>260</v>
      </c>
      <c r="M214" s="58"/>
      <c r="N214" s="20" t="s">
        <v>180</v>
      </c>
      <c r="O214" s="58">
        <f t="shared" ref="O214" si="2444">+O215+O216</f>
        <v>460</v>
      </c>
      <c r="P214" s="58">
        <f t="shared" ref="P214" si="2445">+P215+P216</f>
        <v>3900</v>
      </c>
      <c r="Q214" s="58">
        <f t="shared" ref="Q214" si="2446">+Q215+Q216</f>
        <v>470</v>
      </c>
      <c r="R214" s="58">
        <f t="shared" ref="R214" si="2447">+R215+R216</f>
        <v>380</v>
      </c>
      <c r="S214" s="58">
        <f t="shared" ref="S214" si="2448">+S215+S216</f>
        <v>120</v>
      </c>
      <c r="T214" s="58">
        <f t="shared" ref="T214" si="2449">+T215+T216</f>
        <v>380</v>
      </c>
      <c r="U214" s="58">
        <f t="shared" ref="U214" si="2450">+U215+U216</f>
        <v>1140</v>
      </c>
      <c r="V214" s="58">
        <f t="shared" ref="V214" si="2451">+V215+V216</f>
        <v>428</v>
      </c>
      <c r="W214" s="58">
        <f t="shared" ref="W214" si="2452">+W215+W216</f>
        <v>370</v>
      </c>
      <c r="X214" s="58">
        <f t="shared" ref="X214" si="2453">+X215+X216</f>
        <v>40</v>
      </c>
      <c r="Y214" s="58">
        <f t="shared" ref="Y214" si="2454">+Y215+Y216</f>
        <v>0</v>
      </c>
      <c r="Z214" s="58">
        <f t="shared" ref="Z214" si="2455">+Z215+Z216</f>
        <v>0</v>
      </c>
      <c r="AA214" s="58"/>
      <c r="AB214" s="118">
        <f t="shared" si="1854"/>
        <v>-0.96296296296296291</v>
      </c>
      <c r="AC214" s="58">
        <f t="shared" ref="AC214" si="2456">+AC215+AC216</f>
        <v>1080</v>
      </c>
      <c r="AD214" s="58">
        <f t="shared" ref="AD214" si="2457">+AD215+AD216</f>
        <v>1080</v>
      </c>
      <c r="AE214" s="58">
        <f t="shared" ref="AE214" si="2458">+AE215+AE216</f>
        <v>1080</v>
      </c>
      <c r="AF214" s="58">
        <f t="shared" ref="AF214" si="2459">+AF215+AF216</f>
        <v>1080</v>
      </c>
      <c r="AG214" s="58">
        <f t="shared" ref="AG214" si="2460">+AG215+AG216</f>
        <v>1080</v>
      </c>
      <c r="AH214" s="58">
        <f t="shared" ref="AH214" si="2461">+AH215+AH216</f>
        <v>1080</v>
      </c>
      <c r="AI214" s="58">
        <f t="shared" ref="AI214" si="2462">+AI215+AI216</f>
        <v>1080</v>
      </c>
      <c r="AJ214" s="58">
        <f t="shared" ref="AJ214" si="2463">+AJ215+AJ216</f>
        <v>1080</v>
      </c>
      <c r="AK214" s="58">
        <f t="shared" ref="AK214" si="2464">+AK215+AK216</f>
        <v>1080</v>
      </c>
      <c r="AL214" s="58">
        <f t="shared" ref="AL214" si="2465">+AL215+AL216</f>
        <v>1080</v>
      </c>
      <c r="AM214" s="58">
        <f t="shared" ref="AM214" si="2466">+AM215+AM216</f>
        <v>1080</v>
      </c>
      <c r="AN214" s="58">
        <f t="shared" ref="AN214:AO214" si="2467">+AN215+AN216</f>
        <v>1080</v>
      </c>
      <c r="AO214" s="58">
        <f t="shared" si="2467"/>
        <v>12960</v>
      </c>
      <c r="AQ214" s="58">
        <f t="shared" ref="AQ214:CD214" si="2468">+AQ215+AQ216</f>
        <v>0</v>
      </c>
      <c r="AR214" s="58">
        <f t="shared" si="2468"/>
        <v>0</v>
      </c>
      <c r="AS214" s="58">
        <f t="shared" si="2468"/>
        <v>200</v>
      </c>
      <c r="AT214" s="58">
        <f t="shared" si="2468"/>
        <v>0</v>
      </c>
      <c r="AU214" s="58">
        <f t="shared" si="2468"/>
        <v>0</v>
      </c>
      <c r="AV214" s="58">
        <f t="shared" si="2468"/>
        <v>0</v>
      </c>
      <c r="AW214" s="58">
        <f t="shared" si="2468"/>
        <v>0</v>
      </c>
      <c r="AX214" s="58">
        <f t="shared" si="2468"/>
        <v>0</v>
      </c>
      <c r="AY214" s="58">
        <f t="shared" si="2468"/>
        <v>0</v>
      </c>
      <c r="AZ214" s="58">
        <f t="shared" si="2468"/>
        <v>0</v>
      </c>
      <c r="BA214" s="58">
        <f t="shared" si="2468"/>
        <v>0</v>
      </c>
      <c r="BB214" s="58">
        <f t="shared" si="2468"/>
        <v>0</v>
      </c>
      <c r="BC214" s="58">
        <f>+SUM(AQ214:BB214)</f>
        <v>200</v>
      </c>
      <c r="BD214" s="20" t="str">
        <f t="shared" si="2230"/>
        <v>Donation</v>
      </c>
      <c r="BE214" s="58">
        <f t="shared" si="2468"/>
        <v>0</v>
      </c>
      <c r="BF214" s="58">
        <f t="shared" ref="BF214:BP214" si="2469">+BF215+BF216</f>
        <v>2400</v>
      </c>
      <c r="BG214" s="58">
        <f t="shared" si="2469"/>
        <v>0</v>
      </c>
      <c r="BH214" s="58">
        <f t="shared" si="2469"/>
        <v>0</v>
      </c>
      <c r="BI214" s="58">
        <f t="shared" si="2469"/>
        <v>0</v>
      </c>
      <c r="BJ214" s="58">
        <f t="shared" si="2469"/>
        <v>0</v>
      </c>
      <c r="BK214" s="58">
        <f t="shared" si="2469"/>
        <v>600</v>
      </c>
      <c r="BL214" s="58">
        <f t="shared" si="2469"/>
        <v>0</v>
      </c>
      <c r="BM214" s="58">
        <f t="shared" si="2469"/>
        <v>0</v>
      </c>
      <c r="BN214" s="58">
        <f t="shared" si="2469"/>
        <v>0</v>
      </c>
      <c r="BO214" s="58">
        <f t="shared" si="2469"/>
        <v>0</v>
      </c>
      <c r="BP214" s="58">
        <f t="shared" si="2469"/>
        <v>0</v>
      </c>
      <c r="BQ214" s="58">
        <f t="shared" si="2468"/>
        <v>3000</v>
      </c>
      <c r="BR214" s="118">
        <f t="shared" si="1870"/>
        <v>-1</v>
      </c>
      <c r="BS214" s="58">
        <f t="shared" si="2468"/>
        <v>720</v>
      </c>
      <c r="BT214" s="58">
        <f t="shared" si="2468"/>
        <v>720</v>
      </c>
      <c r="BU214" s="58">
        <f t="shared" si="2468"/>
        <v>720</v>
      </c>
      <c r="BV214" s="58">
        <f t="shared" si="2468"/>
        <v>720</v>
      </c>
      <c r="BW214" s="58">
        <f t="shared" si="2468"/>
        <v>720</v>
      </c>
      <c r="BX214" s="58">
        <f t="shared" si="2468"/>
        <v>720</v>
      </c>
      <c r="BY214" s="58">
        <f t="shared" si="2468"/>
        <v>720</v>
      </c>
      <c r="BZ214" s="58">
        <f t="shared" si="2468"/>
        <v>720</v>
      </c>
      <c r="CA214" s="58">
        <f t="shared" si="2468"/>
        <v>720</v>
      </c>
      <c r="CB214" s="58">
        <f t="shared" si="2468"/>
        <v>720</v>
      </c>
      <c r="CC214" s="58">
        <f t="shared" si="2468"/>
        <v>720</v>
      </c>
      <c r="CD214" s="58">
        <f t="shared" si="2468"/>
        <v>720</v>
      </c>
      <c r="CE214" s="58">
        <f>+SUM(BS214:CD214)</f>
        <v>8640</v>
      </c>
      <c r="CF214" s="106"/>
      <c r="CG214" s="58">
        <f t="shared" ref="CG214:CR214" si="2470">+CG215+CG216</f>
        <v>1140</v>
      </c>
      <c r="CH214" s="58">
        <f t="shared" si="2470"/>
        <v>600</v>
      </c>
      <c r="CI214" s="58">
        <f t="shared" si="2470"/>
        <v>820</v>
      </c>
      <c r="CJ214" s="58">
        <f t="shared" si="2470"/>
        <v>400</v>
      </c>
      <c r="CK214" s="58">
        <f t="shared" si="2470"/>
        <v>280</v>
      </c>
      <c r="CL214" s="58">
        <f t="shared" si="2470"/>
        <v>480</v>
      </c>
      <c r="CM214" s="58">
        <f t="shared" si="2470"/>
        <v>180</v>
      </c>
      <c r="CN214" s="58">
        <f t="shared" si="2470"/>
        <v>720</v>
      </c>
      <c r="CO214" s="58">
        <f t="shared" si="2470"/>
        <v>680</v>
      </c>
      <c r="CP214" s="58">
        <f t="shared" si="2470"/>
        <v>160</v>
      </c>
      <c r="CQ214" s="58">
        <f t="shared" si="2470"/>
        <v>620</v>
      </c>
      <c r="CR214" s="58">
        <f t="shared" si="2470"/>
        <v>260</v>
      </c>
      <c r="CS214" s="58">
        <f>+SUM(CG214:CR214)</f>
        <v>6340</v>
      </c>
      <c r="CT214" s="20" t="str">
        <f t="shared" si="2231"/>
        <v>Donation</v>
      </c>
      <c r="CU214" s="58">
        <f t="shared" ref="CU214:DT214" si="2471">+CU215+CU216</f>
        <v>460</v>
      </c>
      <c r="CV214" s="58">
        <f t="shared" si="2471"/>
        <v>1500</v>
      </c>
      <c r="CW214" s="58">
        <f t="shared" si="2471"/>
        <v>470</v>
      </c>
      <c r="CX214" s="58">
        <f t="shared" si="2471"/>
        <v>380</v>
      </c>
      <c r="CY214" s="58">
        <f t="shared" si="2471"/>
        <v>120</v>
      </c>
      <c r="CZ214" s="58">
        <f t="shared" si="2471"/>
        <v>380</v>
      </c>
      <c r="DA214" s="58">
        <f t="shared" si="2471"/>
        <v>540</v>
      </c>
      <c r="DB214" s="58">
        <f t="shared" si="2471"/>
        <v>428</v>
      </c>
      <c r="DC214" s="58">
        <f t="shared" si="2471"/>
        <v>370</v>
      </c>
      <c r="DD214" s="58">
        <f t="shared" si="2471"/>
        <v>40</v>
      </c>
      <c r="DE214" s="58">
        <f t="shared" si="2471"/>
        <v>0</v>
      </c>
      <c r="DF214" s="58">
        <f t="shared" si="2471"/>
        <v>0</v>
      </c>
      <c r="DG214" s="58">
        <f t="shared" si="2471"/>
        <v>4688</v>
      </c>
      <c r="DH214" s="118">
        <f t="shared" si="1874"/>
        <v>-0.88888888888888884</v>
      </c>
      <c r="DI214" s="58">
        <f t="shared" si="2471"/>
        <v>360</v>
      </c>
      <c r="DJ214" s="58">
        <f t="shared" si="2471"/>
        <v>360</v>
      </c>
      <c r="DK214" s="58">
        <f t="shared" si="2471"/>
        <v>360</v>
      </c>
      <c r="DL214" s="58">
        <f t="shared" si="2471"/>
        <v>360</v>
      </c>
      <c r="DM214" s="58">
        <f t="shared" si="2471"/>
        <v>360</v>
      </c>
      <c r="DN214" s="58">
        <f t="shared" si="2471"/>
        <v>360</v>
      </c>
      <c r="DO214" s="58">
        <f t="shared" si="2471"/>
        <v>360</v>
      </c>
      <c r="DP214" s="58">
        <f t="shared" si="2471"/>
        <v>360</v>
      </c>
      <c r="DQ214" s="58">
        <f t="shared" si="2471"/>
        <v>360</v>
      </c>
      <c r="DR214" s="58">
        <f t="shared" si="2471"/>
        <v>360</v>
      </c>
      <c r="DS214" s="58">
        <f t="shared" si="2471"/>
        <v>360</v>
      </c>
      <c r="DT214" s="58">
        <f t="shared" si="2471"/>
        <v>360</v>
      </c>
      <c r="DU214" s="58">
        <f>+SUM(DI214:DT214)</f>
        <v>4320</v>
      </c>
      <c r="DW214" s="28">
        <f t="shared" ref="DW214:EH214" si="2472">+DW215+DW216</f>
        <v>0</v>
      </c>
      <c r="DX214" s="28">
        <f t="shared" si="2472"/>
        <v>0</v>
      </c>
      <c r="DY214" s="28">
        <f t="shared" si="2472"/>
        <v>0</v>
      </c>
      <c r="DZ214" s="28">
        <f t="shared" si="2472"/>
        <v>0</v>
      </c>
      <c r="EA214" s="28">
        <f t="shared" si="2472"/>
        <v>0</v>
      </c>
      <c r="EB214" s="28">
        <f t="shared" si="2472"/>
        <v>0</v>
      </c>
      <c r="EC214" s="28">
        <f t="shared" si="2472"/>
        <v>0</v>
      </c>
      <c r="ED214" s="28">
        <f t="shared" si="2472"/>
        <v>0</v>
      </c>
      <c r="EE214" s="28">
        <f t="shared" si="2472"/>
        <v>0</v>
      </c>
      <c r="EF214" s="28">
        <f t="shared" si="2472"/>
        <v>0</v>
      </c>
      <c r="EG214" s="28">
        <f t="shared" si="2472"/>
        <v>0</v>
      </c>
      <c r="EH214" s="28">
        <f t="shared" si="2472"/>
        <v>0</v>
      </c>
      <c r="EI214" s="58">
        <f>+SUM(DW214:EH214)</f>
        <v>0</v>
      </c>
      <c r="EJ214" s="20" t="str">
        <f t="shared" si="2302"/>
        <v>Donation</v>
      </c>
      <c r="EK214" s="28">
        <f t="shared" ref="EK214:EV214" si="2473">+EK215+EK216</f>
        <v>0</v>
      </c>
      <c r="EL214" s="28">
        <f t="shared" si="2473"/>
        <v>0</v>
      </c>
      <c r="EM214" s="28">
        <f t="shared" si="2473"/>
        <v>0</v>
      </c>
      <c r="EN214" s="28">
        <f t="shared" si="2473"/>
        <v>0</v>
      </c>
      <c r="EO214" s="28">
        <f t="shared" si="2473"/>
        <v>0</v>
      </c>
      <c r="EP214" s="28">
        <f t="shared" si="2473"/>
        <v>0</v>
      </c>
      <c r="EQ214" s="28">
        <f t="shared" si="2473"/>
        <v>0</v>
      </c>
      <c r="ER214" s="28">
        <f t="shared" si="2473"/>
        <v>0</v>
      </c>
      <c r="ES214" s="28">
        <f t="shared" si="2473"/>
        <v>0</v>
      </c>
      <c r="ET214" s="28">
        <f t="shared" si="2473"/>
        <v>0</v>
      </c>
      <c r="EU214" s="28">
        <f t="shared" si="2473"/>
        <v>0</v>
      </c>
      <c r="EV214" s="28">
        <f t="shared" si="2473"/>
        <v>0</v>
      </c>
      <c r="EW214" s="28">
        <f t="shared" ref="EW214" si="2474">+EW215+EW216</f>
        <v>0</v>
      </c>
      <c r="EX214" s="118" t="e">
        <f t="shared" si="1878"/>
        <v>#DIV/0!</v>
      </c>
      <c r="EY214" s="58">
        <f t="shared" ref="EY214:FJ214" si="2475">+EY215+EY216</f>
        <v>0</v>
      </c>
      <c r="EZ214" s="58">
        <f t="shared" si="2475"/>
        <v>0</v>
      </c>
      <c r="FA214" s="58">
        <f t="shared" si="2475"/>
        <v>0</v>
      </c>
      <c r="FB214" s="58">
        <f t="shared" si="2475"/>
        <v>0</v>
      </c>
      <c r="FC214" s="58">
        <f t="shared" si="2475"/>
        <v>0</v>
      </c>
      <c r="FD214" s="58">
        <f t="shared" si="2475"/>
        <v>0</v>
      </c>
      <c r="FE214" s="58">
        <f t="shared" si="2475"/>
        <v>0</v>
      </c>
      <c r="FF214" s="58">
        <f t="shared" si="2475"/>
        <v>0</v>
      </c>
      <c r="FG214" s="58">
        <f t="shared" si="2475"/>
        <v>0</v>
      </c>
      <c r="FH214" s="58">
        <f t="shared" si="2475"/>
        <v>0</v>
      </c>
      <c r="FI214" s="58">
        <f t="shared" si="2475"/>
        <v>0</v>
      </c>
      <c r="FJ214" s="58">
        <f t="shared" si="2475"/>
        <v>0</v>
      </c>
      <c r="FK214" s="58">
        <f>+SUM(EY214:FJ214)</f>
        <v>0</v>
      </c>
    </row>
    <row r="215" spans="1:167" ht="14.45" hidden="1" customHeight="1" outlineLevel="2">
      <c r="A215" s="106">
        <f t="shared" ref="A215:L217" si="2476">+AQ215+CG215+DW215</f>
        <v>0</v>
      </c>
      <c r="B215" s="106">
        <f t="shared" si="2476"/>
        <v>0</v>
      </c>
      <c r="C215" s="106">
        <f t="shared" si="2476"/>
        <v>0</v>
      </c>
      <c r="D215" s="106">
        <f t="shared" si="2476"/>
        <v>0</v>
      </c>
      <c r="E215" s="106">
        <f t="shared" si="2476"/>
        <v>0</v>
      </c>
      <c r="F215" s="106">
        <f t="shared" si="2476"/>
        <v>0</v>
      </c>
      <c r="G215" s="106">
        <f t="shared" si="2476"/>
        <v>0</v>
      </c>
      <c r="H215" s="106">
        <f t="shared" si="2476"/>
        <v>0</v>
      </c>
      <c r="I215" s="106">
        <f t="shared" si="2476"/>
        <v>0</v>
      </c>
      <c r="J215" s="106">
        <f t="shared" si="2476"/>
        <v>0</v>
      </c>
      <c r="K215" s="106">
        <f t="shared" si="2476"/>
        <v>0</v>
      </c>
      <c r="L215" s="106">
        <f t="shared" si="2476"/>
        <v>0</v>
      </c>
      <c r="M215" s="106">
        <f t="shared" ref="M215:M217" si="2477">+SUM(A215:L215)</f>
        <v>0</v>
      </c>
      <c r="N215" s="16" t="s">
        <v>181</v>
      </c>
      <c r="O215" s="106">
        <f t="shared" ref="O215:O217" si="2478">+BE215+CU215+EK215</f>
        <v>0</v>
      </c>
      <c r="P215" s="106">
        <f t="shared" ref="P215:P217" si="2479">+BF215+CV215+EL215</f>
        <v>0</v>
      </c>
      <c r="Q215" s="106">
        <f t="shared" ref="Q215:Q217" si="2480">+BG215+CW215+EM215</f>
        <v>0</v>
      </c>
      <c r="R215" s="106">
        <f t="shared" ref="R215:R217" si="2481">+BH215+CX215+EN215</f>
        <v>0</v>
      </c>
      <c r="S215" s="106">
        <f t="shared" ref="S215:S217" si="2482">+BI215+CY215+EO215</f>
        <v>0</v>
      </c>
      <c r="T215" s="106">
        <f t="shared" ref="T215:T217" si="2483">+BJ215+CZ215+EP215</f>
        <v>0</v>
      </c>
      <c r="U215" s="106">
        <f t="shared" ref="U215:U217" si="2484">+BK215+DA215+EQ215</f>
        <v>0</v>
      </c>
      <c r="V215" s="106">
        <f t="shared" ref="V215:V217" si="2485">+BL215+DB215+ER215</f>
        <v>0</v>
      </c>
      <c r="W215" s="106">
        <f t="shared" ref="W215:W217" si="2486">+BM215+DC215+ES215</f>
        <v>0</v>
      </c>
      <c r="X215" s="106">
        <f t="shared" ref="X215:X217" si="2487">+BN215+DD215+ET215</f>
        <v>0</v>
      </c>
      <c r="Y215" s="106">
        <f t="shared" ref="Y215:Y217" si="2488">+BO215+DE215+EU215</f>
        <v>0</v>
      </c>
      <c r="Z215" s="106">
        <f t="shared" ref="Z215:Z217" si="2489">+BP215+DF215+EV215</f>
        <v>0</v>
      </c>
      <c r="AA215" s="106">
        <f t="shared" ref="AA215:AA217" si="2490">+SUM(O215:Z215)</f>
        <v>0</v>
      </c>
      <c r="AB215" s="118">
        <f t="shared" si="1854"/>
        <v>0</v>
      </c>
      <c r="AC215" s="106">
        <f t="shared" ref="AC215:AC217" si="2491">+BS215+DI215+EY215</f>
        <v>0</v>
      </c>
      <c r="AD215" s="106">
        <f t="shared" ref="AD215:AD217" si="2492">+BT215+DJ215+EZ215</f>
        <v>0</v>
      </c>
      <c r="AE215" s="106">
        <f t="shared" ref="AE215:AE217" si="2493">+BU215+DK215+FA215</f>
        <v>0</v>
      </c>
      <c r="AF215" s="106">
        <f t="shared" ref="AF215:AF217" si="2494">+BV215+DL215+FB215</f>
        <v>0</v>
      </c>
      <c r="AG215" s="106">
        <f t="shared" ref="AG215:AG217" si="2495">+BW215+DM215+FC215</f>
        <v>0</v>
      </c>
      <c r="AH215" s="106">
        <f t="shared" ref="AH215:AH217" si="2496">+BX215+DN215+FD215</f>
        <v>0</v>
      </c>
      <c r="AI215" s="106">
        <f t="shared" ref="AI215:AI217" si="2497">+BY215+DO215+FE215</f>
        <v>0</v>
      </c>
      <c r="AJ215" s="106">
        <f t="shared" ref="AJ215:AJ217" si="2498">+BZ215+DP215+FF215</f>
        <v>0</v>
      </c>
      <c r="AK215" s="106">
        <f t="shared" ref="AK215:AK217" si="2499">+CA215+DQ215+FG215</f>
        <v>0</v>
      </c>
      <c r="AL215" s="106">
        <f t="shared" ref="AL215:AL217" si="2500">+CB215+DR215+FH215</f>
        <v>0</v>
      </c>
      <c r="AM215" s="106">
        <f t="shared" ref="AM215:AM217" si="2501">+CC215+DS215+FI215</f>
        <v>0</v>
      </c>
      <c r="AN215" s="106">
        <f t="shared" ref="AN215:AN217" si="2502">+CD215+DT215+FJ215</f>
        <v>0</v>
      </c>
      <c r="AO215" s="106">
        <f t="shared" ref="AO215:AO217" si="2503">+SUM(AC215:AN215)</f>
        <v>0</v>
      </c>
      <c r="AQ215" s="106">
        <v>0</v>
      </c>
      <c r="AR215" s="106">
        <v>0</v>
      </c>
      <c r="AS215" s="106">
        <v>0</v>
      </c>
      <c r="AT215" s="106">
        <v>0</v>
      </c>
      <c r="AU215" s="106">
        <v>0</v>
      </c>
      <c r="AV215" s="106">
        <v>0</v>
      </c>
      <c r="AW215" s="106">
        <v>0</v>
      </c>
      <c r="AX215" s="106">
        <v>0</v>
      </c>
      <c r="AY215" s="106">
        <v>0</v>
      </c>
      <c r="AZ215" s="106">
        <v>0</v>
      </c>
      <c r="BA215" s="106">
        <v>0</v>
      </c>
      <c r="BB215" s="106">
        <v>0</v>
      </c>
      <c r="BC215" s="106">
        <f t="shared" ref="BC215:BC219" si="2504">+SUM(AQ215:BB215)</f>
        <v>0</v>
      </c>
      <c r="BD215" s="16" t="str">
        <f t="shared" si="2230"/>
        <v>CSR Expenses</v>
      </c>
      <c r="BE215" s="106">
        <f>+VLOOKUP($BD215,'Jan-25'!$A:$J,5,0)</f>
        <v>0</v>
      </c>
      <c r="BF215" s="106">
        <f>+VLOOKUP($BD215,'Feb-25'!$A:$J,5,0)</f>
        <v>0</v>
      </c>
      <c r="BG215" s="106">
        <f>+VLOOKUP($BD215,'Mar-25'!$A:$J,5,0)</f>
        <v>0</v>
      </c>
      <c r="BH215" s="106">
        <f>+VLOOKUP($BD215,'Apr-25'!$A:$J,5,0)</f>
        <v>0</v>
      </c>
      <c r="BI215" s="106">
        <f>+VLOOKUP($BD215,'May-25'!$A:$J,5,0)</f>
        <v>0</v>
      </c>
      <c r="BJ215" s="106">
        <f>+VLOOKUP($BD215,'June-25'!$A:$J,5,0)</f>
        <v>0</v>
      </c>
      <c r="BK215" s="106">
        <f>+VLOOKUP($BD215,'July-25'!$A:$J,5,0)</f>
        <v>0</v>
      </c>
      <c r="BL215" s="106">
        <f>+VLOOKUP($BD215,'Aug-25'!$A:$J,5,0)</f>
        <v>0</v>
      </c>
      <c r="BM215" s="106">
        <f>+VLOOKUP($BD215,'Sep-25'!$A:$J,5,0)</f>
        <v>0</v>
      </c>
      <c r="BN215" s="106">
        <f>+VLOOKUP($BD215,'Oct-25'!$A:$J,5,0)</f>
        <v>0</v>
      </c>
      <c r="BO215" s="106">
        <f>+VLOOKUP($BD215,'Nov-25'!$A:$J,5,0)</f>
        <v>0</v>
      </c>
      <c r="BP215" s="106">
        <f>+VLOOKUP($BD215,'Dec-25'!$A:$J,5,0)</f>
        <v>0</v>
      </c>
      <c r="BQ215" s="106">
        <f t="shared" ref="BQ215:BQ216" si="2505">+SUM(BE215:BP215)</f>
        <v>0</v>
      </c>
      <c r="BR215" s="118">
        <f t="shared" si="1870"/>
        <v>0</v>
      </c>
      <c r="BS215" s="106">
        <f>+_xlfn.XLOOKUP($BD215,Budget!$A:$A,Budget!BD:BD)</f>
        <v>0</v>
      </c>
      <c r="BT215" s="106">
        <f>+_xlfn.XLOOKUP($BD215,Budget!$A:$A,Budget!BE:BE)</f>
        <v>0</v>
      </c>
      <c r="BU215" s="106">
        <f>+_xlfn.XLOOKUP($BD215,Budget!$A:$A,Budget!BF:BF)</f>
        <v>0</v>
      </c>
      <c r="BV215" s="106">
        <f>+_xlfn.XLOOKUP($BD215,Budget!$A:$A,Budget!BG:BG)</f>
        <v>0</v>
      </c>
      <c r="BW215" s="106">
        <f>+_xlfn.XLOOKUP($BD215,Budget!$A:$A,Budget!BH:BH)</f>
        <v>0</v>
      </c>
      <c r="BX215" s="106">
        <f>+_xlfn.XLOOKUP($BD215,Budget!$A:$A,Budget!BI:BI)</f>
        <v>0</v>
      </c>
      <c r="BY215" s="106">
        <f>+_xlfn.XLOOKUP($BD215,Budget!$A:$A,Budget!BJ:BJ)</f>
        <v>0</v>
      </c>
      <c r="BZ215" s="106">
        <f>+_xlfn.XLOOKUP($BD215,Budget!$A:$A,Budget!BK:BK)</f>
        <v>0</v>
      </c>
      <c r="CA215" s="106">
        <f>+_xlfn.XLOOKUP($BD215,Budget!$A:$A,Budget!BL:BL)</f>
        <v>0</v>
      </c>
      <c r="CB215" s="106">
        <f>+_xlfn.XLOOKUP($BD215,Budget!$A:$A,Budget!BM:BM)</f>
        <v>0</v>
      </c>
      <c r="CC215" s="106">
        <f>+_xlfn.XLOOKUP($BD215,Budget!$A:$A,Budget!BN:BN)</f>
        <v>0</v>
      </c>
      <c r="CD215" s="106">
        <f>+_xlfn.XLOOKUP($BD215,Budget!$A:$A,Budget!BO:BO)</f>
        <v>0</v>
      </c>
      <c r="CE215" s="106">
        <f t="shared" ref="CE215:CE219" si="2506">+SUM(BS215:CD215)</f>
        <v>0</v>
      </c>
      <c r="CF215" s="106"/>
      <c r="CG215" s="106">
        <v>0</v>
      </c>
      <c r="CH215" s="106">
        <v>0</v>
      </c>
      <c r="CI215" s="106">
        <v>0</v>
      </c>
      <c r="CJ215" s="106">
        <v>0</v>
      </c>
      <c r="CK215" s="106">
        <v>0</v>
      </c>
      <c r="CL215" s="106">
        <v>0</v>
      </c>
      <c r="CM215" s="106">
        <v>0</v>
      </c>
      <c r="CN215" s="106">
        <v>0</v>
      </c>
      <c r="CO215" s="106">
        <v>0</v>
      </c>
      <c r="CP215" s="106">
        <v>0</v>
      </c>
      <c r="CQ215" s="106">
        <v>0</v>
      </c>
      <c r="CR215" s="106">
        <v>0</v>
      </c>
      <c r="CS215" s="106">
        <f t="shared" ref="CS215:CS219" si="2507">+SUM(CG215:CR215)</f>
        <v>0</v>
      </c>
      <c r="CT215" s="16" t="str">
        <f t="shared" si="2231"/>
        <v>CSR Expenses</v>
      </c>
      <c r="CU215" s="106">
        <f>+VLOOKUP($BD215,'Jan-25'!$A:$J,8,0)</f>
        <v>0</v>
      </c>
      <c r="CV215" s="106">
        <f>+VLOOKUP($BD215,'Feb-25'!$A:$J,8,0)</f>
        <v>0</v>
      </c>
      <c r="CW215" s="106">
        <f>+VLOOKUP($BD215,'Mar-25'!$A:$J,8,0)</f>
        <v>0</v>
      </c>
      <c r="CX215" s="106">
        <f>+VLOOKUP($BD215,'Apr-25'!$A:$J,8,0)</f>
        <v>0</v>
      </c>
      <c r="CY215" s="106">
        <f>+VLOOKUP($BD215,'May-25'!$A:$J,8,0)</f>
        <v>0</v>
      </c>
      <c r="CZ215" s="106">
        <f>+VLOOKUP($BD215,'June-25'!$A:$J,8,0)</f>
        <v>0</v>
      </c>
      <c r="DA215" s="106">
        <f>+VLOOKUP($BD215,'July-25'!$A:$J,8,0)</f>
        <v>0</v>
      </c>
      <c r="DB215" s="106">
        <f>+VLOOKUP($BD215,'Aug-25'!$A:$J,8,0)</f>
        <v>0</v>
      </c>
      <c r="DC215" s="106">
        <f>+VLOOKUP($BD215,'Sep-25'!$A:$J,8,0)</f>
        <v>0</v>
      </c>
      <c r="DD215" s="106">
        <f>+VLOOKUP($BD215,'Oct-25'!$A:$J,8,0)</f>
        <v>0</v>
      </c>
      <c r="DE215" s="106">
        <f>+VLOOKUP($BD215,'Nov-25'!$A:$J,8,0)</f>
        <v>0</v>
      </c>
      <c r="DF215" s="106">
        <f>+VLOOKUP($BD215,'Dec-25'!$A:$J,8,0)</f>
        <v>0</v>
      </c>
      <c r="DG215" s="106">
        <f t="shared" ref="DG215:DG216" si="2508">+SUM(CU215:DF215)</f>
        <v>0</v>
      </c>
      <c r="DH215" s="118">
        <f t="shared" si="1874"/>
        <v>0</v>
      </c>
      <c r="DI215" s="106">
        <f>+_xlfn.XLOOKUP($CT215,Budget!$A:$A,Budget!CQ:CQ)</f>
        <v>0</v>
      </c>
      <c r="DJ215" s="106">
        <f>+_xlfn.XLOOKUP($CT215,Budget!$A:$A,Budget!CR:CR)</f>
        <v>0</v>
      </c>
      <c r="DK215" s="106">
        <f>+_xlfn.XLOOKUP($CT215,Budget!$A:$A,Budget!CS:CS)</f>
        <v>0</v>
      </c>
      <c r="DL215" s="106">
        <f>+_xlfn.XLOOKUP($CT215,Budget!$A:$A,Budget!CT:CT)</f>
        <v>0</v>
      </c>
      <c r="DM215" s="106">
        <f>+_xlfn.XLOOKUP($CT215,Budget!$A:$A,Budget!CU:CU)</f>
        <v>0</v>
      </c>
      <c r="DN215" s="106">
        <f>+_xlfn.XLOOKUP($CT215,Budget!$A:$A,Budget!CV:CV)</f>
        <v>0</v>
      </c>
      <c r="DO215" s="106">
        <f>+_xlfn.XLOOKUP($CT215,Budget!$A:$A,Budget!CW:CW)</f>
        <v>0</v>
      </c>
      <c r="DP215" s="106">
        <f>+_xlfn.XLOOKUP($CT215,Budget!$A:$A,Budget!CX:CX)</f>
        <v>0</v>
      </c>
      <c r="DQ215" s="106">
        <f>+_xlfn.XLOOKUP($CT215,Budget!$A:$A,Budget!CY:CY)</f>
        <v>0</v>
      </c>
      <c r="DR215" s="106">
        <f>+_xlfn.XLOOKUP($CT215,Budget!$A:$A,Budget!CZ:CZ)</f>
        <v>0</v>
      </c>
      <c r="DS215" s="106">
        <f>+_xlfn.XLOOKUP($CT215,Budget!$A:$A,Budget!DA:DA)</f>
        <v>0</v>
      </c>
      <c r="DT215" s="106">
        <f>+_xlfn.XLOOKUP($CT215,Budget!$A:$A,Budget!DB:DB)</f>
        <v>0</v>
      </c>
      <c r="DU215" s="106">
        <f t="shared" ref="DU215:DU219" si="2509">+SUM(DI215:DT215)</f>
        <v>0</v>
      </c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106">
        <f t="shared" ref="EI215:EI219" si="2510">+SUM(DW215:EH215)</f>
        <v>0</v>
      </c>
      <c r="EJ215" s="16" t="str">
        <f t="shared" si="2302"/>
        <v>CSR Expenses</v>
      </c>
      <c r="EK215" s="22">
        <f>+VLOOKUP($BD215,'Jan-25'!$A:$J,10,0)</f>
        <v>0</v>
      </c>
      <c r="EL215" s="22">
        <f>+VLOOKUP($BD215,'Feb-25'!$A:$J,10,0)</f>
        <v>0</v>
      </c>
      <c r="EM215" s="22">
        <f>+VLOOKUP($BD215,'Mar-25'!$A:$J,10,0)</f>
        <v>0</v>
      </c>
      <c r="EN215" s="22">
        <f>+VLOOKUP($BD215,'Apr-25'!$A:$J,10,0)</f>
        <v>0</v>
      </c>
      <c r="EO215" s="22">
        <f>+VLOOKUP($BD215,'May-25'!$A:$J,10,0)</f>
        <v>0</v>
      </c>
      <c r="EP215" s="22">
        <f>+VLOOKUP($BD215,'June-25'!$A:$J,10,0)</f>
        <v>0</v>
      </c>
      <c r="EQ215" s="22">
        <f>+VLOOKUP($BD215,'July-25'!$A:$J,10,0)</f>
        <v>0</v>
      </c>
      <c r="ER215" s="22">
        <f>+VLOOKUP($BD215,'Aug-25'!$A:$J,10,0)</f>
        <v>0</v>
      </c>
      <c r="ES215" s="22">
        <f>+VLOOKUP($BD215,'Sep-25'!$A:$J,10,0)</f>
        <v>0</v>
      </c>
      <c r="ET215" s="22">
        <f>+VLOOKUP($BD215,'Oct-25'!$A:$J,10,0)</f>
        <v>0</v>
      </c>
      <c r="EU215" s="22">
        <f>+VLOOKUP($BD215,'Nov-25'!$A:$J,10,0)</f>
        <v>0</v>
      </c>
      <c r="EV215" s="22">
        <f>+VLOOKUP($BD215,'Dec-25'!$A:$J,10,0)</f>
        <v>0</v>
      </c>
      <c r="EW215" s="22">
        <f t="shared" ref="EW215:EW216" si="2511">+SUM(EK215:EV215)</f>
        <v>0</v>
      </c>
      <c r="EX215" s="118" t="e">
        <f t="shared" si="1878"/>
        <v>#DIV/0!</v>
      </c>
      <c r="EY215" s="106">
        <f>+_xlfn.XLOOKUP($EJ215,Budget!$A:$A,Budget!DR:DR)</f>
        <v>0</v>
      </c>
      <c r="EZ215" s="106">
        <f>+_xlfn.XLOOKUP($EJ215,Budget!$A:$A,Budget!DS:DS)</f>
        <v>0</v>
      </c>
      <c r="FA215" s="106">
        <f>+_xlfn.XLOOKUP($EJ215,Budget!$A:$A,Budget!DT:DT)</f>
        <v>0</v>
      </c>
      <c r="FB215" s="106">
        <f>+_xlfn.XLOOKUP($EJ215,Budget!$A:$A,Budget!DU:DU)</f>
        <v>0</v>
      </c>
      <c r="FC215" s="106">
        <f>+_xlfn.XLOOKUP($EJ215,Budget!$A:$A,Budget!DV:DV)</f>
        <v>0</v>
      </c>
      <c r="FD215" s="106">
        <f>+_xlfn.XLOOKUP($EJ215,Budget!$A:$A,Budget!DW:DW)</f>
        <v>0</v>
      </c>
      <c r="FE215" s="106">
        <f>+_xlfn.XLOOKUP($EJ215,Budget!$A:$A,Budget!DX:DX)</f>
        <v>0</v>
      </c>
      <c r="FF215" s="106">
        <f>+_xlfn.XLOOKUP($EJ215,Budget!$A:$A,Budget!DY:DY)</f>
        <v>0</v>
      </c>
      <c r="FG215" s="106">
        <f>+_xlfn.XLOOKUP($EJ215,Budget!$A:$A,Budget!DZ:DZ)</f>
        <v>0</v>
      </c>
      <c r="FH215" s="106">
        <f>+_xlfn.XLOOKUP($EJ215,Budget!$A:$A,Budget!EA:EA)</f>
        <v>0</v>
      </c>
      <c r="FI215" s="106">
        <f>+_xlfn.XLOOKUP($EJ215,Budget!$A:$A,Budget!EB:EB)</f>
        <v>0</v>
      </c>
      <c r="FJ215" s="106">
        <f>+_xlfn.XLOOKUP($EJ215,Budget!$A:$A,Budget!EC:EC)</f>
        <v>0</v>
      </c>
      <c r="FK215" s="106">
        <f t="shared" ref="FK215:FK219" si="2512">+SUM(EY215:FJ215)</f>
        <v>0</v>
      </c>
    </row>
    <row r="216" spans="1:167" ht="14.45" hidden="1" customHeight="1" outlineLevel="2">
      <c r="A216" s="106">
        <f t="shared" si="2476"/>
        <v>1140</v>
      </c>
      <c r="B216" s="106">
        <f t="shared" si="2476"/>
        <v>600</v>
      </c>
      <c r="C216" s="106">
        <f t="shared" si="2476"/>
        <v>1020</v>
      </c>
      <c r="D216" s="106">
        <f t="shared" si="2476"/>
        <v>400</v>
      </c>
      <c r="E216" s="106">
        <f t="shared" si="2476"/>
        <v>280</v>
      </c>
      <c r="F216" s="106">
        <f t="shared" si="2476"/>
        <v>480</v>
      </c>
      <c r="G216" s="106">
        <f t="shared" si="2476"/>
        <v>180</v>
      </c>
      <c r="H216" s="106">
        <f t="shared" si="2476"/>
        <v>720</v>
      </c>
      <c r="I216" s="106">
        <f t="shared" si="2476"/>
        <v>680</v>
      </c>
      <c r="J216" s="106">
        <f t="shared" si="2476"/>
        <v>160</v>
      </c>
      <c r="K216" s="106">
        <f t="shared" si="2476"/>
        <v>620</v>
      </c>
      <c r="L216" s="106">
        <f t="shared" si="2476"/>
        <v>260</v>
      </c>
      <c r="M216" s="106">
        <f t="shared" si="2477"/>
        <v>6540</v>
      </c>
      <c r="N216" s="16" t="s">
        <v>182</v>
      </c>
      <c r="O216" s="106">
        <f t="shared" si="2478"/>
        <v>460</v>
      </c>
      <c r="P216" s="106">
        <f t="shared" si="2479"/>
        <v>3900</v>
      </c>
      <c r="Q216" s="106">
        <f t="shared" si="2480"/>
        <v>470</v>
      </c>
      <c r="R216" s="106">
        <f t="shared" si="2481"/>
        <v>380</v>
      </c>
      <c r="S216" s="106">
        <f t="shared" si="2482"/>
        <v>120</v>
      </c>
      <c r="T216" s="106">
        <f t="shared" si="2483"/>
        <v>380</v>
      </c>
      <c r="U216" s="106">
        <f t="shared" si="2484"/>
        <v>1140</v>
      </c>
      <c r="V216" s="106">
        <f t="shared" si="2485"/>
        <v>428</v>
      </c>
      <c r="W216" s="106">
        <f t="shared" si="2486"/>
        <v>370</v>
      </c>
      <c r="X216" s="106">
        <f t="shared" si="2487"/>
        <v>40</v>
      </c>
      <c r="Y216" s="106">
        <f t="shared" si="2488"/>
        <v>0</v>
      </c>
      <c r="Z216" s="106">
        <f t="shared" si="2489"/>
        <v>0</v>
      </c>
      <c r="AA216" s="106">
        <f t="shared" si="2490"/>
        <v>7688</v>
      </c>
      <c r="AB216" s="118">
        <f t="shared" si="1854"/>
        <v>-0.96296296296296291</v>
      </c>
      <c r="AC216" s="106">
        <f t="shared" si="2491"/>
        <v>1080</v>
      </c>
      <c r="AD216" s="106">
        <f t="shared" si="2492"/>
        <v>1080</v>
      </c>
      <c r="AE216" s="106">
        <f t="shared" si="2493"/>
        <v>1080</v>
      </c>
      <c r="AF216" s="106">
        <f t="shared" si="2494"/>
        <v>1080</v>
      </c>
      <c r="AG216" s="106">
        <f t="shared" si="2495"/>
        <v>1080</v>
      </c>
      <c r="AH216" s="106">
        <f t="shared" si="2496"/>
        <v>1080</v>
      </c>
      <c r="AI216" s="106">
        <f t="shared" si="2497"/>
        <v>1080</v>
      </c>
      <c r="AJ216" s="106">
        <f t="shared" si="2498"/>
        <v>1080</v>
      </c>
      <c r="AK216" s="106">
        <f t="shared" si="2499"/>
        <v>1080</v>
      </c>
      <c r="AL216" s="106">
        <f t="shared" si="2500"/>
        <v>1080</v>
      </c>
      <c r="AM216" s="106">
        <f t="shared" si="2501"/>
        <v>1080</v>
      </c>
      <c r="AN216" s="106">
        <f t="shared" si="2502"/>
        <v>1080</v>
      </c>
      <c r="AO216" s="106">
        <f t="shared" si="2503"/>
        <v>12960</v>
      </c>
      <c r="AQ216" s="106">
        <v>0</v>
      </c>
      <c r="AR216" s="106">
        <v>0</v>
      </c>
      <c r="AS216" s="106">
        <v>200</v>
      </c>
      <c r="AT216" s="106">
        <v>0</v>
      </c>
      <c r="AU216" s="106">
        <v>0</v>
      </c>
      <c r="AV216" s="106">
        <v>0</v>
      </c>
      <c r="AW216" s="106">
        <v>0</v>
      </c>
      <c r="AX216" s="106">
        <v>0</v>
      </c>
      <c r="AY216" s="106">
        <v>0</v>
      </c>
      <c r="AZ216" s="106">
        <v>0</v>
      </c>
      <c r="BA216" s="106">
        <v>0</v>
      </c>
      <c r="BB216" s="106">
        <v>0</v>
      </c>
      <c r="BC216" s="106">
        <f t="shared" si="2504"/>
        <v>200</v>
      </c>
      <c r="BD216" s="16" t="str">
        <f t="shared" si="2230"/>
        <v>Other Donation</v>
      </c>
      <c r="BE216" s="106">
        <f>+VLOOKUP($BD216,'Jan-25'!$A:$J,5,0)</f>
        <v>0</v>
      </c>
      <c r="BF216" s="106">
        <f>+VLOOKUP($BD216,'Feb-25'!$A:$J,5,0)</f>
        <v>2400</v>
      </c>
      <c r="BG216" s="106">
        <f>+VLOOKUP($BD216,'Mar-25'!$A:$J,5,0)</f>
        <v>0</v>
      </c>
      <c r="BH216" s="106">
        <f>+VLOOKUP($BD216,'Apr-25'!$A:$J,5,0)</f>
        <v>0</v>
      </c>
      <c r="BI216" s="106">
        <f>+VLOOKUP($BD216,'May-25'!$A:$J,5,0)</f>
        <v>0</v>
      </c>
      <c r="BJ216" s="106">
        <f>+VLOOKUP($BD216,'June-25'!$A:$J,5,0)</f>
        <v>0</v>
      </c>
      <c r="BK216" s="106">
        <f>+VLOOKUP($BD216,'July-25'!$A:$J,5,0)</f>
        <v>600</v>
      </c>
      <c r="BL216" s="106">
        <f>+VLOOKUP($BD216,'Aug-25'!$A:$J,5,0)</f>
        <v>0</v>
      </c>
      <c r="BM216" s="106">
        <f>+VLOOKUP($BD216,'Sep-25'!$A:$J,5,0)</f>
        <v>0</v>
      </c>
      <c r="BN216" s="106">
        <f>+VLOOKUP($BD216,'Oct-25'!$A:$J,5,0)</f>
        <v>0</v>
      </c>
      <c r="BO216" s="106">
        <f>+VLOOKUP($BD216,'Nov-25'!$A:$J,5,0)</f>
        <v>0</v>
      </c>
      <c r="BP216" s="106">
        <f>+VLOOKUP($BD216,'Dec-25'!$A:$J,5,0)</f>
        <v>0</v>
      </c>
      <c r="BQ216" s="106">
        <f t="shared" si="2505"/>
        <v>3000</v>
      </c>
      <c r="BR216" s="118">
        <f t="shared" si="1870"/>
        <v>-1</v>
      </c>
      <c r="BS216" s="106">
        <f>+_xlfn.XLOOKUP($BD216,Budget!$A:$A,Budget!BD:BD)</f>
        <v>720</v>
      </c>
      <c r="BT216" s="106">
        <f>+_xlfn.XLOOKUP($BD216,Budget!$A:$A,Budget!BE:BE)</f>
        <v>720</v>
      </c>
      <c r="BU216" s="106">
        <f>+_xlfn.XLOOKUP($BD216,Budget!$A:$A,Budget!BF:BF)</f>
        <v>720</v>
      </c>
      <c r="BV216" s="106">
        <f>+_xlfn.XLOOKUP($BD216,Budget!$A:$A,Budget!BG:BG)</f>
        <v>720</v>
      </c>
      <c r="BW216" s="106">
        <f>+_xlfn.XLOOKUP($BD216,Budget!$A:$A,Budget!BH:BH)</f>
        <v>720</v>
      </c>
      <c r="BX216" s="106">
        <f>+_xlfn.XLOOKUP($BD216,Budget!$A:$A,Budget!BI:BI)</f>
        <v>720</v>
      </c>
      <c r="BY216" s="106">
        <f>+_xlfn.XLOOKUP($BD216,Budget!$A:$A,Budget!BJ:BJ)</f>
        <v>720</v>
      </c>
      <c r="BZ216" s="106">
        <f>+_xlfn.XLOOKUP($BD216,Budget!$A:$A,Budget!BK:BK)</f>
        <v>720</v>
      </c>
      <c r="CA216" s="106">
        <f>+_xlfn.XLOOKUP($BD216,Budget!$A:$A,Budget!BL:BL)</f>
        <v>720</v>
      </c>
      <c r="CB216" s="106">
        <f>+_xlfn.XLOOKUP($BD216,Budget!$A:$A,Budget!BM:BM)</f>
        <v>720</v>
      </c>
      <c r="CC216" s="106">
        <f>+_xlfn.XLOOKUP($BD216,Budget!$A:$A,Budget!BN:BN)</f>
        <v>720</v>
      </c>
      <c r="CD216" s="106">
        <f>+_xlfn.XLOOKUP($BD216,Budget!$A:$A,Budget!BO:BO)</f>
        <v>720</v>
      </c>
      <c r="CE216" s="106">
        <f t="shared" si="2506"/>
        <v>8640</v>
      </c>
      <c r="CF216" s="106"/>
      <c r="CG216" s="106">
        <v>1140</v>
      </c>
      <c r="CH216" s="106">
        <v>600</v>
      </c>
      <c r="CI216" s="106">
        <v>820</v>
      </c>
      <c r="CJ216" s="106">
        <v>400</v>
      </c>
      <c r="CK216" s="106">
        <v>280</v>
      </c>
      <c r="CL216" s="106">
        <v>480</v>
      </c>
      <c r="CM216" s="106">
        <v>180</v>
      </c>
      <c r="CN216" s="106">
        <v>720</v>
      </c>
      <c r="CO216" s="106">
        <v>680</v>
      </c>
      <c r="CP216" s="106">
        <v>160</v>
      </c>
      <c r="CQ216" s="106">
        <v>620</v>
      </c>
      <c r="CR216" s="106">
        <v>260</v>
      </c>
      <c r="CS216" s="106">
        <f t="shared" si="2507"/>
        <v>6340</v>
      </c>
      <c r="CT216" s="16" t="str">
        <f t="shared" si="2231"/>
        <v>Other Donation</v>
      </c>
      <c r="CU216" s="106">
        <f>+VLOOKUP($BD216,'Jan-25'!$A:$J,8,0)</f>
        <v>460</v>
      </c>
      <c r="CV216" s="106">
        <f>+VLOOKUP($BD216,'Feb-25'!$A:$J,8,0)</f>
        <v>1500</v>
      </c>
      <c r="CW216" s="106">
        <f>+VLOOKUP($BD216,'Mar-25'!$A:$J,8,0)</f>
        <v>470</v>
      </c>
      <c r="CX216" s="106">
        <f>+VLOOKUP($BD216,'Apr-25'!$A:$J,8,0)</f>
        <v>380</v>
      </c>
      <c r="CY216" s="106">
        <f>+VLOOKUP($BD216,'May-25'!$A:$J,8,0)</f>
        <v>120</v>
      </c>
      <c r="CZ216" s="106">
        <f>+VLOOKUP($BD216,'June-25'!$A:$J,8,0)</f>
        <v>380</v>
      </c>
      <c r="DA216" s="106">
        <f>+VLOOKUP($BD216,'July-25'!$A:$J,8,0)</f>
        <v>540</v>
      </c>
      <c r="DB216" s="106">
        <f>+VLOOKUP($BD216,'Aug-25'!$A:$J,8,0)</f>
        <v>428</v>
      </c>
      <c r="DC216" s="106">
        <f>+VLOOKUP($BD216,'Sep-25'!$A:$J,8,0)</f>
        <v>370</v>
      </c>
      <c r="DD216" s="106">
        <f>+VLOOKUP($BD216,'Oct-25'!$A:$J,8,0)</f>
        <v>40</v>
      </c>
      <c r="DE216" s="106">
        <f>+VLOOKUP($BD216,'Nov-25'!$A:$J,8,0)</f>
        <v>0</v>
      </c>
      <c r="DF216" s="106">
        <f>+VLOOKUP($BD216,'Dec-25'!$A:$J,8,0)</f>
        <v>0</v>
      </c>
      <c r="DG216" s="106">
        <f t="shared" si="2508"/>
        <v>4688</v>
      </c>
      <c r="DH216" s="118">
        <f t="shared" si="1874"/>
        <v>-0.88888888888888884</v>
      </c>
      <c r="DI216" s="106">
        <f>+_xlfn.XLOOKUP($CT216,Budget!$A:$A,Budget!CQ:CQ)</f>
        <v>360</v>
      </c>
      <c r="DJ216" s="106">
        <f>+_xlfn.XLOOKUP($CT216,Budget!$A:$A,Budget!CR:CR)</f>
        <v>360</v>
      </c>
      <c r="DK216" s="106">
        <f>+_xlfn.XLOOKUP($CT216,Budget!$A:$A,Budget!CS:CS)</f>
        <v>360</v>
      </c>
      <c r="DL216" s="106">
        <f>+_xlfn.XLOOKUP($CT216,Budget!$A:$A,Budget!CT:CT)</f>
        <v>360</v>
      </c>
      <c r="DM216" s="106">
        <f>+_xlfn.XLOOKUP($CT216,Budget!$A:$A,Budget!CU:CU)</f>
        <v>360</v>
      </c>
      <c r="DN216" s="106">
        <f>+_xlfn.XLOOKUP($CT216,Budget!$A:$A,Budget!CV:CV)</f>
        <v>360</v>
      </c>
      <c r="DO216" s="106">
        <f>+_xlfn.XLOOKUP($CT216,Budget!$A:$A,Budget!CW:CW)</f>
        <v>360</v>
      </c>
      <c r="DP216" s="106">
        <f>+_xlfn.XLOOKUP($CT216,Budget!$A:$A,Budget!CX:CX)</f>
        <v>360</v>
      </c>
      <c r="DQ216" s="106">
        <f>+_xlfn.XLOOKUP($CT216,Budget!$A:$A,Budget!CY:CY)</f>
        <v>360</v>
      </c>
      <c r="DR216" s="106">
        <f>+_xlfn.XLOOKUP($CT216,Budget!$A:$A,Budget!CZ:CZ)</f>
        <v>360</v>
      </c>
      <c r="DS216" s="106">
        <f>+_xlfn.XLOOKUP($CT216,Budget!$A:$A,Budget!DA:DA)</f>
        <v>360</v>
      </c>
      <c r="DT216" s="106">
        <f>+_xlfn.XLOOKUP($CT216,Budget!$A:$A,Budget!DB:DB)</f>
        <v>360</v>
      </c>
      <c r="DU216" s="106">
        <f t="shared" si="2509"/>
        <v>4320</v>
      </c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106">
        <f t="shared" si="2510"/>
        <v>0</v>
      </c>
      <c r="EJ216" s="16" t="str">
        <f t="shared" si="2302"/>
        <v>Other Donation</v>
      </c>
      <c r="EK216" s="22">
        <f>+VLOOKUP($BD216,'Jan-25'!$A:$J,10,0)</f>
        <v>0</v>
      </c>
      <c r="EL216" s="22">
        <f>+VLOOKUP($BD216,'Feb-25'!$A:$J,10,0)</f>
        <v>0</v>
      </c>
      <c r="EM216" s="22">
        <f>+VLOOKUP($BD216,'Mar-25'!$A:$J,10,0)</f>
        <v>0</v>
      </c>
      <c r="EN216" s="22">
        <f>+VLOOKUP($BD216,'Apr-25'!$A:$J,10,0)</f>
        <v>0</v>
      </c>
      <c r="EO216" s="22">
        <f>+VLOOKUP($BD216,'May-25'!$A:$J,10,0)</f>
        <v>0</v>
      </c>
      <c r="EP216" s="22">
        <f>+VLOOKUP($BD216,'June-25'!$A:$J,10,0)</f>
        <v>0</v>
      </c>
      <c r="EQ216" s="22">
        <f>+VLOOKUP($BD216,'July-25'!$A:$J,10,0)</f>
        <v>0</v>
      </c>
      <c r="ER216" s="22">
        <f>+VLOOKUP($BD216,'Aug-25'!$A:$J,10,0)</f>
        <v>0</v>
      </c>
      <c r="ES216" s="22">
        <f>+VLOOKUP($BD216,'Sep-25'!$A:$J,10,0)</f>
        <v>0</v>
      </c>
      <c r="ET216" s="22">
        <f>+VLOOKUP($BD216,'Oct-25'!$A:$J,10,0)</f>
        <v>0</v>
      </c>
      <c r="EU216" s="22">
        <f>+VLOOKUP($BD216,'Nov-25'!$A:$J,10,0)</f>
        <v>0</v>
      </c>
      <c r="EV216" s="22">
        <f>+VLOOKUP($BD216,'Dec-25'!$A:$J,10,0)</f>
        <v>0</v>
      </c>
      <c r="EW216" s="22">
        <f t="shared" si="2511"/>
        <v>0</v>
      </c>
      <c r="EX216" s="118" t="e">
        <f t="shared" si="1878"/>
        <v>#DIV/0!</v>
      </c>
      <c r="EY216" s="106">
        <f>+_xlfn.XLOOKUP($EJ216,Budget!$A:$A,Budget!DR:DR)</f>
        <v>0</v>
      </c>
      <c r="EZ216" s="106">
        <f>+_xlfn.XLOOKUP($EJ216,Budget!$A:$A,Budget!DS:DS)</f>
        <v>0</v>
      </c>
      <c r="FA216" s="106">
        <f>+_xlfn.XLOOKUP($EJ216,Budget!$A:$A,Budget!DT:DT)</f>
        <v>0</v>
      </c>
      <c r="FB216" s="106">
        <f>+_xlfn.XLOOKUP($EJ216,Budget!$A:$A,Budget!DU:DU)</f>
        <v>0</v>
      </c>
      <c r="FC216" s="106">
        <f>+_xlfn.XLOOKUP($EJ216,Budget!$A:$A,Budget!DV:DV)</f>
        <v>0</v>
      </c>
      <c r="FD216" s="106">
        <f>+_xlfn.XLOOKUP($EJ216,Budget!$A:$A,Budget!DW:DW)</f>
        <v>0</v>
      </c>
      <c r="FE216" s="106">
        <f>+_xlfn.XLOOKUP($EJ216,Budget!$A:$A,Budget!DX:DX)</f>
        <v>0</v>
      </c>
      <c r="FF216" s="106">
        <f>+_xlfn.XLOOKUP($EJ216,Budget!$A:$A,Budget!DY:DY)</f>
        <v>0</v>
      </c>
      <c r="FG216" s="106">
        <f>+_xlfn.XLOOKUP($EJ216,Budget!$A:$A,Budget!DZ:DZ)</f>
        <v>0</v>
      </c>
      <c r="FH216" s="106">
        <f>+_xlfn.XLOOKUP($EJ216,Budget!$A:$A,Budget!EA:EA)</f>
        <v>0</v>
      </c>
      <c r="FI216" s="106">
        <f>+_xlfn.XLOOKUP($EJ216,Budget!$A:$A,Budget!EB:EB)</f>
        <v>0</v>
      </c>
      <c r="FJ216" s="106">
        <f>+_xlfn.XLOOKUP($EJ216,Budget!$A:$A,Budget!EC:EC)</f>
        <v>0</v>
      </c>
      <c r="FK216" s="106">
        <f t="shared" si="2512"/>
        <v>0</v>
      </c>
    </row>
    <row r="217" spans="1:167" ht="14.45" hidden="1" customHeight="1" outlineLevel="2">
      <c r="A217" s="106">
        <f t="shared" si="2476"/>
        <v>0</v>
      </c>
      <c r="B217" s="106">
        <f t="shared" si="2476"/>
        <v>0</v>
      </c>
      <c r="C217" s="106">
        <f t="shared" si="2476"/>
        <v>0</v>
      </c>
      <c r="D217" s="106">
        <f t="shared" si="2476"/>
        <v>0</v>
      </c>
      <c r="E217" s="106">
        <f t="shared" si="2476"/>
        <v>0</v>
      </c>
      <c r="F217" s="106">
        <f t="shared" si="2476"/>
        <v>0</v>
      </c>
      <c r="G217" s="106">
        <f t="shared" si="2476"/>
        <v>0</v>
      </c>
      <c r="H217" s="106">
        <f t="shared" si="2476"/>
        <v>0</v>
      </c>
      <c r="I217" s="106">
        <f t="shared" si="2476"/>
        <v>0</v>
      </c>
      <c r="J217" s="106">
        <f t="shared" si="2476"/>
        <v>0</v>
      </c>
      <c r="K217" s="106">
        <f t="shared" si="2476"/>
        <v>0</v>
      </c>
      <c r="L217" s="106">
        <f t="shared" si="2476"/>
        <v>0</v>
      </c>
      <c r="M217" s="106">
        <f t="shared" si="2477"/>
        <v>0</v>
      </c>
      <c r="N217" s="16"/>
      <c r="O217" s="106">
        <f t="shared" si="2478"/>
        <v>0</v>
      </c>
      <c r="P217" s="106">
        <f t="shared" si="2479"/>
        <v>0</v>
      </c>
      <c r="Q217" s="106">
        <f t="shared" si="2480"/>
        <v>0</v>
      </c>
      <c r="R217" s="106">
        <f t="shared" si="2481"/>
        <v>0</v>
      </c>
      <c r="S217" s="106">
        <f t="shared" si="2482"/>
        <v>0</v>
      </c>
      <c r="T217" s="106">
        <f t="shared" si="2483"/>
        <v>0</v>
      </c>
      <c r="U217" s="106">
        <f t="shared" si="2484"/>
        <v>0</v>
      </c>
      <c r="V217" s="106">
        <f t="shared" si="2485"/>
        <v>0</v>
      </c>
      <c r="W217" s="106">
        <f t="shared" si="2486"/>
        <v>0</v>
      </c>
      <c r="X217" s="106">
        <f t="shared" si="2487"/>
        <v>0</v>
      </c>
      <c r="Y217" s="106">
        <f t="shared" si="2488"/>
        <v>0</v>
      </c>
      <c r="Z217" s="106">
        <f t="shared" si="2489"/>
        <v>0</v>
      </c>
      <c r="AA217" s="106">
        <f t="shared" si="2490"/>
        <v>0</v>
      </c>
      <c r="AB217" s="118">
        <f t="shared" si="1854"/>
        <v>0</v>
      </c>
      <c r="AC217" s="106">
        <f t="shared" si="2491"/>
        <v>0</v>
      </c>
      <c r="AD217" s="106">
        <f t="shared" si="2492"/>
        <v>0</v>
      </c>
      <c r="AE217" s="106">
        <f t="shared" si="2493"/>
        <v>0</v>
      </c>
      <c r="AF217" s="106">
        <f t="shared" si="2494"/>
        <v>0</v>
      </c>
      <c r="AG217" s="106">
        <f t="shared" si="2495"/>
        <v>0</v>
      </c>
      <c r="AH217" s="106">
        <f t="shared" si="2496"/>
        <v>0</v>
      </c>
      <c r="AI217" s="106">
        <f t="shared" si="2497"/>
        <v>0</v>
      </c>
      <c r="AJ217" s="106">
        <f t="shared" si="2498"/>
        <v>0</v>
      </c>
      <c r="AK217" s="106">
        <f t="shared" si="2499"/>
        <v>0</v>
      </c>
      <c r="AL217" s="106">
        <f t="shared" si="2500"/>
        <v>0</v>
      </c>
      <c r="AM217" s="106">
        <f t="shared" si="2501"/>
        <v>0</v>
      </c>
      <c r="AN217" s="106">
        <f t="shared" si="2502"/>
        <v>0</v>
      </c>
      <c r="AO217" s="106">
        <f t="shared" si="2503"/>
        <v>0</v>
      </c>
      <c r="AQ217" s="106">
        <v>0</v>
      </c>
      <c r="AR217" s="106">
        <v>0</v>
      </c>
      <c r="AS217" s="106">
        <v>0</v>
      </c>
      <c r="AT217" s="106">
        <v>0</v>
      </c>
      <c r="AU217" s="106">
        <v>0</v>
      </c>
      <c r="AV217" s="106">
        <v>0</v>
      </c>
      <c r="AW217" s="106">
        <v>0</v>
      </c>
      <c r="AX217" s="106">
        <v>0</v>
      </c>
      <c r="AY217" s="106">
        <v>0</v>
      </c>
      <c r="AZ217" s="106">
        <v>0</v>
      </c>
      <c r="BA217" s="106">
        <v>0</v>
      </c>
      <c r="BB217" s="106">
        <v>0</v>
      </c>
      <c r="BC217" s="106">
        <f t="shared" si="2504"/>
        <v>0</v>
      </c>
      <c r="BD217" s="16">
        <f t="shared" si="2230"/>
        <v>0</v>
      </c>
      <c r="BE217" s="106"/>
      <c r="BF217" s="106"/>
      <c r="BG217" s="106"/>
      <c r="BH217" s="106"/>
      <c r="BI217" s="106"/>
      <c r="BJ217" s="106"/>
      <c r="BK217" s="106"/>
      <c r="BL217" s="106"/>
      <c r="BM217" s="106"/>
      <c r="BN217" s="106"/>
      <c r="BO217" s="106"/>
      <c r="BP217" s="106"/>
      <c r="BQ217" s="106"/>
      <c r="BR217" s="118">
        <f t="shared" si="1870"/>
        <v>0</v>
      </c>
      <c r="BS217" s="106"/>
      <c r="BT217" s="106"/>
      <c r="BU217" s="106"/>
      <c r="BV217" s="106"/>
      <c r="BW217" s="106"/>
      <c r="BX217" s="106"/>
      <c r="BY217" s="106"/>
      <c r="BZ217" s="106"/>
      <c r="CA217" s="106"/>
      <c r="CB217" s="106"/>
      <c r="CC217" s="106"/>
      <c r="CD217" s="106"/>
      <c r="CE217" s="106">
        <f t="shared" si="2506"/>
        <v>0</v>
      </c>
      <c r="CF217" s="106"/>
      <c r="CG217" s="106">
        <v>0</v>
      </c>
      <c r="CH217" s="106">
        <v>0</v>
      </c>
      <c r="CI217" s="106">
        <v>0</v>
      </c>
      <c r="CJ217" s="106">
        <v>0</v>
      </c>
      <c r="CK217" s="106">
        <v>0</v>
      </c>
      <c r="CL217" s="106">
        <v>0</v>
      </c>
      <c r="CM217" s="106">
        <v>0</v>
      </c>
      <c r="CN217" s="106">
        <v>0</v>
      </c>
      <c r="CO217" s="106">
        <v>0</v>
      </c>
      <c r="CP217" s="106">
        <v>0</v>
      </c>
      <c r="CQ217" s="106">
        <v>0</v>
      </c>
      <c r="CR217" s="106">
        <v>0</v>
      </c>
      <c r="CS217" s="106">
        <f t="shared" si="2507"/>
        <v>0</v>
      </c>
      <c r="CT217" s="16">
        <f t="shared" si="2231"/>
        <v>0</v>
      </c>
      <c r="CU217" s="106"/>
      <c r="CV217" s="106"/>
      <c r="CW217" s="106"/>
      <c r="CX217" s="106"/>
      <c r="CY217" s="106"/>
      <c r="CZ217" s="106"/>
      <c r="DA217" s="106"/>
      <c r="DB217" s="106"/>
      <c r="DC217" s="106"/>
      <c r="DD217" s="106"/>
      <c r="DE217" s="106"/>
      <c r="DF217" s="106"/>
      <c r="DG217" s="106"/>
      <c r="DH217" s="118">
        <f t="shared" si="1874"/>
        <v>0</v>
      </c>
      <c r="DI217" s="106"/>
      <c r="DJ217" s="106"/>
      <c r="DK217" s="106"/>
      <c r="DL217" s="106"/>
      <c r="DM217" s="106"/>
      <c r="DN217" s="106"/>
      <c r="DO217" s="106"/>
      <c r="DP217" s="106"/>
      <c r="DQ217" s="106"/>
      <c r="DR217" s="106"/>
      <c r="DS217" s="106"/>
      <c r="DT217" s="106"/>
      <c r="DU217" s="106">
        <f t="shared" si="2509"/>
        <v>0</v>
      </c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106">
        <f t="shared" si="2510"/>
        <v>0</v>
      </c>
      <c r="EJ217" s="16">
        <f t="shared" si="2302"/>
        <v>0</v>
      </c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118" t="e">
        <f t="shared" si="1878"/>
        <v>#DIV/0!</v>
      </c>
      <c r="EY217" s="106"/>
      <c r="EZ217" s="106"/>
      <c r="FA217" s="106"/>
      <c r="FB217" s="106"/>
      <c r="FC217" s="106"/>
      <c r="FD217" s="106"/>
      <c r="FE217" s="106"/>
      <c r="FF217" s="106"/>
      <c r="FG217" s="106"/>
      <c r="FH217" s="106"/>
      <c r="FI217" s="106"/>
      <c r="FJ217" s="106"/>
      <c r="FK217" s="106">
        <f t="shared" si="2512"/>
        <v>0</v>
      </c>
    </row>
    <row r="218" spans="1:167" ht="14.45" customHeight="1" collapsed="1">
      <c r="A218" s="58">
        <f t="shared" ref="A218:L218" si="2513">+A219+A223+A227</f>
        <v>18079.486199999999</v>
      </c>
      <c r="B218" s="58">
        <f t="shared" si="2513"/>
        <v>39669.201000000001</v>
      </c>
      <c r="C218" s="58">
        <f t="shared" si="2513"/>
        <v>55157.084999999999</v>
      </c>
      <c r="D218" s="58">
        <f t="shared" si="2513"/>
        <v>19319.3262</v>
      </c>
      <c r="E218" s="58">
        <f t="shared" si="2513"/>
        <v>14145.469199999998</v>
      </c>
      <c r="F218" s="58">
        <f t="shared" si="2513"/>
        <v>22504.919399999999</v>
      </c>
      <c r="G218" s="58">
        <f t="shared" si="2513"/>
        <v>35536.852800000001</v>
      </c>
      <c r="H218" s="58">
        <f t="shared" si="2513"/>
        <v>21174.051600000006</v>
      </c>
      <c r="I218" s="58">
        <f t="shared" si="2513"/>
        <v>26983.792800000003</v>
      </c>
      <c r="J218" s="58">
        <f t="shared" si="2513"/>
        <v>29003.014800000001</v>
      </c>
      <c r="K218" s="58">
        <f t="shared" si="2513"/>
        <v>113094.76139999999</v>
      </c>
      <c r="L218" s="58">
        <f t="shared" si="2513"/>
        <v>32006.988000000001</v>
      </c>
      <c r="M218" s="58"/>
      <c r="N218" s="17" t="s">
        <v>183</v>
      </c>
      <c r="O218" s="58">
        <f t="shared" ref="O218" si="2514">+O219+O223+O227</f>
        <v>40276.564199999993</v>
      </c>
      <c r="P218" s="58">
        <f t="shared" ref="P218" si="2515">+P219+P223+P227</f>
        <v>24899.607</v>
      </c>
      <c r="Q218" s="58">
        <f t="shared" ref="Q218" si="2516">+Q219+Q223+Q227</f>
        <v>40670.627399999998</v>
      </c>
      <c r="R218" s="58">
        <f t="shared" ref="R218" si="2517">+R219+R223+R227</f>
        <v>21683.908799999997</v>
      </c>
      <c r="S218" s="58">
        <f t="shared" ref="S218" si="2518">+S219+S223+S227</f>
        <v>42967.315799999997</v>
      </c>
      <c r="T218" s="58">
        <f t="shared" ref="T218" si="2519">+T219+T223+T227</f>
        <v>26741.413800000002</v>
      </c>
      <c r="U218" s="58">
        <f t="shared" ref="U218" si="2520">+U219+U223+U227</f>
        <v>23210.839799999998</v>
      </c>
      <c r="V218" s="58">
        <f t="shared" ref="V218" si="2521">+V219+V223+V227</f>
        <v>27672.190200000005</v>
      </c>
      <c r="W218" s="58">
        <f t="shared" ref="W218" si="2522">+W219+W223+W227</f>
        <v>19115.8488</v>
      </c>
      <c r="X218" s="58">
        <f t="shared" ref="X218" si="2523">+X219+X223+X227</f>
        <v>32485.5432</v>
      </c>
      <c r="Y218" s="58">
        <f t="shared" ref="Y218" si="2524">+Y219+Y223+Y227</f>
        <v>0</v>
      </c>
      <c r="Z218" s="58">
        <f t="shared" ref="Z218" si="2525">+Z219+Z223+Z227</f>
        <v>0</v>
      </c>
      <c r="AA218" s="58"/>
      <c r="AB218" s="118">
        <f t="shared" si="1854"/>
        <v>4.2316894117647143E-2</v>
      </c>
      <c r="AC218" s="58">
        <f t="shared" ref="AC218" si="2526">+AC219+AC223+AC227</f>
        <v>31166.666666666664</v>
      </c>
      <c r="AD218" s="58">
        <f t="shared" ref="AD218" si="2527">+AD219+AD223+AD227</f>
        <v>31166.666666666664</v>
      </c>
      <c r="AE218" s="58">
        <f t="shared" ref="AE218" si="2528">+AE219+AE223+AE227</f>
        <v>31166.666666666664</v>
      </c>
      <c r="AF218" s="58">
        <f t="shared" ref="AF218" si="2529">+AF219+AF223+AF227</f>
        <v>31166.666666666664</v>
      </c>
      <c r="AG218" s="58">
        <f t="shared" ref="AG218" si="2530">+AG219+AG223+AG227</f>
        <v>31166.666666666664</v>
      </c>
      <c r="AH218" s="58">
        <f t="shared" ref="AH218" si="2531">+AH219+AH223+AH227</f>
        <v>31166.666666666664</v>
      </c>
      <c r="AI218" s="58">
        <f t="shared" ref="AI218" si="2532">+AI219+AI223+AI227</f>
        <v>31166.666666666664</v>
      </c>
      <c r="AJ218" s="58">
        <f t="shared" ref="AJ218" si="2533">+AJ219+AJ223+AJ227</f>
        <v>31166.666666666664</v>
      </c>
      <c r="AK218" s="58">
        <f t="shared" ref="AK218" si="2534">+AK219+AK223+AK227</f>
        <v>31166.666666666664</v>
      </c>
      <c r="AL218" s="58">
        <f t="shared" ref="AL218" si="2535">+AL219+AL223+AL227</f>
        <v>31166.666666666664</v>
      </c>
      <c r="AM218" s="58">
        <f t="shared" ref="AM218" si="2536">+AM219+AM223+AM227</f>
        <v>31166.666666666664</v>
      </c>
      <c r="AN218" s="58">
        <f t="shared" ref="AN218:AO219" si="2537">+AN219+AN223+AN227</f>
        <v>57000</v>
      </c>
      <c r="AO218" s="58">
        <f t="shared" si="2537"/>
        <v>684000</v>
      </c>
      <c r="AQ218" s="58">
        <f t="shared" ref="AQ218:BB218" si="2538">+AQ219+AQ223+AQ227</f>
        <v>12052.9908</v>
      </c>
      <c r="AR218" s="58">
        <f t="shared" si="2538"/>
        <v>26446.133999999998</v>
      </c>
      <c r="AS218" s="58">
        <f t="shared" si="2538"/>
        <v>36771.39</v>
      </c>
      <c r="AT218" s="58">
        <f t="shared" si="2538"/>
        <v>12879.550800000001</v>
      </c>
      <c r="AU218" s="58">
        <f t="shared" si="2538"/>
        <v>9430.3127999999997</v>
      </c>
      <c r="AV218" s="58">
        <f t="shared" si="2538"/>
        <v>15003.279600000002</v>
      </c>
      <c r="AW218" s="58">
        <f t="shared" si="2538"/>
        <v>23691.235199999996</v>
      </c>
      <c r="AX218" s="58">
        <f t="shared" si="2538"/>
        <v>14116.034400000004</v>
      </c>
      <c r="AY218" s="58">
        <f t="shared" si="2538"/>
        <v>17989.195200000002</v>
      </c>
      <c r="AZ218" s="58">
        <f t="shared" si="2538"/>
        <v>19335.343200000003</v>
      </c>
      <c r="BA218" s="58">
        <f t="shared" si="2538"/>
        <v>75396.507599999997</v>
      </c>
      <c r="BB218" s="58">
        <f t="shared" si="2538"/>
        <v>21337.991999999998</v>
      </c>
      <c r="BC218" s="58">
        <f t="shared" si="2504"/>
        <v>284449.9656</v>
      </c>
      <c r="BD218" s="17" t="str">
        <f t="shared" si="2230"/>
        <v>Inventory Cost</v>
      </c>
      <c r="BE218" s="58">
        <f t="shared" ref="BE218:BQ218" si="2539">+BE219+BE223+BE227</f>
        <v>26851.042799999996</v>
      </c>
      <c r="BF218" s="58">
        <f t="shared" ref="BF218:BP218" si="2540">+BF219+BF223+BF227</f>
        <v>16599.738000000001</v>
      </c>
      <c r="BG218" s="58">
        <f t="shared" si="2540"/>
        <v>27113.751599999996</v>
      </c>
      <c r="BH218" s="58">
        <f t="shared" si="2540"/>
        <v>14455.939199999997</v>
      </c>
      <c r="BI218" s="58">
        <f t="shared" si="2540"/>
        <v>28644.877199999999</v>
      </c>
      <c r="BJ218" s="58">
        <f t="shared" si="2540"/>
        <v>17827.609200000003</v>
      </c>
      <c r="BK218" s="58">
        <f t="shared" si="2540"/>
        <v>15473.893199999999</v>
      </c>
      <c r="BL218" s="58">
        <f t="shared" si="2540"/>
        <v>18448.126800000002</v>
      </c>
      <c r="BM218" s="58">
        <f t="shared" si="2540"/>
        <v>12743.8992</v>
      </c>
      <c r="BN218" s="58">
        <f t="shared" si="2540"/>
        <v>17719.387199999997</v>
      </c>
      <c r="BO218" s="58">
        <f t="shared" si="2540"/>
        <v>0</v>
      </c>
      <c r="BP218" s="58">
        <f t="shared" si="2540"/>
        <v>0</v>
      </c>
      <c r="BQ218" s="58">
        <f t="shared" si="2539"/>
        <v>195878.26439999999</v>
      </c>
      <c r="BR218" s="118">
        <f t="shared" si="1870"/>
        <v>0.18129247999999984</v>
      </c>
      <c r="BS218" s="58">
        <f t="shared" ref="BS218:CD218" si="2541">+BS219+BS223+BS227</f>
        <v>15000</v>
      </c>
      <c r="BT218" s="58">
        <f t="shared" si="2541"/>
        <v>15000</v>
      </c>
      <c r="BU218" s="58">
        <f t="shared" si="2541"/>
        <v>15000</v>
      </c>
      <c r="BV218" s="58">
        <f t="shared" si="2541"/>
        <v>15000</v>
      </c>
      <c r="BW218" s="58">
        <f t="shared" si="2541"/>
        <v>15000</v>
      </c>
      <c r="BX218" s="58">
        <f t="shared" si="2541"/>
        <v>15000</v>
      </c>
      <c r="BY218" s="58">
        <f t="shared" si="2541"/>
        <v>15000</v>
      </c>
      <c r="BZ218" s="58">
        <f t="shared" si="2541"/>
        <v>15000</v>
      </c>
      <c r="CA218" s="58">
        <f t="shared" si="2541"/>
        <v>15000</v>
      </c>
      <c r="CB218" s="58">
        <f t="shared" si="2541"/>
        <v>15000</v>
      </c>
      <c r="CC218" s="58">
        <f t="shared" si="2541"/>
        <v>15000</v>
      </c>
      <c r="CD218" s="58">
        <f t="shared" si="2541"/>
        <v>15000</v>
      </c>
      <c r="CE218" s="58">
        <f t="shared" si="2506"/>
        <v>180000</v>
      </c>
      <c r="CF218" s="106"/>
      <c r="CG218" s="58">
        <f t="shared" ref="CG218:CR218" si="2542">+CG219+CG223+CG227</f>
        <v>6026.4953999999998</v>
      </c>
      <c r="CH218" s="58">
        <f t="shared" si="2542"/>
        <v>13223.066999999999</v>
      </c>
      <c r="CI218" s="58">
        <f t="shared" si="2542"/>
        <v>18385.695</v>
      </c>
      <c r="CJ218" s="58">
        <f t="shared" si="2542"/>
        <v>6439.7754000000004</v>
      </c>
      <c r="CK218" s="58">
        <f t="shared" si="2542"/>
        <v>4715.1563999999998</v>
      </c>
      <c r="CL218" s="58">
        <f t="shared" si="2542"/>
        <v>7501.6398000000008</v>
      </c>
      <c r="CM218" s="58">
        <f t="shared" si="2542"/>
        <v>11845.617599999998</v>
      </c>
      <c r="CN218" s="58">
        <f t="shared" si="2542"/>
        <v>7058.017200000002</v>
      </c>
      <c r="CO218" s="58">
        <f t="shared" si="2542"/>
        <v>8994.597600000001</v>
      </c>
      <c r="CP218" s="58">
        <f t="shared" si="2542"/>
        <v>9667.6716000000015</v>
      </c>
      <c r="CQ218" s="58">
        <f t="shared" si="2542"/>
        <v>37698.253799999999</v>
      </c>
      <c r="CR218" s="58">
        <f t="shared" si="2542"/>
        <v>10668.995999999999</v>
      </c>
      <c r="CS218" s="58">
        <f t="shared" si="2507"/>
        <v>142224.9828</v>
      </c>
      <c r="CT218" s="17" t="str">
        <f t="shared" si="2231"/>
        <v>Inventory Cost</v>
      </c>
      <c r="CU218" s="58">
        <f t="shared" ref="CU218:DG218" si="2543">+CU219+CU223+CU227</f>
        <v>13425.521399999998</v>
      </c>
      <c r="CV218" s="58">
        <f t="shared" si="2543"/>
        <v>8299.8690000000006</v>
      </c>
      <c r="CW218" s="58">
        <f t="shared" si="2543"/>
        <v>13556.875799999998</v>
      </c>
      <c r="CX218" s="58">
        <f t="shared" si="2543"/>
        <v>7227.9695999999985</v>
      </c>
      <c r="CY218" s="58">
        <f t="shared" si="2543"/>
        <v>14322.438599999999</v>
      </c>
      <c r="CZ218" s="58">
        <f t="shared" si="2543"/>
        <v>8913.8046000000013</v>
      </c>
      <c r="DA218" s="58">
        <f t="shared" si="2543"/>
        <v>7736.9465999999993</v>
      </c>
      <c r="DB218" s="58">
        <f t="shared" si="2543"/>
        <v>9224.0634000000009</v>
      </c>
      <c r="DC218" s="58">
        <f t="shared" si="2543"/>
        <v>6371.9495999999999</v>
      </c>
      <c r="DD218" s="58">
        <f t="shared" si="2543"/>
        <v>8859.6935999999987</v>
      </c>
      <c r="DE218" s="58">
        <f t="shared" si="2543"/>
        <v>0</v>
      </c>
      <c r="DF218" s="58">
        <f t="shared" si="2543"/>
        <v>0</v>
      </c>
      <c r="DG218" s="58">
        <f t="shared" si="2543"/>
        <v>97939.132199999993</v>
      </c>
      <c r="DH218" s="118">
        <f t="shared" si="1874"/>
        <v>0.18129247999999984</v>
      </c>
      <c r="DI218" s="58">
        <f t="shared" ref="DI218:DT218" si="2544">+DI219+DI223+DI227</f>
        <v>7500</v>
      </c>
      <c r="DJ218" s="58">
        <f t="shared" si="2544"/>
        <v>7500</v>
      </c>
      <c r="DK218" s="58">
        <f t="shared" si="2544"/>
        <v>7500</v>
      </c>
      <c r="DL218" s="58">
        <f t="shared" si="2544"/>
        <v>7500</v>
      </c>
      <c r="DM218" s="58">
        <f t="shared" si="2544"/>
        <v>7500</v>
      </c>
      <c r="DN218" s="58">
        <f t="shared" si="2544"/>
        <v>7500</v>
      </c>
      <c r="DO218" s="58">
        <f t="shared" si="2544"/>
        <v>7500</v>
      </c>
      <c r="DP218" s="58">
        <f t="shared" si="2544"/>
        <v>7500</v>
      </c>
      <c r="DQ218" s="58">
        <f t="shared" si="2544"/>
        <v>7500</v>
      </c>
      <c r="DR218" s="58">
        <f t="shared" si="2544"/>
        <v>7500</v>
      </c>
      <c r="DS218" s="58">
        <f t="shared" si="2544"/>
        <v>7500</v>
      </c>
      <c r="DT218" s="58">
        <f t="shared" si="2544"/>
        <v>7500</v>
      </c>
      <c r="DU218" s="58">
        <f t="shared" si="2509"/>
        <v>90000</v>
      </c>
      <c r="DW218" s="28">
        <f t="shared" ref="DW218:EH218" si="2545">+DW219+DW223+DW227</f>
        <v>0</v>
      </c>
      <c r="DX218" s="28">
        <f t="shared" si="2545"/>
        <v>0</v>
      </c>
      <c r="DY218" s="28">
        <f t="shared" si="2545"/>
        <v>0</v>
      </c>
      <c r="DZ218" s="28">
        <f t="shared" si="2545"/>
        <v>0</v>
      </c>
      <c r="EA218" s="28">
        <f t="shared" si="2545"/>
        <v>0</v>
      </c>
      <c r="EB218" s="28">
        <f t="shared" si="2545"/>
        <v>0</v>
      </c>
      <c r="EC218" s="28">
        <f t="shared" si="2545"/>
        <v>0</v>
      </c>
      <c r="ED218" s="28">
        <f t="shared" si="2545"/>
        <v>0</v>
      </c>
      <c r="EE218" s="28">
        <f t="shared" si="2545"/>
        <v>0</v>
      </c>
      <c r="EF218" s="28">
        <f t="shared" si="2545"/>
        <v>0</v>
      </c>
      <c r="EG218" s="28">
        <f t="shared" si="2545"/>
        <v>0</v>
      </c>
      <c r="EH218" s="28">
        <f t="shared" si="2545"/>
        <v>0</v>
      </c>
      <c r="EI218" s="58">
        <f t="shared" si="2510"/>
        <v>0</v>
      </c>
      <c r="EJ218" s="17" t="str">
        <f t="shared" si="2302"/>
        <v>Inventory Cost</v>
      </c>
      <c r="EK218" s="28">
        <f t="shared" ref="EK218:EV218" si="2546">+EK219+EK223+EK227</f>
        <v>0</v>
      </c>
      <c r="EL218" s="28">
        <f t="shared" si="2546"/>
        <v>0</v>
      </c>
      <c r="EM218" s="28">
        <f t="shared" si="2546"/>
        <v>0</v>
      </c>
      <c r="EN218" s="28">
        <f t="shared" si="2546"/>
        <v>0</v>
      </c>
      <c r="EO218" s="28">
        <f t="shared" si="2546"/>
        <v>0</v>
      </c>
      <c r="EP218" s="28">
        <f t="shared" si="2546"/>
        <v>0</v>
      </c>
      <c r="EQ218" s="28">
        <f t="shared" si="2546"/>
        <v>0</v>
      </c>
      <c r="ER218" s="28">
        <f t="shared" si="2546"/>
        <v>0</v>
      </c>
      <c r="ES218" s="28">
        <f t="shared" si="2546"/>
        <v>0</v>
      </c>
      <c r="ET218" s="28">
        <f>+ET219+ET223+ET227</f>
        <v>5906.4624000000003</v>
      </c>
      <c r="EU218" s="28">
        <f t="shared" si="2546"/>
        <v>0</v>
      </c>
      <c r="EV218" s="28">
        <f t="shared" si="2546"/>
        <v>0</v>
      </c>
      <c r="EW218" s="28">
        <f>+EW219+EW223+EW227</f>
        <v>5906.4624000000003</v>
      </c>
      <c r="EX218" s="118">
        <f t="shared" si="1878"/>
        <v>-1</v>
      </c>
      <c r="EY218" s="58">
        <f t="shared" ref="EY218:FJ218" si="2547">+EY219+EY223+EY227</f>
        <v>8666.6666666666661</v>
      </c>
      <c r="EZ218" s="58">
        <f t="shared" si="2547"/>
        <v>8666.6666666666661</v>
      </c>
      <c r="FA218" s="58">
        <f t="shared" si="2547"/>
        <v>8666.6666666666661</v>
      </c>
      <c r="FB218" s="58">
        <f t="shared" si="2547"/>
        <v>8666.6666666666661</v>
      </c>
      <c r="FC218" s="58">
        <f t="shared" si="2547"/>
        <v>8666.6666666666661</v>
      </c>
      <c r="FD218" s="58">
        <f t="shared" si="2547"/>
        <v>8666.6666666666661</v>
      </c>
      <c r="FE218" s="58">
        <f t="shared" si="2547"/>
        <v>8666.6666666666661</v>
      </c>
      <c r="FF218" s="58">
        <f t="shared" si="2547"/>
        <v>8666.6666666666661</v>
      </c>
      <c r="FG218" s="58">
        <f t="shared" si="2547"/>
        <v>8666.6666666666661</v>
      </c>
      <c r="FH218" s="58">
        <f t="shared" si="2547"/>
        <v>8666.6666666666661</v>
      </c>
      <c r="FI218" s="58">
        <f t="shared" si="2547"/>
        <v>8666.6666666666661</v>
      </c>
      <c r="FJ218" s="58">
        <f t="shared" si="2547"/>
        <v>8666.6666666666661</v>
      </c>
      <c r="FK218" s="58">
        <f t="shared" si="2512"/>
        <v>104000.00000000001</v>
      </c>
    </row>
    <row r="219" spans="1:167" ht="14.45" customHeight="1" outlineLevel="1">
      <c r="A219" s="58">
        <f t="shared" ref="A219:L219" si="2548">+SUM(A220:A222)</f>
        <v>0</v>
      </c>
      <c r="B219" s="58">
        <f t="shared" si="2548"/>
        <v>0</v>
      </c>
      <c r="C219" s="58">
        <f t="shared" si="2548"/>
        <v>0</v>
      </c>
      <c r="D219" s="58">
        <f t="shared" si="2548"/>
        <v>0</v>
      </c>
      <c r="E219" s="58">
        <f t="shared" si="2548"/>
        <v>0</v>
      </c>
      <c r="F219" s="58">
        <f t="shared" si="2548"/>
        <v>0</v>
      </c>
      <c r="G219" s="58">
        <f t="shared" si="2548"/>
        <v>0</v>
      </c>
      <c r="H219" s="58">
        <f t="shared" si="2548"/>
        <v>0</v>
      </c>
      <c r="I219" s="58">
        <f t="shared" si="2548"/>
        <v>0</v>
      </c>
      <c r="J219" s="58">
        <f t="shared" si="2548"/>
        <v>0</v>
      </c>
      <c r="K219" s="58">
        <f t="shared" si="2548"/>
        <v>0</v>
      </c>
      <c r="L219" s="58">
        <f t="shared" si="2548"/>
        <v>0</v>
      </c>
      <c r="M219" s="58"/>
      <c r="N219" s="20" t="s">
        <v>184</v>
      </c>
      <c r="O219" s="58">
        <f t="shared" ref="O219" si="2549">+SUM(O220:O222)</f>
        <v>0</v>
      </c>
      <c r="P219" s="58">
        <f t="shared" ref="P219" si="2550">+SUM(P220:P222)</f>
        <v>0</v>
      </c>
      <c r="Q219" s="58">
        <f t="shared" ref="Q219" si="2551">+SUM(Q220:Q222)</f>
        <v>0</v>
      </c>
      <c r="R219" s="58">
        <f t="shared" ref="R219" si="2552">+SUM(R220:R222)</f>
        <v>0</v>
      </c>
      <c r="S219" s="58">
        <f t="shared" ref="S219" si="2553">+SUM(S220:S222)</f>
        <v>0</v>
      </c>
      <c r="T219" s="58">
        <f t="shared" ref="T219" si="2554">+SUM(T220:T222)</f>
        <v>0</v>
      </c>
      <c r="U219" s="58">
        <f t="shared" ref="U219" si="2555">+SUM(U220:U222)</f>
        <v>0</v>
      </c>
      <c r="V219" s="58">
        <f t="shared" ref="V219" si="2556">+SUM(V220:V222)</f>
        <v>0</v>
      </c>
      <c r="W219" s="58">
        <f t="shared" ref="W219" si="2557">+SUM(W220:W222)</f>
        <v>0</v>
      </c>
      <c r="X219" s="58">
        <f t="shared" ref="X219" si="2558">+SUM(X220:X222)</f>
        <v>0</v>
      </c>
      <c r="Y219" s="58">
        <f t="shared" ref="Y219" si="2559">+SUM(Y220:Y222)</f>
        <v>0</v>
      </c>
      <c r="Z219" s="58">
        <f t="shared" ref="Z219" si="2560">+SUM(Z220:Z222)</f>
        <v>0</v>
      </c>
      <c r="AA219" s="58"/>
      <c r="AB219" s="118">
        <f t="shared" si="1854"/>
        <v>0</v>
      </c>
      <c r="AC219" s="58">
        <f t="shared" ref="AC219" si="2561">+SUM(AC220:AC222)</f>
        <v>0</v>
      </c>
      <c r="AD219" s="58">
        <f t="shared" ref="AD219" si="2562">+SUM(AD220:AD222)</f>
        <v>0</v>
      </c>
      <c r="AE219" s="58">
        <f t="shared" ref="AE219" si="2563">+SUM(AE220:AE222)</f>
        <v>0</v>
      </c>
      <c r="AF219" s="58">
        <f t="shared" ref="AF219" si="2564">+SUM(AF220:AF222)</f>
        <v>0</v>
      </c>
      <c r="AG219" s="58">
        <f t="shared" ref="AG219" si="2565">+SUM(AG220:AG222)</f>
        <v>0</v>
      </c>
      <c r="AH219" s="58">
        <f t="shared" ref="AH219" si="2566">+SUM(AH220:AH222)</f>
        <v>0</v>
      </c>
      <c r="AI219" s="58">
        <f t="shared" ref="AI219" si="2567">+SUM(AI220:AI222)</f>
        <v>0</v>
      </c>
      <c r="AJ219" s="58">
        <f t="shared" ref="AJ219" si="2568">+SUM(AJ220:AJ222)</f>
        <v>0</v>
      </c>
      <c r="AK219" s="58">
        <f t="shared" ref="AK219" si="2569">+SUM(AK220:AK222)</f>
        <v>0</v>
      </c>
      <c r="AL219" s="58">
        <f t="shared" ref="AL219" si="2570">+SUM(AL220:AL222)</f>
        <v>0</v>
      </c>
      <c r="AM219" s="58">
        <f t="shared" ref="AM219" si="2571">+SUM(AM220:AM222)</f>
        <v>0</v>
      </c>
      <c r="AN219" s="58">
        <f t="shared" si="2537"/>
        <v>25833.333333333332</v>
      </c>
      <c r="AO219" s="58">
        <f t="shared" si="2537"/>
        <v>310000</v>
      </c>
      <c r="AQ219" s="58">
        <f t="shared" ref="AQ219:BB219" si="2572">+SUM(AQ220:AQ222)</f>
        <v>0</v>
      </c>
      <c r="AR219" s="58">
        <f t="shared" si="2572"/>
        <v>0</v>
      </c>
      <c r="AS219" s="58">
        <f t="shared" si="2572"/>
        <v>0</v>
      </c>
      <c r="AT219" s="58">
        <f t="shared" si="2572"/>
        <v>0</v>
      </c>
      <c r="AU219" s="58">
        <f t="shared" si="2572"/>
        <v>0</v>
      </c>
      <c r="AV219" s="58">
        <f t="shared" si="2572"/>
        <v>0</v>
      </c>
      <c r="AW219" s="58">
        <f t="shared" si="2572"/>
        <v>0</v>
      </c>
      <c r="AX219" s="58">
        <f t="shared" si="2572"/>
        <v>0</v>
      </c>
      <c r="AY219" s="58">
        <f t="shared" si="2572"/>
        <v>0</v>
      </c>
      <c r="AZ219" s="58">
        <f t="shared" si="2572"/>
        <v>0</v>
      </c>
      <c r="BA219" s="58">
        <f t="shared" si="2572"/>
        <v>0</v>
      </c>
      <c r="BB219" s="58">
        <f t="shared" si="2572"/>
        <v>0</v>
      </c>
      <c r="BC219" s="58">
        <f t="shared" si="2504"/>
        <v>0</v>
      </c>
      <c r="BD219" s="20" t="str">
        <f t="shared" si="2230"/>
        <v>Finance Charge - Floor Funding</v>
      </c>
      <c r="BE219" s="58">
        <f t="shared" ref="BE219" si="2573">+SUM(BE220:BE222)</f>
        <v>0</v>
      </c>
      <c r="BF219" s="58">
        <f t="shared" ref="BF219:BQ219" si="2574">+SUM(BF220:BF222)</f>
        <v>0</v>
      </c>
      <c r="BG219" s="58">
        <f t="shared" si="2574"/>
        <v>0</v>
      </c>
      <c r="BH219" s="58">
        <f t="shared" si="2574"/>
        <v>0</v>
      </c>
      <c r="BI219" s="58">
        <f t="shared" si="2574"/>
        <v>0</v>
      </c>
      <c r="BJ219" s="58">
        <f t="shared" si="2574"/>
        <v>0</v>
      </c>
      <c r="BK219" s="58">
        <f t="shared" si="2574"/>
        <v>0</v>
      </c>
      <c r="BL219" s="58">
        <f t="shared" si="2574"/>
        <v>0</v>
      </c>
      <c r="BM219" s="58">
        <f t="shared" si="2574"/>
        <v>0</v>
      </c>
      <c r="BN219" s="58">
        <f t="shared" si="2574"/>
        <v>0</v>
      </c>
      <c r="BO219" s="58">
        <f t="shared" si="2574"/>
        <v>0</v>
      </c>
      <c r="BP219" s="58">
        <f t="shared" si="2574"/>
        <v>0</v>
      </c>
      <c r="BQ219" s="58">
        <f t="shared" si="2574"/>
        <v>0</v>
      </c>
      <c r="BR219" s="118">
        <f t="shared" si="1870"/>
        <v>0</v>
      </c>
      <c r="BS219" s="58">
        <f t="shared" ref="BS219:CD219" si="2575">+SUM(BS220:BS222)</f>
        <v>0</v>
      </c>
      <c r="BT219" s="58">
        <f t="shared" si="2575"/>
        <v>0</v>
      </c>
      <c r="BU219" s="58">
        <f t="shared" si="2575"/>
        <v>0</v>
      </c>
      <c r="BV219" s="58">
        <f t="shared" si="2575"/>
        <v>0</v>
      </c>
      <c r="BW219" s="58">
        <f t="shared" si="2575"/>
        <v>0</v>
      </c>
      <c r="BX219" s="58">
        <f t="shared" si="2575"/>
        <v>0</v>
      </c>
      <c r="BY219" s="58">
        <f t="shared" si="2575"/>
        <v>0</v>
      </c>
      <c r="BZ219" s="58">
        <f t="shared" si="2575"/>
        <v>0</v>
      </c>
      <c r="CA219" s="58">
        <f t="shared" si="2575"/>
        <v>0</v>
      </c>
      <c r="CB219" s="58">
        <f t="shared" si="2575"/>
        <v>0</v>
      </c>
      <c r="CC219" s="58">
        <f t="shared" si="2575"/>
        <v>0</v>
      </c>
      <c r="CD219" s="58">
        <f t="shared" si="2575"/>
        <v>0</v>
      </c>
      <c r="CE219" s="58">
        <f t="shared" si="2506"/>
        <v>0</v>
      </c>
      <c r="CF219" s="106"/>
      <c r="CG219" s="58">
        <f t="shared" ref="CG219:CR219" si="2576">+SUM(CG220:CG222)</f>
        <v>0</v>
      </c>
      <c r="CH219" s="58">
        <f t="shared" si="2576"/>
        <v>0</v>
      </c>
      <c r="CI219" s="58">
        <f t="shared" si="2576"/>
        <v>0</v>
      </c>
      <c r="CJ219" s="58">
        <f t="shared" si="2576"/>
        <v>0</v>
      </c>
      <c r="CK219" s="58">
        <f t="shared" si="2576"/>
        <v>0</v>
      </c>
      <c r="CL219" s="58">
        <f t="shared" si="2576"/>
        <v>0</v>
      </c>
      <c r="CM219" s="58">
        <f t="shared" si="2576"/>
        <v>0</v>
      </c>
      <c r="CN219" s="58">
        <f t="shared" si="2576"/>
        <v>0</v>
      </c>
      <c r="CO219" s="58">
        <f t="shared" si="2576"/>
        <v>0</v>
      </c>
      <c r="CP219" s="58">
        <f t="shared" si="2576"/>
        <v>0</v>
      </c>
      <c r="CQ219" s="58">
        <f t="shared" si="2576"/>
        <v>0</v>
      </c>
      <c r="CR219" s="58">
        <f t="shared" si="2576"/>
        <v>0</v>
      </c>
      <c r="CS219" s="58">
        <f t="shared" si="2507"/>
        <v>0</v>
      </c>
      <c r="CT219" s="20" t="str">
        <f t="shared" si="2231"/>
        <v>Finance Charge - Floor Funding</v>
      </c>
      <c r="CU219" s="58">
        <f t="shared" ref="CU219:DG219" si="2577">+SUM(CU220:CU222)</f>
        <v>0</v>
      </c>
      <c r="CV219" s="58">
        <f t="shared" si="2577"/>
        <v>0</v>
      </c>
      <c r="CW219" s="58">
        <f t="shared" si="2577"/>
        <v>0</v>
      </c>
      <c r="CX219" s="58">
        <f t="shared" si="2577"/>
        <v>0</v>
      </c>
      <c r="CY219" s="58">
        <f t="shared" si="2577"/>
        <v>0</v>
      </c>
      <c r="CZ219" s="58">
        <f t="shared" si="2577"/>
        <v>0</v>
      </c>
      <c r="DA219" s="58">
        <f t="shared" si="2577"/>
        <v>0</v>
      </c>
      <c r="DB219" s="58">
        <f t="shared" si="2577"/>
        <v>0</v>
      </c>
      <c r="DC219" s="58">
        <f t="shared" si="2577"/>
        <v>0</v>
      </c>
      <c r="DD219" s="58">
        <f t="shared" si="2577"/>
        <v>0</v>
      </c>
      <c r="DE219" s="58">
        <f t="shared" si="2577"/>
        <v>0</v>
      </c>
      <c r="DF219" s="58">
        <f t="shared" si="2577"/>
        <v>0</v>
      </c>
      <c r="DG219" s="58">
        <f t="shared" si="2577"/>
        <v>0</v>
      </c>
      <c r="DH219" s="118">
        <f t="shared" si="1874"/>
        <v>0</v>
      </c>
      <c r="DI219" s="58">
        <f t="shared" ref="DI219:DT219" si="2578">+SUM(DI220:DI222)</f>
        <v>0</v>
      </c>
      <c r="DJ219" s="58">
        <f t="shared" si="2578"/>
        <v>0</v>
      </c>
      <c r="DK219" s="58">
        <f t="shared" si="2578"/>
        <v>0</v>
      </c>
      <c r="DL219" s="58">
        <f t="shared" si="2578"/>
        <v>0</v>
      </c>
      <c r="DM219" s="58">
        <f t="shared" si="2578"/>
        <v>0</v>
      </c>
      <c r="DN219" s="58">
        <f t="shared" si="2578"/>
        <v>0</v>
      </c>
      <c r="DO219" s="58">
        <f t="shared" si="2578"/>
        <v>0</v>
      </c>
      <c r="DP219" s="58">
        <f t="shared" si="2578"/>
        <v>0</v>
      </c>
      <c r="DQ219" s="58">
        <f t="shared" si="2578"/>
        <v>0</v>
      </c>
      <c r="DR219" s="58">
        <f t="shared" si="2578"/>
        <v>0</v>
      </c>
      <c r="DS219" s="58">
        <f t="shared" si="2578"/>
        <v>0</v>
      </c>
      <c r="DT219" s="58">
        <f t="shared" si="2578"/>
        <v>0</v>
      </c>
      <c r="DU219" s="58">
        <f t="shared" si="2509"/>
        <v>0</v>
      </c>
      <c r="DW219" s="28">
        <f t="shared" ref="DW219:EH219" si="2579">+SUM(DW220:DW222)</f>
        <v>0</v>
      </c>
      <c r="DX219" s="28">
        <f t="shared" si="2579"/>
        <v>0</v>
      </c>
      <c r="DY219" s="28">
        <f t="shared" si="2579"/>
        <v>0</v>
      </c>
      <c r="DZ219" s="28">
        <f t="shared" si="2579"/>
        <v>0</v>
      </c>
      <c r="EA219" s="28">
        <f t="shared" si="2579"/>
        <v>0</v>
      </c>
      <c r="EB219" s="28">
        <f t="shared" si="2579"/>
        <v>0</v>
      </c>
      <c r="EC219" s="28">
        <f t="shared" si="2579"/>
        <v>0</v>
      </c>
      <c r="ED219" s="28">
        <f t="shared" si="2579"/>
        <v>0</v>
      </c>
      <c r="EE219" s="28">
        <f t="shared" si="2579"/>
        <v>0</v>
      </c>
      <c r="EF219" s="28">
        <f t="shared" si="2579"/>
        <v>0</v>
      </c>
      <c r="EG219" s="28">
        <f t="shared" si="2579"/>
        <v>0</v>
      </c>
      <c r="EH219" s="28">
        <f t="shared" si="2579"/>
        <v>0</v>
      </c>
      <c r="EI219" s="58">
        <f t="shared" si="2510"/>
        <v>0</v>
      </c>
      <c r="EJ219" s="20" t="str">
        <f t="shared" si="2302"/>
        <v>Finance Charge - Floor Funding</v>
      </c>
      <c r="EK219" s="28">
        <f t="shared" ref="EK219:EV219" si="2580">+SUM(EK220:EK222)</f>
        <v>0</v>
      </c>
      <c r="EL219" s="28">
        <f t="shared" si="2580"/>
        <v>0</v>
      </c>
      <c r="EM219" s="28">
        <f t="shared" si="2580"/>
        <v>0</v>
      </c>
      <c r="EN219" s="28">
        <f t="shared" si="2580"/>
        <v>0</v>
      </c>
      <c r="EO219" s="28">
        <f t="shared" si="2580"/>
        <v>0</v>
      </c>
      <c r="EP219" s="28">
        <f t="shared" si="2580"/>
        <v>0</v>
      </c>
      <c r="EQ219" s="28">
        <f t="shared" si="2580"/>
        <v>0</v>
      </c>
      <c r="ER219" s="28">
        <f t="shared" si="2580"/>
        <v>0</v>
      </c>
      <c r="ES219" s="28">
        <f t="shared" si="2580"/>
        <v>0</v>
      </c>
      <c r="ET219" s="28">
        <f>+SUM(ET220:ET222)</f>
        <v>0</v>
      </c>
      <c r="EU219" s="28">
        <f t="shared" si="2580"/>
        <v>0</v>
      </c>
      <c r="EV219" s="28">
        <f t="shared" si="2580"/>
        <v>0</v>
      </c>
      <c r="EW219" s="28">
        <f>+SUM(EW220:EW222)</f>
        <v>0</v>
      </c>
      <c r="EX219" s="118" t="e">
        <f t="shared" si="1878"/>
        <v>#DIV/0!</v>
      </c>
      <c r="EY219" s="58">
        <f t="shared" ref="EY219:FJ219" si="2581">+SUM(EY220:EY222)</f>
        <v>0</v>
      </c>
      <c r="EZ219" s="58">
        <f t="shared" si="2581"/>
        <v>0</v>
      </c>
      <c r="FA219" s="58">
        <f t="shared" si="2581"/>
        <v>0</v>
      </c>
      <c r="FB219" s="58">
        <f t="shared" si="2581"/>
        <v>0</v>
      </c>
      <c r="FC219" s="58">
        <f t="shared" si="2581"/>
        <v>0</v>
      </c>
      <c r="FD219" s="58">
        <f t="shared" si="2581"/>
        <v>0</v>
      </c>
      <c r="FE219" s="58">
        <f t="shared" si="2581"/>
        <v>0</v>
      </c>
      <c r="FF219" s="58">
        <f t="shared" si="2581"/>
        <v>0</v>
      </c>
      <c r="FG219" s="58">
        <f t="shared" si="2581"/>
        <v>0</v>
      </c>
      <c r="FH219" s="58">
        <f t="shared" si="2581"/>
        <v>0</v>
      </c>
      <c r="FI219" s="58">
        <f t="shared" si="2581"/>
        <v>0</v>
      </c>
      <c r="FJ219" s="58">
        <f t="shared" si="2581"/>
        <v>0</v>
      </c>
      <c r="FK219" s="58">
        <f t="shared" si="2512"/>
        <v>0</v>
      </c>
    </row>
    <row r="220" spans="1:167" ht="14.45" hidden="1" customHeight="1" outlineLevel="2">
      <c r="A220" s="106">
        <f t="shared" ref="A220:L222" si="2582">+AQ220+CG220+DW220</f>
        <v>0</v>
      </c>
      <c r="B220" s="106">
        <f t="shared" si="2582"/>
        <v>0</v>
      </c>
      <c r="C220" s="106">
        <f t="shared" si="2582"/>
        <v>0</v>
      </c>
      <c r="D220" s="106">
        <f t="shared" si="2582"/>
        <v>0</v>
      </c>
      <c r="E220" s="106">
        <f t="shared" si="2582"/>
        <v>0</v>
      </c>
      <c r="F220" s="106">
        <f t="shared" si="2582"/>
        <v>0</v>
      </c>
      <c r="G220" s="106">
        <f t="shared" si="2582"/>
        <v>0</v>
      </c>
      <c r="H220" s="106">
        <f t="shared" si="2582"/>
        <v>0</v>
      </c>
      <c r="I220" s="106">
        <f t="shared" si="2582"/>
        <v>0</v>
      </c>
      <c r="J220" s="106">
        <f t="shared" si="2582"/>
        <v>0</v>
      </c>
      <c r="K220" s="106">
        <f t="shared" si="2582"/>
        <v>0</v>
      </c>
      <c r="L220" s="106">
        <f t="shared" si="2582"/>
        <v>0</v>
      </c>
      <c r="M220" s="106">
        <f t="shared" ref="M220:M222" si="2583">+SUM(A220:L220)</f>
        <v>0</v>
      </c>
      <c r="N220" s="16" t="s">
        <v>185</v>
      </c>
      <c r="O220" s="106">
        <f t="shared" ref="O220:O222" si="2584">+BE220+CU220+EK220</f>
        <v>0</v>
      </c>
      <c r="P220" s="106">
        <f t="shared" ref="P220:P222" si="2585">+BF220+CV220+EL220</f>
        <v>0</v>
      </c>
      <c r="Q220" s="106">
        <f t="shared" ref="Q220:Q222" si="2586">+BG220+CW220+EM220</f>
        <v>0</v>
      </c>
      <c r="R220" s="106">
        <f t="shared" ref="R220:R222" si="2587">+BH220+CX220+EN220</f>
        <v>0</v>
      </c>
      <c r="S220" s="106">
        <f t="shared" ref="S220:S222" si="2588">+BI220+CY220+EO220</f>
        <v>0</v>
      </c>
      <c r="T220" s="106">
        <f t="shared" ref="T220:T222" si="2589">+BJ220+CZ220+EP220</f>
        <v>0</v>
      </c>
      <c r="U220" s="106">
        <f t="shared" ref="U220:U222" si="2590">+BK220+DA220+EQ220</f>
        <v>0</v>
      </c>
      <c r="V220" s="106">
        <f t="shared" ref="V220:V222" si="2591">+BL220+DB220+ER220</f>
        <v>0</v>
      </c>
      <c r="W220" s="106">
        <f t="shared" ref="W220:W222" si="2592">+BM220+DC220+ES220</f>
        <v>0</v>
      </c>
      <c r="X220" s="106">
        <f t="shared" ref="X220:X222" si="2593">+BN220+DD220+ET220</f>
        <v>0</v>
      </c>
      <c r="Y220" s="106">
        <f t="shared" ref="Y220:Y222" si="2594">+BO220+DE220+EU220</f>
        <v>0</v>
      </c>
      <c r="Z220" s="106">
        <f t="shared" ref="Z220:Z222" si="2595">+BP220+DF220+EV220</f>
        <v>0</v>
      </c>
      <c r="AA220" s="106">
        <f t="shared" ref="AA220:AA222" si="2596">+SUM(O220:Z220)</f>
        <v>0</v>
      </c>
      <c r="AB220" s="118">
        <f t="shared" si="1854"/>
        <v>0</v>
      </c>
      <c r="AC220" s="106">
        <f t="shared" ref="AC220:AC222" si="2597">+BS220+DI220+EY220</f>
        <v>0</v>
      </c>
      <c r="AD220" s="106">
        <f t="shared" ref="AD220:AD222" si="2598">+BT220+DJ220+EZ220</f>
        <v>0</v>
      </c>
      <c r="AE220" s="106">
        <f t="shared" ref="AE220:AE222" si="2599">+BU220+DK220+FA220</f>
        <v>0</v>
      </c>
      <c r="AF220" s="106">
        <f t="shared" ref="AF220:AF222" si="2600">+BV220+DL220+FB220</f>
        <v>0</v>
      </c>
      <c r="AG220" s="106">
        <f t="shared" ref="AG220:AG222" si="2601">+BW220+DM220+FC220</f>
        <v>0</v>
      </c>
      <c r="AH220" s="106">
        <f t="shared" ref="AH220:AH222" si="2602">+BX220+DN220+FD220</f>
        <v>0</v>
      </c>
      <c r="AI220" s="106">
        <f t="shared" ref="AI220:AI222" si="2603">+BY220+DO220+FE220</f>
        <v>0</v>
      </c>
      <c r="AJ220" s="106">
        <f t="shared" ref="AJ220:AJ222" si="2604">+BZ220+DP220+FF220</f>
        <v>0</v>
      </c>
      <c r="AK220" s="106">
        <f t="shared" ref="AK220:AK222" si="2605">+CA220+DQ220+FG220</f>
        <v>0</v>
      </c>
      <c r="AL220" s="106">
        <f t="shared" ref="AL220:AL222" si="2606">+CB220+DR220+FH220</f>
        <v>0</v>
      </c>
      <c r="AM220" s="106">
        <f t="shared" ref="AM220:AM222" si="2607">+CC220+DS220+FI220</f>
        <v>0</v>
      </c>
      <c r="AN220" s="106">
        <f t="shared" ref="AN220:AN222" si="2608">+CD220+DT220+FJ220</f>
        <v>0</v>
      </c>
      <c r="AO220" s="106">
        <f t="shared" ref="AO220:AO222" si="2609">+SUM(AC220:AN220)</f>
        <v>0</v>
      </c>
      <c r="AQ220" s="106"/>
      <c r="AR220" s="106"/>
      <c r="AS220" s="106"/>
      <c r="AT220" s="106"/>
      <c r="AU220" s="106"/>
      <c r="AV220" s="106"/>
      <c r="AW220" s="106"/>
      <c r="AX220" s="106"/>
      <c r="AY220" s="106"/>
      <c r="AZ220" s="106"/>
      <c r="BA220" s="106"/>
      <c r="BB220" s="106"/>
      <c r="BC220" s="106">
        <f>+SUM(AQ220:BB220)</f>
        <v>0</v>
      </c>
      <c r="BD220" s="16" t="str">
        <f t="shared" si="2230"/>
        <v>Interest - Floor Fund - POC</v>
      </c>
      <c r="BE220" s="106">
        <f>+VLOOKUP($BD220,'Jan-25'!$A:$J,5,0)</f>
        <v>0</v>
      </c>
      <c r="BF220" s="106">
        <f>+VLOOKUP($BD220,'Feb-25'!$A:$J,5,0)</f>
        <v>0</v>
      </c>
      <c r="BG220" s="106">
        <f>+VLOOKUP($BD220,'Mar-25'!$A:$J,5,0)</f>
        <v>0</v>
      </c>
      <c r="BH220" s="106">
        <f>+VLOOKUP($BD220,'Apr-25'!$A:$J,5,0)</f>
        <v>0</v>
      </c>
      <c r="BI220" s="106">
        <f>+VLOOKUP($BD220,'May-25'!$A:$J,5,0)</f>
        <v>0</v>
      </c>
      <c r="BJ220" s="106">
        <f>+VLOOKUP($BD220,'June-25'!$A:$J,5,0)</f>
        <v>0</v>
      </c>
      <c r="BK220" s="106">
        <f>+VLOOKUP($BD220,'July-25'!$A:$J,5,0)</f>
        <v>0</v>
      </c>
      <c r="BL220" s="106">
        <f>+VLOOKUP($BD220,'Aug-25'!$A:$J,5,0)</f>
        <v>0</v>
      </c>
      <c r="BM220" s="106">
        <f>+VLOOKUP($BD220,'Sep-25'!$A:$J,5,0)</f>
        <v>0</v>
      </c>
      <c r="BN220" s="106">
        <f>+VLOOKUP($BD220,'Oct-25'!$A:$J,5,0)</f>
        <v>0</v>
      </c>
      <c r="BO220" s="106">
        <f>+VLOOKUP($BD220,'Nov-25'!$A:$J,5,0)</f>
        <v>0</v>
      </c>
      <c r="BP220" s="106">
        <f>+VLOOKUP($BD220,'Dec-25'!$A:$J,5,0)</f>
        <v>0</v>
      </c>
      <c r="BQ220" s="106">
        <f t="shared" ref="BQ220:BQ222" si="2610">+SUM(BE220:BP220)</f>
        <v>0</v>
      </c>
      <c r="BR220" s="118">
        <f t="shared" si="1870"/>
        <v>0</v>
      </c>
      <c r="BS220" s="106"/>
      <c r="BT220" s="106"/>
      <c r="BU220" s="106"/>
      <c r="BV220" s="106"/>
      <c r="BW220" s="106"/>
      <c r="BX220" s="106"/>
      <c r="BY220" s="106"/>
      <c r="BZ220" s="106"/>
      <c r="CA220" s="106"/>
      <c r="CB220" s="106"/>
      <c r="CC220" s="106"/>
      <c r="CD220" s="106"/>
      <c r="CE220" s="106">
        <f>+SUM(BS220:CD220)</f>
        <v>0</v>
      </c>
      <c r="CF220" s="106"/>
      <c r="CG220" s="110">
        <v>0</v>
      </c>
      <c r="CH220" s="106">
        <v>0</v>
      </c>
      <c r="CI220" s="106">
        <v>0</v>
      </c>
      <c r="CJ220" s="106">
        <v>0</v>
      </c>
      <c r="CK220" s="106">
        <v>0</v>
      </c>
      <c r="CL220" s="106">
        <v>0</v>
      </c>
      <c r="CM220" s="106">
        <v>0</v>
      </c>
      <c r="CN220" s="106">
        <v>0</v>
      </c>
      <c r="CO220" s="106">
        <v>0</v>
      </c>
      <c r="CP220" s="106">
        <v>0</v>
      </c>
      <c r="CQ220" s="106">
        <v>0</v>
      </c>
      <c r="CR220" s="106">
        <v>0</v>
      </c>
      <c r="CS220" s="106">
        <f>+SUM(CG220:CR220)</f>
        <v>0</v>
      </c>
      <c r="CT220" s="16" t="str">
        <f t="shared" si="2231"/>
        <v>Interest - Floor Fund - POC</v>
      </c>
      <c r="CU220" s="106">
        <f>+VLOOKUP($BD220,'Jan-25'!$A:$J,8,0)</f>
        <v>0</v>
      </c>
      <c r="CV220" s="106">
        <f>+VLOOKUP($BD220,'Feb-25'!$A:$J,8,0)</f>
        <v>0</v>
      </c>
      <c r="CW220" s="106">
        <f>+VLOOKUP($BD220,'Mar-25'!$A:$J,8,0)</f>
        <v>0</v>
      </c>
      <c r="CX220" s="106">
        <f>+VLOOKUP($BD220,'Apr-25'!$A:$J,8,0)</f>
        <v>0</v>
      </c>
      <c r="CY220" s="106">
        <f>+VLOOKUP($BD220,'May-25'!$A:$J,8,0)</f>
        <v>0</v>
      </c>
      <c r="CZ220" s="106">
        <f>+VLOOKUP($BD220,'June-25'!$A:$J,8,0)</f>
        <v>0</v>
      </c>
      <c r="DA220" s="106">
        <f>+VLOOKUP($BD220,'July-25'!$A:$J,8,0)</f>
        <v>0</v>
      </c>
      <c r="DB220" s="106">
        <f>+VLOOKUP($BD220,'Aug-25'!$A:$J,8,0)</f>
        <v>0</v>
      </c>
      <c r="DC220" s="106">
        <f>+VLOOKUP($BD220,'Sep-25'!$A:$J,8,0)</f>
        <v>0</v>
      </c>
      <c r="DD220" s="106">
        <f>+VLOOKUP($BD220,'Oct-25'!$A:$J,8,0)</f>
        <v>0</v>
      </c>
      <c r="DE220" s="106">
        <f>+VLOOKUP($BD220,'Nov-25'!$A:$J,8,0)</f>
        <v>0</v>
      </c>
      <c r="DF220" s="106">
        <f>+VLOOKUP($BD220,'Dec-25'!$A:$J,8,0)</f>
        <v>0</v>
      </c>
      <c r="DG220" s="106">
        <f t="shared" ref="DG220:DG222" si="2611">+SUM(CU220:DF220)</f>
        <v>0</v>
      </c>
      <c r="DH220" s="118">
        <f t="shared" si="1874"/>
        <v>0</v>
      </c>
      <c r="DI220" s="106"/>
      <c r="DJ220" s="106"/>
      <c r="DK220" s="106"/>
      <c r="DL220" s="106"/>
      <c r="DM220" s="106"/>
      <c r="DN220" s="106"/>
      <c r="DO220" s="106"/>
      <c r="DP220" s="106"/>
      <c r="DQ220" s="106"/>
      <c r="DR220" s="106"/>
      <c r="DS220" s="106"/>
      <c r="DT220" s="106"/>
      <c r="DU220" s="106">
        <f>+SUM(DI220:DT220)</f>
        <v>0</v>
      </c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106">
        <f>+SUM(DW220:EH220)</f>
        <v>0</v>
      </c>
      <c r="EJ220" s="16" t="str">
        <f t="shared" si="2302"/>
        <v>Interest - Floor Fund - POC</v>
      </c>
      <c r="EK220" s="22">
        <f>+VLOOKUP($BD220,'Jan-25'!$A:$J,10,0)</f>
        <v>0</v>
      </c>
      <c r="EL220" s="22">
        <f>+VLOOKUP($BD220,'Feb-25'!$A:$J,10,0)</f>
        <v>0</v>
      </c>
      <c r="EM220" s="22">
        <f>+VLOOKUP($BD220,'Mar-25'!$A:$J,10,0)</f>
        <v>0</v>
      </c>
      <c r="EN220" s="22">
        <f>+VLOOKUP($BD220,'Apr-25'!$A:$J,10,0)</f>
        <v>0</v>
      </c>
      <c r="EO220" s="22">
        <f>+VLOOKUP($BD220,'May-25'!$A:$J,10,0)</f>
        <v>0</v>
      </c>
      <c r="EP220" s="22">
        <f>+VLOOKUP($BD220,'June-25'!$A:$J,10,0)</f>
        <v>0</v>
      </c>
      <c r="EQ220" s="22">
        <f>+VLOOKUP($BD220,'July-25'!$A:$J,10,0)</f>
        <v>0</v>
      </c>
      <c r="ER220" s="22">
        <f>+VLOOKUP($BD220,'Aug-25'!$A:$J,10,0)</f>
        <v>0</v>
      </c>
      <c r="ES220" s="22">
        <f>+VLOOKUP($BD220,'Sep-25'!$A:$J,10,0)</f>
        <v>0</v>
      </c>
      <c r="ET220" s="22">
        <f>+VLOOKUP($BD220,'Oct-25'!$A:$J,10,0)</f>
        <v>0</v>
      </c>
      <c r="EU220" s="22">
        <f>+VLOOKUP($BD220,'Nov-25'!$A:$J,10,0)</f>
        <v>0</v>
      </c>
      <c r="EV220" s="22">
        <f>+VLOOKUP($BD220,'Dec-25'!$A:$J,10,0)</f>
        <v>0</v>
      </c>
      <c r="EW220" s="22">
        <f t="shared" ref="EW220:EW222" si="2612">+SUM(EK220:EV220)</f>
        <v>0</v>
      </c>
      <c r="EX220" s="118" t="e">
        <f t="shared" si="1878"/>
        <v>#DIV/0!</v>
      </c>
      <c r="EY220" s="106"/>
      <c r="EZ220" s="106"/>
      <c r="FA220" s="106"/>
      <c r="FB220" s="106"/>
      <c r="FC220" s="106"/>
      <c r="FD220" s="106"/>
      <c r="FE220" s="106"/>
      <c r="FF220" s="106"/>
      <c r="FG220" s="106"/>
      <c r="FH220" s="106"/>
      <c r="FI220" s="106"/>
      <c r="FJ220" s="106"/>
      <c r="FK220" s="106">
        <f>+SUM(EY220:FJ220)</f>
        <v>0</v>
      </c>
    </row>
    <row r="221" spans="1:167" ht="14.45" hidden="1" customHeight="1" outlineLevel="2">
      <c r="A221" s="106">
        <f t="shared" si="2582"/>
        <v>0</v>
      </c>
      <c r="B221" s="106">
        <f t="shared" si="2582"/>
        <v>0</v>
      </c>
      <c r="C221" s="106">
        <f t="shared" si="2582"/>
        <v>0</v>
      </c>
      <c r="D221" s="106">
        <f t="shared" si="2582"/>
        <v>0</v>
      </c>
      <c r="E221" s="106">
        <f t="shared" si="2582"/>
        <v>0</v>
      </c>
      <c r="F221" s="106">
        <f t="shared" si="2582"/>
        <v>0</v>
      </c>
      <c r="G221" s="106">
        <f t="shared" si="2582"/>
        <v>0</v>
      </c>
      <c r="H221" s="106">
        <f t="shared" si="2582"/>
        <v>0</v>
      </c>
      <c r="I221" s="106">
        <f t="shared" si="2582"/>
        <v>0</v>
      </c>
      <c r="J221" s="106">
        <f t="shared" si="2582"/>
        <v>0</v>
      </c>
      <c r="K221" s="106">
        <f t="shared" si="2582"/>
        <v>0</v>
      </c>
      <c r="L221" s="106">
        <f t="shared" si="2582"/>
        <v>0</v>
      </c>
      <c r="M221" s="106">
        <f t="shared" si="2583"/>
        <v>0</v>
      </c>
      <c r="N221" s="16" t="s">
        <v>236</v>
      </c>
      <c r="O221" s="106">
        <f t="shared" si="2584"/>
        <v>0</v>
      </c>
      <c r="P221" s="106">
        <f t="shared" si="2585"/>
        <v>0</v>
      </c>
      <c r="Q221" s="106">
        <f t="shared" si="2586"/>
        <v>0</v>
      </c>
      <c r="R221" s="106">
        <f t="shared" si="2587"/>
        <v>0</v>
      </c>
      <c r="S221" s="106">
        <f t="shared" si="2588"/>
        <v>0</v>
      </c>
      <c r="T221" s="106">
        <f t="shared" si="2589"/>
        <v>0</v>
      </c>
      <c r="U221" s="106">
        <f t="shared" si="2590"/>
        <v>0</v>
      </c>
      <c r="V221" s="106">
        <f t="shared" si="2591"/>
        <v>0</v>
      </c>
      <c r="W221" s="106">
        <f t="shared" si="2592"/>
        <v>0</v>
      </c>
      <c r="X221" s="106">
        <f t="shared" si="2593"/>
        <v>0</v>
      </c>
      <c r="Y221" s="106">
        <f t="shared" si="2594"/>
        <v>0</v>
      </c>
      <c r="Z221" s="106">
        <f t="shared" si="2595"/>
        <v>0</v>
      </c>
      <c r="AA221" s="106">
        <f t="shared" si="2596"/>
        <v>0</v>
      </c>
      <c r="AB221" s="118">
        <f t="shared" si="1854"/>
        <v>0</v>
      </c>
      <c r="AC221" s="106">
        <f t="shared" si="2597"/>
        <v>0</v>
      </c>
      <c r="AD221" s="106">
        <f t="shared" si="2598"/>
        <v>0</v>
      </c>
      <c r="AE221" s="106">
        <f t="shared" si="2599"/>
        <v>0</v>
      </c>
      <c r="AF221" s="106">
        <f t="shared" si="2600"/>
        <v>0</v>
      </c>
      <c r="AG221" s="106">
        <f t="shared" si="2601"/>
        <v>0</v>
      </c>
      <c r="AH221" s="106">
        <f t="shared" si="2602"/>
        <v>0</v>
      </c>
      <c r="AI221" s="106">
        <f t="shared" si="2603"/>
        <v>0</v>
      </c>
      <c r="AJ221" s="106">
        <f t="shared" si="2604"/>
        <v>0</v>
      </c>
      <c r="AK221" s="106">
        <f t="shared" si="2605"/>
        <v>0</v>
      </c>
      <c r="AL221" s="106">
        <f t="shared" si="2606"/>
        <v>0</v>
      </c>
      <c r="AM221" s="106">
        <f t="shared" si="2607"/>
        <v>0</v>
      </c>
      <c r="AN221" s="106">
        <f t="shared" si="2608"/>
        <v>0</v>
      </c>
      <c r="AO221" s="106">
        <f t="shared" si="2609"/>
        <v>0</v>
      </c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  <c r="BA221" s="106"/>
      <c r="BB221" s="106"/>
      <c r="BC221" s="106">
        <f>+SUM(AQ221:BB221)</f>
        <v>0</v>
      </c>
      <c r="BD221" s="16" t="str">
        <f t="shared" si="2230"/>
        <v>Interest on Unsecured Loan - Skyline</v>
      </c>
      <c r="BE221" s="106">
        <f>+VLOOKUP($BD221,'Jan-25'!$A:$J,5,0)</f>
        <v>0</v>
      </c>
      <c r="BF221" s="106">
        <f>+VLOOKUP($BD221,'Feb-25'!$A:$J,5,0)</f>
        <v>0</v>
      </c>
      <c r="BG221" s="106">
        <f>+VLOOKUP($BD221,'Mar-25'!$A:$J,5,0)</f>
        <v>0</v>
      </c>
      <c r="BH221" s="106">
        <f>+VLOOKUP($BD221,'Apr-25'!$A:$J,5,0)</f>
        <v>0</v>
      </c>
      <c r="BI221" s="106">
        <f>+VLOOKUP($BD221,'May-25'!$A:$J,5,0)</f>
        <v>0</v>
      </c>
      <c r="BJ221" s="106">
        <f>+VLOOKUP($BD221,'June-25'!$A:$J,5,0)</f>
        <v>0</v>
      </c>
      <c r="BK221" s="106">
        <f>+VLOOKUP($BD221,'July-25'!$A:$J,5,0)</f>
        <v>0</v>
      </c>
      <c r="BL221" s="106">
        <f>+VLOOKUP($BD221,'Aug-25'!$A:$J,5,0)</f>
        <v>0</v>
      </c>
      <c r="BM221" s="106">
        <f>+VLOOKUP($BD221,'Sep-25'!$A:$J,5,0)</f>
        <v>0</v>
      </c>
      <c r="BN221" s="106">
        <f>+VLOOKUP($BD221,'Oct-25'!$A:$J,5,0)</f>
        <v>0</v>
      </c>
      <c r="BO221" s="106">
        <f>+VLOOKUP($BD221,'Nov-25'!$A:$J,5,0)</f>
        <v>0</v>
      </c>
      <c r="BP221" s="106">
        <f>+VLOOKUP($BD221,'Dec-25'!$A:$J,5,0)</f>
        <v>0</v>
      </c>
      <c r="BQ221" s="106">
        <f t="shared" si="2610"/>
        <v>0</v>
      </c>
      <c r="BR221" s="118">
        <f t="shared" si="1870"/>
        <v>0</v>
      </c>
      <c r="BS221" s="106"/>
      <c r="BT221" s="106"/>
      <c r="BU221" s="106"/>
      <c r="BV221" s="106"/>
      <c r="BW221" s="106"/>
      <c r="BX221" s="106"/>
      <c r="BY221" s="106"/>
      <c r="BZ221" s="106"/>
      <c r="CA221" s="106"/>
      <c r="CB221" s="106"/>
      <c r="CC221" s="106"/>
      <c r="CD221" s="106"/>
      <c r="CE221" s="106">
        <f>+SUM(BS221:CD221)</f>
        <v>0</v>
      </c>
      <c r="CF221" s="106"/>
      <c r="CG221" s="110">
        <v>0</v>
      </c>
      <c r="CH221" s="106">
        <v>0</v>
      </c>
      <c r="CI221" s="106">
        <v>0</v>
      </c>
      <c r="CJ221" s="106">
        <v>0</v>
      </c>
      <c r="CK221" s="106">
        <v>0</v>
      </c>
      <c r="CL221" s="106">
        <v>0</v>
      </c>
      <c r="CM221" s="106">
        <v>0</v>
      </c>
      <c r="CN221" s="106">
        <v>0</v>
      </c>
      <c r="CO221" s="106">
        <v>0</v>
      </c>
      <c r="CP221" s="106">
        <v>0</v>
      </c>
      <c r="CQ221" s="106">
        <v>0</v>
      </c>
      <c r="CR221" s="106">
        <v>0</v>
      </c>
      <c r="CS221" s="106">
        <f>+SUM(CG221:CR221)</f>
        <v>0</v>
      </c>
      <c r="CT221" s="16" t="str">
        <f t="shared" si="2231"/>
        <v>Interest on Unsecured Loan - Skyline</v>
      </c>
      <c r="CU221" s="106">
        <f>+VLOOKUP($BD221,'Jan-25'!$A:$J,8,0)</f>
        <v>0</v>
      </c>
      <c r="CV221" s="106">
        <f>+VLOOKUP($BD221,'Feb-25'!$A:$J,8,0)</f>
        <v>0</v>
      </c>
      <c r="CW221" s="106">
        <f>+VLOOKUP($BD221,'Mar-25'!$A:$J,8,0)</f>
        <v>0</v>
      </c>
      <c r="CX221" s="106">
        <f>+VLOOKUP($BD221,'Apr-25'!$A:$J,8,0)</f>
        <v>0</v>
      </c>
      <c r="CY221" s="106">
        <f>+VLOOKUP($BD221,'May-25'!$A:$J,8,0)</f>
        <v>0</v>
      </c>
      <c r="CZ221" s="106">
        <f>+VLOOKUP($BD221,'June-25'!$A:$J,8,0)</f>
        <v>0</v>
      </c>
      <c r="DA221" s="106">
        <f>+VLOOKUP($BD221,'July-25'!$A:$J,8,0)</f>
        <v>0</v>
      </c>
      <c r="DB221" s="106">
        <f>+VLOOKUP($BD221,'Aug-25'!$A:$J,8,0)</f>
        <v>0</v>
      </c>
      <c r="DC221" s="106">
        <f>+VLOOKUP($BD221,'Sep-25'!$A:$J,8,0)</f>
        <v>0</v>
      </c>
      <c r="DD221" s="106">
        <f>+VLOOKUP($BD221,'Oct-25'!$A:$J,8,0)</f>
        <v>0</v>
      </c>
      <c r="DE221" s="106">
        <f>+VLOOKUP($BD221,'Nov-25'!$A:$J,8,0)</f>
        <v>0</v>
      </c>
      <c r="DF221" s="106">
        <f>+VLOOKUP($BD221,'Dec-25'!$A:$J,8,0)</f>
        <v>0</v>
      </c>
      <c r="DG221" s="106">
        <f t="shared" si="2611"/>
        <v>0</v>
      </c>
      <c r="DH221" s="118">
        <f t="shared" si="1874"/>
        <v>0</v>
      </c>
      <c r="DI221" s="106"/>
      <c r="DJ221" s="106"/>
      <c r="DK221" s="106"/>
      <c r="DL221" s="106"/>
      <c r="DM221" s="106"/>
      <c r="DN221" s="106"/>
      <c r="DO221" s="106"/>
      <c r="DP221" s="106"/>
      <c r="DQ221" s="106"/>
      <c r="DR221" s="106"/>
      <c r="DS221" s="106"/>
      <c r="DT221" s="106"/>
      <c r="DU221" s="106">
        <f>+SUM(DI221:DT221)</f>
        <v>0</v>
      </c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106">
        <f>+SUM(DW221:EH221)</f>
        <v>0</v>
      </c>
      <c r="EJ221" s="16" t="str">
        <f t="shared" si="2302"/>
        <v>Interest on Unsecured Loan - Skyline</v>
      </c>
      <c r="EK221" s="22">
        <f>+VLOOKUP($BD221,'Jan-25'!$A:$J,10,0)</f>
        <v>0</v>
      </c>
      <c r="EL221" s="22">
        <f>+VLOOKUP($BD221,'Feb-25'!$A:$J,10,0)</f>
        <v>0</v>
      </c>
      <c r="EM221" s="22">
        <f>+VLOOKUP($BD221,'Mar-25'!$A:$J,10,0)</f>
        <v>0</v>
      </c>
      <c r="EN221" s="22">
        <f>+VLOOKUP($BD221,'Apr-25'!$A:$J,10,0)</f>
        <v>0</v>
      </c>
      <c r="EO221" s="22">
        <f>+VLOOKUP($BD221,'May-25'!$A:$J,10,0)</f>
        <v>0</v>
      </c>
      <c r="EP221" s="22">
        <f>+VLOOKUP($BD221,'June-25'!$A:$J,10,0)</f>
        <v>0</v>
      </c>
      <c r="EQ221" s="22">
        <f>+VLOOKUP($BD221,'July-25'!$A:$J,10,0)</f>
        <v>0</v>
      </c>
      <c r="ER221" s="22">
        <f>+VLOOKUP($BD221,'Aug-25'!$A:$J,10,0)</f>
        <v>0</v>
      </c>
      <c r="ES221" s="22">
        <f>+VLOOKUP($BD221,'Sep-25'!$A:$J,10,0)</f>
        <v>0</v>
      </c>
      <c r="ET221" s="22">
        <f>+VLOOKUP($BD221,'Oct-25'!$A:$J,10,0)</f>
        <v>0</v>
      </c>
      <c r="EU221" s="22">
        <f>+VLOOKUP($BD221,'Nov-25'!$A:$J,10,0)</f>
        <v>0</v>
      </c>
      <c r="EV221" s="22">
        <f>+VLOOKUP($BD221,'Dec-25'!$A:$J,10,0)</f>
        <v>0</v>
      </c>
      <c r="EW221" s="22">
        <f t="shared" si="2612"/>
        <v>0</v>
      </c>
      <c r="EX221" s="118" t="e">
        <f t="shared" si="1878"/>
        <v>#DIV/0!</v>
      </c>
      <c r="EY221" s="106"/>
      <c r="EZ221" s="106"/>
      <c r="FA221" s="106"/>
      <c r="FB221" s="106"/>
      <c r="FC221" s="106"/>
      <c r="FD221" s="106"/>
      <c r="FE221" s="106"/>
      <c r="FF221" s="106"/>
      <c r="FG221" s="106"/>
      <c r="FH221" s="106"/>
      <c r="FI221" s="106"/>
      <c r="FJ221" s="106"/>
      <c r="FK221" s="106">
        <f>+SUM(EY221:FJ221)</f>
        <v>0</v>
      </c>
    </row>
    <row r="222" spans="1:167" ht="14.45" hidden="1" customHeight="1" outlineLevel="2">
      <c r="A222" s="106">
        <f t="shared" si="2582"/>
        <v>0</v>
      </c>
      <c r="B222" s="106">
        <f t="shared" si="2582"/>
        <v>0</v>
      </c>
      <c r="C222" s="106">
        <f t="shared" si="2582"/>
        <v>0</v>
      </c>
      <c r="D222" s="106">
        <f t="shared" si="2582"/>
        <v>0</v>
      </c>
      <c r="E222" s="106">
        <f t="shared" si="2582"/>
        <v>0</v>
      </c>
      <c r="F222" s="106">
        <f t="shared" si="2582"/>
        <v>0</v>
      </c>
      <c r="G222" s="106">
        <f t="shared" si="2582"/>
        <v>0</v>
      </c>
      <c r="H222" s="106">
        <f t="shared" si="2582"/>
        <v>0</v>
      </c>
      <c r="I222" s="106">
        <f t="shared" si="2582"/>
        <v>0</v>
      </c>
      <c r="J222" s="106">
        <f t="shared" si="2582"/>
        <v>0</v>
      </c>
      <c r="K222" s="106">
        <f t="shared" si="2582"/>
        <v>0</v>
      </c>
      <c r="L222" s="106">
        <f t="shared" si="2582"/>
        <v>0</v>
      </c>
      <c r="M222" s="106">
        <f t="shared" si="2583"/>
        <v>0</v>
      </c>
      <c r="N222" s="16" t="s">
        <v>237</v>
      </c>
      <c r="O222" s="106">
        <f t="shared" si="2584"/>
        <v>0</v>
      </c>
      <c r="P222" s="106">
        <f t="shared" si="2585"/>
        <v>0</v>
      </c>
      <c r="Q222" s="106">
        <f t="shared" si="2586"/>
        <v>0</v>
      </c>
      <c r="R222" s="106">
        <f t="shared" si="2587"/>
        <v>0</v>
      </c>
      <c r="S222" s="106">
        <f t="shared" si="2588"/>
        <v>0</v>
      </c>
      <c r="T222" s="106">
        <f t="shared" si="2589"/>
        <v>0</v>
      </c>
      <c r="U222" s="106">
        <f t="shared" si="2590"/>
        <v>0</v>
      </c>
      <c r="V222" s="106">
        <f t="shared" si="2591"/>
        <v>0</v>
      </c>
      <c r="W222" s="106">
        <f t="shared" si="2592"/>
        <v>0</v>
      </c>
      <c r="X222" s="106">
        <f t="shared" si="2593"/>
        <v>0</v>
      </c>
      <c r="Y222" s="106">
        <f t="shared" si="2594"/>
        <v>0</v>
      </c>
      <c r="Z222" s="106">
        <f t="shared" si="2595"/>
        <v>0</v>
      </c>
      <c r="AA222" s="106">
        <f t="shared" si="2596"/>
        <v>0</v>
      </c>
      <c r="AB222" s="118">
        <f t="shared" ref="AB222:AB250" si="2613">IFERROR((X222-AL222)/AL222,0)</f>
        <v>0</v>
      </c>
      <c r="AC222" s="106">
        <f t="shared" si="2597"/>
        <v>0</v>
      </c>
      <c r="AD222" s="106">
        <f t="shared" si="2598"/>
        <v>0</v>
      </c>
      <c r="AE222" s="106">
        <f t="shared" si="2599"/>
        <v>0</v>
      </c>
      <c r="AF222" s="106">
        <f t="shared" si="2600"/>
        <v>0</v>
      </c>
      <c r="AG222" s="106">
        <f t="shared" si="2601"/>
        <v>0</v>
      </c>
      <c r="AH222" s="106">
        <f t="shared" si="2602"/>
        <v>0</v>
      </c>
      <c r="AI222" s="106">
        <f t="shared" si="2603"/>
        <v>0</v>
      </c>
      <c r="AJ222" s="106">
        <f t="shared" si="2604"/>
        <v>0</v>
      </c>
      <c r="AK222" s="106">
        <f t="shared" si="2605"/>
        <v>0</v>
      </c>
      <c r="AL222" s="106">
        <f t="shared" si="2606"/>
        <v>0</v>
      </c>
      <c r="AM222" s="106">
        <f t="shared" si="2607"/>
        <v>0</v>
      </c>
      <c r="AN222" s="106">
        <f t="shared" si="2608"/>
        <v>0</v>
      </c>
      <c r="AO222" s="106">
        <f t="shared" si="2609"/>
        <v>0</v>
      </c>
      <c r="AQ222" s="106"/>
      <c r="AR222" s="106"/>
      <c r="AS222" s="106"/>
      <c r="AT222" s="106"/>
      <c r="AU222" s="106"/>
      <c r="AV222" s="106"/>
      <c r="AW222" s="106"/>
      <c r="AX222" s="106"/>
      <c r="AY222" s="106"/>
      <c r="AZ222" s="106"/>
      <c r="BA222" s="106"/>
      <c r="BB222" s="106"/>
      <c r="BC222" s="106">
        <f>+SUM(AQ222:BB222)</f>
        <v>0</v>
      </c>
      <c r="BD222" s="16" t="str">
        <f t="shared" si="2230"/>
        <v>Interest on Demo Vehicle</v>
      </c>
      <c r="BE222" s="106">
        <f>+VLOOKUP($BD222,'Jan-25'!$A:$J,5,0)</f>
        <v>0</v>
      </c>
      <c r="BF222" s="106">
        <f>+VLOOKUP($BD222,'Feb-25'!$A:$J,5,0)</f>
        <v>0</v>
      </c>
      <c r="BG222" s="106">
        <f>+VLOOKUP($BD222,'Mar-25'!$A:$J,5,0)</f>
        <v>0</v>
      </c>
      <c r="BH222" s="106">
        <f>+VLOOKUP($BD222,'Apr-25'!$A:$J,5,0)</f>
        <v>0</v>
      </c>
      <c r="BI222" s="106">
        <f>+VLOOKUP($BD222,'May-25'!$A:$J,5,0)</f>
        <v>0</v>
      </c>
      <c r="BJ222" s="106">
        <f>+VLOOKUP($BD222,'June-25'!$A:$J,5,0)</f>
        <v>0</v>
      </c>
      <c r="BK222" s="106">
        <f>+VLOOKUP($BD222,'July-25'!$A:$J,5,0)</f>
        <v>0</v>
      </c>
      <c r="BL222" s="106">
        <f>+VLOOKUP($BD222,'Aug-25'!$A:$J,5,0)</f>
        <v>0</v>
      </c>
      <c r="BM222" s="106">
        <f>+VLOOKUP($BD222,'Sep-25'!$A:$J,5,0)</f>
        <v>0</v>
      </c>
      <c r="BN222" s="106">
        <f>+VLOOKUP($BD222,'Oct-25'!$A:$J,5,0)</f>
        <v>0</v>
      </c>
      <c r="BO222" s="106">
        <f>+VLOOKUP($BD222,'Nov-25'!$A:$J,5,0)</f>
        <v>0</v>
      </c>
      <c r="BP222" s="106">
        <f>+VLOOKUP($BD222,'Dec-25'!$A:$J,5,0)</f>
        <v>0</v>
      </c>
      <c r="BQ222" s="106">
        <f t="shared" si="2610"/>
        <v>0</v>
      </c>
      <c r="BR222" s="118">
        <f t="shared" ref="BR222:BR250" si="2614">IFERROR((BN222-CB222)/CB222,0)</f>
        <v>0</v>
      </c>
      <c r="BS222" s="106"/>
      <c r="BT222" s="106"/>
      <c r="BU222" s="106"/>
      <c r="BV222" s="106"/>
      <c r="BW222" s="106"/>
      <c r="BX222" s="106"/>
      <c r="BY222" s="106"/>
      <c r="BZ222" s="106"/>
      <c r="CA222" s="106"/>
      <c r="CB222" s="106"/>
      <c r="CC222" s="106"/>
      <c r="CD222" s="106"/>
      <c r="CE222" s="106">
        <f>+SUM(BS222:CD222)</f>
        <v>0</v>
      </c>
      <c r="CF222" s="106"/>
      <c r="CG222" s="110">
        <v>0</v>
      </c>
      <c r="CH222" s="106">
        <v>0</v>
      </c>
      <c r="CI222" s="106">
        <v>0</v>
      </c>
      <c r="CJ222" s="106">
        <v>0</v>
      </c>
      <c r="CK222" s="106">
        <v>0</v>
      </c>
      <c r="CL222" s="106">
        <v>0</v>
      </c>
      <c r="CM222" s="106">
        <v>0</v>
      </c>
      <c r="CN222" s="106">
        <v>0</v>
      </c>
      <c r="CO222" s="106">
        <v>0</v>
      </c>
      <c r="CP222" s="106">
        <v>0</v>
      </c>
      <c r="CQ222" s="106">
        <v>0</v>
      </c>
      <c r="CR222" s="106">
        <v>0</v>
      </c>
      <c r="CS222" s="106">
        <f>+SUM(CG222:CR222)</f>
        <v>0</v>
      </c>
      <c r="CT222" s="16" t="str">
        <f t="shared" si="2231"/>
        <v>Interest on Demo Vehicle</v>
      </c>
      <c r="CU222" s="106">
        <f>+VLOOKUP($BD222,'Jan-25'!$A:$J,8,0)</f>
        <v>0</v>
      </c>
      <c r="CV222" s="106">
        <f>+VLOOKUP($BD222,'Feb-25'!$A:$J,8,0)</f>
        <v>0</v>
      </c>
      <c r="CW222" s="106">
        <f>+VLOOKUP($BD222,'Mar-25'!$A:$J,8,0)</f>
        <v>0</v>
      </c>
      <c r="CX222" s="106">
        <f>+VLOOKUP($BD222,'Apr-25'!$A:$J,8,0)</f>
        <v>0</v>
      </c>
      <c r="CY222" s="106">
        <f>+VLOOKUP($BD222,'May-25'!$A:$J,8,0)</f>
        <v>0</v>
      </c>
      <c r="CZ222" s="106">
        <f>+VLOOKUP($BD222,'June-25'!$A:$J,8,0)</f>
        <v>0</v>
      </c>
      <c r="DA222" s="106">
        <f>+VLOOKUP($BD222,'July-25'!$A:$J,8,0)</f>
        <v>0</v>
      </c>
      <c r="DB222" s="106">
        <f>+VLOOKUP($BD222,'Aug-25'!$A:$J,8,0)</f>
        <v>0</v>
      </c>
      <c r="DC222" s="106">
        <f>+VLOOKUP($BD222,'Sep-25'!$A:$J,8,0)</f>
        <v>0</v>
      </c>
      <c r="DD222" s="106">
        <f>+VLOOKUP($BD222,'Oct-25'!$A:$J,8,0)</f>
        <v>0</v>
      </c>
      <c r="DE222" s="106">
        <f>+VLOOKUP($BD222,'Nov-25'!$A:$J,8,0)</f>
        <v>0</v>
      </c>
      <c r="DF222" s="106">
        <f>+VLOOKUP($BD222,'Dec-25'!$A:$J,8,0)</f>
        <v>0</v>
      </c>
      <c r="DG222" s="106">
        <f t="shared" si="2611"/>
        <v>0</v>
      </c>
      <c r="DH222" s="118">
        <f t="shared" ref="DH222:DH250" si="2615">IFERROR((DD222-DR222)/DR222,0)</f>
        <v>0</v>
      </c>
      <c r="DI222" s="106"/>
      <c r="DJ222" s="106"/>
      <c r="DK222" s="106"/>
      <c r="DL222" s="106"/>
      <c r="DM222" s="106"/>
      <c r="DN222" s="106"/>
      <c r="DO222" s="106"/>
      <c r="DP222" s="106"/>
      <c r="DQ222" s="106"/>
      <c r="DR222" s="106"/>
      <c r="DS222" s="106"/>
      <c r="DT222" s="106"/>
      <c r="DU222" s="106">
        <f>+SUM(DI222:DT222)</f>
        <v>0</v>
      </c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106">
        <f>+SUM(DW222:EH222)</f>
        <v>0</v>
      </c>
      <c r="EJ222" s="16" t="str">
        <f t="shared" si="2302"/>
        <v>Interest on Demo Vehicle</v>
      </c>
      <c r="EK222" s="22">
        <f>+VLOOKUP($BD222,'Jan-25'!$A:$J,10,0)</f>
        <v>0</v>
      </c>
      <c r="EL222" s="22">
        <f>+VLOOKUP($BD222,'Feb-25'!$A:$J,10,0)</f>
        <v>0</v>
      </c>
      <c r="EM222" s="22">
        <f>+VLOOKUP($BD222,'Mar-25'!$A:$J,10,0)</f>
        <v>0</v>
      </c>
      <c r="EN222" s="22">
        <f>+VLOOKUP($BD222,'Apr-25'!$A:$J,10,0)</f>
        <v>0</v>
      </c>
      <c r="EO222" s="22">
        <f>+VLOOKUP($BD222,'May-25'!$A:$J,10,0)</f>
        <v>0</v>
      </c>
      <c r="EP222" s="22">
        <f>+VLOOKUP($BD222,'June-25'!$A:$J,10,0)</f>
        <v>0</v>
      </c>
      <c r="EQ222" s="22">
        <f>+VLOOKUP($BD222,'July-25'!$A:$J,10,0)</f>
        <v>0</v>
      </c>
      <c r="ER222" s="22">
        <f>+VLOOKUP($BD222,'Aug-25'!$A:$J,10,0)</f>
        <v>0</v>
      </c>
      <c r="ES222" s="22">
        <f>+VLOOKUP($BD222,'Sep-25'!$A:$J,10,0)</f>
        <v>0</v>
      </c>
      <c r="ET222" s="22">
        <f>+VLOOKUP($BD222,'Oct-25'!$A:$J,10,0)</f>
        <v>0</v>
      </c>
      <c r="EU222" s="22">
        <f>+VLOOKUP($BD222,'Nov-25'!$A:$J,10,0)</f>
        <v>0</v>
      </c>
      <c r="EV222" s="22">
        <f>+VLOOKUP($BD222,'Dec-25'!$A:$J,10,0)</f>
        <v>0</v>
      </c>
      <c r="EW222" s="22">
        <f t="shared" si="2612"/>
        <v>0</v>
      </c>
      <c r="EX222" s="118" t="e">
        <f t="shared" ref="EX222:EX250" si="2616">+(ES222-FG222)/FG222</f>
        <v>#DIV/0!</v>
      </c>
      <c r="EY222" s="106"/>
      <c r="EZ222" s="106"/>
      <c r="FA222" s="106"/>
      <c r="FB222" s="106"/>
      <c r="FC222" s="106"/>
      <c r="FD222" s="106"/>
      <c r="FE222" s="106"/>
      <c r="FF222" s="106"/>
      <c r="FG222" s="106"/>
      <c r="FH222" s="106"/>
      <c r="FI222" s="106"/>
      <c r="FJ222" s="106"/>
      <c r="FK222" s="106">
        <f>+SUM(EY222:FJ222)</f>
        <v>0</v>
      </c>
    </row>
    <row r="223" spans="1:167" ht="14.45" customHeight="1" outlineLevel="1" collapsed="1">
      <c r="A223" s="58">
        <f t="shared" ref="A223:L223" si="2617">+SUM(A224:A226)</f>
        <v>16211.446199999998</v>
      </c>
      <c r="B223" s="58">
        <f t="shared" si="2617"/>
        <v>15215.121000000001</v>
      </c>
      <c r="C223" s="58">
        <f t="shared" si="2617"/>
        <v>14093.684999999998</v>
      </c>
      <c r="D223" s="58">
        <f t="shared" si="2617"/>
        <v>14403.1662</v>
      </c>
      <c r="E223" s="58">
        <f t="shared" si="2617"/>
        <v>12666.049199999998</v>
      </c>
      <c r="F223" s="58">
        <f t="shared" si="2617"/>
        <v>17350.9794</v>
      </c>
      <c r="G223" s="58">
        <f t="shared" si="2617"/>
        <v>31053.232799999998</v>
      </c>
      <c r="H223" s="58">
        <f t="shared" si="2617"/>
        <v>13457.091600000003</v>
      </c>
      <c r="I223" s="58">
        <f t="shared" si="2617"/>
        <v>13980.952800000001</v>
      </c>
      <c r="J223" s="58">
        <f t="shared" si="2617"/>
        <v>12493.414799999999</v>
      </c>
      <c r="K223" s="58">
        <f t="shared" si="2617"/>
        <v>102587.26139999999</v>
      </c>
      <c r="L223" s="58">
        <f t="shared" si="2617"/>
        <v>16677.648000000001</v>
      </c>
      <c r="M223" s="58"/>
      <c r="N223" s="20" t="s">
        <v>186</v>
      </c>
      <c r="O223" s="58">
        <f t="shared" ref="O223" si="2618">+SUM(O224:O226)</f>
        <v>23844.904199999997</v>
      </c>
      <c r="P223" s="58">
        <f t="shared" ref="P223" si="2619">+SUM(P224:P226)</f>
        <v>12771.027</v>
      </c>
      <c r="Q223" s="58">
        <f t="shared" ref="Q223" si="2620">+SUM(Q224:Q226)</f>
        <v>37681.187399999995</v>
      </c>
      <c r="R223" s="58">
        <f t="shared" ref="R223" si="2621">+SUM(R224:R226)</f>
        <v>20893.348799999996</v>
      </c>
      <c r="S223" s="58">
        <f t="shared" ref="S223" si="2622">+SUM(S224:S226)</f>
        <v>34080.535799999998</v>
      </c>
      <c r="T223" s="58">
        <f t="shared" ref="T223" si="2623">+SUM(T224:T226)</f>
        <v>21327.193800000005</v>
      </c>
      <c r="U223" s="58">
        <f t="shared" ref="U223" si="2624">+SUM(U224:U226)</f>
        <v>23210.839799999998</v>
      </c>
      <c r="V223" s="58">
        <f t="shared" ref="V223" si="2625">+SUM(V224:V226)</f>
        <v>24315.730200000005</v>
      </c>
      <c r="W223" s="58">
        <f t="shared" ref="W223" si="2626">+SUM(W224:W226)</f>
        <v>18819.0288</v>
      </c>
      <c r="X223" s="58">
        <f t="shared" ref="X223" si="2627">+SUM(X224:X226)</f>
        <v>29899.003199999999</v>
      </c>
      <c r="Y223" s="58">
        <f t="shared" ref="Y223" si="2628">+SUM(Y224:Y226)</f>
        <v>0</v>
      </c>
      <c r="Z223" s="58">
        <f t="shared" ref="Z223" si="2629">+SUM(Z224:Z226)</f>
        <v>0</v>
      </c>
      <c r="AA223" s="58"/>
      <c r="AB223" s="118">
        <f t="shared" si="2613"/>
        <v>-4.0673694117647007E-2</v>
      </c>
      <c r="AC223" s="58">
        <f t="shared" ref="AC223" si="2630">+SUM(AC224:AC226)</f>
        <v>31166.666666666664</v>
      </c>
      <c r="AD223" s="58">
        <f t="shared" ref="AD223" si="2631">+SUM(AD224:AD226)</f>
        <v>31166.666666666664</v>
      </c>
      <c r="AE223" s="58">
        <f t="shared" ref="AE223" si="2632">+SUM(AE224:AE226)</f>
        <v>31166.666666666664</v>
      </c>
      <c r="AF223" s="58">
        <f t="shared" ref="AF223" si="2633">+SUM(AF224:AF226)</f>
        <v>31166.666666666664</v>
      </c>
      <c r="AG223" s="58">
        <f t="shared" ref="AG223" si="2634">+SUM(AG224:AG226)</f>
        <v>31166.666666666664</v>
      </c>
      <c r="AH223" s="58">
        <f t="shared" ref="AH223" si="2635">+SUM(AH224:AH226)</f>
        <v>31166.666666666664</v>
      </c>
      <c r="AI223" s="58">
        <f t="shared" ref="AI223" si="2636">+SUM(AI224:AI226)</f>
        <v>31166.666666666664</v>
      </c>
      <c r="AJ223" s="58">
        <f t="shared" ref="AJ223" si="2637">+SUM(AJ224:AJ226)</f>
        <v>31166.666666666664</v>
      </c>
      <c r="AK223" s="58">
        <f t="shared" ref="AK223" si="2638">+SUM(AK224:AK226)</f>
        <v>31166.666666666664</v>
      </c>
      <c r="AL223" s="58">
        <f t="shared" ref="AL223" si="2639">+SUM(AL224:AL226)</f>
        <v>31166.666666666664</v>
      </c>
      <c r="AM223" s="58">
        <f t="shared" ref="AM223" si="2640">+SUM(AM224:AM226)</f>
        <v>31166.666666666664</v>
      </c>
      <c r="AN223" s="58">
        <f t="shared" ref="AN223:AO223" si="2641">+SUM(AN224:AN226)</f>
        <v>31166.666666666664</v>
      </c>
      <c r="AO223" s="58">
        <f t="shared" si="2641"/>
        <v>374000</v>
      </c>
      <c r="AQ223" s="58">
        <f t="shared" ref="AQ223:CE223" si="2642">+SUM(AQ224:AQ226)</f>
        <v>10807.630799999999</v>
      </c>
      <c r="AR223" s="58">
        <f t="shared" si="2642"/>
        <v>10143.414000000001</v>
      </c>
      <c r="AS223" s="58">
        <f t="shared" si="2642"/>
        <v>9395.7899999999991</v>
      </c>
      <c r="AT223" s="58">
        <f t="shared" si="2642"/>
        <v>9602.1108000000004</v>
      </c>
      <c r="AU223" s="58">
        <f t="shared" si="2642"/>
        <v>8444.032799999999</v>
      </c>
      <c r="AV223" s="58">
        <f t="shared" si="2642"/>
        <v>11567.319600000001</v>
      </c>
      <c r="AW223" s="58">
        <f t="shared" si="2642"/>
        <v>20702.155199999997</v>
      </c>
      <c r="AX223" s="58">
        <f t="shared" si="2642"/>
        <v>8971.3944000000029</v>
      </c>
      <c r="AY223" s="58">
        <f t="shared" si="2642"/>
        <v>9320.6352000000006</v>
      </c>
      <c r="AZ223" s="58">
        <f t="shared" si="2642"/>
        <v>8328.9431999999997</v>
      </c>
      <c r="BA223" s="58">
        <f t="shared" si="2642"/>
        <v>68391.507599999997</v>
      </c>
      <c r="BB223" s="58">
        <f t="shared" si="2642"/>
        <v>11118.432000000001</v>
      </c>
      <c r="BC223" s="58">
        <f t="shared" si="2642"/>
        <v>186793.36559999999</v>
      </c>
      <c r="BD223" s="20" t="str">
        <f t="shared" si="2230"/>
        <v>Finance Charge - Others</v>
      </c>
      <c r="BE223" s="58">
        <f t="shared" si="2642"/>
        <v>15896.602799999997</v>
      </c>
      <c r="BF223" s="58">
        <f t="shared" ref="BF223:BQ223" si="2643">+SUM(BF224:BF226)</f>
        <v>8514.018</v>
      </c>
      <c r="BG223" s="58">
        <f t="shared" si="2643"/>
        <v>25120.791599999997</v>
      </c>
      <c r="BH223" s="58">
        <f t="shared" si="2643"/>
        <v>13928.899199999998</v>
      </c>
      <c r="BI223" s="58">
        <f t="shared" si="2643"/>
        <v>22720.357199999999</v>
      </c>
      <c r="BJ223" s="58">
        <f t="shared" si="2643"/>
        <v>14218.129200000003</v>
      </c>
      <c r="BK223" s="58">
        <f t="shared" si="2643"/>
        <v>15473.893199999999</v>
      </c>
      <c r="BL223" s="58">
        <f t="shared" si="2643"/>
        <v>16210.486800000002</v>
      </c>
      <c r="BM223" s="58">
        <f t="shared" si="2643"/>
        <v>12546.019200000001</v>
      </c>
      <c r="BN223" s="58">
        <f t="shared" si="2643"/>
        <v>16308.547199999999</v>
      </c>
      <c r="BO223" s="58">
        <f t="shared" si="2643"/>
        <v>0</v>
      </c>
      <c r="BP223" s="58">
        <f t="shared" si="2643"/>
        <v>0</v>
      </c>
      <c r="BQ223" s="58">
        <f t="shared" si="2643"/>
        <v>160937.7444</v>
      </c>
      <c r="BR223" s="118">
        <f t="shared" si="2614"/>
        <v>8.7236479999999936E-2</v>
      </c>
      <c r="BS223" s="58">
        <f t="shared" si="2642"/>
        <v>15000</v>
      </c>
      <c r="BT223" s="58">
        <f t="shared" si="2642"/>
        <v>15000</v>
      </c>
      <c r="BU223" s="58">
        <f t="shared" si="2642"/>
        <v>15000</v>
      </c>
      <c r="BV223" s="58">
        <f t="shared" si="2642"/>
        <v>15000</v>
      </c>
      <c r="BW223" s="58">
        <f t="shared" si="2642"/>
        <v>15000</v>
      </c>
      <c r="BX223" s="58">
        <f t="shared" si="2642"/>
        <v>15000</v>
      </c>
      <c r="BY223" s="58">
        <f t="shared" si="2642"/>
        <v>15000</v>
      </c>
      <c r="BZ223" s="58">
        <f t="shared" si="2642"/>
        <v>15000</v>
      </c>
      <c r="CA223" s="58">
        <f t="shared" si="2642"/>
        <v>15000</v>
      </c>
      <c r="CB223" s="58">
        <f t="shared" si="2642"/>
        <v>15000</v>
      </c>
      <c r="CC223" s="58">
        <f t="shared" si="2642"/>
        <v>15000</v>
      </c>
      <c r="CD223" s="58">
        <f t="shared" si="2642"/>
        <v>15000</v>
      </c>
      <c r="CE223" s="58">
        <f t="shared" si="2642"/>
        <v>180000</v>
      </c>
      <c r="CF223" s="106"/>
      <c r="CG223" s="58">
        <f t="shared" ref="CG223:CS223" si="2644">+SUM(CG224:CG226)</f>
        <v>5403.8153999999995</v>
      </c>
      <c r="CH223" s="58">
        <f t="shared" si="2644"/>
        <v>5071.7070000000003</v>
      </c>
      <c r="CI223" s="58">
        <f t="shared" si="2644"/>
        <v>4697.8949999999995</v>
      </c>
      <c r="CJ223" s="58">
        <f t="shared" si="2644"/>
        <v>4801.0554000000002</v>
      </c>
      <c r="CK223" s="58">
        <f t="shared" si="2644"/>
        <v>4222.0163999999995</v>
      </c>
      <c r="CL223" s="58">
        <f t="shared" si="2644"/>
        <v>5783.6598000000004</v>
      </c>
      <c r="CM223" s="58">
        <f t="shared" si="2644"/>
        <v>10351.077599999999</v>
      </c>
      <c r="CN223" s="58">
        <f t="shared" si="2644"/>
        <v>4485.6972000000014</v>
      </c>
      <c r="CO223" s="58">
        <f t="shared" si="2644"/>
        <v>4660.3176000000003</v>
      </c>
      <c r="CP223" s="58">
        <f t="shared" si="2644"/>
        <v>4164.4715999999999</v>
      </c>
      <c r="CQ223" s="58">
        <f t="shared" si="2644"/>
        <v>34195.753799999999</v>
      </c>
      <c r="CR223" s="58">
        <f t="shared" si="2644"/>
        <v>5559.2160000000003</v>
      </c>
      <c r="CS223" s="58">
        <f t="shared" si="2644"/>
        <v>93396.682799999995</v>
      </c>
      <c r="CT223" s="20" t="str">
        <f t="shared" si="2231"/>
        <v>Finance Charge - Others</v>
      </c>
      <c r="CU223" s="58">
        <f t="shared" ref="CU223:DU223" si="2645">+SUM(CU224:CU226)</f>
        <v>7948.3013999999985</v>
      </c>
      <c r="CV223" s="58">
        <f t="shared" si="2645"/>
        <v>4257.009</v>
      </c>
      <c r="CW223" s="58">
        <f t="shared" si="2645"/>
        <v>12560.395799999998</v>
      </c>
      <c r="CX223" s="58">
        <f t="shared" si="2645"/>
        <v>6964.449599999999</v>
      </c>
      <c r="CY223" s="58">
        <f t="shared" si="2645"/>
        <v>11360.178599999999</v>
      </c>
      <c r="CZ223" s="58">
        <f t="shared" si="2645"/>
        <v>7109.0646000000015</v>
      </c>
      <c r="DA223" s="58">
        <f t="shared" si="2645"/>
        <v>7736.9465999999993</v>
      </c>
      <c r="DB223" s="58">
        <f t="shared" si="2645"/>
        <v>8105.2434000000012</v>
      </c>
      <c r="DC223" s="58">
        <f t="shared" si="2645"/>
        <v>6273.0096000000003</v>
      </c>
      <c r="DD223" s="58">
        <f t="shared" si="2645"/>
        <v>8154.2735999999995</v>
      </c>
      <c r="DE223" s="58">
        <f t="shared" si="2645"/>
        <v>0</v>
      </c>
      <c r="DF223" s="58">
        <f t="shared" si="2645"/>
        <v>0</v>
      </c>
      <c r="DG223" s="58">
        <f t="shared" si="2645"/>
        <v>80468.872199999998</v>
      </c>
      <c r="DH223" s="118">
        <f t="shared" si="2615"/>
        <v>8.7236479999999936E-2</v>
      </c>
      <c r="DI223" s="58">
        <f t="shared" si="2645"/>
        <v>7500</v>
      </c>
      <c r="DJ223" s="58">
        <f t="shared" si="2645"/>
        <v>7500</v>
      </c>
      <c r="DK223" s="58">
        <f t="shared" si="2645"/>
        <v>7500</v>
      </c>
      <c r="DL223" s="58">
        <f t="shared" si="2645"/>
        <v>7500</v>
      </c>
      <c r="DM223" s="58">
        <f t="shared" si="2645"/>
        <v>7500</v>
      </c>
      <c r="DN223" s="58">
        <f t="shared" si="2645"/>
        <v>7500</v>
      </c>
      <c r="DO223" s="58">
        <f t="shared" si="2645"/>
        <v>7500</v>
      </c>
      <c r="DP223" s="58">
        <f t="shared" si="2645"/>
        <v>7500</v>
      </c>
      <c r="DQ223" s="58">
        <f t="shared" si="2645"/>
        <v>7500</v>
      </c>
      <c r="DR223" s="58">
        <f t="shared" si="2645"/>
        <v>7500</v>
      </c>
      <c r="DS223" s="58">
        <f t="shared" si="2645"/>
        <v>7500</v>
      </c>
      <c r="DT223" s="58">
        <f t="shared" si="2645"/>
        <v>7500</v>
      </c>
      <c r="DU223" s="58">
        <f t="shared" si="2645"/>
        <v>90000</v>
      </c>
      <c r="DW223" s="28">
        <f t="shared" ref="DW223:EI223" si="2646">+SUM(DW224:DW226)</f>
        <v>0</v>
      </c>
      <c r="DX223" s="28">
        <f t="shared" si="2646"/>
        <v>0</v>
      </c>
      <c r="DY223" s="28">
        <f t="shared" si="2646"/>
        <v>0</v>
      </c>
      <c r="DZ223" s="28">
        <f t="shared" si="2646"/>
        <v>0</v>
      </c>
      <c r="EA223" s="28">
        <f t="shared" si="2646"/>
        <v>0</v>
      </c>
      <c r="EB223" s="28">
        <f t="shared" si="2646"/>
        <v>0</v>
      </c>
      <c r="EC223" s="28">
        <f t="shared" si="2646"/>
        <v>0</v>
      </c>
      <c r="ED223" s="28">
        <f t="shared" si="2646"/>
        <v>0</v>
      </c>
      <c r="EE223" s="28">
        <f t="shared" si="2646"/>
        <v>0</v>
      </c>
      <c r="EF223" s="28">
        <f t="shared" si="2646"/>
        <v>0</v>
      </c>
      <c r="EG223" s="28">
        <f t="shared" si="2646"/>
        <v>0</v>
      </c>
      <c r="EH223" s="28">
        <f t="shared" si="2646"/>
        <v>0</v>
      </c>
      <c r="EI223" s="28">
        <f t="shared" si="2646"/>
        <v>0</v>
      </c>
      <c r="EJ223" s="20" t="str">
        <f t="shared" si="2302"/>
        <v>Finance Charge - Others</v>
      </c>
      <c r="EK223" s="28">
        <f t="shared" ref="EK223:EW223" si="2647">+SUM(EK224:EK226)</f>
        <v>0</v>
      </c>
      <c r="EL223" s="28">
        <f t="shared" si="2647"/>
        <v>0</v>
      </c>
      <c r="EM223" s="28">
        <f t="shared" si="2647"/>
        <v>0</v>
      </c>
      <c r="EN223" s="28">
        <f t="shared" si="2647"/>
        <v>0</v>
      </c>
      <c r="EO223" s="28">
        <f t="shared" si="2647"/>
        <v>0</v>
      </c>
      <c r="EP223" s="28">
        <f t="shared" si="2647"/>
        <v>0</v>
      </c>
      <c r="EQ223" s="28">
        <f t="shared" si="2647"/>
        <v>0</v>
      </c>
      <c r="ER223" s="28">
        <f t="shared" si="2647"/>
        <v>0</v>
      </c>
      <c r="ES223" s="28">
        <f t="shared" si="2647"/>
        <v>0</v>
      </c>
      <c r="ET223" s="28">
        <f t="shared" si="2647"/>
        <v>5436.1824000000006</v>
      </c>
      <c r="EU223" s="28">
        <f t="shared" si="2647"/>
        <v>0</v>
      </c>
      <c r="EV223" s="28">
        <f t="shared" si="2647"/>
        <v>0</v>
      </c>
      <c r="EW223" s="28">
        <f t="shared" si="2647"/>
        <v>5436.1824000000006</v>
      </c>
      <c r="EX223" s="118">
        <f t="shared" si="2616"/>
        <v>-1</v>
      </c>
      <c r="EY223" s="58">
        <f t="shared" ref="EY223:FK223" si="2648">+SUM(EY224:EY226)</f>
        <v>8666.6666666666661</v>
      </c>
      <c r="EZ223" s="58">
        <f t="shared" si="2648"/>
        <v>8666.6666666666661</v>
      </c>
      <c r="FA223" s="58">
        <f t="shared" si="2648"/>
        <v>8666.6666666666661</v>
      </c>
      <c r="FB223" s="58">
        <f t="shared" si="2648"/>
        <v>8666.6666666666661</v>
      </c>
      <c r="FC223" s="58">
        <f t="shared" si="2648"/>
        <v>8666.6666666666661</v>
      </c>
      <c r="FD223" s="58">
        <f t="shared" si="2648"/>
        <v>8666.6666666666661</v>
      </c>
      <c r="FE223" s="58">
        <f t="shared" si="2648"/>
        <v>8666.6666666666661</v>
      </c>
      <c r="FF223" s="58">
        <f t="shared" si="2648"/>
        <v>8666.6666666666661</v>
      </c>
      <c r="FG223" s="58">
        <f t="shared" si="2648"/>
        <v>8666.6666666666661</v>
      </c>
      <c r="FH223" s="58">
        <f t="shared" si="2648"/>
        <v>8666.6666666666661</v>
      </c>
      <c r="FI223" s="58">
        <f t="shared" si="2648"/>
        <v>8666.6666666666661</v>
      </c>
      <c r="FJ223" s="58">
        <f t="shared" si="2648"/>
        <v>8666.6666666666661</v>
      </c>
      <c r="FK223" s="58">
        <f t="shared" si="2648"/>
        <v>104000</v>
      </c>
    </row>
    <row r="224" spans="1:167" ht="14.45" hidden="1" customHeight="1" outlineLevel="2">
      <c r="A224" s="106">
        <f t="shared" ref="A224:L226" si="2649">+AQ224+CG224+DW224</f>
        <v>16211.446199999998</v>
      </c>
      <c r="B224" s="106">
        <f t="shared" si="2649"/>
        <v>15215.121000000001</v>
      </c>
      <c r="C224" s="106">
        <f t="shared" si="2649"/>
        <v>14093.684999999998</v>
      </c>
      <c r="D224" s="106">
        <f t="shared" si="2649"/>
        <v>14403.1662</v>
      </c>
      <c r="E224" s="106">
        <f t="shared" si="2649"/>
        <v>12666.049199999998</v>
      </c>
      <c r="F224" s="106">
        <f t="shared" si="2649"/>
        <v>17350.9794</v>
      </c>
      <c r="G224" s="106">
        <f t="shared" si="2649"/>
        <v>31053.232799999998</v>
      </c>
      <c r="H224" s="106">
        <f t="shared" si="2649"/>
        <v>13457.091600000003</v>
      </c>
      <c r="I224" s="106">
        <f t="shared" si="2649"/>
        <v>13980.952800000001</v>
      </c>
      <c r="J224" s="106">
        <f t="shared" si="2649"/>
        <v>12493.414799999999</v>
      </c>
      <c r="K224" s="106">
        <f t="shared" si="2649"/>
        <v>102587.26139999999</v>
      </c>
      <c r="L224" s="106">
        <f t="shared" si="2649"/>
        <v>16677.648000000001</v>
      </c>
      <c r="M224" s="106">
        <f t="shared" ref="M224:M226" si="2650">+SUM(A224:L224)</f>
        <v>280190.04839999997</v>
      </c>
      <c r="N224" s="16" t="s">
        <v>187</v>
      </c>
      <c r="O224" s="106">
        <f t="shared" ref="O224:O226" si="2651">+BE224+CU224+EK224</f>
        <v>23844.904199999997</v>
      </c>
      <c r="P224" s="106">
        <f t="shared" ref="P224:P226" si="2652">+BF224+CV224+EL224</f>
        <v>12771.027</v>
      </c>
      <c r="Q224" s="106">
        <f t="shared" ref="Q224:Q226" si="2653">+BG224+CW224+EM224</f>
        <v>37681.187399999995</v>
      </c>
      <c r="R224" s="106">
        <f t="shared" ref="R224:R226" si="2654">+BH224+CX224+EN224</f>
        <v>20893.348799999996</v>
      </c>
      <c r="S224" s="106">
        <f t="shared" ref="S224:S226" si="2655">+BI224+CY224+EO224</f>
        <v>34080.535799999998</v>
      </c>
      <c r="T224" s="106">
        <f t="shared" ref="T224:T226" si="2656">+BJ224+CZ224+EP224</f>
        <v>21327.193800000005</v>
      </c>
      <c r="U224" s="106">
        <f t="shared" ref="U224:U226" si="2657">+BK224+DA224+EQ224</f>
        <v>23210.839799999998</v>
      </c>
      <c r="V224" s="106">
        <f t="shared" ref="V224:V226" si="2658">+BL224+DB224+ER224</f>
        <v>24315.730200000005</v>
      </c>
      <c r="W224" s="106">
        <f t="shared" ref="W224:W226" si="2659">+BM224+DC224+ES224</f>
        <v>18819.0288</v>
      </c>
      <c r="X224" s="106">
        <f t="shared" ref="X224:X226" si="2660">+BN224+DD224+ET224</f>
        <v>29899.003199999999</v>
      </c>
      <c r="Y224" s="106">
        <f t="shared" ref="Y224:Y226" si="2661">+BO224+DE224+EU224</f>
        <v>0</v>
      </c>
      <c r="Z224" s="106">
        <f t="shared" ref="Z224:Z226" si="2662">+BP224+DF224+EV224</f>
        <v>0</v>
      </c>
      <c r="AA224" s="106">
        <f t="shared" ref="AA224:AA226" si="2663">+SUM(O224:Z224)</f>
        <v>246842.799</v>
      </c>
      <c r="AB224" s="118">
        <f t="shared" si="2613"/>
        <v>0.15738076903225809</v>
      </c>
      <c r="AC224" s="106">
        <f t="shared" ref="AC224:AC226" si="2664">+BS224+DI224+EY224</f>
        <v>25833.333333333332</v>
      </c>
      <c r="AD224" s="106">
        <f t="shared" ref="AD224:AD226" si="2665">+BT224+DJ224+EZ224</f>
        <v>25833.333333333332</v>
      </c>
      <c r="AE224" s="106">
        <f t="shared" ref="AE224:AE226" si="2666">+BU224+DK224+FA224</f>
        <v>25833.333333333332</v>
      </c>
      <c r="AF224" s="106">
        <f t="shared" ref="AF224:AF226" si="2667">+BV224+DL224+FB224</f>
        <v>25833.333333333332</v>
      </c>
      <c r="AG224" s="106">
        <f t="shared" ref="AG224:AG226" si="2668">+BW224+DM224+FC224</f>
        <v>25833.333333333332</v>
      </c>
      <c r="AH224" s="106">
        <f t="shared" ref="AH224:AH226" si="2669">+BX224+DN224+FD224</f>
        <v>25833.333333333332</v>
      </c>
      <c r="AI224" s="106">
        <f t="shared" ref="AI224:AI226" si="2670">+BY224+DO224+FE224</f>
        <v>25833.333333333332</v>
      </c>
      <c r="AJ224" s="106">
        <f t="shared" ref="AJ224:AJ226" si="2671">+BZ224+DP224+FF224</f>
        <v>25833.333333333332</v>
      </c>
      <c r="AK224" s="106">
        <f t="shared" ref="AK224:AK226" si="2672">+CA224+DQ224+FG224</f>
        <v>25833.333333333332</v>
      </c>
      <c r="AL224" s="106">
        <f t="shared" ref="AL224:AL226" si="2673">+CB224+DR224+FH224</f>
        <v>25833.333333333332</v>
      </c>
      <c r="AM224" s="106">
        <f t="shared" ref="AM224:AM226" si="2674">+CC224+DS224+FI224</f>
        <v>25833.333333333332</v>
      </c>
      <c r="AN224" s="106">
        <f t="shared" ref="AN224:AN226" si="2675">+CD224+DT224+FJ224</f>
        <v>25833.333333333332</v>
      </c>
      <c r="AO224" s="106">
        <f t="shared" ref="AO224:AO226" si="2676">+SUM(AC224:AN224)</f>
        <v>310000</v>
      </c>
      <c r="AQ224" s="110">
        <v>10807.630799999999</v>
      </c>
      <c r="AR224" s="106">
        <v>10143.414000000001</v>
      </c>
      <c r="AS224" s="106">
        <v>9395.7899999999991</v>
      </c>
      <c r="AT224" s="106">
        <v>9602.1108000000004</v>
      </c>
      <c r="AU224" s="106">
        <v>8444.032799999999</v>
      </c>
      <c r="AV224" s="106">
        <v>11567.319600000001</v>
      </c>
      <c r="AW224" s="106">
        <v>20702.155199999997</v>
      </c>
      <c r="AX224" s="106">
        <v>8971.3944000000029</v>
      </c>
      <c r="AY224" s="106">
        <v>9320.6352000000006</v>
      </c>
      <c r="AZ224" s="106">
        <v>8328.9431999999997</v>
      </c>
      <c r="BA224" s="106">
        <v>68391.507599999997</v>
      </c>
      <c r="BB224" s="106">
        <v>11118.432000000001</v>
      </c>
      <c r="BC224" s="106">
        <f>+SUM(AQ224:BB224)</f>
        <v>186793.36559999999</v>
      </c>
      <c r="BD224" s="16" t="str">
        <f t="shared" si="2230"/>
        <v>Bank Charge</v>
      </c>
      <c r="BE224" s="106">
        <f>+VLOOKUP($BD224,'Jan-25'!$A:$J,5,0)</f>
        <v>15896.602799999997</v>
      </c>
      <c r="BF224" s="106">
        <f>+VLOOKUP($BD224,'Feb-25'!$A:$J,5,0)</f>
        <v>8514.018</v>
      </c>
      <c r="BG224" s="106">
        <f>+VLOOKUP($BD224,'Mar-25'!$A:$J,5,0)</f>
        <v>25120.791599999997</v>
      </c>
      <c r="BH224" s="106">
        <f>+VLOOKUP($BD224,'Apr-25'!$A:$J,5,0)</f>
        <v>13928.899199999998</v>
      </c>
      <c r="BI224" s="106">
        <f>+VLOOKUP($BD224,'May-25'!$A:$J,5,0)</f>
        <v>22720.357199999999</v>
      </c>
      <c r="BJ224" s="106">
        <f>+VLOOKUP($BD224,'June-25'!$A:$J,5,0)</f>
        <v>14218.129200000003</v>
      </c>
      <c r="BK224" s="106">
        <f>+VLOOKUP($BD224,'July-25'!$A:$J,5,0)</f>
        <v>15473.893199999999</v>
      </c>
      <c r="BL224" s="106">
        <f>+VLOOKUP($BD224,'Aug-25'!$A:$J,5,0)</f>
        <v>16210.486800000002</v>
      </c>
      <c r="BM224" s="106">
        <f>+VLOOKUP($BD224,'Sep-25'!$A:$J,5,0)</f>
        <v>12546.019200000001</v>
      </c>
      <c r="BN224" s="106">
        <f>+VLOOKUP($BD224,'Oct-25'!$A:$J,5,0)</f>
        <v>16308.547199999999</v>
      </c>
      <c r="BO224" s="106">
        <f>+VLOOKUP($BD224,'Nov-25'!$A:$J,5,0)</f>
        <v>0</v>
      </c>
      <c r="BP224" s="106">
        <f>+VLOOKUP($BD224,'Dec-25'!$A:$J,5,0)</f>
        <v>0</v>
      </c>
      <c r="BQ224" s="106">
        <f t="shared" ref="BQ224:BQ226" si="2677">+SUM(BE224:BP224)</f>
        <v>160937.7444</v>
      </c>
      <c r="BR224" s="118">
        <f t="shared" si="2614"/>
        <v>8.7236479999999936E-2</v>
      </c>
      <c r="BS224" s="106">
        <f>+_xlfn.XLOOKUP($BD224,Budget!$A:$A,Budget!BD:BD)</f>
        <v>15000</v>
      </c>
      <c r="BT224" s="106">
        <f>+_xlfn.XLOOKUP($BD224,Budget!$A:$A,Budget!BE:BE)</f>
        <v>15000</v>
      </c>
      <c r="BU224" s="106">
        <f>+_xlfn.XLOOKUP($BD224,Budget!$A:$A,Budget!BF:BF)</f>
        <v>15000</v>
      </c>
      <c r="BV224" s="106">
        <f>+_xlfn.XLOOKUP($BD224,Budget!$A:$A,Budget!BG:BG)</f>
        <v>15000</v>
      </c>
      <c r="BW224" s="106">
        <f>+_xlfn.XLOOKUP($BD224,Budget!$A:$A,Budget!BH:BH)</f>
        <v>15000</v>
      </c>
      <c r="BX224" s="106">
        <f>+_xlfn.XLOOKUP($BD224,Budget!$A:$A,Budget!BI:BI)</f>
        <v>15000</v>
      </c>
      <c r="BY224" s="106">
        <f>+_xlfn.XLOOKUP($BD224,Budget!$A:$A,Budget!BJ:BJ)</f>
        <v>15000</v>
      </c>
      <c r="BZ224" s="106">
        <f>+_xlfn.XLOOKUP($BD224,Budget!$A:$A,Budget!BK:BK)</f>
        <v>15000</v>
      </c>
      <c r="CA224" s="106">
        <f>+_xlfn.XLOOKUP($BD224,Budget!$A:$A,Budget!BL:BL)</f>
        <v>15000</v>
      </c>
      <c r="CB224" s="106">
        <f>+_xlfn.XLOOKUP($BD224,Budget!$A:$A,Budget!BM:BM)</f>
        <v>15000</v>
      </c>
      <c r="CC224" s="106">
        <f>+_xlfn.XLOOKUP($BD224,Budget!$A:$A,Budget!BN:BN)</f>
        <v>15000</v>
      </c>
      <c r="CD224" s="106">
        <f>+_xlfn.XLOOKUP($BD224,Budget!$A:$A,Budget!BO:BO)</f>
        <v>15000</v>
      </c>
      <c r="CE224" s="106">
        <f>+SUM(BS224:CD224)</f>
        <v>180000</v>
      </c>
      <c r="CF224" s="106"/>
      <c r="CG224" s="110">
        <v>5403.8153999999995</v>
      </c>
      <c r="CH224" s="106">
        <v>5071.7070000000003</v>
      </c>
      <c r="CI224" s="106">
        <v>4697.8949999999995</v>
      </c>
      <c r="CJ224" s="106">
        <v>4801.0554000000002</v>
      </c>
      <c r="CK224" s="106">
        <v>4222.0163999999995</v>
      </c>
      <c r="CL224" s="106">
        <v>5783.6598000000004</v>
      </c>
      <c r="CM224" s="106">
        <v>10351.077599999999</v>
      </c>
      <c r="CN224" s="106">
        <v>4485.6972000000014</v>
      </c>
      <c r="CO224" s="106">
        <v>4660.3176000000003</v>
      </c>
      <c r="CP224" s="106">
        <v>4164.4715999999999</v>
      </c>
      <c r="CQ224" s="106">
        <v>34195.753799999999</v>
      </c>
      <c r="CR224" s="106">
        <v>5559.2160000000003</v>
      </c>
      <c r="CS224" s="106">
        <f>+SUM(CG224:CR224)</f>
        <v>93396.682799999995</v>
      </c>
      <c r="CT224" s="16" t="str">
        <f t="shared" si="2231"/>
        <v>Bank Charge</v>
      </c>
      <c r="CU224" s="106">
        <f>+VLOOKUP($BD224,'Jan-25'!$A:$J,8,0)</f>
        <v>7948.3013999999985</v>
      </c>
      <c r="CV224" s="106">
        <f>+VLOOKUP($BD224,'Feb-25'!$A:$J,8,0)</f>
        <v>4257.009</v>
      </c>
      <c r="CW224" s="106">
        <f>+VLOOKUP($BD224,'Mar-25'!$A:$J,8,0)</f>
        <v>12560.395799999998</v>
      </c>
      <c r="CX224" s="106">
        <f>+VLOOKUP($BD224,'Apr-25'!$A:$J,8,0)</f>
        <v>6964.449599999999</v>
      </c>
      <c r="CY224" s="106">
        <f>+VLOOKUP($BD224,'May-25'!$A:$J,8,0)</f>
        <v>11360.178599999999</v>
      </c>
      <c r="CZ224" s="106">
        <f>+VLOOKUP($BD224,'June-25'!$A:$J,8,0)</f>
        <v>7109.0646000000015</v>
      </c>
      <c r="DA224" s="106">
        <f>+VLOOKUP($BD224,'July-25'!$A:$J,8,0)</f>
        <v>7736.9465999999993</v>
      </c>
      <c r="DB224" s="106">
        <f>+VLOOKUP($BD224,'Aug-25'!$A:$J,8,0)</f>
        <v>8105.2434000000012</v>
      </c>
      <c r="DC224" s="106">
        <f>+VLOOKUP($BD224,'Sep-25'!$A:$J,8,0)</f>
        <v>6273.0096000000003</v>
      </c>
      <c r="DD224" s="106">
        <f>+VLOOKUP($BD224,'Oct-25'!$A:$J,8,0)</f>
        <v>8154.2735999999995</v>
      </c>
      <c r="DE224" s="106">
        <f>+VLOOKUP($BD224,'Nov-25'!$A:$J,8,0)</f>
        <v>0</v>
      </c>
      <c r="DF224" s="106">
        <f>+VLOOKUP($BD224,'Dec-25'!$A:$J,8,0)</f>
        <v>0</v>
      </c>
      <c r="DG224" s="106">
        <f t="shared" ref="DG224:DG226" si="2678">+SUM(CU224:DF224)</f>
        <v>80468.872199999998</v>
      </c>
      <c r="DH224" s="118">
        <f t="shared" si="2615"/>
        <v>8.7236479999999936E-2</v>
      </c>
      <c r="DI224" s="106">
        <f>+_xlfn.XLOOKUP($CT224,Budget!$A:$A,Budget!CQ:CQ)</f>
        <v>7500</v>
      </c>
      <c r="DJ224" s="106">
        <f>+_xlfn.XLOOKUP($CT224,Budget!$A:$A,Budget!CR:CR)</f>
        <v>7500</v>
      </c>
      <c r="DK224" s="106">
        <f>+_xlfn.XLOOKUP($CT224,Budget!$A:$A,Budget!CS:CS)</f>
        <v>7500</v>
      </c>
      <c r="DL224" s="106">
        <f>+_xlfn.XLOOKUP($CT224,Budget!$A:$A,Budget!CT:CT)</f>
        <v>7500</v>
      </c>
      <c r="DM224" s="106">
        <f>+_xlfn.XLOOKUP($CT224,Budget!$A:$A,Budget!CU:CU)</f>
        <v>7500</v>
      </c>
      <c r="DN224" s="106">
        <f>+_xlfn.XLOOKUP($CT224,Budget!$A:$A,Budget!CV:CV)</f>
        <v>7500</v>
      </c>
      <c r="DO224" s="106">
        <f>+_xlfn.XLOOKUP($CT224,Budget!$A:$A,Budget!CW:CW)</f>
        <v>7500</v>
      </c>
      <c r="DP224" s="106">
        <f>+_xlfn.XLOOKUP($CT224,Budget!$A:$A,Budget!CX:CX)</f>
        <v>7500</v>
      </c>
      <c r="DQ224" s="106">
        <f>+_xlfn.XLOOKUP($CT224,Budget!$A:$A,Budget!CY:CY)</f>
        <v>7500</v>
      </c>
      <c r="DR224" s="106">
        <f>+_xlfn.XLOOKUP($CT224,Budget!$A:$A,Budget!CZ:CZ)</f>
        <v>7500</v>
      </c>
      <c r="DS224" s="106">
        <f>+_xlfn.XLOOKUP($CT224,Budget!$A:$A,Budget!DA:DA)</f>
        <v>7500</v>
      </c>
      <c r="DT224" s="106">
        <f>+_xlfn.XLOOKUP($CT224,Budget!$A:$A,Budget!DB:DB)</f>
        <v>7500</v>
      </c>
      <c r="DU224" s="106">
        <f>+SUM(DI224:DT224)</f>
        <v>90000</v>
      </c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106">
        <f>+SUM(DW224:EH224)</f>
        <v>0</v>
      </c>
      <c r="EJ224" s="16" t="str">
        <f t="shared" si="2302"/>
        <v>Bank Charge</v>
      </c>
      <c r="EK224" s="22">
        <f>+VLOOKUP($BD224,'Jan-25'!$A:$J,10,0)</f>
        <v>0</v>
      </c>
      <c r="EL224" s="22">
        <f>+VLOOKUP($BD224,'Feb-25'!$A:$J,10,0)</f>
        <v>0</v>
      </c>
      <c r="EM224" s="22">
        <f>+VLOOKUP($BD224,'Mar-25'!$A:$J,10,0)</f>
        <v>0</v>
      </c>
      <c r="EN224" s="22">
        <f>+VLOOKUP($BD224,'Apr-25'!$A:$J,10,0)</f>
        <v>0</v>
      </c>
      <c r="EO224" s="22">
        <f>+VLOOKUP($BD224,'May-25'!$A:$J,10,0)</f>
        <v>0</v>
      </c>
      <c r="EP224" s="22">
        <f>+VLOOKUP($BD224,'June-25'!$A:$J,10,0)</f>
        <v>0</v>
      </c>
      <c r="EQ224" s="22">
        <f>+VLOOKUP($BD224,'July-25'!$A:$J,10,0)</f>
        <v>0</v>
      </c>
      <c r="ER224" s="22">
        <f>+VLOOKUP($BD224,'Aug-25'!$A:$J,10,0)</f>
        <v>0</v>
      </c>
      <c r="ES224" s="22">
        <f>+VLOOKUP($BD224,'Sep-25'!$A:$J,10,0)</f>
        <v>0</v>
      </c>
      <c r="ET224" s="22">
        <f>+VLOOKUP($BD224,'Oct-25'!$A:$J,10,0)</f>
        <v>5436.1824000000006</v>
      </c>
      <c r="EU224" s="22">
        <f>+VLOOKUP($BD224,'Nov-25'!$A:$J,10,0)</f>
        <v>0</v>
      </c>
      <c r="EV224" s="22">
        <f>+VLOOKUP($BD224,'Dec-25'!$A:$J,10,0)</f>
        <v>0</v>
      </c>
      <c r="EW224" s="22">
        <f t="shared" ref="EW224:EW226" si="2679">+SUM(EK224:EV224)</f>
        <v>5436.1824000000006</v>
      </c>
      <c r="EX224" s="118">
        <f t="shared" si="2616"/>
        <v>-1</v>
      </c>
      <c r="EY224" s="106">
        <f>+_xlfn.XLOOKUP($EJ224,Budget!$A:$A,Budget!DR:DR)</f>
        <v>3333.333333333333</v>
      </c>
      <c r="EZ224" s="106">
        <f>+_xlfn.XLOOKUP($EJ224,Budget!$A:$A,Budget!DS:DS)</f>
        <v>3333.333333333333</v>
      </c>
      <c r="FA224" s="106">
        <f>+_xlfn.XLOOKUP($EJ224,Budget!$A:$A,Budget!DT:DT)</f>
        <v>3333.333333333333</v>
      </c>
      <c r="FB224" s="106">
        <f>+_xlfn.XLOOKUP($EJ224,Budget!$A:$A,Budget!DU:DU)</f>
        <v>3333.333333333333</v>
      </c>
      <c r="FC224" s="106">
        <f>+_xlfn.XLOOKUP($EJ224,Budget!$A:$A,Budget!DV:DV)</f>
        <v>3333.333333333333</v>
      </c>
      <c r="FD224" s="106">
        <f>+_xlfn.XLOOKUP($EJ224,Budget!$A:$A,Budget!DW:DW)</f>
        <v>3333.333333333333</v>
      </c>
      <c r="FE224" s="106">
        <f>+_xlfn.XLOOKUP($EJ224,Budget!$A:$A,Budget!DX:DX)</f>
        <v>3333.333333333333</v>
      </c>
      <c r="FF224" s="106">
        <f>+_xlfn.XLOOKUP($EJ224,Budget!$A:$A,Budget!DY:DY)</f>
        <v>3333.333333333333</v>
      </c>
      <c r="FG224" s="106">
        <f>+_xlfn.XLOOKUP($EJ224,Budget!$A:$A,Budget!DZ:DZ)</f>
        <v>3333.333333333333</v>
      </c>
      <c r="FH224" s="106">
        <f>+_xlfn.XLOOKUP($EJ224,Budget!$A:$A,Budget!EA:EA)</f>
        <v>3333.333333333333</v>
      </c>
      <c r="FI224" s="106">
        <f>+_xlfn.XLOOKUP($EJ224,Budget!$A:$A,Budget!EB:EB)</f>
        <v>3333.333333333333</v>
      </c>
      <c r="FJ224" s="106">
        <f>+_xlfn.XLOOKUP($EJ224,Budget!$A:$A,Budget!EC:EC)</f>
        <v>3333.333333333333</v>
      </c>
      <c r="FK224" s="106">
        <f>+SUM(EY224:FJ224)</f>
        <v>40000</v>
      </c>
    </row>
    <row r="225" spans="1:167" ht="14.45" hidden="1" customHeight="1" outlineLevel="2">
      <c r="A225" s="106">
        <f t="shared" si="2649"/>
        <v>0</v>
      </c>
      <c r="B225" s="106">
        <f t="shared" si="2649"/>
        <v>0</v>
      </c>
      <c r="C225" s="106">
        <f t="shared" si="2649"/>
        <v>0</v>
      </c>
      <c r="D225" s="106">
        <f t="shared" si="2649"/>
        <v>0</v>
      </c>
      <c r="E225" s="106">
        <f t="shared" si="2649"/>
        <v>0</v>
      </c>
      <c r="F225" s="106">
        <f t="shared" si="2649"/>
        <v>0</v>
      </c>
      <c r="G225" s="106">
        <f t="shared" si="2649"/>
        <v>0</v>
      </c>
      <c r="H225" s="106">
        <f t="shared" si="2649"/>
        <v>0</v>
      </c>
      <c r="I225" s="106">
        <f t="shared" si="2649"/>
        <v>0</v>
      </c>
      <c r="J225" s="106">
        <f t="shared" si="2649"/>
        <v>0</v>
      </c>
      <c r="K225" s="106">
        <f t="shared" si="2649"/>
        <v>0</v>
      </c>
      <c r="L225" s="106">
        <f t="shared" si="2649"/>
        <v>0</v>
      </c>
      <c r="M225" s="106">
        <f t="shared" si="2650"/>
        <v>0</v>
      </c>
      <c r="N225" s="16" t="s">
        <v>188</v>
      </c>
      <c r="O225" s="106">
        <f t="shared" si="2651"/>
        <v>0</v>
      </c>
      <c r="P225" s="106">
        <f t="shared" si="2652"/>
        <v>0</v>
      </c>
      <c r="Q225" s="106">
        <f t="shared" si="2653"/>
        <v>0</v>
      </c>
      <c r="R225" s="106">
        <f t="shared" si="2654"/>
        <v>0</v>
      </c>
      <c r="S225" s="106">
        <f t="shared" si="2655"/>
        <v>0</v>
      </c>
      <c r="T225" s="106">
        <f t="shared" si="2656"/>
        <v>0</v>
      </c>
      <c r="U225" s="106">
        <f t="shared" si="2657"/>
        <v>0</v>
      </c>
      <c r="V225" s="106">
        <f t="shared" si="2658"/>
        <v>0</v>
      </c>
      <c r="W225" s="106">
        <f t="shared" si="2659"/>
        <v>0</v>
      </c>
      <c r="X225" s="106">
        <f t="shared" si="2660"/>
        <v>0</v>
      </c>
      <c r="Y225" s="106">
        <f t="shared" si="2661"/>
        <v>0</v>
      </c>
      <c r="Z225" s="106">
        <f t="shared" si="2662"/>
        <v>0</v>
      </c>
      <c r="AA225" s="106">
        <f t="shared" si="2663"/>
        <v>0</v>
      </c>
      <c r="AB225" s="118">
        <f t="shared" si="2613"/>
        <v>-1</v>
      </c>
      <c r="AC225" s="106">
        <f t="shared" si="2664"/>
        <v>2000</v>
      </c>
      <c r="AD225" s="106">
        <f t="shared" si="2665"/>
        <v>2000</v>
      </c>
      <c r="AE225" s="106">
        <f t="shared" si="2666"/>
        <v>2000</v>
      </c>
      <c r="AF225" s="106">
        <f t="shared" si="2667"/>
        <v>2000</v>
      </c>
      <c r="AG225" s="106">
        <f t="shared" si="2668"/>
        <v>2000</v>
      </c>
      <c r="AH225" s="106">
        <f t="shared" si="2669"/>
        <v>2000</v>
      </c>
      <c r="AI225" s="106">
        <f t="shared" si="2670"/>
        <v>2000</v>
      </c>
      <c r="AJ225" s="106">
        <f t="shared" si="2671"/>
        <v>2000</v>
      </c>
      <c r="AK225" s="106">
        <f t="shared" si="2672"/>
        <v>2000</v>
      </c>
      <c r="AL225" s="106">
        <f t="shared" si="2673"/>
        <v>2000</v>
      </c>
      <c r="AM225" s="106">
        <f t="shared" si="2674"/>
        <v>2000</v>
      </c>
      <c r="AN225" s="106">
        <f t="shared" si="2675"/>
        <v>2000</v>
      </c>
      <c r="AO225" s="106">
        <f t="shared" si="2676"/>
        <v>24000</v>
      </c>
      <c r="AQ225" s="110">
        <v>0</v>
      </c>
      <c r="AR225" s="106">
        <v>0</v>
      </c>
      <c r="AS225" s="106">
        <v>0</v>
      </c>
      <c r="AT225" s="106">
        <v>0</v>
      </c>
      <c r="AU225" s="106">
        <v>0</v>
      </c>
      <c r="AV225" s="106">
        <v>0</v>
      </c>
      <c r="AW225" s="106">
        <v>0</v>
      </c>
      <c r="AX225" s="106">
        <v>0</v>
      </c>
      <c r="AY225" s="106">
        <v>0</v>
      </c>
      <c r="AZ225" s="106">
        <v>0</v>
      </c>
      <c r="BA225" s="106">
        <v>0</v>
      </c>
      <c r="BB225" s="106">
        <v>0</v>
      </c>
      <c r="BC225" s="106">
        <f>+SUM(AQ225:BB225)</f>
        <v>0</v>
      </c>
      <c r="BD225" s="16" t="str">
        <f t="shared" si="2230"/>
        <v>Commission on Bank Guarantee</v>
      </c>
      <c r="BE225" s="106">
        <f>+VLOOKUP($BD225,'Jan-25'!$A:$J,5,0)</f>
        <v>0</v>
      </c>
      <c r="BF225" s="106">
        <f>+VLOOKUP($BD225,'Feb-25'!$A:$J,5,0)</f>
        <v>0</v>
      </c>
      <c r="BG225" s="106">
        <f>+VLOOKUP($BD225,'Mar-25'!$A:$J,5,0)</f>
        <v>0</v>
      </c>
      <c r="BH225" s="106">
        <f>+VLOOKUP($BD225,'Apr-25'!$A:$J,5,0)</f>
        <v>0</v>
      </c>
      <c r="BI225" s="106">
        <f>+VLOOKUP($BD225,'May-25'!$A:$J,5,0)</f>
        <v>0</v>
      </c>
      <c r="BJ225" s="106">
        <f>+VLOOKUP($BD225,'June-25'!$A:$J,5,0)</f>
        <v>0</v>
      </c>
      <c r="BK225" s="106">
        <f>+VLOOKUP($BD225,'July-25'!$A:$J,5,0)</f>
        <v>0</v>
      </c>
      <c r="BL225" s="106">
        <f>+VLOOKUP($BD225,'Aug-25'!$A:$J,5,0)</f>
        <v>0</v>
      </c>
      <c r="BM225" s="106">
        <f>+VLOOKUP($BD225,'Sep-25'!$A:$J,5,0)</f>
        <v>0</v>
      </c>
      <c r="BN225" s="106">
        <f>+VLOOKUP($BD225,'Oct-25'!$A:$J,5,0)</f>
        <v>0</v>
      </c>
      <c r="BO225" s="106">
        <f>+VLOOKUP($BD225,'Nov-25'!$A:$J,5,0)</f>
        <v>0</v>
      </c>
      <c r="BP225" s="106">
        <f>+VLOOKUP($BD225,'Dec-25'!$A:$J,5,0)</f>
        <v>0</v>
      </c>
      <c r="BQ225" s="106">
        <f t="shared" si="2677"/>
        <v>0</v>
      </c>
      <c r="BR225" s="118">
        <f t="shared" si="2614"/>
        <v>0</v>
      </c>
      <c r="BS225" s="106">
        <f>+_xlfn.XLOOKUP($BD225,Budget!$A:$A,Budget!BD:BD)</f>
        <v>0</v>
      </c>
      <c r="BT225" s="106">
        <f>+_xlfn.XLOOKUP($BD225,Budget!$A:$A,Budget!BE:BE)</f>
        <v>0</v>
      </c>
      <c r="BU225" s="106">
        <f>+_xlfn.XLOOKUP($BD225,Budget!$A:$A,Budget!BF:BF)</f>
        <v>0</v>
      </c>
      <c r="BV225" s="106">
        <f>+_xlfn.XLOOKUP($BD225,Budget!$A:$A,Budget!BG:BG)</f>
        <v>0</v>
      </c>
      <c r="BW225" s="106">
        <f>+_xlfn.XLOOKUP($BD225,Budget!$A:$A,Budget!BH:BH)</f>
        <v>0</v>
      </c>
      <c r="BX225" s="106">
        <f>+_xlfn.XLOOKUP($BD225,Budget!$A:$A,Budget!BI:BI)</f>
        <v>0</v>
      </c>
      <c r="BY225" s="106">
        <f>+_xlfn.XLOOKUP($BD225,Budget!$A:$A,Budget!BJ:BJ)</f>
        <v>0</v>
      </c>
      <c r="BZ225" s="106">
        <f>+_xlfn.XLOOKUP($BD225,Budget!$A:$A,Budget!BK:BK)</f>
        <v>0</v>
      </c>
      <c r="CA225" s="106">
        <f>+_xlfn.XLOOKUP($BD225,Budget!$A:$A,Budget!BL:BL)</f>
        <v>0</v>
      </c>
      <c r="CB225" s="106">
        <f>+_xlfn.XLOOKUP($BD225,Budget!$A:$A,Budget!BM:BM)</f>
        <v>0</v>
      </c>
      <c r="CC225" s="106">
        <f>+_xlfn.XLOOKUP($BD225,Budget!$A:$A,Budget!BN:BN)</f>
        <v>0</v>
      </c>
      <c r="CD225" s="106">
        <f>+_xlfn.XLOOKUP($BD225,Budget!$A:$A,Budget!BO:BO)</f>
        <v>0</v>
      </c>
      <c r="CE225" s="106">
        <f>+SUM(BS225:CD225)</f>
        <v>0</v>
      </c>
      <c r="CF225" s="106"/>
      <c r="CG225" s="110">
        <v>0</v>
      </c>
      <c r="CH225" s="106">
        <v>0</v>
      </c>
      <c r="CI225" s="106">
        <v>0</v>
      </c>
      <c r="CJ225" s="106">
        <v>0</v>
      </c>
      <c r="CK225" s="106">
        <v>0</v>
      </c>
      <c r="CL225" s="106">
        <v>0</v>
      </c>
      <c r="CM225" s="106">
        <v>0</v>
      </c>
      <c r="CN225" s="106">
        <v>0</v>
      </c>
      <c r="CO225" s="106">
        <v>0</v>
      </c>
      <c r="CP225" s="106">
        <v>0</v>
      </c>
      <c r="CQ225" s="106">
        <v>0</v>
      </c>
      <c r="CR225" s="106">
        <v>0</v>
      </c>
      <c r="CS225" s="106">
        <f>+SUM(CG225:CR225)</f>
        <v>0</v>
      </c>
      <c r="CT225" s="16" t="str">
        <f t="shared" si="2231"/>
        <v>Commission on Bank Guarantee</v>
      </c>
      <c r="CU225" s="106">
        <f>+VLOOKUP($BD225,'Jan-25'!$A:$J,8,0)</f>
        <v>0</v>
      </c>
      <c r="CV225" s="106">
        <f>+VLOOKUP($BD225,'Feb-25'!$A:$J,8,0)</f>
        <v>0</v>
      </c>
      <c r="CW225" s="106">
        <f>+VLOOKUP($BD225,'Mar-25'!$A:$J,8,0)</f>
        <v>0</v>
      </c>
      <c r="CX225" s="106">
        <f>+VLOOKUP($BD225,'Apr-25'!$A:$J,8,0)</f>
        <v>0</v>
      </c>
      <c r="CY225" s="106">
        <f>+VLOOKUP($BD225,'May-25'!$A:$J,8,0)</f>
        <v>0</v>
      </c>
      <c r="CZ225" s="106">
        <f>+VLOOKUP($BD225,'June-25'!$A:$J,8,0)</f>
        <v>0</v>
      </c>
      <c r="DA225" s="106">
        <f>+VLOOKUP($BD225,'July-25'!$A:$J,8,0)</f>
        <v>0</v>
      </c>
      <c r="DB225" s="106">
        <f>+VLOOKUP($BD225,'Aug-25'!$A:$J,8,0)</f>
        <v>0</v>
      </c>
      <c r="DC225" s="106">
        <f>+VLOOKUP($BD225,'Sep-25'!$A:$J,8,0)</f>
        <v>0</v>
      </c>
      <c r="DD225" s="106">
        <f>+VLOOKUP($BD225,'Oct-25'!$A:$J,8,0)</f>
        <v>0</v>
      </c>
      <c r="DE225" s="106">
        <f>+VLOOKUP($BD225,'Nov-25'!$A:$J,8,0)</f>
        <v>0</v>
      </c>
      <c r="DF225" s="106">
        <f>+VLOOKUP($BD225,'Dec-25'!$A:$J,8,0)</f>
        <v>0</v>
      </c>
      <c r="DG225" s="106">
        <f t="shared" si="2678"/>
        <v>0</v>
      </c>
      <c r="DH225" s="118">
        <f t="shared" si="2615"/>
        <v>0</v>
      </c>
      <c r="DI225" s="106">
        <f>+_xlfn.XLOOKUP($CT225,Budget!$A:$A,Budget!CQ:CQ)</f>
        <v>0</v>
      </c>
      <c r="DJ225" s="106">
        <f>+_xlfn.XLOOKUP($CT225,Budget!$A:$A,Budget!CR:CR)</f>
        <v>0</v>
      </c>
      <c r="DK225" s="106">
        <f>+_xlfn.XLOOKUP($CT225,Budget!$A:$A,Budget!CS:CS)</f>
        <v>0</v>
      </c>
      <c r="DL225" s="106">
        <f>+_xlfn.XLOOKUP($CT225,Budget!$A:$A,Budget!CT:CT)</f>
        <v>0</v>
      </c>
      <c r="DM225" s="106">
        <f>+_xlfn.XLOOKUP($CT225,Budget!$A:$A,Budget!CU:CU)</f>
        <v>0</v>
      </c>
      <c r="DN225" s="106">
        <f>+_xlfn.XLOOKUP($CT225,Budget!$A:$A,Budget!CV:CV)</f>
        <v>0</v>
      </c>
      <c r="DO225" s="106">
        <f>+_xlfn.XLOOKUP($CT225,Budget!$A:$A,Budget!CW:CW)</f>
        <v>0</v>
      </c>
      <c r="DP225" s="106">
        <f>+_xlfn.XLOOKUP($CT225,Budget!$A:$A,Budget!CX:CX)</f>
        <v>0</v>
      </c>
      <c r="DQ225" s="106">
        <f>+_xlfn.XLOOKUP($CT225,Budget!$A:$A,Budget!CY:CY)</f>
        <v>0</v>
      </c>
      <c r="DR225" s="106">
        <f>+_xlfn.XLOOKUP($CT225,Budget!$A:$A,Budget!CZ:CZ)</f>
        <v>0</v>
      </c>
      <c r="DS225" s="106">
        <f>+_xlfn.XLOOKUP($CT225,Budget!$A:$A,Budget!DA:DA)</f>
        <v>0</v>
      </c>
      <c r="DT225" s="106">
        <f>+_xlfn.XLOOKUP($CT225,Budget!$A:$A,Budget!DB:DB)</f>
        <v>0</v>
      </c>
      <c r="DU225" s="106">
        <f>+SUM(DI225:DT225)</f>
        <v>0</v>
      </c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106">
        <f>+SUM(DW225:EH225)</f>
        <v>0</v>
      </c>
      <c r="EJ225" s="16" t="str">
        <f t="shared" si="2302"/>
        <v>Commission on Bank Guarantee</v>
      </c>
      <c r="EK225" s="22">
        <f>+VLOOKUP($BD225,'Jan-25'!$A:$J,10,0)</f>
        <v>0</v>
      </c>
      <c r="EL225" s="22">
        <f>+VLOOKUP($BD225,'Feb-25'!$A:$J,10,0)</f>
        <v>0</v>
      </c>
      <c r="EM225" s="22">
        <f>+VLOOKUP($BD225,'Mar-25'!$A:$J,10,0)</f>
        <v>0</v>
      </c>
      <c r="EN225" s="22">
        <f>+VLOOKUP($BD225,'Apr-25'!$A:$J,10,0)</f>
        <v>0</v>
      </c>
      <c r="EO225" s="22">
        <f>+VLOOKUP($BD225,'May-25'!$A:$J,10,0)</f>
        <v>0</v>
      </c>
      <c r="EP225" s="22">
        <f>+VLOOKUP($BD225,'June-25'!$A:$J,10,0)</f>
        <v>0</v>
      </c>
      <c r="EQ225" s="22">
        <f>+VLOOKUP($BD225,'July-25'!$A:$J,10,0)</f>
        <v>0</v>
      </c>
      <c r="ER225" s="22">
        <f>+VLOOKUP($BD225,'Aug-25'!$A:$J,10,0)</f>
        <v>0</v>
      </c>
      <c r="ES225" s="22">
        <f>+VLOOKUP($BD225,'Sep-25'!$A:$J,10,0)</f>
        <v>0</v>
      </c>
      <c r="ET225" s="22">
        <f>+VLOOKUP($BD225,'Oct-25'!$A:$J,10,0)</f>
        <v>0</v>
      </c>
      <c r="EU225" s="22">
        <f>+VLOOKUP($BD225,'Nov-25'!$A:$J,10,0)</f>
        <v>0</v>
      </c>
      <c r="EV225" s="22">
        <f>+VLOOKUP($BD225,'Dec-25'!$A:$J,10,0)</f>
        <v>0</v>
      </c>
      <c r="EW225" s="22">
        <f t="shared" si="2679"/>
        <v>0</v>
      </c>
      <c r="EX225" s="118">
        <f t="shared" si="2616"/>
        <v>-1</v>
      </c>
      <c r="EY225" s="106">
        <f>+_xlfn.XLOOKUP($EJ225,Budget!$A:$A,Budget!DR:DR)</f>
        <v>2000</v>
      </c>
      <c r="EZ225" s="106">
        <f>+_xlfn.XLOOKUP($EJ225,Budget!$A:$A,Budget!DS:DS)</f>
        <v>2000</v>
      </c>
      <c r="FA225" s="106">
        <f>+_xlfn.XLOOKUP($EJ225,Budget!$A:$A,Budget!DT:DT)</f>
        <v>2000</v>
      </c>
      <c r="FB225" s="106">
        <f>+_xlfn.XLOOKUP($EJ225,Budget!$A:$A,Budget!DU:DU)</f>
        <v>2000</v>
      </c>
      <c r="FC225" s="106">
        <f>+_xlfn.XLOOKUP($EJ225,Budget!$A:$A,Budget!DV:DV)</f>
        <v>2000</v>
      </c>
      <c r="FD225" s="106">
        <f>+_xlfn.XLOOKUP($EJ225,Budget!$A:$A,Budget!DW:DW)</f>
        <v>2000</v>
      </c>
      <c r="FE225" s="106">
        <f>+_xlfn.XLOOKUP($EJ225,Budget!$A:$A,Budget!DX:DX)</f>
        <v>2000</v>
      </c>
      <c r="FF225" s="106">
        <f>+_xlfn.XLOOKUP($EJ225,Budget!$A:$A,Budget!DY:DY)</f>
        <v>2000</v>
      </c>
      <c r="FG225" s="106">
        <f>+_xlfn.XLOOKUP($EJ225,Budget!$A:$A,Budget!DZ:DZ)</f>
        <v>2000</v>
      </c>
      <c r="FH225" s="106">
        <f>+_xlfn.XLOOKUP($EJ225,Budget!$A:$A,Budget!EA:EA)</f>
        <v>2000</v>
      </c>
      <c r="FI225" s="106">
        <f>+_xlfn.XLOOKUP($EJ225,Budget!$A:$A,Budget!EB:EB)</f>
        <v>2000</v>
      </c>
      <c r="FJ225" s="106">
        <f>+_xlfn.XLOOKUP($EJ225,Budget!$A:$A,Budget!EC:EC)</f>
        <v>2000</v>
      </c>
      <c r="FK225" s="106">
        <f>+SUM(EY225:FJ225)</f>
        <v>24000</v>
      </c>
    </row>
    <row r="226" spans="1:167" ht="14.45" hidden="1" customHeight="1" outlineLevel="2">
      <c r="A226" s="106">
        <f t="shared" si="2649"/>
        <v>0</v>
      </c>
      <c r="B226" s="106">
        <f t="shared" si="2649"/>
        <v>0</v>
      </c>
      <c r="C226" s="106">
        <f t="shared" si="2649"/>
        <v>0</v>
      </c>
      <c r="D226" s="106">
        <f t="shared" si="2649"/>
        <v>0</v>
      </c>
      <c r="E226" s="106">
        <f t="shared" si="2649"/>
        <v>0</v>
      </c>
      <c r="F226" s="106">
        <f t="shared" si="2649"/>
        <v>0</v>
      </c>
      <c r="G226" s="106">
        <f t="shared" si="2649"/>
        <v>0</v>
      </c>
      <c r="H226" s="106">
        <f t="shared" si="2649"/>
        <v>0</v>
      </c>
      <c r="I226" s="106">
        <f t="shared" si="2649"/>
        <v>0</v>
      </c>
      <c r="J226" s="106">
        <f t="shared" si="2649"/>
        <v>0</v>
      </c>
      <c r="K226" s="106">
        <f t="shared" si="2649"/>
        <v>0</v>
      </c>
      <c r="L226" s="106">
        <f t="shared" si="2649"/>
        <v>0</v>
      </c>
      <c r="M226" s="106">
        <f t="shared" si="2650"/>
        <v>0</v>
      </c>
      <c r="N226" s="16" t="s">
        <v>189</v>
      </c>
      <c r="O226" s="106">
        <f t="shared" si="2651"/>
        <v>0</v>
      </c>
      <c r="P226" s="106">
        <f t="shared" si="2652"/>
        <v>0</v>
      </c>
      <c r="Q226" s="106">
        <f t="shared" si="2653"/>
        <v>0</v>
      </c>
      <c r="R226" s="106">
        <f t="shared" si="2654"/>
        <v>0</v>
      </c>
      <c r="S226" s="106">
        <f t="shared" si="2655"/>
        <v>0</v>
      </c>
      <c r="T226" s="106">
        <f t="shared" si="2656"/>
        <v>0</v>
      </c>
      <c r="U226" s="106">
        <f t="shared" si="2657"/>
        <v>0</v>
      </c>
      <c r="V226" s="106">
        <f t="shared" si="2658"/>
        <v>0</v>
      </c>
      <c r="W226" s="106">
        <f t="shared" si="2659"/>
        <v>0</v>
      </c>
      <c r="X226" s="106">
        <f t="shared" si="2660"/>
        <v>0</v>
      </c>
      <c r="Y226" s="106">
        <f t="shared" si="2661"/>
        <v>0</v>
      </c>
      <c r="Z226" s="106">
        <f t="shared" si="2662"/>
        <v>0</v>
      </c>
      <c r="AA226" s="106">
        <f t="shared" si="2663"/>
        <v>0</v>
      </c>
      <c r="AB226" s="118">
        <f t="shared" si="2613"/>
        <v>-1</v>
      </c>
      <c r="AC226" s="106">
        <f t="shared" si="2664"/>
        <v>3333.333333333333</v>
      </c>
      <c r="AD226" s="106">
        <f t="shared" si="2665"/>
        <v>3333.333333333333</v>
      </c>
      <c r="AE226" s="106">
        <f t="shared" si="2666"/>
        <v>3333.333333333333</v>
      </c>
      <c r="AF226" s="106">
        <f t="shared" si="2667"/>
        <v>3333.333333333333</v>
      </c>
      <c r="AG226" s="106">
        <f t="shared" si="2668"/>
        <v>3333.333333333333</v>
      </c>
      <c r="AH226" s="106">
        <f t="shared" si="2669"/>
        <v>3333.333333333333</v>
      </c>
      <c r="AI226" s="106">
        <f t="shared" si="2670"/>
        <v>3333.333333333333</v>
      </c>
      <c r="AJ226" s="106">
        <f t="shared" si="2671"/>
        <v>3333.333333333333</v>
      </c>
      <c r="AK226" s="106">
        <f t="shared" si="2672"/>
        <v>3333.333333333333</v>
      </c>
      <c r="AL226" s="106">
        <f t="shared" si="2673"/>
        <v>3333.333333333333</v>
      </c>
      <c r="AM226" s="106">
        <f t="shared" si="2674"/>
        <v>3333.333333333333</v>
      </c>
      <c r="AN226" s="106">
        <f t="shared" si="2675"/>
        <v>3333.333333333333</v>
      </c>
      <c r="AO226" s="106">
        <f t="shared" si="2676"/>
        <v>40000</v>
      </c>
      <c r="AQ226" s="110">
        <v>0</v>
      </c>
      <c r="AR226" s="106">
        <v>0</v>
      </c>
      <c r="AS226" s="106">
        <v>0</v>
      </c>
      <c r="AT226" s="106">
        <v>0</v>
      </c>
      <c r="AU226" s="106">
        <v>0</v>
      </c>
      <c r="AV226" s="106">
        <v>0</v>
      </c>
      <c r="AW226" s="106">
        <v>0</v>
      </c>
      <c r="AX226" s="106">
        <v>0</v>
      </c>
      <c r="AY226" s="106">
        <v>0</v>
      </c>
      <c r="AZ226" s="106">
        <v>0</v>
      </c>
      <c r="BA226" s="106">
        <v>0</v>
      </c>
      <c r="BB226" s="106">
        <v>0</v>
      </c>
      <c r="BC226" s="106">
        <f>+SUM(AQ226:BB226)</f>
        <v>0</v>
      </c>
      <c r="BD226" s="16" t="str">
        <f t="shared" si="2230"/>
        <v>Commission on Credit Card</v>
      </c>
      <c r="BE226" s="106">
        <f>+VLOOKUP($BD226,'Jan-25'!$A:$J,5,0)</f>
        <v>0</v>
      </c>
      <c r="BF226" s="106">
        <f>+VLOOKUP($BD226,'Feb-25'!$A:$J,5,0)</f>
        <v>0</v>
      </c>
      <c r="BG226" s="106">
        <f>+VLOOKUP($BD226,'Mar-25'!$A:$J,5,0)</f>
        <v>0</v>
      </c>
      <c r="BH226" s="106">
        <f>+VLOOKUP($BD226,'Apr-25'!$A:$J,5,0)</f>
        <v>0</v>
      </c>
      <c r="BI226" s="106">
        <f>+VLOOKUP($BD226,'May-25'!$A:$J,5,0)</f>
        <v>0</v>
      </c>
      <c r="BJ226" s="106">
        <f>+VLOOKUP($BD226,'June-25'!$A:$J,5,0)</f>
        <v>0</v>
      </c>
      <c r="BK226" s="106">
        <f>+VLOOKUP($BD226,'July-25'!$A:$J,5,0)</f>
        <v>0</v>
      </c>
      <c r="BL226" s="106">
        <f>+VLOOKUP($BD226,'Aug-25'!$A:$J,5,0)</f>
        <v>0</v>
      </c>
      <c r="BM226" s="106">
        <f>+VLOOKUP($BD226,'Sep-25'!$A:$J,5,0)</f>
        <v>0</v>
      </c>
      <c r="BN226" s="106">
        <f>+VLOOKUP($BD226,'Oct-25'!$A:$J,5,0)</f>
        <v>0</v>
      </c>
      <c r="BO226" s="106">
        <f>+VLOOKUP($BD226,'Nov-25'!$A:$J,5,0)</f>
        <v>0</v>
      </c>
      <c r="BP226" s="106">
        <f>+VLOOKUP($BD226,'Dec-25'!$A:$J,5,0)</f>
        <v>0</v>
      </c>
      <c r="BQ226" s="106">
        <f t="shared" si="2677"/>
        <v>0</v>
      </c>
      <c r="BR226" s="118">
        <f t="shared" si="2614"/>
        <v>0</v>
      </c>
      <c r="BS226" s="106">
        <f>+_xlfn.XLOOKUP($BD226,Budget!$A:$A,Budget!BD:BD)</f>
        <v>0</v>
      </c>
      <c r="BT226" s="106">
        <f>+_xlfn.XLOOKUP($BD226,Budget!$A:$A,Budget!BE:BE)</f>
        <v>0</v>
      </c>
      <c r="BU226" s="106">
        <f>+_xlfn.XLOOKUP($BD226,Budget!$A:$A,Budget!BF:BF)</f>
        <v>0</v>
      </c>
      <c r="BV226" s="106">
        <f>+_xlfn.XLOOKUP($BD226,Budget!$A:$A,Budget!BG:BG)</f>
        <v>0</v>
      </c>
      <c r="BW226" s="106">
        <f>+_xlfn.XLOOKUP($BD226,Budget!$A:$A,Budget!BH:BH)</f>
        <v>0</v>
      </c>
      <c r="BX226" s="106">
        <f>+_xlfn.XLOOKUP($BD226,Budget!$A:$A,Budget!BI:BI)</f>
        <v>0</v>
      </c>
      <c r="BY226" s="106">
        <f>+_xlfn.XLOOKUP($BD226,Budget!$A:$A,Budget!BJ:BJ)</f>
        <v>0</v>
      </c>
      <c r="BZ226" s="106">
        <f>+_xlfn.XLOOKUP($BD226,Budget!$A:$A,Budget!BK:BK)</f>
        <v>0</v>
      </c>
      <c r="CA226" s="106">
        <f>+_xlfn.XLOOKUP($BD226,Budget!$A:$A,Budget!BL:BL)</f>
        <v>0</v>
      </c>
      <c r="CB226" s="106">
        <f>+_xlfn.XLOOKUP($BD226,Budget!$A:$A,Budget!BM:BM)</f>
        <v>0</v>
      </c>
      <c r="CC226" s="106">
        <f>+_xlfn.XLOOKUP($BD226,Budget!$A:$A,Budget!BN:BN)</f>
        <v>0</v>
      </c>
      <c r="CD226" s="106">
        <f>+_xlfn.XLOOKUP($BD226,Budget!$A:$A,Budget!BO:BO)</f>
        <v>0</v>
      </c>
      <c r="CE226" s="106">
        <f>+SUM(BS226:CD226)</f>
        <v>0</v>
      </c>
      <c r="CF226" s="106"/>
      <c r="CG226" s="110">
        <v>0</v>
      </c>
      <c r="CH226" s="106">
        <v>0</v>
      </c>
      <c r="CI226" s="106">
        <v>0</v>
      </c>
      <c r="CJ226" s="106">
        <v>0</v>
      </c>
      <c r="CK226" s="106">
        <v>0</v>
      </c>
      <c r="CL226" s="106">
        <v>0</v>
      </c>
      <c r="CM226" s="106">
        <v>0</v>
      </c>
      <c r="CN226" s="106">
        <v>0</v>
      </c>
      <c r="CO226" s="106">
        <v>0</v>
      </c>
      <c r="CP226" s="106">
        <v>0</v>
      </c>
      <c r="CQ226" s="106">
        <v>0</v>
      </c>
      <c r="CR226" s="106">
        <v>0</v>
      </c>
      <c r="CS226" s="106">
        <f>+SUM(CG226:CR226)</f>
        <v>0</v>
      </c>
      <c r="CT226" s="16" t="str">
        <f t="shared" si="2231"/>
        <v>Commission on Credit Card</v>
      </c>
      <c r="CU226" s="106">
        <f>+VLOOKUP($BD226,'Jan-25'!$A:$J,8,0)</f>
        <v>0</v>
      </c>
      <c r="CV226" s="106">
        <f>+VLOOKUP($BD226,'Feb-25'!$A:$J,8,0)</f>
        <v>0</v>
      </c>
      <c r="CW226" s="106">
        <f>+VLOOKUP($BD226,'Mar-25'!$A:$J,8,0)</f>
        <v>0</v>
      </c>
      <c r="CX226" s="106">
        <f>+VLOOKUP($BD226,'Apr-25'!$A:$J,8,0)</f>
        <v>0</v>
      </c>
      <c r="CY226" s="106">
        <f>+VLOOKUP($BD226,'May-25'!$A:$J,8,0)</f>
        <v>0</v>
      </c>
      <c r="CZ226" s="106">
        <f>+VLOOKUP($BD226,'June-25'!$A:$J,8,0)</f>
        <v>0</v>
      </c>
      <c r="DA226" s="106">
        <f>+VLOOKUP($BD226,'July-25'!$A:$J,8,0)</f>
        <v>0</v>
      </c>
      <c r="DB226" s="106">
        <f>+VLOOKUP($BD226,'Aug-25'!$A:$J,8,0)</f>
        <v>0</v>
      </c>
      <c r="DC226" s="106">
        <f>+VLOOKUP($BD226,'Sep-25'!$A:$J,8,0)</f>
        <v>0</v>
      </c>
      <c r="DD226" s="106">
        <f>+VLOOKUP($BD226,'Oct-25'!$A:$J,8,0)</f>
        <v>0</v>
      </c>
      <c r="DE226" s="106">
        <f>+VLOOKUP($BD226,'Nov-25'!$A:$J,8,0)</f>
        <v>0</v>
      </c>
      <c r="DF226" s="106">
        <f>+VLOOKUP($BD226,'Dec-25'!$A:$J,8,0)</f>
        <v>0</v>
      </c>
      <c r="DG226" s="106">
        <f t="shared" si="2678"/>
        <v>0</v>
      </c>
      <c r="DH226" s="118">
        <f t="shared" si="2615"/>
        <v>0</v>
      </c>
      <c r="DI226" s="106">
        <f>+_xlfn.XLOOKUP($CT226,Budget!$A:$A,Budget!CQ:CQ)</f>
        <v>0</v>
      </c>
      <c r="DJ226" s="106">
        <f>+_xlfn.XLOOKUP($CT226,Budget!$A:$A,Budget!CR:CR)</f>
        <v>0</v>
      </c>
      <c r="DK226" s="106">
        <f>+_xlfn.XLOOKUP($CT226,Budget!$A:$A,Budget!CS:CS)</f>
        <v>0</v>
      </c>
      <c r="DL226" s="106">
        <f>+_xlfn.XLOOKUP($CT226,Budget!$A:$A,Budget!CT:CT)</f>
        <v>0</v>
      </c>
      <c r="DM226" s="106">
        <f>+_xlfn.XLOOKUP($CT226,Budget!$A:$A,Budget!CU:CU)</f>
        <v>0</v>
      </c>
      <c r="DN226" s="106">
        <f>+_xlfn.XLOOKUP($CT226,Budget!$A:$A,Budget!CV:CV)</f>
        <v>0</v>
      </c>
      <c r="DO226" s="106">
        <f>+_xlfn.XLOOKUP($CT226,Budget!$A:$A,Budget!CW:CW)</f>
        <v>0</v>
      </c>
      <c r="DP226" s="106">
        <f>+_xlfn.XLOOKUP($CT226,Budget!$A:$A,Budget!CX:CX)</f>
        <v>0</v>
      </c>
      <c r="DQ226" s="106">
        <f>+_xlfn.XLOOKUP($CT226,Budget!$A:$A,Budget!CY:CY)</f>
        <v>0</v>
      </c>
      <c r="DR226" s="106">
        <f>+_xlfn.XLOOKUP($CT226,Budget!$A:$A,Budget!CZ:CZ)</f>
        <v>0</v>
      </c>
      <c r="DS226" s="106">
        <f>+_xlfn.XLOOKUP($CT226,Budget!$A:$A,Budget!DA:DA)</f>
        <v>0</v>
      </c>
      <c r="DT226" s="106">
        <f>+_xlfn.XLOOKUP($CT226,Budget!$A:$A,Budget!DB:DB)</f>
        <v>0</v>
      </c>
      <c r="DU226" s="106">
        <f>+SUM(DI226:DT226)</f>
        <v>0</v>
      </c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106">
        <f>+SUM(DW226:EH226)</f>
        <v>0</v>
      </c>
      <c r="EJ226" s="16" t="str">
        <f t="shared" si="2302"/>
        <v>Commission on Credit Card</v>
      </c>
      <c r="EK226" s="22">
        <f>+VLOOKUP($BD226,'Jan-25'!$A:$J,10,0)</f>
        <v>0</v>
      </c>
      <c r="EL226" s="22">
        <f>+VLOOKUP($BD226,'Feb-25'!$A:$J,10,0)</f>
        <v>0</v>
      </c>
      <c r="EM226" s="22">
        <f>+VLOOKUP($BD226,'Mar-25'!$A:$J,10,0)</f>
        <v>0</v>
      </c>
      <c r="EN226" s="22">
        <f>+VLOOKUP($BD226,'Apr-25'!$A:$J,10,0)</f>
        <v>0</v>
      </c>
      <c r="EO226" s="22">
        <f>+VLOOKUP($BD226,'May-25'!$A:$J,10,0)</f>
        <v>0</v>
      </c>
      <c r="EP226" s="22">
        <f>+VLOOKUP($BD226,'June-25'!$A:$J,10,0)</f>
        <v>0</v>
      </c>
      <c r="EQ226" s="22">
        <f>+VLOOKUP($BD226,'July-25'!$A:$J,10,0)</f>
        <v>0</v>
      </c>
      <c r="ER226" s="22">
        <f>+VLOOKUP($BD226,'Aug-25'!$A:$J,10,0)</f>
        <v>0</v>
      </c>
      <c r="ES226" s="22">
        <f>+VLOOKUP($BD226,'Sep-25'!$A:$J,10,0)</f>
        <v>0</v>
      </c>
      <c r="ET226" s="22">
        <f>+VLOOKUP($BD226,'Oct-25'!$A:$J,10,0)</f>
        <v>0</v>
      </c>
      <c r="EU226" s="22">
        <f>+VLOOKUP($BD226,'Nov-25'!$A:$J,10,0)</f>
        <v>0</v>
      </c>
      <c r="EV226" s="22">
        <f>+VLOOKUP($BD226,'Dec-25'!$A:$J,10,0)</f>
        <v>0</v>
      </c>
      <c r="EW226" s="22">
        <f t="shared" si="2679"/>
        <v>0</v>
      </c>
      <c r="EX226" s="118">
        <f t="shared" si="2616"/>
        <v>-1</v>
      </c>
      <c r="EY226" s="106">
        <f>+_xlfn.XLOOKUP($EJ226,Budget!$A:$A,Budget!DR:DR)</f>
        <v>3333.333333333333</v>
      </c>
      <c r="EZ226" s="106">
        <f>+_xlfn.XLOOKUP($EJ226,Budget!$A:$A,Budget!DS:DS)</f>
        <v>3333.333333333333</v>
      </c>
      <c r="FA226" s="106">
        <f>+_xlfn.XLOOKUP($EJ226,Budget!$A:$A,Budget!DT:DT)</f>
        <v>3333.333333333333</v>
      </c>
      <c r="FB226" s="106">
        <f>+_xlfn.XLOOKUP($EJ226,Budget!$A:$A,Budget!DU:DU)</f>
        <v>3333.333333333333</v>
      </c>
      <c r="FC226" s="106">
        <f>+_xlfn.XLOOKUP($EJ226,Budget!$A:$A,Budget!DV:DV)</f>
        <v>3333.333333333333</v>
      </c>
      <c r="FD226" s="106">
        <f>+_xlfn.XLOOKUP($EJ226,Budget!$A:$A,Budget!DW:DW)</f>
        <v>3333.333333333333</v>
      </c>
      <c r="FE226" s="106">
        <f>+_xlfn.XLOOKUP($EJ226,Budget!$A:$A,Budget!DX:DX)</f>
        <v>3333.333333333333</v>
      </c>
      <c r="FF226" s="106">
        <f>+_xlfn.XLOOKUP($EJ226,Budget!$A:$A,Budget!DY:DY)</f>
        <v>3333.333333333333</v>
      </c>
      <c r="FG226" s="106">
        <f>+_xlfn.XLOOKUP($EJ226,Budget!$A:$A,Budget!DZ:DZ)</f>
        <v>3333.333333333333</v>
      </c>
      <c r="FH226" s="106">
        <f>+_xlfn.XLOOKUP($EJ226,Budget!$A:$A,Budget!EA:EA)</f>
        <v>3333.333333333333</v>
      </c>
      <c r="FI226" s="106">
        <f>+_xlfn.XLOOKUP($EJ226,Budget!$A:$A,Budget!EB:EB)</f>
        <v>3333.333333333333</v>
      </c>
      <c r="FJ226" s="106">
        <f>+_xlfn.XLOOKUP($EJ226,Budget!$A:$A,Budget!EC:EC)</f>
        <v>3333.333333333333</v>
      </c>
      <c r="FK226" s="106">
        <f>+SUM(EY226:FJ226)</f>
        <v>40000</v>
      </c>
    </row>
    <row r="227" spans="1:167" ht="14.45" customHeight="1" outlineLevel="1" collapsed="1">
      <c r="A227" s="58">
        <f t="shared" ref="A227:L227" si="2680">+A228+A229</f>
        <v>1868.0400000000002</v>
      </c>
      <c r="B227" s="58">
        <f t="shared" si="2680"/>
        <v>24454.079999999998</v>
      </c>
      <c r="C227" s="58">
        <f t="shared" si="2680"/>
        <v>41063.4</v>
      </c>
      <c r="D227" s="58">
        <f t="shared" si="2680"/>
        <v>4916.1600000000008</v>
      </c>
      <c r="E227" s="58">
        <f t="shared" si="2680"/>
        <v>1479.42</v>
      </c>
      <c r="F227" s="58">
        <f t="shared" si="2680"/>
        <v>5153.9400000000005</v>
      </c>
      <c r="G227" s="58">
        <f t="shared" si="2680"/>
        <v>4483.62</v>
      </c>
      <c r="H227" s="58">
        <f t="shared" si="2680"/>
        <v>7716.9600000000009</v>
      </c>
      <c r="I227" s="58">
        <f t="shared" si="2680"/>
        <v>13002.84</v>
      </c>
      <c r="J227" s="58">
        <f t="shared" si="2680"/>
        <v>16509.600000000002</v>
      </c>
      <c r="K227" s="58">
        <f t="shared" si="2680"/>
        <v>10507.5</v>
      </c>
      <c r="L227" s="58">
        <f t="shared" si="2680"/>
        <v>15329.34</v>
      </c>
      <c r="M227" s="58"/>
      <c r="N227" s="20" t="s">
        <v>190</v>
      </c>
      <c r="O227" s="58">
        <f t="shared" ref="O227" si="2681">+O228+O229</f>
        <v>16431.66</v>
      </c>
      <c r="P227" s="58">
        <f t="shared" ref="P227" si="2682">+P228+P229</f>
        <v>12128.58</v>
      </c>
      <c r="Q227" s="58">
        <f t="shared" ref="Q227" si="2683">+Q228+Q229</f>
        <v>2989.44</v>
      </c>
      <c r="R227" s="58">
        <f t="shared" ref="R227" si="2684">+R228+R229</f>
        <v>790.56</v>
      </c>
      <c r="S227" s="58">
        <f t="shared" ref="S227" si="2685">+S228+S229</f>
        <v>8886.7800000000007</v>
      </c>
      <c r="T227" s="58">
        <f t="shared" ref="T227" si="2686">+T228+T229</f>
        <v>5414.2199999999993</v>
      </c>
      <c r="U227" s="58">
        <f t="shared" ref="U227" si="2687">+U228+U229</f>
        <v>0</v>
      </c>
      <c r="V227" s="58">
        <f t="shared" ref="V227" si="2688">+V228+V229</f>
        <v>3356.46</v>
      </c>
      <c r="W227" s="58">
        <f t="shared" ref="W227" si="2689">+W228+W229</f>
        <v>296.82</v>
      </c>
      <c r="X227" s="58">
        <f t="shared" ref="X227" si="2690">+X228+X229</f>
        <v>2586.5400000000004</v>
      </c>
      <c r="Y227" s="58">
        <f t="shared" ref="Y227" si="2691">+Y228+Y229</f>
        <v>0</v>
      </c>
      <c r="Z227" s="58">
        <f t="shared" ref="Z227" si="2692">+Z228+Z229</f>
        <v>0</v>
      </c>
      <c r="AA227" s="58"/>
      <c r="AB227" s="118">
        <f t="shared" si="2613"/>
        <v>0</v>
      </c>
      <c r="AC227" s="58">
        <f t="shared" ref="AC227" si="2693">+AC228+AC229</f>
        <v>0</v>
      </c>
      <c r="AD227" s="58">
        <f t="shared" ref="AD227" si="2694">+AD228+AD229</f>
        <v>0</v>
      </c>
      <c r="AE227" s="58">
        <f t="shared" ref="AE227" si="2695">+AE228+AE229</f>
        <v>0</v>
      </c>
      <c r="AF227" s="58">
        <f t="shared" ref="AF227" si="2696">+AF228+AF229</f>
        <v>0</v>
      </c>
      <c r="AG227" s="58">
        <f t="shared" ref="AG227" si="2697">+AG228+AG229</f>
        <v>0</v>
      </c>
      <c r="AH227" s="58">
        <f t="shared" ref="AH227" si="2698">+AH228+AH229</f>
        <v>0</v>
      </c>
      <c r="AI227" s="58">
        <f t="shared" ref="AI227" si="2699">+AI228+AI229</f>
        <v>0</v>
      </c>
      <c r="AJ227" s="58">
        <f t="shared" ref="AJ227" si="2700">+AJ228+AJ229</f>
        <v>0</v>
      </c>
      <c r="AK227" s="58">
        <f t="shared" ref="AK227" si="2701">+AK228+AK229</f>
        <v>0</v>
      </c>
      <c r="AL227" s="58">
        <f t="shared" ref="AL227" si="2702">+AL228+AL229</f>
        <v>0</v>
      </c>
      <c r="AM227" s="58">
        <f t="shared" ref="AM227" si="2703">+AM228+AM229</f>
        <v>0</v>
      </c>
      <c r="AN227" s="58">
        <f t="shared" ref="AN227:AO227" si="2704">+AN228+AN229</f>
        <v>0</v>
      </c>
      <c r="AO227" s="58">
        <f t="shared" si="2704"/>
        <v>0</v>
      </c>
      <c r="AQ227" s="58">
        <f t="shared" ref="AQ227:CD227" si="2705">+AQ228+AQ229</f>
        <v>1245.3600000000001</v>
      </c>
      <c r="AR227" s="58">
        <f t="shared" si="2705"/>
        <v>16302.72</v>
      </c>
      <c r="AS227" s="58">
        <f t="shared" si="2705"/>
        <v>27375.600000000002</v>
      </c>
      <c r="AT227" s="58">
        <f t="shared" si="2705"/>
        <v>3277.4400000000005</v>
      </c>
      <c r="AU227" s="58">
        <f t="shared" si="2705"/>
        <v>986.28</v>
      </c>
      <c r="AV227" s="58">
        <f t="shared" si="2705"/>
        <v>3435.96</v>
      </c>
      <c r="AW227" s="58">
        <f t="shared" si="2705"/>
        <v>2989.08</v>
      </c>
      <c r="AX227" s="58">
        <f t="shared" si="2705"/>
        <v>5144.6400000000003</v>
      </c>
      <c r="AY227" s="58">
        <f t="shared" si="2705"/>
        <v>8668.56</v>
      </c>
      <c r="AZ227" s="58">
        <f t="shared" si="2705"/>
        <v>11006.400000000001</v>
      </c>
      <c r="BA227" s="58">
        <f t="shared" si="2705"/>
        <v>7005</v>
      </c>
      <c r="BB227" s="58">
        <f t="shared" si="2705"/>
        <v>10219.56</v>
      </c>
      <c r="BC227" s="58">
        <f t="shared" ref="BC227:BC229" si="2706">+SUM(AQ227:BB227)</f>
        <v>97656.6</v>
      </c>
      <c r="BD227" s="20" t="str">
        <f t="shared" si="2230"/>
        <v>Financial Expenses</v>
      </c>
      <c r="BE227" s="58">
        <f t="shared" si="2705"/>
        <v>10954.44</v>
      </c>
      <c r="BF227" s="58">
        <f t="shared" ref="BF227:BQ227" si="2707">+BF228+BF229</f>
        <v>8085.72</v>
      </c>
      <c r="BG227" s="58">
        <f t="shared" si="2707"/>
        <v>1992.96</v>
      </c>
      <c r="BH227" s="58">
        <f t="shared" si="2707"/>
        <v>527.04</v>
      </c>
      <c r="BI227" s="58">
        <f t="shared" si="2707"/>
        <v>5924.52</v>
      </c>
      <c r="BJ227" s="58">
        <f t="shared" si="2707"/>
        <v>3609.4799999999996</v>
      </c>
      <c r="BK227" s="58">
        <f t="shared" si="2707"/>
        <v>0</v>
      </c>
      <c r="BL227" s="58">
        <f t="shared" si="2707"/>
        <v>2237.64</v>
      </c>
      <c r="BM227" s="58">
        <f t="shared" si="2707"/>
        <v>197.88</v>
      </c>
      <c r="BN227" s="58">
        <f t="shared" si="2707"/>
        <v>1410.8400000000001</v>
      </c>
      <c r="BO227" s="58">
        <f t="shared" si="2707"/>
        <v>0</v>
      </c>
      <c r="BP227" s="58">
        <f t="shared" si="2707"/>
        <v>0</v>
      </c>
      <c r="BQ227" s="58">
        <f t="shared" si="2707"/>
        <v>34940.520000000004</v>
      </c>
      <c r="BR227" s="118">
        <f t="shared" si="2614"/>
        <v>0</v>
      </c>
      <c r="BS227" s="58">
        <f t="shared" si="2705"/>
        <v>0</v>
      </c>
      <c r="BT227" s="58">
        <f t="shared" si="2705"/>
        <v>0</v>
      </c>
      <c r="BU227" s="58">
        <f t="shared" si="2705"/>
        <v>0</v>
      </c>
      <c r="BV227" s="58">
        <f t="shared" si="2705"/>
        <v>0</v>
      </c>
      <c r="BW227" s="58">
        <f t="shared" si="2705"/>
        <v>0</v>
      </c>
      <c r="BX227" s="58">
        <f t="shared" si="2705"/>
        <v>0</v>
      </c>
      <c r="BY227" s="58">
        <f t="shared" si="2705"/>
        <v>0</v>
      </c>
      <c r="BZ227" s="58">
        <f t="shared" si="2705"/>
        <v>0</v>
      </c>
      <c r="CA227" s="58">
        <f t="shared" si="2705"/>
        <v>0</v>
      </c>
      <c r="CB227" s="58">
        <f t="shared" si="2705"/>
        <v>0</v>
      </c>
      <c r="CC227" s="58">
        <f t="shared" si="2705"/>
        <v>0</v>
      </c>
      <c r="CD227" s="58">
        <f t="shared" si="2705"/>
        <v>0</v>
      </c>
      <c r="CE227" s="58"/>
      <c r="CF227" s="106"/>
      <c r="CG227" s="58">
        <f t="shared" ref="CG227:CS227" si="2708">+CG228+CG229</f>
        <v>622.68000000000006</v>
      </c>
      <c r="CH227" s="58">
        <f t="shared" si="2708"/>
        <v>8151.36</v>
      </c>
      <c r="CI227" s="58">
        <f t="shared" si="2708"/>
        <v>13687.800000000001</v>
      </c>
      <c r="CJ227" s="58">
        <f t="shared" si="2708"/>
        <v>1638.7200000000003</v>
      </c>
      <c r="CK227" s="58">
        <f t="shared" si="2708"/>
        <v>493.14</v>
      </c>
      <c r="CL227" s="58">
        <f t="shared" si="2708"/>
        <v>1717.98</v>
      </c>
      <c r="CM227" s="58">
        <f t="shared" si="2708"/>
        <v>1494.54</v>
      </c>
      <c r="CN227" s="58">
        <f t="shared" si="2708"/>
        <v>2572.3200000000002</v>
      </c>
      <c r="CO227" s="58">
        <f t="shared" si="2708"/>
        <v>4334.28</v>
      </c>
      <c r="CP227" s="58">
        <f t="shared" si="2708"/>
        <v>5503.2000000000007</v>
      </c>
      <c r="CQ227" s="58">
        <f t="shared" si="2708"/>
        <v>3502.5</v>
      </c>
      <c r="CR227" s="58">
        <f t="shared" si="2708"/>
        <v>5109.78</v>
      </c>
      <c r="CS227" s="58">
        <f t="shared" si="2708"/>
        <v>48828.3</v>
      </c>
      <c r="CT227" s="20" t="str">
        <f t="shared" si="2231"/>
        <v>Financial Expenses</v>
      </c>
      <c r="CU227" s="58">
        <f t="shared" ref="CU227:DT227" si="2709">+CU228+CU229</f>
        <v>5477.22</v>
      </c>
      <c r="CV227" s="58">
        <f t="shared" si="2709"/>
        <v>4042.86</v>
      </c>
      <c r="CW227" s="58">
        <f t="shared" si="2709"/>
        <v>996.48</v>
      </c>
      <c r="CX227" s="58">
        <f t="shared" si="2709"/>
        <v>263.52</v>
      </c>
      <c r="CY227" s="58">
        <f t="shared" si="2709"/>
        <v>2962.26</v>
      </c>
      <c r="CZ227" s="58">
        <f t="shared" si="2709"/>
        <v>1804.7399999999998</v>
      </c>
      <c r="DA227" s="58">
        <f t="shared" si="2709"/>
        <v>0</v>
      </c>
      <c r="DB227" s="58">
        <f t="shared" si="2709"/>
        <v>1118.82</v>
      </c>
      <c r="DC227" s="58">
        <f t="shared" si="2709"/>
        <v>98.94</v>
      </c>
      <c r="DD227" s="58">
        <f t="shared" si="2709"/>
        <v>705.42000000000007</v>
      </c>
      <c r="DE227" s="58">
        <f t="shared" si="2709"/>
        <v>0</v>
      </c>
      <c r="DF227" s="58">
        <f t="shared" si="2709"/>
        <v>0</v>
      </c>
      <c r="DG227" s="58">
        <f t="shared" si="2709"/>
        <v>17470.260000000002</v>
      </c>
      <c r="DH227" s="118">
        <f t="shared" si="2615"/>
        <v>0</v>
      </c>
      <c r="DI227" s="58">
        <f t="shared" si="2709"/>
        <v>0</v>
      </c>
      <c r="DJ227" s="58">
        <f t="shared" si="2709"/>
        <v>0</v>
      </c>
      <c r="DK227" s="58">
        <f t="shared" si="2709"/>
        <v>0</v>
      </c>
      <c r="DL227" s="58">
        <f t="shared" si="2709"/>
        <v>0</v>
      </c>
      <c r="DM227" s="58">
        <f t="shared" si="2709"/>
        <v>0</v>
      </c>
      <c r="DN227" s="58">
        <f t="shared" si="2709"/>
        <v>0</v>
      </c>
      <c r="DO227" s="58">
        <f t="shared" si="2709"/>
        <v>0</v>
      </c>
      <c r="DP227" s="58">
        <f t="shared" si="2709"/>
        <v>0</v>
      </c>
      <c r="DQ227" s="58">
        <f t="shared" si="2709"/>
        <v>0</v>
      </c>
      <c r="DR227" s="58">
        <f t="shared" si="2709"/>
        <v>0</v>
      </c>
      <c r="DS227" s="58">
        <f t="shared" si="2709"/>
        <v>0</v>
      </c>
      <c r="DT227" s="58">
        <f t="shared" si="2709"/>
        <v>0</v>
      </c>
      <c r="DU227" s="58"/>
      <c r="DW227" s="28">
        <f t="shared" ref="DW227:EH227" si="2710">+DW228+DW229</f>
        <v>0</v>
      </c>
      <c r="DX227" s="28">
        <f t="shared" si="2710"/>
        <v>0</v>
      </c>
      <c r="DY227" s="28">
        <f t="shared" si="2710"/>
        <v>0</v>
      </c>
      <c r="DZ227" s="28">
        <f t="shared" si="2710"/>
        <v>0</v>
      </c>
      <c r="EA227" s="28">
        <f t="shared" si="2710"/>
        <v>0</v>
      </c>
      <c r="EB227" s="28">
        <f t="shared" si="2710"/>
        <v>0</v>
      </c>
      <c r="EC227" s="28">
        <f t="shared" si="2710"/>
        <v>0</v>
      </c>
      <c r="ED227" s="28">
        <f t="shared" si="2710"/>
        <v>0</v>
      </c>
      <c r="EE227" s="28">
        <f t="shared" si="2710"/>
        <v>0</v>
      </c>
      <c r="EF227" s="28">
        <f t="shared" si="2710"/>
        <v>0</v>
      </c>
      <c r="EG227" s="28">
        <f t="shared" si="2710"/>
        <v>0</v>
      </c>
      <c r="EH227" s="28">
        <f t="shared" si="2710"/>
        <v>0</v>
      </c>
      <c r="EI227" s="58"/>
      <c r="EJ227" s="20" t="str">
        <f t="shared" si="2302"/>
        <v>Financial Expenses</v>
      </c>
      <c r="EK227" s="28">
        <f t="shared" ref="EK227:EV227" si="2711">+EK228+EK229</f>
        <v>0</v>
      </c>
      <c r="EL227" s="28">
        <f t="shared" si="2711"/>
        <v>0</v>
      </c>
      <c r="EM227" s="28">
        <f t="shared" si="2711"/>
        <v>0</v>
      </c>
      <c r="EN227" s="28">
        <f t="shared" si="2711"/>
        <v>0</v>
      </c>
      <c r="EO227" s="28">
        <f t="shared" si="2711"/>
        <v>0</v>
      </c>
      <c r="EP227" s="28">
        <f t="shared" si="2711"/>
        <v>0</v>
      </c>
      <c r="EQ227" s="28">
        <f t="shared" si="2711"/>
        <v>0</v>
      </c>
      <c r="ER227" s="28">
        <f t="shared" si="2711"/>
        <v>0</v>
      </c>
      <c r="ES227" s="28">
        <f t="shared" si="2711"/>
        <v>0</v>
      </c>
      <c r="ET227" s="28">
        <f t="shared" si="2711"/>
        <v>470.28000000000003</v>
      </c>
      <c r="EU227" s="28">
        <f t="shared" si="2711"/>
        <v>0</v>
      </c>
      <c r="EV227" s="28">
        <f t="shared" si="2711"/>
        <v>0</v>
      </c>
      <c r="EW227" s="28">
        <f t="shared" ref="EW227" si="2712">+EW228+EW229</f>
        <v>470.28000000000003</v>
      </c>
      <c r="EX227" s="118" t="e">
        <f t="shared" si="2616"/>
        <v>#DIV/0!</v>
      </c>
      <c r="EY227" s="58">
        <f t="shared" ref="EY227:FJ227" si="2713">+EY228+EY229</f>
        <v>0</v>
      </c>
      <c r="EZ227" s="58">
        <f t="shared" si="2713"/>
        <v>0</v>
      </c>
      <c r="FA227" s="58">
        <f t="shared" si="2713"/>
        <v>0</v>
      </c>
      <c r="FB227" s="58">
        <f t="shared" si="2713"/>
        <v>0</v>
      </c>
      <c r="FC227" s="58">
        <f t="shared" si="2713"/>
        <v>0</v>
      </c>
      <c r="FD227" s="58">
        <f t="shared" si="2713"/>
        <v>0</v>
      </c>
      <c r="FE227" s="58">
        <f t="shared" si="2713"/>
        <v>0</v>
      </c>
      <c r="FF227" s="58">
        <f t="shared" si="2713"/>
        <v>0</v>
      </c>
      <c r="FG227" s="58">
        <f t="shared" si="2713"/>
        <v>0</v>
      </c>
      <c r="FH227" s="58">
        <f t="shared" si="2713"/>
        <v>0</v>
      </c>
      <c r="FI227" s="58">
        <f t="shared" si="2713"/>
        <v>0</v>
      </c>
      <c r="FJ227" s="58">
        <f t="shared" si="2713"/>
        <v>0</v>
      </c>
      <c r="FK227" s="58"/>
    </row>
    <row r="228" spans="1:167" ht="14.45" customHeight="1" outlineLevel="2">
      <c r="A228" s="106">
        <f t="shared" ref="A228:L229" si="2714">+AQ228+CG228+DW228</f>
        <v>0</v>
      </c>
      <c r="B228" s="106">
        <f t="shared" si="2714"/>
        <v>0</v>
      </c>
      <c r="C228" s="106">
        <f t="shared" si="2714"/>
        <v>0</v>
      </c>
      <c r="D228" s="106">
        <f t="shared" si="2714"/>
        <v>0</v>
      </c>
      <c r="E228" s="106">
        <f t="shared" si="2714"/>
        <v>0</v>
      </c>
      <c r="F228" s="106">
        <f t="shared" si="2714"/>
        <v>0</v>
      </c>
      <c r="G228" s="106">
        <f t="shared" si="2714"/>
        <v>0</v>
      </c>
      <c r="H228" s="106">
        <f t="shared" si="2714"/>
        <v>0</v>
      </c>
      <c r="I228" s="106">
        <f t="shared" si="2714"/>
        <v>0</v>
      </c>
      <c r="J228" s="106">
        <f t="shared" si="2714"/>
        <v>0</v>
      </c>
      <c r="K228" s="106">
        <f t="shared" si="2714"/>
        <v>0</v>
      </c>
      <c r="L228" s="106">
        <f t="shared" si="2714"/>
        <v>0</v>
      </c>
      <c r="M228" s="106">
        <f t="shared" ref="M228:M229" si="2715">+SUM(A228:L228)</f>
        <v>0</v>
      </c>
      <c r="N228" s="16" t="s">
        <v>191</v>
      </c>
      <c r="O228" s="106">
        <f t="shared" ref="O228:O229" si="2716">+BE228+CU228+EK228</f>
        <v>0</v>
      </c>
      <c r="P228" s="106">
        <f t="shared" ref="P228:P229" si="2717">+BF228+CV228+EL228</f>
        <v>0</v>
      </c>
      <c r="Q228" s="106">
        <f t="shared" ref="Q228:Q229" si="2718">+BG228+CW228+EM228</f>
        <v>0</v>
      </c>
      <c r="R228" s="106">
        <f t="shared" ref="R228:R229" si="2719">+BH228+CX228+EN228</f>
        <v>0</v>
      </c>
      <c r="S228" s="106">
        <f t="shared" ref="S228:S229" si="2720">+BI228+CY228+EO228</f>
        <v>0</v>
      </c>
      <c r="T228" s="106">
        <f t="shared" ref="T228:T229" si="2721">+BJ228+CZ228+EP228</f>
        <v>0</v>
      </c>
      <c r="U228" s="106">
        <f t="shared" ref="U228:U229" si="2722">+BK228+DA228+EQ228</f>
        <v>0</v>
      </c>
      <c r="V228" s="106">
        <f t="shared" ref="V228:V229" si="2723">+BL228+DB228+ER228</f>
        <v>0</v>
      </c>
      <c r="W228" s="106">
        <f t="shared" ref="W228:W229" si="2724">+BM228+DC228+ES228</f>
        <v>0</v>
      </c>
      <c r="X228" s="106">
        <f t="shared" ref="X228:X229" si="2725">+BN228+DD228+ET228</f>
        <v>0</v>
      </c>
      <c r="Y228" s="106">
        <f t="shared" ref="Y228:Y229" si="2726">+BO228+DE228+EU228</f>
        <v>0</v>
      </c>
      <c r="Z228" s="106">
        <f t="shared" ref="Z228:Z229" si="2727">+BP228+DF228+EV228</f>
        <v>0</v>
      </c>
      <c r="AA228" s="106">
        <f t="shared" ref="AA228:AA229" si="2728">+SUM(O228:Z228)</f>
        <v>0</v>
      </c>
      <c r="AB228" s="118">
        <f t="shared" si="2613"/>
        <v>0</v>
      </c>
      <c r="AC228" s="106">
        <f t="shared" ref="AC228:AC229" si="2729">+BS228+DI228+EY228</f>
        <v>0</v>
      </c>
      <c r="AD228" s="106">
        <f t="shared" ref="AD228:AD229" si="2730">+BT228+DJ228+EZ228</f>
        <v>0</v>
      </c>
      <c r="AE228" s="106">
        <f t="shared" ref="AE228:AE229" si="2731">+BU228+DK228+FA228</f>
        <v>0</v>
      </c>
      <c r="AF228" s="106">
        <f t="shared" ref="AF228:AF229" si="2732">+BV228+DL228+FB228</f>
        <v>0</v>
      </c>
      <c r="AG228" s="106">
        <f t="shared" ref="AG228:AG229" si="2733">+BW228+DM228+FC228</f>
        <v>0</v>
      </c>
      <c r="AH228" s="106">
        <f t="shared" ref="AH228:AH229" si="2734">+BX228+DN228+FD228</f>
        <v>0</v>
      </c>
      <c r="AI228" s="106">
        <f t="shared" ref="AI228:AI229" si="2735">+BY228+DO228+FE228</f>
        <v>0</v>
      </c>
      <c r="AJ228" s="106">
        <f t="shared" ref="AJ228:AJ229" si="2736">+BZ228+DP228+FF228</f>
        <v>0</v>
      </c>
      <c r="AK228" s="106">
        <f t="shared" ref="AK228:AK229" si="2737">+CA228+DQ228+FG228</f>
        <v>0</v>
      </c>
      <c r="AL228" s="106">
        <f t="shared" ref="AL228:AL229" si="2738">+CB228+DR228+FH228</f>
        <v>0</v>
      </c>
      <c r="AM228" s="106">
        <f t="shared" ref="AM228:AM229" si="2739">+CC228+DS228+FI228</f>
        <v>0</v>
      </c>
      <c r="AN228" s="106">
        <f t="shared" ref="AN228:AN229" si="2740">+CD228+DT228+FJ228</f>
        <v>0</v>
      </c>
      <c r="AO228" s="106">
        <f t="shared" ref="AO228:AO229" si="2741">+SUM(AC228:AN228)</f>
        <v>0</v>
      </c>
      <c r="AQ228" s="110">
        <v>0</v>
      </c>
      <c r="AR228" s="106">
        <v>0</v>
      </c>
      <c r="AS228" s="106">
        <v>0</v>
      </c>
      <c r="AT228" s="106">
        <v>0</v>
      </c>
      <c r="AU228" s="106">
        <v>0</v>
      </c>
      <c r="AV228" s="106">
        <v>0</v>
      </c>
      <c r="AW228" s="106">
        <v>0</v>
      </c>
      <c r="AX228" s="106">
        <v>0</v>
      </c>
      <c r="AY228" s="106">
        <v>0</v>
      </c>
      <c r="AZ228" s="106">
        <v>0</v>
      </c>
      <c r="BA228" s="106">
        <v>0</v>
      </c>
      <c r="BB228" s="106">
        <v>0</v>
      </c>
      <c r="BC228" s="106">
        <f t="shared" si="2706"/>
        <v>0</v>
      </c>
      <c r="BD228" s="16" t="str">
        <f t="shared" si="2230"/>
        <v>Interest on Other Short Term Borrowing</v>
      </c>
      <c r="BE228" s="106">
        <f>+VLOOKUP($BD228,'Jan-25'!$A:$J,5,0)</f>
        <v>0</v>
      </c>
      <c r="BF228" s="106">
        <f>+VLOOKUP($BD228,'Feb-25'!$A:$J,5,0)</f>
        <v>0</v>
      </c>
      <c r="BG228" s="106">
        <f>+VLOOKUP($BD228,'Mar-25'!$A:$J,5,0)</f>
        <v>0</v>
      </c>
      <c r="BH228" s="106">
        <f>+VLOOKUP($BD228,'Apr-25'!$A:$J,5,0)</f>
        <v>0</v>
      </c>
      <c r="BI228" s="106">
        <f>+VLOOKUP($BD228,'May-25'!$A:$J,5,0)</f>
        <v>0</v>
      </c>
      <c r="BJ228" s="106">
        <f>+VLOOKUP($BD228,'June-25'!$A:$J,5,0)</f>
        <v>0</v>
      </c>
      <c r="BK228" s="106">
        <f>+VLOOKUP($BD228,'July-25'!$A:$J,5,0)</f>
        <v>0</v>
      </c>
      <c r="BL228" s="106">
        <f>+VLOOKUP($BD228,'Aug-25'!$A:$J,5,0)</f>
        <v>0</v>
      </c>
      <c r="BM228" s="106">
        <f>+VLOOKUP($BD228,'Sep-25'!$A:$J,5,0)</f>
        <v>0</v>
      </c>
      <c r="BN228" s="106">
        <f>+VLOOKUP($BD228,'Oct-25'!$A:$J,5,0)</f>
        <v>0</v>
      </c>
      <c r="BO228" s="106">
        <f>+VLOOKUP($BD228,'Nov-25'!$A:$J,5,0)</f>
        <v>0</v>
      </c>
      <c r="BP228" s="106">
        <f>+VLOOKUP($BD228,'Dec-25'!$A:$J,5,0)</f>
        <v>0</v>
      </c>
      <c r="BQ228" s="106">
        <f t="shared" ref="BQ228:BQ229" si="2742">+SUM(BE228:BP228)</f>
        <v>0</v>
      </c>
      <c r="BR228" s="118">
        <f t="shared" si="2614"/>
        <v>0</v>
      </c>
      <c r="BS228" s="106">
        <f>+_xlfn.XLOOKUP($BD228,Budget!$A:$A,Budget!BD:BD)</f>
        <v>0</v>
      </c>
      <c r="BT228" s="106">
        <f>+_xlfn.XLOOKUP($BD228,Budget!$A:$A,Budget!BE:BE)</f>
        <v>0</v>
      </c>
      <c r="BU228" s="106">
        <f>+_xlfn.XLOOKUP($BD228,Budget!$A:$A,Budget!BF:BF)</f>
        <v>0</v>
      </c>
      <c r="BV228" s="106">
        <f>+_xlfn.XLOOKUP($BD228,Budget!$A:$A,Budget!BG:BG)</f>
        <v>0</v>
      </c>
      <c r="BW228" s="106">
        <f>+_xlfn.XLOOKUP($BD228,Budget!$A:$A,Budget!BH:BH)</f>
        <v>0</v>
      </c>
      <c r="BX228" s="106">
        <f>+_xlfn.XLOOKUP($BD228,Budget!$A:$A,Budget!BI:BI)</f>
        <v>0</v>
      </c>
      <c r="BY228" s="106">
        <f>+_xlfn.XLOOKUP($BD228,Budget!$A:$A,Budget!BJ:BJ)</f>
        <v>0</v>
      </c>
      <c r="BZ228" s="106">
        <f>+_xlfn.XLOOKUP($BD228,Budget!$A:$A,Budget!BK:BK)</f>
        <v>0</v>
      </c>
      <c r="CA228" s="106">
        <f>+_xlfn.XLOOKUP($BD228,Budget!$A:$A,Budget!BL:BL)</f>
        <v>0</v>
      </c>
      <c r="CB228" s="106">
        <f>+_xlfn.XLOOKUP($BD228,Budget!$A:$A,Budget!BM:BM)</f>
        <v>0</v>
      </c>
      <c r="CC228" s="106">
        <f>+_xlfn.XLOOKUP($BD228,Budget!$A:$A,Budget!BN:BN)</f>
        <v>0</v>
      </c>
      <c r="CD228" s="106">
        <f>+_xlfn.XLOOKUP($BD228,Budget!$A:$A,Budget!BO:BO)</f>
        <v>0</v>
      </c>
      <c r="CE228" s="106">
        <f t="shared" ref="CE228:CE229" si="2743">+SUM(BS228:CD228)</f>
        <v>0</v>
      </c>
      <c r="CF228" s="106"/>
      <c r="CG228" s="110">
        <v>0</v>
      </c>
      <c r="CH228" s="106">
        <v>0</v>
      </c>
      <c r="CI228" s="106">
        <v>0</v>
      </c>
      <c r="CJ228" s="106">
        <v>0</v>
      </c>
      <c r="CK228" s="106">
        <v>0</v>
      </c>
      <c r="CL228" s="106">
        <v>0</v>
      </c>
      <c r="CM228" s="106">
        <v>0</v>
      </c>
      <c r="CN228" s="106">
        <v>0</v>
      </c>
      <c r="CO228" s="106">
        <v>0</v>
      </c>
      <c r="CP228" s="106">
        <v>0</v>
      </c>
      <c r="CQ228" s="106">
        <v>0</v>
      </c>
      <c r="CR228" s="106">
        <v>0</v>
      </c>
      <c r="CS228" s="106">
        <f t="shared" ref="CS228:CS229" si="2744">+SUM(CG228:CR228)</f>
        <v>0</v>
      </c>
      <c r="CT228" s="16" t="str">
        <f t="shared" si="2231"/>
        <v>Interest on Other Short Term Borrowing</v>
      </c>
      <c r="CU228" s="106">
        <f>+VLOOKUP($BD228,'Jan-25'!$A:$J,8,0)</f>
        <v>0</v>
      </c>
      <c r="CV228" s="106">
        <f>+VLOOKUP($BD228,'Feb-25'!$A:$J,8,0)</f>
        <v>0</v>
      </c>
      <c r="CW228" s="106">
        <f>+VLOOKUP($BD228,'Mar-25'!$A:$J,8,0)</f>
        <v>0</v>
      </c>
      <c r="CX228" s="106">
        <f>+VLOOKUP($BD228,'Apr-25'!$A:$J,8,0)</f>
        <v>0</v>
      </c>
      <c r="CY228" s="106">
        <f>+VLOOKUP($BD228,'May-25'!$A:$J,8,0)</f>
        <v>0</v>
      </c>
      <c r="CZ228" s="106">
        <f>+VLOOKUP($BD228,'June-25'!$A:$J,8,0)</f>
        <v>0</v>
      </c>
      <c r="DA228" s="106">
        <f>+VLOOKUP($BD228,'July-25'!$A:$J,8,0)</f>
        <v>0</v>
      </c>
      <c r="DB228" s="106">
        <f>+VLOOKUP($BD228,'Aug-25'!$A:$J,8,0)</f>
        <v>0</v>
      </c>
      <c r="DC228" s="106">
        <f>+VLOOKUP($BD228,'Sep-25'!$A:$J,8,0)</f>
        <v>0</v>
      </c>
      <c r="DD228" s="106">
        <f>+VLOOKUP($BD228,'Oct-25'!$A:$J,8,0)</f>
        <v>0</v>
      </c>
      <c r="DE228" s="106">
        <f>+VLOOKUP($BD228,'Nov-25'!$A:$J,8,0)</f>
        <v>0</v>
      </c>
      <c r="DF228" s="106">
        <f>+VLOOKUP($BD228,'Dec-25'!$A:$J,8,0)</f>
        <v>0</v>
      </c>
      <c r="DG228" s="106">
        <f t="shared" ref="DG228:DG229" si="2745">+SUM(CU228:DF228)</f>
        <v>0</v>
      </c>
      <c r="DH228" s="118">
        <f t="shared" si="2615"/>
        <v>0</v>
      </c>
      <c r="DI228" s="106">
        <f>+_xlfn.XLOOKUP($CT228,Budget!$A:$A,Budget!CQ:CQ)</f>
        <v>0</v>
      </c>
      <c r="DJ228" s="106">
        <f>+_xlfn.XLOOKUP($CT228,Budget!$A:$A,Budget!CR:CR)</f>
        <v>0</v>
      </c>
      <c r="DK228" s="106">
        <f>+_xlfn.XLOOKUP($CT228,Budget!$A:$A,Budget!CS:CS)</f>
        <v>0</v>
      </c>
      <c r="DL228" s="106">
        <f>+_xlfn.XLOOKUP($CT228,Budget!$A:$A,Budget!CT:CT)</f>
        <v>0</v>
      </c>
      <c r="DM228" s="106">
        <f>+_xlfn.XLOOKUP($CT228,Budget!$A:$A,Budget!CU:CU)</f>
        <v>0</v>
      </c>
      <c r="DN228" s="106">
        <f>+_xlfn.XLOOKUP($CT228,Budget!$A:$A,Budget!CV:CV)</f>
        <v>0</v>
      </c>
      <c r="DO228" s="106">
        <f>+_xlfn.XLOOKUP($CT228,Budget!$A:$A,Budget!CW:CW)</f>
        <v>0</v>
      </c>
      <c r="DP228" s="106">
        <f>+_xlfn.XLOOKUP($CT228,Budget!$A:$A,Budget!CX:CX)</f>
        <v>0</v>
      </c>
      <c r="DQ228" s="106">
        <f>+_xlfn.XLOOKUP($CT228,Budget!$A:$A,Budget!CY:CY)</f>
        <v>0</v>
      </c>
      <c r="DR228" s="106">
        <f>+_xlfn.XLOOKUP($CT228,Budget!$A:$A,Budget!CZ:CZ)</f>
        <v>0</v>
      </c>
      <c r="DS228" s="106">
        <f>+_xlfn.XLOOKUP($CT228,Budget!$A:$A,Budget!DA:DA)</f>
        <v>0</v>
      </c>
      <c r="DT228" s="106">
        <f>+_xlfn.XLOOKUP($CT228,Budget!$A:$A,Budget!DB:DB)</f>
        <v>0</v>
      </c>
      <c r="DU228" s="106">
        <f t="shared" ref="DU228:DU229" si="2746">+SUM(DI228:DT228)</f>
        <v>0</v>
      </c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106">
        <f t="shared" ref="EI228:EI229" si="2747">+SUM(DW228:EH228)</f>
        <v>0</v>
      </c>
      <c r="EJ228" s="16" t="str">
        <f t="shared" si="2302"/>
        <v>Interest on Other Short Term Borrowing</v>
      </c>
      <c r="EK228" s="22">
        <f>+VLOOKUP($BD228,'Jan-25'!$A:$J,10,0)</f>
        <v>0</v>
      </c>
      <c r="EL228" s="22">
        <f>+VLOOKUP($BD228,'Feb-25'!$A:$J,10,0)</f>
        <v>0</v>
      </c>
      <c r="EM228" s="22">
        <f>+VLOOKUP($BD228,'Mar-25'!$A:$J,10,0)</f>
        <v>0</v>
      </c>
      <c r="EN228" s="22">
        <f>+VLOOKUP($BD228,'Apr-25'!$A:$J,10,0)</f>
        <v>0</v>
      </c>
      <c r="EO228" s="22">
        <f>+VLOOKUP($BD228,'May-25'!$A:$J,10,0)</f>
        <v>0</v>
      </c>
      <c r="EP228" s="22">
        <f>+VLOOKUP($BD228,'June-25'!$A:$J,10,0)</f>
        <v>0</v>
      </c>
      <c r="EQ228" s="22">
        <f>+VLOOKUP($BD228,'July-25'!$A:$J,10,0)</f>
        <v>0</v>
      </c>
      <c r="ER228" s="22">
        <f>+VLOOKUP($BD228,'Aug-25'!$A:$J,10,0)</f>
        <v>0</v>
      </c>
      <c r="ES228" s="22">
        <f>+VLOOKUP($BD228,'Sep-25'!$A:$J,10,0)</f>
        <v>0</v>
      </c>
      <c r="ET228" s="22">
        <f>+VLOOKUP($BD228,'Oct-25'!$A:$J,10,0)</f>
        <v>0</v>
      </c>
      <c r="EU228" s="22">
        <f>+VLOOKUP($BD228,'Nov-25'!$A:$J,10,0)</f>
        <v>0</v>
      </c>
      <c r="EV228" s="22">
        <f>+VLOOKUP($BD228,'Dec-25'!$A:$J,10,0)</f>
        <v>0</v>
      </c>
      <c r="EW228" s="22">
        <f t="shared" ref="EW228:EW229" si="2748">+SUM(EK228:EV228)</f>
        <v>0</v>
      </c>
      <c r="EX228" s="118" t="e">
        <f t="shared" si="2616"/>
        <v>#DIV/0!</v>
      </c>
      <c r="EY228" s="106"/>
      <c r="EZ228" s="106"/>
      <c r="FA228" s="106"/>
      <c r="FB228" s="106"/>
      <c r="FC228" s="106"/>
      <c r="FD228" s="106"/>
      <c r="FE228" s="106"/>
      <c r="FF228" s="106"/>
      <c r="FG228" s="106"/>
      <c r="FH228" s="106"/>
      <c r="FI228" s="106"/>
      <c r="FJ228" s="106"/>
      <c r="FK228" s="106">
        <f t="shared" ref="FK228:FK229" si="2749">+SUM(EY228:FJ228)</f>
        <v>0</v>
      </c>
    </row>
    <row r="229" spans="1:167" ht="14.45" customHeight="1" outlineLevel="2">
      <c r="A229" s="106">
        <f t="shared" si="2714"/>
        <v>1868.0400000000002</v>
      </c>
      <c r="B229" s="106">
        <f t="shared" si="2714"/>
        <v>24454.079999999998</v>
      </c>
      <c r="C229" s="106">
        <f t="shared" si="2714"/>
        <v>41063.4</v>
      </c>
      <c r="D229" s="106">
        <f t="shared" si="2714"/>
        <v>4916.1600000000008</v>
      </c>
      <c r="E229" s="106">
        <f t="shared" si="2714"/>
        <v>1479.42</v>
      </c>
      <c r="F229" s="106">
        <f t="shared" si="2714"/>
        <v>5153.9400000000005</v>
      </c>
      <c r="G229" s="106">
        <f t="shared" si="2714"/>
        <v>4483.62</v>
      </c>
      <c r="H229" s="106">
        <f t="shared" si="2714"/>
        <v>7716.9600000000009</v>
      </c>
      <c r="I229" s="106">
        <f t="shared" si="2714"/>
        <v>13002.84</v>
      </c>
      <c r="J229" s="106">
        <f t="shared" si="2714"/>
        <v>16509.600000000002</v>
      </c>
      <c r="K229" s="106">
        <f t="shared" si="2714"/>
        <v>10507.5</v>
      </c>
      <c r="L229" s="106">
        <f t="shared" si="2714"/>
        <v>15329.34</v>
      </c>
      <c r="M229" s="106">
        <f t="shared" si="2715"/>
        <v>146484.9</v>
      </c>
      <c r="N229" s="16" t="s">
        <v>192</v>
      </c>
      <c r="O229" s="106">
        <f t="shared" si="2716"/>
        <v>16431.66</v>
      </c>
      <c r="P229" s="106">
        <f t="shared" si="2717"/>
        <v>12128.58</v>
      </c>
      <c r="Q229" s="106">
        <f t="shared" si="2718"/>
        <v>2989.44</v>
      </c>
      <c r="R229" s="106">
        <f t="shared" si="2719"/>
        <v>790.56</v>
      </c>
      <c r="S229" s="106">
        <f t="shared" si="2720"/>
        <v>8886.7800000000007</v>
      </c>
      <c r="T229" s="106">
        <f t="shared" si="2721"/>
        <v>5414.2199999999993</v>
      </c>
      <c r="U229" s="106">
        <f t="shared" si="2722"/>
        <v>0</v>
      </c>
      <c r="V229" s="106">
        <f t="shared" si="2723"/>
        <v>3356.46</v>
      </c>
      <c r="W229" s="106">
        <f t="shared" si="2724"/>
        <v>296.82</v>
      </c>
      <c r="X229" s="106">
        <f t="shared" si="2725"/>
        <v>2586.5400000000004</v>
      </c>
      <c r="Y229" s="106">
        <f t="shared" si="2726"/>
        <v>0</v>
      </c>
      <c r="Z229" s="106">
        <f t="shared" si="2727"/>
        <v>0</v>
      </c>
      <c r="AA229" s="106">
        <f t="shared" si="2728"/>
        <v>52881.06</v>
      </c>
      <c r="AB229" s="118">
        <f t="shared" si="2613"/>
        <v>0</v>
      </c>
      <c r="AC229" s="106">
        <f t="shared" si="2729"/>
        <v>0</v>
      </c>
      <c r="AD229" s="106">
        <f t="shared" si="2730"/>
        <v>0</v>
      </c>
      <c r="AE229" s="106">
        <f t="shared" si="2731"/>
        <v>0</v>
      </c>
      <c r="AF229" s="106">
        <f t="shared" si="2732"/>
        <v>0</v>
      </c>
      <c r="AG229" s="106">
        <f t="shared" si="2733"/>
        <v>0</v>
      </c>
      <c r="AH229" s="106">
        <f t="shared" si="2734"/>
        <v>0</v>
      </c>
      <c r="AI229" s="106">
        <f t="shared" si="2735"/>
        <v>0</v>
      </c>
      <c r="AJ229" s="106">
        <f t="shared" si="2736"/>
        <v>0</v>
      </c>
      <c r="AK229" s="106">
        <f t="shared" si="2737"/>
        <v>0</v>
      </c>
      <c r="AL229" s="106">
        <f t="shared" si="2738"/>
        <v>0</v>
      </c>
      <c r="AM229" s="106">
        <f t="shared" si="2739"/>
        <v>0</v>
      </c>
      <c r="AN229" s="106">
        <f t="shared" si="2740"/>
        <v>0</v>
      </c>
      <c r="AO229" s="106">
        <f t="shared" si="2741"/>
        <v>0</v>
      </c>
      <c r="AQ229" s="110">
        <v>1245.3600000000001</v>
      </c>
      <c r="AR229" s="106">
        <v>16302.72</v>
      </c>
      <c r="AS229" s="106">
        <v>27375.600000000002</v>
      </c>
      <c r="AT229" s="106">
        <v>3277.4400000000005</v>
      </c>
      <c r="AU229" s="106">
        <v>986.28</v>
      </c>
      <c r="AV229" s="106">
        <v>3435.96</v>
      </c>
      <c r="AW229" s="106">
        <v>2989.08</v>
      </c>
      <c r="AX229" s="106">
        <v>5144.6400000000003</v>
      </c>
      <c r="AY229" s="106">
        <v>8668.56</v>
      </c>
      <c r="AZ229" s="106">
        <v>11006.400000000001</v>
      </c>
      <c r="BA229" s="106">
        <v>7005</v>
      </c>
      <c r="BB229" s="106">
        <v>10219.56</v>
      </c>
      <c r="BC229" s="106">
        <f t="shared" si="2706"/>
        <v>97656.6</v>
      </c>
      <c r="BD229" s="16" t="str">
        <f t="shared" si="2230"/>
        <v>Interest on Over Draft Facility</v>
      </c>
      <c r="BE229" s="106">
        <f>+VLOOKUP($BD229,'Jan-25'!$A:$J,5,0)</f>
        <v>10954.44</v>
      </c>
      <c r="BF229" s="106">
        <f>+VLOOKUP($BD229,'Feb-25'!$A:$J,5,0)</f>
        <v>8085.72</v>
      </c>
      <c r="BG229" s="106">
        <f>+VLOOKUP($BD229,'Mar-25'!$A:$J,5,0)</f>
        <v>1992.96</v>
      </c>
      <c r="BH229" s="106">
        <f>+VLOOKUP($BD229,'Apr-25'!$A:$J,5,0)</f>
        <v>527.04</v>
      </c>
      <c r="BI229" s="106">
        <f>+VLOOKUP($BD229,'May-25'!$A:$J,5,0)</f>
        <v>5924.52</v>
      </c>
      <c r="BJ229" s="106">
        <f>+VLOOKUP($BD229,'June-25'!$A:$J,5,0)</f>
        <v>3609.4799999999996</v>
      </c>
      <c r="BK229" s="106">
        <f>+VLOOKUP($BD229,'July-25'!$A:$J,5,0)</f>
        <v>0</v>
      </c>
      <c r="BL229" s="106">
        <f>+VLOOKUP($BD229,'Aug-25'!$A:$J,5,0)</f>
        <v>2237.64</v>
      </c>
      <c r="BM229" s="106">
        <f>+VLOOKUP($BD229,'Sep-25'!$A:$J,5,0)</f>
        <v>197.88</v>
      </c>
      <c r="BN229" s="106">
        <f>+VLOOKUP($BD229,'Oct-25'!$A:$J,5,0)</f>
        <v>1410.8400000000001</v>
      </c>
      <c r="BO229" s="106">
        <f>+VLOOKUP($BD229,'Nov-25'!$A:$J,5,0)</f>
        <v>0</v>
      </c>
      <c r="BP229" s="106">
        <f>+VLOOKUP($BD229,'Dec-25'!$A:$J,5,0)</f>
        <v>0</v>
      </c>
      <c r="BQ229" s="106">
        <f t="shared" si="2742"/>
        <v>34940.520000000004</v>
      </c>
      <c r="BR229" s="118">
        <f t="shared" si="2614"/>
        <v>0</v>
      </c>
      <c r="BS229" s="106">
        <f>+_xlfn.XLOOKUP($BD229,Budget!$A:$A,Budget!BD:BD)</f>
        <v>0</v>
      </c>
      <c r="BT229" s="106">
        <f>+_xlfn.XLOOKUP($BD229,Budget!$A:$A,Budget!BE:BE)</f>
        <v>0</v>
      </c>
      <c r="BU229" s="106">
        <f>+_xlfn.XLOOKUP($BD229,Budget!$A:$A,Budget!BF:BF)</f>
        <v>0</v>
      </c>
      <c r="BV229" s="106">
        <f>+_xlfn.XLOOKUP($BD229,Budget!$A:$A,Budget!BG:BG)</f>
        <v>0</v>
      </c>
      <c r="BW229" s="106">
        <f>+_xlfn.XLOOKUP($BD229,Budget!$A:$A,Budget!BH:BH)</f>
        <v>0</v>
      </c>
      <c r="BX229" s="106">
        <f>+_xlfn.XLOOKUP($BD229,Budget!$A:$A,Budget!BI:BI)</f>
        <v>0</v>
      </c>
      <c r="BY229" s="106">
        <f>+_xlfn.XLOOKUP($BD229,Budget!$A:$A,Budget!BJ:BJ)</f>
        <v>0</v>
      </c>
      <c r="BZ229" s="106">
        <f>+_xlfn.XLOOKUP($BD229,Budget!$A:$A,Budget!BK:BK)</f>
        <v>0</v>
      </c>
      <c r="CA229" s="106">
        <f>+_xlfn.XLOOKUP($BD229,Budget!$A:$A,Budget!BL:BL)</f>
        <v>0</v>
      </c>
      <c r="CB229" s="106">
        <f>+_xlfn.XLOOKUP($BD229,Budget!$A:$A,Budget!BM:BM)</f>
        <v>0</v>
      </c>
      <c r="CC229" s="106">
        <f>+_xlfn.XLOOKUP($BD229,Budget!$A:$A,Budget!BN:BN)</f>
        <v>0</v>
      </c>
      <c r="CD229" s="106">
        <f>+_xlfn.XLOOKUP($BD229,Budget!$A:$A,Budget!BO:BO)</f>
        <v>0</v>
      </c>
      <c r="CE229" s="106">
        <f t="shared" si="2743"/>
        <v>0</v>
      </c>
      <c r="CF229" s="106"/>
      <c r="CG229" s="110">
        <v>622.68000000000006</v>
      </c>
      <c r="CH229" s="106">
        <v>8151.36</v>
      </c>
      <c r="CI229" s="106">
        <v>13687.800000000001</v>
      </c>
      <c r="CJ229" s="106">
        <v>1638.7200000000003</v>
      </c>
      <c r="CK229" s="106">
        <v>493.14</v>
      </c>
      <c r="CL229" s="106">
        <v>1717.98</v>
      </c>
      <c r="CM229" s="106">
        <v>1494.54</v>
      </c>
      <c r="CN229" s="106">
        <v>2572.3200000000002</v>
      </c>
      <c r="CO229" s="106">
        <v>4334.28</v>
      </c>
      <c r="CP229" s="106">
        <v>5503.2000000000007</v>
      </c>
      <c r="CQ229" s="106">
        <v>3502.5</v>
      </c>
      <c r="CR229" s="106">
        <v>5109.78</v>
      </c>
      <c r="CS229" s="106">
        <f t="shared" si="2744"/>
        <v>48828.3</v>
      </c>
      <c r="CT229" s="16" t="str">
        <f t="shared" si="2231"/>
        <v>Interest on Over Draft Facility</v>
      </c>
      <c r="CU229" s="106">
        <f>+VLOOKUP($BD229,'Jan-25'!$A:$J,8,0)</f>
        <v>5477.22</v>
      </c>
      <c r="CV229" s="106">
        <f>+VLOOKUP($BD229,'Feb-25'!$A:$J,8,0)</f>
        <v>4042.86</v>
      </c>
      <c r="CW229" s="106">
        <f>+VLOOKUP($BD229,'Mar-25'!$A:$J,8,0)</f>
        <v>996.48</v>
      </c>
      <c r="CX229" s="106">
        <f>+VLOOKUP($BD229,'Apr-25'!$A:$J,8,0)</f>
        <v>263.52</v>
      </c>
      <c r="CY229" s="106">
        <f>+VLOOKUP($BD229,'May-25'!$A:$J,8,0)</f>
        <v>2962.26</v>
      </c>
      <c r="CZ229" s="106">
        <f>+VLOOKUP($BD229,'June-25'!$A:$J,8,0)</f>
        <v>1804.7399999999998</v>
      </c>
      <c r="DA229" s="106">
        <f>+VLOOKUP($BD229,'July-25'!$A:$J,8,0)</f>
        <v>0</v>
      </c>
      <c r="DB229" s="106">
        <f>+VLOOKUP($BD229,'Aug-25'!$A:$J,8,0)</f>
        <v>1118.82</v>
      </c>
      <c r="DC229" s="106">
        <f>+VLOOKUP($BD229,'Sep-25'!$A:$J,8,0)</f>
        <v>98.94</v>
      </c>
      <c r="DD229" s="106">
        <f>+VLOOKUP($BD229,'Oct-25'!$A:$J,8,0)</f>
        <v>705.42000000000007</v>
      </c>
      <c r="DE229" s="106">
        <f>+VLOOKUP($BD229,'Nov-25'!$A:$J,8,0)</f>
        <v>0</v>
      </c>
      <c r="DF229" s="106">
        <f>+VLOOKUP($BD229,'Dec-25'!$A:$J,8,0)</f>
        <v>0</v>
      </c>
      <c r="DG229" s="106">
        <f t="shared" si="2745"/>
        <v>17470.260000000002</v>
      </c>
      <c r="DH229" s="118">
        <f t="shared" si="2615"/>
        <v>0</v>
      </c>
      <c r="DI229" s="106">
        <f>+_xlfn.XLOOKUP($CT229,Budget!$A:$A,Budget!CQ:CQ)</f>
        <v>0</v>
      </c>
      <c r="DJ229" s="106">
        <f>+_xlfn.XLOOKUP($CT229,Budget!$A:$A,Budget!CR:CR)</f>
        <v>0</v>
      </c>
      <c r="DK229" s="106">
        <f>+_xlfn.XLOOKUP($CT229,Budget!$A:$A,Budget!CS:CS)</f>
        <v>0</v>
      </c>
      <c r="DL229" s="106">
        <f>+_xlfn.XLOOKUP($CT229,Budget!$A:$A,Budget!CT:CT)</f>
        <v>0</v>
      </c>
      <c r="DM229" s="106">
        <f>+_xlfn.XLOOKUP($CT229,Budget!$A:$A,Budget!CU:CU)</f>
        <v>0</v>
      </c>
      <c r="DN229" s="106">
        <f>+_xlfn.XLOOKUP($CT229,Budget!$A:$A,Budget!CV:CV)</f>
        <v>0</v>
      </c>
      <c r="DO229" s="106">
        <f>+_xlfn.XLOOKUP($CT229,Budget!$A:$A,Budget!CW:CW)</f>
        <v>0</v>
      </c>
      <c r="DP229" s="106">
        <f>+_xlfn.XLOOKUP($CT229,Budget!$A:$A,Budget!CX:CX)</f>
        <v>0</v>
      </c>
      <c r="DQ229" s="106">
        <f>+_xlfn.XLOOKUP($CT229,Budget!$A:$A,Budget!CY:CY)</f>
        <v>0</v>
      </c>
      <c r="DR229" s="106">
        <f>+_xlfn.XLOOKUP($CT229,Budget!$A:$A,Budget!CZ:CZ)</f>
        <v>0</v>
      </c>
      <c r="DS229" s="106">
        <f>+_xlfn.XLOOKUP($CT229,Budget!$A:$A,Budget!DA:DA)</f>
        <v>0</v>
      </c>
      <c r="DT229" s="106">
        <f>+_xlfn.XLOOKUP($CT229,Budget!$A:$A,Budget!DB:DB)</f>
        <v>0</v>
      </c>
      <c r="DU229" s="106">
        <f t="shared" si="2746"/>
        <v>0</v>
      </c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106">
        <f t="shared" si="2747"/>
        <v>0</v>
      </c>
      <c r="EJ229" s="16" t="str">
        <f t="shared" si="2302"/>
        <v>Interest on Over Draft Facility</v>
      </c>
      <c r="EK229" s="22">
        <f>+VLOOKUP($BD229,'Jan-25'!$A:$J,10,0)</f>
        <v>0</v>
      </c>
      <c r="EL229" s="22">
        <f>+VLOOKUP($BD229,'Feb-25'!$A:$J,10,0)</f>
        <v>0</v>
      </c>
      <c r="EM229" s="22">
        <f>+VLOOKUP($BD229,'Mar-25'!$A:$J,10,0)</f>
        <v>0</v>
      </c>
      <c r="EN229" s="22">
        <f>+VLOOKUP($BD229,'Apr-25'!$A:$J,10,0)</f>
        <v>0</v>
      </c>
      <c r="EO229" s="22">
        <f>+VLOOKUP($BD229,'May-25'!$A:$J,10,0)</f>
        <v>0</v>
      </c>
      <c r="EP229" s="22">
        <f>+VLOOKUP($BD229,'June-25'!$A:$J,10,0)</f>
        <v>0</v>
      </c>
      <c r="EQ229" s="22">
        <f>+VLOOKUP($BD229,'July-25'!$A:$J,10,0)</f>
        <v>0</v>
      </c>
      <c r="ER229" s="22">
        <f>+VLOOKUP($BD229,'Aug-25'!$A:$J,10,0)</f>
        <v>0</v>
      </c>
      <c r="ES229" s="22">
        <f>+VLOOKUP($BD229,'Sep-25'!$A:$J,10,0)</f>
        <v>0</v>
      </c>
      <c r="ET229" s="22">
        <f>+VLOOKUP($BD229,'Oct-25'!$A:$J,10,0)</f>
        <v>470.28000000000003</v>
      </c>
      <c r="EU229" s="22">
        <f>+VLOOKUP($BD229,'Nov-25'!$A:$J,10,0)</f>
        <v>0</v>
      </c>
      <c r="EV229" s="22">
        <f>+VLOOKUP($BD229,'Dec-25'!$A:$J,10,0)</f>
        <v>0</v>
      </c>
      <c r="EW229" s="22">
        <f t="shared" si="2748"/>
        <v>470.28000000000003</v>
      </c>
      <c r="EX229" s="118" t="e">
        <f t="shared" si="2616"/>
        <v>#DIV/0!</v>
      </c>
      <c r="EY229" s="106"/>
      <c r="EZ229" s="106"/>
      <c r="FA229" s="106"/>
      <c r="FB229" s="106"/>
      <c r="FC229" s="106"/>
      <c r="FD229" s="106"/>
      <c r="FE229" s="106"/>
      <c r="FF229" s="106"/>
      <c r="FG229" s="106"/>
      <c r="FH229" s="106"/>
      <c r="FI229" s="106"/>
      <c r="FJ229" s="106"/>
      <c r="FK229" s="106">
        <f t="shared" si="2749"/>
        <v>0</v>
      </c>
    </row>
    <row r="230" spans="1:167" ht="14.45" customHeight="1">
      <c r="A230" s="58">
        <f t="shared" ref="A230:M230" si="2750">+A218+A156+A115+A104+A75</f>
        <v>1147294.287615384</v>
      </c>
      <c r="B230" s="58">
        <f t="shared" si="2750"/>
        <v>1359691.7835179486</v>
      </c>
      <c r="C230" s="58">
        <f t="shared" si="2750"/>
        <v>1171563.3669179485</v>
      </c>
      <c r="D230" s="58">
        <f t="shared" si="2750"/>
        <v>1276408.0857179489</v>
      </c>
      <c r="E230" s="58">
        <f t="shared" si="2750"/>
        <v>1235522.6609179487</v>
      </c>
      <c r="F230" s="58">
        <f t="shared" si="2750"/>
        <v>1185646.2989179487</v>
      </c>
      <c r="G230" s="58">
        <f t="shared" si="2750"/>
        <v>1268101.2743173488</v>
      </c>
      <c r="H230" s="58">
        <f t="shared" si="2750"/>
        <v>1217738.4041384617</v>
      </c>
      <c r="I230" s="58">
        <f t="shared" si="2750"/>
        <v>1338887.2383179488</v>
      </c>
      <c r="J230" s="58">
        <f t="shared" si="2750"/>
        <v>1471012.5479179486</v>
      </c>
      <c r="K230" s="58">
        <f t="shared" si="2750"/>
        <v>1742775.7923179483</v>
      </c>
      <c r="L230" s="58">
        <f t="shared" si="2750"/>
        <v>1291179.6579179487</v>
      </c>
      <c r="M230" s="58">
        <f t="shared" si="2750"/>
        <v>9436365.023912821</v>
      </c>
      <c r="N230" s="14" t="s">
        <v>193</v>
      </c>
      <c r="O230" s="58">
        <f t="shared" ref="O230:AA230" si="2751">+O218+O156+O115+O104+O75</f>
        <v>1452149.3480061383</v>
      </c>
      <c r="P230" s="58">
        <f t="shared" si="2751"/>
        <v>1268848.6122243386</v>
      </c>
      <c r="Q230" s="58">
        <f t="shared" si="2751"/>
        <v>1549944.5765282051</v>
      </c>
      <c r="R230" s="58">
        <f t="shared" si="2751"/>
        <v>1518579.3206715386</v>
      </c>
      <c r="S230" s="58">
        <f t="shared" si="2751"/>
        <v>2104710.3901115381</v>
      </c>
      <c r="T230" s="58">
        <f t="shared" si="2751"/>
        <v>1760673.1793115383</v>
      </c>
      <c r="U230" s="58">
        <f t="shared" si="2751"/>
        <v>1840361.3380903928</v>
      </c>
      <c r="V230" s="58">
        <f t="shared" si="2751"/>
        <v>1595675.3833115383</v>
      </c>
      <c r="W230" s="58">
        <f t="shared" si="2751"/>
        <v>2040748.0978004273</v>
      </c>
      <c r="X230" s="58">
        <f t="shared" si="2751"/>
        <v>1912603.8025115381</v>
      </c>
      <c r="Y230" s="58">
        <f t="shared" si="2751"/>
        <v>0</v>
      </c>
      <c r="Z230" s="58">
        <f t="shared" si="2751"/>
        <v>0</v>
      </c>
      <c r="AA230" s="58">
        <f t="shared" si="2751"/>
        <v>9168697.9774656612</v>
      </c>
      <c r="AB230" s="118">
        <f t="shared" si="2613"/>
        <v>-0.16905056946298042</v>
      </c>
      <c r="AC230" s="58">
        <f t="shared" ref="AC230:AO230" si="2752">+AC218+AC156+AC115+AC104+AC75</f>
        <v>2142628.0828052787</v>
      </c>
      <c r="AD230" s="58">
        <f t="shared" si="2752"/>
        <v>2139167.6706055286</v>
      </c>
      <c r="AE230" s="58">
        <f t="shared" si="2752"/>
        <v>2150416.8372062785</v>
      </c>
      <c r="AF230" s="58">
        <f t="shared" si="2752"/>
        <v>2100466.1919181566</v>
      </c>
      <c r="AG230" s="58">
        <f t="shared" si="2752"/>
        <v>2290434.2707869885</v>
      </c>
      <c r="AH230" s="58">
        <f t="shared" si="2752"/>
        <v>2265052.9360614284</v>
      </c>
      <c r="AI230" s="58">
        <f t="shared" si="2752"/>
        <v>2272128.5504688686</v>
      </c>
      <c r="AJ230" s="58">
        <f t="shared" si="2752"/>
        <v>2301288.7611972387</v>
      </c>
      <c r="AK230" s="58">
        <f t="shared" si="2752"/>
        <v>2341471.7415582286</v>
      </c>
      <c r="AL230" s="58">
        <f t="shared" si="2752"/>
        <v>2301709.0237073456</v>
      </c>
      <c r="AM230" s="58">
        <f t="shared" si="2752"/>
        <v>2207383.1586525985</v>
      </c>
      <c r="AN230" s="58">
        <f t="shared" si="2752"/>
        <v>2292748.502484892</v>
      </c>
      <c r="AO230" s="58">
        <f t="shared" si="2752"/>
        <v>27089062.394119497</v>
      </c>
      <c r="AQ230" s="58">
        <f t="shared" ref="AQ230:BC230" si="2753">+AQ218+AQ156+AQ115+AQ104+AQ75</f>
        <v>845079.95914871746</v>
      </c>
      <c r="AR230" s="58">
        <f t="shared" si="2753"/>
        <v>1004786.8740153847</v>
      </c>
      <c r="AS230" s="58">
        <f t="shared" si="2753"/>
        <v>897961.5386153846</v>
      </c>
      <c r="AT230" s="58">
        <f t="shared" si="2753"/>
        <v>973865.83661538456</v>
      </c>
      <c r="AU230" s="58">
        <f t="shared" si="2753"/>
        <v>861023.94541538449</v>
      </c>
      <c r="AV230" s="58">
        <f t="shared" si="2753"/>
        <v>777469.15541538468</v>
      </c>
      <c r="AW230" s="58">
        <f t="shared" si="2753"/>
        <v>905554.30901498464</v>
      </c>
      <c r="AX230" s="58">
        <f t="shared" si="2753"/>
        <v>868369.54845128208</v>
      </c>
      <c r="AY230" s="58">
        <f t="shared" si="2753"/>
        <v>989382.55501538457</v>
      </c>
      <c r="AZ230" s="58">
        <f t="shared" si="2753"/>
        <v>1092072.8574153846</v>
      </c>
      <c r="BA230" s="58">
        <f t="shared" si="2753"/>
        <v>1126366.5280153847</v>
      </c>
      <c r="BB230" s="58">
        <f t="shared" si="2753"/>
        <v>928164.47141538456</v>
      </c>
      <c r="BC230" s="58">
        <f t="shared" si="2753"/>
        <v>11270097.578553446</v>
      </c>
      <c r="BD230" s="14" t="str">
        <f t="shared" si="2230"/>
        <v>Total of Operating Cost</v>
      </c>
      <c r="BE230" s="58">
        <f t="shared" ref="BE230:BQ230" si="2754">+BE218+BE156+BE115+BE104+BE75</f>
        <v>877614.77396027674</v>
      </c>
      <c r="BF230" s="58">
        <f t="shared" ref="BF230:BP230" si="2755">+BF218+BF156+BF115+BF104+BF75</f>
        <v>749458.87495254388</v>
      </c>
      <c r="BG230" s="58">
        <f t="shared" si="2755"/>
        <v>936881.42218974372</v>
      </c>
      <c r="BH230" s="58">
        <f t="shared" si="2755"/>
        <v>942014.76325335482</v>
      </c>
      <c r="BI230" s="58">
        <f t="shared" si="2755"/>
        <v>1136187.5286133545</v>
      </c>
      <c r="BJ230" s="58">
        <f t="shared" si="2755"/>
        <v>1115383.1380133547</v>
      </c>
      <c r="BK230" s="58">
        <f t="shared" si="2755"/>
        <v>1019674.0302066648</v>
      </c>
      <c r="BL230" s="58">
        <f t="shared" si="2755"/>
        <v>968067.89201335469</v>
      </c>
      <c r="BM230" s="58">
        <f t="shared" si="2755"/>
        <v>1093495.8501911326</v>
      </c>
      <c r="BN230" s="58">
        <f t="shared" si="2755"/>
        <v>1007440.3872133547</v>
      </c>
      <c r="BO230" s="58">
        <f t="shared" si="2755"/>
        <v>0</v>
      </c>
      <c r="BP230" s="58">
        <f t="shared" si="2755"/>
        <v>0</v>
      </c>
      <c r="BQ230" s="58">
        <f t="shared" si="2754"/>
        <v>9846218.6606071331</v>
      </c>
      <c r="BR230" s="118">
        <f t="shared" si="2614"/>
        <v>-0.16412899377908169</v>
      </c>
      <c r="BS230" s="58">
        <f t="shared" ref="BS230:CE230" si="2756">+BS218+BS156+BS115+BS104+BS75</f>
        <v>1164184.4002632413</v>
      </c>
      <c r="BT230" s="58">
        <f t="shared" si="2756"/>
        <v>1158813.5642554911</v>
      </c>
      <c r="BU230" s="58">
        <f t="shared" si="2756"/>
        <v>1145951.0562322412</v>
      </c>
      <c r="BV230" s="58">
        <f t="shared" si="2756"/>
        <v>1145012.7534294524</v>
      </c>
      <c r="BW230" s="58">
        <f t="shared" si="2756"/>
        <v>1151866.2272849511</v>
      </c>
      <c r="BX230" s="58">
        <f t="shared" si="2756"/>
        <v>1163769.2017860578</v>
      </c>
      <c r="BY230" s="58">
        <f t="shared" si="2756"/>
        <v>1168383.5376868311</v>
      </c>
      <c r="BZ230" s="58">
        <f t="shared" si="2756"/>
        <v>1174184.0405752012</v>
      </c>
      <c r="CA230" s="58">
        <f t="shared" si="2756"/>
        <v>1192635.0463519411</v>
      </c>
      <c r="CB230" s="58">
        <f t="shared" si="2756"/>
        <v>1205258.2033777244</v>
      </c>
      <c r="CC230" s="58">
        <f t="shared" si="2756"/>
        <v>1127457.8520723111</v>
      </c>
      <c r="CD230" s="58">
        <f t="shared" si="2756"/>
        <v>1174403.5418459377</v>
      </c>
      <c r="CE230" s="58">
        <f t="shared" si="2756"/>
        <v>13971919.42516138</v>
      </c>
      <c r="CF230" s="106"/>
      <c r="CG230" s="58">
        <f t="shared" ref="CG230:CS230" si="2757">+CG218+CG156+CG115+CG104+CG75</f>
        <v>302214.3284666664</v>
      </c>
      <c r="CH230" s="58">
        <f t="shared" si="2757"/>
        <v>354904.90950256411</v>
      </c>
      <c r="CI230" s="58">
        <f t="shared" si="2757"/>
        <v>273601.8283025641</v>
      </c>
      <c r="CJ230" s="58">
        <f t="shared" si="2757"/>
        <v>302542.24910256418</v>
      </c>
      <c r="CK230" s="58">
        <f t="shared" si="2757"/>
        <v>374498.71550256416</v>
      </c>
      <c r="CL230" s="58">
        <f t="shared" si="2757"/>
        <v>408177.14350256411</v>
      </c>
      <c r="CM230" s="58">
        <f t="shared" si="2757"/>
        <v>362546.96530236414</v>
      </c>
      <c r="CN230" s="58">
        <f t="shared" si="2757"/>
        <v>349368.85568717954</v>
      </c>
      <c r="CO230" s="58">
        <f t="shared" si="2757"/>
        <v>349504.68330256408</v>
      </c>
      <c r="CP230" s="58">
        <f t="shared" si="2757"/>
        <v>378939.69050256407</v>
      </c>
      <c r="CQ230" s="58">
        <f t="shared" si="2757"/>
        <v>616409.2643025642</v>
      </c>
      <c r="CR230" s="58">
        <f t="shared" si="2757"/>
        <v>363015.18650256406</v>
      </c>
      <c r="CS230" s="58">
        <f t="shared" si="2757"/>
        <v>4435723.8199792868</v>
      </c>
      <c r="CT230" s="14" t="str">
        <f t="shared" si="2231"/>
        <v>Total of Operating Cost</v>
      </c>
      <c r="CU230" s="58">
        <f t="shared" ref="CU230:DG230" si="2758">+CU218+CU156+CU115+CU104+CU75</f>
        <v>294270.40096893848</v>
      </c>
      <c r="CV230" s="58">
        <f t="shared" si="2758"/>
        <v>247043.56419487178</v>
      </c>
      <c r="CW230" s="58">
        <f t="shared" si="2758"/>
        <v>306971.69126153848</v>
      </c>
      <c r="CX230" s="58">
        <f t="shared" si="2758"/>
        <v>289469.50934126071</v>
      </c>
      <c r="CY230" s="58">
        <f t="shared" si="2758"/>
        <v>405903.29742126068</v>
      </c>
      <c r="CZ230" s="58">
        <f t="shared" si="2758"/>
        <v>345918.51522126066</v>
      </c>
      <c r="DA230" s="58">
        <f t="shared" si="2758"/>
        <v>375832.17880680464</v>
      </c>
      <c r="DB230" s="58">
        <f t="shared" si="2758"/>
        <v>403533.84322126076</v>
      </c>
      <c r="DC230" s="58">
        <f t="shared" si="2758"/>
        <v>461421.79953237175</v>
      </c>
      <c r="DD230" s="58">
        <f t="shared" si="2758"/>
        <v>473868.90482126072</v>
      </c>
      <c r="DE230" s="58">
        <f t="shared" si="2758"/>
        <v>0</v>
      </c>
      <c r="DF230" s="58">
        <f t="shared" si="2758"/>
        <v>0</v>
      </c>
      <c r="DG230" s="58">
        <f t="shared" si="2758"/>
        <v>3604233.7047908287</v>
      </c>
      <c r="DH230" s="118">
        <f t="shared" si="2615"/>
        <v>2.0273602589805152E-3</v>
      </c>
      <c r="DI230" s="58">
        <f t="shared" ref="DI230:DU230" si="2759">+DI218+DI156+DI115+DI104+DI75</f>
        <v>383477.26913178095</v>
      </c>
      <c r="DJ230" s="58">
        <f t="shared" si="2759"/>
        <v>388929.40173978091</v>
      </c>
      <c r="DK230" s="58">
        <f t="shared" si="2759"/>
        <v>406285.79956378095</v>
      </c>
      <c r="DL230" s="58">
        <f t="shared" si="2759"/>
        <v>361695.40054511419</v>
      </c>
      <c r="DM230" s="58">
        <f t="shared" si="2759"/>
        <v>537698.78209178091</v>
      </c>
      <c r="DN230" s="58">
        <f t="shared" si="2759"/>
        <v>500247.80619844759</v>
      </c>
      <c r="DO230" s="58">
        <f t="shared" si="2759"/>
        <v>495497.19137178094</v>
      </c>
      <c r="DP230" s="58">
        <f t="shared" si="2759"/>
        <v>521316.41921178089</v>
      </c>
      <c r="DQ230" s="58">
        <f t="shared" si="2759"/>
        <v>544901.43699603085</v>
      </c>
      <c r="DR230" s="58">
        <f t="shared" si="2759"/>
        <v>472910.14558603091</v>
      </c>
      <c r="DS230" s="58">
        <f t="shared" si="2759"/>
        <v>466758.44517003087</v>
      </c>
      <c r="DT230" s="58">
        <f t="shared" si="2759"/>
        <v>473767.15522869752</v>
      </c>
      <c r="DU230" s="58">
        <f t="shared" si="2759"/>
        <v>5553485.2528350372</v>
      </c>
      <c r="DW230" s="28">
        <f t="shared" ref="DW230:EI230" si="2760">+DW218+DW156+DW115+DW104+DW75</f>
        <v>0</v>
      </c>
      <c r="DX230" s="28">
        <f t="shared" si="2760"/>
        <v>0</v>
      </c>
      <c r="DY230" s="28">
        <f t="shared" si="2760"/>
        <v>0</v>
      </c>
      <c r="DZ230" s="28">
        <f t="shared" si="2760"/>
        <v>0</v>
      </c>
      <c r="EA230" s="28">
        <f t="shared" si="2760"/>
        <v>0</v>
      </c>
      <c r="EB230" s="28">
        <f t="shared" si="2760"/>
        <v>0</v>
      </c>
      <c r="EC230" s="28">
        <f t="shared" si="2760"/>
        <v>0</v>
      </c>
      <c r="ED230" s="28">
        <f t="shared" si="2760"/>
        <v>0</v>
      </c>
      <c r="EE230" s="28">
        <f t="shared" si="2760"/>
        <v>0</v>
      </c>
      <c r="EF230" s="28">
        <f t="shared" si="2760"/>
        <v>0</v>
      </c>
      <c r="EG230" s="28">
        <f t="shared" si="2760"/>
        <v>0</v>
      </c>
      <c r="EH230" s="28">
        <f t="shared" si="2760"/>
        <v>0</v>
      </c>
      <c r="EI230" s="58">
        <f t="shared" si="2760"/>
        <v>0</v>
      </c>
      <c r="EJ230" s="14" t="str">
        <f t="shared" si="2302"/>
        <v>Total of Operating Cost</v>
      </c>
      <c r="EK230" s="28">
        <f t="shared" ref="EK230:EV230" si="2761">+EK218+EK156+EK115+EK104+EK75</f>
        <v>280264.17307692306</v>
      </c>
      <c r="EL230" s="28">
        <f t="shared" si="2761"/>
        <v>272346.17307692306</v>
      </c>
      <c r="EM230" s="28">
        <f t="shared" si="2761"/>
        <v>306091.46307692304</v>
      </c>
      <c r="EN230" s="28">
        <f t="shared" si="2761"/>
        <v>287095.04807692306</v>
      </c>
      <c r="EO230" s="28">
        <f t="shared" si="2761"/>
        <v>562619.56407692307</v>
      </c>
      <c r="EP230" s="28">
        <f t="shared" si="2761"/>
        <v>299371.52607692307</v>
      </c>
      <c r="EQ230" s="28">
        <f t="shared" si="2761"/>
        <v>444855.12907692307</v>
      </c>
      <c r="ER230" s="28">
        <f t="shared" si="2761"/>
        <v>224073.6480769231</v>
      </c>
      <c r="ES230" s="28">
        <f t="shared" si="2761"/>
        <v>485830.44807692309</v>
      </c>
      <c r="ET230" s="28">
        <f t="shared" si="2761"/>
        <v>431294.51047692308</v>
      </c>
      <c r="EU230" s="28">
        <f t="shared" si="2761"/>
        <v>0</v>
      </c>
      <c r="EV230" s="28">
        <f t="shared" si="2761"/>
        <v>0</v>
      </c>
      <c r="EW230" s="28">
        <f t="shared" ref="EW230" si="2762">+EW218+EW156+EW115+EW104+EW75</f>
        <v>3593841.6831692304</v>
      </c>
      <c r="EX230" s="118">
        <f t="shared" si="2616"/>
        <v>-0.19555872674719016</v>
      </c>
      <c r="EY230" s="58">
        <f t="shared" ref="EY230:FK230" si="2763">+EY218+EY156+EY115+EY104+EY75</f>
        <v>594966.41341025662</v>
      </c>
      <c r="EZ230" s="58">
        <f t="shared" si="2763"/>
        <v>591424.70461025636</v>
      </c>
      <c r="FA230" s="58">
        <f t="shared" si="2763"/>
        <v>598179.98141025635</v>
      </c>
      <c r="FB230" s="58">
        <f t="shared" si="2763"/>
        <v>593758.03794358973</v>
      </c>
      <c r="FC230" s="58">
        <f t="shared" si="2763"/>
        <v>600869.26141025638</v>
      </c>
      <c r="FD230" s="58">
        <f t="shared" si="2763"/>
        <v>601035.92807692313</v>
      </c>
      <c r="FE230" s="58">
        <f t="shared" si="2763"/>
        <v>608247.82141025644</v>
      </c>
      <c r="FF230" s="58">
        <f t="shared" si="2763"/>
        <v>605788.30141025642</v>
      </c>
      <c r="FG230" s="58">
        <f t="shared" si="2763"/>
        <v>603935.25821025635</v>
      </c>
      <c r="FH230" s="58">
        <f t="shared" si="2763"/>
        <v>623540.67474358983</v>
      </c>
      <c r="FI230" s="58">
        <f t="shared" si="2763"/>
        <v>613166.86141025636</v>
      </c>
      <c r="FJ230" s="58">
        <f t="shared" si="2763"/>
        <v>618744.47207692312</v>
      </c>
      <c r="FK230" s="58">
        <f t="shared" si="2763"/>
        <v>7253657.7161230771</v>
      </c>
    </row>
    <row r="231" spans="1:167" ht="14.45" customHeight="1">
      <c r="A231" s="108">
        <f t="shared" ref="A231:M231" si="2764">IFERROR(A230/A70,0)</f>
        <v>0.17027962801586422</v>
      </c>
      <c r="B231" s="108">
        <f t="shared" si="2764"/>
        <v>7.5729601699874929E-2</v>
      </c>
      <c r="C231" s="108">
        <f t="shared" si="2764"/>
        <v>0.13526891814749856</v>
      </c>
      <c r="D231" s="108">
        <f t="shared" si="2764"/>
        <v>0.14770060067025456</v>
      </c>
      <c r="E231" s="108">
        <f t="shared" si="2764"/>
        <v>0.14855665832755646</v>
      </c>
      <c r="F231" s="108">
        <f t="shared" si="2764"/>
        <v>0.13517618173557699</v>
      </c>
      <c r="G231" s="108">
        <f t="shared" si="2764"/>
        <v>0.12102755410275531</v>
      </c>
      <c r="H231" s="108">
        <f t="shared" si="2764"/>
        <v>7.4297070500233944E-2</v>
      </c>
      <c r="I231" s="108">
        <f t="shared" si="2764"/>
        <v>0.15086815464920317</v>
      </c>
      <c r="J231" s="108">
        <f t="shared" si="2764"/>
        <v>0.1341072829801262</v>
      </c>
      <c r="K231" s="108">
        <f t="shared" si="2764"/>
        <v>0.12263417995471509</v>
      </c>
      <c r="L231" s="108">
        <f t="shared" si="2764"/>
        <v>9.1364845788089052E-2</v>
      </c>
      <c r="M231" s="108">
        <f t="shared" si="2764"/>
        <v>7.0348300646379452E-2</v>
      </c>
      <c r="N231" s="15" t="s">
        <v>58</v>
      </c>
      <c r="O231" s="108">
        <f t="shared" ref="O231:AA231" si="2765">IFERROR(O230/O70,0)</f>
        <v>0.12765026378809316</v>
      </c>
      <c r="P231" s="108">
        <f t="shared" si="2765"/>
        <v>0.28694268848821664</v>
      </c>
      <c r="Q231" s="108">
        <f t="shared" si="2765"/>
        <v>0.10200158428828092</v>
      </c>
      <c r="R231" s="108">
        <f t="shared" si="2765"/>
        <v>0.13757753829778552</v>
      </c>
      <c r="S231" s="108">
        <f t="shared" si="2765"/>
        <v>0.15200616753234242</v>
      </c>
      <c r="T231" s="108">
        <f t="shared" si="2765"/>
        <v>0.15306255749711808</v>
      </c>
      <c r="U231" s="108">
        <f t="shared" si="2765"/>
        <v>0.15533233675679739</v>
      </c>
      <c r="V231" s="108">
        <f t="shared" si="2765"/>
        <v>0.13174834349010384</v>
      </c>
      <c r="W231" s="108">
        <f t="shared" si="2765"/>
        <v>0.1876119018425953</v>
      </c>
      <c r="X231" s="108">
        <f t="shared" si="2765"/>
        <v>0.21429452731559281</v>
      </c>
      <c r="Y231" s="108">
        <f t="shared" si="2765"/>
        <v>0</v>
      </c>
      <c r="Z231" s="108">
        <f t="shared" si="2765"/>
        <v>0</v>
      </c>
      <c r="AA231" s="108">
        <f t="shared" si="2765"/>
        <v>8.2494992591499616E-2</v>
      </c>
      <c r="AB231" s="118">
        <f t="shared" si="2613"/>
        <v>0.16432311437293384</v>
      </c>
      <c r="AC231" s="108">
        <f t="shared" ref="AC231:AO231" si="2766">IFERROR(AC230/AC70,0)</f>
        <v>0.16151115913566166</v>
      </c>
      <c r="AD231" s="108">
        <f t="shared" si="2766"/>
        <v>0.16429850249179537</v>
      </c>
      <c r="AE231" s="108">
        <f t="shared" si="2766"/>
        <v>0.16156991372236626</v>
      </c>
      <c r="AF231" s="108">
        <f t="shared" si="2766"/>
        <v>0.19354027872509469</v>
      </c>
      <c r="AG231" s="108">
        <f t="shared" si="2766"/>
        <v>0.18457189906880142</v>
      </c>
      <c r="AH231" s="108">
        <f t="shared" si="2766"/>
        <v>0.16763424775901087</v>
      </c>
      <c r="AI231" s="108">
        <f t="shared" si="2766"/>
        <v>0.16173277905488959</v>
      </c>
      <c r="AJ231" s="108">
        <f t="shared" si="2766"/>
        <v>0.15574603235440743</v>
      </c>
      <c r="AK231" s="108">
        <f t="shared" si="2766"/>
        <v>0.1519547739441684</v>
      </c>
      <c r="AL231" s="108">
        <f t="shared" si="2766"/>
        <v>0.18405073700783206</v>
      </c>
      <c r="AM231" s="108">
        <f t="shared" si="2766"/>
        <v>0.21301387800789179</v>
      </c>
      <c r="AN231" s="108">
        <f t="shared" si="2766"/>
        <v>0.17190141454057528</v>
      </c>
      <c r="AO231" s="108">
        <f t="shared" si="2766"/>
        <v>0.17275147450044964</v>
      </c>
      <c r="AP231" s="32"/>
      <c r="AQ231" s="108">
        <f t="shared" ref="AQ231" si="2767">IFERROR(AQ230/AQ70,0)</f>
        <v>0.2026099638009134</v>
      </c>
      <c r="AR231" s="108">
        <f t="shared" ref="AR231" si="2768">IFERROR(AR230/AR70,0)</f>
        <v>6.9366420803771159E-2</v>
      </c>
      <c r="AS231" s="108">
        <f t="shared" ref="AS231" si="2769">IFERROR(AS230/AS70,0)</f>
        <v>0.12829686723712802</v>
      </c>
      <c r="AT231" s="108">
        <f t="shared" ref="AT231" si="2770">IFERROR(AT230/AT70,0)</f>
        <v>0.13136779346975652</v>
      </c>
      <c r="AU231" s="108">
        <f t="shared" ref="AU231" si="2771">IFERROR(AU230/AU70,0)</f>
        <v>0.23470837405950135</v>
      </c>
      <c r="AV231" s="108">
        <f t="shared" ref="AV231" si="2772">IFERROR(AV230/AV70,0)</f>
        <v>0.11349535719084497</v>
      </c>
      <c r="AW231" s="108">
        <f t="shared" ref="AW231" si="2773">IFERROR(AW230/AW70,0)</f>
        <v>0.11178593121527124</v>
      </c>
      <c r="AX231" s="108">
        <f t="shared" ref="AX231" si="2774">IFERROR(AX230/AX70,0)</f>
        <v>7.1573835557642337E-2</v>
      </c>
      <c r="AY231" s="108">
        <f t="shared" ref="AY231" si="2775">IFERROR(AY230/AY70,0)</f>
        <v>0.14540318806349112</v>
      </c>
      <c r="AZ231" s="108">
        <f t="shared" ref="AZ231" si="2776">IFERROR(AZ230/AZ70,0)</f>
        <v>0.14398498620190911</v>
      </c>
      <c r="BA231" s="108">
        <f t="shared" ref="BA231" si="2777">IFERROR(BA230/BA70,0)</f>
        <v>0.1327528869310669</v>
      </c>
      <c r="BB231" s="108">
        <f t="shared" ref="BB231:BC231" si="2778">IFERROR(BB230/BB70,0)</f>
        <v>0.10543016608700227</v>
      </c>
      <c r="BC231" s="108">
        <f t="shared" si="2778"/>
        <v>0.11801413209879229</v>
      </c>
      <c r="BD231" s="15" t="str">
        <f t="shared" si="2230"/>
        <v>% to Sales</v>
      </c>
      <c r="BE231" s="108">
        <f t="shared" ref="BE231:BP231" si="2779">IFERROR(BE230/BE70,0)</f>
        <v>0.11022963569292359</v>
      </c>
      <c r="BF231" s="108">
        <f t="shared" si="2779"/>
        <v>0.22678261220669921</v>
      </c>
      <c r="BG231" s="108">
        <f t="shared" si="2779"/>
        <v>8.9183597348902507E-2</v>
      </c>
      <c r="BH231" s="108">
        <f t="shared" si="2779"/>
        <v>0.10251291284902952</v>
      </c>
      <c r="BI231" s="108">
        <f t="shared" si="2779"/>
        <v>0.1110823499145154</v>
      </c>
      <c r="BJ231" s="108">
        <f t="shared" si="2779"/>
        <v>0.14815019895811438</v>
      </c>
      <c r="BK231" s="108">
        <f t="shared" si="2779"/>
        <v>0.12925730277070099</v>
      </c>
      <c r="BL231" s="108">
        <f t="shared" si="2779"/>
        <v>0.14990342903498757</v>
      </c>
      <c r="BM231" s="108">
        <f t="shared" si="2779"/>
        <v>0.13637696430361668</v>
      </c>
      <c r="BN231" s="108">
        <f t="shared" si="2779"/>
        <v>0.19374929232241489</v>
      </c>
      <c r="BO231" s="108">
        <f t="shared" si="2779"/>
        <v>0</v>
      </c>
      <c r="BP231" s="108">
        <f t="shared" si="2779"/>
        <v>0</v>
      </c>
      <c r="BQ231" s="108">
        <f t="shared" ref="BQ231" si="2780">IFERROR(BQ230/BQ70,0)</f>
        <v>0.12907592159126755</v>
      </c>
      <c r="BR231" s="118">
        <f t="shared" si="2614"/>
        <v>0.35549848943656315</v>
      </c>
      <c r="BS231" s="108">
        <f t="shared" ref="BS231" si="2781">IFERROR(BS230/BS70,0)</f>
        <v>0.13274195285589968</v>
      </c>
      <c r="BT231" s="108">
        <f t="shared" ref="BT231" si="2782">IFERROR(BT230/BT70,0)</f>
        <v>0.13765711670457281</v>
      </c>
      <c r="BU231" s="108">
        <f t="shared" ref="BU231" si="2783">IFERROR(BU230/BU70,0)</f>
        <v>0.14429712450739307</v>
      </c>
      <c r="BV231" s="108">
        <f t="shared" ref="BV231" si="2784">IFERROR(BV230/BV70,0)</f>
        <v>0.15575812400016334</v>
      </c>
      <c r="BW231" s="108">
        <f t="shared" ref="BW231" si="2785">IFERROR(BW230/BW70,0)</f>
        <v>0.14784176420866646</v>
      </c>
      <c r="BX231" s="108">
        <f t="shared" ref="BX231" si="2786">IFERROR(BX230/BX70,0)</f>
        <v>0.13748878168072282</v>
      </c>
      <c r="BY231" s="108">
        <f t="shared" ref="BY231" si="2787">IFERROR(BY230/BY70,0)</f>
        <v>0.13046453548239118</v>
      </c>
      <c r="BZ231" s="108">
        <f t="shared" ref="BZ231" si="2788">IFERROR(BZ230/BZ70,0)</f>
        <v>0.1314768830178808</v>
      </c>
      <c r="CA231" s="108">
        <f t="shared" ref="CA231" si="2789">IFERROR(CA230/CA70,0)</f>
        <v>0.12677170941304311</v>
      </c>
      <c r="CB231" s="108">
        <f t="shared" ref="CB231" si="2790">IFERROR(CB230/CB70,0)</f>
        <v>0.14293582311770056</v>
      </c>
      <c r="CC231" s="108">
        <f t="shared" ref="CC231" si="2791">IFERROR(CC230/CC70,0)</f>
        <v>0.164365331215654</v>
      </c>
      <c r="CD231" s="108">
        <f t="shared" ref="CD231:CE231" si="2792">IFERROR(CD230/CD70,0)</f>
        <v>0.13019821101744644</v>
      </c>
      <c r="CE231" s="108">
        <f t="shared" si="2792"/>
        <v>0.13924203942205923</v>
      </c>
      <c r="CF231" s="32"/>
      <c r="CG231" s="108">
        <f t="shared" ref="CG231:CS231" si="2793">IFERROR(CG230/CG70,0)</f>
        <v>0.11774257589718984</v>
      </c>
      <c r="CH231" s="108">
        <f t="shared" si="2793"/>
        <v>0.10229706613898486</v>
      </c>
      <c r="CI231" s="108">
        <f t="shared" si="2793"/>
        <v>0.16463165904289434</v>
      </c>
      <c r="CJ231" s="108">
        <f t="shared" si="2793"/>
        <v>0.24625275714927525</v>
      </c>
      <c r="CK231" s="108">
        <f t="shared" si="2793"/>
        <v>8.0565762368471197E-2</v>
      </c>
      <c r="CL231" s="108">
        <f t="shared" si="2793"/>
        <v>0.2124937946086265</v>
      </c>
      <c r="CM231" s="108">
        <f t="shared" si="2793"/>
        <v>0.15252289934679272</v>
      </c>
      <c r="CN231" s="108">
        <f t="shared" si="2793"/>
        <v>8.2057179135509542E-2</v>
      </c>
      <c r="CO231" s="108">
        <f t="shared" si="2793"/>
        <v>0.16883108761652985</v>
      </c>
      <c r="CP231" s="108">
        <f t="shared" si="2793"/>
        <v>0.11197010030739268</v>
      </c>
      <c r="CQ231" s="108">
        <f t="shared" si="2793"/>
        <v>0.10764173953571365</v>
      </c>
      <c r="CR231" s="108">
        <f t="shared" si="2793"/>
        <v>6.8126669561878461E-2</v>
      </c>
      <c r="CS231" s="108">
        <f t="shared" si="2793"/>
        <v>0.11479640944192546</v>
      </c>
      <c r="CT231" s="15" t="str">
        <f t="shared" si="2231"/>
        <v>% to Sales</v>
      </c>
      <c r="CU231" s="108">
        <f t="shared" ref="CU231" si="2794">IFERROR(CU230/CU70,0)</f>
        <v>0.10189349262794348</v>
      </c>
      <c r="CV231" s="108">
        <f t="shared" ref="CV231" si="2795">IFERROR(CV230/CV70,0)</f>
        <v>0.30506655957390089</v>
      </c>
      <c r="CW231" s="108">
        <f t="shared" ref="CW231" si="2796">IFERROR(CW230/CW70,0)</f>
        <v>8.155829914835766E-2</v>
      </c>
      <c r="CX231" s="108">
        <f t="shared" ref="CX231" si="2797">IFERROR(CX230/CX70,0)</f>
        <v>0.17050504195682567</v>
      </c>
      <c r="CY231" s="108">
        <f t="shared" ref="CY231" si="2798">IFERROR(CY230/CY70,0)</f>
        <v>0.12381870167651743</v>
      </c>
      <c r="CZ231" s="108">
        <f t="shared" ref="CZ231" si="2799">IFERROR(CZ230/CZ70,0)</f>
        <v>0.20209183653999158</v>
      </c>
      <c r="DA231" s="108">
        <f t="shared" ref="DA231" si="2800">IFERROR(DA230/DA70,0)</f>
        <v>0.12374139422634617</v>
      </c>
      <c r="DB231" s="108">
        <f t="shared" ref="DB231" si="2801">IFERROR(DB230/DB70,0)</f>
        <v>9.8967661485383704E-2</v>
      </c>
      <c r="DC231" s="108">
        <f t="shared" ref="DC231" si="2802">IFERROR(DC230/DC70,0)</f>
        <v>0.20140978664373216</v>
      </c>
      <c r="DD231" s="108">
        <f t="shared" ref="DD231" si="2803">IFERROR(DD230/DD70,0)</f>
        <v>0.15746333447357561</v>
      </c>
      <c r="DE231" s="108">
        <f t="shared" ref="DE231" si="2804">IFERROR(DE230/DE70,0)</f>
        <v>0</v>
      </c>
      <c r="DF231" s="108">
        <f t="shared" ref="DF231" si="2805">IFERROR(DF230/DF70,0)</f>
        <v>0</v>
      </c>
      <c r="DG231" s="108">
        <f t="shared" ref="DG231" si="2806">IFERROR(DG230/DG70,0)</f>
        <v>0.13567965388315811</v>
      </c>
      <c r="DH231" s="118">
        <f t="shared" si="2615"/>
        <v>3.0923985783147951E-4</v>
      </c>
      <c r="DI231" s="108">
        <f t="shared" ref="DI231" si="2807">IFERROR(DI230/DI70,0)</f>
        <v>0.12600920763992315</v>
      </c>
      <c r="DJ231" s="108">
        <f t="shared" ref="DJ231" si="2808">IFERROR(DJ230/DJ70,0)</f>
        <v>0.11981321079683435</v>
      </c>
      <c r="DK231" s="108">
        <f t="shared" ref="DK231" si="2809">IFERROR(DK230/DK70,0)</f>
        <v>0.10539789955469864</v>
      </c>
      <c r="DL231" s="108">
        <f t="shared" ref="DL231" si="2810">IFERROR(DL230/DL70,0)</f>
        <v>0.1685534142380348</v>
      </c>
      <c r="DM231" s="108">
        <f t="shared" ref="DM231" si="2811">IFERROR(DM230/DM70,0)</f>
        <v>0.17898044561531232</v>
      </c>
      <c r="DN231" s="108">
        <f t="shared" ref="DN231" si="2812">IFERROR(DN230/DN70,0)</f>
        <v>0.14570007590080977</v>
      </c>
      <c r="DO231" s="108">
        <f t="shared" ref="DO231" si="2813">IFERROR(DO230/DO70,0)</f>
        <v>0.15118864280703551</v>
      </c>
      <c r="DP231" s="108">
        <f t="shared" ref="DP231" si="2814">IFERROR(DP230/DP70,0)</f>
        <v>0.12725339035799257</v>
      </c>
      <c r="DQ231" s="108">
        <f t="shared" ref="DQ231" si="2815">IFERROR(DQ230/DQ70,0)</f>
        <v>0.12582073905370098</v>
      </c>
      <c r="DR231" s="108">
        <f t="shared" ref="DR231" si="2816">IFERROR(DR230/DR70,0)</f>
        <v>0.15741465558786102</v>
      </c>
      <c r="DS231" s="108">
        <f t="shared" ref="DS231" si="2817">IFERROR(DS230/DS70,0)</f>
        <v>0.19420872171741016</v>
      </c>
      <c r="DT231" s="108">
        <f t="shared" ref="DT231:DU231" si="2818">IFERROR(DT230/DT70,0)</f>
        <v>0.1491756028865048</v>
      </c>
      <c r="DU231" s="108">
        <f t="shared" si="2818"/>
        <v>0.14233866241631732</v>
      </c>
      <c r="DW231" s="48">
        <f t="shared" ref="DW231" si="2819">IFERROR(DW230/DW70,0)</f>
        <v>0</v>
      </c>
      <c r="DX231" s="48">
        <f t="shared" ref="DX231" si="2820">IFERROR(DX230/DX70,0)</f>
        <v>0</v>
      </c>
      <c r="DY231" s="48">
        <f t="shared" ref="DY231" si="2821">IFERROR(DY230/DY70,0)</f>
        <v>0</v>
      </c>
      <c r="DZ231" s="48">
        <f t="shared" ref="DZ231" si="2822">IFERROR(DZ230/DZ70,0)</f>
        <v>0</v>
      </c>
      <c r="EA231" s="48">
        <f t="shared" ref="EA231" si="2823">IFERROR(EA230/EA70,0)</f>
        <v>0</v>
      </c>
      <c r="EB231" s="48">
        <f t="shared" ref="EB231" si="2824">IFERROR(EB230/EB70,0)</f>
        <v>0</v>
      </c>
      <c r="EC231" s="48">
        <f t="shared" ref="EC231" si="2825">IFERROR(EC230/EC70,0)</f>
        <v>0</v>
      </c>
      <c r="ED231" s="48">
        <f t="shared" ref="ED231" si="2826">IFERROR(ED230/ED70,0)</f>
        <v>0</v>
      </c>
      <c r="EE231" s="48">
        <f t="shared" ref="EE231" si="2827">IFERROR(EE230/EE70,0)</f>
        <v>0</v>
      </c>
      <c r="EF231" s="48">
        <f t="shared" ref="EF231" si="2828">IFERROR(EF230/EF70,0)</f>
        <v>0</v>
      </c>
      <c r="EG231" s="48">
        <f t="shared" ref="EG231" si="2829">IFERROR(EG230/EG70,0)</f>
        <v>0</v>
      </c>
      <c r="EH231" s="48">
        <f t="shared" ref="EH231:EI231" si="2830">IFERROR(EH230/EH70,0)</f>
        <v>0</v>
      </c>
      <c r="EI231" s="48">
        <f t="shared" si="2830"/>
        <v>0</v>
      </c>
      <c r="EJ231" s="15" t="str">
        <f t="shared" si="2302"/>
        <v>% to Sales</v>
      </c>
      <c r="EK231" s="48">
        <f t="shared" ref="EK231" si="2831">IFERROR(EK230/EK70,0)</f>
        <v>0.53253338559324082</v>
      </c>
      <c r="EL231" s="48">
        <f t="shared" ref="EL231" si="2832">IFERROR(EL230/EL70,0)</f>
        <v>0.88593675775745728</v>
      </c>
      <c r="EM231" s="48">
        <f t="shared" ref="EM231" si="2833">IFERROR(EM230/EM70,0)</f>
        <v>0.33041642274460004</v>
      </c>
      <c r="EN231" s="48">
        <f t="shared" ref="EN231" si="2834">IFERROR(EN230/EN70,0)</f>
        <v>1.9007845143527866</v>
      </c>
      <c r="EO231" s="48">
        <f t="shared" ref="EO231" si="2835">IFERROR(EO230/EO70,0)</f>
        <v>1.6563467450957254</v>
      </c>
      <c r="EP231" s="48">
        <f t="shared" ref="EP231" si="2836">IFERROR(EP230/EP70,0)</f>
        <v>0.1323163959045511</v>
      </c>
      <c r="EQ231" s="48">
        <f t="shared" ref="EQ231" si="2837">IFERROR(EQ230/EQ70,0)</f>
        <v>0.48251974718114049</v>
      </c>
      <c r="ER231" s="48">
        <f t="shared" ref="ER231" si="2838">IFERROR(ER230/ER70,0)</f>
        <v>0.14216378621731818</v>
      </c>
      <c r="ES231" s="48">
        <f t="shared" ref="ES231" si="2839">IFERROR(ES230/ES70,0)</f>
        <v>0.85480555725487561</v>
      </c>
      <c r="ET231" s="48">
        <f t="shared" ref="ET231" si="2840">IFERROR(ET230/ET70,0)</f>
        <v>0.60235486156710671</v>
      </c>
      <c r="EU231" s="48">
        <f t="shared" ref="EU231" si="2841">IFERROR(EU230/EU70,0)</f>
        <v>0</v>
      </c>
      <c r="EV231" s="48">
        <f t="shared" ref="EV231" si="2842">IFERROR(EV230/EV70,0)</f>
        <v>0</v>
      </c>
      <c r="EW231" s="48">
        <f t="shared" ref="EW231" si="2843">IFERROR(EW230/EW70,0)</f>
        <v>0.4332117997826187</v>
      </c>
      <c r="EX231" s="118">
        <f t="shared" si="2616"/>
        <v>1.3643993556037215</v>
      </c>
      <c r="EY231" s="108">
        <f t="shared" ref="EY231" si="2844">IFERROR(EY230/EY70,0)</f>
        <v>0.40958723214254206</v>
      </c>
      <c r="EZ231" s="108">
        <f t="shared" ref="EZ231" si="2845">IFERROR(EZ230/EZ70,0)</f>
        <v>0.43623112100243128</v>
      </c>
      <c r="FA231" s="108">
        <f t="shared" ref="FA231" si="2846">IFERROR(FA230/FA70,0)</f>
        <v>0.39532753831326312</v>
      </c>
      <c r="FB231" s="108">
        <f t="shared" ref="FB231" si="2847">IFERROR(FB230/FB70,0)</f>
        <v>0.43795217290935684</v>
      </c>
      <c r="FC231" s="108">
        <f t="shared" ref="FC231" si="2848">IFERROR(FC230/FC70,0)</f>
        <v>0.37228578773869664</v>
      </c>
      <c r="FD231" s="108">
        <f t="shared" ref="FD231" si="2849">IFERROR(FD230/FD70,0)</f>
        <v>0.37238905085311225</v>
      </c>
      <c r="FE231" s="108">
        <f t="shared" ref="FE231" si="2850">IFERROR(FE230/FE70,0)</f>
        <v>0.33498434333485139</v>
      </c>
      <c r="FF231" s="108">
        <f t="shared" ref="FF231" si="2851">IFERROR(FF230/FF70,0)</f>
        <v>0.34646171084372679</v>
      </c>
      <c r="FG231" s="108">
        <f t="shared" ref="FG231" si="2852">IFERROR(FG230/FG70,0)</f>
        <v>0.36153180097471777</v>
      </c>
      <c r="FH231" s="108">
        <f t="shared" ref="FH231" si="2853">IFERROR(FH230/FH70,0)</f>
        <v>0.58305102053946056</v>
      </c>
      <c r="FI231" s="108">
        <f t="shared" ref="FI231" si="2854">IFERROR(FI230/FI70,0)</f>
        <v>0.55753705321199298</v>
      </c>
      <c r="FJ231" s="108">
        <f t="shared" ref="FJ231:FK231" si="2855">IFERROR(FJ230/FJ70,0)</f>
        <v>0.542018951957837</v>
      </c>
      <c r="FK231" s="108">
        <f t="shared" si="2855"/>
        <v>0.41566423304381228</v>
      </c>
    </row>
    <row r="232" spans="1:167" ht="14.4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18">
        <f t="shared" si="2613"/>
        <v>0</v>
      </c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  <c r="BA232" s="106"/>
      <c r="BB232" s="106"/>
      <c r="BC232" s="106"/>
      <c r="BD232" s="16">
        <f t="shared" si="2230"/>
        <v>0</v>
      </c>
      <c r="BE232" s="106"/>
      <c r="BF232" s="106"/>
      <c r="BG232" s="106"/>
      <c r="BH232" s="106"/>
      <c r="BI232" s="106"/>
      <c r="BJ232" s="106"/>
      <c r="BK232" s="106"/>
      <c r="BL232" s="106"/>
      <c r="BM232" s="106"/>
      <c r="BN232" s="106"/>
      <c r="BO232" s="106"/>
      <c r="BP232" s="106"/>
      <c r="BQ232" s="106"/>
      <c r="BR232" s="118">
        <f t="shared" si="2614"/>
        <v>0</v>
      </c>
      <c r="BS232" s="106"/>
      <c r="BT232" s="106"/>
      <c r="BU232" s="106"/>
      <c r="BV232" s="106"/>
      <c r="BW232" s="106"/>
      <c r="BX232" s="106"/>
      <c r="BY232" s="106"/>
      <c r="BZ232" s="106"/>
      <c r="CA232" s="106"/>
      <c r="CB232" s="106"/>
      <c r="CC232" s="106"/>
      <c r="CD232" s="106"/>
      <c r="CE232" s="106"/>
      <c r="CF232" s="106"/>
      <c r="CG232" s="106"/>
      <c r="CH232" s="106"/>
      <c r="CI232" s="106"/>
      <c r="CJ232" s="106"/>
      <c r="CK232" s="106"/>
      <c r="CL232" s="106"/>
      <c r="CM232" s="106"/>
      <c r="CN232" s="106"/>
      <c r="CO232" s="106"/>
      <c r="CP232" s="106"/>
      <c r="CQ232" s="106"/>
      <c r="CR232" s="106"/>
      <c r="CS232" s="106"/>
      <c r="CT232" s="16">
        <f t="shared" si="2231"/>
        <v>0</v>
      </c>
      <c r="CU232" s="106"/>
      <c r="CV232" s="106"/>
      <c r="CW232" s="106"/>
      <c r="CX232" s="106"/>
      <c r="CY232" s="106"/>
      <c r="CZ232" s="106"/>
      <c r="DA232" s="106"/>
      <c r="DB232" s="106"/>
      <c r="DC232" s="106"/>
      <c r="DD232" s="106"/>
      <c r="DE232" s="106"/>
      <c r="DF232" s="106"/>
      <c r="DG232" s="106"/>
      <c r="DH232" s="118">
        <f t="shared" si="2615"/>
        <v>0</v>
      </c>
      <c r="DI232" s="106"/>
      <c r="DJ232" s="106"/>
      <c r="DK232" s="106"/>
      <c r="DL232" s="106"/>
      <c r="DM232" s="106"/>
      <c r="DN232" s="106"/>
      <c r="DO232" s="106"/>
      <c r="DP232" s="106"/>
      <c r="DQ232" s="106"/>
      <c r="DR232" s="106"/>
      <c r="DS232" s="106"/>
      <c r="DT232" s="106"/>
      <c r="DU232" s="106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106"/>
      <c r="EJ232" s="16">
        <f t="shared" si="2302"/>
        <v>0</v>
      </c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118" t="e">
        <f t="shared" si="2616"/>
        <v>#DIV/0!</v>
      </c>
      <c r="EY232" s="106"/>
      <c r="EZ232" s="106"/>
      <c r="FA232" s="106"/>
      <c r="FB232" s="106"/>
      <c r="FC232" s="106"/>
      <c r="FD232" s="106"/>
      <c r="FE232" s="106"/>
      <c r="FF232" s="106"/>
      <c r="FG232" s="106"/>
      <c r="FH232" s="106"/>
      <c r="FI232" s="106"/>
      <c r="FJ232" s="106"/>
      <c r="FK232" s="106"/>
    </row>
    <row r="233" spans="1:167" ht="14.45" customHeight="1">
      <c r="A233" s="58">
        <f t="shared" ref="A233:M233" si="2856">+A71-A230</f>
        <v>1736618.1363846157</v>
      </c>
      <c r="B233" s="58">
        <f t="shared" si="2856"/>
        <v>5023820.6204820508</v>
      </c>
      <c r="C233" s="58">
        <f t="shared" si="2856"/>
        <v>1961640.5550820509</v>
      </c>
      <c r="D233" s="58">
        <f t="shared" si="2856"/>
        <v>2182568.2562820511</v>
      </c>
      <c r="E233" s="58">
        <f t="shared" si="2856"/>
        <v>1810880.195082051</v>
      </c>
      <c r="F233" s="58">
        <f t="shared" si="2856"/>
        <v>2336840.2890820517</v>
      </c>
      <c r="G233" s="58">
        <f t="shared" si="2856"/>
        <v>2915276.7416826519</v>
      </c>
      <c r="H233" s="58">
        <f t="shared" si="2856"/>
        <v>3534708.7518615397</v>
      </c>
      <c r="I233" s="58">
        <f t="shared" si="2856"/>
        <v>1848482.123682051</v>
      </c>
      <c r="J233" s="58">
        <f t="shared" si="2856"/>
        <v>1374507.2340820502</v>
      </c>
      <c r="K233" s="58">
        <f t="shared" si="2856"/>
        <v>4434950.4616820524</v>
      </c>
      <c r="L233" s="58">
        <f t="shared" si="2856"/>
        <v>3918075.424082052</v>
      </c>
      <c r="M233" s="58">
        <f t="shared" si="2856"/>
        <v>39347825.164087221</v>
      </c>
      <c r="N233" s="14" t="s">
        <v>194</v>
      </c>
      <c r="O233" s="58">
        <f t="shared" ref="O233:AA233" si="2857">+O71-O230</f>
        <v>4336869.4779938618</v>
      </c>
      <c r="P233" s="58">
        <f t="shared" si="2857"/>
        <v>741015.40997566143</v>
      </c>
      <c r="Q233" s="58">
        <f t="shared" si="2857"/>
        <v>4209082.8504717927</v>
      </c>
      <c r="R233" s="58">
        <f t="shared" si="2857"/>
        <v>1791949.8783284638</v>
      </c>
      <c r="S233" s="58">
        <f t="shared" si="2857"/>
        <v>2911621.9178884639</v>
      </c>
      <c r="T233" s="58">
        <f t="shared" si="2857"/>
        <v>2676531.0930884629</v>
      </c>
      <c r="U233" s="58">
        <f t="shared" si="2857"/>
        <v>2809207.4099096069</v>
      </c>
      <c r="V233" s="58">
        <f t="shared" si="2857"/>
        <v>2746249.8492884617</v>
      </c>
      <c r="W233" s="58">
        <f t="shared" si="2857"/>
        <v>2392083.1273995731</v>
      </c>
      <c r="X233" s="58">
        <f t="shared" si="2857"/>
        <v>1230976.7496884607</v>
      </c>
      <c r="Y233" s="58">
        <f t="shared" si="2857"/>
        <v>0</v>
      </c>
      <c r="Z233" s="58">
        <f t="shared" si="2857"/>
        <v>0</v>
      </c>
      <c r="AA233" s="58">
        <f t="shared" si="2857"/>
        <v>33721183.835134365</v>
      </c>
      <c r="AB233" s="118">
        <f t="shared" si="2613"/>
        <v>-0.46094068052078818</v>
      </c>
      <c r="AC233" s="58">
        <f t="shared" ref="AC233:AO233" si="2858">+AC71-AC230</f>
        <v>2724102.3670391655</v>
      </c>
      <c r="AD233" s="58">
        <f t="shared" si="2858"/>
        <v>2565302.2462389166</v>
      </c>
      <c r="AE233" s="58">
        <f t="shared" si="2858"/>
        <v>2808433.7706381655</v>
      </c>
      <c r="AF233" s="58">
        <f t="shared" si="2858"/>
        <v>1731526.8986062887</v>
      </c>
      <c r="AG233" s="58">
        <f t="shared" si="2858"/>
        <v>1992937.0716574555</v>
      </c>
      <c r="AH233" s="58">
        <f t="shared" si="2858"/>
        <v>2708107.2927830177</v>
      </c>
      <c r="AI233" s="58">
        <f t="shared" si="2858"/>
        <v>3063375.224775576</v>
      </c>
      <c r="AJ233" s="58">
        <f t="shared" si="2858"/>
        <v>3129060.3362472071</v>
      </c>
      <c r="AK233" s="58">
        <f t="shared" si="2858"/>
        <v>3302656.8802862158</v>
      </c>
      <c r="AL233" s="58">
        <f t="shared" si="2858"/>
        <v>2283564.5451370995</v>
      </c>
      <c r="AM233" s="58">
        <f t="shared" si="2858"/>
        <v>1595170.8513918449</v>
      </c>
      <c r="AN233" s="58">
        <f t="shared" si="2858"/>
        <v>2683853.1113413717</v>
      </c>
      <c r="AO233" s="58">
        <f t="shared" si="2858"/>
        <v>30303923.929475654</v>
      </c>
      <c r="AQ233" s="58">
        <f t="shared" ref="AQ233:BC233" si="2859">+AQ71-AQ230</f>
        <v>1184884.7548512821</v>
      </c>
      <c r="AR233" s="58">
        <f t="shared" si="2859"/>
        <v>3995296.1859846157</v>
      </c>
      <c r="AS233" s="58">
        <f t="shared" si="2859"/>
        <v>1781997.8813846153</v>
      </c>
      <c r="AT233" s="58">
        <f t="shared" si="2859"/>
        <v>1986565.0593846161</v>
      </c>
      <c r="AU233" s="58">
        <f t="shared" si="2859"/>
        <v>531959.89458461537</v>
      </c>
      <c r="AV233" s="58">
        <f t="shared" si="2859"/>
        <v>2101398.8725846154</v>
      </c>
      <c r="AW233" s="58">
        <f t="shared" si="2859"/>
        <v>2444949.022985016</v>
      </c>
      <c r="AX233" s="58">
        <f t="shared" si="2859"/>
        <v>2546099.8915487193</v>
      </c>
      <c r="AY233" s="58">
        <f t="shared" si="2859"/>
        <v>1515708.7029846148</v>
      </c>
      <c r="AZ233" s="58">
        <f t="shared" si="2859"/>
        <v>475973.18858461455</v>
      </c>
      <c r="BA233" s="58">
        <f t="shared" si="2859"/>
        <v>2291450.8319846159</v>
      </c>
      <c r="BB233" s="58">
        <f t="shared" si="2859"/>
        <v>2650420.2905846164</v>
      </c>
      <c r="BC233" s="58">
        <f t="shared" si="2859"/>
        <v>23506704.57744655</v>
      </c>
      <c r="BD233" s="14" t="str">
        <f t="shared" si="2230"/>
        <v>EBITDA</v>
      </c>
      <c r="BE233" s="58">
        <f t="shared" ref="BE233:BQ233" si="2860">+BE71-BE230</f>
        <v>3068612.6000397224</v>
      </c>
      <c r="BF233" s="58">
        <f t="shared" ref="BF233:BP233" si="2861">+BF71-BF230</f>
        <v>994672.84984745609</v>
      </c>
      <c r="BG233" s="58">
        <f t="shared" si="2861"/>
        <v>3400729.9458102551</v>
      </c>
      <c r="BH233" s="58">
        <f t="shared" si="2861"/>
        <v>1834386.7007466457</v>
      </c>
      <c r="BI233" s="58">
        <f t="shared" si="2861"/>
        <v>2599474.7373866462</v>
      </c>
      <c r="BJ233" s="58">
        <f t="shared" si="2861"/>
        <v>1934945.8355866463</v>
      </c>
      <c r="BK233" s="58">
        <f t="shared" si="2861"/>
        <v>2362239.0397933349</v>
      </c>
      <c r="BL233" s="58">
        <f t="shared" si="2861"/>
        <v>1518780.5863866447</v>
      </c>
      <c r="BM233" s="58">
        <f t="shared" si="2861"/>
        <v>2140608.4086088683</v>
      </c>
      <c r="BN233" s="58">
        <f t="shared" si="2861"/>
        <v>986513.56398664531</v>
      </c>
      <c r="BO233" s="58">
        <f t="shared" si="2861"/>
        <v>0</v>
      </c>
      <c r="BP233" s="58">
        <f t="shared" si="2861"/>
        <v>0</v>
      </c>
      <c r="BQ233" s="58">
        <f t="shared" si="2860"/>
        <v>20840964.26819285</v>
      </c>
      <c r="BR233" s="118">
        <f t="shared" si="2614"/>
        <v>-0.50916387849438971</v>
      </c>
      <c r="BS233" s="58">
        <f t="shared" ref="BS233:CE233" si="2862">+BS71-BS230</f>
        <v>2180148.3403613847</v>
      </c>
      <c r="BT233" s="58">
        <f t="shared" si="2862"/>
        <v>1982572.6913691356</v>
      </c>
      <c r="BU233" s="58">
        <f t="shared" si="2862"/>
        <v>1966586.0343923841</v>
      </c>
      <c r="BV233" s="58">
        <f t="shared" si="2862"/>
        <v>1533523.1078751744</v>
      </c>
      <c r="BW233" s="58">
        <f t="shared" si="2862"/>
        <v>1565553.1659396752</v>
      </c>
      <c r="BX233" s="58">
        <f t="shared" si="2862"/>
        <v>2083655.7178385688</v>
      </c>
      <c r="BY233" s="58">
        <f t="shared" si="2862"/>
        <v>2426887.9683377948</v>
      </c>
      <c r="BZ233" s="58">
        <f t="shared" si="2862"/>
        <v>2235091.8276494243</v>
      </c>
      <c r="CA233" s="58">
        <f t="shared" si="2862"/>
        <v>2371337.786272685</v>
      </c>
      <c r="CB233" s="58">
        <f t="shared" si="2862"/>
        <v>2009863.416246902</v>
      </c>
      <c r="CC233" s="58">
        <f t="shared" si="2862"/>
        <v>1517720.9127523149</v>
      </c>
      <c r="CD233" s="58">
        <f t="shared" si="2862"/>
        <v>2342172.9605786889</v>
      </c>
      <c r="CE233" s="58">
        <f t="shared" si="2862"/>
        <v>24215113.929614123</v>
      </c>
      <c r="CF233" s="106"/>
      <c r="CG233" s="58">
        <f t="shared" ref="CG233:CS233" si="2863">+CG71-CG230</f>
        <v>551733.3815333338</v>
      </c>
      <c r="CH233" s="58">
        <f t="shared" si="2863"/>
        <v>1028524.4344974362</v>
      </c>
      <c r="CI233" s="58">
        <f t="shared" si="2863"/>
        <v>179642.6736974353</v>
      </c>
      <c r="CJ233" s="58">
        <f t="shared" si="2863"/>
        <v>196003.19689743582</v>
      </c>
      <c r="CK233" s="58">
        <f t="shared" si="2863"/>
        <v>1278920.3004974353</v>
      </c>
      <c r="CL233" s="58">
        <f t="shared" si="2863"/>
        <v>235441.41649743571</v>
      </c>
      <c r="CM233" s="58">
        <f t="shared" si="2863"/>
        <v>470327.71869763575</v>
      </c>
      <c r="CN233" s="58">
        <f t="shared" si="2863"/>
        <v>988608.86031281995</v>
      </c>
      <c r="CO233" s="58">
        <f t="shared" si="2863"/>
        <v>332773.42069743597</v>
      </c>
      <c r="CP233" s="58">
        <f t="shared" si="2863"/>
        <v>898534.04549743596</v>
      </c>
      <c r="CQ233" s="58">
        <f t="shared" si="2863"/>
        <v>2143499.629697436</v>
      </c>
      <c r="CR233" s="58">
        <f t="shared" si="2863"/>
        <v>1267655.1334974363</v>
      </c>
      <c r="CS233" s="58">
        <f t="shared" si="2863"/>
        <v>9571664.2120207101</v>
      </c>
      <c r="CT233" s="14" t="str">
        <f t="shared" si="2231"/>
        <v>EBITDA</v>
      </c>
      <c r="CU233" s="58">
        <f t="shared" ref="CU233:DG233" si="2864">+CU71-CU230</f>
        <v>1404725.1910310616</v>
      </c>
      <c r="CV233" s="58">
        <f t="shared" si="2864"/>
        <v>-30650.536794871674</v>
      </c>
      <c r="CW233" s="58">
        <f t="shared" si="2864"/>
        <v>790658.18773846165</v>
      </c>
      <c r="CX233" s="58">
        <f t="shared" si="2864"/>
        <v>245749.58565873961</v>
      </c>
      <c r="CY233" s="58">
        <f t="shared" si="2864"/>
        <v>715517.23257873952</v>
      </c>
      <c r="CZ233" s="58">
        <f t="shared" si="2864"/>
        <v>336237.33557873924</v>
      </c>
      <c r="DA233" s="58">
        <f t="shared" si="2864"/>
        <v>657376.39719319553</v>
      </c>
      <c r="DB233" s="58">
        <f t="shared" si="2864"/>
        <v>915546.04697873886</v>
      </c>
      <c r="DC233" s="58">
        <f t="shared" si="2864"/>
        <v>547362.41686762776</v>
      </c>
      <c r="DD233" s="58">
        <f t="shared" si="2864"/>
        <v>503477.34177873924</v>
      </c>
      <c r="DE233" s="58">
        <f t="shared" si="2864"/>
        <v>0</v>
      </c>
      <c r="DF233" s="58">
        <f t="shared" si="2864"/>
        <v>0</v>
      </c>
      <c r="DG233" s="58">
        <f t="shared" si="2864"/>
        <v>6085999.198609177</v>
      </c>
      <c r="DH233" s="118">
        <f t="shared" si="2615"/>
        <v>-7.8717732869725401E-2</v>
      </c>
      <c r="DI233" s="58">
        <f t="shared" ref="DI233:DU233" si="2865">+DI71-DI230</f>
        <v>650454.92726752476</v>
      </c>
      <c r="DJ233" s="58">
        <f t="shared" si="2865"/>
        <v>720536.74665952509</v>
      </c>
      <c r="DK233" s="58">
        <f t="shared" si="2865"/>
        <v>929782.20483552525</v>
      </c>
      <c r="DL233" s="58">
        <f t="shared" si="2865"/>
        <v>338144.31585419155</v>
      </c>
      <c r="DM233" s="58">
        <f t="shared" si="2865"/>
        <v>481707.65430752432</v>
      </c>
      <c r="DN233" s="58">
        <f t="shared" si="2865"/>
        <v>678941.99020085845</v>
      </c>
      <c r="DO233" s="58">
        <f t="shared" si="2865"/>
        <v>625589.5650275246</v>
      </c>
      <c r="DP233" s="58">
        <f t="shared" si="2865"/>
        <v>904811.29718752415</v>
      </c>
      <c r="DQ233" s="58">
        <f t="shared" si="2865"/>
        <v>968380.83940327517</v>
      </c>
      <c r="DR233" s="58">
        <f t="shared" si="2865"/>
        <v>546496.29081327433</v>
      </c>
      <c r="DS233" s="58">
        <f t="shared" si="2865"/>
        <v>328951.28722927446</v>
      </c>
      <c r="DT233" s="58">
        <f t="shared" si="2865"/>
        <v>609552.62517060805</v>
      </c>
      <c r="DU233" s="58">
        <f t="shared" si="2865"/>
        <v>7783349.7439566385</v>
      </c>
      <c r="DW233" s="28">
        <f t="shared" ref="DW233:EI233" si="2866">+DW71-DW230</f>
        <v>0</v>
      </c>
      <c r="DX233" s="28">
        <f t="shared" si="2866"/>
        <v>0</v>
      </c>
      <c r="DY233" s="28">
        <f t="shared" si="2866"/>
        <v>0</v>
      </c>
      <c r="DZ233" s="28">
        <f t="shared" si="2866"/>
        <v>0</v>
      </c>
      <c r="EA233" s="28">
        <f t="shared" si="2866"/>
        <v>0</v>
      </c>
      <c r="EB233" s="28">
        <f t="shared" si="2866"/>
        <v>0</v>
      </c>
      <c r="EC233" s="28">
        <f t="shared" si="2866"/>
        <v>0</v>
      </c>
      <c r="ED233" s="28">
        <f t="shared" si="2866"/>
        <v>0</v>
      </c>
      <c r="EE233" s="28">
        <f t="shared" si="2866"/>
        <v>0</v>
      </c>
      <c r="EF233" s="28">
        <f t="shared" si="2866"/>
        <v>0</v>
      </c>
      <c r="EG233" s="28">
        <f t="shared" si="2866"/>
        <v>0</v>
      </c>
      <c r="EH233" s="28">
        <f t="shared" si="2866"/>
        <v>0</v>
      </c>
      <c r="EI233" s="58">
        <f t="shared" si="2866"/>
        <v>0</v>
      </c>
      <c r="EJ233" s="14" t="str">
        <f t="shared" si="2302"/>
        <v>EBITDA</v>
      </c>
      <c r="EK233" s="28">
        <f t="shared" ref="EK233:EV233" si="2867">+EK71-EK230</f>
        <v>-136468.31307692308</v>
      </c>
      <c r="EL233" s="28">
        <f t="shared" si="2867"/>
        <v>-223006.90307692304</v>
      </c>
      <c r="EM233" s="28">
        <f t="shared" si="2867"/>
        <v>17694.716923077009</v>
      </c>
      <c r="EN233" s="28">
        <f t="shared" si="2867"/>
        <v>-288186.40807692311</v>
      </c>
      <c r="EO233" s="28">
        <f t="shared" si="2867"/>
        <v>-403370.05207692308</v>
      </c>
      <c r="EP233" s="28">
        <f t="shared" si="2867"/>
        <v>405347.92192307702</v>
      </c>
      <c r="EQ233" s="28">
        <f t="shared" si="2867"/>
        <v>-210408.02707692311</v>
      </c>
      <c r="ER233" s="28">
        <f t="shared" si="2867"/>
        <v>311923.21592307684</v>
      </c>
      <c r="ES233" s="28">
        <f t="shared" si="2867"/>
        <v>-295887.69807692309</v>
      </c>
      <c r="ET233" s="28">
        <f t="shared" si="2867"/>
        <v>-259014.1560769231</v>
      </c>
      <c r="EU233" s="28">
        <f t="shared" si="2867"/>
        <v>0</v>
      </c>
      <c r="EV233" s="28">
        <f t="shared" si="2867"/>
        <v>0</v>
      </c>
      <c r="EW233" s="28">
        <f t="shared" ref="EW233" si="2868">+EW71-EW230</f>
        <v>-1081375.7027692297</v>
      </c>
      <c r="EX233" s="118">
        <f t="shared" si="2616"/>
        <v>6.9836417568937961</v>
      </c>
      <c r="EY233" s="58">
        <f t="shared" ref="EY233:FK233" si="2869">+EY71-EY230</f>
        <v>-106500.90058974375</v>
      </c>
      <c r="EZ233" s="58">
        <f t="shared" si="2869"/>
        <v>-137807.19178974349</v>
      </c>
      <c r="FA233" s="58">
        <f t="shared" si="2869"/>
        <v>-87934.468589743483</v>
      </c>
      <c r="FB233" s="58">
        <f t="shared" si="2869"/>
        <v>-140140.52512307686</v>
      </c>
      <c r="FC233" s="58">
        <f t="shared" si="2869"/>
        <v>-54323.748589743394</v>
      </c>
      <c r="FD233" s="58">
        <f t="shared" si="2869"/>
        <v>-54490.415256410139</v>
      </c>
      <c r="FE233" s="58">
        <f t="shared" si="2869"/>
        <v>10897.691410256317</v>
      </c>
      <c r="FF233" s="58">
        <f t="shared" si="2869"/>
        <v>-10842.788589743664</v>
      </c>
      <c r="FG233" s="58">
        <f t="shared" si="2869"/>
        <v>-37061.745389743592</v>
      </c>
      <c r="FH233" s="58">
        <f t="shared" si="2869"/>
        <v>-272795.16192307684</v>
      </c>
      <c r="FI233" s="58">
        <f t="shared" si="2869"/>
        <v>-251501.34858974337</v>
      </c>
      <c r="FJ233" s="58">
        <f t="shared" si="2869"/>
        <v>-242039.14107459213</v>
      </c>
      <c r="FK233" s="58">
        <f t="shared" si="2869"/>
        <v>-1384539.7440951047</v>
      </c>
    </row>
    <row r="234" spans="1:167" ht="14.45" customHeight="1">
      <c r="A234" s="108">
        <f t="shared" ref="A234:M234" si="2870">IFERROR(A233/A70,0)</f>
        <v>0.25774615411343266</v>
      </c>
      <c r="B234" s="108">
        <f t="shared" si="2870"/>
        <v>0.27980748226364643</v>
      </c>
      <c r="C234" s="108">
        <f t="shared" si="2870"/>
        <v>0.22649137312842554</v>
      </c>
      <c r="D234" s="108">
        <f t="shared" si="2870"/>
        <v>0.25255766244646244</v>
      </c>
      <c r="E234" s="108">
        <f t="shared" si="2870"/>
        <v>0.21773644379219412</v>
      </c>
      <c r="F234" s="108">
        <f t="shared" si="2870"/>
        <v>0.26642443694401829</v>
      </c>
      <c r="G234" s="108">
        <f t="shared" si="2870"/>
        <v>0.27823393976828709</v>
      </c>
      <c r="H234" s="108">
        <f t="shared" si="2870"/>
        <v>0.21566085494417073</v>
      </c>
      <c r="I234" s="108">
        <f t="shared" si="2870"/>
        <v>0.20829019720309377</v>
      </c>
      <c r="J234" s="108">
        <f t="shared" si="2870"/>
        <v>0.12530921701529488</v>
      </c>
      <c r="K234" s="108">
        <f t="shared" si="2870"/>
        <v>0.31207486092332637</v>
      </c>
      <c r="L234" s="108">
        <f t="shared" si="2870"/>
        <v>0.2772459701577073</v>
      </c>
      <c r="M234" s="108">
        <f t="shared" si="2870"/>
        <v>0.29333886802914289</v>
      </c>
      <c r="N234" s="15" t="s">
        <v>58</v>
      </c>
      <c r="O234" s="108">
        <f t="shared" ref="O234:AA234" si="2871">IFERROR(O233/O70,0)</f>
        <v>0.38122974998443904</v>
      </c>
      <c r="P234" s="108">
        <f t="shared" si="2871"/>
        <v>0.16757629862310203</v>
      </c>
      <c r="Q234" s="108">
        <f t="shared" si="2871"/>
        <v>0.27699901380373232</v>
      </c>
      <c r="R234" s="108">
        <f t="shared" si="2871"/>
        <v>0.16234387605411757</v>
      </c>
      <c r="S234" s="108">
        <f t="shared" si="2871"/>
        <v>0.21028284514618634</v>
      </c>
      <c r="T234" s="108">
        <f t="shared" si="2871"/>
        <v>0.23268185097751629</v>
      </c>
      <c r="U234" s="108">
        <f t="shared" si="2871"/>
        <v>0.23710601955404528</v>
      </c>
      <c r="V234" s="108">
        <f t="shared" si="2871"/>
        <v>0.22674653769667255</v>
      </c>
      <c r="W234" s="108">
        <f t="shared" si="2871"/>
        <v>0.21991115188627525</v>
      </c>
      <c r="X234" s="108">
        <f t="shared" si="2871"/>
        <v>0.13792275240934648</v>
      </c>
      <c r="Y234" s="108">
        <f t="shared" si="2871"/>
        <v>0</v>
      </c>
      <c r="Z234" s="108">
        <f t="shared" si="2871"/>
        <v>0</v>
      </c>
      <c r="AA234" s="108">
        <f t="shared" si="2871"/>
        <v>0.30340500008758464</v>
      </c>
      <c r="AB234" s="118">
        <f t="shared" si="2613"/>
        <v>-0.24467217543892608</v>
      </c>
      <c r="AC234" s="108">
        <f t="shared" ref="AC234:AO234" si="2872">IFERROR(AC233/AC70,0)</f>
        <v>0.20534265112807254</v>
      </c>
      <c r="AD234" s="108">
        <f t="shared" si="2872"/>
        <v>0.19702771469829991</v>
      </c>
      <c r="AE234" s="108">
        <f t="shared" si="2872"/>
        <v>0.21100950948956018</v>
      </c>
      <c r="AF234" s="108">
        <f t="shared" si="2872"/>
        <v>0.15954562842557651</v>
      </c>
      <c r="AG234" s="108">
        <f t="shared" si="2872"/>
        <v>0.1605984440295872</v>
      </c>
      <c r="AH234" s="108">
        <f t="shared" si="2872"/>
        <v>0.2004242468901225</v>
      </c>
      <c r="AI234" s="108">
        <f t="shared" si="2872"/>
        <v>0.21805464672701375</v>
      </c>
      <c r="AJ234" s="108">
        <f t="shared" si="2872"/>
        <v>0.21176774535435267</v>
      </c>
      <c r="AK234" s="108">
        <f t="shared" si="2872"/>
        <v>0.21433292179091798</v>
      </c>
      <c r="AL234" s="108">
        <f t="shared" si="2872"/>
        <v>0.18259985654506283</v>
      </c>
      <c r="AM234" s="108">
        <f t="shared" si="2872"/>
        <v>0.15393500118372724</v>
      </c>
      <c r="AN234" s="108">
        <f t="shared" si="2872"/>
        <v>0.2012249253499386</v>
      </c>
      <c r="AO234" s="108">
        <f t="shared" si="2872"/>
        <v>0.19325318336240402</v>
      </c>
      <c r="AP234" s="32"/>
      <c r="AQ234" s="108">
        <f t="shared" ref="AQ234" si="2873">IFERROR(AQ233/AQ70,0)</f>
        <v>0.28407898529566822</v>
      </c>
      <c r="AR234" s="108">
        <f t="shared" ref="AR234" si="2874">IFERROR(AR233/AR70,0)</f>
        <v>0.27581908526053001</v>
      </c>
      <c r="AS234" s="108">
        <f t="shared" ref="AS234" si="2875">IFERROR(AS233/AS70,0)</f>
        <v>0.25460416262078911</v>
      </c>
      <c r="AT234" s="108">
        <f t="shared" ref="AT234" si="2876">IFERROR(AT233/AT70,0)</f>
        <v>0.26797394325121993</v>
      </c>
      <c r="AU234" s="108">
        <f t="shared" ref="AU234" si="2877">IFERROR(AU233/AU70,0)</f>
        <v>0.14500809482433696</v>
      </c>
      <c r="AV234" s="108">
        <f t="shared" ref="AV234" si="2878">IFERROR(AV233/AV70,0)</f>
        <v>0.30676331528162687</v>
      </c>
      <c r="AW234" s="108">
        <f t="shared" ref="AW234" si="2879">IFERROR(AW233/AW70,0)</f>
        <v>0.3018161369090509</v>
      </c>
      <c r="AX234" s="108">
        <f t="shared" ref="AX234" si="2880">IFERROR(AX233/AX70,0)</f>
        <v>0.20985781373385279</v>
      </c>
      <c r="AY234" s="108">
        <f t="shared" ref="AY234" si="2881">IFERROR(AY233/AY70,0)</f>
        <v>0.22275395545670926</v>
      </c>
      <c r="AZ234" s="108">
        <f t="shared" ref="AZ234" si="2882">IFERROR(AZ233/AZ70,0)</f>
        <v>6.2754964126690085E-2</v>
      </c>
      <c r="BA234" s="108">
        <f t="shared" ref="BA234" si="2883">IFERROR(BA233/BA70,0)</f>
        <v>0.27006902783460374</v>
      </c>
      <c r="BB234" s="108">
        <f t="shared" ref="BB234:BC234" si="2884">IFERROR(BB233/BB70,0)</f>
        <v>0.30106113737641738</v>
      </c>
      <c r="BC234" s="108">
        <f t="shared" si="2884"/>
        <v>0.24614900801649761</v>
      </c>
      <c r="BD234" s="15" t="str">
        <f t="shared" si="2230"/>
        <v>% to Sales</v>
      </c>
      <c r="BE234" s="108">
        <f t="shared" ref="BE234:BP234" si="2885">IFERROR(BE233/BE70,0)</f>
        <v>0.38542200863223369</v>
      </c>
      <c r="BF234" s="108">
        <f t="shared" si="2885"/>
        <v>0.30098316894809135</v>
      </c>
      <c r="BG234" s="108">
        <f t="shared" si="2885"/>
        <v>0.32372221606297641</v>
      </c>
      <c r="BH234" s="108">
        <f t="shared" si="2885"/>
        <v>0.19962354234833166</v>
      </c>
      <c r="BI234" s="108">
        <f t="shared" si="2885"/>
        <v>0.2541444568791692</v>
      </c>
      <c r="BJ234" s="108">
        <f t="shared" si="2885"/>
        <v>0.25700819812097986</v>
      </c>
      <c r="BK234" s="108">
        <f t="shared" si="2885"/>
        <v>0.29944534992369304</v>
      </c>
      <c r="BL234" s="108">
        <f t="shared" si="2885"/>
        <v>0.23518021796759112</v>
      </c>
      <c r="BM234" s="108">
        <f t="shared" si="2885"/>
        <v>0.26696916726098852</v>
      </c>
      <c r="BN234" s="108">
        <f t="shared" si="2885"/>
        <v>0.18972467980718072</v>
      </c>
      <c r="BO234" s="108">
        <f t="shared" si="2885"/>
        <v>0</v>
      </c>
      <c r="BP234" s="108">
        <f t="shared" si="2885"/>
        <v>0</v>
      </c>
      <c r="BQ234" s="108">
        <f t="shared" ref="BQ234" si="2886">IFERROR(BQ233/BQ70,0)</f>
        <v>0.27320809769644044</v>
      </c>
      <c r="BR234" s="118">
        <f t="shared" si="2614"/>
        <v>-0.2040307460001648</v>
      </c>
      <c r="BS234" s="108">
        <f t="shared" ref="BS234" si="2887">IFERROR(BS233/BS70,0)</f>
        <v>0.24858359908420127</v>
      </c>
      <c r="BT234" s="108">
        <f t="shared" ref="BT234" si="2888">IFERROR(BT233/BT70,0)</f>
        <v>0.23551263876207848</v>
      </c>
      <c r="BU234" s="108">
        <f t="shared" ref="BU234" si="2889">IFERROR(BU233/BU70,0)</f>
        <v>0.2476307415713121</v>
      </c>
      <c r="BV234" s="108">
        <f t="shared" ref="BV234" si="2890">IFERROR(BV233/BV70,0)</f>
        <v>0.20860787941280695</v>
      </c>
      <c r="BW234" s="108">
        <f t="shared" ref="BW234" si="2891">IFERROR(BW233/BW70,0)</f>
        <v>0.20093838722968921</v>
      </c>
      <c r="BX234" s="108">
        <f t="shared" ref="BX234" si="2892">IFERROR(BX233/BX70,0)</f>
        <v>0.24616503482652038</v>
      </c>
      <c r="BY234" s="108">
        <f t="shared" ref="BY234" si="2893">IFERROR(BY233/BY70,0)</f>
        <v>0.27099218813356885</v>
      </c>
      <c r="BZ234" s="108">
        <f t="shared" ref="BZ234" si="2894">IFERROR(BZ233/BZ70,0)</f>
        <v>0.25026988666455491</v>
      </c>
      <c r="CA234" s="108">
        <f t="shared" ref="CA234" si="2895">IFERROR(CA233/CA70,0)</f>
        <v>0.25206247768843326</v>
      </c>
      <c r="CB234" s="108">
        <f t="shared" ref="CB234" si="2896">IFERROR(CB233/CB70,0)</f>
        <v>0.23835679437841703</v>
      </c>
      <c r="CC234" s="108">
        <f t="shared" ref="CC234" si="2897">IFERROR(CC233/CC70,0)</f>
        <v>0.22125944669145775</v>
      </c>
      <c r="CD234" s="108">
        <f t="shared" ref="CD234:CE234" si="2898">IFERROR(CD233/CD70,0)</f>
        <v>0.25966094148648727</v>
      </c>
      <c r="CE234" s="108">
        <f t="shared" si="2898"/>
        <v>0.24132416927089748</v>
      </c>
      <c r="CF234" s="32"/>
      <c r="CG234" s="108">
        <f t="shared" ref="CG234:CS234" si="2899">IFERROR(CG233/CG70,0)</f>
        <v>0.21495509455094211</v>
      </c>
      <c r="CH234" s="108">
        <f t="shared" si="2899"/>
        <v>0.29645978199855266</v>
      </c>
      <c r="CI234" s="108">
        <f t="shared" si="2899"/>
        <v>0.10809456789522823</v>
      </c>
      <c r="CJ234" s="108">
        <f t="shared" si="2899"/>
        <v>0.15953582611763814</v>
      </c>
      <c r="CK234" s="108">
        <f t="shared" si="2899"/>
        <v>0.27513362463691721</v>
      </c>
      <c r="CL234" s="108">
        <f t="shared" si="2899"/>
        <v>0.12256894046115523</v>
      </c>
      <c r="CM234" s="108">
        <f t="shared" si="2899"/>
        <v>0.19786608126508115</v>
      </c>
      <c r="CN234" s="108">
        <f t="shared" si="2899"/>
        <v>0.23219715502711272</v>
      </c>
      <c r="CO234" s="108">
        <f t="shared" si="2899"/>
        <v>0.16074891476514008</v>
      </c>
      <c r="CP234" s="108">
        <f t="shared" si="2899"/>
        <v>0.26550121226552931</v>
      </c>
      <c r="CQ234" s="108">
        <f t="shared" si="2899"/>
        <v>0.37431304523926873</v>
      </c>
      <c r="CR234" s="108">
        <f t="shared" si="2899"/>
        <v>0.23789947530911018</v>
      </c>
      <c r="CS234" s="108">
        <f t="shared" si="2899"/>
        <v>0.24771440434920611</v>
      </c>
      <c r="CT234" s="15" t="str">
        <f t="shared" si="2231"/>
        <v>% to Sales</v>
      </c>
      <c r="CU234" s="108">
        <f t="shared" ref="CU234" si="2900">IFERROR(CU233/CU70,0)</f>
        <v>0.48639739309601243</v>
      </c>
      <c r="CV234" s="108">
        <f t="shared" ref="CV234" si="2901">IFERROR(CV233/CV70,0)</f>
        <v>-3.7849412671722059E-2</v>
      </c>
      <c r="CW234" s="108">
        <f t="shared" ref="CW234" si="2902">IFERROR(CW233/CW70,0)</f>
        <v>0.21006737375249071</v>
      </c>
      <c r="CX234" s="108">
        <f t="shared" ref="CX234" si="2903">IFERROR(CX233/CX70,0)</f>
        <v>0.14475287400379516</v>
      </c>
      <c r="CY234" s="108">
        <f t="shared" ref="CY234" si="2904">IFERROR(CY233/CY70,0)</f>
        <v>0.21826483137220709</v>
      </c>
      <c r="CZ234" s="108">
        <f t="shared" ref="CZ234" si="2905">IFERROR(CZ233/CZ70,0)</f>
        <v>0.19643591675616823</v>
      </c>
      <c r="DA234" s="108">
        <f t="shared" ref="DA234" si="2906">IFERROR(DA233/DA70,0)</f>
        <v>0.21643881633135334</v>
      </c>
      <c r="DB234" s="108">
        <f t="shared" ref="DB234" si="2907">IFERROR(DB233/DB70,0)</f>
        <v>0.22453990606679095</v>
      </c>
      <c r="DC234" s="108">
        <f t="shared" ref="DC234" si="2908">IFERROR(DC233/DC70,0)</f>
        <v>0.23892271173540888</v>
      </c>
      <c r="DD234" s="108">
        <f t="shared" ref="DD234" si="2909">IFERROR(DD233/DD70,0)</f>
        <v>0.16730201172046896</v>
      </c>
      <c r="DE234" s="108">
        <f t="shared" ref="DE234" si="2910">IFERROR(DE233/DE70,0)</f>
        <v>0</v>
      </c>
      <c r="DF234" s="108">
        <f t="shared" ref="DF234" si="2911">IFERROR(DF233/DF70,0)</f>
        <v>0</v>
      </c>
      <c r="DG234" s="108">
        <f t="shared" ref="DG234" si="2912">IFERROR(DG233/DG70,0)</f>
        <v>0.22910452884974417</v>
      </c>
      <c r="DH234" s="118">
        <f t="shared" si="2615"/>
        <v>-8.0297404165291922E-2</v>
      </c>
      <c r="DI234" s="108">
        <f t="shared" ref="DI234" si="2913">IFERROR(DI233/DI70,0)</f>
        <v>0.21373707541006343</v>
      </c>
      <c r="DJ234" s="108">
        <f t="shared" ref="DJ234" si="2914">IFERROR(DJ233/DJ70,0)</f>
        <v>0.22196784487932125</v>
      </c>
      <c r="DK234" s="108">
        <f t="shared" ref="DK234" si="2915">IFERROR(DK233/DK70,0)</f>
        <v>0.24120235444659396</v>
      </c>
      <c r="DL234" s="108">
        <f t="shared" ref="DL234" si="2916">IFERROR(DL233/DL70,0)</f>
        <v>0.157578390149585</v>
      </c>
      <c r="DM234" s="108">
        <f t="shared" ref="DM234" si="2917">IFERROR(DM233/DM70,0)</f>
        <v>0.16034302753832738</v>
      </c>
      <c r="DN234" s="108">
        <f t="shared" ref="DN234" si="2918">IFERROR(DN233/DN70,0)</f>
        <v>0.19774579374221135</v>
      </c>
      <c r="DO234" s="108">
        <f t="shared" ref="DO234" si="2919">IFERROR(DO233/DO70,0)</f>
        <v>0.19088309467285844</v>
      </c>
      <c r="DP234" s="108">
        <f t="shared" ref="DP234" si="2920">IFERROR(DP233/DP70,0)</f>
        <v>0.2208645286396605</v>
      </c>
      <c r="DQ234" s="108">
        <f t="shared" ref="DQ234" si="2921">IFERROR(DQ233/DQ70,0)</f>
        <v>0.22360446243427856</v>
      </c>
      <c r="DR234" s="108">
        <f t="shared" ref="DR234" si="2922">IFERROR(DR233/DR70,0)</f>
        <v>0.18190881756577865</v>
      </c>
      <c r="DS234" s="108">
        <f t="shared" ref="DS234" si="2923">IFERROR(DS233/DS70,0)</f>
        <v>0.13686995845746702</v>
      </c>
      <c r="DT234" s="108">
        <f t="shared" ref="DT234:DU234" si="2924">IFERROR(DT233/DT70,0)</f>
        <v>0.19193052820848905</v>
      </c>
      <c r="DU234" s="108">
        <f t="shared" si="2924"/>
        <v>0.19949122780286643</v>
      </c>
      <c r="DW234" s="48">
        <f t="shared" ref="DW234" si="2925">IFERROR(DW233/DW70,0)</f>
        <v>0</v>
      </c>
      <c r="DX234" s="48">
        <f t="shared" ref="DX234" si="2926">IFERROR(DX233/DX70,0)</f>
        <v>0</v>
      </c>
      <c r="DY234" s="48">
        <f t="shared" ref="DY234" si="2927">IFERROR(DY233/DY70,0)</f>
        <v>0</v>
      </c>
      <c r="DZ234" s="48">
        <f t="shared" ref="DZ234" si="2928">IFERROR(DZ233/DZ70,0)</f>
        <v>0</v>
      </c>
      <c r="EA234" s="48">
        <f t="shared" ref="EA234" si="2929">IFERROR(EA233/EA70,0)</f>
        <v>0</v>
      </c>
      <c r="EB234" s="48">
        <f t="shared" ref="EB234" si="2930">IFERROR(EB233/EB70,0)</f>
        <v>0</v>
      </c>
      <c r="EC234" s="48">
        <f t="shared" ref="EC234" si="2931">IFERROR(EC233/EC70,0)</f>
        <v>0</v>
      </c>
      <c r="ED234" s="48">
        <f t="shared" ref="ED234" si="2932">IFERROR(ED233/ED70,0)</f>
        <v>0</v>
      </c>
      <c r="EE234" s="48">
        <f t="shared" ref="EE234" si="2933">IFERROR(EE233/EE70,0)</f>
        <v>0</v>
      </c>
      <c r="EF234" s="48">
        <f t="shared" ref="EF234" si="2934">IFERROR(EF233/EF70,0)</f>
        <v>0</v>
      </c>
      <c r="EG234" s="48">
        <f t="shared" ref="EG234" si="2935">IFERROR(EG233/EG70,0)</f>
        <v>0</v>
      </c>
      <c r="EH234" s="48">
        <f t="shared" ref="EH234:EI234" si="2936">IFERROR(EH233/EH70,0)</f>
        <v>0</v>
      </c>
      <c r="EI234" s="48">
        <f t="shared" si="2936"/>
        <v>0</v>
      </c>
      <c r="EJ234" s="15" t="str">
        <f t="shared" si="2302"/>
        <v>% to Sales</v>
      </c>
      <c r="EK234" s="48">
        <f t="shared" ref="EK234" si="2937">IFERROR(EK233/EK70,0)</f>
        <v>-0.25930511199911965</v>
      </c>
      <c r="EL234" s="48">
        <f t="shared" ref="EL234" si="2938">IFERROR(EL233/EL70,0)</f>
        <v>-0.72543708045311095</v>
      </c>
      <c r="EM234" s="48">
        <f t="shared" ref="EM234" si="2939">IFERROR(EM233/EM70,0)</f>
        <v>1.9100908625250164E-2</v>
      </c>
      <c r="EN234" s="48">
        <f t="shared" ref="EN234" si="2940">IFERROR(EN233/EN70,0)</f>
        <v>-1.9080101359769825</v>
      </c>
      <c r="EO234" s="48">
        <f t="shared" ref="EO234" si="2941">IFERROR(EO233/EO70,0)</f>
        <v>-1.1875176682184434</v>
      </c>
      <c r="EP234" s="48">
        <f t="shared" ref="EP234" si="2942">IFERROR(EP233/EP70,0)</f>
        <v>0.17915590309841192</v>
      </c>
      <c r="EQ234" s="48">
        <f t="shared" ref="EQ234" si="2943">IFERROR(EQ233/EQ70,0)</f>
        <v>-0.22822267608941946</v>
      </c>
      <c r="ER234" s="48">
        <f t="shared" ref="ER234" si="2944">IFERROR(ER233/ER70,0)</f>
        <v>0.19790004654846155</v>
      </c>
      <c r="ES234" s="48">
        <f t="shared" ref="ES234" si="2945">IFERROR(ES233/ES70,0)</f>
        <v>-0.52060641658149009</v>
      </c>
      <c r="ET234" s="48">
        <f t="shared" ref="ET234" si="2946">IFERROR(ET233/ET70,0)</f>
        <v>-0.36174454424451558</v>
      </c>
      <c r="EU234" s="48">
        <f t="shared" ref="EU234" si="2947">IFERROR(EU233/EU70,0)</f>
        <v>0</v>
      </c>
      <c r="EV234" s="48">
        <f t="shared" ref="EV234" si="2948">IFERROR(EV233/EV70,0)</f>
        <v>0</v>
      </c>
      <c r="EW234" s="48">
        <f t="shared" ref="EW234" si="2949">IFERROR(EW233/EW70,0)</f>
        <v>-0.13035207327907009</v>
      </c>
      <c r="EX234" s="118">
        <f t="shared" si="2616"/>
        <v>22.465376594915686</v>
      </c>
      <c r="EY234" s="108">
        <f t="shared" ref="EY234" si="2950">IFERROR(EY233/EY70,0)</f>
        <v>-7.3317431219705187E-2</v>
      </c>
      <c r="EZ234" s="108">
        <f t="shared" ref="EZ234" si="2951">IFERROR(EZ233/EZ70,0)</f>
        <v>-0.10164571295048051</v>
      </c>
      <c r="FA234" s="108">
        <f t="shared" ref="FA234" si="2952">IFERROR(FA233/FA70,0)</f>
        <v>-5.8114477382730088E-2</v>
      </c>
      <c r="FB234" s="108">
        <f t="shared" ref="FB234" si="2953">IFERROR(FB233/FB70,0)</f>
        <v>-0.10336676485740606</v>
      </c>
      <c r="FC234" s="108">
        <f t="shared" ref="FC234" si="2954">IFERROR(FC233/FC70,0)</f>
        <v>-3.3657836796619205E-2</v>
      </c>
      <c r="FD234" s="108">
        <f t="shared" ref="FD234" si="2955">IFERROR(FD233/FD70,0)</f>
        <v>-3.3761099911034785E-2</v>
      </c>
      <c r="FE234" s="108">
        <f t="shared" ref="FE234" si="2956">IFERROR(FE233/FE70,0)</f>
        <v>6.0017576264663726E-3</v>
      </c>
      <c r="FF234" s="108">
        <f t="shared" ref="FF234" si="2957">IFERROR(FF233/FF70,0)</f>
        <v>-6.2011945037138477E-3</v>
      </c>
      <c r="FG234" s="108">
        <f t="shared" ref="FG234" si="2958">IFERROR(FG233/FG70,0)</f>
        <v>-2.2186152200697751E-2</v>
      </c>
      <c r="FH234" s="108">
        <f t="shared" ref="FH234" si="2959">IFERROR(FH233/FH70,0)</f>
        <v>-0.25508119036963028</v>
      </c>
      <c r="FI234" s="108">
        <f t="shared" ref="FI234" si="2960">IFERROR(FI233/FI70,0)</f>
        <v>-0.22868378837216508</v>
      </c>
      <c r="FJ234" s="108">
        <f t="shared" ref="FJ234:FK234" si="2961">IFERROR(FJ233/FJ70,0)</f>
        <v>-0.21202581598452777</v>
      </c>
      <c r="FK234" s="108">
        <f t="shared" si="2961"/>
        <v>-7.9339785990834161E-2</v>
      </c>
    </row>
    <row r="235" spans="1:167" ht="14.4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18">
        <f t="shared" si="2613"/>
        <v>0</v>
      </c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  <c r="BB235" s="106"/>
      <c r="BC235" s="106"/>
      <c r="BD235" s="16">
        <f t="shared" si="2230"/>
        <v>0</v>
      </c>
      <c r="BE235" s="106"/>
      <c r="BF235" s="106"/>
      <c r="BG235" s="106"/>
      <c r="BH235" s="106"/>
      <c r="BI235" s="106"/>
      <c r="BJ235" s="106"/>
      <c r="BK235" s="106"/>
      <c r="BL235" s="106"/>
      <c r="BM235" s="106"/>
      <c r="BN235" s="106"/>
      <c r="BO235" s="106"/>
      <c r="BP235" s="106"/>
      <c r="BQ235" s="106"/>
      <c r="BR235" s="118">
        <f t="shared" si="2614"/>
        <v>0</v>
      </c>
      <c r="BS235" s="106"/>
      <c r="BT235" s="106"/>
      <c r="BU235" s="106"/>
      <c r="BV235" s="106"/>
      <c r="BW235" s="106"/>
      <c r="BX235" s="106"/>
      <c r="BY235" s="106"/>
      <c r="BZ235" s="106"/>
      <c r="CA235" s="106"/>
      <c r="CB235" s="106"/>
      <c r="CC235" s="106"/>
      <c r="CD235" s="106"/>
      <c r="CE235" s="106"/>
      <c r="CF235" s="106"/>
      <c r="CG235" s="106"/>
      <c r="CH235" s="106"/>
      <c r="CI235" s="106"/>
      <c r="CJ235" s="106"/>
      <c r="CK235" s="106"/>
      <c r="CL235" s="106"/>
      <c r="CM235" s="106"/>
      <c r="CN235" s="106"/>
      <c r="CO235" s="106"/>
      <c r="CP235" s="106"/>
      <c r="CQ235" s="106"/>
      <c r="CR235" s="106"/>
      <c r="CS235" s="106"/>
      <c r="CT235" s="16">
        <f t="shared" si="2231"/>
        <v>0</v>
      </c>
      <c r="CU235" s="106"/>
      <c r="CV235" s="106"/>
      <c r="CW235" s="106"/>
      <c r="CX235" s="106"/>
      <c r="CY235" s="106"/>
      <c r="CZ235" s="106"/>
      <c r="DA235" s="106"/>
      <c r="DB235" s="106"/>
      <c r="DC235" s="106"/>
      <c r="DD235" s="106"/>
      <c r="DE235" s="106"/>
      <c r="DF235" s="106"/>
      <c r="DG235" s="106"/>
      <c r="DH235" s="118">
        <f t="shared" si="2615"/>
        <v>0</v>
      </c>
      <c r="DI235" s="106"/>
      <c r="DJ235" s="106"/>
      <c r="DK235" s="106"/>
      <c r="DL235" s="106"/>
      <c r="DM235" s="106"/>
      <c r="DN235" s="106"/>
      <c r="DO235" s="106"/>
      <c r="DP235" s="106"/>
      <c r="DQ235" s="106"/>
      <c r="DR235" s="106"/>
      <c r="DS235" s="106"/>
      <c r="DT235" s="106"/>
      <c r="DU235" s="106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106"/>
      <c r="EJ235" s="16">
        <f t="shared" si="2302"/>
        <v>0</v>
      </c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118" t="e">
        <f t="shared" si="2616"/>
        <v>#DIV/0!</v>
      </c>
      <c r="EY235" s="106"/>
      <c r="EZ235" s="106"/>
      <c r="FA235" s="106"/>
      <c r="FB235" s="106"/>
      <c r="FC235" s="106"/>
      <c r="FD235" s="106"/>
      <c r="FE235" s="106"/>
      <c r="FF235" s="106"/>
      <c r="FG235" s="106"/>
      <c r="FH235" s="106"/>
      <c r="FI235" s="106"/>
      <c r="FJ235" s="106"/>
      <c r="FK235" s="106"/>
    </row>
    <row r="236" spans="1:167" ht="14.45" customHeight="1">
      <c r="A236" s="58">
        <f t="shared" ref="A236:M236" si="2962">+SUM(A237:A239)</f>
        <v>110797.75840000001</v>
      </c>
      <c r="B236" s="58">
        <f t="shared" si="2962"/>
        <v>99343.666700000016</v>
      </c>
      <c r="C236" s="58">
        <f t="shared" si="2962"/>
        <v>101626.99789999999</v>
      </c>
      <c r="D236" s="58">
        <f t="shared" si="2962"/>
        <v>103872.9002</v>
      </c>
      <c r="E236" s="58">
        <f t="shared" si="2962"/>
        <v>102675.08530000001</v>
      </c>
      <c r="F236" s="58">
        <f t="shared" si="2962"/>
        <v>95001.591300000015</v>
      </c>
      <c r="G236" s="58">
        <f t="shared" si="2962"/>
        <v>103610.8775</v>
      </c>
      <c r="H236" s="58">
        <f t="shared" si="2962"/>
        <v>99156.508600000001</v>
      </c>
      <c r="I236" s="58">
        <f t="shared" si="2962"/>
        <v>94814.433199999999</v>
      </c>
      <c r="J236" s="58">
        <f t="shared" si="2962"/>
        <v>96873.175699999993</v>
      </c>
      <c r="K236" s="58">
        <f t="shared" si="2962"/>
        <v>92605.964899999992</v>
      </c>
      <c r="L236" s="58">
        <f t="shared" si="2962"/>
        <v>94477.549299999999</v>
      </c>
      <c r="M236" s="58">
        <f t="shared" si="2962"/>
        <v>1194856.5090000001</v>
      </c>
      <c r="N236" s="17" t="s">
        <v>195</v>
      </c>
      <c r="O236" s="58">
        <f t="shared" ref="O236:AA236" si="2963">+SUM(O237:O239)</f>
        <v>93392.029600000009</v>
      </c>
      <c r="P236" s="58">
        <f t="shared" si="2963"/>
        <v>83360.34150000001</v>
      </c>
      <c r="Q236" s="58">
        <f t="shared" si="2963"/>
        <v>97839.305900000007</v>
      </c>
      <c r="R236" s="58">
        <f t="shared" si="2963"/>
        <v>90288.319199999998</v>
      </c>
      <c r="S236" s="58">
        <f t="shared" si="2963"/>
        <v>86285.211899999995</v>
      </c>
      <c r="T236" s="58">
        <f t="shared" si="2963"/>
        <v>92315.59610000001</v>
      </c>
      <c r="U236" s="58">
        <f t="shared" si="2963"/>
        <v>76826.434000000008</v>
      </c>
      <c r="V236" s="58">
        <f t="shared" si="2963"/>
        <v>73332.811600000015</v>
      </c>
      <c r="W236" s="58">
        <f t="shared" si="2963"/>
        <v>74796.805700000012</v>
      </c>
      <c r="X236" s="58">
        <f t="shared" si="2963"/>
        <v>73732.082100000014</v>
      </c>
      <c r="Y236" s="58">
        <f t="shared" si="2963"/>
        <v>0</v>
      </c>
      <c r="Z236" s="58">
        <f t="shared" si="2963"/>
        <v>0</v>
      </c>
      <c r="AA236" s="58">
        <f t="shared" si="2963"/>
        <v>842168.93760000006</v>
      </c>
      <c r="AB236" s="118">
        <f t="shared" si="2613"/>
        <v>-0.11748309277497231</v>
      </c>
      <c r="AC236" s="58">
        <f t="shared" ref="AC236:AO236" si="2964">+SUM(AC237:AC239)</f>
        <v>93990.938251783329</v>
      </c>
      <c r="AD236" s="58">
        <f t="shared" si="2964"/>
        <v>83846.954098849092</v>
      </c>
      <c r="AE236" s="58">
        <f t="shared" si="2964"/>
        <v>91670.174395668262</v>
      </c>
      <c r="AF236" s="58">
        <f t="shared" si="2964"/>
        <v>87590.121742849064</v>
      </c>
      <c r="AG236" s="58">
        <f t="shared" si="2964"/>
        <v>89349.410539553151</v>
      </c>
      <c r="AH236" s="58">
        <f t="shared" si="2964"/>
        <v>85344.221236931247</v>
      </c>
      <c r="AI236" s="58">
        <f t="shared" si="2964"/>
        <v>87028.646683438084</v>
      </c>
      <c r="AJ236" s="58">
        <f t="shared" si="2964"/>
        <v>85868.264755380558</v>
      </c>
      <c r="AK236" s="58">
        <f t="shared" si="2964"/>
        <v>81975.370478054538</v>
      </c>
      <c r="AL236" s="58">
        <f t="shared" si="2964"/>
        <v>83547.500899265506</v>
      </c>
      <c r="AM236" s="58">
        <f t="shared" si="2964"/>
        <v>79729.469972136736</v>
      </c>
      <c r="AN236" s="58">
        <f t="shared" si="2964"/>
        <v>81226.737043150424</v>
      </c>
      <c r="AO236" s="58">
        <f t="shared" si="2964"/>
        <v>1031167.81009706</v>
      </c>
      <c r="AQ236" s="58">
        <f t="shared" ref="AQ236" si="2965">+SUM(AQ237:AQ239)</f>
        <v>28677.066879999998</v>
      </c>
      <c r="AR236" s="58">
        <f t="shared" ref="AR236" si="2966">+SUM(AR237:AR239)</f>
        <v>25712.478440000003</v>
      </c>
      <c r="AS236" s="58">
        <f t="shared" ref="AS236" si="2967">+SUM(AS237:AS239)</f>
        <v>26303.458279999999</v>
      </c>
      <c r="AT236" s="58">
        <f t="shared" ref="AT236" si="2968">+SUM(AT237:AT239)</f>
        <v>26884.750640000002</v>
      </c>
      <c r="AU236" s="58">
        <f t="shared" ref="AU236" si="2969">+SUM(AU237:AU239)</f>
        <v>26574.727960000004</v>
      </c>
      <c r="AV236" s="58">
        <f t="shared" ref="AV236" si="2970">+SUM(AV237:AV239)</f>
        <v>24588.647160000004</v>
      </c>
      <c r="AW236" s="58">
        <f t="shared" ref="AW236" si="2971">+SUM(AW237:AW239)</f>
        <v>26816.933000000005</v>
      </c>
      <c r="AX236" s="58">
        <f t="shared" ref="AX236" si="2972">+SUM(AX237:AX239)</f>
        <v>25664.037519999998</v>
      </c>
      <c r="AY236" s="58">
        <f t="shared" ref="AY236" si="2973">+SUM(AY237:AY239)</f>
        <v>24540.20624</v>
      </c>
      <c r="AZ236" s="58">
        <f t="shared" ref="AZ236" si="2974">+SUM(AZ237:AZ239)</f>
        <v>25073.057239999998</v>
      </c>
      <c r="BA236" s="58">
        <f t="shared" ref="BA236" si="2975">+SUM(BA237:BA239)</f>
        <v>23968.60268</v>
      </c>
      <c r="BB236" s="58">
        <f t="shared" ref="BB236:BC236" si="2976">+SUM(BB237:BB239)</f>
        <v>24453.012760000001</v>
      </c>
      <c r="BC236" s="58">
        <f t="shared" si="2976"/>
        <v>309256.97879999998</v>
      </c>
      <c r="BD236" s="17" t="str">
        <f t="shared" si="2230"/>
        <v xml:space="preserve">Finance Charge </v>
      </c>
      <c r="BE236" s="58">
        <f t="shared" ref="BE236:BP236" si="2977">+SUM(BE237:BE239)</f>
        <v>24172.05472</v>
      </c>
      <c r="BF236" s="58">
        <f t="shared" si="2977"/>
        <v>21575.617800000004</v>
      </c>
      <c r="BG236" s="58">
        <f t="shared" si="2977"/>
        <v>30464.94788</v>
      </c>
      <c r="BH236" s="58">
        <f t="shared" si="2977"/>
        <v>23368.741440000002</v>
      </c>
      <c r="BI236" s="58">
        <f t="shared" si="2977"/>
        <v>22332.643080000002</v>
      </c>
      <c r="BJ236" s="58">
        <f t="shared" si="2977"/>
        <v>28051.270520000002</v>
      </c>
      <c r="BK236" s="58">
        <f t="shared" si="2977"/>
        <v>19884.488800000003</v>
      </c>
      <c r="BL236" s="58">
        <f t="shared" si="2977"/>
        <v>18980.257120000002</v>
      </c>
      <c r="BM236" s="58">
        <f t="shared" si="2977"/>
        <v>19359.17324</v>
      </c>
      <c r="BN236" s="58">
        <f t="shared" si="2977"/>
        <v>19083.597720000002</v>
      </c>
      <c r="BO236" s="58">
        <f t="shared" si="2977"/>
        <v>0</v>
      </c>
      <c r="BP236" s="58">
        <f t="shared" si="2977"/>
        <v>0</v>
      </c>
      <c r="BQ236" s="58">
        <f t="shared" ref="BQ236" si="2978">+SUM(BQ237:BQ239)</f>
        <v>227272.79232000001</v>
      </c>
      <c r="BR236" s="118">
        <f t="shared" si="2614"/>
        <v>-0.11748309277497236</v>
      </c>
      <c r="BS236" s="58">
        <f t="shared" ref="BS236" si="2979">+SUM(BS237:BS239)</f>
        <v>24327.066371049805</v>
      </c>
      <c r="BT236" s="58">
        <f t="shared" ref="BT236" si="2980">+SUM(BT237:BT239)</f>
        <v>21701.564590290352</v>
      </c>
      <c r="BU236" s="58">
        <f t="shared" ref="BU236" si="2981">+SUM(BU237:BU239)</f>
        <v>23726.398078878843</v>
      </c>
      <c r="BV236" s="58">
        <f t="shared" ref="BV236" si="2982">+SUM(BV237:BV239)</f>
        <v>22670.384451090344</v>
      </c>
      <c r="BW236" s="58">
        <f t="shared" ref="BW236" si="2983">+SUM(BW237:BW239)</f>
        <v>23125.729786707874</v>
      </c>
      <c r="BX236" s="58">
        <f t="shared" ref="BX236" si="2984">+SUM(BX237:BX239)</f>
        <v>22089.092555441028</v>
      </c>
      <c r="BY236" s="58">
        <f t="shared" ref="BY236" si="2985">+SUM(BY237:BY239)</f>
        <v>22525.061494536916</v>
      </c>
      <c r="BZ236" s="58">
        <f t="shared" ref="BZ236" si="2986">+SUM(BZ237:BZ239)</f>
        <v>22224.727348451437</v>
      </c>
      <c r="CA236" s="58">
        <f t="shared" ref="CA236" si="2987">+SUM(CA237:CA239)</f>
        <v>21217.154711967058</v>
      </c>
      <c r="CB236" s="58">
        <f t="shared" ref="CB236" si="2988">+SUM(CB237:CB239)</f>
        <v>21624.059056280483</v>
      </c>
      <c r="CC236" s="58">
        <f t="shared" ref="CC236" si="2989">+SUM(CC237:CC239)</f>
        <v>20635.862816317745</v>
      </c>
      <c r="CD236" s="58">
        <f t="shared" ref="CD236:CE236" si="2990">+SUM(CD237:CD239)</f>
        <v>21023.390764109521</v>
      </c>
      <c r="CE236" s="58">
        <f t="shared" si="2990"/>
        <v>266890.49202512141</v>
      </c>
      <c r="CF236" s="106"/>
      <c r="CG236" s="58">
        <f t="shared" ref="CG236:CS236" si="2991">+SUM(CG237:CG239)</f>
        <v>82120.691520000008</v>
      </c>
      <c r="CH236" s="58">
        <f t="shared" si="2991"/>
        <v>73631.18826000001</v>
      </c>
      <c r="CI236" s="58">
        <f t="shared" si="2991"/>
        <v>75323.539619999996</v>
      </c>
      <c r="CJ236" s="58">
        <f t="shared" si="2991"/>
        <v>76988.149560000005</v>
      </c>
      <c r="CK236" s="58">
        <f t="shared" si="2991"/>
        <v>76100.357340000002</v>
      </c>
      <c r="CL236" s="58">
        <f t="shared" si="2991"/>
        <v>70412.944140000007</v>
      </c>
      <c r="CM236" s="58">
        <f t="shared" si="2991"/>
        <v>76793.944499999998</v>
      </c>
      <c r="CN236" s="58">
        <f t="shared" si="2991"/>
        <v>73492.471080000003</v>
      </c>
      <c r="CO236" s="58">
        <f t="shared" si="2991"/>
        <v>70274.22696</v>
      </c>
      <c r="CP236" s="58">
        <f t="shared" si="2991"/>
        <v>71800.118459999998</v>
      </c>
      <c r="CQ236" s="58">
        <f t="shared" si="2991"/>
        <v>68637.362219999995</v>
      </c>
      <c r="CR236" s="58">
        <f t="shared" si="2991"/>
        <v>70024.536540000001</v>
      </c>
      <c r="CS236" s="58">
        <f t="shared" si="2991"/>
        <v>885599.53020000004</v>
      </c>
      <c r="CT236" s="17" t="str">
        <f t="shared" si="2231"/>
        <v xml:space="preserve">Finance Charge </v>
      </c>
      <c r="CU236" s="58">
        <f t="shared" ref="CU236" si="2992">+SUM(CU237:CU239)</f>
        <v>69219.974880000009</v>
      </c>
      <c r="CV236" s="58">
        <f t="shared" ref="CV236" si="2993">+SUM(CV237:CV239)</f>
        <v>61784.723700000002</v>
      </c>
      <c r="CW236" s="58">
        <f t="shared" ref="CW236" si="2994">+SUM(CW237:CW239)</f>
        <v>67374.35802</v>
      </c>
      <c r="CX236" s="58">
        <f t="shared" ref="CX236" si="2995">+SUM(CX237:CX239)</f>
        <v>66919.57776</v>
      </c>
      <c r="CY236" s="58">
        <f t="shared" ref="CY236" si="2996">+SUM(CY237:CY239)</f>
        <v>63952.56882</v>
      </c>
      <c r="CZ236" s="58">
        <f t="shared" ref="CZ236" si="2997">+SUM(CZ237:CZ239)</f>
        <v>64264.325580000004</v>
      </c>
      <c r="DA236" s="58">
        <f t="shared" ref="DA236" si="2998">+SUM(DA237:DA239)</f>
        <v>56941.945200000009</v>
      </c>
      <c r="DB236" s="58">
        <f t="shared" ref="DB236" si="2999">+SUM(DB237:DB239)</f>
        <v>54352.554480000006</v>
      </c>
      <c r="DC236" s="58">
        <f t="shared" ref="DC236" si="3000">+SUM(DC237:DC239)</f>
        <v>55437.632460000008</v>
      </c>
      <c r="DD236" s="58">
        <f t="shared" ref="DD236" si="3001">+SUM(DD237:DD239)</f>
        <v>54648.484380000009</v>
      </c>
      <c r="DE236" s="58">
        <f t="shared" ref="DE236" si="3002">+SUM(DE237:DE239)</f>
        <v>0</v>
      </c>
      <c r="DF236" s="58">
        <f t="shared" ref="DF236" si="3003">+SUM(DF237:DF239)</f>
        <v>0</v>
      </c>
      <c r="DG236" s="58">
        <f t="shared" ref="DG236" si="3004">+SUM(DG237:DG239)</f>
        <v>614896.14528000006</v>
      </c>
      <c r="DH236" s="118">
        <f t="shared" si="2615"/>
        <v>-0.11748309277497229</v>
      </c>
      <c r="DI236" s="58">
        <f t="shared" ref="DI236" si="3005">+SUM(DI237:DI239)</f>
        <v>69663.871880733524</v>
      </c>
      <c r="DJ236" s="58">
        <f t="shared" ref="DJ236" si="3006">+SUM(DJ237:DJ239)</f>
        <v>62145.389508558743</v>
      </c>
      <c r="DK236" s="58">
        <f t="shared" ref="DK236" si="3007">+SUM(DK237:DK239)</f>
        <v>67943.776316789415</v>
      </c>
      <c r="DL236" s="58">
        <f t="shared" ref="DL236" si="3008">+SUM(DL237:DL239)</f>
        <v>64919.73729175872</v>
      </c>
      <c r="DM236" s="58">
        <f t="shared" ref="DM236" si="3009">+SUM(DM237:DM239)</f>
        <v>66223.680752845277</v>
      </c>
      <c r="DN236" s="58">
        <f t="shared" ref="DN236" si="3010">+SUM(DN237:DN239)</f>
        <v>63255.128681490212</v>
      </c>
      <c r="DO236" s="58">
        <f t="shared" ref="DO236" si="3011">+SUM(DO237:DO239)</f>
        <v>64503.585188901168</v>
      </c>
      <c r="DP236" s="58">
        <f t="shared" ref="DP236" si="3012">+SUM(DP237:DP239)</f>
        <v>63643.537406929121</v>
      </c>
      <c r="DQ236" s="58">
        <f t="shared" ref="DQ236" si="3013">+SUM(DQ237:DQ239)</f>
        <v>60758.21576608748</v>
      </c>
      <c r="DR236" s="58">
        <f t="shared" ref="DR236" si="3014">+SUM(DR237:DR239)</f>
        <v>61923.441842985019</v>
      </c>
      <c r="DS236" s="58">
        <f t="shared" ref="DS236" si="3015">+SUM(DS237:DS239)</f>
        <v>59093.607155818994</v>
      </c>
      <c r="DT236" s="58">
        <f t="shared" ref="DT236:DU236" si="3016">+SUM(DT237:DT239)</f>
        <v>60203.346279040903</v>
      </c>
      <c r="DU236" s="58">
        <f t="shared" si="3016"/>
        <v>764277.31807193847</v>
      </c>
      <c r="DW236" s="28">
        <f t="shared" ref="DW236" si="3017">+SUM(DW237:DW239)</f>
        <v>0</v>
      </c>
      <c r="DX236" s="28">
        <f t="shared" ref="DX236" si="3018">+SUM(DX237:DX239)</f>
        <v>0</v>
      </c>
      <c r="DY236" s="28">
        <f t="shared" ref="DY236" si="3019">+SUM(DY237:DY239)</f>
        <v>0</v>
      </c>
      <c r="DZ236" s="28">
        <f t="shared" ref="DZ236" si="3020">+SUM(DZ237:DZ239)</f>
        <v>0</v>
      </c>
      <c r="EA236" s="28">
        <f t="shared" ref="EA236" si="3021">+SUM(EA237:EA239)</f>
        <v>0</v>
      </c>
      <c r="EB236" s="28">
        <f t="shared" ref="EB236" si="3022">+SUM(EB237:EB239)</f>
        <v>0</v>
      </c>
      <c r="EC236" s="28">
        <f t="shared" ref="EC236" si="3023">+SUM(EC237:EC239)</f>
        <v>0</v>
      </c>
      <c r="ED236" s="28">
        <f t="shared" ref="ED236" si="3024">+SUM(ED237:ED239)</f>
        <v>0</v>
      </c>
      <c r="EE236" s="28">
        <f t="shared" ref="EE236" si="3025">+SUM(EE237:EE239)</f>
        <v>0</v>
      </c>
      <c r="EF236" s="28">
        <f t="shared" ref="EF236" si="3026">+SUM(EF237:EF239)</f>
        <v>0</v>
      </c>
      <c r="EG236" s="28">
        <f t="shared" ref="EG236" si="3027">+SUM(EG237:EG239)</f>
        <v>0</v>
      </c>
      <c r="EH236" s="28">
        <f t="shared" ref="EH236:EI236" si="3028">+SUM(EH237:EH239)</f>
        <v>0</v>
      </c>
      <c r="EI236" s="58">
        <f t="shared" si="3028"/>
        <v>0</v>
      </c>
      <c r="EJ236" s="17" t="str">
        <f t="shared" si="2302"/>
        <v xml:space="preserve">Finance Charge </v>
      </c>
      <c r="EK236" s="28">
        <f t="shared" ref="EK236" si="3029">+SUM(EK237:EK239)</f>
        <v>0</v>
      </c>
      <c r="EL236" s="28">
        <f t="shared" ref="EL236" si="3030">+SUM(EL237:EL239)</f>
        <v>0</v>
      </c>
      <c r="EM236" s="28">
        <f t="shared" ref="EM236" si="3031">+SUM(EM237:EM239)</f>
        <v>0</v>
      </c>
      <c r="EN236" s="28">
        <f t="shared" ref="EN236" si="3032">+SUM(EN237:EN239)</f>
        <v>0</v>
      </c>
      <c r="EO236" s="28">
        <f t="shared" ref="EO236" si="3033">+SUM(EO237:EO239)</f>
        <v>0</v>
      </c>
      <c r="EP236" s="28">
        <f t="shared" ref="EP236" si="3034">+SUM(EP237:EP239)</f>
        <v>0</v>
      </c>
      <c r="EQ236" s="28">
        <f t="shared" ref="EQ236" si="3035">+SUM(EQ237:EQ239)</f>
        <v>0</v>
      </c>
      <c r="ER236" s="28">
        <f t="shared" ref="ER236" si="3036">+SUM(ER237:ER239)</f>
        <v>0</v>
      </c>
      <c r="ES236" s="28">
        <f t="shared" ref="ES236" si="3037">+SUM(ES237:ES239)</f>
        <v>0</v>
      </c>
      <c r="ET236" s="28">
        <f t="shared" ref="ET236" si="3038">+SUM(ET237:ET239)</f>
        <v>0</v>
      </c>
      <c r="EU236" s="28">
        <f t="shared" ref="EU236" si="3039">+SUM(EU237:EU239)</f>
        <v>0</v>
      </c>
      <c r="EV236" s="28">
        <f t="shared" ref="EV236" si="3040">+SUM(EV237:EV239)</f>
        <v>0</v>
      </c>
      <c r="EW236" s="28">
        <f t="shared" ref="EW236" si="3041">+SUM(EW237:EW239)</f>
        <v>0</v>
      </c>
      <c r="EX236" s="118" t="e">
        <f t="shared" si="2616"/>
        <v>#DIV/0!</v>
      </c>
      <c r="EY236" s="58">
        <f t="shared" ref="EY236" si="3042">+SUM(EY237:EY239)</f>
        <v>0</v>
      </c>
      <c r="EZ236" s="58">
        <f t="shared" ref="EZ236" si="3043">+SUM(EZ237:EZ239)</f>
        <v>0</v>
      </c>
      <c r="FA236" s="58">
        <f t="shared" ref="FA236" si="3044">+SUM(FA237:FA239)</f>
        <v>0</v>
      </c>
      <c r="FB236" s="58">
        <f t="shared" ref="FB236" si="3045">+SUM(FB237:FB239)</f>
        <v>0</v>
      </c>
      <c r="FC236" s="58">
        <f t="shared" ref="FC236" si="3046">+SUM(FC237:FC239)</f>
        <v>0</v>
      </c>
      <c r="FD236" s="58">
        <f t="shared" ref="FD236" si="3047">+SUM(FD237:FD239)</f>
        <v>0</v>
      </c>
      <c r="FE236" s="58">
        <f t="shared" ref="FE236" si="3048">+SUM(FE237:FE239)</f>
        <v>0</v>
      </c>
      <c r="FF236" s="58">
        <f t="shared" ref="FF236" si="3049">+SUM(FF237:FF239)</f>
        <v>0</v>
      </c>
      <c r="FG236" s="58">
        <f t="shared" ref="FG236" si="3050">+SUM(FG237:FG239)</f>
        <v>0</v>
      </c>
      <c r="FH236" s="58">
        <f t="shared" ref="FH236" si="3051">+SUM(FH237:FH239)</f>
        <v>0</v>
      </c>
      <c r="FI236" s="58">
        <f t="shared" ref="FI236" si="3052">+SUM(FI237:FI239)</f>
        <v>0</v>
      </c>
      <c r="FJ236" s="58">
        <f t="shared" ref="FJ236:FK236" si="3053">+SUM(FJ237:FJ239)</f>
        <v>0</v>
      </c>
      <c r="FK236" s="58">
        <f t="shared" si="3053"/>
        <v>0</v>
      </c>
    </row>
    <row r="237" spans="1:167" ht="14.45" hidden="1" customHeight="1" outlineLevel="1">
      <c r="A237" s="106">
        <f t="shared" ref="A237:L239" si="3054">+AQ237+CG237+DW237</f>
        <v>0</v>
      </c>
      <c r="B237" s="106">
        <f t="shared" si="3054"/>
        <v>0</v>
      </c>
      <c r="C237" s="106">
        <f t="shared" si="3054"/>
        <v>0</v>
      </c>
      <c r="D237" s="106">
        <f t="shared" si="3054"/>
        <v>0</v>
      </c>
      <c r="E237" s="106">
        <f t="shared" si="3054"/>
        <v>0</v>
      </c>
      <c r="F237" s="106">
        <f t="shared" si="3054"/>
        <v>0</v>
      </c>
      <c r="G237" s="106">
        <f t="shared" si="3054"/>
        <v>0</v>
      </c>
      <c r="H237" s="106">
        <f t="shared" si="3054"/>
        <v>0</v>
      </c>
      <c r="I237" s="106">
        <f t="shared" si="3054"/>
        <v>0</v>
      </c>
      <c r="J237" s="106">
        <f t="shared" si="3054"/>
        <v>0</v>
      </c>
      <c r="K237" s="106">
        <f t="shared" si="3054"/>
        <v>0</v>
      </c>
      <c r="L237" s="106">
        <f t="shared" si="3054"/>
        <v>0</v>
      </c>
      <c r="M237" s="106">
        <f t="shared" ref="M237:M239" si="3055">+SUM(A237:L237)</f>
        <v>0</v>
      </c>
      <c r="N237" s="21" t="s">
        <v>196</v>
      </c>
      <c r="O237" s="106">
        <f t="shared" ref="O237:O239" si="3056">+BE237+CU237+EK237</f>
        <v>0</v>
      </c>
      <c r="P237" s="106">
        <f t="shared" ref="P237:P239" si="3057">+BF237+CV237+EL237</f>
        <v>0</v>
      </c>
      <c r="Q237" s="106">
        <f t="shared" ref="Q237:Q239" si="3058">+BG237+CW237+EM237</f>
        <v>0</v>
      </c>
      <c r="R237" s="106">
        <f t="shared" ref="R237:R239" si="3059">+BH237+CX237+EN237</f>
        <v>0</v>
      </c>
      <c r="S237" s="106">
        <f t="shared" ref="S237:S239" si="3060">+BI237+CY237+EO237</f>
        <v>0</v>
      </c>
      <c r="T237" s="106">
        <f t="shared" ref="T237:T239" si="3061">+BJ237+CZ237+EP237</f>
        <v>0</v>
      </c>
      <c r="U237" s="106">
        <f t="shared" ref="U237:U239" si="3062">+BK237+DA237+EQ237</f>
        <v>0</v>
      </c>
      <c r="V237" s="106">
        <f t="shared" ref="V237:V239" si="3063">+BL237+DB237+ER237</f>
        <v>0</v>
      </c>
      <c r="W237" s="106">
        <f t="shared" ref="W237:W239" si="3064">+BM237+DC237+ES237</f>
        <v>0</v>
      </c>
      <c r="X237" s="106">
        <f t="shared" ref="X237:X239" si="3065">+BN237+DD237+ET237</f>
        <v>0</v>
      </c>
      <c r="Y237" s="106">
        <f t="shared" ref="Y237:Y239" si="3066">+BO237+DE237+EU237</f>
        <v>0</v>
      </c>
      <c r="Z237" s="106">
        <f t="shared" ref="Z237:Z239" si="3067">+BP237+DF237+EV237</f>
        <v>0</v>
      </c>
      <c r="AA237" s="106">
        <f t="shared" ref="AA237:AA239" si="3068">+SUM(O237:Z237)</f>
        <v>0</v>
      </c>
      <c r="AB237" s="118">
        <f t="shared" si="2613"/>
        <v>0</v>
      </c>
      <c r="AC237" s="106">
        <f t="shared" ref="AC237:AC239" si="3069">+BS237+DI237+EY237</f>
        <v>0</v>
      </c>
      <c r="AD237" s="106">
        <f t="shared" ref="AD237:AD239" si="3070">+BT237+DJ237+EZ237</f>
        <v>0</v>
      </c>
      <c r="AE237" s="106">
        <f t="shared" ref="AE237:AE239" si="3071">+BU237+DK237+FA237</f>
        <v>0</v>
      </c>
      <c r="AF237" s="106">
        <f t="shared" ref="AF237:AF239" si="3072">+BV237+DL237+FB237</f>
        <v>0</v>
      </c>
      <c r="AG237" s="106">
        <f t="shared" ref="AG237:AG239" si="3073">+BW237+DM237+FC237</f>
        <v>0</v>
      </c>
      <c r="AH237" s="106">
        <f t="shared" ref="AH237:AH239" si="3074">+BX237+DN237+FD237</f>
        <v>0</v>
      </c>
      <c r="AI237" s="106">
        <f t="shared" ref="AI237:AI239" si="3075">+BY237+DO237+FE237</f>
        <v>0</v>
      </c>
      <c r="AJ237" s="106">
        <f t="shared" ref="AJ237:AJ239" si="3076">+BZ237+DP237+FF237</f>
        <v>0</v>
      </c>
      <c r="AK237" s="106">
        <f t="shared" ref="AK237:AK239" si="3077">+CA237+DQ237+FG237</f>
        <v>0</v>
      </c>
      <c r="AL237" s="106">
        <f t="shared" ref="AL237:AL239" si="3078">+CB237+DR237+FH237</f>
        <v>0</v>
      </c>
      <c r="AM237" s="106">
        <f t="shared" ref="AM237:AM239" si="3079">+CC237+DS237+FI237</f>
        <v>0</v>
      </c>
      <c r="AN237" s="106">
        <f t="shared" ref="AN237:AN239" si="3080">+CD237+DT237+FJ237</f>
        <v>0</v>
      </c>
      <c r="AO237" s="106">
        <f t="shared" ref="AO237:AO239" si="3081">+SUM(AC237:AN237)</f>
        <v>0</v>
      </c>
      <c r="AQ237" s="110">
        <v>0</v>
      </c>
      <c r="AR237" s="106">
        <v>0</v>
      </c>
      <c r="AS237" s="106">
        <v>0</v>
      </c>
      <c r="AT237" s="106">
        <v>0</v>
      </c>
      <c r="AU237" s="106">
        <v>0</v>
      </c>
      <c r="AV237" s="106">
        <v>0</v>
      </c>
      <c r="AW237" s="106">
        <v>0</v>
      </c>
      <c r="AX237" s="106">
        <v>0</v>
      </c>
      <c r="AY237" s="106">
        <v>0</v>
      </c>
      <c r="AZ237" s="106">
        <v>0</v>
      </c>
      <c r="BA237" s="106">
        <v>0</v>
      </c>
      <c r="BB237" s="106">
        <v>0</v>
      </c>
      <c r="BC237" s="106">
        <f t="shared" ref="BC237:BC239" si="3082">+SUM(AQ237:BB237)</f>
        <v>0</v>
      </c>
      <c r="BD237" s="21" t="s">
        <v>196</v>
      </c>
      <c r="BE237" s="106">
        <f>+VLOOKUP($BD237,'Jan-25'!$A:$J,5,0)</f>
        <v>0</v>
      </c>
      <c r="BF237" s="106">
        <f>+VLOOKUP($BD237,'Feb-25'!$A:$J,5,0)</f>
        <v>0</v>
      </c>
      <c r="BG237" s="106">
        <f>+VLOOKUP($BD237,'Mar-25'!$A:$J,5,0)</f>
        <v>0</v>
      </c>
      <c r="BH237" s="106">
        <f>+VLOOKUP($BD237,'Apr-25'!$A:$J,5,0)</f>
        <v>0</v>
      </c>
      <c r="BI237" s="106">
        <f>+VLOOKUP($BD237,'May-25'!$A:$J,5,0)</f>
        <v>0</v>
      </c>
      <c r="BJ237" s="106">
        <f>+VLOOKUP($BD237,'June-25'!$A:$J,5,0)</f>
        <v>0</v>
      </c>
      <c r="BK237" s="106">
        <f>+VLOOKUP($BD237,'July-25'!$A:$J,5,0)</f>
        <v>0</v>
      </c>
      <c r="BL237" s="106">
        <f>+VLOOKUP($BD237,'Aug-25'!$A:$J,5,0)</f>
        <v>0</v>
      </c>
      <c r="BM237" s="106">
        <f>+VLOOKUP($BD237,'Sep-25'!$A:$J,5,0)</f>
        <v>0</v>
      </c>
      <c r="BN237" s="106">
        <f>+VLOOKUP($BD237,'Oct-25'!$A:$J,5,0)</f>
        <v>0</v>
      </c>
      <c r="BO237" s="106">
        <f>+VLOOKUP($BD237,'Nov-25'!$A:$J,5,0)</f>
        <v>0</v>
      </c>
      <c r="BP237" s="106">
        <f>+VLOOKUP($BD237,'Dec-25'!$A:$J,5,0)</f>
        <v>0</v>
      </c>
      <c r="BQ237" s="106">
        <f t="shared" ref="BQ237:BQ239" si="3083">+SUM(BE237:BP237)</f>
        <v>0</v>
      </c>
      <c r="BR237" s="118">
        <f t="shared" si="2614"/>
        <v>0</v>
      </c>
      <c r="BS237" s="106">
        <f>+_xlfn.XLOOKUP($BD237,Budget!$A:$A,Budget!BD:BD)</f>
        <v>0</v>
      </c>
      <c r="BT237" s="106">
        <f>+_xlfn.XLOOKUP($BD237,Budget!$A:$A,Budget!BE:BE)</f>
        <v>0</v>
      </c>
      <c r="BU237" s="106">
        <f>+_xlfn.XLOOKUP($BD237,Budget!$A:$A,Budget!BF:BF)</f>
        <v>0</v>
      </c>
      <c r="BV237" s="106">
        <f>+_xlfn.XLOOKUP($BD237,Budget!$A:$A,Budget!BG:BG)</f>
        <v>0</v>
      </c>
      <c r="BW237" s="106">
        <f>+_xlfn.XLOOKUP($BD237,Budget!$A:$A,Budget!BH:BH)</f>
        <v>0</v>
      </c>
      <c r="BX237" s="106">
        <f>+_xlfn.XLOOKUP($BD237,Budget!$A:$A,Budget!BI:BI)</f>
        <v>0</v>
      </c>
      <c r="BY237" s="106">
        <f>+_xlfn.XLOOKUP($BD237,Budget!$A:$A,Budget!BJ:BJ)</f>
        <v>0</v>
      </c>
      <c r="BZ237" s="106">
        <f>+_xlfn.XLOOKUP($BD237,Budget!$A:$A,Budget!BK:BK)</f>
        <v>0</v>
      </c>
      <c r="CA237" s="106">
        <f>+_xlfn.XLOOKUP($BD237,Budget!$A:$A,Budget!BL:BL)</f>
        <v>0</v>
      </c>
      <c r="CB237" s="106">
        <f>+_xlfn.XLOOKUP($BD237,Budget!$A:$A,Budget!BM:BM)</f>
        <v>0</v>
      </c>
      <c r="CC237" s="106">
        <f>+_xlfn.XLOOKUP($BD237,Budget!$A:$A,Budget!BN:BN)</f>
        <v>0</v>
      </c>
      <c r="CD237" s="106">
        <f>+_xlfn.XLOOKUP($BD237,Budget!$A:$A,Budget!BO:BO)</f>
        <v>0</v>
      </c>
      <c r="CE237" s="106">
        <f t="shared" ref="CE237:CE239" si="3084">+SUM(BS237:CD237)</f>
        <v>0</v>
      </c>
      <c r="CF237" s="106"/>
      <c r="CG237" s="110">
        <v>0</v>
      </c>
      <c r="CH237" s="106">
        <v>0</v>
      </c>
      <c r="CI237" s="106">
        <v>0</v>
      </c>
      <c r="CJ237" s="106">
        <v>0</v>
      </c>
      <c r="CK237" s="106">
        <v>0</v>
      </c>
      <c r="CL237" s="106">
        <v>0</v>
      </c>
      <c r="CM237" s="106">
        <v>0</v>
      </c>
      <c r="CN237" s="106">
        <v>0</v>
      </c>
      <c r="CO237" s="106">
        <v>0</v>
      </c>
      <c r="CP237" s="106">
        <v>0</v>
      </c>
      <c r="CQ237" s="106">
        <v>0</v>
      </c>
      <c r="CR237" s="106">
        <v>0</v>
      </c>
      <c r="CS237" s="106">
        <f t="shared" ref="CS237:CS239" si="3085">+SUM(CG237:CR237)</f>
        <v>0</v>
      </c>
      <c r="CT237" s="21" t="s">
        <v>196</v>
      </c>
      <c r="CU237" s="106">
        <f>+VLOOKUP($BD237,'Jan-25'!$A:$J,8,0)</f>
        <v>0</v>
      </c>
      <c r="CV237" s="106">
        <f>+VLOOKUP($BD237,'Feb-25'!$A:$J,8,0)</f>
        <v>0</v>
      </c>
      <c r="CW237" s="106">
        <f>+VLOOKUP($BD237,'Mar-25'!$A:$J,8,0)</f>
        <v>0</v>
      </c>
      <c r="CX237" s="106">
        <f>+VLOOKUP($BD237,'Apr-25'!$A:$J,8,0)</f>
        <v>0</v>
      </c>
      <c r="CY237" s="106">
        <f>+VLOOKUP($BD237,'May-25'!$A:$J,8,0)</f>
        <v>0</v>
      </c>
      <c r="CZ237" s="106">
        <f>+VLOOKUP($BD237,'June-25'!$A:$J,8,0)</f>
        <v>0</v>
      </c>
      <c r="DA237" s="106">
        <f>+VLOOKUP($BD237,'July-25'!$A:$J,8,0)</f>
        <v>0</v>
      </c>
      <c r="DB237" s="106">
        <f>+VLOOKUP($BD237,'Aug-25'!$A:$J,8,0)</f>
        <v>0</v>
      </c>
      <c r="DC237" s="106">
        <f>+VLOOKUP($BD237,'Sep-25'!$A:$J,8,0)</f>
        <v>0</v>
      </c>
      <c r="DD237" s="106">
        <f>+VLOOKUP($BD237,'Oct-25'!$A:$J,8,0)</f>
        <v>0</v>
      </c>
      <c r="DE237" s="106">
        <f>+VLOOKUP($BD237,'Nov-25'!$A:$J,8,0)</f>
        <v>0</v>
      </c>
      <c r="DF237" s="106">
        <f>+VLOOKUP($BD237,'Dec-25'!$A:$J,8,0)</f>
        <v>0</v>
      </c>
      <c r="DG237" s="106">
        <f t="shared" ref="DG237:DG239" si="3086">+SUM(CU237:DF237)</f>
        <v>0</v>
      </c>
      <c r="DH237" s="118">
        <f t="shared" si="2615"/>
        <v>0</v>
      </c>
      <c r="DI237" s="106">
        <f>+_xlfn.XLOOKUP($CT237,Budget!$A:$A,Budget!CQ:CQ)</f>
        <v>0</v>
      </c>
      <c r="DJ237" s="106">
        <f>+_xlfn.XLOOKUP($CT237,Budget!$A:$A,Budget!CR:CR)</f>
        <v>0</v>
      </c>
      <c r="DK237" s="106">
        <f>+_xlfn.XLOOKUP($CT237,Budget!$A:$A,Budget!CS:CS)</f>
        <v>0</v>
      </c>
      <c r="DL237" s="106">
        <f>+_xlfn.XLOOKUP($CT237,Budget!$A:$A,Budget!CT:CT)</f>
        <v>0</v>
      </c>
      <c r="DM237" s="106">
        <f>+_xlfn.XLOOKUP($CT237,Budget!$A:$A,Budget!CU:CU)</f>
        <v>0</v>
      </c>
      <c r="DN237" s="106">
        <f>+_xlfn.XLOOKUP($CT237,Budget!$A:$A,Budget!CV:CV)</f>
        <v>0</v>
      </c>
      <c r="DO237" s="106">
        <f>+_xlfn.XLOOKUP($CT237,Budget!$A:$A,Budget!CW:CW)</f>
        <v>0</v>
      </c>
      <c r="DP237" s="106">
        <f>+_xlfn.XLOOKUP($CT237,Budget!$A:$A,Budget!CX:CX)</f>
        <v>0</v>
      </c>
      <c r="DQ237" s="106">
        <f>+_xlfn.XLOOKUP($CT237,Budget!$A:$A,Budget!CY:CY)</f>
        <v>0</v>
      </c>
      <c r="DR237" s="106">
        <f>+_xlfn.XLOOKUP($CT237,Budget!$A:$A,Budget!CZ:CZ)</f>
        <v>0</v>
      </c>
      <c r="DS237" s="106">
        <f>+_xlfn.XLOOKUP($CT237,Budget!$A:$A,Budget!DA:DA)</f>
        <v>0</v>
      </c>
      <c r="DT237" s="106">
        <f>+_xlfn.XLOOKUP($CT237,Budget!$A:$A,Budget!DB:DB)</f>
        <v>0</v>
      </c>
      <c r="DU237" s="106">
        <f t="shared" ref="DU237:DU239" si="3087">+SUM(DI237:DT237)</f>
        <v>0</v>
      </c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106">
        <f t="shared" ref="EI237:EI239" si="3088">+SUM(DW237:EH237)</f>
        <v>0</v>
      </c>
      <c r="EJ237" s="21" t="s">
        <v>196</v>
      </c>
      <c r="EK237" s="22">
        <f>+VLOOKUP($BD237,'Jan-25'!$A:$J,10,0)</f>
        <v>0</v>
      </c>
      <c r="EL237" s="22">
        <f>+VLOOKUP($BD237,'Feb-25'!$A:$J,10,0)</f>
        <v>0</v>
      </c>
      <c r="EM237" s="22">
        <f>+VLOOKUP($BD237,'Mar-25'!$A:$J,10,0)</f>
        <v>0</v>
      </c>
      <c r="EN237" s="22">
        <f>+VLOOKUP($BD237,'Apr-25'!$A:$J,10,0)</f>
        <v>0</v>
      </c>
      <c r="EO237" s="22">
        <f>+VLOOKUP($BD237,'May-25'!$A:$J,10,0)</f>
        <v>0</v>
      </c>
      <c r="EP237" s="22">
        <f>+VLOOKUP($BD237,'June-25'!$A:$J,10,0)</f>
        <v>0</v>
      </c>
      <c r="EQ237" s="22">
        <f>+VLOOKUP($BD237,'July-25'!$A:$J,10,0)</f>
        <v>0</v>
      </c>
      <c r="ER237" s="22">
        <f>+VLOOKUP($BD237,'Aug-25'!$A:$J,10,0)</f>
        <v>0</v>
      </c>
      <c r="ES237" s="22">
        <f>+VLOOKUP($BD237,'Sep-25'!$A:$J,10,0)</f>
        <v>0</v>
      </c>
      <c r="ET237" s="22">
        <f>+VLOOKUP($BD237,'Oct-25'!$A:$J,10,0)</f>
        <v>0</v>
      </c>
      <c r="EU237" s="22">
        <f>+VLOOKUP($BD237,'Nov-25'!$A:$J,10,0)</f>
        <v>0</v>
      </c>
      <c r="EV237" s="22">
        <f>+VLOOKUP($BD237,'Dec-25'!$A:$J,10,0)</f>
        <v>0</v>
      </c>
      <c r="EW237" s="22">
        <f t="shared" ref="EW237:EW239" si="3089">+SUM(EK237:EV237)</f>
        <v>0</v>
      </c>
      <c r="EX237" s="118" t="e">
        <f t="shared" si="2616"/>
        <v>#DIV/0!</v>
      </c>
      <c r="EY237" s="106">
        <f>+_xlfn.XLOOKUP($EJ237,Budget!$A:$A,Budget!DR:DR)</f>
        <v>0</v>
      </c>
      <c r="EZ237" s="106">
        <f>+_xlfn.XLOOKUP($EJ237,Budget!$A:$A,Budget!DS:DS)</f>
        <v>0</v>
      </c>
      <c r="FA237" s="106">
        <f>+_xlfn.XLOOKUP($EJ237,Budget!$A:$A,Budget!DT:DT)</f>
        <v>0</v>
      </c>
      <c r="FB237" s="106">
        <f>+_xlfn.XLOOKUP($EJ237,Budget!$A:$A,Budget!DU:DU)</f>
        <v>0</v>
      </c>
      <c r="FC237" s="106">
        <f>+_xlfn.XLOOKUP($EJ237,Budget!$A:$A,Budget!DV:DV)</f>
        <v>0</v>
      </c>
      <c r="FD237" s="106">
        <f>+_xlfn.XLOOKUP($EJ237,Budget!$A:$A,Budget!DW:DW)</f>
        <v>0</v>
      </c>
      <c r="FE237" s="106">
        <f>+_xlfn.XLOOKUP($EJ237,Budget!$A:$A,Budget!DX:DX)</f>
        <v>0</v>
      </c>
      <c r="FF237" s="106">
        <f>+_xlfn.XLOOKUP($EJ237,Budget!$A:$A,Budget!DY:DY)</f>
        <v>0</v>
      </c>
      <c r="FG237" s="106">
        <f>+_xlfn.XLOOKUP($EJ237,Budget!$A:$A,Budget!DZ:DZ)</f>
        <v>0</v>
      </c>
      <c r="FH237" s="106">
        <f>+_xlfn.XLOOKUP($EJ237,Budget!$A:$A,Budget!EA:EA)</f>
        <v>0</v>
      </c>
      <c r="FI237" s="106">
        <f>+_xlfn.XLOOKUP($EJ237,Budget!$A:$A,Budget!EB:EB)</f>
        <v>0</v>
      </c>
      <c r="FJ237" s="106">
        <f>+_xlfn.XLOOKUP($EJ237,Budget!$A:$A,Budget!EC:EC)</f>
        <v>0</v>
      </c>
      <c r="FK237" s="106">
        <f t="shared" ref="FK237:FK239" si="3090">+SUM(EY237:FJ237)</f>
        <v>0</v>
      </c>
    </row>
    <row r="238" spans="1:167" ht="14.45" hidden="1" customHeight="1" outlineLevel="1">
      <c r="A238" s="106">
        <f t="shared" si="3054"/>
        <v>110797.75840000001</v>
      </c>
      <c r="B238" s="106">
        <f t="shared" si="3054"/>
        <v>99343.666700000016</v>
      </c>
      <c r="C238" s="106">
        <f t="shared" si="3054"/>
        <v>101626.99789999999</v>
      </c>
      <c r="D238" s="106">
        <f t="shared" si="3054"/>
        <v>103872.9002</v>
      </c>
      <c r="E238" s="106">
        <f t="shared" si="3054"/>
        <v>102675.08530000001</v>
      </c>
      <c r="F238" s="106">
        <f t="shared" si="3054"/>
        <v>95001.591300000015</v>
      </c>
      <c r="G238" s="106">
        <f t="shared" si="3054"/>
        <v>103610.8775</v>
      </c>
      <c r="H238" s="106">
        <f t="shared" si="3054"/>
        <v>99156.508600000001</v>
      </c>
      <c r="I238" s="106">
        <f t="shared" si="3054"/>
        <v>94814.433199999999</v>
      </c>
      <c r="J238" s="106">
        <f t="shared" si="3054"/>
        <v>96873.175699999993</v>
      </c>
      <c r="K238" s="106">
        <f t="shared" si="3054"/>
        <v>92605.964899999992</v>
      </c>
      <c r="L238" s="106">
        <f t="shared" si="3054"/>
        <v>94477.549299999999</v>
      </c>
      <c r="M238" s="106">
        <f t="shared" si="3055"/>
        <v>1194856.5090000001</v>
      </c>
      <c r="N238" s="21" t="s">
        <v>197</v>
      </c>
      <c r="O238" s="106">
        <f t="shared" si="3056"/>
        <v>93392.029600000009</v>
      </c>
      <c r="P238" s="106">
        <f t="shared" si="3057"/>
        <v>83360.34150000001</v>
      </c>
      <c r="Q238" s="106">
        <f t="shared" si="3058"/>
        <v>85231.925900000002</v>
      </c>
      <c r="R238" s="106">
        <f t="shared" si="3059"/>
        <v>90288.319199999998</v>
      </c>
      <c r="S238" s="106">
        <f t="shared" si="3060"/>
        <v>86285.211899999995</v>
      </c>
      <c r="T238" s="106">
        <f t="shared" si="3061"/>
        <v>82120.936100000006</v>
      </c>
      <c r="U238" s="106">
        <f t="shared" si="3062"/>
        <v>76826.434000000008</v>
      </c>
      <c r="V238" s="106">
        <f t="shared" si="3063"/>
        <v>73332.811600000015</v>
      </c>
      <c r="W238" s="106">
        <f t="shared" si="3064"/>
        <v>74796.805700000012</v>
      </c>
      <c r="X238" s="106">
        <f t="shared" si="3065"/>
        <v>73732.082100000014</v>
      </c>
      <c r="Y238" s="106">
        <f t="shared" si="3066"/>
        <v>0</v>
      </c>
      <c r="Z238" s="106">
        <f t="shared" si="3067"/>
        <v>0</v>
      </c>
      <c r="AA238" s="106">
        <f t="shared" si="3068"/>
        <v>819366.89760000003</v>
      </c>
      <c r="AB238" s="118">
        <f t="shared" si="2613"/>
        <v>-0.11748309277497231</v>
      </c>
      <c r="AC238" s="106">
        <f t="shared" si="3069"/>
        <v>93990.938251783329</v>
      </c>
      <c r="AD238" s="106">
        <f t="shared" si="3070"/>
        <v>83846.954098849092</v>
      </c>
      <c r="AE238" s="106">
        <f t="shared" si="3071"/>
        <v>91670.174395668262</v>
      </c>
      <c r="AF238" s="106">
        <f t="shared" si="3072"/>
        <v>87590.121742849064</v>
      </c>
      <c r="AG238" s="106">
        <f t="shared" si="3073"/>
        <v>89349.410539553151</v>
      </c>
      <c r="AH238" s="106">
        <f t="shared" si="3074"/>
        <v>85344.221236931247</v>
      </c>
      <c r="AI238" s="106">
        <f t="shared" si="3075"/>
        <v>87028.646683438084</v>
      </c>
      <c r="AJ238" s="106">
        <f t="shared" si="3076"/>
        <v>85868.264755380558</v>
      </c>
      <c r="AK238" s="106">
        <f t="shared" si="3077"/>
        <v>81975.370478054538</v>
      </c>
      <c r="AL238" s="106">
        <f t="shared" si="3078"/>
        <v>83547.500899265506</v>
      </c>
      <c r="AM238" s="106">
        <f t="shared" si="3079"/>
        <v>79729.469972136736</v>
      </c>
      <c r="AN238" s="106">
        <f t="shared" si="3080"/>
        <v>81226.737043150424</v>
      </c>
      <c r="AO238" s="106">
        <f t="shared" si="3081"/>
        <v>1031167.81009706</v>
      </c>
      <c r="AQ238" s="110">
        <v>28677.066879999998</v>
      </c>
      <c r="AR238" s="106">
        <v>25712.478440000003</v>
      </c>
      <c r="AS238" s="106">
        <v>26303.458279999999</v>
      </c>
      <c r="AT238" s="106">
        <v>26884.750640000002</v>
      </c>
      <c r="AU238" s="106">
        <v>26574.727960000004</v>
      </c>
      <c r="AV238" s="106">
        <v>24588.647160000004</v>
      </c>
      <c r="AW238" s="106">
        <v>26816.933000000005</v>
      </c>
      <c r="AX238" s="106">
        <v>25664.037519999998</v>
      </c>
      <c r="AY238" s="106">
        <v>24540.20624</v>
      </c>
      <c r="AZ238" s="106">
        <v>25073.057239999998</v>
      </c>
      <c r="BA238" s="106">
        <v>23968.60268</v>
      </c>
      <c r="BB238" s="106">
        <v>24453.012760000001</v>
      </c>
      <c r="BC238" s="106">
        <f t="shared" si="3082"/>
        <v>309256.97879999998</v>
      </c>
      <c r="BD238" s="21" t="s">
        <v>197</v>
      </c>
      <c r="BE238" s="106">
        <f>+VLOOKUP($BD238,'Jan-25'!$A:$J,5,0)</f>
        <v>24172.05472</v>
      </c>
      <c r="BF238" s="106">
        <f>+VLOOKUP($BD238,'Feb-25'!$A:$J,5,0)</f>
        <v>21575.617800000004</v>
      </c>
      <c r="BG238" s="106">
        <f>+VLOOKUP($BD238,'Mar-25'!$A:$J,5,0)</f>
        <v>22060.027880000001</v>
      </c>
      <c r="BH238" s="106">
        <f>+VLOOKUP($BD238,'Apr-25'!$A:$J,5,0)</f>
        <v>23368.741440000002</v>
      </c>
      <c r="BI238" s="106">
        <f>+VLOOKUP($BD238,'May-25'!$A:$J,5,0)</f>
        <v>22332.643080000002</v>
      </c>
      <c r="BJ238" s="106">
        <f>+VLOOKUP($BD238,'June-25'!$A:$J,5,0)</f>
        <v>21254.830520000003</v>
      </c>
      <c r="BK238" s="106">
        <f>+VLOOKUP($BD238,'July-25'!$A:$J,5,0)</f>
        <v>19884.488800000003</v>
      </c>
      <c r="BL238" s="106">
        <f>+VLOOKUP($BD238,'Aug-25'!$A:$J,5,0)</f>
        <v>18980.257120000002</v>
      </c>
      <c r="BM238" s="106">
        <f>+VLOOKUP($BD238,'Sep-25'!$A:$J,5,0)</f>
        <v>19359.17324</v>
      </c>
      <c r="BN238" s="106">
        <f>+VLOOKUP($BD238,'Oct-25'!$A:$J,5,0)</f>
        <v>19083.597720000002</v>
      </c>
      <c r="BO238" s="106">
        <f>+VLOOKUP($BD238,'Nov-25'!$A:$J,5,0)</f>
        <v>0</v>
      </c>
      <c r="BP238" s="106">
        <f>+VLOOKUP($BD238,'Dec-25'!$A:$J,5,0)</f>
        <v>0</v>
      </c>
      <c r="BQ238" s="106">
        <f t="shared" si="3083"/>
        <v>212071.43231999999</v>
      </c>
      <c r="BR238" s="118">
        <f t="shared" si="2614"/>
        <v>-0.11748309277497236</v>
      </c>
      <c r="BS238" s="106">
        <f>+_xlfn.XLOOKUP($BD238,Budget!$A:$A,Budget!BD:BD)</f>
        <v>24327.066371049805</v>
      </c>
      <c r="BT238" s="106">
        <f>+_xlfn.XLOOKUP($BD238,Budget!$A:$A,Budget!BE:BE)</f>
        <v>21701.564590290352</v>
      </c>
      <c r="BU238" s="106">
        <f>+_xlfn.XLOOKUP($BD238,Budget!$A:$A,Budget!BF:BF)</f>
        <v>23726.398078878843</v>
      </c>
      <c r="BV238" s="106">
        <f>+_xlfn.XLOOKUP($BD238,Budget!$A:$A,Budget!BG:BG)</f>
        <v>22670.384451090344</v>
      </c>
      <c r="BW238" s="106">
        <f>+_xlfn.XLOOKUP($BD238,Budget!$A:$A,Budget!BH:BH)</f>
        <v>23125.729786707874</v>
      </c>
      <c r="BX238" s="106">
        <f>+_xlfn.XLOOKUP($BD238,Budget!$A:$A,Budget!BI:BI)</f>
        <v>22089.092555441028</v>
      </c>
      <c r="BY238" s="106">
        <f>+_xlfn.XLOOKUP($BD238,Budget!$A:$A,Budget!BJ:BJ)</f>
        <v>22525.061494536916</v>
      </c>
      <c r="BZ238" s="106">
        <f>+_xlfn.XLOOKUP($BD238,Budget!$A:$A,Budget!BK:BK)</f>
        <v>22224.727348451437</v>
      </c>
      <c r="CA238" s="106">
        <f>+_xlfn.XLOOKUP($BD238,Budget!$A:$A,Budget!BL:BL)</f>
        <v>21217.154711967058</v>
      </c>
      <c r="CB238" s="106">
        <f>+_xlfn.XLOOKUP($BD238,Budget!$A:$A,Budget!BM:BM)</f>
        <v>21624.059056280483</v>
      </c>
      <c r="CC238" s="106">
        <f>+_xlfn.XLOOKUP($BD238,Budget!$A:$A,Budget!BN:BN)</f>
        <v>20635.862816317745</v>
      </c>
      <c r="CD238" s="106">
        <f>+_xlfn.XLOOKUP($BD238,Budget!$A:$A,Budget!BO:BO)</f>
        <v>21023.390764109521</v>
      </c>
      <c r="CE238" s="106">
        <f t="shared" si="3084"/>
        <v>266890.49202512141</v>
      </c>
      <c r="CF238" s="106"/>
      <c r="CG238" s="110">
        <v>82120.691520000008</v>
      </c>
      <c r="CH238" s="106">
        <v>73631.18826000001</v>
      </c>
      <c r="CI238" s="106">
        <v>75323.539619999996</v>
      </c>
      <c r="CJ238" s="106">
        <v>76988.149560000005</v>
      </c>
      <c r="CK238" s="106">
        <v>76100.357340000002</v>
      </c>
      <c r="CL238" s="106">
        <v>70412.944140000007</v>
      </c>
      <c r="CM238" s="106">
        <v>76793.944499999998</v>
      </c>
      <c r="CN238" s="106">
        <v>73492.471080000003</v>
      </c>
      <c r="CO238" s="106">
        <v>70274.22696</v>
      </c>
      <c r="CP238" s="106">
        <v>71800.118459999998</v>
      </c>
      <c r="CQ238" s="106">
        <v>68637.362219999995</v>
      </c>
      <c r="CR238" s="106">
        <v>70024.536540000001</v>
      </c>
      <c r="CS238" s="106">
        <f t="shared" si="3085"/>
        <v>885599.53020000004</v>
      </c>
      <c r="CT238" s="21" t="s">
        <v>197</v>
      </c>
      <c r="CU238" s="106">
        <f>+VLOOKUP($BD238,'Jan-25'!$A:$J,8,0)</f>
        <v>69219.974880000009</v>
      </c>
      <c r="CV238" s="106">
        <f>+VLOOKUP($BD238,'Feb-25'!$A:$J,8,0)</f>
        <v>61784.723700000002</v>
      </c>
      <c r="CW238" s="106">
        <f>+VLOOKUP($BD238,'Mar-25'!$A:$J,8,0)</f>
        <v>63171.898020000001</v>
      </c>
      <c r="CX238" s="106">
        <f>+VLOOKUP($BD238,'Apr-25'!$A:$J,8,0)</f>
        <v>66919.57776</v>
      </c>
      <c r="CY238" s="106">
        <f>+VLOOKUP($BD238,'May-25'!$A:$J,8,0)</f>
        <v>63952.56882</v>
      </c>
      <c r="CZ238" s="106">
        <f>+VLOOKUP($BD238,'June-25'!$A:$J,8,0)</f>
        <v>60866.105580000003</v>
      </c>
      <c r="DA238" s="106">
        <f>+VLOOKUP($BD238,'July-25'!$A:$J,8,0)</f>
        <v>56941.945200000009</v>
      </c>
      <c r="DB238" s="106">
        <f>+VLOOKUP($BD238,'Aug-25'!$A:$J,8,0)</f>
        <v>54352.554480000006</v>
      </c>
      <c r="DC238" s="106">
        <f>+VLOOKUP($BD238,'Sep-25'!$A:$J,8,0)</f>
        <v>55437.632460000008</v>
      </c>
      <c r="DD238" s="106">
        <f>+VLOOKUP($BD238,'Oct-25'!$A:$J,8,0)</f>
        <v>54648.484380000009</v>
      </c>
      <c r="DE238" s="106">
        <f>+VLOOKUP($BD238,'Nov-25'!$A:$J,8,0)</f>
        <v>0</v>
      </c>
      <c r="DF238" s="106">
        <f>+VLOOKUP($BD238,'Dec-25'!$A:$J,8,0)</f>
        <v>0</v>
      </c>
      <c r="DG238" s="106">
        <f t="shared" si="3086"/>
        <v>607295.46528</v>
      </c>
      <c r="DH238" s="118">
        <f t="shared" si="2615"/>
        <v>-0.11748309277497229</v>
      </c>
      <c r="DI238" s="106">
        <f>+_xlfn.XLOOKUP($CT238,Budget!$A:$A,Budget!CQ:CQ)</f>
        <v>69663.871880733524</v>
      </c>
      <c r="DJ238" s="106">
        <f>+_xlfn.XLOOKUP($CT238,Budget!$A:$A,Budget!CR:CR)</f>
        <v>62145.389508558743</v>
      </c>
      <c r="DK238" s="106">
        <f>+_xlfn.XLOOKUP($CT238,Budget!$A:$A,Budget!CS:CS)</f>
        <v>67943.776316789415</v>
      </c>
      <c r="DL238" s="106">
        <f>+_xlfn.XLOOKUP($CT238,Budget!$A:$A,Budget!CT:CT)</f>
        <v>64919.73729175872</v>
      </c>
      <c r="DM238" s="106">
        <f>+_xlfn.XLOOKUP($CT238,Budget!$A:$A,Budget!CU:CU)</f>
        <v>66223.680752845277</v>
      </c>
      <c r="DN238" s="106">
        <f>+_xlfn.XLOOKUP($CT238,Budget!$A:$A,Budget!CV:CV)</f>
        <v>63255.128681490212</v>
      </c>
      <c r="DO238" s="106">
        <f>+_xlfn.XLOOKUP($CT238,Budget!$A:$A,Budget!CW:CW)</f>
        <v>64503.585188901168</v>
      </c>
      <c r="DP238" s="106">
        <f>+_xlfn.XLOOKUP($CT238,Budget!$A:$A,Budget!CX:CX)</f>
        <v>63643.537406929121</v>
      </c>
      <c r="DQ238" s="106">
        <f>+_xlfn.XLOOKUP($CT238,Budget!$A:$A,Budget!CY:CY)</f>
        <v>60758.21576608748</v>
      </c>
      <c r="DR238" s="106">
        <f>+_xlfn.XLOOKUP($CT238,Budget!$A:$A,Budget!CZ:CZ)</f>
        <v>61923.441842985019</v>
      </c>
      <c r="DS238" s="106">
        <f>+_xlfn.XLOOKUP($CT238,Budget!$A:$A,Budget!DA:DA)</f>
        <v>59093.607155818994</v>
      </c>
      <c r="DT238" s="106">
        <f>+_xlfn.XLOOKUP($CT238,Budget!$A:$A,Budget!DB:DB)</f>
        <v>60203.346279040903</v>
      </c>
      <c r="DU238" s="106">
        <f t="shared" si="3087"/>
        <v>764277.31807193847</v>
      </c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106">
        <f t="shared" si="3088"/>
        <v>0</v>
      </c>
      <c r="EJ238" s="21" t="s">
        <v>197</v>
      </c>
      <c r="EK238" s="22">
        <f>+VLOOKUP($BD238,'Jan-25'!$A:$J,10,0)</f>
        <v>0</v>
      </c>
      <c r="EL238" s="22">
        <f>+VLOOKUP($BD238,'Feb-25'!$A:$J,10,0)</f>
        <v>0</v>
      </c>
      <c r="EM238" s="22">
        <f>+VLOOKUP($BD238,'Mar-25'!$A:$J,10,0)</f>
        <v>0</v>
      </c>
      <c r="EN238" s="22">
        <f>+VLOOKUP($BD238,'Apr-25'!$A:$J,10,0)</f>
        <v>0</v>
      </c>
      <c r="EO238" s="22">
        <f>+VLOOKUP($BD238,'May-25'!$A:$J,10,0)</f>
        <v>0</v>
      </c>
      <c r="EP238" s="22">
        <f>+VLOOKUP($BD238,'June-25'!$A:$J,10,0)</f>
        <v>0</v>
      </c>
      <c r="EQ238" s="22">
        <f>+VLOOKUP($BD238,'July-25'!$A:$J,10,0)</f>
        <v>0</v>
      </c>
      <c r="ER238" s="22">
        <f>+VLOOKUP($BD238,'Aug-25'!$A:$J,10,0)</f>
        <v>0</v>
      </c>
      <c r="ES238" s="22">
        <f>+VLOOKUP($BD238,'Sep-25'!$A:$J,10,0)</f>
        <v>0</v>
      </c>
      <c r="ET238" s="22">
        <f>+VLOOKUP($BD238,'Oct-25'!$A:$J,10,0)</f>
        <v>0</v>
      </c>
      <c r="EU238" s="22">
        <f>+VLOOKUP($BD238,'Nov-25'!$A:$J,10,0)</f>
        <v>0</v>
      </c>
      <c r="EV238" s="22">
        <f>+VLOOKUP($BD238,'Dec-25'!$A:$J,10,0)</f>
        <v>0</v>
      </c>
      <c r="EW238" s="22">
        <f t="shared" si="3089"/>
        <v>0</v>
      </c>
      <c r="EX238" s="118" t="e">
        <f t="shared" si="2616"/>
        <v>#DIV/0!</v>
      </c>
      <c r="EY238" s="106">
        <f>+_xlfn.XLOOKUP($EJ238,Budget!$A:$A,Budget!DR:DR)</f>
        <v>0</v>
      </c>
      <c r="EZ238" s="106">
        <f>+_xlfn.XLOOKUP($EJ238,Budget!$A:$A,Budget!DS:DS)</f>
        <v>0</v>
      </c>
      <c r="FA238" s="106">
        <f>+_xlfn.XLOOKUP($EJ238,Budget!$A:$A,Budget!DT:DT)</f>
        <v>0</v>
      </c>
      <c r="FB238" s="106">
        <f>+_xlfn.XLOOKUP($EJ238,Budget!$A:$A,Budget!DU:DU)</f>
        <v>0</v>
      </c>
      <c r="FC238" s="106">
        <f>+_xlfn.XLOOKUP($EJ238,Budget!$A:$A,Budget!DV:DV)</f>
        <v>0</v>
      </c>
      <c r="FD238" s="106">
        <f>+_xlfn.XLOOKUP($EJ238,Budget!$A:$A,Budget!DW:DW)</f>
        <v>0</v>
      </c>
      <c r="FE238" s="106">
        <f>+_xlfn.XLOOKUP($EJ238,Budget!$A:$A,Budget!DX:DX)</f>
        <v>0</v>
      </c>
      <c r="FF238" s="106">
        <f>+_xlfn.XLOOKUP($EJ238,Budget!$A:$A,Budget!DY:DY)</f>
        <v>0</v>
      </c>
      <c r="FG238" s="106">
        <f>+_xlfn.XLOOKUP($EJ238,Budget!$A:$A,Budget!DZ:DZ)</f>
        <v>0</v>
      </c>
      <c r="FH238" s="106">
        <f>+_xlfn.XLOOKUP($EJ238,Budget!$A:$A,Budget!EA:EA)</f>
        <v>0</v>
      </c>
      <c r="FI238" s="106">
        <f>+_xlfn.XLOOKUP($EJ238,Budget!$A:$A,Budget!EB:EB)</f>
        <v>0</v>
      </c>
      <c r="FJ238" s="106">
        <f>+_xlfn.XLOOKUP($EJ238,Budget!$A:$A,Budget!EC:EC)</f>
        <v>0</v>
      </c>
      <c r="FK238" s="106">
        <f t="shared" si="3090"/>
        <v>0</v>
      </c>
    </row>
    <row r="239" spans="1:167" ht="14.45" hidden="1" customHeight="1" outlineLevel="1">
      <c r="A239" s="106">
        <f t="shared" si="3054"/>
        <v>0</v>
      </c>
      <c r="B239" s="106">
        <f t="shared" si="3054"/>
        <v>0</v>
      </c>
      <c r="C239" s="106">
        <f t="shared" si="3054"/>
        <v>0</v>
      </c>
      <c r="D239" s="106">
        <f t="shared" si="3054"/>
        <v>0</v>
      </c>
      <c r="E239" s="106">
        <f t="shared" si="3054"/>
        <v>0</v>
      </c>
      <c r="F239" s="106">
        <f t="shared" si="3054"/>
        <v>0</v>
      </c>
      <c r="G239" s="106">
        <f t="shared" si="3054"/>
        <v>0</v>
      </c>
      <c r="H239" s="106">
        <f t="shared" si="3054"/>
        <v>0</v>
      </c>
      <c r="I239" s="106">
        <f t="shared" si="3054"/>
        <v>0</v>
      </c>
      <c r="J239" s="106">
        <f t="shared" si="3054"/>
        <v>0</v>
      </c>
      <c r="K239" s="106">
        <f t="shared" si="3054"/>
        <v>0</v>
      </c>
      <c r="L239" s="106">
        <f t="shared" si="3054"/>
        <v>0</v>
      </c>
      <c r="M239" s="106">
        <f t="shared" si="3055"/>
        <v>0</v>
      </c>
      <c r="N239" s="21" t="s">
        <v>198</v>
      </c>
      <c r="O239" s="106">
        <f t="shared" si="3056"/>
        <v>0</v>
      </c>
      <c r="P239" s="106">
        <f t="shared" si="3057"/>
        <v>0</v>
      </c>
      <c r="Q239" s="106">
        <f t="shared" si="3058"/>
        <v>12607.380000000001</v>
      </c>
      <c r="R239" s="106">
        <f t="shared" si="3059"/>
        <v>0</v>
      </c>
      <c r="S239" s="106">
        <f t="shared" si="3060"/>
        <v>0</v>
      </c>
      <c r="T239" s="106">
        <f t="shared" si="3061"/>
        <v>10194.66</v>
      </c>
      <c r="U239" s="106">
        <f t="shared" si="3062"/>
        <v>0</v>
      </c>
      <c r="V239" s="106">
        <f t="shared" si="3063"/>
        <v>0</v>
      </c>
      <c r="W239" s="106">
        <f t="shared" si="3064"/>
        <v>0</v>
      </c>
      <c r="X239" s="106">
        <f t="shared" si="3065"/>
        <v>0</v>
      </c>
      <c r="Y239" s="106">
        <f t="shared" si="3066"/>
        <v>0</v>
      </c>
      <c r="Z239" s="106">
        <f t="shared" si="3067"/>
        <v>0</v>
      </c>
      <c r="AA239" s="106">
        <f t="shared" si="3068"/>
        <v>22802.04</v>
      </c>
      <c r="AB239" s="118">
        <f t="shared" si="2613"/>
        <v>0</v>
      </c>
      <c r="AC239" s="106">
        <f t="shared" si="3069"/>
        <v>0</v>
      </c>
      <c r="AD239" s="106">
        <f t="shared" si="3070"/>
        <v>0</v>
      </c>
      <c r="AE239" s="106">
        <f t="shared" si="3071"/>
        <v>0</v>
      </c>
      <c r="AF239" s="106">
        <f t="shared" si="3072"/>
        <v>0</v>
      </c>
      <c r="AG239" s="106">
        <f t="shared" si="3073"/>
        <v>0</v>
      </c>
      <c r="AH239" s="106">
        <f t="shared" si="3074"/>
        <v>0</v>
      </c>
      <c r="AI239" s="106">
        <f t="shared" si="3075"/>
        <v>0</v>
      </c>
      <c r="AJ239" s="106">
        <f t="shared" si="3076"/>
        <v>0</v>
      </c>
      <c r="AK239" s="106">
        <f t="shared" si="3077"/>
        <v>0</v>
      </c>
      <c r="AL239" s="106">
        <f t="shared" si="3078"/>
        <v>0</v>
      </c>
      <c r="AM239" s="106">
        <f t="shared" si="3079"/>
        <v>0</v>
      </c>
      <c r="AN239" s="106">
        <f t="shared" si="3080"/>
        <v>0</v>
      </c>
      <c r="AO239" s="106">
        <f t="shared" si="3081"/>
        <v>0</v>
      </c>
      <c r="AQ239" s="110">
        <v>0</v>
      </c>
      <c r="AR239" s="106">
        <v>0</v>
      </c>
      <c r="AS239" s="106">
        <v>0</v>
      </c>
      <c r="AT239" s="106">
        <v>0</v>
      </c>
      <c r="AU239" s="106">
        <v>0</v>
      </c>
      <c r="AV239" s="106">
        <v>0</v>
      </c>
      <c r="AW239" s="106">
        <v>0</v>
      </c>
      <c r="AX239" s="106">
        <v>0</v>
      </c>
      <c r="AY239" s="106">
        <v>0</v>
      </c>
      <c r="AZ239" s="106">
        <v>0</v>
      </c>
      <c r="BA239" s="106">
        <v>0</v>
      </c>
      <c r="BB239" s="106">
        <v>0</v>
      </c>
      <c r="BC239" s="106">
        <f t="shared" si="3082"/>
        <v>0</v>
      </c>
      <c r="BD239" s="21" t="s">
        <v>198</v>
      </c>
      <c r="BE239" s="106">
        <f>+VLOOKUP($BD239,'Jan-25'!$A:$J,5,0)</f>
        <v>0</v>
      </c>
      <c r="BF239" s="106">
        <f>+VLOOKUP($BD239,'Feb-25'!$A:$J,5,0)</f>
        <v>0</v>
      </c>
      <c r="BG239" s="106">
        <f>+VLOOKUP($BD239,'Mar-25'!$A:$J,5,0)</f>
        <v>8404.92</v>
      </c>
      <c r="BH239" s="106">
        <f>+VLOOKUP($BD239,'Apr-25'!$A:$J,5,0)</f>
        <v>0</v>
      </c>
      <c r="BI239" s="106">
        <f>+VLOOKUP($BD239,'May-25'!$A:$J,5,0)</f>
        <v>0</v>
      </c>
      <c r="BJ239" s="106">
        <f>+VLOOKUP($BD239,'June-25'!$A:$J,5,0)</f>
        <v>6796.44</v>
      </c>
      <c r="BK239" s="106">
        <f>+VLOOKUP($BD239,'July-25'!$A:$J,5,0)</f>
        <v>0</v>
      </c>
      <c r="BL239" s="106">
        <f>+VLOOKUP($BD239,'Aug-25'!$A:$J,5,0)</f>
        <v>0</v>
      </c>
      <c r="BM239" s="106">
        <f>+VLOOKUP($BD239,'Sep-25'!$A:$J,5,0)</f>
        <v>0</v>
      </c>
      <c r="BN239" s="106">
        <f>+VLOOKUP($BD239,'Oct-25'!$A:$J,5,0)</f>
        <v>0</v>
      </c>
      <c r="BO239" s="106">
        <f>+VLOOKUP($BD239,'Nov-25'!$A:$J,5,0)</f>
        <v>0</v>
      </c>
      <c r="BP239" s="106">
        <f>+VLOOKUP($BD239,'Dec-25'!$A:$J,5,0)</f>
        <v>0</v>
      </c>
      <c r="BQ239" s="106">
        <f t="shared" si="3083"/>
        <v>15201.36</v>
      </c>
      <c r="BR239" s="118">
        <f t="shared" si="2614"/>
        <v>0</v>
      </c>
      <c r="BS239" s="106">
        <f>+_xlfn.XLOOKUP($BD239,Budget!$A:$A,Budget!BD:BD)</f>
        <v>0</v>
      </c>
      <c r="BT239" s="106">
        <f>+_xlfn.XLOOKUP($BD239,Budget!$A:$A,Budget!BE:BE)</f>
        <v>0</v>
      </c>
      <c r="BU239" s="106">
        <f>+_xlfn.XLOOKUP($BD239,Budget!$A:$A,Budget!BF:BF)</f>
        <v>0</v>
      </c>
      <c r="BV239" s="106">
        <f>+_xlfn.XLOOKUP($BD239,Budget!$A:$A,Budget!BG:BG)</f>
        <v>0</v>
      </c>
      <c r="BW239" s="106">
        <f>+_xlfn.XLOOKUP($BD239,Budget!$A:$A,Budget!BH:BH)</f>
        <v>0</v>
      </c>
      <c r="BX239" s="106">
        <f>+_xlfn.XLOOKUP($BD239,Budget!$A:$A,Budget!BI:BI)</f>
        <v>0</v>
      </c>
      <c r="BY239" s="106">
        <f>+_xlfn.XLOOKUP($BD239,Budget!$A:$A,Budget!BJ:BJ)</f>
        <v>0</v>
      </c>
      <c r="BZ239" s="106">
        <f>+_xlfn.XLOOKUP($BD239,Budget!$A:$A,Budget!BK:BK)</f>
        <v>0</v>
      </c>
      <c r="CA239" s="106">
        <f>+_xlfn.XLOOKUP($BD239,Budget!$A:$A,Budget!BL:BL)</f>
        <v>0</v>
      </c>
      <c r="CB239" s="106">
        <f>+_xlfn.XLOOKUP($BD239,Budget!$A:$A,Budget!BM:BM)</f>
        <v>0</v>
      </c>
      <c r="CC239" s="106">
        <f>+_xlfn.XLOOKUP($BD239,Budget!$A:$A,Budget!BN:BN)</f>
        <v>0</v>
      </c>
      <c r="CD239" s="106">
        <f>+_xlfn.XLOOKUP($BD239,Budget!$A:$A,Budget!BO:BO)</f>
        <v>0</v>
      </c>
      <c r="CE239" s="106">
        <f t="shared" si="3084"/>
        <v>0</v>
      </c>
      <c r="CF239" s="106"/>
      <c r="CG239" s="110">
        <v>0</v>
      </c>
      <c r="CH239" s="106">
        <v>0</v>
      </c>
      <c r="CI239" s="106">
        <v>0</v>
      </c>
      <c r="CJ239" s="106">
        <v>0</v>
      </c>
      <c r="CK239" s="106">
        <v>0</v>
      </c>
      <c r="CL239" s="106">
        <v>0</v>
      </c>
      <c r="CM239" s="106">
        <v>0</v>
      </c>
      <c r="CN239" s="106">
        <v>0</v>
      </c>
      <c r="CO239" s="106">
        <v>0</v>
      </c>
      <c r="CP239" s="106">
        <v>0</v>
      </c>
      <c r="CQ239" s="106">
        <v>0</v>
      </c>
      <c r="CR239" s="106">
        <v>0</v>
      </c>
      <c r="CS239" s="106">
        <f t="shared" si="3085"/>
        <v>0</v>
      </c>
      <c r="CT239" s="21" t="s">
        <v>198</v>
      </c>
      <c r="CU239" s="106">
        <f>+VLOOKUP($BD239,'Jan-25'!$A:$J,8,0)</f>
        <v>0</v>
      </c>
      <c r="CV239" s="106">
        <f>+VLOOKUP($BD239,'Feb-25'!$A:$J,8,0)</f>
        <v>0</v>
      </c>
      <c r="CW239" s="106">
        <f>+VLOOKUP($BD239,'Mar-25'!$A:$J,8,0)</f>
        <v>4202.46</v>
      </c>
      <c r="CX239" s="106">
        <f>+VLOOKUP($BD239,'Apr-25'!$A:$J,8,0)</f>
        <v>0</v>
      </c>
      <c r="CY239" s="106">
        <f>+VLOOKUP($BD239,'May-25'!$A:$J,8,0)</f>
        <v>0</v>
      </c>
      <c r="CZ239" s="106">
        <f>+VLOOKUP($BD239,'June-25'!$A:$J,8,0)</f>
        <v>3398.22</v>
      </c>
      <c r="DA239" s="106">
        <f>+VLOOKUP($BD239,'July-25'!$A:$J,8,0)</f>
        <v>0</v>
      </c>
      <c r="DB239" s="106">
        <f>+VLOOKUP($BD239,'Aug-25'!$A:$J,8,0)</f>
        <v>0</v>
      </c>
      <c r="DC239" s="106">
        <f>+VLOOKUP($BD239,'Sep-25'!$A:$J,8,0)</f>
        <v>0</v>
      </c>
      <c r="DD239" s="106">
        <f>+VLOOKUP($BD239,'Oct-25'!$A:$J,8,0)</f>
        <v>0</v>
      </c>
      <c r="DE239" s="106">
        <f>+VLOOKUP($BD239,'Nov-25'!$A:$J,8,0)</f>
        <v>0</v>
      </c>
      <c r="DF239" s="106">
        <f>+VLOOKUP($BD239,'Dec-25'!$A:$J,8,0)</f>
        <v>0</v>
      </c>
      <c r="DG239" s="106">
        <f t="shared" si="3086"/>
        <v>7600.68</v>
      </c>
      <c r="DH239" s="118">
        <f t="shared" si="2615"/>
        <v>0</v>
      </c>
      <c r="DI239" s="106">
        <f>+_xlfn.XLOOKUP($CT239,Budget!$A:$A,Budget!CQ:CQ)</f>
        <v>0</v>
      </c>
      <c r="DJ239" s="106">
        <f>+_xlfn.XLOOKUP($CT239,Budget!$A:$A,Budget!CR:CR)</f>
        <v>0</v>
      </c>
      <c r="DK239" s="106">
        <f>+_xlfn.XLOOKUP($CT239,Budget!$A:$A,Budget!CS:CS)</f>
        <v>0</v>
      </c>
      <c r="DL239" s="106">
        <f>+_xlfn.XLOOKUP($CT239,Budget!$A:$A,Budget!CT:CT)</f>
        <v>0</v>
      </c>
      <c r="DM239" s="106">
        <f>+_xlfn.XLOOKUP($CT239,Budget!$A:$A,Budget!CU:CU)</f>
        <v>0</v>
      </c>
      <c r="DN239" s="106">
        <f>+_xlfn.XLOOKUP($CT239,Budget!$A:$A,Budget!CV:CV)</f>
        <v>0</v>
      </c>
      <c r="DO239" s="106">
        <f>+_xlfn.XLOOKUP($CT239,Budget!$A:$A,Budget!CW:CW)</f>
        <v>0</v>
      </c>
      <c r="DP239" s="106">
        <f>+_xlfn.XLOOKUP($CT239,Budget!$A:$A,Budget!CX:CX)</f>
        <v>0</v>
      </c>
      <c r="DQ239" s="106">
        <f>+_xlfn.XLOOKUP($CT239,Budget!$A:$A,Budget!CY:CY)</f>
        <v>0</v>
      </c>
      <c r="DR239" s="106">
        <f>+_xlfn.XLOOKUP($CT239,Budget!$A:$A,Budget!CZ:CZ)</f>
        <v>0</v>
      </c>
      <c r="DS239" s="106">
        <f>+_xlfn.XLOOKUP($CT239,Budget!$A:$A,Budget!DA:DA)</f>
        <v>0</v>
      </c>
      <c r="DT239" s="106">
        <f>+_xlfn.XLOOKUP($CT239,Budget!$A:$A,Budget!DB:DB)</f>
        <v>0</v>
      </c>
      <c r="DU239" s="106">
        <f t="shared" si="3087"/>
        <v>0</v>
      </c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106">
        <f t="shared" si="3088"/>
        <v>0</v>
      </c>
      <c r="EJ239" s="21" t="s">
        <v>198</v>
      </c>
      <c r="EK239" s="22">
        <f>+VLOOKUP($BD239,'Jan-25'!$A:$J,10,0)</f>
        <v>0</v>
      </c>
      <c r="EL239" s="22">
        <f>+VLOOKUP($BD239,'Feb-25'!$A:$J,10,0)</f>
        <v>0</v>
      </c>
      <c r="EM239" s="22">
        <f>+VLOOKUP($BD239,'Mar-25'!$A:$J,10,0)</f>
        <v>0</v>
      </c>
      <c r="EN239" s="22">
        <f>+VLOOKUP($BD239,'Apr-25'!$A:$J,10,0)</f>
        <v>0</v>
      </c>
      <c r="EO239" s="22">
        <f>+VLOOKUP($BD239,'May-25'!$A:$J,10,0)</f>
        <v>0</v>
      </c>
      <c r="EP239" s="22">
        <f>+VLOOKUP($BD239,'June-25'!$A:$J,10,0)</f>
        <v>0</v>
      </c>
      <c r="EQ239" s="22">
        <f>+VLOOKUP($BD239,'July-25'!$A:$J,10,0)</f>
        <v>0</v>
      </c>
      <c r="ER239" s="22">
        <f>+VLOOKUP($BD239,'Aug-25'!$A:$J,10,0)</f>
        <v>0</v>
      </c>
      <c r="ES239" s="22">
        <f>+VLOOKUP($BD239,'Sep-25'!$A:$J,10,0)</f>
        <v>0</v>
      </c>
      <c r="ET239" s="22">
        <f>+VLOOKUP($BD239,'Oct-25'!$A:$J,10,0)</f>
        <v>0</v>
      </c>
      <c r="EU239" s="22">
        <f>+VLOOKUP($BD239,'Nov-25'!$A:$J,10,0)</f>
        <v>0</v>
      </c>
      <c r="EV239" s="22">
        <f>+VLOOKUP($BD239,'Dec-25'!$A:$J,10,0)</f>
        <v>0</v>
      </c>
      <c r="EW239" s="22">
        <f t="shared" si="3089"/>
        <v>0</v>
      </c>
      <c r="EX239" s="118" t="e">
        <f t="shared" si="2616"/>
        <v>#DIV/0!</v>
      </c>
      <c r="EY239" s="106">
        <f>+_xlfn.XLOOKUP($EJ239,Budget!$A:$A,Budget!DR:DR)</f>
        <v>0</v>
      </c>
      <c r="EZ239" s="106">
        <f>+_xlfn.XLOOKUP($EJ239,Budget!$A:$A,Budget!DS:DS)</f>
        <v>0</v>
      </c>
      <c r="FA239" s="106">
        <f>+_xlfn.XLOOKUP($EJ239,Budget!$A:$A,Budget!DT:DT)</f>
        <v>0</v>
      </c>
      <c r="FB239" s="106">
        <f>+_xlfn.XLOOKUP($EJ239,Budget!$A:$A,Budget!DU:DU)</f>
        <v>0</v>
      </c>
      <c r="FC239" s="106">
        <f>+_xlfn.XLOOKUP($EJ239,Budget!$A:$A,Budget!DV:DV)</f>
        <v>0</v>
      </c>
      <c r="FD239" s="106">
        <f>+_xlfn.XLOOKUP($EJ239,Budget!$A:$A,Budget!DW:DW)</f>
        <v>0</v>
      </c>
      <c r="FE239" s="106">
        <f>+_xlfn.XLOOKUP($EJ239,Budget!$A:$A,Budget!DX:DX)</f>
        <v>0</v>
      </c>
      <c r="FF239" s="106">
        <f>+_xlfn.XLOOKUP($EJ239,Budget!$A:$A,Budget!DY:DY)</f>
        <v>0</v>
      </c>
      <c r="FG239" s="106">
        <f>+_xlfn.XLOOKUP($EJ239,Budget!$A:$A,Budget!DZ:DZ)</f>
        <v>0</v>
      </c>
      <c r="FH239" s="106">
        <f>+_xlfn.XLOOKUP($EJ239,Budget!$A:$A,Budget!EA:EA)</f>
        <v>0</v>
      </c>
      <c r="FI239" s="106">
        <f>+_xlfn.XLOOKUP($EJ239,Budget!$A:$A,Budget!EB:EB)</f>
        <v>0</v>
      </c>
      <c r="FJ239" s="106">
        <f>+_xlfn.XLOOKUP($EJ239,Budget!$A:$A,Budget!EC:EC)</f>
        <v>0</v>
      </c>
      <c r="FK239" s="106">
        <f t="shared" si="3090"/>
        <v>0</v>
      </c>
    </row>
    <row r="240" spans="1:167" ht="14.45" hidden="1" customHeight="1" outlineLevel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18">
        <f t="shared" si="2613"/>
        <v>0</v>
      </c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Q240" s="110">
        <v>0</v>
      </c>
      <c r="AR240" s="106">
        <v>0</v>
      </c>
      <c r="AS240" s="106">
        <v>0</v>
      </c>
      <c r="AT240" s="106">
        <v>0</v>
      </c>
      <c r="AU240" s="106">
        <v>0</v>
      </c>
      <c r="AV240" s="106">
        <v>0</v>
      </c>
      <c r="AW240" s="106">
        <v>0</v>
      </c>
      <c r="AX240" s="106">
        <v>0</v>
      </c>
      <c r="AY240" s="106">
        <v>0</v>
      </c>
      <c r="AZ240" s="106">
        <v>0</v>
      </c>
      <c r="BA240" s="106">
        <v>0</v>
      </c>
      <c r="BB240" s="106">
        <v>0</v>
      </c>
      <c r="BC240" s="106"/>
      <c r="BD240" s="16"/>
      <c r="BE240" s="106"/>
      <c r="BF240" s="106"/>
      <c r="BG240" s="106"/>
      <c r="BH240" s="106"/>
      <c r="BI240" s="106"/>
      <c r="BJ240" s="106"/>
      <c r="BK240" s="106"/>
      <c r="BL240" s="106"/>
      <c r="BM240" s="106"/>
      <c r="BN240" s="106"/>
      <c r="BO240" s="106"/>
      <c r="BP240" s="106"/>
      <c r="BQ240" s="106"/>
      <c r="BR240" s="118">
        <f t="shared" si="2614"/>
        <v>0</v>
      </c>
      <c r="BS240" s="106"/>
      <c r="BT240" s="106"/>
      <c r="BU240" s="106"/>
      <c r="BV240" s="106"/>
      <c r="BW240" s="106"/>
      <c r="BX240" s="106"/>
      <c r="BY240" s="106"/>
      <c r="BZ240" s="106"/>
      <c r="CA240" s="106"/>
      <c r="CB240" s="106"/>
      <c r="CC240" s="106"/>
      <c r="CD240" s="106"/>
      <c r="CE240" s="106"/>
      <c r="CF240" s="106"/>
      <c r="CG240" s="110">
        <v>0</v>
      </c>
      <c r="CH240" s="106">
        <v>0</v>
      </c>
      <c r="CI240" s="106">
        <v>0</v>
      </c>
      <c r="CJ240" s="106">
        <v>0</v>
      </c>
      <c r="CK240" s="106">
        <v>0</v>
      </c>
      <c r="CL240" s="106">
        <v>0</v>
      </c>
      <c r="CM240" s="106">
        <v>0</v>
      </c>
      <c r="CN240" s="106">
        <v>0</v>
      </c>
      <c r="CO240" s="106">
        <v>0</v>
      </c>
      <c r="CP240" s="106">
        <v>0</v>
      </c>
      <c r="CQ240" s="106">
        <v>0</v>
      </c>
      <c r="CR240" s="106">
        <v>0</v>
      </c>
      <c r="CS240" s="106"/>
      <c r="CT240" s="16">
        <f t="shared" si="2231"/>
        <v>0</v>
      </c>
      <c r="CU240" s="106"/>
      <c r="CV240" s="106"/>
      <c r="CW240" s="106"/>
      <c r="CX240" s="106"/>
      <c r="CY240" s="106"/>
      <c r="CZ240" s="106"/>
      <c r="DA240" s="106"/>
      <c r="DB240" s="106"/>
      <c r="DC240" s="106"/>
      <c r="DD240" s="106"/>
      <c r="DE240" s="106"/>
      <c r="DF240" s="106"/>
      <c r="DG240" s="106"/>
      <c r="DH240" s="118">
        <f t="shared" si="2615"/>
        <v>0</v>
      </c>
      <c r="DI240" s="106"/>
      <c r="DJ240" s="106"/>
      <c r="DK240" s="106"/>
      <c r="DL240" s="106"/>
      <c r="DM240" s="106"/>
      <c r="DN240" s="106"/>
      <c r="DO240" s="106"/>
      <c r="DP240" s="106"/>
      <c r="DQ240" s="106"/>
      <c r="DR240" s="106"/>
      <c r="DS240" s="106"/>
      <c r="DT240" s="106"/>
      <c r="DU240" s="106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106"/>
      <c r="EJ240" s="16">
        <f t="shared" ref="EJ240:EJ250" si="3091">CT240</f>
        <v>0</v>
      </c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118" t="e">
        <f t="shared" si="2616"/>
        <v>#DIV/0!</v>
      </c>
      <c r="EY240" s="106"/>
      <c r="EZ240" s="106"/>
      <c r="FA240" s="106"/>
      <c r="FB240" s="106"/>
      <c r="FC240" s="106"/>
      <c r="FD240" s="106"/>
      <c r="FE240" s="106"/>
      <c r="FF240" s="106"/>
      <c r="FG240" s="106"/>
      <c r="FH240" s="106"/>
      <c r="FI240" s="106"/>
      <c r="FJ240" s="106"/>
      <c r="FK240" s="106"/>
    </row>
    <row r="241" spans="1:167" ht="14.45" customHeight="1" collapsed="1">
      <c r="A241" s="58">
        <f t="shared" ref="A241:M241" si="3092">+SUM(A242:A247)</f>
        <v>649288.59315476194</v>
      </c>
      <c r="B241" s="58">
        <f t="shared" si="3092"/>
        <v>649288.59315476194</v>
      </c>
      <c r="C241" s="58">
        <f t="shared" si="3092"/>
        <v>649288.59315476194</v>
      </c>
      <c r="D241" s="58">
        <f t="shared" si="3092"/>
        <v>649288.59315476194</v>
      </c>
      <c r="E241" s="58">
        <f t="shared" si="3092"/>
        <v>649288.59315476194</v>
      </c>
      <c r="F241" s="58">
        <f t="shared" si="3092"/>
        <v>649288.59315476194</v>
      </c>
      <c r="G241" s="58">
        <f t="shared" si="3092"/>
        <v>649288.59315476194</v>
      </c>
      <c r="H241" s="58">
        <f t="shared" si="3092"/>
        <v>649288.59315476194</v>
      </c>
      <c r="I241" s="58">
        <f t="shared" si="3092"/>
        <v>649288.59315476194</v>
      </c>
      <c r="J241" s="58">
        <f t="shared" si="3092"/>
        <v>649288.59315476194</v>
      </c>
      <c r="K241" s="58">
        <f t="shared" si="3092"/>
        <v>649288.59315476194</v>
      </c>
      <c r="L241" s="58">
        <f t="shared" si="3092"/>
        <v>649288.59315476194</v>
      </c>
      <c r="M241" s="58">
        <f t="shared" si="3092"/>
        <v>7791463.1178571433</v>
      </c>
      <c r="N241" s="17" t="s">
        <v>199</v>
      </c>
      <c r="O241" s="58">
        <f t="shared" ref="O241" si="3093">+SUM(O242:O247)</f>
        <v>1010774.1432842263</v>
      </c>
      <c r="P241" s="58">
        <f t="shared" ref="P241" si="3094">+SUM(P242:P247)</f>
        <v>1010774.1432842263</v>
      </c>
      <c r="Q241" s="58">
        <f t="shared" ref="Q241" si="3095">+SUM(Q242:Q247)</f>
        <v>1010774.1432842263</v>
      </c>
      <c r="R241" s="58">
        <f t="shared" ref="R241" si="3096">+SUM(R242:R247)</f>
        <v>1010774.1432842263</v>
      </c>
      <c r="S241" s="58">
        <f t="shared" ref="S241" si="3097">+SUM(S242:S247)</f>
        <v>1010774.1432842263</v>
      </c>
      <c r="T241" s="58">
        <f t="shared" ref="T241" si="3098">+SUM(T242:T247)</f>
        <v>1010774.1432842263</v>
      </c>
      <c r="U241" s="58">
        <f t="shared" ref="U241" si="3099">+SUM(U242:U247)</f>
        <v>1010774.1432842263</v>
      </c>
      <c r="V241" s="58">
        <f t="shared" ref="V241" si="3100">+SUM(V242:V247)</f>
        <v>1010774.1432842263</v>
      </c>
      <c r="W241" s="58">
        <f t="shared" ref="W241" si="3101">+SUM(W242:W247)</f>
        <v>1010774.1432842263</v>
      </c>
      <c r="X241" s="58">
        <f t="shared" ref="X241" si="3102">+SUM(X242:X247)</f>
        <v>1010774.1432842263</v>
      </c>
      <c r="Y241" s="58">
        <f t="shared" ref="Y241" si="3103">+SUM(Y242:Y247)</f>
        <v>0</v>
      </c>
      <c r="Z241" s="58">
        <f t="shared" ref="Z241" si="3104">+SUM(Z242:Z247)</f>
        <v>0</v>
      </c>
      <c r="AA241" s="58">
        <f t="shared" ref="AA241" si="3105">+SUM(AA242:AA247)</f>
        <v>10107741.43284226</v>
      </c>
      <c r="AB241" s="118">
        <f t="shared" si="2613"/>
        <v>0</v>
      </c>
      <c r="AC241" s="58">
        <f t="shared" ref="AC241" si="3106">+SUM(AC242:AC247)</f>
        <v>1010774.1432842263</v>
      </c>
      <c r="AD241" s="58">
        <f t="shared" ref="AD241" si="3107">+SUM(AD242:AD247)</f>
        <v>1010774.1432842263</v>
      </c>
      <c r="AE241" s="58">
        <f t="shared" ref="AE241" si="3108">+SUM(AE242:AE247)</f>
        <v>1010774.1432842263</v>
      </c>
      <c r="AF241" s="58">
        <f t="shared" ref="AF241" si="3109">+SUM(AF242:AF247)</f>
        <v>1010774.1432842263</v>
      </c>
      <c r="AG241" s="58">
        <f t="shared" ref="AG241" si="3110">+SUM(AG242:AG247)</f>
        <v>1010774.1432842263</v>
      </c>
      <c r="AH241" s="58">
        <f t="shared" ref="AH241" si="3111">+SUM(AH242:AH247)</f>
        <v>1010774.1432842263</v>
      </c>
      <c r="AI241" s="58">
        <f t="shared" ref="AI241" si="3112">+SUM(AI242:AI247)</f>
        <v>1010774.1432842263</v>
      </c>
      <c r="AJ241" s="58">
        <f t="shared" ref="AJ241" si="3113">+SUM(AJ242:AJ247)</f>
        <v>1010774.1432842263</v>
      </c>
      <c r="AK241" s="58">
        <f t="shared" ref="AK241" si="3114">+SUM(AK242:AK247)</f>
        <v>1010774.1432842263</v>
      </c>
      <c r="AL241" s="58">
        <f t="shared" ref="AL241" si="3115">+SUM(AL242:AL247)</f>
        <v>1010774.1432842263</v>
      </c>
      <c r="AM241" s="58">
        <f t="shared" ref="AM241" si="3116">+SUM(AM242:AM247)</f>
        <v>1010774.1432842263</v>
      </c>
      <c r="AN241" s="58">
        <f t="shared" ref="AN241" si="3117">+SUM(AN242:AN247)</f>
        <v>1010774.1432842263</v>
      </c>
      <c r="AO241" s="58">
        <f t="shared" ref="AO241" si="3118">+SUM(AO242:AO247)</f>
        <v>12129289.719410712</v>
      </c>
      <c r="AQ241" s="58">
        <f t="shared" ref="AQ241:CE241" si="3119">+SUM(AQ242:AQ247)</f>
        <v>454502.01520833332</v>
      </c>
      <c r="AR241" s="58">
        <f t="shared" si="3119"/>
        <v>454502.01520833332</v>
      </c>
      <c r="AS241" s="58">
        <f t="shared" si="3119"/>
        <v>454502.01520833332</v>
      </c>
      <c r="AT241" s="58">
        <f t="shared" si="3119"/>
        <v>454502.01520833332</v>
      </c>
      <c r="AU241" s="58">
        <f t="shared" si="3119"/>
        <v>454502.01520833332</v>
      </c>
      <c r="AV241" s="58">
        <f t="shared" si="3119"/>
        <v>454502.01520833332</v>
      </c>
      <c r="AW241" s="58">
        <f t="shared" si="3119"/>
        <v>454502.01520833332</v>
      </c>
      <c r="AX241" s="58">
        <f t="shared" si="3119"/>
        <v>454502.01520833332</v>
      </c>
      <c r="AY241" s="58">
        <f t="shared" si="3119"/>
        <v>454502.01520833332</v>
      </c>
      <c r="AZ241" s="58">
        <f t="shared" si="3119"/>
        <v>454502.01520833332</v>
      </c>
      <c r="BA241" s="58">
        <f t="shared" si="3119"/>
        <v>454502.01520833332</v>
      </c>
      <c r="BB241" s="58">
        <f t="shared" si="3119"/>
        <v>454502.01520833332</v>
      </c>
      <c r="BC241" s="58">
        <f t="shared" si="3119"/>
        <v>5454024.182500001</v>
      </c>
      <c r="BD241" s="17" t="str">
        <f t="shared" si="2230"/>
        <v>Depreciation</v>
      </c>
      <c r="BE241" s="58">
        <f t="shared" si="3119"/>
        <v>386326.71292708302</v>
      </c>
      <c r="BF241" s="58">
        <f t="shared" ref="BF241:BP241" si="3120">+SUM(BF242:BF247)</f>
        <v>386326.71292708302</v>
      </c>
      <c r="BG241" s="58">
        <f t="shared" si="3120"/>
        <v>386326.71292708302</v>
      </c>
      <c r="BH241" s="58">
        <f t="shared" si="3120"/>
        <v>386326.71292708302</v>
      </c>
      <c r="BI241" s="58">
        <f t="shared" si="3120"/>
        <v>386326.71292708302</v>
      </c>
      <c r="BJ241" s="58">
        <f t="shared" si="3120"/>
        <v>386326.71292708302</v>
      </c>
      <c r="BK241" s="58">
        <f t="shared" si="3120"/>
        <v>386326.71292708302</v>
      </c>
      <c r="BL241" s="58">
        <f t="shared" si="3120"/>
        <v>386326.71292708302</v>
      </c>
      <c r="BM241" s="58">
        <f t="shared" si="3120"/>
        <v>386326.71292708302</v>
      </c>
      <c r="BN241" s="58">
        <f t="shared" si="3120"/>
        <v>386326.71292708302</v>
      </c>
      <c r="BO241" s="58">
        <f t="shared" si="3120"/>
        <v>0</v>
      </c>
      <c r="BP241" s="58">
        <f t="shared" si="3120"/>
        <v>0</v>
      </c>
      <c r="BQ241" s="58">
        <f t="shared" si="3119"/>
        <v>3863267.1292708302</v>
      </c>
      <c r="BR241" s="118">
        <f t="shared" si="2614"/>
        <v>0</v>
      </c>
      <c r="BS241" s="58">
        <f t="shared" si="3119"/>
        <v>386326.71292708302</v>
      </c>
      <c r="BT241" s="58">
        <f t="shared" si="3119"/>
        <v>386326.71292708302</v>
      </c>
      <c r="BU241" s="58">
        <f t="shared" si="3119"/>
        <v>386326.71292708302</v>
      </c>
      <c r="BV241" s="58">
        <f t="shared" si="3119"/>
        <v>386326.71292708302</v>
      </c>
      <c r="BW241" s="58">
        <f t="shared" si="3119"/>
        <v>386326.71292708302</v>
      </c>
      <c r="BX241" s="58">
        <f t="shared" si="3119"/>
        <v>386326.71292708302</v>
      </c>
      <c r="BY241" s="58">
        <f t="shared" si="3119"/>
        <v>386326.71292708302</v>
      </c>
      <c r="BZ241" s="58">
        <f t="shared" si="3119"/>
        <v>386326.71292708302</v>
      </c>
      <c r="CA241" s="58">
        <f t="shared" si="3119"/>
        <v>386326.71292708302</v>
      </c>
      <c r="CB241" s="58">
        <f t="shared" si="3119"/>
        <v>386326.71292708302</v>
      </c>
      <c r="CC241" s="58">
        <f t="shared" si="3119"/>
        <v>386326.71292708302</v>
      </c>
      <c r="CD241" s="58">
        <f t="shared" si="3119"/>
        <v>386326.71292708302</v>
      </c>
      <c r="CE241" s="58">
        <f t="shared" si="3119"/>
        <v>4635920.5551249962</v>
      </c>
      <c r="CF241" s="106"/>
      <c r="CG241" s="58">
        <f t="shared" ref="CG241:CS241" si="3121">+SUM(CG242:CG247)</f>
        <v>194786.57794642859</v>
      </c>
      <c r="CH241" s="58">
        <f t="shared" si="3121"/>
        <v>194786.57794642859</v>
      </c>
      <c r="CI241" s="58">
        <f t="shared" si="3121"/>
        <v>194786.57794642859</v>
      </c>
      <c r="CJ241" s="58">
        <f t="shared" si="3121"/>
        <v>194786.57794642859</v>
      </c>
      <c r="CK241" s="58">
        <f t="shared" si="3121"/>
        <v>194786.57794642859</v>
      </c>
      <c r="CL241" s="58">
        <f t="shared" si="3121"/>
        <v>194786.57794642859</v>
      </c>
      <c r="CM241" s="58">
        <f t="shared" si="3121"/>
        <v>194786.57794642859</v>
      </c>
      <c r="CN241" s="58">
        <f t="shared" si="3121"/>
        <v>194786.57794642859</v>
      </c>
      <c r="CO241" s="58">
        <f t="shared" si="3121"/>
        <v>194786.57794642859</v>
      </c>
      <c r="CP241" s="58">
        <f t="shared" si="3121"/>
        <v>194786.57794642859</v>
      </c>
      <c r="CQ241" s="58">
        <f t="shared" si="3121"/>
        <v>194786.57794642859</v>
      </c>
      <c r="CR241" s="58">
        <f t="shared" si="3121"/>
        <v>194786.57794642859</v>
      </c>
      <c r="CS241" s="58">
        <f t="shared" si="3121"/>
        <v>2337438.9353571436</v>
      </c>
      <c r="CT241" s="17" t="str">
        <f t="shared" si="2231"/>
        <v>Depreciation</v>
      </c>
      <c r="CU241" s="58">
        <f t="shared" ref="CU241:DU241" si="3122">+SUM(CU242:CU247)</f>
        <v>155829.26235714319</v>
      </c>
      <c r="CV241" s="58">
        <f t="shared" si="3122"/>
        <v>155829.26235714319</v>
      </c>
      <c r="CW241" s="58">
        <f t="shared" si="3122"/>
        <v>155829.26235714319</v>
      </c>
      <c r="CX241" s="58">
        <f t="shared" si="3122"/>
        <v>155829.26235714319</v>
      </c>
      <c r="CY241" s="58">
        <f t="shared" si="3122"/>
        <v>155829.26235714319</v>
      </c>
      <c r="CZ241" s="58">
        <f t="shared" si="3122"/>
        <v>155829.26235714319</v>
      </c>
      <c r="DA241" s="58">
        <f t="shared" si="3122"/>
        <v>155829.26235714319</v>
      </c>
      <c r="DB241" s="58">
        <f t="shared" si="3122"/>
        <v>155829.26235714319</v>
      </c>
      <c r="DC241" s="58">
        <f t="shared" si="3122"/>
        <v>155829.26235714319</v>
      </c>
      <c r="DD241" s="58">
        <f t="shared" si="3122"/>
        <v>155829.26235714319</v>
      </c>
      <c r="DE241" s="58">
        <f t="shared" si="3122"/>
        <v>0</v>
      </c>
      <c r="DF241" s="58">
        <f t="shared" si="3122"/>
        <v>0</v>
      </c>
      <c r="DG241" s="58">
        <f t="shared" si="3122"/>
        <v>1558292.623571432</v>
      </c>
      <c r="DH241" s="118">
        <f t="shared" si="2615"/>
        <v>0</v>
      </c>
      <c r="DI241" s="58">
        <f t="shared" si="3122"/>
        <v>155829.26235714319</v>
      </c>
      <c r="DJ241" s="58">
        <f t="shared" si="3122"/>
        <v>155829.26235714319</v>
      </c>
      <c r="DK241" s="58">
        <f t="shared" si="3122"/>
        <v>155829.26235714319</v>
      </c>
      <c r="DL241" s="58">
        <f t="shared" si="3122"/>
        <v>155829.26235714319</v>
      </c>
      <c r="DM241" s="58">
        <f t="shared" si="3122"/>
        <v>155829.26235714319</v>
      </c>
      <c r="DN241" s="58">
        <f t="shared" si="3122"/>
        <v>155829.26235714319</v>
      </c>
      <c r="DO241" s="58">
        <f t="shared" si="3122"/>
        <v>155829.26235714319</v>
      </c>
      <c r="DP241" s="58">
        <f t="shared" si="3122"/>
        <v>155829.26235714319</v>
      </c>
      <c r="DQ241" s="58">
        <f t="shared" si="3122"/>
        <v>155829.26235714319</v>
      </c>
      <c r="DR241" s="58">
        <f t="shared" si="3122"/>
        <v>155829.26235714319</v>
      </c>
      <c r="DS241" s="58">
        <f t="shared" si="3122"/>
        <v>155829.26235714319</v>
      </c>
      <c r="DT241" s="58">
        <f t="shared" si="3122"/>
        <v>155829.26235714319</v>
      </c>
      <c r="DU241" s="58">
        <f t="shared" si="3122"/>
        <v>1869951.1482857184</v>
      </c>
      <c r="DW241" s="28">
        <f t="shared" ref="DW241:EI241" si="3123">+SUM(DW242:DW247)</f>
        <v>0</v>
      </c>
      <c r="DX241" s="28">
        <f t="shared" si="3123"/>
        <v>0</v>
      </c>
      <c r="DY241" s="28">
        <f t="shared" si="3123"/>
        <v>0</v>
      </c>
      <c r="DZ241" s="28">
        <f t="shared" si="3123"/>
        <v>0</v>
      </c>
      <c r="EA241" s="28">
        <f t="shared" si="3123"/>
        <v>0</v>
      </c>
      <c r="EB241" s="28">
        <f t="shared" si="3123"/>
        <v>0</v>
      </c>
      <c r="EC241" s="28">
        <f t="shared" si="3123"/>
        <v>0</v>
      </c>
      <c r="ED241" s="28">
        <f t="shared" si="3123"/>
        <v>0</v>
      </c>
      <c r="EE241" s="28">
        <f t="shared" si="3123"/>
        <v>0</v>
      </c>
      <c r="EF241" s="28">
        <f t="shared" si="3123"/>
        <v>0</v>
      </c>
      <c r="EG241" s="28">
        <f t="shared" si="3123"/>
        <v>0</v>
      </c>
      <c r="EH241" s="28">
        <f t="shared" si="3123"/>
        <v>0</v>
      </c>
      <c r="EI241" s="58">
        <f t="shared" si="3123"/>
        <v>0</v>
      </c>
      <c r="EJ241" s="17" t="str">
        <f t="shared" si="3091"/>
        <v>Depreciation</v>
      </c>
      <c r="EK241" s="28">
        <f t="shared" ref="EK241:EV241" si="3124">+SUM(EK242:EK247)</f>
        <v>468618.16800000001</v>
      </c>
      <c r="EL241" s="28">
        <f t="shared" si="3124"/>
        <v>468618.16800000001</v>
      </c>
      <c r="EM241" s="28">
        <f t="shared" si="3124"/>
        <v>468618.16800000001</v>
      </c>
      <c r="EN241" s="28">
        <f t="shared" si="3124"/>
        <v>468618.16800000001</v>
      </c>
      <c r="EO241" s="28">
        <f t="shared" si="3124"/>
        <v>468618.16800000001</v>
      </c>
      <c r="EP241" s="28">
        <f t="shared" si="3124"/>
        <v>468618.16800000001</v>
      </c>
      <c r="EQ241" s="28">
        <f t="shared" si="3124"/>
        <v>468618.16800000001</v>
      </c>
      <c r="ER241" s="28">
        <f t="shared" si="3124"/>
        <v>468618.16800000001</v>
      </c>
      <c r="ES241" s="28">
        <f t="shared" si="3124"/>
        <v>468618.16800000001</v>
      </c>
      <c r="ET241" s="28">
        <f t="shared" si="3124"/>
        <v>468618.16800000001</v>
      </c>
      <c r="EU241" s="28">
        <f t="shared" si="3124"/>
        <v>0</v>
      </c>
      <c r="EV241" s="28">
        <f t="shared" si="3124"/>
        <v>0</v>
      </c>
      <c r="EW241" s="28">
        <f t="shared" ref="EW241" si="3125">+SUM(EW242:EW247)</f>
        <v>4686181.68</v>
      </c>
      <c r="EX241" s="118">
        <f t="shared" si="2616"/>
        <v>0</v>
      </c>
      <c r="EY241" s="58">
        <f t="shared" ref="EY241:FK241" si="3126">+SUM(EY242:EY247)</f>
        <v>468618.16800000001</v>
      </c>
      <c r="EZ241" s="58">
        <f t="shared" si="3126"/>
        <v>468618.16800000001</v>
      </c>
      <c r="FA241" s="58">
        <f t="shared" si="3126"/>
        <v>468618.16800000001</v>
      </c>
      <c r="FB241" s="58">
        <f t="shared" si="3126"/>
        <v>468618.16800000001</v>
      </c>
      <c r="FC241" s="58">
        <f t="shared" si="3126"/>
        <v>468618.16800000001</v>
      </c>
      <c r="FD241" s="58">
        <f t="shared" si="3126"/>
        <v>468618.16800000001</v>
      </c>
      <c r="FE241" s="58">
        <f t="shared" si="3126"/>
        <v>468618.16800000001</v>
      </c>
      <c r="FF241" s="58">
        <f t="shared" si="3126"/>
        <v>468618.16800000001</v>
      </c>
      <c r="FG241" s="58">
        <f t="shared" si="3126"/>
        <v>468618.16800000001</v>
      </c>
      <c r="FH241" s="58">
        <f t="shared" si="3126"/>
        <v>468618.16800000001</v>
      </c>
      <c r="FI241" s="58">
        <f t="shared" si="3126"/>
        <v>468618.16800000001</v>
      </c>
      <c r="FJ241" s="58">
        <f t="shared" si="3126"/>
        <v>468618.16800000001</v>
      </c>
      <c r="FK241" s="58">
        <f t="shared" si="3126"/>
        <v>5623418.0159999989</v>
      </c>
    </row>
    <row r="242" spans="1:167" ht="14.45" hidden="1" customHeight="1" outlineLevel="1">
      <c r="A242" s="106">
        <f t="shared" ref="A242:L247" si="3127">+AQ242+CG242+DW242</f>
        <v>0</v>
      </c>
      <c r="B242" s="106">
        <f t="shared" si="3127"/>
        <v>0</v>
      </c>
      <c r="C242" s="106">
        <f t="shared" si="3127"/>
        <v>0</v>
      </c>
      <c r="D242" s="106">
        <f t="shared" si="3127"/>
        <v>0</v>
      </c>
      <c r="E242" s="106">
        <f t="shared" si="3127"/>
        <v>0</v>
      </c>
      <c r="F242" s="106">
        <f t="shared" si="3127"/>
        <v>0</v>
      </c>
      <c r="G242" s="106">
        <f t="shared" si="3127"/>
        <v>0</v>
      </c>
      <c r="H242" s="106">
        <f t="shared" si="3127"/>
        <v>0</v>
      </c>
      <c r="I242" s="106">
        <f t="shared" si="3127"/>
        <v>0</v>
      </c>
      <c r="J242" s="106">
        <f t="shared" si="3127"/>
        <v>0</v>
      </c>
      <c r="K242" s="106">
        <f t="shared" si="3127"/>
        <v>0</v>
      </c>
      <c r="L242" s="106">
        <f t="shared" si="3127"/>
        <v>0</v>
      </c>
      <c r="M242" s="106">
        <f t="shared" ref="M242:M247" si="3128">+SUM(A242:L242)</f>
        <v>0</v>
      </c>
      <c r="N242" s="16" t="s">
        <v>200</v>
      </c>
      <c r="O242" s="106">
        <f t="shared" ref="O242:O247" si="3129">+BE242+CU242+EK242</f>
        <v>0</v>
      </c>
      <c r="P242" s="106">
        <f t="shared" ref="P242:P247" si="3130">+BF242+CV242+EL242</f>
        <v>0</v>
      </c>
      <c r="Q242" s="106">
        <f t="shared" ref="Q242:Q247" si="3131">+BG242+CW242+EM242</f>
        <v>0</v>
      </c>
      <c r="R242" s="106">
        <f t="shared" ref="R242:R247" si="3132">+BH242+CX242+EN242</f>
        <v>0</v>
      </c>
      <c r="S242" s="106">
        <f t="shared" ref="S242:S247" si="3133">+BI242+CY242+EO242</f>
        <v>0</v>
      </c>
      <c r="T242" s="106">
        <f t="shared" ref="T242:T247" si="3134">+BJ242+CZ242+EP242</f>
        <v>0</v>
      </c>
      <c r="U242" s="106">
        <f t="shared" ref="U242:U247" si="3135">+BK242+DA242+EQ242</f>
        <v>0</v>
      </c>
      <c r="V242" s="106">
        <f t="shared" ref="V242:V247" si="3136">+BL242+DB242+ER242</f>
        <v>0</v>
      </c>
      <c r="W242" s="106">
        <f t="shared" ref="W242:W247" si="3137">+BM242+DC242+ES242</f>
        <v>0</v>
      </c>
      <c r="X242" s="106">
        <f t="shared" ref="X242:X247" si="3138">+BN242+DD242+ET242</f>
        <v>0</v>
      </c>
      <c r="Y242" s="106">
        <f t="shared" ref="Y242:Y247" si="3139">+BO242+DE242+EU242</f>
        <v>0</v>
      </c>
      <c r="Z242" s="106">
        <f t="shared" ref="Z242:Z247" si="3140">+BP242+DF242+EV242</f>
        <v>0</v>
      </c>
      <c r="AA242" s="106">
        <f t="shared" ref="AA242:AA247" si="3141">+SUM(O242:Z242)</f>
        <v>0</v>
      </c>
      <c r="AB242" s="118">
        <f t="shared" si="2613"/>
        <v>0</v>
      </c>
      <c r="AC242" s="106">
        <f t="shared" ref="AC242:AC247" si="3142">+BS242+DI242+EY242</f>
        <v>0</v>
      </c>
      <c r="AD242" s="106">
        <f t="shared" ref="AD242:AD247" si="3143">+BT242+DJ242+EZ242</f>
        <v>0</v>
      </c>
      <c r="AE242" s="106">
        <f t="shared" ref="AE242:AE247" si="3144">+BU242+DK242+FA242</f>
        <v>0</v>
      </c>
      <c r="AF242" s="106">
        <f t="shared" ref="AF242:AF247" si="3145">+BV242+DL242+FB242</f>
        <v>0</v>
      </c>
      <c r="AG242" s="106">
        <f t="shared" ref="AG242:AG247" si="3146">+BW242+DM242+FC242</f>
        <v>0</v>
      </c>
      <c r="AH242" s="106">
        <f t="shared" ref="AH242:AH247" si="3147">+BX242+DN242+FD242</f>
        <v>0</v>
      </c>
      <c r="AI242" s="106">
        <f t="shared" ref="AI242:AI247" si="3148">+BY242+DO242+FE242</f>
        <v>0</v>
      </c>
      <c r="AJ242" s="106">
        <f t="shared" ref="AJ242:AJ247" si="3149">+BZ242+DP242+FF242</f>
        <v>0</v>
      </c>
      <c r="AK242" s="106">
        <f t="shared" ref="AK242:AK247" si="3150">+CA242+DQ242+FG242</f>
        <v>0</v>
      </c>
      <c r="AL242" s="106">
        <f t="shared" ref="AL242:AL247" si="3151">+CB242+DR242+FH242</f>
        <v>0</v>
      </c>
      <c r="AM242" s="106">
        <f t="shared" ref="AM242:AM247" si="3152">+CC242+DS242+FI242</f>
        <v>0</v>
      </c>
      <c r="AN242" s="106">
        <f t="shared" ref="AN242:AN247" si="3153">+CD242+DT242+FJ242</f>
        <v>0</v>
      </c>
      <c r="AO242" s="106">
        <f t="shared" ref="AO242:AO247" si="3154">+SUM(AC242:AN242)</f>
        <v>0</v>
      </c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  <c r="BA242" s="106"/>
      <c r="BB242" s="106"/>
      <c r="BC242" s="106">
        <f t="shared" ref="BC242:BC247" si="3155">+SUM(AQ242:BB242)</f>
        <v>0</v>
      </c>
      <c r="BD242" s="16" t="str">
        <f t="shared" si="2230"/>
        <v>Amortization - Intangible Assets</v>
      </c>
      <c r="BE242" s="106">
        <f>+VLOOKUP($BD242,'Jan-25'!$A:$J,5,0)</f>
        <v>0</v>
      </c>
      <c r="BF242" s="106">
        <f>+VLOOKUP($BD242,'Feb-25'!$A:$J,5,0)</f>
        <v>0</v>
      </c>
      <c r="BG242" s="106">
        <f>+VLOOKUP($BD242,'Mar-25'!$A:$J,5,0)</f>
        <v>0</v>
      </c>
      <c r="BH242" s="106">
        <f>+VLOOKUP($BD242,'Apr-25'!$A:$J,5,0)</f>
        <v>0</v>
      </c>
      <c r="BI242" s="106">
        <f>+VLOOKUP($BD242,'May-25'!$A:$J,5,0)</f>
        <v>0</v>
      </c>
      <c r="BJ242" s="106">
        <f>+VLOOKUP($BD242,'June-25'!$A:$J,5,0)</f>
        <v>0</v>
      </c>
      <c r="BK242" s="106">
        <f>+VLOOKUP($BD242,'July-25'!$A:$J,5,0)</f>
        <v>0</v>
      </c>
      <c r="BL242" s="106">
        <f>+VLOOKUP($BD242,'Aug-25'!$A:$J,5,0)</f>
        <v>0</v>
      </c>
      <c r="BM242" s="106">
        <f>+VLOOKUP($BD242,'Sep-25'!$A:$J,5,0)</f>
        <v>0</v>
      </c>
      <c r="BN242" s="106">
        <f>+VLOOKUP($BD242,'Oct-25'!$A:$J,5,0)</f>
        <v>0</v>
      </c>
      <c r="BO242" s="106">
        <f>+VLOOKUP($BD242,'Nov-25'!$A:$J,5,0)</f>
        <v>0</v>
      </c>
      <c r="BP242" s="106">
        <f>+VLOOKUP($BD242,'Dec-25'!$A:$J,5,0)</f>
        <v>0</v>
      </c>
      <c r="BQ242" s="106">
        <f t="shared" ref="BQ242:BQ247" si="3156">+SUM(BE242:BP242)</f>
        <v>0</v>
      </c>
      <c r="BR242" s="118">
        <f t="shared" si="2614"/>
        <v>0</v>
      </c>
      <c r="BS242" s="106">
        <f>+_xlfn.XLOOKUP($BD242,Budget!$A:$A,Budget!BD:BD)</f>
        <v>0</v>
      </c>
      <c r="BT242" s="106">
        <f>+_xlfn.XLOOKUP($BD242,Budget!$A:$A,Budget!BE:BE)</f>
        <v>0</v>
      </c>
      <c r="BU242" s="106">
        <f>+_xlfn.XLOOKUP($BD242,Budget!$A:$A,Budget!BF:BF)</f>
        <v>0</v>
      </c>
      <c r="BV242" s="106">
        <f>+_xlfn.XLOOKUP($BD242,Budget!$A:$A,Budget!BG:BG)</f>
        <v>0</v>
      </c>
      <c r="BW242" s="106">
        <f>+_xlfn.XLOOKUP($BD242,Budget!$A:$A,Budget!BH:BH)</f>
        <v>0</v>
      </c>
      <c r="BX242" s="106">
        <f>+_xlfn.XLOOKUP($BD242,Budget!$A:$A,Budget!BI:BI)</f>
        <v>0</v>
      </c>
      <c r="BY242" s="106">
        <f>+_xlfn.XLOOKUP($BD242,Budget!$A:$A,Budget!BJ:BJ)</f>
        <v>0</v>
      </c>
      <c r="BZ242" s="106">
        <f>+_xlfn.XLOOKUP($BD242,Budget!$A:$A,Budget!BK:BK)</f>
        <v>0</v>
      </c>
      <c r="CA242" s="106">
        <f>+_xlfn.XLOOKUP($BD242,Budget!$A:$A,Budget!BL:BL)</f>
        <v>0</v>
      </c>
      <c r="CB242" s="106">
        <f>+_xlfn.XLOOKUP($BD242,Budget!$A:$A,Budget!BM:BM)</f>
        <v>0</v>
      </c>
      <c r="CC242" s="106">
        <f>+_xlfn.XLOOKUP($BD242,Budget!$A:$A,Budget!BN:BN)</f>
        <v>0</v>
      </c>
      <c r="CD242" s="106">
        <f>+_xlfn.XLOOKUP($BD242,Budget!$A:$A,Budget!BO:BO)</f>
        <v>0</v>
      </c>
      <c r="CE242" s="106">
        <f t="shared" ref="CE242:CE247" si="3157">+SUM(BS242:CD242)</f>
        <v>0</v>
      </c>
      <c r="CF242" s="106"/>
      <c r="CG242" s="110">
        <v>0</v>
      </c>
      <c r="CH242" s="106">
        <v>0</v>
      </c>
      <c r="CI242" s="106">
        <v>0</v>
      </c>
      <c r="CJ242" s="106">
        <v>0</v>
      </c>
      <c r="CK242" s="106">
        <v>0</v>
      </c>
      <c r="CL242" s="106">
        <v>0</v>
      </c>
      <c r="CM242" s="106">
        <v>0</v>
      </c>
      <c r="CN242" s="106">
        <v>0</v>
      </c>
      <c r="CO242" s="106">
        <v>0</v>
      </c>
      <c r="CP242" s="106">
        <v>0</v>
      </c>
      <c r="CQ242" s="106">
        <v>0</v>
      </c>
      <c r="CR242" s="106">
        <v>0</v>
      </c>
      <c r="CS242" s="106">
        <f t="shared" ref="CS242:CS247" si="3158">+SUM(CG242:CR242)</f>
        <v>0</v>
      </c>
      <c r="CT242" s="16" t="str">
        <f t="shared" si="2231"/>
        <v>Amortization - Intangible Assets</v>
      </c>
      <c r="CU242" s="106">
        <f>+VLOOKUP($BD242,'Jan-25'!$A:$J,8,0)</f>
        <v>0</v>
      </c>
      <c r="CV242" s="106">
        <f>+VLOOKUP($BD242,'Feb-25'!$A:$J,8,0)</f>
        <v>0</v>
      </c>
      <c r="CW242" s="106">
        <f>+VLOOKUP($BD242,'Mar-25'!$A:$J,8,0)</f>
        <v>0</v>
      </c>
      <c r="CX242" s="106">
        <f>+VLOOKUP($BD242,'Apr-25'!$A:$J,8,0)</f>
        <v>0</v>
      </c>
      <c r="CY242" s="106">
        <f>+VLOOKUP($BD242,'May-25'!$A:$J,8,0)</f>
        <v>0</v>
      </c>
      <c r="CZ242" s="106">
        <f>+VLOOKUP($BD242,'June-25'!$A:$J,8,0)</f>
        <v>0</v>
      </c>
      <c r="DA242" s="106">
        <f>+VLOOKUP($BD242,'July-25'!$A:$J,8,0)</f>
        <v>0</v>
      </c>
      <c r="DB242" s="106">
        <f>+VLOOKUP($BD242,'Aug-25'!$A:$J,8,0)</f>
        <v>0</v>
      </c>
      <c r="DC242" s="106">
        <f>+VLOOKUP($BD242,'Sep-25'!$A:$J,8,0)</f>
        <v>0</v>
      </c>
      <c r="DD242" s="106">
        <f>+VLOOKUP($BD242,'Oct-25'!$A:$J,8,0)</f>
        <v>0</v>
      </c>
      <c r="DE242" s="106">
        <f>+VLOOKUP($BD242,'Nov-25'!$A:$J,8,0)</f>
        <v>0</v>
      </c>
      <c r="DF242" s="106">
        <f>+VLOOKUP($BD242,'Dec-25'!$A:$J,8,0)</f>
        <v>0</v>
      </c>
      <c r="DG242" s="106">
        <f t="shared" ref="DG242:DG247" si="3159">+SUM(CU242:DF242)</f>
        <v>0</v>
      </c>
      <c r="DH242" s="118">
        <f t="shared" si="2615"/>
        <v>0</v>
      </c>
      <c r="DI242" s="106">
        <f>+_xlfn.XLOOKUP($CT242,Budget!$A:$A,Budget!CQ:CQ)</f>
        <v>0</v>
      </c>
      <c r="DJ242" s="106">
        <f>+_xlfn.XLOOKUP($CT242,Budget!$A:$A,Budget!CR:CR)</f>
        <v>0</v>
      </c>
      <c r="DK242" s="106">
        <f>+_xlfn.XLOOKUP($CT242,Budget!$A:$A,Budget!CS:CS)</f>
        <v>0</v>
      </c>
      <c r="DL242" s="106">
        <f>+_xlfn.XLOOKUP($CT242,Budget!$A:$A,Budget!CT:CT)</f>
        <v>0</v>
      </c>
      <c r="DM242" s="106">
        <f>+_xlfn.XLOOKUP($CT242,Budget!$A:$A,Budget!CU:CU)</f>
        <v>0</v>
      </c>
      <c r="DN242" s="106">
        <f>+_xlfn.XLOOKUP($CT242,Budget!$A:$A,Budget!CV:CV)</f>
        <v>0</v>
      </c>
      <c r="DO242" s="106">
        <f>+_xlfn.XLOOKUP($CT242,Budget!$A:$A,Budget!CW:CW)</f>
        <v>0</v>
      </c>
      <c r="DP242" s="106">
        <f>+_xlfn.XLOOKUP($CT242,Budget!$A:$A,Budget!CX:CX)</f>
        <v>0</v>
      </c>
      <c r="DQ242" s="106">
        <f>+_xlfn.XLOOKUP($CT242,Budget!$A:$A,Budget!CY:CY)</f>
        <v>0</v>
      </c>
      <c r="DR242" s="106">
        <f>+_xlfn.XLOOKUP($CT242,Budget!$A:$A,Budget!CZ:CZ)</f>
        <v>0</v>
      </c>
      <c r="DS242" s="106">
        <f>+_xlfn.XLOOKUP($CT242,Budget!$A:$A,Budget!DA:DA)</f>
        <v>0</v>
      </c>
      <c r="DT242" s="106">
        <f>+_xlfn.XLOOKUP($CT242,Budget!$A:$A,Budget!DB:DB)</f>
        <v>0</v>
      </c>
      <c r="DU242" s="106">
        <f t="shared" ref="DU242:DU247" si="3160">+SUM(DI242:DT242)</f>
        <v>0</v>
      </c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106">
        <f t="shared" ref="EI242:EI247" si="3161">+SUM(DW242:EH242)</f>
        <v>0</v>
      </c>
      <c r="EJ242" s="16" t="str">
        <f t="shared" si="3091"/>
        <v>Amortization - Intangible Assets</v>
      </c>
      <c r="EK242" s="22">
        <f>+VLOOKUP($BD242,'Jan-25'!$A:$J,10,0)</f>
        <v>0</v>
      </c>
      <c r="EL242" s="22">
        <f>+VLOOKUP($BD242,'Feb-25'!$A:$J,10,0)</f>
        <v>0</v>
      </c>
      <c r="EM242" s="22">
        <f>+VLOOKUP($BD242,'Mar-25'!$A:$J,10,0)</f>
        <v>0</v>
      </c>
      <c r="EN242" s="22">
        <f>+VLOOKUP($BD242,'Apr-25'!$A:$J,10,0)</f>
        <v>0</v>
      </c>
      <c r="EO242" s="22">
        <f>+VLOOKUP($BD242,'May-25'!$A:$J,10,0)</f>
        <v>0</v>
      </c>
      <c r="EP242" s="22">
        <f>+VLOOKUP($BD242,'June-25'!$A:$J,10,0)</f>
        <v>0</v>
      </c>
      <c r="EQ242" s="22">
        <f>+VLOOKUP($BD242,'July-25'!$A:$J,10,0)</f>
        <v>0</v>
      </c>
      <c r="ER242" s="22">
        <f>+VLOOKUP($BD242,'Aug-25'!$A:$J,10,0)</f>
        <v>0</v>
      </c>
      <c r="ES242" s="22">
        <f>+VLOOKUP($BD242,'Sep-25'!$A:$J,10,0)</f>
        <v>0</v>
      </c>
      <c r="ET242" s="22">
        <f>+VLOOKUP($BD242,'Oct-25'!$A:$J,10,0)</f>
        <v>0</v>
      </c>
      <c r="EU242" s="22">
        <f>+VLOOKUP($BD242,'Nov-25'!$A:$J,10,0)</f>
        <v>0</v>
      </c>
      <c r="EV242" s="22">
        <f>+VLOOKUP($BD242,'Dec-25'!$A:$J,10,0)</f>
        <v>0</v>
      </c>
      <c r="EW242" s="22">
        <f t="shared" ref="EW242:EW247" si="3162">+SUM(EK242:EV242)</f>
        <v>0</v>
      </c>
      <c r="EX242" s="118" t="e">
        <f t="shared" si="2616"/>
        <v>#DIV/0!</v>
      </c>
      <c r="EY242" s="106">
        <f>+_xlfn.XLOOKUP($EJ242,Budget!$A:$A,Budget!DR:DR)</f>
        <v>0</v>
      </c>
      <c r="EZ242" s="106">
        <f>+_xlfn.XLOOKUP($EJ242,Budget!$A:$A,Budget!DS:DS)</f>
        <v>0</v>
      </c>
      <c r="FA242" s="106">
        <f>+_xlfn.XLOOKUP($EJ242,Budget!$A:$A,Budget!DT:DT)</f>
        <v>0</v>
      </c>
      <c r="FB242" s="106">
        <f>+_xlfn.XLOOKUP($EJ242,Budget!$A:$A,Budget!DU:DU)</f>
        <v>0</v>
      </c>
      <c r="FC242" s="106">
        <f>+_xlfn.XLOOKUP($EJ242,Budget!$A:$A,Budget!DV:DV)</f>
        <v>0</v>
      </c>
      <c r="FD242" s="106">
        <f>+_xlfn.XLOOKUP($EJ242,Budget!$A:$A,Budget!DW:DW)</f>
        <v>0</v>
      </c>
      <c r="FE242" s="106">
        <f>+_xlfn.XLOOKUP($EJ242,Budget!$A:$A,Budget!DX:DX)</f>
        <v>0</v>
      </c>
      <c r="FF242" s="106">
        <f>+_xlfn.XLOOKUP($EJ242,Budget!$A:$A,Budget!DY:DY)</f>
        <v>0</v>
      </c>
      <c r="FG242" s="106">
        <f>+_xlfn.XLOOKUP($EJ242,Budget!$A:$A,Budget!DZ:DZ)</f>
        <v>0</v>
      </c>
      <c r="FH242" s="106">
        <f>+_xlfn.XLOOKUP($EJ242,Budget!$A:$A,Budget!EA:EA)</f>
        <v>0</v>
      </c>
      <c r="FI242" s="106">
        <f>+_xlfn.XLOOKUP($EJ242,Budget!$A:$A,Budget!EB:EB)</f>
        <v>0</v>
      </c>
      <c r="FJ242" s="106">
        <f>+_xlfn.XLOOKUP($EJ242,Budget!$A:$A,Budget!EC:EC)</f>
        <v>0</v>
      </c>
      <c r="FK242" s="106">
        <f t="shared" ref="FK242:FK247" si="3163">+SUM(EY242:FJ242)</f>
        <v>0</v>
      </c>
    </row>
    <row r="243" spans="1:167" ht="14.45" hidden="1" customHeight="1" outlineLevel="1">
      <c r="A243" s="106">
        <f t="shared" si="3127"/>
        <v>649288.59315476194</v>
      </c>
      <c r="B243" s="106">
        <f t="shared" si="3127"/>
        <v>649288.59315476194</v>
      </c>
      <c r="C243" s="106">
        <f t="shared" si="3127"/>
        <v>649288.59315476194</v>
      </c>
      <c r="D243" s="106">
        <f t="shared" si="3127"/>
        <v>649288.59315476194</v>
      </c>
      <c r="E243" s="106">
        <f t="shared" si="3127"/>
        <v>649288.59315476194</v>
      </c>
      <c r="F243" s="106">
        <f t="shared" si="3127"/>
        <v>649288.59315476194</v>
      </c>
      <c r="G243" s="106">
        <f t="shared" si="3127"/>
        <v>649288.59315476194</v>
      </c>
      <c r="H243" s="106">
        <f t="shared" si="3127"/>
        <v>649288.59315476194</v>
      </c>
      <c r="I243" s="106">
        <f t="shared" si="3127"/>
        <v>649288.59315476194</v>
      </c>
      <c r="J243" s="106">
        <f t="shared" si="3127"/>
        <v>649288.59315476194</v>
      </c>
      <c r="K243" s="106">
        <f t="shared" si="3127"/>
        <v>649288.59315476194</v>
      </c>
      <c r="L243" s="106">
        <f t="shared" si="3127"/>
        <v>649288.59315476194</v>
      </c>
      <c r="M243" s="106">
        <f t="shared" si="3128"/>
        <v>7791463.1178571433</v>
      </c>
      <c r="N243" s="16" t="s">
        <v>238</v>
      </c>
      <c r="O243" s="106">
        <f t="shared" si="3129"/>
        <v>1010774.1432842263</v>
      </c>
      <c r="P243" s="106">
        <f t="shared" si="3130"/>
        <v>1010774.1432842263</v>
      </c>
      <c r="Q243" s="106">
        <f t="shared" si="3131"/>
        <v>1010774.1432842263</v>
      </c>
      <c r="R243" s="106">
        <f t="shared" si="3132"/>
        <v>1010774.1432842263</v>
      </c>
      <c r="S243" s="106">
        <f t="shared" si="3133"/>
        <v>1010774.1432842263</v>
      </c>
      <c r="T243" s="106">
        <f t="shared" si="3134"/>
        <v>1010774.1432842263</v>
      </c>
      <c r="U243" s="106">
        <f t="shared" si="3135"/>
        <v>1010774.1432842263</v>
      </c>
      <c r="V243" s="106">
        <f t="shared" si="3136"/>
        <v>1010774.1432842263</v>
      </c>
      <c r="W243" s="106">
        <f t="shared" si="3137"/>
        <v>1010774.1432842263</v>
      </c>
      <c r="X243" s="106">
        <f t="shared" si="3138"/>
        <v>1010774.1432842263</v>
      </c>
      <c r="Y243" s="106">
        <f t="shared" si="3139"/>
        <v>0</v>
      </c>
      <c r="Z243" s="106">
        <f t="shared" si="3140"/>
        <v>0</v>
      </c>
      <c r="AA243" s="106">
        <f t="shared" si="3141"/>
        <v>10107741.43284226</v>
      </c>
      <c r="AB243" s="118">
        <f t="shared" si="2613"/>
        <v>0</v>
      </c>
      <c r="AC243" s="106">
        <f t="shared" si="3142"/>
        <v>1010774.1432842263</v>
      </c>
      <c r="AD243" s="106">
        <f t="shared" si="3143"/>
        <v>1010774.1432842263</v>
      </c>
      <c r="AE243" s="106">
        <f t="shared" si="3144"/>
        <v>1010774.1432842263</v>
      </c>
      <c r="AF243" s="106">
        <f t="shared" si="3145"/>
        <v>1010774.1432842263</v>
      </c>
      <c r="AG243" s="106">
        <f t="shared" si="3146"/>
        <v>1010774.1432842263</v>
      </c>
      <c r="AH243" s="106">
        <f t="shared" si="3147"/>
        <v>1010774.1432842263</v>
      </c>
      <c r="AI243" s="106">
        <f t="shared" si="3148"/>
        <v>1010774.1432842263</v>
      </c>
      <c r="AJ243" s="106">
        <f t="shared" si="3149"/>
        <v>1010774.1432842263</v>
      </c>
      <c r="AK243" s="106">
        <f t="shared" si="3150"/>
        <v>1010774.1432842263</v>
      </c>
      <c r="AL243" s="106">
        <f t="shared" si="3151"/>
        <v>1010774.1432842263</v>
      </c>
      <c r="AM243" s="106">
        <f t="shared" si="3152"/>
        <v>1010774.1432842263</v>
      </c>
      <c r="AN243" s="106">
        <f t="shared" si="3153"/>
        <v>1010774.1432842263</v>
      </c>
      <c r="AO243" s="106">
        <f t="shared" si="3154"/>
        <v>12129289.719410712</v>
      </c>
      <c r="AQ243" s="110">
        <v>454502.01520833332</v>
      </c>
      <c r="AR243" s="106">
        <v>454502.01520833332</v>
      </c>
      <c r="AS243" s="106">
        <v>454502.01520833332</v>
      </c>
      <c r="AT243" s="106">
        <v>454502.01520833332</v>
      </c>
      <c r="AU243" s="106">
        <v>454502.01520833332</v>
      </c>
      <c r="AV243" s="106">
        <v>454502.01520833332</v>
      </c>
      <c r="AW243" s="106">
        <v>454502.01520833332</v>
      </c>
      <c r="AX243" s="106">
        <v>454502.01520833332</v>
      </c>
      <c r="AY243" s="106">
        <v>454502.01520833332</v>
      </c>
      <c r="AZ243" s="106">
        <v>454502.01520833332</v>
      </c>
      <c r="BA243" s="106">
        <v>454502.01520833332</v>
      </c>
      <c r="BB243" s="106">
        <v>454502.01520833332</v>
      </c>
      <c r="BC243" s="106">
        <f t="shared" si="3155"/>
        <v>5454024.182500001</v>
      </c>
      <c r="BD243" s="16" t="str">
        <f t="shared" si="2230"/>
        <v>Depreciation  - Building</v>
      </c>
      <c r="BE243" s="106">
        <f>+VLOOKUP($BD243,'Jan-25'!$A:$J,5,0)</f>
        <v>386326.71292708302</v>
      </c>
      <c r="BF243" s="106">
        <f>+VLOOKUP($BD243,'Feb-25'!$A:$J,5,0)</f>
        <v>386326.71292708302</v>
      </c>
      <c r="BG243" s="106">
        <f>+VLOOKUP($BD243,'Mar-25'!$A:$J,5,0)</f>
        <v>386326.71292708302</v>
      </c>
      <c r="BH243" s="106">
        <f>+VLOOKUP($BD243,'Apr-25'!$A:$J,5,0)</f>
        <v>386326.71292708302</v>
      </c>
      <c r="BI243" s="106">
        <f>+VLOOKUP($BD243,'May-25'!$A:$J,5,0)</f>
        <v>386326.71292708302</v>
      </c>
      <c r="BJ243" s="106">
        <f>+VLOOKUP($BD243,'June-25'!$A:$J,5,0)</f>
        <v>386326.71292708302</v>
      </c>
      <c r="BK243" s="106">
        <f>+VLOOKUP($BD243,'July-25'!$A:$J,5,0)</f>
        <v>386326.71292708302</v>
      </c>
      <c r="BL243" s="106">
        <f>+VLOOKUP($BD243,'Aug-25'!$A:$J,5,0)</f>
        <v>386326.71292708302</v>
      </c>
      <c r="BM243" s="106">
        <f>+VLOOKUP($BD243,'Sep-25'!$A:$J,5,0)</f>
        <v>386326.71292708302</v>
      </c>
      <c r="BN243" s="106">
        <f>+VLOOKUP($BD243,'Oct-25'!$A:$J,5,0)</f>
        <v>386326.71292708302</v>
      </c>
      <c r="BO243" s="106">
        <f>+VLOOKUP($BD243,'Nov-25'!$A:$J,5,0)</f>
        <v>0</v>
      </c>
      <c r="BP243" s="106">
        <f>+VLOOKUP($BD243,'Dec-25'!$A:$J,5,0)</f>
        <v>0</v>
      </c>
      <c r="BQ243" s="106">
        <f t="shared" si="3156"/>
        <v>3863267.1292708302</v>
      </c>
      <c r="BR243" s="118">
        <f t="shared" si="2614"/>
        <v>0</v>
      </c>
      <c r="BS243" s="106">
        <f>+_xlfn.XLOOKUP($BD243,Budget!$A:$A,Budget!BD:BD)</f>
        <v>386326.71292708302</v>
      </c>
      <c r="BT243" s="106">
        <f>+_xlfn.XLOOKUP($BD243,Budget!$A:$A,Budget!BE:BE)</f>
        <v>386326.71292708302</v>
      </c>
      <c r="BU243" s="106">
        <f>+_xlfn.XLOOKUP($BD243,Budget!$A:$A,Budget!BF:BF)</f>
        <v>386326.71292708302</v>
      </c>
      <c r="BV243" s="106">
        <f>+_xlfn.XLOOKUP($BD243,Budget!$A:$A,Budget!BG:BG)</f>
        <v>386326.71292708302</v>
      </c>
      <c r="BW243" s="106">
        <f>+_xlfn.XLOOKUP($BD243,Budget!$A:$A,Budget!BH:BH)</f>
        <v>386326.71292708302</v>
      </c>
      <c r="BX243" s="106">
        <f>+_xlfn.XLOOKUP($BD243,Budget!$A:$A,Budget!BI:BI)</f>
        <v>386326.71292708302</v>
      </c>
      <c r="BY243" s="106">
        <f>+_xlfn.XLOOKUP($BD243,Budget!$A:$A,Budget!BJ:BJ)</f>
        <v>386326.71292708302</v>
      </c>
      <c r="BZ243" s="106">
        <f>+_xlfn.XLOOKUP($BD243,Budget!$A:$A,Budget!BK:BK)</f>
        <v>386326.71292708302</v>
      </c>
      <c r="CA243" s="106">
        <f>+_xlfn.XLOOKUP($BD243,Budget!$A:$A,Budget!BL:BL)</f>
        <v>386326.71292708302</v>
      </c>
      <c r="CB243" s="106">
        <f>+_xlfn.XLOOKUP($BD243,Budget!$A:$A,Budget!BM:BM)</f>
        <v>386326.71292708302</v>
      </c>
      <c r="CC243" s="106">
        <f>+_xlfn.XLOOKUP($BD243,Budget!$A:$A,Budget!BN:BN)</f>
        <v>386326.71292708302</v>
      </c>
      <c r="CD243" s="106">
        <f>+_xlfn.XLOOKUP($BD243,Budget!$A:$A,Budget!BO:BO)</f>
        <v>386326.71292708302</v>
      </c>
      <c r="CE243" s="106">
        <f t="shared" si="3157"/>
        <v>4635920.5551249962</v>
      </c>
      <c r="CF243" s="106"/>
      <c r="CG243" s="110">
        <v>194786.57794642859</v>
      </c>
      <c r="CH243" s="106">
        <v>194786.57794642859</v>
      </c>
      <c r="CI243" s="106">
        <v>194786.57794642859</v>
      </c>
      <c r="CJ243" s="106">
        <v>194786.57794642859</v>
      </c>
      <c r="CK243" s="106">
        <v>194786.57794642859</v>
      </c>
      <c r="CL243" s="106">
        <v>194786.57794642859</v>
      </c>
      <c r="CM243" s="106">
        <v>194786.57794642859</v>
      </c>
      <c r="CN243" s="106">
        <v>194786.57794642859</v>
      </c>
      <c r="CO243" s="106">
        <v>194786.57794642859</v>
      </c>
      <c r="CP243" s="106">
        <v>194786.57794642859</v>
      </c>
      <c r="CQ243" s="106">
        <v>194786.57794642859</v>
      </c>
      <c r="CR243" s="106">
        <v>194786.57794642859</v>
      </c>
      <c r="CS243" s="106">
        <f t="shared" si="3158"/>
        <v>2337438.9353571436</v>
      </c>
      <c r="CT243" s="16" t="str">
        <f t="shared" si="2231"/>
        <v>Depreciation  - Building</v>
      </c>
      <c r="CU243" s="106">
        <f>+VLOOKUP($BD243,'Jan-25'!$A:$J,8,0)</f>
        <v>155829.26235714319</v>
      </c>
      <c r="CV243" s="106">
        <f>+VLOOKUP($BD243,'Feb-25'!$A:$J,8,0)</f>
        <v>155829.26235714319</v>
      </c>
      <c r="CW243" s="106">
        <f>+VLOOKUP($BD243,'Mar-25'!$A:$J,8,0)</f>
        <v>155829.26235714319</v>
      </c>
      <c r="CX243" s="106">
        <f>+VLOOKUP($BD243,'Apr-25'!$A:$J,8,0)</f>
        <v>155829.26235714319</v>
      </c>
      <c r="CY243" s="106">
        <f>+VLOOKUP($BD243,'May-25'!$A:$J,8,0)</f>
        <v>155829.26235714319</v>
      </c>
      <c r="CZ243" s="106">
        <f>+VLOOKUP($BD243,'June-25'!$A:$J,8,0)</f>
        <v>155829.26235714319</v>
      </c>
      <c r="DA243" s="106">
        <f>+VLOOKUP($BD243,'July-25'!$A:$J,8,0)</f>
        <v>155829.26235714319</v>
      </c>
      <c r="DB243" s="106">
        <f>+VLOOKUP($BD243,'Aug-25'!$A:$J,8,0)</f>
        <v>155829.26235714319</v>
      </c>
      <c r="DC243" s="106">
        <f>+VLOOKUP($BD243,'Sep-25'!$A:$J,8,0)</f>
        <v>155829.26235714319</v>
      </c>
      <c r="DD243" s="106">
        <f>+VLOOKUP($BD243,'Oct-25'!$A:$J,8,0)</f>
        <v>155829.26235714319</v>
      </c>
      <c r="DE243" s="106">
        <f>+VLOOKUP($BD243,'Nov-25'!$A:$J,8,0)</f>
        <v>0</v>
      </c>
      <c r="DF243" s="106">
        <f>+VLOOKUP($BD243,'Dec-25'!$A:$J,8,0)</f>
        <v>0</v>
      </c>
      <c r="DG243" s="106">
        <f t="shared" si="3159"/>
        <v>1558292.623571432</v>
      </c>
      <c r="DH243" s="118">
        <f t="shared" si="2615"/>
        <v>0</v>
      </c>
      <c r="DI243" s="106">
        <f>+_xlfn.XLOOKUP($CT243,Budget!$A:$A,Budget!CQ:CQ)</f>
        <v>155829.26235714319</v>
      </c>
      <c r="DJ243" s="106">
        <f>+_xlfn.XLOOKUP($CT243,Budget!$A:$A,Budget!CR:CR)</f>
        <v>155829.26235714319</v>
      </c>
      <c r="DK243" s="106">
        <f>+_xlfn.XLOOKUP($CT243,Budget!$A:$A,Budget!CS:CS)</f>
        <v>155829.26235714319</v>
      </c>
      <c r="DL243" s="106">
        <f>+_xlfn.XLOOKUP($CT243,Budget!$A:$A,Budget!CT:CT)</f>
        <v>155829.26235714319</v>
      </c>
      <c r="DM243" s="106">
        <f>+_xlfn.XLOOKUP($CT243,Budget!$A:$A,Budget!CU:CU)</f>
        <v>155829.26235714319</v>
      </c>
      <c r="DN243" s="106">
        <f>+_xlfn.XLOOKUP($CT243,Budget!$A:$A,Budget!CV:CV)</f>
        <v>155829.26235714319</v>
      </c>
      <c r="DO243" s="106">
        <f>+_xlfn.XLOOKUP($CT243,Budget!$A:$A,Budget!CW:CW)</f>
        <v>155829.26235714319</v>
      </c>
      <c r="DP243" s="106">
        <f>+_xlfn.XLOOKUP($CT243,Budget!$A:$A,Budget!CX:CX)</f>
        <v>155829.26235714319</v>
      </c>
      <c r="DQ243" s="106">
        <f>+_xlfn.XLOOKUP($CT243,Budget!$A:$A,Budget!CY:CY)</f>
        <v>155829.26235714319</v>
      </c>
      <c r="DR243" s="106">
        <f>+_xlfn.XLOOKUP($CT243,Budget!$A:$A,Budget!CZ:CZ)</f>
        <v>155829.26235714319</v>
      </c>
      <c r="DS243" s="106">
        <f>+_xlfn.XLOOKUP($CT243,Budget!$A:$A,Budget!DA:DA)</f>
        <v>155829.26235714319</v>
      </c>
      <c r="DT243" s="106">
        <f>+_xlfn.XLOOKUP($CT243,Budget!$A:$A,Budget!DB:DB)</f>
        <v>155829.26235714319</v>
      </c>
      <c r="DU243" s="106">
        <f t="shared" si="3160"/>
        <v>1869951.1482857184</v>
      </c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106">
        <f t="shared" si="3161"/>
        <v>0</v>
      </c>
      <c r="EJ243" s="16" t="str">
        <f t="shared" si="3091"/>
        <v>Depreciation  - Building</v>
      </c>
      <c r="EK243" s="22">
        <f>+VLOOKUP($BD243,'Jan-25'!$A:$J,10,0)</f>
        <v>468618.16800000001</v>
      </c>
      <c r="EL243" s="22">
        <f>+VLOOKUP($BD243,'Feb-25'!$A:$J,10,0)</f>
        <v>468618.16800000001</v>
      </c>
      <c r="EM243" s="22">
        <f>+VLOOKUP($BD243,'Mar-25'!$A:$J,10,0)</f>
        <v>468618.16800000001</v>
      </c>
      <c r="EN243" s="22">
        <f>+VLOOKUP($BD243,'Apr-25'!$A:$J,10,0)</f>
        <v>468618.16800000001</v>
      </c>
      <c r="EO243" s="22">
        <f>+VLOOKUP($BD243,'May-25'!$A:$J,10,0)</f>
        <v>468618.16800000001</v>
      </c>
      <c r="EP243" s="22">
        <f>+VLOOKUP($BD243,'June-25'!$A:$J,10,0)</f>
        <v>468618.16800000001</v>
      </c>
      <c r="EQ243" s="22">
        <f>+VLOOKUP($BD243,'July-25'!$A:$J,10,0)</f>
        <v>468618.16800000001</v>
      </c>
      <c r="ER243" s="22">
        <f>+VLOOKUP($BD243,'Aug-25'!$A:$J,10,0)</f>
        <v>468618.16800000001</v>
      </c>
      <c r="ES243" s="22">
        <f>+VLOOKUP($BD243,'Sep-25'!$A:$J,10,0)</f>
        <v>468618.16800000001</v>
      </c>
      <c r="ET243" s="22">
        <f>+VLOOKUP($BD243,'Oct-25'!$A:$J,10,0)</f>
        <v>468618.16800000001</v>
      </c>
      <c r="EU243" s="22">
        <f>+VLOOKUP($BD243,'Nov-25'!$A:$J,10,0)</f>
        <v>0</v>
      </c>
      <c r="EV243" s="22">
        <f>+VLOOKUP($BD243,'Dec-25'!$A:$J,10,0)</f>
        <v>0</v>
      </c>
      <c r="EW243" s="22">
        <f t="shared" si="3162"/>
        <v>4686181.68</v>
      </c>
      <c r="EX243" s="118">
        <f t="shared" si="2616"/>
        <v>0</v>
      </c>
      <c r="EY243" s="106">
        <f>+_xlfn.XLOOKUP($EJ243,Budget!$A:$A,Budget!DR:DR)</f>
        <v>468618.16800000001</v>
      </c>
      <c r="EZ243" s="106">
        <f>+_xlfn.XLOOKUP($EJ243,Budget!$A:$A,Budget!DS:DS)</f>
        <v>468618.16800000001</v>
      </c>
      <c r="FA243" s="106">
        <f>+_xlfn.XLOOKUP($EJ243,Budget!$A:$A,Budget!DT:DT)</f>
        <v>468618.16800000001</v>
      </c>
      <c r="FB243" s="106">
        <f>+_xlfn.XLOOKUP($EJ243,Budget!$A:$A,Budget!DU:DU)</f>
        <v>468618.16800000001</v>
      </c>
      <c r="FC243" s="106">
        <f>+_xlfn.XLOOKUP($EJ243,Budget!$A:$A,Budget!DV:DV)</f>
        <v>468618.16800000001</v>
      </c>
      <c r="FD243" s="106">
        <f>+_xlfn.XLOOKUP($EJ243,Budget!$A:$A,Budget!DW:DW)</f>
        <v>468618.16800000001</v>
      </c>
      <c r="FE243" s="106">
        <f>+_xlfn.XLOOKUP($EJ243,Budget!$A:$A,Budget!DX:DX)</f>
        <v>468618.16800000001</v>
      </c>
      <c r="FF243" s="106">
        <f>+_xlfn.XLOOKUP($EJ243,Budget!$A:$A,Budget!DY:DY)</f>
        <v>468618.16800000001</v>
      </c>
      <c r="FG243" s="106">
        <f>+_xlfn.XLOOKUP($EJ243,Budget!$A:$A,Budget!DZ:DZ)</f>
        <v>468618.16800000001</v>
      </c>
      <c r="FH243" s="106">
        <f>+_xlfn.XLOOKUP($EJ243,Budget!$A:$A,Budget!EA:EA)</f>
        <v>468618.16800000001</v>
      </c>
      <c r="FI243" s="106">
        <f>+_xlfn.XLOOKUP($EJ243,Budget!$A:$A,Budget!EB:EB)</f>
        <v>468618.16800000001</v>
      </c>
      <c r="FJ243" s="106">
        <f>+_xlfn.XLOOKUP($EJ243,Budget!$A:$A,Budget!EC:EC)</f>
        <v>468618.16800000001</v>
      </c>
      <c r="FK243" s="106">
        <f t="shared" si="3163"/>
        <v>5623418.0159999989</v>
      </c>
    </row>
    <row r="244" spans="1:167" ht="14.45" hidden="1" customHeight="1" outlineLevel="1">
      <c r="A244" s="106">
        <f t="shared" si="3127"/>
        <v>0</v>
      </c>
      <c r="B244" s="106">
        <f t="shared" si="3127"/>
        <v>0</v>
      </c>
      <c r="C244" s="106">
        <f t="shared" si="3127"/>
        <v>0</v>
      </c>
      <c r="D244" s="106">
        <f t="shared" si="3127"/>
        <v>0</v>
      </c>
      <c r="E244" s="106">
        <f t="shared" si="3127"/>
        <v>0</v>
      </c>
      <c r="F244" s="106">
        <f t="shared" si="3127"/>
        <v>0</v>
      </c>
      <c r="G244" s="106">
        <f t="shared" si="3127"/>
        <v>0</v>
      </c>
      <c r="H244" s="106">
        <f t="shared" si="3127"/>
        <v>0</v>
      </c>
      <c r="I244" s="106">
        <f t="shared" si="3127"/>
        <v>0</v>
      </c>
      <c r="J244" s="106">
        <f t="shared" si="3127"/>
        <v>0</v>
      </c>
      <c r="K244" s="106">
        <f t="shared" si="3127"/>
        <v>0</v>
      </c>
      <c r="L244" s="106">
        <f t="shared" si="3127"/>
        <v>0</v>
      </c>
      <c r="M244" s="106">
        <f t="shared" si="3128"/>
        <v>0</v>
      </c>
      <c r="N244" s="16" t="s">
        <v>239</v>
      </c>
      <c r="O244" s="106">
        <f t="shared" si="3129"/>
        <v>0</v>
      </c>
      <c r="P244" s="106">
        <f t="shared" si="3130"/>
        <v>0</v>
      </c>
      <c r="Q244" s="106">
        <f t="shared" si="3131"/>
        <v>0</v>
      </c>
      <c r="R244" s="106">
        <f t="shared" si="3132"/>
        <v>0</v>
      </c>
      <c r="S244" s="106">
        <f t="shared" si="3133"/>
        <v>0</v>
      </c>
      <c r="T244" s="106">
        <f t="shared" si="3134"/>
        <v>0</v>
      </c>
      <c r="U244" s="106">
        <f t="shared" si="3135"/>
        <v>0</v>
      </c>
      <c r="V244" s="106">
        <f t="shared" si="3136"/>
        <v>0</v>
      </c>
      <c r="W244" s="106">
        <f t="shared" si="3137"/>
        <v>0</v>
      </c>
      <c r="X244" s="106">
        <f t="shared" si="3138"/>
        <v>0</v>
      </c>
      <c r="Y244" s="106">
        <f t="shared" si="3139"/>
        <v>0</v>
      </c>
      <c r="Z244" s="106">
        <f t="shared" si="3140"/>
        <v>0</v>
      </c>
      <c r="AA244" s="106">
        <f t="shared" si="3141"/>
        <v>0</v>
      </c>
      <c r="AB244" s="118">
        <f t="shared" si="2613"/>
        <v>0</v>
      </c>
      <c r="AC244" s="106">
        <f t="shared" si="3142"/>
        <v>0</v>
      </c>
      <c r="AD244" s="106">
        <f t="shared" si="3143"/>
        <v>0</v>
      </c>
      <c r="AE244" s="106">
        <f t="shared" si="3144"/>
        <v>0</v>
      </c>
      <c r="AF244" s="106">
        <f t="shared" si="3145"/>
        <v>0</v>
      </c>
      <c r="AG244" s="106">
        <f t="shared" si="3146"/>
        <v>0</v>
      </c>
      <c r="AH244" s="106">
        <f t="shared" si="3147"/>
        <v>0</v>
      </c>
      <c r="AI244" s="106">
        <f t="shared" si="3148"/>
        <v>0</v>
      </c>
      <c r="AJ244" s="106">
        <f t="shared" si="3149"/>
        <v>0</v>
      </c>
      <c r="AK244" s="106">
        <f t="shared" si="3150"/>
        <v>0</v>
      </c>
      <c r="AL244" s="106">
        <f t="shared" si="3151"/>
        <v>0</v>
      </c>
      <c r="AM244" s="106">
        <f t="shared" si="3152"/>
        <v>0</v>
      </c>
      <c r="AN244" s="106">
        <f t="shared" si="3153"/>
        <v>0</v>
      </c>
      <c r="AO244" s="106">
        <f t="shared" si="3154"/>
        <v>0</v>
      </c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  <c r="BA244" s="106"/>
      <c r="BB244" s="106"/>
      <c r="BC244" s="106">
        <f t="shared" si="3155"/>
        <v>0</v>
      </c>
      <c r="BD244" s="16" t="str">
        <f t="shared" si="2230"/>
        <v>Depreciation  -Computer</v>
      </c>
      <c r="BE244" s="106">
        <f>+VLOOKUP($BD244,'Jan-25'!$A:$J,5,0)</f>
        <v>0</v>
      </c>
      <c r="BF244" s="106">
        <f>+VLOOKUP($BD244,'Feb-25'!$A:$J,5,0)</f>
        <v>0</v>
      </c>
      <c r="BG244" s="106">
        <f>+VLOOKUP($BD244,'Mar-25'!$A:$J,5,0)</f>
        <v>0</v>
      </c>
      <c r="BH244" s="106">
        <f>+VLOOKUP($BD244,'Apr-25'!$A:$J,5,0)</f>
        <v>0</v>
      </c>
      <c r="BI244" s="106">
        <f>+VLOOKUP($BD244,'May-25'!$A:$J,5,0)</f>
        <v>0</v>
      </c>
      <c r="BJ244" s="106">
        <f>+VLOOKUP($BD244,'June-25'!$A:$J,5,0)</f>
        <v>0</v>
      </c>
      <c r="BK244" s="106">
        <f>+VLOOKUP($BD244,'July-25'!$A:$J,5,0)</f>
        <v>0</v>
      </c>
      <c r="BL244" s="106">
        <f>+VLOOKUP($BD244,'Aug-25'!$A:$J,5,0)</f>
        <v>0</v>
      </c>
      <c r="BM244" s="106">
        <f>+VLOOKUP($BD244,'Sep-25'!$A:$J,5,0)</f>
        <v>0</v>
      </c>
      <c r="BN244" s="106">
        <f>+VLOOKUP($BD244,'Oct-25'!$A:$J,5,0)</f>
        <v>0</v>
      </c>
      <c r="BO244" s="106">
        <f>+VLOOKUP($BD244,'Nov-25'!$A:$J,5,0)</f>
        <v>0</v>
      </c>
      <c r="BP244" s="106">
        <f>+VLOOKUP($BD244,'Dec-25'!$A:$J,5,0)</f>
        <v>0</v>
      </c>
      <c r="BQ244" s="106">
        <f t="shared" si="3156"/>
        <v>0</v>
      </c>
      <c r="BR244" s="118">
        <f t="shared" si="2614"/>
        <v>0</v>
      </c>
      <c r="BS244" s="106">
        <f>+_xlfn.XLOOKUP($BD244,Budget!$A:$A,Budget!BD:BD)</f>
        <v>0</v>
      </c>
      <c r="BT244" s="106">
        <f>+_xlfn.XLOOKUP($BD244,Budget!$A:$A,Budget!BE:BE)</f>
        <v>0</v>
      </c>
      <c r="BU244" s="106">
        <f>+_xlfn.XLOOKUP($BD244,Budget!$A:$A,Budget!BF:BF)</f>
        <v>0</v>
      </c>
      <c r="BV244" s="106">
        <f>+_xlfn.XLOOKUP($BD244,Budget!$A:$A,Budget!BG:BG)</f>
        <v>0</v>
      </c>
      <c r="BW244" s="106">
        <f>+_xlfn.XLOOKUP($BD244,Budget!$A:$A,Budget!BH:BH)</f>
        <v>0</v>
      </c>
      <c r="BX244" s="106">
        <f>+_xlfn.XLOOKUP($BD244,Budget!$A:$A,Budget!BI:BI)</f>
        <v>0</v>
      </c>
      <c r="BY244" s="106">
        <f>+_xlfn.XLOOKUP($BD244,Budget!$A:$A,Budget!BJ:BJ)</f>
        <v>0</v>
      </c>
      <c r="BZ244" s="106">
        <f>+_xlfn.XLOOKUP($BD244,Budget!$A:$A,Budget!BK:BK)</f>
        <v>0</v>
      </c>
      <c r="CA244" s="106">
        <f>+_xlfn.XLOOKUP($BD244,Budget!$A:$A,Budget!BL:BL)</f>
        <v>0</v>
      </c>
      <c r="CB244" s="106">
        <f>+_xlfn.XLOOKUP($BD244,Budget!$A:$A,Budget!BM:BM)</f>
        <v>0</v>
      </c>
      <c r="CC244" s="106">
        <f>+_xlfn.XLOOKUP($BD244,Budget!$A:$A,Budget!BN:BN)</f>
        <v>0</v>
      </c>
      <c r="CD244" s="106">
        <f>+_xlfn.XLOOKUP($BD244,Budget!$A:$A,Budget!BO:BO)</f>
        <v>0</v>
      </c>
      <c r="CE244" s="106">
        <f t="shared" si="3157"/>
        <v>0</v>
      </c>
      <c r="CF244" s="106"/>
      <c r="CG244" s="110">
        <v>0</v>
      </c>
      <c r="CH244" s="106">
        <v>0</v>
      </c>
      <c r="CI244" s="106">
        <v>0</v>
      </c>
      <c r="CJ244" s="106">
        <v>0</v>
      </c>
      <c r="CK244" s="106">
        <v>0</v>
      </c>
      <c r="CL244" s="106">
        <v>0</v>
      </c>
      <c r="CM244" s="106">
        <v>0</v>
      </c>
      <c r="CN244" s="106">
        <v>0</v>
      </c>
      <c r="CO244" s="106">
        <v>0</v>
      </c>
      <c r="CP244" s="106">
        <v>0</v>
      </c>
      <c r="CQ244" s="106">
        <v>0</v>
      </c>
      <c r="CR244" s="106">
        <v>0</v>
      </c>
      <c r="CS244" s="106">
        <f t="shared" si="3158"/>
        <v>0</v>
      </c>
      <c r="CT244" s="16" t="str">
        <f t="shared" si="2231"/>
        <v>Depreciation  -Computer</v>
      </c>
      <c r="CU244" s="106">
        <f>+VLOOKUP($BD244,'Jan-25'!$A:$J,8,0)</f>
        <v>0</v>
      </c>
      <c r="CV244" s="106">
        <f>+VLOOKUP($BD244,'Feb-25'!$A:$J,8,0)</f>
        <v>0</v>
      </c>
      <c r="CW244" s="106">
        <f>+VLOOKUP($BD244,'Mar-25'!$A:$J,8,0)</f>
        <v>0</v>
      </c>
      <c r="CX244" s="106">
        <f>+VLOOKUP($BD244,'Apr-25'!$A:$J,8,0)</f>
        <v>0</v>
      </c>
      <c r="CY244" s="106">
        <f>+VLOOKUP($BD244,'May-25'!$A:$J,8,0)</f>
        <v>0</v>
      </c>
      <c r="CZ244" s="106">
        <f>+VLOOKUP($BD244,'June-25'!$A:$J,8,0)</f>
        <v>0</v>
      </c>
      <c r="DA244" s="106">
        <f>+VLOOKUP($BD244,'July-25'!$A:$J,8,0)</f>
        <v>0</v>
      </c>
      <c r="DB244" s="106">
        <f>+VLOOKUP($BD244,'Aug-25'!$A:$J,8,0)</f>
        <v>0</v>
      </c>
      <c r="DC244" s="106">
        <f>+VLOOKUP($BD244,'Sep-25'!$A:$J,8,0)</f>
        <v>0</v>
      </c>
      <c r="DD244" s="106">
        <f>+VLOOKUP($BD244,'Oct-25'!$A:$J,8,0)</f>
        <v>0</v>
      </c>
      <c r="DE244" s="106">
        <f>+VLOOKUP($BD244,'Nov-25'!$A:$J,8,0)</f>
        <v>0</v>
      </c>
      <c r="DF244" s="106">
        <f>+VLOOKUP($BD244,'Dec-25'!$A:$J,8,0)</f>
        <v>0</v>
      </c>
      <c r="DG244" s="106">
        <f t="shared" si="3159"/>
        <v>0</v>
      </c>
      <c r="DH244" s="118">
        <f t="shared" si="2615"/>
        <v>0</v>
      </c>
      <c r="DI244" s="106">
        <f>+_xlfn.XLOOKUP($CT244,Budget!$A:$A,Budget!CQ:CQ)</f>
        <v>0</v>
      </c>
      <c r="DJ244" s="106">
        <f>+_xlfn.XLOOKUP($CT244,Budget!$A:$A,Budget!CR:CR)</f>
        <v>0</v>
      </c>
      <c r="DK244" s="106">
        <f>+_xlfn.XLOOKUP($CT244,Budget!$A:$A,Budget!CS:CS)</f>
        <v>0</v>
      </c>
      <c r="DL244" s="106">
        <f>+_xlfn.XLOOKUP($CT244,Budget!$A:$A,Budget!CT:CT)</f>
        <v>0</v>
      </c>
      <c r="DM244" s="106">
        <f>+_xlfn.XLOOKUP($CT244,Budget!$A:$A,Budget!CU:CU)</f>
        <v>0</v>
      </c>
      <c r="DN244" s="106">
        <f>+_xlfn.XLOOKUP($CT244,Budget!$A:$A,Budget!CV:CV)</f>
        <v>0</v>
      </c>
      <c r="DO244" s="106">
        <f>+_xlfn.XLOOKUP($CT244,Budget!$A:$A,Budget!CW:CW)</f>
        <v>0</v>
      </c>
      <c r="DP244" s="106">
        <f>+_xlfn.XLOOKUP($CT244,Budget!$A:$A,Budget!CX:CX)</f>
        <v>0</v>
      </c>
      <c r="DQ244" s="106">
        <f>+_xlfn.XLOOKUP($CT244,Budget!$A:$A,Budget!CY:CY)</f>
        <v>0</v>
      </c>
      <c r="DR244" s="106">
        <f>+_xlfn.XLOOKUP($CT244,Budget!$A:$A,Budget!CZ:CZ)</f>
        <v>0</v>
      </c>
      <c r="DS244" s="106">
        <f>+_xlfn.XLOOKUP($CT244,Budget!$A:$A,Budget!DA:DA)</f>
        <v>0</v>
      </c>
      <c r="DT244" s="106">
        <f>+_xlfn.XLOOKUP($CT244,Budget!$A:$A,Budget!DB:DB)</f>
        <v>0</v>
      </c>
      <c r="DU244" s="106">
        <f t="shared" si="3160"/>
        <v>0</v>
      </c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106">
        <f t="shared" si="3161"/>
        <v>0</v>
      </c>
      <c r="EJ244" s="16" t="str">
        <f t="shared" si="3091"/>
        <v>Depreciation  -Computer</v>
      </c>
      <c r="EK244" s="22">
        <f>+VLOOKUP($BD244,'Jan-25'!$A:$J,10,0)</f>
        <v>0</v>
      </c>
      <c r="EL244" s="22">
        <f>+VLOOKUP($BD244,'Feb-25'!$A:$J,10,0)</f>
        <v>0</v>
      </c>
      <c r="EM244" s="22">
        <f>+VLOOKUP($BD244,'Mar-25'!$A:$J,10,0)</f>
        <v>0</v>
      </c>
      <c r="EN244" s="22">
        <f>+VLOOKUP($BD244,'Apr-25'!$A:$J,10,0)</f>
        <v>0</v>
      </c>
      <c r="EO244" s="22">
        <f>+VLOOKUP($BD244,'May-25'!$A:$J,10,0)</f>
        <v>0</v>
      </c>
      <c r="EP244" s="22">
        <f>+VLOOKUP($BD244,'June-25'!$A:$J,10,0)</f>
        <v>0</v>
      </c>
      <c r="EQ244" s="22">
        <f>+VLOOKUP($BD244,'July-25'!$A:$J,10,0)</f>
        <v>0</v>
      </c>
      <c r="ER244" s="22">
        <f>+VLOOKUP($BD244,'Aug-25'!$A:$J,10,0)</f>
        <v>0</v>
      </c>
      <c r="ES244" s="22">
        <f>+VLOOKUP($BD244,'Sep-25'!$A:$J,10,0)</f>
        <v>0</v>
      </c>
      <c r="ET244" s="22">
        <f>+VLOOKUP($BD244,'Oct-25'!$A:$J,10,0)</f>
        <v>0</v>
      </c>
      <c r="EU244" s="22">
        <f>+VLOOKUP($BD244,'Nov-25'!$A:$J,10,0)</f>
        <v>0</v>
      </c>
      <c r="EV244" s="22">
        <f>+VLOOKUP($BD244,'Dec-25'!$A:$J,10,0)</f>
        <v>0</v>
      </c>
      <c r="EW244" s="22">
        <f t="shared" si="3162"/>
        <v>0</v>
      </c>
      <c r="EX244" s="118" t="e">
        <f t="shared" si="2616"/>
        <v>#DIV/0!</v>
      </c>
      <c r="EY244" s="106">
        <f>+_xlfn.XLOOKUP($EJ244,Budget!$A:$A,Budget!DR:DR)</f>
        <v>0</v>
      </c>
      <c r="EZ244" s="106">
        <f>+_xlfn.XLOOKUP($EJ244,Budget!$A:$A,Budget!DS:DS)</f>
        <v>0</v>
      </c>
      <c r="FA244" s="106">
        <f>+_xlfn.XLOOKUP($EJ244,Budget!$A:$A,Budget!DT:DT)</f>
        <v>0</v>
      </c>
      <c r="FB244" s="106">
        <f>+_xlfn.XLOOKUP($EJ244,Budget!$A:$A,Budget!DU:DU)</f>
        <v>0</v>
      </c>
      <c r="FC244" s="106">
        <f>+_xlfn.XLOOKUP($EJ244,Budget!$A:$A,Budget!DV:DV)</f>
        <v>0</v>
      </c>
      <c r="FD244" s="106">
        <f>+_xlfn.XLOOKUP($EJ244,Budget!$A:$A,Budget!DW:DW)</f>
        <v>0</v>
      </c>
      <c r="FE244" s="106">
        <f>+_xlfn.XLOOKUP($EJ244,Budget!$A:$A,Budget!DX:DX)</f>
        <v>0</v>
      </c>
      <c r="FF244" s="106">
        <f>+_xlfn.XLOOKUP($EJ244,Budget!$A:$A,Budget!DY:DY)</f>
        <v>0</v>
      </c>
      <c r="FG244" s="106">
        <f>+_xlfn.XLOOKUP($EJ244,Budget!$A:$A,Budget!DZ:DZ)</f>
        <v>0</v>
      </c>
      <c r="FH244" s="106">
        <f>+_xlfn.XLOOKUP($EJ244,Budget!$A:$A,Budget!EA:EA)</f>
        <v>0</v>
      </c>
      <c r="FI244" s="106">
        <f>+_xlfn.XLOOKUP($EJ244,Budget!$A:$A,Budget!EB:EB)</f>
        <v>0</v>
      </c>
      <c r="FJ244" s="106">
        <f>+_xlfn.XLOOKUP($EJ244,Budget!$A:$A,Budget!EC:EC)</f>
        <v>0</v>
      </c>
      <c r="FK244" s="106">
        <f t="shared" si="3163"/>
        <v>0</v>
      </c>
    </row>
    <row r="245" spans="1:167" ht="14.45" hidden="1" customHeight="1" outlineLevel="1">
      <c r="A245" s="106">
        <f t="shared" si="3127"/>
        <v>0</v>
      </c>
      <c r="B245" s="106">
        <f t="shared" si="3127"/>
        <v>0</v>
      </c>
      <c r="C245" s="106">
        <f t="shared" si="3127"/>
        <v>0</v>
      </c>
      <c r="D245" s="106">
        <f t="shared" si="3127"/>
        <v>0</v>
      </c>
      <c r="E245" s="106">
        <f t="shared" si="3127"/>
        <v>0</v>
      </c>
      <c r="F245" s="106">
        <f t="shared" si="3127"/>
        <v>0</v>
      </c>
      <c r="G245" s="106">
        <f t="shared" si="3127"/>
        <v>0</v>
      </c>
      <c r="H245" s="106">
        <f t="shared" si="3127"/>
        <v>0</v>
      </c>
      <c r="I245" s="106">
        <f t="shared" si="3127"/>
        <v>0</v>
      </c>
      <c r="J245" s="106">
        <f t="shared" si="3127"/>
        <v>0</v>
      </c>
      <c r="K245" s="106">
        <f t="shared" si="3127"/>
        <v>0</v>
      </c>
      <c r="L245" s="106">
        <f t="shared" si="3127"/>
        <v>0</v>
      </c>
      <c r="M245" s="106">
        <f t="shared" si="3128"/>
        <v>0</v>
      </c>
      <c r="N245" s="16" t="s">
        <v>240</v>
      </c>
      <c r="O245" s="106">
        <f t="shared" si="3129"/>
        <v>0</v>
      </c>
      <c r="P245" s="106">
        <f t="shared" si="3130"/>
        <v>0</v>
      </c>
      <c r="Q245" s="106">
        <f t="shared" si="3131"/>
        <v>0</v>
      </c>
      <c r="R245" s="106">
        <f t="shared" si="3132"/>
        <v>0</v>
      </c>
      <c r="S245" s="106">
        <f t="shared" si="3133"/>
        <v>0</v>
      </c>
      <c r="T245" s="106">
        <f t="shared" si="3134"/>
        <v>0</v>
      </c>
      <c r="U245" s="106">
        <f t="shared" si="3135"/>
        <v>0</v>
      </c>
      <c r="V245" s="106">
        <f t="shared" si="3136"/>
        <v>0</v>
      </c>
      <c r="W245" s="106">
        <f t="shared" si="3137"/>
        <v>0</v>
      </c>
      <c r="X245" s="106">
        <f t="shared" si="3138"/>
        <v>0</v>
      </c>
      <c r="Y245" s="106">
        <f t="shared" si="3139"/>
        <v>0</v>
      </c>
      <c r="Z245" s="106">
        <f t="shared" si="3140"/>
        <v>0</v>
      </c>
      <c r="AA245" s="106">
        <f t="shared" si="3141"/>
        <v>0</v>
      </c>
      <c r="AB245" s="118">
        <f t="shared" si="2613"/>
        <v>0</v>
      </c>
      <c r="AC245" s="106">
        <f t="shared" si="3142"/>
        <v>0</v>
      </c>
      <c r="AD245" s="106">
        <f t="shared" si="3143"/>
        <v>0</v>
      </c>
      <c r="AE245" s="106">
        <f t="shared" si="3144"/>
        <v>0</v>
      </c>
      <c r="AF245" s="106">
        <f t="shared" si="3145"/>
        <v>0</v>
      </c>
      <c r="AG245" s="106">
        <f t="shared" si="3146"/>
        <v>0</v>
      </c>
      <c r="AH245" s="106">
        <f t="shared" si="3147"/>
        <v>0</v>
      </c>
      <c r="AI245" s="106">
        <f t="shared" si="3148"/>
        <v>0</v>
      </c>
      <c r="AJ245" s="106">
        <f t="shared" si="3149"/>
        <v>0</v>
      </c>
      <c r="AK245" s="106">
        <f t="shared" si="3150"/>
        <v>0</v>
      </c>
      <c r="AL245" s="106">
        <f t="shared" si="3151"/>
        <v>0</v>
      </c>
      <c r="AM245" s="106">
        <f t="shared" si="3152"/>
        <v>0</v>
      </c>
      <c r="AN245" s="106">
        <f t="shared" si="3153"/>
        <v>0</v>
      </c>
      <c r="AO245" s="106">
        <f t="shared" si="3154"/>
        <v>0</v>
      </c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  <c r="BA245" s="106"/>
      <c r="BB245" s="106"/>
      <c r="BC245" s="106">
        <f t="shared" si="3155"/>
        <v>0</v>
      </c>
      <c r="BD245" s="16" t="str">
        <f t="shared" si="2230"/>
        <v>Depreciation  - Furniture &amp; Fixures</v>
      </c>
      <c r="BE245" s="106">
        <f>+VLOOKUP($BD245,'Jan-25'!$A:$J,5,0)</f>
        <v>0</v>
      </c>
      <c r="BF245" s="106">
        <f>+VLOOKUP($BD245,'Feb-25'!$A:$J,5,0)</f>
        <v>0</v>
      </c>
      <c r="BG245" s="106">
        <f>+VLOOKUP($BD245,'Mar-25'!$A:$J,5,0)</f>
        <v>0</v>
      </c>
      <c r="BH245" s="106">
        <f>+VLOOKUP($BD245,'Apr-25'!$A:$J,5,0)</f>
        <v>0</v>
      </c>
      <c r="BI245" s="106">
        <f>+VLOOKUP($BD245,'May-25'!$A:$J,5,0)</f>
        <v>0</v>
      </c>
      <c r="BJ245" s="106">
        <f>+VLOOKUP($BD245,'June-25'!$A:$J,5,0)</f>
        <v>0</v>
      </c>
      <c r="BK245" s="106">
        <f>+VLOOKUP($BD245,'July-25'!$A:$J,5,0)</f>
        <v>0</v>
      </c>
      <c r="BL245" s="106">
        <f>+VLOOKUP($BD245,'Aug-25'!$A:$J,5,0)</f>
        <v>0</v>
      </c>
      <c r="BM245" s="106">
        <f>+VLOOKUP($BD245,'Sep-25'!$A:$J,5,0)</f>
        <v>0</v>
      </c>
      <c r="BN245" s="106">
        <f>+VLOOKUP($BD245,'Oct-25'!$A:$J,5,0)</f>
        <v>0</v>
      </c>
      <c r="BO245" s="106">
        <f>+VLOOKUP($BD245,'Nov-25'!$A:$J,5,0)</f>
        <v>0</v>
      </c>
      <c r="BP245" s="106">
        <f>+VLOOKUP($BD245,'Dec-25'!$A:$J,5,0)</f>
        <v>0</v>
      </c>
      <c r="BQ245" s="106">
        <f t="shared" si="3156"/>
        <v>0</v>
      </c>
      <c r="BR245" s="118">
        <f t="shared" si="2614"/>
        <v>0</v>
      </c>
      <c r="BS245" s="106">
        <f>+_xlfn.XLOOKUP($BD245,Budget!$A:$A,Budget!BD:BD)</f>
        <v>0</v>
      </c>
      <c r="BT245" s="106">
        <f>+_xlfn.XLOOKUP($BD245,Budget!$A:$A,Budget!BE:BE)</f>
        <v>0</v>
      </c>
      <c r="BU245" s="106">
        <f>+_xlfn.XLOOKUP($BD245,Budget!$A:$A,Budget!BF:BF)</f>
        <v>0</v>
      </c>
      <c r="BV245" s="106">
        <f>+_xlfn.XLOOKUP($BD245,Budget!$A:$A,Budget!BG:BG)</f>
        <v>0</v>
      </c>
      <c r="BW245" s="106">
        <f>+_xlfn.XLOOKUP($BD245,Budget!$A:$A,Budget!BH:BH)</f>
        <v>0</v>
      </c>
      <c r="BX245" s="106">
        <f>+_xlfn.XLOOKUP($BD245,Budget!$A:$A,Budget!BI:BI)</f>
        <v>0</v>
      </c>
      <c r="BY245" s="106">
        <f>+_xlfn.XLOOKUP($BD245,Budget!$A:$A,Budget!BJ:BJ)</f>
        <v>0</v>
      </c>
      <c r="BZ245" s="106">
        <f>+_xlfn.XLOOKUP($BD245,Budget!$A:$A,Budget!BK:BK)</f>
        <v>0</v>
      </c>
      <c r="CA245" s="106">
        <f>+_xlfn.XLOOKUP($BD245,Budget!$A:$A,Budget!BL:BL)</f>
        <v>0</v>
      </c>
      <c r="CB245" s="106">
        <f>+_xlfn.XLOOKUP($BD245,Budget!$A:$A,Budget!BM:BM)</f>
        <v>0</v>
      </c>
      <c r="CC245" s="106">
        <f>+_xlfn.XLOOKUP($BD245,Budget!$A:$A,Budget!BN:BN)</f>
        <v>0</v>
      </c>
      <c r="CD245" s="106">
        <f>+_xlfn.XLOOKUP($BD245,Budget!$A:$A,Budget!BO:BO)</f>
        <v>0</v>
      </c>
      <c r="CE245" s="106">
        <f t="shared" si="3157"/>
        <v>0</v>
      </c>
      <c r="CF245" s="106"/>
      <c r="CG245" s="110">
        <v>0</v>
      </c>
      <c r="CH245" s="106">
        <v>0</v>
      </c>
      <c r="CI245" s="106">
        <v>0</v>
      </c>
      <c r="CJ245" s="106">
        <v>0</v>
      </c>
      <c r="CK245" s="106">
        <v>0</v>
      </c>
      <c r="CL245" s="106">
        <v>0</v>
      </c>
      <c r="CM245" s="106">
        <v>0</v>
      </c>
      <c r="CN245" s="106">
        <v>0</v>
      </c>
      <c r="CO245" s="106">
        <v>0</v>
      </c>
      <c r="CP245" s="106">
        <v>0</v>
      </c>
      <c r="CQ245" s="106">
        <v>0</v>
      </c>
      <c r="CR245" s="106">
        <v>0</v>
      </c>
      <c r="CS245" s="106">
        <f t="shared" si="3158"/>
        <v>0</v>
      </c>
      <c r="CT245" s="16" t="str">
        <f t="shared" si="2231"/>
        <v>Depreciation  - Furniture &amp; Fixures</v>
      </c>
      <c r="CU245" s="106">
        <f>+VLOOKUP($BD245,'Jan-25'!$A:$J,8,0)</f>
        <v>0</v>
      </c>
      <c r="CV245" s="106">
        <f>+VLOOKUP($BD245,'Feb-25'!$A:$J,8,0)</f>
        <v>0</v>
      </c>
      <c r="CW245" s="106">
        <f>+VLOOKUP($BD245,'Mar-25'!$A:$J,8,0)</f>
        <v>0</v>
      </c>
      <c r="CX245" s="106">
        <f>+VLOOKUP($BD245,'Apr-25'!$A:$J,8,0)</f>
        <v>0</v>
      </c>
      <c r="CY245" s="106">
        <f>+VLOOKUP($BD245,'May-25'!$A:$J,8,0)</f>
        <v>0</v>
      </c>
      <c r="CZ245" s="106">
        <f>+VLOOKUP($BD245,'June-25'!$A:$J,8,0)</f>
        <v>0</v>
      </c>
      <c r="DA245" s="106">
        <f>+VLOOKUP($BD245,'July-25'!$A:$J,8,0)</f>
        <v>0</v>
      </c>
      <c r="DB245" s="106">
        <f>+VLOOKUP($BD245,'Aug-25'!$A:$J,8,0)</f>
        <v>0</v>
      </c>
      <c r="DC245" s="106">
        <f>+VLOOKUP($BD245,'Sep-25'!$A:$J,8,0)</f>
        <v>0</v>
      </c>
      <c r="DD245" s="106">
        <f>+VLOOKUP($BD245,'Oct-25'!$A:$J,8,0)</f>
        <v>0</v>
      </c>
      <c r="DE245" s="106">
        <f>+VLOOKUP($BD245,'Nov-25'!$A:$J,8,0)</f>
        <v>0</v>
      </c>
      <c r="DF245" s="106">
        <f>+VLOOKUP($BD245,'Dec-25'!$A:$J,8,0)</f>
        <v>0</v>
      </c>
      <c r="DG245" s="106">
        <f t="shared" si="3159"/>
        <v>0</v>
      </c>
      <c r="DH245" s="118">
        <f t="shared" si="2615"/>
        <v>0</v>
      </c>
      <c r="DI245" s="106">
        <f>+_xlfn.XLOOKUP($CT245,Budget!$A:$A,Budget!CQ:CQ)</f>
        <v>0</v>
      </c>
      <c r="DJ245" s="106">
        <f>+_xlfn.XLOOKUP($CT245,Budget!$A:$A,Budget!CR:CR)</f>
        <v>0</v>
      </c>
      <c r="DK245" s="106">
        <f>+_xlfn.XLOOKUP($CT245,Budget!$A:$A,Budget!CS:CS)</f>
        <v>0</v>
      </c>
      <c r="DL245" s="106">
        <f>+_xlfn.XLOOKUP($CT245,Budget!$A:$A,Budget!CT:CT)</f>
        <v>0</v>
      </c>
      <c r="DM245" s="106">
        <f>+_xlfn.XLOOKUP($CT245,Budget!$A:$A,Budget!CU:CU)</f>
        <v>0</v>
      </c>
      <c r="DN245" s="106">
        <f>+_xlfn.XLOOKUP($CT245,Budget!$A:$A,Budget!CV:CV)</f>
        <v>0</v>
      </c>
      <c r="DO245" s="106">
        <f>+_xlfn.XLOOKUP($CT245,Budget!$A:$A,Budget!CW:CW)</f>
        <v>0</v>
      </c>
      <c r="DP245" s="106">
        <f>+_xlfn.XLOOKUP($CT245,Budget!$A:$A,Budget!CX:CX)</f>
        <v>0</v>
      </c>
      <c r="DQ245" s="106">
        <f>+_xlfn.XLOOKUP($CT245,Budget!$A:$A,Budget!CY:CY)</f>
        <v>0</v>
      </c>
      <c r="DR245" s="106">
        <f>+_xlfn.XLOOKUP($CT245,Budget!$A:$A,Budget!CZ:CZ)</f>
        <v>0</v>
      </c>
      <c r="DS245" s="106">
        <f>+_xlfn.XLOOKUP($CT245,Budget!$A:$A,Budget!DA:DA)</f>
        <v>0</v>
      </c>
      <c r="DT245" s="106">
        <f>+_xlfn.XLOOKUP($CT245,Budget!$A:$A,Budget!DB:DB)</f>
        <v>0</v>
      </c>
      <c r="DU245" s="106">
        <f t="shared" si="3160"/>
        <v>0</v>
      </c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106">
        <f t="shared" si="3161"/>
        <v>0</v>
      </c>
      <c r="EJ245" s="16" t="str">
        <f t="shared" si="3091"/>
        <v>Depreciation  - Furniture &amp; Fixures</v>
      </c>
      <c r="EK245" s="22">
        <f>+VLOOKUP($BD245,'Jan-25'!$A:$J,10,0)</f>
        <v>0</v>
      </c>
      <c r="EL245" s="22">
        <f>+VLOOKUP($BD245,'Feb-25'!$A:$J,10,0)</f>
        <v>0</v>
      </c>
      <c r="EM245" s="22">
        <f>+VLOOKUP($BD245,'Mar-25'!$A:$J,10,0)</f>
        <v>0</v>
      </c>
      <c r="EN245" s="22">
        <f>+VLOOKUP($BD245,'Apr-25'!$A:$J,10,0)</f>
        <v>0</v>
      </c>
      <c r="EO245" s="22">
        <f>+VLOOKUP($BD245,'May-25'!$A:$J,10,0)</f>
        <v>0</v>
      </c>
      <c r="EP245" s="22">
        <f>+VLOOKUP($BD245,'June-25'!$A:$J,10,0)</f>
        <v>0</v>
      </c>
      <c r="EQ245" s="22">
        <f>+VLOOKUP($BD245,'July-25'!$A:$J,10,0)</f>
        <v>0</v>
      </c>
      <c r="ER245" s="22">
        <f>+VLOOKUP($BD245,'Aug-25'!$A:$J,10,0)</f>
        <v>0</v>
      </c>
      <c r="ES245" s="22">
        <f>+VLOOKUP($BD245,'Sep-25'!$A:$J,10,0)</f>
        <v>0</v>
      </c>
      <c r="ET245" s="22">
        <f>+VLOOKUP($BD245,'Oct-25'!$A:$J,10,0)</f>
        <v>0</v>
      </c>
      <c r="EU245" s="22">
        <f>+VLOOKUP($BD245,'Nov-25'!$A:$J,10,0)</f>
        <v>0</v>
      </c>
      <c r="EV245" s="22">
        <f>+VLOOKUP($BD245,'Dec-25'!$A:$J,10,0)</f>
        <v>0</v>
      </c>
      <c r="EW245" s="22">
        <f t="shared" si="3162"/>
        <v>0</v>
      </c>
      <c r="EX245" s="118" t="e">
        <f t="shared" si="2616"/>
        <v>#DIV/0!</v>
      </c>
      <c r="EY245" s="106">
        <f>+_xlfn.XLOOKUP($EJ245,Budget!$A:$A,Budget!DR:DR)</f>
        <v>0</v>
      </c>
      <c r="EZ245" s="106">
        <f>+_xlfn.XLOOKUP($EJ245,Budget!$A:$A,Budget!DS:DS)</f>
        <v>0</v>
      </c>
      <c r="FA245" s="106">
        <f>+_xlfn.XLOOKUP($EJ245,Budget!$A:$A,Budget!DT:DT)</f>
        <v>0</v>
      </c>
      <c r="FB245" s="106">
        <f>+_xlfn.XLOOKUP($EJ245,Budget!$A:$A,Budget!DU:DU)</f>
        <v>0</v>
      </c>
      <c r="FC245" s="106">
        <f>+_xlfn.XLOOKUP($EJ245,Budget!$A:$A,Budget!DV:DV)</f>
        <v>0</v>
      </c>
      <c r="FD245" s="106">
        <f>+_xlfn.XLOOKUP($EJ245,Budget!$A:$A,Budget!DW:DW)</f>
        <v>0</v>
      </c>
      <c r="FE245" s="106">
        <f>+_xlfn.XLOOKUP($EJ245,Budget!$A:$A,Budget!DX:DX)</f>
        <v>0</v>
      </c>
      <c r="FF245" s="106">
        <f>+_xlfn.XLOOKUP($EJ245,Budget!$A:$A,Budget!DY:DY)</f>
        <v>0</v>
      </c>
      <c r="FG245" s="106">
        <f>+_xlfn.XLOOKUP($EJ245,Budget!$A:$A,Budget!DZ:DZ)</f>
        <v>0</v>
      </c>
      <c r="FH245" s="106">
        <f>+_xlfn.XLOOKUP($EJ245,Budget!$A:$A,Budget!EA:EA)</f>
        <v>0</v>
      </c>
      <c r="FI245" s="106">
        <f>+_xlfn.XLOOKUP($EJ245,Budget!$A:$A,Budget!EB:EB)</f>
        <v>0</v>
      </c>
      <c r="FJ245" s="106">
        <f>+_xlfn.XLOOKUP($EJ245,Budget!$A:$A,Budget!EC:EC)</f>
        <v>0</v>
      </c>
      <c r="FK245" s="106">
        <f t="shared" si="3163"/>
        <v>0</v>
      </c>
    </row>
    <row r="246" spans="1:167" ht="14.45" hidden="1" customHeight="1" outlineLevel="1">
      <c r="A246" s="106">
        <f t="shared" si="3127"/>
        <v>0</v>
      </c>
      <c r="B246" s="106">
        <f t="shared" si="3127"/>
        <v>0</v>
      </c>
      <c r="C246" s="106">
        <f t="shared" si="3127"/>
        <v>0</v>
      </c>
      <c r="D246" s="106">
        <f t="shared" si="3127"/>
        <v>0</v>
      </c>
      <c r="E246" s="106">
        <f t="shared" si="3127"/>
        <v>0</v>
      </c>
      <c r="F246" s="106">
        <f t="shared" si="3127"/>
        <v>0</v>
      </c>
      <c r="G246" s="106">
        <f t="shared" si="3127"/>
        <v>0</v>
      </c>
      <c r="H246" s="106">
        <f t="shared" si="3127"/>
        <v>0</v>
      </c>
      <c r="I246" s="106">
        <f t="shared" si="3127"/>
        <v>0</v>
      </c>
      <c r="J246" s="106">
        <f t="shared" si="3127"/>
        <v>0</v>
      </c>
      <c r="K246" s="106">
        <f t="shared" si="3127"/>
        <v>0</v>
      </c>
      <c r="L246" s="106">
        <f t="shared" si="3127"/>
        <v>0</v>
      </c>
      <c r="M246" s="106">
        <f t="shared" si="3128"/>
        <v>0</v>
      </c>
      <c r="N246" s="16" t="s">
        <v>241</v>
      </c>
      <c r="O246" s="106">
        <f t="shared" si="3129"/>
        <v>0</v>
      </c>
      <c r="P246" s="106">
        <f t="shared" si="3130"/>
        <v>0</v>
      </c>
      <c r="Q246" s="106">
        <f t="shared" si="3131"/>
        <v>0</v>
      </c>
      <c r="R246" s="106">
        <f t="shared" si="3132"/>
        <v>0</v>
      </c>
      <c r="S246" s="106">
        <f t="shared" si="3133"/>
        <v>0</v>
      </c>
      <c r="T246" s="106">
        <f t="shared" si="3134"/>
        <v>0</v>
      </c>
      <c r="U246" s="106">
        <f t="shared" si="3135"/>
        <v>0</v>
      </c>
      <c r="V246" s="106">
        <f t="shared" si="3136"/>
        <v>0</v>
      </c>
      <c r="W246" s="106">
        <f t="shared" si="3137"/>
        <v>0</v>
      </c>
      <c r="X246" s="106">
        <f t="shared" si="3138"/>
        <v>0</v>
      </c>
      <c r="Y246" s="106">
        <f t="shared" si="3139"/>
        <v>0</v>
      </c>
      <c r="Z246" s="106">
        <f t="shared" si="3140"/>
        <v>0</v>
      </c>
      <c r="AA246" s="106">
        <f t="shared" si="3141"/>
        <v>0</v>
      </c>
      <c r="AB246" s="118">
        <f t="shared" si="2613"/>
        <v>0</v>
      </c>
      <c r="AC246" s="106">
        <f t="shared" si="3142"/>
        <v>0</v>
      </c>
      <c r="AD246" s="106">
        <f t="shared" si="3143"/>
        <v>0</v>
      </c>
      <c r="AE246" s="106">
        <f t="shared" si="3144"/>
        <v>0</v>
      </c>
      <c r="AF246" s="106">
        <f t="shared" si="3145"/>
        <v>0</v>
      </c>
      <c r="AG246" s="106">
        <f t="shared" si="3146"/>
        <v>0</v>
      </c>
      <c r="AH246" s="106">
        <f t="shared" si="3147"/>
        <v>0</v>
      </c>
      <c r="AI246" s="106">
        <f t="shared" si="3148"/>
        <v>0</v>
      </c>
      <c r="AJ246" s="106">
        <f t="shared" si="3149"/>
        <v>0</v>
      </c>
      <c r="AK246" s="106">
        <f t="shared" si="3150"/>
        <v>0</v>
      </c>
      <c r="AL246" s="106">
        <f t="shared" si="3151"/>
        <v>0</v>
      </c>
      <c r="AM246" s="106">
        <f t="shared" si="3152"/>
        <v>0</v>
      </c>
      <c r="AN246" s="106">
        <f t="shared" si="3153"/>
        <v>0</v>
      </c>
      <c r="AO246" s="106">
        <f t="shared" si="3154"/>
        <v>0</v>
      </c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  <c r="BA246" s="106"/>
      <c r="BB246" s="106"/>
      <c r="BC246" s="106">
        <f t="shared" si="3155"/>
        <v>0</v>
      </c>
      <c r="BD246" s="16" t="str">
        <f t="shared" si="2230"/>
        <v>Depreciation  -Plant &amp; Machinery</v>
      </c>
      <c r="BE246" s="106">
        <f>+VLOOKUP($BD246,'Jan-25'!$A:$J,5,0)</f>
        <v>0</v>
      </c>
      <c r="BF246" s="106">
        <f>+VLOOKUP($BD246,'Feb-25'!$A:$J,5,0)</f>
        <v>0</v>
      </c>
      <c r="BG246" s="106">
        <f>+VLOOKUP($BD246,'Mar-25'!$A:$J,5,0)</f>
        <v>0</v>
      </c>
      <c r="BH246" s="106">
        <f>+VLOOKUP($BD246,'Apr-25'!$A:$J,5,0)</f>
        <v>0</v>
      </c>
      <c r="BI246" s="106">
        <f>+VLOOKUP($BD246,'May-25'!$A:$J,5,0)</f>
        <v>0</v>
      </c>
      <c r="BJ246" s="106">
        <f>+VLOOKUP($BD246,'June-25'!$A:$J,5,0)</f>
        <v>0</v>
      </c>
      <c r="BK246" s="106">
        <f>+VLOOKUP($BD246,'July-25'!$A:$J,5,0)</f>
        <v>0</v>
      </c>
      <c r="BL246" s="106">
        <f>+VLOOKUP($BD246,'Aug-25'!$A:$J,5,0)</f>
        <v>0</v>
      </c>
      <c r="BM246" s="106">
        <f>+VLOOKUP($BD246,'Sep-25'!$A:$J,5,0)</f>
        <v>0</v>
      </c>
      <c r="BN246" s="106">
        <f>+VLOOKUP($BD246,'Oct-25'!$A:$J,5,0)</f>
        <v>0</v>
      </c>
      <c r="BO246" s="106">
        <f>+VLOOKUP($BD246,'Nov-25'!$A:$J,5,0)</f>
        <v>0</v>
      </c>
      <c r="BP246" s="106">
        <f>+VLOOKUP($BD246,'Dec-25'!$A:$J,5,0)</f>
        <v>0</v>
      </c>
      <c r="BQ246" s="106">
        <f t="shared" si="3156"/>
        <v>0</v>
      </c>
      <c r="BR246" s="118">
        <f t="shared" si="2614"/>
        <v>0</v>
      </c>
      <c r="BS246" s="106">
        <f>+_xlfn.XLOOKUP($BD246,Budget!$A:$A,Budget!BD:BD)</f>
        <v>0</v>
      </c>
      <c r="BT246" s="106">
        <f>+_xlfn.XLOOKUP($BD246,Budget!$A:$A,Budget!BE:BE)</f>
        <v>0</v>
      </c>
      <c r="BU246" s="106">
        <f>+_xlfn.XLOOKUP($BD246,Budget!$A:$A,Budget!BF:BF)</f>
        <v>0</v>
      </c>
      <c r="BV246" s="106">
        <f>+_xlfn.XLOOKUP($BD246,Budget!$A:$A,Budget!BG:BG)</f>
        <v>0</v>
      </c>
      <c r="BW246" s="106">
        <f>+_xlfn.XLOOKUP($BD246,Budget!$A:$A,Budget!BH:BH)</f>
        <v>0</v>
      </c>
      <c r="BX246" s="106">
        <f>+_xlfn.XLOOKUP($BD246,Budget!$A:$A,Budget!BI:BI)</f>
        <v>0</v>
      </c>
      <c r="BY246" s="106">
        <f>+_xlfn.XLOOKUP($BD246,Budget!$A:$A,Budget!BJ:BJ)</f>
        <v>0</v>
      </c>
      <c r="BZ246" s="106">
        <f>+_xlfn.XLOOKUP($BD246,Budget!$A:$A,Budget!BK:BK)</f>
        <v>0</v>
      </c>
      <c r="CA246" s="106">
        <f>+_xlfn.XLOOKUP($BD246,Budget!$A:$A,Budget!BL:BL)</f>
        <v>0</v>
      </c>
      <c r="CB246" s="106">
        <f>+_xlfn.XLOOKUP($BD246,Budget!$A:$A,Budget!BM:BM)</f>
        <v>0</v>
      </c>
      <c r="CC246" s="106">
        <f>+_xlfn.XLOOKUP($BD246,Budget!$A:$A,Budget!BN:BN)</f>
        <v>0</v>
      </c>
      <c r="CD246" s="106">
        <f>+_xlfn.XLOOKUP($BD246,Budget!$A:$A,Budget!BO:BO)</f>
        <v>0</v>
      </c>
      <c r="CE246" s="106">
        <f t="shared" si="3157"/>
        <v>0</v>
      </c>
      <c r="CF246" s="106"/>
      <c r="CG246" s="110">
        <v>0</v>
      </c>
      <c r="CH246" s="106">
        <v>0</v>
      </c>
      <c r="CI246" s="106">
        <v>0</v>
      </c>
      <c r="CJ246" s="106">
        <v>0</v>
      </c>
      <c r="CK246" s="106">
        <v>0</v>
      </c>
      <c r="CL246" s="106">
        <v>0</v>
      </c>
      <c r="CM246" s="106">
        <v>0</v>
      </c>
      <c r="CN246" s="106">
        <v>0</v>
      </c>
      <c r="CO246" s="106">
        <v>0</v>
      </c>
      <c r="CP246" s="106">
        <v>0</v>
      </c>
      <c r="CQ246" s="106">
        <v>0</v>
      </c>
      <c r="CR246" s="106">
        <v>0</v>
      </c>
      <c r="CS246" s="106">
        <f t="shared" si="3158"/>
        <v>0</v>
      </c>
      <c r="CT246" s="16" t="str">
        <f t="shared" si="2231"/>
        <v>Depreciation  -Plant &amp; Machinery</v>
      </c>
      <c r="CU246" s="106">
        <f>+VLOOKUP($BD246,'Jan-25'!$A:$J,8,0)</f>
        <v>0</v>
      </c>
      <c r="CV246" s="106">
        <f>+VLOOKUP($BD246,'Feb-25'!$A:$J,8,0)</f>
        <v>0</v>
      </c>
      <c r="CW246" s="106">
        <f>+VLOOKUP($BD246,'Mar-25'!$A:$J,8,0)</f>
        <v>0</v>
      </c>
      <c r="CX246" s="106">
        <f>+VLOOKUP($BD246,'Apr-25'!$A:$J,8,0)</f>
        <v>0</v>
      </c>
      <c r="CY246" s="106">
        <f>+VLOOKUP($BD246,'May-25'!$A:$J,8,0)</f>
        <v>0</v>
      </c>
      <c r="CZ246" s="106">
        <f>+VLOOKUP($BD246,'June-25'!$A:$J,8,0)</f>
        <v>0</v>
      </c>
      <c r="DA246" s="106">
        <f>+VLOOKUP($BD246,'July-25'!$A:$J,8,0)</f>
        <v>0</v>
      </c>
      <c r="DB246" s="106">
        <f>+VLOOKUP($BD246,'Aug-25'!$A:$J,8,0)</f>
        <v>0</v>
      </c>
      <c r="DC246" s="106">
        <f>+VLOOKUP($BD246,'Sep-25'!$A:$J,8,0)</f>
        <v>0</v>
      </c>
      <c r="DD246" s="106">
        <f>+VLOOKUP($BD246,'Oct-25'!$A:$J,8,0)</f>
        <v>0</v>
      </c>
      <c r="DE246" s="106">
        <f>+VLOOKUP($BD246,'Nov-25'!$A:$J,8,0)</f>
        <v>0</v>
      </c>
      <c r="DF246" s="106">
        <f>+VLOOKUP($BD246,'Dec-25'!$A:$J,8,0)</f>
        <v>0</v>
      </c>
      <c r="DG246" s="106">
        <f t="shared" si="3159"/>
        <v>0</v>
      </c>
      <c r="DH246" s="118">
        <f t="shared" si="2615"/>
        <v>0</v>
      </c>
      <c r="DI246" s="106">
        <f>+_xlfn.XLOOKUP($CT246,Budget!$A:$A,Budget!CQ:CQ)</f>
        <v>0</v>
      </c>
      <c r="DJ246" s="106">
        <f>+_xlfn.XLOOKUP($CT246,Budget!$A:$A,Budget!CR:CR)</f>
        <v>0</v>
      </c>
      <c r="DK246" s="106">
        <f>+_xlfn.XLOOKUP($CT246,Budget!$A:$A,Budget!CS:CS)</f>
        <v>0</v>
      </c>
      <c r="DL246" s="106">
        <f>+_xlfn.XLOOKUP($CT246,Budget!$A:$A,Budget!CT:CT)</f>
        <v>0</v>
      </c>
      <c r="DM246" s="106">
        <f>+_xlfn.XLOOKUP($CT246,Budget!$A:$A,Budget!CU:CU)</f>
        <v>0</v>
      </c>
      <c r="DN246" s="106">
        <f>+_xlfn.XLOOKUP($CT246,Budget!$A:$A,Budget!CV:CV)</f>
        <v>0</v>
      </c>
      <c r="DO246" s="106">
        <f>+_xlfn.XLOOKUP($CT246,Budget!$A:$A,Budget!CW:CW)</f>
        <v>0</v>
      </c>
      <c r="DP246" s="106">
        <f>+_xlfn.XLOOKUP($CT246,Budget!$A:$A,Budget!CX:CX)</f>
        <v>0</v>
      </c>
      <c r="DQ246" s="106">
        <f>+_xlfn.XLOOKUP($CT246,Budget!$A:$A,Budget!CY:CY)</f>
        <v>0</v>
      </c>
      <c r="DR246" s="106">
        <f>+_xlfn.XLOOKUP($CT246,Budget!$A:$A,Budget!CZ:CZ)</f>
        <v>0</v>
      </c>
      <c r="DS246" s="106">
        <f>+_xlfn.XLOOKUP($CT246,Budget!$A:$A,Budget!DA:DA)</f>
        <v>0</v>
      </c>
      <c r="DT246" s="106">
        <f>+_xlfn.XLOOKUP($CT246,Budget!$A:$A,Budget!DB:DB)</f>
        <v>0</v>
      </c>
      <c r="DU246" s="106">
        <f t="shared" si="3160"/>
        <v>0</v>
      </c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106">
        <f t="shared" si="3161"/>
        <v>0</v>
      </c>
      <c r="EJ246" s="16" t="str">
        <f t="shared" si="3091"/>
        <v>Depreciation  -Plant &amp; Machinery</v>
      </c>
      <c r="EK246" s="22">
        <f>+VLOOKUP($BD246,'Jan-25'!$A:$J,10,0)</f>
        <v>0</v>
      </c>
      <c r="EL246" s="22">
        <f>+VLOOKUP($BD246,'Feb-25'!$A:$J,10,0)</f>
        <v>0</v>
      </c>
      <c r="EM246" s="22">
        <f>+VLOOKUP($BD246,'Mar-25'!$A:$J,10,0)</f>
        <v>0</v>
      </c>
      <c r="EN246" s="22">
        <f>+VLOOKUP($BD246,'Apr-25'!$A:$J,10,0)</f>
        <v>0</v>
      </c>
      <c r="EO246" s="22">
        <f>+VLOOKUP($BD246,'May-25'!$A:$J,10,0)</f>
        <v>0</v>
      </c>
      <c r="EP246" s="22">
        <f>+VLOOKUP($BD246,'June-25'!$A:$J,10,0)</f>
        <v>0</v>
      </c>
      <c r="EQ246" s="22">
        <f>+VLOOKUP($BD246,'July-25'!$A:$J,10,0)</f>
        <v>0</v>
      </c>
      <c r="ER246" s="22">
        <f>+VLOOKUP($BD246,'Aug-25'!$A:$J,10,0)</f>
        <v>0</v>
      </c>
      <c r="ES246" s="22">
        <f>+VLOOKUP($BD246,'Sep-25'!$A:$J,10,0)</f>
        <v>0</v>
      </c>
      <c r="ET246" s="22">
        <f>+VLOOKUP($BD246,'Oct-25'!$A:$J,10,0)</f>
        <v>0</v>
      </c>
      <c r="EU246" s="22">
        <f>+VLOOKUP($BD246,'Nov-25'!$A:$J,10,0)</f>
        <v>0</v>
      </c>
      <c r="EV246" s="22">
        <f>+VLOOKUP($BD246,'Dec-25'!$A:$J,10,0)</f>
        <v>0</v>
      </c>
      <c r="EW246" s="22">
        <f t="shared" si="3162"/>
        <v>0</v>
      </c>
      <c r="EX246" s="118" t="e">
        <f t="shared" si="2616"/>
        <v>#DIV/0!</v>
      </c>
      <c r="EY246" s="106">
        <f>+_xlfn.XLOOKUP($EJ246,Budget!$A:$A,Budget!DR:DR)</f>
        <v>0</v>
      </c>
      <c r="EZ246" s="106">
        <f>+_xlfn.XLOOKUP($EJ246,Budget!$A:$A,Budget!DS:DS)</f>
        <v>0</v>
      </c>
      <c r="FA246" s="106">
        <f>+_xlfn.XLOOKUP($EJ246,Budget!$A:$A,Budget!DT:DT)</f>
        <v>0</v>
      </c>
      <c r="FB246" s="106">
        <f>+_xlfn.XLOOKUP($EJ246,Budget!$A:$A,Budget!DU:DU)</f>
        <v>0</v>
      </c>
      <c r="FC246" s="106">
        <f>+_xlfn.XLOOKUP($EJ246,Budget!$A:$A,Budget!DV:DV)</f>
        <v>0</v>
      </c>
      <c r="FD246" s="106">
        <f>+_xlfn.XLOOKUP($EJ246,Budget!$A:$A,Budget!DW:DW)</f>
        <v>0</v>
      </c>
      <c r="FE246" s="106">
        <f>+_xlfn.XLOOKUP($EJ246,Budget!$A:$A,Budget!DX:DX)</f>
        <v>0</v>
      </c>
      <c r="FF246" s="106">
        <f>+_xlfn.XLOOKUP($EJ246,Budget!$A:$A,Budget!DY:DY)</f>
        <v>0</v>
      </c>
      <c r="FG246" s="106">
        <f>+_xlfn.XLOOKUP($EJ246,Budget!$A:$A,Budget!DZ:DZ)</f>
        <v>0</v>
      </c>
      <c r="FH246" s="106">
        <f>+_xlfn.XLOOKUP($EJ246,Budget!$A:$A,Budget!EA:EA)</f>
        <v>0</v>
      </c>
      <c r="FI246" s="106">
        <f>+_xlfn.XLOOKUP($EJ246,Budget!$A:$A,Budget!EB:EB)</f>
        <v>0</v>
      </c>
      <c r="FJ246" s="106">
        <f>+_xlfn.XLOOKUP($EJ246,Budget!$A:$A,Budget!EC:EC)</f>
        <v>0</v>
      </c>
      <c r="FK246" s="106">
        <f t="shared" si="3163"/>
        <v>0</v>
      </c>
    </row>
    <row r="247" spans="1:167" ht="14.45" hidden="1" customHeight="1" outlineLevel="1">
      <c r="A247" s="106">
        <f t="shared" si="3127"/>
        <v>0</v>
      </c>
      <c r="B247" s="106">
        <f t="shared" si="3127"/>
        <v>0</v>
      </c>
      <c r="C247" s="106">
        <f t="shared" si="3127"/>
        <v>0</v>
      </c>
      <c r="D247" s="106">
        <f t="shared" si="3127"/>
        <v>0</v>
      </c>
      <c r="E247" s="106">
        <f t="shared" si="3127"/>
        <v>0</v>
      </c>
      <c r="F247" s="106">
        <f t="shared" si="3127"/>
        <v>0</v>
      </c>
      <c r="G247" s="106">
        <f t="shared" si="3127"/>
        <v>0</v>
      </c>
      <c r="H247" s="106">
        <f t="shared" si="3127"/>
        <v>0</v>
      </c>
      <c r="I247" s="106">
        <f t="shared" si="3127"/>
        <v>0</v>
      </c>
      <c r="J247" s="106">
        <f t="shared" si="3127"/>
        <v>0</v>
      </c>
      <c r="K247" s="106">
        <f t="shared" si="3127"/>
        <v>0</v>
      </c>
      <c r="L247" s="106">
        <f t="shared" si="3127"/>
        <v>0</v>
      </c>
      <c r="M247" s="106">
        <f t="shared" si="3128"/>
        <v>0</v>
      </c>
      <c r="N247" s="16" t="s">
        <v>242</v>
      </c>
      <c r="O247" s="106">
        <f t="shared" si="3129"/>
        <v>0</v>
      </c>
      <c r="P247" s="106">
        <f t="shared" si="3130"/>
        <v>0</v>
      </c>
      <c r="Q247" s="106">
        <f t="shared" si="3131"/>
        <v>0</v>
      </c>
      <c r="R247" s="106">
        <f t="shared" si="3132"/>
        <v>0</v>
      </c>
      <c r="S247" s="106">
        <f t="shared" si="3133"/>
        <v>0</v>
      </c>
      <c r="T247" s="106">
        <f t="shared" si="3134"/>
        <v>0</v>
      </c>
      <c r="U247" s="106">
        <f t="shared" si="3135"/>
        <v>0</v>
      </c>
      <c r="V247" s="106">
        <f t="shared" si="3136"/>
        <v>0</v>
      </c>
      <c r="W247" s="106">
        <f t="shared" si="3137"/>
        <v>0</v>
      </c>
      <c r="X247" s="106">
        <f t="shared" si="3138"/>
        <v>0</v>
      </c>
      <c r="Y247" s="106">
        <f t="shared" si="3139"/>
        <v>0</v>
      </c>
      <c r="Z247" s="106">
        <f t="shared" si="3140"/>
        <v>0</v>
      </c>
      <c r="AA247" s="106">
        <f t="shared" si="3141"/>
        <v>0</v>
      </c>
      <c r="AB247" s="118">
        <f t="shared" si="2613"/>
        <v>0</v>
      </c>
      <c r="AC247" s="106">
        <f t="shared" si="3142"/>
        <v>0</v>
      </c>
      <c r="AD247" s="106">
        <f t="shared" si="3143"/>
        <v>0</v>
      </c>
      <c r="AE247" s="106">
        <f t="shared" si="3144"/>
        <v>0</v>
      </c>
      <c r="AF247" s="106">
        <f t="shared" si="3145"/>
        <v>0</v>
      </c>
      <c r="AG247" s="106">
        <f t="shared" si="3146"/>
        <v>0</v>
      </c>
      <c r="AH247" s="106">
        <f t="shared" si="3147"/>
        <v>0</v>
      </c>
      <c r="AI247" s="106">
        <f t="shared" si="3148"/>
        <v>0</v>
      </c>
      <c r="AJ247" s="106">
        <f t="shared" si="3149"/>
        <v>0</v>
      </c>
      <c r="AK247" s="106">
        <f t="shared" si="3150"/>
        <v>0</v>
      </c>
      <c r="AL247" s="106">
        <f t="shared" si="3151"/>
        <v>0</v>
      </c>
      <c r="AM247" s="106">
        <f t="shared" si="3152"/>
        <v>0</v>
      </c>
      <c r="AN247" s="106">
        <f t="shared" si="3153"/>
        <v>0</v>
      </c>
      <c r="AO247" s="106">
        <f t="shared" si="3154"/>
        <v>0</v>
      </c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  <c r="BA247" s="106"/>
      <c r="BB247" s="106"/>
      <c r="BC247" s="106">
        <f t="shared" si="3155"/>
        <v>0</v>
      </c>
      <c r="BD247" s="16" t="str">
        <f t="shared" si="2230"/>
        <v>Depreciation  -Vehicle</v>
      </c>
      <c r="BE247" s="106">
        <f>+VLOOKUP($BD247,'Jan-25'!$A:$J,5,0)</f>
        <v>0</v>
      </c>
      <c r="BF247" s="106">
        <f>+VLOOKUP($BD247,'Feb-25'!$A:$J,5,0)</f>
        <v>0</v>
      </c>
      <c r="BG247" s="106">
        <f>+VLOOKUP($BD247,'Mar-25'!$A:$J,5,0)</f>
        <v>0</v>
      </c>
      <c r="BH247" s="106">
        <f>+VLOOKUP($BD247,'Apr-25'!$A:$J,5,0)</f>
        <v>0</v>
      </c>
      <c r="BI247" s="106">
        <f>+VLOOKUP($BD247,'May-25'!$A:$J,5,0)</f>
        <v>0</v>
      </c>
      <c r="BJ247" s="106">
        <f>+VLOOKUP($BD247,'June-25'!$A:$J,5,0)</f>
        <v>0</v>
      </c>
      <c r="BK247" s="106">
        <f>+VLOOKUP($BD247,'July-25'!$A:$J,5,0)</f>
        <v>0</v>
      </c>
      <c r="BL247" s="106">
        <f>+VLOOKUP($BD247,'Aug-25'!$A:$J,5,0)</f>
        <v>0</v>
      </c>
      <c r="BM247" s="106">
        <f>+VLOOKUP($BD247,'Sep-25'!$A:$J,5,0)</f>
        <v>0</v>
      </c>
      <c r="BN247" s="106">
        <f>+VLOOKUP($BD247,'Oct-25'!$A:$J,5,0)</f>
        <v>0</v>
      </c>
      <c r="BO247" s="106">
        <f>+VLOOKUP($BD247,'Nov-25'!$A:$J,5,0)</f>
        <v>0</v>
      </c>
      <c r="BP247" s="106">
        <f>+VLOOKUP($BD247,'Dec-25'!$A:$J,5,0)</f>
        <v>0</v>
      </c>
      <c r="BQ247" s="106">
        <f t="shared" si="3156"/>
        <v>0</v>
      </c>
      <c r="BR247" s="118">
        <f t="shared" si="2614"/>
        <v>0</v>
      </c>
      <c r="BS247" s="106">
        <f>+_xlfn.XLOOKUP($BD247,Budget!$A:$A,Budget!BD:BD)</f>
        <v>0</v>
      </c>
      <c r="BT247" s="106">
        <f>+_xlfn.XLOOKUP($BD247,Budget!$A:$A,Budget!BE:BE)</f>
        <v>0</v>
      </c>
      <c r="BU247" s="106">
        <f>+_xlfn.XLOOKUP($BD247,Budget!$A:$A,Budget!BF:BF)</f>
        <v>0</v>
      </c>
      <c r="BV247" s="106">
        <f>+_xlfn.XLOOKUP($BD247,Budget!$A:$A,Budget!BG:BG)</f>
        <v>0</v>
      </c>
      <c r="BW247" s="106">
        <f>+_xlfn.XLOOKUP($BD247,Budget!$A:$A,Budget!BH:BH)</f>
        <v>0</v>
      </c>
      <c r="BX247" s="106">
        <f>+_xlfn.XLOOKUP($BD247,Budget!$A:$A,Budget!BI:BI)</f>
        <v>0</v>
      </c>
      <c r="BY247" s="106">
        <f>+_xlfn.XLOOKUP($BD247,Budget!$A:$A,Budget!BJ:BJ)</f>
        <v>0</v>
      </c>
      <c r="BZ247" s="106">
        <f>+_xlfn.XLOOKUP($BD247,Budget!$A:$A,Budget!BK:BK)</f>
        <v>0</v>
      </c>
      <c r="CA247" s="106">
        <f>+_xlfn.XLOOKUP($BD247,Budget!$A:$A,Budget!BL:BL)</f>
        <v>0</v>
      </c>
      <c r="CB247" s="106">
        <f>+_xlfn.XLOOKUP($BD247,Budget!$A:$A,Budget!BM:BM)</f>
        <v>0</v>
      </c>
      <c r="CC247" s="106">
        <f>+_xlfn.XLOOKUP($BD247,Budget!$A:$A,Budget!BN:BN)</f>
        <v>0</v>
      </c>
      <c r="CD247" s="106">
        <f>+_xlfn.XLOOKUP($BD247,Budget!$A:$A,Budget!BO:BO)</f>
        <v>0</v>
      </c>
      <c r="CE247" s="106">
        <f t="shared" si="3157"/>
        <v>0</v>
      </c>
      <c r="CF247" s="106"/>
      <c r="CG247" s="110">
        <v>0</v>
      </c>
      <c r="CH247" s="106">
        <v>0</v>
      </c>
      <c r="CI247" s="106">
        <v>0</v>
      </c>
      <c r="CJ247" s="106">
        <v>0</v>
      </c>
      <c r="CK247" s="106">
        <v>0</v>
      </c>
      <c r="CL247" s="106">
        <v>0</v>
      </c>
      <c r="CM247" s="106">
        <v>0</v>
      </c>
      <c r="CN247" s="106">
        <v>0</v>
      </c>
      <c r="CO247" s="106">
        <v>0</v>
      </c>
      <c r="CP247" s="106">
        <v>0</v>
      </c>
      <c r="CQ247" s="106">
        <v>0</v>
      </c>
      <c r="CR247" s="106">
        <v>0</v>
      </c>
      <c r="CS247" s="106">
        <f t="shared" si="3158"/>
        <v>0</v>
      </c>
      <c r="CT247" s="16" t="str">
        <f t="shared" si="2231"/>
        <v>Depreciation  -Vehicle</v>
      </c>
      <c r="CU247" s="106">
        <f>+VLOOKUP($BD247,'Jan-25'!$A:$J,8,0)</f>
        <v>0</v>
      </c>
      <c r="CV247" s="106">
        <f>+VLOOKUP($BD247,'Feb-25'!$A:$J,8,0)</f>
        <v>0</v>
      </c>
      <c r="CW247" s="106">
        <f>+VLOOKUP($BD247,'Mar-25'!$A:$J,8,0)</f>
        <v>0</v>
      </c>
      <c r="CX247" s="106">
        <f>+VLOOKUP($BD247,'Apr-25'!$A:$J,8,0)</f>
        <v>0</v>
      </c>
      <c r="CY247" s="106">
        <f>+VLOOKUP($BD247,'May-25'!$A:$J,8,0)</f>
        <v>0</v>
      </c>
      <c r="CZ247" s="106">
        <f>+VLOOKUP($BD247,'June-25'!$A:$J,8,0)</f>
        <v>0</v>
      </c>
      <c r="DA247" s="106">
        <f>+VLOOKUP($BD247,'July-25'!$A:$J,8,0)</f>
        <v>0</v>
      </c>
      <c r="DB247" s="106">
        <f>+VLOOKUP($BD247,'Aug-25'!$A:$J,8,0)</f>
        <v>0</v>
      </c>
      <c r="DC247" s="106">
        <f>+VLOOKUP($BD247,'Sep-25'!$A:$J,8,0)</f>
        <v>0</v>
      </c>
      <c r="DD247" s="106">
        <f>+VLOOKUP($BD247,'Oct-25'!$A:$J,8,0)</f>
        <v>0</v>
      </c>
      <c r="DE247" s="106">
        <f>+VLOOKUP($BD247,'Nov-25'!$A:$J,8,0)</f>
        <v>0</v>
      </c>
      <c r="DF247" s="106">
        <f>+VLOOKUP($BD247,'Dec-25'!$A:$J,8,0)</f>
        <v>0</v>
      </c>
      <c r="DG247" s="106">
        <f t="shared" si="3159"/>
        <v>0</v>
      </c>
      <c r="DH247" s="118">
        <f t="shared" si="2615"/>
        <v>0</v>
      </c>
      <c r="DI247" s="106">
        <f>+_xlfn.XLOOKUP($CT247,Budget!$A:$A,Budget!CQ:CQ)</f>
        <v>0</v>
      </c>
      <c r="DJ247" s="106">
        <f>+_xlfn.XLOOKUP($CT247,Budget!$A:$A,Budget!CR:CR)</f>
        <v>0</v>
      </c>
      <c r="DK247" s="106">
        <f>+_xlfn.XLOOKUP($CT247,Budget!$A:$A,Budget!CS:CS)</f>
        <v>0</v>
      </c>
      <c r="DL247" s="106">
        <f>+_xlfn.XLOOKUP($CT247,Budget!$A:$A,Budget!CT:CT)</f>
        <v>0</v>
      </c>
      <c r="DM247" s="106">
        <f>+_xlfn.XLOOKUP($CT247,Budget!$A:$A,Budget!CU:CU)</f>
        <v>0</v>
      </c>
      <c r="DN247" s="106">
        <f>+_xlfn.XLOOKUP($CT247,Budget!$A:$A,Budget!CV:CV)</f>
        <v>0</v>
      </c>
      <c r="DO247" s="106">
        <f>+_xlfn.XLOOKUP($CT247,Budget!$A:$A,Budget!CW:CW)</f>
        <v>0</v>
      </c>
      <c r="DP247" s="106">
        <f>+_xlfn.XLOOKUP($CT247,Budget!$A:$A,Budget!CX:CX)</f>
        <v>0</v>
      </c>
      <c r="DQ247" s="106">
        <f>+_xlfn.XLOOKUP($CT247,Budget!$A:$A,Budget!CY:CY)</f>
        <v>0</v>
      </c>
      <c r="DR247" s="106">
        <f>+_xlfn.XLOOKUP($CT247,Budget!$A:$A,Budget!CZ:CZ)</f>
        <v>0</v>
      </c>
      <c r="DS247" s="106">
        <f>+_xlfn.XLOOKUP($CT247,Budget!$A:$A,Budget!DA:DA)</f>
        <v>0</v>
      </c>
      <c r="DT247" s="106">
        <f>+_xlfn.XLOOKUP($CT247,Budget!$A:$A,Budget!DB:DB)</f>
        <v>0</v>
      </c>
      <c r="DU247" s="106">
        <f t="shared" si="3160"/>
        <v>0</v>
      </c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106">
        <f t="shared" si="3161"/>
        <v>0</v>
      </c>
      <c r="EJ247" s="16" t="str">
        <f t="shared" si="3091"/>
        <v>Depreciation  -Vehicle</v>
      </c>
      <c r="EK247" s="22">
        <f>+VLOOKUP($BD247,'Jan-25'!$A:$J,10,0)</f>
        <v>0</v>
      </c>
      <c r="EL247" s="22">
        <f>+VLOOKUP($BD247,'Feb-25'!$A:$J,10,0)</f>
        <v>0</v>
      </c>
      <c r="EM247" s="22">
        <f>+VLOOKUP($BD247,'Mar-25'!$A:$J,10,0)</f>
        <v>0</v>
      </c>
      <c r="EN247" s="22">
        <f>+VLOOKUP($BD247,'Apr-25'!$A:$J,10,0)</f>
        <v>0</v>
      </c>
      <c r="EO247" s="22">
        <f>+VLOOKUP($BD247,'May-25'!$A:$J,10,0)</f>
        <v>0</v>
      </c>
      <c r="EP247" s="22">
        <f>+VLOOKUP($BD247,'June-25'!$A:$J,10,0)</f>
        <v>0</v>
      </c>
      <c r="EQ247" s="22">
        <f>+VLOOKUP($BD247,'July-25'!$A:$J,10,0)</f>
        <v>0</v>
      </c>
      <c r="ER247" s="22">
        <f>+VLOOKUP($BD247,'Aug-25'!$A:$J,10,0)</f>
        <v>0</v>
      </c>
      <c r="ES247" s="22">
        <f>+VLOOKUP($BD247,'Sep-25'!$A:$J,10,0)</f>
        <v>0</v>
      </c>
      <c r="ET247" s="22">
        <f>+VLOOKUP($BD247,'Oct-25'!$A:$J,10,0)</f>
        <v>0</v>
      </c>
      <c r="EU247" s="22">
        <f>+VLOOKUP($BD247,'Nov-25'!$A:$J,10,0)</f>
        <v>0</v>
      </c>
      <c r="EV247" s="22">
        <f>+VLOOKUP($BD247,'Dec-25'!$A:$J,10,0)</f>
        <v>0</v>
      </c>
      <c r="EW247" s="22">
        <f t="shared" si="3162"/>
        <v>0</v>
      </c>
      <c r="EX247" s="118" t="e">
        <f t="shared" si="2616"/>
        <v>#DIV/0!</v>
      </c>
      <c r="EY247" s="106">
        <f>+_xlfn.XLOOKUP($EJ247,Budget!$A:$A,Budget!DR:DR)</f>
        <v>0</v>
      </c>
      <c r="EZ247" s="106">
        <f>+_xlfn.XLOOKUP($EJ247,Budget!$A:$A,Budget!DS:DS)</f>
        <v>0</v>
      </c>
      <c r="FA247" s="106">
        <f>+_xlfn.XLOOKUP($EJ247,Budget!$A:$A,Budget!DT:DT)</f>
        <v>0</v>
      </c>
      <c r="FB247" s="106">
        <f>+_xlfn.XLOOKUP($EJ247,Budget!$A:$A,Budget!DU:DU)</f>
        <v>0</v>
      </c>
      <c r="FC247" s="106">
        <f>+_xlfn.XLOOKUP($EJ247,Budget!$A:$A,Budget!DV:DV)</f>
        <v>0</v>
      </c>
      <c r="FD247" s="106">
        <f>+_xlfn.XLOOKUP($EJ247,Budget!$A:$A,Budget!DW:DW)</f>
        <v>0</v>
      </c>
      <c r="FE247" s="106">
        <f>+_xlfn.XLOOKUP($EJ247,Budget!$A:$A,Budget!DX:DX)</f>
        <v>0</v>
      </c>
      <c r="FF247" s="106">
        <f>+_xlfn.XLOOKUP($EJ247,Budget!$A:$A,Budget!DY:DY)</f>
        <v>0</v>
      </c>
      <c r="FG247" s="106">
        <f>+_xlfn.XLOOKUP($EJ247,Budget!$A:$A,Budget!DZ:DZ)</f>
        <v>0</v>
      </c>
      <c r="FH247" s="106">
        <f>+_xlfn.XLOOKUP($EJ247,Budget!$A:$A,Budget!EA:EA)</f>
        <v>0</v>
      </c>
      <c r="FI247" s="106">
        <f>+_xlfn.XLOOKUP($EJ247,Budget!$A:$A,Budget!EB:EB)</f>
        <v>0</v>
      </c>
      <c r="FJ247" s="106">
        <f>+_xlfn.XLOOKUP($EJ247,Budget!$A:$A,Budget!EC:EC)</f>
        <v>0</v>
      </c>
      <c r="FK247" s="106">
        <f t="shared" si="3163"/>
        <v>0</v>
      </c>
    </row>
    <row r="248" spans="1:167" ht="14.45" hidden="1" customHeight="1" outlineLevel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18">
        <f t="shared" si="2613"/>
        <v>0</v>
      </c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  <c r="BA248" s="106"/>
      <c r="BB248" s="106"/>
      <c r="BC248" s="106"/>
      <c r="BD248" s="16">
        <f t="shared" si="2230"/>
        <v>0</v>
      </c>
      <c r="BE248" s="106"/>
      <c r="BF248" s="106"/>
      <c r="BG248" s="106"/>
      <c r="BH248" s="106"/>
      <c r="BI248" s="106"/>
      <c r="BJ248" s="106"/>
      <c r="BK248" s="106"/>
      <c r="BL248" s="106"/>
      <c r="BM248" s="106"/>
      <c r="BN248" s="106"/>
      <c r="BO248" s="106"/>
      <c r="BP248" s="106"/>
      <c r="BQ248" s="106"/>
      <c r="BR248" s="118">
        <f t="shared" si="2614"/>
        <v>0</v>
      </c>
      <c r="BS248" s="106"/>
      <c r="BT248" s="106"/>
      <c r="BU248" s="106"/>
      <c r="BV248" s="106"/>
      <c r="BW248" s="106"/>
      <c r="BX248" s="106"/>
      <c r="BY248" s="106"/>
      <c r="BZ248" s="106"/>
      <c r="CA248" s="106"/>
      <c r="CB248" s="106"/>
      <c r="CC248" s="106"/>
      <c r="CD248" s="106"/>
      <c r="CE248" s="106"/>
      <c r="CF248" s="106"/>
      <c r="CG248" s="106"/>
      <c r="CH248" s="106"/>
      <c r="CI248" s="106"/>
      <c r="CJ248" s="106"/>
      <c r="CK248" s="106"/>
      <c r="CL248" s="106"/>
      <c r="CM248" s="106"/>
      <c r="CN248" s="106"/>
      <c r="CO248" s="106"/>
      <c r="CP248" s="106"/>
      <c r="CQ248" s="106"/>
      <c r="CR248" s="106"/>
      <c r="CS248" s="106"/>
      <c r="CT248" s="16">
        <f t="shared" si="2231"/>
        <v>0</v>
      </c>
      <c r="CU248" s="106"/>
      <c r="CV248" s="106"/>
      <c r="CW248" s="106"/>
      <c r="CX248" s="106"/>
      <c r="CY248" s="106"/>
      <c r="CZ248" s="106"/>
      <c r="DA248" s="106"/>
      <c r="DB248" s="106"/>
      <c r="DC248" s="106"/>
      <c r="DD248" s="106"/>
      <c r="DE248" s="106"/>
      <c r="DF248" s="106"/>
      <c r="DG248" s="106"/>
      <c r="DH248" s="118">
        <f t="shared" si="2615"/>
        <v>0</v>
      </c>
      <c r="DI248" s="106"/>
      <c r="DJ248" s="106"/>
      <c r="DK248" s="106"/>
      <c r="DL248" s="106"/>
      <c r="DM248" s="106"/>
      <c r="DN248" s="106"/>
      <c r="DO248" s="106"/>
      <c r="DP248" s="106"/>
      <c r="DQ248" s="106"/>
      <c r="DR248" s="106"/>
      <c r="DS248" s="106"/>
      <c r="DT248" s="106"/>
      <c r="DU248" s="106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106"/>
      <c r="EJ248" s="16">
        <f t="shared" si="3091"/>
        <v>0</v>
      </c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118" t="e">
        <f t="shared" si="2616"/>
        <v>#DIV/0!</v>
      </c>
      <c r="EY248" s="106"/>
      <c r="EZ248" s="106"/>
      <c r="FA248" s="106"/>
      <c r="FB248" s="106"/>
      <c r="FC248" s="106"/>
      <c r="FD248" s="106"/>
      <c r="FE248" s="106"/>
      <c r="FF248" s="106"/>
      <c r="FG248" s="106"/>
      <c r="FH248" s="106"/>
      <c r="FI248" s="106"/>
      <c r="FJ248" s="106"/>
      <c r="FK248" s="106"/>
    </row>
    <row r="249" spans="1:167" ht="14.45" customHeight="1" collapsed="1">
      <c r="A249" s="58">
        <f t="shared" ref="A249:M249" si="3164">+A233-A236-A241</f>
        <v>976531.7848298538</v>
      </c>
      <c r="B249" s="58">
        <f t="shared" si="3164"/>
        <v>4275188.3606272889</v>
      </c>
      <c r="C249" s="58">
        <f t="shared" si="3164"/>
        <v>1210724.9640272888</v>
      </c>
      <c r="D249" s="58">
        <f t="shared" si="3164"/>
        <v>1429406.7629272891</v>
      </c>
      <c r="E249" s="58">
        <f t="shared" si="3164"/>
        <v>1058916.5166272891</v>
      </c>
      <c r="F249" s="58">
        <f t="shared" si="3164"/>
        <v>1592550.1046272898</v>
      </c>
      <c r="G249" s="58">
        <f t="shared" si="3164"/>
        <v>2162377.27102789</v>
      </c>
      <c r="H249" s="58">
        <f t="shared" si="3164"/>
        <v>2786263.6501067779</v>
      </c>
      <c r="I249" s="58">
        <f t="shared" si="3164"/>
        <v>1104379.0973272889</v>
      </c>
      <c r="J249" s="58">
        <f t="shared" si="3164"/>
        <v>628345.46522728819</v>
      </c>
      <c r="K249" s="58">
        <f t="shared" si="3164"/>
        <v>3693055.9036272904</v>
      </c>
      <c r="L249" s="58">
        <f t="shared" si="3164"/>
        <v>3174309.28162729</v>
      </c>
      <c r="M249" s="58">
        <f t="shared" si="3164"/>
        <v>30361505.537230074</v>
      </c>
      <c r="N249" s="14" t="s">
        <v>201</v>
      </c>
      <c r="O249" s="58">
        <f t="shared" ref="O249:AA249" si="3165">+O233-O236-O241</f>
        <v>3232703.3051096355</v>
      </c>
      <c r="P249" s="58">
        <f t="shared" si="3165"/>
        <v>-353119.07480856485</v>
      </c>
      <c r="Q249" s="58">
        <f t="shared" si="3165"/>
        <v>3100469.4012875664</v>
      </c>
      <c r="R249" s="58">
        <f t="shared" si="3165"/>
        <v>690887.41584423743</v>
      </c>
      <c r="S249" s="58">
        <f t="shared" si="3165"/>
        <v>1814562.5627042376</v>
      </c>
      <c r="T249" s="58">
        <f t="shared" si="3165"/>
        <v>1573441.3537042364</v>
      </c>
      <c r="U249" s="58">
        <f t="shared" si="3165"/>
        <v>1721606.8326253807</v>
      </c>
      <c r="V249" s="58">
        <f t="shared" si="3165"/>
        <v>1662142.8944042353</v>
      </c>
      <c r="W249" s="58">
        <f t="shared" si="3165"/>
        <v>1306512.1784153469</v>
      </c>
      <c r="X249" s="58">
        <f t="shared" si="3165"/>
        <v>146470.52430423442</v>
      </c>
      <c r="Y249" s="58">
        <f t="shared" si="3165"/>
        <v>0</v>
      </c>
      <c r="Z249" s="58">
        <f t="shared" si="3165"/>
        <v>0</v>
      </c>
      <c r="AA249" s="58">
        <f t="shared" si="3165"/>
        <v>22771273.464692101</v>
      </c>
      <c r="AB249" s="118">
        <f t="shared" si="2613"/>
        <v>-0.8768371674224118</v>
      </c>
      <c r="AC249" s="58">
        <f t="shared" ref="AC249:AO249" si="3166">+AC233-AC236-AC241</f>
        <v>1619337.285503156</v>
      </c>
      <c r="AD249" s="58">
        <f t="shared" si="3166"/>
        <v>1470681.1488558413</v>
      </c>
      <c r="AE249" s="58">
        <f t="shared" si="3166"/>
        <v>1705989.4529582709</v>
      </c>
      <c r="AF249" s="58">
        <f t="shared" si="3166"/>
        <v>633162.63357921341</v>
      </c>
      <c r="AG249" s="58">
        <f t="shared" si="3166"/>
        <v>892813.51783367619</v>
      </c>
      <c r="AH249" s="58">
        <f t="shared" si="3166"/>
        <v>1611988.9282618603</v>
      </c>
      <c r="AI249" s="58">
        <f t="shared" si="3166"/>
        <v>1965572.4348079115</v>
      </c>
      <c r="AJ249" s="58">
        <f t="shared" si="3166"/>
        <v>2032417.9282076005</v>
      </c>
      <c r="AK249" s="58">
        <f t="shared" si="3166"/>
        <v>2209907.366523935</v>
      </c>
      <c r="AL249" s="58">
        <f t="shared" si="3166"/>
        <v>1189242.9009536076</v>
      </c>
      <c r="AM249" s="58">
        <f t="shared" si="3166"/>
        <v>504667.23813548195</v>
      </c>
      <c r="AN249" s="58">
        <f t="shared" si="3166"/>
        <v>1591852.2310139951</v>
      </c>
      <c r="AO249" s="58">
        <f t="shared" si="3166"/>
        <v>17143466.399967879</v>
      </c>
      <c r="AQ249" s="58">
        <f t="shared" ref="AQ249:BC249" si="3167">+AQ233-AQ236-AQ241</f>
        <v>701705.67276294879</v>
      </c>
      <c r="AR249" s="58">
        <f t="shared" si="3167"/>
        <v>3515081.6923362822</v>
      </c>
      <c r="AS249" s="58">
        <f t="shared" si="3167"/>
        <v>1301192.4078962822</v>
      </c>
      <c r="AT249" s="58">
        <f t="shared" si="3167"/>
        <v>1505178.2935362828</v>
      </c>
      <c r="AU249" s="58">
        <f t="shared" si="3167"/>
        <v>50883.151416282053</v>
      </c>
      <c r="AV249" s="58">
        <f t="shared" si="3167"/>
        <v>1622308.2102162822</v>
      </c>
      <c r="AW249" s="58">
        <f t="shared" si="3167"/>
        <v>1963630.0747766825</v>
      </c>
      <c r="AX249" s="58">
        <f t="shared" si="3167"/>
        <v>2065933.8388203862</v>
      </c>
      <c r="AY249" s="58">
        <f t="shared" si="3167"/>
        <v>1036666.4815362815</v>
      </c>
      <c r="AZ249" s="58">
        <f t="shared" si="3167"/>
        <v>-3601.8838637187728</v>
      </c>
      <c r="BA249" s="58">
        <f t="shared" si="3167"/>
        <v>1812980.2140962826</v>
      </c>
      <c r="BB249" s="58">
        <f t="shared" si="3167"/>
        <v>2171465.2626162833</v>
      </c>
      <c r="BC249" s="58">
        <f t="shared" si="3167"/>
        <v>17743423.41614655</v>
      </c>
      <c r="BD249" s="14" t="str">
        <f t="shared" si="2230"/>
        <v>PBT</v>
      </c>
      <c r="BE249" s="58">
        <f t="shared" ref="BE249:BQ249" si="3168">+BE233-BE236-BE241</f>
        <v>2658113.8323926395</v>
      </c>
      <c r="BF249" s="58">
        <f t="shared" si="3168"/>
        <v>586770.51912037306</v>
      </c>
      <c r="BG249" s="58">
        <f t="shared" si="3168"/>
        <v>2983938.2850031722</v>
      </c>
      <c r="BH249" s="58">
        <f t="shared" si="3168"/>
        <v>1424691.2463795627</v>
      </c>
      <c r="BI249" s="58">
        <f t="shared" si="3168"/>
        <v>2190815.3813795634</v>
      </c>
      <c r="BJ249" s="58">
        <f t="shared" si="3168"/>
        <v>1520567.8521395633</v>
      </c>
      <c r="BK249" s="58">
        <f t="shared" si="3168"/>
        <v>1956027.8380662519</v>
      </c>
      <c r="BL249" s="58">
        <f t="shared" si="3168"/>
        <v>1113473.6163395618</v>
      </c>
      <c r="BM249" s="58">
        <f t="shared" si="3168"/>
        <v>1734922.5224417853</v>
      </c>
      <c r="BN249" s="58">
        <f t="shared" si="3168"/>
        <v>581103.25333956233</v>
      </c>
      <c r="BO249" s="58">
        <f t="shared" si="3168"/>
        <v>0</v>
      </c>
      <c r="BP249" s="58">
        <f t="shared" si="3168"/>
        <v>0</v>
      </c>
      <c r="BQ249" s="58">
        <f t="shared" si="3168"/>
        <v>16750424.346602023</v>
      </c>
      <c r="BR249" s="118">
        <f t="shared" si="2614"/>
        <v>-0.63724410602507098</v>
      </c>
      <c r="BS249" s="58">
        <f t="shared" ref="BS249:CE249" si="3169">+BS233-BS236-BS241</f>
        <v>1769494.5610632519</v>
      </c>
      <c r="BT249" s="58">
        <f t="shared" si="3169"/>
        <v>1574544.4138517622</v>
      </c>
      <c r="BU249" s="58">
        <f t="shared" si="3169"/>
        <v>1556532.9233864222</v>
      </c>
      <c r="BV249" s="58">
        <f t="shared" si="3169"/>
        <v>1124526.010497001</v>
      </c>
      <c r="BW249" s="58">
        <f t="shared" si="3169"/>
        <v>1156100.7232258844</v>
      </c>
      <c r="BX249" s="58">
        <f t="shared" si="3169"/>
        <v>1675239.9123560449</v>
      </c>
      <c r="BY249" s="58">
        <f t="shared" si="3169"/>
        <v>2018036.193916175</v>
      </c>
      <c r="BZ249" s="58">
        <f t="shared" si="3169"/>
        <v>1826540.3873738898</v>
      </c>
      <c r="CA249" s="58">
        <f t="shared" si="3169"/>
        <v>1963793.9186336352</v>
      </c>
      <c r="CB249" s="58">
        <f t="shared" si="3169"/>
        <v>1601912.6442635385</v>
      </c>
      <c r="CC249" s="58">
        <f t="shared" si="3169"/>
        <v>1110758.3370089142</v>
      </c>
      <c r="CD249" s="58">
        <f t="shared" si="3169"/>
        <v>1934822.8568874965</v>
      </c>
      <c r="CE249" s="58">
        <f t="shared" si="3169"/>
        <v>19312302.882464007</v>
      </c>
      <c r="CF249" s="106"/>
      <c r="CG249" s="58">
        <f t="shared" ref="CG249:CS249" si="3170">+CG233-CG236-CG241</f>
        <v>274826.11206690525</v>
      </c>
      <c r="CH249" s="58">
        <f t="shared" si="3170"/>
        <v>760106.66829100763</v>
      </c>
      <c r="CI249" s="58">
        <f t="shared" si="3170"/>
        <v>-90467.443868993287</v>
      </c>
      <c r="CJ249" s="58">
        <f t="shared" si="3170"/>
        <v>-75771.530608992776</v>
      </c>
      <c r="CK249" s="58">
        <f t="shared" si="3170"/>
        <v>1008033.3652110066</v>
      </c>
      <c r="CL249" s="58">
        <f t="shared" si="3170"/>
        <v>-29758.105588992883</v>
      </c>
      <c r="CM249" s="58">
        <f t="shared" si="3170"/>
        <v>198747.19625120718</v>
      </c>
      <c r="CN249" s="58">
        <f t="shared" si="3170"/>
        <v>720329.81128639134</v>
      </c>
      <c r="CO249" s="58">
        <f t="shared" si="3170"/>
        <v>67712.615791007382</v>
      </c>
      <c r="CP249" s="58">
        <f t="shared" si="3170"/>
        <v>631947.34909100737</v>
      </c>
      <c r="CQ249" s="58">
        <f t="shared" si="3170"/>
        <v>1880075.6895310073</v>
      </c>
      <c r="CR249" s="58">
        <f t="shared" si="3170"/>
        <v>1002844.0190110077</v>
      </c>
      <c r="CS249" s="58">
        <f t="shared" si="3170"/>
        <v>6348625.7464635652</v>
      </c>
      <c r="CT249" s="14" t="str">
        <f t="shared" si="2231"/>
        <v>PBT</v>
      </c>
      <c r="CU249" s="58">
        <f t="shared" ref="CU249:DG249" si="3171">+CU233-CU236-CU241</f>
        <v>1179675.9537939182</v>
      </c>
      <c r="CV249" s="58">
        <f t="shared" si="3171"/>
        <v>-248264.52285201487</v>
      </c>
      <c r="CW249" s="58">
        <f t="shared" si="3171"/>
        <v>567454.56736131839</v>
      </c>
      <c r="CX249" s="58">
        <f t="shared" si="3171"/>
        <v>23000.745541596407</v>
      </c>
      <c r="CY249" s="58">
        <f t="shared" si="3171"/>
        <v>495735.40140159626</v>
      </c>
      <c r="CZ249" s="58">
        <f t="shared" si="3171"/>
        <v>116143.74764159604</v>
      </c>
      <c r="DA249" s="58">
        <f t="shared" si="3171"/>
        <v>444605.18963605235</v>
      </c>
      <c r="DB249" s="58">
        <f t="shared" si="3171"/>
        <v>705364.23014159559</v>
      </c>
      <c r="DC249" s="58">
        <f t="shared" si="3171"/>
        <v>336095.52205048455</v>
      </c>
      <c r="DD249" s="58">
        <f t="shared" si="3171"/>
        <v>292999.59504159598</v>
      </c>
      <c r="DE249" s="58">
        <f t="shared" si="3171"/>
        <v>0</v>
      </c>
      <c r="DF249" s="58">
        <f t="shared" si="3171"/>
        <v>0</v>
      </c>
      <c r="DG249" s="58">
        <f t="shared" si="3171"/>
        <v>3912810.429757745</v>
      </c>
      <c r="DH249" s="118">
        <f t="shared" si="2615"/>
        <v>-0.10872909169057772</v>
      </c>
      <c r="DI249" s="58">
        <f t="shared" ref="DI249:DU249" si="3172">+DI233-DI236-DI241</f>
        <v>424961.79302964802</v>
      </c>
      <c r="DJ249" s="58">
        <f t="shared" si="3172"/>
        <v>502562.09479382308</v>
      </c>
      <c r="DK249" s="58">
        <f t="shared" si="3172"/>
        <v>706009.16616159258</v>
      </c>
      <c r="DL249" s="58">
        <f t="shared" si="3172"/>
        <v>117395.31620528965</v>
      </c>
      <c r="DM249" s="58">
        <f t="shared" si="3172"/>
        <v>259654.71119753589</v>
      </c>
      <c r="DN249" s="58">
        <f t="shared" si="3172"/>
        <v>459857.59916222503</v>
      </c>
      <c r="DO249" s="58">
        <f t="shared" si="3172"/>
        <v>405256.71748148021</v>
      </c>
      <c r="DP249" s="58">
        <f t="shared" si="3172"/>
        <v>685338.49742345186</v>
      </c>
      <c r="DQ249" s="58">
        <f t="shared" si="3172"/>
        <v>751793.36128004442</v>
      </c>
      <c r="DR249" s="58">
        <f t="shared" si="3172"/>
        <v>328743.58661314612</v>
      </c>
      <c r="DS249" s="58">
        <f t="shared" si="3172"/>
        <v>114028.41771631225</v>
      </c>
      <c r="DT249" s="58">
        <f t="shared" si="3172"/>
        <v>393520.01653442392</v>
      </c>
      <c r="DU249" s="58">
        <f t="shared" si="3172"/>
        <v>5149121.2775989817</v>
      </c>
      <c r="DW249" s="28">
        <f t="shared" ref="DW249:EI249" si="3173">+DW233-DW236-DW241</f>
        <v>0</v>
      </c>
      <c r="DX249" s="28">
        <f t="shared" si="3173"/>
        <v>0</v>
      </c>
      <c r="DY249" s="28">
        <f t="shared" si="3173"/>
        <v>0</v>
      </c>
      <c r="DZ249" s="28">
        <f t="shared" si="3173"/>
        <v>0</v>
      </c>
      <c r="EA249" s="28">
        <f t="shared" si="3173"/>
        <v>0</v>
      </c>
      <c r="EB249" s="28">
        <f t="shared" si="3173"/>
        <v>0</v>
      </c>
      <c r="EC249" s="28">
        <f t="shared" si="3173"/>
        <v>0</v>
      </c>
      <c r="ED249" s="28">
        <f t="shared" si="3173"/>
        <v>0</v>
      </c>
      <c r="EE249" s="28">
        <f t="shared" si="3173"/>
        <v>0</v>
      </c>
      <c r="EF249" s="28">
        <f t="shared" si="3173"/>
        <v>0</v>
      </c>
      <c r="EG249" s="28">
        <f t="shared" si="3173"/>
        <v>0</v>
      </c>
      <c r="EH249" s="28">
        <f t="shared" si="3173"/>
        <v>0</v>
      </c>
      <c r="EI249" s="58">
        <f t="shared" si="3173"/>
        <v>0</v>
      </c>
      <c r="EJ249" s="14" t="str">
        <f t="shared" si="3091"/>
        <v>PBT</v>
      </c>
      <c r="EK249" s="28">
        <f t="shared" ref="EK249:EW249" si="3174">+EK233-EK236-EK241</f>
        <v>-605086.48107692308</v>
      </c>
      <c r="EL249" s="28">
        <f t="shared" si="3174"/>
        <v>-691625.07107692305</v>
      </c>
      <c r="EM249" s="28">
        <f t="shared" si="3174"/>
        <v>-450923.451076923</v>
      </c>
      <c r="EN249" s="28">
        <f t="shared" si="3174"/>
        <v>-756804.57607692317</v>
      </c>
      <c r="EO249" s="28">
        <f t="shared" si="3174"/>
        <v>-871988.22007692303</v>
      </c>
      <c r="EP249" s="28">
        <f t="shared" si="3174"/>
        <v>-63270.24607692298</v>
      </c>
      <c r="EQ249" s="28">
        <f t="shared" si="3174"/>
        <v>-679026.19507692312</v>
      </c>
      <c r="ER249" s="28">
        <f t="shared" si="3174"/>
        <v>-156694.95207692316</v>
      </c>
      <c r="ES249" s="28">
        <f t="shared" si="3174"/>
        <v>-764505.86607692309</v>
      </c>
      <c r="ET249" s="28">
        <f t="shared" si="3174"/>
        <v>-727632.32407692308</v>
      </c>
      <c r="EU249" s="28">
        <f t="shared" si="3174"/>
        <v>0</v>
      </c>
      <c r="EV249" s="28">
        <f t="shared" si="3174"/>
        <v>0</v>
      </c>
      <c r="EW249" s="28">
        <f t="shared" si="3174"/>
        <v>-5767557.3827692289</v>
      </c>
      <c r="EX249" s="118">
        <f t="shared" si="2616"/>
        <v>0.51183751981007419</v>
      </c>
      <c r="EY249" s="58">
        <f t="shared" ref="EY249:FK249" si="3175">+EY233-EY236-EY241</f>
        <v>-575119.06858974369</v>
      </c>
      <c r="EZ249" s="58">
        <f t="shared" si="3175"/>
        <v>-606425.35978974355</v>
      </c>
      <c r="FA249" s="58">
        <f t="shared" si="3175"/>
        <v>-556552.63658974343</v>
      </c>
      <c r="FB249" s="58">
        <f t="shared" si="3175"/>
        <v>-608758.69312307681</v>
      </c>
      <c r="FC249" s="58">
        <f t="shared" si="3175"/>
        <v>-522941.9165897434</v>
      </c>
      <c r="FD249" s="58">
        <f t="shared" si="3175"/>
        <v>-523108.58325641014</v>
      </c>
      <c r="FE249" s="58">
        <f t="shared" si="3175"/>
        <v>-457720.47658974369</v>
      </c>
      <c r="FF249" s="58">
        <f t="shared" si="3175"/>
        <v>-479460.95658974367</v>
      </c>
      <c r="FG249" s="58">
        <f t="shared" si="3175"/>
        <v>-505679.9133897436</v>
      </c>
      <c r="FH249" s="58">
        <f t="shared" si="3175"/>
        <v>-741413.32992307679</v>
      </c>
      <c r="FI249" s="58">
        <f t="shared" si="3175"/>
        <v>-720119.51658974332</v>
      </c>
      <c r="FJ249" s="58">
        <f t="shared" si="3175"/>
        <v>-710657.30907459208</v>
      </c>
      <c r="FK249" s="58">
        <f t="shared" si="3175"/>
        <v>-7007957.7600951036</v>
      </c>
    </row>
    <row r="250" spans="1:167" ht="14.45" customHeight="1">
      <c r="A250" s="108">
        <f t="shared" ref="A250:M250" si="3176">IFERROR(A249/A70,0)</f>
        <v>0.1449353237974457</v>
      </c>
      <c r="B250" s="108">
        <f t="shared" si="3176"/>
        <v>0.2381115453272665</v>
      </c>
      <c r="C250" s="108">
        <f t="shared" si="3176"/>
        <v>0.1397905232296415</v>
      </c>
      <c r="D250" s="108">
        <f t="shared" si="3176"/>
        <v>0.16540496714867836</v>
      </c>
      <c r="E250" s="108">
        <f t="shared" si="3176"/>
        <v>0.12732190524221668</v>
      </c>
      <c r="F250" s="108">
        <f t="shared" si="3176"/>
        <v>0.18156750673668534</v>
      </c>
      <c r="G250" s="108">
        <f t="shared" si="3176"/>
        <v>0.20637723300197769</v>
      </c>
      <c r="H250" s="108">
        <f t="shared" si="3176"/>
        <v>0.16999646733707219</v>
      </c>
      <c r="I250" s="108">
        <f t="shared" si="3176"/>
        <v>0.12444336735649295</v>
      </c>
      <c r="J250" s="108">
        <f t="shared" si="3176"/>
        <v>5.7284149774101879E-2</v>
      </c>
      <c r="K250" s="108">
        <f t="shared" si="3176"/>
        <v>0.25986984915936157</v>
      </c>
      <c r="L250" s="108">
        <f t="shared" si="3176"/>
        <v>0.22461651732280249</v>
      </c>
      <c r="M250" s="108">
        <f t="shared" si="3176"/>
        <v>0.2263456653274023</v>
      </c>
      <c r="N250" s="15" t="s">
        <v>58</v>
      </c>
      <c r="O250" s="108">
        <f t="shared" ref="O250:AA250" si="3177">IFERROR(O249/O70,0)</f>
        <v>0.28416872562899859</v>
      </c>
      <c r="P250" s="108">
        <f t="shared" si="3177"/>
        <v>-7.985581235291335E-2</v>
      </c>
      <c r="Q250" s="108">
        <f t="shared" si="3177"/>
        <v>0.20404135461221415</v>
      </c>
      <c r="R250" s="108">
        <f t="shared" si="3177"/>
        <v>6.2591784715424578E-2</v>
      </c>
      <c r="S250" s="108">
        <f t="shared" si="3177"/>
        <v>0.13105114233304077</v>
      </c>
      <c r="T250" s="108">
        <f t="shared" si="3177"/>
        <v>0.1367857251985117</v>
      </c>
      <c r="U250" s="108">
        <f t="shared" si="3177"/>
        <v>0.1453090796645686</v>
      </c>
      <c r="V250" s="108">
        <f t="shared" si="3177"/>
        <v>0.13723629208789406</v>
      </c>
      <c r="W250" s="108">
        <f t="shared" si="3177"/>
        <v>0.12011146051646908</v>
      </c>
      <c r="X250" s="108">
        <f t="shared" si="3177"/>
        <v>1.6411047458039136E-2</v>
      </c>
      <c r="Y250" s="108">
        <f t="shared" si="3177"/>
        <v>0</v>
      </c>
      <c r="Z250" s="108">
        <f t="shared" si="3177"/>
        <v>0</v>
      </c>
      <c r="AA250" s="108">
        <f t="shared" si="3177"/>
        <v>0.20488362037725572</v>
      </c>
      <c r="AB250" s="118">
        <f t="shared" si="2613"/>
        <v>-0.82742471739940504</v>
      </c>
      <c r="AC250" s="108">
        <f t="shared" ref="AC250:AO250" si="3178">IFERROR(AC249/AC70,0)</f>
        <v>0.12206553443040043</v>
      </c>
      <c r="AD250" s="108">
        <f t="shared" si="3178"/>
        <v>0.11295547970371585</v>
      </c>
      <c r="AE250" s="108">
        <f t="shared" si="3178"/>
        <v>0.12817820431680998</v>
      </c>
      <c r="AF250" s="108">
        <f t="shared" si="3178"/>
        <v>5.8340606981790812E-2</v>
      </c>
      <c r="AG250" s="108">
        <f t="shared" si="3178"/>
        <v>7.1946306690668718E-2</v>
      </c>
      <c r="AH250" s="108">
        <f t="shared" si="3178"/>
        <v>0.11930164945942022</v>
      </c>
      <c r="AI250" s="108">
        <f t="shared" si="3178"/>
        <v>0.13991175466263522</v>
      </c>
      <c r="AJ250" s="108">
        <f t="shared" si="3178"/>
        <v>0.13754946086801342</v>
      </c>
      <c r="AK250" s="108">
        <f t="shared" si="3178"/>
        <v>0.14341662483367026</v>
      </c>
      <c r="AL250" s="108">
        <f t="shared" si="3178"/>
        <v>9.5095005557780568E-2</v>
      </c>
      <c r="AM250" s="108">
        <f t="shared" si="3178"/>
        <v>4.8700709288907788E-2</v>
      </c>
      <c r="AN250" s="108">
        <f t="shared" si="3178"/>
        <v>0.11935092311882539</v>
      </c>
      <c r="AO250" s="108">
        <f t="shared" si="3178"/>
        <v>0.10932674802677048</v>
      </c>
      <c r="AP250" s="32"/>
      <c r="AQ250" s="108">
        <f t="shared" ref="AQ250" si="3179">IFERROR(AQ249/AQ70,0)</f>
        <v>0.16823563192838309</v>
      </c>
      <c r="AR250" s="108">
        <f t="shared" ref="AR250" si="3180">IFERROR(AR249/AR70,0)</f>
        <v>0.24266701938076599</v>
      </c>
      <c r="AS250" s="108">
        <f t="shared" ref="AS250" si="3181">IFERROR(AS249/AS70,0)</f>
        <v>0.18590875268804982</v>
      </c>
      <c r="AT250" s="108">
        <f t="shared" ref="AT250" si="3182">IFERROR(AT249/AT70,0)</f>
        <v>0.20303818428177042</v>
      </c>
      <c r="AU250" s="108">
        <f t="shared" ref="AU250" si="3183">IFERROR(AU249/AU70,0)</f>
        <v>1.3870347972932909E-2</v>
      </c>
      <c r="AV250" s="108">
        <f t="shared" ref="AV250" si="3184">IFERROR(AV249/AV70,0)</f>
        <v>0.23682540781153394</v>
      </c>
      <c r="AW250" s="108">
        <f t="shared" ref="AW250" si="3185">IFERROR(AW249/AW70,0)</f>
        <v>0.24239983652663716</v>
      </c>
      <c r="AX250" s="108">
        <f t="shared" ref="AX250" si="3186">IFERROR(AX249/AX70,0)</f>
        <v>0.17028096979726692</v>
      </c>
      <c r="AY250" s="108">
        <f t="shared" ref="AY250" si="3187">IFERROR(AY249/AY70,0)</f>
        <v>0.15235220250229065</v>
      </c>
      <c r="AZ250" s="108">
        <f t="shared" ref="AZ250" si="3188">IFERROR(AZ249/AZ70,0)</f>
        <v>-4.7489248990753325E-4</v>
      </c>
      <c r="BA250" s="108">
        <f t="shared" ref="BA250" si="3189">IFERROR(BA249/BA70,0)</f>
        <v>0.21367676629582688</v>
      </c>
      <c r="BB250" s="108">
        <f t="shared" ref="BB250:BC250" si="3190">IFERROR(BB249/BB70,0)</f>
        <v>0.24665665444043203</v>
      </c>
      <c r="BC250" s="108">
        <f t="shared" si="3190"/>
        <v>0.18579916458777385</v>
      </c>
      <c r="BD250" s="15" t="str">
        <f t="shared" ref="BD250" si="3191">N250</f>
        <v>% to Sales</v>
      </c>
      <c r="BE250" s="108">
        <f t="shared" ref="BE250:BP250" si="3192">IFERROR(BE249/BE70,0)</f>
        <v>0.33386279272940284</v>
      </c>
      <c r="BF250" s="108">
        <f t="shared" si="3192"/>
        <v>0.17755390661085327</v>
      </c>
      <c r="BG250" s="108">
        <f t="shared" si="3192"/>
        <v>0.28404699273650608</v>
      </c>
      <c r="BH250" s="108">
        <f t="shared" si="3192"/>
        <v>0.15503923640483691</v>
      </c>
      <c r="BI250" s="108">
        <f t="shared" si="3192"/>
        <v>0.21419080447882921</v>
      </c>
      <c r="BJ250" s="108">
        <f t="shared" si="3192"/>
        <v>0.20196865287476823</v>
      </c>
      <c r="BK250" s="108">
        <f t="shared" si="3192"/>
        <v>0.2479526544788104</v>
      </c>
      <c r="BL250" s="108">
        <f t="shared" si="3192"/>
        <v>0.17241922245984981</v>
      </c>
      <c r="BM250" s="108">
        <f t="shared" si="3192"/>
        <v>0.21637344748151346</v>
      </c>
      <c r="BN250" s="108">
        <f t="shared" si="3192"/>
        <v>0.11175683001176856</v>
      </c>
      <c r="BO250" s="108">
        <f t="shared" si="3192"/>
        <v>0</v>
      </c>
      <c r="BP250" s="108">
        <f t="shared" si="3192"/>
        <v>0</v>
      </c>
      <c r="BQ250" s="108">
        <f t="shared" ref="BQ250" si="3193">IFERROR(BQ249/BQ70,0)</f>
        <v>0.21958444496388468</v>
      </c>
      <c r="BR250" s="118">
        <f t="shared" si="2614"/>
        <v>-0.4117333145214187</v>
      </c>
      <c r="BS250" s="108">
        <f t="shared" ref="BS250" si="3194">IFERROR(BS249/BS70,0)</f>
        <v>0.20176027401700064</v>
      </c>
      <c r="BT250" s="108">
        <f t="shared" ref="BT250" si="3195">IFERROR(BT249/BT70,0)</f>
        <v>0.18704237749700481</v>
      </c>
      <c r="BU250" s="108">
        <f t="shared" ref="BU250" si="3196">IFERROR(BU249/BU70,0)</f>
        <v>0.19599722328824179</v>
      </c>
      <c r="BV250" s="108">
        <f t="shared" ref="BV250" si="3197">IFERROR(BV249/BV70,0)</f>
        <v>0.15297127587425829</v>
      </c>
      <c r="BW250" s="108">
        <f t="shared" ref="BW250" si="3198">IFERROR(BW249/BW70,0)</f>
        <v>0.14838526078458189</v>
      </c>
      <c r="BX250" s="108">
        <f t="shared" ref="BX250" si="3199">IFERROR(BX249/BX70,0)</f>
        <v>0.1979144096778527</v>
      </c>
      <c r="BY250" s="108">
        <f t="shared" ref="BY250" si="3200">IFERROR(BY249/BY70,0)</f>
        <v>0.22533880881886884</v>
      </c>
      <c r="BZ250" s="108">
        <f t="shared" ref="BZ250" si="3201">IFERROR(BZ249/BZ70,0)</f>
        <v>0.20452316548311253</v>
      </c>
      <c r="CA250" s="108">
        <f t="shared" ref="CA250" si="3202">IFERROR(CA249/CA70,0)</f>
        <v>0.20874240846906941</v>
      </c>
      <c r="CB250" s="108">
        <f t="shared" ref="CB250" si="3203">IFERROR(CB249/CB70,0)</f>
        <v>0.18997647286595767</v>
      </c>
      <c r="CC250" s="108">
        <f t="shared" ref="CC250" si="3204">IFERROR(CC249/CC70,0)</f>
        <v>0.16193080887897335</v>
      </c>
      <c r="CD250" s="108">
        <f t="shared" ref="CD250:CE250" si="3205">IFERROR(CD249/CD70,0)</f>
        <v>0.21450077901371262</v>
      </c>
      <c r="CE250" s="108">
        <f t="shared" si="3205"/>
        <v>0.19246349463253806</v>
      </c>
      <c r="CF250" s="47"/>
      <c r="CG250" s="108">
        <f t="shared" ref="CG250:CS250" si="3206">IFERROR(CG249/CG70,0)</f>
        <v>0.10707213824951484</v>
      </c>
      <c r="CH250" s="108">
        <f t="shared" si="3206"/>
        <v>0.21909159337308873</v>
      </c>
      <c r="CI250" s="108">
        <f t="shared" si="3206"/>
        <v>-5.4436059385728548E-2</v>
      </c>
      <c r="CJ250" s="108">
        <f t="shared" si="3206"/>
        <v>-6.1673860035196759E-2</v>
      </c>
      <c r="CK250" s="108">
        <f t="shared" si="3206"/>
        <v>0.21685782407049201</v>
      </c>
      <c r="CL250" s="108">
        <f t="shared" si="3206"/>
        <v>-1.5491834556702833E-2</v>
      </c>
      <c r="CM250" s="108">
        <f t="shared" si="3206"/>
        <v>8.3612611635015835E-2</v>
      </c>
      <c r="CN250" s="108">
        <f t="shared" si="3206"/>
        <v>0.16918575138907049</v>
      </c>
      <c r="CO250" s="108">
        <f t="shared" si="3206"/>
        <v>3.2709131280679808E-2</v>
      </c>
      <c r="CP250" s="108">
        <f t="shared" si="3206"/>
        <v>0.18672947131209053</v>
      </c>
      <c r="CQ250" s="108">
        <f t="shared" si="3206"/>
        <v>0.32831209619943097</v>
      </c>
      <c r="CR250" s="108">
        <f t="shared" si="3206"/>
        <v>0.18820265830610511</v>
      </c>
      <c r="CS250" s="108">
        <f t="shared" si="3206"/>
        <v>0.16430225824744524</v>
      </c>
      <c r="CT250" s="46" t="str">
        <f t="shared" ref="CT250" si="3207">BD250</f>
        <v>% to Sales</v>
      </c>
      <c r="CU250" s="108">
        <f t="shared" ref="CU250" si="3208">IFERROR(CU249/CU70,0)</f>
        <v>0.40847228503267158</v>
      </c>
      <c r="CV250" s="108">
        <f t="shared" ref="CV250" si="3209">IFERROR(CV249/CV70,0)</f>
        <v>-0.30657428416543409</v>
      </c>
      <c r="CW250" s="108">
        <f t="shared" ref="CW250" si="3210">IFERROR(CW249/CW70,0)</f>
        <v>0.15076513787887169</v>
      </c>
      <c r="CX250" s="108">
        <f t="shared" ref="CX250" si="3211">IFERROR(CX249/CX70,0)</f>
        <v>1.3548035136870855E-2</v>
      </c>
      <c r="CY250" s="108">
        <f t="shared" ref="CY250" si="3212">IFERROR(CY249/CY70,0)</f>
        <v>0.15122152041285139</v>
      </c>
      <c r="CZ250" s="108">
        <f t="shared" ref="CZ250" si="3213">IFERROR(CZ249/CZ70,0)</f>
        <v>6.7853272463644226E-2</v>
      </c>
      <c r="DA250" s="108">
        <f t="shared" ref="DA250" si="3214">IFERROR(DA249/DA70,0)</f>
        <v>0.14638466088906929</v>
      </c>
      <c r="DB250" s="108">
        <f t="shared" ref="DB250" si="3215">IFERROR(DB249/DB70,0)</f>
        <v>0.1729923016996503</v>
      </c>
      <c r="DC250" s="108">
        <f t="shared" ref="DC250" si="3216">IFERROR(DC249/DC70,0)</f>
        <v>0.1467050916465267</v>
      </c>
      <c r="DD250" s="108">
        <f t="shared" ref="DD250" si="3217">IFERROR(DD249/DD70,0)</f>
        <v>9.7361723390690505E-2</v>
      </c>
      <c r="DE250" s="108">
        <f t="shared" ref="DE250" si="3218">IFERROR(DE249/DE70,0)</f>
        <v>0</v>
      </c>
      <c r="DF250" s="108">
        <f t="shared" ref="DF250" si="3219">IFERROR(DF249/DF70,0)</f>
        <v>0</v>
      </c>
      <c r="DG250" s="108">
        <f t="shared" ref="DG250" si="3220">IFERROR(DG249/DG70,0)</f>
        <v>0.14729587709983197</v>
      </c>
      <c r="DH250" s="118">
        <f t="shared" si="2615"/>
        <v>-0.11025730418381875</v>
      </c>
      <c r="DI250" s="108">
        <f t="shared" ref="DI250" si="3221">IFERROR(DI249/DI70,0)</f>
        <v>0.13964086825314531</v>
      </c>
      <c r="DJ250" s="108">
        <f t="shared" ref="DJ250" si="3222">IFERROR(DJ249/DJ70,0)</f>
        <v>0.15481878698982438</v>
      </c>
      <c r="DK250" s="108">
        <f t="shared" ref="DK250" si="3223">IFERROR(DK249/DK70,0)</f>
        <v>0.18315157275910279</v>
      </c>
      <c r="DL250" s="108">
        <f t="shared" ref="DL250" si="3224">IFERROR(DL249/DL70,0)</f>
        <v>5.470730712122282E-2</v>
      </c>
      <c r="DM250" s="108">
        <f t="shared" ref="DM250" si="3225">IFERROR(DM249/DM70,0)</f>
        <v>8.6429646977176158E-2</v>
      </c>
      <c r="DN250" s="108">
        <f t="shared" ref="DN250" si="3226">IFERROR(DN249/DN70,0)</f>
        <v>0.13393619376497781</v>
      </c>
      <c r="DO250" s="108">
        <f t="shared" ref="DO250" si="3227">IFERROR(DO249/DO70,0)</f>
        <v>0.12365400686698748</v>
      </c>
      <c r="DP250" s="108">
        <f t="shared" ref="DP250" si="3228">IFERROR(DP249/DP70,0)</f>
        <v>0.16729119614503746</v>
      </c>
      <c r="DQ250" s="108">
        <f t="shared" ref="DQ250" si="3229">IFERROR(DQ249/DQ70,0)</f>
        <v>0.1735932223878687</v>
      </c>
      <c r="DR250" s="108">
        <f t="shared" ref="DR250" si="3230">IFERROR(DR249/DR70,0)</f>
        <v>0.10942683075513014</v>
      </c>
      <c r="DS250" s="108">
        <f t="shared" ref="DS250" si="3231">IFERROR(DS249/DS70,0)</f>
        <v>4.7444911759607883E-2</v>
      </c>
      <c r="DT250" s="108">
        <f t="shared" ref="DT250:DU250" si="3232">IFERROR(DT249/DT70,0)</f>
        <v>0.12390809507698471</v>
      </c>
      <c r="DU250" s="108">
        <f t="shared" si="3232"/>
        <v>0.13197460727903887</v>
      </c>
      <c r="DW250" s="30">
        <f t="shared" ref="DW250" si="3233">IFERROR(DW249/DW70,0)</f>
        <v>0</v>
      </c>
      <c r="DX250" s="30">
        <f t="shared" ref="DX250" si="3234">IFERROR(DX249/DX70,0)</f>
        <v>0</v>
      </c>
      <c r="DY250" s="30">
        <f t="shared" ref="DY250" si="3235">IFERROR(DY249/DY70,0)</f>
        <v>0</v>
      </c>
      <c r="DZ250" s="30">
        <f t="shared" ref="DZ250" si="3236">IFERROR(DZ249/DZ70,0)</f>
        <v>0</v>
      </c>
      <c r="EA250" s="30">
        <f t="shared" ref="EA250" si="3237">IFERROR(EA249/EA70,0)</f>
        <v>0</v>
      </c>
      <c r="EB250" s="30">
        <f t="shared" ref="EB250" si="3238">IFERROR(EB249/EB70,0)</f>
        <v>0</v>
      </c>
      <c r="EC250" s="30">
        <f t="shared" ref="EC250" si="3239">IFERROR(EC249/EC70,0)</f>
        <v>0</v>
      </c>
      <c r="ED250" s="30">
        <f t="shared" ref="ED250" si="3240">IFERROR(ED249/ED70,0)</f>
        <v>0</v>
      </c>
      <c r="EE250" s="30">
        <f t="shared" ref="EE250" si="3241">IFERROR(EE249/EE70,0)</f>
        <v>0</v>
      </c>
      <c r="EF250" s="30">
        <f t="shared" ref="EF250" si="3242">IFERROR(EF249/EF70,0)</f>
        <v>0</v>
      </c>
      <c r="EG250" s="30">
        <f t="shared" ref="EG250" si="3243">IFERROR(EG249/EG70,0)</f>
        <v>0</v>
      </c>
      <c r="EH250" s="30">
        <f t="shared" ref="EH250:EI250" si="3244">IFERROR(EH249/EH70,0)</f>
        <v>0</v>
      </c>
      <c r="EI250" s="30">
        <f t="shared" si="3244"/>
        <v>0</v>
      </c>
      <c r="EJ250" s="46" t="str">
        <f t="shared" si="3091"/>
        <v>% to Sales</v>
      </c>
      <c r="EK250" s="30">
        <f t="shared" ref="EK250" si="3245">IFERROR(EK249/EK70,0)</f>
        <v>-1.1497322287289049</v>
      </c>
      <c r="EL250" s="30">
        <f t="shared" ref="EL250" si="3246">IFERROR(EL249/EL70,0)</f>
        <v>-2.2498427869614139</v>
      </c>
      <c r="EM250" s="30">
        <f t="shared" ref="EM250" si="3247">IFERROR(EM249/EM70,0)</f>
        <v>-0.48675814783845717</v>
      </c>
      <c r="EN250" s="30">
        <f t="shared" ref="EN250" si="3248">IFERROR(EN249/EN70,0)</f>
        <v>-5.0106138306255605</v>
      </c>
      <c r="EO250" s="30">
        <f t="shared" ref="EO250" si="3249">IFERROR(EO249/EO70,0)</f>
        <v>-2.5671251806820488</v>
      </c>
      <c r="EP250" s="30">
        <f t="shared" ref="EP250" si="3250">IFERROR(EP249/EP70,0)</f>
        <v>-2.7964219037789916E-2</v>
      </c>
      <c r="EQ250" s="30">
        <f t="shared" ref="EQ250" si="3251">IFERROR(EQ249/EQ70,0)</f>
        <v>-0.73651741109010238</v>
      </c>
      <c r="ER250" s="30">
        <f t="shared" ref="ER250" si="3252">IFERROR(ER249/ER70,0)</f>
        <v>-9.9415294299797757E-2</v>
      </c>
      <c r="ES250" s="30">
        <f t="shared" ref="ES250" si="3253">IFERROR(ES249/ES70,0)</f>
        <v>-1.3451274317270339</v>
      </c>
      <c r="ET250" s="30">
        <f t="shared" ref="ET250" si="3254">IFERROR(ET249/ET70,0)</f>
        <v>-1.0162264002767976</v>
      </c>
      <c r="EU250" s="30">
        <f t="shared" ref="EU250" si="3255">IFERROR(EU249/EU70,0)</f>
        <v>0</v>
      </c>
      <c r="EV250" s="30">
        <f t="shared" ref="EV250" si="3256">IFERROR(EV249/EV70,0)</f>
        <v>0</v>
      </c>
      <c r="EW250" s="30">
        <f t="shared" ref="EW250" si="3257">IFERROR(EW249/EW70,0)</f>
        <v>-0.6952376132316489</v>
      </c>
      <c r="EX250" s="118">
        <f t="shared" si="2616"/>
        <v>3.4435657101013657</v>
      </c>
      <c r="EY250" s="108">
        <f t="shared" ref="EY250" si="3258">IFERROR(EY249/EY70,0)</f>
        <v>-0.3959239078822413</v>
      </c>
      <c r="EZ250" s="108">
        <f t="shared" ref="EZ250" si="3259">IFERROR(EZ249/EZ70,0)</f>
        <v>-0.44729550937462637</v>
      </c>
      <c r="FA250" s="108">
        <f t="shared" ref="FA250" si="3260">IFERROR(FA249/FA70,0)</f>
        <v>-0.36781669497876468</v>
      </c>
      <c r="FB250" s="108">
        <f t="shared" ref="FB250" si="3261">IFERROR(FB249/FB70,0)</f>
        <v>-0.44901656128155182</v>
      </c>
      <c r="FC250" s="108">
        <f t="shared" ref="FC250" si="3262">IFERROR(FC249/FC70,0)</f>
        <v>-0.32400366579290174</v>
      </c>
      <c r="FD250" s="108">
        <f t="shared" ref="FD250" si="3263">IFERROR(FD249/FD70,0)</f>
        <v>-0.32410692890731729</v>
      </c>
      <c r="FE250" s="108">
        <f t="shared" ref="FE250" si="3264">IFERROR(FE249/FE70,0)</f>
        <v>-0.25208342370356251</v>
      </c>
      <c r="FF250" s="108">
        <f t="shared" ref="FF250" si="3265">IFERROR(FF249/FF70,0)</f>
        <v>-0.27421272896182075</v>
      </c>
      <c r="FG250" s="108">
        <f t="shared" ref="FG250" si="3266">IFERROR(FG249/FG70,0)</f>
        <v>-0.30271352321159872</v>
      </c>
      <c r="FH250" s="108">
        <f t="shared" ref="FH250" si="3267">IFERROR(FH249/FH70,0)</f>
        <v>-0.693269607200799</v>
      </c>
      <c r="FI250" s="108">
        <f t="shared" ref="FI250" si="3268">IFERROR(FI249/FI70,0)</f>
        <v>-0.65478638606866935</v>
      </c>
      <c r="FJ250" s="108">
        <f t="shared" ref="FJ250:FK250" si="3269">IFERROR(FJ249/FJ70,0)</f>
        <v>-0.62253441808187948</v>
      </c>
      <c r="FK250" s="108">
        <f t="shared" si="3269"/>
        <v>-0.40158462138054629</v>
      </c>
    </row>
    <row r="251" spans="1:167" ht="14.45" customHeight="1">
      <c r="AB251" s="118"/>
      <c r="BR251" s="118"/>
      <c r="DH251" s="118"/>
    </row>
    <row r="252" spans="1:167" ht="14.45" customHeight="1">
      <c r="AB252" s="118"/>
      <c r="BR252" s="118"/>
      <c r="CV252" s="118">
        <f>+DG249+PMGR!DG249</f>
        <v>19100213.667182628</v>
      </c>
      <c r="DH252" s="118"/>
    </row>
    <row r="253" spans="1:167" ht="14.45" customHeight="1">
      <c r="AB253" s="118"/>
      <c r="BR253" s="118"/>
      <c r="DH253" s="118"/>
    </row>
    <row r="254" spans="1:167" ht="14.45" customHeight="1">
      <c r="AB254" s="118"/>
      <c r="BR254" s="118"/>
      <c r="DH254" s="118"/>
    </row>
    <row r="255" spans="1:167" ht="14.45" customHeight="1">
      <c r="AB255" s="118"/>
      <c r="BR255" s="118"/>
      <c r="DH255" s="118"/>
    </row>
    <row r="256" spans="1:167" ht="14.45" customHeight="1">
      <c r="N256" s="22" t="s">
        <v>60</v>
      </c>
      <c r="AB256" s="118"/>
      <c r="BR256" s="118"/>
      <c r="DH256" s="118"/>
    </row>
    <row r="257" spans="14:112" ht="14.45" customHeight="1">
      <c r="N257" s="22" t="s">
        <v>202</v>
      </c>
      <c r="AB257" s="118"/>
      <c r="BR257" s="118"/>
      <c r="DH257" s="118"/>
    </row>
    <row r="258" spans="14:112" ht="14.45" customHeight="1">
      <c r="N258" s="22" t="s">
        <v>203</v>
      </c>
      <c r="AB258" s="118"/>
      <c r="BR258" s="118"/>
      <c r="DH258" s="118"/>
    </row>
    <row r="259" spans="14:112" ht="14.45" customHeight="1">
      <c r="N259" s="22" t="s">
        <v>199</v>
      </c>
      <c r="AB259" s="118"/>
      <c r="BR259" s="118"/>
      <c r="DH259" s="118"/>
    </row>
    <row r="260" spans="14:112" ht="14.45" customHeight="1">
      <c r="N260" s="22" t="s">
        <v>204</v>
      </c>
      <c r="AB260" s="118"/>
      <c r="BR260" s="118"/>
      <c r="DH260" s="118"/>
    </row>
    <row r="261" spans="14:112" ht="14.45" customHeight="1">
      <c r="AB261" s="118"/>
      <c r="BR261" s="118"/>
      <c r="DH261" s="118"/>
    </row>
    <row r="262" spans="14:112" ht="14.45" customHeight="1">
      <c r="AB262" s="118"/>
      <c r="BR262" s="118"/>
      <c r="DH262" s="118"/>
    </row>
    <row r="263" spans="14:112" ht="14.45" customHeight="1">
      <c r="AB263" s="118"/>
      <c r="BR263" s="118"/>
      <c r="DH263" s="118"/>
    </row>
    <row r="264" spans="14:112" ht="14.45" customHeight="1">
      <c r="AB264" s="118"/>
      <c r="BR264" s="118"/>
      <c r="DH264" s="118"/>
    </row>
    <row r="265" spans="14:112" ht="14.45" customHeight="1">
      <c r="AB265" s="118"/>
      <c r="BR265" s="118"/>
      <c r="DH265" s="118"/>
    </row>
    <row r="266" spans="14:112" ht="14.45" customHeight="1">
      <c r="AB266" s="118"/>
      <c r="BR266" s="118"/>
      <c r="DH266" s="118"/>
    </row>
    <row r="267" spans="14:112" ht="14.45" customHeight="1">
      <c r="AB267" s="118"/>
      <c r="BR267" s="118"/>
      <c r="DH267" s="118"/>
    </row>
    <row r="268" spans="14:112" ht="14.45" customHeight="1">
      <c r="AB268" s="118"/>
      <c r="BR268" s="118"/>
      <c r="DH268" s="118"/>
    </row>
    <row r="269" spans="14:112" ht="14.45" customHeight="1">
      <c r="AB269" s="118"/>
      <c r="BR269" s="118"/>
      <c r="DH269" s="118"/>
    </row>
    <row r="270" spans="14:112" ht="14.45" customHeight="1">
      <c r="AB270" s="118"/>
      <c r="BR270" s="118"/>
      <c r="DH270" s="118"/>
    </row>
    <row r="271" spans="14:112" ht="14.45" customHeight="1">
      <c r="AB271" s="118"/>
      <c r="BR271" s="118"/>
      <c r="DH271" s="118"/>
    </row>
    <row r="272" spans="14:112" ht="14.45" customHeight="1">
      <c r="AB272" s="118"/>
      <c r="BR272" s="118"/>
      <c r="DH272" s="118"/>
    </row>
    <row r="273" spans="28:112" ht="14.45" customHeight="1">
      <c r="AB273" s="118"/>
      <c r="BR273" s="118"/>
      <c r="DH273" s="118"/>
    </row>
    <row r="274" spans="28:112" ht="14.45" customHeight="1">
      <c r="AB274" s="118"/>
      <c r="BR274" s="118"/>
      <c r="DH274" s="118"/>
    </row>
    <row r="275" spans="28:112" ht="14.45" customHeight="1">
      <c r="AB275" s="118"/>
      <c r="BR275" s="118"/>
      <c r="DH275" s="118"/>
    </row>
  </sheetData>
  <conditionalFormatting sqref="AB29:AB275">
    <cfRule type="cellIs" dxfId="4" priority="3" operator="greaterThan">
      <formula>0</formula>
    </cfRule>
  </conditionalFormatting>
  <conditionalFormatting sqref="BR29:BR275">
    <cfRule type="cellIs" dxfId="3" priority="1" operator="greaterThan">
      <formula>0</formula>
    </cfRule>
  </conditionalFormatting>
  <conditionalFormatting sqref="DH29:DH275">
    <cfRule type="cellIs" dxfId="2" priority="2" operator="greaterThan">
      <formula>0</formula>
    </cfRule>
  </conditionalFormatting>
  <conditionalFormatting sqref="EX29:EX250">
    <cfRule type="cellIs" dxfId="1" priority="5" operator="greaterThan">
      <formula>0</formula>
    </cfRule>
  </conditionalFormatting>
  <pageMargins left="0.7" right="0.7" top="0.75" bottom="0.75" header="0.3" footer="0.3"/>
  <ignoredErrors>
    <ignoredError sqref="A8:L16 A38:M65 O8:Z69 AC8:AO69 A227 A223 A214 A129:M213 A215:M222 B214:M214 A224:M226 B223:M223 A228:M239 B227:M227 O240:Z248 AC240:AO248 A240:M248 AC165:AO171 AC164:AN164 AC173:AO177 AC172:AN172 AC179:AO181 AC178:AN178 AC183:AO186 AC182:AN182 AC188:AO192 AC187:AN187 AC194:AO204 AC193:AN193 AC206:AO208 AC205:AN205 AC210:AO213 AC209:AN209 AC215:AO217 AC214:AN214 AC220:AO222 AC218:AN218 AC219:AM219 AC224:AO226 AC223:AN223 AC228:AO239 AC227:AN227 O71:Z239 AC71:AO163 A250:M250 O250:Z251 AC250:AO250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EBB9-C368-4E9B-94B6-EE7F7646C12E}">
  <sheetPr>
    <tabColor rgb="FF92D050"/>
  </sheetPr>
  <dimension ref="A1:AO275"/>
  <sheetViews>
    <sheetView topLeftCell="N231" workbookViewId="0">
      <selection activeCell="AA3" sqref="AA3"/>
    </sheetView>
  </sheetViews>
  <sheetFormatPr defaultRowHeight="15" outlineLevelRow="2" outlineLevelCol="1"/>
  <cols>
    <col min="1" max="1" width="11" hidden="1" customWidth="1" outlineLevel="1"/>
    <col min="2" max="2" width="9" hidden="1" customWidth="1" outlineLevel="1"/>
    <col min="3" max="3" width="10" hidden="1" customWidth="1" outlineLevel="1"/>
    <col min="4" max="4" width="9" hidden="1" customWidth="1" outlineLevel="1"/>
    <col min="5" max="5" width="10" hidden="1" customWidth="1" outlineLevel="1"/>
    <col min="6" max="7" width="9" hidden="1" customWidth="1" outlineLevel="1"/>
    <col min="8" max="8" width="10" hidden="1" customWidth="1" outlineLevel="1"/>
    <col min="9" max="9" width="9" hidden="1" customWidth="1" outlineLevel="1" collapsed="1"/>
    <col min="10" max="10" width="10" bestFit="1" customWidth="1" collapsed="1"/>
    <col min="11" max="12" width="10" hidden="1" customWidth="1" outlineLevel="1"/>
    <col min="13" max="13" width="11.5703125" bestFit="1" customWidth="1" collapsed="1"/>
    <col min="14" max="14" width="41.5703125" style="22" bestFit="1" customWidth="1"/>
    <col min="15" max="15" width="11" hidden="1" customWidth="1" outlineLevel="1"/>
    <col min="16" max="17" width="9" hidden="1" customWidth="1" outlineLevel="1"/>
    <col min="18" max="22" width="10" hidden="1" customWidth="1" outlineLevel="1"/>
    <col min="23" max="23" width="10" hidden="1" customWidth="1" outlineLevel="1" collapsed="1"/>
    <col min="24" max="24" width="10" bestFit="1" customWidth="1" collapsed="1"/>
    <col min="25" max="26" width="6.42578125" hidden="1" customWidth="1" outlineLevel="1"/>
    <col min="27" max="27" width="11.5703125" bestFit="1" customWidth="1" collapsed="1"/>
    <col min="28" max="28" width="7.42578125" bestFit="1" customWidth="1"/>
    <col min="29" max="29" width="11" hidden="1" customWidth="1" outlineLevel="1"/>
    <col min="30" max="36" width="10" hidden="1" customWidth="1" outlineLevel="1"/>
    <col min="37" max="37" width="10" hidden="1" customWidth="1" outlineLevel="1" collapsed="1"/>
    <col min="38" max="38" width="10" bestFit="1" customWidth="1" collapsed="1"/>
    <col min="39" max="40" width="10" hidden="1" customWidth="1" outlineLevel="1"/>
    <col min="41" max="41" width="11.5703125" bestFit="1" customWidth="1" collapsed="1"/>
  </cols>
  <sheetData>
    <row r="1" spans="1:41" ht="16.5" thickBot="1">
      <c r="A1" s="23" t="s">
        <v>205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" t="s">
        <v>0</v>
      </c>
      <c r="O1" s="23" t="s">
        <v>205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C1" s="23" t="s">
        <v>205</v>
      </c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</row>
    <row r="2" spans="1:41">
      <c r="A2" s="25">
        <v>45292</v>
      </c>
      <c r="B2" s="25">
        <v>45323</v>
      </c>
      <c r="C2" s="25">
        <v>45352</v>
      </c>
      <c r="D2" s="25">
        <v>45383</v>
      </c>
      <c r="E2" s="25">
        <v>45413</v>
      </c>
      <c r="F2" s="25">
        <v>45444</v>
      </c>
      <c r="G2" s="25">
        <v>45474</v>
      </c>
      <c r="H2" s="25">
        <v>45505</v>
      </c>
      <c r="I2" s="25">
        <v>45536</v>
      </c>
      <c r="J2" s="25">
        <v>45566</v>
      </c>
      <c r="K2" s="25">
        <v>45597</v>
      </c>
      <c r="L2" s="25">
        <v>45627</v>
      </c>
      <c r="M2" s="25" t="s">
        <v>245</v>
      </c>
      <c r="N2" s="2" t="s">
        <v>1</v>
      </c>
      <c r="O2" s="25">
        <v>45658</v>
      </c>
      <c r="P2" s="25">
        <v>45689</v>
      </c>
      <c r="Q2" s="25">
        <v>45717</v>
      </c>
      <c r="R2" s="25">
        <v>45748</v>
      </c>
      <c r="S2" s="25">
        <v>45778</v>
      </c>
      <c r="T2" s="25">
        <v>45809</v>
      </c>
      <c r="U2" s="25">
        <v>45839</v>
      </c>
      <c r="V2" s="25">
        <v>45870</v>
      </c>
      <c r="W2" s="25">
        <v>45901</v>
      </c>
      <c r="X2" s="25">
        <v>45931</v>
      </c>
      <c r="Y2" s="25">
        <v>45962</v>
      </c>
      <c r="Z2" s="25">
        <v>45992</v>
      </c>
      <c r="AA2" s="25" t="s">
        <v>207</v>
      </c>
      <c r="AC2" s="25">
        <v>45658</v>
      </c>
      <c r="AD2" s="25">
        <v>45689</v>
      </c>
      <c r="AE2" s="25">
        <v>45717</v>
      </c>
      <c r="AF2" s="25">
        <v>45748</v>
      </c>
      <c r="AG2" s="25">
        <v>45778</v>
      </c>
      <c r="AH2" s="25">
        <v>45809</v>
      </c>
      <c r="AI2" s="25">
        <v>45839</v>
      </c>
      <c r="AJ2" s="25">
        <v>45870</v>
      </c>
      <c r="AK2" s="25">
        <v>45901</v>
      </c>
      <c r="AL2" s="25">
        <v>45931</v>
      </c>
      <c r="AM2" s="25">
        <v>45962</v>
      </c>
      <c r="AN2" s="25">
        <v>45992</v>
      </c>
      <c r="AO2" s="25" t="s">
        <v>207</v>
      </c>
    </row>
    <row r="3" spans="1:41">
      <c r="A3" s="26" t="s">
        <v>206</v>
      </c>
      <c r="B3" s="26" t="s">
        <v>206</v>
      </c>
      <c r="C3" s="26" t="s">
        <v>206</v>
      </c>
      <c r="D3" s="26" t="s">
        <v>206</v>
      </c>
      <c r="E3" s="26" t="s">
        <v>206</v>
      </c>
      <c r="F3" s="26" t="s">
        <v>206</v>
      </c>
      <c r="G3" s="26" t="s">
        <v>206</v>
      </c>
      <c r="H3" s="26" t="s">
        <v>206</v>
      </c>
      <c r="I3" s="26" t="s">
        <v>206</v>
      </c>
      <c r="J3" s="26" t="s">
        <v>206</v>
      </c>
      <c r="K3" s="26" t="s">
        <v>206</v>
      </c>
      <c r="L3" s="26" t="s">
        <v>206</v>
      </c>
      <c r="M3" s="26" t="s">
        <v>206</v>
      </c>
      <c r="N3" s="3" t="s">
        <v>2</v>
      </c>
      <c r="O3" s="26" t="s">
        <v>206</v>
      </c>
      <c r="P3" s="26" t="s">
        <v>206</v>
      </c>
      <c r="Q3" s="26" t="s">
        <v>206</v>
      </c>
      <c r="R3" s="26" t="s">
        <v>206</v>
      </c>
      <c r="S3" s="26" t="s">
        <v>206</v>
      </c>
      <c r="T3" s="26" t="s">
        <v>206</v>
      </c>
      <c r="U3" s="26" t="s">
        <v>206</v>
      </c>
      <c r="V3" s="26" t="s">
        <v>206</v>
      </c>
      <c r="W3" s="26" t="s">
        <v>206</v>
      </c>
      <c r="X3" s="26" t="s">
        <v>206</v>
      </c>
      <c r="Y3" s="26" t="s">
        <v>206</v>
      </c>
      <c r="Z3" s="26" t="s">
        <v>206</v>
      </c>
      <c r="AA3" s="26" t="s">
        <v>206</v>
      </c>
      <c r="AC3" s="26" t="s">
        <v>208</v>
      </c>
      <c r="AD3" s="26" t="s">
        <v>208</v>
      </c>
      <c r="AE3" s="26" t="s">
        <v>208</v>
      </c>
      <c r="AF3" s="26" t="s">
        <v>208</v>
      </c>
      <c r="AG3" s="26" t="s">
        <v>208</v>
      </c>
      <c r="AH3" s="26" t="s">
        <v>208</v>
      </c>
      <c r="AI3" s="26" t="s">
        <v>208</v>
      </c>
      <c r="AJ3" s="26" t="s">
        <v>208</v>
      </c>
      <c r="AK3" s="26" t="s">
        <v>208</v>
      </c>
      <c r="AL3" s="26" t="s">
        <v>208</v>
      </c>
      <c r="AM3" s="26" t="s">
        <v>208</v>
      </c>
      <c r="AN3" s="26" t="s">
        <v>208</v>
      </c>
      <c r="AO3" s="26" t="s">
        <v>208</v>
      </c>
    </row>
    <row r="4" spans="1:41" hidden="1" outlineLevel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>
        <f>+SUM(A4:L4)</f>
        <v>0</v>
      </c>
      <c r="N4" s="4" t="s">
        <v>3</v>
      </c>
      <c r="O4" s="105">
        <f>+'Jan-25'!C4</f>
        <v>0</v>
      </c>
      <c r="P4" s="105">
        <f>+'Feb-25'!C4</f>
        <v>0</v>
      </c>
      <c r="Q4" s="105">
        <f>+'Mar-25'!C4</f>
        <v>0</v>
      </c>
      <c r="R4" s="105">
        <f>+'Apr-25'!C4</f>
        <v>0</v>
      </c>
      <c r="S4" s="105">
        <f>+'May-25'!C4</f>
        <v>0</v>
      </c>
      <c r="T4" s="105">
        <f>+'June-25'!C4</f>
        <v>0</v>
      </c>
      <c r="U4" s="105">
        <f>+'July-25'!C4</f>
        <v>0</v>
      </c>
      <c r="V4" s="105">
        <f>+'Aug-25'!C4</f>
        <v>0</v>
      </c>
      <c r="W4" s="105">
        <f>+'Sep-25'!C4</f>
        <v>0</v>
      </c>
      <c r="X4" s="105">
        <f>+'Oct-25'!C4</f>
        <v>0</v>
      </c>
      <c r="Y4" s="105">
        <f>+'Nov-25'!C4</f>
        <v>0</v>
      </c>
      <c r="Z4" s="105">
        <f>+'Dec-25'!C4</f>
        <v>0</v>
      </c>
      <c r="AA4" s="105">
        <f>+SUM(O4:Z4)</f>
        <v>0</v>
      </c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</row>
    <row r="5" spans="1:41" ht="17.25" hidden="1" outlineLevel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5" t="s">
        <v>4</v>
      </c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</row>
    <row r="6" spans="1:41" hidden="1" outlineLevel="1">
      <c r="A6" s="58">
        <f t="shared" ref="A6" si="0">+A7+A8+A13</f>
        <v>0</v>
      </c>
      <c r="B6" s="58">
        <f t="shared" ref="B6" si="1">+B7+B8+B13</f>
        <v>0</v>
      </c>
      <c r="C6" s="58">
        <f t="shared" ref="C6" si="2">+C7+C8+C13</f>
        <v>0</v>
      </c>
      <c r="D6" s="58">
        <f t="shared" ref="D6" si="3">+D7+D8+D13</f>
        <v>0</v>
      </c>
      <c r="E6" s="58">
        <f t="shared" ref="E6" si="4">+E7+E8+E13</f>
        <v>0</v>
      </c>
      <c r="F6" s="58">
        <f t="shared" ref="F6" si="5">+F7+F8+F13</f>
        <v>0</v>
      </c>
      <c r="G6" s="58">
        <f t="shared" ref="G6" si="6">+G7+G8+G13</f>
        <v>0</v>
      </c>
      <c r="H6" s="58">
        <f t="shared" ref="H6" si="7">+H7+H8+H13</f>
        <v>0</v>
      </c>
      <c r="I6" s="58">
        <f t="shared" ref="I6" si="8">+I7+I8+I13</f>
        <v>0</v>
      </c>
      <c r="J6" s="58">
        <f t="shared" ref="J6" si="9">+J7+J8+J13</f>
        <v>0</v>
      </c>
      <c r="K6" s="58">
        <f t="shared" ref="K6" si="10">+K7+K8+K13</f>
        <v>0</v>
      </c>
      <c r="L6" s="58">
        <f t="shared" ref="L6" si="11">+L7+L8+L13</f>
        <v>0</v>
      </c>
      <c r="M6" s="58">
        <f>+SUM(A6:L6)</f>
        <v>0</v>
      </c>
      <c r="N6" s="6" t="s">
        <v>5</v>
      </c>
      <c r="O6" s="58">
        <f t="shared" ref="O6:AA6" si="12">+O7+O8+O13</f>
        <v>0</v>
      </c>
      <c r="P6" s="58">
        <f t="shared" si="12"/>
        <v>0</v>
      </c>
      <c r="Q6" s="58">
        <f t="shared" si="12"/>
        <v>0</v>
      </c>
      <c r="R6" s="58">
        <f t="shared" si="12"/>
        <v>0</v>
      </c>
      <c r="S6" s="58">
        <f t="shared" si="12"/>
        <v>0</v>
      </c>
      <c r="T6" s="58">
        <f t="shared" si="12"/>
        <v>0</v>
      </c>
      <c r="U6" s="58">
        <f t="shared" si="12"/>
        <v>0</v>
      </c>
      <c r="V6" s="58">
        <f t="shared" si="12"/>
        <v>0</v>
      </c>
      <c r="W6" s="58">
        <f t="shared" si="12"/>
        <v>0</v>
      </c>
      <c r="X6" s="58">
        <f t="shared" si="12"/>
        <v>0</v>
      </c>
      <c r="Y6" s="58">
        <f t="shared" si="12"/>
        <v>0</v>
      </c>
      <c r="Z6" s="58">
        <f t="shared" si="12"/>
        <v>0</v>
      </c>
      <c r="AA6" s="58">
        <f t="shared" si="12"/>
        <v>0</v>
      </c>
      <c r="AC6" s="58">
        <f t="shared" ref="AC6" si="13">+AC7+AC8+AC13</f>
        <v>0</v>
      </c>
      <c r="AD6" s="58">
        <f t="shared" ref="AD6" si="14">+AD7+AD8+AD13</f>
        <v>0</v>
      </c>
      <c r="AE6" s="58">
        <f t="shared" ref="AE6" si="15">+AE7+AE8+AE13</f>
        <v>0</v>
      </c>
      <c r="AF6" s="58">
        <f t="shared" ref="AF6" si="16">+AF7+AF8+AF13</f>
        <v>0</v>
      </c>
      <c r="AG6" s="58">
        <f t="shared" ref="AG6" si="17">+AG7+AG8+AG13</f>
        <v>0</v>
      </c>
      <c r="AH6" s="58">
        <f t="shared" ref="AH6" si="18">+AH7+AH8+AH13</f>
        <v>0</v>
      </c>
      <c r="AI6" s="58">
        <f t="shared" ref="AI6" si="19">+AI7+AI8+AI13</f>
        <v>0</v>
      </c>
      <c r="AJ6" s="58">
        <f t="shared" ref="AJ6" si="20">+AJ7+AJ8+AJ13</f>
        <v>0</v>
      </c>
      <c r="AK6" s="58">
        <f t="shared" ref="AK6" si="21">+AK7+AK8+AK13</f>
        <v>0</v>
      </c>
      <c r="AL6" s="58">
        <f t="shared" ref="AL6" si="22">+AL7+AL8+AL13</f>
        <v>0</v>
      </c>
      <c r="AM6" s="58">
        <f t="shared" ref="AM6" si="23">+AM7+AM8+AM13</f>
        <v>0</v>
      </c>
      <c r="AN6" s="58">
        <f t="shared" ref="AN6" si="24">+AN7+AN8+AN13</f>
        <v>0</v>
      </c>
      <c r="AO6" s="58">
        <f t="shared" ref="AO6" si="25">+AO7+AO8+AO13</f>
        <v>0</v>
      </c>
    </row>
    <row r="7" spans="1:41" hidden="1" outlineLevel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>
        <f>+SUM(A7:L7)</f>
        <v>0</v>
      </c>
      <c r="N7" s="6" t="s">
        <v>6</v>
      </c>
      <c r="O7" s="58">
        <f>+VLOOKUP($N7,'Jan-25'!A:J,3,0)</f>
        <v>0</v>
      </c>
      <c r="P7" s="58">
        <f>+VLOOKUP($N7,'Feb-25'!A:J,3,0)</f>
        <v>0</v>
      </c>
      <c r="Q7" s="58">
        <f>+VLOOKUP($N7,'Mar-25'!A:J,3,0)</f>
        <v>0</v>
      </c>
      <c r="R7" s="58">
        <f>+VLOOKUP($N7,'Apr-25'!A:J,3,0)</f>
        <v>0</v>
      </c>
      <c r="S7" s="58">
        <f>+VLOOKUP($N7,'May-25'!A:J,3,0)</f>
        <v>0</v>
      </c>
      <c r="T7" s="58">
        <f>+VLOOKUP($N7,'June-25'!A:J,3,0)</f>
        <v>0</v>
      </c>
      <c r="U7" s="58">
        <f>+VLOOKUP($N7,'July-25'!A:J,3,0)</f>
        <v>0</v>
      </c>
      <c r="V7" s="58">
        <f>+VLOOKUP($N7,'Aug-25'!A:J,3,0)</f>
        <v>0</v>
      </c>
      <c r="W7" s="58">
        <f>+VLOOKUP($N7,'Sep-25'!A:J,3,0)</f>
        <v>0</v>
      </c>
      <c r="X7" s="58">
        <f>+VLOOKUP($N7,'Oct-25'!A:J,3,0)</f>
        <v>0</v>
      </c>
      <c r="Y7" s="58">
        <f>+VLOOKUP($N7,'Nov-25'!A:J,3,0)</f>
        <v>0</v>
      </c>
      <c r="Z7" s="58">
        <f>+VLOOKUP($N7,'Dec-25'!A:J,3,0)</f>
        <v>0</v>
      </c>
      <c r="AA7" s="58">
        <f>+SUM(O7:Z7)</f>
        <v>0</v>
      </c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</row>
    <row r="8" spans="1:41" hidden="1" outlineLevel="1">
      <c r="A8" s="58">
        <f t="shared" ref="A8" si="26">+SUM(A9:A12)</f>
        <v>0</v>
      </c>
      <c r="B8" s="58">
        <f t="shared" ref="B8" si="27">+SUM(B9:B12)</f>
        <v>0</v>
      </c>
      <c r="C8" s="58">
        <f t="shared" ref="C8" si="28">+SUM(C9:C12)</f>
        <v>0</v>
      </c>
      <c r="D8" s="58">
        <f t="shared" ref="D8" si="29">+SUM(D9:D12)</f>
        <v>0</v>
      </c>
      <c r="E8" s="58">
        <f t="shared" ref="E8" si="30">+SUM(E9:E12)</f>
        <v>0</v>
      </c>
      <c r="F8" s="58">
        <f t="shared" ref="F8" si="31">+SUM(F9:F12)</f>
        <v>0</v>
      </c>
      <c r="G8" s="58">
        <f t="shared" ref="G8" si="32">+SUM(G9:G12)</f>
        <v>0</v>
      </c>
      <c r="H8" s="58">
        <f t="shared" ref="H8" si="33">+SUM(H9:H12)</f>
        <v>0</v>
      </c>
      <c r="I8" s="58">
        <f t="shared" ref="I8" si="34">+SUM(I9:I12)</f>
        <v>0</v>
      </c>
      <c r="J8" s="58">
        <f t="shared" ref="J8" si="35">+SUM(J9:J12)</f>
        <v>0</v>
      </c>
      <c r="K8" s="58">
        <f t="shared" ref="K8" si="36">+SUM(K9:K12)</f>
        <v>0</v>
      </c>
      <c r="L8" s="58">
        <f t="shared" ref="L8" si="37">+SUM(L9:L12)</f>
        <v>0</v>
      </c>
      <c r="M8" s="58">
        <f t="shared" ref="M8" si="38">+SUM(A8:L8)</f>
        <v>0</v>
      </c>
      <c r="N8" s="6" t="s">
        <v>219</v>
      </c>
      <c r="O8" s="58">
        <f t="shared" ref="O8:AA8" si="39">+SUM(O9:O12)</f>
        <v>0</v>
      </c>
      <c r="P8" s="58">
        <f t="shared" si="39"/>
        <v>0</v>
      </c>
      <c r="Q8" s="58">
        <f t="shared" si="39"/>
        <v>0</v>
      </c>
      <c r="R8" s="58">
        <f t="shared" si="39"/>
        <v>0</v>
      </c>
      <c r="S8" s="58">
        <f t="shared" si="39"/>
        <v>0</v>
      </c>
      <c r="T8" s="58">
        <f t="shared" si="39"/>
        <v>0</v>
      </c>
      <c r="U8" s="58">
        <f t="shared" si="39"/>
        <v>0</v>
      </c>
      <c r="V8" s="58">
        <f t="shared" si="39"/>
        <v>0</v>
      </c>
      <c r="W8" s="58">
        <f t="shared" si="39"/>
        <v>0</v>
      </c>
      <c r="X8" s="58">
        <f t="shared" si="39"/>
        <v>0</v>
      </c>
      <c r="Y8" s="58">
        <f t="shared" si="39"/>
        <v>0</v>
      </c>
      <c r="Z8" s="58">
        <f t="shared" si="39"/>
        <v>0</v>
      </c>
      <c r="AA8" s="58">
        <f t="shared" si="39"/>
        <v>0</v>
      </c>
      <c r="AC8" s="58">
        <f t="shared" ref="AC8" si="40">+SUM(AC9:AC12)</f>
        <v>0</v>
      </c>
      <c r="AD8" s="58">
        <f t="shared" ref="AD8" si="41">+SUM(AD9:AD12)</f>
        <v>0</v>
      </c>
      <c r="AE8" s="58">
        <f t="shared" ref="AE8" si="42">+SUM(AE9:AE12)</f>
        <v>0</v>
      </c>
      <c r="AF8" s="58">
        <f t="shared" ref="AF8" si="43">+SUM(AF9:AF12)</f>
        <v>0</v>
      </c>
      <c r="AG8" s="58">
        <f t="shared" ref="AG8" si="44">+SUM(AG9:AG12)</f>
        <v>0</v>
      </c>
      <c r="AH8" s="58">
        <f t="shared" ref="AH8" si="45">+SUM(AH9:AH12)</f>
        <v>0</v>
      </c>
      <c r="AI8" s="58">
        <f t="shared" ref="AI8" si="46">+SUM(AI9:AI12)</f>
        <v>0</v>
      </c>
      <c r="AJ8" s="58">
        <f t="shared" ref="AJ8" si="47">+SUM(AJ9:AJ12)</f>
        <v>0</v>
      </c>
      <c r="AK8" s="58">
        <f t="shared" ref="AK8" si="48">+SUM(AK9:AK12)</f>
        <v>0</v>
      </c>
      <c r="AL8" s="58">
        <f t="shared" ref="AL8" si="49">+SUM(AL9:AL12)</f>
        <v>0</v>
      </c>
      <c r="AM8" s="58">
        <f t="shared" ref="AM8" si="50">+SUM(AM9:AM12)</f>
        <v>0</v>
      </c>
      <c r="AN8" s="58">
        <f t="shared" ref="AN8" si="51">+SUM(AN9:AN12)</f>
        <v>0</v>
      </c>
      <c r="AO8" s="58">
        <f t="shared" ref="AO8" si="52">+SUM(AO9:AO12)</f>
        <v>0</v>
      </c>
    </row>
    <row r="9" spans="1:41" hidden="1" outlineLevel="1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>
        <f>+SUM(A9:L9)</f>
        <v>0</v>
      </c>
      <c r="N9" s="7" t="s">
        <v>7</v>
      </c>
      <c r="O9" s="106">
        <f>+VLOOKUP($N9,'Jan-25'!A:J,3,0)</f>
        <v>0</v>
      </c>
      <c r="P9" s="106">
        <f>+VLOOKUP($N9,'Feb-25'!A:J,3,0)</f>
        <v>0</v>
      </c>
      <c r="Q9" s="106">
        <f>+VLOOKUP($N9,'Mar-25'!A:J,3,0)</f>
        <v>0</v>
      </c>
      <c r="R9" s="106">
        <f>+VLOOKUP($N9,'Apr-25'!A:J,3,0)</f>
        <v>0</v>
      </c>
      <c r="S9" s="106">
        <f>+VLOOKUP($N9,'May-25'!A:J,3,0)</f>
        <v>0</v>
      </c>
      <c r="T9" s="106">
        <f>+VLOOKUP($N9,'June-25'!A:J,3,0)</f>
        <v>0</v>
      </c>
      <c r="U9" s="106">
        <f>+VLOOKUP($N9,'July-25'!A:J,3,0)</f>
        <v>0</v>
      </c>
      <c r="V9" s="106">
        <f>+VLOOKUP($N9,'Aug-25'!A:J,3,0)</f>
        <v>0</v>
      </c>
      <c r="W9" s="106">
        <f>+VLOOKUP($N9,'Sep-25'!A:J,3,0)</f>
        <v>0</v>
      </c>
      <c r="X9" s="106">
        <f>+VLOOKUP($N9,'Oct-25'!A:J,3,0)</f>
        <v>0</v>
      </c>
      <c r="Y9" s="106">
        <f>+VLOOKUP($N9,'Nov-25'!A:J,3,0)</f>
        <v>0</v>
      </c>
      <c r="Z9" s="106">
        <f>+VLOOKUP($N9,'Dec-25'!A:J,3,0)</f>
        <v>0</v>
      </c>
      <c r="AA9" s="106">
        <f>+SUM(O9:Z9)</f>
        <v>0</v>
      </c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</row>
    <row r="10" spans="1:41" hidden="1" outlineLevel="1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>
        <f t="shared" ref="M10:M12" si="53">+SUM(A10:L10)</f>
        <v>0</v>
      </c>
      <c r="N10" s="7" t="s">
        <v>8</v>
      </c>
      <c r="O10" s="106">
        <f>+VLOOKUP($N10,'Jan-25'!A:J,3,0)</f>
        <v>0</v>
      </c>
      <c r="P10" s="106">
        <f>+VLOOKUP($N10,'Feb-25'!A:J,3,0)</f>
        <v>0</v>
      </c>
      <c r="Q10" s="106">
        <f>+VLOOKUP($N10,'Mar-25'!A:J,3,0)</f>
        <v>0</v>
      </c>
      <c r="R10" s="106">
        <f>+VLOOKUP($N10,'Apr-25'!A:J,3,0)</f>
        <v>0</v>
      </c>
      <c r="S10" s="106">
        <f>+VLOOKUP($N10,'May-25'!A:J,3,0)</f>
        <v>0</v>
      </c>
      <c r="T10" s="106">
        <f>+VLOOKUP($N10,'June-25'!A:J,3,0)</f>
        <v>0</v>
      </c>
      <c r="U10" s="106">
        <f>+VLOOKUP($N10,'July-25'!A:J,3,0)</f>
        <v>0</v>
      </c>
      <c r="V10" s="106">
        <f>+VLOOKUP($N10,'Aug-25'!A:J,3,0)</f>
        <v>0</v>
      </c>
      <c r="W10" s="106">
        <f>+VLOOKUP($N10,'Sep-25'!A:J,3,0)</f>
        <v>0</v>
      </c>
      <c r="X10" s="106">
        <f>+VLOOKUP($N10,'Oct-25'!A:J,3,0)</f>
        <v>0</v>
      </c>
      <c r="Y10" s="106">
        <f>+VLOOKUP($N10,'Nov-25'!A:J,3,0)</f>
        <v>0</v>
      </c>
      <c r="Z10" s="106">
        <f>+VLOOKUP($N10,'Dec-25'!A:J,3,0)</f>
        <v>0</v>
      </c>
      <c r="AA10" s="106">
        <f t="shared" ref="AA10:AA18" si="54">+SUM(O10:Z10)</f>
        <v>0</v>
      </c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</row>
    <row r="11" spans="1:41" hidden="1" outlineLevel="1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>
        <f t="shared" si="53"/>
        <v>0</v>
      </c>
      <c r="N11" s="7" t="s">
        <v>9</v>
      </c>
      <c r="O11" s="106">
        <f>+VLOOKUP($N11,'Jan-25'!A:J,3,0)</f>
        <v>0</v>
      </c>
      <c r="P11" s="106">
        <f>+VLOOKUP($N11,'Feb-25'!A:J,3,0)</f>
        <v>0</v>
      </c>
      <c r="Q11" s="106">
        <f>+VLOOKUP($N11,'Mar-25'!A:J,3,0)</f>
        <v>0</v>
      </c>
      <c r="R11" s="106">
        <f>+VLOOKUP($N11,'Apr-25'!A:J,3,0)</f>
        <v>0</v>
      </c>
      <c r="S11" s="106">
        <f>+VLOOKUP($N11,'May-25'!A:J,3,0)</f>
        <v>0</v>
      </c>
      <c r="T11" s="106">
        <f>+VLOOKUP($N11,'June-25'!A:J,3,0)</f>
        <v>0</v>
      </c>
      <c r="U11" s="106">
        <f>+VLOOKUP($N11,'July-25'!A:J,3,0)</f>
        <v>0</v>
      </c>
      <c r="V11" s="106">
        <f>+VLOOKUP($N11,'Aug-25'!A:J,3,0)</f>
        <v>0</v>
      </c>
      <c r="W11" s="106">
        <f>+VLOOKUP($N11,'Sep-25'!A:J,3,0)</f>
        <v>0</v>
      </c>
      <c r="X11" s="106">
        <f>+VLOOKUP($N11,'Oct-25'!A:J,3,0)</f>
        <v>0</v>
      </c>
      <c r="Y11" s="106">
        <f>+VLOOKUP($N11,'Nov-25'!A:J,3,0)</f>
        <v>0</v>
      </c>
      <c r="Z11" s="106">
        <f>+VLOOKUP($N11,'Dec-25'!A:J,3,0)</f>
        <v>0</v>
      </c>
      <c r="AA11" s="106">
        <f t="shared" si="54"/>
        <v>0</v>
      </c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</row>
    <row r="12" spans="1:41" hidden="1" outlineLevel="1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>
        <f t="shared" si="53"/>
        <v>0</v>
      </c>
      <c r="N12" s="7" t="s">
        <v>10</v>
      </c>
      <c r="O12" s="106">
        <f>+VLOOKUP($N12,'Jan-25'!A:J,3,0)</f>
        <v>0</v>
      </c>
      <c r="P12" s="106">
        <f>+VLOOKUP($N12,'Feb-25'!A:J,3,0)</f>
        <v>0</v>
      </c>
      <c r="Q12" s="106">
        <f>+VLOOKUP($N12,'Mar-25'!A:J,3,0)</f>
        <v>0</v>
      </c>
      <c r="R12" s="106">
        <f>+VLOOKUP($N12,'Apr-25'!A:J,3,0)</f>
        <v>0</v>
      </c>
      <c r="S12" s="106">
        <f>+VLOOKUP($N12,'May-25'!A:J,3,0)</f>
        <v>0</v>
      </c>
      <c r="T12" s="106">
        <f>+VLOOKUP($N12,'June-25'!A:J,3,0)</f>
        <v>0</v>
      </c>
      <c r="U12" s="106">
        <f>+VLOOKUP($N12,'July-25'!A:J,3,0)</f>
        <v>0</v>
      </c>
      <c r="V12" s="106">
        <f>+VLOOKUP($N12,'Aug-25'!A:J,3,0)</f>
        <v>0</v>
      </c>
      <c r="W12" s="106">
        <f>+VLOOKUP($N12,'Sep-25'!A:J,3,0)</f>
        <v>0</v>
      </c>
      <c r="X12" s="106">
        <f>+VLOOKUP($N12,'Oct-25'!A:J,3,0)</f>
        <v>0</v>
      </c>
      <c r="Y12" s="106">
        <f>+VLOOKUP($N12,'Nov-25'!A:J,3,0)</f>
        <v>0</v>
      </c>
      <c r="Z12" s="106">
        <f>+VLOOKUP($N12,'Dec-25'!A:J,3,0)</f>
        <v>0</v>
      </c>
      <c r="AA12" s="106">
        <f t="shared" si="54"/>
        <v>0</v>
      </c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</row>
    <row r="13" spans="1:41" hidden="1" outlineLevel="1">
      <c r="A13" s="58">
        <f t="shared" ref="A13" si="55">+SUM(A14:A16)</f>
        <v>0</v>
      </c>
      <c r="B13" s="58">
        <f t="shared" ref="B13" si="56">+SUM(B14:B16)</f>
        <v>0</v>
      </c>
      <c r="C13" s="58">
        <f t="shared" ref="C13" si="57">+SUM(C14:C16)</f>
        <v>0</v>
      </c>
      <c r="D13" s="58">
        <f t="shared" ref="D13" si="58">+SUM(D14:D16)</f>
        <v>0</v>
      </c>
      <c r="E13" s="58">
        <f t="shared" ref="E13" si="59">+SUM(E14:E16)</f>
        <v>0</v>
      </c>
      <c r="F13" s="58">
        <f t="shared" ref="F13" si="60">+SUM(F14:F16)</f>
        <v>0</v>
      </c>
      <c r="G13" s="58">
        <f t="shared" ref="G13" si="61">+SUM(G14:G16)</f>
        <v>0</v>
      </c>
      <c r="H13" s="58">
        <f t="shared" ref="H13" si="62">+SUM(H14:H16)</f>
        <v>0</v>
      </c>
      <c r="I13" s="58">
        <f t="shared" ref="I13" si="63">+SUM(I14:I16)</f>
        <v>0</v>
      </c>
      <c r="J13" s="58">
        <f t="shared" ref="J13" si="64">+SUM(J14:J16)</f>
        <v>0</v>
      </c>
      <c r="K13" s="58">
        <f t="shared" ref="K13" si="65">+SUM(K14:K16)</f>
        <v>0</v>
      </c>
      <c r="L13" s="58">
        <f t="shared" ref="L13" si="66">+SUM(L14:L16)</f>
        <v>0</v>
      </c>
      <c r="M13" s="58">
        <f t="shared" ref="M13:M16" si="67">+SUM(A13:L13)</f>
        <v>0</v>
      </c>
      <c r="N13" s="6" t="s">
        <v>11</v>
      </c>
      <c r="O13" s="58">
        <f t="shared" ref="O13:Z13" si="68">+SUM(O14:O16)</f>
        <v>0</v>
      </c>
      <c r="P13" s="58">
        <f t="shared" si="68"/>
        <v>0</v>
      </c>
      <c r="Q13" s="58">
        <f t="shared" si="68"/>
        <v>0</v>
      </c>
      <c r="R13" s="58">
        <f t="shared" si="68"/>
        <v>0</v>
      </c>
      <c r="S13" s="58">
        <f t="shared" si="68"/>
        <v>0</v>
      </c>
      <c r="T13" s="58">
        <f t="shared" si="68"/>
        <v>0</v>
      </c>
      <c r="U13" s="58">
        <f t="shared" si="68"/>
        <v>0</v>
      </c>
      <c r="V13" s="58">
        <f t="shared" si="68"/>
        <v>0</v>
      </c>
      <c r="W13" s="58">
        <f t="shared" si="68"/>
        <v>0</v>
      </c>
      <c r="X13" s="58">
        <f t="shared" si="68"/>
        <v>0</v>
      </c>
      <c r="Y13" s="58">
        <f t="shared" si="68"/>
        <v>0</v>
      </c>
      <c r="Z13" s="58">
        <f t="shared" si="68"/>
        <v>0</v>
      </c>
      <c r="AA13" s="58">
        <f>+SUM(O13:Z13)</f>
        <v>0</v>
      </c>
      <c r="AC13" s="58">
        <f t="shared" ref="AC13" si="69">+SUM(AC14:AC16)</f>
        <v>0</v>
      </c>
      <c r="AD13" s="58">
        <f t="shared" ref="AD13" si="70">+SUM(AD14:AD16)</f>
        <v>0</v>
      </c>
      <c r="AE13" s="58">
        <f t="shared" ref="AE13" si="71">+SUM(AE14:AE16)</f>
        <v>0</v>
      </c>
      <c r="AF13" s="58">
        <f t="shared" ref="AF13" si="72">+SUM(AF14:AF16)</f>
        <v>0</v>
      </c>
      <c r="AG13" s="58">
        <f t="shared" ref="AG13" si="73">+SUM(AG14:AG16)</f>
        <v>0</v>
      </c>
      <c r="AH13" s="58">
        <f t="shared" ref="AH13" si="74">+SUM(AH14:AH16)</f>
        <v>0</v>
      </c>
      <c r="AI13" s="58">
        <f t="shared" ref="AI13" si="75">+SUM(AI14:AI16)</f>
        <v>0</v>
      </c>
      <c r="AJ13" s="58">
        <f t="shared" ref="AJ13" si="76">+SUM(AJ14:AJ16)</f>
        <v>0</v>
      </c>
      <c r="AK13" s="58">
        <f t="shared" ref="AK13" si="77">+SUM(AK14:AK16)</f>
        <v>0</v>
      </c>
      <c r="AL13" s="58">
        <f t="shared" ref="AL13" si="78">+SUM(AL14:AL16)</f>
        <v>0</v>
      </c>
      <c r="AM13" s="58">
        <f t="shared" ref="AM13" si="79">+SUM(AM14:AM16)</f>
        <v>0</v>
      </c>
      <c r="AN13" s="58">
        <f t="shared" ref="AN13" si="80">+SUM(AN14:AN16)</f>
        <v>0</v>
      </c>
      <c r="AO13" s="58">
        <f>+SUM(AC13:AN13)</f>
        <v>0</v>
      </c>
    </row>
    <row r="14" spans="1:41" hidden="1" outlineLevel="1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>
        <f t="shared" si="67"/>
        <v>0</v>
      </c>
      <c r="N14" s="7" t="s">
        <v>12</v>
      </c>
      <c r="O14" s="106">
        <f>+VLOOKUP($N14,'Jan-25'!A:J,3,0)</f>
        <v>0</v>
      </c>
      <c r="P14" s="106">
        <f>+VLOOKUP($N14,'Feb-25'!A:J,3,0)</f>
        <v>0</v>
      </c>
      <c r="Q14" s="106">
        <f>+VLOOKUP($N14,'Mar-25'!A:J,3,0)</f>
        <v>0</v>
      </c>
      <c r="R14" s="106">
        <f>+VLOOKUP($N14,'Apr-25'!A:J,3,0)</f>
        <v>0</v>
      </c>
      <c r="S14" s="106">
        <f>+VLOOKUP($N14,'May-25'!A:J,3,0)</f>
        <v>0</v>
      </c>
      <c r="T14" s="106">
        <f>+VLOOKUP($N14,'June-25'!A:J,3,0)</f>
        <v>0</v>
      </c>
      <c r="U14" s="106">
        <f>+VLOOKUP($N14,'July-25'!A:J,3,0)</f>
        <v>0</v>
      </c>
      <c r="V14" s="106">
        <f>+VLOOKUP($N14,'Aug-25'!A:J,3,0)</f>
        <v>0</v>
      </c>
      <c r="W14" s="106">
        <f>+VLOOKUP($N14,'Sep-25'!A:J,3,0)</f>
        <v>0</v>
      </c>
      <c r="X14" s="106">
        <f>+VLOOKUP($N14,'Oct-25'!A:J,3,0)</f>
        <v>0</v>
      </c>
      <c r="Y14" s="106">
        <f>+VLOOKUP($N14,'Nov-25'!A:J,3,0)</f>
        <v>0</v>
      </c>
      <c r="Z14" s="106">
        <f>+VLOOKUP($N14,'Dec-25'!A:J,3,0)</f>
        <v>0</v>
      </c>
      <c r="AA14" s="106">
        <f t="shared" si="54"/>
        <v>0</v>
      </c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</row>
    <row r="15" spans="1:41" hidden="1" outlineLevel="1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>
        <f t="shared" si="67"/>
        <v>0</v>
      </c>
      <c r="N15" s="7" t="s">
        <v>13</v>
      </c>
      <c r="O15" s="106">
        <f>+VLOOKUP($N15,'Jan-25'!A:J,3,0)</f>
        <v>0</v>
      </c>
      <c r="P15" s="106">
        <f>+VLOOKUP($N15,'Feb-25'!A:J,3,0)</f>
        <v>0</v>
      </c>
      <c r="Q15" s="106">
        <f>+VLOOKUP($N15,'Mar-25'!A:J,3,0)</f>
        <v>0</v>
      </c>
      <c r="R15" s="106">
        <f>+VLOOKUP($N15,'Apr-25'!A:J,3,0)</f>
        <v>0</v>
      </c>
      <c r="S15" s="106">
        <f>+VLOOKUP($N15,'May-25'!A:J,3,0)</f>
        <v>0</v>
      </c>
      <c r="T15" s="106">
        <f>+VLOOKUP($N15,'June-25'!A:J,3,0)</f>
        <v>0</v>
      </c>
      <c r="U15" s="106">
        <f>+VLOOKUP($N15,'July-25'!A:J,3,0)</f>
        <v>0</v>
      </c>
      <c r="V15" s="106">
        <f>+VLOOKUP($N15,'Aug-25'!A:J,3,0)</f>
        <v>0</v>
      </c>
      <c r="W15" s="106">
        <f>+VLOOKUP($N15,'Sep-25'!A:J,3,0)</f>
        <v>0</v>
      </c>
      <c r="X15" s="106">
        <f>+VLOOKUP($N15,'Oct-25'!A:J,3,0)</f>
        <v>0</v>
      </c>
      <c r="Y15" s="106">
        <f>+VLOOKUP($N15,'Nov-25'!A:J,3,0)</f>
        <v>0</v>
      </c>
      <c r="Z15" s="106">
        <f>+VLOOKUP($N15,'Dec-25'!A:J,3,0)</f>
        <v>0</v>
      </c>
      <c r="AA15" s="106">
        <f t="shared" si="54"/>
        <v>0</v>
      </c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</row>
    <row r="16" spans="1:41" hidden="1" outlineLevel="1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>
        <f t="shared" si="67"/>
        <v>0</v>
      </c>
      <c r="N16" s="7" t="s">
        <v>14</v>
      </c>
      <c r="O16" s="106">
        <f>+VLOOKUP($N16,'Jan-25'!A:J,3,0)</f>
        <v>0</v>
      </c>
      <c r="P16" s="106">
        <f>+VLOOKUP($N16,'Feb-25'!A:J,3,0)</f>
        <v>0</v>
      </c>
      <c r="Q16" s="106">
        <f>+VLOOKUP($N16,'Mar-25'!A:J,3,0)</f>
        <v>0</v>
      </c>
      <c r="R16" s="106">
        <f>+VLOOKUP($N16,'Apr-25'!A:J,3,0)</f>
        <v>0</v>
      </c>
      <c r="S16" s="106">
        <f>+VLOOKUP($N16,'May-25'!A:J,3,0)</f>
        <v>0</v>
      </c>
      <c r="T16" s="106">
        <f>+VLOOKUP($N16,'June-25'!A:J,3,0)</f>
        <v>0</v>
      </c>
      <c r="U16" s="106">
        <f>+VLOOKUP($N16,'July-25'!A:J,3,0)</f>
        <v>0</v>
      </c>
      <c r="V16" s="106">
        <f>+VLOOKUP($N16,'Aug-25'!A:J,3,0)</f>
        <v>0</v>
      </c>
      <c r="W16" s="106">
        <f>+VLOOKUP($N16,'Sep-25'!A:J,3,0)</f>
        <v>0</v>
      </c>
      <c r="X16" s="106">
        <f>+VLOOKUP($N16,'Oct-25'!A:J,3,0)</f>
        <v>0</v>
      </c>
      <c r="Y16" s="106">
        <f>+VLOOKUP($N16,'Nov-25'!A:J,3,0)</f>
        <v>0</v>
      </c>
      <c r="Z16" s="106">
        <f>+VLOOKUP($N16,'Dec-25'!A:J,3,0)</f>
        <v>0</v>
      </c>
      <c r="AA16" s="106">
        <f t="shared" si="54"/>
        <v>0</v>
      </c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</row>
    <row r="17" spans="1:41" ht="17.25" hidden="1" outlineLevel="1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8" t="s">
        <v>15</v>
      </c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</row>
    <row r="18" spans="1:41" hidden="1" outlineLevel="1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>
        <f>+SUM(A18:L18)</f>
        <v>0</v>
      </c>
      <c r="N18" s="9" t="s">
        <v>16</v>
      </c>
      <c r="O18" s="105">
        <f>+'Jan-25'!C18</f>
        <v>0</v>
      </c>
      <c r="P18" s="105">
        <f>+'Feb-25'!C18</f>
        <v>0</v>
      </c>
      <c r="Q18" s="105">
        <f>+'Mar-25'!C18</f>
        <v>0</v>
      </c>
      <c r="R18" s="105">
        <f>+'Apr-25'!C18</f>
        <v>0</v>
      </c>
      <c r="S18" s="105">
        <f>+'May-25'!C18</f>
        <v>0</v>
      </c>
      <c r="T18" s="105">
        <f>+'June-25'!C18</f>
        <v>0</v>
      </c>
      <c r="U18" s="105">
        <f>+'July-25'!C18</f>
        <v>0</v>
      </c>
      <c r="V18" s="105">
        <f>+'Aug-25'!C18</f>
        <v>0</v>
      </c>
      <c r="W18" s="105">
        <f>+'Sep-25'!C18</f>
        <v>0</v>
      </c>
      <c r="X18" s="105">
        <f>+'Oct-25'!C18</f>
        <v>0</v>
      </c>
      <c r="Y18" s="105">
        <f>+'Nov-25'!C18</f>
        <v>0</v>
      </c>
      <c r="Z18" s="105">
        <f>+'Dec-25'!C18</f>
        <v>0</v>
      </c>
      <c r="AA18" s="105">
        <f t="shared" si="54"/>
        <v>0</v>
      </c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</row>
    <row r="19" spans="1:41" hidden="1" outlineLevel="1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>
        <f t="shared" ref="M19:M21" si="81">+SUM(A19:L19)</f>
        <v>0</v>
      </c>
      <c r="N19" s="7" t="s">
        <v>17</v>
      </c>
      <c r="O19" s="106">
        <f>+VLOOKUP($N19,'Jan-25'!A:J,3,0)</f>
        <v>0</v>
      </c>
      <c r="P19" s="106">
        <f>+VLOOKUP($N19,'Feb-25'!A:J,3,0)</f>
        <v>0</v>
      </c>
      <c r="Q19" s="106">
        <f>+VLOOKUP($N19,'Mar-25'!A:J,3,0)</f>
        <v>0</v>
      </c>
      <c r="R19" s="106">
        <f>+VLOOKUP($N19,'Apr-25'!A:J,3,0)</f>
        <v>0</v>
      </c>
      <c r="S19" s="106">
        <f>+VLOOKUP($N19,'May-25'!A:J,3,0)</f>
        <v>0</v>
      </c>
      <c r="T19" s="106">
        <f>+VLOOKUP($N19,'June-25'!A:J,3,0)</f>
        <v>0</v>
      </c>
      <c r="U19" s="106">
        <f>+VLOOKUP($N19,'July-25'!A:J,3,0)</f>
        <v>0</v>
      </c>
      <c r="V19" s="106">
        <f>+VLOOKUP($N19,'Aug-25'!A:J,3,0)</f>
        <v>0</v>
      </c>
      <c r="W19" s="106">
        <f>+VLOOKUP($N19,'Sep-25'!A:J,3,0)</f>
        <v>0</v>
      </c>
      <c r="X19" s="106">
        <f>+VLOOKUP($N19,'Oct-25'!A:J,3,0)</f>
        <v>0</v>
      </c>
      <c r="Y19" s="106">
        <f>+VLOOKUP($N19,'Nov-25'!A:J,3,0)</f>
        <v>0</v>
      </c>
      <c r="Z19" s="106">
        <f>+VLOOKUP($N19,'Dec-25'!A:J,3,0)</f>
        <v>0</v>
      </c>
      <c r="AA19" s="106">
        <f t="shared" ref="AA19:AA21" si="82">+SUM(O19:Z19)</f>
        <v>0</v>
      </c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</row>
    <row r="20" spans="1:41" hidden="1" outlineLevel="1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>
        <f t="shared" si="81"/>
        <v>0</v>
      </c>
      <c r="N20" s="7" t="s">
        <v>18</v>
      </c>
      <c r="O20" s="106">
        <f>+VLOOKUP($N20,'Jan-25'!A:J,3,0)</f>
        <v>0</v>
      </c>
      <c r="P20" s="106">
        <f>+VLOOKUP($N20,'Feb-25'!A:J,3,0)</f>
        <v>0</v>
      </c>
      <c r="Q20" s="106">
        <f>+VLOOKUP($N20,'Mar-25'!A:J,3,0)</f>
        <v>0</v>
      </c>
      <c r="R20" s="106">
        <f>+VLOOKUP($N20,'Apr-25'!A:J,3,0)</f>
        <v>0</v>
      </c>
      <c r="S20" s="106">
        <f>+VLOOKUP($N20,'May-25'!A:J,3,0)</f>
        <v>0</v>
      </c>
      <c r="T20" s="106">
        <f>+VLOOKUP($N20,'June-25'!A:J,3,0)</f>
        <v>0</v>
      </c>
      <c r="U20" s="106">
        <f>+VLOOKUP($N20,'July-25'!A:J,3,0)</f>
        <v>0</v>
      </c>
      <c r="V20" s="106">
        <f>+VLOOKUP($N20,'Aug-25'!A:J,3,0)</f>
        <v>0</v>
      </c>
      <c r="W20" s="106">
        <f>+VLOOKUP($N20,'Sep-25'!A:J,3,0)</f>
        <v>0</v>
      </c>
      <c r="X20" s="106">
        <f>+VLOOKUP($N20,'Oct-25'!A:J,3,0)</f>
        <v>0</v>
      </c>
      <c r="Y20" s="106">
        <f>+VLOOKUP($N20,'Nov-25'!A:J,3,0)</f>
        <v>0</v>
      </c>
      <c r="Z20" s="106">
        <f>+VLOOKUP($N20,'Dec-25'!A:J,3,0)</f>
        <v>0</v>
      </c>
      <c r="AA20" s="106">
        <f t="shared" si="82"/>
        <v>0</v>
      </c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</row>
    <row r="21" spans="1:41" hidden="1" outlineLevel="1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>
        <f t="shared" si="81"/>
        <v>0</v>
      </c>
      <c r="N21" s="7" t="s">
        <v>19</v>
      </c>
      <c r="O21" s="106">
        <f>+VLOOKUP($N21,'Jan-25'!A:J,3,0)</f>
        <v>0</v>
      </c>
      <c r="P21" s="106">
        <f>+VLOOKUP($N21,'Feb-25'!A:J,3,0)</f>
        <v>0</v>
      </c>
      <c r="Q21" s="106">
        <f>+VLOOKUP($N21,'Mar-25'!A:J,3,0)</f>
        <v>0</v>
      </c>
      <c r="R21" s="106">
        <f>+VLOOKUP($N21,'Apr-25'!A:J,3,0)</f>
        <v>0</v>
      </c>
      <c r="S21" s="106">
        <f>+VLOOKUP($N21,'May-25'!A:J,3,0)</f>
        <v>0</v>
      </c>
      <c r="T21" s="106">
        <f>+VLOOKUP($N21,'June-25'!A:J,3,0)</f>
        <v>0</v>
      </c>
      <c r="U21" s="106">
        <f>+VLOOKUP($N21,'July-25'!A:J,3,0)</f>
        <v>0</v>
      </c>
      <c r="V21" s="106">
        <f>+VLOOKUP($N21,'Aug-25'!A:J,3,0)</f>
        <v>0</v>
      </c>
      <c r="W21" s="106">
        <f>+VLOOKUP($N21,'Sep-25'!A:J,3,0)</f>
        <v>0</v>
      </c>
      <c r="X21" s="106">
        <f>+VLOOKUP($N21,'Oct-25'!A:J,3,0)</f>
        <v>0</v>
      </c>
      <c r="Y21" s="106">
        <f>+VLOOKUP($N21,'Nov-25'!A:J,3,0)</f>
        <v>0</v>
      </c>
      <c r="Z21" s="106">
        <f>+VLOOKUP($N21,'Dec-25'!A:J,3,0)</f>
        <v>0</v>
      </c>
      <c r="AA21" s="106">
        <f t="shared" si="82"/>
        <v>0</v>
      </c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</row>
    <row r="22" spans="1:41" ht="17.25" hidden="1" outlineLevel="1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8" t="s">
        <v>243</v>
      </c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</row>
    <row r="23" spans="1:41" hidden="1" outlineLevel="1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>
        <f>+SUM(A23:L23)</f>
        <v>0</v>
      </c>
      <c r="N23" s="9" t="s">
        <v>16</v>
      </c>
      <c r="O23" s="105">
        <f>+'Jan-25'!C23</f>
        <v>0</v>
      </c>
      <c r="P23" s="105">
        <f>+'Feb-25'!C23</f>
        <v>0</v>
      </c>
      <c r="Q23" s="105">
        <f>+'Mar-25'!C23</f>
        <v>0</v>
      </c>
      <c r="R23" s="105">
        <f>+'Apr-25'!C23</f>
        <v>0</v>
      </c>
      <c r="S23" s="105">
        <f>+'May-25'!C23</f>
        <v>0</v>
      </c>
      <c r="T23" s="105">
        <f>+'June-25'!C23</f>
        <v>0</v>
      </c>
      <c r="U23" s="105">
        <f>+'July-25'!C23</f>
        <v>0</v>
      </c>
      <c r="V23" s="105">
        <f>+'Aug-25'!C23</f>
        <v>0</v>
      </c>
      <c r="W23" s="105">
        <f>+'Sep-25'!C23</f>
        <v>0</v>
      </c>
      <c r="X23" s="105">
        <f>+'Oct-25'!C23</f>
        <v>0</v>
      </c>
      <c r="Y23" s="105">
        <f>+'Nov-25'!C23</f>
        <v>0</v>
      </c>
      <c r="Z23" s="105">
        <f>+'Dec-25'!C23</f>
        <v>0</v>
      </c>
      <c r="AA23" s="105">
        <f t="shared" ref="AA23:AA26" si="83">+SUM(O23:Z23)</f>
        <v>0</v>
      </c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</row>
    <row r="24" spans="1:41" hidden="1" outlineLevel="1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>
        <f t="shared" ref="M24:M26" si="84">+SUM(A24:L24)</f>
        <v>0</v>
      </c>
      <c r="N24" s="7" t="s">
        <v>21</v>
      </c>
      <c r="O24" s="106">
        <f>+VLOOKUP($N24,'Jan-25'!A:J,3,0)</f>
        <v>0</v>
      </c>
      <c r="P24" s="106">
        <f>+VLOOKUP($N24,'Feb-25'!A:J,3,0)</f>
        <v>0</v>
      </c>
      <c r="Q24" s="106">
        <f>+VLOOKUP($N24,'Mar-25'!A:J,3,0)</f>
        <v>0</v>
      </c>
      <c r="R24" s="106">
        <f>+VLOOKUP($N24,'Apr-25'!A:J,3,0)</f>
        <v>0</v>
      </c>
      <c r="S24" s="106">
        <f>+VLOOKUP($N24,'May-25'!A:J,3,0)</f>
        <v>0</v>
      </c>
      <c r="T24" s="106">
        <f>+VLOOKUP($N24,'June-25'!A:J,3,0)</f>
        <v>0</v>
      </c>
      <c r="U24" s="106">
        <f>+VLOOKUP($N24,'July-25'!A:J,3,0)</f>
        <v>0</v>
      </c>
      <c r="V24" s="106">
        <f>+VLOOKUP($N24,'Aug-25'!A:J,3,0)</f>
        <v>0</v>
      </c>
      <c r="W24" s="106">
        <f>+VLOOKUP($N24,'Sep-25'!A:J,3,0)</f>
        <v>0</v>
      </c>
      <c r="X24" s="106">
        <f>+VLOOKUP($N24,'Oct-25'!A:J,3,0)</f>
        <v>0</v>
      </c>
      <c r="Y24" s="106">
        <f>+VLOOKUP($N24,'Nov-25'!A:J,3,0)</f>
        <v>0</v>
      </c>
      <c r="Z24" s="106">
        <f>+VLOOKUP($N24,'Dec-25'!A:J,3,0)</f>
        <v>0</v>
      </c>
      <c r="AA24" s="106">
        <f t="shared" si="83"/>
        <v>0</v>
      </c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</row>
    <row r="25" spans="1:41" hidden="1" outlineLevel="1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>
        <f t="shared" si="84"/>
        <v>0</v>
      </c>
      <c r="N25" s="7" t="s">
        <v>22</v>
      </c>
      <c r="O25" s="106">
        <f>+VLOOKUP($N25,'Jan-25'!A:J,3,0)</f>
        <v>0</v>
      </c>
      <c r="P25" s="106">
        <f>+VLOOKUP($N25,'Feb-25'!A:J,3,0)</f>
        <v>0</v>
      </c>
      <c r="Q25" s="106">
        <f>+VLOOKUP($N25,'Mar-25'!A:J,3,0)</f>
        <v>0</v>
      </c>
      <c r="R25" s="106">
        <f>+VLOOKUP($N25,'Apr-25'!A:J,3,0)</f>
        <v>0</v>
      </c>
      <c r="S25" s="106">
        <f>+VLOOKUP($N25,'May-25'!A:J,3,0)</f>
        <v>0</v>
      </c>
      <c r="T25" s="106">
        <f>+VLOOKUP($N25,'June-25'!A:J,3,0)</f>
        <v>0</v>
      </c>
      <c r="U25" s="106">
        <f>+VLOOKUP($N25,'July-25'!A:J,3,0)</f>
        <v>0</v>
      </c>
      <c r="V25" s="106">
        <f>+VLOOKUP($N25,'Aug-25'!A:J,3,0)</f>
        <v>0</v>
      </c>
      <c r="W25" s="106">
        <f>+VLOOKUP($N25,'Sep-25'!A:J,3,0)</f>
        <v>0</v>
      </c>
      <c r="X25" s="106">
        <f>+VLOOKUP($N25,'Oct-25'!A:J,3,0)</f>
        <v>0</v>
      </c>
      <c r="Y25" s="106">
        <f>+VLOOKUP($N25,'Nov-25'!A:J,3,0)</f>
        <v>0</v>
      </c>
      <c r="Z25" s="106">
        <f>+VLOOKUP($N25,'Dec-25'!A:J,3,0)</f>
        <v>0</v>
      </c>
      <c r="AA25" s="106">
        <f t="shared" si="83"/>
        <v>0</v>
      </c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</row>
    <row r="26" spans="1:41" hidden="1" outlineLevel="1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>
        <f t="shared" si="84"/>
        <v>0</v>
      </c>
      <c r="N26" s="7" t="s">
        <v>23</v>
      </c>
      <c r="O26" s="106">
        <f>+VLOOKUP($N26,'Jan-25'!A:J,3,0)</f>
        <v>0</v>
      </c>
      <c r="P26" s="106">
        <f>+VLOOKUP($N26,'Feb-25'!A:J,3,0)</f>
        <v>0</v>
      </c>
      <c r="Q26" s="106">
        <f>+VLOOKUP($N26,'Mar-25'!A:J,3,0)</f>
        <v>0</v>
      </c>
      <c r="R26" s="106">
        <f>+VLOOKUP($N26,'Apr-25'!A:J,3,0)</f>
        <v>0</v>
      </c>
      <c r="S26" s="106">
        <f>+VLOOKUP($N26,'May-25'!A:J,3,0)</f>
        <v>0</v>
      </c>
      <c r="T26" s="106">
        <f>+VLOOKUP($N26,'June-25'!A:J,3,0)</f>
        <v>0</v>
      </c>
      <c r="U26" s="106">
        <f>+VLOOKUP($N26,'July-25'!A:J,3,0)</f>
        <v>0</v>
      </c>
      <c r="V26" s="106">
        <f>+VLOOKUP($N26,'Aug-25'!A:J,3,0)</f>
        <v>0</v>
      </c>
      <c r="W26" s="106">
        <f>+VLOOKUP($N26,'Sep-25'!A:J,3,0)</f>
        <v>0</v>
      </c>
      <c r="X26" s="106">
        <f>+VLOOKUP($N26,'Oct-25'!A:J,3,0)</f>
        <v>0</v>
      </c>
      <c r="Y26" s="106">
        <f>+VLOOKUP($N26,'Nov-25'!A:J,3,0)</f>
        <v>0</v>
      </c>
      <c r="Z26" s="106">
        <f>+VLOOKUP($N26,'Dec-25'!A:J,3,0)</f>
        <v>0</v>
      </c>
      <c r="AA26" s="106">
        <f t="shared" si="83"/>
        <v>0</v>
      </c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</row>
    <row r="27" spans="1:41" hidden="1" outlineLevel="1">
      <c r="A27" s="58">
        <f t="shared" ref="A27" si="85">+A24-A25-A26</f>
        <v>0</v>
      </c>
      <c r="B27" s="58">
        <f t="shared" ref="B27" si="86">+B24-B25-B26</f>
        <v>0</v>
      </c>
      <c r="C27" s="58">
        <f t="shared" ref="C27" si="87">+C24-C25-C26</f>
        <v>0</v>
      </c>
      <c r="D27" s="58">
        <f t="shared" ref="D27" si="88">+D24-D25-D26</f>
        <v>0</v>
      </c>
      <c r="E27" s="58">
        <f t="shared" ref="E27" si="89">+E24-E25-E26</f>
        <v>0</v>
      </c>
      <c r="F27" s="58">
        <f t="shared" ref="F27" si="90">+F24-F25-F26</f>
        <v>0</v>
      </c>
      <c r="G27" s="58">
        <f t="shared" ref="G27" si="91">+G24-G25-G26</f>
        <v>0</v>
      </c>
      <c r="H27" s="58">
        <f t="shared" ref="H27" si="92">+H24-H25-H26</f>
        <v>0</v>
      </c>
      <c r="I27" s="58">
        <f t="shared" ref="I27" si="93">+I24-I25-I26</f>
        <v>0</v>
      </c>
      <c r="J27" s="58">
        <f t="shared" ref="J27" si="94">+J24-J25-J26</f>
        <v>0</v>
      </c>
      <c r="K27" s="58">
        <f t="shared" ref="K27" si="95">+K24-K25-K26</f>
        <v>0</v>
      </c>
      <c r="L27" s="58">
        <f t="shared" ref="L27:M27" si="96">+L24-L25-L26</f>
        <v>0</v>
      </c>
      <c r="M27" s="58">
        <f t="shared" si="96"/>
        <v>0</v>
      </c>
      <c r="N27" s="10" t="s">
        <v>20</v>
      </c>
      <c r="O27" s="58">
        <f t="shared" ref="O27:AA27" si="97">+O24-O25-O26</f>
        <v>0</v>
      </c>
      <c r="P27" s="58">
        <f t="shared" si="97"/>
        <v>0</v>
      </c>
      <c r="Q27" s="58">
        <f t="shared" si="97"/>
        <v>0</v>
      </c>
      <c r="R27" s="58">
        <f t="shared" si="97"/>
        <v>0</v>
      </c>
      <c r="S27" s="58">
        <f t="shared" si="97"/>
        <v>0</v>
      </c>
      <c r="T27" s="58">
        <f t="shared" si="97"/>
        <v>0</v>
      </c>
      <c r="U27" s="58">
        <f t="shared" si="97"/>
        <v>0</v>
      </c>
      <c r="V27" s="58">
        <f t="shared" si="97"/>
        <v>0</v>
      </c>
      <c r="W27" s="58">
        <f t="shared" si="97"/>
        <v>0</v>
      </c>
      <c r="X27" s="58">
        <f t="shared" si="97"/>
        <v>0</v>
      </c>
      <c r="Y27" s="58">
        <f t="shared" si="97"/>
        <v>0</v>
      </c>
      <c r="Z27" s="58">
        <f t="shared" si="97"/>
        <v>0</v>
      </c>
      <c r="AA27" s="58">
        <f t="shared" si="97"/>
        <v>0</v>
      </c>
      <c r="AC27" s="58">
        <f t="shared" ref="AC27" si="98">+AC24-AC25-AC26</f>
        <v>0</v>
      </c>
      <c r="AD27" s="58">
        <f t="shared" ref="AD27" si="99">+AD24-AD25-AD26</f>
        <v>0</v>
      </c>
      <c r="AE27" s="58">
        <f t="shared" ref="AE27" si="100">+AE24-AE25-AE26</f>
        <v>0</v>
      </c>
      <c r="AF27" s="58">
        <f t="shared" ref="AF27" si="101">+AF24-AF25-AF26</f>
        <v>0</v>
      </c>
      <c r="AG27" s="58">
        <f t="shared" ref="AG27" si="102">+AG24-AG25-AG26</f>
        <v>0</v>
      </c>
      <c r="AH27" s="58">
        <f t="shared" ref="AH27" si="103">+AH24-AH25-AH26</f>
        <v>0</v>
      </c>
      <c r="AI27" s="58">
        <f t="shared" ref="AI27" si="104">+AI24-AI25-AI26</f>
        <v>0</v>
      </c>
      <c r="AJ27" s="58">
        <f t="shared" ref="AJ27" si="105">+AJ24-AJ25-AJ26</f>
        <v>0</v>
      </c>
      <c r="AK27" s="58">
        <f t="shared" ref="AK27" si="106">+AK24-AK25-AK26</f>
        <v>0</v>
      </c>
      <c r="AL27" s="58">
        <f t="shared" ref="AL27" si="107">+AL24-AL25-AL26</f>
        <v>0</v>
      </c>
      <c r="AM27" s="58">
        <f t="shared" ref="AM27" si="108">+AM24-AM25-AM26</f>
        <v>0</v>
      </c>
      <c r="AN27" s="58">
        <f t="shared" ref="AN27" si="109">+AN24-AN25-AN26</f>
        <v>0</v>
      </c>
      <c r="AO27" s="58">
        <f t="shared" ref="AO27" si="110">+AO24-AO25-AO26</f>
        <v>0</v>
      </c>
    </row>
    <row r="28" spans="1:41" hidden="1" outlineLevel="1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1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</row>
    <row r="29" spans="1:41" ht="17.25" hidden="1" outlineLevel="1">
      <c r="A29" s="58">
        <f t="shared" ref="A29:L29" si="111">+SUM(A31:A37)</f>
        <v>0</v>
      </c>
      <c r="B29" s="58">
        <f t="shared" si="111"/>
        <v>0</v>
      </c>
      <c r="C29" s="58">
        <f t="shared" si="111"/>
        <v>0</v>
      </c>
      <c r="D29" s="58">
        <f t="shared" si="111"/>
        <v>0</v>
      </c>
      <c r="E29" s="58">
        <f t="shared" si="111"/>
        <v>0</v>
      </c>
      <c r="F29" s="58">
        <f t="shared" si="111"/>
        <v>0</v>
      </c>
      <c r="G29" s="58">
        <f t="shared" si="111"/>
        <v>0</v>
      </c>
      <c r="H29" s="58">
        <f t="shared" si="111"/>
        <v>0</v>
      </c>
      <c r="I29" s="58">
        <f t="shared" si="111"/>
        <v>0</v>
      </c>
      <c r="J29" s="58">
        <f t="shared" si="111"/>
        <v>0</v>
      </c>
      <c r="K29" s="58">
        <f t="shared" si="111"/>
        <v>0</v>
      </c>
      <c r="L29" s="58">
        <f t="shared" si="111"/>
        <v>0</v>
      </c>
      <c r="M29" s="58">
        <f t="shared" ref="M29" si="112">+SUM(M31:M37)</f>
        <v>0</v>
      </c>
      <c r="N29" s="5" t="s">
        <v>24</v>
      </c>
      <c r="O29" s="58">
        <f t="shared" ref="O29:AO29" si="113">+SUM(O31:O37)</f>
        <v>0</v>
      </c>
      <c r="P29" s="58">
        <f t="shared" si="113"/>
        <v>0</v>
      </c>
      <c r="Q29" s="58">
        <f t="shared" si="113"/>
        <v>0</v>
      </c>
      <c r="R29" s="58">
        <f t="shared" si="113"/>
        <v>0</v>
      </c>
      <c r="S29" s="58">
        <f t="shared" si="113"/>
        <v>0</v>
      </c>
      <c r="T29" s="58">
        <f t="shared" si="113"/>
        <v>0</v>
      </c>
      <c r="U29" s="58">
        <f t="shared" si="113"/>
        <v>0</v>
      </c>
      <c r="V29" s="58">
        <f t="shared" si="113"/>
        <v>0</v>
      </c>
      <c r="W29" s="58">
        <f t="shared" si="113"/>
        <v>0</v>
      </c>
      <c r="X29" s="58">
        <f t="shared" si="113"/>
        <v>0</v>
      </c>
      <c r="Y29" s="58">
        <f t="shared" si="113"/>
        <v>0</v>
      </c>
      <c r="Z29" s="58">
        <f t="shared" si="113"/>
        <v>0</v>
      </c>
      <c r="AA29" s="58">
        <f t="shared" si="113"/>
        <v>0</v>
      </c>
      <c r="AB29" s="118">
        <f>IFERROR((X29-AL29)/AL29,0)</f>
        <v>0</v>
      </c>
      <c r="AC29" s="58">
        <f t="shared" si="113"/>
        <v>0</v>
      </c>
      <c r="AD29" s="58">
        <f t="shared" si="113"/>
        <v>0</v>
      </c>
      <c r="AE29" s="58">
        <f t="shared" si="113"/>
        <v>0</v>
      </c>
      <c r="AF29" s="58">
        <f t="shared" si="113"/>
        <v>0</v>
      </c>
      <c r="AG29" s="58">
        <f t="shared" si="113"/>
        <v>0</v>
      </c>
      <c r="AH29" s="58">
        <f t="shared" si="113"/>
        <v>0</v>
      </c>
      <c r="AI29" s="58">
        <f t="shared" si="113"/>
        <v>0</v>
      </c>
      <c r="AJ29" s="58">
        <f t="shared" si="113"/>
        <v>0</v>
      </c>
      <c r="AK29" s="58">
        <f t="shared" si="113"/>
        <v>0</v>
      </c>
      <c r="AL29" s="58">
        <f t="shared" si="113"/>
        <v>0</v>
      </c>
      <c r="AM29" s="58">
        <f t="shared" si="113"/>
        <v>0</v>
      </c>
      <c r="AN29" s="58">
        <f t="shared" si="113"/>
        <v>0</v>
      </c>
      <c r="AO29" s="58">
        <f t="shared" si="113"/>
        <v>0</v>
      </c>
    </row>
    <row r="30" spans="1:41" hidden="1" outlineLevel="1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>
        <f t="shared" ref="M30:M37" si="114">+SUM(A30:L30)</f>
        <v>0</v>
      </c>
      <c r="N30" s="12" t="s">
        <v>25</v>
      </c>
      <c r="O30" s="105">
        <f>+'Jan-25'!C29</f>
        <v>0</v>
      </c>
      <c r="P30" s="105">
        <f>+'Feb-25'!C29</f>
        <v>0</v>
      </c>
      <c r="Q30" s="105">
        <f>+'Mar-25'!C29</f>
        <v>0</v>
      </c>
      <c r="R30" s="105">
        <f>+'Apr-25'!C29</f>
        <v>0</v>
      </c>
      <c r="S30" s="105">
        <f>+'May-25'!C29</f>
        <v>0</v>
      </c>
      <c r="T30" s="105">
        <f>+'June-25'!C29</f>
        <v>0</v>
      </c>
      <c r="U30" s="105">
        <f>+'July-25'!C29</f>
        <v>0</v>
      </c>
      <c r="V30" s="105">
        <f>+'Aug-25'!C29</f>
        <v>0</v>
      </c>
      <c r="W30" s="105">
        <f>+'Sep-25'!C29</f>
        <v>0</v>
      </c>
      <c r="X30" s="105">
        <f>+'Oct-25'!C29</f>
        <v>0</v>
      </c>
      <c r="Y30" s="105">
        <f>+'Nov-25'!C29</f>
        <v>0</v>
      </c>
      <c r="Z30" s="105">
        <f>+'Dec-25'!C29</f>
        <v>0</v>
      </c>
      <c r="AA30" s="105">
        <f t="shared" ref="AA30" si="115">+SUM(O30:Z30)</f>
        <v>0</v>
      </c>
      <c r="AB30" s="118">
        <f t="shared" ref="AB30:AB93" si="116">IFERROR((X30-AL30)/AL30,0)</f>
        <v>0</v>
      </c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</row>
    <row r="31" spans="1:41" hidden="1" outlineLevel="1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>
        <f t="shared" si="114"/>
        <v>0</v>
      </c>
      <c r="N31" s="7" t="s">
        <v>26</v>
      </c>
      <c r="O31" s="106">
        <f>+VLOOKUP($N31,'Jan-25'!A:J,3,0)</f>
        <v>0</v>
      </c>
      <c r="P31" s="106">
        <f>+VLOOKUP($N31,'Feb-25'!A:J,3,0)</f>
        <v>0</v>
      </c>
      <c r="Q31" s="106">
        <f>+VLOOKUP($N31,'Mar-25'!A:J,3,0)</f>
        <v>0</v>
      </c>
      <c r="R31" s="106">
        <f>+VLOOKUP($N31,'Apr-25'!A:J,3,0)</f>
        <v>0</v>
      </c>
      <c r="S31" s="106">
        <f>+VLOOKUP($N31,'May-25'!A:J,3,0)</f>
        <v>0</v>
      </c>
      <c r="T31" s="106">
        <f>+VLOOKUP($N31,'June-25'!A:J,3,0)</f>
        <v>0</v>
      </c>
      <c r="U31" s="106">
        <f>+VLOOKUP($N31,'July-25'!A:J,3,0)</f>
        <v>0</v>
      </c>
      <c r="V31" s="106">
        <f>+VLOOKUP($N31,'Aug-25'!A:J,3,0)</f>
        <v>0</v>
      </c>
      <c r="W31" s="106">
        <f>+VLOOKUP($N31,'Sep-25'!A:J,3,0)</f>
        <v>0</v>
      </c>
      <c r="X31" s="106">
        <f>+VLOOKUP($N31,'Oct-25'!A:J,3,0)</f>
        <v>0</v>
      </c>
      <c r="Y31" s="106">
        <f>+VLOOKUP($N31,'Nov-25'!A:J,3,0)</f>
        <v>0</v>
      </c>
      <c r="Z31" s="106">
        <f>+VLOOKUP($N31,'Dec-25'!A:J,3,0)</f>
        <v>0</v>
      </c>
      <c r="AA31" s="106">
        <f t="shared" ref="AA31:AA37" si="117">+SUM(O31:Z31)</f>
        <v>0</v>
      </c>
      <c r="AB31" s="118">
        <f t="shared" si="116"/>
        <v>0</v>
      </c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</row>
    <row r="32" spans="1:41" hidden="1" outlineLevel="1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>
        <f t="shared" si="114"/>
        <v>0</v>
      </c>
      <c r="N32" s="7" t="s">
        <v>27</v>
      </c>
      <c r="O32" s="106">
        <f>+VLOOKUP($N32,'Jan-25'!A:J,3,0)</f>
        <v>0</v>
      </c>
      <c r="P32" s="106">
        <f>+VLOOKUP($N32,'Feb-25'!A:J,3,0)</f>
        <v>0</v>
      </c>
      <c r="Q32" s="106">
        <f>+VLOOKUP($N32,'Mar-25'!A:J,3,0)</f>
        <v>0</v>
      </c>
      <c r="R32" s="106">
        <f>+VLOOKUP($N32,'Apr-25'!A:J,3,0)</f>
        <v>0</v>
      </c>
      <c r="S32" s="106">
        <f>+VLOOKUP($N32,'May-25'!A:J,3,0)</f>
        <v>0</v>
      </c>
      <c r="T32" s="106">
        <f>+VLOOKUP($N32,'June-25'!A:J,3,0)</f>
        <v>0</v>
      </c>
      <c r="U32" s="106">
        <f>+VLOOKUP($N32,'July-25'!A:J,3,0)</f>
        <v>0</v>
      </c>
      <c r="V32" s="106">
        <f>+VLOOKUP($N32,'Aug-25'!A:J,3,0)</f>
        <v>0</v>
      </c>
      <c r="W32" s="106">
        <f>+VLOOKUP($N32,'Sep-25'!A:J,3,0)</f>
        <v>0</v>
      </c>
      <c r="X32" s="106">
        <f>+VLOOKUP($N32,'Oct-25'!A:J,3,0)</f>
        <v>0</v>
      </c>
      <c r="Y32" s="106">
        <f>+VLOOKUP($N32,'Nov-25'!A:J,3,0)</f>
        <v>0</v>
      </c>
      <c r="Z32" s="106">
        <f>+VLOOKUP($N32,'Dec-25'!A:J,3,0)</f>
        <v>0</v>
      </c>
      <c r="AA32" s="106">
        <f t="shared" si="117"/>
        <v>0</v>
      </c>
      <c r="AB32" s="118">
        <f t="shared" si="116"/>
        <v>0</v>
      </c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</row>
    <row r="33" spans="1:41" hidden="1" outlineLevel="1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>
        <f t="shared" si="114"/>
        <v>0</v>
      </c>
      <c r="N33" s="7" t="s">
        <v>28</v>
      </c>
      <c r="O33" s="106">
        <f>+VLOOKUP($N33,'Jan-25'!A:J,3,0)</f>
        <v>0</v>
      </c>
      <c r="P33" s="106">
        <f>+VLOOKUP($N33,'Feb-25'!A:J,3,0)</f>
        <v>0</v>
      </c>
      <c r="Q33" s="106">
        <f>+VLOOKUP($N33,'Mar-25'!A:J,3,0)</f>
        <v>0</v>
      </c>
      <c r="R33" s="106">
        <f>+VLOOKUP($N33,'Apr-25'!A:J,3,0)</f>
        <v>0</v>
      </c>
      <c r="S33" s="106">
        <f>+VLOOKUP($N33,'May-25'!A:J,3,0)</f>
        <v>0</v>
      </c>
      <c r="T33" s="106">
        <f>+VLOOKUP($N33,'June-25'!A:J,3,0)</f>
        <v>0</v>
      </c>
      <c r="U33" s="106">
        <f>+VLOOKUP($N33,'July-25'!A:J,3,0)</f>
        <v>0</v>
      </c>
      <c r="V33" s="106">
        <f>+VLOOKUP($N33,'Aug-25'!A:J,3,0)</f>
        <v>0</v>
      </c>
      <c r="W33" s="106">
        <f>+VLOOKUP($N33,'Sep-25'!A:J,3,0)</f>
        <v>0</v>
      </c>
      <c r="X33" s="106">
        <f>+VLOOKUP($N33,'Oct-25'!A:J,3,0)</f>
        <v>0</v>
      </c>
      <c r="Y33" s="106">
        <f>+VLOOKUP($N33,'Nov-25'!A:J,3,0)</f>
        <v>0</v>
      </c>
      <c r="Z33" s="106">
        <f>+VLOOKUP($N33,'Dec-25'!A:J,3,0)</f>
        <v>0</v>
      </c>
      <c r="AA33" s="106">
        <f t="shared" si="117"/>
        <v>0</v>
      </c>
      <c r="AB33" s="118">
        <f t="shared" si="116"/>
        <v>0</v>
      </c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</row>
    <row r="34" spans="1:41" hidden="1" outlineLevel="1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>
        <f t="shared" si="114"/>
        <v>0</v>
      </c>
      <c r="N34" s="7" t="s">
        <v>29</v>
      </c>
      <c r="O34" s="106">
        <f>+VLOOKUP($N34,'Jan-25'!A:J,3,0)</f>
        <v>0</v>
      </c>
      <c r="P34" s="106">
        <f>+VLOOKUP($N34,'Feb-25'!A:J,3,0)</f>
        <v>0</v>
      </c>
      <c r="Q34" s="106">
        <f>+VLOOKUP($N34,'Mar-25'!A:J,3,0)</f>
        <v>0</v>
      </c>
      <c r="R34" s="106">
        <f>+VLOOKUP($N34,'Apr-25'!A:J,3,0)</f>
        <v>0</v>
      </c>
      <c r="S34" s="106">
        <f>+VLOOKUP($N34,'May-25'!A:J,3,0)</f>
        <v>0</v>
      </c>
      <c r="T34" s="106">
        <f>+VLOOKUP($N34,'June-25'!A:J,3,0)</f>
        <v>0</v>
      </c>
      <c r="U34" s="106">
        <f>+VLOOKUP($N34,'July-25'!A:J,3,0)</f>
        <v>0</v>
      </c>
      <c r="V34" s="106">
        <f>+VLOOKUP($N34,'Aug-25'!A:J,3,0)</f>
        <v>0</v>
      </c>
      <c r="W34" s="106">
        <f>+VLOOKUP($N34,'Sep-25'!A:J,3,0)</f>
        <v>0</v>
      </c>
      <c r="X34" s="106">
        <f>+VLOOKUP($N34,'Oct-25'!A:J,3,0)</f>
        <v>0</v>
      </c>
      <c r="Y34" s="106">
        <f>+VLOOKUP($N34,'Nov-25'!A:J,3,0)</f>
        <v>0</v>
      </c>
      <c r="Z34" s="106">
        <f>+VLOOKUP($N34,'Dec-25'!A:J,3,0)</f>
        <v>0</v>
      </c>
      <c r="AA34" s="106">
        <f t="shared" si="117"/>
        <v>0</v>
      </c>
      <c r="AB34" s="118">
        <f t="shared" si="116"/>
        <v>0</v>
      </c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</row>
    <row r="35" spans="1:41" hidden="1" outlineLevel="1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>
        <f t="shared" si="114"/>
        <v>0</v>
      </c>
      <c r="N35" s="7" t="s">
        <v>30</v>
      </c>
      <c r="O35" s="106">
        <f>+VLOOKUP($N35,'Jan-25'!A:J,3,0)</f>
        <v>0</v>
      </c>
      <c r="P35" s="106">
        <f>+VLOOKUP($N35,'Feb-25'!A:J,3,0)</f>
        <v>0</v>
      </c>
      <c r="Q35" s="106">
        <f>+VLOOKUP($N35,'Mar-25'!A:J,3,0)</f>
        <v>0</v>
      </c>
      <c r="R35" s="106">
        <f>+VLOOKUP($N35,'Apr-25'!A:J,3,0)</f>
        <v>0</v>
      </c>
      <c r="S35" s="106">
        <f>+VLOOKUP($N35,'May-25'!A:J,3,0)</f>
        <v>0</v>
      </c>
      <c r="T35" s="106">
        <f>+VLOOKUP($N35,'June-25'!A:J,3,0)</f>
        <v>0</v>
      </c>
      <c r="U35" s="106">
        <f>+VLOOKUP($N35,'July-25'!A:J,3,0)</f>
        <v>0</v>
      </c>
      <c r="V35" s="106">
        <f>+VLOOKUP($N35,'Aug-25'!A:J,3,0)</f>
        <v>0</v>
      </c>
      <c r="W35" s="106">
        <f>+VLOOKUP($N35,'Sep-25'!A:J,3,0)</f>
        <v>0</v>
      </c>
      <c r="X35" s="106">
        <f>+VLOOKUP($N35,'Oct-25'!A:J,3,0)</f>
        <v>0</v>
      </c>
      <c r="Y35" s="106">
        <f>+VLOOKUP($N35,'Nov-25'!A:J,3,0)</f>
        <v>0</v>
      </c>
      <c r="Z35" s="106">
        <f>+VLOOKUP($N35,'Dec-25'!A:J,3,0)</f>
        <v>0</v>
      </c>
      <c r="AA35" s="106">
        <f t="shared" si="117"/>
        <v>0</v>
      </c>
      <c r="AB35" s="118">
        <f t="shared" si="116"/>
        <v>0</v>
      </c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</row>
    <row r="36" spans="1:41" hidden="1" outlineLevel="1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>
        <f t="shared" si="114"/>
        <v>0</v>
      </c>
      <c r="N36" s="7" t="s">
        <v>31</v>
      </c>
      <c r="O36" s="106">
        <f>+VLOOKUP($N36,'Jan-25'!A:J,3,0)</f>
        <v>0</v>
      </c>
      <c r="P36" s="106">
        <f>+VLOOKUP($N36,'Feb-25'!A:J,3,0)</f>
        <v>0</v>
      </c>
      <c r="Q36" s="106">
        <f>+VLOOKUP($N36,'Mar-25'!A:J,3,0)</f>
        <v>0</v>
      </c>
      <c r="R36" s="106">
        <f>+VLOOKUP($N36,'Apr-25'!A:J,3,0)</f>
        <v>0</v>
      </c>
      <c r="S36" s="106">
        <f>+VLOOKUP($N36,'May-25'!A:J,3,0)</f>
        <v>0</v>
      </c>
      <c r="T36" s="106">
        <f>+VLOOKUP($N36,'June-25'!A:J,3,0)</f>
        <v>0</v>
      </c>
      <c r="U36" s="106">
        <f>+VLOOKUP($N36,'July-25'!A:J,3,0)</f>
        <v>0</v>
      </c>
      <c r="V36" s="106">
        <f>+VLOOKUP($N36,'Aug-25'!A:J,3,0)</f>
        <v>0</v>
      </c>
      <c r="W36" s="106">
        <f>+VLOOKUP($N36,'Sep-25'!A:J,3,0)</f>
        <v>0</v>
      </c>
      <c r="X36" s="106">
        <f>+VLOOKUP($N36,'Oct-25'!A:J,3,0)</f>
        <v>0</v>
      </c>
      <c r="Y36" s="106">
        <f>+VLOOKUP($N36,'Nov-25'!A:J,3,0)</f>
        <v>0</v>
      </c>
      <c r="Z36" s="106">
        <f>+VLOOKUP($N36,'Dec-25'!A:J,3,0)</f>
        <v>0</v>
      </c>
      <c r="AA36" s="106">
        <f t="shared" si="117"/>
        <v>0</v>
      </c>
      <c r="AB36" s="118">
        <f t="shared" si="116"/>
        <v>0</v>
      </c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</row>
    <row r="37" spans="1:41" hidden="1" outlineLevel="1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>
        <f t="shared" si="114"/>
        <v>0</v>
      </c>
      <c r="N37" s="7" t="s">
        <v>32</v>
      </c>
      <c r="O37" s="106">
        <f>+VLOOKUP($N37,'Jan-25'!A:J,3,0)</f>
        <v>0</v>
      </c>
      <c r="P37" s="106">
        <f>+VLOOKUP($N37,'Feb-25'!A:J,3,0)</f>
        <v>0</v>
      </c>
      <c r="Q37" s="106">
        <f>+VLOOKUP($N37,'Mar-25'!A:J,3,0)</f>
        <v>0</v>
      </c>
      <c r="R37" s="106">
        <f>+VLOOKUP($N37,'Apr-25'!A:J,3,0)</f>
        <v>0</v>
      </c>
      <c r="S37" s="106">
        <f>+VLOOKUP($N37,'May-25'!A:J,3,0)</f>
        <v>0</v>
      </c>
      <c r="T37" s="106">
        <f>+VLOOKUP($N37,'June-25'!A:J,3,0)</f>
        <v>0</v>
      </c>
      <c r="U37" s="106">
        <f>+VLOOKUP($N37,'July-25'!A:J,3,0)</f>
        <v>0</v>
      </c>
      <c r="V37" s="106">
        <f>+VLOOKUP($N37,'Aug-25'!A:J,3,0)</f>
        <v>0</v>
      </c>
      <c r="W37" s="106">
        <f>+VLOOKUP($N37,'Sep-25'!A:J,3,0)</f>
        <v>0</v>
      </c>
      <c r="X37" s="106">
        <f>+VLOOKUP($N37,'Oct-25'!A:J,3,0)</f>
        <v>0</v>
      </c>
      <c r="Y37" s="106">
        <f>+VLOOKUP($N37,'Nov-25'!A:J,3,0)</f>
        <v>0</v>
      </c>
      <c r="Z37" s="106">
        <f>+VLOOKUP($N37,'Dec-25'!A:J,3,0)</f>
        <v>0</v>
      </c>
      <c r="AA37" s="106">
        <f t="shared" si="117"/>
        <v>0</v>
      </c>
      <c r="AB37" s="118">
        <f t="shared" si="116"/>
        <v>0</v>
      </c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</row>
    <row r="38" spans="1:41" hidden="1" outlineLevel="1">
      <c r="A38" s="59">
        <f t="shared" ref="A38" si="118">+SUM(A39:A42)</f>
        <v>0</v>
      </c>
      <c r="B38" s="59">
        <f t="shared" ref="B38" si="119">+SUM(B39:B42)</f>
        <v>0</v>
      </c>
      <c r="C38" s="59">
        <f t="shared" ref="C38" si="120">+SUM(C39:C42)</f>
        <v>0</v>
      </c>
      <c r="D38" s="59">
        <f t="shared" ref="D38" si="121">+SUM(D39:D42)</f>
        <v>0</v>
      </c>
      <c r="E38" s="59">
        <f t="shared" ref="E38" si="122">+SUM(E39:E42)</f>
        <v>0</v>
      </c>
      <c r="F38" s="59">
        <f t="shared" ref="F38" si="123">+SUM(F39:F42)</f>
        <v>0</v>
      </c>
      <c r="G38" s="59">
        <f t="shared" ref="G38" si="124">+SUM(G39:G42)</f>
        <v>0</v>
      </c>
      <c r="H38" s="59">
        <f t="shared" ref="H38" si="125">+SUM(H39:H42)</f>
        <v>0</v>
      </c>
      <c r="I38" s="59">
        <f t="shared" ref="I38" si="126">+SUM(I39:I42)</f>
        <v>0</v>
      </c>
      <c r="J38" s="59">
        <f t="shared" ref="J38" si="127">+SUM(J39:J42)</f>
        <v>0</v>
      </c>
      <c r="K38" s="59">
        <f t="shared" ref="K38" si="128">+SUM(K39:K42)</f>
        <v>0</v>
      </c>
      <c r="L38" s="59">
        <f t="shared" ref="L38:M38" si="129">+SUM(L39:L42)</f>
        <v>0</v>
      </c>
      <c r="M38" s="59">
        <f t="shared" si="129"/>
        <v>0</v>
      </c>
      <c r="N38" s="9" t="s">
        <v>33</v>
      </c>
      <c r="O38" s="59">
        <f t="shared" ref="O38:AA38" si="130">+SUM(O39:O42)</f>
        <v>0</v>
      </c>
      <c r="P38" s="59">
        <f t="shared" si="130"/>
        <v>0</v>
      </c>
      <c r="Q38" s="59">
        <f t="shared" si="130"/>
        <v>0</v>
      </c>
      <c r="R38" s="59">
        <f t="shared" si="130"/>
        <v>0</v>
      </c>
      <c r="S38" s="59">
        <f t="shared" si="130"/>
        <v>0</v>
      </c>
      <c r="T38" s="59">
        <f t="shared" si="130"/>
        <v>0</v>
      </c>
      <c r="U38" s="59">
        <f t="shared" si="130"/>
        <v>228811.85999999993</v>
      </c>
      <c r="V38" s="59">
        <f t="shared" si="130"/>
        <v>0</v>
      </c>
      <c r="W38" s="59">
        <f t="shared" si="130"/>
        <v>0</v>
      </c>
      <c r="X38" s="59">
        <f t="shared" si="130"/>
        <v>0</v>
      </c>
      <c r="Y38" s="59">
        <f t="shared" si="130"/>
        <v>0</v>
      </c>
      <c r="Z38" s="59">
        <f t="shared" si="130"/>
        <v>0</v>
      </c>
      <c r="AA38" s="59">
        <f t="shared" si="130"/>
        <v>228811.85999999993</v>
      </c>
      <c r="AB38" s="118">
        <f t="shared" si="116"/>
        <v>0</v>
      </c>
      <c r="AC38" s="59">
        <f t="shared" ref="AC38" si="131">+SUM(AC39:AC42)</f>
        <v>0</v>
      </c>
      <c r="AD38" s="59">
        <f t="shared" ref="AD38" si="132">+SUM(AD39:AD42)</f>
        <v>0</v>
      </c>
      <c r="AE38" s="59">
        <f t="shared" ref="AE38" si="133">+SUM(AE39:AE42)</f>
        <v>0</v>
      </c>
      <c r="AF38" s="59">
        <f t="shared" ref="AF38" si="134">+SUM(AF39:AF42)</f>
        <v>0</v>
      </c>
      <c r="AG38" s="59">
        <f t="shared" ref="AG38" si="135">+SUM(AG39:AG42)</f>
        <v>0</v>
      </c>
      <c r="AH38" s="59">
        <f t="shared" ref="AH38" si="136">+SUM(AH39:AH42)</f>
        <v>0</v>
      </c>
      <c r="AI38" s="59">
        <f t="shared" ref="AI38" si="137">+SUM(AI39:AI42)</f>
        <v>0</v>
      </c>
      <c r="AJ38" s="59">
        <f t="shared" ref="AJ38" si="138">+SUM(AJ39:AJ42)</f>
        <v>0</v>
      </c>
      <c r="AK38" s="59">
        <f t="shared" ref="AK38" si="139">+SUM(AK39:AK42)</f>
        <v>0</v>
      </c>
      <c r="AL38" s="59">
        <f t="shared" ref="AL38" si="140">+SUM(AL39:AL42)</f>
        <v>0</v>
      </c>
      <c r="AM38" s="59">
        <f t="shared" ref="AM38" si="141">+SUM(AM39:AM42)</f>
        <v>0</v>
      </c>
      <c r="AN38" s="59">
        <f t="shared" ref="AN38" si="142">+SUM(AN39:AN42)</f>
        <v>0</v>
      </c>
      <c r="AO38" s="59">
        <f t="shared" ref="AO38" si="143">+SUM(AO39:AO42)</f>
        <v>0</v>
      </c>
    </row>
    <row r="39" spans="1:41" hidden="1" outlineLevel="1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>
        <f t="shared" ref="M39:M42" si="144">+SUM(A39:L39)</f>
        <v>0</v>
      </c>
      <c r="N39" s="7" t="s">
        <v>34</v>
      </c>
      <c r="O39" s="106">
        <f>+VLOOKUP($N39,'Jan-25'!A:J,3,0)</f>
        <v>0</v>
      </c>
      <c r="P39" s="106">
        <f>+VLOOKUP($N39,'Feb-25'!A:J,3,0)</f>
        <v>0</v>
      </c>
      <c r="Q39" s="106">
        <f>+VLOOKUP($N39,'Mar-25'!A:J,3,0)</f>
        <v>0</v>
      </c>
      <c r="R39" s="106">
        <f>+VLOOKUP($N39,'Apr-25'!A:J,3,0)</f>
        <v>0</v>
      </c>
      <c r="S39" s="106">
        <f>+VLOOKUP($N39,'May-25'!A:J,3,0)</f>
        <v>0</v>
      </c>
      <c r="T39" s="106">
        <f>+VLOOKUP($N39,'June-25'!A:J,3,0)</f>
        <v>0</v>
      </c>
      <c r="U39" s="106">
        <f>+VLOOKUP($N39,'July-25'!A:J,3,0)</f>
        <v>0</v>
      </c>
      <c r="V39" s="106">
        <f>+VLOOKUP($N39,'Aug-25'!A:J,3,0)</f>
        <v>0</v>
      </c>
      <c r="W39" s="106">
        <f>+VLOOKUP($N39,'Sep-25'!A:J,3,0)</f>
        <v>0</v>
      </c>
      <c r="X39" s="106">
        <f>+VLOOKUP($N39,'Oct-25'!A:J,3,0)</f>
        <v>0</v>
      </c>
      <c r="Y39" s="106">
        <f>+VLOOKUP($N39,'Nov-25'!A:J,3,0)</f>
        <v>0</v>
      </c>
      <c r="Z39" s="106">
        <f>+VLOOKUP($N39,'Dec-25'!A:J,3,0)</f>
        <v>0</v>
      </c>
      <c r="AA39" s="106">
        <f t="shared" ref="AA39:AA42" si="145">+SUM(O39:Z39)</f>
        <v>0</v>
      </c>
      <c r="AB39" s="118">
        <f t="shared" si="116"/>
        <v>0</v>
      </c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</row>
    <row r="40" spans="1:41" hidden="1" outlineLevel="1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>
        <f t="shared" si="144"/>
        <v>0</v>
      </c>
      <c r="N40" s="7" t="s">
        <v>35</v>
      </c>
      <c r="O40" s="106">
        <f>+VLOOKUP($N40,'Jan-25'!A:J,3,0)</f>
        <v>0</v>
      </c>
      <c r="P40" s="106">
        <f>+VLOOKUP($N40,'Feb-25'!A:J,3,0)</f>
        <v>0</v>
      </c>
      <c r="Q40" s="106">
        <f>+VLOOKUP($N40,'Mar-25'!A:J,3,0)</f>
        <v>0</v>
      </c>
      <c r="R40" s="106">
        <f>+VLOOKUP($N40,'Apr-25'!A:J,3,0)</f>
        <v>0</v>
      </c>
      <c r="S40" s="106">
        <f>+VLOOKUP($N40,'May-25'!A:J,3,0)</f>
        <v>0</v>
      </c>
      <c r="T40" s="106">
        <f>+VLOOKUP($N40,'June-25'!A:J,3,0)</f>
        <v>0</v>
      </c>
      <c r="U40" s="106">
        <f>+VLOOKUP($N40,'July-25'!A:J,3,0)</f>
        <v>0</v>
      </c>
      <c r="V40" s="106">
        <f>+VLOOKUP($N40,'Aug-25'!A:J,3,0)</f>
        <v>0</v>
      </c>
      <c r="W40" s="106">
        <f>+VLOOKUP($N40,'Sep-25'!A:J,3,0)</f>
        <v>0</v>
      </c>
      <c r="X40" s="106">
        <f>+VLOOKUP($N40,'Oct-25'!A:J,3,0)</f>
        <v>0</v>
      </c>
      <c r="Y40" s="106">
        <f>+VLOOKUP($N40,'Nov-25'!A:J,3,0)</f>
        <v>0</v>
      </c>
      <c r="Z40" s="106">
        <f>+VLOOKUP($N40,'Dec-25'!A:J,3,0)</f>
        <v>0</v>
      </c>
      <c r="AA40" s="106">
        <f t="shared" si="145"/>
        <v>0</v>
      </c>
      <c r="AB40" s="118">
        <f t="shared" si="116"/>
        <v>0</v>
      </c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</row>
    <row r="41" spans="1:41" hidden="1" outlineLevel="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>
        <f t="shared" si="144"/>
        <v>0</v>
      </c>
      <c r="N41" s="7" t="s">
        <v>36</v>
      </c>
      <c r="O41" s="106">
        <f>+VLOOKUP($N41,'Jan-25'!A:J,3,0)</f>
        <v>0</v>
      </c>
      <c r="P41" s="106">
        <f>+VLOOKUP($N41,'Feb-25'!A:J,3,0)</f>
        <v>0</v>
      </c>
      <c r="Q41" s="106">
        <f>+VLOOKUP($N41,'Mar-25'!A:J,3,0)</f>
        <v>0</v>
      </c>
      <c r="R41" s="106">
        <f>+VLOOKUP($N41,'Apr-25'!A:J,3,0)</f>
        <v>0</v>
      </c>
      <c r="S41" s="106">
        <f>+VLOOKUP($N41,'May-25'!A:J,3,0)</f>
        <v>0</v>
      </c>
      <c r="T41" s="106">
        <f>+VLOOKUP($N41,'June-25'!A:J,3,0)</f>
        <v>0</v>
      </c>
      <c r="U41" s="106">
        <f>+VLOOKUP($N41,'July-25'!A:J,3,0)</f>
        <v>0</v>
      </c>
      <c r="V41" s="106">
        <f>+VLOOKUP($N41,'Aug-25'!A:J,3,0)</f>
        <v>0</v>
      </c>
      <c r="W41" s="106">
        <f>+VLOOKUP($N41,'Sep-25'!A:J,3,0)</f>
        <v>0</v>
      </c>
      <c r="X41" s="106">
        <f>+VLOOKUP($N41,'Oct-25'!A:J,3,0)</f>
        <v>0</v>
      </c>
      <c r="Y41" s="106">
        <f>+VLOOKUP($N41,'Nov-25'!A:J,3,0)</f>
        <v>0</v>
      </c>
      <c r="Z41" s="106">
        <f>+VLOOKUP($N41,'Dec-25'!A:J,3,0)</f>
        <v>0</v>
      </c>
      <c r="AA41" s="106">
        <f t="shared" si="145"/>
        <v>0</v>
      </c>
      <c r="AB41" s="118">
        <f t="shared" si="116"/>
        <v>0</v>
      </c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</row>
    <row r="42" spans="1:41" hidden="1" outlineLevel="1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>
        <f t="shared" si="144"/>
        <v>0</v>
      </c>
      <c r="N42" s="7" t="s">
        <v>37</v>
      </c>
      <c r="O42" s="106">
        <f>+VLOOKUP($N42,'Jan-25'!A:J,3,0)</f>
        <v>0</v>
      </c>
      <c r="P42" s="106">
        <f>+VLOOKUP($N42,'Feb-25'!A:J,3,0)</f>
        <v>0</v>
      </c>
      <c r="Q42" s="106">
        <f>+VLOOKUP($N42,'Mar-25'!A:J,3,0)</f>
        <v>0</v>
      </c>
      <c r="R42" s="106">
        <f>+VLOOKUP($N42,'Apr-25'!A:J,3,0)</f>
        <v>0</v>
      </c>
      <c r="S42" s="106">
        <f>+VLOOKUP($N42,'May-25'!A:J,3,0)</f>
        <v>0</v>
      </c>
      <c r="T42" s="106">
        <f>+VLOOKUP($N42,'June-25'!A:J,3,0)</f>
        <v>0</v>
      </c>
      <c r="U42" s="106">
        <f>+VLOOKUP($N42,'July-25'!A:J,3,0)</f>
        <v>228811.85999999993</v>
      </c>
      <c r="V42" s="106">
        <f>+VLOOKUP($N42,'Aug-25'!A:J,3,0)</f>
        <v>0</v>
      </c>
      <c r="W42" s="106">
        <f>+VLOOKUP($N42,'Sep-25'!A:J,3,0)</f>
        <v>0</v>
      </c>
      <c r="X42" s="106">
        <f>+VLOOKUP($N42,'Oct-25'!A:J,3,0)</f>
        <v>0</v>
      </c>
      <c r="Y42" s="106">
        <f>+VLOOKUP($N42,'Nov-25'!A:J,3,0)</f>
        <v>0</v>
      </c>
      <c r="Z42" s="106">
        <f>+VLOOKUP($N42,'Dec-25'!A:J,3,0)</f>
        <v>0</v>
      </c>
      <c r="AA42" s="106">
        <f t="shared" si="145"/>
        <v>228811.85999999993</v>
      </c>
      <c r="AB42" s="118">
        <f t="shared" si="116"/>
        <v>0</v>
      </c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</row>
    <row r="43" spans="1:41" hidden="1" outlineLevel="1">
      <c r="A43" s="59">
        <f t="shared" ref="A43:M43" si="146">+A29-A38</f>
        <v>0</v>
      </c>
      <c r="B43" s="59">
        <f t="shared" si="146"/>
        <v>0</v>
      </c>
      <c r="C43" s="59">
        <f t="shared" si="146"/>
        <v>0</v>
      </c>
      <c r="D43" s="59">
        <f t="shared" si="146"/>
        <v>0</v>
      </c>
      <c r="E43" s="59">
        <f t="shared" si="146"/>
        <v>0</v>
      </c>
      <c r="F43" s="59">
        <f t="shared" si="146"/>
        <v>0</v>
      </c>
      <c r="G43" s="59">
        <f t="shared" si="146"/>
        <v>0</v>
      </c>
      <c r="H43" s="59">
        <f t="shared" si="146"/>
        <v>0</v>
      </c>
      <c r="I43" s="59">
        <f t="shared" si="146"/>
        <v>0</v>
      </c>
      <c r="J43" s="59">
        <f t="shared" si="146"/>
        <v>0</v>
      </c>
      <c r="K43" s="59">
        <f t="shared" si="146"/>
        <v>0</v>
      </c>
      <c r="L43" s="59">
        <f t="shared" si="146"/>
        <v>0</v>
      </c>
      <c r="M43" s="59">
        <f t="shared" si="146"/>
        <v>0</v>
      </c>
      <c r="N43" s="10" t="s">
        <v>20</v>
      </c>
      <c r="O43" s="59">
        <f t="shared" ref="O43:AO43" si="147">+O29-O38</f>
        <v>0</v>
      </c>
      <c r="P43" s="59">
        <f t="shared" si="147"/>
        <v>0</v>
      </c>
      <c r="Q43" s="59">
        <f t="shared" si="147"/>
        <v>0</v>
      </c>
      <c r="R43" s="59">
        <f t="shared" si="147"/>
        <v>0</v>
      </c>
      <c r="S43" s="59">
        <f t="shared" si="147"/>
        <v>0</v>
      </c>
      <c r="T43" s="59">
        <f t="shared" si="147"/>
        <v>0</v>
      </c>
      <c r="U43" s="59">
        <f t="shared" si="147"/>
        <v>-228811.85999999993</v>
      </c>
      <c r="V43" s="59">
        <f t="shared" si="147"/>
        <v>0</v>
      </c>
      <c r="W43" s="59">
        <f t="shared" si="147"/>
        <v>0</v>
      </c>
      <c r="X43" s="59">
        <f t="shared" si="147"/>
        <v>0</v>
      </c>
      <c r="Y43" s="59">
        <f t="shared" si="147"/>
        <v>0</v>
      </c>
      <c r="Z43" s="59">
        <f t="shared" si="147"/>
        <v>0</v>
      </c>
      <c r="AA43" s="59">
        <f t="shared" si="147"/>
        <v>-228811.85999999993</v>
      </c>
      <c r="AB43" s="118">
        <f t="shared" si="116"/>
        <v>0</v>
      </c>
      <c r="AC43" s="59">
        <f t="shared" si="147"/>
        <v>0</v>
      </c>
      <c r="AD43" s="59">
        <f t="shared" si="147"/>
        <v>0</v>
      </c>
      <c r="AE43" s="59">
        <f t="shared" si="147"/>
        <v>0</v>
      </c>
      <c r="AF43" s="59">
        <f t="shared" si="147"/>
        <v>0</v>
      </c>
      <c r="AG43" s="59">
        <f t="shared" si="147"/>
        <v>0</v>
      </c>
      <c r="AH43" s="59">
        <f t="shared" si="147"/>
        <v>0</v>
      </c>
      <c r="AI43" s="59">
        <f t="shared" si="147"/>
        <v>0</v>
      </c>
      <c r="AJ43" s="59">
        <f t="shared" si="147"/>
        <v>0</v>
      </c>
      <c r="AK43" s="59">
        <f t="shared" si="147"/>
        <v>0</v>
      </c>
      <c r="AL43" s="59">
        <f t="shared" si="147"/>
        <v>0</v>
      </c>
      <c r="AM43" s="59">
        <f t="shared" si="147"/>
        <v>0</v>
      </c>
      <c r="AN43" s="59">
        <f t="shared" si="147"/>
        <v>0</v>
      </c>
      <c r="AO43" s="59">
        <f t="shared" si="147"/>
        <v>0</v>
      </c>
    </row>
    <row r="44" spans="1:41" hidden="1" outlineLevel="1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>
        <f t="shared" ref="M44:M46" si="148">+SUM(A44:L44)</f>
        <v>0</v>
      </c>
      <c r="N44" s="7" t="s">
        <v>38</v>
      </c>
      <c r="O44" s="106">
        <f>+VLOOKUP($N44,'Jan-25'!A:J,3,0)</f>
        <v>0</v>
      </c>
      <c r="P44" s="106">
        <f>+VLOOKUP($N44,'Feb-25'!A:J,3,0)</f>
        <v>0</v>
      </c>
      <c r="Q44" s="106">
        <f>+VLOOKUP($N44,'Mar-25'!A:J,3,0)</f>
        <v>0</v>
      </c>
      <c r="R44" s="106">
        <f>+VLOOKUP($N44,'Apr-25'!A:J,3,0)</f>
        <v>0</v>
      </c>
      <c r="S44" s="106">
        <f>+VLOOKUP($N44,'May-25'!A:J,3,0)</f>
        <v>0</v>
      </c>
      <c r="T44" s="106">
        <f>+VLOOKUP($N44,'June-25'!A:J,3,0)</f>
        <v>0</v>
      </c>
      <c r="U44" s="106">
        <f>+VLOOKUP($N44,'July-25'!A:J,3,0)</f>
        <v>0</v>
      </c>
      <c r="V44" s="106">
        <f>+VLOOKUP($N44,'Aug-25'!A:J,3,0)</f>
        <v>0</v>
      </c>
      <c r="W44" s="106">
        <f>+VLOOKUP($N44,'Sep-25'!A:J,3,0)</f>
        <v>0</v>
      </c>
      <c r="X44" s="106">
        <f>+VLOOKUP($N44,'Oct-25'!A:J,3,0)</f>
        <v>0</v>
      </c>
      <c r="Y44" s="106">
        <f>+VLOOKUP($N44,'Nov-25'!A:J,3,0)</f>
        <v>0</v>
      </c>
      <c r="Z44" s="106">
        <f>+VLOOKUP($N44,'Dec-25'!A:J,3,0)</f>
        <v>0</v>
      </c>
      <c r="AA44" s="106">
        <f t="shared" ref="AA44:AA56" si="149">+SUM(O44:Z44)</f>
        <v>0</v>
      </c>
      <c r="AB44" s="118">
        <f t="shared" si="116"/>
        <v>0</v>
      </c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</row>
    <row r="45" spans="1:41" hidden="1" outlineLevel="1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>
        <f t="shared" si="148"/>
        <v>0</v>
      </c>
      <c r="N45" s="7" t="s">
        <v>39</v>
      </c>
      <c r="O45" s="106">
        <f>+VLOOKUP($N45,'Jan-25'!A:J,3,0)</f>
        <v>0</v>
      </c>
      <c r="P45" s="106">
        <f>+VLOOKUP($N45,'Feb-25'!A:J,3,0)</f>
        <v>0</v>
      </c>
      <c r="Q45" s="106">
        <f>+VLOOKUP($N45,'Mar-25'!A:J,3,0)</f>
        <v>0</v>
      </c>
      <c r="R45" s="106">
        <f>+VLOOKUP($N45,'Apr-25'!A:J,3,0)</f>
        <v>0</v>
      </c>
      <c r="S45" s="106">
        <f>+VLOOKUP($N45,'May-25'!A:J,3,0)</f>
        <v>0</v>
      </c>
      <c r="T45" s="106">
        <f>+VLOOKUP($N45,'June-25'!A:J,3,0)</f>
        <v>0</v>
      </c>
      <c r="U45" s="106">
        <f>+VLOOKUP($N45,'July-25'!A:J,3,0)</f>
        <v>0</v>
      </c>
      <c r="V45" s="106">
        <f>+VLOOKUP($N45,'Aug-25'!A:J,3,0)</f>
        <v>0</v>
      </c>
      <c r="W45" s="106">
        <f>+VLOOKUP($N45,'Sep-25'!A:J,3,0)</f>
        <v>0</v>
      </c>
      <c r="X45" s="106">
        <f>+VLOOKUP($N45,'Oct-25'!A:J,3,0)</f>
        <v>0</v>
      </c>
      <c r="Y45" s="106">
        <f>+VLOOKUP($N45,'Nov-25'!A:J,3,0)</f>
        <v>0</v>
      </c>
      <c r="Z45" s="106">
        <f>+VLOOKUP($N45,'Dec-25'!A:J,3,0)</f>
        <v>0</v>
      </c>
      <c r="AA45" s="106">
        <f t="shared" si="149"/>
        <v>0</v>
      </c>
      <c r="AB45" s="118">
        <f t="shared" si="116"/>
        <v>0</v>
      </c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</row>
    <row r="46" spans="1:41" hidden="1" outlineLevel="1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>
        <f t="shared" si="148"/>
        <v>0</v>
      </c>
      <c r="N46" s="7" t="s">
        <v>40</v>
      </c>
      <c r="O46" s="106">
        <f>+VLOOKUP($N46,'Jan-25'!A:J,3,0)</f>
        <v>0</v>
      </c>
      <c r="P46" s="106">
        <f>+VLOOKUP($N46,'Feb-25'!A:J,3,0)</f>
        <v>0</v>
      </c>
      <c r="Q46" s="106">
        <f>+VLOOKUP($N46,'Mar-25'!A:J,3,0)</f>
        <v>0</v>
      </c>
      <c r="R46" s="106">
        <f>+VLOOKUP($N46,'Apr-25'!A:J,3,0)</f>
        <v>0</v>
      </c>
      <c r="S46" s="106">
        <f>+VLOOKUP($N46,'May-25'!A:J,3,0)</f>
        <v>0</v>
      </c>
      <c r="T46" s="106">
        <f>+VLOOKUP($N46,'June-25'!A:J,3,0)</f>
        <v>0</v>
      </c>
      <c r="U46" s="106">
        <f>+VLOOKUP($N46,'July-25'!A:J,3,0)</f>
        <v>0</v>
      </c>
      <c r="V46" s="106">
        <f>+VLOOKUP($N46,'Aug-25'!A:J,3,0)</f>
        <v>0</v>
      </c>
      <c r="W46" s="106">
        <f>+VLOOKUP($N46,'Sep-25'!A:J,3,0)</f>
        <v>0</v>
      </c>
      <c r="X46" s="106">
        <f>+VLOOKUP($N46,'Oct-25'!A:J,3,0)</f>
        <v>0</v>
      </c>
      <c r="Y46" s="106">
        <f>+VLOOKUP($N46,'Nov-25'!A:J,3,0)</f>
        <v>0</v>
      </c>
      <c r="Z46" s="106">
        <f>+VLOOKUP($N46,'Dec-25'!A:J,3,0)</f>
        <v>0</v>
      </c>
      <c r="AA46" s="106">
        <f t="shared" si="149"/>
        <v>0</v>
      </c>
      <c r="AB46" s="118">
        <f t="shared" si="116"/>
        <v>0</v>
      </c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</row>
    <row r="47" spans="1:41" hidden="1" outlineLevel="1">
      <c r="A47" s="59">
        <f t="shared" ref="A47" si="150">+A43+A44+A45+A46</f>
        <v>0</v>
      </c>
      <c r="B47" s="59">
        <f t="shared" ref="B47" si="151">+B43+B44+B45+B46</f>
        <v>0</v>
      </c>
      <c r="C47" s="59">
        <f t="shared" ref="C47" si="152">+C43+C44+C45+C46</f>
        <v>0</v>
      </c>
      <c r="D47" s="59">
        <f t="shared" ref="D47" si="153">+D43+D44+D45+D46</f>
        <v>0</v>
      </c>
      <c r="E47" s="59">
        <f t="shared" ref="E47" si="154">+E43+E44+E45+E46</f>
        <v>0</v>
      </c>
      <c r="F47" s="59">
        <f t="shared" ref="F47" si="155">+F43+F44+F45+F46</f>
        <v>0</v>
      </c>
      <c r="G47" s="59">
        <f t="shared" ref="G47" si="156">+G43+G44+G45+G46</f>
        <v>0</v>
      </c>
      <c r="H47" s="59">
        <f t="shared" ref="H47" si="157">+H43+H44+H45+H46</f>
        <v>0</v>
      </c>
      <c r="I47" s="59">
        <f t="shared" ref="I47" si="158">+I43+I44+I45+I46</f>
        <v>0</v>
      </c>
      <c r="J47" s="59">
        <f t="shared" ref="J47" si="159">+J43+J44+J45+J46</f>
        <v>0</v>
      </c>
      <c r="K47" s="59">
        <f t="shared" ref="K47" si="160">+K43+K44+K45+K46</f>
        <v>0</v>
      </c>
      <c r="L47" s="59">
        <f t="shared" ref="L47:M47" si="161">+L43+L44+L45+L46</f>
        <v>0</v>
      </c>
      <c r="M47" s="59">
        <f t="shared" si="161"/>
        <v>0</v>
      </c>
      <c r="N47" s="10" t="s">
        <v>41</v>
      </c>
      <c r="O47" s="59">
        <f t="shared" ref="O47:AA47" si="162">+O43+O44+O45+O46</f>
        <v>0</v>
      </c>
      <c r="P47" s="59">
        <f t="shared" si="162"/>
        <v>0</v>
      </c>
      <c r="Q47" s="59">
        <f t="shared" si="162"/>
        <v>0</v>
      </c>
      <c r="R47" s="59">
        <f t="shared" si="162"/>
        <v>0</v>
      </c>
      <c r="S47" s="59">
        <f t="shared" si="162"/>
        <v>0</v>
      </c>
      <c r="T47" s="59">
        <f t="shared" si="162"/>
        <v>0</v>
      </c>
      <c r="U47" s="59">
        <f t="shared" si="162"/>
        <v>-228811.85999999993</v>
      </c>
      <c r="V47" s="59">
        <f t="shared" si="162"/>
        <v>0</v>
      </c>
      <c r="W47" s="59">
        <f t="shared" si="162"/>
        <v>0</v>
      </c>
      <c r="X47" s="59">
        <f t="shared" si="162"/>
        <v>0</v>
      </c>
      <c r="Y47" s="59">
        <f t="shared" si="162"/>
        <v>0</v>
      </c>
      <c r="Z47" s="59">
        <f t="shared" si="162"/>
        <v>0</v>
      </c>
      <c r="AA47" s="59">
        <f t="shared" si="162"/>
        <v>-228811.85999999993</v>
      </c>
      <c r="AB47" s="118">
        <f t="shared" si="116"/>
        <v>0</v>
      </c>
      <c r="AC47" s="59">
        <f t="shared" ref="AC47" si="163">+AC43+AC44+AC45+AC46</f>
        <v>0</v>
      </c>
      <c r="AD47" s="59">
        <f t="shared" ref="AD47" si="164">+AD43+AD44+AD45+AD46</f>
        <v>0</v>
      </c>
      <c r="AE47" s="59">
        <f t="shared" ref="AE47" si="165">+AE43+AE44+AE45+AE46</f>
        <v>0</v>
      </c>
      <c r="AF47" s="59">
        <f t="shared" ref="AF47" si="166">+AF43+AF44+AF45+AF46</f>
        <v>0</v>
      </c>
      <c r="AG47" s="59">
        <f t="shared" ref="AG47" si="167">+AG43+AG44+AG45+AG46</f>
        <v>0</v>
      </c>
      <c r="AH47" s="59">
        <f t="shared" ref="AH47" si="168">+AH43+AH44+AH45+AH46</f>
        <v>0</v>
      </c>
      <c r="AI47" s="59">
        <f t="shared" ref="AI47" si="169">+AI43+AI44+AI45+AI46</f>
        <v>0</v>
      </c>
      <c r="AJ47" s="59">
        <f t="shared" ref="AJ47" si="170">+AJ43+AJ44+AJ45+AJ46</f>
        <v>0</v>
      </c>
      <c r="AK47" s="59">
        <f t="shared" ref="AK47" si="171">+AK43+AK44+AK45+AK46</f>
        <v>0</v>
      </c>
      <c r="AL47" s="59">
        <f t="shared" ref="AL47" si="172">+AL43+AL44+AL45+AL46</f>
        <v>0</v>
      </c>
      <c r="AM47" s="59">
        <f t="shared" ref="AM47" si="173">+AM43+AM44+AM45+AM46</f>
        <v>0</v>
      </c>
      <c r="AN47" s="59">
        <f t="shared" ref="AN47" si="174">+AN43+AN44+AN45+AN46</f>
        <v>0</v>
      </c>
      <c r="AO47" s="59">
        <f t="shared" ref="AO47" si="175">+AO43+AO44+AO45+AO46</f>
        <v>0</v>
      </c>
    </row>
    <row r="48" spans="1:41" hidden="1" outlineLevel="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>
        <f t="shared" si="149"/>
        <v>0</v>
      </c>
      <c r="AB48" s="118">
        <f t="shared" si="116"/>
        <v>0</v>
      </c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</row>
    <row r="49" spans="1:41" ht="17.25" hidden="1" outlineLevel="1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5" t="s">
        <v>42</v>
      </c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>
        <f t="shared" si="149"/>
        <v>0</v>
      </c>
      <c r="AB49" s="118">
        <f t="shared" si="116"/>
        <v>0</v>
      </c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</row>
    <row r="50" spans="1:41" collapsed="1">
      <c r="A50" s="105">
        <v>25</v>
      </c>
      <c r="B50" s="105">
        <v>20</v>
      </c>
      <c r="C50" s="105">
        <v>31</v>
      </c>
      <c r="D50" s="105">
        <v>33</v>
      </c>
      <c r="E50" s="105">
        <v>17</v>
      </c>
      <c r="F50" s="105">
        <v>31</v>
      </c>
      <c r="G50" s="105">
        <v>27</v>
      </c>
      <c r="H50" s="105">
        <v>28</v>
      </c>
      <c r="I50" s="105">
        <v>28</v>
      </c>
      <c r="J50" s="105">
        <v>17</v>
      </c>
      <c r="K50" s="105">
        <v>28</v>
      </c>
      <c r="L50" s="105">
        <v>41</v>
      </c>
      <c r="M50" s="105">
        <f t="shared" ref="M50:M53" si="176">+SUM(A50:L50)</f>
        <v>326</v>
      </c>
      <c r="N50" s="13" t="s">
        <v>3</v>
      </c>
      <c r="O50" s="105">
        <f>+'Jan-25'!C50</f>
        <v>0</v>
      </c>
      <c r="P50" s="105">
        <f>+'Feb-25'!C50</f>
        <v>0</v>
      </c>
      <c r="Q50" s="105">
        <f>+'Mar-25'!C50</f>
        <v>0</v>
      </c>
      <c r="R50" s="105">
        <f>+'Apr-25'!C50</f>
        <v>31</v>
      </c>
      <c r="S50" s="105">
        <f>+'May-25'!C50</f>
        <v>21</v>
      </c>
      <c r="T50" s="105">
        <f>+'June-25'!C50</f>
        <v>0</v>
      </c>
      <c r="U50" s="105">
        <f>+'July-25'!C50</f>
        <v>19</v>
      </c>
      <c r="V50" s="105">
        <f>+'Aug-25'!C50</f>
        <v>41</v>
      </c>
      <c r="W50" s="105">
        <f>+'Sep-25'!C50</f>
        <v>21</v>
      </c>
      <c r="X50" s="105">
        <f>+'Oct-25'!C50</f>
        <v>31</v>
      </c>
      <c r="Y50" s="105">
        <f>+'Nov-25'!C50</f>
        <v>0</v>
      </c>
      <c r="Z50" s="105">
        <f>+'Dec-25'!C50</f>
        <v>0</v>
      </c>
      <c r="AA50" s="105">
        <f t="shared" si="149"/>
        <v>164</v>
      </c>
      <c r="AB50" s="118">
        <f t="shared" si="116"/>
        <v>3.3333333333333333E-2</v>
      </c>
      <c r="AC50" s="105">
        <f>+Budget!C4</f>
        <v>29</v>
      </c>
      <c r="AD50" s="105">
        <f>+Budget!D4</f>
        <v>29</v>
      </c>
      <c r="AE50" s="105">
        <f>+Budget!E4</f>
        <v>37</v>
      </c>
      <c r="AF50" s="105">
        <f>+Budget!F4</f>
        <v>30</v>
      </c>
      <c r="AG50" s="105">
        <f>+Budget!G4</f>
        <v>32</v>
      </c>
      <c r="AH50" s="105">
        <f>+Budget!H4</f>
        <v>28</v>
      </c>
      <c r="AI50" s="105">
        <f>+Budget!I4</f>
        <v>29</v>
      </c>
      <c r="AJ50" s="105">
        <f>+Budget!J4</f>
        <v>34</v>
      </c>
      <c r="AK50" s="105">
        <f>+Budget!K4</f>
        <v>34</v>
      </c>
      <c r="AL50" s="105">
        <f>+Budget!L4</f>
        <v>30</v>
      </c>
      <c r="AM50" s="105">
        <f>+Budget!M4</f>
        <v>28</v>
      </c>
      <c r="AN50" s="105">
        <f>+Budget!N4</f>
        <v>37</v>
      </c>
      <c r="AO50" s="105">
        <f>+SUM(AC50:AN50)</f>
        <v>377</v>
      </c>
    </row>
    <row r="51" spans="1:41">
      <c r="A51" s="106">
        <v>579288.68000000005</v>
      </c>
      <c r="B51" s="106">
        <v>557109.21</v>
      </c>
      <c r="C51" s="106">
        <v>998189.84000000008</v>
      </c>
      <c r="D51" s="106">
        <v>295455.19999999995</v>
      </c>
      <c r="E51" s="106">
        <v>675345.37000000011</v>
      </c>
      <c r="F51" s="106">
        <v>607422.36</v>
      </c>
      <c r="G51" s="106">
        <v>485713.71</v>
      </c>
      <c r="H51" s="106">
        <v>825881.36999999988</v>
      </c>
      <c r="I51" s="106">
        <v>294433.08</v>
      </c>
      <c r="J51" s="106">
        <v>810994.5</v>
      </c>
      <c r="K51" s="106">
        <v>909540.76</v>
      </c>
      <c r="L51" s="106">
        <v>897583.41999999993</v>
      </c>
      <c r="M51" s="106">
        <f t="shared" si="176"/>
        <v>7936957.5000000009</v>
      </c>
      <c r="N51" s="7" t="s">
        <v>43</v>
      </c>
      <c r="O51" s="106">
        <f>+VLOOKUP($N51,'Jan-25'!A:J,3,0)</f>
        <v>537519.81999999995</v>
      </c>
      <c r="P51" s="106">
        <f>+VLOOKUP($N51,'Feb-25'!A:J,3,0)</f>
        <v>353716.83</v>
      </c>
      <c r="Q51" s="106">
        <f>+VLOOKUP($N51,'Mar-25'!A:J,3,0)</f>
        <v>574947.85000000009</v>
      </c>
      <c r="R51" s="106">
        <f>+VLOOKUP($N51,'Apr-25'!A:J,3,0)</f>
        <v>914308.94999999984</v>
      </c>
      <c r="S51" s="106">
        <f>+VLOOKUP($N51,'May-25'!A:J,3,0)</f>
        <v>745378.10000000009</v>
      </c>
      <c r="T51" s="106">
        <f>+VLOOKUP($N51,'June-25'!A:J,3,0)</f>
        <v>330686.83999999997</v>
      </c>
      <c r="U51" s="106">
        <f>+VLOOKUP($N51,'July-25'!A:J,3,0)</f>
        <v>637330.07000000007</v>
      </c>
      <c r="V51" s="106">
        <f>+VLOOKUP($N51,'Aug-25'!A:J,3,0)</f>
        <v>1041501.5700000001</v>
      </c>
      <c r="W51" s="106">
        <f>+VLOOKUP($N51,'Sep-25'!A:J,3,0)</f>
        <v>861624.07000000007</v>
      </c>
      <c r="X51" s="106">
        <f>+VLOOKUP($N51,'Oct-25'!A:J,3,0)</f>
        <v>684490.8</v>
      </c>
      <c r="Y51" s="106">
        <f>+VLOOKUP($N51,'Nov-25'!A:J,3,0)</f>
        <v>0</v>
      </c>
      <c r="Z51" s="106">
        <f>+VLOOKUP($N51,'Dec-25'!A:J,3,0)</f>
        <v>0</v>
      </c>
      <c r="AA51" s="106">
        <f t="shared" si="149"/>
        <v>6681504.9000000004</v>
      </c>
      <c r="AB51" s="118">
        <f t="shared" si="116"/>
        <v>-0.26398838709677414</v>
      </c>
      <c r="AC51" s="106">
        <f>+Budget!C13</f>
        <v>899000</v>
      </c>
      <c r="AD51" s="106">
        <f>+Budget!D13</f>
        <v>899000</v>
      </c>
      <c r="AE51" s="106">
        <f>+Budget!E13</f>
        <v>1147000</v>
      </c>
      <c r="AF51" s="106">
        <f>+Budget!F13</f>
        <v>930000</v>
      </c>
      <c r="AG51" s="106">
        <f>+Budget!G13</f>
        <v>992000</v>
      </c>
      <c r="AH51" s="106">
        <f>+Budget!H13</f>
        <v>868000</v>
      </c>
      <c r="AI51" s="106">
        <f>+Budget!I13</f>
        <v>899000</v>
      </c>
      <c r="AJ51" s="106">
        <f>+Budget!J13</f>
        <v>1054000</v>
      </c>
      <c r="AK51" s="106">
        <f>+Budget!K13</f>
        <v>1054000</v>
      </c>
      <c r="AL51" s="106">
        <f>+Budget!L13</f>
        <v>930000</v>
      </c>
      <c r="AM51" s="106">
        <f>+Budget!M13</f>
        <v>868000</v>
      </c>
      <c r="AN51" s="106">
        <f>+Budget!N13</f>
        <v>1147000</v>
      </c>
      <c r="AO51" s="106">
        <f>+SUM(AC51:AN51)</f>
        <v>11687000</v>
      </c>
    </row>
    <row r="52" spans="1:41">
      <c r="A52" s="106">
        <v>13908.239999999998</v>
      </c>
      <c r="B52" s="106">
        <v>255183.2</v>
      </c>
      <c r="C52" s="106">
        <v>304342.21000000002</v>
      </c>
      <c r="D52" s="106">
        <v>41637.470000000008</v>
      </c>
      <c r="E52" s="106">
        <v>208236.91999999998</v>
      </c>
      <c r="F52" s="106">
        <v>53978.639999999985</v>
      </c>
      <c r="G52" s="106">
        <v>67370.159999999974</v>
      </c>
      <c r="H52" s="106">
        <v>50776.319999999992</v>
      </c>
      <c r="I52" s="106">
        <v>9065.8100000000268</v>
      </c>
      <c r="J52" s="106">
        <v>108025.12</v>
      </c>
      <c r="K52" s="106">
        <v>145835.81999999998</v>
      </c>
      <c r="L52" s="106">
        <v>220387.21</v>
      </c>
      <c r="M52" s="106">
        <f t="shared" si="176"/>
        <v>1478747.12</v>
      </c>
      <c r="N52" s="10" t="s">
        <v>30</v>
      </c>
      <c r="O52" s="106">
        <f>+'Jan-25'!C52</f>
        <v>729529.98</v>
      </c>
      <c r="P52" s="106">
        <f>+'Feb-25'!C52</f>
        <v>119772.86</v>
      </c>
      <c r="Q52" s="106">
        <f>+'Mar-25'!C52</f>
        <v>229074.01</v>
      </c>
      <c r="R52" s="106">
        <f>+'Apr-25'!C52</f>
        <v>301669.91000000003</v>
      </c>
      <c r="S52" s="106">
        <f>+'May-25'!C52</f>
        <v>428414.25000000017</v>
      </c>
      <c r="T52" s="106">
        <f>+'June-25'!C52</f>
        <v>635653.13000000012</v>
      </c>
      <c r="U52" s="106">
        <f>+'July-25'!C52</f>
        <v>238973.98</v>
      </c>
      <c r="V52" s="106">
        <f>+'Aug-25'!C52</f>
        <v>339616.55000000005</v>
      </c>
      <c r="W52" s="106">
        <f>+'Sep-25'!C52</f>
        <v>558406.17999999993</v>
      </c>
      <c r="X52" s="106">
        <f>+'Oct-25'!C52</f>
        <v>459546.06</v>
      </c>
      <c r="Y52" s="106">
        <f>+'Nov-25'!C52</f>
        <v>0</v>
      </c>
      <c r="Z52" s="106">
        <f>+'Dec-25'!C52</f>
        <v>0</v>
      </c>
      <c r="AA52" s="106">
        <f t="shared" si="149"/>
        <v>4040656.9100000006</v>
      </c>
      <c r="AB52" s="118">
        <f t="shared" si="116"/>
        <v>0</v>
      </c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</row>
    <row r="53" spans="1:41">
      <c r="A53" s="106">
        <v>537290.52000000014</v>
      </c>
      <c r="B53" s="106">
        <v>733998.25000000012</v>
      </c>
      <c r="C53" s="106">
        <v>1164235.7099999997</v>
      </c>
      <c r="D53" s="106">
        <v>308866.75</v>
      </c>
      <c r="E53" s="106">
        <v>793882.54999999993</v>
      </c>
      <c r="F53" s="106">
        <v>632780.37</v>
      </c>
      <c r="G53" s="106">
        <v>492774.72999999952</v>
      </c>
      <c r="H53" s="106">
        <v>766043.90000000014</v>
      </c>
      <c r="I53" s="106">
        <v>253899.23000000007</v>
      </c>
      <c r="J53" s="106">
        <v>844330.87000000023</v>
      </c>
      <c r="K53" s="106">
        <v>912366.72000000009</v>
      </c>
      <c r="L53" s="106">
        <v>1033312.1800000004</v>
      </c>
      <c r="M53" s="106">
        <f t="shared" si="176"/>
        <v>8473781.7799999993</v>
      </c>
      <c r="N53" s="10" t="s">
        <v>33</v>
      </c>
      <c r="O53" s="106">
        <f>+'Jan-25'!C53</f>
        <v>1190830.9499999997</v>
      </c>
      <c r="P53" s="106">
        <f>+'Feb-25'!C53</f>
        <v>386727.21999999986</v>
      </c>
      <c r="Q53" s="106">
        <f>+'Mar-25'!C53</f>
        <v>640021.45000000019</v>
      </c>
      <c r="R53" s="106">
        <f>+'Apr-25'!C53</f>
        <v>1028729.5599999996</v>
      </c>
      <c r="S53" s="106">
        <f>+'May-25'!C53</f>
        <v>1040817.6899999987</v>
      </c>
      <c r="T53" s="106">
        <f>+'June-25'!C53</f>
        <v>604803.42000000016</v>
      </c>
      <c r="U53" s="106">
        <f>+'July-25'!C53</f>
        <v>753109.54000000015</v>
      </c>
      <c r="V53" s="106">
        <f>+'Aug-25'!C53</f>
        <v>1219160.0799999984</v>
      </c>
      <c r="W53" s="106">
        <f>+'Sep-25'!C53</f>
        <v>1272691.5999999994</v>
      </c>
      <c r="X53" s="106">
        <f>+'Oct-25'!C53</f>
        <v>1060609.4700000002</v>
      </c>
      <c r="Y53" s="106">
        <f>+'Nov-25'!C53</f>
        <v>0</v>
      </c>
      <c r="Z53" s="106">
        <f>+'Dec-25'!C53</f>
        <v>0</v>
      </c>
      <c r="AA53" s="106">
        <f t="shared" si="149"/>
        <v>9197500.9799999967</v>
      </c>
      <c r="AB53" s="118">
        <f t="shared" si="116"/>
        <v>0.34169445920303632</v>
      </c>
      <c r="AC53" s="106">
        <f>+Budget!C14</f>
        <v>764150</v>
      </c>
      <c r="AD53" s="106">
        <f>+Budget!D14</f>
        <v>764150</v>
      </c>
      <c r="AE53" s="106">
        <f>+Budget!E14</f>
        <v>974950</v>
      </c>
      <c r="AF53" s="106">
        <f>+Budget!F14</f>
        <v>790500</v>
      </c>
      <c r="AG53" s="106">
        <f>+Budget!G14</f>
        <v>843200</v>
      </c>
      <c r="AH53" s="106">
        <f>+Budget!H14</f>
        <v>737800</v>
      </c>
      <c r="AI53" s="106">
        <f>+Budget!I14</f>
        <v>764150</v>
      </c>
      <c r="AJ53" s="106">
        <f>+Budget!J14</f>
        <v>895900</v>
      </c>
      <c r="AK53" s="106">
        <f>+Budget!K14</f>
        <v>895900</v>
      </c>
      <c r="AL53" s="106">
        <f>+Budget!L14</f>
        <v>790500</v>
      </c>
      <c r="AM53" s="106">
        <f>+Budget!M14</f>
        <v>737800</v>
      </c>
      <c r="AN53" s="106">
        <f>+Budget!N14</f>
        <v>974950</v>
      </c>
      <c r="AO53" s="106">
        <f>+SUM(AC53:AN53)</f>
        <v>9933950</v>
      </c>
    </row>
    <row r="54" spans="1:41">
      <c r="A54" s="58">
        <f t="shared" ref="A54" si="177">+A51+A52-A53</f>
        <v>55906.399999999907</v>
      </c>
      <c r="B54" s="58">
        <f t="shared" ref="B54" si="178">+B51+B52-B53</f>
        <v>78294.1599999998</v>
      </c>
      <c r="C54" s="58">
        <f t="shared" ref="C54" si="179">+C51+C52-C53</f>
        <v>138296.34000000032</v>
      </c>
      <c r="D54" s="58">
        <f t="shared" ref="D54" si="180">+D51+D52-D53</f>
        <v>28225.919999999984</v>
      </c>
      <c r="E54" s="58">
        <f t="shared" ref="E54" si="181">+E51+E52-E53</f>
        <v>89699.740000000107</v>
      </c>
      <c r="F54" s="58">
        <f t="shared" ref="F54" si="182">+F51+F52-F53</f>
        <v>28620.630000000005</v>
      </c>
      <c r="G54" s="58">
        <f t="shared" ref="G54" si="183">+G51+G52-G53</f>
        <v>60309.14000000048</v>
      </c>
      <c r="H54" s="58">
        <f t="shared" ref="H54" si="184">+H51+H52-H53</f>
        <v>110613.78999999969</v>
      </c>
      <c r="I54" s="58">
        <f t="shared" ref="I54" si="185">+I51+I52-I53</f>
        <v>49599.659999999945</v>
      </c>
      <c r="J54" s="58">
        <f t="shared" ref="J54" si="186">+J51+J52-J53</f>
        <v>74688.749999999767</v>
      </c>
      <c r="K54" s="58">
        <f t="shared" ref="K54" si="187">+K51+K52-K53</f>
        <v>143009.85999999999</v>
      </c>
      <c r="L54" s="58">
        <f t="shared" ref="L54:M54" si="188">+L51+L52-L53</f>
        <v>84658.449999999488</v>
      </c>
      <c r="M54" s="58">
        <f t="shared" si="188"/>
        <v>941922.84000000171</v>
      </c>
      <c r="N54" s="10" t="s">
        <v>20</v>
      </c>
      <c r="O54" s="58">
        <f t="shared" ref="O54:AA54" si="189">+O51+O52-O53</f>
        <v>76218.850000000093</v>
      </c>
      <c r="P54" s="58">
        <f t="shared" si="189"/>
        <v>86762.470000000147</v>
      </c>
      <c r="Q54" s="58">
        <f t="shared" si="189"/>
        <v>164000.40999999992</v>
      </c>
      <c r="R54" s="58">
        <f t="shared" si="189"/>
        <v>187249.30000000028</v>
      </c>
      <c r="S54" s="58">
        <f t="shared" si="189"/>
        <v>132974.66000000166</v>
      </c>
      <c r="T54" s="58">
        <f t="shared" si="189"/>
        <v>361536.54999999993</v>
      </c>
      <c r="U54" s="58">
        <f t="shared" si="189"/>
        <v>123194.50999999989</v>
      </c>
      <c r="V54" s="58">
        <f t="shared" si="189"/>
        <v>161958.04000000167</v>
      </c>
      <c r="W54" s="58">
        <f t="shared" si="189"/>
        <v>147338.65000000061</v>
      </c>
      <c r="X54" s="58">
        <f t="shared" si="189"/>
        <v>83427.389999999898</v>
      </c>
      <c r="Y54" s="58">
        <f t="shared" si="189"/>
        <v>0</v>
      </c>
      <c r="Z54" s="58">
        <f t="shared" si="189"/>
        <v>0</v>
      </c>
      <c r="AA54" s="58">
        <f t="shared" si="189"/>
        <v>1524660.8300000038</v>
      </c>
      <c r="AB54" s="118">
        <f t="shared" si="116"/>
        <v>-0.40195419354838785</v>
      </c>
      <c r="AC54" s="58">
        <f t="shared" ref="AC54" si="190">+AC51+AC52-AC53</f>
        <v>134850</v>
      </c>
      <c r="AD54" s="58">
        <f t="shared" ref="AD54" si="191">+AD51+AD52-AD53</f>
        <v>134850</v>
      </c>
      <c r="AE54" s="58">
        <f t="shared" ref="AE54" si="192">+AE51+AE52-AE53</f>
        <v>172050</v>
      </c>
      <c r="AF54" s="58">
        <f t="shared" ref="AF54" si="193">+AF51+AF52-AF53</f>
        <v>139500</v>
      </c>
      <c r="AG54" s="58">
        <f t="shared" ref="AG54" si="194">+AG51+AG52-AG53</f>
        <v>148800</v>
      </c>
      <c r="AH54" s="58">
        <f t="shared" ref="AH54" si="195">+AH51+AH52-AH53</f>
        <v>130200</v>
      </c>
      <c r="AI54" s="58">
        <f t="shared" ref="AI54" si="196">+AI51+AI52-AI53</f>
        <v>134850</v>
      </c>
      <c r="AJ54" s="58">
        <f t="shared" ref="AJ54" si="197">+AJ51+AJ52-AJ53</f>
        <v>158100</v>
      </c>
      <c r="AK54" s="58">
        <f t="shared" ref="AK54" si="198">+AK51+AK52-AK53</f>
        <v>158100</v>
      </c>
      <c r="AL54" s="58">
        <f t="shared" ref="AL54" si="199">+AL51+AL52-AL53</f>
        <v>139500</v>
      </c>
      <c r="AM54" s="58">
        <f t="shared" ref="AM54" si="200">+AM51+AM52-AM53</f>
        <v>130200</v>
      </c>
      <c r="AN54" s="58">
        <f t="shared" ref="AN54" si="201">+AN51+AN52-AN53</f>
        <v>172050</v>
      </c>
      <c r="AO54" s="58">
        <f t="shared" ref="AO54" si="202">+AO51+AO52-AO53</f>
        <v>1753050</v>
      </c>
    </row>
    <row r="55" spans="1:41">
      <c r="A55" s="106">
        <v>182230</v>
      </c>
      <c r="B55" s="106">
        <v>169500</v>
      </c>
      <c r="C55" s="106">
        <v>446660</v>
      </c>
      <c r="D55" s="106">
        <v>316130</v>
      </c>
      <c r="E55" s="106">
        <v>203390</v>
      </c>
      <c r="F55" s="106">
        <v>230510</v>
      </c>
      <c r="G55" s="106">
        <v>91100</v>
      </c>
      <c r="H55" s="106">
        <v>228819.99999999997</v>
      </c>
      <c r="I55" s="106">
        <v>49150</v>
      </c>
      <c r="J55" s="106">
        <v>201720</v>
      </c>
      <c r="K55" s="106">
        <v>93220</v>
      </c>
      <c r="L55" s="106">
        <v>461430</v>
      </c>
      <c r="M55" s="106">
        <f t="shared" ref="M55:M56" si="203">+SUM(A55:L55)</f>
        <v>2673860</v>
      </c>
      <c r="N55" s="7" t="s">
        <v>44</v>
      </c>
      <c r="O55" s="106">
        <f>+VLOOKUP($N55,'Jan-25'!A:J,3,0)</f>
        <v>350788</v>
      </c>
      <c r="P55" s="106">
        <f>+VLOOKUP($N55,'Feb-25'!A:J,3,0)</f>
        <v>178389</v>
      </c>
      <c r="Q55" s="106">
        <f>+VLOOKUP($N55,'Mar-25'!A:J,3,0)</f>
        <v>0</v>
      </c>
      <c r="R55" s="106">
        <f>+VLOOKUP($N55,'Apr-25'!A:J,3,0)</f>
        <v>191101</v>
      </c>
      <c r="S55" s="106">
        <f>+VLOOKUP($N55,'May-25'!A:J,3,0)</f>
        <v>245882.99999999997</v>
      </c>
      <c r="T55" s="106">
        <f>+VLOOKUP($N55,'June-25'!A:J,3,0)</f>
        <v>79660</v>
      </c>
      <c r="U55" s="106">
        <f>+VLOOKUP($N55,'July-25'!A:J,3,0)</f>
        <v>571609</v>
      </c>
      <c r="V55" s="106">
        <f>+VLOOKUP($N55,'Aug-25'!A:J,3,0)</f>
        <v>250254.99999999997</v>
      </c>
      <c r="W55" s="106">
        <f>+VLOOKUP($N55,'Sep-25'!A:J,3,0)</f>
        <v>54500</v>
      </c>
      <c r="X55" s="106">
        <f>+VLOOKUP($N55,'Oct-25'!A:J,3,0)</f>
        <v>683404</v>
      </c>
      <c r="Y55" s="106">
        <f>+VLOOKUP($N55,'Nov-25'!A:J,3,0)</f>
        <v>0</v>
      </c>
      <c r="Z55" s="106">
        <f>+VLOOKUP($N55,'Dec-25'!A:J,3,0)</f>
        <v>0</v>
      </c>
      <c r="AA55" s="106">
        <f t="shared" si="149"/>
        <v>2605589</v>
      </c>
      <c r="AB55" s="118">
        <f t="shared" si="116"/>
        <v>0.53229596412556057</v>
      </c>
      <c r="AC55" s="106">
        <f>+Budget!C15</f>
        <v>550000</v>
      </c>
      <c r="AD55" s="106">
        <f>+Budget!D15</f>
        <v>489000</v>
      </c>
      <c r="AE55" s="106">
        <f>+Budget!E15</f>
        <v>568000</v>
      </c>
      <c r="AF55" s="106">
        <f>+Budget!F15</f>
        <v>546000</v>
      </c>
      <c r="AG55" s="106">
        <f>+Budget!G15</f>
        <v>462400</v>
      </c>
      <c r="AH55" s="106">
        <f>+Budget!H15</f>
        <v>529600</v>
      </c>
      <c r="AI55" s="106">
        <f>+Budget!I15</f>
        <v>537800</v>
      </c>
      <c r="AJ55" s="106">
        <f>+Budget!J15</f>
        <v>478800</v>
      </c>
      <c r="AK55" s="106">
        <f>+Budget!K15</f>
        <v>478800</v>
      </c>
      <c r="AL55" s="106">
        <f>+Budget!L15</f>
        <v>446000</v>
      </c>
      <c r="AM55" s="106">
        <f>+Budget!M15</f>
        <v>529600</v>
      </c>
      <c r="AN55" s="106">
        <f>+Budget!N15</f>
        <v>503400</v>
      </c>
      <c r="AO55" s="106">
        <f t="shared" ref="AO55:AO56" si="204">+SUM(AC55:AN55)</f>
        <v>6119400</v>
      </c>
    </row>
    <row r="56" spans="1:41">
      <c r="A56" s="106">
        <v>93445.5</v>
      </c>
      <c r="B56" s="106">
        <v>150500</v>
      </c>
      <c r="C56" s="106">
        <v>322185</v>
      </c>
      <c r="D56" s="106">
        <v>256130</v>
      </c>
      <c r="E56" s="106">
        <v>111864.50000000001</v>
      </c>
      <c r="F56" s="106">
        <v>115255</v>
      </c>
      <c r="G56" s="106">
        <v>45550</v>
      </c>
      <c r="H56" s="106">
        <v>114409.99999999999</v>
      </c>
      <c r="I56" s="106">
        <v>24575</v>
      </c>
      <c r="J56" s="106">
        <v>100860</v>
      </c>
      <c r="K56" s="106">
        <v>46610</v>
      </c>
      <c r="L56" s="106">
        <v>32840</v>
      </c>
      <c r="M56" s="106">
        <f t="shared" si="203"/>
        <v>1414225</v>
      </c>
      <c r="N56" s="10" t="s">
        <v>33</v>
      </c>
      <c r="O56" s="106">
        <f>+'Jan-25'!C56</f>
        <v>175394</v>
      </c>
      <c r="P56" s="106">
        <f>+'Feb-25'!C56</f>
        <v>89194.5</v>
      </c>
      <c r="Q56" s="106">
        <f>+'Mar-25'!C56</f>
        <v>0</v>
      </c>
      <c r="R56" s="106">
        <f>+'Apr-25'!C56</f>
        <v>95550.5</v>
      </c>
      <c r="S56" s="106">
        <f>+'May-25'!C56</f>
        <v>122941.49999999999</v>
      </c>
      <c r="T56" s="106">
        <f>+'June-25'!C56</f>
        <v>39830</v>
      </c>
      <c r="U56" s="106">
        <f>+'July-25'!C56</f>
        <v>285804.5</v>
      </c>
      <c r="V56" s="106">
        <f>+'Aug-25'!C56</f>
        <v>125127.49999999999</v>
      </c>
      <c r="W56" s="106">
        <f>+'Sep-25'!C56</f>
        <v>27250</v>
      </c>
      <c r="X56" s="106">
        <f>+'Oct-25'!C56</f>
        <v>341702</v>
      </c>
      <c r="Y56" s="106">
        <f>+'Nov-25'!C56</f>
        <v>0</v>
      </c>
      <c r="Z56" s="106">
        <f>+'Dec-25'!C56</f>
        <v>0</v>
      </c>
      <c r="AA56" s="106">
        <f t="shared" si="149"/>
        <v>1302794.5</v>
      </c>
      <c r="AB56" s="118">
        <f t="shared" si="116"/>
        <v>0.53229596412556057</v>
      </c>
      <c r="AC56" s="106">
        <f>+Budget!C16</f>
        <v>275000</v>
      </c>
      <c r="AD56" s="106">
        <f>+Budget!D16</f>
        <v>244500</v>
      </c>
      <c r="AE56" s="106">
        <f>+Budget!E16</f>
        <v>284000</v>
      </c>
      <c r="AF56" s="106">
        <f>+Budget!F16</f>
        <v>273000</v>
      </c>
      <c r="AG56" s="106">
        <f>+Budget!G16</f>
        <v>231200</v>
      </c>
      <c r="AH56" s="106">
        <f>+Budget!H16</f>
        <v>264800</v>
      </c>
      <c r="AI56" s="106">
        <f>+Budget!I16</f>
        <v>268900</v>
      </c>
      <c r="AJ56" s="106">
        <f>+Budget!J16</f>
        <v>239400</v>
      </c>
      <c r="AK56" s="106">
        <f>+Budget!K16</f>
        <v>239400</v>
      </c>
      <c r="AL56" s="106">
        <f>+Budget!L16</f>
        <v>223000</v>
      </c>
      <c r="AM56" s="106">
        <f>+Budget!M16</f>
        <v>264800</v>
      </c>
      <c r="AN56" s="106">
        <f>+Budget!N16</f>
        <v>251700</v>
      </c>
      <c r="AO56" s="106">
        <f t="shared" si="204"/>
        <v>3059700</v>
      </c>
    </row>
    <row r="57" spans="1:41">
      <c r="A57" s="58">
        <f t="shared" ref="A57" si="205">+A55-A56</f>
        <v>88784.5</v>
      </c>
      <c r="B57" s="58">
        <f t="shared" ref="B57" si="206">+B55-B56</f>
        <v>19000</v>
      </c>
      <c r="C57" s="58">
        <f t="shared" ref="C57" si="207">+C55-C56</f>
        <v>124475</v>
      </c>
      <c r="D57" s="58">
        <f t="shared" ref="D57" si="208">+D55-D56</f>
        <v>60000</v>
      </c>
      <c r="E57" s="58">
        <f t="shared" ref="E57" si="209">+E55-E56</f>
        <v>91525.499999999985</v>
      </c>
      <c r="F57" s="58">
        <f t="shared" ref="F57" si="210">+F55-F56</f>
        <v>115255</v>
      </c>
      <c r="G57" s="58">
        <f t="shared" ref="G57" si="211">+G55-G56</f>
        <v>45550</v>
      </c>
      <c r="H57" s="58">
        <f t="shared" ref="H57" si="212">+H55-H56</f>
        <v>114409.99999999999</v>
      </c>
      <c r="I57" s="58">
        <f t="shared" ref="I57" si="213">+I55-I56</f>
        <v>24575</v>
      </c>
      <c r="J57" s="58">
        <f t="shared" ref="J57" si="214">+J55-J56</f>
        <v>100860</v>
      </c>
      <c r="K57" s="58">
        <f t="shared" ref="K57" si="215">+K55-K56</f>
        <v>46610</v>
      </c>
      <c r="L57" s="58">
        <f t="shared" ref="L57:M57" si="216">+L55-L56</f>
        <v>428590</v>
      </c>
      <c r="M57" s="58">
        <f t="shared" si="216"/>
        <v>1259635</v>
      </c>
      <c r="N57" s="10" t="s">
        <v>20</v>
      </c>
      <c r="O57" s="58">
        <f t="shared" ref="O57:AA57" si="217">+O55-O56</f>
        <v>175394</v>
      </c>
      <c r="P57" s="58">
        <f t="shared" si="217"/>
        <v>89194.5</v>
      </c>
      <c r="Q57" s="58">
        <f t="shared" si="217"/>
        <v>0</v>
      </c>
      <c r="R57" s="58">
        <f t="shared" si="217"/>
        <v>95550.5</v>
      </c>
      <c r="S57" s="58">
        <f t="shared" si="217"/>
        <v>122941.49999999999</v>
      </c>
      <c r="T57" s="58">
        <f t="shared" si="217"/>
        <v>39830</v>
      </c>
      <c r="U57" s="58">
        <f t="shared" si="217"/>
        <v>285804.5</v>
      </c>
      <c r="V57" s="58">
        <f t="shared" si="217"/>
        <v>125127.49999999999</v>
      </c>
      <c r="W57" s="58">
        <f t="shared" si="217"/>
        <v>27250</v>
      </c>
      <c r="X57" s="58">
        <f t="shared" si="217"/>
        <v>341702</v>
      </c>
      <c r="Y57" s="58">
        <f t="shared" si="217"/>
        <v>0</v>
      </c>
      <c r="Z57" s="58">
        <f t="shared" si="217"/>
        <v>0</v>
      </c>
      <c r="AA57" s="58">
        <f t="shared" si="217"/>
        <v>1302794.5</v>
      </c>
      <c r="AB57" s="118">
        <f t="shared" si="116"/>
        <v>0.53229596412556057</v>
      </c>
      <c r="AC57" s="58">
        <f t="shared" ref="AC57" si="218">+AC55-AC56</f>
        <v>275000</v>
      </c>
      <c r="AD57" s="58">
        <f t="shared" ref="AD57" si="219">+AD55-AD56</f>
        <v>244500</v>
      </c>
      <c r="AE57" s="58">
        <f t="shared" ref="AE57" si="220">+AE55-AE56</f>
        <v>284000</v>
      </c>
      <c r="AF57" s="58">
        <f t="shared" ref="AF57" si="221">+AF55-AF56</f>
        <v>273000</v>
      </c>
      <c r="AG57" s="58">
        <f t="shared" ref="AG57" si="222">+AG55-AG56</f>
        <v>231200</v>
      </c>
      <c r="AH57" s="58">
        <f t="shared" ref="AH57" si="223">+AH55-AH56</f>
        <v>264800</v>
      </c>
      <c r="AI57" s="58">
        <f t="shared" ref="AI57" si="224">+AI55-AI56</f>
        <v>268900</v>
      </c>
      <c r="AJ57" s="58">
        <f t="shared" ref="AJ57" si="225">+AJ55-AJ56</f>
        <v>239400</v>
      </c>
      <c r="AK57" s="58">
        <f t="shared" ref="AK57" si="226">+AK55-AK56</f>
        <v>239400</v>
      </c>
      <c r="AL57" s="58">
        <f t="shared" ref="AL57" si="227">+AL55-AL56</f>
        <v>223000</v>
      </c>
      <c r="AM57" s="58">
        <f t="shared" ref="AM57" si="228">+AM55-AM56</f>
        <v>264800</v>
      </c>
      <c r="AN57" s="58">
        <f t="shared" ref="AN57" si="229">+AN55-AN56</f>
        <v>251700</v>
      </c>
      <c r="AO57" s="58">
        <f t="shared" ref="AO57" si="230">+AO55-AO56</f>
        <v>3059700</v>
      </c>
    </row>
    <row r="58" spans="1:41">
      <c r="A58" s="58">
        <f t="shared" ref="A58" si="231">+A54+A57</f>
        <v>144690.89999999991</v>
      </c>
      <c r="B58" s="58">
        <f t="shared" ref="B58" si="232">+B54+B57</f>
        <v>97294.1599999998</v>
      </c>
      <c r="C58" s="58">
        <f t="shared" ref="C58" si="233">+C54+C57</f>
        <v>262771.34000000032</v>
      </c>
      <c r="D58" s="58">
        <f t="shared" ref="D58" si="234">+D54+D57</f>
        <v>88225.919999999984</v>
      </c>
      <c r="E58" s="58">
        <f t="shared" ref="E58" si="235">+E54+E57</f>
        <v>181225.24000000011</v>
      </c>
      <c r="F58" s="58">
        <f t="shared" ref="F58" si="236">+F54+F57</f>
        <v>143875.63</v>
      </c>
      <c r="G58" s="58">
        <f t="shared" ref="G58" si="237">+G54+G57</f>
        <v>105859.14000000048</v>
      </c>
      <c r="H58" s="58">
        <f t="shared" ref="H58" si="238">+H54+H57</f>
        <v>225023.78999999969</v>
      </c>
      <c r="I58" s="58">
        <f t="shared" ref="I58" si="239">+I54+I57</f>
        <v>74174.659999999945</v>
      </c>
      <c r="J58" s="58">
        <f t="shared" ref="J58" si="240">+J54+J57</f>
        <v>175548.74999999977</v>
      </c>
      <c r="K58" s="58">
        <f t="shared" ref="K58" si="241">+K54+K57</f>
        <v>189619.86</v>
      </c>
      <c r="L58" s="58">
        <f t="shared" ref="L58:M58" si="242">+L54+L57</f>
        <v>513248.44999999949</v>
      </c>
      <c r="M58" s="58">
        <f t="shared" si="242"/>
        <v>2201557.8400000017</v>
      </c>
      <c r="N58" s="10" t="s">
        <v>45</v>
      </c>
      <c r="O58" s="58">
        <f t="shared" ref="O58:AA58" si="243">+O54+O57</f>
        <v>251612.85000000009</v>
      </c>
      <c r="P58" s="58">
        <f t="shared" si="243"/>
        <v>175956.97000000015</v>
      </c>
      <c r="Q58" s="58">
        <f t="shared" si="243"/>
        <v>164000.40999999992</v>
      </c>
      <c r="R58" s="58">
        <f t="shared" si="243"/>
        <v>282799.80000000028</v>
      </c>
      <c r="S58" s="58">
        <f t="shared" si="243"/>
        <v>255916.16000000166</v>
      </c>
      <c r="T58" s="58">
        <f t="shared" si="243"/>
        <v>401366.54999999993</v>
      </c>
      <c r="U58" s="58">
        <f t="shared" si="243"/>
        <v>408999.00999999989</v>
      </c>
      <c r="V58" s="58">
        <f t="shared" si="243"/>
        <v>287085.54000000167</v>
      </c>
      <c r="W58" s="58">
        <f t="shared" si="243"/>
        <v>174588.65000000061</v>
      </c>
      <c r="X58" s="58">
        <f t="shared" si="243"/>
        <v>425129.3899999999</v>
      </c>
      <c r="Y58" s="58">
        <f t="shared" si="243"/>
        <v>0</v>
      </c>
      <c r="Z58" s="58">
        <f t="shared" si="243"/>
        <v>0</v>
      </c>
      <c r="AA58" s="58">
        <f t="shared" si="243"/>
        <v>2827455.3300000038</v>
      </c>
      <c r="AB58" s="118">
        <f t="shared" si="116"/>
        <v>0.17277073103448248</v>
      </c>
      <c r="AC58" s="58">
        <f t="shared" ref="AC58" si="244">+AC54+AC57</f>
        <v>409850</v>
      </c>
      <c r="AD58" s="58">
        <f t="shared" ref="AD58" si="245">+AD54+AD57</f>
        <v>379350</v>
      </c>
      <c r="AE58" s="58">
        <f t="shared" ref="AE58" si="246">+AE54+AE57</f>
        <v>456050</v>
      </c>
      <c r="AF58" s="58">
        <f t="shared" ref="AF58" si="247">+AF54+AF57</f>
        <v>412500</v>
      </c>
      <c r="AG58" s="58">
        <f t="shared" ref="AG58" si="248">+AG54+AG57</f>
        <v>380000</v>
      </c>
      <c r="AH58" s="58">
        <f t="shared" ref="AH58" si="249">+AH54+AH57</f>
        <v>395000</v>
      </c>
      <c r="AI58" s="58">
        <f t="shared" ref="AI58" si="250">+AI54+AI57</f>
        <v>403750</v>
      </c>
      <c r="AJ58" s="58">
        <f t="shared" ref="AJ58" si="251">+AJ54+AJ57</f>
        <v>397500</v>
      </c>
      <c r="AK58" s="58">
        <f t="shared" ref="AK58" si="252">+AK54+AK57</f>
        <v>397500</v>
      </c>
      <c r="AL58" s="58">
        <f t="shared" ref="AL58" si="253">+AL54+AL57</f>
        <v>362500</v>
      </c>
      <c r="AM58" s="58">
        <f t="shared" ref="AM58" si="254">+AM54+AM57</f>
        <v>395000</v>
      </c>
      <c r="AN58" s="58">
        <f t="shared" ref="AN58" si="255">+AN54+AN57</f>
        <v>423750</v>
      </c>
      <c r="AO58" s="58">
        <f t="shared" ref="AO58" si="256">+AO54+AO57</f>
        <v>4812750</v>
      </c>
    </row>
    <row r="59" spans="1:4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18">
        <f t="shared" si="116"/>
        <v>0</v>
      </c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</row>
    <row r="60" spans="1:41" hidden="1" outlineLevel="1">
      <c r="A60" s="58">
        <f t="shared" ref="A60" si="257">+SUM(A61:A69)</f>
        <v>0</v>
      </c>
      <c r="B60" s="58">
        <f t="shared" ref="B60" si="258">+SUM(B61:B69)</f>
        <v>0</v>
      </c>
      <c r="C60" s="58">
        <f t="shared" ref="C60" si="259">+SUM(C61:C69)</f>
        <v>0</v>
      </c>
      <c r="D60" s="58">
        <f t="shared" ref="D60" si="260">+SUM(D61:D69)</f>
        <v>0</v>
      </c>
      <c r="E60" s="58">
        <f t="shared" ref="E60" si="261">+SUM(E61:E69)</f>
        <v>0</v>
      </c>
      <c r="F60" s="58">
        <f t="shared" ref="F60" si="262">+SUM(F61:F69)</f>
        <v>0</v>
      </c>
      <c r="G60" s="58">
        <f t="shared" ref="G60" si="263">+SUM(G61:G69)</f>
        <v>0</v>
      </c>
      <c r="H60" s="58">
        <f t="shared" ref="H60" si="264">+SUM(H61:H69)</f>
        <v>0</v>
      </c>
      <c r="I60" s="58">
        <f t="shared" ref="I60" si="265">+SUM(I61:I69)</f>
        <v>0</v>
      </c>
      <c r="J60" s="58">
        <f t="shared" ref="J60" si="266">+SUM(J61:J69)</f>
        <v>0</v>
      </c>
      <c r="K60" s="58">
        <f t="shared" ref="K60" si="267">+SUM(K61:K69)</f>
        <v>0</v>
      </c>
      <c r="L60" s="58">
        <f t="shared" ref="L60:M60" si="268">+SUM(L61:L69)</f>
        <v>0</v>
      </c>
      <c r="M60" s="58">
        <f t="shared" si="268"/>
        <v>0</v>
      </c>
      <c r="N60" s="6" t="s">
        <v>46</v>
      </c>
      <c r="O60" s="58">
        <f t="shared" ref="O60:AA60" si="269">+SUM(O61:O69)</f>
        <v>0</v>
      </c>
      <c r="P60" s="58">
        <f t="shared" si="269"/>
        <v>0</v>
      </c>
      <c r="Q60" s="58">
        <f t="shared" si="269"/>
        <v>0</v>
      </c>
      <c r="R60" s="58">
        <f t="shared" si="269"/>
        <v>0</v>
      </c>
      <c r="S60" s="58">
        <f t="shared" si="269"/>
        <v>0</v>
      </c>
      <c r="T60" s="58">
        <f t="shared" si="269"/>
        <v>0</v>
      </c>
      <c r="U60" s="58">
        <f t="shared" si="269"/>
        <v>0</v>
      </c>
      <c r="V60" s="58">
        <f t="shared" si="269"/>
        <v>0</v>
      </c>
      <c r="W60" s="58">
        <f t="shared" si="269"/>
        <v>0</v>
      </c>
      <c r="X60" s="58">
        <f t="shared" si="269"/>
        <v>0</v>
      </c>
      <c r="Y60" s="58">
        <f t="shared" si="269"/>
        <v>0</v>
      </c>
      <c r="Z60" s="58">
        <f t="shared" si="269"/>
        <v>0</v>
      </c>
      <c r="AA60" s="58">
        <f t="shared" si="269"/>
        <v>0</v>
      </c>
      <c r="AB60" s="118">
        <f t="shared" si="116"/>
        <v>0</v>
      </c>
      <c r="AC60" s="58">
        <f t="shared" ref="AC60" si="270">+SUM(AC61:AC69)</f>
        <v>0</v>
      </c>
      <c r="AD60" s="58">
        <f t="shared" ref="AD60" si="271">+SUM(AD61:AD69)</f>
        <v>0</v>
      </c>
      <c r="AE60" s="58">
        <f t="shared" ref="AE60" si="272">+SUM(AE61:AE69)</f>
        <v>0</v>
      </c>
      <c r="AF60" s="58">
        <f t="shared" ref="AF60" si="273">+SUM(AF61:AF69)</f>
        <v>0</v>
      </c>
      <c r="AG60" s="58">
        <f t="shared" ref="AG60" si="274">+SUM(AG61:AG69)</f>
        <v>0</v>
      </c>
      <c r="AH60" s="58">
        <f t="shared" ref="AH60" si="275">+SUM(AH61:AH69)</f>
        <v>0</v>
      </c>
      <c r="AI60" s="58">
        <f t="shared" ref="AI60" si="276">+SUM(AI61:AI69)</f>
        <v>0</v>
      </c>
      <c r="AJ60" s="58">
        <f t="shared" ref="AJ60" si="277">+SUM(AJ61:AJ69)</f>
        <v>0</v>
      </c>
      <c r="AK60" s="58">
        <f t="shared" ref="AK60" si="278">+SUM(AK61:AK69)</f>
        <v>0</v>
      </c>
      <c r="AL60" s="58">
        <f t="shared" ref="AL60" si="279">+SUM(AL61:AL69)</f>
        <v>0</v>
      </c>
      <c r="AM60" s="58">
        <f t="shared" ref="AM60" si="280">+SUM(AM61:AM69)</f>
        <v>0</v>
      </c>
      <c r="AN60" s="58">
        <f t="shared" ref="AN60" si="281">+SUM(AN61:AN69)</f>
        <v>0</v>
      </c>
      <c r="AO60" s="58">
        <f t="shared" ref="AO60" si="282">+SUM(AO61:AO69)</f>
        <v>0</v>
      </c>
    </row>
    <row r="61" spans="1:41" hidden="1" outlineLevel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>
        <f t="shared" ref="M61:M69" si="283">+SUM(A61:L61)</f>
        <v>0</v>
      </c>
      <c r="N61" s="7" t="s">
        <v>47</v>
      </c>
      <c r="O61" s="106">
        <f>+VLOOKUP($N61,'Jan-25'!A:J,3,0)</f>
        <v>0</v>
      </c>
      <c r="P61" s="106">
        <f>+VLOOKUP($N61,'Feb-25'!A:J,3,0)</f>
        <v>0</v>
      </c>
      <c r="Q61" s="106">
        <f>+VLOOKUP($N61,'Mar-25'!A:J,3,0)</f>
        <v>0</v>
      </c>
      <c r="R61" s="106">
        <f>+VLOOKUP($N61,'Apr-25'!A:J,3,0)</f>
        <v>0</v>
      </c>
      <c r="S61" s="106">
        <f>+VLOOKUP($N61,'May-25'!A:J,3,0)</f>
        <v>0</v>
      </c>
      <c r="T61" s="106">
        <f>+VLOOKUP($N61,'June-25'!A:J,3,0)</f>
        <v>0</v>
      </c>
      <c r="U61" s="106">
        <f>+VLOOKUP($N61,'July-25'!A:J,3,0)</f>
        <v>0</v>
      </c>
      <c r="V61" s="106">
        <f>+VLOOKUP($N61,'Aug-25'!A:J,3,0)</f>
        <v>0</v>
      </c>
      <c r="W61" s="106">
        <f>+VLOOKUP($N61,'Sep-25'!A:J,3,0)</f>
        <v>0</v>
      </c>
      <c r="X61" s="106">
        <f>+VLOOKUP($N61,'Oct-25'!A:J,3,0)</f>
        <v>0</v>
      </c>
      <c r="Y61" s="106">
        <f>+VLOOKUP($N61,'Nov-25'!A:J,3,0)</f>
        <v>0</v>
      </c>
      <c r="Z61" s="106">
        <f>+VLOOKUP($N61,'Dec-25'!A:J,3,0)</f>
        <v>0</v>
      </c>
      <c r="AA61" s="106">
        <f t="shared" ref="AA61:AA69" si="284">+SUM(O61:Z61)</f>
        <v>0</v>
      </c>
      <c r="AB61" s="118">
        <f t="shared" si="116"/>
        <v>0</v>
      </c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</row>
    <row r="62" spans="1:41" hidden="1" outlineLevel="1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>
        <f t="shared" si="283"/>
        <v>0</v>
      </c>
      <c r="N62" s="7" t="s">
        <v>48</v>
      </c>
      <c r="O62" s="106">
        <f>+VLOOKUP($N62,'Jan-25'!A:J,3,0)</f>
        <v>0</v>
      </c>
      <c r="P62" s="106">
        <f>+VLOOKUP($N62,'Feb-25'!A:J,3,0)</f>
        <v>0</v>
      </c>
      <c r="Q62" s="106">
        <f>+VLOOKUP($N62,'Mar-25'!A:J,3,0)</f>
        <v>0</v>
      </c>
      <c r="R62" s="106">
        <f>+VLOOKUP($N62,'Apr-25'!A:J,3,0)</f>
        <v>0</v>
      </c>
      <c r="S62" s="106">
        <f>+VLOOKUP($N62,'May-25'!A:J,3,0)</f>
        <v>0</v>
      </c>
      <c r="T62" s="106">
        <f>+VLOOKUP($N62,'June-25'!A:J,3,0)</f>
        <v>0</v>
      </c>
      <c r="U62" s="106">
        <f>+VLOOKUP($N62,'July-25'!A:J,3,0)</f>
        <v>0</v>
      </c>
      <c r="V62" s="106">
        <f>+VLOOKUP($N62,'Aug-25'!A:J,3,0)</f>
        <v>0</v>
      </c>
      <c r="W62" s="106">
        <f>+VLOOKUP($N62,'Sep-25'!A:J,3,0)</f>
        <v>0</v>
      </c>
      <c r="X62" s="106">
        <f>+VLOOKUP($N62,'Oct-25'!A:J,3,0)</f>
        <v>0</v>
      </c>
      <c r="Y62" s="106">
        <f>+VLOOKUP($N62,'Nov-25'!A:J,3,0)</f>
        <v>0</v>
      </c>
      <c r="Z62" s="106">
        <f>+VLOOKUP($N62,'Dec-25'!A:J,3,0)</f>
        <v>0</v>
      </c>
      <c r="AA62" s="106">
        <f t="shared" si="284"/>
        <v>0</v>
      </c>
      <c r="AB62" s="118">
        <f t="shared" si="116"/>
        <v>0</v>
      </c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</row>
    <row r="63" spans="1:41" hidden="1" outlineLevel="1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>
        <f t="shared" si="283"/>
        <v>0</v>
      </c>
      <c r="N63" s="7" t="s">
        <v>49</v>
      </c>
      <c r="O63" s="106">
        <f>+VLOOKUP($N63,'Jan-25'!A:J,3,0)</f>
        <v>0</v>
      </c>
      <c r="P63" s="106">
        <f>+VLOOKUP($N63,'Feb-25'!A:J,3,0)</f>
        <v>0</v>
      </c>
      <c r="Q63" s="106">
        <f>+VLOOKUP($N63,'Mar-25'!A:J,3,0)</f>
        <v>0</v>
      </c>
      <c r="R63" s="106">
        <f>+VLOOKUP($N63,'Apr-25'!A:J,3,0)</f>
        <v>0</v>
      </c>
      <c r="S63" s="106">
        <f>+VLOOKUP($N63,'May-25'!A:J,3,0)</f>
        <v>0</v>
      </c>
      <c r="T63" s="106">
        <f>+VLOOKUP($N63,'June-25'!A:J,3,0)</f>
        <v>0</v>
      </c>
      <c r="U63" s="106">
        <f>+VLOOKUP($N63,'July-25'!A:J,3,0)</f>
        <v>0</v>
      </c>
      <c r="V63" s="106">
        <f>+VLOOKUP($N63,'Aug-25'!A:J,3,0)</f>
        <v>0</v>
      </c>
      <c r="W63" s="106">
        <f>+VLOOKUP($N63,'Sep-25'!A:J,3,0)</f>
        <v>0</v>
      </c>
      <c r="X63" s="106">
        <f>+VLOOKUP($N63,'Oct-25'!A:J,3,0)</f>
        <v>0</v>
      </c>
      <c r="Y63" s="106">
        <f>+VLOOKUP($N63,'Nov-25'!A:J,3,0)</f>
        <v>0</v>
      </c>
      <c r="Z63" s="106">
        <f>+VLOOKUP($N63,'Dec-25'!A:J,3,0)</f>
        <v>0</v>
      </c>
      <c r="AA63" s="106">
        <f t="shared" si="284"/>
        <v>0</v>
      </c>
      <c r="AB63" s="118">
        <f t="shared" si="116"/>
        <v>0</v>
      </c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</row>
    <row r="64" spans="1:41" hidden="1" outlineLevel="1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>
        <f t="shared" si="283"/>
        <v>0</v>
      </c>
      <c r="N64" s="7" t="s">
        <v>50</v>
      </c>
      <c r="O64" s="106">
        <f>+VLOOKUP($N64,'Jan-25'!A:J,3,0)</f>
        <v>0</v>
      </c>
      <c r="P64" s="106">
        <f>+VLOOKUP($N64,'Feb-25'!A:J,3,0)</f>
        <v>0</v>
      </c>
      <c r="Q64" s="106">
        <f>+VLOOKUP($N64,'Mar-25'!A:J,3,0)</f>
        <v>0</v>
      </c>
      <c r="R64" s="106">
        <f>+VLOOKUP($N64,'Apr-25'!A:J,3,0)</f>
        <v>0</v>
      </c>
      <c r="S64" s="106">
        <f>+VLOOKUP($N64,'May-25'!A:J,3,0)</f>
        <v>0</v>
      </c>
      <c r="T64" s="106">
        <f>+VLOOKUP($N64,'June-25'!A:J,3,0)</f>
        <v>0</v>
      </c>
      <c r="U64" s="106">
        <f>+VLOOKUP($N64,'July-25'!A:J,3,0)</f>
        <v>0</v>
      </c>
      <c r="V64" s="106">
        <f>+VLOOKUP($N64,'Aug-25'!A:J,3,0)</f>
        <v>0</v>
      </c>
      <c r="W64" s="106">
        <f>+VLOOKUP($N64,'Sep-25'!A:J,3,0)</f>
        <v>0</v>
      </c>
      <c r="X64" s="106">
        <f>+VLOOKUP($N64,'Oct-25'!A:J,3,0)</f>
        <v>0</v>
      </c>
      <c r="Y64" s="106">
        <f>+VLOOKUP($N64,'Nov-25'!A:J,3,0)</f>
        <v>0</v>
      </c>
      <c r="Z64" s="106">
        <f>+VLOOKUP($N64,'Dec-25'!A:J,3,0)</f>
        <v>0</v>
      </c>
      <c r="AA64" s="106">
        <f t="shared" si="284"/>
        <v>0</v>
      </c>
      <c r="AB64" s="118">
        <f t="shared" si="116"/>
        <v>0</v>
      </c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</row>
    <row r="65" spans="1:41" hidden="1" outlineLevel="1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>
        <f t="shared" si="283"/>
        <v>0</v>
      </c>
      <c r="N65" s="7" t="s">
        <v>51</v>
      </c>
      <c r="O65" s="106">
        <f>+VLOOKUP($N65,'Jan-25'!A:J,3,0)</f>
        <v>0</v>
      </c>
      <c r="P65" s="106">
        <f>+VLOOKUP($N65,'Feb-25'!A:J,3,0)</f>
        <v>0</v>
      </c>
      <c r="Q65" s="106">
        <f>+VLOOKUP($N65,'Mar-25'!A:J,3,0)</f>
        <v>0</v>
      </c>
      <c r="R65" s="106">
        <f>+VLOOKUP($N65,'Apr-25'!A:J,3,0)</f>
        <v>0</v>
      </c>
      <c r="S65" s="106">
        <f>+VLOOKUP($N65,'May-25'!A:J,3,0)</f>
        <v>0</v>
      </c>
      <c r="T65" s="106">
        <f>+VLOOKUP($N65,'June-25'!A:J,3,0)</f>
        <v>0</v>
      </c>
      <c r="U65" s="106">
        <f>+VLOOKUP($N65,'July-25'!A:J,3,0)</f>
        <v>0</v>
      </c>
      <c r="V65" s="106">
        <f>+VLOOKUP($N65,'Aug-25'!A:J,3,0)</f>
        <v>0</v>
      </c>
      <c r="W65" s="106">
        <f>+VLOOKUP($N65,'Sep-25'!A:J,3,0)</f>
        <v>0</v>
      </c>
      <c r="X65" s="106">
        <f>+VLOOKUP($N65,'Oct-25'!A:J,3,0)</f>
        <v>0</v>
      </c>
      <c r="Y65" s="106">
        <f>+VLOOKUP($N65,'Nov-25'!A:J,3,0)</f>
        <v>0</v>
      </c>
      <c r="Z65" s="106">
        <f>+VLOOKUP($N65,'Dec-25'!A:J,3,0)</f>
        <v>0</v>
      </c>
      <c r="AA65" s="106">
        <f t="shared" si="284"/>
        <v>0</v>
      </c>
      <c r="AB65" s="118">
        <f t="shared" si="116"/>
        <v>0</v>
      </c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</row>
    <row r="66" spans="1:41" hidden="1" outlineLevel="1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>
        <f t="shared" si="283"/>
        <v>0</v>
      </c>
      <c r="N66" s="7" t="s">
        <v>52</v>
      </c>
      <c r="O66" s="106">
        <f>+VLOOKUP($N66,'Jan-25'!A:J,3,0)</f>
        <v>0</v>
      </c>
      <c r="P66" s="106">
        <f>+VLOOKUP($N66,'Feb-25'!A:J,3,0)</f>
        <v>0</v>
      </c>
      <c r="Q66" s="106">
        <f>+VLOOKUP($N66,'Mar-25'!A:J,3,0)</f>
        <v>0</v>
      </c>
      <c r="R66" s="106">
        <f>+VLOOKUP($N66,'Apr-25'!A:J,3,0)</f>
        <v>0</v>
      </c>
      <c r="S66" s="106">
        <f>+VLOOKUP($N66,'May-25'!A:J,3,0)</f>
        <v>0</v>
      </c>
      <c r="T66" s="106">
        <f>+VLOOKUP($N66,'June-25'!A:J,3,0)</f>
        <v>0</v>
      </c>
      <c r="U66" s="106">
        <f>+VLOOKUP($N66,'July-25'!A:J,3,0)</f>
        <v>0</v>
      </c>
      <c r="V66" s="106">
        <f>+VLOOKUP($N66,'Aug-25'!A:J,3,0)</f>
        <v>0</v>
      </c>
      <c r="W66" s="106">
        <f>+VLOOKUP($N66,'Sep-25'!A:J,3,0)</f>
        <v>0</v>
      </c>
      <c r="X66" s="106">
        <f>+VLOOKUP($N66,'Oct-25'!A:J,3,0)</f>
        <v>0</v>
      </c>
      <c r="Y66" s="106">
        <f>+VLOOKUP($N66,'Nov-25'!A:J,3,0)</f>
        <v>0</v>
      </c>
      <c r="Z66" s="106">
        <f>+VLOOKUP($N66,'Dec-25'!A:J,3,0)</f>
        <v>0</v>
      </c>
      <c r="AA66" s="106">
        <f t="shared" si="284"/>
        <v>0</v>
      </c>
      <c r="AB66" s="118">
        <f t="shared" si="116"/>
        <v>0</v>
      </c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</row>
    <row r="67" spans="1:41" hidden="1" outlineLevel="1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>
        <f t="shared" si="283"/>
        <v>0</v>
      </c>
      <c r="N67" s="7" t="s">
        <v>53</v>
      </c>
      <c r="O67" s="106">
        <f>+VLOOKUP($N67,'Jan-25'!A:J,3,0)</f>
        <v>0</v>
      </c>
      <c r="P67" s="106">
        <f>+VLOOKUP($N67,'Feb-25'!A:J,3,0)</f>
        <v>0</v>
      </c>
      <c r="Q67" s="106">
        <f>+VLOOKUP($N67,'Mar-25'!A:J,3,0)</f>
        <v>0</v>
      </c>
      <c r="R67" s="106">
        <f>+VLOOKUP($N67,'Apr-25'!A:J,3,0)</f>
        <v>0</v>
      </c>
      <c r="S67" s="106">
        <f>+VLOOKUP($N67,'May-25'!A:J,3,0)</f>
        <v>0</v>
      </c>
      <c r="T67" s="106">
        <f>+VLOOKUP($N67,'June-25'!A:J,3,0)</f>
        <v>0</v>
      </c>
      <c r="U67" s="106">
        <f>+VLOOKUP($N67,'July-25'!A:J,3,0)</f>
        <v>0</v>
      </c>
      <c r="V67" s="106">
        <f>+VLOOKUP($N67,'Aug-25'!A:J,3,0)</f>
        <v>0</v>
      </c>
      <c r="W67" s="106">
        <f>+VLOOKUP($N67,'Sep-25'!A:J,3,0)</f>
        <v>0</v>
      </c>
      <c r="X67" s="106">
        <f>+VLOOKUP($N67,'Oct-25'!A:J,3,0)</f>
        <v>0</v>
      </c>
      <c r="Y67" s="106">
        <f>+VLOOKUP($N67,'Nov-25'!A:J,3,0)</f>
        <v>0</v>
      </c>
      <c r="Z67" s="106">
        <f>+VLOOKUP($N67,'Dec-25'!A:J,3,0)</f>
        <v>0</v>
      </c>
      <c r="AA67" s="106">
        <f t="shared" si="284"/>
        <v>0</v>
      </c>
      <c r="AB67" s="118">
        <f t="shared" si="116"/>
        <v>0</v>
      </c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</row>
    <row r="68" spans="1:41" hidden="1" outlineLevel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>
        <f t="shared" si="283"/>
        <v>0</v>
      </c>
      <c r="N68" s="7" t="s">
        <v>54</v>
      </c>
      <c r="O68" s="106">
        <f>+VLOOKUP($N68,'Jan-25'!A:J,3,0)</f>
        <v>0</v>
      </c>
      <c r="P68" s="106">
        <f>+VLOOKUP($N68,'Feb-25'!A:J,3,0)</f>
        <v>0</v>
      </c>
      <c r="Q68" s="106">
        <f>+VLOOKUP($N68,'Mar-25'!A:J,3,0)</f>
        <v>0</v>
      </c>
      <c r="R68" s="106">
        <f>+VLOOKUP($N68,'Apr-25'!A:J,3,0)</f>
        <v>0</v>
      </c>
      <c r="S68" s="106">
        <f>+VLOOKUP($N68,'May-25'!A:J,3,0)</f>
        <v>0</v>
      </c>
      <c r="T68" s="106">
        <f>+VLOOKUP($N68,'June-25'!A:J,3,0)</f>
        <v>0</v>
      </c>
      <c r="U68" s="106">
        <f>+VLOOKUP($N68,'July-25'!A:J,3,0)</f>
        <v>0</v>
      </c>
      <c r="V68" s="106">
        <f>+VLOOKUP($N68,'Aug-25'!A:J,3,0)</f>
        <v>0</v>
      </c>
      <c r="W68" s="106">
        <f>+VLOOKUP($N68,'Sep-25'!A:J,3,0)</f>
        <v>0</v>
      </c>
      <c r="X68" s="106">
        <f>+VLOOKUP($N68,'Oct-25'!A:J,3,0)</f>
        <v>0</v>
      </c>
      <c r="Y68" s="106">
        <f>+VLOOKUP($N68,'Nov-25'!A:J,3,0)</f>
        <v>0</v>
      </c>
      <c r="Z68" s="106">
        <f>+VLOOKUP($N68,'Dec-25'!A:J,3,0)</f>
        <v>0</v>
      </c>
      <c r="AA68" s="106">
        <f t="shared" si="284"/>
        <v>0</v>
      </c>
      <c r="AB68" s="118">
        <f t="shared" si="116"/>
        <v>0</v>
      </c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</row>
    <row r="69" spans="1:41" hidden="1" outlineLevel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>
        <f t="shared" si="283"/>
        <v>0</v>
      </c>
      <c r="N69" s="7" t="s">
        <v>55</v>
      </c>
      <c r="O69" s="106">
        <f>+VLOOKUP($N69,'Jan-25'!A:J,3,0)</f>
        <v>0</v>
      </c>
      <c r="P69" s="106">
        <f>+VLOOKUP($N69,'Feb-25'!A:J,3,0)</f>
        <v>0</v>
      </c>
      <c r="Q69" s="106">
        <f>+VLOOKUP($N69,'Mar-25'!A:J,3,0)</f>
        <v>0</v>
      </c>
      <c r="R69" s="106">
        <f>+VLOOKUP($N69,'Apr-25'!A:J,3,0)</f>
        <v>0</v>
      </c>
      <c r="S69" s="106">
        <f>+VLOOKUP($N69,'May-25'!A:J,3,0)</f>
        <v>0</v>
      </c>
      <c r="T69" s="106">
        <f>+VLOOKUP($N69,'June-25'!A:J,3,0)</f>
        <v>0</v>
      </c>
      <c r="U69" s="106">
        <f>+VLOOKUP($N69,'July-25'!A:J,3,0)</f>
        <v>0</v>
      </c>
      <c r="V69" s="106">
        <f>+VLOOKUP($N69,'Aug-25'!A:J,3,0)</f>
        <v>0</v>
      </c>
      <c r="W69" s="106">
        <f>+VLOOKUP($N69,'Sep-25'!A:J,3,0)</f>
        <v>0</v>
      </c>
      <c r="X69" s="106">
        <f>+VLOOKUP($N69,'Oct-25'!A:J,3,0)</f>
        <v>0</v>
      </c>
      <c r="Y69" s="106">
        <f>+VLOOKUP($N69,'Nov-25'!A:J,3,0)</f>
        <v>0</v>
      </c>
      <c r="Z69" s="106">
        <f>+VLOOKUP($N69,'Dec-25'!A:J,3,0)</f>
        <v>0</v>
      </c>
      <c r="AA69" s="106">
        <f t="shared" si="284"/>
        <v>0</v>
      </c>
      <c r="AB69" s="118">
        <f t="shared" si="116"/>
        <v>0</v>
      </c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</row>
    <row r="70" spans="1:41" collapsed="1">
      <c r="A70" s="58">
        <f t="shared" ref="A70:M70" si="285">+A60+A55+A51+A52+A29+A27+(A7/3.5%)+A8+A13</f>
        <v>775426.92</v>
      </c>
      <c r="B70" s="58">
        <f t="shared" si="285"/>
        <v>981792.40999999992</v>
      </c>
      <c r="C70" s="58">
        <f t="shared" si="285"/>
        <v>1749192.05</v>
      </c>
      <c r="D70" s="58">
        <f t="shared" si="285"/>
        <v>653222.66999999993</v>
      </c>
      <c r="E70" s="58">
        <f t="shared" si="285"/>
        <v>1086972.29</v>
      </c>
      <c r="F70" s="58">
        <f t="shared" si="285"/>
        <v>891911</v>
      </c>
      <c r="G70" s="58">
        <f t="shared" si="285"/>
        <v>644183.86999999988</v>
      </c>
      <c r="H70" s="58">
        <f t="shared" si="285"/>
        <v>1105477.69</v>
      </c>
      <c r="I70" s="58">
        <f t="shared" si="285"/>
        <v>352648.89</v>
      </c>
      <c r="J70" s="58">
        <f t="shared" si="285"/>
        <v>1120739.6200000001</v>
      </c>
      <c r="K70" s="58">
        <f t="shared" si="285"/>
        <v>1148596.58</v>
      </c>
      <c r="L70" s="58">
        <f t="shared" si="285"/>
        <v>1579400.63</v>
      </c>
      <c r="M70" s="58">
        <f t="shared" si="285"/>
        <v>12089564.620000001</v>
      </c>
      <c r="N70" s="14" t="s">
        <v>56</v>
      </c>
      <c r="O70" s="58">
        <f t="shared" ref="O70:AA70" si="286">+O60+O55+O51+O52+O29+O27+(O7/3.5%)+O8+O13</f>
        <v>1617837.7999999998</v>
      </c>
      <c r="P70" s="58">
        <f t="shared" si="286"/>
        <v>651878.69000000006</v>
      </c>
      <c r="Q70" s="58">
        <f t="shared" si="286"/>
        <v>804021.8600000001</v>
      </c>
      <c r="R70" s="58">
        <f t="shared" si="286"/>
        <v>1407079.8599999999</v>
      </c>
      <c r="S70" s="58">
        <f t="shared" si="286"/>
        <v>1419675.3500000003</v>
      </c>
      <c r="T70" s="58">
        <f t="shared" si="286"/>
        <v>1045999.9700000001</v>
      </c>
      <c r="U70" s="58">
        <f t="shared" si="286"/>
        <v>1447913.05</v>
      </c>
      <c r="V70" s="58">
        <f t="shared" si="286"/>
        <v>1631373.12</v>
      </c>
      <c r="W70" s="58">
        <f t="shared" si="286"/>
        <v>1474530.25</v>
      </c>
      <c r="X70" s="58">
        <f t="shared" si="286"/>
        <v>1827440.86</v>
      </c>
      <c r="Y70" s="58">
        <f t="shared" si="286"/>
        <v>0</v>
      </c>
      <c r="Z70" s="58">
        <f t="shared" si="286"/>
        <v>0</v>
      </c>
      <c r="AA70" s="58">
        <f t="shared" si="286"/>
        <v>13327750.810000001</v>
      </c>
      <c r="AB70" s="118">
        <f t="shared" si="116"/>
        <v>0.32808202034883727</v>
      </c>
      <c r="AC70" s="58">
        <f t="shared" ref="AC70:AO70" si="287">+AC60+AC55+AC51+AC52+AC29+AC27+(AC7/3.5%)+AC8+AC13</f>
        <v>1449000</v>
      </c>
      <c r="AD70" s="58">
        <f t="shared" si="287"/>
        <v>1388000</v>
      </c>
      <c r="AE70" s="58">
        <f t="shared" si="287"/>
        <v>1715000</v>
      </c>
      <c r="AF70" s="58">
        <f t="shared" si="287"/>
        <v>1476000</v>
      </c>
      <c r="AG70" s="58">
        <f t="shared" si="287"/>
        <v>1454400</v>
      </c>
      <c r="AH70" s="58">
        <f t="shared" si="287"/>
        <v>1397600</v>
      </c>
      <c r="AI70" s="58">
        <f t="shared" si="287"/>
        <v>1436800</v>
      </c>
      <c r="AJ70" s="58">
        <f t="shared" si="287"/>
        <v>1532800</v>
      </c>
      <c r="AK70" s="58">
        <f t="shared" si="287"/>
        <v>1532800</v>
      </c>
      <c r="AL70" s="58">
        <f t="shared" si="287"/>
        <v>1376000</v>
      </c>
      <c r="AM70" s="58">
        <f t="shared" si="287"/>
        <v>1397600</v>
      </c>
      <c r="AN70" s="58">
        <f t="shared" si="287"/>
        <v>1650400</v>
      </c>
      <c r="AO70" s="58">
        <f t="shared" si="287"/>
        <v>17806400</v>
      </c>
    </row>
    <row r="71" spans="1:41">
      <c r="A71" s="58">
        <f t="shared" ref="A71:M71" si="288">+A60+A58+A47+A27+A6</f>
        <v>144690.89999999991</v>
      </c>
      <c r="B71" s="58">
        <f t="shared" si="288"/>
        <v>97294.1599999998</v>
      </c>
      <c r="C71" s="58">
        <f t="shared" si="288"/>
        <v>262771.34000000032</v>
      </c>
      <c r="D71" s="58">
        <f t="shared" si="288"/>
        <v>88225.919999999984</v>
      </c>
      <c r="E71" s="58">
        <f t="shared" si="288"/>
        <v>181225.24000000011</v>
      </c>
      <c r="F71" s="58">
        <f t="shared" si="288"/>
        <v>143875.63</v>
      </c>
      <c r="G71" s="58">
        <f t="shared" si="288"/>
        <v>105859.14000000048</v>
      </c>
      <c r="H71" s="58">
        <f t="shared" si="288"/>
        <v>225023.78999999969</v>
      </c>
      <c r="I71" s="58">
        <f t="shared" si="288"/>
        <v>74174.659999999945</v>
      </c>
      <c r="J71" s="58">
        <f t="shared" si="288"/>
        <v>175548.74999999977</v>
      </c>
      <c r="K71" s="58">
        <f t="shared" si="288"/>
        <v>189619.86</v>
      </c>
      <c r="L71" s="58">
        <f t="shared" si="288"/>
        <v>513248.44999999949</v>
      </c>
      <c r="M71" s="58">
        <f t="shared" si="288"/>
        <v>2201557.8400000017</v>
      </c>
      <c r="N71" s="14" t="s">
        <v>57</v>
      </c>
      <c r="O71" s="58">
        <f t="shared" ref="O71:Z71" si="289">+O60+O58+O47+O27+O6</f>
        <v>251612.85000000009</v>
      </c>
      <c r="P71" s="58">
        <f t="shared" si="289"/>
        <v>175956.97000000015</v>
      </c>
      <c r="Q71" s="58">
        <f t="shared" si="289"/>
        <v>164000.40999999992</v>
      </c>
      <c r="R71" s="58">
        <f t="shared" si="289"/>
        <v>282799.80000000028</v>
      </c>
      <c r="S71" s="58">
        <f t="shared" si="289"/>
        <v>255916.16000000166</v>
      </c>
      <c r="T71" s="58">
        <f t="shared" si="289"/>
        <v>401366.54999999993</v>
      </c>
      <c r="U71" s="58">
        <f t="shared" si="289"/>
        <v>180187.14999999997</v>
      </c>
      <c r="V71" s="58">
        <f t="shared" si="289"/>
        <v>287085.54000000167</v>
      </c>
      <c r="W71" s="58">
        <f t="shared" si="289"/>
        <v>174588.65000000061</v>
      </c>
      <c r="X71" s="58">
        <f t="shared" si="289"/>
        <v>425129.3899999999</v>
      </c>
      <c r="Y71" s="58">
        <f t="shared" si="289"/>
        <v>0</v>
      </c>
      <c r="Z71" s="58">
        <f t="shared" si="289"/>
        <v>0</v>
      </c>
      <c r="AA71" s="58">
        <f t="shared" ref="AA71" si="290">+AA60+AA58+AA47+AA27+AA6</f>
        <v>2598643.4700000039</v>
      </c>
      <c r="AB71" s="118">
        <f t="shared" si="116"/>
        <v>0.17277073103448248</v>
      </c>
      <c r="AC71" s="58">
        <f t="shared" ref="AC71:AO71" si="291">+AC60+AC58+AC47+AC27+AC6</f>
        <v>409850</v>
      </c>
      <c r="AD71" s="58">
        <f t="shared" si="291"/>
        <v>379350</v>
      </c>
      <c r="AE71" s="58">
        <f t="shared" si="291"/>
        <v>456050</v>
      </c>
      <c r="AF71" s="58">
        <f t="shared" si="291"/>
        <v>412500</v>
      </c>
      <c r="AG71" s="58">
        <f t="shared" si="291"/>
        <v>380000</v>
      </c>
      <c r="AH71" s="58">
        <f t="shared" si="291"/>
        <v>395000</v>
      </c>
      <c r="AI71" s="58">
        <f t="shared" si="291"/>
        <v>403750</v>
      </c>
      <c r="AJ71" s="58">
        <f t="shared" si="291"/>
        <v>397500</v>
      </c>
      <c r="AK71" s="58">
        <f t="shared" si="291"/>
        <v>397500</v>
      </c>
      <c r="AL71" s="58">
        <f t="shared" si="291"/>
        <v>362500</v>
      </c>
      <c r="AM71" s="58">
        <f t="shared" si="291"/>
        <v>395000</v>
      </c>
      <c r="AN71" s="58">
        <f t="shared" si="291"/>
        <v>423750</v>
      </c>
      <c r="AO71" s="58">
        <f t="shared" si="291"/>
        <v>4812750</v>
      </c>
    </row>
    <row r="72" spans="1:41">
      <c r="A72" s="108">
        <f t="shared" ref="A72" si="292">+IFERROR(A71/A70,0)</f>
        <v>0.18659514683859557</v>
      </c>
      <c r="B72" s="108">
        <f t="shared" ref="B72" si="293">+IFERROR(B71/B70,0)</f>
        <v>9.9098504947700505E-2</v>
      </c>
      <c r="C72" s="108">
        <f t="shared" ref="C72" si="294">+IFERROR(C71/C70,0)</f>
        <v>0.15022440789163219</v>
      </c>
      <c r="D72" s="108">
        <f t="shared" ref="D72" si="295">+IFERROR(D71/D70,0)</f>
        <v>0.13506255072255835</v>
      </c>
      <c r="E72" s="108">
        <f t="shared" ref="E72" si="296">+IFERROR(E71/E70,0)</f>
        <v>0.16672480215664018</v>
      </c>
      <c r="F72" s="108">
        <f t="shared" ref="F72" si="297">+IFERROR(F71/F70,0)</f>
        <v>0.16131164432325648</v>
      </c>
      <c r="G72" s="108">
        <f t="shared" ref="G72" si="298">+IFERROR(G71/G70,0)</f>
        <v>0.16433062814814114</v>
      </c>
      <c r="H72" s="108">
        <f t="shared" ref="H72" si="299">+IFERROR(H71/H70,0)</f>
        <v>0.20355344303691891</v>
      </c>
      <c r="I72" s="108">
        <f t="shared" ref="I72" si="300">+IFERROR(I71/I70,0)</f>
        <v>0.21033572514576734</v>
      </c>
      <c r="J72" s="108">
        <f t="shared" ref="J72" si="301">+IFERROR(J71/J70,0)</f>
        <v>0.15663651651754737</v>
      </c>
      <c r="K72" s="108">
        <f t="shared" ref="K72" si="302">+IFERROR(K71/K70,0)</f>
        <v>0.16508830280515024</v>
      </c>
      <c r="L72" s="108">
        <f t="shared" ref="L72:M72" si="303">+IFERROR(L71/L70,0)</f>
        <v>0.32496406564052055</v>
      </c>
      <c r="M72" s="108">
        <f t="shared" si="303"/>
        <v>0.18210398051538779</v>
      </c>
      <c r="N72" s="15" t="s">
        <v>58</v>
      </c>
      <c r="O72" s="108">
        <f t="shared" ref="O72:Z72" si="304">+IFERROR(O71/O70,0)</f>
        <v>0.1555241508141299</v>
      </c>
      <c r="P72" s="108">
        <f t="shared" si="304"/>
        <v>0.26992287476064009</v>
      </c>
      <c r="Q72" s="108">
        <f t="shared" si="304"/>
        <v>0.20397506356357015</v>
      </c>
      <c r="R72" s="108">
        <f t="shared" si="304"/>
        <v>0.20098347509572079</v>
      </c>
      <c r="S72" s="108">
        <f t="shared" si="304"/>
        <v>0.18026386102991898</v>
      </c>
      <c r="T72" s="108">
        <f t="shared" si="304"/>
        <v>0.38371564198037206</v>
      </c>
      <c r="U72" s="108">
        <f t="shared" si="304"/>
        <v>0.12444611228554088</v>
      </c>
      <c r="V72" s="108">
        <f t="shared" si="304"/>
        <v>0.17597785355198303</v>
      </c>
      <c r="W72" s="108">
        <f t="shared" si="304"/>
        <v>0.11840289475241393</v>
      </c>
      <c r="X72" s="108">
        <f t="shared" si="304"/>
        <v>0.23263646955995057</v>
      </c>
      <c r="Y72" s="108">
        <f t="shared" si="304"/>
        <v>0</v>
      </c>
      <c r="Z72" s="108">
        <f t="shared" si="304"/>
        <v>0</v>
      </c>
      <c r="AA72" s="108">
        <f t="shared" ref="AA72" si="305">+IFERROR(AA71/AA70,0)</f>
        <v>0.19497989623652062</v>
      </c>
      <c r="AB72" s="118">
        <f t="shared" si="116"/>
        <v>-0.11694404933933245</v>
      </c>
      <c r="AC72" s="108">
        <f t="shared" ref="AC72" si="306">+IFERROR(AC71/AC70,0)</f>
        <v>0.28285024154589372</v>
      </c>
      <c r="AD72" s="108">
        <f t="shared" ref="AD72" si="307">+IFERROR(AD71/AD70,0)</f>
        <v>0.27330691642651295</v>
      </c>
      <c r="AE72" s="108">
        <f t="shared" ref="AE72" si="308">+IFERROR(AE71/AE70,0)</f>
        <v>0.2659183673469388</v>
      </c>
      <c r="AF72" s="108">
        <f t="shared" ref="AF72" si="309">+IFERROR(AF71/AF70,0)</f>
        <v>0.27947154471544716</v>
      </c>
      <c r="AG72" s="108">
        <f t="shared" ref="AG72" si="310">+IFERROR(AG71/AG70,0)</f>
        <v>0.26127612761276126</v>
      </c>
      <c r="AH72" s="108">
        <f t="shared" ref="AH72" si="311">+IFERROR(AH71/AH70,0)</f>
        <v>0.28262736119061249</v>
      </c>
      <c r="AI72" s="108">
        <f t="shared" ref="AI72" si="312">+IFERROR(AI71/AI70,0)</f>
        <v>0.28100640311804009</v>
      </c>
      <c r="AJ72" s="108">
        <f t="shared" ref="AJ72" si="313">+IFERROR(AJ71/AJ70,0)</f>
        <v>0.25932933194154489</v>
      </c>
      <c r="AK72" s="108">
        <f t="shared" ref="AK72" si="314">+IFERROR(AK71/AK70,0)</f>
        <v>0.25932933194154489</v>
      </c>
      <c r="AL72" s="108">
        <f t="shared" ref="AL72" si="315">+IFERROR(AL71/AL70,0)</f>
        <v>0.26344476744186046</v>
      </c>
      <c r="AM72" s="108">
        <f t="shared" ref="AM72" si="316">+IFERROR(AM71/AM70,0)</f>
        <v>0.28262736119061249</v>
      </c>
      <c r="AN72" s="108">
        <f t="shared" ref="AN72:AO72" si="317">+IFERROR(AN71/AN70,0)</f>
        <v>0.2567559379544353</v>
      </c>
      <c r="AO72" s="108">
        <f t="shared" si="317"/>
        <v>0.27028203342618384</v>
      </c>
    </row>
    <row r="73" spans="1:4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16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118">
        <f t="shared" si="116"/>
        <v>0</v>
      </c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</row>
    <row r="74" spans="1:4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18">
        <f t="shared" si="116"/>
        <v>0</v>
      </c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</row>
    <row r="75" spans="1:41" ht="17.25">
      <c r="A75" s="58">
        <f t="shared" ref="A75" si="318">+A76+A87+A90</f>
        <v>2400</v>
      </c>
      <c r="B75" s="58">
        <f t="shared" ref="B75" si="319">+B76+B87+B90</f>
        <v>3000</v>
      </c>
      <c r="C75" s="58">
        <f t="shared" ref="C75" si="320">+C76+C87+C90</f>
        <v>3400</v>
      </c>
      <c r="D75" s="58">
        <f t="shared" ref="D75" si="321">+D76+D87+D90</f>
        <v>3000</v>
      </c>
      <c r="E75" s="58">
        <f t="shared" ref="E75" si="322">+E76+E87+E90</f>
        <v>4000</v>
      </c>
      <c r="F75" s="58">
        <f t="shared" ref="F75" si="323">+F76+F87+F90</f>
        <v>0</v>
      </c>
      <c r="G75" s="58">
        <f t="shared" ref="G75" si="324">+G76+G87+G90</f>
        <v>1200</v>
      </c>
      <c r="H75" s="58">
        <f t="shared" ref="H75" si="325">+H76+H87+H90</f>
        <v>0</v>
      </c>
      <c r="I75" s="58">
        <f t="shared" ref="I75" si="326">+I76+I87+I90</f>
        <v>2400</v>
      </c>
      <c r="J75" s="58">
        <f t="shared" ref="J75" si="327">+J76+J87+J90</f>
        <v>0</v>
      </c>
      <c r="K75" s="58">
        <f t="shared" ref="K75" si="328">+K76+K87+K90</f>
        <v>0</v>
      </c>
      <c r="L75" s="58">
        <f t="shared" ref="L75:M75" si="329">+L76+L87+L90</f>
        <v>2800</v>
      </c>
      <c r="M75" s="58">
        <f t="shared" si="329"/>
        <v>22200</v>
      </c>
      <c r="N75" s="17" t="s">
        <v>59</v>
      </c>
      <c r="O75" s="58">
        <f t="shared" ref="O75:AA75" si="330">+O76+O87+O90</f>
        <v>8200</v>
      </c>
      <c r="P75" s="58">
        <f t="shared" si="330"/>
        <v>0</v>
      </c>
      <c r="Q75" s="58">
        <f t="shared" si="330"/>
        <v>16400</v>
      </c>
      <c r="R75" s="58">
        <f t="shared" si="330"/>
        <v>0</v>
      </c>
      <c r="S75" s="58">
        <f t="shared" si="330"/>
        <v>5700</v>
      </c>
      <c r="T75" s="58">
        <f t="shared" si="330"/>
        <v>3200</v>
      </c>
      <c r="U75" s="58">
        <f t="shared" si="330"/>
        <v>3800</v>
      </c>
      <c r="V75" s="58">
        <f t="shared" si="330"/>
        <v>9250</v>
      </c>
      <c r="W75" s="58">
        <f t="shared" si="330"/>
        <v>8400</v>
      </c>
      <c r="X75" s="58">
        <f t="shared" si="330"/>
        <v>3600</v>
      </c>
      <c r="Y75" s="58">
        <f t="shared" si="330"/>
        <v>0</v>
      </c>
      <c r="Z75" s="58">
        <f t="shared" si="330"/>
        <v>0</v>
      </c>
      <c r="AA75" s="58">
        <f t="shared" si="330"/>
        <v>58550</v>
      </c>
      <c r="AB75" s="118">
        <f t="shared" si="116"/>
        <v>-0.85812807881773401</v>
      </c>
      <c r="AC75" s="58">
        <f t="shared" ref="AC75" si="331">+AC76+AC87+AC90</f>
        <v>28689.500000000004</v>
      </c>
      <c r="AD75" s="58">
        <f t="shared" ref="AD75" si="332">+AD76+AD87+AD90</f>
        <v>26554.500000000004</v>
      </c>
      <c r="AE75" s="58">
        <f t="shared" ref="AE75" si="333">+AE76+AE87+AE90</f>
        <v>31923.500000000004</v>
      </c>
      <c r="AF75" s="58">
        <f t="shared" ref="AF75" si="334">+AF76+AF87+AF90</f>
        <v>28875.000000000004</v>
      </c>
      <c r="AG75" s="58">
        <f t="shared" ref="AG75" si="335">+AG76+AG87+AG90</f>
        <v>26600.000000000004</v>
      </c>
      <c r="AH75" s="58">
        <f t="shared" ref="AH75" si="336">+AH76+AH87+AH90</f>
        <v>27650.000000000004</v>
      </c>
      <c r="AI75" s="58">
        <f t="shared" ref="AI75" si="337">+AI76+AI87+AI90</f>
        <v>28262.500000000004</v>
      </c>
      <c r="AJ75" s="58">
        <f t="shared" ref="AJ75" si="338">+AJ76+AJ87+AJ90</f>
        <v>27825.000000000004</v>
      </c>
      <c r="AK75" s="58">
        <f t="shared" ref="AK75" si="339">+AK76+AK87+AK90</f>
        <v>27825.000000000004</v>
      </c>
      <c r="AL75" s="58">
        <f t="shared" ref="AL75" si="340">+AL76+AL87+AL90</f>
        <v>25375.000000000004</v>
      </c>
      <c r="AM75" s="58">
        <f t="shared" ref="AM75" si="341">+AM76+AM87+AM90</f>
        <v>27650.000000000004</v>
      </c>
      <c r="AN75" s="58">
        <f t="shared" ref="AN75" si="342">+AN76+AN87+AN90</f>
        <v>29662.500000000004</v>
      </c>
      <c r="AO75" s="58">
        <f t="shared" ref="AO75" si="343">+AO76+AO87+AO90</f>
        <v>336892.50000000006</v>
      </c>
    </row>
    <row r="76" spans="1:41">
      <c r="A76" s="58">
        <f t="shared" ref="A76" si="344">+SUM(A77:A86)</f>
        <v>0</v>
      </c>
      <c r="B76" s="58">
        <f t="shared" ref="B76" si="345">+SUM(B77:B86)</f>
        <v>0</v>
      </c>
      <c r="C76" s="58">
        <f t="shared" ref="C76" si="346">+SUM(C77:C86)</f>
        <v>0</v>
      </c>
      <c r="D76" s="58">
        <f t="shared" ref="D76" si="347">+SUM(D77:D86)</f>
        <v>0</v>
      </c>
      <c r="E76" s="58">
        <f t="shared" ref="E76" si="348">+SUM(E77:E86)</f>
        <v>0</v>
      </c>
      <c r="F76" s="58">
        <f t="shared" ref="F76" si="349">+SUM(F77:F86)</f>
        <v>0</v>
      </c>
      <c r="G76" s="58">
        <f t="shared" ref="G76" si="350">+SUM(G77:G86)</f>
        <v>0</v>
      </c>
      <c r="H76" s="58">
        <f t="shared" ref="H76" si="351">+SUM(H77:H86)</f>
        <v>0</v>
      </c>
      <c r="I76" s="58">
        <f t="shared" ref="I76" si="352">+SUM(I77:I86)</f>
        <v>0</v>
      </c>
      <c r="J76" s="58">
        <f t="shared" ref="J76" si="353">+SUM(J77:J86)</f>
        <v>0</v>
      </c>
      <c r="K76" s="58">
        <f t="shared" ref="K76" si="354">+SUM(K77:K86)</f>
        <v>0</v>
      </c>
      <c r="L76" s="58">
        <f t="shared" ref="L76:M76" si="355">+SUM(L77:L86)</f>
        <v>0</v>
      </c>
      <c r="M76" s="58">
        <f t="shared" si="355"/>
        <v>0</v>
      </c>
      <c r="N76" s="18" t="s">
        <v>60</v>
      </c>
      <c r="O76" s="58">
        <f t="shared" ref="O76:AA76" si="356">+SUM(O77:O86)</f>
        <v>0</v>
      </c>
      <c r="P76" s="58">
        <f t="shared" si="356"/>
        <v>0</v>
      </c>
      <c r="Q76" s="58">
        <f t="shared" si="356"/>
        <v>0</v>
      </c>
      <c r="R76" s="58">
        <f t="shared" si="356"/>
        <v>0</v>
      </c>
      <c r="S76" s="58">
        <f t="shared" si="356"/>
        <v>0</v>
      </c>
      <c r="T76" s="58">
        <f t="shared" si="356"/>
        <v>0</v>
      </c>
      <c r="U76" s="58">
        <f t="shared" si="356"/>
        <v>0</v>
      </c>
      <c r="V76" s="58">
        <f t="shared" si="356"/>
        <v>0</v>
      </c>
      <c r="W76" s="58">
        <f t="shared" si="356"/>
        <v>0</v>
      </c>
      <c r="X76" s="58">
        <f t="shared" si="356"/>
        <v>0</v>
      </c>
      <c r="Y76" s="58">
        <f t="shared" si="356"/>
        <v>0</v>
      </c>
      <c r="Z76" s="58">
        <f t="shared" si="356"/>
        <v>0</v>
      </c>
      <c r="AA76" s="58">
        <f t="shared" si="356"/>
        <v>0</v>
      </c>
      <c r="AB76" s="118">
        <f t="shared" si="116"/>
        <v>0</v>
      </c>
      <c r="AC76" s="58">
        <f t="shared" ref="AC76" si="357">+SUM(AC77:AC86)</f>
        <v>0</v>
      </c>
      <c r="AD76" s="58">
        <f t="shared" ref="AD76" si="358">+SUM(AD77:AD86)</f>
        <v>0</v>
      </c>
      <c r="AE76" s="58">
        <f t="shared" ref="AE76" si="359">+SUM(AE77:AE86)</f>
        <v>0</v>
      </c>
      <c r="AF76" s="58">
        <f t="shared" ref="AF76" si="360">+SUM(AF77:AF86)</f>
        <v>0</v>
      </c>
      <c r="AG76" s="58">
        <f t="shared" ref="AG76" si="361">+SUM(AG77:AG86)</f>
        <v>0</v>
      </c>
      <c r="AH76" s="58">
        <f t="shared" ref="AH76" si="362">+SUM(AH77:AH86)</f>
        <v>0</v>
      </c>
      <c r="AI76" s="58">
        <f t="shared" ref="AI76" si="363">+SUM(AI77:AI86)</f>
        <v>0</v>
      </c>
      <c r="AJ76" s="58">
        <f t="shared" ref="AJ76" si="364">+SUM(AJ77:AJ86)</f>
        <v>0</v>
      </c>
      <c r="AK76" s="58">
        <f t="shared" ref="AK76" si="365">+SUM(AK77:AK86)</f>
        <v>0</v>
      </c>
      <c r="AL76" s="58">
        <f t="shared" ref="AL76" si="366">+SUM(AL77:AL86)</f>
        <v>0</v>
      </c>
      <c r="AM76" s="58">
        <f t="shared" ref="AM76" si="367">+SUM(AM77:AM86)</f>
        <v>0</v>
      </c>
      <c r="AN76" s="58">
        <f t="shared" ref="AN76" si="368">+SUM(AN77:AN86)</f>
        <v>0</v>
      </c>
      <c r="AO76" s="58">
        <f t="shared" ref="AO76" si="369">+SUM(AO77:AO86)</f>
        <v>0</v>
      </c>
    </row>
    <row r="77" spans="1:41" hidden="1" outlineLevel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>
        <f t="shared" ref="M77:M86" si="370">+SUM(A77:L77)</f>
        <v>0</v>
      </c>
      <c r="N77" s="16" t="s">
        <v>61</v>
      </c>
      <c r="O77" s="106">
        <f>+VLOOKUP($N77,'Jan-25'!A:J,3,0)</f>
        <v>0</v>
      </c>
      <c r="P77" s="106">
        <f>+VLOOKUP($N77,'Feb-25'!A:J,3,0)</f>
        <v>0</v>
      </c>
      <c r="Q77" s="106">
        <f>+VLOOKUP($N77,'Mar-25'!A:J,3,0)</f>
        <v>0</v>
      </c>
      <c r="R77" s="106">
        <f>+VLOOKUP($N77,'Apr-25'!A:J,3,0)</f>
        <v>0</v>
      </c>
      <c r="S77" s="106">
        <f>+VLOOKUP($N77,'May-25'!A:J,3,0)</f>
        <v>0</v>
      </c>
      <c r="T77" s="106">
        <f>+VLOOKUP($N77,'June-25'!A:J,3,0)</f>
        <v>0</v>
      </c>
      <c r="U77" s="106">
        <f>+VLOOKUP($N77,'July-25'!A:J,3,0)</f>
        <v>0</v>
      </c>
      <c r="V77" s="106">
        <f>+VLOOKUP($N77,'Aug-25'!A:J,3,0)</f>
        <v>0</v>
      </c>
      <c r="W77" s="106">
        <f>+VLOOKUP($N77,'Sep-25'!A:J,3,0)</f>
        <v>0</v>
      </c>
      <c r="X77" s="106">
        <f>+VLOOKUP($N77,'Oct-25'!A:J,3,0)</f>
        <v>0</v>
      </c>
      <c r="Y77" s="106">
        <f>+VLOOKUP($N77,'Nov-25'!A:J,3,0)</f>
        <v>0</v>
      </c>
      <c r="Z77" s="106">
        <f>+VLOOKUP($N77,'Dec-25'!A:J,3,0)</f>
        <v>0</v>
      </c>
      <c r="AA77" s="106">
        <f t="shared" ref="AA77:AA86" si="371">+SUM(O77:Z77)</f>
        <v>0</v>
      </c>
      <c r="AB77" s="118">
        <f t="shared" si="116"/>
        <v>0</v>
      </c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</row>
    <row r="78" spans="1:41" hidden="1" outlineLevel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>
        <f t="shared" si="370"/>
        <v>0</v>
      </c>
      <c r="N78" s="16" t="s">
        <v>62</v>
      </c>
      <c r="O78" s="106">
        <f>+VLOOKUP($N78,'Jan-25'!A:J,3,0)</f>
        <v>0</v>
      </c>
      <c r="P78" s="106">
        <f>+VLOOKUP($N78,'Feb-25'!A:J,3,0)</f>
        <v>0</v>
      </c>
      <c r="Q78" s="106">
        <f>+VLOOKUP($N78,'Mar-25'!A:J,3,0)</f>
        <v>0</v>
      </c>
      <c r="R78" s="106">
        <f>+VLOOKUP($N78,'Apr-25'!A:J,3,0)</f>
        <v>0</v>
      </c>
      <c r="S78" s="106">
        <f>+VLOOKUP($N78,'May-25'!A:J,3,0)</f>
        <v>0</v>
      </c>
      <c r="T78" s="106">
        <f>+VLOOKUP($N78,'June-25'!A:J,3,0)</f>
        <v>0</v>
      </c>
      <c r="U78" s="106">
        <f>+VLOOKUP($N78,'July-25'!A:J,3,0)</f>
        <v>0</v>
      </c>
      <c r="V78" s="106">
        <f>+VLOOKUP($N78,'Aug-25'!A:J,3,0)</f>
        <v>0</v>
      </c>
      <c r="W78" s="106">
        <f>+VLOOKUP($N78,'Sep-25'!A:J,3,0)</f>
        <v>0</v>
      </c>
      <c r="X78" s="106">
        <f>+VLOOKUP($N78,'Oct-25'!A:J,3,0)</f>
        <v>0</v>
      </c>
      <c r="Y78" s="106">
        <f>+VLOOKUP($N78,'Nov-25'!A:J,3,0)</f>
        <v>0</v>
      </c>
      <c r="Z78" s="106">
        <f>+VLOOKUP($N78,'Dec-25'!A:J,3,0)</f>
        <v>0</v>
      </c>
      <c r="AA78" s="106">
        <f t="shared" si="371"/>
        <v>0</v>
      </c>
      <c r="AB78" s="118">
        <f t="shared" si="116"/>
        <v>0</v>
      </c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</row>
    <row r="79" spans="1:41" hidden="1" outlineLevel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>
        <f t="shared" si="370"/>
        <v>0</v>
      </c>
      <c r="N79" s="16" t="s">
        <v>63</v>
      </c>
      <c r="O79" s="106">
        <f>+VLOOKUP($N79,'Jan-25'!A:J,3,0)</f>
        <v>0</v>
      </c>
      <c r="P79" s="106">
        <f>+VLOOKUP($N79,'Feb-25'!A:J,3,0)</f>
        <v>0</v>
      </c>
      <c r="Q79" s="106">
        <f>+VLOOKUP($N79,'Mar-25'!A:J,3,0)</f>
        <v>0</v>
      </c>
      <c r="R79" s="106">
        <f>+VLOOKUP($N79,'Apr-25'!A:J,3,0)</f>
        <v>0</v>
      </c>
      <c r="S79" s="106">
        <f>+VLOOKUP($N79,'May-25'!A:J,3,0)</f>
        <v>0</v>
      </c>
      <c r="T79" s="106">
        <f>+VLOOKUP($N79,'June-25'!A:J,3,0)</f>
        <v>0</v>
      </c>
      <c r="U79" s="106">
        <f>+VLOOKUP($N79,'July-25'!A:J,3,0)</f>
        <v>0</v>
      </c>
      <c r="V79" s="106">
        <f>+VLOOKUP($N79,'Aug-25'!A:J,3,0)</f>
        <v>0</v>
      </c>
      <c r="W79" s="106">
        <f>+VLOOKUP($N79,'Sep-25'!A:J,3,0)</f>
        <v>0</v>
      </c>
      <c r="X79" s="106">
        <f>+VLOOKUP($N79,'Oct-25'!A:J,3,0)</f>
        <v>0</v>
      </c>
      <c r="Y79" s="106">
        <f>+VLOOKUP($N79,'Nov-25'!A:J,3,0)</f>
        <v>0</v>
      </c>
      <c r="Z79" s="106">
        <f>+VLOOKUP($N79,'Dec-25'!A:J,3,0)</f>
        <v>0</v>
      </c>
      <c r="AA79" s="106">
        <f t="shared" si="371"/>
        <v>0</v>
      </c>
      <c r="AB79" s="118">
        <f t="shared" si="116"/>
        <v>0</v>
      </c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</row>
    <row r="80" spans="1:41" hidden="1" outlineLevel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>
        <f t="shared" si="370"/>
        <v>0</v>
      </c>
      <c r="N80" s="16" t="s">
        <v>221</v>
      </c>
      <c r="O80" s="106">
        <f>+VLOOKUP($N80,'Jan-25'!A:J,3,0)</f>
        <v>0</v>
      </c>
      <c r="P80" s="106">
        <f>+VLOOKUP($N80,'Feb-25'!A:J,3,0)</f>
        <v>0</v>
      </c>
      <c r="Q80" s="106">
        <f>+VLOOKUP($N80,'Mar-25'!A:J,3,0)</f>
        <v>0</v>
      </c>
      <c r="R80" s="106">
        <f>+VLOOKUP($N80,'Apr-25'!A:J,3,0)</f>
        <v>0</v>
      </c>
      <c r="S80" s="106">
        <f>+VLOOKUP($N80,'May-25'!A:J,3,0)</f>
        <v>0</v>
      </c>
      <c r="T80" s="106">
        <f>+VLOOKUP($N80,'June-25'!A:J,3,0)</f>
        <v>0</v>
      </c>
      <c r="U80" s="106">
        <f>+VLOOKUP($N80,'July-25'!A:J,3,0)</f>
        <v>0</v>
      </c>
      <c r="V80" s="106">
        <f>+VLOOKUP($N80,'Aug-25'!A:J,3,0)</f>
        <v>0</v>
      </c>
      <c r="W80" s="106">
        <f>+VLOOKUP($N80,'Sep-25'!A:J,3,0)</f>
        <v>0</v>
      </c>
      <c r="X80" s="106">
        <f>+VLOOKUP($N80,'Oct-25'!A:J,3,0)</f>
        <v>0</v>
      </c>
      <c r="Y80" s="106">
        <f>+VLOOKUP($N80,'Nov-25'!A:J,3,0)</f>
        <v>0</v>
      </c>
      <c r="Z80" s="106">
        <f>+VLOOKUP($N80,'Dec-25'!A:J,3,0)</f>
        <v>0</v>
      </c>
      <c r="AA80" s="106">
        <f t="shared" si="371"/>
        <v>0</v>
      </c>
      <c r="AB80" s="118">
        <f t="shared" si="116"/>
        <v>0</v>
      </c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</row>
    <row r="81" spans="1:41" hidden="1" outlineLevel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>
        <f t="shared" si="370"/>
        <v>0</v>
      </c>
      <c r="N81" s="16" t="s">
        <v>65</v>
      </c>
      <c r="O81" s="106">
        <f>+VLOOKUP($N81,'Jan-25'!A:J,3,0)</f>
        <v>0</v>
      </c>
      <c r="P81" s="106">
        <f>+VLOOKUP($N81,'Feb-25'!A:J,3,0)</f>
        <v>0</v>
      </c>
      <c r="Q81" s="106">
        <f>+VLOOKUP($N81,'Mar-25'!A:J,3,0)</f>
        <v>0</v>
      </c>
      <c r="R81" s="106">
        <f>+VLOOKUP($N81,'Apr-25'!A:J,3,0)</f>
        <v>0</v>
      </c>
      <c r="S81" s="106">
        <f>+VLOOKUP($N81,'May-25'!A:J,3,0)</f>
        <v>0</v>
      </c>
      <c r="T81" s="106">
        <f>+VLOOKUP($N81,'June-25'!A:J,3,0)</f>
        <v>0</v>
      </c>
      <c r="U81" s="106">
        <f>+VLOOKUP($N81,'July-25'!A:J,3,0)</f>
        <v>0</v>
      </c>
      <c r="V81" s="106">
        <f>+VLOOKUP($N81,'Aug-25'!A:J,3,0)</f>
        <v>0</v>
      </c>
      <c r="W81" s="106">
        <f>+VLOOKUP($N81,'Sep-25'!A:J,3,0)</f>
        <v>0</v>
      </c>
      <c r="X81" s="106">
        <f>+VLOOKUP($N81,'Oct-25'!A:J,3,0)</f>
        <v>0</v>
      </c>
      <c r="Y81" s="106">
        <f>+VLOOKUP($N81,'Nov-25'!A:J,3,0)</f>
        <v>0</v>
      </c>
      <c r="Z81" s="106">
        <f>+VLOOKUP($N81,'Dec-25'!A:J,3,0)</f>
        <v>0</v>
      </c>
      <c r="AA81" s="106">
        <f t="shared" si="371"/>
        <v>0</v>
      </c>
      <c r="AB81" s="118">
        <f t="shared" si="116"/>
        <v>0</v>
      </c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  <c r="AN81" s="106"/>
      <c r="AO81" s="106"/>
    </row>
    <row r="82" spans="1:41" hidden="1" outlineLevel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>
        <f t="shared" si="370"/>
        <v>0</v>
      </c>
      <c r="N82" s="16" t="s">
        <v>66</v>
      </c>
      <c r="O82" s="106">
        <f>+VLOOKUP($N82,'Jan-25'!A:J,3,0)</f>
        <v>0</v>
      </c>
      <c r="P82" s="106">
        <f>+VLOOKUP($N82,'Feb-25'!A:J,3,0)</f>
        <v>0</v>
      </c>
      <c r="Q82" s="106">
        <f>+VLOOKUP($N82,'Mar-25'!A:J,3,0)</f>
        <v>0</v>
      </c>
      <c r="R82" s="106">
        <f>+VLOOKUP($N82,'Apr-25'!A:J,3,0)</f>
        <v>0</v>
      </c>
      <c r="S82" s="106">
        <f>+VLOOKUP($N82,'May-25'!A:J,3,0)</f>
        <v>0</v>
      </c>
      <c r="T82" s="106">
        <f>+VLOOKUP($N82,'June-25'!A:J,3,0)</f>
        <v>0</v>
      </c>
      <c r="U82" s="106">
        <f>+VLOOKUP($N82,'July-25'!A:J,3,0)</f>
        <v>0</v>
      </c>
      <c r="V82" s="106">
        <f>+VLOOKUP($N82,'Aug-25'!A:J,3,0)</f>
        <v>0</v>
      </c>
      <c r="W82" s="106">
        <f>+VLOOKUP($N82,'Sep-25'!A:J,3,0)</f>
        <v>0</v>
      </c>
      <c r="X82" s="106">
        <f>+VLOOKUP($N82,'Oct-25'!A:J,3,0)</f>
        <v>0</v>
      </c>
      <c r="Y82" s="106">
        <f>+VLOOKUP($N82,'Nov-25'!A:J,3,0)</f>
        <v>0</v>
      </c>
      <c r="Z82" s="106">
        <f>+VLOOKUP($N82,'Dec-25'!A:J,3,0)</f>
        <v>0</v>
      </c>
      <c r="AA82" s="106">
        <f t="shared" si="371"/>
        <v>0</v>
      </c>
      <c r="AB82" s="118">
        <f t="shared" si="116"/>
        <v>0</v>
      </c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</row>
    <row r="83" spans="1:41" hidden="1" outlineLevel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>
        <f t="shared" si="370"/>
        <v>0</v>
      </c>
      <c r="N83" s="16" t="s">
        <v>67</v>
      </c>
      <c r="O83" s="106">
        <f>+VLOOKUP($N83,'Jan-25'!A:J,3,0)</f>
        <v>0</v>
      </c>
      <c r="P83" s="106">
        <f>+VLOOKUP($N83,'Feb-25'!A:J,3,0)</f>
        <v>0</v>
      </c>
      <c r="Q83" s="106">
        <f>+VLOOKUP($N83,'Mar-25'!A:J,3,0)</f>
        <v>0</v>
      </c>
      <c r="R83" s="106">
        <f>+VLOOKUP($N83,'Apr-25'!A:J,3,0)</f>
        <v>0</v>
      </c>
      <c r="S83" s="106">
        <f>+VLOOKUP($N83,'May-25'!A:J,3,0)</f>
        <v>0</v>
      </c>
      <c r="T83" s="106">
        <f>+VLOOKUP($N83,'June-25'!A:J,3,0)</f>
        <v>0</v>
      </c>
      <c r="U83" s="106">
        <f>+VLOOKUP($N83,'July-25'!A:J,3,0)</f>
        <v>0</v>
      </c>
      <c r="V83" s="106">
        <f>+VLOOKUP($N83,'Aug-25'!A:J,3,0)</f>
        <v>0</v>
      </c>
      <c r="W83" s="106">
        <f>+VLOOKUP($N83,'Sep-25'!A:J,3,0)</f>
        <v>0</v>
      </c>
      <c r="X83" s="106">
        <f>+VLOOKUP($N83,'Oct-25'!A:J,3,0)</f>
        <v>0</v>
      </c>
      <c r="Y83" s="106">
        <f>+VLOOKUP($N83,'Nov-25'!A:J,3,0)</f>
        <v>0</v>
      </c>
      <c r="Z83" s="106">
        <f>+VLOOKUP($N83,'Dec-25'!A:J,3,0)</f>
        <v>0</v>
      </c>
      <c r="AA83" s="106">
        <f t="shared" si="371"/>
        <v>0</v>
      </c>
      <c r="AB83" s="118">
        <f t="shared" si="116"/>
        <v>0</v>
      </c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</row>
    <row r="84" spans="1:41" hidden="1" outlineLevel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>
        <f t="shared" si="370"/>
        <v>0</v>
      </c>
      <c r="N84" s="16" t="s">
        <v>68</v>
      </c>
      <c r="O84" s="106">
        <f>+VLOOKUP($N84,'Jan-25'!A:J,3,0)</f>
        <v>0</v>
      </c>
      <c r="P84" s="106">
        <f>+VLOOKUP($N84,'Feb-25'!A:J,3,0)</f>
        <v>0</v>
      </c>
      <c r="Q84" s="106">
        <f>+VLOOKUP($N84,'Mar-25'!A:J,3,0)</f>
        <v>0</v>
      </c>
      <c r="R84" s="106">
        <f>+VLOOKUP($N84,'Apr-25'!A:J,3,0)</f>
        <v>0</v>
      </c>
      <c r="S84" s="106">
        <f>+VLOOKUP($N84,'May-25'!A:J,3,0)</f>
        <v>0</v>
      </c>
      <c r="T84" s="106">
        <f>+VLOOKUP($N84,'June-25'!A:J,3,0)</f>
        <v>0</v>
      </c>
      <c r="U84" s="106">
        <f>+VLOOKUP($N84,'July-25'!A:J,3,0)</f>
        <v>0</v>
      </c>
      <c r="V84" s="106">
        <f>+VLOOKUP($N84,'Aug-25'!A:J,3,0)</f>
        <v>0</v>
      </c>
      <c r="W84" s="106">
        <f>+VLOOKUP($N84,'Sep-25'!A:J,3,0)</f>
        <v>0</v>
      </c>
      <c r="X84" s="106">
        <f>+VLOOKUP($N84,'Oct-25'!A:J,3,0)</f>
        <v>0</v>
      </c>
      <c r="Y84" s="106">
        <f>+VLOOKUP($N84,'Nov-25'!A:J,3,0)</f>
        <v>0</v>
      </c>
      <c r="Z84" s="106">
        <f>+VLOOKUP($N84,'Dec-25'!A:J,3,0)</f>
        <v>0</v>
      </c>
      <c r="AA84" s="106">
        <f t="shared" si="371"/>
        <v>0</v>
      </c>
      <c r="AB84" s="118">
        <f t="shared" si="116"/>
        <v>0</v>
      </c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</row>
    <row r="85" spans="1:41" hidden="1" outlineLevel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>
        <f t="shared" si="370"/>
        <v>0</v>
      </c>
      <c r="N85" s="16" t="s">
        <v>69</v>
      </c>
      <c r="O85" s="106">
        <f>+VLOOKUP($N85,'Jan-25'!A:J,3,0)</f>
        <v>0</v>
      </c>
      <c r="P85" s="106">
        <f>+VLOOKUP($N85,'Feb-25'!A:J,3,0)</f>
        <v>0</v>
      </c>
      <c r="Q85" s="106">
        <f>+VLOOKUP($N85,'Mar-25'!A:J,3,0)</f>
        <v>0</v>
      </c>
      <c r="R85" s="106">
        <f>+VLOOKUP($N85,'Apr-25'!A:J,3,0)</f>
        <v>0</v>
      </c>
      <c r="S85" s="106">
        <f>+VLOOKUP($N85,'May-25'!A:J,3,0)</f>
        <v>0</v>
      </c>
      <c r="T85" s="106">
        <f>+VLOOKUP($N85,'June-25'!A:J,3,0)</f>
        <v>0</v>
      </c>
      <c r="U85" s="106">
        <f>+VLOOKUP($N85,'July-25'!A:J,3,0)</f>
        <v>0</v>
      </c>
      <c r="V85" s="106">
        <f>+VLOOKUP($N85,'Aug-25'!A:J,3,0)</f>
        <v>0</v>
      </c>
      <c r="W85" s="106">
        <f>+VLOOKUP($N85,'Sep-25'!A:J,3,0)</f>
        <v>0</v>
      </c>
      <c r="X85" s="106">
        <f>+VLOOKUP($N85,'Oct-25'!A:J,3,0)</f>
        <v>0</v>
      </c>
      <c r="Y85" s="106">
        <f>+VLOOKUP($N85,'Nov-25'!A:J,3,0)</f>
        <v>0</v>
      </c>
      <c r="Z85" s="106">
        <f>+VLOOKUP($N85,'Dec-25'!A:J,3,0)</f>
        <v>0</v>
      </c>
      <c r="AA85" s="106">
        <f t="shared" si="371"/>
        <v>0</v>
      </c>
      <c r="AB85" s="118">
        <f t="shared" si="116"/>
        <v>0</v>
      </c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</row>
    <row r="86" spans="1:41" hidden="1" outlineLevel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>
        <f t="shared" si="370"/>
        <v>0</v>
      </c>
      <c r="N86" s="16" t="s">
        <v>70</v>
      </c>
      <c r="O86" s="106">
        <f>+VLOOKUP($N86,'Jan-25'!A:J,3,0)</f>
        <v>0</v>
      </c>
      <c r="P86" s="106">
        <f>+VLOOKUP($N86,'Feb-25'!A:J,3,0)</f>
        <v>0</v>
      </c>
      <c r="Q86" s="106">
        <f>+VLOOKUP($N86,'Mar-25'!A:J,3,0)</f>
        <v>0</v>
      </c>
      <c r="R86" s="106">
        <f>+VLOOKUP($N86,'Apr-25'!A:J,3,0)</f>
        <v>0</v>
      </c>
      <c r="S86" s="106">
        <f>+VLOOKUP($N86,'May-25'!A:J,3,0)</f>
        <v>0</v>
      </c>
      <c r="T86" s="106">
        <f>+VLOOKUP($N86,'June-25'!A:J,3,0)</f>
        <v>0</v>
      </c>
      <c r="U86" s="106">
        <f>+VLOOKUP($N86,'July-25'!A:J,3,0)</f>
        <v>0</v>
      </c>
      <c r="V86" s="106">
        <f>+VLOOKUP($N86,'Aug-25'!A:J,3,0)</f>
        <v>0</v>
      </c>
      <c r="W86" s="106">
        <f>+VLOOKUP($N86,'Sep-25'!A:J,3,0)</f>
        <v>0</v>
      </c>
      <c r="X86" s="106">
        <f>+VLOOKUP($N86,'Oct-25'!A:J,3,0)</f>
        <v>0</v>
      </c>
      <c r="Y86" s="106">
        <f>+VLOOKUP($N86,'Nov-25'!A:J,3,0)</f>
        <v>0</v>
      </c>
      <c r="Z86" s="106">
        <f>+VLOOKUP($N86,'Dec-25'!A:J,3,0)</f>
        <v>0</v>
      </c>
      <c r="AA86" s="106">
        <f t="shared" si="371"/>
        <v>0</v>
      </c>
      <c r="AB86" s="118">
        <f t="shared" si="116"/>
        <v>0</v>
      </c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</row>
    <row r="87" spans="1:41" collapsed="1">
      <c r="A87" s="58">
        <f t="shared" ref="A87" si="372">+SUM(A88:A89)</f>
        <v>2400</v>
      </c>
      <c r="B87" s="58">
        <f t="shared" ref="B87" si="373">+SUM(B88:B89)</f>
        <v>3000</v>
      </c>
      <c r="C87" s="58">
        <f t="shared" ref="C87" si="374">+SUM(C88:C89)</f>
        <v>3400</v>
      </c>
      <c r="D87" s="58">
        <f t="shared" ref="D87" si="375">+SUM(D88:D89)</f>
        <v>3000</v>
      </c>
      <c r="E87" s="58">
        <f t="shared" ref="E87" si="376">+SUM(E88:E89)</f>
        <v>4000</v>
      </c>
      <c r="F87" s="58">
        <f t="shared" ref="F87" si="377">+SUM(F88:F89)</f>
        <v>0</v>
      </c>
      <c r="G87" s="58">
        <f t="shared" ref="G87" si="378">+SUM(G88:G89)</f>
        <v>1200</v>
      </c>
      <c r="H87" s="58">
        <f t="shared" ref="H87" si="379">+SUM(H88:H89)</f>
        <v>0</v>
      </c>
      <c r="I87" s="58">
        <f t="shared" ref="I87" si="380">+SUM(I88:I89)</f>
        <v>2400</v>
      </c>
      <c r="J87" s="58">
        <f t="shared" ref="J87" si="381">+SUM(J88:J89)</f>
        <v>0</v>
      </c>
      <c r="K87" s="58">
        <f t="shared" ref="K87" si="382">+SUM(K88:K89)</f>
        <v>0</v>
      </c>
      <c r="L87" s="58">
        <f t="shared" ref="L87:M87" si="383">+SUM(L88:L89)</f>
        <v>2800</v>
      </c>
      <c r="M87" s="58">
        <f t="shared" si="383"/>
        <v>22200</v>
      </c>
      <c r="N87" s="18" t="s">
        <v>71</v>
      </c>
      <c r="O87" s="58">
        <f t="shared" ref="O87:AA87" si="384">+SUM(O88:O89)</f>
        <v>8200</v>
      </c>
      <c r="P87" s="58">
        <f t="shared" si="384"/>
        <v>0</v>
      </c>
      <c r="Q87" s="58">
        <f t="shared" si="384"/>
        <v>16400</v>
      </c>
      <c r="R87" s="58">
        <f t="shared" si="384"/>
        <v>0</v>
      </c>
      <c r="S87" s="58">
        <f t="shared" si="384"/>
        <v>5700</v>
      </c>
      <c r="T87" s="58">
        <f t="shared" si="384"/>
        <v>3200</v>
      </c>
      <c r="U87" s="58">
        <f t="shared" si="384"/>
        <v>3800</v>
      </c>
      <c r="V87" s="58">
        <f t="shared" si="384"/>
        <v>9250</v>
      </c>
      <c r="W87" s="58">
        <f t="shared" si="384"/>
        <v>8400</v>
      </c>
      <c r="X87" s="58">
        <f t="shared" si="384"/>
        <v>3600</v>
      </c>
      <c r="Y87" s="58">
        <f t="shared" si="384"/>
        <v>0</v>
      </c>
      <c r="Z87" s="58">
        <f t="shared" si="384"/>
        <v>0</v>
      </c>
      <c r="AA87" s="58">
        <f t="shared" si="384"/>
        <v>58550</v>
      </c>
      <c r="AB87" s="118">
        <f t="shared" si="116"/>
        <v>-0.85812807881773401</v>
      </c>
      <c r="AC87" s="58">
        <f t="shared" ref="AC87" si="385">+SUM(AC88:AC89)</f>
        <v>28689.500000000004</v>
      </c>
      <c r="AD87" s="58">
        <f t="shared" ref="AD87" si="386">+SUM(AD88:AD89)</f>
        <v>26554.500000000004</v>
      </c>
      <c r="AE87" s="58">
        <f t="shared" ref="AE87" si="387">+SUM(AE88:AE89)</f>
        <v>31923.500000000004</v>
      </c>
      <c r="AF87" s="58">
        <f t="shared" ref="AF87" si="388">+SUM(AF88:AF89)</f>
        <v>28875.000000000004</v>
      </c>
      <c r="AG87" s="58">
        <f t="shared" ref="AG87" si="389">+SUM(AG88:AG89)</f>
        <v>26600.000000000004</v>
      </c>
      <c r="AH87" s="58">
        <f t="shared" ref="AH87" si="390">+SUM(AH88:AH89)</f>
        <v>27650.000000000004</v>
      </c>
      <c r="AI87" s="58">
        <f t="shared" ref="AI87" si="391">+SUM(AI88:AI89)</f>
        <v>28262.500000000004</v>
      </c>
      <c r="AJ87" s="58">
        <f t="shared" ref="AJ87" si="392">+SUM(AJ88:AJ89)</f>
        <v>27825.000000000004</v>
      </c>
      <c r="AK87" s="58">
        <f t="shared" ref="AK87" si="393">+SUM(AK88:AK89)</f>
        <v>27825.000000000004</v>
      </c>
      <c r="AL87" s="58">
        <f t="shared" ref="AL87" si="394">+SUM(AL88:AL89)</f>
        <v>25375.000000000004</v>
      </c>
      <c r="AM87" s="58">
        <f t="shared" ref="AM87" si="395">+SUM(AM88:AM89)</f>
        <v>27650.000000000004</v>
      </c>
      <c r="AN87" s="58">
        <f t="shared" ref="AN87" si="396">+SUM(AN88:AN89)</f>
        <v>29662.500000000004</v>
      </c>
      <c r="AO87" s="58">
        <f t="shared" ref="AO87" si="397">+SUM(AO88:AO89)</f>
        <v>336892.50000000006</v>
      </c>
    </row>
    <row r="88" spans="1:41">
      <c r="A88" s="106">
        <v>2400</v>
      </c>
      <c r="B88" s="106">
        <v>3000</v>
      </c>
      <c r="C88" s="106">
        <v>3400</v>
      </c>
      <c r="D88" s="106">
        <v>3000</v>
      </c>
      <c r="E88" s="106">
        <v>4000</v>
      </c>
      <c r="F88" s="106">
        <v>0</v>
      </c>
      <c r="G88" s="106">
        <v>1200</v>
      </c>
      <c r="H88" s="106">
        <v>0</v>
      </c>
      <c r="I88" s="106">
        <v>2400</v>
      </c>
      <c r="J88" s="106">
        <v>0</v>
      </c>
      <c r="K88" s="106">
        <v>0</v>
      </c>
      <c r="L88" s="106">
        <v>2800</v>
      </c>
      <c r="M88" s="106">
        <f t="shared" ref="M88:M89" si="398">+SUM(A88:L88)</f>
        <v>22200</v>
      </c>
      <c r="N88" s="16" t="s">
        <v>222</v>
      </c>
      <c r="O88" s="106">
        <f>+VLOOKUP($N88,'Jan-25'!A:J,3,0)</f>
        <v>8200</v>
      </c>
      <c r="P88" s="106">
        <f>+VLOOKUP($N88,'Feb-25'!A:J,3,0)</f>
        <v>0</v>
      </c>
      <c r="Q88" s="106">
        <f>+VLOOKUP($N88,'Mar-25'!A:J,3,0)</f>
        <v>16400</v>
      </c>
      <c r="R88" s="106">
        <f>+VLOOKUP($N88,'Apr-25'!A:J,3,0)</f>
        <v>0</v>
      </c>
      <c r="S88" s="106">
        <f>+VLOOKUP($N88,'May-25'!A:J,3,0)</f>
        <v>5700</v>
      </c>
      <c r="T88" s="106">
        <f>+VLOOKUP($N88,'June-25'!A:J,3,0)</f>
        <v>3200</v>
      </c>
      <c r="U88" s="106">
        <f>+VLOOKUP($N88,'July-25'!A:J,3,0)</f>
        <v>3800</v>
      </c>
      <c r="V88" s="106">
        <f>+VLOOKUP($N88,'Aug-25'!A:J,3,0)</f>
        <v>9250</v>
      </c>
      <c r="W88" s="106">
        <f>+VLOOKUP($N88,'Sep-25'!A:J,3,0)</f>
        <v>8400</v>
      </c>
      <c r="X88" s="106">
        <f>+VLOOKUP($N88,'Oct-25'!A:J,3,0)</f>
        <v>3600</v>
      </c>
      <c r="Y88" s="106">
        <f>+VLOOKUP($N88,'Nov-25'!A:J,3,0)</f>
        <v>0</v>
      </c>
      <c r="Z88" s="106">
        <f>+VLOOKUP($N88,'Dec-25'!A:J,3,0)</f>
        <v>0</v>
      </c>
      <c r="AA88" s="106">
        <f t="shared" ref="AA88:AA89" si="399">+SUM(O88:Z88)</f>
        <v>58550</v>
      </c>
      <c r="AB88" s="118">
        <f t="shared" si="116"/>
        <v>-0.85812807881773401</v>
      </c>
      <c r="AC88" s="106">
        <f>+AC58*7%</f>
        <v>28689.500000000004</v>
      </c>
      <c r="AD88" s="106">
        <f t="shared" ref="AD88:AN88" si="400">+AD58*7%</f>
        <v>26554.500000000004</v>
      </c>
      <c r="AE88" s="106">
        <f t="shared" si="400"/>
        <v>31923.500000000004</v>
      </c>
      <c r="AF88" s="106">
        <f t="shared" si="400"/>
        <v>28875.000000000004</v>
      </c>
      <c r="AG88" s="106">
        <f t="shared" si="400"/>
        <v>26600.000000000004</v>
      </c>
      <c r="AH88" s="106">
        <f t="shared" si="400"/>
        <v>27650.000000000004</v>
      </c>
      <c r="AI88" s="106">
        <f t="shared" si="400"/>
        <v>28262.500000000004</v>
      </c>
      <c r="AJ88" s="106">
        <f t="shared" si="400"/>
        <v>27825.000000000004</v>
      </c>
      <c r="AK88" s="106">
        <f t="shared" si="400"/>
        <v>27825.000000000004</v>
      </c>
      <c r="AL88" s="106">
        <f t="shared" si="400"/>
        <v>25375.000000000004</v>
      </c>
      <c r="AM88" s="106">
        <f t="shared" si="400"/>
        <v>27650.000000000004</v>
      </c>
      <c r="AN88" s="106">
        <f t="shared" si="400"/>
        <v>29662.500000000004</v>
      </c>
      <c r="AO88" s="106">
        <f>+SUM(AC88:AN88)</f>
        <v>336892.50000000006</v>
      </c>
    </row>
    <row r="89" spans="1:41" hidden="1" outlineLevel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>
        <f t="shared" si="398"/>
        <v>0</v>
      </c>
      <c r="N89" s="16" t="s">
        <v>223</v>
      </c>
      <c r="O89" s="106">
        <f>+VLOOKUP($N89,'Jan-25'!A:J,3,0)</f>
        <v>0</v>
      </c>
      <c r="P89" s="106">
        <f>+VLOOKUP($N89,'Feb-25'!A:J,3,0)</f>
        <v>0</v>
      </c>
      <c r="Q89" s="106">
        <f>+VLOOKUP($N89,'Mar-25'!A:J,3,0)</f>
        <v>0</v>
      </c>
      <c r="R89" s="106">
        <f>+VLOOKUP($N89,'Apr-25'!A:J,3,0)</f>
        <v>0</v>
      </c>
      <c r="S89" s="106">
        <f>+VLOOKUP($N89,'May-25'!A:J,3,0)</f>
        <v>0</v>
      </c>
      <c r="T89" s="106">
        <f>+VLOOKUP($N89,'June-25'!A:J,3,0)</f>
        <v>0</v>
      </c>
      <c r="U89" s="106">
        <f>+VLOOKUP($N89,'July-25'!A:J,3,0)</f>
        <v>0</v>
      </c>
      <c r="V89" s="106">
        <f>+VLOOKUP($N89,'Aug-25'!A:J,3,0)</f>
        <v>0</v>
      </c>
      <c r="W89" s="106">
        <f>+VLOOKUP($N89,'Sep-25'!A:J,3,0)</f>
        <v>0</v>
      </c>
      <c r="X89" s="106">
        <f>+VLOOKUP($N89,'Oct-25'!A:J,3,0)</f>
        <v>0</v>
      </c>
      <c r="Y89" s="106">
        <f>+VLOOKUP($N89,'Nov-25'!A:J,3,0)</f>
        <v>0</v>
      </c>
      <c r="Z89" s="106">
        <f>+VLOOKUP($N89,'Dec-25'!A:J,3,0)</f>
        <v>0</v>
      </c>
      <c r="AA89" s="106">
        <f t="shared" si="399"/>
        <v>0</v>
      </c>
      <c r="AB89" s="118">
        <f t="shared" si="116"/>
        <v>0</v>
      </c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</row>
    <row r="90" spans="1:41" hidden="1" outlineLevel="1">
      <c r="A90" s="58">
        <f t="shared" ref="A90" si="401">+SUM(A91:A102)</f>
        <v>0</v>
      </c>
      <c r="B90" s="58">
        <f t="shared" ref="B90" si="402">+SUM(B91:B102)</f>
        <v>0</v>
      </c>
      <c r="C90" s="58">
        <f t="shared" ref="C90" si="403">+SUM(C91:C102)</f>
        <v>0</v>
      </c>
      <c r="D90" s="58">
        <f t="shared" ref="D90" si="404">+SUM(D91:D102)</f>
        <v>0</v>
      </c>
      <c r="E90" s="58">
        <f t="shared" ref="E90" si="405">+SUM(E91:E102)</f>
        <v>0</v>
      </c>
      <c r="F90" s="58">
        <f t="shared" ref="F90" si="406">+SUM(F91:F102)</f>
        <v>0</v>
      </c>
      <c r="G90" s="58">
        <f t="shared" ref="G90" si="407">+SUM(G91:G102)</f>
        <v>0</v>
      </c>
      <c r="H90" s="58">
        <f t="shared" ref="H90" si="408">+SUM(H91:H102)</f>
        <v>0</v>
      </c>
      <c r="I90" s="58">
        <f t="shared" ref="I90" si="409">+SUM(I91:I102)</f>
        <v>0</v>
      </c>
      <c r="J90" s="58">
        <f t="shared" ref="J90" si="410">+SUM(J91:J102)</f>
        <v>0</v>
      </c>
      <c r="K90" s="58">
        <f t="shared" ref="K90" si="411">+SUM(K91:K102)</f>
        <v>0</v>
      </c>
      <c r="L90" s="58">
        <f t="shared" ref="L90:M90" si="412">+SUM(L91:L102)</f>
        <v>0</v>
      </c>
      <c r="M90" s="58">
        <f t="shared" si="412"/>
        <v>0</v>
      </c>
      <c r="N90" s="18" t="s">
        <v>72</v>
      </c>
      <c r="O90" s="58">
        <f t="shared" ref="O90:AA90" si="413">+SUM(O91:O102)</f>
        <v>0</v>
      </c>
      <c r="P90" s="58">
        <f t="shared" si="413"/>
        <v>0</v>
      </c>
      <c r="Q90" s="58">
        <f t="shared" si="413"/>
        <v>0</v>
      </c>
      <c r="R90" s="58">
        <f t="shared" si="413"/>
        <v>0</v>
      </c>
      <c r="S90" s="58">
        <f t="shared" si="413"/>
        <v>0</v>
      </c>
      <c r="T90" s="58">
        <f t="shared" si="413"/>
        <v>0</v>
      </c>
      <c r="U90" s="58">
        <f t="shared" si="413"/>
        <v>0</v>
      </c>
      <c r="V90" s="58">
        <f t="shared" si="413"/>
        <v>0</v>
      </c>
      <c r="W90" s="58">
        <f t="shared" si="413"/>
        <v>0</v>
      </c>
      <c r="X90" s="58">
        <f t="shared" si="413"/>
        <v>0</v>
      </c>
      <c r="Y90" s="58">
        <f t="shared" si="413"/>
        <v>0</v>
      </c>
      <c r="Z90" s="58">
        <f t="shared" si="413"/>
        <v>0</v>
      </c>
      <c r="AA90" s="58">
        <f t="shared" si="413"/>
        <v>0</v>
      </c>
      <c r="AB90" s="118">
        <f t="shared" si="116"/>
        <v>0</v>
      </c>
      <c r="AC90" s="58">
        <f t="shared" ref="AC90" si="414">+SUM(AC91:AC102)</f>
        <v>0</v>
      </c>
      <c r="AD90" s="58">
        <f t="shared" ref="AD90" si="415">+SUM(AD91:AD102)</f>
        <v>0</v>
      </c>
      <c r="AE90" s="58">
        <f t="shared" ref="AE90" si="416">+SUM(AE91:AE102)</f>
        <v>0</v>
      </c>
      <c r="AF90" s="58">
        <f t="shared" ref="AF90" si="417">+SUM(AF91:AF102)</f>
        <v>0</v>
      </c>
      <c r="AG90" s="58">
        <f t="shared" ref="AG90" si="418">+SUM(AG91:AG102)</f>
        <v>0</v>
      </c>
      <c r="AH90" s="58">
        <f t="shared" ref="AH90" si="419">+SUM(AH91:AH102)</f>
        <v>0</v>
      </c>
      <c r="AI90" s="58">
        <f t="shared" ref="AI90" si="420">+SUM(AI91:AI102)</f>
        <v>0</v>
      </c>
      <c r="AJ90" s="58">
        <f t="shared" ref="AJ90" si="421">+SUM(AJ91:AJ102)</f>
        <v>0</v>
      </c>
      <c r="AK90" s="58">
        <f t="shared" ref="AK90" si="422">+SUM(AK91:AK102)</f>
        <v>0</v>
      </c>
      <c r="AL90" s="58">
        <f t="shared" ref="AL90" si="423">+SUM(AL91:AL102)</f>
        <v>0</v>
      </c>
      <c r="AM90" s="58">
        <f t="shared" ref="AM90" si="424">+SUM(AM91:AM102)</f>
        <v>0</v>
      </c>
      <c r="AN90" s="58">
        <f t="shared" ref="AN90" si="425">+SUM(AN91:AN102)</f>
        <v>0</v>
      </c>
      <c r="AO90" s="58">
        <f t="shared" ref="AO90" si="426">+SUM(AO91:AO102)</f>
        <v>0</v>
      </c>
    </row>
    <row r="91" spans="1:41" hidden="1" outlineLevel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>
        <f t="shared" ref="M91:M102" si="427">+SUM(A91:L91)</f>
        <v>0</v>
      </c>
      <c r="N91" s="16" t="s">
        <v>224</v>
      </c>
      <c r="O91" s="106">
        <f>+VLOOKUP($N91,'Jan-25'!A:J,3,0)</f>
        <v>0</v>
      </c>
      <c r="P91" s="106">
        <f>+VLOOKUP($N91,'Feb-25'!A:J,3,0)</f>
        <v>0</v>
      </c>
      <c r="Q91" s="106">
        <f>+VLOOKUP($N91,'Mar-25'!A:J,3,0)</f>
        <v>0</v>
      </c>
      <c r="R91" s="106">
        <f>+VLOOKUP($N91,'Apr-25'!A:J,3,0)</f>
        <v>0</v>
      </c>
      <c r="S91" s="106">
        <f>+VLOOKUP($N91,'May-25'!A:J,3,0)</f>
        <v>0</v>
      </c>
      <c r="T91" s="106">
        <f>+VLOOKUP($N91,'June-25'!A:J,3,0)</f>
        <v>0</v>
      </c>
      <c r="U91" s="106">
        <f>+VLOOKUP($N91,'July-25'!A:J,3,0)</f>
        <v>0</v>
      </c>
      <c r="V91" s="106">
        <f>+VLOOKUP($N91,'Aug-25'!A:J,3,0)</f>
        <v>0</v>
      </c>
      <c r="W91" s="106">
        <f>+VLOOKUP($N91,'Sep-25'!A:J,3,0)</f>
        <v>0</v>
      </c>
      <c r="X91" s="106">
        <f>+VLOOKUP($N91,'Oct-25'!A:J,3,0)</f>
        <v>0</v>
      </c>
      <c r="Y91" s="106">
        <f>+VLOOKUP($N91,'Nov-25'!A:J,3,0)</f>
        <v>0</v>
      </c>
      <c r="Z91" s="106">
        <f>+VLOOKUP($N91,'Dec-25'!A:J,3,0)</f>
        <v>0</v>
      </c>
      <c r="AA91" s="106">
        <f t="shared" ref="AA91:AA102" si="428">+SUM(O91:Z91)</f>
        <v>0</v>
      </c>
      <c r="AB91" s="118">
        <f t="shared" si="116"/>
        <v>0</v>
      </c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</row>
    <row r="92" spans="1:41" hidden="1" outlineLevel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>
        <f t="shared" si="427"/>
        <v>0</v>
      </c>
      <c r="N92" s="16" t="s">
        <v>73</v>
      </c>
      <c r="O92" s="106">
        <f>+VLOOKUP($N92,'Jan-25'!A:J,3,0)</f>
        <v>0</v>
      </c>
      <c r="P92" s="106">
        <f>+VLOOKUP($N92,'Feb-25'!A:J,3,0)</f>
        <v>0</v>
      </c>
      <c r="Q92" s="106">
        <f>+VLOOKUP($N92,'Mar-25'!A:J,3,0)</f>
        <v>0</v>
      </c>
      <c r="R92" s="106">
        <f>+VLOOKUP($N92,'Apr-25'!A:J,3,0)</f>
        <v>0</v>
      </c>
      <c r="S92" s="106">
        <f>+VLOOKUP($N92,'May-25'!A:J,3,0)</f>
        <v>0</v>
      </c>
      <c r="T92" s="106">
        <f>+VLOOKUP($N92,'June-25'!A:J,3,0)</f>
        <v>0</v>
      </c>
      <c r="U92" s="106">
        <f>+VLOOKUP($N92,'July-25'!A:J,3,0)</f>
        <v>0</v>
      </c>
      <c r="V92" s="106">
        <f>+VLOOKUP($N92,'Aug-25'!A:J,3,0)</f>
        <v>0</v>
      </c>
      <c r="W92" s="106">
        <f>+VLOOKUP($N92,'Sep-25'!A:J,3,0)</f>
        <v>0</v>
      </c>
      <c r="X92" s="106">
        <f>+VLOOKUP($N92,'Oct-25'!A:J,3,0)</f>
        <v>0</v>
      </c>
      <c r="Y92" s="106">
        <f>+VLOOKUP($N92,'Nov-25'!A:J,3,0)</f>
        <v>0</v>
      </c>
      <c r="Z92" s="106">
        <f>+VLOOKUP($N92,'Dec-25'!A:J,3,0)</f>
        <v>0</v>
      </c>
      <c r="AA92" s="106">
        <f t="shared" si="428"/>
        <v>0</v>
      </c>
      <c r="AB92" s="118">
        <f t="shared" si="116"/>
        <v>0</v>
      </c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</row>
    <row r="93" spans="1:41" hidden="1" outlineLevel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>
        <f t="shared" si="427"/>
        <v>0</v>
      </c>
      <c r="N93" s="16" t="s">
        <v>74</v>
      </c>
      <c r="O93" s="106">
        <f>+VLOOKUP($N93,'Jan-25'!A:J,3,0)</f>
        <v>0</v>
      </c>
      <c r="P93" s="106">
        <f>+VLOOKUP($N93,'Feb-25'!A:J,3,0)</f>
        <v>0</v>
      </c>
      <c r="Q93" s="106">
        <f>+VLOOKUP($N93,'Mar-25'!A:J,3,0)</f>
        <v>0</v>
      </c>
      <c r="R93" s="106">
        <f>+VLOOKUP($N93,'Apr-25'!A:J,3,0)</f>
        <v>0</v>
      </c>
      <c r="S93" s="106">
        <f>+VLOOKUP($N93,'May-25'!A:J,3,0)</f>
        <v>0</v>
      </c>
      <c r="T93" s="106">
        <f>+VLOOKUP($N93,'June-25'!A:J,3,0)</f>
        <v>0</v>
      </c>
      <c r="U93" s="106">
        <f>+VLOOKUP($N93,'July-25'!A:J,3,0)</f>
        <v>0</v>
      </c>
      <c r="V93" s="106">
        <f>+VLOOKUP($N93,'Aug-25'!A:J,3,0)</f>
        <v>0</v>
      </c>
      <c r="W93" s="106">
        <f>+VLOOKUP($N93,'Sep-25'!A:J,3,0)</f>
        <v>0</v>
      </c>
      <c r="X93" s="106">
        <f>+VLOOKUP($N93,'Oct-25'!A:J,3,0)</f>
        <v>0</v>
      </c>
      <c r="Y93" s="106">
        <f>+VLOOKUP($N93,'Nov-25'!A:J,3,0)</f>
        <v>0</v>
      </c>
      <c r="Z93" s="106">
        <f>+VLOOKUP($N93,'Dec-25'!A:J,3,0)</f>
        <v>0</v>
      </c>
      <c r="AA93" s="106">
        <f t="shared" si="428"/>
        <v>0</v>
      </c>
      <c r="AB93" s="118">
        <f t="shared" si="116"/>
        <v>0</v>
      </c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106"/>
      <c r="AO93" s="106"/>
    </row>
    <row r="94" spans="1:41" hidden="1" outlineLevel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>
        <f t="shared" si="427"/>
        <v>0</v>
      </c>
      <c r="N94" s="16" t="s">
        <v>75</v>
      </c>
      <c r="O94" s="106">
        <f>+VLOOKUP($N94,'Jan-25'!A:J,3,0)</f>
        <v>0</v>
      </c>
      <c r="P94" s="106">
        <f>+VLOOKUP($N94,'Feb-25'!A:J,3,0)</f>
        <v>0</v>
      </c>
      <c r="Q94" s="106">
        <f>+VLOOKUP($N94,'Mar-25'!A:J,3,0)</f>
        <v>0</v>
      </c>
      <c r="R94" s="106">
        <f>+VLOOKUP($N94,'Apr-25'!A:J,3,0)</f>
        <v>0</v>
      </c>
      <c r="S94" s="106">
        <f>+VLOOKUP($N94,'May-25'!A:J,3,0)</f>
        <v>0</v>
      </c>
      <c r="T94" s="106">
        <f>+VLOOKUP($N94,'June-25'!A:J,3,0)</f>
        <v>0</v>
      </c>
      <c r="U94" s="106">
        <f>+VLOOKUP($N94,'July-25'!A:J,3,0)</f>
        <v>0</v>
      </c>
      <c r="V94" s="106">
        <f>+VLOOKUP($N94,'Aug-25'!A:J,3,0)</f>
        <v>0</v>
      </c>
      <c r="W94" s="106">
        <f>+VLOOKUP($N94,'Sep-25'!A:J,3,0)</f>
        <v>0</v>
      </c>
      <c r="X94" s="106">
        <f>+VLOOKUP($N94,'Oct-25'!A:J,3,0)</f>
        <v>0</v>
      </c>
      <c r="Y94" s="106">
        <f>+VLOOKUP($N94,'Nov-25'!A:J,3,0)</f>
        <v>0</v>
      </c>
      <c r="Z94" s="106">
        <f>+VLOOKUP($N94,'Dec-25'!A:J,3,0)</f>
        <v>0</v>
      </c>
      <c r="AA94" s="106">
        <f t="shared" si="428"/>
        <v>0</v>
      </c>
      <c r="AB94" s="118">
        <f t="shared" ref="AB94:AB157" si="429">IFERROR((X94-AL94)/AL94,0)</f>
        <v>0</v>
      </c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</row>
    <row r="95" spans="1:41" hidden="1" outlineLevel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>
        <f t="shared" si="427"/>
        <v>0</v>
      </c>
      <c r="N95" s="16" t="s">
        <v>76</v>
      </c>
      <c r="O95" s="106">
        <f>+VLOOKUP($N95,'Jan-25'!A:J,3,0)</f>
        <v>0</v>
      </c>
      <c r="P95" s="106">
        <f>+VLOOKUP($N95,'Feb-25'!A:J,3,0)</f>
        <v>0</v>
      </c>
      <c r="Q95" s="106">
        <f>+VLOOKUP($N95,'Mar-25'!A:J,3,0)</f>
        <v>0</v>
      </c>
      <c r="R95" s="106">
        <f>+VLOOKUP($N95,'Apr-25'!A:J,3,0)</f>
        <v>0</v>
      </c>
      <c r="S95" s="106">
        <f>+VLOOKUP($N95,'May-25'!A:J,3,0)</f>
        <v>0</v>
      </c>
      <c r="T95" s="106">
        <f>+VLOOKUP($N95,'June-25'!A:J,3,0)</f>
        <v>0</v>
      </c>
      <c r="U95" s="106">
        <f>+VLOOKUP($N95,'July-25'!A:J,3,0)</f>
        <v>0</v>
      </c>
      <c r="V95" s="106">
        <f>+VLOOKUP($N95,'Aug-25'!A:J,3,0)</f>
        <v>0</v>
      </c>
      <c r="W95" s="106">
        <f>+VLOOKUP($N95,'Sep-25'!A:J,3,0)</f>
        <v>0</v>
      </c>
      <c r="X95" s="106">
        <f>+VLOOKUP($N95,'Oct-25'!A:J,3,0)</f>
        <v>0</v>
      </c>
      <c r="Y95" s="106">
        <f>+VLOOKUP($N95,'Nov-25'!A:J,3,0)</f>
        <v>0</v>
      </c>
      <c r="Z95" s="106">
        <f>+VLOOKUP($N95,'Dec-25'!A:J,3,0)</f>
        <v>0</v>
      </c>
      <c r="AA95" s="106">
        <f t="shared" si="428"/>
        <v>0</v>
      </c>
      <c r="AB95" s="118">
        <f t="shared" si="429"/>
        <v>0</v>
      </c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</row>
    <row r="96" spans="1:41" hidden="1" outlineLevel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>
        <f t="shared" si="427"/>
        <v>0</v>
      </c>
      <c r="N96" s="16" t="s">
        <v>77</v>
      </c>
      <c r="O96" s="106">
        <f>+VLOOKUP($N96,'Jan-25'!A:J,3,0)</f>
        <v>0</v>
      </c>
      <c r="P96" s="106">
        <f>+VLOOKUP($N96,'Feb-25'!A:J,3,0)</f>
        <v>0</v>
      </c>
      <c r="Q96" s="106">
        <f>+VLOOKUP($N96,'Mar-25'!A:J,3,0)</f>
        <v>0</v>
      </c>
      <c r="R96" s="106">
        <f>+VLOOKUP($N96,'Apr-25'!A:J,3,0)</f>
        <v>0</v>
      </c>
      <c r="S96" s="106">
        <f>+VLOOKUP($N96,'May-25'!A:J,3,0)</f>
        <v>0</v>
      </c>
      <c r="T96" s="106">
        <f>+VLOOKUP($N96,'June-25'!A:J,3,0)</f>
        <v>0</v>
      </c>
      <c r="U96" s="106">
        <f>+VLOOKUP($N96,'July-25'!A:J,3,0)</f>
        <v>0</v>
      </c>
      <c r="V96" s="106">
        <f>+VLOOKUP($N96,'Aug-25'!A:J,3,0)</f>
        <v>0</v>
      </c>
      <c r="W96" s="106">
        <f>+VLOOKUP($N96,'Sep-25'!A:J,3,0)</f>
        <v>0</v>
      </c>
      <c r="X96" s="106">
        <f>+VLOOKUP($N96,'Oct-25'!A:J,3,0)</f>
        <v>0</v>
      </c>
      <c r="Y96" s="106">
        <f>+VLOOKUP($N96,'Nov-25'!A:J,3,0)</f>
        <v>0</v>
      </c>
      <c r="Z96" s="106">
        <f>+VLOOKUP($N96,'Dec-25'!A:J,3,0)</f>
        <v>0</v>
      </c>
      <c r="AA96" s="106">
        <f t="shared" si="428"/>
        <v>0</v>
      </c>
      <c r="AB96" s="118">
        <f t="shared" si="429"/>
        <v>0</v>
      </c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</row>
    <row r="97" spans="1:41" hidden="1" outlineLevel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>
        <f t="shared" si="427"/>
        <v>0</v>
      </c>
      <c r="N97" s="16" t="s">
        <v>78</v>
      </c>
      <c r="O97" s="106">
        <f>+VLOOKUP($N97,'Jan-25'!A:J,3,0)</f>
        <v>0</v>
      </c>
      <c r="P97" s="106">
        <f>+VLOOKUP($N97,'Feb-25'!A:J,3,0)</f>
        <v>0</v>
      </c>
      <c r="Q97" s="106">
        <f>+VLOOKUP($N97,'Mar-25'!A:J,3,0)</f>
        <v>0</v>
      </c>
      <c r="R97" s="106">
        <f>+VLOOKUP($N97,'Apr-25'!A:J,3,0)</f>
        <v>0</v>
      </c>
      <c r="S97" s="106">
        <f>+VLOOKUP($N97,'May-25'!A:J,3,0)</f>
        <v>0</v>
      </c>
      <c r="T97" s="106">
        <f>+VLOOKUP($N97,'June-25'!A:J,3,0)</f>
        <v>0</v>
      </c>
      <c r="U97" s="106">
        <f>+VLOOKUP($N97,'July-25'!A:J,3,0)</f>
        <v>0</v>
      </c>
      <c r="V97" s="106">
        <f>+VLOOKUP($N97,'Aug-25'!A:J,3,0)</f>
        <v>0</v>
      </c>
      <c r="W97" s="106">
        <f>+VLOOKUP($N97,'Sep-25'!A:J,3,0)</f>
        <v>0</v>
      </c>
      <c r="X97" s="106">
        <f>+VLOOKUP($N97,'Oct-25'!A:J,3,0)</f>
        <v>0</v>
      </c>
      <c r="Y97" s="106">
        <f>+VLOOKUP($N97,'Nov-25'!A:J,3,0)</f>
        <v>0</v>
      </c>
      <c r="Z97" s="106">
        <f>+VLOOKUP($N97,'Dec-25'!A:J,3,0)</f>
        <v>0</v>
      </c>
      <c r="AA97" s="106">
        <f t="shared" si="428"/>
        <v>0</v>
      </c>
      <c r="AB97" s="118">
        <f t="shared" si="429"/>
        <v>0</v>
      </c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</row>
    <row r="98" spans="1:41" hidden="1" outlineLevel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>
        <f t="shared" si="427"/>
        <v>0</v>
      </c>
      <c r="N98" s="16" t="s">
        <v>79</v>
      </c>
      <c r="O98" s="106">
        <f>+VLOOKUP($N98,'Jan-25'!A:J,3,0)</f>
        <v>0</v>
      </c>
      <c r="P98" s="106">
        <f>+VLOOKUP($N98,'Feb-25'!A:J,3,0)</f>
        <v>0</v>
      </c>
      <c r="Q98" s="106">
        <f>+VLOOKUP($N98,'Mar-25'!A:J,3,0)</f>
        <v>0</v>
      </c>
      <c r="R98" s="106">
        <f>+VLOOKUP($N98,'Apr-25'!A:J,3,0)</f>
        <v>0</v>
      </c>
      <c r="S98" s="106">
        <f>+VLOOKUP($N98,'May-25'!A:J,3,0)</f>
        <v>0</v>
      </c>
      <c r="T98" s="106">
        <f>+VLOOKUP($N98,'June-25'!A:J,3,0)</f>
        <v>0</v>
      </c>
      <c r="U98" s="106">
        <f>+VLOOKUP($N98,'July-25'!A:J,3,0)</f>
        <v>0</v>
      </c>
      <c r="V98" s="106">
        <f>+VLOOKUP($N98,'Aug-25'!A:J,3,0)</f>
        <v>0</v>
      </c>
      <c r="W98" s="106">
        <f>+VLOOKUP($N98,'Sep-25'!A:J,3,0)</f>
        <v>0</v>
      </c>
      <c r="X98" s="106">
        <f>+VLOOKUP($N98,'Oct-25'!A:J,3,0)</f>
        <v>0</v>
      </c>
      <c r="Y98" s="106">
        <f>+VLOOKUP($N98,'Nov-25'!A:J,3,0)</f>
        <v>0</v>
      </c>
      <c r="Z98" s="106">
        <f>+VLOOKUP($N98,'Dec-25'!A:J,3,0)</f>
        <v>0</v>
      </c>
      <c r="AA98" s="106">
        <f t="shared" si="428"/>
        <v>0</v>
      </c>
      <c r="AB98" s="118">
        <f t="shared" si="429"/>
        <v>0</v>
      </c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</row>
    <row r="99" spans="1:41" hidden="1" outlineLevel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>
        <f t="shared" si="427"/>
        <v>0</v>
      </c>
      <c r="N99" s="16" t="s">
        <v>80</v>
      </c>
      <c r="O99" s="106">
        <f>+VLOOKUP($N99,'Jan-25'!A:J,3,0)</f>
        <v>0</v>
      </c>
      <c r="P99" s="106">
        <f>+VLOOKUP($N99,'Feb-25'!A:J,3,0)</f>
        <v>0</v>
      </c>
      <c r="Q99" s="106">
        <f>+VLOOKUP($N99,'Mar-25'!A:J,3,0)</f>
        <v>0</v>
      </c>
      <c r="R99" s="106">
        <f>+VLOOKUP($N99,'Apr-25'!A:J,3,0)</f>
        <v>0</v>
      </c>
      <c r="S99" s="106">
        <f>+VLOOKUP($N99,'May-25'!A:J,3,0)</f>
        <v>0</v>
      </c>
      <c r="T99" s="106">
        <f>+VLOOKUP($N99,'June-25'!A:J,3,0)</f>
        <v>0</v>
      </c>
      <c r="U99" s="106">
        <f>+VLOOKUP($N99,'July-25'!A:J,3,0)</f>
        <v>0</v>
      </c>
      <c r="V99" s="106">
        <f>+VLOOKUP($N99,'Aug-25'!A:J,3,0)</f>
        <v>0</v>
      </c>
      <c r="W99" s="106">
        <f>+VLOOKUP($N99,'Sep-25'!A:J,3,0)</f>
        <v>0</v>
      </c>
      <c r="X99" s="106">
        <f>+VLOOKUP($N99,'Oct-25'!A:J,3,0)</f>
        <v>0</v>
      </c>
      <c r="Y99" s="106">
        <f>+VLOOKUP($N99,'Nov-25'!A:J,3,0)</f>
        <v>0</v>
      </c>
      <c r="Z99" s="106">
        <f>+VLOOKUP($N99,'Dec-25'!A:J,3,0)</f>
        <v>0</v>
      </c>
      <c r="AA99" s="106">
        <f t="shared" si="428"/>
        <v>0</v>
      </c>
      <c r="AB99" s="118">
        <f t="shared" si="429"/>
        <v>0</v>
      </c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</row>
    <row r="100" spans="1:41" hidden="1" outlineLevel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>
        <f t="shared" si="427"/>
        <v>0</v>
      </c>
      <c r="N100" s="16" t="s">
        <v>81</v>
      </c>
      <c r="O100" s="106">
        <f>+VLOOKUP($N100,'Jan-25'!A:J,3,0)</f>
        <v>0</v>
      </c>
      <c r="P100" s="106">
        <f>+VLOOKUP($N100,'Feb-25'!A:J,3,0)</f>
        <v>0</v>
      </c>
      <c r="Q100" s="106">
        <f>+VLOOKUP($N100,'Mar-25'!A:J,3,0)</f>
        <v>0</v>
      </c>
      <c r="R100" s="106">
        <f>+VLOOKUP($N100,'Apr-25'!A:J,3,0)</f>
        <v>0</v>
      </c>
      <c r="S100" s="106">
        <f>+VLOOKUP($N100,'May-25'!A:J,3,0)</f>
        <v>0</v>
      </c>
      <c r="T100" s="106">
        <f>+VLOOKUP($N100,'June-25'!A:J,3,0)</f>
        <v>0</v>
      </c>
      <c r="U100" s="106">
        <f>+VLOOKUP($N100,'July-25'!A:J,3,0)</f>
        <v>0</v>
      </c>
      <c r="V100" s="106">
        <f>+VLOOKUP($N100,'Aug-25'!A:J,3,0)</f>
        <v>0</v>
      </c>
      <c r="W100" s="106">
        <f>+VLOOKUP($N100,'Sep-25'!A:J,3,0)</f>
        <v>0</v>
      </c>
      <c r="X100" s="106">
        <f>+VLOOKUP($N100,'Oct-25'!A:J,3,0)</f>
        <v>0</v>
      </c>
      <c r="Y100" s="106">
        <f>+VLOOKUP($N100,'Nov-25'!A:J,3,0)</f>
        <v>0</v>
      </c>
      <c r="Z100" s="106">
        <f>+VLOOKUP($N100,'Dec-25'!A:J,3,0)</f>
        <v>0</v>
      </c>
      <c r="AA100" s="106">
        <f t="shared" si="428"/>
        <v>0</v>
      </c>
      <c r="AB100" s="118">
        <f t="shared" si="429"/>
        <v>0</v>
      </c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</row>
    <row r="101" spans="1:41" hidden="1" outlineLevel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>
        <f t="shared" si="427"/>
        <v>0</v>
      </c>
      <c r="N101" s="16" t="s">
        <v>82</v>
      </c>
      <c r="O101" s="106">
        <f>+VLOOKUP($N101,'Jan-25'!A:J,3,0)</f>
        <v>0</v>
      </c>
      <c r="P101" s="106">
        <f>+VLOOKUP($N101,'Feb-25'!A:J,3,0)</f>
        <v>0</v>
      </c>
      <c r="Q101" s="106">
        <f>+VLOOKUP($N101,'Mar-25'!A:J,3,0)</f>
        <v>0</v>
      </c>
      <c r="R101" s="106">
        <f>+VLOOKUP($N101,'Apr-25'!A:J,3,0)</f>
        <v>0</v>
      </c>
      <c r="S101" s="106">
        <f>+VLOOKUP($N101,'May-25'!A:J,3,0)</f>
        <v>0</v>
      </c>
      <c r="T101" s="106">
        <f>+VLOOKUP($N101,'June-25'!A:J,3,0)</f>
        <v>0</v>
      </c>
      <c r="U101" s="106">
        <f>+VLOOKUP($N101,'July-25'!A:J,3,0)</f>
        <v>0</v>
      </c>
      <c r="V101" s="106">
        <f>+VLOOKUP($N101,'Aug-25'!A:J,3,0)</f>
        <v>0</v>
      </c>
      <c r="W101" s="106">
        <f>+VLOOKUP($N101,'Sep-25'!A:J,3,0)</f>
        <v>0</v>
      </c>
      <c r="X101" s="106">
        <f>+VLOOKUP($N101,'Oct-25'!A:J,3,0)</f>
        <v>0</v>
      </c>
      <c r="Y101" s="106">
        <f>+VLOOKUP($N101,'Nov-25'!A:J,3,0)</f>
        <v>0</v>
      </c>
      <c r="Z101" s="106">
        <f>+VLOOKUP($N101,'Dec-25'!A:J,3,0)</f>
        <v>0</v>
      </c>
      <c r="AA101" s="106">
        <f t="shared" si="428"/>
        <v>0</v>
      </c>
      <c r="AB101" s="118">
        <f t="shared" si="429"/>
        <v>0</v>
      </c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</row>
    <row r="102" spans="1:41" hidden="1" outlineLevel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>
        <f t="shared" si="427"/>
        <v>0</v>
      </c>
      <c r="N102" s="16" t="s">
        <v>83</v>
      </c>
      <c r="O102" s="106">
        <f>+VLOOKUP($N102,'Jan-25'!A:J,3,0)</f>
        <v>0</v>
      </c>
      <c r="P102" s="106">
        <f>+VLOOKUP($N102,'Feb-25'!A:J,3,0)</f>
        <v>0</v>
      </c>
      <c r="Q102" s="106">
        <f>+VLOOKUP($N102,'Mar-25'!A:J,3,0)</f>
        <v>0</v>
      </c>
      <c r="R102" s="106">
        <f>+VLOOKUP($N102,'Apr-25'!A:J,3,0)</f>
        <v>0</v>
      </c>
      <c r="S102" s="106">
        <f>+VLOOKUP($N102,'May-25'!A:J,3,0)</f>
        <v>0</v>
      </c>
      <c r="T102" s="106">
        <f>+VLOOKUP($N102,'June-25'!A:J,3,0)</f>
        <v>0</v>
      </c>
      <c r="U102" s="106">
        <f>+VLOOKUP($N102,'July-25'!A:J,3,0)</f>
        <v>0</v>
      </c>
      <c r="V102" s="106">
        <f>+VLOOKUP($N102,'Aug-25'!A:J,3,0)</f>
        <v>0</v>
      </c>
      <c r="W102" s="106">
        <f>+VLOOKUP($N102,'Sep-25'!A:J,3,0)</f>
        <v>0</v>
      </c>
      <c r="X102" s="106">
        <f>+VLOOKUP($N102,'Oct-25'!A:J,3,0)</f>
        <v>0</v>
      </c>
      <c r="Y102" s="106">
        <f>+VLOOKUP($N102,'Nov-25'!A:J,3,0)</f>
        <v>0</v>
      </c>
      <c r="Z102" s="106">
        <f>+VLOOKUP($N102,'Dec-25'!A:J,3,0)</f>
        <v>0</v>
      </c>
      <c r="AA102" s="106">
        <f t="shared" si="428"/>
        <v>0</v>
      </c>
      <c r="AB102" s="118">
        <f t="shared" si="429"/>
        <v>0</v>
      </c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</row>
    <row r="103" spans="1:41" hidden="1" outlineLevel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18">
        <f t="shared" si="429"/>
        <v>0</v>
      </c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</row>
    <row r="104" spans="1:41" ht="17.25" collapsed="1">
      <c r="A104" s="58">
        <f t="shared" ref="A104" si="430">+SUM(A105:A113)</f>
        <v>0</v>
      </c>
      <c r="B104" s="58">
        <f t="shared" ref="B104" si="431">+SUM(B105:B113)</f>
        <v>4000</v>
      </c>
      <c r="C104" s="58">
        <f t="shared" ref="C104" si="432">+SUM(C105:C113)</f>
        <v>10000</v>
      </c>
      <c r="D104" s="58">
        <f t="shared" ref="D104" si="433">+SUM(D105:D113)</f>
        <v>0</v>
      </c>
      <c r="E104" s="58">
        <f t="shared" ref="E104" si="434">+SUM(E105:E113)</f>
        <v>0</v>
      </c>
      <c r="F104" s="58">
        <f t="shared" ref="F104" si="435">+SUM(F105:F113)</f>
        <v>0</v>
      </c>
      <c r="G104" s="58">
        <f t="shared" ref="G104" si="436">+SUM(G105:G113)</f>
        <v>0</v>
      </c>
      <c r="H104" s="58">
        <f t="shared" ref="H104" si="437">+SUM(H105:H113)</f>
        <v>0</v>
      </c>
      <c r="I104" s="58">
        <f t="shared" ref="I104" si="438">+SUM(I105:I113)</f>
        <v>0</v>
      </c>
      <c r="J104" s="58">
        <f t="shared" ref="J104" si="439">+SUM(J105:J113)</f>
        <v>0</v>
      </c>
      <c r="K104" s="58">
        <f t="shared" ref="K104" si="440">+SUM(K105:K113)</f>
        <v>0</v>
      </c>
      <c r="L104" s="58">
        <f t="shared" ref="L104:M104" si="441">+SUM(L105:L113)</f>
        <v>0</v>
      </c>
      <c r="M104" s="58">
        <f t="shared" si="441"/>
        <v>14000</v>
      </c>
      <c r="N104" s="17" t="s">
        <v>84</v>
      </c>
      <c r="O104" s="58">
        <f t="shared" ref="O104:AA104" si="442">+SUM(O105:O113)</f>
        <v>0</v>
      </c>
      <c r="P104" s="58">
        <f t="shared" si="442"/>
        <v>0</v>
      </c>
      <c r="Q104" s="58">
        <f t="shared" si="442"/>
        <v>0</v>
      </c>
      <c r="R104" s="58">
        <f t="shared" si="442"/>
        <v>0</v>
      </c>
      <c r="S104" s="58">
        <f t="shared" si="442"/>
        <v>0</v>
      </c>
      <c r="T104" s="58">
        <f t="shared" si="442"/>
        <v>0</v>
      </c>
      <c r="U104" s="58">
        <f t="shared" si="442"/>
        <v>0</v>
      </c>
      <c r="V104" s="58">
        <f t="shared" si="442"/>
        <v>0</v>
      </c>
      <c r="W104" s="58">
        <f t="shared" si="442"/>
        <v>0</v>
      </c>
      <c r="X104" s="58">
        <f t="shared" si="442"/>
        <v>0</v>
      </c>
      <c r="Y104" s="58">
        <f t="shared" si="442"/>
        <v>0</v>
      </c>
      <c r="Z104" s="58">
        <f t="shared" si="442"/>
        <v>0</v>
      </c>
      <c r="AA104" s="58">
        <f t="shared" si="442"/>
        <v>0</v>
      </c>
      <c r="AB104" s="118">
        <f t="shared" si="429"/>
        <v>0</v>
      </c>
      <c r="AC104" s="58">
        <f t="shared" ref="AC104" si="443">+SUM(AC105:AC113)</f>
        <v>0</v>
      </c>
      <c r="AD104" s="58">
        <f t="shared" ref="AD104" si="444">+SUM(AD105:AD113)</f>
        <v>0</v>
      </c>
      <c r="AE104" s="58">
        <f t="shared" ref="AE104" si="445">+SUM(AE105:AE113)</f>
        <v>0</v>
      </c>
      <c r="AF104" s="58">
        <f t="shared" ref="AF104" si="446">+SUM(AF105:AF113)</f>
        <v>0</v>
      </c>
      <c r="AG104" s="58">
        <f t="shared" ref="AG104" si="447">+SUM(AG105:AG113)</f>
        <v>0</v>
      </c>
      <c r="AH104" s="58">
        <f t="shared" ref="AH104" si="448">+SUM(AH105:AH113)</f>
        <v>0</v>
      </c>
      <c r="AI104" s="58">
        <f t="shared" ref="AI104" si="449">+SUM(AI105:AI113)</f>
        <v>0</v>
      </c>
      <c r="AJ104" s="58">
        <f t="shared" ref="AJ104" si="450">+SUM(AJ105:AJ113)</f>
        <v>0</v>
      </c>
      <c r="AK104" s="58">
        <f t="shared" ref="AK104" si="451">+SUM(AK105:AK113)</f>
        <v>0</v>
      </c>
      <c r="AL104" s="58">
        <f t="shared" ref="AL104" si="452">+SUM(AL105:AL113)</f>
        <v>0</v>
      </c>
      <c r="AM104" s="58">
        <f t="shared" ref="AM104" si="453">+SUM(AM105:AM113)</f>
        <v>0</v>
      </c>
      <c r="AN104" s="58">
        <f t="shared" ref="AN104" si="454">+SUM(AN105:AN113)</f>
        <v>0</v>
      </c>
      <c r="AO104" s="58">
        <f t="shared" ref="AO104" si="455">+SUM(AO105:AO113)</f>
        <v>0</v>
      </c>
    </row>
    <row r="105" spans="1:41" hidden="1" outlineLevel="1">
      <c r="A105" s="106">
        <v>0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f t="shared" ref="M105:M113" si="456">+SUM(A105:L105)</f>
        <v>0</v>
      </c>
      <c r="N105" s="16" t="s">
        <v>85</v>
      </c>
      <c r="O105" s="106">
        <f>+VLOOKUP($N105,'Jan-25'!A:J,3,0)</f>
        <v>0</v>
      </c>
      <c r="P105" s="106">
        <f>+VLOOKUP($N105,'Feb-25'!A:J,3,0)</f>
        <v>0</v>
      </c>
      <c r="Q105" s="106">
        <f>+VLOOKUP($N105,'Mar-25'!A:J,3,0)</f>
        <v>0</v>
      </c>
      <c r="R105" s="106">
        <f>+VLOOKUP($N105,'Apr-25'!A:J,3,0)</f>
        <v>0</v>
      </c>
      <c r="S105" s="106">
        <f>+VLOOKUP($N105,'May-25'!A:J,3,0)</f>
        <v>0</v>
      </c>
      <c r="T105" s="106">
        <f>+VLOOKUP($N105,'June-25'!A:J,3,0)</f>
        <v>0</v>
      </c>
      <c r="U105" s="106">
        <f>+VLOOKUP($N105,'July-25'!A:J,3,0)</f>
        <v>0</v>
      </c>
      <c r="V105" s="106">
        <f>+VLOOKUP($N105,'Aug-25'!A:J,3,0)</f>
        <v>0</v>
      </c>
      <c r="W105" s="106">
        <f>+VLOOKUP($N105,'Sep-25'!A:J,3,0)</f>
        <v>0</v>
      </c>
      <c r="X105" s="106">
        <f>+VLOOKUP($N105,'Oct-25'!A:J,3,0)</f>
        <v>0</v>
      </c>
      <c r="Y105" s="106">
        <f>+VLOOKUP($N105,'Nov-25'!A:J,3,0)</f>
        <v>0</v>
      </c>
      <c r="Z105" s="106">
        <f>+VLOOKUP($N105,'Dec-25'!A:J,3,0)</f>
        <v>0</v>
      </c>
      <c r="AA105" s="106">
        <f t="shared" ref="AA105:AA113" si="457">+SUM(O105:Z105)</f>
        <v>0</v>
      </c>
      <c r="AB105" s="118">
        <f t="shared" si="429"/>
        <v>0</v>
      </c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</row>
    <row r="106" spans="1:41" hidden="1" outlineLevel="1">
      <c r="A106" s="106">
        <v>0</v>
      </c>
      <c r="B106" s="106">
        <v>4000</v>
      </c>
      <c r="C106" s="106">
        <v>10000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f t="shared" si="456"/>
        <v>14000</v>
      </c>
      <c r="N106" s="16" t="s">
        <v>86</v>
      </c>
      <c r="O106" s="106">
        <f>+VLOOKUP($N106,'Jan-25'!A:J,3,0)</f>
        <v>0</v>
      </c>
      <c r="P106" s="106">
        <f>+VLOOKUP($N106,'Feb-25'!A:J,3,0)</f>
        <v>0</v>
      </c>
      <c r="Q106" s="106">
        <f>+VLOOKUP($N106,'Mar-25'!A:J,3,0)</f>
        <v>0</v>
      </c>
      <c r="R106" s="106">
        <f>+VLOOKUP($N106,'Apr-25'!A:J,3,0)</f>
        <v>0</v>
      </c>
      <c r="S106" s="106">
        <f>+VLOOKUP($N106,'May-25'!A:J,3,0)</f>
        <v>0</v>
      </c>
      <c r="T106" s="106">
        <f>+VLOOKUP($N106,'June-25'!A:J,3,0)</f>
        <v>0</v>
      </c>
      <c r="U106" s="106">
        <f>+VLOOKUP($N106,'July-25'!A:J,3,0)</f>
        <v>0</v>
      </c>
      <c r="V106" s="106">
        <f>+VLOOKUP($N106,'Aug-25'!A:J,3,0)</f>
        <v>0</v>
      </c>
      <c r="W106" s="106">
        <f>+VLOOKUP($N106,'Sep-25'!A:J,3,0)</f>
        <v>0</v>
      </c>
      <c r="X106" s="106">
        <f>+VLOOKUP($N106,'Oct-25'!A:J,3,0)</f>
        <v>0</v>
      </c>
      <c r="Y106" s="106">
        <f>+VLOOKUP($N106,'Nov-25'!A:J,3,0)</f>
        <v>0</v>
      </c>
      <c r="Z106" s="106">
        <f>+VLOOKUP($N106,'Dec-25'!A:J,3,0)</f>
        <v>0</v>
      </c>
      <c r="AA106" s="106">
        <f t="shared" si="457"/>
        <v>0</v>
      </c>
      <c r="AB106" s="118">
        <f t="shared" si="429"/>
        <v>0</v>
      </c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</row>
    <row r="107" spans="1:41" hidden="1" outlineLevel="1">
      <c r="A107" s="106">
        <v>0</v>
      </c>
      <c r="B107" s="106">
        <v>0</v>
      </c>
      <c r="C107" s="106">
        <v>0</v>
      </c>
      <c r="D107" s="106">
        <v>0</v>
      </c>
      <c r="E107" s="106">
        <v>0</v>
      </c>
      <c r="F107" s="106">
        <v>0</v>
      </c>
      <c r="G107" s="106">
        <v>0</v>
      </c>
      <c r="H107" s="106">
        <v>0</v>
      </c>
      <c r="I107" s="106">
        <v>0</v>
      </c>
      <c r="J107" s="106">
        <v>0</v>
      </c>
      <c r="K107" s="106">
        <v>0</v>
      </c>
      <c r="L107" s="106">
        <v>0</v>
      </c>
      <c r="M107" s="106">
        <f t="shared" si="456"/>
        <v>0</v>
      </c>
      <c r="N107" s="16" t="s">
        <v>87</v>
      </c>
      <c r="O107" s="106">
        <f>+VLOOKUP($N107,'Jan-25'!A:J,3,0)</f>
        <v>0</v>
      </c>
      <c r="P107" s="106">
        <f>+VLOOKUP($N107,'Feb-25'!A:J,3,0)</f>
        <v>0</v>
      </c>
      <c r="Q107" s="106">
        <f>+VLOOKUP($N107,'Mar-25'!A:J,3,0)</f>
        <v>0</v>
      </c>
      <c r="R107" s="106">
        <f>+VLOOKUP($N107,'Apr-25'!A:J,3,0)</f>
        <v>0</v>
      </c>
      <c r="S107" s="106">
        <f>+VLOOKUP($N107,'May-25'!A:J,3,0)</f>
        <v>0</v>
      </c>
      <c r="T107" s="106">
        <f>+VLOOKUP($N107,'June-25'!A:J,3,0)</f>
        <v>0</v>
      </c>
      <c r="U107" s="106">
        <f>+VLOOKUP($N107,'July-25'!A:J,3,0)</f>
        <v>0</v>
      </c>
      <c r="V107" s="106">
        <f>+VLOOKUP($N107,'Aug-25'!A:J,3,0)</f>
        <v>0</v>
      </c>
      <c r="W107" s="106">
        <f>+VLOOKUP($N107,'Sep-25'!A:J,3,0)</f>
        <v>0</v>
      </c>
      <c r="X107" s="106">
        <f>+VLOOKUP($N107,'Oct-25'!A:J,3,0)</f>
        <v>0</v>
      </c>
      <c r="Y107" s="106">
        <f>+VLOOKUP($N107,'Nov-25'!A:J,3,0)</f>
        <v>0</v>
      </c>
      <c r="Z107" s="106">
        <f>+VLOOKUP($N107,'Dec-25'!A:J,3,0)</f>
        <v>0</v>
      </c>
      <c r="AA107" s="106">
        <f t="shared" si="457"/>
        <v>0</v>
      </c>
      <c r="AB107" s="118">
        <f t="shared" si="429"/>
        <v>0</v>
      </c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</row>
    <row r="108" spans="1:41" hidden="1" outlineLevel="1">
      <c r="A108" s="106">
        <v>0</v>
      </c>
      <c r="B108" s="106">
        <v>0</v>
      </c>
      <c r="C108" s="106">
        <v>0</v>
      </c>
      <c r="D108" s="106">
        <v>0</v>
      </c>
      <c r="E108" s="106">
        <v>0</v>
      </c>
      <c r="F108" s="106">
        <v>0</v>
      </c>
      <c r="G108" s="106">
        <v>0</v>
      </c>
      <c r="H108" s="106">
        <v>0</v>
      </c>
      <c r="I108" s="106">
        <v>0</v>
      </c>
      <c r="J108" s="106">
        <v>0</v>
      </c>
      <c r="K108" s="106">
        <v>0</v>
      </c>
      <c r="L108" s="106">
        <v>0</v>
      </c>
      <c r="M108" s="106">
        <f t="shared" si="456"/>
        <v>0</v>
      </c>
      <c r="N108" s="16" t="s">
        <v>88</v>
      </c>
      <c r="O108" s="106">
        <f>+VLOOKUP($N108,'Jan-25'!A:J,3,0)</f>
        <v>0</v>
      </c>
      <c r="P108" s="106">
        <f>+VLOOKUP($N108,'Feb-25'!A:J,3,0)</f>
        <v>0</v>
      </c>
      <c r="Q108" s="106">
        <f>+VLOOKUP($N108,'Mar-25'!A:J,3,0)</f>
        <v>0</v>
      </c>
      <c r="R108" s="106">
        <f>+VLOOKUP($N108,'Apr-25'!A:J,3,0)</f>
        <v>0</v>
      </c>
      <c r="S108" s="106">
        <f>+VLOOKUP($N108,'May-25'!A:J,3,0)</f>
        <v>0</v>
      </c>
      <c r="T108" s="106">
        <f>+VLOOKUP($N108,'June-25'!A:J,3,0)</f>
        <v>0</v>
      </c>
      <c r="U108" s="106">
        <f>+VLOOKUP($N108,'July-25'!A:J,3,0)</f>
        <v>0</v>
      </c>
      <c r="V108" s="106">
        <f>+VLOOKUP($N108,'Aug-25'!A:J,3,0)</f>
        <v>0</v>
      </c>
      <c r="W108" s="106">
        <f>+VLOOKUP($N108,'Sep-25'!A:J,3,0)</f>
        <v>0</v>
      </c>
      <c r="X108" s="106">
        <f>+VLOOKUP($N108,'Oct-25'!A:J,3,0)</f>
        <v>0</v>
      </c>
      <c r="Y108" s="106">
        <f>+VLOOKUP($N108,'Nov-25'!A:J,3,0)</f>
        <v>0</v>
      </c>
      <c r="Z108" s="106">
        <f>+VLOOKUP($N108,'Dec-25'!A:J,3,0)</f>
        <v>0</v>
      </c>
      <c r="AA108" s="106">
        <f t="shared" si="457"/>
        <v>0</v>
      </c>
      <c r="AB108" s="118">
        <f t="shared" si="429"/>
        <v>0</v>
      </c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</row>
    <row r="109" spans="1:41" hidden="1" outlineLevel="1">
      <c r="A109" s="106">
        <v>0</v>
      </c>
      <c r="B109" s="106">
        <v>0</v>
      </c>
      <c r="C109" s="106">
        <v>0</v>
      </c>
      <c r="D109" s="106">
        <v>0</v>
      </c>
      <c r="E109" s="106">
        <v>0</v>
      </c>
      <c r="F109" s="106">
        <v>0</v>
      </c>
      <c r="G109" s="106">
        <v>0</v>
      </c>
      <c r="H109" s="106">
        <v>0</v>
      </c>
      <c r="I109" s="106">
        <v>0</v>
      </c>
      <c r="J109" s="106">
        <v>0</v>
      </c>
      <c r="K109" s="106">
        <v>0</v>
      </c>
      <c r="L109" s="106">
        <v>0</v>
      </c>
      <c r="M109" s="106">
        <f t="shared" si="456"/>
        <v>0</v>
      </c>
      <c r="N109" s="16" t="s">
        <v>89</v>
      </c>
      <c r="O109" s="106">
        <f>+VLOOKUP($N109,'Jan-25'!A:J,3,0)</f>
        <v>0</v>
      </c>
      <c r="P109" s="106">
        <f>+VLOOKUP($N109,'Feb-25'!A:J,3,0)</f>
        <v>0</v>
      </c>
      <c r="Q109" s="106">
        <f>+VLOOKUP($N109,'Mar-25'!A:J,3,0)</f>
        <v>0</v>
      </c>
      <c r="R109" s="106">
        <f>+VLOOKUP($N109,'Apr-25'!A:J,3,0)</f>
        <v>0</v>
      </c>
      <c r="S109" s="106">
        <f>+VLOOKUP($N109,'May-25'!A:J,3,0)</f>
        <v>0</v>
      </c>
      <c r="T109" s="106">
        <f>+VLOOKUP($N109,'June-25'!A:J,3,0)</f>
        <v>0</v>
      </c>
      <c r="U109" s="106">
        <f>+VLOOKUP($N109,'July-25'!A:J,3,0)</f>
        <v>0</v>
      </c>
      <c r="V109" s="106">
        <f>+VLOOKUP($N109,'Aug-25'!A:J,3,0)</f>
        <v>0</v>
      </c>
      <c r="W109" s="106">
        <f>+VLOOKUP($N109,'Sep-25'!A:J,3,0)</f>
        <v>0</v>
      </c>
      <c r="X109" s="106">
        <f>+VLOOKUP($N109,'Oct-25'!A:J,3,0)</f>
        <v>0</v>
      </c>
      <c r="Y109" s="106">
        <f>+VLOOKUP($N109,'Nov-25'!A:J,3,0)</f>
        <v>0</v>
      </c>
      <c r="Z109" s="106">
        <f>+VLOOKUP($N109,'Dec-25'!A:J,3,0)</f>
        <v>0</v>
      </c>
      <c r="AA109" s="106">
        <f t="shared" si="457"/>
        <v>0</v>
      </c>
      <c r="AB109" s="118">
        <f t="shared" si="429"/>
        <v>0</v>
      </c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106"/>
      <c r="AO109" s="106"/>
    </row>
    <row r="110" spans="1:41" hidden="1" outlineLevel="1">
      <c r="A110" s="106">
        <v>0</v>
      </c>
      <c r="B110" s="106">
        <v>0</v>
      </c>
      <c r="C110" s="106">
        <v>0</v>
      </c>
      <c r="D110" s="106">
        <v>0</v>
      </c>
      <c r="E110" s="106">
        <v>0</v>
      </c>
      <c r="F110" s="106">
        <v>0</v>
      </c>
      <c r="G110" s="106">
        <v>0</v>
      </c>
      <c r="H110" s="106">
        <v>0</v>
      </c>
      <c r="I110" s="106">
        <v>0</v>
      </c>
      <c r="J110" s="106">
        <v>0</v>
      </c>
      <c r="K110" s="106">
        <v>0</v>
      </c>
      <c r="L110" s="106">
        <v>0</v>
      </c>
      <c r="M110" s="106">
        <f t="shared" si="456"/>
        <v>0</v>
      </c>
      <c r="N110" s="16" t="s">
        <v>90</v>
      </c>
      <c r="O110" s="106">
        <f>+VLOOKUP($N110,'Jan-25'!A:J,3,0)</f>
        <v>0</v>
      </c>
      <c r="P110" s="106">
        <f>+VLOOKUP($N110,'Feb-25'!A:J,3,0)</f>
        <v>0</v>
      </c>
      <c r="Q110" s="106">
        <f>+VLOOKUP($N110,'Mar-25'!A:J,3,0)</f>
        <v>0</v>
      </c>
      <c r="R110" s="106">
        <f>+VLOOKUP($N110,'Apr-25'!A:J,3,0)</f>
        <v>0</v>
      </c>
      <c r="S110" s="106">
        <f>+VLOOKUP($N110,'May-25'!A:J,3,0)</f>
        <v>0</v>
      </c>
      <c r="T110" s="106">
        <f>+VLOOKUP($N110,'June-25'!A:J,3,0)</f>
        <v>0</v>
      </c>
      <c r="U110" s="106">
        <f>+VLOOKUP($N110,'July-25'!A:J,3,0)</f>
        <v>0</v>
      </c>
      <c r="V110" s="106">
        <f>+VLOOKUP($N110,'Aug-25'!A:J,3,0)</f>
        <v>0</v>
      </c>
      <c r="W110" s="106">
        <f>+VLOOKUP($N110,'Sep-25'!A:J,3,0)</f>
        <v>0</v>
      </c>
      <c r="X110" s="106">
        <f>+VLOOKUP($N110,'Oct-25'!A:J,3,0)</f>
        <v>0</v>
      </c>
      <c r="Y110" s="106">
        <f>+VLOOKUP($N110,'Nov-25'!A:J,3,0)</f>
        <v>0</v>
      </c>
      <c r="Z110" s="106">
        <f>+VLOOKUP($N110,'Dec-25'!A:J,3,0)</f>
        <v>0</v>
      </c>
      <c r="AA110" s="106">
        <f t="shared" si="457"/>
        <v>0</v>
      </c>
      <c r="AB110" s="118">
        <f t="shared" si="429"/>
        <v>0</v>
      </c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</row>
    <row r="111" spans="1:41" hidden="1" outlineLevel="1">
      <c r="A111" s="106">
        <v>0</v>
      </c>
      <c r="B111" s="106">
        <v>0</v>
      </c>
      <c r="C111" s="106">
        <v>0</v>
      </c>
      <c r="D111" s="106">
        <v>0</v>
      </c>
      <c r="E111" s="106">
        <v>0</v>
      </c>
      <c r="F111" s="106">
        <v>0</v>
      </c>
      <c r="G111" s="106">
        <v>0</v>
      </c>
      <c r="H111" s="106">
        <v>0</v>
      </c>
      <c r="I111" s="106">
        <v>0</v>
      </c>
      <c r="J111" s="106">
        <v>0</v>
      </c>
      <c r="K111" s="106">
        <v>0</v>
      </c>
      <c r="L111" s="106">
        <v>0</v>
      </c>
      <c r="M111" s="106">
        <f t="shared" si="456"/>
        <v>0</v>
      </c>
      <c r="N111" s="16" t="s">
        <v>91</v>
      </c>
      <c r="O111" s="106">
        <f>+VLOOKUP($N111,'Jan-25'!A:J,3,0)</f>
        <v>0</v>
      </c>
      <c r="P111" s="106">
        <f>+VLOOKUP($N111,'Feb-25'!A:J,3,0)</f>
        <v>0</v>
      </c>
      <c r="Q111" s="106">
        <f>+VLOOKUP($N111,'Mar-25'!A:J,3,0)</f>
        <v>0</v>
      </c>
      <c r="R111" s="106">
        <f>+VLOOKUP($N111,'Apr-25'!A:J,3,0)</f>
        <v>0</v>
      </c>
      <c r="S111" s="106">
        <f>+VLOOKUP($N111,'May-25'!A:J,3,0)</f>
        <v>0</v>
      </c>
      <c r="T111" s="106">
        <f>+VLOOKUP($N111,'June-25'!A:J,3,0)</f>
        <v>0</v>
      </c>
      <c r="U111" s="106">
        <f>+VLOOKUP($N111,'July-25'!A:J,3,0)</f>
        <v>0</v>
      </c>
      <c r="V111" s="106">
        <f>+VLOOKUP($N111,'Aug-25'!A:J,3,0)</f>
        <v>0</v>
      </c>
      <c r="W111" s="106">
        <f>+VLOOKUP($N111,'Sep-25'!A:J,3,0)</f>
        <v>0</v>
      </c>
      <c r="X111" s="106">
        <f>+VLOOKUP($N111,'Oct-25'!A:J,3,0)</f>
        <v>0</v>
      </c>
      <c r="Y111" s="106">
        <f>+VLOOKUP($N111,'Nov-25'!A:J,3,0)</f>
        <v>0</v>
      </c>
      <c r="Z111" s="106">
        <f>+VLOOKUP($N111,'Dec-25'!A:J,3,0)</f>
        <v>0</v>
      </c>
      <c r="AA111" s="106">
        <f t="shared" si="457"/>
        <v>0</v>
      </c>
      <c r="AB111" s="118">
        <f t="shared" si="429"/>
        <v>0</v>
      </c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106"/>
      <c r="AO111" s="106"/>
    </row>
    <row r="112" spans="1:41" hidden="1" outlineLevel="1">
      <c r="A112" s="106">
        <v>0</v>
      </c>
      <c r="B112" s="106">
        <v>0</v>
      </c>
      <c r="C112" s="106">
        <v>0</v>
      </c>
      <c r="D112" s="106">
        <v>0</v>
      </c>
      <c r="E112" s="106">
        <v>0</v>
      </c>
      <c r="F112" s="106">
        <v>0</v>
      </c>
      <c r="G112" s="106">
        <v>0</v>
      </c>
      <c r="H112" s="106">
        <v>0</v>
      </c>
      <c r="I112" s="106">
        <v>0</v>
      </c>
      <c r="J112" s="106">
        <v>0</v>
      </c>
      <c r="K112" s="106">
        <v>0</v>
      </c>
      <c r="L112" s="106">
        <v>0</v>
      </c>
      <c r="M112" s="106">
        <f t="shared" si="456"/>
        <v>0</v>
      </c>
      <c r="N112" s="16" t="s">
        <v>92</v>
      </c>
      <c r="O112" s="106">
        <f>+VLOOKUP($N112,'Jan-25'!A:J,3,0)</f>
        <v>0</v>
      </c>
      <c r="P112" s="106">
        <f>+VLOOKUP($N112,'Feb-25'!A:J,3,0)</f>
        <v>0</v>
      </c>
      <c r="Q112" s="106">
        <f>+VLOOKUP($N112,'Mar-25'!A:J,3,0)</f>
        <v>0</v>
      </c>
      <c r="R112" s="106">
        <f>+VLOOKUP($N112,'Apr-25'!A:J,3,0)</f>
        <v>0</v>
      </c>
      <c r="S112" s="106">
        <f>+VLOOKUP($N112,'May-25'!A:J,3,0)</f>
        <v>0</v>
      </c>
      <c r="T112" s="106">
        <f>+VLOOKUP($N112,'June-25'!A:J,3,0)</f>
        <v>0</v>
      </c>
      <c r="U112" s="106">
        <f>+VLOOKUP($N112,'July-25'!A:J,3,0)</f>
        <v>0</v>
      </c>
      <c r="V112" s="106">
        <f>+VLOOKUP($N112,'Aug-25'!A:J,3,0)</f>
        <v>0</v>
      </c>
      <c r="W112" s="106">
        <f>+VLOOKUP($N112,'Sep-25'!A:J,3,0)</f>
        <v>0</v>
      </c>
      <c r="X112" s="106">
        <f>+VLOOKUP($N112,'Oct-25'!A:J,3,0)</f>
        <v>0</v>
      </c>
      <c r="Y112" s="106">
        <f>+VLOOKUP($N112,'Nov-25'!A:J,3,0)</f>
        <v>0</v>
      </c>
      <c r="Z112" s="106">
        <f>+VLOOKUP($N112,'Dec-25'!A:J,3,0)</f>
        <v>0</v>
      </c>
      <c r="AA112" s="106">
        <f t="shared" si="457"/>
        <v>0</v>
      </c>
      <c r="AB112" s="118">
        <f t="shared" si="429"/>
        <v>0</v>
      </c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6"/>
      <c r="AO112" s="106"/>
    </row>
    <row r="113" spans="1:41" hidden="1" outlineLevel="1">
      <c r="A113" s="106">
        <v>0</v>
      </c>
      <c r="B113" s="106">
        <v>0</v>
      </c>
      <c r="C113" s="106">
        <v>0</v>
      </c>
      <c r="D113" s="106">
        <v>0</v>
      </c>
      <c r="E113" s="106">
        <v>0</v>
      </c>
      <c r="F113" s="106">
        <v>0</v>
      </c>
      <c r="G113" s="106">
        <v>0</v>
      </c>
      <c r="H113" s="106">
        <v>0</v>
      </c>
      <c r="I113" s="106">
        <v>0</v>
      </c>
      <c r="J113" s="106">
        <v>0</v>
      </c>
      <c r="K113" s="106">
        <v>0</v>
      </c>
      <c r="L113" s="106">
        <v>0</v>
      </c>
      <c r="M113" s="106">
        <f t="shared" si="456"/>
        <v>0</v>
      </c>
      <c r="N113" s="16" t="s">
        <v>225</v>
      </c>
      <c r="O113" s="106">
        <f>+VLOOKUP($N113,'Jan-25'!A:J,3,0)</f>
        <v>0</v>
      </c>
      <c r="P113" s="106">
        <f>+VLOOKUP($N113,'Feb-25'!A:J,3,0)</f>
        <v>0</v>
      </c>
      <c r="Q113" s="106">
        <f>+VLOOKUP($N113,'Mar-25'!A:J,3,0)</f>
        <v>0</v>
      </c>
      <c r="R113" s="106">
        <f>+VLOOKUP($N113,'Apr-25'!A:J,3,0)</f>
        <v>0</v>
      </c>
      <c r="S113" s="106">
        <f>+VLOOKUP($N113,'May-25'!A:J,3,0)</f>
        <v>0</v>
      </c>
      <c r="T113" s="106">
        <f>+VLOOKUP($N113,'June-25'!A:J,3,0)</f>
        <v>0</v>
      </c>
      <c r="U113" s="106">
        <f>+VLOOKUP($N113,'July-25'!A:J,3,0)</f>
        <v>0</v>
      </c>
      <c r="V113" s="106">
        <f>+VLOOKUP($N113,'Aug-25'!A:J,3,0)</f>
        <v>0</v>
      </c>
      <c r="W113" s="106">
        <f>+VLOOKUP($N113,'Sep-25'!A:J,3,0)</f>
        <v>0</v>
      </c>
      <c r="X113" s="106">
        <f>+VLOOKUP($N113,'Oct-25'!A:J,3,0)</f>
        <v>0</v>
      </c>
      <c r="Y113" s="106">
        <f>+VLOOKUP($N113,'Nov-25'!A:J,3,0)</f>
        <v>0</v>
      </c>
      <c r="Z113" s="106">
        <f>+VLOOKUP($N113,'Dec-25'!A:J,3,0)</f>
        <v>0</v>
      </c>
      <c r="AA113" s="106">
        <f t="shared" si="457"/>
        <v>0</v>
      </c>
      <c r="AB113" s="118">
        <f t="shared" si="429"/>
        <v>0</v>
      </c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</row>
    <row r="114" spans="1:41" hidden="1" outlineLevel="1">
      <c r="A114" s="106">
        <v>0</v>
      </c>
      <c r="B114" s="106">
        <v>0</v>
      </c>
      <c r="C114" s="106">
        <v>0</v>
      </c>
      <c r="D114" s="106">
        <v>0</v>
      </c>
      <c r="E114" s="106">
        <v>0</v>
      </c>
      <c r="F114" s="106">
        <v>0</v>
      </c>
      <c r="G114" s="106">
        <v>0</v>
      </c>
      <c r="H114" s="106">
        <v>0</v>
      </c>
      <c r="I114" s="106">
        <v>0</v>
      </c>
      <c r="J114" s="106">
        <v>0</v>
      </c>
      <c r="K114" s="106">
        <v>0</v>
      </c>
      <c r="L114" s="106">
        <v>0</v>
      </c>
      <c r="M114" s="106"/>
      <c r="N114" s="1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18">
        <f t="shared" si="429"/>
        <v>0</v>
      </c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</row>
    <row r="115" spans="1:41" ht="17.25" collapsed="1">
      <c r="A115" s="58">
        <f t="shared" ref="A115" si="458">+A116+A129+A133+A138+A146+A150</f>
        <v>35893.185897435898</v>
      </c>
      <c r="B115" s="58">
        <f t="shared" ref="B115" si="459">+B116+B129+B133+B138+B146+B150</f>
        <v>35893.185897435898</v>
      </c>
      <c r="C115" s="58">
        <f t="shared" ref="C115" si="460">+C116+C129+C133+C138+C146+C150</f>
        <v>36018.185897435898</v>
      </c>
      <c r="D115" s="58">
        <f t="shared" ref="D115" si="461">+D116+D129+D133+D138+D146+D150</f>
        <v>34159.185897435898</v>
      </c>
      <c r="E115" s="58">
        <f t="shared" ref="E115" si="462">+E116+E129+E133+E138+E146+E150</f>
        <v>35800.185897435898</v>
      </c>
      <c r="F115" s="58">
        <f t="shared" ref="F115" si="463">+F116+F129+F133+F138+F146+F150</f>
        <v>35800.185897435898</v>
      </c>
      <c r="G115" s="58">
        <f t="shared" ref="G115" si="464">+G116+G129+G133+G138+G146+G150</f>
        <v>35800.185897435898</v>
      </c>
      <c r="H115" s="58">
        <f t="shared" ref="H115" si="465">+H116+H129+H133+H138+H146+H150</f>
        <v>35800.185897435898</v>
      </c>
      <c r="I115" s="58">
        <f t="shared" ref="I115" si="466">+I116+I129+I133+I138+I146+I150</f>
        <v>35800.185897435898</v>
      </c>
      <c r="J115" s="58">
        <f t="shared" ref="J115" si="467">+J116+J129+J133+J138+J146+J150</f>
        <v>35800.185897435898</v>
      </c>
      <c r="K115" s="58">
        <f t="shared" ref="K115" si="468">+K116+K129+K133+K138+K146+K150</f>
        <v>35800.185897435898</v>
      </c>
      <c r="L115" s="58">
        <f t="shared" ref="L115:M115" si="469">+L116+L129+L133+L138+L146+L150</f>
        <v>34159.185897435898</v>
      </c>
      <c r="M115" s="58">
        <f t="shared" si="469"/>
        <v>426724.23076923075</v>
      </c>
      <c r="N115" s="19" t="s">
        <v>93</v>
      </c>
      <c r="O115" s="58">
        <f t="shared" ref="O115:AA115" si="470">+O116+O129+O133+O138+O146+O150</f>
        <v>36859</v>
      </c>
      <c r="P115" s="58">
        <f t="shared" si="470"/>
        <v>36859</v>
      </c>
      <c r="Q115" s="58">
        <f t="shared" si="470"/>
        <v>36950</v>
      </c>
      <c r="R115" s="58">
        <f t="shared" si="470"/>
        <v>36950</v>
      </c>
      <c r="S115" s="58">
        <f t="shared" si="470"/>
        <v>36950</v>
      </c>
      <c r="T115" s="58">
        <f t="shared" si="470"/>
        <v>36950</v>
      </c>
      <c r="U115" s="58">
        <f t="shared" si="470"/>
        <v>36950</v>
      </c>
      <c r="V115" s="58">
        <f t="shared" si="470"/>
        <v>36950</v>
      </c>
      <c r="W115" s="58">
        <f t="shared" si="470"/>
        <v>38754.48717948718</v>
      </c>
      <c r="X115" s="58">
        <f t="shared" si="470"/>
        <v>82254.487179487172</v>
      </c>
      <c r="Y115" s="58">
        <f t="shared" si="470"/>
        <v>0</v>
      </c>
      <c r="Z115" s="58">
        <f t="shared" si="470"/>
        <v>0</v>
      </c>
      <c r="AA115" s="58">
        <f t="shared" si="470"/>
        <v>416426.97435897437</v>
      </c>
      <c r="AB115" s="118">
        <f t="shared" si="429"/>
        <v>1.0734079855219998</v>
      </c>
      <c r="AC115" s="58">
        <f t="shared" ref="AC115" si="471">+AC116+AC129+AC133+AC138+AC146+AC150</f>
        <v>39671.153846153844</v>
      </c>
      <c r="AD115" s="58">
        <f t="shared" ref="AD115" si="472">+AD116+AD129+AD133+AD138+AD146+AD150</f>
        <v>39671.153846153844</v>
      </c>
      <c r="AE115" s="58">
        <f t="shared" ref="AE115" si="473">+AE116+AE129+AE133+AE138+AE146+AE150</f>
        <v>39671.153846153844</v>
      </c>
      <c r="AF115" s="58">
        <f t="shared" ref="AF115" si="474">+AF116+AF129+AF133+AF138+AF146+AF150</f>
        <v>39671.153846153844</v>
      </c>
      <c r="AG115" s="58">
        <f t="shared" ref="AG115" si="475">+AG116+AG129+AG133+AG138+AG146+AG150</f>
        <v>39671.153846153844</v>
      </c>
      <c r="AH115" s="58">
        <f t="shared" ref="AH115" si="476">+AH116+AH129+AH133+AH138+AH146+AH150</f>
        <v>39671.153846153844</v>
      </c>
      <c r="AI115" s="58">
        <f t="shared" ref="AI115" si="477">+AI116+AI129+AI133+AI138+AI146+AI150</f>
        <v>39671.153846153844</v>
      </c>
      <c r="AJ115" s="58">
        <f t="shared" ref="AJ115" si="478">+AJ116+AJ129+AJ133+AJ138+AJ146+AJ150</f>
        <v>39671.153846153844</v>
      </c>
      <c r="AK115" s="58">
        <f t="shared" ref="AK115" si="479">+AK116+AK129+AK133+AK138+AK146+AK150</f>
        <v>39671.153846153844</v>
      </c>
      <c r="AL115" s="58">
        <f t="shared" ref="AL115" si="480">+AL116+AL129+AL133+AL138+AL146+AL150</f>
        <v>39671.153846153844</v>
      </c>
      <c r="AM115" s="58">
        <f t="shared" ref="AM115" si="481">+AM116+AM129+AM133+AM138+AM146+AM150</f>
        <v>39671.153846153844</v>
      </c>
      <c r="AN115" s="58">
        <f t="shared" ref="AN115" si="482">+AN116+AN129+AN133+AN138+AN146+AN150</f>
        <v>39671.153846153844</v>
      </c>
      <c r="AO115" s="58">
        <f t="shared" ref="AO115" si="483">+AO116+AO129+AO133+AO138+AO146+AO150</f>
        <v>476053.84615384613</v>
      </c>
    </row>
    <row r="116" spans="1:41">
      <c r="A116" s="58">
        <f t="shared" ref="A116" si="484">+SUM(A117:A128)</f>
        <v>35893.185897435898</v>
      </c>
      <c r="B116" s="58">
        <f t="shared" ref="B116" si="485">+SUM(B117:B128)</f>
        <v>35893.185897435898</v>
      </c>
      <c r="C116" s="58">
        <f t="shared" ref="C116" si="486">+SUM(C117:C128)</f>
        <v>36018.185897435898</v>
      </c>
      <c r="D116" s="58">
        <f t="shared" ref="D116" si="487">+SUM(D117:D128)</f>
        <v>34159.185897435898</v>
      </c>
      <c r="E116" s="58">
        <f t="shared" ref="E116" si="488">+SUM(E117:E128)</f>
        <v>35800.185897435898</v>
      </c>
      <c r="F116" s="58">
        <f t="shared" ref="F116" si="489">+SUM(F117:F128)</f>
        <v>35800.185897435898</v>
      </c>
      <c r="G116" s="58">
        <f t="shared" ref="G116" si="490">+SUM(G117:G128)</f>
        <v>35800.185897435898</v>
      </c>
      <c r="H116" s="58">
        <f t="shared" ref="H116" si="491">+SUM(H117:H128)</f>
        <v>35800.185897435898</v>
      </c>
      <c r="I116" s="58">
        <f t="shared" ref="I116" si="492">+SUM(I117:I128)</f>
        <v>35800.185897435898</v>
      </c>
      <c r="J116" s="58">
        <f t="shared" ref="J116" si="493">+SUM(J117:J128)</f>
        <v>35800.185897435898</v>
      </c>
      <c r="K116" s="58">
        <f t="shared" ref="K116" si="494">+SUM(K117:K128)</f>
        <v>35800.185897435898</v>
      </c>
      <c r="L116" s="58">
        <f t="shared" ref="L116:M116" si="495">+SUM(L117:L128)</f>
        <v>34159.185897435898</v>
      </c>
      <c r="M116" s="58">
        <f t="shared" si="495"/>
        <v>426724.23076923075</v>
      </c>
      <c r="N116" s="20" t="s">
        <v>94</v>
      </c>
      <c r="O116" s="58">
        <f t="shared" ref="O116:AA116" si="496">+SUM(O117:O128)</f>
        <v>36859</v>
      </c>
      <c r="P116" s="58">
        <f t="shared" si="496"/>
        <v>36859</v>
      </c>
      <c r="Q116" s="58">
        <f t="shared" si="496"/>
        <v>36950</v>
      </c>
      <c r="R116" s="58">
        <f t="shared" si="496"/>
        <v>36950</v>
      </c>
      <c r="S116" s="58">
        <f t="shared" si="496"/>
        <v>36950</v>
      </c>
      <c r="T116" s="58">
        <f t="shared" si="496"/>
        <v>36950</v>
      </c>
      <c r="U116" s="58">
        <f t="shared" si="496"/>
        <v>36950</v>
      </c>
      <c r="V116" s="58">
        <f t="shared" si="496"/>
        <v>36950</v>
      </c>
      <c r="W116" s="58">
        <f t="shared" si="496"/>
        <v>38754.48717948718</v>
      </c>
      <c r="X116" s="58">
        <f t="shared" si="496"/>
        <v>82254.487179487172</v>
      </c>
      <c r="Y116" s="58">
        <f t="shared" si="496"/>
        <v>0</v>
      </c>
      <c r="Z116" s="58">
        <f t="shared" si="496"/>
        <v>0</v>
      </c>
      <c r="AA116" s="58">
        <f t="shared" si="496"/>
        <v>416426.97435897437</v>
      </c>
      <c r="AB116" s="118">
        <f t="shared" si="429"/>
        <v>1.1224506674165107</v>
      </c>
      <c r="AC116" s="58">
        <f t="shared" ref="AC116" si="497">+SUM(AC117:AC128)</f>
        <v>38754.48717948718</v>
      </c>
      <c r="AD116" s="58">
        <f t="shared" ref="AD116" si="498">+SUM(AD117:AD128)</f>
        <v>38754.48717948718</v>
      </c>
      <c r="AE116" s="58">
        <f t="shared" ref="AE116" si="499">+SUM(AE117:AE128)</f>
        <v>38754.48717948718</v>
      </c>
      <c r="AF116" s="58">
        <f t="shared" ref="AF116" si="500">+SUM(AF117:AF128)</f>
        <v>38754.48717948718</v>
      </c>
      <c r="AG116" s="58">
        <f t="shared" ref="AG116" si="501">+SUM(AG117:AG128)</f>
        <v>38754.48717948718</v>
      </c>
      <c r="AH116" s="58">
        <f t="shared" ref="AH116" si="502">+SUM(AH117:AH128)</f>
        <v>38754.48717948718</v>
      </c>
      <c r="AI116" s="58">
        <f t="shared" ref="AI116" si="503">+SUM(AI117:AI128)</f>
        <v>38754.48717948718</v>
      </c>
      <c r="AJ116" s="58">
        <f t="shared" ref="AJ116" si="504">+SUM(AJ117:AJ128)</f>
        <v>38754.48717948718</v>
      </c>
      <c r="AK116" s="58">
        <f t="shared" ref="AK116" si="505">+SUM(AK117:AK128)</f>
        <v>38754.48717948718</v>
      </c>
      <c r="AL116" s="58">
        <f t="shared" ref="AL116" si="506">+SUM(AL117:AL128)</f>
        <v>38754.48717948718</v>
      </c>
      <c r="AM116" s="58">
        <f t="shared" ref="AM116" si="507">+SUM(AM117:AM128)</f>
        <v>38754.48717948718</v>
      </c>
      <c r="AN116" s="58">
        <f t="shared" ref="AN116" si="508">+SUM(AN117:AN128)</f>
        <v>38754.48717948718</v>
      </c>
      <c r="AO116" s="58">
        <f t="shared" ref="AO116" si="509">+SUM(AO117:AO128)</f>
        <v>465053.84615384613</v>
      </c>
    </row>
    <row r="117" spans="1:41" hidden="1" outlineLevel="1">
      <c r="A117" s="106">
        <v>12862.000000000002</v>
      </c>
      <c r="B117" s="106">
        <v>12862.000000000002</v>
      </c>
      <c r="C117" s="106">
        <v>14300</v>
      </c>
      <c r="D117" s="106">
        <v>14300</v>
      </c>
      <c r="E117" s="106">
        <v>14300</v>
      </c>
      <c r="F117" s="106">
        <v>14300</v>
      </c>
      <c r="G117" s="106">
        <v>14300</v>
      </c>
      <c r="H117" s="106">
        <v>14300</v>
      </c>
      <c r="I117" s="106">
        <v>14300</v>
      </c>
      <c r="J117" s="106">
        <v>14300</v>
      </c>
      <c r="K117" s="106">
        <v>14300</v>
      </c>
      <c r="L117" s="106">
        <v>14300</v>
      </c>
      <c r="M117" s="106">
        <f t="shared" ref="M117:M128" si="510">+SUM(A117:L117)</f>
        <v>168724</v>
      </c>
      <c r="N117" s="16" t="s">
        <v>95</v>
      </c>
      <c r="O117" s="106">
        <f>+VLOOKUP($N117,'Jan-25'!A:J,3,0)</f>
        <v>16800</v>
      </c>
      <c r="P117" s="106">
        <f>+VLOOKUP($N117,'Feb-25'!A:J,3,0)</f>
        <v>16800</v>
      </c>
      <c r="Q117" s="106">
        <f>+VLOOKUP($N117,'Mar-25'!A:J,3,0)</f>
        <v>15000</v>
      </c>
      <c r="R117" s="106">
        <f>+VLOOKUP($N117,'Apr-25'!A:J,3,0)</f>
        <v>15000</v>
      </c>
      <c r="S117" s="106">
        <f>+VLOOKUP($N117,'May-25'!A:J,3,0)</f>
        <v>15000</v>
      </c>
      <c r="T117" s="106">
        <f>+VLOOKUP($N117,'June-25'!A:J,3,0)</f>
        <v>15000</v>
      </c>
      <c r="U117" s="106">
        <f>+VLOOKUP($N117,'July-25'!A:J,3,0)</f>
        <v>15000</v>
      </c>
      <c r="V117" s="106">
        <f>+VLOOKUP($N117,'Aug-25'!A:J,3,0)</f>
        <v>15000</v>
      </c>
      <c r="W117" s="106">
        <f>+VLOOKUP($N117,'Sep-25'!A:J,3,0)</f>
        <v>15000</v>
      </c>
      <c r="X117" s="106">
        <f>+VLOOKUP($N117,'Oct-25'!A:J,3,0)</f>
        <v>15000</v>
      </c>
      <c r="Y117" s="106">
        <f>+VLOOKUP($N117,'Nov-25'!A:J,3,0)</f>
        <v>0</v>
      </c>
      <c r="Z117" s="106">
        <f>+VLOOKUP($N117,'Dec-25'!A:J,3,0)</f>
        <v>0</v>
      </c>
      <c r="AA117" s="106">
        <f t="shared" ref="AA117:AA128" si="511">+SUM(O117:Z117)</f>
        <v>153600</v>
      </c>
      <c r="AB117" s="118">
        <f t="shared" si="429"/>
        <v>0</v>
      </c>
      <c r="AC117" s="106">
        <v>15000</v>
      </c>
      <c r="AD117" s="106">
        <v>15000</v>
      </c>
      <c r="AE117" s="106">
        <v>15000</v>
      </c>
      <c r="AF117" s="106">
        <v>15000</v>
      </c>
      <c r="AG117" s="106">
        <v>15000</v>
      </c>
      <c r="AH117" s="106">
        <v>15000</v>
      </c>
      <c r="AI117" s="106">
        <v>15000</v>
      </c>
      <c r="AJ117" s="106">
        <v>15000</v>
      </c>
      <c r="AK117" s="106">
        <v>15000</v>
      </c>
      <c r="AL117" s="106">
        <v>15000</v>
      </c>
      <c r="AM117" s="106">
        <v>15000</v>
      </c>
      <c r="AN117" s="106">
        <v>15000</v>
      </c>
      <c r="AO117" s="106">
        <f t="shared" ref="AO117:AO128" si="512">+SUM(AC117:AN117)</f>
        <v>180000</v>
      </c>
    </row>
    <row r="118" spans="1:41" hidden="1" outlineLevel="1">
      <c r="A118" s="106">
        <v>1744.0000000000002</v>
      </c>
      <c r="B118" s="106">
        <v>1744.0000000000002</v>
      </c>
      <c r="C118" s="106">
        <v>1600</v>
      </c>
      <c r="D118" s="106">
        <v>1600</v>
      </c>
      <c r="E118" s="106">
        <v>1600</v>
      </c>
      <c r="F118" s="106">
        <v>1600</v>
      </c>
      <c r="G118" s="106">
        <v>1600</v>
      </c>
      <c r="H118" s="106">
        <v>1600</v>
      </c>
      <c r="I118" s="106">
        <v>1600</v>
      </c>
      <c r="J118" s="106">
        <v>1600</v>
      </c>
      <c r="K118" s="106">
        <v>1600</v>
      </c>
      <c r="L118" s="106">
        <v>1600</v>
      </c>
      <c r="M118" s="106">
        <f t="shared" si="510"/>
        <v>19488</v>
      </c>
      <c r="N118" s="16" t="s">
        <v>96</v>
      </c>
      <c r="O118" s="106">
        <f>+VLOOKUP($N118,'Jan-25'!A:J,3,0)</f>
        <v>1600</v>
      </c>
      <c r="P118" s="106">
        <f>+VLOOKUP($N118,'Feb-25'!A:J,3,0)</f>
        <v>1600</v>
      </c>
      <c r="Q118" s="106">
        <f>+VLOOKUP($N118,'Mar-25'!A:J,3,0)</f>
        <v>2500</v>
      </c>
      <c r="R118" s="106">
        <f>+VLOOKUP($N118,'Apr-25'!A:J,3,0)</f>
        <v>2500</v>
      </c>
      <c r="S118" s="106">
        <f>+VLOOKUP($N118,'May-25'!A:J,3,0)</f>
        <v>2500</v>
      </c>
      <c r="T118" s="106">
        <f>+VLOOKUP($N118,'June-25'!A:J,3,0)</f>
        <v>2500</v>
      </c>
      <c r="U118" s="106">
        <f>+VLOOKUP($N118,'July-25'!A:J,3,0)</f>
        <v>2500</v>
      </c>
      <c r="V118" s="106">
        <f>+VLOOKUP($N118,'Aug-25'!A:J,3,0)</f>
        <v>2500</v>
      </c>
      <c r="W118" s="106">
        <f>+VLOOKUP($N118,'Sep-25'!A:J,3,0)</f>
        <v>2500</v>
      </c>
      <c r="X118" s="106">
        <f>+VLOOKUP($N118,'Oct-25'!A:J,3,0)</f>
        <v>2500</v>
      </c>
      <c r="Y118" s="106">
        <f>+VLOOKUP($N118,'Nov-25'!A:J,3,0)</f>
        <v>0</v>
      </c>
      <c r="Z118" s="106">
        <f>+VLOOKUP($N118,'Dec-25'!A:J,3,0)</f>
        <v>0</v>
      </c>
      <c r="AA118" s="106">
        <f t="shared" si="511"/>
        <v>23200</v>
      </c>
      <c r="AB118" s="118">
        <f t="shared" si="429"/>
        <v>0</v>
      </c>
      <c r="AC118" s="106">
        <v>2500</v>
      </c>
      <c r="AD118" s="106">
        <v>2500</v>
      </c>
      <c r="AE118" s="106">
        <v>2500</v>
      </c>
      <c r="AF118" s="106">
        <v>2500</v>
      </c>
      <c r="AG118" s="106">
        <v>2500</v>
      </c>
      <c r="AH118" s="106">
        <v>2500</v>
      </c>
      <c r="AI118" s="106">
        <v>2500</v>
      </c>
      <c r="AJ118" s="106">
        <v>2500</v>
      </c>
      <c r="AK118" s="106">
        <v>2500</v>
      </c>
      <c r="AL118" s="106">
        <v>2500</v>
      </c>
      <c r="AM118" s="106">
        <v>2500</v>
      </c>
      <c r="AN118" s="106">
        <v>2500</v>
      </c>
      <c r="AO118" s="106">
        <f t="shared" si="512"/>
        <v>30000</v>
      </c>
    </row>
    <row r="119" spans="1:41" hidden="1" outlineLevel="1">
      <c r="A119" s="106">
        <v>0</v>
      </c>
      <c r="B119" s="106">
        <v>0</v>
      </c>
      <c r="C119" s="106">
        <v>0</v>
      </c>
      <c r="D119" s="106">
        <v>0</v>
      </c>
      <c r="E119" s="106">
        <v>0</v>
      </c>
      <c r="F119" s="106">
        <v>0</v>
      </c>
      <c r="G119" s="106">
        <v>0</v>
      </c>
      <c r="H119" s="106">
        <v>0</v>
      </c>
      <c r="I119" s="106">
        <v>0</v>
      </c>
      <c r="J119" s="106">
        <v>0</v>
      </c>
      <c r="K119" s="106">
        <v>0</v>
      </c>
      <c r="L119" s="106">
        <v>0</v>
      </c>
      <c r="M119" s="106">
        <f t="shared" si="510"/>
        <v>0</v>
      </c>
      <c r="N119" s="16" t="s">
        <v>97</v>
      </c>
      <c r="O119" s="106">
        <f>+VLOOKUP($N119,'Jan-25'!A:J,3,0)</f>
        <v>0</v>
      </c>
      <c r="P119" s="106">
        <f>+VLOOKUP($N119,'Feb-25'!A:J,3,0)</f>
        <v>0</v>
      </c>
      <c r="Q119" s="106">
        <f>+VLOOKUP($N119,'Mar-25'!A:J,3,0)</f>
        <v>0</v>
      </c>
      <c r="R119" s="106">
        <f>+VLOOKUP($N119,'Apr-25'!A:J,3,0)</f>
        <v>0</v>
      </c>
      <c r="S119" s="106">
        <f>+VLOOKUP($N119,'May-25'!A:J,3,0)</f>
        <v>0</v>
      </c>
      <c r="T119" s="106">
        <f>+VLOOKUP($N119,'June-25'!A:J,3,0)</f>
        <v>0</v>
      </c>
      <c r="U119" s="106">
        <f>+VLOOKUP($N119,'July-25'!A:J,3,0)</f>
        <v>0</v>
      </c>
      <c r="V119" s="106">
        <f>+VLOOKUP($N119,'Aug-25'!A:J,3,0)</f>
        <v>0</v>
      </c>
      <c r="W119" s="106">
        <f>+VLOOKUP($N119,'Sep-25'!A:J,3,0)</f>
        <v>0</v>
      </c>
      <c r="X119" s="106">
        <f>+VLOOKUP($N119,'Oct-25'!A:J,3,0)</f>
        <v>0</v>
      </c>
      <c r="Y119" s="106">
        <f>+VLOOKUP($N119,'Nov-25'!A:J,3,0)</f>
        <v>0</v>
      </c>
      <c r="Z119" s="106">
        <f>+VLOOKUP($N119,'Dec-25'!A:J,3,0)</f>
        <v>0</v>
      </c>
      <c r="AA119" s="106">
        <f t="shared" si="511"/>
        <v>0</v>
      </c>
      <c r="AB119" s="118">
        <f t="shared" si="429"/>
        <v>0</v>
      </c>
      <c r="AC119" s="106">
        <v>0</v>
      </c>
      <c r="AD119" s="106">
        <v>0</v>
      </c>
      <c r="AE119" s="106">
        <v>0</v>
      </c>
      <c r="AF119" s="106">
        <v>0</v>
      </c>
      <c r="AG119" s="106">
        <v>0</v>
      </c>
      <c r="AH119" s="106">
        <v>0</v>
      </c>
      <c r="AI119" s="106">
        <v>0</v>
      </c>
      <c r="AJ119" s="106">
        <v>0</v>
      </c>
      <c r="AK119" s="106">
        <v>0</v>
      </c>
      <c r="AL119" s="106">
        <v>0</v>
      </c>
      <c r="AM119" s="106">
        <v>0</v>
      </c>
      <c r="AN119" s="106">
        <v>0</v>
      </c>
      <c r="AO119" s="106">
        <f t="shared" si="512"/>
        <v>0</v>
      </c>
    </row>
    <row r="120" spans="1:41" hidden="1" outlineLevel="1">
      <c r="A120" s="106">
        <v>4360</v>
      </c>
      <c r="B120" s="106">
        <v>4360</v>
      </c>
      <c r="C120" s="106">
        <v>4000</v>
      </c>
      <c r="D120" s="106">
        <v>4000</v>
      </c>
      <c r="E120" s="106">
        <v>4000</v>
      </c>
      <c r="F120" s="106">
        <v>4000</v>
      </c>
      <c r="G120" s="106">
        <v>4000</v>
      </c>
      <c r="H120" s="106">
        <v>4000</v>
      </c>
      <c r="I120" s="106">
        <v>4000</v>
      </c>
      <c r="J120" s="106">
        <v>4000</v>
      </c>
      <c r="K120" s="106">
        <v>4000</v>
      </c>
      <c r="L120" s="106">
        <v>4000</v>
      </c>
      <c r="M120" s="106">
        <f t="shared" si="510"/>
        <v>48720</v>
      </c>
      <c r="N120" s="16" t="s">
        <v>98</v>
      </c>
      <c r="O120" s="106">
        <f>+VLOOKUP($N120,'Jan-25'!A:J,3,0)</f>
        <v>4000</v>
      </c>
      <c r="P120" s="106">
        <f>+VLOOKUP($N120,'Feb-25'!A:J,3,0)</f>
        <v>4000</v>
      </c>
      <c r="Q120" s="106">
        <f>+VLOOKUP($N120,'Mar-25'!A:J,3,0)</f>
        <v>4000</v>
      </c>
      <c r="R120" s="106">
        <f>+VLOOKUP($N120,'Apr-25'!A:J,3,0)</f>
        <v>4000</v>
      </c>
      <c r="S120" s="106">
        <f>+VLOOKUP($N120,'May-25'!A:J,3,0)</f>
        <v>4000</v>
      </c>
      <c r="T120" s="106">
        <f>+VLOOKUP($N120,'June-25'!A:J,3,0)</f>
        <v>4000</v>
      </c>
      <c r="U120" s="106">
        <f>+VLOOKUP($N120,'July-25'!A:J,3,0)</f>
        <v>4000</v>
      </c>
      <c r="V120" s="106">
        <f>+VLOOKUP($N120,'Aug-25'!A:J,3,0)</f>
        <v>4000</v>
      </c>
      <c r="W120" s="106">
        <f>+VLOOKUP($N120,'Sep-25'!A:J,3,0)</f>
        <v>4000</v>
      </c>
      <c r="X120" s="106">
        <f>+VLOOKUP($N120,'Oct-25'!A:J,3,0)</f>
        <v>4000</v>
      </c>
      <c r="Y120" s="106">
        <f>+VLOOKUP($N120,'Nov-25'!A:J,3,0)</f>
        <v>0</v>
      </c>
      <c r="Z120" s="106">
        <f>+VLOOKUP($N120,'Dec-25'!A:J,3,0)</f>
        <v>0</v>
      </c>
      <c r="AA120" s="106">
        <f t="shared" si="511"/>
        <v>40000</v>
      </c>
      <c r="AB120" s="118">
        <f t="shared" si="429"/>
        <v>0</v>
      </c>
      <c r="AC120" s="106">
        <v>4000</v>
      </c>
      <c r="AD120" s="106">
        <v>4000</v>
      </c>
      <c r="AE120" s="106">
        <v>4000</v>
      </c>
      <c r="AF120" s="106">
        <v>4000</v>
      </c>
      <c r="AG120" s="106">
        <v>4000</v>
      </c>
      <c r="AH120" s="106">
        <v>4000</v>
      </c>
      <c r="AI120" s="106">
        <v>4000</v>
      </c>
      <c r="AJ120" s="106">
        <v>4000</v>
      </c>
      <c r="AK120" s="106">
        <v>4000</v>
      </c>
      <c r="AL120" s="106">
        <v>4000</v>
      </c>
      <c r="AM120" s="106">
        <v>4000</v>
      </c>
      <c r="AN120" s="106">
        <v>4000</v>
      </c>
      <c r="AO120" s="106">
        <f t="shared" si="512"/>
        <v>48000</v>
      </c>
    </row>
    <row r="121" spans="1:41" hidden="1" outlineLevel="1">
      <c r="A121" s="106">
        <v>0</v>
      </c>
      <c r="B121" s="106">
        <v>0</v>
      </c>
      <c r="C121" s="106">
        <v>0</v>
      </c>
      <c r="D121" s="106">
        <v>0</v>
      </c>
      <c r="E121" s="106">
        <v>0</v>
      </c>
      <c r="F121" s="106">
        <v>0</v>
      </c>
      <c r="G121" s="106">
        <v>0</v>
      </c>
      <c r="H121" s="106">
        <v>0</v>
      </c>
      <c r="I121" s="106">
        <v>0</v>
      </c>
      <c r="J121" s="106">
        <v>0</v>
      </c>
      <c r="K121" s="106">
        <v>0</v>
      </c>
      <c r="L121" s="106">
        <v>0</v>
      </c>
      <c r="M121" s="106">
        <f t="shared" si="510"/>
        <v>0</v>
      </c>
      <c r="N121" s="16" t="s">
        <v>99</v>
      </c>
      <c r="O121" s="106">
        <f>+VLOOKUP($N121,'Jan-25'!A:J,3,0)</f>
        <v>0</v>
      </c>
      <c r="P121" s="106">
        <f>+VLOOKUP($N121,'Feb-25'!A:J,3,0)</f>
        <v>0</v>
      </c>
      <c r="Q121" s="106">
        <f>+VLOOKUP($N121,'Mar-25'!A:J,3,0)</f>
        <v>0</v>
      </c>
      <c r="R121" s="106">
        <f>+VLOOKUP($N121,'Apr-25'!A:J,3,0)</f>
        <v>0</v>
      </c>
      <c r="S121" s="106">
        <f>+VLOOKUP($N121,'May-25'!A:J,3,0)</f>
        <v>0</v>
      </c>
      <c r="T121" s="106">
        <f>+VLOOKUP($N121,'June-25'!A:J,3,0)</f>
        <v>0</v>
      </c>
      <c r="U121" s="106">
        <f>+VLOOKUP($N121,'July-25'!A:J,3,0)</f>
        <v>0</v>
      </c>
      <c r="V121" s="106">
        <f>+VLOOKUP($N121,'Aug-25'!A:J,3,0)</f>
        <v>0</v>
      </c>
      <c r="W121" s="106">
        <f>+VLOOKUP($N121,'Sep-25'!A:J,3,0)</f>
        <v>0</v>
      </c>
      <c r="X121" s="106">
        <f>+VLOOKUP($N121,'Oct-25'!A:J,3,0)</f>
        <v>0</v>
      </c>
      <c r="Y121" s="106">
        <f>+VLOOKUP($N121,'Nov-25'!A:J,3,0)</f>
        <v>0</v>
      </c>
      <c r="Z121" s="106">
        <f>+VLOOKUP($N121,'Dec-25'!A:J,3,0)</f>
        <v>0</v>
      </c>
      <c r="AA121" s="106">
        <f t="shared" si="511"/>
        <v>0</v>
      </c>
      <c r="AB121" s="118">
        <f t="shared" si="429"/>
        <v>0</v>
      </c>
      <c r="AC121" s="106">
        <v>0</v>
      </c>
      <c r="AD121" s="106">
        <v>0</v>
      </c>
      <c r="AE121" s="106">
        <v>0</v>
      </c>
      <c r="AF121" s="106">
        <v>0</v>
      </c>
      <c r="AG121" s="106">
        <v>0</v>
      </c>
      <c r="AH121" s="106">
        <v>0</v>
      </c>
      <c r="AI121" s="106">
        <v>0</v>
      </c>
      <c r="AJ121" s="106">
        <v>0</v>
      </c>
      <c r="AK121" s="106">
        <v>0</v>
      </c>
      <c r="AL121" s="106">
        <v>0</v>
      </c>
      <c r="AM121" s="106">
        <v>0</v>
      </c>
      <c r="AN121" s="106">
        <v>0</v>
      </c>
      <c r="AO121" s="106">
        <f t="shared" si="512"/>
        <v>0</v>
      </c>
    </row>
    <row r="122" spans="1:41" hidden="1" outlineLevel="1">
      <c r="A122" s="106">
        <v>545</v>
      </c>
      <c r="B122" s="106">
        <v>545</v>
      </c>
      <c r="C122" s="106">
        <v>500</v>
      </c>
      <c r="D122" s="106">
        <v>500</v>
      </c>
      <c r="E122" s="106">
        <v>500</v>
      </c>
      <c r="F122" s="106">
        <v>500</v>
      </c>
      <c r="G122" s="106">
        <v>500</v>
      </c>
      <c r="H122" s="106">
        <v>500</v>
      </c>
      <c r="I122" s="106">
        <v>500</v>
      </c>
      <c r="J122" s="106">
        <v>500</v>
      </c>
      <c r="K122" s="106">
        <v>500</v>
      </c>
      <c r="L122" s="106">
        <v>500</v>
      </c>
      <c r="M122" s="106">
        <f t="shared" si="510"/>
        <v>6090</v>
      </c>
      <c r="N122" s="16" t="s">
        <v>100</v>
      </c>
      <c r="O122" s="106">
        <f>+VLOOKUP($N122,'Jan-25'!A:J,3,0)</f>
        <v>500</v>
      </c>
      <c r="P122" s="106">
        <f>+VLOOKUP($N122,'Feb-25'!A:J,3,0)</f>
        <v>500</v>
      </c>
      <c r="Q122" s="106">
        <f>+VLOOKUP($N122,'Mar-25'!A:J,3,0)</f>
        <v>500</v>
      </c>
      <c r="R122" s="106">
        <f>+VLOOKUP($N122,'Apr-25'!A:J,3,0)</f>
        <v>500</v>
      </c>
      <c r="S122" s="106">
        <f>+VLOOKUP($N122,'May-25'!A:J,3,0)</f>
        <v>500</v>
      </c>
      <c r="T122" s="106">
        <f>+VLOOKUP($N122,'June-25'!A:J,3,0)</f>
        <v>500</v>
      </c>
      <c r="U122" s="106">
        <f>+VLOOKUP($N122,'July-25'!A:J,3,0)</f>
        <v>500</v>
      </c>
      <c r="V122" s="106">
        <f>+VLOOKUP($N122,'Aug-25'!A:J,3,0)</f>
        <v>500</v>
      </c>
      <c r="W122" s="106">
        <f>+VLOOKUP($N122,'Sep-25'!A:J,3,0)</f>
        <v>500</v>
      </c>
      <c r="X122" s="106">
        <f>+VLOOKUP($N122,'Oct-25'!A:J,3,0)</f>
        <v>500</v>
      </c>
      <c r="Y122" s="106">
        <f>+VLOOKUP($N122,'Nov-25'!A:J,3,0)</f>
        <v>0</v>
      </c>
      <c r="Z122" s="106">
        <f>+VLOOKUP($N122,'Dec-25'!A:J,3,0)</f>
        <v>0</v>
      </c>
      <c r="AA122" s="106">
        <f t="shared" si="511"/>
        <v>5000</v>
      </c>
      <c r="AB122" s="118">
        <f t="shared" si="429"/>
        <v>0</v>
      </c>
      <c r="AC122" s="106">
        <v>500</v>
      </c>
      <c r="AD122" s="106">
        <v>500</v>
      </c>
      <c r="AE122" s="106">
        <v>500</v>
      </c>
      <c r="AF122" s="106">
        <v>500</v>
      </c>
      <c r="AG122" s="106">
        <v>500</v>
      </c>
      <c r="AH122" s="106">
        <v>500</v>
      </c>
      <c r="AI122" s="106">
        <v>500</v>
      </c>
      <c r="AJ122" s="106">
        <v>500</v>
      </c>
      <c r="AK122" s="106">
        <v>500</v>
      </c>
      <c r="AL122" s="106">
        <v>500</v>
      </c>
      <c r="AM122" s="106">
        <v>500</v>
      </c>
      <c r="AN122" s="106">
        <v>500</v>
      </c>
      <c r="AO122" s="106">
        <f t="shared" si="512"/>
        <v>6000</v>
      </c>
    </row>
    <row r="123" spans="1:41" hidden="1" outlineLevel="1">
      <c r="A123" s="106">
        <v>13189.000000000002</v>
      </c>
      <c r="B123" s="106">
        <v>13189.000000000002</v>
      </c>
      <c r="C123" s="106">
        <v>12100</v>
      </c>
      <c r="D123" s="106">
        <v>12100</v>
      </c>
      <c r="E123" s="106">
        <v>12100</v>
      </c>
      <c r="F123" s="106">
        <v>12100</v>
      </c>
      <c r="G123" s="106">
        <v>12100</v>
      </c>
      <c r="H123" s="106">
        <v>12100</v>
      </c>
      <c r="I123" s="106">
        <v>12100</v>
      </c>
      <c r="J123" s="106">
        <v>12100</v>
      </c>
      <c r="K123" s="106">
        <v>12100</v>
      </c>
      <c r="L123" s="106">
        <v>12100</v>
      </c>
      <c r="M123" s="106">
        <f t="shared" si="510"/>
        <v>147378</v>
      </c>
      <c r="N123" s="16" t="s">
        <v>101</v>
      </c>
      <c r="O123" s="106">
        <f>+VLOOKUP($N123,'Jan-25'!A:J,3,0)</f>
        <v>12100</v>
      </c>
      <c r="P123" s="106">
        <f>+VLOOKUP($N123,'Feb-25'!A:J,3,0)</f>
        <v>12100</v>
      </c>
      <c r="Q123" s="106">
        <f>+VLOOKUP($N123,'Mar-25'!A:J,3,0)</f>
        <v>13000</v>
      </c>
      <c r="R123" s="106">
        <f>+VLOOKUP($N123,'Apr-25'!A:J,3,0)</f>
        <v>13000</v>
      </c>
      <c r="S123" s="106">
        <f>+VLOOKUP($N123,'May-25'!A:J,3,0)</f>
        <v>13000</v>
      </c>
      <c r="T123" s="106">
        <f>+VLOOKUP($N123,'June-25'!A:J,3,0)</f>
        <v>13000</v>
      </c>
      <c r="U123" s="106">
        <f>+VLOOKUP($N123,'July-25'!A:J,3,0)</f>
        <v>13000</v>
      </c>
      <c r="V123" s="106">
        <f>+VLOOKUP($N123,'Aug-25'!A:J,3,0)</f>
        <v>13000</v>
      </c>
      <c r="W123" s="106">
        <f>+VLOOKUP($N123,'Sep-25'!A:J,3,0)</f>
        <v>13000</v>
      </c>
      <c r="X123" s="106">
        <f>+VLOOKUP($N123,'Oct-25'!A:J,3,0)</f>
        <v>56500</v>
      </c>
      <c r="Y123" s="106">
        <f>+VLOOKUP($N123,'Nov-25'!A:J,3,0)</f>
        <v>0</v>
      </c>
      <c r="Z123" s="106">
        <f>+VLOOKUP($N123,'Dec-25'!A:J,3,0)</f>
        <v>0</v>
      </c>
      <c r="AA123" s="106">
        <f t="shared" si="511"/>
        <v>171700</v>
      </c>
      <c r="AB123" s="118">
        <f t="shared" si="429"/>
        <v>3.3461538461538463</v>
      </c>
      <c r="AC123" s="106">
        <v>13000</v>
      </c>
      <c r="AD123" s="106">
        <v>13000</v>
      </c>
      <c r="AE123" s="106">
        <v>13000</v>
      </c>
      <c r="AF123" s="106">
        <v>13000</v>
      </c>
      <c r="AG123" s="106">
        <v>13000</v>
      </c>
      <c r="AH123" s="106">
        <v>13000</v>
      </c>
      <c r="AI123" s="106">
        <v>13000</v>
      </c>
      <c r="AJ123" s="106">
        <v>13000</v>
      </c>
      <c r="AK123" s="106">
        <v>13000</v>
      </c>
      <c r="AL123" s="106">
        <v>13000</v>
      </c>
      <c r="AM123" s="106">
        <v>13000</v>
      </c>
      <c r="AN123" s="106">
        <v>13000</v>
      </c>
      <c r="AO123" s="106">
        <f t="shared" si="512"/>
        <v>156000</v>
      </c>
    </row>
    <row r="124" spans="1:41" hidden="1" outlineLevel="1">
      <c r="A124" s="106">
        <v>1534</v>
      </c>
      <c r="B124" s="106">
        <v>1534</v>
      </c>
      <c r="C124" s="106">
        <v>1859</v>
      </c>
      <c r="D124" s="106">
        <v>0</v>
      </c>
      <c r="E124" s="106">
        <v>1641</v>
      </c>
      <c r="F124" s="106">
        <v>1641</v>
      </c>
      <c r="G124" s="106">
        <v>1641</v>
      </c>
      <c r="H124" s="106">
        <v>1641</v>
      </c>
      <c r="I124" s="106">
        <v>1641</v>
      </c>
      <c r="J124" s="106">
        <v>1641</v>
      </c>
      <c r="K124" s="106">
        <v>1641</v>
      </c>
      <c r="L124" s="106">
        <v>0</v>
      </c>
      <c r="M124" s="106">
        <f t="shared" si="510"/>
        <v>16414</v>
      </c>
      <c r="N124" s="16" t="s">
        <v>102</v>
      </c>
      <c r="O124" s="106">
        <f>+VLOOKUP($N124,'Jan-25'!A:J,3,0)</f>
        <v>1859</v>
      </c>
      <c r="P124" s="106">
        <f>+VLOOKUP($N124,'Feb-25'!A:J,3,0)</f>
        <v>1859</v>
      </c>
      <c r="Q124" s="106">
        <f>+VLOOKUP($N124,'Mar-25'!A:J,3,0)</f>
        <v>1950</v>
      </c>
      <c r="R124" s="106">
        <f>+VLOOKUP($N124,'Apr-25'!A:J,3,0)</f>
        <v>1950</v>
      </c>
      <c r="S124" s="106">
        <f>+VLOOKUP($N124,'May-25'!A:J,3,0)</f>
        <v>1949.9999999999998</v>
      </c>
      <c r="T124" s="106">
        <f>+VLOOKUP($N124,'June-25'!A:J,3,0)</f>
        <v>1949.9999999999998</v>
      </c>
      <c r="U124" s="106">
        <f>+VLOOKUP($N124,'July-25'!A:J,3,0)</f>
        <v>1949.9999999999998</v>
      </c>
      <c r="V124" s="106">
        <f>+VLOOKUP($N124,'Aug-25'!A:J,3,0)</f>
        <v>1949.9999999999998</v>
      </c>
      <c r="W124" s="106">
        <f>+VLOOKUP($N124,'Sep-25'!A:J,3,0)</f>
        <v>1949.9999999999998</v>
      </c>
      <c r="X124" s="106">
        <f>+VLOOKUP($N124,'Oct-25'!A:J,3,0)</f>
        <v>1949.9999999999998</v>
      </c>
      <c r="Y124" s="106">
        <f>+VLOOKUP($N124,'Nov-25'!A:J,3,0)</f>
        <v>0</v>
      </c>
      <c r="Z124" s="106">
        <f>+VLOOKUP($N124,'Dec-25'!A:J,3,0)</f>
        <v>0</v>
      </c>
      <c r="AA124" s="106">
        <f t="shared" si="511"/>
        <v>19318</v>
      </c>
      <c r="AB124" s="118">
        <f t="shared" si="429"/>
        <v>0</v>
      </c>
      <c r="AC124" s="106">
        <v>1949.9999999999998</v>
      </c>
      <c r="AD124" s="106">
        <v>1949.9999999999998</v>
      </c>
      <c r="AE124" s="106">
        <v>1949.9999999999998</v>
      </c>
      <c r="AF124" s="106">
        <v>1949.9999999999998</v>
      </c>
      <c r="AG124" s="106">
        <v>1949.9999999999998</v>
      </c>
      <c r="AH124" s="106">
        <v>1949.9999999999998</v>
      </c>
      <c r="AI124" s="106">
        <v>1949.9999999999998</v>
      </c>
      <c r="AJ124" s="106">
        <v>1949.9999999999998</v>
      </c>
      <c r="AK124" s="106">
        <v>1949.9999999999998</v>
      </c>
      <c r="AL124" s="106">
        <v>1949.9999999999998</v>
      </c>
      <c r="AM124" s="106">
        <v>1949.9999999999998</v>
      </c>
      <c r="AN124" s="106">
        <v>1949.9999999999998</v>
      </c>
      <c r="AO124" s="106">
        <f t="shared" si="512"/>
        <v>23399.999999999996</v>
      </c>
    </row>
    <row r="125" spans="1:41" hidden="1" outlineLevel="1">
      <c r="A125" s="106">
        <v>0</v>
      </c>
      <c r="B125" s="106">
        <v>0</v>
      </c>
      <c r="C125" s="106">
        <v>0</v>
      </c>
      <c r="D125" s="106">
        <v>0</v>
      </c>
      <c r="E125" s="106">
        <v>0</v>
      </c>
      <c r="F125" s="106">
        <v>0</v>
      </c>
      <c r="G125" s="106">
        <v>0</v>
      </c>
      <c r="H125" s="106">
        <v>0</v>
      </c>
      <c r="I125" s="106">
        <v>0</v>
      </c>
      <c r="J125" s="106">
        <v>0</v>
      </c>
      <c r="K125" s="106">
        <v>0</v>
      </c>
      <c r="L125" s="106">
        <v>0</v>
      </c>
      <c r="M125" s="106">
        <f t="shared" si="510"/>
        <v>0</v>
      </c>
      <c r="N125" s="16" t="s">
        <v>103</v>
      </c>
      <c r="O125" s="106">
        <f>+VLOOKUP($N125,'Jan-25'!A:J,3,0)</f>
        <v>0</v>
      </c>
      <c r="P125" s="106">
        <f>+VLOOKUP($N125,'Feb-25'!A:J,3,0)</f>
        <v>0</v>
      </c>
      <c r="Q125" s="106">
        <f>+VLOOKUP($N125,'Mar-25'!A:J,3,0)</f>
        <v>0</v>
      </c>
      <c r="R125" s="106">
        <f>+VLOOKUP($N125,'Apr-25'!A:J,3,0)</f>
        <v>0</v>
      </c>
      <c r="S125" s="106">
        <f>+VLOOKUP($N125,'May-25'!A:J,3,0)</f>
        <v>0</v>
      </c>
      <c r="T125" s="106">
        <f>+VLOOKUP($N125,'June-25'!A:J,3,0)</f>
        <v>0</v>
      </c>
      <c r="U125" s="106">
        <f>+VLOOKUP($N125,'July-25'!A:J,3,0)</f>
        <v>0</v>
      </c>
      <c r="V125" s="106">
        <f>+VLOOKUP($N125,'Aug-25'!A:J,3,0)</f>
        <v>0</v>
      </c>
      <c r="W125" s="106">
        <f>+VLOOKUP($N125,'Sep-25'!A:J,3,0)</f>
        <v>0</v>
      </c>
      <c r="X125" s="106">
        <f>+VLOOKUP($N125,'Oct-25'!A:J,3,0)</f>
        <v>0</v>
      </c>
      <c r="Y125" s="106">
        <f>+VLOOKUP($N125,'Nov-25'!A:J,3,0)</f>
        <v>0</v>
      </c>
      <c r="Z125" s="106">
        <f>+VLOOKUP($N125,'Dec-25'!A:J,3,0)</f>
        <v>0</v>
      </c>
      <c r="AA125" s="106">
        <f t="shared" si="511"/>
        <v>0</v>
      </c>
      <c r="AB125" s="118">
        <f t="shared" si="429"/>
        <v>0</v>
      </c>
      <c r="AC125" s="106">
        <v>0</v>
      </c>
      <c r="AD125" s="106">
        <v>0</v>
      </c>
      <c r="AE125" s="106">
        <v>0</v>
      </c>
      <c r="AF125" s="106">
        <v>0</v>
      </c>
      <c r="AG125" s="106">
        <v>0</v>
      </c>
      <c r="AH125" s="106">
        <v>0</v>
      </c>
      <c r="AI125" s="106">
        <v>0</v>
      </c>
      <c r="AJ125" s="106">
        <v>0</v>
      </c>
      <c r="AK125" s="106">
        <v>0</v>
      </c>
      <c r="AL125" s="106">
        <v>0</v>
      </c>
      <c r="AM125" s="106">
        <v>0</v>
      </c>
      <c r="AN125" s="106">
        <v>0</v>
      </c>
      <c r="AO125" s="106">
        <f t="shared" si="512"/>
        <v>0</v>
      </c>
    </row>
    <row r="126" spans="1:41" hidden="1" outlineLevel="1">
      <c r="A126" s="106">
        <v>0</v>
      </c>
      <c r="B126" s="106">
        <v>0</v>
      </c>
      <c r="C126" s="106">
        <v>0</v>
      </c>
      <c r="D126" s="106">
        <v>0</v>
      </c>
      <c r="E126" s="106">
        <v>0</v>
      </c>
      <c r="F126" s="106">
        <v>0</v>
      </c>
      <c r="G126" s="106">
        <v>0</v>
      </c>
      <c r="H126" s="106">
        <v>0</v>
      </c>
      <c r="I126" s="106">
        <v>0</v>
      </c>
      <c r="J126" s="106">
        <v>0</v>
      </c>
      <c r="K126" s="106">
        <v>0</v>
      </c>
      <c r="L126" s="106">
        <v>0</v>
      </c>
      <c r="M126" s="106">
        <f t="shared" si="510"/>
        <v>0</v>
      </c>
      <c r="N126" s="16" t="s">
        <v>104</v>
      </c>
      <c r="O126" s="106">
        <f>+VLOOKUP($N126,'Jan-25'!A:J,3,0)</f>
        <v>0</v>
      </c>
      <c r="P126" s="106">
        <f>+VLOOKUP($N126,'Feb-25'!A:J,3,0)</f>
        <v>0</v>
      </c>
      <c r="Q126" s="106">
        <f>+VLOOKUP($N126,'Mar-25'!A:J,3,0)</f>
        <v>0</v>
      </c>
      <c r="R126" s="106">
        <f>+VLOOKUP($N126,'Apr-25'!A:J,3,0)</f>
        <v>0</v>
      </c>
      <c r="S126" s="106">
        <f>+VLOOKUP($N126,'May-25'!A:J,3,0)</f>
        <v>0</v>
      </c>
      <c r="T126" s="106">
        <f>+VLOOKUP($N126,'June-25'!A:J,3,0)</f>
        <v>0</v>
      </c>
      <c r="U126" s="106">
        <f>+VLOOKUP($N126,'July-25'!A:J,3,0)</f>
        <v>0</v>
      </c>
      <c r="V126" s="106">
        <f>+VLOOKUP($N126,'Aug-25'!A:J,3,0)</f>
        <v>0</v>
      </c>
      <c r="W126" s="106">
        <f>+VLOOKUP($N126,'Sep-25'!A:J,3,0)</f>
        <v>0</v>
      </c>
      <c r="X126" s="106">
        <f>+VLOOKUP($N126,'Oct-25'!A:J,3,0)</f>
        <v>0</v>
      </c>
      <c r="Y126" s="106">
        <f>+VLOOKUP($N126,'Nov-25'!A:J,3,0)</f>
        <v>0</v>
      </c>
      <c r="Z126" s="106">
        <f>+VLOOKUP($N126,'Dec-25'!A:J,3,0)</f>
        <v>0</v>
      </c>
      <c r="AA126" s="106">
        <f t="shared" si="511"/>
        <v>0</v>
      </c>
      <c r="AB126" s="118">
        <f t="shared" si="429"/>
        <v>0</v>
      </c>
      <c r="AC126" s="106"/>
      <c r="AD126" s="106">
        <v>0</v>
      </c>
      <c r="AE126" s="106">
        <v>0</v>
      </c>
      <c r="AF126" s="106">
        <v>0</v>
      </c>
      <c r="AG126" s="106">
        <v>0</v>
      </c>
      <c r="AH126" s="106">
        <v>0</v>
      </c>
      <c r="AI126" s="106">
        <v>0</v>
      </c>
      <c r="AJ126" s="106">
        <v>0</v>
      </c>
      <c r="AK126" s="106">
        <v>0</v>
      </c>
      <c r="AL126" s="106">
        <v>0</v>
      </c>
      <c r="AM126" s="106">
        <v>0</v>
      </c>
      <c r="AN126" s="106">
        <v>0</v>
      </c>
      <c r="AO126" s="106">
        <f t="shared" si="512"/>
        <v>0</v>
      </c>
    </row>
    <row r="127" spans="1:41" hidden="1" outlineLevel="1">
      <c r="A127" s="106">
        <v>607.01923076923083</v>
      </c>
      <c r="B127" s="106">
        <v>607.01923076923083</v>
      </c>
      <c r="C127" s="106">
        <v>607.01923076923083</v>
      </c>
      <c r="D127" s="106">
        <v>607.01923076923083</v>
      </c>
      <c r="E127" s="106">
        <v>607.01923076923083</v>
      </c>
      <c r="F127" s="106">
        <v>607.01923076923083</v>
      </c>
      <c r="G127" s="106">
        <v>607.01923076923083</v>
      </c>
      <c r="H127" s="106">
        <v>607.01923076923083</v>
      </c>
      <c r="I127" s="106">
        <v>607.01923076923083</v>
      </c>
      <c r="J127" s="106">
        <v>607.01923076923083</v>
      </c>
      <c r="K127" s="106">
        <v>607.01923076923083</v>
      </c>
      <c r="L127" s="106">
        <v>607.01923076923083</v>
      </c>
      <c r="M127" s="106">
        <f t="shared" si="510"/>
        <v>7284.2307692307686</v>
      </c>
      <c r="N127" s="16" t="s">
        <v>105</v>
      </c>
      <c r="O127" s="106">
        <f>+VLOOKUP($N127,'Jan-25'!A:J,3,0)</f>
        <v>0</v>
      </c>
      <c r="P127" s="106">
        <f>+VLOOKUP($N127,'Feb-25'!A:J,3,0)</f>
        <v>0</v>
      </c>
      <c r="Q127" s="106">
        <f>+VLOOKUP($N127,'Mar-25'!A:J,3,0)</f>
        <v>0</v>
      </c>
      <c r="R127" s="106">
        <f>+VLOOKUP($N127,'Apr-25'!A:J,3,0)</f>
        <v>0</v>
      </c>
      <c r="S127" s="106">
        <f>+VLOOKUP($N127,'May-25'!A:J,3,0)</f>
        <v>0</v>
      </c>
      <c r="T127" s="106">
        <f>+VLOOKUP($N127,'June-25'!A:J,3,0)</f>
        <v>0</v>
      </c>
      <c r="U127" s="106">
        <f>+VLOOKUP($N127,'July-25'!A:J,3,0)</f>
        <v>0</v>
      </c>
      <c r="V127" s="106">
        <f>+VLOOKUP($N127,'Aug-25'!A:J,3,0)</f>
        <v>0</v>
      </c>
      <c r="W127" s="106">
        <f>+VLOOKUP($N127,'Sep-25'!A:J,3,0)</f>
        <v>721.15384615384619</v>
      </c>
      <c r="X127" s="106">
        <f>+VLOOKUP($N127,'Oct-25'!A:J,3,0)</f>
        <v>721.15384615384619</v>
      </c>
      <c r="Y127" s="106">
        <f>+VLOOKUP($N127,'Nov-25'!A:J,3,0)</f>
        <v>0</v>
      </c>
      <c r="Z127" s="106">
        <f>+VLOOKUP($N127,'Dec-25'!A:J,3,0)</f>
        <v>0</v>
      </c>
      <c r="AA127" s="106">
        <f t="shared" si="511"/>
        <v>1442.3076923076924</v>
      </c>
      <c r="AB127" s="118">
        <f t="shared" si="429"/>
        <v>0</v>
      </c>
      <c r="AC127" s="106">
        <v>721.15384615384619</v>
      </c>
      <c r="AD127" s="106">
        <v>721.15384615384619</v>
      </c>
      <c r="AE127" s="106">
        <v>721.15384615384619</v>
      </c>
      <c r="AF127" s="106">
        <v>721.15384615384619</v>
      </c>
      <c r="AG127" s="106">
        <v>721.15384615384619</v>
      </c>
      <c r="AH127" s="106">
        <v>721.15384615384619</v>
      </c>
      <c r="AI127" s="106">
        <v>721.15384615384619</v>
      </c>
      <c r="AJ127" s="106">
        <v>721.15384615384619</v>
      </c>
      <c r="AK127" s="106">
        <v>721.15384615384619</v>
      </c>
      <c r="AL127" s="106">
        <v>721.15384615384619</v>
      </c>
      <c r="AM127" s="106">
        <v>721.15384615384619</v>
      </c>
      <c r="AN127" s="106">
        <v>721.15384615384619</v>
      </c>
      <c r="AO127" s="106">
        <f t="shared" si="512"/>
        <v>8653.8461538461524</v>
      </c>
    </row>
    <row r="128" spans="1:41" hidden="1" outlineLevel="1">
      <c r="A128" s="106">
        <v>1052.1666666666667</v>
      </c>
      <c r="B128" s="106">
        <v>1052.1666666666667</v>
      </c>
      <c r="C128" s="106">
        <v>1052.1666666666667</v>
      </c>
      <c r="D128" s="106">
        <v>1052.1666666666667</v>
      </c>
      <c r="E128" s="106">
        <v>1052.1666666666667</v>
      </c>
      <c r="F128" s="106">
        <v>1052.1666666666667</v>
      </c>
      <c r="G128" s="106">
        <v>1052.1666666666667</v>
      </c>
      <c r="H128" s="106">
        <v>1052.1666666666667</v>
      </c>
      <c r="I128" s="106">
        <v>1052.1666666666667</v>
      </c>
      <c r="J128" s="106">
        <v>1052.1666666666667</v>
      </c>
      <c r="K128" s="106">
        <v>1052.1666666666667</v>
      </c>
      <c r="L128" s="106">
        <v>1052.1666666666667</v>
      </c>
      <c r="M128" s="106">
        <f t="shared" si="510"/>
        <v>12625.999999999998</v>
      </c>
      <c r="N128" s="16" t="s">
        <v>226</v>
      </c>
      <c r="O128" s="106">
        <f>+VLOOKUP($N128,'Jan-25'!A:J,3,0)</f>
        <v>0</v>
      </c>
      <c r="P128" s="106">
        <f>+VLOOKUP($N128,'Feb-25'!A:J,3,0)</f>
        <v>0</v>
      </c>
      <c r="Q128" s="106">
        <f>+VLOOKUP($N128,'Mar-25'!A:J,3,0)</f>
        <v>0</v>
      </c>
      <c r="R128" s="106">
        <f>+VLOOKUP($N128,'Apr-25'!A:J,3,0)</f>
        <v>0</v>
      </c>
      <c r="S128" s="106">
        <f>+VLOOKUP($N128,'May-25'!A:J,3,0)</f>
        <v>0</v>
      </c>
      <c r="T128" s="106">
        <f>+VLOOKUP($N128,'June-25'!A:J,3,0)</f>
        <v>0</v>
      </c>
      <c r="U128" s="106">
        <f>+VLOOKUP($N128,'July-25'!A:J,3,0)</f>
        <v>0</v>
      </c>
      <c r="V128" s="106">
        <f>+VLOOKUP($N128,'Aug-25'!A:J,3,0)</f>
        <v>0</v>
      </c>
      <c r="W128" s="106">
        <f>+VLOOKUP($N128,'Sep-25'!A:J,3,0)</f>
        <v>1083.3333333333333</v>
      </c>
      <c r="X128" s="106">
        <f>+VLOOKUP($N128,'Oct-25'!A:J,3,0)</f>
        <v>1083.3333333333333</v>
      </c>
      <c r="Y128" s="106">
        <f>+VLOOKUP($N128,'Nov-25'!A:J,3,0)</f>
        <v>0</v>
      </c>
      <c r="Z128" s="106">
        <f>+VLOOKUP($N128,'Dec-25'!A:J,3,0)</f>
        <v>0</v>
      </c>
      <c r="AA128" s="106">
        <f t="shared" si="511"/>
        <v>2166.6666666666665</v>
      </c>
      <c r="AB128" s="118">
        <f t="shared" si="429"/>
        <v>0</v>
      </c>
      <c r="AC128" s="106">
        <v>1083.3333333333333</v>
      </c>
      <c r="AD128" s="106">
        <v>1083.3333333333333</v>
      </c>
      <c r="AE128" s="106">
        <v>1083.3333333333333</v>
      </c>
      <c r="AF128" s="106">
        <v>1083.3333333333333</v>
      </c>
      <c r="AG128" s="106">
        <v>1083.3333333333333</v>
      </c>
      <c r="AH128" s="106">
        <v>1083.3333333333333</v>
      </c>
      <c r="AI128" s="106">
        <v>1083.3333333333333</v>
      </c>
      <c r="AJ128" s="106">
        <v>1083.3333333333333</v>
      </c>
      <c r="AK128" s="106">
        <v>1083.3333333333333</v>
      </c>
      <c r="AL128" s="106">
        <v>1083.3333333333333</v>
      </c>
      <c r="AM128" s="106">
        <v>1083.3333333333333</v>
      </c>
      <c r="AN128" s="106">
        <v>1083.3333333333333</v>
      </c>
      <c r="AO128" s="106">
        <f t="shared" si="512"/>
        <v>13000.000000000002</v>
      </c>
    </row>
    <row r="129" spans="1:41" hidden="1" outlineLevel="1">
      <c r="A129" s="58">
        <f t="shared" ref="A129" si="513">+SUM(A130:A132)</f>
        <v>0</v>
      </c>
      <c r="B129" s="58">
        <f t="shared" ref="B129" si="514">+SUM(B130:B132)</f>
        <v>0</v>
      </c>
      <c r="C129" s="58">
        <f t="shared" ref="C129" si="515">+SUM(C130:C132)</f>
        <v>0</v>
      </c>
      <c r="D129" s="58">
        <f t="shared" ref="D129" si="516">+SUM(D130:D132)</f>
        <v>0</v>
      </c>
      <c r="E129" s="58">
        <f t="shared" ref="E129" si="517">+SUM(E130:E132)</f>
        <v>0</v>
      </c>
      <c r="F129" s="58">
        <f t="shared" ref="F129" si="518">+SUM(F130:F132)</f>
        <v>0</v>
      </c>
      <c r="G129" s="58">
        <f t="shared" ref="G129" si="519">+SUM(G130:G132)</f>
        <v>0</v>
      </c>
      <c r="H129" s="58">
        <f t="shared" ref="H129" si="520">+SUM(H130:H132)</f>
        <v>0</v>
      </c>
      <c r="I129" s="58">
        <f t="shared" ref="I129" si="521">+SUM(I130:I132)</f>
        <v>0</v>
      </c>
      <c r="J129" s="58">
        <f t="shared" ref="J129" si="522">+SUM(J130:J132)</f>
        <v>0</v>
      </c>
      <c r="K129" s="58">
        <f t="shared" ref="K129" si="523">+SUM(K130:K132)</f>
        <v>0</v>
      </c>
      <c r="L129" s="58">
        <f t="shared" ref="L129:M129" si="524">+SUM(L130:L132)</f>
        <v>0</v>
      </c>
      <c r="M129" s="58">
        <f t="shared" si="524"/>
        <v>0</v>
      </c>
      <c r="N129" s="20" t="s">
        <v>106</v>
      </c>
      <c r="O129" s="58">
        <f t="shared" ref="O129:AA129" si="525">+SUM(O130:O132)</f>
        <v>0</v>
      </c>
      <c r="P129" s="58">
        <f t="shared" si="525"/>
        <v>0</v>
      </c>
      <c r="Q129" s="58">
        <f t="shared" si="525"/>
        <v>0</v>
      </c>
      <c r="R129" s="58">
        <f t="shared" si="525"/>
        <v>0</v>
      </c>
      <c r="S129" s="58">
        <f t="shared" si="525"/>
        <v>0</v>
      </c>
      <c r="T129" s="58">
        <f t="shared" si="525"/>
        <v>0</v>
      </c>
      <c r="U129" s="58">
        <f t="shared" si="525"/>
        <v>0</v>
      </c>
      <c r="V129" s="58">
        <f t="shared" si="525"/>
        <v>0</v>
      </c>
      <c r="W129" s="58">
        <f t="shared" si="525"/>
        <v>0</v>
      </c>
      <c r="X129" s="58">
        <f t="shared" si="525"/>
        <v>0</v>
      </c>
      <c r="Y129" s="58">
        <f t="shared" si="525"/>
        <v>0</v>
      </c>
      <c r="Z129" s="58">
        <f t="shared" si="525"/>
        <v>0</v>
      </c>
      <c r="AA129" s="58">
        <f t="shared" si="525"/>
        <v>0</v>
      </c>
      <c r="AB129" s="118">
        <f t="shared" si="429"/>
        <v>0</v>
      </c>
      <c r="AC129" s="58">
        <f t="shared" ref="AC129" si="526">+SUM(AC130:AC132)</f>
        <v>0</v>
      </c>
      <c r="AD129" s="58">
        <f t="shared" ref="AD129" si="527">+SUM(AD130:AD132)</f>
        <v>0</v>
      </c>
      <c r="AE129" s="58">
        <f t="shared" ref="AE129" si="528">+SUM(AE130:AE132)</f>
        <v>0</v>
      </c>
      <c r="AF129" s="58">
        <f t="shared" ref="AF129" si="529">+SUM(AF130:AF132)</f>
        <v>0</v>
      </c>
      <c r="AG129" s="58">
        <f t="shared" ref="AG129" si="530">+SUM(AG130:AG132)</f>
        <v>0</v>
      </c>
      <c r="AH129" s="58">
        <f t="shared" ref="AH129" si="531">+SUM(AH130:AH132)</f>
        <v>0</v>
      </c>
      <c r="AI129" s="58">
        <f t="shared" ref="AI129" si="532">+SUM(AI130:AI132)</f>
        <v>0</v>
      </c>
      <c r="AJ129" s="58">
        <f t="shared" ref="AJ129" si="533">+SUM(AJ130:AJ132)</f>
        <v>0</v>
      </c>
      <c r="AK129" s="58">
        <f t="shared" ref="AK129" si="534">+SUM(AK130:AK132)</f>
        <v>0</v>
      </c>
      <c r="AL129" s="58">
        <f t="shared" ref="AL129" si="535">+SUM(AL130:AL132)</f>
        <v>0</v>
      </c>
      <c r="AM129" s="58">
        <f t="shared" ref="AM129" si="536">+SUM(AM130:AM132)</f>
        <v>0</v>
      </c>
      <c r="AN129" s="58">
        <f t="shared" ref="AN129" si="537">+SUM(AN130:AN132)</f>
        <v>0</v>
      </c>
      <c r="AO129" s="58">
        <f t="shared" ref="AO129" si="538">+SUM(AO130:AO132)</f>
        <v>0</v>
      </c>
    </row>
    <row r="130" spans="1:41" hidden="1" outlineLevel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>
        <f t="shared" ref="M130:M132" si="539">+SUM(A130:L130)</f>
        <v>0</v>
      </c>
      <c r="N130" s="16" t="s">
        <v>107</v>
      </c>
      <c r="O130" s="106">
        <f>+VLOOKUP($N130,'Jan-25'!A:J,3,0)</f>
        <v>0</v>
      </c>
      <c r="P130" s="106">
        <f>+VLOOKUP($N130,'Feb-25'!A:J,3,0)</f>
        <v>0</v>
      </c>
      <c r="Q130" s="106">
        <f>+VLOOKUP($N130,'Mar-25'!A:J,3,0)</f>
        <v>0</v>
      </c>
      <c r="R130" s="106">
        <f>+VLOOKUP($N130,'Apr-25'!A:J,3,0)</f>
        <v>0</v>
      </c>
      <c r="S130" s="106">
        <f>+VLOOKUP($N130,'May-25'!A:J,3,0)</f>
        <v>0</v>
      </c>
      <c r="T130" s="106">
        <f>+VLOOKUP($N130,'June-25'!A:J,3,0)</f>
        <v>0</v>
      </c>
      <c r="U130" s="106">
        <f>+VLOOKUP($N130,'July-25'!A:J,3,0)</f>
        <v>0</v>
      </c>
      <c r="V130" s="106">
        <f>+VLOOKUP($N130,'Aug-25'!A:J,3,0)</f>
        <v>0</v>
      </c>
      <c r="W130" s="106">
        <f>+VLOOKUP($N130,'Sep-25'!A:J,3,0)</f>
        <v>0</v>
      </c>
      <c r="X130" s="106">
        <f>+VLOOKUP($N130,'Oct-25'!A:J,3,0)</f>
        <v>0</v>
      </c>
      <c r="Y130" s="106">
        <f>+VLOOKUP($N130,'Nov-25'!A:J,3,0)</f>
        <v>0</v>
      </c>
      <c r="Z130" s="106">
        <f>+VLOOKUP($N130,'Dec-25'!A:J,3,0)</f>
        <v>0</v>
      </c>
      <c r="AA130" s="106">
        <f t="shared" ref="AA130:AA132" si="540">+SUM(O130:Z130)</f>
        <v>0</v>
      </c>
      <c r="AB130" s="118">
        <f t="shared" si="429"/>
        <v>0</v>
      </c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</row>
    <row r="131" spans="1:41" hidden="1" outlineLevel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>
        <f t="shared" si="539"/>
        <v>0</v>
      </c>
      <c r="N131" s="16" t="s">
        <v>108</v>
      </c>
      <c r="O131" s="106">
        <f>+VLOOKUP($N131,'Jan-25'!A:J,3,0)</f>
        <v>0</v>
      </c>
      <c r="P131" s="106">
        <f>+VLOOKUP($N131,'Feb-25'!A:J,3,0)</f>
        <v>0</v>
      </c>
      <c r="Q131" s="106">
        <f>+VLOOKUP($N131,'Mar-25'!A:J,3,0)</f>
        <v>0</v>
      </c>
      <c r="R131" s="106">
        <f>+VLOOKUP($N131,'Apr-25'!A:J,3,0)</f>
        <v>0</v>
      </c>
      <c r="S131" s="106">
        <f>+VLOOKUP($N131,'May-25'!A:J,3,0)</f>
        <v>0</v>
      </c>
      <c r="T131" s="106">
        <f>+VLOOKUP($N131,'June-25'!A:J,3,0)</f>
        <v>0</v>
      </c>
      <c r="U131" s="106">
        <f>+VLOOKUP($N131,'July-25'!A:J,3,0)</f>
        <v>0</v>
      </c>
      <c r="V131" s="106">
        <f>+VLOOKUP($N131,'Aug-25'!A:J,3,0)</f>
        <v>0</v>
      </c>
      <c r="W131" s="106">
        <f>+VLOOKUP($N131,'Sep-25'!A:J,3,0)</f>
        <v>0</v>
      </c>
      <c r="X131" s="106">
        <f>+VLOOKUP($N131,'Oct-25'!A:J,3,0)</f>
        <v>0</v>
      </c>
      <c r="Y131" s="106">
        <f>+VLOOKUP($N131,'Nov-25'!A:J,3,0)</f>
        <v>0</v>
      </c>
      <c r="Z131" s="106">
        <f>+VLOOKUP($N131,'Dec-25'!A:J,3,0)</f>
        <v>0</v>
      </c>
      <c r="AA131" s="106">
        <f t="shared" si="540"/>
        <v>0</v>
      </c>
      <c r="AB131" s="118">
        <f t="shared" si="429"/>
        <v>0</v>
      </c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</row>
    <row r="132" spans="1:41" hidden="1" outlineLevel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>
        <f t="shared" si="539"/>
        <v>0</v>
      </c>
      <c r="N132" s="16" t="s">
        <v>109</v>
      </c>
      <c r="O132" s="106">
        <f>+VLOOKUP($N132,'Jan-25'!A:J,3,0)</f>
        <v>0</v>
      </c>
      <c r="P132" s="106">
        <f>+VLOOKUP($N132,'Feb-25'!A:J,3,0)</f>
        <v>0</v>
      </c>
      <c r="Q132" s="106">
        <f>+VLOOKUP($N132,'Mar-25'!A:J,3,0)</f>
        <v>0</v>
      </c>
      <c r="R132" s="106">
        <f>+VLOOKUP($N132,'Apr-25'!A:J,3,0)</f>
        <v>0</v>
      </c>
      <c r="S132" s="106">
        <f>+VLOOKUP($N132,'May-25'!A:J,3,0)</f>
        <v>0</v>
      </c>
      <c r="T132" s="106">
        <f>+VLOOKUP($N132,'June-25'!A:J,3,0)</f>
        <v>0</v>
      </c>
      <c r="U132" s="106">
        <f>+VLOOKUP($N132,'July-25'!A:J,3,0)</f>
        <v>0</v>
      </c>
      <c r="V132" s="106">
        <f>+VLOOKUP($N132,'Aug-25'!A:J,3,0)</f>
        <v>0</v>
      </c>
      <c r="W132" s="106">
        <f>+VLOOKUP($N132,'Sep-25'!A:J,3,0)</f>
        <v>0</v>
      </c>
      <c r="X132" s="106">
        <f>+VLOOKUP($N132,'Oct-25'!A:J,3,0)</f>
        <v>0</v>
      </c>
      <c r="Y132" s="106">
        <f>+VLOOKUP($N132,'Nov-25'!A:J,3,0)</f>
        <v>0</v>
      </c>
      <c r="Z132" s="106">
        <f>+VLOOKUP($N132,'Dec-25'!A:J,3,0)</f>
        <v>0</v>
      </c>
      <c r="AA132" s="106">
        <f t="shared" si="540"/>
        <v>0</v>
      </c>
      <c r="AB132" s="118">
        <f t="shared" si="429"/>
        <v>0</v>
      </c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</row>
    <row r="133" spans="1:41" hidden="1" outlineLevel="1">
      <c r="A133" s="58">
        <f t="shared" ref="A133" si="541">+SUM(A134:A137)</f>
        <v>0</v>
      </c>
      <c r="B133" s="58">
        <f t="shared" ref="B133" si="542">+SUM(B134:B137)</f>
        <v>0</v>
      </c>
      <c r="C133" s="58">
        <f t="shared" ref="C133" si="543">+SUM(C134:C137)</f>
        <v>0</v>
      </c>
      <c r="D133" s="58">
        <f t="shared" ref="D133" si="544">+SUM(D134:D137)</f>
        <v>0</v>
      </c>
      <c r="E133" s="58">
        <f t="shared" ref="E133" si="545">+SUM(E134:E137)</f>
        <v>0</v>
      </c>
      <c r="F133" s="58">
        <f t="shared" ref="F133" si="546">+SUM(F134:F137)</f>
        <v>0</v>
      </c>
      <c r="G133" s="58">
        <f t="shared" ref="G133" si="547">+SUM(G134:G137)</f>
        <v>0</v>
      </c>
      <c r="H133" s="58">
        <f t="shared" ref="H133" si="548">+SUM(H134:H137)</f>
        <v>0</v>
      </c>
      <c r="I133" s="58">
        <f t="shared" ref="I133" si="549">+SUM(I134:I137)</f>
        <v>0</v>
      </c>
      <c r="J133" s="58">
        <f t="shared" ref="J133" si="550">+SUM(J134:J137)</f>
        <v>0</v>
      </c>
      <c r="K133" s="58">
        <f t="shared" ref="K133" si="551">+SUM(K134:K137)</f>
        <v>0</v>
      </c>
      <c r="L133" s="58">
        <f t="shared" ref="L133:M133" si="552">+SUM(L134:L137)</f>
        <v>0</v>
      </c>
      <c r="M133" s="58">
        <f t="shared" si="552"/>
        <v>0</v>
      </c>
      <c r="N133" s="20" t="s">
        <v>110</v>
      </c>
      <c r="O133" s="58">
        <f t="shared" ref="O133:AA133" si="553">+SUM(O134:O137)</f>
        <v>0</v>
      </c>
      <c r="P133" s="58">
        <f t="shared" si="553"/>
        <v>0</v>
      </c>
      <c r="Q133" s="58">
        <f t="shared" si="553"/>
        <v>0</v>
      </c>
      <c r="R133" s="58">
        <f t="shared" si="553"/>
        <v>0</v>
      </c>
      <c r="S133" s="58">
        <f t="shared" si="553"/>
        <v>0</v>
      </c>
      <c r="T133" s="58">
        <f t="shared" si="553"/>
        <v>0</v>
      </c>
      <c r="U133" s="58">
        <f t="shared" si="553"/>
        <v>0</v>
      </c>
      <c r="V133" s="58">
        <f t="shared" si="553"/>
        <v>0</v>
      </c>
      <c r="W133" s="58">
        <f t="shared" si="553"/>
        <v>0</v>
      </c>
      <c r="X133" s="58">
        <f t="shared" si="553"/>
        <v>0</v>
      </c>
      <c r="Y133" s="58">
        <f t="shared" si="553"/>
        <v>0</v>
      </c>
      <c r="Z133" s="58">
        <f t="shared" si="553"/>
        <v>0</v>
      </c>
      <c r="AA133" s="58">
        <f t="shared" si="553"/>
        <v>0</v>
      </c>
      <c r="AB133" s="118">
        <f t="shared" si="429"/>
        <v>0</v>
      </c>
      <c r="AC133" s="58">
        <f t="shared" ref="AC133" si="554">+SUM(AC134:AC137)</f>
        <v>0</v>
      </c>
      <c r="AD133" s="58">
        <f t="shared" ref="AD133" si="555">+SUM(AD134:AD137)</f>
        <v>0</v>
      </c>
      <c r="AE133" s="58">
        <f t="shared" ref="AE133" si="556">+SUM(AE134:AE137)</f>
        <v>0</v>
      </c>
      <c r="AF133" s="58">
        <f t="shared" ref="AF133" si="557">+SUM(AF134:AF137)</f>
        <v>0</v>
      </c>
      <c r="AG133" s="58">
        <f t="shared" ref="AG133" si="558">+SUM(AG134:AG137)</f>
        <v>0</v>
      </c>
      <c r="AH133" s="58">
        <f t="shared" ref="AH133" si="559">+SUM(AH134:AH137)</f>
        <v>0</v>
      </c>
      <c r="AI133" s="58">
        <f t="shared" ref="AI133" si="560">+SUM(AI134:AI137)</f>
        <v>0</v>
      </c>
      <c r="AJ133" s="58">
        <f t="shared" ref="AJ133" si="561">+SUM(AJ134:AJ137)</f>
        <v>0</v>
      </c>
      <c r="AK133" s="58">
        <f t="shared" ref="AK133" si="562">+SUM(AK134:AK137)</f>
        <v>0</v>
      </c>
      <c r="AL133" s="58">
        <f t="shared" ref="AL133" si="563">+SUM(AL134:AL137)</f>
        <v>0</v>
      </c>
      <c r="AM133" s="58">
        <f t="shared" ref="AM133" si="564">+SUM(AM134:AM137)</f>
        <v>0</v>
      </c>
      <c r="AN133" s="58">
        <f t="shared" ref="AN133" si="565">+SUM(AN134:AN137)</f>
        <v>0</v>
      </c>
      <c r="AO133" s="58">
        <f t="shared" ref="AO133" si="566">+SUM(AO134:AO137)</f>
        <v>0</v>
      </c>
    </row>
    <row r="134" spans="1:41" hidden="1" outlineLevel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>
        <f t="shared" ref="M134:M137" si="567">+SUM(A134:L134)</f>
        <v>0</v>
      </c>
      <c r="N134" s="16" t="s">
        <v>111</v>
      </c>
      <c r="O134" s="106">
        <f>+VLOOKUP($N134,'Jan-25'!A:J,3,0)</f>
        <v>0</v>
      </c>
      <c r="P134" s="106">
        <f>+VLOOKUP($N134,'Feb-25'!A:J,3,0)</f>
        <v>0</v>
      </c>
      <c r="Q134" s="106">
        <f>+VLOOKUP($N134,'Mar-25'!A:J,3,0)</f>
        <v>0</v>
      </c>
      <c r="R134" s="106">
        <f>+VLOOKUP($N134,'Apr-25'!A:J,3,0)</f>
        <v>0</v>
      </c>
      <c r="S134" s="106">
        <f>+VLOOKUP($N134,'May-25'!A:J,3,0)</f>
        <v>0</v>
      </c>
      <c r="T134" s="106">
        <f>+VLOOKUP($N134,'June-25'!A:J,3,0)</f>
        <v>0</v>
      </c>
      <c r="U134" s="106">
        <f>+VLOOKUP($N134,'July-25'!A:J,3,0)</f>
        <v>0</v>
      </c>
      <c r="V134" s="106">
        <f>+VLOOKUP($N134,'Aug-25'!A:J,3,0)</f>
        <v>0</v>
      </c>
      <c r="W134" s="106">
        <f>+VLOOKUP($N134,'Sep-25'!A:J,3,0)</f>
        <v>0</v>
      </c>
      <c r="X134" s="106">
        <f>+VLOOKUP($N134,'Oct-25'!A:J,3,0)</f>
        <v>0</v>
      </c>
      <c r="Y134" s="106">
        <f>+VLOOKUP($N134,'Nov-25'!A:J,3,0)</f>
        <v>0</v>
      </c>
      <c r="Z134" s="106">
        <f>+VLOOKUP($N134,'Dec-25'!A:J,3,0)</f>
        <v>0</v>
      </c>
      <c r="AA134" s="106">
        <f t="shared" ref="AA134:AA137" si="568">+SUM(O134:Z134)</f>
        <v>0</v>
      </c>
      <c r="AB134" s="118">
        <f t="shared" si="429"/>
        <v>0</v>
      </c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</row>
    <row r="135" spans="1:41" hidden="1" outlineLevel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>
        <f t="shared" si="567"/>
        <v>0</v>
      </c>
      <c r="N135" s="16" t="s">
        <v>112</v>
      </c>
      <c r="O135" s="106">
        <f>+VLOOKUP($N135,'Jan-25'!A:J,3,0)</f>
        <v>0</v>
      </c>
      <c r="P135" s="106">
        <f>+VLOOKUP($N135,'Feb-25'!A:J,3,0)</f>
        <v>0</v>
      </c>
      <c r="Q135" s="106">
        <f>+VLOOKUP($N135,'Mar-25'!A:J,3,0)</f>
        <v>0</v>
      </c>
      <c r="R135" s="106">
        <f>+VLOOKUP($N135,'Apr-25'!A:J,3,0)</f>
        <v>0</v>
      </c>
      <c r="S135" s="106">
        <f>+VLOOKUP($N135,'May-25'!A:J,3,0)</f>
        <v>0</v>
      </c>
      <c r="T135" s="106">
        <f>+VLOOKUP($N135,'June-25'!A:J,3,0)</f>
        <v>0</v>
      </c>
      <c r="U135" s="106">
        <f>+VLOOKUP($N135,'July-25'!A:J,3,0)</f>
        <v>0</v>
      </c>
      <c r="V135" s="106">
        <f>+VLOOKUP($N135,'Aug-25'!A:J,3,0)</f>
        <v>0</v>
      </c>
      <c r="W135" s="106">
        <f>+VLOOKUP($N135,'Sep-25'!A:J,3,0)</f>
        <v>0</v>
      </c>
      <c r="X135" s="106">
        <f>+VLOOKUP($N135,'Oct-25'!A:J,3,0)</f>
        <v>0</v>
      </c>
      <c r="Y135" s="106">
        <f>+VLOOKUP($N135,'Nov-25'!A:J,3,0)</f>
        <v>0</v>
      </c>
      <c r="Z135" s="106">
        <f>+VLOOKUP($N135,'Dec-25'!A:J,3,0)</f>
        <v>0</v>
      </c>
      <c r="AA135" s="106">
        <f t="shared" si="568"/>
        <v>0</v>
      </c>
      <c r="AB135" s="118">
        <f t="shared" si="429"/>
        <v>0</v>
      </c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6"/>
      <c r="AO135" s="106"/>
    </row>
    <row r="136" spans="1:41" hidden="1" outlineLevel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>
        <f t="shared" si="567"/>
        <v>0</v>
      </c>
      <c r="N136" s="16" t="s">
        <v>113</v>
      </c>
      <c r="O136" s="106">
        <f>+VLOOKUP($N136,'Jan-25'!A:J,3,0)</f>
        <v>0</v>
      </c>
      <c r="P136" s="106">
        <f>+VLOOKUP($N136,'Feb-25'!A:J,3,0)</f>
        <v>0</v>
      </c>
      <c r="Q136" s="106">
        <f>+VLOOKUP($N136,'Mar-25'!A:J,3,0)</f>
        <v>0</v>
      </c>
      <c r="R136" s="106">
        <f>+VLOOKUP($N136,'Apr-25'!A:J,3,0)</f>
        <v>0</v>
      </c>
      <c r="S136" s="106">
        <f>+VLOOKUP($N136,'May-25'!A:J,3,0)</f>
        <v>0</v>
      </c>
      <c r="T136" s="106">
        <f>+VLOOKUP($N136,'June-25'!A:J,3,0)</f>
        <v>0</v>
      </c>
      <c r="U136" s="106">
        <f>+VLOOKUP($N136,'July-25'!A:J,3,0)</f>
        <v>0</v>
      </c>
      <c r="V136" s="106">
        <f>+VLOOKUP($N136,'Aug-25'!A:J,3,0)</f>
        <v>0</v>
      </c>
      <c r="W136" s="106">
        <f>+VLOOKUP($N136,'Sep-25'!A:J,3,0)</f>
        <v>0</v>
      </c>
      <c r="X136" s="106">
        <f>+VLOOKUP($N136,'Oct-25'!A:J,3,0)</f>
        <v>0</v>
      </c>
      <c r="Y136" s="106">
        <f>+VLOOKUP($N136,'Nov-25'!A:J,3,0)</f>
        <v>0</v>
      </c>
      <c r="Z136" s="106">
        <f>+VLOOKUP($N136,'Dec-25'!A:J,3,0)</f>
        <v>0</v>
      </c>
      <c r="AA136" s="106">
        <f t="shared" si="568"/>
        <v>0</v>
      </c>
      <c r="AB136" s="118">
        <f t="shared" si="429"/>
        <v>0</v>
      </c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  <c r="AN136" s="106"/>
      <c r="AO136" s="106"/>
    </row>
    <row r="137" spans="1:41" hidden="1" outlineLevel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>
        <f t="shared" si="567"/>
        <v>0</v>
      </c>
      <c r="N137" s="16" t="s">
        <v>114</v>
      </c>
      <c r="O137" s="106">
        <f>+VLOOKUP($N137,'Jan-25'!A:J,3,0)</f>
        <v>0</v>
      </c>
      <c r="P137" s="106">
        <f>+VLOOKUP($N137,'Feb-25'!A:J,3,0)</f>
        <v>0</v>
      </c>
      <c r="Q137" s="106">
        <f>+VLOOKUP($N137,'Mar-25'!A:J,3,0)</f>
        <v>0</v>
      </c>
      <c r="R137" s="106">
        <f>+VLOOKUP($N137,'Apr-25'!A:J,3,0)</f>
        <v>0</v>
      </c>
      <c r="S137" s="106">
        <f>+VLOOKUP($N137,'May-25'!A:J,3,0)</f>
        <v>0</v>
      </c>
      <c r="T137" s="106">
        <f>+VLOOKUP($N137,'June-25'!A:J,3,0)</f>
        <v>0</v>
      </c>
      <c r="U137" s="106">
        <f>+VLOOKUP($N137,'July-25'!A:J,3,0)</f>
        <v>0</v>
      </c>
      <c r="V137" s="106">
        <f>+VLOOKUP($N137,'Aug-25'!A:J,3,0)</f>
        <v>0</v>
      </c>
      <c r="W137" s="106">
        <f>+VLOOKUP($N137,'Sep-25'!A:J,3,0)</f>
        <v>0</v>
      </c>
      <c r="X137" s="106">
        <f>+VLOOKUP($N137,'Oct-25'!A:J,3,0)</f>
        <v>0</v>
      </c>
      <c r="Y137" s="106">
        <f>+VLOOKUP($N137,'Nov-25'!A:J,3,0)</f>
        <v>0</v>
      </c>
      <c r="Z137" s="106">
        <f>+VLOOKUP($N137,'Dec-25'!A:J,3,0)</f>
        <v>0</v>
      </c>
      <c r="AA137" s="106">
        <f t="shared" si="568"/>
        <v>0</v>
      </c>
      <c r="AB137" s="118">
        <f t="shared" si="429"/>
        <v>0</v>
      </c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</row>
    <row r="138" spans="1:41" hidden="1" outlineLevel="1">
      <c r="A138" s="58">
        <f t="shared" ref="A138" si="569">+SUM(A139:A145)</f>
        <v>0</v>
      </c>
      <c r="B138" s="58">
        <f t="shared" ref="B138" si="570">+SUM(B139:B145)</f>
        <v>0</v>
      </c>
      <c r="C138" s="58">
        <f t="shared" ref="C138" si="571">+SUM(C139:C145)</f>
        <v>0</v>
      </c>
      <c r="D138" s="58">
        <f t="shared" ref="D138" si="572">+SUM(D139:D145)</f>
        <v>0</v>
      </c>
      <c r="E138" s="58">
        <f t="shared" ref="E138" si="573">+SUM(E139:E145)</f>
        <v>0</v>
      </c>
      <c r="F138" s="58">
        <f t="shared" ref="F138" si="574">+SUM(F139:F145)</f>
        <v>0</v>
      </c>
      <c r="G138" s="58">
        <f t="shared" ref="G138" si="575">+SUM(G139:G145)</f>
        <v>0</v>
      </c>
      <c r="H138" s="58">
        <f t="shared" ref="H138" si="576">+SUM(H139:H145)</f>
        <v>0</v>
      </c>
      <c r="I138" s="58">
        <f t="shared" ref="I138" si="577">+SUM(I139:I145)</f>
        <v>0</v>
      </c>
      <c r="J138" s="58">
        <f t="shared" ref="J138" si="578">+SUM(J139:J145)</f>
        <v>0</v>
      </c>
      <c r="K138" s="58">
        <f t="shared" ref="K138" si="579">+SUM(K139:K145)</f>
        <v>0</v>
      </c>
      <c r="L138" s="58">
        <f t="shared" ref="L138:M138" si="580">+SUM(L139:L145)</f>
        <v>0</v>
      </c>
      <c r="M138" s="58">
        <f t="shared" si="580"/>
        <v>0</v>
      </c>
      <c r="N138" s="20" t="s">
        <v>115</v>
      </c>
      <c r="O138" s="58">
        <f t="shared" ref="O138:AA138" si="581">+SUM(O139:O145)</f>
        <v>0</v>
      </c>
      <c r="P138" s="58">
        <f t="shared" si="581"/>
        <v>0</v>
      </c>
      <c r="Q138" s="58">
        <f t="shared" si="581"/>
        <v>0</v>
      </c>
      <c r="R138" s="58">
        <f t="shared" si="581"/>
        <v>0</v>
      </c>
      <c r="S138" s="58">
        <f t="shared" si="581"/>
        <v>0</v>
      </c>
      <c r="T138" s="58">
        <f t="shared" si="581"/>
        <v>0</v>
      </c>
      <c r="U138" s="58">
        <f t="shared" si="581"/>
        <v>0</v>
      </c>
      <c r="V138" s="58">
        <f t="shared" si="581"/>
        <v>0</v>
      </c>
      <c r="W138" s="58">
        <f t="shared" si="581"/>
        <v>0</v>
      </c>
      <c r="X138" s="58">
        <f t="shared" si="581"/>
        <v>0</v>
      </c>
      <c r="Y138" s="58">
        <f t="shared" si="581"/>
        <v>0</v>
      </c>
      <c r="Z138" s="58">
        <f t="shared" si="581"/>
        <v>0</v>
      </c>
      <c r="AA138" s="58">
        <f t="shared" si="581"/>
        <v>0</v>
      </c>
      <c r="AB138" s="118">
        <f t="shared" si="429"/>
        <v>-1</v>
      </c>
      <c r="AC138" s="58">
        <f t="shared" ref="AC138" si="582">+SUM(AC139:AC145)</f>
        <v>916.66666666666674</v>
      </c>
      <c r="AD138" s="58">
        <f t="shared" ref="AD138" si="583">+SUM(AD139:AD145)</f>
        <v>916.66666666666674</v>
      </c>
      <c r="AE138" s="58">
        <f t="shared" ref="AE138" si="584">+SUM(AE139:AE145)</f>
        <v>916.66666666666674</v>
      </c>
      <c r="AF138" s="58">
        <f t="shared" ref="AF138" si="585">+SUM(AF139:AF145)</f>
        <v>916.66666666666674</v>
      </c>
      <c r="AG138" s="58">
        <f t="shared" ref="AG138" si="586">+SUM(AG139:AG145)</f>
        <v>916.66666666666674</v>
      </c>
      <c r="AH138" s="58">
        <f t="shared" ref="AH138" si="587">+SUM(AH139:AH145)</f>
        <v>916.66666666666674</v>
      </c>
      <c r="AI138" s="58">
        <f t="shared" ref="AI138" si="588">+SUM(AI139:AI145)</f>
        <v>916.66666666666674</v>
      </c>
      <c r="AJ138" s="58">
        <f t="shared" ref="AJ138" si="589">+SUM(AJ139:AJ145)</f>
        <v>916.66666666666674</v>
      </c>
      <c r="AK138" s="58">
        <f t="shared" ref="AK138" si="590">+SUM(AK139:AK145)</f>
        <v>916.66666666666674</v>
      </c>
      <c r="AL138" s="58">
        <f t="shared" ref="AL138" si="591">+SUM(AL139:AL145)</f>
        <v>916.66666666666674</v>
      </c>
      <c r="AM138" s="58">
        <f t="shared" ref="AM138" si="592">+SUM(AM139:AM145)</f>
        <v>916.66666666666674</v>
      </c>
      <c r="AN138" s="58">
        <f t="shared" ref="AN138" si="593">+SUM(AN139:AN145)</f>
        <v>916.66666666666674</v>
      </c>
      <c r="AO138" s="58">
        <f t="shared" ref="AO138" si="594">+SUM(AO139:AO145)</f>
        <v>11000</v>
      </c>
    </row>
    <row r="139" spans="1:41" hidden="1" outlineLevel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>
        <f t="shared" ref="M139:M145" si="595">+SUM(A139:L139)</f>
        <v>0</v>
      </c>
      <c r="N139" s="16" t="s">
        <v>116</v>
      </c>
      <c r="O139" s="106">
        <f>+VLOOKUP($N139,'Jan-25'!A:J,3,0)</f>
        <v>0</v>
      </c>
      <c r="P139" s="106">
        <f>+VLOOKUP($N139,'Feb-25'!A:J,3,0)</f>
        <v>0</v>
      </c>
      <c r="Q139" s="106">
        <f>+VLOOKUP($N139,'Mar-25'!A:J,3,0)</f>
        <v>0</v>
      </c>
      <c r="R139" s="106">
        <f>+VLOOKUP($N139,'Apr-25'!A:J,3,0)</f>
        <v>0</v>
      </c>
      <c r="S139" s="106">
        <f>+VLOOKUP($N139,'May-25'!A:J,3,0)</f>
        <v>0</v>
      </c>
      <c r="T139" s="106">
        <f>+VLOOKUP($N139,'June-25'!A:J,3,0)</f>
        <v>0</v>
      </c>
      <c r="U139" s="106">
        <f>+VLOOKUP($N139,'July-25'!A:J,3,0)</f>
        <v>0</v>
      </c>
      <c r="V139" s="106">
        <f>+VLOOKUP($N139,'Aug-25'!A:J,3,0)</f>
        <v>0</v>
      </c>
      <c r="W139" s="106">
        <f>+VLOOKUP($N139,'Sep-25'!A:J,3,0)</f>
        <v>0</v>
      </c>
      <c r="X139" s="106">
        <f>+VLOOKUP($N139,'Oct-25'!A:J,3,0)</f>
        <v>0</v>
      </c>
      <c r="Y139" s="106">
        <f>+VLOOKUP($N139,'Nov-25'!A:J,3,0)</f>
        <v>0</v>
      </c>
      <c r="Z139" s="106">
        <f>+VLOOKUP($N139,'Dec-25'!A:J,3,0)</f>
        <v>0</v>
      </c>
      <c r="AA139" s="106">
        <f t="shared" ref="AA139:AA145" si="596">+SUM(O139:Z139)</f>
        <v>0</v>
      </c>
      <c r="AB139" s="118">
        <f t="shared" si="429"/>
        <v>-1</v>
      </c>
      <c r="AC139" s="106">
        <v>500</v>
      </c>
      <c r="AD139" s="106">
        <v>500</v>
      </c>
      <c r="AE139" s="106">
        <v>500</v>
      </c>
      <c r="AF139" s="106">
        <v>500</v>
      </c>
      <c r="AG139" s="106">
        <v>500</v>
      </c>
      <c r="AH139" s="106">
        <v>500</v>
      </c>
      <c r="AI139" s="106">
        <v>500</v>
      </c>
      <c r="AJ139" s="106">
        <v>500</v>
      </c>
      <c r="AK139" s="106">
        <v>500</v>
      </c>
      <c r="AL139" s="106">
        <v>500</v>
      </c>
      <c r="AM139" s="106">
        <v>500</v>
      </c>
      <c r="AN139" s="106">
        <v>500</v>
      </c>
      <c r="AO139" s="106">
        <f t="shared" ref="AO139:AO145" si="597">+SUM(AC139:AN139)</f>
        <v>6000</v>
      </c>
    </row>
    <row r="140" spans="1:41" hidden="1" outlineLevel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>
        <f t="shared" si="595"/>
        <v>0</v>
      </c>
      <c r="N140" s="16" t="s">
        <v>117</v>
      </c>
      <c r="O140" s="106">
        <f>+VLOOKUP($N140,'Jan-25'!A:J,3,0)</f>
        <v>0</v>
      </c>
      <c r="P140" s="106">
        <f>+VLOOKUP($N140,'Feb-25'!A:J,3,0)</f>
        <v>0</v>
      </c>
      <c r="Q140" s="106">
        <f>+VLOOKUP($N140,'Mar-25'!A:J,3,0)</f>
        <v>0</v>
      </c>
      <c r="R140" s="106">
        <f>+VLOOKUP($N140,'Apr-25'!A:J,3,0)</f>
        <v>0</v>
      </c>
      <c r="S140" s="106">
        <f>+VLOOKUP($N140,'May-25'!A:J,3,0)</f>
        <v>0</v>
      </c>
      <c r="T140" s="106">
        <f>+VLOOKUP($N140,'June-25'!A:J,3,0)</f>
        <v>0</v>
      </c>
      <c r="U140" s="106">
        <f>+VLOOKUP($N140,'July-25'!A:J,3,0)</f>
        <v>0</v>
      </c>
      <c r="V140" s="106">
        <f>+VLOOKUP($N140,'Aug-25'!A:J,3,0)</f>
        <v>0</v>
      </c>
      <c r="W140" s="106">
        <f>+VLOOKUP($N140,'Sep-25'!A:J,3,0)</f>
        <v>0</v>
      </c>
      <c r="X140" s="106">
        <f>+VLOOKUP($N140,'Oct-25'!A:J,3,0)</f>
        <v>0</v>
      </c>
      <c r="Y140" s="106">
        <f>+VLOOKUP($N140,'Nov-25'!A:J,3,0)</f>
        <v>0</v>
      </c>
      <c r="Z140" s="106">
        <f>+VLOOKUP($N140,'Dec-25'!A:J,3,0)</f>
        <v>0</v>
      </c>
      <c r="AA140" s="106">
        <f t="shared" si="596"/>
        <v>0</v>
      </c>
      <c r="AB140" s="118">
        <f t="shared" si="429"/>
        <v>0</v>
      </c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  <c r="AN140" s="106"/>
      <c r="AO140" s="106">
        <f t="shared" si="597"/>
        <v>0</v>
      </c>
    </row>
    <row r="141" spans="1:41" hidden="1" outlineLevel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>
        <f t="shared" si="595"/>
        <v>0</v>
      </c>
      <c r="N141" s="16" t="s">
        <v>227</v>
      </c>
      <c r="O141" s="106">
        <f>+VLOOKUP($N141,'Jan-25'!A:J,3,0)</f>
        <v>0</v>
      </c>
      <c r="P141" s="106">
        <f>+VLOOKUP($N141,'Feb-25'!A:J,3,0)</f>
        <v>0</v>
      </c>
      <c r="Q141" s="106">
        <f>+VLOOKUP($N141,'Mar-25'!A:J,3,0)</f>
        <v>0</v>
      </c>
      <c r="R141" s="106">
        <f>+VLOOKUP($N141,'Apr-25'!A:J,3,0)</f>
        <v>0</v>
      </c>
      <c r="S141" s="106">
        <f>+VLOOKUP($N141,'May-25'!A:J,3,0)</f>
        <v>0</v>
      </c>
      <c r="T141" s="106">
        <f>+VLOOKUP($N141,'June-25'!A:J,3,0)</f>
        <v>0</v>
      </c>
      <c r="U141" s="106">
        <f>+VLOOKUP($N141,'July-25'!A:J,3,0)</f>
        <v>0</v>
      </c>
      <c r="V141" s="106">
        <f>+VLOOKUP($N141,'Aug-25'!A:J,3,0)</f>
        <v>0</v>
      </c>
      <c r="W141" s="106">
        <f>+VLOOKUP($N141,'Sep-25'!A:J,3,0)</f>
        <v>0</v>
      </c>
      <c r="X141" s="106">
        <f>+VLOOKUP($N141,'Oct-25'!A:J,3,0)</f>
        <v>0</v>
      </c>
      <c r="Y141" s="106">
        <f>+VLOOKUP($N141,'Nov-25'!A:J,3,0)</f>
        <v>0</v>
      </c>
      <c r="Z141" s="106">
        <f>+VLOOKUP($N141,'Dec-25'!A:J,3,0)</f>
        <v>0</v>
      </c>
      <c r="AA141" s="106">
        <f t="shared" si="596"/>
        <v>0</v>
      </c>
      <c r="AB141" s="118">
        <f t="shared" si="429"/>
        <v>0</v>
      </c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>
        <f t="shared" si="597"/>
        <v>0</v>
      </c>
    </row>
    <row r="142" spans="1:41" hidden="1" outlineLevel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>
        <f t="shared" si="595"/>
        <v>0</v>
      </c>
      <c r="N142" s="16" t="s">
        <v>228</v>
      </c>
      <c r="O142" s="106">
        <f>+VLOOKUP($N142,'Jan-25'!A:J,3,0)</f>
        <v>0</v>
      </c>
      <c r="P142" s="106">
        <f>+VLOOKUP($N142,'Feb-25'!A:J,3,0)</f>
        <v>0</v>
      </c>
      <c r="Q142" s="106">
        <f>+VLOOKUP($N142,'Mar-25'!A:J,3,0)</f>
        <v>0</v>
      </c>
      <c r="R142" s="106">
        <f>+VLOOKUP($N142,'Apr-25'!A:J,3,0)</f>
        <v>0</v>
      </c>
      <c r="S142" s="106">
        <f>+VLOOKUP($N142,'May-25'!A:J,3,0)</f>
        <v>0</v>
      </c>
      <c r="T142" s="106">
        <f>+VLOOKUP($N142,'June-25'!A:J,3,0)</f>
        <v>0</v>
      </c>
      <c r="U142" s="106">
        <f>+VLOOKUP($N142,'July-25'!A:J,3,0)</f>
        <v>0</v>
      </c>
      <c r="V142" s="106">
        <f>+VLOOKUP($N142,'Aug-25'!A:J,3,0)</f>
        <v>0</v>
      </c>
      <c r="W142" s="106">
        <f>+VLOOKUP($N142,'Sep-25'!A:J,3,0)</f>
        <v>0</v>
      </c>
      <c r="X142" s="106">
        <f>+VLOOKUP($N142,'Oct-25'!A:J,3,0)</f>
        <v>0</v>
      </c>
      <c r="Y142" s="106">
        <f>+VLOOKUP($N142,'Nov-25'!A:J,3,0)</f>
        <v>0</v>
      </c>
      <c r="Z142" s="106">
        <f>+VLOOKUP($N142,'Dec-25'!A:J,3,0)</f>
        <v>0</v>
      </c>
      <c r="AA142" s="106">
        <f t="shared" si="596"/>
        <v>0</v>
      </c>
      <c r="AB142" s="118">
        <f t="shared" si="429"/>
        <v>0</v>
      </c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>
        <f t="shared" si="597"/>
        <v>0</v>
      </c>
    </row>
    <row r="143" spans="1:41" hidden="1" outlineLevel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>
        <f t="shared" si="595"/>
        <v>0</v>
      </c>
      <c r="N143" s="16" t="s">
        <v>118</v>
      </c>
      <c r="O143" s="106">
        <f>+VLOOKUP($N143,'Jan-25'!A:J,3,0)</f>
        <v>0</v>
      </c>
      <c r="P143" s="106">
        <f>+VLOOKUP($N143,'Feb-25'!A:J,3,0)</f>
        <v>0</v>
      </c>
      <c r="Q143" s="106">
        <f>+VLOOKUP($N143,'Mar-25'!A:J,3,0)</f>
        <v>0</v>
      </c>
      <c r="R143" s="106">
        <f>+VLOOKUP($N143,'Apr-25'!A:J,3,0)</f>
        <v>0</v>
      </c>
      <c r="S143" s="106">
        <f>+VLOOKUP($N143,'May-25'!A:J,3,0)</f>
        <v>0</v>
      </c>
      <c r="T143" s="106">
        <f>+VLOOKUP($N143,'June-25'!A:J,3,0)</f>
        <v>0</v>
      </c>
      <c r="U143" s="106">
        <f>+VLOOKUP($N143,'July-25'!A:J,3,0)</f>
        <v>0</v>
      </c>
      <c r="V143" s="106">
        <f>+VLOOKUP($N143,'Aug-25'!A:J,3,0)</f>
        <v>0</v>
      </c>
      <c r="W143" s="106">
        <f>+VLOOKUP($N143,'Sep-25'!A:J,3,0)</f>
        <v>0</v>
      </c>
      <c r="X143" s="106">
        <f>+VLOOKUP($N143,'Oct-25'!A:J,3,0)</f>
        <v>0</v>
      </c>
      <c r="Y143" s="106">
        <f>+VLOOKUP($N143,'Nov-25'!A:J,3,0)</f>
        <v>0</v>
      </c>
      <c r="Z143" s="106">
        <f>+VLOOKUP($N143,'Dec-25'!A:J,3,0)</f>
        <v>0</v>
      </c>
      <c r="AA143" s="106">
        <f t="shared" si="596"/>
        <v>0</v>
      </c>
      <c r="AB143" s="118">
        <f t="shared" si="429"/>
        <v>0</v>
      </c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>
        <f t="shared" si="597"/>
        <v>0</v>
      </c>
    </row>
    <row r="144" spans="1:41" hidden="1" outlineLevel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>
        <f t="shared" si="595"/>
        <v>0</v>
      </c>
      <c r="N144" s="16" t="s">
        <v>119</v>
      </c>
      <c r="O144" s="106">
        <f>+VLOOKUP($N144,'Jan-25'!A:J,3,0)</f>
        <v>0</v>
      </c>
      <c r="P144" s="106">
        <f>+VLOOKUP($N144,'Feb-25'!A:J,3,0)</f>
        <v>0</v>
      </c>
      <c r="Q144" s="106">
        <f>+VLOOKUP($N144,'Mar-25'!A:J,3,0)</f>
        <v>0</v>
      </c>
      <c r="R144" s="106">
        <f>+VLOOKUP($N144,'Apr-25'!A:J,3,0)</f>
        <v>0</v>
      </c>
      <c r="S144" s="106">
        <f>+VLOOKUP($N144,'May-25'!A:J,3,0)</f>
        <v>0</v>
      </c>
      <c r="T144" s="106">
        <f>+VLOOKUP($N144,'June-25'!A:J,3,0)</f>
        <v>0</v>
      </c>
      <c r="U144" s="106">
        <f>+VLOOKUP($N144,'July-25'!A:J,3,0)</f>
        <v>0</v>
      </c>
      <c r="V144" s="106">
        <f>+VLOOKUP($N144,'Aug-25'!A:J,3,0)</f>
        <v>0</v>
      </c>
      <c r="W144" s="106">
        <f>+VLOOKUP($N144,'Sep-25'!A:J,3,0)</f>
        <v>0</v>
      </c>
      <c r="X144" s="106">
        <f>+VLOOKUP($N144,'Oct-25'!A:J,3,0)</f>
        <v>0</v>
      </c>
      <c r="Y144" s="106">
        <f>+VLOOKUP($N144,'Nov-25'!A:J,3,0)</f>
        <v>0</v>
      </c>
      <c r="Z144" s="106">
        <f>+VLOOKUP($N144,'Dec-25'!A:J,3,0)</f>
        <v>0</v>
      </c>
      <c r="AA144" s="106">
        <f t="shared" si="596"/>
        <v>0</v>
      </c>
      <c r="AB144" s="118">
        <f t="shared" si="429"/>
        <v>0</v>
      </c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>
        <f t="shared" si="597"/>
        <v>0</v>
      </c>
    </row>
    <row r="145" spans="1:41" hidden="1" outlineLevel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>
        <f t="shared" si="595"/>
        <v>0</v>
      </c>
      <c r="N145" s="16" t="s">
        <v>120</v>
      </c>
      <c r="O145" s="106">
        <f>+VLOOKUP($N145,'Jan-25'!A:J,3,0)</f>
        <v>0</v>
      </c>
      <c r="P145" s="106">
        <f>+VLOOKUP($N145,'Feb-25'!A:J,3,0)</f>
        <v>0</v>
      </c>
      <c r="Q145" s="106">
        <f>+VLOOKUP($N145,'Mar-25'!A:J,3,0)</f>
        <v>0</v>
      </c>
      <c r="R145" s="106">
        <f>+VLOOKUP($N145,'Apr-25'!A:J,3,0)</f>
        <v>0</v>
      </c>
      <c r="S145" s="106">
        <f>+VLOOKUP($N145,'May-25'!A:J,3,0)</f>
        <v>0</v>
      </c>
      <c r="T145" s="106">
        <f>+VLOOKUP($N145,'June-25'!A:J,3,0)</f>
        <v>0</v>
      </c>
      <c r="U145" s="106">
        <f>+VLOOKUP($N145,'July-25'!A:J,3,0)</f>
        <v>0</v>
      </c>
      <c r="V145" s="106">
        <f>+VLOOKUP($N145,'Aug-25'!A:J,3,0)</f>
        <v>0</v>
      </c>
      <c r="W145" s="106">
        <f>+VLOOKUP($N145,'Sep-25'!A:J,3,0)</f>
        <v>0</v>
      </c>
      <c r="X145" s="106">
        <f>+VLOOKUP($N145,'Oct-25'!A:J,3,0)</f>
        <v>0</v>
      </c>
      <c r="Y145" s="106">
        <f>+VLOOKUP($N145,'Nov-25'!A:J,3,0)</f>
        <v>0</v>
      </c>
      <c r="Z145" s="106">
        <f>+VLOOKUP($N145,'Dec-25'!A:J,3,0)</f>
        <v>0</v>
      </c>
      <c r="AA145" s="106">
        <f t="shared" si="596"/>
        <v>0</v>
      </c>
      <c r="AB145" s="118">
        <f t="shared" si="429"/>
        <v>-1</v>
      </c>
      <c r="AC145" s="106">
        <v>416.66666666666669</v>
      </c>
      <c r="AD145" s="106">
        <v>416.66666666666669</v>
      </c>
      <c r="AE145" s="106">
        <v>416.66666666666669</v>
      </c>
      <c r="AF145" s="106">
        <v>416.66666666666669</v>
      </c>
      <c r="AG145" s="106">
        <v>416.66666666666669</v>
      </c>
      <c r="AH145" s="106">
        <v>416.66666666666669</v>
      </c>
      <c r="AI145" s="106">
        <v>416.66666666666669</v>
      </c>
      <c r="AJ145" s="106">
        <v>416.66666666666669</v>
      </c>
      <c r="AK145" s="106">
        <v>416.66666666666669</v>
      </c>
      <c r="AL145" s="106">
        <v>416.66666666666669</v>
      </c>
      <c r="AM145" s="106">
        <v>416.66666666666669</v>
      </c>
      <c r="AN145" s="106">
        <v>416.66666666666669</v>
      </c>
      <c r="AO145" s="106">
        <f t="shared" si="597"/>
        <v>5000</v>
      </c>
    </row>
    <row r="146" spans="1:41" hidden="1" outlineLevel="1">
      <c r="A146" s="58">
        <f t="shared" ref="A146" si="598">+SUM(A147:A149)</f>
        <v>0</v>
      </c>
      <c r="B146" s="58">
        <f t="shared" ref="B146" si="599">+SUM(B147:B149)</f>
        <v>0</v>
      </c>
      <c r="C146" s="58">
        <f t="shared" ref="C146" si="600">+SUM(C147:C149)</f>
        <v>0</v>
      </c>
      <c r="D146" s="58">
        <f t="shared" ref="D146" si="601">+SUM(D147:D149)</f>
        <v>0</v>
      </c>
      <c r="E146" s="58">
        <f t="shared" ref="E146" si="602">+SUM(E147:E149)</f>
        <v>0</v>
      </c>
      <c r="F146" s="58">
        <f t="shared" ref="F146" si="603">+SUM(F147:F149)</f>
        <v>0</v>
      </c>
      <c r="G146" s="58">
        <f t="shared" ref="G146" si="604">+SUM(G147:G149)</f>
        <v>0</v>
      </c>
      <c r="H146" s="58">
        <f t="shared" ref="H146" si="605">+SUM(H147:H149)</f>
        <v>0</v>
      </c>
      <c r="I146" s="58">
        <f t="shared" ref="I146" si="606">+SUM(I147:I149)</f>
        <v>0</v>
      </c>
      <c r="J146" s="58">
        <f t="shared" ref="J146" si="607">+SUM(J147:J149)</f>
        <v>0</v>
      </c>
      <c r="K146" s="58">
        <f t="shared" ref="K146" si="608">+SUM(K147:K149)</f>
        <v>0</v>
      </c>
      <c r="L146" s="58">
        <f t="shared" ref="L146:M146" si="609">+SUM(L147:L149)</f>
        <v>0</v>
      </c>
      <c r="M146" s="58">
        <f t="shared" si="609"/>
        <v>0</v>
      </c>
      <c r="N146" s="20" t="s">
        <v>121</v>
      </c>
      <c r="O146" s="58">
        <f t="shared" ref="O146:AA146" si="610">+SUM(O147:O149)</f>
        <v>0</v>
      </c>
      <c r="P146" s="58">
        <f t="shared" si="610"/>
        <v>0</v>
      </c>
      <c r="Q146" s="58">
        <f t="shared" si="610"/>
        <v>0</v>
      </c>
      <c r="R146" s="58">
        <f t="shared" si="610"/>
        <v>0</v>
      </c>
      <c r="S146" s="58">
        <f t="shared" si="610"/>
        <v>0</v>
      </c>
      <c r="T146" s="58">
        <f t="shared" si="610"/>
        <v>0</v>
      </c>
      <c r="U146" s="58">
        <f t="shared" si="610"/>
        <v>0</v>
      </c>
      <c r="V146" s="58">
        <f t="shared" si="610"/>
        <v>0</v>
      </c>
      <c r="W146" s="58">
        <f t="shared" si="610"/>
        <v>0</v>
      </c>
      <c r="X146" s="58">
        <f t="shared" si="610"/>
        <v>0</v>
      </c>
      <c r="Y146" s="58">
        <f t="shared" si="610"/>
        <v>0</v>
      </c>
      <c r="Z146" s="58">
        <f t="shared" si="610"/>
        <v>0</v>
      </c>
      <c r="AA146" s="58">
        <f t="shared" si="610"/>
        <v>0</v>
      </c>
      <c r="AB146" s="118">
        <f t="shared" si="429"/>
        <v>0</v>
      </c>
      <c r="AC146" s="58">
        <f t="shared" ref="AC146" si="611">+SUM(AC147:AC149)</f>
        <v>0</v>
      </c>
      <c r="AD146" s="58">
        <f t="shared" ref="AD146" si="612">+SUM(AD147:AD149)</f>
        <v>0</v>
      </c>
      <c r="AE146" s="58">
        <f t="shared" ref="AE146" si="613">+SUM(AE147:AE149)</f>
        <v>0</v>
      </c>
      <c r="AF146" s="58">
        <f t="shared" ref="AF146" si="614">+SUM(AF147:AF149)</f>
        <v>0</v>
      </c>
      <c r="AG146" s="58">
        <f t="shared" ref="AG146" si="615">+SUM(AG147:AG149)</f>
        <v>0</v>
      </c>
      <c r="AH146" s="58">
        <f t="shared" ref="AH146" si="616">+SUM(AH147:AH149)</f>
        <v>0</v>
      </c>
      <c r="AI146" s="58">
        <f t="shared" ref="AI146" si="617">+SUM(AI147:AI149)</f>
        <v>0</v>
      </c>
      <c r="AJ146" s="58">
        <f t="shared" ref="AJ146" si="618">+SUM(AJ147:AJ149)</f>
        <v>0</v>
      </c>
      <c r="AK146" s="58">
        <f t="shared" ref="AK146" si="619">+SUM(AK147:AK149)</f>
        <v>0</v>
      </c>
      <c r="AL146" s="58">
        <f t="shared" ref="AL146" si="620">+SUM(AL147:AL149)</f>
        <v>0</v>
      </c>
      <c r="AM146" s="58">
        <f t="shared" ref="AM146" si="621">+SUM(AM147:AM149)</f>
        <v>0</v>
      </c>
      <c r="AN146" s="58">
        <f t="shared" ref="AN146" si="622">+SUM(AN147:AN149)</f>
        <v>0</v>
      </c>
      <c r="AO146" s="58">
        <f t="shared" ref="AO146" si="623">+SUM(AO147:AO149)</f>
        <v>0</v>
      </c>
    </row>
    <row r="147" spans="1:41" hidden="1" outlineLevel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>
        <f t="shared" ref="M147:M149" si="624">+SUM(A147:L147)</f>
        <v>0</v>
      </c>
      <c r="N147" s="16" t="s">
        <v>122</v>
      </c>
      <c r="O147" s="106">
        <f>+VLOOKUP($N147,'Jan-25'!A:J,3,0)</f>
        <v>0</v>
      </c>
      <c r="P147" s="106">
        <f>+VLOOKUP($N147,'Feb-25'!A:J,3,0)</f>
        <v>0</v>
      </c>
      <c r="Q147" s="106">
        <f>+VLOOKUP($N147,'Mar-25'!A:J,3,0)</f>
        <v>0</v>
      </c>
      <c r="R147" s="106">
        <f>+VLOOKUP($N147,'Apr-25'!A:J,3,0)</f>
        <v>0</v>
      </c>
      <c r="S147" s="106">
        <f>+VLOOKUP($N147,'May-25'!A:J,3,0)</f>
        <v>0</v>
      </c>
      <c r="T147" s="106">
        <f>+VLOOKUP($N147,'June-25'!A:J,3,0)</f>
        <v>0</v>
      </c>
      <c r="U147" s="106">
        <f>+VLOOKUP($N147,'July-25'!A:J,3,0)</f>
        <v>0</v>
      </c>
      <c r="V147" s="106">
        <f>+VLOOKUP($N147,'Aug-25'!A:J,3,0)</f>
        <v>0</v>
      </c>
      <c r="W147" s="106">
        <f>+VLOOKUP($N147,'Sep-25'!A:J,3,0)</f>
        <v>0</v>
      </c>
      <c r="X147" s="106">
        <f>+VLOOKUP($N147,'Oct-25'!A:J,3,0)</f>
        <v>0</v>
      </c>
      <c r="Y147" s="106">
        <f>+VLOOKUP($N147,'Nov-25'!A:J,3,0)</f>
        <v>0</v>
      </c>
      <c r="Z147" s="106">
        <f>+VLOOKUP($N147,'Dec-25'!A:J,3,0)</f>
        <v>0</v>
      </c>
      <c r="AA147" s="106">
        <f t="shared" ref="AA147:AA149" si="625">+SUM(O147:Z147)</f>
        <v>0</v>
      </c>
      <c r="AB147" s="118">
        <f t="shared" si="429"/>
        <v>0</v>
      </c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  <c r="AM147" s="106"/>
      <c r="AN147" s="106"/>
      <c r="AO147" s="106"/>
    </row>
    <row r="148" spans="1:41" hidden="1" outlineLevel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>
        <f t="shared" si="624"/>
        <v>0</v>
      </c>
      <c r="N148" s="16" t="s">
        <v>123</v>
      </c>
      <c r="O148" s="106">
        <f>+VLOOKUP($N148,'Jan-25'!A:J,3,0)</f>
        <v>0</v>
      </c>
      <c r="P148" s="106">
        <f>+VLOOKUP($N148,'Feb-25'!A:J,3,0)</f>
        <v>0</v>
      </c>
      <c r="Q148" s="106">
        <f>+VLOOKUP($N148,'Mar-25'!A:J,3,0)</f>
        <v>0</v>
      </c>
      <c r="R148" s="106">
        <f>+VLOOKUP($N148,'Apr-25'!A:J,3,0)</f>
        <v>0</v>
      </c>
      <c r="S148" s="106">
        <f>+VLOOKUP($N148,'May-25'!A:J,3,0)</f>
        <v>0</v>
      </c>
      <c r="T148" s="106">
        <f>+VLOOKUP($N148,'June-25'!A:J,3,0)</f>
        <v>0</v>
      </c>
      <c r="U148" s="106">
        <f>+VLOOKUP($N148,'July-25'!A:J,3,0)</f>
        <v>0</v>
      </c>
      <c r="V148" s="106">
        <f>+VLOOKUP($N148,'Aug-25'!A:J,3,0)</f>
        <v>0</v>
      </c>
      <c r="W148" s="106">
        <f>+VLOOKUP($N148,'Sep-25'!A:J,3,0)</f>
        <v>0</v>
      </c>
      <c r="X148" s="106">
        <f>+VLOOKUP($N148,'Oct-25'!A:J,3,0)</f>
        <v>0</v>
      </c>
      <c r="Y148" s="106">
        <f>+VLOOKUP($N148,'Nov-25'!A:J,3,0)</f>
        <v>0</v>
      </c>
      <c r="Z148" s="106">
        <f>+VLOOKUP($N148,'Dec-25'!A:J,3,0)</f>
        <v>0</v>
      </c>
      <c r="AA148" s="106">
        <f t="shared" si="625"/>
        <v>0</v>
      </c>
      <c r="AB148" s="118">
        <f t="shared" si="429"/>
        <v>0</v>
      </c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  <c r="AM148" s="106"/>
      <c r="AN148" s="106"/>
      <c r="AO148" s="106"/>
    </row>
    <row r="149" spans="1:41" hidden="1" outlineLevel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>
        <f t="shared" si="624"/>
        <v>0</v>
      </c>
      <c r="N149" s="16" t="s">
        <v>124</v>
      </c>
      <c r="O149" s="106">
        <f>+VLOOKUP($N149,'Jan-25'!A:J,3,0)</f>
        <v>0</v>
      </c>
      <c r="P149" s="106">
        <f>+VLOOKUP($N149,'Feb-25'!A:J,3,0)</f>
        <v>0</v>
      </c>
      <c r="Q149" s="106">
        <f>+VLOOKUP($N149,'Mar-25'!A:J,3,0)</f>
        <v>0</v>
      </c>
      <c r="R149" s="106">
        <f>+VLOOKUP($N149,'Apr-25'!A:J,3,0)</f>
        <v>0</v>
      </c>
      <c r="S149" s="106">
        <f>+VLOOKUP($N149,'May-25'!A:J,3,0)</f>
        <v>0</v>
      </c>
      <c r="T149" s="106">
        <f>+VLOOKUP($N149,'June-25'!A:J,3,0)</f>
        <v>0</v>
      </c>
      <c r="U149" s="106">
        <f>+VLOOKUP($N149,'July-25'!A:J,3,0)</f>
        <v>0</v>
      </c>
      <c r="V149" s="106">
        <f>+VLOOKUP($N149,'Aug-25'!A:J,3,0)</f>
        <v>0</v>
      </c>
      <c r="W149" s="106">
        <f>+VLOOKUP($N149,'Sep-25'!A:J,3,0)</f>
        <v>0</v>
      </c>
      <c r="X149" s="106">
        <f>+VLOOKUP($N149,'Oct-25'!A:J,3,0)</f>
        <v>0</v>
      </c>
      <c r="Y149" s="106">
        <f>+VLOOKUP($N149,'Nov-25'!A:J,3,0)</f>
        <v>0</v>
      </c>
      <c r="Z149" s="106">
        <f>+VLOOKUP($N149,'Dec-25'!A:J,3,0)</f>
        <v>0</v>
      </c>
      <c r="AA149" s="106">
        <f t="shared" si="625"/>
        <v>0</v>
      </c>
      <c r="AB149" s="118">
        <f t="shared" si="429"/>
        <v>0</v>
      </c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</row>
    <row r="150" spans="1:41" hidden="1" outlineLevel="1">
      <c r="A150" s="58">
        <f t="shared" ref="A150" si="626">+SUM(A151:A154)</f>
        <v>0</v>
      </c>
      <c r="B150" s="58">
        <f t="shared" ref="B150" si="627">+SUM(B151:B154)</f>
        <v>0</v>
      </c>
      <c r="C150" s="58">
        <f t="shared" ref="C150" si="628">+SUM(C151:C154)</f>
        <v>0</v>
      </c>
      <c r="D150" s="58">
        <f t="shared" ref="D150" si="629">+SUM(D151:D154)</f>
        <v>0</v>
      </c>
      <c r="E150" s="58">
        <f t="shared" ref="E150" si="630">+SUM(E151:E154)</f>
        <v>0</v>
      </c>
      <c r="F150" s="58">
        <f t="shared" ref="F150" si="631">+SUM(F151:F154)</f>
        <v>0</v>
      </c>
      <c r="G150" s="58">
        <f t="shared" ref="G150" si="632">+SUM(G151:G154)</f>
        <v>0</v>
      </c>
      <c r="H150" s="58">
        <f t="shared" ref="H150" si="633">+SUM(H151:H154)</f>
        <v>0</v>
      </c>
      <c r="I150" s="58">
        <f t="shared" ref="I150" si="634">+SUM(I151:I154)</f>
        <v>0</v>
      </c>
      <c r="J150" s="58">
        <f t="shared" ref="J150" si="635">+SUM(J151:J154)</f>
        <v>0</v>
      </c>
      <c r="K150" s="58">
        <f t="shared" ref="K150" si="636">+SUM(K151:K154)</f>
        <v>0</v>
      </c>
      <c r="L150" s="58">
        <f t="shared" ref="L150:M150" si="637">+SUM(L151:L154)</f>
        <v>0</v>
      </c>
      <c r="M150" s="58">
        <f t="shared" si="637"/>
        <v>0</v>
      </c>
      <c r="N150" s="20" t="s">
        <v>125</v>
      </c>
      <c r="O150" s="58">
        <f t="shared" ref="O150:AA150" si="638">+SUM(O151:O154)</f>
        <v>0</v>
      </c>
      <c r="P150" s="58">
        <f t="shared" si="638"/>
        <v>0</v>
      </c>
      <c r="Q150" s="58">
        <f t="shared" si="638"/>
        <v>0</v>
      </c>
      <c r="R150" s="58">
        <f t="shared" si="638"/>
        <v>0</v>
      </c>
      <c r="S150" s="58">
        <f t="shared" si="638"/>
        <v>0</v>
      </c>
      <c r="T150" s="58">
        <f t="shared" si="638"/>
        <v>0</v>
      </c>
      <c r="U150" s="58">
        <f t="shared" si="638"/>
        <v>0</v>
      </c>
      <c r="V150" s="58">
        <f t="shared" si="638"/>
        <v>0</v>
      </c>
      <c r="W150" s="58">
        <f t="shared" si="638"/>
        <v>0</v>
      </c>
      <c r="X150" s="58">
        <f t="shared" si="638"/>
        <v>0</v>
      </c>
      <c r="Y150" s="58">
        <f t="shared" si="638"/>
        <v>0</v>
      </c>
      <c r="Z150" s="58">
        <f t="shared" si="638"/>
        <v>0</v>
      </c>
      <c r="AA150" s="58">
        <f t="shared" si="638"/>
        <v>0</v>
      </c>
      <c r="AB150" s="118">
        <f t="shared" si="429"/>
        <v>0</v>
      </c>
      <c r="AC150" s="58">
        <f t="shared" ref="AC150" si="639">+SUM(AC151:AC154)</f>
        <v>0</v>
      </c>
      <c r="AD150" s="58">
        <f t="shared" ref="AD150" si="640">+SUM(AD151:AD154)</f>
        <v>0</v>
      </c>
      <c r="AE150" s="58">
        <f t="shared" ref="AE150" si="641">+SUM(AE151:AE154)</f>
        <v>0</v>
      </c>
      <c r="AF150" s="58">
        <f t="shared" ref="AF150" si="642">+SUM(AF151:AF154)</f>
        <v>0</v>
      </c>
      <c r="AG150" s="58">
        <f t="shared" ref="AG150" si="643">+SUM(AG151:AG154)</f>
        <v>0</v>
      </c>
      <c r="AH150" s="58">
        <f t="shared" ref="AH150" si="644">+SUM(AH151:AH154)</f>
        <v>0</v>
      </c>
      <c r="AI150" s="58">
        <f t="shared" ref="AI150" si="645">+SUM(AI151:AI154)</f>
        <v>0</v>
      </c>
      <c r="AJ150" s="58">
        <f t="shared" ref="AJ150" si="646">+SUM(AJ151:AJ154)</f>
        <v>0</v>
      </c>
      <c r="AK150" s="58">
        <f t="shared" ref="AK150" si="647">+SUM(AK151:AK154)</f>
        <v>0</v>
      </c>
      <c r="AL150" s="58">
        <f t="shared" ref="AL150" si="648">+SUM(AL151:AL154)</f>
        <v>0</v>
      </c>
      <c r="AM150" s="58">
        <f t="shared" ref="AM150" si="649">+SUM(AM151:AM154)</f>
        <v>0</v>
      </c>
      <c r="AN150" s="58">
        <f t="shared" ref="AN150" si="650">+SUM(AN151:AN154)</f>
        <v>0</v>
      </c>
      <c r="AO150" s="58">
        <f t="shared" ref="AO150" si="651">+SUM(AO151:AO154)</f>
        <v>0</v>
      </c>
    </row>
    <row r="151" spans="1:41" hidden="1" outlineLevel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>
        <f t="shared" ref="M151:M154" si="652">+SUM(A151:L151)</f>
        <v>0</v>
      </c>
      <c r="N151" s="16" t="s">
        <v>126</v>
      </c>
      <c r="O151" s="106">
        <f>+VLOOKUP($N151,'Jan-25'!A:J,3,0)</f>
        <v>0</v>
      </c>
      <c r="P151" s="106">
        <f>+VLOOKUP($N151,'Feb-25'!A:J,3,0)</f>
        <v>0</v>
      </c>
      <c r="Q151" s="106">
        <f>+VLOOKUP($N151,'Mar-25'!A:J,3,0)</f>
        <v>0</v>
      </c>
      <c r="R151" s="106">
        <f>+VLOOKUP($N151,'Apr-25'!A:J,3,0)</f>
        <v>0</v>
      </c>
      <c r="S151" s="106">
        <f>+VLOOKUP($N151,'May-25'!A:J,3,0)</f>
        <v>0</v>
      </c>
      <c r="T151" s="106">
        <f>+VLOOKUP($N151,'June-25'!A:J,3,0)</f>
        <v>0</v>
      </c>
      <c r="U151" s="106">
        <f>+VLOOKUP($N151,'July-25'!A:J,3,0)</f>
        <v>0</v>
      </c>
      <c r="V151" s="106">
        <f>+VLOOKUP($N151,'Aug-25'!A:J,3,0)</f>
        <v>0</v>
      </c>
      <c r="W151" s="106">
        <f>+VLOOKUP($N151,'Sep-25'!A:J,3,0)</f>
        <v>0</v>
      </c>
      <c r="X151" s="106">
        <f>+VLOOKUP($N151,'Oct-25'!A:J,3,0)</f>
        <v>0</v>
      </c>
      <c r="Y151" s="106">
        <f>+VLOOKUP($N151,'Nov-25'!A:J,3,0)</f>
        <v>0</v>
      </c>
      <c r="Z151" s="106">
        <f>+VLOOKUP($N151,'Dec-25'!A:J,3,0)</f>
        <v>0</v>
      </c>
      <c r="AA151" s="106">
        <f t="shared" ref="AA151:AA154" si="653">+SUM(O151:Z151)</f>
        <v>0</v>
      </c>
      <c r="AB151" s="118">
        <f t="shared" si="429"/>
        <v>0</v>
      </c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</row>
    <row r="152" spans="1:41" hidden="1" outlineLevel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>
        <f t="shared" si="652"/>
        <v>0</v>
      </c>
      <c r="N152" s="16" t="s">
        <v>229</v>
      </c>
      <c r="O152" s="106">
        <f>+VLOOKUP($N152,'Jan-25'!A:J,3,0)</f>
        <v>0</v>
      </c>
      <c r="P152" s="106">
        <f>+VLOOKUP($N152,'Feb-25'!A:J,3,0)</f>
        <v>0</v>
      </c>
      <c r="Q152" s="106">
        <f>+VLOOKUP($N152,'Mar-25'!A:J,3,0)</f>
        <v>0</v>
      </c>
      <c r="R152" s="106">
        <f>+VLOOKUP($N152,'Apr-25'!A:J,3,0)</f>
        <v>0</v>
      </c>
      <c r="S152" s="106">
        <f>+VLOOKUP($N152,'May-25'!A:J,3,0)</f>
        <v>0</v>
      </c>
      <c r="T152" s="106">
        <f>+VLOOKUP($N152,'June-25'!A:J,3,0)</f>
        <v>0</v>
      </c>
      <c r="U152" s="106">
        <f>+VLOOKUP($N152,'July-25'!A:J,3,0)</f>
        <v>0</v>
      </c>
      <c r="V152" s="106">
        <f>+VLOOKUP($N152,'Aug-25'!A:J,3,0)</f>
        <v>0</v>
      </c>
      <c r="W152" s="106">
        <f>+VLOOKUP($N152,'Sep-25'!A:J,3,0)</f>
        <v>0</v>
      </c>
      <c r="X152" s="106">
        <f>+VLOOKUP($N152,'Oct-25'!A:J,3,0)</f>
        <v>0</v>
      </c>
      <c r="Y152" s="106">
        <f>+VLOOKUP($N152,'Nov-25'!A:J,3,0)</f>
        <v>0</v>
      </c>
      <c r="Z152" s="106">
        <f>+VLOOKUP($N152,'Dec-25'!A:J,3,0)</f>
        <v>0</v>
      </c>
      <c r="AA152" s="106">
        <f t="shared" si="653"/>
        <v>0</v>
      </c>
      <c r="AB152" s="118">
        <f t="shared" si="429"/>
        <v>0</v>
      </c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</row>
    <row r="153" spans="1:41" hidden="1" outlineLevel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>
        <f t="shared" si="652"/>
        <v>0</v>
      </c>
      <c r="N153" s="16" t="s">
        <v>127</v>
      </c>
      <c r="O153" s="106">
        <f>+VLOOKUP($N153,'Jan-25'!A:J,3,0)</f>
        <v>0</v>
      </c>
      <c r="P153" s="106">
        <f>+VLOOKUP($N153,'Feb-25'!A:J,3,0)</f>
        <v>0</v>
      </c>
      <c r="Q153" s="106">
        <f>+VLOOKUP($N153,'Mar-25'!A:J,3,0)</f>
        <v>0</v>
      </c>
      <c r="R153" s="106">
        <f>+VLOOKUP($N153,'Apr-25'!A:J,3,0)</f>
        <v>0</v>
      </c>
      <c r="S153" s="106">
        <f>+VLOOKUP($N153,'May-25'!A:J,3,0)</f>
        <v>0</v>
      </c>
      <c r="T153" s="106">
        <f>+VLOOKUP($N153,'June-25'!A:J,3,0)</f>
        <v>0</v>
      </c>
      <c r="U153" s="106">
        <f>+VLOOKUP($N153,'July-25'!A:J,3,0)</f>
        <v>0</v>
      </c>
      <c r="V153" s="106">
        <f>+VLOOKUP($N153,'Aug-25'!A:J,3,0)</f>
        <v>0</v>
      </c>
      <c r="W153" s="106">
        <f>+VLOOKUP($N153,'Sep-25'!A:J,3,0)</f>
        <v>0</v>
      </c>
      <c r="X153" s="106">
        <f>+VLOOKUP($N153,'Oct-25'!A:J,3,0)</f>
        <v>0</v>
      </c>
      <c r="Y153" s="106">
        <f>+VLOOKUP($N153,'Nov-25'!A:J,3,0)</f>
        <v>0</v>
      </c>
      <c r="Z153" s="106">
        <f>+VLOOKUP($N153,'Dec-25'!A:J,3,0)</f>
        <v>0</v>
      </c>
      <c r="AA153" s="106">
        <f t="shared" si="653"/>
        <v>0</v>
      </c>
      <c r="AB153" s="118">
        <f t="shared" si="429"/>
        <v>0</v>
      </c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</row>
    <row r="154" spans="1:41" hidden="1" outlineLevel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>
        <f t="shared" si="652"/>
        <v>0</v>
      </c>
      <c r="N154" s="16" t="s">
        <v>128</v>
      </c>
      <c r="O154" s="106">
        <f>+VLOOKUP($N154,'Jan-25'!A:J,3,0)</f>
        <v>0</v>
      </c>
      <c r="P154" s="106">
        <f>+VLOOKUP($N154,'Feb-25'!A:J,3,0)</f>
        <v>0</v>
      </c>
      <c r="Q154" s="106">
        <f>+VLOOKUP($N154,'Mar-25'!A:J,3,0)</f>
        <v>0</v>
      </c>
      <c r="R154" s="106">
        <f>+VLOOKUP($N154,'Apr-25'!A:J,3,0)</f>
        <v>0</v>
      </c>
      <c r="S154" s="106">
        <f>+VLOOKUP($N154,'May-25'!A:J,3,0)</f>
        <v>0</v>
      </c>
      <c r="T154" s="106">
        <f>+VLOOKUP($N154,'June-25'!A:J,3,0)</f>
        <v>0</v>
      </c>
      <c r="U154" s="106">
        <f>+VLOOKUP($N154,'July-25'!A:J,3,0)</f>
        <v>0</v>
      </c>
      <c r="V154" s="106">
        <f>+VLOOKUP($N154,'Aug-25'!A:J,3,0)</f>
        <v>0</v>
      </c>
      <c r="W154" s="106">
        <f>+VLOOKUP($N154,'Sep-25'!A:J,3,0)</f>
        <v>0</v>
      </c>
      <c r="X154" s="106">
        <f>+VLOOKUP($N154,'Oct-25'!A:J,3,0)</f>
        <v>0</v>
      </c>
      <c r="Y154" s="106">
        <f>+VLOOKUP($N154,'Nov-25'!A:J,3,0)</f>
        <v>0</v>
      </c>
      <c r="Z154" s="106">
        <f>+VLOOKUP($N154,'Dec-25'!A:J,3,0)</f>
        <v>0</v>
      </c>
      <c r="AA154" s="106">
        <f t="shared" si="653"/>
        <v>0</v>
      </c>
      <c r="AB154" s="118">
        <f t="shared" si="429"/>
        <v>0</v>
      </c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</row>
    <row r="155" spans="1:41" hidden="1" outlineLevel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18">
        <f t="shared" si="429"/>
        <v>0</v>
      </c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</row>
    <row r="156" spans="1:41" ht="17.25" collapsed="1">
      <c r="A156" s="58">
        <f t="shared" ref="A156" si="654">+A157+A164+A172+A178+A182+A187+A193+A205+A209+A214</f>
        <v>0</v>
      </c>
      <c r="B156" s="58">
        <f t="shared" ref="B156" si="655">+B157+B164+B172+B178+B182+B187+B193+B205+B209+B214</f>
        <v>0</v>
      </c>
      <c r="C156" s="58">
        <f t="shared" ref="C156" si="656">+C157+C164+C172+C178+C182+C187+C193+C205+C209+C214</f>
        <v>0</v>
      </c>
      <c r="D156" s="58">
        <f t="shared" ref="D156" si="657">+D157+D164+D172+D178+D182+D187+D193+D205+D209+D214</f>
        <v>0</v>
      </c>
      <c r="E156" s="58">
        <f t="shared" ref="E156" si="658">+E157+E164+E172+E178+E182+E187+E193+E205+E209+E214</f>
        <v>0</v>
      </c>
      <c r="F156" s="58">
        <f t="shared" ref="F156" si="659">+F157+F164+F172+F178+F182+F187+F193+F205+F209+F214</f>
        <v>0</v>
      </c>
      <c r="G156" s="58">
        <f t="shared" ref="G156" si="660">+G157+G164+G172+G178+G182+G187+G193+G205+G209+G214</f>
        <v>0</v>
      </c>
      <c r="H156" s="58">
        <f t="shared" ref="H156" si="661">+H157+H164+H172+H178+H182+H187+H193+H205+H209+H214</f>
        <v>0</v>
      </c>
      <c r="I156" s="58">
        <f t="shared" ref="I156" si="662">+I157+I164+I172+I178+I182+I187+I193+I205+I209+I214</f>
        <v>0</v>
      </c>
      <c r="J156" s="58">
        <f t="shared" ref="J156" si="663">+J157+J164+J172+J178+J182+J187+J193+J205+J209+J214</f>
        <v>0</v>
      </c>
      <c r="K156" s="58">
        <f t="shared" ref="K156" si="664">+K157+K164+K172+K178+K182+K187+K193+K205+K209+K214</f>
        <v>0</v>
      </c>
      <c r="L156" s="58">
        <f t="shared" ref="L156:M156" si="665">+L157+L164+L172+L178+L182+L187+L193+L205+L209+L214</f>
        <v>0</v>
      </c>
      <c r="M156" s="58">
        <f t="shared" si="665"/>
        <v>0</v>
      </c>
      <c r="N156" s="19" t="s">
        <v>129</v>
      </c>
      <c r="O156" s="58">
        <f t="shared" ref="O156:AA156" si="666">+O157+O164+O172+O178+O182+O187+O193+O205+O209+O214</f>
        <v>0.36000000000000004</v>
      </c>
      <c r="P156" s="58">
        <f t="shared" si="666"/>
        <v>0</v>
      </c>
      <c r="Q156" s="58">
        <f t="shared" si="666"/>
        <v>0.01</v>
      </c>
      <c r="R156" s="58">
        <f t="shared" si="666"/>
        <v>0.01</v>
      </c>
      <c r="S156" s="58">
        <f t="shared" si="666"/>
        <v>0</v>
      </c>
      <c r="T156" s="58">
        <f t="shared" si="666"/>
        <v>0</v>
      </c>
      <c r="U156" s="58">
        <f t="shared" si="666"/>
        <v>0.02</v>
      </c>
      <c r="V156" s="58">
        <f t="shared" si="666"/>
        <v>0</v>
      </c>
      <c r="W156" s="58">
        <f t="shared" si="666"/>
        <v>0</v>
      </c>
      <c r="X156" s="58">
        <f t="shared" si="666"/>
        <v>0</v>
      </c>
      <c r="Y156" s="58">
        <f t="shared" si="666"/>
        <v>0</v>
      </c>
      <c r="Z156" s="58">
        <f t="shared" si="666"/>
        <v>0</v>
      </c>
      <c r="AA156" s="58">
        <f t="shared" si="666"/>
        <v>0.40000000000000008</v>
      </c>
      <c r="AB156" s="118">
        <f t="shared" si="429"/>
        <v>0</v>
      </c>
      <c r="AC156" s="58">
        <f t="shared" ref="AC156" si="667">+AC157+AC164+AC172+AC178+AC182+AC187+AC193+AC205+AC209+AC214</f>
        <v>0</v>
      </c>
      <c r="AD156" s="58">
        <f t="shared" ref="AD156" si="668">+AD157+AD164+AD172+AD178+AD182+AD187+AD193+AD205+AD209+AD214</f>
        <v>0</v>
      </c>
      <c r="AE156" s="58">
        <f t="shared" ref="AE156" si="669">+AE157+AE164+AE172+AE178+AE182+AE187+AE193+AE205+AE209+AE214</f>
        <v>0</v>
      </c>
      <c r="AF156" s="58">
        <f t="shared" ref="AF156" si="670">+AF157+AF164+AF172+AF178+AF182+AF187+AF193+AF205+AF209+AF214</f>
        <v>0</v>
      </c>
      <c r="AG156" s="58">
        <f t="shared" ref="AG156" si="671">+AG157+AG164+AG172+AG178+AG182+AG187+AG193+AG205+AG209+AG214</f>
        <v>0</v>
      </c>
      <c r="AH156" s="58">
        <f t="shared" ref="AH156" si="672">+AH157+AH164+AH172+AH178+AH182+AH187+AH193+AH205+AH209+AH214</f>
        <v>0</v>
      </c>
      <c r="AI156" s="58">
        <f t="shared" ref="AI156" si="673">+AI157+AI164+AI172+AI178+AI182+AI187+AI193+AI205+AI209+AI214</f>
        <v>0</v>
      </c>
      <c r="AJ156" s="58">
        <f t="shared" ref="AJ156" si="674">+AJ157+AJ164+AJ172+AJ178+AJ182+AJ187+AJ193+AJ205+AJ209+AJ214</f>
        <v>0</v>
      </c>
      <c r="AK156" s="58">
        <f t="shared" ref="AK156" si="675">+AK157+AK164+AK172+AK178+AK182+AK187+AK193+AK205+AK209+AK214</f>
        <v>0</v>
      </c>
      <c r="AL156" s="58">
        <f t="shared" ref="AL156" si="676">+AL157+AL164+AL172+AL178+AL182+AL187+AL193+AL205+AL209+AL214</f>
        <v>0</v>
      </c>
      <c r="AM156" s="58">
        <f t="shared" ref="AM156" si="677">+AM157+AM164+AM172+AM178+AM182+AM187+AM193+AM205+AM209+AM214</f>
        <v>0</v>
      </c>
      <c r="AN156" s="58">
        <f t="shared" ref="AN156" si="678">+AN157+AN164+AN172+AN178+AN182+AN187+AN193+AN205+AN209+AN214</f>
        <v>0</v>
      </c>
      <c r="AO156" s="58">
        <f t="shared" ref="AO156" si="679">+AO157+AO164+AO172+AO178+AO182+AO187+AO193+AO205+AO209+AO214</f>
        <v>0</v>
      </c>
    </row>
    <row r="157" spans="1:41" hidden="1" outlineLevel="2">
      <c r="A157" s="58">
        <f t="shared" ref="A157" si="680">+SUM(A158:A162)</f>
        <v>0</v>
      </c>
      <c r="B157" s="58">
        <f t="shared" ref="B157" si="681">+SUM(B158:B162)</f>
        <v>0</v>
      </c>
      <c r="C157" s="58">
        <f t="shared" ref="C157" si="682">+SUM(C158:C162)</f>
        <v>0</v>
      </c>
      <c r="D157" s="58">
        <f t="shared" ref="D157" si="683">+SUM(D158:D162)</f>
        <v>0</v>
      </c>
      <c r="E157" s="58">
        <f t="shared" ref="E157" si="684">+SUM(E158:E162)</f>
        <v>0</v>
      </c>
      <c r="F157" s="58">
        <f t="shared" ref="F157" si="685">+SUM(F158:F162)</f>
        <v>0</v>
      </c>
      <c r="G157" s="58">
        <f t="shared" ref="G157" si="686">+SUM(G158:G162)</f>
        <v>0</v>
      </c>
      <c r="H157" s="58">
        <f t="shared" ref="H157" si="687">+SUM(H158:H162)</f>
        <v>0</v>
      </c>
      <c r="I157" s="58">
        <f t="shared" ref="I157" si="688">+SUM(I158:I162)</f>
        <v>0</v>
      </c>
      <c r="J157" s="58">
        <f t="shared" ref="J157" si="689">+SUM(J158:J162)</f>
        <v>0</v>
      </c>
      <c r="K157" s="58">
        <f t="shared" ref="K157" si="690">+SUM(K158:K162)</f>
        <v>0</v>
      </c>
      <c r="L157" s="58">
        <f t="shared" ref="L157:M157" si="691">+SUM(L158:L162)</f>
        <v>0</v>
      </c>
      <c r="M157" s="58">
        <f t="shared" si="691"/>
        <v>0</v>
      </c>
      <c r="N157" s="20" t="s">
        <v>130</v>
      </c>
      <c r="O157" s="58">
        <f t="shared" ref="O157:AA157" si="692">+SUM(O158:O162)</f>
        <v>0</v>
      </c>
      <c r="P157" s="58">
        <f t="shared" si="692"/>
        <v>0</v>
      </c>
      <c r="Q157" s="58">
        <f t="shared" si="692"/>
        <v>0</v>
      </c>
      <c r="R157" s="58">
        <f t="shared" si="692"/>
        <v>0</v>
      </c>
      <c r="S157" s="58">
        <f t="shared" si="692"/>
        <v>0</v>
      </c>
      <c r="T157" s="58">
        <f t="shared" si="692"/>
        <v>0</v>
      </c>
      <c r="U157" s="58">
        <f t="shared" si="692"/>
        <v>0</v>
      </c>
      <c r="V157" s="58">
        <f t="shared" si="692"/>
        <v>0</v>
      </c>
      <c r="W157" s="58">
        <f t="shared" si="692"/>
        <v>0</v>
      </c>
      <c r="X157" s="58">
        <f t="shared" si="692"/>
        <v>0</v>
      </c>
      <c r="Y157" s="58">
        <f t="shared" si="692"/>
        <v>0</v>
      </c>
      <c r="Z157" s="58">
        <f t="shared" si="692"/>
        <v>0</v>
      </c>
      <c r="AA157" s="58">
        <f t="shared" si="692"/>
        <v>0</v>
      </c>
      <c r="AB157" s="118">
        <f t="shared" si="429"/>
        <v>0</v>
      </c>
      <c r="AC157" s="58">
        <f t="shared" ref="AC157" si="693">+SUM(AC158:AC162)</f>
        <v>0</v>
      </c>
      <c r="AD157" s="58">
        <f t="shared" ref="AD157" si="694">+SUM(AD158:AD162)</f>
        <v>0</v>
      </c>
      <c r="AE157" s="58">
        <f t="shared" ref="AE157" si="695">+SUM(AE158:AE162)</f>
        <v>0</v>
      </c>
      <c r="AF157" s="58">
        <f t="shared" ref="AF157" si="696">+SUM(AF158:AF162)</f>
        <v>0</v>
      </c>
      <c r="AG157" s="58">
        <f t="shared" ref="AG157" si="697">+SUM(AG158:AG162)</f>
        <v>0</v>
      </c>
      <c r="AH157" s="58">
        <f t="shared" ref="AH157" si="698">+SUM(AH158:AH162)</f>
        <v>0</v>
      </c>
      <c r="AI157" s="58">
        <f t="shared" ref="AI157" si="699">+SUM(AI158:AI162)</f>
        <v>0</v>
      </c>
      <c r="AJ157" s="58">
        <f t="shared" ref="AJ157" si="700">+SUM(AJ158:AJ162)</f>
        <v>0</v>
      </c>
      <c r="AK157" s="58">
        <f t="shared" ref="AK157" si="701">+SUM(AK158:AK162)</f>
        <v>0</v>
      </c>
      <c r="AL157" s="58">
        <f t="shared" ref="AL157" si="702">+SUM(AL158:AL162)</f>
        <v>0</v>
      </c>
      <c r="AM157" s="58">
        <f t="shared" ref="AM157" si="703">+SUM(AM158:AM162)</f>
        <v>0</v>
      </c>
      <c r="AN157" s="58">
        <f t="shared" ref="AN157" si="704">+SUM(AN158:AN162)</f>
        <v>0</v>
      </c>
      <c r="AO157" s="58">
        <f t="shared" ref="AO157" si="705">+SUM(AO158:AO162)</f>
        <v>0</v>
      </c>
    </row>
    <row r="158" spans="1:41" hidden="1" outlineLevel="2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>
        <f t="shared" ref="M158:M162" si="706">+SUM(A158:L158)</f>
        <v>0</v>
      </c>
      <c r="N158" s="16" t="s">
        <v>131</v>
      </c>
      <c r="O158" s="106">
        <f>+VLOOKUP($N158,'Jan-25'!A:J,3,0)</f>
        <v>0</v>
      </c>
      <c r="P158" s="106">
        <f>+VLOOKUP($N158,'Feb-25'!A:J,3,0)</f>
        <v>0</v>
      </c>
      <c r="Q158" s="106">
        <f>+VLOOKUP($N158,'Mar-25'!A:J,3,0)</f>
        <v>0</v>
      </c>
      <c r="R158" s="106">
        <f>+VLOOKUP($N158,'Apr-25'!A:J,3,0)</f>
        <v>0</v>
      </c>
      <c r="S158" s="106">
        <f>+VLOOKUP($N158,'May-25'!A:J,3,0)</f>
        <v>0</v>
      </c>
      <c r="T158" s="106">
        <f>+VLOOKUP($N158,'June-25'!A:J,3,0)</f>
        <v>0</v>
      </c>
      <c r="U158" s="106">
        <f>+VLOOKUP($N158,'July-25'!A:J,3,0)</f>
        <v>0</v>
      </c>
      <c r="V158" s="106">
        <f>+VLOOKUP($N158,'Aug-25'!A:J,3,0)</f>
        <v>0</v>
      </c>
      <c r="W158" s="106">
        <f>+VLOOKUP($N158,'Sep-25'!A:J,3,0)</f>
        <v>0</v>
      </c>
      <c r="X158" s="106">
        <f>+VLOOKUP($N158,'Oct-25'!A:J,3,0)</f>
        <v>0</v>
      </c>
      <c r="Y158" s="106">
        <f>+VLOOKUP($N158,'Nov-25'!A:J,3,0)</f>
        <v>0</v>
      </c>
      <c r="Z158" s="106">
        <f>+VLOOKUP($N158,'Dec-25'!A:J,3,0)</f>
        <v>0</v>
      </c>
      <c r="AA158" s="106">
        <f t="shared" ref="AA158:AA162" si="707">+SUM(O158:Z158)</f>
        <v>0</v>
      </c>
      <c r="AB158" s="118">
        <f t="shared" ref="AB158:AB221" si="708">IFERROR((X158-AL158)/AL158,0)</f>
        <v>0</v>
      </c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</row>
    <row r="159" spans="1:41" hidden="1" outlineLevel="2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>
        <f t="shared" si="706"/>
        <v>0</v>
      </c>
      <c r="N159" s="16" t="s">
        <v>132</v>
      </c>
      <c r="O159" s="106">
        <f>+VLOOKUP($N159,'Jan-25'!A:J,3,0)</f>
        <v>0</v>
      </c>
      <c r="P159" s="106">
        <f>+VLOOKUP($N159,'Feb-25'!A:J,3,0)</f>
        <v>0</v>
      </c>
      <c r="Q159" s="106">
        <f>+VLOOKUP($N159,'Mar-25'!A:J,3,0)</f>
        <v>0</v>
      </c>
      <c r="R159" s="106">
        <f>+VLOOKUP($N159,'Apr-25'!A:J,3,0)</f>
        <v>0</v>
      </c>
      <c r="S159" s="106">
        <f>+VLOOKUP($N159,'May-25'!A:J,3,0)</f>
        <v>0</v>
      </c>
      <c r="T159" s="106">
        <f>+VLOOKUP($N159,'June-25'!A:J,3,0)</f>
        <v>0</v>
      </c>
      <c r="U159" s="106">
        <f>+VLOOKUP($N159,'July-25'!A:J,3,0)</f>
        <v>0</v>
      </c>
      <c r="V159" s="106">
        <f>+VLOOKUP($N159,'Aug-25'!A:J,3,0)</f>
        <v>0</v>
      </c>
      <c r="W159" s="106">
        <f>+VLOOKUP($N159,'Sep-25'!A:J,3,0)</f>
        <v>0</v>
      </c>
      <c r="X159" s="106">
        <f>+VLOOKUP($N159,'Oct-25'!A:J,3,0)</f>
        <v>0</v>
      </c>
      <c r="Y159" s="106">
        <f>+VLOOKUP($N159,'Nov-25'!A:J,3,0)</f>
        <v>0</v>
      </c>
      <c r="Z159" s="106">
        <f>+VLOOKUP($N159,'Dec-25'!A:J,3,0)</f>
        <v>0</v>
      </c>
      <c r="AA159" s="106">
        <f t="shared" si="707"/>
        <v>0</v>
      </c>
      <c r="AB159" s="118">
        <f t="shared" si="708"/>
        <v>0</v>
      </c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</row>
    <row r="160" spans="1:41" hidden="1" outlineLevel="2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>
        <f t="shared" si="706"/>
        <v>0</v>
      </c>
      <c r="N160" s="16" t="s">
        <v>133</v>
      </c>
      <c r="O160" s="106">
        <f>+VLOOKUP($N160,'Jan-25'!A:J,3,0)</f>
        <v>0</v>
      </c>
      <c r="P160" s="106">
        <f>+VLOOKUP($N160,'Feb-25'!A:J,3,0)</f>
        <v>0</v>
      </c>
      <c r="Q160" s="106">
        <f>+VLOOKUP($N160,'Mar-25'!A:J,3,0)</f>
        <v>0</v>
      </c>
      <c r="R160" s="106">
        <f>+VLOOKUP($N160,'Apr-25'!A:J,3,0)</f>
        <v>0</v>
      </c>
      <c r="S160" s="106">
        <f>+VLOOKUP($N160,'May-25'!A:J,3,0)</f>
        <v>0</v>
      </c>
      <c r="T160" s="106">
        <f>+VLOOKUP($N160,'June-25'!A:J,3,0)</f>
        <v>0</v>
      </c>
      <c r="U160" s="106">
        <f>+VLOOKUP($N160,'July-25'!A:J,3,0)</f>
        <v>0</v>
      </c>
      <c r="V160" s="106">
        <f>+VLOOKUP($N160,'Aug-25'!A:J,3,0)</f>
        <v>0</v>
      </c>
      <c r="W160" s="106">
        <f>+VLOOKUP($N160,'Sep-25'!A:J,3,0)</f>
        <v>0</v>
      </c>
      <c r="X160" s="106">
        <f>+VLOOKUP($N160,'Oct-25'!A:J,3,0)</f>
        <v>0</v>
      </c>
      <c r="Y160" s="106">
        <f>+VLOOKUP($N160,'Nov-25'!A:J,3,0)</f>
        <v>0</v>
      </c>
      <c r="Z160" s="106">
        <f>+VLOOKUP($N160,'Dec-25'!A:J,3,0)</f>
        <v>0</v>
      </c>
      <c r="AA160" s="106">
        <f t="shared" si="707"/>
        <v>0</v>
      </c>
      <c r="AB160" s="118">
        <f t="shared" si="708"/>
        <v>0</v>
      </c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</row>
    <row r="161" spans="1:41" hidden="1" outlineLevel="2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>
        <f t="shared" si="706"/>
        <v>0</v>
      </c>
      <c r="N161" s="16" t="s">
        <v>134</v>
      </c>
      <c r="O161" s="106">
        <f>+VLOOKUP($N161,'Jan-25'!A:J,3,0)</f>
        <v>0</v>
      </c>
      <c r="P161" s="106">
        <f>+VLOOKUP($N161,'Feb-25'!A:J,3,0)</f>
        <v>0</v>
      </c>
      <c r="Q161" s="106">
        <f>+VLOOKUP($N161,'Mar-25'!A:J,3,0)</f>
        <v>0</v>
      </c>
      <c r="R161" s="106">
        <f>+VLOOKUP($N161,'Apr-25'!A:J,3,0)</f>
        <v>0</v>
      </c>
      <c r="S161" s="106">
        <f>+VLOOKUP($N161,'May-25'!A:J,3,0)</f>
        <v>0</v>
      </c>
      <c r="T161" s="106">
        <f>+VLOOKUP($N161,'June-25'!A:J,3,0)</f>
        <v>0</v>
      </c>
      <c r="U161" s="106">
        <f>+VLOOKUP($N161,'July-25'!A:J,3,0)</f>
        <v>0</v>
      </c>
      <c r="V161" s="106">
        <f>+VLOOKUP($N161,'Aug-25'!A:J,3,0)</f>
        <v>0</v>
      </c>
      <c r="W161" s="106">
        <f>+VLOOKUP($N161,'Sep-25'!A:J,3,0)</f>
        <v>0</v>
      </c>
      <c r="X161" s="106">
        <f>+VLOOKUP($N161,'Oct-25'!A:J,3,0)</f>
        <v>0</v>
      </c>
      <c r="Y161" s="106">
        <f>+VLOOKUP($N161,'Nov-25'!A:J,3,0)</f>
        <v>0</v>
      </c>
      <c r="Z161" s="106">
        <f>+VLOOKUP($N161,'Dec-25'!A:J,3,0)</f>
        <v>0</v>
      </c>
      <c r="AA161" s="106">
        <f t="shared" si="707"/>
        <v>0</v>
      </c>
      <c r="AB161" s="118">
        <f t="shared" si="708"/>
        <v>0</v>
      </c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</row>
    <row r="162" spans="1:41" hidden="1" outlineLevel="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>
        <f t="shared" si="706"/>
        <v>0</v>
      </c>
      <c r="N162" s="16" t="s">
        <v>135</v>
      </c>
      <c r="O162" s="106">
        <f>+VLOOKUP($N162,'Jan-25'!A:J,3,0)</f>
        <v>0</v>
      </c>
      <c r="P162" s="106">
        <f>+VLOOKUP($N162,'Feb-25'!A:J,3,0)</f>
        <v>0</v>
      </c>
      <c r="Q162" s="106">
        <f>+VLOOKUP($N162,'Mar-25'!A:J,3,0)</f>
        <v>0</v>
      </c>
      <c r="R162" s="106">
        <f>+VLOOKUP($N162,'Apr-25'!A:J,3,0)</f>
        <v>0</v>
      </c>
      <c r="S162" s="106">
        <f>+VLOOKUP($N162,'May-25'!A:J,3,0)</f>
        <v>0</v>
      </c>
      <c r="T162" s="106">
        <f>+VLOOKUP($N162,'June-25'!A:J,3,0)</f>
        <v>0</v>
      </c>
      <c r="U162" s="106">
        <f>+VLOOKUP($N162,'July-25'!A:J,3,0)</f>
        <v>0</v>
      </c>
      <c r="V162" s="106">
        <f>+VLOOKUP($N162,'Aug-25'!A:J,3,0)</f>
        <v>0</v>
      </c>
      <c r="W162" s="106">
        <f>+VLOOKUP($N162,'Sep-25'!A:J,3,0)</f>
        <v>0</v>
      </c>
      <c r="X162" s="106">
        <f>+VLOOKUP($N162,'Oct-25'!A:J,3,0)</f>
        <v>0</v>
      </c>
      <c r="Y162" s="106">
        <f>+VLOOKUP($N162,'Nov-25'!A:J,3,0)</f>
        <v>0</v>
      </c>
      <c r="Z162" s="106">
        <f>+VLOOKUP($N162,'Dec-25'!A:J,3,0)</f>
        <v>0</v>
      </c>
      <c r="AA162" s="106">
        <f t="shared" si="707"/>
        <v>0</v>
      </c>
      <c r="AB162" s="118">
        <f t="shared" si="708"/>
        <v>0</v>
      </c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</row>
    <row r="163" spans="1:41" hidden="1" outlineLevel="2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18">
        <f t="shared" si="708"/>
        <v>0</v>
      </c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</row>
    <row r="164" spans="1:41" hidden="1" outlineLevel="2">
      <c r="A164" s="58">
        <f t="shared" ref="A164" si="709">+SUM(A165:A171)</f>
        <v>0</v>
      </c>
      <c r="B164" s="58">
        <f t="shared" ref="B164" si="710">+SUM(B165:B171)</f>
        <v>0</v>
      </c>
      <c r="C164" s="58">
        <f t="shared" ref="C164" si="711">+SUM(C165:C171)</f>
        <v>0</v>
      </c>
      <c r="D164" s="58">
        <f t="shared" ref="D164" si="712">+SUM(D165:D171)</f>
        <v>0</v>
      </c>
      <c r="E164" s="58">
        <f t="shared" ref="E164" si="713">+SUM(E165:E171)</f>
        <v>0</v>
      </c>
      <c r="F164" s="58">
        <f t="shared" ref="F164" si="714">+SUM(F165:F171)</f>
        <v>0</v>
      </c>
      <c r="G164" s="58">
        <f t="shared" ref="G164" si="715">+SUM(G165:G171)</f>
        <v>0</v>
      </c>
      <c r="H164" s="58">
        <f t="shared" ref="H164" si="716">+SUM(H165:H171)</f>
        <v>0</v>
      </c>
      <c r="I164" s="58">
        <f t="shared" ref="I164" si="717">+SUM(I165:I171)</f>
        <v>0</v>
      </c>
      <c r="J164" s="58">
        <f t="shared" ref="J164" si="718">+SUM(J165:J171)</f>
        <v>0</v>
      </c>
      <c r="K164" s="58">
        <f t="shared" ref="K164" si="719">+SUM(K165:K171)</f>
        <v>0</v>
      </c>
      <c r="L164" s="58">
        <f t="shared" ref="L164:M164" si="720">+SUM(L165:L171)</f>
        <v>0</v>
      </c>
      <c r="M164" s="58">
        <f t="shared" si="720"/>
        <v>0</v>
      </c>
      <c r="N164" s="20" t="s">
        <v>136</v>
      </c>
      <c r="O164" s="58">
        <f t="shared" ref="O164:AA164" si="721">+SUM(O165:O171)</f>
        <v>0</v>
      </c>
      <c r="P164" s="58">
        <f t="shared" si="721"/>
        <v>0</v>
      </c>
      <c r="Q164" s="58">
        <f t="shared" si="721"/>
        <v>0</v>
      </c>
      <c r="R164" s="58">
        <f t="shared" si="721"/>
        <v>0</v>
      </c>
      <c r="S164" s="58">
        <f t="shared" si="721"/>
        <v>0</v>
      </c>
      <c r="T164" s="58">
        <f t="shared" si="721"/>
        <v>0</v>
      </c>
      <c r="U164" s="58">
        <f t="shared" si="721"/>
        <v>0</v>
      </c>
      <c r="V164" s="58">
        <f t="shared" si="721"/>
        <v>0</v>
      </c>
      <c r="W164" s="58">
        <f t="shared" si="721"/>
        <v>0</v>
      </c>
      <c r="X164" s="58">
        <f t="shared" si="721"/>
        <v>0</v>
      </c>
      <c r="Y164" s="58">
        <f t="shared" si="721"/>
        <v>0</v>
      </c>
      <c r="Z164" s="58">
        <f t="shared" si="721"/>
        <v>0</v>
      </c>
      <c r="AA164" s="58">
        <f t="shared" si="721"/>
        <v>0</v>
      </c>
      <c r="AB164" s="118">
        <f t="shared" si="708"/>
        <v>0</v>
      </c>
      <c r="AC164" s="58">
        <f t="shared" ref="AC164" si="722">+SUM(AC165:AC171)</f>
        <v>0</v>
      </c>
      <c r="AD164" s="58">
        <f t="shared" ref="AD164" si="723">+SUM(AD165:AD171)</f>
        <v>0</v>
      </c>
      <c r="AE164" s="58">
        <f t="shared" ref="AE164" si="724">+SUM(AE165:AE171)</f>
        <v>0</v>
      </c>
      <c r="AF164" s="58">
        <f t="shared" ref="AF164" si="725">+SUM(AF165:AF171)</f>
        <v>0</v>
      </c>
      <c r="AG164" s="58">
        <f t="shared" ref="AG164" si="726">+SUM(AG165:AG171)</f>
        <v>0</v>
      </c>
      <c r="AH164" s="58">
        <f t="shared" ref="AH164" si="727">+SUM(AH165:AH171)</f>
        <v>0</v>
      </c>
      <c r="AI164" s="58">
        <f t="shared" ref="AI164" si="728">+SUM(AI165:AI171)</f>
        <v>0</v>
      </c>
      <c r="AJ164" s="58">
        <f t="shared" ref="AJ164" si="729">+SUM(AJ165:AJ171)</f>
        <v>0</v>
      </c>
      <c r="AK164" s="58">
        <f t="shared" ref="AK164" si="730">+SUM(AK165:AK171)</f>
        <v>0</v>
      </c>
      <c r="AL164" s="58">
        <f t="shared" ref="AL164" si="731">+SUM(AL165:AL171)</f>
        <v>0</v>
      </c>
      <c r="AM164" s="58">
        <f t="shared" ref="AM164" si="732">+SUM(AM165:AM171)</f>
        <v>0</v>
      </c>
      <c r="AN164" s="58">
        <f t="shared" ref="AN164" si="733">+SUM(AN165:AN171)</f>
        <v>0</v>
      </c>
      <c r="AO164" s="58">
        <f t="shared" ref="AO164" si="734">+SUM(AO165:AO171)</f>
        <v>0</v>
      </c>
    </row>
    <row r="165" spans="1:41" hidden="1" outlineLevel="2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>
        <f t="shared" ref="M165:M171" si="735">+SUM(A165:L165)</f>
        <v>0</v>
      </c>
      <c r="N165" s="16" t="s">
        <v>137</v>
      </c>
      <c r="O165" s="106">
        <f>+VLOOKUP($N165,'Jan-25'!A:J,3,0)</f>
        <v>0</v>
      </c>
      <c r="P165" s="106">
        <f>+VLOOKUP($N165,'Feb-25'!A:J,3,0)</f>
        <v>0</v>
      </c>
      <c r="Q165" s="106">
        <f>+VLOOKUP($N165,'Mar-25'!A:J,3,0)</f>
        <v>0</v>
      </c>
      <c r="R165" s="106">
        <f>+VLOOKUP($N165,'Apr-25'!A:J,3,0)</f>
        <v>0</v>
      </c>
      <c r="S165" s="106">
        <f>+VLOOKUP($N165,'May-25'!A:J,3,0)</f>
        <v>0</v>
      </c>
      <c r="T165" s="106">
        <f>+VLOOKUP($N165,'June-25'!A:J,3,0)</f>
        <v>0</v>
      </c>
      <c r="U165" s="106">
        <f>+VLOOKUP($N165,'July-25'!A:J,3,0)</f>
        <v>0</v>
      </c>
      <c r="V165" s="106">
        <f>+VLOOKUP($N165,'Aug-25'!A:J,3,0)</f>
        <v>0</v>
      </c>
      <c r="W165" s="106">
        <f>+VLOOKUP($N165,'Sep-25'!A:J,3,0)</f>
        <v>0</v>
      </c>
      <c r="X165" s="106">
        <f>+VLOOKUP($N165,'Oct-25'!A:J,3,0)</f>
        <v>0</v>
      </c>
      <c r="Y165" s="106">
        <f>+VLOOKUP($N165,'Nov-25'!A:J,3,0)</f>
        <v>0</v>
      </c>
      <c r="Z165" s="106">
        <f>+VLOOKUP($N165,'Dec-25'!A:J,3,0)</f>
        <v>0</v>
      </c>
      <c r="AA165" s="106">
        <f t="shared" ref="AA165:AA171" si="736">+SUM(O165:Z165)</f>
        <v>0</v>
      </c>
      <c r="AB165" s="118">
        <f t="shared" si="708"/>
        <v>0</v>
      </c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  <c r="AM165" s="106"/>
      <c r="AN165" s="106"/>
      <c r="AO165" s="106"/>
    </row>
    <row r="166" spans="1:41" hidden="1" outlineLevel="2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>
        <f t="shared" si="735"/>
        <v>0</v>
      </c>
      <c r="N166" s="16" t="s">
        <v>138</v>
      </c>
      <c r="O166" s="106">
        <f>+VLOOKUP($N166,'Jan-25'!A:J,3,0)</f>
        <v>0</v>
      </c>
      <c r="P166" s="106">
        <f>+VLOOKUP($N166,'Feb-25'!A:J,3,0)</f>
        <v>0</v>
      </c>
      <c r="Q166" s="106">
        <f>+VLOOKUP($N166,'Mar-25'!A:J,3,0)</f>
        <v>0</v>
      </c>
      <c r="R166" s="106">
        <f>+VLOOKUP($N166,'Apr-25'!A:J,3,0)</f>
        <v>0</v>
      </c>
      <c r="S166" s="106">
        <f>+VLOOKUP($N166,'May-25'!A:J,3,0)</f>
        <v>0</v>
      </c>
      <c r="T166" s="106">
        <f>+VLOOKUP($N166,'June-25'!A:J,3,0)</f>
        <v>0</v>
      </c>
      <c r="U166" s="106">
        <f>+VLOOKUP($N166,'July-25'!A:J,3,0)</f>
        <v>0</v>
      </c>
      <c r="V166" s="106">
        <f>+VLOOKUP($N166,'Aug-25'!A:J,3,0)</f>
        <v>0</v>
      </c>
      <c r="W166" s="106">
        <f>+VLOOKUP($N166,'Sep-25'!A:J,3,0)</f>
        <v>0</v>
      </c>
      <c r="X166" s="106">
        <f>+VLOOKUP($N166,'Oct-25'!A:J,3,0)</f>
        <v>0</v>
      </c>
      <c r="Y166" s="106">
        <f>+VLOOKUP($N166,'Nov-25'!A:J,3,0)</f>
        <v>0</v>
      </c>
      <c r="Z166" s="106">
        <f>+VLOOKUP($N166,'Dec-25'!A:J,3,0)</f>
        <v>0</v>
      </c>
      <c r="AA166" s="106">
        <f t="shared" si="736"/>
        <v>0</v>
      </c>
      <c r="AB166" s="118">
        <f t="shared" si="708"/>
        <v>0</v>
      </c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</row>
    <row r="167" spans="1:41" hidden="1" outlineLevel="2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>
        <f t="shared" si="735"/>
        <v>0</v>
      </c>
      <c r="N167" s="16" t="s">
        <v>139</v>
      </c>
      <c r="O167" s="106">
        <f>+VLOOKUP($N167,'Jan-25'!A:J,3,0)</f>
        <v>0</v>
      </c>
      <c r="P167" s="106">
        <f>+VLOOKUP($N167,'Feb-25'!A:J,3,0)</f>
        <v>0</v>
      </c>
      <c r="Q167" s="106">
        <f>+VLOOKUP($N167,'Mar-25'!A:J,3,0)</f>
        <v>0</v>
      </c>
      <c r="R167" s="106">
        <f>+VLOOKUP($N167,'Apr-25'!A:J,3,0)</f>
        <v>0</v>
      </c>
      <c r="S167" s="106">
        <f>+VLOOKUP($N167,'May-25'!A:J,3,0)</f>
        <v>0</v>
      </c>
      <c r="T167" s="106">
        <f>+VLOOKUP($N167,'June-25'!A:J,3,0)</f>
        <v>0</v>
      </c>
      <c r="U167" s="106">
        <f>+VLOOKUP($N167,'July-25'!A:J,3,0)</f>
        <v>0</v>
      </c>
      <c r="V167" s="106">
        <f>+VLOOKUP($N167,'Aug-25'!A:J,3,0)</f>
        <v>0</v>
      </c>
      <c r="W167" s="106">
        <f>+VLOOKUP($N167,'Sep-25'!A:J,3,0)</f>
        <v>0</v>
      </c>
      <c r="X167" s="106">
        <f>+VLOOKUP($N167,'Oct-25'!A:J,3,0)</f>
        <v>0</v>
      </c>
      <c r="Y167" s="106">
        <f>+VLOOKUP($N167,'Nov-25'!A:J,3,0)</f>
        <v>0</v>
      </c>
      <c r="Z167" s="106">
        <f>+VLOOKUP($N167,'Dec-25'!A:J,3,0)</f>
        <v>0</v>
      </c>
      <c r="AA167" s="106">
        <f t="shared" si="736"/>
        <v>0</v>
      </c>
      <c r="AB167" s="118">
        <f t="shared" si="708"/>
        <v>0</v>
      </c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  <c r="AM167" s="106"/>
      <c r="AN167" s="106"/>
      <c r="AO167" s="106"/>
    </row>
    <row r="168" spans="1:41" hidden="1" outlineLevel="2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>
        <f t="shared" si="735"/>
        <v>0</v>
      </c>
      <c r="N168" s="16" t="s">
        <v>140</v>
      </c>
      <c r="O168" s="106">
        <f>+VLOOKUP($N168,'Jan-25'!A:J,3,0)</f>
        <v>0</v>
      </c>
      <c r="P168" s="106">
        <f>+VLOOKUP($N168,'Feb-25'!A:J,3,0)</f>
        <v>0</v>
      </c>
      <c r="Q168" s="106">
        <f>+VLOOKUP($N168,'Mar-25'!A:J,3,0)</f>
        <v>0</v>
      </c>
      <c r="R168" s="106">
        <f>+VLOOKUP($N168,'Apr-25'!A:J,3,0)</f>
        <v>0</v>
      </c>
      <c r="S168" s="106">
        <f>+VLOOKUP($N168,'May-25'!A:J,3,0)</f>
        <v>0</v>
      </c>
      <c r="T168" s="106">
        <f>+VLOOKUP($N168,'June-25'!A:J,3,0)</f>
        <v>0</v>
      </c>
      <c r="U168" s="106">
        <f>+VLOOKUP($N168,'July-25'!A:J,3,0)</f>
        <v>0</v>
      </c>
      <c r="V168" s="106">
        <f>+VLOOKUP($N168,'Aug-25'!A:J,3,0)</f>
        <v>0</v>
      </c>
      <c r="W168" s="106">
        <f>+VLOOKUP($N168,'Sep-25'!A:J,3,0)</f>
        <v>0</v>
      </c>
      <c r="X168" s="106">
        <f>+VLOOKUP($N168,'Oct-25'!A:J,3,0)</f>
        <v>0</v>
      </c>
      <c r="Y168" s="106">
        <f>+VLOOKUP($N168,'Nov-25'!A:J,3,0)</f>
        <v>0</v>
      </c>
      <c r="Z168" s="106">
        <f>+VLOOKUP($N168,'Dec-25'!A:J,3,0)</f>
        <v>0</v>
      </c>
      <c r="AA168" s="106">
        <f t="shared" si="736"/>
        <v>0</v>
      </c>
      <c r="AB168" s="118">
        <f t="shared" si="708"/>
        <v>0</v>
      </c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  <c r="AM168" s="106"/>
      <c r="AN168" s="106"/>
      <c r="AO168" s="106"/>
    </row>
    <row r="169" spans="1:41" hidden="1" outlineLevel="2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>
        <f t="shared" si="735"/>
        <v>0</v>
      </c>
      <c r="N169" s="16" t="s">
        <v>141</v>
      </c>
      <c r="O169" s="106">
        <f>+VLOOKUP($N169,'Jan-25'!A:J,3,0)</f>
        <v>0</v>
      </c>
      <c r="P169" s="106">
        <f>+VLOOKUP($N169,'Feb-25'!A:J,3,0)</f>
        <v>0</v>
      </c>
      <c r="Q169" s="106">
        <f>+VLOOKUP($N169,'Mar-25'!A:J,3,0)</f>
        <v>0</v>
      </c>
      <c r="R169" s="106">
        <f>+VLOOKUP($N169,'Apr-25'!A:J,3,0)</f>
        <v>0</v>
      </c>
      <c r="S169" s="106">
        <f>+VLOOKUP($N169,'May-25'!A:J,3,0)</f>
        <v>0</v>
      </c>
      <c r="T169" s="106">
        <f>+VLOOKUP($N169,'June-25'!A:J,3,0)</f>
        <v>0</v>
      </c>
      <c r="U169" s="106">
        <f>+VLOOKUP($N169,'July-25'!A:J,3,0)</f>
        <v>0</v>
      </c>
      <c r="V169" s="106">
        <f>+VLOOKUP($N169,'Aug-25'!A:J,3,0)</f>
        <v>0</v>
      </c>
      <c r="W169" s="106">
        <f>+VLOOKUP($N169,'Sep-25'!A:J,3,0)</f>
        <v>0</v>
      </c>
      <c r="X169" s="106">
        <f>+VLOOKUP($N169,'Oct-25'!A:J,3,0)</f>
        <v>0</v>
      </c>
      <c r="Y169" s="106">
        <f>+VLOOKUP($N169,'Nov-25'!A:J,3,0)</f>
        <v>0</v>
      </c>
      <c r="Z169" s="106">
        <f>+VLOOKUP($N169,'Dec-25'!A:J,3,0)</f>
        <v>0</v>
      </c>
      <c r="AA169" s="106">
        <f t="shared" si="736"/>
        <v>0</v>
      </c>
      <c r="AB169" s="118">
        <f t="shared" si="708"/>
        <v>0</v>
      </c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  <c r="AM169" s="106"/>
      <c r="AN169" s="106"/>
      <c r="AO169" s="106"/>
    </row>
    <row r="170" spans="1:41" hidden="1" outlineLevel="2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>
        <f t="shared" si="735"/>
        <v>0</v>
      </c>
      <c r="N170" s="16" t="s">
        <v>142</v>
      </c>
      <c r="O170" s="106">
        <f>+VLOOKUP($N170,'Jan-25'!A:J,3,0)</f>
        <v>0</v>
      </c>
      <c r="P170" s="106">
        <f>+VLOOKUP($N170,'Feb-25'!A:J,3,0)</f>
        <v>0</v>
      </c>
      <c r="Q170" s="106">
        <f>+VLOOKUP($N170,'Mar-25'!A:J,3,0)</f>
        <v>0</v>
      </c>
      <c r="R170" s="106">
        <f>+VLOOKUP($N170,'Apr-25'!A:J,3,0)</f>
        <v>0</v>
      </c>
      <c r="S170" s="106">
        <f>+VLOOKUP($N170,'May-25'!A:J,3,0)</f>
        <v>0</v>
      </c>
      <c r="T170" s="106">
        <f>+VLOOKUP($N170,'June-25'!A:J,3,0)</f>
        <v>0</v>
      </c>
      <c r="U170" s="106">
        <f>+VLOOKUP($N170,'July-25'!A:J,3,0)</f>
        <v>0</v>
      </c>
      <c r="V170" s="106">
        <f>+VLOOKUP($N170,'Aug-25'!A:J,3,0)</f>
        <v>0</v>
      </c>
      <c r="W170" s="106">
        <f>+VLOOKUP($N170,'Sep-25'!A:J,3,0)</f>
        <v>0</v>
      </c>
      <c r="X170" s="106">
        <f>+VLOOKUP($N170,'Oct-25'!A:J,3,0)</f>
        <v>0</v>
      </c>
      <c r="Y170" s="106">
        <f>+VLOOKUP($N170,'Nov-25'!A:J,3,0)</f>
        <v>0</v>
      </c>
      <c r="Z170" s="106">
        <f>+VLOOKUP($N170,'Dec-25'!A:J,3,0)</f>
        <v>0</v>
      </c>
      <c r="AA170" s="106">
        <f t="shared" si="736"/>
        <v>0</v>
      </c>
      <c r="AB170" s="118">
        <f t="shared" si="708"/>
        <v>0</v>
      </c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  <c r="AM170" s="106"/>
      <c r="AN170" s="106"/>
      <c r="AO170" s="106"/>
    </row>
    <row r="171" spans="1:41" hidden="1" outlineLevel="2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>
        <f t="shared" si="735"/>
        <v>0</v>
      </c>
      <c r="N171" s="16" t="s">
        <v>143</v>
      </c>
      <c r="O171" s="106">
        <f>+VLOOKUP($N171,'Jan-25'!A:J,3,0)</f>
        <v>0</v>
      </c>
      <c r="P171" s="106">
        <f>+VLOOKUP($N171,'Feb-25'!A:J,3,0)</f>
        <v>0</v>
      </c>
      <c r="Q171" s="106">
        <f>+VLOOKUP($N171,'Mar-25'!A:J,3,0)</f>
        <v>0</v>
      </c>
      <c r="R171" s="106">
        <f>+VLOOKUP($N171,'Apr-25'!A:J,3,0)</f>
        <v>0</v>
      </c>
      <c r="S171" s="106">
        <f>+VLOOKUP($N171,'May-25'!A:J,3,0)</f>
        <v>0</v>
      </c>
      <c r="T171" s="106">
        <f>+VLOOKUP($N171,'June-25'!A:J,3,0)</f>
        <v>0</v>
      </c>
      <c r="U171" s="106">
        <f>+VLOOKUP($N171,'July-25'!A:J,3,0)</f>
        <v>0</v>
      </c>
      <c r="V171" s="106">
        <f>+VLOOKUP($N171,'Aug-25'!A:J,3,0)</f>
        <v>0</v>
      </c>
      <c r="W171" s="106">
        <f>+VLOOKUP($N171,'Sep-25'!A:J,3,0)</f>
        <v>0</v>
      </c>
      <c r="X171" s="106">
        <f>+VLOOKUP($N171,'Oct-25'!A:J,3,0)</f>
        <v>0</v>
      </c>
      <c r="Y171" s="106">
        <f>+VLOOKUP($N171,'Nov-25'!A:J,3,0)</f>
        <v>0</v>
      </c>
      <c r="Z171" s="106">
        <f>+VLOOKUP($N171,'Dec-25'!A:J,3,0)</f>
        <v>0</v>
      </c>
      <c r="AA171" s="106">
        <f t="shared" si="736"/>
        <v>0</v>
      </c>
      <c r="AB171" s="118">
        <f t="shared" si="708"/>
        <v>0</v>
      </c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106"/>
      <c r="AO171" s="106"/>
    </row>
    <row r="172" spans="1:41" hidden="1" outlineLevel="2">
      <c r="A172" s="58">
        <f t="shared" ref="A172" si="737">+SUM(A173:A177)</f>
        <v>0</v>
      </c>
      <c r="B172" s="58">
        <f t="shared" ref="B172" si="738">+SUM(B173:B177)</f>
        <v>0</v>
      </c>
      <c r="C172" s="58">
        <f t="shared" ref="C172" si="739">+SUM(C173:C177)</f>
        <v>0</v>
      </c>
      <c r="D172" s="58">
        <f t="shared" ref="D172" si="740">+SUM(D173:D177)</f>
        <v>0</v>
      </c>
      <c r="E172" s="58">
        <f t="shared" ref="E172" si="741">+SUM(E173:E177)</f>
        <v>0</v>
      </c>
      <c r="F172" s="58">
        <f t="shared" ref="F172" si="742">+SUM(F173:F177)</f>
        <v>0</v>
      </c>
      <c r="G172" s="58">
        <f t="shared" ref="G172" si="743">+SUM(G173:G177)</f>
        <v>0</v>
      </c>
      <c r="H172" s="58">
        <f t="shared" ref="H172" si="744">+SUM(H173:H177)</f>
        <v>0</v>
      </c>
      <c r="I172" s="58">
        <f t="shared" ref="I172" si="745">+SUM(I173:I177)</f>
        <v>0</v>
      </c>
      <c r="J172" s="58">
        <f t="shared" ref="J172" si="746">+SUM(J173:J177)</f>
        <v>0</v>
      </c>
      <c r="K172" s="58">
        <f t="shared" ref="K172" si="747">+SUM(K173:K177)</f>
        <v>0</v>
      </c>
      <c r="L172" s="58">
        <f t="shared" ref="L172:M172" si="748">+SUM(L173:L177)</f>
        <v>0</v>
      </c>
      <c r="M172" s="58">
        <f t="shared" si="748"/>
        <v>0</v>
      </c>
      <c r="N172" s="20" t="s">
        <v>144</v>
      </c>
      <c r="O172" s="58">
        <f t="shared" ref="O172:AA172" si="749">+SUM(O173:O177)</f>
        <v>0</v>
      </c>
      <c r="P172" s="58">
        <f t="shared" si="749"/>
        <v>0</v>
      </c>
      <c r="Q172" s="58">
        <f t="shared" si="749"/>
        <v>0</v>
      </c>
      <c r="R172" s="58">
        <f t="shared" si="749"/>
        <v>0</v>
      </c>
      <c r="S172" s="58">
        <f t="shared" si="749"/>
        <v>0</v>
      </c>
      <c r="T172" s="58">
        <f t="shared" si="749"/>
        <v>0</v>
      </c>
      <c r="U172" s="58">
        <f t="shared" si="749"/>
        <v>0</v>
      </c>
      <c r="V172" s="58">
        <f t="shared" si="749"/>
        <v>0</v>
      </c>
      <c r="W172" s="58">
        <f t="shared" si="749"/>
        <v>0</v>
      </c>
      <c r="X172" s="58">
        <f t="shared" si="749"/>
        <v>0</v>
      </c>
      <c r="Y172" s="58">
        <f t="shared" si="749"/>
        <v>0</v>
      </c>
      <c r="Z172" s="58">
        <f t="shared" si="749"/>
        <v>0</v>
      </c>
      <c r="AA172" s="58">
        <f t="shared" si="749"/>
        <v>0</v>
      </c>
      <c r="AB172" s="118">
        <f t="shared" si="708"/>
        <v>0</v>
      </c>
      <c r="AC172" s="58">
        <f t="shared" ref="AC172" si="750">+SUM(AC173:AC177)</f>
        <v>0</v>
      </c>
      <c r="AD172" s="58">
        <f t="shared" ref="AD172" si="751">+SUM(AD173:AD177)</f>
        <v>0</v>
      </c>
      <c r="AE172" s="58">
        <f t="shared" ref="AE172" si="752">+SUM(AE173:AE177)</f>
        <v>0</v>
      </c>
      <c r="AF172" s="58">
        <f t="shared" ref="AF172" si="753">+SUM(AF173:AF177)</f>
        <v>0</v>
      </c>
      <c r="AG172" s="58">
        <f t="shared" ref="AG172" si="754">+SUM(AG173:AG177)</f>
        <v>0</v>
      </c>
      <c r="AH172" s="58">
        <f t="shared" ref="AH172" si="755">+SUM(AH173:AH177)</f>
        <v>0</v>
      </c>
      <c r="AI172" s="58">
        <f t="shared" ref="AI172" si="756">+SUM(AI173:AI177)</f>
        <v>0</v>
      </c>
      <c r="AJ172" s="58">
        <f t="shared" ref="AJ172" si="757">+SUM(AJ173:AJ177)</f>
        <v>0</v>
      </c>
      <c r="AK172" s="58">
        <f t="shared" ref="AK172" si="758">+SUM(AK173:AK177)</f>
        <v>0</v>
      </c>
      <c r="AL172" s="58">
        <f t="shared" ref="AL172" si="759">+SUM(AL173:AL177)</f>
        <v>0</v>
      </c>
      <c r="AM172" s="58">
        <f t="shared" ref="AM172" si="760">+SUM(AM173:AM177)</f>
        <v>0</v>
      </c>
      <c r="AN172" s="58">
        <f t="shared" ref="AN172" si="761">+SUM(AN173:AN177)</f>
        <v>0</v>
      </c>
      <c r="AO172" s="58">
        <f t="shared" ref="AO172" si="762">+SUM(AO173:AO177)</f>
        <v>0</v>
      </c>
    </row>
    <row r="173" spans="1:41" hidden="1" outlineLevel="2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>
        <f t="shared" ref="M173:M177" si="763">+SUM(A173:L173)</f>
        <v>0</v>
      </c>
      <c r="N173" s="16" t="s">
        <v>145</v>
      </c>
      <c r="O173" s="106">
        <f>+VLOOKUP($N173,'Jan-25'!A:J,3,0)</f>
        <v>0</v>
      </c>
      <c r="P173" s="106">
        <f>+VLOOKUP($N173,'Feb-25'!A:J,3,0)</f>
        <v>0</v>
      </c>
      <c r="Q173" s="106">
        <f>+VLOOKUP($N173,'Mar-25'!A:J,3,0)</f>
        <v>0</v>
      </c>
      <c r="R173" s="106">
        <f>+VLOOKUP($N173,'Apr-25'!A:J,3,0)</f>
        <v>0</v>
      </c>
      <c r="S173" s="106">
        <f>+VLOOKUP($N173,'May-25'!A:J,3,0)</f>
        <v>0</v>
      </c>
      <c r="T173" s="106">
        <f>+VLOOKUP($N173,'June-25'!A:J,3,0)</f>
        <v>0</v>
      </c>
      <c r="U173" s="106">
        <f>+VLOOKUP($N173,'July-25'!A:J,3,0)</f>
        <v>0</v>
      </c>
      <c r="V173" s="106">
        <f>+VLOOKUP($N173,'Aug-25'!A:J,3,0)</f>
        <v>0</v>
      </c>
      <c r="W173" s="106">
        <f>+VLOOKUP($N173,'Sep-25'!A:J,3,0)</f>
        <v>0</v>
      </c>
      <c r="X173" s="106">
        <f>+VLOOKUP($N173,'Oct-25'!A:J,3,0)</f>
        <v>0</v>
      </c>
      <c r="Y173" s="106">
        <f>+VLOOKUP($N173,'Nov-25'!A:J,3,0)</f>
        <v>0</v>
      </c>
      <c r="Z173" s="106">
        <f>+VLOOKUP($N173,'Dec-25'!A:J,3,0)</f>
        <v>0</v>
      </c>
      <c r="AA173" s="106">
        <f t="shared" ref="AA173:AA177" si="764">+SUM(O173:Z173)</f>
        <v>0</v>
      </c>
      <c r="AB173" s="118">
        <f t="shared" si="708"/>
        <v>0</v>
      </c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  <c r="AM173" s="106"/>
      <c r="AN173" s="106"/>
      <c r="AO173" s="106"/>
    </row>
    <row r="174" spans="1:41" hidden="1" outlineLevel="2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>
        <f t="shared" si="763"/>
        <v>0</v>
      </c>
      <c r="N174" s="16" t="s">
        <v>146</v>
      </c>
      <c r="O174" s="106">
        <f>+VLOOKUP($N174,'Jan-25'!A:J,3,0)</f>
        <v>0</v>
      </c>
      <c r="P174" s="106">
        <f>+VLOOKUP($N174,'Feb-25'!A:J,3,0)</f>
        <v>0</v>
      </c>
      <c r="Q174" s="106">
        <f>+VLOOKUP($N174,'Mar-25'!A:J,3,0)</f>
        <v>0</v>
      </c>
      <c r="R174" s="106">
        <f>+VLOOKUP($N174,'Apr-25'!A:J,3,0)</f>
        <v>0</v>
      </c>
      <c r="S174" s="106">
        <f>+VLOOKUP($N174,'May-25'!A:J,3,0)</f>
        <v>0</v>
      </c>
      <c r="T174" s="106">
        <f>+VLOOKUP($N174,'June-25'!A:J,3,0)</f>
        <v>0</v>
      </c>
      <c r="U174" s="106">
        <f>+VLOOKUP($N174,'July-25'!A:J,3,0)</f>
        <v>0</v>
      </c>
      <c r="V174" s="106">
        <f>+VLOOKUP($N174,'Aug-25'!A:J,3,0)</f>
        <v>0</v>
      </c>
      <c r="W174" s="106">
        <f>+VLOOKUP($N174,'Sep-25'!A:J,3,0)</f>
        <v>0</v>
      </c>
      <c r="X174" s="106">
        <f>+VLOOKUP($N174,'Oct-25'!A:J,3,0)</f>
        <v>0</v>
      </c>
      <c r="Y174" s="106">
        <f>+VLOOKUP($N174,'Nov-25'!A:J,3,0)</f>
        <v>0</v>
      </c>
      <c r="Z174" s="106">
        <f>+VLOOKUP($N174,'Dec-25'!A:J,3,0)</f>
        <v>0</v>
      </c>
      <c r="AA174" s="106">
        <f t="shared" si="764"/>
        <v>0</v>
      </c>
      <c r="AB174" s="118">
        <f t="shared" si="708"/>
        <v>0</v>
      </c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  <c r="AM174" s="106"/>
      <c r="AN174" s="106"/>
      <c r="AO174" s="106"/>
    </row>
    <row r="175" spans="1:41" hidden="1" outlineLevel="2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>
        <f t="shared" si="763"/>
        <v>0</v>
      </c>
      <c r="N175" s="16" t="s">
        <v>230</v>
      </c>
      <c r="O175" s="106">
        <f>+VLOOKUP($N175,'Jan-25'!A:J,3,0)</f>
        <v>0</v>
      </c>
      <c r="P175" s="106">
        <f>+VLOOKUP($N175,'Feb-25'!A:J,3,0)</f>
        <v>0</v>
      </c>
      <c r="Q175" s="106">
        <f>+VLOOKUP($N175,'Mar-25'!A:J,3,0)</f>
        <v>0</v>
      </c>
      <c r="R175" s="106">
        <f>+VLOOKUP($N175,'Apr-25'!A:J,3,0)</f>
        <v>0</v>
      </c>
      <c r="S175" s="106">
        <f>+VLOOKUP($N175,'May-25'!A:J,3,0)</f>
        <v>0</v>
      </c>
      <c r="T175" s="106">
        <f>+VLOOKUP($N175,'June-25'!A:J,3,0)</f>
        <v>0</v>
      </c>
      <c r="U175" s="106">
        <f>+VLOOKUP($N175,'July-25'!A:J,3,0)</f>
        <v>0</v>
      </c>
      <c r="V175" s="106">
        <f>+VLOOKUP($N175,'Aug-25'!A:J,3,0)</f>
        <v>0</v>
      </c>
      <c r="W175" s="106">
        <f>+VLOOKUP($N175,'Sep-25'!A:J,3,0)</f>
        <v>0</v>
      </c>
      <c r="X175" s="106">
        <f>+VLOOKUP($N175,'Oct-25'!A:J,3,0)</f>
        <v>0</v>
      </c>
      <c r="Y175" s="106">
        <f>+VLOOKUP($N175,'Nov-25'!A:J,3,0)</f>
        <v>0</v>
      </c>
      <c r="Z175" s="106">
        <f>+VLOOKUP($N175,'Dec-25'!A:J,3,0)</f>
        <v>0</v>
      </c>
      <c r="AA175" s="106">
        <f t="shared" si="764"/>
        <v>0</v>
      </c>
      <c r="AB175" s="118">
        <f t="shared" si="708"/>
        <v>0</v>
      </c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  <c r="AM175" s="106"/>
      <c r="AN175" s="106"/>
      <c r="AO175" s="106"/>
    </row>
    <row r="176" spans="1:41" hidden="1" outlineLevel="2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>
        <f t="shared" si="763"/>
        <v>0</v>
      </c>
      <c r="N176" s="16" t="s">
        <v>231</v>
      </c>
      <c r="O176" s="106">
        <f>+VLOOKUP($N176,'Jan-25'!A:J,3,0)</f>
        <v>0</v>
      </c>
      <c r="P176" s="106">
        <f>+VLOOKUP($N176,'Feb-25'!A:J,3,0)</f>
        <v>0</v>
      </c>
      <c r="Q176" s="106">
        <f>+VLOOKUP($N176,'Mar-25'!A:J,3,0)</f>
        <v>0</v>
      </c>
      <c r="R176" s="106">
        <f>+VLOOKUP($N176,'Apr-25'!A:J,3,0)</f>
        <v>0</v>
      </c>
      <c r="S176" s="106">
        <f>+VLOOKUP($N176,'May-25'!A:J,3,0)</f>
        <v>0</v>
      </c>
      <c r="T176" s="106">
        <f>+VLOOKUP($N176,'June-25'!A:J,3,0)</f>
        <v>0</v>
      </c>
      <c r="U176" s="106">
        <f>+VLOOKUP($N176,'July-25'!A:J,3,0)</f>
        <v>0</v>
      </c>
      <c r="V176" s="106">
        <f>+VLOOKUP($N176,'Aug-25'!A:J,3,0)</f>
        <v>0</v>
      </c>
      <c r="W176" s="106">
        <f>+VLOOKUP($N176,'Sep-25'!A:J,3,0)</f>
        <v>0</v>
      </c>
      <c r="X176" s="106">
        <f>+VLOOKUP($N176,'Oct-25'!A:J,3,0)</f>
        <v>0</v>
      </c>
      <c r="Y176" s="106">
        <f>+VLOOKUP($N176,'Nov-25'!A:J,3,0)</f>
        <v>0</v>
      </c>
      <c r="Z176" s="106">
        <f>+VLOOKUP($N176,'Dec-25'!A:J,3,0)</f>
        <v>0</v>
      </c>
      <c r="AA176" s="106">
        <f t="shared" si="764"/>
        <v>0</v>
      </c>
      <c r="AB176" s="118">
        <f t="shared" si="708"/>
        <v>0</v>
      </c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  <c r="AM176" s="106"/>
      <c r="AN176" s="106"/>
      <c r="AO176" s="106"/>
    </row>
    <row r="177" spans="1:41" hidden="1" outlineLevel="2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>
        <f t="shared" si="763"/>
        <v>0</v>
      </c>
      <c r="N177" s="16" t="s">
        <v>232</v>
      </c>
      <c r="O177" s="106">
        <f>+VLOOKUP($N177,'Jan-25'!A:J,3,0)</f>
        <v>0</v>
      </c>
      <c r="P177" s="106">
        <f>+VLOOKUP($N177,'Feb-25'!A:J,3,0)</f>
        <v>0</v>
      </c>
      <c r="Q177" s="106">
        <f>+VLOOKUP($N177,'Mar-25'!A:J,3,0)</f>
        <v>0</v>
      </c>
      <c r="R177" s="106">
        <f>+VLOOKUP($N177,'Apr-25'!A:J,3,0)</f>
        <v>0</v>
      </c>
      <c r="S177" s="106">
        <f>+VLOOKUP($N177,'May-25'!A:J,3,0)</f>
        <v>0</v>
      </c>
      <c r="T177" s="106">
        <f>+VLOOKUP($N177,'June-25'!A:J,3,0)</f>
        <v>0</v>
      </c>
      <c r="U177" s="106">
        <f>+VLOOKUP($N177,'July-25'!A:J,3,0)</f>
        <v>0</v>
      </c>
      <c r="V177" s="106">
        <f>+VLOOKUP($N177,'Aug-25'!A:J,3,0)</f>
        <v>0</v>
      </c>
      <c r="W177" s="106">
        <f>+VLOOKUP($N177,'Sep-25'!A:J,3,0)</f>
        <v>0</v>
      </c>
      <c r="X177" s="106">
        <f>+VLOOKUP($N177,'Oct-25'!A:J,3,0)</f>
        <v>0</v>
      </c>
      <c r="Y177" s="106">
        <f>+VLOOKUP($N177,'Nov-25'!A:J,3,0)</f>
        <v>0</v>
      </c>
      <c r="Z177" s="106">
        <f>+VLOOKUP($N177,'Dec-25'!A:J,3,0)</f>
        <v>0</v>
      </c>
      <c r="AA177" s="106">
        <f t="shared" si="764"/>
        <v>0</v>
      </c>
      <c r="AB177" s="118">
        <f t="shared" si="708"/>
        <v>0</v>
      </c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  <c r="AM177" s="106"/>
      <c r="AN177" s="106"/>
      <c r="AO177" s="106"/>
    </row>
    <row r="178" spans="1:41" hidden="1" outlineLevel="2">
      <c r="A178" s="58">
        <f t="shared" ref="A178" si="765">+SUM(A179:A181)</f>
        <v>0</v>
      </c>
      <c r="B178" s="58">
        <f t="shared" ref="B178" si="766">+SUM(B179:B181)</f>
        <v>0</v>
      </c>
      <c r="C178" s="58">
        <f t="shared" ref="C178" si="767">+SUM(C179:C181)</f>
        <v>0</v>
      </c>
      <c r="D178" s="58">
        <f t="shared" ref="D178" si="768">+SUM(D179:D181)</f>
        <v>0</v>
      </c>
      <c r="E178" s="58">
        <f t="shared" ref="E178" si="769">+SUM(E179:E181)</f>
        <v>0</v>
      </c>
      <c r="F178" s="58">
        <f t="shared" ref="F178" si="770">+SUM(F179:F181)</f>
        <v>0</v>
      </c>
      <c r="G178" s="58">
        <f t="shared" ref="G178" si="771">+SUM(G179:G181)</f>
        <v>0</v>
      </c>
      <c r="H178" s="58">
        <f t="shared" ref="H178" si="772">+SUM(H179:H181)</f>
        <v>0</v>
      </c>
      <c r="I178" s="58">
        <f t="shared" ref="I178" si="773">+SUM(I179:I181)</f>
        <v>0</v>
      </c>
      <c r="J178" s="58">
        <f t="shared" ref="J178" si="774">+SUM(J179:J181)</f>
        <v>0</v>
      </c>
      <c r="K178" s="58">
        <f t="shared" ref="K178" si="775">+SUM(K179:K181)</f>
        <v>0</v>
      </c>
      <c r="L178" s="58">
        <f t="shared" ref="L178:M178" si="776">+SUM(L179:L181)</f>
        <v>0</v>
      </c>
      <c r="M178" s="58">
        <f t="shared" si="776"/>
        <v>0</v>
      </c>
      <c r="N178" s="20" t="s">
        <v>147</v>
      </c>
      <c r="O178" s="58">
        <f t="shared" ref="O178:AA178" si="777">+SUM(O179:O181)</f>
        <v>0</v>
      </c>
      <c r="P178" s="58">
        <f t="shared" si="777"/>
        <v>0</v>
      </c>
      <c r="Q178" s="58">
        <f t="shared" si="777"/>
        <v>0</v>
      </c>
      <c r="R178" s="58">
        <f t="shared" si="777"/>
        <v>0</v>
      </c>
      <c r="S178" s="58">
        <f t="shared" si="777"/>
        <v>0</v>
      </c>
      <c r="T178" s="58">
        <f t="shared" si="777"/>
        <v>0</v>
      </c>
      <c r="U178" s="58">
        <f t="shared" si="777"/>
        <v>0</v>
      </c>
      <c r="V178" s="58">
        <f t="shared" si="777"/>
        <v>0</v>
      </c>
      <c r="W178" s="58">
        <f t="shared" si="777"/>
        <v>0</v>
      </c>
      <c r="X178" s="58">
        <f t="shared" si="777"/>
        <v>0</v>
      </c>
      <c r="Y178" s="58">
        <f t="shared" si="777"/>
        <v>0</v>
      </c>
      <c r="Z178" s="58">
        <f t="shared" si="777"/>
        <v>0</v>
      </c>
      <c r="AA178" s="58">
        <f t="shared" si="777"/>
        <v>0</v>
      </c>
      <c r="AB178" s="118">
        <f t="shared" si="708"/>
        <v>0</v>
      </c>
      <c r="AC178" s="58">
        <f t="shared" ref="AC178" si="778">+SUM(AC179:AC181)</f>
        <v>0</v>
      </c>
      <c r="AD178" s="58">
        <f t="shared" ref="AD178" si="779">+SUM(AD179:AD181)</f>
        <v>0</v>
      </c>
      <c r="AE178" s="58">
        <f t="shared" ref="AE178" si="780">+SUM(AE179:AE181)</f>
        <v>0</v>
      </c>
      <c r="AF178" s="58">
        <f t="shared" ref="AF178" si="781">+SUM(AF179:AF181)</f>
        <v>0</v>
      </c>
      <c r="AG178" s="58">
        <f t="shared" ref="AG178" si="782">+SUM(AG179:AG181)</f>
        <v>0</v>
      </c>
      <c r="AH178" s="58">
        <f t="shared" ref="AH178" si="783">+SUM(AH179:AH181)</f>
        <v>0</v>
      </c>
      <c r="AI178" s="58">
        <f t="shared" ref="AI178" si="784">+SUM(AI179:AI181)</f>
        <v>0</v>
      </c>
      <c r="AJ178" s="58">
        <f t="shared" ref="AJ178" si="785">+SUM(AJ179:AJ181)</f>
        <v>0</v>
      </c>
      <c r="AK178" s="58">
        <f t="shared" ref="AK178" si="786">+SUM(AK179:AK181)</f>
        <v>0</v>
      </c>
      <c r="AL178" s="58">
        <f t="shared" ref="AL178" si="787">+SUM(AL179:AL181)</f>
        <v>0</v>
      </c>
      <c r="AM178" s="58">
        <f t="shared" ref="AM178" si="788">+SUM(AM179:AM181)</f>
        <v>0</v>
      </c>
      <c r="AN178" s="58">
        <f t="shared" ref="AN178" si="789">+SUM(AN179:AN181)</f>
        <v>0</v>
      </c>
      <c r="AO178" s="58">
        <f t="shared" ref="AO178" si="790">+SUM(AO179:AO181)</f>
        <v>0</v>
      </c>
    </row>
    <row r="179" spans="1:41" hidden="1" outlineLevel="2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>
        <f t="shared" ref="M179:M181" si="791">+SUM(A179:L179)</f>
        <v>0</v>
      </c>
      <c r="N179" s="16" t="s">
        <v>148</v>
      </c>
      <c r="O179" s="106">
        <f>+VLOOKUP($N179,'Jan-25'!A:J,3,0)</f>
        <v>0</v>
      </c>
      <c r="P179" s="106">
        <f>+VLOOKUP($N179,'Feb-25'!A:J,3,0)</f>
        <v>0</v>
      </c>
      <c r="Q179" s="106">
        <f>+VLOOKUP($N179,'Mar-25'!A:J,3,0)</f>
        <v>0</v>
      </c>
      <c r="R179" s="106">
        <f>+VLOOKUP($N179,'Apr-25'!A:J,3,0)</f>
        <v>0</v>
      </c>
      <c r="S179" s="106">
        <f>+VLOOKUP($N179,'May-25'!A:J,3,0)</f>
        <v>0</v>
      </c>
      <c r="T179" s="106">
        <f>+VLOOKUP($N179,'June-25'!A:J,3,0)</f>
        <v>0</v>
      </c>
      <c r="U179" s="106">
        <f>+VLOOKUP($N179,'July-25'!A:J,3,0)</f>
        <v>0</v>
      </c>
      <c r="V179" s="106">
        <f>+VLOOKUP($N179,'Aug-25'!A:J,3,0)</f>
        <v>0</v>
      </c>
      <c r="W179" s="106">
        <f>+VLOOKUP($N179,'Sep-25'!A:J,3,0)</f>
        <v>0</v>
      </c>
      <c r="X179" s="106">
        <f>+VLOOKUP($N179,'Oct-25'!A:J,3,0)</f>
        <v>0</v>
      </c>
      <c r="Y179" s="106">
        <f>+VLOOKUP($N179,'Nov-25'!A:J,3,0)</f>
        <v>0</v>
      </c>
      <c r="Z179" s="106">
        <f>+VLOOKUP($N179,'Dec-25'!A:J,3,0)</f>
        <v>0</v>
      </c>
      <c r="AA179" s="106">
        <f t="shared" ref="AA179:AA181" si="792">+SUM(O179:Z179)</f>
        <v>0</v>
      </c>
      <c r="AB179" s="118">
        <f t="shared" si="708"/>
        <v>0</v>
      </c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  <c r="AM179" s="106"/>
      <c r="AN179" s="106"/>
      <c r="AO179" s="106"/>
    </row>
    <row r="180" spans="1:41" hidden="1" outlineLevel="2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>
        <f t="shared" si="791"/>
        <v>0</v>
      </c>
      <c r="N180" s="16" t="s">
        <v>149</v>
      </c>
      <c r="O180" s="106">
        <f>+VLOOKUP($N180,'Jan-25'!A:J,3,0)</f>
        <v>0</v>
      </c>
      <c r="P180" s="106">
        <f>+VLOOKUP($N180,'Feb-25'!A:J,3,0)</f>
        <v>0</v>
      </c>
      <c r="Q180" s="106">
        <f>+VLOOKUP($N180,'Mar-25'!A:J,3,0)</f>
        <v>0</v>
      </c>
      <c r="R180" s="106">
        <f>+VLOOKUP($N180,'Apr-25'!A:J,3,0)</f>
        <v>0</v>
      </c>
      <c r="S180" s="106">
        <f>+VLOOKUP($N180,'May-25'!A:J,3,0)</f>
        <v>0</v>
      </c>
      <c r="T180" s="106">
        <f>+VLOOKUP($N180,'June-25'!A:J,3,0)</f>
        <v>0</v>
      </c>
      <c r="U180" s="106">
        <f>+VLOOKUP($N180,'July-25'!A:J,3,0)</f>
        <v>0</v>
      </c>
      <c r="V180" s="106">
        <f>+VLOOKUP($N180,'Aug-25'!A:J,3,0)</f>
        <v>0</v>
      </c>
      <c r="W180" s="106">
        <f>+VLOOKUP($N180,'Sep-25'!A:J,3,0)</f>
        <v>0</v>
      </c>
      <c r="X180" s="106">
        <f>+VLOOKUP($N180,'Oct-25'!A:J,3,0)</f>
        <v>0</v>
      </c>
      <c r="Y180" s="106">
        <f>+VLOOKUP($N180,'Nov-25'!A:J,3,0)</f>
        <v>0</v>
      </c>
      <c r="Z180" s="106">
        <f>+VLOOKUP($N180,'Dec-25'!A:J,3,0)</f>
        <v>0</v>
      </c>
      <c r="AA180" s="106">
        <f t="shared" si="792"/>
        <v>0</v>
      </c>
      <c r="AB180" s="118">
        <f t="shared" si="708"/>
        <v>0</v>
      </c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  <c r="AM180" s="106"/>
      <c r="AN180" s="106"/>
      <c r="AO180" s="106"/>
    </row>
    <row r="181" spans="1:41" hidden="1" outlineLevel="2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>
        <f t="shared" si="791"/>
        <v>0</v>
      </c>
      <c r="N181" s="16" t="s">
        <v>150</v>
      </c>
      <c r="O181" s="106">
        <f>+VLOOKUP($N181,'Jan-25'!A:J,3,0)</f>
        <v>0</v>
      </c>
      <c r="P181" s="106">
        <f>+VLOOKUP($N181,'Feb-25'!A:J,3,0)</f>
        <v>0</v>
      </c>
      <c r="Q181" s="106">
        <f>+VLOOKUP($N181,'Mar-25'!A:J,3,0)</f>
        <v>0</v>
      </c>
      <c r="R181" s="106">
        <f>+VLOOKUP($N181,'Apr-25'!A:J,3,0)</f>
        <v>0</v>
      </c>
      <c r="S181" s="106">
        <f>+VLOOKUP($N181,'May-25'!A:J,3,0)</f>
        <v>0</v>
      </c>
      <c r="T181" s="106">
        <f>+VLOOKUP($N181,'June-25'!A:J,3,0)</f>
        <v>0</v>
      </c>
      <c r="U181" s="106">
        <f>+VLOOKUP($N181,'July-25'!A:J,3,0)</f>
        <v>0</v>
      </c>
      <c r="V181" s="106">
        <f>+VLOOKUP($N181,'Aug-25'!A:J,3,0)</f>
        <v>0</v>
      </c>
      <c r="W181" s="106">
        <f>+VLOOKUP($N181,'Sep-25'!A:J,3,0)</f>
        <v>0</v>
      </c>
      <c r="X181" s="106">
        <f>+VLOOKUP($N181,'Oct-25'!A:J,3,0)</f>
        <v>0</v>
      </c>
      <c r="Y181" s="106">
        <f>+VLOOKUP($N181,'Nov-25'!A:J,3,0)</f>
        <v>0</v>
      </c>
      <c r="Z181" s="106">
        <f>+VLOOKUP($N181,'Dec-25'!A:J,3,0)</f>
        <v>0</v>
      </c>
      <c r="AA181" s="106">
        <f t="shared" si="792"/>
        <v>0</v>
      </c>
      <c r="AB181" s="118">
        <f t="shared" si="708"/>
        <v>0</v>
      </c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</row>
    <row r="182" spans="1:41" hidden="1" outlineLevel="2">
      <c r="A182" s="107">
        <f t="shared" ref="A182" si="793">+SUM(A183:A186)</f>
        <v>0</v>
      </c>
      <c r="B182" s="107">
        <f t="shared" ref="B182" si="794">+SUM(B183:B186)</f>
        <v>0</v>
      </c>
      <c r="C182" s="107">
        <f t="shared" ref="C182" si="795">+SUM(C183:C186)</f>
        <v>0</v>
      </c>
      <c r="D182" s="107">
        <f t="shared" ref="D182" si="796">+SUM(D183:D186)</f>
        <v>0</v>
      </c>
      <c r="E182" s="107">
        <f t="shared" ref="E182" si="797">+SUM(E183:E186)</f>
        <v>0</v>
      </c>
      <c r="F182" s="107">
        <f t="shared" ref="F182" si="798">+SUM(F183:F186)</f>
        <v>0</v>
      </c>
      <c r="G182" s="107">
        <f t="shared" ref="G182" si="799">+SUM(G183:G186)</f>
        <v>0</v>
      </c>
      <c r="H182" s="107">
        <f t="shared" ref="H182" si="800">+SUM(H183:H186)</f>
        <v>0</v>
      </c>
      <c r="I182" s="107">
        <f t="shared" ref="I182" si="801">+SUM(I183:I186)</f>
        <v>0</v>
      </c>
      <c r="J182" s="107">
        <f t="shared" ref="J182" si="802">+SUM(J183:J186)</f>
        <v>0</v>
      </c>
      <c r="K182" s="107">
        <f t="shared" ref="K182" si="803">+SUM(K183:K186)</f>
        <v>0</v>
      </c>
      <c r="L182" s="107">
        <f t="shared" ref="L182:M182" si="804">+SUM(L183:L186)</f>
        <v>0</v>
      </c>
      <c r="M182" s="107">
        <f t="shared" si="804"/>
        <v>0</v>
      </c>
      <c r="N182" s="20" t="s">
        <v>151</v>
      </c>
      <c r="O182" s="107">
        <f t="shared" ref="O182:AA182" si="805">+SUM(O183:O186)</f>
        <v>0</v>
      </c>
      <c r="P182" s="107">
        <f t="shared" si="805"/>
        <v>0</v>
      </c>
      <c r="Q182" s="107">
        <f t="shared" si="805"/>
        <v>0</v>
      </c>
      <c r="R182" s="107">
        <f t="shared" si="805"/>
        <v>0</v>
      </c>
      <c r="S182" s="107">
        <f t="shared" si="805"/>
        <v>0</v>
      </c>
      <c r="T182" s="107">
        <f t="shared" si="805"/>
        <v>0</v>
      </c>
      <c r="U182" s="107">
        <f t="shared" si="805"/>
        <v>0</v>
      </c>
      <c r="V182" s="107">
        <f t="shared" si="805"/>
        <v>0</v>
      </c>
      <c r="W182" s="107">
        <f t="shared" si="805"/>
        <v>0</v>
      </c>
      <c r="X182" s="107">
        <f t="shared" si="805"/>
        <v>0</v>
      </c>
      <c r="Y182" s="107">
        <f t="shared" si="805"/>
        <v>0</v>
      </c>
      <c r="Z182" s="107">
        <f t="shared" si="805"/>
        <v>0</v>
      </c>
      <c r="AA182" s="107">
        <f t="shared" si="805"/>
        <v>0</v>
      </c>
      <c r="AB182" s="118">
        <f t="shared" si="708"/>
        <v>0</v>
      </c>
      <c r="AC182" s="107">
        <f t="shared" ref="AC182" si="806">+SUM(AC183:AC186)</f>
        <v>0</v>
      </c>
      <c r="AD182" s="107">
        <f t="shared" ref="AD182" si="807">+SUM(AD183:AD186)</f>
        <v>0</v>
      </c>
      <c r="AE182" s="107">
        <f t="shared" ref="AE182" si="808">+SUM(AE183:AE186)</f>
        <v>0</v>
      </c>
      <c r="AF182" s="107">
        <f t="shared" ref="AF182" si="809">+SUM(AF183:AF186)</f>
        <v>0</v>
      </c>
      <c r="AG182" s="107">
        <f t="shared" ref="AG182" si="810">+SUM(AG183:AG186)</f>
        <v>0</v>
      </c>
      <c r="AH182" s="107">
        <f t="shared" ref="AH182" si="811">+SUM(AH183:AH186)</f>
        <v>0</v>
      </c>
      <c r="AI182" s="107">
        <f t="shared" ref="AI182" si="812">+SUM(AI183:AI186)</f>
        <v>0</v>
      </c>
      <c r="AJ182" s="107">
        <f t="shared" ref="AJ182" si="813">+SUM(AJ183:AJ186)</f>
        <v>0</v>
      </c>
      <c r="AK182" s="107">
        <f t="shared" ref="AK182" si="814">+SUM(AK183:AK186)</f>
        <v>0</v>
      </c>
      <c r="AL182" s="107">
        <f t="shared" ref="AL182" si="815">+SUM(AL183:AL186)</f>
        <v>0</v>
      </c>
      <c r="AM182" s="107">
        <f t="shared" ref="AM182" si="816">+SUM(AM183:AM186)</f>
        <v>0</v>
      </c>
      <c r="AN182" s="107">
        <f t="shared" ref="AN182" si="817">+SUM(AN183:AN186)</f>
        <v>0</v>
      </c>
      <c r="AO182" s="107">
        <f t="shared" ref="AO182" si="818">+SUM(AO183:AO186)</f>
        <v>0</v>
      </c>
    </row>
    <row r="183" spans="1:41" hidden="1" outlineLevel="2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>
        <f t="shared" ref="M183:M186" si="819">+SUM(A183:L183)</f>
        <v>0</v>
      </c>
      <c r="N183" s="16" t="s">
        <v>152</v>
      </c>
      <c r="O183" s="106">
        <f>+VLOOKUP($N183,'Jan-25'!A:J,3,0)</f>
        <v>0</v>
      </c>
      <c r="P183" s="106">
        <f>+VLOOKUP($N183,'Feb-25'!A:J,3,0)</f>
        <v>0</v>
      </c>
      <c r="Q183" s="106">
        <f>+VLOOKUP($N183,'Mar-25'!A:J,3,0)</f>
        <v>0</v>
      </c>
      <c r="R183" s="106">
        <f>+VLOOKUP($N183,'Apr-25'!A:J,3,0)</f>
        <v>0</v>
      </c>
      <c r="S183" s="106">
        <f>+VLOOKUP($N183,'May-25'!A:J,3,0)</f>
        <v>0</v>
      </c>
      <c r="T183" s="106">
        <f>+VLOOKUP($N183,'June-25'!A:J,3,0)</f>
        <v>0</v>
      </c>
      <c r="U183" s="106">
        <f>+VLOOKUP($N183,'July-25'!A:J,3,0)</f>
        <v>0</v>
      </c>
      <c r="V183" s="106">
        <f>+VLOOKUP($N183,'Aug-25'!A:J,3,0)</f>
        <v>0</v>
      </c>
      <c r="W183" s="106">
        <f>+VLOOKUP($N183,'Sep-25'!A:J,3,0)</f>
        <v>0</v>
      </c>
      <c r="X183" s="106">
        <f>+VLOOKUP($N183,'Oct-25'!A:J,3,0)</f>
        <v>0</v>
      </c>
      <c r="Y183" s="106">
        <f>+VLOOKUP($N183,'Nov-25'!A:J,3,0)</f>
        <v>0</v>
      </c>
      <c r="Z183" s="106">
        <f>+VLOOKUP($N183,'Dec-25'!A:J,3,0)</f>
        <v>0</v>
      </c>
      <c r="AA183" s="106">
        <f t="shared" ref="AA183:AA186" si="820">+SUM(O183:Z183)</f>
        <v>0</v>
      </c>
      <c r="AB183" s="118">
        <f t="shared" si="708"/>
        <v>0</v>
      </c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  <c r="AM183" s="106"/>
      <c r="AN183" s="106"/>
      <c r="AO183" s="106"/>
    </row>
    <row r="184" spans="1:41" hidden="1" outlineLevel="2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>
        <f t="shared" si="819"/>
        <v>0</v>
      </c>
      <c r="N184" s="16" t="s">
        <v>153</v>
      </c>
      <c r="O184" s="106">
        <f>+VLOOKUP($N184,'Jan-25'!A:J,3,0)</f>
        <v>0</v>
      </c>
      <c r="P184" s="106">
        <f>+VLOOKUP($N184,'Feb-25'!A:J,3,0)</f>
        <v>0</v>
      </c>
      <c r="Q184" s="106">
        <f>+VLOOKUP($N184,'Mar-25'!A:J,3,0)</f>
        <v>0</v>
      </c>
      <c r="R184" s="106">
        <f>+VLOOKUP($N184,'Apr-25'!A:J,3,0)</f>
        <v>0</v>
      </c>
      <c r="S184" s="106">
        <f>+VLOOKUP($N184,'May-25'!A:J,3,0)</f>
        <v>0</v>
      </c>
      <c r="T184" s="106">
        <f>+VLOOKUP($N184,'June-25'!A:J,3,0)</f>
        <v>0</v>
      </c>
      <c r="U184" s="106">
        <f>+VLOOKUP($N184,'July-25'!A:J,3,0)</f>
        <v>0</v>
      </c>
      <c r="V184" s="106">
        <f>+VLOOKUP($N184,'Aug-25'!A:J,3,0)</f>
        <v>0</v>
      </c>
      <c r="W184" s="106">
        <f>+VLOOKUP($N184,'Sep-25'!A:J,3,0)</f>
        <v>0</v>
      </c>
      <c r="X184" s="106">
        <f>+VLOOKUP($N184,'Oct-25'!A:J,3,0)</f>
        <v>0</v>
      </c>
      <c r="Y184" s="106">
        <f>+VLOOKUP($N184,'Nov-25'!A:J,3,0)</f>
        <v>0</v>
      </c>
      <c r="Z184" s="106">
        <f>+VLOOKUP($N184,'Dec-25'!A:J,3,0)</f>
        <v>0</v>
      </c>
      <c r="AA184" s="106">
        <f t="shared" si="820"/>
        <v>0</v>
      </c>
      <c r="AB184" s="118">
        <f t="shared" si="708"/>
        <v>0</v>
      </c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  <c r="AM184" s="106"/>
      <c r="AN184" s="106"/>
      <c r="AO184" s="106"/>
    </row>
    <row r="185" spans="1:41" hidden="1" outlineLevel="2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>
        <f t="shared" si="819"/>
        <v>0</v>
      </c>
      <c r="N185" s="16" t="s">
        <v>154</v>
      </c>
      <c r="O185" s="106">
        <f>+VLOOKUP($N185,'Jan-25'!A:J,3,0)</f>
        <v>0</v>
      </c>
      <c r="P185" s="106">
        <f>+VLOOKUP($N185,'Feb-25'!A:J,3,0)</f>
        <v>0</v>
      </c>
      <c r="Q185" s="106">
        <f>+VLOOKUP($N185,'Mar-25'!A:J,3,0)</f>
        <v>0</v>
      </c>
      <c r="R185" s="106">
        <f>+VLOOKUP($N185,'Apr-25'!A:J,3,0)</f>
        <v>0</v>
      </c>
      <c r="S185" s="106">
        <f>+VLOOKUP($N185,'May-25'!A:J,3,0)</f>
        <v>0</v>
      </c>
      <c r="T185" s="106">
        <f>+VLOOKUP($N185,'June-25'!A:J,3,0)</f>
        <v>0</v>
      </c>
      <c r="U185" s="106">
        <f>+VLOOKUP($N185,'July-25'!A:J,3,0)</f>
        <v>0</v>
      </c>
      <c r="V185" s="106">
        <f>+VLOOKUP($N185,'Aug-25'!A:J,3,0)</f>
        <v>0</v>
      </c>
      <c r="W185" s="106">
        <f>+VLOOKUP($N185,'Sep-25'!A:J,3,0)</f>
        <v>0</v>
      </c>
      <c r="X185" s="106">
        <f>+VLOOKUP($N185,'Oct-25'!A:J,3,0)</f>
        <v>0</v>
      </c>
      <c r="Y185" s="106">
        <f>+VLOOKUP($N185,'Nov-25'!A:J,3,0)</f>
        <v>0</v>
      </c>
      <c r="Z185" s="106">
        <f>+VLOOKUP($N185,'Dec-25'!A:J,3,0)</f>
        <v>0</v>
      </c>
      <c r="AA185" s="106">
        <f t="shared" si="820"/>
        <v>0</v>
      </c>
      <c r="AB185" s="118">
        <f t="shared" si="708"/>
        <v>0</v>
      </c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  <c r="AN185" s="106"/>
      <c r="AO185" s="106"/>
    </row>
    <row r="186" spans="1:41" hidden="1" outlineLevel="2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>
        <f t="shared" si="819"/>
        <v>0</v>
      </c>
      <c r="N186" s="16" t="s">
        <v>155</v>
      </c>
      <c r="O186" s="106">
        <f>+VLOOKUP($N186,'Jan-25'!A:J,3,0)</f>
        <v>0</v>
      </c>
      <c r="P186" s="106">
        <f>+VLOOKUP($N186,'Feb-25'!A:J,3,0)</f>
        <v>0</v>
      </c>
      <c r="Q186" s="106">
        <f>+VLOOKUP($N186,'Mar-25'!A:J,3,0)</f>
        <v>0</v>
      </c>
      <c r="R186" s="106">
        <f>+VLOOKUP($N186,'Apr-25'!A:J,3,0)</f>
        <v>0</v>
      </c>
      <c r="S186" s="106">
        <f>+VLOOKUP($N186,'May-25'!A:J,3,0)</f>
        <v>0</v>
      </c>
      <c r="T186" s="106">
        <f>+VLOOKUP($N186,'June-25'!A:J,3,0)</f>
        <v>0</v>
      </c>
      <c r="U186" s="106">
        <f>+VLOOKUP($N186,'July-25'!A:J,3,0)</f>
        <v>0</v>
      </c>
      <c r="V186" s="106">
        <f>+VLOOKUP($N186,'Aug-25'!A:J,3,0)</f>
        <v>0</v>
      </c>
      <c r="W186" s="106">
        <f>+VLOOKUP($N186,'Sep-25'!A:J,3,0)</f>
        <v>0</v>
      </c>
      <c r="X186" s="106">
        <f>+VLOOKUP($N186,'Oct-25'!A:J,3,0)</f>
        <v>0</v>
      </c>
      <c r="Y186" s="106">
        <f>+VLOOKUP($N186,'Nov-25'!A:J,3,0)</f>
        <v>0</v>
      </c>
      <c r="Z186" s="106">
        <f>+VLOOKUP($N186,'Dec-25'!A:J,3,0)</f>
        <v>0</v>
      </c>
      <c r="AA186" s="106">
        <f t="shared" si="820"/>
        <v>0</v>
      </c>
      <c r="AB186" s="118">
        <f t="shared" si="708"/>
        <v>0</v>
      </c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  <c r="AM186" s="106"/>
      <c r="AN186" s="106"/>
      <c r="AO186" s="106"/>
    </row>
    <row r="187" spans="1:41" hidden="1" outlineLevel="2">
      <c r="A187" s="107">
        <f t="shared" ref="A187" si="821">+SUM(A188:A192)</f>
        <v>0</v>
      </c>
      <c r="B187" s="107">
        <f t="shared" ref="B187" si="822">+SUM(B188:B192)</f>
        <v>0</v>
      </c>
      <c r="C187" s="107">
        <f t="shared" ref="C187" si="823">+SUM(C188:C192)</f>
        <v>0</v>
      </c>
      <c r="D187" s="107">
        <f t="shared" ref="D187" si="824">+SUM(D188:D192)</f>
        <v>0</v>
      </c>
      <c r="E187" s="107">
        <f t="shared" ref="E187" si="825">+SUM(E188:E192)</f>
        <v>0</v>
      </c>
      <c r="F187" s="107">
        <f t="shared" ref="F187" si="826">+SUM(F188:F192)</f>
        <v>0</v>
      </c>
      <c r="G187" s="107">
        <f t="shared" ref="G187" si="827">+SUM(G188:G192)</f>
        <v>0</v>
      </c>
      <c r="H187" s="107">
        <f t="shared" ref="H187" si="828">+SUM(H188:H192)</f>
        <v>0</v>
      </c>
      <c r="I187" s="107">
        <f t="shared" ref="I187" si="829">+SUM(I188:I192)</f>
        <v>0</v>
      </c>
      <c r="J187" s="107">
        <f t="shared" ref="J187" si="830">+SUM(J188:J192)</f>
        <v>0</v>
      </c>
      <c r="K187" s="107">
        <f t="shared" ref="K187" si="831">+SUM(K188:K192)</f>
        <v>0</v>
      </c>
      <c r="L187" s="107">
        <f t="shared" ref="L187:M187" si="832">+SUM(L188:L192)</f>
        <v>0</v>
      </c>
      <c r="M187" s="107">
        <f t="shared" si="832"/>
        <v>0</v>
      </c>
      <c r="N187" s="20" t="s">
        <v>156</v>
      </c>
      <c r="O187" s="107">
        <f t="shared" ref="O187:AA187" si="833">+SUM(O188:O192)</f>
        <v>0</v>
      </c>
      <c r="P187" s="107">
        <f t="shared" si="833"/>
        <v>0</v>
      </c>
      <c r="Q187" s="107">
        <f t="shared" si="833"/>
        <v>0</v>
      </c>
      <c r="R187" s="107">
        <f t="shared" si="833"/>
        <v>0</v>
      </c>
      <c r="S187" s="107">
        <f t="shared" si="833"/>
        <v>0</v>
      </c>
      <c r="T187" s="107">
        <f t="shared" si="833"/>
        <v>0</v>
      </c>
      <c r="U187" s="107">
        <f t="shared" si="833"/>
        <v>0</v>
      </c>
      <c r="V187" s="107">
        <f t="shared" si="833"/>
        <v>0</v>
      </c>
      <c r="W187" s="107">
        <f t="shared" si="833"/>
        <v>0</v>
      </c>
      <c r="X187" s="107">
        <f t="shared" si="833"/>
        <v>0</v>
      </c>
      <c r="Y187" s="107">
        <f t="shared" si="833"/>
        <v>0</v>
      </c>
      <c r="Z187" s="107">
        <f t="shared" si="833"/>
        <v>0</v>
      </c>
      <c r="AA187" s="107">
        <f t="shared" si="833"/>
        <v>0</v>
      </c>
      <c r="AB187" s="118">
        <f t="shared" si="708"/>
        <v>0</v>
      </c>
      <c r="AC187" s="107">
        <f t="shared" ref="AC187" si="834">+SUM(AC188:AC192)</f>
        <v>0</v>
      </c>
      <c r="AD187" s="107">
        <f t="shared" ref="AD187" si="835">+SUM(AD188:AD192)</f>
        <v>0</v>
      </c>
      <c r="AE187" s="107">
        <f t="shared" ref="AE187" si="836">+SUM(AE188:AE192)</f>
        <v>0</v>
      </c>
      <c r="AF187" s="107">
        <f t="shared" ref="AF187" si="837">+SUM(AF188:AF192)</f>
        <v>0</v>
      </c>
      <c r="AG187" s="107">
        <f t="shared" ref="AG187" si="838">+SUM(AG188:AG192)</f>
        <v>0</v>
      </c>
      <c r="AH187" s="107">
        <f t="shared" ref="AH187" si="839">+SUM(AH188:AH192)</f>
        <v>0</v>
      </c>
      <c r="AI187" s="107">
        <f t="shared" ref="AI187" si="840">+SUM(AI188:AI192)</f>
        <v>0</v>
      </c>
      <c r="AJ187" s="107">
        <f t="shared" ref="AJ187" si="841">+SUM(AJ188:AJ192)</f>
        <v>0</v>
      </c>
      <c r="AK187" s="107">
        <f t="shared" ref="AK187" si="842">+SUM(AK188:AK192)</f>
        <v>0</v>
      </c>
      <c r="AL187" s="107">
        <f t="shared" ref="AL187" si="843">+SUM(AL188:AL192)</f>
        <v>0</v>
      </c>
      <c r="AM187" s="107">
        <f t="shared" ref="AM187" si="844">+SUM(AM188:AM192)</f>
        <v>0</v>
      </c>
      <c r="AN187" s="107">
        <f t="shared" ref="AN187" si="845">+SUM(AN188:AN192)</f>
        <v>0</v>
      </c>
      <c r="AO187" s="107">
        <f t="shared" ref="AO187" si="846">+SUM(AO188:AO192)</f>
        <v>0</v>
      </c>
    </row>
    <row r="188" spans="1:41" hidden="1" outlineLevel="2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>
        <f t="shared" ref="M188:M192" si="847">+SUM(A188:L188)</f>
        <v>0</v>
      </c>
      <c r="N188" s="16" t="s">
        <v>157</v>
      </c>
      <c r="O188" s="106">
        <f>+VLOOKUP($N188,'Jan-25'!A:J,3,0)</f>
        <v>0</v>
      </c>
      <c r="P188" s="106">
        <f>+VLOOKUP($N188,'Feb-25'!A:J,3,0)</f>
        <v>0</v>
      </c>
      <c r="Q188" s="106">
        <f>+VLOOKUP($N188,'Mar-25'!A:J,3,0)</f>
        <v>0</v>
      </c>
      <c r="R188" s="106">
        <f>+VLOOKUP($N188,'Apr-25'!A:J,3,0)</f>
        <v>0</v>
      </c>
      <c r="S188" s="106">
        <f>+VLOOKUP($N188,'May-25'!A:J,3,0)</f>
        <v>0</v>
      </c>
      <c r="T188" s="106">
        <f>+VLOOKUP($N188,'June-25'!A:J,3,0)</f>
        <v>0</v>
      </c>
      <c r="U188" s="106">
        <f>+VLOOKUP($N188,'July-25'!A:J,3,0)</f>
        <v>0</v>
      </c>
      <c r="V188" s="106">
        <f>+VLOOKUP($N188,'Aug-25'!A:J,3,0)</f>
        <v>0</v>
      </c>
      <c r="W188" s="106">
        <f>+VLOOKUP($N188,'Sep-25'!A:J,3,0)</f>
        <v>0</v>
      </c>
      <c r="X188" s="106">
        <f>+VLOOKUP($N188,'Oct-25'!A:J,3,0)</f>
        <v>0</v>
      </c>
      <c r="Y188" s="106">
        <f>+VLOOKUP($N188,'Nov-25'!A:J,3,0)</f>
        <v>0</v>
      </c>
      <c r="Z188" s="106">
        <f>+VLOOKUP($N188,'Dec-25'!A:J,3,0)</f>
        <v>0</v>
      </c>
      <c r="AA188" s="106">
        <f t="shared" ref="AA188:AA192" si="848">+SUM(O188:Z188)</f>
        <v>0</v>
      </c>
      <c r="AB188" s="118">
        <f t="shared" si="708"/>
        <v>0</v>
      </c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6"/>
      <c r="AO188" s="106"/>
    </row>
    <row r="189" spans="1:41" hidden="1" outlineLevel="2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>
        <f t="shared" si="847"/>
        <v>0</v>
      </c>
      <c r="N189" s="16" t="s">
        <v>158</v>
      </c>
      <c r="O189" s="106">
        <f>+VLOOKUP($N189,'Jan-25'!A:J,3,0)</f>
        <v>0</v>
      </c>
      <c r="P189" s="106">
        <f>+VLOOKUP($N189,'Feb-25'!A:J,3,0)</f>
        <v>0</v>
      </c>
      <c r="Q189" s="106">
        <f>+VLOOKUP($N189,'Mar-25'!A:J,3,0)</f>
        <v>0</v>
      </c>
      <c r="R189" s="106">
        <f>+VLOOKUP($N189,'Apr-25'!A:J,3,0)</f>
        <v>0</v>
      </c>
      <c r="S189" s="106">
        <f>+VLOOKUP($N189,'May-25'!A:J,3,0)</f>
        <v>0</v>
      </c>
      <c r="T189" s="106">
        <f>+VLOOKUP($N189,'June-25'!A:J,3,0)</f>
        <v>0</v>
      </c>
      <c r="U189" s="106">
        <f>+VLOOKUP($N189,'July-25'!A:J,3,0)</f>
        <v>0</v>
      </c>
      <c r="V189" s="106">
        <f>+VLOOKUP($N189,'Aug-25'!A:J,3,0)</f>
        <v>0</v>
      </c>
      <c r="W189" s="106">
        <f>+VLOOKUP($N189,'Sep-25'!A:J,3,0)</f>
        <v>0</v>
      </c>
      <c r="X189" s="106">
        <f>+VLOOKUP($N189,'Oct-25'!A:J,3,0)</f>
        <v>0</v>
      </c>
      <c r="Y189" s="106">
        <f>+VLOOKUP($N189,'Nov-25'!A:J,3,0)</f>
        <v>0</v>
      </c>
      <c r="Z189" s="106">
        <f>+VLOOKUP($N189,'Dec-25'!A:J,3,0)</f>
        <v>0</v>
      </c>
      <c r="AA189" s="106">
        <f t="shared" si="848"/>
        <v>0</v>
      </c>
      <c r="AB189" s="118">
        <f t="shared" si="708"/>
        <v>0</v>
      </c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  <c r="AM189" s="106"/>
      <c r="AN189" s="106"/>
      <c r="AO189" s="106"/>
    </row>
    <row r="190" spans="1:41" hidden="1" outlineLevel="2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>
        <f t="shared" si="847"/>
        <v>0</v>
      </c>
      <c r="N190" s="16" t="s">
        <v>159</v>
      </c>
      <c r="O190" s="106">
        <f>+VLOOKUP($N190,'Jan-25'!A:J,3,0)</f>
        <v>0</v>
      </c>
      <c r="P190" s="106">
        <f>+VLOOKUP($N190,'Feb-25'!A:J,3,0)</f>
        <v>0</v>
      </c>
      <c r="Q190" s="106">
        <f>+VLOOKUP($N190,'Mar-25'!A:J,3,0)</f>
        <v>0</v>
      </c>
      <c r="R190" s="106">
        <f>+VLOOKUP($N190,'Apr-25'!A:J,3,0)</f>
        <v>0</v>
      </c>
      <c r="S190" s="106">
        <f>+VLOOKUP($N190,'May-25'!A:J,3,0)</f>
        <v>0</v>
      </c>
      <c r="T190" s="106">
        <f>+VLOOKUP($N190,'June-25'!A:J,3,0)</f>
        <v>0</v>
      </c>
      <c r="U190" s="106">
        <f>+VLOOKUP($N190,'July-25'!A:J,3,0)</f>
        <v>0</v>
      </c>
      <c r="V190" s="106">
        <f>+VLOOKUP($N190,'Aug-25'!A:J,3,0)</f>
        <v>0</v>
      </c>
      <c r="W190" s="106">
        <f>+VLOOKUP($N190,'Sep-25'!A:J,3,0)</f>
        <v>0</v>
      </c>
      <c r="X190" s="106">
        <f>+VLOOKUP($N190,'Oct-25'!A:J,3,0)</f>
        <v>0</v>
      </c>
      <c r="Y190" s="106">
        <f>+VLOOKUP($N190,'Nov-25'!A:J,3,0)</f>
        <v>0</v>
      </c>
      <c r="Z190" s="106">
        <f>+VLOOKUP($N190,'Dec-25'!A:J,3,0)</f>
        <v>0</v>
      </c>
      <c r="AA190" s="106">
        <f t="shared" si="848"/>
        <v>0</v>
      </c>
      <c r="AB190" s="118">
        <f t="shared" si="708"/>
        <v>0</v>
      </c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  <c r="AM190" s="106"/>
      <c r="AN190" s="106"/>
      <c r="AO190" s="106"/>
    </row>
    <row r="191" spans="1:41" hidden="1" outlineLevel="2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>
        <f t="shared" si="847"/>
        <v>0</v>
      </c>
      <c r="N191" s="16" t="s">
        <v>160</v>
      </c>
      <c r="O191" s="106">
        <f>+VLOOKUP($N191,'Jan-25'!A:J,3,0)</f>
        <v>0</v>
      </c>
      <c r="P191" s="106">
        <f>+VLOOKUP($N191,'Feb-25'!A:J,3,0)</f>
        <v>0</v>
      </c>
      <c r="Q191" s="106">
        <f>+VLOOKUP($N191,'Mar-25'!A:J,3,0)</f>
        <v>0</v>
      </c>
      <c r="R191" s="106">
        <f>+VLOOKUP($N191,'Apr-25'!A:J,3,0)</f>
        <v>0</v>
      </c>
      <c r="S191" s="106">
        <f>+VLOOKUP($N191,'May-25'!A:J,3,0)</f>
        <v>0</v>
      </c>
      <c r="T191" s="106">
        <f>+VLOOKUP($N191,'June-25'!A:J,3,0)</f>
        <v>0</v>
      </c>
      <c r="U191" s="106">
        <f>+VLOOKUP($N191,'July-25'!A:J,3,0)</f>
        <v>0</v>
      </c>
      <c r="V191" s="106">
        <f>+VLOOKUP($N191,'Aug-25'!A:J,3,0)</f>
        <v>0</v>
      </c>
      <c r="W191" s="106">
        <f>+VLOOKUP($N191,'Sep-25'!A:J,3,0)</f>
        <v>0</v>
      </c>
      <c r="X191" s="106">
        <f>+VLOOKUP($N191,'Oct-25'!A:J,3,0)</f>
        <v>0</v>
      </c>
      <c r="Y191" s="106">
        <f>+VLOOKUP($N191,'Nov-25'!A:J,3,0)</f>
        <v>0</v>
      </c>
      <c r="Z191" s="106">
        <f>+VLOOKUP($N191,'Dec-25'!A:J,3,0)</f>
        <v>0</v>
      </c>
      <c r="AA191" s="106">
        <f t="shared" si="848"/>
        <v>0</v>
      </c>
      <c r="AB191" s="118">
        <f t="shared" si="708"/>
        <v>0</v>
      </c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  <c r="AM191" s="106"/>
      <c r="AN191" s="106"/>
      <c r="AO191" s="106"/>
    </row>
    <row r="192" spans="1:41" hidden="1" outlineLevel="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>
        <f t="shared" si="847"/>
        <v>0</v>
      </c>
      <c r="N192" s="16" t="s">
        <v>161</v>
      </c>
      <c r="O192" s="106">
        <f>+VLOOKUP($N192,'Jan-25'!A:J,3,0)</f>
        <v>0</v>
      </c>
      <c r="P192" s="106">
        <f>+VLOOKUP($N192,'Feb-25'!A:J,3,0)</f>
        <v>0</v>
      </c>
      <c r="Q192" s="106">
        <f>+VLOOKUP($N192,'Mar-25'!A:J,3,0)</f>
        <v>0</v>
      </c>
      <c r="R192" s="106">
        <f>+VLOOKUP($N192,'Apr-25'!A:J,3,0)</f>
        <v>0</v>
      </c>
      <c r="S192" s="106">
        <f>+VLOOKUP($N192,'May-25'!A:J,3,0)</f>
        <v>0</v>
      </c>
      <c r="T192" s="106">
        <f>+VLOOKUP($N192,'June-25'!A:J,3,0)</f>
        <v>0</v>
      </c>
      <c r="U192" s="106">
        <f>+VLOOKUP($N192,'July-25'!A:J,3,0)</f>
        <v>0</v>
      </c>
      <c r="V192" s="106">
        <f>+VLOOKUP($N192,'Aug-25'!A:J,3,0)</f>
        <v>0</v>
      </c>
      <c r="W192" s="106">
        <f>+VLOOKUP($N192,'Sep-25'!A:J,3,0)</f>
        <v>0</v>
      </c>
      <c r="X192" s="106">
        <f>+VLOOKUP($N192,'Oct-25'!A:J,3,0)</f>
        <v>0</v>
      </c>
      <c r="Y192" s="106">
        <f>+VLOOKUP($N192,'Nov-25'!A:J,3,0)</f>
        <v>0</v>
      </c>
      <c r="Z192" s="106">
        <f>+VLOOKUP($N192,'Dec-25'!A:J,3,0)</f>
        <v>0</v>
      </c>
      <c r="AA192" s="106">
        <f t="shared" si="848"/>
        <v>0</v>
      </c>
      <c r="AB192" s="118">
        <f t="shared" si="708"/>
        <v>0</v>
      </c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  <c r="AM192" s="106"/>
      <c r="AN192" s="106"/>
      <c r="AO192" s="106"/>
    </row>
    <row r="193" spans="1:41" hidden="1" outlineLevel="2">
      <c r="A193" s="58">
        <f t="shared" ref="A193" si="849">+SUM(A194:A204)</f>
        <v>0</v>
      </c>
      <c r="B193" s="58">
        <f t="shared" ref="B193" si="850">+SUM(B194:B204)</f>
        <v>0</v>
      </c>
      <c r="C193" s="58">
        <f t="shared" ref="C193" si="851">+SUM(C194:C204)</f>
        <v>0</v>
      </c>
      <c r="D193" s="58">
        <f t="shared" ref="D193" si="852">+SUM(D194:D204)</f>
        <v>0</v>
      </c>
      <c r="E193" s="58">
        <f t="shared" ref="E193" si="853">+SUM(E194:E204)</f>
        <v>0</v>
      </c>
      <c r="F193" s="58">
        <f t="shared" ref="F193" si="854">+SUM(F194:F204)</f>
        <v>0</v>
      </c>
      <c r="G193" s="58">
        <f t="shared" ref="G193" si="855">+SUM(G194:G204)</f>
        <v>0</v>
      </c>
      <c r="H193" s="58">
        <f t="shared" ref="H193" si="856">+SUM(H194:H204)</f>
        <v>0</v>
      </c>
      <c r="I193" s="58">
        <f t="shared" ref="I193" si="857">+SUM(I194:I204)</f>
        <v>0</v>
      </c>
      <c r="J193" s="58">
        <f t="shared" ref="J193" si="858">+SUM(J194:J204)</f>
        <v>0</v>
      </c>
      <c r="K193" s="58">
        <f t="shared" ref="K193" si="859">+SUM(K194:K204)</f>
        <v>0</v>
      </c>
      <c r="L193" s="58">
        <f t="shared" ref="L193:M193" si="860">+SUM(L194:L204)</f>
        <v>0</v>
      </c>
      <c r="M193" s="58">
        <f t="shared" si="860"/>
        <v>0</v>
      </c>
      <c r="N193" s="20" t="s">
        <v>162</v>
      </c>
      <c r="O193" s="58">
        <f t="shared" ref="O193:AA193" si="861">+SUM(O194:O204)</f>
        <v>0.36000000000000004</v>
      </c>
      <c r="P193" s="58">
        <f t="shared" si="861"/>
        <v>0</v>
      </c>
      <c r="Q193" s="58">
        <f t="shared" si="861"/>
        <v>0.01</v>
      </c>
      <c r="R193" s="58">
        <f t="shared" si="861"/>
        <v>0.01</v>
      </c>
      <c r="S193" s="58">
        <f t="shared" si="861"/>
        <v>0</v>
      </c>
      <c r="T193" s="58">
        <f t="shared" si="861"/>
        <v>0</v>
      </c>
      <c r="U193" s="58">
        <f t="shared" si="861"/>
        <v>0.02</v>
      </c>
      <c r="V193" s="58">
        <f t="shared" si="861"/>
        <v>0</v>
      </c>
      <c r="W193" s="58">
        <f t="shared" si="861"/>
        <v>0</v>
      </c>
      <c r="X193" s="58">
        <f t="shared" si="861"/>
        <v>0</v>
      </c>
      <c r="Y193" s="58">
        <f t="shared" si="861"/>
        <v>0</v>
      </c>
      <c r="Z193" s="58">
        <f t="shared" si="861"/>
        <v>0</v>
      </c>
      <c r="AA193" s="58">
        <f t="shared" si="861"/>
        <v>0.40000000000000008</v>
      </c>
      <c r="AB193" s="118">
        <f t="shared" si="708"/>
        <v>0</v>
      </c>
      <c r="AC193" s="58">
        <f t="shared" ref="AC193" si="862">+SUM(AC194:AC204)</f>
        <v>0</v>
      </c>
      <c r="AD193" s="58">
        <f t="shared" ref="AD193" si="863">+SUM(AD194:AD204)</f>
        <v>0</v>
      </c>
      <c r="AE193" s="58">
        <f t="shared" ref="AE193" si="864">+SUM(AE194:AE204)</f>
        <v>0</v>
      </c>
      <c r="AF193" s="58">
        <f t="shared" ref="AF193" si="865">+SUM(AF194:AF204)</f>
        <v>0</v>
      </c>
      <c r="AG193" s="58">
        <f t="shared" ref="AG193" si="866">+SUM(AG194:AG204)</f>
        <v>0</v>
      </c>
      <c r="AH193" s="58">
        <f t="shared" ref="AH193" si="867">+SUM(AH194:AH204)</f>
        <v>0</v>
      </c>
      <c r="AI193" s="58">
        <f t="shared" ref="AI193" si="868">+SUM(AI194:AI204)</f>
        <v>0</v>
      </c>
      <c r="AJ193" s="58">
        <f t="shared" ref="AJ193" si="869">+SUM(AJ194:AJ204)</f>
        <v>0</v>
      </c>
      <c r="AK193" s="58">
        <f t="shared" ref="AK193" si="870">+SUM(AK194:AK204)</f>
        <v>0</v>
      </c>
      <c r="AL193" s="58">
        <f t="shared" ref="AL193" si="871">+SUM(AL194:AL204)</f>
        <v>0</v>
      </c>
      <c r="AM193" s="58">
        <f t="shared" ref="AM193" si="872">+SUM(AM194:AM204)</f>
        <v>0</v>
      </c>
      <c r="AN193" s="58">
        <f t="shared" ref="AN193" si="873">+SUM(AN194:AN204)</f>
        <v>0</v>
      </c>
      <c r="AO193" s="58">
        <f t="shared" ref="AO193" si="874">+SUM(AO194:AO204)</f>
        <v>0</v>
      </c>
    </row>
    <row r="194" spans="1:41" hidden="1" outlineLevel="2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>
        <f t="shared" ref="M194:M204" si="875">+SUM(A194:L194)</f>
        <v>0</v>
      </c>
      <c r="N194" s="16" t="s">
        <v>163</v>
      </c>
      <c r="O194" s="106">
        <f>+VLOOKUP($N194,'Jan-25'!A:J,3,0)</f>
        <v>0</v>
      </c>
      <c r="P194" s="106">
        <f>+VLOOKUP($N194,'Feb-25'!A:J,3,0)</f>
        <v>0</v>
      </c>
      <c r="Q194" s="106">
        <f>+VLOOKUP($N194,'Mar-25'!A:J,3,0)</f>
        <v>0</v>
      </c>
      <c r="R194" s="106">
        <f>+VLOOKUP($N194,'Apr-25'!A:J,3,0)</f>
        <v>0</v>
      </c>
      <c r="S194" s="106">
        <f>+VLOOKUP($N194,'May-25'!A:J,3,0)</f>
        <v>0</v>
      </c>
      <c r="T194" s="106">
        <f>+VLOOKUP($N194,'June-25'!A:J,3,0)</f>
        <v>0</v>
      </c>
      <c r="U194" s="106">
        <f>+VLOOKUP($N194,'July-25'!A:J,3,0)</f>
        <v>0</v>
      </c>
      <c r="V194" s="106">
        <f>+VLOOKUP($N194,'Aug-25'!A:J,3,0)</f>
        <v>0</v>
      </c>
      <c r="W194" s="106">
        <f>+VLOOKUP($N194,'Sep-25'!A:J,3,0)</f>
        <v>0</v>
      </c>
      <c r="X194" s="106">
        <f>+VLOOKUP($N194,'Oct-25'!A:J,3,0)</f>
        <v>0</v>
      </c>
      <c r="Y194" s="106">
        <f>+VLOOKUP($N194,'Nov-25'!A:J,3,0)</f>
        <v>0</v>
      </c>
      <c r="Z194" s="106">
        <f>+VLOOKUP($N194,'Dec-25'!A:J,3,0)</f>
        <v>0</v>
      </c>
      <c r="AA194" s="106">
        <f t="shared" ref="AA194:AA204" si="876">+SUM(O194:Z194)</f>
        <v>0</v>
      </c>
      <c r="AB194" s="118">
        <f t="shared" si="708"/>
        <v>0</v>
      </c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</row>
    <row r="195" spans="1:41" hidden="1" outlineLevel="2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>
        <f t="shared" si="875"/>
        <v>0</v>
      </c>
      <c r="N195" s="16" t="s">
        <v>164</v>
      </c>
      <c r="O195" s="106">
        <f>+VLOOKUP($N195,'Jan-25'!A:J,3,0)</f>
        <v>0</v>
      </c>
      <c r="P195" s="106">
        <f>+VLOOKUP($N195,'Feb-25'!A:J,3,0)</f>
        <v>0</v>
      </c>
      <c r="Q195" s="106">
        <f>+VLOOKUP($N195,'Mar-25'!A:J,3,0)</f>
        <v>0</v>
      </c>
      <c r="R195" s="106">
        <f>+VLOOKUP($N195,'Apr-25'!A:J,3,0)</f>
        <v>0</v>
      </c>
      <c r="S195" s="106">
        <f>+VLOOKUP($N195,'May-25'!A:J,3,0)</f>
        <v>0</v>
      </c>
      <c r="T195" s="106">
        <f>+VLOOKUP($N195,'June-25'!A:J,3,0)</f>
        <v>0</v>
      </c>
      <c r="U195" s="106">
        <f>+VLOOKUP($N195,'July-25'!A:J,3,0)</f>
        <v>0</v>
      </c>
      <c r="V195" s="106">
        <f>+VLOOKUP($N195,'Aug-25'!A:J,3,0)</f>
        <v>0</v>
      </c>
      <c r="W195" s="106">
        <f>+VLOOKUP($N195,'Sep-25'!A:J,3,0)</f>
        <v>0</v>
      </c>
      <c r="X195" s="106">
        <f>+VLOOKUP($N195,'Oct-25'!A:J,3,0)</f>
        <v>0</v>
      </c>
      <c r="Y195" s="106">
        <f>+VLOOKUP($N195,'Nov-25'!A:J,3,0)</f>
        <v>0</v>
      </c>
      <c r="Z195" s="106">
        <f>+VLOOKUP($N195,'Dec-25'!A:J,3,0)</f>
        <v>0</v>
      </c>
      <c r="AA195" s="106">
        <f t="shared" si="876"/>
        <v>0</v>
      </c>
      <c r="AB195" s="118">
        <f t="shared" si="708"/>
        <v>0</v>
      </c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  <c r="AM195" s="106"/>
      <c r="AN195" s="106"/>
      <c r="AO195" s="106"/>
    </row>
    <row r="196" spans="1:41" hidden="1" outlineLevel="2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>
        <f t="shared" si="875"/>
        <v>0</v>
      </c>
      <c r="N196" s="16" t="s">
        <v>233</v>
      </c>
      <c r="O196" s="106">
        <f>+VLOOKUP($N196,'Jan-25'!A:J,3,0)</f>
        <v>0</v>
      </c>
      <c r="P196" s="106">
        <f>+VLOOKUP($N196,'Feb-25'!A:J,3,0)</f>
        <v>0</v>
      </c>
      <c r="Q196" s="106">
        <f>+VLOOKUP($N196,'Mar-25'!A:J,3,0)</f>
        <v>0</v>
      </c>
      <c r="R196" s="106">
        <f>+VLOOKUP($N196,'Apr-25'!A:J,3,0)</f>
        <v>0</v>
      </c>
      <c r="S196" s="106">
        <f>+VLOOKUP($N196,'May-25'!A:J,3,0)</f>
        <v>0</v>
      </c>
      <c r="T196" s="106">
        <f>+VLOOKUP($N196,'June-25'!A:J,3,0)</f>
        <v>0</v>
      </c>
      <c r="U196" s="106">
        <f>+VLOOKUP($N196,'July-25'!A:J,3,0)</f>
        <v>0</v>
      </c>
      <c r="V196" s="106">
        <f>+VLOOKUP($N196,'Aug-25'!A:J,3,0)</f>
        <v>0</v>
      </c>
      <c r="W196" s="106">
        <f>+VLOOKUP($N196,'Sep-25'!A:J,3,0)</f>
        <v>0</v>
      </c>
      <c r="X196" s="106">
        <f>+VLOOKUP($N196,'Oct-25'!A:J,3,0)</f>
        <v>0</v>
      </c>
      <c r="Y196" s="106">
        <f>+VLOOKUP($N196,'Nov-25'!A:J,3,0)</f>
        <v>0</v>
      </c>
      <c r="Z196" s="106">
        <f>+VLOOKUP($N196,'Dec-25'!A:J,3,0)</f>
        <v>0</v>
      </c>
      <c r="AA196" s="106">
        <f t="shared" si="876"/>
        <v>0</v>
      </c>
      <c r="AB196" s="118">
        <f t="shared" si="708"/>
        <v>0</v>
      </c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  <c r="AM196" s="106"/>
      <c r="AN196" s="106"/>
      <c r="AO196" s="106"/>
    </row>
    <row r="197" spans="1:41" hidden="1" outlineLevel="2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>
        <f t="shared" si="875"/>
        <v>0</v>
      </c>
      <c r="N197" s="16" t="s">
        <v>165</v>
      </c>
      <c r="O197" s="106">
        <f>+VLOOKUP($N197,'Jan-25'!A:J,3,0)</f>
        <v>0</v>
      </c>
      <c r="P197" s="106">
        <f>+VLOOKUP($N197,'Feb-25'!A:J,3,0)</f>
        <v>0</v>
      </c>
      <c r="Q197" s="106">
        <f>+VLOOKUP($N197,'Mar-25'!A:J,3,0)</f>
        <v>0</v>
      </c>
      <c r="R197" s="106">
        <f>+VLOOKUP($N197,'Apr-25'!A:J,3,0)</f>
        <v>0</v>
      </c>
      <c r="S197" s="106">
        <f>+VLOOKUP($N197,'May-25'!A:J,3,0)</f>
        <v>0</v>
      </c>
      <c r="T197" s="106">
        <f>+VLOOKUP($N197,'June-25'!A:J,3,0)</f>
        <v>0</v>
      </c>
      <c r="U197" s="106">
        <f>+VLOOKUP($N197,'July-25'!A:J,3,0)</f>
        <v>0</v>
      </c>
      <c r="V197" s="106">
        <f>+VLOOKUP($N197,'Aug-25'!A:J,3,0)</f>
        <v>0</v>
      </c>
      <c r="W197" s="106">
        <f>+VLOOKUP($N197,'Sep-25'!A:J,3,0)</f>
        <v>0</v>
      </c>
      <c r="X197" s="106">
        <f>+VLOOKUP($N197,'Oct-25'!A:J,3,0)</f>
        <v>0</v>
      </c>
      <c r="Y197" s="106">
        <f>+VLOOKUP($N197,'Nov-25'!A:J,3,0)</f>
        <v>0</v>
      </c>
      <c r="Z197" s="106">
        <f>+VLOOKUP($N197,'Dec-25'!A:J,3,0)</f>
        <v>0</v>
      </c>
      <c r="AA197" s="106">
        <f t="shared" si="876"/>
        <v>0</v>
      </c>
      <c r="AB197" s="118">
        <f t="shared" si="708"/>
        <v>0</v>
      </c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  <c r="AM197" s="106"/>
      <c r="AN197" s="106"/>
      <c r="AO197" s="106"/>
    </row>
    <row r="198" spans="1:41" hidden="1" outlineLevel="2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>
        <f t="shared" si="875"/>
        <v>0</v>
      </c>
      <c r="N198" s="16" t="s">
        <v>166</v>
      </c>
      <c r="O198" s="106">
        <f>+VLOOKUP($N198,'Jan-25'!A:J,3,0)</f>
        <v>0</v>
      </c>
      <c r="P198" s="106">
        <f>+VLOOKUP($N198,'Feb-25'!A:J,3,0)</f>
        <v>0</v>
      </c>
      <c r="Q198" s="106">
        <f>+VLOOKUP($N198,'Mar-25'!A:J,3,0)</f>
        <v>0</v>
      </c>
      <c r="R198" s="106">
        <f>+VLOOKUP($N198,'Apr-25'!A:J,3,0)</f>
        <v>0</v>
      </c>
      <c r="S198" s="106">
        <f>+VLOOKUP($N198,'May-25'!A:J,3,0)</f>
        <v>0</v>
      </c>
      <c r="T198" s="106">
        <f>+VLOOKUP($N198,'June-25'!A:J,3,0)</f>
        <v>0</v>
      </c>
      <c r="U198" s="106">
        <f>+VLOOKUP($N198,'July-25'!A:J,3,0)</f>
        <v>0</v>
      </c>
      <c r="V198" s="106">
        <f>+VLOOKUP($N198,'Aug-25'!A:J,3,0)</f>
        <v>0</v>
      </c>
      <c r="W198" s="106">
        <f>+VLOOKUP($N198,'Sep-25'!A:J,3,0)</f>
        <v>0</v>
      </c>
      <c r="X198" s="106">
        <f>+VLOOKUP($N198,'Oct-25'!A:J,3,0)</f>
        <v>0</v>
      </c>
      <c r="Y198" s="106">
        <f>+VLOOKUP($N198,'Nov-25'!A:J,3,0)</f>
        <v>0</v>
      </c>
      <c r="Z198" s="106">
        <f>+VLOOKUP($N198,'Dec-25'!A:J,3,0)</f>
        <v>0</v>
      </c>
      <c r="AA198" s="106">
        <f t="shared" si="876"/>
        <v>0</v>
      </c>
      <c r="AB198" s="118">
        <f t="shared" si="708"/>
        <v>0</v>
      </c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  <c r="AM198" s="106"/>
      <c r="AN198" s="106"/>
      <c r="AO198" s="106"/>
    </row>
    <row r="199" spans="1:41" hidden="1" outlineLevel="2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>
        <f t="shared" si="875"/>
        <v>0</v>
      </c>
      <c r="N199" s="16" t="s">
        <v>167</v>
      </c>
      <c r="O199" s="106">
        <f>+VLOOKUP($N199,'Jan-25'!A:J,3,0)</f>
        <v>0</v>
      </c>
      <c r="P199" s="106">
        <f>+VLOOKUP($N199,'Feb-25'!A:J,3,0)</f>
        <v>0</v>
      </c>
      <c r="Q199" s="106">
        <f>+VLOOKUP($N199,'Mar-25'!A:J,3,0)</f>
        <v>0</v>
      </c>
      <c r="R199" s="106">
        <f>+VLOOKUP($N199,'Apr-25'!A:J,3,0)</f>
        <v>0</v>
      </c>
      <c r="S199" s="106">
        <f>+VLOOKUP($N199,'May-25'!A:J,3,0)</f>
        <v>0</v>
      </c>
      <c r="T199" s="106">
        <f>+VLOOKUP($N199,'June-25'!A:J,3,0)</f>
        <v>0</v>
      </c>
      <c r="U199" s="106">
        <f>+VLOOKUP($N199,'July-25'!A:J,3,0)</f>
        <v>0</v>
      </c>
      <c r="V199" s="106">
        <f>+VLOOKUP($N199,'Aug-25'!A:J,3,0)</f>
        <v>0</v>
      </c>
      <c r="W199" s="106">
        <f>+VLOOKUP($N199,'Sep-25'!A:J,3,0)</f>
        <v>0</v>
      </c>
      <c r="X199" s="106">
        <f>+VLOOKUP($N199,'Oct-25'!A:J,3,0)</f>
        <v>0</v>
      </c>
      <c r="Y199" s="106">
        <f>+VLOOKUP($N199,'Nov-25'!A:J,3,0)</f>
        <v>0</v>
      </c>
      <c r="Z199" s="106">
        <f>+VLOOKUP($N199,'Dec-25'!A:J,3,0)</f>
        <v>0</v>
      </c>
      <c r="AA199" s="106">
        <f t="shared" si="876"/>
        <v>0</v>
      </c>
      <c r="AB199" s="118">
        <f t="shared" si="708"/>
        <v>0</v>
      </c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  <c r="AM199" s="106"/>
      <c r="AN199" s="106"/>
      <c r="AO199" s="106"/>
    </row>
    <row r="200" spans="1:41" hidden="1" outlineLevel="2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>
        <f t="shared" si="875"/>
        <v>0</v>
      </c>
      <c r="N200" s="16" t="s">
        <v>168</v>
      </c>
      <c r="O200" s="106">
        <f>+VLOOKUP($N200,'Jan-25'!A:J,3,0)</f>
        <v>0</v>
      </c>
      <c r="P200" s="106">
        <f>+VLOOKUP($N200,'Feb-25'!A:J,3,0)</f>
        <v>0</v>
      </c>
      <c r="Q200" s="106">
        <f>+VLOOKUP($N200,'Mar-25'!A:J,3,0)</f>
        <v>0</v>
      </c>
      <c r="R200" s="106">
        <f>+VLOOKUP($N200,'Apr-25'!A:J,3,0)</f>
        <v>0</v>
      </c>
      <c r="S200" s="106">
        <f>+VLOOKUP($N200,'May-25'!A:J,3,0)</f>
        <v>0</v>
      </c>
      <c r="T200" s="106">
        <f>+VLOOKUP($N200,'June-25'!A:J,3,0)</f>
        <v>0</v>
      </c>
      <c r="U200" s="106">
        <f>+VLOOKUP($N200,'July-25'!A:J,3,0)</f>
        <v>0</v>
      </c>
      <c r="V200" s="106">
        <f>+VLOOKUP($N200,'Aug-25'!A:J,3,0)</f>
        <v>0</v>
      </c>
      <c r="W200" s="106">
        <f>+VLOOKUP($N200,'Sep-25'!A:J,3,0)</f>
        <v>0</v>
      </c>
      <c r="X200" s="106">
        <f>+VLOOKUP($N200,'Oct-25'!A:J,3,0)</f>
        <v>0</v>
      </c>
      <c r="Y200" s="106">
        <f>+VLOOKUP($N200,'Nov-25'!A:J,3,0)</f>
        <v>0</v>
      </c>
      <c r="Z200" s="106">
        <f>+VLOOKUP($N200,'Dec-25'!A:J,3,0)</f>
        <v>0</v>
      </c>
      <c r="AA200" s="106">
        <f t="shared" si="876"/>
        <v>0</v>
      </c>
      <c r="AB200" s="118">
        <f t="shared" si="708"/>
        <v>0</v>
      </c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  <c r="AM200" s="106"/>
      <c r="AN200" s="106"/>
      <c r="AO200" s="106"/>
    </row>
    <row r="201" spans="1:41" hidden="1" outlineLevel="2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>
        <f t="shared" si="875"/>
        <v>0</v>
      </c>
      <c r="N201" s="16" t="s">
        <v>169</v>
      </c>
      <c r="O201" s="106">
        <f>+VLOOKUP($N201,'Jan-25'!A:J,3,0)</f>
        <v>0</v>
      </c>
      <c r="P201" s="106">
        <f>+VLOOKUP($N201,'Feb-25'!A:J,3,0)</f>
        <v>0</v>
      </c>
      <c r="Q201" s="106">
        <f>+VLOOKUP($N201,'Mar-25'!A:J,3,0)</f>
        <v>0</v>
      </c>
      <c r="R201" s="106">
        <f>+VLOOKUP($N201,'Apr-25'!A:J,3,0)</f>
        <v>0</v>
      </c>
      <c r="S201" s="106">
        <f>+VLOOKUP($N201,'May-25'!A:J,3,0)</f>
        <v>0</v>
      </c>
      <c r="T201" s="106">
        <f>+VLOOKUP($N201,'June-25'!A:J,3,0)</f>
        <v>0</v>
      </c>
      <c r="U201" s="106">
        <f>+VLOOKUP($N201,'July-25'!A:J,3,0)</f>
        <v>0</v>
      </c>
      <c r="V201" s="106">
        <f>+VLOOKUP($N201,'Aug-25'!A:J,3,0)</f>
        <v>0</v>
      </c>
      <c r="W201" s="106">
        <f>+VLOOKUP($N201,'Sep-25'!A:J,3,0)</f>
        <v>0</v>
      </c>
      <c r="X201" s="106">
        <f>+VLOOKUP($N201,'Oct-25'!A:J,3,0)</f>
        <v>0</v>
      </c>
      <c r="Y201" s="106">
        <f>+VLOOKUP($N201,'Nov-25'!A:J,3,0)</f>
        <v>0</v>
      </c>
      <c r="Z201" s="106">
        <f>+VLOOKUP($N201,'Dec-25'!A:J,3,0)</f>
        <v>0</v>
      </c>
      <c r="AA201" s="106">
        <f t="shared" si="876"/>
        <v>0</v>
      </c>
      <c r="AB201" s="118">
        <f t="shared" si="708"/>
        <v>0</v>
      </c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</row>
    <row r="202" spans="1:41" hidden="1" outlineLevel="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>
        <f t="shared" si="875"/>
        <v>0</v>
      </c>
      <c r="N202" s="16" t="s">
        <v>170</v>
      </c>
      <c r="O202" s="106">
        <f>+VLOOKUP($N202,'Jan-25'!A:J,3,0)</f>
        <v>0</v>
      </c>
      <c r="P202" s="106">
        <f>+VLOOKUP($N202,'Feb-25'!A:J,3,0)</f>
        <v>0</v>
      </c>
      <c r="Q202" s="106">
        <f>+VLOOKUP($N202,'Mar-25'!A:J,3,0)</f>
        <v>0</v>
      </c>
      <c r="R202" s="106">
        <f>+VLOOKUP($N202,'Apr-25'!A:J,3,0)</f>
        <v>0</v>
      </c>
      <c r="S202" s="106">
        <f>+VLOOKUP($N202,'May-25'!A:J,3,0)</f>
        <v>0</v>
      </c>
      <c r="T202" s="106">
        <f>+VLOOKUP($N202,'June-25'!A:J,3,0)</f>
        <v>0</v>
      </c>
      <c r="U202" s="106">
        <f>+VLOOKUP($N202,'July-25'!A:J,3,0)</f>
        <v>0</v>
      </c>
      <c r="V202" s="106">
        <f>+VLOOKUP($N202,'Aug-25'!A:J,3,0)</f>
        <v>0</v>
      </c>
      <c r="W202" s="106">
        <f>+VLOOKUP($N202,'Sep-25'!A:J,3,0)</f>
        <v>0</v>
      </c>
      <c r="X202" s="106">
        <f>+VLOOKUP($N202,'Oct-25'!A:J,3,0)</f>
        <v>0</v>
      </c>
      <c r="Y202" s="106">
        <f>+VLOOKUP($N202,'Nov-25'!A:J,3,0)</f>
        <v>0</v>
      </c>
      <c r="Z202" s="106">
        <f>+VLOOKUP($N202,'Dec-25'!A:J,3,0)</f>
        <v>0</v>
      </c>
      <c r="AA202" s="106">
        <f t="shared" si="876"/>
        <v>0</v>
      </c>
      <c r="AB202" s="118">
        <f t="shared" si="708"/>
        <v>0</v>
      </c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</row>
    <row r="203" spans="1:41" hidden="1" outlineLevel="2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>
        <f t="shared" si="875"/>
        <v>0</v>
      </c>
      <c r="N203" s="16" t="s">
        <v>234</v>
      </c>
      <c r="O203" s="106">
        <f>+VLOOKUP($N203,'Jan-25'!A:J,3,0)</f>
        <v>0.36000000000000004</v>
      </c>
      <c r="P203" s="106">
        <f>+VLOOKUP($N203,'Feb-25'!A:J,3,0)</f>
        <v>0</v>
      </c>
      <c r="Q203" s="106">
        <f>+VLOOKUP($N203,'Mar-25'!A:J,3,0)</f>
        <v>0.01</v>
      </c>
      <c r="R203" s="106">
        <f>+VLOOKUP($N203,'Apr-25'!A:J,3,0)</f>
        <v>0.01</v>
      </c>
      <c r="S203" s="106">
        <f>+VLOOKUP($N203,'May-25'!A:J,3,0)</f>
        <v>0</v>
      </c>
      <c r="T203" s="106">
        <f>+VLOOKUP($N203,'June-25'!A:J,3,0)</f>
        <v>0</v>
      </c>
      <c r="U203" s="106">
        <f>+VLOOKUP($N203,'July-25'!A:J,3,0)</f>
        <v>0.02</v>
      </c>
      <c r="V203" s="106">
        <f>+VLOOKUP($N203,'Aug-25'!A:J,3,0)</f>
        <v>0</v>
      </c>
      <c r="W203" s="106">
        <f>+VLOOKUP($N203,'Sep-25'!A:J,3,0)</f>
        <v>0</v>
      </c>
      <c r="X203" s="106">
        <f>+VLOOKUP($N203,'Oct-25'!A:J,3,0)</f>
        <v>0</v>
      </c>
      <c r="Y203" s="106">
        <f>+VLOOKUP($N203,'Nov-25'!A:J,3,0)</f>
        <v>0</v>
      </c>
      <c r="Z203" s="106">
        <f>+VLOOKUP($N203,'Dec-25'!A:J,3,0)</f>
        <v>0</v>
      </c>
      <c r="AA203" s="106">
        <f t="shared" si="876"/>
        <v>0.40000000000000008</v>
      </c>
      <c r="AB203" s="118">
        <f t="shared" si="708"/>
        <v>0</v>
      </c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</row>
    <row r="204" spans="1:41" hidden="1" outlineLevel="2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>
        <f t="shared" si="875"/>
        <v>0</v>
      </c>
      <c r="N204" s="16" t="s">
        <v>171</v>
      </c>
      <c r="O204" s="106">
        <f>+VLOOKUP($N204,'Jan-25'!A:J,3,0)</f>
        <v>0</v>
      </c>
      <c r="P204" s="106">
        <f>+VLOOKUP($N204,'Feb-25'!A:J,3,0)</f>
        <v>0</v>
      </c>
      <c r="Q204" s="106">
        <f>+VLOOKUP($N204,'Mar-25'!A:J,3,0)</f>
        <v>0</v>
      </c>
      <c r="R204" s="106">
        <f>+VLOOKUP($N204,'Apr-25'!A:J,3,0)</f>
        <v>0</v>
      </c>
      <c r="S204" s="106">
        <f>+VLOOKUP($N204,'May-25'!A:J,3,0)</f>
        <v>0</v>
      </c>
      <c r="T204" s="106">
        <f>+VLOOKUP($N204,'June-25'!A:J,3,0)</f>
        <v>0</v>
      </c>
      <c r="U204" s="106">
        <f>+VLOOKUP($N204,'July-25'!A:J,3,0)</f>
        <v>0</v>
      </c>
      <c r="V204" s="106">
        <f>+VLOOKUP($N204,'Aug-25'!A:J,3,0)</f>
        <v>0</v>
      </c>
      <c r="W204" s="106">
        <f>+VLOOKUP($N204,'Sep-25'!A:J,3,0)</f>
        <v>0</v>
      </c>
      <c r="X204" s="106">
        <f>+VLOOKUP($N204,'Oct-25'!A:J,3,0)</f>
        <v>0</v>
      </c>
      <c r="Y204" s="106">
        <f>+VLOOKUP($N204,'Nov-25'!A:J,3,0)</f>
        <v>0</v>
      </c>
      <c r="Z204" s="106">
        <f>+VLOOKUP($N204,'Dec-25'!A:J,3,0)</f>
        <v>0</v>
      </c>
      <c r="AA204" s="106">
        <f t="shared" si="876"/>
        <v>0</v>
      </c>
      <c r="AB204" s="118">
        <f t="shared" si="708"/>
        <v>0</v>
      </c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6"/>
      <c r="AO204" s="106"/>
    </row>
    <row r="205" spans="1:41" hidden="1" outlineLevel="2">
      <c r="A205" s="58">
        <f t="shared" ref="A205" si="877">+SUM(A206:A208)</f>
        <v>0</v>
      </c>
      <c r="B205" s="58">
        <f t="shared" ref="B205" si="878">+SUM(B206:B208)</f>
        <v>0</v>
      </c>
      <c r="C205" s="58">
        <f t="shared" ref="C205" si="879">+SUM(C206:C208)</f>
        <v>0</v>
      </c>
      <c r="D205" s="58">
        <f t="shared" ref="D205" si="880">+SUM(D206:D208)</f>
        <v>0</v>
      </c>
      <c r="E205" s="58">
        <f t="shared" ref="E205" si="881">+SUM(E206:E208)</f>
        <v>0</v>
      </c>
      <c r="F205" s="58">
        <f t="shared" ref="F205" si="882">+SUM(F206:F208)</f>
        <v>0</v>
      </c>
      <c r="G205" s="58">
        <f t="shared" ref="G205" si="883">+SUM(G206:G208)</f>
        <v>0</v>
      </c>
      <c r="H205" s="58">
        <f t="shared" ref="H205" si="884">+SUM(H206:H208)</f>
        <v>0</v>
      </c>
      <c r="I205" s="58">
        <f t="shared" ref="I205" si="885">+SUM(I206:I208)</f>
        <v>0</v>
      </c>
      <c r="J205" s="58">
        <f t="shared" ref="J205" si="886">+SUM(J206:J208)</f>
        <v>0</v>
      </c>
      <c r="K205" s="58">
        <f t="shared" ref="K205" si="887">+SUM(K206:K208)</f>
        <v>0</v>
      </c>
      <c r="L205" s="58">
        <f t="shared" ref="L205:M205" si="888">+SUM(L206:L208)</f>
        <v>0</v>
      </c>
      <c r="M205" s="58">
        <f t="shared" si="888"/>
        <v>0</v>
      </c>
      <c r="N205" s="20" t="s">
        <v>172</v>
      </c>
      <c r="O205" s="58">
        <f t="shared" ref="O205:AA205" si="889">+SUM(O206:O208)</f>
        <v>0</v>
      </c>
      <c r="P205" s="58">
        <f t="shared" si="889"/>
        <v>0</v>
      </c>
      <c r="Q205" s="58">
        <f t="shared" si="889"/>
        <v>0</v>
      </c>
      <c r="R205" s="58">
        <f t="shared" si="889"/>
        <v>0</v>
      </c>
      <c r="S205" s="58">
        <f t="shared" si="889"/>
        <v>0</v>
      </c>
      <c r="T205" s="58">
        <f t="shared" si="889"/>
        <v>0</v>
      </c>
      <c r="U205" s="58">
        <f t="shared" si="889"/>
        <v>0</v>
      </c>
      <c r="V205" s="58">
        <f t="shared" si="889"/>
        <v>0</v>
      </c>
      <c r="W205" s="58">
        <f t="shared" si="889"/>
        <v>0</v>
      </c>
      <c r="X205" s="58">
        <f t="shared" si="889"/>
        <v>0</v>
      </c>
      <c r="Y205" s="58">
        <f t="shared" si="889"/>
        <v>0</v>
      </c>
      <c r="Z205" s="58">
        <f t="shared" si="889"/>
        <v>0</v>
      </c>
      <c r="AA205" s="58">
        <f t="shared" si="889"/>
        <v>0</v>
      </c>
      <c r="AB205" s="118">
        <f t="shared" si="708"/>
        <v>0</v>
      </c>
      <c r="AC205" s="58">
        <f t="shared" ref="AC205" si="890">+SUM(AC206:AC208)</f>
        <v>0</v>
      </c>
      <c r="AD205" s="58">
        <f t="shared" ref="AD205" si="891">+SUM(AD206:AD208)</f>
        <v>0</v>
      </c>
      <c r="AE205" s="58">
        <f t="shared" ref="AE205" si="892">+SUM(AE206:AE208)</f>
        <v>0</v>
      </c>
      <c r="AF205" s="58">
        <f t="shared" ref="AF205" si="893">+SUM(AF206:AF208)</f>
        <v>0</v>
      </c>
      <c r="AG205" s="58">
        <f t="shared" ref="AG205" si="894">+SUM(AG206:AG208)</f>
        <v>0</v>
      </c>
      <c r="AH205" s="58">
        <f t="shared" ref="AH205" si="895">+SUM(AH206:AH208)</f>
        <v>0</v>
      </c>
      <c r="AI205" s="58">
        <f t="shared" ref="AI205" si="896">+SUM(AI206:AI208)</f>
        <v>0</v>
      </c>
      <c r="AJ205" s="58">
        <f t="shared" ref="AJ205" si="897">+SUM(AJ206:AJ208)</f>
        <v>0</v>
      </c>
      <c r="AK205" s="58">
        <f t="shared" ref="AK205" si="898">+SUM(AK206:AK208)</f>
        <v>0</v>
      </c>
      <c r="AL205" s="58">
        <f t="shared" ref="AL205" si="899">+SUM(AL206:AL208)</f>
        <v>0</v>
      </c>
      <c r="AM205" s="58">
        <f t="shared" ref="AM205" si="900">+SUM(AM206:AM208)</f>
        <v>0</v>
      </c>
      <c r="AN205" s="58">
        <f t="shared" ref="AN205" si="901">+SUM(AN206:AN208)</f>
        <v>0</v>
      </c>
      <c r="AO205" s="58">
        <f t="shared" ref="AO205" si="902">+SUM(AO206:AO208)</f>
        <v>0</v>
      </c>
    </row>
    <row r="206" spans="1:41" hidden="1" outlineLevel="2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>
        <f t="shared" ref="M206:M208" si="903">+SUM(A206:L206)</f>
        <v>0</v>
      </c>
      <c r="N206" s="16" t="s">
        <v>173</v>
      </c>
      <c r="O206" s="106">
        <f>+VLOOKUP($N206,'Jan-25'!A:J,3,0)</f>
        <v>0</v>
      </c>
      <c r="P206" s="106">
        <f>+VLOOKUP($N206,'Feb-25'!A:J,3,0)</f>
        <v>0</v>
      </c>
      <c r="Q206" s="106">
        <f>+VLOOKUP($N206,'Mar-25'!A:J,3,0)</f>
        <v>0</v>
      </c>
      <c r="R206" s="106">
        <f>+VLOOKUP($N206,'Apr-25'!A:J,3,0)</f>
        <v>0</v>
      </c>
      <c r="S206" s="106">
        <f>+VLOOKUP($N206,'May-25'!A:J,3,0)</f>
        <v>0</v>
      </c>
      <c r="T206" s="106">
        <f>+VLOOKUP($N206,'June-25'!A:J,3,0)</f>
        <v>0</v>
      </c>
      <c r="U206" s="106">
        <f>+VLOOKUP($N206,'July-25'!A:J,3,0)</f>
        <v>0</v>
      </c>
      <c r="V206" s="106">
        <f>+VLOOKUP($N206,'Aug-25'!A:J,3,0)</f>
        <v>0</v>
      </c>
      <c r="W206" s="106">
        <f>+VLOOKUP($N206,'Sep-25'!A:J,3,0)</f>
        <v>0</v>
      </c>
      <c r="X206" s="106">
        <f>+VLOOKUP($N206,'Oct-25'!A:J,3,0)</f>
        <v>0</v>
      </c>
      <c r="Y206" s="106">
        <f>+VLOOKUP($N206,'Nov-25'!A:J,3,0)</f>
        <v>0</v>
      </c>
      <c r="Z206" s="106">
        <f>+VLOOKUP($N206,'Dec-25'!A:J,3,0)</f>
        <v>0</v>
      </c>
      <c r="AA206" s="106">
        <f t="shared" ref="AA206:AA208" si="904">+SUM(O206:Z206)</f>
        <v>0</v>
      </c>
      <c r="AB206" s="118">
        <f t="shared" si="708"/>
        <v>0</v>
      </c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</row>
    <row r="207" spans="1:41" hidden="1" outlineLevel="2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>
        <f t="shared" si="903"/>
        <v>0</v>
      </c>
      <c r="N207" s="16" t="s">
        <v>174</v>
      </c>
      <c r="O207" s="106">
        <f>+VLOOKUP($N207,'Jan-25'!A:J,3,0)</f>
        <v>0</v>
      </c>
      <c r="P207" s="106">
        <f>+VLOOKUP($N207,'Feb-25'!A:J,3,0)</f>
        <v>0</v>
      </c>
      <c r="Q207" s="106">
        <f>+VLOOKUP($N207,'Mar-25'!A:J,3,0)</f>
        <v>0</v>
      </c>
      <c r="R207" s="106">
        <f>+VLOOKUP($N207,'Apr-25'!A:J,3,0)</f>
        <v>0</v>
      </c>
      <c r="S207" s="106">
        <f>+VLOOKUP($N207,'May-25'!A:J,3,0)</f>
        <v>0</v>
      </c>
      <c r="T207" s="106">
        <f>+VLOOKUP($N207,'June-25'!A:J,3,0)</f>
        <v>0</v>
      </c>
      <c r="U207" s="106">
        <f>+VLOOKUP($N207,'July-25'!A:J,3,0)</f>
        <v>0</v>
      </c>
      <c r="V207" s="106">
        <f>+VLOOKUP($N207,'Aug-25'!A:J,3,0)</f>
        <v>0</v>
      </c>
      <c r="W207" s="106">
        <f>+VLOOKUP($N207,'Sep-25'!A:J,3,0)</f>
        <v>0</v>
      </c>
      <c r="X207" s="106">
        <f>+VLOOKUP($N207,'Oct-25'!A:J,3,0)</f>
        <v>0</v>
      </c>
      <c r="Y207" s="106">
        <f>+VLOOKUP($N207,'Nov-25'!A:J,3,0)</f>
        <v>0</v>
      </c>
      <c r="Z207" s="106">
        <f>+VLOOKUP($N207,'Dec-25'!A:J,3,0)</f>
        <v>0</v>
      </c>
      <c r="AA207" s="106">
        <f t="shared" si="904"/>
        <v>0</v>
      </c>
      <c r="AB207" s="118">
        <f t="shared" si="708"/>
        <v>0</v>
      </c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  <c r="AM207" s="106"/>
      <c r="AN207" s="106"/>
      <c r="AO207" s="106"/>
    </row>
    <row r="208" spans="1:41" hidden="1" outlineLevel="2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>
        <f t="shared" si="903"/>
        <v>0</v>
      </c>
      <c r="N208" s="16" t="s">
        <v>235</v>
      </c>
      <c r="O208" s="106">
        <f>+VLOOKUP($N208,'Jan-25'!A:J,3,0)</f>
        <v>0</v>
      </c>
      <c r="P208" s="106">
        <f>+VLOOKUP($N208,'Feb-25'!A:J,3,0)</f>
        <v>0</v>
      </c>
      <c r="Q208" s="106">
        <f>+VLOOKUP($N208,'Mar-25'!A:J,3,0)</f>
        <v>0</v>
      </c>
      <c r="R208" s="106">
        <f>+VLOOKUP($N208,'Apr-25'!A:J,3,0)</f>
        <v>0</v>
      </c>
      <c r="S208" s="106">
        <f>+VLOOKUP($N208,'May-25'!A:J,3,0)</f>
        <v>0</v>
      </c>
      <c r="T208" s="106">
        <f>+VLOOKUP($N208,'June-25'!A:J,3,0)</f>
        <v>0</v>
      </c>
      <c r="U208" s="106">
        <f>+VLOOKUP($N208,'July-25'!A:J,3,0)</f>
        <v>0</v>
      </c>
      <c r="V208" s="106">
        <f>+VLOOKUP($N208,'Aug-25'!A:J,3,0)</f>
        <v>0</v>
      </c>
      <c r="W208" s="106">
        <f>+VLOOKUP($N208,'Sep-25'!A:J,3,0)</f>
        <v>0</v>
      </c>
      <c r="X208" s="106">
        <f>+VLOOKUP($N208,'Oct-25'!A:J,3,0)</f>
        <v>0</v>
      </c>
      <c r="Y208" s="106">
        <f>+VLOOKUP($N208,'Nov-25'!A:J,3,0)</f>
        <v>0</v>
      </c>
      <c r="Z208" s="106">
        <f>+VLOOKUP($N208,'Dec-25'!A:J,3,0)</f>
        <v>0</v>
      </c>
      <c r="AA208" s="106">
        <f t="shared" si="904"/>
        <v>0</v>
      </c>
      <c r="AB208" s="118">
        <f t="shared" si="708"/>
        <v>0</v>
      </c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  <c r="AM208" s="106"/>
      <c r="AN208" s="106"/>
      <c r="AO208" s="106"/>
    </row>
    <row r="209" spans="1:41" hidden="1" outlineLevel="2">
      <c r="A209" s="58">
        <f t="shared" ref="A209" si="905">+SUM(A210:A213)</f>
        <v>0</v>
      </c>
      <c r="B209" s="58">
        <f t="shared" ref="B209" si="906">+SUM(B210:B213)</f>
        <v>0</v>
      </c>
      <c r="C209" s="58">
        <f t="shared" ref="C209" si="907">+SUM(C210:C213)</f>
        <v>0</v>
      </c>
      <c r="D209" s="58">
        <f t="shared" ref="D209" si="908">+SUM(D210:D213)</f>
        <v>0</v>
      </c>
      <c r="E209" s="58">
        <f t="shared" ref="E209" si="909">+SUM(E210:E213)</f>
        <v>0</v>
      </c>
      <c r="F209" s="58">
        <f t="shared" ref="F209" si="910">+SUM(F210:F213)</f>
        <v>0</v>
      </c>
      <c r="G209" s="58">
        <f t="shared" ref="G209" si="911">+SUM(G210:G213)</f>
        <v>0</v>
      </c>
      <c r="H209" s="58">
        <f t="shared" ref="H209" si="912">+SUM(H210:H213)</f>
        <v>0</v>
      </c>
      <c r="I209" s="58">
        <f t="shared" ref="I209" si="913">+SUM(I210:I213)</f>
        <v>0</v>
      </c>
      <c r="J209" s="58">
        <f t="shared" ref="J209" si="914">+SUM(J210:J213)</f>
        <v>0</v>
      </c>
      <c r="K209" s="58">
        <f t="shared" ref="K209" si="915">+SUM(K210:K213)</f>
        <v>0</v>
      </c>
      <c r="L209" s="58">
        <f t="shared" ref="L209:M209" si="916">+SUM(L210:L213)</f>
        <v>0</v>
      </c>
      <c r="M209" s="58">
        <f t="shared" si="916"/>
        <v>0</v>
      </c>
      <c r="N209" s="20" t="s">
        <v>175</v>
      </c>
      <c r="O209" s="58">
        <f t="shared" ref="O209:AA209" si="917">+SUM(O210:O213)</f>
        <v>0</v>
      </c>
      <c r="P209" s="58">
        <f t="shared" si="917"/>
        <v>0</v>
      </c>
      <c r="Q209" s="58">
        <f t="shared" si="917"/>
        <v>0</v>
      </c>
      <c r="R209" s="58">
        <f t="shared" si="917"/>
        <v>0</v>
      </c>
      <c r="S209" s="58">
        <f t="shared" si="917"/>
        <v>0</v>
      </c>
      <c r="T209" s="58">
        <f t="shared" si="917"/>
        <v>0</v>
      </c>
      <c r="U209" s="58">
        <f t="shared" si="917"/>
        <v>0</v>
      </c>
      <c r="V209" s="58">
        <f t="shared" si="917"/>
        <v>0</v>
      </c>
      <c r="W209" s="58">
        <f t="shared" si="917"/>
        <v>0</v>
      </c>
      <c r="X209" s="58">
        <f t="shared" si="917"/>
        <v>0</v>
      </c>
      <c r="Y209" s="58">
        <f t="shared" si="917"/>
        <v>0</v>
      </c>
      <c r="Z209" s="58">
        <f t="shared" si="917"/>
        <v>0</v>
      </c>
      <c r="AA209" s="58">
        <f t="shared" si="917"/>
        <v>0</v>
      </c>
      <c r="AB209" s="118">
        <f t="shared" si="708"/>
        <v>0</v>
      </c>
      <c r="AC209" s="58">
        <f t="shared" ref="AC209" si="918">+SUM(AC210:AC213)</f>
        <v>0</v>
      </c>
      <c r="AD209" s="58">
        <f t="shared" ref="AD209" si="919">+SUM(AD210:AD213)</f>
        <v>0</v>
      </c>
      <c r="AE209" s="58">
        <f t="shared" ref="AE209" si="920">+SUM(AE210:AE213)</f>
        <v>0</v>
      </c>
      <c r="AF209" s="58">
        <f t="shared" ref="AF209" si="921">+SUM(AF210:AF213)</f>
        <v>0</v>
      </c>
      <c r="AG209" s="58">
        <f t="shared" ref="AG209" si="922">+SUM(AG210:AG213)</f>
        <v>0</v>
      </c>
      <c r="AH209" s="58">
        <f t="shared" ref="AH209" si="923">+SUM(AH210:AH213)</f>
        <v>0</v>
      </c>
      <c r="AI209" s="58">
        <f t="shared" ref="AI209" si="924">+SUM(AI210:AI213)</f>
        <v>0</v>
      </c>
      <c r="AJ209" s="58">
        <f t="shared" ref="AJ209" si="925">+SUM(AJ210:AJ213)</f>
        <v>0</v>
      </c>
      <c r="AK209" s="58">
        <f t="shared" ref="AK209" si="926">+SUM(AK210:AK213)</f>
        <v>0</v>
      </c>
      <c r="AL209" s="58">
        <f t="shared" ref="AL209" si="927">+SUM(AL210:AL213)</f>
        <v>0</v>
      </c>
      <c r="AM209" s="58">
        <f t="shared" ref="AM209" si="928">+SUM(AM210:AM213)</f>
        <v>0</v>
      </c>
      <c r="AN209" s="58">
        <f t="shared" ref="AN209" si="929">+SUM(AN210:AN213)</f>
        <v>0</v>
      </c>
      <c r="AO209" s="58">
        <f t="shared" ref="AO209" si="930">+SUM(AO210:AO213)</f>
        <v>0</v>
      </c>
    </row>
    <row r="210" spans="1:41" hidden="1" outlineLevel="2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>
        <f t="shared" ref="M210:M213" si="931">+SUM(A210:L210)</f>
        <v>0</v>
      </c>
      <c r="N210" s="16" t="s">
        <v>176</v>
      </c>
      <c r="O210" s="106">
        <f>+VLOOKUP($N210,'Jan-25'!A:J,3,0)</f>
        <v>0</v>
      </c>
      <c r="P210" s="106">
        <f>+VLOOKUP($N210,'Feb-25'!A:J,3,0)</f>
        <v>0</v>
      </c>
      <c r="Q210" s="106">
        <f>+VLOOKUP($N210,'Mar-25'!A:J,3,0)</f>
        <v>0</v>
      </c>
      <c r="R210" s="106">
        <f>+VLOOKUP($N210,'Apr-25'!A:J,3,0)</f>
        <v>0</v>
      </c>
      <c r="S210" s="106">
        <f>+VLOOKUP($N210,'May-25'!A:J,3,0)</f>
        <v>0</v>
      </c>
      <c r="T210" s="106">
        <f>+VLOOKUP($N210,'June-25'!A:J,3,0)</f>
        <v>0</v>
      </c>
      <c r="U210" s="106">
        <f>+VLOOKUP($N210,'July-25'!A:J,3,0)</f>
        <v>0</v>
      </c>
      <c r="V210" s="106">
        <f>+VLOOKUP($N210,'Aug-25'!A:J,3,0)</f>
        <v>0</v>
      </c>
      <c r="W210" s="106">
        <f>+VLOOKUP($N210,'Sep-25'!A:J,3,0)</f>
        <v>0</v>
      </c>
      <c r="X210" s="106">
        <f>+VLOOKUP($N210,'Oct-25'!A:J,3,0)</f>
        <v>0</v>
      </c>
      <c r="Y210" s="106">
        <f>+VLOOKUP($N210,'Nov-25'!A:J,3,0)</f>
        <v>0</v>
      </c>
      <c r="Z210" s="106">
        <f>+VLOOKUP($N210,'Dec-25'!A:J,3,0)</f>
        <v>0</v>
      </c>
      <c r="AA210" s="106">
        <f t="shared" ref="AA210:AA213" si="932">+SUM(O210:Z210)</f>
        <v>0</v>
      </c>
      <c r="AB210" s="118">
        <f t="shared" si="708"/>
        <v>0</v>
      </c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  <c r="AM210" s="106"/>
      <c r="AN210" s="106"/>
      <c r="AO210" s="106"/>
    </row>
    <row r="211" spans="1:41" hidden="1" outlineLevel="2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>
        <f t="shared" si="931"/>
        <v>0</v>
      </c>
      <c r="N211" s="16" t="s">
        <v>177</v>
      </c>
      <c r="O211" s="106">
        <f>+VLOOKUP($N211,'Jan-25'!A:J,3,0)</f>
        <v>0</v>
      </c>
      <c r="P211" s="106">
        <f>+VLOOKUP($N211,'Feb-25'!A:J,3,0)</f>
        <v>0</v>
      </c>
      <c r="Q211" s="106">
        <f>+VLOOKUP($N211,'Mar-25'!A:J,3,0)</f>
        <v>0</v>
      </c>
      <c r="R211" s="106">
        <f>+VLOOKUP($N211,'Apr-25'!A:J,3,0)</f>
        <v>0</v>
      </c>
      <c r="S211" s="106">
        <f>+VLOOKUP($N211,'May-25'!A:J,3,0)</f>
        <v>0</v>
      </c>
      <c r="T211" s="106">
        <f>+VLOOKUP($N211,'June-25'!A:J,3,0)</f>
        <v>0</v>
      </c>
      <c r="U211" s="106">
        <f>+VLOOKUP($N211,'July-25'!A:J,3,0)</f>
        <v>0</v>
      </c>
      <c r="V211" s="106">
        <f>+VLOOKUP($N211,'Aug-25'!A:J,3,0)</f>
        <v>0</v>
      </c>
      <c r="W211" s="106">
        <f>+VLOOKUP($N211,'Sep-25'!A:J,3,0)</f>
        <v>0</v>
      </c>
      <c r="X211" s="106">
        <f>+VLOOKUP($N211,'Oct-25'!A:J,3,0)</f>
        <v>0</v>
      </c>
      <c r="Y211" s="106">
        <f>+VLOOKUP($N211,'Nov-25'!A:J,3,0)</f>
        <v>0</v>
      </c>
      <c r="Z211" s="106">
        <f>+VLOOKUP($N211,'Dec-25'!A:J,3,0)</f>
        <v>0</v>
      </c>
      <c r="AA211" s="106">
        <f t="shared" si="932"/>
        <v>0</v>
      </c>
      <c r="AB211" s="118">
        <f t="shared" si="708"/>
        <v>0</v>
      </c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</row>
    <row r="212" spans="1:41" hidden="1" outlineLevel="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>
        <f t="shared" si="931"/>
        <v>0</v>
      </c>
      <c r="N212" s="16" t="s">
        <v>178</v>
      </c>
      <c r="O212" s="106">
        <f>+VLOOKUP($N212,'Jan-25'!A:J,3,0)</f>
        <v>0</v>
      </c>
      <c r="P212" s="106">
        <f>+VLOOKUP($N212,'Feb-25'!A:J,3,0)</f>
        <v>0</v>
      </c>
      <c r="Q212" s="106">
        <f>+VLOOKUP($N212,'Mar-25'!A:J,3,0)</f>
        <v>0</v>
      </c>
      <c r="R212" s="106">
        <f>+VLOOKUP($N212,'Apr-25'!A:J,3,0)</f>
        <v>0</v>
      </c>
      <c r="S212" s="106">
        <f>+VLOOKUP($N212,'May-25'!A:J,3,0)</f>
        <v>0</v>
      </c>
      <c r="T212" s="106">
        <f>+VLOOKUP($N212,'June-25'!A:J,3,0)</f>
        <v>0</v>
      </c>
      <c r="U212" s="106">
        <f>+VLOOKUP($N212,'July-25'!A:J,3,0)</f>
        <v>0</v>
      </c>
      <c r="V212" s="106">
        <f>+VLOOKUP($N212,'Aug-25'!A:J,3,0)</f>
        <v>0</v>
      </c>
      <c r="W212" s="106">
        <f>+VLOOKUP($N212,'Sep-25'!A:J,3,0)</f>
        <v>0</v>
      </c>
      <c r="X212" s="106">
        <f>+VLOOKUP($N212,'Oct-25'!A:J,3,0)</f>
        <v>0</v>
      </c>
      <c r="Y212" s="106">
        <f>+VLOOKUP($N212,'Nov-25'!A:J,3,0)</f>
        <v>0</v>
      </c>
      <c r="Z212" s="106">
        <f>+VLOOKUP($N212,'Dec-25'!A:J,3,0)</f>
        <v>0</v>
      </c>
      <c r="AA212" s="106">
        <f t="shared" si="932"/>
        <v>0</v>
      </c>
      <c r="AB212" s="118">
        <f t="shared" si="708"/>
        <v>0</v>
      </c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  <c r="AM212" s="106"/>
      <c r="AN212" s="106"/>
      <c r="AO212" s="106"/>
    </row>
    <row r="213" spans="1:41" hidden="1" outlineLevel="2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>
        <f t="shared" si="931"/>
        <v>0</v>
      </c>
      <c r="N213" s="16" t="s">
        <v>179</v>
      </c>
      <c r="O213" s="106">
        <f>+VLOOKUP($N213,'Jan-25'!A:J,3,0)</f>
        <v>0</v>
      </c>
      <c r="P213" s="106">
        <f>+VLOOKUP($N213,'Feb-25'!A:J,3,0)</f>
        <v>0</v>
      </c>
      <c r="Q213" s="106">
        <f>+VLOOKUP($N213,'Mar-25'!A:J,3,0)</f>
        <v>0</v>
      </c>
      <c r="R213" s="106">
        <f>+VLOOKUP($N213,'Apr-25'!A:J,3,0)</f>
        <v>0</v>
      </c>
      <c r="S213" s="106">
        <f>+VLOOKUP($N213,'May-25'!A:J,3,0)</f>
        <v>0</v>
      </c>
      <c r="T213" s="106">
        <f>+VLOOKUP($N213,'June-25'!A:J,3,0)</f>
        <v>0</v>
      </c>
      <c r="U213" s="106">
        <f>+VLOOKUP($N213,'July-25'!A:J,3,0)</f>
        <v>0</v>
      </c>
      <c r="V213" s="106">
        <f>+VLOOKUP($N213,'Aug-25'!A:J,3,0)</f>
        <v>0</v>
      </c>
      <c r="W213" s="106">
        <f>+VLOOKUP($N213,'Sep-25'!A:J,3,0)</f>
        <v>0</v>
      </c>
      <c r="X213" s="106">
        <f>+VLOOKUP($N213,'Oct-25'!A:J,3,0)</f>
        <v>0</v>
      </c>
      <c r="Y213" s="106">
        <f>+VLOOKUP($N213,'Nov-25'!A:J,3,0)</f>
        <v>0</v>
      </c>
      <c r="Z213" s="106">
        <f>+VLOOKUP($N213,'Dec-25'!A:J,3,0)</f>
        <v>0</v>
      </c>
      <c r="AA213" s="106">
        <f t="shared" si="932"/>
        <v>0</v>
      </c>
      <c r="AB213" s="118">
        <f t="shared" si="708"/>
        <v>0</v>
      </c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  <c r="AM213" s="106"/>
      <c r="AN213" s="106"/>
      <c r="AO213" s="106"/>
    </row>
    <row r="214" spans="1:41" hidden="1" outlineLevel="2">
      <c r="A214" s="58">
        <f t="shared" ref="A214" si="933">+SUM(A215:A216)</f>
        <v>0</v>
      </c>
      <c r="B214" s="58">
        <f t="shared" ref="B214" si="934">+SUM(B215:B216)</f>
        <v>0</v>
      </c>
      <c r="C214" s="58">
        <f t="shared" ref="C214" si="935">+SUM(C215:C216)</f>
        <v>0</v>
      </c>
      <c r="D214" s="58">
        <f t="shared" ref="D214" si="936">+SUM(D215:D216)</f>
        <v>0</v>
      </c>
      <c r="E214" s="58">
        <f t="shared" ref="E214" si="937">+SUM(E215:E216)</f>
        <v>0</v>
      </c>
      <c r="F214" s="58">
        <f t="shared" ref="F214" si="938">+SUM(F215:F216)</f>
        <v>0</v>
      </c>
      <c r="G214" s="58">
        <f t="shared" ref="G214" si="939">+SUM(G215:G216)</f>
        <v>0</v>
      </c>
      <c r="H214" s="58">
        <f t="shared" ref="H214" si="940">+SUM(H215:H216)</f>
        <v>0</v>
      </c>
      <c r="I214" s="58">
        <f t="shared" ref="I214" si="941">+SUM(I215:I216)</f>
        <v>0</v>
      </c>
      <c r="J214" s="58">
        <f t="shared" ref="J214" si="942">+SUM(J215:J216)</f>
        <v>0</v>
      </c>
      <c r="K214" s="58">
        <f t="shared" ref="K214" si="943">+SUM(K215:K216)</f>
        <v>0</v>
      </c>
      <c r="L214" s="58">
        <f t="shared" ref="L214" si="944">+SUM(L215:L216)</f>
        <v>0</v>
      </c>
      <c r="M214" s="58">
        <f t="shared" ref="M214" si="945">+M215+M216</f>
        <v>0</v>
      </c>
      <c r="N214" s="20" t="s">
        <v>180</v>
      </c>
      <c r="O214" s="58">
        <f t="shared" ref="O214:AA214" si="946">+SUM(O215:O216)</f>
        <v>0</v>
      </c>
      <c r="P214" s="58">
        <f t="shared" si="946"/>
        <v>0</v>
      </c>
      <c r="Q214" s="58">
        <f t="shared" si="946"/>
        <v>0</v>
      </c>
      <c r="R214" s="58">
        <f t="shared" si="946"/>
        <v>0</v>
      </c>
      <c r="S214" s="58">
        <f t="shared" si="946"/>
        <v>0</v>
      </c>
      <c r="T214" s="58">
        <f t="shared" si="946"/>
        <v>0</v>
      </c>
      <c r="U214" s="58">
        <f t="shared" si="946"/>
        <v>0</v>
      </c>
      <c r="V214" s="58">
        <f t="shared" si="946"/>
        <v>0</v>
      </c>
      <c r="W214" s="58">
        <f t="shared" si="946"/>
        <v>0</v>
      </c>
      <c r="X214" s="58">
        <f t="shared" si="946"/>
        <v>0</v>
      </c>
      <c r="Y214" s="58">
        <f t="shared" si="946"/>
        <v>0</v>
      </c>
      <c r="Z214" s="58">
        <f t="shared" si="946"/>
        <v>0</v>
      </c>
      <c r="AA214" s="58">
        <f t="shared" si="946"/>
        <v>0</v>
      </c>
      <c r="AB214" s="118">
        <f t="shared" si="708"/>
        <v>0</v>
      </c>
      <c r="AC214" s="58">
        <f t="shared" ref="AC214" si="947">+SUM(AC215:AC216)</f>
        <v>0</v>
      </c>
      <c r="AD214" s="58">
        <f t="shared" ref="AD214" si="948">+SUM(AD215:AD216)</f>
        <v>0</v>
      </c>
      <c r="AE214" s="58">
        <f t="shared" ref="AE214" si="949">+SUM(AE215:AE216)</f>
        <v>0</v>
      </c>
      <c r="AF214" s="58">
        <f t="shared" ref="AF214" si="950">+SUM(AF215:AF216)</f>
        <v>0</v>
      </c>
      <c r="AG214" s="58">
        <f t="shared" ref="AG214" si="951">+SUM(AG215:AG216)</f>
        <v>0</v>
      </c>
      <c r="AH214" s="58">
        <f t="shared" ref="AH214" si="952">+SUM(AH215:AH216)</f>
        <v>0</v>
      </c>
      <c r="AI214" s="58">
        <f t="shared" ref="AI214" si="953">+SUM(AI215:AI216)</f>
        <v>0</v>
      </c>
      <c r="AJ214" s="58">
        <f t="shared" ref="AJ214" si="954">+SUM(AJ215:AJ216)</f>
        <v>0</v>
      </c>
      <c r="AK214" s="58">
        <f t="shared" ref="AK214" si="955">+SUM(AK215:AK216)</f>
        <v>0</v>
      </c>
      <c r="AL214" s="58">
        <f t="shared" ref="AL214" si="956">+SUM(AL215:AL216)</f>
        <v>0</v>
      </c>
      <c r="AM214" s="58">
        <f t="shared" ref="AM214" si="957">+SUM(AM215:AM216)</f>
        <v>0</v>
      </c>
      <c r="AN214" s="58">
        <f t="shared" ref="AN214" si="958">+SUM(AN215:AN216)</f>
        <v>0</v>
      </c>
      <c r="AO214" s="58">
        <f t="shared" ref="AO214" si="959">+SUM(AO215:AO216)</f>
        <v>0</v>
      </c>
    </row>
    <row r="215" spans="1:41" hidden="1" outlineLevel="2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>
        <f t="shared" ref="M215:M216" si="960">+SUM(A215:L215)</f>
        <v>0</v>
      </c>
      <c r="N215" s="16" t="s">
        <v>181</v>
      </c>
      <c r="O215" s="106">
        <f>+VLOOKUP($N215,'Jan-25'!A:J,3,0)</f>
        <v>0</v>
      </c>
      <c r="P215" s="106">
        <f>+VLOOKUP($N215,'Feb-25'!A:J,3,0)</f>
        <v>0</v>
      </c>
      <c r="Q215" s="106">
        <f>+VLOOKUP($N215,'Mar-25'!A:J,3,0)</f>
        <v>0</v>
      </c>
      <c r="R215" s="106">
        <f>+VLOOKUP($N215,'Apr-25'!A:J,3,0)</f>
        <v>0</v>
      </c>
      <c r="S215" s="106">
        <f>+VLOOKUP($N215,'May-25'!A:J,3,0)</f>
        <v>0</v>
      </c>
      <c r="T215" s="106">
        <f>+VLOOKUP($N215,'June-25'!A:J,3,0)</f>
        <v>0</v>
      </c>
      <c r="U215" s="106">
        <f>+VLOOKUP($N215,'July-25'!A:J,3,0)</f>
        <v>0</v>
      </c>
      <c r="V215" s="106">
        <f>+VLOOKUP($N215,'Aug-25'!A:J,3,0)</f>
        <v>0</v>
      </c>
      <c r="W215" s="106">
        <f>+VLOOKUP($N215,'Sep-25'!A:J,3,0)</f>
        <v>0</v>
      </c>
      <c r="X215" s="106">
        <f>+VLOOKUP($N215,'Oct-25'!A:J,3,0)</f>
        <v>0</v>
      </c>
      <c r="Y215" s="106">
        <f>+VLOOKUP($N215,'Nov-25'!A:J,3,0)</f>
        <v>0</v>
      </c>
      <c r="Z215" s="106">
        <f>+VLOOKUP($N215,'Dec-25'!A:J,3,0)</f>
        <v>0</v>
      </c>
      <c r="AA215" s="106">
        <f t="shared" ref="AA215:AA216" si="961">+SUM(O215:Z215)</f>
        <v>0</v>
      </c>
      <c r="AB215" s="118">
        <f t="shared" si="708"/>
        <v>0</v>
      </c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  <c r="AM215" s="106"/>
      <c r="AN215" s="106"/>
      <c r="AO215" s="106"/>
    </row>
    <row r="216" spans="1:41" hidden="1" outlineLevel="2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>
        <f t="shared" si="960"/>
        <v>0</v>
      </c>
      <c r="N216" s="16" t="s">
        <v>182</v>
      </c>
      <c r="O216" s="106">
        <f>+VLOOKUP($N216,'Jan-25'!A:J,3,0)</f>
        <v>0</v>
      </c>
      <c r="P216" s="106">
        <f>+VLOOKUP($N216,'Feb-25'!A:J,3,0)</f>
        <v>0</v>
      </c>
      <c r="Q216" s="106">
        <f>+VLOOKUP($N216,'Mar-25'!A:J,3,0)</f>
        <v>0</v>
      </c>
      <c r="R216" s="106">
        <f>+VLOOKUP($N216,'Apr-25'!A:J,3,0)</f>
        <v>0</v>
      </c>
      <c r="S216" s="106">
        <f>+VLOOKUP($N216,'May-25'!A:J,3,0)</f>
        <v>0</v>
      </c>
      <c r="T216" s="106">
        <f>+VLOOKUP($N216,'June-25'!A:J,3,0)</f>
        <v>0</v>
      </c>
      <c r="U216" s="106">
        <f>+VLOOKUP($N216,'July-25'!A:J,3,0)</f>
        <v>0</v>
      </c>
      <c r="V216" s="106">
        <f>+VLOOKUP($N216,'Aug-25'!A:J,3,0)</f>
        <v>0</v>
      </c>
      <c r="W216" s="106">
        <f>+VLOOKUP($N216,'Sep-25'!A:J,3,0)</f>
        <v>0</v>
      </c>
      <c r="X216" s="106">
        <f>+VLOOKUP($N216,'Oct-25'!A:J,3,0)</f>
        <v>0</v>
      </c>
      <c r="Y216" s="106">
        <f>+VLOOKUP($N216,'Nov-25'!A:J,3,0)</f>
        <v>0</v>
      </c>
      <c r="Z216" s="106">
        <f>+VLOOKUP($N216,'Dec-25'!A:J,3,0)</f>
        <v>0</v>
      </c>
      <c r="AA216" s="106">
        <f t="shared" si="961"/>
        <v>0</v>
      </c>
      <c r="AB216" s="118">
        <f t="shared" si="708"/>
        <v>0</v>
      </c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  <c r="AM216" s="106"/>
      <c r="AN216" s="106"/>
      <c r="AO216" s="106"/>
    </row>
    <row r="217" spans="1:41" hidden="1" outlineLevel="2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18">
        <f t="shared" si="708"/>
        <v>0</v>
      </c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  <c r="AM217" s="106"/>
      <c r="AN217" s="106"/>
      <c r="AO217" s="106"/>
    </row>
    <row r="218" spans="1:41" ht="17.25" collapsed="1">
      <c r="A218" s="58">
        <f t="shared" ref="A218" si="962">+A219+A223+A227</f>
        <v>0</v>
      </c>
      <c r="B218" s="58">
        <f t="shared" ref="B218" si="963">+B219+B223+B227</f>
        <v>0</v>
      </c>
      <c r="C218" s="58">
        <f t="shared" ref="C218" si="964">+C219+C223+C227</f>
        <v>0</v>
      </c>
      <c r="D218" s="58">
        <f t="shared" ref="D218" si="965">+D219+D223+D227</f>
        <v>0</v>
      </c>
      <c r="E218" s="58">
        <f t="shared" ref="E218" si="966">+E219+E223+E227</f>
        <v>0</v>
      </c>
      <c r="F218" s="58">
        <f t="shared" ref="F218" si="967">+F219+F223+F227</f>
        <v>0</v>
      </c>
      <c r="G218" s="58">
        <f t="shared" ref="G218" si="968">+G219+G223+G227</f>
        <v>0</v>
      </c>
      <c r="H218" s="58">
        <f t="shared" ref="H218" si="969">+H219+H223+H227</f>
        <v>0</v>
      </c>
      <c r="I218" s="58">
        <f t="shared" ref="I218" si="970">+I219+I223+I227</f>
        <v>0</v>
      </c>
      <c r="J218" s="58">
        <f t="shared" ref="J218" si="971">+J219+J223+J227</f>
        <v>0</v>
      </c>
      <c r="K218" s="58">
        <f t="shared" ref="K218" si="972">+K219+K223+K227</f>
        <v>0</v>
      </c>
      <c r="L218" s="58">
        <f t="shared" ref="L218:M219" si="973">+L219+L223+L227</f>
        <v>0</v>
      </c>
      <c r="M218" s="58">
        <f t="shared" si="973"/>
        <v>0</v>
      </c>
      <c r="N218" s="17" t="s">
        <v>183</v>
      </c>
      <c r="O218" s="58">
        <f t="shared" ref="O218:AA218" si="974">+O219+O223+O227</f>
        <v>0</v>
      </c>
      <c r="P218" s="58">
        <f t="shared" si="974"/>
        <v>0</v>
      </c>
      <c r="Q218" s="58">
        <f t="shared" si="974"/>
        <v>0</v>
      </c>
      <c r="R218" s="58">
        <f t="shared" si="974"/>
        <v>0</v>
      </c>
      <c r="S218" s="58">
        <f t="shared" si="974"/>
        <v>0</v>
      </c>
      <c r="T218" s="58">
        <f t="shared" si="974"/>
        <v>0</v>
      </c>
      <c r="U218" s="58">
        <f t="shared" si="974"/>
        <v>0</v>
      </c>
      <c r="V218" s="58">
        <f t="shared" si="974"/>
        <v>0</v>
      </c>
      <c r="W218" s="58">
        <f t="shared" si="974"/>
        <v>0</v>
      </c>
      <c r="X218" s="58">
        <f t="shared" si="974"/>
        <v>0</v>
      </c>
      <c r="Y218" s="58">
        <f t="shared" si="974"/>
        <v>0</v>
      </c>
      <c r="Z218" s="58">
        <f t="shared" si="974"/>
        <v>0</v>
      </c>
      <c r="AA218" s="58">
        <f t="shared" si="974"/>
        <v>0</v>
      </c>
      <c r="AB218" s="118">
        <f t="shared" si="708"/>
        <v>0</v>
      </c>
      <c r="AC218" s="58">
        <f t="shared" ref="AC218" si="975">+AC219+AC223+AC227</f>
        <v>0</v>
      </c>
      <c r="AD218" s="58">
        <f t="shared" ref="AD218" si="976">+AD219+AD223+AD227</f>
        <v>0</v>
      </c>
      <c r="AE218" s="58">
        <f t="shared" ref="AE218" si="977">+AE219+AE223+AE227</f>
        <v>0</v>
      </c>
      <c r="AF218" s="58">
        <f t="shared" ref="AF218" si="978">+AF219+AF223+AF227</f>
        <v>0</v>
      </c>
      <c r="AG218" s="58">
        <f t="shared" ref="AG218" si="979">+AG219+AG223+AG227</f>
        <v>0</v>
      </c>
      <c r="AH218" s="58">
        <f t="shared" ref="AH218" si="980">+AH219+AH223+AH227</f>
        <v>0</v>
      </c>
      <c r="AI218" s="58">
        <f t="shared" ref="AI218" si="981">+AI219+AI223+AI227</f>
        <v>0</v>
      </c>
      <c r="AJ218" s="58">
        <f t="shared" ref="AJ218" si="982">+AJ219+AJ223+AJ227</f>
        <v>0</v>
      </c>
      <c r="AK218" s="58">
        <f t="shared" ref="AK218" si="983">+AK219+AK223+AK227</f>
        <v>0</v>
      </c>
      <c r="AL218" s="58">
        <f t="shared" ref="AL218" si="984">+AL219+AL223+AL227</f>
        <v>0</v>
      </c>
      <c r="AM218" s="58">
        <f t="shared" ref="AM218" si="985">+AM219+AM223+AM227</f>
        <v>0</v>
      </c>
      <c r="AN218" s="58">
        <f t="shared" ref="AN218" si="986">+AN219+AN223+AN227</f>
        <v>0</v>
      </c>
      <c r="AO218" s="58">
        <f t="shared" ref="AO218" si="987">+AO219+AO223+AO227</f>
        <v>0</v>
      </c>
    </row>
    <row r="219" spans="1:41" hidden="1" outlineLevel="1">
      <c r="A219" s="58">
        <f t="shared" ref="A219" si="988">+SUM(A220:A222)</f>
        <v>0</v>
      </c>
      <c r="B219" s="58">
        <f t="shared" ref="B219" si="989">+SUM(B220:B222)</f>
        <v>0</v>
      </c>
      <c r="C219" s="58">
        <f t="shared" ref="C219" si="990">+SUM(C220:C222)</f>
        <v>0</v>
      </c>
      <c r="D219" s="58">
        <f t="shared" ref="D219" si="991">+SUM(D220:D222)</f>
        <v>0</v>
      </c>
      <c r="E219" s="58">
        <f t="shared" ref="E219" si="992">+SUM(E220:E222)</f>
        <v>0</v>
      </c>
      <c r="F219" s="58">
        <f t="shared" ref="F219" si="993">+SUM(F220:F222)</f>
        <v>0</v>
      </c>
      <c r="G219" s="58">
        <f t="shared" ref="G219" si="994">+SUM(G220:G222)</f>
        <v>0</v>
      </c>
      <c r="H219" s="58">
        <f t="shared" ref="H219" si="995">+SUM(H220:H222)</f>
        <v>0</v>
      </c>
      <c r="I219" s="58">
        <f t="shared" ref="I219" si="996">+SUM(I220:I222)</f>
        <v>0</v>
      </c>
      <c r="J219" s="58">
        <f t="shared" ref="J219" si="997">+SUM(J220:J222)</f>
        <v>0</v>
      </c>
      <c r="K219" s="58">
        <f t="shared" ref="K219" si="998">+SUM(K220:K222)</f>
        <v>0</v>
      </c>
      <c r="L219" s="58">
        <f t="shared" ref="L219" si="999">+SUM(L220:L222)</f>
        <v>0</v>
      </c>
      <c r="M219" s="58">
        <f t="shared" si="973"/>
        <v>0</v>
      </c>
      <c r="N219" s="20" t="s">
        <v>184</v>
      </c>
      <c r="O219" s="58">
        <f t="shared" ref="O219:AA219" si="1000">+SUM(O220:O222)</f>
        <v>0</v>
      </c>
      <c r="P219" s="58">
        <f t="shared" si="1000"/>
        <v>0</v>
      </c>
      <c r="Q219" s="58">
        <f t="shared" si="1000"/>
        <v>0</v>
      </c>
      <c r="R219" s="58">
        <f t="shared" si="1000"/>
        <v>0</v>
      </c>
      <c r="S219" s="58">
        <f t="shared" si="1000"/>
        <v>0</v>
      </c>
      <c r="T219" s="58">
        <f t="shared" si="1000"/>
        <v>0</v>
      </c>
      <c r="U219" s="58">
        <f t="shared" si="1000"/>
        <v>0</v>
      </c>
      <c r="V219" s="58">
        <f t="shared" si="1000"/>
        <v>0</v>
      </c>
      <c r="W219" s="58">
        <f t="shared" si="1000"/>
        <v>0</v>
      </c>
      <c r="X219" s="58">
        <f t="shared" si="1000"/>
        <v>0</v>
      </c>
      <c r="Y219" s="58">
        <f t="shared" si="1000"/>
        <v>0</v>
      </c>
      <c r="Z219" s="58">
        <f t="shared" si="1000"/>
        <v>0</v>
      </c>
      <c r="AA219" s="58">
        <f t="shared" si="1000"/>
        <v>0</v>
      </c>
      <c r="AB219" s="118">
        <f t="shared" si="708"/>
        <v>0</v>
      </c>
      <c r="AC219" s="58">
        <f t="shared" ref="AC219" si="1001">+SUM(AC220:AC222)</f>
        <v>0</v>
      </c>
      <c r="AD219" s="58">
        <f t="shared" ref="AD219" si="1002">+SUM(AD220:AD222)</f>
        <v>0</v>
      </c>
      <c r="AE219" s="58">
        <f t="shared" ref="AE219" si="1003">+SUM(AE220:AE222)</f>
        <v>0</v>
      </c>
      <c r="AF219" s="58">
        <f t="shared" ref="AF219" si="1004">+SUM(AF220:AF222)</f>
        <v>0</v>
      </c>
      <c r="AG219" s="58">
        <f t="shared" ref="AG219" si="1005">+SUM(AG220:AG222)</f>
        <v>0</v>
      </c>
      <c r="AH219" s="58">
        <f t="shared" ref="AH219" si="1006">+SUM(AH220:AH222)</f>
        <v>0</v>
      </c>
      <c r="AI219" s="58">
        <f t="shared" ref="AI219" si="1007">+SUM(AI220:AI222)</f>
        <v>0</v>
      </c>
      <c r="AJ219" s="58">
        <f t="shared" ref="AJ219" si="1008">+SUM(AJ220:AJ222)</f>
        <v>0</v>
      </c>
      <c r="AK219" s="58">
        <f t="shared" ref="AK219" si="1009">+SUM(AK220:AK222)</f>
        <v>0</v>
      </c>
      <c r="AL219" s="58">
        <f t="shared" ref="AL219" si="1010">+SUM(AL220:AL222)</f>
        <v>0</v>
      </c>
      <c r="AM219" s="58">
        <f t="shared" ref="AM219" si="1011">+SUM(AM220:AM222)</f>
        <v>0</v>
      </c>
      <c r="AN219" s="58">
        <f t="shared" ref="AN219" si="1012">+SUM(AN220:AN222)</f>
        <v>0</v>
      </c>
      <c r="AO219" s="58">
        <f t="shared" ref="AO219" si="1013">+SUM(AO220:AO222)</f>
        <v>0</v>
      </c>
    </row>
    <row r="220" spans="1:41" hidden="1" outlineLevel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>
        <f t="shared" ref="M220:M222" si="1014">+SUM(A220:L220)</f>
        <v>0</v>
      </c>
      <c r="N220" s="16" t="s">
        <v>185</v>
      </c>
      <c r="O220" s="106">
        <f>+VLOOKUP($N220,'Jan-25'!A:J,3,0)</f>
        <v>0</v>
      </c>
      <c r="P220" s="106">
        <f>+VLOOKUP($N220,'Feb-25'!A:J,3,0)</f>
        <v>0</v>
      </c>
      <c r="Q220" s="106">
        <f>+VLOOKUP($N220,'Mar-25'!A:J,3,0)</f>
        <v>0</v>
      </c>
      <c r="R220" s="106">
        <f>+VLOOKUP($N220,'Apr-25'!A:J,3,0)</f>
        <v>0</v>
      </c>
      <c r="S220" s="106">
        <f>+VLOOKUP($N220,'May-25'!A:J,3,0)</f>
        <v>0</v>
      </c>
      <c r="T220" s="106">
        <f>+VLOOKUP($N220,'June-25'!A:J,3,0)</f>
        <v>0</v>
      </c>
      <c r="U220" s="106">
        <f>+VLOOKUP($N220,'July-25'!A:J,3,0)</f>
        <v>0</v>
      </c>
      <c r="V220" s="106">
        <f>+VLOOKUP($N220,'Aug-25'!A:J,3,0)</f>
        <v>0</v>
      </c>
      <c r="W220" s="106">
        <f>+VLOOKUP($N220,'Sep-25'!A:J,3,0)</f>
        <v>0</v>
      </c>
      <c r="X220" s="106">
        <f>+VLOOKUP($N220,'Oct-25'!A:J,3,0)</f>
        <v>0</v>
      </c>
      <c r="Y220" s="106">
        <f>+VLOOKUP($N220,'Nov-25'!A:J,3,0)</f>
        <v>0</v>
      </c>
      <c r="Z220" s="106">
        <f>+VLOOKUP($N220,'Dec-25'!A:J,3,0)</f>
        <v>0</v>
      </c>
      <c r="AA220" s="106">
        <f t="shared" ref="AA220:AA222" si="1015">+SUM(O220:Z220)</f>
        <v>0</v>
      </c>
      <c r="AB220" s="118">
        <f t="shared" si="708"/>
        <v>0</v>
      </c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  <c r="AM220" s="106"/>
      <c r="AN220" s="106"/>
      <c r="AO220" s="106"/>
    </row>
    <row r="221" spans="1:41" hidden="1" outlineLevel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>
        <f t="shared" si="1014"/>
        <v>0</v>
      </c>
      <c r="N221" s="16" t="s">
        <v>236</v>
      </c>
      <c r="O221" s="106">
        <f>+VLOOKUP($N221,'Jan-25'!A:J,3,0)</f>
        <v>0</v>
      </c>
      <c r="P221" s="106">
        <f>+VLOOKUP($N221,'Feb-25'!A:J,3,0)</f>
        <v>0</v>
      </c>
      <c r="Q221" s="106">
        <f>+VLOOKUP($N221,'Mar-25'!A:J,3,0)</f>
        <v>0</v>
      </c>
      <c r="R221" s="106">
        <f>+VLOOKUP($N221,'Apr-25'!A:J,3,0)</f>
        <v>0</v>
      </c>
      <c r="S221" s="106">
        <f>+VLOOKUP($N221,'May-25'!A:J,3,0)</f>
        <v>0</v>
      </c>
      <c r="T221" s="106">
        <f>+VLOOKUP($N221,'June-25'!A:J,3,0)</f>
        <v>0</v>
      </c>
      <c r="U221" s="106">
        <f>+VLOOKUP($N221,'July-25'!A:J,3,0)</f>
        <v>0</v>
      </c>
      <c r="V221" s="106">
        <f>+VLOOKUP($N221,'Aug-25'!A:J,3,0)</f>
        <v>0</v>
      </c>
      <c r="W221" s="106">
        <f>+VLOOKUP($N221,'Sep-25'!A:J,3,0)</f>
        <v>0</v>
      </c>
      <c r="X221" s="106">
        <f>+VLOOKUP($N221,'Oct-25'!A:J,3,0)</f>
        <v>0</v>
      </c>
      <c r="Y221" s="106">
        <f>+VLOOKUP($N221,'Nov-25'!A:J,3,0)</f>
        <v>0</v>
      </c>
      <c r="Z221" s="106">
        <f>+VLOOKUP($N221,'Dec-25'!A:J,3,0)</f>
        <v>0</v>
      </c>
      <c r="AA221" s="106">
        <f t="shared" si="1015"/>
        <v>0</v>
      </c>
      <c r="AB221" s="118">
        <f t="shared" si="708"/>
        <v>0</v>
      </c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</row>
    <row r="222" spans="1:41" hidden="1" outlineLevel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>
        <f t="shared" si="1014"/>
        <v>0</v>
      </c>
      <c r="N222" s="16" t="s">
        <v>237</v>
      </c>
      <c r="O222" s="106">
        <f>+VLOOKUP($N222,'Jan-25'!A:J,3,0)</f>
        <v>0</v>
      </c>
      <c r="P222" s="106">
        <f>+VLOOKUP($N222,'Feb-25'!A:J,3,0)</f>
        <v>0</v>
      </c>
      <c r="Q222" s="106">
        <f>+VLOOKUP($N222,'Mar-25'!A:J,3,0)</f>
        <v>0</v>
      </c>
      <c r="R222" s="106">
        <f>+VLOOKUP($N222,'Apr-25'!A:J,3,0)</f>
        <v>0</v>
      </c>
      <c r="S222" s="106">
        <f>+VLOOKUP($N222,'May-25'!A:J,3,0)</f>
        <v>0</v>
      </c>
      <c r="T222" s="106">
        <f>+VLOOKUP($N222,'June-25'!A:J,3,0)</f>
        <v>0</v>
      </c>
      <c r="U222" s="106">
        <f>+VLOOKUP($N222,'July-25'!A:J,3,0)</f>
        <v>0</v>
      </c>
      <c r="V222" s="106">
        <f>+VLOOKUP($N222,'Aug-25'!A:J,3,0)</f>
        <v>0</v>
      </c>
      <c r="W222" s="106">
        <f>+VLOOKUP($N222,'Sep-25'!A:J,3,0)</f>
        <v>0</v>
      </c>
      <c r="X222" s="106">
        <f>+VLOOKUP($N222,'Oct-25'!A:J,3,0)</f>
        <v>0</v>
      </c>
      <c r="Y222" s="106">
        <f>+VLOOKUP($N222,'Nov-25'!A:J,3,0)</f>
        <v>0</v>
      </c>
      <c r="Z222" s="106">
        <f>+VLOOKUP($N222,'Dec-25'!A:J,3,0)</f>
        <v>0</v>
      </c>
      <c r="AA222" s="106">
        <f t="shared" si="1015"/>
        <v>0</v>
      </c>
      <c r="AB222" s="118">
        <f t="shared" ref="AB222:AB250" si="1016">IFERROR((X222-AL222)/AL222,0)</f>
        <v>0</v>
      </c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6"/>
      <c r="AO222" s="106"/>
    </row>
    <row r="223" spans="1:41" hidden="1" outlineLevel="1">
      <c r="A223" s="58">
        <f t="shared" ref="A223" si="1017">+SUM(A224:A226)</f>
        <v>0</v>
      </c>
      <c r="B223" s="58">
        <f t="shared" ref="B223" si="1018">+SUM(B224:B226)</f>
        <v>0</v>
      </c>
      <c r="C223" s="58">
        <f t="shared" ref="C223" si="1019">+SUM(C224:C226)</f>
        <v>0</v>
      </c>
      <c r="D223" s="58">
        <f t="shared" ref="D223" si="1020">+SUM(D224:D226)</f>
        <v>0</v>
      </c>
      <c r="E223" s="58">
        <f t="shared" ref="E223" si="1021">+SUM(E224:E226)</f>
        <v>0</v>
      </c>
      <c r="F223" s="58">
        <f t="shared" ref="F223" si="1022">+SUM(F224:F226)</f>
        <v>0</v>
      </c>
      <c r="G223" s="58">
        <f t="shared" ref="G223" si="1023">+SUM(G224:G226)</f>
        <v>0</v>
      </c>
      <c r="H223" s="58">
        <f t="shared" ref="H223" si="1024">+SUM(H224:H226)</f>
        <v>0</v>
      </c>
      <c r="I223" s="58">
        <f t="shared" ref="I223" si="1025">+SUM(I224:I226)</f>
        <v>0</v>
      </c>
      <c r="J223" s="58">
        <f t="shared" ref="J223" si="1026">+SUM(J224:J226)</f>
        <v>0</v>
      </c>
      <c r="K223" s="58">
        <f t="shared" ref="K223" si="1027">+SUM(K224:K226)</f>
        <v>0</v>
      </c>
      <c r="L223" s="58">
        <f t="shared" ref="L223:M223" si="1028">+SUM(L224:L226)</f>
        <v>0</v>
      </c>
      <c r="M223" s="58">
        <f t="shared" si="1028"/>
        <v>0</v>
      </c>
      <c r="N223" s="20" t="s">
        <v>186</v>
      </c>
      <c r="O223" s="58">
        <f t="shared" ref="O223:AA223" si="1029">+SUM(O224:O226)</f>
        <v>0</v>
      </c>
      <c r="P223" s="58">
        <f t="shared" si="1029"/>
        <v>0</v>
      </c>
      <c r="Q223" s="58">
        <f t="shared" si="1029"/>
        <v>0</v>
      </c>
      <c r="R223" s="58">
        <f t="shared" si="1029"/>
        <v>0</v>
      </c>
      <c r="S223" s="58">
        <f t="shared" si="1029"/>
        <v>0</v>
      </c>
      <c r="T223" s="58">
        <f t="shared" si="1029"/>
        <v>0</v>
      </c>
      <c r="U223" s="58">
        <f t="shared" si="1029"/>
        <v>0</v>
      </c>
      <c r="V223" s="58">
        <f t="shared" si="1029"/>
        <v>0</v>
      </c>
      <c r="W223" s="58">
        <f t="shared" si="1029"/>
        <v>0</v>
      </c>
      <c r="X223" s="58">
        <f t="shared" si="1029"/>
        <v>0</v>
      </c>
      <c r="Y223" s="58">
        <f t="shared" si="1029"/>
        <v>0</v>
      </c>
      <c r="Z223" s="58">
        <f t="shared" si="1029"/>
        <v>0</v>
      </c>
      <c r="AA223" s="58">
        <f t="shared" si="1029"/>
        <v>0</v>
      </c>
      <c r="AB223" s="118">
        <f t="shared" si="1016"/>
        <v>0</v>
      </c>
      <c r="AC223" s="58">
        <f t="shared" ref="AC223" si="1030">+SUM(AC224:AC226)</f>
        <v>0</v>
      </c>
      <c r="AD223" s="58">
        <f t="shared" ref="AD223" si="1031">+SUM(AD224:AD226)</f>
        <v>0</v>
      </c>
      <c r="AE223" s="58">
        <f t="shared" ref="AE223" si="1032">+SUM(AE224:AE226)</f>
        <v>0</v>
      </c>
      <c r="AF223" s="58">
        <f t="shared" ref="AF223" si="1033">+SUM(AF224:AF226)</f>
        <v>0</v>
      </c>
      <c r="AG223" s="58">
        <f t="shared" ref="AG223" si="1034">+SUM(AG224:AG226)</f>
        <v>0</v>
      </c>
      <c r="AH223" s="58">
        <f t="shared" ref="AH223" si="1035">+SUM(AH224:AH226)</f>
        <v>0</v>
      </c>
      <c r="AI223" s="58">
        <f t="shared" ref="AI223" si="1036">+SUM(AI224:AI226)</f>
        <v>0</v>
      </c>
      <c r="AJ223" s="58">
        <f t="shared" ref="AJ223" si="1037">+SUM(AJ224:AJ226)</f>
        <v>0</v>
      </c>
      <c r="AK223" s="58">
        <f t="shared" ref="AK223" si="1038">+SUM(AK224:AK226)</f>
        <v>0</v>
      </c>
      <c r="AL223" s="58">
        <f t="shared" ref="AL223" si="1039">+SUM(AL224:AL226)</f>
        <v>0</v>
      </c>
      <c r="AM223" s="58">
        <f t="shared" ref="AM223" si="1040">+SUM(AM224:AM226)</f>
        <v>0</v>
      </c>
      <c r="AN223" s="58">
        <f t="shared" ref="AN223" si="1041">+SUM(AN224:AN226)</f>
        <v>0</v>
      </c>
      <c r="AO223" s="58">
        <f t="shared" ref="AO223" si="1042">+SUM(AO224:AO226)</f>
        <v>0</v>
      </c>
    </row>
    <row r="224" spans="1:41" hidden="1" outlineLevel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>
        <f t="shared" ref="M224:M226" si="1043">+SUM(A224:L224)</f>
        <v>0</v>
      </c>
      <c r="N224" s="16" t="s">
        <v>187</v>
      </c>
      <c r="O224" s="106">
        <f>+VLOOKUP($N224,'Jan-25'!A:J,3,0)</f>
        <v>0</v>
      </c>
      <c r="P224" s="106">
        <f>+VLOOKUP($N224,'Feb-25'!A:J,3,0)</f>
        <v>0</v>
      </c>
      <c r="Q224" s="106">
        <f>+VLOOKUP($N224,'Mar-25'!A:J,3,0)</f>
        <v>0</v>
      </c>
      <c r="R224" s="106">
        <f>+VLOOKUP($N224,'Apr-25'!A:J,3,0)</f>
        <v>0</v>
      </c>
      <c r="S224" s="106">
        <f>+VLOOKUP($N224,'May-25'!A:J,3,0)</f>
        <v>0</v>
      </c>
      <c r="T224" s="106">
        <f>+VLOOKUP($N224,'June-25'!A:J,3,0)</f>
        <v>0</v>
      </c>
      <c r="U224" s="106">
        <f>+VLOOKUP($N224,'July-25'!A:J,3,0)</f>
        <v>0</v>
      </c>
      <c r="V224" s="106">
        <f>+VLOOKUP($N224,'Aug-25'!A:J,3,0)</f>
        <v>0</v>
      </c>
      <c r="W224" s="106">
        <f>+VLOOKUP($N224,'Sep-25'!A:J,3,0)</f>
        <v>0</v>
      </c>
      <c r="X224" s="106">
        <f>+VLOOKUP($N224,'Oct-25'!A:J,3,0)</f>
        <v>0</v>
      </c>
      <c r="Y224" s="106">
        <f>+VLOOKUP($N224,'Nov-25'!A:J,3,0)</f>
        <v>0</v>
      </c>
      <c r="Z224" s="106">
        <f>+VLOOKUP($N224,'Dec-25'!A:J,3,0)</f>
        <v>0</v>
      </c>
      <c r="AA224" s="106">
        <f t="shared" ref="AA224:AA226" si="1044">+SUM(O224:Z224)</f>
        <v>0</v>
      </c>
      <c r="AB224" s="118">
        <f t="shared" si="1016"/>
        <v>0</v>
      </c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</row>
    <row r="225" spans="1:41" hidden="1" outlineLevel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>
        <f t="shared" si="1043"/>
        <v>0</v>
      </c>
      <c r="N225" s="16" t="s">
        <v>188</v>
      </c>
      <c r="O225" s="106">
        <f>+VLOOKUP($N225,'Jan-25'!A:J,3,0)</f>
        <v>0</v>
      </c>
      <c r="P225" s="106">
        <f>+VLOOKUP($N225,'Feb-25'!A:J,3,0)</f>
        <v>0</v>
      </c>
      <c r="Q225" s="106">
        <f>+VLOOKUP($N225,'Mar-25'!A:J,3,0)</f>
        <v>0</v>
      </c>
      <c r="R225" s="106">
        <f>+VLOOKUP($N225,'Apr-25'!A:J,3,0)</f>
        <v>0</v>
      </c>
      <c r="S225" s="106">
        <f>+VLOOKUP($N225,'May-25'!A:J,3,0)</f>
        <v>0</v>
      </c>
      <c r="T225" s="106">
        <f>+VLOOKUP($N225,'June-25'!A:J,3,0)</f>
        <v>0</v>
      </c>
      <c r="U225" s="106">
        <f>+VLOOKUP($N225,'July-25'!A:J,3,0)</f>
        <v>0</v>
      </c>
      <c r="V225" s="106">
        <f>+VLOOKUP($N225,'Aug-25'!A:J,3,0)</f>
        <v>0</v>
      </c>
      <c r="W225" s="106">
        <f>+VLOOKUP($N225,'Sep-25'!A:J,3,0)</f>
        <v>0</v>
      </c>
      <c r="X225" s="106">
        <f>+VLOOKUP($N225,'Oct-25'!A:J,3,0)</f>
        <v>0</v>
      </c>
      <c r="Y225" s="106">
        <f>+VLOOKUP($N225,'Nov-25'!A:J,3,0)</f>
        <v>0</v>
      </c>
      <c r="Z225" s="106">
        <f>+VLOOKUP($N225,'Dec-25'!A:J,3,0)</f>
        <v>0</v>
      </c>
      <c r="AA225" s="106">
        <f t="shared" si="1044"/>
        <v>0</v>
      </c>
      <c r="AB225" s="118">
        <f t="shared" si="1016"/>
        <v>0</v>
      </c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</row>
    <row r="226" spans="1:41" hidden="1" outlineLevel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>
        <f t="shared" si="1043"/>
        <v>0</v>
      </c>
      <c r="N226" s="16" t="s">
        <v>189</v>
      </c>
      <c r="O226" s="106">
        <f>+VLOOKUP($N226,'Jan-25'!A:J,3,0)</f>
        <v>0</v>
      </c>
      <c r="P226" s="106">
        <f>+VLOOKUP($N226,'Feb-25'!A:J,3,0)</f>
        <v>0</v>
      </c>
      <c r="Q226" s="106">
        <f>+VLOOKUP($N226,'Mar-25'!A:J,3,0)</f>
        <v>0</v>
      </c>
      <c r="R226" s="106">
        <f>+VLOOKUP($N226,'Apr-25'!A:J,3,0)</f>
        <v>0</v>
      </c>
      <c r="S226" s="106">
        <f>+VLOOKUP($N226,'May-25'!A:J,3,0)</f>
        <v>0</v>
      </c>
      <c r="T226" s="106">
        <f>+VLOOKUP($N226,'June-25'!A:J,3,0)</f>
        <v>0</v>
      </c>
      <c r="U226" s="106">
        <f>+VLOOKUP($N226,'July-25'!A:J,3,0)</f>
        <v>0</v>
      </c>
      <c r="V226" s="106">
        <f>+VLOOKUP($N226,'Aug-25'!A:J,3,0)</f>
        <v>0</v>
      </c>
      <c r="W226" s="106">
        <f>+VLOOKUP($N226,'Sep-25'!A:J,3,0)</f>
        <v>0</v>
      </c>
      <c r="X226" s="106">
        <f>+VLOOKUP($N226,'Oct-25'!A:J,3,0)</f>
        <v>0</v>
      </c>
      <c r="Y226" s="106">
        <f>+VLOOKUP($N226,'Nov-25'!A:J,3,0)</f>
        <v>0</v>
      </c>
      <c r="Z226" s="106">
        <f>+VLOOKUP($N226,'Dec-25'!A:J,3,0)</f>
        <v>0</v>
      </c>
      <c r="AA226" s="106">
        <f t="shared" si="1044"/>
        <v>0</v>
      </c>
      <c r="AB226" s="118">
        <f t="shared" si="1016"/>
        <v>0</v>
      </c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  <c r="AM226" s="106"/>
      <c r="AN226" s="106"/>
      <c r="AO226" s="106"/>
    </row>
    <row r="227" spans="1:41" hidden="1" outlineLevel="1">
      <c r="A227" s="58">
        <f t="shared" ref="A227" si="1045">+SUM(A228:A229)</f>
        <v>0</v>
      </c>
      <c r="B227" s="58">
        <f t="shared" ref="B227" si="1046">+SUM(B228:B229)</f>
        <v>0</v>
      </c>
      <c r="C227" s="58">
        <f t="shared" ref="C227" si="1047">+SUM(C228:C229)</f>
        <v>0</v>
      </c>
      <c r="D227" s="58">
        <f t="shared" ref="D227" si="1048">+SUM(D228:D229)</f>
        <v>0</v>
      </c>
      <c r="E227" s="58">
        <f t="shared" ref="E227" si="1049">+SUM(E228:E229)</f>
        <v>0</v>
      </c>
      <c r="F227" s="58">
        <f t="shared" ref="F227" si="1050">+SUM(F228:F229)</f>
        <v>0</v>
      </c>
      <c r="G227" s="58">
        <f t="shared" ref="G227" si="1051">+SUM(G228:G229)</f>
        <v>0</v>
      </c>
      <c r="H227" s="58">
        <f t="shared" ref="H227" si="1052">+SUM(H228:H229)</f>
        <v>0</v>
      </c>
      <c r="I227" s="58">
        <f t="shared" ref="I227" si="1053">+SUM(I228:I229)</f>
        <v>0</v>
      </c>
      <c r="J227" s="58">
        <f t="shared" ref="J227" si="1054">+SUM(J228:J229)</f>
        <v>0</v>
      </c>
      <c r="K227" s="58">
        <f t="shared" ref="K227" si="1055">+SUM(K228:K229)</f>
        <v>0</v>
      </c>
      <c r="L227" s="58">
        <f t="shared" ref="L227" si="1056">+SUM(L228:L229)</f>
        <v>0</v>
      </c>
      <c r="M227" s="58">
        <f t="shared" ref="M227" si="1057">+M228+M229</f>
        <v>0</v>
      </c>
      <c r="N227" s="20" t="s">
        <v>190</v>
      </c>
      <c r="O227" s="58">
        <f t="shared" ref="O227:AA227" si="1058">+SUM(O228:O229)</f>
        <v>0</v>
      </c>
      <c r="P227" s="58">
        <f t="shared" si="1058"/>
        <v>0</v>
      </c>
      <c r="Q227" s="58">
        <f t="shared" si="1058"/>
        <v>0</v>
      </c>
      <c r="R227" s="58">
        <f t="shared" si="1058"/>
        <v>0</v>
      </c>
      <c r="S227" s="58">
        <f t="shared" si="1058"/>
        <v>0</v>
      </c>
      <c r="T227" s="58">
        <f t="shared" si="1058"/>
        <v>0</v>
      </c>
      <c r="U227" s="58">
        <f t="shared" si="1058"/>
        <v>0</v>
      </c>
      <c r="V227" s="58">
        <f t="shared" si="1058"/>
        <v>0</v>
      </c>
      <c r="W227" s="58">
        <f t="shared" si="1058"/>
        <v>0</v>
      </c>
      <c r="X227" s="58">
        <f t="shared" si="1058"/>
        <v>0</v>
      </c>
      <c r="Y227" s="58">
        <f t="shared" si="1058"/>
        <v>0</v>
      </c>
      <c r="Z227" s="58">
        <f t="shared" si="1058"/>
        <v>0</v>
      </c>
      <c r="AA227" s="58">
        <f t="shared" si="1058"/>
        <v>0</v>
      </c>
      <c r="AB227" s="118">
        <f t="shared" si="1016"/>
        <v>0</v>
      </c>
      <c r="AC227" s="58">
        <f t="shared" ref="AC227" si="1059">+SUM(AC228:AC229)</f>
        <v>0</v>
      </c>
      <c r="AD227" s="58">
        <f t="shared" ref="AD227" si="1060">+SUM(AD228:AD229)</f>
        <v>0</v>
      </c>
      <c r="AE227" s="58">
        <f t="shared" ref="AE227" si="1061">+SUM(AE228:AE229)</f>
        <v>0</v>
      </c>
      <c r="AF227" s="58">
        <f t="shared" ref="AF227" si="1062">+SUM(AF228:AF229)</f>
        <v>0</v>
      </c>
      <c r="AG227" s="58">
        <f t="shared" ref="AG227" si="1063">+SUM(AG228:AG229)</f>
        <v>0</v>
      </c>
      <c r="AH227" s="58">
        <f t="shared" ref="AH227" si="1064">+SUM(AH228:AH229)</f>
        <v>0</v>
      </c>
      <c r="AI227" s="58">
        <f t="shared" ref="AI227" si="1065">+SUM(AI228:AI229)</f>
        <v>0</v>
      </c>
      <c r="AJ227" s="58">
        <f t="shared" ref="AJ227" si="1066">+SUM(AJ228:AJ229)</f>
        <v>0</v>
      </c>
      <c r="AK227" s="58">
        <f t="shared" ref="AK227" si="1067">+SUM(AK228:AK229)</f>
        <v>0</v>
      </c>
      <c r="AL227" s="58">
        <f t="shared" ref="AL227" si="1068">+SUM(AL228:AL229)</f>
        <v>0</v>
      </c>
      <c r="AM227" s="58">
        <f t="shared" ref="AM227" si="1069">+SUM(AM228:AM229)</f>
        <v>0</v>
      </c>
      <c r="AN227" s="58">
        <f t="shared" ref="AN227" si="1070">+SUM(AN228:AN229)</f>
        <v>0</v>
      </c>
      <c r="AO227" s="58">
        <f t="shared" ref="AO227" si="1071">+SUM(AO228:AO229)</f>
        <v>0</v>
      </c>
    </row>
    <row r="228" spans="1:41" hidden="1" outlineLevel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>
        <f t="shared" ref="M228:M229" si="1072">+SUM(A228:L228)</f>
        <v>0</v>
      </c>
      <c r="N228" s="16" t="s">
        <v>191</v>
      </c>
      <c r="O228" s="106">
        <f>+VLOOKUP($N228,'Jan-25'!A:J,3,0)</f>
        <v>0</v>
      </c>
      <c r="P228" s="106">
        <f>+VLOOKUP($N228,'Feb-25'!A:J,3,0)</f>
        <v>0</v>
      </c>
      <c r="Q228" s="106">
        <f>+VLOOKUP($N228,'Mar-25'!A:J,3,0)</f>
        <v>0</v>
      </c>
      <c r="R228" s="106">
        <f>+VLOOKUP($N228,'Apr-25'!A:J,3,0)</f>
        <v>0</v>
      </c>
      <c r="S228" s="106">
        <f>+VLOOKUP($N228,'May-25'!A:J,3,0)</f>
        <v>0</v>
      </c>
      <c r="T228" s="106">
        <f>+VLOOKUP($N228,'June-25'!A:J,3,0)</f>
        <v>0</v>
      </c>
      <c r="U228" s="106">
        <f>+VLOOKUP($N228,'July-25'!A:J,3,0)</f>
        <v>0</v>
      </c>
      <c r="V228" s="106">
        <f>+VLOOKUP($N228,'Aug-25'!A:J,3,0)</f>
        <v>0</v>
      </c>
      <c r="W228" s="106">
        <f>+VLOOKUP($N228,'Sep-25'!A:J,3,0)</f>
        <v>0</v>
      </c>
      <c r="X228" s="106">
        <f>+VLOOKUP($N228,'Oct-25'!A:J,3,0)</f>
        <v>0</v>
      </c>
      <c r="Y228" s="106">
        <f>+VLOOKUP($N228,'Nov-25'!A:J,3,0)</f>
        <v>0</v>
      </c>
      <c r="Z228" s="106">
        <f>+VLOOKUP($N228,'Dec-25'!A:J,3,0)</f>
        <v>0</v>
      </c>
      <c r="AA228" s="106">
        <f t="shared" ref="AA228:AA229" si="1073">+SUM(O228:Z228)</f>
        <v>0</v>
      </c>
      <c r="AB228" s="118">
        <f t="shared" si="1016"/>
        <v>0</v>
      </c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  <c r="AM228" s="106"/>
      <c r="AN228" s="106"/>
      <c r="AO228" s="106"/>
    </row>
    <row r="229" spans="1:41" hidden="1" outlineLevel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>
        <f t="shared" si="1072"/>
        <v>0</v>
      </c>
      <c r="N229" s="16" t="s">
        <v>192</v>
      </c>
      <c r="O229" s="106">
        <f>+VLOOKUP($N229,'Jan-25'!A:J,3,0)</f>
        <v>0</v>
      </c>
      <c r="P229" s="106">
        <f>+VLOOKUP($N229,'Feb-25'!A:J,3,0)</f>
        <v>0</v>
      </c>
      <c r="Q229" s="106">
        <f>+VLOOKUP($N229,'Mar-25'!A:J,3,0)</f>
        <v>0</v>
      </c>
      <c r="R229" s="106">
        <f>+VLOOKUP($N229,'Apr-25'!A:J,3,0)</f>
        <v>0</v>
      </c>
      <c r="S229" s="106">
        <f>+VLOOKUP($N229,'May-25'!A:J,3,0)</f>
        <v>0</v>
      </c>
      <c r="T229" s="106">
        <f>+VLOOKUP($N229,'June-25'!A:J,3,0)</f>
        <v>0</v>
      </c>
      <c r="U229" s="106">
        <f>+VLOOKUP($N229,'July-25'!A:J,3,0)</f>
        <v>0</v>
      </c>
      <c r="V229" s="106">
        <f>+VLOOKUP($N229,'Aug-25'!A:J,3,0)</f>
        <v>0</v>
      </c>
      <c r="W229" s="106">
        <f>+VLOOKUP($N229,'Sep-25'!A:J,3,0)</f>
        <v>0</v>
      </c>
      <c r="X229" s="106">
        <f>+VLOOKUP($N229,'Oct-25'!A:J,3,0)</f>
        <v>0</v>
      </c>
      <c r="Y229" s="106">
        <f>+VLOOKUP($N229,'Nov-25'!A:J,3,0)</f>
        <v>0</v>
      </c>
      <c r="Z229" s="106">
        <f>+VLOOKUP($N229,'Dec-25'!A:J,3,0)</f>
        <v>0</v>
      </c>
      <c r="AA229" s="106">
        <f t="shared" si="1073"/>
        <v>0</v>
      </c>
      <c r="AB229" s="118">
        <f t="shared" si="1016"/>
        <v>0</v>
      </c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</row>
    <row r="230" spans="1:41" collapsed="1">
      <c r="A230" s="58">
        <f t="shared" ref="A230:M230" si="1074">+A218+A156+A115+A104+A75</f>
        <v>38293.185897435898</v>
      </c>
      <c r="B230" s="58">
        <f t="shared" si="1074"/>
        <v>42893.185897435898</v>
      </c>
      <c r="C230" s="58">
        <f t="shared" si="1074"/>
        <v>49418.185897435898</v>
      </c>
      <c r="D230" s="58">
        <f t="shared" si="1074"/>
        <v>37159.185897435898</v>
      </c>
      <c r="E230" s="58">
        <f t="shared" si="1074"/>
        <v>39800.185897435898</v>
      </c>
      <c r="F230" s="58">
        <f t="shared" si="1074"/>
        <v>35800.185897435898</v>
      </c>
      <c r="G230" s="58">
        <f t="shared" si="1074"/>
        <v>37000.185897435898</v>
      </c>
      <c r="H230" s="58">
        <f t="shared" si="1074"/>
        <v>35800.185897435898</v>
      </c>
      <c r="I230" s="58">
        <f t="shared" si="1074"/>
        <v>38200.185897435898</v>
      </c>
      <c r="J230" s="58">
        <f t="shared" si="1074"/>
        <v>35800.185897435898</v>
      </c>
      <c r="K230" s="58">
        <f t="shared" si="1074"/>
        <v>35800.185897435898</v>
      </c>
      <c r="L230" s="58">
        <f t="shared" si="1074"/>
        <v>36959.185897435898</v>
      </c>
      <c r="M230" s="58">
        <f t="shared" si="1074"/>
        <v>462924.23076923075</v>
      </c>
      <c r="N230" s="14" t="s">
        <v>193</v>
      </c>
      <c r="O230" s="58">
        <f t="shared" ref="O230:AA230" si="1075">+O218+O156+O115+O104+O75</f>
        <v>45059.360000000001</v>
      </c>
      <c r="P230" s="58">
        <f t="shared" si="1075"/>
        <v>36859</v>
      </c>
      <c r="Q230" s="58">
        <f t="shared" si="1075"/>
        <v>53350.01</v>
      </c>
      <c r="R230" s="58">
        <f t="shared" si="1075"/>
        <v>36950.01</v>
      </c>
      <c r="S230" s="58">
        <f t="shared" si="1075"/>
        <v>42650</v>
      </c>
      <c r="T230" s="58">
        <f t="shared" si="1075"/>
        <v>40150</v>
      </c>
      <c r="U230" s="58">
        <f t="shared" si="1075"/>
        <v>40750.019999999997</v>
      </c>
      <c r="V230" s="58">
        <f t="shared" si="1075"/>
        <v>46200</v>
      </c>
      <c r="W230" s="58">
        <f t="shared" si="1075"/>
        <v>47154.48717948718</v>
      </c>
      <c r="X230" s="58">
        <f t="shared" si="1075"/>
        <v>85854.487179487172</v>
      </c>
      <c r="Y230" s="58">
        <f t="shared" si="1075"/>
        <v>0</v>
      </c>
      <c r="Z230" s="58">
        <f t="shared" si="1075"/>
        <v>0</v>
      </c>
      <c r="AA230" s="58">
        <f t="shared" si="1075"/>
        <v>474977.3743589744</v>
      </c>
      <c r="AB230" s="118">
        <f t="shared" si="1016"/>
        <v>0.31990105644906963</v>
      </c>
      <c r="AC230" s="58">
        <f t="shared" ref="AC230:AO230" si="1076">+AC218+AC156+AC115+AC104+AC75</f>
        <v>68360.653846153844</v>
      </c>
      <c r="AD230" s="58">
        <f t="shared" si="1076"/>
        <v>66225.653846153844</v>
      </c>
      <c r="AE230" s="58">
        <f t="shared" si="1076"/>
        <v>71594.653846153844</v>
      </c>
      <c r="AF230" s="58">
        <f t="shared" si="1076"/>
        <v>68546.153846153844</v>
      </c>
      <c r="AG230" s="58">
        <f t="shared" si="1076"/>
        <v>66271.153846153844</v>
      </c>
      <c r="AH230" s="58">
        <f t="shared" si="1076"/>
        <v>67321.153846153844</v>
      </c>
      <c r="AI230" s="58">
        <f t="shared" si="1076"/>
        <v>67933.653846153844</v>
      </c>
      <c r="AJ230" s="58">
        <f t="shared" si="1076"/>
        <v>67496.153846153844</v>
      </c>
      <c r="AK230" s="58">
        <f t="shared" si="1076"/>
        <v>67496.153846153844</v>
      </c>
      <c r="AL230" s="58">
        <f t="shared" si="1076"/>
        <v>65046.153846153844</v>
      </c>
      <c r="AM230" s="58">
        <f t="shared" si="1076"/>
        <v>67321.153846153844</v>
      </c>
      <c r="AN230" s="58">
        <f t="shared" si="1076"/>
        <v>69333.653846153844</v>
      </c>
      <c r="AO230" s="58">
        <f t="shared" si="1076"/>
        <v>812946.34615384624</v>
      </c>
    </row>
    <row r="231" spans="1:41">
      <c r="A231" s="108">
        <f t="shared" ref="A231" si="1077">IFERROR(A230/A70,0)</f>
        <v>4.9383358908194591E-2</v>
      </c>
      <c r="B231" s="108">
        <f t="shared" ref="B231" si="1078">IFERROR(B230/B70,0)</f>
        <v>4.3688650941430582E-2</v>
      </c>
      <c r="C231" s="108">
        <f t="shared" ref="C231" si="1079">IFERROR(C230/C70,0)</f>
        <v>2.8252006917957293E-2</v>
      </c>
      <c r="D231" s="108">
        <f t="shared" ref="D231" si="1080">IFERROR(D230/D70,0)</f>
        <v>5.6885940436567979E-2</v>
      </c>
      <c r="E231" s="108">
        <f t="shared" ref="E231" si="1081">IFERROR(E230/E70,0)</f>
        <v>3.6615639849876848E-2</v>
      </c>
      <c r="F231" s="108">
        <f t="shared" ref="F231" si="1082">IFERROR(F230/F70,0)</f>
        <v>4.0138742427703995E-2</v>
      </c>
      <c r="G231" s="108">
        <f t="shared" ref="G231" si="1083">IFERROR(G230/G70,0)</f>
        <v>5.7437305745385872E-2</v>
      </c>
      <c r="H231" s="108">
        <f t="shared" ref="H231" si="1084">IFERROR(H230/H70,0)</f>
        <v>3.2384358563975993E-2</v>
      </c>
      <c r="I231" s="108">
        <f t="shared" ref="I231" si="1085">IFERROR(I230/I70,0)</f>
        <v>0.10832356766367787</v>
      </c>
      <c r="J231" s="108">
        <f t="shared" ref="J231" si="1086">IFERROR(J230/J70,0)</f>
        <v>3.194335709969448E-2</v>
      </c>
      <c r="K231" s="108">
        <f t="shared" ref="K231" si="1087">IFERROR(K230/K70,0)</f>
        <v>3.1168633548809537E-2</v>
      </c>
      <c r="L231" s="108">
        <f t="shared" ref="L231:M231" si="1088">IFERROR(L230/L70,0)</f>
        <v>2.3400766844974542E-2</v>
      </c>
      <c r="M231" s="108">
        <f t="shared" si="1088"/>
        <v>3.8291224317822517E-2</v>
      </c>
      <c r="N231" s="15" t="s">
        <v>58</v>
      </c>
      <c r="O231" s="108">
        <f t="shared" ref="O231:AA231" si="1089">IFERROR(O230/O70,0)</f>
        <v>2.7851593033615611E-2</v>
      </c>
      <c r="P231" s="108">
        <f t="shared" si="1089"/>
        <v>5.6542728831954908E-2</v>
      </c>
      <c r="Q231" s="108">
        <f t="shared" si="1089"/>
        <v>6.6353929730219016E-2</v>
      </c>
      <c r="R231" s="108">
        <f t="shared" si="1089"/>
        <v>2.6260066006488079E-2</v>
      </c>
      <c r="S231" s="108">
        <f t="shared" si="1089"/>
        <v>3.0042079690965961E-2</v>
      </c>
      <c r="T231" s="108">
        <f t="shared" si="1089"/>
        <v>3.8384322324598152E-2</v>
      </c>
      <c r="U231" s="108">
        <f t="shared" si="1089"/>
        <v>2.8143969004216101E-2</v>
      </c>
      <c r="V231" s="108">
        <f t="shared" si="1089"/>
        <v>2.8319701626565968E-2</v>
      </c>
      <c r="W231" s="108">
        <f t="shared" si="1089"/>
        <v>3.1979328453578475E-2</v>
      </c>
      <c r="X231" s="108">
        <f t="shared" si="1089"/>
        <v>4.6980719901101024E-2</v>
      </c>
      <c r="Y231" s="108">
        <f t="shared" si="1089"/>
        <v>0</v>
      </c>
      <c r="Z231" s="108">
        <f t="shared" si="1089"/>
        <v>0</v>
      </c>
      <c r="AA231" s="108">
        <f t="shared" si="1089"/>
        <v>3.5638224418376142E-2</v>
      </c>
      <c r="AB231" s="118">
        <f t="shared" si="1016"/>
        <v>-6.1599839275127792E-3</v>
      </c>
      <c r="AC231" s="108">
        <f t="shared" ref="AC231" si="1090">IFERROR(AC230/AC70,0)</f>
        <v>4.7177814938684504E-2</v>
      </c>
      <c r="AD231" s="108">
        <f t="shared" ref="AD231" si="1091">IFERROR(AD230/AD70,0)</f>
        <v>4.7713007093770778E-2</v>
      </c>
      <c r="AE231" s="108">
        <f t="shared" ref="AE231" si="1092">IFERROR(AE230/AE70,0)</f>
        <v>4.1746153846153843E-2</v>
      </c>
      <c r="AF231" s="108">
        <f t="shared" ref="AF231" si="1093">IFERROR(AF230/AF70,0)</f>
        <v>4.6440483635605587E-2</v>
      </c>
      <c r="AG231" s="108">
        <f t="shared" ref="AG231" si="1094">IFERROR(AG230/AG70,0)</f>
        <v>4.5565974866717436E-2</v>
      </c>
      <c r="AH231" s="108">
        <f t="shared" ref="AH231" si="1095">IFERROR(AH230/AH70,0)</f>
        <v>4.8169114085685347E-2</v>
      </c>
      <c r="AI231" s="108">
        <f t="shared" ref="AI231" si="1096">IFERROR(AI230/AI70,0)</f>
        <v>4.7281217877334247E-2</v>
      </c>
      <c r="AJ231" s="108">
        <f t="shared" ref="AJ231" si="1097">IFERROR(AJ230/AJ70,0)</f>
        <v>4.4034547133451098E-2</v>
      </c>
      <c r="AK231" s="108">
        <f t="shared" ref="AK231" si="1098">IFERROR(AK230/AK70,0)</f>
        <v>4.4034547133451098E-2</v>
      </c>
      <c r="AL231" s="108">
        <f t="shared" ref="AL231" si="1099">IFERROR(AL230/AL70,0)</f>
        <v>4.7271914132379245E-2</v>
      </c>
      <c r="AM231" s="108">
        <f t="shared" ref="AM231" si="1100">IFERROR(AM230/AM70,0)</f>
        <v>4.8169114085685347E-2</v>
      </c>
      <c r="AN231" s="108">
        <f t="shared" ref="AN231" si="1101">IFERROR(AN230/AN70,0)</f>
        <v>4.2010211976583764E-2</v>
      </c>
      <c r="AO231" s="108">
        <f t="shared" ref="AO231" si="1102">IFERROR(AO230/AO70,0)</f>
        <v>4.565472785930038E-2</v>
      </c>
    </row>
    <row r="232" spans="1:4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18">
        <f t="shared" si="1016"/>
        <v>0</v>
      </c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</row>
    <row r="233" spans="1:41">
      <c r="A233" s="58">
        <f t="shared" ref="A233:M233" si="1103">+A71-A230</f>
        <v>106397.714102564</v>
      </c>
      <c r="B233" s="58">
        <f t="shared" si="1103"/>
        <v>54400.974102563901</v>
      </c>
      <c r="C233" s="58">
        <f t="shared" si="1103"/>
        <v>213353.15410256441</v>
      </c>
      <c r="D233" s="58">
        <f t="shared" si="1103"/>
        <v>51066.734102564085</v>
      </c>
      <c r="E233" s="58">
        <f t="shared" si="1103"/>
        <v>141425.0541025642</v>
      </c>
      <c r="F233" s="58">
        <f t="shared" si="1103"/>
        <v>108075.4441025641</v>
      </c>
      <c r="G233" s="58">
        <f t="shared" si="1103"/>
        <v>68858.954102564574</v>
      </c>
      <c r="H233" s="58">
        <f t="shared" si="1103"/>
        <v>189223.60410256378</v>
      </c>
      <c r="I233" s="58">
        <f t="shared" si="1103"/>
        <v>35974.474102564047</v>
      </c>
      <c r="J233" s="58">
        <f t="shared" si="1103"/>
        <v>139748.56410256386</v>
      </c>
      <c r="K233" s="58">
        <f t="shared" si="1103"/>
        <v>153819.67410256408</v>
      </c>
      <c r="L233" s="58">
        <f t="shared" si="1103"/>
        <v>476289.26410256361</v>
      </c>
      <c r="M233" s="58">
        <f t="shared" si="1103"/>
        <v>1738633.609230771</v>
      </c>
      <c r="N233" s="14" t="s">
        <v>194</v>
      </c>
      <c r="O233" s="58">
        <f t="shared" ref="O233:AA233" si="1104">+O71-O230</f>
        <v>206553.49000000011</v>
      </c>
      <c r="P233" s="58">
        <f t="shared" si="1104"/>
        <v>139097.97000000015</v>
      </c>
      <c r="Q233" s="58">
        <f t="shared" si="1104"/>
        <v>110650.39999999991</v>
      </c>
      <c r="R233" s="58">
        <f t="shared" si="1104"/>
        <v>245849.79000000027</v>
      </c>
      <c r="S233" s="58">
        <f t="shared" si="1104"/>
        <v>213266.16000000166</v>
      </c>
      <c r="T233" s="58">
        <f t="shared" si="1104"/>
        <v>361216.54999999993</v>
      </c>
      <c r="U233" s="58">
        <f t="shared" si="1104"/>
        <v>139437.12999999998</v>
      </c>
      <c r="V233" s="58">
        <f t="shared" si="1104"/>
        <v>240885.54000000167</v>
      </c>
      <c r="W233" s="58">
        <f t="shared" si="1104"/>
        <v>127434.16282051342</v>
      </c>
      <c r="X233" s="58">
        <f t="shared" si="1104"/>
        <v>339274.90282051271</v>
      </c>
      <c r="Y233" s="58">
        <f t="shared" si="1104"/>
        <v>0</v>
      </c>
      <c r="Z233" s="58">
        <f t="shared" si="1104"/>
        <v>0</v>
      </c>
      <c r="AA233" s="58">
        <f t="shared" si="1104"/>
        <v>2123666.0956410295</v>
      </c>
      <c r="AB233" s="118">
        <f t="shared" si="1016"/>
        <v>0.140596792434939</v>
      </c>
      <c r="AC233" s="58">
        <f t="shared" ref="AC233:AO233" si="1105">+AC71-AC230</f>
        <v>341489.34615384613</v>
      </c>
      <c r="AD233" s="58">
        <f t="shared" si="1105"/>
        <v>313124.34615384613</v>
      </c>
      <c r="AE233" s="58">
        <f t="shared" si="1105"/>
        <v>384455.34615384613</v>
      </c>
      <c r="AF233" s="58">
        <f t="shared" si="1105"/>
        <v>343953.84615384613</v>
      </c>
      <c r="AG233" s="58">
        <f t="shared" si="1105"/>
        <v>313728.84615384613</v>
      </c>
      <c r="AH233" s="58">
        <f t="shared" si="1105"/>
        <v>327678.84615384613</v>
      </c>
      <c r="AI233" s="58">
        <f t="shared" si="1105"/>
        <v>335816.34615384613</v>
      </c>
      <c r="AJ233" s="58">
        <f t="shared" si="1105"/>
        <v>330003.84615384613</v>
      </c>
      <c r="AK233" s="58">
        <f t="shared" si="1105"/>
        <v>330003.84615384613</v>
      </c>
      <c r="AL233" s="58">
        <f t="shared" si="1105"/>
        <v>297453.84615384613</v>
      </c>
      <c r="AM233" s="58">
        <f t="shared" si="1105"/>
        <v>327678.84615384613</v>
      </c>
      <c r="AN233" s="58">
        <f t="shared" si="1105"/>
        <v>354416.34615384613</v>
      </c>
      <c r="AO233" s="58">
        <f t="shared" si="1105"/>
        <v>3999803.653846154</v>
      </c>
    </row>
    <row r="234" spans="1:41">
      <c r="A234" s="108">
        <f t="shared" ref="A234:M234" si="1106">IFERROR(A233/A70,0)</f>
        <v>0.13721178793040095</v>
      </c>
      <c r="B234" s="108">
        <f t="shared" si="1106"/>
        <v>5.5409854006269924E-2</v>
      </c>
      <c r="C234" s="108">
        <f t="shared" si="1106"/>
        <v>0.12197240097367491</v>
      </c>
      <c r="D234" s="108">
        <f t="shared" si="1106"/>
        <v>7.8176610285990364E-2</v>
      </c>
      <c r="E234" s="108">
        <f t="shared" si="1106"/>
        <v>0.13010916230676331</v>
      </c>
      <c r="F234" s="108">
        <f t="shared" si="1106"/>
        <v>0.12117290189555247</v>
      </c>
      <c r="G234" s="108">
        <f t="shared" si="1106"/>
        <v>0.10689332240275527</v>
      </c>
      <c r="H234" s="108">
        <f t="shared" si="1106"/>
        <v>0.17116908447294291</v>
      </c>
      <c r="I234" s="108">
        <f t="shared" si="1106"/>
        <v>0.10201215748208947</v>
      </c>
      <c r="J234" s="108">
        <f t="shared" si="1106"/>
        <v>0.12469315941785288</v>
      </c>
      <c r="K234" s="108">
        <f t="shared" si="1106"/>
        <v>0.13391966925634069</v>
      </c>
      <c r="L234" s="108">
        <f t="shared" si="1106"/>
        <v>0.30156329879554605</v>
      </c>
      <c r="M234" s="108">
        <f t="shared" si="1106"/>
        <v>0.14381275619756526</v>
      </c>
      <c r="N234" s="15" t="s">
        <v>58</v>
      </c>
      <c r="O234" s="108">
        <f t="shared" ref="O234:AA234" si="1107">IFERROR(O233/O70,0)</f>
        <v>0.12767255778051428</v>
      </c>
      <c r="P234" s="108">
        <f t="shared" si="1107"/>
        <v>0.21338014592868518</v>
      </c>
      <c r="Q234" s="108">
        <f t="shared" si="1107"/>
        <v>0.13762113383335112</v>
      </c>
      <c r="R234" s="108">
        <f t="shared" si="1107"/>
        <v>0.1747234090892327</v>
      </c>
      <c r="S234" s="108">
        <f t="shared" si="1107"/>
        <v>0.15022178133895303</v>
      </c>
      <c r="T234" s="108">
        <f t="shared" si="1107"/>
        <v>0.34533131965577391</v>
      </c>
      <c r="U234" s="108">
        <f t="shared" si="1107"/>
        <v>9.6302143281324776E-2</v>
      </c>
      <c r="V234" s="108">
        <f t="shared" si="1107"/>
        <v>0.14765815192541706</v>
      </c>
      <c r="W234" s="108">
        <f t="shared" si="1107"/>
        <v>8.642356629883545E-2</v>
      </c>
      <c r="X234" s="108">
        <f t="shared" si="1107"/>
        <v>0.18565574965884954</v>
      </c>
      <c r="Y234" s="108">
        <f t="shared" si="1107"/>
        <v>0</v>
      </c>
      <c r="Z234" s="108">
        <f t="shared" si="1107"/>
        <v>0</v>
      </c>
      <c r="AA234" s="108">
        <f t="shared" si="1107"/>
        <v>0.15934167181814449</v>
      </c>
      <c r="AB234" s="118">
        <f t="shared" si="1016"/>
        <v>-0.14116991649706459</v>
      </c>
      <c r="AC234" s="108">
        <f t="shared" ref="AC234:AO234" si="1108">IFERROR(AC233/AC70,0)</f>
        <v>0.23567242660720919</v>
      </c>
      <c r="AD234" s="108">
        <f t="shared" si="1108"/>
        <v>0.22559390933274218</v>
      </c>
      <c r="AE234" s="108">
        <f t="shared" si="1108"/>
        <v>0.22417221350078492</v>
      </c>
      <c r="AF234" s="108">
        <f t="shared" si="1108"/>
        <v>0.23303106107984156</v>
      </c>
      <c r="AG234" s="108">
        <f t="shared" si="1108"/>
        <v>0.21571015274604383</v>
      </c>
      <c r="AH234" s="108">
        <f t="shared" si="1108"/>
        <v>0.2344582471049271</v>
      </c>
      <c r="AI234" s="108">
        <f t="shared" si="1108"/>
        <v>0.23372518524070582</v>
      </c>
      <c r="AJ234" s="108">
        <f t="shared" si="1108"/>
        <v>0.21529478480809378</v>
      </c>
      <c r="AK234" s="108">
        <f t="shared" si="1108"/>
        <v>0.21529478480809378</v>
      </c>
      <c r="AL234" s="108">
        <f t="shared" si="1108"/>
        <v>0.21617285330948119</v>
      </c>
      <c r="AM234" s="108">
        <f t="shared" si="1108"/>
        <v>0.2344582471049271</v>
      </c>
      <c r="AN234" s="108">
        <f t="shared" si="1108"/>
        <v>0.21474572597785152</v>
      </c>
      <c r="AO234" s="108">
        <f t="shared" si="1108"/>
        <v>0.22462730556688348</v>
      </c>
    </row>
    <row r="235" spans="1:4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18">
        <f t="shared" si="1016"/>
        <v>0</v>
      </c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</row>
    <row r="236" spans="1:41" ht="17.25">
      <c r="A236" s="58">
        <f t="shared" ref="A236" si="1109">+SUM(A237:A239)</f>
        <v>0</v>
      </c>
      <c r="B236" s="58">
        <f t="shared" ref="B236" si="1110">+SUM(B237:B239)</f>
        <v>0</v>
      </c>
      <c r="C236" s="58">
        <f t="shared" ref="C236" si="1111">+SUM(C237:C239)</f>
        <v>0</v>
      </c>
      <c r="D236" s="58">
        <f t="shared" ref="D236" si="1112">+SUM(D237:D239)</f>
        <v>0</v>
      </c>
      <c r="E236" s="58">
        <f t="shared" ref="E236" si="1113">+SUM(E237:E239)</f>
        <v>0</v>
      </c>
      <c r="F236" s="58">
        <f t="shared" ref="F236" si="1114">+SUM(F237:F239)</f>
        <v>0</v>
      </c>
      <c r="G236" s="58">
        <f t="shared" ref="G236" si="1115">+SUM(G237:G239)</f>
        <v>0</v>
      </c>
      <c r="H236" s="58">
        <f t="shared" ref="H236" si="1116">+SUM(H237:H239)</f>
        <v>0</v>
      </c>
      <c r="I236" s="58">
        <f t="shared" ref="I236" si="1117">+SUM(I237:I239)</f>
        <v>0</v>
      </c>
      <c r="J236" s="58">
        <f t="shared" ref="J236" si="1118">+SUM(J237:J239)</f>
        <v>0</v>
      </c>
      <c r="K236" s="58">
        <f t="shared" ref="K236" si="1119">+SUM(K237:K239)</f>
        <v>0</v>
      </c>
      <c r="L236" s="58">
        <f t="shared" ref="L236:M236" si="1120">+SUM(L237:L239)</f>
        <v>0</v>
      </c>
      <c r="M236" s="58">
        <f t="shared" si="1120"/>
        <v>0</v>
      </c>
      <c r="N236" s="17" t="s">
        <v>195</v>
      </c>
      <c r="O236" s="58">
        <f t="shared" ref="O236:AA236" si="1121">+SUM(O237:O239)</f>
        <v>0</v>
      </c>
      <c r="P236" s="58">
        <f t="shared" si="1121"/>
        <v>0</v>
      </c>
      <c r="Q236" s="58">
        <f t="shared" si="1121"/>
        <v>0</v>
      </c>
      <c r="R236" s="58">
        <f t="shared" si="1121"/>
        <v>0</v>
      </c>
      <c r="S236" s="58">
        <f t="shared" si="1121"/>
        <v>0</v>
      </c>
      <c r="T236" s="58">
        <f t="shared" si="1121"/>
        <v>0</v>
      </c>
      <c r="U236" s="58">
        <f t="shared" si="1121"/>
        <v>0</v>
      </c>
      <c r="V236" s="58">
        <f t="shared" si="1121"/>
        <v>0</v>
      </c>
      <c r="W236" s="58">
        <f t="shared" si="1121"/>
        <v>0</v>
      </c>
      <c r="X236" s="58">
        <f t="shared" si="1121"/>
        <v>0</v>
      </c>
      <c r="Y236" s="58">
        <f t="shared" si="1121"/>
        <v>0</v>
      </c>
      <c r="Z236" s="58">
        <f t="shared" si="1121"/>
        <v>0</v>
      </c>
      <c r="AA236" s="58">
        <f t="shared" si="1121"/>
        <v>0</v>
      </c>
      <c r="AB236" s="118">
        <f t="shared" si="1016"/>
        <v>0</v>
      </c>
      <c r="AC236" s="58">
        <f t="shared" ref="AC236" si="1122">+SUM(AC237:AC239)</f>
        <v>0</v>
      </c>
      <c r="AD236" s="58">
        <f t="shared" ref="AD236" si="1123">+SUM(AD237:AD239)</f>
        <v>0</v>
      </c>
      <c r="AE236" s="58">
        <f t="shared" ref="AE236" si="1124">+SUM(AE237:AE239)</f>
        <v>0</v>
      </c>
      <c r="AF236" s="58">
        <f t="shared" ref="AF236" si="1125">+SUM(AF237:AF239)</f>
        <v>0</v>
      </c>
      <c r="AG236" s="58">
        <f t="shared" ref="AG236" si="1126">+SUM(AG237:AG239)</f>
        <v>0</v>
      </c>
      <c r="AH236" s="58">
        <f t="shared" ref="AH236" si="1127">+SUM(AH237:AH239)</f>
        <v>0</v>
      </c>
      <c r="AI236" s="58">
        <f t="shared" ref="AI236" si="1128">+SUM(AI237:AI239)</f>
        <v>0</v>
      </c>
      <c r="AJ236" s="58">
        <f t="shared" ref="AJ236" si="1129">+SUM(AJ237:AJ239)</f>
        <v>0</v>
      </c>
      <c r="AK236" s="58">
        <f t="shared" ref="AK236" si="1130">+SUM(AK237:AK239)</f>
        <v>0</v>
      </c>
      <c r="AL236" s="58">
        <f t="shared" ref="AL236" si="1131">+SUM(AL237:AL239)</f>
        <v>0</v>
      </c>
      <c r="AM236" s="58">
        <f t="shared" ref="AM236" si="1132">+SUM(AM237:AM239)</f>
        <v>0</v>
      </c>
      <c r="AN236" s="58">
        <f t="shared" ref="AN236" si="1133">+SUM(AN237:AN239)</f>
        <v>0</v>
      </c>
      <c r="AO236" s="58">
        <f t="shared" ref="AO236" si="1134">+SUM(AO237:AO239)</f>
        <v>0</v>
      </c>
    </row>
    <row r="237" spans="1:41" hidden="1" outlineLevel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>
        <f t="shared" ref="M237:M239" si="1135">+SUM(A237:L237)</f>
        <v>0</v>
      </c>
      <c r="N237" s="21" t="s">
        <v>196</v>
      </c>
      <c r="O237" s="106">
        <f>+VLOOKUP($N237,'Jan-25'!A:J,3,0)</f>
        <v>0</v>
      </c>
      <c r="P237" s="106">
        <f>+VLOOKUP($N237,'Feb-25'!A:J,3,0)</f>
        <v>0</v>
      </c>
      <c r="Q237" s="106">
        <f>+VLOOKUP($N237,'Mar-25'!A:J,3,0)</f>
        <v>0</v>
      </c>
      <c r="R237" s="106">
        <f>+VLOOKUP($N237,'Apr-25'!A:J,3,0)</f>
        <v>0</v>
      </c>
      <c r="S237" s="106">
        <f>+VLOOKUP($N237,'May-25'!A:J,3,0)</f>
        <v>0</v>
      </c>
      <c r="T237" s="106">
        <f>+VLOOKUP($N237,'June-25'!A:J,3,0)</f>
        <v>0</v>
      </c>
      <c r="U237" s="106">
        <f>+VLOOKUP($N237,'July-25'!A:J,3,0)</f>
        <v>0</v>
      </c>
      <c r="V237" s="106">
        <f>+VLOOKUP($N237,'Aug-25'!A:J,3,0)</f>
        <v>0</v>
      </c>
      <c r="W237" s="106">
        <f>+VLOOKUP($N237,'Sep-25'!A:J,3,0)</f>
        <v>0</v>
      </c>
      <c r="X237" s="106">
        <f>+VLOOKUP($N237,'Oct-25'!A:J,3,0)</f>
        <v>0</v>
      </c>
      <c r="Y237" s="106">
        <f>+VLOOKUP($N237,'Nov-25'!A:J,3,0)</f>
        <v>0</v>
      </c>
      <c r="Z237" s="106">
        <f>+VLOOKUP($N237,'Dec-25'!A:J,3,0)</f>
        <v>0</v>
      </c>
      <c r="AA237" s="106">
        <f t="shared" ref="AA237:AA239" si="1136">+SUM(O237:Z237)</f>
        <v>0</v>
      </c>
      <c r="AB237" s="118">
        <f t="shared" si="1016"/>
        <v>0</v>
      </c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</row>
    <row r="238" spans="1:41" hidden="1" outlineLevel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>
        <f t="shared" si="1135"/>
        <v>0</v>
      </c>
      <c r="N238" s="21" t="s">
        <v>197</v>
      </c>
      <c r="O238" s="106">
        <f>+VLOOKUP($N238,'Jan-25'!A:J,3,0)</f>
        <v>0</v>
      </c>
      <c r="P238" s="106">
        <f>+VLOOKUP($N238,'Feb-25'!A:J,3,0)</f>
        <v>0</v>
      </c>
      <c r="Q238" s="106">
        <f>+VLOOKUP($N238,'Mar-25'!A:J,3,0)</f>
        <v>0</v>
      </c>
      <c r="R238" s="106">
        <f>+VLOOKUP($N238,'Apr-25'!A:J,3,0)</f>
        <v>0</v>
      </c>
      <c r="S238" s="106">
        <f>+VLOOKUP($N238,'May-25'!A:J,3,0)</f>
        <v>0</v>
      </c>
      <c r="T238" s="106">
        <f>+VLOOKUP($N238,'June-25'!A:J,3,0)</f>
        <v>0</v>
      </c>
      <c r="U238" s="106">
        <f>+VLOOKUP($N238,'July-25'!A:J,3,0)</f>
        <v>0</v>
      </c>
      <c r="V238" s="106">
        <f>+VLOOKUP($N238,'Aug-25'!A:J,3,0)</f>
        <v>0</v>
      </c>
      <c r="W238" s="106">
        <f>+VLOOKUP($N238,'Sep-25'!A:J,3,0)</f>
        <v>0</v>
      </c>
      <c r="X238" s="106">
        <f>+VLOOKUP($N238,'Oct-25'!A:J,3,0)</f>
        <v>0</v>
      </c>
      <c r="Y238" s="106">
        <f>+VLOOKUP($N238,'Nov-25'!A:J,3,0)</f>
        <v>0</v>
      </c>
      <c r="Z238" s="106">
        <f>+VLOOKUP($N238,'Dec-25'!A:J,3,0)</f>
        <v>0</v>
      </c>
      <c r="AA238" s="106">
        <f t="shared" si="1136"/>
        <v>0</v>
      </c>
      <c r="AB238" s="118">
        <f t="shared" si="1016"/>
        <v>0</v>
      </c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</row>
    <row r="239" spans="1:41" hidden="1" outlineLevel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>
        <f t="shared" si="1135"/>
        <v>0</v>
      </c>
      <c r="N239" s="21" t="s">
        <v>198</v>
      </c>
      <c r="O239" s="106">
        <f>+VLOOKUP($N239,'Jan-25'!A:J,3,0)</f>
        <v>0</v>
      </c>
      <c r="P239" s="106">
        <f>+VLOOKUP($N239,'Feb-25'!A:J,3,0)</f>
        <v>0</v>
      </c>
      <c r="Q239" s="106">
        <f>+VLOOKUP($N239,'Mar-25'!A:J,3,0)</f>
        <v>0</v>
      </c>
      <c r="R239" s="106">
        <f>+VLOOKUP($N239,'Apr-25'!A:J,3,0)</f>
        <v>0</v>
      </c>
      <c r="S239" s="106">
        <f>+VLOOKUP($N239,'May-25'!A:J,3,0)</f>
        <v>0</v>
      </c>
      <c r="T239" s="106">
        <f>+VLOOKUP($N239,'June-25'!A:J,3,0)</f>
        <v>0</v>
      </c>
      <c r="U239" s="106">
        <f>+VLOOKUP($N239,'July-25'!A:J,3,0)</f>
        <v>0</v>
      </c>
      <c r="V239" s="106">
        <f>+VLOOKUP($N239,'Aug-25'!A:J,3,0)</f>
        <v>0</v>
      </c>
      <c r="W239" s="106">
        <f>+VLOOKUP($N239,'Sep-25'!A:J,3,0)</f>
        <v>0</v>
      </c>
      <c r="X239" s="106">
        <f>+VLOOKUP($N239,'Oct-25'!A:J,3,0)</f>
        <v>0</v>
      </c>
      <c r="Y239" s="106">
        <f>+VLOOKUP($N239,'Nov-25'!A:J,3,0)</f>
        <v>0</v>
      </c>
      <c r="Z239" s="106">
        <f>+VLOOKUP($N239,'Dec-25'!A:J,3,0)</f>
        <v>0</v>
      </c>
      <c r="AA239" s="106">
        <f t="shared" si="1136"/>
        <v>0</v>
      </c>
      <c r="AB239" s="118">
        <f t="shared" si="1016"/>
        <v>0</v>
      </c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</row>
    <row r="240" spans="1:41" hidden="1" outlineLevel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18">
        <f t="shared" si="1016"/>
        <v>0</v>
      </c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</row>
    <row r="241" spans="1:41" ht="17.25" collapsed="1">
      <c r="A241" s="58">
        <f t="shared" ref="A241" si="1137">+SUM(A242:A247)</f>
        <v>0</v>
      </c>
      <c r="B241" s="58">
        <f t="shared" ref="B241" si="1138">+SUM(B242:B247)</f>
        <v>0</v>
      </c>
      <c r="C241" s="58">
        <f t="shared" ref="C241" si="1139">+SUM(C242:C247)</f>
        <v>0</v>
      </c>
      <c r="D241" s="58">
        <f t="shared" ref="D241" si="1140">+SUM(D242:D247)</f>
        <v>0</v>
      </c>
      <c r="E241" s="58">
        <f t="shared" ref="E241" si="1141">+SUM(E242:E247)</f>
        <v>0</v>
      </c>
      <c r="F241" s="58">
        <f t="shared" ref="F241" si="1142">+SUM(F242:F247)</f>
        <v>0</v>
      </c>
      <c r="G241" s="58">
        <f t="shared" ref="G241" si="1143">+SUM(G242:G247)</f>
        <v>0</v>
      </c>
      <c r="H241" s="58">
        <f t="shared" ref="H241" si="1144">+SUM(H242:H247)</f>
        <v>0</v>
      </c>
      <c r="I241" s="58">
        <f t="shared" ref="I241" si="1145">+SUM(I242:I247)</f>
        <v>0</v>
      </c>
      <c r="J241" s="58">
        <f t="shared" ref="J241" si="1146">+SUM(J242:J247)</f>
        <v>0</v>
      </c>
      <c r="K241" s="58">
        <f t="shared" ref="K241" si="1147">+SUM(K242:K247)</f>
        <v>0</v>
      </c>
      <c r="L241" s="58">
        <f t="shared" ref="L241:M241" si="1148">+SUM(L242:L247)</f>
        <v>0</v>
      </c>
      <c r="M241" s="58">
        <f t="shared" si="1148"/>
        <v>0</v>
      </c>
      <c r="N241" s="17" t="s">
        <v>199</v>
      </c>
      <c r="O241" s="58">
        <f t="shared" ref="O241:AA241" si="1149">+SUM(O242:O247)</f>
        <v>0</v>
      </c>
      <c r="P241" s="58">
        <f t="shared" si="1149"/>
        <v>0</v>
      </c>
      <c r="Q241" s="58">
        <f t="shared" si="1149"/>
        <v>0</v>
      </c>
      <c r="R241" s="58">
        <f t="shared" si="1149"/>
        <v>0</v>
      </c>
      <c r="S241" s="58">
        <f t="shared" si="1149"/>
        <v>0</v>
      </c>
      <c r="T241" s="58">
        <f t="shared" si="1149"/>
        <v>0</v>
      </c>
      <c r="U241" s="58">
        <f t="shared" si="1149"/>
        <v>0</v>
      </c>
      <c r="V241" s="58">
        <f t="shared" si="1149"/>
        <v>0</v>
      </c>
      <c r="W241" s="58">
        <f t="shared" si="1149"/>
        <v>0</v>
      </c>
      <c r="X241" s="58">
        <f t="shared" si="1149"/>
        <v>0</v>
      </c>
      <c r="Y241" s="58">
        <f t="shared" si="1149"/>
        <v>0</v>
      </c>
      <c r="Z241" s="58">
        <f t="shared" si="1149"/>
        <v>0</v>
      </c>
      <c r="AA241" s="58">
        <f t="shared" si="1149"/>
        <v>0</v>
      </c>
      <c r="AB241" s="118">
        <f t="shared" si="1016"/>
        <v>0</v>
      </c>
      <c r="AC241" s="58">
        <f t="shared" ref="AC241" si="1150">+SUM(AC242:AC247)</f>
        <v>0</v>
      </c>
      <c r="AD241" s="58">
        <f t="shared" ref="AD241" si="1151">+SUM(AD242:AD247)</f>
        <v>0</v>
      </c>
      <c r="AE241" s="58">
        <f t="shared" ref="AE241" si="1152">+SUM(AE242:AE247)</f>
        <v>0</v>
      </c>
      <c r="AF241" s="58">
        <f t="shared" ref="AF241" si="1153">+SUM(AF242:AF247)</f>
        <v>0</v>
      </c>
      <c r="AG241" s="58">
        <f t="shared" ref="AG241" si="1154">+SUM(AG242:AG247)</f>
        <v>0</v>
      </c>
      <c r="AH241" s="58">
        <f t="shared" ref="AH241" si="1155">+SUM(AH242:AH247)</f>
        <v>0</v>
      </c>
      <c r="AI241" s="58">
        <f t="shared" ref="AI241" si="1156">+SUM(AI242:AI247)</f>
        <v>0</v>
      </c>
      <c r="AJ241" s="58">
        <f t="shared" ref="AJ241" si="1157">+SUM(AJ242:AJ247)</f>
        <v>0</v>
      </c>
      <c r="AK241" s="58">
        <f t="shared" ref="AK241" si="1158">+SUM(AK242:AK247)</f>
        <v>0</v>
      </c>
      <c r="AL241" s="58">
        <f t="shared" ref="AL241" si="1159">+SUM(AL242:AL247)</f>
        <v>0</v>
      </c>
      <c r="AM241" s="58">
        <f t="shared" ref="AM241" si="1160">+SUM(AM242:AM247)</f>
        <v>0</v>
      </c>
      <c r="AN241" s="58">
        <f t="shared" ref="AN241" si="1161">+SUM(AN242:AN247)</f>
        <v>0</v>
      </c>
      <c r="AO241" s="58">
        <f t="shared" ref="AO241" si="1162">+SUM(AO242:AO247)</f>
        <v>0</v>
      </c>
    </row>
    <row r="242" spans="1:41" hidden="1" outlineLevel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>
        <f t="shared" ref="M242:M247" si="1163">+SUM(A242:L242)</f>
        <v>0</v>
      </c>
      <c r="N242" s="16" t="s">
        <v>200</v>
      </c>
      <c r="O242" s="106">
        <f>+VLOOKUP($N242,'Jan-25'!A:J,3,0)</f>
        <v>0</v>
      </c>
      <c r="P242" s="106">
        <f>+VLOOKUP($N242,'Feb-25'!A:J,3,0)</f>
        <v>0</v>
      </c>
      <c r="Q242" s="106">
        <f>+VLOOKUP($N242,'Mar-25'!A:J,3,0)</f>
        <v>0</v>
      </c>
      <c r="R242" s="106">
        <f>+VLOOKUP($N242,'Apr-25'!A:J,3,0)</f>
        <v>0</v>
      </c>
      <c r="S242" s="106">
        <f>+VLOOKUP($N242,'May-25'!A:J,3,0)</f>
        <v>0</v>
      </c>
      <c r="T242" s="106">
        <f>+VLOOKUP($N242,'June-25'!A:J,3,0)</f>
        <v>0</v>
      </c>
      <c r="U242" s="106">
        <f>+VLOOKUP($N242,'July-25'!A:J,3,0)</f>
        <v>0</v>
      </c>
      <c r="V242" s="106">
        <f>+VLOOKUP($N242,'Aug-25'!A:J,3,0)</f>
        <v>0</v>
      </c>
      <c r="W242" s="106">
        <f>+VLOOKUP($N242,'Sep-25'!A:J,3,0)</f>
        <v>0</v>
      </c>
      <c r="X242" s="106">
        <f>+VLOOKUP($N242,'Oct-25'!A:J,3,0)</f>
        <v>0</v>
      </c>
      <c r="Y242" s="106">
        <f>+VLOOKUP($N242,'Nov-25'!A:J,3,0)</f>
        <v>0</v>
      </c>
      <c r="Z242" s="106">
        <f>+VLOOKUP($N242,'Dec-25'!A:J,3,0)</f>
        <v>0</v>
      </c>
      <c r="AA242" s="106">
        <f t="shared" ref="AA242:AA247" si="1164">+SUM(O242:Z242)</f>
        <v>0</v>
      </c>
      <c r="AB242" s="118">
        <f t="shared" si="1016"/>
        <v>0</v>
      </c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</row>
    <row r="243" spans="1:41" hidden="1" outlineLevel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>
        <f t="shared" si="1163"/>
        <v>0</v>
      </c>
      <c r="N243" s="16" t="s">
        <v>238</v>
      </c>
      <c r="O243" s="106">
        <f>+VLOOKUP($N243,'Jan-25'!A:J,3,0)</f>
        <v>0</v>
      </c>
      <c r="P243" s="106">
        <f>+VLOOKUP($N243,'Feb-25'!A:J,3,0)</f>
        <v>0</v>
      </c>
      <c r="Q243" s="106">
        <f>+VLOOKUP($N243,'Mar-25'!A:J,3,0)</f>
        <v>0</v>
      </c>
      <c r="R243" s="106">
        <f>+VLOOKUP($N243,'Apr-25'!A:J,3,0)</f>
        <v>0</v>
      </c>
      <c r="S243" s="106">
        <f>+VLOOKUP($N243,'May-25'!A:J,3,0)</f>
        <v>0</v>
      </c>
      <c r="T243" s="106">
        <f>+VLOOKUP($N243,'June-25'!A:J,3,0)</f>
        <v>0</v>
      </c>
      <c r="U243" s="106">
        <f>+VLOOKUP($N243,'July-25'!A:J,3,0)</f>
        <v>0</v>
      </c>
      <c r="V243" s="106">
        <f>+VLOOKUP($N243,'Aug-25'!A:J,3,0)</f>
        <v>0</v>
      </c>
      <c r="W243" s="106">
        <f>+VLOOKUP($N243,'Sep-25'!A:J,3,0)</f>
        <v>0</v>
      </c>
      <c r="X243" s="106">
        <f>+VLOOKUP($N243,'Oct-25'!A:J,3,0)</f>
        <v>0</v>
      </c>
      <c r="Y243" s="106">
        <f>+VLOOKUP($N243,'Nov-25'!A:J,3,0)</f>
        <v>0</v>
      </c>
      <c r="Z243" s="106">
        <f>+VLOOKUP($N243,'Dec-25'!A:J,3,0)</f>
        <v>0</v>
      </c>
      <c r="AA243" s="106">
        <f t="shared" si="1164"/>
        <v>0</v>
      </c>
      <c r="AB243" s="118">
        <f t="shared" si="1016"/>
        <v>0</v>
      </c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</row>
    <row r="244" spans="1:41" hidden="1" outlineLevel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>
        <f t="shared" si="1163"/>
        <v>0</v>
      </c>
      <c r="N244" s="16" t="s">
        <v>239</v>
      </c>
      <c r="O244" s="106">
        <f>+VLOOKUP($N244,'Jan-25'!A:J,3,0)</f>
        <v>0</v>
      </c>
      <c r="P244" s="106">
        <f>+VLOOKUP($N244,'Feb-25'!A:J,3,0)</f>
        <v>0</v>
      </c>
      <c r="Q244" s="106">
        <f>+VLOOKUP($N244,'Mar-25'!A:J,3,0)</f>
        <v>0</v>
      </c>
      <c r="R244" s="106">
        <f>+VLOOKUP($N244,'Apr-25'!A:J,3,0)</f>
        <v>0</v>
      </c>
      <c r="S244" s="106">
        <f>+VLOOKUP($N244,'May-25'!A:J,3,0)</f>
        <v>0</v>
      </c>
      <c r="T244" s="106">
        <f>+VLOOKUP($N244,'June-25'!A:J,3,0)</f>
        <v>0</v>
      </c>
      <c r="U244" s="106">
        <f>+VLOOKUP($N244,'July-25'!A:J,3,0)</f>
        <v>0</v>
      </c>
      <c r="V244" s="106">
        <f>+VLOOKUP($N244,'Aug-25'!A:J,3,0)</f>
        <v>0</v>
      </c>
      <c r="W244" s="106">
        <f>+VLOOKUP($N244,'Sep-25'!A:J,3,0)</f>
        <v>0</v>
      </c>
      <c r="X244" s="106">
        <f>+VLOOKUP($N244,'Oct-25'!A:J,3,0)</f>
        <v>0</v>
      </c>
      <c r="Y244" s="106">
        <f>+VLOOKUP($N244,'Nov-25'!A:J,3,0)</f>
        <v>0</v>
      </c>
      <c r="Z244" s="106">
        <f>+VLOOKUP($N244,'Dec-25'!A:J,3,0)</f>
        <v>0</v>
      </c>
      <c r="AA244" s="106">
        <f t="shared" si="1164"/>
        <v>0</v>
      </c>
      <c r="AB244" s="118">
        <f t="shared" si="1016"/>
        <v>0</v>
      </c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</row>
    <row r="245" spans="1:41" hidden="1" outlineLevel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>
        <f t="shared" si="1163"/>
        <v>0</v>
      </c>
      <c r="N245" s="16" t="s">
        <v>240</v>
      </c>
      <c r="O245" s="106">
        <f>+VLOOKUP($N245,'Jan-25'!A:J,3,0)</f>
        <v>0</v>
      </c>
      <c r="P245" s="106">
        <f>+VLOOKUP($N245,'Feb-25'!A:J,3,0)</f>
        <v>0</v>
      </c>
      <c r="Q245" s="106">
        <f>+VLOOKUP($N245,'Mar-25'!A:J,3,0)</f>
        <v>0</v>
      </c>
      <c r="R245" s="106">
        <f>+VLOOKUP($N245,'Apr-25'!A:J,3,0)</f>
        <v>0</v>
      </c>
      <c r="S245" s="106">
        <f>+VLOOKUP($N245,'May-25'!A:J,3,0)</f>
        <v>0</v>
      </c>
      <c r="T245" s="106">
        <f>+VLOOKUP($N245,'June-25'!A:J,3,0)</f>
        <v>0</v>
      </c>
      <c r="U245" s="106">
        <f>+VLOOKUP($N245,'July-25'!A:J,3,0)</f>
        <v>0</v>
      </c>
      <c r="V245" s="106">
        <f>+VLOOKUP($N245,'Aug-25'!A:J,3,0)</f>
        <v>0</v>
      </c>
      <c r="W245" s="106">
        <f>+VLOOKUP($N245,'Sep-25'!A:J,3,0)</f>
        <v>0</v>
      </c>
      <c r="X245" s="106">
        <f>+VLOOKUP($N245,'Oct-25'!A:J,3,0)</f>
        <v>0</v>
      </c>
      <c r="Y245" s="106">
        <f>+VLOOKUP($N245,'Nov-25'!A:J,3,0)</f>
        <v>0</v>
      </c>
      <c r="Z245" s="106">
        <f>+VLOOKUP($N245,'Dec-25'!A:J,3,0)</f>
        <v>0</v>
      </c>
      <c r="AA245" s="106">
        <f t="shared" si="1164"/>
        <v>0</v>
      </c>
      <c r="AB245" s="118">
        <f t="shared" si="1016"/>
        <v>0</v>
      </c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</row>
    <row r="246" spans="1:41" hidden="1" outlineLevel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>
        <f t="shared" si="1163"/>
        <v>0</v>
      </c>
      <c r="N246" s="16" t="s">
        <v>241</v>
      </c>
      <c r="O246" s="106">
        <f>+VLOOKUP($N246,'Jan-25'!A:J,3,0)</f>
        <v>0</v>
      </c>
      <c r="P246" s="106">
        <f>+VLOOKUP($N246,'Feb-25'!A:J,3,0)</f>
        <v>0</v>
      </c>
      <c r="Q246" s="106">
        <f>+VLOOKUP($N246,'Mar-25'!A:J,3,0)</f>
        <v>0</v>
      </c>
      <c r="R246" s="106">
        <f>+VLOOKUP($N246,'Apr-25'!A:J,3,0)</f>
        <v>0</v>
      </c>
      <c r="S246" s="106">
        <f>+VLOOKUP($N246,'May-25'!A:J,3,0)</f>
        <v>0</v>
      </c>
      <c r="T246" s="106">
        <f>+VLOOKUP($N246,'June-25'!A:J,3,0)</f>
        <v>0</v>
      </c>
      <c r="U246" s="106">
        <f>+VLOOKUP($N246,'July-25'!A:J,3,0)</f>
        <v>0</v>
      </c>
      <c r="V246" s="106">
        <f>+VLOOKUP($N246,'Aug-25'!A:J,3,0)</f>
        <v>0</v>
      </c>
      <c r="W246" s="106">
        <f>+VLOOKUP($N246,'Sep-25'!A:J,3,0)</f>
        <v>0</v>
      </c>
      <c r="X246" s="106">
        <f>+VLOOKUP($N246,'Oct-25'!A:J,3,0)</f>
        <v>0</v>
      </c>
      <c r="Y246" s="106">
        <f>+VLOOKUP($N246,'Nov-25'!A:J,3,0)</f>
        <v>0</v>
      </c>
      <c r="Z246" s="106">
        <f>+VLOOKUP($N246,'Dec-25'!A:J,3,0)</f>
        <v>0</v>
      </c>
      <c r="AA246" s="106">
        <f t="shared" si="1164"/>
        <v>0</v>
      </c>
      <c r="AB246" s="118">
        <f t="shared" si="1016"/>
        <v>0</v>
      </c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</row>
    <row r="247" spans="1:41" hidden="1" outlineLevel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>
        <f t="shared" si="1163"/>
        <v>0</v>
      </c>
      <c r="N247" s="16" t="s">
        <v>242</v>
      </c>
      <c r="O247" s="106">
        <f>+VLOOKUP($N247,'Jan-25'!A:J,3,0)</f>
        <v>0</v>
      </c>
      <c r="P247" s="106">
        <f>+VLOOKUP($N247,'Feb-25'!A:J,3,0)</f>
        <v>0</v>
      </c>
      <c r="Q247" s="106">
        <f>+VLOOKUP($N247,'Mar-25'!A:J,3,0)</f>
        <v>0</v>
      </c>
      <c r="R247" s="106">
        <f>+VLOOKUP($N247,'Apr-25'!A:J,3,0)</f>
        <v>0</v>
      </c>
      <c r="S247" s="106">
        <f>+VLOOKUP($N247,'May-25'!A:J,3,0)</f>
        <v>0</v>
      </c>
      <c r="T247" s="106">
        <f>+VLOOKUP($N247,'June-25'!A:J,3,0)</f>
        <v>0</v>
      </c>
      <c r="U247" s="106">
        <f>+VLOOKUP($N247,'July-25'!A:J,3,0)</f>
        <v>0</v>
      </c>
      <c r="V247" s="106">
        <f>+VLOOKUP($N247,'Aug-25'!A:J,3,0)</f>
        <v>0</v>
      </c>
      <c r="W247" s="106">
        <f>+VLOOKUP($N247,'Sep-25'!A:J,3,0)</f>
        <v>0</v>
      </c>
      <c r="X247" s="106">
        <f>+VLOOKUP($N247,'Oct-25'!A:J,3,0)</f>
        <v>0</v>
      </c>
      <c r="Y247" s="106">
        <f>+VLOOKUP($N247,'Nov-25'!A:J,3,0)</f>
        <v>0</v>
      </c>
      <c r="Z247" s="106">
        <f>+VLOOKUP($N247,'Dec-25'!A:J,3,0)</f>
        <v>0</v>
      </c>
      <c r="AA247" s="106">
        <f t="shared" si="1164"/>
        <v>0</v>
      </c>
      <c r="AB247" s="118">
        <f t="shared" si="1016"/>
        <v>0</v>
      </c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</row>
    <row r="248" spans="1:41" hidden="1" outlineLevel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18">
        <f t="shared" si="1016"/>
        <v>0</v>
      </c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</row>
    <row r="249" spans="1:41" collapsed="1">
      <c r="A249" s="58">
        <f t="shared" ref="A249:M249" si="1165">+A233-A236-A241</f>
        <v>106397.714102564</v>
      </c>
      <c r="B249" s="58">
        <f t="shared" si="1165"/>
        <v>54400.974102563901</v>
      </c>
      <c r="C249" s="58">
        <f t="shared" si="1165"/>
        <v>213353.15410256441</v>
      </c>
      <c r="D249" s="58">
        <f t="shared" si="1165"/>
        <v>51066.734102564085</v>
      </c>
      <c r="E249" s="58">
        <f t="shared" si="1165"/>
        <v>141425.0541025642</v>
      </c>
      <c r="F249" s="58">
        <f t="shared" si="1165"/>
        <v>108075.4441025641</v>
      </c>
      <c r="G249" s="58">
        <f t="shared" si="1165"/>
        <v>68858.954102564574</v>
      </c>
      <c r="H249" s="58">
        <f t="shared" si="1165"/>
        <v>189223.60410256378</v>
      </c>
      <c r="I249" s="58">
        <f t="shared" si="1165"/>
        <v>35974.474102564047</v>
      </c>
      <c r="J249" s="58">
        <f t="shared" si="1165"/>
        <v>139748.56410256386</v>
      </c>
      <c r="K249" s="58">
        <f t="shared" si="1165"/>
        <v>153819.67410256408</v>
      </c>
      <c r="L249" s="58">
        <f t="shared" si="1165"/>
        <v>476289.26410256361</v>
      </c>
      <c r="M249" s="58">
        <f t="shared" si="1165"/>
        <v>1738633.609230771</v>
      </c>
      <c r="N249" s="14" t="s">
        <v>201</v>
      </c>
      <c r="O249" s="58">
        <f t="shared" ref="O249:AA249" si="1166">+O233-O236-O241</f>
        <v>206553.49000000011</v>
      </c>
      <c r="P249" s="58">
        <f t="shared" si="1166"/>
        <v>139097.97000000015</v>
      </c>
      <c r="Q249" s="58">
        <f t="shared" si="1166"/>
        <v>110650.39999999991</v>
      </c>
      <c r="R249" s="58">
        <f t="shared" si="1166"/>
        <v>245849.79000000027</v>
      </c>
      <c r="S249" s="58">
        <f t="shared" si="1166"/>
        <v>213266.16000000166</v>
      </c>
      <c r="T249" s="58">
        <f t="shared" si="1166"/>
        <v>361216.54999999993</v>
      </c>
      <c r="U249" s="58">
        <f t="shared" si="1166"/>
        <v>139437.12999999998</v>
      </c>
      <c r="V249" s="58">
        <f t="shared" si="1166"/>
        <v>240885.54000000167</v>
      </c>
      <c r="W249" s="58">
        <f t="shared" si="1166"/>
        <v>127434.16282051342</v>
      </c>
      <c r="X249" s="58">
        <f t="shared" si="1166"/>
        <v>339274.90282051271</v>
      </c>
      <c r="Y249" s="58">
        <f t="shared" si="1166"/>
        <v>0</v>
      </c>
      <c r="Z249" s="58">
        <f t="shared" si="1166"/>
        <v>0</v>
      </c>
      <c r="AA249" s="58">
        <f t="shared" si="1166"/>
        <v>2123666.0956410295</v>
      </c>
      <c r="AB249" s="118">
        <f t="shared" si="1016"/>
        <v>0.140596792434939</v>
      </c>
      <c r="AC249" s="58">
        <f t="shared" ref="AC249:AO249" si="1167">+AC233-AC236-AC241</f>
        <v>341489.34615384613</v>
      </c>
      <c r="AD249" s="58">
        <f t="shared" si="1167"/>
        <v>313124.34615384613</v>
      </c>
      <c r="AE249" s="58">
        <f t="shared" si="1167"/>
        <v>384455.34615384613</v>
      </c>
      <c r="AF249" s="58">
        <f t="shared" si="1167"/>
        <v>343953.84615384613</v>
      </c>
      <c r="AG249" s="58">
        <f t="shared" si="1167"/>
        <v>313728.84615384613</v>
      </c>
      <c r="AH249" s="58">
        <f t="shared" si="1167"/>
        <v>327678.84615384613</v>
      </c>
      <c r="AI249" s="58">
        <f t="shared" si="1167"/>
        <v>335816.34615384613</v>
      </c>
      <c r="AJ249" s="58">
        <f t="shared" si="1167"/>
        <v>330003.84615384613</v>
      </c>
      <c r="AK249" s="58">
        <f t="shared" si="1167"/>
        <v>330003.84615384613</v>
      </c>
      <c r="AL249" s="58">
        <f t="shared" si="1167"/>
        <v>297453.84615384613</v>
      </c>
      <c r="AM249" s="58">
        <f t="shared" si="1167"/>
        <v>327678.84615384613</v>
      </c>
      <c r="AN249" s="58">
        <f t="shared" si="1167"/>
        <v>354416.34615384613</v>
      </c>
      <c r="AO249" s="58">
        <f t="shared" si="1167"/>
        <v>3999803.653846154</v>
      </c>
    </row>
    <row r="250" spans="1:41">
      <c r="A250" s="108">
        <f t="shared" ref="A250" si="1168">IFERROR(A249/A70,0)</f>
        <v>0.13721178793040095</v>
      </c>
      <c r="B250" s="108">
        <f t="shared" ref="B250" si="1169">IFERROR(B249/B70,0)</f>
        <v>5.5409854006269924E-2</v>
      </c>
      <c r="C250" s="108">
        <f t="shared" ref="C250" si="1170">IFERROR(C249/C70,0)</f>
        <v>0.12197240097367491</v>
      </c>
      <c r="D250" s="108">
        <f t="shared" ref="D250" si="1171">IFERROR(D249/D70,0)</f>
        <v>7.8176610285990364E-2</v>
      </c>
      <c r="E250" s="108">
        <f t="shared" ref="E250" si="1172">IFERROR(E249/E70,0)</f>
        <v>0.13010916230676331</v>
      </c>
      <c r="F250" s="108">
        <f t="shared" ref="F250" si="1173">IFERROR(F249/F70,0)</f>
        <v>0.12117290189555247</v>
      </c>
      <c r="G250" s="108">
        <f t="shared" ref="G250" si="1174">IFERROR(G249/G70,0)</f>
        <v>0.10689332240275527</v>
      </c>
      <c r="H250" s="108">
        <f t="shared" ref="H250" si="1175">IFERROR(H249/H70,0)</f>
        <v>0.17116908447294291</v>
      </c>
      <c r="I250" s="108">
        <f t="shared" ref="I250" si="1176">IFERROR(I249/I70,0)</f>
        <v>0.10201215748208947</v>
      </c>
      <c r="J250" s="108">
        <f t="shared" ref="J250" si="1177">IFERROR(J249/J70,0)</f>
        <v>0.12469315941785288</v>
      </c>
      <c r="K250" s="108">
        <f t="shared" ref="K250" si="1178">IFERROR(K249/K70,0)</f>
        <v>0.13391966925634069</v>
      </c>
      <c r="L250" s="108">
        <f t="shared" ref="L250:M250" si="1179">IFERROR(L249/L70,0)</f>
        <v>0.30156329879554605</v>
      </c>
      <c r="M250" s="108">
        <f t="shared" si="1179"/>
        <v>0.14381275619756526</v>
      </c>
      <c r="N250" s="15" t="s">
        <v>58</v>
      </c>
      <c r="O250" s="108">
        <f t="shared" ref="O250:AA250" si="1180">IFERROR(O249/O70,0)</f>
        <v>0.12767255778051428</v>
      </c>
      <c r="P250" s="108">
        <f t="shared" si="1180"/>
        <v>0.21338014592868518</v>
      </c>
      <c r="Q250" s="108">
        <f t="shared" si="1180"/>
        <v>0.13762113383335112</v>
      </c>
      <c r="R250" s="108">
        <f t="shared" si="1180"/>
        <v>0.1747234090892327</v>
      </c>
      <c r="S250" s="108">
        <f t="shared" si="1180"/>
        <v>0.15022178133895303</v>
      </c>
      <c r="T250" s="108">
        <f t="shared" si="1180"/>
        <v>0.34533131965577391</v>
      </c>
      <c r="U250" s="108">
        <f t="shared" si="1180"/>
        <v>9.6302143281324776E-2</v>
      </c>
      <c r="V250" s="108">
        <f t="shared" si="1180"/>
        <v>0.14765815192541706</v>
      </c>
      <c r="W250" s="108">
        <f t="shared" si="1180"/>
        <v>8.642356629883545E-2</v>
      </c>
      <c r="X250" s="108">
        <f t="shared" si="1180"/>
        <v>0.18565574965884954</v>
      </c>
      <c r="Y250" s="108">
        <f t="shared" si="1180"/>
        <v>0</v>
      </c>
      <c r="Z250" s="108">
        <f t="shared" si="1180"/>
        <v>0</v>
      </c>
      <c r="AA250" s="108">
        <f t="shared" si="1180"/>
        <v>0.15934167181814449</v>
      </c>
      <c r="AB250" s="118">
        <f t="shared" si="1016"/>
        <v>-0.14116991649706459</v>
      </c>
      <c r="AC250" s="108">
        <f t="shared" ref="AC250" si="1181">IFERROR(AC249/AC70,0)</f>
        <v>0.23567242660720919</v>
      </c>
      <c r="AD250" s="108">
        <f t="shared" ref="AD250" si="1182">IFERROR(AD249/AD70,0)</f>
        <v>0.22559390933274218</v>
      </c>
      <c r="AE250" s="108">
        <f t="shared" ref="AE250" si="1183">IFERROR(AE249/AE70,0)</f>
        <v>0.22417221350078492</v>
      </c>
      <c r="AF250" s="108">
        <f t="shared" ref="AF250" si="1184">IFERROR(AF249/AF70,0)</f>
        <v>0.23303106107984156</v>
      </c>
      <c r="AG250" s="108">
        <f t="shared" ref="AG250" si="1185">IFERROR(AG249/AG70,0)</f>
        <v>0.21571015274604383</v>
      </c>
      <c r="AH250" s="108">
        <f t="shared" ref="AH250" si="1186">IFERROR(AH249/AH70,0)</f>
        <v>0.2344582471049271</v>
      </c>
      <c r="AI250" s="108">
        <f t="shared" ref="AI250" si="1187">IFERROR(AI249/AI70,0)</f>
        <v>0.23372518524070582</v>
      </c>
      <c r="AJ250" s="108">
        <f t="shared" ref="AJ250" si="1188">IFERROR(AJ249/AJ70,0)</f>
        <v>0.21529478480809378</v>
      </c>
      <c r="AK250" s="108">
        <f t="shared" ref="AK250" si="1189">IFERROR(AK249/AK70,0)</f>
        <v>0.21529478480809378</v>
      </c>
      <c r="AL250" s="108">
        <f t="shared" ref="AL250" si="1190">IFERROR(AL249/AL70,0)</f>
        <v>0.21617285330948119</v>
      </c>
      <c r="AM250" s="108">
        <f t="shared" ref="AM250" si="1191">IFERROR(AM249/AM70,0)</f>
        <v>0.2344582471049271</v>
      </c>
      <c r="AN250" s="108">
        <f t="shared" ref="AN250" si="1192">IFERROR(AN249/AN70,0)</f>
        <v>0.21474572597785152</v>
      </c>
      <c r="AO250" s="108">
        <f t="shared" ref="AO250" si="1193">IFERROR(AO249/AO70,0)</f>
        <v>0.22462730556688348</v>
      </c>
    </row>
    <row r="251" spans="1:41">
      <c r="AB251" s="118"/>
    </row>
    <row r="252" spans="1:41">
      <c r="AB252" s="118"/>
    </row>
    <row r="253" spans="1:41">
      <c r="AB253" s="118"/>
    </row>
    <row r="254" spans="1:41">
      <c r="AB254" s="118"/>
    </row>
    <row r="255" spans="1:41">
      <c r="AB255" s="118"/>
    </row>
    <row r="256" spans="1:41">
      <c r="AB256" s="118"/>
    </row>
    <row r="257" spans="28:28">
      <c r="AB257" s="118"/>
    </row>
    <row r="258" spans="28:28">
      <c r="AB258" s="118"/>
    </row>
    <row r="259" spans="28:28">
      <c r="AB259" s="118"/>
    </row>
    <row r="260" spans="28:28">
      <c r="AB260" s="118"/>
    </row>
    <row r="261" spans="28:28">
      <c r="AB261" s="118"/>
    </row>
    <row r="262" spans="28:28">
      <c r="AB262" s="118"/>
    </row>
    <row r="263" spans="28:28">
      <c r="AB263" s="118"/>
    </row>
    <row r="264" spans="28:28">
      <c r="AB264" s="118"/>
    </row>
    <row r="265" spans="28:28">
      <c r="AB265" s="118"/>
    </row>
    <row r="266" spans="28:28">
      <c r="AB266" s="118"/>
    </row>
    <row r="267" spans="28:28">
      <c r="AB267" s="118"/>
    </row>
    <row r="268" spans="28:28">
      <c r="AB268" s="118"/>
    </row>
    <row r="269" spans="28:28">
      <c r="AB269" s="118"/>
    </row>
    <row r="270" spans="28:28">
      <c r="AB270" s="118"/>
    </row>
    <row r="271" spans="28:28">
      <c r="AB271" s="118"/>
    </row>
    <row r="272" spans="28:28">
      <c r="AB272" s="118"/>
    </row>
    <row r="273" spans="28:28">
      <c r="AB273" s="118"/>
    </row>
    <row r="274" spans="28:28">
      <c r="AB274" s="118"/>
    </row>
    <row r="275" spans="28:28">
      <c r="AB275" s="118"/>
    </row>
  </sheetData>
  <conditionalFormatting sqref="AB29:AB275">
    <cfRule type="cellIs" dxfId="0" priority="1" operator="greaterThan">
      <formula>0</formula>
    </cfRule>
  </conditionalFormatting>
  <pageMargins left="0.7" right="0.7" top="0.75" bottom="0.75" header="0.3" footer="0.3"/>
  <ignoredErrors>
    <ignoredError sqref="O8 O13 O38:O49 P8:Z17 AA8 O51 P51:Z51 P19:Z22 P24:Z29 P31:Z49 P71:Z232 P250:Z250 P235:Z248 P54:Z55 O54 P57:Z69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30FA-173F-4C3C-AEBB-2D1618D7A6B6}">
  <dimension ref="A1:J250"/>
  <sheetViews>
    <sheetView topLeftCell="A222" workbookViewId="0">
      <selection activeCell="B228" sqref="B228"/>
    </sheetView>
  </sheetViews>
  <sheetFormatPr defaultColWidth="8.7109375" defaultRowHeight="15"/>
  <cols>
    <col min="1" max="1" width="40.85546875" style="49" bestFit="1" customWidth="1"/>
    <col min="2" max="2" width="12.42578125" style="49" bestFit="1" customWidth="1"/>
    <col min="3" max="3" width="10.42578125" style="49" bestFit="1" customWidth="1"/>
    <col min="4" max="4" width="11.140625" style="49" bestFit="1" customWidth="1"/>
    <col min="5" max="5" width="9.5703125" style="49" bestFit="1" customWidth="1"/>
    <col min="6" max="6" width="12.140625" style="49" bestFit="1" customWidth="1"/>
    <col min="7" max="7" width="11.140625" style="49" bestFit="1" customWidth="1"/>
    <col min="8" max="9" width="9.5703125" style="49" bestFit="1" customWidth="1"/>
    <col min="10" max="10" width="8.85546875" style="49" bestFit="1" customWidth="1"/>
    <col min="11" max="16384" width="8.7109375" style="49"/>
  </cols>
  <sheetData>
    <row r="1" spans="1:10" ht="15.75">
      <c r="A1" s="124" t="s">
        <v>244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0" ht="14.45" customHeight="1">
      <c r="A2" s="125" t="s">
        <v>1</v>
      </c>
      <c r="B2" s="127" t="s">
        <v>209</v>
      </c>
      <c r="C2" s="128"/>
      <c r="D2" s="128"/>
      <c r="E2" s="128"/>
      <c r="F2" s="129" t="s">
        <v>213</v>
      </c>
      <c r="G2" s="130"/>
      <c r="H2" s="130"/>
      <c r="I2" s="130" t="s">
        <v>214</v>
      </c>
      <c r="J2" s="130"/>
    </row>
    <row r="3" spans="1:10">
      <c r="A3" s="126"/>
      <c r="B3" s="51" t="s">
        <v>215</v>
      </c>
      <c r="C3" s="51" t="s">
        <v>216</v>
      </c>
      <c r="D3" s="52" t="s">
        <v>217</v>
      </c>
      <c r="E3" s="53" t="s">
        <v>218</v>
      </c>
      <c r="F3" s="51" t="s">
        <v>215</v>
      </c>
      <c r="G3" s="52" t="s">
        <v>217</v>
      </c>
      <c r="H3" s="52" t="s">
        <v>218</v>
      </c>
      <c r="I3" s="54" t="s">
        <v>217</v>
      </c>
      <c r="J3" s="54" t="s">
        <v>218</v>
      </c>
    </row>
    <row r="4" spans="1:10">
      <c r="A4" s="55" t="s">
        <v>3</v>
      </c>
      <c r="B4" s="56">
        <v>18</v>
      </c>
      <c r="C4" s="56"/>
      <c r="D4" s="56"/>
      <c r="E4" s="56"/>
      <c r="F4" s="56">
        <v>10</v>
      </c>
      <c r="G4" s="56"/>
      <c r="H4" s="56"/>
      <c r="I4" s="56"/>
      <c r="J4" s="56"/>
    </row>
    <row r="5" spans="1:10" ht="17.25">
      <c r="A5" s="57" t="s">
        <v>4</v>
      </c>
      <c r="B5" s="56"/>
      <c r="C5" s="56"/>
      <c r="D5" s="56"/>
      <c r="E5" s="56"/>
      <c r="F5" s="56"/>
      <c r="G5" s="56"/>
      <c r="H5" s="56"/>
      <c r="I5" s="50"/>
      <c r="J5" s="50"/>
    </row>
    <row r="6" spans="1:10">
      <c r="A6" s="55" t="s">
        <v>5</v>
      </c>
      <c r="B6" s="58">
        <f>+B7+B8+B13</f>
        <v>5405301.1915837843</v>
      </c>
      <c r="C6" s="58">
        <f t="shared" ref="C6:J6" si="0">+C7+C8+C13</f>
        <v>0</v>
      </c>
      <c r="D6" s="58">
        <f t="shared" si="0"/>
        <v>0</v>
      </c>
      <c r="E6" s="58">
        <f t="shared" si="0"/>
        <v>0</v>
      </c>
      <c r="F6" s="58">
        <f t="shared" si="0"/>
        <v>3724741.8232376222</v>
      </c>
      <c r="G6" s="58">
        <f t="shared" si="0"/>
        <v>0</v>
      </c>
      <c r="H6" s="58">
        <f t="shared" si="0"/>
        <v>0</v>
      </c>
      <c r="I6" s="58">
        <f t="shared" si="0"/>
        <v>0</v>
      </c>
      <c r="J6" s="58">
        <f t="shared" si="0"/>
        <v>0</v>
      </c>
    </row>
    <row r="7" spans="1:10">
      <c r="A7" s="55" t="s">
        <v>6</v>
      </c>
      <c r="B7" s="58">
        <v>3635452.9078000006</v>
      </c>
      <c r="C7" s="58">
        <v>0</v>
      </c>
      <c r="D7" s="58">
        <v>0</v>
      </c>
      <c r="E7" s="58">
        <v>0</v>
      </c>
      <c r="F7" s="58">
        <v>2526189.4714000006</v>
      </c>
      <c r="G7" s="58">
        <v>0</v>
      </c>
      <c r="H7" s="58">
        <v>0</v>
      </c>
      <c r="I7" s="59">
        <v>0</v>
      </c>
      <c r="J7" s="59">
        <v>0</v>
      </c>
    </row>
    <row r="8" spans="1:10">
      <c r="A8" s="55" t="s">
        <v>219</v>
      </c>
      <c r="B8" s="58">
        <f>+B9+B10+B11+B12</f>
        <v>1222964.5</v>
      </c>
      <c r="C8" s="58">
        <f t="shared" ref="C8:J8" si="1">+C9+C10+C11+C12</f>
        <v>0</v>
      </c>
      <c r="D8" s="58">
        <f t="shared" si="1"/>
        <v>0</v>
      </c>
      <c r="E8" s="58">
        <f t="shared" si="1"/>
        <v>0</v>
      </c>
      <c r="F8" s="58">
        <f t="shared" si="1"/>
        <v>773545.730216</v>
      </c>
      <c r="G8" s="58">
        <f t="shared" si="1"/>
        <v>0</v>
      </c>
      <c r="H8" s="58">
        <f t="shared" si="1"/>
        <v>0</v>
      </c>
      <c r="I8" s="58">
        <f t="shared" si="1"/>
        <v>0</v>
      </c>
      <c r="J8" s="58">
        <f t="shared" si="1"/>
        <v>0</v>
      </c>
    </row>
    <row r="9" spans="1:10">
      <c r="A9" s="75" t="s">
        <v>7</v>
      </c>
      <c r="B9" s="56">
        <v>663727.5</v>
      </c>
      <c r="C9" s="56">
        <v>0</v>
      </c>
      <c r="D9" s="56">
        <v>0</v>
      </c>
      <c r="E9" s="56">
        <v>0</v>
      </c>
      <c r="F9" s="56">
        <v>484838.73021600005</v>
      </c>
      <c r="G9" s="56">
        <v>0</v>
      </c>
      <c r="H9" s="56">
        <v>0</v>
      </c>
      <c r="I9" s="50">
        <v>0</v>
      </c>
      <c r="J9" s="50">
        <v>0</v>
      </c>
    </row>
    <row r="10" spans="1:10">
      <c r="A10" s="75" t="s">
        <v>8</v>
      </c>
      <c r="B10" s="56">
        <v>209714</v>
      </c>
      <c r="C10" s="56">
        <v>0</v>
      </c>
      <c r="D10" s="56">
        <v>0</v>
      </c>
      <c r="E10" s="56">
        <v>0</v>
      </c>
      <c r="F10" s="56">
        <v>108265</v>
      </c>
      <c r="G10" s="56">
        <v>0</v>
      </c>
      <c r="H10" s="56">
        <v>0</v>
      </c>
      <c r="I10" s="50">
        <v>0</v>
      </c>
      <c r="J10" s="50">
        <v>0</v>
      </c>
    </row>
    <row r="11" spans="1:10">
      <c r="A11" s="75" t="s">
        <v>9</v>
      </c>
      <c r="B11" s="56">
        <v>349523</v>
      </c>
      <c r="C11" s="56">
        <v>0</v>
      </c>
      <c r="D11" s="56">
        <v>0</v>
      </c>
      <c r="E11" s="56">
        <v>0</v>
      </c>
      <c r="F11" s="56">
        <v>180442</v>
      </c>
      <c r="G11" s="56">
        <v>0</v>
      </c>
      <c r="H11" s="56">
        <v>0</v>
      </c>
      <c r="I11" s="50">
        <v>0</v>
      </c>
      <c r="J11" s="50">
        <v>0</v>
      </c>
    </row>
    <row r="12" spans="1:10">
      <c r="A12" s="75" t="s">
        <v>10</v>
      </c>
      <c r="B12" s="56"/>
      <c r="C12" s="56"/>
      <c r="D12" s="56"/>
      <c r="E12" s="56"/>
      <c r="F12" s="56"/>
      <c r="G12" s="56"/>
      <c r="H12" s="56"/>
      <c r="I12" s="50"/>
      <c r="J12" s="50"/>
    </row>
    <row r="13" spans="1:10">
      <c r="A13" s="55" t="s">
        <v>11</v>
      </c>
      <c r="B13" s="58">
        <f>+B14+B15+B16</f>
        <v>546883.78378378367</v>
      </c>
      <c r="C13" s="58">
        <f t="shared" ref="C13:J13" si="2">+C14+C15+C16</f>
        <v>0</v>
      </c>
      <c r="D13" s="58">
        <f t="shared" si="2"/>
        <v>0</v>
      </c>
      <c r="E13" s="58">
        <f t="shared" si="2"/>
        <v>0</v>
      </c>
      <c r="F13" s="58">
        <f t="shared" si="2"/>
        <v>425006.62162162171</v>
      </c>
      <c r="G13" s="58">
        <f t="shared" si="2"/>
        <v>0</v>
      </c>
      <c r="H13" s="58">
        <f t="shared" si="2"/>
        <v>0</v>
      </c>
      <c r="I13" s="58">
        <f t="shared" si="2"/>
        <v>0</v>
      </c>
      <c r="J13" s="58">
        <f t="shared" si="2"/>
        <v>0</v>
      </c>
    </row>
    <row r="14" spans="1:10">
      <c r="A14" s="76" t="s">
        <v>12</v>
      </c>
      <c r="B14" s="56">
        <v>109376.75675675676</v>
      </c>
      <c r="C14" s="56">
        <v>0</v>
      </c>
      <c r="D14" s="56">
        <v>0</v>
      </c>
      <c r="E14" s="56">
        <v>0</v>
      </c>
      <c r="F14" s="56">
        <v>85001.324324324305</v>
      </c>
      <c r="G14" s="56">
        <v>0</v>
      </c>
      <c r="H14" s="56">
        <v>0</v>
      </c>
      <c r="I14" s="50">
        <v>0</v>
      </c>
      <c r="J14" s="50">
        <v>0</v>
      </c>
    </row>
    <row r="15" spans="1:10">
      <c r="A15" s="76" t="s">
        <v>13</v>
      </c>
      <c r="B15" s="56">
        <v>218753.51351351349</v>
      </c>
      <c r="C15" s="56">
        <v>0</v>
      </c>
      <c r="D15" s="56">
        <v>0</v>
      </c>
      <c r="E15" s="56">
        <v>0</v>
      </c>
      <c r="F15" s="56">
        <v>170002.6486486487</v>
      </c>
      <c r="G15" s="56">
        <v>0</v>
      </c>
      <c r="H15" s="56">
        <v>0</v>
      </c>
      <c r="I15" s="50">
        <v>0</v>
      </c>
      <c r="J15" s="50">
        <v>0</v>
      </c>
    </row>
    <row r="16" spans="1:10">
      <c r="A16" s="76" t="s">
        <v>14</v>
      </c>
      <c r="B16" s="56">
        <v>218753.51351351349</v>
      </c>
      <c r="C16" s="56">
        <v>0</v>
      </c>
      <c r="D16" s="56">
        <v>0</v>
      </c>
      <c r="E16" s="56">
        <v>0</v>
      </c>
      <c r="F16" s="56">
        <v>170002.6486486487</v>
      </c>
      <c r="G16" s="56">
        <v>0</v>
      </c>
      <c r="H16" s="56">
        <v>0</v>
      </c>
      <c r="I16" s="50">
        <v>0</v>
      </c>
      <c r="J16" s="50">
        <v>0</v>
      </c>
    </row>
    <row r="17" spans="1:10" ht="17.25">
      <c r="A17" s="57" t="s">
        <v>15</v>
      </c>
      <c r="B17" s="56"/>
      <c r="C17" s="56"/>
      <c r="D17" s="56"/>
      <c r="E17" s="56"/>
      <c r="F17" s="56"/>
      <c r="G17" s="56"/>
      <c r="H17" s="56"/>
      <c r="I17" s="50"/>
      <c r="J17" s="50"/>
    </row>
    <row r="18" spans="1:10">
      <c r="A18" s="61" t="s">
        <v>16</v>
      </c>
      <c r="B18" s="56">
        <v>4</v>
      </c>
      <c r="C18" s="56"/>
      <c r="D18" s="56"/>
      <c r="E18" s="56"/>
      <c r="F18" s="56"/>
      <c r="G18" s="56"/>
      <c r="H18" s="56"/>
      <c r="I18" s="50"/>
      <c r="J18" s="50"/>
    </row>
    <row r="19" spans="1:10">
      <c r="A19" s="61" t="s">
        <v>17</v>
      </c>
      <c r="B19" s="56">
        <v>22735714.289999999</v>
      </c>
      <c r="C19" s="56"/>
      <c r="D19" s="56"/>
      <c r="E19" s="56"/>
      <c r="F19" s="56"/>
      <c r="G19" s="56"/>
      <c r="H19" s="56"/>
      <c r="I19" s="50"/>
      <c r="J19" s="50"/>
    </row>
    <row r="20" spans="1:10">
      <c r="A20" s="61" t="s">
        <v>18</v>
      </c>
      <c r="B20" s="56">
        <v>36470827.869999997</v>
      </c>
      <c r="C20" s="56"/>
      <c r="D20" s="56"/>
      <c r="E20" s="56"/>
      <c r="F20" s="56"/>
      <c r="G20" s="56"/>
      <c r="H20" s="56"/>
      <c r="I20" s="50"/>
      <c r="J20" s="50"/>
    </row>
    <row r="21" spans="1:10">
      <c r="A21" s="61" t="s">
        <v>19</v>
      </c>
      <c r="B21" s="56"/>
      <c r="C21" s="56"/>
      <c r="D21" s="56"/>
      <c r="E21" s="56"/>
      <c r="F21" s="56"/>
      <c r="G21" s="56"/>
      <c r="H21" s="56"/>
      <c r="I21" s="50"/>
      <c r="J21" s="50"/>
    </row>
    <row r="22" spans="1:10" ht="17.25">
      <c r="A22" s="57" t="s">
        <v>220</v>
      </c>
      <c r="B22" s="56"/>
      <c r="C22" s="56"/>
      <c r="D22" s="56"/>
      <c r="E22" s="56"/>
      <c r="F22" s="56"/>
      <c r="G22" s="56"/>
      <c r="H22" s="56"/>
      <c r="I22" s="50"/>
      <c r="J22" s="50"/>
    </row>
    <row r="23" spans="1:10">
      <c r="A23" s="61" t="s">
        <v>16</v>
      </c>
      <c r="B23" s="56">
        <v>5</v>
      </c>
      <c r="C23" s="56"/>
      <c r="D23" s="56"/>
      <c r="E23" s="56"/>
      <c r="F23" s="56"/>
      <c r="G23" s="56"/>
      <c r="H23" s="56"/>
      <c r="I23" s="50"/>
      <c r="J23" s="50"/>
    </row>
    <row r="24" spans="1:10">
      <c r="A24" s="61" t="s">
        <v>21</v>
      </c>
      <c r="B24" s="56">
        <v>7364677.9699999997</v>
      </c>
      <c r="C24" s="56"/>
      <c r="D24" s="56"/>
      <c r="E24" s="56"/>
      <c r="F24" s="56"/>
      <c r="G24" s="56"/>
      <c r="H24" s="56"/>
      <c r="I24" s="50"/>
      <c r="J24" s="50"/>
    </row>
    <row r="25" spans="1:10">
      <c r="A25" s="61" t="s">
        <v>22</v>
      </c>
      <c r="B25" s="56">
        <v>7408999.9999999991</v>
      </c>
      <c r="C25" s="56"/>
      <c r="D25" s="56"/>
      <c r="E25" s="56"/>
      <c r="F25" s="56"/>
      <c r="G25" s="56"/>
      <c r="H25" s="56"/>
      <c r="I25" s="50"/>
      <c r="J25" s="50"/>
    </row>
    <row r="26" spans="1:10">
      <c r="A26" s="61" t="s">
        <v>23</v>
      </c>
      <c r="B26" s="56"/>
      <c r="C26" s="56"/>
      <c r="D26" s="56"/>
      <c r="E26" s="56"/>
      <c r="F26" s="56"/>
      <c r="G26" s="56"/>
      <c r="H26" s="56"/>
      <c r="I26" s="50"/>
      <c r="J26" s="50"/>
    </row>
    <row r="27" spans="1:10">
      <c r="A27" s="61" t="s">
        <v>20</v>
      </c>
      <c r="B27" s="58">
        <f>+B24-B25-B26</f>
        <v>-44322.029999999329</v>
      </c>
      <c r="C27" s="58">
        <f t="shared" ref="C27:J27" si="3">+C24-C25-C26</f>
        <v>0</v>
      </c>
      <c r="D27" s="58">
        <f t="shared" si="3"/>
        <v>0</v>
      </c>
      <c r="E27" s="58">
        <f t="shared" si="3"/>
        <v>0</v>
      </c>
      <c r="F27" s="58">
        <f t="shared" si="3"/>
        <v>0</v>
      </c>
      <c r="G27" s="58">
        <f t="shared" si="3"/>
        <v>0</v>
      </c>
      <c r="H27" s="58">
        <f t="shared" si="3"/>
        <v>0</v>
      </c>
      <c r="I27" s="58">
        <f t="shared" si="3"/>
        <v>0</v>
      </c>
      <c r="J27" s="58">
        <f t="shared" si="3"/>
        <v>0</v>
      </c>
    </row>
    <row r="28" spans="1:10">
      <c r="A28" s="60"/>
      <c r="B28" s="56"/>
      <c r="C28" s="56"/>
      <c r="D28" s="56"/>
      <c r="E28" s="56"/>
      <c r="F28" s="56"/>
      <c r="G28" s="56"/>
      <c r="H28" s="56"/>
      <c r="I28" s="50"/>
      <c r="J28" s="50"/>
    </row>
    <row r="29" spans="1:10" ht="17.25">
      <c r="A29" s="57" t="s">
        <v>24</v>
      </c>
      <c r="B29" s="58">
        <f>+SUM(B31:B37)</f>
        <v>0</v>
      </c>
      <c r="C29" s="58">
        <f t="shared" ref="C29:J29" si="4">+SUM(C31:C37)</f>
        <v>0</v>
      </c>
      <c r="D29" s="58">
        <f t="shared" si="4"/>
        <v>12170039.369422494</v>
      </c>
      <c r="E29" s="58">
        <f t="shared" si="4"/>
        <v>6949303.1499999994</v>
      </c>
      <c r="F29" s="58">
        <f t="shared" si="4"/>
        <v>0</v>
      </c>
      <c r="G29" s="58">
        <f t="shared" si="4"/>
        <v>9099861.4062496535</v>
      </c>
      <c r="H29" s="58">
        <f t="shared" si="4"/>
        <v>2884244.99</v>
      </c>
      <c r="I29" s="58">
        <f t="shared" si="4"/>
        <v>2059807.3374996975</v>
      </c>
      <c r="J29" s="58">
        <f t="shared" si="4"/>
        <v>526284.69999999995</v>
      </c>
    </row>
    <row r="30" spans="1:10">
      <c r="A30" s="62" t="s">
        <v>25</v>
      </c>
      <c r="B30" s="56">
        <v>0</v>
      </c>
      <c r="C30" s="56">
        <v>0</v>
      </c>
      <c r="D30" s="56">
        <v>420</v>
      </c>
      <c r="E30" s="56">
        <v>37</v>
      </c>
      <c r="F30" s="56">
        <v>0</v>
      </c>
      <c r="G30" s="56">
        <v>417</v>
      </c>
      <c r="H30" s="56">
        <v>37</v>
      </c>
      <c r="I30" s="50">
        <v>76</v>
      </c>
      <c r="J30" s="50">
        <v>10</v>
      </c>
    </row>
    <row r="31" spans="1:10">
      <c r="A31" s="61" t="s">
        <v>26</v>
      </c>
      <c r="B31" s="56">
        <v>0</v>
      </c>
      <c r="C31" s="56">
        <v>0</v>
      </c>
      <c r="D31" s="56">
        <v>5757220.329999988</v>
      </c>
      <c r="E31" s="56">
        <v>5470088</v>
      </c>
      <c r="F31" s="56">
        <v>0</v>
      </c>
      <c r="G31" s="56">
        <v>4844094.5699999919</v>
      </c>
      <c r="H31" s="56">
        <v>2135382</v>
      </c>
      <c r="I31" s="50">
        <v>1176952.19</v>
      </c>
      <c r="J31" s="50">
        <v>407910.26</v>
      </c>
    </row>
    <row r="32" spans="1:10">
      <c r="A32" s="61" t="s">
        <v>27</v>
      </c>
      <c r="B32" s="56">
        <v>0</v>
      </c>
      <c r="C32" s="56">
        <v>0</v>
      </c>
      <c r="D32" s="56">
        <v>2124220.2399999998</v>
      </c>
      <c r="E32" s="56">
        <v>1479215.1499999997</v>
      </c>
      <c r="F32" s="56">
        <v>0</v>
      </c>
      <c r="G32" s="56">
        <v>1749856.0199999996</v>
      </c>
      <c r="H32" s="56">
        <v>748862.99000000011</v>
      </c>
      <c r="I32" s="50">
        <v>522219.40999999992</v>
      </c>
      <c r="J32" s="50">
        <v>118374.44</v>
      </c>
    </row>
    <row r="33" spans="1:10">
      <c r="A33" s="61" t="s">
        <v>28</v>
      </c>
      <c r="B33" s="56">
        <v>0</v>
      </c>
      <c r="C33" s="56">
        <v>0</v>
      </c>
      <c r="D33" s="56">
        <v>2558615.17</v>
      </c>
      <c r="E33" s="56">
        <v>0</v>
      </c>
      <c r="F33" s="56">
        <v>0</v>
      </c>
      <c r="G33" s="56">
        <v>1274652.56</v>
      </c>
      <c r="H33" s="56">
        <v>0</v>
      </c>
      <c r="I33" s="50">
        <v>243192</v>
      </c>
      <c r="J33" s="50">
        <v>0</v>
      </c>
    </row>
    <row r="34" spans="1:10">
      <c r="A34" s="61" t="s">
        <v>29</v>
      </c>
      <c r="B34" s="56">
        <v>0</v>
      </c>
      <c r="C34" s="56">
        <v>0</v>
      </c>
      <c r="D34" s="56">
        <v>548517.6</v>
      </c>
      <c r="E34" s="56">
        <v>0</v>
      </c>
      <c r="F34" s="56">
        <v>0</v>
      </c>
      <c r="G34" s="56">
        <v>191728.8</v>
      </c>
      <c r="H34" s="56">
        <v>0</v>
      </c>
      <c r="I34" s="50">
        <v>0</v>
      </c>
      <c r="J34" s="50">
        <v>0</v>
      </c>
    </row>
    <row r="35" spans="1:10">
      <c r="A35" s="61" t="s">
        <v>30</v>
      </c>
      <c r="B35" s="56">
        <v>0</v>
      </c>
      <c r="C35" s="56">
        <v>0</v>
      </c>
      <c r="D35" s="56">
        <v>50334.85</v>
      </c>
      <c r="E35" s="56">
        <v>0</v>
      </c>
      <c r="F35" s="56">
        <v>0</v>
      </c>
      <c r="G35" s="56">
        <v>159413.56</v>
      </c>
      <c r="H35" s="56">
        <v>0</v>
      </c>
      <c r="I35" s="50">
        <v>1872.56</v>
      </c>
      <c r="J35" s="50">
        <v>0</v>
      </c>
    </row>
    <row r="36" spans="1:10">
      <c r="A36" s="61" t="s">
        <v>31</v>
      </c>
      <c r="B36" s="56">
        <v>0</v>
      </c>
      <c r="C36" s="56">
        <v>0</v>
      </c>
      <c r="D36" s="56">
        <v>957844.48942250747</v>
      </c>
      <c r="E36" s="56">
        <v>0</v>
      </c>
      <c r="F36" s="56">
        <v>0</v>
      </c>
      <c r="G36" s="56">
        <v>880115.89624966297</v>
      </c>
      <c r="H36" s="56">
        <v>0</v>
      </c>
      <c r="I36" s="50">
        <v>115571.17749969746</v>
      </c>
      <c r="J36" s="50">
        <v>0</v>
      </c>
    </row>
    <row r="37" spans="1:10">
      <c r="A37" s="61" t="s">
        <v>32</v>
      </c>
      <c r="B37" s="56">
        <v>0</v>
      </c>
      <c r="C37" s="56">
        <v>0</v>
      </c>
      <c r="D37" s="56">
        <v>173286.69</v>
      </c>
      <c r="E37" s="56">
        <v>0</v>
      </c>
      <c r="F37" s="56">
        <v>0</v>
      </c>
      <c r="G37" s="56">
        <v>0</v>
      </c>
      <c r="H37" s="56">
        <v>0</v>
      </c>
      <c r="I37" s="50">
        <v>0</v>
      </c>
      <c r="J37" s="50">
        <v>0</v>
      </c>
    </row>
    <row r="38" spans="1:10">
      <c r="A38" s="62" t="s">
        <v>33</v>
      </c>
      <c r="B38" s="58">
        <f>+SUM(B39:B42)</f>
        <v>328995.86</v>
      </c>
      <c r="C38" s="58">
        <f t="shared" ref="C38:J38" si="5">+SUM(C39:C42)</f>
        <v>0</v>
      </c>
      <c r="D38" s="58">
        <f t="shared" si="5"/>
        <v>8905594.089999998</v>
      </c>
      <c r="E38" s="58">
        <f t="shared" si="5"/>
        <v>4015467.94</v>
      </c>
      <c r="F38" s="58">
        <f t="shared" si="5"/>
        <v>0</v>
      </c>
      <c r="G38" s="58">
        <f t="shared" si="5"/>
        <v>6696049.8299999991</v>
      </c>
      <c r="H38" s="58">
        <f t="shared" si="5"/>
        <v>1189023.98</v>
      </c>
      <c r="I38" s="58">
        <f t="shared" si="5"/>
        <v>1344771.5299999998</v>
      </c>
      <c r="J38" s="58">
        <f t="shared" si="5"/>
        <v>382488.83999999997</v>
      </c>
    </row>
    <row r="39" spans="1:10">
      <c r="A39" s="61" t="s">
        <v>34</v>
      </c>
      <c r="B39" s="56">
        <v>0</v>
      </c>
      <c r="C39" s="56">
        <v>0</v>
      </c>
      <c r="D39" s="56">
        <v>7664598.9699999988</v>
      </c>
      <c r="E39" s="56">
        <v>3869010.94</v>
      </c>
      <c r="F39" s="56">
        <v>0</v>
      </c>
      <c r="G39" s="56">
        <v>6191837.8299999991</v>
      </c>
      <c r="H39" s="56">
        <v>1078023.98</v>
      </c>
      <c r="I39" s="50">
        <v>1198384.5299999998</v>
      </c>
      <c r="J39" s="50">
        <v>358488.83999999997</v>
      </c>
    </row>
    <row r="40" spans="1:10">
      <c r="A40" s="61" t="s">
        <v>35</v>
      </c>
      <c r="B40" s="56">
        <v>0</v>
      </c>
      <c r="C40" s="56">
        <v>0</v>
      </c>
      <c r="D40" s="56">
        <v>559500</v>
      </c>
      <c r="E40" s="56">
        <v>143212</v>
      </c>
      <c r="F40" s="56">
        <v>0</v>
      </c>
      <c r="G40" s="56">
        <v>291775</v>
      </c>
      <c r="H40" s="56">
        <v>111000</v>
      </c>
      <c r="I40" s="50">
        <v>146387</v>
      </c>
      <c r="J40" s="50">
        <v>24000</v>
      </c>
    </row>
    <row r="41" spans="1:10">
      <c r="A41" s="61" t="s">
        <v>36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0">
        <v>0</v>
      </c>
      <c r="J41" s="50">
        <v>0</v>
      </c>
    </row>
    <row r="42" spans="1:10">
      <c r="A42" s="61" t="s">
        <v>37</v>
      </c>
      <c r="B42" s="56">
        <v>328995.86</v>
      </c>
      <c r="C42" s="56">
        <v>0</v>
      </c>
      <c r="D42" s="56">
        <v>681495.12</v>
      </c>
      <c r="E42" s="56">
        <v>3245</v>
      </c>
      <c r="F42" s="56">
        <v>0</v>
      </c>
      <c r="G42" s="56">
        <v>212437</v>
      </c>
      <c r="H42" s="56">
        <v>0</v>
      </c>
      <c r="I42" s="50">
        <v>0</v>
      </c>
      <c r="J42" s="50">
        <v>0</v>
      </c>
    </row>
    <row r="43" spans="1:10">
      <c r="A43" s="62" t="s">
        <v>20</v>
      </c>
      <c r="B43" s="58">
        <f>+B29-B38</f>
        <v>-328995.86</v>
      </c>
      <c r="C43" s="58">
        <f t="shared" ref="C43:J43" si="6">+C29-C38</f>
        <v>0</v>
      </c>
      <c r="D43" s="58">
        <f t="shared" si="6"/>
        <v>3264445.2794224955</v>
      </c>
      <c r="E43" s="58">
        <f t="shared" si="6"/>
        <v>2933835.2099999995</v>
      </c>
      <c r="F43" s="58">
        <f t="shared" si="6"/>
        <v>0</v>
      </c>
      <c r="G43" s="58">
        <f t="shared" si="6"/>
        <v>2403811.5762496544</v>
      </c>
      <c r="H43" s="58">
        <f t="shared" si="6"/>
        <v>1695221.0100000002</v>
      </c>
      <c r="I43" s="58">
        <f t="shared" si="6"/>
        <v>715035.80749969766</v>
      </c>
      <c r="J43" s="58">
        <f t="shared" si="6"/>
        <v>143795.85999999999</v>
      </c>
    </row>
    <row r="44" spans="1:10">
      <c r="A44" s="61" t="s">
        <v>38</v>
      </c>
      <c r="B44" s="56"/>
      <c r="C44" s="56"/>
      <c r="D44" s="56"/>
      <c r="E44" s="56"/>
      <c r="F44" s="56"/>
      <c r="G44" s="56"/>
      <c r="H44" s="56"/>
      <c r="I44" s="50"/>
      <c r="J44" s="50"/>
    </row>
    <row r="45" spans="1:10">
      <c r="A45" s="61" t="s">
        <v>39</v>
      </c>
      <c r="B45" s="56"/>
      <c r="C45" s="56"/>
      <c r="D45" s="56"/>
      <c r="E45" s="56"/>
      <c r="F45" s="56"/>
      <c r="G45" s="56"/>
      <c r="H45" s="56"/>
      <c r="I45" s="50"/>
      <c r="J45" s="50"/>
    </row>
    <row r="46" spans="1:10">
      <c r="A46" s="61" t="s">
        <v>40</v>
      </c>
      <c r="B46" s="56"/>
      <c r="C46" s="56"/>
      <c r="D46" s="56"/>
      <c r="E46" s="56"/>
      <c r="F46" s="56"/>
      <c r="G46" s="56"/>
      <c r="H46" s="56"/>
      <c r="I46" s="50"/>
      <c r="J46" s="50"/>
    </row>
    <row r="47" spans="1:10">
      <c r="A47" s="62" t="s">
        <v>41</v>
      </c>
      <c r="B47" s="58">
        <f>+B43+B44+B45+B46</f>
        <v>-328995.86</v>
      </c>
      <c r="C47" s="58">
        <f t="shared" ref="C47:J47" si="7">+C43+C44+C45+C46</f>
        <v>0</v>
      </c>
      <c r="D47" s="58">
        <f t="shared" si="7"/>
        <v>3264445.2794224955</v>
      </c>
      <c r="E47" s="58">
        <f t="shared" si="7"/>
        <v>2933835.2099999995</v>
      </c>
      <c r="F47" s="58">
        <f t="shared" si="7"/>
        <v>0</v>
      </c>
      <c r="G47" s="58">
        <f t="shared" si="7"/>
        <v>2403811.5762496544</v>
      </c>
      <c r="H47" s="58">
        <f t="shared" si="7"/>
        <v>1695221.0100000002</v>
      </c>
      <c r="I47" s="58">
        <f t="shared" si="7"/>
        <v>715035.80749969766</v>
      </c>
      <c r="J47" s="58">
        <f t="shared" si="7"/>
        <v>143795.85999999999</v>
      </c>
    </row>
    <row r="48" spans="1:10">
      <c r="A48" s="60"/>
      <c r="B48" s="56"/>
      <c r="C48" s="56"/>
      <c r="D48" s="56"/>
      <c r="E48" s="56"/>
      <c r="F48" s="56"/>
      <c r="G48" s="56"/>
      <c r="H48" s="56"/>
      <c r="I48" s="50"/>
      <c r="J48" s="50"/>
    </row>
    <row r="49" spans="1:10" ht="17.25">
      <c r="A49" s="57" t="s">
        <v>42</v>
      </c>
      <c r="B49" s="58">
        <f>+B51+B52</f>
        <v>0</v>
      </c>
      <c r="C49" s="58">
        <f t="shared" ref="C49:J49" si="8">+C51+C52</f>
        <v>1267049.7999999998</v>
      </c>
      <c r="D49" s="58">
        <f t="shared" si="8"/>
        <v>0</v>
      </c>
      <c r="E49" s="58">
        <f t="shared" si="8"/>
        <v>0</v>
      </c>
      <c r="F49" s="58">
        <f t="shared" si="8"/>
        <v>0</v>
      </c>
      <c r="G49" s="58">
        <f t="shared" si="8"/>
        <v>0</v>
      </c>
      <c r="H49" s="58">
        <f t="shared" si="8"/>
        <v>0</v>
      </c>
      <c r="I49" s="58">
        <f t="shared" si="8"/>
        <v>0</v>
      </c>
      <c r="J49" s="58">
        <f t="shared" si="8"/>
        <v>0</v>
      </c>
    </row>
    <row r="50" spans="1:10">
      <c r="A50" s="61" t="s">
        <v>3</v>
      </c>
      <c r="B50" s="56"/>
      <c r="C50" s="56"/>
      <c r="D50" s="56"/>
      <c r="E50" s="56"/>
      <c r="F50" s="56"/>
      <c r="G50" s="56"/>
      <c r="H50" s="56"/>
      <c r="I50" s="50"/>
      <c r="J50" s="50"/>
    </row>
    <row r="51" spans="1:10">
      <c r="A51" s="61" t="s">
        <v>43</v>
      </c>
      <c r="B51" s="56"/>
      <c r="C51" s="56">
        <v>537519.81999999995</v>
      </c>
      <c r="D51" s="56"/>
      <c r="E51" s="56"/>
      <c r="F51" s="56"/>
      <c r="G51" s="56"/>
      <c r="H51" s="56"/>
      <c r="I51" s="50"/>
      <c r="J51" s="50"/>
    </row>
    <row r="52" spans="1:10">
      <c r="A52" s="61" t="s">
        <v>30</v>
      </c>
      <c r="B52" s="56"/>
      <c r="C52" s="56">
        <v>729529.98</v>
      </c>
      <c r="D52" s="56"/>
      <c r="E52" s="56"/>
      <c r="F52" s="56"/>
      <c r="G52" s="56"/>
      <c r="H52" s="56"/>
      <c r="I52" s="50"/>
      <c r="J52" s="50"/>
    </row>
    <row r="53" spans="1:10">
      <c r="A53" s="61" t="s">
        <v>33</v>
      </c>
      <c r="B53" s="56"/>
      <c r="C53" s="56">
        <v>1190830.9499999997</v>
      </c>
      <c r="D53" s="56"/>
      <c r="E53" s="56"/>
      <c r="F53" s="56"/>
      <c r="G53" s="56"/>
      <c r="H53" s="56"/>
      <c r="I53" s="50"/>
      <c r="J53" s="50"/>
    </row>
    <row r="54" spans="1:10">
      <c r="A54" s="62" t="s">
        <v>20</v>
      </c>
      <c r="B54" s="58">
        <f>+B49-B53</f>
        <v>0</v>
      </c>
      <c r="C54" s="58">
        <f>+C49-C53</f>
        <v>76218.850000000093</v>
      </c>
      <c r="D54" s="58">
        <f t="shared" ref="D54:J54" si="9">+D49-D53</f>
        <v>0</v>
      </c>
      <c r="E54" s="58">
        <f t="shared" si="9"/>
        <v>0</v>
      </c>
      <c r="F54" s="58">
        <f t="shared" si="9"/>
        <v>0</v>
      </c>
      <c r="G54" s="58">
        <f t="shared" si="9"/>
        <v>0</v>
      </c>
      <c r="H54" s="58">
        <f t="shared" si="9"/>
        <v>0</v>
      </c>
      <c r="I54" s="58">
        <f t="shared" si="9"/>
        <v>0</v>
      </c>
      <c r="J54" s="58">
        <f t="shared" si="9"/>
        <v>0</v>
      </c>
    </row>
    <row r="55" spans="1:10">
      <c r="A55" s="61" t="s">
        <v>44</v>
      </c>
      <c r="B55" s="56">
        <v>0</v>
      </c>
      <c r="C55" s="56">
        <v>350788</v>
      </c>
      <c r="D55" s="56">
        <v>222270</v>
      </c>
      <c r="E55" s="56">
        <v>0</v>
      </c>
      <c r="F55" s="56">
        <v>0</v>
      </c>
      <c r="G55" s="56">
        <v>310540</v>
      </c>
      <c r="H55" s="56">
        <v>0</v>
      </c>
      <c r="I55" s="50">
        <v>60770</v>
      </c>
      <c r="J55" s="50">
        <v>0</v>
      </c>
    </row>
    <row r="56" spans="1:10">
      <c r="A56" s="61" t="s">
        <v>33</v>
      </c>
      <c r="B56" s="56">
        <v>0</v>
      </c>
      <c r="C56" s="56">
        <v>175394</v>
      </c>
      <c r="D56" s="56">
        <v>111135</v>
      </c>
      <c r="E56" s="56">
        <v>0</v>
      </c>
      <c r="F56" s="56">
        <v>0</v>
      </c>
      <c r="G56" s="56">
        <v>155270</v>
      </c>
      <c r="H56" s="56">
        <v>0</v>
      </c>
      <c r="I56" s="50">
        <v>30385</v>
      </c>
      <c r="J56" s="50">
        <v>0</v>
      </c>
    </row>
    <row r="57" spans="1:10">
      <c r="A57" s="62" t="s">
        <v>20</v>
      </c>
      <c r="B57" s="58">
        <f t="shared" ref="B57:J57" si="10">+B55-B56</f>
        <v>0</v>
      </c>
      <c r="C57" s="58">
        <f t="shared" si="10"/>
        <v>175394</v>
      </c>
      <c r="D57" s="58">
        <f t="shared" si="10"/>
        <v>111135</v>
      </c>
      <c r="E57" s="58">
        <f t="shared" si="10"/>
        <v>0</v>
      </c>
      <c r="F57" s="58">
        <f t="shared" si="10"/>
        <v>0</v>
      </c>
      <c r="G57" s="58">
        <f t="shared" si="10"/>
        <v>155270</v>
      </c>
      <c r="H57" s="58">
        <f t="shared" si="10"/>
        <v>0</v>
      </c>
      <c r="I57" s="58">
        <f t="shared" si="10"/>
        <v>30385</v>
      </c>
      <c r="J57" s="58">
        <f t="shared" si="10"/>
        <v>0</v>
      </c>
    </row>
    <row r="58" spans="1:10">
      <c r="A58" s="62" t="s">
        <v>45</v>
      </c>
      <c r="B58" s="56">
        <f>+B54+B57</f>
        <v>0</v>
      </c>
      <c r="C58" s="56">
        <f t="shared" ref="C58:J58" si="11">+C54+C57</f>
        <v>251612.85000000009</v>
      </c>
      <c r="D58" s="56">
        <f t="shared" si="11"/>
        <v>111135</v>
      </c>
      <c r="E58" s="56">
        <f t="shared" si="11"/>
        <v>0</v>
      </c>
      <c r="F58" s="56">
        <f t="shared" si="11"/>
        <v>0</v>
      </c>
      <c r="G58" s="56">
        <f t="shared" si="11"/>
        <v>155270</v>
      </c>
      <c r="H58" s="56">
        <f t="shared" si="11"/>
        <v>0</v>
      </c>
      <c r="I58" s="56">
        <f t="shared" si="11"/>
        <v>30385</v>
      </c>
      <c r="J58" s="56">
        <f t="shared" si="11"/>
        <v>0</v>
      </c>
    </row>
    <row r="59" spans="1:10">
      <c r="A59" s="60"/>
      <c r="B59" s="56"/>
      <c r="C59" s="56"/>
      <c r="D59" s="56"/>
      <c r="E59" s="56"/>
      <c r="F59" s="56"/>
      <c r="G59" s="56"/>
      <c r="H59" s="56"/>
      <c r="I59" s="50"/>
      <c r="J59" s="50"/>
    </row>
    <row r="60" spans="1:10">
      <c r="A60" s="63" t="s">
        <v>46</v>
      </c>
      <c r="B60" s="58">
        <f>+SUM(B61:B69)</f>
        <v>1568503.8399999999</v>
      </c>
      <c r="C60" s="58">
        <f t="shared" ref="C60:J60" si="12">+SUM(C61:C69)</f>
        <v>0</v>
      </c>
      <c r="D60" s="58">
        <f t="shared" si="12"/>
        <v>120813.746</v>
      </c>
      <c r="E60" s="58">
        <f t="shared" si="12"/>
        <v>1012392.164</v>
      </c>
      <c r="F60" s="58">
        <f t="shared" si="12"/>
        <v>690306.45499999996</v>
      </c>
      <c r="G60" s="58">
        <f t="shared" si="12"/>
        <v>5661.8729999999996</v>
      </c>
      <c r="H60" s="58">
        <f t="shared" si="12"/>
        <v>3774.5820000000003</v>
      </c>
      <c r="I60" s="58">
        <f t="shared" si="12"/>
        <v>0</v>
      </c>
      <c r="J60" s="58">
        <f t="shared" si="12"/>
        <v>0</v>
      </c>
    </row>
    <row r="61" spans="1:10">
      <c r="A61" s="61" t="s">
        <v>47</v>
      </c>
      <c r="B61" s="56">
        <v>276068.96000000002</v>
      </c>
      <c r="C61" s="56">
        <v>0</v>
      </c>
      <c r="D61" s="56">
        <v>0</v>
      </c>
      <c r="E61" s="56">
        <v>0</v>
      </c>
      <c r="F61" s="56">
        <v>129257</v>
      </c>
      <c r="G61" s="56">
        <v>0</v>
      </c>
      <c r="H61" s="56">
        <v>0</v>
      </c>
      <c r="I61" s="50">
        <v>0</v>
      </c>
      <c r="J61" s="50">
        <v>0</v>
      </c>
    </row>
    <row r="62" spans="1:10">
      <c r="A62" s="61" t="s">
        <v>48</v>
      </c>
      <c r="B62" s="56">
        <v>0</v>
      </c>
      <c r="C62" s="56">
        <v>0</v>
      </c>
      <c r="D62" s="56">
        <v>0</v>
      </c>
      <c r="E62" s="56">
        <v>1004843</v>
      </c>
      <c r="F62" s="56">
        <v>0</v>
      </c>
      <c r="G62" s="56">
        <v>0</v>
      </c>
      <c r="H62" s="56">
        <v>0</v>
      </c>
      <c r="I62" s="50">
        <v>0</v>
      </c>
      <c r="J62" s="50">
        <v>0</v>
      </c>
    </row>
    <row r="63" spans="1:10">
      <c r="A63" s="61" t="s">
        <v>49</v>
      </c>
      <c r="B63" s="56">
        <v>542271</v>
      </c>
      <c r="C63" s="56">
        <v>0</v>
      </c>
      <c r="D63" s="56">
        <v>0</v>
      </c>
      <c r="E63" s="56">
        <v>0</v>
      </c>
      <c r="F63" s="56">
        <v>141613</v>
      </c>
      <c r="G63" s="56">
        <v>0</v>
      </c>
      <c r="H63" s="56">
        <v>0</v>
      </c>
      <c r="I63" s="50">
        <v>0</v>
      </c>
      <c r="J63" s="50">
        <v>0</v>
      </c>
    </row>
    <row r="64" spans="1:10">
      <c r="A64" s="61" t="s">
        <v>50</v>
      </c>
      <c r="B64" s="56">
        <v>225000</v>
      </c>
      <c r="C64" s="56">
        <v>0</v>
      </c>
      <c r="D64" s="56">
        <v>0</v>
      </c>
      <c r="E64" s="56">
        <v>0</v>
      </c>
      <c r="F64" s="56">
        <v>135000</v>
      </c>
      <c r="G64" s="56">
        <v>0</v>
      </c>
      <c r="H64" s="56">
        <v>0</v>
      </c>
      <c r="I64" s="50">
        <v>0</v>
      </c>
      <c r="J64" s="50">
        <v>0</v>
      </c>
    </row>
    <row r="65" spans="1:10">
      <c r="A65" s="61" t="s">
        <v>51</v>
      </c>
      <c r="B65" s="56">
        <v>0</v>
      </c>
      <c r="C65" s="56">
        <v>0</v>
      </c>
      <c r="D65" s="56">
        <v>0</v>
      </c>
      <c r="E65" s="56">
        <v>0</v>
      </c>
      <c r="F65" s="56">
        <v>0</v>
      </c>
      <c r="G65" s="56">
        <v>0</v>
      </c>
      <c r="H65" s="56">
        <v>0</v>
      </c>
      <c r="I65" s="50">
        <v>0</v>
      </c>
      <c r="J65" s="50">
        <v>0</v>
      </c>
    </row>
    <row r="66" spans="1:10">
      <c r="A66" s="61" t="s">
        <v>52</v>
      </c>
      <c r="B66" s="56">
        <v>0</v>
      </c>
      <c r="C66" s="56">
        <v>0</v>
      </c>
      <c r="D66" s="56">
        <v>109490</v>
      </c>
      <c r="E66" s="56">
        <v>0</v>
      </c>
      <c r="F66" s="56">
        <v>0</v>
      </c>
      <c r="G66" s="56">
        <v>0</v>
      </c>
      <c r="H66" s="56">
        <v>0</v>
      </c>
      <c r="I66" s="50">
        <v>0</v>
      </c>
      <c r="J66" s="50">
        <v>0</v>
      </c>
    </row>
    <row r="67" spans="1:10">
      <c r="A67" s="61" t="s">
        <v>53</v>
      </c>
      <c r="B67" s="56">
        <v>500000</v>
      </c>
      <c r="C67" s="56">
        <v>0</v>
      </c>
      <c r="D67" s="56">
        <v>0</v>
      </c>
      <c r="E67" s="56">
        <v>0</v>
      </c>
      <c r="F67" s="56">
        <v>275000</v>
      </c>
      <c r="G67" s="56">
        <v>0</v>
      </c>
      <c r="H67" s="56">
        <v>0</v>
      </c>
      <c r="I67" s="50">
        <v>0</v>
      </c>
      <c r="J67" s="50">
        <v>0</v>
      </c>
    </row>
    <row r="68" spans="1:10">
      <c r="A68" s="61" t="s">
        <v>54</v>
      </c>
      <c r="B68" s="56">
        <v>25163.880000000005</v>
      </c>
      <c r="C68" s="56">
        <v>0</v>
      </c>
      <c r="D68" s="56">
        <v>11323.745999999999</v>
      </c>
      <c r="E68" s="56">
        <v>7549.1640000000007</v>
      </c>
      <c r="F68" s="56">
        <v>9436.4549999999999</v>
      </c>
      <c r="G68" s="56">
        <v>5661.8729999999996</v>
      </c>
      <c r="H68" s="56">
        <v>3774.5820000000003</v>
      </c>
      <c r="I68" s="50">
        <v>0</v>
      </c>
      <c r="J68" s="50">
        <v>0</v>
      </c>
    </row>
    <row r="69" spans="1:10">
      <c r="A69" s="61" t="s">
        <v>55</v>
      </c>
      <c r="B69" s="56">
        <v>0</v>
      </c>
      <c r="C69" s="56">
        <v>0</v>
      </c>
      <c r="D69" s="56">
        <v>0</v>
      </c>
      <c r="E69" s="56">
        <v>0</v>
      </c>
      <c r="F69" s="56">
        <v>0</v>
      </c>
      <c r="G69" s="56">
        <v>0</v>
      </c>
      <c r="H69" s="56">
        <v>0</v>
      </c>
      <c r="I69" s="50">
        <v>0</v>
      </c>
      <c r="J69" s="50">
        <v>0</v>
      </c>
    </row>
    <row r="70" spans="1:10">
      <c r="A70" s="64" t="s">
        <v>56</v>
      </c>
      <c r="B70" s="58">
        <f>+(B7/3.5%)+B8+B13+B29+B27+B49+B55+B60</f>
        <v>107164113.17378379</v>
      </c>
      <c r="C70" s="58">
        <f t="shared" ref="C70:J70" si="13">+(C7/3.5%)+C8+C13+C29+C27+C49+C55+C60</f>
        <v>1617837.7999999998</v>
      </c>
      <c r="D70" s="58">
        <f t="shared" si="13"/>
        <v>12513123.115422493</v>
      </c>
      <c r="E70" s="58">
        <f t="shared" si="13"/>
        <v>7961695.3139999993</v>
      </c>
      <c r="F70" s="58">
        <f t="shared" si="13"/>
        <v>74065700.846837625</v>
      </c>
      <c r="G70" s="58">
        <f t="shared" si="13"/>
        <v>9416063.2792496532</v>
      </c>
      <c r="H70" s="58">
        <f t="shared" si="13"/>
        <v>2888019.5720000002</v>
      </c>
      <c r="I70" s="58">
        <f t="shared" si="13"/>
        <v>2120577.3374996977</v>
      </c>
      <c r="J70" s="58">
        <f t="shared" si="13"/>
        <v>526284.69999999995</v>
      </c>
    </row>
    <row r="71" spans="1:10">
      <c r="A71" s="64" t="s">
        <v>57</v>
      </c>
      <c r="B71" s="58">
        <f>+B6+B27+B47+B58+B60</f>
        <v>6600487.1415837845</v>
      </c>
      <c r="C71" s="58">
        <f t="shared" ref="C71:J71" si="14">+C6+C27+C47+C58+C60</f>
        <v>251612.85000000009</v>
      </c>
      <c r="D71" s="58">
        <f t="shared" si="14"/>
        <v>3496394.0254224953</v>
      </c>
      <c r="E71" s="58">
        <f t="shared" si="14"/>
        <v>3946227.3739999994</v>
      </c>
      <c r="F71" s="58">
        <f t="shared" si="14"/>
        <v>4415048.2782376222</v>
      </c>
      <c r="G71" s="58">
        <f t="shared" si="14"/>
        <v>2564743.4492496545</v>
      </c>
      <c r="H71" s="58">
        <f t="shared" si="14"/>
        <v>1698995.5920000002</v>
      </c>
      <c r="I71" s="58">
        <f t="shared" si="14"/>
        <v>745420.80749969766</v>
      </c>
      <c r="J71" s="58">
        <f t="shared" si="14"/>
        <v>143795.85999999999</v>
      </c>
    </row>
    <row r="72" spans="1:10">
      <c r="A72" s="65" t="s">
        <v>58</v>
      </c>
      <c r="B72" s="111">
        <f>IFERROR(B71/B70,0)</f>
        <v>6.1592327376236822E-2</v>
      </c>
      <c r="C72" s="111">
        <f t="shared" ref="C72:J72" si="15">IFERROR(C71/C70,0)</f>
        <v>0.1555241508141299</v>
      </c>
      <c r="D72" s="111">
        <f t="shared" si="15"/>
        <v>0.27941817507678562</v>
      </c>
      <c r="E72" s="111">
        <f t="shared" si="15"/>
        <v>0.49565164432515729</v>
      </c>
      <c r="F72" s="111">
        <f t="shared" si="15"/>
        <v>5.9609889972790708E-2</v>
      </c>
      <c r="G72" s="111">
        <f t="shared" si="15"/>
        <v>0.2723795893451168</v>
      </c>
      <c r="H72" s="111">
        <f t="shared" si="15"/>
        <v>0.58829088572395594</v>
      </c>
      <c r="I72" s="111">
        <f t="shared" si="15"/>
        <v>0.3515178599327099</v>
      </c>
      <c r="J72" s="111">
        <f t="shared" si="15"/>
        <v>0.27322827359412122</v>
      </c>
    </row>
    <row r="73" spans="1:10">
      <c r="A73" s="60"/>
      <c r="B73" s="56"/>
      <c r="C73" s="56"/>
      <c r="D73" s="56"/>
      <c r="E73" s="56"/>
      <c r="F73" s="56"/>
      <c r="G73" s="56"/>
      <c r="H73" s="56"/>
      <c r="I73" s="50"/>
      <c r="J73" s="50"/>
    </row>
    <row r="74" spans="1:10">
      <c r="A74" s="60"/>
      <c r="B74" s="56"/>
      <c r="C74" s="56"/>
      <c r="D74" s="56"/>
      <c r="E74" s="56"/>
      <c r="F74" s="56"/>
      <c r="G74" s="56"/>
      <c r="H74" s="56"/>
      <c r="I74" s="50"/>
      <c r="J74" s="50"/>
    </row>
    <row r="75" spans="1:10" ht="17.25">
      <c r="A75" s="17" t="s">
        <v>59</v>
      </c>
      <c r="B75" s="67">
        <f>+B76+B87+B90</f>
        <v>2016209.25</v>
      </c>
      <c r="C75" s="67">
        <f t="shared" ref="C75:J75" si="16">+C76+C87+C90</f>
        <v>8200</v>
      </c>
      <c r="D75" s="67">
        <f t="shared" si="16"/>
        <v>199712.19131727799</v>
      </c>
      <c r="E75" s="67">
        <f t="shared" si="16"/>
        <v>116616.8767705332</v>
      </c>
      <c r="F75" s="67">
        <f t="shared" si="16"/>
        <v>1194309.5049999999</v>
      </c>
      <c r="G75" s="67">
        <f t="shared" si="16"/>
        <v>77809.334999999992</v>
      </c>
      <c r="H75" s="67">
        <f t="shared" si="16"/>
        <v>53782.877707399995</v>
      </c>
      <c r="I75" s="67">
        <f t="shared" si="16"/>
        <v>220885.53</v>
      </c>
      <c r="J75" s="67">
        <f t="shared" si="16"/>
        <v>0</v>
      </c>
    </row>
    <row r="76" spans="1:10">
      <c r="A76" s="66" t="s">
        <v>60</v>
      </c>
      <c r="B76" s="67">
        <f>+SUM(B77:B86)</f>
        <v>364113.74</v>
      </c>
      <c r="C76" s="67">
        <f t="shared" ref="C76:J76" si="17">+SUM(C77:C86)</f>
        <v>0</v>
      </c>
      <c r="D76" s="67">
        <f t="shared" si="17"/>
        <v>2130</v>
      </c>
      <c r="E76" s="67">
        <f t="shared" si="17"/>
        <v>19417</v>
      </c>
      <c r="F76" s="67">
        <f t="shared" si="17"/>
        <v>412998.13</v>
      </c>
      <c r="G76" s="67">
        <f t="shared" si="17"/>
        <v>765</v>
      </c>
      <c r="H76" s="67">
        <f t="shared" si="17"/>
        <v>510</v>
      </c>
      <c r="I76" s="67">
        <f t="shared" si="17"/>
        <v>96960</v>
      </c>
      <c r="J76" s="67">
        <f t="shared" si="17"/>
        <v>0</v>
      </c>
    </row>
    <row r="77" spans="1:10">
      <c r="A77" s="61" t="s">
        <v>61</v>
      </c>
      <c r="B77" s="68">
        <v>25700</v>
      </c>
      <c r="C77" s="68">
        <v>0</v>
      </c>
      <c r="D77" s="68">
        <v>0</v>
      </c>
      <c r="E77" s="68">
        <v>0</v>
      </c>
      <c r="F77" s="68">
        <v>62110</v>
      </c>
      <c r="G77" s="68">
        <v>0</v>
      </c>
      <c r="H77" s="68">
        <v>0</v>
      </c>
      <c r="I77" s="68">
        <v>600</v>
      </c>
      <c r="J77" s="68">
        <v>0</v>
      </c>
    </row>
    <row r="78" spans="1:10">
      <c r="A78" s="61" t="s">
        <v>62</v>
      </c>
      <c r="B78" s="68">
        <v>284678.89</v>
      </c>
      <c r="C78" s="68">
        <v>0</v>
      </c>
      <c r="D78" s="68">
        <v>600</v>
      </c>
      <c r="E78" s="68">
        <v>0</v>
      </c>
      <c r="F78" s="68">
        <v>210839.16</v>
      </c>
      <c r="G78" s="68">
        <v>0</v>
      </c>
      <c r="H78" s="68">
        <v>0</v>
      </c>
      <c r="I78" s="68">
        <v>95960</v>
      </c>
      <c r="J78" s="68">
        <v>0</v>
      </c>
    </row>
    <row r="79" spans="1:10">
      <c r="A79" s="61" t="s">
        <v>63</v>
      </c>
      <c r="B79" s="68">
        <v>0</v>
      </c>
      <c r="C79" s="68">
        <v>0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400</v>
      </c>
      <c r="J79" s="68">
        <v>0</v>
      </c>
    </row>
    <row r="80" spans="1:10">
      <c r="A80" s="61" t="s">
        <v>221</v>
      </c>
      <c r="B80" s="68">
        <v>50334.85</v>
      </c>
      <c r="C80" s="68">
        <v>0</v>
      </c>
      <c r="D80" s="68">
        <v>0</v>
      </c>
      <c r="E80" s="68">
        <v>0</v>
      </c>
      <c r="F80" s="68">
        <v>78773.97</v>
      </c>
      <c r="G80" s="68">
        <v>0</v>
      </c>
      <c r="H80" s="68">
        <v>0</v>
      </c>
      <c r="I80" s="68">
        <v>0</v>
      </c>
      <c r="J80" s="68">
        <v>0</v>
      </c>
    </row>
    <row r="81" spans="1:10">
      <c r="A81" s="61" t="s">
        <v>65</v>
      </c>
      <c r="B81" s="68">
        <v>0</v>
      </c>
      <c r="C81" s="68">
        <v>0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</row>
    <row r="82" spans="1:10">
      <c r="A82" s="61" t="s">
        <v>66</v>
      </c>
      <c r="B82" s="68">
        <v>3400</v>
      </c>
      <c r="C82" s="68">
        <v>0</v>
      </c>
      <c r="D82" s="68">
        <v>1530</v>
      </c>
      <c r="E82" s="68">
        <v>19417</v>
      </c>
      <c r="F82" s="68">
        <v>1275</v>
      </c>
      <c r="G82" s="68">
        <v>765</v>
      </c>
      <c r="H82" s="68">
        <v>510</v>
      </c>
      <c r="I82" s="68">
        <v>0</v>
      </c>
      <c r="J82" s="68">
        <v>0</v>
      </c>
    </row>
    <row r="83" spans="1:10">
      <c r="A83" s="61" t="s">
        <v>67</v>
      </c>
      <c r="B83" s="68">
        <v>0</v>
      </c>
      <c r="C83" s="68">
        <v>0</v>
      </c>
      <c r="D83" s="68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</row>
    <row r="84" spans="1:10">
      <c r="A84" s="61" t="s">
        <v>68</v>
      </c>
      <c r="B84" s="68">
        <v>0</v>
      </c>
      <c r="C84" s="68">
        <v>0</v>
      </c>
      <c r="D84" s="68">
        <v>0</v>
      </c>
      <c r="E84" s="68">
        <v>0</v>
      </c>
      <c r="F84" s="68">
        <v>0</v>
      </c>
      <c r="G84" s="68">
        <v>0</v>
      </c>
      <c r="H84" s="68">
        <v>0</v>
      </c>
      <c r="I84" s="68">
        <v>0</v>
      </c>
      <c r="J84" s="68">
        <v>0</v>
      </c>
    </row>
    <row r="85" spans="1:10">
      <c r="A85" s="61" t="s">
        <v>69</v>
      </c>
      <c r="B85" s="68">
        <v>0</v>
      </c>
      <c r="C85" s="68">
        <v>0</v>
      </c>
      <c r="D85" s="68">
        <v>0</v>
      </c>
      <c r="E85" s="68">
        <v>0</v>
      </c>
      <c r="F85" s="68">
        <v>60000</v>
      </c>
      <c r="G85" s="68">
        <v>0</v>
      </c>
      <c r="H85" s="68">
        <v>0</v>
      </c>
      <c r="I85" s="68">
        <v>0</v>
      </c>
      <c r="J85" s="68">
        <v>0</v>
      </c>
    </row>
    <row r="86" spans="1:10">
      <c r="A86" s="61" t="s">
        <v>70</v>
      </c>
      <c r="B86" s="68">
        <v>0</v>
      </c>
      <c r="C86" s="68">
        <v>0</v>
      </c>
      <c r="D86" s="68">
        <v>0</v>
      </c>
      <c r="E86" s="68">
        <v>0</v>
      </c>
      <c r="F86" s="68">
        <v>0</v>
      </c>
      <c r="G86" s="68">
        <v>0</v>
      </c>
      <c r="H86" s="68">
        <v>0</v>
      </c>
      <c r="I86" s="68">
        <v>0</v>
      </c>
      <c r="J86" s="68">
        <v>0</v>
      </c>
    </row>
    <row r="87" spans="1:10">
      <c r="A87" s="66" t="s">
        <v>71</v>
      </c>
      <c r="B87" s="67">
        <f>+SUM(B88:B89)</f>
        <v>1002593</v>
      </c>
      <c r="C87" s="67">
        <f t="shared" ref="C87:J87" si="18">+SUM(C88:C89)</f>
        <v>8200</v>
      </c>
      <c r="D87" s="67">
        <f t="shared" si="18"/>
        <v>154492.791317278</v>
      </c>
      <c r="E87" s="67">
        <f t="shared" si="18"/>
        <v>94856.276770533193</v>
      </c>
      <c r="F87" s="67">
        <f t="shared" si="18"/>
        <v>224333</v>
      </c>
      <c r="G87" s="67">
        <f t="shared" si="18"/>
        <v>44713.4</v>
      </c>
      <c r="H87" s="67">
        <f t="shared" si="18"/>
        <v>42131.627707399995</v>
      </c>
      <c r="I87" s="67">
        <f t="shared" si="18"/>
        <v>51450</v>
      </c>
      <c r="J87" s="67">
        <f t="shared" si="18"/>
        <v>0</v>
      </c>
    </row>
    <row r="88" spans="1:10">
      <c r="A88" s="61" t="s">
        <v>222</v>
      </c>
      <c r="B88" s="68">
        <v>1002593</v>
      </c>
      <c r="C88" s="68">
        <v>8200</v>
      </c>
      <c r="D88" s="68">
        <v>154492.791317278</v>
      </c>
      <c r="E88" s="68">
        <v>94856.276770533193</v>
      </c>
      <c r="F88" s="68">
        <v>224333</v>
      </c>
      <c r="G88" s="68">
        <v>44713.4</v>
      </c>
      <c r="H88" s="68">
        <v>42131.627707399995</v>
      </c>
      <c r="I88" s="68">
        <v>51450</v>
      </c>
      <c r="J88" s="68">
        <v>0</v>
      </c>
    </row>
    <row r="89" spans="1:10">
      <c r="A89" s="61" t="s">
        <v>223</v>
      </c>
      <c r="B89" s="68"/>
      <c r="C89" s="68"/>
      <c r="D89" s="68"/>
      <c r="E89" s="68"/>
      <c r="F89" s="68"/>
      <c r="G89" s="68"/>
      <c r="H89" s="68"/>
      <c r="I89" s="68"/>
      <c r="J89" s="68"/>
    </row>
    <row r="90" spans="1:10">
      <c r="A90" s="66" t="s">
        <v>72</v>
      </c>
      <c r="B90" s="67">
        <f>+SUM(B91:B102)</f>
        <v>649502.51</v>
      </c>
      <c r="C90" s="67">
        <f t="shared" ref="C90:J90" si="19">+SUM(C91:C102)</f>
        <v>0</v>
      </c>
      <c r="D90" s="67">
        <f t="shared" si="19"/>
        <v>43089.4</v>
      </c>
      <c r="E90" s="67">
        <f t="shared" si="19"/>
        <v>2343.6</v>
      </c>
      <c r="F90" s="67">
        <f t="shared" si="19"/>
        <v>556978.37499999988</v>
      </c>
      <c r="G90" s="67">
        <f t="shared" si="19"/>
        <v>32330.934999999998</v>
      </c>
      <c r="H90" s="67">
        <f t="shared" si="19"/>
        <v>11141.25</v>
      </c>
      <c r="I90" s="67">
        <f t="shared" si="19"/>
        <v>72475.53</v>
      </c>
      <c r="J90" s="67">
        <f t="shared" si="19"/>
        <v>0</v>
      </c>
    </row>
    <row r="91" spans="1:10">
      <c r="A91" s="61" t="s">
        <v>224</v>
      </c>
      <c r="B91" s="68">
        <v>0</v>
      </c>
      <c r="C91" s="68">
        <v>0</v>
      </c>
      <c r="D91" s="68">
        <v>0</v>
      </c>
      <c r="E91" s="68">
        <v>0</v>
      </c>
      <c r="F91" s="68">
        <v>0</v>
      </c>
      <c r="G91" s="68">
        <v>0</v>
      </c>
      <c r="H91" s="68">
        <v>0</v>
      </c>
      <c r="I91" s="68">
        <v>0</v>
      </c>
      <c r="J91" s="68">
        <v>0</v>
      </c>
    </row>
    <row r="92" spans="1:10">
      <c r="A92" s="61" t="s">
        <v>73</v>
      </c>
      <c r="B92" s="68">
        <v>0</v>
      </c>
      <c r="C92" s="68">
        <v>0</v>
      </c>
      <c r="D92" s="68">
        <v>900</v>
      </c>
      <c r="E92" s="68">
        <v>0</v>
      </c>
      <c r="F92" s="68">
        <v>1500</v>
      </c>
      <c r="G92" s="68">
        <v>900</v>
      </c>
      <c r="H92" s="68">
        <v>600</v>
      </c>
      <c r="I92" s="68">
        <v>0</v>
      </c>
      <c r="J92" s="68">
        <v>0</v>
      </c>
    </row>
    <row r="93" spans="1:10">
      <c r="A93" s="61" t="s">
        <v>74</v>
      </c>
      <c r="B93" s="68">
        <v>397541.34</v>
      </c>
      <c r="C93" s="68">
        <v>0</v>
      </c>
      <c r="D93" s="68">
        <v>0</v>
      </c>
      <c r="E93" s="68">
        <v>0</v>
      </c>
      <c r="F93" s="68">
        <v>265838.185</v>
      </c>
      <c r="G93" s="68">
        <v>486.375</v>
      </c>
      <c r="H93" s="68">
        <v>324.25</v>
      </c>
      <c r="I93" s="68">
        <v>40850</v>
      </c>
      <c r="J93" s="68">
        <v>0</v>
      </c>
    </row>
    <row r="94" spans="1:10">
      <c r="A94" s="61" t="s">
        <v>75</v>
      </c>
      <c r="B94" s="68">
        <v>7500</v>
      </c>
      <c r="C94" s="68">
        <v>0</v>
      </c>
      <c r="D94" s="68">
        <v>0</v>
      </c>
      <c r="E94" s="68">
        <v>0</v>
      </c>
      <c r="F94" s="68">
        <v>3000</v>
      </c>
      <c r="G94" s="68">
        <v>0</v>
      </c>
      <c r="H94" s="68">
        <v>0</v>
      </c>
      <c r="I94" s="68">
        <v>0</v>
      </c>
      <c r="J94" s="68">
        <v>0</v>
      </c>
    </row>
    <row r="95" spans="1:10">
      <c r="A95" s="61" t="s">
        <v>76</v>
      </c>
      <c r="B95" s="68">
        <v>0</v>
      </c>
      <c r="C95" s="68">
        <v>0</v>
      </c>
      <c r="D95" s="68">
        <v>0</v>
      </c>
      <c r="E95" s="68">
        <v>0</v>
      </c>
      <c r="F95" s="68">
        <v>0</v>
      </c>
      <c r="G95" s="68">
        <v>0</v>
      </c>
      <c r="H95" s="68">
        <v>0</v>
      </c>
      <c r="I95" s="68">
        <v>0</v>
      </c>
      <c r="J95" s="68">
        <v>0</v>
      </c>
    </row>
    <row r="96" spans="1:10">
      <c r="A96" s="61" t="s">
        <v>77</v>
      </c>
      <c r="B96" s="68">
        <v>46796</v>
      </c>
      <c r="C96" s="68">
        <v>0</v>
      </c>
      <c r="D96" s="68">
        <v>20841.400000000001</v>
      </c>
      <c r="E96" s="68">
        <v>2343.6</v>
      </c>
      <c r="F96" s="68">
        <v>149780.12</v>
      </c>
      <c r="G96" s="68">
        <v>6937.5</v>
      </c>
      <c r="H96" s="68">
        <v>4625</v>
      </c>
      <c r="I96" s="68">
        <v>15540</v>
      </c>
      <c r="J96" s="68">
        <v>0</v>
      </c>
    </row>
    <row r="97" spans="1:10">
      <c r="A97" s="61" t="s">
        <v>78</v>
      </c>
      <c r="B97" s="68">
        <v>67721.070000000007</v>
      </c>
      <c r="C97" s="68">
        <v>0</v>
      </c>
      <c r="D97" s="68">
        <v>0</v>
      </c>
      <c r="E97" s="68">
        <v>0</v>
      </c>
      <c r="F97" s="68">
        <v>36250.67</v>
      </c>
      <c r="G97" s="68">
        <v>0</v>
      </c>
      <c r="H97" s="68">
        <v>0</v>
      </c>
      <c r="I97" s="68">
        <v>0</v>
      </c>
      <c r="J97" s="68">
        <v>0</v>
      </c>
    </row>
    <row r="98" spans="1:10">
      <c r="A98" s="61" t="s">
        <v>79</v>
      </c>
      <c r="B98" s="68">
        <v>103192.524</v>
      </c>
      <c r="C98" s="68">
        <v>0</v>
      </c>
      <c r="D98" s="68">
        <v>0</v>
      </c>
      <c r="E98" s="68">
        <v>0</v>
      </c>
      <c r="F98" s="68">
        <v>68795.016000000003</v>
      </c>
      <c r="G98" s="68">
        <v>0</v>
      </c>
      <c r="H98" s="68">
        <v>0</v>
      </c>
      <c r="I98" s="68">
        <v>8192</v>
      </c>
      <c r="J98" s="68">
        <v>0</v>
      </c>
    </row>
    <row r="99" spans="1:10">
      <c r="A99" s="61" t="s">
        <v>80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</row>
    <row r="100" spans="1:10">
      <c r="A100" s="61" t="s">
        <v>81</v>
      </c>
      <c r="B100" s="68">
        <v>0</v>
      </c>
      <c r="C100" s="68">
        <v>0</v>
      </c>
      <c r="D100" s="68">
        <v>0</v>
      </c>
      <c r="E100" s="68">
        <v>0</v>
      </c>
      <c r="F100" s="68">
        <v>0</v>
      </c>
      <c r="G100" s="68">
        <v>0</v>
      </c>
      <c r="H100" s="68">
        <v>0</v>
      </c>
      <c r="I100" s="68">
        <v>0</v>
      </c>
      <c r="J100" s="68">
        <v>0</v>
      </c>
    </row>
    <row r="101" spans="1:10">
      <c r="A101" s="61" t="s">
        <v>82</v>
      </c>
      <c r="B101" s="68">
        <v>0</v>
      </c>
      <c r="C101" s="68">
        <v>0</v>
      </c>
      <c r="D101" s="68">
        <v>0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</row>
    <row r="102" spans="1:10">
      <c r="A102" s="61" t="s">
        <v>83</v>
      </c>
      <c r="B102" s="68">
        <v>26751.575999999997</v>
      </c>
      <c r="C102" s="68">
        <v>0</v>
      </c>
      <c r="D102" s="68">
        <v>21348</v>
      </c>
      <c r="E102" s="68">
        <v>0</v>
      </c>
      <c r="F102" s="68">
        <v>31814.384000000002</v>
      </c>
      <c r="G102" s="68">
        <v>24007.059999999998</v>
      </c>
      <c r="H102" s="68">
        <v>5592</v>
      </c>
      <c r="I102" s="68">
        <v>7893.53</v>
      </c>
      <c r="J102" s="68">
        <v>0</v>
      </c>
    </row>
    <row r="103" spans="1:10">
      <c r="A103" s="61"/>
      <c r="B103" s="68"/>
      <c r="C103" s="68"/>
      <c r="D103" s="68"/>
      <c r="E103" s="68"/>
      <c r="F103" s="68"/>
      <c r="G103" s="68"/>
      <c r="H103" s="68"/>
      <c r="I103" s="69"/>
      <c r="J103" s="69"/>
    </row>
    <row r="104" spans="1:10" ht="17.25">
      <c r="A104" s="70" t="s">
        <v>84</v>
      </c>
      <c r="B104" s="67">
        <f>+SUM(B105:B113)</f>
        <v>872131.88400000008</v>
      </c>
      <c r="C104" s="67">
        <f t="shared" ref="C104:J104" si="20">+SUM(C105:C113)</f>
        <v>0</v>
      </c>
      <c r="D104" s="67">
        <f t="shared" si="20"/>
        <v>56721.5</v>
      </c>
      <c r="E104" s="67">
        <f t="shared" si="20"/>
        <v>0</v>
      </c>
      <c r="F104" s="67">
        <f t="shared" si="20"/>
        <v>511421.25599999994</v>
      </c>
      <c r="G104" s="67">
        <f t="shared" si="20"/>
        <v>12250</v>
      </c>
      <c r="H104" s="67">
        <f t="shared" si="20"/>
        <v>0</v>
      </c>
      <c r="I104" s="67">
        <f t="shared" si="20"/>
        <v>2474</v>
      </c>
      <c r="J104" s="67">
        <f t="shared" si="20"/>
        <v>0</v>
      </c>
    </row>
    <row r="105" spans="1:10">
      <c r="A105" s="61" t="s">
        <v>85</v>
      </c>
      <c r="B105" s="68">
        <v>0</v>
      </c>
      <c r="C105" s="68">
        <v>0</v>
      </c>
      <c r="D105" s="68">
        <v>41721.5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</row>
    <row r="106" spans="1:10">
      <c r="A106" s="61" t="s">
        <v>86</v>
      </c>
      <c r="B106" s="68">
        <v>513003.35399999999</v>
      </c>
      <c r="C106" s="68">
        <v>0</v>
      </c>
      <c r="D106" s="68">
        <v>0</v>
      </c>
      <c r="E106" s="68">
        <v>0</v>
      </c>
      <c r="F106" s="68">
        <v>272002.23599999998</v>
      </c>
      <c r="G106" s="68">
        <v>0</v>
      </c>
      <c r="H106" s="68">
        <v>0</v>
      </c>
      <c r="I106" s="68">
        <v>0</v>
      </c>
      <c r="J106" s="68">
        <v>0</v>
      </c>
    </row>
    <row r="107" spans="1:10">
      <c r="A107" s="61" t="s">
        <v>87</v>
      </c>
      <c r="B107" s="68">
        <v>0</v>
      </c>
      <c r="C107" s="68">
        <v>0</v>
      </c>
      <c r="D107" s="68">
        <v>0</v>
      </c>
      <c r="E107" s="68">
        <v>0</v>
      </c>
      <c r="F107" s="68">
        <v>0</v>
      </c>
      <c r="G107" s="68">
        <v>0</v>
      </c>
      <c r="H107" s="68">
        <v>0</v>
      </c>
      <c r="I107" s="68">
        <v>0</v>
      </c>
      <c r="J107" s="68">
        <v>0</v>
      </c>
    </row>
    <row r="108" spans="1:10">
      <c r="A108" s="61" t="s">
        <v>88</v>
      </c>
      <c r="B108" s="68">
        <v>217420.80600000001</v>
      </c>
      <c r="C108" s="68">
        <v>0</v>
      </c>
      <c r="D108" s="68">
        <v>0</v>
      </c>
      <c r="E108" s="68">
        <v>0</v>
      </c>
      <c r="F108" s="68">
        <v>144947.204</v>
      </c>
      <c r="G108" s="68">
        <v>0</v>
      </c>
      <c r="H108" s="68">
        <v>0</v>
      </c>
      <c r="I108" s="68">
        <v>0</v>
      </c>
      <c r="J108" s="68">
        <v>0</v>
      </c>
    </row>
    <row r="109" spans="1:10">
      <c r="A109" s="61" t="s">
        <v>89</v>
      </c>
      <c r="B109" s="68">
        <v>13680</v>
      </c>
      <c r="C109" s="68">
        <v>0</v>
      </c>
      <c r="D109" s="68">
        <v>0</v>
      </c>
      <c r="E109" s="68">
        <v>0</v>
      </c>
      <c r="F109" s="68">
        <v>9120</v>
      </c>
      <c r="G109" s="68">
        <v>0</v>
      </c>
      <c r="H109" s="68">
        <v>0</v>
      </c>
      <c r="I109" s="68">
        <v>0</v>
      </c>
      <c r="J109" s="68">
        <v>0</v>
      </c>
    </row>
    <row r="110" spans="1:10">
      <c r="A110" s="61" t="s">
        <v>90</v>
      </c>
      <c r="B110" s="68">
        <v>128027.724</v>
      </c>
      <c r="C110" s="68">
        <v>0</v>
      </c>
      <c r="D110" s="68">
        <v>0</v>
      </c>
      <c r="E110" s="68">
        <v>0</v>
      </c>
      <c r="F110" s="68">
        <v>85351.816000000006</v>
      </c>
      <c r="G110" s="68">
        <v>0</v>
      </c>
      <c r="H110" s="68">
        <v>0</v>
      </c>
      <c r="I110" s="68">
        <v>0</v>
      </c>
      <c r="J110" s="68">
        <v>0</v>
      </c>
    </row>
    <row r="111" spans="1:10">
      <c r="A111" s="61" t="s">
        <v>91</v>
      </c>
      <c r="B111" s="68">
        <v>0</v>
      </c>
      <c r="C111" s="68">
        <v>0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</row>
    <row r="112" spans="1:10">
      <c r="A112" s="61" t="s">
        <v>92</v>
      </c>
      <c r="B112" s="68">
        <v>0</v>
      </c>
      <c r="C112" s="68">
        <v>0</v>
      </c>
      <c r="D112" s="68">
        <v>15000</v>
      </c>
      <c r="E112" s="68">
        <v>0</v>
      </c>
      <c r="F112" s="68">
        <v>0</v>
      </c>
      <c r="G112" s="68">
        <v>12250</v>
      </c>
      <c r="H112" s="68">
        <v>0</v>
      </c>
      <c r="I112" s="68">
        <v>2474</v>
      </c>
      <c r="J112" s="68">
        <v>0</v>
      </c>
    </row>
    <row r="113" spans="1:10">
      <c r="A113" s="61" t="s">
        <v>225</v>
      </c>
      <c r="B113" s="68">
        <v>0</v>
      </c>
      <c r="C113" s="68">
        <v>0</v>
      </c>
      <c r="D113" s="68">
        <v>0</v>
      </c>
      <c r="E113" s="68">
        <v>0</v>
      </c>
      <c r="F113" s="68">
        <v>0</v>
      </c>
      <c r="G113" s="68">
        <v>0</v>
      </c>
      <c r="H113" s="68">
        <v>0</v>
      </c>
      <c r="I113" s="68">
        <v>0</v>
      </c>
      <c r="J113" s="68">
        <v>0</v>
      </c>
    </row>
    <row r="114" spans="1:10">
      <c r="A114" s="60"/>
      <c r="B114" s="68"/>
      <c r="C114" s="68"/>
      <c r="D114" s="68"/>
      <c r="E114" s="68"/>
      <c r="F114" s="68"/>
      <c r="G114" s="68"/>
      <c r="H114" s="68"/>
      <c r="I114" s="69"/>
      <c r="J114" s="69"/>
    </row>
    <row r="115" spans="1:10" ht="17.25">
      <c r="A115" s="71" t="s">
        <v>211</v>
      </c>
      <c r="B115" s="67">
        <f>+B116+B129+B133+B138+B146+B150</f>
        <v>3067510.0756410258</v>
      </c>
      <c r="C115" s="67">
        <f t="shared" ref="C115:J115" si="21">+C116+C129+C133+C138+C146+C150</f>
        <v>36859</v>
      </c>
      <c r="D115" s="67">
        <f t="shared" si="21"/>
        <v>2278029.2399999998</v>
      </c>
      <c r="E115" s="67">
        <f t="shared" si="21"/>
        <v>393883.56692307693</v>
      </c>
      <c r="F115" s="67">
        <f t="shared" si="21"/>
        <v>1119434.6141025643</v>
      </c>
      <c r="G115" s="67">
        <f t="shared" si="21"/>
        <v>836482.2194871793</v>
      </c>
      <c r="H115" s="67">
        <f t="shared" si="21"/>
        <v>107659.0917948718</v>
      </c>
      <c r="I115" s="67">
        <f t="shared" si="21"/>
        <v>707303.93743589742</v>
      </c>
      <c r="J115" s="67">
        <f t="shared" si="21"/>
        <v>100014.17307692308</v>
      </c>
    </row>
    <row r="116" spans="1:10">
      <c r="A116" s="72" t="s">
        <v>94</v>
      </c>
      <c r="B116" s="67">
        <f>+SUM(B117:B128)</f>
        <v>2699458.025641026</v>
      </c>
      <c r="C116" s="67">
        <f t="shared" ref="C116:J116" si="22">+SUM(C117:C128)</f>
        <v>36859</v>
      </c>
      <c r="D116" s="67">
        <f t="shared" si="22"/>
        <v>1487718.2333333332</v>
      </c>
      <c r="E116" s="67">
        <f t="shared" si="22"/>
        <v>346634.17692307691</v>
      </c>
      <c r="F116" s="67">
        <f t="shared" si="22"/>
        <v>878304.23076923075</v>
      </c>
      <c r="G116" s="67">
        <f t="shared" si="22"/>
        <v>706369.01282051275</v>
      </c>
      <c r="H116" s="67">
        <f t="shared" si="22"/>
        <v>64471.871794871797</v>
      </c>
      <c r="I116" s="67">
        <f t="shared" si="22"/>
        <v>373904.89743589744</v>
      </c>
      <c r="J116" s="67">
        <f t="shared" si="22"/>
        <v>100014.17307692308</v>
      </c>
    </row>
    <row r="117" spans="1:10">
      <c r="A117" s="61" t="s">
        <v>95</v>
      </c>
      <c r="B117" s="68">
        <v>1219048</v>
      </c>
      <c r="C117" s="68">
        <v>16800</v>
      </c>
      <c r="D117" s="68">
        <v>602817</v>
      </c>
      <c r="E117" s="68">
        <v>110280</v>
      </c>
      <c r="F117" s="68">
        <v>374023</v>
      </c>
      <c r="G117" s="68">
        <v>294240</v>
      </c>
      <c r="H117" s="68">
        <v>19986</v>
      </c>
      <c r="I117" s="68">
        <v>181355</v>
      </c>
      <c r="J117" s="68">
        <v>40766</v>
      </c>
    </row>
    <row r="118" spans="1:10">
      <c r="A118" s="61" t="s">
        <v>96</v>
      </c>
      <c r="B118" s="68">
        <v>125995</v>
      </c>
      <c r="C118" s="68">
        <v>1600</v>
      </c>
      <c r="D118" s="68">
        <v>79758</v>
      </c>
      <c r="E118" s="68">
        <v>16076</v>
      </c>
      <c r="F118" s="68">
        <v>54363</v>
      </c>
      <c r="G118" s="68">
        <v>43597</v>
      </c>
      <c r="H118" s="68">
        <v>2769</v>
      </c>
      <c r="I118" s="68">
        <v>22653</v>
      </c>
      <c r="J118" s="68">
        <v>6077</v>
      </c>
    </row>
    <row r="119" spans="1:10">
      <c r="A119" s="61" t="s">
        <v>97</v>
      </c>
      <c r="B119" s="68">
        <v>32000</v>
      </c>
      <c r="C119" s="68">
        <v>0</v>
      </c>
      <c r="D119" s="68">
        <v>4500</v>
      </c>
      <c r="E119" s="68">
        <v>2500</v>
      </c>
      <c r="F119" s="68">
        <v>8839</v>
      </c>
      <c r="G119" s="68">
        <v>3000</v>
      </c>
      <c r="H119" s="68">
        <v>0</v>
      </c>
      <c r="I119" s="68">
        <v>0</v>
      </c>
      <c r="J119" s="68">
        <v>0</v>
      </c>
    </row>
    <row r="120" spans="1:10">
      <c r="A120" s="61" t="s">
        <v>98</v>
      </c>
      <c r="B120" s="68">
        <v>328679</v>
      </c>
      <c r="C120" s="68">
        <v>4000</v>
      </c>
      <c r="D120" s="68">
        <v>178229</v>
      </c>
      <c r="E120" s="68">
        <v>49136</v>
      </c>
      <c r="F120" s="68">
        <v>112559</v>
      </c>
      <c r="G120" s="68">
        <v>95792</v>
      </c>
      <c r="H120" s="68">
        <v>4741</v>
      </c>
      <c r="I120" s="68">
        <v>59042</v>
      </c>
      <c r="J120" s="68">
        <v>22306</v>
      </c>
    </row>
    <row r="121" spans="1:10">
      <c r="A121" s="61" t="s">
        <v>99</v>
      </c>
      <c r="B121" s="68">
        <v>83798</v>
      </c>
      <c r="C121" s="68">
        <v>0</v>
      </c>
      <c r="D121" s="68">
        <v>32555</v>
      </c>
      <c r="E121" s="68">
        <v>4023</v>
      </c>
      <c r="F121" s="68">
        <v>32245</v>
      </c>
      <c r="G121" s="68">
        <v>23242</v>
      </c>
      <c r="H121" s="68">
        <v>2323</v>
      </c>
      <c r="I121" s="68">
        <v>13400</v>
      </c>
      <c r="J121" s="68">
        <v>0</v>
      </c>
    </row>
    <row r="122" spans="1:10">
      <c r="A122" s="61" t="s">
        <v>100</v>
      </c>
      <c r="B122" s="68">
        <v>37600</v>
      </c>
      <c r="C122" s="68">
        <v>500</v>
      </c>
      <c r="D122" s="68">
        <v>16992</v>
      </c>
      <c r="E122" s="68">
        <v>2000</v>
      </c>
      <c r="F122" s="68">
        <v>7185</v>
      </c>
      <c r="G122" s="68">
        <v>11868</v>
      </c>
      <c r="H122" s="68">
        <v>1210</v>
      </c>
      <c r="I122" s="68">
        <v>2419</v>
      </c>
      <c r="J122" s="68">
        <v>0</v>
      </c>
    </row>
    <row r="123" spans="1:10">
      <c r="A123" s="61" t="s">
        <v>101</v>
      </c>
      <c r="B123" s="68">
        <v>549860</v>
      </c>
      <c r="C123" s="68">
        <v>12100</v>
      </c>
      <c r="D123" s="68">
        <v>262957</v>
      </c>
      <c r="E123" s="68">
        <v>44936</v>
      </c>
      <c r="F123" s="68">
        <v>167189</v>
      </c>
      <c r="G123" s="68">
        <v>119426</v>
      </c>
      <c r="H123" s="68">
        <v>6684</v>
      </c>
      <c r="I123" s="68">
        <v>48840</v>
      </c>
      <c r="J123" s="68">
        <v>18382</v>
      </c>
    </row>
    <row r="124" spans="1:10">
      <c r="A124" s="61" t="s">
        <v>102</v>
      </c>
      <c r="B124" s="68">
        <v>94256</v>
      </c>
      <c r="C124" s="68">
        <v>1859</v>
      </c>
      <c r="D124" s="68">
        <v>95149</v>
      </c>
      <c r="E124" s="68">
        <v>20824</v>
      </c>
      <c r="F124" s="68">
        <v>35316</v>
      </c>
      <c r="G124" s="68">
        <v>46764</v>
      </c>
      <c r="H124" s="68">
        <v>8792</v>
      </c>
      <c r="I124" s="68">
        <v>23825</v>
      </c>
      <c r="J124" s="68">
        <v>7250</v>
      </c>
    </row>
    <row r="125" spans="1:10">
      <c r="A125" s="61" t="s">
        <v>103</v>
      </c>
      <c r="B125" s="68">
        <v>8981</v>
      </c>
      <c r="C125" s="68">
        <v>0</v>
      </c>
      <c r="D125" s="68">
        <v>21420.400000000001</v>
      </c>
      <c r="E125" s="68">
        <v>1693.6</v>
      </c>
      <c r="F125" s="68">
        <v>4016</v>
      </c>
      <c r="G125" s="68">
        <v>9972</v>
      </c>
      <c r="H125" s="68">
        <v>157</v>
      </c>
      <c r="I125" s="68">
        <v>3810</v>
      </c>
      <c r="J125" s="68">
        <v>0</v>
      </c>
    </row>
    <row r="126" spans="1:10">
      <c r="A126" s="61" t="s">
        <v>104</v>
      </c>
      <c r="B126" s="68">
        <v>104600</v>
      </c>
      <c r="C126" s="68">
        <v>0</v>
      </c>
      <c r="D126" s="68">
        <v>122670</v>
      </c>
      <c r="E126" s="68">
        <v>81780</v>
      </c>
      <c r="F126" s="68">
        <v>39225</v>
      </c>
      <c r="G126" s="68">
        <v>23535</v>
      </c>
      <c r="H126" s="68">
        <v>15690</v>
      </c>
      <c r="I126" s="68">
        <v>0</v>
      </c>
      <c r="J126" s="68">
        <v>0</v>
      </c>
    </row>
    <row r="127" spans="1:10">
      <c r="A127" s="61" t="s">
        <v>105</v>
      </c>
      <c r="B127" s="68">
        <v>54057.692307692305</v>
      </c>
      <c r="C127" s="68">
        <v>0</v>
      </c>
      <c r="D127" s="68">
        <v>28437.499999999996</v>
      </c>
      <c r="E127" s="68">
        <v>5110.5769230769229</v>
      </c>
      <c r="F127" s="68">
        <v>18769.230769230773</v>
      </c>
      <c r="G127" s="68">
        <v>14716.346153846156</v>
      </c>
      <c r="H127" s="68">
        <v>836.53846153846155</v>
      </c>
      <c r="I127" s="68">
        <v>7644.2307692307695</v>
      </c>
      <c r="J127" s="68">
        <v>1983.1730769230771</v>
      </c>
    </row>
    <row r="128" spans="1:10">
      <c r="A128" s="61" t="s">
        <v>226</v>
      </c>
      <c r="B128" s="68">
        <v>60583.333333333343</v>
      </c>
      <c r="C128" s="68">
        <v>0</v>
      </c>
      <c r="D128" s="68">
        <v>42233.333333333328</v>
      </c>
      <c r="E128" s="68">
        <v>8274.9999999999982</v>
      </c>
      <c r="F128" s="68">
        <v>24574.999999999996</v>
      </c>
      <c r="G128" s="68">
        <v>20216.666666666664</v>
      </c>
      <c r="H128" s="68">
        <v>1283.3333333333333</v>
      </c>
      <c r="I128" s="68">
        <v>10916.666666666664</v>
      </c>
      <c r="J128" s="68">
        <v>3250</v>
      </c>
    </row>
    <row r="129" spans="1:10">
      <c r="A129" s="72" t="s">
        <v>106</v>
      </c>
      <c r="B129" s="67">
        <f>+SUM(B130:B132)</f>
        <v>0</v>
      </c>
      <c r="C129" s="67">
        <f t="shared" ref="C129:J129" si="23">+SUM(C130:C132)</f>
        <v>0</v>
      </c>
      <c r="D129" s="67">
        <f t="shared" si="23"/>
        <v>399750</v>
      </c>
      <c r="E129" s="67">
        <f t="shared" si="23"/>
        <v>0</v>
      </c>
      <c r="F129" s="67">
        <f t="shared" si="23"/>
        <v>0</v>
      </c>
      <c r="G129" s="67">
        <f t="shared" si="23"/>
        <v>0</v>
      </c>
      <c r="H129" s="67">
        <f t="shared" si="23"/>
        <v>0</v>
      </c>
      <c r="I129" s="67">
        <f t="shared" si="23"/>
        <v>0</v>
      </c>
      <c r="J129" s="67">
        <f t="shared" si="23"/>
        <v>0</v>
      </c>
    </row>
    <row r="130" spans="1:10">
      <c r="A130" s="61" t="s">
        <v>107</v>
      </c>
      <c r="B130" s="68">
        <v>0</v>
      </c>
      <c r="C130" s="68">
        <v>0</v>
      </c>
      <c r="D130" s="68">
        <v>0</v>
      </c>
      <c r="E130" s="68">
        <v>0</v>
      </c>
      <c r="F130" s="68">
        <v>0</v>
      </c>
      <c r="G130" s="68">
        <v>0</v>
      </c>
      <c r="H130" s="68">
        <v>0</v>
      </c>
      <c r="I130" s="68">
        <v>0</v>
      </c>
      <c r="J130" s="68">
        <v>0</v>
      </c>
    </row>
    <row r="131" spans="1:10">
      <c r="A131" s="61" t="s">
        <v>108</v>
      </c>
      <c r="B131" s="68">
        <v>0</v>
      </c>
      <c r="C131" s="68">
        <v>0</v>
      </c>
      <c r="D131" s="68">
        <v>0</v>
      </c>
      <c r="E131" s="68">
        <v>0</v>
      </c>
      <c r="F131" s="68">
        <v>0</v>
      </c>
      <c r="G131" s="68">
        <v>0</v>
      </c>
      <c r="H131" s="68">
        <v>0</v>
      </c>
      <c r="I131" s="68">
        <v>0</v>
      </c>
      <c r="J131" s="68">
        <v>0</v>
      </c>
    </row>
    <row r="132" spans="1:10">
      <c r="A132" s="61" t="s">
        <v>109</v>
      </c>
      <c r="B132" s="68">
        <v>0</v>
      </c>
      <c r="C132" s="68">
        <v>0</v>
      </c>
      <c r="D132" s="68">
        <v>399750</v>
      </c>
      <c r="E132" s="68">
        <v>0</v>
      </c>
      <c r="F132" s="68">
        <v>0</v>
      </c>
      <c r="G132" s="68">
        <v>0</v>
      </c>
      <c r="H132" s="68">
        <v>0</v>
      </c>
      <c r="I132" s="68">
        <v>0</v>
      </c>
      <c r="J132" s="68">
        <v>0</v>
      </c>
    </row>
    <row r="133" spans="1:10">
      <c r="A133" s="72" t="s">
        <v>110</v>
      </c>
      <c r="B133" s="67">
        <f>+SUM(B134:B137)</f>
        <v>67236.800000000003</v>
      </c>
      <c r="C133" s="67">
        <f t="shared" ref="C133:J133" si="24">+SUM(C134:C137)</f>
        <v>0</v>
      </c>
      <c r="D133" s="67">
        <f t="shared" si="24"/>
        <v>97707.59</v>
      </c>
      <c r="E133" s="67">
        <f t="shared" si="24"/>
        <v>3203.64</v>
      </c>
      <c r="F133" s="67">
        <f t="shared" si="24"/>
        <v>30742.55</v>
      </c>
      <c r="G133" s="67">
        <f t="shared" si="24"/>
        <v>8778.4399999999987</v>
      </c>
      <c r="H133" s="67">
        <f t="shared" si="24"/>
        <v>1601.82</v>
      </c>
      <c r="I133" s="67">
        <f t="shared" si="24"/>
        <v>89358.04</v>
      </c>
      <c r="J133" s="67">
        <f t="shared" si="24"/>
        <v>0</v>
      </c>
    </row>
    <row r="134" spans="1:10">
      <c r="A134" s="61" t="s">
        <v>111</v>
      </c>
      <c r="B134" s="68">
        <v>0</v>
      </c>
      <c r="C134" s="68">
        <v>0</v>
      </c>
      <c r="D134" s="68">
        <v>0</v>
      </c>
      <c r="E134" s="68">
        <v>0</v>
      </c>
      <c r="F134" s="68">
        <v>0</v>
      </c>
      <c r="G134" s="68">
        <v>0</v>
      </c>
      <c r="H134" s="68">
        <v>0</v>
      </c>
      <c r="I134" s="68">
        <v>0</v>
      </c>
      <c r="J134" s="68">
        <v>0</v>
      </c>
    </row>
    <row r="135" spans="1:10">
      <c r="A135" s="61" t="s">
        <v>112</v>
      </c>
      <c r="B135" s="68">
        <v>67236.800000000003</v>
      </c>
      <c r="C135" s="68">
        <v>0</v>
      </c>
      <c r="D135" s="68">
        <v>97707.59</v>
      </c>
      <c r="E135" s="68">
        <v>3203.64</v>
      </c>
      <c r="F135" s="68">
        <v>30742.55</v>
      </c>
      <c r="G135" s="68">
        <v>8778.4399999999987</v>
      </c>
      <c r="H135" s="68">
        <v>1601.82</v>
      </c>
      <c r="I135" s="68">
        <v>89358.04</v>
      </c>
      <c r="J135" s="68">
        <v>0</v>
      </c>
    </row>
    <row r="136" spans="1:10">
      <c r="A136" s="61" t="s">
        <v>113</v>
      </c>
      <c r="B136" s="68">
        <v>0</v>
      </c>
      <c r="C136" s="68">
        <v>0</v>
      </c>
      <c r="D136" s="68">
        <v>0</v>
      </c>
      <c r="E136" s="68">
        <v>0</v>
      </c>
      <c r="F136" s="68">
        <v>0</v>
      </c>
      <c r="G136" s="68">
        <v>0</v>
      </c>
      <c r="H136" s="68">
        <v>0</v>
      </c>
      <c r="I136" s="68">
        <v>0</v>
      </c>
      <c r="J136" s="68">
        <v>0</v>
      </c>
    </row>
    <row r="137" spans="1:10">
      <c r="A137" s="61" t="s">
        <v>114</v>
      </c>
      <c r="B137" s="68">
        <v>0</v>
      </c>
      <c r="C137" s="68">
        <v>0</v>
      </c>
      <c r="D137" s="68">
        <v>0</v>
      </c>
      <c r="E137" s="68">
        <v>0</v>
      </c>
      <c r="F137" s="68">
        <v>0</v>
      </c>
      <c r="G137" s="68">
        <v>0</v>
      </c>
      <c r="H137" s="68">
        <v>0</v>
      </c>
      <c r="I137" s="68">
        <v>0</v>
      </c>
      <c r="J137" s="68">
        <v>0</v>
      </c>
    </row>
    <row r="138" spans="1:10">
      <c r="A138" s="72" t="s">
        <v>115</v>
      </c>
      <c r="B138" s="67">
        <f>+SUM(B139:B145)</f>
        <v>101282.25</v>
      </c>
      <c r="C138" s="67">
        <f t="shared" ref="C138:J138" si="25">+SUM(C139:C145)</f>
        <v>0</v>
      </c>
      <c r="D138" s="67">
        <f t="shared" si="25"/>
        <v>139069.41666666666</v>
      </c>
      <c r="E138" s="67">
        <f t="shared" si="25"/>
        <v>10981.75</v>
      </c>
      <c r="F138" s="67">
        <f t="shared" si="25"/>
        <v>79240.833333333328</v>
      </c>
      <c r="G138" s="67">
        <f t="shared" si="25"/>
        <v>44943.566666666666</v>
      </c>
      <c r="H138" s="67">
        <f t="shared" si="25"/>
        <v>18124.599999999999</v>
      </c>
      <c r="I138" s="67">
        <f t="shared" si="25"/>
        <v>148363</v>
      </c>
      <c r="J138" s="67">
        <f t="shared" si="25"/>
        <v>0</v>
      </c>
    </row>
    <row r="139" spans="1:10">
      <c r="A139" s="61" t="s">
        <v>116</v>
      </c>
      <c r="B139" s="68">
        <v>0</v>
      </c>
      <c r="C139" s="68">
        <v>0</v>
      </c>
      <c r="D139" s="68">
        <v>1178</v>
      </c>
      <c r="E139" s="68">
        <v>0</v>
      </c>
      <c r="F139" s="68">
        <v>0</v>
      </c>
      <c r="G139" s="68">
        <v>0</v>
      </c>
      <c r="H139" s="68">
        <v>0</v>
      </c>
      <c r="I139" s="68">
        <v>0</v>
      </c>
      <c r="J139" s="68">
        <v>0</v>
      </c>
    </row>
    <row r="140" spans="1:10">
      <c r="A140" s="61" t="s">
        <v>117</v>
      </c>
      <c r="B140" s="68">
        <v>20892</v>
      </c>
      <c r="C140" s="68">
        <v>0</v>
      </c>
      <c r="D140" s="68">
        <v>37428</v>
      </c>
      <c r="E140" s="68">
        <v>0</v>
      </c>
      <c r="F140" s="68">
        <v>24371</v>
      </c>
      <c r="G140" s="68">
        <v>16766.400000000001</v>
      </c>
      <c r="H140" s="68">
        <v>6509.6</v>
      </c>
      <c r="I140" s="68">
        <v>14863</v>
      </c>
      <c r="J140" s="68">
        <v>0</v>
      </c>
    </row>
    <row r="141" spans="1:10">
      <c r="A141" s="61" t="s">
        <v>227</v>
      </c>
      <c r="B141" s="68">
        <v>0</v>
      </c>
      <c r="C141" s="68">
        <v>0</v>
      </c>
      <c r="D141" s="68">
        <v>49652</v>
      </c>
      <c r="E141" s="68">
        <v>0</v>
      </c>
      <c r="F141" s="68">
        <v>22500</v>
      </c>
      <c r="G141" s="68">
        <v>13500</v>
      </c>
      <c r="H141" s="68">
        <v>9000</v>
      </c>
      <c r="I141" s="68">
        <v>60000</v>
      </c>
      <c r="J141" s="68">
        <v>0</v>
      </c>
    </row>
    <row r="142" spans="1:10">
      <c r="A142" s="61" t="s">
        <v>228</v>
      </c>
      <c r="B142" s="68">
        <v>0</v>
      </c>
      <c r="C142" s="68">
        <v>0</v>
      </c>
      <c r="D142" s="68">
        <v>0</v>
      </c>
      <c r="E142" s="68">
        <v>0</v>
      </c>
      <c r="F142" s="68">
        <v>0</v>
      </c>
      <c r="G142" s="68">
        <v>0</v>
      </c>
      <c r="H142" s="68">
        <v>0</v>
      </c>
      <c r="I142" s="68">
        <v>73500</v>
      </c>
      <c r="J142" s="68">
        <v>0</v>
      </c>
    </row>
    <row r="143" spans="1:10">
      <c r="A143" s="61" t="s">
        <v>118</v>
      </c>
      <c r="B143" s="68">
        <v>0</v>
      </c>
      <c r="C143" s="68">
        <v>0</v>
      </c>
      <c r="D143" s="68">
        <v>0</v>
      </c>
      <c r="E143" s="68">
        <v>0</v>
      </c>
      <c r="F143" s="68">
        <v>0</v>
      </c>
      <c r="G143" s="68">
        <v>0</v>
      </c>
      <c r="H143" s="68">
        <v>0</v>
      </c>
      <c r="I143" s="68">
        <v>0</v>
      </c>
      <c r="J143" s="68">
        <v>0</v>
      </c>
    </row>
    <row r="144" spans="1:10">
      <c r="A144" s="61" t="s">
        <v>119</v>
      </c>
      <c r="B144" s="68">
        <v>36529.25</v>
      </c>
      <c r="C144" s="68">
        <v>0</v>
      </c>
      <c r="D144" s="68">
        <v>49201.416666666664</v>
      </c>
      <c r="E144" s="68">
        <v>10681.75</v>
      </c>
      <c r="F144" s="68">
        <v>26971.833333333332</v>
      </c>
      <c r="G144" s="68">
        <v>14452.166666666666</v>
      </c>
      <c r="H144" s="68">
        <v>2465</v>
      </c>
      <c r="I144" s="68">
        <v>0</v>
      </c>
      <c r="J144" s="68">
        <v>0</v>
      </c>
    </row>
    <row r="145" spans="1:10">
      <c r="A145" s="61" t="s">
        <v>120</v>
      </c>
      <c r="B145" s="68">
        <v>43861</v>
      </c>
      <c r="C145" s="68">
        <v>0</v>
      </c>
      <c r="D145" s="68">
        <v>1610</v>
      </c>
      <c r="E145" s="68">
        <v>300</v>
      </c>
      <c r="F145" s="68">
        <v>5398</v>
      </c>
      <c r="G145" s="68">
        <v>225</v>
      </c>
      <c r="H145" s="68">
        <v>150</v>
      </c>
      <c r="I145" s="68">
        <v>0</v>
      </c>
      <c r="J145" s="68">
        <v>0</v>
      </c>
    </row>
    <row r="146" spans="1:10">
      <c r="A146" s="72" t="s">
        <v>121</v>
      </c>
      <c r="B146" s="67">
        <f>+SUM(B147:B149)</f>
        <v>80696</v>
      </c>
      <c r="C146" s="67">
        <f t="shared" ref="C146:J146" si="26">+SUM(C147:C149)</f>
        <v>0</v>
      </c>
      <c r="D146" s="67">
        <f t="shared" si="26"/>
        <v>62266</v>
      </c>
      <c r="E146" s="67">
        <f t="shared" si="26"/>
        <v>0</v>
      </c>
      <c r="F146" s="67">
        <f t="shared" si="26"/>
        <v>72495</v>
      </c>
      <c r="G146" s="67">
        <f t="shared" si="26"/>
        <v>41200</v>
      </c>
      <c r="H146" s="67">
        <f t="shared" si="26"/>
        <v>0</v>
      </c>
      <c r="I146" s="67">
        <f t="shared" si="26"/>
        <v>4482</v>
      </c>
      <c r="J146" s="67">
        <f t="shared" si="26"/>
        <v>0</v>
      </c>
    </row>
    <row r="147" spans="1:10">
      <c r="A147" s="61" t="s">
        <v>122</v>
      </c>
      <c r="B147" s="68">
        <v>0</v>
      </c>
      <c r="C147" s="68">
        <v>0</v>
      </c>
      <c r="D147" s="68">
        <v>0</v>
      </c>
      <c r="E147" s="68">
        <v>0</v>
      </c>
      <c r="F147" s="68">
        <v>0</v>
      </c>
      <c r="G147" s="68">
        <v>0</v>
      </c>
      <c r="H147" s="68">
        <v>0</v>
      </c>
      <c r="I147" s="68">
        <v>0</v>
      </c>
      <c r="J147" s="68">
        <v>0</v>
      </c>
    </row>
    <row r="148" spans="1:10">
      <c r="A148" s="61" t="s">
        <v>123</v>
      </c>
      <c r="B148" s="68">
        <v>80696</v>
      </c>
      <c r="C148" s="68">
        <v>0</v>
      </c>
      <c r="D148" s="68">
        <v>62266</v>
      </c>
      <c r="E148" s="68">
        <v>0</v>
      </c>
      <c r="F148" s="68">
        <v>72495</v>
      </c>
      <c r="G148" s="68">
        <v>41200</v>
      </c>
      <c r="H148" s="68">
        <v>0</v>
      </c>
      <c r="I148" s="68">
        <v>4482</v>
      </c>
      <c r="J148" s="68">
        <v>0</v>
      </c>
    </row>
    <row r="149" spans="1:10">
      <c r="A149" s="61" t="s">
        <v>124</v>
      </c>
      <c r="B149" s="68">
        <v>0</v>
      </c>
      <c r="C149" s="68">
        <v>0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</row>
    <row r="150" spans="1:10">
      <c r="A150" s="72" t="s">
        <v>125</v>
      </c>
      <c r="B150" s="67">
        <f>+SUM(B151:B154)</f>
        <v>118837</v>
      </c>
      <c r="C150" s="67">
        <f t="shared" ref="C150:J150" si="27">+SUM(C151:C154)</f>
        <v>0</v>
      </c>
      <c r="D150" s="67">
        <f t="shared" si="27"/>
        <v>91518</v>
      </c>
      <c r="E150" s="67">
        <f t="shared" si="27"/>
        <v>33064</v>
      </c>
      <c r="F150" s="67">
        <f t="shared" si="27"/>
        <v>58652</v>
      </c>
      <c r="G150" s="67">
        <f t="shared" si="27"/>
        <v>35191.199999999997</v>
      </c>
      <c r="H150" s="67">
        <f t="shared" si="27"/>
        <v>23460.799999999999</v>
      </c>
      <c r="I150" s="67">
        <f t="shared" si="27"/>
        <v>91196</v>
      </c>
      <c r="J150" s="67">
        <f t="shared" si="27"/>
        <v>0</v>
      </c>
    </row>
    <row r="151" spans="1:10">
      <c r="A151" s="61" t="s">
        <v>126</v>
      </c>
      <c r="B151" s="68">
        <v>66276</v>
      </c>
      <c r="C151" s="68">
        <v>0</v>
      </c>
      <c r="D151" s="68">
        <v>49596</v>
      </c>
      <c r="E151" s="68">
        <v>33064</v>
      </c>
      <c r="F151" s="68">
        <v>39371.5</v>
      </c>
      <c r="G151" s="68">
        <v>23622.899999999998</v>
      </c>
      <c r="H151" s="68">
        <v>15748.6</v>
      </c>
      <c r="I151" s="68">
        <v>66935</v>
      </c>
      <c r="J151" s="68">
        <v>0</v>
      </c>
    </row>
    <row r="152" spans="1:10">
      <c r="A152" s="61" t="s">
        <v>229</v>
      </c>
      <c r="B152" s="68">
        <v>4961</v>
      </c>
      <c r="C152" s="68">
        <v>0</v>
      </c>
      <c r="D152" s="68">
        <v>9922</v>
      </c>
      <c r="E152" s="68">
        <v>0</v>
      </c>
      <c r="F152" s="68">
        <v>2480.5</v>
      </c>
      <c r="G152" s="68">
        <v>1488.3</v>
      </c>
      <c r="H152" s="68">
        <v>992.2</v>
      </c>
      <c r="I152" s="68">
        <v>4961</v>
      </c>
      <c r="J152" s="68">
        <v>0</v>
      </c>
    </row>
    <row r="153" spans="1:10">
      <c r="A153" s="61" t="s">
        <v>127</v>
      </c>
      <c r="B153" s="68">
        <v>47000</v>
      </c>
      <c r="C153" s="68">
        <v>0</v>
      </c>
      <c r="D153" s="68">
        <v>32000</v>
      </c>
      <c r="E153" s="68">
        <v>0</v>
      </c>
      <c r="F153" s="68">
        <v>16000</v>
      </c>
      <c r="G153" s="68">
        <v>9600</v>
      </c>
      <c r="H153" s="68">
        <v>6400</v>
      </c>
      <c r="I153" s="68">
        <v>16000</v>
      </c>
      <c r="J153" s="68">
        <v>0</v>
      </c>
    </row>
    <row r="154" spans="1:10">
      <c r="A154" s="61" t="s">
        <v>128</v>
      </c>
      <c r="B154" s="68">
        <v>600</v>
      </c>
      <c r="C154" s="68">
        <v>0</v>
      </c>
      <c r="D154" s="68">
        <v>0</v>
      </c>
      <c r="E154" s="68">
        <v>0</v>
      </c>
      <c r="F154" s="68">
        <v>800</v>
      </c>
      <c r="G154" s="68">
        <v>480</v>
      </c>
      <c r="H154" s="68">
        <v>320</v>
      </c>
      <c r="I154" s="68">
        <v>3300</v>
      </c>
      <c r="J154" s="68">
        <v>0</v>
      </c>
    </row>
    <row r="155" spans="1:10">
      <c r="A155" s="60"/>
      <c r="B155" s="68"/>
      <c r="C155" s="68"/>
      <c r="D155" s="68"/>
      <c r="E155" s="68"/>
      <c r="F155" s="68"/>
      <c r="G155" s="68"/>
      <c r="H155" s="68"/>
      <c r="I155" s="69"/>
      <c r="J155" s="69"/>
    </row>
    <row r="156" spans="1:10" ht="17.25">
      <c r="A156" s="71" t="s">
        <v>129</v>
      </c>
      <c r="B156" s="67">
        <f>+B157+B164+B172+B178+B182+B187+B193+B205+B209+B214</f>
        <v>888231.36849999998</v>
      </c>
      <c r="C156" s="67">
        <f t="shared" ref="C156:J156" si="28">+C157+C164+C172+C178+C182+C187+C193+C205+C209+C214</f>
        <v>0.36000000000000004</v>
      </c>
      <c r="D156" s="67">
        <f t="shared" si="28"/>
        <v>649142.37620000006</v>
      </c>
      <c r="E156" s="67">
        <f t="shared" si="28"/>
        <v>340263.28746666666</v>
      </c>
      <c r="F156" s="67">
        <f t="shared" si="28"/>
        <v>466003.20016666665</v>
      </c>
      <c r="G156" s="67">
        <f t="shared" si="28"/>
        <v>347365.59010000003</v>
      </c>
      <c r="H156" s="67">
        <f t="shared" si="28"/>
        <v>119402.91006666666</v>
      </c>
      <c r="I156" s="67">
        <f t="shared" si="28"/>
        <v>1001337.2200000001</v>
      </c>
      <c r="J156" s="67">
        <f t="shared" si="28"/>
        <v>180250</v>
      </c>
    </row>
    <row r="157" spans="1:10">
      <c r="A157" s="72" t="s">
        <v>130</v>
      </c>
      <c r="B157" s="67">
        <f>+SUM(B158:B162)</f>
        <v>19098.448</v>
      </c>
      <c r="C157" s="67">
        <f t="shared" ref="C157:J157" si="29">+SUM(C158:C162)</f>
        <v>0</v>
      </c>
      <c r="D157" s="67">
        <f t="shared" si="29"/>
        <v>37400.409599999999</v>
      </c>
      <c r="E157" s="67">
        <f t="shared" si="29"/>
        <v>1927.1664000000001</v>
      </c>
      <c r="F157" s="67">
        <f t="shared" si="29"/>
        <v>9024.4580000000005</v>
      </c>
      <c r="G157" s="67">
        <f t="shared" si="29"/>
        <v>47117.674799999993</v>
      </c>
      <c r="H157" s="67">
        <f t="shared" si="29"/>
        <v>3609.7831999999999</v>
      </c>
      <c r="I157" s="67">
        <f t="shared" si="29"/>
        <v>115776.3</v>
      </c>
      <c r="J157" s="67">
        <f t="shared" si="29"/>
        <v>0</v>
      </c>
    </row>
    <row r="158" spans="1:10">
      <c r="A158" s="61" t="s">
        <v>131</v>
      </c>
      <c r="B158" s="68">
        <v>1960</v>
      </c>
      <c r="C158" s="68">
        <v>0</v>
      </c>
      <c r="D158" s="68">
        <v>0</v>
      </c>
      <c r="E158" s="68">
        <v>0</v>
      </c>
      <c r="F158" s="68">
        <v>0</v>
      </c>
      <c r="G158" s="68">
        <v>0</v>
      </c>
      <c r="H158" s="68">
        <v>0</v>
      </c>
      <c r="I158" s="68">
        <v>0</v>
      </c>
      <c r="J158" s="68">
        <v>0</v>
      </c>
    </row>
    <row r="159" spans="1:10">
      <c r="A159" s="61" t="s">
        <v>132</v>
      </c>
      <c r="B159" s="68">
        <v>0</v>
      </c>
      <c r="C159" s="68">
        <v>0</v>
      </c>
      <c r="D159" s="68">
        <v>0</v>
      </c>
      <c r="E159" s="68">
        <v>0</v>
      </c>
      <c r="F159" s="68">
        <v>0</v>
      </c>
      <c r="G159" s="68">
        <v>0</v>
      </c>
      <c r="H159" s="68">
        <v>0</v>
      </c>
      <c r="I159" s="68">
        <v>0</v>
      </c>
      <c r="J159" s="68">
        <v>0</v>
      </c>
    </row>
    <row r="160" spans="1:10">
      <c r="A160" s="61" t="s">
        <v>133</v>
      </c>
      <c r="B160" s="68">
        <v>6340.04</v>
      </c>
      <c r="C160" s="68">
        <v>0</v>
      </c>
      <c r="D160" s="68">
        <v>3098.8679999999999</v>
      </c>
      <c r="E160" s="68">
        <v>1611.912</v>
      </c>
      <c r="F160" s="68">
        <v>2355.39</v>
      </c>
      <c r="G160" s="68">
        <v>1413.2339999999999</v>
      </c>
      <c r="H160" s="68">
        <v>942.15600000000006</v>
      </c>
      <c r="I160" s="68">
        <v>0</v>
      </c>
      <c r="J160" s="68">
        <v>0</v>
      </c>
    </row>
    <row r="161" spans="1:10">
      <c r="A161" s="61" t="s">
        <v>134</v>
      </c>
      <c r="B161" s="68">
        <v>2300</v>
      </c>
      <c r="C161" s="68">
        <v>0</v>
      </c>
      <c r="D161" s="68">
        <v>23138.12</v>
      </c>
      <c r="E161" s="68">
        <v>0</v>
      </c>
      <c r="F161" s="68">
        <v>0</v>
      </c>
      <c r="G161" s="68">
        <v>41703</v>
      </c>
      <c r="H161" s="68">
        <v>0</v>
      </c>
      <c r="I161" s="68">
        <v>30776.3</v>
      </c>
      <c r="J161" s="68">
        <v>0</v>
      </c>
    </row>
    <row r="162" spans="1:10">
      <c r="A162" s="61" t="s">
        <v>135</v>
      </c>
      <c r="B162" s="68">
        <v>8498.4079999999994</v>
      </c>
      <c r="C162" s="68">
        <v>0</v>
      </c>
      <c r="D162" s="68">
        <v>11163.421600000001</v>
      </c>
      <c r="E162" s="68">
        <v>315.25440000000003</v>
      </c>
      <c r="F162" s="68">
        <v>6669.0680000000002</v>
      </c>
      <c r="G162" s="68">
        <v>4001.4407999999999</v>
      </c>
      <c r="H162" s="68">
        <v>2667.6271999999999</v>
      </c>
      <c r="I162" s="68">
        <v>85000</v>
      </c>
      <c r="J162" s="68">
        <v>0</v>
      </c>
    </row>
    <row r="163" spans="1:10">
      <c r="A163" s="60"/>
      <c r="B163" s="68"/>
      <c r="C163" s="68"/>
      <c r="D163" s="68"/>
      <c r="E163" s="68"/>
      <c r="F163" s="68"/>
      <c r="G163" s="68"/>
      <c r="H163" s="68"/>
      <c r="I163" s="69"/>
      <c r="J163" s="69"/>
    </row>
    <row r="164" spans="1:10">
      <c r="A164" s="72" t="s">
        <v>136</v>
      </c>
      <c r="B164" s="67">
        <f>+SUM(B165:B171)</f>
        <v>47235.05</v>
      </c>
      <c r="C164" s="67">
        <f t="shared" ref="C164:J164" si="30">+SUM(C165:C171)</f>
        <v>0</v>
      </c>
      <c r="D164" s="67">
        <f t="shared" si="30"/>
        <v>33013.601999999999</v>
      </c>
      <c r="E164" s="67">
        <f t="shared" si="30"/>
        <v>4750.2280000000001</v>
      </c>
      <c r="F164" s="67">
        <f t="shared" si="30"/>
        <v>102782.2</v>
      </c>
      <c r="G164" s="67">
        <f t="shared" si="30"/>
        <v>26698.842000000001</v>
      </c>
      <c r="H164" s="67">
        <f t="shared" si="30"/>
        <v>1241.848</v>
      </c>
      <c r="I164" s="67">
        <f t="shared" si="30"/>
        <v>6463</v>
      </c>
      <c r="J164" s="67">
        <f t="shared" si="30"/>
        <v>0</v>
      </c>
    </row>
    <row r="165" spans="1:10">
      <c r="A165" s="61" t="s">
        <v>137</v>
      </c>
      <c r="B165" s="68">
        <v>18982.8</v>
      </c>
      <c r="C165" s="68">
        <v>0</v>
      </c>
      <c r="D165" s="68">
        <v>10118.851999999999</v>
      </c>
      <c r="E165" s="68">
        <v>4750.2280000000001</v>
      </c>
      <c r="F165" s="68">
        <v>450</v>
      </c>
      <c r="G165" s="68">
        <v>1773.12</v>
      </c>
      <c r="H165" s="68">
        <v>180</v>
      </c>
      <c r="I165" s="68">
        <v>6463</v>
      </c>
      <c r="J165" s="68">
        <v>0</v>
      </c>
    </row>
    <row r="166" spans="1:10">
      <c r="A166" s="61" t="s">
        <v>138</v>
      </c>
      <c r="B166" s="68">
        <v>0</v>
      </c>
      <c r="C166" s="68">
        <v>0</v>
      </c>
      <c r="D166" s="68">
        <v>19298.580000000002</v>
      </c>
      <c r="E166" s="68">
        <v>0</v>
      </c>
      <c r="F166" s="68">
        <v>0</v>
      </c>
      <c r="G166" s="68">
        <v>23332.95</v>
      </c>
      <c r="H166" s="68">
        <v>0</v>
      </c>
      <c r="I166" s="68">
        <v>0</v>
      </c>
      <c r="J166" s="68">
        <v>0</v>
      </c>
    </row>
    <row r="167" spans="1:10">
      <c r="A167" s="61" t="s">
        <v>139</v>
      </c>
      <c r="B167" s="68">
        <v>0</v>
      </c>
      <c r="C167" s="68">
        <v>0</v>
      </c>
      <c r="D167" s="68">
        <v>0</v>
      </c>
      <c r="E167" s="68">
        <v>0</v>
      </c>
      <c r="F167" s="68">
        <v>0</v>
      </c>
      <c r="G167" s="68">
        <v>0</v>
      </c>
      <c r="H167" s="68">
        <v>0</v>
      </c>
      <c r="I167" s="68">
        <v>0</v>
      </c>
      <c r="J167" s="68">
        <v>0</v>
      </c>
    </row>
    <row r="168" spans="1:10">
      <c r="A168" s="61" t="s">
        <v>140</v>
      </c>
      <c r="B168" s="68">
        <v>19564.75</v>
      </c>
      <c r="C168" s="68">
        <v>0</v>
      </c>
      <c r="D168" s="68">
        <v>3596.17</v>
      </c>
      <c r="E168" s="68">
        <v>0</v>
      </c>
      <c r="F168" s="68">
        <v>99677.58</v>
      </c>
      <c r="G168" s="68">
        <v>0</v>
      </c>
      <c r="H168" s="68">
        <v>0</v>
      </c>
      <c r="I168" s="68">
        <v>0</v>
      </c>
      <c r="J168" s="68">
        <v>0</v>
      </c>
    </row>
    <row r="169" spans="1:10">
      <c r="A169" s="61" t="s">
        <v>141</v>
      </c>
      <c r="B169" s="68">
        <v>0</v>
      </c>
      <c r="C169" s="68">
        <v>0</v>
      </c>
      <c r="D169" s="68">
        <v>0</v>
      </c>
      <c r="E169" s="68">
        <v>0</v>
      </c>
      <c r="F169" s="68">
        <v>0</v>
      </c>
      <c r="G169" s="68">
        <v>0</v>
      </c>
      <c r="H169" s="68">
        <v>0</v>
      </c>
      <c r="I169" s="68">
        <v>0</v>
      </c>
      <c r="J169" s="68">
        <v>0</v>
      </c>
    </row>
    <row r="170" spans="1:10">
      <c r="A170" s="61" t="s">
        <v>142</v>
      </c>
      <c r="B170" s="68">
        <v>8687.5</v>
      </c>
      <c r="C170" s="68">
        <v>0</v>
      </c>
      <c r="D170" s="68">
        <v>0</v>
      </c>
      <c r="E170" s="68">
        <v>0</v>
      </c>
      <c r="F170" s="68">
        <v>2654.62</v>
      </c>
      <c r="G170" s="68">
        <v>1592.7719999999999</v>
      </c>
      <c r="H170" s="68">
        <v>1061.848</v>
      </c>
      <c r="I170" s="68">
        <v>0</v>
      </c>
      <c r="J170" s="68">
        <v>0</v>
      </c>
    </row>
    <row r="171" spans="1:10">
      <c r="A171" s="61" t="s">
        <v>143</v>
      </c>
      <c r="B171" s="68">
        <v>0</v>
      </c>
      <c r="C171" s="68">
        <v>0</v>
      </c>
      <c r="D171" s="68">
        <v>0</v>
      </c>
      <c r="E171" s="68">
        <v>0</v>
      </c>
      <c r="F171" s="68">
        <v>0</v>
      </c>
      <c r="G171" s="68">
        <v>0</v>
      </c>
      <c r="H171" s="68">
        <v>0</v>
      </c>
      <c r="I171" s="68">
        <v>0</v>
      </c>
      <c r="J171" s="68">
        <v>0</v>
      </c>
    </row>
    <row r="172" spans="1:10">
      <c r="A172" s="72" t="s">
        <v>144</v>
      </c>
      <c r="B172" s="67">
        <f>+SUM(B173:B177)</f>
        <v>27867.8</v>
      </c>
      <c r="C172" s="67">
        <f t="shared" ref="C172:J172" si="31">+SUM(C173:C177)</f>
        <v>0</v>
      </c>
      <c r="D172" s="67">
        <f t="shared" si="31"/>
        <v>133885.24</v>
      </c>
      <c r="E172" s="67">
        <f t="shared" si="31"/>
        <v>23225.24</v>
      </c>
      <c r="F172" s="67">
        <f t="shared" si="31"/>
        <v>20372.05</v>
      </c>
      <c r="G172" s="67">
        <f t="shared" si="31"/>
        <v>77468.03</v>
      </c>
      <c r="H172" s="67">
        <f t="shared" si="31"/>
        <v>8148.82</v>
      </c>
      <c r="I172" s="67">
        <f t="shared" si="31"/>
        <v>0</v>
      </c>
      <c r="J172" s="67">
        <f t="shared" si="31"/>
        <v>0</v>
      </c>
    </row>
    <row r="173" spans="1:10">
      <c r="A173" s="61" t="s">
        <v>145</v>
      </c>
      <c r="B173" s="68">
        <v>20150</v>
      </c>
      <c r="C173" s="68">
        <v>0</v>
      </c>
      <c r="D173" s="68">
        <v>32700</v>
      </c>
      <c r="E173" s="68">
        <v>21800</v>
      </c>
      <c r="F173" s="68">
        <v>18000</v>
      </c>
      <c r="G173" s="68">
        <v>10800</v>
      </c>
      <c r="H173" s="68">
        <v>7200</v>
      </c>
      <c r="I173" s="68">
        <v>0</v>
      </c>
      <c r="J173" s="68">
        <v>0</v>
      </c>
    </row>
    <row r="174" spans="1:10">
      <c r="A174" s="61" t="s">
        <v>146</v>
      </c>
      <c r="B174" s="68">
        <v>0</v>
      </c>
      <c r="C174" s="68">
        <v>0</v>
      </c>
      <c r="D174" s="68">
        <v>0</v>
      </c>
      <c r="E174" s="68">
        <v>0</v>
      </c>
      <c r="F174" s="68">
        <v>0</v>
      </c>
      <c r="G174" s="68">
        <v>0</v>
      </c>
      <c r="H174" s="68">
        <v>0</v>
      </c>
      <c r="I174" s="68">
        <v>0</v>
      </c>
      <c r="J174" s="68">
        <v>0</v>
      </c>
    </row>
    <row r="175" spans="1:10">
      <c r="A175" s="61" t="s">
        <v>230</v>
      </c>
      <c r="B175" s="68">
        <v>0</v>
      </c>
      <c r="C175" s="68">
        <v>0</v>
      </c>
      <c r="D175" s="68">
        <v>74043</v>
      </c>
      <c r="E175" s="68">
        <v>0</v>
      </c>
      <c r="F175" s="68">
        <v>0</v>
      </c>
      <c r="G175" s="68">
        <v>49362</v>
      </c>
      <c r="H175" s="68">
        <v>0</v>
      </c>
      <c r="I175" s="68">
        <v>0</v>
      </c>
      <c r="J175" s="68">
        <v>0</v>
      </c>
    </row>
    <row r="176" spans="1:10">
      <c r="A176" s="61" t="s">
        <v>231</v>
      </c>
      <c r="B176" s="68">
        <v>0</v>
      </c>
      <c r="C176" s="68">
        <v>0</v>
      </c>
      <c r="D176" s="68">
        <v>23824.2</v>
      </c>
      <c r="E176" s="68">
        <v>0</v>
      </c>
      <c r="F176" s="68">
        <v>0</v>
      </c>
      <c r="G176" s="68">
        <v>15882.800000000001</v>
      </c>
      <c r="H176" s="68">
        <v>0</v>
      </c>
      <c r="I176" s="68">
        <v>0</v>
      </c>
      <c r="J176" s="68">
        <v>0</v>
      </c>
    </row>
    <row r="177" spans="1:10">
      <c r="A177" s="61" t="s">
        <v>232</v>
      </c>
      <c r="B177" s="68">
        <v>7717.8</v>
      </c>
      <c r="C177" s="68">
        <v>0</v>
      </c>
      <c r="D177" s="68">
        <v>3318.04</v>
      </c>
      <c r="E177" s="68">
        <v>1425.24</v>
      </c>
      <c r="F177" s="68">
        <v>2372.0500000000002</v>
      </c>
      <c r="G177" s="68">
        <v>1423.2299999999998</v>
      </c>
      <c r="H177" s="68">
        <v>948.82</v>
      </c>
      <c r="I177" s="68">
        <v>0</v>
      </c>
      <c r="J177" s="68">
        <v>0</v>
      </c>
    </row>
    <row r="178" spans="1:10">
      <c r="A178" s="72" t="s">
        <v>147</v>
      </c>
      <c r="B178" s="67">
        <f>+SUM(B179:B181)</f>
        <v>393661</v>
      </c>
      <c r="C178" s="67">
        <f t="shared" ref="C178:J178" si="32">+SUM(C179:C181)</f>
        <v>0</v>
      </c>
      <c r="D178" s="67">
        <f t="shared" si="32"/>
        <v>103311.4</v>
      </c>
      <c r="E178" s="67">
        <f t="shared" si="32"/>
        <v>66233.600000000006</v>
      </c>
      <c r="F178" s="67">
        <f t="shared" si="32"/>
        <v>92879</v>
      </c>
      <c r="G178" s="67">
        <f t="shared" si="32"/>
        <v>66357.100000000006</v>
      </c>
      <c r="H178" s="67">
        <f t="shared" si="32"/>
        <v>37151.600000000006</v>
      </c>
      <c r="I178" s="67">
        <f t="shared" si="32"/>
        <v>324608</v>
      </c>
      <c r="J178" s="67">
        <f t="shared" si="32"/>
        <v>0</v>
      </c>
    </row>
    <row r="179" spans="1:10">
      <c r="A179" s="61" t="s">
        <v>148</v>
      </c>
      <c r="B179" s="68">
        <v>388921</v>
      </c>
      <c r="C179" s="68">
        <v>0</v>
      </c>
      <c r="D179" s="68">
        <v>103311.4</v>
      </c>
      <c r="E179" s="68">
        <v>66233.600000000006</v>
      </c>
      <c r="F179" s="68">
        <v>79579</v>
      </c>
      <c r="G179" s="68">
        <v>50766.400000000001</v>
      </c>
      <c r="H179" s="68">
        <v>31831.600000000002</v>
      </c>
      <c r="I179" s="68">
        <v>0</v>
      </c>
      <c r="J179" s="68">
        <v>0</v>
      </c>
    </row>
    <row r="180" spans="1:10">
      <c r="A180" s="61" t="s">
        <v>149</v>
      </c>
      <c r="B180" s="68">
        <v>4740</v>
      </c>
      <c r="C180" s="68">
        <v>0</v>
      </c>
      <c r="D180" s="68">
        <v>0</v>
      </c>
      <c r="E180" s="68">
        <v>0</v>
      </c>
      <c r="F180" s="68">
        <v>0</v>
      </c>
      <c r="G180" s="68">
        <v>7610.7</v>
      </c>
      <c r="H180" s="68">
        <v>0</v>
      </c>
      <c r="I180" s="68">
        <v>319808</v>
      </c>
      <c r="J180" s="68">
        <v>0</v>
      </c>
    </row>
    <row r="181" spans="1:10">
      <c r="A181" s="61" t="s">
        <v>150</v>
      </c>
      <c r="B181" s="68">
        <v>0</v>
      </c>
      <c r="C181" s="68">
        <v>0</v>
      </c>
      <c r="D181" s="68">
        <v>0</v>
      </c>
      <c r="E181" s="68">
        <v>0</v>
      </c>
      <c r="F181" s="68">
        <v>13300</v>
      </c>
      <c r="G181" s="68">
        <v>7980</v>
      </c>
      <c r="H181" s="68">
        <v>5320</v>
      </c>
      <c r="I181" s="68">
        <v>4800</v>
      </c>
      <c r="J181" s="68">
        <v>0</v>
      </c>
    </row>
    <row r="182" spans="1:10">
      <c r="A182" s="72" t="s">
        <v>151</v>
      </c>
      <c r="B182" s="67">
        <f>+SUM(B183:B186)</f>
        <v>24350.04</v>
      </c>
      <c r="C182" s="67">
        <f t="shared" ref="C182:J182" si="33">+SUM(C183:C186)</f>
        <v>0</v>
      </c>
      <c r="D182" s="67">
        <f t="shared" si="33"/>
        <v>46556.26</v>
      </c>
      <c r="E182" s="67">
        <f t="shared" si="33"/>
        <v>3564.84</v>
      </c>
      <c r="F182" s="67">
        <f t="shared" si="33"/>
        <v>9738.5499999999993</v>
      </c>
      <c r="G182" s="67">
        <f t="shared" si="33"/>
        <v>7137.53</v>
      </c>
      <c r="H182" s="67">
        <f t="shared" si="33"/>
        <v>3423.0200000000004</v>
      </c>
      <c r="I182" s="67">
        <f t="shared" si="33"/>
        <v>7415</v>
      </c>
      <c r="J182" s="67">
        <f t="shared" si="33"/>
        <v>0</v>
      </c>
    </row>
    <row r="183" spans="1:10">
      <c r="A183" s="61" t="s">
        <v>152</v>
      </c>
      <c r="B183" s="68">
        <v>18556.800000000003</v>
      </c>
      <c r="C183" s="68">
        <v>0</v>
      </c>
      <c r="D183" s="68">
        <v>46556.26</v>
      </c>
      <c r="E183" s="68">
        <v>3564.84</v>
      </c>
      <c r="F183" s="68">
        <v>9738.5499999999993</v>
      </c>
      <c r="G183" s="68">
        <v>7137.53</v>
      </c>
      <c r="H183" s="68">
        <v>3423.0200000000004</v>
      </c>
      <c r="I183" s="68">
        <v>7415</v>
      </c>
      <c r="J183" s="68">
        <v>0</v>
      </c>
    </row>
    <row r="184" spans="1:10">
      <c r="A184" s="61" t="s">
        <v>153</v>
      </c>
      <c r="B184" s="68">
        <v>0</v>
      </c>
      <c r="C184" s="68">
        <v>0</v>
      </c>
      <c r="D184" s="68">
        <v>0</v>
      </c>
      <c r="E184" s="68">
        <v>0</v>
      </c>
      <c r="F184" s="68">
        <v>0</v>
      </c>
      <c r="G184" s="68">
        <v>0</v>
      </c>
      <c r="H184" s="68">
        <v>0</v>
      </c>
      <c r="I184" s="68">
        <v>0</v>
      </c>
      <c r="J184" s="68">
        <v>0</v>
      </c>
    </row>
    <row r="185" spans="1:10">
      <c r="A185" s="61" t="s">
        <v>154</v>
      </c>
      <c r="B185" s="68">
        <v>5793.24</v>
      </c>
      <c r="C185" s="68">
        <v>0</v>
      </c>
      <c r="D185" s="68">
        <v>0</v>
      </c>
      <c r="E185" s="68">
        <v>0</v>
      </c>
      <c r="F185" s="68">
        <v>0</v>
      </c>
      <c r="G185" s="68">
        <v>0</v>
      </c>
      <c r="H185" s="68">
        <v>0</v>
      </c>
      <c r="I185" s="68">
        <v>0</v>
      </c>
      <c r="J185" s="68">
        <v>0</v>
      </c>
    </row>
    <row r="186" spans="1:10">
      <c r="A186" s="61" t="s">
        <v>155</v>
      </c>
      <c r="B186" s="68">
        <v>0</v>
      </c>
      <c r="C186" s="68">
        <v>0</v>
      </c>
      <c r="D186" s="68">
        <v>0</v>
      </c>
      <c r="E186" s="68">
        <v>0</v>
      </c>
      <c r="F186" s="68">
        <v>0</v>
      </c>
      <c r="G186" s="68">
        <v>0</v>
      </c>
      <c r="H186" s="68">
        <v>0</v>
      </c>
      <c r="I186" s="68">
        <v>0</v>
      </c>
      <c r="J186" s="68">
        <v>0</v>
      </c>
    </row>
    <row r="187" spans="1:10">
      <c r="A187" s="72" t="s">
        <v>156</v>
      </c>
      <c r="B187" s="67">
        <f>+SUM(B188:B192)</f>
        <v>23715</v>
      </c>
      <c r="C187" s="67">
        <f t="shared" ref="C187:J187" si="34">+SUM(C188:C192)</f>
        <v>0</v>
      </c>
      <c r="D187" s="67">
        <f t="shared" si="34"/>
        <v>7949.6999999999989</v>
      </c>
      <c r="E187" s="67">
        <f t="shared" si="34"/>
        <v>5299.8</v>
      </c>
      <c r="F187" s="67">
        <f t="shared" si="34"/>
        <v>9131.75</v>
      </c>
      <c r="G187" s="67">
        <f t="shared" si="34"/>
        <v>3974.8499999999995</v>
      </c>
      <c r="H187" s="67">
        <f t="shared" si="34"/>
        <v>2649.9</v>
      </c>
      <c r="I187" s="67">
        <f t="shared" si="34"/>
        <v>148845</v>
      </c>
      <c r="J187" s="67">
        <f t="shared" si="34"/>
        <v>1250</v>
      </c>
    </row>
    <row r="188" spans="1:10">
      <c r="A188" s="61" t="s">
        <v>157</v>
      </c>
      <c r="B188" s="68">
        <v>8332.8000000000011</v>
      </c>
      <c r="C188" s="68">
        <v>0</v>
      </c>
      <c r="D188" s="68">
        <v>3749.7599999999993</v>
      </c>
      <c r="E188" s="68">
        <v>2499.84</v>
      </c>
      <c r="F188" s="68">
        <v>3124.7999999999997</v>
      </c>
      <c r="G188" s="68">
        <v>1874.8799999999997</v>
      </c>
      <c r="H188" s="68">
        <v>1249.92</v>
      </c>
      <c r="I188" s="68">
        <v>1874.9999999999995</v>
      </c>
      <c r="J188" s="68">
        <v>1250</v>
      </c>
    </row>
    <row r="189" spans="1:10">
      <c r="A189" s="61" t="s">
        <v>158</v>
      </c>
      <c r="B189" s="68">
        <v>6000</v>
      </c>
      <c r="C189" s="68">
        <v>0</v>
      </c>
      <c r="D189" s="68">
        <v>2700</v>
      </c>
      <c r="E189" s="68">
        <v>1800</v>
      </c>
      <c r="F189" s="68">
        <v>2250</v>
      </c>
      <c r="G189" s="68">
        <v>1350</v>
      </c>
      <c r="H189" s="68">
        <v>900</v>
      </c>
      <c r="I189" s="68">
        <v>0</v>
      </c>
      <c r="J189" s="68">
        <v>0</v>
      </c>
    </row>
    <row r="190" spans="1:10">
      <c r="A190" s="61" t="s">
        <v>159</v>
      </c>
      <c r="B190" s="68">
        <v>0</v>
      </c>
      <c r="C190" s="68">
        <v>0</v>
      </c>
      <c r="D190" s="68">
        <v>0</v>
      </c>
      <c r="E190" s="68">
        <v>0</v>
      </c>
      <c r="F190" s="68">
        <v>0</v>
      </c>
      <c r="G190" s="68">
        <v>0</v>
      </c>
      <c r="H190" s="68">
        <v>0</v>
      </c>
      <c r="I190" s="68">
        <v>0</v>
      </c>
      <c r="J190" s="68">
        <v>0</v>
      </c>
    </row>
    <row r="191" spans="1:10">
      <c r="A191" s="61" t="s">
        <v>160</v>
      </c>
      <c r="B191" s="68">
        <v>9382.2000000000007</v>
      </c>
      <c r="C191" s="68">
        <v>0</v>
      </c>
      <c r="D191" s="68">
        <v>1499.94</v>
      </c>
      <c r="E191" s="68">
        <v>999.96</v>
      </c>
      <c r="F191" s="68">
        <v>3756.95</v>
      </c>
      <c r="G191" s="68">
        <v>749.97</v>
      </c>
      <c r="H191" s="68">
        <v>499.98</v>
      </c>
      <c r="I191" s="68">
        <v>146970</v>
      </c>
      <c r="J191" s="68">
        <v>0</v>
      </c>
    </row>
    <row r="192" spans="1:10">
      <c r="A192" s="61" t="s">
        <v>161</v>
      </c>
      <c r="B192" s="68">
        <v>0</v>
      </c>
      <c r="C192" s="68">
        <v>0</v>
      </c>
      <c r="D192" s="68">
        <v>0</v>
      </c>
      <c r="E192" s="68">
        <v>0</v>
      </c>
      <c r="F192" s="68">
        <v>0</v>
      </c>
      <c r="G192" s="68">
        <v>0</v>
      </c>
      <c r="H192" s="68">
        <v>0</v>
      </c>
      <c r="I192" s="68">
        <v>0</v>
      </c>
      <c r="J192" s="68">
        <v>0</v>
      </c>
    </row>
    <row r="193" spans="1:10">
      <c r="A193" s="72" t="s">
        <v>162</v>
      </c>
      <c r="B193" s="67">
        <f>+SUM(B194:B204)</f>
        <v>89705.717999999993</v>
      </c>
      <c r="C193" s="67">
        <f t="shared" ref="C193:J193" si="35">+SUM(C194:C204)</f>
        <v>0.36000000000000004</v>
      </c>
      <c r="D193" s="67">
        <f t="shared" si="35"/>
        <v>100466.76460000002</v>
      </c>
      <c r="E193" s="67">
        <f t="shared" si="35"/>
        <v>11156.413066666668</v>
      </c>
      <c r="F193" s="67">
        <f t="shared" si="35"/>
        <v>34392.692166666668</v>
      </c>
      <c r="G193" s="67">
        <f t="shared" si="35"/>
        <v>33326.063300000002</v>
      </c>
      <c r="H193" s="67">
        <f t="shared" si="35"/>
        <v>6320.9388666666664</v>
      </c>
      <c r="I193" s="67">
        <f t="shared" si="35"/>
        <v>130329.92</v>
      </c>
      <c r="J193" s="67">
        <f t="shared" si="35"/>
        <v>1000</v>
      </c>
    </row>
    <row r="194" spans="1:10">
      <c r="A194" s="61" t="s">
        <v>163</v>
      </c>
      <c r="B194" s="68">
        <v>11831</v>
      </c>
      <c r="C194" s="68">
        <v>0</v>
      </c>
      <c r="D194" s="68">
        <v>16684.3</v>
      </c>
      <c r="E194" s="68">
        <v>11122.866666666669</v>
      </c>
      <c r="F194" s="68">
        <v>6177.166666666667</v>
      </c>
      <c r="G194" s="68">
        <v>3706.3</v>
      </c>
      <c r="H194" s="68">
        <v>2470.8666666666668</v>
      </c>
      <c r="I194" s="68">
        <v>0</v>
      </c>
      <c r="J194" s="68">
        <v>0</v>
      </c>
    </row>
    <row r="195" spans="1:10">
      <c r="A195" s="61" t="s">
        <v>164</v>
      </c>
      <c r="B195" s="68">
        <v>106</v>
      </c>
      <c r="C195" s="68">
        <v>0</v>
      </c>
      <c r="D195" s="68">
        <v>47.699999999999996</v>
      </c>
      <c r="E195" s="68">
        <v>31.8</v>
      </c>
      <c r="F195" s="68">
        <v>39.75</v>
      </c>
      <c r="G195" s="68">
        <v>23.849999999999998</v>
      </c>
      <c r="H195" s="68">
        <v>15.9</v>
      </c>
      <c r="I195" s="68">
        <v>219</v>
      </c>
      <c r="J195" s="68">
        <v>0</v>
      </c>
    </row>
    <row r="196" spans="1:10">
      <c r="A196" s="61" t="s">
        <v>233</v>
      </c>
      <c r="B196" s="68">
        <v>0</v>
      </c>
      <c r="C196" s="68">
        <v>0</v>
      </c>
      <c r="D196" s="68">
        <v>0</v>
      </c>
      <c r="E196" s="68">
        <v>0</v>
      </c>
      <c r="F196" s="68">
        <v>1375</v>
      </c>
      <c r="G196" s="68">
        <v>825</v>
      </c>
      <c r="H196" s="68">
        <v>550</v>
      </c>
      <c r="I196" s="68">
        <v>41167</v>
      </c>
      <c r="J196" s="68">
        <v>0</v>
      </c>
    </row>
    <row r="197" spans="1:10">
      <c r="A197" s="61" t="s">
        <v>165</v>
      </c>
      <c r="B197" s="68">
        <v>0</v>
      </c>
      <c r="C197" s="68">
        <v>0</v>
      </c>
      <c r="D197" s="68">
        <v>0</v>
      </c>
      <c r="E197" s="68">
        <v>0</v>
      </c>
      <c r="F197" s="68">
        <v>0</v>
      </c>
      <c r="G197" s="68">
        <v>0</v>
      </c>
      <c r="H197" s="68">
        <v>0</v>
      </c>
      <c r="I197" s="68">
        <v>0</v>
      </c>
      <c r="J197" s="68">
        <v>0</v>
      </c>
    </row>
    <row r="198" spans="1:10">
      <c r="A198" s="61" t="s">
        <v>166</v>
      </c>
      <c r="B198" s="68">
        <v>55084.34</v>
      </c>
      <c r="C198" s="68">
        <v>0</v>
      </c>
      <c r="D198" s="68">
        <v>23960.47</v>
      </c>
      <c r="E198" s="68">
        <v>0</v>
      </c>
      <c r="F198" s="68">
        <v>15586.424999999999</v>
      </c>
      <c r="G198" s="68">
        <v>4143.2550000000001</v>
      </c>
      <c r="H198" s="68">
        <v>2762.17</v>
      </c>
      <c r="I198" s="68">
        <v>77988.11</v>
      </c>
      <c r="J198" s="68">
        <v>1000</v>
      </c>
    </row>
    <row r="199" spans="1:10">
      <c r="A199" s="61" t="s">
        <v>167</v>
      </c>
      <c r="B199" s="68">
        <v>18398.900000000001</v>
      </c>
      <c r="C199" s="68">
        <v>0</v>
      </c>
      <c r="D199" s="68">
        <v>50112.76</v>
      </c>
      <c r="E199" s="68">
        <v>0</v>
      </c>
      <c r="F199" s="68">
        <v>10201.94</v>
      </c>
      <c r="G199" s="68">
        <v>22729.462</v>
      </c>
      <c r="H199" s="68">
        <v>115.06800000000001</v>
      </c>
      <c r="I199" s="68">
        <v>10874.86</v>
      </c>
      <c r="J199" s="68">
        <v>0</v>
      </c>
    </row>
    <row r="200" spans="1:10">
      <c r="A200" s="61" t="s">
        <v>168</v>
      </c>
      <c r="B200" s="68">
        <v>2652.55</v>
      </c>
      <c r="C200" s="68">
        <v>0</v>
      </c>
      <c r="D200" s="68">
        <v>6017.32</v>
      </c>
      <c r="E200" s="68">
        <v>0</v>
      </c>
      <c r="F200" s="68">
        <v>1015.115</v>
      </c>
      <c r="G200" s="68">
        <v>609.06899999999996</v>
      </c>
      <c r="H200" s="68">
        <v>406.04600000000005</v>
      </c>
      <c r="I200" s="68">
        <v>0</v>
      </c>
      <c r="J200" s="68">
        <v>0</v>
      </c>
    </row>
    <row r="201" spans="1:10">
      <c r="A201" s="61" t="s">
        <v>169</v>
      </c>
      <c r="B201" s="68">
        <v>1640</v>
      </c>
      <c r="C201" s="68">
        <v>0</v>
      </c>
      <c r="D201" s="68">
        <v>3653</v>
      </c>
      <c r="E201" s="68">
        <v>0</v>
      </c>
      <c r="F201" s="68">
        <v>0</v>
      </c>
      <c r="G201" s="68">
        <v>1294</v>
      </c>
      <c r="H201" s="68">
        <v>0</v>
      </c>
      <c r="I201" s="68">
        <v>80</v>
      </c>
      <c r="J201" s="68">
        <v>0</v>
      </c>
    </row>
    <row r="202" spans="1:10">
      <c r="A202" s="61" t="s">
        <v>170</v>
      </c>
      <c r="B202" s="68">
        <v>0</v>
      </c>
      <c r="C202" s="68">
        <v>0</v>
      </c>
      <c r="D202" s="68">
        <v>0</v>
      </c>
      <c r="E202" s="68">
        <v>0</v>
      </c>
      <c r="F202" s="68">
        <v>0</v>
      </c>
      <c r="G202" s="68">
        <v>0</v>
      </c>
      <c r="H202" s="68">
        <v>0</v>
      </c>
      <c r="I202" s="68">
        <v>0</v>
      </c>
      <c r="J202" s="68">
        <v>0</v>
      </c>
    </row>
    <row r="203" spans="1:10">
      <c r="A203" s="61" t="s">
        <v>234</v>
      </c>
      <c r="B203" s="68">
        <v>1.2000000000000011E-2</v>
      </c>
      <c r="C203" s="68">
        <v>0.36000000000000004</v>
      </c>
      <c r="D203" s="68">
        <v>-5.5975999999999999</v>
      </c>
      <c r="E203" s="68">
        <v>3.8715999999999999</v>
      </c>
      <c r="F203" s="68">
        <v>-4.8000000000000001E-2</v>
      </c>
      <c r="G203" s="68">
        <v>-3.2787999999999999</v>
      </c>
      <c r="H203" s="68">
        <v>1.9507999999999999</v>
      </c>
      <c r="I203" s="68">
        <v>0.95</v>
      </c>
      <c r="J203" s="68">
        <v>0</v>
      </c>
    </row>
    <row r="204" spans="1:10">
      <c r="A204" s="61" t="s">
        <v>171</v>
      </c>
      <c r="B204" s="68">
        <v>-7.0840000000000005</v>
      </c>
      <c r="C204" s="68">
        <v>0</v>
      </c>
      <c r="D204" s="68">
        <v>-3.1877999999999997</v>
      </c>
      <c r="E204" s="68">
        <v>-2.1252</v>
      </c>
      <c r="F204" s="68">
        <v>-2.6564999999999999</v>
      </c>
      <c r="G204" s="68">
        <v>-1.5938999999999999</v>
      </c>
      <c r="H204" s="68">
        <v>-1.0626</v>
      </c>
      <c r="I204" s="68">
        <v>0</v>
      </c>
      <c r="J204" s="68">
        <v>0</v>
      </c>
    </row>
    <row r="205" spans="1:10">
      <c r="A205" s="72" t="s">
        <v>172</v>
      </c>
      <c r="B205" s="67">
        <f>+SUM(B206:B208)</f>
        <v>148648</v>
      </c>
      <c r="C205" s="67">
        <f t="shared" ref="C205:J205" si="36">+SUM(C206:C208)</f>
        <v>0</v>
      </c>
      <c r="D205" s="67">
        <f t="shared" si="36"/>
        <v>0</v>
      </c>
      <c r="E205" s="67">
        <f t="shared" si="36"/>
        <v>0</v>
      </c>
      <c r="F205" s="67">
        <f t="shared" si="36"/>
        <v>45540</v>
      </c>
      <c r="G205" s="67">
        <f t="shared" si="36"/>
        <v>0</v>
      </c>
      <c r="H205" s="67">
        <f t="shared" si="36"/>
        <v>0</v>
      </c>
      <c r="I205" s="67">
        <f t="shared" si="36"/>
        <v>0</v>
      </c>
      <c r="J205" s="67">
        <f t="shared" si="36"/>
        <v>0</v>
      </c>
    </row>
    <row r="206" spans="1:10">
      <c r="A206" s="61" t="s">
        <v>173</v>
      </c>
      <c r="B206" s="68">
        <v>148648</v>
      </c>
      <c r="C206" s="68">
        <v>0</v>
      </c>
      <c r="D206" s="68">
        <v>0</v>
      </c>
      <c r="E206" s="68">
        <v>0</v>
      </c>
      <c r="F206" s="68">
        <v>45540</v>
      </c>
      <c r="G206" s="68">
        <v>0</v>
      </c>
      <c r="H206" s="68">
        <v>0</v>
      </c>
      <c r="I206" s="68">
        <v>0</v>
      </c>
      <c r="J206" s="68">
        <v>0</v>
      </c>
    </row>
    <row r="207" spans="1:10">
      <c r="A207" s="61" t="s">
        <v>174</v>
      </c>
      <c r="B207" s="68">
        <v>0</v>
      </c>
      <c r="C207" s="68">
        <v>0</v>
      </c>
      <c r="D207" s="68">
        <v>0</v>
      </c>
      <c r="E207" s="68">
        <v>0</v>
      </c>
      <c r="F207" s="68">
        <v>0</v>
      </c>
      <c r="G207" s="68">
        <v>0</v>
      </c>
      <c r="H207" s="68">
        <v>0</v>
      </c>
      <c r="I207" s="68">
        <v>0</v>
      </c>
      <c r="J207" s="68">
        <v>0</v>
      </c>
    </row>
    <row r="208" spans="1:10">
      <c r="A208" s="61" t="s">
        <v>235</v>
      </c>
      <c r="B208" s="68">
        <v>0</v>
      </c>
      <c r="C208" s="68">
        <v>0</v>
      </c>
      <c r="D208" s="68">
        <v>0</v>
      </c>
      <c r="E208" s="68">
        <v>0</v>
      </c>
      <c r="F208" s="68">
        <v>0</v>
      </c>
      <c r="G208" s="68">
        <v>0</v>
      </c>
      <c r="H208" s="68">
        <v>0</v>
      </c>
      <c r="I208" s="68">
        <v>0</v>
      </c>
      <c r="J208" s="68">
        <v>0</v>
      </c>
    </row>
    <row r="209" spans="1:10">
      <c r="A209" s="72" t="s">
        <v>175</v>
      </c>
      <c r="B209" s="67">
        <f>+SUM(B210:B213)</f>
        <v>87450.312499999956</v>
      </c>
      <c r="C209" s="67">
        <f t="shared" ref="C209:J209" si="37">+SUM(C210:C213)</f>
        <v>0</v>
      </c>
      <c r="D209" s="67">
        <f t="shared" si="37"/>
        <v>186159</v>
      </c>
      <c r="E209" s="67">
        <f t="shared" si="37"/>
        <v>224106</v>
      </c>
      <c r="F209" s="67">
        <f t="shared" si="37"/>
        <v>140992.5</v>
      </c>
      <c r="G209" s="67">
        <f t="shared" si="37"/>
        <v>84595.5</v>
      </c>
      <c r="H209" s="67">
        <f t="shared" si="37"/>
        <v>56397</v>
      </c>
      <c r="I209" s="67">
        <f t="shared" si="37"/>
        <v>267000</v>
      </c>
      <c r="J209" s="67">
        <f t="shared" si="37"/>
        <v>178000</v>
      </c>
    </row>
    <row r="210" spans="1:10">
      <c r="A210" s="61" t="s">
        <v>176</v>
      </c>
      <c r="B210" s="68">
        <v>0</v>
      </c>
      <c r="C210" s="68">
        <v>0</v>
      </c>
      <c r="D210" s="68">
        <v>0</v>
      </c>
      <c r="E210" s="68">
        <v>100000</v>
      </c>
      <c r="F210" s="68">
        <v>0</v>
      </c>
      <c r="G210" s="68">
        <v>0</v>
      </c>
      <c r="H210" s="68">
        <v>0</v>
      </c>
      <c r="I210" s="68">
        <v>0</v>
      </c>
      <c r="J210" s="68">
        <v>0</v>
      </c>
    </row>
    <row r="211" spans="1:10">
      <c r="A211" s="61" t="s">
        <v>177</v>
      </c>
      <c r="B211" s="68">
        <v>0</v>
      </c>
      <c r="C211" s="68">
        <v>0</v>
      </c>
      <c r="D211" s="68">
        <v>186159</v>
      </c>
      <c r="E211" s="68">
        <v>124106</v>
      </c>
      <c r="F211" s="68">
        <v>0</v>
      </c>
      <c r="G211" s="68">
        <v>70195.5</v>
      </c>
      <c r="H211" s="68">
        <v>46797</v>
      </c>
      <c r="I211" s="68">
        <v>267000</v>
      </c>
      <c r="J211" s="68">
        <v>178000</v>
      </c>
    </row>
    <row r="212" spans="1:10">
      <c r="A212" s="61" t="s">
        <v>178</v>
      </c>
      <c r="B212" s="68">
        <v>87450.312499999956</v>
      </c>
      <c r="C212" s="68">
        <v>0</v>
      </c>
      <c r="D212" s="68">
        <v>0</v>
      </c>
      <c r="E212" s="68">
        <v>0</v>
      </c>
      <c r="F212" s="68">
        <v>116992.5</v>
      </c>
      <c r="G212" s="68">
        <v>0</v>
      </c>
      <c r="H212" s="68">
        <v>0</v>
      </c>
      <c r="I212" s="68">
        <v>0</v>
      </c>
      <c r="J212" s="68">
        <v>0</v>
      </c>
    </row>
    <row r="213" spans="1:10">
      <c r="A213" s="61" t="s">
        <v>179</v>
      </c>
      <c r="B213" s="68">
        <v>0</v>
      </c>
      <c r="C213" s="68">
        <v>0</v>
      </c>
      <c r="D213" s="68">
        <v>0</v>
      </c>
      <c r="E213" s="68">
        <v>0</v>
      </c>
      <c r="F213" s="68">
        <v>24000</v>
      </c>
      <c r="G213" s="68">
        <v>14400</v>
      </c>
      <c r="H213" s="68">
        <v>9600</v>
      </c>
      <c r="I213" s="68">
        <v>0</v>
      </c>
      <c r="J213" s="68">
        <v>0</v>
      </c>
    </row>
    <row r="214" spans="1:10">
      <c r="A214" s="72" t="s">
        <v>180</v>
      </c>
      <c r="B214" s="67">
        <f>+SUM(B215:B216)</f>
        <v>26500</v>
      </c>
      <c r="C214" s="67">
        <f t="shared" ref="C214:J214" si="38">+SUM(C215:C216)</f>
        <v>0</v>
      </c>
      <c r="D214" s="67">
        <f t="shared" si="38"/>
        <v>400</v>
      </c>
      <c r="E214" s="67">
        <f t="shared" si="38"/>
        <v>0</v>
      </c>
      <c r="F214" s="67">
        <f t="shared" si="38"/>
        <v>1150</v>
      </c>
      <c r="G214" s="67">
        <f t="shared" si="38"/>
        <v>690</v>
      </c>
      <c r="H214" s="67">
        <f t="shared" si="38"/>
        <v>460</v>
      </c>
      <c r="I214" s="67">
        <f t="shared" si="38"/>
        <v>900</v>
      </c>
      <c r="J214" s="67">
        <f t="shared" si="38"/>
        <v>0</v>
      </c>
    </row>
    <row r="215" spans="1:10">
      <c r="A215" s="61" t="s">
        <v>181</v>
      </c>
      <c r="B215" s="68">
        <v>0</v>
      </c>
      <c r="C215" s="68">
        <v>0</v>
      </c>
      <c r="D215" s="68">
        <v>0</v>
      </c>
      <c r="E215" s="68">
        <v>0</v>
      </c>
      <c r="F215" s="68">
        <v>0</v>
      </c>
      <c r="G215" s="68">
        <v>0</v>
      </c>
      <c r="H215" s="68">
        <v>0</v>
      </c>
      <c r="I215" s="68">
        <v>0</v>
      </c>
      <c r="J215" s="68">
        <v>0</v>
      </c>
    </row>
    <row r="216" spans="1:10">
      <c r="A216" s="61" t="s">
        <v>182</v>
      </c>
      <c r="B216" s="68">
        <v>26500</v>
      </c>
      <c r="C216" s="68">
        <v>0</v>
      </c>
      <c r="D216" s="68">
        <v>400</v>
      </c>
      <c r="E216" s="68">
        <v>0</v>
      </c>
      <c r="F216" s="68">
        <v>1150</v>
      </c>
      <c r="G216" s="68">
        <v>690</v>
      </c>
      <c r="H216" s="68">
        <v>460</v>
      </c>
      <c r="I216" s="68">
        <v>900</v>
      </c>
      <c r="J216" s="68">
        <v>0</v>
      </c>
    </row>
    <row r="217" spans="1:10">
      <c r="A217" s="60"/>
      <c r="B217" s="68"/>
      <c r="C217" s="68"/>
      <c r="D217" s="68"/>
      <c r="E217" s="68"/>
      <c r="F217" s="68"/>
      <c r="G217" s="68"/>
      <c r="H217" s="68"/>
      <c r="I217" s="69"/>
      <c r="J217" s="69"/>
    </row>
    <row r="218" spans="1:10" ht="17.25">
      <c r="A218" s="70" t="s">
        <v>183</v>
      </c>
      <c r="B218" s="67">
        <f>+B219+B223+B227</f>
        <v>796205.24158904108</v>
      </c>
      <c r="C218" s="67">
        <f t="shared" ref="C218:J218" si="39">+C219+C223+C227</f>
        <v>0</v>
      </c>
      <c r="D218" s="67">
        <f t="shared" si="39"/>
        <v>40276.564199999993</v>
      </c>
      <c r="E218" s="67">
        <f t="shared" si="39"/>
        <v>26851.042799999996</v>
      </c>
      <c r="F218" s="67">
        <f t="shared" si="39"/>
        <v>366068.90750000003</v>
      </c>
      <c r="G218" s="67">
        <f t="shared" si="39"/>
        <v>20138.282099999997</v>
      </c>
      <c r="H218" s="67">
        <f t="shared" si="39"/>
        <v>13425.521399999998</v>
      </c>
      <c r="I218" s="67">
        <f t="shared" si="39"/>
        <v>0</v>
      </c>
      <c r="J218" s="67">
        <f t="shared" si="39"/>
        <v>0</v>
      </c>
    </row>
    <row r="219" spans="1:10">
      <c r="A219" s="72" t="s">
        <v>184</v>
      </c>
      <c r="B219" s="67">
        <f>+SUM(B220:B222)</f>
        <v>706701.76558904105</v>
      </c>
      <c r="C219" s="67">
        <f t="shared" ref="C219:J219" si="40">+SUM(C220:C222)</f>
        <v>0</v>
      </c>
      <c r="D219" s="67">
        <f t="shared" si="40"/>
        <v>0</v>
      </c>
      <c r="E219" s="67">
        <f t="shared" si="40"/>
        <v>0</v>
      </c>
      <c r="F219" s="67">
        <f t="shared" si="40"/>
        <v>332505.10400000005</v>
      </c>
      <c r="G219" s="67">
        <f t="shared" si="40"/>
        <v>0</v>
      </c>
      <c r="H219" s="67">
        <f t="shared" si="40"/>
        <v>0</v>
      </c>
      <c r="I219" s="67">
        <f t="shared" si="40"/>
        <v>0</v>
      </c>
      <c r="J219" s="67">
        <f t="shared" si="40"/>
        <v>0</v>
      </c>
    </row>
    <row r="220" spans="1:10">
      <c r="A220" s="61" t="s">
        <v>185</v>
      </c>
      <c r="B220" s="68">
        <v>207944.10958904109</v>
      </c>
      <c r="C220" s="68">
        <v>0</v>
      </c>
      <c r="D220" s="68">
        <v>0</v>
      </c>
      <c r="E220" s="68">
        <v>0</v>
      </c>
      <c r="F220" s="68">
        <v>0</v>
      </c>
      <c r="G220" s="68">
        <v>0</v>
      </c>
      <c r="H220" s="68">
        <v>0</v>
      </c>
      <c r="I220" s="68">
        <v>0</v>
      </c>
      <c r="J220" s="68">
        <v>0</v>
      </c>
    </row>
    <row r="221" spans="1:10">
      <c r="A221" s="61" t="s">
        <v>236</v>
      </c>
      <c r="B221" s="68"/>
      <c r="C221" s="68"/>
      <c r="D221" s="68"/>
      <c r="E221" s="68"/>
      <c r="F221" s="68"/>
      <c r="G221" s="68"/>
      <c r="H221" s="68"/>
      <c r="I221" s="68"/>
      <c r="J221" s="68"/>
    </row>
    <row r="222" spans="1:10">
      <c r="A222" s="61" t="s">
        <v>237</v>
      </c>
      <c r="B222" s="68">
        <v>498757.65599999996</v>
      </c>
      <c r="C222" s="68">
        <v>0</v>
      </c>
      <c r="D222" s="68">
        <v>0</v>
      </c>
      <c r="E222" s="68">
        <v>0</v>
      </c>
      <c r="F222" s="68">
        <v>332505.10400000005</v>
      </c>
      <c r="G222" s="68">
        <v>0</v>
      </c>
      <c r="H222" s="68">
        <v>0</v>
      </c>
      <c r="I222" s="68">
        <v>0</v>
      </c>
      <c r="J222" s="68">
        <v>0</v>
      </c>
    </row>
    <row r="223" spans="1:10">
      <c r="A223" s="72" t="s">
        <v>186</v>
      </c>
      <c r="B223" s="67">
        <f>+SUM(B224:B226)</f>
        <v>52988.675999999992</v>
      </c>
      <c r="C223" s="67">
        <f t="shared" ref="C223:J223" si="41">+SUM(C224:C226)</f>
        <v>0</v>
      </c>
      <c r="D223" s="67">
        <f t="shared" si="41"/>
        <v>23844.904199999994</v>
      </c>
      <c r="E223" s="67">
        <f t="shared" si="41"/>
        <v>15896.602799999997</v>
      </c>
      <c r="F223" s="67">
        <f t="shared" si="41"/>
        <v>19870.753499999995</v>
      </c>
      <c r="G223" s="67">
        <f t="shared" si="41"/>
        <v>11922.452099999997</v>
      </c>
      <c r="H223" s="67">
        <f t="shared" si="41"/>
        <v>7948.3013999999985</v>
      </c>
      <c r="I223" s="67">
        <f t="shared" si="41"/>
        <v>0</v>
      </c>
      <c r="J223" s="67">
        <f t="shared" si="41"/>
        <v>0</v>
      </c>
    </row>
    <row r="224" spans="1:10">
      <c r="A224" s="61" t="s">
        <v>187</v>
      </c>
      <c r="B224" s="68">
        <v>52988.675999999992</v>
      </c>
      <c r="C224" s="68">
        <v>0</v>
      </c>
      <c r="D224" s="68">
        <v>23844.904199999994</v>
      </c>
      <c r="E224" s="68">
        <v>15896.602799999997</v>
      </c>
      <c r="F224" s="68">
        <v>19870.753499999995</v>
      </c>
      <c r="G224" s="68">
        <v>11922.452099999997</v>
      </c>
      <c r="H224" s="68">
        <v>7948.3013999999985</v>
      </c>
      <c r="I224" s="68">
        <v>0</v>
      </c>
      <c r="J224" s="68">
        <v>0</v>
      </c>
    </row>
    <row r="225" spans="1:10">
      <c r="A225" s="61" t="s">
        <v>188</v>
      </c>
      <c r="B225" s="68">
        <v>0</v>
      </c>
      <c r="C225" s="68">
        <v>0</v>
      </c>
      <c r="D225" s="68">
        <v>0</v>
      </c>
      <c r="E225" s="68">
        <v>0</v>
      </c>
      <c r="F225" s="68">
        <v>0</v>
      </c>
      <c r="G225" s="68">
        <v>0</v>
      </c>
      <c r="H225" s="68">
        <v>0</v>
      </c>
      <c r="I225" s="68">
        <v>0</v>
      </c>
      <c r="J225" s="68">
        <v>0</v>
      </c>
    </row>
    <row r="226" spans="1:10">
      <c r="A226" s="61" t="s">
        <v>189</v>
      </c>
      <c r="B226" s="68">
        <v>0</v>
      </c>
      <c r="C226" s="68">
        <v>0</v>
      </c>
      <c r="D226" s="68">
        <v>0</v>
      </c>
      <c r="E226" s="68">
        <v>0</v>
      </c>
      <c r="F226" s="68">
        <v>0</v>
      </c>
      <c r="G226" s="68">
        <v>0</v>
      </c>
      <c r="H226" s="68">
        <v>0</v>
      </c>
      <c r="I226" s="68">
        <v>0</v>
      </c>
      <c r="J226" s="68">
        <v>0</v>
      </c>
    </row>
    <row r="227" spans="1:10">
      <c r="A227" s="72" t="s">
        <v>190</v>
      </c>
      <c r="B227" s="67">
        <f>+SUM(B228:B229)</f>
        <v>36514.800000000003</v>
      </c>
      <c r="C227" s="67">
        <f t="shared" ref="C227:J227" si="42">+SUM(C228:C229)</f>
        <v>0</v>
      </c>
      <c r="D227" s="67">
        <f t="shared" si="42"/>
        <v>16431.66</v>
      </c>
      <c r="E227" s="67">
        <f t="shared" si="42"/>
        <v>10954.44</v>
      </c>
      <c r="F227" s="67">
        <f t="shared" si="42"/>
        <v>13693.05</v>
      </c>
      <c r="G227" s="67">
        <f t="shared" si="42"/>
        <v>8215.83</v>
      </c>
      <c r="H227" s="67">
        <f t="shared" si="42"/>
        <v>5477.22</v>
      </c>
      <c r="I227" s="67">
        <f t="shared" si="42"/>
        <v>0</v>
      </c>
      <c r="J227" s="67">
        <f t="shared" si="42"/>
        <v>0</v>
      </c>
    </row>
    <row r="228" spans="1:10">
      <c r="A228" s="61" t="s">
        <v>191</v>
      </c>
      <c r="B228" s="68">
        <v>0</v>
      </c>
      <c r="C228" s="68">
        <v>0</v>
      </c>
      <c r="D228" s="68">
        <v>0</v>
      </c>
      <c r="E228" s="68">
        <v>0</v>
      </c>
      <c r="F228" s="68">
        <v>0</v>
      </c>
      <c r="G228" s="68">
        <v>0</v>
      </c>
      <c r="H228" s="68">
        <v>0</v>
      </c>
      <c r="I228" s="68">
        <v>0</v>
      </c>
      <c r="J228" s="68">
        <v>0</v>
      </c>
    </row>
    <row r="229" spans="1:10">
      <c r="A229" s="61" t="s">
        <v>192</v>
      </c>
      <c r="B229" s="68">
        <v>36514.800000000003</v>
      </c>
      <c r="C229" s="68">
        <v>0</v>
      </c>
      <c r="D229" s="68">
        <v>16431.66</v>
      </c>
      <c r="E229" s="68">
        <v>10954.44</v>
      </c>
      <c r="F229" s="68">
        <v>13693.05</v>
      </c>
      <c r="G229" s="68">
        <v>8215.83</v>
      </c>
      <c r="H229" s="68">
        <v>5477.22</v>
      </c>
      <c r="I229" s="68">
        <v>0</v>
      </c>
      <c r="J229" s="68">
        <v>0</v>
      </c>
    </row>
    <row r="230" spans="1:10">
      <c r="A230" s="64" t="s">
        <v>193</v>
      </c>
      <c r="B230" s="67">
        <f>+B75+B104+B115+B156+B218</f>
        <v>7640287.8197300676</v>
      </c>
      <c r="C230" s="67">
        <f t="shared" ref="C230:J230" si="43">+C75+C104+C115+C156+C218</f>
        <v>45059.360000000001</v>
      </c>
      <c r="D230" s="67">
        <f t="shared" si="43"/>
        <v>3223881.8717172779</v>
      </c>
      <c r="E230" s="67">
        <f t="shared" si="43"/>
        <v>877614.77396027674</v>
      </c>
      <c r="F230" s="67">
        <f t="shared" si="43"/>
        <v>3657237.4827692308</v>
      </c>
      <c r="G230" s="67">
        <f t="shared" si="43"/>
        <v>1294045.4266871791</v>
      </c>
      <c r="H230" s="67">
        <f t="shared" si="43"/>
        <v>294270.40096893848</v>
      </c>
      <c r="I230" s="67">
        <f t="shared" si="43"/>
        <v>1932000.6874358975</v>
      </c>
      <c r="J230" s="67">
        <f t="shared" si="43"/>
        <v>280264.17307692306</v>
      </c>
    </row>
    <row r="231" spans="1:10">
      <c r="A231" s="73" t="s">
        <v>58</v>
      </c>
      <c r="B231" s="115">
        <f>+IFERROR(B230/B70,0)</f>
        <v>7.1295208754633327E-2</v>
      </c>
      <c r="C231" s="115">
        <f t="shared" ref="C231:J231" si="44">+IFERROR(C230/C70,0)</f>
        <v>2.7851593033615611E-2</v>
      </c>
      <c r="D231" s="115">
        <f t="shared" si="44"/>
        <v>0.25764006651095966</v>
      </c>
      <c r="E231" s="115">
        <f t="shared" si="44"/>
        <v>0.11022963569292359</v>
      </c>
      <c r="F231" s="115">
        <f t="shared" si="44"/>
        <v>4.937828766829773E-2</v>
      </c>
      <c r="G231" s="115">
        <f t="shared" si="44"/>
        <v>0.13742955928714817</v>
      </c>
      <c r="H231" s="115">
        <f t="shared" si="44"/>
        <v>0.10189349262794348</v>
      </c>
      <c r="I231" s="115">
        <f t="shared" si="44"/>
        <v>0.91107296738059806</v>
      </c>
      <c r="J231" s="115">
        <f t="shared" si="44"/>
        <v>0.53253338559324082</v>
      </c>
    </row>
    <row r="232" spans="1:10">
      <c r="A232" s="21"/>
      <c r="B232" s="69"/>
      <c r="C232" s="69"/>
      <c r="D232" s="69"/>
      <c r="E232" s="69"/>
      <c r="F232" s="69"/>
      <c r="G232" s="69"/>
      <c r="H232" s="69"/>
      <c r="I232" s="69"/>
      <c r="J232" s="69"/>
    </row>
    <row r="233" spans="1:10">
      <c r="A233" s="64" t="s">
        <v>194</v>
      </c>
      <c r="B233" s="67">
        <f>+B71-B230</f>
        <v>-1039800.6781462831</v>
      </c>
      <c r="C233" s="67">
        <f t="shared" ref="C233:J233" si="45">+C71-C230</f>
        <v>206553.49000000011</v>
      </c>
      <c r="D233" s="67">
        <f t="shared" si="45"/>
        <v>272512.15370521741</v>
      </c>
      <c r="E233" s="67">
        <f t="shared" si="45"/>
        <v>3068612.6000397224</v>
      </c>
      <c r="F233" s="67">
        <f t="shared" si="45"/>
        <v>757810.79546839138</v>
      </c>
      <c r="G233" s="67">
        <f t="shared" si="45"/>
        <v>1270698.0225624754</v>
      </c>
      <c r="H233" s="67">
        <f t="shared" si="45"/>
        <v>1404725.1910310616</v>
      </c>
      <c r="I233" s="67">
        <f t="shared" si="45"/>
        <v>-1186579.8799361999</v>
      </c>
      <c r="J233" s="67">
        <f t="shared" si="45"/>
        <v>-136468.31307692308</v>
      </c>
    </row>
    <row r="234" spans="1:10">
      <c r="A234" s="73" t="s">
        <v>58</v>
      </c>
      <c r="B234" s="115">
        <f>IFERROR(B233/B70,0)</f>
        <v>-9.702881378396512E-3</v>
      </c>
      <c r="C234" s="115">
        <f t="shared" ref="C234:J234" si="46">IFERROR(C233/C70,0)</f>
        <v>0.12767255778051428</v>
      </c>
      <c r="D234" s="115">
        <f t="shared" si="46"/>
        <v>2.177810856582596E-2</v>
      </c>
      <c r="E234" s="115">
        <f t="shared" si="46"/>
        <v>0.38542200863223369</v>
      </c>
      <c r="F234" s="115">
        <f t="shared" si="46"/>
        <v>1.0231602304492979E-2</v>
      </c>
      <c r="G234" s="115">
        <f t="shared" si="46"/>
        <v>0.13495003005796863</v>
      </c>
      <c r="H234" s="115">
        <f t="shared" si="46"/>
        <v>0.48639739309601243</v>
      </c>
      <c r="I234" s="115">
        <f t="shared" si="46"/>
        <v>-0.55955510744788817</v>
      </c>
      <c r="J234" s="115">
        <f t="shared" si="46"/>
        <v>-0.25930511199911965</v>
      </c>
    </row>
    <row r="235" spans="1:10">
      <c r="A235" s="60"/>
      <c r="B235" s="68"/>
      <c r="C235" s="68"/>
      <c r="D235" s="68"/>
      <c r="E235" s="68"/>
      <c r="F235" s="68"/>
      <c r="G235" s="68"/>
      <c r="H235" s="68"/>
      <c r="I235" s="69"/>
      <c r="J235" s="69"/>
    </row>
    <row r="236" spans="1:10" ht="17.25">
      <c r="A236" s="70" t="s">
        <v>195</v>
      </c>
      <c r="B236" s="67">
        <f t="shared" ref="B236:J236" si="47">+SUM(B237:B239)</f>
        <v>142834.8688</v>
      </c>
      <c r="C236" s="67">
        <f t="shared" si="47"/>
        <v>0</v>
      </c>
      <c r="D236" s="67">
        <f t="shared" si="47"/>
        <v>343181.48207999999</v>
      </c>
      <c r="E236" s="67">
        <f t="shared" si="47"/>
        <v>24172.05472</v>
      </c>
      <c r="F236" s="67">
        <f t="shared" si="47"/>
        <v>173049.93720000001</v>
      </c>
      <c r="G236" s="67">
        <f t="shared" si="47"/>
        <v>308445.56232000003</v>
      </c>
      <c r="H236" s="67">
        <f t="shared" si="47"/>
        <v>69219.974880000009</v>
      </c>
      <c r="I236" s="67">
        <f t="shared" si="47"/>
        <v>0</v>
      </c>
      <c r="J236" s="67">
        <f t="shared" si="47"/>
        <v>0</v>
      </c>
    </row>
    <row r="237" spans="1:10">
      <c r="A237" s="61" t="s">
        <v>196</v>
      </c>
      <c r="B237" s="68">
        <v>0</v>
      </c>
      <c r="C237" s="68">
        <v>0</v>
      </c>
      <c r="D237" s="68">
        <v>259633.19999999998</v>
      </c>
      <c r="E237" s="68">
        <v>0</v>
      </c>
      <c r="F237" s="68">
        <v>0</v>
      </c>
      <c r="G237" s="68">
        <v>173088.80000000002</v>
      </c>
      <c r="H237" s="68">
        <v>0</v>
      </c>
      <c r="I237" s="68">
        <v>0</v>
      </c>
      <c r="J237" s="68">
        <v>0</v>
      </c>
    </row>
    <row r="238" spans="1:10">
      <c r="A238" s="61" t="s">
        <v>197</v>
      </c>
      <c r="B238" s="68">
        <v>142834.8688</v>
      </c>
      <c r="C238" s="68">
        <v>0</v>
      </c>
      <c r="D238" s="68">
        <v>36258.08208</v>
      </c>
      <c r="E238" s="68">
        <v>24172.05472</v>
      </c>
      <c r="F238" s="68">
        <v>173049.93720000001</v>
      </c>
      <c r="G238" s="68">
        <v>103829.96232000001</v>
      </c>
      <c r="H238" s="68">
        <v>69219.974880000009</v>
      </c>
      <c r="I238" s="68">
        <v>0</v>
      </c>
      <c r="J238" s="68">
        <v>0</v>
      </c>
    </row>
    <row r="239" spans="1:10">
      <c r="A239" s="61" t="s">
        <v>198</v>
      </c>
      <c r="B239" s="68">
        <v>0</v>
      </c>
      <c r="C239" s="68">
        <v>0</v>
      </c>
      <c r="D239" s="68">
        <v>47290.2</v>
      </c>
      <c r="E239" s="68">
        <v>0</v>
      </c>
      <c r="F239" s="68">
        <v>0</v>
      </c>
      <c r="G239" s="68">
        <v>31526.800000000003</v>
      </c>
      <c r="H239" s="68">
        <v>0</v>
      </c>
      <c r="I239" s="68">
        <v>0</v>
      </c>
      <c r="J239" s="68">
        <v>0</v>
      </c>
    </row>
    <row r="240" spans="1:10">
      <c r="A240" s="60"/>
      <c r="B240" s="68"/>
      <c r="C240" s="68"/>
      <c r="D240" s="68"/>
      <c r="E240" s="68"/>
      <c r="F240" s="68"/>
      <c r="G240" s="68"/>
      <c r="H240" s="68"/>
      <c r="I240" s="69"/>
      <c r="J240" s="69"/>
    </row>
    <row r="241" spans="1:10" ht="17.25">
      <c r="A241" s="70" t="s">
        <v>199</v>
      </c>
      <c r="B241" s="67">
        <f>+SUM(B242:B248)</f>
        <v>952163.96462113166</v>
      </c>
      <c r="C241" s="67">
        <f t="shared" ref="C241:J241" si="48">+SUM(C242:C248)</f>
        <v>0</v>
      </c>
      <c r="D241" s="67">
        <f t="shared" si="48"/>
        <v>675475.61596874997</v>
      </c>
      <c r="E241" s="67">
        <f t="shared" si="48"/>
        <v>386326.71292708302</v>
      </c>
      <c r="F241" s="67">
        <f t="shared" si="48"/>
        <v>433516.25836428563</v>
      </c>
      <c r="G241" s="67">
        <f t="shared" si="48"/>
        <v>241812.14353571442</v>
      </c>
      <c r="H241" s="67">
        <f t="shared" si="48"/>
        <v>155829.26235714319</v>
      </c>
      <c r="I241" s="67">
        <f t="shared" si="48"/>
        <v>702927.25199999998</v>
      </c>
      <c r="J241" s="67">
        <f t="shared" si="48"/>
        <v>468618.16800000001</v>
      </c>
    </row>
    <row r="242" spans="1:10">
      <c r="A242" s="61" t="s">
        <v>200</v>
      </c>
      <c r="B242" s="68">
        <v>0</v>
      </c>
      <c r="C242" s="68">
        <v>0</v>
      </c>
      <c r="D242" s="68">
        <v>0</v>
      </c>
      <c r="E242" s="68">
        <v>0</v>
      </c>
      <c r="F242" s="68">
        <v>0</v>
      </c>
      <c r="G242" s="68">
        <v>0</v>
      </c>
      <c r="H242" s="68">
        <v>0</v>
      </c>
      <c r="I242" s="68">
        <v>0</v>
      </c>
      <c r="J242" s="68">
        <v>0</v>
      </c>
    </row>
    <row r="243" spans="1:10">
      <c r="A243" s="61" t="s">
        <v>238</v>
      </c>
      <c r="B243" s="68">
        <v>952163.96462113166</v>
      </c>
      <c r="C243" s="68">
        <v>0</v>
      </c>
      <c r="D243" s="68">
        <v>675475.61596874997</v>
      </c>
      <c r="E243" s="68">
        <v>386326.71292708302</v>
      </c>
      <c r="F243" s="68">
        <v>433516.25836428563</v>
      </c>
      <c r="G243" s="68">
        <v>241812.14353571442</v>
      </c>
      <c r="H243" s="68">
        <v>155829.26235714319</v>
      </c>
      <c r="I243" s="68">
        <v>702927.25199999998</v>
      </c>
      <c r="J243" s="68">
        <v>468618.16800000001</v>
      </c>
    </row>
    <row r="244" spans="1:10">
      <c r="A244" s="61" t="s">
        <v>239</v>
      </c>
      <c r="B244" s="68">
        <v>0</v>
      </c>
      <c r="C244" s="68">
        <v>0</v>
      </c>
      <c r="D244" s="68">
        <v>0</v>
      </c>
      <c r="E244" s="68">
        <v>0</v>
      </c>
      <c r="F244" s="68">
        <v>0</v>
      </c>
      <c r="G244" s="68">
        <v>0</v>
      </c>
      <c r="H244" s="68">
        <v>0</v>
      </c>
      <c r="I244" s="68">
        <v>0</v>
      </c>
      <c r="J244" s="68">
        <v>0</v>
      </c>
    </row>
    <row r="245" spans="1:10">
      <c r="A245" s="61" t="s">
        <v>240</v>
      </c>
      <c r="B245" s="68">
        <v>0</v>
      </c>
      <c r="C245" s="68">
        <v>0</v>
      </c>
      <c r="D245" s="68">
        <v>0</v>
      </c>
      <c r="E245" s="68">
        <v>0</v>
      </c>
      <c r="F245" s="68">
        <v>0</v>
      </c>
      <c r="G245" s="68">
        <v>0</v>
      </c>
      <c r="H245" s="68">
        <v>0</v>
      </c>
      <c r="I245" s="68">
        <v>0</v>
      </c>
      <c r="J245" s="68">
        <v>0</v>
      </c>
    </row>
    <row r="246" spans="1:10">
      <c r="A246" s="61" t="s">
        <v>241</v>
      </c>
      <c r="B246" s="68">
        <v>0</v>
      </c>
      <c r="C246" s="68">
        <v>0</v>
      </c>
      <c r="D246" s="68">
        <v>0</v>
      </c>
      <c r="E246" s="68">
        <v>0</v>
      </c>
      <c r="F246" s="68">
        <v>0</v>
      </c>
      <c r="G246" s="68">
        <v>0</v>
      </c>
      <c r="H246" s="68">
        <v>0</v>
      </c>
      <c r="I246" s="68">
        <v>0</v>
      </c>
      <c r="J246" s="68">
        <v>0</v>
      </c>
    </row>
    <row r="247" spans="1:10">
      <c r="A247" s="61" t="s">
        <v>242</v>
      </c>
      <c r="B247" s="68">
        <v>0</v>
      </c>
      <c r="C247" s="68">
        <v>0</v>
      </c>
      <c r="D247" s="68">
        <v>0</v>
      </c>
      <c r="E247" s="68">
        <v>0</v>
      </c>
      <c r="F247" s="68">
        <v>0</v>
      </c>
      <c r="G247" s="68">
        <v>0</v>
      </c>
      <c r="H247" s="68">
        <v>0</v>
      </c>
      <c r="I247" s="68">
        <v>0</v>
      </c>
      <c r="J247" s="68">
        <v>0</v>
      </c>
    </row>
    <row r="248" spans="1:10">
      <c r="A248" s="60"/>
      <c r="B248" s="68"/>
      <c r="C248" s="68"/>
      <c r="D248" s="68"/>
      <c r="E248" s="68"/>
      <c r="F248" s="68"/>
      <c r="G248" s="68"/>
      <c r="H248" s="68"/>
      <c r="I248" s="69"/>
      <c r="J248" s="69"/>
    </row>
    <row r="249" spans="1:10">
      <c r="A249" s="64" t="s">
        <v>201</v>
      </c>
      <c r="B249" s="67">
        <f t="shared" ref="B249:J249" si="49">+B233-B236-B241</f>
        <v>-2134799.5115674147</v>
      </c>
      <c r="C249" s="67">
        <f t="shared" si="49"/>
        <v>206553.49000000011</v>
      </c>
      <c r="D249" s="67">
        <f t="shared" si="49"/>
        <v>-746144.94434353255</v>
      </c>
      <c r="E249" s="67">
        <f t="shared" si="49"/>
        <v>2658113.8323926395</v>
      </c>
      <c r="F249" s="67">
        <f t="shared" si="49"/>
        <v>151244.59990410571</v>
      </c>
      <c r="G249" s="67">
        <f t="shared" si="49"/>
        <v>720440.31670676102</v>
      </c>
      <c r="H249" s="67">
        <f t="shared" si="49"/>
        <v>1179675.9537939182</v>
      </c>
      <c r="I249" s="67">
        <f t="shared" si="49"/>
        <v>-1889507.1319362</v>
      </c>
      <c r="J249" s="67">
        <f t="shared" si="49"/>
        <v>-605086.48107692308</v>
      </c>
    </row>
    <row r="250" spans="1:10">
      <c r="A250" s="74" t="s">
        <v>58</v>
      </c>
      <c r="B250" s="116">
        <f>IFERROR(B249/B70,0)</f>
        <v>-1.992084335271356E-2</v>
      </c>
      <c r="C250" s="116">
        <f t="shared" ref="C250:J250" si="50">IFERROR(C249/C70,0)</f>
        <v>0.12767255778051428</v>
      </c>
      <c r="D250" s="116">
        <f t="shared" si="50"/>
        <v>-5.9628994093721077E-2</v>
      </c>
      <c r="E250" s="116">
        <f t="shared" si="50"/>
        <v>0.33386279272940284</v>
      </c>
      <c r="F250" s="116">
        <f t="shared" si="50"/>
        <v>2.0420329271826957E-3</v>
      </c>
      <c r="G250" s="116">
        <f t="shared" si="50"/>
        <v>7.6511838901338752E-2</v>
      </c>
      <c r="H250" s="116">
        <f t="shared" si="50"/>
        <v>0.40847228503267158</v>
      </c>
      <c r="I250" s="116">
        <f t="shared" si="50"/>
        <v>-0.89103429453983274</v>
      </c>
      <c r="J250" s="116">
        <f t="shared" si="50"/>
        <v>-1.1497322287289049</v>
      </c>
    </row>
  </sheetData>
  <mergeCells count="5">
    <mergeCell ref="A1:J1"/>
    <mergeCell ref="A2:A3"/>
    <mergeCell ref="B2:E2"/>
    <mergeCell ref="F2:H2"/>
    <mergeCell ref="I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DF9A-69C7-4580-816D-DCAB5BC1396F}">
  <dimension ref="A1:J250"/>
  <sheetViews>
    <sheetView topLeftCell="A199" workbookViewId="0">
      <selection activeCell="B215" sqref="B215:J216"/>
    </sheetView>
  </sheetViews>
  <sheetFormatPr defaultColWidth="8.7109375" defaultRowHeight="15"/>
  <cols>
    <col min="1" max="1" width="40.85546875" style="49" bestFit="1" customWidth="1"/>
    <col min="2" max="2" width="12.42578125" style="49" bestFit="1" customWidth="1"/>
    <col min="3" max="3" width="10.42578125" style="49" bestFit="1" customWidth="1"/>
    <col min="4" max="4" width="11.140625" style="49" bestFit="1" customWidth="1"/>
    <col min="5" max="5" width="9.5703125" style="49" bestFit="1" customWidth="1"/>
    <col min="6" max="6" width="12.140625" style="49" bestFit="1" customWidth="1"/>
    <col min="7" max="7" width="11.140625" style="49" bestFit="1" customWidth="1"/>
    <col min="8" max="9" width="9.5703125" style="49" bestFit="1" customWidth="1"/>
    <col min="10" max="10" width="8.85546875" style="49" bestFit="1" customWidth="1"/>
    <col min="11" max="16384" width="8.7109375" style="49"/>
  </cols>
  <sheetData>
    <row r="1" spans="1:10" ht="15.75">
      <c r="A1" s="124" t="s">
        <v>244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0" ht="14.45" customHeight="1">
      <c r="A2" s="125" t="s">
        <v>1</v>
      </c>
      <c r="B2" s="127" t="s">
        <v>209</v>
      </c>
      <c r="C2" s="128"/>
      <c r="D2" s="128"/>
      <c r="E2" s="128"/>
      <c r="F2" s="129" t="s">
        <v>213</v>
      </c>
      <c r="G2" s="130"/>
      <c r="H2" s="130"/>
      <c r="I2" s="130" t="s">
        <v>214</v>
      </c>
      <c r="J2" s="130"/>
    </row>
    <row r="3" spans="1:10">
      <c r="A3" s="126"/>
      <c r="B3" s="51" t="s">
        <v>215</v>
      </c>
      <c r="C3" s="51" t="s">
        <v>216</v>
      </c>
      <c r="D3" s="52" t="s">
        <v>217</v>
      </c>
      <c r="E3" s="53" t="s">
        <v>218</v>
      </c>
      <c r="F3" s="51" t="s">
        <v>215</v>
      </c>
      <c r="G3" s="52" t="s">
        <v>217</v>
      </c>
      <c r="H3" s="52" t="s">
        <v>218</v>
      </c>
      <c r="I3" s="54" t="s">
        <v>217</v>
      </c>
      <c r="J3" s="54" t="s">
        <v>218</v>
      </c>
    </row>
    <row r="4" spans="1:10">
      <c r="A4" s="55" t="s">
        <v>3</v>
      </c>
      <c r="B4" s="56">
        <v>17</v>
      </c>
      <c r="C4" s="56"/>
      <c r="D4" s="56"/>
      <c r="E4" s="56"/>
      <c r="F4" s="56">
        <v>6</v>
      </c>
      <c r="G4" s="56"/>
      <c r="H4" s="56"/>
      <c r="I4" s="56"/>
      <c r="J4" s="56"/>
    </row>
    <row r="5" spans="1:10" ht="17.25">
      <c r="A5" s="57" t="s">
        <v>4</v>
      </c>
      <c r="B5" s="56"/>
      <c r="C5" s="56"/>
      <c r="D5" s="56"/>
      <c r="E5" s="56"/>
      <c r="F5" s="56"/>
      <c r="G5" s="56"/>
      <c r="H5" s="56"/>
      <c r="I5" s="50"/>
      <c r="J5" s="50"/>
    </row>
    <row r="6" spans="1:10">
      <c r="A6" s="55" t="s">
        <v>5</v>
      </c>
      <c r="B6" s="58">
        <f>+B7+B8+B13</f>
        <v>3402554</v>
      </c>
      <c r="C6" s="58">
        <f t="shared" ref="C6:J6" si="0">+C7+C8+C13</f>
        <v>0</v>
      </c>
      <c r="D6" s="58">
        <f t="shared" si="0"/>
        <v>0</v>
      </c>
      <c r="E6" s="58">
        <f t="shared" si="0"/>
        <v>0</v>
      </c>
      <c r="F6" s="58">
        <f t="shared" si="0"/>
        <v>1118106</v>
      </c>
      <c r="G6" s="58">
        <f t="shared" si="0"/>
        <v>0</v>
      </c>
      <c r="H6" s="58">
        <f t="shared" si="0"/>
        <v>0</v>
      </c>
      <c r="I6" s="58">
        <f t="shared" si="0"/>
        <v>0</v>
      </c>
      <c r="J6" s="58">
        <f t="shared" si="0"/>
        <v>0</v>
      </c>
    </row>
    <row r="7" spans="1:10">
      <c r="A7" s="55" t="s">
        <v>6</v>
      </c>
      <c r="B7" s="58">
        <v>2874322</v>
      </c>
      <c r="C7" s="58">
        <v>0</v>
      </c>
      <c r="D7" s="58">
        <v>0</v>
      </c>
      <c r="E7" s="58">
        <v>0</v>
      </c>
      <c r="F7" s="58">
        <v>892259</v>
      </c>
      <c r="G7" s="58">
        <v>0</v>
      </c>
      <c r="H7" s="58">
        <v>0</v>
      </c>
      <c r="I7" s="59">
        <v>0</v>
      </c>
      <c r="J7" s="59">
        <v>0</v>
      </c>
    </row>
    <row r="8" spans="1:10">
      <c r="A8" s="55" t="s">
        <v>219</v>
      </c>
      <c r="B8" s="58">
        <f>+B9+B10+B11+B12</f>
        <v>0</v>
      </c>
      <c r="C8" s="58">
        <f t="shared" ref="C8:J8" si="1">+C9+C10+C11+C12</f>
        <v>0</v>
      </c>
      <c r="D8" s="58">
        <f t="shared" si="1"/>
        <v>0</v>
      </c>
      <c r="E8" s="58">
        <f t="shared" si="1"/>
        <v>0</v>
      </c>
      <c r="F8" s="58">
        <f t="shared" si="1"/>
        <v>0</v>
      </c>
      <c r="G8" s="58">
        <f t="shared" si="1"/>
        <v>0</v>
      </c>
      <c r="H8" s="58">
        <f t="shared" si="1"/>
        <v>0</v>
      </c>
      <c r="I8" s="58">
        <f t="shared" si="1"/>
        <v>0</v>
      </c>
      <c r="J8" s="58">
        <f t="shared" si="1"/>
        <v>0</v>
      </c>
    </row>
    <row r="9" spans="1:10">
      <c r="A9" s="75" t="s">
        <v>7</v>
      </c>
      <c r="B9" s="56"/>
      <c r="C9" s="56"/>
      <c r="D9" s="56"/>
      <c r="E9" s="56"/>
      <c r="F9" s="56"/>
      <c r="G9" s="56"/>
      <c r="H9" s="56"/>
      <c r="I9" s="50"/>
      <c r="J9" s="50"/>
    </row>
    <row r="10" spans="1:10">
      <c r="A10" s="75" t="s">
        <v>8</v>
      </c>
      <c r="B10" s="56"/>
      <c r="C10" s="56"/>
      <c r="D10" s="56"/>
      <c r="E10" s="56"/>
      <c r="F10" s="56"/>
      <c r="G10" s="56"/>
      <c r="H10" s="56"/>
      <c r="I10" s="50"/>
      <c r="J10" s="50"/>
    </row>
    <row r="11" spans="1:10">
      <c r="A11" s="75" t="s">
        <v>9</v>
      </c>
      <c r="B11" s="56"/>
      <c r="C11" s="56"/>
      <c r="D11" s="56"/>
      <c r="E11" s="56"/>
      <c r="F11" s="56"/>
      <c r="G11" s="56"/>
      <c r="H11" s="56"/>
      <c r="I11" s="50"/>
      <c r="J11" s="50"/>
    </row>
    <row r="12" spans="1:10">
      <c r="A12" s="75" t="s">
        <v>10</v>
      </c>
      <c r="B12" s="56"/>
      <c r="C12" s="56"/>
      <c r="D12" s="56"/>
      <c r="E12" s="56"/>
      <c r="F12" s="56"/>
      <c r="G12" s="56"/>
      <c r="H12" s="56"/>
      <c r="I12" s="50"/>
      <c r="J12" s="50"/>
    </row>
    <row r="13" spans="1:10">
      <c r="A13" s="55" t="s">
        <v>11</v>
      </c>
      <c r="B13" s="58">
        <f>+B14+B15+B16</f>
        <v>528232</v>
      </c>
      <c r="C13" s="58">
        <f t="shared" ref="C13:J13" si="2">+C14+C15+C16</f>
        <v>0</v>
      </c>
      <c r="D13" s="58">
        <f t="shared" si="2"/>
        <v>0</v>
      </c>
      <c r="E13" s="58">
        <f t="shared" si="2"/>
        <v>0</v>
      </c>
      <c r="F13" s="58">
        <f t="shared" si="2"/>
        <v>225847</v>
      </c>
      <c r="G13" s="58">
        <f t="shared" si="2"/>
        <v>0</v>
      </c>
      <c r="H13" s="58">
        <f t="shared" si="2"/>
        <v>0</v>
      </c>
      <c r="I13" s="58">
        <f t="shared" si="2"/>
        <v>0</v>
      </c>
      <c r="J13" s="58">
        <f t="shared" si="2"/>
        <v>0</v>
      </c>
    </row>
    <row r="14" spans="1:10">
      <c r="A14" s="76" t="s">
        <v>12</v>
      </c>
      <c r="B14" s="56">
        <v>103575</v>
      </c>
      <c r="C14" s="56">
        <v>0</v>
      </c>
      <c r="D14" s="56">
        <v>0</v>
      </c>
      <c r="E14" s="56">
        <v>0</v>
      </c>
      <c r="F14" s="56">
        <v>44284</v>
      </c>
      <c r="G14" s="56">
        <v>0</v>
      </c>
      <c r="H14" s="56">
        <v>0</v>
      </c>
      <c r="I14" s="50">
        <v>0</v>
      </c>
      <c r="J14" s="50">
        <v>0</v>
      </c>
    </row>
    <row r="15" spans="1:10">
      <c r="A15" s="76" t="s">
        <v>13</v>
      </c>
      <c r="B15" s="56">
        <v>207150</v>
      </c>
      <c r="C15" s="56">
        <v>0</v>
      </c>
      <c r="D15" s="56">
        <v>0</v>
      </c>
      <c r="E15" s="56">
        <v>0</v>
      </c>
      <c r="F15" s="56">
        <v>88567</v>
      </c>
      <c r="G15" s="56">
        <v>0</v>
      </c>
      <c r="H15" s="56">
        <v>0</v>
      </c>
      <c r="I15" s="50">
        <v>0</v>
      </c>
      <c r="J15" s="50">
        <v>0</v>
      </c>
    </row>
    <row r="16" spans="1:10">
      <c r="A16" s="76" t="s">
        <v>14</v>
      </c>
      <c r="B16" s="56">
        <v>217507</v>
      </c>
      <c r="C16" s="56">
        <v>0</v>
      </c>
      <c r="D16" s="56">
        <v>0</v>
      </c>
      <c r="E16" s="56">
        <v>0</v>
      </c>
      <c r="F16" s="56">
        <v>92996</v>
      </c>
      <c r="G16" s="56">
        <v>0</v>
      </c>
      <c r="H16" s="56">
        <v>0</v>
      </c>
      <c r="I16" s="50">
        <v>0</v>
      </c>
      <c r="J16" s="50">
        <v>0</v>
      </c>
    </row>
    <row r="17" spans="1:10" ht="17.25">
      <c r="A17" s="57" t="s">
        <v>15</v>
      </c>
      <c r="B17" s="56"/>
      <c r="C17" s="56"/>
      <c r="D17" s="56"/>
      <c r="E17" s="56"/>
      <c r="F17" s="56"/>
      <c r="G17" s="56"/>
      <c r="H17" s="56"/>
      <c r="I17" s="50"/>
      <c r="J17" s="50"/>
    </row>
    <row r="18" spans="1:10">
      <c r="A18" s="61" t="s">
        <v>16</v>
      </c>
      <c r="B18" s="56">
        <v>5</v>
      </c>
      <c r="C18" s="56"/>
      <c r="D18" s="56"/>
      <c r="E18" s="56"/>
      <c r="F18" s="56"/>
      <c r="G18" s="56"/>
      <c r="H18" s="56"/>
      <c r="I18" s="50"/>
      <c r="J18" s="50"/>
    </row>
    <row r="19" spans="1:10">
      <c r="A19" s="61" t="s">
        <v>17</v>
      </c>
      <c r="B19" s="56">
        <v>29487859.920000002</v>
      </c>
      <c r="C19" s="56"/>
      <c r="D19" s="56"/>
      <c r="E19" s="56"/>
      <c r="F19" s="56"/>
      <c r="G19" s="56"/>
      <c r="H19" s="56"/>
      <c r="I19" s="50"/>
      <c r="J19" s="50"/>
    </row>
    <row r="20" spans="1:10">
      <c r="A20" s="61" t="s">
        <v>18</v>
      </c>
      <c r="B20" s="56">
        <v>35490603.049999997</v>
      </c>
      <c r="C20" s="56"/>
      <c r="D20" s="56"/>
      <c r="E20" s="56"/>
      <c r="F20" s="56"/>
      <c r="G20" s="56"/>
      <c r="H20" s="56"/>
      <c r="I20" s="50"/>
      <c r="J20" s="50"/>
    </row>
    <row r="21" spans="1:10">
      <c r="A21" s="61" t="s">
        <v>19</v>
      </c>
      <c r="B21" s="56"/>
      <c r="C21" s="56"/>
      <c r="D21" s="56"/>
      <c r="E21" s="56"/>
      <c r="F21" s="56"/>
      <c r="G21" s="56"/>
      <c r="H21" s="56"/>
      <c r="I21" s="50"/>
      <c r="J21" s="50"/>
    </row>
    <row r="22" spans="1:10" ht="17.25">
      <c r="A22" s="57" t="s">
        <v>220</v>
      </c>
      <c r="B22" s="56"/>
      <c r="C22" s="56"/>
      <c r="D22" s="56"/>
      <c r="E22" s="56"/>
      <c r="F22" s="56"/>
      <c r="G22" s="56"/>
      <c r="H22" s="56"/>
      <c r="I22" s="50"/>
      <c r="J22" s="50"/>
    </row>
    <row r="23" spans="1:10">
      <c r="A23" s="61" t="s">
        <v>16</v>
      </c>
      <c r="B23" s="56">
        <v>4</v>
      </c>
      <c r="C23" s="56"/>
      <c r="D23" s="56"/>
      <c r="E23" s="56"/>
      <c r="F23" s="56"/>
      <c r="G23" s="56"/>
      <c r="H23" s="56"/>
      <c r="I23" s="50"/>
      <c r="J23" s="50"/>
    </row>
    <row r="24" spans="1:10">
      <c r="A24" s="61" t="s">
        <v>21</v>
      </c>
      <c r="B24" s="56">
        <v>8268506.2000000002</v>
      </c>
      <c r="C24" s="56"/>
      <c r="D24" s="56"/>
      <c r="E24" s="56"/>
      <c r="F24" s="56"/>
      <c r="G24" s="56"/>
      <c r="H24" s="56"/>
      <c r="I24" s="50"/>
      <c r="J24" s="50"/>
    </row>
    <row r="25" spans="1:10">
      <c r="A25" s="61" t="s">
        <v>22</v>
      </c>
      <c r="B25" s="56">
        <v>9005000</v>
      </c>
      <c r="C25" s="56"/>
      <c r="D25" s="56"/>
      <c r="E25" s="56"/>
      <c r="F25" s="56"/>
      <c r="G25" s="56"/>
      <c r="H25" s="56"/>
      <c r="I25" s="50"/>
      <c r="J25" s="50"/>
    </row>
    <row r="26" spans="1:10">
      <c r="A26" s="61" t="s">
        <v>23</v>
      </c>
      <c r="B26" s="56"/>
      <c r="C26" s="56"/>
      <c r="D26" s="56"/>
      <c r="E26" s="56"/>
      <c r="F26" s="56"/>
      <c r="G26" s="56"/>
      <c r="H26" s="56"/>
      <c r="I26" s="50"/>
      <c r="J26" s="50"/>
    </row>
    <row r="27" spans="1:10">
      <c r="A27" s="61" t="s">
        <v>20</v>
      </c>
      <c r="B27" s="58">
        <f>+B24-B25-B26</f>
        <v>-736493.79999999981</v>
      </c>
      <c r="C27" s="58">
        <f t="shared" ref="C27:J27" si="3">+C24-C25-C26</f>
        <v>0</v>
      </c>
      <c r="D27" s="58">
        <f t="shared" si="3"/>
        <v>0</v>
      </c>
      <c r="E27" s="58">
        <f t="shared" si="3"/>
        <v>0</v>
      </c>
      <c r="F27" s="58">
        <f t="shared" si="3"/>
        <v>0</v>
      </c>
      <c r="G27" s="58">
        <f t="shared" si="3"/>
        <v>0</v>
      </c>
      <c r="H27" s="58">
        <f t="shared" si="3"/>
        <v>0</v>
      </c>
      <c r="I27" s="58">
        <f t="shared" si="3"/>
        <v>0</v>
      </c>
      <c r="J27" s="58">
        <f t="shared" si="3"/>
        <v>0</v>
      </c>
    </row>
    <row r="28" spans="1:10">
      <c r="A28" s="60"/>
      <c r="B28" s="56"/>
      <c r="C28" s="56"/>
      <c r="D28" s="56"/>
      <c r="E28" s="56"/>
      <c r="F28" s="56"/>
      <c r="G28" s="56"/>
      <c r="H28" s="56"/>
      <c r="I28" s="50"/>
      <c r="J28" s="50"/>
    </row>
    <row r="29" spans="1:10" ht="17.25">
      <c r="A29" s="57" t="s">
        <v>24</v>
      </c>
      <c r="B29" s="58">
        <f>+SUM(B31:B37)</f>
        <v>0</v>
      </c>
      <c r="C29" s="58">
        <f t="shared" ref="C29:J29" si="4">+SUM(C31:C37)</f>
        <v>0</v>
      </c>
      <c r="D29" s="58">
        <f t="shared" si="4"/>
        <v>14996825.960538108</v>
      </c>
      <c r="E29" s="58">
        <f t="shared" si="4"/>
        <v>2564066.2000000002</v>
      </c>
      <c r="F29" s="58">
        <f t="shared" si="4"/>
        <v>0</v>
      </c>
      <c r="G29" s="58">
        <f t="shared" si="4"/>
        <v>7744275.4452460883</v>
      </c>
      <c r="H29" s="58">
        <f t="shared" si="4"/>
        <v>804183.4</v>
      </c>
      <c r="I29" s="58">
        <f t="shared" si="4"/>
        <v>3792412.0156008443</v>
      </c>
      <c r="J29" s="58">
        <f t="shared" si="4"/>
        <v>307410.40000000002</v>
      </c>
    </row>
    <row r="30" spans="1:10">
      <c r="A30" s="62" t="s">
        <v>25</v>
      </c>
      <c r="B30" s="56">
        <v>0</v>
      </c>
      <c r="C30" s="56">
        <v>0</v>
      </c>
      <c r="D30" s="56">
        <v>407</v>
      </c>
      <c r="E30" s="56">
        <v>22</v>
      </c>
      <c r="F30" s="56">
        <v>0</v>
      </c>
      <c r="G30" s="56">
        <v>231</v>
      </c>
      <c r="H30" s="56">
        <v>13</v>
      </c>
      <c r="I30" s="50">
        <v>88</v>
      </c>
      <c r="J30" s="50">
        <v>6</v>
      </c>
    </row>
    <row r="31" spans="1:10">
      <c r="A31" s="61" t="s">
        <v>26</v>
      </c>
      <c r="B31" s="56">
        <v>0</v>
      </c>
      <c r="C31" s="56">
        <v>0</v>
      </c>
      <c r="D31" s="56">
        <v>6960091.2099999869</v>
      </c>
      <c r="E31" s="56">
        <v>1928159</v>
      </c>
      <c r="F31" s="56">
        <v>0</v>
      </c>
      <c r="G31" s="56">
        <v>5414609.969999996</v>
      </c>
      <c r="H31" s="56">
        <v>497499</v>
      </c>
      <c r="I31" s="50">
        <v>2896393.9099999992</v>
      </c>
      <c r="J31" s="50">
        <v>246620</v>
      </c>
    </row>
    <row r="32" spans="1:10">
      <c r="A32" s="61" t="s">
        <v>27</v>
      </c>
      <c r="B32" s="56">
        <v>0</v>
      </c>
      <c r="C32" s="56">
        <v>0</v>
      </c>
      <c r="D32" s="56">
        <v>2473823.4400000004</v>
      </c>
      <c r="E32" s="56">
        <v>635907.19999999995</v>
      </c>
      <c r="F32" s="56">
        <v>0</v>
      </c>
      <c r="G32" s="56">
        <v>1364341.2099999993</v>
      </c>
      <c r="H32" s="56">
        <v>306684.40000000002</v>
      </c>
      <c r="I32" s="50">
        <v>625585.1100000001</v>
      </c>
      <c r="J32" s="50">
        <v>60790.400000000001</v>
      </c>
    </row>
    <row r="33" spans="1:10">
      <c r="A33" s="61" t="s">
        <v>28</v>
      </c>
      <c r="B33" s="56">
        <v>0</v>
      </c>
      <c r="C33" s="56">
        <v>0</v>
      </c>
      <c r="D33" s="56">
        <v>3755948</v>
      </c>
      <c r="E33" s="56">
        <v>0</v>
      </c>
      <c r="F33" s="56">
        <v>0</v>
      </c>
      <c r="G33" s="56">
        <v>337392.2</v>
      </c>
      <c r="H33" s="56">
        <v>0</v>
      </c>
      <c r="I33" s="50">
        <v>98980.78</v>
      </c>
      <c r="J33" s="50">
        <v>0</v>
      </c>
    </row>
    <row r="34" spans="1:10">
      <c r="A34" s="61" t="s">
        <v>29</v>
      </c>
      <c r="B34" s="56">
        <v>0</v>
      </c>
      <c r="C34" s="56">
        <v>0</v>
      </c>
      <c r="D34" s="56">
        <v>39693.599999999999</v>
      </c>
      <c r="E34" s="56">
        <v>0</v>
      </c>
      <c r="F34" s="56">
        <v>0</v>
      </c>
      <c r="G34" s="56">
        <v>17523.599999999999</v>
      </c>
      <c r="H34" s="56">
        <v>0</v>
      </c>
      <c r="I34" s="50">
        <v>0</v>
      </c>
      <c r="J34" s="50">
        <v>0</v>
      </c>
    </row>
    <row r="35" spans="1:10">
      <c r="A35" s="61" t="s">
        <v>30</v>
      </c>
      <c r="B35" s="56">
        <v>0</v>
      </c>
      <c r="C35" s="56">
        <v>0</v>
      </c>
      <c r="D35" s="56">
        <v>265017.98</v>
      </c>
      <c r="E35" s="56">
        <v>0</v>
      </c>
      <c r="F35" s="56">
        <v>0</v>
      </c>
      <c r="G35" s="56">
        <v>133546.54</v>
      </c>
      <c r="H35" s="56">
        <v>0</v>
      </c>
      <c r="I35" s="50">
        <v>4176.2700000000004</v>
      </c>
      <c r="J35" s="50">
        <v>0</v>
      </c>
    </row>
    <row r="36" spans="1:10">
      <c r="A36" s="61" t="s">
        <v>31</v>
      </c>
      <c r="B36" s="56">
        <v>0</v>
      </c>
      <c r="C36" s="56">
        <v>0</v>
      </c>
      <c r="D36" s="56">
        <v>1384822.2805381208</v>
      </c>
      <c r="E36" s="56">
        <v>0</v>
      </c>
      <c r="F36" s="56">
        <v>0</v>
      </c>
      <c r="G36" s="56">
        <v>476861.92524609325</v>
      </c>
      <c r="H36" s="56">
        <v>0</v>
      </c>
      <c r="I36" s="50">
        <v>167275.94560084477</v>
      </c>
      <c r="J36" s="50">
        <v>0</v>
      </c>
    </row>
    <row r="37" spans="1:10">
      <c r="A37" s="61" t="s">
        <v>32</v>
      </c>
      <c r="B37" s="56">
        <v>0</v>
      </c>
      <c r="C37" s="56">
        <v>0</v>
      </c>
      <c r="D37" s="56">
        <v>117429.45</v>
      </c>
      <c r="E37" s="56">
        <v>0</v>
      </c>
      <c r="F37" s="56">
        <v>0</v>
      </c>
      <c r="G37" s="56">
        <v>0</v>
      </c>
      <c r="H37" s="56">
        <v>0</v>
      </c>
      <c r="I37" s="50">
        <v>0</v>
      </c>
      <c r="J37" s="50">
        <v>0</v>
      </c>
    </row>
    <row r="38" spans="1:10">
      <c r="A38" s="62" t="s">
        <v>33</v>
      </c>
      <c r="B38" s="58">
        <f>+SUM(B39:B42)</f>
        <v>225075.66</v>
      </c>
      <c r="C38" s="58">
        <f t="shared" ref="C38:J38" si="5">+SUM(C39:C42)</f>
        <v>0</v>
      </c>
      <c r="D38" s="58">
        <f t="shared" si="5"/>
        <v>11500116.099999994</v>
      </c>
      <c r="E38" s="58">
        <f t="shared" si="5"/>
        <v>1560614.0300000003</v>
      </c>
      <c r="F38" s="58">
        <f t="shared" si="5"/>
        <v>667.375</v>
      </c>
      <c r="G38" s="58">
        <f t="shared" si="5"/>
        <v>6086173.205000001</v>
      </c>
      <c r="H38" s="58">
        <f t="shared" si="5"/>
        <v>593409.14999999991</v>
      </c>
      <c r="I38" s="58">
        <f t="shared" si="5"/>
        <v>2856564.4499999993</v>
      </c>
      <c r="J38" s="58">
        <f t="shared" si="5"/>
        <v>258071.13</v>
      </c>
    </row>
    <row r="39" spans="1:10">
      <c r="A39" s="61" t="s">
        <v>34</v>
      </c>
      <c r="B39" s="56">
        <v>0</v>
      </c>
      <c r="C39" s="56">
        <v>0</v>
      </c>
      <c r="D39" s="56">
        <v>10313236.199999994</v>
      </c>
      <c r="E39" s="56">
        <v>1380003.0300000003</v>
      </c>
      <c r="F39" s="56">
        <v>0</v>
      </c>
      <c r="G39" s="56">
        <v>5621409.9500000011</v>
      </c>
      <c r="H39" s="56">
        <v>398357.42</v>
      </c>
      <c r="I39" s="50">
        <v>2542777.5299999993</v>
      </c>
      <c r="J39" s="50">
        <v>227544.13</v>
      </c>
    </row>
    <row r="40" spans="1:10">
      <c r="A40" s="61" t="s">
        <v>35</v>
      </c>
      <c r="B40" s="56">
        <v>0</v>
      </c>
      <c r="C40" s="56">
        <v>0</v>
      </c>
      <c r="D40" s="56">
        <v>560000</v>
      </c>
      <c r="E40" s="56">
        <v>168100</v>
      </c>
      <c r="F40" s="56">
        <v>0</v>
      </c>
      <c r="G40" s="56">
        <v>350576.57</v>
      </c>
      <c r="H40" s="56">
        <v>175000</v>
      </c>
      <c r="I40" s="50">
        <v>151000</v>
      </c>
      <c r="J40" s="50">
        <v>30000</v>
      </c>
    </row>
    <row r="41" spans="1:10">
      <c r="A41" s="61" t="s">
        <v>36</v>
      </c>
      <c r="B41" s="56">
        <v>0</v>
      </c>
      <c r="C41" s="56">
        <v>0</v>
      </c>
      <c r="D41" s="56">
        <v>17370.849999999999</v>
      </c>
      <c r="E41" s="56">
        <v>9915</v>
      </c>
      <c r="F41" s="56">
        <v>667.375</v>
      </c>
      <c r="G41" s="56">
        <v>13148.684999999999</v>
      </c>
      <c r="H41" s="56">
        <v>1902.73</v>
      </c>
      <c r="I41" s="50">
        <v>95986.92</v>
      </c>
      <c r="J41" s="50">
        <v>527</v>
      </c>
    </row>
    <row r="42" spans="1:10">
      <c r="A42" s="61" t="s">
        <v>37</v>
      </c>
      <c r="B42" s="56">
        <v>225075.66</v>
      </c>
      <c r="C42" s="56">
        <v>0</v>
      </c>
      <c r="D42" s="56">
        <v>609509.05000000005</v>
      </c>
      <c r="E42" s="56">
        <v>2596</v>
      </c>
      <c r="F42" s="56">
        <v>0</v>
      </c>
      <c r="G42" s="56">
        <v>101038</v>
      </c>
      <c r="H42" s="56">
        <v>18149</v>
      </c>
      <c r="I42" s="50">
        <v>66800</v>
      </c>
      <c r="J42" s="50">
        <v>0</v>
      </c>
    </row>
    <row r="43" spans="1:10">
      <c r="A43" s="62" t="s">
        <v>20</v>
      </c>
      <c r="B43" s="58">
        <f>+B29-B38</f>
        <v>-225075.66</v>
      </c>
      <c r="C43" s="58">
        <f t="shared" ref="C43:J43" si="6">+C29-C38</f>
        <v>0</v>
      </c>
      <c r="D43" s="58">
        <f t="shared" si="6"/>
        <v>3496709.8605381139</v>
      </c>
      <c r="E43" s="58">
        <f t="shared" si="6"/>
        <v>1003452.1699999999</v>
      </c>
      <c r="F43" s="58">
        <f t="shared" si="6"/>
        <v>-667.375</v>
      </c>
      <c r="G43" s="58">
        <f t="shared" si="6"/>
        <v>1658102.2402460873</v>
      </c>
      <c r="H43" s="58">
        <f t="shared" si="6"/>
        <v>210774.25000000012</v>
      </c>
      <c r="I43" s="58">
        <f t="shared" si="6"/>
        <v>935847.56560084503</v>
      </c>
      <c r="J43" s="58">
        <f t="shared" si="6"/>
        <v>49339.270000000019</v>
      </c>
    </row>
    <row r="44" spans="1:10">
      <c r="A44" s="61" t="s">
        <v>38</v>
      </c>
      <c r="B44" s="56">
        <v>0</v>
      </c>
      <c r="C44" s="56">
        <v>0</v>
      </c>
      <c r="D44" s="56">
        <v>427357.22413542401</v>
      </c>
      <c r="E44" s="56">
        <v>0</v>
      </c>
      <c r="F44" s="56">
        <v>0</v>
      </c>
      <c r="G44" s="56">
        <v>332462.98313311819</v>
      </c>
      <c r="H44" s="56">
        <v>0</v>
      </c>
      <c r="I44" s="50">
        <v>177841.75868297982</v>
      </c>
      <c r="J44" s="50">
        <v>0</v>
      </c>
    </row>
    <row r="45" spans="1:10">
      <c r="A45" s="61" t="s">
        <v>39</v>
      </c>
      <c r="B45" s="56"/>
      <c r="C45" s="56"/>
      <c r="D45" s="56"/>
      <c r="E45" s="56"/>
      <c r="F45" s="56"/>
      <c r="G45" s="56"/>
      <c r="H45" s="56"/>
      <c r="I45" s="50"/>
      <c r="J45" s="50"/>
    </row>
    <row r="46" spans="1:10">
      <c r="A46" s="61" t="s">
        <v>40</v>
      </c>
      <c r="B46" s="56"/>
      <c r="C46" s="56"/>
      <c r="D46" s="56"/>
      <c r="E46" s="56"/>
      <c r="F46" s="56"/>
      <c r="G46" s="56"/>
      <c r="H46" s="56"/>
      <c r="I46" s="50"/>
      <c r="J46" s="50"/>
    </row>
    <row r="47" spans="1:10">
      <c r="A47" s="62" t="s">
        <v>41</v>
      </c>
      <c r="B47" s="58">
        <f>+B43+B44+B45+B46</f>
        <v>-225075.66</v>
      </c>
      <c r="C47" s="58">
        <f t="shared" ref="C47:J47" si="7">+C43+C44+C45+C46</f>
        <v>0</v>
      </c>
      <c r="D47" s="58">
        <f t="shared" si="7"/>
        <v>3924067.0846735379</v>
      </c>
      <c r="E47" s="58">
        <f t="shared" si="7"/>
        <v>1003452.1699999999</v>
      </c>
      <c r="F47" s="58">
        <f t="shared" si="7"/>
        <v>-667.375</v>
      </c>
      <c r="G47" s="58">
        <f t="shared" si="7"/>
        <v>1990565.2233792054</v>
      </c>
      <c r="H47" s="58">
        <f t="shared" si="7"/>
        <v>210774.25000000012</v>
      </c>
      <c r="I47" s="58">
        <f t="shared" si="7"/>
        <v>1113689.3242838248</v>
      </c>
      <c r="J47" s="58">
        <f t="shared" si="7"/>
        <v>49339.270000000019</v>
      </c>
    </row>
    <row r="48" spans="1:10">
      <c r="A48" s="60"/>
      <c r="B48" s="56"/>
      <c r="C48" s="56"/>
      <c r="D48" s="56"/>
      <c r="E48" s="56"/>
      <c r="F48" s="56"/>
      <c r="G48" s="56"/>
      <c r="H48" s="56"/>
      <c r="I48" s="50"/>
      <c r="J48" s="50"/>
    </row>
    <row r="49" spans="1:10" ht="17.25">
      <c r="A49" s="57" t="s">
        <v>42</v>
      </c>
      <c r="B49" s="58">
        <f>+B51+B52</f>
        <v>0</v>
      </c>
      <c r="C49" s="58">
        <f t="shared" ref="C49:J49" si="8">+C51+C52</f>
        <v>473489.69</v>
      </c>
      <c r="D49" s="58">
        <f t="shared" si="8"/>
        <v>0</v>
      </c>
      <c r="E49" s="58">
        <f t="shared" si="8"/>
        <v>0</v>
      </c>
      <c r="F49" s="58">
        <f t="shared" si="8"/>
        <v>0</v>
      </c>
      <c r="G49" s="58">
        <f t="shared" si="8"/>
        <v>0</v>
      </c>
      <c r="H49" s="58">
        <f t="shared" si="8"/>
        <v>0</v>
      </c>
      <c r="I49" s="58">
        <f t="shared" si="8"/>
        <v>0</v>
      </c>
      <c r="J49" s="58">
        <f t="shared" si="8"/>
        <v>0</v>
      </c>
    </row>
    <row r="50" spans="1:10">
      <c r="A50" s="61" t="s">
        <v>3</v>
      </c>
      <c r="B50" s="56"/>
      <c r="C50" s="56"/>
      <c r="D50" s="56"/>
      <c r="E50" s="56"/>
      <c r="F50" s="56"/>
      <c r="G50" s="56"/>
      <c r="H50" s="56"/>
      <c r="I50" s="50"/>
      <c r="J50" s="50"/>
    </row>
    <row r="51" spans="1:10">
      <c r="A51" s="61" t="s">
        <v>43</v>
      </c>
      <c r="B51" s="56"/>
      <c r="C51" s="56">
        <v>353716.83</v>
      </c>
      <c r="D51" s="56"/>
      <c r="E51" s="56"/>
      <c r="F51" s="56"/>
      <c r="G51" s="56"/>
      <c r="H51" s="56"/>
      <c r="I51" s="50"/>
      <c r="J51" s="50"/>
    </row>
    <row r="52" spans="1:10">
      <c r="A52" s="61" t="s">
        <v>30</v>
      </c>
      <c r="B52" s="56"/>
      <c r="C52" s="56">
        <v>119772.86</v>
      </c>
      <c r="D52" s="56"/>
      <c r="E52" s="56"/>
      <c r="F52" s="56"/>
      <c r="G52" s="56"/>
      <c r="H52" s="56"/>
      <c r="I52" s="50"/>
      <c r="J52" s="50"/>
    </row>
    <row r="53" spans="1:10">
      <c r="A53" s="61" t="s">
        <v>33</v>
      </c>
      <c r="B53" s="56"/>
      <c r="C53" s="56">
        <v>386727.21999999986</v>
      </c>
      <c r="D53" s="56"/>
      <c r="E53" s="56"/>
      <c r="F53" s="56"/>
      <c r="G53" s="56"/>
      <c r="H53" s="56"/>
      <c r="I53" s="50"/>
      <c r="J53" s="50"/>
    </row>
    <row r="54" spans="1:10">
      <c r="A54" s="62" t="s">
        <v>20</v>
      </c>
      <c r="B54" s="58">
        <f>+B49-B53</f>
        <v>0</v>
      </c>
      <c r="C54" s="58">
        <f>+C49-C53</f>
        <v>86762.470000000147</v>
      </c>
      <c r="D54" s="58">
        <f t="shared" ref="D54:J54" si="9">+D49-D53</f>
        <v>0</v>
      </c>
      <c r="E54" s="58">
        <f t="shared" si="9"/>
        <v>0</v>
      </c>
      <c r="F54" s="58">
        <f t="shared" si="9"/>
        <v>0</v>
      </c>
      <c r="G54" s="58">
        <f t="shared" si="9"/>
        <v>0</v>
      </c>
      <c r="H54" s="58">
        <f t="shared" si="9"/>
        <v>0</v>
      </c>
      <c r="I54" s="58">
        <f t="shared" si="9"/>
        <v>0</v>
      </c>
      <c r="J54" s="58">
        <f t="shared" si="9"/>
        <v>0</v>
      </c>
    </row>
    <row r="55" spans="1:10">
      <c r="A55" s="61" t="s">
        <v>44</v>
      </c>
      <c r="B55" s="56">
        <v>0</v>
      </c>
      <c r="C55" s="56">
        <v>178389</v>
      </c>
      <c r="D55" s="56">
        <v>207731.99999999997</v>
      </c>
      <c r="E55" s="56">
        <v>0</v>
      </c>
      <c r="F55" s="56">
        <v>0</v>
      </c>
      <c r="G55" s="56">
        <v>212238.00000000003</v>
      </c>
      <c r="H55" s="56">
        <v>0</v>
      </c>
      <c r="I55" s="50">
        <v>57909.999999999993</v>
      </c>
      <c r="J55" s="50">
        <v>0</v>
      </c>
    </row>
    <row r="56" spans="1:10">
      <c r="A56" s="61" t="s">
        <v>33</v>
      </c>
      <c r="B56" s="56">
        <v>0</v>
      </c>
      <c r="C56" s="56">
        <v>89194.5</v>
      </c>
      <c r="D56" s="56">
        <v>103865.99999999999</v>
      </c>
      <c r="E56" s="56">
        <v>0</v>
      </c>
      <c r="F56" s="56">
        <v>0</v>
      </c>
      <c r="G56" s="56">
        <v>106119.00000000001</v>
      </c>
      <c r="H56" s="56">
        <v>0</v>
      </c>
      <c r="I56" s="50">
        <v>28954.999999999996</v>
      </c>
      <c r="J56" s="50">
        <v>0</v>
      </c>
    </row>
    <row r="57" spans="1:10">
      <c r="A57" s="62" t="s">
        <v>20</v>
      </c>
      <c r="B57" s="58">
        <f t="shared" ref="B57:J57" si="10">+B55-B56</f>
        <v>0</v>
      </c>
      <c r="C57" s="58">
        <f t="shared" si="10"/>
        <v>89194.5</v>
      </c>
      <c r="D57" s="58">
        <f t="shared" si="10"/>
        <v>103865.99999999999</v>
      </c>
      <c r="E57" s="58">
        <f t="shared" si="10"/>
        <v>0</v>
      </c>
      <c r="F57" s="58">
        <f t="shared" si="10"/>
        <v>0</v>
      </c>
      <c r="G57" s="58">
        <f t="shared" si="10"/>
        <v>106119.00000000001</v>
      </c>
      <c r="H57" s="58">
        <f t="shared" si="10"/>
        <v>0</v>
      </c>
      <c r="I57" s="58">
        <f t="shared" si="10"/>
        <v>28954.999999999996</v>
      </c>
      <c r="J57" s="58">
        <f t="shared" si="10"/>
        <v>0</v>
      </c>
    </row>
    <row r="58" spans="1:10">
      <c r="A58" s="62" t="s">
        <v>45</v>
      </c>
      <c r="B58" s="56">
        <f>+B54+B57</f>
        <v>0</v>
      </c>
      <c r="C58" s="56">
        <f t="shared" ref="C58:J58" si="11">+C54+C57</f>
        <v>175956.97000000015</v>
      </c>
      <c r="D58" s="56">
        <f t="shared" si="11"/>
        <v>103865.99999999999</v>
      </c>
      <c r="E58" s="56">
        <f t="shared" si="11"/>
        <v>0</v>
      </c>
      <c r="F58" s="56">
        <f t="shared" si="11"/>
        <v>0</v>
      </c>
      <c r="G58" s="56">
        <f t="shared" si="11"/>
        <v>106119.00000000001</v>
      </c>
      <c r="H58" s="56">
        <f t="shared" si="11"/>
        <v>0</v>
      </c>
      <c r="I58" s="56">
        <f t="shared" si="11"/>
        <v>28954.999999999996</v>
      </c>
      <c r="J58" s="56">
        <f t="shared" si="11"/>
        <v>0</v>
      </c>
    </row>
    <row r="59" spans="1:10">
      <c r="A59" s="60"/>
      <c r="B59" s="56"/>
      <c r="C59" s="56"/>
      <c r="D59" s="56"/>
      <c r="E59" s="56"/>
      <c r="F59" s="56"/>
      <c r="G59" s="56"/>
      <c r="H59" s="56"/>
      <c r="I59" s="50"/>
      <c r="J59" s="50"/>
    </row>
    <row r="60" spans="1:10">
      <c r="A60" s="63" t="s">
        <v>46</v>
      </c>
      <c r="B60" s="58">
        <f>+SUM(B61:B69)</f>
        <v>1370324.5160000001</v>
      </c>
      <c r="C60" s="58">
        <f t="shared" ref="C60:J60" si="12">+SUM(C61:C69)</f>
        <v>0</v>
      </c>
      <c r="D60" s="58">
        <f t="shared" si="12"/>
        <v>61256.332199999997</v>
      </c>
      <c r="E60" s="58">
        <f t="shared" si="12"/>
        <v>740679.55480000004</v>
      </c>
      <c r="F60" s="58">
        <f t="shared" si="12"/>
        <v>217484.94349999999</v>
      </c>
      <c r="G60" s="58">
        <f t="shared" si="12"/>
        <v>8428.1660999999986</v>
      </c>
      <c r="H60" s="58">
        <f t="shared" si="12"/>
        <v>5618.7773999999999</v>
      </c>
      <c r="I60" s="58">
        <f t="shared" si="12"/>
        <v>0</v>
      </c>
      <c r="J60" s="58">
        <f t="shared" si="12"/>
        <v>0</v>
      </c>
    </row>
    <row r="61" spans="1:10">
      <c r="A61" s="61" t="s">
        <v>47</v>
      </c>
      <c r="B61" s="56">
        <v>236408</v>
      </c>
      <c r="C61" s="56">
        <v>0</v>
      </c>
      <c r="D61" s="56">
        <v>0</v>
      </c>
      <c r="E61" s="56">
        <v>0</v>
      </c>
      <c r="F61" s="56">
        <v>60950</v>
      </c>
      <c r="G61" s="56">
        <v>0</v>
      </c>
      <c r="H61" s="56">
        <v>0</v>
      </c>
      <c r="I61" s="50">
        <v>0</v>
      </c>
      <c r="J61" s="50">
        <v>0</v>
      </c>
    </row>
    <row r="62" spans="1:10">
      <c r="A62" s="61" t="s">
        <v>48</v>
      </c>
      <c r="B62" s="56">
        <v>0</v>
      </c>
      <c r="C62" s="56">
        <v>0</v>
      </c>
      <c r="D62" s="56">
        <v>0</v>
      </c>
      <c r="E62" s="56">
        <v>729442</v>
      </c>
      <c r="F62" s="56">
        <v>0</v>
      </c>
      <c r="G62" s="56">
        <v>0</v>
      </c>
      <c r="H62" s="56">
        <v>0</v>
      </c>
      <c r="I62" s="50">
        <v>0</v>
      </c>
      <c r="J62" s="50">
        <v>0</v>
      </c>
    </row>
    <row r="63" spans="1:10">
      <c r="A63" s="61" t="s">
        <v>49</v>
      </c>
      <c r="B63" s="56">
        <v>596458</v>
      </c>
      <c r="C63" s="56">
        <v>0</v>
      </c>
      <c r="D63" s="56">
        <v>0</v>
      </c>
      <c r="E63" s="56">
        <v>0</v>
      </c>
      <c r="F63" s="56">
        <v>17488</v>
      </c>
      <c r="G63" s="56">
        <v>0</v>
      </c>
      <c r="H63" s="56">
        <v>0</v>
      </c>
      <c r="I63" s="50">
        <v>0</v>
      </c>
      <c r="J63" s="50">
        <v>0</v>
      </c>
    </row>
    <row r="64" spans="1:10">
      <c r="A64" s="61" t="s">
        <v>50</v>
      </c>
      <c r="B64" s="56">
        <v>0</v>
      </c>
      <c r="C64" s="56">
        <v>0</v>
      </c>
      <c r="D64" s="56">
        <v>0</v>
      </c>
      <c r="E64" s="56">
        <v>0</v>
      </c>
      <c r="F64" s="56">
        <v>0</v>
      </c>
      <c r="G64" s="56">
        <v>0</v>
      </c>
      <c r="H64" s="56">
        <v>0</v>
      </c>
      <c r="I64" s="50">
        <v>0</v>
      </c>
      <c r="J64" s="50">
        <v>0</v>
      </c>
    </row>
    <row r="65" spans="1:10">
      <c r="A65" s="61" t="s">
        <v>51</v>
      </c>
      <c r="B65" s="56">
        <v>0</v>
      </c>
      <c r="C65" s="56">
        <v>0</v>
      </c>
      <c r="D65" s="56">
        <v>0</v>
      </c>
      <c r="E65" s="56">
        <v>0</v>
      </c>
      <c r="F65" s="56">
        <v>0</v>
      </c>
      <c r="G65" s="56">
        <v>0</v>
      </c>
      <c r="H65" s="56">
        <v>0</v>
      </c>
      <c r="I65" s="50">
        <v>0</v>
      </c>
      <c r="J65" s="50">
        <v>0</v>
      </c>
    </row>
    <row r="66" spans="1:10">
      <c r="A66" s="61" t="s">
        <v>52</v>
      </c>
      <c r="B66" s="56">
        <v>0</v>
      </c>
      <c r="C66" s="56">
        <v>0</v>
      </c>
      <c r="D66" s="56">
        <v>44400</v>
      </c>
      <c r="E66" s="56">
        <v>0</v>
      </c>
      <c r="F66" s="56">
        <v>0</v>
      </c>
      <c r="G66" s="56">
        <v>0</v>
      </c>
      <c r="H66" s="56">
        <v>0</v>
      </c>
      <c r="I66" s="50">
        <v>0</v>
      </c>
      <c r="J66" s="50">
        <v>0</v>
      </c>
    </row>
    <row r="67" spans="1:10">
      <c r="A67" s="61" t="s">
        <v>53</v>
      </c>
      <c r="B67" s="56">
        <v>500000</v>
      </c>
      <c r="C67" s="56">
        <v>0</v>
      </c>
      <c r="D67" s="56">
        <v>0</v>
      </c>
      <c r="E67" s="56">
        <v>0</v>
      </c>
      <c r="F67" s="56">
        <v>125000</v>
      </c>
      <c r="G67" s="56">
        <v>0</v>
      </c>
      <c r="H67" s="56">
        <v>0</v>
      </c>
      <c r="I67" s="50">
        <v>0</v>
      </c>
      <c r="J67" s="50">
        <v>0</v>
      </c>
    </row>
    <row r="68" spans="1:10">
      <c r="A68" s="61" t="s">
        <v>54</v>
      </c>
      <c r="B68" s="56">
        <v>37458.515999999996</v>
      </c>
      <c r="C68" s="56">
        <v>0</v>
      </c>
      <c r="D68" s="56">
        <v>16856.332199999997</v>
      </c>
      <c r="E68" s="56">
        <v>11237.5548</v>
      </c>
      <c r="F68" s="56">
        <v>14046.943499999999</v>
      </c>
      <c r="G68" s="56">
        <v>8428.1660999999986</v>
      </c>
      <c r="H68" s="56">
        <v>5618.7773999999999</v>
      </c>
      <c r="I68" s="50">
        <v>0</v>
      </c>
      <c r="J68" s="50">
        <v>0</v>
      </c>
    </row>
    <row r="69" spans="1:10">
      <c r="A69" s="61" t="s">
        <v>55</v>
      </c>
      <c r="B69" s="56"/>
      <c r="C69" s="56"/>
      <c r="D69" s="56"/>
      <c r="E69" s="56"/>
      <c r="F69" s="56"/>
      <c r="G69" s="56"/>
      <c r="H69" s="56"/>
      <c r="I69" s="50"/>
      <c r="J69" s="50"/>
    </row>
    <row r="70" spans="1:10">
      <c r="A70" s="64" t="s">
        <v>56</v>
      </c>
      <c r="B70" s="58">
        <f>+(B7/3.5%)+B8+B13+B29+B27+B49+B55+B60</f>
        <v>83285548.430285707</v>
      </c>
      <c r="C70" s="58">
        <f t="shared" ref="C70:J70" si="13">+(C7/3.5%)+C8+C13+C29+C27+C49+C55+C60</f>
        <v>651878.68999999994</v>
      </c>
      <c r="D70" s="58">
        <f t="shared" si="13"/>
        <v>15265814.292738108</v>
      </c>
      <c r="E70" s="58">
        <f t="shared" si="13"/>
        <v>3304745.7548000002</v>
      </c>
      <c r="F70" s="58">
        <f t="shared" si="13"/>
        <v>25936446.229214285</v>
      </c>
      <c r="G70" s="58">
        <f t="shared" si="13"/>
        <v>7964941.6113460883</v>
      </c>
      <c r="H70" s="58">
        <f t="shared" si="13"/>
        <v>809802.17740000004</v>
      </c>
      <c r="I70" s="58">
        <f t="shared" si="13"/>
        <v>3850322.0156008443</v>
      </c>
      <c r="J70" s="58">
        <f t="shared" si="13"/>
        <v>307410.40000000002</v>
      </c>
    </row>
    <row r="71" spans="1:10">
      <c r="A71" s="64" t="s">
        <v>57</v>
      </c>
      <c r="B71" s="58">
        <f>+B6+B27+B47+B58+B60</f>
        <v>3811309.0559999999</v>
      </c>
      <c r="C71" s="58">
        <f t="shared" ref="C71:J71" si="14">+C6+C27+C47+C58+C60</f>
        <v>175956.97000000015</v>
      </c>
      <c r="D71" s="58">
        <f t="shared" si="14"/>
        <v>4089189.4168735379</v>
      </c>
      <c r="E71" s="58">
        <f t="shared" si="14"/>
        <v>1744131.7248</v>
      </c>
      <c r="F71" s="58">
        <f t="shared" si="14"/>
        <v>1334923.5685000001</v>
      </c>
      <c r="G71" s="58">
        <f t="shared" si="14"/>
        <v>2105112.3894792055</v>
      </c>
      <c r="H71" s="58">
        <f t="shared" si="14"/>
        <v>216393.02740000011</v>
      </c>
      <c r="I71" s="58">
        <f t="shared" si="14"/>
        <v>1142644.3242838248</v>
      </c>
      <c r="J71" s="58">
        <f t="shared" si="14"/>
        <v>49339.270000000019</v>
      </c>
    </row>
    <row r="72" spans="1:10">
      <c r="A72" s="65" t="s">
        <v>58</v>
      </c>
      <c r="B72" s="111">
        <f>IFERROR(B71/B70,0)</f>
        <v>4.5761949435804722E-2</v>
      </c>
      <c r="C72" s="111">
        <f t="shared" ref="C72:J72" si="15">IFERROR(C71/C70,0)</f>
        <v>0.26992287476064014</v>
      </c>
      <c r="D72" s="111">
        <f t="shared" si="15"/>
        <v>0.26786579074388128</v>
      </c>
      <c r="E72" s="111">
        <f t="shared" si="15"/>
        <v>0.52776578115479056</v>
      </c>
      <c r="F72" s="111">
        <f t="shared" si="15"/>
        <v>5.1469023809297722E-2</v>
      </c>
      <c r="G72" s="111">
        <f t="shared" si="15"/>
        <v>0.26429727827263233</v>
      </c>
      <c r="H72" s="111">
        <f t="shared" si="15"/>
        <v>0.26721714690217885</v>
      </c>
      <c r="I72" s="111">
        <f t="shared" si="15"/>
        <v>0.29676591195594187</v>
      </c>
      <c r="J72" s="111">
        <f t="shared" si="15"/>
        <v>0.16049967730434628</v>
      </c>
    </row>
    <row r="73" spans="1:10">
      <c r="A73" s="60"/>
      <c r="B73" s="56"/>
      <c r="C73" s="56"/>
      <c r="D73" s="56"/>
      <c r="E73" s="56"/>
      <c r="F73" s="56"/>
      <c r="G73" s="56"/>
      <c r="H73" s="56"/>
      <c r="I73" s="50"/>
      <c r="J73" s="50"/>
    </row>
    <row r="74" spans="1:10">
      <c r="A74" s="60"/>
      <c r="B74" s="56"/>
      <c r="C74" s="56"/>
      <c r="D74" s="56"/>
      <c r="E74" s="56"/>
      <c r="F74" s="56"/>
      <c r="G74" s="56"/>
      <c r="H74" s="56"/>
      <c r="I74" s="50"/>
      <c r="J74" s="50"/>
    </row>
    <row r="75" spans="1:10" ht="17.25">
      <c r="A75" s="17" t="s">
        <v>59</v>
      </c>
      <c r="B75" s="67">
        <f>+B76+B87+B90</f>
        <v>2189654.3160000001</v>
      </c>
      <c r="C75" s="67">
        <f t="shared" ref="C75:J75" si="16">+C76+C87+C90</f>
        <v>0</v>
      </c>
      <c r="D75" s="67">
        <f t="shared" si="16"/>
        <v>32365.508682722004</v>
      </c>
      <c r="E75" s="67">
        <f t="shared" si="16"/>
        <v>11586.723229466807</v>
      </c>
      <c r="F75" s="67">
        <f t="shared" si="16"/>
        <v>721965.26399999997</v>
      </c>
      <c r="G75" s="67">
        <f t="shared" si="16"/>
        <v>7030.6720000000005</v>
      </c>
      <c r="H75" s="67">
        <f t="shared" si="16"/>
        <v>3370.4480000000003</v>
      </c>
      <c r="I75" s="67">
        <f t="shared" si="16"/>
        <v>28553</v>
      </c>
      <c r="J75" s="67">
        <f t="shared" si="16"/>
        <v>0</v>
      </c>
    </row>
    <row r="76" spans="1:10">
      <c r="A76" s="66" t="s">
        <v>60</v>
      </c>
      <c r="B76" s="67">
        <f>+SUM(B77:B86)</f>
        <v>524446.51</v>
      </c>
      <c r="C76" s="67">
        <f t="shared" ref="C76:J76" si="17">+SUM(C77:C86)</f>
        <v>0</v>
      </c>
      <c r="D76" s="67">
        <f t="shared" si="17"/>
        <v>6388.3</v>
      </c>
      <c r="E76" s="67">
        <f t="shared" si="17"/>
        <v>10243</v>
      </c>
      <c r="F76" s="67">
        <f t="shared" si="17"/>
        <v>384079.48</v>
      </c>
      <c r="G76" s="67">
        <f t="shared" si="17"/>
        <v>0</v>
      </c>
      <c r="H76" s="67">
        <f t="shared" si="17"/>
        <v>0</v>
      </c>
      <c r="I76" s="67">
        <f t="shared" si="17"/>
        <v>0</v>
      </c>
      <c r="J76" s="67">
        <f t="shared" si="17"/>
        <v>0</v>
      </c>
    </row>
    <row r="77" spans="1:10">
      <c r="A77" s="61" t="s">
        <v>61</v>
      </c>
      <c r="B77" s="68">
        <v>241778</v>
      </c>
      <c r="C77" s="68">
        <v>0</v>
      </c>
      <c r="D77" s="68">
        <v>0</v>
      </c>
      <c r="E77" s="68">
        <v>0</v>
      </c>
      <c r="F77" s="68">
        <v>248940.75</v>
      </c>
      <c r="G77" s="68">
        <v>0</v>
      </c>
      <c r="H77" s="68">
        <v>0</v>
      </c>
      <c r="I77" s="68">
        <v>0</v>
      </c>
      <c r="J77" s="68">
        <v>0</v>
      </c>
    </row>
    <row r="78" spans="1:10">
      <c r="A78" s="61" t="s">
        <v>62</v>
      </c>
      <c r="B78" s="68">
        <v>197805.57</v>
      </c>
      <c r="C78" s="68">
        <v>0</v>
      </c>
      <c r="D78" s="68">
        <v>0</v>
      </c>
      <c r="E78" s="68">
        <v>0</v>
      </c>
      <c r="F78" s="68">
        <v>49330</v>
      </c>
      <c r="G78" s="68">
        <v>0</v>
      </c>
      <c r="H78" s="68">
        <v>0</v>
      </c>
      <c r="I78" s="68">
        <v>0</v>
      </c>
      <c r="J78" s="68">
        <v>0</v>
      </c>
    </row>
    <row r="79" spans="1:10">
      <c r="A79" s="61" t="s">
        <v>63</v>
      </c>
      <c r="B79" s="68">
        <v>0</v>
      </c>
      <c r="C79" s="68">
        <v>0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</row>
    <row r="80" spans="1:10">
      <c r="A80" s="61" t="s">
        <v>221</v>
      </c>
      <c r="B80" s="68">
        <v>80630.94</v>
      </c>
      <c r="C80" s="68">
        <v>0</v>
      </c>
      <c r="D80" s="68">
        <v>0</v>
      </c>
      <c r="E80" s="68">
        <v>0</v>
      </c>
      <c r="F80" s="68">
        <v>85808.73</v>
      </c>
      <c r="G80" s="68">
        <v>0</v>
      </c>
      <c r="H80" s="68">
        <v>0</v>
      </c>
      <c r="I80" s="68">
        <v>0</v>
      </c>
      <c r="J80" s="68">
        <v>0</v>
      </c>
    </row>
    <row r="81" spans="1:10">
      <c r="A81" s="61" t="s">
        <v>65</v>
      </c>
      <c r="B81" s="68">
        <v>0</v>
      </c>
      <c r="C81" s="68">
        <v>0</v>
      </c>
      <c r="D81" s="68">
        <v>6388.3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</row>
    <row r="82" spans="1:10">
      <c r="A82" s="61" t="s">
        <v>66</v>
      </c>
      <c r="B82" s="68">
        <v>0</v>
      </c>
      <c r="C82" s="68">
        <v>0</v>
      </c>
      <c r="D82" s="68">
        <v>0</v>
      </c>
      <c r="E82" s="68">
        <v>10243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</row>
    <row r="83" spans="1:10">
      <c r="A83" s="61" t="s">
        <v>67</v>
      </c>
      <c r="B83" s="68">
        <v>0</v>
      </c>
      <c r="C83" s="68">
        <v>0</v>
      </c>
      <c r="D83" s="68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</row>
    <row r="84" spans="1:10">
      <c r="A84" s="61" t="s">
        <v>68</v>
      </c>
      <c r="B84" s="68">
        <v>4232</v>
      </c>
      <c r="C84" s="68">
        <v>0</v>
      </c>
      <c r="D84" s="68">
        <v>0</v>
      </c>
      <c r="E84" s="68">
        <v>0</v>
      </c>
      <c r="F84" s="68">
        <v>0</v>
      </c>
      <c r="G84" s="68">
        <v>0</v>
      </c>
      <c r="H84" s="68">
        <v>0</v>
      </c>
      <c r="I84" s="68">
        <v>0</v>
      </c>
      <c r="J84" s="68">
        <v>0</v>
      </c>
    </row>
    <row r="85" spans="1:10">
      <c r="A85" s="61" t="s">
        <v>69</v>
      </c>
      <c r="B85" s="68">
        <v>0</v>
      </c>
      <c r="C85" s="68">
        <v>0</v>
      </c>
      <c r="D85" s="68">
        <v>0</v>
      </c>
      <c r="E85" s="68">
        <v>0</v>
      </c>
      <c r="F85" s="68">
        <v>0</v>
      </c>
      <c r="G85" s="68">
        <v>0</v>
      </c>
      <c r="H85" s="68">
        <v>0</v>
      </c>
      <c r="I85" s="68">
        <v>0</v>
      </c>
      <c r="J85" s="68">
        <v>0</v>
      </c>
    </row>
    <row r="86" spans="1:10">
      <c r="A86" s="61" t="s">
        <v>70</v>
      </c>
      <c r="B86" s="68">
        <v>0</v>
      </c>
      <c r="C86" s="68">
        <v>0</v>
      </c>
      <c r="D86" s="68">
        <v>0</v>
      </c>
      <c r="E86" s="68">
        <v>0</v>
      </c>
      <c r="F86" s="68">
        <v>0</v>
      </c>
      <c r="G86" s="68">
        <v>0</v>
      </c>
      <c r="H86" s="68">
        <v>0</v>
      </c>
      <c r="I86" s="68">
        <v>0</v>
      </c>
      <c r="J86" s="68">
        <v>0</v>
      </c>
    </row>
    <row r="87" spans="1:10">
      <c r="A87" s="66" t="s">
        <v>71</v>
      </c>
      <c r="B87" s="67">
        <f>+SUM(B88:B89)</f>
        <v>1167184</v>
      </c>
      <c r="C87" s="67">
        <f t="shared" ref="C87:J87" si="18">+SUM(C88:C89)</f>
        <v>0</v>
      </c>
      <c r="D87" s="67">
        <f t="shared" si="18"/>
        <v>18465.208682722005</v>
      </c>
      <c r="E87" s="67">
        <f t="shared" si="18"/>
        <v>1343.7232294668065</v>
      </c>
      <c r="F87" s="67">
        <f t="shared" si="18"/>
        <v>56097</v>
      </c>
      <c r="G87" s="67">
        <f t="shared" si="18"/>
        <v>1391</v>
      </c>
      <c r="H87" s="67">
        <f t="shared" si="18"/>
        <v>234</v>
      </c>
      <c r="I87" s="67">
        <f t="shared" si="18"/>
        <v>16500</v>
      </c>
      <c r="J87" s="67">
        <f t="shared" si="18"/>
        <v>0</v>
      </c>
    </row>
    <row r="88" spans="1:10">
      <c r="A88" s="61" t="s">
        <v>222</v>
      </c>
      <c r="B88" s="68">
        <v>1167184</v>
      </c>
      <c r="C88" s="68">
        <v>0</v>
      </c>
      <c r="D88" s="68">
        <v>18465.208682722005</v>
      </c>
      <c r="E88" s="68">
        <v>1343.7232294668065</v>
      </c>
      <c r="F88" s="68">
        <v>56097</v>
      </c>
      <c r="G88" s="68">
        <v>1391</v>
      </c>
      <c r="H88" s="68">
        <v>234</v>
      </c>
      <c r="I88" s="68">
        <v>16500</v>
      </c>
      <c r="J88" s="68">
        <v>0</v>
      </c>
    </row>
    <row r="89" spans="1:10">
      <c r="A89" s="61" t="s">
        <v>223</v>
      </c>
      <c r="B89" s="68"/>
      <c r="C89" s="68"/>
      <c r="D89" s="68"/>
      <c r="E89" s="68"/>
      <c r="F89" s="68"/>
      <c r="G89" s="68"/>
      <c r="H89" s="68"/>
      <c r="I89" s="68"/>
      <c r="J89" s="68"/>
    </row>
    <row r="90" spans="1:10">
      <c r="A90" s="66" t="s">
        <v>72</v>
      </c>
      <c r="B90" s="67">
        <f>+SUM(B91:B102)</f>
        <v>498023.80599999998</v>
      </c>
      <c r="C90" s="67">
        <f t="shared" ref="C90:J90" si="19">+SUM(C91:C102)</f>
        <v>0</v>
      </c>
      <c r="D90" s="67">
        <f t="shared" si="19"/>
        <v>7512</v>
      </c>
      <c r="E90" s="67">
        <f t="shared" si="19"/>
        <v>0</v>
      </c>
      <c r="F90" s="67">
        <f t="shared" si="19"/>
        <v>281788.78400000004</v>
      </c>
      <c r="G90" s="67">
        <f t="shared" si="19"/>
        <v>5639.6720000000005</v>
      </c>
      <c r="H90" s="67">
        <f t="shared" si="19"/>
        <v>3136.4480000000003</v>
      </c>
      <c r="I90" s="67">
        <f t="shared" si="19"/>
        <v>12053</v>
      </c>
      <c r="J90" s="67">
        <f t="shared" si="19"/>
        <v>0</v>
      </c>
    </row>
    <row r="91" spans="1:10">
      <c r="A91" s="61" t="s">
        <v>224</v>
      </c>
      <c r="B91" s="68">
        <v>0</v>
      </c>
      <c r="C91" s="68">
        <v>0</v>
      </c>
      <c r="D91" s="68">
        <v>0</v>
      </c>
      <c r="E91" s="68">
        <v>0</v>
      </c>
      <c r="F91" s="68">
        <v>0</v>
      </c>
      <c r="G91" s="68">
        <v>0</v>
      </c>
      <c r="H91" s="68">
        <v>0</v>
      </c>
      <c r="I91" s="68">
        <v>0</v>
      </c>
      <c r="J91" s="68">
        <v>0</v>
      </c>
    </row>
    <row r="92" spans="1:10">
      <c r="A92" s="61" t="s">
        <v>73</v>
      </c>
      <c r="B92" s="68">
        <v>0</v>
      </c>
      <c r="C92" s="68">
        <v>0</v>
      </c>
      <c r="D92" s="68">
        <v>900</v>
      </c>
      <c r="E92" s="68">
        <v>0</v>
      </c>
      <c r="F92" s="68">
        <v>0</v>
      </c>
      <c r="G92" s="68">
        <v>0</v>
      </c>
      <c r="H92" s="68">
        <v>0</v>
      </c>
      <c r="I92" s="68">
        <v>0</v>
      </c>
      <c r="J92" s="68">
        <v>0</v>
      </c>
    </row>
    <row r="93" spans="1:10">
      <c r="A93" s="61" t="s">
        <v>74</v>
      </c>
      <c r="B93" s="68">
        <v>189299.334</v>
      </c>
      <c r="C93" s="68">
        <v>0</v>
      </c>
      <c r="D93" s="68">
        <v>0</v>
      </c>
      <c r="E93" s="68">
        <v>0</v>
      </c>
      <c r="F93" s="68">
        <v>126672.67600000001</v>
      </c>
      <c r="G93" s="68">
        <v>283.87200000000001</v>
      </c>
      <c r="H93" s="68">
        <v>189.24800000000002</v>
      </c>
      <c r="I93" s="68">
        <v>12053</v>
      </c>
      <c r="J93" s="68">
        <v>0</v>
      </c>
    </row>
    <row r="94" spans="1:10">
      <c r="A94" s="61" t="s">
        <v>75</v>
      </c>
      <c r="B94" s="68">
        <v>6500</v>
      </c>
      <c r="C94" s="68">
        <v>0</v>
      </c>
      <c r="D94" s="68">
        <v>0</v>
      </c>
      <c r="E94" s="68">
        <v>0</v>
      </c>
      <c r="F94" s="68">
        <v>2000</v>
      </c>
      <c r="G94" s="68">
        <v>0</v>
      </c>
      <c r="H94" s="68">
        <v>0</v>
      </c>
      <c r="I94" s="68">
        <v>0</v>
      </c>
      <c r="J94" s="68">
        <v>0</v>
      </c>
    </row>
    <row r="95" spans="1:10">
      <c r="A95" s="61" t="s">
        <v>76</v>
      </c>
      <c r="B95" s="68">
        <v>0</v>
      </c>
      <c r="C95" s="68">
        <v>0</v>
      </c>
      <c r="D95" s="68">
        <v>0</v>
      </c>
      <c r="E95" s="68">
        <v>0</v>
      </c>
      <c r="F95" s="68">
        <v>0</v>
      </c>
      <c r="G95" s="68">
        <v>0</v>
      </c>
      <c r="H95" s="68">
        <v>0</v>
      </c>
      <c r="I95" s="68">
        <v>0</v>
      </c>
      <c r="J95" s="68">
        <v>0</v>
      </c>
    </row>
    <row r="96" spans="1:10">
      <c r="A96" s="61" t="s">
        <v>77</v>
      </c>
      <c r="B96" s="68">
        <v>74385.792000000001</v>
      </c>
      <c r="C96" s="68">
        <v>0</v>
      </c>
      <c r="D96" s="68">
        <v>0</v>
      </c>
      <c r="E96" s="68">
        <v>0</v>
      </c>
      <c r="F96" s="68">
        <v>49590.528000000006</v>
      </c>
      <c r="G96" s="68">
        <v>0</v>
      </c>
      <c r="H96" s="68">
        <v>0</v>
      </c>
      <c r="I96" s="68">
        <v>0</v>
      </c>
      <c r="J96" s="68">
        <v>0</v>
      </c>
    </row>
    <row r="97" spans="1:10">
      <c r="A97" s="61" t="s">
        <v>78</v>
      </c>
      <c r="B97" s="68">
        <v>34061.813999999998</v>
      </c>
      <c r="C97" s="68">
        <v>0</v>
      </c>
      <c r="D97" s="68">
        <v>0</v>
      </c>
      <c r="E97" s="68">
        <v>0</v>
      </c>
      <c r="F97" s="68">
        <v>22707.876000000004</v>
      </c>
      <c r="G97" s="68">
        <v>0</v>
      </c>
      <c r="H97" s="68">
        <v>0</v>
      </c>
      <c r="I97" s="68">
        <v>0</v>
      </c>
      <c r="J97" s="68">
        <v>0</v>
      </c>
    </row>
    <row r="98" spans="1:10">
      <c r="A98" s="61" t="s">
        <v>79</v>
      </c>
      <c r="B98" s="68">
        <v>102931.344</v>
      </c>
      <c r="C98" s="68">
        <v>0</v>
      </c>
      <c r="D98" s="68">
        <v>0</v>
      </c>
      <c r="E98" s="68">
        <v>0</v>
      </c>
      <c r="F98" s="68">
        <v>68620.895999999993</v>
      </c>
      <c r="G98" s="68">
        <v>0</v>
      </c>
      <c r="H98" s="68">
        <v>0</v>
      </c>
      <c r="I98" s="68">
        <v>0</v>
      </c>
      <c r="J98" s="68">
        <v>0</v>
      </c>
    </row>
    <row r="99" spans="1:10">
      <c r="A99" s="61" t="s">
        <v>80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</row>
    <row r="100" spans="1:10">
      <c r="A100" s="61" t="s">
        <v>81</v>
      </c>
      <c r="B100" s="68">
        <v>0</v>
      </c>
      <c r="C100" s="68">
        <v>0</v>
      </c>
      <c r="D100" s="68">
        <v>0</v>
      </c>
      <c r="E100" s="68">
        <v>0</v>
      </c>
      <c r="F100" s="68">
        <v>0</v>
      </c>
      <c r="G100" s="68">
        <v>0</v>
      </c>
      <c r="H100" s="68">
        <v>0</v>
      </c>
      <c r="I100" s="68">
        <v>0</v>
      </c>
      <c r="J100" s="68">
        <v>0</v>
      </c>
    </row>
    <row r="101" spans="1:10">
      <c r="A101" s="61" t="s">
        <v>82</v>
      </c>
      <c r="B101" s="68">
        <v>83602.31</v>
      </c>
      <c r="C101" s="68">
        <v>0</v>
      </c>
      <c r="D101" s="68">
        <v>0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</row>
    <row r="102" spans="1:10">
      <c r="A102" s="61" t="s">
        <v>83</v>
      </c>
      <c r="B102" s="68">
        <v>7243.2120000000004</v>
      </c>
      <c r="C102" s="68">
        <v>0</v>
      </c>
      <c r="D102" s="68">
        <v>6612</v>
      </c>
      <c r="E102" s="68">
        <v>0</v>
      </c>
      <c r="F102" s="68">
        <v>12196.808000000001</v>
      </c>
      <c r="G102" s="68">
        <v>5355.8</v>
      </c>
      <c r="H102" s="68">
        <v>2947.2000000000003</v>
      </c>
      <c r="I102" s="68">
        <v>0</v>
      </c>
      <c r="J102" s="68">
        <v>0</v>
      </c>
    </row>
    <row r="103" spans="1:10">
      <c r="A103" s="61"/>
      <c r="B103" s="68"/>
      <c r="C103" s="68"/>
      <c r="D103" s="68"/>
      <c r="E103" s="68"/>
      <c r="F103" s="68"/>
      <c r="G103" s="68"/>
      <c r="H103" s="68"/>
      <c r="I103" s="69"/>
      <c r="J103" s="69"/>
    </row>
    <row r="104" spans="1:10" ht="17.25">
      <c r="A104" s="70" t="s">
        <v>84</v>
      </c>
      <c r="B104" s="67">
        <f>+SUM(B105:B113)</f>
        <v>584150.61349999998</v>
      </c>
      <c r="C104" s="67">
        <f t="shared" ref="C104:J104" si="20">+SUM(C105:C113)</f>
        <v>0</v>
      </c>
      <c r="D104" s="67">
        <f t="shared" si="20"/>
        <v>10060</v>
      </c>
      <c r="E104" s="67">
        <f t="shared" si="20"/>
        <v>2760</v>
      </c>
      <c r="F104" s="67">
        <f t="shared" si="20"/>
        <v>498809.98499999999</v>
      </c>
      <c r="G104" s="67">
        <f t="shared" si="20"/>
        <v>29075</v>
      </c>
      <c r="H104" s="67">
        <f t="shared" si="20"/>
        <v>1380</v>
      </c>
      <c r="I104" s="67">
        <f t="shared" si="20"/>
        <v>3838</v>
      </c>
      <c r="J104" s="67">
        <f t="shared" si="20"/>
        <v>0</v>
      </c>
    </row>
    <row r="105" spans="1:10">
      <c r="A105" s="61" t="s">
        <v>85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1500</v>
      </c>
      <c r="J105" s="68">
        <v>0</v>
      </c>
    </row>
    <row r="106" spans="1:10">
      <c r="A106" s="61" t="s">
        <v>86</v>
      </c>
      <c r="B106" s="68">
        <v>252611.36749999999</v>
      </c>
      <c r="C106" s="68">
        <v>0</v>
      </c>
      <c r="D106" s="68">
        <v>4140</v>
      </c>
      <c r="E106" s="68">
        <v>2760</v>
      </c>
      <c r="F106" s="68">
        <v>165724.245</v>
      </c>
      <c r="G106" s="68">
        <v>2070</v>
      </c>
      <c r="H106" s="68">
        <v>1380</v>
      </c>
      <c r="I106" s="68">
        <v>0</v>
      </c>
      <c r="J106" s="68">
        <v>0</v>
      </c>
    </row>
    <row r="107" spans="1:10">
      <c r="A107" s="61" t="s">
        <v>87</v>
      </c>
      <c r="B107" s="68">
        <v>0</v>
      </c>
      <c r="C107" s="68">
        <v>0</v>
      </c>
      <c r="D107" s="68">
        <v>0</v>
      </c>
      <c r="E107" s="68">
        <v>0</v>
      </c>
      <c r="F107" s="68">
        <v>0</v>
      </c>
      <c r="G107" s="68">
        <v>0</v>
      </c>
      <c r="H107" s="68">
        <v>0</v>
      </c>
      <c r="I107" s="68">
        <v>0</v>
      </c>
      <c r="J107" s="68">
        <v>0</v>
      </c>
    </row>
    <row r="108" spans="1:10">
      <c r="A108" s="61" t="s">
        <v>88</v>
      </c>
      <c r="B108" s="68">
        <v>66657.599999999991</v>
      </c>
      <c r="C108" s="68">
        <v>0</v>
      </c>
      <c r="D108" s="68">
        <v>0</v>
      </c>
      <c r="E108" s="68">
        <v>0</v>
      </c>
      <c r="F108" s="68">
        <v>44438.399999999994</v>
      </c>
      <c r="G108" s="68">
        <v>0</v>
      </c>
      <c r="H108" s="68">
        <v>0</v>
      </c>
      <c r="I108" s="68">
        <v>0</v>
      </c>
      <c r="J108" s="68">
        <v>0</v>
      </c>
    </row>
    <row r="109" spans="1:10">
      <c r="A109" s="61" t="s">
        <v>89</v>
      </c>
      <c r="B109" s="68">
        <v>12747.6</v>
      </c>
      <c r="C109" s="68">
        <v>0</v>
      </c>
      <c r="D109" s="68">
        <v>0</v>
      </c>
      <c r="E109" s="68">
        <v>0</v>
      </c>
      <c r="F109" s="68">
        <v>8498.4</v>
      </c>
      <c r="G109" s="68">
        <v>0</v>
      </c>
      <c r="H109" s="68">
        <v>0</v>
      </c>
      <c r="I109" s="68">
        <v>0</v>
      </c>
      <c r="J109" s="68">
        <v>0</v>
      </c>
    </row>
    <row r="110" spans="1:10">
      <c r="A110" s="61" t="s">
        <v>90</v>
      </c>
      <c r="B110" s="68">
        <v>252134.04599999997</v>
      </c>
      <c r="C110" s="68">
        <v>0</v>
      </c>
      <c r="D110" s="68">
        <v>0</v>
      </c>
      <c r="E110" s="68">
        <v>0</v>
      </c>
      <c r="F110" s="68">
        <v>280148.94</v>
      </c>
      <c r="G110" s="68">
        <v>0</v>
      </c>
      <c r="H110" s="68">
        <v>0</v>
      </c>
      <c r="I110" s="68">
        <v>0</v>
      </c>
      <c r="J110" s="68">
        <v>0</v>
      </c>
    </row>
    <row r="111" spans="1:10">
      <c r="A111" s="61" t="s">
        <v>91</v>
      </c>
      <c r="B111" s="68">
        <v>0</v>
      </c>
      <c r="C111" s="68">
        <v>0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</row>
    <row r="112" spans="1:10">
      <c r="A112" s="61" t="s">
        <v>92</v>
      </c>
      <c r="B112" s="68">
        <v>0</v>
      </c>
      <c r="C112" s="68">
        <v>0</v>
      </c>
      <c r="D112" s="68">
        <v>5920</v>
      </c>
      <c r="E112" s="68">
        <v>0</v>
      </c>
      <c r="F112" s="68">
        <v>0</v>
      </c>
      <c r="G112" s="68">
        <v>27005</v>
      </c>
      <c r="H112" s="68">
        <v>0</v>
      </c>
      <c r="I112" s="68">
        <v>2338</v>
      </c>
      <c r="J112" s="68">
        <v>0</v>
      </c>
    </row>
    <row r="113" spans="1:10">
      <c r="A113" s="61" t="s">
        <v>225</v>
      </c>
      <c r="B113" s="68">
        <v>0</v>
      </c>
      <c r="C113" s="68">
        <v>0</v>
      </c>
      <c r="D113" s="68">
        <v>0</v>
      </c>
      <c r="E113" s="68">
        <v>0</v>
      </c>
      <c r="F113" s="68">
        <v>0</v>
      </c>
      <c r="G113" s="68">
        <v>0</v>
      </c>
      <c r="H113" s="68">
        <v>0</v>
      </c>
      <c r="I113" s="68">
        <v>0</v>
      </c>
      <c r="J113" s="68">
        <v>0</v>
      </c>
    </row>
    <row r="114" spans="1:10">
      <c r="A114" s="60"/>
      <c r="B114" s="68"/>
      <c r="C114" s="68"/>
      <c r="D114" s="68"/>
      <c r="E114" s="68"/>
      <c r="F114" s="68"/>
      <c r="G114" s="68"/>
      <c r="H114" s="68"/>
      <c r="I114" s="69"/>
      <c r="J114" s="69"/>
    </row>
    <row r="115" spans="1:10" ht="17.25">
      <c r="A115" s="71" t="s">
        <v>211</v>
      </c>
      <c r="B115" s="67">
        <f>+B116+B129+B133+B138+B146+B150</f>
        <v>3146301.153641026</v>
      </c>
      <c r="C115" s="67">
        <f t="shared" ref="C115:J115" si="21">+C116+C129+C133+C138+C146+C150</f>
        <v>36859</v>
      </c>
      <c r="D115" s="67">
        <f t="shared" si="21"/>
        <v>1892773.5606</v>
      </c>
      <c r="E115" s="67">
        <f t="shared" si="21"/>
        <v>368965.82732307696</v>
      </c>
      <c r="F115" s="67">
        <f t="shared" si="21"/>
        <v>1057396.4596025641</v>
      </c>
      <c r="G115" s="67">
        <f t="shared" si="21"/>
        <v>874439.65478717943</v>
      </c>
      <c r="H115" s="67">
        <f t="shared" si="21"/>
        <v>105483.32199487179</v>
      </c>
      <c r="I115" s="67">
        <f t="shared" si="21"/>
        <v>506606.17743589747</v>
      </c>
      <c r="J115" s="67">
        <f t="shared" si="21"/>
        <v>93096.173076923078</v>
      </c>
    </row>
    <row r="116" spans="1:10">
      <c r="A116" s="72" t="s">
        <v>94</v>
      </c>
      <c r="B116" s="67">
        <f>+SUM(B117:B128)</f>
        <v>2669485.025641026</v>
      </c>
      <c r="C116" s="67">
        <f t="shared" ref="C116:J116" si="22">+SUM(C117:C128)</f>
        <v>36859</v>
      </c>
      <c r="D116" s="67">
        <f t="shared" si="22"/>
        <v>1499515.9233333333</v>
      </c>
      <c r="E116" s="67">
        <f t="shared" si="22"/>
        <v>320990.77692307695</v>
      </c>
      <c r="F116" s="67">
        <f t="shared" si="22"/>
        <v>877612.94076923071</v>
      </c>
      <c r="G116" s="67">
        <f t="shared" si="22"/>
        <v>717098.01282051275</v>
      </c>
      <c r="H116" s="67">
        <f t="shared" si="22"/>
        <v>66920.871794871797</v>
      </c>
      <c r="I116" s="67">
        <f t="shared" si="22"/>
        <v>361893.89743589744</v>
      </c>
      <c r="J116" s="67">
        <f t="shared" si="22"/>
        <v>93096.173076923078</v>
      </c>
    </row>
    <row r="117" spans="1:10">
      <c r="A117" s="61" t="s">
        <v>95</v>
      </c>
      <c r="B117" s="68">
        <v>1207464</v>
      </c>
      <c r="C117" s="68">
        <v>16800</v>
      </c>
      <c r="D117" s="68">
        <v>604846</v>
      </c>
      <c r="E117" s="68">
        <v>109819</v>
      </c>
      <c r="F117" s="68">
        <v>372700</v>
      </c>
      <c r="G117" s="68">
        <v>298305</v>
      </c>
      <c r="H117" s="68">
        <v>21670</v>
      </c>
      <c r="I117" s="68">
        <v>182000</v>
      </c>
      <c r="J117" s="68">
        <v>41250</v>
      </c>
    </row>
    <row r="118" spans="1:10">
      <c r="A118" s="61" t="s">
        <v>96</v>
      </c>
      <c r="B118" s="68">
        <v>124545</v>
      </c>
      <c r="C118" s="68">
        <v>1600</v>
      </c>
      <c r="D118" s="68">
        <v>79834</v>
      </c>
      <c r="E118" s="68">
        <v>15989</v>
      </c>
      <c r="F118" s="68">
        <v>54084</v>
      </c>
      <c r="G118" s="68">
        <v>44560</v>
      </c>
      <c r="H118" s="68">
        <v>3140</v>
      </c>
      <c r="I118" s="68">
        <v>22750</v>
      </c>
      <c r="J118" s="68">
        <v>6150</v>
      </c>
    </row>
    <row r="119" spans="1:10">
      <c r="A119" s="61" t="s">
        <v>97</v>
      </c>
      <c r="B119" s="68">
        <v>32000</v>
      </c>
      <c r="C119" s="68">
        <v>0</v>
      </c>
      <c r="D119" s="68">
        <v>4500</v>
      </c>
      <c r="E119" s="68">
        <v>2500</v>
      </c>
      <c r="F119" s="68">
        <v>8652</v>
      </c>
      <c r="G119" s="68">
        <v>3000</v>
      </c>
      <c r="H119" s="68">
        <v>0</v>
      </c>
      <c r="I119" s="68">
        <v>0</v>
      </c>
      <c r="J119" s="68">
        <v>0</v>
      </c>
    </row>
    <row r="120" spans="1:10">
      <c r="A120" s="61" t="s">
        <v>98</v>
      </c>
      <c r="B120" s="68">
        <v>322936</v>
      </c>
      <c r="C120" s="68">
        <v>4000</v>
      </c>
      <c r="D120" s="68">
        <v>177192</v>
      </c>
      <c r="E120" s="68">
        <v>24814</v>
      </c>
      <c r="F120" s="68">
        <v>111034</v>
      </c>
      <c r="G120" s="68">
        <v>96405</v>
      </c>
      <c r="H120" s="68">
        <v>4870</v>
      </c>
      <c r="I120" s="68">
        <v>59300</v>
      </c>
      <c r="J120" s="68">
        <v>16500</v>
      </c>
    </row>
    <row r="121" spans="1:10">
      <c r="A121" s="61" t="s">
        <v>99</v>
      </c>
      <c r="B121" s="68">
        <v>80750</v>
      </c>
      <c r="C121" s="68">
        <v>0</v>
      </c>
      <c r="D121" s="68">
        <v>33064.29</v>
      </c>
      <c r="E121" s="68">
        <v>3700</v>
      </c>
      <c r="F121" s="68">
        <v>32065.71</v>
      </c>
      <c r="G121" s="68">
        <v>23500</v>
      </c>
      <c r="H121" s="68">
        <v>2400</v>
      </c>
      <c r="I121" s="68">
        <v>13400</v>
      </c>
      <c r="J121" s="68">
        <v>0</v>
      </c>
    </row>
    <row r="122" spans="1:10">
      <c r="A122" s="61" t="s">
        <v>100</v>
      </c>
      <c r="B122" s="68">
        <v>37600</v>
      </c>
      <c r="C122" s="68">
        <v>500</v>
      </c>
      <c r="D122" s="68">
        <v>17250</v>
      </c>
      <c r="E122" s="68">
        <v>2000</v>
      </c>
      <c r="F122" s="68">
        <v>7076</v>
      </c>
      <c r="G122" s="68">
        <v>11900</v>
      </c>
      <c r="H122" s="68">
        <v>1250</v>
      </c>
      <c r="I122" s="68">
        <v>2500</v>
      </c>
      <c r="J122" s="68">
        <v>0</v>
      </c>
    </row>
    <row r="123" spans="1:10">
      <c r="A123" s="61" t="s">
        <v>101</v>
      </c>
      <c r="B123" s="68">
        <v>542634</v>
      </c>
      <c r="C123" s="68">
        <v>12100</v>
      </c>
      <c r="D123" s="68">
        <v>262650</v>
      </c>
      <c r="E123" s="68">
        <v>44196</v>
      </c>
      <c r="F123" s="68">
        <v>165949</v>
      </c>
      <c r="G123" s="68">
        <v>120100</v>
      </c>
      <c r="H123" s="68">
        <v>6850</v>
      </c>
      <c r="I123" s="68">
        <v>49050</v>
      </c>
      <c r="J123" s="68">
        <v>18600</v>
      </c>
    </row>
    <row r="124" spans="1:10">
      <c r="A124" s="61" t="s">
        <v>102</v>
      </c>
      <c r="B124" s="68">
        <v>93170</v>
      </c>
      <c r="C124" s="68">
        <v>1859</v>
      </c>
      <c r="D124" s="68">
        <v>105698</v>
      </c>
      <c r="E124" s="68">
        <v>21258</v>
      </c>
      <c r="F124" s="68">
        <v>39485</v>
      </c>
      <c r="G124" s="68">
        <v>50958</v>
      </c>
      <c r="H124" s="68">
        <v>8931</v>
      </c>
      <c r="I124" s="68">
        <v>10498</v>
      </c>
      <c r="J124" s="68">
        <v>5363</v>
      </c>
    </row>
    <row r="125" spans="1:10">
      <c r="A125" s="61" t="s">
        <v>103</v>
      </c>
      <c r="B125" s="68">
        <v>9145</v>
      </c>
      <c r="C125" s="68">
        <v>0</v>
      </c>
      <c r="D125" s="68">
        <v>21140.799999999999</v>
      </c>
      <c r="E125" s="68">
        <v>1549.2</v>
      </c>
      <c r="F125" s="68">
        <v>3998</v>
      </c>
      <c r="G125" s="68">
        <v>9902</v>
      </c>
      <c r="H125" s="68">
        <v>0</v>
      </c>
      <c r="I125" s="68">
        <v>3835</v>
      </c>
      <c r="J125" s="68">
        <v>0</v>
      </c>
    </row>
    <row r="126" spans="1:10">
      <c r="A126" s="61" t="s">
        <v>104</v>
      </c>
      <c r="B126" s="68">
        <v>104600</v>
      </c>
      <c r="C126" s="68">
        <v>0</v>
      </c>
      <c r="D126" s="68">
        <v>122670</v>
      </c>
      <c r="E126" s="68">
        <v>81780</v>
      </c>
      <c r="F126" s="68">
        <v>39225</v>
      </c>
      <c r="G126" s="68">
        <v>23535</v>
      </c>
      <c r="H126" s="68">
        <v>15690</v>
      </c>
      <c r="I126" s="68">
        <v>0</v>
      </c>
      <c r="J126" s="68">
        <v>0</v>
      </c>
    </row>
    <row r="127" spans="1:10">
      <c r="A127" s="61" t="s">
        <v>105</v>
      </c>
      <c r="B127" s="68">
        <v>54057.692307692305</v>
      </c>
      <c r="C127" s="68">
        <v>0</v>
      </c>
      <c r="D127" s="68">
        <v>28437.499999999996</v>
      </c>
      <c r="E127" s="68">
        <v>5110.5769230769229</v>
      </c>
      <c r="F127" s="68">
        <v>18769.230769230773</v>
      </c>
      <c r="G127" s="68">
        <v>14716.346153846156</v>
      </c>
      <c r="H127" s="68">
        <v>836.53846153846155</v>
      </c>
      <c r="I127" s="68">
        <v>7644.2307692307695</v>
      </c>
      <c r="J127" s="68">
        <v>1983.1730769230771</v>
      </c>
    </row>
    <row r="128" spans="1:10">
      <c r="A128" s="61" t="s">
        <v>226</v>
      </c>
      <c r="B128" s="68">
        <v>60583.333333333343</v>
      </c>
      <c r="C128" s="68">
        <v>0</v>
      </c>
      <c r="D128" s="68">
        <v>42233.333333333328</v>
      </c>
      <c r="E128" s="68">
        <v>8274.9999999999982</v>
      </c>
      <c r="F128" s="68">
        <v>24574.999999999996</v>
      </c>
      <c r="G128" s="68">
        <v>20216.666666666664</v>
      </c>
      <c r="H128" s="68">
        <v>1283.3333333333333</v>
      </c>
      <c r="I128" s="68">
        <v>10916.666666666664</v>
      </c>
      <c r="J128" s="68">
        <v>3250</v>
      </c>
    </row>
    <row r="129" spans="1:10">
      <c r="A129" s="72" t="s">
        <v>106</v>
      </c>
      <c r="B129" s="67">
        <f>+SUM(B130:B132)</f>
        <v>3000</v>
      </c>
      <c r="C129" s="67">
        <f t="shared" ref="C129:J129" si="23">+SUM(C130:C132)</f>
        <v>0</v>
      </c>
      <c r="D129" s="67">
        <f t="shared" si="23"/>
        <v>0</v>
      </c>
      <c r="E129" s="67">
        <f t="shared" si="23"/>
        <v>0</v>
      </c>
      <c r="F129" s="67">
        <f t="shared" si="23"/>
        <v>0</v>
      </c>
      <c r="G129" s="67">
        <f t="shared" si="23"/>
        <v>0</v>
      </c>
      <c r="H129" s="67">
        <f t="shared" si="23"/>
        <v>0</v>
      </c>
      <c r="I129" s="67">
        <f t="shared" si="23"/>
        <v>0</v>
      </c>
      <c r="J129" s="67">
        <f t="shared" si="23"/>
        <v>0</v>
      </c>
    </row>
    <row r="130" spans="1:10">
      <c r="A130" s="61" t="s">
        <v>107</v>
      </c>
      <c r="B130" s="68">
        <v>3000</v>
      </c>
      <c r="C130" s="68">
        <v>0</v>
      </c>
      <c r="D130" s="68">
        <v>0</v>
      </c>
      <c r="E130" s="68">
        <v>0</v>
      </c>
      <c r="F130" s="68">
        <v>0</v>
      </c>
      <c r="G130" s="68">
        <v>0</v>
      </c>
      <c r="H130" s="68">
        <v>0</v>
      </c>
      <c r="I130" s="68">
        <v>0</v>
      </c>
      <c r="J130" s="68">
        <v>0</v>
      </c>
    </row>
    <row r="131" spans="1:10">
      <c r="A131" s="61" t="s">
        <v>108</v>
      </c>
      <c r="B131" s="68">
        <v>0</v>
      </c>
      <c r="C131" s="68">
        <v>0</v>
      </c>
      <c r="D131" s="68">
        <v>0</v>
      </c>
      <c r="E131" s="68">
        <v>0</v>
      </c>
      <c r="F131" s="68">
        <v>0</v>
      </c>
      <c r="G131" s="68">
        <v>0</v>
      </c>
      <c r="H131" s="68">
        <v>0</v>
      </c>
      <c r="I131" s="68">
        <v>0</v>
      </c>
      <c r="J131" s="68">
        <v>0</v>
      </c>
    </row>
    <row r="132" spans="1:10">
      <c r="A132" s="61" t="s">
        <v>109</v>
      </c>
      <c r="B132" s="68">
        <v>0</v>
      </c>
      <c r="C132" s="68">
        <v>0</v>
      </c>
      <c r="D132" s="68">
        <v>0</v>
      </c>
      <c r="E132" s="68">
        <v>0</v>
      </c>
      <c r="F132" s="68">
        <v>0</v>
      </c>
      <c r="G132" s="68">
        <v>0</v>
      </c>
      <c r="H132" s="68">
        <v>0</v>
      </c>
      <c r="I132" s="68">
        <v>0</v>
      </c>
      <c r="J132" s="68">
        <v>0</v>
      </c>
    </row>
    <row r="133" spans="1:10">
      <c r="A133" s="72" t="s">
        <v>110</v>
      </c>
      <c r="B133" s="67">
        <f>+SUM(B134:B137)</f>
        <v>158255.67799999999</v>
      </c>
      <c r="C133" s="67">
        <f t="shared" ref="C133:J133" si="24">+SUM(C134:C137)</f>
        <v>0</v>
      </c>
      <c r="D133" s="67">
        <f t="shared" si="24"/>
        <v>102126.18060000001</v>
      </c>
      <c r="E133" s="67">
        <f t="shared" si="24"/>
        <v>1963.9404</v>
      </c>
      <c r="F133" s="67">
        <f t="shared" si="24"/>
        <v>18923.125500000002</v>
      </c>
      <c r="G133" s="67">
        <f t="shared" si="24"/>
        <v>5362.9552999999996</v>
      </c>
      <c r="H133" s="67">
        <f t="shared" si="24"/>
        <v>981.97019999999998</v>
      </c>
      <c r="I133" s="67">
        <f t="shared" si="24"/>
        <v>6310.28</v>
      </c>
      <c r="J133" s="67">
        <f t="shared" si="24"/>
        <v>0</v>
      </c>
    </row>
    <row r="134" spans="1:10">
      <c r="A134" s="61" t="s">
        <v>111</v>
      </c>
      <c r="B134" s="68">
        <v>0</v>
      </c>
      <c r="C134" s="68">
        <v>0</v>
      </c>
      <c r="D134" s="68">
        <v>0</v>
      </c>
      <c r="E134" s="68">
        <v>0</v>
      </c>
      <c r="F134" s="68">
        <v>0</v>
      </c>
      <c r="G134" s="68">
        <v>0</v>
      </c>
      <c r="H134" s="68">
        <v>0</v>
      </c>
      <c r="I134" s="68">
        <v>0</v>
      </c>
      <c r="J134" s="68">
        <v>0</v>
      </c>
    </row>
    <row r="135" spans="1:10">
      <c r="A135" s="61" t="s">
        <v>112</v>
      </c>
      <c r="B135" s="68">
        <v>158255.67799999999</v>
      </c>
      <c r="C135" s="68">
        <v>0</v>
      </c>
      <c r="D135" s="68">
        <v>102126.18060000001</v>
      </c>
      <c r="E135" s="68">
        <v>1963.9404</v>
      </c>
      <c r="F135" s="68">
        <v>18923.125500000002</v>
      </c>
      <c r="G135" s="68">
        <v>5362.9552999999996</v>
      </c>
      <c r="H135" s="68">
        <v>981.97019999999998</v>
      </c>
      <c r="I135" s="68">
        <v>6310.28</v>
      </c>
      <c r="J135" s="68">
        <v>0</v>
      </c>
    </row>
    <row r="136" spans="1:10">
      <c r="A136" s="61" t="s">
        <v>113</v>
      </c>
      <c r="B136" s="68">
        <v>0</v>
      </c>
      <c r="C136" s="68">
        <v>0</v>
      </c>
      <c r="D136" s="68">
        <v>0</v>
      </c>
      <c r="E136" s="68">
        <v>0</v>
      </c>
      <c r="F136" s="68">
        <v>0</v>
      </c>
      <c r="G136" s="68">
        <v>0</v>
      </c>
      <c r="H136" s="68">
        <v>0</v>
      </c>
      <c r="I136" s="68">
        <v>0</v>
      </c>
      <c r="J136" s="68">
        <v>0</v>
      </c>
    </row>
    <row r="137" spans="1:10">
      <c r="A137" s="61" t="s">
        <v>114</v>
      </c>
      <c r="B137" s="68">
        <v>0</v>
      </c>
      <c r="C137" s="68">
        <v>0</v>
      </c>
      <c r="D137" s="68">
        <v>0</v>
      </c>
      <c r="E137" s="68">
        <v>0</v>
      </c>
      <c r="F137" s="68">
        <v>0</v>
      </c>
      <c r="G137" s="68">
        <v>0</v>
      </c>
      <c r="H137" s="68">
        <v>0</v>
      </c>
      <c r="I137" s="68">
        <v>0</v>
      </c>
      <c r="J137" s="68">
        <v>0</v>
      </c>
    </row>
    <row r="138" spans="1:10">
      <c r="A138" s="72" t="s">
        <v>115</v>
      </c>
      <c r="B138" s="67">
        <f>+SUM(B139:B145)</f>
        <v>83813.45</v>
      </c>
      <c r="C138" s="67">
        <f t="shared" ref="C138:J138" si="25">+SUM(C139:C145)</f>
        <v>0</v>
      </c>
      <c r="D138" s="67">
        <f t="shared" si="25"/>
        <v>166708.25666666665</v>
      </c>
      <c r="E138" s="67">
        <f t="shared" si="25"/>
        <v>10890.31</v>
      </c>
      <c r="F138" s="67">
        <f t="shared" si="25"/>
        <v>68151.893333333326</v>
      </c>
      <c r="G138" s="67">
        <f t="shared" si="25"/>
        <v>68635.986666666679</v>
      </c>
      <c r="H138" s="67">
        <f t="shared" si="25"/>
        <v>14028.68</v>
      </c>
      <c r="I138" s="67">
        <f t="shared" si="25"/>
        <v>50263</v>
      </c>
      <c r="J138" s="67">
        <f t="shared" si="25"/>
        <v>0</v>
      </c>
    </row>
    <row r="139" spans="1:10">
      <c r="A139" s="61" t="s">
        <v>116</v>
      </c>
      <c r="B139" s="68">
        <v>0</v>
      </c>
      <c r="C139" s="68">
        <v>0</v>
      </c>
      <c r="D139" s="68">
        <v>500</v>
      </c>
      <c r="E139" s="68">
        <v>0</v>
      </c>
      <c r="F139" s="68">
        <v>0</v>
      </c>
      <c r="G139" s="68">
        <v>0</v>
      </c>
      <c r="H139" s="68">
        <v>0</v>
      </c>
      <c r="I139" s="68">
        <v>0</v>
      </c>
      <c r="J139" s="68">
        <v>0</v>
      </c>
    </row>
    <row r="140" spans="1:10">
      <c r="A140" s="61" t="s">
        <v>117</v>
      </c>
      <c r="B140" s="68">
        <v>30814.2</v>
      </c>
      <c r="C140" s="68">
        <v>0</v>
      </c>
      <c r="D140" s="68">
        <v>27179.84</v>
      </c>
      <c r="E140" s="68">
        <v>208.56</v>
      </c>
      <c r="F140" s="68">
        <v>8948.2000000000007</v>
      </c>
      <c r="G140" s="68">
        <v>3830.12</v>
      </c>
      <c r="H140" s="68">
        <v>2260.0800000000004</v>
      </c>
      <c r="I140" s="68">
        <v>10823</v>
      </c>
      <c r="J140" s="68">
        <v>0</v>
      </c>
    </row>
    <row r="141" spans="1:10">
      <c r="A141" s="61" t="s">
        <v>227</v>
      </c>
      <c r="B141" s="68">
        <v>0</v>
      </c>
      <c r="C141" s="68">
        <v>0</v>
      </c>
      <c r="D141" s="68">
        <v>49652</v>
      </c>
      <c r="E141" s="68">
        <v>0</v>
      </c>
      <c r="F141" s="68">
        <v>22500</v>
      </c>
      <c r="G141" s="68">
        <v>13500</v>
      </c>
      <c r="H141" s="68">
        <v>9000</v>
      </c>
      <c r="I141" s="68">
        <v>30000</v>
      </c>
      <c r="J141" s="68">
        <v>0</v>
      </c>
    </row>
    <row r="142" spans="1:10">
      <c r="A142" s="61" t="s">
        <v>228</v>
      </c>
      <c r="B142" s="68">
        <v>0</v>
      </c>
      <c r="C142" s="68">
        <v>0</v>
      </c>
      <c r="D142" s="68">
        <v>0</v>
      </c>
      <c r="E142" s="68">
        <v>0</v>
      </c>
      <c r="F142" s="68">
        <v>9731.86</v>
      </c>
      <c r="G142" s="68">
        <v>36853.700000000004</v>
      </c>
      <c r="H142" s="68">
        <v>303.60000000000002</v>
      </c>
      <c r="I142" s="68">
        <v>0</v>
      </c>
      <c r="J142" s="68">
        <v>0</v>
      </c>
    </row>
    <row r="143" spans="1:10">
      <c r="A143" s="61" t="s">
        <v>118</v>
      </c>
      <c r="B143" s="68">
        <v>10000</v>
      </c>
      <c r="C143" s="68">
        <v>0</v>
      </c>
      <c r="D143" s="68">
        <v>0</v>
      </c>
      <c r="E143" s="68">
        <v>0</v>
      </c>
      <c r="F143" s="68">
        <v>0</v>
      </c>
      <c r="G143" s="68">
        <v>0</v>
      </c>
      <c r="H143" s="68">
        <v>0</v>
      </c>
      <c r="I143" s="68">
        <v>0</v>
      </c>
      <c r="J143" s="68">
        <v>0</v>
      </c>
    </row>
    <row r="144" spans="1:10">
      <c r="A144" s="61" t="s">
        <v>119</v>
      </c>
      <c r="B144" s="68">
        <v>36529.25</v>
      </c>
      <c r="C144" s="68">
        <v>0</v>
      </c>
      <c r="D144" s="68">
        <v>49201.416666666664</v>
      </c>
      <c r="E144" s="68">
        <v>10681.75</v>
      </c>
      <c r="F144" s="68">
        <v>26971.833333333332</v>
      </c>
      <c r="G144" s="68">
        <v>14452.166666666666</v>
      </c>
      <c r="H144" s="68">
        <v>2465</v>
      </c>
      <c r="I144" s="68">
        <v>0</v>
      </c>
      <c r="J144" s="68">
        <v>0</v>
      </c>
    </row>
    <row r="145" spans="1:10">
      <c r="A145" s="61" t="s">
        <v>120</v>
      </c>
      <c r="B145" s="68">
        <v>6470</v>
      </c>
      <c r="C145" s="68">
        <v>0</v>
      </c>
      <c r="D145" s="68">
        <v>40175</v>
      </c>
      <c r="E145" s="68">
        <v>0</v>
      </c>
      <c r="F145" s="68">
        <v>0</v>
      </c>
      <c r="G145" s="68">
        <v>0</v>
      </c>
      <c r="H145" s="68">
        <v>0</v>
      </c>
      <c r="I145" s="68">
        <v>9440</v>
      </c>
      <c r="J145" s="68">
        <v>0</v>
      </c>
    </row>
    <row r="146" spans="1:10">
      <c r="A146" s="72" t="s">
        <v>121</v>
      </c>
      <c r="B146" s="67">
        <f>+SUM(B147:B149)</f>
        <v>80342</v>
      </c>
      <c r="C146" s="67">
        <f t="shared" ref="C146:J146" si="26">+SUM(C147:C149)</f>
        <v>0</v>
      </c>
      <c r="D146" s="67">
        <f t="shared" si="26"/>
        <v>34781</v>
      </c>
      <c r="E146" s="67">
        <f t="shared" si="26"/>
        <v>0</v>
      </c>
      <c r="F146" s="67">
        <f t="shared" si="26"/>
        <v>33829</v>
      </c>
      <c r="G146" s="67">
        <f t="shared" si="26"/>
        <v>48015</v>
      </c>
      <c r="H146" s="67">
        <f t="shared" si="26"/>
        <v>0</v>
      </c>
      <c r="I146" s="67">
        <f t="shared" si="26"/>
        <v>6041</v>
      </c>
      <c r="J146" s="67">
        <f t="shared" si="26"/>
        <v>0</v>
      </c>
    </row>
    <row r="147" spans="1:10">
      <c r="A147" s="61" t="s">
        <v>122</v>
      </c>
      <c r="B147" s="68">
        <v>0</v>
      </c>
      <c r="C147" s="68">
        <v>0</v>
      </c>
      <c r="D147" s="68">
        <v>0</v>
      </c>
      <c r="E147" s="68">
        <v>0</v>
      </c>
      <c r="F147" s="68">
        <v>0</v>
      </c>
      <c r="G147" s="68">
        <v>0</v>
      </c>
      <c r="H147" s="68">
        <v>0</v>
      </c>
      <c r="I147" s="68">
        <v>0</v>
      </c>
      <c r="J147" s="68">
        <v>0</v>
      </c>
    </row>
    <row r="148" spans="1:10">
      <c r="A148" s="61" t="s">
        <v>123</v>
      </c>
      <c r="B148" s="68">
        <v>80342</v>
      </c>
      <c r="C148" s="68">
        <v>0</v>
      </c>
      <c r="D148" s="68">
        <v>34781</v>
      </c>
      <c r="E148" s="68">
        <v>0</v>
      </c>
      <c r="F148" s="68">
        <v>33829</v>
      </c>
      <c r="G148" s="68">
        <v>48015</v>
      </c>
      <c r="H148" s="68">
        <v>0</v>
      </c>
      <c r="I148" s="68">
        <v>6041</v>
      </c>
      <c r="J148" s="68">
        <v>0</v>
      </c>
    </row>
    <row r="149" spans="1:10">
      <c r="A149" s="61" t="s">
        <v>124</v>
      </c>
      <c r="B149" s="68">
        <v>0</v>
      </c>
      <c r="C149" s="68">
        <v>0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</row>
    <row r="150" spans="1:10">
      <c r="A150" s="72" t="s">
        <v>125</v>
      </c>
      <c r="B150" s="67">
        <f>+SUM(B151:B154)</f>
        <v>151405</v>
      </c>
      <c r="C150" s="67">
        <f t="shared" ref="C150:J150" si="27">+SUM(C151:C154)</f>
        <v>0</v>
      </c>
      <c r="D150" s="67">
        <f t="shared" si="27"/>
        <v>89642.2</v>
      </c>
      <c r="E150" s="67">
        <f t="shared" si="27"/>
        <v>35120.800000000003</v>
      </c>
      <c r="F150" s="67">
        <f t="shared" si="27"/>
        <v>58879.5</v>
      </c>
      <c r="G150" s="67">
        <f t="shared" si="27"/>
        <v>35327.699999999997</v>
      </c>
      <c r="H150" s="67">
        <f t="shared" si="27"/>
        <v>23551.8</v>
      </c>
      <c r="I150" s="67">
        <f t="shared" si="27"/>
        <v>82098</v>
      </c>
      <c r="J150" s="67">
        <f t="shared" si="27"/>
        <v>0</v>
      </c>
    </row>
    <row r="151" spans="1:10">
      <c r="A151" s="61" t="s">
        <v>126</v>
      </c>
      <c r="B151" s="68">
        <v>82844</v>
      </c>
      <c r="C151" s="68">
        <v>0</v>
      </c>
      <c r="D151" s="68">
        <v>52681.2</v>
      </c>
      <c r="E151" s="68">
        <v>35120.800000000003</v>
      </c>
      <c r="F151" s="68">
        <v>39599</v>
      </c>
      <c r="G151" s="68">
        <v>23759.399999999998</v>
      </c>
      <c r="H151" s="68">
        <v>15839.6</v>
      </c>
      <c r="I151" s="68">
        <v>60837</v>
      </c>
      <c r="J151" s="68">
        <v>0</v>
      </c>
    </row>
    <row r="152" spans="1:10">
      <c r="A152" s="61" t="s">
        <v>229</v>
      </c>
      <c r="B152" s="68">
        <v>4961</v>
      </c>
      <c r="C152" s="68">
        <v>0</v>
      </c>
      <c r="D152" s="68">
        <v>4961</v>
      </c>
      <c r="E152" s="68">
        <v>0</v>
      </c>
      <c r="F152" s="68">
        <v>2480.5</v>
      </c>
      <c r="G152" s="68">
        <v>1488.3</v>
      </c>
      <c r="H152" s="68">
        <v>992.2</v>
      </c>
      <c r="I152" s="68">
        <v>4961</v>
      </c>
      <c r="J152" s="68">
        <v>0</v>
      </c>
    </row>
    <row r="153" spans="1:10">
      <c r="A153" s="61" t="s">
        <v>127</v>
      </c>
      <c r="B153" s="68">
        <v>63000</v>
      </c>
      <c r="C153" s="68">
        <v>0</v>
      </c>
      <c r="D153" s="68">
        <v>32000</v>
      </c>
      <c r="E153" s="68">
        <v>0</v>
      </c>
      <c r="F153" s="68">
        <v>16000</v>
      </c>
      <c r="G153" s="68">
        <v>9600</v>
      </c>
      <c r="H153" s="68">
        <v>6400</v>
      </c>
      <c r="I153" s="68">
        <v>16000</v>
      </c>
      <c r="J153" s="68">
        <v>0</v>
      </c>
    </row>
    <row r="154" spans="1:10">
      <c r="A154" s="61" t="s">
        <v>128</v>
      </c>
      <c r="B154" s="68">
        <v>600</v>
      </c>
      <c r="C154" s="68">
        <v>0</v>
      </c>
      <c r="D154" s="68">
        <v>0</v>
      </c>
      <c r="E154" s="68">
        <v>0</v>
      </c>
      <c r="F154" s="68">
        <v>800</v>
      </c>
      <c r="G154" s="68">
        <v>480</v>
      </c>
      <c r="H154" s="68">
        <v>320</v>
      </c>
      <c r="I154" s="68">
        <v>300</v>
      </c>
      <c r="J154" s="68">
        <v>0</v>
      </c>
    </row>
    <row r="155" spans="1:10">
      <c r="A155" s="60"/>
      <c r="B155" s="68"/>
      <c r="C155" s="68"/>
      <c r="D155" s="68"/>
      <c r="E155" s="68"/>
      <c r="F155" s="68"/>
      <c r="G155" s="68"/>
      <c r="H155" s="68"/>
      <c r="I155" s="69"/>
      <c r="J155" s="69"/>
    </row>
    <row r="156" spans="1:10" ht="17.25">
      <c r="A156" s="71" t="s">
        <v>129</v>
      </c>
      <c r="B156" s="67">
        <f>+B157+B164+B172+B178+B182+B187+B193+B205+B209+B214</f>
        <v>999716.87049999996</v>
      </c>
      <c r="C156" s="67">
        <f t="shared" ref="C156:J156" si="28">+C157+C164+C172+C178+C182+C187+C193+C205+C209+C214</f>
        <v>0</v>
      </c>
      <c r="D156" s="67">
        <f t="shared" si="28"/>
        <v>783639.17960000003</v>
      </c>
      <c r="E156" s="67">
        <f t="shared" si="28"/>
        <v>349546.58640000003</v>
      </c>
      <c r="F156" s="67">
        <f t="shared" si="28"/>
        <v>459267.01299999998</v>
      </c>
      <c r="G156" s="67">
        <f t="shared" si="28"/>
        <v>440970.46780000004</v>
      </c>
      <c r="H156" s="67">
        <f t="shared" si="28"/>
        <v>128509.92520000001</v>
      </c>
      <c r="I156" s="67">
        <f t="shared" si="28"/>
        <v>843307.8</v>
      </c>
      <c r="J156" s="67">
        <f t="shared" si="28"/>
        <v>179250</v>
      </c>
    </row>
    <row r="157" spans="1:10">
      <c r="A157" s="72" t="s">
        <v>130</v>
      </c>
      <c r="B157" s="67">
        <f>+SUM(B158:B162)</f>
        <v>156083.86599999998</v>
      </c>
      <c r="C157" s="67">
        <f t="shared" ref="C157:J157" si="29">+SUM(C158:C162)</f>
        <v>0</v>
      </c>
      <c r="D157" s="67">
        <f t="shared" si="29"/>
        <v>138697.01020000002</v>
      </c>
      <c r="E157" s="67">
        <f t="shared" si="29"/>
        <v>21966.426800000001</v>
      </c>
      <c r="F157" s="67">
        <f t="shared" si="29"/>
        <v>63905.508499999996</v>
      </c>
      <c r="G157" s="67">
        <f t="shared" si="29"/>
        <v>229016.4651</v>
      </c>
      <c r="H157" s="67">
        <f t="shared" si="29"/>
        <v>5562.2034000000003</v>
      </c>
      <c r="I157" s="67">
        <f t="shared" si="29"/>
        <v>29130</v>
      </c>
      <c r="J157" s="67">
        <f t="shared" si="29"/>
        <v>0</v>
      </c>
    </row>
    <row r="158" spans="1:10">
      <c r="A158" s="61" t="s">
        <v>131</v>
      </c>
      <c r="B158" s="68">
        <v>0</v>
      </c>
      <c r="C158" s="68">
        <v>0</v>
      </c>
      <c r="D158" s="68">
        <v>0</v>
      </c>
      <c r="E158" s="68">
        <v>0</v>
      </c>
      <c r="F158" s="68">
        <v>0</v>
      </c>
      <c r="G158" s="68">
        <v>165000</v>
      </c>
      <c r="H158" s="68">
        <v>0</v>
      </c>
      <c r="I158" s="68">
        <v>0</v>
      </c>
      <c r="J158" s="68">
        <v>0</v>
      </c>
    </row>
    <row r="159" spans="1:10">
      <c r="A159" s="61" t="s">
        <v>132</v>
      </c>
      <c r="B159" s="68">
        <v>0</v>
      </c>
      <c r="C159" s="68">
        <v>0</v>
      </c>
      <c r="D159" s="68">
        <v>0</v>
      </c>
      <c r="E159" s="68">
        <v>0</v>
      </c>
      <c r="F159" s="68">
        <v>0</v>
      </c>
      <c r="G159" s="68">
        <v>0</v>
      </c>
      <c r="H159" s="68">
        <v>0</v>
      </c>
      <c r="I159" s="68">
        <v>0</v>
      </c>
      <c r="J159" s="68">
        <v>0</v>
      </c>
    </row>
    <row r="160" spans="1:10">
      <c r="A160" s="61" t="s">
        <v>133</v>
      </c>
      <c r="B160" s="68">
        <v>60165.14</v>
      </c>
      <c r="C160" s="68">
        <v>0</v>
      </c>
      <c r="D160" s="68">
        <v>681</v>
      </c>
      <c r="E160" s="68">
        <v>0</v>
      </c>
      <c r="F160" s="68">
        <v>340.5</v>
      </c>
      <c r="G160" s="68">
        <v>204.29999999999998</v>
      </c>
      <c r="H160" s="68">
        <v>136.20000000000002</v>
      </c>
      <c r="I160" s="68">
        <v>0</v>
      </c>
      <c r="J160" s="68">
        <v>0</v>
      </c>
    </row>
    <row r="161" spans="1:10">
      <c r="A161" s="61" t="s">
        <v>134</v>
      </c>
      <c r="B161" s="68">
        <v>9520</v>
      </c>
      <c r="C161" s="68">
        <v>0</v>
      </c>
      <c r="D161" s="68">
        <v>7555</v>
      </c>
      <c r="E161" s="68">
        <v>7250.01</v>
      </c>
      <c r="F161" s="68">
        <v>45000</v>
      </c>
      <c r="G161" s="68">
        <v>49773.16</v>
      </c>
      <c r="H161" s="68">
        <v>0</v>
      </c>
      <c r="I161" s="68">
        <v>0</v>
      </c>
      <c r="J161" s="68">
        <v>0</v>
      </c>
    </row>
    <row r="162" spans="1:10">
      <c r="A162" s="61" t="s">
        <v>135</v>
      </c>
      <c r="B162" s="68">
        <v>86398.725999999995</v>
      </c>
      <c r="C162" s="68">
        <v>0</v>
      </c>
      <c r="D162" s="68">
        <v>130461.0102</v>
      </c>
      <c r="E162" s="68">
        <v>14716.416800000001</v>
      </c>
      <c r="F162" s="68">
        <v>18565.0085</v>
      </c>
      <c r="G162" s="68">
        <v>14039.005099999998</v>
      </c>
      <c r="H162" s="68">
        <v>5426.0034000000005</v>
      </c>
      <c r="I162" s="68">
        <v>29130</v>
      </c>
      <c r="J162" s="68">
        <v>0</v>
      </c>
    </row>
    <row r="163" spans="1:10">
      <c r="A163" s="60"/>
      <c r="B163" s="68"/>
      <c r="C163" s="68"/>
      <c r="D163" s="68"/>
      <c r="E163" s="68"/>
      <c r="F163" s="68"/>
      <c r="G163" s="68"/>
      <c r="H163" s="68"/>
      <c r="I163" s="69"/>
      <c r="J163" s="69"/>
    </row>
    <row r="164" spans="1:10">
      <c r="A164" s="72" t="s">
        <v>136</v>
      </c>
      <c r="B164" s="67">
        <f>+SUM(B165:B171)</f>
        <v>76540.665999999997</v>
      </c>
      <c r="C164" s="67">
        <f t="shared" ref="C164:J164" si="30">+SUM(C165:C171)</f>
        <v>0</v>
      </c>
      <c r="D164" s="67">
        <f t="shared" si="30"/>
        <v>44506.336199999998</v>
      </c>
      <c r="E164" s="67">
        <f t="shared" si="30"/>
        <v>7854.2708000000002</v>
      </c>
      <c r="F164" s="67">
        <f t="shared" si="30"/>
        <v>6737.6084999999994</v>
      </c>
      <c r="G164" s="67">
        <f t="shared" si="30"/>
        <v>4042.5650999999998</v>
      </c>
      <c r="H164" s="67">
        <f t="shared" si="30"/>
        <v>2695.0433999999996</v>
      </c>
      <c r="I164" s="67">
        <f t="shared" si="30"/>
        <v>8237</v>
      </c>
      <c r="J164" s="67">
        <f t="shared" si="30"/>
        <v>0</v>
      </c>
    </row>
    <row r="165" spans="1:10">
      <c r="A165" s="61" t="s">
        <v>137</v>
      </c>
      <c r="B165" s="68">
        <v>14801.6</v>
      </c>
      <c r="C165" s="68">
        <v>0</v>
      </c>
      <c r="D165" s="68">
        <v>11856.805999999999</v>
      </c>
      <c r="E165" s="68">
        <v>6904.6639999999998</v>
      </c>
      <c r="F165" s="68">
        <v>5550.5999999999995</v>
      </c>
      <c r="G165" s="68">
        <v>3330.3599999999997</v>
      </c>
      <c r="H165" s="68">
        <v>2220.2399999999998</v>
      </c>
      <c r="I165" s="68">
        <v>0</v>
      </c>
      <c r="J165" s="68">
        <v>0</v>
      </c>
    </row>
    <row r="166" spans="1:10">
      <c r="A166" s="61" t="s">
        <v>138</v>
      </c>
      <c r="B166" s="68">
        <v>0</v>
      </c>
      <c r="C166" s="68">
        <v>0</v>
      </c>
      <c r="D166" s="68">
        <v>30825.119999999999</v>
      </c>
      <c r="E166" s="68">
        <v>0</v>
      </c>
      <c r="F166" s="68">
        <v>0</v>
      </c>
      <c r="G166" s="68">
        <v>0</v>
      </c>
      <c r="H166" s="68">
        <v>0</v>
      </c>
      <c r="I166" s="68">
        <v>8237</v>
      </c>
      <c r="J166" s="68">
        <v>0</v>
      </c>
    </row>
    <row r="167" spans="1:10">
      <c r="A167" s="61" t="s">
        <v>139</v>
      </c>
      <c r="B167" s="68">
        <v>0</v>
      </c>
      <c r="C167" s="68">
        <v>0</v>
      </c>
      <c r="D167" s="68">
        <v>0</v>
      </c>
      <c r="E167" s="68">
        <v>0</v>
      </c>
      <c r="F167" s="68">
        <v>0</v>
      </c>
      <c r="G167" s="68">
        <v>0</v>
      </c>
      <c r="H167" s="68">
        <v>0</v>
      </c>
      <c r="I167" s="68">
        <v>0</v>
      </c>
      <c r="J167" s="68">
        <v>0</v>
      </c>
    </row>
    <row r="168" spans="1:10">
      <c r="A168" s="61" t="s">
        <v>140</v>
      </c>
      <c r="B168" s="68">
        <v>30887.439999999999</v>
      </c>
      <c r="C168" s="68">
        <v>0</v>
      </c>
      <c r="D168" s="68">
        <v>400</v>
      </c>
      <c r="E168" s="68">
        <v>0</v>
      </c>
      <c r="F168" s="68">
        <v>0</v>
      </c>
      <c r="G168" s="68">
        <v>0</v>
      </c>
      <c r="H168" s="68">
        <v>0</v>
      </c>
      <c r="I168" s="68">
        <v>0</v>
      </c>
      <c r="J168" s="68">
        <v>0</v>
      </c>
    </row>
    <row r="169" spans="1:10">
      <c r="A169" s="61" t="s">
        <v>141</v>
      </c>
      <c r="B169" s="68">
        <v>0</v>
      </c>
      <c r="C169" s="68">
        <v>0</v>
      </c>
      <c r="D169" s="68">
        <v>0</v>
      </c>
      <c r="E169" s="68">
        <v>0</v>
      </c>
      <c r="F169" s="68">
        <v>0</v>
      </c>
      <c r="G169" s="68">
        <v>0</v>
      </c>
      <c r="H169" s="68">
        <v>0</v>
      </c>
      <c r="I169" s="68">
        <v>0</v>
      </c>
      <c r="J169" s="68">
        <v>0</v>
      </c>
    </row>
    <row r="170" spans="1:10">
      <c r="A170" s="61" t="s">
        <v>142</v>
      </c>
      <c r="B170" s="68">
        <v>30851.626</v>
      </c>
      <c r="C170" s="68">
        <v>0</v>
      </c>
      <c r="D170" s="68">
        <v>1424.4101999999998</v>
      </c>
      <c r="E170" s="68">
        <v>949.60680000000002</v>
      </c>
      <c r="F170" s="68">
        <v>1187.0084999999999</v>
      </c>
      <c r="G170" s="68">
        <v>712.2050999999999</v>
      </c>
      <c r="H170" s="68">
        <v>474.80340000000001</v>
      </c>
      <c r="I170" s="68">
        <v>0</v>
      </c>
      <c r="J170" s="68">
        <v>0</v>
      </c>
    </row>
    <row r="171" spans="1:10">
      <c r="A171" s="61" t="s">
        <v>143</v>
      </c>
      <c r="B171" s="68">
        <v>0</v>
      </c>
      <c r="C171" s="68">
        <v>0</v>
      </c>
      <c r="D171" s="68">
        <v>0</v>
      </c>
      <c r="E171" s="68">
        <v>0</v>
      </c>
      <c r="F171" s="68">
        <v>0</v>
      </c>
      <c r="G171" s="68">
        <v>0</v>
      </c>
      <c r="H171" s="68">
        <v>0</v>
      </c>
      <c r="I171" s="68">
        <v>0</v>
      </c>
      <c r="J171" s="68">
        <v>0</v>
      </c>
    </row>
    <row r="172" spans="1:10">
      <c r="A172" s="72" t="s">
        <v>144</v>
      </c>
      <c r="B172" s="67">
        <f>+SUM(B173:B177)</f>
        <v>49117.64</v>
      </c>
      <c r="C172" s="67">
        <f t="shared" ref="C172:J172" si="31">+SUM(C173:C177)</f>
        <v>0</v>
      </c>
      <c r="D172" s="67">
        <f t="shared" si="31"/>
        <v>199130.04</v>
      </c>
      <c r="E172" s="67">
        <f t="shared" si="31"/>
        <v>23225.24</v>
      </c>
      <c r="F172" s="67">
        <f t="shared" si="31"/>
        <v>20372.05</v>
      </c>
      <c r="G172" s="67">
        <f t="shared" si="31"/>
        <v>12223.23</v>
      </c>
      <c r="H172" s="67">
        <f t="shared" si="31"/>
        <v>8148.82</v>
      </c>
      <c r="I172" s="67">
        <f t="shared" si="31"/>
        <v>0</v>
      </c>
      <c r="J172" s="67">
        <f t="shared" si="31"/>
        <v>0</v>
      </c>
    </row>
    <row r="173" spans="1:10">
      <c r="A173" s="61" t="s">
        <v>145</v>
      </c>
      <c r="B173" s="68">
        <v>20150</v>
      </c>
      <c r="C173" s="68">
        <v>0</v>
      </c>
      <c r="D173" s="68">
        <v>32700</v>
      </c>
      <c r="E173" s="68">
        <v>21800</v>
      </c>
      <c r="F173" s="68">
        <v>18000</v>
      </c>
      <c r="G173" s="68">
        <v>10800</v>
      </c>
      <c r="H173" s="68">
        <v>7200</v>
      </c>
      <c r="I173" s="68">
        <v>0</v>
      </c>
      <c r="J173" s="68">
        <v>0</v>
      </c>
    </row>
    <row r="174" spans="1:10">
      <c r="A174" s="61" t="s">
        <v>146</v>
      </c>
      <c r="B174" s="68">
        <v>0</v>
      </c>
      <c r="C174" s="68">
        <v>0</v>
      </c>
      <c r="D174" s="68">
        <v>0</v>
      </c>
      <c r="E174" s="68">
        <v>0</v>
      </c>
      <c r="F174" s="68">
        <v>0</v>
      </c>
      <c r="G174" s="68">
        <v>0</v>
      </c>
      <c r="H174" s="68">
        <v>0</v>
      </c>
      <c r="I174" s="68">
        <v>0</v>
      </c>
      <c r="J174" s="68">
        <v>0</v>
      </c>
    </row>
    <row r="175" spans="1:10">
      <c r="A175" s="61" t="s">
        <v>230</v>
      </c>
      <c r="B175" s="68">
        <v>0</v>
      </c>
      <c r="C175" s="68">
        <v>0</v>
      </c>
      <c r="D175" s="68">
        <v>124641</v>
      </c>
      <c r="E175" s="68">
        <v>0</v>
      </c>
      <c r="F175" s="68">
        <v>0</v>
      </c>
      <c r="G175" s="68">
        <v>0</v>
      </c>
      <c r="H175" s="68">
        <v>0</v>
      </c>
      <c r="I175" s="68">
        <v>0</v>
      </c>
      <c r="J175" s="68">
        <v>0</v>
      </c>
    </row>
    <row r="176" spans="1:10">
      <c r="A176" s="61" t="s">
        <v>231</v>
      </c>
      <c r="B176" s="68">
        <v>0</v>
      </c>
      <c r="C176" s="68">
        <v>0</v>
      </c>
      <c r="D176" s="68">
        <v>38471</v>
      </c>
      <c r="E176" s="68">
        <v>0</v>
      </c>
      <c r="F176" s="68">
        <v>0</v>
      </c>
      <c r="G176" s="68">
        <v>0</v>
      </c>
      <c r="H176" s="68">
        <v>0</v>
      </c>
      <c r="I176" s="68">
        <v>0</v>
      </c>
      <c r="J176" s="68">
        <v>0</v>
      </c>
    </row>
    <row r="177" spans="1:10">
      <c r="A177" s="61" t="s">
        <v>232</v>
      </c>
      <c r="B177" s="68">
        <v>28967.64</v>
      </c>
      <c r="C177" s="68">
        <v>0</v>
      </c>
      <c r="D177" s="68">
        <v>3318.04</v>
      </c>
      <c r="E177" s="68">
        <v>1425.24</v>
      </c>
      <c r="F177" s="68">
        <v>2372.0500000000002</v>
      </c>
      <c r="G177" s="68">
        <v>1423.2299999999998</v>
      </c>
      <c r="H177" s="68">
        <v>948.82</v>
      </c>
      <c r="I177" s="68">
        <v>0</v>
      </c>
      <c r="J177" s="68">
        <v>0</v>
      </c>
    </row>
    <row r="178" spans="1:10">
      <c r="A178" s="72" t="s">
        <v>147</v>
      </c>
      <c r="B178" s="67">
        <f>+SUM(B179:B181)</f>
        <v>191651</v>
      </c>
      <c r="C178" s="67">
        <f t="shared" ref="C178:J178" si="32">+SUM(C179:C181)</f>
        <v>0</v>
      </c>
      <c r="D178" s="67">
        <f t="shared" si="32"/>
        <v>95724.054000000004</v>
      </c>
      <c r="E178" s="67">
        <f t="shared" si="32"/>
        <v>63816.036</v>
      </c>
      <c r="F178" s="67">
        <f t="shared" si="32"/>
        <v>106818</v>
      </c>
      <c r="G178" s="67">
        <f t="shared" si="32"/>
        <v>89290.799999999988</v>
      </c>
      <c r="H178" s="67">
        <f t="shared" si="32"/>
        <v>42727.200000000004</v>
      </c>
      <c r="I178" s="67">
        <f t="shared" si="32"/>
        <v>301257</v>
      </c>
      <c r="J178" s="67">
        <f t="shared" si="32"/>
        <v>0</v>
      </c>
    </row>
    <row r="179" spans="1:10">
      <c r="A179" s="61" t="s">
        <v>148</v>
      </c>
      <c r="B179" s="68">
        <v>191651</v>
      </c>
      <c r="C179" s="68">
        <v>0</v>
      </c>
      <c r="D179" s="68">
        <v>91393.2</v>
      </c>
      <c r="E179" s="68">
        <v>60928.800000000003</v>
      </c>
      <c r="F179" s="68">
        <v>106818</v>
      </c>
      <c r="G179" s="68">
        <v>64090.799999999996</v>
      </c>
      <c r="H179" s="68">
        <v>42727.200000000004</v>
      </c>
      <c r="I179" s="68">
        <v>0</v>
      </c>
      <c r="J179" s="68">
        <v>0</v>
      </c>
    </row>
    <row r="180" spans="1:10">
      <c r="A180" s="61" t="s">
        <v>149</v>
      </c>
      <c r="B180" s="68">
        <v>0</v>
      </c>
      <c r="C180" s="68">
        <v>0</v>
      </c>
      <c r="D180" s="68">
        <v>4330.8540000000003</v>
      </c>
      <c r="E180" s="68">
        <v>2887.2360000000003</v>
      </c>
      <c r="F180" s="68">
        <v>0</v>
      </c>
      <c r="G180" s="68">
        <v>0</v>
      </c>
      <c r="H180" s="68">
        <v>0</v>
      </c>
      <c r="I180" s="68">
        <v>300457</v>
      </c>
      <c r="J180" s="68">
        <v>0</v>
      </c>
    </row>
    <row r="181" spans="1:10">
      <c r="A181" s="61" t="s">
        <v>150</v>
      </c>
      <c r="B181" s="68">
        <v>0</v>
      </c>
      <c r="C181" s="68">
        <v>0</v>
      </c>
      <c r="D181" s="68">
        <v>0</v>
      </c>
      <c r="E181" s="68">
        <v>0</v>
      </c>
      <c r="F181" s="68">
        <v>0</v>
      </c>
      <c r="G181" s="68">
        <v>25200</v>
      </c>
      <c r="H181" s="68">
        <v>0</v>
      </c>
      <c r="I181" s="68">
        <v>800</v>
      </c>
      <c r="J181" s="68">
        <v>0</v>
      </c>
    </row>
    <row r="182" spans="1:10">
      <c r="A182" s="72" t="s">
        <v>151</v>
      </c>
      <c r="B182" s="67">
        <f>+SUM(B183:B186)</f>
        <v>58302</v>
      </c>
      <c r="C182" s="67">
        <f t="shared" ref="C182:J182" si="33">+SUM(C183:C186)</f>
        <v>0</v>
      </c>
      <c r="D182" s="67">
        <f t="shared" si="33"/>
        <v>26894.400000000001</v>
      </c>
      <c r="E182" s="67">
        <f t="shared" si="33"/>
        <v>2343.6</v>
      </c>
      <c r="F182" s="67">
        <f t="shared" si="33"/>
        <v>15774.5</v>
      </c>
      <c r="G182" s="67">
        <f t="shared" si="33"/>
        <v>9464.6999999999989</v>
      </c>
      <c r="H182" s="67">
        <f t="shared" si="33"/>
        <v>6309.8</v>
      </c>
      <c r="I182" s="67">
        <f t="shared" si="33"/>
        <v>20659</v>
      </c>
      <c r="J182" s="67">
        <f t="shared" si="33"/>
        <v>0</v>
      </c>
    </row>
    <row r="183" spans="1:10">
      <c r="A183" s="61" t="s">
        <v>152</v>
      </c>
      <c r="B183" s="68">
        <v>4975</v>
      </c>
      <c r="C183" s="68">
        <v>0</v>
      </c>
      <c r="D183" s="68">
        <v>0</v>
      </c>
      <c r="E183" s="68">
        <v>0</v>
      </c>
      <c r="F183" s="68">
        <v>0</v>
      </c>
      <c r="G183" s="68">
        <v>0</v>
      </c>
      <c r="H183" s="68">
        <v>0</v>
      </c>
      <c r="I183" s="68">
        <v>0</v>
      </c>
      <c r="J183" s="68">
        <v>0</v>
      </c>
    </row>
    <row r="184" spans="1:10">
      <c r="A184" s="61" t="s">
        <v>153</v>
      </c>
      <c r="B184" s="68">
        <v>27357</v>
      </c>
      <c r="C184" s="68">
        <v>0</v>
      </c>
      <c r="D184" s="68">
        <v>26894.400000000001</v>
      </c>
      <c r="E184" s="68">
        <v>2343.6</v>
      </c>
      <c r="F184" s="68">
        <v>15774.5</v>
      </c>
      <c r="G184" s="68">
        <v>9464.6999999999989</v>
      </c>
      <c r="H184" s="68">
        <v>6309.8</v>
      </c>
      <c r="I184" s="68">
        <v>20659</v>
      </c>
      <c r="J184" s="68">
        <v>0</v>
      </c>
    </row>
    <row r="185" spans="1:10">
      <c r="A185" s="61" t="s">
        <v>154</v>
      </c>
      <c r="B185" s="68">
        <v>25970</v>
      </c>
      <c r="C185" s="68">
        <v>0</v>
      </c>
      <c r="D185" s="68">
        <v>0</v>
      </c>
      <c r="E185" s="68">
        <v>0</v>
      </c>
      <c r="F185" s="68">
        <v>0</v>
      </c>
      <c r="G185" s="68">
        <v>0</v>
      </c>
      <c r="H185" s="68">
        <v>0</v>
      </c>
      <c r="I185" s="68">
        <v>0</v>
      </c>
      <c r="J185" s="68">
        <v>0</v>
      </c>
    </row>
    <row r="186" spans="1:10">
      <c r="A186" s="61" t="s">
        <v>155</v>
      </c>
      <c r="B186" s="68">
        <v>0</v>
      </c>
      <c r="C186" s="68">
        <v>0</v>
      </c>
      <c r="D186" s="68">
        <v>0</v>
      </c>
      <c r="E186" s="68">
        <v>0</v>
      </c>
      <c r="F186" s="68">
        <v>0</v>
      </c>
      <c r="G186" s="68">
        <v>0</v>
      </c>
      <c r="H186" s="68">
        <v>0</v>
      </c>
      <c r="I186" s="68">
        <v>0</v>
      </c>
      <c r="J186" s="68">
        <v>0</v>
      </c>
    </row>
    <row r="187" spans="1:10">
      <c r="A187" s="72" t="s">
        <v>156</v>
      </c>
      <c r="B187" s="67">
        <f>+SUM(B188:B192)</f>
        <v>17715</v>
      </c>
      <c r="C187" s="67">
        <f t="shared" ref="C187:J187" si="34">+SUM(C188:C192)</f>
        <v>0</v>
      </c>
      <c r="D187" s="67">
        <f t="shared" si="34"/>
        <v>5249.6999999999989</v>
      </c>
      <c r="E187" s="67">
        <f t="shared" si="34"/>
        <v>3499.8</v>
      </c>
      <c r="F187" s="67">
        <f t="shared" si="34"/>
        <v>6881.75</v>
      </c>
      <c r="G187" s="67">
        <f t="shared" si="34"/>
        <v>2624.8499999999995</v>
      </c>
      <c r="H187" s="67">
        <f t="shared" si="34"/>
        <v>1749.9</v>
      </c>
      <c r="I187" s="67">
        <f t="shared" si="34"/>
        <v>45625</v>
      </c>
      <c r="J187" s="67">
        <f t="shared" si="34"/>
        <v>1250</v>
      </c>
    </row>
    <row r="188" spans="1:10">
      <c r="A188" s="61" t="s">
        <v>157</v>
      </c>
      <c r="B188" s="68">
        <v>8332.8000000000011</v>
      </c>
      <c r="C188" s="68">
        <v>0</v>
      </c>
      <c r="D188" s="68">
        <v>3749.7599999999993</v>
      </c>
      <c r="E188" s="68">
        <v>2499.84</v>
      </c>
      <c r="F188" s="68">
        <v>3124.7999999999997</v>
      </c>
      <c r="G188" s="68">
        <v>1874.8799999999997</v>
      </c>
      <c r="H188" s="68">
        <v>1249.92</v>
      </c>
      <c r="I188" s="68">
        <v>1874.9999999999995</v>
      </c>
      <c r="J188" s="68">
        <v>1250</v>
      </c>
    </row>
    <row r="189" spans="1:10">
      <c r="A189" s="61" t="s">
        <v>158</v>
      </c>
      <c r="B189" s="68">
        <v>0</v>
      </c>
      <c r="C189" s="68">
        <v>0</v>
      </c>
      <c r="D189" s="68">
        <v>0</v>
      </c>
      <c r="E189" s="68">
        <v>0</v>
      </c>
      <c r="F189" s="68">
        <v>0</v>
      </c>
      <c r="G189" s="68">
        <v>0</v>
      </c>
      <c r="H189" s="68">
        <v>0</v>
      </c>
      <c r="I189" s="68">
        <v>0</v>
      </c>
      <c r="J189" s="68">
        <v>0</v>
      </c>
    </row>
    <row r="190" spans="1:10">
      <c r="A190" s="61" t="s">
        <v>159</v>
      </c>
      <c r="B190" s="68">
        <v>0</v>
      </c>
      <c r="C190" s="68">
        <v>0</v>
      </c>
      <c r="D190" s="68">
        <v>0</v>
      </c>
      <c r="E190" s="68">
        <v>0</v>
      </c>
      <c r="F190" s="68">
        <v>0</v>
      </c>
      <c r="G190" s="68">
        <v>0</v>
      </c>
      <c r="H190" s="68">
        <v>0</v>
      </c>
      <c r="I190" s="68">
        <v>0</v>
      </c>
      <c r="J190" s="68">
        <v>0</v>
      </c>
    </row>
    <row r="191" spans="1:10">
      <c r="A191" s="61" t="s">
        <v>160</v>
      </c>
      <c r="B191" s="68">
        <v>9382.2000000000007</v>
      </c>
      <c r="C191" s="68">
        <v>0</v>
      </c>
      <c r="D191" s="68">
        <v>1499.94</v>
      </c>
      <c r="E191" s="68">
        <v>999.96</v>
      </c>
      <c r="F191" s="68">
        <v>3756.95</v>
      </c>
      <c r="G191" s="68">
        <v>749.97</v>
      </c>
      <c r="H191" s="68">
        <v>499.98</v>
      </c>
      <c r="I191" s="68">
        <v>43750</v>
      </c>
      <c r="J191" s="68">
        <v>0</v>
      </c>
    </row>
    <row r="192" spans="1:10">
      <c r="A192" s="61" t="s">
        <v>161</v>
      </c>
      <c r="B192" s="68">
        <v>0</v>
      </c>
      <c r="C192" s="68">
        <v>0</v>
      </c>
      <c r="D192" s="68">
        <v>0</v>
      </c>
      <c r="E192" s="68">
        <v>0</v>
      </c>
      <c r="F192" s="68">
        <v>0</v>
      </c>
      <c r="G192" s="68">
        <v>0</v>
      </c>
      <c r="H192" s="68">
        <v>0</v>
      </c>
      <c r="I192" s="68">
        <v>0</v>
      </c>
      <c r="J192" s="68">
        <v>0</v>
      </c>
    </row>
    <row r="193" spans="1:10">
      <c r="A193" s="72" t="s">
        <v>162</v>
      </c>
      <c r="B193" s="67">
        <f>+SUM(B194:B204)</f>
        <v>56198.054000000004</v>
      </c>
      <c r="C193" s="67">
        <f t="shared" ref="C193:J193" si="35">+SUM(C194:C204)</f>
        <v>0</v>
      </c>
      <c r="D193" s="67">
        <f t="shared" si="35"/>
        <v>40556.839800000002</v>
      </c>
      <c r="E193" s="67">
        <f t="shared" si="35"/>
        <v>24.013200000000001</v>
      </c>
      <c r="F193" s="67">
        <f t="shared" si="35"/>
        <v>45580.096499999992</v>
      </c>
      <c r="G193" s="67">
        <f t="shared" si="35"/>
        <v>6237.7578999999996</v>
      </c>
      <c r="H193" s="67">
        <f t="shared" si="35"/>
        <v>2611.5586000000003</v>
      </c>
      <c r="I193" s="67">
        <f t="shared" si="35"/>
        <v>163984.79999999999</v>
      </c>
      <c r="J193" s="67">
        <f t="shared" si="35"/>
        <v>0</v>
      </c>
    </row>
    <row r="194" spans="1:10">
      <c r="A194" s="61" t="s">
        <v>163</v>
      </c>
      <c r="B194" s="68">
        <v>11831</v>
      </c>
      <c r="C194" s="68">
        <v>0</v>
      </c>
      <c r="D194" s="68">
        <v>0</v>
      </c>
      <c r="E194" s="68">
        <v>0</v>
      </c>
      <c r="F194" s="68">
        <v>12354</v>
      </c>
      <c r="G194" s="68">
        <v>0</v>
      </c>
      <c r="H194" s="68">
        <v>0</v>
      </c>
      <c r="I194" s="68">
        <v>0</v>
      </c>
      <c r="J194" s="68">
        <v>0</v>
      </c>
    </row>
    <row r="195" spans="1:10">
      <c r="A195" s="61" t="s">
        <v>164</v>
      </c>
      <c r="B195" s="68">
        <v>106</v>
      </c>
      <c r="C195" s="68">
        <v>0</v>
      </c>
      <c r="D195" s="68">
        <v>47.699999999999996</v>
      </c>
      <c r="E195" s="68">
        <v>31.8</v>
      </c>
      <c r="F195" s="68">
        <v>39.75</v>
      </c>
      <c r="G195" s="68">
        <v>23.849999999999998</v>
      </c>
      <c r="H195" s="68">
        <v>15.9</v>
      </c>
      <c r="I195" s="68">
        <v>230</v>
      </c>
      <c r="J195" s="68">
        <v>0</v>
      </c>
    </row>
    <row r="196" spans="1:10">
      <c r="A196" s="61" t="s">
        <v>233</v>
      </c>
      <c r="B196" s="68">
        <v>0</v>
      </c>
      <c r="C196" s="68">
        <v>0</v>
      </c>
      <c r="D196" s="68">
        <v>0</v>
      </c>
      <c r="E196" s="68">
        <v>0</v>
      </c>
      <c r="F196" s="68">
        <v>1375</v>
      </c>
      <c r="G196" s="68">
        <v>825</v>
      </c>
      <c r="H196" s="68">
        <v>550</v>
      </c>
      <c r="I196" s="68">
        <v>91748.78</v>
      </c>
      <c r="J196" s="68">
        <v>0</v>
      </c>
    </row>
    <row r="197" spans="1:10">
      <c r="A197" s="61" t="s">
        <v>165</v>
      </c>
      <c r="B197" s="68">
        <v>0</v>
      </c>
      <c r="C197" s="68">
        <v>0</v>
      </c>
      <c r="D197" s="68">
        <v>0</v>
      </c>
      <c r="E197" s="68">
        <v>0</v>
      </c>
      <c r="F197" s="68">
        <v>0</v>
      </c>
      <c r="G197" s="68">
        <v>0</v>
      </c>
      <c r="H197" s="68">
        <v>0</v>
      </c>
      <c r="I197" s="68">
        <v>0</v>
      </c>
      <c r="J197" s="68">
        <v>0</v>
      </c>
    </row>
    <row r="198" spans="1:10">
      <c r="A198" s="61" t="s">
        <v>166</v>
      </c>
      <c r="B198" s="68">
        <v>28752.3</v>
      </c>
      <c r="C198" s="68">
        <v>0</v>
      </c>
      <c r="D198" s="68">
        <v>15329.13</v>
      </c>
      <c r="E198" s="68">
        <v>0</v>
      </c>
      <c r="F198" s="68">
        <v>13668.15</v>
      </c>
      <c r="G198" s="68">
        <v>3961.81</v>
      </c>
      <c r="H198" s="68">
        <v>1434.54</v>
      </c>
      <c r="I198" s="68">
        <v>63785</v>
      </c>
      <c r="J198" s="68">
        <v>0</v>
      </c>
    </row>
    <row r="199" spans="1:10">
      <c r="A199" s="61" t="s">
        <v>167</v>
      </c>
      <c r="B199" s="68">
        <v>11783.99</v>
      </c>
      <c r="C199" s="68">
        <v>0</v>
      </c>
      <c r="D199" s="68">
        <v>9754.7000000000007</v>
      </c>
      <c r="E199" s="68">
        <v>0</v>
      </c>
      <c r="F199" s="68">
        <v>7513.93</v>
      </c>
      <c r="G199" s="68">
        <v>0</v>
      </c>
      <c r="H199" s="68">
        <v>0</v>
      </c>
      <c r="I199" s="68">
        <v>8220.34</v>
      </c>
      <c r="J199" s="68">
        <v>0</v>
      </c>
    </row>
    <row r="200" spans="1:10">
      <c r="A200" s="61" t="s">
        <v>168</v>
      </c>
      <c r="B200" s="68">
        <v>1737.29</v>
      </c>
      <c r="C200" s="68">
        <v>0</v>
      </c>
      <c r="D200" s="68">
        <v>11484.81</v>
      </c>
      <c r="E200" s="68">
        <v>0</v>
      </c>
      <c r="F200" s="68">
        <v>10636.869999999999</v>
      </c>
      <c r="G200" s="68">
        <v>922.12199999999984</v>
      </c>
      <c r="H200" s="68">
        <v>614.74800000000005</v>
      </c>
      <c r="I200" s="68">
        <v>0</v>
      </c>
      <c r="J200" s="68">
        <v>0</v>
      </c>
    </row>
    <row r="201" spans="1:10">
      <c r="A201" s="61" t="s">
        <v>169</v>
      </c>
      <c r="B201" s="68">
        <v>2010</v>
      </c>
      <c r="C201" s="68">
        <v>0</v>
      </c>
      <c r="D201" s="68">
        <v>3950</v>
      </c>
      <c r="E201" s="68">
        <v>0</v>
      </c>
      <c r="F201" s="68">
        <v>0</v>
      </c>
      <c r="G201" s="68">
        <v>510</v>
      </c>
      <c r="H201" s="68">
        <v>0</v>
      </c>
      <c r="I201" s="68">
        <v>0</v>
      </c>
      <c r="J201" s="68">
        <v>0</v>
      </c>
    </row>
    <row r="202" spans="1:10">
      <c r="A202" s="61" t="s">
        <v>170</v>
      </c>
      <c r="B202" s="68">
        <v>0</v>
      </c>
      <c r="C202" s="68">
        <v>0</v>
      </c>
      <c r="D202" s="68">
        <v>0</v>
      </c>
      <c r="E202" s="68">
        <v>0</v>
      </c>
      <c r="F202" s="68">
        <v>0</v>
      </c>
      <c r="G202" s="68">
        <v>0</v>
      </c>
      <c r="H202" s="68">
        <v>0</v>
      </c>
      <c r="I202" s="68">
        <v>0</v>
      </c>
      <c r="J202" s="68">
        <v>0</v>
      </c>
    </row>
    <row r="203" spans="1:10">
      <c r="A203" s="61" t="s">
        <v>234</v>
      </c>
      <c r="B203" s="68">
        <v>0.21799999999999953</v>
      </c>
      <c r="C203" s="68">
        <v>0</v>
      </c>
      <c r="D203" s="68">
        <v>0.73460000000000003</v>
      </c>
      <c r="E203" s="68">
        <v>-0.96360000000000001</v>
      </c>
      <c r="F203" s="68">
        <v>0.9255000000000001</v>
      </c>
      <c r="G203" s="68">
        <v>9.3299999999999994E-2</v>
      </c>
      <c r="H203" s="68">
        <v>-0.21780000000000002</v>
      </c>
      <c r="I203" s="68">
        <v>0.68</v>
      </c>
      <c r="J203" s="68">
        <v>0</v>
      </c>
    </row>
    <row r="204" spans="1:10">
      <c r="A204" s="61" t="s">
        <v>171</v>
      </c>
      <c r="B204" s="68">
        <v>-22.744</v>
      </c>
      <c r="C204" s="68">
        <v>0</v>
      </c>
      <c r="D204" s="68">
        <v>-10.2348</v>
      </c>
      <c r="E204" s="68">
        <v>-6.8231999999999999</v>
      </c>
      <c r="F204" s="68">
        <v>-8.5289999999999999</v>
      </c>
      <c r="G204" s="68">
        <v>-5.1173999999999999</v>
      </c>
      <c r="H204" s="68">
        <v>-3.4116</v>
      </c>
      <c r="I204" s="68">
        <v>0</v>
      </c>
      <c r="J204" s="68">
        <v>0</v>
      </c>
    </row>
    <row r="205" spans="1:10">
      <c r="A205" s="72" t="s">
        <v>172</v>
      </c>
      <c r="B205" s="67">
        <f>+SUM(B206:B208)</f>
        <v>151384.33199999999</v>
      </c>
      <c r="C205" s="67">
        <f t="shared" ref="C205:J205" si="36">+SUM(C206:C208)</f>
        <v>0</v>
      </c>
      <c r="D205" s="67">
        <f t="shared" si="36"/>
        <v>41421.799400000004</v>
      </c>
      <c r="E205" s="67">
        <f t="shared" si="36"/>
        <v>311.19960000000066</v>
      </c>
      <c r="F205" s="67">
        <f t="shared" si="36"/>
        <v>48454.999499999998</v>
      </c>
      <c r="G205" s="67">
        <f t="shared" si="36"/>
        <v>1224.5997000000004</v>
      </c>
      <c r="H205" s="67">
        <f t="shared" si="36"/>
        <v>808.39980000000037</v>
      </c>
      <c r="I205" s="67">
        <f t="shared" si="36"/>
        <v>7415</v>
      </c>
      <c r="J205" s="67">
        <f t="shared" si="36"/>
        <v>0</v>
      </c>
    </row>
    <row r="206" spans="1:10">
      <c r="A206" s="61" t="s">
        <v>173</v>
      </c>
      <c r="B206" s="68">
        <v>148648</v>
      </c>
      <c r="C206" s="68">
        <v>0</v>
      </c>
      <c r="D206" s="68">
        <v>0</v>
      </c>
      <c r="E206" s="68">
        <v>0</v>
      </c>
      <c r="F206" s="68">
        <v>45253</v>
      </c>
      <c r="G206" s="68">
        <v>0</v>
      </c>
      <c r="H206" s="68">
        <v>0</v>
      </c>
      <c r="I206" s="68">
        <v>0</v>
      </c>
      <c r="J206" s="68">
        <v>0</v>
      </c>
    </row>
    <row r="207" spans="1:10">
      <c r="A207" s="61" t="s">
        <v>174</v>
      </c>
      <c r="B207" s="68">
        <v>0</v>
      </c>
      <c r="C207" s="68">
        <v>0</v>
      </c>
      <c r="D207" s="68">
        <v>9734</v>
      </c>
      <c r="E207" s="68">
        <v>0</v>
      </c>
      <c r="F207" s="68">
        <v>0</v>
      </c>
      <c r="G207" s="68">
        <v>0</v>
      </c>
      <c r="H207" s="68">
        <v>0</v>
      </c>
      <c r="I207" s="68">
        <v>7415</v>
      </c>
      <c r="J207" s="68">
        <v>0</v>
      </c>
    </row>
    <row r="208" spans="1:10">
      <c r="A208" s="61" t="s">
        <v>235</v>
      </c>
      <c r="B208" s="68">
        <v>2736.3320000000003</v>
      </c>
      <c r="C208" s="68">
        <v>0</v>
      </c>
      <c r="D208" s="68">
        <v>31687.7994</v>
      </c>
      <c r="E208" s="68">
        <v>311.19960000000066</v>
      </c>
      <c r="F208" s="68">
        <v>3201.9995000000008</v>
      </c>
      <c r="G208" s="68">
        <v>1224.5997000000004</v>
      </c>
      <c r="H208" s="68">
        <v>808.39980000000037</v>
      </c>
      <c r="I208" s="68">
        <v>0</v>
      </c>
      <c r="J208" s="68">
        <v>0</v>
      </c>
    </row>
    <row r="209" spans="1:10">
      <c r="A209" s="72" t="s">
        <v>175</v>
      </c>
      <c r="B209" s="67">
        <f>+SUM(B210:B213)</f>
        <v>234024.31249999994</v>
      </c>
      <c r="C209" s="67">
        <f t="shared" ref="C209:J209" si="37">+SUM(C210:C213)</f>
        <v>0</v>
      </c>
      <c r="D209" s="67">
        <f t="shared" si="37"/>
        <v>186159</v>
      </c>
      <c r="E209" s="67">
        <f t="shared" si="37"/>
        <v>224106</v>
      </c>
      <c r="F209" s="67">
        <f t="shared" si="37"/>
        <v>140992.5</v>
      </c>
      <c r="G209" s="67">
        <f t="shared" si="37"/>
        <v>84595.5</v>
      </c>
      <c r="H209" s="67">
        <f t="shared" si="37"/>
        <v>56397</v>
      </c>
      <c r="I209" s="67">
        <f t="shared" si="37"/>
        <v>267000</v>
      </c>
      <c r="J209" s="67">
        <f t="shared" si="37"/>
        <v>178000</v>
      </c>
    </row>
    <row r="210" spans="1:10">
      <c r="A210" s="61" t="s">
        <v>176</v>
      </c>
      <c r="B210" s="68">
        <v>0</v>
      </c>
      <c r="C210" s="68">
        <v>0</v>
      </c>
      <c r="D210" s="68">
        <v>0</v>
      </c>
      <c r="E210" s="68">
        <v>100000</v>
      </c>
      <c r="F210" s="68">
        <v>0</v>
      </c>
      <c r="G210" s="68">
        <v>0</v>
      </c>
      <c r="H210" s="68">
        <v>0</v>
      </c>
      <c r="I210" s="68">
        <v>0</v>
      </c>
      <c r="J210" s="68">
        <v>0</v>
      </c>
    </row>
    <row r="211" spans="1:10">
      <c r="A211" s="61" t="s">
        <v>177</v>
      </c>
      <c r="B211" s="68">
        <v>0</v>
      </c>
      <c r="C211" s="68">
        <v>0</v>
      </c>
      <c r="D211" s="68">
        <v>186159</v>
      </c>
      <c r="E211" s="68">
        <v>124106</v>
      </c>
      <c r="F211" s="68">
        <v>0</v>
      </c>
      <c r="G211" s="68">
        <v>70195.5</v>
      </c>
      <c r="H211" s="68">
        <v>46797</v>
      </c>
      <c r="I211" s="68">
        <v>267000</v>
      </c>
      <c r="J211" s="68">
        <v>178000</v>
      </c>
    </row>
    <row r="212" spans="1:10">
      <c r="A212" s="61" t="s">
        <v>178</v>
      </c>
      <c r="B212" s="68">
        <v>87450.312499999956</v>
      </c>
      <c r="C212" s="68">
        <v>0</v>
      </c>
      <c r="D212" s="68">
        <v>0</v>
      </c>
      <c r="E212" s="68">
        <v>0</v>
      </c>
      <c r="F212" s="68">
        <v>116992.5</v>
      </c>
      <c r="G212" s="68">
        <v>0</v>
      </c>
      <c r="H212" s="68">
        <v>0</v>
      </c>
      <c r="I212" s="68">
        <v>0</v>
      </c>
      <c r="J212" s="68">
        <v>0</v>
      </c>
    </row>
    <row r="213" spans="1:10">
      <c r="A213" s="61" t="s">
        <v>179</v>
      </c>
      <c r="B213" s="68">
        <v>146574</v>
      </c>
      <c r="C213" s="68">
        <v>0</v>
      </c>
      <c r="D213" s="68">
        <v>0</v>
      </c>
      <c r="E213" s="68">
        <v>0</v>
      </c>
      <c r="F213" s="68">
        <v>24000</v>
      </c>
      <c r="G213" s="68">
        <v>14400</v>
      </c>
      <c r="H213" s="68">
        <v>9600</v>
      </c>
      <c r="I213" s="68">
        <v>0</v>
      </c>
      <c r="J213" s="68">
        <v>0</v>
      </c>
    </row>
    <row r="214" spans="1:10">
      <c r="A214" s="72" t="s">
        <v>180</v>
      </c>
      <c r="B214" s="67">
        <f>+SUM(B215:B216)</f>
        <v>8700</v>
      </c>
      <c r="C214" s="67">
        <f t="shared" ref="C214:J214" si="38">+SUM(C215:C216)</f>
        <v>0</v>
      </c>
      <c r="D214" s="67">
        <f t="shared" si="38"/>
        <v>5300</v>
      </c>
      <c r="E214" s="67">
        <f t="shared" si="38"/>
        <v>2400</v>
      </c>
      <c r="F214" s="67">
        <f t="shared" si="38"/>
        <v>3750</v>
      </c>
      <c r="G214" s="67">
        <f t="shared" si="38"/>
        <v>2250</v>
      </c>
      <c r="H214" s="67">
        <f t="shared" si="38"/>
        <v>1500</v>
      </c>
      <c r="I214" s="67">
        <f t="shared" si="38"/>
        <v>0</v>
      </c>
      <c r="J214" s="67">
        <f t="shared" si="38"/>
        <v>0</v>
      </c>
    </row>
    <row r="215" spans="1:10">
      <c r="A215" s="61" t="s">
        <v>181</v>
      </c>
      <c r="B215" s="68">
        <v>0</v>
      </c>
      <c r="C215" s="68">
        <v>0</v>
      </c>
      <c r="D215" s="68">
        <v>0</v>
      </c>
      <c r="E215" s="68">
        <v>0</v>
      </c>
      <c r="F215" s="68">
        <v>0</v>
      </c>
      <c r="G215" s="68">
        <v>0</v>
      </c>
      <c r="H215" s="68">
        <v>0</v>
      </c>
      <c r="I215" s="68">
        <v>0</v>
      </c>
      <c r="J215" s="68">
        <v>0</v>
      </c>
    </row>
    <row r="216" spans="1:10">
      <c r="A216" s="61" t="s">
        <v>182</v>
      </c>
      <c r="B216" s="68">
        <v>8700</v>
      </c>
      <c r="C216" s="68">
        <v>0</v>
      </c>
      <c r="D216" s="68">
        <v>5300</v>
      </c>
      <c r="E216" s="68">
        <v>2400</v>
      </c>
      <c r="F216" s="68">
        <v>3750</v>
      </c>
      <c r="G216" s="68">
        <v>2250</v>
      </c>
      <c r="H216" s="68">
        <v>1500</v>
      </c>
      <c r="I216" s="68">
        <v>0</v>
      </c>
      <c r="J216" s="68">
        <v>0</v>
      </c>
    </row>
    <row r="217" spans="1:10">
      <c r="A217" s="60"/>
      <c r="B217" s="68"/>
      <c r="C217" s="68"/>
      <c r="D217" s="68"/>
      <c r="E217" s="68"/>
      <c r="F217" s="68"/>
      <c r="G217" s="68"/>
      <c r="H217" s="68"/>
      <c r="I217" s="69"/>
      <c r="J217" s="69"/>
    </row>
    <row r="218" spans="1:10" ht="17.25">
      <c r="A218" s="70" t="s">
        <v>183</v>
      </c>
      <c r="B218" s="67">
        <f>+B219+B223+B227</f>
        <v>603373.16216438368</v>
      </c>
      <c r="C218" s="67">
        <f t="shared" ref="C218:J218" si="39">+C219+C223+C227</f>
        <v>0</v>
      </c>
      <c r="D218" s="67">
        <f t="shared" si="39"/>
        <v>24899.606999999996</v>
      </c>
      <c r="E218" s="67">
        <f t="shared" si="39"/>
        <v>16599.738000000001</v>
      </c>
      <c r="F218" s="67">
        <f t="shared" si="39"/>
        <v>305551.23650000006</v>
      </c>
      <c r="G218" s="67">
        <f t="shared" si="39"/>
        <v>12449.803499999998</v>
      </c>
      <c r="H218" s="67">
        <f t="shared" si="39"/>
        <v>8299.8690000000006</v>
      </c>
      <c r="I218" s="67">
        <f t="shared" si="39"/>
        <v>0</v>
      </c>
      <c r="J218" s="67">
        <f t="shared" si="39"/>
        <v>0</v>
      </c>
    </row>
    <row r="219" spans="1:10">
      <c r="A219" s="72" t="s">
        <v>184</v>
      </c>
      <c r="B219" s="67">
        <f>+SUM(B220:B222)</f>
        <v>548040.70216438361</v>
      </c>
      <c r="C219" s="67">
        <f t="shared" ref="C219:J219" si="40">+SUM(C220:C222)</f>
        <v>0</v>
      </c>
      <c r="D219" s="67">
        <f t="shared" si="40"/>
        <v>0</v>
      </c>
      <c r="E219" s="67">
        <f t="shared" si="40"/>
        <v>0</v>
      </c>
      <c r="F219" s="67">
        <f t="shared" si="40"/>
        <v>284801.56400000001</v>
      </c>
      <c r="G219" s="67">
        <f t="shared" si="40"/>
        <v>0</v>
      </c>
      <c r="H219" s="67">
        <f t="shared" si="40"/>
        <v>0</v>
      </c>
      <c r="I219" s="67">
        <f t="shared" si="40"/>
        <v>0</v>
      </c>
      <c r="J219" s="67">
        <f t="shared" si="40"/>
        <v>0</v>
      </c>
    </row>
    <row r="220" spans="1:10">
      <c r="A220" s="61" t="s">
        <v>185</v>
      </c>
      <c r="B220" s="68">
        <v>120838.35616438357</v>
      </c>
      <c r="C220" s="68">
        <v>0</v>
      </c>
      <c r="D220" s="68">
        <v>0</v>
      </c>
      <c r="E220" s="68">
        <v>0</v>
      </c>
      <c r="F220" s="68">
        <v>0</v>
      </c>
      <c r="G220" s="68">
        <v>0</v>
      </c>
      <c r="H220" s="68">
        <v>0</v>
      </c>
      <c r="I220" s="68">
        <v>0</v>
      </c>
      <c r="J220" s="68">
        <v>0</v>
      </c>
    </row>
    <row r="221" spans="1:10">
      <c r="A221" s="61" t="s">
        <v>236</v>
      </c>
      <c r="B221" s="68"/>
      <c r="C221" s="68"/>
      <c r="D221" s="68"/>
      <c r="E221" s="68"/>
      <c r="F221" s="68"/>
      <c r="G221" s="68"/>
      <c r="H221" s="68"/>
      <c r="I221" s="68"/>
      <c r="J221" s="68"/>
    </row>
    <row r="222" spans="1:10">
      <c r="A222" s="61" t="s">
        <v>237</v>
      </c>
      <c r="B222" s="68">
        <v>427202.34600000002</v>
      </c>
      <c r="C222" s="68">
        <v>0</v>
      </c>
      <c r="D222" s="68">
        <v>0</v>
      </c>
      <c r="E222" s="68">
        <v>0</v>
      </c>
      <c r="F222" s="68">
        <v>284801.56400000001</v>
      </c>
      <c r="G222" s="68">
        <v>0</v>
      </c>
      <c r="H222" s="68">
        <v>0</v>
      </c>
      <c r="I222" s="68">
        <v>0</v>
      </c>
      <c r="J222" s="68">
        <v>0</v>
      </c>
    </row>
    <row r="223" spans="1:10">
      <c r="A223" s="72" t="s">
        <v>186</v>
      </c>
      <c r="B223" s="67">
        <f>+SUM(B224:B226)</f>
        <v>28380.059999999998</v>
      </c>
      <c r="C223" s="67">
        <f t="shared" ref="C223:J223" si="41">+SUM(C224:C226)</f>
        <v>0</v>
      </c>
      <c r="D223" s="67">
        <f t="shared" si="41"/>
        <v>12771.026999999998</v>
      </c>
      <c r="E223" s="67">
        <f t="shared" si="41"/>
        <v>8514.018</v>
      </c>
      <c r="F223" s="67">
        <f t="shared" si="41"/>
        <v>10642.522499999999</v>
      </c>
      <c r="G223" s="67">
        <f t="shared" si="41"/>
        <v>6385.5134999999991</v>
      </c>
      <c r="H223" s="67">
        <f t="shared" si="41"/>
        <v>4257.009</v>
      </c>
      <c r="I223" s="67">
        <f t="shared" si="41"/>
        <v>0</v>
      </c>
      <c r="J223" s="67">
        <f t="shared" si="41"/>
        <v>0</v>
      </c>
    </row>
    <row r="224" spans="1:10">
      <c r="A224" s="61" t="s">
        <v>187</v>
      </c>
      <c r="B224" s="68">
        <v>28380.059999999998</v>
      </c>
      <c r="C224" s="68">
        <v>0</v>
      </c>
      <c r="D224" s="68">
        <v>12771.026999999998</v>
      </c>
      <c r="E224" s="68">
        <v>8514.018</v>
      </c>
      <c r="F224" s="68">
        <v>10642.522499999999</v>
      </c>
      <c r="G224" s="68">
        <v>6385.5134999999991</v>
      </c>
      <c r="H224" s="68">
        <v>4257.009</v>
      </c>
      <c r="I224" s="68">
        <v>0</v>
      </c>
      <c r="J224" s="68">
        <v>0</v>
      </c>
    </row>
    <row r="225" spans="1:10">
      <c r="A225" s="61" t="s">
        <v>188</v>
      </c>
      <c r="B225" s="68">
        <v>0</v>
      </c>
      <c r="C225" s="68">
        <v>0</v>
      </c>
      <c r="D225" s="68">
        <v>0</v>
      </c>
      <c r="E225" s="68">
        <v>0</v>
      </c>
      <c r="F225" s="68">
        <v>0</v>
      </c>
      <c r="G225" s="68">
        <v>0</v>
      </c>
      <c r="H225" s="68">
        <v>0</v>
      </c>
      <c r="I225" s="68">
        <v>0</v>
      </c>
      <c r="J225" s="68">
        <v>0</v>
      </c>
    </row>
    <row r="226" spans="1:10">
      <c r="A226" s="61" t="s">
        <v>189</v>
      </c>
      <c r="B226" s="68">
        <v>0</v>
      </c>
      <c r="C226" s="68">
        <v>0</v>
      </c>
      <c r="D226" s="68">
        <v>0</v>
      </c>
      <c r="E226" s="68">
        <v>0</v>
      </c>
      <c r="F226" s="68">
        <v>0</v>
      </c>
      <c r="G226" s="68">
        <v>0</v>
      </c>
      <c r="H226" s="68">
        <v>0</v>
      </c>
      <c r="I226" s="68">
        <v>0</v>
      </c>
      <c r="J226" s="68">
        <v>0</v>
      </c>
    </row>
    <row r="227" spans="1:10">
      <c r="A227" s="72" t="s">
        <v>190</v>
      </c>
      <c r="B227" s="67">
        <f>+SUM(B228:B229)</f>
        <v>26952.400000000001</v>
      </c>
      <c r="C227" s="67">
        <f t="shared" ref="C227:J227" si="42">+SUM(C228:C229)</f>
        <v>0</v>
      </c>
      <c r="D227" s="67">
        <f t="shared" si="42"/>
        <v>12128.58</v>
      </c>
      <c r="E227" s="67">
        <f t="shared" si="42"/>
        <v>8085.72</v>
      </c>
      <c r="F227" s="67">
        <f t="shared" si="42"/>
        <v>10107.15</v>
      </c>
      <c r="G227" s="67">
        <f t="shared" si="42"/>
        <v>6064.29</v>
      </c>
      <c r="H227" s="67">
        <f t="shared" si="42"/>
        <v>4042.86</v>
      </c>
      <c r="I227" s="67">
        <f t="shared" si="42"/>
        <v>0</v>
      </c>
      <c r="J227" s="67">
        <f t="shared" si="42"/>
        <v>0</v>
      </c>
    </row>
    <row r="228" spans="1:10">
      <c r="A228" s="61" t="s">
        <v>191</v>
      </c>
      <c r="B228" s="68">
        <v>0</v>
      </c>
      <c r="C228" s="68">
        <v>0</v>
      </c>
      <c r="D228" s="68">
        <v>0</v>
      </c>
      <c r="E228" s="68">
        <v>0</v>
      </c>
      <c r="F228" s="68">
        <v>0</v>
      </c>
      <c r="G228" s="68">
        <v>0</v>
      </c>
      <c r="H228" s="68">
        <v>0</v>
      </c>
      <c r="I228" s="68">
        <v>0</v>
      </c>
      <c r="J228" s="68">
        <v>0</v>
      </c>
    </row>
    <row r="229" spans="1:10">
      <c r="A229" s="61" t="s">
        <v>192</v>
      </c>
      <c r="B229" s="68">
        <v>26952.400000000001</v>
      </c>
      <c r="C229" s="68">
        <v>0</v>
      </c>
      <c r="D229" s="68">
        <v>12128.58</v>
      </c>
      <c r="E229" s="68">
        <v>8085.72</v>
      </c>
      <c r="F229" s="68">
        <v>10107.15</v>
      </c>
      <c r="G229" s="68">
        <v>6064.29</v>
      </c>
      <c r="H229" s="68">
        <v>4042.86</v>
      </c>
      <c r="I229" s="68">
        <v>0</v>
      </c>
      <c r="J229" s="68">
        <v>0</v>
      </c>
    </row>
    <row r="230" spans="1:10">
      <c r="A230" s="64" t="s">
        <v>193</v>
      </c>
      <c r="B230" s="67">
        <f>+B75+B104+B115+B156+B218</f>
        <v>7523196.1158054098</v>
      </c>
      <c r="C230" s="67">
        <f t="shared" ref="C230:J230" si="43">+C75+C104+C115+C156+C218</f>
        <v>36859</v>
      </c>
      <c r="D230" s="67">
        <f t="shared" si="43"/>
        <v>2743737.855882722</v>
      </c>
      <c r="E230" s="67">
        <f t="shared" si="43"/>
        <v>749458.87495254388</v>
      </c>
      <c r="F230" s="67">
        <f t="shared" si="43"/>
        <v>3042989.9581025639</v>
      </c>
      <c r="G230" s="67">
        <f t="shared" si="43"/>
        <v>1363965.5980871795</v>
      </c>
      <c r="H230" s="67">
        <f t="shared" si="43"/>
        <v>247043.56419487181</v>
      </c>
      <c r="I230" s="67">
        <f t="shared" si="43"/>
        <v>1382304.9774358976</v>
      </c>
      <c r="J230" s="67">
        <f t="shared" si="43"/>
        <v>272346.17307692306</v>
      </c>
    </row>
    <row r="231" spans="1:10">
      <c r="A231" s="73" t="s">
        <v>58</v>
      </c>
      <c r="B231" s="115">
        <f>+IFERROR(B230/B70,0)</f>
        <v>9.0330150399414277E-2</v>
      </c>
      <c r="C231" s="115">
        <f t="shared" ref="C231:J231" si="44">+IFERROR(C230/C70,0)</f>
        <v>5.6542728831954922E-2</v>
      </c>
      <c r="D231" s="115">
        <f t="shared" si="44"/>
        <v>0.17973085505094269</v>
      </c>
      <c r="E231" s="115">
        <f t="shared" si="44"/>
        <v>0.22678261220669921</v>
      </c>
      <c r="F231" s="115">
        <f t="shared" si="44"/>
        <v>0.11732486136342773</v>
      </c>
      <c r="G231" s="115">
        <f t="shared" si="44"/>
        <v>0.17124615152786626</v>
      </c>
      <c r="H231" s="115">
        <f t="shared" si="44"/>
        <v>0.30506655957390094</v>
      </c>
      <c r="I231" s="115">
        <f t="shared" si="44"/>
        <v>0.35901022611486388</v>
      </c>
      <c r="J231" s="115">
        <f t="shared" si="44"/>
        <v>0.88593675775745728</v>
      </c>
    </row>
    <row r="232" spans="1:10">
      <c r="A232" s="21"/>
      <c r="B232" s="69"/>
      <c r="C232" s="69"/>
      <c r="D232" s="69"/>
      <c r="E232" s="69"/>
      <c r="F232" s="69"/>
      <c r="G232" s="69"/>
      <c r="H232" s="69"/>
      <c r="I232" s="69"/>
      <c r="J232" s="69"/>
    </row>
    <row r="233" spans="1:10">
      <c r="A233" s="64" t="s">
        <v>194</v>
      </c>
      <c r="B233" s="67">
        <f>+B71-B230</f>
        <v>-3711887.05980541</v>
      </c>
      <c r="C233" s="67">
        <f t="shared" ref="C233:J233" si="45">+C71-C230</f>
        <v>139097.97000000015</v>
      </c>
      <c r="D233" s="67">
        <f t="shared" si="45"/>
        <v>1345451.560990816</v>
      </c>
      <c r="E233" s="67">
        <f t="shared" si="45"/>
        <v>994672.84984745609</v>
      </c>
      <c r="F233" s="67">
        <f t="shared" si="45"/>
        <v>-1708066.3896025638</v>
      </c>
      <c r="G233" s="67">
        <f t="shared" si="45"/>
        <v>741146.791392026</v>
      </c>
      <c r="H233" s="67">
        <f t="shared" si="45"/>
        <v>-30650.536794871703</v>
      </c>
      <c r="I233" s="67">
        <f t="shared" si="45"/>
        <v>-239660.6531520728</v>
      </c>
      <c r="J233" s="67">
        <f t="shared" si="45"/>
        <v>-223006.90307692304</v>
      </c>
    </row>
    <row r="234" spans="1:10">
      <c r="A234" s="73" t="s">
        <v>58</v>
      </c>
      <c r="B234" s="115">
        <f>IFERROR(B233/B70,0)</f>
        <v>-4.4568200963609556E-2</v>
      </c>
      <c r="C234" s="115">
        <f t="shared" ref="C234:J234" si="46">IFERROR(C233/C70,0)</f>
        <v>0.21338014592868523</v>
      </c>
      <c r="D234" s="115">
        <f t="shared" si="46"/>
        <v>8.8134935692938593E-2</v>
      </c>
      <c r="E234" s="115">
        <f t="shared" si="46"/>
        <v>0.30098316894809135</v>
      </c>
      <c r="F234" s="115">
        <f t="shared" si="46"/>
        <v>-6.5855837554130006E-2</v>
      </c>
      <c r="G234" s="115">
        <f t="shared" si="46"/>
        <v>9.3051126744766052E-2</v>
      </c>
      <c r="H234" s="115">
        <f t="shared" si="46"/>
        <v>-3.7849412671722094E-2</v>
      </c>
      <c r="I234" s="115">
        <f t="shared" si="46"/>
        <v>-6.2244314158922016E-2</v>
      </c>
      <c r="J234" s="115">
        <f t="shared" si="46"/>
        <v>-0.72543708045311095</v>
      </c>
    </row>
    <row r="235" spans="1:10">
      <c r="A235" s="60"/>
      <c r="B235" s="68"/>
      <c r="C235" s="68"/>
      <c r="D235" s="68"/>
      <c r="E235" s="68"/>
      <c r="F235" s="68"/>
      <c r="G235" s="68"/>
      <c r="H235" s="68"/>
      <c r="I235" s="69"/>
      <c r="J235" s="69"/>
    </row>
    <row r="236" spans="1:10" ht="17.25">
      <c r="A236" s="70" t="s">
        <v>195</v>
      </c>
      <c r="B236" s="67">
        <f t="shared" ref="B236:J236" si="47">+SUM(B237:B239)</f>
        <v>127492.28700000001</v>
      </c>
      <c r="C236" s="67">
        <f t="shared" si="47"/>
        <v>0</v>
      </c>
      <c r="D236" s="67">
        <f t="shared" si="47"/>
        <v>499462.42670000001</v>
      </c>
      <c r="E236" s="67">
        <f t="shared" si="47"/>
        <v>21575.617800000004</v>
      </c>
      <c r="F236" s="67">
        <f t="shared" si="47"/>
        <v>154461.80924999999</v>
      </c>
      <c r="G236" s="67">
        <f t="shared" si="47"/>
        <v>122455.08554999999</v>
      </c>
      <c r="H236" s="67">
        <f t="shared" si="47"/>
        <v>61784.723700000002</v>
      </c>
      <c r="I236" s="67">
        <f t="shared" si="47"/>
        <v>0</v>
      </c>
      <c r="J236" s="67">
        <f t="shared" si="47"/>
        <v>0</v>
      </c>
    </row>
    <row r="237" spans="1:10">
      <c r="A237" s="61" t="s">
        <v>196</v>
      </c>
      <c r="B237" s="68">
        <v>0</v>
      </c>
      <c r="C237" s="68">
        <v>0</v>
      </c>
      <c r="D237" s="68">
        <v>422432</v>
      </c>
      <c r="E237" s="68">
        <v>0</v>
      </c>
      <c r="F237" s="68">
        <v>0</v>
      </c>
      <c r="G237" s="68">
        <v>0</v>
      </c>
      <c r="H237" s="68">
        <v>0</v>
      </c>
      <c r="I237" s="68">
        <v>0</v>
      </c>
      <c r="J237" s="68">
        <v>0</v>
      </c>
    </row>
    <row r="238" spans="1:10">
      <c r="A238" s="61" t="s">
        <v>197</v>
      </c>
      <c r="B238" s="68">
        <v>127492.28700000001</v>
      </c>
      <c r="C238" s="68">
        <v>0</v>
      </c>
      <c r="D238" s="68">
        <v>32363.4267</v>
      </c>
      <c r="E238" s="68">
        <v>21575.617800000004</v>
      </c>
      <c r="F238" s="68">
        <v>154461.80924999999</v>
      </c>
      <c r="G238" s="68">
        <v>92677.085549999989</v>
      </c>
      <c r="H238" s="68">
        <v>61784.723700000002</v>
      </c>
      <c r="I238" s="68">
        <v>0</v>
      </c>
      <c r="J238" s="68">
        <v>0</v>
      </c>
    </row>
    <row r="239" spans="1:10">
      <c r="A239" s="61" t="s">
        <v>198</v>
      </c>
      <c r="B239" s="68">
        <v>0</v>
      </c>
      <c r="C239" s="68">
        <v>0</v>
      </c>
      <c r="D239" s="68">
        <v>44667</v>
      </c>
      <c r="E239" s="68">
        <v>0</v>
      </c>
      <c r="F239" s="68">
        <v>0</v>
      </c>
      <c r="G239" s="68">
        <v>29778</v>
      </c>
      <c r="H239" s="68">
        <v>0</v>
      </c>
      <c r="I239" s="68">
        <v>0</v>
      </c>
      <c r="J239" s="68">
        <v>0</v>
      </c>
    </row>
    <row r="240" spans="1:10">
      <c r="A240" s="60"/>
      <c r="B240" s="68"/>
      <c r="C240" s="68"/>
      <c r="D240" s="68"/>
      <c r="E240" s="68"/>
      <c r="F240" s="68"/>
      <c r="G240" s="68"/>
      <c r="H240" s="68"/>
      <c r="I240" s="69"/>
      <c r="J240" s="69"/>
    </row>
    <row r="241" spans="1:10" ht="17.25">
      <c r="A241" s="70" t="s">
        <v>199</v>
      </c>
      <c r="B241" s="67">
        <f>+SUM(B242:B248)</f>
        <v>952163.96462113166</v>
      </c>
      <c r="C241" s="67">
        <f t="shared" ref="C241:J241" si="48">+SUM(C242:C248)</f>
        <v>0</v>
      </c>
      <c r="D241" s="67">
        <f t="shared" si="48"/>
        <v>675475.61596874997</v>
      </c>
      <c r="E241" s="67">
        <f t="shared" si="48"/>
        <v>386326.71292708302</v>
      </c>
      <c r="F241" s="67">
        <f t="shared" si="48"/>
        <v>433516.25836428563</v>
      </c>
      <c r="G241" s="67">
        <f t="shared" si="48"/>
        <v>241812.14353571442</v>
      </c>
      <c r="H241" s="67">
        <f t="shared" si="48"/>
        <v>155829.26235714319</v>
      </c>
      <c r="I241" s="67">
        <f t="shared" si="48"/>
        <v>702927.25199999998</v>
      </c>
      <c r="J241" s="67">
        <f t="shared" si="48"/>
        <v>468618.16800000001</v>
      </c>
    </row>
    <row r="242" spans="1:10">
      <c r="A242" s="61" t="s">
        <v>200</v>
      </c>
      <c r="B242" s="68">
        <v>0</v>
      </c>
      <c r="C242" s="68">
        <v>0</v>
      </c>
      <c r="D242" s="68">
        <v>0</v>
      </c>
      <c r="E242" s="68">
        <v>0</v>
      </c>
      <c r="F242" s="68">
        <v>0</v>
      </c>
      <c r="G242" s="68">
        <v>0</v>
      </c>
      <c r="H242" s="68">
        <v>0</v>
      </c>
      <c r="I242" s="68">
        <v>0</v>
      </c>
      <c r="J242" s="68">
        <v>0</v>
      </c>
    </row>
    <row r="243" spans="1:10">
      <c r="A243" s="61" t="s">
        <v>238</v>
      </c>
      <c r="B243" s="68">
        <v>952163.96462113166</v>
      </c>
      <c r="C243" s="68">
        <v>0</v>
      </c>
      <c r="D243" s="68">
        <v>675475.61596874997</v>
      </c>
      <c r="E243" s="68">
        <v>386326.71292708302</v>
      </c>
      <c r="F243" s="68">
        <v>433516.25836428563</v>
      </c>
      <c r="G243" s="68">
        <v>241812.14353571442</v>
      </c>
      <c r="H243" s="68">
        <v>155829.26235714319</v>
      </c>
      <c r="I243" s="68">
        <v>702927.25199999998</v>
      </c>
      <c r="J243" s="68">
        <v>468618.16800000001</v>
      </c>
    </row>
    <row r="244" spans="1:10">
      <c r="A244" s="61" t="s">
        <v>239</v>
      </c>
      <c r="B244" s="68">
        <v>0</v>
      </c>
      <c r="C244" s="68">
        <v>0</v>
      </c>
      <c r="D244" s="68">
        <v>0</v>
      </c>
      <c r="E244" s="68">
        <v>0</v>
      </c>
      <c r="F244" s="68">
        <v>0</v>
      </c>
      <c r="G244" s="68">
        <v>0</v>
      </c>
      <c r="H244" s="68">
        <v>0</v>
      </c>
      <c r="I244" s="68">
        <v>0</v>
      </c>
      <c r="J244" s="68">
        <v>0</v>
      </c>
    </row>
    <row r="245" spans="1:10">
      <c r="A245" s="61" t="s">
        <v>240</v>
      </c>
      <c r="B245" s="68">
        <v>0</v>
      </c>
      <c r="C245" s="68">
        <v>0</v>
      </c>
      <c r="D245" s="68">
        <v>0</v>
      </c>
      <c r="E245" s="68">
        <v>0</v>
      </c>
      <c r="F245" s="68">
        <v>0</v>
      </c>
      <c r="G245" s="68">
        <v>0</v>
      </c>
      <c r="H245" s="68">
        <v>0</v>
      </c>
      <c r="I245" s="68">
        <v>0</v>
      </c>
      <c r="J245" s="68">
        <v>0</v>
      </c>
    </row>
    <row r="246" spans="1:10">
      <c r="A246" s="61" t="s">
        <v>241</v>
      </c>
      <c r="B246" s="68">
        <v>0</v>
      </c>
      <c r="C246" s="68">
        <v>0</v>
      </c>
      <c r="D246" s="68">
        <v>0</v>
      </c>
      <c r="E246" s="68">
        <v>0</v>
      </c>
      <c r="F246" s="68">
        <v>0</v>
      </c>
      <c r="G246" s="68">
        <v>0</v>
      </c>
      <c r="H246" s="68">
        <v>0</v>
      </c>
      <c r="I246" s="68">
        <v>0</v>
      </c>
      <c r="J246" s="68">
        <v>0</v>
      </c>
    </row>
    <row r="247" spans="1:10">
      <c r="A247" s="61" t="s">
        <v>242</v>
      </c>
      <c r="B247" s="68">
        <v>0</v>
      </c>
      <c r="C247" s="68">
        <v>0</v>
      </c>
      <c r="D247" s="68">
        <v>0</v>
      </c>
      <c r="E247" s="68">
        <v>0</v>
      </c>
      <c r="F247" s="68">
        <v>0</v>
      </c>
      <c r="G247" s="68">
        <v>0</v>
      </c>
      <c r="H247" s="68">
        <v>0</v>
      </c>
      <c r="I247" s="68">
        <v>0</v>
      </c>
      <c r="J247" s="68">
        <v>0</v>
      </c>
    </row>
    <row r="248" spans="1:10">
      <c r="A248" s="60"/>
      <c r="B248" s="68"/>
      <c r="C248" s="68"/>
      <c r="D248" s="68"/>
      <c r="E248" s="68"/>
      <c r="F248" s="68"/>
      <c r="G248" s="68"/>
      <c r="H248" s="68"/>
      <c r="I248" s="69"/>
      <c r="J248" s="69"/>
    </row>
    <row r="249" spans="1:10">
      <c r="A249" s="64" t="s">
        <v>201</v>
      </c>
      <c r="B249" s="67">
        <f t="shared" ref="B249:J249" si="49">+B233-B236-B241</f>
        <v>-4791543.3114265418</v>
      </c>
      <c r="C249" s="67">
        <f t="shared" si="49"/>
        <v>139097.97000000015</v>
      </c>
      <c r="D249" s="67">
        <f t="shared" si="49"/>
        <v>170513.51832206605</v>
      </c>
      <c r="E249" s="67">
        <f t="shared" si="49"/>
        <v>586770.51912037306</v>
      </c>
      <c r="F249" s="67">
        <f t="shared" si="49"/>
        <v>-2296044.4572168496</v>
      </c>
      <c r="G249" s="67">
        <f t="shared" si="49"/>
        <v>376879.56230631162</v>
      </c>
      <c r="H249" s="67">
        <f t="shared" si="49"/>
        <v>-248264.5228520149</v>
      </c>
      <c r="I249" s="67">
        <f t="shared" si="49"/>
        <v>-942587.90515207278</v>
      </c>
      <c r="J249" s="67">
        <f t="shared" si="49"/>
        <v>-691625.07107692305</v>
      </c>
    </row>
    <row r="250" spans="1:10">
      <c r="A250" s="74" t="s">
        <v>58</v>
      </c>
      <c r="B250" s="116">
        <f>IFERROR(B249/B70,0)</f>
        <v>-5.7531509388298145E-2</v>
      </c>
      <c r="C250" s="116">
        <f t="shared" ref="C250:J250" si="50">IFERROR(C249/C70,0)</f>
        <v>0.21338014592868523</v>
      </c>
      <c r="D250" s="116">
        <f t="shared" si="50"/>
        <v>1.1169631377160058E-2</v>
      </c>
      <c r="E250" s="116">
        <f t="shared" si="50"/>
        <v>0.17755390661085327</v>
      </c>
      <c r="F250" s="116">
        <f t="shared" si="50"/>
        <v>-8.8525792505475626E-2</v>
      </c>
      <c r="G250" s="116">
        <f t="shared" si="50"/>
        <v>4.7317303841806616E-2</v>
      </c>
      <c r="H250" s="116">
        <f t="shared" si="50"/>
        <v>-0.30657428416543409</v>
      </c>
      <c r="I250" s="116">
        <f t="shared" si="50"/>
        <v>-0.24480755150682679</v>
      </c>
      <c r="J250" s="116">
        <f t="shared" si="50"/>
        <v>-2.2498427869614139</v>
      </c>
    </row>
  </sheetData>
  <mergeCells count="5">
    <mergeCell ref="A1:J1"/>
    <mergeCell ref="A2:A3"/>
    <mergeCell ref="B2:E2"/>
    <mergeCell ref="F2:H2"/>
    <mergeCell ref="I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2A6F-ED32-4C29-B223-2019EA1E7765}">
  <dimension ref="A1:J250"/>
  <sheetViews>
    <sheetView topLeftCell="A24" workbookViewId="0">
      <selection activeCell="B24" sqref="B24"/>
    </sheetView>
  </sheetViews>
  <sheetFormatPr defaultColWidth="8.7109375" defaultRowHeight="15"/>
  <cols>
    <col min="1" max="1" width="40.85546875" style="49" bestFit="1" customWidth="1"/>
    <col min="2" max="2" width="12.42578125" style="49" bestFit="1" customWidth="1"/>
    <col min="3" max="3" width="10.42578125" style="49" bestFit="1" customWidth="1"/>
    <col min="4" max="5" width="11.5703125" style="49" bestFit="1" customWidth="1"/>
    <col min="6" max="6" width="12.140625" style="49" bestFit="1" customWidth="1"/>
    <col min="7" max="9" width="10" style="49" bestFit="1" customWidth="1"/>
    <col min="10" max="10" width="8.85546875" style="49" bestFit="1" customWidth="1"/>
    <col min="11" max="16384" width="8.7109375" style="49"/>
  </cols>
  <sheetData>
    <row r="1" spans="1:10" ht="15.75">
      <c r="A1" s="124" t="s">
        <v>244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0" ht="14.45" customHeight="1">
      <c r="A2" s="125" t="s">
        <v>1</v>
      </c>
      <c r="B2" s="127" t="s">
        <v>209</v>
      </c>
      <c r="C2" s="128"/>
      <c r="D2" s="128"/>
      <c r="E2" s="128"/>
      <c r="F2" s="129" t="s">
        <v>213</v>
      </c>
      <c r="G2" s="130"/>
      <c r="H2" s="130"/>
      <c r="I2" s="130" t="s">
        <v>214</v>
      </c>
      <c r="J2" s="130"/>
    </row>
    <row r="3" spans="1:10">
      <c r="A3" s="126"/>
      <c r="B3" s="51" t="s">
        <v>215</v>
      </c>
      <c r="C3" s="51" t="s">
        <v>216</v>
      </c>
      <c r="D3" s="52" t="s">
        <v>217</v>
      </c>
      <c r="E3" s="53" t="s">
        <v>218</v>
      </c>
      <c r="F3" s="51" t="s">
        <v>215</v>
      </c>
      <c r="G3" s="52" t="s">
        <v>217</v>
      </c>
      <c r="H3" s="52" t="s">
        <v>218</v>
      </c>
      <c r="I3" s="54" t="s">
        <v>217</v>
      </c>
      <c r="J3" s="54" t="s">
        <v>218</v>
      </c>
    </row>
    <row r="4" spans="1:10">
      <c r="A4" s="55" t="s">
        <v>3</v>
      </c>
      <c r="B4" s="56">
        <v>21</v>
      </c>
      <c r="C4" s="56"/>
      <c r="D4" s="56"/>
      <c r="E4" s="56"/>
      <c r="F4" s="56">
        <v>23</v>
      </c>
      <c r="G4" s="56"/>
      <c r="H4" s="56"/>
      <c r="I4" s="56"/>
      <c r="J4" s="56"/>
    </row>
    <row r="5" spans="1:10" ht="17.25">
      <c r="A5" s="57" t="s">
        <v>4</v>
      </c>
      <c r="B5" s="56"/>
      <c r="C5" s="56"/>
      <c r="D5" s="56"/>
      <c r="E5" s="56"/>
      <c r="F5" s="56"/>
      <c r="G5" s="56"/>
      <c r="H5" s="56"/>
      <c r="I5" s="50"/>
      <c r="J5" s="50"/>
    </row>
    <row r="6" spans="1:10">
      <c r="A6" s="55" t="s">
        <v>5</v>
      </c>
      <c r="B6" s="58">
        <f>+B7+B8+B13</f>
        <v>5575448.6390699996</v>
      </c>
      <c r="C6" s="58">
        <f t="shared" ref="C6:J6" si="0">+C7+C8+C13</f>
        <v>0</v>
      </c>
      <c r="D6" s="58">
        <f t="shared" si="0"/>
        <v>0</v>
      </c>
      <c r="E6" s="58">
        <f t="shared" si="0"/>
        <v>0</v>
      </c>
      <c r="F6" s="58">
        <f t="shared" si="0"/>
        <v>6959017.6232200004</v>
      </c>
      <c r="G6" s="58">
        <f t="shared" si="0"/>
        <v>0</v>
      </c>
      <c r="H6" s="58">
        <f t="shared" si="0"/>
        <v>0</v>
      </c>
      <c r="I6" s="58">
        <f t="shared" si="0"/>
        <v>0</v>
      </c>
      <c r="J6" s="58">
        <f t="shared" si="0"/>
        <v>0</v>
      </c>
    </row>
    <row r="7" spans="1:10">
      <c r="A7" s="55" t="s">
        <v>6</v>
      </c>
      <c r="B7" s="58">
        <v>3553815.2947499999</v>
      </c>
      <c r="C7" s="58">
        <v>0</v>
      </c>
      <c r="D7" s="58">
        <v>0</v>
      </c>
      <c r="E7" s="58">
        <v>0</v>
      </c>
      <c r="F7" s="58">
        <v>4655198.2309000008</v>
      </c>
      <c r="G7" s="58">
        <v>0</v>
      </c>
      <c r="H7" s="58">
        <v>0</v>
      </c>
      <c r="I7" s="59">
        <v>0</v>
      </c>
      <c r="J7" s="59">
        <v>0</v>
      </c>
    </row>
    <row r="8" spans="1:10">
      <c r="A8" s="55" t="s">
        <v>219</v>
      </c>
      <c r="B8" s="58">
        <f>+B9+B10+B11+B12</f>
        <v>1414268.3443199999</v>
      </c>
      <c r="C8" s="58">
        <f t="shared" ref="C8:J8" si="1">+C9+C10+C11+C12</f>
        <v>0</v>
      </c>
      <c r="D8" s="58">
        <f t="shared" si="1"/>
        <v>0</v>
      </c>
      <c r="E8" s="58">
        <f t="shared" si="1"/>
        <v>0</v>
      </c>
      <c r="F8" s="58">
        <f t="shared" si="1"/>
        <v>1542052.3923200001</v>
      </c>
      <c r="G8" s="58">
        <f t="shared" si="1"/>
        <v>0</v>
      </c>
      <c r="H8" s="58">
        <f t="shared" si="1"/>
        <v>0</v>
      </c>
      <c r="I8" s="58">
        <f t="shared" si="1"/>
        <v>0</v>
      </c>
      <c r="J8" s="58">
        <f t="shared" si="1"/>
        <v>0</v>
      </c>
    </row>
    <row r="9" spans="1:10">
      <c r="A9" s="75" t="s">
        <v>7</v>
      </c>
      <c r="B9" s="56">
        <v>1414268.3443199999</v>
      </c>
      <c r="C9" s="56">
        <v>0</v>
      </c>
      <c r="D9" s="56">
        <v>0</v>
      </c>
      <c r="E9" s="56">
        <v>0</v>
      </c>
      <c r="F9" s="56">
        <v>1542052.3923200001</v>
      </c>
      <c r="G9" s="56">
        <v>0</v>
      </c>
      <c r="H9" s="56">
        <v>0</v>
      </c>
      <c r="I9" s="50">
        <v>0</v>
      </c>
      <c r="J9" s="50">
        <v>0</v>
      </c>
    </row>
    <row r="10" spans="1:10">
      <c r="A10" s="75" t="s">
        <v>8</v>
      </c>
      <c r="B10" s="56">
        <v>0</v>
      </c>
      <c r="C10" s="56">
        <v>0</v>
      </c>
      <c r="D10" s="56">
        <v>0</v>
      </c>
      <c r="E10" s="56">
        <v>0</v>
      </c>
      <c r="F10" s="56">
        <v>0</v>
      </c>
      <c r="G10" s="56">
        <v>0</v>
      </c>
      <c r="H10" s="56">
        <v>0</v>
      </c>
      <c r="I10" s="50">
        <v>0</v>
      </c>
      <c r="J10" s="50">
        <v>0</v>
      </c>
    </row>
    <row r="11" spans="1:10">
      <c r="A11" s="75" t="s">
        <v>9</v>
      </c>
      <c r="B11" s="56">
        <v>0</v>
      </c>
      <c r="C11" s="56">
        <v>0</v>
      </c>
      <c r="D11" s="56">
        <v>0</v>
      </c>
      <c r="E11" s="56">
        <v>0</v>
      </c>
      <c r="F11" s="56">
        <v>0</v>
      </c>
      <c r="G11" s="56">
        <v>0</v>
      </c>
      <c r="H11" s="56">
        <v>0</v>
      </c>
      <c r="I11" s="50">
        <v>0</v>
      </c>
      <c r="J11" s="50">
        <v>0</v>
      </c>
    </row>
    <row r="12" spans="1:10">
      <c r="A12" s="75" t="s">
        <v>10</v>
      </c>
      <c r="B12" s="56">
        <v>0</v>
      </c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0">
        <v>0</v>
      </c>
      <c r="J12" s="50">
        <v>0</v>
      </c>
    </row>
    <row r="13" spans="1:10">
      <c r="A13" s="55" t="s">
        <v>11</v>
      </c>
      <c r="B13" s="58">
        <f>+B14+B15+B16</f>
        <v>607365</v>
      </c>
      <c r="C13" s="58">
        <f t="shared" ref="C13:J13" si="2">+C14+C15+C16</f>
        <v>0</v>
      </c>
      <c r="D13" s="58">
        <f t="shared" si="2"/>
        <v>0</v>
      </c>
      <c r="E13" s="58">
        <f t="shared" si="2"/>
        <v>0</v>
      </c>
      <c r="F13" s="58">
        <f t="shared" si="2"/>
        <v>761767</v>
      </c>
      <c r="G13" s="58">
        <f t="shared" si="2"/>
        <v>0</v>
      </c>
      <c r="H13" s="58">
        <f t="shared" si="2"/>
        <v>0</v>
      </c>
      <c r="I13" s="58">
        <f t="shared" si="2"/>
        <v>0</v>
      </c>
      <c r="J13" s="58">
        <f t="shared" si="2"/>
        <v>0</v>
      </c>
    </row>
    <row r="14" spans="1:10">
      <c r="A14" s="76" t="s">
        <v>12</v>
      </c>
      <c r="B14" s="56">
        <v>121473</v>
      </c>
      <c r="C14" s="56">
        <v>0</v>
      </c>
      <c r="D14" s="56">
        <v>0</v>
      </c>
      <c r="E14" s="56">
        <v>0</v>
      </c>
      <c r="F14" s="56">
        <v>152353</v>
      </c>
      <c r="G14" s="56">
        <v>0</v>
      </c>
      <c r="H14" s="56">
        <v>0</v>
      </c>
      <c r="I14" s="50">
        <v>0</v>
      </c>
      <c r="J14" s="50">
        <v>0</v>
      </c>
    </row>
    <row r="15" spans="1:10">
      <c r="A15" s="76" t="s">
        <v>13</v>
      </c>
      <c r="B15" s="56">
        <v>242946</v>
      </c>
      <c r="C15" s="56">
        <v>0</v>
      </c>
      <c r="D15" s="56">
        <v>0</v>
      </c>
      <c r="E15" s="56">
        <v>0</v>
      </c>
      <c r="F15" s="56">
        <v>304707</v>
      </c>
      <c r="G15" s="56">
        <v>0</v>
      </c>
      <c r="H15" s="56">
        <v>0</v>
      </c>
      <c r="I15" s="50">
        <v>0</v>
      </c>
      <c r="J15" s="50">
        <v>0</v>
      </c>
    </row>
    <row r="16" spans="1:10">
      <c r="A16" s="76" t="s">
        <v>14</v>
      </c>
      <c r="B16" s="56">
        <v>242946</v>
      </c>
      <c r="C16" s="56">
        <v>0</v>
      </c>
      <c r="D16" s="56">
        <v>0</v>
      </c>
      <c r="E16" s="56">
        <v>0</v>
      </c>
      <c r="F16" s="56">
        <v>304707</v>
      </c>
      <c r="G16" s="56">
        <v>0</v>
      </c>
      <c r="H16" s="56">
        <v>0</v>
      </c>
      <c r="I16" s="50">
        <v>0</v>
      </c>
      <c r="J16" s="50">
        <v>0</v>
      </c>
    </row>
    <row r="17" spans="1:10" ht="17.25">
      <c r="A17" s="57" t="s">
        <v>15</v>
      </c>
      <c r="B17" s="56"/>
      <c r="C17" s="56"/>
      <c r="D17" s="56"/>
      <c r="E17" s="56"/>
      <c r="F17" s="56"/>
      <c r="G17" s="56"/>
      <c r="H17" s="56"/>
      <c r="I17" s="50"/>
      <c r="J17" s="50"/>
    </row>
    <row r="18" spans="1:10">
      <c r="A18" s="61" t="s">
        <v>16</v>
      </c>
      <c r="B18" s="56">
        <v>6</v>
      </c>
      <c r="C18" s="56">
        <v>0</v>
      </c>
      <c r="D18" s="56">
        <v>0</v>
      </c>
      <c r="E18" s="56">
        <v>0</v>
      </c>
      <c r="F18" s="56">
        <v>1</v>
      </c>
      <c r="G18" s="56">
        <v>0</v>
      </c>
      <c r="H18" s="56">
        <v>0</v>
      </c>
      <c r="I18" s="50">
        <v>0</v>
      </c>
      <c r="J18" s="50">
        <v>0</v>
      </c>
    </row>
    <row r="19" spans="1:10">
      <c r="A19" s="61" t="s">
        <v>17</v>
      </c>
      <c r="B19" s="56">
        <v>23057129.399999999</v>
      </c>
      <c r="C19" s="56">
        <v>0</v>
      </c>
      <c r="D19" s="56">
        <v>0</v>
      </c>
      <c r="E19" s="56">
        <v>0</v>
      </c>
      <c r="F19" s="56">
        <v>6333333.3300000001</v>
      </c>
      <c r="G19" s="56">
        <v>0</v>
      </c>
      <c r="H19" s="56">
        <v>0</v>
      </c>
      <c r="I19" s="50">
        <v>0</v>
      </c>
      <c r="J19" s="50">
        <v>0</v>
      </c>
    </row>
    <row r="20" spans="1:10">
      <c r="A20" s="61" t="s">
        <v>18</v>
      </c>
      <c r="B20" s="56">
        <v>26520153.550000001</v>
      </c>
      <c r="C20" s="56">
        <v>0</v>
      </c>
      <c r="D20" s="56">
        <v>0</v>
      </c>
      <c r="E20" s="56">
        <v>0</v>
      </c>
      <c r="F20" s="56">
        <v>6532939.3799999999</v>
      </c>
      <c r="G20" s="56">
        <v>0</v>
      </c>
      <c r="H20" s="56">
        <v>0</v>
      </c>
      <c r="I20" s="50">
        <v>0</v>
      </c>
      <c r="J20" s="50">
        <v>0</v>
      </c>
    </row>
    <row r="21" spans="1:10">
      <c r="A21" s="61" t="s">
        <v>19</v>
      </c>
      <c r="B21" s="56"/>
      <c r="C21" s="56"/>
      <c r="D21" s="56"/>
      <c r="E21" s="56"/>
      <c r="F21" s="56"/>
      <c r="G21" s="56"/>
      <c r="H21" s="56"/>
      <c r="I21" s="50"/>
      <c r="J21" s="50"/>
    </row>
    <row r="22" spans="1:10" ht="17.25">
      <c r="A22" s="57" t="s">
        <v>220</v>
      </c>
      <c r="B22" s="56"/>
      <c r="C22" s="56"/>
      <c r="D22" s="56"/>
      <c r="E22" s="56"/>
      <c r="F22" s="56"/>
      <c r="G22" s="56"/>
      <c r="H22" s="56"/>
      <c r="I22" s="50"/>
      <c r="J22" s="50"/>
    </row>
    <row r="23" spans="1:10">
      <c r="A23" s="61" t="s">
        <v>16</v>
      </c>
      <c r="B23" s="56">
        <v>6</v>
      </c>
      <c r="C23" s="56"/>
      <c r="D23" s="56"/>
      <c r="E23" s="56"/>
      <c r="F23" s="56"/>
      <c r="G23" s="56"/>
      <c r="H23" s="56"/>
      <c r="I23" s="50"/>
      <c r="J23" s="50"/>
    </row>
    <row r="24" spans="1:10">
      <c r="A24" s="61" t="s">
        <v>21</v>
      </c>
      <c r="B24" s="56">
        <v>13262641.530000001</v>
      </c>
      <c r="C24" s="56"/>
      <c r="D24" s="56"/>
      <c r="E24" s="56"/>
      <c r="F24" s="56"/>
      <c r="G24" s="56"/>
      <c r="H24" s="56"/>
      <c r="I24" s="50"/>
      <c r="J24" s="50"/>
    </row>
    <row r="25" spans="1:10">
      <c r="A25" s="61" t="s">
        <v>22</v>
      </c>
      <c r="B25" s="56">
        <v>13119999.999999998</v>
      </c>
      <c r="C25" s="56"/>
      <c r="D25" s="56"/>
      <c r="E25" s="56"/>
      <c r="F25" s="56"/>
      <c r="G25" s="56"/>
      <c r="H25" s="56"/>
      <c r="I25" s="50"/>
      <c r="J25" s="50"/>
    </row>
    <row r="26" spans="1:10">
      <c r="A26" s="61" t="s">
        <v>23</v>
      </c>
      <c r="B26" s="56"/>
      <c r="C26" s="56"/>
      <c r="D26" s="56"/>
      <c r="E26" s="56"/>
      <c r="F26" s="56"/>
      <c r="G26" s="56"/>
      <c r="H26" s="56"/>
      <c r="I26" s="50"/>
      <c r="J26" s="50"/>
    </row>
    <row r="27" spans="1:10">
      <c r="A27" s="61" t="s">
        <v>20</v>
      </c>
      <c r="B27" s="58">
        <f>+B24-B25-B26</f>
        <v>142641.53000000305</v>
      </c>
      <c r="C27" s="58">
        <f t="shared" ref="C27:J27" si="3">+C24-C25-C26</f>
        <v>0</v>
      </c>
      <c r="D27" s="58">
        <f t="shared" si="3"/>
        <v>0</v>
      </c>
      <c r="E27" s="58">
        <f t="shared" si="3"/>
        <v>0</v>
      </c>
      <c r="F27" s="58">
        <f t="shared" si="3"/>
        <v>0</v>
      </c>
      <c r="G27" s="58">
        <f t="shared" si="3"/>
        <v>0</v>
      </c>
      <c r="H27" s="58">
        <f t="shared" si="3"/>
        <v>0</v>
      </c>
      <c r="I27" s="58">
        <f t="shared" si="3"/>
        <v>0</v>
      </c>
      <c r="J27" s="58">
        <f t="shared" si="3"/>
        <v>0</v>
      </c>
    </row>
    <row r="28" spans="1:10">
      <c r="A28" s="60"/>
      <c r="B28" s="56"/>
      <c r="C28" s="56"/>
      <c r="D28" s="56"/>
      <c r="E28" s="56"/>
      <c r="F28" s="56"/>
      <c r="G28" s="56"/>
      <c r="H28" s="56"/>
      <c r="I28" s="50"/>
      <c r="J28" s="50"/>
    </row>
    <row r="29" spans="1:10" ht="17.25">
      <c r="A29" s="57" t="s">
        <v>24</v>
      </c>
      <c r="B29" s="58">
        <f>+SUM(B31:B37)</f>
        <v>0</v>
      </c>
      <c r="C29" s="58">
        <f t="shared" ref="C29:J29" si="4">+SUM(C31:C37)</f>
        <v>0</v>
      </c>
      <c r="D29" s="58">
        <f t="shared" si="4"/>
        <v>20609734.06115295</v>
      </c>
      <c r="E29" s="58">
        <f t="shared" si="4"/>
        <v>9337881.0999999996</v>
      </c>
      <c r="F29" s="58">
        <f t="shared" si="4"/>
        <v>0</v>
      </c>
      <c r="G29" s="58">
        <f t="shared" si="4"/>
        <v>8649893.0215390846</v>
      </c>
      <c r="H29" s="58">
        <f t="shared" si="4"/>
        <v>3742593.15</v>
      </c>
      <c r="I29" s="58">
        <f t="shared" si="4"/>
        <v>2107226.63</v>
      </c>
      <c r="J29" s="58">
        <f t="shared" si="4"/>
        <v>926380.9</v>
      </c>
    </row>
    <row r="30" spans="1:10">
      <c r="A30" s="62" t="s">
        <v>25</v>
      </c>
      <c r="B30" s="56">
        <v>0</v>
      </c>
      <c r="C30" s="56">
        <v>0</v>
      </c>
      <c r="D30" s="56">
        <v>386</v>
      </c>
      <c r="E30" s="56">
        <v>49</v>
      </c>
      <c r="F30" s="56">
        <v>0</v>
      </c>
      <c r="G30" s="56">
        <v>263</v>
      </c>
      <c r="H30" s="56">
        <v>30</v>
      </c>
      <c r="I30" s="50">
        <v>84</v>
      </c>
      <c r="J30" s="50">
        <v>7</v>
      </c>
    </row>
    <row r="31" spans="1:10">
      <c r="A31" s="61" t="s">
        <v>26</v>
      </c>
      <c r="B31" s="56">
        <v>0</v>
      </c>
      <c r="C31" s="56">
        <v>0</v>
      </c>
      <c r="D31" s="56">
        <v>5730659.2799999909</v>
      </c>
      <c r="E31" s="56">
        <v>7747414.9500000002</v>
      </c>
      <c r="F31" s="56">
        <v>0</v>
      </c>
      <c r="G31" s="56">
        <v>5570136.7099999934</v>
      </c>
      <c r="H31" s="56">
        <v>3214545</v>
      </c>
      <c r="I31" s="50">
        <v>1299903.19</v>
      </c>
      <c r="J31" s="50">
        <v>693078</v>
      </c>
    </row>
    <row r="32" spans="1:10">
      <c r="A32" s="61" t="s">
        <v>27</v>
      </c>
      <c r="B32" s="56">
        <v>0</v>
      </c>
      <c r="C32" s="56">
        <v>0</v>
      </c>
      <c r="D32" s="56">
        <v>2408534.0499999998</v>
      </c>
      <c r="E32" s="56">
        <v>1590466.1500000001</v>
      </c>
      <c r="F32" s="56">
        <v>0</v>
      </c>
      <c r="G32" s="56">
        <v>1705997.0700000003</v>
      </c>
      <c r="H32" s="56">
        <v>528048.15</v>
      </c>
      <c r="I32" s="50">
        <v>459050.8</v>
      </c>
      <c r="J32" s="50">
        <v>233302.9</v>
      </c>
    </row>
    <row r="33" spans="1:10">
      <c r="A33" s="61" t="s">
        <v>28</v>
      </c>
      <c r="B33" s="56">
        <v>0</v>
      </c>
      <c r="C33" s="56">
        <v>0</v>
      </c>
      <c r="D33" s="56">
        <v>9018030.5600000005</v>
      </c>
      <c r="E33" s="56">
        <v>0</v>
      </c>
      <c r="F33" s="56">
        <v>0</v>
      </c>
      <c r="G33" s="56">
        <v>624996.30000000005</v>
      </c>
      <c r="H33" s="56">
        <v>0</v>
      </c>
      <c r="I33" s="50">
        <v>321786.64</v>
      </c>
      <c r="J33" s="50">
        <v>0</v>
      </c>
    </row>
    <row r="34" spans="1:10">
      <c r="A34" s="61" t="s">
        <v>29</v>
      </c>
      <c r="B34" s="56">
        <v>0</v>
      </c>
      <c r="C34" s="56">
        <v>0</v>
      </c>
      <c r="D34" s="56">
        <v>1358809.6</v>
      </c>
      <c r="E34" s="56">
        <v>0</v>
      </c>
      <c r="F34" s="56">
        <v>0</v>
      </c>
      <c r="G34" s="56">
        <v>97475.03</v>
      </c>
      <c r="H34" s="56">
        <v>0</v>
      </c>
      <c r="I34" s="50">
        <v>26486</v>
      </c>
      <c r="J34" s="50">
        <v>0</v>
      </c>
    </row>
    <row r="35" spans="1:10">
      <c r="A35" s="61" t="s">
        <v>30</v>
      </c>
      <c r="B35" s="56">
        <v>0</v>
      </c>
      <c r="C35" s="56">
        <v>0</v>
      </c>
      <c r="D35" s="56">
        <v>639641.80000000005</v>
      </c>
      <c r="E35" s="56">
        <v>0</v>
      </c>
      <c r="F35" s="56">
        <v>0</v>
      </c>
      <c r="G35" s="56">
        <v>29216.62</v>
      </c>
      <c r="H35" s="56">
        <v>0</v>
      </c>
      <c r="I35" s="50">
        <v>0</v>
      </c>
      <c r="J35" s="50">
        <v>0</v>
      </c>
    </row>
    <row r="36" spans="1:10">
      <c r="A36" s="61" t="s">
        <v>31</v>
      </c>
      <c r="B36" s="56">
        <v>0</v>
      </c>
      <c r="C36" s="56">
        <v>0</v>
      </c>
      <c r="D36" s="56">
        <v>1225244.3511529523</v>
      </c>
      <c r="E36" s="56">
        <v>0</v>
      </c>
      <c r="F36" s="56">
        <v>0</v>
      </c>
      <c r="G36" s="56">
        <v>622071.29153909127</v>
      </c>
      <c r="H36" s="56">
        <v>0</v>
      </c>
      <c r="I36" s="50">
        <v>0</v>
      </c>
      <c r="J36" s="50">
        <v>0</v>
      </c>
    </row>
    <row r="37" spans="1:10">
      <c r="A37" s="61" t="s">
        <v>32</v>
      </c>
      <c r="B37" s="56">
        <v>0</v>
      </c>
      <c r="C37" s="56">
        <v>0</v>
      </c>
      <c r="D37" s="56">
        <v>228814.42</v>
      </c>
      <c r="E37" s="56">
        <v>0</v>
      </c>
      <c r="F37" s="56">
        <v>0</v>
      </c>
      <c r="G37" s="56">
        <v>0</v>
      </c>
      <c r="H37" s="56">
        <v>0</v>
      </c>
      <c r="I37" s="50">
        <v>0</v>
      </c>
      <c r="J37" s="50">
        <v>0</v>
      </c>
    </row>
    <row r="38" spans="1:10">
      <c r="A38" s="62" t="s">
        <v>33</v>
      </c>
      <c r="B38" s="58">
        <f>+SUM(B39:B42)</f>
        <v>28106.940000000002</v>
      </c>
      <c r="C38" s="58">
        <f t="shared" ref="C38:J38" si="5">+SUM(C39:C42)</f>
        <v>0</v>
      </c>
      <c r="D38" s="58">
        <f t="shared" si="5"/>
        <v>16068047.850000003</v>
      </c>
      <c r="E38" s="58">
        <f t="shared" si="5"/>
        <v>6167475.330000001</v>
      </c>
      <c r="F38" s="58">
        <f t="shared" si="5"/>
        <v>2577.6799999999998</v>
      </c>
      <c r="G38" s="58">
        <f t="shared" si="5"/>
        <v>5954109.7199999997</v>
      </c>
      <c r="H38" s="58">
        <f t="shared" si="5"/>
        <v>2666201.5699999998</v>
      </c>
      <c r="I38" s="58">
        <f t="shared" si="5"/>
        <v>1495073.0000000002</v>
      </c>
      <c r="J38" s="58">
        <f t="shared" si="5"/>
        <v>602594.72</v>
      </c>
    </row>
    <row r="39" spans="1:10">
      <c r="A39" s="61" t="s">
        <v>34</v>
      </c>
      <c r="B39" s="56">
        <v>0</v>
      </c>
      <c r="C39" s="56">
        <v>0</v>
      </c>
      <c r="D39" s="56">
        <v>14927165.180000003</v>
      </c>
      <c r="E39" s="56">
        <v>5935189.9300000006</v>
      </c>
      <c r="F39" s="56">
        <v>0</v>
      </c>
      <c r="G39" s="56">
        <v>5481002.04</v>
      </c>
      <c r="H39" s="56">
        <v>2544337.21</v>
      </c>
      <c r="I39" s="50">
        <v>1330631.4500000002</v>
      </c>
      <c r="J39" s="50">
        <v>578234.72</v>
      </c>
    </row>
    <row r="40" spans="1:10">
      <c r="A40" s="61" t="s">
        <v>35</v>
      </c>
      <c r="B40" s="56">
        <v>0</v>
      </c>
      <c r="C40" s="56">
        <v>0</v>
      </c>
      <c r="D40" s="56">
        <v>512706</v>
      </c>
      <c r="E40" s="56">
        <v>152500</v>
      </c>
      <c r="F40" s="56">
        <v>0</v>
      </c>
      <c r="G40" s="56">
        <v>315473</v>
      </c>
      <c r="H40" s="56">
        <v>74000</v>
      </c>
      <c r="I40" s="50">
        <v>124800</v>
      </c>
      <c r="J40" s="50">
        <v>24000</v>
      </c>
    </row>
    <row r="41" spans="1:10">
      <c r="A41" s="61" t="s">
        <v>36</v>
      </c>
      <c r="B41" s="56">
        <v>0</v>
      </c>
      <c r="C41" s="56">
        <v>0</v>
      </c>
      <c r="D41" s="56">
        <v>55830.32</v>
      </c>
      <c r="E41" s="56">
        <v>79785.399999999994</v>
      </c>
      <c r="F41" s="56">
        <v>0</v>
      </c>
      <c r="G41" s="56">
        <v>41230.679999999993</v>
      </c>
      <c r="H41" s="56">
        <v>47864.36</v>
      </c>
      <c r="I41" s="50">
        <v>17091.55</v>
      </c>
      <c r="J41" s="50">
        <v>360</v>
      </c>
    </row>
    <row r="42" spans="1:10">
      <c r="A42" s="61" t="s">
        <v>37</v>
      </c>
      <c r="B42" s="56">
        <v>28106.940000000002</v>
      </c>
      <c r="C42" s="56">
        <v>0</v>
      </c>
      <c r="D42" s="56">
        <v>572346.35</v>
      </c>
      <c r="E42" s="56">
        <v>0</v>
      </c>
      <c r="F42" s="56">
        <v>2577.6799999999998</v>
      </c>
      <c r="G42" s="56">
        <v>116404</v>
      </c>
      <c r="H42" s="56">
        <v>0</v>
      </c>
      <c r="I42" s="50">
        <v>22550</v>
      </c>
      <c r="J42" s="50">
        <v>0</v>
      </c>
    </row>
    <row r="43" spans="1:10">
      <c r="A43" s="62" t="s">
        <v>20</v>
      </c>
      <c r="B43" s="58">
        <f>+B29-B38</f>
        <v>-28106.940000000002</v>
      </c>
      <c r="C43" s="58">
        <f t="shared" ref="C43:J43" si="6">+C29-C38</f>
        <v>0</v>
      </c>
      <c r="D43" s="58">
        <f t="shared" si="6"/>
        <v>4541686.2111529466</v>
      </c>
      <c r="E43" s="58">
        <f t="shared" si="6"/>
        <v>3170405.7699999986</v>
      </c>
      <c r="F43" s="58">
        <f t="shared" si="6"/>
        <v>-2577.6799999999998</v>
      </c>
      <c r="G43" s="58">
        <f t="shared" si="6"/>
        <v>2695783.3015390849</v>
      </c>
      <c r="H43" s="58">
        <f t="shared" si="6"/>
        <v>1076391.58</v>
      </c>
      <c r="I43" s="58">
        <f t="shared" si="6"/>
        <v>612153.62999999966</v>
      </c>
      <c r="J43" s="58">
        <f t="shared" si="6"/>
        <v>323786.18000000005</v>
      </c>
    </row>
    <row r="44" spans="1:10">
      <c r="A44" s="61" t="s">
        <v>38</v>
      </c>
      <c r="B44" s="56">
        <v>0</v>
      </c>
      <c r="C44" s="56">
        <v>0</v>
      </c>
      <c r="D44" s="56">
        <v>287840.23030468501</v>
      </c>
      <c r="E44" s="56">
        <v>0</v>
      </c>
      <c r="F44" s="56">
        <v>0</v>
      </c>
      <c r="G44" s="56">
        <v>279777.48372347502</v>
      </c>
      <c r="H44" s="56">
        <v>0</v>
      </c>
      <c r="I44" s="50">
        <v>65291.690763963074</v>
      </c>
      <c r="J44" s="50">
        <v>0</v>
      </c>
    </row>
    <row r="45" spans="1:10">
      <c r="A45" s="61" t="s">
        <v>39</v>
      </c>
      <c r="B45" s="56">
        <v>0</v>
      </c>
      <c r="C45" s="56">
        <v>0</v>
      </c>
      <c r="D45" s="56">
        <v>690966.68265064002</v>
      </c>
      <c r="E45" s="56">
        <v>0</v>
      </c>
      <c r="F45" s="56">
        <v>0</v>
      </c>
      <c r="G45" s="56">
        <v>414580.00959038403</v>
      </c>
      <c r="H45" s="56">
        <v>0</v>
      </c>
      <c r="I45" s="50">
        <v>276386.673060256</v>
      </c>
      <c r="J45" s="50">
        <v>0</v>
      </c>
    </row>
    <row r="46" spans="1:10">
      <c r="A46" s="61" t="s">
        <v>40</v>
      </c>
      <c r="B46" s="56">
        <v>0</v>
      </c>
      <c r="C46" s="56">
        <v>0</v>
      </c>
      <c r="D46" s="56">
        <v>1149450</v>
      </c>
      <c r="E46" s="56">
        <v>0</v>
      </c>
      <c r="F46" s="56">
        <v>0</v>
      </c>
      <c r="G46" s="56">
        <v>689670</v>
      </c>
      <c r="H46" s="56">
        <v>0</v>
      </c>
      <c r="I46" s="50">
        <v>459780</v>
      </c>
      <c r="J46" s="50">
        <v>0</v>
      </c>
    </row>
    <row r="47" spans="1:10">
      <c r="A47" s="62" t="s">
        <v>41</v>
      </c>
      <c r="B47" s="58">
        <f>+B43+B44+B45+B46</f>
        <v>-28106.940000000002</v>
      </c>
      <c r="C47" s="58">
        <f t="shared" ref="C47:J47" si="7">+C43+C44+C45+C46</f>
        <v>0</v>
      </c>
      <c r="D47" s="58">
        <f>+D43+D44+D45+D46</f>
        <v>6669943.1241082717</v>
      </c>
      <c r="E47" s="58">
        <f t="shared" si="7"/>
        <v>3170405.7699999986</v>
      </c>
      <c r="F47" s="58">
        <f t="shared" si="7"/>
        <v>-2577.6799999999998</v>
      </c>
      <c r="G47" s="58">
        <f t="shared" si="7"/>
        <v>4079810.7948529441</v>
      </c>
      <c r="H47" s="58">
        <f t="shared" si="7"/>
        <v>1076391.58</v>
      </c>
      <c r="I47" s="58">
        <f t="shared" si="7"/>
        <v>1413611.9938242186</v>
      </c>
      <c r="J47" s="58">
        <f t="shared" si="7"/>
        <v>323786.18000000005</v>
      </c>
    </row>
    <row r="48" spans="1:10">
      <c r="A48" s="60"/>
      <c r="B48" s="56"/>
      <c r="C48" s="56"/>
      <c r="D48" s="56"/>
      <c r="E48" s="56"/>
      <c r="F48" s="56"/>
      <c r="G48" s="56"/>
      <c r="H48" s="56"/>
      <c r="I48" s="50"/>
      <c r="J48" s="50"/>
    </row>
    <row r="49" spans="1:10" ht="17.25">
      <c r="A49" s="57" t="s">
        <v>42</v>
      </c>
      <c r="B49" s="58">
        <f>+B51+B52</f>
        <v>0</v>
      </c>
      <c r="C49" s="58">
        <f t="shared" ref="C49:J49" si="8">+C51+C52</f>
        <v>804021.8600000001</v>
      </c>
      <c r="D49" s="58">
        <f t="shared" si="8"/>
        <v>0</v>
      </c>
      <c r="E49" s="58">
        <f t="shared" si="8"/>
        <v>0</v>
      </c>
      <c r="F49" s="58">
        <f t="shared" si="8"/>
        <v>0</v>
      </c>
      <c r="G49" s="58">
        <f t="shared" si="8"/>
        <v>0</v>
      </c>
      <c r="H49" s="58">
        <f t="shared" si="8"/>
        <v>0</v>
      </c>
      <c r="I49" s="58">
        <f t="shared" si="8"/>
        <v>0</v>
      </c>
      <c r="J49" s="58">
        <f t="shared" si="8"/>
        <v>0</v>
      </c>
    </row>
    <row r="50" spans="1:10">
      <c r="A50" s="61" t="s">
        <v>3</v>
      </c>
      <c r="B50" s="56"/>
      <c r="C50" s="56"/>
      <c r="D50" s="56"/>
      <c r="E50" s="56"/>
      <c r="F50" s="56"/>
      <c r="G50" s="56"/>
      <c r="H50" s="56"/>
      <c r="I50" s="50"/>
      <c r="J50" s="50"/>
    </row>
    <row r="51" spans="1:10">
      <c r="A51" s="61" t="s">
        <v>43</v>
      </c>
      <c r="B51" s="56">
        <v>0</v>
      </c>
      <c r="C51" s="56">
        <v>574947.85000000009</v>
      </c>
      <c r="D51" s="56">
        <v>0</v>
      </c>
      <c r="E51" s="56">
        <v>0</v>
      </c>
      <c r="F51" s="56">
        <v>0</v>
      </c>
      <c r="G51" s="56">
        <v>0</v>
      </c>
      <c r="H51" s="56">
        <v>0</v>
      </c>
      <c r="I51" s="50">
        <v>0</v>
      </c>
      <c r="J51" s="50">
        <v>0</v>
      </c>
    </row>
    <row r="52" spans="1:10">
      <c r="A52" s="61" t="s">
        <v>30</v>
      </c>
      <c r="B52" s="56">
        <v>0</v>
      </c>
      <c r="C52" s="56">
        <v>229074.01</v>
      </c>
      <c r="D52" s="56">
        <v>0</v>
      </c>
      <c r="E52" s="56">
        <v>0</v>
      </c>
      <c r="F52" s="56">
        <v>0</v>
      </c>
      <c r="G52" s="56">
        <v>0</v>
      </c>
      <c r="H52" s="56">
        <v>0</v>
      </c>
      <c r="I52" s="50">
        <v>0</v>
      </c>
      <c r="J52" s="50">
        <v>0</v>
      </c>
    </row>
    <row r="53" spans="1:10">
      <c r="A53" s="61" t="s">
        <v>33</v>
      </c>
      <c r="B53" s="56">
        <v>0</v>
      </c>
      <c r="C53" s="56">
        <v>640021.45000000019</v>
      </c>
      <c r="D53" s="56">
        <v>0</v>
      </c>
      <c r="E53" s="56">
        <v>0</v>
      </c>
      <c r="F53" s="56">
        <v>0</v>
      </c>
      <c r="G53" s="56">
        <v>0</v>
      </c>
      <c r="H53" s="56">
        <v>0</v>
      </c>
      <c r="I53" s="50">
        <v>0</v>
      </c>
      <c r="J53" s="50">
        <v>0</v>
      </c>
    </row>
    <row r="54" spans="1:10">
      <c r="A54" s="62" t="s">
        <v>20</v>
      </c>
      <c r="B54" s="58">
        <f>+B49-B53</f>
        <v>0</v>
      </c>
      <c r="C54" s="58">
        <f>+C49-C53</f>
        <v>164000.40999999992</v>
      </c>
      <c r="D54" s="58">
        <f t="shared" ref="D54:J54" si="9">+D49-D53</f>
        <v>0</v>
      </c>
      <c r="E54" s="58">
        <f t="shared" si="9"/>
        <v>0</v>
      </c>
      <c r="F54" s="58">
        <f t="shared" si="9"/>
        <v>0</v>
      </c>
      <c r="G54" s="58">
        <f t="shared" si="9"/>
        <v>0</v>
      </c>
      <c r="H54" s="58">
        <f t="shared" si="9"/>
        <v>0</v>
      </c>
      <c r="I54" s="58">
        <f t="shared" si="9"/>
        <v>0</v>
      </c>
      <c r="J54" s="58">
        <f t="shared" si="9"/>
        <v>0</v>
      </c>
    </row>
    <row r="55" spans="1:10">
      <c r="A55" s="61" t="s">
        <v>44</v>
      </c>
      <c r="B55" s="56">
        <v>0</v>
      </c>
      <c r="C55" s="56">
        <v>0</v>
      </c>
      <c r="D55" s="56">
        <v>386242</v>
      </c>
      <c r="E55" s="56">
        <v>0</v>
      </c>
      <c r="F55" s="56">
        <v>0</v>
      </c>
      <c r="G55" s="56">
        <v>211458</v>
      </c>
      <c r="H55" s="56">
        <v>0</v>
      </c>
      <c r="I55" s="50">
        <v>36280</v>
      </c>
      <c r="J55" s="50">
        <v>0</v>
      </c>
    </row>
    <row r="56" spans="1:10">
      <c r="A56" s="61" t="s">
        <v>33</v>
      </c>
      <c r="B56" s="56">
        <v>0</v>
      </c>
      <c r="C56" s="56">
        <v>0</v>
      </c>
      <c r="D56" s="56">
        <v>193121</v>
      </c>
      <c r="E56" s="56">
        <v>0</v>
      </c>
      <c r="F56" s="56">
        <v>0</v>
      </c>
      <c r="G56" s="56">
        <v>105729</v>
      </c>
      <c r="H56" s="56">
        <v>0</v>
      </c>
      <c r="I56" s="50">
        <v>18140</v>
      </c>
      <c r="J56" s="50">
        <v>0</v>
      </c>
    </row>
    <row r="57" spans="1:10">
      <c r="A57" s="62" t="s">
        <v>20</v>
      </c>
      <c r="B57" s="58">
        <f>+B55-B56</f>
        <v>0</v>
      </c>
      <c r="C57" s="58">
        <f t="shared" ref="C57:J57" si="10">+C55-C56</f>
        <v>0</v>
      </c>
      <c r="D57" s="58">
        <f t="shared" si="10"/>
        <v>193121</v>
      </c>
      <c r="E57" s="58">
        <f t="shared" si="10"/>
        <v>0</v>
      </c>
      <c r="F57" s="58">
        <f t="shared" si="10"/>
        <v>0</v>
      </c>
      <c r="G57" s="58">
        <f t="shared" si="10"/>
        <v>105729</v>
      </c>
      <c r="H57" s="58">
        <f t="shared" si="10"/>
        <v>0</v>
      </c>
      <c r="I57" s="58">
        <f t="shared" si="10"/>
        <v>18140</v>
      </c>
      <c r="J57" s="58">
        <f t="shared" si="10"/>
        <v>0</v>
      </c>
    </row>
    <row r="58" spans="1:10">
      <c r="A58" s="62" t="s">
        <v>45</v>
      </c>
      <c r="B58" s="56">
        <f>+B54+B57</f>
        <v>0</v>
      </c>
      <c r="C58" s="56">
        <f t="shared" ref="C58:J58" si="11">+C54+C57</f>
        <v>164000.40999999992</v>
      </c>
      <c r="D58" s="56">
        <f t="shared" si="11"/>
        <v>193121</v>
      </c>
      <c r="E58" s="56">
        <f t="shared" si="11"/>
        <v>0</v>
      </c>
      <c r="F58" s="56">
        <f t="shared" si="11"/>
        <v>0</v>
      </c>
      <c r="G58" s="56">
        <f t="shared" si="11"/>
        <v>105729</v>
      </c>
      <c r="H58" s="56">
        <f t="shared" si="11"/>
        <v>0</v>
      </c>
      <c r="I58" s="56">
        <f t="shared" si="11"/>
        <v>18140</v>
      </c>
      <c r="J58" s="56">
        <f t="shared" si="11"/>
        <v>0</v>
      </c>
    </row>
    <row r="59" spans="1:10">
      <c r="A59" s="60"/>
      <c r="B59" s="56"/>
      <c r="C59" s="56"/>
      <c r="D59" s="56"/>
      <c r="E59" s="56"/>
      <c r="F59" s="56"/>
      <c r="G59" s="56"/>
      <c r="H59" s="56"/>
      <c r="I59" s="50"/>
      <c r="J59" s="50"/>
    </row>
    <row r="60" spans="1:10">
      <c r="A60" s="63" t="s">
        <v>46</v>
      </c>
      <c r="B60" s="58">
        <f>+SUM(B61:B69)</f>
        <v>1933848.66</v>
      </c>
      <c r="C60" s="58">
        <f t="shared" ref="C60:J60" si="12">+SUM(C61:C69)</f>
        <v>0</v>
      </c>
      <c r="D60" s="58">
        <f t="shared" si="12"/>
        <v>434352.39699999994</v>
      </c>
      <c r="E60" s="58">
        <f t="shared" si="12"/>
        <v>1167205.598</v>
      </c>
      <c r="F60" s="58">
        <f t="shared" si="12"/>
        <v>1251914.2175</v>
      </c>
      <c r="G60" s="58">
        <f t="shared" si="12"/>
        <v>31857.448499999999</v>
      </c>
      <c r="H60" s="58">
        <f t="shared" si="12"/>
        <v>21238.298999999999</v>
      </c>
      <c r="I60" s="58">
        <f t="shared" si="12"/>
        <v>0</v>
      </c>
      <c r="J60" s="58">
        <f t="shared" si="12"/>
        <v>0</v>
      </c>
    </row>
    <row r="61" spans="1:10">
      <c r="A61" s="61" t="s">
        <v>47</v>
      </c>
      <c r="B61" s="56">
        <v>177614</v>
      </c>
      <c r="C61" s="56">
        <v>0</v>
      </c>
      <c r="D61" s="56">
        <v>0</v>
      </c>
      <c r="E61" s="56">
        <v>0</v>
      </c>
      <c r="F61" s="56">
        <v>292010</v>
      </c>
      <c r="G61" s="56">
        <v>0</v>
      </c>
      <c r="H61" s="56">
        <v>0</v>
      </c>
      <c r="I61" s="50">
        <v>0</v>
      </c>
      <c r="J61" s="50">
        <v>0</v>
      </c>
    </row>
    <row r="62" spans="1:10">
      <c r="A62" s="61" t="s">
        <v>48</v>
      </c>
      <c r="B62" s="56">
        <v>0</v>
      </c>
      <c r="C62" s="56">
        <v>0</v>
      </c>
      <c r="D62" s="56">
        <v>0</v>
      </c>
      <c r="E62" s="56">
        <v>1124729</v>
      </c>
      <c r="F62" s="56">
        <v>0</v>
      </c>
      <c r="G62" s="56">
        <v>0</v>
      </c>
      <c r="H62" s="56">
        <v>0</v>
      </c>
      <c r="I62" s="50">
        <v>0</v>
      </c>
      <c r="J62" s="50">
        <v>0</v>
      </c>
    </row>
    <row r="63" spans="1:10">
      <c r="A63" s="61" t="s">
        <v>49</v>
      </c>
      <c r="B63" s="56">
        <v>799646</v>
      </c>
      <c r="C63" s="56">
        <v>0</v>
      </c>
      <c r="D63" s="56">
        <v>0</v>
      </c>
      <c r="E63" s="56">
        <v>0</v>
      </c>
      <c r="F63" s="56">
        <v>251808.47</v>
      </c>
      <c r="G63" s="56">
        <v>0</v>
      </c>
      <c r="H63" s="56">
        <v>0</v>
      </c>
      <c r="I63" s="50">
        <v>0</v>
      </c>
      <c r="J63" s="50">
        <v>0</v>
      </c>
    </row>
    <row r="64" spans="1:10">
      <c r="A64" s="61" t="s">
        <v>50</v>
      </c>
      <c r="B64" s="56">
        <v>340000</v>
      </c>
      <c r="C64" s="56">
        <v>0</v>
      </c>
      <c r="D64" s="56">
        <v>0</v>
      </c>
      <c r="E64" s="56">
        <v>0</v>
      </c>
      <c r="F64" s="56">
        <v>380000</v>
      </c>
      <c r="G64" s="56">
        <v>0</v>
      </c>
      <c r="H64" s="56">
        <v>0</v>
      </c>
      <c r="I64" s="50">
        <v>0</v>
      </c>
      <c r="J64" s="50">
        <v>0</v>
      </c>
    </row>
    <row r="65" spans="1:10">
      <c r="A65" s="61" t="s">
        <v>51</v>
      </c>
      <c r="B65" s="56">
        <v>86845.200000000012</v>
      </c>
      <c r="C65" s="56">
        <v>0</v>
      </c>
      <c r="D65" s="56">
        <v>39080.339999999997</v>
      </c>
      <c r="E65" s="56">
        <v>26053.559999999998</v>
      </c>
      <c r="F65" s="56">
        <v>32566.949999999997</v>
      </c>
      <c r="G65" s="56">
        <v>19540.169999999998</v>
      </c>
      <c r="H65" s="56">
        <v>13026.779999999999</v>
      </c>
      <c r="I65" s="50">
        <v>0</v>
      </c>
      <c r="J65" s="50">
        <v>0</v>
      </c>
    </row>
    <row r="66" spans="1:10">
      <c r="A66" s="61" t="s">
        <v>52</v>
      </c>
      <c r="B66" s="56">
        <v>0</v>
      </c>
      <c r="C66" s="56">
        <v>0</v>
      </c>
      <c r="D66" s="56">
        <v>339280</v>
      </c>
      <c r="E66" s="56">
        <v>0</v>
      </c>
      <c r="F66" s="56">
        <v>0</v>
      </c>
      <c r="G66" s="56">
        <v>0</v>
      </c>
      <c r="H66" s="56">
        <v>0</v>
      </c>
      <c r="I66" s="50">
        <v>0</v>
      </c>
      <c r="J66" s="50">
        <v>0</v>
      </c>
    </row>
    <row r="67" spans="1:10">
      <c r="A67" s="61" t="s">
        <v>53</v>
      </c>
      <c r="B67" s="56">
        <v>475000</v>
      </c>
      <c r="C67" s="56">
        <v>0</v>
      </c>
      <c r="D67" s="56">
        <v>31357.5</v>
      </c>
      <c r="E67" s="56">
        <v>0</v>
      </c>
      <c r="F67" s="56">
        <v>275000</v>
      </c>
      <c r="G67" s="56">
        <v>0</v>
      </c>
      <c r="H67" s="56">
        <v>0</v>
      </c>
      <c r="I67" s="50">
        <v>0</v>
      </c>
      <c r="J67" s="50">
        <v>0</v>
      </c>
    </row>
    <row r="68" spans="1:10">
      <c r="A68" s="61" t="s">
        <v>54</v>
      </c>
      <c r="B68" s="56">
        <v>54743.46</v>
      </c>
      <c r="C68" s="56">
        <v>0</v>
      </c>
      <c r="D68" s="56">
        <v>24634.556999999997</v>
      </c>
      <c r="E68" s="56">
        <v>16423.037999999997</v>
      </c>
      <c r="F68" s="56">
        <v>20528.797499999997</v>
      </c>
      <c r="G68" s="56">
        <v>12317.278499999999</v>
      </c>
      <c r="H68" s="56">
        <v>8211.5189999999984</v>
      </c>
      <c r="I68" s="50">
        <v>0</v>
      </c>
      <c r="J68" s="50">
        <v>0</v>
      </c>
    </row>
    <row r="69" spans="1:10">
      <c r="A69" s="61" t="s">
        <v>55</v>
      </c>
      <c r="B69" s="56">
        <v>0</v>
      </c>
      <c r="C69" s="56">
        <v>0</v>
      </c>
      <c r="D69" s="56">
        <v>0</v>
      </c>
      <c r="E69" s="56">
        <v>0</v>
      </c>
      <c r="F69" s="56">
        <v>0</v>
      </c>
      <c r="G69" s="56">
        <v>0</v>
      </c>
      <c r="H69" s="56">
        <v>0</v>
      </c>
      <c r="I69" s="50">
        <v>0</v>
      </c>
      <c r="J69" s="50">
        <v>0</v>
      </c>
    </row>
    <row r="70" spans="1:10">
      <c r="A70" s="64" t="s">
        <v>56</v>
      </c>
      <c r="B70" s="58">
        <f>+(B7/3.5%)+B8+B13+B29+B27+B49+B55+B60</f>
        <v>105635703.38431999</v>
      </c>
      <c r="C70" s="58">
        <f t="shared" ref="C70:J70" si="13">+(C7/3.5%)+C8+C13+C29+C27+C49+C55+C60</f>
        <v>804021.8600000001</v>
      </c>
      <c r="D70" s="58">
        <f t="shared" si="13"/>
        <v>21430328.45815295</v>
      </c>
      <c r="E70" s="58">
        <f t="shared" si="13"/>
        <v>10505086.697999999</v>
      </c>
      <c r="F70" s="58">
        <f t="shared" si="13"/>
        <v>136561397.34982002</v>
      </c>
      <c r="G70" s="58">
        <f t="shared" si="13"/>
        <v>8893208.4700390846</v>
      </c>
      <c r="H70" s="58">
        <f t="shared" si="13"/>
        <v>3763831.449</v>
      </c>
      <c r="I70" s="58">
        <f t="shared" si="13"/>
        <v>2143506.63</v>
      </c>
      <c r="J70" s="58">
        <f t="shared" si="13"/>
        <v>926380.9</v>
      </c>
    </row>
    <row r="71" spans="1:10">
      <c r="A71" s="64" t="s">
        <v>57</v>
      </c>
      <c r="B71" s="58">
        <f>+B6+B27+B47+B58+B60</f>
        <v>7623831.8890700024</v>
      </c>
      <c r="C71" s="58">
        <f t="shared" ref="C71:J71" si="14">+C6+C27+C47+C58+C60</f>
        <v>164000.40999999992</v>
      </c>
      <c r="D71" s="58">
        <f t="shared" si="14"/>
        <v>7297416.5211082716</v>
      </c>
      <c r="E71" s="58">
        <f t="shared" si="14"/>
        <v>4337611.3679999989</v>
      </c>
      <c r="F71" s="58">
        <f t="shared" si="14"/>
        <v>8208354.160720001</v>
      </c>
      <c r="G71" s="58">
        <f t="shared" si="14"/>
        <v>4217397.243352944</v>
      </c>
      <c r="H71" s="58">
        <f t="shared" si="14"/>
        <v>1097629.8790000002</v>
      </c>
      <c r="I71" s="58">
        <f t="shared" si="14"/>
        <v>1431751.9938242186</v>
      </c>
      <c r="J71" s="58">
        <f t="shared" si="14"/>
        <v>323786.18000000005</v>
      </c>
    </row>
    <row r="72" spans="1:10">
      <c r="A72" s="65" t="s">
        <v>58</v>
      </c>
      <c r="B72" s="111">
        <f>IFERROR(B71/B70,0)</f>
        <v>7.2170976713557281E-2</v>
      </c>
      <c r="C72" s="111">
        <f t="shared" ref="C72:J72" si="15">IFERROR(C71/C70,0)</f>
        <v>0.20397506356357015</v>
      </c>
      <c r="D72" s="111">
        <f t="shared" si="15"/>
        <v>0.34051818362737429</v>
      </c>
      <c r="E72" s="111">
        <f t="shared" si="15"/>
        <v>0.41290581341187893</v>
      </c>
      <c r="F72" s="111">
        <f t="shared" si="15"/>
        <v>6.0107426549636279E-2</v>
      </c>
      <c r="G72" s="111">
        <f t="shared" si="15"/>
        <v>0.47422673802837428</v>
      </c>
      <c r="H72" s="111">
        <f t="shared" si="15"/>
        <v>0.2916256729008484</v>
      </c>
      <c r="I72" s="111">
        <f t="shared" si="15"/>
        <v>0.66794847927492473</v>
      </c>
      <c r="J72" s="111">
        <f t="shared" si="15"/>
        <v>0.34951733136985019</v>
      </c>
    </row>
    <row r="73" spans="1:10">
      <c r="A73" s="60"/>
      <c r="B73" s="56"/>
      <c r="C73" s="56"/>
      <c r="D73" s="56"/>
      <c r="E73" s="56"/>
      <c r="F73" s="56"/>
      <c r="G73" s="56"/>
      <c r="H73" s="56"/>
      <c r="I73" s="50"/>
      <c r="J73" s="50"/>
    </row>
    <row r="74" spans="1:10">
      <c r="A74" s="60"/>
      <c r="B74" s="56"/>
      <c r="C74" s="56"/>
      <c r="D74" s="56"/>
      <c r="E74" s="56"/>
      <c r="F74" s="56"/>
      <c r="G74" s="56"/>
      <c r="H74" s="56"/>
      <c r="I74" s="50"/>
      <c r="J74" s="50"/>
    </row>
    <row r="75" spans="1:10" ht="17.25">
      <c r="A75" s="17" t="s">
        <v>59</v>
      </c>
      <c r="B75" s="67">
        <f>+B76+B87+B90</f>
        <v>2591622.7319999998</v>
      </c>
      <c r="C75" s="67">
        <f t="shared" ref="C75:J75" si="16">+C76+C87+C90</f>
        <v>16400</v>
      </c>
      <c r="D75" s="67">
        <f t="shared" si="16"/>
        <v>279176.40500000003</v>
      </c>
      <c r="E75" s="67">
        <f t="shared" si="16"/>
        <v>178644.33500000002</v>
      </c>
      <c r="F75" s="67">
        <f t="shared" si="16"/>
        <v>1189962.9780000001</v>
      </c>
      <c r="G75" s="67">
        <f t="shared" si="16"/>
        <v>171366.53100000005</v>
      </c>
      <c r="H75" s="67">
        <f t="shared" si="16"/>
        <v>52994.031000000003</v>
      </c>
      <c r="I75" s="67">
        <f t="shared" si="16"/>
        <v>53417.08</v>
      </c>
      <c r="J75" s="67">
        <f t="shared" si="16"/>
        <v>23330.29</v>
      </c>
    </row>
    <row r="76" spans="1:10">
      <c r="A76" s="66" t="s">
        <v>60</v>
      </c>
      <c r="B76" s="67">
        <f>+SUM(B77:B86)</f>
        <v>1096064.3</v>
      </c>
      <c r="C76" s="67">
        <f t="shared" ref="C76:J76" si="17">+SUM(C77:C86)</f>
        <v>0</v>
      </c>
      <c r="D76" s="67">
        <f t="shared" si="17"/>
        <v>23587</v>
      </c>
      <c r="E76" s="67">
        <f t="shared" si="17"/>
        <v>19597.72</v>
      </c>
      <c r="F76" s="67">
        <f t="shared" si="17"/>
        <v>360726.05</v>
      </c>
      <c r="G76" s="67">
        <f t="shared" si="17"/>
        <v>0</v>
      </c>
      <c r="H76" s="67">
        <f t="shared" si="17"/>
        <v>0</v>
      </c>
      <c r="I76" s="67">
        <f t="shared" si="17"/>
        <v>0</v>
      </c>
      <c r="J76" s="67">
        <f t="shared" si="17"/>
        <v>0</v>
      </c>
    </row>
    <row r="77" spans="1:10">
      <c r="A77" s="61" t="s">
        <v>61</v>
      </c>
      <c r="B77" s="68">
        <v>252723.93</v>
      </c>
      <c r="C77" s="68">
        <v>0</v>
      </c>
      <c r="D77" s="68">
        <v>0</v>
      </c>
      <c r="E77" s="68">
        <v>0</v>
      </c>
      <c r="F77" s="68">
        <v>101393.71</v>
      </c>
      <c r="G77" s="68">
        <v>0</v>
      </c>
      <c r="H77" s="68">
        <v>0</v>
      </c>
      <c r="I77" s="68">
        <v>0</v>
      </c>
      <c r="J77" s="68">
        <v>0</v>
      </c>
    </row>
    <row r="78" spans="1:10">
      <c r="A78" s="61" t="s">
        <v>62</v>
      </c>
      <c r="B78" s="68">
        <v>218115.31</v>
      </c>
      <c r="C78" s="68">
        <v>0</v>
      </c>
      <c r="D78" s="68">
        <v>0</v>
      </c>
      <c r="E78" s="68">
        <v>0</v>
      </c>
      <c r="F78" s="68">
        <v>230115.72</v>
      </c>
      <c r="G78" s="68">
        <v>0</v>
      </c>
      <c r="H78" s="68">
        <v>0</v>
      </c>
      <c r="I78" s="68">
        <v>0</v>
      </c>
      <c r="J78" s="68">
        <v>0</v>
      </c>
    </row>
    <row r="79" spans="1:10">
      <c r="A79" s="61" t="s">
        <v>63</v>
      </c>
      <c r="B79" s="68">
        <v>0</v>
      </c>
      <c r="C79" s="68">
        <v>0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</row>
    <row r="80" spans="1:10">
      <c r="A80" s="61" t="s">
        <v>221</v>
      </c>
      <c r="B80" s="68">
        <v>622051.06000000006</v>
      </c>
      <c r="C80" s="68">
        <v>0</v>
      </c>
      <c r="D80" s="68">
        <v>0</v>
      </c>
      <c r="E80" s="68">
        <v>0</v>
      </c>
      <c r="F80" s="68">
        <v>29216.62</v>
      </c>
      <c r="G80" s="68">
        <v>0</v>
      </c>
      <c r="H80" s="68">
        <v>0</v>
      </c>
      <c r="I80" s="68">
        <v>0</v>
      </c>
      <c r="J80" s="68">
        <v>0</v>
      </c>
    </row>
    <row r="81" spans="1:10">
      <c r="A81" s="61" t="s">
        <v>65</v>
      </c>
      <c r="B81" s="68">
        <v>0</v>
      </c>
      <c r="C81" s="68">
        <v>0</v>
      </c>
      <c r="D81" s="68">
        <v>23587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</row>
    <row r="82" spans="1:10">
      <c r="A82" s="61" t="s">
        <v>66</v>
      </c>
      <c r="B82" s="68">
        <v>0</v>
      </c>
      <c r="C82" s="68">
        <v>0</v>
      </c>
      <c r="D82" s="68">
        <v>0</v>
      </c>
      <c r="E82" s="68">
        <v>19597.72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</row>
    <row r="83" spans="1:10">
      <c r="A83" s="61" t="s">
        <v>67</v>
      </c>
      <c r="B83" s="68">
        <v>0</v>
      </c>
      <c r="C83" s="68">
        <v>0</v>
      </c>
      <c r="D83" s="68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</row>
    <row r="84" spans="1:10">
      <c r="A84" s="61" t="s">
        <v>68</v>
      </c>
      <c r="B84" s="68">
        <v>3174</v>
      </c>
      <c r="C84" s="68">
        <v>0</v>
      </c>
      <c r="D84" s="68">
        <v>0</v>
      </c>
      <c r="E84" s="68">
        <v>0</v>
      </c>
      <c r="F84" s="68">
        <v>0</v>
      </c>
      <c r="G84" s="68">
        <v>0</v>
      </c>
      <c r="H84" s="68">
        <v>0</v>
      </c>
      <c r="I84" s="68">
        <v>0</v>
      </c>
      <c r="J84" s="68">
        <v>0</v>
      </c>
    </row>
    <row r="85" spans="1:10">
      <c r="A85" s="61" t="s">
        <v>69</v>
      </c>
      <c r="B85" s="68">
        <v>0</v>
      </c>
      <c r="C85" s="68">
        <v>0</v>
      </c>
      <c r="D85" s="68">
        <v>0</v>
      </c>
      <c r="E85" s="68">
        <v>0</v>
      </c>
      <c r="F85" s="68">
        <v>0</v>
      </c>
      <c r="G85" s="68">
        <v>0</v>
      </c>
      <c r="H85" s="68">
        <v>0</v>
      </c>
      <c r="I85" s="68">
        <v>0</v>
      </c>
      <c r="J85" s="68">
        <v>0</v>
      </c>
    </row>
    <row r="86" spans="1:10">
      <c r="A86" s="61" t="s">
        <v>70</v>
      </c>
      <c r="B86" s="68">
        <v>0</v>
      </c>
      <c r="C86" s="68">
        <v>0</v>
      </c>
      <c r="D86" s="68">
        <v>0</v>
      </c>
      <c r="E86" s="68">
        <v>0</v>
      </c>
      <c r="F86" s="68">
        <v>0</v>
      </c>
      <c r="G86" s="68">
        <v>0</v>
      </c>
      <c r="H86" s="68">
        <v>0</v>
      </c>
      <c r="I86" s="68">
        <v>0</v>
      </c>
      <c r="J86" s="68">
        <v>0</v>
      </c>
    </row>
    <row r="87" spans="1:10">
      <c r="A87" s="66" t="s">
        <v>71</v>
      </c>
      <c r="B87" s="67">
        <f>+SUM(B88:B89)</f>
        <v>864760</v>
      </c>
      <c r="C87" s="67">
        <f t="shared" ref="C87:J87" si="18">+SUM(C88:C89)</f>
        <v>16400</v>
      </c>
      <c r="D87" s="67">
        <f t="shared" si="18"/>
        <v>240853.405</v>
      </c>
      <c r="E87" s="67">
        <f t="shared" si="18"/>
        <v>159046.61500000002</v>
      </c>
      <c r="F87" s="67">
        <f t="shared" si="18"/>
        <v>610400</v>
      </c>
      <c r="G87" s="67">
        <f t="shared" si="18"/>
        <v>170599.70700000005</v>
      </c>
      <c r="H87" s="67">
        <f t="shared" si="18"/>
        <v>52804.815000000002</v>
      </c>
      <c r="I87" s="67">
        <f t="shared" si="18"/>
        <v>45905.08</v>
      </c>
      <c r="J87" s="67">
        <f t="shared" si="18"/>
        <v>23330.29</v>
      </c>
    </row>
    <row r="88" spans="1:10">
      <c r="A88" s="61" t="s">
        <v>222</v>
      </c>
      <c r="B88" s="68">
        <v>864760</v>
      </c>
      <c r="C88" s="68">
        <v>16400</v>
      </c>
      <c r="D88" s="68">
        <v>240853.405</v>
      </c>
      <c r="E88" s="68">
        <v>159046.61500000002</v>
      </c>
      <c r="F88" s="68">
        <v>610400</v>
      </c>
      <c r="G88" s="68">
        <v>170599.70700000005</v>
      </c>
      <c r="H88" s="68">
        <v>52804.815000000002</v>
      </c>
      <c r="I88" s="68">
        <v>45905.08</v>
      </c>
      <c r="J88" s="68">
        <v>23330.29</v>
      </c>
    </row>
    <row r="89" spans="1:10">
      <c r="A89" s="61" t="s">
        <v>223</v>
      </c>
      <c r="B89" s="68"/>
      <c r="C89" s="68"/>
      <c r="D89" s="68"/>
      <c r="E89" s="68"/>
      <c r="F89" s="68"/>
      <c r="G89" s="68"/>
      <c r="H89" s="68"/>
      <c r="I89" s="68"/>
      <c r="J89" s="68"/>
    </row>
    <row r="90" spans="1:10">
      <c r="A90" s="66" t="s">
        <v>72</v>
      </c>
      <c r="B90" s="67">
        <f>+SUM(B91:B102)</f>
        <v>630798.43199999991</v>
      </c>
      <c r="C90" s="67">
        <f t="shared" ref="C90:J90" si="19">+SUM(C91:C102)</f>
        <v>0</v>
      </c>
      <c r="D90" s="67">
        <f t="shared" si="19"/>
        <v>14736</v>
      </c>
      <c r="E90" s="67">
        <f t="shared" si="19"/>
        <v>0</v>
      </c>
      <c r="F90" s="67">
        <f t="shared" si="19"/>
        <v>218836.92799999999</v>
      </c>
      <c r="G90" s="67">
        <f t="shared" si="19"/>
        <v>766.82400000000007</v>
      </c>
      <c r="H90" s="67">
        <f t="shared" si="19"/>
        <v>189.21600000000001</v>
      </c>
      <c r="I90" s="67">
        <f t="shared" si="19"/>
        <v>7512</v>
      </c>
      <c r="J90" s="67">
        <f t="shared" si="19"/>
        <v>0</v>
      </c>
    </row>
    <row r="91" spans="1:10">
      <c r="A91" s="61" t="s">
        <v>224</v>
      </c>
      <c r="B91" s="68">
        <v>0</v>
      </c>
      <c r="C91" s="68">
        <v>0</v>
      </c>
      <c r="D91" s="68">
        <v>0</v>
      </c>
      <c r="E91" s="68">
        <v>0</v>
      </c>
      <c r="F91" s="68">
        <v>0</v>
      </c>
      <c r="G91" s="68">
        <v>0</v>
      </c>
      <c r="H91" s="68">
        <v>0</v>
      </c>
      <c r="I91" s="68">
        <v>0</v>
      </c>
      <c r="J91" s="68">
        <v>0</v>
      </c>
    </row>
    <row r="92" spans="1:10">
      <c r="A92" s="61" t="s">
        <v>73</v>
      </c>
      <c r="B92" s="68">
        <v>0</v>
      </c>
      <c r="C92" s="68">
        <v>0</v>
      </c>
      <c r="D92" s="68">
        <v>0</v>
      </c>
      <c r="E92" s="68">
        <v>0</v>
      </c>
      <c r="F92" s="68">
        <v>0</v>
      </c>
      <c r="G92" s="68">
        <v>0</v>
      </c>
      <c r="H92" s="68">
        <v>0</v>
      </c>
      <c r="I92" s="68">
        <v>900</v>
      </c>
      <c r="J92" s="68">
        <v>0</v>
      </c>
    </row>
    <row r="93" spans="1:10">
      <c r="A93" s="61" t="s">
        <v>74</v>
      </c>
      <c r="B93" s="68">
        <v>267154.95</v>
      </c>
      <c r="C93" s="68">
        <v>0</v>
      </c>
      <c r="D93" s="68">
        <v>0</v>
      </c>
      <c r="E93" s="68">
        <v>0</v>
      </c>
      <c r="F93" s="68">
        <v>30317.040000000001</v>
      </c>
      <c r="G93" s="68">
        <v>283.82400000000001</v>
      </c>
      <c r="H93" s="68">
        <v>189.21600000000001</v>
      </c>
      <c r="I93" s="68">
        <v>0</v>
      </c>
      <c r="J93" s="68">
        <v>0</v>
      </c>
    </row>
    <row r="94" spans="1:10">
      <c r="A94" s="61" t="s">
        <v>75</v>
      </c>
      <c r="B94" s="68">
        <v>8000</v>
      </c>
      <c r="C94" s="68">
        <v>0</v>
      </c>
      <c r="D94" s="68">
        <v>0</v>
      </c>
      <c r="E94" s="68">
        <v>0</v>
      </c>
      <c r="F94" s="68">
        <v>3500</v>
      </c>
      <c r="G94" s="68">
        <v>0</v>
      </c>
      <c r="H94" s="68">
        <v>0</v>
      </c>
      <c r="I94" s="68">
        <v>0</v>
      </c>
      <c r="J94" s="68">
        <v>0</v>
      </c>
    </row>
    <row r="95" spans="1:10">
      <c r="A95" s="61" t="s">
        <v>76</v>
      </c>
      <c r="B95" s="68">
        <v>0</v>
      </c>
      <c r="C95" s="68">
        <v>0</v>
      </c>
      <c r="D95" s="68">
        <v>0</v>
      </c>
      <c r="E95" s="68">
        <v>0</v>
      </c>
      <c r="F95" s="68">
        <v>0</v>
      </c>
      <c r="G95" s="68">
        <v>0</v>
      </c>
      <c r="H95" s="68">
        <v>0</v>
      </c>
      <c r="I95" s="68">
        <v>0</v>
      </c>
      <c r="J95" s="68">
        <v>0</v>
      </c>
    </row>
    <row r="96" spans="1:10">
      <c r="A96" s="61" t="s">
        <v>77</v>
      </c>
      <c r="B96" s="68">
        <v>77950.962</v>
      </c>
      <c r="C96" s="68">
        <v>0</v>
      </c>
      <c r="D96" s="68">
        <v>0</v>
      </c>
      <c r="E96" s="68">
        <v>0</v>
      </c>
      <c r="F96" s="68">
        <v>51967.308000000005</v>
      </c>
      <c r="G96" s="68">
        <v>0</v>
      </c>
      <c r="H96" s="68">
        <v>0</v>
      </c>
      <c r="I96" s="68">
        <v>0</v>
      </c>
      <c r="J96" s="68">
        <v>0</v>
      </c>
    </row>
    <row r="97" spans="1:10">
      <c r="A97" s="61" t="s">
        <v>78</v>
      </c>
      <c r="B97" s="68">
        <v>72763.403999999995</v>
      </c>
      <c r="C97" s="68">
        <v>0</v>
      </c>
      <c r="D97" s="68">
        <v>0</v>
      </c>
      <c r="E97" s="68">
        <v>0</v>
      </c>
      <c r="F97" s="68">
        <v>48508.936000000002</v>
      </c>
      <c r="G97" s="68">
        <v>0</v>
      </c>
      <c r="H97" s="68">
        <v>0</v>
      </c>
      <c r="I97" s="68">
        <v>0</v>
      </c>
      <c r="J97" s="68">
        <v>0</v>
      </c>
    </row>
    <row r="98" spans="1:10">
      <c r="A98" s="61" t="s">
        <v>79</v>
      </c>
      <c r="B98" s="68">
        <v>105865.476</v>
      </c>
      <c r="C98" s="68">
        <v>0</v>
      </c>
      <c r="D98" s="68">
        <v>0</v>
      </c>
      <c r="E98" s="68">
        <v>0</v>
      </c>
      <c r="F98" s="68">
        <v>70576.983999999997</v>
      </c>
      <c r="G98" s="68">
        <v>0</v>
      </c>
      <c r="H98" s="68">
        <v>0</v>
      </c>
      <c r="I98" s="68">
        <v>0</v>
      </c>
      <c r="J98" s="68">
        <v>0</v>
      </c>
    </row>
    <row r="99" spans="1:10">
      <c r="A99" s="61" t="s">
        <v>80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</row>
    <row r="100" spans="1:10">
      <c r="A100" s="61" t="s">
        <v>81</v>
      </c>
      <c r="B100" s="68">
        <v>0</v>
      </c>
      <c r="C100" s="68">
        <v>0</v>
      </c>
      <c r="D100" s="68">
        <v>0</v>
      </c>
      <c r="E100" s="68">
        <v>0</v>
      </c>
      <c r="F100" s="68">
        <v>0</v>
      </c>
      <c r="G100" s="68">
        <v>0</v>
      </c>
      <c r="H100" s="68">
        <v>0</v>
      </c>
      <c r="I100" s="68">
        <v>0</v>
      </c>
      <c r="J100" s="68">
        <v>0</v>
      </c>
    </row>
    <row r="101" spans="1:10">
      <c r="A101" s="61" t="s">
        <v>82</v>
      </c>
      <c r="B101" s="68">
        <v>64094.31</v>
      </c>
      <c r="C101" s="68">
        <v>0</v>
      </c>
      <c r="D101" s="68">
        <v>0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</row>
    <row r="102" spans="1:10">
      <c r="A102" s="61" t="s">
        <v>83</v>
      </c>
      <c r="B102" s="68">
        <v>34969.33</v>
      </c>
      <c r="C102" s="68">
        <v>0</v>
      </c>
      <c r="D102" s="68">
        <v>14736</v>
      </c>
      <c r="E102" s="68">
        <v>0</v>
      </c>
      <c r="F102" s="68">
        <v>13966.66</v>
      </c>
      <c r="G102" s="68">
        <v>483</v>
      </c>
      <c r="H102" s="68">
        <v>0</v>
      </c>
      <c r="I102" s="68">
        <v>6612</v>
      </c>
      <c r="J102" s="68">
        <v>0</v>
      </c>
    </row>
    <row r="103" spans="1:10">
      <c r="A103" s="61"/>
      <c r="B103" s="68"/>
      <c r="C103" s="68"/>
      <c r="D103" s="68"/>
      <c r="E103" s="68"/>
      <c r="F103" s="68"/>
      <c r="G103" s="68"/>
      <c r="H103" s="68"/>
      <c r="I103" s="69"/>
      <c r="J103" s="69"/>
    </row>
    <row r="104" spans="1:10" ht="17.25">
      <c r="A104" s="70" t="s">
        <v>84</v>
      </c>
      <c r="B104" s="67">
        <f>+SUM(B105:B113)</f>
        <v>755239.03239999991</v>
      </c>
      <c r="C104" s="67">
        <f t="shared" ref="C104:J104" si="20">+SUM(C105:C113)</f>
        <v>0</v>
      </c>
      <c r="D104" s="67">
        <f t="shared" si="20"/>
        <v>29695.9</v>
      </c>
      <c r="E104" s="67">
        <f t="shared" si="20"/>
        <v>11130.6</v>
      </c>
      <c r="F104" s="67">
        <f t="shared" si="20"/>
        <v>422671.27160000004</v>
      </c>
      <c r="G104" s="67">
        <f t="shared" si="20"/>
        <v>8347.9500000000007</v>
      </c>
      <c r="H104" s="67">
        <f t="shared" si="20"/>
        <v>5565.3</v>
      </c>
      <c r="I104" s="67">
        <f t="shared" si="20"/>
        <v>35709</v>
      </c>
      <c r="J104" s="67">
        <f t="shared" si="20"/>
        <v>0</v>
      </c>
    </row>
    <row r="105" spans="1:10">
      <c r="A105" s="61" t="s">
        <v>85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</row>
    <row r="106" spans="1:10">
      <c r="A106" s="61" t="s">
        <v>86</v>
      </c>
      <c r="B106" s="68">
        <v>447894.31399999995</v>
      </c>
      <c r="C106" s="68">
        <v>0</v>
      </c>
      <c r="D106" s="68">
        <v>18730</v>
      </c>
      <c r="E106" s="68">
        <v>5820</v>
      </c>
      <c r="F106" s="68">
        <v>222937.87599999999</v>
      </c>
      <c r="G106" s="68">
        <v>4365</v>
      </c>
      <c r="H106" s="68">
        <v>2910</v>
      </c>
      <c r="I106" s="68">
        <v>0</v>
      </c>
      <c r="J106" s="68">
        <v>0</v>
      </c>
    </row>
    <row r="107" spans="1:10">
      <c r="A107" s="61" t="s">
        <v>87</v>
      </c>
      <c r="B107" s="68">
        <v>0</v>
      </c>
      <c r="C107" s="68">
        <v>0</v>
      </c>
      <c r="D107" s="68">
        <v>0</v>
      </c>
      <c r="E107" s="68">
        <v>0</v>
      </c>
      <c r="F107" s="68">
        <v>0</v>
      </c>
      <c r="G107" s="68">
        <v>0</v>
      </c>
      <c r="H107" s="68">
        <v>0</v>
      </c>
      <c r="I107" s="68">
        <v>0</v>
      </c>
      <c r="J107" s="68">
        <v>0</v>
      </c>
    </row>
    <row r="108" spans="1:10">
      <c r="A108" s="61" t="s">
        <v>88</v>
      </c>
      <c r="B108" s="68">
        <v>34836.116399999999</v>
      </c>
      <c r="C108" s="68">
        <v>0</v>
      </c>
      <c r="D108" s="68">
        <v>0</v>
      </c>
      <c r="E108" s="68">
        <v>0</v>
      </c>
      <c r="F108" s="68">
        <v>23224.077600000004</v>
      </c>
      <c r="G108" s="68">
        <v>0</v>
      </c>
      <c r="H108" s="68">
        <v>0</v>
      </c>
      <c r="I108" s="68">
        <v>0</v>
      </c>
      <c r="J108" s="68">
        <v>0</v>
      </c>
    </row>
    <row r="109" spans="1:10">
      <c r="A109" s="61" t="s">
        <v>89</v>
      </c>
      <c r="B109" s="68">
        <v>5478</v>
      </c>
      <c r="C109" s="68">
        <v>0</v>
      </c>
      <c r="D109" s="68">
        <v>0</v>
      </c>
      <c r="E109" s="68">
        <v>0</v>
      </c>
      <c r="F109" s="68">
        <v>3652</v>
      </c>
      <c r="G109" s="68">
        <v>0</v>
      </c>
      <c r="H109" s="68">
        <v>0</v>
      </c>
      <c r="I109" s="68">
        <v>0</v>
      </c>
      <c r="J109" s="68">
        <v>0</v>
      </c>
    </row>
    <row r="110" spans="1:10">
      <c r="A110" s="61" t="s">
        <v>90</v>
      </c>
      <c r="B110" s="68">
        <v>249430.60200000001</v>
      </c>
      <c r="C110" s="68">
        <v>0</v>
      </c>
      <c r="D110" s="68">
        <v>45.9</v>
      </c>
      <c r="E110" s="68">
        <v>30.6</v>
      </c>
      <c r="F110" s="68">
        <v>166257.31800000003</v>
      </c>
      <c r="G110" s="68">
        <v>22.95</v>
      </c>
      <c r="H110" s="68">
        <v>15.3</v>
      </c>
      <c r="I110" s="68">
        <v>0</v>
      </c>
      <c r="J110" s="68">
        <v>0</v>
      </c>
    </row>
    <row r="111" spans="1:10">
      <c r="A111" s="61" t="s">
        <v>91</v>
      </c>
      <c r="B111" s="68">
        <v>0</v>
      </c>
      <c r="C111" s="68">
        <v>0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</row>
    <row r="112" spans="1:10">
      <c r="A112" s="61" t="s">
        <v>92</v>
      </c>
      <c r="B112" s="68">
        <v>17600</v>
      </c>
      <c r="C112" s="68">
        <v>0</v>
      </c>
      <c r="D112" s="68">
        <v>10920</v>
      </c>
      <c r="E112" s="68">
        <v>5280</v>
      </c>
      <c r="F112" s="68">
        <v>6600</v>
      </c>
      <c r="G112" s="68">
        <v>3960</v>
      </c>
      <c r="H112" s="68">
        <v>2640</v>
      </c>
      <c r="I112" s="68">
        <v>35709</v>
      </c>
      <c r="J112" s="68">
        <v>0</v>
      </c>
    </row>
    <row r="113" spans="1:10">
      <c r="A113" s="61" t="s">
        <v>225</v>
      </c>
      <c r="B113" s="68">
        <v>0</v>
      </c>
      <c r="C113" s="68">
        <v>0</v>
      </c>
      <c r="D113" s="68">
        <v>0</v>
      </c>
      <c r="E113" s="68">
        <v>0</v>
      </c>
      <c r="F113" s="68">
        <v>0</v>
      </c>
      <c r="G113" s="68">
        <v>0</v>
      </c>
      <c r="H113" s="68">
        <v>0</v>
      </c>
      <c r="I113" s="68">
        <v>0</v>
      </c>
      <c r="J113" s="68">
        <v>0</v>
      </c>
    </row>
    <row r="114" spans="1:10">
      <c r="A114" s="60"/>
      <c r="B114" s="68"/>
      <c r="C114" s="68"/>
      <c r="D114" s="68"/>
      <c r="E114" s="68"/>
      <c r="F114" s="68"/>
      <c r="G114" s="68"/>
      <c r="H114" s="68"/>
      <c r="I114" s="69"/>
      <c r="J114" s="69"/>
    </row>
    <row r="115" spans="1:10" ht="17.25">
      <c r="A115" s="71" t="s">
        <v>211</v>
      </c>
      <c r="B115" s="67">
        <f>+B116+B129+B133+B138+B146+B150</f>
        <v>3315124.9756410262</v>
      </c>
      <c r="C115" s="67">
        <f t="shared" ref="C115:J115" si="21">+C116+C129+C133+C138+C146+C150</f>
        <v>36950</v>
      </c>
      <c r="D115" s="67">
        <f t="shared" si="21"/>
        <v>2075883.57</v>
      </c>
      <c r="E115" s="67">
        <f t="shared" si="21"/>
        <v>390440.25692307693</v>
      </c>
      <c r="F115" s="67">
        <f t="shared" si="21"/>
        <v>1138235.4441025641</v>
      </c>
      <c r="G115" s="67">
        <f t="shared" si="21"/>
        <v>933530.3394871793</v>
      </c>
      <c r="H115" s="67">
        <f t="shared" si="21"/>
        <v>137934.5817948718</v>
      </c>
      <c r="I115" s="67">
        <f t="shared" si="21"/>
        <v>579533.91743589751</v>
      </c>
      <c r="J115" s="67">
        <f t="shared" si="21"/>
        <v>103511.17307692308</v>
      </c>
    </row>
    <row r="116" spans="1:10">
      <c r="A116" s="72" t="s">
        <v>94</v>
      </c>
      <c r="B116" s="67">
        <f>+SUM(B117:B128)</f>
        <v>2661283.025641026</v>
      </c>
      <c r="C116" s="67">
        <f t="shared" ref="C116:J116" si="22">+SUM(C117:C128)</f>
        <v>36950</v>
      </c>
      <c r="D116" s="67">
        <f t="shared" si="22"/>
        <v>1584534.6333333333</v>
      </c>
      <c r="E116" s="67">
        <f t="shared" si="22"/>
        <v>350943.77692307695</v>
      </c>
      <c r="F116" s="67">
        <f t="shared" si="22"/>
        <v>912187.23076923075</v>
      </c>
      <c r="G116" s="67">
        <f t="shared" si="22"/>
        <v>784678.01282051275</v>
      </c>
      <c r="H116" s="67">
        <f t="shared" si="22"/>
        <v>88488.871794871797</v>
      </c>
      <c r="I116" s="67">
        <f t="shared" si="22"/>
        <v>386645.89743589744</v>
      </c>
      <c r="J116" s="67">
        <f t="shared" si="22"/>
        <v>101046.17307692308</v>
      </c>
    </row>
    <row r="117" spans="1:10">
      <c r="A117" s="61" t="s">
        <v>95</v>
      </c>
      <c r="B117" s="68">
        <v>1082303</v>
      </c>
      <c r="C117" s="68">
        <v>15000</v>
      </c>
      <c r="D117" s="68">
        <v>556032</v>
      </c>
      <c r="E117" s="68">
        <v>94989</v>
      </c>
      <c r="F117" s="68">
        <v>375400</v>
      </c>
      <c r="G117" s="68">
        <v>278955</v>
      </c>
      <c r="H117" s="68">
        <v>23481</v>
      </c>
      <c r="I117" s="68">
        <v>159000</v>
      </c>
      <c r="J117" s="68">
        <v>41250</v>
      </c>
    </row>
    <row r="118" spans="1:10">
      <c r="A118" s="61" t="s">
        <v>96</v>
      </c>
      <c r="B118" s="68">
        <v>136196</v>
      </c>
      <c r="C118" s="68">
        <v>2500</v>
      </c>
      <c r="D118" s="68">
        <v>82783</v>
      </c>
      <c r="E118" s="68">
        <v>16121</v>
      </c>
      <c r="F118" s="68">
        <v>57450</v>
      </c>
      <c r="G118" s="68">
        <v>45915</v>
      </c>
      <c r="H118" s="68">
        <v>3555</v>
      </c>
      <c r="I118" s="68">
        <v>22750</v>
      </c>
      <c r="J118" s="68">
        <v>6150</v>
      </c>
    </row>
    <row r="119" spans="1:10">
      <c r="A119" s="61" t="s">
        <v>97</v>
      </c>
      <c r="B119" s="68">
        <v>31500</v>
      </c>
      <c r="C119" s="68">
        <v>0</v>
      </c>
      <c r="D119" s="68">
        <v>1500</v>
      </c>
      <c r="E119" s="68">
        <v>2500</v>
      </c>
      <c r="F119" s="68">
        <v>9000</v>
      </c>
      <c r="G119" s="68">
        <v>3000</v>
      </c>
      <c r="H119" s="68">
        <v>0</v>
      </c>
      <c r="I119" s="68">
        <v>0</v>
      </c>
      <c r="J119" s="68">
        <v>0</v>
      </c>
    </row>
    <row r="120" spans="1:10">
      <c r="A120" s="61" t="s">
        <v>98</v>
      </c>
      <c r="B120" s="68">
        <v>371161</v>
      </c>
      <c r="C120" s="68">
        <v>4000</v>
      </c>
      <c r="D120" s="68">
        <v>297788</v>
      </c>
      <c r="E120" s="68">
        <v>59894</v>
      </c>
      <c r="F120" s="68">
        <v>125200</v>
      </c>
      <c r="G120" s="68">
        <v>175897</v>
      </c>
      <c r="H120" s="68">
        <v>21112</v>
      </c>
      <c r="I120" s="68">
        <v>88500</v>
      </c>
      <c r="J120" s="68">
        <v>22500</v>
      </c>
    </row>
    <row r="121" spans="1:10">
      <c r="A121" s="61" t="s">
        <v>99</v>
      </c>
      <c r="B121" s="68">
        <v>80469</v>
      </c>
      <c r="C121" s="68">
        <v>0</v>
      </c>
      <c r="D121" s="68">
        <v>35003</v>
      </c>
      <c r="E121" s="68">
        <v>4668</v>
      </c>
      <c r="F121" s="68">
        <v>34500</v>
      </c>
      <c r="G121" s="68">
        <v>25568</v>
      </c>
      <c r="H121" s="68">
        <v>3242</v>
      </c>
      <c r="I121" s="68">
        <v>13400</v>
      </c>
      <c r="J121" s="68">
        <v>0</v>
      </c>
    </row>
    <row r="122" spans="1:10">
      <c r="A122" s="61" t="s">
        <v>100</v>
      </c>
      <c r="B122" s="68">
        <v>46050</v>
      </c>
      <c r="C122" s="68">
        <v>500</v>
      </c>
      <c r="D122" s="68">
        <v>19050</v>
      </c>
      <c r="E122" s="68">
        <v>2000</v>
      </c>
      <c r="F122" s="68">
        <v>8350</v>
      </c>
      <c r="G122" s="68">
        <v>13468</v>
      </c>
      <c r="H122" s="68">
        <v>1500</v>
      </c>
      <c r="I122" s="68">
        <v>2500</v>
      </c>
      <c r="J122" s="68">
        <v>0</v>
      </c>
    </row>
    <row r="123" spans="1:10">
      <c r="A123" s="61" t="s">
        <v>101</v>
      </c>
      <c r="B123" s="68">
        <v>588927</v>
      </c>
      <c r="C123" s="68">
        <v>13000</v>
      </c>
      <c r="D123" s="68">
        <v>278358</v>
      </c>
      <c r="E123" s="68">
        <v>52506</v>
      </c>
      <c r="F123" s="68">
        <v>179400</v>
      </c>
      <c r="G123" s="68">
        <v>122513</v>
      </c>
      <c r="H123" s="68">
        <v>9271</v>
      </c>
      <c r="I123" s="68">
        <v>54050</v>
      </c>
      <c r="J123" s="68">
        <v>18600</v>
      </c>
    </row>
    <row r="124" spans="1:10">
      <c r="A124" s="61" t="s">
        <v>102</v>
      </c>
      <c r="B124" s="68">
        <v>95797</v>
      </c>
      <c r="C124" s="68">
        <v>1950</v>
      </c>
      <c r="D124" s="68">
        <v>98158</v>
      </c>
      <c r="E124" s="68">
        <v>21838</v>
      </c>
      <c r="F124" s="68">
        <v>36127</v>
      </c>
      <c r="G124" s="68">
        <v>50488</v>
      </c>
      <c r="H124" s="68">
        <v>8123</v>
      </c>
      <c r="I124" s="68">
        <v>24050</v>
      </c>
      <c r="J124" s="68">
        <v>7313</v>
      </c>
    </row>
    <row r="125" spans="1:10">
      <c r="A125" s="61" t="s">
        <v>103</v>
      </c>
      <c r="B125" s="68">
        <v>9639</v>
      </c>
      <c r="C125" s="68">
        <v>0</v>
      </c>
      <c r="D125" s="68">
        <v>22521.8</v>
      </c>
      <c r="E125" s="68">
        <v>1262.2</v>
      </c>
      <c r="F125" s="68">
        <v>4191</v>
      </c>
      <c r="G125" s="68">
        <v>10406</v>
      </c>
      <c r="H125" s="68">
        <v>395</v>
      </c>
      <c r="I125" s="68">
        <v>3835</v>
      </c>
      <c r="J125" s="68">
        <v>0</v>
      </c>
    </row>
    <row r="126" spans="1:10">
      <c r="A126" s="61" t="s">
        <v>104</v>
      </c>
      <c r="B126" s="68">
        <v>104600</v>
      </c>
      <c r="C126" s="68">
        <v>0</v>
      </c>
      <c r="D126" s="68">
        <v>122670</v>
      </c>
      <c r="E126" s="68">
        <v>81780</v>
      </c>
      <c r="F126" s="68">
        <v>39225</v>
      </c>
      <c r="G126" s="68">
        <v>23535</v>
      </c>
      <c r="H126" s="68">
        <v>15690</v>
      </c>
      <c r="I126" s="68">
        <v>0</v>
      </c>
      <c r="J126" s="68">
        <v>0</v>
      </c>
    </row>
    <row r="127" spans="1:10">
      <c r="A127" s="61" t="s">
        <v>105</v>
      </c>
      <c r="B127" s="68">
        <v>54057.692307692305</v>
      </c>
      <c r="C127" s="68">
        <v>0</v>
      </c>
      <c r="D127" s="68">
        <v>28437.499999999996</v>
      </c>
      <c r="E127" s="68">
        <v>5110.5769230769229</v>
      </c>
      <c r="F127" s="68">
        <v>18769.230769230773</v>
      </c>
      <c r="G127" s="68">
        <v>14716.346153846156</v>
      </c>
      <c r="H127" s="68">
        <v>836.53846153846155</v>
      </c>
      <c r="I127" s="68">
        <v>7644.2307692307695</v>
      </c>
      <c r="J127" s="68">
        <v>1983.1730769230771</v>
      </c>
    </row>
    <row r="128" spans="1:10">
      <c r="A128" s="61" t="s">
        <v>226</v>
      </c>
      <c r="B128" s="68">
        <v>60583.333333333343</v>
      </c>
      <c r="C128" s="68">
        <v>0</v>
      </c>
      <c r="D128" s="68">
        <v>42233.333333333328</v>
      </c>
      <c r="E128" s="68">
        <v>8274.9999999999982</v>
      </c>
      <c r="F128" s="68">
        <v>24574.999999999996</v>
      </c>
      <c r="G128" s="68">
        <v>20216.666666666664</v>
      </c>
      <c r="H128" s="68">
        <v>1283.3333333333333</v>
      </c>
      <c r="I128" s="68">
        <v>10916.666666666664</v>
      </c>
      <c r="J128" s="68">
        <v>3250</v>
      </c>
    </row>
    <row r="129" spans="1:10">
      <c r="A129" s="72" t="s">
        <v>106</v>
      </c>
      <c r="B129" s="67">
        <f>+SUM(B130:B132)</f>
        <v>0</v>
      </c>
      <c r="C129" s="67">
        <f t="shared" ref="C129:J129" si="23">+SUM(C130:C132)</f>
        <v>0</v>
      </c>
      <c r="D129" s="67">
        <f t="shared" si="23"/>
        <v>0</v>
      </c>
      <c r="E129" s="67">
        <f t="shared" si="23"/>
        <v>0</v>
      </c>
      <c r="F129" s="67">
        <f t="shared" si="23"/>
        <v>0</v>
      </c>
      <c r="G129" s="67">
        <f t="shared" si="23"/>
        <v>0</v>
      </c>
      <c r="H129" s="67">
        <f t="shared" si="23"/>
        <v>0</v>
      </c>
      <c r="I129" s="67">
        <f t="shared" si="23"/>
        <v>0</v>
      </c>
      <c r="J129" s="67">
        <f t="shared" si="23"/>
        <v>0</v>
      </c>
    </row>
    <row r="130" spans="1:10">
      <c r="A130" s="61" t="s">
        <v>107</v>
      </c>
      <c r="B130" s="68">
        <v>0</v>
      </c>
      <c r="C130" s="68">
        <v>0</v>
      </c>
      <c r="D130" s="68">
        <v>0</v>
      </c>
      <c r="E130" s="68">
        <v>0</v>
      </c>
      <c r="F130" s="68">
        <v>0</v>
      </c>
      <c r="G130" s="68">
        <v>0</v>
      </c>
      <c r="H130" s="68">
        <v>0</v>
      </c>
      <c r="I130" s="68">
        <v>0</v>
      </c>
      <c r="J130" s="68">
        <v>0</v>
      </c>
    </row>
    <row r="131" spans="1:10">
      <c r="A131" s="61" t="s">
        <v>108</v>
      </c>
      <c r="B131" s="68">
        <v>0</v>
      </c>
      <c r="C131" s="68">
        <v>0</v>
      </c>
      <c r="D131" s="68">
        <v>0</v>
      </c>
      <c r="E131" s="68">
        <v>0</v>
      </c>
      <c r="F131" s="68">
        <v>0</v>
      </c>
      <c r="G131" s="68">
        <v>0</v>
      </c>
      <c r="H131" s="68">
        <v>0</v>
      </c>
      <c r="I131" s="68">
        <v>0</v>
      </c>
      <c r="J131" s="68">
        <v>0</v>
      </c>
    </row>
    <row r="132" spans="1:10">
      <c r="A132" s="61" t="s">
        <v>109</v>
      </c>
      <c r="B132" s="68">
        <v>0</v>
      </c>
      <c r="C132" s="68">
        <v>0</v>
      </c>
      <c r="D132" s="68">
        <v>0</v>
      </c>
      <c r="E132" s="68">
        <v>0</v>
      </c>
      <c r="F132" s="68">
        <v>0</v>
      </c>
      <c r="G132" s="68">
        <v>0</v>
      </c>
      <c r="H132" s="68">
        <v>0</v>
      </c>
      <c r="I132" s="68">
        <v>0</v>
      </c>
      <c r="J132" s="68">
        <v>0</v>
      </c>
    </row>
    <row r="133" spans="1:10">
      <c r="A133" s="72" t="s">
        <v>110</v>
      </c>
      <c r="B133" s="67">
        <f>+SUM(B134:B137)</f>
        <v>410345.1</v>
      </c>
      <c r="C133" s="67">
        <f t="shared" ref="C133:J133" si="24">+SUM(C134:C137)</f>
        <v>0</v>
      </c>
      <c r="D133" s="67">
        <f t="shared" si="24"/>
        <v>201528.8</v>
      </c>
      <c r="E133" s="67">
        <f t="shared" si="24"/>
        <v>516</v>
      </c>
      <c r="F133" s="67">
        <f t="shared" si="24"/>
        <v>55000.480000000003</v>
      </c>
      <c r="G133" s="67">
        <f t="shared" si="24"/>
        <v>15668.08</v>
      </c>
      <c r="H133" s="67">
        <f t="shared" si="24"/>
        <v>258</v>
      </c>
      <c r="I133" s="67">
        <f t="shared" si="24"/>
        <v>8495.7099999999991</v>
      </c>
      <c r="J133" s="67">
        <f t="shared" si="24"/>
        <v>0</v>
      </c>
    </row>
    <row r="134" spans="1:10">
      <c r="A134" s="61" t="s">
        <v>111</v>
      </c>
      <c r="B134" s="68">
        <v>0</v>
      </c>
      <c r="C134" s="68">
        <v>0</v>
      </c>
      <c r="D134" s="68">
        <v>0</v>
      </c>
      <c r="E134" s="68">
        <v>0</v>
      </c>
      <c r="F134" s="68">
        <v>0</v>
      </c>
      <c r="G134" s="68">
        <v>0</v>
      </c>
      <c r="H134" s="68">
        <v>0</v>
      </c>
      <c r="I134" s="68">
        <v>0</v>
      </c>
      <c r="J134" s="68">
        <v>0</v>
      </c>
    </row>
    <row r="135" spans="1:10">
      <c r="A135" s="61" t="s">
        <v>112</v>
      </c>
      <c r="B135" s="68">
        <v>410345.1</v>
      </c>
      <c r="C135" s="68">
        <v>0</v>
      </c>
      <c r="D135" s="68">
        <v>201528.8</v>
      </c>
      <c r="E135" s="68">
        <v>516</v>
      </c>
      <c r="F135" s="68">
        <v>55000.480000000003</v>
      </c>
      <c r="G135" s="68">
        <v>15668.08</v>
      </c>
      <c r="H135" s="68">
        <v>258</v>
      </c>
      <c r="I135" s="68">
        <v>8495.7099999999991</v>
      </c>
      <c r="J135" s="68">
        <v>0</v>
      </c>
    </row>
    <row r="136" spans="1:10">
      <c r="A136" s="61" t="s">
        <v>113</v>
      </c>
      <c r="B136" s="68">
        <v>0</v>
      </c>
      <c r="C136" s="68">
        <v>0</v>
      </c>
      <c r="D136" s="68">
        <v>0</v>
      </c>
      <c r="E136" s="68">
        <v>0</v>
      </c>
      <c r="F136" s="68">
        <v>0</v>
      </c>
      <c r="G136" s="68">
        <v>0</v>
      </c>
      <c r="H136" s="68">
        <v>0</v>
      </c>
      <c r="I136" s="68">
        <v>0</v>
      </c>
      <c r="J136" s="68">
        <v>0</v>
      </c>
    </row>
    <row r="137" spans="1:10">
      <c r="A137" s="61" t="s">
        <v>114</v>
      </c>
      <c r="B137" s="68">
        <v>0</v>
      </c>
      <c r="C137" s="68">
        <v>0</v>
      </c>
      <c r="D137" s="68">
        <v>0</v>
      </c>
      <c r="E137" s="68">
        <v>0</v>
      </c>
      <c r="F137" s="68">
        <v>0</v>
      </c>
      <c r="G137" s="68">
        <v>0</v>
      </c>
      <c r="H137" s="68">
        <v>0</v>
      </c>
      <c r="I137" s="68">
        <v>0</v>
      </c>
      <c r="J137" s="68">
        <v>0</v>
      </c>
    </row>
    <row r="138" spans="1:10">
      <c r="A138" s="72" t="s">
        <v>115</v>
      </c>
      <c r="B138" s="67">
        <f>+SUM(B139:B145)</f>
        <v>103258.85</v>
      </c>
      <c r="C138" s="67">
        <f t="shared" ref="C138:J138" si="25">+SUM(C139:C145)</f>
        <v>0</v>
      </c>
      <c r="D138" s="67">
        <f t="shared" si="25"/>
        <v>155841.93666666668</v>
      </c>
      <c r="E138" s="67">
        <f t="shared" si="25"/>
        <v>3923.68</v>
      </c>
      <c r="F138" s="67">
        <f t="shared" si="25"/>
        <v>92604.233333333337</v>
      </c>
      <c r="G138" s="67">
        <f t="shared" si="25"/>
        <v>57757.546666666669</v>
      </c>
      <c r="H138" s="67">
        <f t="shared" si="25"/>
        <v>25603.91</v>
      </c>
      <c r="I138" s="67">
        <f t="shared" si="25"/>
        <v>75866.31</v>
      </c>
      <c r="J138" s="67">
        <f t="shared" si="25"/>
        <v>2465</v>
      </c>
    </row>
    <row r="139" spans="1:10">
      <c r="A139" s="61" t="s">
        <v>116</v>
      </c>
      <c r="B139" s="68">
        <v>618</v>
      </c>
      <c r="C139" s="68">
        <v>0</v>
      </c>
      <c r="D139" s="68">
        <v>0</v>
      </c>
      <c r="E139" s="68">
        <v>0</v>
      </c>
      <c r="F139" s="68">
        <v>0</v>
      </c>
      <c r="G139" s="68">
        <v>0</v>
      </c>
      <c r="H139" s="68">
        <v>0</v>
      </c>
      <c r="I139" s="68">
        <v>0</v>
      </c>
      <c r="J139" s="68">
        <v>0</v>
      </c>
    </row>
    <row r="140" spans="1:10">
      <c r="A140" s="61" t="s">
        <v>117</v>
      </c>
      <c r="B140" s="68">
        <v>19589.599999999999</v>
      </c>
      <c r="C140" s="68">
        <v>0</v>
      </c>
      <c r="D140" s="68">
        <v>27432.52</v>
      </c>
      <c r="E140" s="68">
        <v>3923.68</v>
      </c>
      <c r="F140" s="68">
        <v>19563.099999999999</v>
      </c>
      <c r="G140" s="68">
        <v>16125.26</v>
      </c>
      <c r="H140" s="68">
        <v>5648.84</v>
      </c>
      <c r="I140" s="68">
        <v>14920</v>
      </c>
      <c r="J140" s="68">
        <v>0</v>
      </c>
    </row>
    <row r="141" spans="1:10">
      <c r="A141" s="61" t="s">
        <v>227</v>
      </c>
      <c r="B141" s="68">
        <v>0</v>
      </c>
      <c r="C141" s="68">
        <v>0</v>
      </c>
      <c r="D141" s="68">
        <v>49652</v>
      </c>
      <c r="E141" s="68">
        <v>0</v>
      </c>
      <c r="F141" s="68">
        <v>22500</v>
      </c>
      <c r="G141" s="68">
        <v>13500</v>
      </c>
      <c r="H141" s="68">
        <v>9000</v>
      </c>
      <c r="I141" s="68">
        <v>33500</v>
      </c>
      <c r="J141" s="68">
        <v>0</v>
      </c>
    </row>
    <row r="142" spans="1:10">
      <c r="A142" s="61" t="s">
        <v>228</v>
      </c>
      <c r="B142" s="68">
        <v>0</v>
      </c>
      <c r="C142" s="68">
        <v>0</v>
      </c>
      <c r="D142" s="68">
        <v>0</v>
      </c>
      <c r="E142" s="68">
        <v>0</v>
      </c>
      <c r="F142" s="68">
        <v>683.3</v>
      </c>
      <c r="G142" s="68">
        <v>13680.119999999999</v>
      </c>
      <c r="H142" s="68">
        <v>273.32</v>
      </c>
      <c r="I142" s="68">
        <v>17337.310000000001</v>
      </c>
      <c r="J142" s="68">
        <v>0</v>
      </c>
    </row>
    <row r="143" spans="1:10">
      <c r="A143" s="61" t="s">
        <v>118</v>
      </c>
      <c r="B143" s="68">
        <v>0</v>
      </c>
      <c r="C143" s="68">
        <v>0</v>
      </c>
      <c r="D143" s="68">
        <v>0</v>
      </c>
      <c r="E143" s="68">
        <v>0</v>
      </c>
      <c r="F143" s="68">
        <v>0</v>
      </c>
      <c r="G143" s="68">
        <v>0</v>
      </c>
      <c r="H143" s="68">
        <v>0</v>
      </c>
      <c r="I143" s="68">
        <v>0</v>
      </c>
      <c r="J143" s="68">
        <v>0</v>
      </c>
    </row>
    <row r="144" spans="1:10">
      <c r="A144" s="61" t="s">
        <v>119</v>
      </c>
      <c r="B144" s="68">
        <v>36529.25</v>
      </c>
      <c r="C144" s="68">
        <v>0</v>
      </c>
      <c r="D144" s="68">
        <v>49201.416666666664</v>
      </c>
      <c r="E144" s="68">
        <v>0</v>
      </c>
      <c r="F144" s="68">
        <v>26971.833333333332</v>
      </c>
      <c r="G144" s="68">
        <v>14452.166666666666</v>
      </c>
      <c r="H144" s="68">
        <v>10681.75</v>
      </c>
      <c r="I144" s="68">
        <v>0</v>
      </c>
      <c r="J144" s="68">
        <v>2465</v>
      </c>
    </row>
    <row r="145" spans="1:10">
      <c r="A145" s="61" t="s">
        <v>120</v>
      </c>
      <c r="B145" s="68">
        <v>46522</v>
      </c>
      <c r="C145" s="68">
        <v>0</v>
      </c>
      <c r="D145" s="68">
        <v>29556</v>
      </c>
      <c r="E145" s="68">
        <v>0</v>
      </c>
      <c r="F145" s="68">
        <v>22886</v>
      </c>
      <c r="G145" s="68">
        <v>0</v>
      </c>
      <c r="H145" s="68">
        <v>0</v>
      </c>
      <c r="I145" s="68">
        <v>10109</v>
      </c>
      <c r="J145" s="68">
        <v>0</v>
      </c>
    </row>
    <row r="146" spans="1:10">
      <c r="A146" s="72" t="s">
        <v>121</v>
      </c>
      <c r="B146" s="67">
        <f>+SUM(B147:B149)</f>
        <v>3150</v>
      </c>
      <c r="C146" s="67">
        <f t="shared" ref="C146:J146" si="26">+SUM(C147:C149)</f>
        <v>0</v>
      </c>
      <c r="D146" s="67">
        <f t="shared" si="26"/>
        <v>38971</v>
      </c>
      <c r="E146" s="67">
        <f t="shared" si="26"/>
        <v>0</v>
      </c>
      <c r="F146" s="67">
        <f t="shared" si="26"/>
        <v>19484</v>
      </c>
      <c r="G146" s="67">
        <f t="shared" si="26"/>
        <v>40051</v>
      </c>
      <c r="H146" s="67">
        <f t="shared" si="26"/>
        <v>0</v>
      </c>
      <c r="I146" s="67">
        <f t="shared" si="26"/>
        <v>5897</v>
      </c>
      <c r="J146" s="67">
        <f t="shared" si="26"/>
        <v>0</v>
      </c>
    </row>
    <row r="147" spans="1:10">
      <c r="A147" s="61" t="s">
        <v>122</v>
      </c>
      <c r="B147" s="68">
        <v>0</v>
      </c>
      <c r="C147" s="68">
        <v>0</v>
      </c>
      <c r="D147" s="68">
        <v>0</v>
      </c>
      <c r="E147" s="68">
        <v>0</v>
      </c>
      <c r="F147" s="68">
        <v>0</v>
      </c>
      <c r="G147" s="68">
        <v>0</v>
      </c>
      <c r="H147" s="68">
        <v>0</v>
      </c>
      <c r="I147" s="68">
        <v>0</v>
      </c>
      <c r="J147" s="68">
        <v>0</v>
      </c>
    </row>
    <row r="148" spans="1:10">
      <c r="A148" s="61" t="s">
        <v>123</v>
      </c>
      <c r="B148" s="68">
        <v>3150</v>
      </c>
      <c r="C148" s="68">
        <v>0</v>
      </c>
      <c r="D148" s="68">
        <v>38971</v>
      </c>
      <c r="E148" s="68">
        <v>0</v>
      </c>
      <c r="F148" s="68">
        <v>19484</v>
      </c>
      <c r="G148" s="68">
        <v>40051</v>
      </c>
      <c r="H148" s="68">
        <v>0</v>
      </c>
      <c r="I148" s="68">
        <v>5897</v>
      </c>
      <c r="J148" s="68">
        <v>0</v>
      </c>
    </row>
    <row r="149" spans="1:10">
      <c r="A149" s="61" t="s">
        <v>124</v>
      </c>
      <c r="B149" s="68">
        <v>0</v>
      </c>
      <c r="C149" s="68">
        <v>0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</row>
    <row r="150" spans="1:10">
      <c r="A150" s="72" t="s">
        <v>125</v>
      </c>
      <c r="B150" s="67">
        <f>+SUM(B151:B154)</f>
        <v>137088</v>
      </c>
      <c r="C150" s="67">
        <f t="shared" ref="C150:J150" si="27">+SUM(C151:C154)</f>
        <v>0</v>
      </c>
      <c r="D150" s="67">
        <f t="shared" si="27"/>
        <v>95007.2</v>
      </c>
      <c r="E150" s="67">
        <f t="shared" si="27"/>
        <v>35056.800000000003</v>
      </c>
      <c r="F150" s="67">
        <f t="shared" si="27"/>
        <v>58959.5</v>
      </c>
      <c r="G150" s="67">
        <f t="shared" si="27"/>
        <v>35375.699999999997</v>
      </c>
      <c r="H150" s="67">
        <f t="shared" si="27"/>
        <v>23583.8</v>
      </c>
      <c r="I150" s="67">
        <f t="shared" si="27"/>
        <v>102629</v>
      </c>
      <c r="J150" s="67">
        <f t="shared" si="27"/>
        <v>0</v>
      </c>
    </row>
    <row r="151" spans="1:10">
      <c r="A151" s="61" t="s">
        <v>126</v>
      </c>
      <c r="B151" s="68">
        <v>63566</v>
      </c>
      <c r="C151" s="68">
        <v>0</v>
      </c>
      <c r="D151" s="68">
        <v>52585.2</v>
      </c>
      <c r="E151" s="68">
        <v>35056.800000000003</v>
      </c>
      <c r="F151" s="68">
        <v>39679</v>
      </c>
      <c r="G151" s="68">
        <v>23807.399999999998</v>
      </c>
      <c r="H151" s="68">
        <v>15871.6</v>
      </c>
      <c r="I151" s="68">
        <v>81368</v>
      </c>
      <c r="J151" s="68">
        <v>0</v>
      </c>
    </row>
    <row r="152" spans="1:10">
      <c r="A152" s="61" t="s">
        <v>229</v>
      </c>
      <c r="B152" s="68">
        <v>9922</v>
      </c>
      <c r="C152" s="68">
        <v>0</v>
      </c>
      <c r="D152" s="68">
        <v>9922</v>
      </c>
      <c r="E152" s="68">
        <v>0</v>
      </c>
      <c r="F152" s="68">
        <v>2480.5</v>
      </c>
      <c r="G152" s="68">
        <v>1488.3</v>
      </c>
      <c r="H152" s="68">
        <v>992.2</v>
      </c>
      <c r="I152" s="68">
        <v>4961</v>
      </c>
      <c r="J152" s="68">
        <v>0</v>
      </c>
    </row>
    <row r="153" spans="1:10">
      <c r="A153" s="61" t="s">
        <v>127</v>
      </c>
      <c r="B153" s="68">
        <v>63000</v>
      </c>
      <c r="C153" s="68">
        <v>0</v>
      </c>
      <c r="D153" s="68">
        <v>32000</v>
      </c>
      <c r="E153" s="68">
        <v>0</v>
      </c>
      <c r="F153" s="68">
        <v>16000</v>
      </c>
      <c r="G153" s="68">
        <v>9600</v>
      </c>
      <c r="H153" s="68">
        <v>6400</v>
      </c>
      <c r="I153" s="68">
        <v>16000</v>
      </c>
      <c r="J153" s="68">
        <v>0</v>
      </c>
    </row>
    <row r="154" spans="1:10">
      <c r="A154" s="61" t="s">
        <v>128</v>
      </c>
      <c r="B154" s="68">
        <v>600</v>
      </c>
      <c r="C154" s="68">
        <v>0</v>
      </c>
      <c r="D154" s="68">
        <v>500</v>
      </c>
      <c r="E154" s="68">
        <v>0</v>
      </c>
      <c r="F154" s="68">
        <v>800</v>
      </c>
      <c r="G154" s="68">
        <v>480</v>
      </c>
      <c r="H154" s="68">
        <v>320</v>
      </c>
      <c r="I154" s="68">
        <v>300</v>
      </c>
      <c r="J154" s="68">
        <v>0</v>
      </c>
    </row>
    <row r="155" spans="1:10">
      <c r="A155" s="60"/>
      <c r="B155" s="68"/>
      <c r="C155" s="68"/>
      <c r="D155" s="68"/>
      <c r="E155" s="68"/>
      <c r="F155" s="68"/>
      <c r="G155" s="68"/>
      <c r="H155" s="68"/>
      <c r="I155" s="69"/>
      <c r="J155" s="69"/>
    </row>
    <row r="156" spans="1:10" ht="17.25">
      <c r="A156" s="71" t="s">
        <v>129</v>
      </c>
      <c r="B156" s="67">
        <f>+B157+B164+B172+B178+B182+B187+B193+B205+B209+B214</f>
        <v>1156133.75</v>
      </c>
      <c r="C156" s="67">
        <f t="shared" ref="C156:J156" si="28">+C157+C164+C172+C178+C182+C187+C193+C205+C209+C214</f>
        <v>0.01</v>
      </c>
      <c r="D156" s="67">
        <f t="shared" si="28"/>
        <v>691915.30799999996</v>
      </c>
      <c r="E156" s="67">
        <f t="shared" si="28"/>
        <v>329552.47866666666</v>
      </c>
      <c r="F156" s="67">
        <f t="shared" si="28"/>
        <v>308478.34666666668</v>
      </c>
      <c r="G156" s="67">
        <f t="shared" si="28"/>
        <v>434108.93400000007</v>
      </c>
      <c r="H156" s="67">
        <f t="shared" si="28"/>
        <v>96920.902666666661</v>
      </c>
      <c r="I156" s="67">
        <f t="shared" si="28"/>
        <v>791318.62</v>
      </c>
      <c r="J156" s="67">
        <f t="shared" si="28"/>
        <v>179250</v>
      </c>
    </row>
    <row r="157" spans="1:10">
      <c r="A157" s="72" t="s">
        <v>130</v>
      </c>
      <c r="B157" s="67">
        <f>+SUM(B158:B162)</f>
        <v>44372.637999999999</v>
      </c>
      <c r="C157" s="67">
        <f t="shared" ref="C157:J157" si="29">+SUM(C158:C162)</f>
        <v>0</v>
      </c>
      <c r="D157" s="67">
        <f t="shared" si="29"/>
        <v>53120.834600000002</v>
      </c>
      <c r="E157" s="67">
        <f t="shared" si="29"/>
        <v>1475.5164</v>
      </c>
      <c r="F157" s="67">
        <f t="shared" si="29"/>
        <v>14981.2755</v>
      </c>
      <c r="G157" s="67">
        <f t="shared" si="29"/>
        <v>159395.80530000001</v>
      </c>
      <c r="H157" s="67">
        <f t="shared" si="29"/>
        <v>1373.8701999999998</v>
      </c>
      <c r="I157" s="67">
        <f t="shared" si="29"/>
        <v>43325.07</v>
      </c>
      <c r="J157" s="67">
        <f t="shared" si="29"/>
        <v>0</v>
      </c>
    </row>
    <row r="158" spans="1:10">
      <c r="A158" s="61" t="s">
        <v>131</v>
      </c>
      <c r="B158" s="68">
        <v>0</v>
      </c>
      <c r="C158" s="68">
        <v>0</v>
      </c>
      <c r="D158" s="68">
        <v>0</v>
      </c>
      <c r="E158" s="68">
        <v>0</v>
      </c>
      <c r="F158" s="68">
        <v>0</v>
      </c>
      <c r="G158" s="68">
        <v>116900</v>
      </c>
      <c r="H158" s="68">
        <v>0</v>
      </c>
      <c r="I158" s="68">
        <v>0</v>
      </c>
      <c r="J158" s="68">
        <v>0</v>
      </c>
    </row>
    <row r="159" spans="1:10">
      <c r="A159" s="61" t="s">
        <v>132</v>
      </c>
      <c r="B159" s="68">
        <v>1550</v>
      </c>
      <c r="C159" s="68">
        <v>0</v>
      </c>
      <c r="D159" s="68">
        <v>750</v>
      </c>
      <c r="E159" s="68">
        <v>0</v>
      </c>
      <c r="F159" s="68">
        <v>0</v>
      </c>
      <c r="G159" s="68">
        <v>2350</v>
      </c>
      <c r="H159" s="68">
        <v>0</v>
      </c>
      <c r="I159" s="68">
        <v>0</v>
      </c>
      <c r="J159" s="68">
        <v>0</v>
      </c>
    </row>
    <row r="160" spans="1:10">
      <c r="A160" s="61" t="s">
        <v>133</v>
      </c>
      <c r="B160" s="68">
        <v>5765.6080000000002</v>
      </c>
      <c r="C160" s="68">
        <v>0</v>
      </c>
      <c r="D160" s="68">
        <v>2893.8345999999997</v>
      </c>
      <c r="E160" s="68">
        <v>1475.5164</v>
      </c>
      <c r="F160" s="68">
        <v>2184.6754999999998</v>
      </c>
      <c r="G160" s="68">
        <v>1310.8052999999998</v>
      </c>
      <c r="H160" s="68">
        <v>873.87019999999995</v>
      </c>
      <c r="I160" s="68">
        <v>22753.03</v>
      </c>
      <c r="J160" s="68">
        <v>0</v>
      </c>
    </row>
    <row r="161" spans="1:10">
      <c r="A161" s="61" t="s">
        <v>134</v>
      </c>
      <c r="B161" s="68">
        <v>20011.86</v>
      </c>
      <c r="C161" s="68">
        <v>0</v>
      </c>
      <c r="D161" s="68">
        <v>28552.67</v>
      </c>
      <c r="E161" s="68">
        <v>0</v>
      </c>
      <c r="F161" s="68">
        <v>11546.6</v>
      </c>
      <c r="G161" s="68">
        <v>38085</v>
      </c>
      <c r="H161" s="68">
        <v>0</v>
      </c>
      <c r="I161" s="68">
        <v>0</v>
      </c>
      <c r="J161" s="68">
        <v>0</v>
      </c>
    </row>
    <row r="162" spans="1:10">
      <c r="A162" s="61" t="s">
        <v>135</v>
      </c>
      <c r="B162" s="68">
        <v>17045.169999999998</v>
      </c>
      <c r="C162" s="68">
        <v>0</v>
      </c>
      <c r="D162" s="68">
        <v>20924.330000000002</v>
      </c>
      <c r="E162" s="68">
        <v>0</v>
      </c>
      <c r="F162" s="68">
        <v>1250</v>
      </c>
      <c r="G162" s="68">
        <v>750</v>
      </c>
      <c r="H162" s="68">
        <v>500</v>
      </c>
      <c r="I162" s="68">
        <v>20572.04</v>
      </c>
      <c r="J162" s="68">
        <v>0</v>
      </c>
    </row>
    <row r="163" spans="1:10">
      <c r="A163" s="60"/>
      <c r="B163" s="68"/>
      <c r="C163" s="68"/>
      <c r="D163" s="68"/>
      <c r="E163" s="68"/>
      <c r="F163" s="68"/>
      <c r="G163" s="68"/>
      <c r="H163" s="68"/>
      <c r="I163" s="69"/>
      <c r="J163" s="69"/>
    </row>
    <row r="164" spans="1:10">
      <c r="A164" s="72" t="s">
        <v>136</v>
      </c>
      <c r="B164" s="67">
        <f>+SUM(B165:B171)</f>
        <v>11346.828000000001</v>
      </c>
      <c r="C164" s="67">
        <f t="shared" ref="C164:J164" si="30">+SUM(C165:C171)</f>
        <v>0</v>
      </c>
      <c r="D164" s="67">
        <f t="shared" si="30"/>
        <v>36192.928599999999</v>
      </c>
      <c r="E164" s="67">
        <f t="shared" si="30"/>
        <v>2729.5523999999996</v>
      </c>
      <c r="F164" s="67">
        <f t="shared" si="30"/>
        <v>1466.9504999999995</v>
      </c>
      <c r="G164" s="67">
        <f t="shared" si="30"/>
        <v>104334.1703</v>
      </c>
      <c r="H164" s="67">
        <f t="shared" si="30"/>
        <v>586.78019999999981</v>
      </c>
      <c r="I164" s="67">
        <f t="shared" si="30"/>
        <v>1050</v>
      </c>
      <c r="J164" s="67">
        <f t="shared" si="30"/>
        <v>0</v>
      </c>
    </row>
    <row r="165" spans="1:10">
      <c r="A165" s="61" t="s">
        <v>137</v>
      </c>
      <c r="B165" s="68">
        <v>0</v>
      </c>
      <c r="C165" s="68">
        <v>0</v>
      </c>
      <c r="D165" s="68">
        <v>6091.6180000000004</v>
      </c>
      <c r="E165" s="68">
        <v>1555.9920000000002</v>
      </c>
      <c r="F165" s="68">
        <v>0</v>
      </c>
      <c r="G165" s="68">
        <v>0</v>
      </c>
      <c r="H165" s="68">
        <v>0</v>
      </c>
      <c r="I165" s="68">
        <v>0</v>
      </c>
      <c r="J165" s="68">
        <v>0</v>
      </c>
    </row>
    <row r="166" spans="1:10">
      <c r="A166" s="61" t="s">
        <v>138</v>
      </c>
      <c r="B166" s="68">
        <v>0</v>
      </c>
      <c r="C166" s="68">
        <v>0</v>
      </c>
      <c r="D166" s="68">
        <v>28040.97</v>
      </c>
      <c r="E166" s="68">
        <v>0</v>
      </c>
      <c r="F166" s="68">
        <v>0</v>
      </c>
      <c r="G166" s="68">
        <v>1000</v>
      </c>
      <c r="H166" s="68">
        <v>0</v>
      </c>
      <c r="I166" s="68">
        <v>0</v>
      </c>
      <c r="J166" s="68">
        <v>0</v>
      </c>
    </row>
    <row r="167" spans="1:10">
      <c r="A167" s="61" t="s">
        <v>139</v>
      </c>
      <c r="B167" s="68">
        <v>0</v>
      </c>
      <c r="C167" s="68">
        <v>0</v>
      </c>
      <c r="D167" s="68">
        <v>0</v>
      </c>
      <c r="E167" s="68">
        <v>0</v>
      </c>
      <c r="F167" s="68">
        <v>0</v>
      </c>
      <c r="G167" s="68">
        <v>0</v>
      </c>
      <c r="H167" s="68">
        <v>0</v>
      </c>
      <c r="I167" s="68">
        <v>0</v>
      </c>
      <c r="J167" s="68">
        <v>0</v>
      </c>
    </row>
    <row r="168" spans="1:10">
      <c r="A168" s="61" t="s">
        <v>140</v>
      </c>
      <c r="B168" s="68">
        <v>7434.96</v>
      </c>
      <c r="C168" s="68">
        <v>0</v>
      </c>
      <c r="D168" s="68">
        <v>300</v>
      </c>
      <c r="E168" s="68">
        <v>0</v>
      </c>
      <c r="F168" s="68">
        <v>0</v>
      </c>
      <c r="G168" s="68">
        <v>0</v>
      </c>
      <c r="H168" s="68">
        <v>0</v>
      </c>
      <c r="I168" s="68">
        <v>1050</v>
      </c>
      <c r="J168" s="68">
        <v>0</v>
      </c>
    </row>
    <row r="169" spans="1:10">
      <c r="A169" s="61" t="s">
        <v>141</v>
      </c>
      <c r="B169" s="68">
        <v>0</v>
      </c>
      <c r="C169" s="68">
        <v>0</v>
      </c>
      <c r="D169" s="68">
        <v>0</v>
      </c>
      <c r="E169" s="68">
        <v>0</v>
      </c>
      <c r="F169" s="68">
        <v>0</v>
      </c>
      <c r="G169" s="68">
        <v>0</v>
      </c>
      <c r="H169" s="68">
        <v>0</v>
      </c>
      <c r="I169" s="68">
        <v>0</v>
      </c>
      <c r="J169" s="68">
        <v>0</v>
      </c>
    </row>
    <row r="170" spans="1:10">
      <c r="A170" s="61" t="s">
        <v>142</v>
      </c>
      <c r="B170" s="68">
        <v>3911.8680000000004</v>
      </c>
      <c r="C170" s="68">
        <v>0</v>
      </c>
      <c r="D170" s="68">
        <v>1760.3405999999993</v>
      </c>
      <c r="E170" s="68">
        <v>1173.5603999999996</v>
      </c>
      <c r="F170" s="68">
        <v>1466.9504999999995</v>
      </c>
      <c r="G170" s="68">
        <v>103334.1703</v>
      </c>
      <c r="H170" s="68">
        <v>586.78019999999981</v>
      </c>
      <c r="I170" s="68">
        <v>0</v>
      </c>
      <c r="J170" s="68">
        <v>0</v>
      </c>
    </row>
    <row r="171" spans="1:10">
      <c r="A171" s="61" t="s">
        <v>143</v>
      </c>
      <c r="B171" s="68">
        <v>0</v>
      </c>
      <c r="C171" s="68">
        <v>0</v>
      </c>
      <c r="D171" s="68">
        <v>0</v>
      </c>
      <c r="E171" s="68">
        <v>0</v>
      </c>
      <c r="F171" s="68">
        <v>0</v>
      </c>
      <c r="G171" s="68">
        <v>0</v>
      </c>
      <c r="H171" s="68">
        <v>0</v>
      </c>
      <c r="I171" s="68">
        <v>0</v>
      </c>
      <c r="J171" s="68">
        <v>0</v>
      </c>
    </row>
    <row r="172" spans="1:10">
      <c r="A172" s="72" t="s">
        <v>144</v>
      </c>
      <c r="B172" s="67">
        <f>+SUM(B173:B177)</f>
        <v>107185.19200000001</v>
      </c>
      <c r="C172" s="67">
        <f t="shared" ref="C172:J172" si="31">+SUM(C173:C177)</f>
        <v>0</v>
      </c>
      <c r="D172" s="67">
        <f t="shared" si="31"/>
        <v>199310.47940000001</v>
      </c>
      <c r="E172" s="67">
        <f t="shared" si="31"/>
        <v>23225.279600000002</v>
      </c>
      <c r="F172" s="67">
        <f t="shared" si="31"/>
        <v>20371.879499999999</v>
      </c>
      <c r="G172" s="67">
        <f t="shared" si="31"/>
        <v>12223.127699999999</v>
      </c>
      <c r="H172" s="67">
        <f t="shared" si="31"/>
        <v>8148.7518</v>
      </c>
      <c r="I172" s="67">
        <f t="shared" si="31"/>
        <v>0</v>
      </c>
      <c r="J172" s="67">
        <f t="shared" si="31"/>
        <v>0</v>
      </c>
    </row>
    <row r="173" spans="1:10">
      <c r="A173" s="61" t="s">
        <v>145</v>
      </c>
      <c r="B173" s="68">
        <v>20150</v>
      </c>
      <c r="C173" s="68">
        <v>0</v>
      </c>
      <c r="D173" s="68">
        <v>32700</v>
      </c>
      <c r="E173" s="68">
        <v>21800</v>
      </c>
      <c r="F173" s="68">
        <v>18000</v>
      </c>
      <c r="G173" s="68">
        <v>10800</v>
      </c>
      <c r="H173" s="68">
        <v>7200</v>
      </c>
      <c r="I173" s="68">
        <v>0</v>
      </c>
      <c r="J173" s="68">
        <v>0</v>
      </c>
    </row>
    <row r="174" spans="1:10">
      <c r="A174" s="61" t="s">
        <v>146</v>
      </c>
      <c r="B174" s="68">
        <v>0</v>
      </c>
      <c r="C174" s="68">
        <v>0</v>
      </c>
      <c r="D174" s="68">
        <v>0</v>
      </c>
      <c r="E174" s="68">
        <v>0</v>
      </c>
      <c r="F174" s="68">
        <v>0</v>
      </c>
      <c r="G174" s="68">
        <v>0</v>
      </c>
      <c r="H174" s="68">
        <v>0</v>
      </c>
      <c r="I174" s="68">
        <v>0</v>
      </c>
      <c r="J174" s="68">
        <v>0</v>
      </c>
    </row>
    <row r="175" spans="1:10">
      <c r="A175" s="61" t="s">
        <v>230</v>
      </c>
      <c r="B175" s="68">
        <v>0</v>
      </c>
      <c r="C175" s="68">
        <v>0</v>
      </c>
      <c r="D175" s="68">
        <v>124641</v>
      </c>
      <c r="E175" s="68">
        <v>0</v>
      </c>
      <c r="F175" s="68">
        <v>0</v>
      </c>
      <c r="G175" s="68">
        <v>0</v>
      </c>
      <c r="H175" s="68">
        <v>0</v>
      </c>
      <c r="I175" s="68">
        <v>0</v>
      </c>
      <c r="J175" s="68">
        <v>0</v>
      </c>
    </row>
    <row r="176" spans="1:10">
      <c r="A176" s="61" t="s">
        <v>231</v>
      </c>
      <c r="B176" s="68">
        <v>0</v>
      </c>
      <c r="C176" s="68">
        <v>0</v>
      </c>
      <c r="D176" s="68">
        <v>38471</v>
      </c>
      <c r="E176" s="68">
        <v>0</v>
      </c>
      <c r="F176" s="68">
        <v>0</v>
      </c>
      <c r="G176" s="68">
        <v>0</v>
      </c>
      <c r="H176" s="68">
        <v>0</v>
      </c>
      <c r="I176" s="68">
        <v>0</v>
      </c>
      <c r="J176" s="68">
        <v>0</v>
      </c>
    </row>
    <row r="177" spans="1:10">
      <c r="A177" s="61" t="s">
        <v>232</v>
      </c>
      <c r="B177" s="68">
        <v>87035.19200000001</v>
      </c>
      <c r="C177" s="68">
        <v>0</v>
      </c>
      <c r="D177" s="68">
        <v>3498.4793999999974</v>
      </c>
      <c r="E177" s="68">
        <v>1425.2796000000001</v>
      </c>
      <c r="F177" s="68">
        <v>2371.8795</v>
      </c>
      <c r="G177" s="68">
        <v>1423.1276999999998</v>
      </c>
      <c r="H177" s="68">
        <v>948.7518</v>
      </c>
      <c r="I177" s="68">
        <v>0</v>
      </c>
      <c r="J177" s="68">
        <v>0</v>
      </c>
    </row>
    <row r="178" spans="1:10">
      <c r="A178" s="72" t="s">
        <v>147</v>
      </c>
      <c r="B178" s="67">
        <f>+SUM(B179:B181)</f>
        <v>187026</v>
      </c>
      <c r="C178" s="67">
        <f t="shared" ref="C178:J178" si="32">+SUM(C179:C181)</f>
        <v>0</v>
      </c>
      <c r="D178" s="67">
        <f t="shared" si="32"/>
        <v>92456.4</v>
      </c>
      <c r="E178" s="67">
        <f t="shared" si="32"/>
        <v>61637.600000000006</v>
      </c>
      <c r="F178" s="67">
        <f t="shared" si="32"/>
        <v>51457</v>
      </c>
      <c r="G178" s="67">
        <f t="shared" si="32"/>
        <v>54674.2</v>
      </c>
      <c r="H178" s="67">
        <f t="shared" si="32"/>
        <v>20582.800000000003</v>
      </c>
      <c r="I178" s="67">
        <f t="shared" si="32"/>
        <v>218287</v>
      </c>
      <c r="J178" s="67">
        <f t="shared" si="32"/>
        <v>0</v>
      </c>
    </row>
    <row r="179" spans="1:10">
      <c r="A179" s="61" t="s">
        <v>148</v>
      </c>
      <c r="B179" s="68">
        <v>187026</v>
      </c>
      <c r="C179" s="68">
        <v>0</v>
      </c>
      <c r="D179" s="68">
        <v>86765.4</v>
      </c>
      <c r="E179" s="68">
        <v>57843.600000000006</v>
      </c>
      <c r="F179" s="68">
        <v>51457</v>
      </c>
      <c r="G179" s="68">
        <v>30874.199999999997</v>
      </c>
      <c r="H179" s="68">
        <v>20582.800000000003</v>
      </c>
      <c r="I179" s="68">
        <v>52450</v>
      </c>
      <c r="J179" s="68">
        <v>0</v>
      </c>
    </row>
    <row r="180" spans="1:10">
      <c r="A180" s="61" t="s">
        <v>149</v>
      </c>
      <c r="B180" s="68">
        <v>0</v>
      </c>
      <c r="C180" s="68">
        <v>0</v>
      </c>
      <c r="D180" s="68">
        <v>5691</v>
      </c>
      <c r="E180" s="68">
        <v>3794</v>
      </c>
      <c r="F180" s="68">
        <v>0</v>
      </c>
      <c r="G180" s="68">
        <v>0</v>
      </c>
      <c r="H180" s="68">
        <v>0</v>
      </c>
      <c r="I180" s="68">
        <v>165837</v>
      </c>
      <c r="J180" s="68">
        <v>0</v>
      </c>
    </row>
    <row r="181" spans="1:10">
      <c r="A181" s="61" t="s">
        <v>150</v>
      </c>
      <c r="B181" s="68">
        <v>0</v>
      </c>
      <c r="C181" s="68">
        <v>0</v>
      </c>
      <c r="D181" s="68">
        <v>0</v>
      </c>
      <c r="E181" s="68">
        <v>0</v>
      </c>
      <c r="F181" s="68">
        <v>0</v>
      </c>
      <c r="G181" s="68">
        <v>23800</v>
      </c>
      <c r="H181" s="68">
        <v>0</v>
      </c>
      <c r="I181" s="68">
        <v>0</v>
      </c>
      <c r="J181" s="68">
        <v>0</v>
      </c>
    </row>
    <row r="182" spans="1:10">
      <c r="A182" s="72" t="s">
        <v>151</v>
      </c>
      <c r="B182" s="67">
        <f>+SUM(B183:B186)</f>
        <v>79253.950000000012</v>
      </c>
      <c r="C182" s="67">
        <f t="shared" ref="C182:J182" si="33">+SUM(C183:C186)</f>
        <v>0</v>
      </c>
      <c r="D182" s="67">
        <f t="shared" si="33"/>
        <v>11220.565999999999</v>
      </c>
      <c r="E182" s="67">
        <f t="shared" si="33"/>
        <v>2343.7640000000001</v>
      </c>
      <c r="F182" s="67">
        <f t="shared" si="33"/>
        <v>7138.415</v>
      </c>
      <c r="G182" s="67">
        <f t="shared" si="33"/>
        <v>4283.049</v>
      </c>
      <c r="H182" s="67">
        <f t="shared" si="33"/>
        <v>2855.366</v>
      </c>
      <c r="I182" s="67">
        <f t="shared" si="33"/>
        <v>6726.49</v>
      </c>
      <c r="J182" s="67">
        <f t="shared" si="33"/>
        <v>0</v>
      </c>
    </row>
    <row r="183" spans="1:10">
      <c r="A183" s="61" t="s">
        <v>152</v>
      </c>
      <c r="B183" s="68">
        <v>4975</v>
      </c>
      <c r="C183" s="68">
        <v>0</v>
      </c>
      <c r="D183" s="68">
        <v>0</v>
      </c>
      <c r="E183" s="68">
        <v>0</v>
      </c>
      <c r="F183" s="68">
        <v>0</v>
      </c>
      <c r="G183" s="68">
        <v>0</v>
      </c>
      <c r="H183" s="68">
        <v>0</v>
      </c>
      <c r="I183" s="68">
        <v>0</v>
      </c>
      <c r="J183" s="68">
        <v>0</v>
      </c>
    </row>
    <row r="184" spans="1:10">
      <c r="A184" s="61" t="s">
        <v>153</v>
      </c>
      <c r="B184" s="68">
        <v>11683.15</v>
      </c>
      <c r="C184" s="68">
        <v>0</v>
      </c>
      <c r="D184" s="68">
        <v>11220.565999999999</v>
      </c>
      <c r="E184" s="68">
        <v>2343.7640000000001</v>
      </c>
      <c r="F184" s="68">
        <v>7138.415</v>
      </c>
      <c r="G184" s="68">
        <v>4283.049</v>
      </c>
      <c r="H184" s="68">
        <v>2855.366</v>
      </c>
      <c r="I184" s="68">
        <v>6726.49</v>
      </c>
      <c r="J184" s="68">
        <v>0</v>
      </c>
    </row>
    <row r="185" spans="1:10">
      <c r="A185" s="61" t="s">
        <v>154</v>
      </c>
      <c r="B185" s="68">
        <v>62595.8</v>
      </c>
      <c r="C185" s="68">
        <v>0</v>
      </c>
      <c r="D185" s="68">
        <v>0</v>
      </c>
      <c r="E185" s="68">
        <v>0</v>
      </c>
      <c r="F185" s="68">
        <v>0</v>
      </c>
      <c r="G185" s="68">
        <v>0</v>
      </c>
      <c r="H185" s="68">
        <v>0</v>
      </c>
      <c r="I185" s="68">
        <v>0</v>
      </c>
      <c r="J185" s="68">
        <v>0</v>
      </c>
    </row>
    <row r="186" spans="1:10">
      <c r="A186" s="61" t="s">
        <v>155</v>
      </c>
      <c r="B186" s="68">
        <v>0</v>
      </c>
      <c r="C186" s="68">
        <v>0</v>
      </c>
      <c r="D186" s="68">
        <v>0</v>
      </c>
      <c r="E186" s="68">
        <v>0</v>
      </c>
      <c r="F186" s="68">
        <v>0</v>
      </c>
      <c r="G186" s="68">
        <v>0</v>
      </c>
      <c r="H186" s="68">
        <v>0</v>
      </c>
      <c r="I186" s="68">
        <v>0</v>
      </c>
      <c r="J186" s="68">
        <v>0</v>
      </c>
    </row>
    <row r="187" spans="1:10">
      <c r="A187" s="72" t="s">
        <v>156</v>
      </c>
      <c r="B187" s="67">
        <f>+SUM(B188:B192)</f>
        <v>110332.8</v>
      </c>
      <c r="C187" s="67">
        <f t="shared" ref="C187:J187" si="34">+SUM(C188:C192)</f>
        <v>0</v>
      </c>
      <c r="D187" s="67">
        <f t="shared" si="34"/>
        <v>3749.7599999999993</v>
      </c>
      <c r="E187" s="67">
        <f t="shared" si="34"/>
        <v>2499.84</v>
      </c>
      <c r="F187" s="67">
        <f t="shared" si="34"/>
        <v>3124.7999999999997</v>
      </c>
      <c r="G187" s="67">
        <f t="shared" si="34"/>
        <v>1874.8799999999997</v>
      </c>
      <c r="H187" s="67">
        <f t="shared" si="34"/>
        <v>1249.92</v>
      </c>
      <c r="I187" s="67">
        <f t="shared" si="34"/>
        <v>150375</v>
      </c>
      <c r="J187" s="67">
        <f t="shared" si="34"/>
        <v>1250</v>
      </c>
    </row>
    <row r="188" spans="1:10">
      <c r="A188" s="61" t="s">
        <v>157</v>
      </c>
      <c r="B188" s="68">
        <v>8332.8000000000011</v>
      </c>
      <c r="C188" s="68">
        <v>0</v>
      </c>
      <c r="D188" s="68">
        <v>3749.7599999999993</v>
      </c>
      <c r="E188" s="68">
        <v>2499.84</v>
      </c>
      <c r="F188" s="68">
        <v>3124.7999999999997</v>
      </c>
      <c r="G188" s="68">
        <v>1874.8799999999997</v>
      </c>
      <c r="H188" s="68">
        <v>1249.92</v>
      </c>
      <c r="I188" s="68">
        <v>1874.9999999999995</v>
      </c>
      <c r="J188" s="68">
        <v>1250</v>
      </c>
    </row>
    <row r="189" spans="1:10">
      <c r="A189" s="61" t="s">
        <v>158</v>
      </c>
      <c r="B189" s="68">
        <v>0</v>
      </c>
      <c r="C189" s="68">
        <v>0</v>
      </c>
      <c r="D189" s="68">
        <v>0</v>
      </c>
      <c r="E189" s="68">
        <v>0</v>
      </c>
      <c r="F189" s="68">
        <v>0</v>
      </c>
      <c r="G189" s="68">
        <v>0</v>
      </c>
      <c r="H189" s="68">
        <v>0</v>
      </c>
      <c r="I189" s="68">
        <v>0</v>
      </c>
      <c r="J189" s="68">
        <v>0</v>
      </c>
    </row>
    <row r="190" spans="1:10">
      <c r="A190" s="61" t="s">
        <v>159</v>
      </c>
      <c r="B190" s="68">
        <v>0</v>
      </c>
      <c r="C190" s="68">
        <v>0</v>
      </c>
      <c r="D190" s="68">
        <v>0</v>
      </c>
      <c r="E190" s="68">
        <v>0</v>
      </c>
      <c r="F190" s="68">
        <v>0</v>
      </c>
      <c r="G190" s="68">
        <v>0</v>
      </c>
      <c r="H190" s="68">
        <v>0</v>
      </c>
      <c r="I190" s="68">
        <v>0</v>
      </c>
      <c r="J190" s="68">
        <v>0</v>
      </c>
    </row>
    <row r="191" spans="1:10">
      <c r="A191" s="61" t="s">
        <v>160</v>
      </c>
      <c r="B191" s="68">
        <v>102000</v>
      </c>
      <c r="C191" s="68">
        <v>0</v>
      </c>
      <c r="D191" s="68">
        <v>0</v>
      </c>
      <c r="E191" s="68">
        <v>0</v>
      </c>
      <c r="F191" s="68">
        <v>0</v>
      </c>
      <c r="G191" s="68">
        <v>0</v>
      </c>
      <c r="H191" s="68">
        <v>0</v>
      </c>
      <c r="I191" s="68">
        <v>148500</v>
      </c>
      <c r="J191" s="68">
        <v>0</v>
      </c>
    </row>
    <row r="192" spans="1:10">
      <c r="A192" s="61" t="s">
        <v>161</v>
      </c>
      <c r="B192" s="68">
        <v>0</v>
      </c>
      <c r="C192" s="68">
        <v>0</v>
      </c>
      <c r="D192" s="68">
        <v>0</v>
      </c>
      <c r="E192" s="68">
        <v>0</v>
      </c>
      <c r="F192" s="68">
        <v>0</v>
      </c>
      <c r="G192" s="68">
        <v>0</v>
      </c>
      <c r="H192" s="68">
        <v>0</v>
      </c>
      <c r="I192" s="68">
        <v>0</v>
      </c>
      <c r="J192" s="68">
        <v>0</v>
      </c>
    </row>
    <row r="193" spans="1:10">
      <c r="A193" s="72" t="s">
        <v>162</v>
      </c>
      <c r="B193" s="67">
        <f>+SUM(B194:B204)</f>
        <v>299744.45999999996</v>
      </c>
      <c r="C193" s="67">
        <f t="shared" ref="C193:J193" si="35">+SUM(C194:C204)</f>
        <v>0.01</v>
      </c>
      <c r="D193" s="67">
        <f t="shared" si="35"/>
        <v>63711.135000000024</v>
      </c>
      <c r="E193" s="67">
        <f t="shared" si="35"/>
        <v>11223.756666666681</v>
      </c>
      <c r="F193" s="67">
        <f t="shared" si="35"/>
        <v>14588.85416666667</v>
      </c>
      <c r="G193" s="67">
        <f t="shared" si="35"/>
        <v>10810.750499999998</v>
      </c>
      <c r="H193" s="67">
        <f t="shared" si="35"/>
        <v>4448.1136666666707</v>
      </c>
      <c r="I193" s="67">
        <f t="shared" si="35"/>
        <v>97139.810000000012</v>
      </c>
      <c r="J193" s="67">
        <f t="shared" si="35"/>
        <v>0</v>
      </c>
    </row>
    <row r="194" spans="1:10">
      <c r="A194" s="61" t="s">
        <v>163</v>
      </c>
      <c r="B194" s="68">
        <v>11569.54</v>
      </c>
      <c r="C194" s="68">
        <v>0</v>
      </c>
      <c r="D194" s="68">
        <v>16684.300000000021</v>
      </c>
      <c r="E194" s="68">
        <v>11122.866666666681</v>
      </c>
      <c r="F194" s="68">
        <v>6177.1666666666715</v>
      </c>
      <c r="G194" s="68">
        <v>3706.3</v>
      </c>
      <c r="H194" s="68">
        <v>2470.86666666667</v>
      </c>
      <c r="I194" s="68">
        <v>0</v>
      </c>
      <c r="J194" s="68">
        <v>0</v>
      </c>
    </row>
    <row r="195" spans="1:10">
      <c r="A195" s="61" t="s">
        <v>164</v>
      </c>
      <c r="B195" s="68">
        <v>106</v>
      </c>
      <c r="C195" s="68">
        <v>0</v>
      </c>
      <c r="D195" s="68">
        <v>47.699999999999996</v>
      </c>
      <c r="E195" s="68">
        <v>31.8</v>
      </c>
      <c r="F195" s="68">
        <v>39.75</v>
      </c>
      <c r="G195" s="68">
        <v>23.849999999999998</v>
      </c>
      <c r="H195" s="68">
        <v>15.9</v>
      </c>
      <c r="I195" s="68">
        <v>230</v>
      </c>
      <c r="J195" s="68">
        <v>0</v>
      </c>
    </row>
    <row r="196" spans="1:10">
      <c r="A196" s="61" t="s">
        <v>233</v>
      </c>
      <c r="B196" s="68">
        <v>243533</v>
      </c>
      <c r="C196" s="68">
        <v>0</v>
      </c>
      <c r="D196" s="68">
        <v>0</v>
      </c>
      <c r="E196" s="68">
        <v>0</v>
      </c>
      <c r="F196" s="68">
        <v>1375.06</v>
      </c>
      <c r="G196" s="68">
        <v>825.03599999999994</v>
      </c>
      <c r="H196" s="68">
        <v>550.024</v>
      </c>
      <c r="I196" s="68">
        <v>26996.67</v>
      </c>
      <c r="J196" s="68">
        <v>0</v>
      </c>
    </row>
    <row r="197" spans="1:10">
      <c r="A197" s="61" t="s">
        <v>165</v>
      </c>
      <c r="B197" s="68">
        <v>0</v>
      </c>
      <c r="C197" s="68">
        <v>0</v>
      </c>
      <c r="D197" s="68">
        <v>0</v>
      </c>
      <c r="E197" s="68">
        <v>0</v>
      </c>
      <c r="F197" s="68">
        <v>0</v>
      </c>
      <c r="G197" s="68">
        <v>0</v>
      </c>
      <c r="H197" s="68">
        <v>0</v>
      </c>
      <c r="I197" s="68">
        <v>0</v>
      </c>
      <c r="J197" s="68">
        <v>0</v>
      </c>
    </row>
    <row r="198" spans="1:10">
      <c r="A198" s="61" t="s">
        <v>166</v>
      </c>
      <c r="B198" s="68">
        <v>22854.46</v>
      </c>
      <c r="C198" s="68">
        <v>0</v>
      </c>
      <c r="D198" s="68">
        <v>7397.23</v>
      </c>
      <c r="E198" s="68">
        <v>120</v>
      </c>
      <c r="F198" s="68">
        <v>4634.7999999999993</v>
      </c>
      <c r="G198" s="68">
        <v>1763.36</v>
      </c>
      <c r="H198" s="68">
        <v>796.24</v>
      </c>
      <c r="I198" s="68">
        <v>46234.9</v>
      </c>
      <c r="J198" s="68">
        <v>0</v>
      </c>
    </row>
    <row r="199" spans="1:10">
      <c r="A199" s="61" t="s">
        <v>167</v>
      </c>
      <c r="B199" s="68">
        <v>12828.6</v>
      </c>
      <c r="C199" s="68">
        <v>0</v>
      </c>
      <c r="D199" s="68">
        <v>22218.26</v>
      </c>
      <c r="E199" s="68">
        <v>0</v>
      </c>
      <c r="F199" s="68">
        <v>1136.0900000000001</v>
      </c>
      <c r="G199" s="68">
        <v>386</v>
      </c>
      <c r="H199" s="68">
        <v>124</v>
      </c>
      <c r="I199" s="68">
        <v>9823.0499999999993</v>
      </c>
      <c r="J199" s="68">
        <v>0</v>
      </c>
    </row>
    <row r="200" spans="1:10">
      <c r="A200" s="61" t="s">
        <v>168</v>
      </c>
      <c r="B200" s="68">
        <v>6249.32</v>
      </c>
      <c r="C200" s="68">
        <v>0</v>
      </c>
      <c r="D200" s="68">
        <v>7426.27</v>
      </c>
      <c r="E200" s="68">
        <v>0</v>
      </c>
      <c r="F200" s="68">
        <v>790.48</v>
      </c>
      <c r="G200" s="68">
        <v>474.28800000000001</v>
      </c>
      <c r="H200" s="68">
        <v>316.19200000000001</v>
      </c>
      <c r="I200" s="68">
        <v>0</v>
      </c>
      <c r="J200" s="68">
        <v>0</v>
      </c>
    </row>
    <row r="201" spans="1:10">
      <c r="A201" s="61" t="s">
        <v>169</v>
      </c>
      <c r="B201" s="68">
        <v>270</v>
      </c>
      <c r="C201" s="68">
        <v>0</v>
      </c>
      <c r="D201" s="68">
        <v>10009</v>
      </c>
      <c r="E201" s="68">
        <v>0</v>
      </c>
      <c r="F201" s="68">
        <v>500</v>
      </c>
      <c r="G201" s="68">
        <v>3670</v>
      </c>
      <c r="H201" s="68">
        <v>200</v>
      </c>
      <c r="I201" s="68">
        <v>13856</v>
      </c>
      <c r="J201" s="68">
        <v>0</v>
      </c>
    </row>
    <row r="202" spans="1:10">
      <c r="A202" s="61" t="s">
        <v>170</v>
      </c>
      <c r="B202" s="68">
        <v>2500</v>
      </c>
      <c r="C202" s="68">
        <v>0</v>
      </c>
      <c r="D202" s="68">
        <v>0</v>
      </c>
      <c r="E202" s="68">
        <v>0</v>
      </c>
      <c r="F202" s="68">
        <v>0</v>
      </c>
      <c r="G202" s="68">
        <v>0</v>
      </c>
      <c r="H202" s="68">
        <v>0</v>
      </c>
      <c r="I202" s="68">
        <v>0</v>
      </c>
      <c r="J202" s="68">
        <v>0</v>
      </c>
    </row>
    <row r="203" spans="1:10">
      <c r="A203" s="61" t="s">
        <v>234</v>
      </c>
      <c r="B203" s="68">
        <v>-4.347999999999999</v>
      </c>
      <c r="C203" s="68">
        <v>0.01</v>
      </c>
      <c r="D203" s="68">
        <v>-0.30459999999999976</v>
      </c>
      <c r="E203" s="68">
        <v>-2.2763999999999998</v>
      </c>
      <c r="F203" s="68">
        <v>-3.7004999999999995</v>
      </c>
      <c r="G203" s="68">
        <v>-1.6082999999999998</v>
      </c>
      <c r="H203" s="68">
        <v>-0.79219999999999979</v>
      </c>
      <c r="I203" s="68">
        <v>-0.81</v>
      </c>
      <c r="J203" s="68">
        <v>0</v>
      </c>
    </row>
    <row r="204" spans="1:10">
      <c r="A204" s="61" t="s">
        <v>171</v>
      </c>
      <c r="B204" s="68">
        <v>-162.11199999999999</v>
      </c>
      <c r="C204" s="68">
        <v>0</v>
      </c>
      <c r="D204" s="68">
        <v>-71.320399999999992</v>
      </c>
      <c r="E204" s="68">
        <v>-48.633600000000001</v>
      </c>
      <c r="F204" s="68">
        <v>-60.791999999999994</v>
      </c>
      <c r="G204" s="68">
        <v>-36.475199999999994</v>
      </c>
      <c r="H204" s="68">
        <v>-24.316800000000001</v>
      </c>
      <c r="I204" s="68">
        <v>0</v>
      </c>
      <c r="J204" s="68">
        <v>0</v>
      </c>
    </row>
    <row r="205" spans="1:10">
      <c r="A205" s="72" t="s">
        <v>172</v>
      </c>
      <c r="B205" s="67">
        <f>+SUM(B206:B208)</f>
        <v>151384.57199999999</v>
      </c>
      <c r="C205" s="67">
        <f t="shared" ref="C205:J205" si="36">+SUM(C206:C208)</f>
        <v>0</v>
      </c>
      <c r="D205" s="67">
        <f t="shared" si="36"/>
        <v>44594.204399999995</v>
      </c>
      <c r="E205" s="67">
        <f t="shared" si="36"/>
        <v>311.1696000000004</v>
      </c>
      <c r="F205" s="67">
        <f t="shared" si="36"/>
        <v>53181.671999999999</v>
      </c>
      <c r="G205" s="67">
        <f t="shared" si="36"/>
        <v>1212.4512000000002</v>
      </c>
      <c r="H205" s="67">
        <f t="shared" si="36"/>
        <v>808.30080000000021</v>
      </c>
      <c r="I205" s="67">
        <f t="shared" si="36"/>
        <v>7415.25</v>
      </c>
      <c r="J205" s="67">
        <f t="shared" si="36"/>
        <v>0</v>
      </c>
    </row>
    <row r="206" spans="1:10">
      <c r="A206" s="61" t="s">
        <v>173</v>
      </c>
      <c r="B206" s="68">
        <v>98042.17</v>
      </c>
      <c r="C206" s="68">
        <v>0</v>
      </c>
      <c r="D206" s="68">
        <v>0</v>
      </c>
      <c r="E206" s="68">
        <v>0</v>
      </c>
      <c r="F206" s="68">
        <v>49979.92</v>
      </c>
      <c r="G206" s="68">
        <v>0</v>
      </c>
      <c r="H206" s="68">
        <v>0</v>
      </c>
      <c r="I206" s="68">
        <v>0</v>
      </c>
      <c r="J206" s="68">
        <v>0</v>
      </c>
    </row>
    <row r="207" spans="1:10">
      <c r="A207" s="61" t="s">
        <v>174</v>
      </c>
      <c r="B207" s="68">
        <v>50606.17</v>
      </c>
      <c r="C207" s="68">
        <v>0</v>
      </c>
      <c r="D207" s="68">
        <v>9733.5</v>
      </c>
      <c r="E207" s="68">
        <v>0</v>
      </c>
      <c r="F207" s="68">
        <v>0</v>
      </c>
      <c r="G207" s="68">
        <v>0</v>
      </c>
      <c r="H207" s="68">
        <v>0</v>
      </c>
      <c r="I207" s="68">
        <v>7415.25</v>
      </c>
      <c r="J207" s="68">
        <v>0</v>
      </c>
    </row>
    <row r="208" spans="1:10">
      <c r="A208" s="61" t="s">
        <v>235</v>
      </c>
      <c r="B208" s="68">
        <v>2736.232</v>
      </c>
      <c r="C208" s="68">
        <v>0</v>
      </c>
      <c r="D208" s="68">
        <v>34860.704399999995</v>
      </c>
      <c r="E208" s="68">
        <v>311.1696000000004</v>
      </c>
      <c r="F208" s="68">
        <v>3201.7520000000004</v>
      </c>
      <c r="G208" s="68">
        <v>1212.4512000000002</v>
      </c>
      <c r="H208" s="68">
        <v>808.30080000000021</v>
      </c>
      <c r="I208" s="68">
        <v>0</v>
      </c>
      <c r="J208" s="68">
        <v>0</v>
      </c>
    </row>
    <row r="209" spans="1:10">
      <c r="A209" s="72" t="s">
        <v>175</v>
      </c>
      <c r="B209" s="67">
        <f>+SUM(B210:B213)</f>
        <v>160737.31</v>
      </c>
      <c r="C209" s="67">
        <f t="shared" ref="C209:J209" si="37">+SUM(C210:C213)</f>
        <v>0</v>
      </c>
      <c r="D209" s="67">
        <f t="shared" si="37"/>
        <v>186159</v>
      </c>
      <c r="E209" s="67">
        <f t="shared" si="37"/>
        <v>224106</v>
      </c>
      <c r="F209" s="67">
        <f t="shared" si="37"/>
        <v>140992.5</v>
      </c>
      <c r="G209" s="67">
        <f t="shared" si="37"/>
        <v>84595.5</v>
      </c>
      <c r="H209" s="67">
        <f t="shared" si="37"/>
        <v>56397</v>
      </c>
      <c r="I209" s="67">
        <f t="shared" si="37"/>
        <v>267000</v>
      </c>
      <c r="J209" s="67">
        <f t="shared" si="37"/>
        <v>178000</v>
      </c>
    </row>
    <row r="210" spans="1:10">
      <c r="A210" s="61" t="s">
        <v>176</v>
      </c>
      <c r="B210" s="68">
        <v>0</v>
      </c>
      <c r="C210" s="68">
        <v>0</v>
      </c>
      <c r="D210" s="68">
        <v>0</v>
      </c>
      <c r="E210" s="68">
        <v>100000</v>
      </c>
      <c r="F210" s="68">
        <v>0</v>
      </c>
      <c r="G210" s="68">
        <v>0</v>
      </c>
      <c r="H210" s="68">
        <v>0</v>
      </c>
      <c r="I210" s="68">
        <v>0</v>
      </c>
      <c r="J210" s="68">
        <v>0</v>
      </c>
    </row>
    <row r="211" spans="1:10">
      <c r="A211" s="61" t="s">
        <v>177</v>
      </c>
      <c r="B211" s="68">
        <v>0</v>
      </c>
      <c r="C211" s="68">
        <v>0</v>
      </c>
      <c r="D211" s="68">
        <v>186159</v>
      </c>
      <c r="E211" s="68">
        <v>124106</v>
      </c>
      <c r="F211" s="68">
        <v>0</v>
      </c>
      <c r="G211" s="68">
        <v>70195.5</v>
      </c>
      <c r="H211" s="68">
        <v>46797</v>
      </c>
      <c r="I211" s="68">
        <v>267000</v>
      </c>
      <c r="J211" s="68">
        <v>178000</v>
      </c>
    </row>
    <row r="212" spans="1:10">
      <c r="A212" s="61" t="s">
        <v>178</v>
      </c>
      <c r="B212" s="68">
        <v>87450.31</v>
      </c>
      <c r="C212" s="68">
        <v>0</v>
      </c>
      <c r="D212" s="68">
        <v>0</v>
      </c>
      <c r="E212" s="68">
        <v>0</v>
      </c>
      <c r="F212" s="68">
        <v>116992.5</v>
      </c>
      <c r="G212" s="68">
        <v>0</v>
      </c>
      <c r="H212" s="68">
        <v>0</v>
      </c>
      <c r="I212" s="68">
        <v>0</v>
      </c>
      <c r="J212" s="68">
        <v>0</v>
      </c>
    </row>
    <row r="213" spans="1:10">
      <c r="A213" s="61" t="s">
        <v>179</v>
      </c>
      <c r="B213" s="68">
        <v>73287</v>
      </c>
      <c r="C213" s="68">
        <v>0</v>
      </c>
      <c r="D213" s="68">
        <v>0</v>
      </c>
      <c r="E213" s="68">
        <v>0</v>
      </c>
      <c r="F213" s="68">
        <v>24000</v>
      </c>
      <c r="G213" s="68">
        <v>14400</v>
      </c>
      <c r="H213" s="68">
        <v>9600</v>
      </c>
      <c r="I213" s="68">
        <v>0</v>
      </c>
      <c r="J213" s="68">
        <v>0</v>
      </c>
    </row>
    <row r="214" spans="1:10">
      <c r="A214" s="72" t="s">
        <v>180</v>
      </c>
      <c r="B214" s="67">
        <f>+SUM(B215:B216)</f>
        <v>4750</v>
      </c>
      <c r="C214" s="67">
        <f t="shared" ref="C214:J214" si="38">+SUM(C215:C216)</f>
        <v>0</v>
      </c>
      <c r="D214" s="67">
        <f t="shared" si="38"/>
        <v>1400</v>
      </c>
      <c r="E214" s="67">
        <f t="shared" si="38"/>
        <v>0</v>
      </c>
      <c r="F214" s="67">
        <f t="shared" si="38"/>
        <v>1175</v>
      </c>
      <c r="G214" s="67">
        <f t="shared" si="38"/>
        <v>705</v>
      </c>
      <c r="H214" s="67">
        <f t="shared" si="38"/>
        <v>470</v>
      </c>
      <c r="I214" s="67">
        <f t="shared" si="38"/>
        <v>0</v>
      </c>
      <c r="J214" s="67">
        <f t="shared" si="38"/>
        <v>0</v>
      </c>
    </row>
    <row r="215" spans="1:10">
      <c r="A215" s="61" t="s">
        <v>181</v>
      </c>
      <c r="B215" s="68">
        <v>0</v>
      </c>
      <c r="C215" s="68">
        <v>0</v>
      </c>
      <c r="D215" s="68">
        <v>0</v>
      </c>
      <c r="E215" s="68">
        <v>0</v>
      </c>
      <c r="F215" s="68">
        <v>0</v>
      </c>
      <c r="G215" s="68">
        <v>0</v>
      </c>
      <c r="H215" s="68">
        <v>0</v>
      </c>
      <c r="I215" s="68">
        <v>0</v>
      </c>
      <c r="J215" s="68">
        <v>0</v>
      </c>
    </row>
    <row r="216" spans="1:10">
      <c r="A216" s="61" t="s">
        <v>182</v>
      </c>
      <c r="B216" s="68">
        <v>4750</v>
      </c>
      <c r="C216" s="68">
        <v>0</v>
      </c>
      <c r="D216" s="68">
        <v>1400</v>
      </c>
      <c r="E216" s="68">
        <v>0</v>
      </c>
      <c r="F216" s="68">
        <v>1175</v>
      </c>
      <c r="G216" s="68">
        <v>705</v>
      </c>
      <c r="H216" s="68">
        <v>470</v>
      </c>
      <c r="I216" s="68">
        <v>0</v>
      </c>
      <c r="J216" s="68">
        <v>0</v>
      </c>
    </row>
    <row r="217" spans="1:10">
      <c r="A217" s="60"/>
      <c r="B217" s="68"/>
      <c r="C217" s="68"/>
      <c r="D217" s="68"/>
      <c r="E217" s="68"/>
      <c r="F217" s="68"/>
      <c r="G217" s="68"/>
      <c r="H217" s="68"/>
      <c r="I217" s="69"/>
      <c r="J217" s="69"/>
    </row>
    <row r="218" spans="1:10" ht="17.25">
      <c r="A218" s="70" t="s">
        <v>183</v>
      </c>
      <c r="B218" s="67">
        <f>+B219+B223+B227</f>
        <v>580701.64528767113</v>
      </c>
      <c r="C218" s="67">
        <f t="shared" ref="C218:J218" si="39">+C219+C223+C227</f>
        <v>0</v>
      </c>
      <c r="D218" s="67">
        <f t="shared" si="39"/>
        <v>40670.627399999998</v>
      </c>
      <c r="E218" s="67">
        <f t="shared" si="39"/>
        <v>27113.751599999996</v>
      </c>
      <c r="F218" s="67">
        <f t="shared" si="39"/>
        <v>272929.08950000006</v>
      </c>
      <c r="G218" s="67">
        <f t="shared" si="39"/>
        <v>20335.313699999999</v>
      </c>
      <c r="H218" s="67">
        <f t="shared" si="39"/>
        <v>13556.875799999998</v>
      </c>
      <c r="I218" s="67">
        <f t="shared" si="39"/>
        <v>0</v>
      </c>
      <c r="J218" s="67">
        <f t="shared" si="39"/>
        <v>0</v>
      </c>
    </row>
    <row r="219" spans="1:10">
      <c r="A219" s="72" t="s">
        <v>184</v>
      </c>
      <c r="B219" s="67">
        <f>+SUM(B220:B222)</f>
        <v>490322.47328767122</v>
      </c>
      <c r="C219" s="67">
        <f t="shared" ref="C219:J219" si="40">+SUM(C220:C222)</f>
        <v>0</v>
      </c>
      <c r="D219" s="67">
        <f t="shared" si="40"/>
        <v>0</v>
      </c>
      <c r="E219" s="67">
        <f t="shared" si="40"/>
        <v>0</v>
      </c>
      <c r="F219" s="67">
        <f t="shared" si="40"/>
        <v>239036.90000000002</v>
      </c>
      <c r="G219" s="67">
        <f t="shared" si="40"/>
        <v>0</v>
      </c>
      <c r="H219" s="67">
        <f t="shared" si="40"/>
        <v>0</v>
      </c>
      <c r="I219" s="67">
        <f t="shared" si="40"/>
        <v>0</v>
      </c>
      <c r="J219" s="67">
        <f t="shared" si="40"/>
        <v>0</v>
      </c>
    </row>
    <row r="220" spans="1:10">
      <c r="A220" s="61" t="s">
        <v>185</v>
      </c>
      <c r="B220" s="68">
        <v>131767.12328767125</v>
      </c>
      <c r="C220" s="68">
        <v>0</v>
      </c>
      <c r="D220" s="68">
        <v>0</v>
      </c>
      <c r="E220" s="68">
        <v>0</v>
      </c>
      <c r="F220" s="68">
        <v>0</v>
      </c>
      <c r="G220" s="68">
        <v>0</v>
      </c>
      <c r="H220" s="68">
        <v>0</v>
      </c>
      <c r="I220" s="68">
        <v>0</v>
      </c>
      <c r="J220" s="68">
        <v>0</v>
      </c>
    </row>
    <row r="221" spans="1:10">
      <c r="A221" s="61" t="s">
        <v>236</v>
      </c>
      <c r="B221" s="68">
        <v>271864.2</v>
      </c>
      <c r="C221" s="68">
        <v>0</v>
      </c>
      <c r="D221" s="68">
        <v>0</v>
      </c>
      <c r="E221" s="68">
        <v>0</v>
      </c>
      <c r="F221" s="68">
        <v>181242.80000000002</v>
      </c>
      <c r="G221" s="68">
        <v>0</v>
      </c>
      <c r="H221" s="68">
        <v>0</v>
      </c>
      <c r="I221" s="68">
        <v>0</v>
      </c>
      <c r="J221" s="68">
        <v>0</v>
      </c>
    </row>
    <row r="222" spans="1:10">
      <c r="A222" s="61" t="s">
        <v>237</v>
      </c>
      <c r="B222" s="68">
        <v>86691.15</v>
      </c>
      <c r="C222" s="68">
        <v>0</v>
      </c>
      <c r="D222" s="68">
        <v>0</v>
      </c>
      <c r="E222" s="68">
        <v>0</v>
      </c>
      <c r="F222" s="68">
        <v>57794.100000000006</v>
      </c>
      <c r="G222" s="68">
        <v>0</v>
      </c>
      <c r="H222" s="68">
        <v>0</v>
      </c>
      <c r="I222" s="68">
        <v>0</v>
      </c>
      <c r="J222" s="68">
        <v>0</v>
      </c>
    </row>
    <row r="223" spans="1:10">
      <c r="A223" s="72" t="s">
        <v>186</v>
      </c>
      <c r="B223" s="67">
        <f>+SUM(B224:B226)</f>
        <v>83735.972000000009</v>
      </c>
      <c r="C223" s="67">
        <f t="shared" ref="C223:J223" si="41">+SUM(C224:C226)</f>
        <v>0</v>
      </c>
      <c r="D223" s="67">
        <f t="shared" si="41"/>
        <v>37681.187399999995</v>
      </c>
      <c r="E223" s="67">
        <f t="shared" si="41"/>
        <v>25120.791599999997</v>
      </c>
      <c r="F223" s="67">
        <f t="shared" si="41"/>
        <v>31400.989499999996</v>
      </c>
      <c r="G223" s="67">
        <f t="shared" si="41"/>
        <v>18840.593699999998</v>
      </c>
      <c r="H223" s="67">
        <f t="shared" si="41"/>
        <v>12560.395799999998</v>
      </c>
      <c r="I223" s="67">
        <f t="shared" si="41"/>
        <v>0</v>
      </c>
      <c r="J223" s="67">
        <f t="shared" si="41"/>
        <v>0</v>
      </c>
    </row>
    <row r="224" spans="1:10">
      <c r="A224" s="61" t="s">
        <v>187</v>
      </c>
      <c r="B224" s="68">
        <v>83735.972000000009</v>
      </c>
      <c r="C224" s="68">
        <v>0</v>
      </c>
      <c r="D224" s="68">
        <v>37681.187399999995</v>
      </c>
      <c r="E224" s="68">
        <v>25120.791599999997</v>
      </c>
      <c r="F224" s="68">
        <v>31400.989499999996</v>
      </c>
      <c r="G224" s="68">
        <v>18840.593699999998</v>
      </c>
      <c r="H224" s="68">
        <v>12560.395799999998</v>
      </c>
      <c r="I224" s="68">
        <v>0</v>
      </c>
      <c r="J224" s="68">
        <v>0</v>
      </c>
    </row>
    <row r="225" spans="1:10">
      <c r="A225" s="61" t="s">
        <v>188</v>
      </c>
      <c r="B225" s="68">
        <v>0</v>
      </c>
      <c r="C225" s="68">
        <v>0</v>
      </c>
      <c r="D225" s="68">
        <v>0</v>
      </c>
      <c r="E225" s="68">
        <v>0</v>
      </c>
      <c r="F225" s="68">
        <v>0</v>
      </c>
      <c r="G225" s="68">
        <v>0</v>
      </c>
      <c r="H225" s="68">
        <v>0</v>
      </c>
      <c r="I225" s="68">
        <v>0</v>
      </c>
      <c r="J225" s="68">
        <v>0</v>
      </c>
    </row>
    <row r="226" spans="1:10">
      <c r="A226" s="61" t="s">
        <v>189</v>
      </c>
      <c r="B226" s="68">
        <v>0</v>
      </c>
      <c r="C226" s="68">
        <v>0</v>
      </c>
      <c r="D226" s="68">
        <v>0</v>
      </c>
      <c r="E226" s="68">
        <v>0</v>
      </c>
      <c r="F226" s="68">
        <v>0</v>
      </c>
      <c r="G226" s="68">
        <v>0</v>
      </c>
      <c r="H226" s="68">
        <v>0</v>
      </c>
      <c r="I226" s="68">
        <v>0</v>
      </c>
      <c r="J226" s="68">
        <v>0</v>
      </c>
    </row>
    <row r="227" spans="1:10">
      <c r="A227" s="72" t="s">
        <v>190</v>
      </c>
      <c r="B227" s="67">
        <f>+SUM(B228:B229)</f>
        <v>6643.2000000000007</v>
      </c>
      <c r="C227" s="67">
        <f t="shared" ref="C227:J227" si="42">+SUM(C228:C229)</f>
        <v>0</v>
      </c>
      <c r="D227" s="67">
        <f t="shared" si="42"/>
        <v>2989.4399999999996</v>
      </c>
      <c r="E227" s="67">
        <f t="shared" si="42"/>
        <v>1992.96</v>
      </c>
      <c r="F227" s="67">
        <f t="shared" si="42"/>
        <v>2491.1999999999998</v>
      </c>
      <c r="G227" s="67">
        <f t="shared" si="42"/>
        <v>1494.7199999999998</v>
      </c>
      <c r="H227" s="67">
        <f t="shared" si="42"/>
        <v>996.48</v>
      </c>
      <c r="I227" s="67">
        <f t="shared" si="42"/>
        <v>0</v>
      </c>
      <c r="J227" s="67">
        <f t="shared" si="42"/>
        <v>0</v>
      </c>
    </row>
    <row r="228" spans="1:10">
      <c r="A228" s="61" t="s">
        <v>191</v>
      </c>
      <c r="B228" s="68">
        <v>0</v>
      </c>
      <c r="C228" s="68">
        <v>0</v>
      </c>
      <c r="D228" s="68">
        <v>0</v>
      </c>
      <c r="E228" s="68">
        <v>0</v>
      </c>
      <c r="F228" s="68">
        <v>0</v>
      </c>
      <c r="G228" s="68">
        <v>0</v>
      </c>
      <c r="H228" s="68">
        <v>0</v>
      </c>
      <c r="I228" s="68">
        <v>0</v>
      </c>
      <c r="J228" s="68">
        <v>0</v>
      </c>
    </row>
    <row r="229" spans="1:10">
      <c r="A229" s="61" t="s">
        <v>192</v>
      </c>
      <c r="B229" s="68">
        <v>6643.2000000000007</v>
      </c>
      <c r="C229" s="68">
        <v>0</v>
      </c>
      <c r="D229" s="68">
        <v>2989.4399999999996</v>
      </c>
      <c r="E229" s="68">
        <v>1992.96</v>
      </c>
      <c r="F229" s="68">
        <v>2491.1999999999998</v>
      </c>
      <c r="G229" s="68">
        <v>1494.7199999999998</v>
      </c>
      <c r="H229" s="68">
        <v>996.48</v>
      </c>
      <c r="I229" s="68">
        <v>0</v>
      </c>
      <c r="J229" s="68">
        <v>0</v>
      </c>
    </row>
    <row r="230" spans="1:10">
      <c r="A230" s="64" t="s">
        <v>193</v>
      </c>
      <c r="B230" s="67">
        <f>+B75+B104+B115+B156+B218</f>
        <v>8398822.135328697</v>
      </c>
      <c r="C230" s="67">
        <f t="shared" ref="C230:J230" si="43">+C75+C104+C115+C156+C218</f>
        <v>53350.01</v>
      </c>
      <c r="D230" s="67">
        <f t="shared" si="43"/>
        <v>3117341.8104000003</v>
      </c>
      <c r="E230" s="67">
        <f t="shared" si="43"/>
        <v>936881.42218974361</v>
      </c>
      <c r="F230" s="67">
        <f t="shared" si="43"/>
        <v>3332277.1298692315</v>
      </c>
      <c r="G230" s="67">
        <f t="shared" si="43"/>
        <v>1567689.0681871795</v>
      </c>
      <c r="H230" s="67">
        <f t="shared" si="43"/>
        <v>306971.69126153848</v>
      </c>
      <c r="I230" s="67">
        <f t="shared" si="43"/>
        <v>1459978.6174358975</v>
      </c>
      <c r="J230" s="67">
        <f t="shared" si="43"/>
        <v>306091.46307692304</v>
      </c>
    </row>
    <row r="231" spans="1:10">
      <c r="A231" s="73" t="s">
        <v>58</v>
      </c>
      <c r="B231" s="115">
        <f>+IFERROR(B230/B70,0)</f>
        <v>7.950741904725532E-2</v>
      </c>
      <c r="C231" s="115">
        <f t="shared" ref="C231:J231" si="44">+IFERROR(C230/C70,0)</f>
        <v>6.6353929730219016E-2</v>
      </c>
      <c r="D231" s="115">
        <f t="shared" si="44"/>
        <v>0.14546402387099389</v>
      </c>
      <c r="E231" s="115">
        <f t="shared" si="44"/>
        <v>8.9183597348902494E-2</v>
      </c>
      <c r="F231" s="115">
        <f t="shared" si="44"/>
        <v>2.4401311018612121E-2</v>
      </c>
      <c r="G231" s="115">
        <f t="shared" si="44"/>
        <v>0.17627935671008618</v>
      </c>
      <c r="H231" s="115">
        <f t="shared" si="44"/>
        <v>8.155829914835766E-2</v>
      </c>
      <c r="I231" s="115">
        <f t="shared" si="44"/>
        <v>0.68111691235398586</v>
      </c>
      <c r="J231" s="115">
        <f t="shared" si="44"/>
        <v>0.33041642274460004</v>
      </c>
    </row>
    <row r="232" spans="1:10">
      <c r="A232" s="21"/>
      <c r="B232" s="69"/>
      <c r="C232" s="69"/>
      <c r="D232" s="69"/>
      <c r="E232" s="69"/>
      <c r="F232" s="69"/>
      <c r="G232" s="69"/>
      <c r="H232" s="69"/>
      <c r="I232" s="69"/>
      <c r="J232" s="69"/>
    </row>
    <row r="233" spans="1:10">
      <c r="A233" s="64" t="s">
        <v>194</v>
      </c>
      <c r="B233" s="67">
        <f>+B71-B230</f>
        <v>-774990.24625869468</v>
      </c>
      <c r="C233" s="67">
        <f t="shared" ref="C233:J233" si="45">+C71-C230</f>
        <v>110650.39999999991</v>
      </c>
      <c r="D233" s="67">
        <f t="shared" si="45"/>
        <v>4180074.7107082712</v>
      </c>
      <c r="E233" s="67">
        <f t="shared" si="45"/>
        <v>3400729.9458102551</v>
      </c>
      <c r="F233" s="67">
        <f t="shared" si="45"/>
        <v>4876077.03085077</v>
      </c>
      <c r="G233" s="67">
        <f t="shared" si="45"/>
        <v>2649708.1751657645</v>
      </c>
      <c r="H233" s="67">
        <f t="shared" si="45"/>
        <v>790658.18773846165</v>
      </c>
      <c r="I233" s="67">
        <f t="shared" si="45"/>
        <v>-28226.623611678835</v>
      </c>
      <c r="J233" s="67">
        <f t="shared" si="45"/>
        <v>17694.716923077009</v>
      </c>
    </row>
    <row r="234" spans="1:10">
      <c r="A234" s="73" t="s">
        <v>58</v>
      </c>
      <c r="B234" s="115">
        <f>IFERROR(B233/B70,0)</f>
        <v>-7.3364423336980417E-3</v>
      </c>
      <c r="C234" s="115">
        <f t="shared" ref="C234:J234" si="46">IFERROR(C233/C70,0)</f>
        <v>0.13762113383335112</v>
      </c>
      <c r="D234" s="115">
        <f t="shared" si="46"/>
        <v>0.19505415975638044</v>
      </c>
      <c r="E234" s="115">
        <f t="shared" si="46"/>
        <v>0.32372221606297641</v>
      </c>
      <c r="F234" s="115">
        <f t="shared" si="46"/>
        <v>3.5706115531024159E-2</v>
      </c>
      <c r="G234" s="115">
        <f t="shared" si="46"/>
        <v>0.29794738131828807</v>
      </c>
      <c r="H234" s="115">
        <f t="shared" si="46"/>
        <v>0.21006737375249071</v>
      </c>
      <c r="I234" s="115">
        <f t="shared" si="46"/>
        <v>-1.3168433079061126E-2</v>
      </c>
      <c r="J234" s="115">
        <f t="shared" si="46"/>
        <v>1.9100908625250164E-2</v>
      </c>
    </row>
    <row r="235" spans="1:10">
      <c r="A235" s="60"/>
      <c r="B235" s="68"/>
      <c r="C235" s="68"/>
      <c r="D235" s="68"/>
      <c r="E235" s="68"/>
      <c r="F235" s="68"/>
      <c r="G235" s="68"/>
      <c r="H235" s="68"/>
      <c r="I235" s="69"/>
      <c r="J235" s="69"/>
    </row>
    <row r="236" spans="1:10" ht="17.25">
      <c r="A236" s="70" t="s">
        <v>195</v>
      </c>
      <c r="B236" s="67">
        <f t="shared" ref="B236:J236" si="47">+SUM(B237:B239)</f>
        <v>158371.11020000002</v>
      </c>
      <c r="C236" s="67">
        <f t="shared" si="47"/>
        <v>0</v>
      </c>
      <c r="D236" s="67">
        <f t="shared" si="47"/>
        <v>292936.42181999999</v>
      </c>
      <c r="E236" s="67">
        <f t="shared" si="47"/>
        <v>30464.94788</v>
      </c>
      <c r="F236" s="67">
        <f t="shared" si="47"/>
        <v>168435.89504999999</v>
      </c>
      <c r="G236" s="67">
        <f t="shared" si="47"/>
        <v>265887.53703000001</v>
      </c>
      <c r="H236" s="67">
        <f t="shared" si="47"/>
        <v>67374.35802</v>
      </c>
      <c r="I236" s="67">
        <f t="shared" si="47"/>
        <v>0</v>
      </c>
      <c r="J236" s="67">
        <f t="shared" si="47"/>
        <v>0</v>
      </c>
    </row>
    <row r="237" spans="1:10">
      <c r="A237" s="61" t="s">
        <v>196</v>
      </c>
      <c r="B237" s="68">
        <v>0</v>
      </c>
      <c r="C237" s="68">
        <v>0</v>
      </c>
      <c r="D237" s="68">
        <v>247239</v>
      </c>
      <c r="E237" s="68">
        <v>0</v>
      </c>
      <c r="F237" s="68">
        <v>0</v>
      </c>
      <c r="G237" s="68">
        <v>164826</v>
      </c>
      <c r="H237" s="68">
        <v>0</v>
      </c>
      <c r="I237" s="68">
        <v>0</v>
      </c>
      <c r="J237" s="68">
        <v>0</v>
      </c>
    </row>
    <row r="238" spans="1:10">
      <c r="A238" s="61" t="s">
        <v>197</v>
      </c>
      <c r="B238" s="68">
        <v>130354.71020000002</v>
      </c>
      <c r="C238" s="68">
        <v>0</v>
      </c>
      <c r="D238" s="68">
        <v>33090.041819999999</v>
      </c>
      <c r="E238" s="68">
        <v>22060.027880000001</v>
      </c>
      <c r="F238" s="68">
        <v>157929.74505</v>
      </c>
      <c r="G238" s="68">
        <v>94757.84702999999</v>
      </c>
      <c r="H238" s="68">
        <v>63171.898020000001</v>
      </c>
      <c r="I238" s="68">
        <v>0</v>
      </c>
      <c r="J238" s="68">
        <v>0</v>
      </c>
    </row>
    <row r="239" spans="1:10">
      <c r="A239" s="61" t="s">
        <v>198</v>
      </c>
      <c r="B239" s="68">
        <v>28016.400000000001</v>
      </c>
      <c r="C239" s="68">
        <v>0</v>
      </c>
      <c r="D239" s="68">
        <v>12607.38</v>
      </c>
      <c r="E239" s="68">
        <v>8404.92</v>
      </c>
      <c r="F239" s="68">
        <v>10506.15</v>
      </c>
      <c r="G239" s="68">
        <v>6303.69</v>
      </c>
      <c r="H239" s="68">
        <v>4202.46</v>
      </c>
      <c r="I239" s="68">
        <v>0</v>
      </c>
      <c r="J239" s="68">
        <v>0</v>
      </c>
    </row>
    <row r="240" spans="1:10">
      <c r="A240" s="60"/>
      <c r="B240" s="68"/>
      <c r="C240" s="68"/>
      <c r="D240" s="68"/>
      <c r="E240" s="68"/>
      <c r="F240" s="68"/>
      <c r="G240" s="68"/>
      <c r="H240" s="68"/>
      <c r="I240" s="68"/>
      <c r="J240" s="68"/>
    </row>
    <row r="241" spans="1:10" ht="17.25">
      <c r="A241" s="70" t="s">
        <v>199</v>
      </c>
      <c r="B241" s="67">
        <f>+SUM(B242:B248)</f>
        <v>952163.96462113166</v>
      </c>
      <c r="C241" s="67">
        <f t="shared" ref="C241:J241" si="48">+SUM(C242:C248)</f>
        <v>0</v>
      </c>
      <c r="D241" s="67">
        <f t="shared" si="48"/>
        <v>675475.61596874997</v>
      </c>
      <c r="E241" s="67">
        <f t="shared" si="48"/>
        <v>386326.71292708302</v>
      </c>
      <c r="F241" s="67">
        <f t="shared" si="48"/>
        <v>433516.25836428563</v>
      </c>
      <c r="G241" s="67">
        <f t="shared" si="48"/>
        <v>241812.14353571442</v>
      </c>
      <c r="H241" s="67">
        <f t="shared" si="48"/>
        <v>155829.26235714319</v>
      </c>
      <c r="I241" s="67">
        <f t="shared" si="48"/>
        <v>702927.25199999998</v>
      </c>
      <c r="J241" s="67">
        <f t="shared" si="48"/>
        <v>468618.16800000001</v>
      </c>
    </row>
    <row r="242" spans="1:10">
      <c r="A242" s="61" t="s">
        <v>200</v>
      </c>
      <c r="B242" s="68">
        <v>0</v>
      </c>
      <c r="C242" s="68">
        <v>0</v>
      </c>
      <c r="D242" s="68">
        <v>0</v>
      </c>
      <c r="E242" s="68">
        <v>0</v>
      </c>
      <c r="F242" s="68">
        <v>0</v>
      </c>
      <c r="G242" s="68">
        <v>0</v>
      </c>
      <c r="H242" s="68">
        <v>0</v>
      </c>
      <c r="I242" s="68">
        <v>0</v>
      </c>
      <c r="J242" s="68">
        <v>0</v>
      </c>
    </row>
    <row r="243" spans="1:10">
      <c r="A243" s="61" t="s">
        <v>238</v>
      </c>
      <c r="B243" s="68">
        <v>952163.96462113166</v>
      </c>
      <c r="C243" s="68">
        <v>0</v>
      </c>
      <c r="D243" s="68">
        <v>675475.61596874997</v>
      </c>
      <c r="E243" s="68">
        <v>386326.71292708302</v>
      </c>
      <c r="F243" s="68">
        <v>433516.25836428563</v>
      </c>
      <c r="G243" s="68">
        <v>241812.14353571442</v>
      </c>
      <c r="H243" s="68">
        <v>155829.26235714319</v>
      </c>
      <c r="I243" s="68">
        <v>702927.25199999998</v>
      </c>
      <c r="J243" s="68">
        <v>468618.16800000001</v>
      </c>
    </row>
    <row r="244" spans="1:10">
      <c r="A244" s="61" t="s">
        <v>239</v>
      </c>
      <c r="B244" s="68">
        <v>0</v>
      </c>
      <c r="C244" s="68">
        <v>0</v>
      </c>
      <c r="D244" s="68">
        <v>0</v>
      </c>
      <c r="E244" s="68">
        <v>0</v>
      </c>
      <c r="F244" s="68">
        <v>0</v>
      </c>
      <c r="G244" s="68">
        <v>0</v>
      </c>
      <c r="H244" s="68">
        <v>0</v>
      </c>
      <c r="I244" s="68">
        <v>0</v>
      </c>
      <c r="J244" s="68">
        <v>0</v>
      </c>
    </row>
    <row r="245" spans="1:10">
      <c r="A245" s="61" t="s">
        <v>240</v>
      </c>
      <c r="B245" s="68">
        <v>0</v>
      </c>
      <c r="C245" s="68">
        <v>0</v>
      </c>
      <c r="D245" s="68">
        <v>0</v>
      </c>
      <c r="E245" s="68">
        <v>0</v>
      </c>
      <c r="F245" s="68">
        <v>0</v>
      </c>
      <c r="G245" s="68">
        <v>0</v>
      </c>
      <c r="H245" s="68">
        <v>0</v>
      </c>
      <c r="I245" s="68">
        <v>0</v>
      </c>
      <c r="J245" s="68">
        <v>0</v>
      </c>
    </row>
    <row r="246" spans="1:10">
      <c r="A246" s="61" t="s">
        <v>241</v>
      </c>
      <c r="B246" s="68">
        <v>0</v>
      </c>
      <c r="C246" s="68">
        <v>0</v>
      </c>
      <c r="D246" s="68">
        <v>0</v>
      </c>
      <c r="E246" s="68">
        <v>0</v>
      </c>
      <c r="F246" s="68">
        <v>0</v>
      </c>
      <c r="G246" s="68">
        <v>0</v>
      </c>
      <c r="H246" s="68">
        <v>0</v>
      </c>
      <c r="I246" s="68">
        <v>0</v>
      </c>
      <c r="J246" s="68">
        <v>0</v>
      </c>
    </row>
    <row r="247" spans="1:10">
      <c r="A247" s="61" t="s">
        <v>242</v>
      </c>
      <c r="B247" s="68">
        <v>0</v>
      </c>
      <c r="C247" s="68">
        <v>0</v>
      </c>
      <c r="D247" s="68">
        <v>0</v>
      </c>
      <c r="E247" s="68">
        <v>0</v>
      </c>
      <c r="F247" s="68">
        <v>0</v>
      </c>
      <c r="G247" s="68">
        <v>0</v>
      </c>
      <c r="H247" s="68">
        <v>0</v>
      </c>
      <c r="I247" s="68">
        <v>0</v>
      </c>
      <c r="J247" s="68">
        <v>0</v>
      </c>
    </row>
    <row r="248" spans="1:10">
      <c r="A248" s="60"/>
      <c r="B248" s="68"/>
      <c r="C248" s="68"/>
      <c r="D248" s="68"/>
      <c r="E248" s="68"/>
      <c r="F248" s="68"/>
      <c r="G248" s="68"/>
      <c r="H248" s="68"/>
      <c r="I248" s="68"/>
      <c r="J248" s="68"/>
    </row>
    <row r="249" spans="1:10">
      <c r="A249" s="64" t="s">
        <v>201</v>
      </c>
      <c r="B249" s="67">
        <f t="shared" ref="B249:J249" si="49">+B233-B236-B241</f>
        <v>-1885525.3210798264</v>
      </c>
      <c r="C249" s="67">
        <f t="shared" si="49"/>
        <v>110650.39999999991</v>
      </c>
      <c r="D249" s="67">
        <f t="shared" si="49"/>
        <v>3211662.6729195216</v>
      </c>
      <c r="E249" s="67">
        <f t="shared" si="49"/>
        <v>2983938.2850031722</v>
      </c>
      <c r="F249" s="67">
        <f t="shared" si="49"/>
        <v>4274124.8774364842</v>
      </c>
      <c r="G249" s="67">
        <f t="shared" si="49"/>
        <v>2142008.4946000502</v>
      </c>
      <c r="H249" s="67">
        <f t="shared" si="49"/>
        <v>567454.56736131839</v>
      </c>
      <c r="I249" s="67">
        <f t="shared" si="49"/>
        <v>-731153.87561167881</v>
      </c>
      <c r="J249" s="67">
        <f t="shared" si="49"/>
        <v>-450923.451076923</v>
      </c>
    </row>
    <row r="250" spans="1:10">
      <c r="A250" s="74" t="s">
        <v>58</v>
      </c>
      <c r="B250" s="116">
        <f>IFERROR(B249/B70,0)</f>
        <v>-1.7849318560600447E-2</v>
      </c>
      <c r="C250" s="116">
        <f t="shared" ref="C250:J250" si="50">IFERROR(C249/C70,0)</f>
        <v>0.13762113383335112</v>
      </c>
      <c r="D250" s="116">
        <f t="shared" si="50"/>
        <v>0.14986530324026262</v>
      </c>
      <c r="E250" s="116">
        <f t="shared" si="50"/>
        <v>0.28404699273650608</v>
      </c>
      <c r="F250" s="116">
        <f t="shared" si="50"/>
        <v>3.1298192317758364E-2</v>
      </c>
      <c r="G250" s="116">
        <f t="shared" si="50"/>
        <v>0.24085890956187561</v>
      </c>
      <c r="H250" s="116">
        <f t="shared" si="50"/>
        <v>0.15076513787887169</v>
      </c>
      <c r="I250" s="116">
        <f t="shared" si="50"/>
        <v>-0.34110175605646664</v>
      </c>
      <c r="J250" s="116">
        <f t="shared" si="50"/>
        <v>-0.48675814783845717</v>
      </c>
    </row>
  </sheetData>
  <mergeCells count="5">
    <mergeCell ref="A1:J1"/>
    <mergeCell ref="A2:A3"/>
    <mergeCell ref="B2:E2"/>
    <mergeCell ref="F2:H2"/>
    <mergeCell ref="I2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B7FA-702D-4330-9EA4-471F7205CF08}">
  <dimension ref="A1:J250"/>
  <sheetViews>
    <sheetView topLeftCell="A74" workbookViewId="0">
      <selection activeCell="B74" sqref="B74"/>
    </sheetView>
  </sheetViews>
  <sheetFormatPr defaultColWidth="8.7109375" defaultRowHeight="15"/>
  <cols>
    <col min="1" max="1" width="40.85546875" style="49" bestFit="1" customWidth="1"/>
    <col min="2" max="2" width="12.42578125" style="49" bestFit="1" customWidth="1"/>
    <col min="3" max="3" width="10.42578125" style="49" bestFit="1" customWidth="1"/>
    <col min="4" max="4" width="11.140625" style="49" bestFit="1" customWidth="1"/>
    <col min="5" max="5" width="9.5703125" style="49" bestFit="1" customWidth="1"/>
    <col min="6" max="6" width="12.140625" style="49" bestFit="1" customWidth="1"/>
    <col min="7" max="7" width="11.140625" style="49" bestFit="1" customWidth="1"/>
    <col min="8" max="9" width="9.5703125" style="49" bestFit="1" customWidth="1"/>
    <col min="10" max="10" width="8.85546875" style="49" bestFit="1" customWidth="1"/>
    <col min="11" max="16384" width="8.7109375" style="49"/>
  </cols>
  <sheetData>
    <row r="1" spans="1:10" ht="15.75">
      <c r="A1" s="124" t="s">
        <v>244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0" ht="14.45" customHeight="1">
      <c r="A2" s="125" t="s">
        <v>1</v>
      </c>
      <c r="B2" s="127" t="s">
        <v>209</v>
      </c>
      <c r="C2" s="128"/>
      <c r="D2" s="128"/>
      <c r="E2" s="128"/>
      <c r="F2" s="129" t="s">
        <v>213</v>
      </c>
      <c r="G2" s="130"/>
      <c r="H2" s="130"/>
      <c r="I2" s="130" t="s">
        <v>214</v>
      </c>
      <c r="J2" s="130"/>
    </row>
    <row r="3" spans="1:10">
      <c r="A3" s="126"/>
      <c r="B3" s="51" t="s">
        <v>215</v>
      </c>
      <c r="C3" s="51" t="s">
        <v>216</v>
      </c>
      <c r="D3" s="52" t="s">
        <v>217</v>
      </c>
      <c r="E3" s="53" t="s">
        <v>218</v>
      </c>
      <c r="F3" s="51" t="s">
        <v>215</v>
      </c>
      <c r="G3" s="52" t="s">
        <v>217</v>
      </c>
      <c r="H3" s="52" t="s">
        <v>218</v>
      </c>
      <c r="I3" s="54" t="s">
        <v>217</v>
      </c>
      <c r="J3" s="54" t="s">
        <v>218</v>
      </c>
    </row>
    <row r="4" spans="1:10">
      <c r="A4" s="55" t="s">
        <v>3</v>
      </c>
      <c r="B4" s="56">
        <v>14</v>
      </c>
      <c r="C4" s="56"/>
      <c r="D4" s="56"/>
      <c r="E4" s="56"/>
      <c r="F4" s="56">
        <v>7</v>
      </c>
      <c r="G4" s="56"/>
      <c r="H4" s="56"/>
      <c r="I4" s="56"/>
      <c r="J4" s="56"/>
    </row>
    <row r="5" spans="1:10" ht="17.25">
      <c r="A5" s="57" t="s">
        <v>4</v>
      </c>
      <c r="B5" s="56"/>
      <c r="C5" s="56"/>
      <c r="D5" s="56"/>
      <c r="E5" s="56"/>
      <c r="F5" s="56"/>
      <c r="G5" s="56"/>
      <c r="H5" s="56"/>
      <c r="I5" s="50"/>
      <c r="J5" s="50"/>
    </row>
    <row r="6" spans="1:10">
      <c r="A6" s="55" t="s">
        <v>5</v>
      </c>
      <c r="B6" s="58">
        <f>+B7+B8+B13</f>
        <v>3950658.983</v>
      </c>
      <c r="C6" s="58">
        <f t="shared" ref="C6:J6" si="0">+C7+C8+C13</f>
        <v>0</v>
      </c>
      <c r="D6" s="58">
        <f t="shared" si="0"/>
        <v>0</v>
      </c>
      <c r="E6" s="58">
        <f t="shared" si="0"/>
        <v>0</v>
      </c>
      <c r="F6" s="58">
        <f t="shared" si="0"/>
        <v>3357634.145</v>
      </c>
      <c r="G6" s="58">
        <f t="shared" si="0"/>
        <v>0</v>
      </c>
      <c r="H6" s="58">
        <f t="shared" si="0"/>
        <v>0</v>
      </c>
      <c r="I6" s="58">
        <f t="shared" si="0"/>
        <v>0</v>
      </c>
      <c r="J6" s="58">
        <f t="shared" si="0"/>
        <v>0</v>
      </c>
    </row>
    <row r="7" spans="1:10">
      <c r="A7" s="55" t="s">
        <v>6</v>
      </c>
      <c r="B7" s="58">
        <v>2426022</v>
      </c>
      <c r="C7" s="58">
        <v>0</v>
      </c>
      <c r="D7" s="58">
        <v>0</v>
      </c>
      <c r="E7" s="58">
        <v>0</v>
      </c>
      <c r="F7" s="58">
        <v>2184323</v>
      </c>
      <c r="G7" s="58">
        <v>0</v>
      </c>
      <c r="H7" s="58">
        <v>0</v>
      </c>
      <c r="I7" s="59">
        <v>0</v>
      </c>
      <c r="J7" s="59">
        <v>0</v>
      </c>
    </row>
    <row r="8" spans="1:10">
      <c r="A8" s="55" t="s">
        <v>219</v>
      </c>
      <c r="B8" s="58">
        <f>+B9+B10+B11+B12</f>
        <v>1123028.983</v>
      </c>
      <c r="C8" s="58">
        <f t="shared" ref="C8:J8" si="1">+C9+C10+C11+C12</f>
        <v>0</v>
      </c>
      <c r="D8" s="58">
        <f t="shared" si="1"/>
        <v>0</v>
      </c>
      <c r="E8" s="58">
        <f t="shared" si="1"/>
        <v>0</v>
      </c>
      <c r="F8" s="58">
        <f t="shared" si="1"/>
        <v>833393.14500000002</v>
      </c>
      <c r="G8" s="58">
        <f t="shared" si="1"/>
        <v>0</v>
      </c>
      <c r="H8" s="58">
        <f t="shared" si="1"/>
        <v>0</v>
      </c>
      <c r="I8" s="58">
        <f t="shared" si="1"/>
        <v>0</v>
      </c>
      <c r="J8" s="58">
        <f t="shared" si="1"/>
        <v>0</v>
      </c>
    </row>
    <row r="9" spans="1:10">
      <c r="A9" s="75" t="s">
        <v>7</v>
      </c>
      <c r="B9" s="56">
        <v>922224.98300000001</v>
      </c>
      <c r="C9" s="56">
        <v>0</v>
      </c>
      <c r="D9" s="56">
        <v>0</v>
      </c>
      <c r="E9" s="56">
        <v>0</v>
      </c>
      <c r="F9" s="56">
        <v>663434.14500000002</v>
      </c>
      <c r="G9" s="56">
        <v>0</v>
      </c>
      <c r="H9" s="56">
        <v>0</v>
      </c>
      <c r="I9" s="50">
        <v>0</v>
      </c>
      <c r="J9" s="50">
        <v>0</v>
      </c>
    </row>
    <row r="10" spans="1:10">
      <c r="A10" s="75" t="s">
        <v>8</v>
      </c>
      <c r="B10" s="56">
        <v>200804</v>
      </c>
      <c r="C10" s="56">
        <v>0</v>
      </c>
      <c r="D10" s="56">
        <v>0</v>
      </c>
      <c r="E10" s="56">
        <v>0</v>
      </c>
      <c r="F10" s="56">
        <v>169959</v>
      </c>
      <c r="G10" s="56">
        <v>0</v>
      </c>
      <c r="H10" s="56">
        <v>0</v>
      </c>
      <c r="I10" s="50">
        <v>0</v>
      </c>
      <c r="J10" s="50">
        <v>0</v>
      </c>
    </row>
    <row r="11" spans="1:10">
      <c r="A11" s="75" t="s">
        <v>9</v>
      </c>
      <c r="B11" s="56"/>
      <c r="C11" s="56"/>
      <c r="D11" s="56"/>
      <c r="E11" s="56"/>
      <c r="F11" s="56"/>
      <c r="G11" s="56"/>
      <c r="H11" s="56"/>
      <c r="I11" s="50"/>
      <c r="J11" s="50"/>
    </row>
    <row r="12" spans="1:10">
      <c r="A12" s="75" t="s">
        <v>10</v>
      </c>
      <c r="B12" s="56"/>
      <c r="C12" s="56"/>
      <c r="D12" s="56"/>
      <c r="E12" s="56"/>
      <c r="F12" s="56"/>
      <c r="G12" s="56"/>
      <c r="H12" s="56"/>
      <c r="I12" s="50"/>
      <c r="J12" s="50"/>
    </row>
    <row r="13" spans="1:10">
      <c r="A13" s="55" t="s">
        <v>11</v>
      </c>
      <c r="B13" s="58">
        <f>+B14+B15+B16</f>
        <v>401608</v>
      </c>
      <c r="C13" s="58">
        <f t="shared" ref="C13:J13" si="2">+C14+C15+C16</f>
        <v>0</v>
      </c>
      <c r="D13" s="58">
        <f t="shared" si="2"/>
        <v>0</v>
      </c>
      <c r="E13" s="58">
        <f t="shared" si="2"/>
        <v>0</v>
      </c>
      <c r="F13" s="58">
        <f t="shared" si="2"/>
        <v>339918</v>
      </c>
      <c r="G13" s="58">
        <f t="shared" si="2"/>
        <v>0</v>
      </c>
      <c r="H13" s="58">
        <f t="shared" si="2"/>
        <v>0</v>
      </c>
      <c r="I13" s="58">
        <f t="shared" si="2"/>
        <v>0</v>
      </c>
      <c r="J13" s="58">
        <f t="shared" si="2"/>
        <v>0</v>
      </c>
    </row>
    <row r="14" spans="1:10">
      <c r="A14" s="76" t="s">
        <v>12</v>
      </c>
      <c r="B14" s="56">
        <v>80322</v>
      </c>
      <c r="C14" s="56">
        <v>0</v>
      </c>
      <c r="D14" s="56">
        <v>0</v>
      </c>
      <c r="E14" s="56">
        <v>0</v>
      </c>
      <c r="F14" s="56">
        <v>67984</v>
      </c>
      <c r="G14" s="56">
        <v>0</v>
      </c>
      <c r="H14" s="56">
        <v>0</v>
      </c>
      <c r="I14" s="50">
        <v>0</v>
      </c>
      <c r="J14" s="50">
        <v>0</v>
      </c>
    </row>
    <row r="15" spans="1:10">
      <c r="A15" s="76" t="s">
        <v>13</v>
      </c>
      <c r="B15" s="56">
        <v>160643</v>
      </c>
      <c r="C15" s="56">
        <v>0</v>
      </c>
      <c r="D15" s="56">
        <v>0</v>
      </c>
      <c r="E15" s="56">
        <v>0</v>
      </c>
      <c r="F15" s="56">
        <v>135967</v>
      </c>
      <c r="G15" s="56">
        <v>0</v>
      </c>
      <c r="H15" s="56">
        <v>0</v>
      </c>
      <c r="I15" s="50">
        <v>0</v>
      </c>
      <c r="J15" s="50">
        <v>0</v>
      </c>
    </row>
    <row r="16" spans="1:10">
      <c r="A16" s="76" t="s">
        <v>14</v>
      </c>
      <c r="B16" s="56">
        <v>160643</v>
      </c>
      <c r="C16" s="56">
        <v>0</v>
      </c>
      <c r="D16" s="56">
        <v>0</v>
      </c>
      <c r="E16" s="56">
        <v>0</v>
      </c>
      <c r="F16" s="56">
        <v>135967</v>
      </c>
      <c r="G16" s="56">
        <v>0</v>
      </c>
      <c r="H16" s="56">
        <v>0</v>
      </c>
      <c r="I16" s="50">
        <v>0</v>
      </c>
      <c r="J16" s="50">
        <v>0</v>
      </c>
    </row>
    <row r="17" spans="1:10" ht="17.25">
      <c r="A17" s="57" t="s">
        <v>15</v>
      </c>
      <c r="B17" s="56"/>
      <c r="C17" s="56"/>
      <c r="D17" s="56"/>
      <c r="E17" s="56"/>
      <c r="F17" s="56"/>
      <c r="G17" s="56"/>
      <c r="H17" s="56"/>
      <c r="I17" s="50"/>
      <c r="J17" s="50"/>
    </row>
    <row r="18" spans="1:10">
      <c r="A18" s="61" t="s">
        <v>16</v>
      </c>
      <c r="B18" s="56">
        <v>2</v>
      </c>
      <c r="C18" s="56"/>
      <c r="D18" s="56"/>
      <c r="E18" s="56"/>
      <c r="F18" s="56"/>
      <c r="G18" s="56"/>
      <c r="H18" s="56"/>
      <c r="I18" s="50"/>
      <c r="J18" s="50"/>
    </row>
    <row r="19" spans="1:10">
      <c r="A19" s="61" t="s">
        <v>17</v>
      </c>
      <c r="B19" s="56">
        <v>14947333</v>
      </c>
      <c r="C19" s="56"/>
      <c r="D19" s="56"/>
      <c r="E19" s="56"/>
      <c r="F19" s="56"/>
      <c r="G19" s="56"/>
      <c r="H19" s="56"/>
      <c r="I19" s="50"/>
      <c r="J19" s="50"/>
    </row>
    <row r="20" spans="1:10">
      <c r="A20" s="61" t="s">
        <v>18</v>
      </c>
      <c r="B20" s="56">
        <v>15713361.939999999</v>
      </c>
      <c r="C20" s="56"/>
      <c r="D20" s="56"/>
      <c r="E20" s="56"/>
      <c r="F20" s="56"/>
      <c r="G20" s="56"/>
      <c r="H20" s="56"/>
      <c r="I20" s="50"/>
      <c r="J20" s="50"/>
    </row>
    <row r="21" spans="1:10">
      <c r="A21" s="61" t="s">
        <v>19</v>
      </c>
      <c r="B21" s="56"/>
      <c r="C21" s="56"/>
      <c r="D21" s="56"/>
      <c r="E21" s="56"/>
      <c r="F21" s="56"/>
      <c r="G21" s="56"/>
      <c r="H21" s="56"/>
      <c r="I21" s="50"/>
      <c r="J21" s="50"/>
    </row>
    <row r="22" spans="1:10" ht="17.25">
      <c r="A22" s="57" t="s">
        <v>220</v>
      </c>
      <c r="B22" s="56"/>
      <c r="C22" s="56"/>
      <c r="D22" s="56"/>
      <c r="E22" s="56"/>
      <c r="F22" s="56"/>
      <c r="G22" s="56"/>
      <c r="H22" s="56"/>
      <c r="I22" s="50"/>
      <c r="J22" s="50"/>
    </row>
    <row r="23" spans="1:10">
      <c r="A23" s="61" t="s">
        <v>16</v>
      </c>
      <c r="B23" s="56">
        <v>3</v>
      </c>
      <c r="C23" s="56"/>
      <c r="D23" s="56"/>
      <c r="E23" s="56"/>
      <c r="F23" s="56"/>
      <c r="G23" s="56"/>
      <c r="H23" s="56"/>
      <c r="I23" s="50"/>
      <c r="J23" s="50"/>
    </row>
    <row r="24" spans="1:10">
      <c r="A24" s="61" t="s">
        <v>21</v>
      </c>
      <c r="B24" s="56">
        <v>10367796.609999999</v>
      </c>
      <c r="C24" s="56"/>
      <c r="D24" s="56"/>
      <c r="E24" s="56"/>
      <c r="F24" s="56"/>
      <c r="G24" s="56"/>
      <c r="H24" s="56"/>
      <c r="I24" s="50"/>
      <c r="J24" s="50"/>
    </row>
    <row r="25" spans="1:10">
      <c r="A25" s="61" t="s">
        <v>22</v>
      </c>
      <c r="B25" s="56">
        <v>10050000</v>
      </c>
      <c r="C25" s="56"/>
      <c r="D25" s="56"/>
      <c r="E25" s="56"/>
      <c r="F25" s="56"/>
      <c r="G25" s="56"/>
      <c r="H25" s="56"/>
      <c r="I25" s="50"/>
      <c r="J25" s="50"/>
    </row>
    <row r="26" spans="1:10">
      <c r="A26" s="61" t="s">
        <v>23</v>
      </c>
      <c r="B26" s="56">
        <v>3500.0000000000005</v>
      </c>
      <c r="C26" s="56"/>
      <c r="D26" s="56"/>
      <c r="E26" s="56"/>
      <c r="F26" s="56"/>
      <c r="G26" s="56"/>
      <c r="H26" s="56"/>
      <c r="I26" s="50"/>
      <c r="J26" s="50"/>
    </row>
    <row r="27" spans="1:10">
      <c r="A27" s="61" t="s">
        <v>20</v>
      </c>
      <c r="B27" s="58">
        <f>+B24-B25-B26</f>
        <v>314296.6099999994</v>
      </c>
      <c r="C27" s="58">
        <f t="shared" ref="C27:J27" si="3">+C24-C25-C26</f>
        <v>0</v>
      </c>
      <c r="D27" s="58">
        <f t="shared" si="3"/>
        <v>0</v>
      </c>
      <c r="E27" s="58">
        <f t="shared" si="3"/>
        <v>0</v>
      </c>
      <c r="F27" s="58">
        <f t="shared" si="3"/>
        <v>0</v>
      </c>
      <c r="G27" s="58">
        <f t="shared" si="3"/>
        <v>0</v>
      </c>
      <c r="H27" s="58">
        <f t="shared" si="3"/>
        <v>0</v>
      </c>
      <c r="I27" s="58">
        <f t="shared" si="3"/>
        <v>0</v>
      </c>
      <c r="J27" s="58">
        <f t="shared" si="3"/>
        <v>0</v>
      </c>
    </row>
    <row r="28" spans="1:10">
      <c r="A28" s="60"/>
      <c r="B28" s="56"/>
      <c r="C28" s="56"/>
      <c r="D28" s="56"/>
      <c r="E28" s="56"/>
      <c r="F28" s="56"/>
      <c r="G28" s="56"/>
      <c r="H28" s="56"/>
      <c r="I28" s="50"/>
      <c r="J28" s="50"/>
    </row>
    <row r="29" spans="1:10" ht="17.25">
      <c r="A29" s="57" t="s">
        <v>24</v>
      </c>
      <c r="B29" s="58">
        <f>+SUM(B31:B37)</f>
        <v>59600.35</v>
      </c>
      <c r="C29" s="58">
        <f t="shared" ref="C29:J29" si="4">+SUM(C31:C37)</f>
        <v>0</v>
      </c>
      <c r="D29" s="58">
        <f t="shared" si="4"/>
        <v>16960296.184590433</v>
      </c>
      <c r="E29" s="58">
        <f t="shared" si="4"/>
        <v>8700114.4900000002</v>
      </c>
      <c r="F29" s="58">
        <f t="shared" si="4"/>
        <v>19685.759999999998</v>
      </c>
      <c r="G29" s="58">
        <f t="shared" si="4"/>
        <v>7738818.6548195863</v>
      </c>
      <c r="H29" s="58">
        <f t="shared" si="4"/>
        <v>1692521.2820000001</v>
      </c>
      <c r="I29" s="58">
        <f t="shared" si="4"/>
        <v>2178178.9380000001</v>
      </c>
      <c r="J29" s="58">
        <f t="shared" si="4"/>
        <v>151040.29199999999</v>
      </c>
    </row>
    <row r="30" spans="1:10">
      <c r="A30" s="62" t="s">
        <v>25</v>
      </c>
      <c r="B30" s="56">
        <v>0</v>
      </c>
      <c r="C30" s="56">
        <v>0</v>
      </c>
      <c r="D30" s="56">
        <v>359</v>
      </c>
      <c r="E30" s="56">
        <v>40</v>
      </c>
      <c r="F30" s="56">
        <v>0</v>
      </c>
      <c r="G30" s="56">
        <v>219</v>
      </c>
      <c r="H30" s="56">
        <v>21</v>
      </c>
      <c r="I30" s="50">
        <v>78</v>
      </c>
      <c r="J30" s="50">
        <v>6</v>
      </c>
    </row>
    <row r="31" spans="1:10">
      <c r="A31" s="61" t="s">
        <v>26</v>
      </c>
      <c r="B31" s="56">
        <v>0</v>
      </c>
      <c r="C31" s="56">
        <v>0</v>
      </c>
      <c r="D31" s="56">
        <v>7175973.2399999863</v>
      </c>
      <c r="E31" s="56">
        <v>7440607</v>
      </c>
      <c r="F31" s="56">
        <v>0</v>
      </c>
      <c r="G31" s="56">
        <v>4461613.8799999962</v>
      </c>
      <c r="H31" s="56">
        <v>1177929</v>
      </c>
      <c r="I31" s="50">
        <v>927455.00000000023</v>
      </c>
      <c r="J31" s="50">
        <v>83126</v>
      </c>
    </row>
    <row r="32" spans="1:10">
      <c r="A32" s="61" t="s">
        <v>27</v>
      </c>
      <c r="B32" s="56">
        <v>0</v>
      </c>
      <c r="C32" s="56">
        <v>0</v>
      </c>
      <c r="D32" s="56">
        <v>2497415.62</v>
      </c>
      <c r="E32" s="56">
        <v>1178111.4900000002</v>
      </c>
      <c r="F32" s="56">
        <v>0</v>
      </c>
      <c r="G32" s="56">
        <v>1314373.2400000002</v>
      </c>
      <c r="H32" s="56">
        <v>424886.25</v>
      </c>
      <c r="I32" s="50">
        <v>371424.19999999995</v>
      </c>
      <c r="J32" s="50">
        <v>42522.9</v>
      </c>
    </row>
    <row r="33" spans="1:10">
      <c r="A33" s="61" t="s">
        <v>28</v>
      </c>
      <c r="B33" s="56">
        <v>0</v>
      </c>
      <c r="C33" s="56">
        <v>0</v>
      </c>
      <c r="D33" s="56">
        <v>4785682.96</v>
      </c>
      <c r="E33" s="56">
        <v>81396</v>
      </c>
      <c r="F33" s="56">
        <v>0</v>
      </c>
      <c r="G33" s="56">
        <v>890704.14</v>
      </c>
      <c r="H33" s="56">
        <v>0</v>
      </c>
      <c r="I33" s="50">
        <v>118781.86</v>
      </c>
      <c r="J33" s="50">
        <v>0</v>
      </c>
    </row>
    <row r="34" spans="1:10">
      <c r="A34" s="61" t="s">
        <v>29</v>
      </c>
      <c r="B34" s="56">
        <v>0</v>
      </c>
      <c r="C34" s="56">
        <v>0</v>
      </c>
      <c r="D34" s="56">
        <v>867111.6</v>
      </c>
      <c r="E34" s="56">
        <v>0</v>
      </c>
      <c r="F34" s="56">
        <v>0</v>
      </c>
      <c r="G34" s="56">
        <v>115042.8</v>
      </c>
      <c r="H34" s="56">
        <v>0</v>
      </c>
      <c r="I34" s="50">
        <v>656056</v>
      </c>
      <c r="J34" s="50">
        <v>0</v>
      </c>
    </row>
    <row r="35" spans="1:10">
      <c r="A35" s="61" t="s">
        <v>30</v>
      </c>
      <c r="B35" s="56">
        <v>0</v>
      </c>
      <c r="C35" s="56">
        <v>0</v>
      </c>
      <c r="D35" s="56">
        <v>157190.56</v>
      </c>
      <c r="E35" s="56">
        <v>0</v>
      </c>
      <c r="F35" s="56">
        <v>0</v>
      </c>
      <c r="G35" s="56">
        <v>421314.80799999996</v>
      </c>
      <c r="H35" s="56">
        <v>89706.032000000007</v>
      </c>
      <c r="I35" s="50">
        <v>104461.87800000001</v>
      </c>
      <c r="J35" s="50">
        <v>25391.392000000003</v>
      </c>
    </row>
    <row r="36" spans="1:10">
      <c r="A36" s="61" t="s">
        <v>31</v>
      </c>
      <c r="B36" s="56">
        <v>0</v>
      </c>
      <c r="C36" s="56">
        <v>0</v>
      </c>
      <c r="D36" s="56">
        <v>1384051.7945904487</v>
      </c>
      <c r="E36" s="56">
        <v>0</v>
      </c>
      <c r="F36" s="56">
        <v>0</v>
      </c>
      <c r="G36" s="56">
        <v>535769.78681959014</v>
      </c>
      <c r="H36" s="56">
        <v>0</v>
      </c>
      <c r="I36" s="50">
        <v>0</v>
      </c>
      <c r="J36" s="50">
        <v>0</v>
      </c>
    </row>
    <row r="37" spans="1:10">
      <c r="A37" s="61" t="s">
        <v>32</v>
      </c>
      <c r="B37" s="56">
        <v>59600.35</v>
      </c>
      <c r="C37" s="56">
        <v>0</v>
      </c>
      <c r="D37" s="56">
        <v>92870.41</v>
      </c>
      <c r="E37" s="56">
        <v>0</v>
      </c>
      <c r="F37" s="56">
        <v>19685.759999999998</v>
      </c>
      <c r="G37" s="56">
        <v>0</v>
      </c>
      <c r="H37" s="56">
        <v>0</v>
      </c>
      <c r="I37" s="50">
        <v>0</v>
      </c>
      <c r="J37" s="50">
        <v>0</v>
      </c>
    </row>
    <row r="38" spans="1:10">
      <c r="A38" s="62" t="s">
        <v>33</v>
      </c>
      <c r="B38" s="58">
        <f>+SUM(B39:B42)</f>
        <v>70039.179999999993</v>
      </c>
      <c r="C38" s="58">
        <f t="shared" ref="C38:J38" si="5">+SUM(C39:C42)</f>
        <v>0</v>
      </c>
      <c r="D38" s="58">
        <f t="shared" si="5"/>
        <v>11592329.450000003</v>
      </c>
      <c r="E38" s="58">
        <f t="shared" si="5"/>
        <v>6412828.8199999994</v>
      </c>
      <c r="F38" s="58">
        <f t="shared" si="5"/>
        <v>3213.5</v>
      </c>
      <c r="G38" s="58">
        <f t="shared" si="5"/>
        <v>5137207.3459999971</v>
      </c>
      <c r="H38" s="58">
        <f t="shared" si="5"/>
        <v>1162499.0839999998</v>
      </c>
      <c r="I38" s="58">
        <f t="shared" si="5"/>
        <v>1190637.9779999999</v>
      </c>
      <c r="J38" s="58">
        <f t="shared" si="5"/>
        <v>152131.652</v>
      </c>
    </row>
    <row r="39" spans="1:10">
      <c r="A39" s="61" t="s">
        <v>34</v>
      </c>
      <c r="B39" s="56">
        <v>0</v>
      </c>
      <c r="C39" s="56">
        <v>0</v>
      </c>
      <c r="D39" s="56">
        <v>10711025.320000002</v>
      </c>
      <c r="E39" s="56">
        <v>6229046.3199999994</v>
      </c>
      <c r="F39" s="56">
        <v>0</v>
      </c>
      <c r="G39" s="56">
        <v>4675930.4999999972</v>
      </c>
      <c r="H39" s="56">
        <v>947145.79999999993</v>
      </c>
      <c r="I39" s="50">
        <v>883150.57</v>
      </c>
      <c r="J39" s="50">
        <v>70446.959999999992</v>
      </c>
    </row>
    <row r="40" spans="1:10">
      <c r="A40" s="61" t="s">
        <v>35</v>
      </c>
      <c r="B40" s="56">
        <v>0</v>
      </c>
      <c r="C40" s="56">
        <v>0</v>
      </c>
      <c r="D40" s="56">
        <v>668800</v>
      </c>
      <c r="E40" s="56">
        <v>179000</v>
      </c>
      <c r="F40" s="56">
        <v>0</v>
      </c>
      <c r="G40" s="56">
        <v>245474</v>
      </c>
      <c r="H40" s="56">
        <v>95334</v>
      </c>
      <c r="I40" s="50">
        <v>206000</v>
      </c>
      <c r="J40" s="50">
        <v>30000</v>
      </c>
    </row>
    <row r="41" spans="1:10">
      <c r="A41" s="61" t="s">
        <v>36</v>
      </c>
      <c r="B41" s="56">
        <v>0</v>
      </c>
      <c r="C41" s="56">
        <v>0</v>
      </c>
      <c r="D41" s="56">
        <v>13220.8</v>
      </c>
      <c r="E41" s="56">
        <v>4782.5</v>
      </c>
      <c r="F41" s="56">
        <v>0</v>
      </c>
      <c r="G41" s="56">
        <v>188638.84599999996</v>
      </c>
      <c r="H41" s="56">
        <v>120019.28399999999</v>
      </c>
      <c r="I41" s="50">
        <v>101487.408</v>
      </c>
      <c r="J41" s="50">
        <v>51684.69200000001</v>
      </c>
    </row>
    <row r="42" spans="1:10">
      <c r="A42" s="61" t="s">
        <v>37</v>
      </c>
      <c r="B42" s="56">
        <v>70039.179999999993</v>
      </c>
      <c r="C42" s="56">
        <v>0</v>
      </c>
      <c r="D42" s="56">
        <v>199283.33000000002</v>
      </c>
      <c r="E42" s="56">
        <v>0</v>
      </c>
      <c r="F42" s="56">
        <v>3213.5</v>
      </c>
      <c r="G42" s="56">
        <v>27164</v>
      </c>
      <c r="H42" s="56">
        <v>0</v>
      </c>
      <c r="I42" s="50">
        <v>0</v>
      </c>
      <c r="J42" s="50">
        <v>0</v>
      </c>
    </row>
    <row r="43" spans="1:10">
      <c r="A43" s="62" t="s">
        <v>20</v>
      </c>
      <c r="B43" s="58">
        <f>+B29-B38</f>
        <v>-10438.829999999994</v>
      </c>
      <c r="C43" s="58">
        <f t="shared" ref="C43:J43" si="6">+C29-C38</f>
        <v>0</v>
      </c>
      <c r="D43" s="58">
        <f t="shared" si="6"/>
        <v>5367966.7345904298</v>
      </c>
      <c r="E43" s="58">
        <f t="shared" si="6"/>
        <v>2287285.6700000009</v>
      </c>
      <c r="F43" s="58">
        <f t="shared" si="6"/>
        <v>16472.259999999998</v>
      </c>
      <c r="G43" s="58">
        <f t="shared" si="6"/>
        <v>2601611.3088195892</v>
      </c>
      <c r="H43" s="58">
        <f t="shared" si="6"/>
        <v>530022.19800000032</v>
      </c>
      <c r="I43" s="58">
        <f t="shared" si="6"/>
        <v>987540.9600000002</v>
      </c>
      <c r="J43" s="58">
        <f t="shared" si="6"/>
        <v>-1091.3600000000151</v>
      </c>
    </row>
    <row r="44" spans="1:10">
      <c r="A44" s="61" t="s">
        <v>38</v>
      </c>
      <c r="B44" s="56">
        <v>0</v>
      </c>
      <c r="C44" s="56">
        <v>0</v>
      </c>
      <c r="D44" s="56">
        <v>267248.39093815553</v>
      </c>
      <c r="E44" s="56">
        <v>0</v>
      </c>
      <c r="F44" s="56">
        <v>0</v>
      </c>
      <c r="G44" s="56">
        <v>166159.91873700774</v>
      </c>
      <c r="H44" s="56">
        <v>0</v>
      </c>
      <c r="I44" s="50">
        <v>34540.381928395764</v>
      </c>
      <c r="J44" s="50">
        <v>0</v>
      </c>
    </row>
    <row r="45" spans="1:10">
      <c r="A45" s="61" t="s">
        <v>39</v>
      </c>
      <c r="B45" s="56"/>
      <c r="C45" s="56"/>
      <c r="D45" s="56"/>
      <c r="E45" s="56"/>
      <c r="F45" s="56"/>
      <c r="G45" s="56"/>
      <c r="H45" s="56"/>
      <c r="I45" s="50"/>
      <c r="J45" s="50"/>
    </row>
    <row r="46" spans="1:10">
      <c r="A46" s="61" t="s">
        <v>40</v>
      </c>
      <c r="B46" s="56"/>
      <c r="C46" s="56"/>
      <c r="D46" s="56"/>
      <c r="E46" s="56"/>
      <c r="F46" s="56"/>
      <c r="G46" s="56"/>
      <c r="H46" s="56"/>
      <c r="I46" s="50"/>
      <c r="J46" s="50"/>
    </row>
    <row r="47" spans="1:10">
      <c r="A47" s="62" t="s">
        <v>41</v>
      </c>
      <c r="B47" s="58">
        <f>+B43+B44+B45+B46</f>
        <v>-10438.829999999994</v>
      </c>
      <c r="C47" s="58">
        <f t="shared" ref="C47:J47" si="7">+C43+C44+C45+C46</f>
        <v>0</v>
      </c>
      <c r="D47" s="58">
        <f t="shared" si="7"/>
        <v>5635215.1255285852</v>
      </c>
      <c r="E47" s="58">
        <f t="shared" si="7"/>
        <v>2287285.6700000009</v>
      </c>
      <c r="F47" s="58">
        <f t="shared" si="7"/>
        <v>16472.259999999998</v>
      </c>
      <c r="G47" s="58">
        <f t="shared" si="7"/>
        <v>2767771.227556597</v>
      </c>
      <c r="H47" s="58">
        <f t="shared" si="7"/>
        <v>530022.19800000032</v>
      </c>
      <c r="I47" s="58">
        <f t="shared" si="7"/>
        <v>1022081.3419283959</v>
      </c>
      <c r="J47" s="58">
        <f t="shared" si="7"/>
        <v>-1091.3600000000151</v>
      </c>
    </row>
    <row r="48" spans="1:10">
      <c r="A48" s="60"/>
      <c r="B48" s="56"/>
      <c r="C48" s="56"/>
      <c r="D48" s="56"/>
      <c r="E48" s="56"/>
      <c r="F48" s="56"/>
      <c r="G48" s="56"/>
      <c r="H48" s="56"/>
      <c r="I48" s="50"/>
      <c r="J48" s="50"/>
    </row>
    <row r="49" spans="1:10" ht="17.25">
      <c r="A49" s="57" t="s">
        <v>42</v>
      </c>
      <c r="B49" s="58">
        <f>+B51+B52</f>
        <v>0</v>
      </c>
      <c r="C49" s="58">
        <f t="shared" ref="C49:J49" si="8">+C51+C52</f>
        <v>1215978.8599999999</v>
      </c>
      <c r="D49" s="58">
        <f t="shared" si="8"/>
        <v>0</v>
      </c>
      <c r="E49" s="58">
        <f t="shared" si="8"/>
        <v>0</v>
      </c>
      <c r="F49" s="58">
        <f t="shared" si="8"/>
        <v>0</v>
      </c>
      <c r="G49" s="58">
        <f t="shared" si="8"/>
        <v>0</v>
      </c>
      <c r="H49" s="58">
        <f t="shared" si="8"/>
        <v>0</v>
      </c>
      <c r="I49" s="58">
        <f t="shared" si="8"/>
        <v>0</v>
      </c>
      <c r="J49" s="58">
        <f t="shared" si="8"/>
        <v>0</v>
      </c>
    </row>
    <row r="50" spans="1:10">
      <c r="A50" s="61" t="s">
        <v>3</v>
      </c>
      <c r="B50" s="56"/>
      <c r="C50" s="56">
        <v>31</v>
      </c>
      <c r="D50" s="56"/>
      <c r="E50" s="56"/>
      <c r="F50" s="56"/>
      <c r="G50" s="56"/>
      <c r="H50" s="56"/>
      <c r="I50" s="50"/>
      <c r="J50" s="50"/>
    </row>
    <row r="51" spans="1:10">
      <c r="A51" s="61" t="s">
        <v>43</v>
      </c>
      <c r="B51" s="56"/>
      <c r="C51" s="56">
        <v>914308.94999999984</v>
      </c>
      <c r="D51" s="56"/>
      <c r="E51" s="56"/>
      <c r="F51" s="56"/>
      <c r="G51" s="56"/>
      <c r="H51" s="56"/>
      <c r="I51" s="50"/>
      <c r="J51" s="50"/>
    </row>
    <row r="52" spans="1:10">
      <c r="A52" s="61" t="s">
        <v>30</v>
      </c>
      <c r="B52" s="56"/>
      <c r="C52" s="56">
        <v>301669.91000000003</v>
      </c>
      <c r="D52" s="56"/>
      <c r="E52" s="56"/>
      <c r="F52" s="56"/>
      <c r="G52" s="56"/>
      <c r="H52" s="56"/>
      <c r="I52" s="50"/>
      <c r="J52" s="50"/>
    </row>
    <row r="53" spans="1:10">
      <c r="A53" s="61" t="s">
        <v>33</v>
      </c>
      <c r="B53" s="56"/>
      <c r="C53" s="56">
        <v>1028729.5599999996</v>
      </c>
      <c r="D53" s="56"/>
      <c r="E53" s="56"/>
      <c r="F53" s="56"/>
      <c r="G53" s="56"/>
      <c r="H53" s="56"/>
      <c r="I53" s="50"/>
      <c r="J53" s="50"/>
    </row>
    <row r="54" spans="1:10">
      <c r="A54" s="62" t="s">
        <v>20</v>
      </c>
      <c r="B54" s="58">
        <f>+B49-B53</f>
        <v>0</v>
      </c>
      <c r="C54" s="58">
        <f>+C49-C53</f>
        <v>187249.30000000028</v>
      </c>
      <c r="D54" s="58">
        <f t="shared" ref="D54:J54" si="9">+D49-D53</f>
        <v>0</v>
      </c>
      <c r="E54" s="58">
        <f t="shared" si="9"/>
        <v>0</v>
      </c>
      <c r="F54" s="58">
        <f t="shared" si="9"/>
        <v>0</v>
      </c>
      <c r="G54" s="58">
        <f t="shared" si="9"/>
        <v>0</v>
      </c>
      <c r="H54" s="58">
        <f t="shared" si="9"/>
        <v>0</v>
      </c>
      <c r="I54" s="58">
        <f t="shared" si="9"/>
        <v>0</v>
      </c>
      <c r="J54" s="58">
        <f t="shared" si="9"/>
        <v>0</v>
      </c>
    </row>
    <row r="55" spans="1:10">
      <c r="A55" s="61" t="s">
        <v>44</v>
      </c>
      <c r="B55" s="56">
        <v>0</v>
      </c>
      <c r="C55" s="56">
        <v>191101</v>
      </c>
      <c r="D55" s="56">
        <v>235000</v>
      </c>
      <c r="E55" s="56">
        <v>0</v>
      </c>
      <c r="F55" s="56">
        <v>0</v>
      </c>
      <c r="G55" s="56">
        <v>219060</v>
      </c>
      <c r="H55" s="56">
        <v>0</v>
      </c>
      <c r="I55" s="50">
        <v>21580</v>
      </c>
      <c r="J55" s="50">
        <v>0</v>
      </c>
    </row>
    <row r="56" spans="1:10">
      <c r="A56" s="61" t="s">
        <v>33</v>
      </c>
      <c r="B56" s="56">
        <v>0</v>
      </c>
      <c r="C56" s="56">
        <v>95550.5</v>
      </c>
      <c r="D56" s="56">
        <v>117500</v>
      </c>
      <c r="E56" s="56">
        <v>0</v>
      </c>
      <c r="F56" s="56">
        <v>0</v>
      </c>
      <c r="G56" s="56">
        <v>109530</v>
      </c>
      <c r="H56" s="56">
        <v>0</v>
      </c>
      <c r="I56" s="50">
        <v>10790</v>
      </c>
      <c r="J56" s="50">
        <v>0</v>
      </c>
    </row>
    <row r="57" spans="1:10">
      <c r="A57" s="62" t="s">
        <v>20</v>
      </c>
      <c r="B57" s="58">
        <f t="shared" ref="B57:J57" si="10">+B55-B56</f>
        <v>0</v>
      </c>
      <c r="C57" s="58">
        <f t="shared" si="10"/>
        <v>95550.5</v>
      </c>
      <c r="D57" s="58">
        <f t="shared" si="10"/>
        <v>117500</v>
      </c>
      <c r="E57" s="58">
        <f t="shared" si="10"/>
        <v>0</v>
      </c>
      <c r="F57" s="58">
        <f t="shared" si="10"/>
        <v>0</v>
      </c>
      <c r="G57" s="58">
        <f t="shared" si="10"/>
        <v>109530</v>
      </c>
      <c r="H57" s="58">
        <f t="shared" si="10"/>
        <v>0</v>
      </c>
      <c r="I57" s="58">
        <f t="shared" si="10"/>
        <v>10790</v>
      </c>
      <c r="J57" s="58">
        <f t="shared" si="10"/>
        <v>0</v>
      </c>
    </row>
    <row r="58" spans="1:10">
      <c r="A58" s="62" t="s">
        <v>45</v>
      </c>
      <c r="B58" s="56">
        <f>+B54+B57</f>
        <v>0</v>
      </c>
      <c r="C58" s="56">
        <f t="shared" ref="C58:J58" si="11">+C54+C57</f>
        <v>282799.80000000028</v>
      </c>
      <c r="D58" s="56">
        <f t="shared" si="11"/>
        <v>117500</v>
      </c>
      <c r="E58" s="56">
        <f t="shared" si="11"/>
        <v>0</v>
      </c>
      <c r="F58" s="56">
        <f t="shared" si="11"/>
        <v>0</v>
      </c>
      <c r="G58" s="56">
        <f t="shared" si="11"/>
        <v>109530</v>
      </c>
      <c r="H58" s="56">
        <f t="shared" si="11"/>
        <v>0</v>
      </c>
      <c r="I58" s="56">
        <f t="shared" si="11"/>
        <v>10790</v>
      </c>
      <c r="J58" s="56">
        <f t="shared" si="11"/>
        <v>0</v>
      </c>
    </row>
    <row r="59" spans="1:10">
      <c r="A59" s="60"/>
      <c r="B59" s="56"/>
      <c r="C59" s="56"/>
      <c r="D59" s="56"/>
      <c r="E59" s="56"/>
      <c r="F59" s="56"/>
      <c r="G59" s="56"/>
      <c r="H59" s="56"/>
      <c r="I59" s="50"/>
      <c r="J59" s="50"/>
    </row>
    <row r="60" spans="1:10">
      <c r="A60" s="63" t="s">
        <v>46</v>
      </c>
      <c r="B60" s="58">
        <f>+SUM(B61:B69)</f>
        <v>1619836.98</v>
      </c>
      <c r="C60" s="58">
        <f t="shared" ref="C60:J60" si="12">+SUM(C61:C69)</f>
        <v>0</v>
      </c>
      <c r="D60" s="58">
        <f t="shared" si="12"/>
        <v>120553.27099999999</v>
      </c>
      <c r="E60" s="58">
        <f t="shared" si="12"/>
        <v>489115.79399999999</v>
      </c>
      <c r="F60" s="58">
        <f t="shared" si="12"/>
        <v>711944.76063559332</v>
      </c>
      <c r="G60" s="58">
        <f t="shared" si="12"/>
        <v>7795.3454999999985</v>
      </c>
      <c r="H60" s="58">
        <f t="shared" si="12"/>
        <v>5196.8969999999999</v>
      </c>
      <c r="I60" s="58">
        <f t="shared" si="12"/>
        <v>0</v>
      </c>
      <c r="J60" s="58">
        <f t="shared" si="12"/>
        <v>0</v>
      </c>
    </row>
    <row r="61" spans="1:10">
      <c r="A61" s="61" t="s">
        <v>47</v>
      </c>
      <c r="B61" s="56">
        <v>127584</v>
      </c>
      <c r="C61" s="56">
        <v>0</v>
      </c>
      <c r="D61" s="56">
        <v>0</v>
      </c>
      <c r="E61" s="56">
        <v>0</v>
      </c>
      <c r="F61" s="56">
        <v>87865.23</v>
      </c>
      <c r="G61" s="56">
        <v>0</v>
      </c>
      <c r="H61" s="56">
        <v>0</v>
      </c>
      <c r="I61" s="50">
        <v>0</v>
      </c>
      <c r="J61" s="50">
        <v>0</v>
      </c>
    </row>
    <row r="62" spans="1:10">
      <c r="A62" s="61" t="s">
        <v>48</v>
      </c>
      <c r="B62" s="56">
        <v>0</v>
      </c>
      <c r="C62" s="56">
        <v>0</v>
      </c>
      <c r="D62" s="56">
        <v>0</v>
      </c>
      <c r="E62" s="56">
        <v>478722</v>
      </c>
      <c r="F62" s="56">
        <v>0</v>
      </c>
      <c r="G62" s="56">
        <v>0</v>
      </c>
      <c r="H62" s="56">
        <v>0</v>
      </c>
      <c r="I62" s="50">
        <v>0</v>
      </c>
      <c r="J62" s="50">
        <v>0</v>
      </c>
    </row>
    <row r="63" spans="1:10">
      <c r="A63" s="61" t="s">
        <v>49</v>
      </c>
      <c r="B63" s="56">
        <v>682607</v>
      </c>
      <c r="C63" s="56">
        <v>0</v>
      </c>
      <c r="D63" s="56">
        <v>0</v>
      </c>
      <c r="E63" s="56">
        <v>0</v>
      </c>
      <c r="F63" s="56">
        <v>161087.28813559323</v>
      </c>
      <c r="G63" s="56">
        <v>0</v>
      </c>
      <c r="H63" s="56">
        <v>0</v>
      </c>
      <c r="I63" s="50">
        <v>0</v>
      </c>
      <c r="J63" s="50">
        <v>0</v>
      </c>
    </row>
    <row r="64" spans="1:10">
      <c r="A64" s="61" t="s">
        <v>50</v>
      </c>
      <c r="B64" s="56">
        <v>300000</v>
      </c>
      <c r="C64" s="56">
        <v>0</v>
      </c>
      <c r="D64" s="56">
        <v>0</v>
      </c>
      <c r="E64" s="56">
        <v>0</v>
      </c>
      <c r="F64" s="56">
        <v>150000</v>
      </c>
      <c r="G64" s="56">
        <v>0</v>
      </c>
      <c r="H64" s="56">
        <v>0</v>
      </c>
      <c r="I64" s="50">
        <v>0</v>
      </c>
      <c r="J64" s="50">
        <v>0</v>
      </c>
    </row>
    <row r="65" spans="1:10">
      <c r="A65" s="61" t="s">
        <v>51</v>
      </c>
      <c r="B65" s="56">
        <v>0</v>
      </c>
      <c r="C65" s="56">
        <v>0</v>
      </c>
      <c r="D65" s="56">
        <v>0</v>
      </c>
      <c r="E65" s="56">
        <v>0</v>
      </c>
      <c r="F65" s="56">
        <v>0</v>
      </c>
      <c r="G65" s="56">
        <v>0</v>
      </c>
      <c r="H65" s="56">
        <v>0</v>
      </c>
      <c r="I65" s="50">
        <v>0</v>
      </c>
      <c r="J65" s="50">
        <v>0</v>
      </c>
    </row>
    <row r="66" spans="1:10">
      <c r="A66" s="61" t="s">
        <v>52</v>
      </c>
      <c r="B66" s="56">
        <v>0</v>
      </c>
      <c r="C66" s="56">
        <v>0</v>
      </c>
      <c r="D66" s="56">
        <v>33450</v>
      </c>
      <c r="E66" s="56">
        <v>0</v>
      </c>
      <c r="F66" s="56">
        <v>0</v>
      </c>
      <c r="G66" s="56">
        <v>0</v>
      </c>
      <c r="H66" s="56">
        <v>0</v>
      </c>
      <c r="I66" s="50">
        <v>0</v>
      </c>
      <c r="J66" s="50">
        <v>0</v>
      </c>
    </row>
    <row r="67" spans="1:10">
      <c r="A67" s="61" t="s">
        <v>53</v>
      </c>
      <c r="B67" s="56">
        <v>475000</v>
      </c>
      <c r="C67" s="56">
        <v>0</v>
      </c>
      <c r="D67" s="56">
        <v>71512.58</v>
      </c>
      <c r="E67" s="56">
        <v>0</v>
      </c>
      <c r="F67" s="56">
        <v>300000</v>
      </c>
      <c r="G67" s="56">
        <v>0</v>
      </c>
      <c r="H67" s="56">
        <v>0</v>
      </c>
      <c r="I67" s="50">
        <v>0</v>
      </c>
      <c r="J67" s="50">
        <v>0</v>
      </c>
    </row>
    <row r="68" spans="1:10">
      <c r="A68" s="61" t="s">
        <v>54</v>
      </c>
      <c r="B68" s="56">
        <v>34645.980000000003</v>
      </c>
      <c r="C68" s="56">
        <v>0</v>
      </c>
      <c r="D68" s="56">
        <v>15590.690999999997</v>
      </c>
      <c r="E68" s="56">
        <v>10393.794</v>
      </c>
      <c r="F68" s="56">
        <v>12992.242499999998</v>
      </c>
      <c r="G68" s="56">
        <v>7795.3454999999985</v>
      </c>
      <c r="H68" s="56">
        <v>5196.8969999999999</v>
      </c>
      <c r="I68" s="50">
        <v>0</v>
      </c>
      <c r="J68" s="50">
        <v>0</v>
      </c>
    </row>
    <row r="69" spans="1:10">
      <c r="A69" s="61" t="s">
        <v>55</v>
      </c>
      <c r="B69" s="56">
        <v>0</v>
      </c>
      <c r="C69" s="56">
        <v>0</v>
      </c>
      <c r="D69" s="56">
        <v>0</v>
      </c>
      <c r="E69" s="56">
        <v>0</v>
      </c>
      <c r="F69" s="56">
        <v>0</v>
      </c>
      <c r="G69" s="56">
        <v>0</v>
      </c>
      <c r="H69" s="56">
        <v>0</v>
      </c>
      <c r="I69" s="50">
        <v>0</v>
      </c>
      <c r="J69" s="50">
        <v>0</v>
      </c>
    </row>
    <row r="70" spans="1:10">
      <c r="A70" s="64" t="s">
        <v>56</v>
      </c>
      <c r="B70" s="58">
        <f>+(B7/3.5%)+B8+B13+B29+B27+B49+B55+B60</f>
        <v>72833285.208714277</v>
      </c>
      <c r="C70" s="58">
        <f t="shared" ref="C70:J70" si="13">+(C7/3.5%)+C8+C13+C29+C27+C49+C55+C60</f>
        <v>1407079.8599999999</v>
      </c>
      <c r="D70" s="58">
        <f t="shared" si="13"/>
        <v>17315849.455590434</v>
      </c>
      <c r="E70" s="58">
        <f t="shared" si="13"/>
        <v>9189230.284</v>
      </c>
      <c r="F70" s="58">
        <f t="shared" si="13"/>
        <v>64314170.23706416</v>
      </c>
      <c r="G70" s="58">
        <f t="shared" si="13"/>
        <v>7965674.0003195861</v>
      </c>
      <c r="H70" s="58">
        <f t="shared" si="13"/>
        <v>1697718.1790000002</v>
      </c>
      <c r="I70" s="58">
        <f t="shared" si="13"/>
        <v>2199758.9380000001</v>
      </c>
      <c r="J70" s="58">
        <f t="shared" si="13"/>
        <v>151040.29199999999</v>
      </c>
    </row>
    <row r="71" spans="1:10">
      <c r="A71" s="64" t="s">
        <v>57</v>
      </c>
      <c r="B71" s="58">
        <f>+B6+B27+B47+B58+B60</f>
        <v>5874353.7429999989</v>
      </c>
      <c r="C71" s="58">
        <f t="shared" ref="C71:J71" si="14">+C6+C27+C47+C58+C60</f>
        <v>282799.80000000028</v>
      </c>
      <c r="D71" s="58">
        <f t="shared" si="14"/>
        <v>5873268.3965285849</v>
      </c>
      <c r="E71" s="58">
        <f t="shared" si="14"/>
        <v>2776401.4640000006</v>
      </c>
      <c r="F71" s="58">
        <f t="shared" si="14"/>
        <v>4086051.1656355932</v>
      </c>
      <c r="G71" s="58">
        <f t="shared" si="14"/>
        <v>2885096.5730565968</v>
      </c>
      <c r="H71" s="58">
        <f t="shared" si="14"/>
        <v>535219.09500000032</v>
      </c>
      <c r="I71" s="58">
        <f t="shared" si="14"/>
        <v>1032871.3419283959</v>
      </c>
      <c r="J71" s="58">
        <f t="shared" si="14"/>
        <v>-1091.3600000000151</v>
      </c>
    </row>
    <row r="72" spans="1:10">
      <c r="A72" s="65" t="s">
        <v>58</v>
      </c>
      <c r="B72" s="111">
        <f>IFERROR(B71/B70,0)</f>
        <v>8.065479575946892E-2</v>
      </c>
      <c r="C72" s="111">
        <f t="shared" ref="C72:J72" si="15">IFERROR(C71/C70,0)</f>
        <v>0.20098347509572079</v>
      </c>
      <c r="D72" s="111">
        <f t="shared" si="15"/>
        <v>0.33918453793396752</v>
      </c>
      <c r="E72" s="111">
        <f t="shared" si="15"/>
        <v>0.30213645519736121</v>
      </c>
      <c r="F72" s="111">
        <f t="shared" si="15"/>
        <v>6.3532673290726968E-2</v>
      </c>
      <c r="G72" s="111">
        <f t="shared" si="15"/>
        <v>0.36219114326557245</v>
      </c>
      <c r="H72" s="111">
        <f t="shared" si="15"/>
        <v>0.31525791596062086</v>
      </c>
      <c r="I72" s="111">
        <f t="shared" si="15"/>
        <v>0.46953842263619699</v>
      </c>
      <c r="J72" s="111">
        <f t="shared" si="15"/>
        <v>-7.2256216241955839E-3</v>
      </c>
    </row>
    <row r="73" spans="1:10">
      <c r="A73" s="60"/>
      <c r="B73" s="56"/>
      <c r="C73" s="56"/>
      <c r="D73" s="56"/>
      <c r="E73" s="56"/>
      <c r="F73" s="56"/>
      <c r="G73" s="56"/>
      <c r="H73" s="56"/>
      <c r="I73" s="50"/>
      <c r="J73" s="50"/>
    </row>
    <row r="74" spans="1:10">
      <c r="A74" s="60"/>
      <c r="B74" s="56"/>
      <c r="C74" s="56"/>
      <c r="D74" s="56"/>
      <c r="E74" s="56"/>
      <c r="F74" s="56"/>
      <c r="G74" s="56"/>
      <c r="H74" s="56"/>
      <c r="I74" s="50"/>
      <c r="J74" s="50"/>
    </row>
    <row r="75" spans="1:10" ht="17.25">
      <c r="A75" s="17" t="s">
        <v>59</v>
      </c>
      <c r="B75" s="67">
        <f>+B76+B87+B90</f>
        <v>1476399.7800000003</v>
      </c>
      <c r="C75" s="67">
        <f t="shared" ref="C75:J75" si="16">+C76+C87+C90</f>
        <v>0</v>
      </c>
      <c r="D75" s="67">
        <f t="shared" si="16"/>
        <v>261853.16200000004</v>
      </c>
      <c r="E75" s="67">
        <f t="shared" si="16"/>
        <v>128420.54900000003</v>
      </c>
      <c r="F75" s="67">
        <f t="shared" si="16"/>
        <v>548059.88</v>
      </c>
      <c r="G75" s="67">
        <f t="shared" si="16"/>
        <v>141381.12400000001</v>
      </c>
      <c r="H75" s="67">
        <f t="shared" si="16"/>
        <v>46117.824999999997</v>
      </c>
      <c r="I75" s="67">
        <f t="shared" si="16"/>
        <v>37142.42</v>
      </c>
      <c r="J75" s="67">
        <f t="shared" si="16"/>
        <v>0</v>
      </c>
    </row>
    <row r="76" spans="1:10">
      <c r="A76" s="66" t="s">
        <v>60</v>
      </c>
      <c r="B76" s="67">
        <f>+SUM(B77:B86)</f>
        <v>250813.34999999998</v>
      </c>
      <c r="C76" s="67">
        <f t="shared" ref="C76:J76" si="17">+SUM(C77:C86)</f>
        <v>0</v>
      </c>
      <c r="D76" s="67">
        <f t="shared" si="17"/>
        <v>0</v>
      </c>
      <c r="E76" s="67">
        <f t="shared" si="17"/>
        <v>9543</v>
      </c>
      <c r="F76" s="67">
        <f t="shared" si="17"/>
        <v>291923.93</v>
      </c>
      <c r="G76" s="67">
        <f t="shared" si="17"/>
        <v>0</v>
      </c>
      <c r="H76" s="67">
        <f t="shared" si="17"/>
        <v>0</v>
      </c>
      <c r="I76" s="67">
        <f t="shared" si="17"/>
        <v>0</v>
      </c>
      <c r="J76" s="67">
        <f t="shared" si="17"/>
        <v>0</v>
      </c>
    </row>
    <row r="77" spans="1:10">
      <c r="A77" s="61" t="s">
        <v>61</v>
      </c>
      <c r="B77" s="68">
        <v>82742.55</v>
      </c>
      <c r="C77" s="68">
        <v>0</v>
      </c>
      <c r="D77" s="68">
        <v>0</v>
      </c>
      <c r="E77" s="68">
        <v>0</v>
      </c>
      <c r="F77" s="68">
        <v>68748.929999999993</v>
      </c>
      <c r="G77" s="68">
        <v>0</v>
      </c>
      <c r="H77" s="68">
        <v>0</v>
      </c>
      <c r="I77" s="68">
        <v>0</v>
      </c>
      <c r="J77" s="68">
        <v>0</v>
      </c>
    </row>
    <row r="78" spans="1:10">
      <c r="A78" s="61" t="s">
        <v>62</v>
      </c>
      <c r="B78" s="68">
        <v>111697.75</v>
      </c>
      <c r="C78" s="68">
        <v>0</v>
      </c>
      <c r="D78" s="68">
        <v>0</v>
      </c>
      <c r="E78" s="68">
        <v>0</v>
      </c>
      <c r="F78" s="68">
        <v>155568.83000000002</v>
      </c>
      <c r="G78" s="68">
        <v>0</v>
      </c>
      <c r="H78" s="68">
        <v>0</v>
      </c>
      <c r="I78" s="68">
        <v>0</v>
      </c>
      <c r="J78" s="68">
        <v>0</v>
      </c>
    </row>
    <row r="79" spans="1:10">
      <c r="A79" s="61" t="s">
        <v>63</v>
      </c>
      <c r="B79" s="68">
        <v>0</v>
      </c>
      <c r="C79" s="68">
        <v>0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</row>
    <row r="80" spans="1:10">
      <c r="A80" s="61" t="s">
        <v>221</v>
      </c>
      <c r="B80" s="68">
        <v>52257.43</v>
      </c>
      <c r="C80" s="68">
        <v>0</v>
      </c>
      <c r="D80" s="68">
        <v>0</v>
      </c>
      <c r="E80" s="68">
        <v>0</v>
      </c>
      <c r="F80" s="68">
        <v>67606.17</v>
      </c>
      <c r="G80" s="68">
        <v>0</v>
      </c>
      <c r="H80" s="68">
        <v>0</v>
      </c>
      <c r="I80" s="68">
        <v>0</v>
      </c>
      <c r="J80" s="68">
        <v>0</v>
      </c>
    </row>
    <row r="81" spans="1:10">
      <c r="A81" s="61" t="s">
        <v>65</v>
      </c>
      <c r="B81" s="68">
        <v>0</v>
      </c>
      <c r="C81" s="68">
        <v>0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</row>
    <row r="82" spans="1:10">
      <c r="A82" s="61" t="s">
        <v>66</v>
      </c>
      <c r="B82" s="68">
        <v>0</v>
      </c>
      <c r="C82" s="68">
        <v>0</v>
      </c>
      <c r="D82" s="68">
        <v>0</v>
      </c>
      <c r="E82" s="68">
        <v>9543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</row>
    <row r="83" spans="1:10">
      <c r="A83" s="61" t="s">
        <v>67</v>
      </c>
      <c r="B83" s="68">
        <v>0</v>
      </c>
      <c r="C83" s="68">
        <v>0</v>
      </c>
      <c r="D83" s="68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</row>
    <row r="84" spans="1:10">
      <c r="A84" s="61" t="s">
        <v>68</v>
      </c>
      <c r="B84" s="68">
        <v>4115.62</v>
      </c>
      <c r="C84" s="68">
        <v>0</v>
      </c>
      <c r="D84" s="68">
        <v>0</v>
      </c>
      <c r="E84" s="68">
        <v>0</v>
      </c>
      <c r="F84" s="68">
        <v>0</v>
      </c>
      <c r="G84" s="68">
        <v>0</v>
      </c>
      <c r="H84" s="68">
        <v>0</v>
      </c>
      <c r="I84" s="68">
        <v>0</v>
      </c>
      <c r="J84" s="68">
        <v>0</v>
      </c>
    </row>
    <row r="85" spans="1:10">
      <c r="A85" s="61" t="s">
        <v>69</v>
      </c>
      <c r="B85" s="68">
        <v>0</v>
      </c>
      <c r="C85" s="68">
        <v>0</v>
      </c>
      <c r="D85" s="68">
        <v>0</v>
      </c>
      <c r="E85" s="68">
        <v>0</v>
      </c>
      <c r="F85" s="68">
        <v>0</v>
      </c>
      <c r="G85" s="68">
        <v>0</v>
      </c>
      <c r="H85" s="68">
        <v>0</v>
      </c>
      <c r="I85" s="68">
        <v>0</v>
      </c>
      <c r="J85" s="68">
        <v>0</v>
      </c>
    </row>
    <row r="86" spans="1:10">
      <c r="A86" s="61" t="s">
        <v>70</v>
      </c>
      <c r="B86" s="68">
        <v>0</v>
      </c>
      <c r="C86" s="68">
        <v>0</v>
      </c>
      <c r="D86" s="68">
        <v>0</v>
      </c>
      <c r="E86" s="68">
        <v>0</v>
      </c>
      <c r="F86" s="68">
        <v>0</v>
      </c>
      <c r="G86" s="68">
        <v>0</v>
      </c>
      <c r="H86" s="68">
        <v>0</v>
      </c>
      <c r="I86" s="68">
        <v>0</v>
      </c>
      <c r="J86" s="68">
        <v>0</v>
      </c>
    </row>
    <row r="87" spans="1:10">
      <c r="A87" s="66" t="s">
        <v>71</v>
      </c>
      <c r="B87" s="67">
        <f>+SUM(B88:B89)</f>
        <v>378632</v>
      </c>
      <c r="C87" s="67">
        <f t="shared" ref="C87:J87" si="18">+SUM(C88:C89)</f>
        <v>0</v>
      </c>
      <c r="D87" s="67">
        <f t="shared" si="18"/>
        <v>251341.16200000004</v>
      </c>
      <c r="E87" s="67">
        <f t="shared" si="18"/>
        <v>118877.54900000003</v>
      </c>
      <c r="F87" s="67">
        <f t="shared" si="18"/>
        <v>134205</v>
      </c>
      <c r="G87" s="67">
        <f t="shared" si="18"/>
        <v>132460.32400000002</v>
      </c>
      <c r="H87" s="67">
        <f t="shared" si="18"/>
        <v>43170.625</v>
      </c>
      <c r="I87" s="67">
        <f t="shared" si="18"/>
        <v>37142.42</v>
      </c>
      <c r="J87" s="67">
        <f t="shared" si="18"/>
        <v>0</v>
      </c>
    </row>
    <row r="88" spans="1:10">
      <c r="A88" s="61" t="s">
        <v>222</v>
      </c>
      <c r="B88" s="68">
        <v>378632</v>
      </c>
      <c r="C88" s="68">
        <v>0</v>
      </c>
      <c r="D88" s="68">
        <v>251341.16200000004</v>
      </c>
      <c r="E88" s="68">
        <v>118877.54900000003</v>
      </c>
      <c r="F88" s="68">
        <v>134205</v>
      </c>
      <c r="G88" s="68">
        <v>132460.32400000002</v>
      </c>
      <c r="H88" s="68">
        <v>43170.625</v>
      </c>
      <c r="I88" s="68">
        <v>37142.42</v>
      </c>
      <c r="J88" s="68">
        <v>0</v>
      </c>
    </row>
    <row r="89" spans="1:10">
      <c r="A89" s="61" t="s">
        <v>223</v>
      </c>
      <c r="B89" s="68"/>
      <c r="C89" s="68"/>
      <c r="D89" s="68"/>
      <c r="E89" s="68"/>
      <c r="F89" s="68"/>
      <c r="G89" s="68"/>
      <c r="H89" s="68"/>
      <c r="I89" s="68"/>
      <c r="J89" s="68"/>
    </row>
    <row r="90" spans="1:10">
      <c r="A90" s="66" t="s">
        <v>72</v>
      </c>
      <c r="B90" s="67">
        <f>+SUM(B91:B102)</f>
        <v>846954.43000000017</v>
      </c>
      <c r="C90" s="67">
        <f t="shared" ref="C90:J90" si="19">+SUM(C91:C102)</f>
        <v>0</v>
      </c>
      <c r="D90" s="67">
        <f t="shared" si="19"/>
        <v>10512</v>
      </c>
      <c r="E90" s="67">
        <f t="shared" si="19"/>
        <v>0</v>
      </c>
      <c r="F90" s="67">
        <f t="shared" si="19"/>
        <v>121930.94999999998</v>
      </c>
      <c r="G90" s="67">
        <f t="shared" si="19"/>
        <v>8920.7999999999993</v>
      </c>
      <c r="H90" s="67">
        <f t="shared" si="19"/>
        <v>2947.2000000000003</v>
      </c>
      <c r="I90" s="67">
        <f t="shared" si="19"/>
        <v>0</v>
      </c>
      <c r="J90" s="67">
        <f t="shared" si="19"/>
        <v>0</v>
      </c>
    </row>
    <row r="91" spans="1:10">
      <c r="A91" s="61" t="s">
        <v>224</v>
      </c>
      <c r="B91" s="68">
        <v>0</v>
      </c>
      <c r="C91" s="68">
        <v>0</v>
      </c>
      <c r="D91" s="68">
        <v>0</v>
      </c>
      <c r="E91" s="68">
        <v>0</v>
      </c>
      <c r="F91" s="68">
        <v>0</v>
      </c>
      <c r="G91" s="68">
        <v>0</v>
      </c>
      <c r="H91" s="68">
        <v>0</v>
      </c>
      <c r="I91" s="68">
        <v>0</v>
      </c>
      <c r="J91" s="68">
        <v>0</v>
      </c>
    </row>
    <row r="92" spans="1:10">
      <c r="A92" s="61" t="s">
        <v>73</v>
      </c>
      <c r="B92" s="68">
        <v>0</v>
      </c>
      <c r="C92" s="68">
        <v>0</v>
      </c>
      <c r="D92" s="68">
        <v>3900</v>
      </c>
      <c r="E92" s="68">
        <v>0</v>
      </c>
      <c r="F92" s="68">
        <v>0</v>
      </c>
      <c r="G92" s="68">
        <v>4500</v>
      </c>
      <c r="H92" s="68">
        <v>0</v>
      </c>
      <c r="I92" s="68">
        <v>0</v>
      </c>
      <c r="J92" s="68">
        <v>0</v>
      </c>
    </row>
    <row r="93" spans="1:10">
      <c r="A93" s="61" t="s">
        <v>74</v>
      </c>
      <c r="B93" s="68">
        <v>375575.28</v>
      </c>
      <c r="C93" s="68">
        <v>0</v>
      </c>
      <c r="D93" s="68">
        <v>0</v>
      </c>
      <c r="E93" s="68">
        <v>0</v>
      </c>
      <c r="F93" s="68">
        <v>21000</v>
      </c>
      <c r="G93" s="68">
        <v>0</v>
      </c>
      <c r="H93" s="68">
        <v>0</v>
      </c>
      <c r="I93" s="68">
        <v>0</v>
      </c>
      <c r="J93" s="68">
        <v>0</v>
      </c>
    </row>
    <row r="94" spans="1:10">
      <c r="A94" s="61" t="s">
        <v>75</v>
      </c>
      <c r="B94" s="68">
        <v>8000</v>
      </c>
      <c r="C94" s="68">
        <v>0</v>
      </c>
      <c r="D94" s="68">
        <v>0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</row>
    <row r="95" spans="1:10">
      <c r="A95" s="61" t="s">
        <v>76</v>
      </c>
      <c r="B95" s="68">
        <v>0</v>
      </c>
      <c r="C95" s="68">
        <v>0</v>
      </c>
      <c r="D95" s="68">
        <v>0</v>
      </c>
      <c r="E95" s="68">
        <v>0</v>
      </c>
      <c r="F95" s="68">
        <v>0</v>
      </c>
      <c r="G95" s="68">
        <v>0</v>
      </c>
      <c r="H95" s="68">
        <v>0</v>
      </c>
      <c r="I95" s="68">
        <v>0</v>
      </c>
      <c r="J95" s="68">
        <v>0</v>
      </c>
    </row>
    <row r="96" spans="1:10">
      <c r="A96" s="61" t="s">
        <v>77</v>
      </c>
      <c r="B96" s="68">
        <v>154334.81</v>
      </c>
      <c r="C96" s="68">
        <v>0</v>
      </c>
      <c r="D96" s="68">
        <v>0</v>
      </c>
      <c r="E96" s="68">
        <v>0</v>
      </c>
      <c r="F96" s="68">
        <v>14612</v>
      </c>
      <c r="G96" s="68">
        <v>0</v>
      </c>
      <c r="H96" s="68">
        <v>0</v>
      </c>
      <c r="I96" s="68">
        <v>0</v>
      </c>
      <c r="J96" s="68">
        <v>0</v>
      </c>
    </row>
    <row r="97" spans="1:10">
      <c r="A97" s="61" t="s">
        <v>78</v>
      </c>
      <c r="B97" s="68">
        <v>99313.919999999998</v>
      </c>
      <c r="C97" s="68">
        <v>0</v>
      </c>
      <c r="D97" s="68">
        <v>0</v>
      </c>
      <c r="E97" s="68">
        <v>0</v>
      </c>
      <c r="F97" s="68">
        <v>53312.12</v>
      </c>
      <c r="G97" s="68">
        <v>0</v>
      </c>
      <c r="H97" s="68">
        <v>0</v>
      </c>
      <c r="I97" s="68">
        <v>0</v>
      </c>
      <c r="J97" s="68">
        <v>0</v>
      </c>
    </row>
    <row r="98" spans="1:10">
      <c r="A98" s="61" t="s">
        <v>79</v>
      </c>
      <c r="B98" s="68">
        <v>193984.42</v>
      </c>
      <c r="C98" s="68">
        <v>0</v>
      </c>
      <c r="D98" s="68">
        <v>0</v>
      </c>
      <c r="E98" s="68">
        <v>0</v>
      </c>
      <c r="F98" s="68">
        <v>19428.759999999998</v>
      </c>
      <c r="G98" s="68">
        <v>0</v>
      </c>
      <c r="H98" s="68">
        <v>0</v>
      </c>
      <c r="I98" s="68">
        <v>0</v>
      </c>
      <c r="J98" s="68">
        <v>0</v>
      </c>
    </row>
    <row r="99" spans="1:10">
      <c r="A99" s="61" t="s">
        <v>80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</row>
    <row r="100" spans="1:10">
      <c r="A100" s="61" t="s">
        <v>81</v>
      </c>
      <c r="B100" s="68">
        <v>0</v>
      </c>
      <c r="C100" s="68">
        <v>0</v>
      </c>
      <c r="D100" s="68">
        <v>0</v>
      </c>
      <c r="E100" s="68">
        <v>0</v>
      </c>
      <c r="F100" s="68">
        <v>0</v>
      </c>
      <c r="G100" s="68">
        <v>0</v>
      </c>
      <c r="H100" s="68">
        <v>0</v>
      </c>
      <c r="I100" s="68">
        <v>0</v>
      </c>
      <c r="J100" s="68">
        <v>0</v>
      </c>
    </row>
    <row r="101" spans="1:10">
      <c r="A101" s="61" t="s">
        <v>82</v>
      </c>
      <c r="B101" s="68">
        <v>0</v>
      </c>
      <c r="C101" s="68">
        <v>0</v>
      </c>
      <c r="D101" s="68">
        <v>0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</row>
    <row r="102" spans="1:10">
      <c r="A102" s="61" t="s">
        <v>83</v>
      </c>
      <c r="B102" s="68">
        <v>15746</v>
      </c>
      <c r="C102" s="68">
        <v>0</v>
      </c>
      <c r="D102" s="68">
        <v>6612</v>
      </c>
      <c r="E102" s="68">
        <v>0</v>
      </c>
      <c r="F102" s="68">
        <v>13578.07</v>
      </c>
      <c r="G102" s="68">
        <v>4420.8</v>
      </c>
      <c r="H102" s="68">
        <v>2947.2000000000003</v>
      </c>
      <c r="I102" s="68">
        <v>0</v>
      </c>
      <c r="J102" s="68">
        <v>0</v>
      </c>
    </row>
    <row r="103" spans="1:10">
      <c r="A103" s="61"/>
      <c r="B103" s="68"/>
      <c r="C103" s="68"/>
      <c r="D103" s="68"/>
      <c r="E103" s="68"/>
      <c r="F103" s="68"/>
      <c r="G103" s="68"/>
      <c r="H103" s="68"/>
      <c r="I103" s="69"/>
      <c r="J103" s="69"/>
    </row>
    <row r="104" spans="1:10" ht="17.25">
      <c r="A104" s="70" t="s">
        <v>84</v>
      </c>
      <c r="B104" s="67">
        <f>+SUM(B105:B113)</f>
        <v>533635.24599999993</v>
      </c>
      <c r="C104" s="67">
        <f t="shared" ref="C104:J104" si="20">+SUM(C105:C113)</f>
        <v>0</v>
      </c>
      <c r="D104" s="67">
        <f t="shared" si="20"/>
        <v>50400.82</v>
      </c>
      <c r="E104" s="67">
        <f t="shared" si="20"/>
        <v>12360</v>
      </c>
      <c r="F104" s="67">
        <f t="shared" si="20"/>
        <v>343740.16400000005</v>
      </c>
      <c r="G104" s="67">
        <f t="shared" si="20"/>
        <v>11198</v>
      </c>
      <c r="H104" s="67">
        <f t="shared" si="20"/>
        <v>6180</v>
      </c>
      <c r="I104" s="67">
        <f t="shared" si="20"/>
        <v>3700</v>
      </c>
      <c r="J104" s="67">
        <f t="shared" si="20"/>
        <v>0</v>
      </c>
    </row>
    <row r="105" spans="1:10">
      <c r="A105" s="61" t="s">
        <v>85</v>
      </c>
      <c r="B105" s="68">
        <v>11569.163999999999</v>
      </c>
      <c r="C105" s="68">
        <v>0</v>
      </c>
      <c r="D105" s="68">
        <v>0</v>
      </c>
      <c r="E105" s="68">
        <v>0</v>
      </c>
      <c r="F105" s="68">
        <v>7712.7759999999998</v>
      </c>
      <c r="G105" s="68">
        <v>1928</v>
      </c>
      <c r="H105" s="68">
        <v>0</v>
      </c>
      <c r="I105" s="68">
        <v>0</v>
      </c>
      <c r="J105" s="68">
        <v>0</v>
      </c>
    </row>
    <row r="106" spans="1:10">
      <c r="A106" s="61" t="s">
        <v>86</v>
      </c>
      <c r="B106" s="68">
        <v>235478.48199999999</v>
      </c>
      <c r="C106" s="68">
        <v>0</v>
      </c>
      <c r="D106" s="68">
        <v>50400.82</v>
      </c>
      <c r="E106" s="68">
        <v>12360</v>
      </c>
      <c r="F106" s="68">
        <v>144968.98800000001</v>
      </c>
      <c r="G106" s="68">
        <v>9270</v>
      </c>
      <c r="H106" s="68">
        <v>6180</v>
      </c>
      <c r="I106" s="68">
        <v>0</v>
      </c>
      <c r="J106" s="68">
        <v>0</v>
      </c>
    </row>
    <row r="107" spans="1:10">
      <c r="A107" s="61" t="s">
        <v>87</v>
      </c>
      <c r="B107" s="68">
        <v>0</v>
      </c>
      <c r="C107" s="68">
        <v>0</v>
      </c>
      <c r="D107" s="68">
        <v>0</v>
      </c>
      <c r="E107" s="68">
        <v>0</v>
      </c>
      <c r="F107" s="68">
        <v>0</v>
      </c>
      <c r="G107" s="68">
        <v>0</v>
      </c>
      <c r="H107" s="68">
        <v>0</v>
      </c>
      <c r="I107" s="68">
        <v>0</v>
      </c>
      <c r="J107" s="68">
        <v>0</v>
      </c>
    </row>
    <row r="108" spans="1:10">
      <c r="A108" s="61" t="s">
        <v>88</v>
      </c>
      <c r="B108" s="68">
        <v>137250</v>
      </c>
      <c r="C108" s="68">
        <v>0</v>
      </c>
      <c r="D108" s="68">
        <v>0</v>
      </c>
      <c r="E108" s="68">
        <v>0</v>
      </c>
      <c r="F108" s="68">
        <v>91500</v>
      </c>
      <c r="G108" s="68">
        <v>0</v>
      </c>
      <c r="H108" s="68">
        <v>0</v>
      </c>
      <c r="I108" s="68">
        <v>0</v>
      </c>
      <c r="J108" s="68">
        <v>0</v>
      </c>
    </row>
    <row r="109" spans="1:10">
      <c r="A109" s="61" t="s">
        <v>89</v>
      </c>
      <c r="B109" s="68">
        <v>3480</v>
      </c>
      <c r="C109" s="68">
        <v>0</v>
      </c>
      <c r="D109" s="68">
        <v>0</v>
      </c>
      <c r="E109" s="68">
        <v>0</v>
      </c>
      <c r="F109" s="68">
        <v>2320</v>
      </c>
      <c r="G109" s="68">
        <v>0</v>
      </c>
      <c r="H109" s="68">
        <v>0</v>
      </c>
      <c r="I109" s="68">
        <v>0</v>
      </c>
      <c r="J109" s="68">
        <v>0</v>
      </c>
    </row>
    <row r="110" spans="1:10">
      <c r="A110" s="61" t="s">
        <v>90</v>
      </c>
      <c r="B110" s="68">
        <v>145857.60000000001</v>
      </c>
      <c r="C110" s="68">
        <v>0</v>
      </c>
      <c r="D110" s="68">
        <v>0</v>
      </c>
      <c r="E110" s="68">
        <v>0</v>
      </c>
      <c r="F110" s="68">
        <v>97238.400000000009</v>
      </c>
      <c r="G110" s="68">
        <v>0</v>
      </c>
      <c r="H110" s="68">
        <v>0</v>
      </c>
      <c r="I110" s="68">
        <v>0</v>
      </c>
      <c r="J110" s="68">
        <v>0</v>
      </c>
    </row>
    <row r="111" spans="1:10">
      <c r="A111" s="61" t="s">
        <v>91</v>
      </c>
      <c r="B111" s="68">
        <v>0</v>
      </c>
      <c r="C111" s="68">
        <v>0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</row>
    <row r="112" spans="1:10">
      <c r="A112" s="61" t="s">
        <v>92</v>
      </c>
      <c r="B112" s="68">
        <v>0</v>
      </c>
      <c r="C112" s="68">
        <v>0</v>
      </c>
      <c r="D112" s="68">
        <v>0</v>
      </c>
      <c r="E112" s="68">
        <v>0</v>
      </c>
      <c r="F112" s="68">
        <v>0</v>
      </c>
      <c r="G112" s="68">
        <v>0</v>
      </c>
      <c r="H112" s="68">
        <v>0</v>
      </c>
      <c r="I112" s="68">
        <v>3700</v>
      </c>
      <c r="J112" s="68">
        <v>0</v>
      </c>
    </row>
    <row r="113" spans="1:10">
      <c r="A113" s="61" t="s">
        <v>225</v>
      </c>
      <c r="B113" s="68">
        <v>0</v>
      </c>
      <c r="C113" s="68">
        <v>0</v>
      </c>
      <c r="D113" s="68">
        <v>0</v>
      </c>
      <c r="E113" s="68">
        <v>0</v>
      </c>
      <c r="F113" s="68">
        <v>0</v>
      </c>
      <c r="G113" s="68">
        <v>0</v>
      </c>
      <c r="H113" s="68">
        <v>0</v>
      </c>
      <c r="I113" s="68">
        <v>0</v>
      </c>
      <c r="J113" s="68">
        <v>0</v>
      </c>
    </row>
    <row r="114" spans="1:10">
      <c r="A114" s="60"/>
      <c r="B114" s="68"/>
      <c r="C114" s="68"/>
      <c r="D114" s="68"/>
      <c r="E114" s="68"/>
      <c r="F114" s="68"/>
      <c r="G114" s="68"/>
      <c r="H114" s="68"/>
      <c r="I114" s="69"/>
      <c r="J114" s="69"/>
    </row>
    <row r="115" spans="1:10" ht="17.25">
      <c r="A115" s="71" t="s">
        <v>211</v>
      </c>
      <c r="B115" s="67">
        <f>+B116+B129+B133+B138+B146+B150</f>
        <v>3204931.7815972758</v>
      </c>
      <c r="C115" s="67">
        <f t="shared" ref="C115:J115" si="21">+C116+C129+C133+C138+C146+C150</f>
        <v>36950</v>
      </c>
      <c r="D115" s="67">
        <f t="shared" si="21"/>
        <v>1844369.3631461805</v>
      </c>
      <c r="E115" s="67">
        <f t="shared" si="21"/>
        <v>425751.74025335471</v>
      </c>
      <c r="F115" s="67">
        <f t="shared" si="21"/>
        <v>1143792.7576108975</v>
      </c>
      <c r="G115" s="67">
        <f t="shared" si="21"/>
        <v>820956.9362956516</v>
      </c>
      <c r="H115" s="67">
        <f t="shared" si="21"/>
        <v>116379.80234126069</v>
      </c>
      <c r="I115" s="67">
        <f t="shared" si="21"/>
        <v>500220.06410256412</v>
      </c>
      <c r="J115" s="67">
        <f t="shared" si="21"/>
        <v>107845.04807692308</v>
      </c>
    </row>
    <row r="116" spans="1:10">
      <c r="A116" s="72" t="s">
        <v>94</v>
      </c>
      <c r="B116" s="67">
        <f>+SUM(B117:B128)</f>
        <v>2727351.9947972759</v>
      </c>
      <c r="C116" s="67">
        <f t="shared" ref="C116:J116" si="22">+SUM(C117:C128)</f>
        <v>36950</v>
      </c>
      <c r="D116" s="67">
        <f t="shared" si="22"/>
        <v>1471242.927919514</v>
      </c>
      <c r="E116" s="67">
        <f t="shared" si="22"/>
        <v>313575.22121335473</v>
      </c>
      <c r="F116" s="67">
        <f t="shared" si="22"/>
        <v>917389.98547756404</v>
      </c>
      <c r="G116" s="67">
        <f t="shared" si="22"/>
        <v>666986.73034898494</v>
      </c>
      <c r="H116" s="67">
        <f t="shared" si="22"/>
        <v>57096.692821260687</v>
      </c>
      <c r="I116" s="67">
        <f t="shared" si="22"/>
        <v>352175.06410256412</v>
      </c>
      <c r="J116" s="67">
        <f t="shared" si="22"/>
        <v>93380.048076923078</v>
      </c>
    </row>
    <row r="117" spans="1:10">
      <c r="A117" s="61" t="s">
        <v>95</v>
      </c>
      <c r="B117" s="68">
        <v>1110500</v>
      </c>
      <c r="C117" s="68">
        <v>15000</v>
      </c>
      <c r="D117" s="68">
        <v>571975.80000000005</v>
      </c>
      <c r="E117" s="68">
        <v>92848.2</v>
      </c>
      <c r="F117" s="68">
        <v>375400</v>
      </c>
      <c r="G117" s="68">
        <v>268727</v>
      </c>
      <c r="H117" s="68">
        <v>17400</v>
      </c>
      <c r="I117" s="68">
        <v>159000</v>
      </c>
      <c r="J117" s="68">
        <v>41250</v>
      </c>
    </row>
    <row r="118" spans="1:10">
      <c r="A118" s="61" t="s">
        <v>96</v>
      </c>
      <c r="B118" s="68">
        <v>139265</v>
      </c>
      <c r="C118" s="68">
        <v>2500</v>
      </c>
      <c r="D118" s="68">
        <v>85674</v>
      </c>
      <c r="E118" s="68">
        <v>16323</v>
      </c>
      <c r="F118" s="68">
        <v>57450</v>
      </c>
      <c r="G118" s="68">
        <v>44906</v>
      </c>
      <c r="H118" s="68">
        <v>2620</v>
      </c>
      <c r="I118" s="68">
        <v>22750</v>
      </c>
      <c r="J118" s="68">
        <v>6150</v>
      </c>
    </row>
    <row r="119" spans="1:10">
      <c r="A119" s="61" t="s">
        <v>97</v>
      </c>
      <c r="B119" s="68">
        <v>31500</v>
      </c>
      <c r="C119" s="68">
        <v>0</v>
      </c>
      <c r="D119" s="68">
        <v>1500</v>
      </c>
      <c r="E119" s="68">
        <v>2500</v>
      </c>
      <c r="F119" s="68">
        <v>9000</v>
      </c>
      <c r="G119" s="68">
        <v>3000</v>
      </c>
      <c r="H119" s="68">
        <v>0</v>
      </c>
      <c r="I119" s="68">
        <v>0</v>
      </c>
      <c r="J119" s="68">
        <v>0</v>
      </c>
    </row>
    <row r="120" spans="1:10">
      <c r="A120" s="61" t="s">
        <v>98</v>
      </c>
      <c r="B120" s="68">
        <v>383573</v>
      </c>
      <c r="C120" s="68">
        <v>4000</v>
      </c>
      <c r="D120" s="68">
        <v>197986.8</v>
      </c>
      <c r="E120" s="68">
        <v>32030.2</v>
      </c>
      <c r="F120" s="68">
        <v>125200</v>
      </c>
      <c r="G120" s="68">
        <v>98498</v>
      </c>
      <c r="H120" s="68">
        <v>5680</v>
      </c>
      <c r="I120" s="68">
        <v>62300</v>
      </c>
      <c r="J120" s="68">
        <v>16500</v>
      </c>
    </row>
    <row r="121" spans="1:10">
      <c r="A121" s="61" t="s">
        <v>99</v>
      </c>
      <c r="B121" s="68">
        <v>82183</v>
      </c>
      <c r="C121" s="68">
        <v>0</v>
      </c>
      <c r="D121" s="68">
        <v>38772.800000000003</v>
      </c>
      <c r="E121" s="68">
        <v>4073.2</v>
      </c>
      <c r="F121" s="68">
        <v>34500</v>
      </c>
      <c r="G121" s="68">
        <v>25026</v>
      </c>
      <c r="H121" s="68">
        <v>2400</v>
      </c>
      <c r="I121" s="68">
        <v>13400</v>
      </c>
      <c r="J121" s="68">
        <v>0</v>
      </c>
    </row>
    <row r="122" spans="1:10">
      <c r="A122" s="61" t="s">
        <v>100</v>
      </c>
      <c r="B122" s="68">
        <v>46050</v>
      </c>
      <c r="C122" s="68">
        <v>500</v>
      </c>
      <c r="D122" s="68">
        <v>19050</v>
      </c>
      <c r="E122" s="68">
        <v>2000</v>
      </c>
      <c r="F122" s="68">
        <v>8350</v>
      </c>
      <c r="G122" s="68">
        <v>12940</v>
      </c>
      <c r="H122" s="68">
        <v>1500</v>
      </c>
      <c r="I122" s="68">
        <v>2500</v>
      </c>
      <c r="J122" s="68">
        <v>0</v>
      </c>
    </row>
    <row r="123" spans="1:10">
      <c r="A123" s="61" t="s">
        <v>101</v>
      </c>
      <c r="B123" s="68">
        <v>602662</v>
      </c>
      <c r="C123" s="68">
        <v>13000</v>
      </c>
      <c r="D123" s="68">
        <v>281292.2</v>
      </c>
      <c r="E123" s="68">
        <v>52121.8</v>
      </c>
      <c r="F123" s="68">
        <v>179400</v>
      </c>
      <c r="G123" s="68">
        <v>116376</v>
      </c>
      <c r="H123" s="68">
        <v>7400</v>
      </c>
      <c r="I123" s="68">
        <v>54050</v>
      </c>
      <c r="J123" s="68">
        <v>18600</v>
      </c>
    </row>
    <row r="124" spans="1:10">
      <c r="A124" s="61" t="s">
        <v>102</v>
      </c>
      <c r="B124" s="68">
        <v>107556.71915625001</v>
      </c>
      <c r="C124" s="68">
        <v>1950</v>
      </c>
      <c r="D124" s="68">
        <v>74658.494586180561</v>
      </c>
      <c r="E124" s="68">
        <v>14646.494290277777</v>
      </c>
      <c r="F124" s="68">
        <v>43454.504708333327</v>
      </c>
      <c r="G124" s="68">
        <v>35293.217528472225</v>
      </c>
      <c r="H124" s="68">
        <v>2286.8210263888886</v>
      </c>
      <c r="I124" s="68">
        <v>18806.666666666668</v>
      </c>
      <c r="J124" s="68">
        <v>5646.875</v>
      </c>
    </row>
    <row r="125" spans="1:10">
      <c r="A125" s="61" t="s">
        <v>103</v>
      </c>
      <c r="B125" s="68">
        <v>4821.25</v>
      </c>
      <c r="C125" s="68">
        <v>0</v>
      </c>
      <c r="D125" s="68">
        <v>6992</v>
      </c>
      <c r="E125" s="68">
        <v>1866.75</v>
      </c>
      <c r="F125" s="68">
        <v>2066.25</v>
      </c>
      <c r="G125" s="68">
        <v>3752.5</v>
      </c>
      <c r="H125" s="68">
        <v>0</v>
      </c>
      <c r="I125" s="68">
        <v>807.5</v>
      </c>
      <c r="J125" s="68">
        <v>0</v>
      </c>
    </row>
    <row r="126" spans="1:10">
      <c r="A126" s="61" t="s">
        <v>104</v>
      </c>
      <c r="B126" s="68">
        <v>104600</v>
      </c>
      <c r="C126" s="68">
        <v>0</v>
      </c>
      <c r="D126" s="68">
        <v>122670</v>
      </c>
      <c r="E126" s="68">
        <v>81780</v>
      </c>
      <c r="F126" s="68">
        <v>39225</v>
      </c>
      <c r="G126" s="68">
        <v>23535</v>
      </c>
      <c r="H126" s="68">
        <v>15690</v>
      </c>
      <c r="I126" s="68">
        <v>0</v>
      </c>
      <c r="J126" s="68">
        <v>0</v>
      </c>
    </row>
    <row r="127" spans="1:10">
      <c r="A127" s="61" t="s">
        <v>105</v>
      </c>
      <c r="B127" s="68">
        <v>54057.692307692305</v>
      </c>
      <c r="C127" s="68">
        <v>0</v>
      </c>
      <c r="D127" s="68">
        <v>28437.499999999996</v>
      </c>
      <c r="E127" s="68">
        <v>5110.5769230769229</v>
      </c>
      <c r="F127" s="68">
        <v>18769.230769230773</v>
      </c>
      <c r="G127" s="68">
        <v>14716.346153846156</v>
      </c>
      <c r="H127" s="68">
        <v>836.53846153846155</v>
      </c>
      <c r="I127" s="68">
        <v>7644.2307692307695</v>
      </c>
      <c r="J127" s="68">
        <v>1983.1730769230771</v>
      </c>
    </row>
    <row r="128" spans="1:10">
      <c r="A128" s="61" t="s">
        <v>226</v>
      </c>
      <c r="B128" s="68">
        <v>60583.333333333343</v>
      </c>
      <c r="C128" s="68">
        <v>0</v>
      </c>
      <c r="D128" s="68">
        <v>42233.333333333328</v>
      </c>
      <c r="E128" s="68">
        <v>8274.9999999999982</v>
      </c>
      <c r="F128" s="68">
        <v>24574.999999999996</v>
      </c>
      <c r="G128" s="68">
        <v>20216.666666666664</v>
      </c>
      <c r="H128" s="68">
        <v>1283.3333333333333</v>
      </c>
      <c r="I128" s="68">
        <v>10916.666666666664</v>
      </c>
      <c r="J128" s="68">
        <v>3250</v>
      </c>
    </row>
    <row r="129" spans="1:10">
      <c r="A129" s="72" t="s">
        <v>106</v>
      </c>
      <c r="B129" s="67">
        <f>+SUM(B130:B132)</f>
        <v>0</v>
      </c>
      <c r="C129" s="67">
        <f t="shared" ref="C129:J129" si="23">+SUM(C130:C132)</f>
        <v>0</v>
      </c>
      <c r="D129" s="67">
        <f t="shared" si="23"/>
        <v>0</v>
      </c>
      <c r="E129" s="67">
        <f t="shared" si="23"/>
        <v>0</v>
      </c>
      <c r="F129" s="67">
        <f t="shared" si="23"/>
        <v>0</v>
      </c>
      <c r="G129" s="67">
        <f t="shared" si="23"/>
        <v>0</v>
      </c>
      <c r="H129" s="67">
        <f t="shared" si="23"/>
        <v>0</v>
      </c>
      <c r="I129" s="67">
        <f t="shared" si="23"/>
        <v>0</v>
      </c>
      <c r="J129" s="67">
        <f t="shared" si="23"/>
        <v>0</v>
      </c>
    </row>
    <row r="130" spans="1:10">
      <c r="A130" s="61" t="s">
        <v>107</v>
      </c>
      <c r="B130" s="68">
        <v>0</v>
      </c>
      <c r="C130" s="68">
        <v>0</v>
      </c>
      <c r="D130" s="68">
        <v>0</v>
      </c>
      <c r="E130" s="68">
        <v>0</v>
      </c>
      <c r="F130" s="68">
        <v>0</v>
      </c>
      <c r="G130" s="68">
        <v>0</v>
      </c>
      <c r="H130" s="68">
        <v>0</v>
      </c>
      <c r="I130" s="68">
        <v>0</v>
      </c>
      <c r="J130" s="68">
        <v>0</v>
      </c>
    </row>
    <row r="131" spans="1:10">
      <c r="A131" s="61" t="s">
        <v>108</v>
      </c>
      <c r="B131" s="68">
        <v>0</v>
      </c>
      <c r="C131" s="68">
        <v>0</v>
      </c>
      <c r="D131" s="68">
        <v>0</v>
      </c>
      <c r="E131" s="68">
        <v>0</v>
      </c>
      <c r="F131" s="68">
        <v>0</v>
      </c>
      <c r="G131" s="68">
        <v>0</v>
      </c>
      <c r="H131" s="68">
        <v>0</v>
      </c>
      <c r="I131" s="68">
        <v>0</v>
      </c>
      <c r="J131" s="68">
        <v>0</v>
      </c>
    </row>
    <row r="132" spans="1:10">
      <c r="A132" s="61" t="s">
        <v>109</v>
      </c>
      <c r="B132" s="68">
        <v>0</v>
      </c>
      <c r="C132" s="68">
        <v>0</v>
      </c>
      <c r="D132" s="68">
        <v>0</v>
      </c>
      <c r="E132" s="68">
        <v>0</v>
      </c>
      <c r="F132" s="68">
        <v>0</v>
      </c>
      <c r="G132" s="68">
        <v>0</v>
      </c>
      <c r="H132" s="68">
        <v>0</v>
      </c>
      <c r="I132" s="68">
        <v>0</v>
      </c>
      <c r="J132" s="68">
        <v>0</v>
      </c>
    </row>
    <row r="133" spans="1:10">
      <c r="A133" s="72" t="s">
        <v>110</v>
      </c>
      <c r="B133" s="67">
        <f>+SUM(B134:B137)</f>
        <v>112241.54000000001</v>
      </c>
      <c r="C133" s="67">
        <f t="shared" ref="C133:J133" si="24">+SUM(C134:C137)</f>
        <v>0</v>
      </c>
      <c r="D133" s="67">
        <f t="shared" si="24"/>
        <v>115013.92</v>
      </c>
      <c r="E133" s="67">
        <f t="shared" si="24"/>
        <v>33919.119999999995</v>
      </c>
      <c r="F133" s="67">
        <f t="shared" si="24"/>
        <v>73385.69</v>
      </c>
      <c r="G133" s="67">
        <f t="shared" si="24"/>
        <v>28111.89</v>
      </c>
      <c r="H133" s="67">
        <f t="shared" si="24"/>
        <v>6193.26</v>
      </c>
      <c r="I133" s="67">
        <f t="shared" si="24"/>
        <v>4900</v>
      </c>
      <c r="J133" s="67">
        <f t="shared" si="24"/>
        <v>0</v>
      </c>
    </row>
    <row r="134" spans="1:10">
      <c r="A134" s="61" t="s">
        <v>111</v>
      </c>
      <c r="B134" s="68">
        <v>0</v>
      </c>
      <c r="C134" s="68">
        <v>0</v>
      </c>
      <c r="D134" s="68">
        <v>0</v>
      </c>
      <c r="E134" s="68">
        <v>0</v>
      </c>
      <c r="F134" s="68">
        <v>0</v>
      </c>
      <c r="G134" s="68">
        <v>0</v>
      </c>
      <c r="H134" s="68">
        <v>0</v>
      </c>
      <c r="I134" s="68">
        <v>0</v>
      </c>
      <c r="J134" s="68">
        <v>0</v>
      </c>
    </row>
    <row r="135" spans="1:10">
      <c r="A135" s="61" t="s">
        <v>112</v>
      </c>
      <c r="B135" s="68">
        <v>112241.54000000001</v>
      </c>
      <c r="C135" s="68">
        <v>0</v>
      </c>
      <c r="D135" s="68">
        <v>115013.92</v>
      </c>
      <c r="E135" s="68">
        <v>33919.119999999995</v>
      </c>
      <c r="F135" s="68">
        <v>73385.69</v>
      </c>
      <c r="G135" s="68">
        <v>28111.89</v>
      </c>
      <c r="H135" s="68">
        <v>6193.26</v>
      </c>
      <c r="I135" s="68">
        <v>4900</v>
      </c>
      <c r="J135" s="68">
        <v>0</v>
      </c>
    </row>
    <row r="136" spans="1:10">
      <c r="A136" s="61" t="s">
        <v>113</v>
      </c>
      <c r="B136" s="68">
        <v>0</v>
      </c>
      <c r="C136" s="68">
        <v>0</v>
      </c>
      <c r="D136" s="68">
        <v>0</v>
      </c>
      <c r="E136" s="68">
        <v>0</v>
      </c>
      <c r="F136" s="68">
        <v>0</v>
      </c>
      <c r="G136" s="68">
        <v>0</v>
      </c>
      <c r="H136" s="68">
        <v>0</v>
      </c>
      <c r="I136" s="68">
        <v>0</v>
      </c>
      <c r="J136" s="68">
        <v>0</v>
      </c>
    </row>
    <row r="137" spans="1:10">
      <c r="A137" s="61" t="s">
        <v>114</v>
      </c>
      <c r="B137" s="68">
        <v>0</v>
      </c>
      <c r="C137" s="68">
        <v>0</v>
      </c>
      <c r="D137" s="68">
        <v>0</v>
      </c>
      <c r="E137" s="68">
        <v>0</v>
      </c>
      <c r="F137" s="68">
        <v>0</v>
      </c>
      <c r="G137" s="68">
        <v>0</v>
      </c>
      <c r="H137" s="68">
        <v>0</v>
      </c>
      <c r="I137" s="68">
        <v>0</v>
      </c>
      <c r="J137" s="68">
        <v>0</v>
      </c>
    </row>
    <row r="138" spans="1:10">
      <c r="A138" s="72" t="s">
        <v>115</v>
      </c>
      <c r="B138" s="67">
        <f>+SUM(B139:B145)</f>
        <v>92969.246799999994</v>
      </c>
      <c r="C138" s="67">
        <f t="shared" ref="C138:J138" si="25">+SUM(C139:C145)</f>
        <v>0</v>
      </c>
      <c r="D138" s="67">
        <f t="shared" si="25"/>
        <v>138852.31522666666</v>
      </c>
      <c r="E138" s="67">
        <f t="shared" si="25"/>
        <v>29882.599040000001</v>
      </c>
      <c r="F138" s="67">
        <f t="shared" si="25"/>
        <v>82805.58213333333</v>
      </c>
      <c r="G138" s="67">
        <f t="shared" si="25"/>
        <v>48870.215946666664</v>
      </c>
      <c r="H138" s="67">
        <f t="shared" si="25"/>
        <v>29032.449520000002</v>
      </c>
      <c r="I138" s="67">
        <f t="shared" si="25"/>
        <v>28490</v>
      </c>
      <c r="J138" s="67">
        <f t="shared" si="25"/>
        <v>14465</v>
      </c>
    </row>
    <row r="139" spans="1:10">
      <c r="A139" s="61" t="s">
        <v>116</v>
      </c>
      <c r="B139" s="68">
        <v>29079.596799999999</v>
      </c>
      <c r="C139" s="68">
        <v>0</v>
      </c>
      <c r="D139" s="68">
        <v>14715.81856</v>
      </c>
      <c r="E139" s="68">
        <v>8723.8790399999998</v>
      </c>
      <c r="F139" s="68">
        <v>10904.8488</v>
      </c>
      <c r="G139" s="68">
        <v>6542.9092799999999</v>
      </c>
      <c r="H139" s="68">
        <v>4361.9395199999999</v>
      </c>
      <c r="I139" s="68">
        <v>0</v>
      </c>
      <c r="J139" s="68">
        <v>0</v>
      </c>
    </row>
    <row r="140" spans="1:10">
      <c r="A140" s="61" t="s">
        <v>117</v>
      </c>
      <c r="B140" s="68">
        <v>27360.400000000001</v>
      </c>
      <c r="C140" s="68">
        <v>0</v>
      </c>
      <c r="D140" s="68">
        <v>45143.88</v>
      </c>
      <c r="E140" s="68">
        <v>1297.92</v>
      </c>
      <c r="F140" s="68">
        <v>22428.9</v>
      </c>
      <c r="G140" s="68">
        <v>14375.140000000001</v>
      </c>
      <c r="H140" s="68">
        <v>4988.76</v>
      </c>
      <c r="I140" s="68">
        <v>10490</v>
      </c>
      <c r="J140" s="68">
        <v>0</v>
      </c>
    </row>
    <row r="141" spans="1:10">
      <c r="A141" s="61" t="s">
        <v>227</v>
      </c>
      <c r="B141" s="68">
        <v>0</v>
      </c>
      <c r="C141" s="68">
        <v>0</v>
      </c>
      <c r="D141" s="68">
        <v>29791.199999999997</v>
      </c>
      <c r="E141" s="68">
        <v>19860.800000000003</v>
      </c>
      <c r="F141" s="68">
        <v>22500</v>
      </c>
      <c r="G141" s="68">
        <v>13500</v>
      </c>
      <c r="H141" s="68">
        <v>9000</v>
      </c>
      <c r="I141" s="68">
        <v>18000</v>
      </c>
      <c r="J141" s="68">
        <v>12000</v>
      </c>
    </row>
    <row r="142" spans="1:10">
      <c r="A142" s="61" t="s">
        <v>228</v>
      </c>
      <c r="B142" s="68">
        <v>0</v>
      </c>
      <c r="C142" s="68">
        <v>0</v>
      </c>
      <c r="D142" s="68">
        <v>0</v>
      </c>
      <c r="E142" s="68">
        <v>0</v>
      </c>
      <c r="F142" s="68">
        <v>0</v>
      </c>
      <c r="G142" s="68">
        <v>0</v>
      </c>
      <c r="H142" s="68">
        <v>0</v>
      </c>
      <c r="I142" s="68">
        <v>0</v>
      </c>
      <c r="J142" s="68">
        <v>0</v>
      </c>
    </row>
    <row r="143" spans="1:10">
      <c r="A143" s="61" t="s">
        <v>118</v>
      </c>
      <c r="B143" s="68">
        <v>0</v>
      </c>
      <c r="C143" s="68">
        <v>0</v>
      </c>
      <c r="D143" s="68">
        <v>0</v>
      </c>
      <c r="E143" s="68">
        <v>0</v>
      </c>
      <c r="F143" s="68">
        <v>0</v>
      </c>
      <c r="G143" s="68">
        <v>0</v>
      </c>
      <c r="H143" s="68">
        <v>0</v>
      </c>
      <c r="I143" s="68">
        <v>0</v>
      </c>
      <c r="J143" s="68">
        <v>0</v>
      </c>
    </row>
    <row r="144" spans="1:10">
      <c r="A144" s="61" t="s">
        <v>119</v>
      </c>
      <c r="B144" s="68">
        <v>36529.25</v>
      </c>
      <c r="C144" s="68">
        <v>0</v>
      </c>
      <c r="D144" s="68">
        <v>49201.416666666664</v>
      </c>
      <c r="E144" s="68">
        <v>0</v>
      </c>
      <c r="F144" s="68">
        <v>26971.833333333332</v>
      </c>
      <c r="G144" s="68">
        <v>14452.166666666666</v>
      </c>
      <c r="H144" s="68">
        <v>10681.75</v>
      </c>
      <c r="I144" s="68">
        <v>0</v>
      </c>
      <c r="J144" s="68">
        <v>2465</v>
      </c>
    </row>
    <row r="145" spans="1:10">
      <c r="A145" s="61" t="s">
        <v>120</v>
      </c>
      <c r="B145" s="68">
        <v>0</v>
      </c>
      <c r="C145" s="68">
        <v>0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</row>
    <row r="146" spans="1:10">
      <c r="A146" s="72" t="s">
        <v>121</v>
      </c>
      <c r="B146" s="67">
        <f>+SUM(B147:B149)</f>
        <v>133366</v>
      </c>
      <c r="C146" s="67">
        <f t="shared" ref="C146:J146" si="26">+SUM(C147:C149)</f>
        <v>0</v>
      </c>
      <c r="D146" s="67">
        <f t="shared" si="26"/>
        <v>36776</v>
      </c>
      <c r="E146" s="67">
        <f t="shared" si="26"/>
        <v>0</v>
      </c>
      <c r="F146" s="67">
        <f t="shared" si="26"/>
        <v>10068</v>
      </c>
      <c r="G146" s="67">
        <f t="shared" si="26"/>
        <v>40902</v>
      </c>
      <c r="H146" s="67">
        <f t="shared" si="26"/>
        <v>0</v>
      </c>
      <c r="I146" s="67">
        <f t="shared" si="26"/>
        <v>8757</v>
      </c>
      <c r="J146" s="67">
        <f t="shared" si="26"/>
        <v>0</v>
      </c>
    </row>
    <row r="147" spans="1:10">
      <c r="A147" s="61" t="s">
        <v>122</v>
      </c>
      <c r="B147" s="68">
        <v>0</v>
      </c>
      <c r="C147" s="68">
        <v>0</v>
      </c>
      <c r="D147" s="68">
        <v>0</v>
      </c>
      <c r="E147" s="68">
        <v>0</v>
      </c>
      <c r="F147" s="68">
        <v>0</v>
      </c>
      <c r="G147" s="68">
        <v>0</v>
      </c>
      <c r="H147" s="68">
        <v>0</v>
      </c>
      <c r="I147" s="68">
        <v>0</v>
      </c>
      <c r="J147" s="68">
        <v>0</v>
      </c>
    </row>
    <row r="148" spans="1:10">
      <c r="A148" s="61" t="s">
        <v>123</v>
      </c>
      <c r="B148" s="68">
        <v>133366</v>
      </c>
      <c r="C148" s="68">
        <v>0</v>
      </c>
      <c r="D148" s="68">
        <v>36776</v>
      </c>
      <c r="E148" s="68">
        <v>0</v>
      </c>
      <c r="F148" s="68">
        <v>10068</v>
      </c>
      <c r="G148" s="68">
        <v>40902</v>
      </c>
      <c r="H148" s="68">
        <v>0</v>
      </c>
      <c r="I148" s="68">
        <v>8757</v>
      </c>
      <c r="J148" s="68">
        <v>0</v>
      </c>
    </row>
    <row r="149" spans="1:10">
      <c r="A149" s="61" t="s">
        <v>124</v>
      </c>
      <c r="B149" s="68">
        <v>0</v>
      </c>
      <c r="C149" s="68">
        <v>0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</row>
    <row r="150" spans="1:10">
      <c r="A150" s="72" t="s">
        <v>125</v>
      </c>
      <c r="B150" s="67">
        <f>+SUM(B151:B154)</f>
        <v>139003</v>
      </c>
      <c r="C150" s="67">
        <f t="shared" ref="C150:J150" si="27">+SUM(C151:C154)</f>
        <v>0</v>
      </c>
      <c r="D150" s="67">
        <f t="shared" si="27"/>
        <v>82484.2</v>
      </c>
      <c r="E150" s="67">
        <f t="shared" si="27"/>
        <v>48374.8</v>
      </c>
      <c r="F150" s="67">
        <f t="shared" si="27"/>
        <v>60143.5</v>
      </c>
      <c r="G150" s="67">
        <f t="shared" si="27"/>
        <v>36086.1</v>
      </c>
      <c r="H150" s="67">
        <f t="shared" si="27"/>
        <v>24057.4</v>
      </c>
      <c r="I150" s="67">
        <f t="shared" si="27"/>
        <v>105898</v>
      </c>
      <c r="J150" s="67">
        <f t="shared" si="27"/>
        <v>0</v>
      </c>
    </row>
    <row r="151" spans="1:10">
      <c r="A151" s="61" t="s">
        <v>126</v>
      </c>
      <c r="B151" s="68">
        <v>61481</v>
      </c>
      <c r="C151" s="68">
        <v>0</v>
      </c>
      <c r="D151" s="68">
        <v>51562.2</v>
      </c>
      <c r="E151" s="68">
        <v>34374.800000000003</v>
      </c>
      <c r="F151" s="68">
        <v>39288</v>
      </c>
      <c r="G151" s="68">
        <v>23572.799999999999</v>
      </c>
      <c r="H151" s="68">
        <v>15715.2</v>
      </c>
      <c r="I151" s="68">
        <v>82637</v>
      </c>
      <c r="J151" s="68">
        <v>0</v>
      </c>
    </row>
    <row r="152" spans="1:10">
      <c r="A152" s="61" t="s">
        <v>229</v>
      </c>
      <c r="B152" s="68">
        <v>9922</v>
      </c>
      <c r="C152" s="68">
        <v>0</v>
      </c>
      <c r="D152" s="68">
        <v>9922</v>
      </c>
      <c r="E152" s="68">
        <v>0</v>
      </c>
      <c r="F152" s="68">
        <v>2480.5</v>
      </c>
      <c r="G152" s="68">
        <v>1488.3</v>
      </c>
      <c r="H152" s="68">
        <v>992.2</v>
      </c>
      <c r="I152" s="68">
        <v>4961</v>
      </c>
      <c r="J152" s="68">
        <v>0</v>
      </c>
    </row>
    <row r="153" spans="1:10">
      <c r="A153" s="61" t="s">
        <v>127</v>
      </c>
      <c r="B153" s="68">
        <v>67000</v>
      </c>
      <c r="C153" s="68">
        <v>0</v>
      </c>
      <c r="D153" s="68">
        <v>21000</v>
      </c>
      <c r="E153" s="68">
        <v>14000</v>
      </c>
      <c r="F153" s="68">
        <v>17500</v>
      </c>
      <c r="G153" s="68">
        <v>10500</v>
      </c>
      <c r="H153" s="68">
        <v>7000</v>
      </c>
      <c r="I153" s="68">
        <v>18000</v>
      </c>
      <c r="J153" s="68">
        <v>0</v>
      </c>
    </row>
    <row r="154" spans="1:10">
      <c r="A154" s="61" t="s">
        <v>128</v>
      </c>
      <c r="B154" s="68">
        <v>600</v>
      </c>
      <c r="C154" s="68">
        <v>0</v>
      </c>
      <c r="D154" s="68">
        <v>0</v>
      </c>
      <c r="E154" s="68">
        <v>0</v>
      </c>
      <c r="F154" s="68">
        <v>875</v>
      </c>
      <c r="G154" s="68">
        <v>525</v>
      </c>
      <c r="H154" s="68">
        <v>350</v>
      </c>
      <c r="I154" s="68">
        <v>300</v>
      </c>
      <c r="J154" s="68">
        <v>0</v>
      </c>
    </row>
    <row r="155" spans="1:10">
      <c r="A155" s="60"/>
      <c r="B155" s="68"/>
      <c r="C155" s="68"/>
      <c r="D155" s="68"/>
      <c r="E155" s="68"/>
      <c r="F155" s="68"/>
      <c r="G155" s="68"/>
      <c r="H155" s="68"/>
      <c r="I155" s="69"/>
      <c r="J155" s="69"/>
    </row>
    <row r="156" spans="1:10" ht="17.25">
      <c r="A156" s="71" t="s">
        <v>129</v>
      </c>
      <c r="B156" s="67">
        <f>+B157+B164+B172+B178+B182+B187+B193+B205+B209+B214</f>
        <v>834932.87599999993</v>
      </c>
      <c r="C156" s="67">
        <f t="shared" ref="C156:J156" si="28">+C157+C164+C172+C178+C182+C187+C193+C205+C209+C214</f>
        <v>0.01</v>
      </c>
      <c r="D156" s="67">
        <f t="shared" si="28"/>
        <v>913744.60720000009</v>
      </c>
      <c r="E156" s="67">
        <f t="shared" si="28"/>
        <v>361026.53480000002</v>
      </c>
      <c r="F156" s="67">
        <f t="shared" si="28"/>
        <v>476707.77100000007</v>
      </c>
      <c r="G156" s="67">
        <f t="shared" si="28"/>
        <v>240367.13860000001</v>
      </c>
      <c r="H156" s="67">
        <f t="shared" si="28"/>
        <v>113563.9124</v>
      </c>
      <c r="I156" s="67">
        <f t="shared" si="28"/>
        <v>746179</v>
      </c>
      <c r="J156" s="67">
        <f t="shared" si="28"/>
        <v>179250</v>
      </c>
    </row>
    <row r="157" spans="1:10">
      <c r="A157" s="72" t="s">
        <v>130</v>
      </c>
      <c r="B157" s="67">
        <f>+SUM(B158:B162)</f>
        <v>15087.380000000001</v>
      </c>
      <c r="C157" s="67">
        <f t="shared" ref="C157:J157" si="29">+SUM(C158:C162)</f>
        <v>0</v>
      </c>
      <c r="D157" s="67">
        <f t="shared" si="29"/>
        <v>51786.68</v>
      </c>
      <c r="E157" s="67">
        <f t="shared" si="29"/>
        <v>15918.75</v>
      </c>
      <c r="F157" s="67">
        <f t="shared" si="29"/>
        <v>2590.2799999999997</v>
      </c>
      <c r="G157" s="67">
        <f t="shared" si="29"/>
        <v>12554.168</v>
      </c>
      <c r="H157" s="67">
        <f t="shared" si="29"/>
        <v>1036.1120000000001</v>
      </c>
      <c r="I157" s="67">
        <f t="shared" si="29"/>
        <v>31850</v>
      </c>
      <c r="J157" s="67">
        <f t="shared" si="29"/>
        <v>0</v>
      </c>
    </row>
    <row r="158" spans="1:10">
      <c r="A158" s="61" t="s">
        <v>131</v>
      </c>
      <c r="B158" s="68">
        <v>0</v>
      </c>
      <c r="C158" s="68">
        <v>0</v>
      </c>
      <c r="D158" s="68">
        <v>0</v>
      </c>
      <c r="E158" s="68">
        <v>0</v>
      </c>
      <c r="F158" s="68">
        <v>0</v>
      </c>
      <c r="G158" s="68">
        <v>0</v>
      </c>
      <c r="H158" s="68">
        <v>0</v>
      </c>
      <c r="I158" s="68">
        <v>0</v>
      </c>
      <c r="J158" s="68">
        <v>0</v>
      </c>
    </row>
    <row r="159" spans="1:10">
      <c r="A159" s="61" t="s">
        <v>132</v>
      </c>
      <c r="B159" s="68">
        <v>3350</v>
      </c>
      <c r="C159" s="68">
        <v>0</v>
      </c>
      <c r="D159" s="68">
        <v>254.24</v>
      </c>
      <c r="E159" s="68">
        <v>0</v>
      </c>
      <c r="F159" s="68">
        <v>0</v>
      </c>
      <c r="G159" s="68">
        <v>0</v>
      </c>
      <c r="H159" s="68">
        <v>0</v>
      </c>
      <c r="I159" s="68">
        <v>0</v>
      </c>
      <c r="J159" s="68">
        <v>0</v>
      </c>
    </row>
    <row r="160" spans="1:10">
      <c r="A160" s="61" t="s">
        <v>133</v>
      </c>
      <c r="B160" s="68">
        <v>847.22</v>
      </c>
      <c r="C160" s="68">
        <v>0</v>
      </c>
      <c r="D160" s="68">
        <v>680.56</v>
      </c>
      <c r="E160" s="68">
        <v>0</v>
      </c>
      <c r="F160" s="68">
        <v>340.28</v>
      </c>
      <c r="G160" s="68">
        <v>204.16799999999998</v>
      </c>
      <c r="H160" s="68">
        <v>136.11199999999999</v>
      </c>
      <c r="I160" s="68">
        <v>0</v>
      </c>
      <c r="J160" s="68">
        <v>0</v>
      </c>
    </row>
    <row r="161" spans="1:10">
      <c r="A161" s="61" t="s">
        <v>134</v>
      </c>
      <c r="B161" s="68">
        <v>1249.99</v>
      </c>
      <c r="C161" s="68">
        <v>0</v>
      </c>
      <c r="D161" s="68">
        <v>39516.67</v>
      </c>
      <c r="E161" s="68">
        <v>15918.75</v>
      </c>
      <c r="F161" s="68">
        <v>0</v>
      </c>
      <c r="G161" s="68">
        <v>11000</v>
      </c>
      <c r="H161" s="68">
        <v>0</v>
      </c>
      <c r="I161" s="68">
        <v>0</v>
      </c>
      <c r="J161" s="68">
        <v>0</v>
      </c>
    </row>
    <row r="162" spans="1:10">
      <c r="A162" s="61" t="s">
        <v>135</v>
      </c>
      <c r="B162" s="68">
        <v>9640.17</v>
      </c>
      <c r="C162" s="68">
        <v>0</v>
      </c>
      <c r="D162" s="68">
        <v>11335.21</v>
      </c>
      <c r="E162" s="68">
        <v>0</v>
      </c>
      <c r="F162" s="68">
        <v>2250</v>
      </c>
      <c r="G162" s="68">
        <v>1350</v>
      </c>
      <c r="H162" s="68">
        <v>900</v>
      </c>
      <c r="I162" s="68">
        <v>31850</v>
      </c>
      <c r="J162" s="68">
        <v>0</v>
      </c>
    </row>
    <row r="163" spans="1:10">
      <c r="A163" s="60"/>
      <c r="B163" s="68"/>
      <c r="C163" s="68"/>
      <c r="D163" s="68"/>
      <c r="E163" s="68"/>
      <c r="F163" s="68"/>
      <c r="G163" s="68"/>
      <c r="H163" s="68"/>
      <c r="I163" s="69"/>
      <c r="J163" s="69"/>
    </row>
    <row r="164" spans="1:10">
      <c r="A164" s="72" t="s">
        <v>136</v>
      </c>
      <c r="B164" s="67">
        <f>+SUM(B165:B171)</f>
        <v>63607.19</v>
      </c>
      <c r="C164" s="67">
        <f t="shared" ref="C164:J164" si="30">+SUM(C165:C171)</f>
        <v>0</v>
      </c>
      <c r="D164" s="67">
        <f t="shared" si="30"/>
        <v>51265.673999999999</v>
      </c>
      <c r="E164" s="67">
        <f t="shared" si="30"/>
        <v>5963.576</v>
      </c>
      <c r="F164" s="67">
        <f t="shared" si="30"/>
        <v>129687.52</v>
      </c>
      <c r="G164" s="67">
        <f t="shared" si="30"/>
        <v>19670.52</v>
      </c>
      <c r="H164" s="67">
        <f t="shared" si="30"/>
        <v>0</v>
      </c>
      <c r="I164" s="67">
        <f t="shared" si="30"/>
        <v>23688.559999999998</v>
      </c>
      <c r="J164" s="67">
        <f t="shared" si="30"/>
        <v>0</v>
      </c>
    </row>
    <row r="165" spans="1:10">
      <c r="A165" s="61" t="s">
        <v>137</v>
      </c>
      <c r="B165" s="68">
        <v>18829.2</v>
      </c>
      <c r="C165" s="68">
        <v>0</v>
      </c>
      <c r="D165" s="68">
        <v>15513.933999999997</v>
      </c>
      <c r="E165" s="68">
        <v>5963.576</v>
      </c>
      <c r="F165" s="68">
        <v>0</v>
      </c>
      <c r="G165" s="68">
        <v>2642.07</v>
      </c>
      <c r="H165" s="68">
        <v>0</v>
      </c>
      <c r="I165" s="68">
        <v>0</v>
      </c>
      <c r="J165" s="68">
        <v>0</v>
      </c>
    </row>
    <row r="166" spans="1:10">
      <c r="A166" s="61" t="s">
        <v>138</v>
      </c>
      <c r="B166" s="68">
        <v>0</v>
      </c>
      <c r="C166" s="68">
        <v>0</v>
      </c>
      <c r="D166" s="68">
        <v>30749.519999999997</v>
      </c>
      <c r="E166" s="68">
        <v>0</v>
      </c>
      <c r="F166" s="68">
        <v>0</v>
      </c>
      <c r="G166" s="68">
        <v>17028.45</v>
      </c>
      <c r="H166" s="68">
        <v>0</v>
      </c>
      <c r="I166" s="68">
        <v>9162</v>
      </c>
      <c r="J166" s="68">
        <v>0</v>
      </c>
    </row>
    <row r="167" spans="1:10">
      <c r="A167" s="61" t="s">
        <v>139</v>
      </c>
      <c r="B167" s="68">
        <v>0</v>
      </c>
      <c r="C167" s="68">
        <v>0</v>
      </c>
      <c r="D167" s="68">
        <v>0</v>
      </c>
      <c r="E167" s="68">
        <v>0</v>
      </c>
      <c r="F167" s="68">
        <v>0</v>
      </c>
      <c r="G167" s="68">
        <v>0</v>
      </c>
      <c r="H167" s="68">
        <v>0</v>
      </c>
      <c r="I167" s="68">
        <v>0</v>
      </c>
      <c r="J167" s="68">
        <v>0</v>
      </c>
    </row>
    <row r="168" spans="1:10">
      <c r="A168" s="61" t="s">
        <v>140</v>
      </c>
      <c r="B168" s="68">
        <v>44777.99</v>
      </c>
      <c r="C168" s="68">
        <v>0</v>
      </c>
      <c r="D168" s="68">
        <v>5002.22</v>
      </c>
      <c r="E168" s="68">
        <v>0</v>
      </c>
      <c r="F168" s="68">
        <v>129687.52</v>
      </c>
      <c r="G168" s="68">
        <v>0</v>
      </c>
      <c r="H168" s="68">
        <v>0</v>
      </c>
      <c r="I168" s="68">
        <v>14526.56</v>
      </c>
      <c r="J168" s="68">
        <v>0</v>
      </c>
    </row>
    <row r="169" spans="1:10">
      <c r="A169" s="61" t="s">
        <v>141</v>
      </c>
      <c r="B169" s="68">
        <v>0</v>
      </c>
      <c r="C169" s="68">
        <v>0</v>
      </c>
      <c r="D169" s="68">
        <v>0</v>
      </c>
      <c r="E169" s="68">
        <v>0</v>
      </c>
      <c r="F169" s="68">
        <v>0</v>
      </c>
      <c r="G169" s="68">
        <v>0</v>
      </c>
      <c r="H169" s="68">
        <v>0</v>
      </c>
      <c r="I169" s="68">
        <v>0</v>
      </c>
      <c r="J169" s="68">
        <v>0</v>
      </c>
    </row>
    <row r="170" spans="1:10">
      <c r="A170" s="61" t="s">
        <v>142</v>
      </c>
      <c r="B170" s="68">
        <v>0</v>
      </c>
      <c r="C170" s="68">
        <v>0</v>
      </c>
      <c r="D170" s="68">
        <v>0</v>
      </c>
      <c r="E170" s="68">
        <v>0</v>
      </c>
      <c r="F170" s="68">
        <v>0</v>
      </c>
      <c r="G170" s="68">
        <v>0</v>
      </c>
      <c r="H170" s="68">
        <v>0</v>
      </c>
      <c r="I170" s="68">
        <v>0</v>
      </c>
      <c r="J170" s="68">
        <v>0</v>
      </c>
    </row>
    <row r="171" spans="1:10">
      <c r="A171" s="61" t="s">
        <v>143</v>
      </c>
      <c r="B171" s="68">
        <v>0</v>
      </c>
      <c r="C171" s="68">
        <v>0</v>
      </c>
      <c r="D171" s="68">
        <v>0</v>
      </c>
      <c r="E171" s="68">
        <v>0</v>
      </c>
      <c r="F171" s="68">
        <v>0</v>
      </c>
      <c r="G171" s="68">
        <v>0</v>
      </c>
      <c r="H171" s="68">
        <v>0</v>
      </c>
      <c r="I171" s="68">
        <v>0</v>
      </c>
      <c r="J171" s="68">
        <v>0</v>
      </c>
    </row>
    <row r="172" spans="1:10">
      <c r="A172" s="72" t="s">
        <v>144</v>
      </c>
      <c r="B172" s="67">
        <f>+SUM(B173:B177)</f>
        <v>27717.601999999999</v>
      </c>
      <c r="C172" s="67">
        <f t="shared" ref="C172:J172" si="31">+SUM(C173:C177)</f>
        <v>0</v>
      </c>
      <c r="D172" s="67">
        <f t="shared" si="31"/>
        <v>199130.47940000001</v>
      </c>
      <c r="E172" s="67">
        <f t="shared" si="31"/>
        <v>23225.279600000002</v>
      </c>
      <c r="F172" s="67">
        <f t="shared" si="31"/>
        <v>20371.879499999999</v>
      </c>
      <c r="G172" s="67">
        <f t="shared" si="31"/>
        <v>12223.127699999999</v>
      </c>
      <c r="H172" s="67">
        <f t="shared" si="31"/>
        <v>8148.7518</v>
      </c>
      <c r="I172" s="67">
        <f t="shared" si="31"/>
        <v>0</v>
      </c>
      <c r="J172" s="67">
        <f t="shared" si="31"/>
        <v>0</v>
      </c>
    </row>
    <row r="173" spans="1:10">
      <c r="A173" s="61" t="s">
        <v>145</v>
      </c>
      <c r="B173" s="68">
        <v>20150</v>
      </c>
      <c r="C173" s="68">
        <v>0</v>
      </c>
      <c r="D173" s="68">
        <v>32700</v>
      </c>
      <c r="E173" s="68">
        <v>21800</v>
      </c>
      <c r="F173" s="68">
        <v>18000</v>
      </c>
      <c r="G173" s="68">
        <v>10800</v>
      </c>
      <c r="H173" s="68">
        <v>7200</v>
      </c>
      <c r="I173" s="68">
        <v>0</v>
      </c>
      <c r="J173" s="68">
        <v>0</v>
      </c>
    </row>
    <row r="174" spans="1:10">
      <c r="A174" s="61" t="s">
        <v>146</v>
      </c>
      <c r="B174" s="68">
        <v>0</v>
      </c>
      <c r="C174" s="68">
        <v>0</v>
      </c>
      <c r="D174" s="68">
        <v>0</v>
      </c>
      <c r="E174" s="68">
        <v>0</v>
      </c>
      <c r="F174" s="68">
        <v>0</v>
      </c>
      <c r="G174" s="68">
        <v>0</v>
      </c>
      <c r="H174" s="68">
        <v>0</v>
      </c>
      <c r="I174" s="68">
        <v>0</v>
      </c>
      <c r="J174" s="68">
        <v>0</v>
      </c>
    </row>
    <row r="175" spans="1:10">
      <c r="A175" s="61" t="s">
        <v>230</v>
      </c>
      <c r="B175" s="68">
        <v>0</v>
      </c>
      <c r="C175" s="68">
        <v>0</v>
      </c>
      <c r="D175" s="68">
        <v>124641</v>
      </c>
      <c r="E175" s="68">
        <v>0</v>
      </c>
      <c r="F175" s="68">
        <v>0</v>
      </c>
      <c r="G175" s="68">
        <v>0</v>
      </c>
      <c r="H175" s="68">
        <v>0</v>
      </c>
      <c r="I175" s="68">
        <v>0</v>
      </c>
      <c r="J175" s="68">
        <v>0</v>
      </c>
    </row>
    <row r="176" spans="1:10">
      <c r="A176" s="61" t="s">
        <v>231</v>
      </c>
      <c r="B176" s="68">
        <v>0</v>
      </c>
      <c r="C176" s="68">
        <v>0</v>
      </c>
      <c r="D176" s="68">
        <v>38471</v>
      </c>
      <c r="E176" s="68">
        <v>0</v>
      </c>
      <c r="F176" s="68">
        <v>0</v>
      </c>
      <c r="G176" s="68">
        <v>0</v>
      </c>
      <c r="H176" s="68">
        <v>0</v>
      </c>
      <c r="I176" s="68">
        <v>0</v>
      </c>
      <c r="J176" s="68">
        <v>0</v>
      </c>
    </row>
    <row r="177" spans="1:10">
      <c r="A177" s="61" t="s">
        <v>232</v>
      </c>
      <c r="B177" s="68">
        <v>7567.6019999999999</v>
      </c>
      <c r="C177" s="68">
        <v>0</v>
      </c>
      <c r="D177" s="68">
        <v>3318.4793999999974</v>
      </c>
      <c r="E177" s="68">
        <v>1425.2796000000001</v>
      </c>
      <c r="F177" s="68">
        <v>2371.8795</v>
      </c>
      <c r="G177" s="68">
        <v>1423.1276999999998</v>
      </c>
      <c r="H177" s="68">
        <v>948.7518</v>
      </c>
      <c r="I177" s="68">
        <v>0</v>
      </c>
      <c r="J177" s="68">
        <v>0</v>
      </c>
    </row>
    <row r="178" spans="1:10">
      <c r="A178" s="72" t="s">
        <v>147</v>
      </c>
      <c r="B178" s="67">
        <f>+SUM(B179:B181)</f>
        <v>208107</v>
      </c>
      <c r="C178" s="67">
        <f t="shared" ref="C178:J178" si="32">+SUM(C179:C181)</f>
        <v>0</v>
      </c>
      <c r="D178" s="67">
        <f t="shared" si="32"/>
        <v>117575.124</v>
      </c>
      <c r="E178" s="67">
        <f t="shared" si="32"/>
        <v>75477.415999999997</v>
      </c>
      <c r="F178" s="67">
        <f t="shared" si="32"/>
        <v>84965</v>
      </c>
      <c r="G178" s="67">
        <f t="shared" si="32"/>
        <v>83163.240000000005</v>
      </c>
      <c r="H178" s="67">
        <f t="shared" si="32"/>
        <v>33986</v>
      </c>
      <c r="I178" s="67">
        <f t="shared" si="32"/>
        <v>324617</v>
      </c>
      <c r="J178" s="67">
        <f t="shared" si="32"/>
        <v>0</v>
      </c>
    </row>
    <row r="179" spans="1:10">
      <c r="A179" s="61" t="s">
        <v>148</v>
      </c>
      <c r="B179" s="68">
        <v>207452</v>
      </c>
      <c r="C179" s="68">
        <v>0</v>
      </c>
      <c r="D179" s="68">
        <v>104862</v>
      </c>
      <c r="E179" s="68">
        <v>67002</v>
      </c>
      <c r="F179" s="68">
        <v>84965</v>
      </c>
      <c r="G179" s="68">
        <v>54382</v>
      </c>
      <c r="H179" s="68">
        <v>33986</v>
      </c>
      <c r="I179" s="68">
        <v>8350</v>
      </c>
      <c r="J179" s="68">
        <v>0</v>
      </c>
    </row>
    <row r="180" spans="1:10">
      <c r="A180" s="61" t="s">
        <v>149</v>
      </c>
      <c r="B180" s="68">
        <v>0</v>
      </c>
      <c r="C180" s="68">
        <v>0</v>
      </c>
      <c r="D180" s="68">
        <v>12713.124</v>
      </c>
      <c r="E180" s="68">
        <v>8475.4160000000011</v>
      </c>
      <c r="F180" s="68">
        <v>0</v>
      </c>
      <c r="G180" s="68">
        <v>28781.24</v>
      </c>
      <c r="H180" s="68">
        <v>0</v>
      </c>
      <c r="I180" s="68">
        <v>316267</v>
      </c>
      <c r="J180" s="68">
        <v>0</v>
      </c>
    </row>
    <row r="181" spans="1:10">
      <c r="A181" s="61" t="s">
        <v>150</v>
      </c>
      <c r="B181" s="68">
        <v>655</v>
      </c>
      <c r="C181" s="68">
        <v>0</v>
      </c>
      <c r="D181" s="68">
        <v>0</v>
      </c>
      <c r="E181" s="68">
        <v>0</v>
      </c>
      <c r="F181" s="68">
        <v>0</v>
      </c>
      <c r="G181" s="68">
        <v>0</v>
      </c>
      <c r="H181" s="68">
        <v>0</v>
      </c>
      <c r="I181" s="68">
        <v>0</v>
      </c>
      <c r="J181" s="68">
        <v>0</v>
      </c>
    </row>
    <row r="182" spans="1:10">
      <c r="A182" s="72" t="s">
        <v>151</v>
      </c>
      <c r="B182" s="67">
        <f>+SUM(B183:B186)</f>
        <v>68517.046000000002</v>
      </c>
      <c r="C182" s="67">
        <f t="shared" ref="C182:J182" si="33">+SUM(C183:C186)</f>
        <v>0</v>
      </c>
      <c r="D182" s="67">
        <f t="shared" si="33"/>
        <v>19623.387199999997</v>
      </c>
      <c r="E182" s="67">
        <f t="shared" si="33"/>
        <v>2496.2048</v>
      </c>
      <c r="F182" s="67">
        <f t="shared" si="33"/>
        <v>11815.546</v>
      </c>
      <c r="G182" s="67">
        <f t="shared" si="33"/>
        <v>7089.3276000000005</v>
      </c>
      <c r="H182" s="67">
        <f t="shared" si="33"/>
        <v>4726.2184000000007</v>
      </c>
      <c r="I182" s="67">
        <f t="shared" si="33"/>
        <v>13992.41</v>
      </c>
      <c r="J182" s="67">
        <f t="shared" si="33"/>
        <v>0</v>
      </c>
    </row>
    <row r="183" spans="1:10">
      <c r="A183" s="61" t="s">
        <v>152</v>
      </c>
      <c r="B183" s="68">
        <v>4975</v>
      </c>
      <c r="C183" s="68">
        <v>0</v>
      </c>
      <c r="D183" s="68">
        <v>0</v>
      </c>
      <c r="E183" s="68">
        <v>0</v>
      </c>
      <c r="F183" s="68">
        <v>0</v>
      </c>
      <c r="G183" s="68">
        <v>0</v>
      </c>
      <c r="H183" s="68">
        <v>0</v>
      </c>
      <c r="I183" s="68">
        <v>0</v>
      </c>
      <c r="J183" s="68">
        <v>0</v>
      </c>
    </row>
    <row r="184" spans="1:10">
      <c r="A184" s="61" t="s">
        <v>153</v>
      </c>
      <c r="B184" s="68">
        <v>19857.310000000001</v>
      </c>
      <c r="C184" s="68">
        <v>0</v>
      </c>
      <c r="D184" s="68">
        <v>19394.725999999999</v>
      </c>
      <c r="E184" s="68">
        <v>2343.7640000000001</v>
      </c>
      <c r="F184" s="68">
        <v>11624.995000000001</v>
      </c>
      <c r="G184" s="68">
        <v>6974.9970000000003</v>
      </c>
      <c r="H184" s="68">
        <v>4649.9980000000005</v>
      </c>
      <c r="I184" s="68">
        <v>13992.41</v>
      </c>
      <c r="J184" s="68">
        <v>0</v>
      </c>
    </row>
    <row r="185" spans="1:10">
      <c r="A185" s="61" t="s">
        <v>154</v>
      </c>
      <c r="B185" s="68">
        <v>43684.735999999997</v>
      </c>
      <c r="C185" s="68">
        <v>0</v>
      </c>
      <c r="D185" s="68">
        <v>228.66119999999998</v>
      </c>
      <c r="E185" s="68">
        <v>152.4408</v>
      </c>
      <c r="F185" s="68">
        <v>190.55099999999999</v>
      </c>
      <c r="G185" s="68">
        <v>114.33059999999999</v>
      </c>
      <c r="H185" s="68">
        <v>76.220399999999998</v>
      </c>
      <c r="I185" s="68">
        <v>0</v>
      </c>
      <c r="J185" s="68">
        <v>0</v>
      </c>
    </row>
    <row r="186" spans="1:10">
      <c r="A186" s="61" t="s">
        <v>155</v>
      </c>
      <c r="B186" s="68">
        <v>0</v>
      </c>
      <c r="C186" s="68">
        <v>0</v>
      </c>
      <c r="D186" s="68">
        <v>0</v>
      </c>
      <c r="E186" s="68">
        <v>0</v>
      </c>
      <c r="F186" s="68">
        <v>0</v>
      </c>
      <c r="G186" s="68">
        <v>0</v>
      </c>
      <c r="H186" s="68">
        <v>0</v>
      </c>
      <c r="I186" s="68">
        <v>0</v>
      </c>
      <c r="J186" s="68">
        <v>0</v>
      </c>
    </row>
    <row r="187" spans="1:10">
      <c r="A187" s="72" t="s">
        <v>156</v>
      </c>
      <c r="B187" s="67">
        <f>+SUM(B188:B192)</f>
        <v>58332.800000000003</v>
      </c>
      <c r="C187" s="67">
        <f t="shared" ref="C187:J187" si="34">+SUM(C188:C192)</f>
        <v>0</v>
      </c>
      <c r="D187" s="67">
        <f t="shared" si="34"/>
        <v>3749.7599999999993</v>
      </c>
      <c r="E187" s="67">
        <f t="shared" si="34"/>
        <v>2499.84</v>
      </c>
      <c r="F187" s="67">
        <f t="shared" si="34"/>
        <v>3124.7999999999997</v>
      </c>
      <c r="G187" s="67">
        <f t="shared" si="34"/>
        <v>1874.8799999999997</v>
      </c>
      <c r="H187" s="67">
        <f t="shared" si="34"/>
        <v>1249.92</v>
      </c>
      <c r="I187" s="67">
        <f t="shared" si="34"/>
        <v>1874.9999999999995</v>
      </c>
      <c r="J187" s="67">
        <f t="shared" si="34"/>
        <v>1250</v>
      </c>
    </row>
    <row r="188" spans="1:10">
      <c r="A188" s="61" t="s">
        <v>157</v>
      </c>
      <c r="B188" s="68">
        <v>8332.8000000000011</v>
      </c>
      <c r="C188" s="68">
        <v>0</v>
      </c>
      <c r="D188" s="68">
        <v>3749.7599999999993</v>
      </c>
      <c r="E188" s="68">
        <v>2499.84</v>
      </c>
      <c r="F188" s="68">
        <v>3124.7999999999997</v>
      </c>
      <c r="G188" s="68">
        <v>1874.8799999999997</v>
      </c>
      <c r="H188" s="68">
        <v>1249.92</v>
      </c>
      <c r="I188" s="68">
        <v>1874.9999999999995</v>
      </c>
      <c r="J188" s="68">
        <v>1250</v>
      </c>
    </row>
    <row r="189" spans="1:10">
      <c r="A189" s="61" t="s">
        <v>158</v>
      </c>
      <c r="B189" s="68">
        <v>40000</v>
      </c>
      <c r="C189" s="68">
        <v>0</v>
      </c>
      <c r="D189" s="68">
        <v>0</v>
      </c>
      <c r="E189" s="68">
        <v>0</v>
      </c>
      <c r="F189" s="68">
        <v>0</v>
      </c>
      <c r="G189" s="68">
        <v>0</v>
      </c>
      <c r="H189" s="68">
        <v>0</v>
      </c>
      <c r="I189" s="68">
        <v>0</v>
      </c>
      <c r="J189" s="68">
        <v>0</v>
      </c>
    </row>
    <row r="190" spans="1:10">
      <c r="A190" s="61" t="s">
        <v>159</v>
      </c>
      <c r="B190" s="68">
        <v>0</v>
      </c>
      <c r="C190" s="68">
        <v>0</v>
      </c>
      <c r="D190" s="68">
        <v>0</v>
      </c>
      <c r="E190" s="68">
        <v>0</v>
      </c>
      <c r="F190" s="68">
        <v>0</v>
      </c>
      <c r="G190" s="68">
        <v>0</v>
      </c>
      <c r="H190" s="68">
        <v>0</v>
      </c>
      <c r="I190" s="68">
        <v>0</v>
      </c>
      <c r="J190" s="68">
        <v>0</v>
      </c>
    </row>
    <row r="191" spans="1:10">
      <c r="A191" s="61" t="s">
        <v>160</v>
      </c>
      <c r="B191" s="68">
        <v>10000</v>
      </c>
      <c r="C191" s="68">
        <v>0</v>
      </c>
      <c r="D191" s="68">
        <v>0</v>
      </c>
      <c r="E191" s="68">
        <v>0</v>
      </c>
      <c r="F191" s="68">
        <v>0</v>
      </c>
      <c r="G191" s="68">
        <v>0</v>
      </c>
      <c r="H191" s="68">
        <v>0</v>
      </c>
      <c r="I191" s="68">
        <v>0</v>
      </c>
      <c r="J191" s="68">
        <v>0</v>
      </c>
    </row>
    <row r="192" spans="1:10">
      <c r="A192" s="61" t="s">
        <v>161</v>
      </c>
      <c r="B192" s="68">
        <v>0</v>
      </c>
      <c r="C192" s="68">
        <v>0</v>
      </c>
      <c r="D192" s="68">
        <v>0</v>
      </c>
      <c r="E192" s="68">
        <v>0</v>
      </c>
      <c r="F192" s="68">
        <v>0</v>
      </c>
      <c r="G192" s="68">
        <v>0</v>
      </c>
      <c r="H192" s="68">
        <v>0</v>
      </c>
      <c r="I192" s="68">
        <v>0</v>
      </c>
      <c r="J192" s="68">
        <v>0</v>
      </c>
    </row>
    <row r="193" spans="1:10">
      <c r="A193" s="72" t="s">
        <v>162</v>
      </c>
      <c r="B193" s="67">
        <f>+SUM(B194:B204)</f>
        <v>81441.975999999981</v>
      </c>
      <c r="C193" s="67">
        <f t="shared" ref="C193:J193" si="35">+SUM(C194:C204)</f>
        <v>0.01</v>
      </c>
      <c r="D193" s="67">
        <f t="shared" si="35"/>
        <v>194572.29820000002</v>
      </c>
      <c r="E193" s="67">
        <f t="shared" si="35"/>
        <v>11028.298799999997</v>
      </c>
      <c r="F193" s="67">
        <f t="shared" si="35"/>
        <v>29028.573500000002</v>
      </c>
      <c r="G193" s="67">
        <f t="shared" si="35"/>
        <v>10247.794099999999</v>
      </c>
      <c r="H193" s="67">
        <f t="shared" si="35"/>
        <v>6831.6094000000003</v>
      </c>
      <c r="I193" s="67">
        <f t="shared" si="35"/>
        <v>75540.78</v>
      </c>
      <c r="J193" s="67">
        <f t="shared" si="35"/>
        <v>0</v>
      </c>
    </row>
    <row r="194" spans="1:10">
      <c r="A194" s="61" t="s">
        <v>163</v>
      </c>
      <c r="B194" s="68">
        <v>11752.09</v>
      </c>
      <c r="C194" s="68">
        <v>0</v>
      </c>
      <c r="D194" s="68">
        <v>16501.055999999997</v>
      </c>
      <c r="E194" s="68">
        <v>11000.703999999998</v>
      </c>
      <c r="F194" s="68">
        <v>6120.8649999999998</v>
      </c>
      <c r="G194" s="68">
        <v>3672.5189999999998</v>
      </c>
      <c r="H194" s="68">
        <v>2448.346</v>
      </c>
      <c r="I194" s="68">
        <v>0</v>
      </c>
      <c r="J194" s="68">
        <v>0</v>
      </c>
    </row>
    <row r="195" spans="1:10">
      <c r="A195" s="61" t="s">
        <v>164</v>
      </c>
      <c r="B195" s="68">
        <v>106</v>
      </c>
      <c r="C195" s="68">
        <v>0</v>
      </c>
      <c r="D195" s="68">
        <v>47.699999999999996</v>
      </c>
      <c r="E195" s="68">
        <v>31.8</v>
      </c>
      <c r="F195" s="68">
        <v>39.75</v>
      </c>
      <c r="G195" s="68">
        <v>23.849999999999998</v>
      </c>
      <c r="H195" s="68">
        <v>15.9</v>
      </c>
      <c r="I195" s="68">
        <v>230</v>
      </c>
      <c r="J195" s="68">
        <v>0</v>
      </c>
    </row>
    <row r="196" spans="1:10">
      <c r="A196" s="61" t="s">
        <v>233</v>
      </c>
      <c r="B196" s="68">
        <v>24615</v>
      </c>
      <c r="C196" s="68">
        <v>0</v>
      </c>
      <c r="D196" s="68">
        <v>153597</v>
      </c>
      <c r="E196" s="68">
        <v>0</v>
      </c>
      <c r="F196" s="68">
        <v>1375.06</v>
      </c>
      <c r="G196" s="68">
        <v>825.03599999999994</v>
      </c>
      <c r="H196" s="68">
        <v>550.024</v>
      </c>
      <c r="I196" s="68">
        <v>21636.67</v>
      </c>
      <c r="J196" s="68">
        <v>0</v>
      </c>
    </row>
    <row r="197" spans="1:10">
      <c r="A197" s="61" t="s">
        <v>165</v>
      </c>
      <c r="B197" s="68">
        <v>0</v>
      </c>
      <c r="C197" s="68">
        <v>0</v>
      </c>
      <c r="D197" s="68">
        <v>0</v>
      </c>
      <c r="E197" s="68">
        <v>0</v>
      </c>
      <c r="F197" s="68">
        <v>0</v>
      </c>
      <c r="G197" s="68">
        <v>0</v>
      </c>
      <c r="H197" s="68">
        <v>0</v>
      </c>
      <c r="I197" s="68">
        <v>0</v>
      </c>
      <c r="J197" s="68">
        <v>0</v>
      </c>
    </row>
    <row r="198" spans="1:10">
      <c r="A198" s="61" t="s">
        <v>166</v>
      </c>
      <c r="B198" s="68">
        <v>36142.71</v>
      </c>
      <c r="C198" s="68">
        <v>0</v>
      </c>
      <c r="D198" s="68">
        <v>5202.16</v>
      </c>
      <c r="E198" s="68">
        <v>0</v>
      </c>
      <c r="F198" s="68">
        <v>16601.650000000001</v>
      </c>
      <c r="G198" s="68">
        <v>2790.99</v>
      </c>
      <c r="H198" s="68">
        <v>1860.6599999999999</v>
      </c>
      <c r="I198" s="68">
        <v>41058</v>
      </c>
      <c r="J198" s="68">
        <v>0</v>
      </c>
    </row>
    <row r="199" spans="1:10">
      <c r="A199" s="61" t="s">
        <v>167</v>
      </c>
      <c r="B199" s="68">
        <v>6255.93</v>
      </c>
      <c r="C199" s="68">
        <v>0</v>
      </c>
      <c r="D199" s="68">
        <v>16745.7</v>
      </c>
      <c r="E199" s="68">
        <v>0</v>
      </c>
      <c r="F199" s="68">
        <v>4593.165</v>
      </c>
      <c r="G199" s="68">
        <v>2755.8989999999999</v>
      </c>
      <c r="H199" s="68">
        <v>1837.2660000000001</v>
      </c>
      <c r="I199" s="68">
        <v>6765.81</v>
      </c>
      <c r="J199" s="68">
        <v>0</v>
      </c>
    </row>
    <row r="200" spans="1:10">
      <c r="A200" s="61" t="s">
        <v>168</v>
      </c>
      <c r="B200" s="68">
        <v>2585.59</v>
      </c>
      <c r="C200" s="68">
        <v>0</v>
      </c>
      <c r="D200" s="68">
        <v>3174.63</v>
      </c>
      <c r="E200" s="68">
        <v>0</v>
      </c>
      <c r="F200" s="68">
        <v>150</v>
      </c>
      <c r="G200" s="68">
        <v>90</v>
      </c>
      <c r="H200" s="68">
        <v>60</v>
      </c>
      <c r="I200" s="68">
        <v>5850</v>
      </c>
      <c r="J200" s="68">
        <v>0</v>
      </c>
    </row>
    <row r="201" spans="1:10">
      <c r="A201" s="61" t="s">
        <v>169</v>
      </c>
      <c r="B201" s="68">
        <v>0</v>
      </c>
      <c r="C201" s="68">
        <v>0</v>
      </c>
      <c r="D201" s="68">
        <v>-690</v>
      </c>
      <c r="E201" s="68">
        <v>0</v>
      </c>
      <c r="F201" s="68">
        <v>154</v>
      </c>
      <c r="G201" s="68">
        <v>92.399999999999991</v>
      </c>
      <c r="H201" s="68">
        <v>61.6</v>
      </c>
      <c r="I201" s="68">
        <v>0</v>
      </c>
      <c r="J201" s="68">
        <v>0</v>
      </c>
    </row>
    <row r="202" spans="1:10">
      <c r="A202" s="61" t="s">
        <v>170</v>
      </c>
      <c r="B202" s="68">
        <v>0</v>
      </c>
      <c r="C202" s="68">
        <v>0</v>
      </c>
      <c r="D202" s="68">
        <v>0</v>
      </c>
      <c r="E202" s="68">
        <v>0</v>
      </c>
      <c r="F202" s="68">
        <v>0</v>
      </c>
      <c r="G202" s="68">
        <v>0</v>
      </c>
      <c r="H202" s="68">
        <v>0</v>
      </c>
      <c r="I202" s="68">
        <v>0</v>
      </c>
      <c r="J202" s="68">
        <v>0</v>
      </c>
    </row>
    <row r="203" spans="1:10">
      <c r="A203" s="61" t="s">
        <v>234</v>
      </c>
      <c r="B203" s="68">
        <v>1.5680000000000003</v>
      </c>
      <c r="C203" s="68">
        <v>0.01</v>
      </c>
      <c r="D203" s="68">
        <v>1.6626000000000001</v>
      </c>
      <c r="E203" s="68">
        <v>0.86840000000000006</v>
      </c>
      <c r="F203" s="68">
        <v>0.42549999999999999</v>
      </c>
      <c r="G203" s="68">
        <v>0.90529999999999999</v>
      </c>
      <c r="H203" s="68">
        <v>0.35020000000000001</v>
      </c>
      <c r="I203" s="68">
        <v>0.3</v>
      </c>
      <c r="J203" s="68">
        <v>0</v>
      </c>
    </row>
    <row r="204" spans="1:10">
      <c r="A204" s="61" t="s">
        <v>171</v>
      </c>
      <c r="B204" s="68">
        <v>-16.912000000000003</v>
      </c>
      <c r="C204" s="68">
        <v>0</v>
      </c>
      <c r="D204" s="68">
        <v>-7.6103999999999994</v>
      </c>
      <c r="E204" s="68">
        <v>-5.0735999999999999</v>
      </c>
      <c r="F204" s="68">
        <v>-6.3419999999999996</v>
      </c>
      <c r="G204" s="68">
        <v>-3.8051999999999997</v>
      </c>
      <c r="H204" s="68">
        <v>-2.5367999999999999</v>
      </c>
      <c r="I204" s="68">
        <v>0</v>
      </c>
      <c r="J204" s="68">
        <v>0</v>
      </c>
    </row>
    <row r="205" spans="1:10">
      <c r="A205" s="72" t="s">
        <v>172</v>
      </c>
      <c r="B205" s="67">
        <f>+SUM(B206:B208)</f>
        <v>151384.57199999999</v>
      </c>
      <c r="C205" s="67">
        <f t="shared" ref="C205:J205" si="36">+SUM(C206:C208)</f>
        <v>0</v>
      </c>
      <c r="D205" s="67">
        <f t="shared" si="36"/>
        <v>89482.204400000002</v>
      </c>
      <c r="E205" s="67">
        <f t="shared" si="36"/>
        <v>311.1696000000004</v>
      </c>
      <c r="F205" s="67">
        <f t="shared" si="36"/>
        <v>53181.671999999999</v>
      </c>
      <c r="G205" s="67">
        <f t="shared" si="36"/>
        <v>8378.5812000000005</v>
      </c>
      <c r="H205" s="67">
        <f t="shared" si="36"/>
        <v>808.30080000000021</v>
      </c>
      <c r="I205" s="67">
        <f t="shared" si="36"/>
        <v>7415.25</v>
      </c>
      <c r="J205" s="67">
        <f t="shared" si="36"/>
        <v>0</v>
      </c>
    </row>
    <row r="206" spans="1:10">
      <c r="A206" s="61" t="s">
        <v>173</v>
      </c>
      <c r="B206" s="68">
        <v>148648.34</v>
      </c>
      <c r="C206" s="68">
        <v>0</v>
      </c>
      <c r="D206" s="68">
        <v>0</v>
      </c>
      <c r="E206" s="68">
        <v>0</v>
      </c>
      <c r="F206" s="68">
        <v>49979.92</v>
      </c>
      <c r="G206" s="68">
        <v>0</v>
      </c>
      <c r="H206" s="68">
        <v>0</v>
      </c>
      <c r="I206" s="68">
        <v>0</v>
      </c>
      <c r="J206" s="68">
        <v>0</v>
      </c>
    </row>
    <row r="207" spans="1:10">
      <c r="A207" s="61" t="s">
        <v>174</v>
      </c>
      <c r="B207" s="68">
        <v>0</v>
      </c>
      <c r="C207" s="68">
        <v>0</v>
      </c>
      <c r="D207" s="68">
        <v>9733.5</v>
      </c>
      <c r="E207" s="68">
        <v>0</v>
      </c>
      <c r="F207" s="68">
        <v>0</v>
      </c>
      <c r="G207" s="68">
        <v>0</v>
      </c>
      <c r="H207" s="68">
        <v>0</v>
      </c>
      <c r="I207" s="68">
        <v>7415.25</v>
      </c>
      <c r="J207" s="68">
        <v>0</v>
      </c>
    </row>
    <row r="208" spans="1:10">
      <c r="A208" s="61" t="s">
        <v>235</v>
      </c>
      <c r="B208" s="68">
        <v>2736.232</v>
      </c>
      <c r="C208" s="68">
        <v>0</v>
      </c>
      <c r="D208" s="68">
        <v>79748.704400000002</v>
      </c>
      <c r="E208" s="68">
        <v>311.1696000000004</v>
      </c>
      <c r="F208" s="68">
        <v>3201.7520000000004</v>
      </c>
      <c r="G208" s="68">
        <v>8378.5812000000005</v>
      </c>
      <c r="H208" s="68">
        <v>808.30080000000021</v>
      </c>
      <c r="I208" s="68">
        <v>0</v>
      </c>
      <c r="J208" s="68">
        <v>0</v>
      </c>
    </row>
    <row r="209" spans="1:10">
      <c r="A209" s="72" t="s">
        <v>175</v>
      </c>
      <c r="B209" s="67">
        <f>+SUM(B210:B213)</f>
        <v>160737.31</v>
      </c>
      <c r="C209" s="67">
        <f t="shared" ref="C209:J209" si="37">+SUM(C210:C213)</f>
        <v>0</v>
      </c>
      <c r="D209" s="67">
        <f t="shared" si="37"/>
        <v>186159</v>
      </c>
      <c r="E209" s="67">
        <f t="shared" si="37"/>
        <v>224106</v>
      </c>
      <c r="F209" s="67">
        <f t="shared" si="37"/>
        <v>140992.5</v>
      </c>
      <c r="G209" s="67">
        <f t="shared" si="37"/>
        <v>84595.5</v>
      </c>
      <c r="H209" s="67">
        <f t="shared" si="37"/>
        <v>56397</v>
      </c>
      <c r="I209" s="67">
        <f t="shared" si="37"/>
        <v>267000</v>
      </c>
      <c r="J209" s="67">
        <f t="shared" si="37"/>
        <v>178000</v>
      </c>
    </row>
    <row r="210" spans="1:10">
      <c r="A210" s="61" t="s">
        <v>176</v>
      </c>
      <c r="B210" s="68">
        <v>0</v>
      </c>
      <c r="C210" s="68">
        <v>0</v>
      </c>
      <c r="D210" s="68">
        <v>0</v>
      </c>
      <c r="E210" s="68">
        <v>100000</v>
      </c>
      <c r="F210" s="68">
        <v>0</v>
      </c>
      <c r="G210" s="68">
        <v>0</v>
      </c>
      <c r="H210" s="68">
        <v>0</v>
      </c>
      <c r="I210" s="68">
        <v>0</v>
      </c>
      <c r="J210" s="68">
        <v>0</v>
      </c>
    </row>
    <row r="211" spans="1:10">
      <c r="A211" s="61" t="s">
        <v>177</v>
      </c>
      <c r="B211" s="68">
        <v>0</v>
      </c>
      <c r="C211" s="68">
        <v>0</v>
      </c>
      <c r="D211" s="68">
        <v>186159</v>
      </c>
      <c r="E211" s="68">
        <v>124106</v>
      </c>
      <c r="F211" s="68">
        <v>0</v>
      </c>
      <c r="G211" s="68">
        <v>70195.5</v>
      </c>
      <c r="H211" s="68">
        <v>46797</v>
      </c>
      <c r="I211" s="68">
        <v>267000</v>
      </c>
      <c r="J211" s="68">
        <v>178000</v>
      </c>
    </row>
    <row r="212" spans="1:10">
      <c r="A212" s="61" t="s">
        <v>178</v>
      </c>
      <c r="B212" s="68">
        <v>87450.31</v>
      </c>
      <c r="C212" s="68">
        <v>0</v>
      </c>
      <c r="D212" s="68">
        <v>0</v>
      </c>
      <c r="E212" s="68">
        <v>0</v>
      </c>
      <c r="F212" s="68">
        <v>116992.5</v>
      </c>
      <c r="G212" s="68">
        <v>0</v>
      </c>
      <c r="H212" s="68">
        <v>0</v>
      </c>
      <c r="I212" s="68">
        <v>0</v>
      </c>
      <c r="J212" s="68">
        <v>0</v>
      </c>
    </row>
    <row r="213" spans="1:10">
      <c r="A213" s="61" t="s">
        <v>179</v>
      </c>
      <c r="B213" s="68">
        <v>73287</v>
      </c>
      <c r="C213" s="68">
        <v>0</v>
      </c>
      <c r="D213" s="68">
        <v>0</v>
      </c>
      <c r="E213" s="68">
        <v>0</v>
      </c>
      <c r="F213" s="68">
        <v>24000</v>
      </c>
      <c r="G213" s="68">
        <v>14400</v>
      </c>
      <c r="H213" s="68">
        <v>9600</v>
      </c>
      <c r="I213" s="68">
        <v>0</v>
      </c>
      <c r="J213" s="68">
        <v>0</v>
      </c>
    </row>
    <row r="214" spans="1:10">
      <c r="A214" s="72" t="s">
        <v>180</v>
      </c>
      <c r="B214" s="67">
        <f>+SUM(B215:B216)</f>
        <v>0</v>
      </c>
      <c r="C214" s="67">
        <f t="shared" ref="C214:J214" si="38">+SUM(C215:C216)</f>
        <v>0</v>
      </c>
      <c r="D214" s="67">
        <f t="shared" si="38"/>
        <v>400</v>
      </c>
      <c r="E214" s="67">
        <f t="shared" si="38"/>
        <v>0</v>
      </c>
      <c r="F214" s="67">
        <f t="shared" si="38"/>
        <v>950</v>
      </c>
      <c r="G214" s="67">
        <f t="shared" si="38"/>
        <v>570</v>
      </c>
      <c r="H214" s="67">
        <f t="shared" si="38"/>
        <v>380</v>
      </c>
      <c r="I214" s="67">
        <f t="shared" si="38"/>
        <v>200</v>
      </c>
      <c r="J214" s="67">
        <f t="shared" si="38"/>
        <v>0</v>
      </c>
    </row>
    <row r="215" spans="1:10">
      <c r="A215" s="61" t="s">
        <v>181</v>
      </c>
      <c r="B215" s="68">
        <v>0</v>
      </c>
      <c r="C215" s="68">
        <v>0</v>
      </c>
      <c r="D215" s="68">
        <v>0</v>
      </c>
      <c r="E215" s="68">
        <v>0</v>
      </c>
      <c r="F215" s="68">
        <v>0</v>
      </c>
      <c r="G215" s="68">
        <v>0</v>
      </c>
      <c r="H215" s="68">
        <v>0</v>
      </c>
      <c r="I215" s="68">
        <v>0</v>
      </c>
      <c r="J215" s="68">
        <v>0</v>
      </c>
    </row>
    <row r="216" spans="1:10">
      <c r="A216" s="61" t="s">
        <v>182</v>
      </c>
      <c r="B216" s="68">
        <v>0</v>
      </c>
      <c r="C216" s="68">
        <v>0</v>
      </c>
      <c r="D216" s="68">
        <v>400</v>
      </c>
      <c r="E216" s="68">
        <v>0</v>
      </c>
      <c r="F216" s="68">
        <v>950</v>
      </c>
      <c r="G216" s="68">
        <v>570</v>
      </c>
      <c r="H216" s="68">
        <v>380</v>
      </c>
      <c r="I216" s="68">
        <v>200</v>
      </c>
      <c r="J216" s="68">
        <v>0</v>
      </c>
    </row>
    <row r="217" spans="1:10">
      <c r="A217" s="60"/>
      <c r="B217" s="68"/>
      <c r="C217" s="68"/>
      <c r="D217" s="68"/>
      <c r="E217" s="68"/>
      <c r="F217" s="68"/>
      <c r="G217" s="68"/>
      <c r="H217" s="68"/>
      <c r="I217" s="69"/>
      <c r="J217" s="69"/>
    </row>
    <row r="218" spans="1:10" ht="17.25">
      <c r="A218" s="70" t="s">
        <v>183</v>
      </c>
      <c r="B218" s="67">
        <f>+B219+B223+B227</f>
        <v>287855.2100821918</v>
      </c>
      <c r="C218" s="67">
        <f t="shared" ref="C218:J218" si="39">+C219+C223+C227</f>
        <v>0</v>
      </c>
      <c r="D218" s="67">
        <f t="shared" si="39"/>
        <v>21683.908799999997</v>
      </c>
      <c r="E218" s="67">
        <f t="shared" si="39"/>
        <v>14455.939199999997</v>
      </c>
      <c r="F218" s="67">
        <f t="shared" si="39"/>
        <v>56326.596000000005</v>
      </c>
      <c r="G218" s="67">
        <f t="shared" si="39"/>
        <v>10841.954399999999</v>
      </c>
      <c r="H218" s="67">
        <f t="shared" si="39"/>
        <v>7227.9695999999985</v>
      </c>
      <c r="I218" s="67">
        <f t="shared" si="39"/>
        <v>0</v>
      </c>
      <c r="J218" s="67">
        <f t="shared" si="39"/>
        <v>0</v>
      </c>
    </row>
    <row r="219" spans="1:10">
      <c r="A219" s="72" t="s">
        <v>184</v>
      </c>
      <c r="B219" s="67">
        <f>+SUM(B220:B222)</f>
        <v>239668.74608219179</v>
      </c>
      <c r="C219" s="67">
        <f t="shared" ref="C219:J219" si="40">+SUM(C220:C222)</f>
        <v>0</v>
      </c>
      <c r="D219" s="67">
        <f t="shared" si="40"/>
        <v>0</v>
      </c>
      <c r="E219" s="67">
        <f t="shared" si="40"/>
        <v>0</v>
      </c>
      <c r="F219" s="67">
        <f t="shared" si="40"/>
        <v>38256.672000000006</v>
      </c>
      <c r="G219" s="67">
        <f t="shared" si="40"/>
        <v>0</v>
      </c>
      <c r="H219" s="67">
        <f t="shared" si="40"/>
        <v>0</v>
      </c>
      <c r="I219" s="67">
        <f t="shared" si="40"/>
        <v>0</v>
      </c>
      <c r="J219" s="67">
        <f t="shared" si="40"/>
        <v>0</v>
      </c>
    </row>
    <row r="220" spans="1:10">
      <c r="A220" s="61" t="s">
        <v>185</v>
      </c>
      <c r="B220" s="68">
        <v>182283.73808219179</v>
      </c>
      <c r="C220" s="68">
        <v>0</v>
      </c>
      <c r="D220" s="68">
        <v>0</v>
      </c>
      <c r="E220" s="68">
        <v>0</v>
      </c>
      <c r="F220" s="68">
        <v>0</v>
      </c>
      <c r="G220" s="68">
        <v>0</v>
      </c>
      <c r="H220" s="68">
        <v>0</v>
      </c>
      <c r="I220" s="68">
        <v>0</v>
      </c>
      <c r="J220" s="68">
        <v>0</v>
      </c>
    </row>
    <row r="221" spans="1:10">
      <c r="A221" s="61" t="s">
        <v>236</v>
      </c>
      <c r="B221" s="68">
        <v>19371</v>
      </c>
      <c r="C221" s="68">
        <v>0</v>
      </c>
      <c r="D221" s="68">
        <v>0</v>
      </c>
      <c r="E221" s="68">
        <v>0</v>
      </c>
      <c r="F221" s="68">
        <v>12914</v>
      </c>
      <c r="G221" s="68">
        <v>0</v>
      </c>
      <c r="H221" s="68">
        <v>0</v>
      </c>
      <c r="I221" s="68">
        <v>0</v>
      </c>
      <c r="J221" s="68">
        <v>0</v>
      </c>
    </row>
    <row r="222" spans="1:10">
      <c r="A222" s="61" t="s">
        <v>237</v>
      </c>
      <c r="B222" s="68">
        <v>38014.008000000002</v>
      </c>
      <c r="C222" s="68">
        <v>0</v>
      </c>
      <c r="D222" s="68">
        <v>0</v>
      </c>
      <c r="E222" s="68">
        <v>0</v>
      </c>
      <c r="F222" s="68">
        <v>25342.672000000006</v>
      </c>
      <c r="G222" s="68">
        <v>0</v>
      </c>
      <c r="H222" s="68">
        <v>0</v>
      </c>
      <c r="I222" s="68">
        <v>0</v>
      </c>
      <c r="J222" s="68">
        <v>0</v>
      </c>
    </row>
    <row r="223" spans="1:10">
      <c r="A223" s="72" t="s">
        <v>186</v>
      </c>
      <c r="B223" s="67">
        <f>+SUM(B224:B226)</f>
        <v>46429.664000000004</v>
      </c>
      <c r="C223" s="67">
        <f t="shared" ref="C223:J223" si="41">+SUM(C224:C226)</f>
        <v>0</v>
      </c>
      <c r="D223" s="67">
        <f t="shared" si="41"/>
        <v>20893.348799999996</v>
      </c>
      <c r="E223" s="67">
        <f t="shared" si="41"/>
        <v>13928.899199999998</v>
      </c>
      <c r="F223" s="67">
        <f t="shared" si="41"/>
        <v>17411.123999999996</v>
      </c>
      <c r="G223" s="67">
        <f t="shared" si="41"/>
        <v>10446.674399999998</v>
      </c>
      <c r="H223" s="67">
        <f t="shared" si="41"/>
        <v>6964.449599999999</v>
      </c>
      <c r="I223" s="67">
        <f t="shared" si="41"/>
        <v>0</v>
      </c>
      <c r="J223" s="67">
        <f t="shared" si="41"/>
        <v>0</v>
      </c>
    </row>
    <row r="224" spans="1:10">
      <c r="A224" s="61" t="s">
        <v>187</v>
      </c>
      <c r="B224" s="68">
        <v>46429.664000000004</v>
      </c>
      <c r="C224" s="68">
        <v>0</v>
      </c>
      <c r="D224" s="68">
        <v>20893.348799999996</v>
      </c>
      <c r="E224" s="68">
        <v>13928.899199999998</v>
      </c>
      <c r="F224" s="68">
        <v>17411.123999999996</v>
      </c>
      <c r="G224" s="68">
        <v>10446.674399999998</v>
      </c>
      <c r="H224" s="68">
        <v>6964.449599999999</v>
      </c>
      <c r="I224" s="68">
        <v>0</v>
      </c>
      <c r="J224" s="68">
        <v>0</v>
      </c>
    </row>
    <row r="225" spans="1:10">
      <c r="A225" s="61" t="s">
        <v>188</v>
      </c>
      <c r="B225" s="68">
        <v>0</v>
      </c>
      <c r="C225" s="68">
        <v>0</v>
      </c>
      <c r="D225" s="68">
        <v>0</v>
      </c>
      <c r="E225" s="68">
        <v>0</v>
      </c>
      <c r="F225" s="68">
        <v>0</v>
      </c>
      <c r="G225" s="68">
        <v>0</v>
      </c>
      <c r="H225" s="68">
        <v>0</v>
      </c>
      <c r="I225" s="68">
        <v>0</v>
      </c>
      <c r="J225" s="68">
        <v>0</v>
      </c>
    </row>
    <row r="226" spans="1:10">
      <c r="A226" s="61" t="s">
        <v>189</v>
      </c>
      <c r="B226" s="68">
        <v>0</v>
      </c>
      <c r="C226" s="68">
        <v>0</v>
      </c>
      <c r="D226" s="68">
        <v>0</v>
      </c>
      <c r="E226" s="68">
        <v>0</v>
      </c>
      <c r="F226" s="68">
        <v>0</v>
      </c>
      <c r="G226" s="68">
        <v>0</v>
      </c>
      <c r="H226" s="68">
        <v>0</v>
      </c>
      <c r="I226" s="68">
        <v>0</v>
      </c>
      <c r="J226" s="68">
        <v>0</v>
      </c>
    </row>
    <row r="227" spans="1:10">
      <c r="A227" s="72" t="s">
        <v>190</v>
      </c>
      <c r="B227" s="67">
        <f>+SUM(B228:B229)</f>
        <v>1756.8000000000002</v>
      </c>
      <c r="C227" s="67">
        <f t="shared" ref="C227:J227" si="42">+SUM(C228:C229)</f>
        <v>0</v>
      </c>
      <c r="D227" s="67">
        <f t="shared" si="42"/>
        <v>790.56</v>
      </c>
      <c r="E227" s="67">
        <f t="shared" si="42"/>
        <v>527.04</v>
      </c>
      <c r="F227" s="67">
        <f t="shared" si="42"/>
        <v>658.8</v>
      </c>
      <c r="G227" s="67">
        <f t="shared" si="42"/>
        <v>395.28</v>
      </c>
      <c r="H227" s="67">
        <f t="shared" si="42"/>
        <v>263.52</v>
      </c>
      <c r="I227" s="67">
        <f t="shared" si="42"/>
        <v>0</v>
      </c>
      <c r="J227" s="67">
        <f t="shared" si="42"/>
        <v>0</v>
      </c>
    </row>
    <row r="228" spans="1:10">
      <c r="A228" s="61" t="s">
        <v>191</v>
      </c>
      <c r="B228" s="68">
        <v>0</v>
      </c>
      <c r="C228" s="68">
        <v>0</v>
      </c>
      <c r="D228" s="68">
        <v>0</v>
      </c>
      <c r="E228" s="68">
        <v>0</v>
      </c>
      <c r="F228" s="68">
        <v>0</v>
      </c>
      <c r="G228" s="68">
        <v>0</v>
      </c>
      <c r="H228" s="68">
        <v>0</v>
      </c>
      <c r="I228" s="68">
        <v>0</v>
      </c>
      <c r="J228" s="68">
        <v>0</v>
      </c>
    </row>
    <row r="229" spans="1:10">
      <c r="A229" s="61" t="s">
        <v>192</v>
      </c>
      <c r="B229" s="68">
        <v>1756.8000000000002</v>
      </c>
      <c r="C229" s="68">
        <v>0</v>
      </c>
      <c r="D229" s="68">
        <v>790.56</v>
      </c>
      <c r="E229" s="68">
        <v>527.04</v>
      </c>
      <c r="F229" s="68">
        <v>658.8</v>
      </c>
      <c r="G229" s="68">
        <v>395.28</v>
      </c>
      <c r="H229" s="68">
        <v>263.52</v>
      </c>
      <c r="I229" s="68">
        <v>0</v>
      </c>
      <c r="J229" s="68">
        <v>0</v>
      </c>
    </row>
    <row r="230" spans="1:10">
      <c r="A230" s="64" t="s">
        <v>193</v>
      </c>
      <c r="B230" s="67">
        <f>+B75+B104+B115+B156+B218</f>
        <v>6337754.893679468</v>
      </c>
      <c r="C230" s="67">
        <f t="shared" ref="C230:J230" si="43">+C75+C104+C115+C156+C218</f>
        <v>36950.01</v>
      </c>
      <c r="D230" s="67">
        <f t="shared" si="43"/>
        <v>3092051.8611461804</v>
      </c>
      <c r="E230" s="67">
        <f t="shared" si="43"/>
        <v>942014.76325335482</v>
      </c>
      <c r="F230" s="67">
        <f t="shared" si="43"/>
        <v>2568627.1686108974</v>
      </c>
      <c r="G230" s="67">
        <f t="shared" si="43"/>
        <v>1224745.1532956515</v>
      </c>
      <c r="H230" s="67">
        <f t="shared" si="43"/>
        <v>289469.50934126071</v>
      </c>
      <c r="I230" s="67">
        <f t="shared" si="43"/>
        <v>1287241.4841025642</v>
      </c>
      <c r="J230" s="67">
        <f t="shared" si="43"/>
        <v>287095.04807692306</v>
      </c>
    </row>
    <row r="231" spans="1:10">
      <c r="A231" s="73" t="s">
        <v>58</v>
      </c>
      <c r="B231" s="115">
        <f>+IFERROR(B230/B70,0)</f>
        <v>8.701728715816838E-2</v>
      </c>
      <c r="C231" s="115">
        <f t="shared" ref="C231:J231" si="44">+IFERROR(C230/C70,0)</f>
        <v>2.6260066006488079E-2</v>
      </c>
      <c r="D231" s="115">
        <f t="shared" si="44"/>
        <v>0.17856772600595169</v>
      </c>
      <c r="E231" s="115">
        <f t="shared" si="44"/>
        <v>0.10251291284902952</v>
      </c>
      <c r="F231" s="115">
        <f t="shared" si="44"/>
        <v>3.9938743812488797E-2</v>
      </c>
      <c r="G231" s="115">
        <f t="shared" si="44"/>
        <v>0.15375285923658366</v>
      </c>
      <c r="H231" s="115">
        <f t="shared" si="44"/>
        <v>0.17050504195682567</v>
      </c>
      <c r="I231" s="115">
        <f t="shared" si="44"/>
        <v>0.58517388513166446</v>
      </c>
      <c r="J231" s="115">
        <f t="shared" si="44"/>
        <v>1.9007845143527866</v>
      </c>
    </row>
    <row r="232" spans="1:10">
      <c r="A232" s="21"/>
      <c r="B232" s="69"/>
      <c r="C232" s="69"/>
      <c r="D232" s="69"/>
      <c r="E232" s="69"/>
      <c r="F232" s="69"/>
      <c r="G232" s="69"/>
      <c r="H232" s="69"/>
      <c r="I232" s="69"/>
      <c r="J232" s="69"/>
    </row>
    <row r="233" spans="1:10">
      <c r="A233" s="64" t="s">
        <v>194</v>
      </c>
      <c r="B233" s="67">
        <f>+B71-B230</f>
        <v>-463401.15067946911</v>
      </c>
      <c r="C233" s="67">
        <f t="shared" ref="C233:J233" si="45">+C71-C230</f>
        <v>245849.79000000027</v>
      </c>
      <c r="D233" s="67">
        <f t="shared" si="45"/>
        <v>2781216.5353824045</v>
      </c>
      <c r="E233" s="67">
        <f t="shared" si="45"/>
        <v>1834386.7007466457</v>
      </c>
      <c r="F233" s="67">
        <f t="shared" si="45"/>
        <v>1517423.9970246959</v>
      </c>
      <c r="G233" s="67">
        <f t="shared" si="45"/>
        <v>1660351.4197609453</v>
      </c>
      <c r="H233" s="67">
        <f t="shared" si="45"/>
        <v>245749.58565873961</v>
      </c>
      <c r="I233" s="67">
        <f t="shared" si="45"/>
        <v>-254370.14217416826</v>
      </c>
      <c r="J233" s="67">
        <f t="shared" si="45"/>
        <v>-288186.40807692311</v>
      </c>
    </row>
    <row r="234" spans="1:10">
      <c r="A234" s="73" t="s">
        <v>58</v>
      </c>
      <c r="B234" s="115">
        <f>IFERROR(B233/B70,0)</f>
        <v>-6.3624913986994585E-3</v>
      </c>
      <c r="C234" s="115">
        <f t="shared" ref="C234:J234" si="46">IFERROR(C233/C70,0)</f>
        <v>0.1747234090892327</v>
      </c>
      <c r="D234" s="115">
        <f t="shared" si="46"/>
        <v>0.16061681192801586</v>
      </c>
      <c r="E234" s="115">
        <f t="shared" si="46"/>
        <v>0.19962354234833166</v>
      </c>
      <c r="F234" s="115">
        <f t="shared" si="46"/>
        <v>2.3593929478238167E-2</v>
      </c>
      <c r="G234" s="115">
        <f t="shared" si="46"/>
        <v>0.20843828402898879</v>
      </c>
      <c r="H234" s="115">
        <f t="shared" si="46"/>
        <v>0.14475287400379516</v>
      </c>
      <c r="I234" s="115">
        <f t="shared" si="46"/>
        <v>-0.11563546249546743</v>
      </c>
      <c r="J234" s="115">
        <f t="shared" si="46"/>
        <v>-1.9080101359769825</v>
      </c>
    </row>
    <row r="235" spans="1:10">
      <c r="A235" s="60"/>
      <c r="B235" s="68"/>
      <c r="C235" s="68"/>
      <c r="D235" s="68"/>
      <c r="E235" s="68"/>
      <c r="F235" s="68"/>
      <c r="G235" s="68"/>
      <c r="H235" s="68"/>
      <c r="I235" s="69"/>
      <c r="J235" s="69"/>
    </row>
    <row r="236" spans="1:10" ht="17.25">
      <c r="A236" s="70" t="s">
        <v>195</v>
      </c>
      <c r="B236" s="67">
        <f t="shared" ref="B236:J236" si="47">+SUM(B237:B239)</f>
        <v>138088.01760000002</v>
      </c>
      <c r="C236" s="67">
        <f t="shared" si="47"/>
        <v>0</v>
      </c>
      <c r="D236" s="67">
        <f t="shared" si="47"/>
        <v>312708.51215999998</v>
      </c>
      <c r="E236" s="67">
        <f t="shared" si="47"/>
        <v>23368.741440000002</v>
      </c>
      <c r="F236" s="67">
        <f t="shared" si="47"/>
        <v>167298.94440000001</v>
      </c>
      <c r="G236" s="67">
        <f t="shared" si="47"/>
        <v>285482.96664000006</v>
      </c>
      <c r="H236" s="67">
        <f t="shared" si="47"/>
        <v>66919.57776</v>
      </c>
      <c r="I236" s="67">
        <f t="shared" si="47"/>
        <v>0</v>
      </c>
      <c r="J236" s="67">
        <f t="shared" si="47"/>
        <v>0</v>
      </c>
    </row>
    <row r="237" spans="1:10">
      <c r="A237" s="61" t="s">
        <v>196</v>
      </c>
      <c r="B237" s="68">
        <v>0</v>
      </c>
      <c r="C237" s="68">
        <v>0</v>
      </c>
      <c r="D237" s="68">
        <v>240972.59999999998</v>
      </c>
      <c r="E237" s="68">
        <v>0</v>
      </c>
      <c r="F237" s="68">
        <v>0</v>
      </c>
      <c r="G237" s="68">
        <v>160648.40000000002</v>
      </c>
      <c r="H237" s="68">
        <v>0</v>
      </c>
      <c r="I237" s="68">
        <v>0</v>
      </c>
      <c r="J237" s="68">
        <v>0</v>
      </c>
    </row>
    <row r="238" spans="1:10">
      <c r="A238" s="61" t="s">
        <v>197</v>
      </c>
      <c r="B238" s="68">
        <v>138088.01760000002</v>
      </c>
      <c r="C238" s="68">
        <v>0</v>
      </c>
      <c r="D238" s="68">
        <v>35053.112159999997</v>
      </c>
      <c r="E238" s="68">
        <v>23368.741440000002</v>
      </c>
      <c r="F238" s="68">
        <v>167298.94440000001</v>
      </c>
      <c r="G238" s="68">
        <v>100379.36664000001</v>
      </c>
      <c r="H238" s="68">
        <v>66919.57776</v>
      </c>
      <c r="I238" s="68">
        <v>0</v>
      </c>
      <c r="J238" s="68">
        <v>0</v>
      </c>
    </row>
    <row r="239" spans="1:10">
      <c r="A239" s="61" t="s">
        <v>198</v>
      </c>
      <c r="B239" s="68">
        <v>0</v>
      </c>
      <c r="C239" s="68">
        <v>0</v>
      </c>
      <c r="D239" s="68">
        <v>36682.799999999996</v>
      </c>
      <c r="E239" s="68">
        <v>0</v>
      </c>
      <c r="F239" s="68">
        <v>0</v>
      </c>
      <c r="G239" s="68">
        <v>24455.200000000001</v>
      </c>
      <c r="H239" s="68">
        <v>0</v>
      </c>
      <c r="I239" s="68">
        <v>0</v>
      </c>
      <c r="J239" s="68">
        <v>0</v>
      </c>
    </row>
    <row r="240" spans="1:10">
      <c r="A240" s="60"/>
      <c r="B240" s="68"/>
      <c r="C240" s="68"/>
      <c r="D240" s="68"/>
      <c r="E240" s="68"/>
      <c r="F240" s="68"/>
      <c r="G240" s="68"/>
      <c r="H240" s="68"/>
      <c r="I240" s="69"/>
      <c r="J240" s="69"/>
    </row>
    <row r="241" spans="1:10" ht="17.25">
      <c r="A241" s="70" t="s">
        <v>199</v>
      </c>
      <c r="B241" s="67">
        <f>+SUM(B242:B248)</f>
        <v>952163.96462113166</v>
      </c>
      <c r="C241" s="67">
        <f t="shared" ref="C241:J241" si="48">+SUM(C242:C248)</f>
        <v>0</v>
      </c>
      <c r="D241" s="67">
        <f t="shared" si="48"/>
        <v>675475.61596874997</v>
      </c>
      <c r="E241" s="67">
        <f t="shared" si="48"/>
        <v>386326.71292708302</v>
      </c>
      <c r="F241" s="67">
        <f t="shared" si="48"/>
        <v>433516.25836428563</v>
      </c>
      <c r="G241" s="67">
        <f t="shared" si="48"/>
        <v>241812.14353571442</v>
      </c>
      <c r="H241" s="67">
        <f t="shared" si="48"/>
        <v>155829.26235714319</v>
      </c>
      <c r="I241" s="67">
        <f t="shared" si="48"/>
        <v>702927.25199999998</v>
      </c>
      <c r="J241" s="67">
        <f t="shared" si="48"/>
        <v>468618.16800000001</v>
      </c>
    </row>
    <row r="242" spans="1:10">
      <c r="A242" s="61" t="s">
        <v>200</v>
      </c>
      <c r="B242" s="68">
        <v>0</v>
      </c>
      <c r="C242" s="68">
        <v>0</v>
      </c>
      <c r="D242" s="68">
        <v>0</v>
      </c>
      <c r="E242" s="68">
        <v>0</v>
      </c>
      <c r="F242" s="68">
        <v>0</v>
      </c>
      <c r="G242" s="68">
        <v>0</v>
      </c>
      <c r="H242" s="68">
        <v>0</v>
      </c>
      <c r="I242" s="68">
        <v>0</v>
      </c>
      <c r="J242" s="68">
        <v>0</v>
      </c>
    </row>
    <row r="243" spans="1:10">
      <c r="A243" s="61" t="s">
        <v>238</v>
      </c>
      <c r="B243" s="68">
        <v>952163.96462113166</v>
      </c>
      <c r="C243" s="68">
        <v>0</v>
      </c>
      <c r="D243" s="68">
        <v>675475.61596874997</v>
      </c>
      <c r="E243" s="68">
        <v>386326.71292708302</v>
      </c>
      <c r="F243" s="68">
        <v>433516.25836428563</v>
      </c>
      <c r="G243" s="68">
        <v>241812.14353571442</v>
      </c>
      <c r="H243" s="68">
        <v>155829.26235714319</v>
      </c>
      <c r="I243" s="68">
        <v>702927.25199999998</v>
      </c>
      <c r="J243" s="68">
        <v>468618.16800000001</v>
      </c>
    </row>
    <row r="244" spans="1:10">
      <c r="A244" s="61" t="s">
        <v>239</v>
      </c>
      <c r="B244" s="68">
        <v>0</v>
      </c>
      <c r="C244" s="68">
        <v>0</v>
      </c>
      <c r="D244" s="68">
        <v>0</v>
      </c>
      <c r="E244" s="68">
        <v>0</v>
      </c>
      <c r="F244" s="68">
        <v>0</v>
      </c>
      <c r="G244" s="68">
        <v>0</v>
      </c>
      <c r="H244" s="68">
        <v>0</v>
      </c>
      <c r="I244" s="68">
        <v>0</v>
      </c>
      <c r="J244" s="68">
        <v>0</v>
      </c>
    </row>
    <row r="245" spans="1:10">
      <c r="A245" s="61" t="s">
        <v>240</v>
      </c>
      <c r="B245" s="68">
        <v>0</v>
      </c>
      <c r="C245" s="68">
        <v>0</v>
      </c>
      <c r="D245" s="68">
        <v>0</v>
      </c>
      <c r="E245" s="68">
        <v>0</v>
      </c>
      <c r="F245" s="68">
        <v>0</v>
      </c>
      <c r="G245" s="68">
        <v>0</v>
      </c>
      <c r="H245" s="68">
        <v>0</v>
      </c>
      <c r="I245" s="68">
        <v>0</v>
      </c>
      <c r="J245" s="68">
        <v>0</v>
      </c>
    </row>
    <row r="246" spans="1:10">
      <c r="A246" s="61" t="s">
        <v>241</v>
      </c>
      <c r="B246" s="68">
        <v>0</v>
      </c>
      <c r="C246" s="68">
        <v>0</v>
      </c>
      <c r="D246" s="68">
        <v>0</v>
      </c>
      <c r="E246" s="68">
        <v>0</v>
      </c>
      <c r="F246" s="68">
        <v>0</v>
      </c>
      <c r="G246" s="68">
        <v>0</v>
      </c>
      <c r="H246" s="68">
        <v>0</v>
      </c>
      <c r="I246" s="68">
        <v>0</v>
      </c>
      <c r="J246" s="68">
        <v>0</v>
      </c>
    </row>
    <row r="247" spans="1:10">
      <c r="A247" s="61" t="s">
        <v>242</v>
      </c>
      <c r="B247" s="68">
        <v>0</v>
      </c>
      <c r="C247" s="68">
        <v>0</v>
      </c>
      <c r="D247" s="68">
        <v>0</v>
      </c>
      <c r="E247" s="68">
        <v>0</v>
      </c>
      <c r="F247" s="68">
        <v>0</v>
      </c>
      <c r="G247" s="68">
        <v>0</v>
      </c>
      <c r="H247" s="68">
        <v>0</v>
      </c>
      <c r="I247" s="68">
        <v>0</v>
      </c>
      <c r="J247" s="68">
        <v>0</v>
      </c>
    </row>
    <row r="248" spans="1:10">
      <c r="A248" s="60"/>
      <c r="B248" s="68"/>
      <c r="C248" s="68"/>
      <c r="D248" s="68"/>
      <c r="E248" s="68"/>
      <c r="F248" s="68"/>
      <c r="G248" s="68"/>
      <c r="H248" s="68"/>
      <c r="I248" s="69"/>
      <c r="J248" s="69"/>
    </row>
    <row r="249" spans="1:10">
      <c r="A249" s="64" t="s">
        <v>201</v>
      </c>
      <c r="B249" s="67">
        <f t="shared" ref="B249:J249" si="49">+B233-B236-B241</f>
        <v>-1553653.1329006008</v>
      </c>
      <c r="C249" s="67">
        <f t="shared" si="49"/>
        <v>245849.79000000027</v>
      </c>
      <c r="D249" s="67">
        <f t="shared" si="49"/>
        <v>1793032.4072536547</v>
      </c>
      <c r="E249" s="67">
        <f t="shared" si="49"/>
        <v>1424691.2463795627</v>
      </c>
      <c r="F249" s="67">
        <f t="shared" si="49"/>
        <v>916608.79426041036</v>
      </c>
      <c r="G249" s="67">
        <f t="shared" si="49"/>
        <v>1133056.3095852309</v>
      </c>
      <c r="H249" s="67">
        <f t="shared" si="49"/>
        <v>23000.745541596407</v>
      </c>
      <c r="I249" s="67">
        <f t="shared" si="49"/>
        <v>-957297.39417416824</v>
      </c>
      <c r="J249" s="67">
        <f t="shared" si="49"/>
        <v>-756804.57607692317</v>
      </c>
    </row>
    <row r="250" spans="1:10">
      <c r="A250" s="74" t="s">
        <v>58</v>
      </c>
      <c r="B250" s="116">
        <f>IFERROR(B249/B70,0)</f>
        <v>-2.1331636056898761E-2</v>
      </c>
      <c r="C250" s="116">
        <f t="shared" ref="C250:J250" si="50">IFERROR(C249/C70,0)</f>
        <v>0.1747234090892327</v>
      </c>
      <c r="D250" s="116">
        <f t="shared" si="50"/>
        <v>0.10354862531302343</v>
      </c>
      <c r="E250" s="116">
        <f t="shared" si="50"/>
        <v>0.15503923640483691</v>
      </c>
      <c r="F250" s="116">
        <f t="shared" si="50"/>
        <v>1.4252050378349904E-2</v>
      </c>
      <c r="G250" s="116">
        <f t="shared" si="50"/>
        <v>0.14224236512061281</v>
      </c>
      <c r="H250" s="116">
        <f t="shared" si="50"/>
        <v>1.3548035136870855E-2</v>
      </c>
      <c r="I250" s="116">
        <f t="shared" si="50"/>
        <v>-0.4351828637389395</v>
      </c>
      <c r="J250" s="116">
        <f t="shared" si="50"/>
        <v>-5.0106138306255605</v>
      </c>
    </row>
  </sheetData>
  <mergeCells count="5">
    <mergeCell ref="A1:J1"/>
    <mergeCell ref="A2:A3"/>
    <mergeCell ref="B2:E2"/>
    <mergeCell ref="F2:H2"/>
    <mergeCell ref="I2:J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1AEB7-E153-47E4-B826-5263A005C270}">
  <dimension ref="A1:J250"/>
  <sheetViews>
    <sheetView topLeftCell="A165" workbookViewId="0">
      <selection activeCell="D169" sqref="D169"/>
    </sheetView>
  </sheetViews>
  <sheetFormatPr defaultColWidth="8.7109375" defaultRowHeight="15"/>
  <cols>
    <col min="1" max="1" width="40.85546875" style="49" bestFit="1" customWidth="1"/>
    <col min="2" max="2" width="12.42578125" style="49" bestFit="1" customWidth="1"/>
    <col min="3" max="3" width="10.42578125" style="49" bestFit="1" customWidth="1"/>
    <col min="4" max="5" width="11.140625" style="49" bestFit="1" customWidth="1"/>
    <col min="6" max="6" width="12.140625" style="49" bestFit="1" customWidth="1"/>
    <col min="7" max="7" width="11.140625" style="49" bestFit="1" customWidth="1"/>
    <col min="8" max="9" width="9.5703125" style="49" bestFit="1" customWidth="1"/>
    <col min="10" max="10" width="8.85546875" style="49" bestFit="1" customWidth="1"/>
    <col min="11" max="16384" width="8.7109375" style="49"/>
  </cols>
  <sheetData>
    <row r="1" spans="1:10" ht="15.75">
      <c r="A1" s="124" t="s">
        <v>244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0" ht="14.45" customHeight="1">
      <c r="A2" s="125" t="s">
        <v>1</v>
      </c>
      <c r="B2" s="127" t="s">
        <v>209</v>
      </c>
      <c r="C2" s="128"/>
      <c r="D2" s="128"/>
      <c r="E2" s="128"/>
      <c r="F2" s="129" t="s">
        <v>213</v>
      </c>
      <c r="G2" s="130"/>
      <c r="H2" s="130"/>
      <c r="I2" s="130" t="s">
        <v>214</v>
      </c>
      <c r="J2" s="130"/>
    </row>
    <row r="3" spans="1:10">
      <c r="A3" s="126"/>
      <c r="B3" s="51" t="s">
        <v>215</v>
      </c>
      <c r="C3" s="51" t="s">
        <v>216</v>
      </c>
      <c r="D3" s="52" t="s">
        <v>217</v>
      </c>
      <c r="E3" s="53" t="s">
        <v>218</v>
      </c>
      <c r="F3" s="51" t="s">
        <v>215</v>
      </c>
      <c r="G3" s="52" t="s">
        <v>217</v>
      </c>
      <c r="H3" s="52" t="s">
        <v>218</v>
      </c>
      <c r="I3" s="54" t="s">
        <v>217</v>
      </c>
      <c r="J3" s="54" t="s">
        <v>218</v>
      </c>
    </row>
    <row r="4" spans="1:10">
      <c r="A4" s="55" t="s">
        <v>3</v>
      </c>
      <c r="B4" s="56">
        <v>9</v>
      </c>
      <c r="C4" s="56"/>
      <c r="D4" s="56"/>
      <c r="E4" s="56"/>
      <c r="F4" s="56">
        <v>14</v>
      </c>
      <c r="G4" s="56"/>
      <c r="H4" s="56"/>
      <c r="I4" s="56"/>
      <c r="J4" s="56"/>
    </row>
    <row r="5" spans="1:10" ht="17.25">
      <c r="A5" s="57" t="s">
        <v>4</v>
      </c>
      <c r="B5" s="56"/>
      <c r="C5" s="56"/>
      <c r="D5" s="56"/>
      <c r="E5" s="56"/>
      <c r="F5" s="56"/>
      <c r="G5" s="56"/>
      <c r="H5" s="56"/>
      <c r="I5" s="50"/>
      <c r="J5" s="50"/>
    </row>
    <row r="6" spans="1:10">
      <c r="A6" s="55" t="s">
        <v>5</v>
      </c>
      <c r="B6" s="58">
        <f>+B7+B8+B13</f>
        <v>2556621.94</v>
      </c>
      <c r="C6" s="58">
        <f t="shared" ref="C6:J6" si="0">+C7+C8+C13</f>
        <v>0</v>
      </c>
      <c r="D6" s="58">
        <f t="shared" si="0"/>
        <v>0</v>
      </c>
      <c r="E6" s="58">
        <f t="shared" si="0"/>
        <v>0</v>
      </c>
      <c r="F6" s="58">
        <f t="shared" si="0"/>
        <v>4849381</v>
      </c>
      <c r="G6" s="58">
        <f t="shared" si="0"/>
        <v>0</v>
      </c>
      <c r="H6" s="58">
        <f t="shared" si="0"/>
        <v>0</v>
      </c>
      <c r="I6" s="58">
        <f t="shared" si="0"/>
        <v>0</v>
      </c>
      <c r="J6" s="58">
        <f t="shared" si="0"/>
        <v>0</v>
      </c>
    </row>
    <row r="7" spans="1:10">
      <c r="A7" s="55" t="s">
        <v>6</v>
      </c>
      <c r="B7" s="58">
        <v>1355433</v>
      </c>
      <c r="C7" s="58">
        <v>0</v>
      </c>
      <c r="D7" s="58">
        <v>0</v>
      </c>
      <c r="E7" s="58">
        <v>0</v>
      </c>
      <c r="F7" s="58">
        <v>2989904</v>
      </c>
      <c r="G7" s="58">
        <v>0</v>
      </c>
      <c r="H7" s="58">
        <v>0</v>
      </c>
      <c r="I7" s="59">
        <v>0</v>
      </c>
      <c r="J7" s="59">
        <v>0</v>
      </c>
    </row>
    <row r="8" spans="1:10">
      <c r="A8" s="55" t="s">
        <v>219</v>
      </c>
      <c r="B8" s="58">
        <f>+B9+B10+B11+B12</f>
        <v>935321.94000000006</v>
      </c>
      <c r="C8" s="58">
        <f t="shared" ref="C8:J8" si="1">+C9+C10+C11+C12</f>
        <v>0</v>
      </c>
      <c r="D8" s="58">
        <f t="shared" si="1"/>
        <v>0</v>
      </c>
      <c r="E8" s="58">
        <f t="shared" si="1"/>
        <v>0</v>
      </c>
      <c r="F8" s="58">
        <f t="shared" si="1"/>
        <v>1386542</v>
      </c>
      <c r="G8" s="58">
        <f t="shared" si="1"/>
        <v>0</v>
      </c>
      <c r="H8" s="58">
        <f t="shared" si="1"/>
        <v>0</v>
      </c>
      <c r="I8" s="58">
        <f t="shared" si="1"/>
        <v>0</v>
      </c>
      <c r="J8" s="58">
        <f t="shared" si="1"/>
        <v>0</v>
      </c>
    </row>
    <row r="9" spans="1:10">
      <c r="A9" s="75" t="s">
        <v>7</v>
      </c>
      <c r="B9" s="56">
        <v>935321.94000000006</v>
      </c>
      <c r="C9" s="56">
        <v>0</v>
      </c>
      <c r="D9" s="56">
        <v>0</v>
      </c>
      <c r="E9" s="56">
        <v>0</v>
      </c>
      <c r="F9" s="56">
        <v>1386542</v>
      </c>
      <c r="G9" s="56">
        <v>0</v>
      </c>
      <c r="H9" s="56">
        <v>0</v>
      </c>
      <c r="I9" s="50">
        <v>0</v>
      </c>
      <c r="J9" s="50">
        <v>0</v>
      </c>
    </row>
    <row r="10" spans="1:10">
      <c r="A10" s="75" t="s">
        <v>8</v>
      </c>
      <c r="B10" s="56"/>
      <c r="C10" s="56"/>
      <c r="D10" s="56"/>
      <c r="E10" s="56"/>
      <c r="F10" s="56"/>
      <c r="G10" s="56"/>
      <c r="H10" s="56"/>
      <c r="I10" s="50"/>
      <c r="J10" s="50"/>
    </row>
    <row r="11" spans="1:10">
      <c r="A11" s="75" t="s">
        <v>9</v>
      </c>
      <c r="B11" s="56"/>
      <c r="C11" s="56"/>
      <c r="D11" s="56"/>
      <c r="E11" s="56"/>
      <c r="F11" s="56"/>
      <c r="G11" s="56"/>
      <c r="H11" s="56"/>
      <c r="I11" s="50"/>
      <c r="J11" s="50"/>
    </row>
    <row r="12" spans="1:10">
      <c r="A12" s="75" t="s">
        <v>10</v>
      </c>
      <c r="B12" s="56"/>
      <c r="C12" s="56"/>
      <c r="D12" s="56"/>
      <c r="E12" s="56"/>
      <c r="F12" s="56"/>
      <c r="G12" s="56"/>
      <c r="H12" s="56"/>
      <c r="I12" s="50"/>
      <c r="J12" s="50"/>
    </row>
    <row r="13" spans="1:10">
      <c r="A13" s="55" t="s">
        <v>11</v>
      </c>
      <c r="B13" s="58">
        <f>+B14+B15+B16</f>
        <v>265867</v>
      </c>
      <c r="C13" s="58">
        <f t="shared" ref="C13:J13" si="2">+C14+C15+C16</f>
        <v>0</v>
      </c>
      <c r="D13" s="58">
        <f t="shared" si="2"/>
        <v>0</v>
      </c>
      <c r="E13" s="58">
        <f t="shared" si="2"/>
        <v>0</v>
      </c>
      <c r="F13" s="58">
        <f t="shared" si="2"/>
        <v>472935</v>
      </c>
      <c r="G13" s="58">
        <f t="shared" si="2"/>
        <v>0</v>
      </c>
      <c r="H13" s="58">
        <f t="shared" si="2"/>
        <v>0</v>
      </c>
      <c r="I13" s="58">
        <f t="shared" si="2"/>
        <v>0</v>
      </c>
      <c r="J13" s="58">
        <f t="shared" si="2"/>
        <v>0</v>
      </c>
    </row>
    <row r="14" spans="1:10">
      <c r="A14" s="76" t="s">
        <v>12</v>
      </c>
      <c r="B14" s="56">
        <v>53173</v>
      </c>
      <c r="C14" s="56">
        <v>0</v>
      </c>
      <c r="D14" s="56">
        <v>0</v>
      </c>
      <c r="E14" s="56">
        <v>0</v>
      </c>
      <c r="F14" s="56">
        <v>94587</v>
      </c>
      <c r="G14" s="56">
        <v>0</v>
      </c>
      <c r="H14" s="56">
        <v>0</v>
      </c>
      <c r="I14" s="50">
        <v>0</v>
      </c>
      <c r="J14" s="50">
        <v>0</v>
      </c>
    </row>
    <row r="15" spans="1:10">
      <c r="A15" s="76" t="s">
        <v>13</v>
      </c>
      <c r="B15" s="56">
        <v>106347</v>
      </c>
      <c r="C15" s="56">
        <v>0</v>
      </c>
      <c r="D15" s="56">
        <v>0</v>
      </c>
      <c r="E15" s="56">
        <v>0</v>
      </c>
      <c r="F15" s="56">
        <v>189174</v>
      </c>
      <c r="G15" s="56">
        <v>0</v>
      </c>
      <c r="H15" s="56">
        <v>0</v>
      </c>
      <c r="I15" s="50">
        <v>0</v>
      </c>
      <c r="J15" s="50">
        <v>0</v>
      </c>
    </row>
    <row r="16" spans="1:10">
      <c r="A16" s="76" t="s">
        <v>14</v>
      </c>
      <c r="B16" s="56">
        <v>106347</v>
      </c>
      <c r="C16" s="56">
        <v>0</v>
      </c>
      <c r="D16" s="56">
        <v>0</v>
      </c>
      <c r="E16" s="56">
        <v>0</v>
      </c>
      <c r="F16" s="56">
        <v>189174</v>
      </c>
      <c r="G16" s="56">
        <v>0</v>
      </c>
      <c r="H16" s="56">
        <v>0</v>
      </c>
      <c r="I16" s="50">
        <v>0</v>
      </c>
      <c r="J16" s="50">
        <v>0</v>
      </c>
    </row>
    <row r="17" spans="1:10" ht="17.25">
      <c r="A17" s="57" t="s">
        <v>15</v>
      </c>
      <c r="B17" s="56"/>
      <c r="C17" s="56"/>
      <c r="D17" s="56"/>
      <c r="E17" s="56"/>
      <c r="F17" s="56"/>
      <c r="G17" s="56"/>
      <c r="H17" s="56"/>
      <c r="I17" s="50"/>
      <c r="J17" s="50"/>
    </row>
    <row r="18" spans="1:10">
      <c r="A18" s="61" t="s">
        <v>16</v>
      </c>
      <c r="B18" s="56">
        <v>1</v>
      </c>
      <c r="C18" s="56"/>
      <c r="D18" s="56"/>
      <c r="E18" s="56"/>
      <c r="F18" s="56"/>
      <c r="G18" s="56"/>
      <c r="H18" s="56"/>
      <c r="I18" s="50"/>
      <c r="J18" s="50"/>
    </row>
    <row r="19" spans="1:10">
      <c r="A19" s="61" t="s">
        <v>17</v>
      </c>
      <c r="B19" s="56">
        <v>3133333.33</v>
      </c>
      <c r="C19" s="56"/>
      <c r="D19" s="56"/>
      <c r="E19" s="56"/>
      <c r="F19" s="56"/>
      <c r="G19" s="56"/>
      <c r="H19" s="56"/>
      <c r="I19" s="50"/>
      <c r="J19" s="50"/>
    </row>
    <row r="20" spans="1:10">
      <c r="A20" s="61" t="s">
        <v>18</v>
      </c>
      <c r="B20" s="56">
        <v>3291933.7699999996</v>
      </c>
      <c r="C20" s="56"/>
      <c r="D20" s="56"/>
      <c r="E20" s="56"/>
      <c r="F20" s="56"/>
      <c r="G20" s="56"/>
      <c r="H20" s="56"/>
      <c r="I20" s="50"/>
      <c r="J20" s="50"/>
    </row>
    <row r="21" spans="1:10">
      <c r="A21" s="61" t="s">
        <v>19</v>
      </c>
      <c r="B21" s="56"/>
      <c r="C21" s="56"/>
      <c r="D21" s="56"/>
      <c r="E21" s="56"/>
      <c r="F21" s="56"/>
      <c r="G21" s="56"/>
      <c r="H21" s="56"/>
      <c r="I21" s="50"/>
      <c r="J21" s="50"/>
    </row>
    <row r="22" spans="1:10" ht="17.25">
      <c r="A22" s="57" t="s">
        <v>220</v>
      </c>
      <c r="B22" s="56"/>
      <c r="C22" s="56"/>
      <c r="D22" s="56"/>
      <c r="E22" s="56"/>
      <c r="F22" s="56"/>
      <c r="G22" s="56"/>
      <c r="H22" s="56"/>
      <c r="I22" s="50"/>
      <c r="J22" s="50"/>
    </row>
    <row r="23" spans="1:10">
      <c r="A23" s="61" t="s">
        <v>16</v>
      </c>
      <c r="B23" s="56">
        <v>2</v>
      </c>
      <c r="C23" s="56"/>
      <c r="D23" s="56"/>
      <c r="E23" s="56"/>
      <c r="F23" s="56"/>
      <c r="G23" s="56"/>
      <c r="H23" s="56"/>
      <c r="I23" s="50"/>
      <c r="J23" s="50"/>
    </row>
    <row r="24" spans="1:10">
      <c r="A24" s="61" t="s">
        <v>21</v>
      </c>
      <c r="B24" s="56">
        <v>4392066.9499999993</v>
      </c>
      <c r="C24" s="56"/>
      <c r="D24" s="56"/>
      <c r="E24" s="56"/>
      <c r="F24" s="56"/>
      <c r="G24" s="56"/>
      <c r="H24" s="56"/>
      <c r="I24" s="50"/>
      <c r="J24" s="50"/>
    </row>
    <row r="25" spans="1:10">
      <c r="A25" s="61" t="s">
        <v>22</v>
      </c>
      <c r="B25" s="56">
        <v>4370000</v>
      </c>
      <c r="C25" s="56"/>
      <c r="D25" s="56"/>
      <c r="E25" s="56"/>
      <c r="F25" s="56"/>
      <c r="G25" s="56"/>
      <c r="H25" s="56"/>
      <c r="I25" s="50"/>
      <c r="J25" s="50"/>
    </row>
    <row r="26" spans="1:10">
      <c r="A26" s="61" t="s">
        <v>23</v>
      </c>
      <c r="B26" s="56"/>
      <c r="C26" s="56"/>
      <c r="D26" s="56"/>
      <c r="E26" s="56"/>
      <c r="F26" s="56"/>
      <c r="G26" s="56"/>
      <c r="H26" s="56"/>
      <c r="I26" s="50"/>
      <c r="J26" s="50"/>
    </row>
    <row r="27" spans="1:10">
      <c r="A27" s="61" t="s">
        <v>20</v>
      </c>
      <c r="B27" s="58">
        <f>+B24-B25-B26</f>
        <v>22066.949999999255</v>
      </c>
      <c r="C27" s="58">
        <f t="shared" ref="C27:J27" si="3">+C24-C25-C26</f>
        <v>0</v>
      </c>
      <c r="D27" s="58">
        <f t="shared" si="3"/>
        <v>0</v>
      </c>
      <c r="E27" s="58">
        <f t="shared" si="3"/>
        <v>0</v>
      </c>
      <c r="F27" s="58">
        <f t="shared" si="3"/>
        <v>0</v>
      </c>
      <c r="G27" s="58">
        <f t="shared" si="3"/>
        <v>0</v>
      </c>
      <c r="H27" s="58">
        <f t="shared" si="3"/>
        <v>0</v>
      </c>
      <c r="I27" s="58">
        <f t="shared" si="3"/>
        <v>0</v>
      </c>
      <c r="J27" s="58">
        <f t="shared" si="3"/>
        <v>0</v>
      </c>
    </row>
    <row r="28" spans="1:10">
      <c r="A28" s="60"/>
      <c r="B28" s="56"/>
      <c r="C28" s="56"/>
      <c r="D28" s="56"/>
      <c r="E28" s="56"/>
      <c r="F28" s="56"/>
      <c r="G28" s="56"/>
      <c r="H28" s="56"/>
      <c r="I28" s="50"/>
      <c r="J28" s="50"/>
    </row>
    <row r="29" spans="1:10" ht="17.25">
      <c r="A29" s="57" t="s">
        <v>24</v>
      </c>
      <c r="B29" s="58">
        <f>+SUM(B31:B37)</f>
        <v>0</v>
      </c>
      <c r="C29" s="58">
        <f t="shared" ref="C29:J29" si="4">+SUM(C31:C37)</f>
        <v>0</v>
      </c>
      <c r="D29" s="58">
        <f t="shared" si="4"/>
        <v>23090403.116053849</v>
      </c>
      <c r="E29" s="58">
        <f t="shared" si="4"/>
        <v>9527793.370000001</v>
      </c>
      <c r="F29" s="58">
        <f t="shared" si="4"/>
        <v>0</v>
      </c>
      <c r="G29" s="58">
        <f t="shared" si="4"/>
        <v>11018286.712422144</v>
      </c>
      <c r="H29" s="58">
        <f t="shared" si="4"/>
        <v>3278206.7</v>
      </c>
      <c r="I29" s="58">
        <f t="shared" si="4"/>
        <v>3393384.5700000008</v>
      </c>
      <c r="J29" s="58">
        <f t="shared" si="4"/>
        <v>339674.99</v>
      </c>
    </row>
    <row r="30" spans="1:10">
      <c r="A30" s="62" t="s">
        <v>25</v>
      </c>
      <c r="B30" s="56">
        <v>0</v>
      </c>
      <c r="C30" s="56">
        <v>0</v>
      </c>
      <c r="D30" s="56">
        <v>450</v>
      </c>
      <c r="E30" s="56">
        <v>50</v>
      </c>
      <c r="F30" s="56">
        <v>0</v>
      </c>
      <c r="G30" s="56">
        <v>257</v>
      </c>
      <c r="H30" s="56">
        <v>29</v>
      </c>
      <c r="I30" s="50">
        <v>100</v>
      </c>
      <c r="J30" s="50">
        <v>8</v>
      </c>
    </row>
    <row r="31" spans="1:10">
      <c r="A31" s="61" t="s">
        <v>26</v>
      </c>
      <c r="B31" s="56">
        <v>0</v>
      </c>
      <c r="C31" s="56">
        <v>0</v>
      </c>
      <c r="D31" s="56">
        <v>10374492.649999987</v>
      </c>
      <c r="E31" s="56">
        <v>7654167.4400000004</v>
      </c>
      <c r="F31" s="56">
        <v>0</v>
      </c>
      <c r="G31" s="56">
        <v>5779455.7499999981</v>
      </c>
      <c r="H31" s="56">
        <v>2514776</v>
      </c>
      <c r="I31" s="50">
        <v>2238751.3700000006</v>
      </c>
      <c r="J31" s="50">
        <v>221339.39</v>
      </c>
    </row>
    <row r="32" spans="1:10">
      <c r="A32" s="61" t="s">
        <v>27</v>
      </c>
      <c r="B32" s="56">
        <v>0</v>
      </c>
      <c r="C32" s="56">
        <v>0</v>
      </c>
      <c r="D32" s="56">
        <v>3327672.9700000007</v>
      </c>
      <c r="E32" s="56">
        <v>1873625.93</v>
      </c>
      <c r="F32" s="56">
        <v>0</v>
      </c>
      <c r="G32" s="56">
        <v>1908792.2400000002</v>
      </c>
      <c r="H32" s="56">
        <v>763430.70000000007</v>
      </c>
      <c r="I32" s="50">
        <v>680691</v>
      </c>
      <c r="J32" s="50">
        <v>118335.6</v>
      </c>
    </row>
    <row r="33" spans="1:10">
      <c r="A33" s="61" t="s">
        <v>28</v>
      </c>
      <c r="B33" s="56">
        <v>0</v>
      </c>
      <c r="C33" s="56">
        <v>0</v>
      </c>
      <c r="D33" s="56">
        <v>3560311.49</v>
      </c>
      <c r="E33" s="56">
        <v>0</v>
      </c>
      <c r="F33" s="56">
        <v>0</v>
      </c>
      <c r="G33" s="56">
        <v>2707176.44</v>
      </c>
      <c r="H33" s="56">
        <v>0</v>
      </c>
      <c r="I33" s="50">
        <v>359162.93</v>
      </c>
      <c r="J33" s="50">
        <v>0</v>
      </c>
    </row>
    <row r="34" spans="1:10">
      <c r="A34" s="61" t="s">
        <v>29</v>
      </c>
      <c r="B34" s="56">
        <v>0</v>
      </c>
      <c r="C34" s="56">
        <v>0</v>
      </c>
      <c r="D34" s="56">
        <v>2725840</v>
      </c>
      <c r="E34" s="56">
        <v>0</v>
      </c>
      <c r="F34" s="56">
        <v>0</v>
      </c>
      <c r="G34" s="56">
        <v>177929.3</v>
      </c>
      <c r="H34" s="56">
        <v>0</v>
      </c>
      <c r="I34" s="50">
        <v>74613</v>
      </c>
      <c r="J34" s="50">
        <v>0</v>
      </c>
    </row>
    <row r="35" spans="1:10">
      <c r="A35" s="61" t="s">
        <v>30</v>
      </c>
      <c r="B35" s="56">
        <v>0</v>
      </c>
      <c r="C35" s="56">
        <v>0</v>
      </c>
      <c r="D35" s="56">
        <v>891498.91</v>
      </c>
      <c r="E35" s="56">
        <v>0</v>
      </c>
      <c r="F35" s="56">
        <v>0</v>
      </c>
      <c r="G35" s="56">
        <v>165994.35999999999</v>
      </c>
      <c r="H35" s="56">
        <v>0</v>
      </c>
      <c r="I35" s="50">
        <v>40166.269999999997</v>
      </c>
      <c r="J35" s="50">
        <v>0</v>
      </c>
    </row>
    <row r="36" spans="1:10">
      <c r="A36" s="61" t="s">
        <v>31</v>
      </c>
      <c r="B36" s="56">
        <v>0</v>
      </c>
      <c r="C36" s="56">
        <v>0</v>
      </c>
      <c r="D36" s="56">
        <v>1709327.67605386</v>
      </c>
      <c r="E36" s="56">
        <v>0</v>
      </c>
      <c r="F36" s="56">
        <v>0</v>
      </c>
      <c r="G36" s="56">
        <v>278938.62242214597</v>
      </c>
      <c r="H36" s="56">
        <v>0</v>
      </c>
      <c r="I36" s="50">
        <v>0</v>
      </c>
      <c r="J36" s="50">
        <v>0</v>
      </c>
    </row>
    <row r="37" spans="1:10">
      <c r="A37" s="61" t="s">
        <v>32</v>
      </c>
      <c r="B37" s="56">
        <v>0</v>
      </c>
      <c r="C37" s="56">
        <v>0</v>
      </c>
      <c r="D37" s="56">
        <v>501259.42</v>
      </c>
      <c r="E37" s="56">
        <v>0</v>
      </c>
      <c r="F37" s="56">
        <v>0</v>
      </c>
      <c r="G37" s="56">
        <v>0</v>
      </c>
      <c r="H37" s="56">
        <v>0</v>
      </c>
      <c r="I37" s="50">
        <v>0</v>
      </c>
      <c r="J37" s="50">
        <v>0</v>
      </c>
    </row>
    <row r="38" spans="1:10">
      <c r="A38" s="62" t="s">
        <v>33</v>
      </c>
      <c r="B38" s="58">
        <f>+SUM(B39:B42)</f>
        <v>83344</v>
      </c>
      <c r="C38" s="58">
        <f t="shared" ref="C38:J38" si="5">+SUM(C39:C42)</f>
        <v>0</v>
      </c>
      <c r="D38" s="58">
        <f t="shared" si="5"/>
        <v>14998722.955999995</v>
      </c>
      <c r="E38" s="58">
        <f t="shared" si="5"/>
        <v>6492673.1040000003</v>
      </c>
      <c r="F38" s="58">
        <f t="shared" si="5"/>
        <v>0</v>
      </c>
      <c r="G38" s="58">
        <f t="shared" si="5"/>
        <v>7732626.4700000016</v>
      </c>
      <c r="H38" s="58">
        <f t="shared" si="5"/>
        <v>2156786.17</v>
      </c>
      <c r="I38" s="58">
        <f t="shared" si="5"/>
        <v>2684197.8820000002</v>
      </c>
      <c r="J38" s="58">
        <f t="shared" si="5"/>
        <v>180425.478</v>
      </c>
    </row>
    <row r="39" spans="1:10">
      <c r="A39" s="61" t="s">
        <v>34</v>
      </c>
      <c r="B39" s="56">
        <v>0</v>
      </c>
      <c r="C39" s="56">
        <v>0</v>
      </c>
      <c r="D39" s="56">
        <v>13383974.249999994</v>
      </c>
      <c r="E39" s="56">
        <v>6043922.6000000006</v>
      </c>
      <c r="F39" s="56">
        <v>0</v>
      </c>
      <c r="G39" s="56">
        <v>7351759.1500000013</v>
      </c>
      <c r="H39" s="56">
        <v>2026483.3599999999</v>
      </c>
      <c r="I39" s="50">
        <v>2428470.41</v>
      </c>
      <c r="J39" s="50">
        <v>126696.16</v>
      </c>
    </row>
    <row r="40" spans="1:10">
      <c r="A40" s="61" t="s">
        <v>35</v>
      </c>
      <c r="B40" s="56">
        <v>0</v>
      </c>
      <c r="C40" s="56">
        <v>0</v>
      </c>
      <c r="D40" s="56">
        <v>642923</v>
      </c>
      <c r="E40" s="56">
        <v>179000</v>
      </c>
      <c r="F40" s="56">
        <v>0</v>
      </c>
      <c r="G40" s="56">
        <v>242746</v>
      </c>
      <c r="H40" s="56">
        <v>110887</v>
      </c>
      <c r="I40" s="50">
        <v>206000</v>
      </c>
      <c r="J40" s="50">
        <v>30000</v>
      </c>
    </row>
    <row r="41" spans="1:10">
      <c r="A41" s="61" t="s">
        <v>36</v>
      </c>
      <c r="B41" s="56">
        <v>0</v>
      </c>
      <c r="C41" s="56">
        <v>0</v>
      </c>
      <c r="D41" s="56">
        <v>394141.56599999999</v>
      </c>
      <c r="E41" s="56">
        <v>269750.50400000002</v>
      </c>
      <c r="F41" s="56">
        <v>0</v>
      </c>
      <c r="G41" s="56">
        <v>35318.319999999992</v>
      </c>
      <c r="H41" s="56">
        <v>19415.810000000001</v>
      </c>
      <c r="I41" s="50">
        <v>49727.471999999994</v>
      </c>
      <c r="J41" s="50">
        <v>23729.317999999999</v>
      </c>
    </row>
    <row r="42" spans="1:10">
      <c r="A42" s="61" t="s">
        <v>37</v>
      </c>
      <c r="B42" s="56">
        <v>83344</v>
      </c>
      <c r="C42" s="56">
        <v>0</v>
      </c>
      <c r="D42" s="56">
        <v>577684.1399999999</v>
      </c>
      <c r="E42" s="56">
        <v>0</v>
      </c>
      <c r="F42" s="56">
        <v>0</v>
      </c>
      <c r="G42" s="56">
        <v>102803</v>
      </c>
      <c r="H42" s="56">
        <v>0</v>
      </c>
      <c r="I42" s="50">
        <v>0</v>
      </c>
      <c r="J42" s="50">
        <v>0</v>
      </c>
    </row>
    <row r="43" spans="1:10">
      <c r="A43" s="62" t="s">
        <v>20</v>
      </c>
      <c r="B43" s="58">
        <f>+B29-B38</f>
        <v>-83344</v>
      </c>
      <c r="C43" s="58">
        <f t="shared" ref="C43:J43" si="6">+C29-C38</f>
        <v>0</v>
      </c>
      <c r="D43" s="58">
        <f t="shared" si="6"/>
        <v>8091680.1600538548</v>
      </c>
      <c r="E43" s="58">
        <f t="shared" si="6"/>
        <v>3035120.2660000008</v>
      </c>
      <c r="F43" s="58">
        <f t="shared" si="6"/>
        <v>0</v>
      </c>
      <c r="G43" s="58">
        <f t="shared" si="6"/>
        <v>3285660.2424221421</v>
      </c>
      <c r="H43" s="58">
        <f t="shared" si="6"/>
        <v>1121420.5300000003</v>
      </c>
      <c r="I43" s="58">
        <f t="shared" si="6"/>
        <v>709186.68800000055</v>
      </c>
      <c r="J43" s="58">
        <f t="shared" si="6"/>
        <v>159249.51199999999</v>
      </c>
    </row>
    <row r="44" spans="1:10">
      <c r="A44" s="61" t="s">
        <v>38</v>
      </c>
      <c r="B44" s="56">
        <v>0</v>
      </c>
      <c r="C44" s="56">
        <v>0</v>
      </c>
      <c r="D44" s="56">
        <v>385113.72809031658</v>
      </c>
      <c r="E44" s="56">
        <v>0</v>
      </c>
      <c r="F44" s="56">
        <v>0</v>
      </c>
      <c r="G44" s="56">
        <v>214540.39491902466</v>
      </c>
      <c r="H44" s="56">
        <v>0</v>
      </c>
      <c r="I44" s="50">
        <v>83105.161423773825</v>
      </c>
      <c r="J44" s="50">
        <v>0</v>
      </c>
    </row>
    <row r="45" spans="1:10">
      <c r="A45" s="61" t="s">
        <v>39</v>
      </c>
      <c r="B45" s="56"/>
      <c r="C45" s="56"/>
      <c r="D45" s="56"/>
      <c r="E45" s="56"/>
      <c r="F45" s="56"/>
      <c r="G45" s="56"/>
      <c r="H45" s="56"/>
      <c r="I45" s="50"/>
      <c r="J45" s="50"/>
    </row>
    <row r="46" spans="1:10">
      <c r="A46" s="61" t="s">
        <v>40</v>
      </c>
      <c r="B46" s="56"/>
      <c r="C46" s="56"/>
      <c r="D46" s="56"/>
      <c r="E46" s="56"/>
      <c r="F46" s="56"/>
      <c r="G46" s="56"/>
      <c r="H46" s="56"/>
      <c r="I46" s="50"/>
      <c r="J46" s="50"/>
    </row>
    <row r="47" spans="1:10">
      <c r="A47" s="62" t="s">
        <v>41</v>
      </c>
      <c r="B47" s="58">
        <f>+B43+B44+B45+B46</f>
        <v>-83344</v>
      </c>
      <c r="C47" s="58">
        <f t="shared" ref="C47:J47" si="7">+C43+C44+C45+C46</f>
        <v>0</v>
      </c>
      <c r="D47" s="58">
        <f t="shared" si="7"/>
        <v>8476793.8881441709</v>
      </c>
      <c r="E47" s="58">
        <f t="shared" si="7"/>
        <v>3035120.2660000008</v>
      </c>
      <c r="F47" s="58">
        <f t="shared" si="7"/>
        <v>0</v>
      </c>
      <c r="G47" s="58">
        <f t="shared" si="7"/>
        <v>3500200.6373411668</v>
      </c>
      <c r="H47" s="58">
        <f t="shared" si="7"/>
        <v>1121420.5300000003</v>
      </c>
      <c r="I47" s="58">
        <f t="shared" si="7"/>
        <v>792291.8494237744</v>
      </c>
      <c r="J47" s="58">
        <f t="shared" si="7"/>
        <v>159249.51199999999</v>
      </c>
    </row>
    <row r="48" spans="1:10">
      <c r="A48" s="60"/>
      <c r="B48" s="56"/>
      <c r="C48" s="56"/>
      <c r="D48" s="56"/>
      <c r="E48" s="56"/>
      <c r="F48" s="56"/>
      <c r="G48" s="56"/>
      <c r="H48" s="56"/>
      <c r="I48" s="50"/>
      <c r="J48" s="50"/>
    </row>
    <row r="49" spans="1:10" ht="17.25">
      <c r="A49" s="57" t="s">
        <v>42</v>
      </c>
      <c r="B49" s="58">
        <f>+B51+B52</f>
        <v>0</v>
      </c>
      <c r="C49" s="58">
        <f t="shared" ref="C49:J49" si="8">+C51+C52</f>
        <v>1173792.3500000003</v>
      </c>
      <c r="D49" s="58">
        <f t="shared" si="8"/>
        <v>0</v>
      </c>
      <c r="E49" s="58">
        <f t="shared" si="8"/>
        <v>0</v>
      </c>
      <c r="F49" s="58">
        <f t="shared" si="8"/>
        <v>0</v>
      </c>
      <c r="G49" s="58">
        <f t="shared" si="8"/>
        <v>0</v>
      </c>
      <c r="H49" s="58">
        <f t="shared" si="8"/>
        <v>0</v>
      </c>
      <c r="I49" s="58">
        <f t="shared" si="8"/>
        <v>0</v>
      </c>
      <c r="J49" s="58">
        <f t="shared" si="8"/>
        <v>0</v>
      </c>
    </row>
    <row r="50" spans="1:10">
      <c r="A50" s="61" t="s">
        <v>3</v>
      </c>
      <c r="B50" s="56"/>
      <c r="C50" s="56">
        <v>21</v>
      </c>
      <c r="D50" s="56"/>
      <c r="E50" s="56"/>
      <c r="F50" s="56"/>
      <c r="G50" s="56"/>
      <c r="H50" s="56"/>
      <c r="I50" s="50"/>
      <c r="J50" s="50"/>
    </row>
    <row r="51" spans="1:10">
      <c r="A51" s="61" t="s">
        <v>43</v>
      </c>
      <c r="B51" s="56"/>
      <c r="C51" s="56">
        <v>745378.10000000009</v>
      </c>
      <c r="D51" s="56"/>
      <c r="E51" s="56"/>
      <c r="F51" s="56"/>
      <c r="G51" s="56"/>
      <c r="H51" s="56"/>
      <c r="I51" s="50"/>
      <c r="J51" s="50"/>
    </row>
    <row r="52" spans="1:10">
      <c r="A52" s="61" t="s">
        <v>30</v>
      </c>
      <c r="B52" s="56"/>
      <c r="C52" s="56">
        <v>428414.25000000017</v>
      </c>
      <c r="D52" s="56"/>
      <c r="E52" s="56"/>
      <c r="F52" s="56"/>
      <c r="G52" s="56"/>
      <c r="H52" s="56"/>
      <c r="I52" s="50"/>
      <c r="J52" s="50"/>
    </row>
    <row r="53" spans="1:10">
      <c r="A53" s="61" t="s">
        <v>33</v>
      </c>
      <c r="B53" s="56"/>
      <c r="C53" s="56">
        <v>1040817.6899999987</v>
      </c>
      <c r="D53" s="56"/>
      <c r="E53" s="56"/>
      <c r="F53" s="56"/>
      <c r="G53" s="56"/>
      <c r="H53" s="56"/>
      <c r="I53" s="50"/>
      <c r="J53" s="50"/>
    </row>
    <row r="54" spans="1:10">
      <c r="A54" s="62" t="s">
        <v>20</v>
      </c>
      <c r="B54" s="58">
        <f>+B49-B53</f>
        <v>0</v>
      </c>
      <c r="C54" s="58">
        <f>+C49-C53</f>
        <v>132974.66000000166</v>
      </c>
      <c r="D54" s="58">
        <f t="shared" ref="D54:J54" si="9">+D49-D53</f>
        <v>0</v>
      </c>
      <c r="E54" s="58">
        <f t="shared" si="9"/>
        <v>0</v>
      </c>
      <c r="F54" s="58">
        <f t="shared" si="9"/>
        <v>0</v>
      </c>
      <c r="G54" s="58">
        <f t="shared" si="9"/>
        <v>0</v>
      </c>
      <c r="H54" s="58">
        <f t="shared" si="9"/>
        <v>0</v>
      </c>
      <c r="I54" s="58">
        <f t="shared" si="9"/>
        <v>0</v>
      </c>
      <c r="J54" s="58">
        <f t="shared" si="9"/>
        <v>0</v>
      </c>
    </row>
    <row r="55" spans="1:10">
      <c r="A55" s="61" t="s">
        <v>44</v>
      </c>
      <c r="B55" s="56">
        <v>0</v>
      </c>
      <c r="C55" s="56">
        <v>245882.99999999997</v>
      </c>
      <c r="D55" s="56">
        <v>489578</v>
      </c>
      <c r="E55" s="56">
        <v>0</v>
      </c>
      <c r="F55" s="56">
        <v>0</v>
      </c>
      <c r="G55" s="56">
        <v>250680</v>
      </c>
      <c r="H55" s="56">
        <v>0</v>
      </c>
      <c r="I55" s="50">
        <v>26760</v>
      </c>
      <c r="J55" s="50">
        <v>0</v>
      </c>
    </row>
    <row r="56" spans="1:10">
      <c r="A56" s="61" t="s">
        <v>33</v>
      </c>
      <c r="B56" s="56">
        <v>0</v>
      </c>
      <c r="C56" s="56">
        <v>122941.49999999999</v>
      </c>
      <c r="D56" s="56">
        <v>244789</v>
      </c>
      <c r="E56" s="56">
        <v>0</v>
      </c>
      <c r="F56" s="56">
        <v>0</v>
      </c>
      <c r="G56" s="56">
        <v>125340</v>
      </c>
      <c r="H56" s="56">
        <v>0</v>
      </c>
      <c r="I56" s="50">
        <v>13380</v>
      </c>
      <c r="J56" s="50">
        <v>0</v>
      </c>
    </row>
    <row r="57" spans="1:10">
      <c r="A57" s="62" t="s">
        <v>20</v>
      </c>
      <c r="B57" s="58">
        <f t="shared" ref="B57:J57" si="10">+B55-B56</f>
        <v>0</v>
      </c>
      <c r="C57" s="58">
        <f t="shared" si="10"/>
        <v>122941.49999999999</v>
      </c>
      <c r="D57" s="58">
        <f t="shared" si="10"/>
        <v>244789</v>
      </c>
      <c r="E57" s="58">
        <f t="shared" si="10"/>
        <v>0</v>
      </c>
      <c r="F57" s="58">
        <f t="shared" si="10"/>
        <v>0</v>
      </c>
      <c r="G57" s="58">
        <f t="shared" si="10"/>
        <v>125340</v>
      </c>
      <c r="H57" s="58">
        <f t="shared" si="10"/>
        <v>0</v>
      </c>
      <c r="I57" s="58">
        <f t="shared" si="10"/>
        <v>13380</v>
      </c>
      <c r="J57" s="58">
        <f t="shared" si="10"/>
        <v>0</v>
      </c>
    </row>
    <row r="58" spans="1:10">
      <c r="A58" s="62" t="s">
        <v>45</v>
      </c>
      <c r="B58" s="56">
        <f>+B54+B57</f>
        <v>0</v>
      </c>
      <c r="C58" s="56">
        <f t="shared" ref="C58:J58" si="11">+C54+C57</f>
        <v>255916.16000000166</v>
      </c>
      <c r="D58" s="56">
        <f t="shared" si="11"/>
        <v>244789</v>
      </c>
      <c r="E58" s="56">
        <f t="shared" si="11"/>
        <v>0</v>
      </c>
      <c r="F58" s="56">
        <f t="shared" si="11"/>
        <v>0</v>
      </c>
      <c r="G58" s="56">
        <f t="shared" si="11"/>
        <v>125340</v>
      </c>
      <c r="H58" s="56">
        <f t="shared" si="11"/>
        <v>0</v>
      </c>
      <c r="I58" s="56">
        <f t="shared" si="11"/>
        <v>13380</v>
      </c>
      <c r="J58" s="56">
        <f t="shared" si="11"/>
        <v>0</v>
      </c>
    </row>
    <row r="59" spans="1:10">
      <c r="A59" s="60"/>
      <c r="B59" s="56"/>
      <c r="C59" s="56"/>
      <c r="D59" s="56"/>
      <c r="E59" s="56"/>
      <c r="F59" s="56"/>
      <c r="G59" s="56"/>
      <c r="H59" s="56"/>
      <c r="I59" s="50"/>
      <c r="J59" s="50"/>
    </row>
    <row r="60" spans="1:10">
      <c r="A60" s="63" t="s">
        <v>46</v>
      </c>
      <c r="B60" s="58">
        <f>+SUM(B61:B69)</f>
        <v>579323</v>
      </c>
      <c r="C60" s="58">
        <f t="shared" ref="C60:J60" si="12">+SUM(C61:C69)</f>
        <v>0</v>
      </c>
      <c r="D60" s="58">
        <f t="shared" si="12"/>
        <v>789435.8</v>
      </c>
      <c r="E60" s="58">
        <f t="shared" si="12"/>
        <v>700542</v>
      </c>
      <c r="F60" s="58">
        <f t="shared" si="12"/>
        <v>614383.89</v>
      </c>
      <c r="G60" s="58">
        <f t="shared" si="12"/>
        <v>37000</v>
      </c>
      <c r="H60" s="58">
        <f t="shared" si="12"/>
        <v>0</v>
      </c>
      <c r="I60" s="58">
        <f t="shared" si="12"/>
        <v>6731</v>
      </c>
      <c r="J60" s="58">
        <f t="shared" si="12"/>
        <v>0</v>
      </c>
    </row>
    <row r="61" spans="1:10">
      <c r="A61" s="61" t="s">
        <v>47</v>
      </c>
      <c r="B61" s="56">
        <v>70943</v>
      </c>
      <c r="C61" s="56">
        <v>0</v>
      </c>
      <c r="D61" s="56">
        <v>0</v>
      </c>
      <c r="E61" s="56">
        <v>0</v>
      </c>
      <c r="F61" s="56">
        <v>258637.28</v>
      </c>
      <c r="G61" s="56">
        <v>0</v>
      </c>
      <c r="H61" s="56">
        <v>0</v>
      </c>
      <c r="I61" s="50">
        <v>0</v>
      </c>
      <c r="J61" s="50">
        <v>0</v>
      </c>
    </row>
    <row r="62" spans="1:10">
      <c r="A62" s="61" t="s">
        <v>48</v>
      </c>
      <c r="B62" s="56">
        <v>0</v>
      </c>
      <c r="C62" s="56">
        <v>0</v>
      </c>
      <c r="D62" s="56">
        <v>0</v>
      </c>
      <c r="E62" s="56">
        <v>700542</v>
      </c>
      <c r="F62" s="56">
        <v>0</v>
      </c>
      <c r="G62" s="56">
        <v>0</v>
      </c>
      <c r="H62" s="56">
        <v>0</v>
      </c>
      <c r="I62" s="50">
        <v>0</v>
      </c>
      <c r="J62" s="50">
        <v>0</v>
      </c>
    </row>
    <row r="63" spans="1:10">
      <c r="A63" s="61" t="s">
        <v>49</v>
      </c>
      <c r="B63" s="56">
        <v>233380</v>
      </c>
      <c r="C63" s="56">
        <v>0</v>
      </c>
      <c r="D63" s="56">
        <v>0</v>
      </c>
      <c r="E63" s="56">
        <v>0</v>
      </c>
      <c r="F63" s="56">
        <v>105746.61</v>
      </c>
      <c r="G63" s="56">
        <v>0</v>
      </c>
      <c r="H63" s="56">
        <v>0</v>
      </c>
      <c r="I63" s="50">
        <v>0</v>
      </c>
      <c r="J63" s="50">
        <v>0</v>
      </c>
    </row>
    <row r="64" spans="1:10">
      <c r="A64" s="61" t="s">
        <v>50</v>
      </c>
      <c r="B64" s="56">
        <v>0</v>
      </c>
      <c r="C64" s="56">
        <v>0</v>
      </c>
      <c r="D64" s="56">
        <v>0</v>
      </c>
      <c r="E64" s="56">
        <v>0</v>
      </c>
      <c r="F64" s="56">
        <v>0</v>
      </c>
      <c r="G64" s="56">
        <v>0</v>
      </c>
      <c r="H64" s="56">
        <v>0</v>
      </c>
      <c r="I64" s="50">
        <v>0</v>
      </c>
      <c r="J64" s="50">
        <v>0</v>
      </c>
    </row>
    <row r="65" spans="1:10">
      <c r="A65" s="61" t="s">
        <v>51</v>
      </c>
      <c r="B65" s="56">
        <v>0</v>
      </c>
      <c r="C65" s="56">
        <v>0</v>
      </c>
      <c r="D65" s="56">
        <v>0</v>
      </c>
      <c r="E65" s="56">
        <v>0</v>
      </c>
      <c r="F65" s="56">
        <v>0</v>
      </c>
      <c r="G65" s="56">
        <v>0</v>
      </c>
      <c r="H65" s="56">
        <v>0</v>
      </c>
      <c r="I65" s="50">
        <v>0</v>
      </c>
      <c r="J65" s="50">
        <v>0</v>
      </c>
    </row>
    <row r="66" spans="1:10">
      <c r="A66" s="61" t="s">
        <v>52</v>
      </c>
      <c r="B66" s="56">
        <v>0</v>
      </c>
      <c r="C66" s="56">
        <v>0</v>
      </c>
      <c r="D66" s="56">
        <v>54301</v>
      </c>
      <c r="E66" s="56">
        <v>0</v>
      </c>
      <c r="F66" s="56">
        <v>0</v>
      </c>
      <c r="G66" s="56">
        <v>37000</v>
      </c>
      <c r="H66" s="56">
        <v>0</v>
      </c>
      <c r="I66" s="50">
        <v>6731</v>
      </c>
      <c r="J66" s="50">
        <v>0</v>
      </c>
    </row>
    <row r="67" spans="1:10">
      <c r="A67" s="61" t="s">
        <v>53</v>
      </c>
      <c r="B67" s="56">
        <v>275000</v>
      </c>
      <c r="C67" s="56">
        <v>0</v>
      </c>
      <c r="D67" s="56">
        <v>735134.8</v>
      </c>
      <c r="E67" s="56">
        <v>0</v>
      </c>
      <c r="F67" s="56">
        <v>250000</v>
      </c>
      <c r="G67" s="56">
        <v>0</v>
      </c>
      <c r="H67" s="56">
        <v>0</v>
      </c>
      <c r="I67" s="50">
        <v>0</v>
      </c>
      <c r="J67" s="50">
        <v>0</v>
      </c>
    </row>
    <row r="68" spans="1:10">
      <c r="A68" s="61" t="s">
        <v>54</v>
      </c>
      <c r="B68" s="56">
        <v>0</v>
      </c>
      <c r="C68" s="56">
        <v>0</v>
      </c>
      <c r="D68" s="56">
        <v>0</v>
      </c>
      <c r="E68" s="56">
        <v>0</v>
      </c>
      <c r="F68" s="56">
        <v>0</v>
      </c>
      <c r="G68" s="56">
        <v>0</v>
      </c>
      <c r="H68" s="56">
        <v>0</v>
      </c>
      <c r="I68" s="50">
        <v>0</v>
      </c>
      <c r="J68" s="50">
        <v>0</v>
      </c>
    </row>
    <row r="69" spans="1:10">
      <c r="A69" s="61" t="s">
        <v>55</v>
      </c>
      <c r="B69" s="56">
        <v>0</v>
      </c>
      <c r="C69" s="56">
        <v>0</v>
      </c>
      <c r="D69" s="56">
        <v>0</v>
      </c>
      <c r="E69" s="56">
        <v>0</v>
      </c>
      <c r="F69" s="56">
        <v>0</v>
      </c>
      <c r="G69" s="56">
        <v>0</v>
      </c>
      <c r="H69" s="56">
        <v>0</v>
      </c>
      <c r="I69" s="50">
        <v>0</v>
      </c>
      <c r="J69" s="50">
        <v>0</v>
      </c>
    </row>
    <row r="70" spans="1:10">
      <c r="A70" s="64" t="s">
        <v>56</v>
      </c>
      <c r="B70" s="58">
        <f>+(B7/3.5%)+B8+B13+B29+B27+B49+B55+B60</f>
        <v>40529236.032857135</v>
      </c>
      <c r="C70" s="58">
        <f t="shared" ref="C70:J70" si="13">+(C7/3.5%)+C8+C13+C29+C27+C49+C55+C60</f>
        <v>1419675.3500000003</v>
      </c>
      <c r="D70" s="58">
        <f t="shared" si="13"/>
        <v>24369416.91605385</v>
      </c>
      <c r="E70" s="58">
        <f t="shared" si="13"/>
        <v>10228335.370000001</v>
      </c>
      <c r="F70" s="58">
        <f t="shared" si="13"/>
        <v>87899689.461428568</v>
      </c>
      <c r="G70" s="58">
        <f t="shared" si="13"/>
        <v>11305966.712422144</v>
      </c>
      <c r="H70" s="58">
        <f t="shared" si="13"/>
        <v>3278206.7</v>
      </c>
      <c r="I70" s="58">
        <f t="shared" si="13"/>
        <v>3426875.5700000008</v>
      </c>
      <c r="J70" s="58">
        <f t="shared" si="13"/>
        <v>339674.99</v>
      </c>
    </row>
    <row r="71" spans="1:10">
      <c r="A71" s="64" t="s">
        <v>57</v>
      </c>
      <c r="B71" s="58">
        <f>+B6+B27+B47+B58+B60</f>
        <v>3074667.8899999992</v>
      </c>
      <c r="C71" s="58">
        <f t="shared" ref="C71:J71" si="14">+C6+C27+C47+C58+C60</f>
        <v>255916.16000000166</v>
      </c>
      <c r="D71" s="58">
        <f t="shared" si="14"/>
        <v>9511018.6881441716</v>
      </c>
      <c r="E71" s="58">
        <f t="shared" si="14"/>
        <v>3735662.2660000008</v>
      </c>
      <c r="F71" s="58">
        <f t="shared" si="14"/>
        <v>5463764.8899999997</v>
      </c>
      <c r="G71" s="58">
        <f t="shared" si="14"/>
        <v>3662540.6373411668</v>
      </c>
      <c r="H71" s="58">
        <f t="shared" si="14"/>
        <v>1121420.5300000003</v>
      </c>
      <c r="I71" s="58">
        <f t="shared" si="14"/>
        <v>812402.8494237744</v>
      </c>
      <c r="J71" s="58">
        <f t="shared" si="14"/>
        <v>159249.51199999999</v>
      </c>
    </row>
    <row r="72" spans="1:10">
      <c r="A72" s="65" t="s">
        <v>58</v>
      </c>
      <c r="B72" s="111">
        <f>IFERROR(B71/B70,0)</f>
        <v>7.5862961924753766E-2</v>
      </c>
      <c r="C72" s="111">
        <f t="shared" ref="C72:J72" si="15">IFERROR(C71/C70,0)</f>
        <v>0.18026386102991898</v>
      </c>
      <c r="D72" s="111">
        <f t="shared" si="15"/>
        <v>0.39028503311782542</v>
      </c>
      <c r="E72" s="111">
        <f t="shared" si="15"/>
        <v>0.36522680679368458</v>
      </c>
      <c r="F72" s="111">
        <f t="shared" si="15"/>
        <v>6.2159092068209923E-2</v>
      </c>
      <c r="G72" s="111">
        <f t="shared" si="15"/>
        <v>0.32394758719013772</v>
      </c>
      <c r="H72" s="111">
        <f t="shared" si="15"/>
        <v>0.34208353304872452</v>
      </c>
      <c r="I72" s="111">
        <f t="shared" si="15"/>
        <v>0.23706809098521608</v>
      </c>
      <c r="J72" s="111">
        <f t="shared" si="15"/>
        <v>0.46882907687728198</v>
      </c>
    </row>
    <row r="73" spans="1:10">
      <c r="A73" s="60"/>
      <c r="B73" s="56"/>
      <c r="C73" s="56"/>
      <c r="D73" s="56"/>
      <c r="E73" s="56"/>
      <c r="F73" s="56"/>
      <c r="G73" s="56"/>
      <c r="H73" s="56"/>
      <c r="I73" s="50"/>
      <c r="J73" s="50"/>
    </row>
    <row r="74" spans="1:10">
      <c r="A74" s="60"/>
      <c r="B74" s="56"/>
      <c r="C74" s="56"/>
      <c r="D74" s="56"/>
      <c r="E74" s="56"/>
      <c r="F74" s="56"/>
      <c r="G74" s="56"/>
      <c r="H74" s="56"/>
      <c r="I74" s="50"/>
      <c r="J74" s="50"/>
    </row>
    <row r="75" spans="1:10" ht="17.25">
      <c r="A75" s="17" t="s">
        <v>59</v>
      </c>
      <c r="B75" s="67">
        <f>+B76+B87+B90</f>
        <v>1645410.87</v>
      </c>
      <c r="C75" s="67">
        <f t="shared" ref="C75:J75" si="16">+C76+C87+C90</f>
        <v>5700</v>
      </c>
      <c r="D75" s="67">
        <f t="shared" si="16"/>
        <v>357355.59700000007</v>
      </c>
      <c r="E75" s="67">
        <f t="shared" si="16"/>
        <v>198149.59299999999</v>
      </c>
      <c r="F75" s="67">
        <f t="shared" si="16"/>
        <v>1216891.97</v>
      </c>
      <c r="G75" s="67">
        <f t="shared" si="16"/>
        <v>195725.90400000004</v>
      </c>
      <c r="H75" s="67">
        <f t="shared" si="16"/>
        <v>79574.19</v>
      </c>
      <c r="I75" s="67">
        <f t="shared" si="16"/>
        <v>90317.1</v>
      </c>
      <c r="J75" s="67">
        <f t="shared" si="16"/>
        <v>11833.560000000001</v>
      </c>
    </row>
    <row r="76" spans="1:10">
      <c r="A76" s="66" t="s">
        <v>60</v>
      </c>
      <c r="B76" s="67">
        <f>+SUM(B77:B86)</f>
        <v>768017.01</v>
      </c>
      <c r="C76" s="67">
        <f t="shared" ref="C76:J76" si="17">+SUM(C77:C86)</f>
        <v>0</v>
      </c>
      <c r="D76" s="67">
        <f t="shared" si="17"/>
        <v>0</v>
      </c>
      <c r="E76" s="67">
        <f t="shared" si="17"/>
        <v>10787</v>
      </c>
      <c r="F76" s="67">
        <f t="shared" si="17"/>
        <v>411973.64</v>
      </c>
      <c r="G76" s="67">
        <f t="shared" si="17"/>
        <v>0</v>
      </c>
      <c r="H76" s="67">
        <f t="shared" si="17"/>
        <v>0</v>
      </c>
      <c r="I76" s="67">
        <f t="shared" si="17"/>
        <v>0</v>
      </c>
      <c r="J76" s="67">
        <f t="shared" si="17"/>
        <v>0</v>
      </c>
    </row>
    <row r="77" spans="1:10">
      <c r="A77" s="61" t="s">
        <v>61</v>
      </c>
      <c r="B77" s="68">
        <v>419487.05</v>
      </c>
      <c r="C77" s="68">
        <v>0</v>
      </c>
      <c r="D77" s="68">
        <v>0</v>
      </c>
      <c r="E77" s="68">
        <v>0</v>
      </c>
      <c r="F77" s="68">
        <v>90641.7</v>
      </c>
      <c r="G77" s="68">
        <v>0</v>
      </c>
      <c r="H77" s="68">
        <v>0</v>
      </c>
      <c r="I77" s="68">
        <v>0</v>
      </c>
      <c r="J77" s="68">
        <v>0</v>
      </c>
    </row>
    <row r="78" spans="1:10">
      <c r="A78" s="61" t="s">
        <v>62</v>
      </c>
      <c r="B78" s="68">
        <v>175654.05</v>
      </c>
      <c r="C78" s="68">
        <v>0</v>
      </c>
      <c r="D78" s="68">
        <v>0</v>
      </c>
      <c r="E78" s="68">
        <v>0</v>
      </c>
      <c r="F78" s="68">
        <v>175263.03</v>
      </c>
      <c r="G78" s="68">
        <v>0</v>
      </c>
      <c r="H78" s="68">
        <v>0</v>
      </c>
      <c r="I78" s="68">
        <v>0</v>
      </c>
      <c r="J78" s="68">
        <v>0</v>
      </c>
    </row>
    <row r="79" spans="1:10">
      <c r="A79" s="61" t="s">
        <v>63</v>
      </c>
      <c r="B79" s="68">
        <v>0</v>
      </c>
      <c r="C79" s="68">
        <v>0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</row>
    <row r="80" spans="1:10">
      <c r="A80" s="61" t="s">
        <v>221</v>
      </c>
      <c r="B80" s="68">
        <v>112515.91</v>
      </c>
      <c r="C80" s="68">
        <v>0</v>
      </c>
      <c r="D80" s="68">
        <v>0</v>
      </c>
      <c r="E80" s="68">
        <v>0</v>
      </c>
      <c r="F80" s="68">
        <v>123010.91</v>
      </c>
      <c r="G80" s="68">
        <v>0</v>
      </c>
      <c r="H80" s="68">
        <v>0</v>
      </c>
      <c r="I80" s="68">
        <v>0</v>
      </c>
      <c r="J80" s="68">
        <v>0</v>
      </c>
    </row>
    <row r="81" spans="1:10">
      <c r="A81" s="61" t="s">
        <v>65</v>
      </c>
      <c r="B81" s="68">
        <v>0</v>
      </c>
      <c r="C81" s="68">
        <v>0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</row>
    <row r="82" spans="1:10">
      <c r="A82" s="61" t="s">
        <v>66</v>
      </c>
      <c r="B82" s="68">
        <v>0</v>
      </c>
      <c r="C82" s="68">
        <v>0</v>
      </c>
      <c r="D82" s="68">
        <v>0</v>
      </c>
      <c r="E82" s="68">
        <v>10787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</row>
    <row r="83" spans="1:10">
      <c r="A83" s="61" t="s">
        <v>67</v>
      </c>
      <c r="B83" s="68">
        <v>50000</v>
      </c>
      <c r="C83" s="68">
        <v>0</v>
      </c>
      <c r="D83" s="68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</row>
    <row r="84" spans="1:10">
      <c r="A84" s="61" t="s">
        <v>68</v>
      </c>
      <c r="B84" s="68">
        <v>10360</v>
      </c>
      <c r="C84" s="68">
        <v>0</v>
      </c>
      <c r="D84" s="68">
        <v>0</v>
      </c>
      <c r="E84" s="68">
        <v>0</v>
      </c>
      <c r="F84" s="68">
        <v>23058</v>
      </c>
      <c r="G84" s="68">
        <v>0</v>
      </c>
      <c r="H84" s="68">
        <v>0</v>
      </c>
      <c r="I84" s="68">
        <v>0</v>
      </c>
      <c r="J84" s="68">
        <v>0</v>
      </c>
    </row>
    <row r="85" spans="1:10">
      <c r="A85" s="61" t="s">
        <v>69</v>
      </c>
      <c r="B85" s="68">
        <v>0</v>
      </c>
      <c r="C85" s="68">
        <v>0</v>
      </c>
      <c r="D85" s="68">
        <v>0</v>
      </c>
      <c r="E85" s="68">
        <v>0</v>
      </c>
      <c r="F85" s="68">
        <v>0</v>
      </c>
      <c r="G85" s="68">
        <v>0</v>
      </c>
      <c r="H85" s="68">
        <v>0</v>
      </c>
      <c r="I85" s="68">
        <v>0</v>
      </c>
      <c r="J85" s="68">
        <v>0</v>
      </c>
    </row>
    <row r="86" spans="1:10">
      <c r="A86" s="61" t="s">
        <v>70</v>
      </c>
      <c r="B86" s="68">
        <v>0</v>
      </c>
      <c r="C86" s="68">
        <v>0</v>
      </c>
      <c r="D86" s="68">
        <v>0</v>
      </c>
      <c r="E86" s="68">
        <v>0</v>
      </c>
      <c r="F86" s="68">
        <v>0</v>
      </c>
      <c r="G86" s="68">
        <v>0</v>
      </c>
      <c r="H86" s="68">
        <v>0</v>
      </c>
      <c r="I86" s="68">
        <v>0</v>
      </c>
      <c r="J86" s="68">
        <v>0</v>
      </c>
    </row>
    <row r="87" spans="1:10">
      <c r="A87" s="66" t="s">
        <v>71</v>
      </c>
      <c r="B87" s="67">
        <f>+SUM(B88:B89)</f>
        <v>187208</v>
      </c>
      <c r="C87" s="67">
        <f t="shared" ref="C87:J87" si="18">+SUM(C88:C89)</f>
        <v>5700</v>
      </c>
      <c r="D87" s="67">
        <f t="shared" si="18"/>
        <v>357355.59700000007</v>
      </c>
      <c r="E87" s="67">
        <f t="shared" si="18"/>
        <v>187362.59299999999</v>
      </c>
      <c r="F87" s="67">
        <f t="shared" si="18"/>
        <v>471000</v>
      </c>
      <c r="G87" s="67">
        <f t="shared" si="18"/>
        <v>190879.22400000005</v>
      </c>
      <c r="H87" s="67">
        <f t="shared" si="18"/>
        <v>76343.070000000007</v>
      </c>
      <c r="I87" s="67">
        <f t="shared" si="18"/>
        <v>68069.100000000006</v>
      </c>
      <c r="J87" s="67">
        <f t="shared" si="18"/>
        <v>11833.560000000001</v>
      </c>
    </row>
    <row r="88" spans="1:10">
      <c r="A88" s="61" t="s">
        <v>222</v>
      </c>
      <c r="B88" s="68">
        <v>187208</v>
      </c>
      <c r="C88" s="68">
        <v>5700</v>
      </c>
      <c r="D88" s="68">
        <v>357355.59700000007</v>
      </c>
      <c r="E88" s="68">
        <v>187362.59299999999</v>
      </c>
      <c r="F88" s="68">
        <v>471000</v>
      </c>
      <c r="G88" s="68">
        <v>190879.22400000005</v>
      </c>
      <c r="H88" s="68">
        <v>76343.070000000007</v>
      </c>
      <c r="I88" s="68">
        <v>68069.100000000006</v>
      </c>
      <c r="J88" s="68">
        <v>11833.560000000001</v>
      </c>
    </row>
    <row r="89" spans="1:10">
      <c r="A89" s="61" t="s">
        <v>223</v>
      </c>
      <c r="B89" s="68"/>
      <c r="C89" s="68"/>
      <c r="D89" s="68"/>
      <c r="E89" s="68"/>
      <c r="F89" s="68"/>
      <c r="G89" s="68"/>
      <c r="H89" s="68"/>
      <c r="I89" s="68"/>
      <c r="J89" s="68"/>
    </row>
    <row r="90" spans="1:10">
      <c r="A90" s="66" t="s">
        <v>72</v>
      </c>
      <c r="B90" s="67">
        <f>+SUM(B91:B102)</f>
        <v>690185.86</v>
      </c>
      <c r="C90" s="67">
        <f t="shared" ref="C90:J90" si="19">+SUM(C91:C102)</f>
        <v>0</v>
      </c>
      <c r="D90" s="67">
        <f t="shared" si="19"/>
        <v>0</v>
      </c>
      <c r="E90" s="67">
        <f t="shared" si="19"/>
        <v>0</v>
      </c>
      <c r="F90" s="67">
        <f t="shared" si="19"/>
        <v>333918.33</v>
      </c>
      <c r="G90" s="67">
        <f t="shared" si="19"/>
        <v>4846.68</v>
      </c>
      <c r="H90" s="67">
        <f t="shared" si="19"/>
        <v>3231.1200000000003</v>
      </c>
      <c r="I90" s="67">
        <f t="shared" si="19"/>
        <v>22248</v>
      </c>
      <c r="J90" s="67">
        <f t="shared" si="19"/>
        <v>0</v>
      </c>
    </row>
    <row r="91" spans="1:10">
      <c r="A91" s="61" t="s">
        <v>224</v>
      </c>
      <c r="B91" s="68">
        <v>0</v>
      </c>
      <c r="C91" s="68">
        <v>0</v>
      </c>
      <c r="D91" s="68">
        <v>0</v>
      </c>
      <c r="E91" s="68">
        <v>0</v>
      </c>
      <c r="F91" s="68">
        <v>8000</v>
      </c>
      <c r="G91" s="68">
        <v>0</v>
      </c>
      <c r="H91" s="68">
        <v>0</v>
      </c>
      <c r="I91" s="68">
        <v>0</v>
      </c>
      <c r="J91" s="68">
        <v>0</v>
      </c>
    </row>
    <row r="92" spans="1:10">
      <c r="A92" s="61" t="s">
        <v>73</v>
      </c>
      <c r="B92" s="68">
        <v>0</v>
      </c>
      <c r="C92" s="68">
        <v>0</v>
      </c>
      <c r="D92" s="68">
        <v>0</v>
      </c>
      <c r="E92" s="68">
        <v>0</v>
      </c>
      <c r="F92" s="68">
        <v>4000</v>
      </c>
      <c r="G92" s="68">
        <v>0</v>
      </c>
      <c r="H92" s="68">
        <v>0</v>
      </c>
      <c r="I92" s="68">
        <v>900</v>
      </c>
      <c r="J92" s="68">
        <v>0</v>
      </c>
    </row>
    <row r="93" spans="1:10">
      <c r="A93" s="61" t="s">
        <v>74</v>
      </c>
      <c r="B93" s="68">
        <v>173561.25</v>
      </c>
      <c r="C93" s="68">
        <v>0</v>
      </c>
      <c r="D93" s="68">
        <v>0</v>
      </c>
      <c r="E93" s="68">
        <v>0</v>
      </c>
      <c r="F93" s="68">
        <v>51044.800000000003</v>
      </c>
      <c r="G93" s="68">
        <v>425.87999999999994</v>
      </c>
      <c r="H93" s="68">
        <v>283.92</v>
      </c>
      <c r="I93" s="68">
        <v>0</v>
      </c>
      <c r="J93" s="68">
        <v>0</v>
      </c>
    </row>
    <row r="94" spans="1:10">
      <c r="A94" s="61" t="s">
        <v>75</v>
      </c>
      <c r="B94" s="68">
        <v>14000</v>
      </c>
      <c r="C94" s="68">
        <v>0</v>
      </c>
      <c r="D94" s="68">
        <v>0</v>
      </c>
      <c r="E94" s="68">
        <v>0</v>
      </c>
      <c r="F94" s="68">
        <v>3000</v>
      </c>
      <c r="G94" s="68">
        <v>0</v>
      </c>
      <c r="H94" s="68">
        <v>0</v>
      </c>
      <c r="I94" s="68">
        <v>0</v>
      </c>
      <c r="J94" s="68">
        <v>0</v>
      </c>
    </row>
    <row r="95" spans="1:10">
      <c r="A95" s="61" t="s">
        <v>76</v>
      </c>
      <c r="B95" s="68">
        <v>0</v>
      </c>
      <c r="C95" s="68">
        <v>0</v>
      </c>
      <c r="D95" s="68">
        <v>0</v>
      </c>
      <c r="E95" s="68">
        <v>0</v>
      </c>
      <c r="F95" s="68">
        <v>0</v>
      </c>
      <c r="G95" s="68">
        <v>0</v>
      </c>
      <c r="H95" s="68">
        <v>0</v>
      </c>
      <c r="I95" s="68">
        <v>0</v>
      </c>
      <c r="J95" s="68">
        <v>0</v>
      </c>
    </row>
    <row r="96" spans="1:10">
      <c r="A96" s="61" t="s">
        <v>77</v>
      </c>
      <c r="B96" s="68">
        <v>225957.58</v>
      </c>
      <c r="C96" s="68">
        <v>0</v>
      </c>
      <c r="D96" s="68"/>
      <c r="E96" s="68">
        <v>0</v>
      </c>
      <c r="F96" s="68">
        <v>89752.82</v>
      </c>
      <c r="G96" s="68">
        <v>0</v>
      </c>
      <c r="H96" s="68">
        <v>0</v>
      </c>
      <c r="I96" s="68">
        <v>0</v>
      </c>
      <c r="J96" s="68">
        <v>0</v>
      </c>
    </row>
    <row r="97" spans="1:10">
      <c r="A97" s="61" t="s">
        <v>78</v>
      </c>
      <c r="B97" s="68">
        <v>49123.15</v>
      </c>
      <c r="C97" s="68">
        <v>0</v>
      </c>
      <c r="D97" s="68">
        <v>0</v>
      </c>
      <c r="E97" s="68">
        <v>0</v>
      </c>
      <c r="F97" s="68">
        <v>10409.780000000001</v>
      </c>
      <c r="G97" s="68">
        <v>0</v>
      </c>
      <c r="H97" s="68">
        <v>0</v>
      </c>
      <c r="I97" s="68">
        <v>0</v>
      </c>
      <c r="J97" s="68">
        <v>0</v>
      </c>
    </row>
    <row r="98" spans="1:10">
      <c r="A98" s="61" t="s">
        <v>79</v>
      </c>
      <c r="B98" s="68">
        <v>67973.350000000006</v>
      </c>
      <c r="C98" s="68">
        <v>0</v>
      </c>
      <c r="D98" s="68">
        <v>0</v>
      </c>
      <c r="E98" s="68">
        <v>0</v>
      </c>
      <c r="F98" s="68">
        <v>83452.760000000009</v>
      </c>
      <c r="G98" s="68">
        <v>0</v>
      </c>
      <c r="H98" s="68">
        <v>0</v>
      </c>
      <c r="I98" s="68">
        <v>0</v>
      </c>
      <c r="J98" s="68">
        <v>0</v>
      </c>
    </row>
    <row r="99" spans="1:10">
      <c r="A99" s="61" t="s">
        <v>80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</row>
    <row r="100" spans="1:10">
      <c r="A100" s="61" t="s">
        <v>81</v>
      </c>
      <c r="B100" s="68">
        <v>0</v>
      </c>
      <c r="C100" s="68">
        <v>0</v>
      </c>
      <c r="D100" s="68">
        <v>0</v>
      </c>
      <c r="E100" s="68">
        <v>0</v>
      </c>
      <c r="F100" s="68">
        <v>0</v>
      </c>
      <c r="G100" s="68">
        <v>0</v>
      </c>
      <c r="H100" s="68">
        <v>0</v>
      </c>
      <c r="I100" s="68">
        <v>0</v>
      </c>
      <c r="J100" s="68">
        <v>0</v>
      </c>
    </row>
    <row r="101" spans="1:10">
      <c r="A101" s="61" t="s">
        <v>82</v>
      </c>
      <c r="B101" s="68">
        <v>132339.37</v>
      </c>
      <c r="C101" s="68">
        <v>0</v>
      </c>
      <c r="D101" s="68">
        <v>0</v>
      </c>
      <c r="E101" s="68">
        <v>0</v>
      </c>
      <c r="F101" s="68">
        <v>76890.17</v>
      </c>
      <c r="G101" s="68">
        <v>0</v>
      </c>
      <c r="H101" s="68">
        <v>0</v>
      </c>
      <c r="I101" s="68">
        <v>0</v>
      </c>
      <c r="J101" s="68">
        <v>0</v>
      </c>
    </row>
    <row r="102" spans="1:10">
      <c r="A102" s="61" t="s">
        <v>83</v>
      </c>
      <c r="B102" s="68">
        <v>27231.16</v>
      </c>
      <c r="C102" s="68">
        <v>0</v>
      </c>
      <c r="D102" s="68">
        <v>0</v>
      </c>
      <c r="E102" s="68">
        <v>0</v>
      </c>
      <c r="F102" s="68">
        <v>7368</v>
      </c>
      <c r="G102" s="68">
        <v>4420.8</v>
      </c>
      <c r="H102" s="68">
        <v>2947.2000000000003</v>
      </c>
      <c r="I102" s="68">
        <v>21348</v>
      </c>
      <c r="J102" s="68">
        <v>0</v>
      </c>
    </row>
    <row r="103" spans="1:10">
      <c r="A103" s="61"/>
      <c r="B103" s="68"/>
      <c r="C103" s="68"/>
      <c r="D103" s="68"/>
      <c r="E103" s="68"/>
      <c r="F103" s="68"/>
      <c r="G103" s="68"/>
      <c r="H103" s="68"/>
      <c r="I103" s="69"/>
      <c r="J103" s="69"/>
    </row>
    <row r="104" spans="1:10" ht="17.25">
      <c r="A104" s="70" t="s">
        <v>84</v>
      </c>
      <c r="B104" s="67">
        <f>+SUM(B105:B113)</f>
        <v>586554.71</v>
      </c>
      <c r="C104" s="67">
        <f t="shared" ref="C104:J104" si="20">+SUM(C105:C113)</f>
        <v>0</v>
      </c>
      <c r="D104" s="67">
        <f t="shared" si="20"/>
        <v>78998.95</v>
      </c>
      <c r="E104" s="67">
        <f t="shared" si="20"/>
        <v>1800</v>
      </c>
      <c r="F104" s="67">
        <f t="shared" si="20"/>
        <v>386466.46000000008</v>
      </c>
      <c r="G104" s="67">
        <f t="shared" si="20"/>
        <v>58637.599999999999</v>
      </c>
      <c r="H104" s="67">
        <f t="shared" si="20"/>
        <v>900</v>
      </c>
      <c r="I104" s="67">
        <f t="shared" si="20"/>
        <v>136168.75799999997</v>
      </c>
      <c r="J104" s="67">
        <f t="shared" si="20"/>
        <v>79225.172000000006</v>
      </c>
    </row>
    <row r="105" spans="1:10">
      <c r="A105" s="61" t="s">
        <v>85</v>
      </c>
      <c r="B105" s="68">
        <v>4430.0200000000004</v>
      </c>
      <c r="C105" s="68">
        <v>0</v>
      </c>
      <c r="D105" s="68">
        <v>112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</row>
    <row r="106" spans="1:10">
      <c r="A106" s="61" t="s">
        <v>86</v>
      </c>
      <c r="B106" s="68">
        <v>195203.49000000002</v>
      </c>
      <c r="C106" s="68">
        <v>0</v>
      </c>
      <c r="D106" s="68">
        <v>0</v>
      </c>
      <c r="E106" s="68">
        <v>0</v>
      </c>
      <c r="F106" s="68">
        <v>130135.66000000002</v>
      </c>
      <c r="G106" s="68">
        <v>0</v>
      </c>
      <c r="H106" s="68">
        <v>0</v>
      </c>
      <c r="I106" s="68">
        <v>0</v>
      </c>
      <c r="J106" s="68">
        <v>0</v>
      </c>
    </row>
    <row r="107" spans="1:10">
      <c r="A107" s="61" t="s">
        <v>87</v>
      </c>
      <c r="B107" s="68">
        <v>0</v>
      </c>
      <c r="C107" s="68">
        <v>0</v>
      </c>
      <c r="D107" s="68">
        <v>0</v>
      </c>
      <c r="E107" s="68">
        <v>0</v>
      </c>
      <c r="F107" s="68">
        <v>0</v>
      </c>
      <c r="G107" s="68">
        <v>0</v>
      </c>
      <c r="H107" s="68">
        <v>0</v>
      </c>
      <c r="I107" s="68">
        <v>0</v>
      </c>
      <c r="J107" s="68">
        <v>0</v>
      </c>
    </row>
    <row r="108" spans="1:10">
      <c r="A108" s="61" t="s">
        <v>88</v>
      </c>
      <c r="B108" s="68">
        <v>137250</v>
      </c>
      <c r="C108" s="68">
        <v>0</v>
      </c>
      <c r="D108" s="68">
        <v>0</v>
      </c>
      <c r="E108" s="68">
        <v>0</v>
      </c>
      <c r="F108" s="68">
        <v>91500</v>
      </c>
      <c r="G108" s="68">
        <v>0</v>
      </c>
      <c r="H108" s="68">
        <v>0</v>
      </c>
      <c r="I108" s="68">
        <v>0</v>
      </c>
      <c r="J108" s="68">
        <v>0</v>
      </c>
    </row>
    <row r="109" spans="1:10">
      <c r="A109" s="61" t="s">
        <v>89</v>
      </c>
      <c r="B109" s="68">
        <v>11200</v>
      </c>
      <c r="C109" s="68">
        <v>0</v>
      </c>
      <c r="D109" s="68">
        <v>48400</v>
      </c>
      <c r="E109" s="68">
        <v>0</v>
      </c>
      <c r="F109" s="68">
        <v>6100</v>
      </c>
      <c r="G109" s="68">
        <v>42840</v>
      </c>
      <c r="H109" s="68">
        <v>0</v>
      </c>
      <c r="I109" s="68">
        <v>0</v>
      </c>
      <c r="J109" s="68">
        <v>0</v>
      </c>
    </row>
    <row r="110" spans="1:10">
      <c r="A110" s="61" t="s">
        <v>90</v>
      </c>
      <c r="B110" s="68">
        <v>238471.19999999998</v>
      </c>
      <c r="C110" s="68">
        <v>0</v>
      </c>
      <c r="D110" s="68">
        <v>2700</v>
      </c>
      <c r="E110" s="68">
        <v>1800</v>
      </c>
      <c r="F110" s="68">
        <v>157230.80000000002</v>
      </c>
      <c r="G110" s="68">
        <v>1350</v>
      </c>
      <c r="H110" s="68">
        <v>900</v>
      </c>
      <c r="I110" s="68">
        <v>0</v>
      </c>
      <c r="J110" s="68">
        <v>0</v>
      </c>
    </row>
    <row r="111" spans="1:10">
      <c r="A111" s="61" t="s">
        <v>91</v>
      </c>
      <c r="B111" s="68">
        <v>0</v>
      </c>
      <c r="C111" s="68">
        <v>0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</row>
    <row r="112" spans="1:10">
      <c r="A112" s="61" t="s">
        <v>92</v>
      </c>
      <c r="B112" s="68">
        <v>0</v>
      </c>
      <c r="C112" s="68">
        <v>0</v>
      </c>
      <c r="D112" s="68">
        <v>27786.949999999997</v>
      </c>
      <c r="E112" s="68">
        <v>0</v>
      </c>
      <c r="F112" s="68">
        <v>0</v>
      </c>
      <c r="G112" s="68">
        <v>14447.6</v>
      </c>
      <c r="H112" s="68">
        <v>0</v>
      </c>
      <c r="I112" s="68">
        <v>136168.75799999997</v>
      </c>
      <c r="J112" s="68">
        <v>79225.172000000006</v>
      </c>
    </row>
    <row r="113" spans="1:10">
      <c r="A113" s="61" t="s">
        <v>225</v>
      </c>
      <c r="B113" s="68">
        <v>0</v>
      </c>
      <c r="C113" s="68">
        <v>0</v>
      </c>
      <c r="D113" s="68">
        <v>0</v>
      </c>
      <c r="E113" s="68">
        <v>0</v>
      </c>
      <c r="F113" s="68">
        <v>1500</v>
      </c>
      <c r="G113" s="68">
        <v>0</v>
      </c>
      <c r="H113" s="68">
        <v>0</v>
      </c>
      <c r="I113" s="68">
        <v>0</v>
      </c>
      <c r="J113" s="68">
        <v>0</v>
      </c>
    </row>
    <row r="114" spans="1:10">
      <c r="A114" s="60"/>
      <c r="B114" s="68"/>
      <c r="C114" s="68"/>
      <c r="D114" s="68"/>
      <c r="E114" s="68"/>
      <c r="F114" s="68"/>
      <c r="G114" s="68"/>
      <c r="H114" s="68"/>
      <c r="I114" s="69"/>
      <c r="J114" s="69"/>
    </row>
    <row r="115" spans="1:10" ht="17.25">
      <c r="A115" s="71" t="s">
        <v>211</v>
      </c>
      <c r="B115" s="67">
        <f>+B116+B129+B133+B138+B146+B150</f>
        <v>3179213.594797276</v>
      </c>
      <c r="C115" s="67">
        <f t="shared" ref="C115:J115" si="21">+C116+C129+C133+C138+C146+C150</f>
        <v>36950</v>
      </c>
      <c r="D115" s="67">
        <f t="shared" si="21"/>
        <v>1731264.2259195137</v>
      </c>
      <c r="E115" s="67">
        <f t="shared" si="21"/>
        <v>384971.99321335467</v>
      </c>
      <c r="F115" s="67">
        <f t="shared" si="21"/>
        <v>1053384.5504775641</v>
      </c>
      <c r="G115" s="67">
        <f t="shared" si="21"/>
        <v>832310.30934898497</v>
      </c>
      <c r="H115" s="67">
        <f t="shared" si="21"/>
        <v>126477.07882126069</v>
      </c>
      <c r="I115" s="67">
        <f t="shared" si="21"/>
        <v>522042.06410256412</v>
      </c>
      <c r="J115" s="67">
        <f t="shared" si="21"/>
        <v>86623.048076923078</v>
      </c>
    </row>
    <row r="116" spans="1:10">
      <c r="A116" s="72" t="s">
        <v>94</v>
      </c>
      <c r="B116" s="67">
        <f>+SUM(B117:B128)</f>
        <v>2751918.9947972759</v>
      </c>
      <c r="C116" s="67">
        <f t="shared" ref="C116:J116" si="22">+SUM(C117:C128)</f>
        <v>36950</v>
      </c>
      <c r="D116" s="67">
        <f t="shared" si="22"/>
        <v>1413954.3279195139</v>
      </c>
      <c r="E116" s="67">
        <f t="shared" si="22"/>
        <v>298318.82121335471</v>
      </c>
      <c r="F116" s="67">
        <f t="shared" si="22"/>
        <v>863015.98547756404</v>
      </c>
      <c r="G116" s="67">
        <f t="shared" si="22"/>
        <v>656245.73034898494</v>
      </c>
      <c r="H116" s="67">
        <f t="shared" si="22"/>
        <v>67176.692821260687</v>
      </c>
      <c r="I116" s="67">
        <f t="shared" si="22"/>
        <v>352175.06410256412</v>
      </c>
      <c r="J116" s="67">
        <f t="shared" si="22"/>
        <v>84993.048076923078</v>
      </c>
    </row>
    <row r="117" spans="1:10">
      <c r="A117" s="61" t="s">
        <v>95</v>
      </c>
      <c r="B117" s="68">
        <v>1108400</v>
      </c>
      <c r="C117" s="68">
        <v>15000</v>
      </c>
      <c r="D117" s="68">
        <v>555742</v>
      </c>
      <c r="E117" s="68">
        <v>95300</v>
      </c>
      <c r="F117" s="68">
        <v>335505</v>
      </c>
      <c r="G117" s="68">
        <v>256406</v>
      </c>
      <c r="H117" s="68">
        <v>17400</v>
      </c>
      <c r="I117" s="68">
        <v>159000</v>
      </c>
      <c r="J117" s="68">
        <v>37056</v>
      </c>
    </row>
    <row r="118" spans="1:10">
      <c r="A118" s="61" t="s">
        <v>96</v>
      </c>
      <c r="B118" s="68">
        <v>138958</v>
      </c>
      <c r="C118" s="68">
        <v>2500</v>
      </c>
      <c r="D118" s="68">
        <v>82489</v>
      </c>
      <c r="E118" s="68">
        <v>17120</v>
      </c>
      <c r="F118" s="68">
        <v>50144</v>
      </c>
      <c r="G118" s="68">
        <v>43399</v>
      </c>
      <c r="H118" s="68">
        <v>2620</v>
      </c>
      <c r="I118" s="68">
        <v>22750</v>
      </c>
      <c r="J118" s="68">
        <v>5521</v>
      </c>
    </row>
    <row r="119" spans="1:10">
      <c r="A119" s="61" t="s">
        <v>97</v>
      </c>
      <c r="B119" s="68">
        <v>31500</v>
      </c>
      <c r="C119" s="68">
        <v>0</v>
      </c>
      <c r="D119" s="68">
        <v>1500</v>
      </c>
      <c r="E119" s="68">
        <v>2500</v>
      </c>
      <c r="F119" s="68">
        <v>8528</v>
      </c>
      <c r="G119" s="68">
        <v>3000</v>
      </c>
      <c r="H119" s="68">
        <v>0</v>
      </c>
      <c r="I119" s="68">
        <v>0</v>
      </c>
      <c r="J119" s="68">
        <v>0</v>
      </c>
    </row>
    <row r="120" spans="1:10">
      <c r="A120" s="61" t="s">
        <v>98</v>
      </c>
      <c r="B120" s="68">
        <v>382909</v>
      </c>
      <c r="C120" s="68">
        <v>4000</v>
      </c>
      <c r="D120" s="68">
        <v>192569</v>
      </c>
      <c r="E120" s="68">
        <v>32720</v>
      </c>
      <c r="F120" s="68">
        <v>113340</v>
      </c>
      <c r="G120" s="68">
        <v>94549</v>
      </c>
      <c r="H120" s="68">
        <v>5680</v>
      </c>
      <c r="I120" s="68">
        <v>62300</v>
      </c>
      <c r="J120" s="68">
        <v>14823</v>
      </c>
    </row>
    <row r="121" spans="1:10">
      <c r="A121" s="61" t="s">
        <v>99</v>
      </c>
      <c r="B121" s="68">
        <v>84050</v>
      </c>
      <c r="C121" s="68">
        <v>0</v>
      </c>
      <c r="D121" s="68">
        <v>39506</v>
      </c>
      <c r="E121" s="68">
        <v>4100</v>
      </c>
      <c r="F121" s="68">
        <v>27594</v>
      </c>
      <c r="G121" s="68">
        <v>24019</v>
      </c>
      <c r="H121" s="68">
        <v>2400</v>
      </c>
      <c r="I121" s="68">
        <v>13400</v>
      </c>
      <c r="J121" s="68">
        <v>0</v>
      </c>
    </row>
    <row r="122" spans="1:10">
      <c r="A122" s="61" t="s">
        <v>100</v>
      </c>
      <c r="B122" s="68">
        <v>46050</v>
      </c>
      <c r="C122" s="68">
        <v>500</v>
      </c>
      <c r="D122" s="68">
        <v>18800</v>
      </c>
      <c r="E122" s="68">
        <v>2000</v>
      </c>
      <c r="F122" s="68">
        <v>8139</v>
      </c>
      <c r="G122" s="68">
        <v>12500</v>
      </c>
      <c r="H122" s="68">
        <v>1500</v>
      </c>
      <c r="I122" s="68">
        <v>2500</v>
      </c>
      <c r="J122" s="68">
        <v>0</v>
      </c>
    </row>
    <row r="123" spans="1:10">
      <c r="A123" s="61" t="s">
        <v>101</v>
      </c>
      <c r="B123" s="68">
        <v>628433</v>
      </c>
      <c r="C123" s="68">
        <v>13000</v>
      </c>
      <c r="D123" s="68">
        <v>278597</v>
      </c>
      <c r="E123" s="68">
        <v>53060</v>
      </c>
      <c r="F123" s="68">
        <v>166476</v>
      </c>
      <c r="G123" s="68">
        <v>109739</v>
      </c>
      <c r="H123" s="68">
        <v>7400</v>
      </c>
      <c r="I123" s="68">
        <v>54050</v>
      </c>
      <c r="J123" s="68">
        <v>16713</v>
      </c>
    </row>
    <row r="124" spans="1:10">
      <c r="A124" s="61" t="s">
        <v>102</v>
      </c>
      <c r="B124" s="68">
        <v>107556.71915625001</v>
      </c>
      <c r="C124" s="68">
        <v>1949.9999999999998</v>
      </c>
      <c r="D124" s="68">
        <v>74658.494586180561</v>
      </c>
      <c r="E124" s="68">
        <v>14646.494290277777</v>
      </c>
      <c r="F124" s="68">
        <v>43454.504708333327</v>
      </c>
      <c r="G124" s="68">
        <v>35293.217528472225</v>
      </c>
      <c r="H124" s="68">
        <v>2286.8210263888886</v>
      </c>
      <c r="I124" s="68">
        <v>18806.666666666668</v>
      </c>
      <c r="J124" s="68">
        <v>5646.875</v>
      </c>
    </row>
    <row r="125" spans="1:10">
      <c r="A125" s="61" t="s">
        <v>103</v>
      </c>
      <c r="B125" s="68">
        <v>4821.25</v>
      </c>
      <c r="C125" s="68">
        <v>0</v>
      </c>
      <c r="D125" s="68">
        <v>6992</v>
      </c>
      <c r="E125" s="68">
        <v>1866.75</v>
      </c>
      <c r="F125" s="68">
        <v>2066.25</v>
      </c>
      <c r="G125" s="68">
        <v>3752.5</v>
      </c>
      <c r="H125" s="68">
        <v>0</v>
      </c>
      <c r="I125" s="68">
        <v>807.5</v>
      </c>
      <c r="J125" s="68">
        <v>0</v>
      </c>
    </row>
    <row r="126" spans="1:10">
      <c r="A126" s="61" t="s">
        <v>104</v>
      </c>
      <c r="B126" s="68">
        <v>104600</v>
      </c>
      <c r="C126" s="68">
        <v>0</v>
      </c>
      <c r="D126" s="68">
        <v>92430</v>
      </c>
      <c r="E126" s="68">
        <v>61620</v>
      </c>
      <c r="F126" s="68">
        <v>64425</v>
      </c>
      <c r="G126" s="68">
        <v>38655</v>
      </c>
      <c r="H126" s="68">
        <v>25770</v>
      </c>
      <c r="I126" s="68">
        <v>0</v>
      </c>
      <c r="J126" s="68">
        <v>0</v>
      </c>
    </row>
    <row r="127" spans="1:10">
      <c r="A127" s="61" t="s">
        <v>105</v>
      </c>
      <c r="B127" s="68">
        <v>54057.692307692305</v>
      </c>
      <c r="C127" s="68">
        <v>0</v>
      </c>
      <c r="D127" s="68">
        <v>28437.499999999996</v>
      </c>
      <c r="E127" s="68">
        <v>5110.5769230769229</v>
      </c>
      <c r="F127" s="68">
        <v>18769.230769230773</v>
      </c>
      <c r="G127" s="68">
        <v>14716.346153846156</v>
      </c>
      <c r="H127" s="68">
        <v>836.53846153846155</v>
      </c>
      <c r="I127" s="68">
        <v>7644.2307692307695</v>
      </c>
      <c r="J127" s="68">
        <v>1983.1730769230771</v>
      </c>
    </row>
    <row r="128" spans="1:10">
      <c r="A128" s="61" t="s">
        <v>226</v>
      </c>
      <c r="B128" s="68">
        <v>60583.333333333343</v>
      </c>
      <c r="C128" s="68">
        <v>0</v>
      </c>
      <c r="D128" s="68">
        <v>42233.333333333328</v>
      </c>
      <c r="E128" s="68">
        <v>8274.9999999999982</v>
      </c>
      <c r="F128" s="68">
        <v>24574.999999999996</v>
      </c>
      <c r="G128" s="68">
        <v>20216.666666666664</v>
      </c>
      <c r="H128" s="68">
        <v>1283.3333333333333</v>
      </c>
      <c r="I128" s="68">
        <v>10916.666666666664</v>
      </c>
      <c r="J128" s="68">
        <v>3250</v>
      </c>
    </row>
    <row r="129" spans="1:10">
      <c r="A129" s="72" t="s">
        <v>106</v>
      </c>
      <c r="B129" s="67">
        <f>+SUM(B130:B132)</f>
        <v>0</v>
      </c>
      <c r="C129" s="67">
        <f t="shared" ref="C129:J129" si="23">+SUM(C130:C132)</f>
        <v>0</v>
      </c>
      <c r="D129" s="67">
        <f t="shared" si="23"/>
        <v>0</v>
      </c>
      <c r="E129" s="67">
        <f t="shared" si="23"/>
        <v>0</v>
      </c>
      <c r="F129" s="67">
        <f t="shared" si="23"/>
        <v>0</v>
      </c>
      <c r="G129" s="67">
        <f t="shared" si="23"/>
        <v>0</v>
      </c>
      <c r="H129" s="67">
        <f t="shared" si="23"/>
        <v>0</v>
      </c>
      <c r="I129" s="67">
        <f t="shared" si="23"/>
        <v>0</v>
      </c>
      <c r="J129" s="67">
        <f t="shared" si="23"/>
        <v>0</v>
      </c>
    </row>
    <row r="130" spans="1:10">
      <c r="A130" s="61" t="s">
        <v>107</v>
      </c>
      <c r="B130" s="68">
        <v>0</v>
      </c>
      <c r="C130" s="68">
        <v>0</v>
      </c>
      <c r="D130" s="68">
        <v>0</v>
      </c>
      <c r="E130" s="68">
        <v>0</v>
      </c>
      <c r="F130" s="68">
        <v>0</v>
      </c>
      <c r="G130" s="68">
        <v>0</v>
      </c>
      <c r="H130" s="68">
        <v>0</v>
      </c>
      <c r="I130" s="68">
        <v>0</v>
      </c>
      <c r="J130" s="68">
        <v>0</v>
      </c>
    </row>
    <row r="131" spans="1:10">
      <c r="A131" s="61" t="s">
        <v>108</v>
      </c>
      <c r="B131" s="68">
        <v>0</v>
      </c>
      <c r="C131" s="68">
        <v>0</v>
      </c>
      <c r="D131" s="68">
        <v>0</v>
      </c>
      <c r="E131" s="68">
        <v>0</v>
      </c>
      <c r="F131" s="68">
        <v>0</v>
      </c>
      <c r="G131" s="68">
        <v>0</v>
      </c>
      <c r="H131" s="68">
        <v>0</v>
      </c>
      <c r="I131" s="68">
        <v>0</v>
      </c>
      <c r="J131" s="68">
        <v>0</v>
      </c>
    </row>
    <row r="132" spans="1:10">
      <c r="A132" s="61" t="s">
        <v>109</v>
      </c>
      <c r="B132" s="68">
        <v>0</v>
      </c>
      <c r="C132" s="68">
        <v>0</v>
      </c>
      <c r="D132" s="68">
        <v>0</v>
      </c>
      <c r="E132" s="68">
        <v>0</v>
      </c>
      <c r="F132" s="68">
        <v>0</v>
      </c>
      <c r="G132" s="68">
        <v>0</v>
      </c>
      <c r="H132" s="68">
        <v>0</v>
      </c>
      <c r="I132" s="68">
        <v>0</v>
      </c>
      <c r="J132" s="68">
        <v>0</v>
      </c>
    </row>
    <row r="133" spans="1:10">
      <c r="A133" s="72" t="s">
        <v>110</v>
      </c>
      <c r="B133" s="67">
        <f>+SUM(B134:B137)</f>
        <v>4043.5599999999977</v>
      </c>
      <c r="C133" s="67">
        <f t="shared" ref="C133:J133" si="24">+SUM(C134:C137)</f>
        <v>0</v>
      </c>
      <c r="D133" s="67">
        <f t="shared" si="24"/>
        <v>642.88000000000102</v>
      </c>
      <c r="E133" s="67">
        <f t="shared" si="24"/>
        <v>1813.1599999999999</v>
      </c>
      <c r="F133" s="67">
        <f t="shared" si="24"/>
        <v>2493.0500000000011</v>
      </c>
      <c r="G133" s="67">
        <f t="shared" si="24"/>
        <v>17749.870000000003</v>
      </c>
      <c r="H133" s="67">
        <f t="shared" si="24"/>
        <v>-4593.42</v>
      </c>
      <c r="I133" s="67">
        <f t="shared" si="24"/>
        <v>5483</v>
      </c>
      <c r="J133" s="67">
        <f t="shared" si="24"/>
        <v>736</v>
      </c>
    </row>
    <row r="134" spans="1:10">
      <c r="A134" s="61" t="s">
        <v>111</v>
      </c>
      <c r="B134" s="68">
        <v>0</v>
      </c>
      <c r="C134" s="68">
        <v>0</v>
      </c>
      <c r="D134" s="68">
        <v>0</v>
      </c>
      <c r="E134" s="68">
        <v>0</v>
      </c>
      <c r="F134" s="68">
        <v>0</v>
      </c>
      <c r="G134" s="68">
        <v>0</v>
      </c>
      <c r="H134" s="68">
        <v>0</v>
      </c>
      <c r="I134" s="68">
        <v>0</v>
      </c>
      <c r="J134" s="68">
        <v>0</v>
      </c>
    </row>
    <row r="135" spans="1:10">
      <c r="A135" s="61" t="s">
        <v>112</v>
      </c>
      <c r="B135" s="68">
        <v>45124.76</v>
      </c>
      <c r="C135" s="68">
        <v>0</v>
      </c>
      <c r="D135" s="68">
        <v>19129.419999999998</v>
      </c>
      <c r="E135" s="68">
        <v>14137.52</v>
      </c>
      <c r="F135" s="68">
        <v>17898.5</v>
      </c>
      <c r="G135" s="68">
        <v>26993.14</v>
      </c>
      <c r="H135" s="68">
        <v>1568.76</v>
      </c>
      <c r="I135" s="68">
        <v>5483</v>
      </c>
      <c r="J135" s="68">
        <v>736</v>
      </c>
    </row>
    <row r="136" spans="1:10">
      <c r="A136" s="61" t="s">
        <v>113</v>
      </c>
      <c r="B136" s="68">
        <v>0</v>
      </c>
      <c r="C136" s="68">
        <v>0</v>
      </c>
      <c r="D136" s="68">
        <v>0</v>
      </c>
      <c r="E136" s="68">
        <v>0</v>
      </c>
      <c r="F136" s="68">
        <v>0</v>
      </c>
      <c r="G136" s="68">
        <v>0</v>
      </c>
      <c r="H136" s="68">
        <v>0</v>
      </c>
      <c r="I136" s="68">
        <v>0</v>
      </c>
      <c r="J136" s="68">
        <v>0</v>
      </c>
    </row>
    <row r="137" spans="1:10">
      <c r="A137" s="61" t="s">
        <v>114</v>
      </c>
      <c r="B137" s="68">
        <v>-41081.200000000004</v>
      </c>
      <c r="C137" s="68">
        <v>0</v>
      </c>
      <c r="D137" s="68">
        <v>-18486.539999999997</v>
      </c>
      <c r="E137" s="68">
        <v>-12324.36</v>
      </c>
      <c r="F137" s="68">
        <v>-15405.449999999999</v>
      </c>
      <c r="G137" s="68">
        <v>-9243.2699999999986</v>
      </c>
      <c r="H137" s="68">
        <v>-6162.18</v>
      </c>
      <c r="I137" s="68">
        <v>0</v>
      </c>
      <c r="J137" s="68">
        <v>0</v>
      </c>
    </row>
    <row r="138" spans="1:10">
      <c r="A138" s="72" t="s">
        <v>115</v>
      </c>
      <c r="B138" s="67">
        <f>+SUM(B139:B145)</f>
        <v>174879.04</v>
      </c>
      <c r="C138" s="67">
        <f t="shared" ref="C138:J138" si="25">+SUM(C139:C145)</f>
        <v>0</v>
      </c>
      <c r="D138" s="67">
        <f t="shared" si="25"/>
        <v>187889.21799999999</v>
      </c>
      <c r="E138" s="67">
        <f t="shared" si="25"/>
        <v>51310.811999999998</v>
      </c>
      <c r="F138" s="67">
        <f t="shared" si="25"/>
        <v>101368.015</v>
      </c>
      <c r="G138" s="67">
        <f t="shared" si="25"/>
        <v>83845.209000000003</v>
      </c>
      <c r="H138" s="67">
        <f t="shared" si="25"/>
        <v>39564.805999999997</v>
      </c>
      <c r="I138" s="67">
        <f t="shared" si="25"/>
        <v>47535</v>
      </c>
      <c r="J138" s="67">
        <f t="shared" si="25"/>
        <v>894</v>
      </c>
    </row>
    <row r="139" spans="1:10">
      <c r="A139" s="61" t="s">
        <v>116</v>
      </c>
      <c r="B139" s="68">
        <v>24906.135999999999</v>
      </c>
      <c r="C139" s="68">
        <v>0</v>
      </c>
      <c r="D139" s="68">
        <v>11522.761199999999</v>
      </c>
      <c r="E139" s="68">
        <v>7471.8407999999999</v>
      </c>
      <c r="F139" s="68">
        <v>10387.300999999999</v>
      </c>
      <c r="G139" s="68">
        <v>6232.3805999999995</v>
      </c>
      <c r="H139" s="68">
        <v>4154.9204</v>
      </c>
      <c r="I139" s="68">
        <v>0</v>
      </c>
      <c r="J139" s="68">
        <v>0</v>
      </c>
    </row>
    <row r="140" spans="1:10">
      <c r="A140" s="61" t="s">
        <v>117</v>
      </c>
      <c r="B140" s="68">
        <v>4943</v>
      </c>
      <c r="C140" s="68">
        <v>0</v>
      </c>
      <c r="D140" s="68">
        <v>31031</v>
      </c>
      <c r="E140" s="68">
        <v>330</v>
      </c>
      <c r="F140" s="68">
        <v>14094.5</v>
      </c>
      <c r="G140" s="68">
        <v>11201.099999999999</v>
      </c>
      <c r="H140" s="68">
        <v>4655.4000000000005</v>
      </c>
      <c r="I140" s="68">
        <v>17535</v>
      </c>
      <c r="J140" s="68">
        <v>894</v>
      </c>
    </row>
    <row r="141" spans="1:10">
      <c r="A141" s="61" t="s">
        <v>227</v>
      </c>
      <c r="B141" s="68">
        <v>0</v>
      </c>
      <c r="C141" s="68">
        <v>0</v>
      </c>
      <c r="D141" s="68">
        <v>49652</v>
      </c>
      <c r="E141" s="68">
        <v>0</v>
      </c>
      <c r="F141" s="68">
        <v>22500</v>
      </c>
      <c r="G141" s="68">
        <v>13500</v>
      </c>
      <c r="H141" s="68">
        <v>9000</v>
      </c>
      <c r="I141" s="68">
        <v>30000</v>
      </c>
      <c r="J141" s="68">
        <v>0</v>
      </c>
    </row>
    <row r="142" spans="1:10">
      <c r="A142" s="61" t="s">
        <v>228</v>
      </c>
      <c r="B142" s="68">
        <v>0</v>
      </c>
      <c r="C142" s="68">
        <v>0</v>
      </c>
      <c r="D142" s="68">
        <v>0</v>
      </c>
      <c r="E142" s="68">
        <v>0</v>
      </c>
      <c r="F142" s="68">
        <v>0</v>
      </c>
      <c r="G142" s="68">
        <v>0</v>
      </c>
      <c r="H142" s="68">
        <v>0</v>
      </c>
      <c r="I142" s="68">
        <v>0</v>
      </c>
      <c r="J142" s="68">
        <v>0</v>
      </c>
    </row>
    <row r="143" spans="1:10">
      <c r="A143" s="61" t="s">
        <v>118</v>
      </c>
      <c r="B143" s="68">
        <v>0</v>
      </c>
      <c r="C143" s="68">
        <v>0</v>
      </c>
      <c r="D143" s="68">
        <v>0</v>
      </c>
      <c r="E143" s="68">
        <v>0</v>
      </c>
      <c r="F143" s="68">
        <v>0</v>
      </c>
      <c r="G143" s="68">
        <v>0</v>
      </c>
      <c r="H143" s="68">
        <v>0</v>
      </c>
      <c r="I143" s="68">
        <v>0</v>
      </c>
      <c r="J143" s="68">
        <v>0</v>
      </c>
    </row>
    <row r="144" spans="1:10">
      <c r="A144" s="61" t="s">
        <v>119</v>
      </c>
      <c r="B144" s="68">
        <v>145029.90400000001</v>
      </c>
      <c r="C144" s="68">
        <v>0</v>
      </c>
      <c r="D144" s="68">
        <v>95683.4568</v>
      </c>
      <c r="E144" s="68">
        <v>43508.9712</v>
      </c>
      <c r="F144" s="68">
        <v>54386.214</v>
      </c>
      <c r="G144" s="68">
        <v>52911.7284</v>
      </c>
      <c r="H144" s="68">
        <v>21754.4856</v>
      </c>
      <c r="I144" s="68">
        <v>0</v>
      </c>
      <c r="J144" s="68">
        <v>0</v>
      </c>
    </row>
    <row r="145" spans="1:10">
      <c r="A145" s="61" t="s">
        <v>120</v>
      </c>
      <c r="B145" s="68">
        <v>0</v>
      </c>
      <c r="C145" s="68">
        <v>0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</row>
    <row r="146" spans="1:10">
      <c r="A146" s="72" t="s">
        <v>121</v>
      </c>
      <c r="B146" s="67">
        <f>+SUM(B147:B149)</f>
        <v>109635</v>
      </c>
      <c r="C146" s="67">
        <f t="shared" ref="C146:J146" si="26">+SUM(C147:C149)</f>
        <v>0</v>
      </c>
      <c r="D146" s="67">
        <f t="shared" si="26"/>
        <v>33262</v>
      </c>
      <c r="E146" s="67">
        <f t="shared" si="26"/>
        <v>0</v>
      </c>
      <c r="F146" s="67">
        <f t="shared" si="26"/>
        <v>25685</v>
      </c>
      <c r="G146" s="67">
        <f t="shared" si="26"/>
        <v>37976</v>
      </c>
      <c r="H146" s="67">
        <f t="shared" si="26"/>
        <v>0</v>
      </c>
      <c r="I146" s="67">
        <f t="shared" si="26"/>
        <v>9138</v>
      </c>
      <c r="J146" s="67">
        <f t="shared" si="26"/>
        <v>0</v>
      </c>
    </row>
    <row r="147" spans="1:10">
      <c r="A147" s="61" t="s">
        <v>122</v>
      </c>
      <c r="B147" s="68">
        <v>0</v>
      </c>
      <c r="C147" s="68">
        <v>0</v>
      </c>
      <c r="D147" s="68">
        <v>0</v>
      </c>
      <c r="E147" s="68">
        <v>0</v>
      </c>
      <c r="F147" s="68">
        <v>0</v>
      </c>
      <c r="G147" s="68">
        <v>0</v>
      </c>
      <c r="H147" s="68">
        <v>0</v>
      </c>
      <c r="I147" s="68">
        <v>0</v>
      </c>
      <c r="J147" s="68">
        <v>0</v>
      </c>
    </row>
    <row r="148" spans="1:10">
      <c r="A148" s="61" t="s">
        <v>123</v>
      </c>
      <c r="B148" s="68">
        <v>109635</v>
      </c>
      <c r="C148" s="68">
        <v>0</v>
      </c>
      <c r="D148" s="68">
        <v>33262</v>
      </c>
      <c r="E148" s="68">
        <v>0</v>
      </c>
      <c r="F148" s="68">
        <v>25685</v>
      </c>
      <c r="G148" s="68">
        <v>37976</v>
      </c>
      <c r="H148" s="68">
        <v>0</v>
      </c>
      <c r="I148" s="68">
        <v>9138</v>
      </c>
      <c r="J148" s="68">
        <v>0</v>
      </c>
    </row>
    <row r="149" spans="1:10">
      <c r="A149" s="61" t="s">
        <v>124</v>
      </c>
      <c r="B149" s="68">
        <v>0</v>
      </c>
      <c r="C149" s="68">
        <v>0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</row>
    <row r="150" spans="1:10">
      <c r="A150" s="72" t="s">
        <v>125</v>
      </c>
      <c r="B150" s="67">
        <f>+SUM(B151:B154)</f>
        <v>138737</v>
      </c>
      <c r="C150" s="67">
        <f t="shared" ref="C150:J150" si="27">+SUM(C151:C154)</f>
        <v>0</v>
      </c>
      <c r="D150" s="67">
        <f t="shared" si="27"/>
        <v>95515.799999999988</v>
      </c>
      <c r="E150" s="67">
        <f t="shared" si="27"/>
        <v>33529.200000000004</v>
      </c>
      <c r="F150" s="67">
        <f t="shared" si="27"/>
        <v>60822.5</v>
      </c>
      <c r="G150" s="67">
        <f t="shared" si="27"/>
        <v>36493.5</v>
      </c>
      <c r="H150" s="67">
        <f t="shared" si="27"/>
        <v>24329</v>
      </c>
      <c r="I150" s="67">
        <f t="shared" si="27"/>
        <v>107711</v>
      </c>
      <c r="J150" s="67">
        <f t="shared" si="27"/>
        <v>0</v>
      </c>
    </row>
    <row r="151" spans="1:10">
      <c r="A151" s="61" t="s">
        <v>126</v>
      </c>
      <c r="B151" s="68">
        <v>61215</v>
      </c>
      <c r="C151" s="68">
        <v>0</v>
      </c>
      <c r="D151" s="68">
        <v>50293.799999999996</v>
      </c>
      <c r="E151" s="68">
        <v>33529.200000000004</v>
      </c>
      <c r="F151" s="68">
        <v>40042</v>
      </c>
      <c r="G151" s="68">
        <v>24025.200000000001</v>
      </c>
      <c r="H151" s="68">
        <v>16016.800000000001</v>
      </c>
      <c r="I151" s="68">
        <v>80450</v>
      </c>
      <c r="J151" s="68">
        <v>0</v>
      </c>
    </row>
    <row r="152" spans="1:10">
      <c r="A152" s="61" t="s">
        <v>229</v>
      </c>
      <c r="B152" s="68">
        <v>9922</v>
      </c>
      <c r="C152" s="68">
        <v>0</v>
      </c>
      <c r="D152" s="68">
        <v>9922</v>
      </c>
      <c r="E152" s="68">
        <v>0</v>
      </c>
      <c r="F152" s="68">
        <v>2480.5</v>
      </c>
      <c r="G152" s="68">
        <v>1488.3</v>
      </c>
      <c r="H152" s="68">
        <v>992.2</v>
      </c>
      <c r="I152" s="68">
        <v>4961</v>
      </c>
      <c r="J152" s="68">
        <v>0</v>
      </c>
    </row>
    <row r="153" spans="1:10">
      <c r="A153" s="61" t="s">
        <v>127</v>
      </c>
      <c r="B153" s="68">
        <v>67000</v>
      </c>
      <c r="C153" s="68">
        <v>0</v>
      </c>
      <c r="D153" s="68">
        <v>35000</v>
      </c>
      <c r="E153" s="68">
        <v>0</v>
      </c>
      <c r="F153" s="68">
        <v>17500</v>
      </c>
      <c r="G153" s="68">
        <v>10500</v>
      </c>
      <c r="H153" s="68">
        <v>7000</v>
      </c>
      <c r="I153" s="68">
        <v>18000</v>
      </c>
      <c r="J153" s="68">
        <v>0</v>
      </c>
    </row>
    <row r="154" spans="1:10">
      <c r="A154" s="61" t="s">
        <v>128</v>
      </c>
      <c r="B154" s="68">
        <v>600</v>
      </c>
      <c r="C154" s="68">
        <v>0</v>
      </c>
      <c r="D154" s="68">
        <v>300</v>
      </c>
      <c r="E154" s="68">
        <v>0</v>
      </c>
      <c r="F154" s="68">
        <v>800</v>
      </c>
      <c r="G154" s="68">
        <v>480</v>
      </c>
      <c r="H154" s="68">
        <v>320</v>
      </c>
      <c r="I154" s="68">
        <v>4300</v>
      </c>
      <c r="J154" s="68">
        <v>0</v>
      </c>
    </row>
    <row r="155" spans="1:10">
      <c r="A155" s="60"/>
      <c r="B155" s="68"/>
      <c r="C155" s="68"/>
      <c r="D155" s="68"/>
      <c r="E155" s="68"/>
      <c r="F155" s="68"/>
      <c r="G155" s="68"/>
      <c r="H155" s="68"/>
      <c r="I155" s="69"/>
      <c r="J155" s="69"/>
    </row>
    <row r="156" spans="1:10" ht="17.25">
      <c r="A156" s="71" t="s">
        <v>129</v>
      </c>
      <c r="B156" s="67">
        <f>+B157+B164+B172+B178+B182+B187+B193+B205+B209+B214</f>
        <v>950141.29</v>
      </c>
      <c r="C156" s="67">
        <f t="shared" ref="C156:J156" si="28">+C157+C164+C172+C178+C182+C187+C193+C205+C209+C214</f>
        <v>0</v>
      </c>
      <c r="D156" s="67">
        <f t="shared" si="28"/>
        <v>1035620.8557999999</v>
      </c>
      <c r="E156" s="67">
        <f t="shared" si="28"/>
        <v>522621.06520000007</v>
      </c>
      <c r="F156" s="67">
        <f t="shared" si="28"/>
        <v>497064.88</v>
      </c>
      <c r="G156" s="67">
        <f t="shared" si="28"/>
        <v>322029.75199999998</v>
      </c>
      <c r="H156" s="67">
        <f t="shared" si="28"/>
        <v>184629.59</v>
      </c>
      <c r="I156" s="67">
        <f t="shared" si="28"/>
        <v>664602.62599999993</v>
      </c>
      <c r="J156" s="67">
        <f t="shared" si="28"/>
        <v>384937.78399999999</v>
      </c>
    </row>
    <row r="157" spans="1:10">
      <c r="A157" s="72" t="s">
        <v>130</v>
      </c>
      <c r="B157" s="67">
        <f>+SUM(B158:B162)</f>
        <v>30091.21</v>
      </c>
      <c r="C157" s="67">
        <f t="shared" ref="C157:J157" si="29">+SUM(C158:C162)</f>
        <v>0</v>
      </c>
      <c r="D157" s="67">
        <f t="shared" si="29"/>
        <v>99153.909999999989</v>
      </c>
      <c r="E157" s="67">
        <f t="shared" si="29"/>
        <v>17540</v>
      </c>
      <c r="F157" s="67">
        <f t="shared" si="29"/>
        <v>1440.28</v>
      </c>
      <c r="G157" s="67">
        <f t="shared" si="29"/>
        <v>21614.167999999998</v>
      </c>
      <c r="H157" s="67">
        <f t="shared" si="29"/>
        <v>576.11199999999997</v>
      </c>
      <c r="I157" s="67">
        <f t="shared" si="29"/>
        <v>5600</v>
      </c>
      <c r="J157" s="67">
        <f t="shared" si="29"/>
        <v>0</v>
      </c>
    </row>
    <row r="158" spans="1:10">
      <c r="A158" s="61" t="s">
        <v>131</v>
      </c>
      <c r="B158" s="68">
        <v>2758.06</v>
      </c>
      <c r="C158" s="68">
        <v>0</v>
      </c>
      <c r="D158" s="68">
        <v>8557.23</v>
      </c>
      <c r="E158" s="68">
        <v>16340</v>
      </c>
      <c r="F158" s="68">
        <v>300</v>
      </c>
      <c r="G158" s="68">
        <v>9930</v>
      </c>
      <c r="H158" s="68">
        <v>120</v>
      </c>
      <c r="I158" s="68">
        <v>0</v>
      </c>
      <c r="J158" s="68">
        <v>0</v>
      </c>
    </row>
    <row r="159" spans="1:10">
      <c r="A159" s="61" t="s">
        <v>132</v>
      </c>
      <c r="B159" s="68">
        <v>0</v>
      </c>
      <c r="C159" s="68">
        <v>0</v>
      </c>
      <c r="D159" s="68">
        <v>0</v>
      </c>
      <c r="E159" s="68">
        <v>0</v>
      </c>
      <c r="F159" s="68">
        <v>0</v>
      </c>
      <c r="G159" s="68">
        <v>0</v>
      </c>
      <c r="H159" s="68">
        <v>0</v>
      </c>
      <c r="I159" s="68">
        <v>0</v>
      </c>
      <c r="J159" s="68">
        <v>0</v>
      </c>
    </row>
    <row r="160" spans="1:10">
      <c r="A160" s="61" t="s">
        <v>133</v>
      </c>
      <c r="B160" s="68">
        <v>847.22</v>
      </c>
      <c r="C160" s="68">
        <v>0</v>
      </c>
      <c r="D160" s="68">
        <v>680.56</v>
      </c>
      <c r="E160" s="68">
        <v>0</v>
      </c>
      <c r="F160" s="68">
        <v>340.28</v>
      </c>
      <c r="G160" s="68">
        <v>204.16799999999998</v>
      </c>
      <c r="H160" s="68">
        <v>136.11199999999999</v>
      </c>
      <c r="I160" s="68">
        <v>0</v>
      </c>
      <c r="J160" s="68">
        <v>0</v>
      </c>
    </row>
    <row r="161" spans="1:10">
      <c r="A161" s="61" t="s">
        <v>134</v>
      </c>
      <c r="B161" s="68">
        <v>6545.76</v>
      </c>
      <c r="C161" s="68">
        <v>0</v>
      </c>
      <c r="D161" s="68">
        <v>70731.179999999993</v>
      </c>
      <c r="E161" s="68">
        <v>0</v>
      </c>
      <c r="F161" s="68">
        <v>0</v>
      </c>
      <c r="G161" s="68">
        <v>11000</v>
      </c>
      <c r="H161" s="68">
        <v>0</v>
      </c>
      <c r="I161" s="68">
        <v>0</v>
      </c>
      <c r="J161" s="68">
        <v>0</v>
      </c>
    </row>
    <row r="162" spans="1:10">
      <c r="A162" s="61" t="s">
        <v>135</v>
      </c>
      <c r="B162" s="68">
        <v>19940.169999999998</v>
      </c>
      <c r="C162" s="68">
        <v>0</v>
      </c>
      <c r="D162" s="68">
        <v>19184.939999999999</v>
      </c>
      <c r="E162" s="68">
        <v>1200</v>
      </c>
      <c r="F162" s="68">
        <v>800</v>
      </c>
      <c r="G162" s="68">
        <v>480</v>
      </c>
      <c r="H162" s="68">
        <v>320</v>
      </c>
      <c r="I162" s="68">
        <v>5600</v>
      </c>
      <c r="J162" s="68">
        <v>0</v>
      </c>
    </row>
    <row r="163" spans="1:10">
      <c r="A163" s="60"/>
      <c r="B163" s="68"/>
      <c r="C163" s="68"/>
      <c r="D163" s="68"/>
      <c r="E163" s="68"/>
      <c r="F163" s="68"/>
      <c r="G163" s="68"/>
      <c r="H163" s="68"/>
      <c r="I163" s="69"/>
      <c r="J163" s="69"/>
    </row>
    <row r="164" spans="1:10">
      <c r="A164" s="72" t="s">
        <v>136</v>
      </c>
      <c r="B164" s="67">
        <f>+SUM(B165:B171)</f>
        <v>89315.456000000006</v>
      </c>
      <c r="C164" s="67">
        <f t="shared" ref="C164:J164" si="30">+SUM(C165:C171)</f>
        <v>0</v>
      </c>
      <c r="D164" s="67">
        <f t="shared" si="30"/>
        <v>163525.53320000001</v>
      </c>
      <c r="E164" s="67">
        <f t="shared" si="30"/>
        <v>54176.308799999999</v>
      </c>
      <c r="F164" s="67">
        <f t="shared" si="30"/>
        <v>29743.295999999998</v>
      </c>
      <c r="G164" s="67">
        <f t="shared" si="30"/>
        <v>39691.817600000002</v>
      </c>
      <c r="H164" s="67">
        <f t="shared" si="30"/>
        <v>11897.3184</v>
      </c>
      <c r="I164" s="67">
        <f t="shared" si="30"/>
        <v>0</v>
      </c>
      <c r="J164" s="67">
        <f t="shared" si="30"/>
        <v>0</v>
      </c>
    </row>
    <row r="165" spans="1:10">
      <c r="A165" s="61" t="s">
        <v>137</v>
      </c>
      <c r="B165" s="68">
        <v>19315.455999999998</v>
      </c>
      <c r="C165" s="68">
        <v>0</v>
      </c>
      <c r="D165" s="68">
        <v>9911.6591999999982</v>
      </c>
      <c r="E165" s="68">
        <v>6607.7728000000006</v>
      </c>
      <c r="F165" s="68">
        <v>3493.2959999999998</v>
      </c>
      <c r="G165" s="68">
        <v>3457.0275999999994</v>
      </c>
      <c r="H165" s="68">
        <v>1397.3184000000001</v>
      </c>
      <c r="I165" s="68">
        <v>0</v>
      </c>
      <c r="J165" s="68">
        <v>0</v>
      </c>
    </row>
    <row r="166" spans="1:10">
      <c r="A166" s="61" t="s">
        <v>138</v>
      </c>
      <c r="B166" s="68">
        <v>0</v>
      </c>
      <c r="C166" s="68">
        <v>0</v>
      </c>
      <c r="D166" s="68">
        <v>31383</v>
      </c>
      <c r="E166" s="68">
        <v>0</v>
      </c>
      <c r="F166" s="68">
        <v>0</v>
      </c>
      <c r="G166" s="68">
        <v>20484.79</v>
      </c>
      <c r="H166" s="68">
        <v>0</v>
      </c>
      <c r="I166" s="68">
        <v>0</v>
      </c>
      <c r="J166" s="68">
        <v>0</v>
      </c>
    </row>
    <row r="167" spans="1:10">
      <c r="A167" s="61" t="s">
        <v>139</v>
      </c>
      <c r="B167" s="68">
        <v>0</v>
      </c>
      <c r="C167" s="68">
        <v>0</v>
      </c>
      <c r="D167" s="68">
        <v>0</v>
      </c>
      <c r="E167" s="68">
        <v>0</v>
      </c>
      <c r="F167" s="68">
        <v>0</v>
      </c>
      <c r="G167" s="68">
        <v>0</v>
      </c>
      <c r="H167" s="68">
        <v>0</v>
      </c>
      <c r="I167" s="68">
        <v>0</v>
      </c>
      <c r="J167" s="68">
        <v>0</v>
      </c>
    </row>
    <row r="168" spans="1:10">
      <c r="A168" s="61" t="s">
        <v>140</v>
      </c>
      <c r="B168" s="68">
        <v>0</v>
      </c>
      <c r="C168" s="68">
        <v>0</v>
      </c>
      <c r="D168" s="68">
        <f>50529.39+348.68</f>
        <v>50878.07</v>
      </c>
      <c r="E168" s="68">
        <v>0</v>
      </c>
      <c r="F168" s="68">
        <v>0</v>
      </c>
      <c r="G168" s="68">
        <v>0</v>
      </c>
      <c r="H168" s="68">
        <v>0</v>
      </c>
      <c r="I168" s="68">
        <v>0</v>
      </c>
      <c r="J168" s="68">
        <v>0</v>
      </c>
    </row>
    <row r="169" spans="1:10">
      <c r="A169" s="61" t="s">
        <v>141</v>
      </c>
      <c r="B169" s="68">
        <v>0</v>
      </c>
      <c r="C169" s="68">
        <v>0</v>
      </c>
      <c r="D169" s="68">
        <v>0</v>
      </c>
      <c r="E169" s="68">
        <v>0</v>
      </c>
      <c r="F169" s="68">
        <v>0</v>
      </c>
      <c r="G169" s="68">
        <v>0</v>
      </c>
      <c r="H169" s="68">
        <v>0</v>
      </c>
      <c r="I169" s="68">
        <v>0</v>
      </c>
      <c r="J169" s="68">
        <v>0</v>
      </c>
    </row>
    <row r="170" spans="1:10">
      <c r="A170" s="61" t="s">
        <v>142</v>
      </c>
      <c r="B170" s="68">
        <v>70000</v>
      </c>
      <c r="C170" s="68">
        <v>0</v>
      </c>
      <c r="D170" s="68">
        <v>71352.804000000004</v>
      </c>
      <c r="E170" s="68">
        <v>47568.536</v>
      </c>
      <c r="F170" s="68">
        <v>26250</v>
      </c>
      <c r="G170" s="68">
        <v>15750</v>
      </c>
      <c r="H170" s="68">
        <v>10500</v>
      </c>
      <c r="I170" s="68">
        <v>0</v>
      </c>
      <c r="J170" s="68">
        <v>0</v>
      </c>
    </row>
    <row r="171" spans="1:10">
      <c r="A171" s="61" t="s">
        <v>143</v>
      </c>
      <c r="B171" s="68">
        <v>0</v>
      </c>
      <c r="C171" s="68">
        <v>0</v>
      </c>
      <c r="D171" s="68">
        <v>0</v>
      </c>
      <c r="E171" s="68">
        <v>0</v>
      </c>
      <c r="F171" s="68">
        <v>0</v>
      </c>
      <c r="G171" s="68">
        <v>0</v>
      </c>
      <c r="H171" s="68">
        <v>0</v>
      </c>
      <c r="I171" s="68">
        <v>0</v>
      </c>
      <c r="J171" s="68">
        <v>0</v>
      </c>
    </row>
    <row r="172" spans="1:10">
      <c r="A172" s="72" t="s">
        <v>144</v>
      </c>
      <c r="B172" s="67">
        <f>+SUM(B173:B177)</f>
        <v>123062.41200000001</v>
      </c>
      <c r="C172" s="67">
        <f t="shared" ref="C172:J172" si="31">+SUM(C173:C177)</f>
        <v>0</v>
      </c>
      <c r="D172" s="67">
        <f t="shared" si="31"/>
        <v>247220.49939999997</v>
      </c>
      <c r="E172" s="67">
        <f t="shared" si="31"/>
        <v>142786.0796</v>
      </c>
      <c r="F172" s="67">
        <f t="shared" si="31"/>
        <v>120005.8795</v>
      </c>
      <c r="G172" s="67">
        <f t="shared" si="31"/>
        <v>72003.527699999991</v>
      </c>
      <c r="H172" s="67">
        <f t="shared" si="31"/>
        <v>48002.351800000004</v>
      </c>
      <c r="I172" s="67">
        <f t="shared" si="31"/>
        <v>0</v>
      </c>
      <c r="J172" s="67">
        <f t="shared" si="31"/>
        <v>0</v>
      </c>
    </row>
    <row r="173" spans="1:10">
      <c r="A173" s="61" t="s">
        <v>145</v>
      </c>
      <c r="B173" s="68">
        <v>20150</v>
      </c>
      <c r="C173" s="68">
        <v>0</v>
      </c>
      <c r="D173" s="68">
        <v>32700</v>
      </c>
      <c r="E173" s="68">
        <v>21800</v>
      </c>
      <c r="F173" s="68">
        <v>18000</v>
      </c>
      <c r="G173" s="68">
        <v>10800</v>
      </c>
      <c r="H173" s="68">
        <v>7200</v>
      </c>
      <c r="I173" s="68">
        <v>0</v>
      </c>
      <c r="J173" s="68">
        <v>0</v>
      </c>
    </row>
    <row r="174" spans="1:10">
      <c r="A174" s="61" t="s">
        <v>146</v>
      </c>
      <c r="B174" s="68">
        <v>0</v>
      </c>
      <c r="C174" s="68">
        <v>0</v>
      </c>
      <c r="D174" s="68">
        <v>0</v>
      </c>
      <c r="E174" s="68">
        <v>0</v>
      </c>
      <c r="F174" s="68">
        <v>0</v>
      </c>
      <c r="G174" s="68">
        <v>0</v>
      </c>
      <c r="H174" s="68">
        <v>0</v>
      </c>
      <c r="I174" s="68">
        <v>0</v>
      </c>
      <c r="J174" s="68">
        <v>0</v>
      </c>
    </row>
    <row r="175" spans="1:10">
      <c r="A175" s="61" t="s">
        <v>230</v>
      </c>
      <c r="B175" s="68">
        <v>0</v>
      </c>
      <c r="C175" s="68">
        <v>0</v>
      </c>
      <c r="D175" s="68">
        <v>141979.68</v>
      </c>
      <c r="E175" s="68">
        <v>94653.119999999995</v>
      </c>
      <c r="F175" s="68">
        <v>78877.600000000006</v>
      </c>
      <c r="G175" s="68">
        <v>47326.559999999998</v>
      </c>
      <c r="H175" s="68">
        <v>31551.040000000001</v>
      </c>
      <c r="I175" s="68">
        <v>0</v>
      </c>
      <c r="J175" s="68">
        <v>0</v>
      </c>
    </row>
    <row r="176" spans="1:10">
      <c r="A176" s="61" t="s">
        <v>231</v>
      </c>
      <c r="B176" s="68">
        <v>0</v>
      </c>
      <c r="C176" s="68">
        <v>0</v>
      </c>
      <c r="D176" s="68">
        <v>37361.519999999997</v>
      </c>
      <c r="E176" s="68">
        <v>24907.68</v>
      </c>
      <c r="F176" s="68">
        <v>20756.400000000001</v>
      </c>
      <c r="G176" s="68">
        <v>12453.84</v>
      </c>
      <c r="H176" s="68">
        <v>8302.5600000000013</v>
      </c>
      <c r="I176" s="68">
        <v>0</v>
      </c>
      <c r="J176" s="68">
        <v>0</v>
      </c>
    </row>
    <row r="177" spans="1:10">
      <c r="A177" s="61" t="s">
        <v>232</v>
      </c>
      <c r="B177" s="68">
        <v>102912.41200000001</v>
      </c>
      <c r="C177" s="68">
        <v>0</v>
      </c>
      <c r="D177" s="68">
        <v>35179.299399999996</v>
      </c>
      <c r="E177" s="68">
        <v>1425.2796000000003</v>
      </c>
      <c r="F177" s="68">
        <v>2371.8795</v>
      </c>
      <c r="G177" s="68">
        <v>1423.1277</v>
      </c>
      <c r="H177" s="68">
        <v>948.75180000000012</v>
      </c>
      <c r="I177" s="68">
        <v>0</v>
      </c>
      <c r="J177" s="68">
        <v>0</v>
      </c>
    </row>
    <row r="178" spans="1:10">
      <c r="A178" s="72" t="s">
        <v>147</v>
      </c>
      <c r="B178" s="67">
        <f>+SUM(B179:B181)</f>
        <v>240554</v>
      </c>
      <c r="C178" s="67">
        <f t="shared" ref="C178:J178" si="32">+SUM(C179:C181)</f>
        <v>0</v>
      </c>
      <c r="D178" s="67">
        <f t="shared" si="32"/>
        <v>113546.78</v>
      </c>
      <c r="E178" s="67">
        <f t="shared" si="32"/>
        <v>73366.52</v>
      </c>
      <c r="F178" s="67">
        <f t="shared" si="32"/>
        <v>99211.5</v>
      </c>
      <c r="G178" s="67">
        <f t="shared" si="32"/>
        <v>65408.7</v>
      </c>
      <c r="H178" s="67">
        <f t="shared" si="32"/>
        <v>39461.800000000003</v>
      </c>
      <c r="I178" s="67">
        <f t="shared" si="32"/>
        <v>300136.19999999995</v>
      </c>
      <c r="J178" s="67">
        <f t="shared" si="32"/>
        <v>200090.8</v>
      </c>
    </row>
    <row r="179" spans="1:10">
      <c r="A179" s="61" t="s">
        <v>148</v>
      </c>
      <c r="B179" s="68">
        <v>240554</v>
      </c>
      <c r="C179" s="68">
        <v>0</v>
      </c>
      <c r="D179" s="68">
        <v>101140.4</v>
      </c>
      <c r="E179" s="68">
        <v>65095.600000000006</v>
      </c>
      <c r="F179" s="68">
        <v>79611.5</v>
      </c>
      <c r="G179" s="68">
        <v>50798.7</v>
      </c>
      <c r="H179" s="68">
        <v>31621.800000000003</v>
      </c>
      <c r="I179" s="68">
        <v>27211.8</v>
      </c>
      <c r="J179" s="68">
        <v>18141.2</v>
      </c>
    </row>
    <row r="180" spans="1:10">
      <c r="A180" s="61" t="s">
        <v>149</v>
      </c>
      <c r="B180" s="68">
        <v>0</v>
      </c>
      <c r="C180" s="68">
        <v>0</v>
      </c>
      <c r="D180" s="68">
        <v>12406.38</v>
      </c>
      <c r="E180" s="68">
        <v>8270.92</v>
      </c>
      <c r="F180" s="68">
        <v>0</v>
      </c>
      <c r="G180" s="68">
        <v>2850</v>
      </c>
      <c r="H180" s="68">
        <v>0</v>
      </c>
      <c r="I180" s="68">
        <v>272924.39999999997</v>
      </c>
      <c r="J180" s="68">
        <v>181949.59999999998</v>
      </c>
    </row>
    <row r="181" spans="1:10">
      <c r="A181" s="61" t="s">
        <v>150</v>
      </c>
      <c r="B181" s="68">
        <v>0</v>
      </c>
      <c r="C181" s="68">
        <v>0</v>
      </c>
      <c r="D181" s="68">
        <v>0</v>
      </c>
      <c r="E181" s="68">
        <v>0</v>
      </c>
      <c r="F181" s="68">
        <v>19600</v>
      </c>
      <c r="G181" s="68">
        <v>11760</v>
      </c>
      <c r="H181" s="68">
        <v>7840</v>
      </c>
      <c r="I181" s="68">
        <v>0</v>
      </c>
      <c r="J181" s="68">
        <v>0</v>
      </c>
    </row>
    <row r="182" spans="1:10">
      <c r="A182" s="72" t="s">
        <v>151</v>
      </c>
      <c r="B182" s="67">
        <f>+SUM(B183:B186)</f>
        <v>69973.072</v>
      </c>
      <c r="C182" s="67">
        <f t="shared" ref="C182:J182" si="33">+SUM(C183:C186)</f>
        <v>0</v>
      </c>
      <c r="D182" s="67">
        <f t="shared" si="33"/>
        <v>42902.2644</v>
      </c>
      <c r="E182" s="67">
        <f t="shared" si="33"/>
        <v>4688.7896000000001</v>
      </c>
      <c r="F182" s="67">
        <f t="shared" si="33"/>
        <v>14556.277</v>
      </c>
      <c r="G182" s="67">
        <f t="shared" si="33"/>
        <v>8733.7662</v>
      </c>
      <c r="H182" s="67">
        <f t="shared" si="33"/>
        <v>5822.5108000000009</v>
      </c>
      <c r="I182" s="67">
        <f t="shared" si="33"/>
        <v>8395.4459999999999</v>
      </c>
      <c r="J182" s="67">
        <f t="shared" si="33"/>
        <v>5596.9639999999999</v>
      </c>
    </row>
    <row r="183" spans="1:10">
      <c r="A183" s="61" t="s">
        <v>152</v>
      </c>
      <c r="B183" s="68">
        <v>7050.16</v>
      </c>
      <c r="C183" s="68">
        <v>0</v>
      </c>
      <c r="D183" s="68">
        <v>933.82199999999989</v>
      </c>
      <c r="E183" s="68">
        <v>622.548</v>
      </c>
      <c r="F183" s="68">
        <v>778.18499999999995</v>
      </c>
      <c r="G183" s="68">
        <v>466.91099999999994</v>
      </c>
      <c r="H183" s="68">
        <v>311.274</v>
      </c>
      <c r="I183" s="68">
        <v>0</v>
      </c>
      <c r="J183" s="68">
        <v>0</v>
      </c>
    </row>
    <row r="184" spans="1:10">
      <c r="A184" s="61" t="s">
        <v>153</v>
      </c>
      <c r="B184" s="68">
        <v>19857.310000000001</v>
      </c>
      <c r="C184" s="68">
        <v>0</v>
      </c>
      <c r="D184" s="68">
        <v>39384.726000000002</v>
      </c>
      <c r="E184" s="68">
        <v>2343.7640000000001</v>
      </c>
      <c r="F184" s="68">
        <v>11624.995000000001</v>
      </c>
      <c r="G184" s="68">
        <v>6974.9970000000003</v>
      </c>
      <c r="H184" s="68">
        <v>4649.9980000000005</v>
      </c>
      <c r="I184" s="68">
        <v>8395.4459999999999</v>
      </c>
      <c r="J184" s="68">
        <v>5596.9639999999999</v>
      </c>
    </row>
    <row r="185" spans="1:10">
      <c r="A185" s="61" t="s">
        <v>154</v>
      </c>
      <c r="B185" s="68">
        <v>43065.601999999999</v>
      </c>
      <c r="C185" s="68">
        <v>0</v>
      </c>
      <c r="D185" s="68">
        <v>2583.7163999999998</v>
      </c>
      <c r="E185" s="68">
        <v>1722.4775999999999</v>
      </c>
      <c r="F185" s="68">
        <v>2153.0969999999998</v>
      </c>
      <c r="G185" s="68">
        <v>1291.8581999999999</v>
      </c>
      <c r="H185" s="68">
        <v>861.23879999999997</v>
      </c>
      <c r="I185" s="68">
        <v>0</v>
      </c>
      <c r="J185" s="68">
        <v>0</v>
      </c>
    </row>
    <row r="186" spans="1:10">
      <c r="A186" s="61" t="s">
        <v>155</v>
      </c>
      <c r="B186" s="68">
        <v>0</v>
      </c>
      <c r="C186" s="68">
        <v>0</v>
      </c>
      <c r="D186" s="68">
        <v>0</v>
      </c>
      <c r="E186" s="68">
        <v>0</v>
      </c>
      <c r="F186" s="68">
        <v>0</v>
      </c>
      <c r="G186" s="68">
        <v>0</v>
      </c>
      <c r="H186" s="68">
        <v>0</v>
      </c>
      <c r="I186" s="68">
        <v>0</v>
      </c>
      <c r="J186" s="68">
        <v>0</v>
      </c>
    </row>
    <row r="187" spans="1:10">
      <c r="A187" s="72" t="s">
        <v>156</v>
      </c>
      <c r="B187" s="67">
        <f>+SUM(B188:B192)</f>
        <v>17666</v>
      </c>
      <c r="C187" s="67">
        <f t="shared" ref="C187:J187" si="34">+SUM(C188:C192)</f>
        <v>0</v>
      </c>
      <c r="D187" s="67">
        <f t="shared" si="34"/>
        <v>7949.6999999999989</v>
      </c>
      <c r="E187" s="67">
        <f t="shared" si="34"/>
        <v>5299.8</v>
      </c>
      <c r="F187" s="67">
        <f t="shared" si="34"/>
        <v>6624.7499999999991</v>
      </c>
      <c r="G187" s="67">
        <f t="shared" si="34"/>
        <v>3974.8499999999995</v>
      </c>
      <c r="H187" s="67">
        <f t="shared" si="34"/>
        <v>2649.9</v>
      </c>
      <c r="I187" s="67">
        <f t="shared" si="34"/>
        <v>1874.9999999999995</v>
      </c>
      <c r="J187" s="67">
        <f t="shared" si="34"/>
        <v>1250</v>
      </c>
    </row>
    <row r="188" spans="1:10">
      <c r="A188" s="61" t="s">
        <v>157</v>
      </c>
      <c r="B188" s="68">
        <v>8332.8000000000011</v>
      </c>
      <c r="C188" s="68">
        <v>0</v>
      </c>
      <c r="D188" s="68">
        <v>3749.7599999999993</v>
      </c>
      <c r="E188" s="68">
        <v>2499.84</v>
      </c>
      <c r="F188" s="68">
        <v>3124.7999999999997</v>
      </c>
      <c r="G188" s="68">
        <v>1874.8799999999997</v>
      </c>
      <c r="H188" s="68">
        <v>1249.92</v>
      </c>
      <c r="I188" s="68">
        <v>1874.9999999999995</v>
      </c>
      <c r="J188" s="68">
        <v>1250</v>
      </c>
    </row>
    <row r="189" spans="1:10">
      <c r="A189" s="61" t="s">
        <v>158</v>
      </c>
      <c r="B189" s="68">
        <v>6000</v>
      </c>
      <c r="C189" s="68">
        <v>0</v>
      </c>
      <c r="D189" s="68">
        <v>2700</v>
      </c>
      <c r="E189" s="68">
        <v>1800</v>
      </c>
      <c r="F189" s="68">
        <v>2250</v>
      </c>
      <c r="G189" s="68">
        <v>1350</v>
      </c>
      <c r="H189" s="68">
        <v>900</v>
      </c>
      <c r="I189" s="68">
        <v>0</v>
      </c>
      <c r="J189" s="68">
        <v>0</v>
      </c>
    </row>
    <row r="190" spans="1:10">
      <c r="A190" s="61" t="s">
        <v>159</v>
      </c>
      <c r="B190" s="68">
        <v>0</v>
      </c>
      <c r="C190" s="68">
        <v>0</v>
      </c>
      <c r="D190" s="68">
        <v>0</v>
      </c>
      <c r="E190" s="68">
        <v>0</v>
      </c>
      <c r="F190" s="68">
        <v>0</v>
      </c>
      <c r="G190" s="68">
        <v>0</v>
      </c>
      <c r="H190" s="68">
        <v>0</v>
      </c>
      <c r="I190" s="68">
        <v>0</v>
      </c>
      <c r="J190" s="68">
        <v>0</v>
      </c>
    </row>
    <row r="191" spans="1:10">
      <c r="A191" s="61" t="s">
        <v>160</v>
      </c>
      <c r="B191" s="68">
        <v>3333.2000000000003</v>
      </c>
      <c r="C191" s="68">
        <v>0</v>
      </c>
      <c r="D191" s="68">
        <v>1499.94</v>
      </c>
      <c r="E191" s="68">
        <v>999.96</v>
      </c>
      <c r="F191" s="68">
        <v>1249.95</v>
      </c>
      <c r="G191" s="68">
        <v>749.97</v>
      </c>
      <c r="H191" s="68">
        <v>499.98</v>
      </c>
      <c r="I191" s="68">
        <v>0</v>
      </c>
      <c r="J191" s="68">
        <v>0</v>
      </c>
    </row>
    <row r="192" spans="1:10">
      <c r="A192" s="61" t="s">
        <v>161</v>
      </c>
      <c r="B192" s="68">
        <v>0</v>
      </c>
      <c r="C192" s="68">
        <v>0</v>
      </c>
      <c r="D192" s="68">
        <v>0</v>
      </c>
      <c r="E192" s="68">
        <v>0</v>
      </c>
      <c r="F192" s="68">
        <v>0</v>
      </c>
      <c r="G192" s="68">
        <v>0</v>
      </c>
      <c r="H192" s="68">
        <v>0</v>
      </c>
      <c r="I192" s="68">
        <v>0</v>
      </c>
      <c r="J192" s="68">
        <v>0</v>
      </c>
    </row>
    <row r="193" spans="1:10">
      <c r="A193" s="72" t="s">
        <v>162</v>
      </c>
      <c r="B193" s="67">
        <f>+SUM(B194:B204)</f>
        <v>67107.258000000002</v>
      </c>
      <c r="C193" s="67">
        <f t="shared" ref="C193:J193" si="35">+SUM(C194:C204)</f>
        <v>0</v>
      </c>
      <c r="D193" s="67">
        <f t="shared" si="35"/>
        <v>67434.034400000004</v>
      </c>
      <c r="E193" s="67">
        <f t="shared" si="35"/>
        <v>346.39760000000001</v>
      </c>
      <c r="F193" s="67">
        <f t="shared" si="35"/>
        <v>31008.725499999997</v>
      </c>
      <c r="G193" s="67">
        <f t="shared" si="35"/>
        <v>16564.141299999996</v>
      </c>
      <c r="H193" s="67">
        <f t="shared" si="35"/>
        <v>18894.296199999997</v>
      </c>
      <c r="I193" s="67">
        <f t="shared" si="35"/>
        <v>74180.739999999991</v>
      </c>
      <c r="J193" s="67">
        <f t="shared" si="35"/>
        <v>0.02</v>
      </c>
    </row>
    <row r="194" spans="1:10">
      <c r="A194" s="61" t="s">
        <v>163</v>
      </c>
      <c r="B194" s="68">
        <v>11882.67</v>
      </c>
      <c r="C194" s="68">
        <v>0</v>
      </c>
      <c r="D194" s="68">
        <v>16684.398000000001</v>
      </c>
      <c r="E194" s="68">
        <v>0</v>
      </c>
      <c r="F194" s="68">
        <v>6188.875</v>
      </c>
      <c r="G194" s="68">
        <v>3713.3249999999998</v>
      </c>
      <c r="H194" s="68">
        <v>13598.482</v>
      </c>
      <c r="I194" s="68">
        <v>0</v>
      </c>
      <c r="J194" s="68">
        <v>0</v>
      </c>
    </row>
    <row r="195" spans="1:10">
      <c r="A195" s="61" t="s">
        <v>164</v>
      </c>
      <c r="B195" s="68">
        <v>106</v>
      </c>
      <c r="C195" s="68">
        <v>0</v>
      </c>
      <c r="D195" s="68">
        <v>47.699999999999996</v>
      </c>
      <c r="E195" s="68">
        <v>31.8</v>
      </c>
      <c r="F195" s="68">
        <v>39.75</v>
      </c>
      <c r="G195" s="68">
        <v>23.849999999999998</v>
      </c>
      <c r="H195" s="68">
        <v>15.9</v>
      </c>
      <c r="I195" s="68">
        <v>230</v>
      </c>
      <c r="J195" s="68">
        <v>0</v>
      </c>
    </row>
    <row r="196" spans="1:10">
      <c r="A196" s="61" t="s">
        <v>233</v>
      </c>
      <c r="B196" s="68">
        <v>1740</v>
      </c>
      <c r="C196" s="68">
        <v>0</v>
      </c>
      <c r="D196" s="68">
        <v>0</v>
      </c>
      <c r="E196" s="68">
        <v>0</v>
      </c>
      <c r="F196" s="68">
        <v>1375.06</v>
      </c>
      <c r="G196" s="68">
        <v>825.03599999999994</v>
      </c>
      <c r="H196" s="68">
        <v>550.024</v>
      </c>
      <c r="I196" s="68">
        <v>14996.67</v>
      </c>
      <c r="J196" s="68">
        <v>0</v>
      </c>
    </row>
    <row r="197" spans="1:10">
      <c r="A197" s="61" t="s">
        <v>165</v>
      </c>
      <c r="B197" s="68">
        <v>0</v>
      </c>
      <c r="C197" s="68">
        <v>0</v>
      </c>
      <c r="D197" s="68">
        <v>0</v>
      </c>
      <c r="E197" s="68">
        <v>0</v>
      </c>
      <c r="F197" s="68">
        <v>0</v>
      </c>
      <c r="G197" s="68">
        <v>0</v>
      </c>
      <c r="H197" s="68">
        <v>0</v>
      </c>
      <c r="I197" s="68">
        <v>0</v>
      </c>
      <c r="J197" s="68">
        <v>0</v>
      </c>
    </row>
    <row r="198" spans="1:10">
      <c r="A198" s="61" t="s">
        <v>166</v>
      </c>
      <c r="B198" s="68">
        <v>37297.58</v>
      </c>
      <c r="C198" s="68">
        <v>0</v>
      </c>
      <c r="D198" s="68">
        <v>7952.3760000000002</v>
      </c>
      <c r="E198" s="68">
        <v>284.74400000000003</v>
      </c>
      <c r="F198" s="68">
        <v>13120.945</v>
      </c>
      <c r="G198" s="68">
        <v>3514.681</v>
      </c>
      <c r="H198" s="68">
        <v>1448.4540000000002</v>
      </c>
      <c r="I198" s="68">
        <v>37383</v>
      </c>
      <c r="J198" s="68">
        <v>0</v>
      </c>
    </row>
    <row r="199" spans="1:10">
      <c r="A199" s="61" t="s">
        <v>167</v>
      </c>
      <c r="B199" s="68">
        <v>7103.53</v>
      </c>
      <c r="C199" s="68">
        <v>0</v>
      </c>
      <c r="D199" s="68">
        <v>20233.419999999998</v>
      </c>
      <c r="E199" s="68">
        <v>0</v>
      </c>
      <c r="F199" s="68">
        <v>7136.03</v>
      </c>
      <c r="G199" s="68">
        <v>4361.6179999999995</v>
      </c>
      <c r="H199" s="68">
        <v>2854.4120000000003</v>
      </c>
      <c r="I199" s="68">
        <v>16581.29</v>
      </c>
      <c r="J199" s="68">
        <v>0</v>
      </c>
    </row>
    <row r="200" spans="1:10">
      <c r="A200" s="61" t="s">
        <v>168</v>
      </c>
      <c r="B200" s="68">
        <v>6180</v>
      </c>
      <c r="C200" s="68">
        <v>0</v>
      </c>
      <c r="D200" s="68">
        <v>7551.75</v>
      </c>
      <c r="E200" s="68">
        <v>0</v>
      </c>
      <c r="F200" s="68">
        <v>3111.7799999999997</v>
      </c>
      <c r="G200" s="68">
        <v>619.06799999999998</v>
      </c>
      <c r="H200" s="68">
        <v>412.71199999999999</v>
      </c>
      <c r="I200" s="68">
        <v>0</v>
      </c>
      <c r="J200" s="68">
        <v>0</v>
      </c>
    </row>
    <row r="201" spans="1:10">
      <c r="A201" s="61" t="s">
        <v>169</v>
      </c>
      <c r="B201" s="68">
        <v>2700</v>
      </c>
      <c r="C201" s="68">
        <v>0</v>
      </c>
      <c r="D201" s="68">
        <v>14920</v>
      </c>
      <c r="E201" s="68">
        <v>0</v>
      </c>
      <c r="F201" s="68">
        <v>0</v>
      </c>
      <c r="G201" s="68">
        <v>3484</v>
      </c>
      <c r="H201" s="68">
        <v>0</v>
      </c>
      <c r="I201" s="68">
        <v>4990</v>
      </c>
      <c r="J201" s="68">
        <v>0</v>
      </c>
    </row>
    <row r="202" spans="1:10">
      <c r="A202" s="61" t="s">
        <v>170</v>
      </c>
      <c r="B202" s="68">
        <v>0</v>
      </c>
      <c r="C202" s="68">
        <v>0</v>
      </c>
      <c r="D202" s="68">
        <v>0</v>
      </c>
      <c r="E202" s="68">
        <v>0</v>
      </c>
      <c r="F202" s="68">
        <v>0</v>
      </c>
      <c r="G202" s="68">
        <v>0</v>
      </c>
      <c r="H202" s="68">
        <v>0</v>
      </c>
      <c r="I202" s="68">
        <v>0</v>
      </c>
      <c r="J202" s="68">
        <v>0</v>
      </c>
    </row>
    <row r="203" spans="1:10">
      <c r="A203" s="61" t="s">
        <v>234</v>
      </c>
      <c r="B203" s="68">
        <v>-0.95399999999999996</v>
      </c>
      <c r="C203" s="68">
        <v>0</v>
      </c>
      <c r="D203" s="68">
        <v>9.4200000000000006E-2</v>
      </c>
      <c r="E203" s="68">
        <v>0.32280000000000003</v>
      </c>
      <c r="F203" s="68">
        <v>-0.62649999999999995</v>
      </c>
      <c r="G203" s="68">
        <v>0.41610000000000003</v>
      </c>
      <c r="H203" s="68">
        <v>-0.4526</v>
      </c>
      <c r="I203" s="68">
        <v>-0.22</v>
      </c>
      <c r="J203" s="68">
        <v>0.02</v>
      </c>
    </row>
    <row r="204" spans="1:10">
      <c r="A204" s="61" t="s">
        <v>171</v>
      </c>
      <c r="B204" s="68">
        <v>98.432000000000016</v>
      </c>
      <c r="C204" s="68">
        <v>0</v>
      </c>
      <c r="D204" s="68">
        <v>44.296199999999999</v>
      </c>
      <c r="E204" s="68">
        <v>29.530799999999999</v>
      </c>
      <c r="F204" s="68">
        <v>36.911999999999999</v>
      </c>
      <c r="G204" s="68">
        <v>22.147199999999998</v>
      </c>
      <c r="H204" s="68">
        <v>14.764800000000001</v>
      </c>
      <c r="I204" s="68">
        <v>0</v>
      </c>
      <c r="J204" s="68">
        <v>0</v>
      </c>
    </row>
    <row r="205" spans="1:10">
      <c r="A205" s="72" t="s">
        <v>172</v>
      </c>
      <c r="B205" s="67">
        <f>+SUM(B206:B208)</f>
        <v>151384.57199999999</v>
      </c>
      <c r="C205" s="67">
        <f t="shared" ref="C205:J205" si="36">+SUM(C206:C208)</f>
        <v>0</v>
      </c>
      <c r="D205" s="67">
        <f t="shared" si="36"/>
        <v>107129.13440000001</v>
      </c>
      <c r="E205" s="67">
        <f t="shared" si="36"/>
        <v>311.1696000000004</v>
      </c>
      <c r="F205" s="67">
        <f t="shared" si="36"/>
        <v>53181.671999999999</v>
      </c>
      <c r="G205" s="67">
        <f t="shared" si="36"/>
        <v>9263.2812000000013</v>
      </c>
      <c r="H205" s="67">
        <f t="shared" si="36"/>
        <v>808.30080000000021</v>
      </c>
      <c r="I205" s="67">
        <f t="shared" si="36"/>
        <v>7415.24</v>
      </c>
      <c r="J205" s="67">
        <f t="shared" si="36"/>
        <v>0</v>
      </c>
    </row>
    <row r="206" spans="1:10">
      <c r="A206" s="61" t="s">
        <v>173</v>
      </c>
      <c r="B206" s="68">
        <v>148648.34</v>
      </c>
      <c r="C206" s="68">
        <v>0</v>
      </c>
      <c r="D206" s="68">
        <v>0</v>
      </c>
      <c r="E206" s="68">
        <v>0</v>
      </c>
      <c r="F206" s="68">
        <v>49979.92</v>
      </c>
      <c r="G206" s="68">
        <v>0</v>
      </c>
      <c r="H206" s="68">
        <v>0</v>
      </c>
      <c r="I206" s="68">
        <v>0</v>
      </c>
      <c r="J206" s="68">
        <v>0</v>
      </c>
    </row>
    <row r="207" spans="1:10">
      <c r="A207" s="61" t="s">
        <v>174</v>
      </c>
      <c r="B207" s="68">
        <v>0</v>
      </c>
      <c r="C207" s="68">
        <v>0</v>
      </c>
      <c r="D207" s="68">
        <v>9733.49</v>
      </c>
      <c r="E207" s="68">
        <v>0</v>
      </c>
      <c r="F207" s="68">
        <v>0</v>
      </c>
      <c r="G207" s="68">
        <v>0</v>
      </c>
      <c r="H207" s="68">
        <v>0</v>
      </c>
      <c r="I207" s="68">
        <v>7415.24</v>
      </c>
      <c r="J207" s="68">
        <v>0</v>
      </c>
    </row>
    <row r="208" spans="1:10">
      <c r="A208" s="61" t="s">
        <v>235</v>
      </c>
      <c r="B208" s="68">
        <v>2736.232</v>
      </c>
      <c r="C208" s="68">
        <v>0</v>
      </c>
      <c r="D208" s="68">
        <v>97395.644400000005</v>
      </c>
      <c r="E208" s="68">
        <v>311.1696000000004</v>
      </c>
      <c r="F208" s="68">
        <v>3201.7520000000004</v>
      </c>
      <c r="G208" s="68">
        <v>9263.2812000000013</v>
      </c>
      <c r="H208" s="68">
        <v>808.30080000000021</v>
      </c>
      <c r="I208" s="68">
        <v>0</v>
      </c>
      <c r="J208" s="68">
        <v>0</v>
      </c>
    </row>
    <row r="209" spans="1:10">
      <c r="A209" s="72" t="s">
        <v>175</v>
      </c>
      <c r="B209" s="67">
        <f>+SUM(B210:B213)</f>
        <v>160737.31</v>
      </c>
      <c r="C209" s="67">
        <f t="shared" ref="C209:J209" si="37">+SUM(C210:C213)</f>
        <v>0</v>
      </c>
      <c r="D209" s="67">
        <f t="shared" si="37"/>
        <v>186159</v>
      </c>
      <c r="E209" s="67">
        <f t="shared" si="37"/>
        <v>224106</v>
      </c>
      <c r="F209" s="67">
        <f t="shared" si="37"/>
        <v>140992.5</v>
      </c>
      <c r="G209" s="67">
        <f t="shared" si="37"/>
        <v>84595.5</v>
      </c>
      <c r="H209" s="67">
        <f t="shared" si="37"/>
        <v>56397</v>
      </c>
      <c r="I209" s="67">
        <f t="shared" si="37"/>
        <v>267000</v>
      </c>
      <c r="J209" s="67">
        <f t="shared" si="37"/>
        <v>178000</v>
      </c>
    </row>
    <row r="210" spans="1:10">
      <c r="A210" s="61" t="s">
        <v>176</v>
      </c>
      <c r="B210" s="68">
        <v>0</v>
      </c>
      <c r="C210" s="68">
        <v>0</v>
      </c>
      <c r="D210" s="68">
        <v>0</v>
      </c>
      <c r="E210" s="68">
        <v>100000</v>
      </c>
      <c r="F210" s="68">
        <v>0</v>
      </c>
      <c r="G210" s="68">
        <v>0</v>
      </c>
      <c r="H210" s="68">
        <v>0</v>
      </c>
      <c r="I210" s="68">
        <v>0</v>
      </c>
      <c r="J210" s="68">
        <v>0</v>
      </c>
    </row>
    <row r="211" spans="1:10">
      <c r="A211" s="61" t="s">
        <v>177</v>
      </c>
      <c r="B211" s="68">
        <v>0</v>
      </c>
      <c r="C211" s="68">
        <v>0</v>
      </c>
      <c r="D211" s="68">
        <v>186159</v>
      </c>
      <c r="E211" s="68">
        <v>124106</v>
      </c>
      <c r="F211" s="68">
        <v>0</v>
      </c>
      <c r="G211" s="68">
        <v>70195.5</v>
      </c>
      <c r="H211" s="68">
        <v>46797</v>
      </c>
      <c r="I211" s="68">
        <v>267000</v>
      </c>
      <c r="J211" s="68">
        <v>178000</v>
      </c>
    </row>
    <row r="212" spans="1:10">
      <c r="A212" s="61" t="s">
        <v>178</v>
      </c>
      <c r="B212" s="68">
        <v>87450.31</v>
      </c>
      <c r="C212" s="68">
        <v>0</v>
      </c>
      <c r="D212" s="68">
        <v>0</v>
      </c>
      <c r="E212" s="68">
        <v>0</v>
      </c>
      <c r="F212" s="68">
        <v>116992.5</v>
      </c>
      <c r="G212" s="68">
        <v>0</v>
      </c>
      <c r="H212" s="68">
        <v>0</v>
      </c>
      <c r="I212" s="68">
        <v>0</v>
      </c>
      <c r="J212" s="68">
        <v>0</v>
      </c>
    </row>
    <row r="213" spans="1:10">
      <c r="A213" s="61" t="s">
        <v>179</v>
      </c>
      <c r="B213" s="68">
        <v>73287</v>
      </c>
      <c r="C213" s="68">
        <v>0</v>
      </c>
      <c r="D213" s="68">
        <v>0</v>
      </c>
      <c r="E213" s="68">
        <v>0</v>
      </c>
      <c r="F213" s="68">
        <v>24000</v>
      </c>
      <c r="G213" s="68">
        <v>14400</v>
      </c>
      <c r="H213" s="68">
        <v>9600</v>
      </c>
      <c r="I213" s="68">
        <v>0</v>
      </c>
      <c r="J213" s="68">
        <v>0</v>
      </c>
    </row>
    <row r="214" spans="1:10">
      <c r="A214" s="72" t="s">
        <v>180</v>
      </c>
      <c r="B214" s="67">
        <f>+SUM(B215:B216)</f>
        <v>250</v>
      </c>
      <c r="C214" s="67">
        <f t="shared" ref="C214:J214" si="38">+SUM(C215:C216)</f>
        <v>0</v>
      </c>
      <c r="D214" s="67">
        <f t="shared" si="38"/>
        <v>600</v>
      </c>
      <c r="E214" s="67">
        <f t="shared" si="38"/>
        <v>0</v>
      </c>
      <c r="F214" s="67">
        <f t="shared" si="38"/>
        <v>300</v>
      </c>
      <c r="G214" s="67">
        <f t="shared" si="38"/>
        <v>180</v>
      </c>
      <c r="H214" s="67">
        <f t="shared" si="38"/>
        <v>120</v>
      </c>
      <c r="I214" s="67">
        <f t="shared" si="38"/>
        <v>0</v>
      </c>
      <c r="J214" s="67">
        <f t="shared" si="38"/>
        <v>0</v>
      </c>
    </row>
    <row r="215" spans="1:10">
      <c r="A215" s="61" t="s">
        <v>181</v>
      </c>
      <c r="B215" s="68">
        <v>0</v>
      </c>
      <c r="C215" s="68">
        <v>0</v>
      </c>
      <c r="D215" s="68">
        <v>0</v>
      </c>
      <c r="E215" s="68">
        <v>0</v>
      </c>
      <c r="F215" s="68">
        <v>0</v>
      </c>
      <c r="G215" s="68">
        <v>0</v>
      </c>
      <c r="H215" s="68">
        <v>0</v>
      </c>
      <c r="I215" s="68">
        <v>0</v>
      </c>
      <c r="J215" s="68">
        <v>0</v>
      </c>
    </row>
    <row r="216" spans="1:10">
      <c r="A216" s="61" t="s">
        <v>182</v>
      </c>
      <c r="B216" s="68">
        <v>250</v>
      </c>
      <c r="C216" s="68">
        <v>0</v>
      </c>
      <c r="D216" s="68">
        <v>600</v>
      </c>
      <c r="E216" s="68">
        <v>0</v>
      </c>
      <c r="F216" s="68">
        <v>300</v>
      </c>
      <c r="G216" s="68">
        <v>180</v>
      </c>
      <c r="H216" s="68">
        <v>120</v>
      </c>
      <c r="I216" s="68">
        <v>0</v>
      </c>
      <c r="J216" s="68">
        <v>0</v>
      </c>
    </row>
    <row r="217" spans="1:10">
      <c r="A217" s="60"/>
      <c r="B217" s="68"/>
      <c r="C217" s="68"/>
      <c r="D217" s="68"/>
      <c r="E217" s="68"/>
      <c r="F217" s="68"/>
      <c r="G217" s="68"/>
      <c r="H217" s="68"/>
      <c r="I217" s="69"/>
      <c r="J217" s="69"/>
    </row>
    <row r="218" spans="1:10" ht="17.25">
      <c r="A218" s="70" t="s">
        <v>183</v>
      </c>
      <c r="B218" s="67">
        <f>+B219+B223+B227</f>
        <v>430174.25084931508</v>
      </c>
      <c r="C218" s="67">
        <f t="shared" ref="C218:J218" si="39">+C219+C223+C227</f>
        <v>0</v>
      </c>
      <c r="D218" s="67">
        <f t="shared" si="39"/>
        <v>42967.315799999997</v>
      </c>
      <c r="E218" s="67">
        <f t="shared" si="39"/>
        <v>28644.877199999999</v>
      </c>
      <c r="F218" s="67">
        <f t="shared" si="39"/>
        <v>181645.97649999999</v>
      </c>
      <c r="G218" s="67">
        <f t="shared" si="39"/>
        <v>21483.657899999998</v>
      </c>
      <c r="H218" s="67">
        <f t="shared" si="39"/>
        <v>14322.438599999999</v>
      </c>
      <c r="I218" s="67">
        <f t="shared" si="39"/>
        <v>0</v>
      </c>
      <c r="J218" s="67">
        <f t="shared" si="39"/>
        <v>0</v>
      </c>
    </row>
    <row r="219" spans="1:10">
      <c r="A219" s="72" t="s">
        <v>184</v>
      </c>
      <c r="B219" s="67">
        <f>+SUM(B220:B222)</f>
        <v>334691.32684931508</v>
      </c>
      <c r="C219" s="67">
        <f t="shared" ref="C219:J219" si="40">+SUM(C220:C222)</f>
        <v>0</v>
      </c>
      <c r="D219" s="67">
        <f t="shared" si="40"/>
        <v>0</v>
      </c>
      <c r="E219" s="67">
        <f t="shared" si="40"/>
        <v>0</v>
      </c>
      <c r="F219" s="67">
        <f t="shared" si="40"/>
        <v>145839.88</v>
      </c>
      <c r="G219" s="67">
        <f t="shared" si="40"/>
        <v>0</v>
      </c>
      <c r="H219" s="67">
        <f t="shared" si="40"/>
        <v>0</v>
      </c>
      <c r="I219" s="67">
        <f t="shared" si="40"/>
        <v>0</v>
      </c>
      <c r="J219" s="67">
        <f t="shared" si="40"/>
        <v>0</v>
      </c>
    </row>
    <row r="220" spans="1:10">
      <c r="A220" s="61" t="s">
        <v>185</v>
      </c>
      <c r="B220" s="68">
        <v>115931.50684931508</v>
      </c>
      <c r="C220" s="68">
        <v>0</v>
      </c>
      <c r="D220" s="68">
        <v>0</v>
      </c>
      <c r="E220" s="68">
        <v>0</v>
      </c>
      <c r="F220" s="68">
        <v>0</v>
      </c>
      <c r="G220" s="68">
        <v>0</v>
      </c>
      <c r="H220" s="68">
        <v>0</v>
      </c>
      <c r="I220" s="68">
        <v>0</v>
      </c>
      <c r="J220" s="68">
        <v>0</v>
      </c>
    </row>
    <row r="221" spans="1:10">
      <c r="A221" s="61" t="s">
        <v>236</v>
      </c>
      <c r="B221" s="68">
        <v>194353.19999999998</v>
      </c>
      <c r="C221" s="68">
        <v>0</v>
      </c>
      <c r="D221" s="68">
        <v>0</v>
      </c>
      <c r="E221" s="68">
        <v>0</v>
      </c>
      <c r="F221" s="68">
        <v>129568.8</v>
      </c>
      <c r="G221" s="68">
        <v>0</v>
      </c>
      <c r="H221" s="68">
        <v>0</v>
      </c>
      <c r="I221" s="68">
        <v>0</v>
      </c>
      <c r="J221" s="68">
        <v>0</v>
      </c>
    </row>
    <row r="222" spans="1:10">
      <c r="A222" s="61" t="s">
        <v>237</v>
      </c>
      <c r="B222" s="68">
        <v>24406.62</v>
      </c>
      <c r="C222" s="68">
        <v>0</v>
      </c>
      <c r="D222" s="68">
        <v>0</v>
      </c>
      <c r="E222" s="68">
        <v>0</v>
      </c>
      <c r="F222" s="68">
        <v>16271.08</v>
      </c>
      <c r="G222" s="68">
        <v>0</v>
      </c>
      <c r="H222" s="68">
        <v>0</v>
      </c>
      <c r="I222" s="68">
        <v>0</v>
      </c>
      <c r="J222" s="68">
        <v>0</v>
      </c>
    </row>
    <row r="223" spans="1:10">
      <c r="A223" s="72" t="s">
        <v>186</v>
      </c>
      <c r="B223" s="67">
        <f>+SUM(B224:B226)</f>
        <v>75734.524000000005</v>
      </c>
      <c r="C223" s="67">
        <f t="shared" ref="C223:J223" si="41">+SUM(C224:C226)</f>
        <v>0</v>
      </c>
      <c r="D223" s="67">
        <f t="shared" si="41"/>
        <v>34080.535799999998</v>
      </c>
      <c r="E223" s="67">
        <f t="shared" si="41"/>
        <v>22720.357199999999</v>
      </c>
      <c r="F223" s="67">
        <f t="shared" si="41"/>
        <v>28400.446499999998</v>
      </c>
      <c r="G223" s="67">
        <f t="shared" si="41"/>
        <v>17040.267899999999</v>
      </c>
      <c r="H223" s="67">
        <f t="shared" si="41"/>
        <v>11360.178599999999</v>
      </c>
      <c r="I223" s="67">
        <f t="shared" si="41"/>
        <v>0</v>
      </c>
      <c r="J223" s="67">
        <f t="shared" si="41"/>
        <v>0</v>
      </c>
    </row>
    <row r="224" spans="1:10">
      <c r="A224" s="61" t="s">
        <v>187</v>
      </c>
      <c r="B224" s="68">
        <v>75734.524000000005</v>
      </c>
      <c r="C224" s="68">
        <v>0</v>
      </c>
      <c r="D224" s="68">
        <v>34080.535799999998</v>
      </c>
      <c r="E224" s="68">
        <v>22720.357199999999</v>
      </c>
      <c r="F224" s="68">
        <v>28400.446499999998</v>
      </c>
      <c r="G224" s="68">
        <v>17040.267899999999</v>
      </c>
      <c r="H224" s="68">
        <v>11360.178599999999</v>
      </c>
      <c r="I224" s="68">
        <v>0</v>
      </c>
      <c r="J224" s="68">
        <v>0</v>
      </c>
    </row>
    <row r="225" spans="1:10">
      <c r="A225" s="61" t="s">
        <v>188</v>
      </c>
      <c r="B225" s="68">
        <v>0</v>
      </c>
      <c r="C225" s="68">
        <v>0</v>
      </c>
      <c r="D225" s="68">
        <v>0</v>
      </c>
      <c r="E225" s="68">
        <v>0</v>
      </c>
      <c r="F225" s="68">
        <v>0</v>
      </c>
      <c r="G225" s="68">
        <v>0</v>
      </c>
      <c r="H225" s="68">
        <v>0</v>
      </c>
      <c r="I225" s="68">
        <v>0</v>
      </c>
      <c r="J225" s="68">
        <v>0</v>
      </c>
    </row>
    <row r="226" spans="1:10">
      <c r="A226" s="61" t="s">
        <v>189</v>
      </c>
      <c r="B226" s="68">
        <v>0</v>
      </c>
      <c r="C226" s="68">
        <v>0</v>
      </c>
      <c r="D226" s="68">
        <v>0</v>
      </c>
      <c r="E226" s="68">
        <v>0</v>
      </c>
      <c r="F226" s="68">
        <v>0</v>
      </c>
      <c r="G226" s="68">
        <v>0</v>
      </c>
      <c r="H226" s="68">
        <v>0</v>
      </c>
      <c r="I226" s="68">
        <v>0</v>
      </c>
      <c r="J226" s="68">
        <v>0</v>
      </c>
    </row>
    <row r="227" spans="1:10">
      <c r="A227" s="72" t="s">
        <v>190</v>
      </c>
      <c r="B227" s="67">
        <f>+SUM(B228:B229)</f>
        <v>19748.400000000001</v>
      </c>
      <c r="C227" s="67">
        <f t="shared" ref="C227:J227" si="42">+SUM(C228:C229)</f>
        <v>0</v>
      </c>
      <c r="D227" s="67">
        <f t="shared" si="42"/>
        <v>8886.7799999999988</v>
      </c>
      <c r="E227" s="67">
        <f t="shared" si="42"/>
        <v>5924.52</v>
      </c>
      <c r="F227" s="67">
        <f t="shared" si="42"/>
        <v>7405.65</v>
      </c>
      <c r="G227" s="67">
        <f t="shared" si="42"/>
        <v>4443.3899999999994</v>
      </c>
      <c r="H227" s="67">
        <f t="shared" si="42"/>
        <v>2962.26</v>
      </c>
      <c r="I227" s="67">
        <f t="shared" si="42"/>
        <v>0</v>
      </c>
      <c r="J227" s="67">
        <f t="shared" si="42"/>
        <v>0</v>
      </c>
    </row>
    <row r="228" spans="1:10">
      <c r="A228" s="61" t="s">
        <v>191</v>
      </c>
      <c r="B228" s="68">
        <v>0</v>
      </c>
      <c r="C228" s="68">
        <v>0</v>
      </c>
      <c r="D228" s="68">
        <v>0</v>
      </c>
      <c r="E228" s="68">
        <v>0</v>
      </c>
      <c r="F228" s="68">
        <v>0</v>
      </c>
      <c r="G228" s="68">
        <v>0</v>
      </c>
      <c r="H228" s="68">
        <v>0</v>
      </c>
      <c r="I228" s="68">
        <v>0</v>
      </c>
      <c r="J228" s="68">
        <v>0</v>
      </c>
    </row>
    <row r="229" spans="1:10">
      <c r="A229" s="61" t="s">
        <v>192</v>
      </c>
      <c r="B229" s="68">
        <v>19748.400000000001</v>
      </c>
      <c r="C229" s="68">
        <v>0</v>
      </c>
      <c r="D229" s="68">
        <v>8886.7799999999988</v>
      </c>
      <c r="E229" s="68">
        <v>5924.52</v>
      </c>
      <c r="F229" s="68">
        <v>7405.65</v>
      </c>
      <c r="G229" s="68">
        <v>4443.3899999999994</v>
      </c>
      <c r="H229" s="68">
        <v>2962.26</v>
      </c>
      <c r="I229" s="68">
        <v>0</v>
      </c>
      <c r="J229" s="68">
        <v>0</v>
      </c>
    </row>
    <row r="230" spans="1:10">
      <c r="A230" s="64" t="s">
        <v>193</v>
      </c>
      <c r="B230" s="67">
        <f>+B75+B104+B115+B156+B218</f>
        <v>6791494.715646591</v>
      </c>
      <c r="C230" s="67">
        <f t="shared" ref="C230:J230" si="43">+C75+C104+C115+C156+C218</f>
        <v>42650</v>
      </c>
      <c r="D230" s="67">
        <f t="shared" si="43"/>
        <v>3246206.9445195138</v>
      </c>
      <c r="E230" s="67">
        <f t="shared" si="43"/>
        <v>1136187.5286133548</v>
      </c>
      <c r="F230" s="67">
        <f t="shared" si="43"/>
        <v>3335453.8369775638</v>
      </c>
      <c r="G230" s="67">
        <f t="shared" si="43"/>
        <v>1430187.2232489851</v>
      </c>
      <c r="H230" s="67">
        <f t="shared" si="43"/>
        <v>405903.29742126068</v>
      </c>
      <c r="I230" s="67">
        <f t="shared" si="43"/>
        <v>1413130.5481025642</v>
      </c>
      <c r="J230" s="67">
        <f t="shared" si="43"/>
        <v>562619.56407692307</v>
      </c>
    </row>
    <row r="231" spans="1:10">
      <c r="A231" s="73" t="s">
        <v>58</v>
      </c>
      <c r="B231" s="115">
        <f>+IFERROR(B230/B70,0)</f>
        <v>0.16757026236913797</v>
      </c>
      <c r="C231" s="115">
        <f t="shared" ref="C231:J231" si="44">+IFERROR(C230/C70,0)</f>
        <v>3.0042079690965961E-2</v>
      </c>
      <c r="D231" s="115">
        <f t="shared" si="44"/>
        <v>0.13320823209278385</v>
      </c>
      <c r="E231" s="115">
        <f t="shared" si="44"/>
        <v>0.11108234991451543</v>
      </c>
      <c r="F231" s="115">
        <f t="shared" si="44"/>
        <v>3.7946139029776671E-2</v>
      </c>
      <c r="G231" s="115">
        <f t="shared" si="44"/>
        <v>0.12649844631840312</v>
      </c>
      <c r="H231" s="115">
        <f t="shared" si="44"/>
        <v>0.12381870167651743</v>
      </c>
      <c r="I231" s="115">
        <f t="shared" si="44"/>
        <v>0.41236704375074928</v>
      </c>
      <c r="J231" s="115">
        <f t="shared" si="44"/>
        <v>1.6563467450957254</v>
      </c>
    </row>
    <row r="232" spans="1:10">
      <c r="A232" s="21"/>
      <c r="B232" s="69"/>
      <c r="C232" s="69"/>
      <c r="D232" s="69"/>
      <c r="E232" s="69"/>
      <c r="F232" s="69"/>
      <c r="G232" s="69"/>
      <c r="H232" s="69"/>
      <c r="I232" s="69"/>
      <c r="J232" s="69"/>
    </row>
    <row r="233" spans="1:10">
      <c r="A233" s="64" t="s">
        <v>194</v>
      </c>
      <c r="B233" s="67">
        <f>+B71-B230</f>
        <v>-3716826.8256465918</v>
      </c>
      <c r="C233" s="67">
        <f t="shared" ref="C233:J233" si="45">+C71-C230</f>
        <v>213266.16000000166</v>
      </c>
      <c r="D233" s="67">
        <f t="shared" si="45"/>
        <v>6264811.7436246574</v>
      </c>
      <c r="E233" s="67">
        <f t="shared" si="45"/>
        <v>2599474.7373866457</v>
      </c>
      <c r="F233" s="67">
        <f t="shared" si="45"/>
        <v>2128311.0530224359</v>
      </c>
      <c r="G233" s="67">
        <f t="shared" si="45"/>
        <v>2232353.4140921817</v>
      </c>
      <c r="H233" s="67">
        <f t="shared" si="45"/>
        <v>715517.23257873952</v>
      </c>
      <c r="I233" s="67">
        <f t="shared" si="45"/>
        <v>-600727.69867878978</v>
      </c>
      <c r="J233" s="67">
        <f t="shared" si="45"/>
        <v>-403370.05207692308</v>
      </c>
    </row>
    <row r="234" spans="1:10">
      <c r="A234" s="73" t="s">
        <v>58</v>
      </c>
      <c r="B234" s="115">
        <f>IFERROR(B233/B70,0)</f>
        <v>-9.1707300444384215E-2</v>
      </c>
      <c r="C234" s="115">
        <f t="shared" ref="C234:J234" si="46">IFERROR(C233/C70,0)</f>
        <v>0.15022178133895303</v>
      </c>
      <c r="D234" s="115">
        <f t="shared" si="46"/>
        <v>0.25707680102504155</v>
      </c>
      <c r="E234" s="115">
        <f t="shared" si="46"/>
        <v>0.25414445687916914</v>
      </c>
      <c r="F234" s="115">
        <f t="shared" si="46"/>
        <v>2.4212953038433249E-2</v>
      </c>
      <c r="G234" s="115">
        <f t="shared" si="46"/>
        <v>0.19744914087173457</v>
      </c>
      <c r="H234" s="115">
        <f t="shared" si="46"/>
        <v>0.21826483137220709</v>
      </c>
      <c r="I234" s="115">
        <f t="shared" si="46"/>
        <v>-0.1752989527655332</v>
      </c>
      <c r="J234" s="115">
        <f t="shared" si="46"/>
        <v>-1.1875176682184434</v>
      </c>
    </row>
    <row r="235" spans="1:10">
      <c r="A235" s="60"/>
      <c r="B235" s="68"/>
      <c r="C235" s="68"/>
      <c r="D235" s="68"/>
      <c r="E235" s="68"/>
      <c r="F235" s="68"/>
      <c r="G235" s="68"/>
      <c r="H235" s="68"/>
      <c r="I235" s="69"/>
      <c r="J235" s="69"/>
    </row>
    <row r="236" spans="1:10" ht="17.25">
      <c r="A236" s="70" t="s">
        <v>195</v>
      </c>
      <c r="B236" s="67">
        <f t="shared" ref="B236:J236" si="47">+SUM(B237:B239)</f>
        <v>131965.6182</v>
      </c>
      <c r="C236" s="67">
        <f t="shared" si="47"/>
        <v>0</v>
      </c>
      <c r="D236" s="67">
        <f t="shared" si="47"/>
        <v>302141.16462</v>
      </c>
      <c r="E236" s="67">
        <f t="shared" si="47"/>
        <v>22332.643080000002</v>
      </c>
      <c r="F236" s="67">
        <f t="shared" si="47"/>
        <v>159881.42204999999</v>
      </c>
      <c r="G236" s="67">
        <f t="shared" si="47"/>
        <v>275023.65323</v>
      </c>
      <c r="H236" s="67">
        <f t="shared" si="47"/>
        <v>63952.56882</v>
      </c>
      <c r="I236" s="67">
        <f t="shared" si="47"/>
        <v>0</v>
      </c>
      <c r="J236" s="67">
        <f t="shared" si="47"/>
        <v>0</v>
      </c>
    </row>
    <row r="237" spans="1:10">
      <c r="A237" s="61" t="s">
        <v>196</v>
      </c>
      <c r="B237" s="68">
        <v>0</v>
      </c>
      <c r="C237" s="68">
        <v>0</v>
      </c>
      <c r="D237" s="68">
        <v>234660</v>
      </c>
      <c r="E237" s="68">
        <v>0</v>
      </c>
      <c r="F237" s="68">
        <v>0</v>
      </c>
      <c r="G237" s="68">
        <v>156440</v>
      </c>
      <c r="H237" s="68">
        <v>0</v>
      </c>
      <c r="I237" s="68">
        <v>0</v>
      </c>
      <c r="J237" s="68">
        <v>0</v>
      </c>
    </row>
    <row r="238" spans="1:10">
      <c r="A238" s="61" t="s">
        <v>197</v>
      </c>
      <c r="B238" s="68">
        <v>131965.6182</v>
      </c>
      <c r="C238" s="68">
        <v>0</v>
      </c>
      <c r="D238" s="68">
        <v>33498.964619999999</v>
      </c>
      <c r="E238" s="68">
        <v>22332.643080000002</v>
      </c>
      <c r="F238" s="68">
        <v>159881.42204999999</v>
      </c>
      <c r="G238" s="68">
        <v>95928.853229999993</v>
      </c>
      <c r="H238" s="68">
        <v>63952.56882</v>
      </c>
      <c r="I238" s="68">
        <v>0</v>
      </c>
      <c r="J238" s="68">
        <v>0</v>
      </c>
    </row>
    <row r="239" spans="1:10">
      <c r="A239" s="61" t="s">
        <v>198</v>
      </c>
      <c r="B239" s="68">
        <v>0</v>
      </c>
      <c r="C239" s="68">
        <v>0</v>
      </c>
      <c r="D239" s="68">
        <v>33982.199999999997</v>
      </c>
      <c r="E239" s="68">
        <v>0</v>
      </c>
      <c r="F239" s="68">
        <v>0</v>
      </c>
      <c r="G239" s="68">
        <v>22654.800000000003</v>
      </c>
      <c r="H239" s="68">
        <v>0</v>
      </c>
      <c r="I239" s="68">
        <v>0</v>
      </c>
      <c r="J239" s="68">
        <v>0</v>
      </c>
    </row>
    <row r="240" spans="1:10">
      <c r="A240" s="60"/>
      <c r="B240" s="68"/>
      <c r="C240" s="68"/>
      <c r="D240" s="68"/>
      <c r="E240" s="68"/>
      <c r="F240" s="68"/>
      <c r="G240" s="68"/>
      <c r="H240" s="68"/>
      <c r="I240" s="69"/>
      <c r="J240" s="69"/>
    </row>
    <row r="241" spans="1:10" ht="17.25">
      <c r="A241" s="70" t="s">
        <v>199</v>
      </c>
      <c r="B241" s="67">
        <f>+SUM(B242:B248)</f>
        <v>952163.96462113166</v>
      </c>
      <c r="C241" s="67">
        <f t="shared" ref="C241:J241" si="48">+SUM(C242:C248)</f>
        <v>0</v>
      </c>
      <c r="D241" s="67">
        <f t="shared" si="48"/>
        <v>675475.61596874997</v>
      </c>
      <c r="E241" s="67">
        <f t="shared" si="48"/>
        <v>386326.71292708302</v>
      </c>
      <c r="F241" s="67">
        <f t="shared" si="48"/>
        <v>433516.25836428563</v>
      </c>
      <c r="G241" s="67">
        <f t="shared" si="48"/>
        <v>241812.14353571442</v>
      </c>
      <c r="H241" s="67">
        <f t="shared" si="48"/>
        <v>155829.26235714319</v>
      </c>
      <c r="I241" s="67">
        <f t="shared" si="48"/>
        <v>702927.25199999998</v>
      </c>
      <c r="J241" s="67">
        <f t="shared" si="48"/>
        <v>468618.16800000001</v>
      </c>
    </row>
    <row r="242" spans="1:10">
      <c r="A242" s="61" t="s">
        <v>200</v>
      </c>
      <c r="B242" s="68">
        <v>0</v>
      </c>
      <c r="C242" s="68">
        <v>0</v>
      </c>
      <c r="D242" s="68">
        <v>0</v>
      </c>
      <c r="E242" s="68">
        <v>0</v>
      </c>
      <c r="F242" s="68">
        <v>0</v>
      </c>
      <c r="G242" s="68">
        <v>0</v>
      </c>
      <c r="H242" s="68">
        <v>0</v>
      </c>
      <c r="I242" s="68">
        <v>0</v>
      </c>
      <c r="J242" s="68">
        <v>0</v>
      </c>
    </row>
    <row r="243" spans="1:10">
      <c r="A243" s="61" t="s">
        <v>238</v>
      </c>
      <c r="B243" s="68">
        <v>952163.96462113166</v>
      </c>
      <c r="C243" s="68">
        <v>0</v>
      </c>
      <c r="D243" s="68">
        <v>675475.61596874997</v>
      </c>
      <c r="E243" s="68">
        <v>386326.71292708302</v>
      </c>
      <c r="F243" s="68">
        <v>433516.25836428563</v>
      </c>
      <c r="G243" s="68">
        <v>241812.14353571442</v>
      </c>
      <c r="H243" s="68">
        <v>155829.26235714319</v>
      </c>
      <c r="I243" s="68">
        <v>702927.25199999998</v>
      </c>
      <c r="J243" s="68">
        <v>468618.16800000001</v>
      </c>
    </row>
    <row r="244" spans="1:10">
      <c r="A244" s="61" t="s">
        <v>239</v>
      </c>
      <c r="B244" s="68">
        <v>0</v>
      </c>
      <c r="C244" s="68">
        <v>0</v>
      </c>
      <c r="D244" s="68">
        <v>0</v>
      </c>
      <c r="E244" s="68">
        <v>0</v>
      </c>
      <c r="F244" s="68">
        <v>0</v>
      </c>
      <c r="G244" s="68">
        <v>0</v>
      </c>
      <c r="H244" s="68">
        <v>0</v>
      </c>
      <c r="I244" s="68">
        <v>0</v>
      </c>
      <c r="J244" s="68">
        <v>0</v>
      </c>
    </row>
    <row r="245" spans="1:10">
      <c r="A245" s="61" t="s">
        <v>240</v>
      </c>
      <c r="B245" s="68">
        <v>0</v>
      </c>
      <c r="C245" s="68">
        <v>0</v>
      </c>
      <c r="D245" s="68">
        <v>0</v>
      </c>
      <c r="E245" s="68">
        <v>0</v>
      </c>
      <c r="F245" s="68">
        <v>0</v>
      </c>
      <c r="G245" s="68">
        <v>0</v>
      </c>
      <c r="H245" s="68">
        <v>0</v>
      </c>
      <c r="I245" s="68">
        <v>0</v>
      </c>
      <c r="J245" s="68">
        <v>0</v>
      </c>
    </row>
    <row r="246" spans="1:10">
      <c r="A246" s="61" t="s">
        <v>241</v>
      </c>
      <c r="B246" s="68">
        <v>0</v>
      </c>
      <c r="C246" s="68">
        <v>0</v>
      </c>
      <c r="D246" s="68">
        <v>0</v>
      </c>
      <c r="E246" s="68">
        <v>0</v>
      </c>
      <c r="F246" s="68">
        <v>0</v>
      </c>
      <c r="G246" s="68">
        <v>0</v>
      </c>
      <c r="H246" s="68">
        <v>0</v>
      </c>
      <c r="I246" s="68">
        <v>0</v>
      </c>
      <c r="J246" s="68">
        <v>0</v>
      </c>
    </row>
    <row r="247" spans="1:10">
      <c r="A247" s="61" t="s">
        <v>242</v>
      </c>
      <c r="B247" s="68">
        <v>0</v>
      </c>
      <c r="C247" s="68">
        <v>0</v>
      </c>
      <c r="D247" s="68">
        <v>0</v>
      </c>
      <c r="E247" s="68">
        <v>0</v>
      </c>
      <c r="F247" s="68">
        <v>0</v>
      </c>
      <c r="G247" s="68">
        <v>0</v>
      </c>
      <c r="H247" s="68">
        <v>0</v>
      </c>
      <c r="I247" s="68">
        <v>0</v>
      </c>
      <c r="J247" s="68">
        <v>0</v>
      </c>
    </row>
    <row r="248" spans="1:10">
      <c r="A248" s="60"/>
      <c r="B248" s="68"/>
      <c r="C248" s="68"/>
      <c r="D248" s="68"/>
      <c r="E248" s="68"/>
      <c r="F248" s="68"/>
      <c r="G248" s="68"/>
      <c r="H248" s="68"/>
      <c r="I248" s="69"/>
      <c r="J248" s="69"/>
    </row>
    <row r="249" spans="1:10">
      <c r="A249" s="64" t="s">
        <v>201</v>
      </c>
      <c r="B249" s="67">
        <f t="shared" ref="B249:J249" si="49">+B233-B236-B241</f>
        <v>-4800956.4084677231</v>
      </c>
      <c r="C249" s="67">
        <f t="shared" si="49"/>
        <v>213266.16000000166</v>
      </c>
      <c r="D249" s="67">
        <f t="shared" si="49"/>
        <v>5287194.9630359076</v>
      </c>
      <c r="E249" s="67">
        <f t="shared" si="49"/>
        <v>2190815.3813795629</v>
      </c>
      <c r="F249" s="67">
        <f t="shared" si="49"/>
        <v>1534913.3726081504</v>
      </c>
      <c r="G249" s="67">
        <f t="shared" si="49"/>
        <v>1715517.6173264673</v>
      </c>
      <c r="H249" s="67">
        <f t="shared" si="49"/>
        <v>495735.40140159626</v>
      </c>
      <c r="I249" s="67">
        <f t="shared" si="49"/>
        <v>-1303654.9506787898</v>
      </c>
      <c r="J249" s="67">
        <f t="shared" si="49"/>
        <v>-871988.22007692303</v>
      </c>
    </row>
    <row r="250" spans="1:10">
      <c r="A250" s="74" t="s">
        <v>58</v>
      </c>
      <c r="B250" s="116">
        <f>IFERROR(B249/B70,0)</f>
        <v>-0.11845662238921992</v>
      </c>
      <c r="C250" s="116">
        <f t="shared" ref="C250:J250" si="50">IFERROR(C249/C70,0)</f>
        <v>0.15022178133895303</v>
      </c>
      <c r="D250" s="116">
        <f t="shared" si="50"/>
        <v>0.21696025724574725</v>
      </c>
      <c r="E250" s="116">
        <f t="shared" si="50"/>
        <v>0.21419080447882916</v>
      </c>
      <c r="F250" s="116">
        <f t="shared" si="50"/>
        <v>1.7462102335204364E-2</v>
      </c>
      <c r="G250" s="116">
        <f t="shared" si="50"/>
        <v>0.15173559775667708</v>
      </c>
      <c r="H250" s="116">
        <f t="shared" si="50"/>
        <v>0.15122152041285139</v>
      </c>
      <c r="I250" s="116">
        <f t="shared" si="50"/>
        <v>-0.38042085977425477</v>
      </c>
      <c r="J250" s="116">
        <f t="shared" si="50"/>
        <v>-2.5671251806820488</v>
      </c>
    </row>
  </sheetData>
  <mergeCells count="5">
    <mergeCell ref="A1:J1"/>
    <mergeCell ref="A2:A3"/>
    <mergeCell ref="B2:E2"/>
    <mergeCell ref="F2:H2"/>
    <mergeCell ref="I2:J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CDF9-3AF9-48A3-993D-FB651448FCE9}">
  <dimension ref="A1:J250"/>
  <sheetViews>
    <sheetView topLeftCell="A154" workbookViewId="0">
      <selection activeCell="D168" sqref="D168"/>
    </sheetView>
  </sheetViews>
  <sheetFormatPr defaultColWidth="8.7109375" defaultRowHeight="15"/>
  <cols>
    <col min="1" max="1" width="40.85546875" style="49" bestFit="1" customWidth="1"/>
    <col min="2" max="2" width="12.42578125" style="49" bestFit="1" customWidth="1"/>
    <col min="3" max="3" width="10.42578125" style="49" bestFit="1" customWidth="1"/>
    <col min="4" max="4" width="11.5703125" style="49" bestFit="1" customWidth="1"/>
    <col min="5" max="5" width="10" style="49" bestFit="1" customWidth="1"/>
    <col min="6" max="6" width="12.140625" style="49" bestFit="1" customWidth="1"/>
    <col min="7" max="7" width="11.140625" style="49" bestFit="1" customWidth="1"/>
    <col min="8" max="10" width="10" style="49" bestFit="1" customWidth="1"/>
    <col min="11" max="16384" width="8.7109375" style="49"/>
  </cols>
  <sheetData>
    <row r="1" spans="1:10" ht="15.75">
      <c r="A1" s="124" t="s">
        <v>244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0" ht="14.45" customHeight="1">
      <c r="A2" s="125" t="s">
        <v>1</v>
      </c>
      <c r="B2" s="127" t="s">
        <v>209</v>
      </c>
      <c r="C2" s="128"/>
      <c r="D2" s="128"/>
      <c r="E2" s="128"/>
      <c r="F2" s="129" t="s">
        <v>213</v>
      </c>
      <c r="G2" s="130"/>
      <c r="H2" s="130"/>
      <c r="I2" s="130" t="s">
        <v>214</v>
      </c>
      <c r="J2" s="130"/>
    </row>
    <row r="3" spans="1:10">
      <c r="A3" s="126"/>
      <c r="B3" s="51" t="s">
        <v>215</v>
      </c>
      <c r="C3" s="51" t="s">
        <v>216</v>
      </c>
      <c r="D3" s="52" t="s">
        <v>217</v>
      </c>
      <c r="E3" s="53" t="s">
        <v>218</v>
      </c>
      <c r="F3" s="51" t="s">
        <v>215</v>
      </c>
      <c r="G3" s="52" t="s">
        <v>217</v>
      </c>
      <c r="H3" s="52" t="s">
        <v>218</v>
      </c>
      <c r="I3" s="54" t="s">
        <v>217</v>
      </c>
      <c r="J3" s="54" t="s">
        <v>218</v>
      </c>
    </row>
    <row r="4" spans="1:10">
      <c r="A4" s="55" t="s">
        <v>3</v>
      </c>
      <c r="B4" s="56">
        <v>17</v>
      </c>
      <c r="C4" s="56"/>
      <c r="D4" s="56"/>
      <c r="E4" s="56"/>
      <c r="F4" s="56">
        <v>7</v>
      </c>
      <c r="G4" s="56"/>
      <c r="H4" s="56"/>
      <c r="I4" s="56"/>
      <c r="J4" s="56"/>
    </row>
    <row r="5" spans="1:10" ht="17.25">
      <c r="A5" s="57" t="s">
        <v>4</v>
      </c>
      <c r="B5" s="56"/>
      <c r="C5" s="56"/>
      <c r="D5" s="56"/>
      <c r="E5" s="56"/>
      <c r="F5" s="56"/>
      <c r="G5" s="56"/>
      <c r="H5" s="56"/>
      <c r="I5" s="50"/>
      <c r="J5" s="50"/>
    </row>
    <row r="6" spans="1:10">
      <c r="A6" s="55" t="s">
        <v>5</v>
      </c>
      <c r="B6" s="58">
        <f>+B7+B8+B13</f>
        <v>6229819</v>
      </c>
      <c r="C6" s="58">
        <f t="shared" ref="C6:J6" si="0">+C7+C8+C13</f>
        <v>0</v>
      </c>
      <c r="D6" s="58">
        <f t="shared" si="0"/>
        <v>0</v>
      </c>
      <c r="E6" s="58">
        <f t="shared" si="0"/>
        <v>0</v>
      </c>
      <c r="F6" s="58">
        <f t="shared" si="0"/>
        <v>2397905</v>
      </c>
      <c r="G6" s="58">
        <f t="shared" si="0"/>
        <v>0</v>
      </c>
      <c r="H6" s="58">
        <f t="shared" si="0"/>
        <v>0</v>
      </c>
      <c r="I6" s="58">
        <f t="shared" si="0"/>
        <v>0</v>
      </c>
      <c r="J6" s="58">
        <f t="shared" si="0"/>
        <v>0</v>
      </c>
    </row>
    <row r="7" spans="1:10">
      <c r="A7" s="55" t="s">
        <v>6</v>
      </c>
      <c r="B7" s="58">
        <v>4067501</v>
      </c>
      <c r="C7" s="58">
        <v>0</v>
      </c>
      <c r="D7" s="58">
        <v>0</v>
      </c>
      <c r="E7" s="58">
        <v>0</v>
      </c>
      <c r="F7" s="58">
        <v>1520766</v>
      </c>
      <c r="G7" s="58">
        <v>0</v>
      </c>
      <c r="H7" s="58">
        <v>0</v>
      </c>
      <c r="I7" s="59">
        <v>0</v>
      </c>
      <c r="J7" s="59">
        <v>0</v>
      </c>
    </row>
    <row r="8" spans="1:10">
      <c r="A8" s="55" t="s">
        <v>219</v>
      </c>
      <c r="B8" s="58">
        <f>+B9+B10+B11+B12</f>
        <v>1507070</v>
      </c>
      <c r="C8" s="58">
        <f t="shared" ref="C8:J8" si="1">+C9+C10+C11+C12</f>
        <v>0</v>
      </c>
      <c r="D8" s="58">
        <f t="shared" si="1"/>
        <v>0</v>
      </c>
      <c r="E8" s="58">
        <f t="shared" si="1"/>
        <v>0</v>
      </c>
      <c r="F8" s="58">
        <f t="shared" si="1"/>
        <v>611339</v>
      </c>
      <c r="G8" s="58">
        <f t="shared" si="1"/>
        <v>0</v>
      </c>
      <c r="H8" s="58">
        <f t="shared" si="1"/>
        <v>0</v>
      </c>
      <c r="I8" s="58">
        <f t="shared" si="1"/>
        <v>0</v>
      </c>
      <c r="J8" s="58">
        <f t="shared" si="1"/>
        <v>0</v>
      </c>
    </row>
    <row r="9" spans="1:10">
      <c r="A9" s="75" t="s">
        <v>7</v>
      </c>
      <c r="B9" s="56">
        <v>1310496</v>
      </c>
      <c r="C9" s="56">
        <v>0</v>
      </c>
      <c r="D9" s="56">
        <v>0</v>
      </c>
      <c r="E9" s="56">
        <v>0</v>
      </c>
      <c r="F9" s="56">
        <v>531599</v>
      </c>
      <c r="G9" s="56">
        <v>0</v>
      </c>
      <c r="H9" s="56">
        <v>0</v>
      </c>
      <c r="I9" s="50">
        <v>0</v>
      </c>
      <c r="J9" s="50">
        <v>0</v>
      </c>
    </row>
    <row r="10" spans="1:10">
      <c r="A10" s="75" t="s">
        <v>8</v>
      </c>
      <c r="B10" s="56"/>
      <c r="C10" s="56"/>
      <c r="D10" s="56"/>
      <c r="E10" s="56"/>
      <c r="F10" s="56"/>
      <c r="G10" s="56"/>
      <c r="H10" s="56"/>
      <c r="I10" s="50"/>
      <c r="J10" s="50"/>
    </row>
    <row r="11" spans="1:10">
      <c r="A11" s="75" t="s">
        <v>9</v>
      </c>
      <c r="B11" s="56"/>
      <c r="C11" s="56"/>
      <c r="D11" s="56"/>
      <c r="E11" s="56"/>
      <c r="F11" s="56"/>
      <c r="G11" s="56"/>
      <c r="H11" s="56"/>
      <c r="I11" s="50"/>
      <c r="J11" s="50"/>
    </row>
    <row r="12" spans="1:10">
      <c r="A12" s="75" t="s">
        <v>10</v>
      </c>
      <c r="B12" s="56">
        <v>196574</v>
      </c>
      <c r="C12" s="56">
        <v>0</v>
      </c>
      <c r="D12" s="56">
        <v>0</v>
      </c>
      <c r="E12" s="56">
        <v>0</v>
      </c>
      <c r="F12" s="56">
        <v>79740</v>
      </c>
      <c r="G12" s="56">
        <v>0</v>
      </c>
      <c r="H12" s="56">
        <v>0</v>
      </c>
      <c r="I12" s="50">
        <v>0</v>
      </c>
      <c r="J12" s="50">
        <v>0</v>
      </c>
    </row>
    <row r="13" spans="1:10">
      <c r="A13" s="55" t="s">
        <v>11</v>
      </c>
      <c r="B13" s="58">
        <f>+B14+B15+B16</f>
        <v>655248</v>
      </c>
      <c r="C13" s="58">
        <f t="shared" ref="C13:J13" si="2">+C14+C15+C16</f>
        <v>0</v>
      </c>
      <c r="D13" s="58">
        <f t="shared" si="2"/>
        <v>0</v>
      </c>
      <c r="E13" s="58">
        <f t="shared" si="2"/>
        <v>0</v>
      </c>
      <c r="F13" s="58">
        <f t="shared" si="2"/>
        <v>265800</v>
      </c>
      <c r="G13" s="58">
        <f t="shared" si="2"/>
        <v>0</v>
      </c>
      <c r="H13" s="58">
        <f t="shared" si="2"/>
        <v>0</v>
      </c>
      <c r="I13" s="58">
        <f t="shared" si="2"/>
        <v>0</v>
      </c>
      <c r="J13" s="58">
        <f t="shared" si="2"/>
        <v>0</v>
      </c>
    </row>
    <row r="14" spans="1:10">
      <c r="A14" s="76" t="s">
        <v>12</v>
      </c>
      <c r="B14" s="56">
        <v>131050</v>
      </c>
      <c r="C14" s="56">
        <v>0</v>
      </c>
      <c r="D14" s="56">
        <v>0</v>
      </c>
      <c r="E14" s="56">
        <v>0</v>
      </c>
      <c r="F14" s="56">
        <v>53160</v>
      </c>
      <c r="G14" s="56">
        <v>0</v>
      </c>
      <c r="H14" s="56">
        <v>0</v>
      </c>
      <c r="I14" s="50">
        <v>0</v>
      </c>
      <c r="J14" s="50">
        <v>0</v>
      </c>
    </row>
    <row r="15" spans="1:10">
      <c r="A15" s="76" t="s">
        <v>13</v>
      </c>
      <c r="B15" s="56">
        <v>262099</v>
      </c>
      <c r="C15" s="56">
        <v>0</v>
      </c>
      <c r="D15" s="56">
        <v>0</v>
      </c>
      <c r="E15" s="56">
        <v>0</v>
      </c>
      <c r="F15" s="56">
        <v>106320</v>
      </c>
      <c r="G15" s="56">
        <v>0</v>
      </c>
      <c r="H15" s="56">
        <v>0</v>
      </c>
      <c r="I15" s="50">
        <v>0</v>
      </c>
      <c r="J15" s="50">
        <v>0</v>
      </c>
    </row>
    <row r="16" spans="1:10">
      <c r="A16" s="76" t="s">
        <v>14</v>
      </c>
      <c r="B16" s="56">
        <v>262099</v>
      </c>
      <c r="C16" s="56">
        <v>0</v>
      </c>
      <c r="D16" s="56">
        <v>0</v>
      </c>
      <c r="E16" s="56">
        <v>0</v>
      </c>
      <c r="F16" s="56">
        <v>106320</v>
      </c>
      <c r="G16" s="56">
        <v>0</v>
      </c>
      <c r="H16" s="56">
        <v>0</v>
      </c>
      <c r="I16" s="50">
        <v>0</v>
      </c>
      <c r="J16" s="50">
        <v>0</v>
      </c>
    </row>
    <row r="17" spans="1:10" ht="17.25">
      <c r="A17" s="57" t="s">
        <v>15</v>
      </c>
      <c r="B17" s="56"/>
      <c r="C17" s="56"/>
      <c r="D17" s="56"/>
      <c r="E17" s="56"/>
      <c r="F17" s="56"/>
      <c r="G17" s="56"/>
      <c r="H17" s="56"/>
      <c r="I17" s="50"/>
      <c r="J17" s="50"/>
    </row>
    <row r="18" spans="1:10">
      <c r="A18" s="61" t="s">
        <v>16</v>
      </c>
      <c r="B18" s="56">
        <v>5</v>
      </c>
      <c r="C18" s="56"/>
      <c r="D18" s="56"/>
      <c r="E18" s="56"/>
      <c r="F18" s="56"/>
      <c r="G18" s="56"/>
      <c r="H18" s="56"/>
      <c r="I18" s="50"/>
      <c r="J18" s="50"/>
    </row>
    <row r="19" spans="1:10">
      <c r="A19" s="61" t="s">
        <v>17</v>
      </c>
      <c r="B19" s="56">
        <v>21431531</v>
      </c>
      <c r="C19" s="56"/>
      <c r="D19" s="56"/>
      <c r="E19" s="56"/>
      <c r="F19" s="56"/>
      <c r="G19" s="56"/>
      <c r="H19" s="56"/>
      <c r="I19" s="50"/>
      <c r="J19" s="50"/>
    </row>
    <row r="20" spans="1:10">
      <c r="A20" s="61" t="s">
        <v>18</v>
      </c>
      <c r="B20" s="56">
        <v>22947340.390000001</v>
      </c>
      <c r="C20" s="56"/>
      <c r="D20" s="56"/>
      <c r="E20" s="56"/>
      <c r="F20" s="56"/>
      <c r="G20" s="56"/>
      <c r="H20" s="56"/>
      <c r="I20" s="50"/>
      <c r="J20" s="50"/>
    </row>
    <row r="21" spans="1:10">
      <c r="A21" s="61" t="s">
        <v>19</v>
      </c>
      <c r="B21" s="56"/>
      <c r="C21" s="56"/>
      <c r="D21" s="56"/>
      <c r="E21" s="56"/>
      <c r="F21" s="56"/>
      <c r="G21" s="56"/>
      <c r="H21" s="56"/>
      <c r="I21" s="50"/>
      <c r="J21" s="50"/>
    </row>
    <row r="22" spans="1:10" ht="17.25">
      <c r="A22" s="57" t="s">
        <v>220</v>
      </c>
      <c r="B22" s="56"/>
      <c r="C22" s="56"/>
      <c r="D22" s="56"/>
      <c r="E22" s="56"/>
      <c r="F22" s="56"/>
      <c r="G22" s="56"/>
      <c r="H22" s="56"/>
      <c r="I22" s="50"/>
      <c r="J22" s="50"/>
    </row>
    <row r="23" spans="1:10">
      <c r="A23" s="61" t="s">
        <v>16</v>
      </c>
      <c r="B23" s="56">
        <v>1</v>
      </c>
      <c r="C23" s="56"/>
      <c r="D23" s="56"/>
      <c r="E23" s="56"/>
      <c r="F23" s="56"/>
      <c r="G23" s="56"/>
      <c r="H23" s="56"/>
      <c r="I23" s="50"/>
      <c r="J23" s="50"/>
    </row>
    <row r="24" spans="1:10">
      <c r="A24" s="61" t="s">
        <v>21</v>
      </c>
      <c r="B24" s="56">
        <v>2645309.3199999998</v>
      </c>
      <c r="C24" s="56"/>
      <c r="D24" s="56"/>
      <c r="E24" s="56"/>
      <c r="F24" s="56"/>
      <c r="G24" s="56"/>
      <c r="H24" s="56"/>
      <c r="I24" s="50"/>
      <c r="J24" s="50"/>
    </row>
    <row r="25" spans="1:10">
      <c r="A25" s="61" t="s">
        <v>22</v>
      </c>
      <c r="B25" s="56">
        <v>2600000</v>
      </c>
      <c r="C25" s="56"/>
      <c r="D25" s="56"/>
      <c r="E25" s="56"/>
      <c r="F25" s="56"/>
      <c r="G25" s="56"/>
      <c r="H25" s="56"/>
      <c r="I25" s="50"/>
      <c r="J25" s="50"/>
    </row>
    <row r="26" spans="1:10">
      <c r="A26" s="61" t="s">
        <v>23</v>
      </c>
      <c r="B26" s="56"/>
      <c r="C26" s="56"/>
      <c r="D26" s="56"/>
      <c r="E26" s="56"/>
      <c r="F26" s="56"/>
      <c r="G26" s="56"/>
      <c r="H26" s="56"/>
      <c r="I26" s="50"/>
      <c r="J26" s="50"/>
    </row>
    <row r="27" spans="1:10">
      <c r="A27" s="61" t="s">
        <v>20</v>
      </c>
      <c r="B27" s="58">
        <f>+B24-B25-B26</f>
        <v>45309.319999999832</v>
      </c>
      <c r="C27" s="58">
        <f t="shared" ref="C27:J27" si="3">+C24-C25-C26</f>
        <v>0</v>
      </c>
      <c r="D27" s="58">
        <f t="shared" si="3"/>
        <v>0</v>
      </c>
      <c r="E27" s="58">
        <f t="shared" si="3"/>
        <v>0</v>
      </c>
      <c r="F27" s="58">
        <f t="shared" si="3"/>
        <v>0</v>
      </c>
      <c r="G27" s="58">
        <f t="shared" si="3"/>
        <v>0</v>
      </c>
      <c r="H27" s="58">
        <f t="shared" si="3"/>
        <v>0</v>
      </c>
      <c r="I27" s="58">
        <f t="shared" si="3"/>
        <v>0</v>
      </c>
      <c r="J27" s="58">
        <f t="shared" si="3"/>
        <v>0</v>
      </c>
    </row>
    <row r="28" spans="1:10">
      <c r="A28" s="60"/>
      <c r="B28" s="56"/>
      <c r="C28" s="56"/>
      <c r="D28" s="56"/>
      <c r="E28" s="56"/>
      <c r="F28" s="56"/>
      <c r="G28" s="56"/>
      <c r="H28" s="56"/>
      <c r="I28" s="50"/>
      <c r="J28" s="50"/>
    </row>
    <row r="29" spans="1:10" ht="17.25">
      <c r="A29" s="57" t="s">
        <v>24</v>
      </c>
      <c r="B29" s="58">
        <f>+SUM(B31:B37)</f>
        <v>0</v>
      </c>
      <c r="C29" s="58">
        <f t="shared" ref="C29:J29" si="4">+SUM(C31:C37)</f>
        <v>0</v>
      </c>
      <c r="D29" s="58">
        <f t="shared" si="4"/>
        <v>14826436.501642695</v>
      </c>
      <c r="E29" s="58">
        <f t="shared" si="4"/>
        <v>6687971.96</v>
      </c>
      <c r="F29" s="58">
        <f t="shared" si="4"/>
        <v>0</v>
      </c>
      <c r="G29" s="58">
        <f t="shared" si="4"/>
        <v>8462633.5867997501</v>
      </c>
      <c r="H29" s="58">
        <f t="shared" si="4"/>
        <v>1708102.1999999997</v>
      </c>
      <c r="I29" s="58">
        <f t="shared" si="4"/>
        <v>3299504.8233946655</v>
      </c>
      <c r="J29" s="58">
        <f t="shared" si="4"/>
        <v>2262542.9300000002</v>
      </c>
    </row>
    <row r="30" spans="1:10">
      <c r="A30" s="62" t="s">
        <v>25</v>
      </c>
      <c r="B30" s="56">
        <v>0</v>
      </c>
      <c r="C30" s="56">
        <v>0</v>
      </c>
      <c r="D30" s="56">
        <v>292</v>
      </c>
      <c r="E30" s="56">
        <v>43</v>
      </c>
      <c r="F30" s="56">
        <v>0</v>
      </c>
      <c r="G30" s="56">
        <v>224</v>
      </c>
      <c r="H30" s="56">
        <v>29</v>
      </c>
      <c r="I30" s="50">
        <v>90</v>
      </c>
      <c r="J30" s="50">
        <v>14</v>
      </c>
    </row>
    <row r="31" spans="1:10">
      <c r="A31" s="61" t="s">
        <v>26</v>
      </c>
      <c r="B31" s="56">
        <v>0</v>
      </c>
      <c r="C31" s="56">
        <v>0</v>
      </c>
      <c r="D31" s="56">
        <v>7714850.8399999803</v>
      </c>
      <c r="E31" s="56">
        <v>5351645</v>
      </c>
      <c r="F31" s="56">
        <v>0</v>
      </c>
      <c r="G31" s="56">
        <v>4938994.1299999971</v>
      </c>
      <c r="H31" s="56">
        <v>1133546.2999999998</v>
      </c>
      <c r="I31" s="50">
        <v>2193209.12</v>
      </c>
      <c r="J31" s="50">
        <v>1882813.9100000001</v>
      </c>
    </row>
    <row r="32" spans="1:10">
      <c r="A32" s="61" t="s">
        <v>27</v>
      </c>
      <c r="B32" s="56">
        <v>0</v>
      </c>
      <c r="C32" s="56">
        <v>0</v>
      </c>
      <c r="D32" s="56">
        <v>2447453.620000001</v>
      </c>
      <c r="E32" s="56">
        <v>1336326.9600000002</v>
      </c>
      <c r="F32" s="56">
        <v>0</v>
      </c>
      <c r="G32" s="56">
        <v>1566064.87</v>
      </c>
      <c r="H32" s="56">
        <v>574555.89999999991</v>
      </c>
      <c r="I32" s="50">
        <v>671991.91</v>
      </c>
      <c r="J32" s="50">
        <v>379729.02</v>
      </c>
    </row>
    <row r="33" spans="1:10">
      <c r="A33" s="61" t="s">
        <v>28</v>
      </c>
      <c r="B33" s="56">
        <v>0</v>
      </c>
      <c r="C33" s="56">
        <v>0</v>
      </c>
      <c r="D33" s="56">
        <v>1843594.84</v>
      </c>
      <c r="E33" s="56">
        <v>0</v>
      </c>
      <c r="F33" s="56">
        <v>0</v>
      </c>
      <c r="G33" s="56">
        <v>1444507.03</v>
      </c>
      <c r="H33" s="56">
        <v>0</v>
      </c>
      <c r="I33" s="50">
        <v>171150.17</v>
      </c>
      <c r="J33" s="50">
        <v>0</v>
      </c>
    </row>
    <row r="34" spans="1:10">
      <c r="A34" s="61" t="s">
        <v>29</v>
      </c>
      <c r="B34" s="56">
        <v>0</v>
      </c>
      <c r="C34" s="56">
        <v>0</v>
      </c>
      <c r="D34" s="56">
        <v>394619</v>
      </c>
      <c r="E34" s="56">
        <v>0</v>
      </c>
      <c r="F34" s="56">
        <v>0</v>
      </c>
      <c r="G34" s="56">
        <v>151981.5</v>
      </c>
      <c r="H34" s="56">
        <v>0</v>
      </c>
      <c r="I34" s="50">
        <v>53295</v>
      </c>
      <c r="J34" s="50">
        <v>0</v>
      </c>
    </row>
    <row r="35" spans="1:10">
      <c r="A35" s="61" t="s">
        <v>30</v>
      </c>
      <c r="B35" s="56">
        <v>0</v>
      </c>
      <c r="C35" s="56">
        <v>0</v>
      </c>
      <c r="D35" s="56">
        <v>468490.17</v>
      </c>
      <c r="E35" s="56">
        <v>0</v>
      </c>
      <c r="F35" s="56">
        <v>0</v>
      </c>
      <c r="G35" s="56">
        <v>51500.990000000005</v>
      </c>
      <c r="H35" s="56">
        <v>0</v>
      </c>
      <c r="I35" s="50">
        <v>131994.27000000002</v>
      </c>
      <c r="J35" s="50">
        <v>0</v>
      </c>
    </row>
    <row r="36" spans="1:10">
      <c r="A36" s="61" t="s">
        <v>31</v>
      </c>
      <c r="B36" s="56">
        <v>0</v>
      </c>
      <c r="C36" s="56">
        <v>0</v>
      </c>
      <c r="D36" s="56">
        <v>1499987.9916427133</v>
      </c>
      <c r="E36" s="56">
        <v>0</v>
      </c>
      <c r="F36" s="56">
        <v>0</v>
      </c>
      <c r="G36" s="56">
        <v>309585.06679975166</v>
      </c>
      <c r="H36" s="56">
        <v>0</v>
      </c>
      <c r="I36" s="50">
        <v>77864.353394665435</v>
      </c>
      <c r="J36" s="50">
        <v>0</v>
      </c>
    </row>
    <row r="37" spans="1:10">
      <c r="A37" s="61" t="s">
        <v>32</v>
      </c>
      <c r="B37" s="56">
        <v>0</v>
      </c>
      <c r="C37" s="56">
        <v>0</v>
      </c>
      <c r="D37" s="56">
        <v>457440.04</v>
      </c>
      <c r="E37" s="56">
        <v>0</v>
      </c>
      <c r="F37" s="56">
        <v>0</v>
      </c>
      <c r="G37" s="56">
        <v>0</v>
      </c>
      <c r="H37" s="56">
        <v>0</v>
      </c>
      <c r="I37" s="50">
        <v>0</v>
      </c>
      <c r="J37" s="50">
        <v>0</v>
      </c>
    </row>
    <row r="38" spans="1:10">
      <c r="A38" s="62" t="s">
        <v>33</v>
      </c>
      <c r="B38" s="58">
        <f>+SUM(B39:B42)</f>
        <v>0</v>
      </c>
      <c r="C38" s="58">
        <f t="shared" ref="C38:J38" si="5">+SUM(C39:C42)</f>
        <v>0</v>
      </c>
      <c r="D38" s="58">
        <f t="shared" si="5"/>
        <v>11476474.712000007</v>
      </c>
      <c r="E38" s="58">
        <f t="shared" si="5"/>
        <v>4478402.987999999</v>
      </c>
      <c r="F38" s="58">
        <f t="shared" si="5"/>
        <v>0</v>
      </c>
      <c r="G38" s="58">
        <f t="shared" si="5"/>
        <v>5989670.700000002</v>
      </c>
      <c r="H38" s="58">
        <f t="shared" si="5"/>
        <v>1029533.8499999999</v>
      </c>
      <c r="I38" s="58">
        <f t="shared" si="5"/>
        <v>2493744.1580000003</v>
      </c>
      <c r="J38" s="58">
        <f t="shared" si="5"/>
        <v>1557823.4820000001</v>
      </c>
    </row>
    <row r="39" spans="1:10">
      <c r="A39" s="61" t="s">
        <v>34</v>
      </c>
      <c r="B39" s="56">
        <v>0</v>
      </c>
      <c r="C39" s="56">
        <v>0</v>
      </c>
      <c r="D39" s="56">
        <v>9925547.1300000064</v>
      </c>
      <c r="E39" s="56">
        <v>4216008.5799999991</v>
      </c>
      <c r="F39" s="56">
        <v>0</v>
      </c>
      <c r="G39" s="56">
        <v>5532289.700000002</v>
      </c>
      <c r="H39" s="56">
        <v>919521.84999999986</v>
      </c>
      <c r="I39" s="50">
        <v>2213708.9900000002</v>
      </c>
      <c r="J39" s="50">
        <v>1513469.81</v>
      </c>
    </row>
    <row r="40" spans="1:10">
      <c r="A40" s="61" t="s">
        <v>35</v>
      </c>
      <c r="B40" s="56">
        <v>0</v>
      </c>
      <c r="C40" s="56">
        <v>0</v>
      </c>
      <c r="D40" s="56">
        <v>596483</v>
      </c>
      <c r="E40" s="56">
        <v>176256</v>
      </c>
      <c r="F40" s="56">
        <v>0</v>
      </c>
      <c r="G40" s="56">
        <v>227591</v>
      </c>
      <c r="H40" s="56">
        <v>109363</v>
      </c>
      <c r="I40" s="50">
        <v>205600</v>
      </c>
      <c r="J40" s="50">
        <v>30000</v>
      </c>
    </row>
    <row r="41" spans="1:10">
      <c r="A41" s="61" t="s">
        <v>36</v>
      </c>
      <c r="B41" s="56">
        <v>0</v>
      </c>
      <c r="C41" s="56">
        <v>0</v>
      </c>
      <c r="D41" s="56">
        <v>110992.99200000001</v>
      </c>
      <c r="E41" s="56">
        <v>82893.40800000001</v>
      </c>
      <c r="F41" s="56">
        <v>0</v>
      </c>
      <c r="G41" s="56">
        <v>1502</v>
      </c>
      <c r="H41" s="56">
        <v>0</v>
      </c>
      <c r="I41" s="50">
        <v>36055.167999999998</v>
      </c>
      <c r="J41" s="50">
        <v>14353.672</v>
      </c>
    </row>
    <row r="42" spans="1:10">
      <c r="A42" s="61" t="s">
        <v>37</v>
      </c>
      <c r="B42" s="56">
        <v>0</v>
      </c>
      <c r="C42" s="56">
        <v>0</v>
      </c>
      <c r="D42" s="56">
        <v>843451.59</v>
      </c>
      <c r="E42" s="56">
        <v>3245</v>
      </c>
      <c r="F42" s="56">
        <v>0</v>
      </c>
      <c r="G42" s="56">
        <v>228288</v>
      </c>
      <c r="H42" s="56">
        <v>649</v>
      </c>
      <c r="I42" s="50">
        <v>38380</v>
      </c>
      <c r="J42" s="50">
        <v>0</v>
      </c>
    </row>
    <row r="43" spans="1:10">
      <c r="A43" s="62" t="s">
        <v>20</v>
      </c>
      <c r="B43" s="58">
        <f>+B29-B38</f>
        <v>0</v>
      </c>
      <c r="C43" s="58">
        <f t="shared" ref="C43:J43" si="6">+C29-C38</f>
        <v>0</v>
      </c>
      <c r="D43" s="58">
        <f t="shared" si="6"/>
        <v>3349961.7896426879</v>
      </c>
      <c r="E43" s="58">
        <f t="shared" si="6"/>
        <v>2209568.972000001</v>
      </c>
      <c r="F43" s="58">
        <f t="shared" si="6"/>
        <v>0</v>
      </c>
      <c r="G43" s="58">
        <f t="shared" si="6"/>
        <v>2472962.8867997481</v>
      </c>
      <c r="H43" s="58">
        <f t="shared" si="6"/>
        <v>678568.34999999986</v>
      </c>
      <c r="I43" s="58">
        <f t="shared" si="6"/>
        <v>805760.66539466521</v>
      </c>
      <c r="J43" s="58">
        <f t="shared" si="6"/>
        <v>704719.44800000009</v>
      </c>
    </row>
    <row r="44" spans="1:10">
      <c r="A44" s="61" t="s">
        <v>38</v>
      </c>
      <c r="B44" s="56">
        <v>0</v>
      </c>
      <c r="C44" s="56">
        <v>0</v>
      </c>
      <c r="D44" s="56">
        <v>594691.0231845266</v>
      </c>
      <c r="E44" s="56">
        <v>0</v>
      </c>
      <c r="F44" s="56">
        <v>0</v>
      </c>
      <c r="G44" s="56">
        <v>380717.07847459521</v>
      </c>
      <c r="H44" s="56">
        <v>0</v>
      </c>
      <c r="I44" s="50">
        <v>169061.1785866282</v>
      </c>
      <c r="J44" s="50">
        <v>0</v>
      </c>
    </row>
    <row r="45" spans="1:10">
      <c r="A45" s="61" t="s">
        <v>39</v>
      </c>
      <c r="B45" s="56">
        <v>0</v>
      </c>
      <c r="C45" s="56">
        <v>0</v>
      </c>
      <c r="D45" s="56">
        <v>1142197.1522739001</v>
      </c>
      <c r="E45" s="56">
        <v>0</v>
      </c>
      <c r="F45" s="56">
        <v>0</v>
      </c>
      <c r="G45" s="56">
        <v>685318.29136434</v>
      </c>
      <c r="H45" s="56">
        <v>0</v>
      </c>
      <c r="I45" s="50">
        <v>456878.86090956006</v>
      </c>
      <c r="J45" s="50">
        <v>0</v>
      </c>
    </row>
    <row r="46" spans="1:10">
      <c r="A46" s="61" t="s">
        <v>40</v>
      </c>
      <c r="B46" s="56"/>
      <c r="C46" s="56"/>
      <c r="D46" s="56">
        <f>1099650*50%</f>
        <v>549825</v>
      </c>
      <c r="E46" s="56"/>
      <c r="F46" s="56"/>
      <c r="G46" s="56">
        <f>1099650*30%</f>
        <v>329895</v>
      </c>
      <c r="H46" s="56"/>
      <c r="I46" s="56">
        <f>1099650*20%</f>
        <v>219930</v>
      </c>
      <c r="J46" s="50"/>
    </row>
    <row r="47" spans="1:10">
      <c r="A47" s="62" t="s">
        <v>41</v>
      </c>
      <c r="B47" s="58">
        <f>+B43+B44+B45+B46</f>
        <v>0</v>
      </c>
      <c r="C47" s="58">
        <f t="shared" ref="C47:J47" si="7">+C43+C44+C45+C46</f>
        <v>0</v>
      </c>
      <c r="D47" s="58">
        <f t="shared" si="7"/>
        <v>5636674.9651011145</v>
      </c>
      <c r="E47" s="58">
        <f t="shared" si="7"/>
        <v>2209568.972000001</v>
      </c>
      <c r="F47" s="58">
        <f t="shared" si="7"/>
        <v>0</v>
      </c>
      <c r="G47" s="58">
        <f t="shared" si="7"/>
        <v>3868893.2566386834</v>
      </c>
      <c r="H47" s="58">
        <f t="shared" si="7"/>
        <v>678568.34999999986</v>
      </c>
      <c r="I47" s="58">
        <f t="shared" si="7"/>
        <v>1651630.7048908535</v>
      </c>
      <c r="J47" s="58">
        <f t="shared" si="7"/>
        <v>704719.44800000009</v>
      </c>
    </row>
    <row r="48" spans="1:10">
      <c r="A48" s="60"/>
      <c r="B48" s="56"/>
      <c r="C48" s="56"/>
      <c r="D48" s="56"/>
      <c r="E48" s="56"/>
      <c r="F48" s="56"/>
      <c r="G48" s="56"/>
      <c r="H48" s="56"/>
      <c r="I48" s="50"/>
      <c r="J48" s="50"/>
    </row>
    <row r="49" spans="1:10" ht="17.25">
      <c r="A49" s="57" t="s">
        <v>42</v>
      </c>
      <c r="B49" s="58">
        <f>+B51+B52</f>
        <v>0</v>
      </c>
      <c r="C49" s="58">
        <f t="shared" ref="C49:J49" si="8">+C51+C52</f>
        <v>966339.97000000009</v>
      </c>
      <c r="D49" s="58">
        <f t="shared" si="8"/>
        <v>0</v>
      </c>
      <c r="E49" s="58">
        <f t="shared" si="8"/>
        <v>0</v>
      </c>
      <c r="F49" s="58">
        <f t="shared" si="8"/>
        <v>0</v>
      </c>
      <c r="G49" s="58">
        <f t="shared" si="8"/>
        <v>0</v>
      </c>
      <c r="H49" s="58">
        <f t="shared" si="8"/>
        <v>0</v>
      </c>
      <c r="I49" s="58">
        <f t="shared" si="8"/>
        <v>0</v>
      </c>
      <c r="J49" s="58">
        <f t="shared" si="8"/>
        <v>0</v>
      </c>
    </row>
    <row r="50" spans="1:10">
      <c r="A50" s="61" t="s">
        <v>3</v>
      </c>
      <c r="B50" s="56"/>
      <c r="C50" s="56"/>
      <c r="D50" s="56"/>
      <c r="E50" s="56"/>
      <c r="F50" s="56"/>
      <c r="G50" s="56"/>
      <c r="H50" s="56"/>
      <c r="I50" s="50"/>
      <c r="J50" s="50"/>
    </row>
    <row r="51" spans="1:10">
      <c r="A51" s="61" t="s">
        <v>43</v>
      </c>
      <c r="B51" s="56"/>
      <c r="C51" s="56">
        <v>330686.83999999997</v>
      </c>
      <c r="D51" s="56"/>
      <c r="E51" s="56"/>
      <c r="F51" s="56"/>
      <c r="G51" s="56"/>
      <c r="H51" s="56"/>
      <c r="I51" s="50"/>
      <c r="J51" s="50"/>
    </row>
    <row r="52" spans="1:10">
      <c r="A52" s="61" t="s">
        <v>30</v>
      </c>
      <c r="B52" s="56"/>
      <c r="C52" s="56">
        <v>635653.13000000012</v>
      </c>
      <c r="D52" s="56"/>
      <c r="E52" s="56"/>
      <c r="F52" s="56"/>
      <c r="G52" s="56"/>
      <c r="H52" s="56"/>
      <c r="I52" s="50"/>
      <c r="J52" s="50"/>
    </row>
    <row r="53" spans="1:10">
      <c r="A53" s="61" t="s">
        <v>33</v>
      </c>
      <c r="B53" s="56"/>
      <c r="C53" s="56">
        <v>604803.42000000016</v>
      </c>
      <c r="D53" s="56"/>
      <c r="E53" s="56"/>
      <c r="F53" s="56"/>
      <c r="G53" s="56"/>
      <c r="H53" s="56"/>
      <c r="I53" s="50"/>
      <c r="J53" s="50"/>
    </row>
    <row r="54" spans="1:10">
      <c r="A54" s="62" t="s">
        <v>20</v>
      </c>
      <c r="B54" s="58">
        <f>+B49-B53</f>
        <v>0</v>
      </c>
      <c r="C54" s="58">
        <f>+C49-C53</f>
        <v>361536.54999999993</v>
      </c>
      <c r="D54" s="58">
        <f t="shared" ref="D54:J54" si="9">+D49-D53</f>
        <v>0</v>
      </c>
      <c r="E54" s="58">
        <f t="shared" si="9"/>
        <v>0</v>
      </c>
      <c r="F54" s="58">
        <f t="shared" si="9"/>
        <v>0</v>
      </c>
      <c r="G54" s="58">
        <f t="shared" si="9"/>
        <v>0</v>
      </c>
      <c r="H54" s="58">
        <f t="shared" si="9"/>
        <v>0</v>
      </c>
      <c r="I54" s="58">
        <f t="shared" si="9"/>
        <v>0</v>
      </c>
      <c r="J54" s="58">
        <f t="shared" si="9"/>
        <v>0</v>
      </c>
    </row>
    <row r="55" spans="1:10">
      <c r="A55" s="61" t="s">
        <v>44</v>
      </c>
      <c r="B55" s="56">
        <v>0</v>
      </c>
      <c r="C55" s="56">
        <v>79660</v>
      </c>
      <c r="D55" s="56">
        <v>389813</v>
      </c>
      <c r="E55" s="56">
        <v>0</v>
      </c>
      <c r="F55" s="56">
        <v>0</v>
      </c>
      <c r="G55" s="56">
        <v>180010</v>
      </c>
      <c r="H55" s="56">
        <v>0</v>
      </c>
      <c r="I55" s="50">
        <v>56135</v>
      </c>
      <c r="J55" s="50">
        <v>0</v>
      </c>
    </row>
    <row r="56" spans="1:10">
      <c r="A56" s="61" t="s">
        <v>33</v>
      </c>
      <c r="B56" s="56">
        <v>0</v>
      </c>
      <c r="C56" s="56">
        <v>39830</v>
      </c>
      <c r="D56" s="56">
        <v>194906.5</v>
      </c>
      <c r="E56" s="56">
        <v>0</v>
      </c>
      <c r="F56" s="56">
        <v>0</v>
      </c>
      <c r="G56" s="56">
        <v>90005</v>
      </c>
      <c r="H56" s="56">
        <v>0</v>
      </c>
      <c r="I56" s="50">
        <v>28067.5</v>
      </c>
      <c r="J56" s="50">
        <v>0</v>
      </c>
    </row>
    <row r="57" spans="1:10">
      <c r="A57" s="62" t="s">
        <v>20</v>
      </c>
      <c r="B57" s="58">
        <f t="shared" ref="B57:J57" si="10">+B55-B56</f>
        <v>0</v>
      </c>
      <c r="C57" s="58">
        <f t="shared" si="10"/>
        <v>39830</v>
      </c>
      <c r="D57" s="58">
        <f t="shared" si="10"/>
        <v>194906.5</v>
      </c>
      <c r="E57" s="58">
        <f t="shared" si="10"/>
        <v>0</v>
      </c>
      <c r="F57" s="58">
        <f t="shared" si="10"/>
        <v>0</v>
      </c>
      <c r="G57" s="58">
        <f t="shared" si="10"/>
        <v>90005</v>
      </c>
      <c r="H57" s="58">
        <f t="shared" si="10"/>
        <v>0</v>
      </c>
      <c r="I57" s="58">
        <f t="shared" si="10"/>
        <v>28067.5</v>
      </c>
      <c r="J57" s="58">
        <f t="shared" si="10"/>
        <v>0</v>
      </c>
    </row>
    <row r="58" spans="1:10">
      <c r="A58" s="62" t="s">
        <v>45</v>
      </c>
      <c r="B58" s="56">
        <f>+B54+B57</f>
        <v>0</v>
      </c>
      <c r="C58" s="56">
        <f t="shared" ref="C58:J58" si="11">+C54+C57</f>
        <v>401366.54999999993</v>
      </c>
      <c r="D58" s="56">
        <f t="shared" si="11"/>
        <v>194906.5</v>
      </c>
      <c r="E58" s="56">
        <f t="shared" si="11"/>
        <v>0</v>
      </c>
      <c r="F58" s="56">
        <f t="shared" si="11"/>
        <v>0</v>
      </c>
      <c r="G58" s="56">
        <f t="shared" si="11"/>
        <v>90005</v>
      </c>
      <c r="H58" s="56">
        <f t="shared" si="11"/>
        <v>0</v>
      </c>
      <c r="I58" s="56">
        <f t="shared" si="11"/>
        <v>28067.5</v>
      </c>
      <c r="J58" s="56">
        <f t="shared" si="11"/>
        <v>0</v>
      </c>
    </row>
    <row r="59" spans="1:10">
      <c r="A59" s="60"/>
      <c r="B59" s="56"/>
      <c r="C59" s="56"/>
      <c r="D59" s="56"/>
      <c r="E59" s="56"/>
      <c r="F59" s="56"/>
      <c r="G59" s="56"/>
      <c r="H59" s="56"/>
      <c r="I59" s="50"/>
      <c r="J59" s="50"/>
    </row>
    <row r="60" spans="1:10">
      <c r="A60" s="63" t="s">
        <v>46</v>
      </c>
      <c r="B60" s="58">
        <f>+SUM(B61:B69)</f>
        <v>1244763.672</v>
      </c>
      <c r="C60" s="58">
        <f t="shared" ref="C60:J60" si="12">+SUM(C61:C69)</f>
        <v>0</v>
      </c>
      <c r="D60" s="58">
        <f t="shared" si="12"/>
        <v>135898.92240000001</v>
      </c>
      <c r="E60" s="58">
        <f t="shared" si="12"/>
        <v>840760.00159999996</v>
      </c>
      <c r="F60" s="58">
        <f t="shared" si="12"/>
        <v>364923.75199999998</v>
      </c>
      <c r="G60" s="58">
        <f t="shared" si="12"/>
        <v>5381.2511999999997</v>
      </c>
      <c r="H60" s="58">
        <f t="shared" si="12"/>
        <v>3587.5008000000003</v>
      </c>
      <c r="I60" s="58">
        <f t="shared" si="12"/>
        <v>0</v>
      </c>
      <c r="J60" s="58">
        <f t="shared" si="12"/>
        <v>0</v>
      </c>
    </row>
    <row r="61" spans="1:10">
      <c r="A61" s="61" t="s">
        <v>47</v>
      </c>
      <c r="B61" s="56">
        <v>271120</v>
      </c>
      <c r="C61" s="56">
        <v>0</v>
      </c>
      <c r="D61" s="56">
        <v>0</v>
      </c>
      <c r="E61" s="56">
        <v>0</v>
      </c>
      <c r="F61" s="56">
        <v>16617</v>
      </c>
      <c r="G61" s="56">
        <v>0</v>
      </c>
      <c r="H61" s="56">
        <v>0</v>
      </c>
      <c r="I61" s="50">
        <v>0</v>
      </c>
      <c r="J61" s="50">
        <v>0</v>
      </c>
    </row>
    <row r="62" spans="1:10">
      <c r="A62" s="61" t="s">
        <v>48</v>
      </c>
      <c r="B62" s="56">
        <v>0</v>
      </c>
      <c r="C62" s="56">
        <v>0</v>
      </c>
      <c r="D62" s="56">
        <v>0</v>
      </c>
      <c r="E62" s="56">
        <v>833585</v>
      </c>
      <c r="F62" s="56">
        <v>0</v>
      </c>
      <c r="G62" s="56">
        <v>0</v>
      </c>
      <c r="H62" s="56">
        <v>0</v>
      </c>
      <c r="I62" s="50">
        <v>0</v>
      </c>
      <c r="J62" s="50">
        <v>0</v>
      </c>
    </row>
    <row r="63" spans="1:10">
      <c r="A63" s="61" t="s">
        <v>49</v>
      </c>
      <c r="B63" s="56">
        <v>529727</v>
      </c>
      <c r="C63" s="56">
        <v>0</v>
      </c>
      <c r="D63" s="56">
        <v>0</v>
      </c>
      <c r="E63" s="56">
        <v>0</v>
      </c>
      <c r="F63" s="56">
        <v>89338</v>
      </c>
      <c r="G63" s="56">
        <v>0</v>
      </c>
      <c r="H63" s="56">
        <v>0</v>
      </c>
      <c r="I63" s="50">
        <v>0</v>
      </c>
      <c r="J63" s="50">
        <v>0</v>
      </c>
    </row>
    <row r="64" spans="1:10">
      <c r="A64" s="61" t="s">
        <v>50</v>
      </c>
      <c r="B64" s="56">
        <v>0</v>
      </c>
      <c r="C64" s="56">
        <v>0</v>
      </c>
      <c r="D64" s="56">
        <v>0</v>
      </c>
      <c r="E64" s="56">
        <v>0</v>
      </c>
      <c r="F64" s="56">
        <v>0</v>
      </c>
      <c r="G64" s="56">
        <v>0</v>
      </c>
      <c r="H64" s="56">
        <v>0</v>
      </c>
      <c r="I64" s="50">
        <v>0</v>
      </c>
      <c r="J64" s="50">
        <v>0</v>
      </c>
    </row>
    <row r="65" spans="1:10">
      <c r="A65" s="61" t="s">
        <v>51</v>
      </c>
      <c r="B65" s="56">
        <v>0</v>
      </c>
      <c r="C65" s="56">
        <v>0</v>
      </c>
      <c r="D65" s="56">
        <v>0</v>
      </c>
      <c r="E65" s="56">
        <v>0</v>
      </c>
      <c r="F65" s="56">
        <v>0</v>
      </c>
      <c r="G65" s="56">
        <v>0</v>
      </c>
      <c r="H65" s="56">
        <v>0</v>
      </c>
      <c r="I65" s="50">
        <v>0</v>
      </c>
      <c r="J65" s="50">
        <v>0</v>
      </c>
    </row>
    <row r="66" spans="1:10">
      <c r="A66" s="61" t="s">
        <v>52</v>
      </c>
      <c r="B66" s="56">
        <v>0</v>
      </c>
      <c r="C66" s="56">
        <v>0</v>
      </c>
      <c r="D66" s="56">
        <v>86700</v>
      </c>
      <c r="E66" s="56">
        <v>0</v>
      </c>
      <c r="F66" s="56">
        <v>0</v>
      </c>
      <c r="G66" s="56">
        <v>0</v>
      </c>
      <c r="H66" s="56">
        <v>0</v>
      </c>
      <c r="I66" s="50">
        <v>0</v>
      </c>
      <c r="J66" s="50">
        <v>0</v>
      </c>
    </row>
    <row r="67" spans="1:10">
      <c r="A67" s="61" t="s">
        <v>53</v>
      </c>
      <c r="B67" s="56">
        <v>420000</v>
      </c>
      <c r="C67" s="56">
        <v>0</v>
      </c>
      <c r="D67" s="56">
        <v>38436.42</v>
      </c>
      <c r="E67" s="56">
        <v>0</v>
      </c>
      <c r="F67" s="56">
        <v>250000</v>
      </c>
      <c r="G67" s="56">
        <v>0</v>
      </c>
      <c r="H67" s="56">
        <v>0</v>
      </c>
      <c r="I67" s="50">
        <v>0</v>
      </c>
      <c r="J67" s="50">
        <v>0</v>
      </c>
    </row>
    <row r="68" spans="1:10">
      <c r="A68" s="61" t="s">
        <v>54</v>
      </c>
      <c r="B68" s="56">
        <v>23916.672000000006</v>
      </c>
      <c r="C68" s="56">
        <v>0</v>
      </c>
      <c r="D68" s="56">
        <v>10762.502399999999</v>
      </c>
      <c r="E68" s="56">
        <v>7175.0016000000005</v>
      </c>
      <c r="F68" s="56">
        <v>8968.7520000000004</v>
      </c>
      <c r="G68" s="56">
        <v>5381.2511999999997</v>
      </c>
      <c r="H68" s="56">
        <v>3587.5008000000003</v>
      </c>
      <c r="I68" s="50">
        <v>0</v>
      </c>
      <c r="J68" s="50">
        <v>0</v>
      </c>
    </row>
    <row r="69" spans="1:10">
      <c r="A69" s="61" t="s">
        <v>55</v>
      </c>
      <c r="B69" s="56">
        <v>0</v>
      </c>
      <c r="C69" s="56">
        <v>0</v>
      </c>
      <c r="D69" s="56">
        <v>0</v>
      </c>
      <c r="E69" s="56">
        <v>0</v>
      </c>
      <c r="F69" s="56">
        <v>0</v>
      </c>
      <c r="G69" s="56">
        <v>0</v>
      </c>
      <c r="H69" s="56">
        <v>0</v>
      </c>
      <c r="I69" s="50">
        <v>0</v>
      </c>
      <c r="J69" s="50">
        <v>0</v>
      </c>
    </row>
    <row r="70" spans="1:10">
      <c r="A70" s="64" t="s">
        <v>56</v>
      </c>
      <c r="B70" s="58">
        <f>+(B7/3.5%)+B8+B13+B29+B27+B49+B55+B60</f>
        <v>119666705.27771427</v>
      </c>
      <c r="C70" s="58">
        <f t="shared" ref="C70:J70" si="13">+(C7/3.5%)+C8+C13+C29+C27+C49+C55+C60</f>
        <v>1045999.9700000001</v>
      </c>
      <c r="D70" s="58">
        <f t="shared" si="13"/>
        <v>15352148.424042694</v>
      </c>
      <c r="E70" s="58">
        <f t="shared" si="13"/>
        <v>7528731.9616</v>
      </c>
      <c r="F70" s="58">
        <f t="shared" si="13"/>
        <v>44692519.894857138</v>
      </c>
      <c r="G70" s="58">
        <f t="shared" si="13"/>
        <v>8648024.8379997499</v>
      </c>
      <c r="H70" s="58">
        <f t="shared" si="13"/>
        <v>1711689.7007999998</v>
      </c>
      <c r="I70" s="58">
        <f t="shared" si="13"/>
        <v>3355639.8233946655</v>
      </c>
      <c r="J70" s="58">
        <f t="shared" si="13"/>
        <v>2262542.9300000002</v>
      </c>
    </row>
    <row r="71" spans="1:10">
      <c r="A71" s="64" t="s">
        <v>57</v>
      </c>
      <c r="B71" s="58">
        <f>+B6+B27+B47+B58+B60</f>
        <v>7519891.9920000006</v>
      </c>
      <c r="C71" s="58">
        <f t="shared" ref="C71:J71" si="14">+C6+C27+C47+C58+C60</f>
        <v>401366.54999999993</v>
      </c>
      <c r="D71" s="58">
        <f t="shared" si="14"/>
        <v>5967480.387501114</v>
      </c>
      <c r="E71" s="58">
        <f t="shared" si="14"/>
        <v>3050328.9736000011</v>
      </c>
      <c r="F71" s="58">
        <f t="shared" si="14"/>
        <v>2762828.7519999999</v>
      </c>
      <c r="G71" s="58">
        <f t="shared" si="14"/>
        <v>3964279.5078386832</v>
      </c>
      <c r="H71" s="58">
        <f t="shared" si="14"/>
        <v>682155.8507999999</v>
      </c>
      <c r="I71" s="58">
        <f t="shared" si="14"/>
        <v>1679698.2048908535</v>
      </c>
      <c r="J71" s="58">
        <f t="shared" si="14"/>
        <v>704719.44800000009</v>
      </c>
    </row>
    <row r="72" spans="1:10">
      <c r="A72" s="65" t="s">
        <v>58</v>
      </c>
      <c r="B72" s="111">
        <f>IFERROR(B71/B70,0)</f>
        <v>6.2840302777187287E-2</v>
      </c>
      <c r="C72" s="111">
        <f t="shared" ref="C72:J72" si="15">IFERROR(C71/C70,0)</f>
        <v>0.38371564198037206</v>
      </c>
      <c r="D72" s="111">
        <f t="shared" si="15"/>
        <v>0.38870653296678409</v>
      </c>
      <c r="E72" s="111">
        <f t="shared" si="15"/>
        <v>0.40515839707909429</v>
      </c>
      <c r="F72" s="111">
        <f t="shared" si="15"/>
        <v>6.181859421889354E-2</v>
      </c>
      <c r="G72" s="111">
        <f t="shared" si="15"/>
        <v>0.45840288182562661</v>
      </c>
      <c r="H72" s="111">
        <f t="shared" si="15"/>
        <v>0.3985277532961598</v>
      </c>
      <c r="I72" s="111">
        <f t="shared" si="15"/>
        <v>0.50055974219295696</v>
      </c>
      <c r="J72" s="111">
        <f t="shared" si="15"/>
        <v>0.31147229900296303</v>
      </c>
    </row>
    <row r="73" spans="1:10">
      <c r="A73" s="60"/>
      <c r="B73" s="56"/>
      <c r="C73" s="56"/>
      <c r="D73" s="56"/>
      <c r="E73" s="56"/>
      <c r="F73" s="56"/>
      <c r="G73" s="56"/>
      <c r="H73" s="56"/>
      <c r="I73" s="50"/>
      <c r="J73" s="50"/>
    </row>
    <row r="74" spans="1:10">
      <c r="A74" s="60"/>
      <c r="B74" s="56"/>
      <c r="C74" s="56"/>
      <c r="D74" s="56"/>
      <c r="E74" s="56"/>
      <c r="F74" s="56"/>
      <c r="G74" s="56"/>
      <c r="H74" s="56"/>
      <c r="I74" s="50"/>
      <c r="J74" s="50"/>
    </row>
    <row r="75" spans="1:10" ht="17.25">
      <c r="A75" s="17" t="s">
        <v>59</v>
      </c>
      <c r="B75" s="67">
        <f>+B76+B87+B90</f>
        <v>2842541.8940000003</v>
      </c>
      <c r="C75" s="67">
        <f t="shared" ref="C75:J75" si="16">+C76+C87+C90</f>
        <v>3200</v>
      </c>
      <c r="D75" s="67">
        <f t="shared" si="16"/>
        <v>262691.36200000008</v>
      </c>
      <c r="E75" s="67">
        <f t="shared" si="16"/>
        <v>151302.69600000003</v>
      </c>
      <c r="F75" s="67">
        <f t="shared" si="16"/>
        <v>1008943.306</v>
      </c>
      <c r="G75" s="67">
        <f t="shared" si="16"/>
        <v>162237.11100000003</v>
      </c>
      <c r="H75" s="67">
        <f t="shared" si="16"/>
        <v>60892.005999999994</v>
      </c>
      <c r="I75" s="67">
        <f t="shared" si="16"/>
        <v>87078.055000000008</v>
      </c>
      <c r="J75" s="67">
        <f t="shared" si="16"/>
        <v>40801.478000000003</v>
      </c>
    </row>
    <row r="76" spans="1:10">
      <c r="A76" s="66" t="s">
        <v>60</v>
      </c>
      <c r="B76" s="67">
        <f>+SUM(B77:B86)</f>
        <v>583621.57000000007</v>
      </c>
      <c r="C76" s="67">
        <f t="shared" ref="C76:J76" si="17">+SUM(C77:C86)</f>
        <v>0</v>
      </c>
      <c r="D76" s="67">
        <f t="shared" si="17"/>
        <v>0</v>
      </c>
      <c r="E76" s="67">
        <f t="shared" si="17"/>
        <v>16130</v>
      </c>
      <c r="F76" s="67">
        <f t="shared" si="17"/>
        <v>444365.44</v>
      </c>
      <c r="G76" s="67">
        <f t="shared" si="17"/>
        <v>0</v>
      </c>
      <c r="H76" s="67">
        <f t="shared" si="17"/>
        <v>0</v>
      </c>
      <c r="I76" s="67">
        <f t="shared" si="17"/>
        <v>0</v>
      </c>
      <c r="J76" s="67">
        <f t="shared" si="17"/>
        <v>0</v>
      </c>
    </row>
    <row r="77" spans="1:10">
      <c r="A77" s="61" t="s">
        <v>61</v>
      </c>
      <c r="B77" s="68">
        <v>182786.31</v>
      </c>
      <c r="C77" s="68">
        <v>0</v>
      </c>
      <c r="D77" s="68">
        <v>0</v>
      </c>
      <c r="E77" s="68">
        <v>0</v>
      </c>
      <c r="F77" s="68">
        <v>73461.710000000006</v>
      </c>
      <c r="G77" s="68">
        <v>0</v>
      </c>
      <c r="H77" s="68">
        <v>0</v>
      </c>
      <c r="I77" s="68">
        <v>0</v>
      </c>
      <c r="J77" s="68">
        <v>0</v>
      </c>
    </row>
    <row r="78" spans="1:10">
      <c r="A78" s="61" t="s">
        <v>62</v>
      </c>
      <c r="B78" s="68">
        <v>200865.81</v>
      </c>
      <c r="C78" s="68">
        <v>0</v>
      </c>
      <c r="D78" s="68">
        <v>0</v>
      </c>
      <c r="E78" s="68">
        <v>0</v>
      </c>
      <c r="F78" s="68">
        <v>207779.42</v>
      </c>
      <c r="G78" s="68">
        <v>0</v>
      </c>
      <c r="H78" s="68">
        <v>0</v>
      </c>
      <c r="I78" s="68">
        <v>0</v>
      </c>
      <c r="J78" s="68">
        <v>0</v>
      </c>
    </row>
    <row r="79" spans="1:10">
      <c r="A79" s="61" t="s">
        <v>63</v>
      </c>
      <c r="B79" s="68">
        <v>0</v>
      </c>
      <c r="C79" s="68">
        <v>0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</row>
    <row r="80" spans="1:10">
      <c r="A80" s="61" t="s">
        <v>221</v>
      </c>
      <c r="B80" s="68">
        <v>190049.45</v>
      </c>
      <c r="C80" s="68">
        <v>0</v>
      </c>
      <c r="D80" s="68">
        <v>0</v>
      </c>
      <c r="E80" s="68">
        <v>0</v>
      </c>
      <c r="F80" s="68">
        <v>163124.31</v>
      </c>
      <c r="G80" s="68">
        <v>0</v>
      </c>
      <c r="H80" s="68">
        <v>0</v>
      </c>
      <c r="I80" s="68">
        <v>0</v>
      </c>
      <c r="J80" s="68">
        <v>0</v>
      </c>
    </row>
    <row r="81" spans="1:10">
      <c r="A81" s="61" t="s">
        <v>65</v>
      </c>
      <c r="B81" s="68">
        <v>0</v>
      </c>
      <c r="C81" s="68">
        <v>0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</row>
    <row r="82" spans="1:10">
      <c r="A82" s="61" t="s">
        <v>66</v>
      </c>
      <c r="B82" s="68">
        <v>0</v>
      </c>
      <c r="C82" s="68">
        <v>0</v>
      </c>
      <c r="D82" s="68">
        <v>0</v>
      </c>
      <c r="E82" s="68">
        <v>16130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</row>
    <row r="83" spans="1:10">
      <c r="A83" s="61" t="s">
        <v>67</v>
      </c>
      <c r="B83" s="68">
        <v>0</v>
      </c>
      <c r="C83" s="68">
        <v>0</v>
      </c>
      <c r="D83" s="68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</row>
    <row r="84" spans="1:10">
      <c r="A84" s="61" t="s">
        <v>68</v>
      </c>
      <c r="B84" s="68">
        <v>9920</v>
      </c>
      <c r="C84" s="68">
        <v>0</v>
      </c>
      <c r="D84" s="68">
        <v>0</v>
      </c>
      <c r="E84" s="68">
        <v>0</v>
      </c>
      <c r="F84" s="68">
        <v>0</v>
      </c>
      <c r="G84" s="68">
        <v>0</v>
      </c>
      <c r="H84" s="68">
        <v>0</v>
      </c>
      <c r="I84" s="68">
        <v>0</v>
      </c>
      <c r="J84" s="68">
        <v>0</v>
      </c>
    </row>
    <row r="85" spans="1:10">
      <c r="A85" s="61" t="s">
        <v>69</v>
      </c>
      <c r="B85" s="68">
        <v>0</v>
      </c>
      <c r="C85" s="68">
        <v>0</v>
      </c>
      <c r="D85" s="68">
        <v>0</v>
      </c>
      <c r="E85" s="68">
        <v>0</v>
      </c>
      <c r="F85" s="68">
        <v>0</v>
      </c>
      <c r="G85" s="68">
        <v>0</v>
      </c>
      <c r="H85" s="68">
        <v>0</v>
      </c>
      <c r="I85" s="68">
        <v>0</v>
      </c>
      <c r="J85" s="68">
        <v>0</v>
      </c>
    </row>
    <row r="86" spans="1:10">
      <c r="A86" s="61" t="s">
        <v>70</v>
      </c>
      <c r="B86" s="68">
        <v>0</v>
      </c>
      <c r="C86" s="68">
        <v>0</v>
      </c>
      <c r="D86" s="68">
        <v>0</v>
      </c>
      <c r="E86" s="68">
        <v>0</v>
      </c>
      <c r="F86" s="68">
        <v>0</v>
      </c>
      <c r="G86" s="68">
        <v>0</v>
      </c>
      <c r="H86" s="68">
        <v>0</v>
      </c>
      <c r="I86" s="68">
        <v>0</v>
      </c>
      <c r="J86" s="68">
        <v>0</v>
      </c>
    </row>
    <row r="87" spans="1:10">
      <c r="A87" s="66" t="s">
        <v>71</v>
      </c>
      <c r="B87" s="67">
        <f>+SUM(B88:B89)</f>
        <v>1210738</v>
      </c>
      <c r="C87" s="67">
        <f t="shared" ref="C87:J87" si="18">+SUM(C88:C89)</f>
        <v>3200</v>
      </c>
      <c r="D87" s="67">
        <f t="shared" si="18"/>
        <v>247055.36200000011</v>
      </c>
      <c r="E87" s="67">
        <f t="shared" si="18"/>
        <v>135172.69600000003</v>
      </c>
      <c r="F87" s="67">
        <f t="shared" si="18"/>
        <v>134866</v>
      </c>
      <c r="G87" s="67">
        <f t="shared" si="18"/>
        <v>156606.48700000002</v>
      </c>
      <c r="H87" s="67">
        <f t="shared" si="18"/>
        <v>57455.59</v>
      </c>
      <c r="I87" s="67">
        <f t="shared" si="18"/>
        <v>67199.191000000006</v>
      </c>
      <c r="J87" s="67">
        <f t="shared" si="18"/>
        <v>37972.902000000002</v>
      </c>
    </row>
    <row r="88" spans="1:10">
      <c r="A88" s="61" t="s">
        <v>222</v>
      </c>
      <c r="B88" s="68">
        <v>1210738</v>
      </c>
      <c r="C88" s="68">
        <v>3200</v>
      </c>
      <c r="D88" s="68">
        <v>247055.36200000011</v>
      </c>
      <c r="E88" s="68">
        <v>135172.69600000003</v>
      </c>
      <c r="F88" s="68">
        <v>134866</v>
      </c>
      <c r="G88" s="68">
        <v>156606.48700000002</v>
      </c>
      <c r="H88" s="68">
        <v>57455.59</v>
      </c>
      <c r="I88" s="68">
        <v>67199.191000000006</v>
      </c>
      <c r="J88" s="68">
        <v>37972.902000000002</v>
      </c>
    </row>
    <row r="89" spans="1:10">
      <c r="A89" s="61" t="s">
        <v>223</v>
      </c>
      <c r="B89" s="68"/>
      <c r="C89" s="68"/>
      <c r="D89" s="68"/>
      <c r="E89" s="68"/>
      <c r="F89" s="68"/>
      <c r="G89" s="68"/>
      <c r="H89" s="68"/>
      <c r="I89" s="68"/>
      <c r="J89" s="68"/>
    </row>
    <row r="90" spans="1:10">
      <c r="A90" s="66" t="s">
        <v>72</v>
      </c>
      <c r="B90" s="67">
        <f>+SUM(B91:B102)</f>
        <v>1048182.324</v>
      </c>
      <c r="C90" s="67">
        <f t="shared" ref="C90:J90" si="19">+SUM(C91:C102)</f>
        <v>0</v>
      </c>
      <c r="D90" s="67">
        <f t="shared" si="19"/>
        <v>15636</v>
      </c>
      <c r="E90" s="67">
        <f t="shared" si="19"/>
        <v>0</v>
      </c>
      <c r="F90" s="67">
        <f t="shared" si="19"/>
        <v>429711.86600000004</v>
      </c>
      <c r="G90" s="67">
        <f t="shared" si="19"/>
        <v>5630.6239999999998</v>
      </c>
      <c r="H90" s="67">
        <f t="shared" si="19"/>
        <v>3436.4160000000002</v>
      </c>
      <c r="I90" s="67">
        <f t="shared" si="19"/>
        <v>19878.864000000001</v>
      </c>
      <c r="J90" s="67">
        <f t="shared" si="19"/>
        <v>2828.576</v>
      </c>
    </row>
    <row r="91" spans="1:10">
      <c r="A91" s="61" t="s">
        <v>224</v>
      </c>
      <c r="B91" s="68">
        <v>21000</v>
      </c>
      <c r="C91" s="68">
        <v>0</v>
      </c>
      <c r="D91" s="68">
        <v>0</v>
      </c>
      <c r="E91" s="68">
        <v>0</v>
      </c>
      <c r="F91" s="68">
        <v>0</v>
      </c>
      <c r="G91" s="68">
        <v>0</v>
      </c>
      <c r="H91" s="68">
        <v>0</v>
      </c>
      <c r="I91" s="68">
        <v>0</v>
      </c>
      <c r="J91" s="68">
        <v>0</v>
      </c>
    </row>
    <row r="92" spans="1:10">
      <c r="A92" s="61" t="s">
        <v>73</v>
      </c>
      <c r="B92" s="68">
        <v>1800</v>
      </c>
      <c r="C92" s="68">
        <v>0</v>
      </c>
      <c r="D92" s="68">
        <v>900</v>
      </c>
      <c r="E92" s="68">
        <v>0</v>
      </c>
      <c r="F92" s="68">
        <v>750</v>
      </c>
      <c r="G92" s="68">
        <v>450</v>
      </c>
      <c r="H92" s="68">
        <v>300</v>
      </c>
      <c r="I92" s="68">
        <v>900</v>
      </c>
      <c r="J92" s="68">
        <v>0</v>
      </c>
    </row>
    <row r="93" spans="1:10">
      <c r="A93" s="61" t="s">
        <v>74</v>
      </c>
      <c r="B93" s="68">
        <v>288820</v>
      </c>
      <c r="C93" s="68">
        <v>0</v>
      </c>
      <c r="D93" s="68">
        <v>0</v>
      </c>
      <c r="E93" s="68">
        <v>0</v>
      </c>
      <c r="F93" s="68">
        <v>146703.75000000003</v>
      </c>
      <c r="G93" s="68">
        <v>283.82400000000001</v>
      </c>
      <c r="H93" s="68">
        <v>189.21600000000001</v>
      </c>
      <c r="I93" s="68">
        <v>0</v>
      </c>
      <c r="J93" s="68">
        <v>0</v>
      </c>
    </row>
    <row r="94" spans="1:10">
      <c r="A94" s="61" t="s">
        <v>75</v>
      </c>
      <c r="B94" s="68">
        <v>81301</v>
      </c>
      <c r="C94" s="68">
        <v>0</v>
      </c>
      <c r="D94" s="68">
        <v>0</v>
      </c>
      <c r="E94" s="68">
        <v>0</v>
      </c>
      <c r="F94" s="68">
        <v>4000</v>
      </c>
      <c r="G94" s="68">
        <v>0</v>
      </c>
      <c r="H94" s="68">
        <v>0</v>
      </c>
      <c r="I94" s="68">
        <v>0</v>
      </c>
      <c r="J94" s="68">
        <v>0</v>
      </c>
    </row>
    <row r="95" spans="1:10">
      <c r="A95" s="61" t="s">
        <v>76</v>
      </c>
      <c r="B95" s="68">
        <v>0</v>
      </c>
      <c r="C95" s="68">
        <v>0</v>
      </c>
      <c r="D95" s="68">
        <v>0</v>
      </c>
      <c r="E95" s="68">
        <v>0</v>
      </c>
      <c r="F95" s="68">
        <v>0</v>
      </c>
      <c r="G95" s="68">
        <v>0</v>
      </c>
      <c r="H95" s="68">
        <v>0</v>
      </c>
      <c r="I95" s="68">
        <v>0</v>
      </c>
      <c r="J95" s="68">
        <v>0</v>
      </c>
    </row>
    <row r="96" spans="1:10">
      <c r="A96" s="61" t="s">
        <v>77</v>
      </c>
      <c r="B96" s="68">
        <v>73049.88</v>
      </c>
      <c r="C96" s="68">
        <v>0</v>
      </c>
      <c r="D96" s="68"/>
      <c r="E96" s="68">
        <v>0</v>
      </c>
      <c r="F96" s="68">
        <v>87114.18</v>
      </c>
      <c r="G96" s="68">
        <v>0</v>
      </c>
      <c r="H96" s="68">
        <v>0</v>
      </c>
      <c r="I96" s="68">
        <v>0</v>
      </c>
      <c r="J96" s="68">
        <v>0</v>
      </c>
    </row>
    <row r="97" spans="1:10">
      <c r="A97" s="61" t="s">
        <v>78</v>
      </c>
      <c r="B97" s="68">
        <v>8851.25</v>
      </c>
      <c r="C97" s="68">
        <v>0</v>
      </c>
      <c r="D97" s="68">
        <v>0</v>
      </c>
      <c r="E97" s="68">
        <v>0</v>
      </c>
      <c r="F97" s="68">
        <v>4320</v>
      </c>
      <c r="G97" s="68">
        <v>0</v>
      </c>
      <c r="H97" s="68">
        <v>0</v>
      </c>
      <c r="I97" s="68">
        <v>0</v>
      </c>
      <c r="J97" s="68">
        <v>0</v>
      </c>
    </row>
    <row r="98" spans="1:10">
      <c r="A98" s="61" t="s">
        <v>79</v>
      </c>
      <c r="B98" s="68">
        <v>75154.179999999993</v>
      </c>
      <c r="C98" s="68">
        <v>0</v>
      </c>
      <c r="D98" s="68">
        <v>0</v>
      </c>
      <c r="E98" s="68">
        <v>0</v>
      </c>
      <c r="F98" s="68">
        <v>91605.260000000009</v>
      </c>
      <c r="G98" s="68">
        <v>0</v>
      </c>
      <c r="H98" s="68">
        <v>0</v>
      </c>
      <c r="I98" s="68">
        <v>0</v>
      </c>
      <c r="J98" s="68">
        <v>0</v>
      </c>
    </row>
    <row r="99" spans="1:10">
      <c r="A99" s="61" t="s">
        <v>80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</row>
    <row r="100" spans="1:10">
      <c r="A100" s="61" t="s">
        <v>81</v>
      </c>
      <c r="B100" s="68">
        <v>0</v>
      </c>
      <c r="C100" s="68">
        <v>0</v>
      </c>
      <c r="D100" s="68">
        <v>0</v>
      </c>
      <c r="E100" s="68">
        <v>0</v>
      </c>
      <c r="F100" s="68">
        <v>0</v>
      </c>
      <c r="G100" s="68">
        <v>0</v>
      </c>
      <c r="H100" s="68">
        <v>0</v>
      </c>
      <c r="I100" s="68">
        <v>0</v>
      </c>
      <c r="J100" s="68">
        <v>0</v>
      </c>
    </row>
    <row r="101" spans="1:10">
      <c r="A101" s="61" t="s">
        <v>82</v>
      </c>
      <c r="B101" s="68">
        <v>483470.01399999997</v>
      </c>
      <c r="C101" s="68">
        <v>0</v>
      </c>
      <c r="D101" s="68">
        <v>0</v>
      </c>
      <c r="E101" s="68">
        <v>0</v>
      </c>
      <c r="F101" s="68">
        <v>87850.676000000007</v>
      </c>
      <c r="G101" s="68">
        <v>0</v>
      </c>
      <c r="H101" s="68">
        <v>0</v>
      </c>
      <c r="I101" s="68">
        <v>0</v>
      </c>
      <c r="J101" s="68">
        <v>0</v>
      </c>
    </row>
    <row r="102" spans="1:10">
      <c r="A102" s="61" t="s">
        <v>83</v>
      </c>
      <c r="B102" s="68">
        <v>14736</v>
      </c>
      <c r="C102" s="68">
        <v>0</v>
      </c>
      <c r="D102" s="68">
        <v>14736</v>
      </c>
      <c r="E102" s="68">
        <v>0</v>
      </c>
      <c r="F102" s="68">
        <v>7368</v>
      </c>
      <c r="G102" s="68">
        <v>4896.8</v>
      </c>
      <c r="H102" s="68">
        <v>2947.2000000000003</v>
      </c>
      <c r="I102" s="68">
        <v>18978.864000000001</v>
      </c>
      <c r="J102" s="68">
        <v>2828.576</v>
      </c>
    </row>
    <row r="103" spans="1:10">
      <c r="A103" s="61"/>
      <c r="B103" s="68"/>
      <c r="C103" s="68"/>
      <c r="D103" s="68"/>
      <c r="E103" s="68"/>
      <c r="F103" s="68"/>
      <c r="G103" s="68"/>
      <c r="H103" s="68"/>
      <c r="I103" s="69"/>
      <c r="J103" s="69"/>
    </row>
    <row r="104" spans="1:10" ht="17.25">
      <c r="A104" s="70" t="s">
        <v>84</v>
      </c>
      <c r="B104" s="67">
        <f>+SUM(B105:B113)</f>
        <v>455672.90662000002</v>
      </c>
      <c r="C104" s="67">
        <f t="shared" ref="C104:J104" si="20">+SUM(C105:C113)</f>
        <v>0</v>
      </c>
      <c r="D104" s="67">
        <f t="shared" si="20"/>
        <v>30913.215</v>
      </c>
      <c r="E104" s="67">
        <f t="shared" si="20"/>
        <v>7800</v>
      </c>
      <c r="F104" s="67">
        <f t="shared" si="20"/>
        <v>651745.50108000007</v>
      </c>
      <c r="G104" s="67">
        <f t="shared" si="20"/>
        <v>9432.9290000000001</v>
      </c>
      <c r="H104" s="67">
        <f t="shared" si="20"/>
        <v>3900</v>
      </c>
      <c r="I104" s="67">
        <f t="shared" si="20"/>
        <v>79900.176000000007</v>
      </c>
      <c r="J104" s="67">
        <f t="shared" si="20"/>
        <v>0</v>
      </c>
    </row>
    <row r="105" spans="1:10">
      <c r="A105" s="61" t="s">
        <v>85</v>
      </c>
      <c r="B105" s="68">
        <v>61191.376619999995</v>
      </c>
      <c r="C105" s="68">
        <v>0</v>
      </c>
      <c r="D105" s="68">
        <v>0</v>
      </c>
      <c r="E105" s="68">
        <v>0</v>
      </c>
      <c r="F105" s="68">
        <v>96611.801080000005</v>
      </c>
      <c r="G105" s="68">
        <v>500</v>
      </c>
      <c r="H105" s="68">
        <v>0</v>
      </c>
      <c r="I105" s="68">
        <v>0</v>
      </c>
      <c r="J105" s="68">
        <v>0</v>
      </c>
    </row>
    <row r="106" spans="1:10">
      <c r="A106" s="61" t="s">
        <v>86</v>
      </c>
      <c r="B106" s="68">
        <v>255355.33000000002</v>
      </c>
      <c r="C106" s="68">
        <v>0</v>
      </c>
      <c r="D106" s="68">
        <v>16838.215</v>
      </c>
      <c r="E106" s="68">
        <v>7800</v>
      </c>
      <c r="F106" s="68">
        <v>154298.9</v>
      </c>
      <c r="G106" s="68">
        <v>8932.9290000000001</v>
      </c>
      <c r="H106" s="68">
        <v>3900</v>
      </c>
      <c r="I106" s="68">
        <v>2055.2860000000001</v>
      </c>
      <c r="J106" s="68">
        <v>0</v>
      </c>
    </row>
    <row r="107" spans="1:10">
      <c r="A107" s="61" t="s">
        <v>87</v>
      </c>
      <c r="B107" s="68">
        <v>0</v>
      </c>
      <c r="C107" s="68">
        <v>0</v>
      </c>
      <c r="D107" s="68">
        <v>0</v>
      </c>
      <c r="E107" s="68">
        <v>0</v>
      </c>
      <c r="F107" s="68">
        <v>0</v>
      </c>
      <c r="G107" s="68">
        <v>0</v>
      </c>
      <c r="H107" s="68">
        <v>0</v>
      </c>
      <c r="I107" s="68">
        <v>0</v>
      </c>
      <c r="J107" s="68">
        <v>0</v>
      </c>
    </row>
    <row r="108" spans="1:10">
      <c r="A108" s="61" t="s">
        <v>88</v>
      </c>
      <c r="B108" s="68">
        <v>0</v>
      </c>
      <c r="C108" s="68">
        <v>0</v>
      </c>
      <c r="D108" s="68">
        <v>0</v>
      </c>
      <c r="E108" s="68">
        <v>0</v>
      </c>
      <c r="F108" s="68">
        <v>228750</v>
      </c>
      <c r="G108" s="68">
        <v>0</v>
      </c>
      <c r="H108" s="68">
        <v>0</v>
      </c>
      <c r="I108" s="68">
        <v>28570.5</v>
      </c>
      <c r="J108" s="68">
        <v>0</v>
      </c>
    </row>
    <row r="109" spans="1:10">
      <c r="A109" s="61" t="s">
        <v>89</v>
      </c>
      <c r="B109" s="68">
        <v>17280</v>
      </c>
      <c r="C109" s="68">
        <v>0</v>
      </c>
      <c r="D109" s="68">
        <v>0</v>
      </c>
      <c r="E109" s="68">
        <v>0</v>
      </c>
      <c r="F109" s="68">
        <v>11520</v>
      </c>
      <c r="G109" s="68">
        <v>0</v>
      </c>
      <c r="H109" s="68">
        <v>0</v>
      </c>
      <c r="I109" s="68">
        <v>0</v>
      </c>
      <c r="J109" s="68">
        <v>0</v>
      </c>
    </row>
    <row r="110" spans="1:10">
      <c r="A110" s="61" t="s">
        <v>90</v>
      </c>
      <c r="B110" s="68">
        <v>121846.19999999998</v>
      </c>
      <c r="C110" s="68">
        <v>0</v>
      </c>
      <c r="D110" s="68">
        <v>0</v>
      </c>
      <c r="E110" s="68">
        <v>0</v>
      </c>
      <c r="F110" s="68">
        <v>160564.79999999999</v>
      </c>
      <c r="G110" s="68">
        <v>0</v>
      </c>
      <c r="H110" s="68">
        <v>0</v>
      </c>
      <c r="I110" s="68">
        <v>0</v>
      </c>
      <c r="J110" s="68">
        <v>0</v>
      </c>
    </row>
    <row r="111" spans="1:10">
      <c r="A111" s="61" t="s">
        <v>91</v>
      </c>
      <c r="B111" s="68">
        <v>0</v>
      </c>
      <c r="C111" s="68">
        <v>0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</row>
    <row r="112" spans="1:10">
      <c r="A112" s="61" t="s">
        <v>92</v>
      </c>
      <c r="B112" s="68">
        <v>0</v>
      </c>
      <c r="C112" s="68">
        <v>0</v>
      </c>
      <c r="D112" s="68">
        <v>14075</v>
      </c>
      <c r="E112" s="68">
        <v>0</v>
      </c>
      <c r="F112" s="68">
        <v>0</v>
      </c>
      <c r="G112" s="68">
        <v>0</v>
      </c>
      <c r="H112" s="68">
        <v>0</v>
      </c>
      <c r="I112" s="68">
        <v>49274.39</v>
      </c>
      <c r="J112" s="68">
        <v>0</v>
      </c>
    </row>
    <row r="113" spans="1:10">
      <c r="A113" s="61" t="s">
        <v>225</v>
      </c>
      <c r="B113" s="68">
        <v>0</v>
      </c>
      <c r="C113" s="68">
        <v>0</v>
      </c>
      <c r="D113" s="68">
        <v>0</v>
      </c>
      <c r="E113" s="68">
        <v>0</v>
      </c>
      <c r="F113" s="68">
        <v>0</v>
      </c>
      <c r="G113" s="68">
        <v>0</v>
      </c>
      <c r="H113" s="68">
        <v>0</v>
      </c>
      <c r="I113" s="68">
        <v>0</v>
      </c>
      <c r="J113" s="68">
        <v>0</v>
      </c>
    </row>
    <row r="114" spans="1:10">
      <c r="A114" s="60"/>
      <c r="B114" s="68"/>
      <c r="C114" s="68"/>
      <c r="D114" s="68"/>
      <c r="E114" s="68"/>
      <c r="F114" s="68"/>
      <c r="G114" s="68"/>
      <c r="H114" s="68"/>
      <c r="I114" s="69"/>
      <c r="J114" s="69"/>
    </row>
    <row r="115" spans="1:10" ht="17.25">
      <c r="A115" s="71" t="s">
        <v>211</v>
      </c>
      <c r="B115" s="67">
        <f>+B116+B129+B133+B138+B146+B150</f>
        <v>3309611.2447972759</v>
      </c>
      <c r="C115" s="67">
        <f t="shared" ref="C115:J115" si="21">+C116+C129+C133+C138+C146+C150</f>
        <v>36950</v>
      </c>
      <c r="D115" s="67">
        <f t="shared" si="21"/>
        <v>1937459.309919514</v>
      </c>
      <c r="E115" s="67">
        <f t="shared" si="21"/>
        <v>414534.04921335471</v>
      </c>
      <c r="F115" s="67">
        <f t="shared" si="21"/>
        <v>1297759.890477564</v>
      </c>
      <c r="G115" s="67">
        <f t="shared" si="21"/>
        <v>1012557.151348985</v>
      </c>
      <c r="H115" s="67">
        <f t="shared" si="21"/>
        <v>148614.90682126069</v>
      </c>
      <c r="I115" s="67">
        <f t="shared" si="21"/>
        <v>599449.60410256416</v>
      </c>
      <c r="J115" s="67">
        <f t="shared" si="21"/>
        <v>79320.048076923078</v>
      </c>
    </row>
    <row r="116" spans="1:10">
      <c r="A116" s="72" t="s">
        <v>94</v>
      </c>
      <c r="B116" s="67">
        <f>+SUM(B117:B128)</f>
        <v>2443114.114797276</v>
      </c>
      <c r="C116" s="67">
        <f t="shared" ref="C116:J116" si="22">+SUM(C117:C128)</f>
        <v>36950</v>
      </c>
      <c r="D116" s="67">
        <f t="shared" si="22"/>
        <v>1498053.231919514</v>
      </c>
      <c r="E116" s="67">
        <f t="shared" si="22"/>
        <v>306982.75721335469</v>
      </c>
      <c r="F116" s="67">
        <f t="shared" si="22"/>
        <v>735357.40547756408</v>
      </c>
      <c r="G116" s="67">
        <f t="shared" si="22"/>
        <v>794302.18234898499</v>
      </c>
      <c r="H116" s="67">
        <f t="shared" si="22"/>
        <v>82073.660821260695</v>
      </c>
      <c r="I116" s="67">
        <f t="shared" si="22"/>
        <v>379561.06410256412</v>
      </c>
      <c r="J116" s="67">
        <f t="shared" si="22"/>
        <v>67380.048076923078</v>
      </c>
    </row>
    <row r="117" spans="1:10">
      <c r="A117" s="61" t="s">
        <v>95</v>
      </c>
      <c r="B117" s="68">
        <v>947333</v>
      </c>
      <c r="C117" s="68">
        <v>15000</v>
      </c>
      <c r="D117" s="68">
        <v>590205</v>
      </c>
      <c r="E117" s="68">
        <v>94815</v>
      </c>
      <c r="F117" s="68">
        <v>319498</v>
      </c>
      <c r="G117" s="68">
        <v>266741</v>
      </c>
      <c r="H117" s="68">
        <v>17400</v>
      </c>
      <c r="I117" s="68">
        <v>178333</v>
      </c>
      <c r="J117" s="68">
        <v>28250</v>
      </c>
    </row>
    <row r="118" spans="1:10">
      <c r="A118" s="61" t="s">
        <v>96</v>
      </c>
      <c r="B118" s="68">
        <v>130788</v>
      </c>
      <c r="C118" s="68">
        <v>2500</v>
      </c>
      <c r="D118" s="68">
        <v>87966</v>
      </c>
      <c r="E118" s="68">
        <v>16952</v>
      </c>
      <c r="F118" s="68">
        <v>50727</v>
      </c>
      <c r="G118" s="68">
        <v>45215</v>
      </c>
      <c r="H118" s="68">
        <v>2620</v>
      </c>
      <c r="I118" s="68">
        <v>22650</v>
      </c>
      <c r="J118" s="68">
        <v>4200</v>
      </c>
    </row>
    <row r="119" spans="1:10">
      <c r="A119" s="61" t="s">
        <v>97</v>
      </c>
      <c r="B119" s="68">
        <v>31500</v>
      </c>
      <c r="C119" s="68">
        <v>0</v>
      </c>
      <c r="D119" s="68">
        <v>1500</v>
      </c>
      <c r="E119" s="68">
        <v>2500</v>
      </c>
      <c r="F119" s="68">
        <v>8935</v>
      </c>
      <c r="G119" s="68">
        <v>3000</v>
      </c>
      <c r="H119" s="68">
        <v>0</v>
      </c>
      <c r="I119" s="68">
        <v>0</v>
      </c>
      <c r="J119" s="68">
        <v>0</v>
      </c>
    </row>
    <row r="120" spans="1:10">
      <c r="A120" s="61" t="s">
        <v>98</v>
      </c>
      <c r="B120" s="68">
        <v>320173</v>
      </c>
      <c r="C120" s="68">
        <v>4000</v>
      </c>
      <c r="D120" s="68">
        <v>206292</v>
      </c>
      <c r="E120" s="68">
        <v>32591</v>
      </c>
      <c r="F120" s="68">
        <v>11700</v>
      </c>
      <c r="G120" s="68">
        <v>193363</v>
      </c>
      <c r="H120" s="68">
        <v>5680</v>
      </c>
      <c r="I120" s="68">
        <v>70033</v>
      </c>
      <c r="J120" s="68">
        <v>11300</v>
      </c>
    </row>
    <row r="121" spans="1:10">
      <c r="A121" s="61" t="s">
        <v>99</v>
      </c>
      <c r="B121" s="68">
        <v>82083</v>
      </c>
      <c r="C121" s="68">
        <v>0</v>
      </c>
      <c r="D121" s="68">
        <v>45425</v>
      </c>
      <c r="E121" s="68">
        <v>4100</v>
      </c>
      <c r="F121" s="68">
        <v>27987</v>
      </c>
      <c r="G121" s="68">
        <v>25285</v>
      </c>
      <c r="H121" s="68">
        <v>2400</v>
      </c>
      <c r="I121" s="68">
        <v>14200</v>
      </c>
      <c r="J121" s="68">
        <v>0</v>
      </c>
    </row>
    <row r="122" spans="1:10">
      <c r="A122" s="61" t="s">
        <v>100</v>
      </c>
      <c r="B122" s="68">
        <v>40300</v>
      </c>
      <c r="C122" s="68">
        <v>500</v>
      </c>
      <c r="D122" s="68">
        <v>18798</v>
      </c>
      <c r="E122" s="68">
        <v>2000</v>
      </c>
      <c r="F122" s="68">
        <v>8350</v>
      </c>
      <c r="G122" s="68">
        <v>12500</v>
      </c>
      <c r="H122" s="68">
        <v>1500</v>
      </c>
      <c r="I122" s="68">
        <v>1417</v>
      </c>
      <c r="J122" s="68">
        <v>0</v>
      </c>
    </row>
    <row r="123" spans="1:10">
      <c r="A123" s="61" t="s">
        <v>101</v>
      </c>
      <c r="B123" s="68">
        <v>527205</v>
      </c>
      <c r="C123" s="68">
        <v>13000</v>
      </c>
      <c r="D123" s="68">
        <v>288665</v>
      </c>
      <c r="E123" s="68">
        <v>52872</v>
      </c>
      <c r="F123" s="68">
        <v>168028</v>
      </c>
      <c r="G123" s="68">
        <v>113219</v>
      </c>
      <c r="H123" s="68">
        <v>7400</v>
      </c>
      <c r="I123" s="68">
        <v>54753</v>
      </c>
      <c r="J123" s="68">
        <v>12750</v>
      </c>
    </row>
    <row r="124" spans="1:10">
      <c r="A124" s="61" t="s">
        <v>102</v>
      </c>
      <c r="B124" s="68">
        <v>107556.71915625001</v>
      </c>
      <c r="C124" s="68">
        <v>1949.9999999999998</v>
      </c>
      <c r="D124" s="68">
        <v>74658.494586180561</v>
      </c>
      <c r="E124" s="68">
        <v>14646.494290277777</v>
      </c>
      <c r="F124" s="68">
        <v>43454.504708333327</v>
      </c>
      <c r="G124" s="68">
        <v>35293.217528472225</v>
      </c>
      <c r="H124" s="68">
        <v>2286.8210263888886</v>
      </c>
      <c r="I124" s="68">
        <v>18806.666666666668</v>
      </c>
      <c r="J124" s="68">
        <v>5646.875</v>
      </c>
    </row>
    <row r="125" spans="1:10">
      <c r="A125" s="61" t="s">
        <v>103</v>
      </c>
      <c r="B125" s="68">
        <v>4821.25</v>
      </c>
      <c r="C125" s="68">
        <v>0</v>
      </c>
      <c r="D125" s="68">
        <v>6992</v>
      </c>
      <c r="E125" s="68">
        <v>1866.75</v>
      </c>
      <c r="F125" s="68">
        <v>2066.25</v>
      </c>
      <c r="G125" s="68">
        <v>3752.5</v>
      </c>
      <c r="H125" s="68">
        <v>0</v>
      </c>
      <c r="I125" s="68">
        <v>807.5</v>
      </c>
      <c r="J125" s="68">
        <v>0</v>
      </c>
    </row>
    <row r="126" spans="1:10">
      <c r="A126" s="61" t="s">
        <v>104</v>
      </c>
      <c r="B126" s="68">
        <v>136713.12</v>
      </c>
      <c r="C126" s="68">
        <v>0</v>
      </c>
      <c r="D126" s="68">
        <v>106880.90399999999</v>
      </c>
      <c r="E126" s="68">
        <v>71253.936000000002</v>
      </c>
      <c r="F126" s="68">
        <v>51267.42</v>
      </c>
      <c r="G126" s="68">
        <v>61000.451999999997</v>
      </c>
      <c r="H126" s="68">
        <v>40666.968000000001</v>
      </c>
      <c r="I126" s="68">
        <v>0</v>
      </c>
      <c r="J126" s="68">
        <v>0</v>
      </c>
    </row>
    <row r="127" spans="1:10">
      <c r="A127" s="61" t="s">
        <v>105</v>
      </c>
      <c r="B127" s="68">
        <v>54057.692307692305</v>
      </c>
      <c r="C127" s="68">
        <v>0</v>
      </c>
      <c r="D127" s="68">
        <v>28437.499999999996</v>
      </c>
      <c r="E127" s="68">
        <v>5110.5769230769229</v>
      </c>
      <c r="F127" s="68">
        <v>18769.230769230773</v>
      </c>
      <c r="G127" s="68">
        <v>14716.346153846156</v>
      </c>
      <c r="H127" s="68">
        <v>836.53846153846155</v>
      </c>
      <c r="I127" s="68">
        <v>7644.2307692307695</v>
      </c>
      <c r="J127" s="68">
        <v>1983.1730769230771</v>
      </c>
    </row>
    <row r="128" spans="1:10">
      <c r="A128" s="61" t="s">
        <v>226</v>
      </c>
      <c r="B128" s="68">
        <v>60583.333333333343</v>
      </c>
      <c r="C128" s="68">
        <v>0</v>
      </c>
      <c r="D128" s="68">
        <v>42233.333333333328</v>
      </c>
      <c r="E128" s="68">
        <v>8274.9999999999982</v>
      </c>
      <c r="F128" s="68">
        <v>24574.999999999996</v>
      </c>
      <c r="G128" s="68">
        <v>20216.666666666664</v>
      </c>
      <c r="H128" s="68">
        <v>1283.3333333333333</v>
      </c>
      <c r="I128" s="68">
        <v>10916.666666666664</v>
      </c>
      <c r="J128" s="68">
        <v>3250</v>
      </c>
    </row>
    <row r="129" spans="1:10">
      <c r="A129" s="72" t="s">
        <v>106</v>
      </c>
      <c r="B129" s="67">
        <f>+SUM(B130:B132)</f>
        <v>204000</v>
      </c>
      <c r="C129" s="67">
        <f t="shared" ref="C129:J129" si="23">+SUM(C130:C132)</f>
        <v>0</v>
      </c>
      <c r="D129" s="67">
        <f t="shared" si="23"/>
        <v>0</v>
      </c>
      <c r="E129" s="67">
        <f t="shared" si="23"/>
        <v>0</v>
      </c>
      <c r="F129" s="67">
        <f t="shared" si="23"/>
        <v>136000</v>
      </c>
      <c r="G129" s="67">
        <f t="shared" si="23"/>
        <v>0</v>
      </c>
      <c r="H129" s="67">
        <f t="shared" si="23"/>
        <v>0</v>
      </c>
      <c r="I129" s="67">
        <f t="shared" si="23"/>
        <v>0</v>
      </c>
      <c r="J129" s="67">
        <f t="shared" si="23"/>
        <v>0</v>
      </c>
    </row>
    <row r="130" spans="1:10">
      <c r="A130" s="61" t="s">
        <v>107</v>
      </c>
      <c r="B130" s="68">
        <v>0</v>
      </c>
      <c r="C130" s="68">
        <v>0</v>
      </c>
      <c r="D130" s="68">
        <v>0</v>
      </c>
      <c r="E130" s="68">
        <v>0</v>
      </c>
      <c r="F130" s="68">
        <v>0</v>
      </c>
      <c r="G130" s="68">
        <v>0</v>
      </c>
      <c r="H130" s="68">
        <v>0</v>
      </c>
      <c r="I130" s="68">
        <v>0</v>
      </c>
      <c r="J130" s="68">
        <v>0</v>
      </c>
    </row>
    <row r="131" spans="1:10">
      <c r="A131" s="61" t="s">
        <v>108</v>
      </c>
      <c r="B131" s="68">
        <v>0</v>
      </c>
      <c r="C131" s="68">
        <v>0</v>
      </c>
      <c r="D131" s="68">
        <v>0</v>
      </c>
      <c r="E131" s="68">
        <v>0</v>
      </c>
      <c r="F131" s="68">
        <v>0</v>
      </c>
      <c r="G131" s="68">
        <v>0</v>
      </c>
      <c r="H131" s="68">
        <v>0</v>
      </c>
      <c r="I131" s="68">
        <v>0</v>
      </c>
      <c r="J131" s="68">
        <v>0</v>
      </c>
    </row>
    <row r="132" spans="1:10">
      <c r="A132" s="61" t="s">
        <v>109</v>
      </c>
      <c r="B132" s="68">
        <v>204000</v>
      </c>
      <c r="C132" s="68">
        <v>0</v>
      </c>
      <c r="D132" s="68">
        <v>0</v>
      </c>
      <c r="E132" s="68">
        <v>0</v>
      </c>
      <c r="F132" s="68">
        <v>136000</v>
      </c>
      <c r="G132" s="68">
        <v>0</v>
      </c>
      <c r="H132" s="68">
        <v>0</v>
      </c>
      <c r="I132" s="68">
        <v>0</v>
      </c>
      <c r="J132" s="68">
        <v>0</v>
      </c>
    </row>
    <row r="133" spans="1:10">
      <c r="A133" s="72" t="s">
        <v>110</v>
      </c>
      <c r="B133" s="67">
        <f>+SUM(B134:B137)</f>
        <v>212382.28999999998</v>
      </c>
      <c r="C133" s="67">
        <f t="shared" ref="C133:J133" si="24">+SUM(C134:C137)</f>
        <v>0</v>
      </c>
      <c r="D133" s="67">
        <f t="shared" si="24"/>
        <v>117384.6</v>
      </c>
      <c r="E133" s="67">
        <f t="shared" si="24"/>
        <v>1610.64</v>
      </c>
      <c r="F133" s="67">
        <f t="shared" si="24"/>
        <v>167253.66999999998</v>
      </c>
      <c r="G133" s="67">
        <f t="shared" si="24"/>
        <v>45783.98</v>
      </c>
      <c r="H133" s="67">
        <f t="shared" si="24"/>
        <v>805.32</v>
      </c>
      <c r="I133" s="67">
        <f t="shared" si="24"/>
        <v>18407.14</v>
      </c>
      <c r="J133" s="67">
        <f t="shared" si="24"/>
        <v>0</v>
      </c>
    </row>
    <row r="134" spans="1:10">
      <c r="A134" s="61" t="s">
        <v>111</v>
      </c>
      <c r="B134" s="68">
        <v>0</v>
      </c>
      <c r="C134" s="68">
        <v>0</v>
      </c>
      <c r="D134" s="68">
        <v>0</v>
      </c>
      <c r="E134" s="68">
        <v>0</v>
      </c>
      <c r="F134" s="68">
        <v>0</v>
      </c>
      <c r="G134" s="68">
        <v>0</v>
      </c>
      <c r="H134" s="68">
        <v>0</v>
      </c>
      <c r="I134" s="68">
        <v>0</v>
      </c>
      <c r="J134" s="68">
        <v>0</v>
      </c>
    </row>
    <row r="135" spans="1:10">
      <c r="A135" s="61" t="s">
        <v>112</v>
      </c>
      <c r="B135" s="68">
        <v>212382.28999999998</v>
      </c>
      <c r="C135" s="68">
        <v>0</v>
      </c>
      <c r="D135" s="68">
        <v>117384.6</v>
      </c>
      <c r="E135" s="68">
        <v>1610.64</v>
      </c>
      <c r="F135" s="68">
        <v>167253.66999999998</v>
      </c>
      <c r="G135" s="68">
        <v>45783.98</v>
      </c>
      <c r="H135" s="68">
        <v>805.32</v>
      </c>
      <c r="I135" s="68">
        <v>18407.14</v>
      </c>
      <c r="J135" s="68">
        <v>0</v>
      </c>
    </row>
    <row r="136" spans="1:10">
      <c r="A136" s="61" t="s">
        <v>113</v>
      </c>
      <c r="B136" s="68">
        <v>0</v>
      </c>
      <c r="C136" s="68">
        <v>0</v>
      </c>
      <c r="D136" s="68">
        <v>0</v>
      </c>
      <c r="E136" s="68">
        <v>0</v>
      </c>
      <c r="F136" s="68">
        <v>0</v>
      </c>
      <c r="G136" s="68">
        <v>0</v>
      </c>
      <c r="H136" s="68">
        <v>0</v>
      </c>
      <c r="I136" s="68">
        <v>0</v>
      </c>
      <c r="J136" s="68">
        <v>0</v>
      </c>
    </row>
    <row r="137" spans="1:10">
      <c r="A137" s="61" t="s">
        <v>114</v>
      </c>
      <c r="B137" s="68">
        <v>0</v>
      </c>
      <c r="C137" s="68">
        <v>0</v>
      </c>
      <c r="D137" s="68">
        <v>0</v>
      </c>
      <c r="E137" s="68">
        <v>0</v>
      </c>
      <c r="F137" s="68">
        <v>0</v>
      </c>
      <c r="G137" s="68">
        <v>0</v>
      </c>
      <c r="H137" s="68">
        <v>0</v>
      </c>
      <c r="I137" s="68">
        <v>0</v>
      </c>
      <c r="J137" s="68">
        <v>0</v>
      </c>
    </row>
    <row r="138" spans="1:10">
      <c r="A138" s="72" t="s">
        <v>115</v>
      </c>
      <c r="B138" s="67">
        <f>+SUM(B139:B145)</f>
        <v>209932.84000000003</v>
      </c>
      <c r="C138" s="67">
        <f t="shared" ref="C138:J138" si="25">+SUM(C139:C145)</f>
        <v>0</v>
      </c>
      <c r="D138" s="67">
        <f t="shared" si="25"/>
        <v>155904.27799999999</v>
      </c>
      <c r="E138" s="67">
        <f t="shared" si="25"/>
        <v>70925.851999999999</v>
      </c>
      <c r="F138" s="67">
        <f t="shared" si="25"/>
        <v>119463.315</v>
      </c>
      <c r="G138" s="67">
        <f t="shared" si="25"/>
        <v>78218.088999999993</v>
      </c>
      <c r="H138" s="67">
        <f t="shared" si="25"/>
        <v>40489.326000000001</v>
      </c>
      <c r="I138" s="67">
        <f t="shared" si="25"/>
        <v>46349.4</v>
      </c>
      <c r="J138" s="67">
        <f t="shared" si="25"/>
        <v>11940</v>
      </c>
    </row>
    <row r="139" spans="1:10">
      <c r="A139" s="61" t="s">
        <v>116</v>
      </c>
      <c r="B139" s="68">
        <v>25416.135999999999</v>
      </c>
      <c r="C139" s="68">
        <v>0</v>
      </c>
      <c r="D139" s="68">
        <v>11207.761199999999</v>
      </c>
      <c r="E139" s="68">
        <v>7471.8407999999999</v>
      </c>
      <c r="F139" s="68">
        <v>9339.8009999999995</v>
      </c>
      <c r="G139" s="68">
        <v>5603.8805999999995</v>
      </c>
      <c r="H139" s="68">
        <v>3735.9204</v>
      </c>
      <c r="I139" s="68">
        <v>320</v>
      </c>
      <c r="J139" s="68">
        <v>0</v>
      </c>
    </row>
    <row r="140" spans="1:10">
      <c r="A140" s="61" t="s">
        <v>117</v>
      </c>
      <c r="B140" s="68">
        <v>35986.800000000003</v>
      </c>
      <c r="C140" s="68">
        <v>0</v>
      </c>
      <c r="D140" s="68">
        <v>37848.36</v>
      </c>
      <c r="E140" s="68">
        <v>84.240000000000009</v>
      </c>
      <c r="F140" s="68">
        <v>33237.300000000003</v>
      </c>
      <c r="G140" s="68">
        <v>22205.379999999997</v>
      </c>
      <c r="H140" s="68">
        <v>5998.92</v>
      </c>
      <c r="I140" s="68">
        <v>24768</v>
      </c>
      <c r="J140" s="68">
        <v>0</v>
      </c>
    </row>
    <row r="141" spans="1:10">
      <c r="A141" s="61" t="s">
        <v>227</v>
      </c>
      <c r="B141" s="68">
        <v>0</v>
      </c>
      <c r="C141" s="68">
        <v>0</v>
      </c>
      <c r="D141" s="68">
        <v>29791.199999999997</v>
      </c>
      <c r="E141" s="68">
        <v>19860.800000000003</v>
      </c>
      <c r="F141" s="68">
        <v>22500</v>
      </c>
      <c r="G141" s="68">
        <v>13500</v>
      </c>
      <c r="H141" s="68">
        <v>9000</v>
      </c>
      <c r="I141" s="68">
        <v>17910</v>
      </c>
      <c r="J141" s="68">
        <v>11940</v>
      </c>
    </row>
    <row r="142" spans="1:10">
      <c r="A142" s="61" t="s">
        <v>228</v>
      </c>
      <c r="B142" s="68">
        <v>0</v>
      </c>
      <c r="C142" s="68">
        <v>0</v>
      </c>
      <c r="D142" s="68">
        <v>765</v>
      </c>
      <c r="E142" s="68">
        <v>0</v>
      </c>
      <c r="F142" s="68">
        <v>0</v>
      </c>
      <c r="G142" s="68">
        <v>0</v>
      </c>
      <c r="H142" s="68">
        <v>0</v>
      </c>
      <c r="I142" s="68">
        <v>0</v>
      </c>
      <c r="J142" s="68">
        <v>0</v>
      </c>
    </row>
    <row r="143" spans="1:10">
      <c r="A143" s="61" t="s">
        <v>118</v>
      </c>
      <c r="B143" s="68">
        <v>0</v>
      </c>
      <c r="C143" s="68">
        <v>0</v>
      </c>
      <c r="D143" s="68">
        <v>0</v>
      </c>
      <c r="E143" s="68">
        <v>0</v>
      </c>
      <c r="F143" s="68">
        <v>0</v>
      </c>
      <c r="G143" s="68">
        <v>0</v>
      </c>
      <c r="H143" s="68">
        <v>0</v>
      </c>
      <c r="I143" s="68">
        <v>0</v>
      </c>
      <c r="J143" s="68">
        <v>0</v>
      </c>
    </row>
    <row r="144" spans="1:10">
      <c r="A144" s="61" t="s">
        <v>119</v>
      </c>
      <c r="B144" s="68">
        <v>145029.90400000001</v>
      </c>
      <c r="C144" s="68">
        <v>0</v>
      </c>
      <c r="D144" s="68">
        <v>72391.9568</v>
      </c>
      <c r="E144" s="68">
        <v>43508.9712</v>
      </c>
      <c r="F144" s="68">
        <v>54386.214</v>
      </c>
      <c r="G144" s="68">
        <v>36908.828399999999</v>
      </c>
      <c r="H144" s="68">
        <v>21754.4856</v>
      </c>
      <c r="I144" s="68">
        <v>2851.4</v>
      </c>
      <c r="J144" s="68">
        <v>0</v>
      </c>
    </row>
    <row r="145" spans="1:10">
      <c r="A145" s="61" t="s">
        <v>120</v>
      </c>
      <c r="B145" s="68">
        <v>3500</v>
      </c>
      <c r="C145" s="68">
        <v>0</v>
      </c>
      <c r="D145" s="68">
        <v>3900</v>
      </c>
      <c r="E145" s="68">
        <v>0</v>
      </c>
      <c r="F145" s="68">
        <v>0</v>
      </c>
      <c r="G145" s="68">
        <v>0</v>
      </c>
      <c r="H145" s="68">
        <v>0</v>
      </c>
      <c r="I145" s="68">
        <v>500</v>
      </c>
      <c r="J145" s="68">
        <v>0</v>
      </c>
    </row>
    <row r="146" spans="1:10">
      <c r="A146" s="72" t="s">
        <v>121</v>
      </c>
      <c r="B146" s="67">
        <f>+SUM(B147:B149)</f>
        <v>84269</v>
      </c>
      <c r="C146" s="67">
        <f t="shared" ref="C146:J146" si="26">+SUM(C147:C149)</f>
        <v>0</v>
      </c>
      <c r="D146" s="67">
        <f t="shared" si="26"/>
        <v>67423</v>
      </c>
      <c r="E146" s="67">
        <f t="shared" si="26"/>
        <v>0</v>
      </c>
      <c r="F146" s="67">
        <f t="shared" si="26"/>
        <v>76569</v>
      </c>
      <c r="G146" s="67">
        <f t="shared" si="26"/>
        <v>56383</v>
      </c>
      <c r="H146" s="67">
        <f t="shared" si="26"/>
        <v>0</v>
      </c>
      <c r="I146" s="67">
        <f t="shared" si="26"/>
        <v>23347</v>
      </c>
      <c r="J146" s="67">
        <f t="shared" si="26"/>
        <v>0</v>
      </c>
    </row>
    <row r="147" spans="1:10">
      <c r="A147" s="61" t="s">
        <v>122</v>
      </c>
      <c r="B147" s="68">
        <v>0</v>
      </c>
      <c r="C147" s="68">
        <v>0</v>
      </c>
      <c r="D147" s="68">
        <v>0</v>
      </c>
      <c r="E147" s="68">
        <v>0</v>
      </c>
      <c r="F147" s="68">
        <v>0</v>
      </c>
      <c r="G147" s="68">
        <v>0</v>
      </c>
      <c r="H147" s="68">
        <v>0</v>
      </c>
      <c r="I147" s="68">
        <v>0</v>
      </c>
      <c r="J147" s="68">
        <v>0</v>
      </c>
    </row>
    <row r="148" spans="1:10">
      <c r="A148" s="61" t="s">
        <v>123</v>
      </c>
      <c r="B148" s="68">
        <v>84269</v>
      </c>
      <c r="C148" s="68">
        <v>0</v>
      </c>
      <c r="D148" s="68">
        <v>67423</v>
      </c>
      <c r="E148" s="68">
        <v>0</v>
      </c>
      <c r="F148" s="68">
        <v>76569</v>
      </c>
      <c r="G148" s="68">
        <v>56383</v>
      </c>
      <c r="H148" s="68">
        <v>0</v>
      </c>
      <c r="I148" s="68">
        <v>23347</v>
      </c>
      <c r="J148" s="68">
        <v>0</v>
      </c>
    </row>
    <row r="149" spans="1:10">
      <c r="A149" s="61" t="s">
        <v>124</v>
      </c>
      <c r="B149" s="68">
        <v>0</v>
      </c>
      <c r="C149" s="68">
        <v>0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</row>
    <row r="150" spans="1:10">
      <c r="A150" s="72" t="s">
        <v>125</v>
      </c>
      <c r="B150" s="67">
        <f>+SUM(B151:B154)</f>
        <v>155913</v>
      </c>
      <c r="C150" s="67">
        <f t="shared" ref="C150:J150" si="27">+SUM(C151:C154)</f>
        <v>0</v>
      </c>
      <c r="D150" s="67">
        <f t="shared" si="27"/>
        <v>98694.2</v>
      </c>
      <c r="E150" s="67">
        <f t="shared" si="27"/>
        <v>35014.800000000003</v>
      </c>
      <c r="F150" s="67">
        <f t="shared" si="27"/>
        <v>63116.5</v>
      </c>
      <c r="G150" s="67">
        <f t="shared" si="27"/>
        <v>37869.899999999994</v>
      </c>
      <c r="H150" s="67">
        <f t="shared" si="27"/>
        <v>25246.600000000002</v>
      </c>
      <c r="I150" s="67">
        <f t="shared" si="27"/>
        <v>131785</v>
      </c>
      <c r="J150" s="67">
        <f t="shared" si="27"/>
        <v>0</v>
      </c>
    </row>
    <row r="151" spans="1:10">
      <c r="A151" s="61" t="s">
        <v>126</v>
      </c>
      <c r="B151" s="68">
        <v>74391</v>
      </c>
      <c r="C151" s="68">
        <v>0</v>
      </c>
      <c r="D151" s="68">
        <v>52522.2</v>
      </c>
      <c r="E151" s="68">
        <v>35014.800000000003</v>
      </c>
      <c r="F151" s="68">
        <v>42336</v>
      </c>
      <c r="G151" s="68">
        <v>25401.599999999999</v>
      </c>
      <c r="H151" s="68">
        <v>16934.400000000001</v>
      </c>
      <c r="I151" s="68">
        <v>78524</v>
      </c>
      <c r="J151" s="68">
        <v>0</v>
      </c>
    </row>
    <row r="152" spans="1:10">
      <c r="A152" s="61" t="s">
        <v>229</v>
      </c>
      <c r="B152" s="68">
        <v>9922</v>
      </c>
      <c r="C152" s="68">
        <v>0</v>
      </c>
      <c r="D152" s="68">
        <v>9922</v>
      </c>
      <c r="E152" s="68">
        <v>0</v>
      </c>
      <c r="F152" s="68">
        <v>2480.5</v>
      </c>
      <c r="G152" s="68">
        <v>1488.3</v>
      </c>
      <c r="H152" s="68">
        <v>992.2</v>
      </c>
      <c r="I152" s="68">
        <v>4961</v>
      </c>
      <c r="J152" s="68">
        <v>0</v>
      </c>
    </row>
    <row r="153" spans="1:10">
      <c r="A153" s="61" t="s">
        <v>127</v>
      </c>
      <c r="B153" s="68">
        <v>71000</v>
      </c>
      <c r="C153" s="68">
        <v>0</v>
      </c>
      <c r="D153" s="68">
        <v>35000</v>
      </c>
      <c r="E153" s="68">
        <v>0</v>
      </c>
      <c r="F153" s="68">
        <v>17500</v>
      </c>
      <c r="G153" s="68">
        <v>10500</v>
      </c>
      <c r="H153" s="68">
        <v>7000</v>
      </c>
      <c r="I153" s="68">
        <v>36000</v>
      </c>
      <c r="J153" s="68">
        <v>0</v>
      </c>
    </row>
    <row r="154" spans="1:10">
      <c r="A154" s="61" t="s">
        <v>128</v>
      </c>
      <c r="B154" s="68">
        <v>600</v>
      </c>
      <c r="C154" s="68">
        <v>0</v>
      </c>
      <c r="D154" s="68">
        <v>1250</v>
      </c>
      <c r="E154" s="68">
        <v>0</v>
      </c>
      <c r="F154" s="68">
        <v>800</v>
      </c>
      <c r="G154" s="68">
        <v>480</v>
      </c>
      <c r="H154" s="68">
        <v>320</v>
      </c>
      <c r="I154" s="68">
        <v>12300</v>
      </c>
      <c r="J154" s="68">
        <v>0</v>
      </c>
    </row>
    <row r="155" spans="1:10">
      <c r="A155" s="60"/>
      <c r="B155" s="68"/>
      <c r="C155" s="68"/>
      <c r="D155" s="68"/>
      <c r="E155" s="68"/>
      <c r="F155" s="68"/>
      <c r="G155" s="68"/>
      <c r="H155" s="68"/>
      <c r="I155" s="69"/>
      <c r="J155" s="69"/>
    </row>
    <row r="156" spans="1:10" ht="17.25">
      <c r="A156" s="71" t="s">
        <v>129</v>
      </c>
      <c r="B156" s="67">
        <f>+B157+B164+B172+B178+B182+B187+B193+B205+B209+B214</f>
        <v>1011343.014</v>
      </c>
      <c r="C156" s="67">
        <f t="shared" ref="C156:J156" si="28">+C157+C164+C172+C178+C182+C187+C193+C205+C209+C214</f>
        <v>0</v>
      </c>
      <c r="D156" s="67">
        <f t="shared" si="28"/>
        <v>1103903.1154</v>
      </c>
      <c r="E156" s="67">
        <f t="shared" si="28"/>
        <v>523918.78360000002</v>
      </c>
      <c r="F156" s="67">
        <f t="shared" si="28"/>
        <v>451716.11249999999</v>
      </c>
      <c r="G156" s="67">
        <f t="shared" si="28"/>
        <v>356577.00270000001</v>
      </c>
      <c r="H156" s="67">
        <f t="shared" si="28"/>
        <v>123597.7978</v>
      </c>
      <c r="I156" s="67">
        <f t="shared" si="28"/>
        <v>827710.01399999997</v>
      </c>
      <c r="J156" s="67">
        <f t="shared" si="28"/>
        <v>179250</v>
      </c>
    </row>
    <row r="157" spans="1:10">
      <c r="A157" s="72" t="s">
        <v>130</v>
      </c>
      <c r="B157" s="67">
        <f>+SUM(B158:B162)</f>
        <v>43177.724000000002</v>
      </c>
      <c r="C157" s="67">
        <f t="shared" ref="C157:J157" si="29">+SUM(C158:C162)</f>
        <v>0</v>
      </c>
      <c r="D157" s="67">
        <f t="shared" si="29"/>
        <v>204645.66879999998</v>
      </c>
      <c r="E157" s="67">
        <f t="shared" si="29"/>
        <v>132029.55919999999</v>
      </c>
      <c r="F157" s="67">
        <f t="shared" si="29"/>
        <v>12353.199000000001</v>
      </c>
      <c r="G157" s="67">
        <f t="shared" si="29"/>
        <v>34674.079400000002</v>
      </c>
      <c r="H157" s="67">
        <f t="shared" si="29"/>
        <v>4941.2795999999998</v>
      </c>
      <c r="I157" s="67">
        <f t="shared" si="29"/>
        <v>132037.84</v>
      </c>
      <c r="J157" s="67">
        <f t="shared" si="29"/>
        <v>0</v>
      </c>
    </row>
    <row r="158" spans="1:10">
      <c r="A158" s="61" t="s">
        <v>131</v>
      </c>
      <c r="B158" s="68">
        <v>0</v>
      </c>
      <c r="C158" s="68">
        <v>0</v>
      </c>
      <c r="D158" s="68">
        <v>50572.13</v>
      </c>
      <c r="E158" s="68">
        <v>129450</v>
      </c>
      <c r="F158" s="68">
        <v>0</v>
      </c>
      <c r="G158" s="68">
        <v>0</v>
      </c>
      <c r="H158" s="68">
        <v>0</v>
      </c>
      <c r="I158" s="68">
        <v>-54558.25</v>
      </c>
      <c r="J158" s="68">
        <v>0</v>
      </c>
    </row>
    <row r="159" spans="1:10">
      <c r="A159" s="61" t="s">
        <v>132</v>
      </c>
      <c r="B159" s="68">
        <v>5931.8640000000005</v>
      </c>
      <c r="C159" s="68">
        <v>0</v>
      </c>
      <c r="D159" s="68">
        <v>8213.4087999999992</v>
      </c>
      <c r="E159" s="68">
        <v>1779.5592000000001</v>
      </c>
      <c r="F159" s="68">
        <v>2224.4490000000001</v>
      </c>
      <c r="G159" s="68">
        <v>2734.6693999999998</v>
      </c>
      <c r="H159" s="68">
        <v>889.77960000000007</v>
      </c>
      <c r="I159" s="68">
        <v>0</v>
      </c>
      <c r="J159" s="68">
        <v>0</v>
      </c>
    </row>
    <row r="160" spans="1:10">
      <c r="A160" s="61" t="s">
        <v>133</v>
      </c>
      <c r="B160" s="68">
        <v>7955.6900000000005</v>
      </c>
      <c r="C160" s="68">
        <v>0</v>
      </c>
      <c r="D160" s="68">
        <v>8794.35</v>
      </c>
      <c r="E160" s="68">
        <v>0</v>
      </c>
      <c r="F160" s="68">
        <v>7003.75</v>
      </c>
      <c r="G160" s="68">
        <v>4202.25</v>
      </c>
      <c r="H160" s="68">
        <v>2801.5</v>
      </c>
      <c r="I160" s="68">
        <v>0</v>
      </c>
      <c r="J160" s="68">
        <v>0</v>
      </c>
    </row>
    <row r="161" spans="1:10">
      <c r="A161" s="61" t="s">
        <v>134</v>
      </c>
      <c r="B161" s="68">
        <v>300</v>
      </c>
      <c r="C161" s="68">
        <v>0</v>
      </c>
      <c r="D161" s="68">
        <v>52550.55</v>
      </c>
      <c r="E161" s="68">
        <v>0</v>
      </c>
      <c r="F161" s="68">
        <v>0</v>
      </c>
      <c r="G161" s="68">
        <v>25862.16</v>
      </c>
      <c r="H161" s="68">
        <v>0</v>
      </c>
      <c r="I161" s="68">
        <v>0</v>
      </c>
      <c r="J161" s="68">
        <v>0</v>
      </c>
    </row>
    <row r="162" spans="1:10">
      <c r="A162" s="61" t="s">
        <v>135</v>
      </c>
      <c r="B162" s="68">
        <v>28990.17</v>
      </c>
      <c r="C162" s="68">
        <v>0</v>
      </c>
      <c r="D162" s="68">
        <v>84515.23</v>
      </c>
      <c r="E162" s="68">
        <v>800</v>
      </c>
      <c r="F162" s="68">
        <v>3125</v>
      </c>
      <c r="G162" s="68">
        <v>1875</v>
      </c>
      <c r="H162" s="68">
        <v>1250</v>
      </c>
      <c r="I162" s="68">
        <v>186596.09</v>
      </c>
      <c r="J162" s="68">
        <v>0</v>
      </c>
    </row>
    <row r="163" spans="1:10">
      <c r="A163" s="60"/>
      <c r="B163" s="68"/>
      <c r="C163" s="68"/>
      <c r="D163" s="68"/>
      <c r="E163" s="68"/>
      <c r="F163" s="68"/>
      <c r="G163" s="68"/>
      <c r="H163" s="68"/>
      <c r="I163" s="69"/>
      <c r="J163" s="69"/>
    </row>
    <row r="164" spans="1:10">
      <c r="A164" s="72" t="s">
        <v>136</v>
      </c>
      <c r="B164" s="67">
        <f>+SUM(B165:B171)</f>
        <v>54215.928</v>
      </c>
      <c r="C164" s="67">
        <f t="shared" ref="C164:J164" si="30">+SUM(C165:C171)</f>
        <v>0</v>
      </c>
      <c r="D164" s="67">
        <f t="shared" si="30"/>
        <v>89372.398599999986</v>
      </c>
      <c r="E164" s="67">
        <f t="shared" si="30"/>
        <v>10975.312399999999</v>
      </c>
      <c r="F164" s="67">
        <f t="shared" si="30"/>
        <v>6679.6754999999994</v>
      </c>
      <c r="G164" s="67">
        <f t="shared" si="30"/>
        <v>30362.545300000002</v>
      </c>
      <c r="H164" s="67">
        <f t="shared" si="30"/>
        <v>2671.8701999999998</v>
      </c>
      <c r="I164" s="67">
        <f t="shared" si="30"/>
        <v>0</v>
      </c>
      <c r="J164" s="67">
        <f t="shared" si="30"/>
        <v>0</v>
      </c>
    </row>
    <row r="165" spans="1:10">
      <c r="A165" s="61" t="s">
        <v>137</v>
      </c>
      <c r="B165" s="68">
        <v>31812.468000000001</v>
      </c>
      <c r="C165" s="68">
        <v>0</v>
      </c>
      <c r="D165" s="68">
        <v>16462.9686</v>
      </c>
      <c r="E165" s="68">
        <v>10975.312399999999</v>
      </c>
      <c r="F165" s="68">
        <v>6679.6754999999994</v>
      </c>
      <c r="G165" s="68">
        <v>4007.8052999999995</v>
      </c>
      <c r="H165" s="68">
        <v>2671.8701999999998</v>
      </c>
      <c r="I165" s="68">
        <v>0</v>
      </c>
      <c r="J165" s="68">
        <v>0</v>
      </c>
    </row>
    <row r="166" spans="1:10">
      <c r="A166" s="61" t="s">
        <v>138</v>
      </c>
      <c r="B166" s="68">
        <v>0</v>
      </c>
      <c r="C166" s="68">
        <v>0</v>
      </c>
      <c r="D166" s="68">
        <v>51965.279999999999</v>
      </c>
      <c r="E166" s="68">
        <v>0</v>
      </c>
      <c r="F166" s="68">
        <v>0</v>
      </c>
      <c r="G166" s="68">
        <v>24764.74</v>
      </c>
      <c r="H166" s="68">
        <v>0</v>
      </c>
      <c r="I166" s="68">
        <v>0</v>
      </c>
      <c r="J166" s="68">
        <v>0</v>
      </c>
    </row>
    <row r="167" spans="1:10">
      <c r="A167" s="61" t="s">
        <v>139</v>
      </c>
      <c r="B167" s="68">
        <v>0</v>
      </c>
      <c r="C167" s="68">
        <v>0</v>
      </c>
      <c r="D167" s="68">
        <v>0</v>
      </c>
      <c r="E167" s="68">
        <v>0</v>
      </c>
      <c r="F167" s="68">
        <v>0</v>
      </c>
      <c r="G167" s="68">
        <v>0</v>
      </c>
      <c r="H167" s="68">
        <v>0</v>
      </c>
      <c r="I167" s="68">
        <v>0</v>
      </c>
      <c r="J167" s="68">
        <v>0</v>
      </c>
    </row>
    <row r="168" spans="1:10">
      <c r="A168" s="61" t="s">
        <v>140</v>
      </c>
      <c r="B168" s="68">
        <v>0</v>
      </c>
      <c r="C168" s="68">
        <v>0</v>
      </c>
      <c r="D168" s="68">
        <f>3650+10576.58</f>
        <v>14226.58</v>
      </c>
      <c r="E168" s="68">
        <v>0</v>
      </c>
      <c r="F168" s="68">
        <v>0</v>
      </c>
      <c r="G168" s="68">
        <v>1590</v>
      </c>
      <c r="H168" s="68">
        <v>0</v>
      </c>
      <c r="I168" s="68">
        <v>0</v>
      </c>
      <c r="J168" s="68">
        <v>0</v>
      </c>
    </row>
    <row r="169" spans="1:10">
      <c r="A169" s="61" t="s">
        <v>141</v>
      </c>
      <c r="B169" s="68">
        <v>0</v>
      </c>
      <c r="C169" s="68">
        <v>0</v>
      </c>
      <c r="D169" s="68">
        <v>0</v>
      </c>
      <c r="E169" s="68">
        <v>0</v>
      </c>
      <c r="F169" s="68">
        <v>0</v>
      </c>
      <c r="G169" s="68">
        <v>0</v>
      </c>
      <c r="H169" s="68">
        <v>0</v>
      </c>
      <c r="I169" s="68">
        <v>0</v>
      </c>
      <c r="J169" s="68">
        <v>0</v>
      </c>
    </row>
    <row r="170" spans="1:10">
      <c r="A170" s="61" t="s">
        <v>142</v>
      </c>
      <c r="B170" s="68">
        <v>22403.46</v>
      </c>
      <c r="C170" s="68">
        <v>0</v>
      </c>
      <c r="D170" s="68">
        <v>6717.57</v>
      </c>
      <c r="E170" s="68">
        <v>0</v>
      </c>
      <c r="F170" s="68">
        <v>0</v>
      </c>
      <c r="G170" s="68">
        <v>0</v>
      </c>
      <c r="H170" s="68">
        <v>0</v>
      </c>
      <c r="I170" s="68">
        <v>0</v>
      </c>
      <c r="J170" s="68">
        <v>0</v>
      </c>
    </row>
    <row r="171" spans="1:10">
      <c r="A171" s="61" t="s">
        <v>143</v>
      </c>
      <c r="B171" s="68">
        <v>0</v>
      </c>
      <c r="C171" s="68">
        <v>0</v>
      </c>
      <c r="D171" s="68">
        <v>0</v>
      </c>
      <c r="E171" s="68">
        <v>0</v>
      </c>
      <c r="F171" s="68">
        <v>0</v>
      </c>
      <c r="G171" s="68">
        <v>0</v>
      </c>
      <c r="H171" s="68">
        <v>0</v>
      </c>
      <c r="I171" s="68">
        <v>0</v>
      </c>
      <c r="J171" s="68">
        <v>0</v>
      </c>
    </row>
    <row r="172" spans="1:10">
      <c r="A172" s="72" t="s">
        <v>144</v>
      </c>
      <c r="B172" s="67">
        <f>+SUM(B173:B177)</f>
        <v>98620.611999999994</v>
      </c>
      <c r="C172" s="67">
        <f t="shared" ref="C172:J172" si="31">+SUM(C173:C177)</f>
        <v>0</v>
      </c>
      <c r="D172" s="67">
        <f t="shared" si="31"/>
        <v>207595.59940000001</v>
      </c>
      <c r="E172" s="67">
        <f t="shared" si="31"/>
        <v>27702.3596</v>
      </c>
      <c r="F172" s="67">
        <f t="shared" si="31"/>
        <v>25968.229500000001</v>
      </c>
      <c r="G172" s="67">
        <f t="shared" si="31"/>
        <v>114497.83769999999</v>
      </c>
      <c r="H172" s="67">
        <f t="shared" si="31"/>
        <v>10387.291800000001</v>
      </c>
      <c r="I172" s="67">
        <f t="shared" si="31"/>
        <v>65944.600000000006</v>
      </c>
      <c r="J172" s="67">
        <f t="shared" si="31"/>
        <v>0</v>
      </c>
    </row>
    <row r="173" spans="1:10">
      <c r="A173" s="61" t="s">
        <v>145</v>
      </c>
      <c r="B173" s="68">
        <v>20150</v>
      </c>
      <c r="C173" s="68">
        <v>0</v>
      </c>
      <c r="D173" s="68">
        <v>32700</v>
      </c>
      <c r="E173" s="68">
        <v>21800</v>
      </c>
      <c r="F173" s="68">
        <v>18000</v>
      </c>
      <c r="G173" s="68">
        <v>10800</v>
      </c>
      <c r="H173" s="68">
        <v>7200</v>
      </c>
      <c r="I173" s="68">
        <v>0</v>
      </c>
      <c r="J173" s="68">
        <v>0</v>
      </c>
    </row>
    <row r="174" spans="1:10">
      <c r="A174" s="61" t="s">
        <v>146</v>
      </c>
      <c r="B174" s="68">
        <v>0</v>
      </c>
      <c r="C174" s="68">
        <v>0</v>
      </c>
      <c r="D174" s="68">
        <v>0</v>
      </c>
      <c r="E174" s="68">
        <v>0</v>
      </c>
      <c r="F174" s="68">
        <v>0</v>
      </c>
      <c r="G174" s="68">
        <v>0</v>
      </c>
      <c r="H174" s="68">
        <v>0</v>
      </c>
      <c r="I174" s="68">
        <v>0</v>
      </c>
      <c r="J174" s="68">
        <v>0</v>
      </c>
    </row>
    <row r="175" spans="1:10">
      <c r="A175" s="61" t="s">
        <v>230</v>
      </c>
      <c r="B175" s="68">
        <v>0</v>
      </c>
      <c r="C175" s="68">
        <v>0</v>
      </c>
      <c r="D175" s="68">
        <v>114751.5</v>
      </c>
      <c r="E175" s="68">
        <v>0</v>
      </c>
      <c r="F175" s="68">
        <v>0</v>
      </c>
      <c r="G175" s="68">
        <v>68850.899999999994</v>
      </c>
      <c r="H175" s="68">
        <v>0</v>
      </c>
      <c r="I175" s="68">
        <v>45900.600000000006</v>
      </c>
      <c r="J175" s="68">
        <v>0</v>
      </c>
    </row>
    <row r="176" spans="1:10">
      <c r="A176" s="61" t="s">
        <v>231</v>
      </c>
      <c r="B176" s="68">
        <v>0</v>
      </c>
      <c r="C176" s="68">
        <v>0</v>
      </c>
      <c r="D176" s="68">
        <v>50110</v>
      </c>
      <c r="E176" s="68">
        <v>0</v>
      </c>
      <c r="F176" s="68">
        <v>0</v>
      </c>
      <c r="G176" s="68">
        <v>30066</v>
      </c>
      <c r="H176" s="68">
        <v>0</v>
      </c>
      <c r="I176" s="68">
        <v>20044</v>
      </c>
      <c r="J176" s="68">
        <v>0</v>
      </c>
    </row>
    <row r="177" spans="1:10">
      <c r="A177" s="61" t="s">
        <v>232</v>
      </c>
      <c r="B177" s="68">
        <v>78470.611999999994</v>
      </c>
      <c r="C177" s="68">
        <v>0</v>
      </c>
      <c r="D177" s="68">
        <v>10034.099400000001</v>
      </c>
      <c r="E177" s="68">
        <v>5902.3596000000007</v>
      </c>
      <c r="F177" s="68">
        <v>7968.2295000000004</v>
      </c>
      <c r="G177" s="68">
        <v>4780.9376999999995</v>
      </c>
      <c r="H177" s="68">
        <v>3187.2918000000004</v>
      </c>
      <c r="I177" s="68">
        <v>0</v>
      </c>
      <c r="J177" s="68">
        <v>0</v>
      </c>
    </row>
    <row r="178" spans="1:10">
      <c r="A178" s="72" t="s">
        <v>147</v>
      </c>
      <c r="B178" s="67">
        <f>+SUM(B179:B181)</f>
        <v>242901</v>
      </c>
      <c r="C178" s="67">
        <f t="shared" ref="C178:J178" si="32">+SUM(C179:C181)</f>
        <v>0</v>
      </c>
      <c r="D178" s="67">
        <f t="shared" si="32"/>
        <v>151128.342</v>
      </c>
      <c r="E178" s="67">
        <f t="shared" si="32"/>
        <v>100752.228</v>
      </c>
      <c r="F178" s="67">
        <f t="shared" si="32"/>
        <v>102867.5</v>
      </c>
      <c r="G178" s="67">
        <f t="shared" si="32"/>
        <v>49881.999999999993</v>
      </c>
      <c r="H178" s="67">
        <f t="shared" si="32"/>
        <v>28816.2</v>
      </c>
      <c r="I178" s="67">
        <f t="shared" si="32"/>
        <v>293920</v>
      </c>
      <c r="J178" s="67">
        <f t="shared" si="32"/>
        <v>0</v>
      </c>
    </row>
    <row r="179" spans="1:10">
      <c r="A179" s="61" t="s">
        <v>148</v>
      </c>
      <c r="B179" s="68">
        <v>223931</v>
      </c>
      <c r="C179" s="68">
        <v>0</v>
      </c>
      <c r="D179" s="68">
        <v>133608.6</v>
      </c>
      <c r="E179" s="68">
        <v>89072.400000000009</v>
      </c>
      <c r="F179" s="68">
        <v>97267.5</v>
      </c>
      <c r="G179" s="68">
        <v>39864.299999999996</v>
      </c>
      <c r="H179" s="68">
        <v>26576.2</v>
      </c>
      <c r="I179" s="68">
        <v>8807</v>
      </c>
      <c r="J179" s="68">
        <v>0</v>
      </c>
    </row>
    <row r="180" spans="1:10">
      <c r="A180" s="61" t="s">
        <v>149</v>
      </c>
      <c r="B180" s="68">
        <v>18970</v>
      </c>
      <c r="C180" s="68">
        <v>0</v>
      </c>
      <c r="D180" s="68">
        <v>17519.741999999998</v>
      </c>
      <c r="E180" s="68">
        <v>11679.828000000001</v>
      </c>
      <c r="F180" s="68">
        <v>0</v>
      </c>
      <c r="G180" s="68">
        <v>6657.7</v>
      </c>
      <c r="H180" s="68">
        <v>0</v>
      </c>
      <c r="I180" s="68">
        <v>285113</v>
      </c>
      <c r="J180" s="68">
        <v>0</v>
      </c>
    </row>
    <row r="181" spans="1:10">
      <c r="A181" s="61" t="s">
        <v>150</v>
      </c>
      <c r="B181" s="68">
        <v>0</v>
      </c>
      <c r="C181" s="68">
        <v>0</v>
      </c>
      <c r="D181" s="68">
        <v>0</v>
      </c>
      <c r="E181" s="68">
        <v>0</v>
      </c>
      <c r="F181" s="68">
        <v>5600</v>
      </c>
      <c r="G181" s="68">
        <v>3360</v>
      </c>
      <c r="H181" s="68">
        <v>2240</v>
      </c>
      <c r="I181" s="68">
        <v>0</v>
      </c>
      <c r="J181" s="68">
        <v>0</v>
      </c>
    </row>
    <row r="182" spans="1:10">
      <c r="A182" s="72" t="s">
        <v>151</v>
      </c>
      <c r="B182" s="67">
        <f>+SUM(B183:B186)</f>
        <v>51696.945999999996</v>
      </c>
      <c r="C182" s="67">
        <f t="shared" ref="C182:J182" si="33">+SUM(C183:C186)</f>
        <v>0</v>
      </c>
      <c r="D182" s="67">
        <f t="shared" si="33"/>
        <v>55368.3122</v>
      </c>
      <c r="E182" s="67">
        <f t="shared" si="33"/>
        <v>13012.1548</v>
      </c>
      <c r="F182" s="67">
        <f t="shared" si="33"/>
        <v>25756.273500000003</v>
      </c>
      <c r="G182" s="67">
        <f t="shared" si="33"/>
        <v>15453.7641</v>
      </c>
      <c r="H182" s="67">
        <f t="shared" si="33"/>
        <v>10302.509400000001</v>
      </c>
      <c r="I182" s="67">
        <f t="shared" si="33"/>
        <v>13992.41</v>
      </c>
      <c r="J182" s="67">
        <f t="shared" si="33"/>
        <v>0</v>
      </c>
    </row>
    <row r="183" spans="1:10">
      <c r="A183" s="61" t="s">
        <v>152</v>
      </c>
      <c r="B183" s="68">
        <v>2030.5320000000002</v>
      </c>
      <c r="C183" s="68">
        <v>0</v>
      </c>
      <c r="D183" s="68">
        <v>913.73939999999993</v>
      </c>
      <c r="E183" s="68">
        <v>609.15959999999995</v>
      </c>
      <c r="F183" s="68">
        <v>761.44949999999994</v>
      </c>
      <c r="G183" s="68">
        <v>456.86969999999997</v>
      </c>
      <c r="H183" s="68">
        <v>304.57979999999998</v>
      </c>
      <c r="I183" s="68">
        <v>0</v>
      </c>
      <c r="J183" s="68">
        <v>0</v>
      </c>
    </row>
    <row r="184" spans="1:10">
      <c r="A184" s="61" t="s">
        <v>153</v>
      </c>
      <c r="B184" s="68">
        <v>23508.63</v>
      </c>
      <c r="C184" s="68">
        <v>0</v>
      </c>
      <c r="D184" s="68">
        <v>42683.57</v>
      </c>
      <c r="E184" s="68">
        <v>4555.66</v>
      </c>
      <c r="F184" s="68">
        <v>15185.655000000001</v>
      </c>
      <c r="G184" s="68">
        <v>9111.393</v>
      </c>
      <c r="H184" s="68">
        <v>6074.2620000000006</v>
      </c>
      <c r="I184" s="68">
        <v>13992.41</v>
      </c>
      <c r="J184" s="68">
        <v>0</v>
      </c>
    </row>
    <row r="185" spans="1:10">
      <c r="A185" s="61" t="s">
        <v>154</v>
      </c>
      <c r="B185" s="68">
        <v>26157.784</v>
      </c>
      <c r="C185" s="68">
        <v>0</v>
      </c>
      <c r="D185" s="68">
        <v>11771.0028</v>
      </c>
      <c r="E185" s="68">
        <v>7847.3352000000004</v>
      </c>
      <c r="F185" s="68">
        <v>9809.1689999999999</v>
      </c>
      <c r="G185" s="68">
        <v>5885.5014000000001</v>
      </c>
      <c r="H185" s="68">
        <v>3923.6676000000002</v>
      </c>
      <c r="I185" s="68">
        <v>0</v>
      </c>
      <c r="J185" s="68">
        <v>0</v>
      </c>
    </row>
    <row r="186" spans="1:10">
      <c r="A186" s="61" t="s">
        <v>155</v>
      </c>
      <c r="B186" s="68">
        <v>0</v>
      </c>
      <c r="C186" s="68">
        <v>0</v>
      </c>
      <c r="D186" s="68">
        <v>0</v>
      </c>
      <c r="E186" s="68">
        <v>0</v>
      </c>
      <c r="F186" s="68">
        <v>0</v>
      </c>
      <c r="G186" s="68">
        <v>0</v>
      </c>
      <c r="H186" s="68">
        <v>0</v>
      </c>
      <c r="I186" s="68">
        <v>0</v>
      </c>
      <c r="J186" s="68">
        <v>0</v>
      </c>
    </row>
    <row r="187" spans="1:10">
      <c r="A187" s="72" t="s">
        <v>156</v>
      </c>
      <c r="B187" s="67">
        <f>+SUM(B188:B192)</f>
        <v>109666</v>
      </c>
      <c r="C187" s="67">
        <f t="shared" ref="C187:J187" si="34">+SUM(C188:C192)</f>
        <v>0</v>
      </c>
      <c r="D187" s="67">
        <f t="shared" si="34"/>
        <v>5249.6999999999989</v>
      </c>
      <c r="E187" s="67">
        <f t="shared" si="34"/>
        <v>3499.8</v>
      </c>
      <c r="F187" s="67">
        <f t="shared" si="34"/>
        <v>4374.75</v>
      </c>
      <c r="G187" s="67">
        <f t="shared" si="34"/>
        <v>2624.8499999999995</v>
      </c>
      <c r="H187" s="67">
        <f t="shared" si="34"/>
        <v>1749.9</v>
      </c>
      <c r="I187" s="67">
        <f t="shared" si="34"/>
        <v>1874.9999999999995</v>
      </c>
      <c r="J187" s="67">
        <f t="shared" si="34"/>
        <v>1250</v>
      </c>
    </row>
    <row r="188" spans="1:10">
      <c r="A188" s="61" t="s">
        <v>157</v>
      </c>
      <c r="B188" s="68">
        <v>8332.8000000000011</v>
      </c>
      <c r="C188" s="68">
        <v>0</v>
      </c>
      <c r="D188" s="68">
        <v>3749.7599999999993</v>
      </c>
      <c r="E188" s="68">
        <v>2499.84</v>
      </c>
      <c r="F188" s="68">
        <v>3124.7999999999997</v>
      </c>
      <c r="G188" s="68">
        <v>1874.8799999999997</v>
      </c>
      <c r="H188" s="68">
        <v>1249.92</v>
      </c>
      <c r="I188" s="68">
        <v>1874.9999999999995</v>
      </c>
      <c r="J188" s="68">
        <v>1250</v>
      </c>
    </row>
    <row r="189" spans="1:10">
      <c r="A189" s="61" t="s">
        <v>158</v>
      </c>
      <c r="B189" s="68">
        <v>43000</v>
      </c>
      <c r="C189" s="68">
        <v>0</v>
      </c>
      <c r="D189" s="68">
        <v>0</v>
      </c>
      <c r="E189" s="68">
        <v>0</v>
      </c>
      <c r="F189" s="68">
        <v>0</v>
      </c>
      <c r="G189" s="68">
        <v>0</v>
      </c>
      <c r="H189" s="68">
        <v>0</v>
      </c>
      <c r="I189" s="68">
        <v>0</v>
      </c>
      <c r="J189" s="68">
        <v>0</v>
      </c>
    </row>
    <row r="190" spans="1:10">
      <c r="A190" s="61" t="s">
        <v>159</v>
      </c>
      <c r="B190" s="68">
        <v>0</v>
      </c>
      <c r="C190" s="68">
        <v>0</v>
      </c>
      <c r="D190" s="68">
        <v>0</v>
      </c>
      <c r="E190" s="68">
        <v>0</v>
      </c>
      <c r="F190" s="68">
        <v>0</v>
      </c>
      <c r="G190" s="68">
        <v>0</v>
      </c>
      <c r="H190" s="68">
        <v>0</v>
      </c>
      <c r="I190" s="68">
        <v>0</v>
      </c>
      <c r="J190" s="68">
        <v>0</v>
      </c>
    </row>
    <row r="191" spans="1:10">
      <c r="A191" s="61" t="s">
        <v>160</v>
      </c>
      <c r="B191" s="68">
        <v>58333.2</v>
      </c>
      <c r="C191" s="68">
        <v>0</v>
      </c>
      <c r="D191" s="68">
        <v>1499.94</v>
      </c>
      <c r="E191" s="68">
        <v>999.96</v>
      </c>
      <c r="F191" s="68">
        <v>1249.95</v>
      </c>
      <c r="G191" s="68">
        <v>749.97</v>
      </c>
      <c r="H191" s="68">
        <v>499.98</v>
      </c>
      <c r="I191" s="68">
        <v>0</v>
      </c>
      <c r="J191" s="68">
        <v>0</v>
      </c>
    </row>
    <row r="192" spans="1:10">
      <c r="A192" s="61" t="s">
        <v>161</v>
      </c>
      <c r="B192" s="68">
        <v>0</v>
      </c>
      <c r="C192" s="68">
        <v>0</v>
      </c>
      <c r="D192" s="68">
        <v>0</v>
      </c>
      <c r="E192" s="68">
        <v>0</v>
      </c>
      <c r="F192" s="68">
        <v>0</v>
      </c>
      <c r="G192" s="68">
        <v>0</v>
      </c>
      <c r="H192" s="68">
        <v>0</v>
      </c>
      <c r="I192" s="68">
        <v>0</v>
      </c>
      <c r="J192" s="68">
        <v>0</v>
      </c>
    </row>
    <row r="193" spans="1:10">
      <c r="A193" s="72" t="s">
        <v>162</v>
      </c>
      <c r="B193" s="67">
        <f>+SUM(B194:B204)</f>
        <v>97796.771999999983</v>
      </c>
      <c r="C193" s="67">
        <f t="shared" ref="C193:J193" si="35">+SUM(C194:C204)</f>
        <v>0</v>
      </c>
      <c r="D193" s="67">
        <f t="shared" si="35"/>
        <v>88298.400000000009</v>
      </c>
      <c r="E193" s="67">
        <f t="shared" si="35"/>
        <v>11518.08</v>
      </c>
      <c r="F193" s="67">
        <f t="shared" si="35"/>
        <v>78577.163</v>
      </c>
      <c r="G193" s="67">
        <f t="shared" si="35"/>
        <v>14644.055</v>
      </c>
      <c r="H193" s="67">
        <f t="shared" si="35"/>
        <v>7137.3860000000004</v>
      </c>
      <c r="I193" s="67">
        <f t="shared" si="35"/>
        <v>34930.584000000003</v>
      </c>
      <c r="J193" s="67">
        <f t="shared" si="35"/>
        <v>0</v>
      </c>
    </row>
    <row r="194" spans="1:10">
      <c r="A194" s="61" t="s">
        <v>163</v>
      </c>
      <c r="B194" s="68">
        <v>11882.67</v>
      </c>
      <c r="C194" s="68">
        <v>0</v>
      </c>
      <c r="D194" s="68">
        <v>16684.398000000001</v>
      </c>
      <c r="E194" s="68">
        <v>11122.932000000001</v>
      </c>
      <c r="F194" s="68">
        <v>6188.875</v>
      </c>
      <c r="G194" s="68">
        <v>3713.3249999999998</v>
      </c>
      <c r="H194" s="68">
        <v>2475.5500000000002</v>
      </c>
      <c r="I194" s="68">
        <v>0</v>
      </c>
      <c r="J194" s="68">
        <v>0</v>
      </c>
    </row>
    <row r="195" spans="1:10">
      <c r="A195" s="61" t="s">
        <v>164</v>
      </c>
      <c r="B195" s="68">
        <v>106</v>
      </c>
      <c r="C195" s="68">
        <v>0</v>
      </c>
      <c r="D195" s="68">
        <v>47.699999999999996</v>
      </c>
      <c r="E195" s="68">
        <v>31.8</v>
      </c>
      <c r="F195" s="68">
        <v>39.75</v>
      </c>
      <c r="G195" s="68">
        <v>23.849999999999998</v>
      </c>
      <c r="H195" s="68">
        <v>15.9</v>
      </c>
      <c r="I195" s="68">
        <v>230</v>
      </c>
      <c r="J195" s="68">
        <v>0</v>
      </c>
    </row>
    <row r="196" spans="1:10">
      <c r="A196" s="61" t="s">
        <v>233</v>
      </c>
      <c r="B196" s="68">
        <v>0</v>
      </c>
      <c r="C196" s="68">
        <v>0</v>
      </c>
      <c r="D196" s="68">
        <v>0</v>
      </c>
      <c r="E196" s="68">
        <v>0</v>
      </c>
      <c r="F196" s="68">
        <v>1375.06</v>
      </c>
      <c r="G196" s="68">
        <v>825.03599999999994</v>
      </c>
      <c r="H196" s="68">
        <v>550.024</v>
      </c>
      <c r="I196" s="68">
        <v>2166.67</v>
      </c>
      <c r="J196" s="68">
        <v>0</v>
      </c>
    </row>
    <row r="197" spans="1:10">
      <c r="A197" s="61" t="s">
        <v>165</v>
      </c>
      <c r="B197" s="68">
        <v>0</v>
      </c>
      <c r="C197" s="68">
        <v>0</v>
      </c>
      <c r="D197" s="68">
        <v>0</v>
      </c>
      <c r="E197" s="68">
        <v>0</v>
      </c>
      <c r="F197" s="68">
        <v>0</v>
      </c>
      <c r="G197" s="68">
        <v>0</v>
      </c>
      <c r="H197" s="68">
        <v>0</v>
      </c>
      <c r="I197" s="68">
        <v>0</v>
      </c>
      <c r="J197" s="68">
        <v>0</v>
      </c>
    </row>
    <row r="198" spans="1:10">
      <c r="A198" s="61" t="s">
        <v>166</v>
      </c>
      <c r="B198" s="68">
        <v>65569.81</v>
      </c>
      <c r="C198" s="68">
        <v>0</v>
      </c>
      <c r="D198" s="68">
        <v>6354.3959999999997</v>
      </c>
      <c r="E198" s="68">
        <v>376.26400000000001</v>
      </c>
      <c r="F198" s="68">
        <v>58920.639999999999</v>
      </c>
      <c r="G198" s="68">
        <v>2179.21</v>
      </c>
      <c r="H198" s="68">
        <v>1316.14</v>
      </c>
      <c r="I198" s="68">
        <v>25898</v>
      </c>
      <c r="J198" s="68">
        <v>0</v>
      </c>
    </row>
    <row r="199" spans="1:10">
      <c r="A199" s="61" t="s">
        <v>167</v>
      </c>
      <c r="B199" s="68">
        <v>13865.222000000002</v>
      </c>
      <c r="C199" s="68">
        <v>0</v>
      </c>
      <c r="D199" s="68">
        <v>19654.11</v>
      </c>
      <c r="E199" s="68">
        <v>0</v>
      </c>
      <c r="F199" s="68">
        <v>9412.0879999999997</v>
      </c>
      <c r="G199" s="68">
        <v>7107.630000000001</v>
      </c>
      <c r="H199" s="68">
        <v>2250.056</v>
      </c>
      <c r="I199" s="68">
        <v>4643.1139999999996</v>
      </c>
      <c r="J199" s="68">
        <v>0</v>
      </c>
    </row>
    <row r="200" spans="1:10">
      <c r="A200" s="61" t="s">
        <v>168</v>
      </c>
      <c r="B200" s="68">
        <v>1101.7</v>
      </c>
      <c r="C200" s="68">
        <v>0</v>
      </c>
      <c r="D200" s="68">
        <v>7429.01</v>
      </c>
      <c r="E200" s="68">
        <v>0</v>
      </c>
      <c r="F200" s="68">
        <v>2618.5450000000001</v>
      </c>
      <c r="G200" s="68">
        <v>780.63300000000004</v>
      </c>
      <c r="H200" s="68">
        <v>520.42200000000003</v>
      </c>
      <c r="I200" s="68">
        <v>0</v>
      </c>
      <c r="J200" s="68">
        <v>0</v>
      </c>
    </row>
    <row r="201" spans="1:10">
      <c r="A201" s="61" t="s">
        <v>169</v>
      </c>
      <c r="B201" s="68">
        <v>0</v>
      </c>
      <c r="C201" s="68">
        <v>0</v>
      </c>
      <c r="D201" s="68">
        <v>35485.19</v>
      </c>
      <c r="E201" s="68">
        <v>0</v>
      </c>
      <c r="F201" s="68">
        <v>40</v>
      </c>
      <c r="G201" s="68">
        <v>24</v>
      </c>
      <c r="H201" s="68">
        <v>16</v>
      </c>
      <c r="I201" s="68">
        <v>1994</v>
      </c>
      <c r="J201" s="68">
        <v>0</v>
      </c>
    </row>
    <row r="202" spans="1:10">
      <c r="A202" s="61" t="s">
        <v>170</v>
      </c>
      <c r="B202" s="68">
        <v>5315.56</v>
      </c>
      <c r="C202" s="68">
        <v>0</v>
      </c>
      <c r="D202" s="68">
        <v>2660.6</v>
      </c>
      <c r="E202" s="68">
        <v>0</v>
      </c>
      <c r="F202" s="68">
        <v>0</v>
      </c>
      <c r="G202" s="68">
        <v>0</v>
      </c>
      <c r="H202" s="68">
        <v>0</v>
      </c>
      <c r="I202" s="68">
        <v>0</v>
      </c>
      <c r="J202" s="68">
        <v>0</v>
      </c>
    </row>
    <row r="203" spans="1:10">
      <c r="A203" s="61" t="s">
        <v>234</v>
      </c>
      <c r="B203" s="68">
        <v>1.6220000000000003</v>
      </c>
      <c r="C203" s="68">
        <v>0</v>
      </c>
      <c r="D203" s="68">
        <v>3.6114000000000002</v>
      </c>
      <c r="E203" s="68">
        <v>0.82760000000000011</v>
      </c>
      <c r="F203" s="68">
        <v>-0.61549999999999983</v>
      </c>
      <c r="G203" s="68">
        <v>0.67869999999999986</v>
      </c>
      <c r="H203" s="68">
        <v>0.1658</v>
      </c>
      <c r="I203" s="68">
        <v>-1.2</v>
      </c>
      <c r="J203" s="68">
        <v>0</v>
      </c>
    </row>
    <row r="204" spans="1:10">
      <c r="A204" s="61" t="s">
        <v>171</v>
      </c>
      <c r="B204" s="68">
        <v>-45.812000000000005</v>
      </c>
      <c r="C204" s="68">
        <v>0</v>
      </c>
      <c r="D204" s="68">
        <v>-20.615400000000001</v>
      </c>
      <c r="E204" s="68">
        <v>-13.743600000000001</v>
      </c>
      <c r="F204" s="68">
        <v>-17.179500000000001</v>
      </c>
      <c r="G204" s="68">
        <v>-10.307700000000001</v>
      </c>
      <c r="H204" s="68">
        <v>-6.8718000000000004</v>
      </c>
      <c r="I204" s="68">
        <v>0</v>
      </c>
      <c r="J204" s="68">
        <v>0</v>
      </c>
    </row>
    <row r="205" spans="1:10">
      <c r="A205" s="72" t="s">
        <v>172</v>
      </c>
      <c r="B205" s="67">
        <f>+SUM(B206:B208)</f>
        <v>151330.72200000001</v>
      </c>
      <c r="C205" s="67">
        <f t="shared" ref="C205:J205" si="36">+SUM(C206:C208)</f>
        <v>0</v>
      </c>
      <c r="D205" s="67">
        <f t="shared" si="36"/>
        <v>115035.69439999999</v>
      </c>
      <c r="E205" s="67">
        <f t="shared" si="36"/>
        <v>323.28960000000006</v>
      </c>
      <c r="F205" s="67">
        <f t="shared" si="36"/>
        <v>53196.822</v>
      </c>
      <c r="G205" s="67">
        <f t="shared" si="36"/>
        <v>9272.3712000000014</v>
      </c>
      <c r="H205" s="67">
        <f t="shared" si="36"/>
        <v>814.36080000000004</v>
      </c>
      <c r="I205" s="67">
        <f t="shared" si="36"/>
        <v>18009.580000000002</v>
      </c>
      <c r="J205" s="67">
        <f t="shared" si="36"/>
        <v>0</v>
      </c>
    </row>
    <row r="206" spans="1:10">
      <c r="A206" s="61" t="s">
        <v>173</v>
      </c>
      <c r="B206" s="68">
        <v>148648.34</v>
      </c>
      <c r="C206" s="68">
        <v>0</v>
      </c>
      <c r="D206" s="68">
        <v>0</v>
      </c>
      <c r="E206" s="68">
        <v>0</v>
      </c>
      <c r="F206" s="68">
        <v>49979.92</v>
      </c>
      <c r="G206" s="68">
        <v>0</v>
      </c>
      <c r="H206" s="68">
        <v>0</v>
      </c>
      <c r="I206" s="68">
        <v>0</v>
      </c>
      <c r="J206" s="68">
        <v>0</v>
      </c>
    </row>
    <row r="207" spans="1:10">
      <c r="A207" s="61" t="s">
        <v>174</v>
      </c>
      <c r="B207" s="68">
        <v>0</v>
      </c>
      <c r="C207" s="68">
        <v>0</v>
      </c>
      <c r="D207" s="68">
        <v>9733.5</v>
      </c>
      <c r="E207" s="68">
        <v>0</v>
      </c>
      <c r="F207" s="68">
        <v>0</v>
      </c>
      <c r="G207" s="68">
        <v>0</v>
      </c>
      <c r="H207" s="68">
        <v>0</v>
      </c>
      <c r="I207" s="68">
        <v>7415.25</v>
      </c>
      <c r="J207" s="68">
        <v>0</v>
      </c>
    </row>
    <row r="208" spans="1:10">
      <c r="A208" s="61" t="s">
        <v>235</v>
      </c>
      <c r="B208" s="68">
        <v>2682.3820000000005</v>
      </c>
      <c r="C208" s="68">
        <v>0</v>
      </c>
      <c r="D208" s="68">
        <v>105302.19439999999</v>
      </c>
      <c r="E208" s="68">
        <v>323.28960000000006</v>
      </c>
      <c r="F208" s="68">
        <v>3216.902</v>
      </c>
      <c r="G208" s="68">
        <v>9272.3712000000014</v>
      </c>
      <c r="H208" s="68">
        <v>814.36080000000004</v>
      </c>
      <c r="I208" s="68">
        <v>10594.33</v>
      </c>
      <c r="J208" s="68">
        <v>0</v>
      </c>
    </row>
    <row r="209" spans="1:10">
      <c r="A209" s="72" t="s">
        <v>175</v>
      </c>
      <c r="B209" s="67">
        <f>+SUM(B210:B213)</f>
        <v>160737.31</v>
      </c>
      <c r="C209" s="67">
        <f t="shared" ref="C209:J209" si="37">+SUM(C210:C213)</f>
        <v>0</v>
      </c>
      <c r="D209" s="67">
        <f t="shared" si="37"/>
        <v>186159</v>
      </c>
      <c r="E209" s="67">
        <f t="shared" si="37"/>
        <v>224106</v>
      </c>
      <c r="F209" s="67">
        <f t="shared" si="37"/>
        <v>140992.5</v>
      </c>
      <c r="G209" s="67">
        <f t="shared" si="37"/>
        <v>84595.5</v>
      </c>
      <c r="H209" s="67">
        <f t="shared" si="37"/>
        <v>56397</v>
      </c>
      <c r="I209" s="67">
        <f t="shared" si="37"/>
        <v>267000</v>
      </c>
      <c r="J209" s="67">
        <f t="shared" si="37"/>
        <v>178000</v>
      </c>
    </row>
    <row r="210" spans="1:10">
      <c r="A210" s="61" t="s">
        <v>176</v>
      </c>
      <c r="B210" s="68">
        <v>0</v>
      </c>
      <c r="C210" s="68">
        <v>0</v>
      </c>
      <c r="D210" s="68">
        <v>0</v>
      </c>
      <c r="E210" s="68">
        <v>100000</v>
      </c>
      <c r="F210" s="68">
        <v>0</v>
      </c>
      <c r="G210" s="68">
        <v>0</v>
      </c>
      <c r="H210" s="68">
        <v>0</v>
      </c>
      <c r="I210" s="68">
        <v>0</v>
      </c>
      <c r="J210" s="68">
        <v>0</v>
      </c>
    </row>
    <row r="211" spans="1:10">
      <c r="A211" s="61" t="s">
        <v>177</v>
      </c>
      <c r="B211" s="68">
        <v>0</v>
      </c>
      <c r="C211" s="68">
        <v>0</v>
      </c>
      <c r="D211" s="68">
        <v>186159</v>
      </c>
      <c r="E211" s="68">
        <v>124106</v>
      </c>
      <c r="F211" s="68">
        <v>0</v>
      </c>
      <c r="G211" s="68">
        <v>70195.5</v>
      </c>
      <c r="H211" s="68">
        <v>46797</v>
      </c>
      <c r="I211" s="68">
        <v>267000</v>
      </c>
      <c r="J211" s="68">
        <v>178000</v>
      </c>
    </row>
    <row r="212" spans="1:10">
      <c r="A212" s="61" t="s">
        <v>178</v>
      </c>
      <c r="B212" s="68">
        <v>87450.31</v>
      </c>
      <c r="C212" s="68">
        <v>0</v>
      </c>
      <c r="D212" s="68">
        <v>0</v>
      </c>
      <c r="E212" s="68">
        <v>0</v>
      </c>
      <c r="F212" s="68">
        <v>116992.5</v>
      </c>
      <c r="G212" s="68">
        <v>0</v>
      </c>
      <c r="H212" s="68">
        <v>0</v>
      </c>
      <c r="I212" s="68">
        <v>0</v>
      </c>
      <c r="J212" s="68">
        <v>0</v>
      </c>
    </row>
    <row r="213" spans="1:10">
      <c r="A213" s="61" t="s">
        <v>179</v>
      </c>
      <c r="B213" s="68">
        <v>73287</v>
      </c>
      <c r="C213" s="68">
        <v>0</v>
      </c>
      <c r="D213" s="68">
        <v>0</v>
      </c>
      <c r="E213" s="68">
        <v>0</v>
      </c>
      <c r="F213" s="68">
        <v>24000</v>
      </c>
      <c r="G213" s="68">
        <v>14400</v>
      </c>
      <c r="H213" s="68">
        <v>9600</v>
      </c>
      <c r="I213" s="68">
        <v>0</v>
      </c>
      <c r="J213" s="68">
        <v>0</v>
      </c>
    </row>
    <row r="214" spans="1:10">
      <c r="A214" s="72" t="s">
        <v>180</v>
      </c>
      <c r="B214" s="67">
        <f>+SUM(B215:B216)</f>
        <v>1200</v>
      </c>
      <c r="C214" s="67">
        <f t="shared" ref="C214:J214" si="38">+SUM(C215:C216)</f>
        <v>0</v>
      </c>
      <c r="D214" s="67">
        <f t="shared" si="38"/>
        <v>1050</v>
      </c>
      <c r="E214" s="67">
        <f t="shared" si="38"/>
        <v>0</v>
      </c>
      <c r="F214" s="67">
        <f t="shared" si="38"/>
        <v>950</v>
      </c>
      <c r="G214" s="67">
        <f t="shared" si="38"/>
        <v>570</v>
      </c>
      <c r="H214" s="67">
        <f t="shared" si="38"/>
        <v>380</v>
      </c>
      <c r="I214" s="67">
        <f t="shared" si="38"/>
        <v>0</v>
      </c>
      <c r="J214" s="67">
        <f t="shared" si="38"/>
        <v>0</v>
      </c>
    </row>
    <row r="215" spans="1:10">
      <c r="A215" s="61" t="s">
        <v>181</v>
      </c>
      <c r="B215" s="68">
        <v>0</v>
      </c>
      <c r="C215" s="68">
        <v>0</v>
      </c>
      <c r="D215" s="68">
        <v>0</v>
      </c>
      <c r="E215" s="68">
        <v>0</v>
      </c>
      <c r="F215" s="68">
        <v>0</v>
      </c>
      <c r="G215" s="68">
        <v>0</v>
      </c>
      <c r="H215" s="68">
        <v>0</v>
      </c>
      <c r="I215" s="68">
        <v>0</v>
      </c>
      <c r="J215" s="68">
        <v>0</v>
      </c>
    </row>
    <row r="216" spans="1:10">
      <c r="A216" s="61" t="s">
        <v>182</v>
      </c>
      <c r="B216" s="68">
        <v>1200</v>
      </c>
      <c r="C216" s="68">
        <v>0</v>
      </c>
      <c r="D216" s="68">
        <v>1050</v>
      </c>
      <c r="E216" s="68">
        <v>0</v>
      </c>
      <c r="F216" s="68">
        <v>950</v>
      </c>
      <c r="G216" s="68">
        <v>570</v>
      </c>
      <c r="H216" s="68">
        <v>380</v>
      </c>
      <c r="I216" s="68">
        <v>0</v>
      </c>
      <c r="J216" s="68">
        <v>0</v>
      </c>
    </row>
    <row r="217" spans="1:10">
      <c r="A217" s="60"/>
      <c r="B217" s="68"/>
      <c r="C217" s="68"/>
      <c r="D217" s="68"/>
      <c r="E217" s="68"/>
      <c r="F217" s="68"/>
      <c r="G217" s="68"/>
      <c r="H217" s="68"/>
      <c r="I217" s="69"/>
      <c r="J217" s="69"/>
    </row>
    <row r="218" spans="1:10" ht="17.25">
      <c r="A218" s="70" t="s">
        <v>183</v>
      </c>
      <c r="B218" s="67">
        <f>+B219+B223+B227</f>
        <v>533005.2469041096</v>
      </c>
      <c r="C218" s="67">
        <f t="shared" ref="C218:J218" si="39">+C219+C223+C227</f>
        <v>0</v>
      </c>
      <c r="D218" s="67">
        <f t="shared" si="39"/>
        <v>26741.413800000002</v>
      </c>
      <c r="E218" s="67">
        <f t="shared" si="39"/>
        <v>17827.609200000003</v>
      </c>
      <c r="F218" s="67">
        <f t="shared" si="39"/>
        <v>284157.12749999994</v>
      </c>
      <c r="G218" s="67">
        <f t="shared" si="39"/>
        <v>13370.706900000001</v>
      </c>
      <c r="H218" s="67">
        <f t="shared" si="39"/>
        <v>8913.8046000000013</v>
      </c>
      <c r="I218" s="67">
        <f t="shared" si="39"/>
        <v>0</v>
      </c>
      <c r="J218" s="67">
        <f t="shared" si="39"/>
        <v>0</v>
      </c>
    </row>
    <row r="219" spans="1:10">
      <c r="A219" s="72" t="s">
        <v>184</v>
      </c>
      <c r="B219" s="67">
        <f>+SUM(B220:B222)</f>
        <v>471219.88290410955</v>
      </c>
      <c r="C219" s="67">
        <f t="shared" ref="C219:J219" si="40">+SUM(C220:C222)</f>
        <v>0</v>
      </c>
      <c r="D219" s="67">
        <f t="shared" si="40"/>
        <v>0</v>
      </c>
      <c r="E219" s="67">
        <f t="shared" si="40"/>
        <v>0</v>
      </c>
      <c r="F219" s="67">
        <f t="shared" si="40"/>
        <v>261872.61599999998</v>
      </c>
      <c r="G219" s="67">
        <f t="shared" si="40"/>
        <v>0</v>
      </c>
      <c r="H219" s="67">
        <f t="shared" si="40"/>
        <v>0</v>
      </c>
      <c r="I219" s="67">
        <f t="shared" si="40"/>
        <v>0</v>
      </c>
      <c r="J219" s="67">
        <f t="shared" si="40"/>
        <v>0</v>
      </c>
    </row>
    <row r="220" spans="1:10">
      <c r="A220" s="61" t="s">
        <v>185</v>
      </c>
      <c r="B220" s="68">
        <v>78410.95890410959</v>
      </c>
      <c r="C220" s="68">
        <v>0</v>
      </c>
      <c r="D220" s="68">
        <v>0</v>
      </c>
      <c r="E220" s="68">
        <v>0</v>
      </c>
      <c r="F220" s="68">
        <v>0</v>
      </c>
      <c r="G220" s="68">
        <v>0</v>
      </c>
      <c r="H220" s="68">
        <v>0</v>
      </c>
      <c r="I220" s="68">
        <v>0</v>
      </c>
      <c r="J220" s="68">
        <v>0</v>
      </c>
    </row>
    <row r="221" spans="1:10">
      <c r="A221" s="61" t="s">
        <v>236</v>
      </c>
      <c r="B221" s="68">
        <v>199518.6</v>
      </c>
      <c r="C221" s="68">
        <v>0</v>
      </c>
      <c r="D221" s="68">
        <v>0</v>
      </c>
      <c r="E221" s="68">
        <v>0</v>
      </c>
      <c r="F221" s="68">
        <v>133012.4</v>
      </c>
      <c r="G221" s="68">
        <v>0</v>
      </c>
      <c r="H221" s="68">
        <v>0</v>
      </c>
      <c r="I221" s="68">
        <v>0</v>
      </c>
      <c r="J221" s="68">
        <v>0</v>
      </c>
    </row>
    <row r="222" spans="1:10">
      <c r="A222" s="61" t="s">
        <v>237</v>
      </c>
      <c r="B222" s="68">
        <v>193290.32399999999</v>
      </c>
      <c r="C222" s="68">
        <v>0</v>
      </c>
      <c r="D222" s="68">
        <v>0</v>
      </c>
      <c r="E222" s="68">
        <v>0</v>
      </c>
      <c r="F222" s="68">
        <v>128860.216</v>
      </c>
      <c r="G222" s="68">
        <v>0</v>
      </c>
      <c r="H222" s="68">
        <v>0</v>
      </c>
      <c r="I222" s="68">
        <v>0</v>
      </c>
      <c r="J222" s="68">
        <v>0</v>
      </c>
    </row>
    <row r="223" spans="1:10">
      <c r="A223" s="72" t="s">
        <v>186</v>
      </c>
      <c r="B223" s="67">
        <f>+SUM(B224:B226)</f>
        <v>49753.76400000001</v>
      </c>
      <c r="C223" s="67">
        <f t="shared" ref="C223:J223" si="41">+SUM(C224:C226)</f>
        <v>0</v>
      </c>
      <c r="D223" s="67">
        <f t="shared" si="41"/>
        <v>21327.193800000001</v>
      </c>
      <c r="E223" s="67">
        <f t="shared" si="41"/>
        <v>14218.129200000003</v>
      </c>
      <c r="F223" s="67">
        <f t="shared" si="41"/>
        <v>17772.661500000002</v>
      </c>
      <c r="G223" s="67">
        <f t="shared" si="41"/>
        <v>10663.5969</v>
      </c>
      <c r="H223" s="67">
        <f t="shared" si="41"/>
        <v>7109.0646000000015</v>
      </c>
      <c r="I223" s="67">
        <f t="shared" si="41"/>
        <v>0</v>
      </c>
      <c r="J223" s="67">
        <f t="shared" si="41"/>
        <v>0</v>
      </c>
    </row>
    <row r="224" spans="1:10">
      <c r="A224" s="61" t="s">
        <v>187</v>
      </c>
      <c r="B224" s="68">
        <v>49753.76400000001</v>
      </c>
      <c r="C224" s="68">
        <v>0</v>
      </c>
      <c r="D224" s="68">
        <v>21327.193800000001</v>
      </c>
      <c r="E224" s="68">
        <v>14218.129200000003</v>
      </c>
      <c r="F224" s="68">
        <v>17772.661500000002</v>
      </c>
      <c r="G224" s="68">
        <v>10663.5969</v>
      </c>
      <c r="H224" s="68">
        <v>7109.0646000000015</v>
      </c>
      <c r="I224" s="68">
        <v>0</v>
      </c>
      <c r="J224" s="68">
        <v>0</v>
      </c>
    </row>
    <row r="225" spans="1:10">
      <c r="A225" s="61" t="s">
        <v>188</v>
      </c>
      <c r="B225" s="68">
        <v>0</v>
      </c>
      <c r="C225" s="68">
        <v>0</v>
      </c>
      <c r="D225" s="68">
        <v>0</v>
      </c>
      <c r="E225" s="68">
        <v>0</v>
      </c>
      <c r="F225" s="68">
        <v>0</v>
      </c>
      <c r="G225" s="68">
        <v>0</v>
      </c>
      <c r="H225" s="68">
        <v>0</v>
      </c>
      <c r="I225" s="68">
        <v>0</v>
      </c>
      <c r="J225" s="68">
        <v>0</v>
      </c>
    </row>
    <row r="226" spans="1:10">
      <c r="A226" s="61" t="s">
        <v>189</v>
      </c>
      <c r="B226" s="68">
        <v>0</v>
      </c>
      <c r="C226" s="68">
        <v>0</v>
      </c>
      <c r="D226" s="68">
        <v>0</v>
      </c>
      <c r="E226" s="68">
        <v>0</v>
      </c>
      <c r="F226" s="68">
        <v>0</v>
      </c>
      <c r="G226" s="68">
        <v>0</v>
      </c>
      <c r="H226" s="68">
        <v>0</v>
      </c>
      <c r="I226" s="68">
        <v>0</v>
      </c>
      <c r="J226" s="68">
        <v>0</v>
      </c>
    </row>
    <row r="227" spans="1:10">
      <c r="A227" s="72" t="s">
        <v>190</v>
      </c>
      <c r="B227" s="67">
        <f>+SUM(B228:B229)</f>
        <v>12031.6</v>
      </c>
      <c r="C227" s="67">
        <f t="shared" ref="C227:J227" si="42">+SUM(C228:C229)</f>
        <v>0</v>
      </c>
      <c r="D227" s="67">
        <f t="shared" si="42"/>
        <v>5414.2199999999993</v>
      </c>
      <c r="E227" s="67">
        <f t="shared" si="42"/>
        <v>3609.4799999999996</v>
      </c>
      <c r="F227" s="67">
        <f t="shared" si="42"/>
        <v>4511.8499999999995</v>
      </c>
      <c r="G227" s="67">
        <f t="shared" si="42"/>
        <v>2707.1099999999997</v>
      </c>
      <c r="H227" s="67">
        <f t="shared" si="42"/>
        <v>1804.7399999999998</v>
      </c>
      <c r="I227" s="67">
        <f t="shared" si="42"/>
        <v>0</v>
      </c>
      <c r="J227" s="67">
        <f t="shared" si="42"/>
        <v>0</v>
      </c>
    </row>
    <row r="228" spans="1:10">
      <c r="A228" s="61" t="s">
        <v>191</v>
      </c>
      <c r="B228" s="68">
        <v>0</v>
      </c>
      <c r="C228" s="68">
        <v>0</v>
      </c>
      <c r="D228" s="68">
        <v>0</v>
      </c>
      <c r="E228" s="68">
        <v>0</v>
      </c>
      <c r="F228" s="68">
        <v>0</v>
      </c>
      <c r="G228" s="68">
        <v>0</v>
      </c>
      <c r="H228" s="68">
        <v>0</v>
      </c>
      <c r="I228" s="68">
        <v>0</v>
      </c>
      <c r="J228" s="68">
        <v>0</v>
      </c>
    </row>
    <row r="229" spans="1:10">
      <c r="A229" s="61" t="s">
        <v>192</v>
      </c>
      <c r="B229" s="68">
        <v>12031.6</v>
      </c>
      <c r="C229" s="68">
        <v>0</v>
      </c>
      <c r="D229" s="68">
        <v>5414.2199999999993</v>
      </c>
      <c r="E229" s="68">
        <v>3609.4799999999996</v>
      </c>
      <c r="F229" s="68">
        <v>4511.8499999999995</v>
      </c>
      <c r="G229" s="68">
        <v>2707.1099999999997</v>
      </c>
      <c r="H229" s="68">
        <v>1804.7399999999998</v>
      </c>
      <c r="I229" s="68">
        <v>0</v>
      </c>
      <c r="J229" s="68">
        <v>0</v>
      </c>
    </row>
    <row r="230" spans="1:10">
      <c r="A230" s="64" t="s">
        <v>193</v>
      </c>
      <c r="B230" s="67">
        <f>+B75+B104+B115+B156+B218</f>
        <v>8152174.3063213853</v>
      </c>
      <c r="C230" s="67">
        <f t="shared" ref="C230:J230" si="43">+C75+C104+C115+C156+C218</f>
        <v>40150</v>
      </c>
      <c r="D230" s="67">
        <f t="shared" si="43"/>
        <v>3361708.4161195145</v>
      </c>
      <c r="E230" s="67">
        <f t="shared" si="43"/>
        <v>1115383.1380133547</v>
      </c>
      <c r="F230" s="67">
        <f t="shared" si="43"/>
        <v>3694321.9375575637</v>
      </c>
      <c r="G230" s="67">
        <f t="shared" si="43"/>
        <v>1554174.9009489852</v>
      </c>
      <c r="H230" s="67">
        <f t="shared" si="43"/>
        <v>345918.51522126066</v>
      </c>
      <c r="I230" s="67">
        <f t="shared" si="43"/>
        <v>1594137.8491025642</v>
      </c>
      <c r="J230" s="67">
        <f t="shared" si="43"/>
        <v>299371.52607692307</v>
      </c>
    </row>
    <row r="231" spans="1:10">
      <c r="A231" s="73" t="s">
        <v>58</v>
      </c>
      <c r="B231" s="115">
        <f>+IFERROR(B230/B70,0)</f>
        <v>6.8123997292332733E-2</v>
      </c>
      <c r="C231" s="115">
        <f t="shared" ref="C231:J231" si="44">+IFERROR(C230/C70,0)</f>
        <v>3.8384322324598152E-2</v>
      </c>
      <c r="D231" s="115">
        <f t="shared" si="44"/>
        <v>0.21897315758456384</v>
      </c>
      <c r="E231" s="115">
        <f t="shared" si="44"/>
        <v>0.14815019895811438</v>
      </c>
      <c r="F231" s="115">
        <f t="shared" si="44"/>
        <v>8.2660855692379007E-2</v>
      </c>
      <c r="G231" s="115">
        <f t="shared" si="44"/>
        <v>0.17971443538412166</v>
      </c>
      <c r="H231" s="115">
        <f t="shared" si="44"/>
        <v>0.20209183653999158</v>
      </c>
      <c r="I231" s="115">
        <f t="shared" si="44"/>
        <v>0.4750622632347612</v>
      </c>
      <c r="J231" s="115">
        <f t="shared" si="44"/>
        <v>0.1323163959045511</v>
      </c>
    </row>
    <row r="232" spans="1:10">
      <c r="A232" s="21"/>
      <c r="B232" s="69"/>
      <c r="C232" s="69"/>
      <c r="D232" s="69"/>
      <c r="E232" s="69"/>
      <c r="F232" s="69"/>
      <c r="G232" s="69"/>
      <c r="H232" s="69"/>
      <c r="I232" s="69"/>
      <c r="J232" s="69"/>
    </row>
    <row r="233" spans="1:10">
      <c r="A233" s="64" t="s">
        <v>194</v>
      </c>
      <c r="B233" s="67">
        <f>+B71-B230</f>
        <v>-632282.31432138477</v>
      </c>
      <c r="C233" s="67">
        <f t="shared" ref="C233:J233" si="45">+C71-C230</f>
        <v>361216.54999999993</v>
      </c>
      <c r="D233" s="67">
        <f t="shared" si="45"/>
        <v>2605771.9713815995</v>
      </c>
      <c r="E233" s="67">
        <f t="shared" si="45"/>
        <v>1934945.8355866463</v>
      </c>
      <c r="F233" s="67">
        <f t="shared" si="45"/>
        <v>-931493.18555756379</v>
      </c>
      <c r="G233" s="67">
        <f t="shared" si="45"/>
        <v>2410104.6068896977</v>
      </c>
      <c r="H233" s="67">
        <f t="shared" si="45"/>
        <v>336237.33557873924</v>
      </c>
      <c r="I233" s="67">
        <f t="shared" si="45"/>
        <v>85560.355788289336</v>
      </c>
      <c r="J233" s="67">
        <f t="shared" si="45"/>
        <v>405347.92192307702</v>
      </c>
    </row>
    <row r="234" spans="1:10">
      <c r="A234" s="73" t="s">
        <v>58</v>
      </c>
      <c r="B234" s="115">
        <f>IFERROR(B233/B70,0)</f>
        <v>-5.2836945151454404E-3</v>
      </c>
      <c r="C234" s="115">
        <f t="shared" ref="C234:J234" si="46">IFERROR(C233/C70,0)</f>
        <v>0.34533131965577391</v>
      </c>
      <c r="D234" s="115">
        <f t="shared" si="46"/>
        <v>0.16973337538222025</v>
      </c>
      <c r="E234" s="115">
        <f t="shared" si="46"/>
        <v>0.25700819812097986</v>
      </c>
      <c r="F234" s="115">
        <f t="shared" si="46"/>
        <v>-2.084226147348547E-2</v>
      </c>
      <c r="G234" s="115">
        <f t="shared" si="46"/>
        <v>0.27868844644150492</v>
      </c>
      <c r="H234" s="115">
        <f t="shared" si="46"/>
        <v>0.19643591675616823</v>
      </c>
      <c r="I234" s="115">
        <f t="shared" si="46"/>
        <v>2.5497478958195794E-2</v>
      </c>
      <c r="J234" s="115">
        <f t="shared" si="46"/>
        <v>0.17915590309841192</v>
      </c>
    </row>
    <row r="235" spans="1:10">
      <c r="A235" s="60"/>
      <c r="B235" s="68"/>
      <c r="C235" s="68"/>
      <c r="D235" s="68"/>
      <c r="E235" s="68"/>
      <c r="F235" s="68"/>
      <c r="G235" s="68"/>
      <c r="H235" s="68"/>
      <c r="I235" s="69"/>
      <c r="J235" s="69"/>
    </row>
    <row r="236" spans="1:10" ht="17.25">
      <c r="A236" s="70" t="s">
        <v>195</v>
      </c>
      <c r="B236" s="67">
        <f t="shared" ref="B236:J236" si="47">+SUM(B237:B239)</f>
        <v>148251.5258</v>
      </c>
      <c r="C236" s="67">
        <f t="shared" si="47"/>
        <v>0</v>
      </c>
      <c r="D236" s="67">
        <f t="shared" si="47"/>
        <v>422577.90577999997</v>
      </c>
      <c r="E236" s="67">
        <f t="shared" si="47"/>
        <v>28051.270520000002</v>
      </c>
      <c r="F236" s="67">
        <f t="shared" si="47"/>
        <v>160660.81394999998</v>
      </c>
      <c r="G236" s="67">
        <f t="shared" si="47"/>
        <v>96396.488369999992</v>
      </c>
      <c r="H236" s="67">
        <f t="shared" si="47"/>
        <v>64264.325580000004</v>
      </c>
      <c r="I236" s="67">
        <f t="shared" si="47"/>
        <v>0</v>
      </c>
      <c r="J236" s="67">
        <f t="shared" si="47"/>
        <v>0</v>
      </c>
    </row>
    <row r="237" spans="1:10">
      <c r="A237" s="61" t="s">
        <v>196</v>
      </c>
      <c r="B237" s="68">
        <v>0</v>
      </c>
      <c r="C237" s="68">
        <v>0</v>
      </c>
      <c r="D237" s="68">
        <v>380501</v>
      </c>
      <c r="E237" s="68">
        <v>0</v>
      </c>
      <c r="F237" s="68">
        <v>0</v>
      </c>
      <c r="G237" s="68">
        <v>0</v>
      </c>
      <c r="H237" s="68">
        <v>0</v>
      </c>
      <c r="I237" s="68">
        <v>0</v>
      </c>
      <c r="J237" s="68">
        <v>0</v>
      </c>
    </row>
    <row r="238" spans="1:10">
      <c r="A238" s="61" t="s">
        <v>197</v>
      </c>
      <c r="B238" s="68">
        <v>125596.72580000001</v>
      </c>
      <c r="C238" s="68">
        <v>0</v>
      </c>
      <c r="D238" s="68">
        <v>31882.245779999997</v>
      </c>
      <c r="E238" s="68">
        <v>21254.830520000003</v>
      </c>
      <c r="F238" s="68">
        <v>152165.26394999999</v>
      </c>
      <c r="G238" s="68">
        <v>91299.15836999999</v>
      </c>
      <c r="H238" s="68">
        <v>60866.105580000003</v>
      </c>
      <c r="I238" s="68">
        <v>0</v>
      </c>
      <c r="J238" s="68">
        <v>0</v>
      </c>
    </row>
    <row r="239" spans="1:10">
      <c r="A239" s="61" t="s">
        <v>198</v>
      </c>
      <c r="B239" s="68">
        <v>22654.800000000003</v>
      </c>
      <c r="C239" s="68">
        <v>0</v>
      </c>
      <c r="D239" s="68">
        <v>10194.659999999998</v>
      </c>
      <c r="E239" s="68">
        <v>6796.44</v>
      </c>
      <c r="F239" s="68">
        <v>8495.5499999999993</v>
      </c>
      <c r="G239" s="68">
        <v>5097.329999999999</v>
      </c>
      <c r="H239" s="68">
        <v>3398.22</v>
      </c>
      <c r="I239" s="68">
        <v>0</v>
      </c>
      <c r="J239" s="68">
        <v>0</v>
      </c>
    </row>
    <row r="240" spans="1:10">
      <c r="A240" s="60"/>
      <c r="B240" s="68"/>
      <c r="C240" s="68"/>
      <c r="D240" s="68"/>
      <c r="E240" s="68"/>
      <c r="F240" s="68"/>
      <c r="G240" s="68"/>
      <c r="H240" s="68"/>
      <c r="I240" s="69"/>
      <c r="J240" s="69"/>
    </row>
    <row r="241" spans="1:10" ht="17.25">
      <c r="A241" s="70" t="s">
        <v>199</v>
      </c>
      <c r="B241" s="67">
        <f>+SUM(B242:B248)</f>
        <v>952163.96462113166</v>
      </c>
      <c r="C241" s="67">
        <f t="shared" ref="C241:J241" si="48">+SUM(C242:C248)</f>
        <v>0</v>
      </c>
      <c r="D241" s="67">
        <f t="shared" si="48"/>
        <v>675475.61596874997</v>
      </c>
      <c r="E241" s="67">
        <f t="shared" si="48"/>
        <v>386326.71292708302</v>
      </c>
      <c r="F241" s="67">
        <f t="shared" si="48"/>
        <v>433516.25836428563</v>
      </c>
      <c r="G241" s="67">
        <f t="shared" si="48"/>
        <v>241812.14353571442</v>
      </c>
      <c r="H241" s="67">
        <f t="shared" si="48"/>
        <v>155829.26235714319</v>
      </c>
      <c r="I241" s="67">
        <f t="shared" si="48"/>
        <v>702927.25199999998</v>
      </c>
      <c r="J241" s="67">
        <f t="shared" si="48"/>
        <v>468618.16800000001</v>
      </c>
    </row>
    <row r="242" spans="1:10">
      <c r="A242" s="61" t="s">
        <v>200</v>
      </c>
      <c r="B242" s="68">
        <v>0</v>
      </c>
      <c r="C242" s="68">
        <v>0</v>
      </c>
      <c r="D242" s="68">
        <v>0</v>
      </c>
      <c r="E242" s="68">
        <v>0</v>
      </c>
      <c r="F242" s="68">
        <v>0</v>
      </c>
      <c r="G242" s="68">
        <v>0</v>
      </c>
      <c r="H242" s="68">
        <v>0</v>
      </c>
      <c r="I242" s="68">
        <v>0</v>
      </c>
      <c r="J242" s="68">
        <v>0</v>
      </c>
    </row>
    <row r="243" spans="1:10">
      <c r="A243" s="61" t="s">
        <v>238</v>
      </c>
      <c r="B243" s="68">
        <v>952163.96462113166</v>
      </c>
      <c r="C243" s="68">
        <v>0</v>
      </c>
      <c r="D243" s="68">
        <v>675475.61596874997</v>
      </c>
      <c r="E243" s="68">
        <v>386326.71292708302</v>
      </c>
      <c r="F243" s="68">
        <v>433516.25836428563</v>
      </c>
      <c r="G243" s="68">
        <v>241812.14353571442</v>
      </c>
      <c r="H243" s="68">
        <v>155829.26235714319</v>
      </c>
      <c r="I243" s="68">
        <v>702927.25199999998</v>
      </c>
      <c r="J243" s="68">
        <v>468618.16800000001</v>
      </c>
    </row>
    <row r="244" spans="1:10">
      <c r="A244" s="61" t="s">
        <v>239</v>
      </c>
      <c r="B244" s="68">
        <v>0</v>
      </c>
      <c r="C244" s="68">
        <v>0</v>
      </c>
      <c r="D244" s="68">
        <v>0</v>
      </c>
      <c r="E244" s="68">
        <v>0</v>
      </c>
      <c r="F244" s="68">
        <v>0</v>
      </c>
      <c r="G244" s="68">
        <v>0</v>
      </c>
      <c r="H244" s="68">
        <v>0</v>
      </c>
      <c r="I244" s="68">
        <v>0</v>
      </c>
      <c r="J244" s="68">
        <v>0</v>
      </c>
    </row>
    <row r="245" spans="1:10">
      <c r="A245" s="61" t="s">
        <v>240</v>
      </c>
      <c r="B245" s="68">
        <v>0</v>
      </c>
      <c r="C245" s="68">
        <v>0</v>
      </c>
      <c r="D245" s="68">
        <v>0</v>
      </c>
      <c r="E245" s="68">
        <v>0</v>
      </c>
      <c r="F245" s="68">
        <v>0</v>
      </c>
      <c r="G245" s="68">
        <v>0</v>
      </c>
      <c r="H245" s="68">
        <v>0</v>
      </c>
      <c r="I245" s="68">
        <v>0</v>
      </c>
      <c r="J245" s="68">
        <v>0</v>
      </c>
    </row>
    <row r="246" spans="1:10">
      <c r="A246" s="61" t="s">
        <v>241</v>
      </c>
      <c r="B246" s="68">
        <v>0</v>
      </c>
      <c r="C246" s="68">
        <v>0</v>
      </c>
      <c r="D246" s="68">
        <v>0</v>
      </c>
      <c r="E246" s="68">
        <v>0</v>
      </c>
      <c r="F246" s="68">
        <v>0</v>
      </c>
      <c r="G246" s="68">
        <v>0</v>
      </c>
      <c r="H246" s="68">
        <v>0</v>
      </c>
      <c r="I246" s="68">
        <v>0</v>
      </c>
      <c r="J246" s="68">
        <v>0</v>
      </c>
    </row>
    <row r="247" spans="1:10">
      <c r="A247" s="61" t="s">
        <v>242</v>
      </c>
      <c r="B247" s="68">
        <v>0</v>
      </c>
      <c r="C247" s="68">
        <v>0</v>
      </c>
      <c r="D247" s="68">
        <v>0</v>
      </c>
      <c r="E247" s="68">
        <v>0</v>
      </c>
      <c r="F247" s="68">
        <v>0</v>
      </c>
      <c r="G247" s="68">
        <v>0</v>
      </c>
      <c r="H247" s="68">
        <v>0</v>
      </c>
      <c r="I247" s="68">
        <v>0</v>
      </c>
      <c r="J247" s="68">
        <v>0</v>
      </c>
    </row>
    <row r="248" spans="1:10">
      <c r="A248" s="60"/>
      <c r="B248" s="68"/>
      <c r="C248" s="68"/>
      <c r="D248" s="68"/>
      <c r="E248" s="68"/>
      <c r="F248" s="68"/>
      <c r="G248" s="68"/>
      <c r="H248" s="68"/>
      <c r="I248" s="69"/>
      <c r="J248" s="69"/>
    </row>
    <row r="249" spans="1:10">
      <c r="A249" s="64" t="s">
        <v>201</v>
      </c>
      <c r="B249" s="67">
        <f t="shared" ref="B249:J249" si="49">+B233-B236-B241</f>
        <v>-1732697.8047425165</v>
      </c>
      <c r="C249" s="67">
        <f t="shared" si="49"/>
        <v>361216.54999999993</v>
      </c>
      <c r="D249" s="67">
        <f t="shared" si="49"/>
        <v>1507718.4496328495</v>
      </c>
      <c r="E249" s="67">
        <f t="shared" si="49"/>
        <v>1520567.8521395633</v>
      </c>
      <c r="F249" s="67">
        <f t="shared" si="49"/>
        <v>-1525670.2578718492</v>
      </c>
      <c r="G249" s="67">
        <f t="shared" si="49"/>
        <v>2071895.9749839834</v>
      </c>
      <c r="H249" s="67">
        <f t="shared" si="49"/>
        <v>116143.74764159604</v>
      </c>
      <c r="I249" s="67">
        <f t="shared" si="49"/>
        <v>-617366.89621171064</v>
      </c>
      <c r="J249" s="67">
        <f t="shared" si="49"/>
        <v>-63270.24607692298</v>
      </c>
    </row>
    <row r="250" spans="1:10">
      <c r="A250" s="74" t="s">
        <v>58</v>
      </c>
      <c r="B250" s="116">
        <f>IFERROR(B249/B70,0)</f>
        <v>-1.4479364170020312E-2</v>
      </c>
      <c r="C250" s="116">
        <f t="shared" ref="C250:J250" si="50">IFERROR(C249/C70,0)</f>
        <v>0.34533131965577391</v>
      </c>
      <c r="D250" s="116">
        <f t="shared" si="50"/>
        <v>9.8208954733113557E-2</v>
      </c>
      <c r="E250" s="116">
        <f t="shared" si="50"/>
        <v>0.20196865287476823</v>
      </c>
      <c r="F250" s="116">
        <f t="shared" si="50"/>
        <v>-3.4137038176883183E-2</v>
      </c>
      <c r="G250" s="116">
        <f t="shared" si="50"/>
        <v>0.23958025257744331</v>
      </c>
      <c r="H250" s="116">
        <f t="shared" si="50"/>
        <v>6.7853272463644226E-2</v>
      </c>
      <c r="I250" s="116">
        <f t="shared" si="50"/>
        <v>-0.18397889186663777</v>
      </c>
      <c r="J250" s="116">
        <f t="shared" si="50"/>
        <v>-2.7964219037789916E-2</v>
      </c>
    </row>
  </sheetData>
  <mergeCells count="5">
    <mergeCell ref="A1:J1"/>
    <mergeCell ref="A2:A3"/>
    <mergeCell ref="B2:E2"/>
    <mergeCell ref="F2:H2"/>
    <mergeCell ref="I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F155-0778-4E87-ADA5-6F9E6996DB19}">
  <dimension ref="A1:J250"/>
  <sheetViews>
    <sheetView zoomScale="81" zoomScaleNormal="81" workbookViewId="0">
      <pane xSplit="1" ySplit="3" topLeftCell="B185" activePane="bottomRight" state="frozen"/>
      <selection pane="topRight" activeCell="B1" sqref="B1"/>
      <selection pane="bottomLeft" activeCell="A4" sqref="A4"/>
      <selection pane="bottomRight" activeCell="B191" sqref="B191:J191"/>
    </sheetView>
  </sheetViews>
  <sheetFormatPr defaultColWidth="8.7109375" defaultRowHeight="15"/>
  <cols>
    <col min="1" max="1" width="40.85546875" style="49" bestFit="1" customWidth="1"/>
    <col min="2" max="2" width="12.42578125" style="49" bestFit="1" customWidth="1"/>
    <col min="3" max="3" width="10.42578125" style="49" bestFit="1" customWidth="1"/>
    <col min="4" max="4" width="11.140625" style="49" bestFit="1" customWidth="1"/>
    <col min="5" max="5" width="9.5703125" style="49" bestFit="1" customWidth="1"/>
    <col min="6" max="6" width="12.140625" style="49" bestFit="1" customWidth="1"/>
    <col min="7" max="7" width="11.140625" style="49" bestFit="1" customWidth="1"/>
    <col min="8" max="9" width="9.5703125" style="49" bestFit="1" customWidth="1"/>
    <col min="10" max="10" width="8.85546875" style="49" bestFit="1" customWidth="1"/>
    <col min="11" max="16384" width="8.7109375" style="49"/>
  </cols>
  <sheetData>
    <row r="1" spans="1:10" ht="15.75">
      <c r="A1" s="124" t="s">
        <v>244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0" ht="14.45" customHeight="1">
      <c r="A2" s="125" t="s">
        <v>1</v>
      </c>
      <c r="B2" s="127" t="s">
        <v>209</v>
      </c>
      <c r="C2" s="128"/>
      <c r="D2" s="128"/>
      <c r="E2" s="128"/>
      <c r="F2" s="129" t="s">
        <v>213</v>
      </c>
      <c r="G2" s="130"/>
      <c r="H2" s="130"/>
      <c r="I2" s="130" t="s">
        <v>214</v>
      </c>
      <c r="J2" s="130"/>
    </row>
    <row r="3" spans="1:10">
      <c r="A3" s="126"/>
      <c r="B3" s="51" t="s">
        <v>215</v>
      </c>
      <c r="C3" s="51" t="s">
        <v>216</v>
      </c>
      <c r="D3" s="52" t="s">
        <v>217</v>
      </c>
      <c r="E3" s="53" t="s">
        <v>218</v>
      </c>
      <c r="F3" s="51" t="s">
        <v>215</v>
      </c>
      <c r="G3" s="52" t="s">
        <v>217</v>
      </c>
      <c r="H3" s="52" t="s">
        <v>218</v>
      </c>
      <c r="I3" s="54" t="s">
        <v>217</v>
      </c>
      <c r="J3" s="54" t="s">
        <v>218</v>
      </c>
    </row>
    <row r="4" spans="1:10">
      <c r="A4" s="55" t="s">
        <v>3</v>
      </c>
      <c r="B4" s="56">
        <v>16</v>
      </c>
      <c r="C4" s="56"/>
      <c r="D4" s="56"/>
      <c r="E4" s="56"/>
      <c r="F4" s="56">
        <v>15</v>
      </c>
      <c r="G4" s="56"/>
      <c r="H4" s="56"/>
      <c r="I4" s="56"/>
      <c r="J4" s="56"/>
    </row>
    <row r="5" spans="1:10" ht="17.25">
      <c r="A5" s="57" t="s">
        <v>4</v>
      </c>
      <c r="B5" s="56"/>
      <c r="C5" s="56"/>
      <c r="D5" s="56"/>
      <c r="E5" s="56"/>
      <c r="F5" s="56"/>
      <c r="G5" s="56"/>
      <c r="H5" s="56"/>
      <c r="I5" s="50"/>
      <c r="J5" s="50"/>
    </row>
    <row r="6" spans="1:10">
      <c r="A6" s="55" t="s">
        <v>5</v>
      </c>
      <c r="B6" s="58">
        <f>+B7+B8+B13</f>
        <v>6058664.801</v>
      </c>
      <c r="C6" s="58">
        <f t="shared" ref="C6:J6" si="0">+C7+C8+C13</f>
        <v>0</v>
      </c>
      <c r="D6" s="58">
        <f t="shared" si="0"/>
        <v>0</v>
      </c>
      <c r="E6" s="58">
        <f t="shared" si="0"/>
        <v>0</v>
      </c>
      <c r="F6" s="58">
        <f t="shared" si="0"/>
        <v>5621969.7599999998</v>
      </c>
      <c r="G6" s="58">
        <f t="shared" si="0"/>
        <v>0</v>
      </c>
      <c r="H6" s="58">
        <f t="shared" si="0"/>
        <v>0</v>
      </c>
      <c r="I6" s="58">
        <f t="shared" si="0"/>
        <v>0</v>
      </c>
      <c r="J6" s="58">
        <f t="shared" si="0"/>
        <v>0</v>
      </c>
    </row>
    <row r="7" spans="1:10">
      <c r="A7" s="55" t="s">
        <v>6</v>
      </c>
      <c r="B7" s="58">
        <v>3735034.36</v>
      </c>
      <c r="C7" s="58">
        <v>0</v>
      </c>
      <c r="D7" s="58">
        <v>0</v>
      </c>
      <c r="E7" s="58">
        <v>0</v>
      </c>
      <c r="F7" s="58">
        <v>3464076.19</v>
      </c>
      <c r="G7" s="58">
        <v>0</v>
      </c>
      <c r="H7" s="58">
        <v>0</v>
      </c>
      <c r="I7" s="59">
        <v>0</v>
      </c>
      <c r="J7" s="59">
        <v>0</v>
      </c>
    </row>
    <row r="8" spans="1:10">
      <c r="A8" s="55" t="s">
        <v>219</v>
      </c>
      <c r="B8" s="58">
        <f>+B9+B10+B11+B12</f>
        <v>1717090.4410000001</v>
      </c>
      <c r="C8" s="58">
        <f t="shared" ref="C8:J8" si="1">+C9+C10+C11+C12</f>
        <v>0</v>
      </c>
      <c r="D8" s="58">
        <f t="shared" si="1"/>
        <v>0</v>
      </c>
      <c r="E8" s="58">
        <f t="shared" si="1"/>
        <v>0</v>
      </c>
      <c r="F8" s="58">
        <f t="shared" si="1"/>
        <v>1611025.57</v>
      </c>
      <c r="G8" s="58">
        <f t="shared" si="1"/>
        <v>0</v>
      </c>
      <c r="H8" s="58">
        <f t="shared" si="1"/>
        <v>0</v>
      </c>
      <c r="I8" s="58">
        <f t="shared" si="1"/>
        <v>0</v>
      </c>
      <c r="J8" s="58">
        <f t="shared" si="1"/>
        <v>0</v>
      </c>
    </row>
    <row r="9" spans="1:10">
      <c r="A9" s="75" t="s">
        <v>7</v>
      </c>
      <c r="B9" s="56">
        <v>1213078</v>
      </c>
      <c r="C9" s="56">
        <v>0</v>
      </c>
      <c r="D9" s="56">
        <v>0</v>
      </c>
      <c r="E9" s="56">
        <v>0</v>
      </c>
      <c r="F9" s="56">
        <v>1093736</v>
      </c>
      <c r="G9" s="56">
        <v>0</v>
      </c>
      <c r="H9" s="56">
        <v>0</v>
      </c>
      <c r="I9" s="50">
        <v>0</v>
      </c>
      <c r="J9" s="50">
        <v>0</v>
      </c>
    </row>
    <row r="10" spans="1:10">
      <c r="A10" s="75" t="s">
        <v>8</v>
      </c>
      <c r="B10" s="56">
        <v>303269</v>
      </c>
      <c r="C10" s="56">
        <v>0</v>
      </c>
      <c r="D10" s="56">
        <v>0</v>
      </c>
      <c r="E10" s="56">
        <v>0</v>
      </c>
      <c r="F10" s="56">
        <v>273434</v>
      </c>
      <c r="G10" s="56">
        <v>0</v>
      </c>
      <c r="H10" s="56">
        <v>0</v>
      </c>
      <c r="I10" s="50">
        <v>0</v>
      </c>
      <c r="J10" s="50">
        <v>0</v>
      </c>
    </row>
    <row r="11" spans="1:10">
      <c r="A11" s="75" t="s">
        <v>9</v>
      </c>
      <c r="B11" s="56">
        <v>0</v>
      </c>
      <c r="C11" s="56">
        <v>0</v>
      </c>
      <c r="D11" s="56">
        <v>0</v>
      </c>
      <c r="E11" s="56">
        <v>0</v>
      </c>
      <c r="F11" s="56">
        <v>0</v>
      </c>
      <c r="G11" s="56">
        <v>0</v>
      </c>
      <c r="H11" s="56">
        <v>0</v>
      </c>
      <c r="I11" s="50">
        <v>0</v>
      </c>
      <c r="J11" s="50">
        <v>0</v>
      </c>
    </row>
    <row r="12" spans="1:10">
      <c r="A12" s="75" t="s">
        <v>10</v>
      </c>
      <c r="B12" s="56">
        <v>200743.44099999999</v>
      </c>
      <c r="C12" s="56">
        <v>0</v>
      </c>
      <c r="D12" s="56">
        <v>0</v>
      </c>
      <c r="E12" s="56">
        <v>0</v>
      </c>
      <c r="F12" s="56">
        <v>243855.57</v>
      </c>
      <c r="G12" s="56">
        <v>0</v>
      </c>
      <c r="H12" s="56">
        <v>0</v>
      </c>
      <c r="I12" s="50">
        <v>0</v>
      </c>
      <c r="J12" s="50">
        <v>0</v>
      </c>
    </row>
    <row r="13" spans="1:10">
      <c r="A13" s="55" t="s">
        <v>11</v>
      </c>
      <c r="B13" s="58">
        <f>+B14+B15+B16</f>
        <v>606540</v>
      </c>
      <c r="C13" s="58">
        <f t="shared" ref="C13:J13" si="2">+C14+C15+C16</f>
        <v>0</v>
      </c>
      <c r="D13" s="58">
        <f t="shared" si="2"/>
        <v>0</v>
      </c>
      <c r="E13" s="58">
        <f t="shared" si="2"/>
        <v>0</v>
      </c>
      <c r="F13" s="58">
        <f t="shared" si="2"/>
        <v>546868</v>
      </c>
      <c r="G13" s="58">
        <f t="shared" si="2"/>
        <v>0</v>
      </c>
      <c r="H13" s="58">
        <f t="shared" si="2"/>
        <v>0</v>
      </c>
      <c r="I13" s="58">
        <f t="shared" si="2"/>
        <v>0</v>
      </c>
      <c r="J13" s="58">
        <f t="shared" si="2"/>
        <v>0</v>
      </c>
    </row>
    <row r="14" spans="1:10">
      <c r="A14" s="76" t="s">
        <v>12</v>
      </c>
      <c r="B14" s="56">
        <v>121308</v>
      </c>
      <c r="C14" s="56">
        <v>0</v>
      </c>
      <c r="D14" s="56">
        <v>0</v>
      </c>
      <c r="E14" s="56">
        <v>0</v>
      </c>
      <c r="F14" s="56">
        <v>109374</v>
      </c>
      <c r="G14" s="56">
        <v>0</v>
      </c>
      <c r="H14" s="56">
        <v>0</v>
      </c>
      <c r="I14" s="50">
        <v>0</v>
      </c>
      <c r="J14" s="50">
        <v>0</v>
      </c>
    </row>
    <row r="15" spans="1:10">
      <c r="A15" s="76" t="s">
        <v>13</v>
      </c>
      <c r="B15" s="56">
        <v>242616</v>
      </c>
      <c r="C15" s="56">
        <v>0</v>
      </c>
      <c r="D15" s="56">
        <v>0</v>
      </c>
      <c r="E15" s="56">
        <v>0</v>
      </c>
      <c r="F15" s="56">
        <v>218747</v>
      </c>
      <c r="G15" s="56">
        <v>0</v>
      </c>
      <c r="H15" s="56">
        <v>0</v>
      </c>
      <c r="I15" s="50">
        <v>0</v>
      </c>
      <c r="J15" s="50">
        <v>0</v>
      </c>
    </row>
    <row r="16" spans="1:10">
      <c r="A16" s="76" t="s">
        <v>14</v>
      </c>
      <c r="B16" s="56">
        <v>242616</v>
      </c>
      <c r="C16" s="56">
        <v>0</v>
      </c>
      <c r="D16" s="56">
        <v>0</v>
      </c>
      <c r="E16" s="56">
        <v>0</v>
      </c>
      <c r="F16" s="56">
        <v>218747</v>
      </c>
      <c r="G16" s="56">
        <v>0</v>
      </c>
      <c r="H16" s="56">
        <v>0</v>
      </c>
      <c r="I16" s="50">
        <v>0</v>
      </c>
      <c r="J16" s="50">
        <v>0</v>
      </c>
    </row>
    <row r="17" spans="1:10" ht="17.25">
      <c r="A17" s="57" t="s">
        <v>15</v>
      </c>
      <c r="B17" s="56"/>
      <c r="C17" s="56"/>
      <c r="D17" s="56"/>
      <c r="E17" s="56"/>
      <c r="F17" s="56"/>
      <c r="G17" s="56"/>
      <c r="H17" s="56"/>
      <c r="I17" s="50"/>
      <c r="J17" s="50"/>
    </row>
    <row r="18" spans="1:10">
      <c r="A18" s="61" t="s">
        <v>16</v>
      </c>
      <c r="B18" s="56">
        <v>1</v>
      </c>
      <c r="C18" s="56"/>
      <c r="D18" s="56"/>
      <c r="E18" s="56"/>
      <c r="F18" s="56"/>
      <c r="G18" s="56"/>
      <c r="H18" s="56"/>
      <c r="I18" s="50"/>
      <c r="J18" s="50"/>
    </row>
    <row r="19" spans="1:10">
      <c r="A19" s="61" t="s">
        <v>17</v>
      </c>
      <c r="B19" s="56">
        <v>6959459</v>
      </c>
      <c r="C19" s="56"/>
      <c r="D19" s="56"/>
      <c r="E19" s="56"/>
      <c r="F19" s="56"/>
      <c r="G19" s="56"/>
      <c r="H19" s="56"/>
      <c r="I19" s="50"/>
      <c r="J19" s="50"/>
    </row>
    <row r="20" spans="1:10">
      <c r="A20" s="61" t="s">
        <v>18</v>
      </c>
      <c r="B20" s="56">
        <v>6784797.25</v>
      </c>
      <c r="C20" s="56"/>
      <c r="D20" s="56"/>
      <c r="E20" s="56"/>
      <c r="F20" s="56"/>
      <c r="G20" s="56"/>
      <c r="H20" s="56"/>
      <c r="I20" s="50"/>
      <c r="J20" s="50"/>
    </row>
    <row r="21" spans="1:10">
      <c r="A21" s="61" t="s">
        <v>19</v>
      </c>
      <c r="B21" s="56"/>
      <c r="C21" s="56"/>
      <c r="D21" s="56"/>
      <c r="E21" s="56"/>
      <c r="F21" s="56"/>
      <c r="G21" s="56"/>
      <c r="H21" s="56"/>
      <c r="I21" s="50"/>
      <c r="J21" s="50"/>
    </row>
    <row r="22" spans="1:10" ht="17.25">
      <c r="A22" s="57" t="s">
        <v>220</v>
      </c>
      <c r="B22" s="56"/>
      <c r="C22" s="56"/>
      <c r="D22" s="56"/>
      <c r="E22" s="56"/>
      <c r="F22" s="56"/>
      <c r="G22" s="56"/>
      <c r="H22" s="56"/>
      <c r="I22" s="50"/>
      <c r="J22" s="50"/>
    </row>
    <row r="23" spans="1:10">
      <c r="A23" s="61" t="s">
        <v>16</v>
      </c>
      <c r="B23" s="56">
        <v>4</v>
      </c>
      <c r="C23" s="56"/>
      <c r="D23" s="56"/>
      <c r="E23" s="56"/>
      <c r="F23" s="56"/>
      <c r="G23" s="56"/>
      <c r="H23" s="56"/>
      <c r="I23" s="50"/>
      <c r="J23" s="50"/>
    </row>
    <row r="24" spans="1:10">
      <c r="A24" s="61" t="s">
        <v>21</v>
      </c>
      <c r="B24" s="56">
        <v>7078844.9699999997</v>
      </c>
      <c r="C24" s="56"/>
      <c r="D24" s="56"/>
      <c r="E24" s="56"/>
      <c r="F24" s="56"/>
      <c r="G24" s="56"/>
      <c r="H24" s="56"/>
      <c r="I24" s="50"/>
      <c r="J24" s="50"/>
    </row>
    <row r="25" spans="1:10">
      <c r="A25" s="61" t="s">
        <v>22</v>
      </c>
      <c r="B25" s="56">
        <v>7259999.9999999991</v>
      </c>
      <c r="C25" s="56"/>
      <c r="D25" s="56"/>
      <c r="E25" s="56"/>
      <c r="F25" s="56"/>
      <c r="G25" s="56"/>
      <c r="H25" s="56"/>
      <c r="I25" s="50"/>
      <c r="J25" s="50"/>
    </row>
    <row r="26" spans="1:10">
      <c r="A26" s="61" t="s">
        <v>23</v>
      </c>
      <c r="B26" s="56">
        <v>16890</v>
      </c>
      <c r="C26" s="56"/>
      <c r="D26" s="56"/>
      <c r="E26" s="56"/>
      <c r="F26" s="56"/>
      <c r="G26" s="56"/>
      <c r="H26" s="56"/>
      <c r="I26" s="50"/>
      <c r="J26" s="50"/>
    </row>
    <row r="27" spans="1:10">
      <c r="A27" s="61" t="s">
        <v>20</v>
      </c>
      <c r="B27" s="58">
        <f>+B24-B25-B26</f>
        <v>-198045.02999999933</v>
      </c>
      <c r="C27" s="58">
        <f t="shared" ref="C27:J27" si="3">+C24-C25-C26</f>
        <v>0</v>
      </c>
      <c r="D27" s="58">
        <f t="shared" si="3"/>
        <v>0</v>
      </c>
      <c r="E27" s="58">
        <f t="shared" si="3"/>
        <v>0</v>
      </c>
      <c r="F27" s="58">
        <f t="shared" si="3"/>
        <v>0</v>
      </c>
      <c r="G27" s="58">
        <f t="shared" si="3"/>
        <v>0</v>
      </c>
      <c r="H27" s="58">
        <f t="shared" si="3"/>
        <v>0</v>
      </c>
      <c r="I27" s="58">
        <f t="shared" si="3"/>
        <v>0</v>
      </c>
      <c r="J27" s="58">
        <f t="shared" si="3"/>
        <v>0</v>
      </c>
    </row>
    <row r="28" spans="1:10">
      <c r="A28" s="60"/>
      <c r="B28" s="56"/>
      <c r="C28" s="56"/>
      <c r="D28" s="56"/>
      <c r="E28" s="56"/>
      <c r="F28" s="56"/>
      <c r="G28" s="56"/>
      <c r="H28" s="56"/>
      <c r="I28" s="50"/>
      <c r="J28" s="50"/>
    </row>
    <row r="29" spans="1:10" ht="17.25">
      <c r="A29" s="57" t="s">
        <v>24</v>
      </c>
      <c r="B29" s="58">
        <f>+SUM(B31:B37)</f>
        <v>99788.43</v>
      </c>
      <c r="C29" s="58">
        <f t="shared" ref="C29:J29" si="4">+SUM(C31:C37)</f>
        <v>0</v>
      </c>
      <c r="D29" s="58">
        <f t="shared" si="4"/>
        <v>20874948.770122547</v>
      </c>
      <c r="E29" s="58">
        <f t="shared" si="4"/>
        <v>6670486.71</v>
      </c>
      <c r="F29" s="58">
        <f t="shared" si="4"/>
        <v>30282.27</v>
      </c>
      <c r="G29" s="58">
        <f t="shared" si="4"/>
        <v>10556608.569877423</v>
      </c>
      <c r="H29" s="58">
        <f t="shared" si="4"/>
        <v>3029596.75</v>
      </c>
      <c r="I29" s="58">
        <f t="shared" si="4"/>
        <v>3475174.4</v>
      </c>
      <c r="J29" s="58">
        <f t="shared" si="4"/>
        <v>921941.81</v>
      </c>
    </row>
    <row r="30" spans="1:10">
      <c r="A30" s="62" t="s">
        <v>25</v>
      </c>
      <c r="B30" s="56">
        <v>0</v>
      </c>
      <c r="C30" s="56">
        <v>0</v>
      </c>
      <c r="D30" s="56">
        <v>557</v>
      </c>
      <c r="E30" s="56">
        <v>35</v>
      </c>
      <c r="F30" s="56">
        <v>0</v>
      </c>
      <c r="G30" s="56">
        <v>309</v>
      </c>
      <c r="H30" s="56">
        <v>27</v>
      </c>
      <c r="I30" s="50">
        <v>103</v>
      </c>
      <c r="J30" s="50">
        <v>3</v>
      </c>
    </row>
    <row r="31" spans="1:10">
      <c r="A31" s="61" t="s">
        <v>26</v>
      </c>
      <c r="B31" s="56">
        <v>0</v>
      </c>
      <c r="C31" s="56">
        <v>0</v>
      </c>
      <c r="D31" s="56">
        <v>11616647.489999976</v>
      </c>
      <c r="E31" s="56">
        <v>5339602.03</v>
      </c>
      <c r="F31" s="56">
        <v>0</v>
      </c>
      <c r="G31" s="56">
        <v>6673204.4499999909</v>
      </c>
      <c r="H31" s="56">
        <v>2226806</v>
      </c>
      <c r="I31" s="50">
        <v>2301613.81</v>
      </c>
      <c r="J31" s="50">
        <v>800303</v>
      </c>
    </row>
    <row r="32" spans="1:10">
      <c r="A32" s="61" t="s">
        <v>27</v>
      </c>
      <c r="B32" s="56">
        <v>0</v>
      </c>
      <c r="C32" s="56">
        <v>0</v>
      </c>
      <c r="D32" s="56">
        <v>3984588.54</v>
      </c>
      <c r="E32" s="56">
        <v>1240767.6799999997</v>
      </c>
      <c r="F32" s="56">
        <v>0</v>
      </c>
      <c r="G32" s="56">
        <v>1909588.6400000006</v>
      </c>
      <c r="H32" s="56">
        <v>802790.74999999988</v>
      </c>
      <c r="I32" s="50">
        <v>646299.94999999995</v>
      </c>
      <c r="J32" s="50">
        <v>121638.81</v>
      </c>
    </row>
    <row r="33" spans="1:10">
      <c r="A33" s="61" t="s">
        <v>28</v>
      </c>
      <c r="B33" s="56">
        <v>0</v>
      </c>
      <c r="C33" s="56">
        <v>0</v>
      </c>
      <c r="D33" s="56">
        <v>2407715.1</v>
      </c>
      <c r="E33" s="56">
        <v>90117</v>
      </c>
      <c r="F33" s="56">
        <v>0</v>
      </c>
      <c r="G33" s="56">
        <v>855358.04</v>
      </c>
      <c r="H33" s="56">
        <v>0</v>
      </c>
      <c r="I33" s="50">
        <v>369494.62</v>
      </c>
      <c r="J33" s="50">
        <v>0</v>
      </c>
    </row>
    <row r="34" spans="1:10">
      <c r="A34" s="61" t="s">
        <v>29</v>
      </c>
      <c r="B34" s="56">
        <v>0</v>
      </c>
      <c r="C34" s="56">
        <v>0</v>
      </c>
      <c r="D34" s="56">
        <v>220260.6</v>
      </c>
      <c r="E34" s="56">
        <v>0</v>
      </c>
      <c r="F34" s="56">
        <v>0</v>
      </c>
      <c r="G34" s="56">
        <v>72214.8</v>
      </c>
      <c r="H34" s="56">
        <v>0</v>
      </c>
      <c r="I34" s="50">
        <v>90117</v>
      </c>
      <c r="J34" s="50">
        <v>0</v>
      </c>
    </row>
    <row r="35" spans="1:10">
      <c r="A35" s="61" t="s">
        <v>30</v>
      </c>
      <c r="B35" s="56">
        <v>0</v>
      </c>
      <c r="C35" s="56">
        <v>0</v>
      </c>
      <c r="D35" s="56">
        <v>604172.04</v>
      </c>
      <c r="E35" s="56">
        <v>0</v>
      </c>
      <c r="F35" s="56">
        <v>0</v>
      </c>
      <c r="G35" s="56">
        <v>326863.46999999997</v>
      </c>
      <c r="H35" s="56">
        <v>0</v>
      </c>
      <c r="I35" s="50">
        <v>67649.02</v>
      </c>
      <c r="J35" s="50">
        <v>0</v>
      </c>
    </row>
    <row r="36" spans="1:10">
      <c r="A36" s="61" t="s">
        <v>31</v>
      </c>
      <c r="B36" s="56">
        <v>0</v>
      </c>
      <c r="C36" s="56">
        <v>0</v>
      </c>
      <c r="D36" s="56">
        <v>1490862.4301225697</v>
      </c>
      <c r="E36" s="56">
        <v>0</v>
      </c>
      <c r="F36" s="56">
        <v>0</v>
      </c>
      <c r="G36" s="56">
        <v>719379.16987743042</v>
      </c>
      <c r="H36" s="56">
        <v>0</v>
      </c>
      <c r="I36" s="50">
        <v>0</v>
      </c>
      <c r="J36" s="50">
        <v>0</v>
      </c>
    </row>
    <row r="37" spans="1:10">
      <c r="A37" s="61" t="s">
        <v>32</v>
      </c>
      <c r="B37" s="56">
        <v>99788.43</v>
      </c>
      <c r="C37" s="56">
        <v>0</v>
      </c>
      <c r="D37" s="56">
        <v>550702.57000000007</v>
      </c>
      <c r="E37" s="56">
        <v>0</v>
      </c>
      <c r="F37" s="56">
        <v>30282.27</v>
      </c>
      <c r="G37" s="56">
        <v>0</v>
      </c>
      <c r="H37" s="56">
        <v>0</v>
      </c>
      <c r="I37" s="50">
        <v>0</v>
      </c>
      <c r="J37" s="50">
        <v>0</v>
      </c>
    </row>
    <row r="38" spans="1:10">
      <c r="A38" s="62" t="s">
        <v>33</v>
      </c>
      <c r="B38" s="58">
        <f>+SUM(B39:B42)</f>
        <v>0</v>
      </c>
      <c r="C38" s="58">
        <f t="shared" ref="C38:J38" si="5">+SUM(C39:C42)</f>
        <v>228811.85999999993</v>
      </c>
      <c r="D38" s="58">
        <f t="shared" si="5"/>
        <v>14928421.795999993</v>
      </c>
      <c r="E38" s="58">
        <f t="shared" si="5"/>
        <v>4506801.9840000002</v>
      </c>
      <c r="F38" s="58">
        <f t="shared" si="5"/>
        <v>0</v>
      </c>
      <c r="G38" s="58">
        <f t="shared" si="5"/>
        <v>7187483.0240000105</v>
      </c>
      <c r="H38" s="58">
        <f t="shared" si="5"/>
        <v>2004030.3459999999</v>
      </c>
      <c r="I38" s="58">
        <f t="shared" si="5"/>
        <v>2582957.5720000002</v>
      </c>
      <c r="J38" s="58">
        <f t="shared" si="5"/>
        <v>687494.7080000001</v>
      </c>
    </row>
    <row r="39" spans="1:10">
      <c r="A39" s="61" t="s">
        <v>34</v>
      </c>
      <c r="B39" s="56">
        <v>0</v>
      </c>
      <c r="C39" s="56">
        <v>0</v>
      </c>
      <c r="D39" s="56">
        <v>13143352.999999993</v>
      </c>
      <c r="E39" s="56">
        <v>4171687.7600000002</v>
      </c>
      <c r="F39" s="56">
        <v>0</v>
      </c>
      <c r="G39" s="56">
        <v>6584609.6700000102</v>
      </c>
      <c r="H39" s="56">
        <v>1790675.45</v>
      </c>
      <c r="I39" s="50">
        <v>2267851.69</v>
      </c>
      <c r="J39" s="50">
        <v>637912.92000000004</v>
      </c>
    </row>
    <row r="40" spans="1:10">
      <c r="A40" s="61" t="s">
        <v>35</v>
      </c>
      <c r="B40" s="56">
        <v>0</v>
      </c>
      <c r="C40" s="56">
        <v>0</v>
      </c>
      <c r="D40" s="56">
        <v>617947</v>
      </c>
      <c r="E40" s="56">
        <v>200199</v>
      </c>
      <c r="F40" s="56">
        <v>0</v>
      </c>
      <c r="G40" s="56">
        <v>219965</v>
      </c>
      <c r="H40" s="56">
        <v>111258</v>
      </c>
      <c r="I40" s="50">
        <v>205214</v>
      </c>
      <c r="J40" s="50">
        <v>30000</v>
      </c>
    </row>
    <row r="41" spans="1:10">
      <c r="A41" s="61" t="s">
        <v>36</v>
      </c>
      <c r="B41" s="56">
        <v>0</v>
      </c>
      <c r="C41" s="56">
        <v>0</v>
      </c>
      <c r="D41" s="56">
        <v>189686.696</v>
      </c>
      <c r="E41" s="56">
        <v>131021.22399999999</v>
      </c>
      <c r="F41" s="56">
        <v>0</v>
      </c>
      <c r="G41" s="56">
        <v>169016.35399999999</v>
      </c>
      <c r="H41" s="56">
        <v>102096.89600000001</v>
      </c>
      <c r="I41" s="50">
        <v>47561.881999999998</v>
      </c>
      <c r="J41" s="50">
        <v>19581.788</v>
      </c>
    </row>
    <row r="42" spans="1:10">
      <c r="A42" s="61" t="s">
        <v>37</v>
      </c>
      <c r="B42" s="56">
        <v>0</v>
      </c>
      <c r="C42" s="56">
        <v>228811.85999999993</v>
      </c>
      <c r="D42" s="56">
        <v>977435.1</v>
      </c>
      <c r="E42" s="56">
        <v>3894</v>
      </c>
      <c r="F42" s="56">
        <v>0</v>
      </c>
      <c r="G42" s="56">
        <v>213892</v>
      </c>
      <c r="H42" s="56">
        <v>0</v>
      </c>
      <c r="I42" s="50">
        <v>62330</v>
      </c>
      <c r="J42" s="50">
        <v>0</v>
      </c>
    </row>
    <row r="43" spans="1:10">
      <c r="A43" s="62" t="s">
        <v>20</v>
      </c>
      <c r="B43" s="58">
        <f>+B29-B38</f>
        <v>99788.43</v>
      </c>
      <c r="C43" s="58">
        <f t="shared" ref="C43:J43" si="6">+C29-C38</f>
        <v>-228811.85999999993</v>
      </c>
      <c r="D43" s="58">
        <f t="shared" si="6"/>
        <v>5946526.9741225541</v>
      </c>
      <c r="E43" s="58">
        <f t="shared" si="6"/>
        <v>2163684.7259999998</v>
      </c>
      <c r="F43" s="58">
        <f t="shared" si="6"/>
        <v>30282.27</v>
      </c>
      <c r="G43" s="58">
        <f t="shared" si="6"/>
        <v>3369125.5458774129</v>
      </c>
      <c r="H43" s="58">
        <f t="shared" si="6"/>
        <v>1025566.4040000001</v>
      </c>
      <c r="I43" s="58">
        <f t="shared" si="6"/>
        <v>892216.82799999975</v>
      </c>
      <c r="J43" s="58">
        <f t="shared" si="6"/>
        <v>234447.10199999996</v>
      </c>
    </row>
    <row r="44" spans="1:10">
      <c r="A44" s="61" t="s">
        <v>38</v>
      </c>
      <c r="B44" s="56">
        <v>0</v>
      </c>
      <c r="C44" s="56">
        <v>0</v>
      </c>
      <c r="D44" s="56">
        <v>535753.29861110111</v>
      </c>
      <c r="E44" s="56">
        <v>0</v>
      </c>
      <c r="F44" s="56">
        <v>0</v>
      </c>
      <c r="G44" s="56">
        <v>307764.46470218076</v>
      </c>
      <c r="H44" s="56">
        <v>0</v>
      </c>
      <c r="I44" s="50">
        <v>106149.14431189018</v>
      </c>
      <c r="J44" s="50">
        <v>0</v>
      </c>
    </row>
    <row r="45" spans="1:10">
      <c r="A45" s="61" t="s">
        <v>39</v>
      </c>
      <c r="B45" s="56"/>
      <c r="C45" s="56"/>
      <c r="D45" s="56"/>
      <c r="E45" s="56"/>
      <c r="F45" s="56"/>
      <c r="G45" s="56"/>
      <c r="H45" s="56"/>
      <c r="I45" s="50"/>
      <c r="J45" s="50"/>
    </row>
    <row r="46" spans="1:10">
      <c r="A46" s="61" t="s">
        <v>40</v>
      </c>
      <c r="B46" s="56"/>
      <c r="C46" s="56"/>
      <c r="D46" s="56"/>
      <c r="E46" s="56"/>
      <c r="F46" s="56"/>
      <c r="G46" s="56"/>
      <c r="H46" s="56"/>
      <c r="I46" s="50"/>
      <c r="J46" s="50"/>
    </row>
    <row r="47" spans="1:10">
      <c r="A47" s="62" t="s">
        <v>41</v>
      </c>
      <c r="B47" s="58">
        <f>+B43+B44+B45+B46</f>
        <v>99788.43</v>
      </c>
      <c r="C47" s="58">
        <f t="shared" ref="C47:J47" si="7">+C43+C44+C45+C46</f>
        <v>-228811.85999999993</v>
      </c>
      <c r="D47" s="58">
        <f t="shared" si="7"/>
        <v>6482280.2727336548</v>
      </c>
      <c r="E47" s="58">
        <f t="shared" si="7"/>
        <v>2163684.7259999998</v>
      </c>
      <c r="F47" s="58">
        <f t="shared" si="7"/>
        <v>30282.27</v>
      </c>
      <c r="G47" s="58">
        <f t="shared" si="7"/>
        <v>3676890.0105795935</v>
      </c>
      <c r="H47" s="58">
        <f t="shared" si="7"/>
        <v>1025566.4040000001</v>
      </c>
      <c r="I47" s="58">
        <f t="shared" si="7"/>
        <v>998365.97231188999</v>
      </c>
      <c r="J47" s="58">
        <f t="shared" si="7"/>
        <v>234447.10199999996</v>
      </c>
    </row>
    <row r="48" spans="1:10">
      <c r="A48" s="60"/>
      <c r="B48" s="56"/>
      <c r="C48" s="56"/>
      <c r="D48" s="56"/>
      <c r="E48" s="56"/>
      <c r="F48" s="56"/>
      <c r="G48" s="56"/>
      <c r="H48" s="56"/>
      <c r="I48" s="50"/>
      <c r="J48" s="50"/>
    </row>
    <row r="49" spans="1:10" ht="17.25">
      <c r="A49" s="57" t="s">
        <v>42</v>
      </c>
      <c r="B49" s="58">
        <f>+B51+B52</f>
        <v>0</v>
      </c>
      <c r="C49" s="58">
        <f t="shared" ref="C49:J49" si="8">+C51+C52</f>
        <v>876304.05</v>
      </c>
      <c r="D49" s="58">
        <f t="shared" si="8"/>
        <v>0</v>
      </c>
      <c r="E49" s="58">
        <f t="shared" si="8"/>
        <v>0</v>
      </c>
      <c r="F49" s="58">
        <f t="shared" si="8"/>
        <v>0</v>
      </c>
      <c r="G49" s="58">
        <f t="shared" si="8"/>
        <v>0</v>
      </c>
      <c r="H49" s="58">
        <f t="shared" si="8"/>
        <v>0</v>
      </c>
      <c r="I49" s="58">
        <f t="shared" si="8"/>
        <v>0</v>
      </c>
      <c r="J49" s="58">
        <f t="shared" si="8"/>
        <v>0</v>
      </c>
    </row>
    <row r="50" spans="1:10">
      <c r="A50" s="61" t="s">
        <v>3</v>
      </c>
      <c r="B50" s="56"/>
      <c r="C50" s="56">
        <v>19</v>
      </c>
      <c r="D50" s="56"/>
      <c r="E50" s="56"/>
      <c r="F50" s="56"/>
      <c r="G50" s="56"/>
      <c r="H50" s="56"/>
      <c r="I50" s="50"/>
      <c r="J50" s="50"/>
    </row>
    <row r="51" spans="1:10">
      <c r="A51" s="61" t="s">
        <v>43</v>
      </c>
      <c r="B51" s="56"/>
      <c r="C51" s="56">
        <v>637330.07000000007</v>
      </c>
      <c r="D51" s="56"/>
      <c r="E51" s="56"/>
      <c r="F51" s="56"/>
      <c r="G51" s="56"/>
      <c r="H51" s="56"/>
      <c r="I51" s="50"/>
      <c r="J51" s="50"/>
    </row>
    <row r="52" spans="1:10">
      <c r="A52" s="61" t="s">
        <v>30</v>
      </c>
      <c r="B52" s="56"/>
      <c r="C52" s="56">
        <v>238973.98</v>
      </c>
      <c r="D52" s="56"/>
      <c r="E52" s="56"/>
      <c r="F52" s="56"/>
      <c r="G52" s="56"/>
      <c r="H52" s="56"/>
      <c r="I52" s="50"/>
      <c r="J52" s="50"/>
    </row>
    <row r="53" spans="1:10">
      <c r="A53" s="61" t="s">
        <v>33</v>
      </c>
      <c r="B53" s="56"/>
      <c r="C53" s="56">
        <v>753109.54000000015</v>
      </c>
      <c r="D53" s="56"/>
      <c r="E53" s="56"/>
      <c r="F53" s="56"/>
      <c r="G53" s="56"/>
      <c r="H53" s="56"/>
      <c r="I53" s="50"/>
      <c r="J53" s="50"/>
    </row>
    <row r="54" spans="1:10">
      <c r="A54" s="62" t="s">
        <v>20</v>
      </c>
      <c r="B54" s="58">
        <f>+B49-B53</f>
        <v>0</v>
      </c>
      <c r="C54" s="58">
        <f>+C49-C53</f>
        <v>123194.50999999989</v>
      </c>
      <c r="D54" s="58">
        <f t="shared" ref="D54:J54" si="9">+D49-D53</f>
        <v>0</v>
      </c>
      <c r="E54" s="58">
        <f t="shared" si="9"/>
        <v>0</v>
      </c>
      <c r="F54" s="58">
        <f t="shared" si="9"/>
        <v>0</v>
      </c>
      <c r="G54" s="58">
        <f t="shared" si="9"/>
        <v>0</v>
      </c>
      <c r="H54" s="58">
        <f t="shared" si="9"/>
        <v>0</v>
      </c>
      <c r="I54" s="58">
        <f t="shared" si="9"/>
        <v>0</v>
      </c>
      <c r="J54" s="58">
        <f t="shared" si="9"/>
        <v>0</v>
      </c>
    </row>
    <row r="55" spans="1:10">
      <c r="A55" s="61" t="s">
        <v>44</v>
      </c>
      <c r="B55" s="56">
        <v>0</v>
      </c>
      <c r="C55" s="56">
        <v>571609</v>
      </c>
      <c r="D55" s="56">
        <v>403785</v>
      </c>
      <c r="E55" s="56">
        <v>0</v>
      </c>
      <c r="F55" s="56">
        <v>0</v>
      </c>
      <c r="G55" s="56">
        <v>200000</v>
      </c>
      <c r="H55" s="56">
        <v>0</v>
      </c>
      <c r="I55" s="50">
        <v>7170</v>
      </c>
      <c r="J55" s="50">
        <v>0</v>
      </c>
    </row>
    <row r="56" spans="1:10">
      <c r="A56" s="61" t="s">
        <v>33</v>
      </c>
      <c r="B56" s="56">
        <v>0</v>
      </c>
      <c r="C56" s="56">
        <v>285804.5</v>
      </c>
      <c r="D56" s="56">
        <v>201892.5</v>
      </c>
      <c r="E56" s="56">
        <v>0</v>
      </c>
      <c r="F56" s="56">
        <v>0</v>
      </c>
      <c r="G56" s="56">
        <v>100000</v>
      </c>
      <c r="H56" s="56">
        <v>0</v>
      </c>
      <c r="I56" s="50">
        <v>3585</v>
      </c>
      <c r="J56" s="50">
        <v>0</v>
      </c>
    </row>
    <row r="57" spans="1:10">
      <c r="A57" s="62" t="s">
        <v>20</v>
      </c>
      <c r="B57" s="58">
        <f t="shared" ref="B57:J57" si="10">+B55-B56</f>
        <v>0</v>
      </c>
      <c r="C57" s="58">
        <f t="shared" si="10"/>
        <v>285804.5</v>
      </c>
      <c r="D57" s="58">
        <f t="shared" si="10"/>
        <v>201892.5</v>
      </c>
      <c r="E57" s="58">
        <f t="shared" si="10"/>
        <v>0</v>
      </c>
      <c r="F57" s="58">
        <f t="shared" si="10"/>
        <v>0</v>
      </c>
      <c r="G57" s="58">
        <f t="shared" si="10"/>
        <v>100000</v>
      </c>
      <c r="H57" s="58">
        <f t="shared" si="10"/>
        <v>0</v>
      </c>
      <c r="I57" s="58">
        <f t="shared" si="10"/>
        <v>3585</v>
      </c>
      <c r="J57" s="58">
        <f t="shared" si="10"/>
        <v>0</v>
      </c>
    </row>
    <row r="58" spans="1:10">
      <c r="A58" s="62" t="s">
        <v>45</v>
      </c>
      <c r="B58" s="56">
        <f>+B57+B54</f>
        <v>0</v>
      </c>
      <c r="C58" s="56">
        <f t="shared" ref="C58:J58" si="11">+C57+C54</f>
        <v>408999.00999999989</v>
      </c>
      <c r="D58" s="56">
        <f t="shared" si="11"/>
        <v>201892.5</v>
      </c>
      <c r="E58" s="56">
        <f t="shared" si="11"/>
        <v>0</v>
      </c>
      <c r="F58" s="56">
        <f t="shared" si="11"/>
        <v>0</v>
      </c>
      <c r="G58" s="56">
        <f t="shared" si="11"/>
        <v>100000</v>
      </c>
      <c r="H58" s="56">
        <f t="shared" si="11"/>
        <v>0</v>
      </c>
      <c r="I58" s="56">
        <f t="shared" si="11"/>
        <v>3585</v>
      </c>
      <c r="J58" s="56">
        <f t="shared" si="11"/>
        <v>0</v>
      </c>
    </row>
    <row r="59" spans="1:10">
      <c r="A59" s="60"/>
      <c r="B59" s="56"/>
      <c r="C59" s="56"/>
      <c r="D59" s="56"/>
      <c r="E59" s="56"/>
      <c r="F59" s="56"/>
      <c r="G59" s="56"/>
      <c r="H59" s="56"/>
      <c r="I59" s="50"/>
      <c r="J59" s="50"/>
    </row>
    <row r="60" spans="1:10">
      <c r="A60" s="63" t="s">
        <v>46</v>
      </c>
      <c r="B60" s="58">
        <f>+SUM(B61:B69)</f>
        <v>1402014.48</v>
      </c>
      <c r="C60" s="58">
        <f t="shared" ref="C60:J60" si="12">+SUM(C61:C69)</f>
        <v>0</v>
      </c>
      <c r="D60" s="58">
        <f t="shared" si="12"/>
        <v>248243.696</v>
      </c>
      <c r="E60" s="58">
        <f t="shared" si="12"/>
        <v>1218228.344</v>
      </c>
      <c r="F60" s="58">
        <f t="shared" si="12"/>
        <v>1129440.18</v>
      </c>
      <c r="G60" s="58">
        <f t="shared" si="12"/>
        <v>26263.257999999998</v>
      </c>
      <c r="H60" s="58">
        <f t="shared" si="12"/>
        <v>7642.1719999999996</v>
      </c>
      <c r="I60" s="58">
        <f t="shared" si="12"/>
        <v>9621</v>
      </c>
      <c r="J60" s="58">
        <f t="shared" si="12"/>
        <v>0</v>
      </c>
    </row>
    <row r="61" spans="1:10">
      <c r="A61" s="61" t="s">
        <v>47</v>
      </c>
      <c r="B61" s="56">
        <v>268913</v>
      </c>
      <c r="C61" s="56">
        <v>0</v>
      </c>
      <c r="D61" s="56">
        <v>0</v>
      </c>
      <c r="E61" s="56">
        <v>0</v>
      </c>
      <c r="F61" s="56">
        <v>119600</v>
      </c>
      <c r="G61" s="56">
        <v>0</v>
      </c>
      <c r="H61" s="56">
        <v>0</v>
      </c>
      <c r="I61" s="50">
        <v>0</v>
      </c>
      <c r="J61" s="50">
        <v>0</v>
      </c>
    </row>
    <row r="62" spans="1:10">
      <c r="A62" s="61" t="s">
        <v>48</v>
      </c>
      <c r="B62" s="56">
        <v>0</v>
      </c>
      <c r="C62" s="56">
        <v>0</v>
      </c>
      <c r="D62" s="56">
        <v>0</v>
      </c>
      <c r="E62" s="56">
        <v>1205276</v>
      </c>
      <c r="F62" s="56">
        <v>0</v>
      </c>
      <c r="G62" s="56">
        <v>0</v>
      </c>
      <c r="H62" s="56">
        <v>0</v>
      </c>
      <c r="I62" s="50">
        <v>0</v>
      </c>
      <c r="J62" s="50">
        <v>0</v>
      </c>
    </row>
    <row r="63" spans="1:10">
      <c r="A63" s="61" t="s">
        <v>49</v>
      </c>
      <c r="B63" s="56">
        <v>445895</v>
      </c>
      <c r="C63" s="56">
        <v>0</v>
      </c>
      <c r="D63" s="56">
        <v>0</v>
      </c>
      <c r="E63" s="56">
        <v>0</v>
      </c>
      <c r="F63" s="56">
        <v>585734.75</v>
      </c>
      <c r="G63" s="56">
        <v>0</v>
      </c>
      <c r="H63" s="56">
        <v>0</v>
      </c>
      <c r="I63" s="50">
        <v>0</v>
      </c>
      <c r="J63" s="50">
        <v>0</v>
      </c>
    </row>
    <row r="64" spans="1:10">
      <c r="A64" s="61" t="s">
        <v>50</v>
      </c>
      <c r="B64" s="56">
        <v>315000</v>
      </c>
      <c r="C64" s="56">
        <v>0</v>
      </c>
      <c r="D64" s="56">
        <v>0</v>
      </c>
      <c r="E64" s="56">
        <v>0</v>
      </c>
      <c r="F64" s="56">
        <v>255000</v>
      </c>
      <c r="G64" s="56">
        <v>0</v>
      </c>
      <c r="H64" s="56">
        <v>0</v>
      </c>
      <c r="I64" s="50">
        <v>0</v>
      </c>
      <c r="J64" s="50">
        <v>0</v>
      </c>
    </row>
    <row r="65" spans="1:10">
      <c r="A65" s="61" t="s">
        <v>51</v>
      </c>
      <c r="B65" s="56">
        <v>0</v>
      </c>
      <c r="C65" s="56">
        <v>0</v>
      </c>
      <c r="D65" s="56">
        <v>0</v>
      </c>
      <c r="E65" s="56">
        <v>0</v>
      </c>
      <c r="F65" s="56">
        <v>0</v>
      </c>
      <c r="G65" s="56">
        <v>0</v>
      </c>
      <c r="H65" s="56">
        <v>0</v>
      </c>
      <c r="I65" s="50">
        <v>0</v>
      </c>
      <c r="J65" s="50">
        <v>0</v>
      </c>
    </row>
    <row r="66" spans="1:10">
      <c r="A66" s="61" t="s">
        <v>52</v>
      </c>
      <c r="B66" s="56">
        <v>0</v>
      </c>
      <c r="C66" s="56">
        <v>0</v>
      </c>
      <c r="D66" s="56">
        <v>183360</v>
      </c>
      <c r="E66" s="56">
        <v>0</v>
      </c>
      <c r="F66" s="56">
        <v>0</v>
      </c>
      <c r="G66" s="56">
        <v>14800</v>
      </c>
      <c r="H66" s="56">
        <v>0</v>
      </c>
      <c r="I66" s="50">
        <v>9621</v>
      </c>
      <c r="J66" s="50">
        <v>0</v>
      </c>
    </row>
    <row r="67" spans="1:10">
      <c r="A67" s="61" t="s">
        <v>53</v>
      </c>
      <c r="B67" s="56">
        <v>325000</v>
      </c>
      <c r="C67" s="56">
        <v>0</v>
      </c>
      <c r="D67" s="56">
        <v>43303.33</v>
      </c>
      <c r="E67" s="56">
        <v>0</v>
      </c>
      <c r="F67" s="56">
        <v>150000</v>
      </c>
      <c r="G67" s="56">
        <v>0</v>
      </c>
      <c r="H67" s="56">
        <v>0</v>
      </c>
      <c r="I67" s="50">
        <v>0</v>
      </c>
      <c r="J67" s="50">
        <v>0</v>
      </c>
    </row>
    <row r="68" spans="1:10">
      <c r="A68" s="61" t="s">
        <v>54</v>
      </c>
      <c r="B68" s="56">
        <v>25438.48</v>
      </c>
      <c r="C68" s="56">
        <v>0</v>
      </c>
      <c r="D68" s="56">
        <v>11447.315999999997</v>
      </c>
      <c r="E68" s="56">
        <v>7631.543999999999</v>
      </c>
      <c r="F68" s="56">
        <v>9539.4299999999985</v>
      </c>
      <c r="G68" s="56">
        <v>5723.6579999999985</v>
      </c>
      <c r="H68" s="56">
        <v>3815.7719999999995</v>
      </c>
      <c r="I68" s="50">
        <v>0</v>
      </c>
      <c r="J68" s="50">
        <v>0</v>
      </c>
    </row>
    <row r="69" spans="1:10">
      <c r="A69" s="61" t="s">
        <v>55</v>
      </c>
      <c r="B69" s="56">
        <v>21768</v>
      </c>
      <c r="C69" s="56">
        <v>0</v>
      </c>
      <c r="D69" s="56">
        <v>10133.049999999999</v>
      </c>
      <c r="E69" s="56">
        <v>5320.8</v>
      </c>
      <c r="F69" s="56">
        <v>9566</v>
      </c>
      <c r="G69" s="56">
        <v>5739.5999999999995</v>
      </c>
      <c r="H69" s="56">
        <v>3826.4</v>
      </c>
      <c r="I69" s="50">
        <v>0</v>
      </c>
      <c r="J69" s="50">
        <v>0</v>
      </c>
    </row>
    <row r="70" spans="1:10">
      <c r="A70" s="64" t="s">
        <v>56</v>
      </c>
      <c r="B70" s="58">
        <f>+(B7/3.5%)+B8+B13+B29+B27+B49+B55+B60</f>
        <v>110342655.74957143</v>
      </c>
      <c r="C70" s="58">
        <f t="shared" ref="C70:J70" si="13">+(C7/3.5%)+C8+C13+C29+C27+C49+C55+C60</f>
        <v>1447913.05</v>
      </c>
      <c r="D70" s="58">
        <f t="shared" si="13"/>
        <v>21526977.466122545</v>
      </c>
      <c r="E70" s="58">
        <f t="shared" si="13"/>
        <v>7888715.0539999995</v>
      </c>
      <c r="F70" s="58">
        <f t="shared" si="13"/>
        <v>102291221.44857141</v>
      </c>
      <c r="G70" s="58">
        <f t="shared" si="13"/>
        <v>10782871.827877423</v>
      </c>
      <c r="H70" s="58">
        <f t="shared" si="13"/>
        <v>3037238.9219999998</v>
      </c>
      <c r="I70" s="58">
        <f t="shared" si="13"/>
        <v>3491965.4</v>
      </c>
      <c r="J70" s="58">
        <f t="shared" si="13"/>
        <v>921941.81</v>
      </c>
    </row>
    <row r="71" spans="1:10">
      <c r="A71" s="64" t="s">
        <v>57</v>
      </c>
      <c r="B71" s="58">
        <f>+B6+B27+B47+B58+B60</f>
        <v>7362422.6809999999</v>
      </c>
      <c r="C71" s="58">
        <f t="shared" ref="C71:J71" si="14">+C6+C27+C47+C58+C60</f>
        <v>180187.14999999997</v>
      </c>
      <c r="D71" s="58">
        <f t="shared" si="14"/>
        <v>6932416.4687336553</v>
      </c>
      <c r="E71" s="58">
        <f t="shared" si="14"/>
        <v>3381913.07</v>
      </c>
      <c r="F71" s="58">
        <f t="shared" si="14"/>
        <v>6781692.209999999</v>
      </c>
      <c r="G71" s="58">
        <f t="shared" si="14"/>
        <v>3803153.2685795934</v>
      </c>
      <c r="H71" s="58">
        <f t="shared" si="14"/>
        <v>1033208.5760000001</v>
      </c>
      <c r="I71" s="58">
        <f t="shared" si="14"/>
        <v>1011571.97231189</v>
      </c>
      <c r="J71" s="58">
        <f t="shared" si="14"/>
        <v>234447.10199999996</v>
      </c>
    </row>
    <row r="72" spans="1:10">
      <c r="A72" s="65" t="s">
        <v>58</v>
      </c>
      <c r="B72" s="111">
        <f>IFERROR(B71/B70,0)</f>
        <v>6.6723268811921768E-2</v>
      </c>
      <c r="C72" s="111">
        <f t="shared" ref="C72:J72" si="15">IFERROR(C71/C70,0)</f>
        <v>0.12444611228554088</v>
      </c>
      <c r="D72" s="111">
        <f t="shared" si="15"/>
        <v>0.32203389814679484</v>
      </c>
      <c r="E72" s="111">
        <f t="shared" si="15"/>
        <v>0.42870265269439406</v>
      </c>
      <c r="F72" s="111">
        <f t="shared" si="15"/>
        <v>6.629789061038445E-2</v>
      </c>
      <c r="G72" s="111">
        <f t="shared" si="15"/>
        <v>0.35270318791577748</v>
      </c>
      <c r="H72" s="111">
        <f t="shared" si="15"/>
        <v>0.34018021055769948</v>
      </c>
      <c r="I72" s="111">
        <f t="shared" si="15"/>
        <v>0.28968556570230908</v>
      </c>
      <c r="J72" s="111">
        <f t="shared" si="15"/>
        <v>0.25429707109172101</v>
      </c>
    </row>
    <row r="73" spans="1:10">
      <c r="A73" s="60"/>
      <c r="B73" s="56"/>
      <c r="C73" s="56"/>
      <c r="D73" s="56"/>
      <c r="E73" s="56"/>
      <c r="F73" s="56"/>
      <c r="G73" s="56"/>
      <c r="H73" s="56"/>
      <c r="I73" s="50"/>
      <c r="J73" s="50"/>
    </row>
    <row r="74" spans="1:10">
      <c r="A74" s="60"/>
      <c r="B74" s="56"/>
      <c r="C74" s="56"/>
      <c r="D74" s="56"/>
      <c r="E74" s="56"/>
      <c r="F74" s="56"/>
      <c r="G74" s="56"/>
      <c r="H74" s="56"/>
      <c r="I74" s="50"/>
      <c r="J74" s="50"/>
    </row>
    <row r="75" spans="1:10" ht="17.25">
      <c r="A75" s="17" t="s">
        <v>59</v>
      </c>
      <c r="B75" s="67">
        <f>+B76+B87+B90</f>
        <v>1372654.89003663</v>
      </c>
      <c r="C75" s="67">
        <f t="shared" ref="C75:J75" si="16">+C76+C87+C90</f>
        <v>3800</v>
      </c>
      <c r="D75" s="67">
        <f t="shared" si="16"/>
        <v>431971.304</v>
      </c>
      <c r="E75" s="67">
        <f t="shared" si="16"/>
        <v>159192.66799999998</v>
      </c>
      <c r="F75" s="67">
        <f t="shared" si="16"/>
        <v>1113256.3634798536</v>
      </c>
      <c r="G75" s="67">
        <f t="shared" si="16"/>
        <v>229594.34500000009</v>
      </c>
      <c r="H75" s="67">
        <f t="shared" si="16"/>
        <v>82454.528999999995</v>
      </c>
      <c r="I75" s="67">
        <f t="shared" si="16"/>
        <v>65207.994999999995</v>
      </c>
      <c r="J75" s="67">
        <f t="shared" si="16"/>
        <v>12163.881000000001</v>
      </c>
    </row>
    <row r="76" spans="1:10">
      <c r="A76" s="66" t="s">
        <v>60</v>
      </c>
      <c r="B76" s="67">
        <f>+SUM(B77:B86)</f>
        <v>608611.37836996326</v>
      </c>
      <c r="C76" s="67">
        <f t="shared" ref="C76:J76" si="17">+SUM(C77:C86)</f>
        <v>0</v>
      </c>
      <c r="D76" s="67">
        <f t="shared" si="17"/>
        <v>4000</v>
      </c>
      <c r="E76" s="67">
        <f t="shared" si="17"/>
        <v>33972</v>
      </c>
      <c r="F76" s="67">
        <f t="shared" si="17"/>
        <v>340947.6184798535</v>
      </c>
      <c r="G76" s="67">
        <f t="shared" si="17"/>
        <v>0</v>
      </c>
      <c r="H76" s="67">
        <f t="shared" si="17"/>
        <v>0</v>
      </c>
      <c r="I76" s="67">
        <f t="shared" si="17"/>
        <v>0</v>
      </c>
      <c r="J76" s="67">
        <f t="shared" si="17"/>
        <v>0</v>
      </c>
    </row>
    <row r="77" spans="1:10">
      <c r="A77" s="61" t="s">
        <v>61</v>
      </c>
      <c r="B77" s="68">
        <v>237396.44836996339</v>
      </c>
      <c r="C77" s="68">
        <v>0</v>
      </c>
      <c r="D77" s="68">
        <v>0</v>
      </c>
      <c r="E77" s="68">
        <v>0</v>
      </c>
      <c r="F77" s="68">
        <v>71677.378479853476</v>
      </c>
      <c r="G77" s="68">
        <v>0</v>
      </c>
      <c r="H77" s="68">
        <v>0</v>
      </c>
      <c r="I77" s="68">
        <v>0</v>
      </c>
      <c r="J77" s="68">
        <v>0</v>
      </c>
    </row>
    <row r="78" spans="1:10">
      <c r="A78" s="61" t="s">
        <v>62</v>
      </c>
      <c r="B78" s="68">
        <v>210571.03</v>
      </c>
      <c r="C78" s="68">
        <v>0</v>
      </c>
      <c r="D78" s="68">
        <v>0</v>
      </c>
      <c r="E78" s="68">
        <v>0</v>
      </c>
      <c r="F78" s="68">
        <v>197649.01</v>
      </c>
      <c r="G78" s="68">
        <v>0</v>
      </c>
      <c r="H78" s="68">
        <v>0</v>
      </c>
      <c r="I78" s="68">
        <v>0</v>
      </c>
      <c r="J78" s="68">
        <v>0</v>
      </c>
    </row>
    <row r="79" spans="1:10">
      <c r="A79" s="61" t="s">
        <v>63</v>
      </c>
      <c r="B79" s="68">
        <v>0</v>
      </c>
      <c r="C79" s="68">
        <v>0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</row>
    <row r="80" spans="1:10">
      <c r="A80" s="61" t="s">
        <v>221</v>
      </c>
      <c r="B80" s="68">
        <v>151749.70000000001</v>
      </c>
      <c r="C80" s="68">
        <v>0</v>
      </c>
      <c r="D80" s="68">
        <v>0</v>
      </c>
      <c r="E80" s="68">
        <v>0</v>
      </c>
      <c r="F80" s="68">
        <v>71621.23</v>
      </c>
      <c r="G80" s="68">
        <v>0</v>
      </c>
      <c r="H80" s="68">
        <v>0</v>
      </c>
      <c r="I80" s="68">
        <v>0</v>
      </c>
      <c r="J80" s="68">
        <v>0</v>
      </c>
    </row>
    <row r="81" spans="1:10">
      <c r="A81" s="61" t="s">
        <v>65</v>
      </c>
      <c r="B81" s="68">
        <v>0</v>
      </c>
      <c r="C81" s="68">
        <v>0</v>
      </c>
      <c r="D81" s="68">
        <v>4000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</row>
    <row r="82" spans="1:10">
      <c r="A82" s="61" t="s">
        <v>66</v>
      </c>
      <c r="B82" s="68">
        <v>0</v>
      </c>
      <c r="C82" s="68">
        <v>0</v>
      </c>
      <c r="D82" s="68">
        <v>0</v>
      </c>
      <c r="E82" s="68">
        <v>33972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</row>
    <row r="83" spans="1:10">
      <c r="A83" s="61" t="s">
        <v>67</v>
      </c>
      <c r="B83" s="68">
        <v>0</v>
      </c>
      <c r="C83" s="68">
        <v>0</v>
      </c>
      <c r="D83" s="68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</row>
    <row r="84" spans="1:10">
      <c r="A84" s="61" t="s">
        <v>68</v>
      </c>
      <c r="B84" s="68">
        <v>8894.2000000000007</v>
      </c>
      <c r="C84" s="68">
        <v>0</v>
      </c>
      <c r="D84" s="68">
        <v>0</v>
      </c>
      <c r="E84" s="68">
        <v>0</v>
      </c>
      <c r="F84" s="68">
        <v>0</v>
      </c>
      <c r="G84" s="68">
        <v>0</v>
      </c>
      <c r="H84" s="68">
        <v>0</v>
      </c>
      <c r="I84" s="68">
        <v>0</v>
      </c>
      <c r="J84" s="68">
        <v>0</v>
      </c>
    </row>
    <row r="85" spans="1:10">
      <c r="A85" s="61" t="s">
        <v>69</v>
      </c>
      <c r="B85" s="68">
        <v>0</v>
      </c>
      <c r="C85" s="68">
        <v>0</v>
      </c>
      <c r="D85" s="68">
        <v>0</v>
      </c>
      <c r="E85" s="68">
        <v>0</v>
      </c>
      <c r="F85" s="68">
        <v>0</v>
      </c>
      <c r="G85" s="68">
        <v>0</v>
      </c>
      <c r="H85" s="68">
        <v>0</v>
      </c>
      <c r="I85" s="68">
        <v>0</v>
      </c>
      <c r="J85" s="68">
        <v>0</v>
      </c>
    </row>
    <row r="86" spans="1:10">
      <c r="A86" s="61" t="s">
        <v>70</v>
      </c>
      <c r="B86" s="68">
        <v>0</v>
      </c>
      <c r="C86" s="68">
        <v>0</v>
      </c>
      <c r="D86" s="68">
        <v>0</v>
      </c>
      <c r="E86" s="68">
        <v>0</v>
      </c>
      <c r="F86" s="68">
        <v>0</v>
      </c>
      <c r="G86" s="68">
        <v>0</v>
      </c>
      <c r="H86" s="68">
        <v>0</v>
      </c>
      <c r="I86" s="68">
        <v>0</v>
      </c>
      <c r="J86" s="68">
        <v>0</v>
      </c>
    </row>
    <row r="87" spans="1:10">
      <c r="A87" s="66" t="s">
        <v>71</v>
      </c>
      <c r="B87" s="67">
        <f>+SUM(B88:B89)</f>
        <v>153447</v>
      </c>
      <c r="C87" s="67">
        <f t="shared" ref="C87:J87" si="18">+SUM(C88:C89)</f>
        <v>3800</v>
      </c>
      <c r="D87" s="67">
        <f t="shared" si="18"/>
        <v>426255.45400000003</v>
      </c>
      <c r="E87" s="67">
        <f t="shared" si="18"/>
        <v>124076.76799999998</v>
      </c>
      <c r="F87" s="67">
        <f t="shared" si="18"/>
        <v>411797</v>
      </c>
      <c r="G87" s="67">
        <f t="shared" si="18"/>
        <v>220323.16400000008</v>
      </c>
      <c r="H87" s="67">
        <f t="shared" si="18"/>
        <v>80279.074999999997</v>
      </c>
      <c r="I87" s="67">
        <f t="shared" si="18"/>
        <v>64629.994999999995</v>
      </c>
      <c r="J87" s="67">
        <f t="shared" si="18"/>
        <v>12163.881000000001</v>
      </c>
    </row>
    <row r="88" spans="1:10">
      <c r="A88" s="61" t="s">
        <v>222</v>
      </c>
      <c r="B88" s="68">
        <v>153447</v>
      </c>
      <c r="C88" s="68">
        <v>3800</v>
      </c>
      <c r="D88" s="68">
        <v>426255.45400000003</v>
      </c>
      <c r="E88" s="68">
        <v>124076.76799999998</v>
      </c>
      <c r="F88" s="68">
        <v>411797</v>
      </c>
      <c r="G88" s="68">
        <v>220323.16400000008</v>
      </c>
      <c r="H88" s="68">
        <v>80279.074999999997</v>
      </c>
      <c r="I88" s="68">
        <v>64629.994999999995</v>
      </c>
      <c r="J88" s="68">
        <v>12163.881000000001</v>
      </c>
    </row>
    <row r="89" spans="1:10">
      <c r="A89" s="61" t="s">
        <v>223</v>
      </c>
      <c r="B89" s="68"/>
      <c r="C89" s="68"/>
      <c r="D89" s="68"/>
      <c r="E89" s="68"/>
      <c r="F89" s="68"/>
      <c r="G89" s="68"/>
      <c r="H89" s="68"/>
      <c r="I89" s="68"/>
      <c r="J89" s="68"/>
    </row>
    <row r="90" spans="1:10">
      <c r="A90" s="66" t="s">
        <v>72</v>
      </c>
      <c r="B90" s="67">
        <f>+SUM(B91:B102)</f>
        <v>610596.51166666672</v>
      </c>
      <c r="C90" s="67">
        <f t="shared" ref="C90:J90" si="19">+SUM(C91:C102)</f>
        <v>0</v>
      </c>
      <c r="D90" s="67">
        <f t="shared" si="19"/>
        <v>1715.85</v>
      </c>
      <c r="E90" s="67">
        <f t="shared" si="19"/>
        <v>1143.9000000000001</v>
      </c>
      <c r="F90" s="67">
        <f t="shared" si="19"/>
        <v>360511.745</v>
      </c>
      <c r="G90" s="67">
        <f t="shared" si="19"/>
        <v>9271.1810000000005</v>
      </c>
      <c r="H90" s="67">
        <f t="shared" si="19"/>
        <v>2175.4540000000002</v>
      </c>
      <c r="I90" s="67">
        <f t="shared" si="19"/>
        <v>578</v>
      </c>
      <c r="J90" s="67">
        <f t="shared" si="19"/>
        <v>0</v>
      </c>
    </row>
    <row r="91" spans="1:10">
      <c r="A91" s="61" t="s">
        <v>224</v>
      </c>
      <c r="B91" s="68">
        <v>2400</v>
      </c>
      <c r="C91" s="68">
        <v>0</v>
      </c>
      <c r="D91" s="68">
        <v>0</v>
      </c>
      <c r="E91" s="68">
        <v>0</v>
      </c>
      <c r="F91" s="68">
        <v>0</v>
      </c>
      <c r="G91" s="68">
        <v>0</v>
      </c>
      <c r="H91" s="68">
        <v>0</v>
      </c>
      <c r="I91" s="68">
        <v>0</v>
      </c>
      <c r="J91" s="68">
        <v>0</v>
      </c>
    </row>
    <row r="92" spans="1:10">
      <c r="A92" s="61" t="s">
        <v>73</v>
      </c>
      <c r="B92" s="68">
        <v>10127.6</v>
      </c>
      <c r="C92" s="68">
        <v>0</v>
      </c>
      <c r="D92" s="68">
        <v>0</v>
      </c>
      <c r="E92" s="68">
        <v>0</v>
      </c>
      <c r="F92" s="68">
        <v>0</v>
      </c>
      <c r="G92" s="68">
        <v>5000</v>
      </c>
      <c r="H92" s="68">
        <v>0</v>
      </c>
      <c r="I92" s="68">
        <v>0</v>
      </c>
      <c r="J92" s="68">
        <v>0</v>
      </c>
    </row>
    <row r="93" spans="1:10">
      <c r="A93" s="61" t="s">
        <v>74</v>
      </c>
      <c r="B93" s="68">
        <v>204986.5</v>
      </c>
      <c r="C93" s="68">
        <v>0</v>
      </c>
      <c r="D93" s="68">
        <v>1715.85</v>
      </c>
      <c r="E93" s="68">
        <v>1143.9000000000001</v>
      </c>
      <c r="F93" s="68">
        <v>155250.91500000001</v>
      </c>
      <c r="G93" s="68">
        <v>1141.749</v>
      </c>
      <c r="H93" s="68">
        <v>761.16600000000005</v>
      </c>
      <c r="I93" s="68">
        <v>0</v>
      </c>
      <c r="J93" s="68">
        <v>0</v>
      </c>
    </row>
    <row r="94" spans="1:10">
      <c r="A94" s="61" t="s">
        <v>75</v>
      </c>
      <c r="B94" s="68">
        <v>6500</v>
      </c>
      <c r="C94" s="68">
        <v>0</v>
      </c>
      <c r="D94" s="68">
        <v>0</v>
      </c>
      <c r="E94" s="68">
        <v>0</v>
      </c>
      <c r="F94" s="68">
        <v>6500</v>
      </c>
      <c r="G94" s="68">
        <v>0</v>
      </c>
      <c r="H94" s="68">
        <v>0</v>
      </c>
      <c r="I94" s="68">
        <v>0</v>
      </c>
      <c r="J94" s="68">
        <v>0</v>
      </c>
    </row>
    <row r="95" spans="1:10">
      <c r="A95" s="61" t="s">
        <v>76</v>
      </c>
      <c r="B95" s="68">
        <v>0</v>
      </c>
      <c r="C95" s="68">
        <v>0</v>
      </c>
      <c r="D95" s="68">
        <v>0</v>
      </c>
      <c r="E95" s="68">
        <v>0</v>
      </c>
      <c r="F95" s="68">
        <v>0</v>
      </c>
      <c r="G95" s="68">
        <v>0</v>
      </c>
      <c r="H95" s="68">
        <v>0</v>
      </c>
      <c r="I95" s="68">
        <v>0</v>
      </c>
      <c r="J95" s="68">
        <v>0</v>
      </c>
    </row>
    <row r="96" spans="1:10">
      <c r="A96" s="61" t="s">
        <v>77</v>
      </c>
      <c r="B96" s="68">
        <v>98422.881666666668</v>
      </c>
      <c r="C96" s="68">
        <v>0</v>
      </c>
      <c r="D96" s="68">
        <v>0</v>
      </c>
      <c r="E96" s="68">
        <v>0</v>
      </c>
      <c r="F96" s="68">
        <v>59155.65</v>
      </c>
      <c r="G96" s="68">
        <v>0</v>
      </c>
      <c r="H96" s="68">
        <v>0</v>
      </c>
      <c r="I96" s="68">
        <v>0</v>
      </c>
      <c r="J96" s="68">
        <v>0</v>
      </c>
    </row>
    <row r="97" spans="1:10">
      <c r="A97" s="61" t="s">
        <v>78</v>
      </c>
      <c r="B97" s="68">
        <v>19272.25</v>
      </c>
      <c r="C97" s="68">
        <v>0</v>
      </c>
      <c r="D97" s="68">
        <v>0</v>
      </c>
      <c r="E97" s="68">
        <v>0</v>
      </c>
      <c r="F97" s="68">
        <v>0</v>
      </c>
      <c r="G97" s="68">
        <v>0</v>
      </c>
      <c r="H97" s="68">
        <v>0</v>
      </c>
      <c r="I97" s="68">
        <v>0</v>
      </c>
      <c r="J97" s="68">
        <v>0</v>
      </c>
    </row>
    <row r="98" spans="1:10">
      <c r="A98" s="61" t="s">
        <v>79</v>
      </c>
      <c r="B98" s="68">
        <v>86816.55</v>
      </c>
      <c r="C98" s="68">
        <v>0</v>
      </c>
      <c r="D98" s="68">
        <v>0</v>
      </c>
      <c r="E98" s="68">
        <v>0</v>
      </c>
      <c r="F98" s="68">
        <v>65277.06</v>
      </c>
      <c r="G98" s="68">
        <v>0</v>
      </c>
      <c r="H98" s="68">
        <v>0</v>
      </c>
      <c r="I98" s="68">
        <v>0</v>
      </c>
      <c r="J98" s="68">
        <v>0</v>
      </c>
    </row>
    <row r="99" spans="1:10">
      <c r="A99" s="61" t="s">
        <v>80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</row>
    <row r="100" spans="1:10">
      <c r="A100" s="61" t="s">
        <v>81</v>
      </c>
      <c r="B100" s="68">
        <v>0</v>
      </c>
      <c r="C100" s="68">
        <v>0</v>
      </c>
      <c r="D100" s="68">
        <v>0</v>
      </c>
      <c r="E100" s="68">
        <v>0</v>
      </c>
      <c r="F100" s="68">
        <v>0</v>
      </c>
      <c r="G100" s="68">
        <v>0</v>
      </c>
      <c r="H100" s="68">
        <v>0</v>
      </c>
      <c r="I100" s="68">
        <v>0</v>
      </c>
      <c r="J100" s="68">
        <v>0</v>
      </c>
    </row>
    <row r="101" spans="1:10">
      <c r="A101" s="61" t="s">
        <v>82</v>
      </c>
      <c r="B101" s="68">
        <v>157349.5</v>
      </c>
      <c r="C101" s="68">
        <v>0</v>
      </c>
      <c r="D101" s="68">
        <v>0</v>
      </c>
      <c r="E101" s="68">
        <v>0</v>
      </c>
      <c r="F101" s="68">
        <v>70792.399999999994</v>
      </c>
      <c r="G101" s="68">
        <v>0</v>
      </c>
      <c r="H101" s="68">
        <v>0</v>
      </c>
      <c r="I101" s="68">
        <v>0</v>
      </c>
      <c r="J101" s="68">
        <v>0</v>
      </c>
    </row>
    <row r="102" spans="1:10">
      <c r="A102" s="61" t="s">
        <v>83</v>
      </c>
      <c r="B102" s="68">
        <v>24721.23</v>
      </c>
      <c r="C102" s="68">
        <v>0</v>
      </c>
      <c r="D102" s="68">
        <v>0</v>
      </c>
      <c r="E102" s="68">
        <v>0</v>
      </c>
      <c r="F102" s="68">
        <v>3535.72</v>
      </c>
      <c r="G102" s="68">
        <v>3129.4319999999998</v>
      </c>
      <c r="H102" s="68">
        <v>1414.288</v>
      </c>
      <c r="I102" s="68">
        <v>578</v>
      </c>
      <c r="J102" s="68">
        <v>0</v>
      </c>
    </row>
    <row r="103" spans="1:10">
      <c r="A103" s="61"/>
      <c r="B103" s="68"/>
      <c r="C103" s="68"/>
      <c r="D103" s="68"/>
      <c r="E103" s="68"/>
      <c r="F103" s="68"/>
      <c r="G103" s="68"/>
      <c r="H103" s="68"/>
      <c r="I103" s="69"/>
      <c r="J103" s="69"/>
    </row>
    <row r="104" spans="1:10" ht="17.25">
      <c r="A104" s="70" t="s">
        <v>84</v>
      </c>
      <c r="B104" s="67">
        <f>+SUM(B105:B113)</f>
        <v>529023.58400000003</v>
      </c>
      <c r="C104" s="67">
        <f t="shared" ref="C104:J104" si="20">+SUM(C105:C113)</f>
        <v>0</v>
      </c>
      <c r="D104" s="67">
        <f t="shared" si="20"/>
        <v>11320</v>
      </c>
      <c r="E104" s="67">
        <f t="shared" si="20"/>
        <v>3600</v>
      </c>
      <c r="F104" s="67">
        <f t="shared" si="20"/>
        <v>426053.05599999998</v>
      </c>
      <c r="G104" s="67">
        <f t="shared" si="20"/>
        <v>2700</v>
      </c>
      <c r="H104" s="67">
        <f t="shared" si="20"/>
        <v>1800</v>
      </c>
      <c r="I104" s="67">
        <f t="shared" si="20"/>
        <v>30928</v>
      </c>
      <c r="J104" s="67">
        <f t="shared" si="20"/>
        <v>0</v>
      </c>
    </row>
    <row r="105" spans="1:10">
      <c r="A105" s="61" t="s">
        <v>85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</row>
    <row r="106" spans="1:10">
      <c r="A106" s="61" t="s">
        <v>86</v>
      </c>
      <c r="B106" s="68">
        <v>172696.584</v>
      </c>
      <c r="C106" s="68">
        <v>0</v>
      </c>
      <c r="D106" s="68">
        <v>5400</v>
      </c>
      <c r="E106" s="68">
        <v>3600</v>
      </c>
      <c r="F106" s="68">
        <v>111631.05600000001</v>
      </c>
      <c r="G106" s="68">
        <v>2700</v>
      </c>
      <c r="H106" s="68">
        <v>1800</v>
      </c>
      <c r="I106" s="68">
        <v>0</v>
      </c>
      <c r="J106" s="68">
        <v>0</v>
      </c>
    </row>
    <row r="107" spans="1:10">
      <c r="A107" s="61" t="s">
        <v>87</v>
      </c>
      <c r="B107" s="68">
        <v>0</v>
      </c>
      <c r="C107" s="68">
        <v>0</v>
      </c>
      <c r="D107" s="68">
        <v>0</v>
      </c>
      <c r="E107" s="68">
        <v>0</v>
      </c>
      <c r="F107" s="68">
        <v>0</v>
      </c>
      <c r="G107" s="68">
        <v>0</v>
      </c>
      <c r="H107" s="68">
        <v>0</v>
      </c>
      <c r="I107" s="68">
        <v>0</v>
      </c>
      <c r="J107" s="68">
        <v>0</v>
      </c>
    </row>
    <row r="108" spans="1:10">
      <c r="A108" s="61" t="s">
        <v>88</v>
      </c>
      <c r="B108" s="68">
        <v>220809</v>
      </c>
      <c r="C108" s="68">
        <v>0</v>
      </c>
      <c r="D108" s="68">
        <v>0</v>
      </c>
      <c r="E108" s="68">
        <v>0</v>
      </c>
      <c r="F108" s="68">
        <v>223250</v>
      </c>
      <c r="G108" s="68">
        <v>0</v>
      </c>
      <c r="H108" s="68">
        <v>0</v>
      </c>
      <c r="I108" s="68">
        <v>0</v>
      </c>
      <c r="J108" s="68">
        <v>0</v>
      </c>
    </row>
    <row r="109" spans="1:10">
      <c r="A109" s="61" t="s">
        <v>89</v>
      </c>
      <c r="B109" s="68">
        <v>82518</v>
      </c>
      <c r="C109" s="68">
        <v>0</v>
      </c>
      <c r="D109" s="68">
        <v>0</v>
      </c>
      <c r="E109" s="68">
        <v>0</v>
      </c>
      <c r="F109" s="68">
        <v>55012</v>
      </c>
      <c r="G109" s="68">
        <v>0</v>
      </c>
      <c r="H109" s="68">
        <v>0</v>
      </c>
      <c r="I109" s="68">
        <v>0</v>
      </c>
      <c r="J109" s="68">
        <v>0</v>
      </c>
    </row>
    <row r="110" spans="1:10">
      <c r="A110" s="61" t="s">
        <v>90</v>
      </c>
      <c r="B110" s="68">
        <v>53000</v>
      </c>
      <c r="C110" s="68">
        <v>0</v>
      </c>
      <c r="D110" s="68">
        <v>0</v>
      </c>
      <c r="E110" s="68">
        <v>0</v>
      </c>
      <c r="F110" s="68">
        <v>36160</v>
      </c>
      <c r="G110" s="68">
        <v>0</v>
      </c>
      <c r="H110" s="68">
        <v>0</v>
      </c>
      <c r="I110" s="68">
        <v>0</v>
      </c>
      <c r="J110" s="68">
        <v>0</v>
      </c>
    </row>
    <row r="111" spans="1:10">
      <c r="A111" s="61" t="s">
        <v>91</v>
      </c>
      <c r="B111" s="68">
        <v>0</v>
      </c>
      <c r="C111" s="68">
        <v>0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</row>
    <row r="112" spans="1:10">
      <c r="A112" s="61" t="s">
        <v>92</v>
      </c>
      <c r="B112" s="68">
        <v>0</v>
      </c>
      <c r="C112" s="68">
        <v>0</v>
      </c>
      <c r="D112" s="68">
        <v>5920</v>
      </c>
      <c r="E112" s="68">
        <v>0</v>
      </c>
      <c r="F112" s="68">
        <v>0</v>
      </c>
      <c r="G112" s="68">
        <v>0</v>
      </c>
      <c r="H112" s="68">
        <v>0</v>
      </c>
      <c r="I112" s="68">
        <v>30928</v>
      </c>
      <c r="J112" s="68">
        <v>0</v>
      </c>
    </row>
    <row r="113" spans="1:10">
      <c r="A113" s="61" t="s">
        <v>225</v>
      </c>
      <c r="B113" s="68">
        <v>0</v>
      </c>
      <c r="C113" s="68">
        <v>0</v>
      </c>
      <c r="D113" s="68">
        <v>0</v>
      </c>
      <c r="E113" s="68">
        <v>0</v>
      </c>
      <c r="F113" s="68">
        <v>0</v>
      </c>
      <c r="G113" s="68">
        <v>0</v>
      </c>
      <c r="H113" s="68">
        <v>0</v>
      </c>
      <c r="I113" s="68">
        <v>0</v>
      </c>
      <c r="J113" s="68">
        <v>0</v>
      </c>
    </row>
    <row r="114" spans="1:10">
      <c r="A114" s="60"/>
      <c r="B114" s="68"/>
      <c r="C114" s="68"/>
      <c r="D114" s="68"/>
      <c r="E114" s="68"/>
      <c r="F114" s="68"/>
      <c r="G114" s="68"/>
      <c r="H114" s="68"/>
      <c r="I114" s="69"/>
      <c r="J114" s="69"/>
    </row>
    <row r="115" spans="1:10" ht="17.25">
      <c r="A115" s="71" t="s">
        <v>211</v>
      </c>
      <c r="B115" s="67">
        <f>+B116+B129+B133+B138+B146+B150</f>
        <v>3343648.0188703355</v>
      </c>
      <c r="C115" s="67">
        <f t="shared" ref="C115:J115" si="21">+C116+C129+C133+C138+C146+C150</f>
        <v>36950</v>
      </c>
      <c r="D115" s="67">
        <f t="shared" si="21"/>
        <v>1875340.1917523902</v>
      </c>
      <c r="E115" s="67">
        <f t="shared" si="21"/>
        <v>481406.2904352725</v>
      </c>
      <c r="F115" s="67">
        <f t="shared" si="21"/>
        <v>1145270.5370049614</v>
      </c>
      <c r="G115" s="67">
        <f t="shared" si="21"/>
        <v>890115.25326542335</v>
      </c>
      <c r="H115" s="67">
        <f t="shared" si="21"/>
        <v>168301.04143221959</v>
      </c>
      <c r="I115" s="67">
        <f t="shared" si="21"/>
        <v>538197.26410256408</v>
      </c>
      <c r="J115" s="67">
        <f t="shared" si="21"/>
        <v>89460.048076923078</v>
      </c>
    </row>
    <row r="116" spans="1:10">
      <c r="A116" s="72" t="s">
        <v>94</v>
      </c>
      <c r="B116" s="67">
        <f>+SUM(B117:B128)</f>
        <v>2567532.114797276</v>
      </c>
      <c r="C116" s="67">
        <f t="shared" ref="C116:J116" si="22">+SUM(C117:C128)</f>
        <v>36950</v>
      </c>
      <c r="D116" s="67">
        <f t="shared" si="22"/>
        <v>1534311.2319195138</v>
      </c>
      <c r="E116" s="67">
        <f t="shared" si="22"/>
        <v>335312.75721335469</v>
      </c>
      <c r="F116" s="67">
        <f t="shared" si="22"/>
        <v>873009.40547756408</v>
      </c>
      <c r="G116" s="67">
        <f t="shared" si="22"/>
        <v>724147.18234898499</v>
      </c>
      <c r="H116" s="67">
        <f t="shared" si="22"/>
        <v>93233.660821260695</v>
      </c>
      <c r="I116" s="67">
        <f t="shared" si="22"/>
        <v>408708.06410256412</v>
      </c>
      <c r="J116" s="67">
        <f t="shared" si="22"/>
        <v>77460.048076923078</v>
      </c>
    </row>
    <row r="117" spans="1:10">
      <c r="A117" s="61" t="s">
        <v>95</v>
      </c>
      <c r="B117" s="68">
        <v>955400</v>
      </c>
      <c r="C117" s="68">
        <v>15000</v>
      </c>
      <c r="D117" s="68">
        <v>587741</v>
      </c>
      <c r="E117" s="68">
        <v>95300</v>
      </c>
      <c r="F117" s="68">
        <v>326539</v>
      </c>
      <c r="G117" s="68">
        <v>270814</v>
      </c>
      <c r="H117" s="68">
        <v>17400</v>
      </c>
      <c r="I117" s="68">
        <v>178774</v>
      </c>
      <c r="J117" s="68">
        <v>28250</v>
      </c>
    </row>
    <row r="118" spans="1:10">
      <c r="A118" s="61" t="s">
        <v>96</v>
      </c>
      <c r="B118" s="68">
        <v>131875</v>
      </c>
      <c r="C118" s="68">
        <v>2500</v>
      </c>
      <c r="D118" s="68">
        <v>87676</v>
      </c>
      <c r="E118" s="68">
        <v>17120</v>
      </c>
      <c r="F118" s="68">
        <v>48241</v>
      </c>
      <c r="G118" s="68">
        <v>45892</v>
      </c>
      <c r="H118" s="68">
        <v>2620</v>
      </c>
      <c r="I118" s="68">
        <v>25718</v>
      </c>
      <c r="J118" s="68">
        <v>4200</v>
      </c>
    </row>
    <row r="119" spans="1:10">
      <c r="A119" s="61" t="s">
        <v>97</v>
      </c>
      <c r="B119" s="68">
        <v>31500</v>
      </c>
      <c r="C119" s="68">
        <v>0</v>
      </c>
      <c r="D119" s="68">
        <v>1500</v>
      </c>
      <c r="E119" s="68">
        <v>2500</v>
      </c>
      <c r="F119" s="68">
        <v>8917</v>
      </c>
      <c r="G119" s="68">
        <v>3000</v>
      </c>
      <c r="H119" s="68">
        <v>0</v>
      </c>
      <c r="I119" s="68">
        <v>0</v>
      </c>
      <c r="J119" s="68">
        <v>0</v>
      </c>
    </row>
    <row r="120" spans="1:10">
      <c r="A120" s="61" t="s">
        <v>98</v>
      </c>
      <c r="B120" s="68">
        <v>323400</v>
      </c>
      <c r="C120" s="68">
        <v>4000</v>
      </c>
      <c r="D120" s="68">
        <v>205426</v>
      </c>
      <c r="E120" s="68">
        <v>32720</v>
      </c>
      <c r="F120" s="68">
        <v>111755</v>
      </c>
      <c r="G120" s="68">
        <v>100387</v>
      </c>
      <c r="H120" s="68">
        <v>5680</v>
      </c>
      <c r="I120" s="68">
        <v>70219</v>
      </c>
      <c r="J120" s="68">
        <v>11300</v>
      </c>
    </row>
    <row r="121" spans="1:10">
      <c r="A121" s="61" t="s">
        <v>99</v>
      </c>
      <c r="B121" s="68">
        <v>83850</v>
      </c>
      <c r="C121" s="68">
        <v>0</v>
      </c>
      <c r="D121" s="68">
        <v>45419</v>
      </c>
      <c r="E121" s="68">
        <v>4100</v>
      </c>
      <c r="F121" s="68">
        <v>24520</v>
      </c>
      <c r="G121" s="68">
        <v>25412</v>
      </c>
      <c r="H121" s="68">
        <v>2400</v>
      </c>
      <c r="I121" s="68">
        <v>15384</v>
      </c>
      <c r="J121" s="68">
        <v>0</v>
      </c>
    </row>
    <row r="122" spans="1:10">
      <c r="A122" s="61" t="s">
        <v>100</v>
      </c>
      <c r="B122" s="68">
        <v>40300</v>
      </c>
      <c r="C122" s="68">
        <v>500</v>
      </c>
      <c r="D122" s="68">
        <v>18700</v>
      </c>
      <c r="E122" s="68">
        <v>2000</v>
      </c>
      <c r="F122" s="68">
        <v>8300</v>
      </c>
      <c r="G122" s="68">
        <v>12500</v>
      </c>
      <c r="H122" s="68">
        <v>1500</v>
      </c>
      <c r="I122" s="68">
        <v>2500</v>
      </c>
      <c r="J122" s="68">
        <v>0</v>
      </c>
    </row>
    <row r="123" spans="1:10">
      <c r="A123" s="61" t="s">
        <v>101</v>
      </c>
      <c r="B123" s="68">
        <v>529475</v>
      </c>
      <c r="C123" s="68">
        <v>13000</v>
      </c>
      <c r="D123" s="68">
        <v>287607</v>
      </c>
      <c r="E123" s="68">
        <v>53060</v>
      </c>
      <c r="F123" s="68">
        <v>164105</v>
      </c>
      <c r="G123" s="68">
        <v>114423</v>
      </c>
      <c r="H123" s="68">
        <v>7400</v>
      </c>
      <c r="I123" s="68">
        <v>62818</v>
      </c>
      <c r="J123" s="68">
        <v>12750</v>
      </c>
    </row>
    <row r="124" spans="1:10">
      <c r="A124" s="61" t="s">
        <v>102</v>
      </c>
      <c r="B124" s="68">
        <v>107556.71915625001</v>
      </c>
      <c r="C124" s="68">
        <v>1949.9999999999998</v>
      </c>
      <c r="D124" s="68">
        <v>74658.494586180561</v>
      </c>
      <c r="E124" s="68">
        <v>14646.494290277777</v>
      </c>
      <c r="F124" s="68">
        <v>43454.504708333327</v>
      </c>
      <c r="G124" s="68">
        <v>35293.217528472225</v>
      </c>
      <c r="H124" s="68">
        <v>2286.8210263888886</v>
      </c>
      <c r="I124" s="68">
        <v>18806.666666666668</v>
      </c>
      <c r="J124" s="68">
        <v>5646.875</v>
      </c>
    </row>
    <row r="125" spans="1:10">
      <c r="A125" s="61" t="s">
        <v>103</v>
      </c>
      <c r="B125" s="68">
        <v>4821.25</v>
      </c>
      <c r="C125" s="68">
        <v>0</v>
      </c>
      <c r="D125" s="68">
        <v>6992</v>
      </c>
      <c r="E125" s="68">
        <v>1866.75</v>
      </c>
      <c r="F125" s="68">
        <v>2066.25</v>
      </c>
      <c r="G125" s="68">
        <v>3752.5</v>
      </c>
      <c r="H125" s="68">
        <v>0</v>
      </c>
      <c r="I125" s="68">
        <v>807.5</v>
      </c>
      <c r="J125" s="68">
        <v>0</v>
      </c>
    </row>
    <row r="126" spans="1:10">
      <c r="A126" s="61" t="s">
        <v>104</v>
      </c>
      <c r="B126" s="68">
        <v>244713.12</v>
      </c>
      <c r="C126" s="68">
        <v>0</v>
      </c>
      <c r="D126" s="68">
        <v>147920.90399999998</v>
      </c>
      <c r="E126" s="68">
        <v>98613.936000000002</v>
      </c>
      <c r="F126" s="68">
        <v>91767.42</v>
      </c>
      <c r="G126" s="68">
        <v>77740.45199999999</v>
      </c>
      <c r="H126" s="68">
        <v>51826.968000000001</v>
      </c>
      <c r="I126" s="68">
        <v>15120</v>
      </c>
      <c r="J126" s="68">
        <v>10080</v>
      </c>
    </row>
    <row r="127" spans="1:10">
      <c r="A127" s="61" t="s">
        <v>105</v>
      </c>
      <c r="B127" s="68">
        <v>54057.692307692305</v>
      </c>
      <c r="C127" s="68">
        <v>0</v>
      </c>
      <c r="D127" s="68">
        <v>28437.499999999996</v>
      </c>
      <c r="E127" s="68">
        <v>5110.5769230769229</v>
      </c>
      <c r="F127" s="68">
        <v>18769.230769230773</v>
      </c>
      <c r="G127" s="68">
        <v>14716.346153846156</v>
      </c>
      <c r="H127" s="68">
        <v>836.53846153846155</v>
      </c>
      <c r="I127" s="68">
        <v>7644.2307692307695</v>
      </c>
      <c r="J127" s="68">
        <v>1983.1730769230771</v>
      </c>
    </row>
    <row r="128" spans="1:10">
      <c r="A128" s="61" t="s">
        <v>226</v>
      </c>
      <c r="B128" s="68">
        <v>60583.333333333343</v>
      </c>
      <c r="C128" s="68">
        <v>0</v>
      </c>
      <c r="D128" s="68">
        <v>42233.333333333328</v>
      </c>
      <c r="E128" s="68">
        <v>8274.9999999999982</v>
      </c>
      <c r="F128" s="68">
        <v>24574.999999999996</v>
      </c>
      <c r="G128" s="68">
        <v>20216.666666666664</v>
      </c>
      <c r="H128" s="68">
        <v>1283.3333333333333</v>
      </c>
      <c r="I128" s="68">
        <v>10916.666666666664</v>
      </c>
      <c r="J128" s="68">
        <v>3250</v>
      </c>
    </row>
    <row r="129" spans="1:10">
      <c r="A129" s="72" t="s">
        <v>106</v>
      </c>
      <c r="B129" s="67">
        <f>+SUM(B130:B132)</f>
        <v>328889.2</v>
      </c>
      <c r="C129" s="67">
        <f t="shared" ref="C129:J129" si="23">+SUM(C130:C132)</f>
        <v>0</v>
      </c>
      <c r="D129" s="67">
        <f t="shared" si="23"/>
        <v>0</v>
      </c>
      <c r="E129" s="67">
        <f t="shared" si="23"/>
        <v>0</v>
      </c>
      <c r="F129" s="67">
        <f t="shared" si="23"/>
        <v>43592.800000000003</v>
      </c>
      <c r="G129" s="67">
        <f t="shared" si="23"/>
        <v>0</v>
      </c>
      <c r="H129" s="67">
        <f t="shared" si="23"/>
        <v>0</v>
      </c>
      <c r="I129" s="67">
        <f t="shared" si="23"/>
        <v>0</v>
      </c>
      <c r="J129" s="67">
        <f t="shared" si="23"/>
        <v>0</v>
      </c>
    </row>
    <row r="130" spans="1:10">
      <c r="A130" s="61" t="s">
        <v>107</v>
      </c>
      <c r="B130" s="68">
        <v>265000</v>
      </c>
      <c r="C130" s="68">
        <v>0</v>
      </c>
      <c r="D130" s="68">
        <v>0</v>
      </c>
      <c r="E130" s="68">
        <v>0</v>
      </c>
      <c r="F130" s="68">
        <v>1000</v>
      </c>
      <c r="G130" s="68">
        <v>0</v>
      </c>
      <c r="H130" s="68">
        <v>0</v>
      </c>
      <c r="I130" s="68">
        <v>0</v>
      </c>
      <c r="J130" s="68">
        <v>0</v>
      </c>
    </row>
    <row r="131" spans="1:10">
      <c r="A131" s="61" t="s">
        <v>108</v>
      </c>
      <c r="B131" s="68">
        <v>0</v>
      </c>
      <c r="C131" s="68">
        <v>0</v>
      </c>
      <c r="D131" s="68">
        <v>0</v>
      </c>
      <c r="E131" s="68">
        <v>0</v>
      </c>
      <c r="F131" s="68">
        <v>0</v>
      </c>
      <c r="G131" s="68">
        <v>0</v>
      </c>
      <c r="H131" s="68">
        <v>0</v>
      </c>
      <c r="I131" s="68">
        <v>0</v>
      </c>
      <c r="J131" s="68">
        <v>0</v>
      </c>
    </row>
    <row r="132" spans="1:10">
      <c r="A132" s="61" t="s">
        <v>109</v>
      </c>
      <c r="B132" s="68">
        <v>63889.2</v>
      </c>
      <c r="C132" s="68">
        <v>0</v>
      </c>
      <c r="D132" s="68">
        <v>0</v>
      </c>
      <c r="E132" s="68">
        <v>0</v>
      </c>
      <c r="F132" s="68">
        <v>42592.800000000003</v>
      </c>
      <c r="G132" s="68">
        <v>0</v>
      </c>
      <c r="H132" s="68">
        <v>0</v>
      </c>
      <c r="I132" s="68">
        <v>0</v>
      </c>
      <c r="J132" s="68">
        <v>0</v>
      </c>
    </row>
    <row r="133" spans="1:10">
      <c r="A133" s="72" t="s">
        <v>110</v>
      </c>
      <c r="B133" s="67">
        <f>+SUM(B134:B137)</f>
        <v>181447.68800000002</v>
      </c>
      <c r="C133" s="67">
        <f t="shared" ref="C133:J133" si="24">+SUM(C134:C137)</f>
        <v>0</v>
      </c>
      <c r="D133" s="67">
        <f t="shared" si="24"/>
        <v>145949.5986</v>
      </c>
      <c r="E133" s="67">
        <f t="shared" si="24"/>
        <v>57842.492399999996</v>
      </c>
      <c r="F133" s="67">
        <f t="shared" si="24"/>
        <v>72130.99549999999</v>
      </c>
      <c r="G133" s="67">
        <f t="shared" si="24"/>
        <v>59710.869299999991</v>
      </c>
      <c r="H133" s="67">
        <f t="shared" si="24"/>
        <v>28921.246199999998</v>
      </c>
      <c r="I133" s="67">
        <f t="shared" si="24"/>
        <v>7316</v>
      </c>
      <c r="J133" s="67">
        <f t="shared" si="24"/>
        <v>0</v>
      </c>
    </row>
    <row r="134" spans="1:10">
      <c r="A134" s="61" t="s">
        <v>111</v>
      </c>
      <c r="B134" s="68">
        <v>0</v>
      </c>
      <c r="C134" s="68">
        <v>0</v>
      </c>
      <c r="D134" s="68">
        <v>0</v>
      </c>
      <c r="E134" s="68">
        <v>0</v>
      </c>
      <c r="F134" s="68">
        <v>0</v>
      </c>
      <c r="G134" s="68">
        <v>0</v>
      </c>
      <c r="H134" s="68">
        <v>0</v>
      </c>
      <c r="I134" s="68">
        <v>0</v>
      </c>
      <c r="J134" s="68">
        <v>0</v>
      </c>
    </row>
    <row r="135" spans="1:10">
      <c r="A135" s="61" t="s">
        <v>112</v>
      </c>
      <c r="B135" s="68">
        <v>-1485.0199999999932</v>
      </c>
      <c r="C135" s="68">
        <v>0</v>
      </c>
      <c r="D135" s="68">
        <v>63629.88</v>
      </c>
      <c r="E135" s="68">
        <v>2962.68</v>
      </c>
      <c r="F135" s="68">
        <v>3531.2299999999896</v>
      </c>
      <c r="G135" s="68">
        <v>18551.009999999998</v>
      </c>
      <c r="H135" s="68">
        <v>1481.34</v>
      </c>
      <c r="I135" s="68">
        <v>7316</v>
      </c>
      <c r="J135" s="68">
        <v>0</v>
      </c>
    </row>
    <row r="136" spans="1:10">
      <c r="A136" s="61" t="s">
        <v>113</v>
      </c>
      <c r="B136" s="68">
        <v>0</v>
      </c>
      <c r="C136" s="68">
        <v>0</v>
      </c>
      <c r="D136" s="68">
        <v>0</v>
      </c>
      <c r="E136" s="68">
        <v>0</v>
      </c>
      <c r="F136" s="68">
        <v>0</v>
      </c>
      <c r="G136" s="68">
        <v>0</v>
      </c>
      <c r="H136" s="68">
        <v>0</v>
      </c>
      <c r="I136" s="68">
        <v>0</v>
      </c>
      <c r="J136" s="68">
        <v>0</v>
      </c>
    </row>
    <row r="137" spans="1:10">
      <c r="A137" s="61" t="s">
        <v>114</v>
      </c>
      <c r="B137" s="68">
        <v>182932.70800000001</v>
      </c>
      <c r="C137" s="68">
        <v>0</v>
      </c>
      <c r="D137" s="68">
        <v>82319.718599999993</v>
      </c>
      <c r="E137" s="68">
        <v>54879.812399999995</v>
      </c>
      <c r="F137" s="68">
        <v>68599.765499999994</v>
      </c>
      <c r="G137" s="68">
        <v>41159.859299999996</v>
      </c>
      <c r="H137" s="68">
        <v>27439.906199999998</v>
      </c>
      <c r="I137" s="68">
        <v>0</v>
      </c>
      <c r="J137" s="68">
        <v>0</v>
      </c>
    </row>
    <row r="138" spans="1:10">
      <c r="A138" s="72" t="s">
        <v>115</v>
      </c>
      <c r="B138" s="67">
        <f>+SUM(B139:B145)</f>
        <v>40220.016073059356</v>
      </c>
      <c r="C138" s="67">
        <f t="shared" ref="C138:J138" si="25">+SUM(C139:C145)</f>
        <v>0</v>
      </c>
      <c r="D138" s="67">
        <f t="shared" si="25"/>
        <v>78590.961232876711</v>
      </c>
      <c r="E138" s="67">
        <f t="shared" si="25"/>
        <v>27332.640821917812</v>
      </c>
      <c r="F138" s="67">
        <f t="shared" si="25"/>
        <v>55937.836027397258</v>
      </c>
      <c r="G138" s="67">
        <f t="shared" si="25"/>
        <v>44529.101616438355</v>
      </c>
      <c r="H138" s="67">
        <f t="shared" si="25"/>
        <v>17522.734410958903</v>
      </c>
      <c r="I138" s="67">
        <f t="shared" si="25"/>
        <v>33588</v>
      </c>
      <c r="J138" s="67">
        <f t="shared" si="25"/>
        <v>12000</v>
      </c>
    </row>
    <row r="139" spans="1:10">
      <c r="A139" s="61" t="s">
        <v>116</v>
      </c>
      <c r="B139" s="68">
        <v>26166.136073059359</v>
      </c>
      <c r="C139" s="68">
        <v>0</v>
      </c>
      <c r="D139" s="68">
        <v>11207.761232876712</v>
      </c>
      <c r="E139" s="68">
        <v>7471.8408219178082</v>
      </c>
      <c r="F139" s="68">
        <v>9857.8010273972595</v>
      </c>
      <c r="G139" s="68">
        <v>6712.6806164383561</v>
      </c>
      <c r="H139" s="68">
        <v>3943.1204109589039</v>
      </c>
      <c r="I139" s="68">
        <v>100</v>
      </c>
      <c r="J139" s="68">
        <v>0</v>
      </c>
    </row>
    <row r="140" spans="1:10">
      <c r="A140" s="61" t="s">
        <v>117</v>
      </c>
      <c r="B140" s="68">
        <v>7292</v>
      </c>
      <c r="C140" s="68">
        <v>0</v>
      </c>
      <c r="D140" s="68">
        <v>37592</v>
      </c>
      <c r="E140" s="68">
        <v>0</v>
      </c>
      <c r="F140" s="68">
        <v>23580.035</v>
      </c>
      <c r="G140" s="68">
        <v>12066.420999999998</v>
      </c>
      <c r="H140" s="68">
        <v>4579.6140000000005</v>
      </c>
      <c r="I140" s="68">
        <v>15488</v>
      </c>
      <c r="J140" s="68">
        <v>0</v>
      </c>
    </row>
    <row r="141" spans="1:10">
      <c r="A141" s="61" t="s">
        <v>227</v>
      </c>
      <c r="B141" s="68">
        <v>0</v>
      </c>
      <c r="C141" s="68">
        <v>0</v>
      </c>
      <c r="D141" s="68">
        <v>29791.199999999997</v>
      </c>
      <c r="E141" s="68">
        <v>19860.800000000003</v>
      </c>
      <c r="F141" s="68">
        <v>22500</v>
      </c>
      <c r="G141" s="68">
        <v>13500</v>
      </c>
      <c r="H141" s="68">
        <v>9000</v>
      </c>
      <c r="I141" s="68">
        <v>18000</v>
      </c>
      <c r="J141" s="68">
        <v>12000</v>
      </c>
    </row>
    <row r="142" spans="1:10">
      <c r="A142" s="61" t="s">
        <v>228</v>
      </c>
      <c r="B142" s="68">
        <v>6761.88</v>
      </c>
      <c r="C142" s="68">
        <v>0</v>
      </c>
      <c r="D142" s="68">
        <v>0</v>
      </c>
      <c r="E142" s="68">
        <v>0</v>
      </c>
      <c r="F142" s="68">
        <v>0</v>
      </c>
      <c r="G142" s="68">
        <v>12250</v>
      </c>
      <c r="H142" s="68">
        <v>0</v>
      </c>
      <c r="I142" s="68">
        <v>0</v>
      </c>
      <c r="J142" s="68">
        <v>0</v>
      </c>
    </row>
    <row r="143" spans="1:10">
      <c r="A143" s="61" t="s">
        <v>118</v>
      </c>
      <c r="B143" s="68">
        <v>0</v>
      </c>
      <c r="C143" s="68">
        <v>0</v>
      </c>
      <c r="D143" s="68">
        <v>0</v>
      </c>
      <c r="E143" s="68">
        <v>0</v>
      </c>
      <c r="F143" s="68">
        <v>0</v>
      </c>
      <c r="G143" s="68">
        <v>0</v>
      </c>
      <c r="H143" s="68">
        <v>0</v>
      </c>
      <c r="I143" s="68">
        <v>0</v>
      </c>
      <c r="J143" s="68">
        <v>0</v>
      </c>
    </row>
    <row r="144" spans="1:10">
      <c r="A144" s="61" t="s">
        <v>119</v>
      </c>
      <c r="B144" s="68">
        <v>0</v>
      </c>
      <c r="C144" s="68">
        <v>0</v>
      </c>
      <c r="D144" s="68">
        <v>0</v>
      </c>
      <c r="E144" s="68">
        <v>0</v>
      </c>
      <c r="F144" s="68">
        <v>0</v>
      </c>
      <c r="G144" s="68">
        <v>0</v>
      </c>
      <c r="H144" s="68">
        <v>0</v>
      </c>
      <c r="I144" s="68">
        <v>0</v>
      </c>
      <c r="J144" s="68">
        <v>0</v>
      </c>
    </row>
    <row r="145" spans="1:10">
      <c r="A145" s="61" t="s">
        <v>120</v>
      </c>
      <c r="B145" s="68">
        <v>0</v>
      </c>
      <c r="C145" s="68">
        <v>0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/>
    </row>
    <row r="146" spans="1:10">
      <c r="A146" s="72" t="s">
        <v>121</v>
      </c>
      <c r="B146" s="67">
        <f>+SUM(B147:B149)</f>
        <v>85276</v>
      </c>
      <c r="C146" s="67">
        <f t="shared" ref="C146:J146" si="26">+SUM(C147:C149)</f>
        <v>0</v>
      </c>
      <c r="D146" s="67">
        <f t="shared" si="26"/>
        <v>17472</v>
      </c>
      <c r="E146" s="67">
        <f t="shared" si="26"/>
        <v>0</v>
      </c>
      <c r="F146" s="67">
        <f t="shared" si="26"/>
        <v>29041</v>
      </c>
      <c r="G146" s="67">
        <f t="shared" si="26"/>
        <v>18793</v>
      </c>
      <c r="H146" s="67">
        <f t="shared" si="26"/>
        <v>0</v>
      </c>
      <c r="I146" s="67">
        <f t="shared" si="26"/>
        <v>6361</v>
      </c>
      <c r="J146" s="67">
        <f t="shared" si="26"/>
        <v>0</v>
      </c>
    </row>
    <row r="147" spans="1:10">
      <c r="A147" s="61" t="s">
        <v>122</v>
      </c>
      <c r="B147" s="68">
        <v>0</v>
      </c>
      <c r="C147" s="68">
        <v>0</v>
      </c>
      <c r="D147" s="68">
        <v>0</v>
      </c>
      <c r="E147" s="68">
        <v>0</v>
      </c>
      <c r="F147" s="68">
        <v>0</v>
      </c>
      <c r="G147" s="68">
        <v>0</v>
      </c>
      <c r="H147" s="68">
        <v>0</v>
      </c>
      <c r="I147" s="68">
        <v>0</v>
      </c>
      <c r="J147" s="68">
        <v>0</v>
      </c>
    </row>
    <row r="148" spans="1:10">
      <c r="A148" s="61" t="s">
        <v>123</v>
      </c>
      <c r="B148" s="68">
        <v>85276</v>
      </c>
      <c r="C148" s="68">
        <v>0</v>
      </c>
      <c r="D148" s="68">
        <v>17472</v>
      </c>
      <c r="E148" s="68">
        <v>0</v>
      </c>
      <c r="F148" s="68">
        <v>29041</v>
      </c>
      <c r="G148" s="68">
        <v>18793</v>
      </c>
      <c r="H148" s="68">
        <v>0</v>
      </c>
      <c r="I148" s="68">
        <v>6361</v>
      </c>
      <c r="J148" s="68">
        <v>0</v>
      </c>
    </row>
    <row r="149" spans="1:10">
      <c r="A149" s="61" t="s">
        <v>124</v>
      </c>
      <c r="B149" s="68">
        <v>0</v>
      </c>
      <c r="C149" s="68">
        <v>0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</row>
    <row r="150" spans="1:10">
      <c r="A150" s="72" t="s">
        <v>125</v>
      </c>
      <c r="B150" s="67">
        <f>+SUM(B151:B154)</f>
        <v>140283</v>
      </c>
      <c r="C150" s="67">
        <f t="shared" ref="C150:J150" si="27">+SUM(C151:C154)</f>
        <v>0</v>
      </c>
      <c r="D150" s="67">
        <f t="shared" si="27"/>
        <v>99016.4</v>
      </c>
      <c r="E150" s="67">
        <f t="shared" si="27"/>
        <v>60918.400000000001</v>
      </c>
      <c r="F150" s="67">
        <f t="shared" si="27"/>
        <v>71558.5</v>
      </c>
      <c r="G150" s="67">
        <f t="shared" si="27"/>
        <v>42935.1</v>
      </c>
      <c r="H150" s="67">
        <f t="shared" si="27"/>
        <v>28623.4</v>
      </c>
      <c r="I150" s="67">
        <f t="shared" si="27"/>
        <v>82224.2</v>
      </c>
      <c r="J150" s="67">
        <f t="shared" si="27"/>
        <v>0</v>
      </c>
    </row>
    <row r="151" spans="1:10">
      <c r="A151" s="61" t="s">
        <v>126</v>
      </c>
      <c r="B151" s="68">
        <v>58761</v>
      </c>
      <c r="C151" s="68">
        <v>0</v>
      </c>
      <c r="D151" s="68">
        <v>51914.400000000001</v>
      </c>
      <c r="E151" s="68">
        <v>60918.400000000001</v>
      </c>
      <c r="F151" s="68">
        <v>50778</v>
      </c>
      <c r="G151" s="68">
        <v>30466.799999999999</v>
      </c>
      <c r="H151" s="68">
        <v>20311.2</v>
      </c>
      <c r="I151" s="68">
        <v>39463.199999999997</v>
      </c>
      <c r="J151" s="68">
        <v>0</v>
      </c>
    </row>
    <row r="152" spans="1:10">
      <c r="A152" s="61" t="s">
        <v>229</v>
      </c>
      <c r="B152" s="68">
        <v>9922</v>
      </c>
      <c r="C152" s="68">
        <v>0</v>
      </c>
      <c r="D152" s="68">
        <v>9922</v>
      </c>
      <c r="E152" s="68">
        <v>0</v>
      </c>
      <c r="F152" s="68">
        <v>2480.5</v>
      </c>
      <c r="G152" s="68">
        <v>1488.3</v>
      </c>
      <c r="H152" s="68">
        <v>992.2</v>
      </c>
      <c r="I152" s="68">
        <v>4961</v>
      </c>
      <c r="J152" s="68">
        <v>0</v>
      </c>
    </row>
    <row r="153" spans="1:10">
      <c r="A153" s="61" t="s">
        <v>127</v>
      </c>
      <c r="B153" s="68">
        <v>71000</v>
      </c>
      <c r="C153" s="68">
        <v>0</v>
      </c>
      <c r="D153" s="68">
        <v>35000</v>
      </c>
      <c r="E153" s="68">
        <v>0</v>
      </c>
      <c r="F153" s="68">
        <v>17500</v>
      </c>
      <c r="G153" s="68">
        <v>10500</v>
      </c>
      <c r="H153" s="68">
        <v>7000</v>
      </c>
      <c r="I153" s="68">
        <v>32000</v>
      </c>
      <c r="J153" s="68">
        <v>0</v>
      </c>
    </row>
    <row r="154" spans="1:10">
      <c r="A154" s="61" t="s">
        <v>128</v>
      </c>
      <c r="B154" s="68">
        <v>600</v>
      </c>
      <c r="C154" s="68">
        <v>0</v>
      </c>
      <c r="D154" s="68">
        <v>2180</v>
      </c>
      <c r="E154" s="68">
        <v>0</v>
      </c>
      <c r="F154" s="68">
        <v>800</v>
      </c>
      <c r="G154" s="68">
        <v>480</v>
      </c>
      <c r="H154" s="68">
        <v>320</v>
      </c>
      <c r="I154" s="68">
        <v>5800</v>
      </c>
      <c r="J154" s="68">
        <v>0</v>
      </c>
    </row>
    <row r="155" spans="1:10">
      <c r="A155" s="60"/>
      <c r="B155" s="68"/>
      <c r="C155" s="68"/>
      <c r="D155" s="68"/>
      <c r="E155" s="68"/>
      <c r="F155" s="68"/>
      <c r="G155" s="68"/>
      <c r="H155" s="68"/>
      <c r="I155" s="69"/>
      <c r="J155" s="69"/>
    </row>
    <row r="156" spans="1:10" ht="17.25">
      <c r="A156" s="71" t="s">
        <v>129</v>
      </c>
      <c r="B156" s="67">
        <f>+B157+B164+B172+B178+B182+B187+B193+B205+B209+B214</f>
        <v>725272.80779353017</v>
      </c>
      <c r="C156" s="67">
        <f t="shared" ref="C156:J156" si="28">+C157+C164+C172+C178+C182+C187+C193+C205+C209+C214</f>
        <v>0.02</v>
      </c>
      <c r="D156" s="67">
        <f t="shared" si="28"/>
        <v>1022722.9006898117</v>
      </c>
      <c r="E156" s="67">
        <f t="shared" si="28"/>
        <v>360001.17857139243</v>
      </c>
      <c r="F156" s="67">
        <f t="shared" si="28"/>
        <v>523218.07110312942</v>
      </c>
      <c r="G156" s="67">
        <f t="shared" si="28"/>
        <v>411103.98516187764</v>
      </c>
      <c r="H156" s="67">
        <f t="shared" si="28"/>
        <v>115539.66177458508</v>
      </c>
      <c r="I156" s="67">
        <f t="shared" si="28"/>
        <v>1109697.8766666665</v>
      </c>
      <c r="J156" s="67">
        <f t="shared" si="28"/>
        <v>343231.2</v>
      </c>
    </row>
    <row r="157" spans="1:10">
      <c r="A157" s="72" t="s">
        <v>130</v>
      </c>
      <c r="B157" s="67">
        <f>+SUM(B158:B162)</f>
        <v>20226.378888888892</v>
      </c>
      <c r="C157" s="67">
        <f t="shared" ref="C157:J157" si="29">+SUM(C158:C162)</f>
        <v>0</v>
      </c>
      <c r="D157" s="67">
        <f t="shared" si="29"/>
        <v>36337.522222222251</v>
      </c>
      <c r="E157" s="67">
        <f t="shared" si="29"/>
        <v>2400</v>
      </c>
      <c r="F157" s="67">
        <f t="shared" si="29"/>
        <v>87352.587777777779</v>
      </c>
      <c r="G157" s="67">
        <f t="shared" si="29"/>
        <v>70468.375833333354</v>
      </c>
      <c r="H157" s="67">
        <f t="shared" si="29"/>
        <v>1042.1111111111113</v>
      </c>
      <c r="I157" s="67">
        <f t="shared" si="29"/>
        <v>107910.75</v>
      </c>
      <c r="J157" s="67">
        <f t="shared" si="29"/>
        <v>35200</v>
      </c>
    </row>
    <row r="158" spans="1:10">
      <c r="A158" s="61" t="s">
        <v>131</v>
      </c>
      <c r="B158" s="68">
        <v>0</v>
      </c>
      <c r="C158" s="68">
        <v>0</v>
      </c>
      <c r="D158" s="68">
        <v>0</v>
      </c>
      <c r="E158" s="68">
        <v>0</v>
      </c>
      <c r="F158" s="68">
        <v>0</v>
      </c>
      <c r="G158" s="68">
        <v>0</v>
      </c>
      <c r="H158" s="68">
        <v>0</v>
      </c>
      <c r="I158" s="68">
        <v>0</v>
      </c>
      <c r="J158" s="68">
        <v>0</v>
      </c>
    </row>
    <row r="159" spans="1:10">
      <c r="A159" s="61" t="s">
        <v>132</v>
      </c>
      <c r="B159" s="68">
        <v>0</v>
      </c>
      <c r="C159" s="68">
        <v>0</v>
      </c>
      <c r="D159" s="68">
        <v>0</v>
      </c>
      <c r="E159" s="68">
        <v>0</v>
      </c>
      <c r="F159" s="68">
        <v>0</v>
      </c>
      <c r="G159" s="68">
        <v>0</v>
      </c>
      <c r="H159" s="68">
        <v>0</v>
      </c>
      <c r="I159" s="68">
        <v>0</v>
      </c>
      <c r="J159" s="68">
        <v>0</v>
      </c>
    </row>
    <row r="160" spans="1:10">
      <c r="A160" s="61" t="s">
        <v>133</v>
      </c>
      <c r="B160" s="68">
        <v>4161.6322222222216</v>
      </c>
      <c r="C160" s="68">
        <v>0</v>
      </c>
      <c r="D160" s="68">
        <v>680.555555555556</v>
      </c>
      <c r="E160" s="68">
        <v>0</v>
      </c>
      <c r="F160" s="68">
        <v>340.277777777778</v>
      </c>
      <c r="G160" s="68">
        <v>204.1666666666668</v>
      </c>
      <c r="H160" s="68">
        <v>136.1111111111112</v>
      </c>
      <c r="I160" s="68">
        <v>42896.86</v>
      </c>
      <c r="J160" s="68">
        <v>0</v>
      </c>
    </row>
    <row r="161" spans="1:10">
      <c r="A161" s="61" t="s">
        <v>134</v>
      </c>
      <c r="B161" s="68">
        <v>300</v>
      </c>
      <c r="C161" s="68">
        <v>0</v>
      </c>
      <c r="D161" s="68">
        <v>27149.7166666667</v>
      </c>
      <c r="E161" s="68">
        <v>2400</v>
      </c>
      <c r="F161" s="68">
        <v>0</v>
      </c>
      <c r="G161" s="68">
        <v>38255.209166666697</v>
      </c>
      <c r="H161" s="68">
        <v>0</v>
      </c>
      <c r="I161" s="68">
        <v>10413.89</v>
      </c>
      <c r="J161" s="68">
        <v>0</v>
      </c>
    </row>
    <row r="162" spans="1:10">
      <c r="A162" s="61" t="s">
        <v>135</v>
      </c>
      <c r="B162" s="68">
        <v>15764.74666666667</v>
      </c>
      <c r="C162" s="68">
        <v>0</v>
      </c>
      <c r="D162" s="68">
        <v>8507.25</v>
      </c>
      <c r="E162" s="68">
        <v>0</v>
      </c>
      <c r="F162" s="68">
        <v>87012.31</v>
      </c>
      <c r="G162" s="68">
        <v>32009</v>
      </c>
      <c r="H162" s="68">
        <v>906</v>
      </c>
      <c r="I162" s="68">
        <v>54600</v>
      </c>
      <c r="J162" s="68">
        <v>35200</v>
      </c>
    </row>
    <row r="163" spans="1:10">
      <c r="A163" s="60"/>
      <c r="B163" s="68"/>
      <c r="C163" s="68"/>
      <c r="D163" s="68"/>
      <c r="E163" s="68"/>
      <c r="F163" s="68"/>
      <c r="G163" s="68"/>
      <c r="H163" s="68"/>
      <c r="I163" s="69"/>
      <c r="J163" s="69"/>
    </row>
    <row r="164" spans="1:10">
      <c r="A164" s="72" t="s">
        <v>136</v>
      </c>
      <c r="B164" s="67">
        <f>+SUM(B165:B171)</f>
        <v>40559.712</v>
      </c>
      <c r="C164" s="67">
        <f t="shared" ref="C164:J164" si="30">+SUM(C165:C171)</f>
        <v>0</v>
      </c>
      <c r="D164" s="67">
        <f t="shared" si="30"/>
        <v>226292.91139999995</v>
      </c>
      <c r="E164" s="67">
        <f t="shared" si="30"/>
        <v>7498.6676000000007</v>
      </c>
      <c r="F164" s="67">
        <f t="shared" si="30"/>
        <v>5218.7294999999995</v>
      </c>
      <c r="G164" s="67">
        <f t="shared" si="30"/>
        <v>28474.4277</v>
      </c>
      <c r="H164" s="67">
        <f t="shared" si="30"/>
        <v>2087.4918000000002</v>
      </c>
      <c r="I164" s="67">
        <f t="shared" si="30"/>
        <v>25826.79</v>
      </c>
      <c r="J164" s="67">
        <f t="shared" si="30"/>
        <v>0</v>
      </c>
    </row>
    <row r="165" spans="1:10">
      <c r="A165" s="61" t="s">
        <v>137</v>
      </c>
      <c r="B165" s="68">
        <v>36806.300000000003</v>
      </c>
      <c r="C165" s="68">
        <v>0</v>
      </c>
      <c r="D165" s="68">
        <v>9858.9659999999985</v>
      </c>
      <c r="E165" s="68">
        <v>6372.6440000000002</v>
      </c>
      <c r="F165" s="68">
        <v>3811.2</v>
      </c>
      <c r="G165" s="68">
        <v>2286.7199999999998</v>
      </c>
      <c r="H165" s="68">
        <v>1524.48</v>
      </c>
      <c r="I165" s="68">
        <v>0</v>
      </c>
      <c r="J165" s="68">
        <v>0</v>
      </c>
    </row>
    <row r="166" spans="1:10">
      <c r="A166" s="61" t="s">
        <v>138</v>
      </c>
      <c r="B166" s="68">
        <v>0</v>
      </c>
      <c r="C166" s="68">
        <v>0</v>
      </c>
      <c r="D166" s="68">
        <v>29893.66</v>
      </c>
      <c r="E166" s="68">
        <v>0</v>
      </c>
      <c r="F166" s="68">
        <v>0</v>
      </c>
      <c r="G166" s="68">
        <v>23753.19</v>
      </c>
      <c r="H166" s="68">
        <v>0</v>
      </c>
      <c r="I166" s="68">
        <v>0</v>
      </c>
      <c r="J166" s="68">
        <v>0</v>
      </c>
    </row>
    <row r="167" spans="1:10">
      <c r="A167" s="61" t="s">
        <v>139</v>
      </c>
      <c r="B167" s="68">
        <v>0</v>
      </c>
      <c r="C167" s="68">
        <v>0</v>
      </c>
      <c r="D167" s="68">
        <v>0</v>
      </c>
      <c r="E167" s="68">
        <v>0</v>
      </c>
      <c r="F167" s="68">
        <v>0</v>
      </c>
      <c r="G167" s="68">
        <v>0</v>
      </c>
      <c r="H167" s="68">
        <v>0</v>
      </c>
      <c r="I167" s="68">
        <v>0</v>
      </c>
      <c r="J167" s="68">
        <v>0</v>
      </c>
    </row>
    <row r="168" spans="1:10">
      <c r="A168" s="61" t="s">
        <v>140</v>
      </c>
      <c r="B168" s="68">
        <v>0</v>
      </c>
      <c r="C168" s="68">
        <v>0</v>
      </c>
      <c r="D168" s="68">
        <v>179013.31999999998</v>
      </c>
      <c r="E168" s="68">
        <v>0</v>
      </c>
      <c r="F168" s="68">
        <v>0</v>
      </c>
      <c r="G168" s="68">
        <v>1590</v>
      </c>
      <c r="H168" s="68">
        <v>0</v>
      </c>
      <c r="I168" s="68">
        <v>25826.79</v>
      </c>
      <c r="J168" s="68">
        <v>0</v>
      </c>
    </row>
    <row r="169" spans="1:10">
      <c r="A169" s="61" t="s">
        <v>141</v>
      </c>
      <c r="B169" s="68">
        <v>0</v>
      </c>
      <c r="C169" s="68">
        <v>0</v>
      </c>
      <c r="D169" s="68">
        <v>0</v>
      </c>
      <c r="E169" s="68">
        <v>0</v>
      </c>
      <c r="F169" s="68">
        <v>0</v>
      </c>
      <c r="G169" s="68">
        <v>0</v>
      </c>
      <c r="H169" s="68">
        <v>0</v>
      </c>
      <c r="I169" s="68">
        <v>0</v>
      </c>
      <c r="J169" s="68">
        <v>0</v>
      </c>
    </row>
    <row r="170" spans="1:10">
      <c r="A170" s="61" t="s">
        <v>142</v>
      </c>
      <c r="B170" s="68">
        <v>3753.4120000000003</v>
      </c>
      <c r="C170" s="68">
        <v>0</v>
      </c>
      <c r="D170" s="68">
        <v>7526.9654</v>
      </c>
      <c r="E170" s="68">
        <v>1126.0236000000002</v>
      </c>
      <c r="F170" s="68">
        <v>1407.5295000000001</v>
      </c>
      <c r="G170" s="68">
        <v>844.51769999999999</v>
      </c>
      <c r="H170" s="68">
        <v>563.01180000000011</v>
      </c>
      <c r="I170" s="68">
        <v>0</v>
      </c>
      <c r="J170" s="68">
        <v>0</v>
      </c>
    </row>
    <row r="171" spans="1:10">
      <c r="A171" s="61" t="s">
        <v>143</v>
      </c>
      <c r="B171" s="68">
        <v>0</v>
      </c>
      <c r="C171" s="68">
        <v>0</v>
      </c>
      <c r="D171" s="68">
        <v>0</v>
      </c>
      <c r="E171" s="68">
        <v>0</v>
      </c>
      <c r="F171" s="68">
        <v>0</v>
      </c>
      <c r="G171" s="68">
        <v>0</v>
      </c>
      <c r="H171" s="68">
        <v>0</v>
      </c>
      <c r="I171" s="68">
        <v>0</v>
      </c>
      <c r="J171" s="68">
        <v>0</v>
      </c>
    </row>
    <row r="172" spans="1:10">
      <c r="A172" s="72" t="s">
        <v>144</v>
      </c>
      <c r="B172" s="67">
        <f>+SUM(B173:B177)</f>
        <v>42427.743999999999</v>
      </c>
      <c r="C172" s="67">
        <f t="shared" ref="C172:J172" si="31">+SUM(C173:C177)</f>
        <v>0</v>
      </c>
      <c r="D172" s="67">
        <f t="shared" si="31"/>
        <v>200962.60395555559</v>
      </c>
      <c r="E172" s="67">
        <f t="shared" si="31"/>
        <v>23280.365600000001</v>
      </c>
      <c r="F172" s="67">
        <f t="shared" si="31"/>
        <v>94540.734777777776</v>
      </c>
      <c r="G172" s="67">
        <f t="shared" si="31"/>
        <v>111181.34086666667</v>
      </c>
      <c r="H172" s="67">
        <f t="shared" si="31"/>
        <v>8176.2939111111118</v>
      </c>
      <c r="I172" s="67">
        <f t="shared" si="31"/>
        <v>65944.600000000006</v>
      </c>
      <c r="J172" s="67">
        <f t="shared" si="31"/>
        <v>0</v>
      </c>
    </row>
    <row r="173" spans="1:10">
      <c r="A173" s="61" t="s">
        <v>145</v>
      </c>
      <c r="B173" s="68">
        <v>20150</v>
      </c>
      <c r="C173" s="68">
        <v>0</v>
      </c>
      <c r="D173" s="68">
        <v>32700</v>
      </c>
      <c r="E173" s="68">
        <v>21800</v>
      </c>
      <c r="F173" s="68">
        <v>18000</v>
      </c>
      <c r="G173" s="68">
        <v>10800</v>
      </c>
      <c r="H173" s="68">
        <v>7200</v>
      </c>
      <c r="I173" s="68">
        <v>0</v>
      </c>
      <c r="J173" s="68">
        <v>0</v>
      </c>
    </row>
    <row r="174" spans="1:10">
      <c r="A174" s="61" t="s">
        <v>146</v>
      </c>
      <c r="B174" s="68">
        <v>0</v>
      </c>
      <c r="C174" s="68">
        <v>0</v>
      </c>
      <c r="D174" s="68">
        <v>0</v>
      </c>
      <c r="E174" s="68">
        <v>0</v>
      </c>
      <c r="F174" s="68">
        <v>0</v>
      </c>
      <c r="G174" s="68">
        <v>0</v>
      </c>
      <c r="H174" s="68">
        <v>0</v>
      </c>
      <c r="I174" s="68">
        <v>0</v>
      </c>
      <c r="J174" s="68">
        <v>0</v>
      </c>
    </row>
    <row r="175" spans="1:10">
      <c r="A175" s="61" t="s">
        <v>230</v>
      </c>
      <c r="B175" s="68">
        <v>0</v>
      </c>
      <c r="C175" s="68">
        <v>0</v>
      </c>
      <c r="D175" s="68">
        <v>115896</v>
      </c>
      <c r="E175" s="68">
        <v>0</v>
      </c>
      <c r="F175" s="68">
        <v>0</v>
      </c>
      <c r="G175" s="68">
        <v>69537.599999999991</v>
      </c>
      <c r="H175" s="68">
        <v>0</v>
      </c>
      <c r="I175" s="68">
        <v>46358.400000000001</v>
      </c>
      <c r="J175" s="68">
        <v>0</v>
      </c>
    </row>
    <row r="176" spans="1:10">
      <c r="A176" s="61" t="s">
        <v>231</v>
      </c>
      <c r="B176" s="68">
        <v>0</v>
      </c>
      <c r="C176" s="68">
        <v>0</v>
      </c>
      <c r="D176" s="68">
        <v>48965.5</v>
      </c>
      <c r="E176" s="68">
        <v>0</v>
      </c>
      <c r="F176" s="68">
        <v>0</v>
      </c>
      <c r="G176" s="68">
        <v>29379.3</v>
      </c>
      <c r="H176" s="68">
        <v>0</v>
      </c>
      <c r="I176" s="68">
        <v>19586.2</v>
      </c>
      <c r="J176" s="68">
        <v>0</v>
      </c>
    </row>
    <row r="177" spans="1:10">
      <c r="A177" s="61" t="s">
        <v>232</v>
      </c>
      <c r="B177" s="68">
        <v>22277.743999999999</v>
      </c>
      <c r="C177" s="68">
        <v>0</v>
      </c>
      <c r="D177" s="68">
        <v>3401.1039555555985</v>
      </c>
      <c r="E177" s="68">
        <v>1480.3656000000001</v>
      </c>
      <c r="F177" s="68">
        <v>76540.734777777776</v>
      </c>
      <c r="G177" s="68">
        <v>1464.4408666666682</v>
      </c>
      <c r="H177" s="68">
        <v>976.29391111111204</v>
      </c>
      <c r="I177" s="68">
        <v>0</v>
      </c>
      <c r="J177" s="68">
        <v>0</v>
      </c>
    </row>
    <row r="178" spans="1:10">
      <c r="A178" s="72" t="s">
        <v>147</v>
      </c>
      <c r="B178" s="67">
        <f>+SUM(B179:B181)</f>
        <v>176097.78</v>
      </c>
      <c r="C178" s="67">
        <f t="shared" ref="C178:J178" si="32">+SUM(C179:C181)</f>
        <v>0</v>
      </c>
      <c r="D178" s="67">
        <f t="shared" si="32"/>
        <v>102351.63800000001</v>
      </c>
      <c r="E178" s="67">
        <f t="shared" si="32"/>
        <v>67393.092000000004</v>
      </c>
      <c r="F178" s="67">
        <f t="shared" si="32"/>
        <v>84981.994999999995</v>
      </c>
      <c r="G178" s="67">
        <f t="shared" si="32"/>
        <v>55807.426999999996</v>
      </c>
      <c r="H178" s="67">
        <f t="shared" si="32"/>
        <v>28117.198000000004</v>
      </c>
      <c r="I178" s="67">
        <f t="shared" si="32"/>
        <v>400354</v>
      </c>
      <c r="J178" s="67">
        <f t="shared" si="32"/>
        <v>0</v>
      </c>
    </row>
    <row r="179" spans="1:10">
      <c r="A179" s="61" t="s">
        <v>148</v>
      </c>
      <c r="B179" s="68">
        <v>174547.78</v>
      </c>
      <c r="C179" s="68">
        <v>0</v>
      </c>
      <c r="D179" s="68">
        <v>89716.478000000003</v>
      </c>
      <c r="E179" s="68">
        <v>58969.652000000002</v>
      </c>
      <c r="F179" s="68">
        <v>74481.994999999995</v>
      </c>
      <c r="G179" s="68">
        <v>36857.796999999999</v>
      </c>
      <c r="H179" s="68">
        <v>23917.198000000004</v>
      </c>
      <c r="I179" s="68">
        <v>55606</v>
      </c>
      <c r="J179" s="68">
        <v>0</v>
      </c>
    </row>
    <row r="180" spans="1:10">
      <c r="A180" s="61" t="s">
        <v>149</v>
      </c>
      <c r="B180" s="68">
        <v>0</v>
      </c>
      <c r="C180" s="68">
        <v>0</v>
      </c>
      <c r="D180" s="68">
        <v>12635.159999999998</v>
      </c>
      <c r="E180" s="68">
        <v>8423.44</v>
      </c>
      <c r="F180" s="68">
        <v>0</v>
      </c>
      <c r="G180" s="68">
        <v>12649.63</v>
      </c>
      <c r="H180" s="68">
        <v>0</v>
      </c>
      <c r="I180" s="68">
        <v>344748</v>
      </c>
      <c r="J180" s="68">
        <v>0</v>
      </c>
    </row>
    <row r="181" spans="1:10">
      <c r="A181" s="61" t="s">
        <v>150</v>
      </c>
      <c r="B181" s="68">
        <v>1550</v>
      </c>
      <c r="C181" s="68">
        <v>0</v>
      </c>
      <c r="D181" s="68">
        <v>0</v>
      </c>
      <c r="E181" s="68">
        <v>0</v>
      </c>
      <c r="F181" s="68">
        <v>10500</v>
      </c>
      <c r="G181" s="68">
        <v>6300</v>
      </c>
      <c r="H181" s="68">
        <v>4200</v>
      </c>
      <c r="I181" s="68">
        <v>0</v>
      </c>
      <c r="J181" s="68">
        <v>0</v>
      </c>
    </row>
    <row r="182" spans="1:10">
      <c r="A182" s="72" t="s">
        <v>151</v>
      </c>
      <c r="B182" s="67">
        <f>+SUM(B183:B186)</f>
        <v>53730.237483516481</v>
      </c>
      <c r="C182" s="67">
        <f t="shared" ref="C182:J182" si="33">+SUM(C183:C186)</f>
        <v>0</v>
      </c>
      <c r="D182" s="67">
        <f t="shared" si="33"/>
        <v>43774.269617582417</v>
      </c>
      <c r="E182" s="67">
        <f t="shared" si="33"/>
        <v>15856.179745054946</v>
      </c>
      <c r="F182" s="67">
        <f t="shared" si="33"/>
        <v>21098.804681318681</v>
      </c>
      <c r="G182" s="67">
        <f t="shared" si="33"/>
        <v>12131.834808791209</v>
      </c>
      <c r="H182" s="67">
        <f t="shared" si="33"/>
        <v>8087.8898725274739</v>
      </c>
      <c r="I182" s="67">
        <f t="shared" si="33"/>
        <v>659.08</v>
      </c>
      <c r="J182" s="67">
        <f t="shared" si="33"/>
        <v>0</v>
      </c>
    </row>
    <row r="183" spans="1:10">
      <c r="A183" s="61" t="s">
        <v>152</v>
      </c>
      <c r="B183" s="68">
        <v>2030.5320000000002</v>
      </c>
      <c r="C183" s="68">
        <v>0</v>
      </c>
      <c r="D183" s="68">
        <v>913.73939999999993</v>
      </c>
      <c r="E183" s="68">
        <v>609.15959999999995</v>
      </c>
      <c r="F183" s="68">
        <v>761.44949999999994</v>
      </c>
      <c r="G183" s="68">
        <v>456.86969999999997</v>
      </c>
      <c r="H183" s="68">
        <v>304.57979999999998</v>
      </c>
      <c r="I183" s="68">
        <v>0</v>
      </c>
      <c r="J183" s="68">
        <v>0</v>
      </c>
    </row>
    <row r="184" spans="1:10">
      <c r="A184" s="61" t="s">
        <v>153</v>
      </c>
      <c r="B184" s="68">
        <v>25970.457483516482</v>
      </c>
      <c r="C184" s="68">
        <v>0</v>
      </c>
      <c r="D184" s="68">
        <v>31282.368617582415</v>
      </c>
      <c r="E184" s="68">
        <v>7528.2457450549446</v>
      </c>
      <c r="F184" s="68">
        <v>10688.88718131868</v>
      </c>
      <c r="G184" s="68">
        <v>5885.8843087912073</v>
      </c>
      <c r="H184" s="68">
        <v>3923.9228725274725</v>
      </c>
      <c r="I184" s="68">
        <v>659.08</v>
      </c>
      <c r="J184" s="68">
        <v>0</v>
      </c>
    </row>
    <row r="185" spans="1:10">
      <c r="A185" s="61" t="s">
        <v>154</v>
      </c>
      <c r="B185" s="68">
        <v>25729.248</v>
      </c>
      <c r="C185" s="68">
        <v>0</v>
      </c>
      <c r="D185" s="68">
        <v>11578.161600000001</v>
      </c>
      <c r="E185" s="68">
        <v>7718.7744000000012</v>
      </c>
      <c r="F185" s="68">
        <v>9648.4680000000008</v>
      </c>
      <c r="G185" s="68">
        <v>5789.0808000000006</v>
      </c>
      <c r="H185" s="68">
        <v>3859.3872000000006</v>
      </c>
      <c r="I185" s="68">
        <v>0</v>
      </c>
      <c r="J185" s="68">
        <v>0</v>
      </c>
    </row>
    <row r="186" spans="1:10">
      <c r="A186" s="61" t="s">
        <v>155</v>
      </c>
      <c r="B186" s="68">
        <v>0</v>
      </c>
      <c r="C186" s="68">
        <v>0</v>
      </c>
      <c r="D186" s="68">
        <v>0</v>
      </c>
      <c r="E186" s="68">
        <v>0</v>
      </c>
      <c r="F186" s="68">
        <v>0</v>
      </c>
      <c r="G186" s="68">
        <v>0</v>
      </c>
      <c r="H186" s="68">
        <v>0</v>
      </c>
      <c r="I186" s="68">
        <v>0</v>
      </c>
      <c r="J186" s="68">
        <v>0</v>
      </c>
    </row>
    <row r="187" spans="1:10">
      <c r="A187" s="72" t="s">
        <v>156</v>
      </c>
      <c r="B187" s="67">
        <f>+SUM(B188:B192)</f>
        <v>17666</v>
      </c>
      <c r="C187" s="67">
        <f t="shared" ref="C187:J187" si="34">+SUM(C188:C192)</f>
        <v>0</v>
      </c>
      <c r="D187" s="67">
        <f t="shared" si="34"/>
        <v>7949.6999999999989</v>
      </c>
      <c r="E187" s="67">
        <f t="shared" si="34"/>
        <v>5299.8</v>
      </c>
      <c r="F187" s="67">
        <f t="shared" si="34"/>
        <v>6624.7499999999991</v>
      </c>
      <c r="G187" s="67">
        <f t="shared" si="34"/>
        <v>3974.8499999999995</v>
      </c>
      <c r="H187" s="67">
        <f t="shared" si="34"/>
        <v>2649.9</v>
      </c>
      <c r="I187" s="67">
        <f t="shared" si="34"/>
        <v>1874.9999999999995</v>
      </c>
      <c r="J187" s="67">
        <f t="shared" si="34"/>
        <v>1250</v>
      </c>
    </row>
    <row r="188" spans="1:10">
      <c r="A188" s="61" t="s">
        <v>157</v>
      </c>
      <c r="B188" s="68">
        <v>8332.8000000000011</v>
      </c>
      <c r="C188" s="68">
        <v>0</v>
      </c>
      <c r="D188" s="68">
        <v>3749.7599999999993</v>
      </c>
      <c r="E188" s="68">
        <v>2499.84</v>
      </c>
      <c r="F188" s="68">
        <v>3124.7999999999997</v>
      </c>
      <c r="G188" s="68">
        <v>1874.8799999999997</v>
      </c>
      <c r="H188" s="68">
        <v>1249.92</v>
      </c>
      <c r="I188" s="68">
        <v>1874.9999999999995</v>
      </c>
      <c r="J188" s="68">
        <v>1250</v>
      </c>
    </row>
    <row r="189" spans="1:10">
      <c r="A189" s="61" t="s">
        <v>158</v>
      </c>
      <c r="B189" s="68">
        <v>6000</v>
      </c>
      <c r="C189" s="68">
        <v>0</v>
      </c>
      <c r="D189" s="68">
        <v>2700</v>
      </c>
      <c r="E189" s="68">
        <v>1800</v>
      </c>
      <c r="F189" s="68">
        <v>2250</v>
      </c>
      <c r="G189" s="68">
        <v>1350</v>
      </c>
      <c r="H189" s="68">
        <v>900</v>
      </c>
      <c r="I189" s="68">
        <v>0</v>
      </c>
      <c r="J189" s="68">
        <v>0</v>
      </c>
    </row>
    <row r="190" spans="1:10">
      <c r="A190" s="61" t="s">
        <v>159</v>
      </c>
      <c r="B190" s="68">
        <v>0</v>
      </c>
      <c r="C190" s="68">
        <v>0</v>
      </c>
      <c r="D190" s="68">
        <v>0</v>
      </c>
      <c r="E190" s="68">
        <v>0</v>
      </c>
      <c r="F190" s="68">
        <v>0</v>
      </c>
      <c r="G190" s="68">
        <v>0</v>
      </c>
      <c r="H190" s="68">
        <v>0</v>
      </c>
      <c r="I190" s="68">
        <v>0</v>
      </c>
      <c r="J190" s="68">
        <v>0</v>
      </c>
    </row>
    <row r="191" spans="1:10">
      <c r="A191" s="61" t="s">
        <v>160</v>
      </c>
      <c r="B191" s="68">
        <v>3333.2000000000003</v>
      </c>
      <c r="C191" s="68">
        <v>0</v>
      </c>
      <c r="D191" s="68">
        <v>1499.94</v>
      </c>
      <c r="E191" s="68">
        <v>999.96</v>
      </c>
      <c r="F191" s="68">
        <v>1249.95</v>
      </c>
      <c r="G191" s="68">
        <v>749.97</v>
      </c>
      <c r="H191" s="68">
        <v>499.98</v>
      </c>
      <c r="I191" s="68">
        <v>0</v>
      </c>
      <c r="J191" s="68">
        <v>0</v>
      </c>
    </row>
    <row r="192" spans="1:10">
      <c r="A192" s="61" t="s">
        <v>161</v>
      </c>
      <c r="B192" s="68">
        <v>0</v>
      </c>
      <c r="C192" s="68">
        <v>0</v>
      </c>
      <c r="D192" s="68">
        <v>0</v>
      </c>
      <c r="E192" s="68">
        <v>0</v>
      </c>
      <c r="F192" s="68">
        <v>0</v>
      </c>
      <c r="G192" s="68">
        <v>0</v>
      </c>
      <c r="H192" s="68">
        <v>0</v>
      </c>
      <c r="I192" s="68">
        <v>0</v>
      </c>
      <c r="J192" s="68">
        <v>0</v>
      </c>
    </row>
    <row r="193" spans="1:10">
      <c r="A193" s="72" t="s">
        <v>162</v>
      </c>
      <c r="B193" s="67">
        <f>+SUM(B194:B204)</f>
        <v>60568.728754458156</v>
      </c>
      <c r="C193" s="67">
        <f t="shared" ref="C193:J193" si="35">+SUM(C194:C204)</f>
        <v>0.02</v>
      </c>
      <c r="D193" s="67">
        <f t="shared" si="35"/>
        <v>76579.135439506179</v>
      </c>
      <c r="E193" s="67">
        <f t="shared" si="35"/>
        <v>13227.623626337449</v>
      </c>
      <c r="F193" s="67">
        <f t="shared" si="35"/>
        <v>27840.948532921808</v>
      </c>
      <c r="G193" s="67">
        <f t="shared" si="35"/>
        <v>34375.733119753088</v>
      </c>
      <c r="H193" s="67">
        <f t="shared" si="35"/>
        <v>7619.3354131687256</v>
      </c>
      <c r="I193" s="67">
        <f t="shared" si="35"/>
        <v>229329.65666666662</v>
      </c>
      <c r="J193" s="67">
        <f t="shared" si="35"/>
        <v>128781.2</v>
      </c>
    </row>
    <row r="194" spans="1:10">
      <c r="A194" s="61" t="s">
        <v>163</v>
      </c>
      <c r="B194" s="68">
        <v>11882.67</v>
      </c>
      <c r="C194" s="68">
        <v>0</v>
      </c>
      <c r="D194" s="68">
        <v>16684.398000000001</v>
      </c>
      <c r="E194" s="68">
        <v>11122.932000000001</v>
      </c>
      <c r="F194" s="68">
        <v>6188.875</v>
      </c>
      <c r="G194" s="68">
        <v>3713.3249999999998</v>
      </c>
      <c r="H194" s="68">
        <v>2475.5500000000002</v>
      </c>
      <c r="I194" s="68">
        <v>28171.8</v>
      </c>
      <c r="J194" s="68">
        <v>18781.2</v>
      </c>
    </row>
    <row r="195" spans="1:10">
      <c r="A195" s="61" t="s">
        <v>164</v>
      </c>
      <c r="B195" s="68">
        <v>3453.0507544581596</v>
      </c>
      <c r="C195" s="68">
        <v>0</v>
      </c>
      <c r="D195" s="68">
        <v>1553.8728395061719</v>
      </c>
      <c r="E195" s="68">
        <v>1035.9152263374478</v>
      </c>
      <c r="F195" s="68">
        <v>1294.8940329218099</v>
      </c>
      <c r="G195" s="68">
        <v>776.93641975308594</v>
      </c>
      <c r="H195" s="68">
        <v>517.95761316872392</v>
      </c>
      <c r="I195" s="68">
        <v>230</v>
      </c>
      <c r="J195" s="68">
        <v>0</v>
      </c>
    </row>
    <row r="196" spans="1:10">
      <c r="A196" s="61" t="s">
        <v>233</v>
      </c>
      <c r="B196" s="68">
        <v>0</v>
      </c>
      <c r="C196" s="68">
        <v>0</v>
      </c>
      <c r="D196" s="68">
        <v>0</v>
      </c>
      <c r="E196" s="68">
        <v>0</v>
      </c>
      <c r="F196" s="68">
        <v>1375.059</v>
      </c>
      <c r="G196" s="68">
        <v>7725.0353999999998</v>
      </c>
      <c r="H196" s="68">
        <v>550.02359999999999</v>
      </c>
      <c r="I196" s="68">
        <v>167166.66666666666</v>
      </c>
      <c r="J196" s="68">
        <v>110000</v>
      </c>
    </row>
    <row r="197" spans="1:10">
      <c r="A197" s="61" t="s">
        <v>165</v>
      </c>
      <c r="B197" s="68">
        <v>0</v>
      </c>
      <c r="C197" s="68">
        <v>0</v>
      </c>
      <c r="D197" s="68">
        <v>0</v>
      </c>
      <c r="E197" s="68">
        <v>0</v>
      </c>
      <c r="F197" s="68">
        <v>0</v>
      </c>
      <c r="G197" s="68">
        <v>0</v>
      </c>
      <c r="H197" s="68">
        <v>0</v>
      </c>
      <c r="I197" s="68">
        <v>0</v>
      </c>
      <c r="J197" s="68">
        <v>0</v>
      </c>
    </row>
    <row r="198" spans="1:10">
      <c r="A198" s="61" t="s">
        <v>166</v>
      </c>
      <c r="B198" s="68">
        <v>38350</v>
      </c>
      <c r="C198" s="68">
        <v>0</v>
      </c>
      <c r="D198" s="68">
        <v>4629.3599999999997</v>
      </c>
      <c r="E198" s="68">
        <v>112.80000000000001</v>
      </c>
      <c r="F198" s="68">
        <v>13179.05</v>
      </c>
      <c r="G198" s="68">
        <v>4992.3700000000008</v>
      </c>
      <c r="H198" s="68">
        <v>1754.8000000000002</v>
      </c>
      <c r="I198" s="68">
        <v>25096</v>
      </c>
      <c r="J198" s="68">
        <v>0</v>
      </c>
    </row>
    <row r="199" spans="1:10">
      <c r="A199" s="61" t="s">
        <v>167</v>
      </c>
      <c r="B199" s="68">
        <v>325</v>
      </c>
      <c r="C199" s="68">
        <v>0</v>
      </c>
      <c r="D199" s="68">
        <v>20735.45</v>
      </c>
      <c r="E199" s="68">
        <v>0</v>
      </c>
      <c r="F199" s="68">
        <v>976.255</v>
      </c>
      <c r="G199" s="68">
        <v>4227.1930000000002</v>
      </c>
      <c r="H199" s="68">
        <v>390.50200000000001</v>
      </c>
      <c r="I199" s="68">
        <v>5758.08</v>
      </c>
      <c r="J199" s="68">
        <v>0</v>
      </c>
    </row>
    <row r="200" spans="1:10">
      <c r="A200" s="61" t="s">
        <v>168</v>
      </c>
      <c r="B200" s="68">
        <v>1170.77</v>
      </c>
      <c r="C200" s="68">
        <v>0</v>
      </c>
      <c r="D200" s="68">
        <v>0</v>
      </c>
      <c r="E200" s="68">
        <v>0</v>
      </c>
      <c r="F200" s="68">
        <v>3165.91</v>
      </c>
      <c r="G200" s="68">
        <v>1934.546</v>
      </c>
      <c r="H200" s="68">
        <v>1266.364</v>
      </c>
      <c r="I200" s="68">
        <v>0</v>
      </c>
      <c r="J200" s="68">
        <v>0</v>
      </c>
    </row>
    <row r="201" spans="1:10">
      <c r="A201" s="61" t="s">
        <v>169</v>
      </c>
      <c r="B201" s="68">
        <v>2200</v>
      </c>
      <c r="C201" s="68">
        <v>0</v>
      </c>
      <c r="D201" s="68">
        <v>30922</v>
      </c>
      <c r="E201" s="68">
        <v>0</v>
      </c>
      <c r="F201" s="68">
        <v>465.5</v>
      </c>
      <c r="G201" s="68">
        <v>10290.299999999999</v>
      </c>
      <c r="H201" s="68">
        <v>186.20000000000002</v>
      </c>
      <c r="I201" s="68">
        <v>2908</v>
      </c>
      <c r="J201" s="68">
        <v>0</v>
      </c>
    </row>
    <row r="202" spans="1:10">
      <c r="A202" s="61" t="s">
        <v>170</v>
      </c>
      <c r="B202" s="68">
        <v>3064</v>
      </c>
      <c r="C202" s="68">
        <v>0</v>
      </c>
      <c r="D202" s="68">
        <v>1998.8</v>
      </c>
      <c r="E202" s="68">
        <v>919.2</v>
      </c>
      <c r="F202" s="68">
        <v>1149</v>
      </c>
      <c r="G202" s="68">
        <v>689.4</v>
      </c>
      <c r="H202" s="68">
        <v>459.6</v>
      </c>
      <c r="I202" s="68">
        <v>0</v>
      </c>
      <c r="J202" s="68">
        <v>0</v>
      </c>
    </row>
    <row r="203" spans="1:10">
      <c r="A203" s="61" t="s">
        <v>234</v>
      </c>
      <c r="B203" s="68">
        <v>7.9220000000000006</v>
      </c>
      <c r="C203" s="68">
        <v>0.02</v>
      </c>
      <c r="D203" s="68">
        <v>3.3624000000000001</v>
      </c>
      <c r="E203" s="68">
        <v>2.1816</v>
      </c>
      <c r="F203" s="68">
        <v>3.1619999999999999</v>
      </c>
      <c r="G203" s="68">
        <v>0.68120000000000003</v>
      </c>
      <c r="H203" s="68">
        <v>1.0407999999999999</v>
      </c>
      <c r="I203" s="68">
        <v>-0.89</v>
      </c>
      <c r="J203" s="68">
        <v>0</v>
      </c>
    </row>
    <row r="204" spans="1:10">
      <c r="A204" s="61" t="s">
        <v>171</v>
      </c>
      <c r="B204" s="68">
        <v>115.31600000000002</v>
      </c>
      <c r="C204" s="68">
        <v>0</v>
      </c>
      <c r="D204" s="68">
        <v>51.892200000000003</v>
      </c>
      <c r="E204" s="68">
        <v>34.594800000000006</v>
      </c>
      <c r="F204" s="68">
        <v>43.243500000000004</v>
      </c>
      <c r="G204" s="68">
        <v>25.946100000000001</v>
      </c>
      <c r="H204" s="68">
        <v>17.297400000000003</v>
      </c>
      <c r="I204" s="68">
        <v>0</v>
      </c>
      <c r="J204" s="68">
        <v>0</v>
      </c>
    </row>
    <row r="205" spans="1:10">
      <c r="A205" s="72" t="s">
        <v>172</v>
      </c>
      <c r="B205" s="67">
        <f>+SUM(B206:B208)</f>
        <v>151258.91666666672</v>
      </c>
      <c r="C205" s="67">
        <f t="shared" ref="C205:J205" si="36">+SUM(C206:C208)</f>
        <v>0</v>
      </c>
      <c r="D205" s="67">
        <f t="shared" si="36"/>
        <v>140616.12005494529</v>
      </c>
      <c r="E205" s="67">
        <f t="shared" si="36"/>
        <v>339.44999999999641</v>
      </c>
      <c r="F205" s="67">
        <f t="shared" si="36"/>
        <v>53217.020833333358</v>
      </c>
      <c r="G205" s="67">
        <f t="shared" si="36"/>
        <v>9284.495833333327</v>
      </c>
      <c r="H205" s="67">
        <f t="shared" si="36"/>
        <v>822.44166666666422</v>
      </c>
      <c r="I205" s="67">
        <f t="shared" si="36"/>
        <v>10798</v>
      </c>
      <c r="J205" s="67">
        <f t="shared" si="36"/>
        <v>0</v>
      </c>
    </row>
    <row r="206" spans="1:10">
      <c r="A206" s="61" t="s">
        <v>173</v>
      </c>
      <c r="B206" s="68">
        <v>98042.166666666701</v>
      </c>
      <c r="C206" s="68">
        <v>0</v>
      </c>
      <c r="D206" s="68">
        <v>0</v>
      </c>
      <c r="E206" s="68">
        <v>0</v>
      </c>
      <c r="F206" s="68">
        <v>49979.916666666701</v>
      </c>
      <c r="G206" s="68">
        <v>0</v>
      </c>
      <c r="H206" s="68">
        <v>0</v>
      </c>
      <c r="I206" s="68">
        <v>0</v>
      </c>
      <c r="J206" s="68">
        <v>0</v>
      </c>
    </row>
    <row r="207" spans="1:10">
      <c r="A207" s="61" t="s">
        <v>174</v>
      </c>
      <c r="B207" s="68">
        <v>50606.166666666701</v>
      </c>
      <c r="C207" s="68">
        <v>0</v>
      </c>
      <c r="D207" s="68">
        <v>9733.5</v>
      </c>
      <c r="E207" s="68">
        <v>0</v>
      </c>
      <c r="F207" s="68">
        <v>0</v>
      </c>
      <c r="G207" s="68">
        <v>0</v>
      </c>
      <c r="H207" s="68">
        <v>0</v>
      </c>
      <c r="I207" s="68">
        <v>7415.25</v>
      </c>
      <c r="J207" s="68">
        <v>0</v>
      </c>
    </row>
    <row r="208" spans="1:10">
      <c r="A208" s="61" t="s">
        <v>235</v>
      </c>
      <c r="B208" s="68">
        <v>2610.5833333333157</v>
      </c>
      <c r="C208" s="68">
        <v>0</v>
      </c>
      <c r="D208" s="68">
        <v>130882.62005494529</v>
      </c>
      <c r="E208" s="68">
        <v>339.44999999999641</v>
      </c>
      <c r="F208" s="68">
        <v>3237.1041666666606</v>
      </c>
      <c r="G208" s="68">
        <v>9284.495833333327</v>
      </c>
      <c r="H208" s="68">
        <v>822.44166666666422</v>
      </c>
      <c r="I208" s="68">
        <v>3382.75</v>
      </c>
      <c r="J208" s="68">
        <v>0</v>
      </c>
    </row>
    <row r="209" spans="1:10">
      <c r="A209" s="72" t="s">
        <v>175</v>
      </c>
      <c r="B209" s="67">
        <f>+SUM(B210:B213)</f>
        <v>160737.31</v>
      </c>
      <c r="C209" s="67">
        <f t="shared" ref="C209:J209" si="37">+SUM(C210:C213)</f>
        <v>0</v>
      </c>
      <c r="D209" s="67">
        <f t="shared" si="37"/>
        <v>186159</v>
      </c>
      <c r="E209" s="67">
        <f t="shared" si="37"/>
        <v>224106</v>
      </c>
      <c r="F209" s="67">
        <f t="shared" si="37"/>
        <v>140992.5</v>
      </c>
      <c r="G209" s="67">
        <f t="shared" si="37"/>
        <v>84595.5</v>
      </c>
      <c r="H209" s="67">
        <f t="shared" si="37"/>
        <v>56397</v>
      </c>
      <c r="I209" s="67">
        <f t="shared" si="37"/>
        <v>267000</v>
      </c>
      <c r="J209" s="67">
        <f t="shared" si="37"/>
        <v>178000</v>
      </c>
    </row>
    <row r="210" spans="1:10">
      <c r="A210" s="61" t="s">
        <v>176</v>
      </c>
      <c r="B210" s="68">
        <v>0</v>
      </c>
      <c r="C210" s="68">
        <v>0</v>
      </c>
      <c r="D210" s="68">
        <v>0</v>
      </c>
      <c r="E210" s="68">
        <v>100000</v>
      </c>
      <c r="F210" s="68">
        <v>0</v>
      </c>
      <c r="G210" s="68">
        <v>0</v>
      </c>
      <c r="H210" s="68">
        <v>0</v>
      </c>
      <c r="I210" s="68">
        <v>0</v>
      </c>
      <c r="J210" s="68">
        <v>0</v>
      </c>
    </row>
    <row r="211" spans="1:10">
      <c r="A211" s="61" t="s">
        <v>177</v>
      </c>
      <c r="B211" s="68">
        <v>0</v>
      </c>
      <c r="C211" s="68">
        <v>0</v>
      </c>
      <c r="D211" s="68">
        <v>186159</v>
      </c>
      <c r="E211" s="68">
        <v>124106</v>
      </c>
      <c r="F211" s="68">
        <v>0</v>
      </c>
      <c r="G211" s="68">
        <v>70195.5</v>
      </c>
      <c r="H211" s="68">
        <v>46797</v>
      </c>
      <c r="I211" s="68">
        <v>267000</v>
      </c>
      <c r="J211" s="68">
        <v>178000</v>
      </c>
    </row>
    <row r="212" spans="1:10">
      <c r="A212" s="61" t="s">
        <v>178</v>
      </c>
      <c r="B212" s="68">
        <v>87450.31</v>
      </c>
      <c r="C212" s="68">
        <v>0</v>
      </c>
      <c r="D212" s="68">
        <v>0</v>
      </c>
      <c r="E212" s="68">
        <v>0</v>
      </c>
      <c r="F212" s="68">
        <v>116992.5</v>
      </c>
      <c r="G212" s="68">
        <v>0</v>
      </c>
      <c r="H212" s="68">
        <v>0</v>
      </c>
      <c r="I212" s="68">
        <v>0</v>
      </c>
      <c r="J212" s="68">
        <v>0</v>
      </c>
    </row>
    <row r="213" spans="1:10">
      <c r="A213" s="61" t="s">
        <v>179</v>
      </c>
      <c r="B213" s="68">
        <v>73287</v>
      </c>
      <c r="C213" s="68">
        <v>0</v>
      </c>
      <c r="D213" s="68">
        <v>0</v>
      </c>
      <c r="E213" s="68">
        <v>0</v>
      </c>
      <c r="F213" s="68">
        <v>24000</v>
      </c>
      <c r="G213" s="68">
        <v>14400</v>
      </c>
      <c r="H213" s="68">
        <v>9600</v>
      </c>
      <c r="I213" s="68">
        <v>0</v>
      </c>
      <c r="J213" s="68">
        <v>0</v>
      </c>
    </row>
    <row r="214" spans="1:10">
      <c r="A214" s="72" t="s">
        <v>180</v>
      </c>
      <c r="B214" s="67">
        <f>+SUM(B215:B216)</f>
        <v>2000</v>
      </c>
      <c r="C214" s="67">
        <f t="shared" ref="C214:J214" si="38">+SUM(C215:C216)</f>
        <v>0</v>
      </c>
      <c r="D214" s="67">
        <f t="shared" si="38"/>
        <v>1700</v>
      </c>
      <c r="E214" s="67">
        <f t="shared" si="38"/>
        <v>600</v>
      </c>
      <c r="F214" s="67">
        <f t="shared" si="38"/>
        <v>1350</v>
      </c>
      <c r="G214" s="67">
        <f t="shared" si="38"/>
        <v>810</v>
      </c>
      <c r="H214" s="67">
        <f t="shared" si="38"/>
        <v>540</v>
      </c>
      <c r="I214" s="67">
        <f t="shared" si="38"/>
        <v>0</v>
      </c>
      <c r="J214" s="67">
        <f t="shared" si="38"/>
        <v>0</v>
      </c>
    </row>
    <row r="215" spans="1:10">
      <c r="A215" s="61" t="s">
        <v>181</v>
      </c>
      <c r="B215" s="68">
        <v>0</v>
      </c>
      <c r="C215" s="68">
        <v>0</v>
      </c>
      <c r="D215" s="68">
        <v>0</v>
      </c>
      <c r="E215" s="68">
        <v>0</v>
      </c>
      <c r="F215" s="68">
        <v>0</v>
      </c>
      <c r="G215" s="68">
        <v>0</v>
      </c>
      <c r="H215" s="68">
        <v>0</v>
      </c>
      <c r="I215" s="68">
        <v>0</v>
      </c>
      <c r="J215" s="68">
        <v>0</v>
      </c>
    </row>
    <row r="216" spans="1:10">
      <c r="A216" s="61" t="s">
        <v>182</v>
      </c>
      <c r="B216" s="68">
        <v>2000</v>
      </c>
      <c r="C216" s="68">
        <v>0</v>
      </c>
      <c r="D216" s="68">
        <v>1700</v>
      </c>
      <c r="E216" s="68">
        <v>600</v>
      </c>
      <c r="F216" s="68">
        <v>1350</v>
      </c>
      <c r="G216" s="68">
        <v>810</v>
      </c>
      <c r="H216" s="68">
        <v>540</v>
      </c>
      <c r="I216" s="68">
        <v>0</v>
      </c>
      <c r="J216" s="68">
        <v>0</v>
      </c>
    </row>
    <row r="217" spans="1:10">
      <c r="A217" s="60"/>
      <c r="B217" s="68"/>
      <c r="C217" s="68"/>
      <c r="D217" s="68"/>
      <c r="E217" s="68"/>
      <c r="F217" s="68"/>
      <c r="G217" s="68"/>
      <c r="H217" s="68"/>
      <c r="I217" s="69"/>
      <c r="J217" s="69"/>
    </row>
    <row r="218" spans="1:10" ht="17.25">
      <c r="A218" s="70" t="s">
        <v>183</v>
      </c>
      <c r="B218" s="67">
        <f>+B219+B223+B227</f>
        <v>492824.95402739733</v>
      </c>
      <c r="C218" s="67">
        <f t="shared" ref="C218:J218" si="39">+C219+C223+C227</f>
        <v>0</v>
      </c>
      <c r="D218" s="67">
        <f t="shared" si="39"/>
        <v>23210.839799999994</v>
      </c>
      <c r="E218" s="67">
        <f t="shared" si="39"/>
        <v>15473.893199999999</v>
      </c>
      <c r="F218" s="67">
        <f t="shared" si="39"/>
        <v>265588.74249999999</v>
      </c>
      <c r="G218" s="67">
        <f t="shared" si="39"/>
        <v>11605.419899999997</v>
      </c>
      <c r="H218" s="67">
        <f t="shared" si="39"/>
        <v>7736.9465999999993</v>
      </c>
      <c r="I218" s="67">
        <f t="shared" si="39"/>
        <v>0</v>
      </c>
      <c r="J218" s="67">
        <f t="shared" si="39"/>
        <v>0</v>
      </c>
    </row>
    <row r="219" spans="1:10">
      <c r="A219" s="72" t="s">
        <v>184</v>
      </c>
      <c r="B219" s="67">
        <f>+SUM(B220:B222)</f>
        <v>441245.3100273973</v>
      </c>
      <c r="C219" s="67">
        <f t="shared" ref="C219:J219" si="40">+SUM(C220:C222)</f>
        <v>0</v>
      </c>
      <c r="D219" s="67">
        <f t="shared" si="40"/>
        <v>0</v>
      </c>
      <c r="E219" s="67">
        <f t="shared" si="40"/>
        <v>0</v>
      </c>
      <c r="F219" s="67">
        <f t="shared" si="40"/>
        <v>246246.37600000002</v>
      </c>
      <c r="G219" s="67">
        <f t="shared" si="40"/>
        <v>0</v>
      </c>
      <c r="H219" s="67">
        <f t="shared" si="40"/>
        <v>0</v>
      </c>
      <c r="I219" s="67">
        <f t="shared" si="40"/>
        <v>0</v>
      </c>
      <c r="J219" s="67">
        <f t="shared" si="40"/>
        <v>0</v>
      </c>
    </row>
    <row r="220" spans="1:10">
      <c r="A220" s="61" t="s">
        <v>185</v>
      </c>
      <c r="B220" s="68">
        <v>71875.746027397268</v>
      </c>
      <c r="C220" s="68">
        <v>0</v>
      </c>
      <c r="D220" s="68">
        <v>0</v>
      </c>
      <c r="E220" s="68">
        <v>0</v>
      </c>
      <c r="F220" s="68">
        <v>0</v>
      </c>
      <c r="G220" s="68">
        <v>0</v>
      </c>
      <c r="H220" s="68">
        <v>0</v>
      </c>
      <c r="I220" s="68">
        <v>0</v>
      </c>
      <c r="J220" s="68">
        <v>0</v>
      </c>
    </row>
    <row r="221" spans="1:10">
      <c r="A221" s="61" t="s">
        <v>236</v>
      </c>
      <c r="B221" s="68">
        <v>194353.2</v>
      </c>
      <c r="C221" s="68">
        <v>0</v>
      </c>
      <c r="D221" s="68">
        <v>0</v>
      </c>
      <c r="E221" s="68">
        <v>0</v>
      </c>
      <c r="F221" s="68">
        <v>129568.80000000002</v>
      </c>
      <c r="G221" s="68">
        <v>0</v>
      </c>
      <c r="H221" s="68">
        <v>0</v>
      </c>
      <c r="I221" s="68">
        <v>0</v>
      </c>
      <c r="J221" s="68">
        <v>0</v>
      </c>
    </row>
    <row r="222" spans="1:10">
      <c r="A222" s="61" t="s">
        <v>237</v>
      </c>
      <c r="B222" s="68">
        <v>175016.364</v>
      </c>
      <c r="C222" s="68">
        <v>0</v>
      </c>
      <c r="D222" s="68">
        <v>0</v>
      </c>
      <c r="E222" s="68">
        <v>0</v>
      </c>
      <c r="F222" s="68">
        <v>116677.576</v>
      </c>
      <c r="G222" s="68">
        <v>0</v>
      </c>
      <c r="H222" s="68">
        <v>0</v>
      </c>
      <c r="I222" s="68">
        <v>0</v>
      </c>
      <c r="J222" s="68">
        <v>0</v>
      </c>
    </row>
    <row r="223" spans="1:10">
      <c r="A223" s="72" t="s">
        <v>186</v>
      </c>
      <c r="B223" s="67">
        <f>+SUM(B224:B226)</f>
        <v>51579.644</v>
      </c>
      <c r="C223" s="67">
        <f t="shared" ref="C223:J223" si="41">+SUM(C224:C226)</f>
        <v>0</v>
      </c>
      <c r="D223" s="67">
        <f t="shared" si="41"/>
        <v>23210.839799999994</v>
      </c>
      <c r="E223" s="67">
        <f t="shared" si="41"/>
        <v>15473.893199999999</v>
      </c>
      <c r="F223" s="67">
        <f t="shared" si="41"/>
        <v>19342.366499999996</v>
      </c>
      <c r="G223" s="67">
        <f t="shared" si="41"/>
        <v>11605.419899999997</v>
      </c>
      <c r="H223" s="67">
        <f t="shared" si="41"/>
        <v>7736.9465999999993</v>
      </c>
      <c r="I223" s="67">
        <f t="shared" si="41"/>
        <v>0</v>
      </c>
      <c r="J223" s="67">
        <f t="shared" si="41"/>
        <v>0</v>
      </c>
    </row>
    <row r="224" spans="1:10">
      <c r="A224" s="61" t="s">
        <v>187</v>
      </c>
      <c r="B224" s="68">
        <v>51579.644</v>
      </c>
      <c r="C224" s="68">
        <v>0</v>
      </c>
      <c r="D224" s="68">
        <v>23210.839799999994</v>
      </c>
      <c r="E224" s="68">
        <v>15473.893199999999</v>
      </c>
      <c r="F224" s="68">
        <v>19342.366499999996</v>
      </c>
      <c r="G224" s="68">
        <v>11605.419899999997</v>
      </c>
      <c r="H224" s="68">
        <v>7736.9465999999993</v>
      </c>
      <c r="I224" s="68">
        <v>0</v>
      </c>
      <c r="J224" s="68">
        <v>0</v>
      </c>
    </row>
    <row r="225" spans="1:10">
      <c r="A225" s="61" t="s">
        <v>188</v>
      </c>
      <c r="B225" s="68">
        <v>0</v>
      </c>
      <c r="C225" s="68">
        <v>0</v>
      </c>
      <c r="D225" s="68">
        <v>0</v>
      </c>
      <c r="E225" s="68">
        <v>0</v>
      </c>
      <c r="F225" s="68">
        <v>0</v>
      </c>
      <c r="G225" s="68">
        <v>0</v>
      </c>
      <c r="H225" s="68">
        <v>0</v>
      </c>
      <c r="I225" s="68">
        <v>0</v>
      </c>
      <c r="J225" s="68">
        <v>0</v>
      </c>
    </row>
    <row r="226" spans="1:10">
      <c r="A226" s="61" t="s">
        <v>189</v>
      </c>
      <c r="B226" s="68">
        <v>0</v>
      </c>
      <c r="C226" s="68">
        <v>0</v>
      </c>
      <c r="D226" s="68">
        <v>0</v>
      </c>
      <c r="E226" s="68">
        <v>0</v>
      </c>
      <c r="F226" s="68">
        <v>0</v>
      </c>
      <c r="G226" s="68">
        <v>0</v>
      </c>
      <c r="H226" s="68">
        <v>0</v>
      </c>
      <c r="I226" s="68">
        <v>0</v>
      </c>
      <c r="J226" s="68">
        <v>0</v>
      </c>
    </row>
    <row r="227" spans="1:10">
      <c r="A227" s="72" t="s">
        <v>190</v>
      </c>
      <c r="B227" s="67">
        <f>+SUM(B228:B229)</f>
        <v>0</v>
      </c>
      <c r="C227" s="67">
        <f t="shared" ref="C227:J227" si="42">+SUM(C228:C229)</f>
        <v>0</v>
      </c>
      <c r="D227" s="67">
        <f t="shared" si="42"/>
        <v>0</v>
      </c>
      <c r="E227" s="67">
        <f t="shared" si="42"/>
        <v>0</v>
      </c>
      <c r="F227" s="67">
        <f t="shared" si="42"/>
        <v>0</v>
      </c>
      <c r="G227" s="67">
        <f t="shared" si="42"/>
        <v>0</v>
      </c>
      <c r="H227" s="67">
        <f t="shared" si="42"/>
        <v>0</v>
      </c>
      <c r="I227" s="67">
        <f t="shared" si="42"/>
        <v>0</v>
      </c>
      <c r="J227" s="67">
        <f t="shared" si="42"/>
        <v>0</v>
      </c>
    </row>
    <row r="228" spans="1:10">
      <c r="A228" s="61" t="s">
        <v>191</v>
      </c>
      <c r="B228" s="68">
        <v>0</v>
      </c>
      <c r="C228" s="68">
        <v>0</v>
      </c>
      <c r="D228" s="68">
        <v>0</v>
      </c>
      <c r="E228" s="68">
        <v>0</v>
      </c>
      <c r="F228" s="68">
        <v>0</v>
      </c>
      <c r="G228" s="68">
        <v>0</v>
      </c>
      <c r="H228" s="68">
        <v>0</v>
      </c>
      <c r="I228" s="68">
        <v>0</v>
      </c>
      <c r="J228" s="68">
        <v>0</v>
      </c>
    </row>
    <row r="229" spans="1:10">
      <c r="A229" s="61" t="s">
        <v>192</v>
      </c>
      <c r="B229" s="68">
        <v>0</v>
      </c>
      <c r="C229" s="68">
        <v>0</v>
      </c>
      <c r="D229" s="68">
        <v>0</v>
      </c>
      <c r="E229" s="68">
        <v>0</v>
      </c>
      <c r="F229" s="68">
        <v>0</v>
      </c>
      <c r="G229" s="68">
        <v>0</v>
      </c>
      <c r="H229" s="68">
        <v>0</v>
      </c>
      <c r="I229" s="68">
        <v>0</v>
      </c>
      <c r="J229" s="68">
        <v>0</v>
      </c>
    </row>
    <row r="230" spans="1:10">
      <c r="A230" s="64" t="s">
        <v>193</v>
      </c>
      <c r="B230" s="67">
        <f>+B75+B104+B115+B156+B218</f>
        <v>6463424.2547278926</v>
      </c>
      <c r="C230" s="67">
        <f t="shared" ref="C230:J230" si="43">+C75+C104+C115+C156+C218</f>
        <v>40750.019999999997</v>
      </c>
      <c r="D230" s="67">
        <f t="shared" si="43"/>
        <v>3364565.2362422021</v>
      </c>
      <c r="E230" s="67">
        <f t="shared" si="43"/>
        <v>1019674.0302066649</v>
      </c>
      <c r="F230" s="67">
        <f t="shared" si="43"/>
        <v>3473386.7700879448</v>
      </c>
      <c r="G230" s="67">
        <f t="shared" si="43"/>
        <v>1545119.0033273012</v>
      </c>
      <c r="H230" s="67">
        <f t="shared" si="43"/>
        <v>375832.1788068047</v>
      </c>
      <c r="I230" s="67">
        <f t="shared" si="43"/>
        <v>1744031.1357692305</v>
      </c>
      <c r="J230" s="67">
        <f t="shared" si="43"/>
        <v>444855.12907692313</v>
      </c>
    </row>
    <row r="231" spans="1:10">
      <c r="A231" s="73" t="s">
        <v>58</v>
      </c>
      <c r="B231" s="115">
        <f>+IFERROR(B230/B70,0)</f>
        <v>5.8575935215815181E-2</v>
      </c>
      <c r="C231" s="115">
        <f t="shared" ref="C231:J231" si="44">+IFERROR(C230/C70,0)</f>
        <v>2.8143969004216101E-2</v>
      </c>
      <c r="D231" s="115">
        <f t="shared" si="44"/>
        <v>0.1562952923389774</v>
      </c>
      <c r="E231" s="115">
        <f t="shared" si="44"/>
        <v>0.12925730277070102</v>
      </c>
      <c r="F231" s="115">
        <f t="shared" si="44"/>
        <v>3.3955863669437626E-2</v>
      </c>
      <c r="G231" s="115">
        <f t="shared" si="44"/>
        <v>0.14329383006599769</v>
      </c>
      <c r="H231" s="115">
        <f t="shared" si="44"/>
        <v>0.1237413942263462</v>
      </c>
      <c r="I231" s="115">
        <f t="shared" si="44"/>
        <v>0.49944112727154472</v>
      </c>
      <c r="J231" s="115">
        <f t="shared" si="44"/>
        <v>0.48251974718114055</v>
      </c>
    </row>
    <row r="232" spans="1:10">
      <c r="A232" s="21"/>
      <c r="B232" s="69"/>
      <c r="C232" s="69"/>
      <c r="D232" s="69"/>
      <c r="E232" s="69"/>
      <c r="F232" s="69"/>
      <c r="G232" s="69"/>
      <c r="H232" s="69"/>
      <c r="I232" s="69"/>
      <c r="J232" s="69"/>
    </row>
    <row r="233" spans="1:10">
      <c r="A233" s="64" t="s">
        <v>194</v>
      </c>
      <c r="B233" s="67">
        <f>+B71-B230</f>
        <v>898998.42627210729</v>
      </c>
      <c r="C233" s="67">
        <f t="shared" ref="C233:J233" si="45">+C71-C230</f>
        <v>139437.12999999998</v>
      </c>
      <c r="D233" s="67">
        <f t="shared" si="45"/>
        <v>3567851.2324914532</v>
      </c>
      <c r="E233" s="67">
        <f t="shared" si="45"/>
        <v>2362239.0397933349</v>
      </c>
      <c r="F233" s="67">
        <f t="shared" si="45"/>
        <v>3308305.4399120542</v>
      </c>
      <c r="G233" s="67">
        <f t="shared" si="45"/>
        <v>2258034.2652522922</v>
      </c>
      <c r="H233" s="67">
        <f t="shared" si="45"/>
        <v>657376.39719319541</v>
      </c>
      <c r="I233" s="67">
        <f t="shared" si="45"/>
        <v>-732459.16345734056</v>
      </c>
      <c r="J233" s="67">
        <f t="shared" si="45"/>
        <v>-210408.02707692317</v>
      </c>
    </row>
    <row r="234" spans="1:10">
      <c r="A234" s="73" t="s">
        <v>58</v>
      </c>
      <c r="B234" s="115">
        <f>IFERROR(B233/B70,0)</f>
        <v>8.1473335961065908E-3</v>
      </c>
      <c r="C234" s="115">
        <f t="shared" ref="C234:J234" si="46">IFERROR(C233/C70,0)</f>
        <v>9.6302143281324776E-2</v>
      </c>
      <c r="D234" s="115">
        <f t="shared" si="46"/>
        <v>0.16573860580781744</v>
      </c>
      <c r="E234" s="115">
        <f t="shared" si="46"/>
        <v>0.29944534992369304</v>
      </c>
      <c r="F234" s="115">
        <f t="shared" si="46"/>
        <v>3.2342026940946823E-2</v>
      </c>
      <c r="G234" s="115">
        <f t="shared" si="46"/>
        <v>0.20940935784977976</v>
      </c>
      <c r="H234" s="115">
        <f t="shared" si="46"/>
        <v>0.21643881633135328</v>
      </c>
      <c r="I234" s="115">
        <f t="shared" si="46"/>
        <v>-0.20975556156923564</v>
      </c>
      <c r="J234" s="115">
        <f t="shared" si="46"/>
        <v>-0.22822267608941951</v>
      </c>
    </row>
    <row r="235" spans="1:10">
      <c r="A235" s="60"/>
      <c r="B235" s="68"/>
      <c r="C235" s="68"/>
      <c r="D235" s="68"/>
      <c r="E235" s="68"/>
      <c r="F235" s="68"/>
      <c r="G235" s="68"/>
      <c r="H235" s="68"/>
      <c r="I235" s="69"/>
      <c r="J235" s="69"/>
    </row>
    <row r="236" spans="1:10" ht="17.25">
      <c r="A236" s="70" t="s">
        <v>195</v>
      </c>
      <c r="B236" s="67">
        <f t="shared" ref="B236:J236" si="47">+SUM(B237:B239)</f>
        <v>117499.25200000001</v>
      </c>
      <c r="C236" s="67">
        <f t="shared" si="47"/>
        <v>0</v>
      </c>
      <c r="D236" s="67">
        <f t="shared" si="47"/>
        <v>362152.93320000003</v>
      </c>
      <c r="E236" s="67">
        <f t="shared" si="47"/>
        <v>19884.488800000003</v>
      </c>
      <c r="F236" s="67">
        <f t="shared" si="47"/>
        <v>142354.86300000001</v>
      </c>
      <c r="G236" s="67">
        <f t="shared" si="47"/>
        <v>306963.71779999998</v>
      </c>
      <c r="H236" s="67">
        <f t="shared" si="47"/>
        <v>56941.945200000009</v>
      </c>
      <c r="I236" s="67">
        <f t="shared" si="47"/>
        <v>0</v>
      </c>
      <c r="J236" s="67">
        <f t="shared" si="47"/>
        <v>0</v>
      </c>
    </row>
    <row r="237" spans="1:10">
      <c r="A237" s="61" t="s">
        <v>196</v>
      </c>
      <c r="B237" s="68">
        <v>0</v>
      </c>
      <c r="C237" s="68">
        <v>0</v>
      </c>
      <c r="D237" s="68">
        <v>301063.8</v>
      </c>
      <c r="E237" s="68">
        <v>0</v>
      </c>
      <c r="F237" s="68">
        <v>0</v>
      </c>
      <c r="G237" s="68">
        <v>200709.2</v>
      </c>
      <c r="H237" s="68">
        <v>0</v>
      </c>
      <c r="I237" s="68">
        <v>0</v>
      </c>
      <c r="J237" s="68">
        <v>0</v>
      </c>
    </row>
    <row r="238" spans="1:10">
      <c r="A238" s="61" t="s">
        <v>197</v>
      </c>
      <c r="B238" s="68">
        <v>117499.25200000001</v>
      </c>
      <c r="C238" s="68">
        <v>0</v>
      </c>
      <c r="D238" s="68">
        <v>29826.733199999999</v>
      </c>
      <c r="E238" s="68">
        <v>19884.488800000003</v>
      </c>
      <c r="F238" s="68">
        <v>142354.86300000001</v>
      </c>
      <c r="G238" s="68">
        <v>85412.91780000001</v>
      </c>
      <c r="H238" s="68">
        <v>56941.945200000009</v>
      </c>
      <c r="I238" s="68">
        <v>0</v>
      </c>
      <c r="J238" s="68">
        <v>0</v>
      </c>
    </row>
    <row r="239" spans="1:10">
      <c r="A239" s="61" t="s">
        <v>198</v>
      </c>
      <c r="B239" s="68">
        <v>0</v>
      </c>
      <c r="C239" s="68">
        <v>0</v>
      </c>
      <c r="D239" s="68">
        <v>31262.399999999998</v>
      </c>
      <c r="E239" s="68">
        <v>0</v>
      </c>
      <c r="F239" s="68">
        <v>0</v>
      </c>
      <c r="G239" s="68">
        <v>20841.600000000002</v>
      </c>
      <c r="H239" s="68">
        <v>0</v>
      </c>
      <c r="I239" s="68">
        <v>0</v>
      </c>
      <c r="J239" s="68">
        <v>0</v>
      </c>
    </row>
    <row r="240" spans="1:10">
      <c r="A240" s="60"/>
      <c r="B240" s="68"/>
      <c r="C240" s="68"/>
      <c r="D240" s="68"/>
      <c r="E240" s="68"/>
      <c r="F240" s="68"/>
      <c r="G240" s="68"/>
      <c r="H240" s="68"/>
      <c r="I240" s="69"/>
      <c r="J240" s="69"/>
    </row>
    <row r="241" spans="1:10" ht="17.25">
      <c r="A241" s="70" t="s">
        <v>199</v>
      </c>
      <c r="B241" s="67">
        <f>+SUM(B242:B248)</f>
        <v>952163.96462113166</v>
      </c>
      <c r="C241" s="67">
        <f t="shared" ref="C241:J241" si="48">+SUM(C242:C248)</f>
        <v>0</v>
      </c>
      <c r="D241" s="67">
        <f t="shared" si="48"/>
        <v>675475.61596874997</v>
      </c>
      <c r="E241" s="67">
        <f t="shared" si="48"/>
        <v>386326.71292708302</v>
      </c>
      <c r="F241" s="67">
        <f t="shared" si="48"/>
        <v>433516.25836428563</v>
      </c>
      <c r="G241" s="67">
        <f t="shared" si="48"/>
        <v>241812.14353571442</v>
      </c>
      <c r="H241" s="67">
        <f t="shared" si="48"/>
        <v>155829.26235714319</v>
      </c>
      <c r="I241" s="67">
        <f t="shared" si="48"/>
        <v>702927.25199999998</v>
      </c>
      <c r="J241" s="67">
        <f t="shared" si="48"/>
        <v>468618.16800000001</v>
      </c>
    </row>
    <row r="242" spans="1:10">
      <c r="A242" s="61" t="s">
        <v>200</v>
      </c>
      <c r="B242" s="68">
        <v>0</v>
      </c>
      <c r="C242" s="68">
        <v>0</v>
      </c>
      <c r="D242" s="68">
        <v>0</v>
      </c>
      <c r="E242" s="68">
        <v>0</v>
      </c>
      <c r="F242" s="68">
        <v>0</v>
      </c>
      <c r="G242" s="68">
        <v>0</v>
      </c>
      <c r="H242" s="68">
        <v>0</v>
      </c>
      <c r="I242" s="68">
        <v>0</v>
      </c>
      <c r="J242" s="68">
        <v>0</v>
      </c>
    </row>
    <row r="243" spans="1:10">
      <c r="A243" s="61" t="s">
        <v>238</v>
      </c>
      <c r="B243" s="68">
        <v>952163.96462113166</v>
      </c>
      <c r="C243" s="68">
        <v>0</v>
      </c>
      <c r="D243" s="68">
        <v>675475.61596874997</v>
      </c>
      <c r="E243" s="68">
        <v>386326.71292708302</v>
      </c>
      <c r="F243" s="68">
        <v>433516.25836428563</v>
      </c>
      <c r="G243" s="68">
        <v>241812.14353571442</v>
      </c>
      <c r="H243" s="68">
        <v>155829.26235714319</v>
      </c>
      <c r="I243" s="68">
        <v>702927.25199999998</v>
      </c>
      <c r="J243" s="68">
        <v>468618.16800000001</v>
      </c>
    </row>
    <row r="244" spans="1:10">
      <c r="A244" s="61" t="s">
        <v>239</v>
      </c>
      <c r="B244" s="68">
        <v>0</v>
      </c>
      <c r="C244" s="68">
        <v>0</v>
      </c>
      <c r="D244" s="68">
        <v>0</v>
      </c>
      <c r="E244" s="68">
        <v>0</v>
      </c>
      <c r="F244" s="68">
        <v>0</v>
      </c>
      <c r="G244" s="68">
        <v>0</v>
      </c>
      <c r="H244" s="68">
        <v>0</v>
      </c>
      <c r="I244" s="68">
        <v>0</v>
      </c>
      <c r="J244" s="68">
        <v>0</v>
      </c>
    </row>
    <row r="245" spans="1:10">
      <c r="A245" s="61" t="s">
        <v>240</v>
      </c>
      <c r="B245" s="68">
        <v>0</v>
      </c>
      <c r="C245" s="68">
        <v>0</v>
      </c>
      <c r="D245" s="68">
        <v>0</v>
      </c>
      <c r="E245" s="68">
        <v>0</v>
      </c>
      <c r="F245" s="68">
        <v>0</v>
      </c>
      <c r="G245" s="68">
        <v>0</v>
      </c>
      <c r="H245" s="68">
        <v>0</v>
      </c>
      <c r="I245" s="68">
        <v>0</v>
      </c>
      <c r="J245" s="68">
        <v>0</v>
      </c>
    </row>
    <row r="246" spans="1:10">
      <c r="A246" s="61" t="s">
        <v>241</v>
      </c>
      <c r="B246" s="68">
        <v>0</v>
      </c>
      <c r="C246" s="68">
        <v>0</v>
      </c>
      <c r="D246" s="68">
        <v>0</v>
      </c>
      <c r="E246" s="68">
        <v>0</v>
      </c>
      <c r="F246" s="68">
        <v>0</v>
      </c>
      <c r="G246" s="68">
        <v>0</v>
      </c>
      <c r="H246" s="68">
        <v>0</v>
      </c>
      <c r="I246" s="68">
        <v>0</v>
      </c>
      <c r="J246" s="68">
        <v>0</v>
      </c>
    </row>
    <row r="247" spans="1:10">
      <c r="A247" s="61" t="s">
        <v>242</v>
      </c>
      <c r="B247" s="68">
        <v>0</v>
      </c>
      <c r="C247" s="68">
        <v>0</v>
      </c>
      <c r="D247" s="68">
        <v>0</v>
      </c>
      <c r="E247" s="68">
        <v>0</v>
      </c>
      <c r="F247" s="68">
        <v>0</v>
      </c>
      <c r="G247" s="68">
        <v>0</v>
      </c>
      <c r="H247" s="68">
        <v>0</v>
      </c>
      <c r="I247" s="68">
        <v>0</v>
      </c>
      <c r="J247" s="68">
        <v>0</v>
      </c>
    </row>
    <row r="248" spans="1:10">
      <c r="A248" s="60"/>
      <c r="B248" s="68"/>
      <c r="C248" s="68"/>
      <c r="D248" s="68"/>
      <c r="E248" s="68"/>
      <c r="F248" s="68"/>
      <c r="G248" s="68"/>
      <c r="H248" s="68"/>
      <c r="I248" s="69"/>
      <c r="J248" s="69"/>
    </row>
    <row r="249" spans="1:10">
      <c r="A249" s="64" t="s">
        <v>201</v>
      </c>
      <c r="B249" s="67">
        <f t="shared" ref="B249:J249" si="49">+B233-B236-B241</f>
        <v>-170664.79034902435</v>
      </c>
      <c r="C249" s="67">
        <f t="shared" si="49"/>
        <v>139437.12999999998</v>
      </c>
      <c r="D249" s="67">
        <f t="shared" si="49"/>
        <v>2530222.6833227035</v>
      </c>
      <c r="E249" s="67">
        <f t="shared" si="49"/>
        <v>1956027.8380662519</v>
      </c>
      <c r="F249" s="67">
        <f t="shared" si="49"/>
        <v>2732434.3185477685</v>
      </c>
      <c r="G249" s="67">
        <f t="shared" si="49"/>
        <v>1709258.4039165778</v>
      </c>
      <c r="H249" s="67">
        <f t="shared" si="49"/>
        <v>444605.18963605224</v>
      </c>
      <c r="I249" s="67">
        <f t="shared" si="49"/>
        <v>-1435386.4154573404</v>
      </c>
      <c r="J249" s="67">
        <f t="shared" si="49"/>
        <v>-679026.19507692312</v>
      </c>
    </row>
    <row r="250" spans="1:10">
      <c r="A250" s="74" t="s">
        <v>58</v>
      </c>
      <c r="B250" s="116">
        <f>IFERROR(B249/B70,0)</f>
        <v>-1.5466801047126983E-3</v>
      </c>
      <c r="C250" s="116">
        <f t="shared" ref="C250:J250" si="50">IFERROR(C249/C70,0)</f>
        <v>9.6302143281324776E-2</v>
      </c>
      <c r="D250" s="116">
        <f t="shared" si="50"/>
        <v>0.11753729418375468</v>
      </c>
      <c r="E250" s="116">
        <f t="shared" si="50"/>
        <v>0.2479526544788104</v>
      </c>
      <c r="F250" s="116">
        <f t="shared" si="50"/>
        <v>2.6712305121134414E-2</v>
      </c>
      <c r="G250" s="116">
        <f t="shared" si="50"/>
        <v>0.15851606429166287</v>
      </c>
      <c r="H250" s="116">
        <f t="shared" si="50"/>
        <v>0.14638466088906926</v>
      </c>
      <c r="I250" s="116">
        <f t="shared" si="50"/>
        <v>-0.41105402002475183</v>
      </c>
      <c r="J250" s="116">
        <f t="shared" si="50"/>
        <v>-0.73651741109010238</v>
      </c>
    </row>
  </sheetData>
  <mergeCells count="5">
    <mergeCell ref="A1:J1"/>
    <mergeCell ref="A2:A3"/>
    <mergeCell ref="B2:E2"/>
    <mergeCell ref="F2:H2"/>
    <mergeCell ref="I2:J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4329-A0B0-4393-82FE-19FD3665915A}">
  <dimension ref="A1:EX232"/>
  <sheetViews>
    <sheetView topLeftCell="A17" workbookViewId="0">
      <pane xSplit="1" topLeftCell="DC1" activePane="topRight" state="frozen"/>
      <selection activeCell="A12" sqref="A12"/>
      <selection pane="topRight" activeCell="DE25" sqref="DE25"/>
    </sheetView>
  </sheetViews>
  <sheetFormatPr defaultColWidth="8.7109375" defaultRowHeight="15" outlineLevelCol="1"/>
  <cols>
    <col min="1" max="1" width="39.42578125" style="77" bestFit="1" customWidth="1"/>
    <col min="2" max="2" width="12.140625" style="77" customWidth="1"/>
    <col min="3" max="14" width="14.7109375" style="77" customWidth="1" outlineLevel="1"/>
    <col min="15" max="15" width="15.85546875" style="77" bestFit="1" customWidth="1"/>
    <col min="16" max="17" width="14.7109375" style="77" customWidth="1"/>
    <col min="18" max="28" width="14.7109375" style="77" customWidth="1" outlineLevel="1"/>
    <col min="29" max="30" width="14.7109375" style="77" hidden="1" customWidth="1"/>
    <col min="31" max="41" width="14.7109375" style="77" customWidth="1" outlineLevel="1"/>
    <col min="42" max="42" width="7.42578125" style="77" customWidth="1"/>
    <col min="43" max="43" width="14.7109375" style="77" customWidth="1"/>
    <col min="44" max="54" width="14.7109375" style="77" customWidth="1" outlineLevel="1"/>
    <col min="55" max="56" width="14.7109375" style="77" customWidth="1"/>
    <col min="57" max="67" width="14.7109375" style="77" customWidth="1" outlineLevel="1"/>
    <col min="68" max="69" width="14.7109375" style="77" customWidth="1"/>
    <col min="70" max="80" width="14" style="77" bestFit="1" customWidth="1" outlineLevel="1"/>
    <col min="81" max="81" width="12.28515625" style="77" bestFit="1" customWidth="1"/>
    <col min="82" max="82" width="13.28515625" style="77" bestFit="1" customWidth="1"/>
    <col min="83" max="93" width="13.28515625" style="77" bestFit="1" customWidth="1" outlineLevel="1"/>
    <col min="94" max="95" width="13.28515625" style="77" bestFit="1" customWidth="1"/>
    <col min="96" max="103" width="13.28515625" style="77" bestFit="1" customWidth="1" outlineLevel="1"/>
    <col min="104" max="106" width="13.42578125" style="77" bestFit="1" customWidth="1" outlineLevel="1"/>
    <col min="107" max="107" width="8.7109375" style="77"/>
    <col min="108" max="108" width="12.140625" style="77" bestFit="1" customWidth="1"/>
    <col min="109" max="109" width="13.42578125" style="77" bestFit="1" customWidth="1"/>
    <col min="110" max="119" width="13.42578125" style="77" bestFit="1" customWidth="1" outlineLevel="1"/>
    <col min="120" max="120" width="14.28515625" style="77" bestFit="1" customWidth="1" outlineLevel="1"/>
    <col min="121" max="121" width="12.5703125" style="77" bestFit="1" customWidth="1"/>
    <col min="122" max="122" width="13.28515625" style="77" bestFit="1" customWidth="1"/>
    <col min="123" max="133" width="13.28515625" style="77" bestFit="1" customWidth="1" outlineLevel="1"/>
    <col min="134" max="134" width="0" style="77" hidden="1" customWidth="1"/>
    <col min="135" max="135" width="14.85546875" style="77" bestFit="1" customWidth="1"/>
    <col min="136" max="138" width="0" style="77" hidden="1" customWidth="1"/>
    <col min="139" max="139" width="0.140625" style="77" hidden="1" customWidth="1"/>
    <col min="140" max="142" width="8.7109375" style="77"/>
    <col min="143" max="143" width="11.5703125" style="77" bestFit="1" customWidth="1"/>
    <col min="144" max="16384" width="8.7109375" style="77"/>
  </cols>
  <sheetData>
    <row r="1" spans="1:133"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9"/>
      <c r="BQ1" s="78">
        <v>13</v>
      </c>
      <c r="BR1" s="78">
        <v>14</v>
      </c>
      <c r="BS1" s="78">
        <v>15</v>
      </c>
      <c r="BT1" s="78">
        <v>15</v>
      </c>
      <c r="BU1" s="78">
        <v>14</v>
      </c>
      <c r="BV1" s="78">
        <v>13</v>
      </c>
      <c r="BW1" s="78">
        <v>12</v>
      </c>
      <c r="BX1" s="78">
        <v>14</v>
      </c>
      <c r="BY1" s="78">
        <v>17</v>
      </c>
      <c r="BZ1" s="78">
        <v>14</v>
      </c>
      <c r="CA1" s="78">
        <v>14</v>
      </c>
      <c r="CB1" s="79">
        <v>16</v>
      </c>
    </row>
    <row r="2" spans="1:133">
      <c r="Q2" s="77" t="s">
        <v>246</v>
      </c>
      <c r="R2" s="77" t="s">
        <v>246</v>
      </c>
      <c r="S2" s="77" t="s">
        <v>246</v>
      </c>
      <c r="T2" s="77" t="s">
        <v>246</v>
      </c>
      <c r="U2" s="77" t="s">
        <v>246</v>
      </c>
      <c r="V2" s="77" t="s">
        <v>246</v>
      </c>
      <c r="W2" s="77" t="s">
        <v>246</v>
      </c>
      <c r="X2" s="77" t="s">
        <v>246</v>
      </c>
      <c r="Y2" s="77" t="s">
        <v>246</v>
      </c>
      <c r="Z2" s="77" t="s">
        <v>246</v>
      </c>
      <c r="AA2" s="77" t="s">
        <v>246</v>
      </c>
      <c r="AB2" s="77" t="s">
        <v>246</v>
      </c>
      <c r="AD2" s="77" t="s">
        <v>247</v>
      </c>
      <c r="AE2" s="77" t="s">
        <v>247</v>
      </c>
      <c r="AF2" s="77" t="s">
        <v>247</v>
      </c>
      <c r="AG2" s="77" t="s">
        <v>247</v>
      </c>
      <c r="AH2" s="77" t="s">
        <v>247</v>
      </c>
      <c r="AI2" s="77" t="s">
        <v>247</v>
      </c>
      <c r="AJ2" s="77" t="s">
        <v>247</v>
      </c>
      <c r="AK2" s="77" t="s">
        <v>247</v>
      </c>
      <c r="AL2" s="77" t="s">
        <v>247</v>
      </c>
      <c r="AM2" s="77" t="s">
        <v>247</v>
      </c>
      <c r="AN2" s="77" t="s">
        <v>247</v>
      </c>
      <c r="AO2" s="77" t="s">
        <v>247</v>
      </c>
      <c r="AQ2" s="77" t="s">
        <v>248</v>
      </c>
      <c r="AR2" s="77" t="s">
        <v>248</v>
      </c>
      <c r="AS2" s="77" t="s">
        <v>248</v>
      </c>
      <c r="AT2" s="77" t="s">
        <v>248</v>
      </c>
      <c r="AU2" s="77" t="s">
        <v>248</v>
      </c>
      <c r="AV2" s="77" t="s">
        <v>248</v>
      </c>
      <c r="AW2" s="77" t="s">
        <v>248</v>
      </c>
      <c r="AX2" s="77" t="s">
        <v>248</v>
      </c>
      <c r="AY2" s="77" t="s">
        <v>248</v>
      </c>
      <c r="AZ2" s="77" t="s">
        <v>248</v>
      </c>
      <c r="BA2" s="77" t="s">
        <v>248</v>
      </c>
      <c r="BB2" s="77" t="s">
        <v>248</v>
      </c>
      <c r="BD2" s="77" t="s">
        <v>249</v>
      </c>
      <c r="BE2" s="77" t="s">
        <v>249</v>
      </c>
      <c r="BF2" s="77" t="s">
        <v>249</v>
      </c>
      <c r="BG2" s="77" t="s">
        <v>249</v>
      </c>
      <c r="BH2" s="77" t="s">
        <v>249</v>
      </c>
      <c r="BI2" s="77" t="s">
        <v>249</v>
      </c>
      <c r="BJ2" s="77" t="s">
        <v>249</v>
      </c>
      <c r="BK2" s="77" t="s">
        <v>249</v>
      </c>
      <c r="BL2" s="77" t="s">
        <v>249</v>
      </c>
      <c r="BM2" s="77" t="s">
        <v>249</v>
      </c>
      <c r="BN2" s="77" t="s">
        <v>249</v>
      </c>
      <c r="BO2" s="77" t="s">
        <v>249</v>
      </c>
      <c r="BQ2" s="77" t="s">
        <v>250</v>
      </c>
      <c r="BR2" s="77" t="s">
        <v>250</v>
      </c>
      <c r="BS2" s="77" t="s">
        <v>250</v>
      </c>
      <c r="BT2" s="77" t="s">
        <v>250</v>
      </c>
      <c r="BU2" s="77" t="s">
        <v>250</v>
      </c>
      <c r="BV2" s="77" t="s">
        <v>250</v>
      </c>
      <c r="BW2" s="77" t="s">
        <v>250</v>
      </c>
      <c r="BX2" s="77" t="s">
        <v>250</v>
      </c>
      <c r="BY2" s="77" t="s">
        <v>250</v>
      </c>
      <c r="BZ2" s="77" t="s">
        <v>250</v>
      </c>
      <c r="CA2" s="77" t="s">
        <v>250</v>
      </c>
      <c r="CB2" s="77" t="s">
        <v>250</v>
      </c>
      <c r="CD2" s="77" t="s">
        <v>251</v>
      </c>
      <c r="CE2" s="77" t="s">
        <v>251</v>
      </c>
      <c r="CF2" s="77" t="s">
        <v>251</v>
      </c>
      <c r="CG2" s="77" t="s">
        <v>251</v>
      </c>
      <c r="CH2" s="77" t="s">
        <v>251</v>
      </c>
      <c r="CI2" s="77" t="s">
        <v>251</v>
      </c>
      <c r="CJ2" s="77" t="s">
        <v>251</v>
      </c>
      <c r="CK2" s="77" t="s">
        <v>251</v>
      </c>
      <c r="CL2" s="77" t="s">
        <v>251</v>
      </c>
      <c r="CM2" s="77" t="s">
        <v>251</v>
      </c>
      <c r="CN2" s="77" t="s">
        <v>251</v>
      </c>
      <c r="CO2" s="77" t="s">
        <v>251</v>
      </c>
      <c r="CQ2" s="77" t="s">
        <v>252</v>
      </c>
      <c r="CR2" s="77" t="s">
        <v>252</v>
      </c>
      <c r="CS2" s="77" t="s">
        <v>252</v>
      </c>
      <c r="CT2" s="77" t="s">
        <v>252</v>
      </c>
      <c r="CU2" s="77" t="s">
        <v>252</v>
      </c>
      <c r="CV2" s="77" t="s">
        <v>252</v>
      </c>
      <c r="CW2" s="77" t="s">
        <v>252</v>
      </c>
      <c r="CX2" s="77" t="s">
        <v>252</v>
      </c>
      <c r="CY2" s="77" t="s">
        <v>252</v>
      </c>
      <c r="CZ2" s="77" t="s">
        <v>252</v>
      </c>
      <c r="DA2" s="77" t="s">
        <v>252</v>
      </c>
      <c r="DB2" s="77" t="s">
        <v>252</v>
      </c>
      <c r="DE2" s="77" t="s">
        <v>253</v>
      </c>
      <c r="DF2" s="77" t="s">
        <v>253</v>
      </c>
      <c r="DG2" s="77" t="s">
        <v>253</v>
      </c>
      <c r="DH2" s="77" t="s">
        <v>253</v>
      </c>
      <c r="DI2" s="77" t="s">
        <v>253</v>
      </c>
      <c r="DJ2" s="77" t="s">
        <v>253</v>
      </c>
      <c r="DK2" s="77" t="s">
        <v>253</v>
      </c>
      <c r="DL2" s="77" t="s">
        <v>253</v>
      </c>
      <c r="DM2" s="77" t="s">
        <v>253</v>
      </c>
      <c r="DN2" s="77" t="s">
        <v>253</v>
      </c>
      <c r="DO2" s="77" t="s">
        <v>253</v>
      </c>
      <c r="DP2" s="77" t="s">
        <v>253</v>
      </c>
      <c r="DR2" s="77" t="s">
        <v>254</v>
      </c>
      <c r="DS2" s="77" t="s">
        <v>254</v>
      </c>
      <c r="DT2" s="77" t="s">
        <v>254</v>
      </c>
      <c r="DU2" s="77" t="s">
        <v>254</v>
      </c>
      <c r="DV2" s="77" t="s">
        <v>254</v>
      </c>
      <c r="DW2" s="77" t="s">
        <v>254</v>
      </c>
      <c r="DX2" s="77" t="s">
        <v>254</v>
      </c>
      <c r="DY2" s="77" t="s">
        <v>254</v>
      </c>
      <c r="DZ2" s="77" t="s">
        <v>254</v>
      </c>
      <c r="EA2" s="77" t="s">
        <v>254</v>
      </c>
      <c r="EB2" s="77" t="s">
        <v>254</v>
      </c>
      <c r="EC2" s="77" t="s">
        <v>254</v>
      </c>
    </row>
    <row r="3" spans="1:133" s="82" customFormat="1" ht="15.6" customHeight="1">
      <c r="A3" s="80"/>
      <c r="B3" s="80"/>
      <c r="C3" s="81">
        <v>45658</v>
      </c>
      <c r="D3" s="81">
        <v>45689</v>
      </c>
      <c r="E3" s="81">
        <v>45717</v>
      </c>
      <c r="F3" s="81">
        <v>45748</v>
      </c>
      <c r="G3" s="81">
        <v>45778</v>
      </c>
      <c r="H3" s="81">
        <v>45809</v>
      </c>
      <c r="I3" s="81">
        <v>45839</v>
      </c>
      <c r="J3" s="81">
        <v>45870</v>
      </c>
      <c r="K3" s="81">
        <v>45901</v>
      </c>
      <c r="L3" s="81">
        <v>45931</v>
      </c>
      <c r="M3" s="81">
        <v>45962</v>
      </c>
      <c r="N3" s="81">
        <v>45992</v>
      </c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D3" s="81">
        <v>45658</v>
      </c>
      <c r="BE3" s="81">
        <v>45689</v>
      </c>
      <c r="BF3" s="81">
        <v>45717</v>
      </c>
      <c r="BG3" s="81">
        <v>45748</v>
      </c>
      <c r="BH3" s="81">
        <v>45778</v>
      </c>
      <c r="BI3" s="81">
        <v>45809</v>
      </c>
      <c r="BJ3" s="81">
        <v>45839</v>
      </c>
      <c r="BK3" s="81">
        <v>45870</v>
      </c>
      <c r="BL3" s="81">
        <v>45901</v>
      </c>
      <c r="BM3" s="81">
        <v>45931</v>
      </c>
      <c r="BN3" s="81">
        <v>45962</v>
      </c>
      <c r="BO3" s="81">
        <v>45992</v>
      </c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D3" s="81">
        <v>45658</v>
      </c>
      <c r="CE3" s="81">
        <v>45689</v>
      </c>
      <c r="CF3" s="81">
        <v>45717</v>
      </c>
      <c r="CG3" s="81">
        <v>45748</v>
      </c>
      <c r="CH3" s="81">
        <v>45778</v>
      </c>
      <c r="CI3" s="81">
        <v>45809</v>
      </c>
      <c r="CJ3" s="81">
        <v>45839</v>
      </c>
      <c r="CK3" s="81">
        <v>45870</v>
      </c>
      <c r="CL3" s="81">
        <v>45901</v>
      </c>
      <c r="CM3" s="81">
        <v>45931</v>
      </c>
      <c r="CN3" s="81">
        <v>45962</v>
      </c>
      <c r="CO3" s="81">
        <v>45992</v>
      </c>
      <c r="CQ3" s="81">
        <v>45658</v>
      </c>
      <c r="CR3" s="81">
        <v>45689</v>
      </c>
      <c r="CS3" s="81">
        <v>45717</v>
      </c>
      <c r="CT3" s="81">
        <v>45748</v>
      </c>
      <c r="CU3" s="81">
        <v>45778</v>
      </c>
      <c r="CV3" s="81">
        <v>45809</v>
      </c>
      <c r="CW3" s="81">
        <v>45839</v>
      </c>
      <c r="CX3" s="81">
        <v>45870</v>
      </c>
      <c r="CY3" s="81">
        <v>45901</v>
      </c>
      <c r="CZ3" s="81">
        <v>45931</v>
      </c>
      <c r="DA3" s="81">
        <v>45962</v>
      </c>
      <c r="DB3" s="81">
        <v>45992</v>
      </c>
      <c r="DE3" s="81">
        <v>45658</v>
      </c>
      <c r="DF3" s="81">
        <v>45689</v>
      </c>
      <c r="DG3" s="81"/>
      <c r="DH3" s="81"/>
      <c r="DI3" s="81"/>
      <c r="DJ3" s="81"/>
      <c r="DK3" s="81"/>
      <c r="DL3" s="81"/>
      <c r="DM3" s="81"/>
      <c r="DN3" s="81"/>
      <c r="DO3" s="81"/>
      <c r="DP3" s="81"/>
      <c r="DR3" s="81"/>
      <c r="DS3" s="81"/>
      <c r="DT3" s="81"/>
      <c r="DU3" s="81"/>
      <c r="DV3" s="81"/>
      <c r="DW3" s="81"/>
      <c r="DX3" s="81"/>
      <c r="DY3" s="81"/>
      <c r="DZ3" s="81"/>
      <c r="EA3" s="81"/>
      <c r="EB3" s="81"/>
      <c r="EC3" s="81"/>
    </row>
    <row r="4" spans="1:133" ht="15.6" customHeight="1">
      <c r="A4" s="83" t="s">
        <v>3</v>
      </c>
      <c r="B4" s="83"/>
      <c r="C4" s="83">
        <v>29</v>
      </c>
      <c r="D4" s="83">
        <v>29</v>
      </c>
      <c r="E4" s="83">
        <v>37</v>
      </c>
      <c r="F4" s="83">
        <v>30</v>
      </c>
      <c r="G4" s="83">
        <v>32</v>
      </c>
      <c r="H4" s="83">
        <v>28</v>
      </c>
      <c r="I4" s="83">
        <v>29</v>
      </c>
      <c r="J4" s="83">
        <v>34</v>
      </c>
      <c r="K4" s="83">
        <v>34</v>
      </c>
      <c r="L4" s="83">
        <v>30</v>
      </c>
      <c r="M4" s="83">
        <v>28</v>
      </c>
      <c r="N4" s="83">
        <v>37</v>
      </c>
      <c r="Q4" s="83">
        <v>16</v>
      </c>
      <c r="R4" s="83">
        <v>15</v>
      </c>
      <c r="S4" s="83">
        <v>22</v>
      </c>
      <c r="T4" s="83">
        <v>15</v>
      </c>
      <c r="U4" s="83">
        <v>18</v>
      </c>
      <c r="V4" s="83">
        <v>15</v>
      </c>
      <c r="W4" s="83">
        <v>17</v>
      </c>
      <c r="X4" s="83">
        <v>20</v>
      </c>
      <c r="Y4" s="83">
        <v>17</v>
      </c>
      <c r="Z4" s="83">
        <v>16</v>
      </c>
      <c r="AA4" s="83">
        <v>14</v>
      </c>
      <c r="AB4" s="83">
        <v>21</v>
      </c>
      <c r="AC4" s="77">
        <v>206</v>
      </c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Q4" s="83">
        <v>13</v>
      </c>
      <c r="BR4" s="83">
        <v>14</v>
      </c>
      <c r="BS4" s="83">
        <v>15</v>
      </c>
      <c r="BT4" s="83">
        <v>15</v>
      </c>
      <c r="BU4" s="83">
        <v>14</v>
      </c>
      <c r="BV4" s="83">
        <v>13</v>
      </c>
      <c r="BW4" s="83">
        <v>12</v>
      </c>
      <c r="BX4" s="83">
        <v>14</v>
      </c>
      <c r="BY4" s="83">
        <v>17</v>
      </c>
      <c r="BZ4" s="83">
        <v>14</v>
      </c>
      <c r="CA4" s="83">
        <v>14</v>
      </c>
      <c r="CB4" s="83">
        <v>16</v>
      </c>
      <c r="CC4" s="77">
        <v>171</v>
      </c>
      <c r="CD4" s="83"/>
      <c r="CE4" s="83"/>
      <c r="CF4" s="83"/>
      <c r="CG4" s="83"/>
      <c r="CH4" s="83"/>
      <c r="CI4" s="83"/>
      <c r="CJ4" s="83"/>
      <c r="CK4" s="83"/>
      <c r="CL4" s="83"/>
      <c r="CM4" s="83"/>
      <c r="CN4" s="83"/>
      <c r="CO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3"/>
      <c r="DB4" s="83"/>
      <c r="DD4" s="77">
        <v>0</v>
      </c>
      <c r="DE4" s="83"/>
      <c r="DF4" s="83"/>
      <c r="DG4" s="83"/>
      <c r="DH4" s="83"/>
      <c r="DI4" s="83"/>
      <c r="DJ4" s="83"/>
      <c r="DK4" s="83"/>
      <c r="DL4" s="83"/>
      <c r="DM4" s="83"/>
      <c r="DN4" s="83"/>
      <c r="DO4" s="83"/>
      <c r="DP4" s="83"/>
      <c r="DR4" s="83"/>
      <c r="DS4" s="83"/>
      <c r="DT4" s="83"/>
      <c r="DU4" s="83"/>
      <c r="DV4" s="83"/>
      <c r="DW4" s="83"/>
      <c r="DX4" s="83"/>
      <c r="DY4" s="83"/>
      <c r="DZ4" s="83"/>
      <c r="EA4" s="83"/>
      <c r="EB4" s="83"/>
      <c r="EC4" s="83"/>
    </row>
    <row r="5" spans="1:133" ht="15.6" customHeight="1">
      <c r="A5" s="83" t="s">
        <v>6</v>
      </c>
      <c r="B5" s="83"/>
      <c r="C5" s="83">
        <v>5061719.2043336444</v>
      </c>
      <c r="D5" s="83">
        <v>5429783.7274774779</v>
      </c>
      <c r="E5" s="83">
        <v>6734222.819975147</v>
      </c>
      <c r="F5" s="83">
        <v>4606920.0038831942</v>
      </c>
      <c r="G5" s="83">
        <v>6003136.8363622241</v>
      </c>
      <c r="H5" s="83">
        <v>4428113.4731283011</v>
      </c>
      <c r="I5" s="83">
        <v>5224565.0310655488</v>
      </c>
      <c r="J5" s="83">
        <v>5825732.8650201932</v>
      </c>
      <c r="K5" s="83">
        <v>6477902.4483535262</v>
      </c>
      <c r="L5" s="83">
        <v>5186605.5929636545</v>
      </c>
      <c r="M5" s="83">
        <v>4476799.4082013052</v>
      </c>
      <c r="N5" s="83">
        <v>6600700.8643988818</v>
      </c>
      <c r="O5" s="77">
        <v>0</v>
      </c>
      <c r="Q5" s="83">
        <v>2618035.4430723828</v>
      </c>
      <c r="R5" s="83">
        <v>2855833.2280987888</v>
      </c>
      <c r="S5" s="83">
        <v>4448019.5608108109</v>
      </c>
      <c r="T5" s="83">
        <v>2378344.2493786891</v>
      </c>
      <c r="U5" s="83">
        <v>3293504.1561820442</v>
      </c>
      <c r="V5" s="83">
        <v>2521231.5400745575</v>
      </c>
      <c r="W5" s="83">
        <v>3352022.1210003109</v>
      </c>
      <c r="X5" s="83">
        <v>3701754.3965517241</v>
      </c>
      <c r="Y5" s="83">
        <v>3360985.3828828828</v>
      </c>
      <c r="Z5" s="83">
        <v>2904149.4105312214</v>
      </c>
      <c r="AA5" s="83">
        <v>2452241.5765765766</v>
      </c>
      <c r="AB5" s="83">
        <v>3499820.8418763592</v>
      </c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D5" s="83"/>
      <c r="BE5" s="83"/>
      <c r="BF5" s="83"/>
      <c r="BG5" s="83"/>
      <c r="BH5" s="83"/>
      <c r="BI5" s="83"/>
      <c r="BJ5" s="83"/>
      <c r="BK5" s="83"/>
      <c r="BL5" s="83"/>
      <c r="BM5" s="83"/>
      <c r="BN5" s="83"/>
      <c r="BO5" s="83"/>
      <c r="BQ5" s="83">
        <v>2443683.7612612615</v>
      </c>
      <c r="BR5" s="83">
        <v>2573950.4993786891</v>
      </c>
      <c r="BS5" s="83">
        <v>2286203.2591643366</v>
      </c>
      <c r="BT5" s="83">
        <v>2228575.7545045051</v>
      </c>
      <c r="BU5" s="83">
        <v>2709632.6801801799</v>
      </c>
      <c r="BV5" s="83">
        <v>1906881.9330537433</v>
      </c>
      <c r="BW5" s="83">
        <v>1872542.9100652377</v>
      </c>
      <c r="BX5" s="83">
        <v>2123978.4684684686</v>
      </c>
      <c r="BY5" s="83">
        <v>3116917.0654706433</v>
      </c>
      <c r="BZ5" s="83">
        <v>2282456.1824324327</v>
      </c>
      <c r="CA5" s="83">
        <v>2024557.8316247284</v>
      </c>
      <c r="CB5" s="83">
        <v>3100880.0225225231</v>
      </c>
      <c r="CD5" s="83"/>
      <c r="CE5" s="83"/>
      <c r="CF5" s="83"/>
      <c r="CG5" s="83"/>
      <c r="CH5" s="83"/>
      <c r="CI5" s="83"/>
      <c r="CJ5" s="83"/>
      <c r="CK5" s="83"/>
      <c r="CL5" s="83"/>
      <c r="CM5" s="83"/>
      <c r="CN5" s="83"/>
      <c r="CO5" s="83"/>
      <c r="CQ5" s="83"/>
      <c r="CR5" s="83"/>
      <c r="CS5" s="83"/>
      <c r="CT5" s="83"/>
      <c r="CU5" s="83"/>
      <c r="CV5" s="83"/>
      <c r="CW5" s="83"/>
      <c r="CX5" s="83"/>
      <c r="CY5" s="83"/>
      <c r="CZ5" s="83"/>
      <c r="DA5" s="83"/>
      <c r="DB5" s="83"/>
      <c r="DE5" s="83"/>
      <c r="DF5" s="83"/>
      <c r="DG5" s="83"/>
      <c r="DH5" s="83"/>
      <c r="DI5" s="83"/>
      <c r="DJ5" s="83"/>
      <c r="DK5" s="83"/>
      <c r="DL5" s="83"/>
      <c r="DM5" s="83"/>
      <c r="DN5" s="83"/>
      <c r="DO5" s="83"/>
      <c r="DP5" s="83"/>
      <c r="DR5" s="83"/>
      <c r="DS5" s="83"/>
      <c r="DT5" s="83"/>
      <c r="DU5" s="83"/>
      <c r="DV5" s="83"/>
      <c r="DW5" s="83"/>
      <c r="DX5" s="83"/>
      <c r="DY5" s="83"/>
      <c r="DZ5" s="83"/>
      <c r="EA5" s="83"/>
      <c r="EB5" s="83"/>
      <c r="EC5" s="83"/>
    </row>
    <row r="6" spans="1:133" ht="15.6" customHeight="1">
      <c r="A6" s="83" t="s">
        <v>7</v>
      </c>
      <c r="B6" s="83"/>
      <c r="C6" s="83">
        <v>1020850.9319664493</v>
      </c>
      <c r="D6" s="83">
        <v>0</v>
      </c>
      <c r="E6" s="83">
        <v>1358162.5855412062</v>
      </c>
      <c r="F6" s="83">
        <v>0</v>
      </c>
      <c r="G6" s="83">
        <v>0</v>
      </c>
      <c r="H6" s="83">
        <v>893064.90214352286</v>
      </c>
      <c r="I6" s="83">
        <v>0</v>
      </c>
      <c r="J6" s="83">
        <v>1174937.7206763416</v>
      </c>
      <c r="K6" s="83">
        <v>1306467.7206763413</v>
      </c>
      <c r="L6" s="83">
        <v>0</v>
      </c>
      <c r="M6" s="83">
        <v>0</v>
      </c>
      <c r="N6" s="83">
        <v>1331233.7877779258</v>
      </c>
      <c r="Q6" s="83">
        <v>528007.14818266546</v>
      </c>
      <c r="R6" s="83"/>
      <c r="S6" s="83">
        <v>897079.57528957527</v>
      </c>
      <c r="T6" s="83"/>
      <c r="U6" s="83"/>
      <c r="V6" s="83">
        <v>508483.67194780987</v>
      </c>
      <c r="W6" s="83"/>
      <c r="X6" s="83">
        <v>746572.315270936</v>
      </c>
      <c r="Y6" s="83">
        <v>677845.79150579148</v>
      </c>
      <c r="Z6" s="83"/>
      <c r="AA6" s="83"/>
      <c r="AB6" s="83">
        <v>705846.22021035815</v>
      </c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D6" s="83"/>
      <c r="BE6" s="83"/>
      <c r="BF6" s="83"/>
      <c r="BG6" s="83"/>
      <c r="BH6" s="83"/>
      <c r="BI6" s="83"/>
      <c r="BJ6" s="83"/>
      <c r="BK6" s="83"/>
      <c r="BL6" s="83"/>
      <c r="BM6" s="83"/>
      <c r="BN6" s="83"/>
      <c r="BO6" s="83"/>
      <c r="BQ6" s="83">
        <v>492843.78378378379</v>
      </c>
      <c r="BR6" s="83"/>
      <c r="BS6" s="83">
        <v>461083.01025163097</v>
      </c>
      <c r="BT6" s="83"/>
      <c r="BU6" s="83"/>
      <c r="BV6" s="83">
        <v>384581.23019571294</v>
      </c>
      <c r="BW6" s="83"/>
      <c r="BX6" s="83">
        <v>428365.40540540544</v>
      </c>
      <c r="BY6" s="83">
        <v>628621.92917054985</v>
      </c>
      <c r="BZ6" s="83"/>
      <c r="CA6" s="83"/>
      <c r="CB6" s="83">
        <v>625387.56756756757</v>
      </c>
      <c r="CD6" s="83"/>
      <c r="CE6" s="83"/>
      <c r="CF6" s="83"/>
      <c r="CG6" s="83"/>
      <c r="CH6" s="83"/>
      <c r="CI6" s="83"/>
      <c r="CJ6" s="83"/>
      <c r="CK6" s="83"/>
      <c r="CL6" s="83"/>
      <c r="CM6" s="83"/>
      <c r="CN6" s="83"/>
      <c r="CO6" s="83"/>
      <c r="CQ6" s="83"/>
      <c r="CR6" s="83"/>
      <c r="CS6" s="83"/>
      <c r="CT6" s="83"/>
      <c r="CU6" s="83"/>
      <c r="CV6" s="83"/>
      <c r="CW6" s="83"/>
      <c r="CX6" s="83"/>
      <c r="CY6" s="83"/>
      <c r="CZ6" s="83"/>
      <c r="DA6" s="83"/>
      <c r="DB6" s="83"/>
      <c r="DE6" s="83"/>
      <c r="DF6" s="83"/>
      <c r="DG6" s="83"/>
      <c r="DH6" s="83"/>
      <c r="DI6" s="83"/>
      <c r="DJ6" s="83"/>
      <c r="DK6" s="83"/>
      <c r="DL6" s="83"/>
      <c r="DM6" s="83"/>
      <c r="DN6" s="83"/>
      <c r="DO6" s="83"/>
      <c r="DP6" s="83"/>
      <c r="DR6" s="83"/>
      <c r="DS6" s="83"/>
      <c r="DT6" s="83"/>
      <c r="DU6" s="83"/>
      <c r="DV6" s="83"/>
      <c r="DW6" s="83"/>
      <c r="DX6" s="83"/>
      <c r="DY6" s="83"/>
      <c r="DZ6" s="83"/>
      <c r="EA6" s="83"/>
      <c r="EB6" s="83"/>
      <c r="EC6" s="83"/>
    </row>
    <row r="7" spans="1:133" ht="15.6" customHeight="1">
      <c r="A7" s="83" t="s">
        <v>8</v>
      </c>
      <c r="B7" s="83"/>
      <c r="C7" s="83">
        <v>255212.73299161231</v>
      </c>
      <c r="D7" s="83">
        <v>0</v>
      </c>
      <c r="E7" s="83">
        <v>339540.64638530154</v>
      </c>
      <c r="F7" s="83">
        <v>0</v>
      </c>
      <c r="G7" s="83">
        <v>0</v>
      </c>
      <c r="H7" s="83">
        <v>223266.22553588072</v>
      </c>
      <c r="I7" s="83">
        <v>0</v>
      </c>
      <c r="J7" s="83">
        <v>293734.43016908533</v>
      </c>
      <c r="K7" s="83">
        <v>326616.93016908533</v>
      </c>
      <c r="L7" s="83">
        <v>0</v>
      </c>
      <c r="M7" s="83">
        <v>0</v>
      </c>
      <c r="N7" s="83">
        <v>332808.44694448146</v>
      </c>
      <c r="O7" s="77">
        <v>0</v>
      </c>
      <c r="Q7" s="83">
        <v>132001.78704566637</v>
      </c>
      <c r="R7" s="83"/>
      <c r="S7" s="83">
        <v>224269.89382239382</v>
      </c>
      <c r="T7" s="83"/>
      <c r="U7" s="83"/>
      <c r="V7" s="83">
        <v>127120.91798695247</v>
      </c>
      <c r="W7" s="83"/>
      <c r="X7" s="83">
        <v>186643.078817734</v>
      </c>
      <c r="Y7" s="83">
        <v>169461.44787644787</v>
      </c>
      <c r="Z7" s="83"/>
      <c r="AA7" s="83"/>
      <c r="AB7" s="83">
        <v>176461.55505258954</v>
      </c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Q7" s="83">
        <v>123210.94594594595</v>
      </c>
      <c r="BR7" s="83"/>
      <c r="BS7" s="83">
        <v>115270.75256290774</v>
      </c>
      <c r="BT7" s="83"/>
      <c r="BU7" s="83"/>
      <c r="BV7" s="83">
        <v>96145.307548928235</v>
      </c>
      <c r="BW7" s="83"/>
      <c r="BX7" s="83">
        <v>107091.35135135135</v>
      </c>
      <c r="BY7" s="83">
        <v>157155.48229263746</v>
      </c>
      <c r="BZ7" s="83"/>
      <c r="CA7" s="83"/>
      <c r="CB7" s="83">
        <v>156346.89189189192</v>
      </c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</row>
    <row r="8" spans="1:133" ht="15.6" customHeight="1">
      <c r="A8" s="83" t="s">
        <v>9</v>
      </c>
      <c r="B8" s="83"/>
      <c r="C8" s="83">
        <v>425354.55498602055</v>
      </c>
      <c r="D8" s="83">
        <v>0</v>
      </c>
      <c r="E8" s="83">
        <v>565901.07730883593</v>
      </c>
      <c r="F8" s="83">
        <v>0</v>
      </c>
      <c r="G8" s="83">
        <v>0</v>
      </c>
      <c r="H8" s="83">
        <v>372110.37589313451</v>
      </c>
      <c r="I8" s="83">
        <v>0</v>
      </c>
      <c r="J8" s="83">
        <v>489557.38361514232</v>
      </c>
      <c r="K8" s="83">
        <v>544361.55028180894</v>
      </c>
      <c r="L8" s="83">
        <v>0</v>
      </c>
      <c r="M8" s="83">
        <v>0</v>
      </c>
      <c r="N8" s="83">
        <v>554680.74490746902</v>
      </c>
      <c r="O8" s="77">
        <v>0</v>
      </c>
      <c r="Q8" s="83">
        <v>220002.97840944395</v>
      </c>
      <c r="R8" s="83"/>
      <c r="S8" s="83">
        <v>373783.15637065639</v>
      </c>
      <c r="T8" s="83"/>
      <c r="U8" s="83"/>
      <c r="V8" s="83">
        <v>211868.1966449208</v>
      </c>
      <c r="W8" s="83"/>
      <c r="X8" s="83">
        <v>311071.7980295567</v>
      </c>
      <c r="Y8" s="83">
        <v>282435.74646074645</v>
      </c>
      <c r="Z8" s="83"/>
      <c r="AA8" s="83"/>
      <c r="AB8" s="83">
        <v>294102.59175431589</v>
      </c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Q8" s="83">
        <v>205351.5765765766</v>
      </c>
      <c r="BR8" s="83"/>
      <c r="BS8" s="83">
        <v>192117.92093817957</v>
      </c>
      <c r="BT8" s="83"/>
      <c r="BU8" s="83"/>
      <c r="BV8" s="83">
        <v>160242.17924821374</v>
      </c>
      <c r="BW8" s="83"/>
      <c r="BX8" s="83">
        <v>178485.58558558559</v>
      </c>
      <c r="BY8" s="83">
        <v>261925.80382106247</v>
      </c>
      <c r="BZ8" s="83"/>
      <c r="CA8" s="83"/>
      <c r="CB8" s="83">
        <v>260578.15315315319</v>
      </c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E8" s="83"/>
      <c r="DF8" s="83"/>
      <c r="DG8" s="83"/>
      <c r="DH8" s="83"/>
      <c r="DI8" s="83"/>
      <c r="DJ8" s="83"/>
      <c r="DK8" s="83"/>
      <c r="DL8" s="83"/>
      <c r="DM8" s="83"/>
      <c r="DN8" s="83"/>
      <c r="DO8" s="83"/>
      <c r="DP8" s="83"/>
      <c r="DR8" s="83"/>
      <c r="DS8" s="83"/>
      <c r="DT8" s="83"/>
      <c r="DU8" s="83"/>
      <c r="DV8" s="83"/>
      <c r="DW8" s="83"/>
      <c r="DX8" s="83"/>
      <c r="DY8" s="83"/>
      <c r="DZ8" s="83"/>
      <c r="EA8" s="83"/>
      <c r="EB8" s="83"/>
      <c r="EC8" s="83"/>
    </row>
    <row r="9" spans="1:133" ht="15.6" customHeight="1">
      <c r="A9" s="83" t="s">
        <v>10</v>
      </c>
      <c r="B9" s="83"/>
      <c r="C9" s="83">
        <v>0</v>
      </c>
      <c r="D9" s="83">
        <v>0</v>
      </c>
      <c r="E9" s="83">
        <v>5211143.9249101328</v>
      </c>
      <c r="F9" s="83">
        <v>0</v>
      </c>
      <c r="G9" s="83">
        <v>0</v>
      </c>
      <c r="H9" s="83">
        <v>0</v>
      </c>
      <c r="I9" s="83">
        <v>0</v>
      </c>
      <c r="J9" s="83">
        <v>0</v>
      </c>
      <c r="K9" s="83">
        <v>0</v>
      </c>
      <c r="L9" s="83">
        <v>0</v>
      </c>
      <c r="M9" s="83">
        <v>0</v>
      </c>
      <c r="N9" s="83">
        <v>4920233.7072293982</v>
      </c>
      <c r="Q9" s="83"/>
      <c r="R9" s="83"/>
      <c r="S9" s="83">
        <v>3001579.6332046338</v>
      </c>
      <c r="T9" s="83"/>
      <c r="U9" s="83"/>
      <c r="V9" s="83"/>
      <c r="W9" s="83"/>
      <c r="X9" s="83"/>
      <c r="Y9" s="83"/>
      <c r="Z9" s="83"/>
      <c r="AA9" s="83"/>
      <c r="AB9" s="83">
        <v>2679190.1331380643</v>
      </c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Q9" s="83"/>
      <c r="BR9" s="83"/>
      <c r="BS9" s="83">
        <v>2209564.2917054989</v>
      </c>
      <c r="BT9" s="83"/>
      <c r="BU9" s="83"/>
      <c r="BV9" s="83"/>
      <c r="BW9" s="83"/>
      <c r="BX9" s="83"/>
      <c r="BY9" s="83"/>
      <c r="BZ9" s="83"/>
      <c r="CA9" s="83"/>
      <c r="CB9" s="83">
        <v>2241043.5740913334</v>
      </c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R9" s="83"/>
      <c r="DS9" s="83"/>
      <c r="DT9" s="83"/>
      <c r="DU9" s="83"/>
      <c r="DV9" s="83"/>
      <c r="DW9" s="83"/>
      <c r="DX9" s="83"/>
      <c r="DY9" s="83"/>
      <c r="DZ9" s="83"/>
      <c r="EA9" s="83"/>
      <c r="EB9" s="83"/>
      <c r="EC9" s="83"/>
    </row>
    <row r="10" spans="1:133" ht="15.6" customHeight="1">
      <c r="A10" s="83" t="s">
        <v>12</v>
      </c>
      <c r="B10" s="83"/>
      <c r="C10" s="83">
        <v>170141.82199440824</v>
      </c>
      <c r="D10" s="83">
        <v>182513.73873873876</v>
      </c>
      <c r="E10" s="83">
        <v>226360.43092353438</v>
      </c>
      <c r="F10" s="83">
        <v>154854.45391204016</v>
      </c>
      <c r="G10" s="83">
        <v>201786.11214662943</v>
      </c>
      <c r="H10" s="83">
        <v>148844.15035725382</v>
      </c>
      <c r="I10" s="83">
        <v>175615.63129632096</v>
      </c>
      <c r="J10" s="83">
        <v>195822.95344605693</v>
      </c>
      <c r="K10" s="83">
        <v>217744.62011272355</v>
      </c>
      <c r="L10" s="83">
        <v>174339.68379709765</v>
      </c>
      <c r="M10" s="83">
        <v>150480.65237651445</v>
      </c>
      <c r="N10" s="83">
        <v>221872.29796298765</v>
      </c>
      <c r="O10" s="77">
        <v>0</v>
      </c>
      <c r="Q10" s="83">
        <v>88001.191363777587</v>
      </c>
      <c r="R10" s="83">
        <v>95994.394221808034</v>
      </c>
      <c r="S10" s="83">
        <v>149513.26254826257</v>
      </c>
      <c r="T10" s="83">
        <v>79944.344516930738</v>
      </c>
      <c r="U10" s="83">
        <v>110706.02205653931</v>
      </c>
      <c r="V10" s="83">
        <v>84747.278657968331</v>
      </c>
      <c r="W10" s="83">
        <v>112673.01247059868</v>
      </c>
      <c r="X10" s="83">
        <v>124428.71921182268</v>
      </c>
      <c r="Y10" s="83">
        <v>112974.29858429858</v>
      </c>
      <c r="Z10" s="83">
        <v>97618.467580881406</v>
      </c>
      <c r="AA10" s="83">
        <v>82428.288288288299</v>
      </c>
      <c r="AB10" s="83">
        <v>117641.03670172636</v>
      </c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Q10" s="83">
        <v>82140.630630630651</v>
      </c>
      <c r="BR10" s="83">
        <v>86519.344516930738</v>
      </c>
      <c r="BS10" s="83">
        <v>76847.168375271824</v>
      </c>
      <c r="BT10" s="83">
        <v>74910.109395109408</v>
      </c>
      <c r="BU10" s="83">
        <v>91080.090090090103</v>
      </c>
      <c r="BV10" s="83">
        <v>64096.871699285497</v>
      </c>
      <c r="BW10" s="83">
        <v>62942.618825722282</v>
      </c>
      <c r="BX10" s="83">
        <v>71394.234234234245</v>
      </c>
      <c r="BY10" s="83">
        <v>104770.32152842499</v>
      </c>
      <c r="BZ10" s="83">
        <v>76721.216216216228</v>
      </c>
      <c r="CA10" s="83">
        <v>68052.364088226168</v>
      </c>
      <c r="CB10" s="83">
        <v>104231.26126126129</v>
      </c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</row>
    <row r="11" spans="1:133" ht="15.6" customHeight="1">
      <c r="A11" s="83" t="s">
        <v>13</v>
      </c>
      <c r="B11" s="83"/>
      <c r="C11" s="83">
        <v>340283.64398881648</v>
      </c>
      <c r="D11" s="83">
        <v>365027.47747747751</v>
      </c>
      <c r="E11" s="83">
        <v>452720.86184706877</v>
      </c>
      <c r="F11" s="83">
        <v>309708.90782408032</v>
      </c>
      <c r="G11" s="83">
        <v>403572.22429325886</v>
      </c>
      <c r="H11" s="83">
        <v>297688.30071450764</v>
      </c>
      <c r="I11" s="83">
        <v>351231.26259264193</v>
      </c>
      <c r="J11" s="83">
        <v>391645.90689211385</v>
      </c>
      <c r="K11" s="83">
        <v>435489.24022544711</v>
      </c>
      <c r="L11" s="83">
        <v>348679.3675941953</v>
      </c>
      <c r="M11" s="83">
        <v>300961.3047530289</v>
      </c>
      <c r="N11" s="83">
        <v>443744.5959259753</v>
      </c>
      <c r="O11" s="77">
        <v>0</v>
      </c>
      <c r="Q11" s="83">
        <v>176002.38272755517</v>
      </c>
      <c r="R11" s="83">
        <v>191988.78844361607</v>
      </c>
      <c r="S11" s="83">
        <v>299026.52509652515</v>
      </c>
      <c r="T11" s="83">
        <v>159888.68903386148</v>
      </c>
      <c r="U11" s="83">
        <v>221412.04411307862</v>
      </c>
      <c r="V11" s="83">
        <v>169494.55731593666</v>
      </c>
      <c r="W11" s="83">
        <v>225346.02494119736</v>
      </c>
      <c r="X11" s="83">
        <v>248857.43842364536</v>
      </c>
      <c r="Y11" s="83">
        <v>225948.59716859716</v>
      </c>
      <c r="Z11" s="83">
        <v>195236.93516176281</v>
      </c>
      <c r="AA11" s="83">
        <v>164856.5765765766</v>
      </c>
      <c r="AB11" s="83">
        <v>235282.07340345273</v>
      </c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Q11" s="83">
        <v>164281.2612612613</v>
      </c>
      <c r="BR11" s="83">
        <v>173038.68903386148</v>
      </c>
      <c r="BS11" s="83">
        <v>153694.33675054365</v>
      </c>
      <c r="BT11" s="83">
        <v>149820.21879021882</v>
      </c>
      <c r="BU11" s="83">
        <v>182160.18018018021</v>
      </c>
      <c r="BV11" s="83">
        <v>128193.74339857099</v>
      </c>
      <c r="BW11" s="83">
        <v>125885.23765144456</v>
      </c>
      <c r="BX11" s="83">
        <v>142788.46846846849</v>
      </c>
      <c r="BY11" s="83">
        <v>209540.64305684998</v>
      </c>
      <c r="BZ11" s="83">
        <v>153442.43243243246</v>
      </c>
      <c r="CA11" s="83">
        <v>136104.72817645234</v>
      </c>
      <c r="CB11" s="83">
        <v>208462.52252252257</v>
      </c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3"/>
    </row>
    <row r="12" spans="1:133" ht="15.6" customHeight="1">
      <c r="A12" s="83" t="s">
        <v>14</v>
      </c>
      <c r="B12" s="83"/>
      <c r="C12" s="83">
        <v>340283.64398881648</v>
      </c>
      <c r="D12" s="83">
        <v>365027.47747747751</v>
      </c>
      <c r="E12" s="83">
        <v>452720.86184706877</v>
      </c>
      <c r="F12" s="83">
        <v>309708.90782408032</v>
      </c>
      <c r="G12" s="83">
        <v>403572.22429325886</v>
      </c>
      <c r="H12" s="83">
        <v>297688.30071450764</v>
      </c>
      <c r="I12" s="83">
        <v>351231.26259264193</v>
      </c>
      <c r="J12" s="83">
        <v>391645.90689211385</v>
      </c>
      <c r="K12" s="83">
        <v>435489.24022544711</v>
      </c>
      <c r="L12" s="83">
        <v>348679.3675941953</v>
      </c>
      <c r="M12" s="83">
        <v>300961.3047530289</v>
      </c>
      <c r="N12" s="83">
        <v>443744.5959259753</v>
      </c>
      <c r="O12" s="77">
        <v>0</v>
      </c>
      <c r="Q12" s="83">
        <v>176002.38272755517</v>
      </c>
      <c r="R12" s="83">
        <v>191988.78844361607</v>
      </c>
      <c r="S12" s="83">
        <v>299026.52509652515</v>
      </c>
      <c r="T12" s="83">
        <v>159888.68903386148</v>
      </c>
      <c r="U12" s="83">
        <v>221412.04411307862</v>
      </c>
      <c r="V12" s="83">
        <v>169494.55731593666</v>
      </c>
      <c r="W12" s="83">
        <v>225346.02494119736</v>
      </c>
      <c r="X12" s="83">
        <v>248857.43842364536</v>
      </c>
      <c r="Y12" s="83">
        <v>225948.59716859716</v>
      </c>
      <c r="Z12" s="83">
        <v>195236.93516176281</v>
      </c>
      <c r="AA12" s="83">
        <v>164856.5765765766</v>
      </c>
      <c r="AB12" s="83">
        <v>235282.07340345273</v>
      </c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Q12" s="83">
        <v>164281.2612612613</v>
      </c>
      <c r="BR12" s="83">
        <v>173038.68903386148</v>
      </c>
      <c r="BS12" s="83">
        <v>153694.33675054365</v>
      </c>
      <c r="BT12" s="83">
        <v>149820.21879021882</v>
      </c>
      <c r="BU12" s="83">
        <v>182160.18018018021</v>
      </c>
      <c r="BV12" s="83">
        <v>128193.74339857099</v>
      </c>
      <c r="BW12" s="83">
        <v>125885.23765144456</v>
      </c>
      <c r="BX12" s="83">
        <v>142788.46846846849</v>
      </c>
      <c r="BY12" s="83">
        <v>209540.64305684998</v>
      </c>
      <c r="BZ12" s="83">
        <v>153442.43243243246</v>
      </c>
      <c r="CA12" s="83">
        <v>136104.72817645234</v>
      </c>
      <c r="CB12" s="83">
        <v>208462.52252252257</v>
      </c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</row>
    <row r="13" spans="1:133" ht="15.6" customHeight="1">
      <c r="A13" s="83" t="s">
        <v>43</v>
      </c>
      <c r="B13" s="83"/>
      <c r="C13" s="83">
        <v>899000</v>
      </c>
      <c r="D13" s="83">
        <v>899000</v>
      </c>
      <c r="E13" s="83">
        <v>1147000</v>
      </c>
      <c r="F13" s="83">
        <v>930000</v>
      </c>
      <c r="G13" s="83">
        <v>992000</v>
      </c>
      <c r="H13" s="83">
        <v>868000</v>
      </c>
      <c r="I13" s="83">
        <v>899000</v>
      </c>
      <c r="J13" s="83">
        <v>1054000</v>
      </c>
      <c r="K13" s="83">
        <v>1054000</v>
      </c>
      <c r="L13" s="83">
        <v>930000</v>
      </c>
      <c r="M13" s="83">
        <v>868000</v>
      </c>
      <c r="N13" s="83">
        <v>1147000</v>
      </c>
      <c r="O13" s="77">
        <v>0</v>
      </c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</row>
    <row r="14" spans="1:133" ht="15.6" customHeight="1">
      <c r="A14" s="84" t="s">
        <v>33</v>
      </c>
      <c r="B14" s="83"/>
      <c r="C14" s="83">
        <v>764150</v>
      </c>
      <c r="D14" s="83">
        <v>764150</v>
      </c>
      <c r="E14" s="83">
        <v>974950</v>
      </c>
      <c r="F14" s="83">
        <v>790500</v>
      </c>
      <c r="G14" s="83">
        <v>843200</v>
      </c>
      <c r="H14" s="83">
        <v>737800</v>
      </c>
      <c r="I14" s="83">
        <v>764150</v>
      </c>
      <c r="J14" s="83">
        <v>895900</v>
      </c>
      <c r="K14" s="83">
        <v>895900</v>
      </c>
      <c r="L14" s="83">
        <v>790500</v>
      </c>
      <c r="M14" s="83">
        <v>737800</v>
      </c>
      <c r="N14" s="83">
        <v>974950</v>
      </c>
      <c r="O14" s="77">
        <v>0</v>
      </c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83"/>
      <c r="DP14" s="83"/>
      <c r="DR14" s="83"/>
      <c r="DS14" s="83"/>
      <c r="DT14" s="83"/>
      <c r="DU14" s="83"/>
      <c r="DV14" s="83"/>
      <c r="DW14" s="83"/>
      <c r="DX14" s="83"/>
      <c r="DY14" s="83"/>
      <c r="DZ14" s="83"/>
      <c r="EA14" s="83"/>
      <c r="EB14" s="83"/>
      <c r="EC14" s="83"/>
    </row>
    <row r="15" spans="1:133" ht="15.6" customHeight="1">
      <c r="A15" s="83" t="s">
        <v>44</v>
      </c>
      <c r="B15" s="83"/>
      <c r="C15" s="83">
        <v>550000</v>
      </c>
      <c r="D15" s="83">
        <v>489000</v>
      </c>
      <c r="E15" s="83">
        <v>568000</v>
      </c>
      <c r="F15" s="83">
        <v>546000</v>
      </c>
      <c r="G15" s="83">
        <v>462400</v>
      </c>
      <c r="H15" s="83">
        <v>529600</v>
      </c>
      <c r="I15" s="83">
        <v>537800</v>
      </c>
      <c r="J15" s="83">
        <v>478800</v>
      </c>
      <c r="K15" s="83">
        <v>478800</v>
      </c>
      <c r="L15" s="83">
        <v>446000</v>
      </c>
      <c r="M15" s="83">
        <v>529600</v>
      </c>
      <c r="N15" s="83">
        <v>503400</v>
      </c>
      <c r="O15" s="77">
        <v>0</v>
      </c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Q15" s="83">
        <v>275000</v>
      </c>
      <c r="AR15" s="83">
        <v>244500</v>
      </c>
      <c r="AS15" s="83">
        <v>284000</v>
      </c>
      <c r="AT15" s="83">
        <v>273000</v>
      </c>
      <c r="AU15" s="83">
        <v>231200</v>
      </c>
      <c r="AV15" s="83">
        <v>264800</v>
      </c>
      <c r="AW15" s="83">
        <v>268900</v>
      </c>
      <c r="AX15" s="83">
        <v>239400</v>
      </c>
      <c r="AY15" s="83">
        <v>239400</v>
      </c>
      <c r="AZ15" s="83">
        <v>223000</v>
      </c>
      <c r="BA15" s="83">
        <v>264800</v>
      </c>
      <c r="BB15" s="83">
        <v>251700</v>
      </c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D15" s="83">
        <v>165000</v>
      </c>
      <c r="CE15" s="83">
        <v>146700</v>
      </c>
      <c r="CF15" s="83">
        <v>170400</v>
      </c>
      <c r="CG15" s="83">
        <v>163800</v>
      </c>
      <c r="CH15" s="83">
        <v>138720</v>
      </c>
      <c r="CI15" s="83">
        <v>158880</v>
      </c>
      <c r="CJ15" s="83">
        <v>161340</v>
      </c>
      <c r="CK15" s="83">
        <v>143640</v>
      </c>
      <c r="CL15" s="83">
        <v>143640</v>
      </c>
      <c r="CM15" s="83">
        <v>133800</v>
      </c>
      <c r="CN15" s="83">
        <v>158880</v>
      </c>
      <c r="CO15" s="83">
        <v>151020</v>
      </c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E15" s="83">
        <v>110000</v>
      </c>
      <c r="DF15" s="83">
        <v>97800</v>
      </c>
      <c r="DG15" s="83">
        <v>113600</v>
      </c>
      <c r="DH15" s="83">
        <v>109200</v>
      </c>
      <c r="DI15" s="83">
        <v>92480</v>
      </c>
      <c r="DJ15" s="83">
        <v>105920</v>
      </c>
      <c r="DK15" s="83">
        <v>107560</v>
      </c>
      <c r="DL15" s="83">
        <v>95760</v>
      </c>
      <c r="DM15" s="83">
        <v>95760</v>
      </c>
      <c r="DN15" s="83">
        <v>89200</v>
      </c>
      <c r="DO15" s="83">
        <v>105920</v>
      </c>
      <c r="DP15" s="83">
        <v>100680</v>
      </c>
      <c r="DR15" s="83"/>
      <c r="DS15" s="83"/>
      <c r="DT15" s="83"/>
      <c r="DU15" s="83"/>
      <c r="DV15" s="83"/>
      <c r="DW15" s="83"/>
      <c r="DX15" s="83"/>
      <c r="DY15" s="83"/>
      <c r="DZ15" s="83"/>
      <c r="EA15" s="83"/>
      <c r="EB15" s="83"/>
      <c r="EC15" s="83"/>
    </row>
    <row r="16" spans="1:133" ht="15.6" customHeight="1">
      <c r="A16" s="84" t="s">
        <v>33</v>
      </c>
      <c r="B16" s="83"/>
      <c r="C16" s="83">
        <v>275000</v>
      </c>
      <c r="D16" s="83">
        <v>244500</v>
      </c>
      <c r="E16" s="83">
        <v>284000</v>
      </c>
      <c r="F16" s="83">
        <v>273000</v>
      </c>
      <c r="G16" s="83">
        <v>231200</v>
      </c>
      <c r="H16" s="83">
        <v>264800</v>
      </c>
      <c r="I16" s="83">
        <v>268900</v>
      </c>
      <c r="J16" s="83">
        <v>239400</v>
      </c>
      <c r="K16" s="83">
        <v>239400</v>
      </c>
      <c r="L16" s="83">
        <v>223000</v>
      </c>
      <c r="M16" s="83">
        <v>264800</v>
      </c>
      <c r="N16" s="83">
        <v>251700</v>
      </c>
      <c r="O16" s="77">
        <v>0</v>
      </c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Q16" s="83">
        <v>137500</v>
      </c>
      <c r="AR16" s="83">
        <v>122250</v>
      </c>
      <c r="AS16" s="83">
        <v>142000</v>
      </c>
      <c r="AT16" s="83">
        <v>136500</v>
      </c>
      <c r="AU16" s="83">
        <v>115600</v>
      </c>
      <c r="AV16" s="83">
        <v>132400</v>
      </c>
      <c r="AW16" s="83">
        <v>134450</v>
      </c>
      <c r="AX16" s="83">
        <v>119700</v>
      </c>
      <c r="AY16" s="83">
        <v>119700</v>
      </c>
      <c r="AZ16" s="83">
        <v>111500</v>
      </c>
      <c r="BA16" s="83">
        <v>132400</v>
      </c>
      <c r="BB16" s="83">
        <v>125850</v>
      </c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D16" s="83">
        <v>82500</v>
      </c>
      <c r="CE16" s="83">
        <v>73350</v>
      </c>
      <c r="CF16" s="83">
        <v>85200</v>
      </c>
      <c r="CG16" s="83">
        <v>81900</v>
      </c>
      <c r="CH16" s="83">
        <v>69360</v>
      </c>
      <c r="CI16" s="83">
        <v>79440</v>
      </c>
      <c r="CJ16" s="83">
        <v>80670</v>
      </c>
      <c r="CK16" s="83">
        <v>71820</v>
      </c>
      <c r="CL16" s="83">
        <v>71820</v>
      </c>
      <c r="CM16" s="83">
        <v>66900</v>
      </c>
      <c r="CN16" s="83">
        <v>79440</v>
      </c>
      <c r="CO16" s="83">
        <v>75510</v>
      </c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E16" s="83">
        <v>55000</v>
      </c>
      <c r="DF16" s="83">
        <v>48900</v>
      </c>
      <c r="DG16" s="83">
        <v>56800</v>
      </c>
      <c r="DH16" s="83">
        <v>54600</v>
      </c>
      <c r="DI16" s="83">
        <v>46240</v>
      </c>
      <c r="DJ16" s="83">
        <v>52960</v>
      </c>
      <c r="DK16" s="83">
        <v>53780</v>
      </c>
      <c r="DL16" s="83">
        <v>47880</v>
      </c>
      <c r="DM16" s="83">
        <v>47880</v>
      </c>
      <c r="DN16" s="83">
        <v>44600</v>
      </c>
      <c r="DO16" s="83">
        <v>52960</v>
      </c>
      <c r="DP16" s="83">
        <v>50340</v>
      </c>
      <c r="DR16" s="83"/>
      <c r="DS16" s="83"/>
      <c r="DT16" s="83"/>
      <c r="DU16" s="83"/>
      <c r="DV16" s="83"/>
      <c r="DW16" s="83"/>
      <c r="DX16" s="83"/>
      <c r="DY16" s="83"/>
      <c r="DZ16" s="83"/>
      <c r="EA16" s="83"/>
      <c r="EB16" s="83"/>
      <c r="EC16" s="83"/>
    </row>
    <row r="17" spans="1:133" ht="15.6" customHeight="1">
      <c r="A17" s="84" t="s">
        <v>25</v>
      </c>
      <c r="B17" s="83"/>
      <c r="C17" s="83">
        <v>940.78115000000003</v>
      </c>
      <c r="D17" s="83">
        <v>920.74306000000013</v>
      </c>
      <c r="E17" s="83">
        <v>972.08170000000018</v>
      </c>
      <c r="F17" s="83">
        <v>762.13717600000007</v>
      </c>
      <c r="G17" s="83">
        <v>903.21572000000003</v>
      </c>
      <c r="H17" s="83">
        <v>960.02840000000003</v>
      </c>
      <c r="I17" s="83">
        <v>983.48703000000023</v>
      </c>
      <c r="J17" s="83">
        <v>1042.4305200000001</v>
      </c>
      <c r="K17" s="83">
        <v>1069.4024499999998</v>
      </c>
      <c r="L17" s="83">
        <v>908.2478000000001</v>
      </c>
      <c r="M17" s="83">
        <v>822.47424000000001</v>
      </c>
      <c r="N17" s="83">
        <v>995.19596000000001</v>
      </c>
      <c r="O17" s="77">
        <v>0</v>
      </c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Q17" s="85">
        <v>451.78114999999997</v>
      </c>
      <c r="AR17" s="85">
        <v>452.91906000000006</v>
      </c>
      <c r="AS17" s="85">
        <v>456.33279000000005</v>
      </c>
      <c r="AT17" s="85">
        <v>364.40417600000001</v>
      </c>
      <c r="AU17" s="85">
        <v>429.37192000000005</v>
      </c>
      <c r="AV17" s="85">
        <v>458.5172</v>
      </c>
      <c r="AW17" s="85">
        <v>459.30048000000011</v>
      </c>
      <c r="AX17" s="85">
        <v>508.39707000000004</v>
      </c>
      <c r="AY17" s="85">
        <v>538.52144999999996</v>
      </c>
      <c r="AZ17" s="85">
        <v>437.71839999999997</v>
      </c>
      <c r="BA17" s="85">
        <v>350.17471999999998</v>
      </c>
      <c r="BB17" s="85">
        <v>462.73088000000001</v>
      </c>
      <c r="BD17" s="83">
        <v>45</v>
      </c>
      <c r="BE17" s="83">
        <v>44</v>
      </c>
      <c r="BF17" s="83">
        <v>40</v>
      </c>
      <c r="BG17" s="83">
        <v>38</v>
      </c>
      <c r="BH17" s="83">
        <v>42</v>
      </c>
      <c r="BI17" s="83">
        <v>43</v>
      </c>
      <c r="BJ17" s="83">
        <v>44</v>
      </c>
      <c r="BK17" s="83">
        <v>46</v>
      </c>
      <c r="BL17" s="83">
        <v>48</v>
      </c>
      <c r="BM17" s="83">
        <v>43</v>
      </c>
      <c r="BN17" s="83">
        <v>34</v>
      </c>
      <c r="BO17" s="83">
        <v>46</v>
      </c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D17" s="85">
        <v>295</v>
      </c>
      <c r="CE17" s="85">
        <v>293</v>
      </c>
      <c r="CF17" s="85">
        <v>327.87391000000008</v>
      </c>
      <c r="CG17" s="85">
        <v>237.90899999999999</v>
      </c>
      <c r="CH17" s="85">
        <v>283.24380000000002</v>
      </c>
      <c r="CI17" s="85">
        <v>305.91120000000001</v>
      </c>
      <c r="CJ17" s="85">
        <v>314.13655000000006</v>
      </c>
      <c r="CK17" s="85">
        <v>320.13344999999998</v>
      </c>
      <c r="CL17" s="85">
        <v>318.95499999999998</v>
      </c>
      <c r="CM17" s="85">
        <v>258.32940000000002</v>
      </c>
      <c r="CN17" s="85">
        <v>268.94952000000001</v>
      </c>
      <c r="CO17" s="85">
        <v>299.78507999999994</v>
      </c>
      <c r="CQ17" s="83">
        <v>25</v>
      </c>
      <c r="CR17" s="83">
        <v>27</v>
      </c>
      <c r="CS17" s="83">
        <v>32</v>
      </c>
      <c r="CT17" s="83">
        <v>18</v>
      </c>
      <c r="CU17" s="83">
        <v>25</v>
      </c>
      <c r="CV17" s="83">
        <v>29</v>
      </c>
      <c r="CW17" s="83">
        <v>27</v>
      </c>
      <c r="CX17" s="83">
        <v>34</v>
      </c>
      <c r="CY17" s="83">
        <v>36</v>
      </c>
      <c r="CZ17" s="83">
        <v>25</v>
      </c>
      <c r="DA17" s="83">
        <v>20</v>
      </c>
      <c r="DB17" s="83">
        <v>26</v>
      </c>
      <c r="DE17" s="85">
        <v>111</v>
      </c>
      <c r="DF17" s="85">
        <v>103.82400000000003</v>
      </c>
      <c r="DG17" s="85">
        <v>115.875</v>
      </c>
      <c r="DH17" s="85">
        <v>103.82400000000003</v>
      </c>
      <c r="DI17" s="85">
        <v>123.6</v>
      </c>
      <c r="DJ17" s="85">
        <v>123.6</v>
      </c>
      <c r="DK17" s="85">
        <v>139.05000000000001</v>
      </c>
      <c r="DL17" s="85">
        <v>133.9</v>
      </c>
      <c r="DM17" s="85">
        <v>127.92600000000002</v>
      </c>
      <c r="DN17" s="85">
        <v>144.19999999999999</v>
      </c>
      <c r="DO17" s="85">
        <v>149.35</v>
      </c>
      <c r="DP17" s="85">
        <v>160.68</v>
      </c>
      <c r="DR17" s="83">
        <v>13</v>
      </c>
      <c r="DS17" s="83">
        <v>12</v>
      </c>
      <c r="DT17" s="83">
        <v>14</v>
      </c>
      <c r="DU17" s="83">
        <v>39</v>
      </c>
      <c r="DV17" s="83">
        <v>12</v>
      </c>
      <c r="DW17" s="83">
        <v>14</v>
      </c>
      <c r="DX17" s="83">
        <v>16</v>
      </c>
      <c r="DY17" s="83">
        <v>16</v>
      </c>
      <c r="DZ17" s="83">
        <v>15</v>
      </c>
      <c r="EA17" s="83">
        <v>17</v>
      </c>
      <c r="EB17" s="83">
        <v>17</v>
      </c>
      <c r="EC17" s="83">
        <v>19</v>
      </c>
    </row>
    <row r="18" spans="1:133" ht="15.6" customHeight="1">
      <c r="A18" s="84" t="s">
        <v>26</v>
      </c>
      <c r="B18" s="83"/>
      <c r="C18" s="83">
        <v>31475162.268000007</v>
      </c>
      <c r="D18" s="83">
        <v>30755437.672000006</v>
      </c>
      <c r="E18" s="83">
        <v>31251379.66</v>
      </c>
      <c r="F18" s="83">
        <v>26576260.612</v>
      </c>
      <c r="G18" s="83">
        <v>30432412.076000001</v>
      </c>
      <c r="H18" s="83">
        <v>31816471.743999995</v>
      </c>
      <c r="I18" s="83">
        <v>33050040.120000001</v>
      </c>
      <c r="J18" s="83">
        <v>33884800.208000012</v>
      </c>
      <c r="K18" s="83">
        <v>34707517.272000007</v>
      </c>
      <c r="L18" s="83">
        <v>30790190.220000003</v>
      </c>
      <c r="M18" s="83">
        <v>28018707.216000002</v>
      </c>
      <c r="N18" s="83">
        <v>33765738.964000002</v>
      </c>
      <c r="O18" s="77">
        <v>0</v>
      </c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Q18" s="84">
        <v>10450644.600000001</v>
      </c>
      <c r="AR18" s="84">
        <v>10223244.240000004</v>
      </c>
      <c r="AS18" s="84">
        <v>9541043.1600000001</v>
      </c>
      <c r="AT18" s="84">
        <v>8830758.8159999996</v>
      </c>
      <c r="AU18" s="84">
        <v>9786791.5199999996</v>
      </c>
      <c r="AV18" s="84">
        <v>10158350.4</v>
      </c>
      <c r="AW18" s="84">
        <v>10386161.280000001</v>
      </c>
      <c r="AX18" s="84">
        <v>10886820.120000005</v>
      </c>
      <c r="AY18" s="84">
        <v>11543142.600000001</v>
      </c>
      <c r="AZ18" s="84">
        <v>10052935.200000001</v>
      </c>
      <c r="BA18" s="84">
        <v>8042348.1600000001</v>
      </c>
      <c r="BB18" s="84">
        <v>10627388.639999999</v>
      </c>
      <c r="BD18" s="83">
        <v>6369142.5</v>
      </c>
      <c r="BE18" s="83">
        <v>6187167</v>
      </c>
      <c r="BF18" s="83">
        <v>5641240.5</v>
      </c>
      <c r="BG18" s="83">
        <v>5450530.176</v>
      </c>
      <c r="BH18" s="83">
        <v>5939680.3200000003</v>
      </c>
      <c r="BI18" s="83">
        <v>6114376.7999999989</v>
      </c>
      <c r="BJ18" s="83">
        <v>6289073.2800000003</v>
      </c>
      <c r="BK18" s="83">
        <v>6485606.8200000003</v>
      </c>
      <c r="BL18" s="83">
        <v>6878673.8999999994</v>
      </c>
      <c r="BM18" s="83">
        <v>6114376.7999999989</v>
      </c>
      <c r="BN18" s="83">
        <v>4891501.4400000004</v>
      </c>
      <c r="BO18" s="83">
        <v>6463769.7599999998</v>
      </c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D18" s="83">
        <v>8131176.768000002</v>
      </c>
      <c r="CE18" s="83">
        <v>7937401.472000001</v>
      </c>
      <c r="CF18" s="83">
        <v>8735801.3599999994</v>
      </c>
      <c r="CG18" s="83">
        <v>6750627.6200000001</v>
      </c>
      <c r="CH18" s="83">
        <v>7752754.6359999999</v>
      </c>
      <c r="CI18" s="83">
        <v>8253818.1439999994</v>
      </c>
      <c r="CJ18" s="83">
        <v>8632830.3599999994</v>
      </c>
      <c r="CK18" s="83">
        <v>8319029.268000002</v>
      </c>
      <c r="CL18" s="83">
        <v>8130819.972000001</v>
      </c>
      <c r="CM18" s="83">
        <v>6903692.6200000001</v>
      </c>
      <c r="CN18" s="83">
        <v>7645609.1359999999</v>
      </c>
      <c r="CO18" s="83">
        <v>8207898.6439999994</v>
      </c>
      <c r="CQ18" s="83">
        <v>2387798.4000000004</v>
      </c>
      <c r="CR18" s="83">
        <v>2546984.9600000004</v>
      </c>
      <c r="CS18" s="83">
        <v>3024544.6400000006</v>
      </c>
      <c r="CT18" s="83">
        <v>1683704.0000000002</v>
      </c>
      <c r="CU18" s="83">
        <v>2357185.6</v>
      </c>
      <c r="CV18" s="83">
        <v>2693926.4000000004</v>
      </c>
      <c r="CW18" s="83">
        <v>2571475.2000000002</v>
      </c>
      <c r="CX18" s="83">
        <v>3214343.9999999995</v>
      </c>
      <c r="CY18" s="83">
        <v>3398020.8</v>
      </c>
      <c r="CZ18" s="83">
        <v>2357185.6</v>
      </c>
      <c r="DA18" s="83">
        <v>1885748.4800000002</v>
      </c>
      <c r="DB18" s="83">
        <v>2491881.92</v>
      </c>
      <c r="DE18" s="83">
        <v>3002400</v>
      </c>
      <c r="DF18" s="83">
        <v>2802240</v>
      </c>
      <c r="DG18" s="83">
        <v>3127500</v>
      </c>
      <c r="DH18" s="83">
        <v>2802240</v>
      </c>
      <c r="DI18" s="83">
        <v>3336000</v>
      </c>
      <c r="DJ18" s="83">
        <v>3336000</v>
      </c>
      <c r="DK18" s="83">
        <v>3753000</v>
      </c>
      <c r="DL18" s="83">
        <v>3614000</v>
      </c>
      <c r="DM18" s="83">
        <v>3452760</v>
      </c>
      <c r="DN18" s="83">
        <v>2398977.777777778</v>
      </c>
      <c r="DO18" s="83">
        <v>2492096.444444445</v>
      </c>
      <c r="DP18" s="83">
        <v>2605719.1999999997</v>
      </c>
      <c r="DR18" s="83">
        <v>1134000</v>
      </c>
      <c r="DS18" s="83">
        <v>1058400.0000000002</v>
      </c>
      <c r="DT18" s="83">
        <v>1181250.0000000002</v>
      </c>
      <c r="DU18" s="83">
        <v>1058400.0000000002</v>
      </c>
      <c r="DV18" s="83">
        <v>1260000</v>
      </c>
      <c r="DW18" s="83">
        <v>1260000</v>
      </c>
      <c r="DX18" s="83">
        <v>1417500.0000000002</v>
      </c>
      <c r="DY18" s="83">
        <v>1365000.0000000002</v>
      </c>
      <c r="DZ18" s="83">
        <v>1304100.0000000002</v>
      </c>
      <c r="EA18" s="83">
        <v>855555.5555555555</v>
      </c>
      <c r="EB18" s="83">
        <v>879822.22222222236</v>
      </c>
      <c r="EC18" s="83">
        <v>913244.04040404037</v>
      </c>
    </row>
    <row r="19" spans="1:133" ht="15.6" customHeight="1">
      <c r="A19" s="84" t="s">
        <v>27</v>
      </c>
      <c r="B19" s="83"/>
      <c r="C19" s="83">
        <v>9441936.7580000013</v>
      </c>
      <c r="D19" s="83">
        <v>9236846.6852000002</v>
      </c>
      <c r="E19" s="83">
        <v>9425724.9217999987</v>
      </c>
      <c r="F19" s="83">
        <v>7952653.3289999999</v>
      </c>
      <c r="G19" s="83">
        <v>9130180.8269999996</v>
      </c>
      <c r="H19" s="83">
        <v>9560766.7679999992</v>
      </c>
      <c r="I19" s="83">
        <v>9921564.1690000016</v>
      </c>
      <c r="J19" s="83">
        <v>10189445.734999999</v>
      </c>
      <c r="K19" s="83">
        <v>10432453.816</v>
      </c>
      <c r="L19" s="83">
        <v>9214799.9470000006</v>
      </c>
      <c r="M19" s="83">
        <v>8405557.0076000001</v>
      </c>
      <c r="N19" s="83">
        <v>10115834.315399999</v>
      </c>
      <c r="O19" s="77">
        <v>1099587.7049999684</v>
      </c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Q19" s="83">
        <v>3590469.3140000002</v>
      </c>
      <c r="AR19" s="83">
        <v>3522988.1016000002</v>
      </c>
      <c r="AS19" s="83">
        <v>3320544.4643999999</v>
      </c>
      <c r="AT19" s="83">
        <v>3017095.7600000002</v>
      </c>
      <c r="AU19" s="83">
        <v>3368496.9760000003</v>
      </c>
      <c r="AV19" s="83">
        <v>3508848.9439999997</v>
      </c>
      <c r="AW19" s="83">
        <v>3578318.5920000002</v>
      </c>
      <c r="AX19" s="83">
        <v>3776971.8900000006</v>
      </c>
      <c r="AY19" s="83">
        <v>4004160.9180000005</v>
      </c>
      <c r="AZ19" s="83">
        <v>3456868.5759999999</v>
      </c>
      <c r="BA19" s="83">
        <v>2765494.8607999999</v>
      </c>
      <c r="BB19" s="83">
        <v>3654403.9231999991</v>
      </c>
      <c r="BD19" s="83">
        <v>1431373.125</v>
      </c>
      <c r="BE19" s="83">
        <v>1390476.75</v>
      </c>
      <c r="BF19" s="83">
        <v>1267787.625</v>
      </c>
      <c r="BG19" s="83">
        <v>1224928.2239999999</v>
      </c>
      <c r="BH19" s="83">
        <v>1334857.68</v>
      </c>
      <c r="BI19" s="83">
        <v>1374118.2</v>
      </c>
      <c r="BJ19" s="83">
        <v>1413378.7200000002</v>
      </c>
      <c r="BK19" s="83">
        <v>1457546.8050000002</v>
      </c>
      <c r="BL19" s="83">
        <v>1545882.9749999999</v>
      </c>
      <c r="BM19" s="83">
        <v>1374118.2</v>
      </c>
      <c r="BN19" s="83">
        <v>1099294.56</v>
      </c>
      <c r="BO19" s="83">
        <v>1452639.24</v>
      </c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D19" s="83">
        <v>2559488.9190000002</v>
      </c>
      <c r="CE19" s="83">
        <v>2499423.5136000002</v>
      </c>
      <c r="CF19" s="83">
        <v>2751786.0473999996</v>
      </c>
      <c r="CG19" s="83">
        <v>2123641.2650000001</v>
      </c>
      <c r="CH19" s="83">
        <v>2440717.7709999997</v>
      </c>
      <c r="CI19" s="83">
        <v>2599256.0240000002</v>
      </c>
      <c r="CJ19" s="83">
        <v>2717553.3069999996</v>
      </c>
      <c r="CK19" s="83">
        <v>2621940.54</v>
      </c>
      <c r="CL19" s="83">
        <v>2563725.5530000003</v>
      </c>
      <c r="CM19" s="83">
        <v>2174527.7709999997</v>
      </c>
      <c r="CN19" s="83">
        <v>2405097.2168000001</v>
      </c>
      <c r="CO19" s="83">
        <v>2583990.0722000003</v>
      </c>
      <c r="CP19" s="83"/>
      <c r="CQ19" s="83">
        <v>655449.59999999998</v>
      </c>
      <c r="CR19" s="83">
        <v>699146.24000000011</v>
      </c>
      <c r="CS19" s="83">
        <v>830236.16000000015</v>
      </c>
      <c r="CT19" s="83">
        <v>462176.00000000006</v>
      </c>
      <c r="CU19" s="83">
        <v>647046.40000000002</v>
      </c>
      <c r="CV19" s="83">
        <v>739481.60000000009</v>
      </c>
      <c r="CW19" s="83">
        <v>705868.80000000005</v>
      </c>
      <c r="CX19" s="83">
        <v>882335.99999999977</v>
      </c>
      <c r="CY19" s="83">
        <v>932755.2</v>
      </c>
      <c r="CZ19" s="83">
        <v>647046.40000000002</v>
      </c>
      <c r="DA19" s="83">
        <v>517637.12000000005</v>
      </c>
      <c r="DB19" s="83">
        <v>684020.48</v>
      </c>
      <c r="DE19" s="83">
        <v>886555.8</v>
      </c>
      <c r="DF19" s="83">
        <v>827452.08</v>
      </c>
      <c r="DG19" s="83">
        <v>923495.625</v>
      </c>
      <c r="DH19" s="83">
        <v>827452.08</v>
      </c>
      <c r="DI19" s="83">
        <v>985062</v>
      </c>
      <c r="DJ19" s="83">
        <v>985062</v>
      </c>
      <c r="DK19" s="83">
        <v>1108194.75</v>
      </c>
      <c r="DL19" s="83">
        <v>1067150.5</v>
      </c>
      <c r="DM19" s="83">
        <v>1019539.17</v>
      </c>
      <c r="DN19" s="83">
        <v>860122.22222222225</v>
      </c>
      <c r="DO19" s="83">
        <v>898439.15555555571</v>
      </c>
      <c r="DP19" s="83">
        <v>942766.68242424238</v>
      </c>
      <c r="DQ19" s="83"/>
      <c r="DR19" s="83">
        <v>318600</v>
      </c>
      <c r="DS19" s="83">
        <v>297360.00000000006</v>
      </c>
      <c r="DT19" s="83">
        <v>331875.00000000006</v>
      </c>
      <c r="DU19" s="83">
        <v>297360.00000000006</v>
      </c>
      <c r="DV19" s="83">
        <v>354000</v>
      </c>
      <c r="DW19" s="83">
        <v>354000</v>
      </c>
      <c r="DX19" s="83">
        <v>398250.00000000006</v>
      </c>
      <c r="DY19" s="83">
        <v>383500.00000000006</v>
      </c>
      <c r="DZ19" s="83">
        <v>366390.00000000006</v>
      </c>
      <c r="EA19" s="83">
        <v>213888.88888888888</v>
      </c>
      <c r="EB19" s="83">
        <v>219955.55555555559</v>
      </c>
      <c r="EC19" s="83">
        <v>228311.01010101009</v>
      </c>
    </row>
    <row r="20" spans="1:133" ht="15.6" customHeight="1">
      <c r="A20" s="84" t="s">
        <v>28</v>
      </c>
      <c r="B20" s="83"/>
      <c r="C20" s="83">
        <v>2787273.2052000007</v>
      </c>
      <c r="D20" s="83">
        <v>2724096.8568000006</v>
      </c>
      <c r="E20" s="83">
        <v>2741526.6779999998</v>
      </c>
      <c r="F20" s="83">
        <v>2337207.9654000001</v>
      </c>
      <c r="G20" s="83">
        <v>2630931.9233999997</v>
      </c>
      <c r="H20" s="83">
        <v>2761825.2815999999</v>
      </c>
      <c r="I20" s="83">
        <v>2852848.7459999998</v>
      </c>
      <c r="J20" s="83">
        <v>2880877.4082000009</v>
      </c>
      <c r="K20" s="83">
        <v>2951094.3858000003</v>
      </c>
      <c r="L20" s="83">
        <v>2543494.173</v>
      </c>
      <c r="M20" s="83">
        <v>2353193.5943999998</v>
      </c>
      <c r="N20" s="83">
        <v>2825293.0925999996</v>
      </c>
      <c r="O20" s="77">
        <v>0</v>
      </c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Q20" s="83">
        <v>1567596.6900000002</v>
      </c>
      <c r="AR20" s="83">
        <v>1533486.6360000006</v>
      </c>
      <c r="AS20" s="83">
        <v>1431156.4739999999</v>
      </c>
      <c r="AT20" s="83">
        <v>1324613.8223999999</v>
      </c>
      <c r="AU20" s="83">
        <v>1468018.7279999999</v>
      </c>
      <c r="AV20" s="83">
        <v>1523752.56</v>
      </c>
      <c r="AW20" s="83">
        <v>1557924.192</v>
      </c>
      <c r="AX20" s="83">
        <v>1633023.0180000006</v>
      </c>
      <c r="AY20" s="83">
        <v>1731471.3900000001</v>
      </c>
      <c r="AZ20" s="83">
        <v>1507940.28</v>
      </c>
      <c r="BA20" s="83">
        <v>1206352.2239999999</v>
      </c>
      <c r="BB20" s="83">
        <v>1594108.2959999999</v>
      </c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D20" s="83">
        <v>1219676.5152000003</v>
      </c>
      <c r="CE20" s="83">
        <v>1190610.2208</v>
      </c>
      <c r="CF20" s="83">
        <v>1310370.2039999999</v>
      </c>
      <c r="CG20" s="83">
        <v>1012594.1429999999</v>
      </c>
      <c r="CH20" s="83">
        <v>1162913.1953999999</v>
      </c>
      <c r="CI20" s="83">
        <v>1238072.7215999998</v>
      </c>
      <c r="CJ20" s="83">
        <v>1294924.5539999998</v>
      </c>
      <c r="CK20" s="83">
        <v>1247854.3902000003</v>
      </c>
      <c r="CL20" s="83">
        <v>1219622.9958000001</v>
      </c>
      <c r="CM20" s="83">
        <v>1035553.8929999999</v>
      </c>
      <c r="CN20" s="83">
        <v>1146841.3703999999</v>
      </c>
      <c r="CO20" s="83">
        <v>1231184.7965999998</v>
      </c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83"/>
      <c r="DU20" s="83"/>
      <c r="DV20" s="83"/>
      <c r="DW20" s="83"/>
      <c r="DX20" s="83"/>
      <c r="DY20" s="83"/>
      <c r="DZ20" s="83"/>
      <c r="EA20" s="83"/>
      <c r="EB20" s="83"/>
      <c r="EC20" s="83"/>
    </row>
    <row r="21" spans="1:133" ht="15.6" customHeight="1">
      <c r="A21" s="84" t="s">
        <v>29</v>
      </c>
      <c r="B21" s="83"/>
      <c r="C21" s="83">
        <v>464545.53420000011</v>
      </c>
      <c r="D21" s="83">
        <v>454016.14280000015</v>
      </c>
      <c r="E21" s="83">
        <v>456921.11300000001</v>
      </c>
      <c r="F21" s="83">
        <v>389534.66090000002</v>
      </c>
      <c r="G21" s="83">
        <v>438488.65390000003</v>
      </c>
      <c r="H21" s="83">
        <v>460304.21360000002</v>
      </c>
      <c r="I21" s="83">
        <v>475474.79100000003</v>
      </c>
      <c r="J21" s="83">
        <v>480146.2347000002</v>
      </c>
      <c r="K21" s="83">
        <v>491849.06430000009</v>
      </c>
      <c r="L21" s="83">
        <v>423915.69550000003</v>
      </c>
      <c r="M21" s="83">
        <v>392198.93240000005</v>
      </c>
      <c r="N21" s="83">
        <v>470882.18209999998</v>
      </c>
      <c r="O21" s="77">
        <v>0</v>
      </c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Q21" s="83">
        <v>261266.11500000005</v>
      </c>
      <c r="AR21" s="83">
        <v>255581.10600000012</v>
      </c>
      <c r="AS21" s="83">
        <v>238526.07900000003</v>
      </c>
      <c r="AT21" s="83">
        <v>220768.97039999999</v>
      </c>
      <c r="AU21" s="83">
        <v>244669.788</v>
      </c>
      <c r="AV21" s="83">
        <v>253958.76</v>
      </c>
      <c r="AW21" s="83">
        <v>259654.03200000004</v>
      </c>
      <c r="AX21" s="83">
        <v>272170.50300000014</v>
      </c>
      <c r="AY21" s="83">
        <v>288578.56500000006</v>
      </c>
      <c r="AZ21" s="83">
        <v>251323.38000000003</v>
      </c>
      <c r="BA21" s="83">
        <v>201058.70400000003</v>
      </c>
      <c r="BB21" s="83">
        <v>265684.71599999996</v>
      </c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D21" s="83">
        <v>203279.41920000006</v>
      </c>
      <c r="CE21" s="83">
        <v>198435.03680000003</v>
      </c>
      <c r="CF21" s="83">
        <v>218395.03399999999</v>
      </c>
      <c r="CG21" s="83">
        <v>168765.69050000003</v>
      </c>
      <c r="CH21" s="83">
        <v>193818.8659</v>
      </c>
      <c r="CI21" s="83">
        <v>206345.45360000001</v>
      </c>
      <c r="CJ21" s="83">
        <v>215820.75899999999</v>
      </c>
      <c r="CK21" s="83">
        <v>207975.73170000006</v>
      </c>
      <c r="CL21" s="83">
        <v>203270.49930000002</v>
      </c>
      <c r="CM21" s="83">
        <v>172592.31550000003</v>
      </c>
      <c r="CN21" s="83">
        <v>191140.22840000002</v>
      </c>
      <c r="CO21" s="83">
        <v>205197.46609999999</v>
      </c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  <c r="EA21" s="83"/>
      <c r="EB21" s="83"/>
      <c r="EC21" s="83"/>
    </row>
    <row r="22" spans="1:133" ht="15.6" customHeight="1">
      <c r="A22" s="84" t="s">
        <v>35</v>
      </c>
      <c r="B22" s="83"/>
      <c r="C22" s="83">
        <v>1742347.082691079</v>
      </c>
      <c r="D22" s="83">
        <v>1742347.082691079</v>
      </c>
      <c r="E22" s="83">
        <v>1742347.082691079</v>
      </c>
      <c r="F22" s="83">
        <v>1742347.082691079</v>
      </c>
      <c r="G22" s="83">
        <v>1742347.082691079</v>
      </c>
      <c r="H22" s="83">
        <v>1742347.082691079</v>
      </c>
      <c r="I22" s="83">
        <v>1742347.082691079</v>
      </c>
      <c r="J22" s="83">
        <v>1742347.082691079</v>
      </c>
      <c r="K22" s="83">
        <v>1742347.082691079</v>
      </c>
      <c r="L22" s="83">
        <v>1742347.082691079</v>
      </c>
      <c r="M22" s="83">
        <v>1742347.082691079</v>
      </c>
      <c r="N22" s="83">
        <v>1742347.082691079</v>
      </c>
      <c r="O22" s="77">
        <v>0</v>
      </c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Q22" s="83">
        <v>677227.63421100425</v>
      </c>
      <c r="AR22" s="83">
        <v>677227.63421100425</v>
      </c>
      <c r="AS22" s="83">
        <v>677227.63421100425</v>
      </c>
      <c r="AT22" s="83">
        <v>677227.63421100425</v>
      </c>
      <c r="AU22" s="83">
        <v>677227.63421100425</v>
      </c>
      <c r="AV22" s="83">
        <v>677227.63421100425</v>
      </c>
      <c r="AW22" s="83">
        <v>677227.63421100425</v>
      </c>
      <c r="AX22" s="83">
        <v>677227.63421100425</v>
      </c>
      <c r="AY22" s="83">
        <v>677227.63421100425</v>
      </c>
      <c r="AZ22" s="83">
        <v>677227.63421100425</v>
      </c>
      <c r="BA22" s="83">
        <v>677227.63421100425</v>
      </c>
      <c r="BB22" s="83">
        <v>677227.63421100425</v>
      </c>
      <c r="BD22" s="83">
        <v>203252.71437537394</v>
      </c>
      <c r="BE22" s="83">
        <v>203252.71437537394</v>
      </c>
      <c r="BF22" s="83">
        <v>203252.71437537394</v>
      </c>
      <c r="BG22" s="83">
        <v>203252.71437537394</v>
      </c>
      <c r="BH22" s="83">
        <v>203252.71437537394</v>
      </c>
      <c r="BI22" s="83">
        <v>203252.71437537394</v>
      </c>
      <c r="BJ22" s="83">
        <v>203252.71437537394</v>
      </c>
      <c r="BK22" s="83">
        <v>203252.71437537394</v>
      </c>
      <c r="BL22" s="83">
        <v>203252.71437537394</v>
      </c>
      <c r="BM22" s="83">
        <v>203252.71437537394</v>
      </c>
      <c r="BN22" s="83">
        <v>203252.71437537394</v>
      </c>
      <c r="BO22" s="83">
        <v>203252.71437537394</v>
      </c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D22" s="83">
        <v>509825.48383733968</v>
      </c>
      <c r="CE22" s="83">
        <v>509825.48383733968</v>
      </c>
      <c r="CF22" s="83">
        <v>509825.48383733968</v>
      </c>
      <c r="CG22" s="83">
        <v>509825.48383733968</v>
      </c>
      <c r="CH22" s="83">
        <v>509825.48383733968</v>
      </c>
      <c r="CI22" s="83">
        <v>509825.48383733968</v>
      </c>
      <c r="CJ22" s="83">
        <v>509825.48383733968</v>
      </c>
      <c r="CK22" s="83">
        <v>509825.48383733968</v>
      </c>
      <c r="CL22" s="83">
        <v>509825.48383733968</v>
      </c>
      <c r="CM22" s="83">
        <v>509825.48383733968</v>
      </c>
      <c r="CN22" s="83">
        <v>509825.48383733968</v>
      </c>
      <c r="CO22" s="83">
        <v>509825.48383733968</v>
      </c>
      <c r="CP22" s="83"/>
      <c r="CQ22" s="83">
        <v>99077.083600694445</v>
      </c>
      <c r="CR22" s="83">
        <v>99077.083600694445</v>
      </c>
      <c r="CS22" s="83">
        <v>99077.083600694445</v>
      </c>
      <c r="CT22" s="83">
        <v>99077.083600694445</v>
      </c>
      <c r="CU22" s="83">
        <v>99077.083600694445</v>
      </c>
      <c r="CV22" s="83">
        <v>99077.083600694445</v>
      </c>
      <c r="CW22" s="83">
        <v>99077.083600694445</v>
      </c>
      <c r="CX22" s="83">
        <v>99077.083600694445</v>
      </c>
      <c r="CY22" s="83">
        <v>99077.083600694445</v>
      </c>
      <c r="CZ22" s="83">
        <v>99077.083600694445</v>
      </c>
      <c r="DA22" s="83">
        <v>99077.083600694445</v>
      </c>
      <c r="DB22" s="83">
        <v>99077.083600694445</v>
      </c>
      <c r="DE22" s="83">
        <v>218709.67948717947</v>
      </c>
      <c r="DF22" s="83">
        <v>218709.67948717947</v>
      </c>
      <c r="DG22" s="83">
        <v>218709.67948717947</v>
      </c>
      <c r="DH22" s="83">
        <v>218709.67948717947</v>
      </c>
      <c r="DI22" s="83">
        <v>218709.67948717947</v>
      </c>
      <c r="DJ22" s="83">
        <v>218709.67948717947</v>
      </c>
      <c r="DK22" s="83">
        <v>218709.67948717947</v>
      </c>
      <c r="DL22" s="83">
        <v>218709.67948717947</v>
      </c>
      <c r="DM22" s="83">
        <v>218709.67948717947</v>
      </c>
      <c r="DN22" s="83">
        <v>218709.67948717947</v>
      </c>
      <c r="DO22" s="83">
        <v>218709.67948717947</v>
      </c>
      <c r="DP22" s="83">
        <v>218709.67948717947</v>
      </c>
      <c r="DQ22" s="83"/>
      <c r="DR22" s="83">
        <v>34254.48717948718</v>
      </c>
      <c r="DS22" s="83">
        <v>34254.48717948718</v>
      </c>
      <c r="DT22" s="83">
        <v>34254.48717948718</v>
      </c>
      <c r="DU22" s="83">
        <v>34254.48717948718</v>
      </c>
      <c r="DV22" s="83">
        <v>34254.48717948718</v>
      </c>
      <c r="DW22" s="83">
        <v>34254.48717948718</v>
      </c>
      <c r="DX22" s="83">
        <v>34254.48717948718</v>
      </c>
      <c r="DY22" s="83">
        <v>34254.48717948718</v>
      </c>
      <c r="DZ22" s="83">
        <v>34254.48717948718</v>
      </c>
      <c r="EA22" s="83">
        <v>34254.48717948718</v>
      </c>
      <c r="EB22" s="83">
        <v>34254.48717948718</v>
      </c>
      <c r="EC22" s="83">
        <v>34254.48717948718</v>
      </c>
    </row>
    <row r="23" spans="1:133" ht="15.6" customHeight="1">
      <c r="A23" s="84" t="s">
        <v>34</v>
      </c>
      <c r="B23" s="83"/>
      <c r="C23" s="83">
        <v>26976564.913800005</v>
      </c>
      <c r="D23" s="83">
        <v>26442363.318800002</v>
      </c>
      <c r="E23" s="83">
        <v>26813617.3334</v>
      </c>
      <c r="F23" s="83">
        <v>22835411.251759999</v>
      </c>
      <c r="G23" s="83">
        <v>26087180.0068</v>
      </c>
      <c r="H23" s="83">
        <v>27281895.742399998</v>
      </c>
      <c r="I23" s="83">
        <v>28319707.480799999</v>
      </c>
      <c r="J23" s="83">
        <v>28988732.037000008</v>
      </c>
      <c r="K23" s="83">
        <v>29702477.782200001</v>
      </c>
      <c r="L23" s="83">
        <v>26269768.305999998</v>
      </c>
      <c r="M23" s="83">
        <v>23919652.908800002</v>
      </c>
      <c r="N23" s="83">
        <v>28837656.4652</v>
      </c>
      <c r="O23" s="77">
        <v>0</v>
      </c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Q23" s="83">
        <v>9690597.7200000025</v>
      </c>
      <c r="AR23" s="83">
        <v>9563380.2936000042</v>
      </c>
      <c r="AS23" s="83">
        <v>8925212.192400001</v>
      </c>
      <c r="AT23" s="83">
        <v>8260773.4742399985</v>
      </c>
      <c r="AU23" s="83">
        <v>9155098.6128000002</v>
      </c>
      <c r="AV23" s="83">
        <v>9502675.0559999999</v>
      </c>
      <c r="AW23" s="83">
        <v>9715781.7792000007</v>
      </c>
      <c r="AX23" s="83">
        <v>10184125.366800005</v>
      </c>
      <c r="AY23" s="83">
        <v>10798085.214000002</v>
      </c>
      <c r="AZ23" s="83">
        <v>9404063.9280000012</v>
      </c>
      <c r="BA23" s="83">
        <v>7523251.1424000012</v>
      </c>
      <c r="BB23" s="83">
        <v>9941439.0096000005</v>
      </c>
      <c r="BD23" s="83">
        <v>4904239.7250000006</v>
      </c>
      <c r="BE23" s="83">
        <v>4764118.59</v>
      </c>
      <c r="BF23" s="83">
        <v>4343755.1850000005</v>
      </c>
      <c r="BG23" s="83">
        <v>4196908.2355199996</v>
      </c>
      <c r="BH23" s="83">
        <v>4573553.8464000002</v>
      </c>
      <c r="BI23" s="83">
        <v>4708070.135999999</v>
      </c>
      <c r="BJ23" s="83">
        <v>4842586.4256000007</v>
      </c>
      <c r="BK23" s="83">
        <v>4993917.2514000004</v>
      </c>
      <c r="BL23" s="83">
        <v>5296578.9029999999</v>
      </c>
      <c r="BM23" s="83">
        <v>4708070.135999999</v>
      </c>
      <c r="BN23" s="83">
        <v>3766456.1088000005</v>
      </c>
      <c r="BO23" s="83">
        <v>4977102.7151999995</v>
      </c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D23" s="83">
        <v>7465898.668800002</v>
      </c>
      <c r="CE23" s="83">
        <v>7287977.7152000014</v>
      </c>
      <c r="CF23" s="83">
        <v>8021053.9759999989</v>
      </c>
      <c r="CG23" s="83">
        <v>6198303.5420000004</v>
      </c>
      <c r="CH23" s="83">
        <v>7118438.3476</v>
      </c>
      <c r="CI23" s="83">
        <v>7578505.7503999993</v>
      </c>
      <c r="CJ23" s="83">
        <v>7926507.8759999992</v>
      </c>
      <c r="CK23" s="83">
        <v>7638381.418800002</v>
      </c>
      <c r="CL23" s="83">
        <v>7465571.065200001</v>
      </c>
      <c r="CM23" s="83">
        <v>6338845.0420000004</v>
      </c>
      <c r="CN23" s="83">
        <v>7020059.2976000002</v>
      </c>
      <c r="CO23" s="83">
        <v>7536343.3003999991</v>
      </c>
      <c r="CP23" s="83"/>
      <c r="CQ23" s="83">
        <v>1790848.8000000003</v>
      </c>
      <c r="CR23" s="83">
        <v>1910238.7200000002</v>
      </c>
      <c r="CS23" s="83">
        <v>2268408.4800000004</v>
      </c>
      <c r="CT23" s="83">
        <v>1262778.0000000002</v>
      </c>
      <c r="CU23" s="83">
        <v>1767889.2000000002</v>
      </c>
      <c r="CV23" s="83">
        <v>2020444.8000000003</v>
      </c>
      <c r="CW23" s="83">
        <v>1928606.4000000001</v>
      </c>
      <c r="CX23" s="83">
        <v>2410757.9999999995</v>
      </c>
      <c r="CY23" s="83">
        <v>2548515.5999999996</v>
      </c>
      <c r="CZ23" s="83">
        <v>1767889.2000000002</v>
      </c>
      <c r="DA23" s="83">
        <v>1414311.36</v>
      </c>
      <c r="DB23" s="83">
        <v>1868911.44</v>
      </c>
      <c r="DE23" s="83">
        <v>2251800</v>
      </c>
      <c r="DF23" s="83">
        <v>2101680</v>
      </c>
      <c r="DG23" s="83">
        <v>2345625</v>
      </c>
      <c r="DH23" s="83">
        <v>2101680</v>
      </c>
      <c r="DI23" s="83">
        <v>2502000</v>
      </c>
      <c r="DJ23" s="83">
        <v>2502000</v>
      </c>
      <c r="DK23" s="83">
        <v>2814750</v>
      </c>
      <c r="DL23" s="83">
        <v>2710500</v>
      </c>
      <c r="DM23" s="83">
        <f>+DM18*75%</f>
        <v>2589570</v>
      </c>
      <c r="DN23" s="83">
        <f>+DN18*75%</f>
        <v>1799233.3333333335</v>
      </c>
      <c r="DO23" s="83">
        <f>+DO18*75%</f>
        <v>1869072.3333333337</v>
      </c>
      <c r="DP23" s="83">
        <f>+DP18*75%</f>
        <v>1954289.4</v>
      </c>
      <c r="DQ23" s="83"/>
      <c r="DR23" s="83">
        <v>873180</v>
      </c>
      <c r="DS23" s="83">
        <v>814968.00000000023</v>
      </c>
      <c r="DT23" s="83">
        <v>909562.50000000023</v>
      </c>
      <c r="DU23" s="83">
        <v>814968.00000000023</v>
      </c>
      <c r="DV23" s="83">
        <v>970200</v>
      </c>
      <c r="DW23" s="83">
        <v>970200</v>
      </c>
      <c r="DX23" s="83">
        <v>1091475.0000000002</v>
      </c>
      <c r="DY23" s="83">
        <v>1051050.0000000002</v>
      </c>
      <c r="DZ23" s="83">
        <v>1004157.0000000002</v>
      </c>
      <c r="EA23" s="83">
        <f>+EA18*75%</f>
        <v>641666.66666666663</v>
      </c>
      <c r="EB23" s="83">
        <f>+EB18*75%</f>
        <v>659866.66666666674</v>
      </c>
      <c r="EC23" s="83">
        <f>+EC18*75%</f>
        <v>684933.03030303027</v>
      </c>
    </row>
    <row r="24" spans="1:133" ht="15.6" customHeight="1">
      <c r="A24" s="84" t="s">
        <v>36</v>
      </c>
      <c r="B24" s="83"/>
      <c r="C24" s="83">
        <v>1142073.6860400001</v>
      </c>
      <c r="D24" s="83">
        <v>1118514.1693600002</v>
      </c>
      <c r="E24" s="83">
        <v>1134482.0926000001</v>
      </c>
      <c r="F24" s="83">
        <v>961140.50187999988</v>
      </c>
      <c r="G24" s="83">
        <v>1104109.68068</v>
      </c>
      <c r="H24" s="83">
        <v>1155860.2163200001</v>
      </c>
      <c r="I24" s="83">
        <v>1197062.1732000001</v>
      </c>
      <c r="J24" s="83">
        <v>1237843.0226400001</v>
      </c>
      <c r="K24" s="83">
        <v>1272841.4121600001</v>
      </c>
      <c r="L24" s="83">
        <v>1122536.9545999998</v>
      </c>
      <c r="M24" s="83">
        <v>1006556.21488</v>
      </c>
      <c r="N24" s="83">
        <v>1224845.2025199998</v>
      </c>
      <c r="O24" s="77">
        <v>0</v>
      </c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77">
        <v>0.55000000000000004</v>
      </c>
      <c r="AQ24" s="83">
        <v>313519.33800000005</v>
      </c>
      <c r="AR24" s="83">
        <v>306697.32720000012</v>
      </c>
      <c r="AS24" s="83">
        <v>286231.29479999997</v>
      </c>
      <c r="AT24" s="83">
        <v>264922.76447999995</v>
      </c>
      <c r="AU24" s="83">
        <v>293603.74559999997</v>
      </c>
      <c r="AV24" s="83">
        <v>304750.51199999999</v>
      </c>
      <c r="AW24" s="83">
        <v>311584.83840000001</v>
      </c>
      <c r="AX24" s="83">
        <v>326604.60360000015</v>
      </c>
      <c r="AY24" s="83">
        <v>346294.27800000005</v>
      </c>
      <c r="AZ24" s="83">
        <v>301588.05600000004</v>
      </c>
      <c r="BA24" s="83">
        <v>241270.4448</v>
      </c>
      <c r="BB24" s="83">
        <v>318821.65919999994</v>
      </c>
      <c r="BD24" s="83">
        <v>318457.125</v>
      </c>
      <c r="BE24" s="83">
        <v>309358.35000000003</v>
      </c>
      <c r="BF24" s="83">
        <v>282062.02500000002</v>
      </c>
      <c r="BG24" s="83">
        <v>272526.50880000001</v>
      </c>
      <c r="BH24" s="83">
        <v>296984.016</v>
      </c>
      <c r="BI24" s="83">
        <v>305718.83999999997</v>
      </c>
      <c r="BJ24" s="83">
        <v>314453.66400000005</v>
      </c>
      <c r="BK24" s="83">
        <v>324280.34100000001</v>
      </c>
      <c r="BL24" s="83">
        <v>343933.69500000001</v>
      </c>
      <c r="BM24" s="83">
        <v>305718.83999999997</v>
      </c>
      <c r="BN24" s="83">
        <v>244575.07200000004</v>
      </c>
      <c r="BO24" s="83">
        <v>323188.48800000001</v>
      </c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D24" s="83">
        <v>243935.30304000006</v>
      </c>
      <c r="CE24" s="83">
        <v>238122.04416000002</v>
      </c>
      <c r="CF24" s="83">
        <v>262074.04079999996</v>
      </c>
      <c r="CG24" s="83">
        <v>202518.82860000001</v>
      </c>
      <c r="CH24" s="83">
        <v>232582.63907999999</v>
      </c>
      <c r="CI24" s="83">
        <v>247614.54431999999</v>
      </c>
      <c r="CJ24" s="83">
        <v>258984.91079999998</v>
      </c>
      <c r="CK24" s="83">
        <v>249570.87804000004</v>
      </c>
      <c r="CL24" s="83">
        <v>243924.59916000001</v>
      </c>
      <c r="CM24" s="83">
        <v>207110.77859999999</v>
      </c>
      <c r="CN24" s="83">
        <v>229368.27408</v>
      </c>
      <c r="CO24" s="83">
        <v>246236.95931999997</v>
      </c>
      <c r="CP24" s="83"/>
      <c r="CQ24" s="83">
        <v>119389.92000000003</v>
      </c>
      <c r="CR24" s="83">
        <v>127349.24800000002</v>
      </c>
      <c r="CS24" s="83">
        <v>151227.23200000005</v>
      </c>
      <c r="CT24" s="83">
        <v>84185.200000000012</v>
      </c>
      <c r="CU24" s="83">
        <v>117859.28000000001</v>
      </c>
      <c r="CV24" s="83">
        <v>134696.32000000004</v>
      </c>
      <c r="CW24" s="83">
        <v>128573.76000000001</v>
      </c>
      <c r="CX24" s="83">
        <v>160717.19999999998</v>
      </c>
      <c r="CY24" s="83">
        <v>169901.04</v>
      </c>
      <c r="CZ24" s="83">
        <v>117859.28000000001</v>
      </c>
      <c r="DA24" s="83">
        <v>94287.424000000014</v>
      </c>
      <c r="DB24" s="83">
        <v>124594.09600000001</v>
      </c>
      <c r="DE24" s="83">
        <f>+DE18*3%</f>
        <v>90072</v>
      </c>
      <c r="DF24" s="83">
        <f t="shared" ref="DF24:DP24" si="0">+DF18*3%</f>
        <v>84067.199999999997</v>
      </c>
      <c r="DG24" s="83">
        <f t="shared" si="0"/>
        <v>93825</v>
      </c>
      <c r="DH24" s="83">
        <f t="shared" si="0"/>
        <v>84067.199999999997</v>
      </c>
      <c r="DI24" s="83">
        <f t="shared" si="0"/>
        <v>100080</v>
      </c>
      <c r="DJ24" s="83">
        <f t="shared" si="0"/>
        <v>100080</v>
      </c>
      <c r="DK24" s="83">
        <f t="shared" si="0"/>
        <v>112590</v>
      </c>
      <c r="DL24" s="83">
        <f t="shared" si="0"/>
        <v>108420</v>
      </c>
      <c r="DM24" s="83">
        <f t="shared" si="0"/>
        <v>103582.8</v>
      </c>
      <c r="DN24" s="83">
        <f t="shared" si="0"/>
        <v>71969.333333333343</v>
      </c>
      <c r="DO24" s="83">
        <f t="shared" si="0"/>
        <v>74762.893333333341</v>
      </c>
      <c r="DP24" s="83">
        <f t="shared" si="0"/>
        <v>78171.575999999986</v>
      </c>
      <c r="DQ24" s="83"/>
      <c r="DR24" s="86">
        <f>+DR18*5%</f>
        <v>56700</v>
      </c>
      <c r="DS24" s="83">
        <f t="shared" ref="DS24:EC24" si="1">+DS18*5%</f>
        <v>52920.000000000015</v>
      </c>
      <c r="DT24" s="83">
        <f t="shared" si="1"/>
        <v>59062.500000000015</v>
      </c>
      <c r="DU24" s="83">
        <f t="shared" si="1"/>
        <v>52920.000000000015</v>
      </c>
      <c r="DV24" s="83">
        <f t="shared" si="1"/>
        <v>63000</v>
      </c>
      <c r="DW24" s="83">
        <f t="shared" si="1"/>
        <v>63000</v>
      </c>
      <c r="DX24" s="83">
        <f t="shared" si="1"/>
        <v>70875.000000000015</v>
      </c>
      <c r="DY24" s="83">
        <f t="shared" si="1"/>
        <v>68250.000000000015</v>
      </c>
      <c r="DZ24" s="83">
        <f t="shared" si="1"/>
        <v>65205.000000000015</v>
      </c>
      <c r="EA24" s="83">
        <f t="shared" si="1"/>
        <v>42777.777777777781</v>
      </c>
      <c r="EB24" s="83">
        <f t="shared" si="1"/>
        <v>43991.111111111124</v>
      </c>
      <c r="EC24" s="83">
        <f t="shared" si="1"/>
        <v>45662.202020202021</v>
      </c>
    </row>
    <row r="25" spans="1:133" ht="15.6" customHeight="1">
      <c r="A25" s="84" t="s">
        <v>37</v>
      </c>
      <c r="B25" s="83"/>
      <c r="C25" s="83">
        <v>279835.98340400006</v>
      </c>
      <c r="D25" s="83">
        <v>273611.70326800004</v>
      </c>
      <c r="E25" s="83">
        <v>275476.22822799999</v>
      </c>
      <c r="F25" s="83">
        <v>234488.66087299999</v>
      </c>
      <c r="G25" s="83">
        <v>264181.81480300002</v>
      </c>
      <c r="H25" s="83">
        <v>277424.03007199999</v>
      </c>
      <c r="I25" s="83">
        <v>286431.87076000002</v>
      </c>
      <c r="J25" s="83">
        <v>289657.85460900009</v>
      </c>
      <c r="K25" s="83">
        <v>296847.92493100005</v>
      </c>
      <c r="L25" s="83">
        <v>255554.34035499999</v>
      </c>
      <c r="M25" s="83">
        <v>236039.419004</v>
      </c>
      <c r="N25" s="83">
        <v>283698.56554099999</v>
      </c>
      <c r="O25" s="77">
        <v>0</v>
      </c>
      <c r="Q25" s="86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D25" s="86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77">
        <v>0.35</v>
      </c>
      <c r="AQ25" s="86">
        <v>158699.76719000001</v>
      </c>
      <c r="AR25" s="86">
        <v>155353.00083600005</v>
      </c>
      <c r="AS25" s="86">
        <v>145312.70177400002</v>
      </c>
      <c r="AT25" s="86">
        <v>133932.37368799999</v>
      </c>
      <c r="AU25" s="86">
        <v>148679.77012</v>
      </c>
      <c r="AV25" s="86">
        <v>154449.10664000001</v>
      </c>
      <c r="AW25" s="86">
        <v>157820.58096000002</v>
      </c>
      <c r="AX25" s="86">
        <v>165689.85531000007</v>
      </c>
      <c r="AY25" s="86">
        <v>175673.53473000004</v>
      </c>
      <c r="AZ25" s="86">
        <v>152690.67436</v>
      </c>
      <c r="BA25" s="86">
        <v>122152.53948799999</v>
      </c>
      <c r="BB25" s="86">
        <v>161415.85575199997</v>
      </c>
      <c r="BD25" s="86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Q25" s="86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D25" s="86">
        <v>121136.21621400003</v>
      </c>
      <c r="CE25" s="86">
        <v>118258.70243200002</v>
      </c>
      <c r="CF25" s="86">
        <v>130163.52645399999</v>
      </c>
      <c r="CG25" s="86">
        <v>100556.28718499999</v>
      </c>
      <c r="CH25" s="86">
        <v>115502.044683</v>
      </c>
      <c r="CI25" s="86">
        <v>122974.923432</v>
      </c>
      <c r="CJ25" s="86">
        <v>128611.28979999998</v>
      </c>
      <c r="CK25" s="86">
        <v>123967.99929900002</v>
      </c>
      <c r="CL25" s="86">
        <v>121174.39020100002</v>
      </c>
      <c r="CM25" s="86">
        <v>102863.66599499999</v>
      </c>
      <c r="CN25" s="86">
        <v>113886.879516</v>
      </c>
      <c r="CO25" s="86">
        <v>122282.70978899999</v>
      </c>
      <c r="CP25" s="83"/>
      <c r="CQ25" s="86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E25" s="86"/>
      <c r="DF25" s="83"/>
      <c r="DG25" s="83"/>
      <c r="DH25" s="83"/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/>
      <c r="DX25" s="83"/>
      <c r="DY25" s="83"/>
      <c r="DZ25" s="83"/>
      <c r="EA25" s="83"/>
      <c r="EB25" s="83"/>
      <c r="EC25" s="83"/>
    </row>
    <row r="26" spans="1:133" ht="15.6" customHeight="1">
      <c r="A26" s="84" t="s">
        <v>38</v>
      </c>
      <c r="B26" s="83"/>
      <c r="C26" s="83">
        <v>796055.50378575013</v>
      </c>
      <c r="D26" s="83">
        <v>815711.1952372503</v>
      </c>
      <c r="E26" s="83">
        <v>845194.73241450009</v>
      </c>
      <c r="F26" s="83">
        <v>687949.20080250048</v>
      </c>
      <c r="G26" s="83">
        <v>825539.04096300039</v>
      </c>
      <c r="H26" s="83">
        <v>845194.73241450009</v>
      </c>
      <c r="I26" s="83">
        <v>913989.65249475022</v>
      </c>
      <c r="J26" s="83">
        <v>894333.9610432504</v>
      </c>
      <c r="K26" s="83">
        <v>746916.27515700029</v>
      </c>
      <c r="L26" s="83">
        <v>835366.88668875024</v>
      </c>
      <c r="M26" s="83">
        <v>796055.50378575013</v>
      </c>
      <c r="N26" s="83">
        <v>825539.04096300039</v>
      </c>
      <c r="O26" s="77">
        <v>0</v>
      </c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77">
        <v>0.1</v>
      </c>
      <c r="AQ26" s="83">
        <v>437830.52708216262</v>
      </c>
      <c r="AR26" s="83">
        <v>448641.15738048765</v>
      </c>
      <c r="AS26" s="83">
        <v>464857.10282797506</v>
      </c>
      <c r="AT26" s="83">
        <v>378372.0604413753</v>
      </c>
      <c r="AU26" s="83">
        <v>454046.47252965026</v>
      </c>
      <c r="AV26" s="83">
        <v>464857.10282797506</v>
      </c>
      <c r="AW26" s="83">
        <v>502694.30887211266</v>
      </c>
      <c r="AX26" s="83">
        <v>491883.67857378768</v>
      </c>
      <c r="AY26" s="83">
        <v>410803.95133635012</v>
      </c>
      <c r="AZ26" s="83">
        <v>459451.78767881269</v>
      </c>
      <c r="BA26" s="83">
        <v>437830.52708216262</v>
      </c>
      <c r="BB26" s="83">
        <v>454046.47252965026</v>
      </c>
      <c r="BC26" s="77">
        <v>1.1000000000000001</v>
      </c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D26" s="83">
        <v>278619.42632501258</v>
      </c>
      <c r="CE26" s="83">
        <v>285498.91833303758</v>
      </c>
      <c r="CF26" s="83">
        <v>295818.15634507505</v>
      </c>
      <c r="CG26" s="83">
        <v>240782.22028087519</v>
      </c>
      <c r="CH26" s="83">
        <v>288938.66433705017</v>
      </c>
      <c r="CI26" s="83">
        <v>295818.15634507505</v>
      </c>
      <c r="CJ26" s="83">
        <v>319896.37837316259</v>
      </c>
      <c r="CK26" s="83">
        <v>313016.88636513765</v>
      </c>
      <c r="CL26" s="83">
        <v>261420.69630495008</v>
      </c>
      <c r="CM26" s="83">
        <v>292378.41034106258</v>
      </c>
      <c r="CN26" s="83">
        <v>278619.42632501258</v>
      </c>
      <c r="CO26" s="83">
        <v>288938.66433705017</v>
      </c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E26" s="83">
        <v>79605.550378575019</v>
      </c>
      <c r="DF26" s="83">
        <v>81571.119523725036</v>
      </c>
      <c r="DG26" s="83">
        <v>84519.473241450018</v>
      </c>
      <c r="DH26" s="83">
        <v>68794.920080250056</v>
      </c>
      <c r="DI26" s="83">
        <v>82553.904096300044</v>
      </c>
      <c r="DJ26" s="83">
        <v>84519.473241450018</v>
      </c>
      <c r="DK26" s="83">
        <v>91398.965249475019</v>
      </c>
      <c r="DL26" s="83">
        <v>89433.396104325046</v>
      </c>
      <c r="DM26" s="83">
        <v>74691.62751570002</v>
      </c>
      <c r="DN26" s="83">
        <v>83536.688668875024</v>
      </c>
      <c r="DO26" s="83">
        <v>79605.550378575019</v>
      </c>
      <c r="DP26" s="83">
        <v>82553.904096300044</v>
      </c>
      <c r="DQ26" s="83"/>
      <c r="DR26" s="83"/>
      <c r="DS26" s="83"/>
      <c r="DT26" s="83"/>
      <c r="DU26" s="83"/>
      <c r="DV26" s="83"/>
      <c r="DW26" s="83"/>
      <c r="DX26" s="83"/>
      <c r="DY26" s="83"/>
      <c r="DZ26" s="83"/>
      <c r="EA26" s="83"/>
      <c r="EB26" s="83"/>
      <c r="EC26" s="83"/>
    </row>
    <row r="27" spans="1:133" ht="15.6" customHeight="1">
      <c r="A27" s="84" t="s">
        <v>39</v>
      </c>
      <c r="B27" s="83"/>
      <c r="C27" s="83">
        <v>0</v>
      </c>
      <c r="D27" s="83">
        <v>0</v>
      </c>
      <c r="E27" s="83">
        <v>1720272.4723125</v>
      </c>
      <c r="F27" s="83">
        <v>0</v>
      </c>
      <c r="G27" s="83">
        <v>0</v>
      </c>
      <c r="H27" s="83">
        <v>1625446.6306200002</v>
      </c>
      <c r="I27" s="83">
        <v>0</v>
      </c>
      <c r="J27" s="83">
        <v>0</v>
      </c>
      <c r="K27" s="83">
        <v>1763397.4340049999</v>
      </c>
      <c r="L27" s="83">
        <v>0</v>
      </c>
      <c r="M27" s="83">
        <v>0</v>
      </c>
      <c r="N27" s="83">
        <v>1691484.4823125</v>
      </c>
      <c r="O27" s="77">
        <v>0</v>
      </c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Q27" s="87"/>
      <c r="AR27" s="87"/>
      <c r="AS27" s="83">
        <v>946149.85977187508</v>
      </c>
      <c r="AT27" s="83"/>
      <c r="AU27" s="83"/>
      <c r="AV27" s="83">
        <v>893995.64684100018</v>
      </c>
      <c r="AW27" s="83"/>
      <c r="AX27" s="83"/>
      <c r="AY27" s="83">
        <v>969868.58870274993</v>
      </c>
      <c r="AZ27" s="83"/>
      <c r="BA27" s="83"/>
      <c r="BB27" s="83">
        <v>930316.46527187503</v>
      </c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D27" s="83"/>
      <c r="CE27" s="83"/>
      <c r="CF27" s="83">
        <v>602095.36530937499</v>
      </c>
      <c r="CG27" s="83"/>
      <c r="CH27" s="83"/>
      <c r="CI27" s="83">
        <v>568906.32071700017</v>
      </c>
      <c r="CK27" s="83"/>
      <c r="CL27" s="83">
        <v>617189.10190174996</v>
      </c>
      <c r="CM27" s="83"/>
      <c r="CN27" s="83"/>
      <c r="CO27" s="83">
        <v>592019.56880937505</v>
      </c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E27" s="83"/>
      <c r="DF27" s="83"/>
      <c r="DG27" s="83">
        <v>172027.24723124999</v>
      </c>
      <c r="DH27" s="83"/>
      <c r="DI27" s="83"/>
      <c r="DJ27" s="83">
        <v>162544.66306200004</v>
      </c>
      <c r="DL27" s="83"/>
      <c r="DM27" s="83">
        <v>176339.74340049998</v>
      </c>
      <c r="DN27" s="83"/>
      <c r="DO27" s="83"/>
      <c r="DP27" s="83">
        <v>169148.44823124999</v>
      </c>
      <c r="DQ27" s="83"/>
      <c r="DR27" s="83"/>
      <c r="DS27" s="83"/>
      <c r="DT27" s="83"/>
      <c r="DU27" s="83"/>
      <c r="DV27" s="83"/>
      <c r="DW27" s="83"/>
      <c r="DX27" s="83"/>
      <c r="DY27" s="83"/>
      <c r="DZ27" s="83"/>
      <c r="EA27" s="83"/>
      <c r="EB27" s="83"/>
      <c r="EC27" s="83"/>
    </row>
    <row r="28" spans="1:133" ht="15.6" customHeight="1">
      <c r="A28" s="84" t="s">
        <v>40</v>
      </c>
      <c r="B28" s="83"/>
      <c r="C28" s="83">
        <v>0</v>
      </c>
      <c r="D28" s="83">
        <v>0</v>
      </c>
      <c r="E28" s="83">
        <v>5195082.1050000004</v>
      </c>
      <c r="F28" s="83">
        <v>0</v>
      </c>
      <c r="G28" s="83">
        <v>0</v>
      </c>
      <c r="H28" s="83">
        <v>4984081.3166400008</v>
      </c>
      <c r="I28" s="83">
        <v>0</v>
      </c>
      <c r="J28" s="83">
        <v>0</v>
      </c>
      <c r="K28" s="83">
        <v>5536008.6900000004</v>
      </c>
      <c r="L28" s="83">
        <v>0</v>
      </c>
      <c r="M28" s="83">
        <v>0</v>
      </c>
      <c r="N28" s="83">
        <v>5184929.79</v>
      </c>
      <c r="O28" s="77">
        <v>0</v>
      </c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Q28" s="83"/>
      <c r="AR28" s="83"/>
      <c r="AS28" s="83">
        <v>2857295.1577500002</v>
      </c>
      <c r="AT28" s="83"/>
      <c r="AU28" s="83"/>
      <c r="AV28" s="83">
        <v>2741244.7241520002</v>
      </c>
      <c r="AW28" s="83"/>
      <c r="AX28" s="83"/>
      <c r="AY28" s="83">
        <v>3044804.7795000006</v>
      </c>
      <c r="AZ28" s="83"/>
      <c r="BA28" s="83"/>
      <c r="BB28" s="83">
        <v>2851711.3844999997</v>
      </c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D28" s="83"/>
      <c r="CE28" s="83"/>
      <c r="CF28" s="83">
        <v>1818278.7367500002</v>
      </c>
      <c r="CG28" s="83"/>
      <c r="CH28" s="83"/>
      <c r="CI28" s="83">
        <v>1744428.4608240002</v>
      </c>
      <c r="CJ28" s="83"/>
      <c r="CK28" s="83"/>
      <c r="CL28" s="83">
        <v>1937603.0415000003</v>
      </c>
      <c r="CM28" s="83"/>
      <c r="CN28" s="83"/>
      <c r="CO28" s="83">
        <v>1814725.4264999998</v>
      </c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E28" s="83"/>
      <c r="DF28" s="83"/>
      <c r="DG28" s="83">
        <v>519508.21050000004</v>
      </c>
      <c r="DH28" s="83"/>
      <c r="DI28" s="83"/>
      <c r="DJ28" s="83">
        <v>498408.13166400004</v>
      </c>
      <c r="DK28" s="83"/>
      <c r="DL28" s="83"/>
      <c r="DM28" s="83">
        <v>553600.86900000006</v>
      </c>
      <c r="DN28" s="83"/>
      <c r="DO28" s="83"/>
      <c r="DP28" s="83">
        <v>518492.97899999999</v>
      </c>
      <c r="DQ28" s="83"/>
      <c r="DR28" s="83"/>
      <c r="DS28" s="83"/>
      <c r="DT28" s="83"/>
      <c r="DU28" s="83"/>
      <c r="DV28" s="83"/>
      <c r="DW28" s="83"/>
      <c r="DX28" s="83"/>
      <c r="DY28" s="83"/>
      <c r="DZ28" s="83"/>
      <c r="EA28" s="83"/>
      <c r="EB28" s="83"/>
      <c r="EC28" s="83"/>
    </row>
    <row r="29" spans="1:133" ht="15.6" customHeight="1">
      <c r="A29" s="83"/>
      <c r="B29" s="83"/>
      <c r="C29" s="83">
        <v>0</v>
      </c>
      <c r="D29" s="83">
        <v>0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0</v>
      </c>
      <c r="O29" s="77">
        <v>0</v>
      </c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/>
      <c r="DX29" s="83"/>
      <c r="DY29" s="83"/>
      <c r="DZ29" s="83"/>
      <c r="EA29" s="83"/>
      <c r="EB29" s="83"/>
      <c r="EC29" s="83"/>
    </row>
    <row r="30" spans="1:133" ht="15.6" customHeight="1">
      <c r="A30" s="83"/>
      <c r="B30" s="83"/>
      <c r="C30" s="83">
        <v>0</v>
      </c>
      <c r="D30" s="83">
        <v>0</v>
      </c>
      <c r="E30" s="83">
        <v>0</v>
      </c>
      <c r="F30" s="83">
        <v>0</v>
      </c>
      <c r="G30" s="83">
        <v>0</v>
      </c>
      <c r="H30" s="83">
        <v>0</v>
      </c>
      <c r="I30" s="83">
        <v>0</v>
      </c>
      <c r="J30" s="83">
        <v>0</v>
      </c>
      <c r="K30" s="83">
        <v>0</v>
      </c>
      <c r="L30" s="83">
        <v>0</v>
      </c>
      <c r="M30" s="83">
        <v>0</v>
      </c>
      <c r="N30" s="83">
        <v>0</v>
      </c>
      <c r="O30" s="77">
        <v>0</v>
      </c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E30" s="83"/>
      <c r="DF30" s="83"/>
      <c r="DG30" s="83"/>
      <c r="DH30" s="83"/>
      <c r="DI30" s="83"/>
      <c r="DJ30" s="83"/>
      <c r="DK30" s="83"/>
      <c r="DL30" s="83"/>
      <c r="DM30" s="83"/>
      <c r="DN30" s="83"/>
      <c r="DO30" s="83"/>
      <c r="DP30" s="83"/>
      <c r="DQ30" s="83"/>
      <c r="DR30" s="83"/>
      <c r="DS30" s="83"/>
      <c r="DT30" s="83"/>
      <c r="DU30" s="83"/>
      <c r="DV30" s="83"/>
      <c r="DW30" s="83"/>
      <c r="DX30" s="83"/>
      <c r="DY30" s="83"/>
      <c r="DZ30" s="83"/>
      <c r="EA30" s="83"/>
      <c r="EB30" s="83"/>
      <c r="EC30" s="83"/>
    </row>
    <row r="31" spans="1:133" ht="15.6" customHeight="1">
      <c r="A31" s="84" t="s">
        <v>47</v>
      </c>
      <c r="B31" s="83"/>
      <c r="C31" s="83">
        <v>456750</v>
      </c>
      <c r="D31" s="83">
        <v>456750</v>
      </c>
      <c r="E31" s="83">
        <v>582750</v>
      </c>
      <c r="F31" s="83">
        <v>472500</v>
      </c>
      <c r="G31" s="83">
        <v>504000</v>
      </c>
      <c r="H31" s="83">
        <v>441000</v>
      </c>
      <c r="I31" s="83">
        <v>456750</v>
      </c>
      <c r="J31" s="83">
        <v>535500</v>
      </c>
      <c r="K31" s="83">
        <v>535500</v>
      </c>
      <c r="L31" s="83">
        <v>472500</v>
      </c>
      <c r="M31" s="83">
        <v>441000</v>
      </c>
      <c r="N31" s="83">
        <v>582750</v>
      </c>
      <c r="O31" s="77">
        <v>0</v>
      </c>
      <c r="Q31" s="83">
        <v>252000</v>
      </c>
      <c r="R31" s="83">
        <v>236250</v>
      </c>
      <c r="S31" s="83">
        <v>346500</v>
      </c>
      <c r="T31" s="83">
        <v>236250</v>
      </c>
      <c r="U31" s="83">
        <v>283500</v>
      </c>
      <c r="V31" s="83">
        <v>236250</v>
      </c>
      <c r="W31" s="83">
        <v>267750</v>
      </c>
      <c r="X31" s="83">
        <v>315000</v>
      </c>
      <c r="Y31" s="83">
        <v>267750</v>
      </c>
      <c r="Z31" s="83">
        <v>252000</v>
      </c>
      <c r="AA31" s="83">
        <v>220500</v>
      </c>
      <c r="AB31" s="83">
        <v>330750</v>
      </c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Q31" s="83">
        <v>204750</v>
      </c>
      <c r="BR31" s="83">
        <v>220500</v>
      </c>
      <c r="BS31" s="83">
        <v>236250</v>
      </c>
      <c r="BT31" s="83">
        <v>236250</v>
      </c>
      <c r="BU31" s="83">
        <v>220500</v>
      </c>
      <c r="BV31" s="83">
        <v>204750</v>
      </c>
      <c r="BW31" s="83">
        <v>189000</v>
      </c>
      <c r="BX31" s="83">
        <v>220500</v>
      </c>
      <c r="BY31" s="83">
        <v>267750</v>
      </c>
      <c r="BZ31" s="83">
        <v>220500</v>
      </c>
      <c r="CA31" s="83">
        <v>220500</v>
      </c>
      <c r="CB31" s="83">
        <v>252000</v>
      </c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E31" s="83"/>
      <c r="DF31" s="83"/>
      <c r="DG31" s="83"/>
      <c r="DH31" s="83"/>
      <c r="DI31" s="83"/>
      <c r="DJ31" s="83"/>
      <c r="DK31" s="83"/>
      <c r="DL31" s="83"/>
      <c r="DM31" s="83"/>
      <c r="DN31" s="83"/>
      <c r="DO31" s="83"/>
      <c r="DP31" s="83"/>
      <c r="DR31" s="83"/>
      <c r="DS31" s="83"/>
      <c r="DT31" s="83"/>
      <c r="DU31" s="83"/>
      <c r="DV31" s="83"/>
      <c r="DW31" s="83"/>
      <c r="DX31" s="83"/>
      <c r="DY31" s="83"/>
      <c r="DZ31" s="83"/>
      <c r="EA31" s="83"/>
      <c r="EB31" s="83"/>
      <c r="EC31" s="83"/>
    </row>
    <row r="32" spans="1:133" ht="15.6" customHeight="1">
      <c r="A32" s="84" t="s">
        <v>48</v>
      </c>
      <c r="B32" s="83"/>
      <c r="C32" s="83">
        <v>969766.68</v>
      </c>
      <c r="D32" s="83">
        <v>840472.16</v>
      </c>
      <c r="E32" s="83">
        <v>1032578.89</v>
      </c>
      <c r="F32" s="83">
        <v>675764.92</v>
      </c>
      <c r="G32" s="83">
        <v>516671.97000000003</v>
      </c>
      <c r="H32" s="83">
        <v>975971.6100000001</v>
      </c>
      <c r="I32" s="83">
        <v>1253112.31</v>
      </c>
      <c r="J32" s="83">
        <v>987572.55</v>
      </c>
      <c r="K32" s="83">
        <v>983181.27</v>
      </c>
      <c r="L32" s="83">
        <v>943668.31</v>
      </c>
      <c r="M32" s="83">
        <v>868666.66</v>
      </c>
      <c r="N32" s="83">
        <v>1103711.4200000002</v>
      </c>
      <c r="O32" s="77">
        <v>0</v>
      </c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D32" s="83">
        <v>969766.68</v>
      </c>
      <c r="BE32" s="83">
        <v>840472.16</v>
      </c>
      <c r="BF32" s="83">
        <v>1032578.89</v>
      </c>
      <c r="BG32" s="83">
        <v>675764.92</v>
      </c>
      <c r="BH32" s="83">
        <v>516671.97000000003</v>
      </c>
      <c r="BI32" s="83">
        <v>975971.6100000001</v>
      </c>
      <c r="BJ32" s="83">
        <v>1253112.31</v>
      </c>
      <c r="BK32" s="83">
        <v>987572.55</v>
      </c>
      <c r="BL32" s="83">
        <v>983181.27</v>
      </c>
      <c r="BM32" s="83">
        <v>943668.31</v>
      </c>
      <c r="BN32" s="83">
        <v>868666.66</v>
      </c>
      <c r="BO32" s="83">
        <v>1103711.4200000002</v>
      </c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E32" s="83"/>
      <c r="DF32" s="83"/>
      <c r="DG32" s="83"/>
      <c r="DH32" s="83"/>
      <c r="DI32" s="83"/>
      <c r="DJ32" s="83"/>
      <c r="DK32" s="83"/>
      <c r="DL32" s="83"/>
      <c r="DM32" s="83"/>
      <c r="DN32" s="83"/>
      <c r="DO32" s="83"/>
      <c r="DP32" s="83"/>
      <c r="DR32" s="83"/>
      <c r="DS32" s="83"/>
      <c r="DT32" s="83"/>
      <c r="DU32" s="83"/>
      <c r="DV32" s="83"/>
      <c r="DW32" s="83"/>
      <c r="DX32" s="83"/>
      <c r="DY32" s="83"/>
      <c r="DZ32" s="83"/>
      <c r="EA32" s="83"/>
      <c r="EB32" s="83"/>
      <c r="EC32" s="83"/>
    </row>
    <row r="33" spans="1:133" ht="15.6" customHeight="1">
      <c r="A33" s="84" t="s">
        <v>49</v>
      </c>
      <c r="B33" s="83"/>
      <c r="C33" s="83">
        <v>957000</v>
      </c>
      <c r="D33" s="83">
        <v>957000</v>
      </c>
      <c r="E33" s="83">
        <v>1221000</v>
      </c>
      <c r="F33" s="83">
        <v>990000</v>
      </c>
      <c r="G33" s="83">
        <v>1056000</v>
      </c>
      <c r="H33" s="83">
        <v>924000</v>
      </c>
      <c r="I33" s="83">
        <v>957000</v>
      </c>
      <c r="J33" s="83">
        <v>1122000</v>
      </c>
      <c r="K33" s="83">
        <v>1122000</v>
      </c>
      <c r="L33" s="83">
        <v>990000</v>
      </c>
      <c r="M33" s="83">
        <v>924000</v>
      </c>
      <c r="N33" s="83">
        <v>1221000</v>
      </c>
      <c r="O33" s="77">
        <v>0</v>
      </c>
      <c r="Q33" s="83">
        <v>528000</v>
      </c>
      <c r="R33" s="83">
        <v>495000</v>
      </c>
      <c r="S33" s="83">
        <v>726000</v>
      </c>
      <c r="T33" s="83">
        <v>495000</v>
      </c>
      <c r="U33" s="83">
        <v>594000</v>
      </c>
      <c r="V33" s="83">
        <v>495000</v>
      </c>
      <c r="W33" s="83">
        <v>561000</v>
      </c>
      <c r="X33" s="83">
        <v>660000</v>
      </c>
      <c r="Y33" s="83">
        <v>561000</v>
      </c>
      <c r="Z33" s="83">
        <v>528000</v>
      </c>
      <c r="AA33" s="83">
        <v>462000</v>
      </c>
      <c r="AB33" s="83">
        <v>693000</v>
      </c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Q33" s="83">
        <v>429000</v>
      </c>
      <c r="BR33" s="83">
        <v>462000</v>
      </c>
      <c r="BS33" s="83">
        <v>495000</v>
      </c>
      <c r="BT33" s="83">
        <v>495000</v>
      </c>
      <c r="BU33" s="83">
        <v>462000</v>
      </c>
      <c r="BV33" s="83">
        <v>429000</v>
      </c>
      <c r="BW33" s="83">
        <v>396000</v>
      </c>
      <c r="BX33" s="83">
        <v>462000</v>
      </c>
      <c r="BY33" s="83">
        <v>561000</v>
      </c>
      <c r="BZ33" s="83">
        <v>462000</v>
      </c>
      <c r="CA33" s="83">
        <v>462000</v>
      </c>
      <c r="CB33" s="83">
        <v>528000</v>
      </c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E33" s="83"/>
      <c r="DF33" s="83"/>
      <c r="DG33" s="83"/>
      <c r="DH33" s="83"/>
      <c r="DI33" s="83"/>
      <c r="DJ33" s="83"/>
      <c r="DK33" s="83"/>
      <c r="DL33" s="83"/>
      <c r="DM33" s="83"/>
      <c r="DN33" s="83"/>
      <c r="DO33" s="83"/>
      <c r="DP33" s="83"/>
      <c r="DR33" s="83"/>
      <c r="DS33" s="83"/>
      <c r="DT33" s="83"/>
      <c r="DU33" s="83"/>
      <c r="DV33" s="83"/>
      <c r="DW33" s="83"/>
      <c r="DX33" s="83"/>
      <c r="DY33" s="83"/>
      <c r="DZ33" s="83"/>
      <c r="EA33" s="83"/>
      <c r="EB33" s="83"/>
      <c r="EC33" s="83"/>
    </row>
    <row r="34" spans="1:133" ht="15.6" customHeight="1">
      <c r="A34" s="84" t="s">
        <v>50</v>
      </c>
      <c r="B34" s="83"/>
      <c r="C34" s="83">
        <v>0</v>
      </c>
      <c r="D34" s="83">
        <v>0</v>
      </c>
      <c r="E34" s="83">
        <v>0</v>
      </c>
      <c r="F34" s="83">
        <v>0</v>
      </c>
      <c r="G34" s="83">
        <v>0</v>
      </c>
      <c r="H34" s="83">
        <v>0</v>
      </c>
      <c r="I34" s="83">
        <v>0</v>
      </c>
      <c r="J34" s="83">
        <v>0</v>
      </c>
      <c r="K34" s="83">
        <v>0</v>
      </c>
      <c r="L34" s="83">
        <v>0</v>
      </c>
      <c r="M34" s="83">
        <v>0</v>
      </c>
      <c r="N34" s="83">
        <v>0</v>
      </c>
      <c r="O34" s="77">
        <v>0</v>
      </c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E34" s="83"/>
      <c r="DF34" s="83"/>
      <c r="DG34" s="83"/>
      <c r="DH34" s="83"/>
      <c r="DI34" s="83"/>
      <c r="DJ34" s="83"/>
      <c r="DK34" s="83"/>
      <c r="DL34" s="83"/>
      <c r="DM34" s="83"/>
      <c r="DN34" s="83"/>
      <c r="DO34" s="83"/>
      <c r="DP34" s="83"/>
      <c r="DR34" s="83"/>
      <c r="DS34" s="83"/>
      <c r="DT34" s="83"/>
      <c r="DU34" s="83"/>
      <c r="DV34" s="83"/>
      <c r="DW34" s="83"/>
      <c r="DX34" s="83"/>
      <c r="DY34" s="83"/>
      <c r="DZ34" s="83"/>
      <c r="EA34" s="83"/>
      <c r="EB34" s="83"/>
      <c r="EC34" s="83"/>
    </row>
    <row r="35" spans="1:133" ht="15.6" customHeight="1">
      <c r="A35" s="84" t="s">
        <v>53</v>
      </c>
      <c r="B35" s="83"/>
      <c r="C35" s="83">
        <v>725000</v>
      </c>
      <c r="D35" s="83">
        <v>725000</v>
      </c>
      <c r="E35" s="83">
        <v>925000</v>
      </c>
      <c r="F35" s="83">
        <v>750000</v>
      </c>
      <c r="G35" s="83">
        <v>800000</v>
      </c>
      <c r="H35" s="83">
        <v>700000</v>
      </c>
      <c r="I35" s="83">
        <v>725000</v>
      </c>
      <c r="J35" s="83">
        <v>850000</v>
      </c>
      <c r="K35" s="83">
        <v>850000</v>
      </c>
      <c r="L35" s="83">
        <v>750000</v>
      </c>
      <c r="M35" s="83">
        <v>700000</v>
      </c>
      <c r="N35" s="83">
        <v>925000</v>
      </c>
      <c r="O35" s="77">
        <v>0</v>
      </c>
      <c r="Q35" s="83">
        <v>400000</v>
      </c>
      <c r="R35" s="83">
        <v>375000</v>
      </c>
      <c r="S35" s="83">
        <v>550000</v>
      </c>
      <c r="T35" s="83">
        <v>375000</v>
      </c>
      <c r="U35" s="83">
        <v>450000</v>
      </c>
      <c r="V35" s="83">
        <v>375000</v>
      </c>
      <c r="W35" s="83">
        <v>425000</v>
      </c>
      <c r="X35" s="83">
        <v>500000</v>
      </c>
      <c r="Y35" s="83">
        <v>425000</v>
      </c>
      <c r="Z35" s="83">
        <v>400000</v>
      </c>
      <c r="AA35" s="83">
        <v>350000</v>
      </c>
      <c r="AB35" s="83">
        <v>525000</v>
      </c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Q35" s="83">
        <v>325000</v>
      </c>
      <c r="BR35" s="83">
        <v>350000</v>
      </c>
      <c r="BS35" s="83">
        <v>375000</v>
      </c>
      <c r="BT35" s="83">
        <v>375000</v>
      </c>
      <c r="BU35" s="83">
        <v>350000</v>
      </c>
      <c r="BV35" s="83">
        <v>325000</v>
      </c>
      <c r="BW35" s="83">
        <v>300000</v>
      </c>
      <c r="BX35" s="83">
        <v>350000</v>
      </c>
      <c r="BY35" s="83">
        <v>425000</v>
      </c>
      <c r="BZ35" s="83">
        <v>350000</v>
      </c>
      <c r="CA35" s="83">
        <v>350000</v>
      </c>
      <c r="CB35" s="83">
        <v>400000</v>
      </c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/>
      <c r="DE35" s="83"/>
      <c r="DF35" s="83"/>
      <c r="DG35" s="83"/>
      <c r="DH35" s="83"/>
      <c r="DI35" s="83"/>
      <c r="DJ35" s="83"/>
      <c r="DK35" s="83"/>
      <c r="DL35" s="83"/>
      <c r="DM35" s="83"/>
      <c r="DN35" s="83"/>
      <c r="DO35" s="83"/>
      <c r="DP35" s="83"/>
      <c r="DR35" s="83"/>
      <c r="DS35" s="83"/>
      <c r="DT35" s="83"/>
      <c r="DU35" s="83"/>
      <c r="DV35" s="83"/>
      <c r="DW35" s="83"/>
      <c r="DX35" s="83"/>
      <c r="DY35" s="83"/>
      <c r="DZ35" s="83"/>
      <c r="EA35" s="83"/>
      <c r="EB35" s="83"/>
      <c r="EC35" s="83"/>
    </row>
    <row r="36" spans="1:133" ht="15.6" customHeight="1">
      <c r="A36" s="83" t="s">
        <v>61</v>
      </c>
      <c r="B36" s="83"/>
      <c r="C36" s="83">
        <v>174000</v>
      </c>
      <c r="D36" s="83">
        <v>174000</v>
      </c>
      <c r="E36" s="83">
        <v>222000</v>
      </c>
      <c r="F36" s="83">
        <v>180000</v>
      </c>
      <c r="G36" s="83">
        <v>192000</v>
      </c>
      <c r="H36" s="83">
        <v>168000</v>
      </c>
      <c r="I36" s="83">
        <v>174000</v>
      </c>
      <c r="J36" s="83">
        <v>204000</v>
      </c>
      <c r="K36" s="83">
        <v>204000</v>
      </c>
      <c r="L36" s="83">
        <v>180000</v>
      </c>
      <c r="M36" s="83">
        <v>168000</v>
      </c>
      <c r="N36" s="83">
        <v>222000</v>
      </c>
      <c r="O36" s="77">
        <v>0</v>
      </c>
      <c r="Q36" s="83">
        <v>96000</v>
      </c>
      <c r="R36" s="83">
        <v>90000</v>
      </c>
      <c r="S36" s="83">
        <v>132000</v>
      </c>
      <c r="T36" s="83">
        <v>90000</v>
      </c>
      <c r="U36" s="83">
        <v>108000</v>
      </c>
      <c r="V36" s="83">
        <v>90000</v>
      </c>
      <c r="W36" s="83">
        <v>102000</v>
      </c>
      <c r="X36" s="83">
        <v>120000</v>
      </c>
      <c r="Y36" s="83">
        <v>102000</v>
      </c>
      <c r="Z36" s="83">
        <v>96000</v>
      </c>
      <c r="AA36" s="83">
        <v>84000</v>
      </c>
      <c r="AB36" s="83">
        <v>126000</v>
      </c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Q36" s="83">
        <v>78000</v>
      </c>
      <c r="BR36" s="83">
        <v>84000</v>
      </c>
      <c r="BS36" s="83">
        <v>90000</v>
      </c>
      <c r="BT36" s="83">
        <v>90000</v>
      </c>
      <c r="BU36" s="83">
        <v>84000</v>
      </c>
      <c r="BV36" s="83">
        <v>78000</v>
      </c>
      <c r="BW36" s="83">
        <v>72000</v>
      </c>
      <c r="BX36" s="83">
        <v>84000</v>
      </c>
      <c r="BY36" s="83">
        <v>102000</v>
      </c>
      <c r="BZ36" s="83">
        <v>84000</v>
      </c>
      <c r="CA36" s="83">
        <v>84000</v>
      </c>
      <c r="CB36" s="83">
        <v>96000</v>
      </c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Q36" s="83"/>
      <c r="CR36" s="83"/>
      <c r="CS36" s="83"/>
      <c r="CT36" s="83"/>
      <c r="CU36" s="83"/>
      <c r="CV36" s="83"/>
      <c r="CW36" s="83"/>
      <c r="CX36" s="83"/>
      <c r="CY36" s="83"/>
      <c r="CZ36" s="83"/>
      <c r="DA36" s="83"/>
      <c r="DB36" s="83"/>
      <c r="DE36" s="83"/>
      <c r="DF36" s="83"/>
      <c r="DG36" s="83"/>
      <c r="DH36" s="83"/>
      <c r="DI36" s="83"/>
      <c r="DJ36" s="83"/>
      <c r="DK36" s="83"/>
      <c r="DL36" s="83"/>
      <c r="DM36" s="83"/>
      <c r="DN36" s="83"/>
      <c r="DO36" s="83"/>
      <c r="DP36" s="83"/>
      <c r="DR36" s="83"/>
      <c r="DS36" s="83"/>
      <c r="DT36" s="83"/>
      <c r="DU36" s="83"/>
      <c r="DV36" s="83"/>
      <c r="DW36" s="83"/>
      <c r="DX36" s="83"/>
      <c r="DY36" s="83"/>
      <c r="DZ36" s="83"/>
      <c r="EA36" s="83"/>
      <c r="EB36" s="83"/>
      <c r="EC36" s="83"/>
    </row>
    <row r="37" spans="1:133" ht="15.6" customHeight="1">
      <c r="A37" s="83" t="s">
        <v>62</v>
      </c>
      <c r="B37" s="83"/>
      <c r="C37" s="83">
        <v>696000</v>
      </c>
      <c r="D37" s="83">
        <v>696000</v>
      </c>
      <c r="E37" s="83">
        <v>888000</v>
      </c>
      <c r="F37" s="83">
        <v>720000</v>
      </c>
      <c r="G37" s="83">
        <v>768000</v>
      </c>
      <c r="H37" s="83">
        <v>672000</v>
      </c>
      <c r="I37" s="83">
        <v>696000</v>
      </c>
      <c r="J37" s="83">
        <v>816000</v>
      </c>
      <c r="K37" s="83">
        <v>816000</v>
      </c>
      <c r="L37" s="83">
        <v>720000</v>
      </c>
      <c r="M37" s="83">
        <v>672000</v>
      </c>
      <c r="N37" s="83">
        <v>888000</v>
      </c>
      <c r="O37" s="77">
        <v>0</v>
      </c>
      <c r="Q37" s="83">
        <v>384000</v>
      </c>
      <c r="R37" s="83">
        <v>360000</v>
      </c>
      <c r="S37" s="83">
        <v>528000</v>
      </c>
      <c r="T37" s="83">
        <v>360000</v>
      </c>
      <c r="U37" s="83">
        <v>432000</v>
      </c>
      <c r="V37" s="83">
        <v>360000</v>
      </c>
      <c r="W37" s="83">
        <v>408000</v>
      </c>
      <c r="X37" s="83">
        <v>480000</v>
      </c>
      <c r="Y37" s="83">
        <v>408000</v>
      </c>
      <c r="Z37" s="83">
        <v>384000</v>
      </c>
      <c r="AA37" s="83">
        <v>336000</v>
      </c>
      <c r="AB37" s="83">
        <v>504000</v>
      </c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Q37" s="83">
        <v>312000</v>
      </c>
      <c r="BR37" s="83">
        <v>336000</v>
      </c>
      <c r="BS37" s="83">
        <v>360000</v>
      </c>
      <c r="BT37" s="83">
        <v>360000</v>
      </c>
      <c r="BU37" s="83">
        <v>336000</v>
      </c>
      <c r="BV37" s="83">
        <v>312000</v>
      </c>
      <c r="BW37" s="83">
        <v>288000</v>
      </c>
      <c r="BX37" s="83">
        <v>336000</v>
      </c>
      <c r="BY37" s="83">
        <v>408000</v>
      </c>
      <c r="BZ37" s="83">
        <v>336000</v>
      </c>
      <c r="CA37" s="83">
        <v>336000</v>
      </c>
      <c r="CB37" s="83">
        <v>384000</v>
      </c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  <c r="CQ37" s="83"/>
      <c r="CR37" s="83"/>
      <c r="CS37" s="83"/>
      <c r="CT37" s="83"/>
      <c r="CU37" s="83"/>
      <c r="CV37" s="83"/>
      <c r="CW37" s="83"/>
      <c r="CX37" s="83"/>
      <c r="CY37" s="83"/>
      <c r="CZ37" s="83"/>
      <c r="DA37" s="83"/>
      <c r="DB37" s="83"/>
      <c r="DE37" s="83"/>
      <c r="DF37" s="83"/>
      <c r="DG37" s="83"/>
      <c r="DH37" s="83"/>
      <c r="DI37" s="83"/>
      <c r="DJ37" s="83"/>
      <c r="DK37" s="83"/>
      <c r="DL37" s="83"/>
      <c r="DM37" s="83"/>
      <c r="DN37" s="83"/>
      <c r="DO37" s="83"/>
      <c r="DP37" s="83"/>
      <c r="DR37" s="83"/>
      <c r="DS37" s="83"/>
      <c r="DT37" s="83"/>
      <c r="DU37" s="83"/>
      <c r="DV37" s="83"/>
      <c r="DW37" s="83"/>
      <c r="DX37" s="83"/>
      <c r="DY37" s="83"/>
      <c r="DZ37" s="83"/>
      <c r="EA37" s="83"/>
      <c r="EB37" s="83"/>
      <c r="EC37" s="83"/>
    </row>
    <row r="38" spans="1:133" ht="15.6" customHeight="1">
      <c r="A38" s="83" t="s">
        <v>63</v>
      </c>
      <c r="B38" s="83"/>
      <c r="C38" s="83">
        <v>0</v>
      </c>
      <c r="D38" s="83">
        <v>0</v>
      </c>
      <c r="E38" s="83">
        <v>0</v>
      </c>
      <c r="F38" s="83">
        <v>0</v>
      </c>
      <c r="G38" s="83">
        <v>0</v>
      </c>
      <c r="H38" s="83">
        <v>0</v>
      </c>
      <c r="I38" s="83">
        <v>0</v>
      </c>
      <c r="J38" s="83">
        <v>0</v>
      </c>
      <c r="K38" s="83">
        <v>0</v>
      </c>
      <c r="L38" s="83">
        <v>0</v>
      </c>
      <c r="M38" s="83">
        <v>0</v>
      </c>
      <c r="N38" s="83">
        <v>0</v>
      </c>
      <c r="O38" s="77">
        <v>0</v>
      </c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E38" s="83"/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R38" s="83"/>
      <c r="DS38" s="83"/>
      <c r="DT38" s="83"/>
      <c r="DU38" s="83"/>
      <c r="DV38" s="83"/>
      <c r="DW38" s="83"/>
      <c r="DX38" s="83"/>
      <c r="DY38" s="83"/>
      <c r="DZ38" s="83"/>
      <c r="EA38" s="83"/>
      <c r="EB38" s="83"/>
      <c r="EC38" s="83"/>
    </row>
    <row r="39" spans="1:133" ht="15.6" customHeight="1">
      <c r="A39" s="83" t="s">
        <v>221</v>
      </c>
      <c r="B39" s="83"/>
      <c r="C39" s="83">
        <v>290000</v>
      </c>
      <c r="D39" s="83">
        <v>290000</v>
      </c>
      <c r="E39" s="83">
        <v>370000</v>
      </c>
      <c r="F39" s="83">
        <v>300000</v>
      </c>
      <c r="G39" s="83">
        <v>320000</v>
      </c>
      <c r="H39" s="83">
        <v>280000</v>
      </c>
      <c r="I39" s="83">
        <v>290000</v>
      </c>
      <c r="J39" s="83">
        <v>340000</v>
      </c>
      <c r="K39" s="83">
        <v>340000</v>
      </c>
      <c r="L39" s="83">
        <v>300000</v>
      </c>
      <c r="M39" s="83">
        <v>280000</v>
      </c>
      <c r="N39" s="83">
        <v>370000</v>
      </c>
      <c r="O39" s="77">
        <v>0</v>
      </c>
      <c r="Q39" s="83">
        <v>160000</v>
      </c>
      <c r="R39" s="83">
        <v>150000</v>
      </c>
      <c r="S39" s="83">
        <v>220000</v>
      </c>
      <c r="T39" s="83">
        <v>150000</v>
      </c>
      <c r="U39" s="83">
        <v>180000</v>
      </c>
      <c r="V39" s="83">
        <v>150000</v>
      </c>
      <c r="W39" s="83">
        <v>170000</v>
      </c>
      <c r="X39" s="83">
        <v>200000</v>
      </c>
      <c r="Y39" s="83">
        <v>170000</v>
      </c>
      <c r="Z39" s="83">
        <v>160000</v>
      </c>
      <c r="AA39" s="83">
        <v>140000</v>
      </c>
      <c r="AB39" s="83">
        <v>210000</v>
      </c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Q39" s="83">
        <v>130000</v>
      </c>
      <c r="BR39" s="83">
        <v>140000</v>
      </c>
      <c r="BS39" s="83">
        <v>150000</v>
      </c>
      <c r="BT39" s="83">
        <v>150000</v>
      </c>
      <c r="BU39" s="83">
        <v>140000</v>
      </c>
      <c r="BV39" s="83">
        <v>130000</v>
      </c>
      <c r="BW39" s="83">
        <v>120000</v>
      </c>
      <c r="BX39" s="83">
        <v>140000</v>
      </c>
      <c r="BY39" s="83">
        <v>170000</v>
      </c>
      <c r="BZ39" s="83">
        <v>140000</v>
      </c>
      <c r="CA39" s="83">
        <v>140000</v>
      </c>
      <c r="CB39" s="83">
        <v>160000</v>
      </c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E39" s="83"/>
      <c r="DF39" s="83"/>
      <c r="DG39" s="83"/>
      <c r="DH39" s="83"/>
      <c r="DI39" s="83"/>
      <c r="DJ39" s="83"/>
      <c r="DK39" s="83"/>
      <c r="DL39" s="83"/>
      <c r="DM39" s="83"/>
      <c r="DN39" s="83"/>
      <c r="DO39" s="83"/>
      <c r="DP39" s="83"/>
      <c r="DR39" s="83"/>
      <c r="DS39" s="83"/>
      <c r="DT39" s="83"/>
      <c r="DU39" s="83"/>
      <c r="DV39" s="83"/>
      <c r="DW39" s="83"/>
      <c r="DX39" s="83"/>
      <c r="DY39" s="83"/>
      <c r="DZ39" s="83"/>
      <c r="EA39" s="83"/>
      <c r="EB39" s="83"/>
      <c r="EC39" s="83"/>
    </row>
    <row r="40" spans="1:133" ht="15.6" customHeight="1">
      <c r="A40" s="83" t="s">
        <v>65</v>
      </c>
      <c r="B40" s="83"/>
      <c r="C40" s="83">
        <v>15000</v>
      </c>
      <c r="D40" s="83">
        <v>15000</v>
      </c>
      <c r="E40" s="83">
        <v>15000</v>
      </c>
      <c r="F40" s="83">
        <v>15000</v>
      </c>
      <c r="G40" s="83">
        <v>15000</v>
      </c>
      <c r="H40" s="83">
        <v>15000</v>
      </c>
      <c r="I40" s="83">
        <v>15000</v>
      </c>
      <c r="J40" s="83">
        <v>15000</v>
      </c>
      <c r="K40" s="83">
        <v>15000</v>
      </c>
      <c r="L40" s="83">
        <v>15000</v>
      </c>
      <c r="M40" s="83">
        <v>15000</v>
      </c>
      <c r="N40" s="83">
        <v>15000</v>
      </c>
      <c r="O40" s="77">
        <v>0</v>
      </c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Q40" s="83">
        <v>10000</v>
      </c>
      <c r="AR40" s="83">
        <v>10000</v>
      </c>
      <c r="AS40" s="83">
        <v>10000</v>
      </c>
      <c r="AT40" s="83">
        <v>10000</v>
      </c>
      <c r="AU40" s="83">
        <v>10000</v>
      </c>
      <c r="AV40" s="83">
        <v>10000</v>
      </c>
      <c r="AW40" s="83">
        <v>10000</v>
      </c>
      <c r="AX40" s="83">
        <v>10000</v>
      </c>
      <c r="AY40" s="83">
        <v>10000</v>
      </c>
      <c r="AZ40" s="83">
        <v>10000</v>
      </c>
      <c r="BA40" s="83">
        <v>10000</v>
      </c>
      <c r="BB40" s="83">
        <v>10000</v>
      </c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D40" s="83">
        <v>5000</v>
      </c>
      <c r="CE40" s="83">
        <v>5000</v>
      </c>
      <c r="CF40" s="83">
        <v>5000</v>
      </c>
      <c r="CG40" s="83">
        <v>5000</v>
      </c>
      <c r="CH40" s="83">
        <v>5000</v>
      </c>
      <c r="CI40" s="83">
        <v>5000</v>
      </c>
      <c r="CJ40" s="83">
        <v>5000</v>
      </c>
      <c r="CK40" s="83">
        <v>5000</v>
      </c>
      <c r="CL40" s="83">
        <v>5000</v>
      </c>
      <c r="CM40" s="83">
        <v>5000</v>
      </c>
      <c r="CN40" s="83">
        <v>5000</v>
      </c>
      <c r="CO40" s="83">
        <v>5000</v>
      </c>
      <c r="CQ40" s="83"/>
      <c r="CR40" s="83"/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E40" s="83"/>
      <c r="DF40" s="83"/>
      <c r="DG40" s="83"/>
      <c r="DH40" s="83"/>
      <c r="DI40" s="83"/>
      <c r="DJ40" s="83"/>
      <c r="DK40" s="83"/>
      <c r="DL40" s="83"/>
      <c r="DM40" s="83"/>
      <c r="DN40" s="83"/>
      <c r="DO40" s="83"/>
      <c r="DP40" s="83"/>
      <c r="DR40" s="83"/>
      <c r="DS40" s="83"/>
      <c r="DT40" s="83"/>
      <c r="DU40" s="83"/>
      <c r="DV40" s="83"/>
      <c r="DW40" s="83"/>
      <c r="DX40" s="83"/>
      <c r="DY40" s="83"/>
      <c r="DZ40" s="83"/>
      <c r="EA40" s="83"/>
      <c r="EB40" s="83"/>
      <c r="EC40" s="83"/>
    </row>
    <row r="41" spans="1:133" ht="15.6" customHeight="1">
      <c r="A41" s="83" t="s">
        <v>66</v>
      </c>
      <c r="B41" s="83"/>
      <c r="C41" s="83">
        <v>15000</v>
      </c>
      <c r="D41" s="83">
        <v>15000</v>
      </c>
      <c r="E41" s="83">
        <v>15000</v>
      </c>
      <c r="F41" s="83">
        <v>15000</v>
      </c>
      <c r="G41" s="83">
        <v>15000</v>
      </c>
      <c r="H41" s="83">
        <v>15000</v>
      </c>
      <c r="I41" s="83">
        <v>15000</v>
      </c>
      <c r="J41" s="83">
        <v>15000</v>
      </c>
      <c r="K41" s="83">
        <v>15000</v>
      </c>
      <c r="L41" s="83">
        <v>15000</v>
      </c>
      <c r="M41" s="83">
        <v>15000</v>
      </c>
      <c r="N41" s="83">
        <v>15000</v>
      </c>
      <c r="O41" s="77">
        <v>0</v>
      </c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D41" s="83">
        <v>15000</v>
      </c>
      <c r="BE41" s="83">
        <v>15000</v>
      </c>
      <c r="BF41" s="83">
        <v>15000</v>
      </c>
      <c r="BG41" s="83">
        <v>15000</v>
      </c>
      <c r="BH41" s="83">
        <v>15000</v>
      </c>
      <c r="BI41" s="83">
        <v>15000</v>
      </c>
      <c r="BJ41" s="83">
        <v>15000</v>
      </c>
      <c r="BK41" s="83">
        <v>15000</v>
      </c>
      <c r="BL41" s="83">
        <v>15000</v>
      </c>
      <c r="BM41" s="83">
        <v>15000</v>
      </c>
      <c r="BN41" s="83">
        <v>15000</v>
      </c>
      <c r="BO41" s="83">
        <v>15000</v>
      </c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E41" s="83"/>
      <c r="DF41" s="83"/>
      <c r="DG41" s="83"/>
      <c r="DH41" s="83"/>
      <c r="DI41" s="83"/>
      <c r="DJ41" s="83"/>
      <c r="DK41" s="83"/>
      <c r="DL41" s="83"/>
      <c r="DM41" s="83"/>
      <c r="DN41" s="83"/>
      <c r="DO41" s="83"/>
      <c r="DP41" s="83"/>
      <c r="DR41" s="83"/>
      <c r="DS41" s="83"/>
      <c r="DT41" s="83"/>
      <c r="DU41" s="83"/>
      <c r="DV41" s="83"/>
      <c r="DW41" s="83"/>
      <c r="DX41" s="83"/>
      <c r="DY41" s="83"/>
      <c r="DZ41" s="83"/>
      <c r="EA41" s="83"/>
      <c r="EB41" s="83"/>
      <c r="EC41" s="83"/>
    </row>
    <row r="42" spans="1:133" ht="15.6" customHeight="1">
      <c r="A42" s="83" t="s">
        <v>67</v>
      </c>
      <c r="B42" s="83"/>
      <c r="C42" s="83">
        <v>0</v>
      </c>
      <c r="D42" s="83">
        <v>0</v>
      </c>
      <c r="E42" s="83">
        <v>0</v>
      </c>
      <c r="F42" s="83">
        <v>0</v>
      </c>
      <c r="G42" s="83">
        <v>0</v>
      </c>
      <c r="H42" s="83">
        <v>0</v>
      </c>
      <c r="I42" s="83">
        <v>0</v>
      </c>
      <c r="J42" s="83">
        <v>0</v>
      </c>
      <c r="K42" s="83">
        <v>0</v>
      </c>
      <c r="L42" s="83">
        <v>0</v>
      </c>
      <c r="M42" s="83">
        <v>0</v>
      </c>
      <c r="N42" s="83">
        <v>0</v>
      </c>
      <c r="O42" s="77">
        <v>0</v>
      </c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E42" s="83"/>
      <c r="DF42" s="83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R42" s="83"/>
      <c r="DS42" s="83"/>
      <c r="DT42" s="83"/>
      <c r="DU42" s="83"/>
      <c r="DV42" s="83"/>
      <c r="DW42" s="83"/>
      <c r="DX42" s="83"/>
      <c r="DY42" s="83"/>
      <c r="DZ42" s="83"/>
      <c r="EA42" s="83"/>
      <c r="EB42" s="83"/>
      <c r="EC42" s="83"/>
    </row>
    <row r="43" spans="1:133" ht="15.6" customHeight="1">
      <c r="A43" s="83" t="s">
        <v>68</v>
      </c>
      <c r="B43" s="83"/>
      <c r="C43" s="83">
        <v>0</v>
      </c>
      <c r="D43" s="83">
        <v>0</v>
      </c>
      <c r="E43" s="83">
        <v>0</v>
      </c>
      <c r="F43" s="83">
        <v>0</v>
      </c>
      <c r="G43" s="83">
        <v>0</v>
      </c>
      <c r="H43" s="83">
        <v>0</v>
      </c>
      <c r="I43" s="83">
        <v>0</v>
      </c>
      <c r="J43" s="83">
        <v>0</v>
      </c>
      <c r="K43" s="83">
        <v>0</v>
      </c>
      <c r="L43" s="83">
        <v>0</v>
      </c>
      <c r="M43" s="83">
        <v>0</v>
      </c>
      <c r="N43" s="83">
        <v>0</v>
      </c>
      <c r="O43" s="77">
        <v>0</v>
      </c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E43" s="83"/>
      <c r="DF43" s="83"/>
      <c r="DG43" s="83"/>
      <c r="DH43" s="83"/>
      <c r="DI43" s="83"/>
      <c r="DJ43" s="83"/>
      <c r="DK43" s="83"/>
      <c r="DL43" s="83"/>
      <c r="DM43" s="83"/>
      <c r="DN43" s="83"/>
      <c r="DO43" s="83"/>
      <c r="DP43" s="83"/>
      <c r="DR43" s="83"/>
      <c r="DS43" s="83"/>
      <c r="DT43" s="83"/>
      <c r="DU43" s="83"/>
      <c r="DV43" s="83"/>
      <c r="DW43" s="83"/>
      <c r="DX43" s="83"/>
      <c r="DY43" s="83"/>
      <c r="DZ43" s="83"/>
      <c r="EA43" s="83"/>
      <c r="EB43" s="83"/>
      <c r="EC43" s="83"/>
    </row>
    <row r="44" spans="1:133" ht="15.6" customHeight="1">
      <c r="A44" s="83" t="s">
        <v>69</v>
      </c>
      <c r="B44" s="83"/>
      <c r="C44" s="83">
        <v>0</v>
      </c>
      <c r="D44" s="83">
        <v>0</v>
      </c>
      <c r="E44" s="83">
        <v>0</v>
      </c>
      <c r="F44" s="83">
        <v>0</v>
      </c>
      <c r="G44" s="83">
        <v>0</v>
      </c>
      <c r="H44" s="83">
        <v>0</v>
      </c>
      <c r="I44" s="83">
        <v>0</v>
      </c>
      <c r="J44" s="83">
        <v>0</v>
      </c>
      <c r="K44" s="83">
        <v>0</v>
      </c>
      <c r="L44" s="83">
        <v>0</v>
      </c>
      <c r="M44" s="83">
        <v>0</v>
      </c>
      <c r="N44" s="83">
        <v>0</v>
      </c>
      <c r="O44" s="77">
        <v>0</v>
      </c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R44" s="83"/>
      <c r="DS44" s="83"/>
      <c r="DT44" s="83"/>
      <c r="DU44" s="83"/>
      <c r="DV44" s="83"/>
      <c r="DW44" s="83"/>
      <c r="DX44" s="83"/>
      <c r="DY44" s="83"/>
      <c r="DZ44" s="83"/>
      <c r="EA44" s="83"/>
      <c r="EB44" s="83"/>
      <c r="EC44" s="83"/>
    </row>
    <row r="45" spans="1:133" ht="15.6" customHeight="1">
      <c r="A45" s="83" t="s">
        <v>70</v>
      </c>
      <c r="B45" s="83"/>
      <c r="C45" s="83">
        <v>0</v>
      </c>
      <c r="D45" s="83">
        <v>0</v>
      </c>
      <c r="E45" s="83">
        <v>0</v>
      </c>
      <c r="F45" s="83">
        <v>0</v>
      </c>
      <c r="G45" s="83">
        <v>0</v>
      </c>
      <c r="H45" s="83">
        <v>0</v>
      </c>
      <c r="I45" s="83">
        <v>0</v>
      </c>
      <c r="J45" s="83">
        <v>0</v>
      </c>
      <c r="K45" s="83">
        <v>0</v>
      </c>
      <c r="L45" s="83">
        <v>0</v>
      </c>
      <c r="M45" s="83">
        <v>0</v>
      </c>
      <c r="N45" s="83">
        <v>0</v>
      </c>
      <c r="O45" s="77">
        <v>0</v>
      </c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Q45" s="83"/>
      <c r="CR45" s="83"/>
      <c r="CS45" s="83"/>
      <c r="CT45" s="83"/>
      <c r="CU45" s="83"/>
      <c r="CV45" s="83"/>
      <c r="CW45" s="83"/>
      <c r="CX45" s="83"/>
      <c r="CY45" s="83"/>
      <c r="CZ45" s="83"/>
      <c r="DA45" s="83"/>
      <c r="DB45" s="83"/>
      <c r="DE45" s="83"/>
      <c r="DF45" s="83"/>
      <c r="DG45" s="83"/>
      <c r="DH45" s="83"/>
      <c r="DI45" s="83"/>
      <c r="DJ45" s="83"/>
      <c r="DK45" s="83"/>
      <c r="DL45" s="83"/>
      <c r="DM45" s="83"/>
      <c r="DN45" s="83"/>
      <c r="DO45" s="83"/>
      <c r="DP45" s="83"/>
      <c r="DR45" s="83"/>
      <c r="DS45" s="83"/>
      <c r="DT45" s="83"/>
      <c r="DU45" s="83"/>
      <c r="DV45" s="83"/>
      <c r="DW45" s="83"/>
      <c r="DX45" s="83"/>
      <c r="DY45" s="83"/>
      <c r="DZ45" s="83"/>
      <c r="EA45" s="83"/>
      <c r="EB45" s="83"/>
      <c r="EC45" s="83"/>
    </row>
    <row r="46" spans="1:133" ht="15.6" customHeight="1">
      <c r="A46" s="83" t="s">
        <v>222</v>
      </c>
      <c r="B46" s="83"/>
      <c r="C46" s="83">
        <v>2228646.4907200001</v>
      </c>
      <c r="D46" s="83">
        <v>2202881.5068800002</v>
      </c>
      <c r="E46" s="83">
        <v>2497805.1864</v>
      </c>
      <c r="F46" s="83">
        <v>2070714.42448</v>
      </c>
      <c r="G46" s="83">
        <v>2286896.4830400003</v>
      </c>
      <c r="H46" s="83">
        <v>2202258.8697600001</v>
      </c>
      <c r="I46" s="83">
        <v>2280301.6047999999</v>
      </c>
      <c r="J46" s="83">
        <v>2490792.00832</v>
      </c>
      <c r="K46" s="83">
        <v>2526136.6908800001</v>
      </c>
      <c r="L46" s="83">
        <v>2222807.6088</v>
      </c>
      <c r="M46" s="83">
        <v>2039848.2886400002</v>
      </c>
      <c r="N46" s="83">
        <v>2580109.5585599998</v>
      </c>
      <c r="O46" s="77">
        <v>2717951.0638800003</v>
      </c>
      <c r="Q46" s="83">
        <v>560000</v>
      </c>
      <c r="R46" s="83">
        <v>525000</v>
      </c>
      <c r="S46" s="83">
        <v>770000</v>
      </c>
      <c r="T46" s="83">
        <v>525000</v>
      </c>
      <c r="U46" s="83">
        <v>630000</v>
      </c>
      <c r="V46" s="83">
        <v>525000</v>
      </c>
      <c r="W46" s="83">
        <v>595000</v>
      </c>
      <c r="X46" s="83">
        <v>700000</v>
      </c>
      <c r="Y46" s="83">
        <v>595000</v>
      </c>
      <c r="Z46" s="83">
        <v>560000</v>
      </c>
      <c r="AA46" s="83">
        <v>490000</v>
      </c>
      <c r="AB46" s="83">
        <v>735000</v>
      </c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Q46" s="83">
        <v>418025.78400000004</v>
      </c>
      <c r="AR46" s="83">
        <v>408929.76960000017</v>
      </c>
      <c r="AS46" s="83">
        <v>381641.72639999999</v>
      </c>
      <c r="AT46" s="83">
        <v>353230.35264</v>
      </c>
      <c r="AU46" s="83">
        <v>391471.66080000001</v>
      </c>
      <c r="AV46" s="83">
        <v>406334.016</v>
      </c>
      <c r="AW46" s="83">
        <v>415446.45120000007</v>
      </c>
      <c r="AX46" s="83">
        <v>435472.80480000022</v>
      </c>
      <c r="AY46" s="83">
        <v>461725.70400000009</v>
      </c>
      <c r="AZ46" s="83">
        <v>402117.40800000005</v>
      </c>
      <c r="BA46" s="83">
        <v>321693.9264</v>
      </c>
      <c r="BB46" s="83">
        <v>425095.54559999995</v>
      </c>
      <c r="BD46" s="83">
        <v>254765.7</v>
      </c>
      <c r="BE46" s="83">
        <v>247486.68</v>
      </c>
      <c r="BF46" s="83">
        <v>225649.62</v>
      </c>
      <c r="BG46" s="83">
        <v>218021.20704000001</v>
      </c>
      <c r="BH46" s="83">
        <v>237587.21280000001</v>
      </c>
      <c r="BI46" s="83">
        <v>244575.07199999996</v>
      </c>
      <c r="BJ46" s="83">
        <v>251562.93120000002</v>
      </c>
      <c r="BK46" s="83">
        <v>259424.27280000001</v>
      </c>
      <c r="BL46" s="83">
        <v>275146.95600000001</v>
      </c>
      <c r="BM46" s="83">
        <v>244575.07199999996</v>
      </c>
      <c r="BN46" s="83">
        <v>195660.05760000003</v>
      </c>
      <c r="BO46" s="83">
        <v>258550.7904</v>
      </c>
      <c r="BQ46" s="83">
        <v>455000</v>
      </c>
      <c r="BR46" s="83">
        <v>490000</v>
      </c>
      <c r="BS46" s="83">
        <v>525000</v>
      </c>
      <c r="BT46" s="83">
        <v>525000</v>
      </c>
      <c r="BU46" s="83">
        <v>490000</v>
      </c>
      <c r="BV46" s="83">
        <v>455000</v>
      </c>
      <c r="BW46" s="83">
        <v>420000</v>
      </c>
      <c r="BX46" s="83">
        <v>490000</v>
      </c>
      <c r="BY46" s="83">
        <v>595000</v>
      </c>
      <c r="BZ46" s="83">
        <v>490000</v>
      </c>
      <c r="CA46" s="83">
        <v>490000</v>
      </c>
      <c r="CB46" s="83">
        <v>560000</v>
      </c>
      <c r="CD46" s="83">
        <v>325247.07072000008</v>
      </c>
      <c r="CE46" s="83">
        <v>317496.05888000003</v>
      </c>
      <c r="CF46" s="83">
        <v>349432.05439999996</v>
      </c>
      <c r="CG46" s="83">
        <v>270025.10480000003</v>
      </c>
      <c r="CH46" s="83">
        <v>310110.18544000003</v>
      </c>
      <c r="CI46" s="83">
        <v>330152.72576</v>
      </c>
      <c r="CJ46" s="83">
        <v>345313.2144</v>
      </c>
      <c r="CK46" s="83">
        <v>332761.17072000011</v>
      </c>
      <c r="CL46" s="83">
        <v>325232.79888000007</v>
      </c>
      <c r="CM46" s="83">
        <v>276147.70480000001</v>
      </c>
      <c r="CN46" s="83">
        <v>305824.36544000002</v>
      </c>
      <c r="CO46" s="83">
        <v>328315.94575999997</v>
      </c>
      <c r="CQ46" s="83">
        <v>95511.936000000016</v>
      </c>
      <c r="CR46" s="83">
        <v>101879.39840000002</v>
      </c>
      <c r="CS46" s="83">
        <v>120981.78560000003</v>
      </c>
      <c r="CT46" s="83">
        <v>67348.160000000003</v>
      </c>
      <c r="CU46" s="83">
        <v>94287.423999999999</v>
      </c>
      <c r="CV46" s="83">
        <v>107757.05600000001</v>
      </c>
      <c r="CW46" s="83">
        <v>102859.00800000002</v>
      </c>
      <c r="CX46" s="83">
        <v>128573.75999999998</v>
      </c>
      <c r="CY46" s="83">
        <v>135920.83199999999</v>
      </c>
      <c r="CZ46" s="83">
        <v>94287.423999999999</v>
      </c>
      <c r="DA46" s="83">
        <v>75429.939200000008</v>
      </c>
      <c r="DB46" s="83">
        <v>99675.276799999992</v>
      </c>
      <c r="DE46" s="83">
        <v>120096</v>
      </c>
      <c r="DF46" s="83">
        <v>112089.60000000001</v>
      </c>
      <c r="DG46" s="83">
        <v>125100</v>
      </c>
      <c r="DH46" s="83">
        <v>112089.60000000001</v>
      </c>
      <c r="DI46" s="83">
        <v>133440</v>
      </c>
      <c r="DJ46" s="83">
        <v>133440</v>
      </c>
      <c r="DK46" s="83">
        <v>150120</v>
      </c>
      <c r="DL46" s="83">
        <v>144560</v>
      </c>
      <c r="DM46" s="83">
        <v>138110.39999999999</v>
      </c>
      <c r="DN46" s="83">
        <v>155680</v>
      </c>
      <c r="DO46" s="83">
        <v>161240</v>
      </c>
      <c r="DP46" s="83">
        <v>173472</v>
      </c>
      <c r="DR46" s="83">
        <v>45360</v>
      </c>
      <c r="DS46" s="83">
        <v>42336.000000000007</v>
      </c>
      <c r="DT46" s="83">
        <v>47250.000000000007</v>
      </c>
      <c r="DU46" s="83">
        <v>42336.000000000007</v>
      </c>
      <c r="DV46" s="83">
        <v>50400</v>
      </c>
      <c r="DW46" s="83">
        <v>50400</v>
      </c>
      <c r="DX46" s="83">
        <v>56700.000000000007</v>
      </c>
      <c r="DY46" s="83">
        <v>54600.000000000007</v>
      </c>
      <c r="DZ46" s="83">
        <v>52164.000000000007</v>
      </c>
      <c r="EA46" s="83">
        <v>58800</v>
      </c>
      <c r="EB46" s="83">
        <v>60900</v>
      </c>
      <c r="EC46" s="83">
        <v>65520.000000000007</v>
      </c>
    </row>
    <row r="47" spans="1:133" s="89" customFormat="1" ht="15.6" customHeight="1">
      <c r="A47" s="88" t="s">
        <v>224</v>
      </c>
      <c r="B47" s="88"/>
      <c r="C47" s="83">
        <v>62760</v>
      </c>
      <c r="D47" s="83">
        <v>59736.000000000007</v>
      </c>
      <c r="E47" s="83">
        <v>69450</v>
      </c>
      <c r="F47" s="83">
        <v>60336.000000000007</v>
      </c>
      <c r="G47" s="83">
        <v>69600</v>
      </c>
      <c r="H47" s="83">
        <v>67200</v>
      </c>
      <c r="I47" s="83">
        <v>74100</v>
      </c>
      <c r="J47" s="83">
        <v>75000</v>
      </c>
      <c r="K47" s="83">
        <v>72564</v>
      </c>
      <c r="L47" s="83">
        <v>76800</v>
      </c>
      <c r="M47" s="83">
        <v>77700</v>
      </c>
      <c r="N47" s="83">
        <v>87720</v>
      </c>
      <c r="O47" s="89">
        <v>626766</v>
      </c>
      <c r="Q47" s="88">
        <v>9600</v>
      </c>
      <c r="R47" s="88">
        <v>9000</v>
      </c>
      <c r="S47" s="88">
        <v>13200</v>
      </c>
      <c r="T47" s="88">
        <v>9000</v>
      </c>
      <c r="U47" s="88">
        <v>10800</v>
      </c>
      <c r="V47" s="88">
        <v>9000</v>
      </c>
      <c r="W47" s="88">
        <v>10200</v>
      </c>
      <c r="X47" s="88">
        <v>12000</v>
      </c>
      <c r="Y47" s="88">
        <v>10200</v>
      </c>
      <c r="Z47" s="88">
        <v>9600</v>
      </c>
      <c r="AA47" s="88">
        <v>8400</v>
      </c>
      <c r="AB47" s="88">
        <v>12600</v>
      </c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Q47" s="88">
        <v>7800</v>
      </c>
      <c r="BR47" s="88">
        <v>8400</v>
      </c>
      <c r="BS47" s="88">
        <v>9000</v>
      </c>
      <c r="BT47" s="88">
        <v>9000</v>
      </c>
      <c r="BU47" s="88">
        <v>8400</v>
      </c>
      <c r="BV47" s="88">
        <v>7800</v>
      </c>
      <c r="BW47" s="88">
        <v>7200</v>
      </c>
      <c r="BX47" s="88">
        <v>8400</v>
      </c>
      <c r="BY47" s="88">
        <v>10200</v>
      </c>
      <c r="BZ47" s="88">
        <v>8400</v>
      </c>
      <c r="CA47" s="88">
        <v>8400</v>
      </c>
      <c r="CB47" s="88">
        <v>9600</v>
      </c>
      <c r="CD47" s="88"/>
      <c r="CE47" s="88"/>
      <c r="CF47" s="88"/>
      <c r="CG47" s="88"/>
      <c r="CH47" s="88"/>
      <c r="CI47" s="88"/>
      <c r="CJ47" s="88"/>
      <c r="CK47" s="88"/>
      <c r="CL47" s="88"/>
      <c r="CM47" s="88"/>
      <c r="CN47" s="88"/>
      <c r="CO47" s="88"/>
      <c r="CQ47" s="88"/>
      <c r="CR47" s="88"/>
      <c r="CS47" s="88"/>
      <c r="CT47" s="88"/>
      <c r="CU47" s="88"/>
      <c r="CV47" s="88"/>
      <c r="CW47" s="88"/>
      <c r="CX47" s="88"/>
      <c r="CY47" s="88"/>
      <c r="CZ47" s="88"/>
      <c r="DA47" s="88"/>
      <c r="DB47" s="88"/>
      <c r="DE47" s="88"/>
      <c r="DF47" s="88"/>
      <c r="DG47" s="88"/>
      <c r="DH47" s="88"/>
      <c r="DI47" s="88"/>
      <c r="DJ47" s="88"/>
      <c r="DK47" s="88"/>
      <c r="DL47" s="88"/>
      <c r="DM47" s="88"/>
      <c r="DN47" s="88"/>
      <c r="DO47" s="88"/>
      <c r="DP47" s="88"/>
      <c r="DR47" s="88"/>
      <c r="DS47" s="88"/>
      <c r="DT47" s="88"/>
      <c r="DU47" s="88"/>
      <c r="DV47" s="88"/>
      <c r="DW47" s="88"/>
      <c r="DX47" s="88"/>
      <c r="DY47" s="88"/>
      <c r="DZ47" s="88"/>
      <c r="EA47" s="88"/>
      <c r="EB47" s="88"/>
      <c r="EC47" s="88"/>
    </row>
    <row r="48" spans="1:133" s="89" customFormat="1" ht="15.6" customHeight="1">
      <c r="A48" s="88" t="s">
        <v>73</v>
      </c>
      <c r="B48" s="88"/>
      <c r="C48" s="83">
        <v>2750</v>
      </c>
      <c r="D48" s="83">
        <v>2750</v>
      </c>
      <c r="E48" s="83">
        <v>2750</v>
      </c>
      <c r="F48" s="83">
        <v>2750</v>
      </c>
      <c r="G48" s="83">
        <v>2750</v>
      </c>
      <c r="H48" s="83">
        <v>2750</v>
      </c>
      <c r="I48" s="83">
        <v>2750</v>
      </c>
      <c r="J48" s="83">
        <v>2750</v>
      </c>
      <c r="K48" s="83">
        <v>2750</v>
      </c>
      <c r="L48" s="83">
        <v>2750</v>
      </c>
      <c r="M48" s="83">
        <v>2750</v>
      </c>
      <c r="N48" s="83">
        <v>2750</v>
      </c>
      <c r="O48" s="89">
        <v>0</v>
      </c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Q48" s="88">
        <v>1000</v>
      </c>
      <c r="AR48" s="88">
        <v>1000</v>
      </c>
      <c r="AS48" s="88">
        <v>1000</v>
      </c>
      <c r="AT48" s="88">
        <v>1000</v>
      </c>
      <c r="AU48" s="88">
        <v>1000</v>
      </c>
      <c r="AV48" s="88">
        <v>1000</v>
      </c>
      <c r="AW48" s="88">
        <v>1000</v>
      </c>
      <c r="AX48" s="88">
        <v>1000</v>
      </c>
      <c r="AY48" s="88">
        <v>1000</v>
      </c>
      <c r="AZ48" s="88">
        <v>1000</v>
      </c>
      <c r="BA48" s="88">
        <v>1000</v>
      </c>
      <c r="BB48" s="88">
        <v>1000</v>
      </c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Q48" s="88"/>
      <c r="BR48" s="88"/>
      <c r="BS48" s="88"/>
      <c r="BT48" s="88"/>
      <c r="BU48" s="88"/>
      <c r="BV48" s="88"/>
      <c r="BW48" s="88"/>
      <c r="BX48" s="88"/>
      <c r="BY48" s="88"/>
      <c r="BZ48" s="88"/>
      <c r="CA48" s="88"/>
      <c r="CB48" s="88"/>
      <c r="CD48" s="88">
        <v>1250</v>
      </c>
      <c r="CE48" s="88">
        <v>1250</v>
      </c>
      <c r="CF48" s="88">
        <v>1250</v>
      </c>
      <c r="CG48" s="88">
        <v>1250</v>
      </c>
      <c r="CH48" s="88">
        <v>1250</v>
      </c>
      <c r="CI48" s="88">
        <v>1250</v>
      </c>
      <c r="CJ48" s="88">
        <v>1250</v>
      </c>
      <c r="CK48" s="88">
        <v>1250</v>
      </c>
      <c r="CL48" s="88">
        <v>1250</v>
      </c>
      <c r="CM48" s="88">
        <v>1250</v>
      </c>
      <c r="CN48" s="88">
        <v>1250</v>
      </c>
      <c r="CO48" s="88">
        <v>1250</v>
      </c>
      <c r="CQ48" s="88"/>
      <c r="CR48" s="88"/>
      <c r="CS48" s="88"/>
      <c r="CT48" s="88"/>
      <c r="CU48" s="88"/>
      <c r="CV48" s="88"/>
      <c r="CW48" s="88"/>
      <c r="CX48" s="88"/>
      <c r="CY48" s="88"/>
      <c r="CZ48" s="88"/>
      <c r="DA48" s="88"/>
      <c r="DB48" s="88"/>
      <c r="DE48" s="88">
        <v>500</v>
      </c>
      <c r="DF48" s="88">
        <v>500</v>
      </c>
      <c r="DG48" s="88">
        <v>500</v>
      </c>
      <c r="DH48" s="88">
        <v>500</v>
      </c>
      <c r="DI48" s="88">
        <v>500</v>
      </c>
      <c r="DJ48" s="88">
        <v>500</v>
      </c>
      <c r="DK48" s="88">
        <v>500</v>
      </c>
      <c r="DL48" s="88">
        <v>500</v>
      </c>
      <c r="DM48" s="88">
        <v>500</v>
      </c>
      <c r="DN48" s="88">
        <v>500</v>
      </c>
      <c r="DO48" s="88">
        <v>500</v>
      </c>
      <c r="DP48" s="88">
        <v>500</v>
      </c>
      <c r="DR48" s="88"/>
      <c r="DS48" s="88"/>
      <c r="DT48" s="88"/>
      <c r="DU48" s="88"/>
      <c r="DV48" s="88"/>
      <c r="DW48" s="88"/>
      <c r="DX48" s="88"/>
      <c r="DY48" s="88"/>
      <c r="DZ48" s="88"/>
      <c r="EA48" s="88"/>
      <c r="EB48" s="88"/>
      <c r="EC48" s="88"/>
    </row>
    <row r="49" spans="1:133" s="89" customFormat="1" ht="15.6" customHeight="1">
      <c r="A49" s="88" t="s">
        <v>74</v>
      </c>
      <c r="B49" s="88"/>
      <c r="C49" s="83">
        <v>435000</v>
      </c>
      <c r="D49" s="83">
        <v>435000</v>
      </c>
      <c r="E49" s="83">
        <v>555000</v>
      </c>
      <c r="F49" s="83">
        <v>450000</v>
      </c>
      <c r="G49" s="83">
        <v>480000</v>
      </c>
      <c r="H49" s="83">
        <v>420000</v>
      </c>
      <c r="I49" s="83">
        <v>435000</v>
      </c>
      <c r="J49" s="83">
        <v>510000</v>
      </c>
      <c r="K49" s="83">
        <v>510000</v>
      </c>
      <c r="L49" s="83">
        <v>450000</v>
      </c>
      <c r="M49" s="83">
        <v>420000</v>
      </c>
      <c r="N49" s="83">
        <v>555000</v>
      </c>
      <c r="O49" s="89">
        <v>0</v>
      </c>
      <c r="Q49" s="88">
        <v>240000</v>
      </c>
      <c r="R49" s="88">
        <v>225000</v>
      </c>
      <c r="S49" s="88">
        <v>330000</v>
      </c>
      <c r="T49" s="88">
        <v>225000</v>
      </c>
      <c r="U49" s="88">
        <v>270000</v>
      </c>
      <c r="V49" s="88">
        <v>225000</v>
      </c>
      <c r="W49" s="88">
        <v>255000</v>
      </c>
      <c r="X49" s="88">
        <v>300000</v>
      </c>
      <c r="Y49" s="88">
        <v>255000</v>
      </c>
      <c r="Z49" s="88">
        <v>240000</v>
      </c>
      <c r="AA49" s="88">
        <v>210000</v>
      </c>
      <c r="AB49" s="88">
        <v>315000</v>
      </c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Q49" s="88">
        <v>195000</v>
      </c>
      <c r="BR49" s="88">
        <v>210000</v>
      </c>
      <c r="BS49" s="88">
        <v>225000</v>
      </c>
      <c r="BT49" s="88">
        <v>225000</v>
      </c>
      <c r="BU49" s="88">
        <v>210000</v>
      </c>
      <c r="BV49" s="88">
        <v>195000</v>
      </c>
      <c r="BW49" s="88">
        <v>180000</v>
      </c>
      <c r="BX49" s="88">
        <v>210000</v>
      </c>
      <c r="BY49" s="88">
        <v>255000</v>
      </c>
      <c r="BZ49" s="88">
        <v>210000</v>
      </c>
      <c r="CA49" s="88">
        <v>210000</v>
      </c>
      <c r="CB49" s="88">
        <v>240000</v>
      </c>
      <c r="CD49" s="88"/>
      <c r="CE49" s="88"/>
      <c r="CF49" s="88"/>
      <c r="CG49" s="88"/>
      <c r="CH49" s="88"/>
      <c r="CI49" s="88"/>
      <c r="CJ49" s="88"/>
      <c r="CK49" s="88"/>
      <c r="CL49" s="88"/>
      <c r="CM49" s="88"/>
      <c r="CN49" s="88"/>
      <c r="CO49" s="88"/>
      <c r="CQ49" s="88"/>
      <c r="CR49" s="88"/>
      <c r="CS49" s="88"/>
      <c r="CT49" s="88"/>
      <c r="CU49" s="88"/>
      <c r="CV49" s="88"/>
      <c r="CW49" s="88"/>
      <c r="CX49" s="88"/>
      <c r="CY49" s="88"/>
      <c r="CZ49" s="88"/>
      <c r="DA49" s="88"/>
      <c r="DB49" s="88"/>
      <c r="DE49" s="88"/>
      <c r="DF49" s="88"/>
      <c r="DG49" s="88"/>
      <c r="DH49" s="88"/>
      <c r="DI49" s="88"/>
      <c r="DJ49" s="88"/>
      <c r="DK49" s="88"/>
      <c r="DL49" s="88"/>
      <c r="DM49" s="88"/>
      <c r="DN49" s="88"/>
      <c r="DO49" s="88"/>
      <c r="DP49" s="88"/>
      <c r="DR49" s="88"/>
      <c r="DS49" s="88"/>
      <c r="DT49" s="88"/>
      <c r="DU49" s="88"/>
      <c r="DV49" s="88"/>
      <c r="DW49" s="88"/>
      <c r="DX49" s="88"/>
      <c r="DY49" s="88"/>
      <c r="DZ49" s="88"/>
      <c r="EA49" s="88"/>
      <c r="EB49" s="88"/>
      <c r="EC49" s="88"/>
    </row>
    <row r="50" spans="1:133" s="89" customFormat="1" ht="15.6" customHeight="1">
      <c r="A50" s="88" t="s">
        <v>75</v>
      </c>
      <c r="B50" s="88"/>
      <c r="C50" s="83">
        <v>14500</v>
      </c>
      <c r="D50" s="83">
        <v>14500</v>
      </c>
      <c r="E50" s="83">
        <v>18500</v>
      </c>
      <c r="F50" s="83">
        <v>15000</v>
      </c>
      <c r="G50" s="83">
        <v>16000</v>
      </c>
      <c r="H50" s="83">
        <v>14000</v>
      </c>
      <c r="I50" s="83">
        <v>14500</v>
      </c>
      <c r="J50" s="83">
        <v>17000</v>
      </c>
      <c r="K50" s="83">
        <v>17000</v>
      </c>
      <c r="L50" s="83">
        <v>15000</v>
      </c>
      <c r="M50" s="83">
        <v>14000</v>
      </c>
      <c r="N50" s="83">
        <v>18500</v>
      </c>
      <c r="O50" s="89">
        <v>0</v>
      </c>
      <c r="Q50" s="88">
        <v>8000</v>
      </c>
      <c r="R50" s="88">
        <v>7500</v>
      </c>
      <c r="S50" s="88">
        <v>11000</v>
      </c>
      <c r="T50" s="88">
        <v>7500</v>
      </c>
      <c r="U50" s="88">
        <v>9000</v>
      </c>
      <c r="V50" s="88">
        <v>7500</v>
      </c>
      <c r="W50" s="88">
        <v>8500</v>
      </c>
      <c r="X50" s="88">
        <v>10000</v>
      </c>
      <c r="Y50" s="88">
        <v>8500</v>
      </c>
      <c r="Z50" s="88">
        <v>8000</v>
      </c>
      <c r="AA50" s="88">
        <v>7000</v>
      </c>
      <c r="AB50" s="88">
        <v>10500</v>
      </c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Q50" s="88">
        <v>6500</v>
      </c>
      <c r="BR50" s="88">
        <v>7000</v>
      </c>
      <c r="BS50" s="88">
        <v>7500</v>
      </c>
      <c r="BT50" s="88">
        <v>7500</v>
      </c>
      <c r="BU50" s="88">
        <v>7000</v>
      </c>
      <c r="BV50" s="88">
        <v>6500</v>
      </c>
      <c r="BW50" s="88">
        <v>6000</v>
      </c>
      <c r="BX50" s="88">
        <v>7000</v>
      </c>
      <c r="BY50" s="88">
        <v>8500</v>
      </c>
      <c r="BZ50" s="88">
        <v>7000</v>
      </c>
      <c r="CA50" s="88">
        <v>7000</v>
      </c>
      <c r="CB50" s="88">
        <v>8000</v>
      </c>
      <c r="CD50" s="88"/>
      <c r="CE50" s="88"/>
      <c r="CF50" s="88"/>
      <c r="CG50" s="88"/>
      <c r="CH50" s="88"/>
      <c r="CI50" s="88"/>
      <c r="CJ50" s="88"/>
      <c r="CK50" s="88"/>
      <c r="CL50" s="88"/>
      <c r="CM50" s="88"/>
      <c r="CN50" s="88"/>
      <c r="CO50" s="88"/>
      <c r="CQ50" s="88"/>
      <c r="CR50" s="88"/>
      <c r="CS50" s="88"/>
      <c r="CT50" s="88"/>
      <c r="CU50" s="88"/>
      <c r="CV50" s="88"/>
      <c r="CW50" s="88"/>
      <c r="CX50" s="88"/>
      <c r="CY50" s="88"/>
      <c r="CZ50" s="88"/>
      <c r="DA50" s="88"/>
      <c r="DB50" s="88"/>
      <c r="DE50" s="88"/>
      <c r="DF50" s="88"/>
      <c r="DG50" s="88"/>
      <c r="DH50" s="88"/>
      <c r="DI50" s="88"/>
      <c r="DJ50" s="88"/>
      <c r="DK50" s="88"/>
      <c r="DL50" s="88"/>
      <c r="DM50" s="88"/>
      <c r="DN50" s="88"/>
      <c r="DO50" s="88"/>
      <c r="DP50" s="88"/>
      <c r="DR50" s="88"/>
      <c r="DS50" s="88"/>
      <c r="DT50" s="88"/>
      <c r="DU50" s="88"/>
      <c r="DV50" s="88"/>
      <c r="DW50" s="88"/>
      <c r="DX50" s="88"/>
      <c r="DY50" s="88"/>
      <c r="DZ50" s="88"/>
      <c r="EA50" s="88"/>
      <c r="EB50" s="88"/>
      <c r="EC50" s="88"/>
    </row>
    <row r="51" spans="1:133" s="89" customFormat="1" ht="15.6" customHeight="1">
      <c r="A51" s="88" t="s">
        <v>76</v>
      </c>
      <c r="B51" s="88"/>
      <c r="C51" s="83">
        <v>0</v>
      </c>
      <c r="D51" s="83">
        <v>0</v>
      </c>
      <c r="E51" s="83">
        <v>0</v>
      </c>
      <c r="F51" s="83">
        <v>0</v>
      </c>
      <c r="G51" s="83">
        <v>0</v>
      </c>
      <c r="H51" s="83">
        <v>0</v>
      </c>
      <c r="I51" s="83">
        <v>0</v>
      </c>
      <c r="J51" s="83">
        <v>0</v>
      </c>
      <c r="K51" s="83">
        <v>0</v>
      </c>
      <c r="L51" s="83">
        <v>0</v>
      </c>
      <c r="M51" s="83">
        <v>0</v>
      </c>
      <c r="N51" s="83">
        <v>0</v>
      </c>
      <c r="O51" s="89">
        <v>0</v>
      </c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8"/>
      <c r="BQ51" s="88"/>
      <c r="BR51" s="88"/>
      <c r="BS51" s="88"/>
      <c r="BT51" s="88"/>
      <c r="BU51" s="88"/>
      <c r="BV51" s="88"/>
      <c r="BW51" s="88"/>
      <c r="BX51" s="88"/>
      <c r="BY51" s="88"/>
      <c r="BZ51" s="88"/>
      <c r="CA51" s="88"/>
      <c r="CB51" s="88"/>
      <c r="CD51" s="88"/>
      <c r="CE51" s="88"/>
      <c r="CF51" s="88"/>
      <c r="CG51" s="88"/>
      <c r="CH51" s="88"/>
      <c r="CI51" s="88"/>
      <c r="CJ51" s="88"/>
      <c r="CK51" s="88"/>
      <c r="CL51" s="88"/>
      <c r="CM51" s="88"/>
      <c r="CN51" s="88"/>
      <c r="CO51" s="88"/>
      <c r="CQ51" s="88"/>
      <c r="CR51" s="88"/>
      <c r="CS51" s="88"/>
      <c r="CT51" s="88"/>
      <c r="CU51" s="88"/>
      <c r="CV51" s="88"/>
      <c r="CW51" s="88"/>
      <c r="CX51" s="88"/>
      <c r="CY51" s="88"/>
      <c r="CZ51" s="88"/>
      <c r="DA51" s="88"/>
      <c r="DB51" s="88"/>
      <c r="DE51" s="88"/>
      <c r="DF51" s="88"/>
      <c r="DG51" s="88"/>
      <c r="DH51" s="88"/>
      <c r="DI51" s="88"/>
      <c r="DJ51" s="88"/>
      <c r="DK51" s="88"/>
      <c r="DL51" s="88"/>
      <c r="DM51" s="88"/>
      <c r="DN51" s="88"/>
      <c r="DO51" s="88"/>
      <c r="DP51" s="88"/>
      <c r="DR51" s="88"/>
      <c r="DS51" s="88"/>
      <c r="DT51" s="88"/>
      <c r="DU51" s="88"/>
      <c r="DV51" s="88"/>
      <c r="DW51" s="88"/>
      <c r="DX51" s="88"/>
      <c r="DY51" s="88"/>
      <c r="DZ51" s="88"/>
      <c r="EA51" s="88"/>
      <c r="EB51" s="88"/>
      <c r="EC51" s="88"/>
    </row>
    <row r="52" spans="1:133" s="89" customFormat="1" ht="15.6" customHeight="1">
      <c r="A52" s="88" t="s">
        <v>77</v>
      </c>
      <c r="B52" s="88"/>
      <c r="C52" s="83">
        <v>50000</v>
      </c>
      <c r="D52" s="83">
        <v>50000</v>
      </c>
      <c r="E52" s="83">
        <v>50000</v>
      </c>
      <c r="F52" s="83">
        <v>50000</v>
      </c>
      <c r="G52" s="83">
        <v>50000</v>
      </c>
      <c r="H52" s="83">
        <v>50000</v>
      </c>
      <c r="I52" s="83">
        <v>50000</v>
      </c>
      <c r="J52" s="83">
        <v>50000</v>
      </c>
      <c r="K52" s="83">
        <v>50000</v>
      </c>
      <c r="L52" s="83">
        <v>50000</v>
      </c>
      <c r="M52" s="83">
        <v>50000</v>
      </c>
      <c r="N52" s="83">
        <v>50000</v>
      </c>
      <c r="O52" s="89">
        <v>0</v>
      </c>
      <c r="Q52" s="88">
        <v>30000</v>
      </c>
      <c r="R52" s="88">
        <v>30000</v>
      </c>
      <c r="S52" s="88">
        <v>30000</v>
      </c>
      <c r="T52" s="88">
        <v>30000</v>
      </c>
      <c r="U52" s="88">
        <v>30000</v>
      </c>
      <c r="V52" s="88">
        <v>30000</v>
      </c>
      <c r="W52" s="88">
        <v>30000</v>
      </c>
      <c r="X52" s="88">
        <v>30000</v>
      </c>
      <c r="Y52" s="88">
        <v>30000</v>
      </c>
      <c r="Z52" s="88">
        <v>30000</v>
      </c>
      <c r="AA52" s="88">
        <v>30000</v>
      </c>
      <c r="AB52" s="88">
        <v>30000</v>
      </c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Q52" s="88">
        <v>20000</v>
      </c>
      <c r="BR52" s="88">
        <v>20000</v>
      </c>
      <c r="BS52" s="88">
        <v>20000</v>
      </c>
      <c r="BT52" s="88">
        <v>20000</v>
      </c>
      <c r="BU52" s="88">
        <v>20000</v>
      </c>
      <c r="BV52" s="88">
        <v>20000</v>
      </c>
      <c r="BW52" s="88">
        <v>20000</v>
      </c>
      <c r="BX52" s="88">
        <v>20000</v>
      </c>
      <c r="BY52" s="88">
        <v>20000</v>
      </c>
      <c r="BZ52" s="88">
        <v>20000</v>
      </c>
      <c r="CA52" s="88">
        <v>20000</v>
      </c>
      <c r="CB52" s="88">
        <v>20000</v>
      </c>
      <c r="CD52" s="88"/>
      <c r="CE52" s="88"/>
      <c r="CF52" s="88"/>
      <c r="CG52" s="88"/>
      <c r="CH52" s="88"/>
      <c r="CI52" s="88"/>
      <c r="CJ52" s="88"/>
      <c r="CK52" s="88"/>
      <c r="CL52" s="88"/>
      <c r="CM52" s="88"/>
      <c r="CN52" s="88"/>
      <c r="CO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88"/>
      <c r="DB52" s="88"/>
      <c r="DE52" s="88"/>
      <c r="DF52" s="88"/>
      <c r="DG52" s="88"/>
      <c r="DH52" s="88"/>
      <c r="DI52" s="88"/>
      <c r="DJ52" s="88"/>
      <c r="DK52" s="88"/>
      <c r="DL52" s="88"/>
      <c r="DM52" s="88"/>
      <c r="DN52" s="88"/>
      <c r="DO52" s="88"/>
      <c r="DP52" s="88"/>
      <c r="DR52" s="88"/>
      <c r="DS52" s="88"/>
      <c r="DT52" s="88"/>
      <c r="DU52" s="88"/>
      <c r="DV52" s="88"/>
      <c r="DW52" s="88"/>
      <c r="DX52" s="88"/>
      <c r="DY52" s="88"/>
      <c r="DZ52" s="88"/>
      <c r="EA52" s="88"/>
      <c r="EB52" s="88"/>
      <c r="EC52" s="88"/>
    </row>
    <row r="53" spans="1:133" s="89" customFormat="1" ht="15.6" customHeight="1">
      <c r="A53" s="88" t="s">
        <v>78</v>
      </c>
      <c r="B53" s="88"/>
      <c r="C53" s="83">
        <v>75000</v>
      </c>
      <c r="D53" s="83">
        <v>75000</v>
      </c>
      <c r="E53" s="83">
        <v>75000</v>
      </c>
      <c r="F53" s="83">
        <v>75000</v>
      </c>
      <c r="G53" s="83">
        <v>75000</v>
      </c>
      <c r="H53" s="83">
        <v>75000</v>
      </c>
      <c r="I53" s="83">
        <v>75000</v>
      </c>
      <c r="J53" s="83">
        <v>75000</v>
      </c>
      <c r="K53" s="83">
        <v>75000</v>
      </c>
      <c r="L53" s="83">
        <v>75000</v>
      </c>
      <c r="M53" s="83">
        <v>75000</v>
      </c>
      <c r="N53" s="83">
        <v>75000</v>
      </c>
      <c r="O53" s="89">
        <v>0</v>
      </c>
      <c r="Q53" s="88">
        <v>45000</v>
      </c>
      <c r="R53" s="88">
        <v>45000</v>
      </c>
      <c r="S53" s="88">
        <v>45000</v>
      </c>
      <c r="T53" s="88">
        <v>45000</v>
      </c>
      <c r="U53" s="88">
        <v>45000</v>
      </c>
      <c r="V53" s="88">
        <v>45000</v>
      </c>
      <c r="W53" s="88">
        <v>45000</v>
      </c>
      <c r="X53" s="88">
        <v>45000</v>
      </c>
      <c r="Y53" s="88">
        <v>45000</v>
      </c>
      <c r="Z53" s="88">
        <v>45000</v>
      </c>
      <c r="AA53" s="88">
        <v>45000</v>
      </c>
      <c r="AB53" s="88">
        <v>45000</v>
      </c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Q53" s="88">
        <v>30000</v>
      </c>
      <c r="BR53" s="88">
        <v>30000</v>
      </c>
      <c r="BS53" s="88">
        <v>30000</v>
      </c>
      <c r="BT53" s="88">
        <v>30000</v>
      </c>
      <c r="BU53" s="88">
        <v>30000</v>
      </c>
      <c r="BV53" s="88">
        <v>30000</v>
      </c>
      <c r="BW53" s="88">
        <v>30000</v>
      </c>
      <c r="BX53" s="88">
        <v>30000</v>
      </c>
      <c r="BY53" s="88">
        <v>30000</v>
      </c>
      <c r="BZ53" s="88">
        <v>30000</v>
      </c>
      <c r="CA53" s="88">
        <v>30000</v>
      </c>
      <c r="CB53" s="88">
        <v>30000</v>
      </c>
      <c r="CD53" s="88"/>
      <c r="CE53" s="88"/>
      <c r="CF53" s="88"/>
      <c r="CG53" s="88"/>
      <c r="CH53" s="88"/>
      <c r="CI53" s="88"/>
      <c r="CJ53" s="88"/>
      <c r="CK53" s="88"/>
      <c r="CL53" s="88"/>
      <c r="CM53" s="88"/>
      <c r="CN53" s="88"/>
      <c r="CO53" s="88"/>
      <c r="CQ53" s="88"/>
      <c r="CR53" s="88"/>
      <c r="CS53" s="88"/>
      <c r="CT53" s="88"/>
      <c r="CU53" s="88"/>
      <c r="CV53" s="88"/>
      <c r="CW53" s="88"/>
      <c r="CX53" s="88"/>
      <c r="CY53" s="88"/>
      <c r="CZ53" s="88"/>
      <c r="DA53" s="88"/>
      <c r="DB53" s="88"/>
      <c r="DE53" s="88"/>
      <c r="DF53" s="88"/>
      <c r="DG53" s="88"/>
      <c r="DH53" s="88"/>
      <c r="DI53" s="88"/>
      <c r="DJ53" s="88"/>
      <c r="DK53" s="88"/>
      <c r="DL53" s="88"/>
      <c r="DM53" s="88"/>
      <c r="DN53" s="88"/>
      <c r="DO53" s="88"/>
      <c r="DP53" s="88"/>
      <c r="DR53" s="88"/>
      <c r="DS53" s="88"/>
      <c r="DT53" s="88"/>
      <c r="DU53" s="88"/>
      <c r="DV53" s="88"/>
      <c r="DW53" s="88"/>
      <c r="DX53" s="88"/>
      <c r="DY53" s="88"/>
      <c r="DZ53" s="88"/>
      <c r="EA53" s="88"/>
      <c r="EB53" s="88"/>
      <c r="EC53" s="88"/>
    </row>
    <row r="54" spans="1:133" s="89" customFormat="1" ht="15.6" customHeight="1">
      <c r="A54" s="88" t="s">
        <v>79</v>
      </c>
      <c r="B54" s="88"/>
      <c r="C54" s="83">
        <v>145000</v>
      </c>
      <c r="D54" s="83">
        <v>145000</v>
      </c>
      <c r="E54" s="83">
        <v>185000</v>
      </c>
      <c r="F54" s="83">
        <v>150000</v>
      </c>
      <c r="G54" s="83">
        <v>160000</v>
      </c>
      <c r="H54" s="83">
        <v>140000</v>
      </c>
      <c r="I54" s="83">
        <v>145000</v>
      </c>
      <c r="J54" s="83">
        <v>170000</v>
      </c>
      <c r="K54" s="83">
        <v>170000</v>
      </c>
      <c r="L54" s="83">
        <v>150000</v>
      </c>
      <c r="M54" s="83">
        <v>140000</v>
      </c>
      <c r="N54" s="83">
        <v>185000</v>
      </c>
      <c r="O54" s="89">
        <v>0</v>
      </c>
      <c r="Q54" s="88">
        <v>80000</v>
      </c>
      <c r="R54" s="88">
        <v>75000</v>
      </c>
      <c r="S54" s="88">
        <v>110000</v>
      </c>
      <c r="T54" s="88">
        <v>75000</v>
      </c>
      <c r="U54" s="88">
        <v>90000</v>
      </c>
      <c r="V54" s="88">
        <v>75000</v>
      </c>
      <c r="W54" s="88">
        <v>85000</v>
      </c>
      <c r="X54" s="88">
        <v>100000</v>
      </c>
      <c r="Y54" s="88">
        <v>85000</v>
      </c>
      <c r="Z54" s="88">
        <v>80000</v>
      </c>
      <c r="AA54" s="88">
        <v>70000</v>
      </c>
      <c r="AB54" s="88">
        <v>105000</v>
      </c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Q54" s="88">
        <v>65000</v>
      </c>
      <c r="BR54" s="88">
        <v>70000</v>
      </c>
      <c r="BS54" s="88">
        <v>75000</v>
      </c>
      <c r="BT54" s="88">
        <v>75000</v>
      </c>
      <c r="BU54" s="88">
        <v>70000</v>
      </c>
      <c r="BV54" s="88">
        <v>65000</v>
      </c>
      <c r="BW54" s="88">
        <v>60000</v>
      </c>
      <c r="BX54" s="88">
        <v>70000</v>
      </c>
      <c r="BY54" s="88">
        <v>85000</v>
      </c>
      <c r="BZ54" s="88">
        <v>70000</v>
      </c>
      <c r="CA54" s="88">
        <v>70000</v>
      </c>
      <c r="CB54" s="88">
        <v>80000</v>
      </c>
      <c r="CD54" s="88"/>
      <c r="CE54" s="88"/>
      <c r="CF54" s="88"/>
      <c r="CG54" s="88"/>
      <c r="CH54" s="88"/>
      <c r="CI54" s="88"/>
      <c r="CJ54" s="88"/>
      <c r="CK54" s="88"/>
      <c r="CL54" s="88"/>
      <c r="CM54" s="88"/>
      <c r="CN54" s="88"/>
      <c r="CO54" s="88"/>
      <c r="CQ54" s="88"/>
      <c r="CR54" s="88"/>
      <c r="CS54" s="88"/>
      <c r="CT54" s="88"/>
      <c r="CU54" s="88"/>
      <c r="CV54" s="88"/>
      <c r="CW54" s="88"/>
      <c r="CX54" s="88"/>
      <c r="CY54" s="88"/>
      <c r="CZ54" s="88"/>
      <c r="DA54" s="88"/>
      <c r="DB54" s="88"/>
      <c r="DE54" s="88"/>
      <c r="DF54" s="88"/>
      <c r="DG54" s="88"/>
      <c r="DH54" s="88"/>
      <c r="DI54" s="88"/>
      <c r="DJ54" s="88"/>
      <c r="DK54" s="88"/>
      <c r="DL54" s="88"/>
      <c r="DM54" s="88"/>
      <c r="DN54" s="88"/>
      <c r="DO54" s="88"/>
      <c r="DP54" s="88"/>
      <c r="DR54" s="88"/>
      <c r="DS54" s="88"/>
      <c r="DT54" s="88"/>
      <c r="DU54" s="88"/>
      <c r="DV54" s="88"/>
      <c r="DW54" s="88"/>
      <c r="DX54" s="88"/>
      <c r="DY54" s="88"/>
      <c r="DZ54" s="88"/>
      <c r="EA54" s="88"/>
      <c r="EB54" s="88"/>
      <c r="EC54" s="88"/>
    </row>
    <row r="55" spans="1:133" s="89" customFormat="1" ht="15.6" customHeight="1">
      <c r="A55" s="88" t="s">
        <v>80</v>
      </c>
      <c r="B55" s="88"/>
      <c r="C55" s="83">
        <v>0</v>
      </c>
      <c r="D55" s="83">
        <v>0</v>
      </c>
      <c r="E55" s="83">
        <v>0</v>
      </c>
      <c r="F55" s="83">
        <v>0</v>
      </c>
      <c r="G55" s="83">
        <v>0</v>
      </c>
      <c r="H55" s="83">
        <v>0</v>
      </c>
      <c r="I55" s="83">
        <v>0</v>
      </c>
      <c r="J55" s="83">
        <v>0</v>
      </c>
      <c r="K55" s="83">
        <v>0</v>
      </c>
      <c r="L55" s="83">
        <v>0</v>
      </c>
      <c r="M55" s="83">
        <v>0</v>
      </c>
      <c r="N55" s="83">
        <v>0</v>
      </c>
      <c r="O55" s="89">
        <v>0</v>
      </c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  <c r="CA55" s="88"/>
      <c r="CB55" s="88"/>
      <c r="CD55" s="88"/>
      <c r="CE55" s="88"/>
      <c r="CF55" s="88"/>
      <c r="CG55" s="88"/>
      <c r="CH55" s="88"/>
      <c r="CI55" s="88"/>
      <c r="CJ55" s="88"/>
      <c r="CK55" s="88"/>
      <c r="CL55" s="88"/>
      <c r="CM55" s="88"/>
      <c r="CN55" s="88"/>
      <c r="CO55" s="88"/>
      <c r="CQ55" s="88"/>
      <c r="CR55" s="88"/>
      <c r="CS55" s="88"/>
      <c r="CT55" s="88"/>
      <c r="CU55" s="88"/>
      <c r="CV55" s="88"/>
      <c r="CW55" s="88"/>
      <c r="CX55" s="88"/>
      <c r="CY55" s="88"/>
      <c r="CZ55" s="88"/>
      <c r="DA55" s="88"/>
      <c r="DB55" s="88"/>
      <c r="DE55" s="88"/>
      <c r="DF55" s="88"/>
      <c r="DG55" s="88"/>
      <c r="DH55" s="88"/>
      <c r="DI55" s="88"/>
      <c r="DJ55" s="88"/>
      <c r="DK55" s="88"/>
      <c r="DL55" s="88"/>
      <c r="DM55" s="88"/>
      <c r="DN55" s="88"/>
      <c r="DO55" s="88"/>
      <c r="DP55" s="88"/>
      <c r="DR55" s="88"/>
      <c r="DS55" s="88"/>
      <c r="DT55" s="88"/>
      <c r="DU55" s="88"/>
      <c r="DV55" s="88"/>
      <c r="DW55" s="88"/>
      <c r="DX55" s="88"/>
      <c r="DY55" s="88"/>
      <c r="DZ55" s="88"/>
      <c r="EA55" s="88"/>
      <c r="EB55" s="88"/>
      <c r="EC55" s="88"/>
    </row>
    <row r="56" spans="1:133" s="89" customFormat="1" ht="15.6" customHeight="1">
      <c r="A56" s="88" t="s">
        <v>81</v>
      </c>
      <c r="B56" s="88"/>
      <c r="C56" s="83">
        <v>0</v>
      </c>
      <c r="D56" s="83">
        <v>0</v>
      </c>
      <c r="E56" s="83">
        <v>0</v>
      </c>
      <c r="F56" s="83">
        <v>0</v>
      </c>
      <c r="G56" s="83">
        <v>0</v>
      </c>
      <c r="H56" s="83">
        <v>0</v>
      </c>
      <c r="I56" s="83">
        <v>0</v>
      </c>
      <c r="J56" s="83">
        <v>0</v>
      </c>
      <c r="K56" s="83">
        <v>0</v>
      </c>
      <c r="L56" s="83">
        <v>0</v>
      </c>
      <c r="M56" s="83">
        <v>0</v>
      </c>
      <c r="N56" s="83">
        <v>0</v>
      </c>
      <c r="O56" s="89">
        <v>0</v>
      </c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Q56" s="88"/>
      <c r="BR56" s="88"/>
      <c r="BS56" s="88"/>
      <c r="BT56" s="88"/>
      <c r="BU56" s="88"/>
      <c r="BV56" s="88"/>
      <c r="BW56" s="88"/>
      <c r="BX56" s="88"/>
      <c r="BY56" s="88"/>
      <c r="BZ56" s="88"/>
      <c r="CA56" s="88"/>
      <c r="CB56" s="88"/>
      <c r="CD56" s="88"/>
      <c r="CE56" s="88"/>
      <c r="CF56" s="88"/>
      <c r="CG56" s="88"/>
      <c r="CH56" s="88"/>
      <c r="CI56" s="88"/>
      <c r="CJ56" s="88"/>
      <c r="CK56" s="88"/>
      <c r="CL56" s="88"/>
      <c r="CM56" s="88"/>
      <c r="CN56" s="88"/>
      <c r="CO56" s="88"/>
      <c r="CQ56" s="88"/>
      <c r="CR56" s="88"/>
      <c r="CS56" s="88"/>
      <c r="CT56" s="88"/>
      <c r="CU56" s="88"/>
      <c r="CV56" s="88"/>
      <c r="CW56" s="88"/>
      <c r="CX56" s="88"/>
      <c r="CY56" s="88"/>
      <c r="CZ56" s="88"/>
      <c r="DA56" s="88"/>
      <c r="DB56" s="88"/>
      <c r="DE56" s="88"/>
      <c r="DF56" s="88"/>
      <c r="DG56" s="88"/>
      <c r="DH56" s="88"/>
      <c r="DI56" s="88"/>
      <c r="DJ56" s="88"/>
      <c r="DK56" s="88"/>
      <c r="DL56" s="88"/>
      <c r="DM56" s="88"/>
      <c r="DN56" s="88"/>
      <c r="DO56" s="88"/>
      <c r="DP56" s="88"/>
      <c r="DR56" s="88"/>
      <c r="DS56" s="88"/>
      <c r="DT56" s="88"/>
      <c r="DU56" s="88"/>
      <c r="DV56" s="88"/>
      <c r="DW56" s="88"/>
      <c r="DX56" s="88"/>
      <c r="DY56" s="88"/>
      <c r="DZ56" s="88"/>
      <c r="EA56" s="88"/>
      <c r="EB56" s="88"/>
      <c r="EC56" s="88"/>
    </row>
    <row r="57" spans="1:133" s="89" customFormat="1" ht="15.6" customHeight="1">
      <c r="A57" s="88" t="s">
        <v>82</v>
      </c>
      <c r="B57" s="88"/>
      <c r="C57" s="83">
        <v>58000</v>
      </c>
      <c r="D57" s="83">
        <v>58000</v>
      </c>
      <c r="E57" s="83">
        <v>74000</v>
      </c>
      <c r="F57" s="83">
        <v>60000</v>
      </c>
      <c r="G57" s="83">
        <v>64000</v>
      </c>
      <c r="H57" s="83">
        <v>56000</v>
      </c>
      <c r="I57" s="83">
        <v>58000</v>
      </c>
      <c r="J57" s="83">
        <v>68000</v>
      </c>
      <c r="K57" s="83">
        <v>68000</v>
      </c>
      <c r="L57" s="83">
        <v>60000</v>
      </c>
      <c r="M57" s="83">
        <v>56000</v>
      </c>
      <c r="N57" s="83">
        <v>74000</v>
      </c>
      <c r="O57" s="89">
        <v>0</v>
      </c>
      <c r="Q57" s="88">
        <v>32000</v>
      </c>
      <c r="R57" s="88">
        <v>30000</v>
      </c>
      <c r="S57" s="88">
        <v>44000</v>
      </c>
      <c r="T57" s="88">
        <v>30000</v>
      </c>
      <c r="U57" s="88">
        <v>36000</v>
      </c>
      <c r="V57" s="88">
        <v>30000</v>
      </c>
      <c r="W57" s="88">
        <v>34000</v>
      </c>
      <c r="X57" s="88">
        <v>40000</v>
      </c>
      <c r="Y57" s="88">
        <v>34000</v>
      </c>
      <c r="Z57" s="88">
        <v>32000</v>
      </c>
      <c r="AA57" s="88">
        <v>28000</v>
      </c>
      <c r="AB57" s="88">
        <v>42000</v>
      </c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Q57" s="88">
        <v>26000</v>
      </c>
      <c r="BR57" s="88">
        <v>28000</v>
      </c>
      <c r="BS57" s="88">
        <v>30000</v>
      </c>
      <c r="BT57" s="88">
        <v>30000</v>
      </c>
      <c r="BU57" s="88">
        <v>28000</v>
      </c>
      <c r="BV57" s="88">
        <v>26000</v>
      </c>
      <c r="BW57" s="88">
        <v>24000</v>
      </c>
      <c r="BX57" s="88">
        <v>28000</v>
      </c>
      <c r="BY57" s="88">
        <v>34000</v>
      </c>
      <c r="BZ57" s="88">
        <v>28000</v>
      </c>
      <c r="CA57" s="88">
        <v>28000</v>
      </c>
      <c r="CB57" s="88">
        <v>32000</v>
      </c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Q57" s="88"/>
      <c r="CR57" s="88"/>
      <c r="CS57" s="88"/>
      <c r="CT57" s="88"/>
      <c r="CU57" s="88"/>
      <c r="CV57" s="88"/>
      <c r="CW57" s="88"/>
      <c r="CX57" s="88"/>
      <c r="CY57" s="88"/>
      <c r="CZ57" s="88"/>
      <c r="DA57" s="88"/>
      <c r="DB57" s="88"/>
      <c r="DE57" s="88"/>
      <c r="DF57" s="88"/>
      <c r="DG57" s="88"/>
      <c r="DH57" s="88"/>
      <c r="DI57" s="88"/>
      <c r="DJ57" s="88"/>
      <c r="DK57" s="88"/>
      <c r="DL57" s="88"/>
      <c r="DM57" s="88"/>
      <c r="DN57" s="88"/>
      <c r="DO57" s="88"/>
      <c r="DP57" s="88"/>
      <c r="DR57" s="88"/>
      <c r="DS57" s="88"/>
      <c r="DT57" s="88"/>
      <c r="DU57" s="88"/>
      <c r="DV57" s="88"/>
      <c r="DW57" s="88"/>
      <c r="DX57" s="88"/>
      <c r="DY57" s="88"/>
      <c r="DZ57" s="88"/>
      <c r="EA57" s="88"/>
      <c r="EB57" s="88"/>
      <c r="EC57" s="88"/>
    </row>
    <row r="58" spans="1:133" s="89" customFormat="1" ht="15.6" customHeight="1">
      <c r="A58" s="88" t="s">
        <v>83</v>
      </c>
      <c r="B58" s="88"/>
      <c r="C58" s="83">
        <v>37400</v>
      </c>
      <c r="D58" s="83">
        <v>37400</v>
      </c>
      <c r="E58" s="83">
        <v>42200</v>
      </c>
      <c r="F58" s="83">
        <v>38000</v>
      </c>
      <c r="G58" s="83">
        <v>39200</v>
      </c>
      <c r="H58" s="83">
        <v>36800</v>
      </c>
      <c r="I58" s="83">
        <v>37400</v>
      </c>
      <c r="J58" s="83">
        <v>40400</v>
      </c>
      <c r="K58" s="83">
        <v>40400</v>
      </c>
      <c r="L58" s="83">
        <v>38000</v>
      </c>
      <c r="M58" s="83">
        <v>36800</v>
      </c>
      <c r="N58" s="83">
        <v>42200</v>
      </c>
      <c r="O58" s="89">
        <v>0</v>
      </c>
      <c r="Q58" s="88">
        <v>9600</v>
      </c>
      <c r="R58" s="88">
        <v>9000</v>
      </c>
      <c r="S58" s="88">
        <v>13200</v>
      </c>
      <c r="T58" s="88">
        <v>9000</v>
      </c>
      <c r="U58" s="88">
        <v>10800</v>
      </c>
      <c r="V58" s="88">
        <v>9000</v>
      </c>
      <c r="W58" s="88">
        <v>10200</v>
      </c>
      <c r="X58" s="88">
        <v>12000</v>
      </c>
      <c r="Y58" s="88">
        <v>10200</v>
      </c>
      <c r="Z58" s="88">
        <v>9600</v>
      </c>
      <c r="AA58" s="88">
        <v>8400</v>
      </c>
      <c r="AB58" s="88">
        <v>12600</v>
      </c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Q58" s="88">
        <v>10000</v>
      </c>
      <c r="AR58" s="88">
        <v>10000</v>
      </c>
      <c r="AS58" s="88">
        <v>10000</v>
      </c>
      <c r="AT58" s="88">
        <v>10000</v>
      </c>
      <c r="AU58" s="88">
        <v>10000</v>
      </c>
      <c r="AV58" s="88">
        <v>10000</v>
      </c>
      <c r="AW58" s="88">
        <v>10000</v>
      </c>
      <c r="AX58" s="88">
        <v>10000</v>
      </c>
      <c r="AY58" s="88">
        <v>10000</v>
      </c>
      <c r="AZ58" s="88">
        <v>10000</v>
      </c>
      <c r="BA58" s="88">
        <v>10000</v>
      </c>
      <c r="BB58" s="88">
        <v>10000</v>
      </c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Q58" s="88">
        <v>7800</v>
      </c>
      <c r="BR58" s="88">
        <v>8400</v>
      </c>
      <c r="BS58" s="88">
        <v>9000</v>
      </c>
      <c r="BT58" s="88">
        <v>9000</v>
      </c>
      <c r="BU58" s="88">
        <v>8400</v>
      </c>
      <c r="BV58" s="88">
        <v>7800</v>
      </c>
      <c r="BW58" s="88">
        <v>7200</v>
      </c>
      <c r="BX58" s="88">
        <v>8400</v>
      </c>
      <c r="BY58" s="88">
        <v>10200</v>
      </c>
      <c r="BZ58" s="88">
        <v>8400</v>
      </c>
      <c r="CA58" s="88">
        <v>8400</v>
      </c>
      <c r="CB58" s="88">
        <v>9600</v>
      </c>
      <c r="CD58" s="88">
        <v>10000</v>
      </c>
      <c r="CE58" s="88">
        <v>10000</v>
      </c>
      <c r="CF58" s="88">
        <v>10000</v>
      </c>
      <c r="CG58" s="88">
        <v>10000</v>
      </c>
      <c r="CH58" s="88">
        <v>10000</v>
      </c>
      <c r="CI58" s="88">
        <v>10000</v>
      </c>
      <c r="CJ58" s="88">
        <v>10000</v>
      </c>
      <c r="CK58" s="88">
        <v>10000</v>
      </c>
      <c r="CL58" s="88">
        <v>10000</v>
      </c>
      <c r="CM58" s="88">
        <v>10000</v>
      </c>
      <c r="CN58" s="88">
        <v>10000</v>
      </c>
      <c r="CO58" s="88">
        <v>10000</v>
      </c>
      <c r="CQ58" s="88"/>
      <c r="CR58" s="88"/>
      <c r="CS58" s="88"/>
      <c r="CT58" s="88"/>
      <c r="CU58" s="88"/>
      <c r="CV58" s="88"/>
      <c r="CW58" s="88"/>
      <c r="CX58" s="88"/>
      <c r="CY58" s="88"/>
      <c r="CZ58" s="88"/>
      <c r="DA58" s="88"/>
      <c r="DB58" s="88"/>
      <c r="DE58" s="88"/>
      <c r="DF58" s="88"/>
      <c r="DG58" s="88"/>
      <c r="DH58" s="88"/>
      <c r="DI58" s="88"/>
      <c r="DJ58" s="88"/>
      <c r="DK58" s="88"/>
      <c r="DL58" s="88"/>
      <c r="DM58" s="88"/>
      <c r="DN58" s="88"/>
      <c r="DO58" s="88"/>
      <c r="DP58" s="88"/>
      <c r="DR58" s="88"/>
      <c r="DS58" s="88"/>
      <c r="DT58" s="88"/>
      <c r="DU58" s="88"/>
      <c r="DV58" s="88"/>
      <c r="DW58" s="88"/>
      <c r="DX58" s="88"/>
      <c r="DY58" s="88"/>
      <c r="DZ58" s="88"/>
      <c r="EA58" s="88"/>
      <c r="EB58" s="88"/>
      <c r="EC58" s="88"/>
    </row>
    <row r="59" spans="1:133" ht="15.6" customHeight="1">
      <c r="A59" s="83" t="s">
        <v>85</v>
      </c>
      <c r="B59" s="83"/>
      <c r="C59" s="83">
        <v>43616.236981250004</v>
      </c>
      <c r="D59" s="83">
        <v>43539.744267500006</v>
      </c>
      <c r="E59" s="83">
        <v>51310.266126250004</v>
      </c>
      <c r="F59" s="83">
        <v>41968.59952992</v>
      </c>
      <c r="G59" s="83">
        <v>45826.274554400006</v>
      </c>
      <c r="H59" s="83">
        <v>42634.047406000005</v>
      </c>
      <c r="I59" s="83">
        <v>43753.032257600004</v>
      </c>
      <c r="J59" s="83">
        <v>50057.82981565001</v>
      </c>
      <c r="K59" s="83">
        <v>51014.333731749997</v>
      </c>
      <c r="L59" s="83">
        <v>44128.936206000006</v>
      </c>
      <c r="M59" s="83">
        <v>39303.148964799999</v>
      </c>
      <c r="N59" s="83">
        <v>51936.303989200002</v>
      </c>
      <c r="O59" s="77">
        <v>-24130.490999999922</v>
      </c>
      <c r="Q59" s="83">
        <v>16000</v>
      </c>
      <c r="R59" s="83">
        <v>15000</v>
      </c>
      <c r="S59" s="83">
        <v>22000</v>
      </c>
      <c r="T59" s="83">
        <v>15000</v>
      </c>
      <c r="U59" s="83">
        <v>18000</v>
      </c>
      <c r="V59" s="83">
        <v>15000</v>
      </c>
      <c r="W59" s="83">
        <v>17000</v>
      </c>
      <c r="X59" s="83">
        <v>20000</v>
      </c>
      <c r="Y59" s="83">
        <v>17000</v>
      </c>
      <c r="Z59" s="83">
        <v>16000</v>
      </c>
      <c r="AA59" s="83">
        <v>14000</v>
      </c>
      <c r="AB59" s="83">
        <v>21000</v>
      </c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D59" s="83">
        <v>11034.539381250002</v>
      </c>
      <c r="BE59" s="83">
        <v>10719.266827500001</v>
      </c>
      <c r="BF59" s="83">
        <v>9773.4491662500022</v>
      </c>
      <c r="BG59" s="83">
        <v>9443.0435299199999</v>
      </c>
      <c r="BH59" s="83">
        <v>10290.496154400002</v>
      </c>
      <c r="BI59" s="83">
        <v>10593.157805999999</v>
      </c>
      <c r="BJ59" s="83">
        <v>10895.819457600002</v>
      </c>
      <c r="BK59" s="83">
        <v>11236.313815650003</v>
      </c>
      <c r="BL59" s="83">
        <v>11917.302531750001</v>
      </c>
      <c r="BM59" s="83">
        <v>10593.157805999999</v>
      </c>
      <c r="BN59" s="83">
        <v>8474.526244800003</v>
      </c>
      <c r="BO59" s="83">
        <v>11198.4811092</v>
      </c>
      <c r="BQ59" s="83">
        <v>13000</v>
      </c>
      <c r="BR59" s="83">
        <v>14000</v>
      </c>
      <c r="BS59" s="83">
        <v>15000</v>
      </c>
      <c r="BT59" s="83">
        <v>15000</v>
      </c>
      <c r="BU59" s="83">
        <v>14000</v>
      </c>
      <c r="BV59" s="83">
        <v>13000</v>
      </c>
      <c r="BW59" s="83">
        <v>12000</v>
      </c>
      <c r="BX59" s="83">
        <v>14000</v>
      </c>
      <c r="BY59" s="83">
        <v>17000</v>
      </c>
      <c r="BZ59" s="83">
        <v>14000</v>
      </c>
      <c r="CA59" s="83">
        <v>14000</v>
      </c>
      <c r="CB59" s="83">
        <v>16000</v>
      </c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Q59" s="83">
        <v>3581.6976000000004</v>
      </c>
      <c r="CR59" s="83">
        <v>3820.4774400000006</v>
      </c>
      <c r="CS59" s="83">
        <v>4536.816960000001</v>
      </c>
      <c r="CT59" s="83">
        <v>2525.5560000000005</v>
      </c>
      <c r="CU59" s="83">
        <v>3535.7784000000006</v>
      </c>
      <c r="CV59" s="83">
        <v>4040.8896000000004</v>
      </c>
      <c r="CW59" s="83">
        <v>3857.2128000000002</v>
      </c>
      <c r="CX59" s="83">
        <v>4821.5159999999996</v>
      </c>
      <c r="CY59" s="83">
        <v>5097.0311999999994</v>
      </c>
      <c r="CZ59" s="83">
        <v>3535.7784000000006</v>
      </c>
      <c r="DA59" s="83">
        <v>2828.6227200000003</v>
      </c>
      <c r="DB59" s="83">
        <v>3737.8228800000002</v>
      </c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R59" s="83">
        <v>1746.3600000000001</v>
      </c>
      <c r="DS59" s="83">
        <v>1629.9360000000006</v>
      </c>
      <c r="DT59" s="83">
        <v>1819.1250000000005</v>
      </c>
      <c r="DU59" s="83">
        <v>1629.9360000000006</v>
      </c>
      <c r="DV59" s="83">
        <v>1940.4</v>
      </c>
      <c r="DW59" s="83">
        <v>1940.4</v>
      </c>
      <c r="DX59" s="83">
        <v>2182.9500000000007</v>
      </c>
      <c r="DY59" s="83">
        <v>2102.1000000000004</v>
      </c>
      <c r="DZ59" s="83">
        <v>2008.3140000000005</v>
      </c>
      <c r="EA59" s="83">
        <v>2263.8000000000002</v>
      </c>
      <c r="EB59" s="83">
        <v>2344.65</v>
      </c>
      <c r="EC59" s="83">
        <v>2522.5200000000004</v>
      </c>
    </row>
    <row r="60" spans="1:133" ht="15.6" customHeight="1">
      <c r="A60" s="83" t="s">
        <v>86</v>
      </c>
      <c r="B60" s="83"/>
      <c r="C60" s="83">
        <v>383788.81134000007</v>
      </c>
      <c r="D60" s="83">
        <v>381190.98835999996</v>
      </c>
      <c r="E60" s="83">
        <v>448644.3983</v>
      </c>
      <c r="F60" s="83">
        <v>368620.10305999999</v>
      </c>
      <c r="G60" s="83">
        <v>401882.06038000004</v>
      </c>
      <c r="H60" s="83">
        <v>375502.35871999996</v>
      </c>
      <c r="I60" s="83">
        <v>387910.20059999998</v>
      </c>
      <c r="J60" s="83">
        <v>434404.00104000006</v>
      </c>
      <c r="K60" s="83">
        <v>439323.78636000003</v>
      </c>
      <c r="L60" s="83">
        <v>384240.95110000001</v>
      </c>
      <c r="M60" s="83">
        <v>353038.53607999999</v>
      </c>
      <c r="N60" s="83">
        <v>455169.69482000003</v>
      </c>
      <c r="O60" s="77">
        <v>0</v>
      </c>
      <c r="Q60" s="83">
        <v>133200</v>
      </c>
      <c r="R60" s="83">
        <v>124875</v>
      </c>
      <c r="S60" s="83">
        <v>183150</v>
      </c>
      <c r="T60" s="83">
        <v>124875</v>
      </c>
      <c r="U60" s="83">
        <v>149850</v>
      </c>
      <c r="V60" s="83">
        <v>124875</v>
      </c>
      <c r="W60" s="83">
        <v>141525</v>
      </c>
      <c r="X60" s="83">
        <v>166500</v>
      </c>
      <c r="Y60" s="83">
        <v>141525</v>
      </c>
      <c r="Z60" s="83">
        <v>133200</v>
      </c>
      <c r="AA60" s="83">
        <v>116550</v>
      </c>
      <c r="AB60" s="83">
        <v>174825</v>
      </c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Q60" s="83">
        <v>52253.223000000005</v>
      </c>
      <c r="AR60" s="83">
        <v>51116.221200000022</v>
      </c>
      <c r="AS60" s="83">
        <v>47705.215799999998</v>
      </c>
      <c r="AT60" s="83">
        <v>44153.79408</v>
      </c>
      <c r="AU60" s="83">
        <v>48933.957600000002</v>
      </c>
      <c r="AV60" s="83">
        <v>50791.752</v>
      </c>
      <c r="AW60" s="83">
        <v>51930.806400000009</v>
      </c>
      <c r="AX60" s="83">
        <v>54434.100600000027</v>
      </c>
      <c r="AY60" s="83">
        <v>57715.713000000011</v>
      </c>
      <c r="AZ60" s="83">
        <v>50264.676000000007</v>
      </c>
      <c r="BA60" s="83">
        <v>40211.7408</v>
      </c>
      <c r="BB60" s="83">
        <v>53136.943199999994</v>
      </c>
      <c r="BD60" s="83">
        <v>31845.712500000001</v>
      </c>
      <c r="BE60" s="83">
        <v>30935.834999999999</v>
      </c>
      <c r="BF60" s="83">
        <v>28206.202499999999</v>
      </c>
      <c r="BG60" s="83">
        <v>27252.650880000001</v>
      </c>
      <c r="BH60" s="83">
        <v>29698.401600000001</v>
      </c>
      <c r="BI60" s="83">
        <v>30571.883999999995</v>
      </c>
      <c r="BJ60" s="83">
        <v>31445.366400000003</v>
      </c>
      <c r="BK60" s="83">
        <v>32428.034100000001</v>
      </c>
      <c r="BL60" s="83">
        <v>34393.369500000001</v>
      </c>
      <c r="BM60" s="83">
        <v>30571.883999999995</v>
      </c>
      <c r="BN60" s="83">
        <v>24457.507200000004</v>
      </c>
      <c r="BO60" s="83">
        <v>32318.8488</v>
      </c>
      <c r="BQ60" s="83">
        <v>108225</v>
      </c>
      <c r="BR60" s="83">
        <v>116550</v>
      </c>
      <c r="BS60" s="83">
        <v>124875</v>
      </c>
      <c r="BT60" s="83">
        <v>124875</v>
      </c>
      <c r="BU60" s="83">
        <v>116550</v>
      </c>
      <c r="BV60" s="83">
        <v>108225</v>
      </c>
      <c r="BW60" s="83">
        <v>99900</v>
      </c>
      <c r="BX60" s="83">
        <v>116550</v>
      </c>
      <c r="BY60" s="83">
        <v>141525</v>
      </c>
      <c r="BZ60" s="83">
        <v>116550</v>
      </c>
      <c r="CA60" s="83">
        <v>116550</v>
      </c>
      <c r="CB60" s="83">
        <v>133200</v>
      </c>
      <c r="CD60" s="83">
        <v>40655.88384000001</v>
      </c>
      <c r="CE60" s="83">
        <v>39687.007360000003</v>
      </c>
      <c r="CF60" s="83">
        <v>43679.006799999996</v>
      </c>
      <c r="CG60" s="83">
        <v>33753.138100000004</v>
      </c>
      <c r="CH60" s="83">
        <v>38763.773180000004</v>
      </c>
      <c r="CI60" s="83">
        <v>41269.09072</v>
      </c>
      <c r="CJ60" s="83">
        <v>43164.1518</v>
      </c>
      <c r="CK60" s="83">
        <v>41595.146340000014</v>
      </c>
      <c r="CL60" s="83">
        <v>40654.099860000009</v>
      </c>
      <c r="CM60" s="83">
        <v>34518.463100000001</v>
      </c>
      <c r="CN60" s="83">
        <v>38228.045680000003</v>
      </c>
      <c r="CO60" s="83">
        <v>41039.493219999997</v>
      </c>
      <c r="CQ60" s="83">
        <v>11938.992000000002</v>
      </c>
      <c r="CR60" s="83">
        <v>12734.924800000003</v>
      </c>
      <c r="CS60" s="83">
        <v>15122.723200000004</v>
      </c>
      <c r="CT60" s="83">
        <v>8418.52</v>
      </c>
      <c r="CU60" s="83">
        <v>11785.928</v>
      </c>
      <c r="CV60" s="83">
        <v>13469.632000000001</v>
      </c>
      <c r="CW60" s="83">
        <v>12857.376000000002</v>
      </c>
      <c r="CX60" s="83">
        <v>16071.719999999998</v>
      </c>
      <c r="CY60" s="83">
        <v>16990.103999999999</v>
      </c>
      <c r="CZ60" s="83">
        <v>11785.928</v>
      </c>
      <c r="DA60" s="83">
        <v>9428.742400000001</v>
      </c>
      <c r="DB60" s="83">
        <v>12459.409599999999</v>
      </c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R60" s="83">
        <v>5670</v>
      </c>
      <c r="DS60" s="83">
        <v>5292.0000000000009</v>
      </c>
      <c r="DT60" s="83">
        <v>5906.2500000000009</v>
      </c>
      <c r="DU60" s="83">
        <v>5292.0000000000009</v>
      </c>
      <c r="DV60" s="83">
        <v>6300</v>
      </c>
      <c r="DW60" s="83">
        <v>6300</v>
      </c>
      <c r="DX60" s="83">
        <v>7087.5000000000009</v>
      </c>
      <c r="DY60" s="83">
        <v>6825.0000000000009</v>
      </c>
      <c r="DZ60" s="83">
        <v>6520.5000000000009</v>
      </c>
      <c r="EA60" s="83">
        <v>7350</v>
      </c>
      <c r="EB60" s="83">
        <v>7612.5</v>
      </c>
      <c r="EC60" s="83">
        <v>8190.0000000000009</v>
      </c>
    </row>
    <row r="61" spans="1:133" ht="15.6" customHeight="1">
      <c r="A61" s="83" t="s">
        <v>87</v>
      </c>
      <c r="B61" s="83"/>
      <c r="C61" s="83">
        <v>96570</v>
      </c>
      <c r="D61" s="83">
        <v>96570</v>
      </c>
      <c r="E61" s="83">
        <v>123210</v>
      </c>
      <c r="F61" s="83">
        <v>99900</v>
      </c>
      <c r="G61" s="83">
        <v>106560</v>
      </c>
      <c r="H61" s="83">
        <v>93240</v>
      </c>
      <c r="I61" s="83">
        <v>96570</v>
      </c>
      <c r="J61" s="83">
        <v>113220</v>
      </c>
      <c r="K61" s="83">
        <v>113220</v>
      </c>
      <c r="L61" s="83">
        <v>99900</v>
      </c>
      <c r="M61" s="83">
        <v>93240</v>
      </c>
      <c r="N61" s="83">
        <v>123210</v>
      </c>
      <c r="O61" s="77">
        <v>0</v>
      </c>
      <c r="P61" s="77">
        <v>772560</v>
      </c>
      <c r="Q61" s="83">
        <v>53280</v>
      </c>
      <c r="R61" s="83">
        <v>49950</v>
      </c>
      <c r="S61" s="83">
        <v>73260</v>
      </c>
      <c r="T61" s="83">
        <v>49950</v>
      </c>
      <c r="U61" s="83">
        <v>59940</v>
      </c>
      <c r="V61" s="83">
        <v>49950</v>
      </c>
      <c r="W61" s="83">
        <v>56610</v>
      </c>
      <c r="X61" s="83">
        <v>66600</v>
      </c>
      <c r="Y61" s="83">
        <v>56610</v>
      </c>
      <c r="Z61" s="83">
        <v>53280</v>
      </c>
      <c r="AA61" s="83">
        <v>46620</v>
      </c>
      <c r="AB61" s="83">
        <v>69930</v>
      </c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Q61" s="83">
        <v>43290</v>
      </c>
      <c r="BR61" s="83">
        <v>46620</v>
      </c>
      <c r="BS61" s="83">
        <v>49950</v>
      </c>
      <c r="BT61" s="83">
        <v>49950</v>
      </c>
      <c r="BU61" s="83">
        <v>46620</v>
      </c>
      <c r="BV61" s="83">
        <v>43290</v>
      </c>
      <c r="BW61" s="83">
        <v>39960</v>
      </c>
      <c r="BX61" s="83">
        <v>46620</v>
      </c>
      <c r="BY61" s="83">
        <v>56610</v>
      </c>
      <c r="BZ61" s="83">
        <v>46620</v>
      </c>
      <c r="CA61" s="83">
        <v>46620</v>
      </c>
      <c r="CB61" s="83">
        <v>53280</v>
      </c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</row>
    <row r="62" spans="1:133" ht="15.6" customHeight="1">
      <c r="A62" s="83" t="s">
        <v>88</v>
      </c>
      <c r="B62" s="83"/>
      <c r="C62" s="83">
        <v>337995</v>
      </c>
      <c r="D62" s="83">
        <v>337995</v>
      </c>
      <c r="E62" s="83">
        <v>431235</v>
      </c>
      <c r="F62" s="83">
        <v>349650</v>
      </c>
      <c r="G62" s="83">
        <v>372960</v>
      </c>
      <c r="H62" s="83">
        <v>326340</v>
      </c>
      <c r="I62" s="83">
        <v>337995</v>
      </c>
      <c r="J62" s="83">
        <v>396270</v>
      </c>
      <c r="K62" s="83">
        <v>396270</v>
      </c>
      <c r="L62" s="83">
        <v>349650</v>
      </c>
      <c r="M62" s="83">
        <v>326340</v>
      </c>
      <c r="N62" s="83">
        <v>431235</v>
      </c>
      <c r="O62" s="77">
        <v>0</v>
      </c>
      <c r="P62" s="77">
        <v>48285</v>
      </c>
      <c r="Q62" s="83">
        <v>186480</v>
      </c>
      <c r="R62" s="83">
        <v>174825</v>
      </c>
      <c r="S62" s="83">
        <v>256409.99999999997</v>
      </c>
      <c r="T62" s="83">
        <v>174825</v>
      </c>
      <c r="U62" s="83">
        <v>209790</v>
      </c>
      <c r="V62" s="83">
        <v>174825</v>
      </c>
      <c r="W62" s="83">
        <v>198135</v>
      </c>
      <c r="X62" s="83">
        <v>233099.99999999997</v>
      </c>
      <c r="Y62" s="83">
        <v>198135</v>
      </c>
      <c r="Z62" s="83">
        <v>186480</v>
      </c>
      <c r="AA62" s="83">
        <v>163170</v>
      </c>
      <c r="AB62" s="83">
        <v>244754.99999999997</v>
      </c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Q62" s="83">
        <v>151515</v>
      </c>
      <c r="BR62" s="83">
        <v>163170</v>
      </c>
      <c r="BS62" s="83">
        <v>174825</v>
      </c>
      <c r="BT62" s="83">
        <v>174825</v>
      </c>
      <c r="BU62" s="83">
        <v>163170</v>
      </c>
      <c r="BV62" s="83">
        <v>151515</v>
      </c>
      <c r="BW62" s="83">
        <v>139860</v>
      </c>
      <c r="BX62" s="83">
        <v>163170</v>
      </c>
      <c r="BY62" s="83">
        <v>198135</v>
      </c>
      <c r="BZ62" s="83">
        <v>163170</v>
      </c>
      <c r="CA62" s="83">
        <v>163170</v>
      </c>
      <c r="CB62" s="83">
        <v>186480</v>
      </c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</row>
    <row r="63" spans="1:133" ht="15.6" customHeight="1">
      <c r="A63" s="83" t="s">
        <v>89</v>
      </c>
      <c r="B63" s="83"/>
      <c r="C63" s="83">
        <v>0</v>
      </c>
      <c r="D63" s="83">
        <v>0</v>
      </c>
      <c r="E63" s="83">
        <v>0</v>
      </c>
      <c r="F63" s="83">
        <v>0</v>
      </c>
      <c r="G63" s="83">
        <v>0</v>
      </c>
      <c r="H63" s="83">
        <v>0</v>
      </c>
      <c r="I63" s="83">
        <v>0</v>
      </c>
      <c r="J63" s="83">
        <v>0</v>
      </c>
      <c r="K63" s="83">
        <v>0</v>
      </c>
      <c r="L63" s="83">
        <v>0</v>
      </c>
      <c r="M63" s="83">
        <v>0</v>
      </c>
      <c r="N63" s="83">
        <v>0</v>
      </c>
      <c r="O63" s="77">
        <v>0</v>
      </c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</row>
    <row r="64" spans="1:133" ht="15.6" customHeight="1">
      <c r="A64" s="83" t="s">
        <v>90</v>
      </c>
      <c r="B64" s="83"/>
      <c r="C64" s="83">
        <v>289710</v>
      </c>
      <c r="D64" s="83">
        <v>289710</v>
      </c>
      <c r="E64" s="83">
        <v>369630</v>
      </c>
      <c r="F64" s="83">
        <v>299700</v>
      </c>
      <c r="G64" s="83">
        <v>319680</v>
      </c>
      <c r="H64" s="83">
        <v>279720</v>
      </c>
      <c r="I64" s="83">
        <v>289710</v>
      </c>
      <c r="J64" s="83">
        <v>339660</v>
      </c>
      <c r="K64" s="83">
        <v>339660</v>
      </c>
      <c r="L64" s="83">
        <v>299700</v>
      </c>
      <c r="M64" s="83">
        <v>279720</v>
      </c>
      <c r="N64" s="83">
        <v>369630</v>
      </c>
      <c r="O64" s="77">
        <v>0</v>
      </c>
      <c r="Q64" s="83">
        <v>159840</v>
      </c>
      <c r="R64" s="83">
        <v>149850</v>
      </c>
      <c r="S64" s="83">
        <v>219780</v>
      </c>
      <c r="T64" s="83">
        <v>149850</v>
      </c>
      <c r="U64" s="83">
        <v>179820</v>
      </c>
      <c r="V64" s="83">
        <v>149850</v>
      </c>
      <c r="W64" s="83">
        <v>169830</v>
      </c>
      <c r="X64" s="83">
        <v>199800</v>
      </c>
      <c r="Y64" s="83">
        <v>169830</v>
      </c>
      <c r="Z64" s="83">
        <v>159840</v>
      </c>
      <c r="AA64" s="83">
        <v>139860</v>
      </c>
      <c r="AB64" s="83">
        <v>209790</v>
      </c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D64" s="90"/>
      <c r="BE64" s="90"/>
      <c r="BF64" s="90"/>
      <c r="BG64" s="90"/>
      <c r="BH64" s="90"/>
      <c r="BI64" s="90"/>
      <c r="BJ64" s="90"/>
      <c r="BK64" s="90"/>
      <c r="BL64" s="90"/>
      <c r="BM64" s="90"/>
      <c r="BN64" s="90"/>
      <c r="BO64" s="90"/>
      <c r="BQ64" s="83">
        <v>129870</v>
      </c>
      <c r="BR64" s="83">
        <v>139860</v>
      </c>
      <c r="BS64" s="83">
        <v>149850</v>
      </c>
      <c r="BT64" s="83">
        <v>149850</v>
      </c>
      <c r="BU64" s="83">
        <v>139860</v>
      </c>
      <c r="BV64" s="83">
        <v>129870</v>
      </c>
      <c r="BW64" s="83">
        <v>119880</v>
      </c>
      <c r="BX64" s="83">
        <v>139860</v>
      </c>
      <c r="BY64" s="83">
        <v>169830</v>
      </c>
      <c r="BZ64" s="83">
        <v>139860</v>
      </c>
      <c r="CA64" s="83">
        <v>139860</v>
      </c>
      <c r="CB64" s="83">
        <v>159840</v>
      </c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</row>
    <row r="65" spans="1:133" ht="15.6" customHeight="1">
      <c r="A65" s="83" t="s">
        <v>91</v>
      </c>
      <c r="B65" s="83"/>
      <c r="C65" s="83">
        <v>0</v>
      </c>
      <c r="D65" s="83">
        <v>0</v>
      </c>
      <c r="E65" s="83">
        <v>0</v>
      </c>
      <c r="F65" s="83">
        <v>0</v>
      </c>
      <c r="G65" s="83">
        <v>155270</v>
      </c>
      <c r="H65" s="83">
        <v>106119.00000000001</v>
      </c>
      <c r="I65" s="83">
        <v>105729</v>
      </c>
      <c r="J65" s="83">
        <v>109530</v>
      </c>
      <c r="K65" s="83">
        <v>125340</v>
      </c>
      <c r="L65" s="83">
        <v>90005</v>
      </c>
      <c r="M65" s="83">
        <v>100000</v>
      </c>
      <c r="N65" s="83">
        <v>76082</v>
      </c>
      <c r="O65" s="77">
        <v>0</v>
      </c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D65" s="83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22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Q65" s="83"/>
      <c r="CR65" s="83"/>
      <c r="CS65" s="83"/>
      <c r="CT65" s="83"/>
      <c r="CU65" s="92">
        <v>155270</v>
      </c>
      <c r="CV65" s="92">
        <v>106119.00000000001</v>
      </c>
      <c r="CW65" s="92">
        <v>105729</v>
      </c>
      <c r="CX65" s="92">
        <v>109530</v>
      </c>
      <c r="CY65" s="92">
        <v>125340</v>
      </c>
      <c r="CZ65" s="92">
        <v>90005</v>
      </c>
      <c r="DA65" s="92">
        <v>100000</v>
      </c>
      <c r="DB65" s="92">
        <v>76082</v>
      </c>
      <c r="DC65" s="92">
        <v>0</v>
      </c>
      <c r="DD65" s="22">
        <v>0</v>
      </c>
      <c r="DE65" s="22">
        <v>0</v>
      </c>
      <c r="DF65" s="22">
        <v>0</v>
      </c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</row>
    <row r="66" spans="1:133" ht="15.6" customHeight="1">
      <c r="A66" s="83" t="s">
        <v>92</v>
      </c>
      <c r="B66" s="83"/>
      <c r="C66" s="83">
        <v>10441.353965520002</v>
      </c>
      <c r="D66" s="83">
        <v>10250.958127520003</v>
      </c>
      <c r="E66" s="83">
        <v>10361.621933360002</v>
      </c>
      <c r="F66" s="83">
        <v>8808.177300704001</v>
      </c>
      <c r="G66" s="83">
        <v>10046.79200272</v>
      </c>
      <c r="H66" s="83">
        <v>10524.678296959999</v>
      </c>
      <c r="I66" s="83">
        <v>10891.292992320001</v>
      </c>
      <c r="J66" s="83">
        <v>11175.072814800005</v>
      </c>
      <c r="K66" s="83">
        <v>11479.328312880001</v>
      </c>
      <c r="L66" s="83">
        <v>10055.147322400002</v>
      </c>
      <c r="M66" s="83">
        <v>9098.9311635200011</v>
      </c>
      <c r="N66" s="83">
        <v>11030.558586080002</v>
      </c>
      <c r="O66" s="77">
        <v>-4826.098199999964</v>
      </c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Q66" s="83">
        <v>3876.2390880000016</v>
      </c>
      <c r="AR66" s="83">
        <v>3825.3521174400021</v>
      </c>
      <c r="AS66" s="83">
        <v>3570.0848769600002</v>
      </c>
      <c r="AT66" s="83">
        <v>3304.3093896959999</v>
      </c>
      <c r="AU66" s="83">
        <v>3662.0394451200004</v>
      </c>
      <c r="AV66" s="83">
        <v>3801.0700224000002</v>
      </c>
      <c r="AW66" s="83">
        <v>3886.3127116800006</v>
      </c>
      <c r="AX66" s="83">
        <v>4073.6501467200019</v>
      </c>
      <c r="AY66" s="83">
        <v>4319.234085600001</v>
      </c>
      <c r="AZ66" s="83">
        <v>3761.6255712000006</v>
      </c>
      <c r="BA66" s="83">
        <v>3009.3004569600007</v>
      </c>
      <c r="BB66" s="83">
        <v>3976.5756038400004</v>
      </c>
      <c r="BD66" s="83">
        <v>1961.6958900000002</v>
      </c>
      <c r="BE66" s="83">
        <v>1905.6474360000002</v>
      </c>
      <c r="BF66" s="83">
        <v>1737.5020740000004</v>
      </c>
      <c r="BG66" s="83">
        <v>1678.7632942079999</v>
      </c>
      <c r="BH66" s="83">
        <v>1829.42153856</v>
      </c>
      <c r="BI66" s="83">
        <v>1883.2280543999998</v>
      </c>
      <c r="BJ66" s="83">
        <v>1937.0345702400002</v>
      </c>
      <c r="BK66" s="83">
        <v>1997.5669005600002</v>
      </c>
      <c r="BL66" s="83">
        <v>2118.6315611999999</v>
      </c>
      <c r="BM66" s="83">
        <v>1883.2280543999998</v>
      </c>
      <c r="BN66" s="83">
        <v>1506.5824435200002</v>
      </c>
      <c r="BO66" s="83">
        <v>1990.84108608</v>
      </c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D66" s="83">
        <v>2986.3594675200011</v>
      </c>
      <c r="CE66" s="83">
        <v>2915.1910860800008</v>
      </c>
      <c r="CF66" s="83">
        <v>3208.4215903999998</v>
      </c>
      <c r="CG66" s="83">
        <v>2479.3214168000004</v>
      </c>
      <c r="CH66" s="83">
        <v>2847.3753390400002</v>
      </c>
      <c r="CI66" s="83">
        <v>3031.4023001599999</v>
      </c>
      <c r="CJ66" s="83">
        <v>3170.6031504000002</v>
      </c>
      <c r="CK66" s="83">
        <v>3055.3525675200012</v>
      </c>
      <c r="CL66" s="83">
        <v>2986.2284260800006</v>
      </c>
      <c r="CM66" s="83">
        <v>2535.5380168000006</v>
      </c>
      <c r="CN66" s="83">
        <v>2808.0237190400003</v>
      </c>
      <c r="CO66" s="83">
        <v>3014.5373201599996</v>
      </c>
      <c r="CQ66" s="83">
        <v>716.33952000000011</v>
      </c>
      <c r="CR66" s="83">
        <v>764.09548800000016</v>
      </c>
      <c r="CS66" s="83">
        <v>907.3633920000002</v>
      </c>
      <c r="CT66" s="83">
        <v>505.11120000000011</v>
      </c>
      <c r="CU66" s="83">
        <v>707.15568000000019</v>
      </c>
      <c r="CV66" s="83">
        <v>808.17792000000009</v>
      </c>
      <c r="CW66" s="83">
        <v>771.44256000000007</v>
      </c>
      <c r="CX66" s="83">
        <v>964.30319999999995</v>
      </c>
      <c r="CY66" s="83">
        <v>1019.4062399999999</v>
      </c>
      <c r="CZ66" s="83">
        <v>707.15568000000019</v>
      </c>
      <c r="DA66" s="83">
        <v>565.72454400000004</v>
      </c>
      <c r="DB66" s="83">
        <v>747.5645760000001</v>
      </c>
      <c r="DE66" s="83">
        <v>900.72000000000014</v>
      </c>
      <c r="DF66" s="83">
        <v>840.67200000000003</v>
      </c>
      <c r="DG66" s="83">
        <v>938.25</v>
      </c>
      <c r="DH66" s="83">
        <v>840.67200000000003</v>
      </c>
      <c r="DI66" s="83">
        <v>1000.8000000000001</v>
      </c>
      <c r="DJ66" s="83">
        <v>1000.8000000000001</v>
      </c>
      <c r="DK66" s="83">
        <v>1125.9000000000001</v>
      </c>
      <c r="DL66" s="83">
        <v>1084.2</v>
      </c>
      <c r="DM66" s="83">
        <v>1035.8280000000002</v>
      </c>
      <c r="DN66" s="83">
        <v>1167.6000000000001</v>
      </c>
      <c r="DO66" s="83">
        <v>1209.3</v>
      </c>
      <c r="DP66" s="83">
        <v>1301.04</v>
      </c>
      <c r="DR66" s="83">
        <v>349.27200000000005</v>
      </c>
      <c r="DS66" s="83">
        <v>325.98720000000014</v>
      </c>
      <c r="DT66" s="83">
        <v>363.8250000000001</v>
      </c>
      <c r="DU66" s="83">
        <v>325.98720000000014</v>
      </c>
      <c r="DV66" s="83">
        <v>388.08000000000004</v>
      </c>
      <c r="DW66" s="83">
        <v>388.08000000000004</v>
      </c>
      <c r="DX66" s="83">
        <v>436.59000000000015</v>
      </c>
      <c r="DY66" s="83">
        <v>420.42000000000007</v>
      </c>
      <c r="DZ66" s="83">
        <v>401.66280000000012</v>
      </c>
      <c r="EA66" s="83">
        <v>452.76000000000005</v>
      </c>
      <c r="EB66" s="83">
        <v>468.93000000000006</v>
      </c>
      <c r="EC66" s="83">
        <v>504.50400000000013</v>
      </c>
    </row>
    <row r="67" spans="1:133" ht="15.6" customHeight="1">
      <c r="A67" s="83" t="s">
        <v>225</v>
      </c>
      <c r="B67" s="83"/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3">
        <v>0</v>
      </c>
      <c r="M67" s="83">
        <v>0</v>
      </c>
      <c r="N67" s="83">
        <v>0</v>
      </c>
      <c r="O67" s="77">
        <v>0</v>
      </c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</row>
    <row r="68" spans="1:133" s="94" customFormat="1" ht="15.6" customHeight="1">
      <c r="A68" s="93" t="s">
        <v>95</v>
      </c>
      <c r="B68" s="93"/>
      <c r="C68" s="93">
        <v>2736350</v>
      </c>
      <c r="D68" s="93">
        <v>2736350</v>
      </c>
      <c r="E68" s="93">
        <v>2736350</v>
      </c>
      <c r="F68" s="93">
        <v>2736350</v>
      </c>
      <c r="G68" s="93">
        <v>2736350</v>
      </c>
      <c r="H68" s="93">
        <v>2736350</v>
      </c>
      <c r="I68" s="93">
        <v>2736350</v>
      </c>
      <c r="J68" s="93">
        <v>2736350</v>
      </c>
      <c r="K68" s="93">
        <v>2736350</v>
      </c>
      <c r="L68" s="93">
        <v>2736350</v>
      </c>
      <c r="M68" s="93">
        <v>2736350</v>
      </c>
      <c r="N68" s="93">
        <v>2736350</v>
      </c>
      <c r="O68" s="94">
        <v>17750744</v>
      </c>
      <c r="Q68" s="93">
        <v>1124400</v>
      </c>
      <c r="R68" s="93">
        <v>1124400</v>
      </c>
      <c r="S68" s="93">
        <v>1124400</v>
      </c>
      <c r="T68" s="93">
        <v>1124400</v>
      </c>
      <c r="U68" s="93">
        <v>1124400</v>
      </c>
      <c r="V68" s="93">
        <v>1124400</v>
      </c>
      <c r="W68" s="93">
        <v>1124400</v>
      </c>
      <c r="X68" s="93">
        <v>1124400</v>
      </c>
      <c r="Y68" s="93">
        <v>1124400</v>
      </c>
      <c r="Z68" s="93">
        <v>1124400</v>
      </c>
      <c r="AA68" s="93">
        <v>1124400</v>
      </c>
      <c r="AB68" s="93">
        <v>1124400</v>
      </c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Q68" s="93">
        <v>591500</v>
      </c>
      <c r="AR68" s="93">
        <v>591500</v>
      </c>
      <c r="AS68" s="93">
        <v>591500</v>
      </c>
      <c r="AT68" s="93">
        <v>591500</v>
      </c>
      <c r="AU68" s="93">
        <v>591500</v>
      </c>
      <c r="AV68" s="93">
        <v>591500</v>
      </c>
      <c r="AW68" s="93">
        <v>591500</v>
      </c>
      <c r="AX68" s="93">
        <v>591500</v>
      </c>
      <c r="AY68" s="93">
        <v>591500</v>
      </c>
      <c r="AZ68" s="93">
        <v>591500</v>
      </c>
      <c r="BA68" s="93">
        <v>591500</v>
      </c>
      <c r="BB68" s="93">
        <v>591500</v>
      </c>
      <c r="BD68" s="93">
        <v>106300</v>
      </c>
      <c r="BE68" s="93">
        <v>106300</v>
      </c>
      <c r="BF68" s="93">
        <v>106300</v>
      </c>
      <c r="BG68" s="93">
        <v>106300</v>
      </c>
      <c r="BH68" s="93">
        <v>106300</v>
      </c>
      <c r="BI68" s="93">
        <v>106300</v>
      </c>
      <c r="BJ68" s="93">
        <v>106300</v>
      </c>
      <c r="BK68" s="93">
        <v>106300</v>
      </c>
      <c r="BL68" s="93">
        <v>106300</v>
      </c>
      <c r="BM68" s="93">
        <v>106300</v>
      </c>
      <c r="BN68" s="93">
        <v>106300</v>
      </c>
      <c r="BO68" s="93">
        <v>106300</v>
      </c>
      <c r="BQ68" s="93">
        <v>390400</v>
      </c>
      <c r="BR68" s="93">
        <v>390400</v>
      </c>
      <c r="BS68" s="93">
        <v>390400</v>
      </c>
      <c r="BT68" s="93">
        <v>390400</v>
      </c>
      <c r="BU68" s="93">
        <v>390400</v>
      </c>
      <c r="BV68" s="93">
        <v>390400</v>
      </c>
      <c r="BW68" s="93">
        <v>390400</v>
      </c>
      <c r="BX68" s="93">
        <v>390400</v>
      </c>
      <c r="BY68" s="93">
        <v>390400</v>
      </c>
      <c r="BZ68" s="93">
        <v>390400</v>
      </c>
      <c r="CA68" s="93">
        <v>390400</v>
      </c>
      <c r="CB68" s="93">
        <v>390400</v>
      </c>
      <c r="CD68" s="93">
        <v>306100</v>
      </c>
      <c r="CE68" s="95">
        <v>306100</v>
      </c>
      <c r="CF68" s="95">
        <v>306100</v>
      </c>
      <c r="CG68" s="95">
        <v>306100</v>
      </c>
      <c r="CH68" s="95">
        <v>306100</v>
      </c>
      <c r="CI68" s="95">
        <v>306100</v>
      </c>
      <c r="CJ68" s="95">
        <v>306100</v>
      </c>
      <c r="CK68" s="95">
        <v>306100</v>
      </c>
      <c r="CL68" s="95">
        <v>306100</v>
      </c>
      <c r="CM68" s="95">
        <v>306100</v>
      </c>
      <c r="CN68" s="95">
        <v>306100</v>
      </c>
      <c r="CO68" s="95">
        <v>306100</v>
      </c>
      <c r="CQ68" s="93">
        <v>17400</v>
      </c>
      <c r="CR68" s="95">
        <v>17400</v>
      </c>
      <c r="CS68" s="95">
        <v>17400</v>
      </c>
      <c r="CT68" s="95">
        <v>17400</v>
      </c>
      <c r="CU68" s="95">
        <v>17400</v>
      </c>
      <c r="CV68" s="95">
        <v>17400</v>
      </c>
      <c r="CW68" s="95">
        <v>17400</v>
      </c>
      <c r="CX68" s="95">
        <v>17400</v>
      </c>
      <c r="CY68" s="95">
        <v>17400</v>
      </c>
      <c r="CZ68" s="95">
        <v>17400</v>
      </c>
      <c r="DA68" s="95">
        <v>17400</v>
      </c>
      <c r="DB68" s="95">
        <v>17400</v>
      </c>
      <c r="DE68" s="93">
        <v>159000</v>
      </c>
      <c r="DF68" s="93">
        <v>159000</v>
      </c>
      <c r="DG68" s="93">
        <v>159000</v>
      </c>
      <c r="DH68" s="93">
        <v>159000</v>
      </c>
      <c r="DI68" s="93">
        <v>159000</v>
      </c>
      <c r="DJ68" s="93">
        <v>159000</v>
      </c>
      <c r="DK68" s="93">
        <v>159000</v>
      </c>
      <c r="DL68" s="93">
        <v>159000</v>
      </c>
      <c r="DM68" s="93">
        <v>159000</v>
      </c>
      <c r="DN68" s="93">
        <v>159000</v>
      </c>
      <c r="DO68" s="93">
        <v>159000</v>
      </c>
      <c r="DP68" s="93">
        <v>159000</v>
      </c>
      <c r="DR68" s="93">
        <v>41250</v>
      </c>
      <c r="DS68" s="93">
        <v>41250</v>
      </c>
      <c r="DT68" s="93">
        <v>41250</v>
      </c>
      <c r="DU68" s="93">
        <v>41250</v>
      </c>
      <c r="DV68" s="93">
        <v>41250</v>
      </c>
      <c r="DW68" s="93">
        <v>41250</v>
      </c>
      <c r="DX68" s="93">
        <v>41250</v>
      </c>
      <c r="DY68" s="93">
        <v>41250</v>
      </c>
      <c r="DZ68" s="93">
        <v>41250</v>
      </c>
      <c r="EA68" s="93">
        <v>41250</v>
      </c>
      <c r="EB68" s="93">
        <v>41250</v>
      </c>
      <c r="EC68" s="93">
        <v>41250</v>
      </c>
    </row>
    <row r="69" spans="1:133" s="94" customFormat="1" ht="15.6" customHeight="1">
      <c r="A69" s="93" t="s">
        <v>96</v>
      </c>
      <c r="B69" s="93"/>
      <c r="C69" s="93">
        <v>392225</v>
      </c>
      <c r="D69" s="93">
        <v>392225</v>
      </c>
      <c r="E69" s="93">
        <v>392225</v>
      </c>
      <c r="F69" s="93">
        <v>392225</v>
      </c>
      <c r="G69" s="93">
        <v>392225</v>
      </c>
      <c r="H69" s="93">
        <v>392225</v>
      </c>
      <c r="I69" s="93">
        <v>392225</v>
      </c>
      <c r="J69" s="93">
        <v>392225</v>
      </c>
      <c r="K69" s="93">
        <v>392225</v>
      </c>
      <c r="L69" s="93">
        <v>392225</v>
      </c>
      <c r="M69" s="93">
        <v>392225</v>
      </c>
      <c r="N69" s="93">
        <v>392225</v>
      </c>
      <c r="O69" s="94">
        <v>465680</v>
      </c>
      <c r="Q69" s="93">
        <v>141925</v>
      </c>
      <c r="R69" s="93">
        <v>141925</v>
      </c>
      <c r="S69" s="93">
        <v>141925</v>
      </c>
      <c r="T69" s="93">
        <v>141925</v>
      </c>
      <c r="U69" s="93">
        <v>141925</v>
      </c>
      <c r="V69" s="93">
        <v>141925</v>
      </c>
      <c r="W69" s="93">
        <v>141925</v>
      </c>
      <c r="X69" s="93">
        <v>141925</v>
      </c>
      <c r="Y69" s="93">
        <v>141925</v>
      </c>
      <c r="Z69" s="93">
        <v>141925</v>
      </c>
      <c r="AA69" s="93">
        <v>141925</v>
      </c>
      <c r="AB69" s="93">
        <v>141925</v>
      </c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Q69" s="93">
        <v>90030</v>
      </c>
      <c r="AR69" s="93">
        <v>90030</v>
      </c>
      <c r="AS69" s="93">
        <v>90030</v>
      </c>
      <c r="AT69" s="93">
        <v>90030</v>
      </c>
      <c r="AU69" s="93">
        <v>90030</v>
      </c>
      <c r="AV69" s="93">
        <v>90030</v>
      </c>
      <c r="AW69" s="93">
        <v>90030</v>
      </c>
      <c r="AX69" s="93">
        <v>90030</v>
      </c>
      <c r="AY69" s="93">
        <v>90030</v>
      </c>
      <c r="AZ69" s="93">
        <v>90030</v>
      </c>
      <c r="BA69" s="93">
        <v>90030</v>
      </c>
      <c r="BB69" s="93">
        <v>90030</v>
      </c>
      <c r="BD69" s="93">
        <v>19120</v>
      </c>
      <c r="BE69" s="93">
        <v>19120</v>
      </c>
      <c r="BF69" s="93">
        <v>19120</v>
      </c>
      <c r="BG69" s="93">
        <v>19120</v>
      </c>
      <c r="BH69" s="93">
        <v>19120</v>
      </c>
      <c r="BI69" s="93">
        <v>19120</v>
      </c>
      <c r="BJ69" s="93">
        <v>19120</v>
      </c>
      <c r="BK69" s="93">
        <v>19120</v>
      </c>
      <c r="BL69" s="93">
        <v>19120</v>
      </c>
      <c r="BM69" s="93">
        <v>19120</v>
      </c>
      <c r="BN69" s="93">
        <v>19120</v>
      </c>
      <c r="BO69" s="93">
        <v>19120</v>
      </c>
      <c r="BQ69" s="93">
        <v>59650</v>
      </c>
      <c r="BR69" s="93">
        <v>59650</v>
      </c>
      <c r="BS69" s="93">
        <v>59650</v>
      </c>
      <c r="BT69" s="93">
        <v>59650</v>
      </c>
      <c r="BU69" s="93">
        <v>59650</v>
      </c>
      <c r="BV69" s="93">
        <v>59650</v>
      </c>
      <c r="BW69" s="93">
        <v>59650</v>
      </c>
      <c r="BX69" s="93">
        <v>59650</v>
      </c>
      <c r="BY69" s="93">
        <v>59650</v>
      </c>
      <c r="BZ69" s="93">
        <v>59650</v>
      </c>
      <c r="CA69" s="93">
        <v>59650</v>
      </c>
      <c r="CB69" s="93">
        <v>59650</v>
      </c>
      <c r="CD69" s="93">
        <v>49980</v>
      </c>
      <c r="CE69" s="95">
        <v>49980</v>
      </c>
      <c r="CF69" s="95">
        <v>49980</v>
      </c>
      <c r="CG69" s="95">
        <v>49980</v>
      </c>
      <c r="CH69" s="95">
        <v>49980</v>
      </c>
      <c r="CI69" s="95">
        <v>49980</v>
      </c>
      <c r="CJ69" s="95">
        <v>49980</v>
      </c>
      <c r="CK69" s="95">
        <v>49980</v>
      </c>
      <c r="CL69" s="95">
        <v>49980</v>
      </c>
      <c r="CM69" s="95">
        <v>49980</v>
      </c>
      <c r="CN69" s="95">
        <v>49980</v>
      </c>
      <c r="CO69" s="95">
        <v>49980</v>
      </c>
      <c r="CQ69" s="93">
        <v>2620</v>
      </c>
      <c r="CR69" s="95">
        <v>2620</v>
      </c>
      <c r="CS69" s="95">
        <v>2620</v>
      </c>
      <c r="CT69" s="95">
        <v>2620</v>
      </c>
      <c r="CU69" s="95">
        <v>2620</v>
      </c>
      <c r="CV69" s="95">
        <v>2620</v>
      </c>
      <c r="CW69" s="95">
        <v>2620</v>
      </c>
      <c r="CX69" s="95">
        <v>2620</v>
      </c>
      <c r="CY69" s="95">
        <v>2620</v>
      </c>
      <c r="CZ69" s="95">
        <v>2620</v>
      </c>
      <c r="DA69" s="95">
        <v>2620</v>
      </c>
      <c r="DB69" s="95">
        <v>2620</v>
      </c>
      <c r="DE69" s="93">
        <v>22750</v>
      </c>
      <c r="DF69" s="93">
        <v>22750</v>
      </c>
      <c r="DG69" s="93">
        <v>22750</v>
      </c>
      <c r="DH69" s="93">
        <v>22750</v>
      </c>
      <c r="DI69" s="93">
        <v>22750</v>
      </c>
      <c r="DJ69" s="93">
        <v>22750</v>
      </c>
      <c r="DK69" s="93">
        <v>22750</v>
      </c>
      <c r="DL69" s="93">
        <v>22750</v>
      </c>
      <c r="DM69" s="93">
        <v>22750</v>
      </c>
      <c r="DN69" s="93">
        <v>22750</v>
      </c>
      <c r="DO69" s="93">
        <v>22750</v>
      </c>
      <c r="DP69" s="93">
        <v>22750</v>
      </c>
      <c r="DR69" s="93">
        <v>6150</v>
      </c>
      <c r="DS69" s="93">
        <v>6150</v>
      </c>
      <c r="DT69" s="93">
        <v>6150</v>
      </c>
      <c r="DU69" s="93">
        <v>6150</v>
      </c>
      <c r="DV69" s="93">
        <v>6150</v>
      </c>
      <c r="DW69" s="93">
        <v>6150</v>
      </c>
      <c r="DX69" s="93">
        <v>6150</v>
      </c>
      <c r="DY69" s="93">
        <v>6150</v>
      </c>
      <c r="DZ69" s="93">
        <v>6150</v>
      </c>
      <c r="EA69" s="93">
        <v>6150</v>
      </c>
      <c r="EB69" s="93">
        <v>6150</v>
      </c>
      <c r="EC69" s="93">
        <v>6150</v>
      </c>
    </row>
    <row r="70" spans="1:133" s="94" customFormat="1" ht="15.6" customHeight="1">
      <c r="A70" s="93" t="s">
        <v>97</v>
      </c>
      <c r="B70" s="93"/>
      <c r="C70" s="93">
        <v>47500</v>
      </c>
      <c r="D70" s="93">
        <v>47500</v>
      </c>
      <c r="E70" s="93">
        <v>47500</v>
      </c>
      <c r="F70" s="93">
        <v>47500</v>
      </c>
      <c r="G70" s="93">
        <v>47500</v>
      </c>
      <c r="H70" s="93">
        <v>47500</v>
      </c>
      <c r="I70" s="93">
        <v>47500</v>
      </c>
      <c r="J70" s="93">
        <v>47500</v>
      </c>
      <c r="K70" s="93">
        <v>47500</v>
      </c>
      <c r="L70" s="93">
        <v>47500</v>
      </c>
      <c r="M70" s="93">
        <v>47500</v>
      </c>
      <c r="N70" s="93">
        <v>47500</v>
      </c>
      <c r="O70" s="94">
        <v>570000</v>
      </c>
      <c r="Q70" s="93">
        <v>31500</v>
      </c>
      <c r="R70" s="93">
        <v>31500</v>
      </c>
      <c r="S70" s="93">
        <v>31500</v>
      </c>
      <c r="T70" s="93">
        <v>31500</v>
      </c>
      <c r="U70" s="93">
        <v>31500</v>
      </c>
      <c r="V70" s="93">
        <v>31500</v>
      </c>
      <c r="W70" s="93">
        <v>31500</v>
      </c>
      <c r="X70" s="93">
        <v>31500</v>
      </c>
      <c r="Y70" s="93">
        <v>31500</v>
      </c>
      <c r="Z70" s="93">
        <v>31500</v>
      </c>
      <c r="AA70" s="93">
        <v>31500</v>
      </c>
      <c r="AB70" s="93">
        <v>31500</v>
      </c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Q70" s="93">
        <v>1500</v>
      </c>
      <c r="AR70" s="93">
        <v>1500</v>
      </c>
      <c r="AS70" s="93">
        <v>1500</v>
      </c>
      <c r="AT70" s="93">
        <v>1500</v>
      </c>
      <c r="AU70" s="93">
        <v>1500</v>
      </c>
      <c r="AV70" s="93">
        <v>1500</v>
      </c>
      <c r="AW70" s="93">
        <v>1500</v>
      </c>
      <c r="AX70" s="93">
        <v>1500</v>
      </c>
      <c r="AY70" s="93">
        <v>1500</v>
      </c>
      <c r="AZ70" s="93">
        <v>1500</v>
      </c>
      <c r="BA70" s="93">
        <v>1500</v>
      </c>
      <c r="BB70" s="93">
        <v>1500</v>
      </c>
      <c r="BD70" s="93">
        <v>2500</v>
      </c>
      <c r="BE70" s="93">
        <v>2500</v>
      </c>
      <c r="BF70" s="93">
        <v>2500</v>
      </c>
      <c r="BG70" s="93">
        <v>2500</v>
      </c>
      <c r="BH70" s="93">
        <v>2500</v>
      </c>
      <c r="BI70" s="93">
        <v>2500</v>
      </c>
      <c r="BJ70" s="93">
        <v>2500</v>
      </c>
      <c r="BK70" s="93">
        <v>2500</v>
      </c>
      <c r="BL70" s="93">
        <v>2500</v>
      </c>
      <c r="BM70" s="93">
        <v>2500</v>
      </c>
      <c r="BN70" s="93">
        <v>2500</v>
      </c>
      <c r="BO70" s="93">
        <v>2500</v>
      </c>
      <c r="BQ70" s="93">
        <v>9000</v>
      </c>
      <c r="BR70" s="93">
        <v>9000</v>
      </c>
      <c r="BS70" s="93">
        <v>9000</v>
      </c>
      <c r="BT70" s="93">
        <v>9000</v>
      </c>
      <c r="BU70" s="93">
        <v>9000</v>
      </c>
      <c r="BV70" s="93">
        <v>9000</v>
      </c>
      <c r="BW70" s="93">
        <v>9000</v>
      </c>
      <c r="BX70" s="93">
        <v>9000</v>
      </c>
      <c r="BY70" s="93">
        <v>9000</v>
      </c>
      <c r="BZ70" s="93">
        <v>9000</v>
      </c>
      <c r="CA70" s="93">
        <v>9000</v>
      </c>
      <c r="CB70" s="93">
        <v>9000</v>
      </c>
      <c r="CD70" s="93">
        <v>3000</v>
      </c>
      <c r="CE70" s="95">
        <v>3000</v>
      </c>
      <c r="CF70" s="95">
        <v>3000</v>
      </c>
      <c r="CG70" s="95">
        <v>3000</v>
      </c>
      <c r="CH70" s="95">
        <v>3000</v>
      </c>
      <c r="CI70" s="95">
        <v>3000</v>
      </c>
      <c r="CJ70" s="95">
        <v>3000</v>
      </c>
      <c r="CK70" s="95">
        <v>3000</v>
      </c>
      <c r="CL70" s="95">
        <v>3000</v>
      </c>
      <c r="CM70" s="95">
        <v>3000</v>
      </c>
      <c r="CN70" s="95">
        <v>3000</v>
      </c>
      <c r="CO70" s="95">
        <v>3000</v>
      </c>
      <c r="CQ70" s="93">
        <v>0</v>
      </c>
      <c r="CR70" s="95">
        <v>0</v>
      </c>
      <c r="CS70" s="95">
        <v>0</v>
      </c>
      <c r="CT70" s="95">
        <v>0</v>
      </c>
      <c r="CU70" s="95">
        <v>0</v>
      </c>
      <c r="CV70" s="95">
        <v>0</v>
      </c>
      <c r="CW70" s="95">
        <v>0</v>
      </c>
      <c r="CX70" s="95">
        <v>0</v>
      </c>
      <c r="CY70" s="95">
        <v>0</v>
      </c>
      <c r="CZ70" s="95">
        <v>0</v>
      </c>
      <c r="DA70" s="95">
        <v>0</v>
      </c>
      <c r="DB70" s="95">
        <v>0</v>
      </c>
      <c r="DE70" s="93">
        <v>0</v>
      </c>
      <c r="DF70" s="93"/>
      <c r="DG70" s="93"/>
      <c r="DH70" s="93"/>
      <c r="DI70" s="93"/>
      <c r="DJ70" s="93"/>
      <c r="DK70" s="93"/>
      <c r="DL70" s="93"/>
      <c r="DM70" s="93"/>
      <c r="DN70" s="93"/>
      <c r="DO70" s="93"/>
      <c r="DP70" s="93"/>
      <c r="DR70" s="93">
        <v>0</v>
      </c>
      <c r="DS70" s="93">
        <v>0</v>
      </c>
      <c r="DT70" s="93">
        <v>0</v>
      </c>
      <c r="DU70" s="93">
        <v>0</v>
      </c>
      <c r="DV70" s="93">
        <v>0</v>
      </c>
      <c r="DW70" s="93">
        <v>0</v>
      </c>
      <c r="DX70" s="93">
        <v>0</v>
      </c>
      <c r="DY70" s="93">
        <v>0</v>
      </c>
      <c r="DZ70" s="93">
        <v>0</v>
      </c>
      <c r="EA70" s="93">
        <v>0</v>
      </c>
      <c r="EB70" s="93">
        <v>0</v>
      </c>
      <c r="EC70" s="93">
        <v>0</v>
      </c>
    </row>
    <row r="71" spans="1:133" s="94" customFormat="1" ht="15.6" customHeight="1">
      <c r="A71" s="93" t="s">
        <v>98</v>
      </c>
      <c r="B71" s="93"/>
      <c r="C71" s="93">
        <v>954250</v>
      </c>
      <c r="D71" s="93">
        <v>954250</v>
      </c>
      <c r="E71" s="93">
        <v>954250</v>
      </c>
      <c r="F71" s="93">
        <v>954250</v>
      </c>
      <c r="G71" s="93">
        <v>954250</v>
      </c>
      <c r="H71" s="93">
        <v>954250</v>
      </c>
      <c r="I71" s="93">
        <v>954250</v>
      </c>
      <c r="J71" s="93">
        <v>954250</v>
      </c>
      <c r="K71" s="93">
        <v>954250</v>
      </c>
      <c r="L71" s="93">
        <v>954250</v>
      </c>
      <c r="M71" s="93">
        <v>954250</v>
      </c>
      <c r="N71" s="93">
        <v>954250</v>
      </c>
      <c r="O71" s="94">
        <v>1786046</v>
      </c>
      <c r="Q71" s="93">
        <v>382600</v>
      </c>
      <c r="R71" s="93">
        <v>382600</v>
      </c>
      <c r="S71" s="93">
        <v>382600</v>
      </c>
      <c r="T71" s="93">
        <v>382600</v>
      </c>
      <c r="U71" s="93">
        <v>382600</v>
      </c>
      <c r="V71" s="93">
        <v>382600</v>
      </c>
      <c r="W71" s="93">
        <v>382600</v>
      </c>
      <c r="X71" s="93">
        <v>382600</v>
      </c>
      <c r="Y71" s="93">
        <v>382600</v>
      </c>
      <c r="Z71" s="93">
        <v>382600</v>
      </c>
      <c r="AA71" s="93">
        <v>382600</v>
      </c>
      <c r="AB71" s="93">
        <v>382600</v>
      </c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Q71" s="93">
        <v>205830</v>
      </c>
      <c r="AR71" s="93">
        <v>205830</v>
      </c>
      <c r="AS71" s="93">
        <v>205830</v>
      </c>
      <c r="AT71" s="93">
        <v>205830</v>
      </c>
      <c r="AU71" s="93">
        <v>205830</v>
      </c>
      <c r="AV71" s="93">
        <v>205830</v>
      </c>
      <c r="AW71" s="93">
        <v>205830</v>
      </c>
      <c r="AX71" s="93">
        <v>205830</v>
      </c>
      <c r="AY71" s="93">
        <v>205830</v>
      </c>
      <c r="AZ71" s="93">
        <v>205830</v>
      </c>
      <c r="BA71" s="93">
        <v>205830</v>
      </c>
      <c r="BB71" s="93">
        <v>205830</v>
      </c>
      <c r="BD71" s="93">
        <v>37120</v>
      </c>
      <c r="BE71" s="93">
        <v>37120</v>
      </c>
      <c r="BF71" s="93">
        <v>37120</v>
      </c>
      <c r="BG71" s="93">
        <v>37120</v>
      </c>
      <c r="BH71" s="93">
        <v>37120</v>
      </c>
      <c r="BI71" s="93">
        <v>37120</v>
      </c>
      <c r="BJ71" s="93">
        <v>37120</v>
      </c>
      <c r="BK71" s="93">
        <v>37120</v>
      </c>
      <c r="BL71" s="93">
        <v>37120</v>
      </c>
      <c r="BM71" s="93">
        <v>37120</v>
      </c>
      <c r="BN71" s="93">
        <v>37120</v>
      </c>
      <c r="BO71" s="93">
        <v>37120</v>
      </c>
      <c r="BQ71" s="93">
        <v>131200</v>
      </c>
      <c r="BR71" s="93">
        <v>131200</v>
      </c>
      <c r="BS71" s="93">
        <v>131200</v>
      </c>
      <c r="BT71" s="93">
        <v>131200</v>
      </c>
      <c r="BU71" s="93">
        <v>131200</v>
      </c>
      <c r="BV71" s="93">
        <v>131200</v>
      </c>
      <c r="BW71" s="93">
        <v>131200</v>
      </c>
      <c r="BX71" s="93">
        <v>131200</v>
      </c>
      <c r="BY71" s="93">
        <v>131200</v>
      </c>
      <c r="BZ71" s="93">
        <v>131200</v>
      </c>
      <c r="CA71" s="93">
        <v>131200</v>
      </c>
      <c r="CB71" s="93">
        <v>131200</v>
      </c>
      <c r="CD71" s="93">
        <v>113020</v>
      </c>
      <c r="CE71" s="95">
        <v>113020</v>
      </c>
      <c r="CF71" s="95">
        <v>113020</v>
      </c>
      <c r="CG71" s="95">
        <v>113020</v>
      </c>
      <c r="CH71" s="95">
        <v>113020</v>
      </c>
      <c r="CI71" s="95">
        <v>113020</v>
      </c>
      <c r="CJ71" s="95">
        <v>113020</v>
      </c>
      <c r="CK71" s="95">
        <v>113020</v>
      </c>
      <c r="CL71" s="95">
        <v>113020</v>
      </c>
      <c r="CM71" s="95">
        <v>113020</v>
      </c>
      <c r="CN71" s="95">
        <v>113020</v>
      </c>
      <c r="CO71" s="95">
        <v>113020</v>
      </c>
      <c r="CQ71" s="93">
        <v>5680</v>
      </c>
      <c r="CR71" s="95">
        <v>5680</v>
      </c>
      <c r="CS71" s="95">
        <v>5680</v>
      </c>
      <c r="CT71" s="95">
        <v>5680</v>
      </c>
      <c r="CU71" s="95">
        <v>5680</v>
      </c>
      <c r="CV71" s="95">
        <v>5680</v>
      </c>
      <c r="CW71" s="95">
        <v>5680</v>
      </c>
      <c r="CX71" s="95">
        <v>5680</v>
      </c>
      <c r="CY71" s="95">
        <v>5680</v>
      </c>
      <c r="CZ71" s="95">
        <v>5680</v>
      </c>
      <c r="DA71" s="95">
        <v>5680</v>
      </c>
      <c r="DB71" s="95">
        <v>5680</v>
      </c>
      <c r="DE71" s="93">
        <v>62300</v>
      </c>
      <c r="DF71" s="95">
        <v>62300</v>
      </c>
      <c r="DG71" s="95">
        <v>62300</v>
      </c>
      <c r="DH71" s="95">
        <v>62300</v>
      </c>
      <c r="DI71" s="95">
        <v>62300</v>
      </c>
      <c r="DJ71" s="95">
        <v>62300</v>
      </c>
      <c r="DK71" s="95">
        <v>62300</v>
      </c>
      <c r="DL71" s="95">
        <v>62300</v>
      </c>
      <c r="DM71" s="95">
        <v>62300</v>
      </c>
      <c r="DN71" s="95">
        <v>62300</v>
      </c>
      <c r="DO71" s="95">
        <v>62300</v>
      </c>
      <c r="DP71" s="95">
        <v>62300</v>
      </c>
      <c r="DR71" s="93">
        <v>16500</v>
      </c>
      <c r="DS71" s="93">
        <v>16500</v>
      </c>
      <c r="DT71" s="93">
        <v>16500</v>
      </c>
      <c r="DU71" s="93">
        <v>16500</v>
      </c>
      <c r="DV71" s="93">
        <v>16500</v>
      </c>
      <c r="DW71" s="93">
        <v>16500</v>
      </c>
      <c r="DX71" s="93">
        <v>16500</v>
      </c>
      <c r="DY71" s="93">
        <v>16500</v>
      </c>
      <c r="DZ71" s="93">
        <v>16500</v>
      </c>
      <c r="EA71" s="93">
        <v>16500</v>
      </c>
      <c r="EB71" s="93">
        <v>16500</v>
      </c>
      <c r="EC71" s="93">
        <v>16500</v>
      </c>
    </row>
    <row r="72" spans="1:133" s="94" customFormat="1" ht="15.6" customHeight="1">
      <c r="A72" s="93" t="s">
        <v>99</v>
      </c>
      <c r="B72" s="93"/>
      <c r="C72" s="93">
        <v>198650</v>
      </c>
      <c r="D72" s="93">
        <v>198650</v>
      </c>
      <c r="E72" s="93">
        <v>198650</v>
      </c>
      <c r="F72" s="93">
        <v>198650</v>
      </c>
      <c r="G72" s="93">
        <v>198650</v>
      </c>
      <c r="H72" s="93">
        <v>198650</v>
      </c>
      <c r="I72" s="93">
        <v>198650</v>
      </c>
      <c r="J72" s="93">
        <v>198650</v>
      </c>
      <c r="K72" s="93">
        <v>198650</v>
      </c>
      <c r="L72" s="93">
        <v>198650</v>
      </c>
      <c r="M72" s="93">
        <v>198650</v>
      </c>
      <c r="N72" s="93">
        <v>198650</v>
      </c>
      <c r="O72" s="94">
        <v>105000</v>
      </c>
      <c r="Q72" s="93">
        <v>81550</v>
      </c>
      <c r="R72" s="93">
        <v>81550</v>
      </c>
      <c r="S72" s="93">
        <v>81550</v>
      </c>
      <c r="T72" s="93">
        <v>81550</v>
      </c>
      <c r="U72" s="93">
        <v>81550</v>
      </c>
      <c r="V72" s="93">
        <v>81550</v>
      </c>
      <c r="W72" s="93">
        <v>81550</v>
      </c>
      <c r="X72" s="93">
        <v>81550</v>
      </c>
      <c r="Y72" s="93">
        <v>81550</v>
      </c>
      <c r="Z72" s="93">
        <v>81550</v>
      </c>
      <c r="AA72" s="93">
        <v>81550</v>
      </c>
      <c r="AB72" s="93">
        <v>81550</v>
      </c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  <c r="AO72" s="93"/>
      <c r="AQ72" s="93">
        <v>35100</v>
      </c>
      <c r="AR72" s="93">
        <v>35100</v>
      </c>
      <c r="AS72" s="93">
        <v>35100</v>
      </c>
      <c r="AT72" s="93">
        <v>35100</v>
      </c>
      <c r="AU72" s="93">
        <v>35100</v>
      </c>
      <c r="AV72" s="93">
        <v>35100</v>
      </c>
      <c r="AW72" s="93">
        <v>35100</v>
      </c>
      <c r="AX72" s="93">
        <v>35100</v>
      </c>
      <c r="AY72" s="93">
        <v>35100</v>
      </c>
      <c r="AZ72" s="93">
        <v>35100</v>
      </c>
      <c r="BA72" s="93">
        <v>35100</v>
      </c>
      <c r="BB72" s="93">
        <v>35100</v>
      </c>
      <c r="BD72" s="93">
        <v>5200</v>
      </c>
      <c r="BE72" s="93">
        <v>5200</v>
      </c>
      <c r="BF72" s="93">
        <v>5200</v>
      </c>
      <c r="BG72" s="93">
        <v>5200</v>
      </c>
      <c r="BH72" s="93">
        <v>5200</v>
      </c>
      <c r="BI72" s="93">
        <v>5200</v>
      </c>
      <c r="BJ72" s="93">
        <v>5200</v>
      </c>
      <c r="BK72" s="93">
        <v>5200</v>
      </c>
      <c r="BL72" s="93">
        <v>5200</v>
      </c>
      <c r="BM72" s="93">
        <v>5200</v>
      </c>
      <c r="BN72" s="93">
        <v>5200</v>
      </c>
      <c r="BO72" s="93">
        <v>5200</v>
      </c>
      <c r="BQ72" s="93">
        <v>34500</v>
      </c>
      <c r="BR72" s="93">
        <v>34500</v>
      </c>
      <c r="BS72" s="93">
        <v>34500</v>
      </c>
      <c r="BT72" s="93">
        <v>34500</v>
      </c>
      <c r="BU72" s="93">
        <v>34500</v>
      </c>
      <c r="BV72" s="93">
        <v>34500</v>
      </c>
      <c r="BW72" s="93">
        <v>34500</v>
      </c>
      <c r="BX72" s="93">
        <v>34500</v>
      </c>
      <c r="BY72" s="93">
        <v>34500</v>
      </c>
      <c r="BZ72" s="93">
        <v>34500</v>
      </c>
      <c r="CA72" s="93">
        <v>34500</v>
      </c>
      <c r="CB72" s="93">
        <v>34500</v>
      </c>
      <c r="CD72" s="93">
        <v>26500</v>
      </c>
      <c r="CE72" s="95">
        <v>26500</v>
      </c>
      <c r="CF72" s="95">
        <v>26500</v>
      </c>
      <c r="CG72" s="95">
        <v>26500</v>
      </c>
      <c r="CH72" s="95">
        <v>26500</v>
      </c>
      <c r="CI72" s="95">
        <v>26500</v>
      </c>
      <c r="CJ72" s="95">
        <v>26500</v>
      </c>
      <c r="CK72" s="95">
        <v>26500</v>
      </c>
      <c r="CL72" s="95">
        <v>26500</v>
      </c>
      <c r="CM72" s="95">
        <v>26500</v>
      </c>
      <c r="CN72" s="95">
        <v>26500</v>
      </c>
      <c r="CO72" s="95">
        <v>26500</v>
      </c>
      <c r="CQ72" s="93">
        <v>2400</v>
      </c>
      <c r="CR72" s="95">
        <v>2400</v>
      </c>
      <c r="CS72" s="95">
        <v>2400</v>
      </c>
      <c r="CT72" s="95">
        <v>2400</v>
      </c>
      <c r="CU72" s="95">
        <v>2400</v>
      </c>
      <c r="CV72" s="95">
        <v>2400</v>
      </c>
      <c r="CW72" s="95">
        <v>2400</v>
      </c>
      <c r="CX72" s="95">
        <v>2400</v>
      </c>
      <c r="CY72" s="95">
        <v>2400</v>
      </c>
      <c r="CZ72" s="95">
        <v>2400</v>
      </c>
      <c r="DA72" s="95">
        <v>2400</v>
      </c>
      <c r="DB72" s="95">
        <v>2400</v>
      </c>
      <c r="DE72" s="93">
        <v>13400</v>
      </c>
      <c r="DF72" s="95">
        <v>13400</v>
      </c>
      <c r="DG72" s="95">
        <v>13400</v>
      </c>
      <c r="DH72" s="95">
        <v>13400</v>
      </c>
      <c r="DI72" s="95">
        <v>13400</v>
      </c>
      <c r="DJ72" s="95">
        <v>13400</v>
      </c>
      <c r="DK72" s="95">
        <v>13400</v>
      </c>
      <c r="DL72" s="95">
        <v>13400</v>
      </c>
      <c r="DM72" s="95">
        <v>13400</v>
      </c>
      <c r="DN72" s="95">
        <v>13400</v>
      </c>
      <c r="DO72" s="95">
        <v>13400</v>
      </c>
      <c r="DP72" s="95">
        <v>13400</v>
      </c>
      <c r="DR72" s="93">
        <v>0</v>
      </c>
      <c r="DS72" s="93">
        <v>0</v>
      </c>
      <c r="DT72" s="93">
        <v>0</v>
      </c>
      <c r="DU72" s="93">
        <v>0</v>
      </c>
      <c r="DV72" s="93">
        <v>0</v>
      </c>
      <c r="DW72" s="93">
        <v>0</v>
      </c>
      <c r="DX72" s="93">
        <v>0</v>
      </c>
      <c r="DY72" s="93">
        <v>0</v>
      </c>
      <c r="DZ72" s="93">
        <v>0</v>
      </c>
      <c r="EA72" s="93">
        <v>0</v>
      </c>
      <c r="EB72" s="93">
        <v>0</v>
      </c>
      <c r="EC72" s="93">
        <v>0</v>
      </c>
    </row>
    <row r="73" spans="1:133" s="94" customFormat="1" ht="15.6" customHeight="1">
      <c r="A73" s="93" t="s">
        <v>100</v>
      </c>
      <c r="B73" s="93"/>
      <c r="C73" s="93">
        <v>98950</v>
      </c>
      <c r="D73" s="93">
        <v>98950</v>
      </c>
      <c r="E73" s="93">
        <v>98950</v>
      </c>
      <c r="F73" s="93">
        <v>98950</v>
      </c>
      <c r="G73" s="93">
        <v>98950</v>
      </c>
      <c r="H73" s="93">
        <v>98950</v>
      </c>
      <c r="I73" s="93">
        <v>98950</v>
      </c>
      <c r="J73" s="93">
        <v>98950</v>
      </c>
      <c r="K73" s="93">
        <v>98950</v>
      </c>
      <c r="L73" s="93">
        <v>98950</v>
      </c>
      <c r="M73" s="93">
        <v>98950</v>
      </c>
      <c r="N73" s="93">
        <v>98950</v>
      </c>
      <c r="O73" s="94">
        <v>208920</v>
      </c>
      <c r="Q73" s="93">
        <v>47550</v>
      </c>
      <c r="R73" s="93">
        <v>47550</v>
      </c>
      <c r="S73" s="93">
        <v>47550</v>
      </c>
      <c r="T73" s="93">
        <v>47550</v>
      </c>
      <c r="U73" s="93">
        <v>47550</v>
      </c>
      <c r="V73" s="93">
        <v>47550</v>
      </c>
      <c r="W73" s="93">
        <v>47550</v>
      </c>
      <c r="X73" s="93">
        <v>47550</v>
      </c>
      <c r="Y73" s="93">
        <v>47550</v>
      </c>
      <c r="Z73" s="93">
        <v>47550</v>
      </c>
      <c r="AA73" s="93">
        <v>47550</v>
      </c>
      <c r="AB73" s="93">
        <v>47550</v>
      </c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Q73" s="93">
        <v>19050</v>
      </c>
      <c r="AR73" s="93">
        <v>19050</v>
      </c>
      <c r="AS73" s="93">
        <v>19050</v>
      </c>
      <c r="AT73" s="93">
        <v>19050</v>
      </c>
      <c r="AU73" s="93">
        <v>19050</v>
      </c>
      <c r="AV73" s="93">
        <v>19050</v>
      </c>
      <c r="AW73" s="93">
        <v>19050</v>
      </c>
      <c r="AX73" s="93">
        <v>19050</v>
      </c>
      <c r="AY73" s="93">
        <v>19050</v>
      </c>
      <c r="AZ73" s="93">
        <v>19050</v>
      </c>
      <c r="BA73" s="93">
        <v>19050</v>
      </c>
      <c r="BB73" s="93">
        <v>19050</v>
      </c>
      <c r="BD73" s="93">
        <v>2000</v>
      </c>
      <c r="BE73" s="93">
        <v>2000</v>
      </c>
      <c r="BF73" s="93">
        <v>2000</v>
      </c>
      <c r="BG73" s="93">
        <v>2000</v>
      </c>
      <c r="BH73" s="93">
        <v>2000</v>
      </c>
      <c r="BI73" s="93">
        <v>2000</v>
      </c>
      <c r="BJ73" s="93">
        <v>2000</v>
      </c>
      <c r="BK73" s="93">
        <v>2000</v>
      </c>
      <c r="BL73" s="93">
        <v>2000</v>
      </c>
      <c r="BM73" s="93">
        <v>2000</v>
      </c>
      <c r="BN73" s="93">
        <v>2000</v>
      </c>
      <c r="BO73" s="93">
        <v>2000</v>
      </c>
      <c r="BQ73" s="93">
        <v>10350</v>
      </c>
      <c r="BR73" s="93">
        <v>10350</v>
      </c>
      <c r="BS73" s="93">
        <v>10350</v>
      </c>
      <c r="BT73" s="93">
        <v>10350</v>
      </c>
      <c r="BU73" s="93">
        <v>10350</v>
      </c>
      <c r="BV73" s="93">
        <v>10350</v>
      </c>
      <c r="BW73" s="93">
        <v>10350</v>
      </c>
      <c r="BX73" s="93">
        <v>10350</v>
      </c>
      <c r="BY73" s="93">
        <v>10350</v>
      </c>
      <c r="BZ73" s="93">
        <v>10350</v>
      </c>
      <c r="CA73" s="93">
        <v>10350</v>
      </c>
      <c r="CB73" s="93">
        <v>10350</v>
      </c>
      <c r="CD73" s="93">
        <v>16000</v>
      </c>
      <c r="CE73" s="95">
        <v>16000</v>
      </c>
      <c r="CF73" s="95">
        <v>16000</v>
      </c>
      <c r="CG73" s="95">
        <v>16000</v>
      </c>
      <c r="CH73" s="95">
        <v>16000</v>
      </c>
      <c r="CI73" s="95">
        <v>16000</v>
      </c>
      <c r="CJ73" s="95">
        <v>16000</v>
      </c>
      <c r="CK73" s="95">
        <v>16000</v>
      </c>
      <c r="CL73" s="95">
        <v>16000</v>
      </c>
      <c r="CM73" s="95">
        <v>16000</v>
      </c>
      <c r="CN73" s="95">
        <v>16000</v>
      </c>
      <c r="CO73" s="95">
        <v>16000</v>
      </c>
      <c r="CQ73" s="93">
        <v>1500</v>
      </c>
      <c r="CR73" s="95">
        <v>1500</v>
      </c>
      <c r="CS73" s="95">
        <v>1500</v>
      </c>
      <c r="CT73" s="95">
        <v>1500</v>
      </c>
      <c r="CU73" s="95">
        <v>1500</v>
      </c>
      <c r="CV73" s="95">
        <v>1500</v>
      </c>
      <c r="CW73" s="95">
        <v>1500</v>
      </c>
      <c r="CX73" s="95">
        <v>1500</v>
      </c>
      <c r="CY73" s="95">
        <v>1500</v>
      </c>
      <c r="CZ73" s="95">
        <v>1500</v>
      </c>
      <c r="DA73" s="95">
        <v>1500</v>
      </c>
      <c r="DB73" s="95">
        <v>1500</v>
      </c>
      <c r="DE73" s="93">
        <v>2500</v>
      </c>
      <c r="DF73" s="95">
        <v>2500</v>
      </c>
      <c r="DG73" s="95">
        <v>2500</v>
      </c>
      <c r="DH73" s="95">
        <v>2500</v>
      </c>
      <c r="DI73" s="95">
        <v>2500</v>
      </c>
      <c r="DJ73" s="95">
        <v>2500</v>
      </c>
      <c r="DK73" s="95">
        <v>2500</v>
      </c>
      <c r="DL73" s="95">
        <v>2500</v>
      </c>
      <c r="DM73" s="95">
        <v>2500</v>
      </c>
      <c r="DN73" s="95">
        <v>2500</v>
      </c>
      <c r="DO73" s="95">
        <v>2500</v>
      </c>
      <c r="DP73" s="95">
        <v>2500</v>
      </c>
      <c r="DR73" s="93">
        <v>0</v>
      </c>
      <c r="DS73" s="93">
        <v>0</v>
      </c>
      <c r="DT73" s="93">
        <v>0</v>
      </c>
      <c r="DU73" s="93">
        <v>0</v>
      </c>
      <c r="DV73" s="93">
        <v>0</v>
      </c>
      <c r="DW73" s="93">
        <v>0</v>
      </c>
      <c r="DX73" s="93">
        <v>0</v>
      </c>
      <c r="DY73" s="93">
        <v>0</v>
      </c>
      <c r="DZ73" s="93">
        <v>0</v>
      </c>
      <c r="EA73" s="93">
        <v>0</v>
      </c>
      <c r="EB73" s="93">
        <v>0</v>
      </c>
      <c r="EC73" s="93">
        <v>0</v>
      </c>
    </row>
    <row r="74" spans="1:133" s="94" customFormat="1" ht="15.6" customHeight="1">
      <c r="A74" s="93" t="s">
        <v>101</v>
      </c>
      <c r="B74" s="93"/>
      <c r="C74" s="93">
        <v>1343075</v>
      </c>
      <c r="D74" s="93">
        <v>1343075</v>
      </c>
      <c r="E74" s="93">
        <v>1343075</v>
      </c>
      <c r="F74" s="93">
        <v>1343075</v>
      </c>
      <c r="G74" s="93">
        <v>1343075</v>
      </c>
      <c r="H74" s="93">
        <v>1343075</v>
      </c>
      <c r="I74" s="93">
        <v>1343075</v>
      </c>
      <c r="J74" s="93">
        <v>1343075</v>
      </c>
      <c r="K74" s="93">
        <v>1343075</v>
      </c>
      <c r="L74" s="93">
        <v>1343075</v>
      </c>
      <c r="M74" s="93">
        <v>1343075</v>
      </c>
      <c r="N74" s="93">
        <v>1343075</v>
      </c>
      <c r="O74" s="94">
        <v>864044.00000000186</v>
      </c>
      <c r="Q74" s="93">
        <v>600825</v>
      </c>
      <c r="R74" s="93">
        <v>600825</v>
      </c>
      <c r="S74" s="93">
        <v>600825</v>
      </c>
      <c r="T74" s="93">
        <v>600825</v>
      </c>
      <c r="U74" s="93">
        <v>600825</v>
      </c>
      <c r="V74" s="93">
        <v>600825</v>
      </c>
      <c r="W74" s="93">
        <v>600825</v>
      </c>
      <c r="X74" s="93">
        <v>600825</v>
      </c>
      <c r="Y74" s="93">
        <v>600825</v>
      </c>
      <c r="Z74" s="93">
        <v>600825</v>
      </c>
      <c r="AA74" s="93">
        <v>600825</v>
      </c>
      <c r="AB74" s="93">
        <v>600825</v>
      </c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Q74" s="93">
        <v>290490</v>
      </c>
      <c r="AR74" s="93">
        <v>290490</v>
      </c>
      <c r="AS74" s="93">
        <v>290490</v>
      </c>
      <c r="AT74" s="93">
        <v>290490</v>
      </c>
      <c r="AU74" s="93">
        <v>290490</v>
      </c>
      <c r="AV74" s="93">
        <v>290490</v>
      </c>
      <c r="AW74" s="93">
        <v>290490</v>
      </c>
      <c r="AX74" s="93">
        <v>290490</v>
      </c>
      <c r="AY74" s="93">
        <v>290490</v>
      </c>
      <c r="AZ74" s="93">
        <v>290490</v>
      </c>
      <c r="BA74" s="93">
        <v>290490</v>
      </c>
      <c r="BB74" s="93">
        <v>290490</v>
      </c>
      <c r="BD74" s="93">
        <v>56560</v>
      </c>
      <c r="BE74" s="93">
        <v>56560</v>
      </c>
      <c r="BF74" s="93">
        <v>56560</v>
      </c>
      <c r="BG74" s="93">
        <v>56560</v>
      </c>
      <c r="BH74" s="93">
        <v>56560</v>
      </c>
      <c r="BI74" s="93">
        <v>56560</v>
      </c>
      <c r="BJ74" s="93">
        <v>56560</v>
      </c>
      <c r="BK74" s="93">
        <v>56560</v>
      </c>
      <c r="BL74" s="93">
        <v>56560</v>
      </c>
      <c r="BM74" s="93">
        <v>56560</v>
      </c>
      <c r="BN74" s="93">
        <v>56560</v>
      </c>
      <c r="BO74" s="93">
        <v>56560</v>
      </c>
      <c r="BQ74" s="93">
        <v>183900</v>
      </c>
      <c r="BR74" s="93">
        <v>183900</v>
      </c>
      <c r="BS74" s="93">
        <v>183900</v>
      </c>
      <c r="BT74" s="93">
        <v>183900</v>
      </c>
      <c r="BU74" s="93">
        <v>183900</v>
      </c>
      <c r="BV74" s="93">
        <v>183900</v>
      </c>
      <c r="BW74" s="93">
        <v>183900</v>
      </c>
      <c r="BX74" s="93">
        <v>183900</v>
      </c>
      <c r="BY74" s="93">
        <v>183900</v>
      </c>
      <c r="BZ74" s="93">
        <v>183900</v>
      </c>
      <c r="CA74" s="93">
        <v>183900</v>
      </c>
      <c r="CB74" s="93">
        <v>183900</v>
      </c>
      <c r="CD74" s="93">
        <v>131250</v>
      </c>
      <c r="CE74" s="95">
        <v>131250</v>
      </c>
      <c r="CF74" s="95">
        <v>131250</v>
      </c>
      <c r="CG74" s="95">
        <v>131250</v>
      </c>
      <c r="CH74" s="95">
        <v>131250</v>
      </c>
      <c r="CI74" s="95">
        <v>131250</v>
      </c>
      <c r="CJ74" s="95">
        <v>131250</v>
      </c>
      <c r="CK74" s="95">
        <v>131250</v>
      </c>
      <c r="CL74" s="95">
        <v>131250</v>
      </c>
      <c r="CM74" s="95">
        <v>131250</v>
      </c>
      <c r="CN74" s="95">
        <v>131250</v>
      </c>
      <c r="CO74" s="95">
        <v>131250</v>
      </c>
      <c r="CQ74" s="93">
        <v>7400</v>
      </c>
      <c r="CR74" s="95">
        <v>7400</v>
      </c>
      <c r="CS74" s="95">
        <v>7400</v>
      </c>
      <c r="CT74" s="95">
        <v>7400</v>
      </c>
      <c r="CU74" s="95">
        <v>7400</v>
      </c>
      <c r="CV74" s="95">
        <v>7400</v>
      </c>
      <c r="CW74" s="95">
        <v>7400</v>
      </c>
      <c r="CX74" s="95">
        <v>7400</v>
      </c>
      <c r="CY74" s="95">
        <v>7400</v>
      </c>
      <c r="CZ74" s="95">
        <v>7400</v>
      </c>
      <c r="DA74" s="95">
        <v>7400</v>
      </c>
      <c r="DB74" s="95">
        <v>7400</v>
      </c>
      <c r="DE74" s="93">
        <v>54050</v>
      </c>
      <c r="DF74" s="95">
        <v>54050</v>
      </c>
      <c r="DG74" s="95">
        <v>54050</v>
      </c>
      <c r="DH74" s="95">
        <v>54050</v>
      </c>
      <c r="DI74" s="95">
        <v>54050</v>
      </c>
      <c r="DJ74" s="95">
        <v>54050</v>
      </c>
      <c r="DK74" s="95">
        <v>54050</v>
      </c>
      <c r="DL74" s="95">
        <v>54050</v>
      </c>
      <c r="DM74" s="95">
        <v>54050</v>
      </c>
      <c r="DN74" s="95">
        <v>54050</v>
      </c>
      <c r="DO74" s="95">
        <v>54050</v>
      </c>
      <c r="DP74" s="95">
        <v>54050</v>
      </c>
      <c r="DR74" s="93">
        <v>18600</v>
      </c>
      <c r="DS74" s="93">
        <v>18600</v>
      </c>
      <c r="DT74" s="93">
        <v>18600</v>
      </c>
      <c r="DU74" s="93">
        <v>18600</v>
      </c>
      <c r="DV74" s="93">
        <v>18600</v>
      </c>
      <c r="DW74" s="93">
        <v>18600</v>
      </c>
      <c r="DX74" s="93">
        <v>18600</v>
      </c>
      <c r="DY74" s="93">
        <v>18600</v>
      </c>
      <c r="DZ74" s="93">
        <v>18600</v>
      </c>
      <c r="EA74" s="93">
        <v>18600</v>
      </c>
      <c r="EB74" s="93">
        <v>18600</v>
      </c>
      <c r="EC74" s="93">
        <v>18600</v>
      </c>
    </row>
    <row r="75" spans="1:133" s="94" customFormat="1" ht="15.6" customHeight="1">
      <c r="A75" s="93" t="s">
        <v>102</v>
      </c>
      <c r="B75" s="93"/>
      <c r="C75" s="93">
        <v>302349.79296256945</v>
      </c>
      <c r="D75" s="93">
        <v>302349.79296256945</v>
      </c>
      <c r="E75" s="93">
        <v>302349.79296256945</v>
      </c>
      <c r="F75" s="93">
        <v>302349.79296256945</v>
      </c>
      <c r="G75" s="93">
        <v>302349.79296256945</v>
      </c>
      <c r="H75" s="93">
        <v>302349.79296256945</v>
      </c>
      <c r="I75" s="93">
        <v>302349.79296256945</v>
      </c>
      <c r="J75" s="93">
        <v>302349.79296256945</v>
      </c>
      <c r="K75" s="93">
        <v>302349.79296256945</v>
      </c>
      <c r="L75" s="93">
        <v>302349.79296256945</v>
      </c>
      <c r="M75" s="93">
        <v>302349.79296256945</v>
      </c>
      <c r="N75" s="93">
        <v>302349.79296256945</v>
      </c>
      <c r="O75" s="94">
        <v>949329.51555083273</v>
      </c>
      <c r="Q75" s="93">
        <v>107556.71915625001</v>
      </c>
      <c r="R75" s="93">
        <v>107556.71915625001</v>
      </c>
      <c r="S75" s="93">
        <v>107556.71915625001</v>
      </c>
      <c r="T75" s="93">
        <v>107556.71915625001</v>
      </c>
      <c r="U75" s="93">
        <v>107556.71915625001</v>
      </c>
      <c r="V75" s="93">
        <v>107556.71915625001</v>
      </c>
      <c r="W75" s="93">
        <v>107556.71915625001</v>
      </c>
      <c r="X75" s="93">
        <v>107556.71915625001</v>
      </c>
      <c r="Y75" s="93">
        <v>107556.71915625001</v>
      </c>
      <c r="Z75" s="93">
        <v>107556.71915625001</v>
      </c>
      <c r="AA75" s="93">
        <v>107556.71915625001</v>
      </c>
      <c r="AB75" s="93">
        <v>107556.71915625001</v>
      </c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Q75" s="93">
        <v>74658.494586180561</v>
      </c>
      <c r="AR75" s="93">
        <v>74658.494586180561</v>
      </c>
      <c r="AS75" s="93">
        <v>74658.494586180561</v>
      </c>
      <c r="AT75" s="93">
        <v>74658.494586180561</v>
      </c>
      <c r="AU75" s="93">
        <v>74658.494586180561</v>
      </c>
      <c r="AV75" s="93">
        <v>74658.494586180561</v>
      </c>
      <c r="AW75" s="93">
        <v>74658.494586180561</v>
      </c>
      <c r="AX75" s="93">
        <v>74658.494586180561</v>
      </c>
      <c r="AY75" s="93">
        <v>74658.494586180561</v>
      </c>
      <c r="AZ75" s="93">
        <v>74658.494586180561</v>
      </c>
      <c r="BA75" s="93">
        <v>74658.494586180561</v>
      </c>
      <c r="BB75" s="93">
        <v>74658.494586180561</v>
      </c>
      <c r="BD75" s="93">
        <v>14646.494290277777</v>
      </c>
      <c r="BE75" s="93">
        <v>14646.494290277777</v>
      </c>
      <c r="BF75" s="93">
        <v>14646.494290277777</v>
      </c>
      <c r="BG75" s="93">
        <v>14646.494290277777</v>
      </c>
      <c r="BH75" s="93">
        <v>14646.494290277777</v>
      </c>
      <c r="BI75" s="93">
        <v>14646.494290277777</v>
      </c>
      <c r="BJ75" s="93">
        <v>14646.494290277777</v>
      </c>
      <c r="BK75" s="93">
        <v>14646.494290277777</v>
      </c>
      <c r="BL75" s="93">
        <v>14646.494290277777</v>
      </c>
      <c r="BM75" s="93">
        <v>14646.494290277777</v>
      </c>
      <c r="BN75" s="93">
        <v>14646.494290277777</v>
      </c>
      <c r="BO75" s="93">
        <v>14646.494290277777</v>
      </c>
      <c r="BQ75" s="93">
        <v>43454.504708333327</v>
      </c>
      <c r="BR75" s="93">
        <v>43454.504708333327</v>
      </c>
      <c r="BS75" s="93">
        <v>43454.504708333327</v>
      </c>
      <c r="BT75" s="93">
        <v>43454.504708333327</v>
      </c>
      <c r="BU75" s="93">
        <v>43454.504708333327</v>
      </c>
      <c r="BV75" s="93">
        <v>43454.504708333327</v>
      </c>
      <c r="BW75" s="93">
        <v>43454.504708333327</v>
      </c>
      <c r="BX75" s="93">
        <v>43454.504708333327</v>
      </c>
      <c r="BY75" s="93">
        <v>43454.504708333327</v>
      </c>
      <c r="BZ75" s="93">
        <v>43454.504708333327</v>
      </c>
      <c r="CA75" s="93">
        <v>43454.504708333327</v>
      </c>
      <c r="CB75" s="93">
        <v>43454.504708333327</v>
      </c>
      <c r="CD75" s="93">
        <v>35293.217528472225</v>
      </c>
      <c r="CE75" s="95">
        <v>35293.217528472225</v>
      </c>
      <c r="CF75" s="95">
        <v>35293.217528472225</v>
      </c>
      <c r="CG75" s="95">
        <v>35293.217528472225</v>
      </c>
      <c r="CH75" s="95">
        <v>35293.217528472225</v>
      </c>
      <c r="CI75" s="95">
        <v>35293.217528472225</v>
      </c>
      <c r="CJ75" s="95">
        <v>35293.217528472225</v>
      </c>
      <c r="CK75" s="95">
        <v>35293.217528472225</v>
      </c>
      <c r="CL75" s="95">
        <v>35293.217528472225</v>
      </c>
      <c r="CM75" s="95">
        <v>35293.217528472225</v>
      </c>
      <c r="CN75" s="95">
        <v>35293.217528472225</v>
      </c>
      <c r="CO75" s="95">
        <v>35293.217528472225</v>
      </c>
      <c r="CQ75" s="93">
        <v>2286.8210263888886</v>
      </c>
      <c r="CR75" s="95">
        <v>2286.8210263888886</v>
      </c>
      <c r="CS75" s="95">
        <v>2286.8210263888886</v>
      </c>
      <c r="CT75" s="95">
        <v>2286.8210263888886</v>
      </c>
      <c r="CU75" s="95">
        <v>2286.8210263888886</v>
      </c>
      <c r="CV75" s="95">
        <v>2286.8210263888886</v>
      </c>
      <c r="CW75" s="95">
        <v>2286.8210263888886</v>
      </c>
      <c r="CX75" s="95">
        <v>2286.8210263888886</v>
      </c>
      <c r="CY75" s="95">
        <v>2286.8210263888886</v>
      </c>
      <c r="CZ75" s="95">
        <v>2286.8210263888886</v>
      </c>
      <c r="DA75" s="95">
        <v>2286.8210263888886</v>
      </c>
      <c r="DB75" s="95">
        <v>2286.8210263888886</v>
      </c>
      <c r="DE75" s="93">
        <v>18806.666666666668</v>
      </c>
      <c r="DF75" s="95">
        <v>18806.666666666668</v>
      </c>
      <c r="DG75" s="95">
        <v>18806.666666666668</v>
      </c>
      <c r="DH75" s="95">
        <v>18806.666666666668</v>
      </c>
      <c r="DI75" s="95">
        <v>18806.666666666668</v>
      </c>
      <c r="DJ75" s="95">
        <v>18806.666666666668</v>
      </c>
      <c r="DK75" s="95">
        <v>18806.666666666668</v>
      </c>
      <c r="DL75" s="95">
        <v>18806.666666666668</v>
      </c>
      <c r="DM75" s="95">
        <v>18806.666666666668</v>
      </c>
      <c r="DN75" s="95">
        <v>18806.666666666668</v>
      </c>
      <c r="DO75" s="95">
        <v>18806.666666666668</v>
      </c>
      <c r="DP75" s="95">
        <v>18806.666666666668</v>
      </c>
      <c r="DR75" s="93">
        <v>5646.875</v>
      </c>
      <c r="DS75" s="93">
        <v>5646.875</v>
      </c>
      <c r="DT75" s="93">
        <v>5646.875</v>
      </c>
      <c r="DU75" s="93">
        <v>5646.875</v>
      </c>
      <c r="DV75" s="93">
        <v>5646.875</v>
      </c>
      <c r="DW75" s="93">
        <v>5646.875</v>
      </c>
      <c r="DX75" s="93">
        <v>5646.875</v>
      </c>
      <c r="DY75" s="93">
        <v>5646.875</v>
      </c>
      <c r="DZ75" s="93">
        <v>5646.875</v>
      </c>
      <c r="EA75" s="93">
        <v>5646.875</v>
      </c>
      <c r="EB75" s="93">
        <v>5646.875</v>
      </c>
      <c r="EC75" s="93">
        <v>5646.875</v>
      </c>
    </row>
    <row r="76" spans="1:133" s="94" customFormat="1" ht="15.6" customHeight="1">
      <c r="A76" s="93" t="s">
        <v>103</v>
      </c>
      <c r="B76" s="93"/>
      <c r="C76" s="93">
        <v>20306.25</v>
      </c>
      <c r="D76" s="93">
        <v>20306.25</v>
      </c>
      <c r="E76" s="93">
        <v>20306.25</v>
      </c>
      <c r="F76" s="93">
        <v>20306.25</v>
      </c>
      <c r="G76" s="93">
        <v>20306.25</v>
      </c>
      <c r="H76" s="93">
        <v>20306.25</v>
      </c>
      <c r="I76" s="93">
        <v>20306.25</v>
      </c>
      <c r="J76" s="93">
        <v>20306.25</v>
      </c>
      <c r="K76" s="93">
        <v>20306.25</v>
      </c>
      <c r="L76" s="93">
        <v>20306.25</v>
      </c>
      <c r="M76" s="93">
        <v>20306.25</v>
      </c>
      <c r="N76" s="93">
        <v>20306.25</v>
      </c>
      <c r="O76" s="94">
        <v>145227</v>
      </c>
      <c r="Q76" s="93">
        <v>4821.25</v>
      </c>
      <c r="R76" s="93">
        <v>4821.25</v>
      </c>
      <c r="S76" s="93">
        <v>4821.25</v>
      </c>
      <c r="T76" s="93">
        <v>4821.25</v>
      </c>
      <c r="U76" s="93">
        <v>4821.25</v>
      </c>
      <c r="V76" s="93">
        <v>4821.25</v>
      </c>
      <c r="W76" s="93">
        <v>4821.25</v>
      </c>
      <c r="X76" s="93">
        <v>4821.25</v>
      </c>
      <c r="Y76" s="93">
        <v>4821.25</v>
      </c>
      <c r="Z76" s="93">
        <v>4821.25</v>
      </c>
      <c r="AA76" s="93">
        <v>4821.25</v>
      </c>
      <c r="AB76" s="93">
        <v>4821.25</v>
      </c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Q76" s="93">
        <v>6992</v>
      </c>
      <c r="AR76" s="93">
        <v>6992</v>
      </c>
      <c r="AS76" s="93">
        <v>6992</v>
      </c>
      <c r="AT76" s="93">
        <v>6992</v>
      </c>
      <c r="AU76" s="93">
        <v>6992</v>
      </c>
      <c r="AV76" s="93">
        <v>6992</v>
      </c>
      <c r="AW76" s="93">
        <v>6992</v>
      </c>
      <c r="AX76" s="93">
        <v>6992</v>
      </c>
      <c r="AY76" s="93">
        <v>6992</v>
      </c>
      <c r="AZ76" s="93">
        <v>6992</v>
      </c>
      <c r="BA76" s="93">
        <v>6992</v>
      </c>
      <c r="BB76" s="93">
        <v>6992</v>
      </c>
      <c r="BD76" s="93">
        <v>1866.75</v>
      </c>
      <c r="BE76" s="93">
        <v>1866.75</v>
      </c>
      <c r="BF76" s="93">
        <v>1866.75</v>
      </c>
      <c r="BG76" s="93">
        <v>1866.75</v>
      </c>
      <c r="BH76" s="93">
        <v>1866.75</v>
      </c>
      <c r="BI76" s="93">
        <v>1866.75</v>
      </c>
      <c r="BJ76" s="93">
        <v>1866.75</v>
      </c>
      <c r="BK76" s="93">
        <v>1866.75</v>
      </c>
      <c r="BL76" s="93">
        <v>1866.75</v>
      </c>
      <c r="BM76" s="93">
        <v>1866.75</v>
      </c>
      <c r="BN76" s="93">
        <v>1866.75</v>
      </c>
      <c r="BO76" s="93">
        <v>1866.75</v>
      </c>
      <c r="BQ76" s="93">
        <v>2066.25</v>
      </c>
      <c r="BR76" s="93">
        <v>2066.25</v>
      </c>
      <c r="BS76" s="93">
        <v>2066.25</v>
      </c>
      <c r="BT76" s="93">
        <v>2066.25</v>
      </c>
      <c r="BU76" s="93">
        <v>2066.25</v>
      </c>
      <c r="BV76" s="93">
        <v>2066.25</v>
      </c>
      <c r="BW76" s="93">
        <v>2066.25</v>
      </c>
      <c r="BX76" s="93">
        <v>2066.25</v>
      </c>
      <c r="BY76" s="93">
        <v>2066.25</v>
      </c>
      <c r="BZ76" s="93">
        <v>2066.25</v>
      </c>
      <c r="CA76" s="93">
        <v>2066.25</v>
      </c>
      <c r="CB76" s="93">
        <v>2066.25</v>
      </c>
      <c r="CD76" s="93">
        <v>3752.5</v>
      </c>
      <c r="CE76" s="95">
        <v>3752.5</v>
      </c>
      <c r="CF76" s="95">
        <v>3752.5</v>
      </c>
      <c r="CG76" s="95">
        <v>3752.5</v>
      </c>
      <c r="CH76" s="95">
        <v>3752.5</v>
      </c>
      <c r="CI76" s="95">
        <v>3752.5</v>
      </c>
      <c r="CJ76" s="95">
        <v>3752.5</v>
      </c>
      <c r="CK76" s="95">
        <v>3752.5</v>
      </c>
      <c r="CL76" s="95">
        <v>3752.5</v>
      </c>
      <c r="CM76" s="95">
        <v>3752.5</v>
      </c>
      <c r="CN76" s="95">
        <v>3752.5</v>
      </c>
      <c r="CO76" s="95">
        <v>3752.5</v>
      </c>
      <c r="CQ76" s="93">
        <v>0</v>
      </c>
      <c r="CR76" s="93"/>
      <c r="CS76" s="93"/>
      <c r="CT76" s="93"/>
      <c r="CU76" s="93"/>
      <c r="CV76" s="93"/>
      <c r="CW76" s="93"/>
      <c r="CX76" s="93"/>
      <c r="CY76" s="93"/>
      <c r="CZ76" s="93"/>
      <c r="DA76" s="93"/>
      <c r="DB76" s="93"/>
      <c r="DE76" s="93">
        <v>807.5</v>
      </c>
      <c r="DF76" s="95">
        <v>807.5</v>
      </c>
      <c r="DG76" s="95">
        <v>807.5</v>
      </c>
      <c r="DH76" s="95">
        <v>807.5</v>
      </c>
      <c r="DI76" s="95">
        <v>807.5</v>
      </c>
      <c r="DJ76" s="95">
        <v>807.5</v>
      </c>
      <c r="DK76" s="95">
        <v>807.5</v>
      </c>
      <c r="DL76" s="95">
        <v>807.5</v>
      </c>
      <c r="DM76" s="95">
        <v>807.5</v>
      </c>
      <c r="DN76" s="95">
        <v>807.5</v>
      </c>
      <c r="DO76" s="95">
        <v>807.5</v>
      </c>
      <c r="DP76" s="95">
        <v>807.5</v>
      </c>
      <c r="DR76" s="93">
        <v>0</v>
      </c>
      <c r="DS76" s="93">
        <v>0</v>
      </c>
      <c r="DT76" s="93">
        <v>0</v>
      </c>
      <c r="DU76" s="93">
        <v>0</v>
      </c>
      <c r="DV76" s="93">
        <v>0</v>
      </c>
      <c r="DW76" s="93">
        <v>0</v>
      </c>
      <c r="DX76" s="93">
        <v>0</v>
      </c>
      <c r="DY76" s="93">
        <v>0</v>
      </c>
      <c r="DZ76" s="93">
        <v>0</v>
      </c>
      <c r="EA76" s="93">
        <v>0</v>
      </c>
      <c r="EB76" s="93">
        <v>0</v>
      </c>
      <c r="EC76" s="93">
        <v>0</v>
      </c>
    </row>
    <row r="77" spans="1:133" s="97" customFormat="1" ht="15.6" customHeight="1">
      <c r="A77" s="96" t="s">
        <v>104</v>
      </c>
      <c r="B77" s="96"/>
      <c r="C77" s="83">
        <v>387500</v>
      </c>
      <c r="D77" s="83">
        <v>387500</v>
      </c>
      <c r="E77" s="83">
        <v>387500</v>
      </c>
      <c r="F77" s="83">
        <v>387500</v>
      </c>
      <c r="G77" s="83">
        <v>387500</v>
      </c>
      <c r="H77" s="83">
        <v>387500</v>
      </c>
      <c r="I77" s="83">
        <v>387500</v>
      </c>
      <c r="J77" s="83">
        <v>387500</v>
      </c>
      <c r="K77" s="83">
        <v>387500</v>
      </c>
      <c r="L77" s="83">
        <v>387500</v>
      </c>
      <c r="M77" s="83">
        <v>387500</v>
      </c>
      <c r="N77" s="83">
        <v>387500</v>
      </c>
      <c r="O77" s="97">
        <v>-565440</v>
      </c>
      <c r="Q77" s="96">
        <v>104600</v>
      </c>
      <c r="R77" s="96">
        <v>104600</v>
      </c>
      <c r="S77" s="96">
        <v>104600</v>
      </c>
      <c r="T77" s="96">
        <v>104600</v>
      </c>
      <c r="U77" s="96">
        <v>104600</v>
      </c>
      <c r="V77" s="96">
        <v>104600</v>
      </c>
      <c r="W77" s="96">
        <v>104600</v>
      </c>
      <c r="X77" s="96">
        <v>104600</v>
      </c>
      <c r="Y77" s="96">
        <v>104600</v>
      </c>
      <c r="Z77" s="96">
        <v>104600</v>
      </c>
      <c r="AA77" s="96">
        <v>104600</v>
      </c>
      <c r="AB77" s="96">
        <v>104600</v>
      </c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N77" s="96"/>
      <c r="AO77" s="96"/>
      <c r="AQ77" s="96">
        <v>122670</v>
      </c>
      <c r="AR77" s="96">
        <v>122670</v>
      </c>
      <c r="AS77" s="96">
        <v>122670</v>
      </c>
      <c r="AT77" s="96">
        <v>122670</v>
      </c>
      <c r="AU77" s="96">
        <v>122670</v>
      </c>
      <c r="AV77" s="96">
        <v>122670</v>
      </c>
      <c r="AW77" s="96">
        <v>122670</v>
      </c>
      <c r="AX77" s="96">
        <v>122670</v>
      </c>
      <c r="AY77" s="96">
        <v>122670</v>
      </c>
      <c r="AZ77" s="96">
        <v>122670</v>
      </c>
      <c r="BA77" s="96">
        <v>122670</v>
      </c>
      <c r="BB77" s="96">
        <v>122670</v>
      </c>
      <c r="BD77" s="96">
        <v>81780</v>
      </c>
      <c r="BE77" s="96">
        <v>81780</v>
      </c>
      <c r="BF77" s="96">
        <v>81780</v>
      </c>
      <c r="BG77" s="96">
        <v>81780</v>
      </c>
      <c r="BH77" s="96">
        <v>81780</v>
      </c>
      <c r="BI77" s="96">
        <v>81780</v>
      </c>
      <c r="BJ77" s="96">
        <v>81780</v>
      </c>
      <c r="BK77" s="96">
        <v>81780</v>
      </c>
      <c r="BL77" s="96">
        <v>81780</v>
      </c>
      <c r="BM77" s="96">
        <v>81780</v>
      </c>
      <c r="BN77" s="96">
        <v>81780</v>
      </c>
      <c r="BO77" s="96">
        <v>81780</v>
      </c>
      <c r="BQ77" s="96">
        <v>39225</v>
      </c>
      <c r="BR77" s="96">
        <v>39225</v>
      </c>
      <c r="BS77" s="96">
        <v>39225</v>
      </c>
      <c r="BT77" s="96">
        <v>39225</v>
      </c>
      <c r="BU77" s="96">
        <v>39225</v>
      </c>
      <c r="BV77" s="96">
        <v>39225</v>
      </c>
      <c r="BW77" s="96">
        <v>39225</v>
      </c>
      <c r="BX77" s="96">
        <v>39225</v>
      </c>
      <c r="BY77" s="96">
        <v>39225</v>
      </c>
      <c r="BZ77" s="96">
        <v>39225</v>
      </c>
      <c r="CA77" s="96">
        <v>39225</v>
      </c>
      <c r="CB77" s="96">
        <v>39225</v>
      </c>
      <c r="CD77" s="96">
        <v>23535</v>
      </c>
      <c r="CE77" s="96">
        <v>23535</v>
      </c>
      <c r="CF77" s="96">
        <v>23535</v>
      </c>
      <c r="CG77" s="96">
        <v>23535</v>
      </c>
      <c r="CH77" s="96">
        <v>23535</v>
      </c>
      <c r="CI77" s="96">
        <v>23535</v>
      </c>
      <c r="CJ77" s="96">
        <v>23535</v>
      </c>
      <c r="CK77" s="96">
        <v>23535</v>
      </c>
      <c r="CL77" s="96">
        <v>23535</v>
      </c>
      <c r="CM77" s="96">
        <v>23535</v>
      </c>
      <c r="CN77" s="96">
        <v>23535</v>
      </c>
      <c r="CO77" s="96">
        <v>23535</v>
      </c>
      <c r="CQ77" s="96">
        <v>15690</v>
      </c>
      <c r="CR77" s="96">
        <v>15690</v>
      </c>
      <c r="CS77" s="96">
        <v>15690</v>
      </c>
      <c r="CT77" s="96">
        <v>15690</v>
      </c>
      <c r="CU77" s="96">
        <v>15690</v>
      </c>
      <c r="CV77" s="96">
        <v>15690</v>
      </c>
      <c r="CW77" s="96">
        <v>15690</v>
      </c>
      <c r="CX77" s="96">
        <v>15690</v>
      </c>
      <c r="CY77" s="96">
        <v>15690</v>
      </c>
      <c r="CZ77" s="96">
        <v>15690</v>
      </c>
      <c r="DA77" s="96">
        <v>15690</v>
      </c>
      <c r="DB77" s="96">
        <v>15690</v>
      </c>
      <c r="DE77" s="96"/>
      <c r="DF77" s="96"/>
      <c r="DG77" s="96"/>
      <c r="DH77" s="96"/>
      <c r="DI77" s="96"/>
      <c r="DJ77" s="96"/>
      <c r="DK77" s="96"/>
      <c r="DL77" s="96"/>
      <c r="DM77" s="96"/>
      <c r="DN77" s="96"/>
      <c r="DO77" s="96"/>
      <c r="DP77" s="96"/>
      <c r="DR77" s="93"/>
      <c r="DS77" s="93"/>
      <c r="DT77" s="93"/>
      <c r="DU77" s="93"/>
      <c r="DV77" s="93"/>
      <c r="DW77" s="93"/>
      <c r="DX77" s="93"/>
      <c r="DY77" s="93"/>
      <c r="DZ77" s="93"/>
      <c r="EA77" s="93"/>
      <c r="EB77" s="93"/>
      <c r="EC77" s="93"/>
    </row>
    <row r="78" spans="1:133" s="94" customFormat="1" ht="15.6" customHeight="1">
      <c r="A78" s="93" t="s">
        <v>105</v>
      </c>
      <c r="B78" s="93"/>
      <c r="C78" s="93">
        <v>131555.28846153847</v>
      </c>
      <c r="D78" s="93">
        <v>129572.11538461539</v>
      </c>
      <c r="E78" s="93">
        <v>129572.11538461539</v>
      </c>
      <c r="F78" s="93">
        <v>129572.11538461539</v>
      </c>
      <c r="G78" s="93">
        <v>129572.11538461539</v>
      </c>
      <c r="H78" s="93">
        <v>129572.11538461539</v>
      </c>
      <c r="I78" s="93">
        <v>129572.11538461539</v>
      </c>
      <c r="J78" s="93">
        <v>129572.11538461539</v>
      </c>
      <c r="K78" s="93">
        <v>129572.11538461539</v>
      </c>
      <c r="L78" s="93">
        <v>129572.11538461539</v>
      </c>
      <c r="M78" s="93">
        <v>129572.11538461539</v>
      </c>
      <c r="N78" s="93">
        <v>129572.11538461539</v>
      </c>
      <c r="O78" s="94">
        <v>-1910881.0364076914</v>
      </c>
      <c r="P78" s="98"/>
      <c r="Q78" s="93">
        <v>54057.692307692305</v>
      </c>
      <c r="R78" s="93">
        <v>54057.692307692305</v>
      </c>
      <c r="S78" s="93">
        <v>54057.692307692305</v>
      </c>
      <c r="T78" s="93">
        <v>54057.692307692305</v>
      </c>
      <c r="U78" s="93">
        <v>54057.692307692305</v>
      </c>
      <c r="V78" s="93">
        <v>54057.692307692305</v>
      </c>
      <c r="W78" s="93">
        <v>54057.692307692305</v>
      </c>
      <c r="X78" s="93">
        <v>54057.692307692305</v>
      </c>
      <c r="Y78" s="93">
        <v>54057.692307692305</v>
      </c>
      <c r="Z78" s="93">
        <v>54057.692307692305</v>
      </c>
      <c r="AA78" s="93">
        <v>54057.692307692305</v>
      </c>
      <c r="AB78" s="93">
        <v>54057.692307692305</v>
      </c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Q78" s="95">
        <v>28437.499999999996</v>
      </c>
      <c r="AR78" s="95">
        <v>28437.499999999996</v>
      </c>
      <c r="AS78" s="95">
        <v>28437.499999999996</v>
      </c>
      <c r="AT78" s="95">
        <v>28437.499999999996</v>
      </c>
      <c r="AU78" s="95">
        <v>28437.499999999996</v>
      </c>
      <c r="AV78" s="95">
        <v>28437.499999999996</v>
      </c>
      <c r="AW78" s="95">
        <v>28437.499999999996</v>
      </c>
      <c r="AX78" s="95">
        <v>28437.499999999996</v>
      </c>
      <c r="AY78" s="95">
        <v>28437.499999999996</v>
      </c>
      <c r="AZ78" s="95">
        <v>28437.499999999996</v>
      </c>
      <c r="BA78" s="95">
        <v>28437.499999999996</v>
      </c>
      <c r="BB78" s="95">
        <v>28437.499999999996</v>
      </c>
      <c r="BD78" s="95">
        <v>5110.5769230769229</v>
      </c>
      <c r="BE78" s="95">
        <v>5110.5769230769229</v>
      </c>
      <c r="BF78" s="95">
        <v>5110.5769230769229</v>
      </c>
      <c r="BG78" s="95">
        <v>5110.5769230769229</v>
      </c>
      <c r="BH78" s="95">
        <v>5110.5769230769229</v>
      </c>
      <c r="BI78" s="95">
        <v>5110.5769230769229</v>
      </c>
      <c r="BJ78" s="95">
        <v>5110.5769230769229</v>
      </c>
      <c r="BK78" s="95">
        <v>5110.5769230769229</v>
      </c>
      <c r="BL78" s="95">
        <v>5110.5769230769229</v>
      </c>
      <c r="BM78" s="95">
        <v>5110.5769230769229</v>
      </c>
      <c r="BN78" s="95">
        <v>5110.5769230769229</v>
      </c>
      <c r="BO78" s="95">
        <v>5110.5769230769229</v>
      </c>
      <c r="BQ78" s="93">
        <v>18769.230769230773</v>
      </c>
      <c r="BR78" s="93">
        <v>18769.230769230773</v>
      </c>
      <c r="BS78" s="93">
        <v>18769.230769230773</v>
      </c>
      <c r="BT78" s="93">
        <v>18769.230769230773</v>
      </c>
      <c r="BU78" s="93">
        <v>18769.230769230773</v>
      </c>
      <c r="BV78" s="93">
        <v>18769.230769230773</v>
      </c>
      <c r="BW78" s="93">
        <v>18769.230769230773</v>
      </c>
      <c r="BX78" s="93">
        <v>18769.230769230773</v>
      </c>
      <c r="BY78" s="93">
        <v>18769.230769230773</v>
      </c>
      <c r="BZ78" s="93">
        <v>18769.230769230773</v>
      </c>
      <c r="CA78" s="93">
        <v>18769.230769230773</v>
      </c>
      <c r="CB78" s="93">
        <v>18769.230769230773</v>
      </c>
      <c r="CD78" s="95">
        <v>14716.346153846156</v>
      </c>
      <c r="CE78" s="95">
        <v>14716.346153846156</v>
      </c>
      <c r="CF78" s="95">
        <v>14716.346153846156</v>
      </c>
      <c r="CG78" s="95">
        <v>14716.346153846156</v>
      </c>
      <c r="CH78" s="95">
        <v>14716.346153846156</v>
      </c>
      <c r="CI78" s="95">
        <v>14716.346153846156</v>
      </c>
      <c r="CJ78" s="95">
        <v>14716.346153846156</v>
      </c>
      <c r="CK78" s="95">
        <v>14716.346153846156</v>
      </c>
      <c r="CL78" s="95">
        <v>14716.346153846156</v>
      </c>
      <c r="CM78" s="95">
        <v>14716.346153846156</v>
      </c>
      <c r="CN78" s="95">
        <v>14716.346153846156</v>
      </c>
      <c r="CO78" s="95">
        <v>14716.346153846156</v>
      </c>
      <c r="CQ78" s="95">
        <v>836.53846153846155</v>
      </c>
      <c r="CR78" s="95">
        <v>836.53846153846155</v>
      </c>
      <c r="CS78" s="95">
        <v>836.53846153846155</v>
      </c>
      <c r="CT78" s="95">
        <v>836.53846153846155</v>
      </c>
      <c r="CU78" s="95">
        <v>836.53846153846155</v>
      </c>
      <c r="CV78" s="95">
        <v>836.53846153846155</v>
      </c>
      <c r="CW78" s="95">
        <v>836.53846153846155</v>
      </c>
      <c r="CX78" s="95">
        <v>836.53846153846155</v>
      </c>
      <c r="CY78" s="95">
        <v>836.53846153846155</v>
      </c>
      <c r="CZ78" s="95">
        <v>836.53846153846155</v>
      </c>
      <c r="DA78" s="95">
        <v>836.53846153846155</v>
      </c>
      <c r="DB78" s="95">
        <v>836.53846153846155</v>
      </c>
      <c r="DE78" s="95">
        <v>7644.2307692307695</v>
      </c>
      <c r="DF78" s="95">
        <v>7644.2307692307695</v>
      </c>
      <c r="DG78" s="95">
        <v>7644.2307692307695</v>
      </c>
      <c r="DH78" s="95">
        <v>7644.2307692307695</v>
      </c>
      <c r="DI78" s="95">
        <v>7644.2307692307695</v>
      </c>
      <c r="DJ78" s="95">
        <v>7644.2307692307695</v>
      </c>
      <c r="DK78" s="95">
        <v>7644.2307692307695</v>
      </c>
      <c r="DL78" s="95">
        <v>7644.2307692307695</v>
      </c>
      <c r="DM78" s="95">
        <v>7644.2307692307695</v>
      </c>
      <c r="DN78" s="95">
        <v>7644.2307692307695</v>
      </c>
      <c r="DO78" s="95">
        <v>7644.2307692307695</v>
      </c>
      <c r="DP78" s="95">
        <v>7644.2307692307695</v>
      </c>
      <c r="DR78" s="93">
        <v>1983.1730769230771</v>
      </c>
      <c r="DS78" s="93">
        <v>1983.1730769230771</v>
      </c>
      <c r="DT78" s="93">
        <v>1983.1730769230771</v>
      </c>
      <c r="DU78" s="93">
        <v>1983.1730769230771</v>
      </c>
      <c r="DV78" s="93">
        <v>1983.1730769230771</v>
      </c>
      <c r="DW78" s="93">
        <v>1983.1730769230771</v>
      </c>
      <c r="DX78" s="93">
        <v>1983.1730769230771</v>
      </c>
      <c r="DY78" s="93">
        <v>1983.1730769230771</v>
      </c>
      <c r="DZ78" s="93">
        <v>1983.1730769230771</v>
      </c>
      <c r="EA78" s="93">
        <v>1983.1730769230771</v>
      </c>
      <c r="EB78" s="93">
        <v>1983.1730769230771</v>
      </c>
      <c r="EC78" s="93">
        <v>1983.1730769230771</v>
      </c>
    </row>
    <row r="79" spans="1:133" s="94" customFormat="1" ht="15.6" customHeight="1">
      <c r="A79" s="93" t="s">
        <v>226</v>
      </c>
      <c r="B79" s="93"/>
      <c r="C79" s="93">
        <v>171333.33333333331</v>
      </c>
      <c r="D79" s="93">
        <v>170066.50641025638</v>
      </c>
      <c r="E79" s="93">
        <v>170066.50641025638</v>
      </c>
      <c r="F79" s="93">
        <v>170066.50641025638</v>
      </c>
      <c r="G79" s="93">
        <v>170066.50641025638</v>
      </c>
      <c r="H79" s="93">
        <v>170066.50641025638</v>
      </c>
      <c r="I79" s="93">
        <v>170066.50641025638</v>
      </c>
      <c r="J79" s="93">
        <v>170066.50641025638</v>
      </c>
      <c r="K79" s="93">
        <v>170066.50641025638</v>
      </c>
      <c r="L79" s="93">
        <v>170066.50641025638</v>
      </c>
      <c r="M79" s="93">
        <v>170066.50641025638</v>
      </c>
      <c r="N79" s="93">
        <v>170066.50641025638</v>
      </c>
      <c r="O79" s="94">
        <v>314082.50384615408</v>
      </c>
      <c r="Q79" s="93">
        <v>60583.333333333343</v>
      </c>
      <c r="R79" s="93">
        <v>60583.333333333343</v>
      </c>
      <c r="S79" s="93">
        <v>60583.333333333343</v>
      </c>
      <c r="T79" s="93">
        <v>60583.333333333343</v>
      </c>
      <c r="U79" s="93">
        <v>60583.333333333343</v>
      </c>
      <c r="V79" s="93">
        <v>60583.333333333343</v>
      </c>
      <c r="W79" s="93">
        <v>60583.333333333343</v>
      </c>
      <c r="X79" s="93">
        <v>60583.333333333343</v>
      </c>
      <c r="Y79" s="93">
        <v>60583.333333333343</v>
      </c>
      <c r="Z79" s="93">
        <v>60583.333333333343</v>
      </c>
      <c r="AA79" s="93">
        <v>60583.333333333343</v>
      </c>
      <c r="AB79" s="93">
        <v>60583.333333333343</v>
      </c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Q79" s="95">
        <v>42233.333333333328</v>
      </c>
      <c r="AR79" s="95">
        <v>42233.333333333328</v>
      </c>
      <c r="AS79" s="95">
        <v>42233.333333333328</v>
      </c>
      <c r="AT79" s="95">
        <v>42233.333333333328</v>
      </c>
      <c r="AU79" s="95">
        <v>42233.333333333328</v>
      </c>
      <c r="AV79" s="95">
        <v>42233.333333333328</v>
      </c>
      <c r="AW79" s="95">
        <v>42233.333333333328</v>
      </c>
      <c r="AX79" s="95">
        <v>42233.333333333328</v>
      </c>
      <c r="AY79" s="95">
        <v>42233.333333333328</v>
      </c>
      <c r="AZ79" s="95">
        <v>42233.333333333328</v>
      </c>
      <c r="BA79" s="95">
        <v>42233.333333333328</v>
      </c>
      <c r="BB79" s="95">
        <v>42233.333333333328</v>
      </c>
      <c r="BD79" s="95">
        <v>8274.9999999999982</v>
      </c>
      <c r="BE79" s="95">
        <v>8274.9999999999982</v>
      </c>
      <c r="BF79" s="95">
        <v>8274.9999999999982</v>
      </c>
      <c r="BG79" s="95">
        <v>8274.9999999999982</v>
      </c>
      <c r="BH79" s="95">
        <v>8274.9999999999982</v>
      </c>
      <c r="BI79" s="95">
        <v>8274.9999999999982</v>
      </c>
      <c r="BJ79" s="95">
        <v>8274.9999999999982</v>
      </c>
      <c r="BK79" s="95">
        <v>8274.9999999999982</v>
      </c>
      <c r="BL79" s="95">
        <v>8274.9999999999982</v>
      </c>
      <c r="BM79" s="95">
        <v>8274.9999999999982</v>
      </c>
      <c r="BN79" s="95">
        <v>8274.9999999999982</v>
      </c>
      <c r="BO79" s="95">
        <v>8274.9999999999982</v>
      </c>
      <c r="BQ79" s="93">
        <v>24574.999999999996</v>
      </c>
      <c r="BR79" s="93">
        <v>24574.999999999996</v>
      </c>
      <c r="BS79" s="93">
        <v>24574.999999999996</v>
      </c>
      <c r="BT79" s="93">
        <v>24574.999999999996</v>
      </c>
      <c r="BU79" s="93">
        <v>24574.999999999996</v>
      </c>
      <c r="BV79" s="93">
        <v>24574.999999999996</v>
      </c>
      <c r="BW79" s="93">
        <v>24574.999999999996</v>
      </c>
      <c r="BX79" s="93">
        <v>24574.999999999996</v>
      </c>
      <c r="BY79" s="93">
        <v>24574.999999999996</v>
      </c>
      <c r="BZ79" s="93">
        <v>24574.999999999996</v>
      </c>
      <c r="CA79" s="93">
        <v>24574.999999999996</v>
      </c>
      <c r="CB79" s="93">
        <v>24574.999999999996</v>
      </c>
      <c r="CD79" s="95">
        <v>20216.666666666664</v>
      </c>
      <c r="CE79" s="95">
        <v>20216.666666666664</v>
      </c>
      <c r="CF79" s="95">
        <v>20216.666666666664</v>
      </c>
      <c r="CG79" s="95">
        <v>20216.666666666664</v>
      </c>
      <c r="CH79" s="95">
        <v>20216.666666666664</v>
      </c>
      <c r="CI79" s="95">
        <v>20216.666666666664</v>
      </c>
      <c r="CJ79" s="95">
        <v>20216.666666666664</v>
      </c>
      <c r="CK79" s="95">
        <v>20216.666666666664</v>
      </c>
      <c r="CL79" s="95">
        <v>20216.666666666664</v>
      </c>
      <c r="CM79" s="95">
        <v>20216.666666666664</v>
      </c>
      <c r="CN79" s="95">
        <v>20216.666666666664</v>
      </c>
      <c r="CO79" s="95">
        <v>20216.666666666664</v>
      </c>
      <c r="CQ79" s="95">
        <v>1283.3333333333333</v>
      </c>
      <c r="CR79" s="95">
        <v>1283.3333333333333</v>
      </c>
      <c r="CS79" s="95">
        <v>1283.3333333333333</v>
      </c>
      <c r="CT79" s="95">
        <v>1283.3333333333333</v>
      </c>
      <c r="CU79" s="95">
        <v>1283.3333333333333</v>
      </c>
      <c r="CV79" s="95">
        <v>1283.3333333333333</v>
      </c>
      <c r="CW79" s="95">
        <v>1283.3333333333333</v>
      </c>
      <c r="CX79" s="95">
        <v>1283.3333333333333</v>
      </c>
      <c r="CY79" s="95">
        <v>1283.3333333333333</v>
      </c>
      <c r="CZ79" s="95">
        <v>1283.3333333333333</v>
      </c>
      <c r="DA79" s="95">
        <v>1283.3333333333333</v>
      </c>
      <c r="DB79" s="95">
        <v>1283.3333333333333</v>
      </c>
      <c r="DE79" s="95">
        <v>10916.666666666664</v>
      </c>
      <c r="DF79" s="95">
        <v>10916.666666666664</v>
      </c>
      <c r="DG79" s="95">
        <v>10916.666666666664</v>
      </c>
      <c r="DH79" s="95">
        <v>10916.666666666664</v>
      </c>
      <c r="DI79" s="95">
        <v>10916.666666666664</v>
      </c>
      <c r="DJ79" s="95">
        <v>10916.666666666664</v>
      </c>
      <c r="DK79" s="95">
        <v>10916.666666666664</v>
      </c>
      <c r="DL79" s="95">
        <v>10916.666666666664</v>
      </c>
      <c r="DM79" s="95">
        <v>10916.666666666664</v>
      </c>
      <c r="DN79" s="95">
        <v>10916.666666666664</v>
      </c>
      <c r="DO79" s="95">
        <v>10916.666666666664</v>
      </c>
      <c r="DP79" s="95">
        <v>10916.666666666664</v>
      </c>
      <c r="DR79" s="93">
        <v>3250</v>
      </c>
      <c r="DS79" s="93">
        <v>3250</v>
      </c>
      <c r="DT79" s="93">
        <v>3250</v>
      </c>
      <c r="DU79" s="93">
        <v>3250</v>
      </c>
      <c r="DV79" s="93">
        <v>3250</v>
      </c>
      <c r="DW79" s="93">
        <v>3250</v>
      </c>
      <c r="DX79" s="93">
        <v>3250</v>
      </c>
      <c r="DY79" s="93">
        <v>3250</v>
      </c>
      <c r="DZ79" s="93">
        <v>3250</v>
      </c>
      <c r="EA79" s="93">
        <v>3250</v>
      </c>
      <c r="EB79" s="93">
        <v>3250</v>
      </c>
      <c r="EC79" s="93">
        <v>3250</v>
      </c>
    </row>
    <row r="80" spans="1:133" ht="9.75" customHeight="1">
      <c r="A80" s="83" t="s">
        <v>107</v>
      </c>
      <c r="B80" s="83"/>
      <c r="C80" s="83">
        <v>0</v>
      </c>
      <c r="D80" s="83">
        <v>0</v>
      </c>
      <c r="E80" s="83">
        <v>0</v>
      </c>
      <c r="F80" s="83">
        <v>0</v>
      </c>
      <c r="G80" s="83">
        <v>0</v>
      </c>
      <c r="H80" s="83">
        <v>0</v>
      </c>
      <c r="I80" s="83">
        <v>0</v>
      </c>
      <c r="J80" s="83">
        <v>0</v>
      </c>
      <c r="K80" s="83">
        <v>0</v>
      </c>
      <c r="L80" s="83">
        <v>0</v>
      </c>
      <c r="M80" s="83">
        <v>0</v>
      </c>
      <c r="N80" s="83">
        <v>0</v>
      </c>
      <c r="O80" s="77">
        <v>0</v>
      </c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Q80" s="99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D80" s="99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D80" s="99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Q80" s="99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E80" s="83">
        <v>0</v>
      </c>
      <c r="DF80" s="83">
        <v>0</v>
      </c>
      <c r="DG80" s="83">
        <v>0</v>
      </c>
      <c r="DH80" s="83">
        <v>0</v>
      </c>
      <c r="DI80" s="83">
        <v>0</v>
      </c>
      <c r="DJ80" s="83">
        <v>0</v>
      </c>
      <c r="DK80" s="83">
        <v>0</v>
      </c>
      <c r="DL80" s="83">
        <v>0</v>
      </c>
      <c r="DM80" s="83">
        <v>0</v>
      </c>
      <c r="DN80" s="83">
        <v>0</v>
      </c>
      <c r="DO80" s="83">
        <v>0</v>
      </c>
      <c r="DP80" s="83">
        <v>0</v>
      </c>
      <c r="DR80" s="83"/>
      <c r="DS80" s="83"/>
      <c r="DT80" s="83"/>
      <c r="DU80" s="83"/>
      <c r="DV80" s="83"/>
      <c r="DW80" s="83"/>
      <c r="DX80" s="83"/>
      <c r="DY80" s="83"/>
      <c r="DZ80" s="83"/>
      <c r="EA80" s="83"/>
      <c r="EB80" s="83"/>
      <c r="EC80" s="83"/>
    </row>
    <row r="81" spans="1:133" ht="15" hidden="1" customHeight="1">
      <c r="A81" s="83" t="s">
        <v>108</v>
      </c>
      <c r="B81" s="83"/>
      <c r="C81" s="83">
        <v>0</v>
      </c>
      <c r="D81" s="83">
        <v>0</v>
      </c>
      <c r="E81" s="83">
        <v>0</v>
      </c>
      <c r="F81" s="83">
        <v>0</v>
      </c>
      <c r="G81" s="83">
        <v>0</v>
      </c>
      <c r="H81" s="83">
        <v>0</v>
      </c>
      <c r="I81" s="83">
        <v>0</v>
      </c>
      <c r="J81" s="83">
        <v>0</v>
      </c>
      <c r="K81" s="83">
        <v>0</v>
      </c>
      <c r="L81" s="83">
        <v>0</v>
      </c>
      <c r="M81" s="83">
        <v>0</v>
      </c>
      <c r="N81" s="83">
        <v>0</v>
      </c>
      <c r="O81" s="77">
        <v>0</v>
      </c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Q81" s="99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D81" s="99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Q81" s="83"/>
      <c r="BR81" s="83"/>
      <c r="BS81" s="83"/>
      <c r="BT81" s="83"/>
      <c r="BU81" s="83"/>
      <c r="BV81" s="83"/>
      <c r="BW81" s="83"/>
      <c r="BX81" s="83"/>
      <c r="BY81" s="83"/>
      <c r="BZ81" s="83"/>
      <c r="CA81" s="83"/>
      <c r="CB81" s="83"/>
      <c r="CD81" s="99"/>
      <c r="CE81" s="83"/>
      <c r="CF81" s="83"/>
      <c r="CG81" s="83"/>
      <c r="CH81" s="83"/>
      <c r="CI81" s="83"/>
      <c r="CJ81" s="83"/>
      <c r="CK81" s="83"/>
      <c r="CL81" s="83"/>
      <c r="CM81" s="83"/>
      <c r="CN81" s="83"/>
      <c r="CO81" s="83"/>
      <c r="CQ81" s="99"/>
      <c r="CR81" s="83"/>
      <c r="CS81" s="83"/>
      <c r="CT81" s="83"/>
      <c r="CU81" s="83"/>
      <c r="CV81" s="83"/>
      <c r="CW81" s="83"/>
      <c r="CX81" s="83"/>
      <c r="CY81" s="83"/>
      <c r="CZ81" s="83"/>
      <c r="DA81" s="83"/>
      <c r="DB81" s="83"/>
      <c r="DE81" s="83">
        <v>0</v>
      </c>
      <c r="DF81" s="83">
        <v>0</v>
      </c>
      <c r="DG81" s="83">
        <v>0</v>
      </c>
      <c r="DH81" s="83">
        <v>0</v>
      </c>
      <c r="DI81" s="83">
        <v>0</v>
      </c>
      <c r="DJ81" s="83">
        <v>0</v>
      </c>
      <c r="DK81" s="83">
        <v>0</v>
      </c>
      <c r="DL81" s="83">
        <v>0</v>
      </c>
      <c r="DM81" s="83">
        <v>0</v>
      </c>
      <c r="DN81" s="83">
        <v>0</v>
      </c>
      <c r="DO81" s="83">
        <v>0</v>
      </c>
      <c r="DP81" s="83">
        <v>0</v>
      </c>
      <c r="DR81" s="83"/>
      <c r="DS81" s="83"/>
      <c r="DT81" s="83"/>
      <c r="DU81" s="83"/>
      <c r="DV81" s="83"/>
      <c r="DW81" s="83"/>
      <c r="DX81" s="83"/>
      <c r="DY81" s="83"/>
      <c r="DZ81" s="83"/>
      <c r="EA81" s="83"/>
      <c r="EB81" s="83"/>
      <c r="EC81" s="83"/>
    </row>
    <row r="82" spans="1:133" ht="15" hidden="1" customHeight="1">
      <c r="A82" s="83" t="s">
        <v>109</v>
      </c>
      <c r="B82" s="83"/>
      <c r="C82" s="83">
        <v>346000</v>
      </c>
      <c r="D82" s="83">
        <v>346000</v>
      </c>
      <c r="E82" s="83">
        <v>346000</v>
      </c>
      <c r="F82" s="83">
        <v>346000</v>
      </c>
      <c r="G82" s="83">
        <v>346000</v>
      </c>
      <c r="H82" s="83">
        <v>346000</v>
      </c>
      <c r="I82" s="83">
        <v>346000</v>
      </c>
      <c r="J82" s="83">
        <v>346000</v>
      </c>
      <c r="K82" s="83">
        <v>346000</v>
      </c>
      <c r="L82" s="83">
        <v>346000</v>
      </c>
      <c r="M82" s="83">
        <v>346000</v>
      </c>
      <c r="N82" s="83">
        <v>346000</v>
      </c>
      <c r="O82" s="77">
        <v>-90000</v>
      </c>
      <c r="Q82" s="83">
        <v>144600</v>
      </c>
      <c r="R82" s="83">
        <v>144600</v>
      </c>
      <c r="S82" s="83">
        <v>144600</v>
      </c>
      <c r="T82" s="83">
        <v>144600</v>
      </c>
      <c r="U82" s="83">
        <v>144600</v>
      </c>
      <c r="V82" s="83">
        <v>144600</v>
      </c>
      <c r="W82" s="83">
        <v>144600</v>
      </c>
      <c r="X82" s="83">
        <v>144600</v>
      </c>
      <c r="Y82" s="83">
        <v>144600</v>
      </c>
      <c r="Z82" s="83">
        <v>144600</v>
      </c>
      <c r="AA82" s="83">
        <v>144600</v>
      </c>
      <c r="AB82" s="83">
        <v>144600</v>
      </c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Q82" s="99">
        <v>25000</v>
      </c>
      <c r="AR82" s="83">
        <v>25000</v>
      </c>
      <c r="AS82" s="83">
        <v>25000</v>
      </c>
      <c r="AT82" s="83">
        <v>25000</v>
      </c>
      <c r="AU82" s="83">
        <v>25000</v>
      </c>
      <c r="AV82" s="83">
        <v>25000</v>
      </c>
      <c r="AW82" s="83">
        <v>25000</v>
      </c>
      <c r="AX82" s="83">
        <v>25000</v>
      </c>
      <c r="AY82" s="83">
        <v>25000</v>
      </c>
      <c r="AZ82" s="83">
        <v>25000</v>
      </c>
      <c r="BA82" s="83">
        <v>25000</v>
      </c>
      <c r="BB82" s="83">
        <v>25000</v>
      </c>
      <c r="BD82" s="99">
        <v>10000</v>
      </c>
      <c r="BE82" s="99">
        <v>10000</v>
      </c>
      <c r="BF82" s="99">
        <v>10000</v>
      </c>
      <c r="BG82" s="99">
        <v>10000</v>
      </c>
      <c r="BH82" s="99">
        <v>10000</v>
      </c>
      <c r="BI82" s="99">
        <v>10000</v>
      </c>
      <c r="BJ82" s="99">
        <v>10000</v>
      </c>
      <c r="BK82" s="99">
        <v>10000</v>
      </c>
      <c r="BL82" s="99">
        <v>10000</v>
      </c>
      <c r="BM82" s="99">
        <v>10000</v>
      </c>
      <c r="BN82" s="99">
        <v>10000</v>
      </c>
      <c r="BO82" s="99">
        <v>10000</v>
      </c>
      <c r="BQ82" s="83">
        <v>96400</v>
      </c>
      <c r="BR82" s="83">
        <v>96400</v>
      </c>
      <c r="BS82" s="83">
        <v>96400</v>
      </c>
      <c r="BT82" s="83">
        <v>96400</v>
      </c>
      <c r="BU82" s="83">
        <v>96400</v>
      </c>
      <c r="BV82" s="83">
        <v>96400</v>
      </c>
      <c r="BW82" s="83">
        <v>96400</v>
      </c>
      <c r="BX82" s="83">
        <v>96400</v>
      </c>
      <c r="BY82" s="83">
        <v>96400</v>
      </c>
      <c r="BZ82" s="83">
        <v>96400</v>
      </c>
      <c r="CA82" s="83">
        <v>96400</v>
      </c>
      <c r="CB82" s="83">
        <v>96400</v>
      </c>
      <c r="CD82" s="99">
        <v>35000</v>
      </c>
      <c r="CE82" s="83">
        <v>35000</v>
      </c>
      <c r="CF82" s="83">
        <v>35000</v>
      </c>
      <c r="CG82" s="83">
        <v>35000</v>
      </c>
      <c r="CH82" s="83">
        <v>35000</v>
      </c>
      <c r="CI82" s="83">
        <v>35000</v>
      </c>
      <c r="CJ82" s="83">
        <v>35000</v>
      </c>
      <c r="CK82" s="83">
        <v>35000</v>
      </c>
      <c r="CL82" s="83">
        <v>35000</v>
      </c>
      <c r="CM82" s="83">
        <v>35000</v>
      </c>
      <c r="CN82" s="83">
        <v>35000</v>
      </c>
      <c r="CO82" s="83">
        <v>35000</v>
      </c>
      <c r="CQ82" s="99">
        <v>10000</v>
      </c>
      <c r="CR82" s="99">
        <v>10000</v>
      </c>
      <c r="CS82" s="99">
        <v>10000</v>
      </c>
      <c r="CT82" s="99">
        <v>10000</v>
      </c>
      <c r="CU82" s="99">
        <v>10000</v>
      </c>
      <c r="CV82" s="99">
        <v>10000</v>
      </c>
      <c r="CW82" s="99">
        <v>10000</v>
      </c>
      <c r="CX82" s="99">
        <v>10000</v>
      </c>
      <c r="CY82" s="99">
        <v>10000</v>
      </c>
      <c r="CZ82" s="99">
        <v>10000</v>
      </c>
      <c r="DA82" s="99">
        <v>10000</v>
      </c>
      <c r="DB82" s="99">
        <v>10000</v>
      </c>
      <c r="DE82" s="83">
        <v>25000</v>
      </c>
      <c r="DF82" s="83">
        <v>25000</v>
      </c>
      <c r="DG82" s="83">
        <v>25000</v>
      </c>
      <c r="DH82" s="83">
        <v>25000</v>
      </c>
      <c r="DI82" s="83">
        <v>25000</v>
      </c>
      <c r="DJ82" s="83">
        <v>25000</v>
      </c>
      <c r="DK82" s="83">
        <v>25000</v>
      </c>
      <c r="DL82" s="83">
        <v>25000</v>
      </c>
      <c r="DM82" s="83">
        <v>25000</v>
      </c>
      <c r="DN82" s="83">
        <v>25000</v>
      </c>
      <c r="DO82" s="83">
        <v>25000</v>
      </c>
      <c r="DP82" s="83">
        <v>25000</v>
      </c>
      <c r="DR82" s="83">
        <v>7500</v>
      </c>
      <c r="DS82" s="83">
        <v>7500</v>
      </c>
      <c r="DT82" s="83">
        <v>7500</v>
      </c>
      <c r="DU82" s="83">
        <v>7500</v>
      </c>
      <c r="DV82" s="83">
        <v>7500</v>
      </c>
      <c r="DW82" s="83">
        <v>7500</v>
      </c>
      <c r="DX82" s="83">
        <v>7500</v>
      </c>
      <c r="DY82" s="83">
        <v>7500</v>
      </c>
      <c r="DZ82" s="83">
        <v>7500</v>
      </c>
      <c r="EA82" s="83">
        <v>7500</v>
      </c>
      <c r="EB82" s="83">
        <v>7500</v>
      </c>
      <c r="EC82" s="83">
        <v>7500</v>
      </c>
    </row>
    <row r="83" spans="1:133" ht="15" hidden="1" customHeight="1">
      <c r="A83" s="83" t="s">
        <v>111</v>
      </c>
      <c r="B83" s="83"/>
      <c r="C83" s="83">
        <v>7500</v>
      </c>
      <c r="D83" s="83">
        <v>7500</v>
      </c>
      <c r="E83" s="83">
        <v>7500</v>
      </c>
      <c r="F83" s="83">
        <v>7500</v>
      </c>
      <c r="G83" s="83">
        <v>7500</v>
      </c>
      <c r="H83" s="83">
        <v>7500</v>
      </c>
      <c r="I83" s="83">
        <v>7500</v>
      </c>
      <c r="J83" s="83">
        <v>7500</v>
      </c>
      <c r="K83" s="83">
        <v>7500</v>
      </c>
      <c r="L83" s="83">
        <v>7500</v>
      </c>
      <c r="M83" s="83">
        <v>7500</v>
      </c>
      <c r="N83" s="83">
        <v>7500</v>
      </c>
      <c r="O83" s="77">
        <v>90000</v>
      </c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Q83" s="99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D83" s="99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Q83" s="83"/>
      <c r="BR83" s="83"/>
      <c r="BS83" s="83"/>
      <c r="BT83" s="83"/>
      <c r="BU83" s="83"/>
      <c r="BV83" s="83"/>
      <c r="BW83" s="83"/>
      <c r="BX83" s="83"/>
      <c r="BY83" s="83"/>
      <c r="BZ83" s="83"/>
      <c r="CA83" s="83"/>
      <c r="CB83" s="83"/>
      <c r="CD83" s="99"/>
      <c r="CE83" s="83"/>
      <c r="CF83" s="83"/>
      <c r="CG83" s="83"/>
      <c r="CH83" s="83"/>
      <c r="CI83" s="83"/>
      <c r="CJ83" s="83"/>
      <c r="CK83" s="83"/>
      <c r="CL83" s="83"/>
      <c r="CM83" s="83"/>
      <c r="CN83" s="83"/>
      <c r="CO83" s="83"/>
      <c r="CQ83" s="99"/>
      <c r="CR83" s="83"/>
      <c r="CS83" s="83"/>
      <c r="CT83" s="83"/>
      <c r="CU83" s="83"/>
      <c r="CV83" s="83"/>
      <c r="CW83" s="83"/>
      <c r="CX83" s="83"/>
      <c r="CY83" s="83"/>
      <c r="CZ83" s="83"/>
      <c r="DA83" s="83"/>
      <c r="DB83" s="83"/>
      <c r="DE83" s="83">
        <v>0</v>
      </c>
      <c r="DF83" s="83">
        <v>0</v>
      </c>
      <c r="DG83" s="83">
        <v>0</v>
      </c>
      <c r="DH83" s="83">
        <v>0</v>
      </c>
      <c r="DI83" s="83">
        <v>0</v>
      </c>
      <c r="DJ83" s="83">
        <v>0</v>
      </c>
      <c r="DK83" s="83">
        <v>0</v>
      </c>
      <c r="DL83" s="83">
        <v>0</v>
      </c>
      <c r="DM83" s="83">
        <v>0</v>
      </c>
      <c r="DN83" s="83">
        <v>0</v>
      </c>
      <c r="DO83" s="83">
        <v>0</v>
      </c>
      <c r="DP83" s="83">
        <v>0</v>
      </c>
      <c r="DR83" s="83"/>
      <c r="DS83" s="83"/>
      <c r="DT83" s="83"/>
      <c r="DU83" s="83"/>
      <c r="DV83" s="83"/>
      <c r="DW83" s="83"/>
      <c r="DX83" s="83"/>
      <c r="DY83" s="83"/>
      <c r="DZ83" s="83"/>
      <c r="EA83" s="83"/>
      <c r="EB83" s="83"/>
      <c r="EC83" s="83"/>
    </row>
    <row r="84" spans="1:133" ht="15" hidden="1" customHeight="1">
      <c r="A84" s="83" t="s">
        <v>112</v>
      </c>
      <c r="B84" s="83"/>
      <c r="C84" s="83">
        <v>391546.97902916663</v>
      </c>
      <c r="D84" s="83">
        <v>391546.97902916663</v>
      </c>
      <c r="E84" s="83">
        <v>391546.97902916663</v>
      </c>
      <c r="F84" s="83">
        <v>391546.97902916663</v>
      </c>
      <c r="G84" s="83">
        <v>391546.97902916663</v>
      </c>
      <c r="H84" s="83">
        <v>391546.97902916663</v>
      </c>
      <c r="I84" s="83">
        <v>391546.97902916663</v>
      </c>
      <c r="J84" s="83">
        <v>391546.97902916663</v>
      </c>
      <c r="K84" s="83">
        <v>391546.97902916663</v>
      </c>
      <c r="L84" s="83">
        <v>391546.97902916663</v>
      </c>
      <c r="M84" s="83">
        <v>391546.97902916663</v>
      </c>
      <c r="N84" s="83">
        <v>391546.97902916663</v>
      </c>
      <c r="O84" s="77">
        <v>0</v>
      </c>
      <c r="Q84" s="83">
        <v>162236.5138333333</v>
      </c>
      <c r="R84" s="83">
        <v>162236.5138333333</v>
      </c>
      <c r="S84" s="83">
        <v>162236.5138333333</v>
      </c>
      <c r="T84" s="83">
        <v>162236.5138333333</v>
      </c>
      <c r="U84" s="83">
        <v>162236.5138333333</v>
      </c>
      <c r="V84" s="83">
        <v>162236.5138333333</v>
      </c>
      <c r="W84" s="83">
        <v>162236.5138333333</v>
      </c>
      <c r="X84" s="83">
        <v>162236.5138333333</v>
      </c>
      <c r="Y84" s="83">
        <v>162236.5138333333</v>
      </c>
      <c r="Z84" s="83">
        <v>162236.5138333333</v>
      </c>
      <c r="AA84" s="83">
        <v>162236.5138333333</v>
      </c>
      <c r="AB84" s="83">
        <v>162236.5138333333</v>
      </c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Q84" s="99">
        <v>95808.887266666672</v>
      </c>
      <c r="AR84" s="83">
        <v>95808.887266666672</v>
      </c>
      <c r="AS84" s="83">
        <v>95808.887266666672</v>
      </c>
      <c r="AT84" s="83">
        <v>95808.887266666672</v>
      </c>
      <c r="AU84" s="83">
        <v>95808.887266666672</v>
      </c>
      <c r="AV84" s="83">
        <v>95808.887266666672</v>
      </c>
      <c r="AW84" s="83">
        <v>95808.887266666672</v>
      </c>
      <c r="AX84" s="83">
        <v>95808.887266666672</v>
      </c>
      <c r="AY84" s="83">
        <v>95808.887266666672</v>
      </c>
      <c r="AZ84" s="83">
        <v>95808.887266666672</v>
      </c>
      <c r="BA84" s="83">
        <v>95808.887266666672</v>
      </c>
      <c r="BB84" s="83">
        <v>95808.887266666672</v>
      </c>
      <c r="BD84" s="99">
        <v>37156.738675000001</v>
      </c>
      <c r="BE84" s="83">
        <v>37156.738675000001</v>
      </c>
      <c r="BF84" s="83">
        <v>37156.738675000001</v>
      </c>
      <c r="BG84" s="83">
        <v>37156.738675000001</v>
      </c>
      <c r="BH84" s="83">
        <v>37156.738675000001</v>
      </c>
      <c r="BI84" s="83">
        <v>37156.738675000001</v>
      </c>
      <c r="BJ84" s="83">
        <v>37156.738675000001</v>
      </c>
      <c r="BK84" s="83">
        <v>37156.738675000001</v>
      </c>
      <c r="BL84" s="83">
        <v>37156.738675000001</v>
      </c>
      <c r="BM84" s="83">
        <v>37156.738675000001</v>
      </c>
      <c r="BN84" s="83">
        <v>37156.738675000001</v>
      </c>
      <c r="BO84" s="83">
        <v>37156.738675000001</v>
      </c>
      <c r="BQ84" s="83">
        <v>63508.417999999983</v>
      </c>
      <c r="BR84" s="83">
        <v>63508.417999999983</v>
      </c>
      <c r="BS84" s="83">
        <v>63508.417999999983</v>
      </c>
      <c r="BT84" s="83">
        <v>63508.417999999983</v>
      </c>
      <c r="BU84" s="83">
        <v>63508.417999999983</v>
      </c>
      <c r="BV84" s="83">
        <v>63508.417999999983</v>
      </c>
      <c r="BW84" s="83">
        <v>63508.417999999983</v>
      </c>
      <c r="BX84" s="83">
        <v>63508.417999999983</v>
      </c>
      <c r="BY84" s="83">
        <v>63508.417999999983</v>
      </c>
      <c r="BZ84" s="83">
        <v>63508.417999999983</v>
      </c>
      <c r="CA84" s="83">
        <v>63508.417999999983</v>
      </c>
      <c r="CB84" s="83">
        <v>63508.417999999983</v>
      </c>
      <c r="CD84" s="99">
        <v>29680.886966666669</v>
      </c>
      <c r="CE84" s="83">
        <v>29680.886966666669</v>
      </c>
      <c r="CF84" s="83">
        <v>29680.886966666669</v>
      </c>
      <c r="CG84" s="83">
        <v>29680.886966666669</v>
      </c>
      <c r="CH84" s="83">
        <v>29680.886966666669</v>
      </c>
      <c r="CI84" s="83">
        <v>29680.886966666669</v>
      </c>
      <c r="CJ84" s="83">
        <v>29680.886966666669</v>
      </c>
      <c r="CK84" s="83">
        <v>29680.886966666669</v>
      </c>
      <c r="CL84" s="83">
        <v>29680.886966666669</v>
      </c>
      <c r="CM84" s="83">
        <v>29680.886966666669</v>
      </c>
      <c r="CN84" s="83">
        <v>29680.886966666669</v>
      </c>
      <c r="CO84" s="83">
        <v>29680.886966666669</v>
      </c>
      <c r="CQ84" s="99">
        <v>3155.5342874999997</v>
      </c>
      <c r="CR84" s="83">
        <v>3155.5342874999997</v>
      </c>
      <c r="CS84" s="83">
        <v>3155.5342874999997</v>
      </c>
      <c r="CT84" s="83">
        <v>3155.5342874999997</v>
      </c>
      <c r="CU84" s="83">
        <v>3155.5342874999997</v>
      </c>
      <c r="CV84" s="83">
        <v>3155.5342874999997</v>
      </c>
      <c r="CW84" s="83">
        <v>3155.5342874999997</v>
      </c>
      <c r="CX84" s="83">
        <v>3155.5342874999997</v>
      </c>
      <c r="CY84" s="83">
        <v>3155.5342874999997</v>
      </c>
      <c r="CZ84" s="83">
        <v>3155.5342874999997</v>
      </c>
      <c r="DA84" s="83">
        <v>3155.5342874999997</v>
      </c>
      <c r="DB84" s="83">
        <v>3155.5342874999997</v>
      </c>
      <c r="DE84" s="83">
        <v>0</v>
      </c>
      <c r="DF84" s="83">
        <v>0</v>
      </c>
      <c r="DG84" s="83">
        <v>0</v>
      </c>
      <c r="DH84" s="83">
        <v>0</v>
      </c>
      <c r="DI84" s="83">
        <v>0</v>
      </c>
      <c r="DJ84" s="83">
        <v>0</v>
      </c>
      <c r="DK84" s="83">
        <v>0</v>
      </c>
      <c r="DL84" s="83">
        <v>0</v>
      </c>
      <c r="DM84" s="83">
        <v>0</v>
      </c>
      <c r="DN84" s="83">
        <v>0</v>
      </c>
      <c r="DO84" s="83">
        <v>0</v>
      </c>
      <c r="DP84" s="83">
        <v>0</v>
      </c>
      <c r="DR84" s="83"/>
      <c r="DS84" s="83"/>
      <c r="DT84" s="83"/>
      <c r="DU84" s="83"/>
      <c r="DV84" s="83"/>
      <c r="DW84" s="83"/>
      <c r="DX84" s="83"/>
      <c r="DY84" s="83"/>
      <c r="DZ84" s="83"/>
      <c r="EA84" s="83"/>
      <c r="EB84" s="83"/>
      <c r="EC84" s="83"/>
    </row>
    <row r="85" spans="1:133" ht="15" hidden="1" customHeight="1">
      <c r="A85" s="83" t="s">
        <v>113</v>
      </c>
      <c r="B85" s="83"/>
      <c r="C85" s="83">
        <v>0</v>
      </c>
      <c r="D85" s="83">
        <v>0</v>
      </c>
      <c r="E85" s="83">
        <v>0</v>
      </c>
      <c r="F85" s="83">
        <v>0</v>
      </c>
      <c r="G85" s="83">
        <v>0</v>
      </c>
      <c r="H85" s="83">
        <v>0</v>
      </c>
      <c r="I85" s="83">
        <v>0</v>
      </c>
      <c r="J85" s="83">
        <v>0</v>
      </c>
      <c r="K85" s="83">
        <v>0</v>
      </c>
      <c r="L85" s="83">
        <v>0</v>
      </c>
      <c r="M85" s="83">
        <v>0</v>
      </c>
      <c r="N85" s="83">
        <v>0</v>
      </c>
      <c r="O85" s="77">
        <v>0</v>
      </c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Q85" s="99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D85" s="99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Q85" s="83"/>
      <c r="BR85" s="83"/>
      <c r="BS85" s="83"/>
      <c r="BT85" s="83"/>
      <c r="BU85" s="83"/>
      <c r="BV85" s="83"/>
      <c r="BW85" s="83"/>
      <c r="BX85" s="83"/>
      <c r="BY85" s="83"/>
      <c r="BZ85" s="83"/>
      <c r="CA85" s="83"/>
      <c r="CB85" s="83"/>
      <c r="CD85" s="99"/>
      <c r="CE85" s="83"/>
      <c r="CF85" s="83"/>
      <c r="CG85" s="83"/>
      <c r="CH85" s="83"/>
      <c r="CI85" s="83"/>
      <c r="CJ85" s="83"/>
      <c r="CK85" s="83"/>
      <c r="CL85" s="83"/>
      <c r="CM85" s="83"/>
      <c r="CN85" s="83"/>
      <c r="CO85" s="83"/>
      <c r="CQ85" s="99"/>
      <c r="CR85" s="83"/>
      <c r="CS85" s="83"/>
      <c r="CT85" s="83"/>
      <c r="CU85" s="83"/>
      <c r="CV85" s="83"/>
      <c r="CW85" s="83"/>
      <c r="CX85" s="83"/>
      <c r="CY85" s="83"/>
      <c r="CZ85" s="83"/>
      <c r="DA85" s="83"/>
      <c r="DB85" s="83"/>
      <c r="DE85" s="83"/>
      <c r="DF85" s="83"/>
      <c r="DG85" s="83"/>
      <c r="DH85" s="83"/>
      <c r="DI85" s="83"/>
      <c r="DJ85" s="83"/>
      <c r="DK85" s="83"/>
      <c r="DL85" s="83"/>
      <c r="DM85" s="83"/>
      <c r="DN85" s="83"/>
      <c r="DO85" s="83"/>
      <c r="DP85" s="83"/>
      <c r="DR85" s="83"/>
      <c r="DS85" s="83"/>
      <c r="DT85" s="83"/>
      <c r="DU85" s="83"/>
      <c r="DV85" s="83"/>
      <c r="DW85" s="83"/>
      <c r="DX85" s="83"/>
      <c r="DY85" s="83"/>
      <c r="DZ85" s="83"/>
      <c r="EA85" s="83"/>
      <c r="EB85" s="83"/>
      <c r="EC85" s="83"/>
    </row>
    <row r="86" spans="1:133" ht="15" hidden="1" customHeight="1">
      <c r="A86" s="83" t="s">
        <v>114</v>
      </c>
      <c r="B86" s="83"/>
      <c r="C86" s="83">
        <v>0</v>
      </c>
      <c r="D86" s="83">
        <v>0</v>
      </c>
      <c r="E86" s="83">
        <v>0</v>
      </c>
      <c r="F86" s="83">
        <v>0</v>
      </c>
      <c r="G86" s="83">
        <v>0</v>
      </c>
      <c r="H86" s="83">
        <v>0</v>
      </c>
      <c r="I86" s="83">
        <v>0</v>
      </c>
      <c r="J86" s="83">
        <v>0</v>
      </c>
      <c r="K86" s="83">
        <v>0</v>
      </c>
      <c r="L86" s="83">
        <v>0</v>
      </c>
      <c r="M86" s="83">
        <v>0</v>
      </c>
      <c r="N86" s="83">
        <v>0</v>
      </c>
      <c r="O86" s="77">
        <v>0</v>
      </c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D86" s="90"/>
      <c r="AE86" s="90"/>
      <c r="AF86" s="90"/>
      <c r="AG86" s="90"/>
      <c r="AH86" s="90"/>
      <c r="AI86" s="83"/>
      <c r="AJ86" s="83"/>
      <c r="AK86" s="83"/>
      <c r="AL86" s="83"/>
      <c r="AM86" s="83"/>
      <c r="AN86" s="83"/>
      <c r="AO86" s="83"/>
      <c r="AQ86" s="99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D86" s="99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  <c r="CA86" s="83"/>
      <c r="CB86" s="83"/>
      <c r="CD86" s="99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  <c r="CQ86" s="99"/>
      <c r="CR86" s="83"/>
      <c r="CS86" s="83"/>
      <c r="CT86" s="83"/>
      <c r="CU86" s="83"/>
      <c r="CV86" s="83"/>
      <c r="CW86" s="83"/>
      <c r="CX86" s="83"/>
      <c r="CY86" s="83"/>
      <c r="CZ86" s="83"/>
      <c r="DA86" s="83"/>
      <c r="DB86" s="83"/>
      <c r="DD86" s="77">
        <v>419468.05</v>
      </c>
      <c r="DE86" s="83"/>
      <c r="DF86" s="83"/>
      <c r="DG86" s="83"/>
      <c r="DH86" s="83"/>
      <c r="DI86" s="83"/>
      <c r="DJ86" s="83"/>
      <c r="DK86" s="83"/>
      <c r="DL86" s="83"/>
      <c r="DM86" s="83"/>
      <c r="DN86" s="83"/>
      <c r="DO86" s="83"/>
      <c r="DP86" s="83"/>
      <c r="DR86" s="83"/>
      <c r="DS86" s="83"/>
      <c r="DT86" s="83"/>
      <c r="DU86" s="83"/>
      <c r="DV86" s="83"/>
      <c r="DW86" s="83"/>
      <c r="DX86" s="83"/>
      <c r="DY86" s="83"/>
      <c r="DZ86" s="83"/>
      <c r="EA86" s="83"/>
      <c r="EB86" s="83"/>
      <c r="EC86" s="83"/>
    </row>
    <row r="87" spans="1:133" s="94" customFormat="1" ht="15.6" customHeight="1">
      <c r="A87" s="93" t="s">
        <v>116</v>
      </c>
      <c r="B87" s="93"/>
      <c r="C87" s="93">
        <v>69000</v>
      </c>
      <c r="D87" s="93">
        <v>67500</v>
      </c>
      <c r="E87" s="93">
        <v>67500</v>
      </c>
      <c r="F87" s="93">
        <v>67500</v>
      </c>
      <c r="G87" s="93">
        <v>67500</v>
      </c>
      <c r="H87" s="93">
        <v>67500</v>
      </c>
      <c r="I87" s="93">
        <v>67500</v>
      </c>
      <c r="J87" s="93">
        <v>67500</v>
      </c>
      <c r="K87" s="93">
        <v>67500</v>
      </c>
      <c r="L87" s="93">
        <v>67500</v>
      </c>
      <c r="M87" s="93">
        <v>67500</v>
      </c>
      <c r="N87" s="93">
        <v>67500</v>
      </c>
      <c r="O87" s="94">
        <v>272700</v>
      </c>
      <c r="Q87" s="95">
        <v>25500</v>
      </c>
      <c r="R87" s="95">
        <v>25500</v>
      </c>
      <c r="S87" s="95">
        <v>25500</v>
      </c>
      <c r="T87" s="95">
        <v>25500</v>
      </c>
      <c r="U87" s="95">
        <v>25500</v>
      </c>
      <c r="V87" s="95">
        <v>25500</v>
      </c>
      <c r="W87" s="95">
        <v>25500</v>
      </c>
      <c r="X87" s="95">
        <v>25500</v>
      </c>
      <c r="Y87" s="95">
        <v>25500</v>
      </c>
      <c r="Z87" s="95">
        <v>25500</v>
      </c>
      <c r="AA87" s="95">
        <v>25500</v>
      </c>
      <c r="AB87" s="95">
        <v>25500</v>
      </c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Q87" s="95">
        <v>16000</v>
      </c>
      <c r="AR87" s="95">
        <v>16000</v>
      </c>
      <c r="AS87" s="95">
        <v>16000</v>
      </c>
      <c r="AT87" s="95">
        <v>16000</v>
      </c>
      <c r="AU87" s="95">
        <v>16000</v>
      </c>
      <c r="AV87" s="95">
        <v>16000</v>
      </c>
      <c r="AW87" s="95">
        <v>16000</v>
      </c>
      <c r="AX87" s="95">
        <v>16000</v>
      </c>
      <c r="AY87" s="95">
        <v>16000</v>
      </c>
      <c r="AZ87" s="95">
        <v>16000</v>
      </c>
      <c r="BA87" s="95">
        <v>16000</v>
      </c>
      <c r="BB87" s="95">
        <v>16000</v>
      </c>
      <c r="BD87" s="95">
        <v>3000</v>
      </c>
      <c r="BE87" s="95">
        <v>3000</v>
      </c>
      <c r="BF87" s="95">
        <v>3000</v>
      </c>
      <c r="BG87" s="95">
        <v>3000</v>
      </c>
      <c r="BH87" s="95">
        <v>3000</v>
      </c>
      <c r="BI87" s="95">
        <v>3000</v>
      </c>
      <c r="BJ87" s="95">
        <v>3000</v>
      </c>
      <c r="BK87" s="95">
        <v>3000</v>
      </c>
      <c r="BL87" s="95">
        <v>3000</v>
      </c>
      <c r="BM87" s="95">
        <v>3000</v>
      </c>
      <c r="BN87" s="95">
        <v>3000</v>
      </c>
      <c r="BO87" s="95">
        <v>3000</v>
      </c>
      <c r="BQ87" s="95">
        <v>10250</v>
      </c>
      <c r="BR87" s="93">
        <v>10250</v>
      </c>
      <c r="BS87" s="93">
        <v>10250</v>
      </c>
      <c r="BT87" s="93">
        <v>10250</v>
      </c>
      <c r="BU87" s="93">
        <v>10250</v>
      </c>
      <c r="BV87" s="93">
        <v>10250</v>
      </c>
      <c r="BW87" s="93">
        <v>10250</v>
      </c>
      <c r="BX87" s="93">
        <v>10250</v>
      </c>
      <c r="BY87" s="93">
        <v>10250</v>
      </c>
      <c r="BZ87" s="93">
        <v>10250</v>
      </c>
      <c r="CA87" s="93">
        <v>10250</v>
      </c>
      <c r="CB87" s="93">
        <v>10250</v>
      </c>
      <c r="CD87" s="95">
        <v>7150</v>
      </c>
      <c r="CE87" s="95">
        <v>7150</v>
      </c>
      <c r="CF87" s="95">
        <v>7150</v>
      </c>
      <c r="CG87" s="95">
        <v>7150</v>
      </c>
      <c r="CH87" s="95">
        <v>7150</v>
      </c>
      <c r="CI87" s="95">
        <v>7150</v>
      </c>
      <c r="CJ87" s="95">
        <v>7150</v>
      </c>
      <c r="CK87" s="95">
        <v>7150</v>
      </c>
      <c r="CL87" s="95">
        <v>7150</v>
      </c>
      <c r="CM87" s="95">
        <v>7150</v>
      </c>
      <c r="CN87" s="95">
        <v>7150</v>
      </c>
      <c r="CO87" s="95">
        <v>7150</v>
      </c>
      <c r="CQ87" s="100">
        <v>600</v>
      </c>
      <c r="CR87" s="95">
        <v>600</v>
      </c>
      <c r="CS87" s="95">
        <v>600</v>
      </c>
      <c r="CT87" s="95">
        <v>600</v>
      </c>
      <c r="CU87" s="95">
        <v>600</v>
      </c>
      <c r="CV87" s="95">
        <v>600</v>
      </c>
      <c r="CW87" s="95">
        <v>600</v>
      </c>
      <c r="CX87" s="95">
        <v>600</v>
      </c>
      <c r="CY87" s="95">
        <v>600</v>
      </c>
      <c r="CZ87" s="95">
        <v>600</v>
      </c>
      <c r="DA87" s="95">
        <v>600</v>
      </c>
      <c r="DB87" s="95">
        <v>600</v>
      </c>
      <c r="DE87" s="95">
        <v>5000</v>
      </c>
      <c r="DF87" s="95">
        <v>5000</v>
      </c>
      <c r="DG87" s="95">
        <v>5000</v>
      </c>
      <c r="DH87" s="95">
        <v>5000</v>
      </c>
      <c r="DI87" s="95">
        <v>5000</v>
      </c>
      <c r="DJ87" s="95">
        <v>5000</v>
      </c>
      <c r="DK87" s="95">
        <v>5000</v>
      </c>
      <c r="DL87" s="95">
        <v>5000</v>
      </c>
      <c r="DM87" s="95">
        <v>5000</v>
      </c>
      <c r="DN87" s="95">
        <v>5000</v>
      </c>
      <c r="DO87" s="95">
        <v>5000</v>
      </c>
      <c r="DP87" s="95">
        <v>5000</v>
      </c>
      <c r="DR87" s="95">
        <v>1500</v>
      </c>
      <c r="DS87" s="95">
        <v>1500</v>
      </c>
      <c r="DT87" s="95">
        <v>1500</v>
      </c>
      <c r="DU87" s="95">
        <v>1500</v>
      </c>
      <c r="DV87" s="95">
        <v>1500</v>
      </c>
      <c r="DW87" s="95">
        <v>1500</v>
      </c>
      <c r="DX87" s="95">
        <v>1500</v>
      </c>
      <c r="DY87" s="95">
        <v>1500</v>
      </c>
      <c r="DZ87" s="95">
        <v>1500</v>
      </c>
      <c r="EA87" s="95">
        <v>1500</v>
      </c>
      <c r="EB87" s="95">
        <v>1500</v>
      </c>
      <c r="EC87" s="95">
        <v>1500</v>
      </c>
    </row>
    <row r="88" spans="1:133" ht="15.6" customHeight="1">
      <c r="A88" s="83" t="s">
        <v>117</v>
      </c>
      <c r="B88" s="83"/>
      <c r="C88" s="83">
        <v>106871.20833333333</v>
      </c>
      <c r="D88" s="83">
        <v>106871.20833333333</v>
      </c>
      <c r="E88" s="83">
        <v>106871.20833333333</v>
      </c>
      <c r="F88" s="83">
        <v>106871.20833333333</v>
      </c>
      <c r="G88" s="83">
        <v>106871.20833333333</v>
      </c>
      <c r="H88" s="83">
        <v>106871.20833333333</v>
      </c>
      <c r="I88" s="83">
        <v>106871.20833333333</v>
      </c>
      <c r="J88" s="83">
        <v>106871.20833333333</v>
      </c>
      <c r="K88" s="83">
        <v>106871.20833333333</v>
      </c>
      <c r="L88" s="83">
        <v>106871.20833333333</v>
      </c>
      <c r="M88" s="83">
        <v>106871.20833333333</v>
      </c>
      <c r="N88" s="83">
        <v>106871.20833333333</v>
      </c>
      <c r="O88" s="77">
        <v>0</v>
      </c>
      <c r="Q88" s="87">
        <v>20582.941666666666</v>
      </c>
      <c r="R88" s="87">
        <v>20582.941666666666</v>
      </c>
      <c r="S88" s="87">
        <v>20582.941666666666</v>
      </c>
      <c r="T88" s="87">
        <v>20582.941666666666</v>
      </c>
      <c r="U88" s="87">
        <v>20582.941666666666</v>
      </c>
      <c r="V88" s="87">
        <v>20582.941666666666</v>
      </c>
      <c r="W88" s="87">
        <v>20582.941666666666</v>
      </c>
      <c r="X88" s="87">
        <v>20582.941666666666</v>
      </c>
      <c r="Y88" s="87">
        <v>20582.941666666666</v>
      </c>
      <c r="Z88" s="87">
        <v>20582.941666666666</v>
      </c>
      <c r="AA88" s="87">
        <v>20582.941666666666</v>
      </c>
      <c r="AB88" s="87">
        <v>20582.941666666666</v>
      </c>
      <c r="AD88" s="87"/>
      <c r="AE88" s="87"/>
      <c r="AF88" s="87"/>
      <c r="AG88" s="87"/>
      <c r="AH88" s="87"/>
      <c r="AI88" s="83"/>
      <c r="AJ88" s="83"/>
      <c r="AK88" s="83"/>
      <c r="AL88" s="83"/>
      <c r="AM88" s="83"/>
      <c r="AN88" s="83"/>
      <c r="AO88" s="83"/>
      <c r="AQ88" s="83">
        <v>39596.021666666675</v>
      </c>
      <c r="AR88" s="83">
        <v>39596.021666666675</v>
      </c>
      <c r="AS88" s="83">
        <v>39596.021666666675</v>
      </c>
      <c r="AT88" s="83">
        <v>39596.021666666675</v>
      </c>
      <c r="AU88" s="83">
        <v>39596.021666666675</v>
      </c>
      <c r="AV88" s="83">
        <v>39596.021666666675</v>
      </c>
      <c r="AW88" s="83">
        <v>39596.021666666675</v>
      </c>
      <c r="AX88" s="83">
        <v>39596.021666666675</v>
      </c>
      <c r="AY88" s="83">
        <v>39596.021666666675</v>
      </c>
      <c r="AZ88" s="83">
        <v>39596.021666666675</v>
      </c>
      <c r="BA88" s="83">
        <v>39596.021666666675</v>
      </c>
      <c r="BB88" s="83">
        <v>39596.021666666675</v>
      </c>
      <c r="BD88" s="83">
        <v>2651.4425000000001</v>
      </c>
      <c r="BE88" s="83">
        <v>2651.4425000000001</v>
      </c>
      <c r="BF88" s="83">
        <v>2651.4425000000001</v>
      </c>
      <c r="BG88" s="83">
        <v>2651.4425000000001</v>
      </c>
      <c r="BH88" s="83">
        <v>2651.4425000000001</v>
      </c>
      <c r="BI88" s="83">
        <v>2651.4425000000001</v>
      </c>
      <c r="BJ88" s="83">
        <v>2651.4425000000001</v>
      </c>
      <c r="BK88" s="83">
        <v>2651.4425000000001</v>
      </c>
      <c r="BL88" s="83">
        <v>2651.4425000000001</v>
      </c>
      <c r="BM88" s="83">
        <v>2651.4425000000001</v>
      </c>
      <c r="BN88" s="83">
        <v>2651.4425000000001</v>
      </c>
      <c r="BO88" s="83">
        <v>2651.4425000000001</v>
      </c>
      <c r="BQ88" s="83">
        <v>14139.976249999998</v>
      </c>
      <c r="BR88" s="83">
        <v>14139.976249999998</v>
      </c>
      <c r="BS88" s="83">
        <v>14139.976249999998</v>
      </c>
      <c r="BT88" s="83">
        <v>14139.976249999998</v>
      </c>
      <c r="BU88" s="83">
        <v>14139.976249999998</v>
      </c>
      <c r="BV88" s="83">
        <v>14139.976249999998</v>
      </c>
      <c r="BW88" s="83">
        <v>14139.976249999998</v>
      </c>
      <c r="BX88" s="83">
        <v>14139.976249999998</v>
      </c>
      <c r="BY88" s="83">
        <v>14139.976249999998</v>
      </c>
      <c r="BZ88" s="83">
        <v>14139.976249999998</v>
      </c>
      <c r="CA88" s="83">
        <v>14139.976249999998</v>
      </c>
      <c r="CB88" s="83">
        <v>14139.976249999998</v>
      </c>
      <c r="CD88" s="83">
        <v>9280.9624166666672</v>
      </c>
      <c r="CE88" s="83">
        <v>9280.9624166666672</v>
      </c>
      <c r="CF88" s="83">
        <v>9280.9624166666672</v>
      </c>
      <c r="CG88" s="83">
        <v>9280.9624166666672</v>
      </c>
      <c r="CH88" s="83">
        <v>9280.9624166666672</v>
      </c>
      <c r="CI88" s="83">
        <v>9280.9624166666672</v>
      </c>
      <c r="CJ88" s="83">
        <v>9280.9624166666672</v>
      </c>
      <c r="CK88" s="83">
        <v>9280.9624166666672</v>
      </c>
      <c r="CL88" s="83">
        <v>9280.9624166666672</v>
      </c>
      <c r="CM88" s="83">
        <v>9280.9624166666672</v>
      </c>
      <c r="CN88" s="83">
        <v>9280.9624166666672</v>
      </c>
      <c r="CO88" s="83">
        <v>9280.9624166666672</v>
      </c>
      <c r="CQ88" s="83">
        <v>3953.1971666666673</v>
      </c>
      <c r="CR88" s="83">
        <v>3953.1971666666673</v>
      </c>
      <c r="CS88" s="83">
        <v>3953.1971666666673</v>
      </c>
      <c r="CT88" s="83">
        <v>3953.1971666666673</v>
      </c>
      <c r="CU88" s="83">
        <v>3953.1971666666673</v>
      </c>
      <c r="CV88" s="83">
        <v>3953.1971666666673</v>
      </c>
      <c r="CW88" s="83">
        <v>3953.1971666666673</v>
      </c>
      <c r="CX88" s="83">
        <v>3953.1971666666673</v>
      </c>
      <c r="CY88" s="83">
        <v>3953.1971666666673</v>
      </c>
      <c r="CZ88" s="83">
        <v>3953.1971666666673</v>
      </c>
      <c r="DA88" s="83">
        <v>3953.1971666666673</v>
      </c>
      <c r="DB88" s="83">
        <v>3953.1971666666673</v>
      </c>
      <c r="DD88" s="77">
        <v>193440</v>
      </c>
      <c r="DE88" s="83">
        <v>10000</v>
      </c>
      <c r="DF88" s="83">
        <v>10000</v>
      </c>
      <c r="DG88" s="83">
        <v>10000</v>
      </c>
      <c r="DH88" s="83">
        <v>10000</v>
      </c>
      <c r="DI88" s="83">
        <v>10000</v>
      </c>
      <c r="DJ88" s="83">
        <v>10000</v>
      </c>
      <c r="DK88" s="83">
        <v>10000</v>
      </c>
      <c r="DL88" s="83">
        <v>10000</v>
      </c>
      <c r="DM88" s="83">
        <v>10000</v>
      </c>
      <c r="DN88" s="83">
        <v>10000</v>
      </c>
      <c r="DO88" s="83">
        <v>10000</v>
      </c>
      <c r="DP88" s="83">
        <v>10000</v>
      </c>
      <c r="DR88" s="83">
        <v>6666.6666666666661</v>
      </c>
      <c r="DS88" s="83">
        <v>6666.6666666666661</v>
      </c>
      <c r="DT88" s="83">
        <v>6666.6666666666661</v>
      </c>
      <c r="DU88" s="83">
        <v>6666.6666666666661</v>
      </c>
      <c r="DV88" s="83">
        <v>6666.6666666666661</v>
      </c>
      <c r="DW88" s="83">
        <v>6666.6666666666661</v>
      </c>
      <c r="DX88" s="83">
        <v>6666.6666666666661</v>
      </c>
      <c r="DY88" s="83">
        <v>6666.6666666666661</v>
      </c>
      <c r="DZ88" s="83">
        <v>6666.6666666666661</v>
      </c>
      <c r="EA88" s="83">
        <v>6666.6666666666661</v>
      </c>
      <c r="EB88" s="83">
        <v>6666.6666666666661</v>
      </c>
      <c r="EC88" s="83">
        <v>6666.6666666666661</v>
      </c>
    </row>
    <row r="89" spans="1:133" ht="15.6" customHeight="1">
      <c r="A89" s="83" t="s">
        <v>227</v>
      </c>
      <c r="B89" s="83"/>
      <c r="C89" s="83">
        <v>127652</v>
      </c>
      <c r="D89" s="83">
        <v>127652</v>
      </c>
      <c r="E89" s="83">
        <v>127652</v>
      </c>
      <c r="F89" s="83">
        <v>127652</v>
      </c>
      <c r="G89" s="83">
        <v>127652</v>
      </c>
      <c r="H89" s="83">
        <v>127652</v>
      </c>
      <c r="I89" s="83">
        <v>127652</v>
      </c>
      <c r="J89" s="83">
        <v>127652</v>
      </c>
      <c r="K89" s="83">
        <v>127652</v>
      </c>
      <c r="L89" s="83">
        <v>127652</v>
      </c>
      <c r="M89" s="83">
        <v>127652</v>
      </c>
      <c r="N89" s="83">
        <v>127652</v>
      </c>
      <c r="O89" s="77">
        <v>0</v>
      </c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Q89" s="83">
        <v>29491.199999999997</v>
      </c>
      <c r="AR89" s="83">
        <v>29491.199999999997</v>
      </c>
      <c r="AS89" s="83">
        <v>29491.199999999997</v>
      </c>
      <c r="AT89" s="83">
        <v>29491.199999999997</v>
      </c>
      <c r="AU89" s="83">
        <v>29491.199999999997</v>
      </c>
      <c r="AV89" s="83">
        <v>29491.199999999997</v>
      </c>
      <c r="AW89" s="83">
        <v>29491.199999999997</v>
      </c>
      <c r="AX89" s="83">
        <v>29491.199999999997</v>
      </c>
      <c r="AY89" s="83">
        <v>29491.199999999997</v>
      </c>
      <c r="AZ89" s="83">
        <v>29491.199999999997</v>
      </c>
      <c r="BA89" s="83">
        <v>29491.199999999997</v>
      </c>
      <c r="BB89" s="83">
        <v>29491.199999999997</v>
      </c>
      <c r="BD89" s="83">
        <v>19660.800000000003</v>
      </c>
      <c r="BE89" s="83">
        <v>19660.800000000003</v>
      </c>
      <c r="BF89" s="83">
        <v>19660.800000000003</v>
      </c>
      <c r="BG89" s="83">
        <v>19660.800000000003</v>
      </c>
      <c r="BH89" s="83">
        <v>19660.800000000003</v>
      </c>
      <c r="BI89" s="83">
        <v>19660.800000000003</v>
      </c>
      <c r="BJ89" s="83">
        <v>19660.800000000003</v>
      </c>
      <c r="BK89" s="83">
        <v>19660.800000000003</v>
      </c>
      <c r="BL89" s="83">
        <v>19660.800000000003</v>
      </c>
      <c r="BM89" s="83">
        <v>19660.800000000003</v>
      </c>
      <c r="BN89" s="83">
        <v>19660.800000000003</v>
      </c>
      <c r="BO89" s="83">
        <v>19660.800000000003</v>
      </c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D89" s="83">
        <v>27000</v>
      </c>
      <c r="CE89" s="83">
        <v>27000</v>
      </c>
      <c r="CF89" s="83">
        <v>27000</v>
      </c>
      <c r="CG89" s="83">
        <v>27000</v>
      </c>
      <c r="CH89" s="83">
        <v>27000</v>
      </c>
      <c r="CI89" s="83">
        <v>27000</v>
      </c>
      <c r="CJ89" s="83">
        <v>27000</v>
      </c>
      <c r="CK89" s="83">
        <v>27000</v>
      </c>
      <c r="CL89" s="83">
        <v>27000</v>
      </c>
      <c r="CM89" s="83">
        <v>27000</v>
      </c>
      <c r="CN89" s="83">
        <v>27000</v>
      </c>
      <c r="CO89" s="83">
        <v>27000</v>
      </c>
      <c r="CQ89" s="83">
        <v>18000</v>
      </c>
      <c r="CR89" s="83">
        <v>18000</v>
      </c>
      <c r="CS89" s="83">
        <v>18000</v>
      </c>
      <c r="CT89" s="83">
        <v>18000</v>
      </c>
      <c r="CU89" s="83">
        <v>18000</v>
      </c>
      <c r="CV89" s="83">
        <v>18000</v>
      </c>
      <c r="CW89" s="83">
        <v>18000</v>
      </c>
      <c r="CX89" s="83">
        <v>18000</v>
      </c>
      <c r="CY89" s="83">
        <v>18000</v>
      </c>
      <c r="CZ89" s="83">
        <v>18000</v>
      </c>
      <c r="DA89" s="83">
        <v>18000</v>
      </c>
      <c r="DB89" s="83">
        <v>18000</v>
      </c>
      <c r="DD89" s="77">
        <v>226028.05</v>
      </c>
      <c r="DE89" s="83">
        <v>20100</v>
      </c>
      <c r="DF89" s="83">
        <v>20100</v>
      </c>
      <c r="DG89" s="83">
        <v>20100</v>
      </c>
      <c r="DH89" s="83">
        <v>20100</v>
      </c>
      <c r="DI89" s="83">
        <v>20100</v>
      </c>
      <c r="DJ89" s="83">
        <v>20100</v>
      </c>
      <c r="DK89" s="83">
        <v>20100</v>
      </c>
      <c r="DL89" s="83">
        <v>20100</v>
      </c>
      <c r="DM89" s="83">
        <v>20100</v>
      </c>
      <c r="DN89" s="83">
        <v>20100</v>
      </c>
      <c r="DO89" s="83">
        <v>20100</v>
      </c>
      <c r="DP89" s="83">
        <v>20100</v>
      </c>
      <c r="DR89" s="83">
        <v>13400</v>
      </c>
      <c r="DS89" s="83">
        <v>13400</v>
      </c>
      <c r="DT89" s="83">
        <v>13400</v>
      </c>
      <c r="DU89" s="83">
        <v>13400</v>
      </c>
      <c r="DV89" s="83">
        <v>13400</v>
      </c>
      <c r="DW89" s="83">
        <v>13400</v>
      </c>
      <c r="DX89" s="83">
        <v>13400</v>
      </c>
      <c r="DY89" s="83">
        <v>13400</v>
      </c>
      <c r="DZ89" s="83">
        <v>13400</v>
      </c>
      <c r="EA89" s="83">
        <v>13400</v>
      </c>
      <c r="EB89" s="83">
        <v>13400</v>
      </c>
      <c r="EC89" s="83">
        <v>13400</v>
      </c>
    </row>
    <row r="90" spans="1:133" ht="15.6" customHeight="1">
      <c r="A90" s="83" t="s">
        <v>228</v>
      </c>
      <c r="B90" s="83"/>
      <c r="C90" s="83">
        <v>0</v>
      </c>
      <c r="D90" s="83">
        <v>0</v>
      </c>
      <c r="E90" s="83">
        <v>0</v>
      </c>
      <c r="F90" s="83">
        <v>0</v>
      </c>
      <c r="G90" s="83">
        <v>0</v>
      </c>
      <c r="H90" s="83">
        <v>0</v>
      </c>
      <c r="I90" s="83">
        <v>0</v>
      </c>
      <c r="J90" s="83">
        <v>0</v>
      </c>
      <c r="K90" s="83">
        <v>0</v>
      </c>
      <c r="L90" s="83">
        <v>0</v>
      </c>
      <c r="M90" s="83">
        <v>0</v>
      </c>
      <c r="N90" s="83">
        <v>0</v>
      </c>
      <c r="O90" s="77">
        <v>0</v>
      </c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R90" s="83"/>
      <c r="DS90" s="83"/>
      <c r="DT90" s="83"/>
      <c r="DU90" s="83"/>
      <c r="DV90" s="83"/>
      <c r="DW90" s="83"/>
      <c r="DX90" s="83"/>
      <c r="DY90" s="83"/>
      <c r="DZ90" s="83"/>
      <c r="EA90" s="83"/>
      <c r="EB90" s="83"/>
      <c r="EC90" s="83"/>
    </row>
    <row r="91" spans="1:133" ht="15.6" customHeight="1">
      <c r="A91" s="83" t="s">
        <v>118</v>
      </c>
      <c r="B91" s="83"/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77">
        <v>0</v>
      </c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E91" s="83"/>
      <c r="DF91" s="83"/>
      <c r="DG91" s="83"/>
      <c r="DH91" s="83"/>
      <c r="DI91" s="83"/>
      <c r="DJ91" s="83"/>
      <c r="DK91" s="83"/>
      <c r="DL91" s="83"/>
      <c r="DM91" s="83"/>
      <c r="DN91" s="83"/>
      <c r="DO91" s="83"/>
      <c r="DP91" s="83"/>
      <c r="DR91" s="83"/>
      <c r="DS91" s="83"/>
      <c r="DT91" s="83"/>
      <c r="DU91" s="83"/>
      <c r="DV91" s="83"/>
      <c r="DW91" s="83"/>
      <c r="DX91" s="83"/>
      <c r="DY91" s="83"/>
      <c r="DZ91" s="83"/>
      <c r="EA91" s="83"/>
      <c r="EB91" s="83"/>
      <c r="EC91" s="83"/>
    </row>
    <row r="92" spans="1:133" ht="15.6" customHeight="1">
      <c r="A92" s="83" t="s">
        <v>119</v>
      </c>
      <c r="B92" s="83"/>
      <c r="C92" s="83">
        <v>157301.41666666666</v>
      </c>
      <c r="D92" s="83">
        <v>157301.41666666666</v>
      </c>
      <c r="E92" s="83">
        <v>157301.41666666666</v>
      </c>
      <c r="F92" s="83">
        <v>157301.41666666666</v>
      </c>
      <c r="G92" s="83">
        <v>157301.41666666666</v>
      </c>
      <c r="H92" s="83">
        <v>157301.41666666666</v>
      </c>
      <c r="I92" s="83">
        <v>157301.41666666666</v>
      </c>
      <c r="J92" s="83">
        <v>157301.41666666666</v>
      </c>
      <c r="K92" s="83">
        <v>157301.41666666666</v>
      </c>
      <c r="L92" s="83">
        <v>157301.41666666666</v>
      </c>
      <c r="M92" s="83">
        <v>157301.41666666666</v>
      </c>
      <c r="N92" s="83">
        <v>157301.41666666666</v>
      </c>
      <c r="O92" s="77">
        <v>0</v>
      </c>
      <c r="Q92" s="83">
        <v>36529.25</v>
      </c>
      <c r="R92" s="83">
        <v>36529.25</v>
      </c>
      <c r="S92" s="83">
        <v>36529.25</v>
      </c>
      <c r="T92" s="83">
        <v>36529.25</v>
      </c>
      <c r="U92" s="83">
        <v>36529.25</v>
      </c>
      <c r="V92" s="83">
        <v>36529.25</v>
      </c>
      <c r="W92" s="83">
        <v>36529.25</v>
      </c>
      <c r="X92" s="83">
        <v>36529.25</v>
      </c>
      <c r="Y92" s="83">
        <v>36529.25</v>
      </c>
      <c r="Z92" s="83">
        <v>36529.25</v>
      </c>
      <c r="AA92" s="83">
        <v>36529.25</v>
      </c>
      <c r="AB92" s="83">
        <v>36529.25</v>
      </c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Q92" s="83">
        <v>49201.416666666664</v>
      </c>
      <c r="AR92" s="83">
        <v>49201.416666666664</v>
      </c>
      <c r="AS92" s="83">
        <v>49201.416666666664</v>
      </c>
      <c r="AT92" s="83">
        <v>49201.416666666664</v>
      </c>
      <c r="AU92" s="83">
        <v>49201.416666666664</v>
      </c>
      <c r="AV92" s="83">
        <v>49201.416666666664</v>
      </c>
      <c r="AW92" s="83">
        <v>49201.416666666664</v>
      </c>
      <c r="AX92" s="83">
        <v>49201.416666666664</v>
      </c>
      <c r="AY92" s="83">
        <v>49201.416666666664</v>
      </c>
      <c r="AZ92" s="83">
        <v>49201.416666666664</v>
      </c>
      <c r="BA92" s="83">
        <v>49201.416666666664</v>
      </c>
      <c r="BB92" s="83">
        <v>49201.416666666664</v>
      </c>
      <c r="BD92" s="83">
        <v>10681.75</v>
      </c>
      <c r="BE92" s="83">
        <v>10681.75</v>
      </c>
      <c r="BF92" s="83">
        <v>10681.75</v>
      </c>
      <c r="BG92" s="83">
        <v>10681.75</v>
      </c>
      <c r="BH92" s="83">
        <v>10681.75</v>
      </c>
      <c r="BI92" s="83">
        <v>10681.75</v>
      </c>
      <c r="BJ92" s="83">
        <v>10681.75</v>
      </c>
      <c r="BK92" s="83">
        <v>10681.75</v>
      </c>
      <c r="BL92" s="83">
        <v>10681.75</v>
      </c>
      <c r="BM92" s="83">
        <v>10681.75</v>
      </c>
      <c r="BN92" s="83">
        <v>10681.75</v>
      </c>
      <c r="BO92" s="83">
        <v>10681.75</v>
      </c>
      <c r="BQ92" s="83">
        <v>26971.833333333332</v>
      </c>
      <c r="BR92" s="83">
        <v>26971.833333333332</v>
      </c>
      <c r="BS92" s="83">
        <v>26971.833333333332</v>
      </c>
      <c r="BT92" s="83">
        <v>26971.833333333332</v>
      </c>
      <c r="BU92" s="83">
        <v>26971.833333333332</v>
      </c>
      <c r="BV92" s="83">
        <v>26971.833333333332</v>
      </c>
      <c r="BW92" s="83">
        <v>26971.833333333332</v>
      </c>
      <c r="BX92" s="83">
        <v>26971.833333333332</v>
      </c>
      <c r="BY92" s="83">
        <v>26971.833333333332</v>
      </c>
      <c r="BZ92" s="83">
        <v>26971.833333333332</v>
      </c>
      <c r="CA92" s="83">
        <v>26971.833333333332</v>
      </c>
      <c r="CB92" s="83">
        <v>26971.833333333332</v>
      </c>
      <c r="CD92" s="83">
        <v>14452.166666666666</v>
      </c>
      <c r="CE92" s="83">
        <v>14452.166666666666</v>
      </c>
      <c r="CF92" s="83">
        <v>14452.166666666666</v>
      </c>
      <c r="CG92" s="83">
        <v>14452.166666666666</v>
      </c>
      <c r="CH92" s="83">
        <v>14452.166666666666</v>
      </c>
      <c r="CI92" s="83">
        <v>14452.166666666666</v>
      </c>
      <c r="CJ92" s="83">
        <v>14452.166666666666</v>
      </c>
      <c r="CK92" s="83">
        <v>14452.166666666666</v>
      </c>
      <c r="CL92" s="83">
        <v>14452.166666666666</v>
      </c>
      <c r="CM92" s="83">
        <v>14452.166666666666</v>
      </c>
      <c r="CN92" s="83">
        <v>14452.166666666666</v>
      </c>
      <c r="CO92" s="83">
        <v>14452.166666666666</v>
      </c>
      <c r="CQ92" s="83">
        <v>2465</v>
      </c>
      <c r="CR92" s="83">
        <v>2465</v>
      </c>
      <c r="CS92" s="83">
        <v>2465</v>
      </c>
      <c r="CT92" s="83">
        <v>2465</v>
      </c>
      <c r="CU92" s="83">
        <v>2465</v>
      </c>
      <c r="CV92" s="83">
        <v>2465</v>
      </c>
      <c r="CW92" s="83">
        <v>2465</v>
      </c>
      <c r="CX92" s="83">
        <v>2465</v>
      </c>
      <c r="CY92" s="83">
        <v>2465</v>
      </c>
      <c r="CZ92" s="83">
        <v>2465</v>
      </c>
      <c r="DA92" s="83">
        <v>2465</v>
      </c>
      <c r="DB92" s="83">
        <v>2465</v>
      </c>
      <c r="DE92" s="83">
        <v>14000</v>
      </c>
      <c r="DF92" s="83">
        <v>14000</v>
      </c>
      <c r="DG92" s="83">
        <v>14000</v>
      </c>
      <c r="DH92" s="83">
        <v>14000</v>
      </c>
      <c r="DI92" s="83">
        <v>14000</v>
      </c>
      <c r="DJ92" s="83">
        <v>14000</v>
      </c>
      <c r="DK92" s="83">
        <v>14000</v>
      </c>
      <c r="DL92" s="83">
        <v>14000</v>
      </c>
      <c r="DM92" s="83">
        <v>14000</v>
      </c>
      <c r="DN92" s="83">
        <v>14000</v>
      </c>
      <c r="DO92" s="83">
        <v>14000</v>
      </c>
      <c r="DP92" s="83">
        <v>14000</v>
      </c>
      <c r="DR92" s="83">
        <v>3000</v>
      </c>
      <c r="DS92" s="83">
        <v>3000</v>
      </c>
      <c r="DT92" s="83">
        <v>3000</v>
      </c>
      <c r="DU92" s="83">
        <v>3000</v>
      </c>
      <c r="DV92" s="83">
        <v>3000</v>
      </c>
      <c r="DW92" s="83">
        <v>3000</v>
      </c>
      <c r="DX92" s="83">
        <v>3000</v>
      </c>
      <c r="DY92" s="83">
        <v>3000</v>
      </c>
      <c r="DZ92" s="83">
        <v>3000</v>
      </c>
      <c r="EA92" s="83">
        <v>3000</v>
      </c>
      <c r="EB92" s="83">
        <v>3000</v>
      </c>
      <c r="EC92" s="83">
        <v>3000</v>
      </c>
    </row>
    <row r="93" spans="1:133" ht="15.6" customHeight="1">
      <c r="A93" s="83" t="s">
        <v>120</v>
      </c>
      <c r="B93" s="83"/>
      <c r="C93" s="83">
        <v>19100.694444444449</v>
      </c>
      <c r="D93" s="83">
        <v>19100.694444444449</v>
      </c>
      <c r="E93" s="83">
        <v>78850.694444444438</v>
      </c>
      <c r="F93" s="83">
        <v>158517.36111111112</v>
      </c>
      <c r="G93" s="83">
        <v>19100.694444444449</v>
      </c>
      <c r="H93" s="83">
        <v>29059.027777777774</v>
      </c>
      <c r="I93" s="83">
        <v>19100.694444444449</v>
      </c>
      <c r="J93" s="83">
        <v>19100.694444444449</v>
      </c>
      <c r="K93" s="83">
        <v>78850.694444444438</v>
      </c>
      <c r="L93" s="83">
        <v>773059.02777777787</v>
      </c>
      <c r="M93" s="83">
        <v>19100.694444444449</v>
      </c>
      <c r="N93" s="83">
        <v>129059.02777777777</v>
      </c>
      <c r="O93" s="77">
        <v>-5000</v>
      </c>
      <c r="Q93" s="83">
        <v>5281.25</v>
      </c>
      <c r="R93" s="83">
        <v>5281.25</v>
      </c>
      <c r="S93" s="83">
        <v>21531.25</v>
      </c>
      <c r="T93" s="83">
        <v>43197.916666666672</v>
      </c>
      <c r="U93" s="83">
        <v>5281.25</v>
      </c>
      <c r="V93" s="83">
        <v>7989.583333333333</v>
      </c>
      <c r="W93" s="83">
        <v>5281.25</v>
      </c>
      <c r="X93" s="83">
        <v>5281.25</v>
      </c>
      <c r="Y93" s="83">
        <v>21531.25</v>
      </c>
      <c r="Z93" s="83">
        <v>213822.91666666669</v>
      </c>
      <c r="AA93" s="83">
        <v>5281.25</v>
      </c>
      <c r="AB93" s="83">
        <v>37989.583333333328</v>
      </c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Q93" s="83">
        <v>3989.5833333333335</v>
      </c>
      <c r="AR93" s="83">
        <v>3989.5833333333335</v>
      </c>
      <c r="AS93" s="83">
        <v>21239.583333333332</v>
      </c>
      <c r="AT93" s="83">
        <v>44239.583333333336</v>
      </c>
      <c r="AU93" s="83">
        <v>3989.5833333333335</v>
      </c>
      <c r="AV93" s="83">
        <v>6864.5833333333339</v>
      </c>
      <c r="AW93" s="83">
        <v>3989.5833333333335</v>
      </c>
      <c r="AX93" s="83">
        <v>3989.5833333333335</v>
      </c>
      <c r="AY93" s="83">
        <v>21239.583333333332</v>
      </c>
      <c r="AZ93" s="83">
        <v>225364.58333333334</v>
      </c>
      <c r="BA93" s="83">
        <v>3989.5833333333335</v>
      </c>
      <c r="BB93" s="83">
        <v>26864.583333333336</v>
      </c>
      <c r="BD93" s="83">
        <v>2572.9166666666665</v>
      </c>
      <c r="BE93" s="83">
        <v>2572.9166666666665</v>
      </c>
      <c r="BF93" s="83">
        <v>5822.9166666666661</v>
      </c>
      <c r="BG93" s="83">
        <v>10156.25</v>
      </c>
      <c r="BH93" s="83">
        <v>2572.9166666666665</v>
      </c>
      <c r="BI93" s="83">
        <v>3114.583333333333</v>
      </c>
      <c r="BJ93" s="83">
        <v>2572.9166666666665</v>
      </c>
      <c r="BK93" s="83">
        <v>2572.9166666666665</v>
      </c>
      <c r="BL93" s="83">
        <v>5822.9166666666661</v>
      </c>
      <c r="BM93" s="83">
        <v>44281.25</v>
      </c>
      <c r="BN93" s="83">
        <v>2572.9166666666665</v>
      </c>
      <c r="BO93" s="83">
        <v>3114.583333333333</v>
      </c>
      <c r="BQ93" s="83">
        <v>2239.5833333333335</v>
      </c>
      <c r="BR93" s="83">
        <v>2239.5833333333335</v>
      </c>
      <c r="BS93" s="83">
        <v>8989.5833333333339</v>
      </c>
      <c r="BT93" s="83">
        <v>17989.583333333336</v>
      </c>
      <c r="BU93" s="83">
        <v>2239.5833333333335</v>
      </c>
      <c r="BV93" s="83">
        <v>3364.5833333333335</v>
      </c>
      <c r="BW93" s="83">
        <v>2239.5833333333335</v>
      </c>
      <c r="BX93" s="83">
        <v>2239.5833333333335</v>
      </c>
      <c r="BY93" s="83">
        <v>8989.5833333333339</v>
      </c>
      <c r="BZ93" s="83">
        <v>88864.583333333328</v>
      </c>
      <c r="CA93" s="83">
        <v>2239.5833333333335</v>
      </c>
      <c r="CB93" s="83">
        <v>23364.583333333332</v>
      </c>
      <c r="CD93" s="83">
        <v>2145.8333333333335</v>
      </c>
      <c r="CE93" s="83">
        <v>2145.8333333333335</v>
      </c>
      <c r="CF93" s="83">
        <v>11645.833333333334</v>
      </c>
      <c r="CG93" s="83">
        <v>24312.5</v>
      </c>
      <c r="CH93" s="83">
        <v>2145.8333333333335</v>
      </c>
      <c r="CI93" s="83">
        <v>3729.166666666667</v>
      </c>
      <c r="CJ93" s="83">
        <v>2145.8333333333335</v>
      </c>
      <c r="CK93" s="83">
        <v>2145.8333333333335</v>
      </c>
      <c r="CL93" s="83">
        <v>11645.833333333334</v>
      </c>
      <c r="CM93" s="83">
        <v>124062.5</v>
      </c>
      <c r="CN93" s="83">
        <v>2145.8333333333335</v>
      </c>
      <c r="CO93" s="83">
        <v>13729.166666666668</v>
      </c>
      <c r="CQ93" s="83">
        <v>1444.4444444444446</v>
      </c>
      <c r="CR93" s="83">
        <v>1444.4444444444446</v>
      </c>
      <c r="CS93" s="83">
        <v>2444.4444444444443</v>
      </c>
      <c r="CT93" s="83">
        <v>3777.7777777777783</v>
      </c>
      <c r="CU93" s="83">
        <v>1444.4444444444446</v>
      </c>
      <c r="CV93" s="83">
        <v>1611.1111111111113</v>
      </c>
      <c r="CW93" s="83">
        <v>1444.4444444444446</v>
      </c>
      <c r="CX93" s="83">
        <v>1444.4444444444446</v>
      </c>
      <c r="CY93" s="83">
        <v>2444.4444444444443</v>
      </c>
      <c r="CZ93" s="83">
        <v>1444.4444444444446</v>
      </c>
      <c r="DA93" s="83">
        <v>1444.4444444444446</v>
      </c>
      <c r="DB93" s="83">
        <v>11611.111111111111</v>
      </c>
      <c r="DE93" s="83">
        <v>1135.4166666666667</v>
      </c>
      <c r="DF93" s="83">
        <v>1135.4166666666667</v>
      </c>
      <c r="DG93" s="83">
        <v>5885.416666666667</v>
      </c>
      <c r="DH93" s="83">
        <v>12218.75</v>
      </c>
      <c r="DI93" s="83">
        <v>1135.4166666666667</v>
      </c>
      <c r="DJ93" s="83">
        <v>1927.0833333333335</v>
      </c>
      <c r="DK93" s="83">
        <v>1135.4166666666667</v>
      </c>
      <c r="DL93" s="83">
        <v>1135.4166666666667</v>
      </c>
      <c r="DM93" s="83">
        <v>5885.416666666667</v>
      </c>
      <c r="DN93" s="83">
        <v>62093.75</v>
      </c>
      <c r="DO93" s="83">
        <v>1135.4166666666667</v>
      </c>
      <c r="DP93" s="83">
        <v>11927.083333333332</v>
      </c>
      <c r="DR93" s="83">
        <v>291.66666666666669</v>
      </c>
      <c r="DS93" s="83">
        <v>291.66666666666669</v>
      </c>
      <c r="DT93" s="83">
        <v>1291.6666666666667</v>
      </c>
      <c r="DU93" s="83">
        <v>2625</v>
      </c>
      <c r="DV93" s="83">
        <v>291.66666666666669</v>
      </c>
      <c r="DW93" s="83">
        <v>458.33333333333337</v>
      </c>
      <c r="DX93" s="83">
        <v>291.66666666666669</v>
      </c>
      <c r="DY93" s="83">
        <v>291.66666666666669</v>
      </c>
      <c r="DZ93" s="83">
        <v>1291.6666666666667</v>
      </c>
      <c r="EA93" s="83">
        <v>13125</v>
      </c>
      <c r="EB93" s="83">
        <v>291.66666666666669</v>
      </c>
      <c r="EC93" s="83">
        <v>458.33333333333337</v>
      </c>
    </row>
    <row r="94" spans="1:133" ht="15.6" customHeight="1">
      <c r="A94" s="83" t="s">
        <v>122</v>
      </c>
      <c r="B94" s="83"/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77">
        <v>0</v>
      </c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Q94" s="83"/>
      <c r="BR94" s="83"/>
      <c r="BS94" s="83"/>
      <c r="BT94" s="83"/>
      <c r="BU94" s="83"/>
      <c r="BV94" s="83"/>
      <c r="BW94" s="83"/>
      <c r="BX94" s="83"/>
      <c r="BY94" s="83"/>
      <c r="BZ94" s="83"/>
      <c r="CA94" s="83"/>
      <c r="CB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Q94" s="83"/>
      <c r="CR94" s="83"/>
      <c r="CS94" s="83"/>
      <c r="CT94" s="83"/>
      <c r="CU94" s="83"/>
      <c r="CV94" s="83"/>
      <c r="CW94" s="83"/>
      <c r="CX94" s="83"/>
      <c r="CY94" s="83"/>
      <c r="CZ94" s="83"/>
      <c r="DA94" s="83"/>
      <c r="DB94" s="83"/>
      <c r="DE94" s="83"/>
      <c r="DF94" s="83"/>
      <c r="DG94" s="83"/>
      <c r="DH94" s="83"/>
      <c r="DI94" s="83"/>
      <c r="DJ94" s="83"/>
      <c r="DK94" s="83"/>
      <c r="DL94" s="83"/>
      <c r="DM94" s="83"/>
      <c r="DN94" s="83"/>
      <c r="DO94" s="83"/>
      <c r="DP94" s="83"/>
      <c r="DR94" s="83"/>
      <c r="DS94" s="83"/>
      <c r="DT94" s="83"/>
      <c r="DU94" s="83"/>
      <c r="DV94" s="83"/>
      <c r="DW94" s="83"/>
      <c r="DX94" s="83"/>
      <c r="DY94" s="83"/>
      <c r="DZ94" s="83"/>
      <c r="EA94" s="83"/>
      <c r="EB94" s="83"/>
      <c r="EC94" s="83"/>
    </row>
    <row r="95" spans="1:133" ht="15.6" customHeight="1">
      <c r="A95" s="83" t="s">
        <v>123</v>
      </c>
      <c r="B95" s="83"/>
      <c r="C95" s="83">
        <v>229952.63749999998</v>
      </c>
      <c r="D95" s="83">
        <v>229952.63749999998</v>
      </c>
      <c r="E95" s="83">
        <v>229952.63749999998</v>
      </c>
      <c r="F95" s="83">
        <v>229952.63749999998</v>
      </c>
      <c r="G95" s="83">
        <v>229952.63749999998</v>
      </c>
      <c r="H95" s="83">
        <v>229952.63749999998</v>
      </c>
      <c r="I95" s="83">
        <v>229952.63749999998</v>
      </c>
      <c r="J95" s="83">
        <v>229952.63749999998</v>
      </c>
      <c r="K95" s="83">
        <v>229952.63749999998</v>
      </c>
      <c r="L95" s="83">
        <v>229952.63749999998</v>
      </c>
      <c r="M95" s="83">
        <v>229952.63749999998</v>
      </c>
      <c r="N95" s="83">
        <v>229952.63749999998</v>
      </c>
      <c r="O95" s="77">
        <v>0</v>
      </c>
      <c r="Q95" s="83">
        <v>75878</v>
      </c>
      <c r="R95" s="83">
        <v>75878</v>
      </c>
      <c r="S95" s="83">
        <v>75878</v>
      </c>
      <c r="T95" s="83">
        <v>75878</v>
      </c>
      <c r="U95" s="83">
        <v>75878</v>
      </c>
      <c r="V95" s="83">
        <v>75878</v>
      </c>
      <c r="W95" s="83">
        <v>75878</v>
      </c>
      <c r="X95" s="83">
        <v>75878</v>
      </c>
      <c r="Y95" s="83">
        <v>75878</v>
      </c>
      <c r="Z95" s="83">
        <v>75878</v>
      </c>
      <c r="AA95" s="83">
        <v>75878</v>
      </c>
      <c r="AB95" s="83">
        <v>75878</v>
      </c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Q95" s="83">
        <v>59519.862500000003</v>
      </c>
      <c r="AR95" s="83">
        <v>59519.862500000003</v>
      </c>
      <c r="AS95" s="83">
        <v>59519.862500000003</v>
      </c>
      <c r="AT95" s="83">
        <v>59519.862500000003</v>
      </c>
      <c r="AU95" s="83">
        <v>59519.862500000003</v>
      </c>
      <c r="AV95" s="83">
        <v>59519.862500000003</v>
      </c>
      <c r="AW95" s="83">
        <v>59519.862500000003</v>
      </c>
      <c r="AX95" s="83">
        <v>59519.862500000003</v>
      </c>
      <c r="AY95" s="83">
        <v>59519.862500000003</v>
      </c>
      <c r="AZ95" s="83">
        <v>59519.862500000003</v>
      </c>
      <c r="BA95" s="83">
        <v>59519.862500000003</v>
      </c>
      <c r="BB95" s="83">
        <v>59519.862500000003</v>
      </c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Q95" s="83">
        <v>35000</v>
      </c>
      <c r="BR95" s="83">
        <v>35000</v>
      </c>
      <c r="BS95" s="83">
        <v>35000</v>
      </c>
      <c r="BT95" s="83">
        <v>35000</v>
      </c>
      <c r="BU95" s="83">
        <v>35000</v>
      </c>
      <c r="BV95" s="83">
        <v>35000</v>
      </c>
      <c r="BW95" s="83">
        <v>35000</v>
      </c>
      <c r="BX95" s="83">
        <v>35000</v>
      </c>
      <c r="BY95" s="83">
        <v>35000</v>
      </c>
      <c r="BZ95" s="83">
        <v>35000</v>
      </c>
      <c r="CA95" s="83">
        <v>35000</v>
      </c>
      <c r="CB95" s="83">
        <v>35000</v>
      </c>
      <c r="CD95" s="83">
        <v>59554.775000000001</v>
      </c>
      <c r="CE95" s="83">
        <v>59554.775000000001</v>
      </c>
      <c r="CF95" s="83">
        <v>59554.775000000001</v>
      </c>
      <c r="CG95" s="83">
        <v>59554.775000000001</v>
      </c>
      <c r="CH95" s="83">
        <v>59554.775000000001</v>
      </c>
      <c r="CI95" s="83">
        <v>59554.775000000001</v>
      </c>
      <c r="CJ95" s="83">
        <v>59554.775000000001</v>
      </c>
      <c r="CK95" s="83">
        <v>59554.775000000001</v>
      </c>
      <c r="CL95" s="83">
        <v>59554.775000000001</v>
      </c>
      <c r="CM95" s="83">
        <v>59554.775000000001</v>
      </c>
      <c r="CN95" s="83">
        <v>59554.775000000001</v>
      </c>
      <c r="CO95" s="83">
        <v>59554.775000000001</v>
      </c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3"/>
      <c r="DE95" s="83"/>
      <c r="DF95" s="83"/>
      <c r="DG95" s="83"/>
      <c r="DH95" s="83"/>
      <c r="DI95" s="83"/>
      <c r="DJ95" s="83"/>
      <c r="DK95" s="83"/>
      <c r="DL95" s="83"/>
      <c r="DM95" s="83"/>
      <c r="DN95" s="83"/>
      <c r="DO95" s="83"/>
      <c r="DP95" s="83"/>
      <c r="DR95" s="83"/>
      <c r="DS95" s="83"/>
      <c r="DT95" s="83"/>
      <c r="DU95" s="83"/>
      <c r="DV95" s="83"/>
      <c r="DW95" s="83"/>
      <c r="DX95" s="83"/>
      <c r="DY95" s="83"/>
      <c r="DZ95" s="83"/>
      <c r="EA95" s="83"/>
      <c r="EB95" s="83"/>
      <c r="EC95" s="83"/>
    </row>
    <row r="96" spans="1:133" ht="15.6" customHeight="1">
      <c r="A96" s="83" t="s">
        <v>124</v>
      </c>
      <c r="B96" s="83"/>
      <c r="C96" s="83">
        <v>0</v>
      </c>
      <c r="D96" s="83">
        <v>0</v>
      </c>
      <c r="E96" s="83">
        <v>0</v>
      </c>
      <c r="F96" s="83">
        <v>0</v>
      </c>
      <c r="G96" s="83">
        <v>0</v>
      </c>
      <c r="H96" s="83">
        <v>0</v>
      </c>
      <c r="I96" s="83">
        <v>0</v>
      </c>
      <c r="J96" s="83">
        <v>0</v>
      </c>
      <c r="K96" s="83">
        <v>0</v>
      </c>
      <c r="L96" s="83">
        <v>0</v>
      </c>
      <c r="M96" s="83">
        <v>0</v>
      </c>
      <c r="N96" s="83">
        <v>0</v>
      </c>
      <c r="O96" s="77">
        <v>0</v>
      </c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3"/>
      <c r="DE96" s="83"/>
      <c r="DF96" s="83"/>
      <c r="DG96" s="83"/>
      <c r="DH96" s="83"/>
      <c r="DI96" s="83"/>
      <c r="DJ96" s="83"/>
      <c r="DK96" s="83"/>
      <c r="DL96" s="83"/>
      <c r="DM96" s="83"/>
      <c r="DN96" s="83"/>
      <c r="DO96" s="83"/>
      <c r="DP96" s="83"/>
      <c r="DR96" s="83"/>
      <c r="DS96" s="83"/>
      <c r="DT96" s="83"/>
      <c r="DU96" s="83"/>
      <c r="DV96" s="83"/>
      <c r="DW96" s="83"/>
      <c r="DX96" s="83"/>
      <c r="DY96" s="83"/>
      <c r="DZ96" s="83"/>
      <c r="EA96" s="83"/>
      <c r="EB96" s="83"/>
      <c r="EC96" s="83"/>
    </row>
    <row r="97" spans="1:135" ht="15.6" customHeight="1">
      <c r="A97" s="83" t="s">
        <v>126</v>
      </c>
      <c r="B97" s="83"/>
      <c r="C97" s="83">
        <v>278434.2</v>
      </c>
      <c r="D97" s="83">
        <v>278434.2</v>
      </c>
      <c r="E97" s="83">
        <v>278434.2</v>
      </c>
      <c r="F97" s="83">
        <v>278434.2</v>
      </c>
      <c r="G97" s="83">
        <v>278434.2</v>
      </c>
      <c r="H97" s="83">
        <v>278434.2</v>
      </c>
      <c r="I97" s="83">
        <v>278434.2</v>
      </c>
      <c r="J97" s="83">
        <v>278434.2</v>
      </c>
      <c r="K97" s="83">
        <v>278434.2</v>
      </c>
      <c r="L97" s="83">
        <v>278434.2</v>
      </c>
      <c r="M97" s="83">
        <v>278434.2</v>
      </c>
      <c r="N97" s="83">
        <v>278434.2</v>
      </c>
      <c r="O97" s="77">
        <v>0</v>
      </c>
      <c r="Q97" s="83">
        <v>67863.862500000003</v>
      </c>
      <c r="R97" s="83">
        <v>67863.862500000003</v>
      </c>
      <c r="S97" s="83">
        <v>67863.862500000003</v>
      </c>
      <c r="T97" s="83">
        <v>67863.862500000003</v>
      </c>
      <c r="U97" s="83">
        <v>67863.862500000003</v>
      </c>
      <c r="V97" s="83">
        <v>67863.862500000003</v>
      </c>
      <c r="W97" s="83">
        <v>67863.862500000003</v>
      </c>
      <c r="X97" s="83">
        <v>67863.862500000003</v>
      </c>
      <c r="Y97" s="83">
        <v>67863.862500000003</v>
      </c>
      <c r="Z97" s="83">
        <v>67863.862500000003</v>
      </c>
      <c r="AA97" s="83">
        <v>67863.862500000003</v>
      </c>
      <c r="AB97" s="83">
        <v>67863.862500000003</v>
      </c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Q97" s="83">
        <v>48678.682499999995</v>
      </c>
      <c r="AR97" s="83">
        <v>48678.682499999995</v>
      </c>
      <c r="AS97" s="83">
        <v>48678.682499999995</v>
      </c>
      <c r="AT97" s="83">
        <v>48678.682499999995</v>
      </c>
      <c r="AU97" s="83">
        <v>48678.682499999995</v>
      </c>
      <c r="AV97" s="83">
        <v>48678.682499999995</v>
      </c>
      <c r="AW97" s="83">
        <v>48678.682499999995</v>
      </c>
      <c r="AX97" s="83">
        <v>48678.682499999995</v>
      </c>
      <c r="AY97" s="83">
        <v>48678.682499999995</v>
      </c>
      <c r="AZ97" s="83">
        <v>48678.682499999995</v>
      </c>
      <c r="BA97" s="83">
        <v>48678.682499999995</v>
      </c>
      <c r="BB97" s="83">
        <v>48678.682499999995</v>
      </c>
      <c r="BD97" s="83">
        <v>32452.455000000002</v>
      </c>
      <c r="BE97" s="83">
        <v>32452.455000000002</v>
      </c>
      <c r="BF97" s="83">
        <v>32452.455000000002</v>
      </c>
      <c r="BG97" s="83">
        <v>32452.455000000002</v>
      </c>
      <c r="BH97" s="83">
        <v>32452.455000000002</v>
      </c>
      <c r="BI97" s="83">
        <v>32452.455000000002</v>
      </c>
      <c r="BJ97" s="83">
        <v>32452.455000000002</v>
      </c>
      <c r="BK97" s="83">
        <v>32452.455000000002</v>
      </c>
      <c r="BL97" s="83">
        <v>32452.455000000002</v>
      </c>
      <c r="BM97" s="83">
        <v>32452.455000000002</v>
      </c>
      <c r="BN97" s="83">
        <v>32452.455000000002</v>
      </c>
      <c r="BO97" s="83">
        <v>32452.455000000002</v>
      </c>
      <c r="BQ97" s="83">
        <v>32219.599999999999</v>
      </c>
      <c r="BR97" s="83">
        <v>32219.599999999999</v>
      </c>
      <c r="BS97" s="83">
        <v>32219.599999999999</v>
      </c>
      <c r="BT97" s="83">
        <v>32219.599999999999</v>
      </c>
      <c r="BU97" s="83">
        <v>32219.599999999999</v>
      </c>
      <c r="BV97" s="83">
        <v>32219.599999999999</v>
      </c>
      <c r="BW97" s="83">
        <v>32219.599999999999</v>
      </c>
      <c r="BX97" s="83">
        <v>32219.599999999999</v>
      </c>
      <c r="BY97" s="83">
        <v>32219.599999999999</v>
      </c>
      <c r="BZ97" s="83">
        <v>32219.599999999999</v>
      </c>
      <c r="CA97" s="83">
        <v>32219.599999999999</v>
      </c>
      <c r="CB97" s="83">
        <v>32219.599999999999</v>
      </c>
      <c r="CD97" s="83">
        <v>19331.760000000002</v>
      </c>
      <c r="CE97" s="83">
        <v>19331.760000000002</v>
      </c>
      <c r="CF97" s="83">
        <v>19331.760000000002</v>
      </c>
      <c r="CG97" s="83">
        <v>19331.760000000002</v>
      </c>
      <c r="CH97" s="83">
        <v>19331.760000000002</v>
      </c>
      <c r="CI97" s="83">
        <v>19331.760000000002</v>
      </c>
      <c r="CJ97" s="83">
        <v>19331.760000000002</v>
      </c>
      <c r="CK97" s="83">
        <v>19331.760000000002</v>
      </c>
      <c r="CL97" s="83">
        <v>19331.760000000002</v>
      </c>
      <c r="CM97" s="83">
        <v>19331.760000000002</v>
      </c>
      <c r="CN97" s="83">
        <v>19331.760000000002</v>
      </c>
      <c r="CO97" s="83">
        <v>19331.760000000002</v>
      </c>
      <c r="CQ97" s="83">
        <v>12887.84</v>
      </c>
      <c r="CR97" s="83">
        <v>12887.84</v>
      </c>
      <c r="CS97" s="83">
        <v>12887.84</v>
      </c>
      <c r="CT97" s="83">
        <v>12887.84</v>
      </c>
      <c r="CU97" s="83">
        <v>12887.84</v>
      </c>
      <c r="CV97" s="83">
        <v>12887.84</v>
      </c>
      <c r="CW97" s="83">
        <v>12887.84</v>
      </c>
      <c r="CX97" s="83">
        <v>12887.84</v>
      </c>
      <c r="CY97" s="83">
        <v>12887.84</v>
      </c>
      <c r="CZ97" s="83">
        <v>12887.84</v>
      </c>
      <c r="DA97" s="83">
        <v>12887.84</v>
      </c>
      <c r="DB97" s="83">
        <v>12887.84</v>
      </c>
      <c r="DE97" s="83">
        <v>39000</v>
      </c>
      <c r="DF97" s="83">
        <v>39000</v>
      </c>
      <c r="DG97" s="83">
        <v>39000</v>
      </c>
      <c r="DH97" s="83">
        <v>39000</v>
      </c>
      <c r="DI97" s="83">
        <v>39000</v>
      </c>
      <c r="DJ97" s="83">
        <v>39000</v>
      </c>
      <c r="DK97" s="83">
        <v>39000</v>
      </c>
      <c r="DL97" s="83">
        <v>39000</v>
      </c>
      <c r="DM97" s="83">
        <v>39000</v>
      </c>
      <c r="DN97" s="83">
        <v>39000</v>
      </c>
      <c r="DO97" s="83">
        <v>39000</v>
      </c>
      <c r="DP97" s="83">
        <v>39000</v>
      </c>
      <c r="DR97" s="83">
        <v>26000</v>
      </c>
      <c r="DS97" s="83">
        <v>26000</v>
      </c>
      <c r="DT97" s="83">
        <v>26000</v>
      </c>
      <c r="DU97" s="83">
        <v>26000</v>
      </c>
      <c r="DV97" s="83">
        <v>26000</v>
      </c>
      <c r="DW97" s="83">
        <v>26000</v>
      </c>
      <c r="DX97" s="83">
        <v>26000</v>
      </c>
      <c r="DY97" s="83">
        <v>26000</v>
      </c>
      <c r="DZ97" s="83">
        <v>26000</v>
      </c>
      <c r="EA97" s="83">
        <v>26000</v>
      </c>
      <c r="EB97" s="83">
        <v>26000</v>
      </c>
      <c r="EC97" s="83">
        <v>26000</v>
      </c>
    </row>
    <row r="98" spans="1:135" ht="15.6" customHeight="1">
      <c r="A98" s="83" t="s">
        <v>229</v>
      </c>
      <c r="B98" s="83"/>
      <c r="C98" s="83">
        <v>24805</v>
      </c>
      <c r="D98" s="83">
        <v>24805</v>
      </c>
      <c r="E98" s="83">
        <v>24805</v>
      </c>
      <c r="F98" s="83">
        <v>24805</v>
      </c>
      <c r="G98" s="83">
        <v>24805</v>
      </c>
      <c r="H98" s="83">
        <v>24805</v>
      </c>
      <c r="I98" s="83">
        <v>24805</v>
      </c>
      <c r="J98" s="83">
        <v>24805</v>
      </c>
      <c r="K98" s="83">
        <v>24805</v>
      </c>
      <c r="L98" s="83">
        <v>24805</v>
      </c>
      <c r="M98" s="83">
        <v>24805</v>
      </c>
      <c r="N98" s="83">
        <v>24805</v>
      </c>
      <c r="O98" s="77">
        <v>0</v>
      </c>
      <c r="Q98" s="83">
        <v>4961</v>
      </c>
      <c r="R98" s="83">
        <v>4961</v>
      </c>
      <c r="S98" s="83">
        <v>4961</v>
      </c>
      <c r="T98" s="83">
        <v>4961</v>
      </c>
      <c r="U98" s="83">
        <v>4961</v>
      </c>
      <c r="V98" s="83">
        <v>4961</v>
      </c>
      <c r="W98" s="83">
        <v>4961</v>
      </c>
      <c r="X98" s="83">
        <v>4961</v>
      </c>
      <c r="Y98" s="83">
        <v>4961</v>
      </c>
      <c r="Z98" s="83">
        <v>4961</v>
      </c>
      <c r="AA98" s="83">
        <v>4961</v>
      </c>
      <c r="AB98" s="83">
        <v>4961</v>
      </c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Q98" s="83">
        <v>9922</v>
      </c>
      <c r="AR98" s="83">
        <v>9922</v>
      </c>
      <c r="AS98" s="83">
        <v>9922</v>
      </c>
      <c r="AT98" s="83">
        <v>9922</v>
      </c>
      <c r="AU98" s="83">
        <v>9922</v>
      </c>
      <c r="AV98" s="83">
        <v>9922</v>
      </c>
      <c r="AW98" s="83">
        <v>9922</v>
      </c>
      <c r="AX98" s="83">
        <v>9922</v>
      </c>
      <c r="AY98" s="83">
        <v>9922</v>
      </c>
      <c r="AZ98" s="83">
        <v>9922</v>
      </c>
      <c r="BA98" s="83">
        <v>9922</v>
      </c>
      <c r="BB98" s="83">
        <v>9922</v>
      </c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Q98" s="83">
        <v>2480.5</v>
      </c>
      <c r="BR98" s="83">
        <v>2480.5</v>
      </c>
      <c r="BS98" s="83">
        <v>2480.5</v>
      </c>
      <c r="BT98" s="83">
        <v>2480.5</v>
      </c>
      <c r="BU98" s="83">
        <v>2480.5</v>
      </c>
      <c r="BV98" s="83">
        <v>2480.5</v>
      </c>
      <c r="BW98" s="83">
        <v>2480.5</v>
      </c>
      <c r="BX98" s="83">
        <v>2480.5</v>
      </c>
      <c r="BY98" s="83">
        <v>2480.5</v>
      </c>
      <c r="BZ98" s="83">
        <v>2480.5</v>
      </c>
      <c r="CA98" s="83">
        <v>2480.5</v>
      </c>
      <c r="CB98" s="83">
        <v>2480.5</v>
      </c>
      <c r="CD98" s="83">
        <v>1488.3</v>
      </c>
      <c r="CE98" s="83">
        <v>1488.3</v>
      </c>
      <c r="CF98" s="83">
        <v>1488.3</v>
      </c>
      <c r="CG98" s="83">
        <v>1488.3</v>
      </c>
      <c r="CH98" s="83">
        <v>1488.3</v>
      </c>
      <c r="CI98" s="83">
        <v>1488.3</v>
      </c>
      <c r="CJ98" s="83">
        <v>1488.3</v>
      </c>
      <c r="CK98" s="83">
        <v>1488.3</v>
      </c>
      <c r="CL98" s="83">
        <v>1488.3</v>
      </c>
      <c r="CM98" s="83">
        <v>1488.3</v>
      </c>
      <c r="CN98" s="83">
        <v>1488.3</v>
      </c>
      <c r="CO98" s="83">
        <v>1488.3</v>
      </c>
      <c r="CQ98" s="83">
        <v>992.2</v>
      </c>
      <c r="CR98" s="83">
        <v>992.2</v>
      </c>
      <c r="CS98" s="83">
        <v>992.2</v>
      </c>
      <c r="CT98" s="83">
        <v>992.2</v>
      </c>
      <c r="CU98" s="83">
        <v>992.2</v>
      </c>
      <c r="CV98" s="83">
        <v>992.2</v>
      </c>
      <c r="CW98" s="83">
        <v>992.2</v>
      </c>
      <c r="CX98" s="83">
        <v>992.2</v>
      </c>
      <c r="CY98" s="83">
        <v>992.2</v>
      </c>
      <c r="CZ98" s="83">
        <v>992.2</v>
      </c>
      <c r="DA98" s="83">
        <v>992.2</v>
      </c>
      <c r="DB98" s="83">
        <v>992.2</v>
      </c>
      <c r="DE98" s="91">
        <v>2976.6</v>
      </c>
      <c r="DF98" s="91">
        <v>2976.6</v>
      </c>
      <c r="DG98" s="91">
        <v>2976.6</v>
      </c>
      <c r="DH98" s="91">
        <v>2976.6</v>
      </c>
      <c r="DI98" s="91">
        <v>2976.6</v>
      </c>
      <c r="DJ98" s="91">
        <v>2976.6</v>
      </c>
      <c r="DK98" s="91">
        <v>2976.6</v>
      </c>
      <c r="DL98" s="91">
        <v>2976.6</v>
      </c>
      <c r="DM98" s="91">
        <v>2976.6</v>
      </c>
      <c r="DN98" s="91">
        <v>2976.6</v>
      </c>
      <c r="DO98" s="91">
        <v>2976.6</v>
      </c>
      <c r="DP98" s="91">
        <v>2976.6</v>
      </c>
      <c r="DR98" s="91">
        <v>1984.4</v>
      </c>
      <c r="DS98" s="91">
        <v>1984.4</v>
      </c>
      <c r="DT98" s="91">
        <v>1984.4</v>
      </c>
      <c r="DU98" s="91">
        <v>1984.4</v>
      </c>
      <c r="DV98" s="91">
        <v>1984.4</v>
      </c>
      <c r="DW98" s="91">
        <v>1984.4</v>
      </c>
      <c r="DX98" s="91">
        <v>1984.4</v>
      </c>
      <c r="DY98" s="91">
        <v>1984.4</v>
      </c>
      <c r="DZ98" s="91">
        <v>1984.4</v>
      </c>
      <c r="EA98" s="91">
        <v>1984.4</v>
      </c>
      <c r="EB98" s="91">
        <v>1984.4</v>
      </c>
      <c r="EC98" s="91">
        <v>1984.4</v>
      </c>
    </row>
    <row r="99" spans="1:135" ht="15.6" customHeight="1">
      <c r="A99" s="83" t="s">
        <v>127</v>
      </c>
      <c r="B99" s="83"/>
      <c r="C99" s="83">
        <v>143000</v>
      </c>
      <c r="D99" s="83">
        <v>143000</v>
      </c>
      <c r="E99" s="83">
        <v>143000</v>
      </c>
      <c r="F99" s="83">
        <v>143000</v>
      </c>
      <c r="G99" s="83">
        <v>143000</v>
      </c>
      <c r="H99" s="83">
        <v>143000</v>
      </c>
      <c r="I99" s="83">
        <v>143000</v>
      </c>
      <c r="J99" s="83">
        <v>143000</v>
      </c>
      <c r="K99" s="83">
        <v>143000</v>
      </c>
      <c r="L99" s="83">
        <v>143000</v>
      </c>
      <c r="M99" s="83">
        <v>143000</v>
      </c>
      <c r="N99" s="83">
        <v>143000</v>
      </c>
      <c r="O99" s="77">
        <v>0</v>
      </c>
      <c r="Q99" s="83">
        <v>47000</v>
      </c>
      <c r="R99" s="83">
        <v>47000</v>
      </c>
      <c r="S99" s="83">
        <v>47000</v>
      </c>
      <c r="T99" s="83">
        <v>47000</v>
      </c>
      <c r="U99" s="83">
        <v>47000</v>
      </c>
      <c r="V99" s="83">
        <v>47000</v>
      </c>
      <c r="W99" s="83">
        <v>47000</v>
      </c>
      <c r="X99" s="83">
        <v>47000</v>
      </c>
      <c r="Y99" s="83">
        <v>47000</v>
      </c>
      <c r="Z99" s="83">
        <v>47000</v>
      </c>
      <c r="AA99" s="83">
        <v>47000</v>
      </c>
      <c r="AB99" s="83">
        <v>47000</v>
      </c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Q99" s="83">
        <v>19200</v>
      </c>
      <c r="AR99" s="83">
        <v>19200</v>
      </c>
      <c r="AS99" s="83">
        <v>19200</v>
      </c>
      <c r="AT99" s="83">
        <v>19200</v>
      </c>
      <c r="AU99" s="83">
        <v>19200</v>
      </c>
      <c r="AV99" s="83">
        <v>19200</v>
      </c>
      <c r="AW99" s="83">
        <v>19200</v>
      </c>
      <c r="AX99" s="83">
        <v>19200</v>
      </c>
      <c r="AY99" s="83">
        <v>19200</v>
      </c>
      <c r="AZ99" s="83">
        <v>19200</v>
      </c>
      <c r="BA99" s="83">
        <v>19200</v>
      </c>
      <c r="BB99" s="83">
        <v>19200</v>
      </c>
      <c r="BD99" s="91">
        <v>12800</v>
      </c>
      <c r="BE99" s="91">
        <v>12800</v>
      </c>
      <c r="BF99" s="91">
        <v>12800</v>
      </c>
      <c r="BG99" s="91">
        <v>12800</v>
      </c>
      <c r="BH99" s="91">
        <v>12800</v>
      </c>
      <c r="BI99" s="91">
        <v>12800</v>
      </c>
      <c r="BJ99" s="91">
        <v>12800</v>
      </c>
      <c r="BK99" s="91">
        <v>12800</v>
      </c>
      <c r="BL99" s="91">
        <v>12800</v>
      </c>
      <c r="BM99" s="91">
        <v>12800</v>
      </c>
      <c r="BN99" s="91">
        <v>12800</v>
      </c>
      <c r="BO99" s="91">
        <v>12800</v>
      </c>
      <c r="BQ99" s="83">
        <v>16000</v>
      </c>
      <c r="BR99" s="83">
        <v>16000</v>
      </c>
      <c r="BS99" s="83">
        <v>16000</v>
      </c>
      <c r="BT99" s="83">
        <v>16000</v>
      </c>
      <c r="BU99" s="83">
        <v>16000</v>
      </c>
      <c r="BV99" s="83">
        <v>16000</v>
      </c>
      <c r="BW99" s="83">
        <v>16000</v>
      </c>
      <c r="BX99" s="83">
        <v>16000</v>
      </c>
      <c r="BY99" s="83">
        <v>16000</v>
      </c>
      <c r="BZ99" s="83">
        <v>16000</v>
      </c>
      <c r="CA99" s="83">
        <v>16000</v>
      </c>
      <c r="CB99" s="83">
        <v>16000</v>
      </c>
      <c r="CD99" s="83">
        <v>9600</v>
      </c>
      <c r="CE99" s="83">
        <v>9600</v>
      </c>
      <c r="CF99" s="83">
        <v>9600</v>
      </c>
      <c r="CG99" s="83">
        <v>9600</v>
      </c>
      <c r="CH99" s="83">
        <v>9600</v>
      </c>
      <c r="CI99" s="83">
        <v>9600</v>
      </c>
      <c r="CJ99" s="83">
        <v>9600</v>
      </c>
      <c r="CK99" s="83">
        <v>9600</v>
      </c>
      <c r="CL99" s="83">
        <v>9600</v>
      </c>
      <c r="CM99" s="83">
        <v>9600</v>
      </c>
      <c r="CN99" s="83">
        <v>9600</v>
      </c>
      <c r="CO99" s="83">
        <v>9600</v>
      </c>
      <c r="CQ99" s="83">
        <v>6400</v>
      </c>
      <c r="CR99" s="83">
        <v>6400</v>
      </c>
      <c r="CS99" s="83">
        <v>6400</v>
      </c>
      <c r="CT99" s="83">
        <v>6400</v>
      </c>
      <c r="CU99" s="83">
        <v>6400</v>
      </c>
      <c r="CV99" s="83">
        <v>6400</v>
      </c>
      <c r="CW99" s="83">
        <v>6400</v>
      </c>
      <c r="CX99" s="83">
        <v>6400</v>
      </c>
      <c r="CY99" s="83">
        <v>6400</v>
      </c>
      <c r="CZ99" s="83">
        <v>6400</v>
      </c>
      <c r="DA99" s="83">
        <v>6400</v>
      </c>
      <c r="DB99" s="83">
        <v>6400</v>
      </c>
      <c r="DE99" s="83">
        <v>19200</v>
      </c>
      <c r="DF99" s="83">
        <v>19200</v>
      </c>
      <c r="DG99" s="83">
        <v>19200</v>
      </c>
      <c r="DH99" s="83">
        <v>19200</v>
      </c>
      <c r="DI99" s="83">
        <v>19200</v>
      </c>
      <c r="DJ99" s="83">
        <v>19200</v>
      </c>
      <c r="DK99" s="83">
        <v>19200</v>
      </c>
      <c r="DL99" s="83">
        <v>19200</v>
      </c>
      <c r="DM99" s="83">
        <v>19200</v>
      </c>
      <c r="DN99" s="83">
        <v>19200</v>
      </c>
      <c r="DO99" s="83">
        <v>19200</v>
      </c>
      <c r="DP99" s="83">
        <v>19200</v>
      </c>
      <c r="DR99" s="83">
        <v>12800</v>
      </c>
      <c r="DS99" s="83">
        <v>12800</v>
      </c>
      <c r="DT99" s="83">
        <v>12800</v>
      </c>
      <c r="DU99" s="83">
        <v>12800</v>
      </c>
      <c r="DV99" s="83">
        <v>12800</v>
      </c>
      <c r="DW99" s="83">
        <v>12800</v>
      </c>
      <c r="DX99" s="83">
        <v>12800</v>
      </c>
      <c r="DY99" s="83">
        <v>12800</v>
      </c>
      <c r="DZ99" s="83">
        <v>12800</v>
      </c>
      <c r="EA99" s="83">
        <v>12800</v>
      </c>
      <c r="EB99" s="83">
        <v>12800</v>
      </c>
      <c r="EC99" s="83">
        <v>12800</v>
      </c>
    </row>
    <row r="100" spans="1:135" ht="15.6" customHeight="1">
      <c r="A100" s="83" t="s">
        <v>128</v>
      </c>
      <c r="B100" s="83"/>
      <c r="C100" s="83">
        <v>25500</v>
      </c>
      <c r="D100" s="83">
        <v>25500</v>
      </c>
      <c r="E100" s="83">
        <v>25500</v>
      </c>
      <c r="F100" s="83">
        <v>25500</v>
      </c>
      <c r="G100" s="83">
        <v>25500</v>
      </c>
      <c r="H100" s="83">
        <v>25500</v>
      </c>
      <c r="I100" s="83">
        <v>25500</v>
      </c>
      <c r="J100" s="83">
        <v>25500</v>
      </c>
      <c r="K100" s="83">
        <v>25500</v>
      </c>
      <c r="L100" s="83">
        <v>25500</v>
      </c>
      <c r="M100" s="83">
        <v>25500</v>
      </c>
      <c r="N100" s="83">
        <v>25500</v>
      </c>
      <c r="O100" s="77">
        <v>0</v>
      </c>
      <c r="Q100" s="83">
        <v>6000</v>
      </c>
      <c r="R100" s="83">
        <v>6000</v>
      </c>
      <c r="S100" s="83">
        <v>6000</v>
      </c>
      <c r="T100" s="83">
        <v>6000</v>
      </c>
      <c r="U100" s="83">
        <v>6000</v>
      </c>
      <c r="V100" s="83">
        <v>6000</v>
      </c>
      <c r="W100" s="83">
        <v>6000</v>
      </c>
      <c r="X100" s="83">
        <v>6000</v>
      </c>
      <c r="Y100" s="83">
        <v>6000</v>
      </c>
      <c r="Z100" s="83">
        <v>6000</v>
      </c>
      <c r="AA100" s="83">
        <v>6000</v>
      </c>
      <c r="AB100" s="83">
        <v>6000</v>
      </c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Q100" s="83">
        <v>3600</v>
      </c>
      <c r="AR100" s="83">
        <v>3600</v>
      </c>
      <c r="AS100" s="83">
        <v>3600</v>
      </c>
      <c r="AT100" s="83">
        <v>3600</v>
      </c>
      <c r="AU100" s="83">
        <v>3600</v>
      </c>
      <c r="AV100" s="83">
        <v>3600</v>
      </c>
      <c r="AW100" s="83">
        <v>3600</v>
      </c>
      <c r="AX100" s="83">
        <v>3600</v>
      </c>
      <c r="AY100" s="83">
        <v>3600</v>
      </c>
      <c r="AZ100" s="83">
        <v>3600</v>
      </c>
      <c r="BA100" s="83">
        <v>3600</v>
      </c>
      <c r="BB100" s="83">
        <v>3600</v>
      </c>
      <c r="BD100" s="83">
        <v>2400</v>
      </c>
      <c r="BE100" s="83">
        <v>2400</v>
      </c>
      <c r="BF100" s="83">
        <v>2400</v>
      </c>
      <c r="BG100" s="83">
        <v>2400</v>
      </c>
      <c r="BH100" s="83">
        <v>2400</v>
      </c>
      <c r="BI100" s="83">
        <v>2400</v>
      </c>
      <c r="BJ100" s="83">
        <v>2400</v>
      </c>
      <c r="BK100" s="83">
        <v>2400</v>
      </c>
      <c r="BL100" s="83">
        <v>2400</v>
      </c>
      <c r="BM100" s="83">
        <v>2400</v>
      </c>
      <c r="BN100" s="83">
        <v>2400</v>
      </c>
      <c r="BO100" s="83">
        <v>2400</v>
      </c>
      <c r="BQ100" s="83">
        <v>3000</v>
      </c>
      <c r="BR100" s="83">
        <v>3000</v>
      </c>
      <c r="BS100" s="83">
        <v>3000</v>
      </c>
      <c r="BT100" s="83">
        <v>3000</v>
      </c>
      <c r="BU100" s="83">
        <v>3000</v>
      </c>
      <c r="BV100" s="83">
        <v>3000</v>
      </c>
      <c r="BW100" s="83">
        <v>3000</v>
      </c>
      <c r="BX100" s="83">
        <v>3000</v>
      </c>
      <c r="BY100" s="83">
        <v>3000</v>
      </c>
      <c r="BZ100" s="83">
        <v>3000</v>
      </c>
      <c r="CA100" s="83">
        <v>3000</v>
      </c>
      <c r="CB100" s="83">
        <v>3000</v>
      </c>
      <c r="CD100" s="83">
        <v>1800</v>
      </c>
      <c r="CE100" s="83">
        <v>1800</v>
      </c>
      <c r="CF100" s="83">
        <v>1800</v>
      </c>
      <c r="CG100" s="83">
        <v>1800</v>
      </c>
      <c r="CH100" s="83">
        <v>1800</v>
      </c>
      <c r="CI100" s="83">
        <v>1800</v>
      </c>
      <c r="CJ100" s="83">
        <v>1800</v>
      </c>
      <c r="CK100" s="83">
        <v>1800</v>
      </c>
      <c r="CL100" s="83">
        <v>1800</v>
      </c>
      <c r="CM100" s="83">
        <v>1800</v>
      </c>
      <c r="CN100" s="83">
        <v>1800</v>
      </c>
      <c r="CO100" s="83">
        <v>1800</v>
      </c>
      <c r="CQ100" s="83">
        <v>1200</v>
      </c>
      <c r="CR100" s="83">
        <v>1200</v>
      </c>
      <c r="CS100" s="83">
        <v>1200</v>
      </c>
      <c r="CT100" s="83">
        <v>1200</v>
      </c>
      <c r="CU100" s="83">
        <v>1200</v>
      </c>
      <c r="CV100" s="83">
        <v>1200</v>
      </c>
      <c r="CW100" s="83">
        <v>1200</v>
      </c>
      <c r="CX100" s="83">
        <v>1200</v>
      </c>
      <c r="CY100" s="83">
        <v>1200</v>
      </c>
      <c r="CZ100" s="83">
        <v>1200</v>
      </c>
      <c r="DA100" s="83">
        <v>1200</v>
      </c>
      <c r="DB100" s="83">
        <v>1200</v>
      </c>
      <c r="DE100" s="83">
        <v>4500</v>
      </c>
      <c r="DF100" s="83">
        <v>4500</v>
      </c>
      <c r="DG100" s="83">
        <v>4500</v>
      </c>
      <c r="DH100" s="83">
        <v>4500</v>
      </c>
      <c r="DI100" s="83">
        <v>4500</v>
      </c>
      <c r="DJ100" s="83">
        <v>4500</v>
      </c>
      <c r="DK100" s="83">
        <v>4500</v>
      </c>
      <c r="DL100" s="83">
        <v>4500</v>
      </c>
      <c r="DM100" s="83">
        <v>4500</v>
      </c>
      <c r="DN100" s="83">
        <v>4500</v>
      </c>
      <c r="DO100" s="83">
        <v>4500</v>
      </c>
      <c r="DP100" s="83">
        <v>4500</v>
      </c>
      <c r="DR100" s="83">
        <v>3000</v>
      </c>
      <c r="DS100" s="83">
        <v>3000</v>
      </c>
      <c r="DT100" s="83">
        <v>3000</v>
      </c>
      <c r="DU100" s="83">
        <v>3000</v>
      </c>
      <c r="DV100" s="83">
        <v>3000</v>
      </c>
      <c r="DW100" s="83">
        <v>3000</v>
      </c>
      <c r="DX100" s="83">
        <v>3000</v>
      </c>
      <c r="DY100" s="83">
        <v>3000</v>
      </c>
      <c r="DZ100" s="83">
        <v>3000</v>
      </c>
      <c r="EA100" s="83">
        <v>3000</v>
      </c>
      <c r="EB100" s="83">
        <v>3000</v>
      </c>
      <c r="EC100" s="83">
        <v>3000</v>
      </c>
    </row>
    <row r="101" spans="1:135">
      <c r="A101" s="101" t="s">
        <v>131</v>
      </c>
      <c r="B101" s="83" t="s">
        <v>255</v>
      </c>
      <c r="C101" s="83">
        <v>108760</v>
      </c>
      <c r="D101" s="83">
        <v>108760</v>
      </c>
      <c r="E101" s="83">
        <v>108760</v>
      </c>
      <c r="F101" s="83">
        <v>108760</v>
      </c>
      <c r="G101" s="83">
        <v>108760</v>
      </c>
      <c r="H101" s="83">
        <v>108760</v>
      </c>
      <c r="I101" s="83">
        <v>108760</v>
      </c>
      <c r="J101" s="83">
        <v>108760</v>
      </c>
      <c r="K101" s="83">
        <v>108760</v>
      </c>
      <c r="L101" s="83">
        <v>108760</v>
      </c>
      <c r="M101" s="83">
        <v>108760</v>
      </c>
      <c r="N101" s="83">
        <v>108760</v>
      </c>
      <c r="O101" s="77">
        <v>0</v>
      </c>
      <c r="Q101" s="83">
        <v>64260</v>
      </c>
      <c r="R101" s="83">
        <v>64260</v>
      </c>
      <c r="S101" s="83">
        <v>64260</v>
      </c>
      <c r="T101" s="83">
        <v>64260</v>
      </c>
      <c r="U101" s="83">
        <v>64260</v>
      </c>
      <c r="V101" s="83">
        <v>64260</v>
      </c>
      <c r="W101" s="83">
        <v>64260</v>
      </c>
      <c r="X101" s="83">
        <v>64260</v>
      </c>
      <c r="Y101" s="83">
        <v>64260</v>
      </c>
      <c r="Z101" s="83">
        <v>64260</v>
      </c>
      <c r="AA101" s="83">
        <v>64260</v>
      </c>
      <c r="AB101" s="83">
        <v>64260</v>
      </c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Q101" s="83">
        <v>10980</v>
      </c>
      <c r="AR101" s="83">
        <v>10980</v>
      </c>
      <c r="AS101" s="83">
        <v>10980</v>
      </c>
      <c r="AT101" s="83">
        <v>10980</v>
      </c>
      <c r="AU101" s="83">
        <v>10980</v>
      </c>
      <c r="AV101" s="83">
        <v>10980</v>
      </c>
      <c r="AW101" s="83">
        <v>10980</v>
      </c>
      <c r="AX101" s="83">
        <v>10980</v>
      </c>
      <c r="AY101" s="83">
        <v>10980</v>
      </c>
      <c r="AZ101" s="83">
        <v>10980</v>
      </c>
      <c r="BA101" s="83">
        <v>10980</v>
      </c>
      <c r="BB101" s="83">
        <v>10980</v>
      </c>
      <c r="BD101" s="83">
        <v>7320</v>
      </c>
      <c r="BE101" s="83">
        <v>7320</v>
      </c>
      <c r="BF101" s="83">
        <v>7320</v>
      </c>
      <c r="BG101" s="83">
        <v>7320</v>
      </c>
      <c r="BH101" s="83">
        <v>7320</v>
      </c>
      <c r="BI101" s="83">
        <v>7320</v>
      </c>
      <c r="BJ101" s="83">
        <v>7320</v>
      </c>
      <c r="BK101" s="83">
        <v>7320</v>
      </c>
      <c r="BL101" s="83">
        <v>7320</v>
      </c>
      <c r="BM101" s="83">
        <v>7320</v>
      </c>
      <c r="BN101" s="83">
        <v>7320</v>
      </c>
      <c r="BO101" s="83">
        <v>7320</v>
      </c>
      <c r="BQ101" s="83">
        <v>10600</v>
      </c>
      <c r="BR101" s="83">
        <v>10600</v>
      </c>
      <c r="BS101" s="83">
        <v>10600</v>
      </c>
      <c r="BT101" s="83">
        <v>10600</v>
      </c>
      <c r="BU101" s="83">
        <v>10600</v>
      </c>
      <c r="BV101" s="83">
        <v>10600</v>
      </c>
      <c r="BW101" s="83">
        <v>10600</v>
      </c>
      <c r="BX101" s="83">
        <v>10600</v>
      </c>
      <c r="BY101" s="83">
        <v>10600</v>
      </c>
      <c r="BZ101" s="83">
        <v>10600</v>
      </c>
      <c r="CA101" s="83">
        <v>10600</v>
      </c>
      <c r="CB101" s="83">
        <v>10600</v>
      </c>
      <c r="CD101" s="83">
        <v>6360</v>
      </c>
      <c r="CE101" s="83">
        <v>6360</v>
      </c>
      <c r="CF101" s="83">
        <v>6360</v>
      </c>
      <c r="CG101" s="83">
        <v>6360</v>
      </c>
      <c r="CH101" s="83">
        <v>6360</v>
      </c>
      <c r="CI101" s="83">
        <v>6360</v>
      </c>
      <c r="CJ101" s="83">
        <v>6360</v>
      </c>
      <c r="CK101" s="83">
        <v>6360</v>
      </c>
      <c r="CL101" s="83">
        <v>6360</v>
      </c>
      <c r="CM101" s="83">
        <v>6360</v>
      </c>
      <c r="CN101" s="83">
        <v>6360</v>
      </c>
      <c r="CO101" s="83">
        <v>6360</v>
      </c>
      <c r="CQ101" s="83">
        <v>4240</v>
      </c>
      <c r="CR101" s="83">
        <v>4240</v>
      </c>
      <c r="CS101" s="83">
        <v>4240</v>
      </c>
      <c r="CT101" s="83">
        <v>4240</v>
      </c>
      <c r="CU101" s="83">
        <v>4240</v>
      </c>
      <c r="CV101" s="83">
        <v>4240</v>
      </c>
      <c r="CW101" s="83">
        <v>4240</v>
      </c>
      <c r="CX101" s="83">
        <v>4240</v>
      </c>
      <c r="CY101" s="83">
        <v>4240</v>
      </c>
      <c r="CZ101" s="83">
        <v>4240</v>
      </c>
      <c r="DA101" s="83">
        <v>4240</v>
      </c>
      <c r="DB101" s="83">
        <v>4240</v>
      </c>
      <c r="DE101" s="83">
        <v>5000</v>
      </c>
      <c r="DF101" s="83">
        <v>5000</v>
      </c>
      <c r="DG101" s="83">
        <v>5000</v>
      </c>
      <c r="DH101" s="83">
        <v>5000</v>
      </c>
      <c r="DI101" s="83">
        <v>5000</v>
      </c>
      <c r="DJ101" s="83">
        <v>5000</v>
      </c>
      <c r="DK101" s="83">
        <v>5000</v>
      </c>
      <c r="DL101" s="83">
        <v>5000</v>
      </c>
      <c r="DM101" s="83">
        <v>5000</v>
      </c>
      <c r="DN101" s="83">
        <v>5000</v>
      </c>
      <c r="DO101" s="83">
        <v>5000</v>
      </c>
      <c r="DP101" s="83">
        <v>5000</v>
      </c>
      <c r="DR101" s="83">
        <v>0</v>
      </c>
      <c r="DS101" s="83">
        <v>0</v>
      </c>
      <c r="DT101" s="83">
        <v>0</v>
      </c>
      <c r="DU101" s="83">
        <v>0</v>
      </c>
      <c r="DV101" s="83">
        <v>0</v>
      </c>
      <c r="DW101" s="83">
        <v>0</v>
      </c>
      <c r="DX101" s="83">
        <v>0</v>
      </c>
      <c r="DY101" s="83">
        <v>0</v>
      </c>
      <c r="DZ101" s="83">
        <v>0</v>
      </c>
      <c r="EA101" s="83">
        <v>0</v>
      </c>
      <c r="EB101" s="83">
        <v>0</v>
      </c>
      <c r="EC101" s="83">
        <v>0</v>
      </c>
      <c r="EE101" s="77">
        <v>512040</v>
      </c>
    </row>
    <row r="102" spans="1:135">
      <c r="A102" s="101" t="s">
        <v>132</v>
      </c>
      <c r="B102" s="83" t="s">
        <v>256</v>
      </c>
      <c r="C102" s="83">
        <v>14500</v>
      </c>
      <c r="D102" s="83">
        <v>14500</v>
      </c>
      <c r="E102" s="83">
        <v>14500</v>
      </c>
      <c r="F102" s="83">
        <v>14500</v>
      </c>
      <c r="G102" s="83">
        <v>14500</v>
      </c>
      <c r="H102" s="83">
        <v>14500</v>
      </c>
      <c r="I102" s="83">
        <v>14500</v>
      </c>
      <c r="J102" s="83">
        <v>14500</v>
      </c>
      <c r="K102" s="83">
        <v>14500</v>
      </c>
      <c r="L102" s="83">
        <v>14500</v>
      </c>
      <c r="M102" s="83">
        <v>14500</v>
      </c>
      <c r="N102" s="83">
        <v>14500</v>
      </c>
      <c r="O102" s="77">
        <v>-6000</v>
      </c>
      <c r="Q102" s="83">
        <v>5800</v>
      </c>
      <c r="R102" s="83">
        <v>5800</v>
      </c>
      <c r="S102" s="83">
        <v>5800</v>
      </c>
      <c r="T102" s="83">
        <v>5800</v>
      </c>
      <c r="U102" s="83">
        <v>5800</v>
      </c>
      <c r="V102" s="83">
        <v>5800</v>
      </c>
      <c r="W102" s="83">
        <v>5800</v>
      </c>
      <c r="X102" s="83">
        <v>5800</v>
      </c>
      <c r="Y102" s="83">
        <v>5800</v>
      </c>
      <c r="Z102" s="83">
        <v>5800</v>
      </c>
      <c r="AA102" s="83">
        <v>5800</v>
      </c>
      <c r="AB102" s="83">
        <v>5800</v>
      </c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Q102" s="83">
        <v>2610</v>
      </c>
      <c r="AR102" s="83">
        <v>2610</v>
      </c>
      <c r="AS102" s="83">
        <v>2610</v>
      </c>
      <c r="AT102" s="83">
        <v>2610</v>
      </c>
      <c r="AU102" s="83">
        <v>2610</v>
      </c>
      <c r="AV102" s="83">
        <v>2610</v>
      </c>
      <c r="AW102" s="83">
        <v>2610</v>
      </c>
      <c r="AX102" s="83">
        <v>2610</v>
      </c>
      <c r="AY102" s="83">
        <v>2610</v>
      </c>
      <c r="AZ102" s="83">
        <v>2610</v>
      </c>
      <c r="BA102" s="83">
        <v>2610</v>
      </c>
      <c r="BB102" s="83">
        <v>2610</v>
      </c>
      <c r="BD102" s="83">
        <v>1740</v>
      </c>
      <c r="BE102" s="83">
        <v>1740</v>
      </c>
      <c r="BF102" s="83">
        <v>1740</v>
      </c>
      <c r="BG102" s="83">
        <v>1740</v>
      </c>
      <c r="BH102" s="83">
        <v>1740</v>
      </c>
      <c r="BI102" s="83">
        <v>1740</v>
      </c>
      <c r="BJ102" s="83">
        <v>1740</v>
      </c>
      <c r="BK102" s="83">
        <v>1740</v>
      </c>
      <c r="BL102" s="83">
        <v>1740</v>
      </c>
      <c r="BM102" s="83">
        <v>1740</v>
      </c>
      <c r="BN102" s="83">
        <v>1740</v>
      </c>
      <c r="BO102" s="83">
        <v>1740</v>
      </c>
      <c r="BQ102" s="83">
        <v>2175</v>
      </c>
      <c r="BR102" s="83">
        <v>2175</v>
      </c>
      <c r="BS102" s="83">
        <v>2175</v>
      </c>
      <c r="BT102" s="83">
        <v>2175</v>
      </c>
      <c r="BU102" s="83">
        <v>2175</v>
      </c>
      <c r="BV102" s="83">
        <v>2175</v>
      </c>
      <c r="BW102" s="83">
        <v>2175</v>
      </c>
      <c r="BX102" s="83">
        <v>2175</v>
      </c>
      <c r="BY102" s="83">
        <v>2175</v>
      </c>
      <c r="BZ102" s="83">
        <v>2175</v>
      </c>
      <c r="CA102" s="83">
        <v>2175</v>
      </c>
      <c r="CB102" s="83">
        <v>2175</v>
      </c>
      <c r="CD102" s="83">
        <v>1305</v>
      </c>
      <c r="CE102" s="83">
        <v>1305</v>
      </c>
      <c r="CF102" s="83">
        <v>1305</v>
      </c>
      <c r="CG102" s="83">
        <v>1305</v>
      </c>
      <c r="CH102" s="83">
        <v>1305</v>
      </c>
      <c r="CI102" s="83">
        <v>1305</v>
      </c>
      <c r="CJ102" s="83">
        <v>1305</v>
      </c>
      <c r="CK102" s="83">
        <v>1305</v>
      </c>
      <c r="CL102" s="83">
        <v>1305</v>
      </c>
      <c r="CM102" s="83">
        <v>1305</v>
      </c>
      <c r="CN102" s="83">
        <v>1305</v>
      </c>
      <c r="CO102" s="83">
        <v>1305</v>
      </c>
      <c r="CQ102" s="83">
        <v>870</v>
      </c>
      <c r="CR102" s="83">
        <v>870</v>
      </c>
      <c r="CS102" s="83">
        <v>870</v>
      </c>
      <c r="CT102" s="83">
        <v>870</v>
      </c>
      <c r="CU102" s="83">
        <v>870</v>
      </c>
      <c r="CV102" s="83">
        <v>870</v>
      </c>
      <c r="CW102" s="83">
        <v>870</v>
      </c>
      <c r="CX102" s="83">
        <v>870</v>
      </c>
      <c r="CY102" s="83">
        <v>870</v>
      </c>
      <c r="CZ102" s="83">
        <v>870</v>
      </c>
      <c r="DA102" s="83">
        <v>870</v>
      </c>
      <c r="DB102" s="83">
        <v>870</v>
      </c>
      <c r="DE102" s="83">
        <v>500</v>
      </c>
      <c r="DF102" s="83">
        <v>500</v>
      </c>
      <c r="DG102" s="83">
        <v>500</v>
      </c>
      <c r="DH102" s="83">
        <v>500</v>
      </c>
      <c r="DI102" s="83">
        <v>500</v>
      </c>
      <c r="DJ102" s="83">
        <v>500</v>
      </c>
      <c r="DK102" s="83">
        <v>500</v>
      </c>
      <c r="DL102" s="83">
        <v>500</v>
      </c>
      <c r="DM102" s="83">
        <v>500</v>
      </c>
      <c r="DN102" s="83">
        <v>500</v>
      </c>
      <c r="DO102" s="83">
        <v>500</v>
      </c>
      <c r="DP102" s="83">
        <v>500</v>
      </c>
      <c r="DR102" s="83">
        <v>0</v>
      </c>
      <c r="DS102" s="83">
        <v>0</v>
      </c>
      <c r="DT102" s="83">
        <v>0</v>
      </c>
      <c r="DU102" s="83">
        <v>0</v>
      </c>
      <c r="DV102" s="83">
        <v>0</v>
      </c>
      <c r="DW102" s="83">
        <v>0</v>
      </c>
      <c r="DX102" s="83">
        <v>0</v>
      </c>
      <c r="DY102" s="83">
        <v>0</v>
      </c>
      <c r="DZ102" s="83">
        <v>0</v>
      </c>
      <c r="EA102" s="83">
        <v>0</v>
      </c>
      <c r="EB102" s="83">
        <v>0</v>
      </c>
      <c r="EC102" s="83">
        <v>0</v>
      </c>
      <c r="EE102" s="77">
        <v>105180</v>
      </c>
    </row>
    <row r="103" spans="1:135">
      <c r="A103" s="101" t="s">
        <v>133</v>
      </c>
      <c r="B103" s="83" t="s">
        <v>255</v>
      </c>
      <c r="C103" s="83">
        <v>43499.444444444438</v>
      </c>
      <c r="D103" s="83">
        <v>3499.4444444444443</v>
      </c>
      <c r="E103" s="83">
        <v>3499.4444444444443</v>
      </c>
      <c r="F103" s="83">
        <v>3499.4444444444443</v>
      </c>
      <c r="G103" s="83">
        <v>3499.4444444444443</v>
      </c>
      <c r="H103" s="83">
        <v>3499.4444444444443</v>
      </c>
      <c r="I103" s="83">
        <v>28499.444444444445</v>
      </c>
      <c r="J103" s="83">
        <v>3499.4444444444443</v>
      </c>
      <c r="K103" s="83">
        <v>3499.4444444444443</v>
      </c>
      <c r="L103" s="83">
        <v>3499.4444444444443</v>
      </c>
      <c r="M103" s="83">
        <v>3499.4444444444443</v>
      </c>
      <c r="N103" s="83">
        <v>43499.444444444438</v>
      </c>
      <c r="O103" s="77">
        <v>0</v>
      </c>
      <c r="Q103" s="83">
        <v>40999.722222222219</v>
      </c>
      <c r="R103" s="83">
        <v>999.72222222222217</v>
      </c>
      <c r="S103" s="83">
        <v>999.72222222222217</v>
      </c>
      <c r="T103" s="83">
        <v>999.72222222222217</v>
      </c>
      <c r="U103" s="83">
        <v>999.72222222222217</v>
      </c>
      <c r="V103" s="83">
        <v>999.72222222222194</v>
      </c>
      <c r="W103" s="83">
        <v>25999.722222222223</v>
      </c>
      <c r="X103" s="83">
        <v>999.72222222222217</v>
      </c>
      <c r="Y103" s="83">
        <v>999.72222222222217</v>
      </c>
      <c r="Z103" s="83">
        <v>999.72222222222217</v>
      </c>
      <c r="AA103" s="83">
        <v>999.72222222222217</v>
      </c>
      <c r="AB103" s="83">
        <v>999.72222222222217</v>
      </c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Q103" s="83">
        <v>999.72222222222217</v>
      </c>
      <c r="AR103" s="83">
        <v>999.72222222222217</v>
      </c>
      <c r="AS103" s="83">
        <v>999.72222222222217</v>
      </c>
      <c r="AT103" s="83">
        <v>999.72222222222217</v>
      </c>
      <c r="AU103" s="83">
        <v>999.72222222222217</v>
      </c>
      <c r="AV103" s="83">
        <v>999.72222222222217</v>
      </c>
      <c r="AW103" s="83">
        <v>999.72222222222217</v>
      </c>
      <c r="AX103" s="83">
        <v>999.72222222222217</v>
      </c>
      <c r="AY103" s="83">
        <v>999.72222222222217</v>
      </c>
      <c r="AZ103" s="83">
        <v>999.72222222222217</v>
      </c>
      <c r="BA103" s="83">
        <v>999.72222222222217</v>
      </c>
      <c r="BB103" s="83">
        <v>40999.722222222219</v>
      </c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Q103" s="83"/>
      <c r="BR103" s="83"/>
      <c r="BS103" s="83"/>
      <c r="BT103" s="83"/>
      <c r="BU103" s="83"/>
      <c r="BV103" s="83"/>
      <c r="BW103" s="83"/>
      <c r="BX103" s="83"/>
      <c r="BY103" s="83"/>
      <c r="BZ103" s="83"/>
      <c r="CA103" s="83"/>
      <c r="CB103" s="83"/>
      <c r="CD103" s="83"/>
      <c r="CE103" s="83"/>
      <c r="CF103" s="83"/>
      <c r="CG103" s="83"/>
      <c r="CH103" s="83"/>
      <c r="CI103" s="83"/>
      <c r="CJ103" s="83"/>
      <c r="CK103" s="83"/>
      <c r="CL103" s="83"/>
      <c r="CM103" s="83"/>
      <c r="CN103" s="83"/>
      <c r="CO103" s="83"/>
      <c r="CQ103" s="83"/>
      <c r="CR103" s="83"/>
      <c r="CS103" s="83"/>
      <c r="CT103" s="83"/>
      <c r="CU103" s="83"/>
      <c r="CV103" s="83"/>
      <c r="CW103" s="83"/>
      <c r="CX103" s="83"/>
      <c r="CY103" s="83"/>
      <c r="CZ103" s="83"/>
      <c r="DA103" s="83"/>
      <c r="DB103" s="83"/>
      <c r="DE103" s="83">
        <v>1500</v>
      </c>
      <c r="DF103" s="83">
        <v>1500</v>
      </c>
      <c r="DG103" s="83">
        <v>1500</v>
      </c>
      <c r="DH103" s="83">
        <v>1500</v>
      </c>
      <c r="DI103" s="83">
        <v>1500</v>
      </c>
      <c r="DJ103" s="83">
        <v>1500</v>
      </c>
      <c r="DK103" s="83">
        <v>1500</v>
      </c>
      <c r="DL103" s="83">
        <v>1500</v>
      </c>
      <c r="DM103" s="83">
        <v>1500</v>
      </c>
      <c r="DN103" s="83">
        <v>1500</v>
      </c>
      <c r="DO103" s="83">
        <v>1500</v>
      </c>
      <c r="DP103" s="83">
        <v>1500</v>
      </c>
      <c r="DR103" s="83"/>
      <c r="DS103" s="83"/>
      <c r="DT103" s="83"/>
      <c r="DU103" s="83"/>
      <c r="DV103" s="83"/>
      <c r="DW103" s="83"/>
      <c r="DX103" s="83"/>
      <c r="DY103" s="83"/>
      <c r="DZ103" s="83"/>
      <c r="EA103" s="83"/>
      <c r="EB103" s="83"/>
      <c r="EC103" s="83"/>
      <c r="EE103" s="77">
        <v>67997.222222222219</v>
      </c>
    </row>
    <row r="104" spans="1:135">
      <c r="A104" s="101" t="s">
        <v>134</v>
      </c>
      <c r="B104" s="83" t="s">
        <v>257</v>
      </c>
      <c r="C104" s="83">
        <v>57291.666666666672</v>
      </c>
      <c r="D104" s="83">
        <v>57291.666666666672</v>
      </c>
      <c r="E104" s="83">
        <v>57291.666666666672</v>
      </c>
      <c r="F104" s="83">
        <v>58184.166666666672</v>
      </c>
      <c r="G104" s="83">
        <v>58184.166666666672</v>
      </c>
      <c r="H104" s="83">
        <v>58184.166666666672</v>
      </c>
      <c r="I104" s="83">
        <v>58184.166666666672</v>
      </c>
      <c r="J104" s="83">
        <v>58184.166666666672</v>
      </c>
      <c r="K104" s="83">
        <v>58184.166666666672</v>
      </c>
      <c r="L104" s="83">
        <v>58184.166666666672</v>
      </c>
      <c r="M104" s="83">
        <v>58184.166666666672</v>
      </c>
      <c r="N104" s="83">
        <v>58184.166666666672</v>
      </c>
      <c r="O104" s="77">
        <v>0</v>
      </c>
      <c r="Q104" s="83">
        <v>300</v>
      </c>
      <c r="R104" s="83">
        <v>300</v>
      </c>
      <c r="S104" s="83">
        <v>300</v>
      </c>
      <c r="T104" s="83">
        <v>300</v>
      </c>
      <c r="U104" s="83">
        <v>300</v>
      </c>
      <c r="V104" s="83">
        <v>300</v>
      </c>
      <c r="W104" s="83">
        <v>300</v>
      </c>
      <c r="X104" s="83">
        <v>300</v>
      </c>
      <c r="Y104" s="83">
        <v>300</v>
      </c>
      <c r="Z104" s="83">
        <v>300</v>
      </c>
      <c r="AA104" s="83">
        <v>300</v>
      </c>
      <c r="AB104" s="83">
        <v>300</v>
      </c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Q104" s="83">
        <v>20995.000000000004</v>
      </c>
      <c r="AR104" s="83">
        <v>20995.000000000004</v>
      </c>
      <c r="AS104" s="83">
        <v>20995.000000000004</v>
      </c>
      <c r="AT104" s="83">
        <v>21530.500000000004</v>
      </c>
      <c r="AU104" s="83">
        <v>21530.500000000004</v>
      </c>
      <c r="AV104" s="83">
        <v>21530.500000000004</v>
      </c>
      <c r="AW104" s="83">
        <v>21530.500000000004</v>
      </c>
      <c r="AX104" s="83">
        <v>21530.500000000004</v>
      </c>
      <c r="AY104" s="83">
        <v>21530.500000000004</v>
      </c>
      <c r="AZ104" s="83">
        <v>21530.500000000004</v>
      </c>
      <c r="BA104" s="83">
        <v>21530.500000000004</v>
      </c>
      <c r="BB104" s="83">
        <v>21530.500000000004</v>
      </c>
      <c r="BD104" s="83">
        <v>13996.66666666667</v>
      </c>
      <c r="BE104" s="83">
        <v>13996.66666666667</v>
      </c>
      <c r="BF104" s="83">
        <v>13996.66666666667</v>
      </c>
      <c r="BG104" s="83">
        <v>14353.66666666667</v>
      </c>
      <c r="BH104" s="83">
        <v>14353.66666666667</v>
      </c>
      <c r="BI104" s="83">
        <v>14353.66666666667</v>
      </c>
      <c r="BJ104" s="83">
        <v>14353.66666666667</v>
      </c>
      <c r="BK104" s="83">
        <v>14353.66666666667</v>
      </c>
      <c r="BL104" s="83">
        <v>14353.66666666667</v>
      </c>
      <c r="BM104" s="83">
        <v>14353.66666666667</v>
      </c>
      <c r="BN104" s="83">
        <v>14353.66666666667</v>
      </c>
      <c r="BO104" s="83">
        <v>14353.66666666667</v>
      </c>
      <c r="BQ104" s="83">
        <v>11000</v>
      </c>
      <c r="BR104" s="83">
        <v>11000</v>
      </c>
      <c r="BS104" s="83">
        <v>11000</v>
      </c>
      <c r="BT104" s="83">
        <v>11000</v>
      </c>
      <c r="BU104" s="83">
        <v>11000</v>
      </c>
      <c r="BV104" s="83">
        <v>11000</v>
      </c>
      <c r="BW104" s="83">
        <v>11000</v>
      </c>
      <c r="BX104" s="83">
        <v>11000</v>
      </c>
      <c r="BY104" s="83">
        <v>11000</v>
      </c>
      <c r="BZ104" s="83">
        <v>11000</v>
      </c>
      <c r="CA104" s="83">
        <v>11000</v>
      </c>
      <c r="CB104" s="83">
        <v>11000</v>
      </c>
      <c r="CD104" s="83">
        <v>6600</v>
      </c>
      <c r="CE104" s="83">
        <v>6600</v>
      </c>
      <c r="CF104" s="83">
        <v>6600</v>
      </c>
      <c r="CG104" s="83">
        <v>6600</v>
      </c>
      <c r="CH104" s="83">
        <v>6600</v>
      </c>
      <c r="CI104" s="83">
        <v>6600</v>
      </c>
      <c r="CJ104" s="83">
        <v>6600</v>
      </c>
      <c r="CK104" s="83">
        <v>6600</v>
      </c>
      <c r="CL104" s="83">
        <v>6600</v>
      </c>
      <c r="CM104" s="83">
        <v>6600</v>
      </c>
      <c r="CN104" s="83">
        <v>6600</v>
      </c>
      <c r="CO104" s="83">
        <v>6600</v>
      </c>
      <c r="CQ104" s="83">
        <v>4400</v>
      </c>
      <c r="CR104" s="83">
        <v>4400</v>
      </c>
      <c r="CS104" s="83">
        <v>4400</v>
      </c>
      <c r="CT104" s="83">
        <v>4400</v>
      </c>
      <c r="CU104" s="83">
        <v>4400</v>
      </c>
      <c r="CV104" s="83">
        <v>4400</v>
      </c>
      <c r="CW104" s="83">
        <v>4400</v>
      </c>
      <c r="CX104" s="83">
        <v>4400</v>
      </c>
      <c r="CY104" s="83">
        <v>4400</v>
      </c>
      <c r="CZ104" s="83">
        <v>4400</v>
      </c>
      <c r="DA104" s="83">
        <v>4400</v>
      </c>
      <c r="DB104" s="83">
        <v>4400</v>
      </c>
      <c r="DE104" s="83">
        <v>0</v>
      </c>
      <c r="DF104" s="83">
        <v>0</v>
      </c>
      <c r="DG104" s="83">
        <v>0</v>
      </c>
      <c r="DH104" s="83">
        <v>0</v>
      </c>
      <c r="DI104" s="83">
        <v>0</v>
      </c>
      <c r="DJ104" s="83">
        <v>0</v>
      </c>
      <c r="DK104" s="83">
        <v>0</v>
      </c>
      <c r="DL104" s="83">
        <v>0</v>
      </c>
      <c r="DM104" s="83">
        <v>0</v>
      </c>
      <c r="DN104" s="83">
        <v>0</v>
      </c>
      <c r="DO104" s="83">
        <v>0</v>
      </c>
      <c r="DP104" s="83">
        <v>0</v>
      </c>
      <c r="DR104" s="83">
        <v>0</v>
      </c>
      <c r="DS104" s="83">
        <v>0</v>
      </c>
      <c r="DT104" s="83">
        <v>0</v>
      </c>
      <c r="DU104" s="83">
        <v>0</v>
      </c>
      <c r="DV104" s="83">
        <v>0</v>
      </c>
      <c r="DW104" s="83">
        <v>0</v>
      </c>
      <c r="DX104" s="83">
        <v>0</v>
      </c>
      <c r="DY104" s="83">
        <v>0</v>
      </c>
      <c r="DZ104" s="83">
        <v>0</v>
      </c>
      <c r="EA104" s="83">
        <v>0</v>
      </c>
      <c r="EB104" s="83">
        <v>0</v>
      </c>
      <c r="EC104" s="83">
        <v>0</v>
      </c>
      <c r="EE104" s="77">
        <v>649942.50000000023</v>
      </c>
    </row>
    <row r="105" spans="1:135">
      <c r="A105" s="101" t="s">
        <v>135</v>
      </c>
      <c r="B105" s="83" t="s">
        <v>255</v>
      </c>
      <c r="C105" s="83">
        <v>62574.421726666667</v>
      </c>
      <c r="D105" s="83">
        <v>62574.421726666667</v>
      </c>
      <c r="E105" s="83">
        <v>62574.421726666667</v>
      </c>
      <c r="F105" s="83">
        <v>62574.421726666667</v>
      </c>
      <c r="G105" s="83">
        <v>62574.421726666667</v>
      </c>
      <c r="H105" s="83">
        <v>62574.421726666667</v>
      </c>
      <c r="I105" s="83">
        <v>62574.421726666667</v>
      </c>
      <c r="J105" s="83">
        <v>62574.421726666667</v>
      </c>
      <c r="K105" s="83">
        <v>53295.651791666663</v>
      </c>
      <c r="L105" s="83">
        <v>55078.142749999926</v>
      </c>
      <c r="M105" s="83">
        <v>55078.142749999926</v>
      </c>
      <c r="N105" s="83">
        <v>55078.142749999926</v>
      </c>
      <c r="O105" s="77">
        <v>0</v>
      </c>
      <c r="Q105" s="83">
        <v>17824.909583333334</v>
      </c>
      <c r="R105" s="83">
        <v>17824.909583333334</v>
      </c>
      <c r="S105" s="83">
        <v>17824.909583333334</v>
      </c>
      <c r="T105" s="83">
        <v>17824.909583333334</v>
      </c>
      <c r="U105" s="83">
        <v>17824.909583333334</v>
      </c>
      <c r="V105" s="83">
        <v>17824.909583333334</v>
      </c>
      <c r="W105" s="83">
        <v>17824.909583333334</v>
      </c>
      <c r="X105" s="83">
        <v>17824.909583333334</v>
      </c>
      <c r="Y105" s="83">
        <v>17824.909583333334</v>
      </c>
      <c r="Z105" s="83">
        <v>18716.155062499965</v>
      </c>
      <c r="AA105" s="83">
        <v>18716.155062499965</v>
      </c>
      <c r="AB105" s="83">
        <v>18716.155062499965</v>
      </c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Q105" s="83">
        <v>10694.945750000001</v>
      </c>
      <c r="AR105" s="83">
        <v>10694.945750000001</v>
      </c>
      <c r="AS105" s="83">
        <v>10694.945750000001</v>
      </c>
      <c r="AT105" s="83">
        <v>10694.945750000001</v>
      </c>
      <c r="AU105" s="83">
        <v>10694.945750000001</v>
      </c>
      <c r="AV105" s="83">
        <v>10694.945750000001</v>
      </c>
      <c r="AW105" s="83">
        <v>10694.945750000001</v>
      </c>
      <c r="AX105" s="83">
        <v>10694.945750000001</v>
      </c>
      <c r="AY105" s="83">
        <v>10694.945750000001</v>
      </c>
      <c r="AZ105" s="83">
        <v>11229.693037499979</v>
      </c>
      <c r="BA105" s="83">
        <v>11229.693037499979</v>
      </c>
      <c r="BB105" s="83">
        <v>11229.693037499979</v>
      </c>
      <c r="BD105" s="83">
        <v>7129.9638333333342</v>
      </c>
      <c r="BE105" s="83">
        <v>7129.9638333333342</v>
      </c>
      <c r="BF105" s="83">
        <v>7129.9638333333342</v>
      </c>
      <c r="BG105" s="83">
        <v>7129.9638333333342</v>
      </c>
      <c r="BH105" s="83">
        <v>7129.9638333333342</v>
      </c>
      <c r="BI105" s="83">
        <v>7129.9638333333342</v>
      </c>
      <c r="BJ105" s="83">
        <v>7129.9638333333342</v>
      </c>
      <c r="BK105" s="83">
        <v>7129.9638333333342</v>
      </c>
      <c r="BL105" s="83">
        <v>7129.9638333333342</v>
      </c>
      <c r="BM105" s="83">
        <v>7486.4620249999862</v>
      </c>
      <c r="BN105" s="83">
        <v>7486.4620249999862</v>
      </c>
      <c r="BO105" s="83">
        <v>7486.4620249999862</v>
      </c>
      <c r="BQ105" s="83">
        <v>12212.30128</v>
      </c>
      <c r="BR105" s="83">
        <v>12212.30128</v>
      </c>
      <c r="BS105" s="83">
        <v>12212.30128</v>
      </c>
      <c r="BT105" s="83">
        <v>12212.30128</v>
      </c>
      <c r="BU105" s="83">
        <v>12212.30128</v>
      </c>
      <c r="BV105" s="83">
        <v>12212.30128</v>
      </c>
      <c r="BW105" s="83">
        <v>12212.30128</v>
      </c>
      <c r="BX105" s="83">
        <v>12212.30128</v>
      </c>
      <c r="BY105" s="83">
        <v>7572.9163125000005</v>
      </c>
      <c r="BZ105" s="83">
        <v>7572.9163125000005</v>
      </c>
      <c r="CA105" s="83">
        <v>7572.9163125000005</v>
      </c>
      <c r="CB105" s="83">
        <v>7572.9163125000005</v>
      </c>
      <c r="CD105" s="83">
        <v>7327.380768</v>
      </c>
      <c r="CE105" s="83">
        <v>7327.380768</v>
      </c>
      <c r="CF105" s="83">
        <v>7327.380768</v>
      </c>
      <c r="CG105" s="83">
        <v>7327.380768</v>
      </c>
      <c r="CH105" s="83">
        <v>7327.380768</v>
      </c>
      <c r="CI105" s="83">
        <v>7327.380768</v>
      </c>
      <c r="CJ105" s="83">
        <v>7327.380768</v>
      </c>
      <c r="CK105" s="83">
        <v>7327.380768</v>
      </c>
      <c r="CL105" s="83">
        <v>4543.7497874999999</v>
      </c>
      <c r="CM105" s="83">
        <v>4543.7497874999999</v>
      </c>
      <c r="CN105" s="83">
        <v>4543.7497874999999</v>
      </c>
      <c r="CO105" s="83">
        <v>4543.7497874999999</v>
      </c>
      <c r="CQ105" s="83">
        <v>4884.9205119999997</v>
      </c>
      <c r="CR105" s="83">
        <v>4884.9205119999997</v>
      </c>
      <c r="CS105" s="83">
        <v>4884.9205119999997</v>
      </c>
      <c r="CT105" s="83">
        <v>4884.9205119999997</v>
      </c>
      <c r="CU105" s="83">
        <v>4884.9205119999997</v>
      </c>
      <c r="CV105" s="83">
        <v>4884.9205119999997</v>
      </c>
      <c r="CW105" s="83">
        <v>4884.9205119999997</v>
      </c>
      <c r="CX105" s="83">
        <v>4884.9205119999997</v>
      </c>
      <c r="CY105" s="83">
        <v>3029.1665250000005</v>
      </c>
      <c r="CZ105" s="83">
        <v>3029.1665250000005</v>
      </c>
      <c r="DA105" s="83">
        <v>3029.1665250000005</v>
      </c>
      <c r="DB105" s="83">
        <v>3029.1665250000005</v>
      </c>
      <c r="DE105" s="83">
        <v>2500</v>
      </c>
      <c r="DF105" s="83">
        <v>2500</v>
      </c>
      <c r="DG105" s="83">
        <v>2500</v>
      </c>
      <c r="DH105" s="83">
        <v>2500</v>
      </c>
      <c r="DI105" s="83">
        <v>2500</v>
      </c>
      <c r="DJ105" s="83">
        <v>2500</v>
      </c>
      <c r="DK105" s="83">
        <v>2500</v>
      </c>
      <c r="DL105" s="83">
        <v>2500</v>
      </c>
      <c r="DM105" s="83">
        <v>2500</v>
      </c>
      <c r="DN105" s="83">
        <v>2500</v>
      </c>
      <c r="DO105" s="83">
        <v>2500</v>
      </c>
      <c r="DP105" s="83">
        <v>2500</v>
      </c>
      <c r="DR105" s="83">
        <v>0</v>
      </c>
      <c r="DS105" s="83">
        <v>0</v>
      </c>
      <c r="DT105" s="83">
        <v>0</v>
      </c>
      <c r="DU105" s="83">
        <v>0</v>
      </c>
      <c r="DV105" s="83">
        <v>0</v>
      </c>
      <c r="DW105" s="83">
        <v>0</v>
      </c>
      <c r="DX105" s="83">
        <v>0</v>
      </c>
      <c r="DY105" s="83">
        <v>0</v>
      </c>
      <c r="DZ105" s="83">
        <v>0</v>
      </c>
      <c r="EA105" s="83">
        <v>0</v>
      </c>
      <c r="EB105" s="83">
        <v>0</v>
      </c>
      <c r="EC105" s="83">
        <v>0</v>
      </c>
      <c r="EE105" s="77">
        <v>481162.91091749986</v>
      </c>
    </row>
    <row r="106" spans="1:135">
      <c r="A106" s="101" t="s">
        <v>137</v>
      </c>
      <c r="B106" s="83" t="s">
        <v>255</v>
      </c>
      <c r="C106" s="83">
        <v>26000</v>
      </c>
      <c r="D106" s="83">
        <v>26000</v>
      </c>
      <c r="E106" s="83">
        <v>26000</v>
      </c>
      <c r="F106" s="83">
        <v>26000</v>
      </c>
      <c r="G106" s="83">
        <v>26000</v>
      </c>
      <c r="H106" s="83">
        <v>26000</v>
      </c>
      <c r="I106" s="83">
        <v>26000</v>
      </c>
      <c r="J106" s="83">
        <v>26000</v>
      </c>
      <c r="K106" s="83">
        <v>26000</v>
      </c>
      <c r="L106" s="83">
        <v>26000</v>
      </c>
      <c r="M106" s="83">
        <v>26000</v>
      </c>
      <c r="N106" s="83">
        <v>26000</v>
      </c>
      <c r="O106" s="77">
        <v>0</v>
      </c>
      <c r="Q106" s="83">
        <v>16000</v>
      </c>
      <c r="R106" s="83">
        <v>16000</v>
      </c>
      <c r="S106" s="83">
        <v>16000</v>
      </c>
      <c r="T106" s="83">
        <v>16000</v>
      </c>
      <c r="U106" s="83">
        <v>16000</v>
      </c>
      <c r="V106" s="83">
        <v>16000</v>
      </c>
      <c r="W106" s="83">
        <v>16000</v>
      </c>
      <c r="X106" s="83">
        <v>16000</v>
      </c>
      <c r="Y106" s="83">
        <v>16000</v>
      </c>
      <c r="Z106" s="83">
        <v>16000</v>
      </c>
      <c r="AA106" s="83">
        <v>16000</v>
      </c>
      <c r="AB106" s="83">
        <v>16000</v>
      </c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Q106" s="83">
        <v>5800</v>
      </c>
      <c r="AR106" s="83">
        <v>5800</v>
      </c>
      <c r="AS106" s="83">
        <v>5800</v>
      </c>
      <c r="AT106" s="83">
        <v>5800</v>
      </c>
      <c r="AU106" s="83">
        <v>5800</v>
      </c>
      <c r="AV106" s="83">
        <v>5800</v>
      </c>
      <c r="AW106" s="83">
        <v>5800</v>
      </c>
      <c r="AX106" s="83">
        <v>5800</v>
      </c>
      <c r="AY106" s="83">
        <v>5800</v>
      </c>
      <c r="AZ106" s="83">
        <v>5800</v>
      </c>
      <c r="BA106" s="83">
        <v>5800</v>
      </c>
      <c r="BB106" s="83">
        <v>5800</v>
      </c>
      <c r="BD106" s="83">
        <v>3200</v>
      </c>
      <c r="BE106" s="83">
        <v>3200</v>
      </c>
      <c r="BF106" s="83">
        <v>3200</v>
      </c>
      <c r="BG106" s="83">
        <v>3200</v>
      </c>
      <c r="BH106" s="83">
        <v>3200</v>
      </c>
      <c r="BI106" s="83">
        <v>3200</v>
      </c>
      <c r="BJ106" s="83">
        <v>3200</v>
      </c>
      <c r="BK106" s="83">
        <v>3200</v>
      </c>
      <c r="BL106" s="83">
        <v>3200</v>
      </c>
      <c r="BM106" s="83">
        <v>3200</v>
      </c>
      <c r="BN106" s="83">
        <v>3200</v>
      </c>
      <c r="BO106" s="83">
        <v>3200</v>
      </c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D106" s="83">
        <v>1000</v>
      </c>
      <c r="CE106" s="83">
        <v>1000</v>
      </c>
      <c r="CF106" s="83">
        <v>1000</v>
      </c>
      <c r="CG106" s="83">
        <v>1000</v>
      </c>
      <c r="CH106" s="83">
        <v>1000</v>
      </c>
      <c r="CI106" s="83">
        <v>1000</v>
      </c>
      <c r="CJ106" s="83">
        <v>1000</v>
      </c>
      <c r="CK106" s="83">
        <v>1000</v>
      </c>
      <c r="CL106" s="83">
        <v>1000</v>
      </c>
      <c r="CM106" s="83">
        <v>1000</v>
      </c>
      <c r="CN106" s="83">
        <v>1000</v>
      </c>
      <c r="CO106" s="83">
        <v>1000</v>
      </c>
      <c r="CQ106" s="83"/>
      <c r="CR106" s="83"/>
      <c r="CS106" s="83"/>
      <c r="CT106" s="83"/>
      <c r="CU106" s="83"/>
      <c r="CV106" s="83"/>
      <c r="CW106" s="83"/>
      <c r="CX106" s="83"/>
      <c r="CY106" s="83"/>
      <c r="CZ106" s="83"/>
      <c r="DA106" s="83"/>
      <c r="DB106" s="83"/>
      <c r="DE106" s="83">
        <v>0</v>
      </c>
      <c r="DF106" s="83">
        <v>0</v>
      </c>
      <c r="DG106" s="83">
        <v>0</v>
      </c>
      <c r="DH106" s="83">
        <v>0</v>
      </c>
      <c r="DI106" s="83">
        <v>0</v>
      </c>
      <c r="DJ106" s="83">
        <v>0</v>
      </c>
      <c r="DK106" s="83">
        <v>0</v>
      </c>
      <c r="DL106" s="83">
        <v>0</v>
      </c>
      <c r="DM106" s="83">
        <v>0</v>
      </c>
      <c r="DN106" s="83">
        <v>0</v>
      </c>
      <c r="DO106" s="83">
        <v>0</v>
      </c>
      <c r="DP106" s="83">
        <v>0</v>
      </c>
      <c r="DR106" s="83"/>
      <c r="DS106" s="83"/>
      <c r="DT106" s="83"/>
      <c r="DU106" s="83"/>
      <c r="DV106" s="83"/>
      <c r="DW106" s="83"/>
      <c r="DX106" s="83"/>
      <c r="DY106" s="83"/>
      <c r="DZ106" s="83"/>
      <c r="EA106" s="83"/>
      <c r="EB106" s="83"/>
      <c r="EC106" s="83"/>
      <c r="EE106" s="77">
        <v>108400</v>
      </c>
    </row>
    <row r="107" spans="1:135">
      <c r="A107" s="101" t="s">
        <v>138</v>
      </c>
      <c r="B107" s="83" t="s">
        <v>257</v>
      </c>
      <c r="C107" s="83">
        <v>63920</v>
      </c>
      <c r="D107" s="83">
        <v>63920</v>
      </c>
      <c r="E107" s="83">
        <v>63920</v>
      </c>
      <c r="F107" s="83">
        <v>63920</v>
      </c>
      <c r="G107" s="83">
        <v>63920</v>
      </c>
      <c r="H107" s="83">
        <v>63920</v>
      </c>
      <c r="I107" s="83">
        <v>63920</v>
      </c>
      <c r="J107" s="83">
        <v>63920</v>
      </c>
      <c r="K107" s="83">
        <v>63920</v>
      </c>
      <c r="L107" s="83">
        <v>63920</v>
      </c>
      <c r="M107" s="83">
        <v>63920</v>
      </c>
      <c r="N107" s="83">
        <v>63920</v>
      </c>
      <c r="O107" s="77">
        <v>0</v>
      </c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Q107" s="83">
        <v>38293.333333333336</v>
      </c>
      <c r="AR107" s="83">
        <v>38293.333333333336</v>
      </c>
      <c r="AS107" s="83">
        <v>38293.333333333336</v>
      </c>
      <c r="AT107" s="83">
        <v>38293.333333333336</v>
      </c>
      <c r="AU107" s="83">
        <v>38293.333333333336</v>
      </c>
      <c r="AV107" s="83">
        <v>38293.333333333336</v>
      </c>
      <c r="AW107" s="83">
        <v>38293.333333333336</v>
      </c>
      <c r="AX107" s="83">
        <v>38293.333333333336</v>
      </c>
      <c r="AY107" s="83">
        <v>38293.333333333336</v>
      </c>
      <c r="AZ107" s="83">
        <v>38293.333333333336</v>
      </c>
      <c r="BA107" s="83">
        <v>38293.333333333336</v>
      </c>
      <c r="BB107" s="83">
        <v>38293.333333333336</v>
      </c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D107" s="83">
        <v>25626.666666666664</v>
      </c>
      <c r="CE107" s="83">
        <v>25626.666666666664</v>
      </c>
      <c r="CF107" s="83">
        <v>25626.666666666664</v>
      </c>
      <c r="CG107" s="83">
        <v>25626.666666666664</v>
      </c>
      <c r="CH107" s="83">
        <v>25626.666666666664</v>
      </c>
      <c r="CI107" s="83">
        <v>25626.666666666664</v>
      </c>
      <c r="CJ107" s="83">
        <v>25626.666666666664</v>
      </c>
      <c r="CK107" s="83">
        <v>25626.666666666664</v>
      </c>
      <c r="CL107" s="83">
        <v>25626.666666666664</v>
      </c>
      <c r="CM107" s="83">
        <v>25626.666666666664</v>
      </c>
      <c r="CN107" s="83">
        <v>25626.666666666664</v>
      </c>
      <c r="CO107" s="83">
        <v>25626.666666666664</v>
      </c>
      <c r="CQ107" s="83"/>
      <c r="CR107" s="83"/>
      <c r="CS107" s="83"/>
      <c r="CT107" s="83"/>
      <c r="CU107" s="83"/>
      <c r="CV107" s="83"/>
      <c r="CW107" s="83"/>
      <c r="CX107" s="83"/>
      <c r="CY107" s="83"/>
      <c r="CZ107" s="83"/>
      <c r="DA107" s="83"/>
      <c r="DB107" s="83"/>
      <c r="DE107" s="83">
        <v>0</v>
      </c>
      <c r="DF107" s="83">
        <v>0</v>
      </c>
      <c r="DG107" s="83">
        <v>0</v>
      </c>
      <c r="DH107" s="83">
        <v>0</v>
      </c>
      <c r="DI107" s="83">
        <v>0</v>
      </c>
      <c r="DJ107" s="83">
        <v>0</v>
      </c>
      <c r="DK107" s="83">
        <v>0</v>
      </c>
      <c r="DL107" s="83">
        <v>0</v>
      </c>
      <c r="DM107" s="83">
        <v>0</v>
      </c>
      <c r="DN107" s="83">
        <v>0</v>
      </c>
      <c r="DO107" s="83">
        <v>0</v>
      </c>
      <c r="DP107" s="83">
        <v>0</v>
      </c>
      <c r="DR107" s="83"/>
      <c r="DS107" s="83"/>
      <c r="DT107" s="83"/>
      <c r="DU107" s="83"/>
      <c r="DV107" s="83"/>
      <c r="DW107" s="83"/>
      <c r="DX107" s="83"/>
      <c r="DY107" s="83"/>
      <c r="DZ107" s="83"/>
      <c r="EA107" s="83"/>
      <c r="EB107" s="83"/>
      <c r="EC107" s="83"/>
      <c r="EE107" s="77">
        <v>690453.33333333314</v>
      </c>
    </row>
    <row r="108" spans="1:135">
      <c r="A108" s="102" t="s">
        <v>139</v>
      </c>
      <c r="B108" s="83" t="s">
        <v>255</v>
      </c>
      <c r="C108" s="83">
        <v>0</v>
      </c>
      <c r="D108" s="83">
        <v>0</v>
      </c>
      <c r="E108" s="83">
        <v>0</v>
      </c>
      <c r="F108" s="83">
        <v>0</v>
      </c>
      <c r="G108" s="83">
        <v>0</v>
      </c>
      <c r="H108" s="83">
        <v>0</v>
      </c>
      <c r="I108" s="83">
        <v>0</v>
      </c>
      <c r="J108" s="83">
        <v>0</v>
      </c>
      <c r="K108" s="83">
        <v>0</v>
      </c>
      <c r="L108" s="83">
        <v>0</v>
      </c>
      <c r="M108" s="83">
        <v>0</v>
      </c>
      <c r="N108" s="83">
        <v>0</v>
      </c>
      <c r="O108" s="77">
        <v>0</v>
      </c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Q108" s="83"/>
      <c r="BR108" s="83"/>
      <c r="BS108" s="83"/>
      <c r="BT108" s="83"/>
      <c r="BU108" s="83"/>
      <c r="BV108" s="83"/>
      <c r="BW108" s="83"/>
      <c r="BX108" s="83"/>
      <c r="BY108" s="83"/>
      <c r="BZ108" s="83"/>
      <c r="CA108" s="83"/>
      <c r="CB108" s="83"/>
      <c r="CD108" s="83"/>
      <c r="CE108" s="83"/>
      <c r="CF108" s="83"/>
      <c r="CG108" s="83"/>
      <c r="CH108" s="83"/>
      <c r="CI108" s="83"/>
      <c r="CJ108" s="83"/>
      <c r="CK108" s="83"/>
      <c r="CL108" s="83"/>
      <c r="CM108" s="83"/>
      <c r="CN108" s="83"/>
      <c r="CO108" s="83"/>
      <c r="CQ108" s="83"/>
      <c r="CR108" s="83"/>
      <c r="CS108" s="83"/>
      <c r="CT108" s="83"/>
      <c r="CU108" s="83"/>
      <c r="CV108" s="83"/>
      <c r="CW108" s="83"/>
      <c r="CX108" s="83"/>
      <c r="CY108" s="83"/>
      <c r="CZ108" s="83"/>
      <c r="DA108" s="83"/>
      <c r="DB108" s="83"/>
      <c r="DE108" s="83"/>
      <c r="DF108" s="83"/>
      <c r="DG108" s="83"/>
      <c r="DH108" s="83"/>
      <c r="DI108" s="83"/>
      <c r="DJ108" s="83"/>
      <c r="DK108" s="83"/>
      <c r="DL108" s="83"/>
      <c r="DM108" s="83"/>
      <c r="DN108" s="83"/>
      <c r="DO108" s="83"/>
      <c r="DP108" s="83"/>
      <c r="DR108" s="83"/>
      <c r="DS108" s="83"/>
      <c r="DT108" s="83"/>
      <c r="DU108" s="83"/>
      <c r="DV108" s="83"/>
      <c r="DW108" s="83"/>
      <c r="DX108" s="83"/>
      <c r="DY108" s="83"/>
      <c r="DZ108" s="83"/>
      <c r="EA108" s="83"/>
      <c r="EB108" s="83"/>
      <c r="EC108" s="83"/>
      <c r="EE108" s="77">
        <v>0</v>
      </c>
    </row>
    <row r="109" spans="1:135">
      <c r="A109" s="102" t="s">
        <v>140</v>
      </c>
      <c r="B109" s="83" t="s">
        <v>257</v>
      </c>
      <c r="C109" s="83">
        <v>185000</v>
      </c>
      <c r="D109" s="83">
        <v>35000</v>
      </c>
      <c r="E109" s="83">
        <v>35000</v>
      </c>
      <c r="F109" s="83">
        <v>35000</v>
      </c>
      <c r="G109" s="83">
        <v>95000</v>
      </c>
      <c r="H109" s="83">
        <v>35000</v>
      </c>
      <c r="I109" s="83">
        <v>35000</v>
      </c>
      <c r="J109" s="83">
        <v>35000</v>
      </c>
      <c r="K109" s="83">
        <v>70000</v>
      </c>
      <c r="L109" s="83">
        <v>95000</v>
      </c>
      <c r="M109" s="83">
        <v>35000</v>
      </c>
      <c r="N109" s="83">
        <v>35000</v>
      </c>
      <c r="O109" s="77">
        <v>0</v>
      </c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Q109" s="83">
        <v>172500</v>
      </c>
      <c r="AR109" s="83">
        <v>22500</v>
      </c>
      <c r="AS109" s="83">
        <v>22500</v>
      </c>
      <c r="AT109" s="83">
        <v>22500</v>
      </c>
      <c r="AU109" s="83">
        <v>82500</v>
      </c>
      <c r="AV109" s="83">
        <v>22500</v>
      </c>
      <c r="AW109" s="83">
        <v>22500</v>
      </c>
      <c r="AX109" s="83">
        <v>22500</v>
      </c>
      <c r="AY109" s="83">
        <v>57500</v>
      </c>
      <c r="AZ109" s="83">
        <v>22500</v>
      </c>
      <c r="BA109" s="83">
        <v>22500</v>
      </c>
      <c r="BB109" s="83">
        <v>22500</v>
      </c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Q109" s="83"/>
      <c r="BR109" s="83"/>
      <c r="BS109" s="83"/>
      <c r="BT109" s="83"/>
      <c r="BU109" s="83"/>
      <c r="BV109" s="83"/>
      <c r="BW109" s="83"/>
      <c r="BX109" s="83"/>
      <c r="BY109" s="83"/>
      <c r="BZ109" s="83"/>
      <c r="CA109" s="83"/>
      <c r="CB109" s="83"/>
      <c r="CD109" s="83">
        <v>12500</v>
      </c>
      <c r="CE109" s="83">
        <v>12500</v>
      </c>
      <c r="CF109" s="83">
        <v>12500</v>
      </c>
      <c r="CG109" s="83">
        <v>12500</v>
      </c>
      <c r="CH109" s="83">
        <v>12500</v>
      </c>
      <c r="CI109" s="83">
        <v>12500</v>
      </c>
      <c r="CJ109" s="83">
        <v>12500</v>
      </c>
      <c r="CK109" s="83">
        <v>12500</v>
      </c>
      <c r="CL109" s="83">
        <v>12500</v>
      </c>
      <c r="CM109" s="83">
        <v>72500</v>
      </c>
      <c r="CN109" s="83">
        <v>12500</v>
      </c>
      <c r="CO109" s="83">
        <v>12500</v>
      </c>
      <c r="CQ109" s="83"/>
      <c r="CR109" s="83"/>
      <c r="CS109" s="83"/>
      <c r="CT109" s="83"/>
      <c r="CU109" s="83"/>
      <c r="CV109" s="83"/>
      <c r="CW109" s="83"/>
      <c r="CX109" s="83"/>
      <c r="CY109" s="83"/>
      <c r="CZ109" s="83"/>
      <c r="DA109" s="83"/>
      <c r="DB109" s="83"/>
      <c r="DE109" s="83">
        <v>0</v>
      </c>
      <c r="DF109" s="83">
        <v>0</v>
      </c>
      <c r="DG109" s="83">
        <v>0</v>
      </c>
      <c r="DH109" s="83">
        <v>0</v>
      </c>
      <c r="DI109" s="83">
        <v>0</v>
      </c>
      <c r="DJ109" s="83">
        <v>0</v>
      </c>
      <c r="DK109" s="83">
        <v>0</v>
      </c>
      <c r="DL109" s="83">
        <v>0</v>
      </c>
      <c r="DM109" s="83">
        <v>0</v>
      </c>
      <c r="DN109" s="83">
        <v>0</v>
      </c>
      <c r="DO109" s="83">
        <v>0</v>
      </c>
      <c r="DP109" s="83">
        <v>0</v>
      </c>
      <c r="DR109" s="83"/>
      <c r="DS109" s="83"/>
      <c r="DT109" s="83"/>
      <c r="DU109" s="83"/>
      <c r="DV109" s="83"/>
      <c r="DW109" s="83"/>
      <c r="DX109" s="83"/>
      <c r="DY109" s="83"/>
      <c r="DZ109" s="83"/>
      <c r="EA109" s="83"/>
      <c r="EB109" s="83"/>
      <c r="EC109" s="83"/>
      <c r="EE109" s="77">
        <v>530000</v>
      </c>
    </row>
    <row r="110" spans="1:135">
      <c r="A110" s="101" t="s">
        <v>141</v>
      </c>
      <c r="B110" s="83" t="s">
        <v>257</v>
      </c>
      <c r="C110" s="83">
        <v>0</v>
      </c>
      <c r="D110" s="83">
        <v>0</v>
      </c>
      <c r="E110" s="83">
        <v>0</v>
      </c>
      <c r="F110" s="83">
        <v>0</v>
      </c>
      <c r="G110" s="83">
        <v>0</v>
      </c>
      <c r="H110" s="83">
        <v>0</v>
      </c>
      <c r="I110" s="83">
        <v>0</v>
      </c>
      <c r="J110" s="83">
        <v>0</v>
      </c>
      <c r="K110" s="83">
        <v>0</v>
      </c>
      <c r="L110" s="83">
        <v>0</v>
      </c>
      <c r="M110" s="83">
        <v>0</v>
      </c>
      <c r="N110" s="83">
        <v>0</v>
      </c>
      <c r="O110" s="77">
        <v>0</v>
      </c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Q110" s="83"/>
      <c r="BR110" s="83"/>
      <c r="BS110" s="83"/>
      <c r="BT110" s="83"/>
      <c r="BU110" s="83"/>
      <c r="BV110" s="83"/>
      <c r="BW110" s="83"/>
      <c r="BX110" s="83"/>
      <c r="BY110" s="83"/>
      <c r="BZ110" s="83"/>
      <c r="CA110" s="83"/>
      <c r="CB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3"/>
      <c r="CQ110" s="83"/>
      <c r="CR110" s="83"/>
      <c r="CS110" s="83"/>
      <c r="CT110" s="83"/>
      <c r="CU110" s="83"/>
      <c r="CV110" s="83"/>
      <c r="CW110" s="83"/>
      <c r="CX110" s="83"/>
      <c r="CY110" s="83"/>
      <c r="CZ110" s="83"/>
      <c r="DA110" s="83"/>
      <c r="DB110" s="83"/>
      <c r="DE110" s="83"/>
      <c r="DF110" s="83"/>
      <c r="DG110" s="83"/>
      <c r="DH110" s="83"/>
      <c r="DI110" s="83"/>
      <c r="DJ110" s="83"/>
      <c r="DK110" s="83"/>
      <c r="DL110" s="83"/>
      <c r="DM110" s="83"/>
      <c r="DN110" s="83"/>
      <c r="DO110" s="83"/>
      <c r="DP110" s="83"/>
      <c r="DR110" s="83"/>
      <c r="DS110" s="83"/>
      <c r="DT110" s="83"/>
      <c r="DU110" s="83"/>
      <c r="DV110" s="83"/>
      <c r="DW110" s="83"/>
      <c r="DX110" s="83"/>
      <c r="DY110" s="83"/>
      <c r="DZ110" s="83"/>
      <c r="EA110" s="83"/>
      <c r="EB110" s="83"/>
      <c r="EC110" s="83"/>
      <c r="EE110" s="77">
        <v>0</v>
      </c>
    </row>
    <row r="111" spans="1:135">
      <c r="A111" s="101" t="s">
        <v>142</v>
      </c>
      <c r="B111" s="83" t="s">
        <v>255</v>
      </c>
      <c r="C111" s="83">
        <v>1666.6666666666667</v>
      </c>
      <c r="D111" s="83">
        <v>1666.6666666666667</v>
      </c>
      <c r="E111" s="83">
        <v>1666.6666666666667</v>
      </c>
      <c r="F111" s="83">
        <v>1666.6666666666667</v>
      </c>
      <c r="G111" s="83">
        <v>1666.6666666666667</v>
      </c>
      <c r="H111" s="83">
        <v>1666.6666666666667</v>
      </c>
      <c r="I111" s="83">
        <v>1666.6666666666667</v>
      </c>
      <c r="J111" s="83">
        <v>5666.666666666667</v>
      </c>
      <c r="K111" s="83">
        <v>10666.666666666668</v>
      </c>
      <c r="L111" s="83">
        <v>10666.666666666666</v>
      </c>
      <c r="M111" s="83">
        <v>1666.6666666666667</v>
      </c>
      <c r="N111" s="83">
        <v>1666.6666666666667</v>
      </c>
      <c r="O111" s="77">
        <v>0</v>
      </c>
      <c r="Q111" s="83">
        <v>1666.6666666666667</v>
      </c>
      <c r="R111" s="83">
        <v>1666.6666666666667</v>
      </c>
      <c r="S111" s="83">
        <v>1666.6666666666667</v>
      </c>
      <c r="T111" s="83">
        <v>1666.6666666666667</v>
      </c>
      <c r="U111" s="83">
        <v>1666.6666666666667</v>
      </c>
      <c r="V111" s="83">
        <v>1666.6666666666667</v>
      </c>
      <c r="W111" s="83">
        <v>1666.6666666666667</v>
      </c>
      <c r="X111" s="83">
        <v>1666.6666666666667</v>
      </c>
      <c r="Y111" s="83">
        <v>1666.6666666666667</v>
      </c>
      <c r="Z111" s="83">
        <v>10666.666666666666</v>
      </c>
      <c r="AA111" s="83">
        <v>1666.6666666666667</v>
      </c>
      <c r="AB111" s="83">
        <v>1666.6666666666667</v>
      </c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Q111" s="83">
        <v>0</v>
      </c>
      <c r="AR111" s="83">
        <v>0</v>
      </c>
      <c r="AS111" s="83">
        <v>0</v>
      </c>
      <c r="AT111" s="83">
        <v>0</v>
      </c>
      <c r="AU111" s="83">
        <v>0</v>
      </c>
      <c r="AV111" s="83">
        <v>0</v>
      </c>
      <c r="AW111" s="83">
        <v>0</v>
      </c>
      <c r="AX111" s="83">
        <v>2000</v>
      </c>
      <c r="AY111" s="83">
        <v>5400</v>
      </c>
      <c r="AZ111" s="83">
        <v>0</v>
      </c>
      <c r="BA111" s="83">
        <v>0</v>
      </c>
      <c r="BB111" s="83">
        <v>0</v>
      </c>
      <c r="BD111" s="83">
        <v>0</v>
      </c>
      <c r="BE111" s="83">
        <v>0</v>
      </c>
      <c r="BF111" s="83">
        <v>0</v>
      </c>
      <c r="BG111" s="83">
        <v>0</v>
      </c>
      <c r="BH111" s="83">
        <v>0</v>
      </c>
      <c r="BI111" s="83">
        <v>0</v>
      </c>
      <c r="BJ111" s="83">
        <v>0</v>
      </c>
      <c r="BK111" s="83">
        <v>0</v>
      </c>
      <c r="BL111" s="83">
        <v>3600</v>
      </c>
      <c r="BM111" s="83">
        <v>0</v>
      </c>
      <c r="BN111" s="83">
        <v>0</v>
      </c>
      <c r="BO111" s="83">
        <v>0</v>
      </c>
      <c r="BQ111" s="83"/>
      <c r="BR111" s="83"/>
      <c r="BS111" s="83"/>
      <c r="BT111" s="83"/>
      <c r="BU111" s="83"/>
      <c r="BV111" s="83"/>
      <c r="BW111" s="83"/>
      <c r="BX111" s="83"/>
      <c r="BY111" s="83"/>
      <c r="BZ111" s="83"/>
      <c r="CA111" s="83"/>
      <c r="CB111" s="83"/>
      <c r="CD111" s="83">
        <v>0</v>
      </c>
      <c r="CE111" s="83">
        <v>0</v>
      </c>
      <c r="CF111" s="83">
        <v>0</v>
      </c>
      <c r="CG111" s="83">
        <v>0</v>
      </c>
      <c r="CH111" s="83">
        <v>0</v>
      </c>
      <c r="CI111" s="83">
        <v>0</v>
      </c>
      <c r="CJ111" s="83">
        <v>0</v>
      </c>
      <c r="CK111" s="83">
        <v>2000</v>
      </c>
      <c r="CL111" s="83">
        <v>0</v>
      </c>
      <c r="CM111" s="83">
        <v>0</v>
      </c>
      <c r="CN111" s="83">
        <v>0</v>
      </c>
      <c r="CO111" s="83">
        <v>0</v>
      </c>
      <c r="CQ111" s="83"/>
      <c r="CR111" s="83"/>
      <c r="CS111" s="83"/>
      <c r="CT111" s="83"/>
      <c r="CU111" s="83"/>
      <c r="CV111" s="83"/>
      <c r="CW111" s="83"/>
      <c r="CX111" s="83"/>
      <c r="CY111" s="83"/>
      <c r="CZ111" s="83"/>
      <c r="DA111" s="83"/>
      <c r="DB111" s="83"/>
      <c r="DE111" s="83">
        <v>0</v>
      </c>
      <c r="DF111" s="83">
        <v>0</v>
      </c>
      <c r="DG111" s="83">
        <v>0</v>
      </c>
      <c r="DH111" s="83">
        <v>0</v>
      </c>
      <c r="DI111" s="83">
        <v>0</v>
      </c>
      <c r="DJ111" s="83">
        <v>0</v>
      </c>
      <c r="DK111" s="83">
        <v>0</v>
      </c>
      <c r="DL111" s="83">
        <v>0</v>
      </c>
      <c r="DM111" s="83">
        <v>0</v>
      </c>
      <c r="DN111" s="83">
        <v>0</v>
      </c>
      <c r="DO111" s="83">
        <v>0</v>
      </c>
      <c r="DP111" s="83">
        <v>0</v>
      </c>
      <c r="DR111" s="83"/>
      <c r="DS111" s="83"/>
      <c r="DT111" s="83"/>
      <c r="DU111" s="83"/>
      <c r="DV111" s="83"/>
      <c r="DW111" s="83"/>
      <c r="DX111" s="83"/>
      <c r="DY111" s="83"/>
      <c r="DZ111" s="83"/>
      <c r="EA111" s="83"/>
      <c r="EB111" s="83"/>
      <c r="EC111" s="83"/>
      <c r="EE111" s="77">
        <v>13000</v>
      </c>
    </row>
    <row r="112" spans="1:135">
      <c r="A112" s="102" t="s">
        <v>143</v>
      </c>
      <c r="B112" s="83" t="s">
        <v>257</v>
      </c>
      <c r="C112" s="83">
        <v>500</v>
      </c>
      <c r="D112" s="83">
        <v>500</v>
      </c>
      <c r="E112" s="83">
        <v>500</v>
      </c>
      <c r="F112" s="83">
        <v>500</v>
      </c>
      <c r="G112" s="83">
        <v>500</v>
      </c>
      <c r="H112" s="83">
        <v>500</v>
      </c>
      <c r="I112" s="83">
        <v>500</v>
      </c>
      <c r="J112" s="83">
        <v>500</v>
      </c>
      <c r="K112" s="83">
        <v>500</v>
      </c>
      <c r="L112" s="83">
        <v>500</v>
      </c>
      <c r="M112" s="83">
        <v>500</v>
      </c>
      <c r="N112" s="83">
        <v>500</v>
      </c>
      <c r="O112" s="77">
        <v>0</v>
      </c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Q112" s="83"/>
      <c r="BR112" s="83"/>
      <c r="BS112" s="83"/>
      <c r="BT112" s="83"/>
      <c r="BU112" s="83"/>
      <c r="BV112" s="83"/>
      <c r="BW112" s="83"/>
      <c r="BX112" s="83"/>
      <c r="BY112" s="83"/>
      <c r="BZ112" s="83"/>
      <c r="CA112" s="83"/>
      <c r="CB112" s="83"/>
      <c r="CD112" s="83"/>
      <c r="CE112" s="83"/>
      <c r="CF112" s="83"/>
      <c r="CG112" s="83"/>
      <c r="CH112" s="83"/>
      <c r="CI112" s="83"/>
      <c r="CJ112" s="83"/>
      <c r="CK112" s="83"/>
      <c r="CL112" s="83"/>
      <c r="CM112" s="83"/>
      <c r="CN112" s="83"/>
      <c r="CO112" s="83"/>
      <c r="CQ112" s="83"/>
      <c r="CR112" s="83"/>
      <c r="CS112" s="83"/>
      <c r="CT112" s="83"/>
      <c r="CU112" s="83"/>
      <c r="CV112" s="83"/>
      <c r="CW112" s="83"/>
      <c r="CX112" s="83"/>
      <c r="CY112" s="83"/>
      <c r="CZ112" s="83"/>
      <c r="DA112" s="83"/>
      <c r="DB112" s="83"/>
      <c r="DE112" s="83">
        <v>500</v>
      </c>
      <c r="DF112" s="83">
        <v>500</v>
      </c>
      <c r="DG112" s="83">
        <v>500</v>
      </c>
      <c r="DH112" s="83">
        <v>500</v>
      </c>
      <c r="DI112" s="83">
        <v>500</v>
      </c>
      <c r="DJ112" s="83">
        <v>500</v>
      </c>
      <c r="DK112" s="83">
        <v>500</v>
      </c>
      <c r="DL112" s="83">
        <v>500</v>
      </c>
      <c r="DM112" s="83">
        <v>500</v>
      </c>
      <c r="DN112" s="83">
        <v>500</v>
      </c>
      <c r="DO112" s="83">
        <v>500</v>
      </c>
      <c r="DP112" s="83">
        <v>500</v>
      </c>
      <c r="DR112" s="83"/>
      <c r="DS112" s="83"/>
      <c r="DT112" s="83"/>
      <c r="DU112" s="83"/>
      <c r="DV112" s="83"/>
      <c r="DW112" s="83"/>
      <c r="DX112" s="83"/>
      <c r="DY112" s="83"/>
      <c r="DZ112" s="83"/>
      <c r="EA112" s="83"/>
      <c r="EB112" s="83"/>
      <c r="EC112" s="83"/>
      <c r="EE112" s="77">
        <v>6000</v>
      </c>
    </row>
    <row r="113" spans="1:135">
      <c r="A113" s="102" t="s">
        <v>145</v>
      </c>
      <c r="B113" s="83" t="s">
        <v>257</v>
      </c>
      <c r="C113" s="83">
        <v>110650</v>
      </c>
      <c r="D113" s="83">
        <v>110650</v>
      </c>
      <c r="E113" s="83">
        <v>110650</v>
      </c>
      <c r="F113" s="83">
        <v>110650</v>
      </c>
      <c r="G113" s="83">
        <v>110650</v>
      </c>
      <c r="H113" s="83">
        <v>110650</v>
      </c>
      <c r="I113" s="83">
        <v>110650</v>
      </c>
      <c r="J113" s="83">
        <v>110650</v>
      </c>
      <c r="K113" s="83">
        <v>110650</v>
      </c>
      <c r="L113" s="83">
        <v>110650</v>
      </c>
      <c r="M113" s="83">
        <v>110650</v>
      </c>
      <c r="N113" s="83">
        <v>110650</v>
      </c>
      <c r="O113" s="77">
        <v>0</v>
      </c>
      <c r="Q113" s="83">
        <v>20150</v>
      </c>
      <c r="R113" s="83">
        <v>20150</v>
      </c>
      <c r="S113" s="83">
        <v>20150</v>
      </c>
      <c r="T113" s="83">
        <v>20150</v>
      </c>
      <c r="U113" s="83">
        <v>20150</v>
      </c>
      <c r="V113" s="83">
        <v>20150</v>
      </c>
      <c r="W113" s="83">
        <v>20150</v>
      </c>
      <c r="X113" s="83">
        <v>20150</v>
      </c>
      <c r="Y113" s="83">
        <v>20150</v>
      </c>
      <c r="Z113" s="83">
        <v>20150</v>
      </c>
      <c r="AA113" s="83">
        <v>20150</v>
      </c>
      <c r="AB113" s="83">
        <v>20150</v>
      </c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Q113" s="83">
        <v>32700</v>
      </c>
      <c r="AR113" s="83">
        <v>32700</v>
      </c>
      <c r="AS113" s="83">
        <v>32700</v>
      </c>
      <c r="AT113" s="83">
        <v>32700</v>
      </c>
      <c r="AU113" s="83">
        <v>32700</v>
      </c>
      <c r="AV113" s="83">
        <v>32700</v>
      </c>
      <c r="AW113" s="83">
        <v>32700</v>
      </c>
      <c r="AX113" s="83">
        <v>32700</v>
      </c>
      <c r="AY113" s="83">
        <v>32700</v>
      </c>
      <c r="AZ113" s="83">
        <v>32700</v>
      </c>
      <c r="BA113" s="83">
        <v>32700</v>
      </c>
      <c r="BB113" s="83">
        <v>32700</v>
      </c>
      <c r="BD113" s="83">
        <v>21800</v>
      </c>
      <c r="BE113" s="83">
        <v>21800</v>
      </c>
      <c r="BF113" s="83">
        <v>21800</v>
      </c>
      <c r="BG113" s="83">
        <v>21800</v>
      </c>
      <c r="BH113" s="83">
        <v>21800</v>
      </c>
      <c r="BI113" s="83">
        <v>21800</v>
      </c>
      <c r="BJ113" s="83">
        <v>21800</v>
      </c>
      <c r="BK113" s="83">
        <v>21800</v>
      </c>
      <c r="BL113" s="83">
        <v>21800</v>
      </c>
      <c r="BM113" s="83">
        <v>21800</v>
      </c>
      <c r="BN113" s="83">
        <v>21800</v>
      </c>
      <c r="BO113" s="83">
        <v>21800</v>
      </c>
      <c r="BQ113" s="83">
        <v>18000</v>
      </c>
      <c r="BR113" s="83">
        <v>18000</v>
      </c>
      <c r="BS113" s="83">
        <v>18000</v>
      </c>
      <c r="BT113" s="83">
        <v>18000</v>
      </c>
      <c r="BU113" s="83">
        <v>18000</v>
      </c>
      <c r="BV113" s="83">
        <v>18000</v>
      </c>
      <c r="BW113" s="83">
        <v>18000</v>
      </c>
      <c r="BX113" s="83">
        <v>18000</v>
      </c>
      <c r="BY113" s="83">
        <v>18000</v>
      </c>
      <c r="BZ113" s="83">
        <v>18000</v>
      </c>
      <c r="CA113" s="83">
        <v>18000</v>
      </c>
      <c r="CB113" s="83">
        <v>18000</v>
      </c>
      <c r="CD113" s="83">
        <v>10800</v>
      </c>
      <c r="CE113" s="83">
        <v>10800</v>
      </c>
      <c r="CF113" s="83">
        <v>10800</v>
      </c>
      <c r="CG113" s="83">
        <v>10800</v>
      </c>
      <c r="CH113" s="83">
        <v>10800</v>
      </c>
      <c r="CI113" s="83">
        <v>10800</v>
      </c>
      <c r="CJ113" s="83">
        <v>10800</v>
      </c>
      <c r="CK113" s="83">
        <v>10800</v>
      </c>
      <c r="CL113" s="83">
        <v>10800</v>
      </c>
      <c r="CM113" s="83">
        <v>10800</v>
      </c>
      <c r="CN113" s="83">
        <v>10800</v>
      </c>
      <c r="CO113" s="83">
        <v>10800</v>
      </c>
      <c r="CQ113" s="83">
        <v>7200</v>
      </c>
      <c r="CR113" s="83">
        <v>7200</v>
      </c>
      <c r="CS113" s="83">
        <v>7200</v>
      </c>
      <c r="CT113" s="83">
        <v>7200</v>
      </c>
      <c r="CU113" s="83">
        <v>7200</v>
      </c>
      <c r="CV113" s="83">
        <v>7200</v>
      </c>
      <c r="CW113" s="83">
        <v>7200</v>
      </c>
      <c r="CX113" s="83">
        <v>7200</v>
      </c>
      <c r="CY113" s="83">
        <v>7200</v>
      </c>
      <c r="CZ113" s="83">
        <v>7200</v>
      </c>
      <c r="DA113" s="83">
        <v>7200</v>
      </c>
      <c r="DB113" s="83">
        <v>7200</v>
      </c>
      <c r="DE113" s="83">
        <v>0</v>
      </c>
      <c r="DF113" s="83">
        <v>0</v>
      </c>
      <c r="DG113" s="83">
        <v>0</v>
      </c>
      <c r="DH113" s="83">
        <v>0</v>
      </c>
      <c r="DI113" s="83">
        <v>0</v>
      </c>
      <c r="DJ113" s="83">
        <v>0</v>
      </c>
      <c r="DK113" s="83">
        <v>0</v>
      </c>
      <c r="DL113" s="83">
        <v>0</v>
      </c>
      <c r="DM113" s="83">
        <v>0</v>
      </c>
      <c r="DN113" s="83">
        <v>0</v>
      </c>
      <c r="DO113" s="83">
        <v>0</v>
      </c>
      <c r="DP113" s="83">
        <v>0</v>
      </c>
      <c r="DR113" s="83">
        <v>0</v>
      </c>
      <c r="DS113" s="83">
        <v>0</v>
      </c>
      <c r="DT113" s="83">
        <v>0</v>
      </c>
      <c r="DU113" s="83">
        <v>0</v>
      </c>
      <c r="DV113" s="83">
        <v>0</v>
      </c>
      <c r="DW113" s="83">
        <v>0</v>
      </c>
      <c r="DX113" s="83">
        <v>0</v>
      </c>
      <c r="DY113" s="83">
        <v>0</v>
      </c>
      <c r="DZ113" s="83">
        <v>0</v>
      </c>
      <c r="EA113" s="83">
        <v>0</v>
      </c>
      <c r="EB113" s="83">
        <v>0</v>
      </c>
      <c r="EC113" s="83">
        <v>0</v>
      </c>
      <c r="EE113" s="77">
        <v>1020600</v>
      </c>
    </row>
    <row r="114" spans="1:135">
      <c r="A114" s="102" t="s">
        <v>146</v>
      </c>
      <c r="B114" s="83" t="s">
        <v>257</v>
      </c>
      <c r="C114" s="83">
        <v>78000</v>
      </c>
      <c r="D114" s="83">
        <v>78000</v>
      </c>
      <c r="E114" s="83">
        <v>78000</v>
      </c>
      <c r="F114" s="83">
        <v>78000</v>
      </c>
      <c r="G114" s="83">
        <v>78000</v>
      </c>
      <c r="H114" s="83">
        <v>78000</v>
      </c>
      <c r="I114" s="83">
        <v>78000</v>
      </c>
      <c r="J114" s="83">
        <v>78000</v>
      </c>
      <c r="K114" s="83">
        <v>78000</v>
      </c>
      <c r="L114" s="83">
        <v>78000</v>
      </c>
      <c r="M114" s="83">
        <v>78000</v>
      </c>
      <c r="N114" s="83">
        <v>78000</v>
      </c>
      <c r="O114" s="77">
        <v>0</v>
      </c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Q114" s="83">
        <v>36000</v>
      </c>
      <c r="AR114" s="83">
        <v>36000</v>
      </c>
      <c r="AS114" s="83">
        <v>36000</v>
      </c>
      <c r="AT114" s="83">
        <v>36000</v>
      </c>
      <c r="AU114" s="83">
        <v>36000</v>
      </c>
      <c r="AV114" s="83">
        <v>36000</v>
      </c>
      <c r="AW114" s="83">
        <v>36000</v>
      </c>
      <c r="AX114" s="83">
        <v>36000</v>
      </c>
      <c r="AY114" s="83">
        <v>36000</v>
      </c>
      <c r="AZ114" s="83">
        <v>36000</v>
      </c>
      <c r="BA114" s="83">
        <v>36000</v>
      </c>
      <c r="BB114" s="83">
        <v>36000</v>
      </c>
      <c r="BD114" s="83">
        <v>12000</v>
      </c>
      <c r="BE114" s="83">
        <v>12000</v>
      </c>
      <c r="BF114" s="83">
        <v>12000</v>
      </c>
      <c r="BG114" s="83">
        <v>12000</v>
      </c>
      <c r="BH114" s="83">
        <v>12000</v>
      </c>
      <c r="BI114" s="83">
        <v>12000</v>
      </c>
      <c r="BJ114" s="83">
        <v>12000</v>
      </c>
      <c r="BK114" s="83">
        <v>12000</v>
      </c>
      <c r="BL114" s="83">
        <v>12000</v>
      </c>
      <c r="BM114" s="83">
        <v>12000</v>
      </c>
      <c r="BN114" s="83">
        <v>12000</v>
      </c>
      <c r="BO114" s="83">
        <v>12000</v>
      </c>
      <c r="BQ114" s="83"/>
      <c r="BR114" s="83"/>
      <c r="BS114" s="83"/>
      <c r="BT114" s="83"/>
      <c r="BU114" s="83"/>
      <c r="BV114" s="83"/>
      <c r="BW114" s="83"/>
      <c r="BX114" s="83"/>
      <c r="BY114" s="83"/>
      <c r="BZ114" s="83"/>
      <c r="CA114" s="83"/>
      <c r="CB114" s="83"/>
      <c r="CD114" s="83">
        <v>10800</v>
      </c>
      <c r="CE114" s="83">
        <v>10800</v>
      </c>
      <c r="CF114" s="83">
        <v>10800</v>
      </c>
      <c r="CG114" s="83">
        <v>10800</v>
      </c>
      <c r="CH114" s="83">
        <v>10800</v>
      </c>
      <c r="CI114" s="83">
        <v>10800</v>
      </c>
      <c r="CJ114" s="83">
        <v>10800</v>
      </c>
      <c r="CK114" s="83">
        <v>10800</v>
      </c>
      <c r="CL114" s="83">
        <v>10800</v>
      </c>
      <c r="CM114" s="83">
        <v>10800</v>
      </c>
      <c r="CN114" s="83">
        <v>10800</v>
      </c>
      <c r="CO114" s="83">
        <v>10800</v>
      </c>
      <c r="CQ114" s="83">
        <v>7200</v>
      </c>
      <c r="CR114" s="83">
        <v>7200</v>
      </c>
      <c r="CS114" s="83">
        <v>7200</v>
      </c>
      <c r="CT114" s="83">
        <v>7200</v>
      </c>
      <c r="CU114" s="83">
        <v>7200</v>
      </c>
      <c r="CV114" s="83">
        <v>7200</v>
      </c>
      <c r="CW114" s="83">
        <v>7200</v>
      </c>
      <c r="CX114" s="83">
        <v>7200</v>
      </c>
      <c r="CY114" s="83">
        <v>7200</v>
      </c>
      <c r="CZ114" s="83">
        <v>7200</v>
      </c>
      <c r="DA114" s="83">
        <v>7200</v>
      </c>
      <c r="DB114" s="83">
        <v>7200</v>
      </c>
      <c r="DE114" s="83">
        <v>7200</v>
      </c>
      <c r="DF114" s="83">
        <v>7200</v>
      </c>
      <c r="DG114" s="83">
        <v>7200</v>
      </c>
      <c r="DH114" s="83">
        <v>7200</v>
      </c>
      <c r="DI114" s="83">
        <v>7200</v>
      </c>
      <c r="DJ114" s="83">
        <v>7200</v>
      </c>
      <c r="DK114" s="83">
        <v>7200</v>
      </c>
      <c r="DL114" s="83">
        <v>7200</v>
      </c>
      <c r="DM114" s="83">
        <v>7200</v>
      </c>
      <c r="DN114" s="83">
        <v>7200</v>
      </c>
      <c r="DO114" s="83">
        <v>7200</v>
      </c>
      <c r="DP114" s="83">
        <v>7200</v>
      </c>
      <c r="DR114" s="83">
        <v>4800</v>
      </c>
      <c r="DS114" s="83">
        <v>4800</v>
      </c>
      <c r="DT114" s="83">
        <v>4800</v>
      </c>
      <c r="DU114" s="83">
        <v>4800</v>
      </c>
      <c r="DV114" s="83">
        <v>4800</v>
      </c>
      <c r="DW114" s="83">
        <v>4800</v>
      </c>
      <c r="DX114" s="83">
        <v>4800</v>
      </c>
      <c r="DY114" s="83">
        <v>4800</v>
      </c>
      <c r="DZ114" s="83">
        <v>4800</v>
      </c>
      <c r="EA114" s="83">
        <v>4800</v>
      </c>
      <c r="EB114" s="83">
        <v>4800</v>
      </c>
      <c r="EC114" s="83">
        <v>4800</v>
      </c>
      <c r="EE114" s="77">
        <v>864000</v>
      </c>
    </row>
    <row r="115" spans="1:135">
      <c r="A115" s="101" t="s">
        <v>230</v>
      </c>
      <c r="B115" s="83" t="s">
        <v>257</v>
      </c>
      <c r="C115" s="83">
        <v>290000</v>
      </c>
      <c r="D115" s="83">
        <v>290000</v>
      </c>
      <c r="E115" s="83">
        <v>290000</v>
      </c>
      <c r="F115" s="83">
        <v>290000</v>
      </c>
      <c r="G115" s="83">
        <v>290000</v>
      </c>
      <c r="H115" s="83">
        <v>290000</v>
      </c>
      <c r="I115" s="83">
        <v>290000</v>
      </c>
      <c r="J115" s="83">
        <v>290000</v>
      </c>
      <c r="K115" s="83">
        <v>290000</v>
      </c>
      <c r="L115" s="83">
        <v>290000</v>
      </c>
      <c r="M115" s="83">
        <v>290000</v>
      </c>
      <c r="N115" s="83">
        <v>290000</v>
      </c>
      <c r="O115" s="77">
        <v>0</v>
      </c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Q115" s="83">
        <v>86400</v>
      </c>
      <c r="AR115" s="83">
        <v>86400</v>
      </c>
      <c r="AS115" s="83">
        <v>86400</v>
      </c>
      <c r="AT115" s="83">
        <v>86400</v>
      </c>
      <c r="AU115" s="83">
        <v>86400</v>
      </c>
      <c r="AV115" s="83">
        <v>86400</v>
      </c>
      <c r="AW115" s="83">
        <v>86400</v>
      </c>
      <c r="AX115" s="83">
        <v>86400</v>
      </c>
      <c r="AY115" s="83">
        <v>86400</v>
      </c>
      <c r="AZ115" s="83">
        <v>86400</v>
      </c>
      <c r="BA115" s="83">
        <v>86400</v>
      </c>
      <c r="BB115" s="83">
        <v>86400</v>
      </c>
      <c r="BD115" s="83">
        <v>57600</v>
      </c>
      <c r="BE115" s="83">
        <v>57600</v>
      </c>
      <c r="BF115" s="83">
        <v>57600</v>
      </c>
      <c r="BG115" s="83">
        <v>57600</v>
      </c>
      <c r="BH115" s="83">
        <v>57600</v>
      </c>
      <c r="BI115" s="83">
        <v>57600</v>
      </c>
      <c r="BJ115" s="83">
        <v>57600</v>
      </c>
      <c r="BK115" s="83">
        <v>57600</v>
      </c>
      <c r="BL115" s="83">
        <v>57600</v>
      </c>
      <c r="BM115" s="83">
        <v>57600</v>
      </c>
      <c r="BN115" s="83">
        <v>57600</v>
      </c>
      <c r="BO115" s="83">
        <v>57600</v>
      </c>
      <c r="BQ115" s="83"/>
      <c r="BR115" s="83"/>
      <c r="BS115" s="83"/>
      <c r="BT115" s="83"/>
      <c r="BU115" s="83"/>
      <c r="BV115" s="83"/>
      <c r="BW115" s="83"/>
      <c r="BX115" s="83"/>
      <c r="BY115" s="83"/>
      <c r="BZ115" s="83"/>
      <c r="CA115" s="83"/>
      <c r="CB115" s="83"/>
      <c r="CD115" s="83">
        <v>57600</v>
      </c>
      <c r="CE115" s="83">
        <v>57600</v>
      </c>
      <c r="CF115" s="83">
        <v>57600</v>
      </c>
      <c r="CG115" s="83">
        <v>57600</v>
      </c>
      <c r="CH115" s="83">
        <v>57600</v>
      </c>
      <c r="CI115" s="83">
        <v>57600</v>
      </c>
      <c r="CJ115" s="83">
        <v>57600</v>
      </c>
      <c r="CK115" s="83">
        <v>57600</v>
      </c>
      <c r="CL115" s="83">
        <v>57600</v>
      </c>
      <c r="CM115" s="83">
        <v>57600</v>
      </c>
      <c r="CN115" s="83">
        <v>57600</v>
      </c>
      <c r="CO115" s="83">
        <v>57600</v>
      </c>
      <c r="CQ115" s="83">
        <v>38400</v>
      </c>
      <c r="CR115" s="83">
        <v>38400</v>
      </c>
      <c r="CS115" s="83">
        <v>38400</v>
      </c>
      <c r="CT115" s="83">
        <v>38400</v>
      </c>
      <c r="CU115" s="83">
        <v>38400</v>
      </c>
      <c r="CV115" s="83">
        <v>38400</v>
      </c>
      <c r="CW115" s="83">
        <v>38400</v>
      </c>
      <c r="CX115" s="83">
        <v>38400</v>
      </c>
      <c r="CY115" s="83">
        <v>38400</v>
      </c>
      <c r="CZ115" s="83">
        <v>38400</v>
      </c>
      <c r="DA115" s="83">
        <v>38400</v>
      </c>
      <c r="DB115" s="83">
        <v>38400</v>
      </c>
      <c r="DE115" s="83">
        <v>50000</v>
      </c>
      <c r="DF115" s="83">
        <v>50000</v>
      </c>
      <c r="DG115" s="83">
        <v>50000</v>
      </c>
      <c r="DH115" s="83">
        <v>50000</v>
      </c>
      <c r="DI115" s="83">
        <v>50000</v>
      </c>
      <c r="DJ115" s="83">
        <v>50000</v>
      </c>
      <c r="DK115" s="83">
        <v>50000</v>
      </c>
      <c r="DL115" s="83">
        <v>50000</v>
      </c>
      <c r="DM115" s="83">
        <v>50000</v>
      </c>
      <c r="DN115" s="83">
        <v>50000</v>
      </c>
      <c r="DO115" s="83">
        <v>50000</v>
      </c>
      <c r="DP115" s="83">
        <v>50000</v>
      </c>
      <c r="DR115" s="83">
        <v>0</v>
      </c>
      <c r="DS115" s="83">
        <v>0</v>
      </c>
      <c r="DT115" s="83">
        <v>0</v>
      </c>
      <c r="DU115" s="83">
        <v>0</v>
      </c>
      <c r="DV115" s="83">
        <v>0</v>
      </c>
      <c r="DW115" s="83">
        <v>0</v>
      </c>
      <c r="DX115" s="83">
        <v>0</v>
      </c>
      <c r="DY115" s="83">
        <v>0</v>
      </c>
      <c r="DZ115" s="83">
        <v>0</v>
      </c>
      <c r="EA115" s="83">
        <v>0</v>
      </c>
      <c r="EB115" s="83">
        <v>0</v>
      </c>
      <c r="EC115" s="83">
        <v>0</v>
      </c>
      <c r="EE115" s="77">
        <v>3307200</v>
      </c>
    </row>
    <row r="116" spans="1:135">
      <c r="A116" s="101" t="s">
        <v>231</v>
      </c>
      <c r="B116" s="83" t="s">
        <v>257</v>
      </c>
      <c r="C116" s="83">
        <v>23580</v>
      </c>
      <c r="D116" s="83">
        <v>23580</v>
      </c>
      <c r="E116" s="83">
        <v>23580</v>
      </c>
      <c r="F116" s="83">
        <v>23580</v>
      </c>
      <c r="G116" s="83">
        <v>23580</v>
      </c>
      <c r="H116" s="83">
        <v>23580</v>
      </c>
      <c r="I116" s="83">
        <v>23580</v>
      </c>
      <c r="J116" s="83">
        <v>23580</v>
      </c>
      <c r="K116" s="83">
        <v>23580</v>
      </c>
      <c r="L116" s="83">
        <v>23580</v>
      </c>
      <c r="M116" s="83">
        <v>23580</v>
      </c>
      <c r="N116" s="83">
        <v>23580</v>
      </c>
      <c r="O116" s="77">
        <v>0</v>
      </c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Q116" s="83">
        <v>6690</v>
      </c>
      <c r="AR116" s="83">
        <v>6690</v>
      </c>
      <c r="AS116" s="83">
        <v>6690</v>
      </c>
      <c r="AT116" s="83">
        <v>6690</v>
      </c>
      <c r="AU116" s="83">
        <v>6690</v>
      </c>
      <c r="AV116" s="83">
        <v>6690</v>
      </c>
      <c r="AW116" s="83">
        <v>6690</v>
      </c>
      <c r="AX116" s="83">
        <v>6690</v>
      </c>
      <c r="AY116" s="83">
        <v>6690</v>
      </c>
      <c r="AZ116" s="83">
        <v>6690</v>
      </c>
      <c r="BA116" s="83">
        <v>6690</v>
      </c>
      <c r="BB116" s="83">
        <v>6690</v>
      </c>
      <c r="BD116" s="83">
        <v>4460</v>
      </c>
      <c r="BE116" s="83">
        <v>4460</v>
      </c>
      <c r="BF116" s="83">
        <v>4460</v>
      </c>
      <c r="BG116" s="83">
        <v>4460</v>
      </c>
      <c r="BH116" s="83">
        <v>4460</v>
      </c>
      <c r="BI116" s="83">
        <v>4460</v>
      </c>
      <c r="BJ116" s="83">
        <v>4460</v>
      </c>
      <c r="BK116" s="83">
        <v>4460</v>
      </c>
      <c r="BL116" s="83">
        <v>4460</v>
      </c>
      <c r="BM116" s="83">
        <v>4460</v>
      </c>
      <c r="BN116" s="83">
        <v>4460</v>
      </c>
      <c r="BO116" s="83">
        <v>4460</v>
      </c>
      <c r="BQ116" s="83"/>
      <c r="BR116" s="83"/>
      <c r="BS116" s="83"/>
      <c r="BT116" s="83"/>
      <c r="BU116" s="83"/>
      <c r="BV116" s="83"/>
      <c r="BW116" s="83"/>
      <c r="BX116" s="83"/>
      <c r="BY116" s="83"/>
      <c r="BZ116" s="83"/>
      <c r="CA116" s="83"/>
      <c r="CB116" s="83"/>
      <c r="CD116" s="83">
        <v>4458</v>
      </c>
      <c r="CE116" s="83">
        <v>4458</v>
      </c>
      <c r="CF116" s="83">
        <v>4458</v>
      </c>
      <c r="CG116" s="83">
        <v>4458</v>
      </c>
      <c r="CH116" s="83">
        <v>4458</v>
      </c>
      <c r="CI116" s="83">
        <v>4458</v>
      </c>
      <c r="CJ116" s="83">
        <v>4458</v>
      </c>
      <c r="CK116" s="83">
        <v>4458</v>
      </c>
      <c r="CL116" s="83">
        <v>4458</v>
      </c>
      <c r="CM116" s="83">
        <v>4458</v>
      </c>
      <c r="CN116" s="83">
        <v>4458</v>
      </c>
      <c r="CO116" s="83">
        <v>4458</v>
      </c>
      <c r="CQ116" s="83">
        <v>2972</v>
      </c>
      <c r="CR116" s="83">
        <v>2972</v>
      </c>
      <c r="CS116" s="83">
        <v>2972</v>
      </c>
      <c r="CT116" s="83">
        <v>2972</v>
      </c>
      <c r="CU116" s="83">
        <v>2972</v>
      </c>
      <c r="CV116" s="83">
        <v>2972</v>
      </c>
      <c r="CW116" s="83">
        <v>2972</v>
      </c>
      <c r="CX116" s="83">
        <v>2972</v>
      </c>
      <c r="CY116" s="83">
        <v>2972</v>
      </c>
      <c r="CZ116" s="83">
        <v>2972</v>
      </c>
      <c r="DA116" s="83">
        <v>2972</v>
      </c>
      <c r="DB116" s="83">
        <v>2972</v>
      </c>
      <c r="DE116" s="83">
        <v>5000</v>
      </c>
      <c r="DF116" s="83">
        <v>5000</v>
      </c>
      <c r="DG116" s="83">
        <v>5000</v>
      </c>
      <c r="DH116" s="83">
        <v>5000</v>
      </c>
      <c r="DI116" s="83">
        <v>5000</v>
      </c>
      <c r="DJ116" s="83">
        <v>5000</v>
      </c>
      <c r="DK116" s="83">
        <v>5000</v>
      </c>
      <c r="DL116" s="83">
        <v>5000</v>
      </c>
      <c r="DM116" s="83">
        <v>5000</v>
      </c>
      <c r="DN116" s="83">
        <v>5000</v>
      </c>
      <c r="DO116" s="83">
        <v>5000</v>
      </c>
      <c r="DP116" s="83">
        <v>5000</v>
      </c>
      <c r="DR116" s="83">
        <v>0</v>
      </c>
      <c r="DS116" s="83">
        <v>0</v>
      </c>
      <c r="DT116" s="83">
        <v>0</v>
      </c>
      <c r="DU116" s="83">
        <v>0</v>
      </c>
      <c r="DV116" s="83">
        <v>0</v>
      </c>
      <c r="DW116" s="83">
        <v>0</v>
      </c>
      <c r="DX116" s="83">
        <v>0</v>
      </c>
      <c r="DY116" s="83">
        <v>0</v>
      </c>
      <c r="DZ116" s="83">
        <v>0</v>
      </c>
      <c r="EA116" s="83">
        <v>0</v>
      </c>
      <c r="EB116" s="83">
        <v>0</v>
      </c>
      <c r="EC116" s="83">
        <v>0</v>
      </c>
      <c r="EE116" s="77">
        <v>269580</v>
      </c>
    </row>
    <row r="117" spans="1:135">
      <c r="A117" s="101" t="s">
        <v>232</v>
      </c>
      <c r="B117" s="83" t="s">
        <v>257</v>
      </c>
      <c r="C117" s="83">
        <v>47500</v>
      </c>
      <c r="D117" s="83">
        <v>47500</v>
      </c>
      <c r="E117" s="83">
        <v>47500</v>
      </c>
      <c r="F117" s="83">
        <v>47500</v>
      </c>
      <c r="G117" s="83">
        <v>47500</v>
      </c>
      <c r="H117" s="83">
        <v>47500</v>
      </c>
      <c r="I117" s="83">
        <v>47500</v>
      </c>
      <c r="J117" s="83">
        <v>47500</v>
      </c>
      <c r="K117" s="83">
        <v>47500</v>
      </c>
      <c r="L117" s="83">
        <v>47500</v>
      </c>
      <c r="M117" s="83">
        <v>47500</v>
      </c>
      <c r="N117" s="83">
        <v>47500</v>
      </c>
      <c r="O117" s="77">
        <v>0</v>
      </c>
      <c r="Q117" s="83">
        <v>15800</v>
      </c>
      <c r="R117" s="83">
        <v>15800</v>
      </c>
      <c r="S117" s="83">
        <v>15800</v>
      </c>
      <c r="T117" s="83">
        <v>15800</v>
      </c>
      <c r="U117" s="83">
        <v>15800</v>
      </c>
      <c r="V117" s="83">
        <v>15800</v>
      </c>
      <c r="W117" s="83">
        <v>15800</v>
      </c>
      <c r="X117" s="83">
        <v>15800</v>
      </c>
      <c r="Y117" s="83">
        <v>15800</v>
      </c>
      <c r="Z117" s="83">
        <v>15800</v>
      </c>
      <c r="AA117" s="83">
        <v>15800</v>
      </c>
      <c r="AB117" s="83">
        <v>15800</v>
      </c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Q117" s="83">
        <v>7110</v>
      </c>
      <c r="AR117" s="83">
        <v>7110</v>
      </c>
      <c r="AS117" s="83">
        <v>7110</v>
      </c>
      <c r="AT117" s="83">
        <v>7110</v>
      </c>
      <c r="AU117" s="83">
        <v>7110</v>
      </c>
      <c r="AV117" s="83">
        <v>7110</v>
      </c>
      <c r="AW117" s="83">
        <v>7110</v>
      </c>
      <c r="AX117" s="83">
        <v>7110</v>
      </c>
      <c r="AY117" s="83">
        <v>7110</v>
      </c>
      <c r="AZ117" s="83">
        <v>7110</v>
      </c>
      <c r="BA117" s="83">
        <v>7110</v>
      </c>
      <c r="BB117" s="83">
        <v>7110</v>
      </c>
      <c r="BD117" s="83">
        <v>4740</v>
      </c>
      <c r="BE117" s="83">
        <v>4740</v>
      </c>
      <c r="BF117" s="83">
        <v>4740</v>
      </c>
      <c r="BG117" s="83">
        <v>4740</v>
      </c>
      <c r="BH117" s="83">
        <v>4740</v>
      </c>
      <c r="BI117" s="83">
        <v>4740</v>
      </c>
      <c r="BJ117" s="83">
        <v>4740</v>
      </c>
      <c r="BK117" s="83">
        <v>4740</v>
      </c>
      <c r="BL117" s="83">
        <v>4740</v>
      </c>
      <c r="BM117" s="83">
        <v>4740</v>
      </c>
      <c r="BN117" s="83">
        <v>4740</v>
      </c>
      <c r="BO117" s="83">
        <v>4740</v>
      </c>
      <c r="BQ117" s="83">
        <v>5925</v>
      </c>
      <c r="BR117" s="83">
        <v>5925</v>
      </c>
      <c r="BS117" s="83">
        <v>5925</v>
      </c>
      <c r="BT117" s="83">
        <v>5925</v>
      </c>
      <c r="BU117" s="83">
        <v>5925</v>
      </c>
      <c r="BV117" s="83">
        <v>5925</v>
      </c>
      <c r="BW117" s="83">
        <v>5925</v>
      </c>
      <c r="BX117" s="83">
        <v>5925</v>
      </c>
      <c r="BY117" s="83">
        <v>5925</v>
      </c>
      <c r="BZ117" s="83">
        <v>5925</v>
      </c>
      <c r="CA117" s="83">
        <v>5925</v>
      </c>
      <c r="CB117" s="83">
        <v>5925</v>
      </c>
      <c r="CD117" s="83">
        <v>3555</v>
      </c>
      <c r="CE117" s="83">
        <v>3555</v>
      </c>
      <c r="CF117" s="83">
        <v>3555</v>
      </c>
      <c r="CG117" s="83">
        <v>3555</v>
      </c>
      <c r="CH117" s="83">
        <v>3555</v>
      </c>
      <c r="CI117" s="83">
        <v>3555</v>
      </c>
      <c r="CJ117" s="83">
        <v>3555</v>
      </c>
      <c r="CK117" s="83">
        <v>3555</v>
      </c>
      <c r="CL117" s="83">
        <v>3555</v>
      </c>
      <c r="CM117" s="83">
        <v>3555</v>
      </c>
      <c r="CN117" s="83">
        <v>3555</v>
      </c>
      <c r="CO117" s="83">
        <v>3555</v>
      </c>
      <c r="CQ117" s="83">
        <v>2370</v>
      </c>
      <c r="CR117" s="83">
        <v>2370</v>
      </c>
      <c r="CS117" s="83">
        <v>2370</v>
      </c>
      <c r="CT117" s="83">
        <v>2370</v>
      </c>
      <c r="CU117" s="83">
        <v>2370</v>
      </c>
      <c r="CV117" s="83">
        <v>2370</v>
      </c>
      <c r="CW117" s="83">
        <v>2370</v>
      </c>
      <c r="CX117" s="83">
        <v>2370</v>
      </c>
      <c r="CY117" s="83">
        <v>2370</v>
      </c>
      <c r="CZ117" s="83">
        <v>2370</v>
      </c>
      <c r="DA117" s="83">
        <v>2370</v>
      </c>
      <c r="DB117" s="83">
        <v>2370</v>
      </c>
      <c r="DE117" s="83">
        <v>8000</v>
      </c>
      <c r="DF117" s="83">
        <v>8000</v>
      </c>
      <c r="DG117" s="83">
        <v>8000</v>
      </c>
      <c r="DH117" s="83">
        <v>8000</v>
      </c>
      <c r="DI117" s="83">
        <v>8000</v>
      </c>
      <c r="DJ117" s="83">
        <v>8000</v>
      </c>
      <c r="DK117" s="83">
        <v>8000</v>
      </c>
      <c r="DL117" s="83">
        <v>8000</v>
      </c>
      <c r="DM117" s="83">
        <v>8000</v>
      </c>
      <c r="DN117" s="83">
        <v>8000</v>
      </c>
      <c r="DO117" s="83">
        <v>8000</v>
      </c>
      <c r="DP117" s="83">
        <v>8000</v>
      </c>
      <c r="DR117" s="83">
        <v>0</v>
      </c>
      <c r="DS117" s="83">
        <v>0</v>
      </c>
      <c r="DT117" s="83">
        <v>0</v>
      </c>
      <c r="DU117" s="83">
        <v>0</v>
      </c>
      <c r="DV117" s="83">
        <v>0</v>
      </c>
      <c r="DW117" s="83">
        <v>0</v>
      </c>
      <c r="DX117" s="83">
        <v>0</v>
      </c>
      <c r="DY117" s="83">
        <v>0</v>
      </c>
      <c r="DZ117" s="83">
        <v>0</v>
      </c>
      <c r="EA117" s="83">
        <v>0</v>
      </c>
      <c r="EB117" s="83">
        <v>0</v>
      </c>
      <c r="EC117" s="83">
        <v>0</v>
      </c>
      <c r="EE117" s="77">
        <v>366180</v>
      </c>
    </row>
    <row r="118" spans="1:135">
      <c r="A118" s="101" t="s">
        <v>148</v>
      </c>
      <c r="B118" s="83" t="s">
        <v>255</v>
      </c>
      <c r="C118" s="83">
        <v>547769.37945454544</v>
      </c>
      <c r="D118" s="83">
        <v>547769.37945454544</v>
      </c>
      <c r="E118" s="83">
        <v>493396.38690909091</v>
      </c>
      <c r="F118" s="83">
        <v>493396.38690909091</v>
      </c>
      <c r="G118" s="83">
        <v>493396.38690909091</v>
      </c>
      <c r="H118" s="83">
        <v>493396.38690909091</v>
      </c>
      <c r="I118" s="83">
        <v>493396.38690909091</v>
      </c>
      <c r="J118" s="83">
        <v>493396.38690909091</v>
      </c>
      <c r="K118" s="83">
        <v>493396.38690909091</v>
      </c>
      <c r="L118" s="83">
        <v>493396.38690909091</v>
      </c>
      <c r="M118" s="83">
        <v>493396.38690909091</v>
      </c>
      <c r="N118" s="83">
        <v>493396.38690909091</v>
      </c>
      <c r="O118" s="77">
        <v>0</v>
      </c>
      <c r="Q118" s="83">
        <v>204372.99254545456</v>
      </c>
      <c r="R118" s="83">
        <v>204372.99254545456</v>
      </c>
      <c r="S118" s="83">
        <v>150000</v>
      </c>
      <c r="T118" s="83">
        <v>150000</v>
      </c>
      <c r="U118" s="83">
        <v>150000</v>
      </c>
      <c r="V118" s="83">
        <v>150000</v>
      </c>
      <c r="W118" s="83">
        <v>150000</v>
      </c>
      <c r="X118" s="83">
        <v>150000</v>
      </c>
      <c r="Y118" s="83">
        <v>150000</v>
      </c>
      <c r="Z118" s="83">
        <v>150000</v>
      </c>
      <c r="AA118" s="83">
        <v>150000</v>
      </c>
      <c r="AB118" s="83">
        <v>150000</v>
      </c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Q118" s="83">
        <v>94077.832145454551</v>
      </c>
      <c r="AR118" s="83">
        <v>94077.832145454551</v>
      </c>
      <c r="AS118" s="83">
        <v>94077.832145454551</v>
      </c>
      <c r="AT118" s="83">
        <v>94077.832145454551</v>
      </c>
      <c r="AU118" s="83">
        <v>94077.832145454551</v>
      </c>
      <c r="AV118" s="83">
        <v>94077.832145454551</v>
      </c>
      <c r="AW118" s="83">
        <v>94077.832145454551</v>
      </c>
      <c r="AX118" s="83">
        <v>94077.832145454551</v>
      </c>
      <c r="AY118" s="83">
        <v>94077.832145454551</v>
      </c>
      <c r="AZ118" s="83">
        <v>94077.832145454551</v>
      </c>
      <c r="BA118" s="83">
        <v>94077.832145454551</v>
      </c>
      <c r="BB118" s="83">
        <v>94077.832145454551</v>
      </c>
      <c r="BD118" s="83">
        <v>62718.55476363637</v>
      </c>
      <c r="BE118" s="83">
        <v>62718.55476363637</v>
      </c>
      <c r="BF118" s="83">
        <v>62718.55476363637</v>
      </c>
      <c r="BG118" s="83">
        <v>62718.55476363637</v>
      </c>
      <c r="BH118" s="83">
        <v>62718.55476363637</v>
      </c>
      <c r="BI118" s="83">
        <v>62718.55476363637</v>
      </c>
      <c r="BJ118" s="83">
        <v>62718.55476363637</v>
      </c>
      <c r="BK118" s="83">
        <v>62718.55476363637</v>
      </c>
      <c r="BL118" s="83">
        <v>62718.55476363637</v>
      </c>
      <c r="BM118" s="83">
        <v>62718.55476363637</v>
      </c>
      <c r="BN118" s="83">
        <v>62718.55476363637</v>
      </c>
      <c r="BO118" s="83">
        <v>62718.55476363637</v>
      </c>
      <c r="BQ118" s="83">
        <v>60000</v>
      </c>
      <c r="BR118" s="83">
        <v>60000</v>
      </c>
      <c r="BS118" s="83">
        <v>60000</v>
      </c>
      <c r="BT118" s="83">
        <v>60000</v>
      </c>
      <c r="BU118" s="83">
        <v>60000</v>
      </c>
      <c r="BV118" s="83">
        <v>60000</v>
      </c>
      <c r="BW118" s="83">
        <v>60000</v>
      </c>
      <c r="BX118" s="83">
        <v>60000</v>
      </c>
      <c r="BY118" s="83">
        <v>60000</v>
      </c>
      <c r="BZ118" s="83">
        <v>60000</v>
      </c>
      <c r="CA118" s="83">
        <v>60000</v>
      </c>
      <c r="CB118" s="83">
        <v>60000</v>
      </c>
      <c r="CD118" s="83">
        <v>36000</v>
      </c>
      <c r="CE118" s="83">
        <v>36000</v>
      </c>
      <c r="CF118" s="83">
        <v>36000</v>
      </c>
      <c r="CG118" s="83">
        <v>36000</v>
      </c>
      <c r="CH118" s="83">
        <v>36000</v>
      </c>
      <c r="CI118" s="83">
        <v>36000</v>
      </c>
      <c r="CJ118" s="83">
        <v>36000</v>
      </c>
      <c r="CK118" s="83">
        <v>36000</v>
      </c>
      <c r="CL118" s="83">
        <v>36000</v>
      </c>
      <c r="CM118" s="83">
        <v>36000</v>
      </c>
      <c r="CN118" s="83">
        <v>36000</v>
      </c>
      <c r="CO118" s="83">
        <v>36000</v>
      </c>
      <c r="CQ118" s="83">
        <v>24000</v>
      </c>
      <c r="CR118" s="83">
        <v>24000</v>
      </c>
      <c r="CS118" s="83">
        <v>24000</v>
      </c>
      <c r="CT118" s="83">
        <v>24000</v>
      </c>
      <c r="CU118" s="83">
        <v>24000</v>
      </c>
      <c r="CV118" s="83">
        <v>24000</v>
      </c>
      <c r="CW118" s="83">
        <v>24000</v>
      </c>
      <c r="CX118" s="83">
        <v>24000</v>
      </c>
      <c r="CY118" s="83">
        <v>24000</v>
      </c>
      <c r="CZ118" s="83">
        <v>24000</v>
      </c>
      <c r="DA118" s="83">
        <v>24000</v>
      </c>
      <c r="DB118" s="83">
        <v>24000</v>
      </c>
      <c r="DE118" s="83">
        <v>48000</v>
      </c>
      <c r="DF118" s="83">
        <v>48000</v>
      </c>
      <c r="DG118" s="83">
        <v>48000</v>
      </c>
      <c r="DH118" s="83">
        <v>48000</v>
      </c>
      <c r="DI118" s="83">
        <v>48000</v>
      </c>
      <c r="DJ118" s="83">
        <v>48000</v>
      </c>
      <c r="DK118" s="83">
        <v>48000</v>
      </c>
      <c r="DL118" s="83">
        <v>48000</v>
      </c>
      <c r="DM118" s="83">
        <v>48000</v>
      </c>
      <c r="DN118" s="83">
        <v>48000</v>
      </c>
      <c r="DO118" s="83">
        <v>48000</v>
      </c>
      <c r="DP118" s="83">
        <v>48000</v>
      </c>
      <c r="DR118" s="83">
        <v>18600</v>
      </c>
      <c r="DS118" s="83">
        <v>18600</v>
      </c>
      <c r="DT118" s="83">
        <v>18600</v>
      </c>
      <c r="DU118" s="83">
        <v>18600</v>
      </c>
      <c r="DV118" s="83">
        <v>18600</v>
      </c>
      <c r="DW118" s="83">
        <v>18600</v>
      </c>
      <c r="DX118" s="83">
        <v>18600</v>
      </c>
      <c r="DY118" s="83">
        <v>18600</v>
      </c>
      <c r="DZ118" s="83">
        <v>18600</v>
      </c>
      <c r="EA118" s="83">
        <v>18600</v>
      </c>
      <c r="EB118" s="83">
        <v>18600</v>
      </c>
      <c r="EC118" s="83">
        <v>18600</v>
      </c>
      <c r="EE118" s="77">
        <v>3932600.9786181813</v>
      </c>
    </row>
    <row r="119" spans="1:135">
      <c r="A119" s="101" t="s">
        <v>149</v>
      </c>
      <c r="B119" s="83" t="s">
        <v>255</v>
      </c>
      <c r="C119" s="83">
        <v>310000.00000000006</v>
      </c>
      <c r="D119" s="83">
        <v>310000.00000000006</v>
      </c>
      <c r="E119" s="83">
        <v>310000.00000000006</v>
      </c>
      <c r="F119" s="83">
        <v>310000.00000000006</v>
      </c>
      <c r="G119" s="83">
        <v>310000.00000000006</v>
      </c>
      <c r="H119" s="83">
        <v>310000.00000000006</v>
      </c>
      <c r="I119" s="83">
        <v>310000.00000000006</v>
      </c>
      <c r="J119" s="83">
        <v>310000.00000000006</v>
      </c>
      <c r="K119" s="83">
        <v>310000.00000000006</v>
      </c>
      <c r="L119" s="83">
        <v>310000.00000000006</v>
      </c>
      <c r="M119" s="83">
        <v>310000.00000000006</v>
      </c>
      <c r="N119" s="83">
        <v>310000.00000000006</v>
      </c>
      <c r="O119" s="77">
        <v>0</v>
      </c>
      <c r="Q119" s="83">
        <v>10000</v>
      </c>
      <c r="R119" s="83">
        <v>10000</v>
      </c>
      <c r="S119" s="83">
        <v>10000</v>
      </c>
      <c r="T119" s="83">
        <v>10000</v>
      </c>
      <c r="U119" s="83">
        <v>10000</v>
      </c>
      <c r="V119" s="83">
        <v>10000</v>
      </c>
      <c r="W119" s="83">
        <v>10000</v>
      </c>
      <c r="X119" s="83">
        <v>10000</v>
      </c>
      <c r="Y119" s="83">
        <v>10000</v>
      </c>
      <c r="Z119" s="83">
        <v>10000</v>
      </c>
      <c r="AA119" s="83">
        <v>10000</v>
      </c>
      <c r="AB119" s="83">
        <v>10000</v>
      </c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Q119" s="83"/>
      <c r="AR119" s="83"/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3"/>
      <c r="BO119" s="83"/>
      <c r="BQ119" s="83"/>
      <c r="BR119" s="83"/>
      <c r="BS119" s="83"/>
      <c r="BT119" s="83"/>
      <c r="BU119" s="83"/>
      <c r="BV119" s="83"/>
      <c r="BW119" s="83"/>
      <c r="BX119" s="83"/>
      <c r="BY119" s="83"/>
      <c r="BZ119" s="83"/>
      <c r="CA119" s="83"/>
      <c r="CB119" s="83"/>
      <c r="CD119" s="83"/>
      <c r="CE119" s="83"/>
      <c r="CF119" s="83"/>
      <c r="CG119" s="83"/>
      <c r="CH119" s="83"/>
      <c r="CI119" s="83"/>
      <c r="CJ119" s="83"/>
      <c r="CK119" s="83"/>
      <c r="CL119" s="83"/>
      <c r="CM119" s="83"/>
      <c r="CN119" s="83"/>
      <c r="CO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E119" s="83">
        <v>180000</v>
      </c>
      <c r="DF119" s="83">
        <v>180000</v>
      </c>
      <c r="DG119" s="83">
        <v>180000</v>
      </c>
      <c r="DH119" s="83">
        <v>180000</v>
      </c>
      <c r="DI119" s="83">
        <v>180000</v>
      </c>
      <c r="DJ119" s="83">
        <v>180000</v>
      </c>
      <c r="DK119" s="83">
        <v>180000</v>
      </c>
      <c r="DL119" s="83">
        <v>180000</v>
      </c>
      <c r="DM119" s="83">
        <v>180000</v>
      </c>
      <c r="DN119" s="83">
        <v>180000</v>
      </c>
      <c r="DO119" s="83">
        <v>180000</v>
      </c>
      <c r="DP119" s="83">
        <v>180000</v>
      </c>
      <c r="DR119" s="83">
        <v>120000.00000000006</v>
      </c>
      <c r="DS119" s="83">
        <v>120000.00000000006</v>
      </c>
      <c r="DT119" s="83">
        <v>120000.00000000006</v>
      </c>
      <c r="DU119" s="83">
        <v>120000.00000000006</v>
      </c>
      <c r="DV119" s="83">
        <v>120000.00000000006</v>
      </c>
      <c r="DW119" s="83">
        <v>120000.00000000006</v>
      </c>
      <c r="DX119" s="83">
        <v>120000.00000000006</v>
      </c>
      <c r="DY119" s="83">
        <v>120000.00000000006</v>
      </c>
      <c r="DZ119" s="83">
        <v>120000.00000000006</v>
      </c>
      <c r="EA119" s="83">
        <v>120000.00000000006</v>
      </c>
      <c r="EB119" s="83">
        <v>120000.00000000006</v>
      </c>
      <c r="EC119" s="83">
        <v>120000.00000000006</v>
      </c>
      <c r="EE119" s="77">
        <v>3600000</v>
      </c>
    </row>
    <row r="120" spans="1:135">
      <c r="A120" s="102" t="s">
        <v>150</v>
      </c>
      <c r="B120" s="83" t="s">
        <v>255</v>
      </c>
      <c r="C120" s="83">
        <v>29400</v>
      </c>
      <c r="D120" s="83">
        <v>29400</v>
      </c>
      <c r="E120" s="83">
        <v>29400</v>
      </c>
      <c r="F120" s="83">
        <v>29400</v>
      </c>
      <c r="G120" s="83">
        <v>29400</v>
      </c>
      <c r="H120" s="83">
        <v>29400</v>
      </c>
      <c r="I120" s="83">
        <v>29400</v>
      </c>
      <c r="J120" s="83">
        <v>29400</v>
      </c>
      <c r="K120" s="83">
        <v>29400</v>
      </c>
      <c r="L120" s="83">
        <v>29400</v>
      </c>
      <c r="M120" s="83">
        <v>29400</v>
      </c>
      <c r="N120" s="83">
        <v>29400</v>
      </c>
      <c r="O120" s="77">
        <v>-57600</v>
      </c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Q120" s="83">
        <v>14700</v>
      </c>
      <c r="BR120" s="83">
        <v>14700</v>
      </c>
      <c r="BS120" s="83">
        <v>14700</v>
      </c>
      <c r="BT120" s="83">
        <v>14700</v>
      </c>
      <c r="BU120" s="83">
        <v>14700</v>
      </c>
      <c r="BV120" s="83">
        <v>14700</v>
      </c>
      <c r="BW120" s="83">
        <v>14700</v>
      </c>
      <c r="BX120" s="83">
        <v>14700</v>
      </c>
      <c r="BY120" s="83">
        <v>14700</v>
      </c>
      <c r="BZ120" s="83">
        <v>14700</v>
      </c>
      <c r="CA120" s="83">
        <v>14700</v>
      </c>
      <c r="CB120" s="83">
        <v>14700</v>
      </c>
      <c r="CD120" s="83">
        <v>8820</v>
      </c>
      <c r="CE120" s="83">
        <v>8820</v>
      </c>
      <c r="CF120" s="83">
        <v>8820</v>
      </c>
      <c r="CG120" s="83">
        <v>8820</v>
      </c>
      <c r="CH120" s="83">
        <v>8820</v>
      </c>
      <c r="CI120" s="83">
        <v>8820</v>
      </c>
      <c r="CJ120" s="83">
        <v>8820</v>
      </c>
      <c r="CK120" s="83">
        <v>8820</v>
      </c>
      <c r="CL120" s="83">
        <v>8820</v>
      </c>
      <c r="CM120" s="83">
        <v>8820</v>
      </c>
      <c r="CN120" s="83">
        <v>8820</v>
      </c>
      <c r="CO120" s="83">
        <v>8820</v>
      </c>
      <c r="CQ120" s="83">
        <v>5880</v>
      </c>
      <c r="CR120" s="83">
        <v>5880</v>
      </c>
      <c r="CS120" s="83">
        <v>5880</v>
      </c>
      <c r="CT120" s="83">
        <v>5880</v>
      </c>
      <c r="CU120" s="83">
        <v>5880</v>
      </c>
      <c r="CV120" s="83">
        <v>5880</v>
      </c>
      <c r="CW120" s="83">
        <v>5880</v>
      </c>
      <c r="CX120" s="83">
        <v>5880</v>
      </c>
      <c r="CY120" s="83">
        <v>5880</v>
      </c>
      <c r="CZ120" s="83">
        <v>5880</v>
      </c>
      <c r="DA120" s="83">
        <v>5880</v>
      </c>
      <c r="DB120" s="83">
        <v>5880</v>
      </c>
      <c r="DE120" s="83">
        <v>2880</v>
      </c>
      <c r="DF120" s="83">
        <v>2880</v>
      </c>
      <c r="DG120" s="83">
        <v>2880</v>
      </c>
      <c r="DH120" s="83">
        <v>2880</v>
      </c>
      <c r="DI120" s="83">
        <v>2880</v>
      </c>
      <c r="DJ120" s="83">
        <v>2880</v>
      </c>
      <c r="DK120" s="83">
        <v>2880</v>
      </c>
      <c r="DL120" s="83">
        <v>2880</v>
      </c>
      <c r="DM120" s="83">
        <v>2880</v>
      </c>
      <c r="DN120" s="83">
        <v>2880</v>
      </c>
      <c r="DO120" s="83">
        <v>2880</v>
      </c>
      <c r="DP120" s="83">
        <v>2880</v>
      </c>
      <c r="DR120" s="83">
        <v>1920</v>
      </c>
      <c r="DS120" s="83">
        <v>1920</v>
      </c>
      <c r="DT120" s="83">
        <v>1920</v>
      </c>
      <c r="DU120" s="83">
        <v>1920</v>
      </c>
      <c r="DV120" s="83">
        <v>1920</v>
      </c>
      <c r="DW120" s="83">
        <v>1920</v>
      </c>
      <c r="DX120" s="83">
        <v>1920</v>
      </c>
      <c r="DY120" s="83">
        <v>1920</v>
      </c>
      <c r="DZ120" s="83">
        <v>1920</v>
      </c>
      <c r="EA120" s="83">
        <v>1920</v>
      </c>
      <c r="EB120" s="83">
        <v>1920</v>
      </c>
      <c r="EC120" s="83">
        <v>1920</v>
      </c>
      <c r="EE120" s="77">
        <v>410400</v>
      </c>
    </row>
    <row r="121" spans="1:135">
      <c r="A121" s="101" t="s">
        <v>152</v>
      </c>
      <c r="B121" s="83" t="s">
        <v>256</v>
      </c>
      <c r="C121" s="83">
        <v>4095</v>
      </c>
      <c r="D121" s="83">
        <v>4095</v>
      </c>
      <c r="E121" s="83">
        <v>4095</v>
      </c>
      <c r="F121" s="83">
        <v>4095</v>
      </c>
      <c r="G121" s="83">
        <v>4095</v>
      </c>
      <c r="H121" s="83">
        <v>4095</v>
      </c>
      <c r="I121" s="83">
        <v>4095</v>
      </c>
      <c r="J121" s="83">
        <v>4095</v>
      </c>
      <c r="K121" s="83">
        <v>4095</v>
      </c>
      <c r="L121" s="83">
        <v>4095</v>
      </c>
      <c r="M121" s="83">
        <v>4095</v>
      </c>
      <c r="N121" s="83">
        <v>4095</v>
      </c>
      <c r="O121" s="77">
        <v>-84000</v>
      </c>
      <c r="Q121" s="83">
        <v>1638</v>
      </c>
      <c r="R121" s="83">
        <v>1638</v>
      </c>
      <c r="S121" s="83">
        <v>1638</v>
      </c>
      <c r="T121" s="83">
        <v>1638</v>
      </c>
      <c r="U121" s="83">
        <v>1638</v>
      </c>
      <c r="V121" s="83">
        <v>1638</v>
      </c>
      <c r="W121" s="83">
        <v>1638</v>
      </c>
      <c r="X121" s="83">
        <v>1638</v>
      </c>
      <c r="Y121" s="83">
        <v>1638</v>
      </c>
      <c r="Z121" s="83">
        <v>1638</v>
      </c>
      <c r="AA121" s="83">
        <v>1638</v>
      </c>
      <c r="AB121" s="83">
        <v>1638</v>
      </c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Q121" s="83">
        <v>737.1</v>
      </c>
      <c r="AR121" s="83">
        <v>737.1</v>
      </c>
      <c r="AS121" s="83">
        <v>737.1</v>
      </c>
      <c r="AT121" s="83">
        <v>737.1</v>
      </c>
      <c r="AU121" s="83">
        <v>737.1</v>
      </c>
      <c r="AV121" s="83">
        <v>737.1</v>
      </c>
      <c r="AW121" s="83">
        <v>737.1</v>
      </c>
      <c r="AX121" s="83">
        <v>737.1</v>
      </c>
      <c r="AY121" s="83">
        <v>737.1</v>
      </c>
      <c r="AZ121" s="83">
        <v>737.1</v>
      </c>
      <c r="BA121" s="83">
        <v>737.1</v>
      </c>
      <c r="BB121" s="83">
        <v>737.1</v>
      </c>
      <c r="BD121" s="83">
        <v>491.40000000000003</v>
      </c>
      <c r="BE121" s="83">
        <v>491.40000000000003</v>
      </c>
      <c r="BF121" s="83">
        <v>491.40000000000003</v>
      </c>
      <c r="BG121" s="83">
        <v>491.40000000000003</v>
      </c>
      <c r="BH121" s="83">
        <v>491.40000000000003</v>
      </c>
      <c r="BI121" s="83">
        <v>491.40000000000003</v>
      </c>
      <c r="BJ121" s="83">
        <v>491.40000000000003</v>
      </c>
      <c r="BK121" s="83">
        <v>491.40000000000003</v>
      </c>
      <c r="BL121" s="83">
        <v>491.40000000000003</v>
      </c>
      <c r="BM121" s="83">
        <v>491.40000000000003</v>
      </c>
      <c r="BN121" s="83">
        <v>491.40000000000003</v>
      </c>
      <c r="BO121" s="83">
        <v>491.40000000000003</v>
      </c>
      <c r="BQ121" s="83">
        <v>614.25</v>
      </c>
      <c r="BR121" s="83">
        <v>614.25</v>
      </c>
      <c r="BS121" s="83">
        <v>614.25</v>
      </c>
      <c r="BT121" s="83">
        <v>614.25</v>
      </c>
      <c r="BU121" s="83">
        <v>614.25</v>
      </c>
      <c r="BV121" s="83">
        <v>614.25</v>
      </c>
      <c r="BW121" s="83">
        <v>614.25</v>
      </c>
      <c r="BX121" s="83">
        <v>614.25</v>
      </c>
      <c r="BY121" s="83">
        <v>614.25</v>
      </c>
      <c r="BZ121" s="83">
        <v>614.25</v>
      </c>
      <c r="CA121" s="83">
        <v>614.25</v>
      </c>
      <c r="CB121" s="83">
        <v>614.25</v>
      </c>
      <c r="CD121" s="83">
        <v>368.55</v>
      </c>
      <c r="CE121" s="83">
        <v>368.55</v>
      </c>
      <c r="CF121" s="83">
        <v>368.55</v>
      </c>
      <c r="CG121" s="83">
        <v>368.55</v>
      </c>
      <c r="CH121" s="83">
        <v>368.55</v>
      </c>
      <c r="CI121" s="83">
        <v>368.55</v>
      </c>
      <c r="CJ121" s="83">
        <v>368.55</v>
      </c>
      <c r="CK121" s="83">
        <v>368.55</v>
      </c>
      <c r="CL121" s="83">
        <v>368.55</v>
      </c>
      <c r="CM121" s="83">
        <v>368.55</v>
      </c>
      <c r="CN121" s="83">
        <v>368.55</v>
      </c>
      <c r="CO121" s="83">
        <v>368.55</v>
      </c>
      <c r="CQ121" s="83">
        <v>245.70000000000002</v>
      </c>
      <c r="CR121" s="83">
        <v>245.70000000000002</v>
      </c>
      <c r="CS121" s="83">
        <v>245.70000000000002</v>
      </c>
      <c r="CT121" s="83">
        <v>245.70000000000002</v>
      </c>
      <c r="CU121" s="83">
        <v>245.70000000000002</v>
      </c>
      <c r="CV121" s="83">
        <v>245.70000000000002</v>
      </c>
      <c r="CW121" s="83">
        <v>245.70000000000002</v>
      </c>
      <c r="CX121" s="83">
        <v>245.70000000000002</v>
      </c>
      <c r="CY121" s="83">
        <v>245.70000000000002</v>
      </c>
      <c r="CZ121" s="83">
        <v>245.70000000000002</v>
      </c>
      <c r="DA121" s="83">
        <v>245.70000000000002</v>
      </c>
      <c r="DB121" s="83">
        <v>245.70000000000002</v>
      </c>
      <c r="DE121" s="83">
        <v>4200</v>
      </c>
      <c r="DF121" s="83">
        <v>4200</v>
      </c>
      <c r="DG121" s="83">
        <v>4200</v>
      </c>
      <c r="DH121" s="83">
        <v>4200</v>
      </c>
      <c r="DI121" s="83">
        <v>4200</v>
      </c>
      <c r="DJ121" s="83">
        <v>4200</v>
      </c>
      <c r="DK121" s="83">
        <v>4200</v>
      </c>
      <c r="DL121" s="83">
        <v>4200</v>
      </c>
      <c r="DM121" s="83">
        <v>4200</v>
      </c>
      <c r="DN121" s="83">
        <v>4200</v>
      </c>
      <c r="DO121" s="83">
        <v>4200</v>
      </c>
      <c r="DP121" s="83">
        <v>4200</v>
      </c>
      <c r="DR121" s="83">
        <v>2800</v>
      </c>
      <c r="DS121" s="83">
        <v>2800</v>
      </c>
      <c r="DT121" s="83">
        <v>2800</v>
      </c>
      <c r="DU121" s="83">
        <v>2800</v>
      </c>
      <c r="DV121" s="83">
        <v>2800</v>
      </c>
      <c r="DW121" s="83">
        <v>2800</v>
      </c>
      <c r="DX121" s="83">
        <v>2800</v>
      </c>
      <c r="DY121" s="83">
        <v>2800</v>
      </c>
      <c r="DZ121" s="83">
        <v>2800</v>
      </c>
      <c r="EA121" s="83">
        <v>2800</v>
      </c>
      <c r="EB121" s="83">
        <v>2800</v>
      </c>
      <c r="EC121" s="83">
        <v>2800</v>
      </c>
      <c r="EE121" s="77">
        <v>112009.79999999999</v>
      </c>
    </row>
    <row r="122" spans="1:135">
      <c r="A122" s="101" t="s">
        <v>153</v>
      </c>
      <c r="B122" s="83" t="s">
        <v>255</v>
      </c>
      <c r="C122" s="83">
        <v>78091</v>
      </c>
      <c r="D122" s="83">
        <v>78091</v>
      </c>
      <c r="E122" s="83">
        <v>78091</v>
      </c>
      <c r="F122" s="83">
        <v>78091</v>
      </c>
      <c r="G122" s="83">
        <v>78091</v>
      </c>
      <c r="H122" s="83">
        <v>78091</v>
      </c>
      <c r="I122" s="83">
        <v>78091</v>
      </c>
      <c r="J122" s="83">
        <v>78091</v>
      </c>
      <c r="K122" s="83">
        <v>78091</v>
      </c>
      <c r="L122" s="83">
        <v>78091</v>
      </c>
      <c r="M122" s="83">
        <v>78091</v>
      </c>
      <c r="N122" s="83">
        <v>78091</v>
      </c>
      <c r="O122" s="77">
        <v>0</v>
      </c>
      <c r="Q122" s="83">
        <v>19981</v>
      </c>
      <c r="R122" s="83">
        <v>19981</v>
      </c>
      <c r="S122" s="83">
        <v>19981</v>
      </c>
      <c r="T122" s="83">
        <v>19981</v>
      </c>
      <c r="U122" s="83">
        <v>19981</v>
      </c>
      <c r="V122" s="83">
        <v>19981</v>
      </c>
      <c r="W122" s="83">
        <v>19981</v>
      </c>
      <c r="X122" s="83">
        <v>19981</v>
      </c>
      <c r="Y122" s="83">
        <v>19981</v>
      </c>
      <c r="Z122" s="83">
        <v>19981</v>
      </c>
      <c r="AA122" s="83">
        <v>19981</v>
      </c>
      <c r="AB122" s="83">
        <v>19981</v>
      </c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Q122" s="83">
        <v>13115.4</v>
      </c>
      <c r="AR122" s="83">
        <v>13115.4</v>
      </c>
      <c r="AS122" s="83">
        <v>13115.4</v>
      </c>
      <c r="AT122" s="83">
        <v>13115.4</v>
      </c>
      <c r="AU122" s="83">
        <v>13115.4</v>
      </c>
      <c r="AV122" s="83">
        <v>13115.4</v>
      </c>
      <c r="AW122" s="83">
        <v>13115.4</v>
      </c>
      <c r="AX122" s="83">
        <v>13115.4</v>
      </c>
      <c r="AY122" s="83">
        <v>13115.4</v>
      </c>
      <c r="AZ122" s="83">
        <v>13115.4</v>
      </c>
      <c r="BA122" s="83">
        <v>13115.4</v>
      </c>
      <c r="BB122" s="83">
        <v>13115.4</v>
      </c>
      <c r="BD122" s="83">
        <v>8743.6</v>
      </c>
      <c r="BE122" s="83">
        <v>8743.6</v>
      </c>
      <c r="BF122" s="83">
        <v>8743.6</v>
      </c>
      <c r="BG122" s="83">
        <v>8743.6</v>
      </c>
      <c r="BH122" s="83">
        <v>8743.6</v>
      </c>
      <c r="BI122" s="83">
        <v>8743.6</v>
      </c>
      <c r="BJ122" s="83">
        <v>8743.6</v>
      </c>
      <c r="BK122" s="83">
        <v>8743.6</v>
      </c>
      <c r="BL122" s="83">
        <v>8743.6</v>
      </c>
      <c r="BM122" s="83">
        <v>8743.6</v>
      </c>
      <c r="BN122" s="83">
        <v>8743.6</v>
      </c>
      <c r="BO122" s="83">
        <v>8743.6</v>
      </c>
      <c r="BQ122" s="83">
        <v>11725.5</v>
      </c>
      <c r="BR122" s="83">
        <v>11725.5</v>
      </c>
      <c r="BS122" s="83">
        <v>11725.5</v>
      </c>
      <c r="BT122" s="83">
        <v>11725.5</v>
      </c>
      <c r="BU122" s="83">
        <v>11725.5</v>
      </c>
      <c r="BV122" s="83">
        <v>11725.5</v>
      </c>
      <c r="BW122" s="83">
        <v>11725.5</v>
      </c>
      <c r="BX122" s="83">
        <v>11725.5</v>
      </c>
      <c r="BY122" s="83">
        <v>11725.5</v>
      </c>
      <c r="BZ122" s="83">
        <v>11725.5</v>
      </c>
      <c r="CA122" s="83">
        <v>11725.5</v>
      </c>
      <c r="CB122" s="83">
        <v>11725.5</v>
      </c>
      <c r="CD122" s="83">
        <v>7035.3</v>
      </c>
      <c r="CE122" s="83">
        <v>7035.3</v>
      </c>
      <c r="CF122" s="83">
        <v>7035.3</v>
      </c>
      <c r="CG122" s="83">
        <v>7035.3</v>
      </c>
      <c r="CH122" s="83">
        <v>7035.3</v>
      </c>
      <c r="CI122" s="83">
        <v>7035.3</v>
      </c>
      <c r="CJ122" s="83">
        <v>7035.3</v>
      </c>
      <c r="CK122" s="83">
        <v>7035.3</v>
      </c>
      <c r="CL122" s="83">
        <v>7035.3</v>
      </c>
      <c r="CM122" s="83">
        <v>7035.3</v>
      </c>
      <c r="CN122" s="83">
        <v>7035.3</v>
      </c>
      <c r="CO122" s="83">
        <v>7035.3</v>
      </c>
      <c r="CQ122" s="83">
        <v>4690.2</v>
      </c>
      <c r="CR122" s="83">
        <v>4690.2</v>
      </c>
      <c r="CS122" s="83">
        <v>4690.2</v>
      </c>
      <c r="CT122" s="83">
        <v>4690.2</v>
      </c>
      <c r="CU122" s="83">
        <v>4690.2</v>
      </c>
      <c r="CV122" s="83">
        <v>4690.2</v>
      </c>
      <c r="CW122" s="83">
        <v>4690.2</v>
      </c>
      <c r="CX122" s="83">
        <v>4690.2</v>
      </c>
      <c r="CY122" s="83">
        <v>4690.2</v>
      </c>
      <c r="CZ122" s="83">
        <v>4690.2</v>
      </c>
      <c r="DA122" s="83">
        <v>4690.2</v>
      </c>
      <c r="DB122" s="83">
        <v>4690.2</v>
      </c>
      <c r="DE122" s="83">
        <v>12000</v>
      </c>
      <c r="DF122" s="83">
        <v>12000</v>
      </c>
      <c r="DG122" s="83">
        <v>12000</v>
      </c>
      <c r="DH122" s="83">
        <v>12000</v>
      </c>
      <c r="DI122" s="83">
        <v>12000</v>
      </c>
      <c r="DJ122" s="83">
        <v>12000</v>
      </c>
      <c r="DK122" s="83">
        <v>12000</v>
      </c>
      <c r="DL122" s="83">
        <v>12000</v>
      </c>
      <c r="DM122" s="83">
        <v>12000</v>
      </c>
      <c r="DN122" s="83">
        <v>12000</v>
      </c>
      <c r="DO122" s="83">
        <v>12000</v>
      </c>
      <c r="DP122" s="83">
        <v>12000</v>
      </c>
      <c r="DR122" s="83">
        <v>800</v>
      </c>
      <c r="DS122" s="83">
        <v>800</v>
      </c>
      <c r="DT122" s="83">
        <v>800</v>
      </c>
      <c r="DU122" s="83">
        <v>800</v>
      </c>
      <c r="DV122" s="83">
        <v>800</v>
      </c>
      <c r="DW122" s="83">
        <v>800</v>
      </c>
      <c r="DX122" s="83">
        <v>800</v>
      </c>
      <c r="DY122" s="83">
        <v>800</v>
      </c>
      <c r="DZ122" s="83">
        <v>800</v>
      </c>
      <c r="EA122" s="83">
        <v>800</v>
      </c>
      <c r="EB122" s="83">
        <v>800</v>
      </c>
      <c r="EC122" s="83">
        <v>800</v>
      </c>
      <c r="EE122" s="77">
        <v>671089.20000000007</v>
      </c>
    </row>
    <row r="123" spans="1:135">
      <c r="A123" s="101" t="s">
        <v>154</v>
      </c>
      <c r="B123" s="83" t="s">
        <v>256</v>
      </c>
      <c r="C123" s="83">
        <v>36000</v>
      </c>
      <c r="D123" s="83">
        <v>36000</v>
      </c>
      <c r="E123" s="83">
        <v>36000</v>
      </c>
      <c r="F123" s="83">
        <v>36000</v>
      </c>
      <c r="G123" s="83">
        <v>36000</v>
      </c>
      <c r="H123" s="83">
        <v>36000</v>
      </c>
      <c r="I123" s="83">
        <v>36000</v>
      </c>
      <c r="J123" s="83">
        <v>36000</v>
      </c>
      <c r="K123" s="83">
        <v>36000</v>
      </c>
      <c r="L123" s="83">
        <v>36000</v>
      </c>
      <c r="M123" s="83">
        <v>36000</v>
      </c>
      <c r="N123" s="83">
        <v>36000</v>
      </c>
      <c r="O123" s="77">
        <v>-19440</v>
      </c>
      <c r="Q123" s="83">
        <v>14400</v>
      </c>
      <c r="R123" s="83">
        <v>14400</v>
      </c>
      <c r="S123" s="83">
        <v>14400</v>
      </c>
      <c r="T123" s="83">
        <v>14400</v>
      </c>
      <c r="U123" s="83">
        <v>14400</v>
      </c>
      <c r="V123" s="83">
        <v>14400</v>
      </c>
      <c r="W123" s="83">
        <v>14400</v>
      </c>
      <c r="X123" s="83">
        <v>14400</v>
      </c>
      <c r="Y123" s="83">
        <v>14400</v>
      </c>
      <c r="Z123" s="83">
        <v>14400</v>
      </c>
      <c r="AA123" s="83">
        <v>14400</v>
      </c>
      <c r="AB123" s="83">
        <v>14400</v>
      </c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Q123" s="83">
        <v>6480</v>
      </c>
      <c r="AR123" s="83">
        <v>6480</v>
      </c>
      <c r="AS123" s="83">
        <v>6480</v>
      </c>
      <c r="AT123" s="83">
        <v>6480</v>
      </c>
      <c r="AU123" s="83">
        <v>6480</v>
      </c>
      <c r="AV123" s="83">
        <v>6480</v>
      </c>
      <c r="AW123" s="83">
        <v>6480</v>
      </c>
      <c r="AX123" s="83">
        <v>6480</v>
      </c>
      <c r="AY123" s="83">
        <v>6480</v>
      </c>
      <c r="AZ123" s="83">
        <v>6480</v>
      </c>
      <c r="BA123" s="83">
        <v>6480</v>
      </c>
      <c r="BB123" s="83">
        <v>6480</v>
      </c>
      <c r="BD123" s="83">
        <v>4320</v>
      </c>
      <c r="BE123" s="83">
        <v>4320</v>
      </c>
      <c r="BF123" s="83">
        <v>4320</v>
      </c>
      <c r="BG123" s="83">
        <v>4320</v>
      </c>
      <c r="BH123" s="83">
        <v>4320</v>
      </c>
      <c r="BI123" s="83">
        <v>4320</v>
      </c>
      <c r="BJ123" s="83">
        <v>4320</v>
      </c>
      <c r="BK123" s="83">
        <v>4320</v>
      </c>
      <c r="BL123" s="83">
        <v>4320</v>
      </c>
      <c r="BM123" s="83">
        <v>4320</v>
      </c>
      <c r="BN123" s="83">
        <v>4320</v>
      </c>
      <c r="BO123" s="83">
        <v>4320</v>
      </c>
      <c r="BQ123" s="83">
        <v>5400</v>
      </c>
      <c r="BR123" s="83">
        <v>5400</v>
      </c>
      <c r="BS123" s="83">
        <v>5400</v>
      </c>
      <c r="BT123" s="83">
        <v>5400</v>
      </c>
      <c r="BU123" s="83">
        <v>5400</v>
      </c>
      <c r="BV123" s="83">
        <v>5400</v>
      </c>
      <c r="BW123" s="83">
        <v>5400</v>
      </c>
      <c r="BX123" s="83">
        <v>5400</v>
      </c>
      <c r="BY123" s="83">
        <v>5400</v>
      </c>
      <c r="BZ123" s="83">
        <v>5400</v>
      </c>
      <c r="CA123" s="83">
        <v>5400</v>
      </c>
      <c r="CB123" s="83">
        <v>5400</v>
      </c>
      <c r="CD123" s="83">
        <v>3240</v>
      </c>
      <c r="CE123" s="83">
        <v>3240</v>
      </c>
      <c r="CF123" s="83">
        <v>3240</v>
      </c>
      <c r="CG123" s="83">
        <v>3240</v>
      </c>
      <c r="CH123" s="83">
        <v>3240</v>
      </c>
      <c r="CI123" s="83">
        <v>3240</v>
      </c>
      <c r="CJ123" s="83">
        <v>3240</v>
      </c>
      <c r="CK123" s="83">
        <v>3240</v>
      </c>
      <c r="CL123" s="83">
        <v>3240</v>
      </c>
      <c r="CM123" s="83">
        <v>3240</v>
      </c>
      <c r="CN123" s="83">
        <v>3240</v>
      </c>
      <c r="CO123" s="83">
        <v>3240</v>
      </c>
      <c r="CQ123" s="83">
        <v>2160</v>
      </c>
      <c r="CR123" s="83">
        <v>2160</v>
      </c>
      <c r="CS123" s="83">
        <v>2160</v>
      </c>
      <c r="CT123" s="83">
        <v>2160</v>
      </c>
      <c r="CU123" s="83">
        <v>2160</v>
      </c>
      <c r="CV123" s="83">
        <v>2160</v>
      </c>
      <c r="CW123" s="83">
        <v>2160</v>
      </c>
      <c r="CX123" s="83">
        <v>2160</v>
      </c>
      <c r="CY123" s="83">
        <v>2160</v>
      </c>
      <c r="CZ123" s="83">
        <v>2160</v>
      </c>
      <c r="DA123" s="83">
        <v>2160</v>
      </c>
      <c r="DB123" s="83">
        <v>2160</v>
      </c>
      <c r="DE123" s="83">
        <v>972</v>
      </c>
      <c r="DF123" s="83">
        <v>972</v>
      </c>
      <c r="DG123" s="83">
        <v>972</v>
      </c>
      <c r="DH123" s="83">
        <v>972</v>
      </c>
      <c r="DI123" s="83">
        <v>972</v>
      </c>
      <c r="DJ123" s="83">
        <v>972</v>
      </c>
      <c r="DK123" s="83">
        <v>972</v>
      </c>
      <c r="DL123" s="83">
        <v>972</v>
      </c>
      <c r="DM123" s="83">
        <v>972</v>
      </c>
      <c r="DN123" s="83">
        <v>972</v>
      </c>
      <c r="DO123" s="83">
        <v>972</v>
      </c>
      <c r="DP123" s="83">
        <v>972</v>
      </c>
      <c r="DR123" s="83">
        <v>648</v>
      </c>
      <c r="DS123" s="83">
        <v>648</v>
      </c>
      <c r="DT123" s="83">
        <v>648</v>
      </c>
      <c r="DU123" s="83">
        <v>648</v>
      </c>
      <c r="DV123" s="83">
        <v>648</v>
      </c>
      <c r="DW123" s="83">
        <v>648</v>
      </c>
      <c r="DX123" s="83">
        <v>648</v>
      </c>
      <c r="DY123" s="83">
        <v>648</v>
      </c>
      <c r="DZ123" s="83">
        <v>648</v>
      </c>
      <c r="EA123" s="83">
        <v>648</v>
      </c>
      <c r="EB123" s="83">
        <v>648</v>
      </c>
      <c r="EC123" s="83">
        <v>648</v>
      </c>
      <c r="EE123" s="77">
        <v>265680</v>
      </c>
    </row>
    <row r="124" spans="1:135">
      <c r="A124" s="101" t="s">
        <v>155</v>
      </c>
      <c r="B124" s="83">
        <v>0</v>
      </c>
      <c r="C124" s="83">
        <v>0</v>
      </c>
      <c r="D124" s="83">
        <v>0</v>
      </c>
      <c r="E124" s="83">
        <v>0</v>
      </c>
      <c r="F124" s="83">
        <v>0</v>
      </c>
      <c r="G124" s="83">
        <v>0</v>
      </c>
      <c r="H124" s="83">
        <v>0</v>
      </c>
      <c r="I124" s="83">
        <v>0</v>
      </c>
      <c r="J124" s="83">
        <v>0</v>
      </c>
      <c r="K124" s="83">
        <v>0</v>
      </c>
      <c r="L124" s="83">
        <v>0</v>
      </c>
      <c r="M124" s="83">
        <v>0</v>
      </c>
      <c r="N124" s="83">
        <v>0</v>
      </c>
      <c r="O124" s="77">
        <v>0</v>
      </c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Q124" s="83"/>
      <c r="BR124" s="83"/>
      <c r="BS124" s="83"/>
      <c r="BT124" s="83"/>
      <c r="BU124" s="83"/>
      <c r="BV124" s="83"/>
      <c r="BW124" s="83"/>
      <c r="BX124" s="83"/>
      <c r="BY124" s="83"/>
      <c r="BZ124" s="83"/>
      <c r="CA124" s="83"/>
      <c r="CB124" s="83"/>
      <c r="CD124" s="83"/>
      <c r="CE124" s="83"/>
      <c r="CF124" s="83"/>
      <c r="CG124" s="83"/>
      <c r="CH124" s="83"/>
      <c r="CI124" s="83"/>
      <c r="CJ124" s="83"/>
      <c r="CK124" s="83"/>
      <c r="CL124" s="83"/>
      <c r="CM124" s="83"/>
      <c r="CN124" s="83"/>
      <c r="CO124" s="83"/>
      <c r="CQ124" s="83"/>
      <c r="CR124" s="83"/>
      <c r="CS124" s="83"/>
      <c r="CT124" s="83"/>
      <c r="CU124" s="83"/>
      <c r="CV124" s="83"/>
      <c r="CW124" s="83"/>
      <c r="CX124" s="83"/>
      <c r="CY124" s="83"/>
      <c r="CZ124" s="83"/>
      <c r="DA124" s="83"/>
      <c r="DB124" s="83"/>
      <c r="DE124" s="83"/>
      <c r="DF124" s="83"/>
      <c r="DG124" s="83"/>
      <c r="DH124" s="83"/>
      <c r="DI124" s="83"/>
      <c r="DJ124" s="83"/>
      <c r="DK124" s="83"/>
      <c r="DL124" s="83"/>
      <c r="DM124" s="83"/>
      <c r="DN124" s="83"/>
      <c r="DO124" s="83"/>
      <c r="DP124" s="83"/>
      <c r="DR124" s="83"/>
      <c r="DS124" s="83"/>
      <c r="DT124" s="83"/>
      <c r="DU124" s="83"/>
      <c r="DV124" s="83"/>
      <c r="DW124" s="83"/>
      <c r="DX124" s="83"/>
      <c r="DY124" s="83"/>
      <c r="DZ124" s="83"/>
      <c r="EA124" s="83"/>
      <c r="EB124" s="83"/>
      <c r="EC124" s="83"/>
      <c r="EE124" s="77">
        <v>0</v>
      </c>
    </row>
    <row r="125" spans="1:135">
      <c r="A125" s="102" t="s">
        <v>157</v>
      </c>
      <c r="B125" s="83" t="s">
        <v>256</v>
      </c>
      <c r="C125" s="83">
        <v>20832</v>
      </c>
      <c r="D125" s="83">
        <v>20832</v>
      </c>
      <c r="E125" s="83">
        <v>20832</v>
      </c>
      <c r="F125" s="83">
        <v>20832</v>
      </c>
      <c r="G125" s="83">
        <v>20832</v>
      </c>
      <c r="H125" s="83">
        <v>20832</v>
      </c>
      <c r="I125" s="83">
        <v>20832</v>
      </c>
      <c r="J125" s="83">
        <v>20832</v>
      </c>
      <c r="K125" s="83">
        <v>20832</v>
      </c>
      <c r="L125" s="83">
        <v>20832</v>
      </c>
      <c r="M125" s="83">
        <v>20832</v>
      </c>
      <c r="N125" s="83">
        <v>20832</v>
      </c>
      <c r="O125" s="77">
        <v>-37500.000000000058</v>
      </c>
      <c r="Q125" s="83">
        <v>8332.8000000000011</v>
      </c>
      <c r="R125" s="83">
        <v>8332.8000000000011</v>
      </c>
      <c r="S125" s="83">
        <v>8332.8000000000011</v>
      </c>
      <c r="T125" s="83">
        <v>8332.8000000000011</v>
      </c>
      <c r="U125" s="83">
        <v>8332.8000000000011</v>
      </c>
      <c r="V125" s="83">
        <v>8332.8000000000011</v>
      </c>
      <c r="W125" s="83">
        <v>8332.8000000000011</v>
      </c>
      <c r="X125" s="83">
        <v>8332.8000000000011</v>
      </c>
      <c r="Y125" s="83">
        <v>8332.8000000000011</v>
      </c>
      <c r="Z125" s="83">
        <v>8332.8000000000011</v>
      </c>
      <c r="AA125" s="83">
        <v>8332.8000000000011</v>
      </c>
      <c r="AB125" s="83">
        <v>8332.8000000000011</v>
      </c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Q125" s="83">
        <v>3749.7599999999993</v>
      </c>
      <c r="AR125" s="83">
        <v>3749.7599999999993</v>
      </c>
      <c r="AS125" s="83">
        <v>3749.7599999999993</v>
      </c>
      <c r="AT125" s="83">
        <v>3749.7599999999993</v>
      </c>
      <c r="AU125" s="83">
        <v>3749.7599999999993</v>
      </c>
      <c r="AV125" s="83">
        <v>3749.7599999999993</v>
      </c>
      <c r="AW125" s="83">
        <v>3749.7599999999993</v>
      </c>
      <c r="AX125" s="83">
        <v>3749.7599999999993</v>
      </c>
      <c r="AY125" s="83">
        <v>3749.7599999999993</v>
      </c>
      <c r="AZ125" s="83">
        <v>3749.7599999999993</v>
      </c>
      <c r="BA125" s="83">
        <v>3749.7599999999993</v>
      </c>
      <c r="BB125" s="83">
        <v>3749.7599999999993</v>
      </c>
      <c r="BD125" s="83">
        <v>2499.84</v>
      </c>
      <c r="BE125" s="83">
        <v>2499.84</v>
      </c>
      <c r="BF125" s="83">
        <v>2499.84</v>
      </c>
      <c r="BG125" s="83">
        <v>2499.84</v>
      </c>
      <c r="BH125" s="83">
        <v>2499.84</v>
      </c>
      <c r="BI125" s="83">
        <v>2499.84</v>
      </c>
      <c r="BJ125" s="83">
        <v>2499.84</v>
      </c>
      <c r="BK125" s="83">
        <v>2499.84</v>
      </c>
      <c r="BL125" s="83">
        <v>2499.84</v>
      </c>
      <c r="BM125" s="83">
        <v>2499.84</v>
      </c>
      <c r="BN125" s="83">
        <v>2499.84</v>
      </c>
      <c r="BO125" s="83">
        <v>2499.84</v>
      </c>
      <c r="BQ125" s="83">
        <v>3124.7999999999997</v>
      </c>
      <c r="BR125" s="83">
        <v>3124.7999999999997</v>
      </c>
      <c r="BS125" s="83">
        <v>3124.7999999999997</v>
      </c>
      <c r="BT125" s="83">
        <v>3124.7999999999997</v>
      </c>
      <c r="BU125" s="83">
        <v>3124.7999999999997</v>
      </c>
      <c r="BV125" s="83">
        <v>3124.7999999999997</v>
      </c>
      <c r="BW125" s="83">
        <v>3124.7999999999997</v>
      </c>
      <c r="BX125" s="83">
        <v>3124.7999999999997</v>
      </c>
      <c r="BY125" s="83">
        <v>3124.7999999999997</v>
      </c>
      <c r="BZ125" s="83">
        <v>3124.7999999999997</v>
      </c>
      <c r="CA125" s="83">
        <v>3124.7999999999997</v>
      </c>
      <c r="CB125" s="83">
        <v>3124.7999999999997</v>
      </c>
      <c r="CD125" s="83">
        <v>1874.8799999999997</v>
      </c>
      <c r="CE125" s="83">
        <v>1874.8799999999997</v>
      </c>
      <c r="CF125" s="83">
        <v>1874.8799999999997</v>
      </c>
      <c r="CG125" s="83">
        <v>1874.8799999999997</v>
      </c>
      <c r="CH125" s="83">
        <v>1874.8799999999997</v>
      </c>
      <c r="CI125" s="83">
        <v>1874.8799999999997</v>
      </c>
      <c r="CJ125" s="83">
        <v>1874.8799999999997</v>
      </c>
      <c r="CK125" s="83">
        <v>1874.8799999999997</v>
      </c>
      <c r="CL125" s="83">
        <v>1874.8799999999997</v>
      </c>
      <c r="CM125" s="83">
        <v>1874.8799999999997</v>
      </c>
      <c r="CN125" s="83">
        <v>1874.8799999999997</v>
      </c>
      <c r="CO125" s="83">
        <v>1874.8799999999997</v>
      </c>
      <c r="CQ125" s="83">
        <v>1249.92</v>
      </c>
      <c r="CR125" s="83">
        <v>1249.92</v>
      </c>
      <c r="CS125" s="83">
        <v>1249.92</v>
      </c>
      <c r="CT125" s="83">
        <v>1249.92</v>
      </c>
      <c r="CU125" s="83">
        <v>1249.92</v>
      </c>
      <c r="CV125" s="83">
        <v>1249.92</v>
      </c>
      <c r="CW125" s="83">
        <v>1249.92</v>
      </c>
      <c r="CX125" s="83">
        <v>1249.92</v>
      </c>
      <c r="CY125" s="83">
        <v>1249.92</v>
      </c>
      <c r="CZ125" s="83">
        <v>1249.92</v>
      </c>
      <c r="DA125" s="83">
        <v>1249.92</v>
      </c>
      <c r="DB125" s="83">
        <v>1249.92</v>
      </c>
      <c r="DE125" s="83">
        <v>1874.9999999999995</v>
      </c>
      <c r="DF125" s="83">
        <v>1874.9999999999995</v>
      </c>
      <c r="DG125" s="83">
        <v>1874.9999999999995</v>
      </c>
      <c r="DH125" s="83">
        <v>1874.9999999999995</v>
      </c>
      <c r="DI125" s="83">
        <v>1874.9999999999995</v>
      </c>
      <c r="DJ125" s="83">
        <v>1874.9999999999995</v>
      </c>
      <c r="DK125" s="83">
        <v>1874.9999999999995</v>
      </c>
      <c r="DL125" s="83">
        <v>1874.9999999999995</v>
      </c>
      <c r="DM125" s="83">
        <v>1874.9999999999995</v>
      </c>
      <c r="DN125" s="83">
        <v>1874.9999999999995</v>
      </c>
      <c r="DO125" s="83">
        <v>1874.9999999999995</v>
      </c>
      <c r="DP125" s="83">
        <v>1874.9999999999995</v>
      </c>
      <c r="DR125" s="83">
        <v>1250</v>
      </c>
      <c r="DS125" s="83">
        <v>1250</v>
      </c>
      <c r="DT125" s="83">
        <v>1250</v>
      </c>
      <c r="DU125" s="83">
        <v>1250</v>
      </c>
      <c r="DV125" s="83">
        <v>1250</v>
      </c>
      <c r="DW125" s="83">
        <v>1250</v>
      </c>
      <c r="DX125" s="83">
        <v>1250</v>
      </c>
      <c r="DY125" s="83">
        <v>1250</v>
      </c>
      <c r="DZ125" s="83">
        <v>1250</v>
      </c>
      <c r="EA125" s="83">
        <v>1250</v>
      </c>
      <c r="EB125" s="83">
        <v>1250</v>
      </c>
      <c r="EC125" s="83">
        <v>1250</v>
      </c>
      <c r="EE125" s="77">
        <v>179990.88000000015</v>
      </c>
    </row>
    <row r="126" spans="1:135">
      <c r="A126" s="102" t="s">
        <v>158</v>
      </c>
      <c r="B126" s="83" t="s">
        <v>256</v>
      </c>
      <c r="C126" s="83">
        <v>26500</v>
      </c>
      <c r="D126" s="83">
        <v>26500</v>
      </c>
      <c r="E126" s="83">
        <v>26500</v>
      </c>
      <c r="F126" s="83">
        <v>26500</v>
      </c>
      <c r="G126" s="83">
        <v>26500</v>
      </c>
      <c r="H126" s="83">
        <v>26500</v>
      </c>
      <c r="I126" s="83">
        <v>26500</v>
      </c>
      <c r="J126" s="83">
        <v>26500</v>
      </c>
      <c r="K126" s="83">
        <v>26500</v>
      </c>
      <c r="L126" s="83">
        <v>26500</v>
      </c>
      <c r="M126" s="83">
        <v>26500</v>
      </c>
      <c r="N126" s="83">
        <v>26500</v>
      </c>
      <c r="O126" s="77">
        <v>0</v>
      </c>
      <c r="Q126" s="83">
        <v>10600</v>
      </c>
      <c r="R126" s="83">
        <v>10600</v>
      </c>
      <c r="S126" s="83">
        <v>10600</v>
      </c>
      <c r="T126" s="83">
        <v>10600</v>
      </c>
      <c r="U126" s="83">
        <v>10600</v>
      </c>
      <c r="V126" s="83">
        <v>10600</v>
      </c>
      <c r="W126" s="83">
        <v>10600</v>
      </c>
      <c r="X126" s="83">
        <v>10600</v>
      </c>
      <c r="Y126" s="83">
        <v>10600</v>
      </c>
      <c r="Z126" s="83">
        <v>10600</v>
      </c>
      <c r="AA126" s="83">
        <v>10600</v>
      </c>
      <c r="AB126" s="83">
        <v>10600</v>
      </c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Q126" s="83">
        <v>4770</v>
      </c>
      <c r="AR126" s="83">
        <v>4770</v>
      </c>
      <c r="AS126" s="83">
        <v>4770</v>
      </c>
      <c r="AT126" s="83">
        <v>4770</v>
      </c>
      <c r="AU126" s="83">
        <v>4770</v>
      </c>
      <c r="AV126" s="83">
        <v>4770</v>
      </c>
      <c r="AW126" s="83">
        <v>4770</v>
      </c>
      <c r="AX126" s="83">
        <v>4770</v>
      </c>
      <c r="AY126" s="83">
        <v>4770</v>
      </c>
      <c r="AZ126" s="83">
        <v>4770</v>
      </c>
      <c r="BA126" s="83">
        <v>4770</v>
      </c>
      <c r="BB126" s="83">
        <v>4770</v>
      </c>
      <c r="BD126" s="83">
        <v>3180</v>
      </c>
      <c r="BE126" s="83">
        <v>3180</v>
      </c>
      <c r="BF126" s="83">
        <v>3180</v>
      </c>
      <c r="BG126" s="83">
        <v>3180</v>
      </c>
      <c r="BH126" s="83">
        <v>3180</v>
      </c>
      <c r="BI126" s="83">
        <v>3180</v>
      </c>
      <c r="BJ126" s="83">
        <v>3180</v>
      </c>
      <c r="BK126" s="83">
        <v>3180</v>
      </c>
      <c r="BL126" s="83">
        <v>3180</v>
      </c>
      <c r="BM126" s="83">
        <v>3180</v>
      </c>
      <c r="BN126" s="83">
        <v>3180</v>
      </c>
      <c r="BO126" s="83">
        <v>3180</v>
      </c>
      <c r="BQ126" s="83">
        <v>3975</v>
      </c>
      <c r="BR126" s="83">
        <v>3975</v>
      </c>
      <c r="BS126" s="83">
        <v>3975</v>
      </c>
      <c r="BT126" s="83">
        <v>3975</v>
      </c>
      <c r="BU126" s="83">
        <v>3975</v>
      </c>
      <c r="BV126" s="83">
        <v>3975</v>
      </c>
      <c r="BW126" s="83">
        <v>3975</v>
      </c>
      <c r="BX126" s="83">
        <v>3975</v>
      </c>
      <c r="BY126" s="83">
        <v>3975</v>
      </c>
      <c r="BZ126" s="83">
        <v>3975</v>
      </c>
      <c r="CA126" s="83">
        <v>3975</v>
      </c>
      <c r="CB126" s="83">
        <v>3975</v>
      </c>
      <c r="CD126" s="83">
        <v>2385</v>
      </c>
      <c r="CE126" s="83">
        <v>2385</v>
      </c>
      <c r="CF126" s="83">
        <v>2385</v>
      </c>
      <c r="CG126" s="83">
        <v>2385</v>
      </c>
      <c r="CH126" s="83">
        <v>2385</v>
      </c>
      <c r="CI126" s="83">
        <v>2385</v>
      </c>
      <c r="CJ126" s="83">
        <v>2385</v>
      </c>
      <c r="CK126" s="83">
        <v>2385</v>
      </c>
      <c r="CL126" s="83">
        <v>2385</v>
      </c>
      <c r="CM126" s="83">
        <v>2385</v>
      </c>
      <c r="CN126" s="83">
        <v>2385</v>
      </c>
      <c r="CO126" s="83">
        <v>2385</v>
      </c>
      <c r="CQ126" s="83">
        <v>1590</v>
      </c>
      <c r="CR126" s="83">
        <v>1590</v>
      </c>
      <c r="CS126" s="83">
        <v>1590</v>
      </c>
      <c r="CT126" s="83">
        <v>1590</v>
      </c>
      <c r="CU126" s="83">
        <v>1590</v>
      </c>
      <c r="CV126" s="83">
        <v>1590</v>
      </c>
      <c r="CW126" s="83">
        <v>1590</v>
      </c>
      <c r="CX126" s="83">
        <v>1590</v>
      </c>
      <c r="CY126" s="83">
        <v>1590</v>
      </c>
      <c r="CZ126" s="83">
        <v>1590</v>
      </c>
      <c r="DA126" s="83">
        <v>1590</v>
      </c>
      <c r="DB126" s="83">
        <v>1590</v>
      </c>
      <c r="DE126" s="83">
        <v>0</v>
      </c>
      <c r="DF126" s="83">
        <v>0</v>
      </c>
      <c r="DG126" s="83">
        <v>0</v>
      </c>
      <c r="DH126" s="83">
        <v>0</v>
      </c>
      <c r="DI126" s="83">
        <v>0</v>
      </c>
      <c r="DJ126" s="83">
        <v>0</v>
      </c>
      <c r="DK126" s="83">
        <v>0</v>
      </c>
      <c r="DL126" s="83">
        <v>0</v>
      </c>
      <c r="DM126" s="83">
        <v>0</v>
      </c>
      <c r="DN126" s="83">
        <v>0</v>
      </c>
      <c r="DO126" s="83">
        <v>0</v>
      </c>
      <c r="DP126" s="83">
        <v>0</v>
      </c>
      <c r="DR126" s="83">
        <v>0</v>
      </c>
      <c r="DS126" s="83">
        <v>0</v>
      </c>
      <c r="DT126" s="83">
        <v>0</v>
      </c>
      <c r="DU126" s="83">
        <v>0</v>
      </c>
      <c r="DV126" s="83">
        <v>0</v>
      </c>
      <c r="DW126" s="83">
        <v>0</v>
      </c>
      <c r="DX126" s="83">
        <v>0</v>
      </c>
      <c r="DY126" s="83">
        <v>0</v>
      </c>
      <c r="DZ126" s="83">
        <v>0</v>
      </c>
      <c r="EA126" s="83">
        <v>0</v>
      </c>
      <c r="EB126" s="83">
        <v>0</v>
      </c>
      <c r="EC126" s="83">
        <v>0</v>
      </c>
      <c r="EE126" s="77">
        <v>181260</v>
      </c>
    </row>
    <row r="127" spans="1:135">
      <c r="A127" s="102" t="s">
        <v>159</v>
      </c>
      <c r="B127" s="83" t="s">
        <v>256</v>
      </c>
      <c r="C127" s="83">
        <v>16667</v>
      </c>
      <c r="D127" s="83">
        <v>16667</v>
      </c>
      <c r="E127" s="83">
        <v>16667</v>
      </c>
      <c r="F127" s="83">
        <v>16667</v>
      </c>
      <c r="G127" s="83">
        <v>16667</v>
      </c>
      <c r="H127" s="83">
        <v>16667</v>
      </c>
      <c r="I127" s="83">
        <v>16667</v>
      </c>
      <c r="J127" s="83">
        <v>16667</v>
      </c>
      <c r="K127" s="83">
        <v>16667</v>
      </c>
      <c r="L127" s="83">
        <v>16667</v>
      </c>
      <c r="M127" s="83">
        <v>16667</v>
      </c>
      <c r="N127" s="83">
        <v>16667</v>
      </c>
      <c r="O127" s="77">
        <v>0</v>
      </c>
      <c r="Q127" s="83">
        <v>6666.8</v>
      </c>
      <c r="R127" s="83">
        <v>6666.8</v>
      </c>
      <c r="S127" s="83">
        <v>6666.8</v>
      </c>
      <c r="T127" s="83">
        <v>6666.8</v>
      </c>
      <c r="U127" s="83">
        <v>6666.8</v>
      </c>
      <c r="V127" s="83">
        <v>6666.8</v>
      </c>
      <c r="W127" s="83">
        <v>6666.8</v>
      </c>
      <c r="X127" s="83">
        <v>6666.8</v>
      </c>
      <c r="Y127" s="83">
        <v>6666.8</v>
      </c>
      <c r="Z127" s="83">
        <v>6666.8</v>
      </c>
      <c r="AA127" s="83">
        <v>6666.8</v>
      </c>
      <c r="AB127" s="83">
        <v>6666.8</v>
      </c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Q127" s="83">
        <v>3000.0599999999995</v>
      </c>
      <c r="AR127" s="83">
        <v>3000.0599999999995</v>
      </c>
      <c r="AS127" s="83">
        <v>3000.0599999999995</v>
      </c>
      <c r="AT127" s="83">
        <v>3000.0599999999995</v>
      </c>
      <c r="AU127" s="83">
        <v>3000.0599999999995</v>
      </c>
      <c r="AV127" s="83">
        <v>3000.0599999999995</v>
      </c>
      <c r="AW127" s="83">
        <v>3000.0599999999995</v>
      </c>
      <c r="AX127" s="83">
        <v>3000.0599999999995</v>
      </c>
      <c r="AY127" s="83">
        <v>3000.0599999999995</v>
      </c>
      <c r="AZ127" s="83">
        <v>3000.0599999999995</v>
      </c>
      <c r="BA127" s="83">
        <v>3000.0599999999995</v>
      </c>
      <c r="BB127" s="83">
        <v>3000.0599999999995</v>
      </c>
      <c r="BD127" s="83">
        <v>2000.04</v>
      </c>
      <c r="BE127" s="83">
        <v>2000.04</v>
      </c>
      <c r="BF127" s="83">
        <v>2000.04</v>
      </c>
      <c r="BG127" s="83">
        <v>2000.04</v>
      </c>
      <c r="BH127" s="83">
        <v>2000.04</v>
      </c>
      <c r="BI127" s="83">
        <v>2000.04</v>
      </c>
      <c r="BJ127" s="83">
        <v>2000.04</v>
      </c>
      <c r="BK127" s="83">
        <v>2000.04</v>
      </c>
      <c r="BL127" s="83">
        <v>2000.04</v>
      </c>
      <c r="BM127" s="83">
        <v>2000.04</v>
      </c>
      <c r="BN127" s="83">
        <v>2000.04</v>
      </c>
      <c r="BO127" s="83">
        <v>2000.04</v>
      </c>
      <c r="BQ127" s="83">
        <v>2500.0499999999997</v>
      </c>
      <c r="BR127" s="83">
        <v>2500.0499999999997</v>
      </c>
      <c r="BS127" s="83">
        <v>2500.0499999999997</v>
      </c>
      <c r="BT127" s="83">
        <v>2500.0499999999997</v>
      </c>
      <c r="BU127" s="83">
        <v>2500.0499999999997</v>
      </c>
      <c r="BV127" s="83">
        <v>2500.0499999999997</v>
      </c>
      <c r="BW127" s="83">
        <v>2500.0499999999997</v>
      </c>
      <c r="BX127" s="83">
        <v>2500.0499999999997</v>
      </c>
      <c r="BY127" s="83">
        <v>2500.0499999999997</v>
      </c>
      <c r="BZ127" s="83">
        <v>2500.0499999999997</v>
      </c>
      <c r="CA127" s="83">
        <v>2500.0499999999997</v>
      </c>
      <c r="CB127" s="83">
        <v>2500.0499999999997</v>
      </c>
      <c r="CD127" s="83">
        <v>1500.0299999999997</v>
      </c>
      <c r="CE127" s="83">
        <v>1500.0299999999997</v>
      </c>
      <c r="CF127" s="83">
        <v>1500.0299999999997</v>
      </c>
      <c r="CG127" s="83">
        <v>1500.0299999999997</v>
      </c>
      <c r="CH127" s="83">
        <v>1500.0299999999997</v>
      </c>
      <c r="CI127" s="83">
        <v>1500.0299999999997</v>
      </c>
      <c r="CJ127" s="83">
        <v>1500.0299999999997</v>
      </c>
      <c r="CK127" s="83">
        <v>1500.0299999999997</v>
      </c>
      <c r="CL127" s="83">
        <v>1500.0299999999997</v>
      </c>
      <c r="CM127" s="83">
        <v>1500.0299999999997</v>
      </c>
      <c r="CN127" s="83">
        <v>1500.0299999999997</v>
      </c>
      <c r="CO127" s="83">
        <v>1500.0299999999997</v>
      </c>
      <c r="CQ127" s="83">
        <v>1000.02</v>
      </c>
      <c r="CR127" s="83">
        <v>1000.02</v>
      </c>
      <c r="CS127" s="83">
        <v>1000.02</v>
      </c>
      <c r="CT127" s="83">
        <v>1000.02</v>
      </c>
      <c r="CU127" s="83">
        <v>1000.02</v>
      </c>
      <c r="CV127" s="83">
        <v>1000.02</v>
      </c>
      <c r="CW127" s="83">
        <v>1000.02</v>
      </c>
      <c r="CX127" s="83">
        <v>1000.02</v>
      </c>
      <c r="CY127" s="83">
        <v>1000.02</v>
      </c>
      <c r="CZ127" s="83">
        <v>1000.02</v>
      </c>
      <c r="DA127" s="83">
        <v>1000.02</v>
      </c>
      <c r="DB127" s="83">
        <v>1000.02</v>
      </c>
      <c r="DE127" s="83">
        <v>0</v>
      </c>
      <c r="DF127" s="83">
        <v>0</v>
      </c>
      <c r="DG127" s="83">
        <v>0</v>
      </c>
      <c r="DH127" s="83">
        <v>0</v>
      </c>
      <c r="DI127" s="83">
        <v>0</v>
      </c>
      <c r="DJ127" s="83">
        <v>0</v>
      </c>
      <c r="DK127" s="83">
        <v>0</v>
      </c>
      <c r="DL127" s="83">
        <v>0</v>
      </c>
      <c r="DM127" s="83">
        <v>0</v>
      </c>
      <c r="DN127" s="83">
        <v>0</v>
      </c>
      <c r="DO127" s="83">
        <v>0</v>
      </c>
      <c r="DP127" s="83">
        <v>0</v>
      </c>
      <c r="DR127" s="83">
        <v>0</v>
      </c>
      <c r="DS127" s="83">
        <v>0</v>
      </c>
      <c r="DT127" s="83">
        <v>0</v>
      </c>
      <c r="DU127" s="83">
        <v>0</v>
      </c>
      <c r="DV127" s="83">
        <v>0</v>
      </c>
      <c r="DW127" s="83">
        <v>0</v>
      </c>
      <c r="DX127" s="83">
        <v>0</v>
      </c>
      <c r="DY127" s="83">
        <v>0</v>
      </c>
      <c r="DZ127" s="83">
        <v>0</v>
      </c>
      <c r="EA127" s="83">
        <v>0</v>
      </c>
      <c r="EB127" s="83">
        <v>0</v>
      </c>
      <c r="EC127" s="83">
        <v>0</v>
      </c>
      <c r="EE127" s="77">
        <v>114002.28000000007</v>
      </c>
    </row>
    <row r="128" spans="1:135">
      <c r="A128" s="102" t="s">
        <v>160</v>
      </c>
      <c r="B128" s="83" t="s">
        <v>256</v>
      </c>
      <c r="C128" s="83">
        <v>16889</v>
      </c>
      <c r="D128" s="83">
        <v>16889</v>
      </c>
      <c r="E128" s="83">
        <v>16889</v>
      </c>
      <c r="F128" s="83">
        <v>16889</v>
      </c>
      <c r="G128" s="83">
        <v>16889</v>
      </c>
      <c r="H128" s="83">
        <v>16889</v>
      </c>
      <c r="I128" s="83">
        <v>16889</v>
      </c>
      <c r="J128" s="83">
        <v>16889</v>
      </c>
      <c r="K128" s="83">
        <v>16889</v>
      </c>
      <c r="L128" s="83">
        <v>16889</v>
      </c>
      <c r="M128" s="83">
        <v>16889</v>
      </c>
      <c r="N128" s="83">
        <v>16889</v>
      </c>
      <c r="O128" s="77">
        <v>0</v>
      </c>
      <c r="Q128" s="83">
        <v>6755.6</v>
      </c>
      <c r="R128" s="83">
        <v>6755.6</v>
      </c>
      <c r="S128" s="83">
        <v>6755.6</v>
      </c>
      <c r="T128" s="83">
        <v>6755.6</v>
      </c>
      <c r="U128" s="83">
        <v>6755.6</v>
      </c>
      <c r="V128" s="83">
        <v>6755.6</v>
      </c>
      <c r="W128" s="83">
        <v>6755.6</v>
      </c>
      <c r="X128" s="83">
        <v>6755.6</v>
      </c>
      <c r="Y128" s="83">
        <v>6755.6</v>
      </c>
      <c r="Z128" s="83">
        <v>6755.6</v>
      </c>
      <c r="AA128" s="83">
        <v>6755.6</v>
      </c>
      <c r="AB128" s="83">
        <v>6755.6</v>
      </c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Q128" s="83">
        <v>3040.02</v>
      </c>
      <c r="AR128" s="83">
        <v>3040.02</v>
      </c>
      <c r="AS128" s="83">
        <v>3040.02</v>
      </c>
      <c r="AT128" s="83">
        <v>3040.02</v>
      </c>
      <c r="AU128" s="83">
        <v>3040.02</v>
      </c>
      <c r="AV128" s="83">
        <v>3040.02</v>
      </c>
      <c r="AW128" s="83">
        <v>3040.02</v>
      </c>
      <c r="AX128" s="83">
        <v>3040.02</v>
      </c>
      <c r="AY128" s="83">
        <v>3040.02</v>
      </c>
      <c r="AZ128" s="83">
        <v>3040.02</v>
      </c>
      <c r="BA128" s="83">
        <v>3040.02</v>
      </c>
      <c r="BB128" s="83">
        <v>3040.02</v>
      </c>
      <c r="BD128" s="83">
        <v>2026.68</v>
      </c>
      <c r="BE128" s="83">
        <v>2026.68</v>
      </c>
      <c r="BF128" s="83">
        <v>2026.68</v>
      </c>
      <c r="BG128" s="83">
        <v>2026.68</v>
      </c>
      <c r="BH128" s="83">
        <v>2026.68</v>
      </c>
      <c r="BI128" s="83">
        <v>2026.68</v>
      </c>
      <c r="BJ128" s="83">
        <v>2026.68</v>
      </c>
      <c r="BK128" s="83">
        <v>2026.68</v>
      </c>
      <c r="BL128" s="83">
        <v>2026.68</v>
      </c>
      <c r="BM128" s="83">
        <v>2026.68</v>
      </c>
      <c r="BN128" s="83">
        <v>2026.68</v>
      </c>
      <c r="BO128" s="83">
        <v>2026.68</v>
      </c>
      <c r="BQ128" s="83">
        <v>2533.35</v>
      </c>
      <c r="BR128" s="83">
        <v>2533.35</v>
      </c>
      <c r="BS128" s="83">
        <v>2533.35</v>
      </c>
      <c r="BT128" s="83">
        <v>2533.35</v>
      </c>
      <c r="BU128" s="83">
        <v>2533.35</v>
      </c>
      <c r="BV128" s="83">
        <v>2533.35</v>
      </c>
      <c r="BW128" s="83">
        <v>2533.35</v>
      </c>
      <c r="BX128" s="83">
        <v>2533.35</v>
      </c>
      <c r="BY128" s="83">
        <v>2533.35</v>
      </c>
      <c r="BZ128" s="83">
        <v>2533.35</v>
      </c>
      <c r="CA128" s="83">
        <v>2533.35</v>
      </c>
      <c r="CB128" s="83">
        <v>2533.35</v>
      </c>
      <c r="CD128" s="83">
        <v>1520.01</v>
      </c>
      <c r="CE128" s="83">
        <v>1520.01</v>
      </c>
      <c r="CF128" s="83">
        <v>1520.01</v>
      </c>
      <c r="CG128" s="83">
        <v>1520.01</v>
      </c>
      <c r="CH128" s="83">
        <v>1520.01</v>
      </c>
      <c r="CI128" s="83">
        <v>1520.01</v>
      </c>
      <c r="CJ128" s="83">
        <v>1520.01</v>
      </c>
      <c r="CK128" s="83">
        <v>1520.01</v>
      </c>
      <c r="CL128" s="83">
        <v>1520.01</v>
      </c>
      <c r="CM128" s="83">
        <v>1520.01</v>
      </c>
      <c r="CN128" s="83">
        <v>1520.01</v>
      </c>
      <c r="CO128" s="83">
        <v>1520.01</v>
      </c>
      <c r="CQ128" s="83">
        <v>1013.34</v>
      </c>
      <c r="CR128" s="83">
        <v>1013.34</v>
      </c>
      <c r="CS128" s="83">
        <v>1013.34</v>
      </c>
      <c r="CT128" s="83">
        <v>1013.34</v>
      </c>
      <c r="CU128" s="83">
        <v>1013.34</v>
      </c>
      <c r="CV128" s="83">
        <v>1013.34</v>
      </c>
      <c r="CW128" s="83">
        <v>1013.34</v>
      </c>
      <c r="CX128" s="83">
        <v>1013.34</v>
      </c>
      <c r="CY128" s="83">
        <v>1013.34</v>
      </c>
      <c r="CZ128" s="83">
        <v>1013.34</v>
      </c>
      <c r="DA128" s="83">
        <v>1013.34</v>
      </c>
      <c r="DB128" s="83">
        <v>1013.34</v>
      </c>
      <c r="DE128" s="83">
        <v>0</v>
      </c>
      <c r="DF128" s="83">
        <v>0</v>
      </c>
      <c r="DG128" s="83">
        <v>0</v>
      </c>
      <c r="DH128" s="83">
        <v>0</v>
      </c>
      <c r="DI128" s="83">
        <v>0</v>
      </c>
      <c r="DJ128" s="83">
        <v>0</v>
      </c>
      <c r="DK128" s="83">
        <v>0</v>
      </c>
      <c r="DL128" s="83">
        <v>0</v>
      </c>
      <c r="DM128" s="83">
        <v>0</v>
      </c>
      <c r="DN128" s="83">
        <v>0</v>
      </c>
      <c r="DO128" s="83">
        <v>0</v>
      </c>
      <c r="DP128" s="83">
        <v>0</v>
      </c>
      <c r="DR128" s="83">
        <v>0</v>
      </c>
      <c r="DS128" s="83">
        <v>0</v>
      </c>
      <c r="DT128" s="83">
        <v>0</v>
      </c>
      <c r="DU128" s="83">
        <v>0</v>
      </c>
      <c r="DV128" s="83">
        <v>0</v>
      </c>
      <c r="DW128" s="83">
        <v>0</v>
      </c>
      <c r="DX128" s="83">
        <v>0</v>
      </c>
      <c r="DY128" s="83">
        <v>0</v>
      </c>
      <c r="DZ128" s="83">
        <v>0</v>
      </c>
      <c r="EA128" s="83">
        <v>0</v>
      </c>
      <c r="EB128" s="83">
        <v>0</v>
      </c>
      <c r="EC128" s="83">
        <v>0</v>
      </c>
      <c r="EE128" s="77">
        <v>115520.75999999994</v>
      </c>
    </row>
    <row r="129" spans="1:135">
      <c r="A129" s="102" t="s">
        <v>161</v>
      </c>
      <c r="B129" s="83" t="s">
        <v>256</v>
      </c>
      <c r="C129" s="83">
        <v>0</v>
      </c>
      <c r="D129" s="83">
        <v>0</v>
      </c>
      <c r="E129" s="83">
        <v>0</v>
      </c>
      <c r="F129" s="83">
        <v>0</v>
      </c>
      <c r="G129" s="83">
        <v>0</v>
      </c>
      <c r="H129" s="83">
        <v>0</v>
      </c>
      <c r="I129" s="83">
        <v>0</v>
      </c>
      <c r="J129" s="83">
        <v>0</v>
      </c>
      <c r="K129" s="83">
        <v>0</v>
      </c>
      <c r="L129" s="83">
        <v>0</v>
      </c>
      <c r="M129" s="83">
        <v>0</v>
      </c>
      <c r="N129" s="83">
        <v>0</v>
      </c>
      <c r="O129" s="77">
        <v>0</v>
      </c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Q129" s="83"/>
      <c r="BR129" s="83"/>
      <c r="BS129" s="83"/>
      <c r="BT129" s="83"/>
      <c r="BU129" s="83"/>
      <c r="BV129" s="83"/>
      <c r="BW129" s="83"/>
      <c r="BX129" s="83"/>
      <c r="BY129" s="83"/>
      <c r="BZ129" s="83"/>
      <c r="CA129" s="83"/>
      <c r="CB129" s="83"/>
      <c r="CD129" s="83"/>
      <c r="CE129" s="83"/>
      <c r="CF129" s="83"/>
      <c r="CG129" s="83"/>
      <c r="CH129" s="83"/>
      <c r="CI129" s="83"/>
      <c r="CJ129" s="83"/>
      <c r="CK129" s="83"/>
      <c r="CL129" s="83"/>
      <c r="CM129" s="83"/>
      <c r="CN129" s="83"/>
      <c r="CO129" s="83"/>
      <c r="CQ129" s="83"/>
      <c r="CR129" s="83"/>
      <c r="CS129" s="83"/>
      <c r="CT129" s="83"/>
      <c r="CU129" s="83"/>
      <c r="CV129" s="83"/>
      <c r="CW129" s="83"/>
      <c r="CX129" s="83"/>
      <c r="CY129" s="83"/>
      <c r="CZ129" s="83"/>
      <c r="DA129" s="83"/>
      <c r="DB129" s="83"/>
      <c r="DE129" s="83"/>
      <c r="DF129" s="83"/>
      <c r="DG129" s="83"/>
      <c r="DH129" s="83"/>
      <c r="DI129" s="83"/>
      <c r="DJ129" s="83"/>
      <c r="DK129" s="83"/>
      <c r="DL129" s="83"/>
      <c r="DM129" s="83"/>
      <c r="DN129" s="83"/>
      <c r="DO129" s="83"/>
      <c r="DP129" s="83"/>
      <c r="DR129" s="83"/>
      <c r="DS129" s="83"/>
      <c r="DT129" s="83"/>
      <c r="DU129" s="83"/>
      <c r="DV129" s="83"/>
      <c r="DW129" s="83"/>
      <c r="DX129" s="83"/>
      <c r="DY129" s="83"/>
      <c r="DZ129" s="83"/>
      <c r="EA129" s="83"/>
      <c r="EB129" s="83"/>
      <c r="EC129" s="83"/>
      <c r="EE129" s="77">
        <v>0</v>
      </c>
    </row>
    <row r="130" spans="1:135">
      <c r="A130" s="101" t="s">
        <v>163</v>
      </c>
      <c r="B130" s="83" t="s">
        <v>255</v>
      </c>
      <c r="C130" s="83">
        <v>51992.500000000007</v>
      </c>
      <c r="D130" s="83">
        <v>51992.500000000007</v>
      </c>
      <c r="E130" s="83">
        <v>51992.500000000007</v>
      </c>
      <c r="F130" s="83">
        <v>51992.500000000007</v>
      </c>
      <c r="G130" s="83">
        <v>51992.500000000007</v>
      </c>
      <c r="H130" s="83">
        <v>51992.500000000007</v>
      </c>
      <c r="I130" s="83">
        <v>51992.500000000007</v>
      </c>
      <c r="J130" s="83">
        <v>51992.500000000007</v>
      </c>
      <c r="K130" s="83">
        <v>51992.500000000007</v>
      </c>
      <c r="L130" s="83">
        <v>51992.500000000007</v>
      </c>
      <c r="M130" s="83">
        <v>51992.500000000007</v>
      </c>
      <c r="N130" s="83">
        <v>51992.500000000007</v>
      </c>
      <c r="O130" s="77">
        <v>0</v>
      </c>
      <c r="Q130" s="83">
        <v>11831</v>
      </c>
      <c r="R130" s="83">
        <v>11831</v>
      </c>
      <c r="S130" s="83">
        <v>11831</v>
      </c>
      <c r="T130" s="83">
        <v>11831</v>
      </c>
      <c r="U130" s="83">
        <v>11831</v>
      </c>
      <c r="V130" s="83">
        <v>11831</v>
      </c>
      <c r="W130" s="83">
        <v>11831</v>
      </c>
      <c r="X130" s="83">
        <v>11831</v>
      </c>
      <c r="Y130" s="83">
        <v>11831</v>
      </c>
      <c r="Z130" s="83">
        <v>11831</v>
      </c>
      <c r="AA130" s="83">
        <v>11831</v>
      </c>
      <c r="AB130" s="83">
        <v>11831</v>
      </c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Q130" s="83">
        <v>16684.3</v>
      </c>
      <c r="AR130" s="83">
        <v>16684.3</v>
      </c>
      <c r="AS130" s="83">
        <v>16684.3</v>
      </c>
      <c r="AT130" s="83">
        <v>16684.3</v>
      </c>
      <c r="AU130" s="83">
        <v>16684.3</v>
      </c>
      <c r="AV130" s="83">
        <v>16684.3</v>
      </c>
      <c r="AW130" s="83">
        <v>16684.3</v>
      </c>
      <c r="AX130" s="83">
        <v>16684.3</v>
      </c>
      <c r="AY130" s="83">
        <v>16684.3</v>
      </c>
      <c r="AZ130" s="83">
        <v>16684.3</v>
      </c>
      <c r="BA130" s="83">
        <v>16684.3</v>
      </c>
      <c r="BB130" s="83">
        <v>16684.3</v>
      </c>
      <c r="BD130" s="83">
        <v>11122.866666666669</v>
      </c>
      <c r="BE130" s="83">
        <v>11122.866666666669</v>
      </c>
      <c r="BF130" s="83">
        <v>11122.866666666669</v>
      </c>
      <c r="BG130" s="83">
        <v>11122.866666666669</v>
      </c>
      <c r="BH130" s="83">
        <v>11122.866666666669</v>
      </c>
      <c r="BI130" s="83">
        <v>11122.866666666669</v>
      </c>
      <c r="BJ130" s="83">
        <v>11122.866666666669</v>
      </c>
      <c r="BK130" s="83">
        <v>11122.866666666669</v>
      </c>
      <c r="BL130" s="83">
        <v>11122.866666666669</v>
      </c>
      <c r="BM130" s="83">
        <v>11122.866666666669</v>
      </c>
      <c r="BN130" s="83">
        <v>11122.866666666669</v>
      </c>
      <c r="BO130" s="83">
        <v>11122.866666666669</v>
      </c>
      <c r="BQ130" s="83">
        <v>6177.166666666667</v>
      </c>
      <c r="BR130" s="83">
        <v>6177.166666666667</v>
      </c>
      <c r="BS130" s="83">
        <v>6177.166666666667</v>
      </c>
      <c r="BT130" s="83">
        <v>6177.166666666667</v>
      </c>
      <c r="BU130" s="83">
        <v>6177.166666666667</v>
      </c>
      <c r="BV130" s="83">
        <v>6177.166666666667</v>
      </c>
      <c r="BW130" s="83">
        <v>6177.166666666667</v>
      </c>
      <c r="BX130" s="83">
        <v>6177.166666666667</v>
      </c>
      <c r="BY130" s="83">
        <v>6177.166666666667</v>
      </c>
      <c r="BZ130" s="83">
        <v>6177.166666666667</v>
      </c>
      <c r="CA130" s="83">
        <v>6177.166666666667</v>
      </c>
      <c r="CB130" s="83">
        <v>6177.166666666667</v>
      </c>
      <c r="CD130" s="83">
        <v>3706.3</v>
      </c>
      <c r="CE130" s="83">
        <v>3706.3</v>
      </c>
      <c r="CF130" s="83">
        <v>3706.3</v>
      </c>
      <c r="CG130" s="83">
        <v>3706.3</v>
      </c>
      <c r="CH130" s="83">
        <v>3706.3</v>
      </c>
      <c r="CI130" s="83">
        <v>3706.3</v>
      </c>
      <c r="CJ130" s="83">
        <v>3706.3</v>
      </c>
      <c r="CK130" s="83">
        <v>3706.3</v>
      </c>
      <c r="CL130" s="83">
        <v>3706.3</v>
      </c>
      <c r="CM130" s="83">
        <v>3706.3</v>
      </c>
      <c r="CN130" s="83">
        <v>3706.3</v>
      </c>
      <c r="CO130" s="83">
        <v>3706.3</v>
      </c>
      <c r="CQ130" s="83">
        <v>2470.8666666666668</v>
      </c>
      <c r="CR130" s="83">
        <v>2470.8666666666668</v>
      </c>
      <c r="CS130" s="83">
        <v>2470.8666666666668</v>
      </c>
      <c r="CT130" s="83">
        <v>2470.8666666666668</v>
      </c>
      <c r="CU130" s="83">
        <v>2470.8666666666668</v>
      </c>
      <c r="CV130" s="83">
        <v>2470.8666666666668</v>
      </c>
      <c r="CW130" s="83">
        <v>2470.8666666666668</v>
      </c>
      <c r="CX130" s="83">
        <v>2470.8666666666668</v>
      </c>
      <c r="CY130" s="83">
        <v>2470.8666666666668</v>
      </c>
      <c r="CZ130" s="83">
        <v>2470.8666666666668</v>
      </c>
      <c r="DA130" s="83">
        <v>2470.8666666666668</v>
      </c>
      <c r="DB130" s="83">
        <v>2470.8666666666668</v>
      </c>
      <c r="DE130" s="83">
        <v>0</v>
      </c>
      <c r="DF130" s="83">
        <v>0</v>
      </c>
      <c r="DG130" s="83">
        <v>0</v>
      </c>
      <c r="DH130" s="83">
        <v>0</v>
      </c>
      <c r="DI130" s="83">
        <v>0</v>
      </c>
      <c r="DJ130" s="83">
        <v>0</v>
      </c>
      <c r="DK130" s="83">
        <v>0</v>
      </c>
      <c r="DL130" s="83">
        <v>0</v>
      </c>
      <c r="DM130" s="83">
        <v>0</v>
      </c>
      <c r="DN130" s="83">
        <v>0</v>
      </c>
      <c r="DO130" s="83">
        <v>0</v>
      </c>
      <c r="DP130" s="83">
        <v>0</v>
      </c>
      <c r="DR130" s="83">
        <v>0</v>
      </c>
      <c r="DS130" s="83">
        <v>0</v>
      </c>
      <c r="DT130" s="83">
        <v>0</v>
      </c>
      <c r="DU130" s="83">
        <v>0</v>
      </c>
      <c r="DV130" s="83">
        <v>0</v>
      </c>
      <c r="DW130" s="83">
        <v>0</v>
      </c>
      <c r="DX130" s="83">
        <v>0</v>
      </c>
      <c r="DY130" s="83">
        <v>0</v>
      </c>
      <c r="DZ130" s="83">
        <v>0</v>
      </c>
      <c r="EA130" s="83">
        <v>0</v>
      </c>
      <c r="EB130" s="83">
        <v>0</v>
      </c>
      <c r="EC130" s="83">
        <v>0</v>
      </c>
      <c r="EE130" s="77">
        <v>448569.39999999979</v>
      </c>
    </row>
    <row r="131" spans="1:135">
      <c r="A131" s="101" t="s">
        <v>164</v>
      </c>
      <c r="B131" s="83" t="s">
        <v>256</v>
      </c>
      <c r="C131" s="83">
        <v>1569.1666666666667</v>
      </c>
      <c r="D131" s="83">
        <v>1569.1666666666667</v>
      </c>
      <c r="E131" s="83">
        <v>1569.1666666666667</v>
      </c>
      <c r="F131" s="83">
        <v>1569.1666666666667</v>
      </c>
      <c r="G131" s="83">
        <v>1569.1666666666667</v>
      </c>
      <c r="H131" s="83">
        <v>1569.1666666666667</v>
      </c>
      <c r="I131" s="83">
        <v>1569.1666666666667</v>
      </c>
      <c r="J131" s="83">
        <v>1569.1666666666667</v>
      </c>
      <c r="K131" s="83">
        <v>1569.1666666666667</v>
      </c>
      <c r="L131" s="83">
        <v>1569.1666666666667</v>
      </c>
      <c r="M131" s="83">
        <v>1569.1666666666667</v>
      </c>
      <c r="N131" s="83">
        <v>1569.1666666666667</v>
      </c>
      <c r="O131" s="77">
        <v>0</v>
      </c>
      <c r="Q131" s="83">
        <v>106</v>
      </c>
      <c r="R131" s="83">
        <v>106</v>
      </c>
      <c r="S131" s="83">
        <v>106</v>
      </c>
      <c r="T131" s="83">
        <v>106</v>
      </c>
      <c r="U131" s="83">
        <v>106</v>
      </c>
      <c r="V131" s="83">
        <v>106</v>
      </c>
      <c r="W131" s="83">
        <v>106</v>
      </c>
      <c r="X131" s="83">
        <v>106</v>
      </c>
      <c r="Y131" s="83">
        <v>106</v>
      </c>
      <c r="Z131" s="83">
        <v>106</v>
      </c>
      <c r="AA131" s="83">
        <v>106</v>
      </c>
      <c r="AB131" s="83">
        <v>106</v>
      </c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Q131" s="83">
        <v>47.699999999999996</v>
      </c>
      <c r="AR131" s="83">
        <v>47.699999999999996</v>
      </c>
      <c r="AS131" s="83">
        <v>47.699999999999996</v>
      </c>
      <c r="AT131" s="83">
        <v>47.699999999999996</v>
      </c>
      <c r="AU131" s="83">
        <v>47.699999999999996</v>
      </c>
      <c r="AV131" s="83">
        <v>47.699999999999996</v>
      </c>
      <c r="AW131" s="83">
        <v>47.699999999999996</v>
      </c>
      <c r="AX131" s="83">
        <v>47.699999999999996</v>
      </c>
      <c r="AY131" s="83">
        <v>47.699999999999996</v>
      </c>
      <c r="AZ131" s="83">
        <v>47.699999999999996</v>
      </c>
      <c r="BA131" s="83">
        <v>47.699999999999996</v>
      </c>
      <c r="BB131" s="83">
        <v>47.699999999999996</v>
      </c>
      <c r="BD131" s="83">
        <v>31.8</v>
      </c>
      <c r="BE131" s="83">
        <v>31.8</v>
      </c>
      <c r="BF131" s="83">
        <v>31.8</v>
      </c>
      <c r="BG131" s="83">
        <v>31.8</v>
      </c>
      <c r="BH131" s="83">
        <v>31.8</v>
      </c>
      <c r="BI131" s="83">
        <v>31.8</v>
      </c>
      <c r="BJ131" s="83">
        <v>31.8</v>
      </c>
      <c r="BK131" s="83">
        <v>31.8</v>
      </c>
      <c r="BL131" s="83">
        <v>31.8</v>
      </c>
      <c r="BM131" s="83">
        <v>31.8</v>
      </c>
      <c r="BN131" s="83">
        <v>31.8</v>
      </c>
      <c r="BO131" s="83">
        <v>31.8</v>
      </c>
      <c r="BQ131" s="83">
        <v>591.83333333333337</v>
      </c>
      <c r="BR131" s="83">
        <v>591.83333333333337</v>
      </c>
      <c r="BS131" s="83">
        <v>591.83333333333337</v>
      </c>
      <c r="BT131" s="83">
        <v>591.83333333333337</v>
      </c>
      <c r="BU131" s="83">
        <v>591.83333333333337</v>
      </c>
      <c r="BV131" s="83">
        <v>591.83333333333337</v>
      </c>
      <c r="BW131" s="83">
        <v>591.83333333333337</v>
      </c>
      <c r="BX131" s="83">
        <v>591.83333333333337</v>
      </c>
      <c r="BY131" s="83">
        <v>591.83333333333337</v>
      </c>
      <c r="BZ131" s="83">
        <v>591.83333333333337</v>
      </c>
      <c r="CA131" s="83">
        <v>591.83333333333337</v>
      </c>
      <c r="CB131" s="83">
        <v>591.83333333333337</v>
      </c>
      <c r="CD131" s="83">
        <v>355.1</v>
      </c>
      <c r="CE131" s="83">
        <v>355.1</v>
      </c>
      <c r="CF131" s="83">
        <v>355.1</v>
      </c>
      <c r="CG131" s="83">
        <v>355.1</v>
      </c>
      <c r="CH131" s="83">
        <v>355.1</v>
      </c>
      <c r="CI131" s="83">
        <v>355.1</v>
      </c>
      <c r="CJ131" s="83">
        <v>355.1</v>
      </c>
      <c r="CK131" s="83">
        <v>355.1</v>
      </c>
      <c r="CL131" s="83">
        <v>355.1</v>
      </c>
      <c r="CM131" s="83">
        <v>355.1</v>
      </c>
      <c r="CN131" s="83">
        <v>355.1</v>
      </c>
      <c r="CO131" s="83">
        <v>355.1</v>
      </c>
      <c r="CQ131" s="83">
        <v>236.73333333333338</v>
      </c>
      <c r="CR131" s="83">
        <v>236.73333333333338</v>
      </c>
      <c r="CS131" s="83">
        <v>236.73333333333338</v>
      </c>
      <c r="CT131" s="83">
        <v>236.73333333333338</v>
      </c>
      <c r="CU131" s="83">
        <v>236.73333333333338</v>
      </c>
      <c r="CV131" s="83">
        <v>236.73333333333338</v>
      </c>
      <c r="CW131" s="83">
        <v>236.73333333333338</v>
      </c>
      <c r="CX131" s="83">
        <v>236.73333333333338</v>
      </c>
      <c r="CY131" s="83">
        <v>236.73333333333338</v>
      </c>
      <c r="CZ131" s="83">
        <v>236.73333333333338</v>
      </c>
      <c r="DA131" s="83">
        <v>236.73333333333338</v>
      </c>
      <c r="DB131" s="83">
        <v>236.73333333333338</v>
      </c>
      <c r="DE131" s="83">
        <v>200</v>
      </c>
      <c r="DF131" s="83">
        <v>200</v>
      </c>
      <c r="DG131" s="83">
        <v>200</v>
      </c>
      <c r="DH131" s="83">
        <v>200</v>
      </c>
      <c r="DI131" s="83">
        <v>200</v>
      </c>
      <c r="DJ131" s="83">
        <v>200</v>
      </c>
      <c r="DK131" s="83">
        <v>200</v>
      </c>
      <c r="DL131" s="83">
        <v>200</v>
      </c>
      <c r="DM131" s="83">
        <v>200</v>
      </c>
      <c r="DN131" s="83">
        <v>200</v>
      </c>
      <c r="DO131" s="83">
        <v>200</v>
      </c>
      <c r="DP131" s="83">
        <v>200</v>
      </c>
      <c r="DR131" s="83">
        <v>0</v>
      </c>
      <c r="DS131" s="83">
        <v>0</v>
      </c>
      <c r="DT131" s="83">
        <v>0</v>
      </c>
      <c r="DU131" s="83">
        <v>0</v>
      </c>
      <c r="DV131" s="83">
        <v>0</v>
      </c>
      <c r="DW131" s="83">
        <v>0</v>
      </c>
      <c r="DX131" s="83">
        <v>0</v>
      </c>
      <c r="DY131" s="83">
        <v>0</v>
      </c>
      <c r="DZ131" s="83">
        <v>0</v>
      </c>
      <c r="EA131" s="83">
        <v>0</v>
      </c>
      <c r="EB131" s="83">
        <v>0</v>
      </c>
      <c r="EC131" s="83">
        <v>0</v>
      </c>
      <c r="EE131" s="77">
        <v>17462.600000000006</v>
      </c>
    </row>
    <row r="132" spans="1:135">
      <c r="A132" s="101" t="s">
        <v>233</v>
      </c>
      <c r="B132" s="83" t="s">
        <v>257</v>
      </c>
      <c r="C132" s="83">
        <v>35000</v>
      </c>
      <c r="D132" s="83">
        <v>35000</v>
      </c>
      <c r="E132" s="83">
        <v>35000</v>
      </c>
      <c r="F132" s="83">
        <v>35000</v>
      </c>
      <c r="G132" s="83">
        <v>35000</v>
      </c>
      <c r="H132" s="83">
        <v>35000</v>
      </c>
      <c r="I132" s="83">
        <v>35000</v>
      </c>
      <c r="J132" s="83">
        <v>35000</v>
      </c>
      <c r="K132" s="83">
        <v>35000</v>
      </c>
      <c r="L132" s="83">
        <v>35000</v>
      </c>
      <c r="M132" s="83">
        <v>35000</v>
      </c>
      <c r="N132" s="83">
        <v>35000</v>
      </c>
      <c r="O132" s="77">
        <v>0</v>
      </c>
      <c r="Q132" s="83">
        <v>7249.8819999999996</v>
      </c>
      <c r="R132" s="83">
        <v>7249.8819999999996</v>
      </c>
      <c r="S132" s="83">
        <v>7249.8819999999996</v>
      </c>
      <c r="T132" s="83">
        <v>7249.8819999999996</v>
      </c>
      <c r="U132" s="83">
        <v>7249.8819999999996</v>
      </c>
      <c r="V132" s="83">
        <v>7249.8819999999996</v>
      </c>
      <c r="W132" s="83">
        <v>7249.8819999999996</v>
      </c>
      <c r="X132" s="83">
        <v>7249.8819999999996</v>
      </c>
      <c r="Y132" s="83">
        <v>7249.8819999999996</v>
      </c>
      <c r="Z132" s="83">
        <v>7249.8819999999996</v>
      </c>
      <c r="AA132" s="83">
        <v>7249.8819999999996</v>
      </c>
      <c r="AB132" s="83">
        <v>7249.8819999999996</v>
      </c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3"/>
      <c r="BO132" s="83"/>
      <c r="BQ132" s="83">
        <v>1375.059</v>
      </c>
      <c r="BR132" s="83">
        <v>1375.059</v>
      </c>
      <c r="BS132" s="83">
        <v>1375.059</v>
      </c>
      <c r="BT132" s="83">
        <v>1375.059</v>
      </c>
      <c r="BU132" s="83">
        <v>1375.059</v>
      </c>
      <c r="BV132" s="83">
        <v>1375.059</v>
      </c>
      <c r="BW132" s="83">
        <v>1375.059</v>
      </c>
      <c r="BX132" s="83">
        <v>1375.059</v>
      </c>
      <c r="BY132" s="83">
        <v>1375.059</v>
      </c>
      <c r="BZ132" s="83">
        <v>1375.059</v>
      </c>
      <c r="CA132" s="83">
        <v>1375.059</v>
      </c>
      <c r="CB132" s="83">
        <v>1375.059</v>
      </c>
      <c r="CD132" s="83">
        <v>825.03539999999998</v>
      </c>
      <c r="CE132" s="83">
        <v>825.03539999999998</v>
      </c>
      <c r="CF132" s="83">
        <v>825.03539999999998</v>
      </c>
      <c r="CG132" s="83">
        <v>825.03539999999998</v>
      </c>
      <c r="CH132" s="83">
        <v>825.03539999999998</v>
      </c>
      <c r="CI132" s="83">
        <v>825.03539999999998</v>
      </c>
      <c r="CJ132" s="83">
        <v>825.03539999999998</v>
      </c>
      <c r="CK132" s="83">
        <v>825.03539999999998</v>
      </c>
      <c r="CL132" s="83">
        <v>825.03539999999998</v>
      </c>
      <c r="CM132" s="83">
        <v>825.03539999999998</v>
      </c>
      <c r="CN132" s="83">
        <v>825.03539999999998</v>
      </c>
      <c r="CO132" s="83">
        <v>825.03539999999998</v>
      </c>
      <c r="CQ132" s="83">
        <v>550.02359999999999</v>
      </c>
      <c r="CR132" s="83">
        <v>550.02359999999999</v>
      </c>
      <c r="CS132" s="83">
        <v>550.02359999999999</v>
      </c>
      <c r="CT132" s="83">
        <v>550.02359999999999</v>
      </c>
      <c r="CU132" s="83">
        <v>550.02359999999999</v>
      </c>
      <c r="CV132" s="83">
        <v>550.02359999999999</v>
      </c>
      <c r="CW132" s="83">
        <v>550.02359999999999</v>
      </c>
      <c r="CX132" s="83">
        <v>550.02359999999999</v>
      </c>
      <c r="CY132" s="83">
        <v>550.02359999999999</v>
      </c>
      <c r="CZ132" s="83">
        <v>550.02359999999999</v>
      </c>
      <c r="DA132" s="83">
        <v>550.02359999999999</v>
      </c>
      <c r="DB132" s="83">
        <v>550.02359999999999</v>
      </c>
      <c r="DE132" s="83">
        <v>15000</v>
      </c>
      <c r="DF132" s="83">
        <v>15000</v>
      </c>
      <c r="DG132" s="83">
        <v>15000</v>
      </c>
      <c r="DH132" s="83">
        <v>15000</v>
      </c>
      <c r="DI132" s="83">
        <v>15000</v>
      </c>
      <c r="DJ132" s="83">
        <v>15000</v>
      </c>
      <c r="DK132" s="83">
        <v>15000</v>
      </c>
      <c r="DL132" s="83">
        <v>15000</v>
      </c>
      <c r="DM132" s="83">
        <v>15000</v>
      </c>
      <c r="DN132" s="83">
        <v>15000</v>
      </c>
      <c r="DO132" s="83">
        <v>15000</v>
      </c>
      <c r="DP132" s="83">
        <v>15000</v>
      </c>
      <c r="DR132" s="83">
        <v>10000.000000000004</v>
      </c>
      <c r="DS132" s="83">
        <v>10000</v>
      </c>
      <c r="DT132" s="83">
        <v>10000</v>
      </c>
      <c r="DU132" s="83">
        <v>10000</v>
      </c>
      <c r="DV132" s="83">
        <v>10000</v>
      </c>
      <c r="DW132" s="83">
        <v>10000</v>
      </c>
      <c r="DX132" s="83">
        <v>10000</v>
      </c>
      <c r="DY132" s="83">
        <v>10000</v>
      </c>
      <c r="DZ132" s="83">
        <v>10000</v>
      </c>
      <c r="EA132" s="83">
        <v>10000</v>
      </c>
      <c r="EB132" s="83">
        <v>10000</v>
      </c>
      <c r="EC132" s="83">
        <v>10000</v>
      </c>
      <c r="EE132" s="77">
        <v>333001.41599999997</v>
      </c>
    </row>
    <row r="133" spans="1:135">
      <c r="A133" s="102" t="s">
        <v>165</v>
      </c>
      <c r="B133" s="83"/>
      <c r="C133" s="83">
        <v>0</v>
      </c>
      <c r="D133" s="83">
        <v>0</v>
      </c>
      <c r="E133" s="83">
        <v>0</v>
      </c>
      <c r="F133" s="83">
        <v>0</v>
      </c>
      <c r="G133" s="83">
        <v>0</v>
      </c>
      <c r="H133" s="83">
        <v>0</v>
      </c>
      <c r="I133" s="83">
        <v>0</v>
      </c>
      <c r="J133" s="83">
        <v>0</v>
      </c>
      <c r="K133" s="83">
        <v>0</v>
      </c>
      <c r="L133" s="83">
        <v>0</v>
      </c>
      <c r="M133" s="83">
        <v>0</v>
      </c>
      <c r="N133" s="83">
        <v>0</v>
      </c>
      <c r="O133" s="77">
        <v>0</v>
      </c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Q133" s="83"/>
      <c r="BR133" s="83"/>
      <c r="BS133" s="83"/>
      <c r="BT133" s="83"/>
      <c r="BU133" s="83"/>
      <c r="BV133" s="83"/>
      <c r="BW133" s="83"/>
      <c r="BX133" s="83"/>
      <c r="BY133" s="83"/>
      <c r="BZ133" s="83"/>
      <c r="CA133" s="83"/>
      <c r="CB133" s="83"/>
      <c r="CD133" s="83"/>
      <c r="CE133" s="83"/>
      <c r="CF133" s="83"/>
      <c r="CG133" s="83"/>
      <c r="CH133" s="83"/>
      <c r="CI133" s="83"/>
      <c r="CJ133" s="83"/>
      <c r="CK133" s="83"/>
      <c r="CL133" s="83"/>
      <c r="CM133" s="83"/>
      <c r="CN133" s="83"/>
      <c r="CO133" s="83"/>
      <c r="CQ133" s="83"/>
      <c r="CR133" s="83"/>
      <c r="CS133" s="83"/>
      <c r="CT133" s="83"/>
      <c r="CU133" s="83"/>
      <c r="CV133" s="83"/>
      <c r="CW133" s="83"/>
      <c r="CX133" s="83"/>
      <c r="CY133" s="83"/>
      <c r="CZ133" s="83"/>
      <c r="DA133" s="83"/>
      <c r="DB133" s="83"/>
      <c r="DE133" s="83"/>
      <c r="DF133" s="83"/>
      <c r="DG133" s="83"/>
      <c r="DH133" s="83"/>
      <c r="DI133" s="83"/>
      <c r="DJ133" s="83"/>
      <c r="DK133" s="83"/>
      <c r="DL133" s="83"/>
      <c r="DM133" s="83"/>
      <c r="DN133" s="83"/>
      <c r="DO133" s="83"/>
      <c r="DP133" s="83"/>
      <c r="DR133" s="83"/>
      <c r="DS133" s="83"/>
      <c r="DT133" s="83"/>
      <c r="DU133" s="83"/>
      <c r="DV133" s="83"/>
      <c r="DW133" s="83"/>
      <c r="DX133" s="83"/>
      <c r="DY133" s="83"/>
      <c r="DZ133" s="83"/>
      <c r="EA133" s="83"/>
      <c r="EB133" s="83"/>
      <c r="EC133" s="83"/>
      <c r="EE133" s="77">
        <v>0</v>
      </c>
    </row>
    <row r="134" spans="1:135">
      <c r="A134" s="101" t="s">
        <v>166</v>
      </c>
      <c r="B134" s="83" t="s">
        <v>255</v>
      </c>
      <c r="C134" s="83">
        <v>91200</v>
      </c>
      <c r="D134" s="83">
        <v>91200</v>
      </c>
      <c r="E134" s="83">
        <v>91200</v>
      </c>
      <c r="F134" s="83">
        <v>91200</v>
      </c>
      <c r="G134" s="83">
        <v>91200</v>
      </c>
      <c r="H134" s="83">
        <v>91200</v>
      </c>
      <c r="I134" s="83">
        <v>91200</v>
      </c>
      <c r="J134" s="83">
        <v>91200</v>
      </c>
      <c r="K134" s="83">
        <v>91200</v>
      </c>
      <c r="L134" s="83">
        <v>91200</v>
      </c>
      <c r="M134" s="83">
        <v>91200</v>
      </c>
      <c r="N134" s="83">
        <v>91200</v>
      </c>
      <c r="O134" s="77">
        <v>-200000</v>
      </c>
      <c r="Q134" s="83">
        <v>43776</v>
      </c>
      <c r="R134" s="83">
        <v>43776</v>
      </c>
      <c r="S134" s="83">
        <v>43776</v>
      </c>
      <c r="T134" s="83">
        <v>43776</v>
      </c>
      <c r="U134" s="83">
        <v>43776</v>
      </c>
      <c r="V134" s="83">
        <v>43776</v>
      </c>
      <c r="W134" s="83">
        <v>43776</v>
      </c>
      <c r="X134" s="83">
        <v>43776</v>
      </c>
      <c r="Y134" s="83">
        <v>43776</v>
      </c>
      <c r="Z134" s="83">
        <v>43776</v>
      </c>
      <c r="AA134" s="83">
        <v>43776</v>
      </c>
      <c r="AB134" s="83">
        <v>43776</v>
      </c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Q134" s="83">
        <v>8755.1999999999989</v>
      </c>
      <c r="AR134" s="83">
        <v>8755.1999999999989</v>
      </c>
      <c r="AS134" s="83">
        <v>8755.1999999999989</v>
      </c>
      <c r="AT134" s="83">
        <v>8755.1999999999989</v>
      </c>
      <c r="AU134" s="83">
        <v>8755.1999999999989</v>
      </c>
      <c r="AV134" s="83">
        <v>8755.1999999999989</v>
      </c>
      <c r="AW134" s="83">
        <v>8755.1999999999989</v>
      </c>
      <c r="AX134" s="83">
        <v>8755.1999999999989</v>
      </c>
      <c r="AY134" s="83">
        <v>8755.1999999999989</v>
      </c>
      <c r="AZ134" s="83">
        <v>8755.1999999999989</v>
      </c>
      <c r="BA134" s="83">
        <v>8755.1999999999989</v>
      </c>
      <c r="BB134" s="83">
        <v>8755.1999999999989</v>
      </c>
      <c r="BD134" s="83">
        <v>5836.8</v>
      </c>
      <c r="BE134" s="83">
        <v>5836.8</v>
      </c>
      <c r="BF134" s="83">
        <v>5836.8</v>
      </c>
      <c r="BG134" s="83">
        <v>5836.8</v>
      </c>
      <c r="BH134" s="83">
        <v>5836.8</v>
      </c>
      <c r="BI134" s="83">
        <v>5836.8</v>
      </c>
      <c r="BJ134" s="83">
        <v>5836.8</v>
      </c>
      <c r="BK134" s="83">
        <v>5836.8</v>
      </c>
      <c r="BL134" s="83">
        <v>5836.8</v>
      </c>
      <c r="BM134" s="83">
        <v>5836.8</v>
      </c>
      <c r="BN134" s="83">
        <v>5836.8</v>
      </c>
      <c r="BO134" s="83">
        <v>5836.8</v>
      </c>
      <c r="BQ134" s="83">
        <v>16416</v>
      </c>
      <c r="BR134" s="83">
        <v>16416</v>
      </c>
      <c r="BS134" s="83">
        <v>16416</v>
      </c>
      <c r="BT134" s="83">
        <v>16416</v>
      </c>
      <c r="BU134" s="83">
        <v>16416</v>
      </c>
      <c r="BV134" s="83">
        <v>16416</v>
      </c>
      <c r="BW134" s="83">
        <v>16416</v>
      </c>
      <c r="BX134" s="83">
        <v>16416</v>
      </c>
      <c r="BY134" s="83">
        <v>16416</v>
      </c>
      <c r="BZ134" s="83">
        <v>16416</v>
      </c>
      <c r="CA134" s="83">
        <v>16416</v>
      </c>
      <c r="CB134" s="83">
        <v>16416</v>
      </c>
      <c r="CD134" s="83">
        <v>9849.6</v>
      </c>
      <c r="CE134" s="83">
        <v>9849.6</v>
      </c>
      <c r="CF134" s="83">
        <v>9849.6</v>
      </c>
      <c r="CG134" s="83">
        <v>9849.6</v>
      </c>
      <c r="CH134" s="83">
        <v>9849.6</v>
      </c>
      <c r="CI134" s="83">
        <v>9849.6</v>
      </c>
      <c r="CJ134" s="83">
        <v>9849.6</v>
      </c>
      <c r="CK134" s="83">
        <v>9849.6</v>
      </c>
      <c r="CL134" s="83">
        <v>9849.6</v>
      </c>
      <c r="CM134" s="83">
        <v>9849.6</v>
      </c>
      <c r="CN134" s="83">
        <v>9849.6</v>
      </c>
      <c r="CO134" s="83">
        <v>9849.6</v>
      </c>
      <c r="CQ134" s="83">
        <v>6566.4000000000005</v>
      </c>
      <c r="CR134" s="83">
        <v>6566.4000000000005</v>
      </c>
      <c r="CS134" s="83">
        <v>6566.4000000000005</v>
      </c>
      <c r="CT134" s="83">
        <v>6566.4000000000005</v>
      </c>
      <c r="CU134" s="83">
        <v>6566.4000000000005</v>
      </c>
      <c r="CV134" s="83">
        <v>6566.4000000000005</v>
      </c>
      <c r="CW134" s="83">
        <v>6566.4000000000005</v>
      </c>
      <c r="CX134" s="83">
        <v>6566.4000000000005</v>
      </c>
      <c r="CY134" s="83">
        <v>6566.4000000000005</v>
      </c>
      <c r="CZ134" s="83">
        <v>6566.4000000000005</v>
      </c>
      <c r="DA134" s="83">
        <v>6566.4000000000005</v>
      </c>
      <c r="DB134" s="83">
        <v>6566.4000000000005</v>
      </c>
      <c r="DE134" s="83">
        <v>10000</v>
      </c>
      <c r="DF134" s="83">
        <v>10000</v>
      </c>
      <c r="DG134" s="83">
        <v>10000</v>
      </c>
      <c r="DH134" s="83">
        <v>10000</v>
      </c>
      <c r="DI134" s="83">
        <v>10000</v>
      </c>
      <c r="DJ134" s="83">
        <v>10000</v>
      </c>
      <c r="DK134" s="83">
        <v>10000</v>
      </c>
      <c r="DL134" s="83">
        <v>10000</v>
      </c>
      <c r="DM134" s="83">
        <v>10000</v>
      </c>
      <c r="DN134" s="83">
        <v>10000</v>
      </c>
      <c r="DO134" s="83">
        <v>10000</v>
      </c>
      <c r="DP134" s="83">
        <v>10000</v>
      </c>
      <c r="DR134" s="83">
        <v>6666.6666666666661</v>
      </c>
      <c r="DS134" s="83">
        <v>6666.6666666666661</v>
      </c>
      <c r="DT134" s="83">
        <v>6666.6666666666661</v>
      </c>
      <c r="DU134" s="83">
        <v>6666.6666666666661</v>
      </c>
      <c r="DV134" s="83">
        <v>6666.6666666666661</v>
      </c>
      <c r="DW134" s="83">
        <v>6666.6666666666661</v>
      </c>
      <c r="DX134" s="83">
        <v>6666.6666666666661</v>
      </c>
      <c r="DY134" s="83">
        <v>6666.6666666666661</v>
      </c>
      <c r="DZ134" s="83">
        <v>6666.6666666666661</v>
      </c>
      <c r="EA134" s="83">
        <v>6666.6666666666661</v>
      </c>
      <c r="EB134" s="83">
        <v>6666.6666666666661</v>
      </c>
      <c r="EC134" s="83">
        <v>6666.6666666666661</v>
      </c>
      <c r="EE134" s="77">
        <v>751577.59999999951</v>
      </c>
    </row>
    <row r="135" spans="1:135">
      <c r="A135" s="101" t="s">
        <v>167</v>
      </c>
      <c r="B135" s="83" t="s">
        <v>255</v>
      </c>
      <c r="C135" s="83">
        <v>33700</v>
      </c>
      <c r="D135" s="83">
        <v>33700</v>
      </c>
      <c r="E135" s="83">
        <v>33700</v>
      </c>
      <c r="F135" s="83">
        <v>33700</v>
      </c>
      <c r="G135" s="83">
        <v>33700</v>
      </c>
      <c r="H135" s="83">
        <v>33700</v>
      </c>
      <c r="I135" s="83">
        <v>33700</v>
      </c>
      <c r="J135" s="83">
        <v>33700</v>
      </c>
      <c r="K135" s="83">
        <v>33700</v>
      </c>
      <c r="L135" s="83">
        <v>33700</v>
      </c>
      <c r="M135" s="83">
        <v>33700</v>
      </c>
      <c r="N135" s="83">
        <v>33700</v>
      </c>
      <c r="O135" s="77">
        <v>-120000</v>
      </c>
      <c r="Q135" s="83">
        <v>13480</v>
      </c>
      <c r="R135" s="83">
        <v>13480</v>
      </c>
      <c r="S135" s="83">
        <v>13480</v>
      </c>
      <c r="T135" s="83">
        <v>13480</v>
      </c>
      <c r="U135" s="83">
        <v>13480</v>
      </c>
      <c r="V135" s="83">
        <v>13480</v>
      </c>
      <c r="W135" s="83">
        <v>13480</v>
      </c>
      <c r="X135" s="83">
        <v>13480</v>
      </c>
      <c r="Y135" s="83">
        <v>13480</v>
      </c>
      <c r="Z135" s="83">
        <v>13480</v>
      </c>
      <c r="AA135" s="83">
        <v>13480</v>
      </c>
      <c r="AB135" s="83">
        <v>13480</v>
      </c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Q135" s="83">
        <v>6066</v>
      </c>
      <c r="AR135" s="83">
        <v>6066</v>
      </c>
      <c r="AS135" s="83">
        <v>6066</v>
      </c>
      <c r="AT135" s="83">
        <v>6066</v>
      </c>
      <c r="AU135" s="83">
        <v>6066</v>
      </c>
      <c r="AV135" s="83">
        <v>6066</v>
      </c>
      <c r="AW135" s="83">
        <v>6066</v>
      </c>
      <c r="AX135" s="83">
        <v>6066</v>
      </c>
      <c r="AY135" s="83">
        <v>6066</v>
      </c>
      <c r="AZ135" s="83">
        <v>6066</v>
      </c>
      <c r="BA135" s="83">
        <v>6066</v>
      </c>
      <c r="BB135" s="83">
        <v>6066</v>
      </c>
      <c r="BD135" s="83">
        <v>4044</v>
      </c>
      <c r="BE135" s="83">
        <v>4044</v>
      </c>
      <c r="BF135" s="83">
        <v>4044</v>
      </c>
      <c r="BG135" s="83">
        <v>4044</v>
      </c>
      <c r="BH135" s="83">
        <v>4044</v>
      </c>
      <c r="BI135" s="83">
        <v>4044</v>
      </c>
      <c r="BJ135" s="83">
        <v>4044</v>
      </c>
      <c r="BK135" s="83">
        <v>4044</v>
      </c>
      <c r="BL135" s="83">
        <v>4044</v>
      </c>
      <c r="BM135" s="83">
        <v>4044</v>
      </c>
      <c r="BN135" s="83">
        <v>4044</v>
      </c>
      <c r="BO135" s="83">
        <v>4044</v>
      </c>
      <c r="BQ135" s="83">
        <v>5055</v>
      </c>
      <c r="BR135" s="83">
        <v>5055</v>
      </c>
      <c r="BS135" s="83">
        <v>5055</v>
      </c>
      <c r="BT135" s="83">
        <v>5055</v>
      </c>
      <c r="BU135" s="83">
        <v>5055</v>
      </c>
      <c r="BV135" s="83">
        <v>5055</v>
      </c>
      <c r="BW135" s="83">
        <v>5055</v>
      </c>
      <c r="BX135" s="83">
        <v>5055</v>
      </c>
      <c r="BY135" s="83">
        <v>5055</v>
      </c>
      <c r="BZ135" s="83">
        <v>5055</v>
      </c>
      <c r="CA135" s="83">
        <v>5055</v>
      </c>
      <c r="CB135" s="83">
        <v>5055</v>
      </c>
      <c r="CD135" s="83">
        <v>3033</v>
      </c>
      <c r="CE135" s="83">
        <v>3033</v>
      </c>
      <c r="CF135" s="83">
        <v>3033</v>
      </c>
      <c r="CG135" s="83">
        <v>3033</v>
      </c>
      <c r="CH135" s="83">
        <v>3033</v>
      </c>
      <c r="CI135" s="83">
        <v>3033</v>
      </c>
      <c r="CJ135" s="83">
        <v>3033</v>
      </c>
      <c r="CK135" s="83">
        <v>3033</v>
      </c>
      <c r="CL135" s="83">
        <v>3033</v>
      </c>
      <c r="CM135" s="83">
        <v>3033</v>
      </c>
      <c r="CN135" s="83">
        <v>3033</v>
      </c>
      <c r="CO135" s="83">
        <v>3033</v>
      </c>
      <c r="CQ135" s="83">
        <v>2022</v>
      </c>
      <c r="CR135" s="83">
        <v>2022</v>
      </c>
      <c r="CS135" s="83">
        <v>2022</v>
      </c>
      <c r="CT135" s="83">
        <v>2022</v>
      </c>
      <c r="CU135" s="83">
        <v>2022</v>
      </c>
      <c r="CV135" s="83">
        <v>2022</v>
      </c>
      <c r="CW135" s="83">
        <v>2022</v>
      </c>
      <c r="CX135" s="83">
        <v>2022</v>
      </c>
      <c r="CY135" s="83">
        <v>2022</v>
      </c>
      <c r="CZ135" s="83">
        <v>2022</v>
      </c>
      <c r="DA135" s="83">
        <v>2022</v>
      </c>
      <c r="DB135" s="83">
        <v>2022</v>
      </c>
      <c r="DE135" s="83">
        <v>6000</v>
      </c>
      <c r="DF135" s="83">
        <v>6000</v>
      </c>
      <c r="DG135" s="83">
        <v>6000</v>
      </c>
      <c r="DH135" s="83">
        <v>6000</v>
      </c>
      <c r="DI135" s="83">
        <v>6000</v>
      </c>
      <c r="DJ135" s="83">
        <v>6000</v>
      </c>
      <c r="DK135" s="83">
        <v>6000</v>
      </c>
      <c r="DL135" s="83">
        <v>6000</v>
      </c>
      <c r="DM135" s="83">
        <v>6000</v>
      </c>
      <c r="DN135" s="83">
        <v>6000</v>
      </c>
      <c r="DO135" s="83">
        <v>6000</v>
      </c>
      <c r="DP135" s="83">
        <v>6000</v>
      </c>
      <c r="DR135" s="83">
        <v>4000</v>
      </c>
      <c r="DS135" s="83">
        <v>4000</v>
      </c>
      <c r="DT135" s="83">
        <v>4000</v>
      </c>
      <c r="DU135" s="83">
        <v>4000</v>
      </c>
      <c r="DV135" s="83">
        <v>4000</v>
      </c>
      <c r="DW135" s="83">
        <v>4000</v>
      </c>
      <c r="DX135" s="83">
        <v>4000</v>
      </c>
      <c r="DY135" s="83">
        <v>4000</v>
      </c>
      <c r="DZ135" s="83">
        <v>4000</v>
      </c>
      <c r="EA135" s="83">
        <v>4000</v>
      </c>
      <c r="EB135" s="83">
        <v>4000</v>
      </c>
      <c r="EC135" s="83">
        <v>4000</v>
      </c>
      <c r="EE135" s="77">
        <v>350508</v>
      </c>
    </row>
    <row r="136" spans="1:135">
      <c r="A136" s="101" t="s">
        <v>168</v>
      </c>
      <c r="B136" s="83" t="s">
        <v>255</v>
      </c>
      <c r="C136" s="83">
        <v>7200</v>
      </c>
      <c r="D136" s="83">
        <v>7200</v>
      </c>
      <c r="E136" s="83">
        <v>7200</v>
      </c>
      <c r="F136" s="83">
        <v>7200</v>
      </c>
      <c r="G136" s="83">
        <v>7200</v>
      </c>
      <c r="H136" s="83">
        <v>7200</v>
      </c>
      <c r="I136" s="83">
        <v>7200</v>
      </c>
      <c r="J136" s="83">
        <v>7200</v>
      </c>
      <c r="K136" s="83">
        <v>7200</v>
      </c>
      <c r="L136" s="83">
        <v>7200</v>
      </c>
      <c r="M136" s="83">
        <v>7200</v>
      </c>
      <c r="N136" s="83">
        <v>7200</v>
      </c>
      <c r="O136" s="77">
        <v>-39999.999999999985</v>
      </c>
      <c r="Q136" s="83">
        <v>2880</v>
      </c>
      <c r="R136" s="83">
        <v>2880</v>
      </c>
      <c r="S136" s="83">
        <v>2880</v>
      </c>
      <c r="T136" s="83">
        <v>2880</v>
      </c>
      <c r="U136" s="83">
        <v>2880</v>
      </c>
      <c r="V136" s="83">
        <v>2880</v>
      </c>
      <c r="W136" s="83">
        <v>2880</v>
      </c>
      <c r="X136" s="83">
        <v>2880</v>
      </c>
      <c r="Y136" s="83">
        <v>2880</v>
      </c>
      <c r="Z136" s="83">
        <v>2880</v>
      </c>
      <c r="AA136" s="83">
        <v>2880</v>
      </c>
      <c r="AB136" s="83">
        <v>2880</v>
      </c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Q136" s="83">
        <v>1296</v>
      </c>
      <c r="AR136" s="83">
        <v>1296</v>
      </c>
      <c r="AS136" s="83">
        <v>1296</v>
      </c>
      <c r="AT136" s="83">
        <v>1296</v>
      </c>
      <c r="AU136" s="83">
        <v>1296</v>
      </c>
      <c r="AV136" s="83">
        <v>1296</v>
      </c>
      <c r="AW136" s="83">
        <v>1296</v>
      </c>
      <c r="AX136" s="83">
        <v>1296</v>
      </c>
      <c r="AY136" s="83">
        <v>1296</v>
      </c>
      <c r="AZ136" s="83">
        <v>1296</v>
      </c>
      <c r="BA136" s="83">
        <v>1296</v>
      </c>
      <c r="BB136" s="83">
        <v>1296</v>
      </c>
      <c r="BD136" s="83">
        <v>864</v>
      </c>
      <c r="BE136" s="83">
        <v>864</v>
      </c>
      <c r="BF136" s="83">
        <v>864</v>
      </c>
      <c r="BG136" s="83">
        <v>864</v>
      </c>
      <c r="BH136" s="83">
        <v>864</v>
      </c>
      <c r="BI136" s="83">
        <v>864</v>
      </c>
      <c r="BJ136" s="83">
        <v>864</v>
      </c>
      <c r="BK136" s="83">
        <v>864</v>
      </c>
      <c r="BL136" s="83">
        <v>864</v>
      </c>
      <c r="BM136" s="83">
        <v>864</v>
      </c>
      <c r="BN136" s="83">
        <v>864</v>
      </c>
      <c r="BO136" s="83">
        <v>864</v>
      </c>
      <c r="BQ136" s="83">
        <v>1080</v>
      </c>
      <c r="BR136" s="83">
        <v>1080</v>
      </c>
      <c r="BS136" s="83">
        <v>1080</v>
      </c>
      <c r="BT136" s="83">
        <v>1080</v>
      </c>
      <c r="BU136" s="83">
        <v>1080</v>
      </c>
      <c r="BV136" s="83">
        <v>1080</v>
      </c>
      <c r="BW136" s="83">
        <v>1080</v>
      </c>
      <c r="BX136" s="83">
        <v>1080</v>
      </c>
      <c r="BY136" s="83">
        <v>1080</v>
      </c>
      <c r="BZ136" s="83">
        <v>1080</v>
      </c>
      <c r="CA136" s="83">
        <v>1080</v>
      </c>
      <c r="CB136" s="83">
        <v>1080</v>
      </c>
      <c r="CD136" s="83">
        <v>648</v>
      </c>
      <c r="CE136" s="83">
        <v>648</v>
      </c>
      <c r="CF136" s="83">
        <v>648</v>
      </c>
      <c r="CG136" s="83">
        <v>648</v>
      </c>
      <c r="CH136" s="83">
        <v>648</v>
      </c>
      <c r="CI136" s="83">
        <v>648</v>
      </c>
      <c r="CJ136" s="83">
        <v>648</v>
      </c>
      <c r="CK136" s="83">
        <v>648</v>
      </c>
      <c r="CL136" s="83">
        <v>648</v>
      </c>
      <c r="CM136" s="83">
        <v>648</v>
      </c>
      <c r="CN136" s="83">
        <v>648</v>
      </c>
      <c r="CO136" s="83">
        <v>648</v>
      </c>
      <c r="CQ136" s="83">
        <v>432</v>
      </c>
      <c r="CR136" s="83">
        <v>432</v>
      </c>
      <c r="CS136" s="83">
        <v>432</v>
      </c>
      <c r="CT136" s="83">
        <v>432</v>
      </c>
      <c r="CU136" s="83">
        <v>432</v>
      </c>
      <c r="CV136" s="83">
        <v>432</v>
      </c>
      <c r="CW136" s="83">
        <v>432</v>
      </c>
      <c r="CX136" s="83">
        <v>432</v>
      </c>
      <c r="CY136" s="83">
        <v>432</v>
      </c>
      <c r="CZ136" s="83">
        <v>432</v>
      </c>
      <c r="DA136" s="83">
        <v>432</v>
      </c>
      <c r="DB136" s="83">
        <v>432</v>
      </c>
      <c r="DE136" s="83">
        <v>2000</v>
      </c>
      <c r="DF136" s="83">
        <v>2000</v>
      </c>
      <c r="DG136" s="83">
        <v>2000</v>
      </c>
      <c r="DH136" s="83">
        <v>2000</v>
      </c>
      <c r="DI136" s="83">
        <v>2000</v>
      </c>
      <c r="DJ136" s="83">
        <v>2000</v>
      </c>
      <c r="DK136" s="83">
        <v>2000</v>
      </c>
      <c r="DL136" s="83">
        <v>2000</v>
      </c>
      <c r="DM136" s="83">
        <v>2000</v>
      </c>
      <c r="DN136" s="83">
        <v>2000</v>
      </c>
      <c r="DO136" s="83">
        <v>2000</v>
      </c>
      <c r="DP136" s="83">
        <v>2000</v>
      </c>
      <c r="DR136" s="83">
        <v>1333.3333333333333</v>
      </c>
      <c r="DS136" s="83">
        <v>1333.3333333333333</v>
      </c>
      <c r="DT136" s="83">
        <v>1333.3333333333333</v>
      </c>
      <c r="DU136" s="83">
        <v>1333.3333333333333</v>
      </c>
      <c r="DV136" s="83">
        <v>1333.3333333333333</v>
      </c>
      <c r="DW136" s="83">
        <v>1333.3333333333333</v>
      </c>
      <c r="DX136" s="83">
        <v>1333.3333333333333</v>
      </c>
      <c r="DY136" s="83">
        <v>1333.3333333333333</v>
      </c>
      <c r="DZ136" s="83">
        <v>1333.3333333333333</v>
      </c>
      <c r="EA136" s="83">
        <v>1333.3333333333333</v>
      </c>
      <c r="EB136" s="83">
        <v>1333.3333333333333</v>
      </c>
      <c r="EC136" s="83">
        <v>1333.3333333333333</v>
      </c>
      <c r="EE136" s="77">
        <v>89247.999999999942</v>
      </c>
    </row>
    <row r="137" spans="1:135">
      <c r="A137" s="101" t="s">
        <v>169</v>
      </c>
      <c r="B137" s="83" t="s">
        <v>255</v>
      </c>
      <c r="C137" s="83">
        <v>4646.666666666667</v>
      </c>
      <c r="D137" s="83">
        <v>4646.666666666667</v>
      </c>
      <c r="E137" s="83">
        <v>4646.666666666667</v>
      </c>
      <c r="F137" s="83">
        <v>4646.666666666667</v>
      </c>
      <c r="G137" s="83">
        <v>4646.666666666667</v>
      </c>
      <c r="H137" s="83">
        <v>4646.666666666667</v>
      </c>
      <c r="I137" s="83">
        <v>4646.666666666667</v>
      </c>
      <c r="J137" s="83">
        <v>4646.666666666667</v>
      </c>
      <c r="K137" s="83">
        <v>4646.666666666667</v>
      </c>
      <c r="L137" s="83">
        <v>4646.666666666667</v>
      </c>
      <c r="M137" s="83">
        <v>4646.666666666667</v>
      </c>
      <c r="N137" s="83">
        <v>4646.666666666667</v>
      </c>
      <c r="O137" s="77">
        <v>0</v>
      </c>
      <c r="Q137" s="83">
        <v>1700</v>
      </c>
      <c r="R137" s="83">
        <v>1700</v>
      </c>
      <c r="S137" s="83">
        <v>1700</v>
      </c>
      <c r="T137" s="83">
        <v>1700</v>
      </c>
      <c r="U137" s="83">
        <v>1700</v>
      </c>
      <c r="V137" s="83">
        <v>1700</v>
      </c>
      <c r="W137" s="83">
        <v>1700</v>
      </c>
      <c r="X137" s="83">
        <v>1700</v>
      </c>
      <c r="Y137" s="83">
        <v>1700</v>
      </c>
      <c r="Z137" s="83">
        <v>1700</v>
      </c>
      <c r="AA137" s="83">
        <v>1700</v>
      </c>
      <c r="AB137" s="83">
        <v>1700</v>
      </c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Q137" s="83">
        <v>348</v>
      </c>
      <c r="AR137" s="83">
        <v>348</v>
      </c>
      <c r="AS137" s="83">
        <v>348</v>
      </c>
      <c r="AT137" s="83">
        <v>348</v>
      </c>
      <c r="AU137" s="83">
        <v>348</v>
      </c>
      <c r="AV137" s="83">
        <v>348</v>
      </c>
      <c r="AW137" s="83">
        <v>348</v>
      </c>
      <c r="AX137" s="83">
        <v>348</v>
      </c>
      <c r="AY137" s="83">
        <v>348</v>
      </c>
      <c r="AZ137" s="83">
        <v>348</v>
      </c>
      <c r="BA137" s="83">
        <v>348</v>
      </c>
      <c r="BB137" s="83">
        <v>348</v>
      </c>
      <c r="BD137" s="83">
        <v>232</v>
      </c>
      <c r="BE137" s="83">
        <v>232</v>
      </c>
      <c r="BF137" s="83">
        <v>232</v>
      </c>
      <c r="BG137" s="83">
        <v>232</v>
      </c>
      <c r="BH137" s="83">
        <v>232</v>
      </c>
      <c r="BI137" s="83">
        <v>232</v>
      </c>
      <c r="BJ137" s="83">
        <v>232</v>
      </c>
      <c r="BK137" s="83">
        <v>232</v>
      </c>
      <c r="BL137" s="83">
        <v>232</v>
      </c>
      <c r="BM137" s="83">
        <v>232</v>
      </c>
      <c r="BN137" s="83">
        <v>232</v>
      </c>
      <c r="BO137" s="83">
        <v>232</v>
      </c>
      <c r="BQ137" s="83">
        <v>350</v>
      </c>
      <c r="BR137" s="83">
        <v>350</v>
      </c>
      <c r="BS137" s="83">
        <v>350</v>
      </c>
      <c r="BT137" s="83">
        <v>350</v>
      </c>
      <c r="BU137" s="83">
        <v>350</v>
      </c>
      <c r="BV137" s="83">
        <v>350</v>
      </c>
      <c r="BW137" s="83">
        <v>350</v>
      </c>
      <c r="BX137" s="83">
        <v>350</v>
      </c>
      <c r="BY137" s="83">
        <v>350</v>
      </c>
      <c r="BZ137" s="83">
        <v>350</v>
      </c>
      <c r="CA137" s="83">
        <v>350</v>
      </c>
      <c r="CB137" s="83">
        <v>350</v>
      </c>
      <c r="CD137" s="83">
        <v>210</v>
      </c>
      <c r="CE137" s="83">
        <v>210</v>
      </c>
      <c r="CF137" s="83">
        <v>210</v>
      </c>
      <c r="CG137" s="83">
        <v>210</v>
      </c>
      <c r="CH137" s="83">
        <v>210</v>
      </c>
      <c r="CI137" s="83">
        <v>210</v>
      </c>
      <c r="CJ137" s="83">
        <v>210</v>
      </c>
      <c r="CK137" s="83">
        <v>210</v>
      </c>
      <c r="CL137" s="83">
        <v>210</v>
      </c>
      <c r="CM137" s="83">
        <v>210</v>
      </c>
      <c r="CN137" s="83">
        <v>210</v>
      </c>
      <c r="CO137" s="83">
        <v>210</v>
      </c>
      <c r="CQ137" s="83">
        <v>140</v>
      </c>
      <c r="CR137" s="83">
        <v>140</v>
      </c>
      <c r="CS137" s="83">
        <v>140</v>
      </c>
      <c r="CT137" s="83">
        <v>140</v>
      </c>
      <c r="CU137" s="83">
        <v>140</v>
      </c>
      <c r="CV137" s="83">
        <v>140</v>
      </c>
      <c r="CW137" s="83">
        <v>140</v>
      </c>
      <c r="CX137" s="83">
        <v>140</v>
      </c>
      <c r="CY137" s="83">
        <v>140</v>
      </c>
      <c r="CZ137" s="83">
        <v>140</v>
      </c>
      <c r="DA137" s="83">
        <v>140</v>
      </c>
      <c r="DB137" s="83">
        <v>140</v>
      </c>
      <c r="DE137" s="83">
        <v>1000</v>
      </c>
      <c r="DF137" s="83">
        <v>1000</v>
      </c>
      <c r="DG137" s="83">
        <v>1000</v>
      </c>
      <c r="DH137" s="83">
        <v>1000</v>
      </c>
      <c r="DI137" s="83">
        <v>1000</v>
      </c>
      <c r="DJ137" s="83">
        <v>1000</v>
      </c>
      <c r="DK137" s="83">
        <v>1000</v>
      </c>
      <c r="DL137" s="83">
        <v>1000</v>
      </c>
      <c r="DM137" s="83">
        <v>1000</v>
      </c>
      <c r="DN137" s="83">
        <v>1000</v>
      </c>
      <c r="DO137" s="83">
        <v>1000</v>
      </c>
      <c r="DP137" s="83">
        <v>1000</v>
      </c>
      <c r="DR137" s="83">
        <v>666.66666666666663</v>
      </c>
      <c r="DS137" s="83">
        <v>666.66666666666663</v>
      </c>
      <c r="DT137" s="83">
        <v>666.66666666666663</v>
      </c>
      <c r="DU137" s="83">
        <v>666.66666666666663</v>
      </c>
      <c r="DV137" s="83">
        <v>666.66666666666663</v>
      </c>
      <c r="DW137" s="83">
        <v>666.66666666666663</v>
      </c>
      <c r="DX137" s="83">
        <v>666.66666666666663</v>
      </c>
      <c r="DY137" s="83">
        <v>666.66666666666663</v>
      </c>
      <c r="DZ137" s="83">
        <v>666.66666666666663</v>
      </c>
      <c r="EA137" s="83">
        <v>666.66666666666663</v>
      </c>
      <c r="EB137" s="83">
        <v>666.66666666666663</v>
      </c>
      <c r="EC137" s="83">
        <v>666.66666666666663</v>
      </c>
      <c r="EE137" s="77">
        <v>34664.000000000007</v>
      </c>
    </row>
    <row r="138" spans="1:135">
      <c r="A138" s="102" t="s">
        <v>170</v>
      </c>
      <c r="B138" s="83" t="s">
        <v>256</v>
      </c>
      <c r="C138" s="83">
        <v>495</v>
      </c>
      <c r="D138" s="83">
        <v>495</v>
      </c>
      <c r="E138" s="83">
        <v>495</v>
      </c>
      <c r="F138" s="83">
        <v>495</v>
      </c>
      <c r="G138" s="83">
        <v>495</v>
      </c>
      <c r="H138" s="83">
        <v>495</v>
      </c>
      <c r="I138" s="83">
        <v>495</v>
      </c>
      <c r="J138" s="83">
        <v>495</v>
      </c>
      <c r="K138" s="83">
        <v>495</v>
      </c>
      <c r="L138" s="83">
        <v>495</v>
      </c>
      <c r="M138" s="83">
        <v>495</v>
      </c>
      <c r="N138" s="83">
        <v>495</v>
      </c>
      <c r="O138" s="77">
        <v>-5000</v>
      </c>
      <c r="Q138" s="83">
        <v>198</v>
      </c>
      <c r="R138" s="83">
        <v>198</v>
      </c>
      <c r="S138" s="83">
        <v>198</v>
      </c>
      <c r="T138" s="83">
        <v>198</v>
      </c>
      <c r="U138" s="83">
        <v>198</v>
      </c>
      <c r="V138" s="83">
        <v>198</v>
      </c>
      <c r="W138" s="83">
        <v>198</v>
      </c>
      <c r="X138" s="83">
        <v>198</v>
      </c>
      <c r="Y138" s="83">
        <v>198</v>
      </c>
      <c r="Z138" s="83">
        <v>198</v>
      </c>
      <c r="AA138" s="83">
        <v>198</v>
      </c>
      <c r="AB138" s="83">
        <v>198</v>
      </c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Q138" s="83">
        <v>89.1</v>
      </c>
      <c r="AR138" s="83">
        <v>89.1</v>
      </c>
      <c r="AS138" s="83">
        <v>89.1</v>
      </c>
      <c r="AT138" s="83">
        <v>89.1</v>
      </c>
      <c r="AU138" s="83">
        <v>89.1</v>
      </c>
      <c r="AV138" s="83">
        <v>89.1</v>
      </c>
      <c r="AW138" s="83">
        <v>89.1</v>
      </c>
      <c r="AX138" s="83">
        <v>89.1</v>
      </c>
      <c r="AY138" s="83">
        <v>89.1</v>
      </c>
      <c r="AZ138" s="83">
        <v>89.1</v>
      </c>
      <c r="BA138" s="83">
        <v>89.1</v>
      </c>
      <c r="BB138" s="83">
        <v>89.1</v>
      </c>
      <c r="BD138" s="83">
        <v>59.400000000000006</v>
      </c>
      <c r="BE138" s="83">
        <v>59.400000000000006</v>
      </c>
      <c r="BF138" s="83">
        <v>59.400000000000006</v>
      </c>
      <c r="BG138" s="83">
        <v>59.400000000000006</v>
      </c>
      <c r="BH138" s="83">
        <v>59.400000000000006</v>
      </c>
      <c r="BI138" s="83">
        <v>59.400000000000006</v>
      </c>
      <c r="BJ138" s="83">
        <v>59.400000000000006</v>
      </c>
      <c r="BK138" s="83">
        <v>59.400000000000006</v>
      </c>
      <c r="BL138" s="83">
        <v>59.400000000000006</v>
      </c>
      <c r="BM138" s="83">
        <v>59.400000000000006</v>
      </c>
      <c r="BN138" s="83">
        <v>59.400000000000006</v>
      </c>
      <c r="BO138" s="83">
        <v>59.400000000000006</v>
      </c>
      <c r="BQ138" s="83">
        <v>74.25</v>
      </c>
      <c r="BR138" s="83">
        <v>74.25</v>
      </c>
      <c r="BS138" s="83">
        <v>74.25</v>
      </c>
      <c r="BT138" s="83">
        <v>74.25</v>
      </c>
      <c r="BU138" s="83">
        <v>74.25</v>
      </c>
      <c r="BV138" s="83">
        <v>74.25</v>
      </c>
      <c r="BW138" s="83">
        <v>74.25</v>
      </c>
      <c r="BX138" s="83">
        <v>74.25</v>
      </c>
      <c r="BY138" s="83">
        <v>74.25</v>
      </c>
      <c r="BZ138" s="83">
        <v>74.25</v>
      </c>
      <c r="CA138" s="83">
        <v>74.25</v>
      </c>
      <c r="CB138" s="83">
        <v>74.25</v>
      </c>
      <c r="CD138" s="83">
        <v>44.55</v>
      </c>
      <c r="CE138" s="83">
        <v>44.55</v>
      </c>
      <c r="CF138" s="83">
        <v>44.55</v>
      </c>
      <c r="CG138" s="83">
        <v>44.55</v>
      </c>
      <c r="CH138" s="83">
        <v>44.55</v>
      </c>
      <c r="CI138" s="83">
        <v>44.55</v>
      </c>
      <c r="CJ138" s="83">
        <v>44.55</v>
      </c>
      <c r="CK138" s="83">
        <v>44.55</v>
      </c>
      <c r="CL138" s="83">
        <v>44.55</v>
      </c>
      <c r="CM138" s="83">
        <v>44.55</v>
      </c>
      <c r="CN138" s="83">
        <v>44.55</v>
      </c>
      <c r="CO138" s="83">
        <v>44.55</v>
      </c>
      <c r="CQ138" s="83">
        <v>29.700000000000003</v>
      </c>
      <c r="CR138" s="83">
        <v>29.700000000000003</v>
      </c>
      <c r="CS138" s="83">
        <v>29.700000000000003</v>
      </c>
      <c r="CT138" s="83">
        <v>29.700000000000003</v>
      </c>
      <c r="CU138" s="83">
        <v>29.700000000000003</v>
      </c>
      <c r="CV138" s="83">
        <v>29.700000000000003</v>
      </c>
      <c r="CW138" s="83">
        <v>29.700000000000003</v>
      </c>
      <c r="CX138" s="83">
        <v>29.700000000000003</v>
      </c>
      <c r="CY138" s="83">
        <v>29.700000000000003</v>
      </c>
      <c r="CZ138" s="83">
        <v>29.700000000000003</v>
      </c>
      <c r="DA138" s="83">
        <v>29.700000000000003</v>
      </c>
      <c r="DB138" s="83">
        <v>29.700000000000003</v>
      </c>
      <c r="DE138" s="83">
        <v>250</v>
      </c>
      <c r="DF138" s="83">
        <v>250</v>
      </c>
      <c r="DG138" s="83">
        <v>250</v>
      </c>
      <c r="DH138" s="83">
        <v>250</v>
      </c>
      <c r="DI138" s="83">
        <v>250</v>
      </c>
      <c r="DJ138" s="83">
        <v>250</v>
      </c>
      <c r="DK138" s="83">
        <v>250</v>
      </c>
      <c r="DL138" s="83">
        <v>250</v>
      </c>
      <c r="DM138" s="83">
        <v>250</v>
      </c>
      <c r="DN138" s="83">
        <v>250</v>
      </c>
      <c r="DO138" s="83">
        <v>250</v>
      </c>
      <c r="DP138" s="83">
        <v>250</v>
      </c>
      <c r="DR138" s="83">
        <v>166.66666666666666</v>
      </c>
      <c r="DS138" s="83">
        <v>166.66666666666666</v>
      </c>
      <c r="DT138" s="83">
        <v>166.66666666666666</v>
      </c>
      <c r="DU138" s="83">
        <v>166.66666666666666</v>
      </c>
      <c r="DV138" s="83">
        <v>166.66666666666666</v>
      </c>
      <c r="DW138" s="83">
        <v>166.66666666666666</v>
      </c>
      <c r="DX138" s="83">
        <v>166.66666666666666</v>
      </c>
      <c r="DY138" s="83">
        <v>166.66666666666666</v>
      </c>
      <c r="DZ138" s="83">
        <v>166.66666666666666</v>
      </c>
      <c r="EA138" s="83">
        <v>166.66666666666666</v>
      </c>
      <c r="EB138" s="83">
        <v>166.66666666666666</v>
      </c>
      <c r="EC138" s="83">
        <v>166.66666666666666</v>
      </c>
      <c r="EE138" s="77">
        <v>8385.8000000000029</v>
      </c>
    </row>
    <row r="139" spans="1:135">
      <c r="A139" s="101" t="s">
        <v>234</v>
      </c>
      <c r="B139" s="83"/>
      <c r="C139" s="83">
        <v>0</v>
      </c>
      <c r="D139" s="83">
        <v>0</v>
      </c>
      <c r="E139" s="83">
        <v>0</v>
      </c>
      <c r="F139" s="83">
        <v>0</v>
      </c>
      <c r="G139" s="83">
        <v>0</v>
      </c>
      <c r="H139" s="83">
        <v>0</v>
      </c>
      <c r="I139" s="83">
        <v>0</v>
      </c>
      <c r="J139" s="83">
        <v>0</v>
      </c>
      <c r="K139" s="83">
        <v>0</v>
      </c>
      <c r="L139" s="83">
        <v>0</v>
      </c>
      <c r="M139" s="83">
        <v>0</v>
      </c>
      <c r="N139" s="83">
        <v>0</v>
      </c>
      <c r="O139" s="77">
        <v>0</v>
      </c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Q139" s="83"/>
      <c r="BR139" s="83"/>
      <c r="BS139" s="83"/>
      <c r="BT139" s="83"/>
      <c r="BU139" s="83"/>
      <c r="BV139" s="83"/>
      <c r="BW139" s="83"/>
      <c r="BX139" s="83"/>
      <c r="BY139" s="83"/>
      <c r="BZ139" s="83"/>
      <c r="CA139" s="83"/>
      <c r="CB139" s="83"/>
      <c r="CD139" s="83"/>
      <c r="CE139" s="83"/>
      <c r="CF139" s="83"/>
      <c r="CG139" s="83"/>
      <c r="CH139" s="83"/>
      <c r="CI139" s="83"/>
      <c r="CJ139" s="83"/>
      <c r="CK139" s="83"/>
      <c r="CL139" s="83"/>
      <c r="CM139" s="83"/>
      <c r="CN139" s="83"/>
      <c r="CO139" s="83"/>
      <c r="CQ139" s="83"/>
      <c r="CR139" s="83"/>
      <c r="CS139" s="83"/>
      <c r="CT139" s="83"/>
      <c r="CU139" s="83"/>
      <c r="CV139" s="83"/>
      <c r="CW139" s="83"/>
      <c r="CX139" s="83"/>
      <c r="CY139" s="83"/>
      <c r="CZ139" s="83"/>
      <c r="DA139" s="83"/>
      <c r="DB139" s="83"/>
      <c r="DE139" s="83"/>
      <c r="DF139" s="83"/>
      <c r="DG139" s="83"/>
      <c r="DH139" s="83"/>
      <c r="DI139" s="83"/>
      <c r="DJ139" s="83"/>
      <c r="DK139" s="83"/>
      <c r="DL139" s="83"/>
      <c r="DM139" s="83"/>
      <c r="DN139" s="83"/>
      <c r="DO139" s="83"/>
      <c r="DP139" s="83"/>
      <c r="DR139" s="83">
        <v>0</v>
      </c>
      <c r="DS139" s="83">
        <v>0</v>
      </c>
      <c r="DT139" s="83">
        <v>0</v>
      </c>
      <c r="DU139" s="83">
        <v>0</v>
      </c>
      <c r="DV139" s="83">
        <v>0</v>
      </c>
      <c r="DW139" s="83">
        <v>0</v>
      </c>
      <c r="DX139" s="83">
        <v>0</v>
      </c>
      <c r="DY139" s="83">
        <v>0</v>
      </c>
      <c r="DZ139" s="83">
        <v>0</v>
      </c>
      <c r="EA139" s="83">
        <v>0</v>
      </c>
      <c r="EB139" s="83">
        <v>0</v>
      </c>
      <c r="EC139" s="83">
        <v>0</v>
      </c>
      <c r="EE139" s="77">
        <v>0</v>
      </c>
    </row>
    <row r="140" spans="1:135">
      <c r="A140" s="101" t="s">
        <v>171</v>
      </c>
      <c r="B140" s="83" t="s">
        <v>255</v>
      </c>
      <c r="C140" s="83">
        <v>0</v>
      </c>
      <c r="D140" s="83">
        <v>0</v>
      </c>
      <c r="E140" s="83">
        <v>0</v>
      </c>
      <c r="F140" s="83">
        <v>0</v>
      </c>
      <c r="G140" s="83">
        <v>0</v>
      </c>
      <c r="H140" s="83">
        <v>0</v>
      </c>
      <c r="I140" s="83">
        <v>0</v>
      </c>
      <c r="J140" s="83">
        <v>0</v>
      </c>
      <c r="K140" s="83">
        <v>0</v>
      </c>
      <c r="L140" s="83">
        <v>0</v>
      </c>
      <c r="M140" s="83">
        <v>0</v>
      </c>
      <c r="N140" s="83">
        <v>0</v>
      </c>
      <c r="O140" s="77">
        <v>0</v>
      </c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D140" s="83"/>
      <c r="CE140" s="83"/>
      <c r="CF140" s="83"/>
      <c r="CG140" s="83"/>
      <c r="CH140" s="83"/>
      <c r="CI140" s="83"/>
      <c r="CJ140" s="83"/>
      <c r="CK140" s="83"/>
      <c r="CL140" s="83"/>
      <c r="CM140" s="83"/>
      <c r="CN140" s="83"/>
      <c r="CO140" s="83"/>
      <c r="CQ140" s="83"/>
      <c r="CR140" s="83"/>
      <c r="CS140" s="83"/>
      <c r="CT140" s="83"/>
      <c r="CU140" s="83"/>
      <c r="CV140" s="83"/>
      <c r="CW140" s="83"/>
      <c r="CX140" s="83"/>
      <c r="CY140" s="83"/>
      <c r="CZ140" s="83"/>
      <c r="DA140" s="83"/>
      <c r="DB140" s="83"/>
      <c r="DE140" s="83"/>
      <c r="DF140" s="83"/>
      <c r="DG140" s="83"/>
      <c r="DH140" s="83"/>
      <c r="DI140" s="83"/>
      <c r="DJ140" s="83"/>
      <c r="DK140" s="83"/>
      <c r="DL140" s="83"/>
      <c r="DM140" s="83"/>
      <c r="DN140" s="83"/>
      <c r="DO140" s="83"/>
      <c r="DP140" s="83"/>
      <c r="DR140" s="83">
        <v>0</v>
      </c>
      <c r="DS140" s="83">
        <v>0</v>
      </c>
      <c r="DT140" s="83">
        <v>0</v>
      </c>
      <c r="DU140" s="83">
        <v>0</v>
      </c>
      <c r="DV140" s="83">
        <v>0</v>
      </c>
      <c r="DW140" s="83">
        <v>0</v>
      </c>
      <c r="DX140" s="83">
        <v>0</v>
      </c>
      <c r="DY140" s="83">
        <v>0</v>
      </c>
      <c r="DZ140" s="83">
        <v>0</v>
      </c>
      <c r="EA140" s="83">
        <v>0</v>
      </c>
      <c r="EB140" s="83">
        <v>0</v>
      </c>
      <c r="EC140" s="83">
        <v>0</v>
      </c>
      <c r="EE140" s="77">
        <v>0</v>
      </c>
    </row>
    <row r="141" spans="1:135">
      <c r="A141" s="101" t="s">
        <v>173</v>
      </c>
      <c r="B141" s="83" t="s">
        <v>255</v>
      </c>
      <c r="C141" s="83">
        <v>113539.8590454545</v>
      </c>
      <c r="D141" s="83">
        <v>113539.8590454545</v>
      </c>
      <c r="E141" s="83">
        <v>113539.8590454545</v>
      </c>
      <c r="F141" s="83">
        <v>113539.8590454545</v>
      </c>
      <c r="G141" s="83">
        <v>113539.8590454545</v>
      </c>
      <c r="H141" s="83">
        <v>113539.8590454545</v>
      </c>
      <c r="I141" s="83">
        <v>113539.8590454545</v>
      </c>
      <c r="J141" s="83">
        <v>113539.8590454545</v>
      </c>
      <c r="K141" s="83">
        <v>113539.8590454545</v>
      </c>
      <c r="L141" s="83">
        <v>113539.8590454545</v>
      </c>
      <c r="M141" s="83">
        <v>113539.8590454545</v>
      </c>
      <c r="N141" s="83">
        <v>113539.8590454545</v>
      </c>
      <c r="O141" s="77">
        <v>0</v>
      </c>
      <c r="Q141" s="83">
        <v>68123.915427272703</v>
      </c>
      <c r="R141" s="83">
        <v>68123.915427272703</v>
      </c>
      <c r="S141" s="83">
        <v>68123.915427272703</v>
      </c>
      <c r="T141" s="83">
        <v>68123.915427272703</v>
      </c>
      <c r="U141" s="83">
        <v>68123.915427272703</v>
      </c>
      <c r="V141" s="83">
        <v>68123.915427272703</v>
      </c>
      <c r="W141" s="83">
        <v>68123.915427272703</v>
      </c>
      <c r="X141" s="83">
        <v>68123.915427272703</v>
      </c>
      <c r="Y141" s="83">
        <v>68123.915427272703</v>
      </c>
      <c r="Z141" s="83">
        <v>68123.915427272703</v>
      </c>
      <c r="AA141" s="83">
        <v>68123.915427272703</v>
      </c>
      <c r="AB141" s="83">
        <v>68123.915427272703</v>
      </c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Q141" s="83">
        <v>45415.943618181802</v>
      </c>
      <c r="BR141" s="83">
        <v>45415.943618181802</v>
      </c>
      <c r="BS141" s="83">
        <v>45415.943618181802</v>
      </c>
      <c r="BT141" s="83">
        <v>45415.943618181802</v>
      </c>
      <c r="BU141" s="83">
        <v>45415.943618181802</v>
      </c>
      <c r="BV141" s="83">
        <v>45415.943618181802</v>
      </c>
      <c r="BW141" s="83">
        <v>45415.943618181802</v>
      </c>
      <c r="BX141" s="83">
        <v>45415.943618181802</v>
      </c>
      <c r="BY141" s="83">
        <v>45415.943618181802</v>
      </c>
      <c r="BZ141" s="83">
        <v>45415.943618181802</v>
      </c>
      <c r="CA141" s="83">
        <v>45415.943618181802</v>
      </c>
      <c r="CB141" s="83">
        <v>45415.943618181802</v>
      </c>
      <c r="CD141" s="83"/>
      <c r="CE141" s="83"/>
      <c r="CF141" s="83"/>
      <c r="CG141" s="83"/>
      <c r="CH141" s="83"/>
      <c r="CI141" s="83"/>
      <c r="CJ141" s="83"/>
      <c r="CK141" s="83"/>
      <c r="CL141" s="83"/>
      <c r="CM141" s="83"/>
      <c r="CN141" s="83"/>
      <c r="CO141" s="83"/>
      <c r="CQ141" s="83"/>
      <c r="CR141" s="83"/>
      <c r="CS141" s="83"/>
      <c r="CT141" s="83"/>
      <c r="CU141" s="83"/>
      <c r="CV141" s="83"/>
      <c r="CW141" s="83"/>
      <c r="CX141" s="83"/>
      <c r="CY141" s="83"/>
      <c r="CZ141" s="83"/>
      <c r="DA141" s="83"/>
      <c r="DB141" s="83"/>
      <c r="DE141" s="83"/>
      <c r="DF141" s="83"/>
      <c r="DG141" s="83"/>
      <c r="DH141" s="83"/>
      <c r="DI141" s="83"/>
      <c r="DJ141" s="83"/>
      <c r="DK141" s="83"/>
      <c r="DL141" s="83"/>
      <c r="DM141" s="83"/>
      <c r="DN141" s="83"/>
      <c r="DO141" s="83"/>
      <c r="DP141" s="83"/>
      <c r="DR141" s="83">
        <v>0</v>
      </c>
      <c r="DS141" s="83">
        <v>0</v>
      </c>
      <c r="DT141" s="83">
        <v>0</v>
      </c>
      <c r="DU141" s="83">
        <v>0</v>
      </c>
      <c r="DV141" s="83">
        <v>0</v>
      </c>
      <c r="DW141" s="83">
        <v>0</v>
      </c>
      <c r="DX141" s="83">
        <v>0</v>
      </c>
      <c r="DY141" s="83">
        <v>0</v>
      </c>
      <c r="DZ141" s="83">
        <v>0</v>
      </c>
      <c r="EA141" s="83">
        <v>0</v>
      </c>
      <c r="EB141" s="83">
        <v>0</v>
      </c>
      <c r="EC141" s="83">
        <v>0</v>
      </c>
      <c r="EE141" s="77">
        <v>544991.32341818162</v>
      </c>
    </row>
    <row r="142" spans="1:135">
      <c r="A142" s="101" t="s">
        <v>174</v>
      </c>
      <c r="B142" s="83" t="s">
        <v>255</v>
      </c>
      <c r="C142" s="83">
        <v>52184.577774545454</v>
      </c>
      <c r="D142" s="83">
        <v>52184.577774545454</v>
      </c>
      <c r="E142" s="83">
        <v>52184.577774545454</v>
      </c>
      <c r="F142" s="83">
        <v>52184.577774545454</v>
      </c>
      <c r="G142" s="83">
        <v>52184.577774545454</v>
      </c>
      <c r="H142" s="83">
        <v>52184.577774545454</v>
      </c>
      <c r="I142" s="83">
        <v>52184.577774545454</v>
      </c>
      <c r="J142" s="83">
        <v>52184.577774545454</v>
      </c>
      <c r="K142" s="83">
        <v>52184.577774545454</v>
      </c>
      <c r="L142" s="83">
        <v>52184.577774545454</v>
      </c>
      <c r="M142" s="83">
        <v>52184.577774545454</v>
      </c>
      <c r="N142" s="83">
        <v>52184.577774545454</v>
      </c>
      <c r="O142" s="77">
        <v>-120000</v>
      </c>
      <c r="Q142" s="83">
        <v>16170</v>
      </c>
      <c r="R142" s="83">
        <v>16170</v>
      </c>
      <c r="S142" s="83">
        <v>16170</v>
      </c>
      <c r="T142" s="83">
        <v>16170</v>
      </c>
      <c r="U142" s="83">
        <v>16170</v>
      </c>
      <c r="V142" s="83">
        <v>16170</v>
      </c>
      <c r="W142" s="83">
        <v>16170</v>
      </c>
      <c r="X142" s="83">
        <v>16170</v>
      </c>
      <c r="Y142" s="83">
        <v>16170</v>
      </c>
      <c r="Z142" s="83">
        <v>16170</v>
      </c>
      <c r="AA142" s="83">
        <v>16170</v>
      </c>
      <c r="AB142" s="83">
        <v>16170</v>
      </c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Q142" s="83">
        <v>6984</v>
      </c>
      <c r="AR142" s="83">
        <v>6984</v>
      </c>
      <c r="AS142" s="83">
        <v>6984</v>
      </c>
      <c r="AT142" s="83">
        <v>6984</v>
      </c>
      <c r="AU142" s="83">
        <v>6984</v>
      </c>
      <c r="AV142" s="83">
        <v>6984</v>
      </c>
      <c r="AW142" s="83">
        <v>6984</v>
      </c>
      <c r="AX142" s="83">
        <v>6984</v>
      </c>
      <c r="AY142" s="83">
        <v>6984</v>
      </c>
      <c r="AZ142" s="83">
        <v>6984</v>
      </c>
      <c r="BA142" s="83">
        <v>6984</v>
      </c>
      <c r="BB142" s="83">
        <v>6984</v>
      </c>
      <c r="BD142" s="83">
        <v>4656</v>
      </c>
      <c r="BE142" s="83">
        <v>4656</v>
      </c>
      <c r="BF142" s="83">
        <v>4656</v>
      </c>
      <c r="BG142" s="83">
        <v>4656</v>
      </c>
      <c r="BH142" s="83">
        <v>4656</v>
      </c>
      <c r="BI142" s="83">
        <v>4656</v>
      </c>
      <c r="BJ142" s="83">
        <v>4656</v>
      </c>
      <c r="BK142" s="83">
        <v>4656</v>
      </c>
      <c r="BL142" s="83">
        <v>4656</v>
      </c>
      <c r="BM142" s="83">
        <v>4656</v>
      </c>
      <c r="BN142" s="83">
        <v>4656</v>
      </c>
      <c r="BO142" s="83">
        <v>4656</v>
      </c>
      <c r="BQ142" s="83">
        <v>4687.2888872727272</v>
      </c>
      <c r="BR142" s="83">
        <v>4687.2888872727272</v>
      </c>
      <c r="BS142" s="83">
        <v>4687.2888872727272</v>
      </c>
      <c r="BT142" s="83">
        <v>4687.2888872727272</v>
      </c>
      <c r="BU142" s="83">
        <v>4687.2888872727272</v>
      </c>
      <c r="BV142" s="83">
        <v>4687.2888872727272</v>
      </c>
      <c r="BW142" s="83">
        <v>4687.2888872727272</v>
      </c>
      <c r="BX142" s="83">
        <v>4687.2888872727272</v>
      </c>
      <c r="BY142" s="83">
        <v>4687.2888872727272</v>
      </c>
      <c r="BZ142" s="83">
        <v>4687.2888872727272</v>
      </c>
      <c r="CA142" s="83">
        <v>4687.2888872727272</v>
      </c>
      <c r="CB142" s="83">
        <v>4687.2888872727272</v>
      </c>
      <c r="CD142" s="83">
        <v>2812.3733323636361</v>
      </c>
      <c r="CE142" s="83">
        <v>2812.3733323636361</v>
      </c>
      <c r="CF142" s="83">
        <v>2812.3733323636361</v>
      </c>
      <c r="CG142" s="83">
        <v>2812.3733323636361</v>
      </c>
      <c r="CH142" s="83">
        <v>2812.3733323636361</v>
      </c>
      <c r="CI142" s="83">
        <v>2812.3733323636361</v>
      </c>
      <c r="CJ142" s="83">
        <v>2812.3733323636361</v>
      </c>
      <c r="CK142" s="83">
        <v>2812.3733323636361</v>
      </c>
      <c r="CL142" s="83">
        <v>2812.3733323636361</v>
      </c>
      <c r="CM142" s="83">
        <v>2812.3733323636361</v>
      </c>
      <c r="CN142" s="83">
        <v>2812.3733323636361</v>
      </c>
      <c r="CO142" s="83">
        <v>2812.3733323636361</v>
      </c>
      <c r="CQ142" s="83">
        <v>1874.915554909091</v>
      </c>
      <c r="CR142" s="83">
        <v>1874.915554909091</v>
      </c>
      <c r="CS142" s="83">
        <v>1874.915554909091</v>
      </c>
      <c r="CT142" s="83">
        <v>1874.915554909091</v>
      </c>
      <c r="CU142" s="83">
        <v>1874.915554909091</v>
      </c>
      <c r="CV142" s="83">
        <v>1874.915554909091</v>
      </c>
      <c r="CW142" s="83">
        <v>1874.915554909091</v>
      </c>
      <c r="CX142" s="83">
        <v>1874.915554909091</v>
      </c>
      <c r="CY142" s="83">
        <v>1874.915554909091</v>
      </c>
      <c r="CZ142" s="83">
        <v>1874.915554909091</v>
      </c>
      <c r="DA142" s="83">
        <v>1874.915554909091</v>
      </c>
      <c r="DB142" s="83">
        <v>1874.915554909091</v>
      </c>
      <c r="DE142" s="83">
        <v>15000</v>
      </c>
      <c r="DF142" s="83">
        <v>15000</v>
      </c>
      <c r="DG142" s="83">
        <v>15000</v>
      </c>
      <c r="DH142" s="83">
        <v>15000</v>
      </c>
      <c r="DI142" s="83">
        <v>15000</v>
      </c>
      <c r="DJ142" s="83">
        <v>15000</v>
      </c>
      <c r="DK142" s="83">
        <v>15000</v>
      </c>
      <c r="DL142" s="83">
        <v>15000</v>
      </c>
      <c r="DM142" s="83">
        <v>15000</v>
      </c>
      <c r="DN142" s="83">
        <v>15000</v>
      </c>
      <c r="DO142" s="83">
        <v>15000</v>
      </c>
      <c r="DP142" s="83">
        <v>15000</v>
      </c>
      <c r="DR142" s="83">
        <v>10000.000000000004</v>
      </c>
      <c r="DS142" s="83">
        <v>10000</v>
      </c>
      <c r="DT142" s="83">
        <v>10000</v>
      </c>
      <c r="DU142" s="83">
        <v>10000</v>
      </c>
      <c r="DV142" s="83">
        <v>10000</v>
      </c>
      <c r="DW142" s="83">
        <v>10000</v>
      </c>
      <c r="DX142" s="83">
        <v>10000</v>
      </c>
      <c r="DY142" s="83">
        <v>10000</v>
      </c>
      <c r="DZ142" s="83">
        <v>10000</v>
      </c>
      <c r="EA142" s="83">
        <v>10000</v>
      </c>
      <c r="EB142" s="83">
        <v>10000</v>
      </c>
      <c r="EC142" s="83">
        <v>10000</v>
      </c>
      <c r="EE142" s="77">
        <v>538206.93329454563</v>
      </c>
    </row>
    <row r="143" spans="1:135">
      <c r="A143" s="101" t="s">
        <v>235</v>
      </c>
      <c r="B143" s="83"/>
      <c r="C143" s="83">
        <v>76227.440833333327</v>
      </c>
      <c r="D143" s="83">
        <v>76227.440833333327</v>
      </c>
      <c r="E143" s="83">
        <v>76227.440833333327</v>
      </c>
      <c r="F143" s="83">
        <v>76227.440833333327</v>
      </c>
      <c r="G143" s="83">
        <v>76227.440833333327</v>
      </c>
      <c r="H143" s="83">
        <v>76216.89916666667</v>
      </c>
      <c r="I143" s="83">
        <v>75819.174166666664</v>
      </c>
      <c r="J143" s="83">
        <v>75819.174166666664</v>
      </c>
      <c r="K143" s="83">
        <v>75819.174166666664</v>
      </c>
      <c r="L143" s="83">
        <v>75596.810833333337</v>
      </c>
      <c r="M143" s="83">
        <v>75596.810833333337</v>
      </c>
      <c r="N143" s="83">
        <v>75596.810833333337</v>
      </c>
      <c r="O143" s="77">
        <v>119999.99999999977</v>
      </c>
      <c r="Q143" s="83">
        <v>2176.7316666666666</v>
      </c>
      <c r="R143" s="83">
        <v>2176.7316666666666</v>
      </c>
      <c r="S143" s="83">
        <v>2176.7316666666666</v>
      </c>
      <c r="T143" s="83">
        <v>2176.7316666666666</v>
      </c>
      <c r="U143" s="83">
        <v>2176.7316666666666</v>
      </c>
      <c r="V143" s="83">
        <v>2166.19</v>
      </c>
      <c r="W143" s="83">
        <v>2166.19</v>
      </c>
      <c r="X143" s="83">
        <v>2166.19</v>
      </c>
      <c r="Y143" s="83">
        <v>2166.19</v>
      </c>
      <c r="Z143" s="83">
        <v>2067.8950833333338</v>
      </c>
      <c r="AA143" s="83">
        <v>2067.8950833333338</v>
      </c>
      <c r="AB143" s="83">
        <v>2067.8950833333338</v>
      </c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Q143" s="83">
        <v>40263.243833333334</v>
      </c>
      <c r="AR143" s="83">
        <v>40263.243833333334</v>
      </c>
      <c r="AS143" s="83">
        <v>40263.243833333334</v>
      </c>
      <c r="AT143" s="83">
        <v>40263.243833333334</v>
      </c>
      <c r="AU143" s="83">
        <v>40263.243833333334</v>
      </c>
      <c r="AV143" s="83">
        <v>40263.243833333334</v>
      </c>
      <c r="AW143" s="83">
        <v>39865.518833333335</v>
      </c>
      <c r="AX143" s="83">
        <v>39865.518833333335</v>
      </c>
      <c r="AY143" s="83">
        <v>39865.518833333335</v>
      </c>
      <c r="AZ143" s="83">
        <v>39814.273933333337</v>
      </c>
      <c r="BA143" s="83">
        <v>39814.273933333337</v>
      </c>
      <c r="BB143" s="83">
        <v>39814.273933333337</v>
      </c>
      <c r="BD143" s="83">
        <v>710.49866666666685</v>
      </c>
      <c r="BE143" s="83">
        <v>710.49866666666685</v>
      </c>
      <c r="BF143" s="83">
        <v>710.49866666666685</v>
      </c>
      <c r="BG143" s="83">
        <v>710.49866666666685</v>
      </c>
      <c r="BH143" s="83">
        <v>710.49866666666685</v>
      </c>
      <c r="BI143" s="83">
        <v>710.49866666666685</v>
      </c>
      <c r="BJ143" s="83">
        <v>710.49866666666685</v>
      </c>
      <c r="BK143" s="83">
        <v>710.49866666666685</v>
      </c>
      <c r="BL143" s="83">
        <v>710.49866666666685</v>
      </c>
      <c r="BM143" s="83">
        <v>676.33540000000028</v>
      </c>
      <c r="BN143" s="83">
        <v>676.33540000000028</v>
      </c>
      <c r="BO143" s="83">
        <v>676.33540000000028</v>
      </c>
      <c r="BQ143" s="83">
        <v>386.60249999999996</v>
      </c>
      <c r="BR143" s="83">
        <v>386.60249999999996</v>
      </c>
      <c r="BS143" s="83">
        <v>386.60249999999996</v>
      </c>
      <c r="BT143" s="83">
        <v>386.60249999999996</v>
      </c>
      <c r="BU143" s="83">
        <v>386.60249999999996</v>
      </c>
      <c r="BV143" s="83">
        <v>386.60249999999996</v>
      </c>
      <c r="BW143" s="83">
        <v>386.60249999999996</v>
      </c>
      <c r="BX143" s="83">
        <v>386.60249999999996</v>
      </c>
      <c r="BY143" s="83">
        <v>386.60249999999996</v>
      </c>
      <c r="BZ143" s="83">
        <v>367.27237499999995</v>
      </c>
      <c r="CA143" s="83">
        <v>367.27237499999995</v>
      </c>
      <c r="CB143" s="83">
        <v>367.27237499999995</v>
      </c>
      <c r="CD143" s="83">
        <v>22535.723166666663</v>
      </c>
      <c r="CE143" s="83">
        <v>22535.723166666663</v>
      </c>
      <c r="CF143" s="83">
        <v>22535.723166666663</v>
      </c>
      <c r="CG143" s="83">
        <v>22535.723166666663</v>
      </c>
      <c r="CH143" s="83">
        <v>22535.723166666663</v>
      </c>
      <c r="CI143" s="83">
        <v>22535.723166666663</v>
      </c>
      <c r="CJ143" s="83">
        <v>22535.723166666663</v>
      </c>
      <c r="CK143" s="83">
        <v>22535.723166666663</v>
      </c>
      <c r="CL143" s="83">
        <v>22535.723166666663</v>
      </c>
      <c r="CM143" s="83">
        <v>22524.125091666661</v>
      </c>
      <c r="CN143" s="83">
        <v>22524.125091666661</v>
      </c>
      <c r="CO143" s="83">
        <v>22524.125091666661</v>
      </c>
      <c r="CQ143" s="83">
        <v>154.64099999999999</v>
      </c>
      <c r="CR143" s="83">
        <v>154.64099999999999</v>
      </c>
      <c r="CS143" s="83">
        <v>154.64099999999999</v>
      </c>
      <c r="CT143" s="83">
        <v>154.64099999999999</v>
      </c>
      <c r="CU143" s="83">
        <v>154.64099999999999</v>
      </c>
      <c r="CV143" s="83">
        <v>154.64099999999999</v>
      </c>
      <c r="CW143" s="83">
        <v>154.64099999999999</v>
      </c>
      <c r="CX143" s="83">
        <v>154.64099999999999</v>
      </c>
      <c r="CY143" s="83">
        <v>154.64099999999999</v>
      </c>
      <c r="CZ143" s="83">
        <v>146.90894999999998</v>
      </c>
      <c r="DA143" s="83">
        <v>146.90894999999998</v>
      </c>
      <c r="DB143" s="83">
        <v>146.90894999999998</v>
      </c>
      <c r="DE143" s="83">
        <v>0</v>
      </c>
      <c r="DF143" s="83">
        <v>0</v>
      </c>
      <c r="DG143" s="83">
        <v>0</v>
      </c>
      <c r="DH143" s="83">
        <v>0</v>
      </c>
      <c r="DI143" s="83">
        <v>0</v>
      </c>
      <c r="DJ143" s="83">
        <v>0</v>
      </c>
      <c r="DK143" s="83">
        <v>0</v>
      </c>
      <c r="DL143" s="83">
        <v>0</v>
      </c>
      <c r="DM143" s="83">
        <v>0</v>
      </c>
      <c r="DN143" s="83">
        <v>0</v>
      </c>
      <c r="DO143" s="83">
        <v>0</v>
      </c>
      <c r="DP143" s="83">
        <v>0</v>
      </c>
      <c r="DR143" s="83">
        <v>0</v>
      </c>
      <c r="DS143" s="83">
        <v>0</v>
      </c>
      <c r="DT143" s="83">
        <v>0</v>
      </c>
      <c r="DU143" s="83">
        <v>0</v>
      </c>
      <c r="DV143" s="83">
        <v>0</v>
      </c>
      <c r="DW143" s="83">
        <v>0</v>
      </c>
      <c r="DX143" s="83">
        <v>0</v>
      </c>
      <c r="DY143" s="83">
        <v>0</v>
      </c>
      <c r="DZ143" s="83">
        <v>0</v>
      </c>
      <c r="EA143" s="83">
        <v>0</v>
      </c>
      <c r="EB143" s="83">
        <v>0</v>
      </c>
      <c r="EC143" s="83">
        <v>0</v>
      </c>
      <c r="EE143" s="77">
        <v>685323.46708333294</v>
      </c>
    </row>
    <row r="144" spans="1:135">
      <c r="A144" s="101" t="s">
        <v>176</v>
      </c>
      <c r="B144" s="83" t="s">
        <v>255</v>
      </c>
      <c r="C144" s="83">
        <v>29</v>
      </c>
      <c r="D144" s="83">
        <v>29</v>
      </c>
      <c r="E144" s="83">
        <v>29</v>
      </c>
      <c r="F144" s="83">
        <v>29</v>
      </c>
      <c r="G144" s="83">
        <v>29</v>
      </c>
      <c r="H144" s="83">
        <v>29</v>
      </c>
      <c r="I144" s="83">
        <v>29</v>
      </c>
      <c r="J144" s="83">
        <v>29</v>
      </c>
      <c r="K144" s="83">
        <v>29</v>
      </c>
      <c r="L144" s="83">
        <v>29</v>
      </c>
      <c r="M144" s="83">
        <v>29</v>
      </c>
      <c r="N144" s="83">
        <v>29</v>
      </c>
      <c r="O144" s="77">
        <v>0</v>
      </c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D144" s="83">
        <v>100000</v>
      </c>
      <c r="BE144" s="83">
        <v>100000</v>
      </c>
      <c r="BF144" s="83">
        <v>100000</v>
      </c>
      <c r="BG144" s="83">
        <v>100000</v>
      </c>
      <c r="BH144" s="83">
        <v>100000</v>
      </c>
      <c r="BI144" s="83">
        <v>100000</v>
      </c>
      <c r="BJ144" s="83">
        <v>100000</v>
      </c>
      <c r="BK144" s="83">
        <v>100000</v>
      </c>
      <c r="BL144" s="83">
        <v>100000</v>
      </c>
      <c r="BM144" s="83">
        <v>100000</v>
      </c>
      <c r="BN144" s="83">
        <v>100000</v>
      </c>
      <c r="BO144" s="83">
        <v>100000</v>
      </c>
      <c r="BQ144" s="83"/>
      <c r="BR144" s="83"/>
      <c r="BS144" s="83"/>
      <c r="BT144" s="83"/>
      <c r="BU144" s="83"/>
      <c r="BV144" s="83"/>
      <c r="BW144" s="83"/>
      <c r="BX144" s="83"/>
      <c r="BY144" s="83"/>
      <c r="BZ144" s="83"/>
      <c r="CA144" s="83"/>
      <c r="CB144" s="83"/>
      <c r="CD144" s="83"/>
      <c r="CE144" s="83"/>
      <c r="CF144" s="83"/>
      <c r="CG144" s="83"/>
      <c r="CH144" s="83"/>
      <c r="CI144" s="83"/>
      <c r="CJ144" s="83"/>
      <c r="CK144" s="83"/>
      <c r="CL144" s="83"/>
      <c r="CM144" s="83"/>
      <c r="CN144" s="83"/>
      <c r="CO144" s="83"/>
      <c r="CQ144" s="83"/>
      <c r="CR144" s="83"/>
      <c r="CS144" s="83"/>
      <c r="CT144" s="83"/>
      <c r="CU144" s="83"/>
      <c r="CV144" s="83"/>
      <c r="CW144" s="83"/>
      <c r="CX144" s="83"/>
      <c r="CY144" s="83"/>
      <c r="CZ144" s="83"/>
      <c r="DA144" s="83"/>
      <c r="DB144" s="83"/>
      <c r="DE144" s="83"/>
      <c r="DF144" s="83"/>
      <c r="DG144" s="83"/>
      <c r="DH144" s="83"/>
      <c r="DI144" s="83"/>
      <c r="DJ144" s="83"/>
      <c r="DK144" s="83"/>
      <c r="DL144" s="83"/>
      <c r="DM144" s="83"/>
      <c r="DN144" s="83"/>
      <c r="DO144" s="83"/>
      <c r="DP144" s="83"/>
      <c r="DR144" s="83">
        <v>0</v>
      </c>
      <c r="DS144" s="83">
        <v>0</v>
      </c>
      <c r="DT144" s="83">
        <v>0</v>
      </c>
      <c r="DU144" s="83">
        <v>0</v>
      </c>
      <c r="DV144" s="83">
        <v>0</v>
      </c>
      <c r="DW144" s="83">
        <v>0</v>
      </c>
      <c r="DX144" s="83">
        <v>0</v>
      </c>
      <c r="DY144" s="83">
        <v>0</v>
      </c>
      <c r="DZ144" s="83">
        <v>0</v>
      </c>
      <c r="EA144" s="83">
        <v>0</v>
      </c>
      <c r="EB144" s="83">
        <v>0</v>
      </c>
      <c r="EC144" s="83">
        <v>0</v>
      </c>
      <c r="EE144" s="77">
        <v>1200000</v>
      </c>
    </row>
    <row r="145" spans="1:154">
      <c r="A145" s="101" t="s">
        <v>177</v>
      </c>
      <c r="B145" s="83" t="s">
        <v>255</v>
      </c>
      <c r="C145" s="83">
        <v>682483.4765625</v>
      </c>
      <c r="D145" s="83">
        <v>682483.4765625</v>
      </c>
      <c r="E145" s="83">
        <v>682483.4765625</v>
      </c>
      <c r="F145" s="83">
        <v>682483.4765625</v>
      </c>
      <c r="G145" s="83">
        <v>682483.4765625</v>
      </c>
      <c r="H145" s="83">
        <v>697258.02656250005</v>
      </c>
      <c r="I145" s="83">
        <v>697258.02656250005</v>
      </c>
      <c r="J145" s="83">
        <v>697258.02656250005</v>
      </c>
      <c r="K145" s="83">
        <v>703107.650390625</v>
      </c>
      <c r="L145" s="83">
        <v>703107.650390625</v>
      </c>
      <c r="M145" s="83">
        <v>703107.650390625</v>
      </c>
      <c r="N145" s="83">
        <v>703107.650390625</v>
      </c>
      <c r="O145" s="77">
        <v>-2159999.9999999991</v>
      </c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Q145" s="83">
        <v>186159.15801000001</v>
      </c>
      <c r="AR145" s="83">
        <v>186159.15801000001</v>
      </c>
      <c r="AS145" s="83">
        <v>186159.15801000001</v>
      </c>
      <c r="AT145" s="83">
        <v>186159.15801000001</v>
      </c>
      <c r="AU145" s="83">
        <v>186159.15801000001</v>
      </c>
      <c r="AV145" s="83">
        <v>195467.11591050003</v>
      </c>
      <c r="AW145" s="83">
        <v>195467.11591050003</v>
      </c>
      <c r="AX145" s="83">
        <v>195467.11591050003</v>
      </c>
      <c r="AY145" s="83">
        <v>195467.11591050003</v>
      </c>
      <c r="AZ145" s="83">
        <v>195467.11591050003</v>
      </c>
      <c r="BA145" s="83">
        <v>195467.11591050003</v>
      </c>
      <c r="BB145" s="83">
        <v>195467.11591050003</v>
      </c>
      <c r="BD145" s="83">
        <v>124106.10534000001</v>
      </c>
      <c r="BE145" s="83">
        <v>124106.10534000001</v>
      </c>
      <c r="BF145" s="83">
        <v>124106.10534000001</v>
      </c>
      <c r="BG145" s="83">
        <v>124106.10534000001</v>
      </c>
      <c r="BH145" s="83">
        <v>124106.10534000001</v>
      </c>
      <c r="BI145" s="83">
        <v>130311.41060700003</v>
      </c>
      <c r="BJ145" s="83">
        <v>130311.41060700003</v>
      </c>
      <c r="BK145" s="83">
        <v>130311.41060700003</v>
      </c>
      <c r="BL145" s="83">
        <v>130311.41060700003</v>
      </c>
      <c r="BM145" s="83">
        <v>130311.41060700003</v>
      </c>
      <c r="BN145" s="83">
        <v>130311.41060700003</v>
      </c>
      <c r="BO145" s="83">
        <v>130311.41060700003</v>
      </c>
      <c r="BQ145" s="83"/>
      <c r="BR145" s="83"/>
      <c r="BS145" s="83"/>
      <c r="BT145" s="83"/>
      <c r="BU145" s="83"/>
      <c r="BV145" s="83"/>
      <c r="BW145" s="83"/>
      <c r="BX145" s="83"/>
      <c r="BY145" s="83"/>
      <c r="BZ145" s="83"/>
      <c r="CA145" s="83"/>
      <c r="CB145" s="83"/>
      <c r="CD145" s="83">
        <v>70195.485937500009</v>
      </c>
      <c r="CE145" s="83">
        <v>70195.485937500009</v>
      </c>
      <c r="CF145" s="83">
        <v>70195.485937500009</v>
      </c>
      <c r="CG145" s="83">
        <v>70195.485937500009</v>
      </c>
      <c r="CH145" s="83">
        <v>70195.485937500009</v>
      </c>
      <c r="CI145" s="83">
        <v>70195.485937500009</v>
      </c>
      <c r="CJ145" s="83">
        <v>70195.485937500009</v>
      </c>
      <c r="CK145" s="83">
        <v>70195.485937500009</v>
      </c>
      <c r="CL145" s="83">
        <v>73705.260234375019</v>
      </c>
      <c r="CM145" s="83">
        <v>73705.260234375019</v>
      </c>
      <c r="CN145" s="83">
        <v>73705.260234375019</v>
      </c>
      <c r="CO145" s="83">
        <v>73705.260234375019</v>
      </c>
      <c r="CQ145" s="83">
        <v>46796.990625000006</v>
      </c>
      <c r="CR145" s="83">
        <v>46796.990625000006</v>
      </c>
      <c r="CS145" s="83">
        <v>46796.990625000006</v>
      </c>
      <c r="CT145" s="83">
        <v>46796.990625000006</v>
      </c>
      <c r="CU145" s="83">
        <v>46796.990625000006</v>
      </c>
      <c r="CV145" s="83">
        <v>46796.990625000006</v>
      </c>
      <c r="CW145" s="83">
        <v>46796.990625000006</v>
      </c>
      <c r="CX145" s="83">
        <v>46796.990625000006</v>
      </c>
      <c r="CY145" s="83">
        <v>49136.840156250015</v>
      </c>
      <c r="CZ145" s="83">
        <v>49136.840156250015</v>
      </c>
      <c r="DA145" s="83">
        <v>49136.840156250015</v>
      </c>
      <c r="DB145" s="83">
        <v>49136.840156250015</v>
      </c>
      <c r="DE145" s="83">
        <v>270000</v>
      </c>
      <c r="DF145" s="83">
        <v>270000</v>
      </c>
      <c r="DG145" s="83">
        <v>270000</v>
      </c>
      <c r="DH145" s="83">
        <v>270000</v>
      </c>
      <c r="DI145" s="83">
        <v>270000</v>
      </c>
      <c r="DJ145" s="83">
        <v>270000</v>
      </c>
      <c r="DK145" s="83">
        <v>270000</v>
      </c>
      <c r="DL145" s="83">
        <v>270000</v>
      </c>
      <c r="DM145" s="83">
        <v>270000</v>
      </c>
      <c r="DN145" s="83">
        <v>270000</v>
      </c>
      <c r="DO145" s="83">
        <v>270000</v>
      </c>
      <c r="DP145" s="83">
        <v>270000</v>
      </c>
      <c r="DR145" s="83">
        <v>180000.00000000009</v>
      </c>
      <c r="DS145" s="83">
        <v>180000</v>
      </c>
      <c r="DT145" s="83">
        <v>180000</v>
      </c>
      <c r="DU145" s="83">
        <v>180000</v>
      </c>
      <c r="DV145" s="83">
        <v>180000</v>
      </c>
      <c r="DW145" s="83">
        <v>180000</v>
      </c>
      <c r="DX145" s="83">
        <v>180000</v>
      </c>
      <c r="DY145" s="83">
        <v>180000</v>
      </c>
      <c r="DZ145" s="83">
        <v>180000</v>
      </c>
      <c r="EA145" s="83">
        <v>180000</v>
      </c>
      <c r="EB145" s="83">
        <v>180000</v>
      </c>
      <c r="EC145" s="83">
        <v>180000</v>
      </c>
      <c r="EE145" s="77">
        <v>10122032.864062496</v>
      </c>
      <c r="EM145" s="77">
        <v>310265.26335000002</v>
      </c>
      <c r="EN145" s="77">
        <v>310265.26335000002</v>
      </c>
      <c r="EO145" s="77">
        <v>310265.26335000002</v>
      </c>
      <c r="EP145" s="77">
        <v>310265.26335000002</v>
      </c>
      <c r="EQ145" s="77">
        <v>310265.26335000002</v>
      </c>
      <c r="ER145" s="77">
        <v>325778.52651750005</v>
      </c>
      <c r="ES145" s="77">
        <v>325778.52651750005</v>
      </c>
      <c r="ET145" s="77">
        <v>325778.52651750005</v>
      </c>
      <c r="EU145" s="77">
        <v>325778.52651750005</v>
      </c>
      <c r="EV145" s="77">
        <v>325778.52651750005</v>
      </c>
      <c r="EW145" s="77">
        <v>325778.52651750005</v>
      </c>
      <c r="EX145" s="77">
        <v>325778.52651750005</v>
      </c>
    </row>
    <row r="146" spans="1:154">
      <c r="A146" s="101" t="s">
        <v>178</v>
      </c>
      <c r="B146" s="83" t="s">
        <v>255</v>
      </c>
      <c r="C146" s="83">
        <v>384442.78906250006</v>
      </c>
      <c r="D146" s="83">
        <v>384442.7890625</v>
      </c>
      <c r="E146" s="83">
        <v>384442.7890625</v>
      </c>
      <c r="F146" s="83">
        <v>384442.7890625</v>
      </c>
      <c r="G146" s="83">
        <v>384442.7890625</v>
      </c>
      <c r="H146" s="83">
        <v>384442.7890625</v>
      </c>
      <c r="I146" s="83">
        <v>384442.7890625</v>
      </c>
      <c r="J146" s="83">
        <v>384442.7890625</v>
      </c>
      <c r="K146" s="83">
        <v>390292.41289062495</v>
      </c>
      <c r="L146" s="83">
        <v>403409.95976562495</v>
      </c>
      <c r="M146" s="83">
        <v>403409.95976562495</v>
      </c>
      <c r="N146" s="83">
        <v>403409.95976562495</v>
      </c>
      <c r="O146" s="77">
        <v>2160000.0000000009</v>
      </c>
      <c r="Q146" s="83">
        <v>87450.312499999956</v>
      </c>
      <c r="R146" s="83">
        <v>87450.312499999956</v>
      </c>
      <c r="S146" s="83">
        <v>87450.312499999956</v>
      </c>
      <c r="T146" s="83">
        <v>87450.312499999956</v>
      </c>
      <c r="U146" s="83">
        <v>87450.312499999956</v>
      </c>
      <c r="V146" s="83">
        <v>87450.312499999956</v>
      </c>
      <c r="W146" s="83">
        <v>87450.312499999956</v>
      </c>
      <c r="X146" s="83">
        <v>87450.312499999956</v>
      </c>
      <c r="Y146" s="83">
        <v>87450.312499999956</v>
      </c>
      <c r="Z146" s="83">
        <v>100567.85937499994</v>
      </c>
      <c r="AA146" s="83">
        <v>100567.85937499994</v>
      </c>
      <c r="AB146" s="83">
        <v>100567.85937499994</v>
      </c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D146" s="83"/>
      <c r="BE146" s="83"/>
      <c r="BF146" s="83"/>
      <c r="BG146" s="83"/>
      <c r="BH146" s="83"/>
      <c r="BI146" s="83"/>
      <c r="BJ146" s="83"/>
      <c r="BK146" s="83"/>
      <c r="BL146" s="83"/>
      <c r="BM146" s="83"/>
      <c r="BN146" s="83"/>
      <c r="BO146" s="83"/>
      <c r="BQ146" s="83">
        <v>116992.47656250001</v>
      </c>
      <c r="BR146" s="83">
        <v>116992.47656250001</v>
      </c>
      <c r="BS146" s="83">
        <v>116992.47656250001</v>
      </c>
      <c r="BT146" s="83">
        <v>116992.47656250001</v>
      </c>
      <c r="BU146" s="83">
        <v>116992.47656250001</v>
      </c>
      <c r="BV146" s="83">
        <v>116992.47656250001</v>
      </c>
      <c r="BW146" s="83">
        <v>116992.47656250001</v>
      </c>
      <c r="BX146" s="83">
        <v>116992.47656250001</v>
      </c>
      <c r="BY146" s="83">
        <v>122842.10039062503</v>
      </c>
      <c r="BZ146" s="83">
        <v>122842.10039062503</v>
      </c>
      <c r="CA146" s="83">
        <v>122842.10039062503</v>
      </c>
      <c r="CB146" s="83">
        <v>122842.10039062503</v>
      </c>
      <c r="CD146" s="83"/>
      <c r="CE146" s="83"/>
      <c r="CF146" s="83"/>
      <c r="CG146" s="83"/>
      <c r="CH146" s="83"/>
      <c r="CI146" s="83"/>
      <c r="CJ146" s="83"/>
      <c r="CK146" s="83"/>
      <c r="CL146" s="83"/>
      <c r="CM146" s="83"/>
      <c r="CN146" s="83"/>
      <c r="CO146" s="83"/>
      <c r="CQ146" s="83"/>
      <c r="CR146" s="83"/>
      <c r="CS146" s="83"/>
      <c r="CT146" s="83"/>
      <c r="CU146" s="83"/>
      <c r="CV146" s="83"/>
      <c r="CW146" s="83"/>
      <c r="CX146" s="83"/>
      <c r="CY146" s="83"/>
      <c r="CZ146" s="83"/>
      <c r="DA146" s="83"/>
      <c r="DB146" s="83"/>
      <c r="DE146" s="83"/>
      <c r="DF146" s="83"/>
      <c r="DG146" s="83"/>
      <c r="DH146" s="83"/>
      <c r="DI146" s="83"/>
      <c r="DJ146" s="83"/>
      <c r="DK146" s="83"/>
      <c r="DL146" s="83"/>
      <c r="DM146" s="83"/>
      <c r="DN146" s="83"/>
      <c r="DO146" s="83"/>
      <c r="DP146" s="83"/>
      <c r="DR146" s="83">
        <v>0</v>
      </c>
      <c r="DS146" s="83">
        <v>0</v>
      </c>
      <c r="DT146" s="83">
        <v>0</v>
      </c>
      <c r="DU146" s="83">
        <v>0</v>
      </c>
      <c r="DV146" s="83">
        <v>0</v>
      </c>
      <c r="DW146" s="83">
        <v>0</v>
      </c>
      <c r="DX146" s="83">
        <v>0</v>
      </c>
      <c r="DY146" s="83">
        <v>0</v>
      </c>
      <c r="DZ146" s="83">
        <v>0</v>
      </c>
      <c r="EA146" s="83">
        <v>0</v>
      </c>
      <c r="EB146" s="83">
        <v>0</v>
      </c>
      <c r="EC146" s="83">
        <v>0</v>
      </c>
      <c r="EE146" s="77">
        <v>1427308.2140625</v>
      </c>
      <c r="EM146" s="77">
        <f>+EM145*60%</f>
        <v>186159.15801000001</v>
      </c>
      <c r="EN146" s="77">
        <f t="shared" ref="EN146:EX146" si="2">+EN145*60%</f>
        <v>186159.15801000001</v>
      </c>
      <c r="EO146" s="77">
        <f t="shared" si="2"/>
        <v>186159.15801000001</v>
      </c>
      <c r="EP146" s="77">
        <f t="shared" si="2"/>
        <v>186159.15801000001</v>
      </c>
      <c r="EQ146" s="77">
        <f t="shared" si="2"/>
        <v>186159.15801000001</v>
      </c>
      <c r="ER146" s="77">
        <f t="shared" si="2"/>
        <v>195467.11591050003</v>
      </c>
      <c r="ES146" s="77">
        <f t="shared" si="2"/>
        <v>195467.11591050003</v>
      </c>
      <c r="ET146" s="77">
        <f t="shared" si="2"/>
        <v>195467.11591050003</v>
      </c>
      <c r="EU146" s="77">
        <f t="shared" si="2"/>
        <v>195467.11591050003</v>
      </c>
      <c r="EV146" s="77">
        <f t="shared" si="2"/>
        <v>195467.11591050003</v>
      </c>
      <c r="EW146" s="77">
        <f t="shared" si="2"/>
        <v>195467.11591050003</v>
      </c>
      <c r="EX146" s="77">
        <f t="shared" si="2"/>
        <v>195467.11591050003</v>
      </c>
    </row>
    <row r="147" spans="1:154">
      <c r="A147" s="101" t="s">
        <v>179</v>
      </c>
      <c r="B147" s="83" t="s">
        <v>255</v>
      </c>
      <c r="C147" s="83">
        <v>121286.51833125</v>
      </c>
      <c r="D147" s="83">
        <v>121286.51833125</v>
      </c>
      <c r="E147" s="83">
        <v>121286.51833125</v>
      </c>
      <c r="F147" s="83">
        <v>121286.51833125</v>
      </c>
      <c r="G147" s="83">
        <v>121286.51833125</v>
      </c>
      <c r="H147" s="83">
        <v>121286.51833125</v>
      </c>
      <c r="I147" s="83">
        <v>121286.51833125</v>
      </c>
      <c r="J147" s="83">
        <v>121286.51833125</v>
      </c>
      <c r="K147" s="83">
        <v>121286.51833125</v>
      </c>
      <c r="L147" s="83">
        <v>121286.51833125</v>
      </c>
      <c r="M147" s="83">
        <v>121286.51833125</v>
      </c>
      <c r="N147" s="83">
        <v>121286.51833125</v>
      </c>
      <c r="O147" s="77">
        <v>0</v>
      </c>
      <c r="Q147" s="83">
        <v>73286.518331250001</v>
      </c>
      <c r="R147" s="83">
        <v>73286.518331250001</v>
      </c>
      <c r="S147" s="83">
        <v>73286.518331250001</v>
      </c>
      <c r="T147" s="83">
        <v>73286.518331250001</v>
      </c>
      <c r="U147" s="83">
        <v>73286.518331250001</v>
      </c>
      <c r="V147" s="83">
        <v>73286.518331250001</v>
      </c>
      <c r="W147" s="83">
        <v>73286.518331250001</v>
      </c>
      <c r="X147" s="83">
        <v>73286.518331250001</v>
      </c>
      <c r="Y147" s="83">
        <v>73286.518331250001</v>
      </c>
      <c r="Z147" s="83">
        <v>73286.518331250001</v>
      </c>
      <c r="AA147" s="83">
        <v>73286.518331250001</v>
      </c>
      <c r="AB147" s="83">
        <v>73286.518331250001</v>
      </c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Q147" s="83"/>
      <c r="BR147" s="83"/>
      <c r="BS147" s="83"/>
      <c r="BT147" s="83"/>
      <c r="BU147" s="83"/>
      <c r="BV147" s="83"/>
      <c r="BW147" s="83"/>
      <c r="BX147" s="83"/>
      <c r="BY147" s="83"/>
      <c r="BZ147" s="83"/>
      <c r="CA147" s="83"/>
      <c r="CB147" s="83"/>
      <c r="CD147" s="83">
        <v>48000</v>
      </c>
      <c r="CE147" s="83">
        <v>48000</v>
      </c>
      <c r="CF147" s="83">
        <v>48000</v>
      </c>
      <c r="CG147" s="83">
        <v>48000</v>
      </c>
      <c r="CH147" s="83">
        <v>48000</v>
      </c>
      <c r="CI147" s="83">
        <v>48000</v>
      </c>
      <c r="CJ147" s="83">
        <v>48000</v>
      </c>
      <c r="CK147" s="83">
        <v>48000</v>
      </c>
      <c r="CL147" s="83">
        <v>48000</v>
      </c>
      <c r="CM147" s="83">
        <v>48000</v>
      </c>
      <c r="CN147" s="83">
        <v>48000</v>
      </c>
      <c r="CO147" s="83">
        <v>48000</v>
      </c>
      <c r="CQ147" s="83"/>
      <c r="CR147" s="83"/>
      <c r="CS147" s="83"/>
      <c r="CT147" s="83"/>
      <c r="CU147" s="83"/>
      <c r="CV147" s="83"/>
      <c r="CW147" s="83"/>
      <c r="CX147" s="83"/>
      <c r="CY147" s="83"/>
      <c r="CZ147" s="83"/>
      <c r="DA147" s="83"/>
      <c r="DB147" s="83"/>
      <c r="DE147" s="83">
        <v>0</v>
      </c>
      <c r="DF147" s="83">
        <v>0</v>
      </c>
      <c r="DG147" s="83">
        <v>0</v>
      </c>
      <c r="DH147" s="83">
        <v>0</v>
      </c>
      <c r="DI147" s="83">
        <v>0</v>
      </c>
      <c r="DJ147" s="83">
        <v>0</v>
      </c>
      <c r="DK147" s="83">
        <v>0</v>
      </c>
      <c r="DL147" s="83">
        <v>0</v>
      </c>
      <c r="DM147" s="83">
        <v>0</v>
      </c>
      <c r="DN147" s="83">
        <v>0</v>
      </c>
      <c r="DO147" s="83">
        <v>0</v>
      </c>
      <c r="DP147" s="83">
        <v>0</v>
      </c>
      <c r="DR147" s="83">
        <v>0</v>
      </c>
      <c r="DS147" s="83">
        <v>0</v>
      </c>
      <c r="DT147" s="83">
        <v>0</v>
      </c>
      <c r="DU147" s="83">
        <v>0</v>
      </c>
      <c r="DV147" s="83">
        <v>0</v>
      </c>
      <c r="DW147" s="83">
        <v>0</v>
      </c>
      <c r="DX147" s="83">
        <v>0</v>
      </c>
      <c r="DY147" s="83">
        <v>0</v>
      </c>
      <c r="DZ147" s="83">
        <v>0</v>
      </c>
      <c r="EA147" s="83">
        <v>0</v>
      </c>
      <c r="EB147" s="83">
        <v>0</v>
      </c>
      <c r="EC147" s="83">
        <v>0</v>
      </c>
      <c r="EE147" s="77">
        <v>576000</v>
      </c>
      <c r="EM147" s="77">
        <f>+EM145*40%</f>
        <v>124106.10534000001</v>
      </c>
      <c r="EN147" s="77">
        <f t="shared" ref="EN147:EX147" si="3">+EN145*40%</f>
        <v>124106.10534000001</v>
      </c>
      <c r="EO147" s="77">
        <f t="shared" si="3"/>
        <v>124106.10534000001</v>
      </c>
      <c r="EP147" s="77">
        <f t="shared" si="3"/>
        <v>124106.10534000001</v>
      </c>
      <c r="EQ147" s="77">
        <f t="shared" si="3"/>
        <v>124106.10534000001</v>
      </c>
      <c r="ER147" s="77">
        <f t="shared" si="3"/>
        <v>130311.41060700003</v>
      </c>
      <c r="ES147" s="77">
        <f t="shared" si="3"/>
        <v>130311.41060700003</v>
      </c>
      <c r="ET147" s="77">
        <f t="shared" si="3"/>
        <v>130311.41060700003</v>
      </c>
      <c r="EU147" s="77">
        <f t="shared" si="3"/>
        <v>130311.41060700003</v>
      </c>
      <c r="EV147" s="77">
        <f t="shared" si="3"/>
        <v>130311.41060700003</v>
      </c>
      <c r="EW147" s="77">
        <f t="shared" si="3"/>
        <v>130311.41060700003</v>
      </c>
      <c r="EX147" s="77">
        <f t="shared" si="3"/>
        <v>130311.41060700003</v>
      </c>
    </row>
    <row r="148" spans="1:154">
      <c r="A148" s="102" t="s">
        <v>181</v>
      </c>
      <c r="B148" s="83" t="s">
        <v>255</v>
      </c>
      <c r="C148" s="83">
        <v>0</v>
      </c>
      <c r="D148" s="83">
        <v>0</v>
      </c>
      <c r="E148" s="83">
        <v>0</v>
      </c>
      <c r="F148" s="83">
        <v>0</v>
      </c>
      <c r="G148" s="83">
        <v>0</v>
      </c>
      <c r="H148" s="83">
        <v>0</v>
      </c>
      <c r="I148" s="83">
        <v>0</v>
      </c>
      <c r="J148" s="83">
        <v>0</v>
      </c>
      <c r="K148" s="83">
        <v>0</v>
      </c>
      <c r="L148" s="83">
        <v>0</v>
      </c>
      <c r="M148" s="83">
        <v>0</v>
      </c>
      <c r="N148" s="83">
        <v>0</v>
      </c>
      <c r="O148" s="77">
        <v>0</v>
      </c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D148" s="83"/>
      <c r="BE148" s="83"/>
      <c r="BF148" s="83"/>
      <c r="BG148" s="83"/>
      <c r="BH148" s="83"/>
      <c r="BI148" s="83"/>
      <c r="BJ148" s="83"/>
      <c r="BK148" s="83"/>
      <c r="BL148" s="83"/>
      <c r="BM148" s="83"/>
      <c r="BN148" s="83"/>
      <c r="BO148" s="83"/>
      <c r="BQ148" s="83"/>
      <c r="BR148" s="83"/>
      <c r="BS148" s="83"/>
      <c r="BT148" s="83"/>
      <c r="BU148" s="83"/>
      <c r="BV148" s="83"/>
      <c r="BW148" s="83"/>
      <c r="BX148" s="83"/>
      <c r="BY148" s="83"/>
      <c r="BZ148" s="83"/>
      <c r="CA148" s="83"/>
      <c r="CB148" s="83"/>
      <c r="CD148" s="83"/>
      <c r="CE148" s="83"/>
      <c r="CF148" s="83"/>
      <c r="CG148" s="83"/>
      <c r="CH148" s="83"/>
      <c r="CI148" s="83"/>
      <c r="CJ148" s="83"/>
      <c r="CK148" s="83"/>
      <c r="CL148" s="83"/>
      <c r="CM148" s="83"/>
      <c r="CN148" s="83"/>
      <c r="CO148" s="83"/>
      <c r="CQ148" s="83"/>
      <c r="CR148" s="83"/>
      <c r="CS148" s="83"/>
      <c r="CT148" s="83"/>
      <c r="CU148" s="83"/>
      <c r="CV148" s="83"/>
      <c r="CW148" s="83"/>
      <c r="CX148" s="83"/>
      <c r="CY148" s="83"/>
      <c r="CZ148" s="83"/>
      <c r="DA148" s="83"/>
      <c r="DB148" s="83"/>
      <c r="DE148" s="83"/>
      <c r="DF148" s="83"/>
      <c r="DG148" s="83"/>
      <c r="DH148" s="83"/>
      <c r="DI148" s="83"/>
      <c r="DJ148" s="83"/>
      <c r="DK148" s="83"/>
      <c r="DL148" s="83"/>
      <c r="DM148" s="83"/>
      <c r="DN148" s="83"/>
      <c r="DO148" s="83"/>
      <c r="DP148" s="83"/>
      <c r="DR148" s="83">
        <v>0</v>
      </c>
      <c r="DS148" s="83">
        <v>0</v>
      </c>
      <c r="DT148" s="83">
        <v>0</v>
      </c>
      <c r="DU148" s="83">
        <v>0</v>
      </c>
      <c r="DV148" s="83">
        <v>0</v>
      </c>
      <c r="DW148" s="83">
        <v>0</v>
      </c>
      <c r="DX148" s="83">
        <v>0</v>
      </c>
      <c r="DY148" s="83">
        <v>0</v>
      </c>
      <c r="DZ148" s="83">
        <v>0</v>
      </c>
      <c r="EA148" s="83">
        <v>0</v>
      </c>
      <c r="EB148" s="83">
        <v>0</v>
      </c>
      <c r="EC148" s="83">
        <v>0</v>
      </c>
      <c r="EE148" s="77">
        <v>0</v>
      </c>
    </row>
    <row r="149" spans="1:154">
      <c r="A149" s="101" t="s">
        <v>182</v>
      </c>
      <c r="B149" s="83" t="s">
        <v>255</v>
      </c>
      <c r="C149" s="83">
        <v>6000</v>
      </c>
      <c r="D149" s="83">
        <v>6000</v>
      </c>
      <c r="E149" s="83">
        <v>6000</v>
      </c>
      <c r="F149" s="83">
        <v>6000</v>
      </c>
      <c r="G149" s="83">
        <v>6000</v>
      </c>
      <c r="H149" s="83">
        <v>6000</v>
      </c>
      <c r="I149" s="83">
        <v>6000</v>
      </c>
      <c r="J149" s="83">
        <v>6000</v>
      </c>
      <c r="K149" s="83">
        <v>6000</v>
      </c>
      <c r="L149" s="83">
        <v>6000</v>
      </c>
      <c r="M149" s="83">
        <v>6000</v>
      </c>
      <c r="N149" s="83">
        <v>6000</v>
      </c>
      <c r="O149" s="77">
        <v>0</v>
      </c>
      <c r="Q149" s="83">
        <v>2400</v>
      </c>
      <c r="R149" s="83">
        <v>2400</v>
      </c>
      <c r="S149" s="83">
        <v>2400</v>
      </c>
      <c r="T149" s="83">
        <v>2400</v>
      </c>
      <c r="U149" s="83">
        <v>2400</v>
      </c>
      <c r="V149" s="83">
        <v>2400</v>
      </c>
      <c r="W149" s="83">
        <v>2400</v>
      </c>
      <c r="X149" s="83">
        <v>2400</v>
      </c>
      <c r="Y149" s="83">
        <v>2400</v>
      </c>
      <c r="Z149" s="83">
        <v>2400</v>
      </c>
      <c r="AA149" s="83">
        <v>2400</v>
      </c>
      <c r="AB149" s="83">
        <v>2400</v>
      </c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Q149" s="83">
        <v>1080</v>
      </c>
      <c r="AR149" s="83">
        <v>1080</v>
      </c>
      <c r="AS149" s="83">
        <v>1080</v>
      </c>
      <c r="AT149" s="83">
        <v>1080</v>
      </c>
      <c r="AU149" s="83">
        <v>1080</v>
      </c>
      <c r="AV149" s="83">
        <v>1080</v>
      </c>
      <c r="AW149" s="83">
        <v>1080</v>
      </c>
      <c r="AX149" s="83">
        <v>1080</v>
      </c>
      <c r="AY149" s="83">
        <v>1080</v>
      </c>
      <c r="AZ149" s="83">
        <v>1080</v>
      </c>
      <c r="BA149" s="83">
        <v>1080</v>
      </c>
      <c r="BB149" s="83">
        <v>1080</v>
      </c>
      <c r="BD149" s="83">
        <v>720</v>
      </c>
      <c r="BE149" s="83">
        <v>720</v>
      </c>
      <c r="BF149" s="83">
        <v>720</v>
      </c>
      <c r="BG149" s="83">
        <v>720</v>
      </c>
      <c r="BH149" s="83">
        <v>720</v>
      </c>
      <c r="BI149" s="83">
        <v>720</v>
      </c>
      <c r="BJ149" s="83">
        <v>720</v>
      </c>
      <c r="BK149" s="83">
        <v>720</v>
      </c>
      <c r="BL149" s="83">
        <v>720</v>
      </c>
      <c r="BM149" s="83">
        <v>720</v>
      </c>
      <c r="BN149" s="83">
        <v>720</v>
      </c>
      <c r="BO149" s="83">
        <v>720</v>
      </c>
      <c r="BQ149" s="83">
        <v>900</v>
      </c>
      <c r="BR149" s="83">
        <v>900</v>
      </c>
      <c r="BS149" s="83">
        <v>900</v>
      </c>
      <c r="BT149" s="83">
        <v>900</v>
      </c>
      <c r="BU149" s="83">
        <v>900</v>
      </c>
      <c r="BV149" s="83">
        <v>900</v>
      </c>
      <c r="BW149" s="83">
        <v>900</v>
      </c>
      <c r="BX149" s="83">
        <v>900</v>
      </c>
      <c r="BY149" s="83">
        <v>900</v>
      </c>
      <c r="BZ149" s="83">
        <v>900</v>
      </c>
      <c r="CA149" s="83">
        <v>900</v>
      </c>
      <c r="CB149" s="83">
        <v>900</v>
      </c>
      <c r="CD149" s="83">
        <v>540</v>
      </c>
      <c r="CE149" s="83">
        <v>540</v>
      </c>
      <c r="CF149" s="83">
        <v>540</v>
      </c>
      <c r="CG149" s="83">
        <v>540</v>
      </c>
      <c r="CH149" s="83">
        <v>540</v>
      </c>
      <c r="CI149" s="83">
        <v>540</v>
      </c>
      <c r="CJ149" s="83">
        <v>540</v>
      </c>
      <c r="CK149" s="83">
        <v>540</v>
      </c>
      <c r="CL149" s="83">
        <v>540</v>
      </c>
      <c r="CM149" s="83">
        <v>540</v>
      </c>
      <c r="CN149" s="83">
        <v>540</v>
      </c>
      <c r="CO149" s="83">
        <v>540</v>
      </c>
      <c r="CQ149" s="83">
        <v>360</v>
      </c>
      <c r="CR149" s="83">
        <v>360</v>
      </c>
      <c r="CS149" s="83">
        <v>360</v>
      </c>
      <c r="CT149" s="83">
        <v>360</v>
      </c>
      <c r="CU149" s="83">
        <v>360</v>
      </c>
      <c r="CV149" s="83">
        <v>360</v>
      </c>
      <c r="CW149" s="83">
        <v>360</v>
      </c>
      <c r="CX149" s="83">
        <v>360</v>
      </c>
      <c r="CY149" s="83">
        <v>360</v>
      </c>
      <c r="CZ149" s="83">
        <v>360</v>
      </c>
      <c r="DA149" s="83">
        <v>360</v>
      </c>
      <c r="DB149" s="83">
        <v>360</v>
      </c>
      <c r="DE149" s="83">
        <v>0</v>
      </c>
      <c r="DF149" s="83">
        <v>0</v>
      </c>
      <c r="DG149" s="83">
        <v>0</v>
      </c>
      <c r="DH149" s="83">
        <v>0</v>
      </c>
      <c r="DI149" s="83">
        <v>0</v>
      </c>
      <c r="DJ149" s="83">
        <v>0</v>
      </c>
      <c r="DK149" s="83">
        <v>0</v>
      </c>
      <c r="DL149" s="83">
        <v>0</v>
      </c>
      <c r="DM149" s="83">
        <v>0</v>
      </c>
      <c r="DN149" s="83">
        <v>0</v>
      </c>
      <c r="DO149" s="83">
        <v>0</v>
      </c>
      <c r="DP149" s="83">
        <v>0</v>
      </c>
      <c r="DR149" s="83">
        <v>0</v>
      </c>
      <c r="DS149" s="83">
        <v>0</v>
      </c>
      <c r="DT149" s="83">
        <v>0</v>
      </c>
      <c r="DU149" s="83">
        <v>0</v>
      </c>
      <c r="DV149" s="83">
        <v>0</v>
      </c>
      <c r="DW149" s="83">
        <v>0</v>
      </c>
      <c r="DX149" s="83">
        <v>0</v>
      </c>
      <c r="DY149" s="83">
        <v>0</v>
      </c>
      <c r="DZ149" s="83">
        <v>0</v>
      </c>
      <c r="EA149" s="83">
        <v>0</v>
      </c>
      <c r="EB149" s="83">
        <v>0</v>
      </c>
      <c r="EC149" s="83">
        <v>0</v>
      </c>
      <c r="EE149" s="77">
        <v>41040</v>
      </c>
    </row>
    <row r="150" spans="1:154">
      <c r="A150" s="102" t="s">
        <v>185</v>
      </c>
      <c r="B150" s="83">
        <v>0</v>
      </c>
      <c r="C150" s="83">
        <v>0</v>
      </c>
      <c r="D150" s="83">
        <v>0</v>
      </c>
      <c r="E150" s="83">
        <v>0</v>
      </c>
      <c r="F150" s="83">
        <v>0</v>
      </c>
      <c r="G150" s="83">
        <v>0</v>
      </c>
      <c r="H150" s="83">
        <v>0</v>
      </c>
      <c r="I150" s="83">
        <v>0</v>
      </c>
      <c r="J150" s="83">
        <v>0</v>
      </c>
      <c r="K150" s="83">
        <v>0</v>
      </c>
      <c r="L150" s="83">
        <v>0</v>
      </c>
      <c r="M150" s="83">
        <v>0</v>
      </c>
      <c r="N150" s="83">
        <v>0</v>
      </c>
      <c r="O150" s="77">
        <v>0</v>
      </c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Q150" s="83"/>
      <c r="BR150" s="83"/>
      <c r="BS150" s="83"/>
      <c r="BT150" s="83"/>
      <c r="BU150" s="83"/>
      <c r="BV150" s="83"/>
      <c r="BW150" s="83"/>
      <c r="BX150" s="83"/>
      <c r="BY150" s="83"/>
      <c r="BZ150" s="83"/>
      <c r="CA150" s="83"/>
      <c r="CB150" s="83"/>
      <c r="CD150" s="83"/>
      <c r="CE150" s="83"/>
      <c r="CF150" s="83"/>
      <c r="CG150" s="83"/>
      <c r="CH150" s="83"/>
      <c r="CI150" s="83"/>
      <c r="CJ150" s="83"/>
      <c r="CK150" s="83"/>
      <c r="CL150" s="83"/>
      <c r="CM150" s="83"/>
      <c r="CN150" s="83"/>
      <c r="CO150" s="83"/>
      <c r="CQ150" s="83"/>
      <c r="CR150" s="83"/>
      <c r="CS150" s="83"/>
      <c r="CT150" s="83"/>
      <c r="CU150" s="83"/>
      <c r="CV150" s="83"/>
      <c r="CW150" s="83"/>
      <c r="CX150" s="83"/>
      <c r="CY150" s="83"/>
      <c r="CZ150" s="83"/>
      <c r="DA150" s="83"/>
      <c r="DB150" s="83"/>
      <c r="DE150" s="83"/>
      <c r="DF150" s="83"/>
      <c r="DG150" s="83"/>
      <c r="DH150" s="83"/>
      <c r="DI150" s="83"/>
      <c r="DJ150" s="83"/>
      <c r="DK150" s="83"/>
      <c r="DL150" s="83"/>
      <c r="DM150" s="83"/>
      <c r="DN150" s="83"/>
      <c r="DO150" s="83"/>
      <c r="DP150" s="83"/>
      <c r="DR150" s="83">
        <v>0</v>
      </c>
      <c r="DS150" s="83">
        <v>0</v>
      </c>
      <c r="DT150" s="83">
        <v>0</v>
      </c>
      <c r="DU150" s="83">
        <v>0</v>
      </c>
      <c r="DV150" s="83">
        <v>0</v>
      </c>
      <c r="DW150" s="83">
        <v>0</v>
      </c>
      <c r="DX150" s="83">
        <v>0</v>
      </c>
      <c r="DY150" s="83">
        <v>0</v>
      </c>
      <c r="DZ150" s="83">
        <v>0</v>
      </c>
      <c r="EA150" s="83">
        <v>0</v>
      </c>
      <c r="EB150" s="83">
        <v>0</v>
      </c>
      <c r="EC150" s="83">
        <v>0</v>
      </c>
      <c r="EE150" s="77">
        <v>0</v>
      </c>
    </row>
    <row r="151" spans="1:154">
      <c r="A151" s="102" t="s">
        <v>258</v>
      </c>
      <c r="B151" s="83">
        <v>0</v>
      </c>
      <c r="C151" s="83">
        <v>0</v>
      </c>
      <c r="D151" s="83">
        <v>0</v>
      </c>
      <c r="E151" s="83">
        <v>0</v>
      </c>
      <c r="F151" s="83">
        <v>0</v>
      </c>
      <c r="G151" s="83">
        <v>0</v>
      </c>
      <c r="H151" s="83">
        <v>0</v>
      </c>
      <c r="I151" s="83">
        <v>0</v>
      </c>
      <c r="J151" s="83">
        <v>0</v>
      </c>
      <c r="K151" s="83">
        <v>0</v>
      </c>
      <c r="L151" s="83">
        <v>0</v>
      </c>
      <c r="M151" s="83">
        <v>0</v>
      </c>
      <c r="N151" s="83">
        <v>0</v>
      </c>
      <c r="O151" s="77">
        <v>0</v>
      </c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Q151" s="83"/>
      <c r="BR151" s="83"/>
      <c r="BS151" s="83"/>
      <c r="BT151" s="83"/>
      <c r="BU151" s="83"/>
      <c r="BV151" s="83"/>
      <c r="BW151" s="83"/>
      <c r="BX151" s="83"/>
      <c r="BY151" s="83"/>
      <c r="BZ151" s="83"/>
      <c r="CA151" s="83"/>
      <c r="CB151" s="83"/>
      <c r="CD151" s="83"/>
      <c r="CE151" s="83"/>
      <c r="CF151" s="83"/>
      <c r="CG151" s="83"/>
      <c r="CH151" s="83"/>
      <c r="CI151" s="83"/>
      <c r="CJ151" s="83"/>
      <c r="CK151" s="83"/>
      <c r="CL151" s="83"/>
      <c r="CM151" s="83"/>
      <c r="CN151" s="83"/>
      <c r="CO151" s="83"/>
      <c r="CQ151" s="83"/>
      <c r="CR151" s="83"/>
      <c r="CS151" s="83"/>
      <c r="CT151" s="83"/>
      <c r="CU151" s="83"/>
      <c r="CV151" s="83"/>
      <c r="CW151" s="83"/>
      <c r="CX151" s="83"/>
      <c r="CY151" s="83"/>
      <c r="CZ151" s="83"/>
      <c r="DA151" s="83"/>
      <c r="DB151" s="83"/>
      <c r="DE151" s="83"/>
      <c r="DF151" s="83"/>
      <c r="DG151" s="83"/>
      <c r="DH151" s="83"/>
      <c r="DI151" s="83"/>
      <c r="DJ151" s="83"/>
      <c r="DK151" s="83"/>
      <c r="DL151" s="83"/>
      <c r="DM151" s="83"/>
      <c r="DN151" s="83"/>
      <c r="DO151" s="83"/>
      <c r="DP151" s="83"/>
      <c r="DR151" s="83">
        <v>0</v>
      </c>
      <c r="DS151" s="83">
        <v>0</v>
      </c>
      <c r="DT151" s="83">
        <v>0</v>
      </c>
      <c r="DU151" s="83">
        <v>0</v>
      </c>
      <c r="DV151" s="83">
        <v>0</v>
      </c>
      <c r="DW151" s="83">
        <v>0</v>
      </c>
      <c r="DX151" s="83">
        <v>0</v>
      </c>
      <c r="DY151" s="83">
        <v>0</v>
      </c>
      <c r="DZ151" s="83">
        <v>0</v>
      </c>
      <c r="EA151" s="83">
        <v>0</v>
      </c>
      <c r="EB151" s="83">
        <v>0</v>
      </c>
      <c r="EC151" s="83">
        <v>0</v>
      </c>
      <c r="EE151" s="77">
        <v>0</v>
      </c>
    </row>
    <row r="152" spans="1:154">
      <c r="A152" s="101" t="s">
        <v>237</v>
      </c>
      <c r="B152" s="83">
        <v>0</v>
      </c>
      <c r="C152" s="83">
        <v>460000</v>
      </c>
      <c r="D152" s="83">
        <v>460000</v>
      </c>
      <c r="E152" s="83">
        <v>460000</v>
      </c>
      <c r="F152" s="83">
        <v>460000</v>
      </c>
      <c r="G152" s="83">
        <v>460000</v>
      </c>
      <c r="H152" s="83">
        <v>460000</v>
      </c>
      <c r="I152" s="83">
        <v>460000</v>
      </c>
      <c r="J152" s="83">
        <v>460000</v>
      </c>
      <c r="K152" s="83">
        <v>460000</v>
      </c>
      <c r="L152" s="83">
        <v>460000</v>
      </c>
      <c r="M152" s="83">
        <v>460000</v>
      </c>
      <c r="N152" s="83">
        <v>460000</v>
      </c>
      <c r="O152" s="77">
        <v>0</v>
      </c>
      <c r="Q152" s="83">
        <v>276000</v>
      </c>
      <c r="R152" s="83">
        <v>276000</v>
      </c>
      <c r="S152" s="83">
        <v>276000</v>
      </c>
      <c r="T152" s="83">
        <v>276000</v>
      </c>
      <c r="U152" s="83">
        <v>276000</v>
      </c>
      <c r="V152" s="83">
        <v>276000</v>
      </c>
      <c r="W152" s="83">
        <v>276000</v>
      </c>
      <c r="X152" s="83">
        <v>276000</v>
      </c>
      <c r="Y152" s="83">
        <v>276000</v>
      </c>
      <c r="Z152" s="83">
        <v>276000</v>
      </c>
      <c r="AA152" s="83">
        <v>276000</v>
      </c>
      <c r="AB152" s="83">
        <v>276000</v>
      </c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Q152" s="83">
        <v>184000</v>
      </c>
      <c r="BR152" s="83">
        <v>184000</v>
      </c>
      <c r="BS152" s="83">
        <v>184000</v>
      </c>
      <c r="BT152" s="83">
        <v>184000</v>
      </c>
      <c r="BU152" s="83">
        <v>184000</v>
      </c>
      <c r="BV152" s="83">
        <v>184000</v>
      </c>
      <c r="BW152" s="83">
        <v>184000</v>
      </c>
      <c r="BX152" s="83">
        <v>184000</v>
      </c>
      <c r="BY152" s="83">
        <v>184000</v>
      </c>
      <c r="BZ152" s="83">
        <v>184000</v>
      </c>
      <c r="CA152" s="83">
        <v>184000</v>
      </c>
      <c r="CB152" s="83">
        <v>184000</v>
      </c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  <c r="CQ152" s="83"/>
      <c r="CR152" s="83"/>
      <c r="CS152" s="83"/>
      <c r="CT152" s="83"/>
      <c r="CU152" s="83"/>
      <c r="CV152" s="83"/>
      <c r="CW152" s="83"/>
      <c r="CX152" s="83"/>
      <c r="CY152" s="83"/>
      <c r="CZ152" s="83"/>
      <c r="DA152" s="83"/>
      <c r="DB152" s="83"/>
      <c r="DE152" s="83"/>
      <c r="DF152" s="83"/>
      <c r="DG152" s="83"/>
      <c r="DH152" s="83"/>
      <c r="DI152" s="83"/>
      <c r="DJ152" s="83"/>
      <c r="DK152" s="83"/>
      <c r="DL152" s="83"/>
      <c r="DM152" s="83"/>
      <c r="DN152" s="83"/>
      <c r="DO152" s="83"/>
      <c r="DP152" s="83"/>
      <c r="DR152" s="83">
        <v>0</v>
      </c>
      <c r="DS152" s="83">
        <v>0</v>
      </c>
      <c r="DT152" s="83">
        <v>0</v>
      </c>
      <c r="DU152" s="83">
        <v>0</v>
      </c>
      <c r="DV152" s="83">
        <v>0</v>
      </c>
      <c r="DW152" s="83">
        <v>0</v>
      </c>
      <c r="DX152" s="83">
        <v>0</v>
      </c>
      <c r="DY152" s="83">
        <v>0</v>
      </c>
      <c r="DZ152" s="83">
        <v>0</v>
      </c>
      <c r="EA152" s="83">
        <v>0</v>
      </c>
      <c r="EB152" s="83">
        <v>0</v>
      </c>
      <c r="EC152" s="83">
        <v>0</v>
      </c>
      <c r="EE152" s="77">
        <v>2208000</v>
      </c>
    </row>
    <row r="153" spans="1:154">
      <c r="A153" s="101" t="s">
        <v>187</v>
      </c>
      <c r="B153" s="83">
        <v>0</v>
      </c>
      <c r="C153" s="83">
        <v>125000</v>
      </c>
      <c r="D153" s="83">
        <v>125000</v>
      </c>
      <c r="E153" s="83">
        <v>125000</v>
      </c>
      <c r="F153" s="83">
        <v>125000</v>
      </c>
      <c r="G153" s="83">
        <v>125000</v>
      </c>
      <c r="H153" s="83">
        <v>125000</v>
      </c>
      <c r="I153" s="83">
        <v>125000</v>
      </c>
      <c r="J153" s="83">
        <v>125000</v>
      </c>
      <c r="K153" s="83">
        <v>125000</v>
      </c>
      <c r="L153" s="83">
        <v>125000</v>
      </c>
      <c r="M153" s="83">
        <v>125000</v>
      </c>
      <c r="N153" s="83">
        <v>125000</v>
      </c>
      <c r="O153" s="77">
        <v>-100000</v>
      </c>
      <c r="Q153" s="83">
        <v>50000</v>
      </c>
      <c r="R153" s="83">
        <v>50000</v>
      </c>
      <c r="S153" s="83">
        <v>50000</v>
      </c>
      <c r="T153" s="83">
        <v>50000</v>
      </c>
      <c r="U153" s="83">
        <v>50000</v>
      </c>
      <c r="V153" s="83">
        <v>50000</v>
      </c>
      <c r="W153" s="83">
        <v>50000</v>
      </c>
      <c r="X153" s="83">
        <v>50000</v>
      </c>
      <c r="Y153" s="83">
        <v>50000</v>
      </c>
      <c r="Z153" s="83">
        <v>50000</v>
      </c>
      <c r="AA153" s="83">
        <v>50000</v>
      </c>
      <c r="AB153" s="83">
        <v>50000</v>
      </c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Q153" s="83">
        <v>22500</v>
      </c>
      <c r="AR153" s="83">
        <v>22500</v>
      </c>
      <c r="AS153" s="83">
        <v>22500</v>
      </c>
      <c r="AT153" s="83">
        <v>22500</v>
      </c>
      <c r="AU153" s="83">
        <v>22500</v>
      </c>
      <c r="AV153" s="83">
        <v>22500</v>
      </c>
      <c r="AW153" s="83">
        <v>22500</v>
      </c>
      <c r="AX153" s="83">
        <v>22500</v>
      </c>
      <c r="AY153" s="83">
        <v>22500</v>
      </c>
      <c r="AZ153" s="83">
        <v>22500</v>
      </c>
      <c r="BA153" s="83">
        <v>22500</v>
      </c>
      <c r="BB153" s="83">
        <v>22500</v>
      </c>
      <c r="BD153" s="83">
        <v>15000</v>
      </c>
      <c r="BE153" s="83">
        <v>15000</v>
      </c>
      <c r="BF153" s="83">
        <v>15000</v>
      </c>
      <c r="BG153" s="83">
        <v>15000</v>
      </c>
      <c r="BH153" s="83">
        <v>15000</v>
      </c>
      <c r="BI153" s="83">
        <v>15000</v>
      </c>
      <c r="BJ153" s="83">
        <v>15000</v>
      </c>
      <c r="BK153" s="83">
        <v>15000</v>
      </c>
      <c r="BL153" s="83">
        <v>15000</v>
      </c>
      <c r="BM153" s="83">
        <v>15000</v>
      </c>
      <c r="BN153" s="83">
        <v>15000</v>
      </c>
      <c r="BO153" s="83">
        <v>15000</v>
      </c>
      <c r="BQ153" s="83">
        <v>18750</v>
      </c>
      <c r="BR153" s="83">
        <v>18750</v>
      </c>
      <c r="BS153" s="83">
        <v>18750</v>
      </c>
      <c r="BT153" s="83">
        <v>18750</v>
      </c>
      <c r="BU153" s="83">
        <v>18750</v>
      </c>
      <c r="BV153" s="83">
        <v>18750</v>
      </c>
      <c r="BW153" s="83">
        <v>18750</v>
      </c>
      <c r="BX153" s="83">
        <v>18750</v>
      </c>
      <c r="BY153" s="83">
        <v>18750</v>
      </c>
      <c r="BZ153" s="83">
        <v>18750</v>
      </c>
      <c r="CA153" s="83">
        <v>18750</v>
      </c>
      <c r="CB153" s="83">
        <v>18750</v>
      </c>
      <c r="CD153" s="83">
        <v>11250</v>
      </c>
      <c r="CE153" s="83">
        <v>11250</v>
      </c>
      <c r="CF153" s="83">
        <v>11250</v>
      </c>
      <c r="CG153" s="83">
        <v>11250</v>
      </c>
      <c r="CH153" s="83">
        <v>11250</v>
      </c>
      <c r="CI153" s="83">
        <v>11250</v>
      </c>
      <c r="CJ153" s="83">
        <v>11250</v>
      </c>
      <c r="CK153" s="83">
        <v>11250</v>
      </c>
      <c r="CL153" s="83">
        <v>11250</v>
      </c>
      <c r="CM153" s="83">
        <v>11250</v>
      </c>
      <c r="CN153" s="83">
        <v>11250</v>
      </c>
      <c r="CO153" s="83">
        <v>11250</v>
      </c>
      <c r="CQ153" s="83">
        <v>7500</v>
      </c>
      <c r="CR153" s="83">
        <v>7500</v>
      </c>
      <c r="CS153" s="83">
        <v>7500</v>
      </c>
      <c r="CT153" s="83">
        <v>7500</v>
      </c>
      <c r="CU153" s="83">
        <v>7500</v>
      </c>
      <c r="CV153" s="83">
        <v>7500</v>
      </c>
      <c r="CW153" s="83">
        <v>7500</v>
      </c>
      <c r="CX153" s="83">
        <v>7500</v>
      </c>
      <c r="CY153" s="83">
        <v>7500</v>
      </c>
      <c r="CZ153" s="83">
        <v>7500</v>
      </c>
      <c r="DA153" s="83">
        <v>7500</v>
      </c>
      <c r="DB153" s="83">
        <v>7500</v>
      </c>
      <c r="DE153" s="83">
        <v>5000</v>
      </c>
      <c r="DF153" s="83">
        <v>5000</v>
      </c>
      <c r="DG153" s="83">
        <v>5000</v>
      </c>
      <c r="DH153" s="83">
        <v>5000</v>
      </c>
      <c r="DI153" s="83">
        <v>5000</v>
      </c>
      <c r="DJ153" s="83">
        <v>5000</v>
      </c>
      <c r="DK153" s="83">
        <v>5000</v>
      </c>
      <c r="DL153" s="83">
        <v>5000</v>
      </c>
      <c r="DM153" s="83">
        <v>5000</v>
      </c>
      <c r="DN153" s="83">
        <v>5000</v>
      </c>
      <c r="DO153" s="83">
        <v>5000</v>
      </c>
      <c r="DP153" s="83">
        <v>5000</v>
      </c>
      <c r="DR153" s="83">
        <v>3333.333333333333</v>
      </c>
      <c r="DS153" s="83">
        <v>3333.333333333333</v>
      </c>
      <c r="DT153" s="83">
        <v>3333.333333333333</v>
      </c>
      <c r="DU153" s="83">
        <v>3333.333333333333</v>
      </c>
      <c r="DV153" s="83">
        <v>3333.333333333333</v>
      </c>
      <c r="DW153" s="83">
        <v>3333.333333333333</v>
      </c>
      <c r="DX153" s="83">
        <v>3333.333333333333</v>
      </c>
      <c r="DY153" s="83">
        <v>3333.333333333333</v>
      </c>
      <c r="DZ153" s="83">
        <v>3333.333333333333</v>
      </c>
      <c r="EA153" s="83">
        <v>3333.333333333333</v>
      </c>
      <c r="EB153" s="83">
        <v>3333.333333333333</v>
      </c>
      <c r="EC153" s="83">
        <v>3333.333333333333</v>
      </c>
      <c r="EE153" s="77">
        <v>955000.00000000047</v>
      </c>
    </row>
    <row r="154" spans="1:154">
      <c r="A154" s="102" t="s">
        <v>188</v>
      </c>
      <c r="B154" s="83">
        <v>0</v>
      </c>
      <c r="C154" s="83">
        <v>12500</v>
      </c>
      <c r="D154" s="83">
        <v>12500</v>
      </c>
      <c r="E154" s="83">
        <v>12500</v>
      </c>
      <c r="F154" s="83">
        <v>12500</v>
      </c>
      <c r="G154" s="83">
        <v>12500</v>
      </c>
      <c r="H154" s="83">
        <v>12500</v>
      </c>
      <c r="I154" s="83">
        <v>12500</v>
      </c>
      <c r="J154" s="83">
        <v>12500</v>
      </c>
      <c r="K154" s="83">
        <v>12500</v>
      </c>
      <c r="L154" s="83">
        <v>12500</v>
      </c>
      <c r="M154" s="83">
        <v>12500</v>
      </c>
      <c r="N154" s="83">
        <v>12500</v>
      </c>
      <c r="O154" s="77">
        <v>-60000</v>
      </c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Q154" s="83">
        <v>7500</v>
      </c>
      <c r="AR154" s="83">
        <v>7500</v>
      </c>
      <c r="AS154" s="83">
        <v>7500</v>
      </c>
      <c r="AT154" s="83">
        <v>7500</v>
      </c>
      <c r="AU154" s="83">
        <v>7500</v>
      </c>
      <c r="AV154" s="83">
        <v>7500</v>
      </c>
      <c r="AW154" s="83">
        <v>7500</v>
      </c>
      <c r="AX154" s="83">
        <v>7500</v>
      </c>
      <c r="AY154" s="83">
        <v>7500</v>
      </c>
      <c r="AZ154" s="83">
        <v>7500</v>
      </c>
      <c r="BA154" s="83">
        <v>7500</v>
      </c>
      <c r="BB154" s="83">
        <v>7500</v>
      </c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D154" s="83">
        <v>5000</v>
      </c>
      <c r="CE154" s="83">
        <v>5000</v>
      </c>
      <c r="CF154" s="83">
        <v>5000</v>
      </c>
      <c r="CG154" s="83">
        <v>5000</v>
      </c>
      <c r="CH154" s="83">
        <v>5000</v>
      </c>
      <c r="CI154" s="83">
        <v>5000</v>
      </c>
      <c r="CJ154" s="83">
        <v>5000</v>
      </c>
      <c r="CK154" s="83">
        <v>5000</v>
      </c>
      <c r="CL154" s="83">
        <v>5000</v>
      </c>
      <c r="CM154" s="83">
        <v>5000</v>
      </c>
      <c r="CN154" s="83">
        <v>5000</v>
      </c>
      <c r="CO154" s="83">
        <v>5000</v>
      </c>
      <c r="CQ154" s="83"/>
      <c r="CR154" s="83"/>
      <c r="CS154" s="83"/>
      <c r="CT154" s="83"/>
      <c r="CU154" s="83"/>
      <c r="CV154" s="83"/>
      <c r="CW154" s="83"/>
      <c r="CX154" s="83"/>
      <c r="CY154" s="83"/>
      <c r="CZ154" s="83"/>
      <c r="DA154" s="83"/>
      <c r="DB154" s="83"/>
      <c r="DE154" s="83">
        <v>3000</v>
      </c>
      <c r="DF154" s="83">
        <v>3000</v>
      </c>
      <c r="DG154" s="83">
        <v>3000</v>
      </c>
      <c r="DH154" s="83">
        <v>3000</v>
      </c>
      <c r="DI154" s="83">
        <v>3000</v>
      </c>
      <c r="DJ154" s="83">
        <v>3000</v>
      </c>
      <c r="DK154" s="83">
        <v>3000</v>
      </c>
      <c r="DL154" s="83">
        <v>3000</v>
      </c>
      <c r="DM154" s="83">
        <v>3000</v>
      </c>
      <c r="DN154" s="83">
        <v>3000</v>
      </c>
      <c r="DO154" s="83">
        <v>3000</v>
      </c>
      <c r="DP154" s="83">
        <v>3000</v>
      </c>
      <c r="DR154" s="83">
        <v>2000</v>
      </c>
      <c r="DS154" s="83">
        <v>2000</v>
      </c>
      <c r="DT154" s="83">
        <v>2000</v>
      </c>
      <c r="DU154" s="83">
        <v>2000</v>
      </c>
      <c r="DV154" s="83">
        <v>2000</v>
      </c>
      <c r="DW154" s="83">
        <v>2000</v>
      </c>
      <c r="DX154" s="83">
        <v>2000</v>
      </c>
      <c r="DY154" s="83">
        <v>2000</v>
      </c>
      <c r="DZ154" s="83">
        <v>2000</v>
      </c>
      <c r="EA154" s="83">
        <v>2000</v>
      </c>
      <c r="EB154" s="83">
        <v>2000</v>
      </c>
      <c r="EC154" s="83">
        <v>2000</v>
      </c>
      <c r="EE154" s="77">
        <v>195000</v>
      </c>
    </row>
    <row r="155" spans="1:154">
      <c r="A155" s="102" t="s">
        <v>189</v>
      </c>
      <c r="B155" s="83">
        <v>0</v>
      </c>
      <c r="C155" s="83">
        <v>39500</v>
      </c>
      <c r="D155" s="83">
        <v>39500</v>
      </c>
      <c r="E155" s="83">
        <v>39500</v>
      </c>
      <c r="F155" s="83">
        <v>39500</v>
      </c>
      <c r="G155" s="83">
        <v>39500</v>
      </c>
      <c r="H155" s="83">
        <v>39500</v>
      </c>
      <c r="I155" s="83">
        <v>39500</v>
      </c>
      <c r="J155" s="83">
        <v>39500</v>
      </c>
      <c r="K155" s="83">
        <v>39500</v>
      </c>
      <c r="L155" s="83">
        <v>39500</v>
      </c>
      <c r="M155" s="83">
        <v>39500</v>
      </c>
      <c r="N155" s="83">
        <v>39500</v>
      </c>
      <c r="O155" s="77">
        <v>374000</v>
      </c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Q155" s="83"/>
      <c r="BR155" s="83"/>
      <c r="BS155" s="83"/>
      <c r="BT155" s="83"/>
      <c r="BU155" s="83"/>
      <c r="BV155" s="83"/>
      <c r="BW155" s="83"/>
      <c r="BX155" s="83"/>
      <c r="BY155" s="83"/>
      <c r="BZ155" s="83"/>
      <c r="CA155" s="83"/>
      <c r="CB155" s="83"/>
      <c r="CD155" s="83"/>
      <c r="CE155" s="83"/>
      <c r="CF155" s="83"/>
      <c r="CG155" s="83"/>
      <c r="CH155" s="83"/>
      <c r="CI155" s="83"/>
      <c r="CJ155" s="83"/>
      <c r="CK155" s="83"/>
      <c r="CL155" s="83"/>
      <c r="CM155" s="83"/>
      <c r="CN155" s="83"/>
      <c r="CO155" s="83"/>
      <c r="CQ155" s="83"/>
      <c r="CR155" s="83"/>
      <c r="CS155" s="83"/>
      <c r="CT155" s="83"/>
      <c r="CU155" s="83"/>
      <c r="CV155" s="83"/>
      <c r="CW155" s="83"/>
      <c r="CX155" s="83"/>
      <c r="CY155" s="83"/>
      <c r="CZ155" s="83"/>
      <c r="DA155" s="83"/>
      <c r="DB155" s="83"/>
      <c r="DE155" s="83">
        <v>5000</v>
      </c>
      <c r="DF155" s="83">
        <v>5000</v>
      </c>
      <c r="DG155" s="83">
        <v>5000</v>
      </c>
      <c r="DH155" s="83">
        <v>5000</v>
      </c>
      <c r="DI155" s="83">
        <v>5000</v>
      </c>
      <c r="DJ155" s="83">
        <v>5000</v>
      </c>
      <c r="DK155" s="83">
        <v>5000</v>
      </c>
      <c r="DL155" s="83">
        <v>5000</v>
      </c>
      <c r="DM155" s="83">
        <v>5000</v>
      </c>
      <c r="DN155" s="83">
        <v>5000</v>
      </c>
      <c r="DO155" s="83">
        <v>5000</v>
      </c>
      <c r="DP155" s="83">
        <v>5000</v>
      </c>
      <c r="DR155" s="83">
        <v>3333.333333333333</v>
      </c>
      <c r="DS155" s="83">
        <v>3333.333333333333</v>
      </c>
      <c r="DT155" s="83">
        <v>3333.333333333333</v>
      </c>
      <c r="DU155" s="83">
        <v>3333.333333333333</v>
      </c>
      <c r="DV155" s="83">
        <v>3333.333333333333</v>
      </c>
      <c r="DW155" s="83">
        <v>3333.333333333333</v>
      </c>
      <c r="DX155" s="83">
        <v>3333.333333333333</v>
      </c>
      <c r="DY155" s="83">
        <v>3333.333333333333</v>
      </c>
      <c r="DZ155" s="83">
        <v>3333.333333333333</v>
      </c>
      <c r="EA155" s="83">
        <v>3333.333333333333</v>
      </c>
      <c r="EB155" s="83">
        <v>3333.333333333333</v>
      </c>
      <c r="EC155" s="83">
        <v>3333.333333333333</v>
      </c>
      <c r="EE155" s="77">
        <v>99999.999999999956</v>
      </c>
    </row>
    <row r="156" spans="1:154">
      <c r="A156" s="102" t="s">
        <v>191</v>
      </c>
      <c r="B156" s="83">
        <v>0</v>
      </c>
      <c r="C156" s="83">
        <v>3333.333333333333</v>
      </c>
      <c r="D156" s="83">
        <v>3333.333333333333</v>
      </c>
      <c r="E156" s="83">
        <v>3333.333333333333</v>
      </c>
      <c r="F156" s="83">
        <v>3333.333333333333</v>
      </c>
      <c r="G156" s="83">
        <v>3333.333333333333</v>
      </c>
      <c r="H156" s="83">
        <v>3333.333333333333</v>
      </c>
      <c r="I156" s="83">
        <v>3333.333333333333</v>
      </c>
      <c r="J156" s="83">
        <v>3333.333333333333</v>
      </c>
      <c r="K156" s="83">
        <v>3333.333333333333</v>
      </c>
      <c r="L156" s="83">
        <v>3333.333333333333</v>
      </c>
      <c r="M156" s="83">
        <v>3333.333333333333</v>
      </c>
      <c r="N156" s="83">
        <v>3333.333333333333</v>
      </c>
      <c r="O156" s="77">
        <v>40000</v>
      </c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Q156" s="83"/>
      <c r="BR156" s="83"/>
      <c r="BS156" s="83"/>
      <c r="BT156" s="83"/>
      <c r="BU156" s="83"/>
      <c r="BV156" s="83"/>
      <c r="BW156" s="83"/>
      <c r="BX156" s="83"/>
      <c r="BY156" s="83"/>
      <c r="BZ156" s="83"/>
      <c r="CA156" s="83"/>
      <c r="CB156" s="83"/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  <c r="CQ156" s="83"/>
      <c r="CR156" s="83"/>
      <c r="CS156" s="83"/>
      <c r="CT156" s="83"/>
      <c r="CU156" s="83"/>
      <c r="CV156" s="83"/>
      <c r="CW156" s="83"/>
      <c r="CX156" s="83"/>
      <c r="CY156" s="83"/>
      <c r="CZ156" s="83"/>
      <c r="DA156" s="83"/>
      <c r="DB156" s="83"/>
      <c r="DE156" s="83"/>
      <c r="DF156" s="83"/>
      <c r="DG156" s="83"/>
      <c r="DH156" s="83"/>
      <c r="DI156" s="83"/>
      <c r="DJ156" s="83"/>
      <c r="DK156" s="83"/>
      <c r="DL156" s="83"/>
      <c r="DM156" s="83"/>
      <c r="DN156" s="83"/>
      <c r="DO156" s="83"/>
      <c r="DP156" s="83"/>
      <c r="DR156" s="83">
        <v>0</v>
      </c>
      <c r="DS156" s="83">
        <v>0</v>
      </c>
      <c r="DT156" s="83">
        <v>0</v>
      </c>
      <c r="DU156" s="83">
        <v>0</v>
      </c>
      <c r="DV156" s="83">
        <v>0</v>
      </c>
      <c r="DW156" s="83">
        <v>0</v>
      </c>
      <c r="DX156" s="83">
        <v>0</v>
      </c>
      <c r="DY156" s="83">
        <v>0</v>
      </c>
      <c r="DZ156" s="83">
        <v>0</v>
      </c>
      <c r="EA156" s="83">
        <v>0</v>
      </c>
      <c r="EB156" s="83">
        <v>0</v>
      </c>
      <c r="EC156" s="83">
        <v>0</v>
      </c>
      <c r="EE156" s="77">
        <v>0</v>
      </c>
    </row>
    <row r="157" spans="1:154">
      <c r="A157" s="102" t="s">
        <v>192</v>
      </c>
      <c r="B157" s="83">
        <v>0</v>
      </c>
      <c r="C157" s="83">
        <v>0</v>
      </c>
      <c r="D157" s="83">
        <v>0</v>
      </c>
      <c r="E157" s="83">
        <v>0</v>
      </c>
      <c r="F157" s="83">
        <v>0</v>
      </c>
      <c r="G157" s="83">
        <v>0</v>
      </c>
      <c r="H157" s="83">
        <v>0</v>
      </c>
      <c r="I157" s="83">
        <v>0</v>
      </c>
      <c r="J157" s="83">
        <v>0</v>
      </c>
      <c r="K157" s="83">
        <v>0</v>
      </c>
      <c r="L157" s="83">
        <v>0</v>
      </c>
      <c r="M157" s="83">
        <v>0</v>
      </c>
      <c r="N157" s="83">
        <v>0</v>
      </c>
      <c r="O157" s="77">
        <v>0</v>
      </c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Q157" s="83"/>
      <c r="BR157" s="83"/>
      <c r="BS157" s="83"/>
      <c r="BT157" s="83"/>
      <c r="BU157" s="83"/>
      <c r="BV157" s="83"/>
      <c r="BW157" s="83"/>
      <c r="BX157" s="83"/>
      <c r="BY157" s="83"/>
      <c r="BZ157" s="83"/>
      <c r="CA157" s="83"/>
      <c r="CB157" s="83"/>
      <c r="CD157" s="83"/>
      <c r="CE157" s="83"/>
      <c r="CF157" s="83"/>
      <c r="CG157" s="83"/>
      <c r="CH157" s="83"/>
      <c r="CI157" s="83"/>
      <c r="CJ157" s="83"/>
      <c r="CK157" s="83"/>
      <c r="CL157" s="83"/>
      <c r="CM157" s="83"/>
      <c r="CN157" s="83"/>
      <c r="CO157" s="83"/>
      <c r="CQ157" s="83"/>
      <c r="CR157" s="83"/>
      <c r="CS157" s="83"/>
      <c r="CT157" s="83"/>
      <c r="CU157" s="83"/>
      <c r="CV157" s="83"/>
      <c r="CW157" s="83"/>
      <c r="CX157" s="83"/>
      <c r="CY157" s="83"/>
      <c r="CZ157" s="83"/>
      <c r="DA157" s="83"/>
      <c r="DB157" s="83"/>
      <c r="DE157" s="83"/>
      <c r="DF157" s="83"/>
      <c r="DG157" s="83"/>
      <c r="DH157" s="83"/>
      <c r="DI157" s="83"/>
      <c r="DJ157" s="83"/>
      <c r="DK157" s="83"/>
      <c r="DL157" s="83"/>
      <c r="DM157" s="83"/>
      <c r="DN157" s="83"/>
      <c r="DO157" s="83"/>
      <c r="DP157" s="83"/>
      <c r="DR157" s="83">
        <v>0</v>
      </c>
      <c r="DS157" s="83">
        <v>0</v>
      </c>
      <c r="DT157" s="83">
        <v>0</v>
      </c>
      <c r="DU157" s="83">
        <v>0</v>
      </c>
      <c r="DV157" s="83">
        <v>0</v>
      </c>
      <c r="DW157" s="83">
        <v>0</v>
      </c>
      <c r="DX157" s="83">
        <v>0</v>
      </c>
      <c r="DY157" s="83">
        <v>0</v>
      </c>
      <c r="DZ157" s="83">
        <v>0</v>
      </c>
      <c r="EA157" s="83">
        <v>0</v>
      </c>
      <c r="EB157" s="83">
        <v>0</v>
      </c>
      <c r="EC157" s="83">
        <v>0</v>
      </c>
      <c r="EE157" s="77">
        <v>0</v>
      </c>
    </row>
    <row r="158" spans="1:154">
      <c r="A158" s="101" t="s">
        <v>196</v>
      </c>
      <c r="B158" s="83">
        <v>0</v>
      </c>
      <c r="C158" s="83">
        <v>442936.16999999993</v>
      </c>
      <c r="D158" s="83">
        <v>432722.20999999996</v>
      </c>
      <c r="E158" s="83">
        <v>422432.15</v>
      </c>
      <c r="F158" s="83">
        <v>412065.43999999994</v>
      </c>
      <c r="G158" s="83">
        <v>401621.51</v>
      </c>
      <c r="H158" s="83">
        <v>391099.74</v>
      </c>
      <c r="I158" s="83">
        <v>380499.6</v>
      </c>
      <c r="J158" s="83">
        <v>369820.49</v>
      </c>
      <c r="K158" s="83">
        <v>359061.81</v>
      </c>
      <c r="L158" s="83">
        <v>348222.95</v>
      </c>
      <c r="M158" s="83">
        <v>337303.35000000003</v>
      </c>
      <c r="N158" s="83">
        <v>326302.39999999997</v>
      </c>
      <c r="O158" s="77">
        <v>0</v>
      </c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Q158" s="83">
        <v>265761.70199999993</v>
      </c>
      <c r="AR158" s="83">
        <v>259633.32599999997</v>
      </c>
      <c r="AS158" s="83">
        <v>253459.29</v>
      </c>
      <c r="AT158" s="83">
        <v>247239.26399999997</v>
      </c>
      <c r="AU158" s="83">
        <v>240972.90599999999</v>
      </c>
      <c r="AV158" s="83">
        <v>234659.84399999998</v>
      </c>
      <c r="AW158" s="83">
        <v>228299.75999999998</v>
      </c>
      <c r="AX158" s="83">
        <v>221892.29399999999</v>
      </c>
      <c r="AY158" s="83">
        <v>215437.08599999998</v>
      </c>
      <c r="AZ158" s="83">
        <v>208933.77</v>
      </c>
      <c r="BA158" s="83">
        <v>202382.01</v>
      </c>
      <c r="BB158" s="83">
        <v>195781.43999999997</v>
      </c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Q158" s="83"/>
      <c r="BR158" s="83"/>
      <c r="BS158" s="83"/>
      <c r="BT158" s="83"/>
      <c r="BU158" s="83"/>
      <c r="BV158" s="83"/>
      <c r="BW158" s="83"/>
      <c r="BX158" s="83"/>
      <c r="BY158" s="83"/>
      <c r="BZ158" s="83"/>
      <c r="CA158" s="83"/>
      <c r="CB158" s="83"/>
      <c r="CD158" s="83">
        <v>177174.46799999999</v>
      </c>
      <c r="CE158" s="83">
        <v>173088.88399999999</v>
      </c>
      <c r="CF158" s="83">
        <v>168972.86000000002</v>
      </c>
      <c r="CG158" s="83">
        <v>164826.17599999998</v>
      </c>
      <c r="CH158" s="83">
        <v>160648.60400000002</v>
      </c>
      <c r="CI158" s="83">
        <v>156439.89600000001</v>
      </c>
      <c r="CJ158" s="83">
        <v>152199.84</v>
      </c>
      <c r="CK158" s="83">
        <v>147928.196</v>
      </c>
      <c r="CL158" s="83">
        <v>143624.72400000002</v>
      </c>
      <c r="CM158" s="83">
        <v>139289.18000000002</v>
      </c>
      <c r="CN158" s="83">
        <v>134921.34000000003</v>
      </c>
      <c r="CO158" s="83">
        <v>130520.95999999999</v>
      </c>
      <c r="CQ158" s="83"/>
      <c r="CR158" s="83"/>
      <c r="CS158" s="83"/>
      <c r="CT158" s="83"/>
      <c r="CU158" s="83"/>
      <c r="CV158" s="83"/>
      <c r="CW158" s="83"/>
      <c r="CX158" s="83"/>
      <c r="CY158" s="83"/>
      <c r="CZ158" s="83"/>
      <c r="DA158" s="83"/>
      <c r="DB158" s="83"/>
      <c r="DE158" s="83"/>
      <c r="DF158" s="83"/>
      <c r="DG158" s="83"/>
      <c r="DH158" s="83"/>
      <c r="DI158" s="83"/>
      <c r="DJ158" s="83"/>
      <c r="DK158" s="83"/>
      <c r="DL158" s="83"/>
      <c r="DM158" s="83"/>
      <c r="DN158" s="83"/>
      <c r="DO158" s="83"/>
      <c r="DP158" s="83"/>
      <c r="DR158" s="83">
        <v>0</v>
      </c>
      <c r="DS158" s="83">
        <v>0</v>
      </c>
      <c r="DT158" s="83">
        <v>0</v>
      </c>
      <c r="DU158" s="83">
        <v>0</v>
      </c>
      <c r="DV158" s="83">
        <v>0</v>
      </c>
      <c r="DW158" s="83">
        <v>0</v>
      </c>
      <c r="DX158" s="83">
        <v>0</v>
      </c>
      <c r="DY158" s="83">
        <v>0</v>
      </c>
      <c r="DZ158" s="83">
        <v>0</v>
      </c>
      <c r="EA158" s="83">
        <v>0</v>
      </c>
      <c r="EB158" s="83">
        <v>0</v>
      </c>
      <c r="EC158" s="83">
        <v>0</v>
      </c>
      <c r="EE158" s="77">
        <v>4624087.8199999994</v>
      </c>
    </row>
    <row r="159" spans="1:154">
      <c r="A159" s="101" t="s">
        <v>197</v>
      </c>
      <c r="B159" s="83">
        <v>0</v>
      </c>
      <c r="C159" s="83">
        <v>552887.87206931366</v>
      </c>
      <c r="D159" s="83">
        <v>493217.37705205346</v>
      </c>
      <c r="E159" s="83">
        <v>539236.31997451908</v>
      </c>
      <c r="F159" s="83">
        <v>515236.01025205327</v>
      </c>
      <c r="G159" s="83">
        <v>525584.76787972439</v>
      </c>
      <c r="H159" s="83">
        <v>502024.83080547786</v>
      </c>
      <c r="I159" s="83">
        <v>511933.21578492987</v>
      </c>
      <c r="J159" s="83">
        <v>505107.43973753264</v>
      </c>
      <c r="K159" s="83">
        <v>482208.0616356149</v>
      </c>
      <c r="L159" s="83">
        <v>491455.88764273818</v>
      </c>
      <c r="M159" s="83">
        <v>468996.88218903961</v>
      </c>
      <c r="N159" s="83">
        <v>477804.33554794366</v>
      </c>
      <c r="O159" s="77">
        <v>0</v>
      </c>
      <c r="Q159" s="83">
        <v>143750.84673802156</v>
      </c>
      <c r="R159" s="83">
        <v>128236.51803353391</v>
      </c>
      <c r="S159" s="83">
        <v>140201.44319337496</v>
      </c>
      <c r="T159" s="83">
        <v>133961.36266553384</v>
      </c>
      <c r="U159" s="83">
        <v>136652.03964872836</v>
      </c>
      <c r="V159" s="83">
        <v>130526.45600942425</v>
      </c>
      <c r="W159" s="83">
        <v>133102.63610408176</v>
      </c>
      <c r="X159" s="83">
        <v>131327.9343317585</v>
      </c>
      <c r="Y159" s="83">
        <v>125374.09602525987</v>
      </c>
      <c r="Z159" s="83">
        <v>127778.53078711193</v>
      </c>
      <c r="AA159" s="83">
        <v>121939.18936915031</v>
      </c>
      <c r="AB159" s="83">
        <v>124229.12724246536</v>
      </c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Q159" s="83">
        <v>36490.5995565747</v>
      </c>
      <c r="AR159" s="83">
        <v>32552.346885435527</v>
      </c>
      <c r="AS159" s="83">
        <v>35589.597118318263</v>
      </c>
      <c r="AT159" s="83">
        <v>34005.576676635515</v>
      </c>
      <c r="AU159" s="83">
        <v>34688.594680061811</v>
      </c>
      <c r="AV159" s="83">
        <v>33133.638833161538</v>
      </c>
      <c r="AW159" s="83">
        <v>33787.592241805367</v>
      </c>
      <c r="AX159" s="83">
        <v>33337.091022677152</v>
      </c>
      <c r="AY159" s="83">
        <v>31825.732067950579</v>
      </c>
      <c r="AZ159" s="83">
        <v>32436.088584420719</v>
      </c>
      <c r="BA159" s="83">
        <v>30953.794224476613</v>
      </c>
      <c r="BB159" s="83">
        <v>31535.086146164278</v>
      </c>
      <c r="BD159" s="83">
        <v>24327.066371049805</v>
      </c>
      <c r="BE159" s="83">
        <v>21701.564590290352</v>
      </c>
      <c r="BF159" s="83">
        <v>23726.398078878843</v>
      </c>
      <c r="BG159" s="83">
        <v>22670.384451090344</v>
      </c>
      <c r="BH159" s="83">
        <v>23125.729786707874</v>
      </c>
      <c r="BI159" s="83">
        <v>22089.092555441028</v>
      </c>
      <c r="BJ159" s="83">
        <v>22525.061494536916</v>
      </c>
      <c r="BK159" s="83">
        <v>22224.727348451437</v>
      </c>
      <c r="BL159" s="83">
        <v>21217.154711967058</v>
      </c>
      <c r="BM159" s="83">
        <v>21624.059056280483</v>
      </c>
      <c r="BN159" s="83">
        <v>20635.862816317745</v>
      </c>
      <c r="BO159" s="83">
        <v>21023.390764109521</v>
      </c>
      <c r="BQ159" s="83">
        <v>174159.67970183381</v>
      </c>
      <c r="BR159" s="83">
        <v>155363.47377139685</v>
      </c>
      <c r="BS159" s="83">
        <v>169859.44079197352</v>
      </c>
      <c r="BT159" s="83">
        <v>162299.34322939679</v>
      </c>
      <c r="BU159" s="83">
        <v>165559.20188211318</v>
      </c>
      <c r="BV159" s="83">
        <v>158137.82170372552</v>
      </c>
      <c r="BW159" s="83">
        <v>161258.96297225292</v>
      </c>
      <c r="BX159" s="83">
        <v>159108.84351732279</v>
      </c>
      <c r="BY159" s="83">
        <v>151895.53941521869</v>
      </c>
      <c r="BZ159" s="83">
        <v>154808.60460746253</v>
      </c>
      <c r="CA159" s="83">
        <v>147734.01788954748</v>
      </c>
      <c r="CB159" s="83">
        <v>150508.36569760225</v>
      </c>
      <c r="CD159" s="83">
        <v>104495.80782110029</v>
      </c>
      <c r="CE159" s="83">
        <v>93218.084262838107</v>
      </c>
      <c r="CF159" s="83">
        <v>101915.66447518411</v>
      </c>
      <c r="CG159" s="83">
        <v>97379.605937638073</v>
      </c>
      <c r="CH159" s="83">
        <v>99335.521129267901</v>
      </c>
      <c r="CI159" s="83">
        <v>94882.693022235311</v>
      </c>
      <c r="CJ159" s="83">
        <v>96755.377783351752</v>
      </c>
      <c r="CK159" s="83">
        <v>95465.306110393678</v>
      </c>
      <c r="CL159" s="83">
        <v>91137.323649131213</v>
      </c>
      <c r="CM159" s="83">
        <v>92885.162764477514</v>
      </c>
      <c r="CN159" s="83">
        <v>88640.41073372848</v>
      </c>
      <c r="CO159" s="83">
        <v>90305.019418561351</v>
      </c>
      <c r="CP159" s="103"/>
      <c r="CQ159" s="83">
        <v>69663.871880733524</v>
      </c>
      <c r="CR159" s="83">
        <v>62145.389508558743</v>
      </c>
      <c r="CS159" s="83">
        <v>67943.776316789415</v>
      </c>
      <c r="CT159" s="83">
        <v>64919.73729175872</v>
      </c>
      <c r="CU159" s="83">
        <v>66223.680752845277</v>
      </c>
      <c r="CV159" s="83">
        <v>63255.128681490212</v>
      </c>
      <c r="CW159" s="83">
        <v>64503.585188901168</v>
      </c>
      <c r="CX159" s="83">
        <v>63643.537406929121</v>
      </c>
      <c r="CY159" s="83">
        <v>60758.21576608748</v>
      </c>
      <c r="CZ159" s="83">
        <v>61923.441842985019</v>
      </c>
      <c r="DA159" s="83">
        <v>59093.607155818994</v>
      </c>
      <c r="DB159" s="83">
        <v>60203.346279040903</v>
      </c>
      <c r="DE159" s="83">
        <v>0</v>
      </c>
      <c r="DF159" s="83">
        <v>0</v>
      </c>
      <c r="DG159" s="83">
        <v>0</v>
      </c>
      <c r="DH159" s="83">
        <v>0</v>
      </c>
      <c r="DI159" s="83">
        <v>0</v>
      </c>
      <c r="DJ159" s="83">
        <v>0</v>
      </c>
      <c r="DK159" s="83">
        <v>0</v>
      </c>
      <c r="DL159" s="83">
        <v>0</v>
      </c>
      <c r="DM159" s="83">
        <v>0</v>
      </c>
      <c r="DN159" s="83">
        <v>0</v>
      </c>
      <c r="DO159" s="83">
        <v>0</v>
      </c>
      <c r="DP159" s="83">
        <v>0</v>
      </c>
      <c r="DQ159" s="103"/>
      <c r="DR159" s="83">
        <v>0</v>
      </c>
      <c r="DS159" s="83">
        <v>0</v>
      </c>
      <c r="DT159" s="83">
        <v>0</v>
      </c>
      <c r="DU159" s="83">
        <v>0</v>
      </c>
      <c r="DV159" s="83">
        <v>0</v>
      </c>
      <c r="DW159" s="83">
        <v>0</v>
      </c>
      <c r="DX159" s="83">
        <v>0</v>
      </c>
      <c r="DY159" s="83">
        <v>0</v>
      </c>
      <c r="DZ159" s="83">
        <v>0</v>
      </c>
      <c r="EA159" s="83">
        <v>0</v>
      </c>
      <c r="EB159" s="83">
        <v>0</v>
      </c>
      <c r="EC159" s="83">
        <v>0</v>
      </c>
      <c r="EE159" s="77">
        <v>4488612.8204224966</v>
      </c>
    </row>
    <row r="160" spans="1:154">
      <c r="A160" s="102" t="s">
        <v>198</v>
      </c>
      <c r="B160" s="83">
        <v>0</v>
      </c>
      <c r="C160" s="83">
        <v>78817</v>
      </c>
      <c r="D160" s="83">
        <v>74445</v>
      </c>
      <c r="E160" s="83">
        <v>70041</v>
      </c>
      <c r="F160" s="83">
        <v>65606</v>
      </c>
      <c r="G160" s="83">
        <v>61137.999999999993</v>
      </c>
      <c r="H160" s="83">
        <v>56637</v>
      </c>
      <c r="I160" s="83">
        <v>52104</v>
      </c>
      <c r="J160" s="83">
        <v>47537</v>
      </c>
      <c r="K160" s="83">
        <v>42938</v>
      </c>
      <c r="L160" s="83">
        <v>38304</v>
      </c>
      <c r="M160" s="83">
        <v>33637</v>
      </c>
      <c r="N160" s="83">
        <v>28936</v>
      </c>
      <c r="O160" s="77">
        <v>0</v>
      </c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Q160" s="83">
        <v>47290.2</v>
      </c>
      <c r="AR160" s="83">
        <v>44667</v>
      </c>
      <c r="AS160" s="83">
        <v>42024.6</v>
      </c>
      <c r="AT160" s="83">
        <v>39363.599999999999</v>
      </c>
      <c r="AU160" s="83">
        <v>36682.799999999996</v>
      </c>
      <c r="AV160" s="83">
        <v>33982.199999999997</v>
      </c>
      <c r="AW160" s="83">
        <v>31262.399999999998</v>
      </c>
      <c r="AX160" s="83">
        <v>28522.2</v>
      </c>
      <c r="AY160" s="83">
        <v>25762.799999999999</v>
      </c>
      <c r="AZ160" s="83">
        <v>22982.399999999998</v>
      </c>
      <c r="BA160" s="83">
        <v>20182.2</v>
      </c>
      <c r="BB160" s="83">
        <v>17361.599999999999</v>
      </c>
      <c r="BD160" s="83"/>
      <c r="BE160" s="83"/>
      <c r="BF160" s="83"/>
      <c r="BG160" s="83"/>
      <c r="BH160" s="83"/>
      <c r="BI160" s="83"/>
      <c r="BJ160" s="83"/>
      <c r="BK160" s="83"/>
      <c r="BL160" s="83"/>
      <c r="BM160" s="83"/>
      <c r="BN160" s="83"/>
      <c r="BO160" s="83"/>
      <c r="BQ160" s="83"/>
      <c r="BR160" s="83"/>
      <c r="BS160" s="83"/>
      <c r="BT160" s="83"/>
      <c r="BU160" s="83"/>
      <c r="BV160" s="83"/>
      <c r="BW160" s="83"/>
      <c r="BX160" s="83"/>
      <c r="BY160" s="83"/>
      <c r="BZ160" s="83"/>
      <c r="CA160" s="83"/>
      <c r="CB160" s="83"/>
      <c r="CD160" s="83">
        <v>31526.800000000003</v>
      </c>
      <c r="CE160" s="83">
        <v>29778</v>
      </c>
      <c r="CF160" s="83">
        <v>28016.400000000001</v>
      </c>
      <c r="CG160" s="83">
        <v>26242.400000000001</v>
      </c>
      <c r="CH160" s="83">
        <v>24455.199999999997</v>
      </c>
      <c r="CI160" s="83">
        <v>22654.800000000003</v>
      </c>
      <c r="CJ160" s="83">
        <v>20841.600000000002</v>
      </c>
      <c r="CK160" s="83">
        <v>19014.8</v>
      </c>
      <c r="CL160" s="83">
        <v>17175.2</v>
      </c>
      <c r="CM160" s="83">
        <v>15321.6</v>
      </c>
      <c r="CN160" s="83">
        <v>13454.800000000001</v>
      </c>
      <c r="CO160" s="83">
        <v>11574.400000000001</v>
      </c>
      <c r="CP160" s="103"/>
      <c r="CQ160" s="83"/>
      <c r="CR160" s="83"/>
      <c r="CS160" s="83"/>
      <c r="CT160" s="83"/>
      <c r="CU160" s="83"/>
      <c r="CV160" s="83"/>
      <c r="CW160" s="83"/>
      <c r="CX160" s="83"/>
      <c r="CY160" s="83"/>
      <c r="CZ160" s="83"/>
      <c r="DA160" s="83"/>
      <c r="DB160" s="83"/>
      <c r="DE160" s="83"/>
      <c r="DF160" s="83"/>
      <c r="DG160" s="83"/>
      <c r="DH160" s="83"/>
      <c r="DI160" s="83"/>
      <c r="DJ160" s="83"/>
      <c r="DK160" s="83"/>
      <c r="DL160" s="83"/>
      <c r="DM160" s="83"/>
      <c r="DN160" s="83"/>
      <c r="DO160" s="83"/>
      <c r="DP160" s="83"/>
      <c r="DQ160" s="103"/>
      <c r="DR160" s="83"/>
      <c r="DS160" s="83"/>
      <c r="DT160" s="83"/>
      <c r="DU160" s="83"/>
      <c r="DV160" s="83"/>
      <c r="DW160" s="83"/>
      <c r="DX160" s="83"/>
      <c r="DY160" s="83"/>
      <c r="DZ160" s="83"/>
      <c r="EA160" s="83"/>
      <c r="EB160" s="83"/>
      <c r="EC160" s="83"/>
      <c r="EE160" s="77">
        <v>650140.00000000012</v>
      </c>
    </row>
    <row r="161" spans="1:135">
      <c r="A161" s="102" t="s">
        <v>200</v>
      </c>
      <c r="B161" s="83">
        <v>0</v>
      </c>
      <c r="C161" s="83">
        <v>0</v>
      </c>
      <c r="D161" s="83">
        <v>0</v>
      </c>
      <c r="E161" s="83">
        <v>0</v>
      </c>
      <c r="F161" s="83">
        <v>0</v>
      </c>
      <c r="G161" s="83">
        <v>0</v>
      </c>
      <c r="H161" s="83">
        <v>0</v>
      </c>
      <c r="I161" s="83">
        <v>0</v>
      </c>
      <c r="J161" s="83">
        <v>0</v>
      </c>
      <c r="K161" s="83">
        <v>0</v>
      </c>
      <c r="L161" s="83">
        <v>0</v>
      </c>
      <c r="M161" s="83">
        <v>0</v>
      </c>
      <c r="N161" s="83">
        <v>0</v>
      </c>
      <c r="O161" s="77">
        <v>0</v>
      </c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  <c r="BQ161" s="83"/>
      <c r="BR161" s="83"/>
      <c r="BS161" s="83"/>
      <c r="BT161" s="83"/>
      <c r="BU161" s="83"/>
      <c r="BV161" s="83"/>
      <c r="BW161" s="83"/>
      <c r="BX161" s="83"/>
      <c r="BY161" s="83"/>
      <c r="BZ161" s="83"/>
      <c r="CA161" s="83"/>
      <c r="CB161" s="83"/>
      <c r="CD161" s="83"/>
      <c r="CE161" s="83"/>
      <c r="CF161" s="83"/>
      <c r="CG161" s="83"/>
      <c r="CH161" s="83"/>
      <c r="CI161" s="83"/>
      <c r="CJ161" s="83"/>
      <c r="CK161" s="83"/>
      <c r="CL161" s="83"/>
      <c r="CM161" s="83"/>
      <c r="CN161" s="83"/>
      <c r="CO161" s="83"/>
      <c r="CQ161" s="83"/>
      <c r="CR161" s="83"/>
      <c r="CS161" s="83"/>
      <c r="CT161" s="83"/>
      <c r="CU161" s="83"/>
      <c r="CV161" s="83"/>
      <c r="CW161" s="83"/>
      <c r="CX161" s="83"/>
      <c r="CY161" s="83"/>
      <c r="CZ161" s="83"/>
      <c r="DA161" s="83"/>
      <c r="DB161" s="83"/>
      <c r="DE161" s="83"/>
      <c r="DF161" s="83"/>
      <c r="DG161" s="83"/>
      <c r="DH161" s="83"/>
      <c r="DI161" s="83"/>
      <c r="DJ161" s="83"/>
      <c r="DK161" s="83"/>
      <c r="DL161" s="83"/>
      <c r="DM161" s="83"/>
      <c r="DN161" s="83"/>
      <c r="DO161" s="83"/>
      <c r="DP161" s="83"/>
      <c r="DR161" s="83"/>
      <c r="DS161" s="83"/>
      <c r="DT161" s="83"/>
      <c r="DU161" s="83"/>
      <c r="DV161" s="83"/>
      <c r="DW161" s="83"/>
      <c r="DX161" s="83"/>
      <c r="DY161" s="83"/>
      <c r="DZ161" s="83"/>
      <c r="EA161" s="83"/>
      <c r="EB161" s="83"/>
      <c r="EC161" s="83"/>
      <c r="EE161" s="77">
        <v>0</v>
      </c>
    </row>
    <row r="162" spans="1:135">
      <c r="A162" s="102" t="s">
        <v>238</v>
      </c>
      <c r="B162" s="83">
        <v>0</v>
      </c>
      <c r="C162" s="83">
        <v>3548051.2097741081</v>
      </c>
      <c r="D162" s="83">
        <v>3548051.2097741081</v>
      </c>
      <c r="E162" s="83">
        <v>3548051.2097741081</v>
      </c>
      <c r="F162" s="83">
        <v>3548051.2097741081</v>
      </c>
      <c r="G162" s="83">
        <v>3548051.2097741081</v>
      </c>
      <c r="H162" s="83">
        <v>3548051.2097741081</v>
      </c>
      <c r="I162" s="83">
        <v>3548051.2097741081</v>
      </c>
      <c r="J162" s="83">
        <v>3548051.2097741081</v>
      </c>
      <c r="K162" s="83">
        <v>3548051.2097741081</v>
      </c>
      <c r="L162" s="83">
        <v>3548051.2097741081</v>
      </c>
      <c r="M162" s="83">
        <v>3548051.2097741081</v>
      </c>
      <c r="N162" s="83">
        <v>3548051.2097741081</v>
      </c>
      <c r="O162" s="77">
        <v>-5623418.0159999952</v>
      </c>
      <c r="Q162" s="83">
        <v>952163.96462113166</v>
      </c>
      <c r="R162" s="83">
        <v>952163.96462113166</v>
      </c>
      <c r="S162" s="83">
        <v>952163.96462113166</v>
      </c>
      <c r="T162" s="83">
        <v>952163.96462113166</v>
      </c>
      <c r="U162" s="83">
        <v>952163.96462113166</v>
      </c>
      <c r="V162" s="83">
        <v>952163.96462113166</v>
      </c>
      <c r="W162" s="83">
        <v>952163.96462113166</v>
      </c>
      <c r="X162" s="83">
        <v>952163.96462113166</v>
      </c>
      <c r="Y162" s="83">
        <v>952163.96462113166</v>
      </c>
      <c r="Z162" s="83">
        <v>952163.96462113166</v>
      </c>
      <c r="AA162" s="83">
        <v>952163.96462113166</v>
      </c>
      <c r="AB162" s="83">
        <v>952163.96462113166</v>
      </c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Q162" s="83">
        <v>675475.61596874997</v>
      </c>
      <c r="AR162" s="83">
        <v>675475.61596874997</v>
      </c>
      <c r="AS162" s="83">
        <v>675475.61596874997</v>
      </c>
      <c r="AT162" s="83">
        <v>675475.61596874997</v>
      </c>
      <c r="AU162" s="83">
        <v>675475.61596874997</v>
      </c>
      <c r="AV162" s="83">
        <v>675475.61596874997</v>
      </c>
      <c r="AW162" s="83">
        <v>675475.61596874997</v>
      </c>
      <c r="AX162" s="83">
        <v>675475.61596874997</v>
      </c>
      <c r="AY162" s="83">
        <v>675475.61596874997</v>
      </c>
      <c r="AZ162" s="83">
        <v>675475.61596874997</v>
      </c>
      <c r="BA162" s="83">
        <v>675475.61596874997</v>
      </c>
      <c r="BB162" s="83">
        <v>675475.61596874997</v>
      </c>
      <c r="BD162" s="83">
        <v>386326.71292708302</v>
      </c>
      <c r="BE162" s="83">
        <v>386326.71292708302</v>
      </c>
      <c r="BF162" s="83">
        <v>386326.71292708302</v>
      </c>
      <c r="BG162" s="83">
        <v>386326.71292708302</v>
      </c>
      <c r="BH162" s="83">
        <v>386326.71292708302</v>
      </c>
      <c r="BI162" s="83">
        <v>386326.71292708302</v>
      </c>
      <c r="BJ162" s="83">
        <v>386326.71292708302</v>
      </c>
      <c r="BK162" s="83">
        <v>386326.71292708302</v>
      </c>
      <c r="BL162" s="83">
        <v>386326.71292708302</v>
      </c>
      <c r="BM162" s="83">
        <v>386326.71292708302</v>
      </c>
      <c r="BN162" s="83">
        <v>386326.71292708302</v>
      </c>
      <c r="BO162" s="83">
        <v>386326.71292708302</v>
      </c>
      <c r="BQ162" s="83">
        <v>433516.25836428563</v>
      </c>
      <c r="BR162" s="83">
        <v>433516.25836428563</v>
      </c>
      <c r="BS162" s="83">
        <v>433516.25836428563</v>
      </c>
      <c r="BT162" s="83">
        <v>433516.25836428563</v>
      </c>
      <c r="BU162" s="83">
        <v>433516.25836428563</v>
      </c>
      <c r="BV162" s="83">
        <v>433516.25836428563</v>
      </c>
      <c r="BW162" s="83">
        <v>433516.25836428563</v>
      </c>
      <c r="BX162" s="83">
        <v>433516.25836428563</v>
      </c>
      <c r="BY162" s="83">
        <v>433516.25836428563</v>
      </c>
      <c r="BZ162" s="83">
        <v>433516.25836428563</v>
      </c>
      <c r="CA162" s="83">
        <v>433516.25836428563</v>
      </c>
      <c r="CB162" s="83">
        <v>433516.25836428563</v>
      </c>
      <c r="CD162" s="83">
        <v>241812.14353571442</v>
      </c>
      <c r="CE162" s="83">
        <v>241812.14353571442</v>
      </c>
      <c r="CF162" s="83">
        <v>241812.14353571442</v>
      </c>
      <c r="CG162" s="83">
        <v>241812.14353571442</v>
      </c>
      <c r="CH162" s="83">
        <v>241812.14353571442</v>
      </c>
      <c r="CI162" s="83">
        <v>241812.14353571442</v>
      </c>
      <c r="CJ162" s="83">
        <v>241812.14353571442</v>
      </c>
      <c r="CK162" s="83">
        <v>241812.14353571442</v>
      </c>
      <c r="CL162" s="83">
        <v>241812.14353571442</v>
      </c>
      <c r="CM162" s="83">
        <v>241812.14353571442</v>
      </c>
      <c r="CN162" s="83">
        <v>241812.14353571442</v>
      </c>
      <c r="CO162" s="83">
        <v>241812.14353571442</v>
      </c>
      <c r="CQ162" s="83">
        <v>155829.26235714319</v>
      </c>
      <c r="CR162" s="83">
        <v>155829.26235714319</v>
      </c>
      <c r="CS162" s="83">
        <v>155829.26235714319</v>
      </c>
      <c r="CT162" s="83">
        <v>155829.26235714319</v>
      </c>
      <c r="CU162" s="83">
        <v>155829.26235714319</v>
      </c>
      <c r="CV162" s="83">
        <v>155829.26235714319</v>
      </c>
      <c r="CW162" s="83">
        <v>155829.26235714319</v>
      </c>
      <c r="CX162" s="83">
        <v>155829.26235714319</v>
      </c>
      <c r="CY162" s="83">
        <v>155829.26235714319</v>
      </c>
      <c r="CZ162" s="83">
        <v>155829.26235714319</v>
      </c>
      <c r="DA162" s="83">
        <v>155829.26235714319</v>
      </c>
      <c r="DB162" s="83">
        <v>155829.26235714319</v>
      </c>
      <c r="DE162" s="83">
        <v>702927.25199999998</v>
      </c>
      <c r="DF162" s="83">
        <v>702927.25199999998</v>
      </c>
      <c r="DG162" s="83">
        <v>702927.25199999998</v>
      </c>
      <c r="DH162" s="83">
        <v>702927.25199999998</v>
      </c>
      <c r="DI162" s="83">
        <v>702927.25199999998</v>
      </c>
      <c r="DJ162" s="83">
        <v>702927.25199999998</v>
      </c>
      <c r="DK162" s="83">
        <v>702927.25199999998</v>
      </c>
      <c r="DL162" s="83">
        <v>702927.25199999998</v>
      </c>
      <c r="DM162" s="83">
        <v>702927.25199999998</v>
      </c>
      <c r="DN162" s="83">
        <v>702927.25199999998</v>
      </c>
      <c r="DO162" s="83">
        <v>702927.25199999998</v>
      </c>
      <c r="DP162" s="83">
        <v>702927.25199999998</v>
      </c>
      <c r="DR162" s="83">
        <v>468618.16800000001</v>
      </c>
      <c r="DS162" s="83">
        <v>468618.16800000001</v>
      </c>
      <c r="DT162" s="83">
        <v>468618.16800000001</v>
      </c>
      <c r="DU162" s="83">
        <v>468618.16800000001</v>
      </c>
      <c r="DV162" s="83">
        <v>468618.16800000001</v>
      </c>
      <c r="DW162" s="83">
        <v>468618.16800000001</v>
      </c>
      <c r="DX162" s="83">
        <v>468618.16800000001</v>
      </c>
      <c r="DY162" s="83">
        <v>468618.16800000001</v>
      </c>
      <c r="DZ162" s="83">
        <v>468618.16800000001</v>
      </c>
      <c r="EA162" s="83">
        <v>468618.16800000001</v>
      </c>
      <c r="EB162" s="83">
        <v>468618.16800000001</v>
      </c>
      <c r="EC162" s="83">
        <v>468618.16800000001</v>
      </c>
      <c r="EE162" s="77">
        <v>36774064.957835697</v>
      </c>
    </row>
    <row r="163" spans="1:135">
      <c r="A163" s="102" t="s">
        <v>239</v>
      </c>
      <c r="B163" s="83">
        <v>0</v>
      </c>
      <c r="C163" s="83">
        <v>468618.16800000001</v>
      </c>
      <c r="D163" s="83">
        <v>468618.16800000001</v>
      </c>
      <c r="E163" s="83">
        <v>468618.16800000001</v>
      </c>
      <c r="F163" s="83">
        <v>468618.16800000001</v>
      </c>
      <c r="G163" s="83">
        <v>468618.16800000001</v>
      </c>
      <c r="H163" s="83">
        <v>468618.16800000001</v>
      </c>
      <c r="I163" s="83">
        <v>468618.16800000001</v>
      </c>
      <c r="J163" s="83">
        <v>468618.16800000001</v>
      </c>
      <c r="K163" s="83">
        <v>468618.16800000001</v>
      </c>
      <c r="L163" s="83">
        <v>468618.16800000001</v>
      </c>
      <c r="M163" s="83">
        <v>468618.16800000001</v>
      </c>
      <c r="N163" s="83">
        <v>468618.16800000001</v>
      </c>
      <c r="O163" s="77">
        <v>5623418.0159999989</v>
      </c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  <c r="BQ163" s="83"/>
      <c r="BR163" s="83"/>
      <c r="BS163" s="83"/>
      <c r="BT163" s="83"/>
      <c r="BU163" s="83"/>
      <c r="BV163" s="83"/>
      <c r="BW163" s="83"/>
      <c r="BX163" s="83"/>
      <c r="BY163" s="83"/>
      <c r="BZ163" s="83"/>
      <c r="CA163" s="83"/>
      <c r="CB163" s="83"/>
      <c r="CD163" s="83"/>
      <c r="CE163" s="83"/>
      <c r="CF163" s="83"/>
      <c r="CG163" s="83"/>
      <c r="CH163" s="83"/>
      <c r="CI163" s="83"/>
      <c r="CJ163" s="83"/>
      <c r="CK163" s="83"/>
      <c r="CL163" s="83"/>
      <c r="CM163" s="83"/>
      <c r="CN163" s="83"/>
      <c r="CO163" s="83"/>
      <c r="CQ163" s="83"/>
      <c r="CR163" s="83"/>
      <c r="CS163" s="83"/>
      <c r="CT163" s="83"/>
      <c r="CU163" s="83"/>
      <c r="CV163" s="83"/>
      <c r="CW163" s="83"/>
      <c r="CX163" s="83"/>
      <c r="CY163" s="83"/>
      <c r="CZ163" s="83"/>
      <c r="DA163" s="83"/>
      <c r="DB163" s="83"/>
      <c r="DE163" s="83"/>
      <c r="DF163" s="83"/>
      <c r="DG163" s="83"/>
      <c r="DH163" s="83"/>
      <c r="DI163" s="83"/>
      <c r="DJ163" s="83"/>
      <c r="DK163" s="83"/>
      <c r="DL163" s="83"/>
      <c r="DM163" s="83"/>
      <c r="DN163" s="83"/>
      <c r="DO163" s="83"/>
      <c r="DP163" s="83"/>
      <c r="DR163" s="83"/>
      <c r="DS163" s="83"/>
      <c r="DT163" s="83"/>
      <c r="DU163" s="83"/>
      <c r="DV163" s="83"/>
      <c r="DW163" s="83"/>
      <c r="DX163" s="83"/>
      <c r="DY163" s="83"/>
      <c r="DZ163" s="83"/>
      <c r="EA163" s="83"/>
      <c r="EB163" s="83"/>
      <c r="EC163" s="83"/>
      <c r="EE163" s="77">
        <v>0</v>
      </c>
    </row>
    <row r="164" spans="1:135">
      <c r="A164" s="102" t="s">
        <v>240</v>
      </c>
      <c r="B164" s="83">
        <v>0</v>
      </c>
      <c r="C164" s="83">
        <v>0</v>
      </c>
      <c r="D164" s="83">
        <v>0</v>
      </c>
      <c r="E164" s="83">
        <v>0</v>
      </c>
      <c r="F164" s="83">
        <v>0</v>
      </c>
      <c r="G164" s="83">
        <v>0</v>
      </c>
      <c r="H164" s="83">
        <v>0</v>
      </c>
      <c r="I164" s="83">
        <v>0</v>
      </c>
      <c r="J164" s="83">
        <v>0</v>
      </c>
      <c r="K164" s="83">
        <v>0</v>
      </c>
      <c r="L164" s="83">
        <v>0</v>
      </c>
      <c r="M164" s="83">
        <v>0</v>
      </c>
      <c r="N164" s="83">
        <v>0</v>
      </c>
      <c r="O164" s="77">
        <v>0</v>
      </c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Q164" s="83"/>
      <c r="BR164" s="83"/>
      <c r="BS164" s="83"/>
      <c r="BT164" s="83"/>
      <c r="BU164" s="83"/>
      <c r="BV164" s="83"/>
      <c r="BW164" s="83"/>
      <c r="BX164" s="83"/>
      <c r="BY164" s="83"/>
      <c r="BZ164" s="83"/>
      <c r="CA164" s="83"/>
      <c r="CB164" s="83"/>
      <c r="CD164" s="83"/>
      <c r="CE164" s="83"/>
      <c r="CF164" s="83"/>
      <c r="CG164" s="83"/>
      <c r="CH164" s="83"/>
      <c r="CI164" s="83"/>
      <c r="CJ164" s="83"/>
      <c r="CK164" s="83"/>
      <c r="CL164" s="83"/>
      <c r="CM164" s="83"/>
      <c r="CN164" s="83"/>
      <c r="CO164" s="83"/>
      <c r="CQ164" s="83"/>
      <c r="CR164" s="83"/>
      <c r="CS164" s="83"/>
      <c r="CT164" s="83"/>
      <c r="CU164" s="83"/>
      <c r="CV164" s="83"/>
      <c r="CW164" s="83"/>
      <c r="CX164" s="83"/>
      <c r="CY164" s="83"/>
      <c r="CZ164" s="83"/>
      <c r="DA164" s="83"/>
      <c r="DB164" s="83"/>
      <c r="DE164" s="83"/>
      <c r="DF164" s="83"/>
      <c r="DG164" s="83"/>
      <c r="DH164" s="83"/>
      <c r="DI164" s="83"/>
      <c r="DJ164" s="83"/>
      <c r="DK164" s="83"/>
      <c r="DL164" s="83"/>
      <c r="DM164" s="83"/>
      <c r="DN164" s="83"/>
      <c r="DO164" s="83"/>
      <c r="DP164" s="83"/>
      <c r="DR164" s="83"/>
      <c r="DS164" s="83"/>
      <c r="DT164" s="83"/>
      <c r="DU164" s="83"/>
      <c r="DV164" s="83"/>
      <c r="DW164" s="83"/>
      <c r="DX164" s="83"/>
      <c r="DY164" s="83"/>
      <c r="DZ164" s="83"/>
      <c r="EA164" s="83"/>
      <c r="EB164" s="83"/>
      <c r="EC164" s="83"/>
      <c r="EE164" s="77">
        <v>0</v>
      </c>
    </row>
    <row r="165" spans="1:135">
      <c r="A165" s="102" t="s">
        <v>241</v>
      </c>
      <c r="B165" s="83">
        <v>0</v>
      </c>
      <c r="C165" s="83">
        <v>0</v>
      </c>
      <c r="D165" s="83">
        <v>0</v>
      </c>
      <c r="E165" s="83">
        <v>0</v>
      </c>
      <c r="F165" s="83">
        <v>0</v>
      </c>
      <c r="G165" s="83">
        <v>0</v>
      </c>
      <c r="H165" s="83">
        <v>0</v>
      </c>
      <c r="I165" s="83">
        <v>0</v>
      </c>
      <c r="J165" s="83">
        <v>0</v>
      </c>
      <c r="K165" s="83">
        <v>0</v>
      </c>
      <c r="L165" s="83">
        <v>0</v>
      </c>
      <c r="M165" s="83">
        <v>0</v>
      </c>
      <c r="N165" s="83">
        <v>0</v>
      </c>
      <c r="O165" s="77">
        <v>0</v>
      </c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D165" s="83"/>
      <c r="BE165" s="83"/>
      <c r="BF165" s="83"/>
      <c r="BG165" s="83"/>
      <c r="BH165" s="83"/>
      <c r="BI165" s="83"/>
      <c r="BJ165" s="83"/>
      <c r="BK165" s="83"/>
      <c r="BL165" s="83"/>
      <c r="BM165" s="83"/>
      <c r="BN165" s="83"/>
      <c r="BO165" s="83"/>
      <c r="BQ165" s="83"/>
      <c r="BR165" s="83"/>
      <c r="BS165" s="83"/>
      <c r="BT165" s="83"/>
      <c r="BU165" s="83"/>
      <c r="BV165" s="83"/>
      <c r="BW165" s="83"/>
      <c r="BX165" s="83"/>
      <c r="BY165" s="83"/>
      <c r="BZ165" s="83"/>
      <c r="CA165" s="83"/>
      <c r="CB165" s="83"/>
      <c r="CD165" s="83"/>
      <c r="CE165" s="83"/>
      <c r="CF165" s="83"/>
      <c r="CG165" s="83"/>
      <c r="CH165" s="83"/>
      <c r="CI165" s="83"/>
      <c r="CJ165" s="83"/>
      <c r="CK165" s="83"/>
      <c r="CL165" s="83"/>
      <c r="CM165" s="83"/>
      <c r="CN165" s="83"/>
      <c r="CO165" s="83"/>
      <c r="CQ165" s="83"/>
      <c r="CR165" s="83"/>
      <c r="CS165" s="83"/>
      <c r="CT165" s="83"/>
      <c r="CU165" s="83"/>
      <c r="CV165" s="83"/>
      <c r="CW165" s="83"/>
      <c r="CX165" s="83"/>
      <c r="CY165" s="83"/>
      <c r="CZ165" s="83"/>
      <c r="DA165" s="83"/>
      <c r="DB165" s="83"/>
      <c r="DE165" s="83"/>
      <c r="DF165" s="83"/>
      <c r="DG165" s="83"/>
      <c r="DH165" s="83"/>
      <c r="DI165" s="83"/>
      <c r="DJ165" s="83"/>
      <c r="DK165" s="83"/>
      <c r="DL165" s="83"/>
      <c r="DM165" s="83"/>
      <c r="DN165" s="83"/>
      <c r="DO165" s="83"/>
      <c r="DP165" s="83"/>
      <c r="DR165" s="83"/>
      <c r="DS165" s="83"/>
      <c r="DT165" s="83"/>
      <c r="DU165" s="83"/>
      <c r="DV165" s="83"/>
      <c r="DW165" s="83"/>
      <c r="DX165" s="83"/>
      <c r="DY165" s="83"/>
      <c r="DZ165" s="83"/>
      <c r="EA165" s="83"/>
      <c r="EB165" s="83"/>
      <c r="EC165" s="83"/>
      <c r="EE165" s="77">
        <v>0</v>
      </c>
    </row>
    <row r="166" spans="1:135">
      <c r="A166" s="102" t="s">
        <v>242</v>
      </c>
      <c r="B166" s="83">
        <v>0</v>
      </c>
      <c r="C166" s="83">
        <v>0</v>
      </c>
      <c r="D166" s="83">
        <v>0</v>
      </c>
      <c r="E166" s="83">
        <v>0</v>
      </c>
      <c r="F166" s="83">
        <v>0</v>
      </c>
      <c r="G166" s="83">
        <v>0</v>
      </c>
      <c r="H166" s="83">
        <v>0</v>
      </c>
      <c r="I166" s="83">
        <v>0</v>
      </c>
      <c r="J166" s="83">
        <v>0</v>
      </c>
      <c r="K166" s="83">
        <v>0</v>
      </c>
      <c r="L166" s="83">
        <v>0</v>
      </c>
      <c r="M166" s="83">
        <v>0</v>
      </c>
      <c r="N166" s="83">
        <v>0</v>
      </c>
      <c r="O166" s="77">
        <v>0</v>
      </c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  <c r="BQ166" s="83"/>
      <c r="BR166" s="83"/>
      <c r="BS166" s="83"/>
      <c r="BT166" s="83"/>
      <c r="BU166" s="83"/>
      <c r="BV166" s="83"/>
      <c r="BW166" s="83"/>
      <c r="BX166" s="83"/>
      <c r="BY166" s="83"/>
      <c r="BZ166" s="83"/>
      <c r="CA166" s="83"/>
      <c r="CB166" s="83"/>
      <c r="CD166" s="83"/>
      <c r="CE166" s="83"/>
      <c r="CF166" s="83"/>
      <c r="CG166" s="83"/>
      <c r="CH166" s="83"/>
      <c r="CI166" s="83"/>
      <c r="CJ166" s="83"/>
      <c r="CK166" s="83"/>
      <c r="CL166" s="83"/>
      <c r="CM166" s="83"/>
      <c r="CN166" s="83"/>
      <c r="CO166" s="83"/>
      <c r="CQ166" s="83"/>
      <c r="CR166" s="83"/>
      <c r="CS166" s="83"/>
      <c r="CT166" s="83"/>
      <c r="CU166" s="83"/>
      <c r="CV166" s="83"/>
      <c r="CW166" s="83"/>
      <c r="CX166" s="83"/>
      <c r="CY166" s="83"/>
      <c r="CZ166" s="83"/>
      <c r="DA166" s="83"/>
      <c r="DB166" s="83"/>
      <c r="DE166" s="83"/>
      <c r="DF166" s="83"/>
      <c r="DG166" s="83"/>
      <c r="DH166" s="83"/>
      <c r="DI166" s="83"/>
      <c r="DJ166" s="83"/>
      <c r="DK166" s="83"/>
      <c r="DL166" s="83"/>
      <c r="DM166" s="83"/>
      <c r="DN166" s="83"/>
      <c r="DO166" s="83"/>
      <c r="DP166" s="83"/>
      <c r="DR166" s="83"/>
      <c r="DS166" s="83"/>
      <c r="DT166" s="83"/>
      <c r="DU166" s="83"/>
      <c r="DV166" s="83"/>
      <c r="DW166" s="83"/>
      <c r="DX166" s="83"/>
      <c r="DY166" s="83"/>
      <c r="DZ166" s="83"/>
      <c r="EA166" s="83"/>
      <c r="EB166" s="83"/>
      <c r="EC166" s="83"/>
      <c r="EE166" s="77">
        <v>0</v>
      </c>
    </row>
    <row r="172" spans="1:135">
      <c r="Q172" s="93">
        <v>22500</v>
      </c>
      <c r="R172" s="93">
        <v>22500</v>
      </c>
      <c r="S172" s="93">
        <v>22500</v>
      </c>
      <c r="T172" s="93">
        <v>22500</v>
      </c>
      <c r="U172" s="93">
        <v>22500</v>
      </c>
      <c r="V172" s="93">
        <v>22500</v>
      </c>
      <c r="W172" s="93">
        <v>22500</v>
      </c>
      <c r="X172" s="93">
        <v>22500</v>
      </c>
      <c r="Y172" s="93">
        <v>22500</v>
      </c>
      <c r="Z172" s="93">
        <v>22500</v>
      </c>
      <c r="AA172" s="93">
        <v>22500</v>
      </c>
      <c r="AB172" s="93">
        <v>22500</v>
      </c>
      <c r="AC172" s="94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4"/>
      <c r="AQ172" s="93">
        <v>4500</v>
      </c>
      <c r="AR172" s="93">
        <v>4500</v>
      </c>
      <c r="AS172" s="93">
        <v>4500</v>
      </c>
      <c r="AT172" s="93">
        <v>4500</v>
      </c>
      <c r="AU172" s="93">
        <v>4500</v>
      </c>
      <c r="AV172" s="93">
        <v>4500</v>
      </c>
      <c r="AW172" s="93">
        <v>4500</v>
      </c>
      <c r="AX172" s="93">
        <v>4500</v>
      </c>
      <c r="AY172" s="93">
        <v>4500</v>
      </c>
      <c r="AZ172" s="93">
        <v>4500</v>
      </c>
      <c r="BA172" s="93">
        <v>4500</v>
      </c>
      <c r="BB172" s="93">
        <v>4500</v>
      </c>
      <c r="BC172" s="94"/>
      <c r="BD172" s="93">
        <v>3000</v>
      </c>
      <c r="BE172" s="93">
        <v>3000</v>
      </c>
      <c r="BF172" s="93">
        <v>3000</v>
      </c>
      <c r="BG172" s="93">
        <v>3000</v>
      </c>
      <c r="BH172" s="93">
        <v>3000</v>
      </c>
      <c r="BI172" s="93">
        <v>3000</v>
      </c>
      <c r="BJ172" s="93">
        <v>3000</v>
      </c>
      <c r="BK172" s="93">
        <v>3000</v>
      </c>
      <c r="BL172" s="93">
        <v>3000</v>
      </c>
      <c r="BM172" s="93">
        <v>3000</v>
      </c>
      <c r="BN172" s="93">
        <v>3000</v>
      </c>
      <c r="BO172" s="93">
        <v>3000</v>
      </c>
      <c r="BP172" s="94"/>
      <c r="BQ172" s="93">
        <v>10000</v>
      </c>
      <c r="BR172" s="93">
        <v>10000</v>
      </c>
      <c r="BS172" s="93">
        <v>10000</v>
      </c>
      <c r="BT172" s="93">
        <v>10000</v>
      </c>
      <c r="BU172" s="93">
        <v>10000</v>
      </c>
      <c r="BV172" s="93">
        <v>10000</v>
      </c>
      <c r="BW172" s="93">
        <v>10000</v>
      </c>
      <c r="BX172" s="93">
        <v>10000</v>
      </c>
      <c r="BY172" s="93">
        <v>10000</v>
      </c>
      <c r="BZ172" s="93">
        <v>10000</v>
      </c>
      <c r="CA172" s="93">
        <v>10000</v>
      </c>
      <c r="CB172" s="93">
        <v>10000</v>
      </c>
    </row>
    <row r="220" spans="1:133">
      <c r="A220" s="77" t="s">
        <v>259</v>
      </c>
      <c r="C220" s="77">
        <v>34262435.473200008</v>
      </c>
      <c r="D220" s="77">
        <v>33479534.528800007</v>
      </c>
      <c r="E220" s="77">
        <v>33992906.338</v>
      </c>
      <c r="F220" s="77">
        <v>28913468.577399999</v>
      </c>
      <c r="G220" s="77">
        <v>33063343.999400001</v>
      </c>
      <c r="H220" s="77">
        <v>34578297.025599994</v>
      </c>
      <c r="I220" s="77">
        <v>35902888.866000004</v>
      </c>
      <c r="J220" s="77">
        <v>36765677.616200015</v>
      </c>
      <c r="K220" s="77">
        <v>37658611.657800004</v>
      </c>
      <c r="L220" s="77">
        <v>33333684.393000003</v>
      </c>
      <c r="M220" s="77">
        <v>30371900.810400002</v>
      </c>
      <c r="N220" s="77">
        <v>36591032.056600004</v>
      </c>
      <c r="O220" s="77">
        <v>408913781.34240007</v>
      </c>
      <c r="P220" s="77">
        <v>0</v>
      </c>
      <c r="Q220" s="77">
        <v>0</v>
      </c>
      <c r="R220" s="77">
        <v>0</v>
      </c>
      <c r="S220" s="77">
        <v>0</v>
      </c>
      <c r="T220" s="77">
        <v>0</v>
      </c>
      <c r="U220" s="77">
        <v>0</v>
      </c>
      <c r="V220" s="77">
        <v>0</v>
      </c>
      <c r="W220" s="77">
        <v>0</v>
      </c>
      <c r="X220" s="77">
        <v>0</v>
      </c>
      <c r="Y220" s="77">
        <v>0</v>
      </c>
      <c r="Z220" s="77">
        <v>0</v>
      </c>
      <c r="AA220" s="77">
        <v>0</v>
      </c>
      <c r="AB220" s="77">
        <v>0</v>
      </c>
      <c r="AC220" s="77">
        <v>0</v>
      </c>
      <c r="AD220" s="77">
        <v>0</v>
      </c>
      <c r="AE220" s="77">
        <v>0</v>
      </c>
      <c r="AF220" s="77">
        <v>0</v>
      </c>
      <c r="AG220" s="77">
        <v>0</v>
      </c>
      <c r="AH220" s="77">
        <v>0</v>
      </c>
      <c r="AI220" s="77">
        <v>0</v>
      </c>
      <c r="AJ220" s="77">
        <v>0</v>
      </c>
      <c r="AK220" s="77">
        <v>0</v>
      </c>
      <c r="AL220" s="77">
        <v>0</v>
      </c>
      <c r="AM220" s="77">
        <v>0</v>
      </c>
      <c r="AN220" s="77">
        <v>0</v>
      </c>
      <c r="AO220" s="77">
        <v>0</v>
      </c>
      <c r="AP220" s="77">
        <v>0</v>
      </c>
      <c r="AQ220" s="77">
        <v>12018241.290000001</v>
      </c>
      <c r="AR220" s="77">
        <v>11756730.876000004</v>
      </c>
      <c r="AS220" s="77">
        <v>10972199.634</v>
      </c>
      <c r="AT220" s="77">
        <v>10155372.6384</v>
      </c>
      <c r="AU220" s="77">
        <v>11254810.248</v>
      </c>
      <c r="AV220" s="77">
        <v>11682102.960000001</v>
      </c>
      <c r="AW220" s="77">
        <v>11944085.472000001</v>
      </c>
      <c r="AX220" s="77">
        <v>12519843.138000006</v>
      </c>
      <c r="AY220" s="77">
        <v>13274613.990000002</v>
      </c>
      <c r="AZ220" s="77">
        <v>11560875.48</v>
      </c>
      <c r="BA220" s="77">
        <v>9248700.3839999996</v>
      </c>
      <c r="BB220" s="77">
        <v>12221496.935999999</v>
      </c>
      <c r="BC220" s="77">
        <v>0</v>
      </c>
      <c r="BD220" s="77">
        <v>6369142.5</v>
      </c>
      <c r="BE220" s="77">
        <v>6187167</v>
      </c>
      <c r="BF220" s="77">
        <v>5641240.5</v>
      </c>
      <c r="BG220" s="77">
        <v>5450530.176</v>
      </c>
      <c r="BH220" s="77">
        <v>5939680.3200000003</v>
      </c>
      <c r="BI220" s="77">
        <v>6114376.7999999989</v>
      </c>
      <c r="BJ220" s="77">
        <v>6289073.2800000003</v>
      </c>
      <c r="BK220" s="77">
        <v>6485606.8200000003</v>
      </c>
      <c r="BL220" s="77">
        <v>6878673.8999999994</v>
      </c>
      <c r="BM220" s="77">
        <v>6114376.7999999989</v>
      </c>
      <c r="BN220" s="77">
        <v>4891501.4400000004</v>
      </c>
      <c r="BO220" s="77">
        <v>6463769.7599999998</v>
      </c>
      <c r="BP220" s="77">
        <v>0</v>
      </c>
      <c r="BQ220" s="77">
        <v>0</v>
      </c>
      <c r="BR220" s="77">
        <v>0</v>
      </c>
      <c r="BS220" s="77">
        <v>0</v>
      </c>
      <c r="BT220" s="77">
        <v>0</v>
      </c>
      <c r="BU220" s="77">
        <v>0</v>
      </c>
      <c r="BV220" s="77">
        <v>0</v>
      </c>
      <c r="BW220" s="77">
        <v>0</v>
      </c>
      <c r="BX220" s="77">
        <v>0</v>
      </c>
      <c r="BY220" s="77">
        <v>0</v>
      </c>
      <c r="BZ220" s="77">
        <v>0</v>
      </c>
      <c r="CA220" s="77">
        <v>0</v>
      </c>
      <c r="CB220" s="77">
        <v>0</v>
      </c>
      <c r="CC220" s="77">
        <v>0</v>
      </c>
      <c r="CD220" s="77">
        <v>9350853.2832000032</v>
      </c>
      <c r="CE220" s="77">
        <v>9128011.6928000003</v>
      </c>
      <c r="CF220" s="77">
        <v>10046171.563999999</v>
      </c>
      <c r="CG220" s="77">
        <v>7763221.7630000003</v>
      </c>
      <c r="CH220" s="77">
        <v>8915667.8313999996</v>
      </c>
      <c r="CI220" s="77">
        <v>9491890.8655999992</v>
      </c>
      <c r="CJ220" s="77">
        <v>9927754.9139999989</v>
      </c>
      <c r="CK220" s="77">
        <v>9566883.6582000032</v>
      </c>
      <c r="CL220" s="77">
        <v>9350442.9678000007</v>
      </c>
      <c r="CM220" s="77">
        <v>7939246.5130000003</v>
      </c>
      <c r="CN220" s="77">
        <v>8792450.5064000003</v>
      </c>
      <c r="CO220" s="77">
        <v>9439083.4405999985</v>
      </c>
      <c r="CP220" s="77">
        <v>0</v>
      </c>
      <c r="CQ220" s="77">
        <v>2387798.4000000004</v>
      </c>
      <c r="CR220" s="77">
        <v>2546984.9600000004</v>
      </c>
      <c r="CS220" s="77">
        <v>3024544.6400000006</v>
      </c>
      <c r="CT220" s="77">
        <v>1683704.0000000002</v>
      </c>
      <c r="CU220" s="77">
        <v>2357185.6</v>
      </c>
      <c r="CV220" s="77">
        <v>2693926.4000000004</v>
      </c>
      <c r="CW220" s="77">
        <v>2571475.2000000002</v>
      </c>
      <c r="CX220" s="77">
        <v>3214343.9999999995</v>
      </c>
      <c r="CY220" s="77">
        <v>3398020.8</v>
      </c>
      <c r="CZ220" s="77">
        <v>2357185.6</v>
      </c>
      <c r="DA220" s="77">
        <v>1885748.4800000002</v>
      </c>
      <c r="DB220" s="77">
        <v>2491881.92</v>
      </c>
      <c r="DC220" s="77">
        <v>0</v>
      </c>
      <c r="DD220" s="77">
        <v>0</v>
      </c>
      <c r="DE220" s="77">
        <v>3002400</v>
      </c>
      <c r="DF220" s="77">
        <v>2802240</v>
      </c>
      <c r="DG220" s="77">
        <v>3127500</v>
      </c>
      <c r="DH220" s="77">
        <v>2802240</v>
      </c>
      <c r="DI220" s="77">
        <v>3336000</v>
      </c>
      <c r="DJ220" s="77">
        <v>3336000</v>
      </c>
      <c r="DK220" s="77">
        <v>3753000</v>
      </c>
      <c r="DL220" s="77">
        <v>3614000</v>
      </c>
      <c r="DM220" s="77">
        <v>3452760</v>
      </c>
      <c r="DN220" s="77">
        <v>3892000</v>
      </c>
      <c r="DO220" s="77">
        <v>4031000</v>
      </c>
      <c r="DP220" s="77">
        <v>4336800</v>
      </c>
      <c r="DQ220" s="77">
        <v>0</v>
      </c>
      <c r="DR220" s="77">
        <v>1134000</v>
      </c>
      <c r="DS220" s="77">
        <v>1058400.0000000002</v>
      </c>
      <c r="DT220" s="77">
        <v>1181250.0000000002</v>
      </c>
      <c r="DU220" s="77">
        <v>1058400.0000000002</v>
      </c>
      <c r="DV220" s="77">
        <v>1260000</v>
      </c>
      <c r="DW220" s="77">
        <v>1260000</v>
      </c>
      <c r="DX220" s="77">
        <v>1417500.0000000002</v>
      </c>
      <c r="DY220" s="77">
        <v>1365000.0000000002</v>
      </c>
      <c r="DZ220" s="77">
        <v>1304100.0000000002</v>
      </c>
      <c r="EA220" s="77">
        <v>1470000</v>
      </c>
      <c r="EB220" s="77">
        <v>1522500</v>
      </c>
      <c r="EC220" s="77">
        <v>1638000.0000000002</v>
      </c>
    </row>
    <row r="221" spans="1:133">
      <c r="A221" s="77" t="s">
        <v>260</v>
      </c>
      <c r="C221" s="77">
        <v>28118638.599840004</v>
      </c>
      <c r="D221" s="77">
        <v>27560877.488160003</v>
      </c>
      <c r="E221" s="77">
        <v>27948099.425999999</v>
      </c>
      <c r="F221" s="77">
        <v>23796551.75364</v>
      </c>
      <c r="G221" s="77">
        <v>27191289.687479999</v>
      </c>
      <c r="H221" s="77">
        <v>28437755.958719999</v>
      </c>
      <c r="I221" s="77">
        <v>29516769.653999999</v>
      </c>
      <c r="J221" s="77">
        <v>30226575.059640009</v>
      </c>
      <c r="K221" s="77">
        <v>30975319.194360003</v>
      </c>
      <c r="L221" s="77">
        <v>27392305.260599997</v>
      </c>
      <c r="M221" s="77">
        <v>24926209.123680003</v>
      </c>
      <c r="N221" s="77">
        <v>30062501.667719997</v>
      </c>
      <c r="O221" s="77">
        <v>336152892.87383997</v>
      </c>
      <c r="P221" s="77">
        <v>0</v>
      </c>
      <c r="Q221" s="77">
        <v>0</v>
      </c>
      <c r="R221" s="77">
        <v>0</v>
      </c>
      <c r="S221" s="77">
        <v>0</v>
      </c>
      <c r="T221" s="77">
        <v>0</v>
      </c>
      <c r="U221" s="77">
        <v>0</v>
      </c>
      <c r="V221" s="77">
        <v>0</v>
      </c>
      <c r="W221" s="77">
        <v>0</v>
      </c>
      <c r="X221" s="77">
        <v>0</v>
      </c>
      <c r="Y221" s="77">
        <v>0</v>
      </c>
      <c r="Z221" s="77">
        <v>0</v>
      </c>
      <c r="AA221" s="77">
        <v>0</v>
      </c>
      <c r="AB221" s="77">
        <v>0</v>
      </c>
      <c r="AC221" s="77">
        <v>0</v>
      </c>
      <c r="AD221" s="77">
        <v>0</v>
      </c>
      <c r="AE221" s="77">
        <v>0</v>
      </c>
      <c r="AF221" s="77">
        <v>0</v>
      </c>
      <c r="AG221" s="77">
        <v>0</v>
      </c>
      <c r="AH221" s="77">
        <v>0</v>
      </c>
      <c r="AI221" s="77">
        <v>0</v>
      </c>
      <c r="AJ221" s="77">
        <v>0</v>
      </c>
      <c r="AK221" s="77">
        <v>0</v>
      </c>
      <c r="AL221" s="77">
        <v>0</v>
      </c>
      <c r="AM221" s="77">
        <v>0</v>
      </c>
      <c r="AN221" s="77">
        <v>0</v>
      </c>
      <c r="AO221" s="77">
        <v>0</v>
      </c>
      <c r="AP221" s="77">
        <v>0.55000000000000004</v>
      </c>
      <c r="AQ221" s="77">
        <v>10004117.058000002</v>
      </c>
      <c r="AR221" s="77">
        <v>9870077.6208000034</v>
      </c>
      <c r="AS221" s="77">
        <v>9211443.4872000013</v>
      </c>
      <c r="AT221" s="77">
        <v>8525696.2387199979</v>
      </c>
      <c r="AU221" s="77">
        <v>9448702.3584000003</v>
      </c>
      <c r="AV221" s="77">
        <v>9807425.568</v>
      </c>
      <c r="AW221" s="77">
        <v>10027366.617600001</v>
      </c>
      <c r="AX221" s="77">
        <v>10510729.970400006</v>
      </c>
      <c r="AY221" s="77">
        <v>11144379.492000002</v>
      </c>
      <c r="AZ221" s="77">
        <v>9705651.9840000011</v>
      </c>
      <c r="BA221" s="77">
        <v>7764521.5872000009</v>
      </c>
      <c r="BB221" s="77">
        <v>10260260.6688</v>
      </c>
      <c r="BC221" s="77">
        <v>0</v>
      </c>
      <c r="BD221" s="77">
        <v>5222696.8500000006</v>
      </c>
      <c r="BE221" s="77">
        <v>5073476.9399999995</v>
      </c>
      <c r="BF221" s="77">
        <v>4625817.2100000009</v>
      </c>
      <c r="BG221" s="77">
        <v>4469434.7443199996</v>
      </c>
      <c r="BH221" s="77">
        <v>4870537.8624</v>
      </c>
      <c r="BI221" s="77">
        <v>5013788.9759999989</v>
      </c>
      <c r="BJ221" s="77">
        <v>5157040.0896000005</v>
      </c>
      <c r="BK221" s="77">
        <v>5318197.5924000004</v>
      </c>
      <c r="BL221" s="77">
        <v>5640512.5980000002</v>
      </c>
      <c r="BM221" s="77">
        <v>5013788.9759999989</v>
      </c>
      <c r="BN221" s="77">
        <v>4011031.1808000007</v>
      </c>
      <c r="BO221" s="77">
        <v>5300291.2031999994</v>
      </c>
      <c r="BP221" s="77">
        <v>0</v>
      </c>
      <c r="BQ221" s="77">
        <v>0</v>
      </c>
      <c r="BR221" s="77">
        <v>0</v>
      </c>
      <c r="BS221" s="77">
        <v>0</v>
      </c>
      <c r="BT221" s="77">
        <v>0</v>
      </c>
      <c r="BU221" s="77">
        <v>0</v>
      </c>
      <c r="BV221" s="77">
        <v>0</v>
      </c>
      <c r="BW221" s="77">
        <v>0</v>
      </c>
      <c r="BX221" s="77">
        <v>0</v>
      </c>
      <c r="BY221" s="77">
        <v>0</v>
      </c>
      <c r="BZ221" s="77">
        <v>0</v>
      </c>
      <c r="CA221" s="77">
        <v>0</v>
      </c>
      <c r="CB221" s="77">
        <v>0</v>
      </c>
      <c r="CC221" s="77">
        <v>0</v>
      </c>
      <c r="CD221" s="77">
        <v>7709833.9718400016</v>
      </c>
      <c r="CE221" s="77">
        <v>7526099.7593600014</v>
      </c>
      <c r="CF221" s="77">
        <v>8283128.0167999985</v>
      </c>
      <c r="CG221" s="77">
        <v>6400822.3706</v>
      </c>
      <c r="CH221" s="77">
        <v>7351020.9866800001</v>
      </c>
      <c r="CI221" s="77">
        <v>7826120.2947199997</v>
      </c>
      <c r="CJ221" s="77">
        <v>8185492.786799999</v>
      </c>
      <c r="CK221" s="77">
        <v>7887952.2968400018</v>
      </c>
      <c r="CL221" s="77">
        <v>7709495.6643600008</v>
      </c>
      <c r="CM221" s="77">
        <v>6545955.8206000002</v>
      </c>
      <c r="CN221" s="77">
        <v>7249427.5716800001</v>
      </c>
      <c r="CO221" s="77">
        <v>7782580.2597199995</v>
      </c>
      <c r="CP221" s="77">
        <v>0</v>
      </c>
      <c r="CQ221" s="77">
        <v>1910238.7200000002</v>
      </c>
      <c r="CR221" s="77">
        <v>2037587.9680000003</v>
      </c>
      <c r="CS221" s="77">
        <v>2419635.7120000003</v>
      </c>
      <c r="CT221" s="77">
        <v>1346963.2000000002</v>
      </c>
      <c r="CU221" s="77">
        <v>1885748.4800000002</v>
      </c>
      <c r="CV221" s="77">
        <v>2155141.1200000001</v>
      </c>
      <c r="CW221" s="77">
        <v>2057180.1600000001</v>
      </c>
      <c r="CX221" s="77">
        <v>2571475.1999999997</v>
      </c>
      <c r="CY221" s="77">
        <v>2718416.6399999997</v>
      </c>
      <c r="CZ221" s="77">
        <v>1885748.4800000002</v>
      </c>
      <c r="DA221" s="77">
        <v>1508598.7840000002</v>
      </c>
      <c r="DB221" s="77">
        <v>1993505.5359999998</v>
      </c>
      <c r="DC221" s="77">
        <v>0</v>
      </c>
      <c r="DD221" s="77">
        <v>0</v>
      </c>
      <c r="DE221" s="77">
        <v>2341872</v>
      </c>
      <c r="DF221" s="77">
        <v>2185747.2000000002</v>
      </c>
      <c r="DG221" s="77">
        <v>2439450</v>
      </c>
      <c r="DH221" s="77">
        <v>2185747.2000000002</v>
      </c>
      <c r="DI221" s="77">
        <v>2602080</v>
      </c>
      <c r="DJ221" s="77">
        <v>2602080</v>
      </c>
      <c r="DK221" s="77">
        <v>2927340</v>
      </c>
      <c r="DL221" s="77">
        <v>2818920</v>
      </c>
      <c r="DM221" s="77">
        <v>2693152.8</v>
      </c>
      <c r="DN221" s="77">
        <v>3035760</v>
      </c>
      <c r="DO221" s="77">
        <v>3144180</v>
      </c>
      <c r="DP221" s="77">
        <v>3382704</v>
      </c>
      <c r="DQ221" s="77">
        <v>0</v>
      </c>
      <c r="DR221" s="77">
        <v>929880</v>
      </c>
      <c r="DS221" s="77">
        <v>867888.00000000023</v>
      </c>
      <c r="DT221" s="77">
        <v>968625.00000000023</v>
      </c>
      <c r="DU221" s="77">
        <v>867888.00000000023</v>
      </c>
      <c r="DV221" s="77">
        <v>1033200</v>
      </c>
      <c r="DW221" s="77">
        <v>1033200</v>
      </c>
      <c r="DX221" s="77">
        <v>1162350.0000000002</v>
      </c>
      <c r="DY221" s="77">
        <v>1119300.0000000002</v>
      </c>
      <c r="DZ221" s="77">
        <v>1069362.0000000002</v>
      </c>
      <c r="EA221" s="77">
        <v>1205400</v>
      </c>
      <c r="EB221" s="77">
        <v>1248450</v>
      </c>
      <c r="EC221" s="77">
        <v>1343160.0000000002</v>
      </c>
    </row>
    <row r="222" spans="1:133">
      <c r="A222" s="77" t="s">
        <v>261</v>
      </c>
      <c r="C222" s="77">
        <v>6143796.8733600043</v>
      </c>
      <c r="D222" s="77">
        <v>5918657.040640004</v>
      </c>
      <c r="E222" s="77">
        <v>6044806.9120000005</v>
      </c>
      <c r="F222" s="77">
        <v>5116916.8237599991</v>
      </c>
      <c r="G222" s="77">
        <v>5872054.3119200021</v>
      </c>
      <c r="H222" s="77">
        <v>6140541.0668799952</v>
      </c>
      <c r="I222" s="77">
        <v>6386119.2120000049</v>
      </c>
      <c r="J222" s="77">
        <v>6539102.556560006</v>
      </c>
      <c r="K222" s="77">
        <v>6683292.463440001</v>
      </c>
      <c r="L222" s="77">
        <v>5941379.1324000061</v>
      </c>
      <c r="M222" s="77">
        <v>5445691.6867199987</v>
      </c>
      <c r="N222" s="77">
        <v>6528530.388880007</v>
      </c>
      <c r="O222" s="77">
        <v>72760888.4685601</v>
      </c>
      <c r="P222" s="77">
        <v>0</v>
      </c>
      <c r="Q222" s="77">
        <v>0</v>
      </c>
      <c r="R222" s="77">
        <v>0</v>
      </c>
      <c r="S222" s="77">
        <v>0</v>
      </c>
      <c r="T222" s="77">
        <v>0</v>
      </c>
      <c r="U222" s="77">
        <v>0</v>
      </c>
      <c r="V222" s="77">
        <v>0</v>
      </c>
      <c r="W222" s="77">
        <v>0</v>
      </c>
      <c r="X222" s="77">
        <v>0</v>
      </c>
      <c r="Y222" s="77">
        <v>0</v>
      </c>
      <c r="Z222" s="77">
        <v>0</v>
      </c>
      <c r="AA222" s="77">
        <v>0</v>
      </c>
      <c r="AB222" s="77">
        <v>0</v>
      </c>
      <c r="AC222" s="77">
        <v>0</v>
      </c>
      <c r="AD222" s="77">
        <v>0</v>
      </c>
      <c r="AE222" s="77">
        <v>0</v>
      </c>
      <c r="AF222" s="77">
        <v>0</v>
      </c>
      <c r="AG222" s="77">
        <v>0</v>
      </c>
      <c r="AH222" s="77">
        <v>0</v>
      </c>
      <c r="AI222" s="77">
        <v>0</v>
      </c>
      <c r="AJ222" s="77">
        <v>0</v>
      </c>
      <c r="AK222" s="77">
        <v>0</v>
      </c>
      <c r="AL222" s="77">
        <v>0</v>
      </c>
      <c r="AM222" s="77">
        <v>0</v>
      </c>
      <c r="AN222" s="77">
        <v>0</v>
      </c>
      <c r="AO222" s="77">
        <v>0</v>
      </c>
      <c r="AP222" s="77">
        <v>-0.55000000000000004</v>
      </c>
      <c r="AQ222" s="77">
        <v>2014124.2319999989</v>
      </c>
      <c r="AR222" s="77">
        <v>1886653.2552000005</v>
      </c>
      <c r="AS222" s="77">
        <v>1760756.1467999984</v>
      </c>
      <c r="AT222" s="77">
        <v>1629676.3996800017</v>
      </c>
      <c r="AU222" s="77">
        <v>1806107.8895999994</v>
      </c>
      <c r="AV222" s="77">
        <v>1874677.3920000009</v>
      </c>
      <c r="AW222" s="77">
        <v>1916718.8543999996</v>
      </c>
      <c r="AX222" s="77">
        <v>2009113.1676000003</v>
      </c>
      <c r="AY222" s="77">
        <v>2130234.4979999997</v>
      </c>
      <c r="AZ222" s="77">
        <v>1855223.4959999993</v>
      </c>
      <c r="BA222" s="77">
        <v>1484178.7967999987</v>
      </c>
      <c r="BB222" s="77">
        <v>1961236.2671999987</v>
      </c>
      <c r="BC222" s="77">
        <v>0</v>
      </c>
      <c r="BD222" s="77">
        <v>1146445.6499999994</v>
      </c>
      <c r="BE222" s="77">
        <v>1113690.0600000005</v>
      </c>
      <c r="BF222" s="77">
        <v>1015423.2899999991</v>
      </c>
      <c r="BG222" s="77">
        <v>981095.43168000039</v>
      </c>
      <c r="BH222" s="77">
        <v>1069142.4576000003</v>
      </c>
      <c r="BI222" s="77">
        <v>1100587.824</v>
      </c>
      <c r="BJ222" s="77">
        <v>1132033.1903999997</v>
      </c>
      <c r="BK222" s="77">
        <v>1167409.2275999999</v>
      </c>
      <c r="BL222" s="77">
        <v>1238161.3019999992</v>
      </c>
      <c r="BM222" s="77">
        <v>1100587.824</v>
      </c>
      <c r="BN222" s="77">
        <v>880470.25919999974</v>
      </c>
      <c r="BO222" s="77">
        <v>1163478.5568000004</v>
      </c>
      <c r="BP222" s="77">
        <v>0</v>
      </c>
      <c r="BQ222" s="77">
        <v>0</v>
      </c>
      <c r="BR222" s="77">
        <v>0</v>
      </c>
      <c r="BS222" s="77">
        <v>0</v>
      </c>
      <c r="BT222" s="77">
        <v>0</v>
      </c>
      <c r="BU222" s="77">
        <v>0</v>
      </c>
      <c r="BV222" s="77">
        <v>0</v>
      </c>
      <c r="BW222" s="77">
        <v>0</v>
      </c>
      <c r="BX222" s="77">
        <v>0</v>
      </c>
      <c r="BY222" s="77">
        <v>0</v>
      </c>
      <c r="BZ222" s="77">
        <v>0</v>
      </c>
      <c r="CA222" s="77">
        <v>0</v>
      </c>
      <c r="CB222" s="77">
        <v>0</v>
      </c>
      <c r="CC222" s="77">
        <v>0</v>
      </c>
      <c r="CD222" s="77">
        <v>1641019.3113600016</v>
      </c>
      <c r="CE222" s="77">
        <v>1601911.9334399989</v>
      </c>
      <c r="CF222" s="77">
        <v>1763043.5472000008</v>
      </c>
      <c r="CG222" s="77">
        <v>1362399.3924000002</v>
      </c>
      <c r="CH222" s="77">
        <v>1564646.8447199995</v>
      </c>
      <c r="CI222" s="77">
        <v>1665770.5708799995</v>
      </c>
      <c r="CJ222" s="77">
        <v>1742262.1272</v>
      </c>
      <c r="CK222" s="77">
        <v>1678931.3613600014</v>
      </c>
      <c r="CL222" s="77">
        <v>1640947.3034399999</v>
      </c>
      <c r="CM222" s="77">
        <v>1393290.6924000001</v>
      </c>
      <c r="CN222" s="77">
        <v>1543022.9347200003</v>
      </c>
      <c r="CO222" s="77">
        <v>1656503.180879999</v>
      </c>
      <c r="CP222" s="77">
        <v>0</v>
      </c>
      <c r="CQ222" s="77">
        <v>477559.68000000017</v>
      </c>
      <c r="CR222" s="77">
        <v>509396.99200000009</v>
      </c>
      <c r="CS222" s="77">
        <v>604908.92800000031</v>
      </c>
      <c r="CT222" s="77">
        <v>336740.80000000005</v>
      </c>
      <c r="CU222" s="77">
        <v>471437.11999999988</v>
      </c>
      <c r="CV222" s="77">
        <v>538785.28000000026</v>
      </c>
      <c r="CW222" s="77">
        <v>514295.04000000004</v>
      </c>
      <c r="CX222" s="77">
        <v>642868.79999999981</v>
      </c>
      <c r="CY222" s="77">
        <v>679604.16000000015</v>
      </c>
      <c r="CZ222" s="77">
        <v>471437.11999999988</v>
      </c>
      <c r="DA222" s="77">
        <v>377149.696</v>
      </c>
      <c r="DB222" s="77">
        <v>498376.38400000008</v>
      </c>
      <c r="DC222" s="77">
        <v>0</v>
      </c>
      <c r="DD222" s="77">
        <v>0</v>
      </c>
      <c r="DE222" s="77">
        <v>660528</v>
      </c>
      <c r="DF222" s="77">
        <v>616492.79999999981</v>
      </c>
      <c r="DG222" s="77">
        <v>688050</v>
      </c>
      <c r="DH222" s="77">
        <v>616492.79999999981</v>
      </c>
      <c r="DI222" s="77">
        <v>733920</v>
      </c>
      <c r="DJ222" s="77">
        <v>733920</v>
      </c>
      <c r="DK222" s="77">
        <v>825660</v>
      </c>
      <c r="DL222" s="77">
        <v>795080</v>
      </c>
      <c r="DM222" s="77">
        <v>759607.20000000019</v>
      </c>
      <c r="DN222" s="77">
        <v>856240</v>
      </c>
      <c r="DO222" s="77">
        <v>886820</v>
      </c>
      <c r="DP222" s="77">
        <v>954096</v>
      </c>
      <c r="DQ222" s="77">
        <v>0</v>
      </c>
      <c r="DR222" s="77">
        <v>204120</v>
      </c>
      <c r="DS222" s="77">
        <v>190512</v>
      </c>
      <c r="DT222" s="77">
        <v>212625</v>
      </c>
      <c r="DU222" s="77">
        <v>190512</v>
      </c>
      <c r="DV222" s="77">
        <v>226800</v>
      </c>
      <c r="DW222" s="77">
        <v>226800</v>
      </c>
      <c r="DX222" s="77">
        <v>255150</v>
      </c>
      <c r="DY222" s="77">
        <v>245700</v>
      </c>
      <c r="DZ222" s="77">
        <v>234738</v>
      </c>
      <c r="EA222" s="77">
        <v>264600</v>
      </c>
      <c r="EB222" s="77">
        <v>274050</v>
      </c>
      <c r="EC222" s="77">
        <v>294840</v>
      </c>
    </row>
    <row r="223" spans="1:133">
      <c r="A223" s="77" t="s">
        <v>262</v>
      </c>
      <c r="C223" s="77">
        <v>0.17931582470737281</v>
      </c>
      <c r="D223" s="77">
        <v>0.17678432881283382</v>
      </c>
      <c r="E223" s="77">
        <v>0.17782553959626071</v>
      </c>
      <c r="F223" s="77">
        <v>0.17697346861246527</v>
      </c>
      <c r="G223" s="77">
        <v>0.17760013361100324</v>
      </c>
      <c r="H223" s="77">
        <v>0.17758367516867168</v>
      </c>
      <c r="I223" s="77">
        <v>0.17787201569864905</v>
      </c>
      <c r="J223" s="77">
        <v>0.17785888852157833</v>
      </c>
      <c r="K223" s="77">
        <v>0.17747049530583878</v>
      </c>
      <c r="L223" s="77">
        <v>0.17823949679105025</v>
      </c>
      <c r="M223" s="77">
        <v>0.17930032501802703</v>
      </c>
      <c r="N223" s="77">
        <v>0.17841886445786767</v>
      </c>
      <c r="O223" s="77">
        <v>0.17793699256038148</v>
      </c>
      <c r="P223" s="77" t="e">
        <v>#DIV/0!</v>
      </c>
      <c r="Q223" s="77" t="e">
        <v>#DIV/0!</v>
      </c>
      <c r="R223" s="77" t="e">
        <v>#DIV/0!</v>
      </c>
      <c r="S223" s="77" t="e">
        <v>#DIV/0!</v>
      </c>
      <c r="T223" s="77" t="e">
        <v>#DIV/0!</v>
      </c>
      <c r="U223" s="77" t="e">
        <v>#DIV/0!</v>
      </c>
      <c r="V223" s="77" t="e">
        <v>#DIV/0!</v>
      </c>
      <c r="W223" s="77" t="e">
        <v>#DIV/0!</v>
      </c>
      <c r="X223" s="77" t="e">
        <v>#DIV/0!</v>
      </c>
      <c r="Y223" s="77" t="e">
        <v>#DIV/0!</v>
      </c>
      <c r="Z223" s="77" t="e">
        <v>#DIV/0!</v>
      </c>
      <c r="AA223" s="77" t="e">
        <v>#DIV/0!</v>
      </c>
      <c r="AB223" s="77" t="e">
        <v>#DIV/0!</v>
      </c>
      <c r="AC223" s="77" t="e">
        <v>#DIV/0!</v>
      </c>
      <c r="AD223" s="77" t="e">
        <v>#DIV/0!</v>
      </c>
      <c r="AE223" s="77" t="e">
        <v>#DIV/0!</v>
      </c>
      <c r="AF223" s="77" t="e">
        <v>#DIV/0!</v>
      </c>
      <c r="AG223" s="77" t="e">
        <v>#DIV/0!</v>
      </c>
      <c r="AH223" s="77" t="e">
        <v>#DIV/0!</v>
      </c>
      <c r="AI223" s="77" t="e">
        <v>#DIV/0!</v>
      </c>
      <c r="AJ223" s="77" t="e">
        <v>#DIV/0!</v>
      </c>
      <c r="AK223" s="77" t="e">
        <v>#DIV/0!</v>
      </c>
      <c r="AL223" s="77" t="e">
        <v>#DIV/0!</v>
      </c>
      <c r="AM223" s="77" t="e">
        <v>#DIV/0!</v>
      </c>
      <c r="AN223" s="77" t="e">
        <v>#DIV/0!</v>
      </c>
      <c r="AO223" s="77" t="e">
        <v>#DIV/0!</v>
      </c>
      <c r="AP223" s="77" t="e">
        <v>#DIV/0!</v>
      </c>
      <c r="AQ223" s="77">
        <v>0.167588932806324</v>
      </c>
      <c r="AR223" s="77">
        <v>0.16047430830039525</v>
      </c>
      <c r="AS223" s="77">
        <v>0.16047430830039511</v>
      </c>
      <c r="AT223" s="77">
        <v>0.16047430830039544</v>
      </c>
      <c r="AU223" s="77">
        <v>0.16047430830039522</v>
      </c>
      <c r="AV223" s="77">
        <v>0.16047430830039533</v>
      </c>
      <c r="AW223" s="77">
        <v>0.16047430830039522</v>
      </c>
      <c r="AX223" s="77">
        <v>0.16047430830039519</v>
      </c>
      <c r="AY223" s="77">
        <v>0.16047430830039522</v>
      </c>
      <c r="AZ223" s="77">
        <v>0.16047430830039519</v>
      </c>
      <c r="BA223" s="77">
        <v>0.16047430830039514</v>
      </c>
      <c r="BB223" s="77">
        <v>0.16047430830039516</v>
      </c>
      <c r="BC223" s="77" t="e">
        <v>#DIV/0!</v>
      </c>
      <c r="BD223" s="77">
        <v>0.17999999999999991</v>
      </c>
      <c r="BE223" s="77">
        <v>0.18000000000000008</v>
      </c>
      <c r="BF223" s="77">
        <v>0.17999999999999985</v>
      </c>
      <c r="BG223" s="77">
        <v>0.18000000000000008</v>
      </c>
      <c r="BH223" s="77">
        <v>0.18000000000000005</v>
      </c>
      <c r="BI223" s="77">
        <v>0.18000000000000005</v>
      </c>
      <c r="BJ223" s="77">
        <v>0.17999999999999994</v>
      </c>
      <c r="BK223" s="77">
        <v>0.17999999999999997</v>
      </c>
      <c r="BL223" s="77">
        <v>0.17999999999999991</v>
      </c>
      <c r="BM223" s="77">
        <v>0.18000000000000005</v>
      </c>
      <c r="BN223" s="77">
        <v>0.17999999999999994</v>
      </c>
      <c r="BO223" s="77">
        <v>0.18000000000000008</v>
      </c>
      <c r="BP223" s="77" t="e">
        <v>#DIV/0!</v>
      </c>
      <c r="BQ223" s="77" t="e">
        <v>#DIV/0!</v>
      </c>
      <c r="BR223" s="77" t="e">
        <v>#DIV/0!</v>
      </c>
      <c r="BS223" s="77" t="e">
        <v>#DIV/0!</v>
      </c>
      <c r="BT223" s="77" t="e">
        <v>#DIV/0!</v>
      </c>
      <c r="BU223" s="77" t="e">
        <v>#DIV/0!</v>
      </c>
      <c r="BV223" s="77" t="e">
        <v>#DIV/0!</v>
      </c>
      <c r="BW223" s="77" t="e">
        <v>#DIV/0!</v>
      </c>
      <c r="BX223" s="77" t="e">
        <v>#DIV/0!</v>
      </c>
      <c r="BY223" s="77" t="e">
        <v>#DIV/0!</v>
      </c>
      <c r="BZ223" s="77" t="e">
        <v>#DIV/0!</v>
      </c>
      <c r="CA223" s="77" t="e">
        <v>#DIV/0!</v>
      </c>
      <c r="CB223" s="77" t="e">
        <v>#DIV/0!</v>
      </c>
      <c r="CC223" s="77" t="e">
        <v>#DIV/0!</v>
      </c>
      <c r="CD223" s="77">
        <v>0.17549407114624516</v>
      </c>
      <c r="CE223" s="77">
        <v>0.17549407114624493</v>
      </c>
      <c r="CF223" s="77">
        <v>0.17549407114624516</v>
      </c>
      <c r="CG223" s="77">
        <v>0.17549407114624507</v>
      </c>
      <c r="CH223" s="77">
        <v>0.17549407114624502</v>
      </c>
      <c r="CI223" s="77">
        <v>0.17549407114624502</v>
      </c>
      <c r="CJ223" s="77">
        <v>0.17549407114624507</v>
      </c>
      <c r="CK223" s="77">
        <v>0.17549407114624516</v>
      </c>
      <c r="CL223" s="77">
        <v>0.17549407114624505</v>
      </c>
      <c r="CM223" s="77">
        <v>0.17549407114624507</v>
      </c>
      <c r="CN223" s="77">
        <v>0.17549407114624507</v>
      </c>
      <c r="CO223" s="77">
        <v>0.17549407114624499</v>
      </c>
      <c r="CP223" s="77" t="e">
        <v>#DIV/0!</v>
      </c>
      <c r="CQ223" s="77">
        <v>0.20000000000000004</v>
      </c>
      <c r="CR223" s="77">
        <v>0.2</v>
      </c>
      <c r="CS223" s="77">
        <v>0.20000000000000007</v>
      </c>
      <c r="CT223" s="77">
        <v>0.2</v>
      </c>
      <c r="CU223" s="77">
        <v>0.19999999999999993</v>
      </c>
      <c r="CV223" s="77">
        <v>0.20000000000000007</v>
      </c>
      <c r="CW223" s="77">
        <v>0.2</v>
      </c>
      <c r="CX223" s="77">
        <v>0.19999999999999998</v>
      </c>
      <c r="CY223" s="77">
        <v>0.20000000000000007</v>
      </c>
      <c r="CZ223" s="77">
        <v>0.19999999999999993</v>
      </c>
      <c r="DA223" s="77">
        <v>0.19999999999999998</v>
      </c>
      <c r="DB223" s="77">
        <v>0.20000000000000004</v>
      </c>
      <c r="DC223" s="77" t="e">
        <v>#DIV/0!</v>
      </c>
      <c r="DD223" s="77" t="e">
        <v>#DIV/0!</v>
      </c>
      <c r="DE223" s="77">
        <v>0.22</v>
      </c>
      <c r="DF223" s="77">
        <v>0.21999999999999995</v>
      </c>
      <c r="DG223" s="77">
        <v>0.22</v>
      </c>
      <c r="DH223" s="77">
        <v>0.21999999999999995</v>
      </c>
      <c r="DI223" s="77">
        <v>0.22</v>
      </c>
      <c r="DJ223" s="77">
        <v>0.22</v>
      </c>
      <c r="DK223" s="77">
        <v>0.22</v>
      </c>
      <c r="DL223" s="77">
        <v>0.22</v>
      </c>
      <c r="DM223" s="77">
        <v>0.22000000000000006</v>
      </c>
      <c r="DN223" s="77">
        <v>0.22</v>
      </c>
      <c r="DO223" s="77">
        <v>0.22</v>
      </c>
      <c r="DP223" s="77">
        <v>0.22</v>
      </c>
      <c r="DQ223" s="77" t="e">
        <v>#DIV/0!</v>
      </c>
      <c r="DR223" s="77">
        <v>0.18</v>
      </c>
      <c r="DS223" s="77">
        <v>0.17999999999999997</v>
      </c>
      <c r="DT223" s="77">
        <v>0.17999999999999997</v>
      </c>
      <c r="DU223" s="77">
        <v>0.17999999999999997</v>
      </c>
      <c r="DV223" s="77">
        <v>0.18</v>
      </c>
      <c r="DW223" s="77">
        <v>0.18</v>
      </c>
      <c r="DX223" s="77">
        <v>0.17999999999999997</v>
      </c>
      <c r="DY223" s="77">
        <v>0.17999999999999997</v>
      </c>
      <c r="DZ223" s="77">
        <v>0.17999999999999997</v>
      </c>
      <c r="EA223" s="77">
        <v>0.18</v>
      </c>
      <c r="EB223" s="77">
        <v>0.18</v>
      </c>
      <c r="EC223" s="77">
        <v>0.17999999999999997</v>
      </c>
    </row>
    <row r="225" spans="1:134">
      <c r="A225" s="77" t="s">
        <v>263</v>
      </c>
      <c r="C225" s="77">
        <v>9906482.292200001</v>
      </c>
      <c r="D225" s="77">
        <v>9690862.8279999997</v>
      </c>
      <c r="E225" s="77">
        <v>9882646.0347999986</v>
      </c>
      <c r="F225" s="77">
        <v>8342187.9899000004</v>
      </c>
      <c r="G225" s="77">
        <v>9568669.4808999989</v>
      </c>
      <c r="H225" s="77">
        <v>10021070.9816</v>
      </c>
      <c r="I225" s="77">
        <v>10397038.960000001</v>
      </c>
      <c r="J225" s="77">
        <v>10669591.969699999</v>
      </c>
      <c r="K225" s="77">
        <v>10924302.8803</v>
      </c>
      <c r="L225" s="77">
        <v>9638715.6425000001</v>
      </c>
      <c r="M225" s="77">
        <v>8797755.9399999995</v>
      </c>
      <c r="N225" s="77">
        <v>10586716.497499999</v>
      </c>
      <c r="O225" s="77">
        <v>118426041.4974</v>
      </c>
      <c r="P225" s="77">
        <v>0</v>
      </c>
      <c r="Q225" s="77">
        <v>0</v>
      </c>
      <c r="R225" s="77">
        <v>0</v>
      </c>
      <c r="S225" s="77">
        <v>0</v>
      </c>
      <c r="T225" s="77">
        <v>0</v>
      </c>
      <c r="U225" s="77">
        <v>0</v>
      </c>
      <c r="V225" s="77">
        <v>0</v>
      </c>
      <c r="W225" s="77">
        <v>0</v>
      </c>
      <c r="X225" s="77">
        <v>0</v>
      </c>
      <c r="Y225" s="77">
        <v>0</v>
      </c>
      <c r="Z225" s="77">
        <v>0</v>
      </c>
      <c r="AA225" s="77">
        <v>0</v>
      </c>
      <c r="AB225" s="77">
        <v>0</v>
      </c>
      <c r="AC225" s="77">
        <v>0</v>
      </c>
      <c r="AD225" s="77">
        <v>0</v>
      </c>
      <c r="AE225" s="77">
        <v>0</v>
      </c>
      <c r="AF225" s="77">
        <v>0</v>
      </c>
      <c r="AG225" s="77">
        <v>0</v>
      </c>
      <c r="AH225" s="77">
        <v>0</v>
      </c>
      <c r="AI225" s="77">
        <v>0</v>
      </c>
      <c r="AJ225" s="77">
        <v>0</v>
      </c>
      <c r="AK225" s="77">
        <v>0</v>
      </c>
      <c r="AL225" s="77">
        <v>0</v>
      </c>
      <c r="AM225" s="77">
        <v>0</v>
      </c>
      <c r="AN225" s="77">
        <v>0</v>
      </c>
      <c r="AO225" s="77">
        <v>0</v>
      </c>
      <c r="AP225" s="77">
        <v>0</v>
      </c>
      <c r="AQ225" s="77">
        <v>3851735.4290000005</v>
      </c>
      <c r="AR225" s="77">
        <v>3778569.2076000003</v>
      </c>
      <c r="AS225" s="77">
        <v>3559070.5433999998</v>
      </c>
      <c r="AT225" s="77">
        <v>3237864.7304000002</v>
      </c>
      <c r="AU225" s="77">
        <v>3613166.7640000004</v>
      </c>
      <c r="AV225" s="77">
        <v>3762807.7039999999</v>
      </c>
      <c r="AW225" s="77">
        <v>3837972.6240000003</v>
      </c>
      <c r="AX225" s="77">
        <v>4049142.3930000006</v>
      </c>
      <c r="AY225" s="77">
        <v>4292739.4830000009</v>
      </c>
      <c r="AZ225" s="77">
        <v>3708191.9559999998</v>
      </c>
      <c r="BA225" s="77">
        <v>2966553.5647999998</v>
      </c>
      <c r="BB225" s="77">
        <v>3920088.6391999992</v>
      </c>
      <c r="BC225" s="77">
        <v>0</v>
      </c>
      <c r="BD225" s="77">
        <v>1431373.125</v>
      </c>
      <c r="BE225" s="77">
        <v>1390476.75</v>
      </c>
      <c r="BF225" s="77">
        <v>1267787.625</v>
      </c>
      <c r="BG225" s="77">
        <v>1224928.2239999999</v>
      </c>
      <c r="BH225" s="77">
        <v>1334857.68</v>
      </c>
      <c r="BI225" s="77">
        <v>1374118.2</v>
      </c>
      <c r="BJ225" s="77">
        <v>1413378.7200000002</v>
      </c>
      <c r="BK225" s="77">
        <v>1457546.8050000002</v>
      </c>
      <c r="BL225" s="77">
        <v>1545882.9749999999</v>
      </c>
      <c r="BM225" s="77">
        <v>1374118.2</v>
      </c>
      <c r="BN225" s="77">
        <v>1099294.56</v>
      </c>
      <c r="BO225" s="77">
        <v>1452639.24</v>
      </c>
      <c r="BP225" s="77">
        <v>0</v>
      </c>
      <c r="BQ225" s="77">
        <v>0</v>
      </c>
      <c r="BR225" s="77">
        <v>0</v>
      </c>
      <c r="BS225" s="77">
        <v>0</v>
      </c>
      <c r="BT225" s="77">
        <v>0</v>
      </c>
      <c r="BU225" s="77">
        <v>0</v>
      </c>
      <c r="BV225" s="77">
        <v>0</v>
      </c>
      <c r="BW225" s="77">
        <v>0</v>
      </c>
      <c r="BX225" s="77">
        <v>0</v>
      </c>
      <c r="BY225" s="77">
        <v>0</v>
      </c>
      <c r="BZ225" s="77">
        <v>0</v>
      </c>
      <c r="CA225" s="77">
        <v>0</v>
      </c>
      <c r="CB225" s="77">
        <v>0</v>
      </c>
      <c r="CC225" s="77">
        <v>0</v>
      </c>
      <c r="CD225" s="77">
        <v>2762768.3382000001</v>
      </c>
      <c r="CE225" s="77">
        <v>2697858.5504000001</v>
      </c>
      <c r="CF225" s="77">
        <v>2970181.0813999996</v>
      </c>
      <c r="CG225" s="77">
        <v>2292406.9555000002</v>
      </c>
      <c r="CH225" s="77">
        <v>2634536.6368999998</v>
      </c>
      <c r="CI225" s="77">
        <v>2805601.4776000003</v>
      </c>
      <c r="CJ225" s="77">
        <v>2933374.0659999996</v>
      </c>
      <c r="CK225" s="77">
        <v>2829916.2716999999</v>
      </c>
      <c r="CL225" s="77">
        <v>2766996.0523000006</v>
      </c>
      <c r="CM225" s="77">
        <v>2347120.0864999997</v>
      </c>
      <c r="CN225" s="77">
        <v>2596237.4452</v>
      </c>
      <c r="CO225" s="77">
        <v>2789187.5383000001</v>
      </c>
      <c r="CP225" s="77">
        <v>0</v>
      </c>
      <c r="CQ225" s="77">
        <v>655449.59999999998</v>
      </c>
      <c r="CR225" s="77">
        <v>699146.24000000011</v>
      </c>
      <c r="CS225" s="77">
        <v>830236.16000000015</v>
      </c>
      <c r="CT225" s="77">
        <v>462176.00000000006</v>
      </c>
      <c r="CU225" s="77">
        <v>647046.40000000002</v>
      </c>
      <c r="CV225" s="77">
        <v>739481.60000000009</v>
      </c>
      <c r="CW225" s="77">
        <v>705868.80000000005</v>
      </c>
      <c r="CX225" s="77">
        <v>882335.99999999977</v>
      </c>
      <c r="CY225" s="77">
        <v>932755.2</v>
      </c>
      <c r="CZ225" s="77">
        <v>647046.40000000002</v>
      </c>
      <c r="DA225" s="77">
        <v>517637.12000000005</v>
      </c>
      <c r="DB225" s="77">
        <v>684020.48</v>
      </c>
      <c r="DC225" s="77">
        <v>0</v>
      </c>
      <c r="DD225" s="77">
        <v>0</v>
      </c>
      <c r="DE225" s="77">
        <v>886555.8</v>
      </c>
      <c r="DF225" s="77">
        <v>827452.08</v>
      </c>
      <c r="DG225" s="77">
        <v>923495.625</v>
      </c>
      <c r="DH225" s="77">
        <v>827452.08</v>
      </c>
      <c r="DI225" s="77">
        <v>985062</v>
      </c>
      <c r="DJ225" s="77">
        <v>985062</v>
      </c>
      <c r="DK225" s="77">
        <v>1108194.75</v>
      </c>
      <c r="DL225" s="77">
        <v>1067150.5</v>
      </c>
      <c r="DM225" s="77">
        <v>1019539.17</v>
      </c>
      <c r="DN225" s="77">
        <v>1149239</v>
      </c>
      <c r="DO225" s="77">
        <v>1190283.25</v>
      </c>
      <c r="DP225" s="77">
        <v>1280580.6000000001</v>
      </c>
      <c r="DQ225" s="77">
        <v>0</v>
      </c>
      <c r="DR225" s="77">
        <v>318600</v>
      </c>
      <c r="DS225" s="77">
        <v>297360.00000000006</v>
      </c>
      <c r="DT225" s="77">
        <v>331875.00000000006</v>
      </c>
      <c r="DU225" s="77">
        <v>297360.00000000006</v>
      </c>
      <c r="DV225" s="77">
        <v>354000</v>
      </c>
      <c r="DW225" s="77">
        <v>354000</v>
      </c>
      <c r="DX225" s="77">
        <v>398250.00000000006</v>
      </c>
      <c r="DY225" s="77">
        <v>383500.00000000006</v>
      </c>
      <c r="DZ225" s="77">
        <v>366390.00000000006</v>
      </c>
      <c r="EA225" s="77">
        <v>413000</v>
      </c>
      <c r="EB225" s="77">
        <v>427750</v>
      </c>
      <c r="EC225" s="77">
        <v>460200.00000000006</v>
      </c>
    </row>
    <row r="226" spans="1:134">
      <c r="A226" s="77" t="s">
        <v>35</v>
      </c>
      <c r="C226" s="77">
        <v>1742347.082691079</v>
      </c>
      <c r="D226" s="77">
        <v>1742347.082691079</v>
      </c>
      <c r="E226" s="77">
        <v>1742347.082691079</v>
      </c>
      <c r="F226" s="77">
        <v>1742347.082691079</v>
      </c>
      <c r="G226" s="77">
        <v>1742347.082691079</v>
      </c>
      <c r="H226" s="77">
        <v>1742347.082691079</v>
      </c>
      <c r="I226" s="77">
        <v>1742347.082691079</v>
      </c>
      <c r="J226" s="77">
        <v>1742347.082691079</v>
      </c>
      <c r="K226" s="77">
        <v>1742347.082691079</v>
      </c>
      <c r="L226" s="77">
        <v>1742347.082691079</v>
      </c>
      <c r="M226" s="77">
        <v>1742347.082691079</v>
      </c>
      <c r="N226" s="77">
        <v>1742347.082691079</v>
      </c>
      <c r="O226" s="77">
        <v>20908164.992292948</v>
      </c>
      <c r="P226" s="77">
        <v>0</v>
      </c>
      <c r="Q226" s="77">
        <v>0</v>
      </c>
      <c r="R226" s="77">
        <v>0</v>
      </c>
      <c r="S226" s="77">
        <v>0</v>
      </c>
      <c r="T226" s="77">
        <v>0</v>
      </c>
      <c r="U226" s="77">
        <v>0</v>
      </c>
      <c r="V226" s="77">
        <v>0</v>
      </c>
      <c r="W226" s="77">
        <v>0</v>
      </c>
      <c r="X226" s="77">
        <v>0</v>
      </c>
      <c r="Y226" s="77">
        <v>0</v>
      </c>
      <c r="Z226" s="77">
        <v>0</v>
      </c>
      <c r="AA226" s="77">
        <v>0</v>
      </c>
      <c r="AB226" s="77">
        <v>0</v>
      </c>
      <c r="AC226" s="77">
        <v>0</v>
      </c>
      <c r="AD226" s="77">
        <v>0</v>
      </c>
      <c r="AE226" s="77">
        <v>0</v>
      </c>
      <c r="AF226" s="77">
        <v>0</v>
      </c>
      <c r="AG226" s="77">
        <v>0</v>
      </c>
      <c r="AH226" s="77">
        <v>0</v>
      </c>
      <c r="AI226" s="77">
        <v>0</v>
      </c>
      <c r="AJ226" s="77">
        <v>0</v>
      </c>
      <c r="AK226" s="77">
        <v>0</v>
      </c>
      <c r="AL226" s="77">
        <v>0</v>
      </c>
      <c r="AM226" s="77">
        <v>0</v>
      </c>
      <c r="AN226" s="77">
        <v>0</v>
      </c>
      <c r="AO226" s="77">
        <v>0</v>
      </c>
      <c r="AP226" s="77">
        <v>0</v>
      </c>
      <c r="AQ226" s="77">
        <v>677227.63421100425</v>
      </c>
      <c r="AR226" s="77">
        <v>677227.63421100425</v>
      </c>
      <c r="AS226" s="77">
        <v>677227.63421100425</v>
      </c>
      <c r="AT226" s="77">
        <v>677227.63421100425</v>
      </c>
      <c r="AU226" s="77">
        <v>677227.63421100425</v>
      </c>
      <c r="AV226" s="77">
        <v>677227.63421100425</v>
      </c>
      <c r="AW226" s="77">
        <v>677227.63421100425</v>
      </c>
      <c r="AX226" s="77">
        <v>677227.63421100425</v>
      </c>
      <c r="AY226" s="77">
        <v>677227.63421100425</v>
      </c>
      <c r="AZ226" s="77">
        <v>677227.63421100425</v>
      </c>
      <c r="BA226" s="77">
        <v>677227.63421100425</v>
      </c>
      <c r="BB226" s="77">
        <v>677227.63421100425</v>
      </c>
      <c r="BC226" s="77">
        <v>0</v>
      </c>
      <c r="BD226" s="77">
        <v>203252.71437537394</v>
      </c>
      <c r="BE226" s="77">
        <v>203252.71437537394</v>
      </c>
      <c r="BF226" s="77">
        <v>203252.71437537394</v>
      </c>
      <c r="BG226" s="77">
        <v>203252.71437537394</v>
      </c>
      <c r="BH226" s="77">
        <v>203252.71437537394</v>
      </c>
      <c r="BI226" s="77">
        <v>203252.71437537394</v>
      </c>
      <c r="BJ226" s="77">
        <v>203252.71437537394</v>
      </c>
      <c r="BK226" s="77">
        <v>203252.71437537394</v>
      </c>
      <c r="BL226" s="77">
        <v>203252.71437537394</v>
      </c>
      <c r="BM226" s="77">
        <v>203252.71437537394</v>
      </c>
      <c r="BN226" s="77">
        <v>203252.71437537394</v>
      </c>
      <c r="BO226" s="77">
        <v>203252.71437537394</v>
      </c>
      <c r="BP226" s="77">
        <v>0</v>
      </c>
      <c r="BQ226" s="77">
        <v>0</v>
      </c>
      <c r="BR226" s="77">
        <v>0</v>
      </c>
      <c r="BS226" s="77">
        <v>0</v>
      </c>
      <c r="BT226" s="77">
        <v>0</v>
      </c>
      <c r="BU226" s="77">
        <v>0</v>
      </c>
      <c r="BV226" s="77">
        <v>0</v>
      </c>
      <c r="BW226" s="77">
        <v>0</v>
      </c>
      <c r="BX226" s="77">
        <v>0</v>
      </c>
      <c r="BY226" s="77">
        <v>0</v>
      </c>
      <c r="BZ226" s="77">
        <v>0</v>
      </c>
      <c r="CA226" s="77">
        <v>0</v>
      </c>
      <c r="CB226" s="77">
        <v>0</v>
      </c>
      <c r="CC226" s="77">
        <v>0</v>
      </c>
      <c r="CD226" s="77">
        <v>509825.48383733968</v>
      </c>
      <c r="CE226" s="77">
        <v>509825.48383733968</v>
      </c>
      <c r="CF226" s="77">
        <v>509825.48383733968</v>
      </c>
      <c r="CG226" s="77">
        <v>509825.48383733968</v>
      </c>
      <c r="CH226" s="77">
        <v>509825.48383733968</v>
      </c>
      <c r="CI226" s="77">
        <v>509825.48383733968</v>
      </c>
      <c r="CJ226" s="77">
        <v>509825.48383733968</v>
      </c>
      <c r="CK226" s="77">
        <v>509825.48383733968</v>
      </c>
      <c r="CL226" s="77">
        <v>509825.48383733968</v>
      </c>
      <c r="CM226" s="77">
        <v>509825.48383733968</v>
      </c>
      <c r="CN226" s="77">
        <v>509825.48383733968</v>
      </c>
      <c r="CO226" s="77">
        <v>509825.48383733968</v>
      </c>
      <c r="CP226" s="77">
        <v>0</v>
      </c>
      <c r="CQ226" s="77">
        <v>99077.083600694445</v>
      </c>
      <c r="CR226" s="77">
        <v>99077.083600694445</v>
      </c>
      <c r="CS226" s="77">
        <v>99077.083600694445</v>
      </c>
      <c r="CT226" s="77">
        <v>99077.083600694445</v>
      </c>
      <c r="CU226" s="77">
        <v>99077.083600694445</v>
      </c>
      <c r="CV226" s="77">
        <v>99077.083600694445</v>
      </c>
      <c r="CW226" s="77">
        <v>99077.083600694445</v>
      </c>
      <c r="CX226" s="77">
        <v>99077.083600694445</v>
      </c>
      <c r="CY226" s="77">
        <v>99077.083600694445</v>
      </c>
      <c r="CZ226" s="77">
        <v>99077.083600694445</v>
      </c>
      <c r="DA226" s="77">
        <v>99077.083600694445</v>
      </c>
      <c r="DB226" s="77">
        <v>99077.083600694445</v>
      </c>
      <c r="DC226" s="77">
        <v>0</v>
      </c>
      <c r="DD226" s="77">
        <v>0</v>
      </c>
      <c r="DE226" s="77">
        <v>218709.67948717947</v>
      </c>
      <c r="DF226" s="77">
        <v>218709.67948717947</v>
      </c>
      <c r="DG226" s="77">
        <v>218709.67948717947</v>
      </c>
      <c r="DH226" s="77">
        <v>218709.67948717947</v>
      </c>
      <c r="DI226" s="77">
        <v>218709.67948717947</v>
      </c>
      <c r="DJ226" s="77">
        <v>218709.67948717947</v>
      </c>
      <c r="DK226" s="77">
        <v>218709.67948717947</v>
      </c>
      <c r="DL226" s="77">
        <v>218709.67948717947</v>
      </c>
      <c r="DM226" s="77">
        <v>218709.67948717947</v>
      </c>
      <c r="DN226" s="77">
        <v>218709.67948717947</v>
      </c>
      <c r="DO226" s="77">
        <v>218709.67948717947</v>
      </c>
      <c r="DP226" s="77">
        <v>218709.67948717947</v>
      </c>
      <c r="DQ226" s="77">
        <v>0</v>
      </c>
      <c r="DR226" s="77">
        <v>34254.48717948718</v>
      </c>
      <c r="DS226" s="77">
        <v>34254.48717948718</v>
      </c>
      <c r="DT226" s="77">
        <v>34254.48717948718</v>
      </c>
      <c r="DU226" s="77">
        <v>34254.48717948718</v>
      </c>
      <c r="DV226" s="77">
        <v>34254.48717948718</v>
      </c>
      <c r="DW226" s="77">
        <v>34254.48717948718</v>
      </c>
      <c r="DX226" s="77">
        <v>34254.48717948718</v>
      </c>
      <c r="DY226" s="77">
        <v>34254.48717948718</v>
      </c>
      <c r="DZ226" s="77">
        <v>34254.48717948718</v>
      </c>
      <c r="EA226" s="77">
        <v>34254.48717948718</v>
      </c>
      <c r="EB226" s="77">
        <v>34254.48717948718</v>
      </c>
      <c r="EC226" s="77">
        <v>34254.48717948718</v>
      </c>
    </row>
    <row r="227" spans="1:134">
      <c r="C227" s="77">
        <v>8164135.209508922</v>
      </c>
      <c r="D227" s="77">
        <v>7948515.7453089207</v>
      </c>
      <c r="E227" s="77">
        <v>8140298.9521089196</v>
      </c>
      <c r="F227" s="77">
        <v>6599840.9072089214</v>
      </c>
      <c r="G227" s="77">
        <v>7826322.3982089199</v>
      </c>
      <c r="H227" s="77">
        <v>8278723.8989089206</v>
      </c>
      <c r="I227" s="77">
        <v>8654691.8773089219</v>
      </c>
      <c r="J227" s="77">
        <v>8927244.8870089203</v>
      </c>
      <c r="K227" s="77">
        <v>9181955.7976089213</v>
      </c>
      <c r="L227" s="77">
        <v>7896368.5598089211</v>
      </c>
      <c r="M227" s="77">
        <v>7055408.8573089205</v>
      </c>
      <c r="N227" s="77">
        <v>8844369.4148089197</v>
      </c>
      <c r="O227" s="77">
        <v>97517876.505107045</v>
      </c>
      <c r="P227" s="77">
        <v>0</v>
      </c>
      <c r="Q227" s="77">
        <v>0</v>
      </c>
      <c r="R227" s="77">
        <v>0</v>
      </c>
      <c r="S227" s="77">
        <v>0</v>
      </c>
      <c r="T227" s="77">
        <v>0</v>
      </c>
      <c r="U227" s="77">
        <v>0</v>
      </c>
      <c r="V227" s="77">
        <v>0</v>
      </c>
      <c r="W227" s="77">
        <v>0</v>
      </c>
      <c r="X227" s="77">
        <v>0</v>
      </c>
      <c r="Y227" s="77">
        <v>0</v>
      </c>
      <c r="Z227" s="77">
        <v>0</v>
      </c>
      <c r="AA227" s="77">
        <v>0</v>
      </c>
      <c r="AB227" s="77">
        <v>0</v>
      </c>
      <c r="AC227" s="77">
        <v>0</v>
      </c>
      <c r="AD227" s="77">
        <v>0</v>
      </c>
      <c r="AE227" s="77">
        <v>0</v>
      </c>
      <c r="AF227" s="77">
        <v>0</v>
      </c>
      <c r="AG227" s="77">
        <v>0</v>
      </c>
      <c r="AH227" s="77">
        <v>0</v>
      </c>
      <c r="AI227" s="77">
        <v>0</v>
      </c>
      <c r="AJ227" s="77">
        <v>0</v>
      </c>
      <c r="AK227" s="77">
        <v>0</v>
      </c>
      <c r="AL227" s="77">
        <v>0</v>
      </c>
      <c r="AM227" s="77">
        <v>0</v>
      </c>
      <c r="AN227" s="77">
        <v>0</v>
      </c>
      <c r="AO227" s="77">
        <v>0</v>
      </c>
      <c r="AP227" s="77">
        <v>0</v>
      </c>
      <c r="AQ227" s="77">
        <v>3174507.7947889962</v>
      </c>
      <c r="AR227" s="77">
        <v>3101341.5733889961</v>
      </c>
      <c r="AS227" s="77">
        <v>2881842.9091889956</v>
      </c>
      <c r="AT227" s="77">
        <v>2560637.096188996</v>
      </c>
      <c r="AU227" s="77">
        <v>2935939.1297889962</v>
      </c>
      <c r="AV227" s="77">
        <v>3085580.0697889957</v>
      </c>
      <c r="AW227" s="77">
        <v>3160744.9897889961</v>
      </c>
      <c r="AX227" s="77">
        <v>3371914.7587889964</v>
      </c>
      <c r="AY227" s="77">
        <v>3615511.8487889967</v>
      </c>
      <c r="AZ227" s="77">
        <v>3030964.3217889955</v>
      </c>
      <c r="BA227" s="77">
        <v>2289325.9305889956</v>
      </c>
      <c r="BB227" s="77">
        <v>3242861.0049889949</v>
      </c>
      <c r="BC227" s="77">
        <v>0</v>
      </c>
      <c r="BD227" s="77">
        <v>1228120.4106246261</v>
      </c>
      <c r="BE227" s="77">
        <v>1187224.0356246261</v>
      </c>
      <c r="BF227" s="77">
        <v>1064534.9106246261</v>
      </c>
      <c r="BG227" s="77">
        <v>1021675.509624626</v>
      </c>
      <c r="BH227" s="77">
        <v>1131604.965624626</v>
      </c>
      <c r="BI227" s="77">
        <v>1170865.485624626</v>
      </c>
      <c r="BJ227" s="77">
        <v>1210126.0056246263</v>
      </c>
      <c r="BK227" s="77">
        <v>1254294.0906246263</v>
      </c>
      <c r="BL227" s="77">
        <v>1342630.260624626</v>
      </c>
      <c r="BM227" s="77">
        <v>1170865.485624626</v>
      </c>
      <c r="BN227" s="77">
        <v>896041.84562462615</v>
      </c>
      <c r="BO227" s="77">
        <v>1249386.5256246261</v>
      </c>
      <c r="BP227" s="77">
        <v>0</v>
      </c>
      <c r="BQ227" s="77">
        <v>0</v>
      </c>
      <c r="BR227" s="77">
        <v>0</v>
      </c>
      <c r="BS227" s="77">
        <v>0</v>
      </c>
      <c r="BT227" s="77">
        <v>0</v>
      </c>
      <c r="BU227" s="77">
        <v>0</v>
      </c>
      <c r="BV227" s="77">
        <v>0</v>
      </c>
      <c r="BW227" s="77">
        <v>0</v>
      </c>
      <c r="BX227" s="77">
        <v>0</v>
      </c>
      <c r="BY227" s="77">
        <v>0</v>
      </c>
      <c r="BZ227" s="77">
        <v>0</v>
      </c>
      <c r="CA227" s="77">
        <v>0</v>
      </c>
      <c r="CB227" s="77">
        <v>0</v>
      </c>
      <c r="CC227" s="77">
        <v>0</v>
      </c>
      <c r="CD227" s="77">
        <v>2252942.8543626606</v>
      </c>
      <c r="CE227" s="77">
        <v>2188033.0665626605</v>
      </c>
      <c r="CF227" s="77">
        <v>2460355.59756266</v>
      </c>
      <c r="CG227" s="77">
        <v>1782581.4716626606</v>
      </c>
      <c r="CH227" s="77">
        <v>2124711.1530626602</v>
      </c>
      <c r="CI227" s="77">
        <v>2295775.9937626608</v>
      </c>
      <c r="CJ227" s="77">
        <v>2423548.5821626601</v>
      </c>
      <c r="CK227" s="77">
        <v>2320090.7878626604</v>
      </c>
      <c r="CL227" s="77">
        <v>2257170.568462661</v>
      </c>
      <c r="CM227" s="77">
        <v>1837294.6026626602</v>
      </c>
      <c r="CN227" s="77">
        <v>2086411.9613626604</v>
      </c>
      <c r="CO227" s="77">
        <v>2279362.0544626606</v>
      </c>
      <c r="CP227" s="77">
        <v>0</v>
      </c>
      <c r="CQ227" s="77">
        <v>556372.51639930555</v>
      </c>
      <c r="CR227" s="77">
        <v>600069.15639930568</v>
      </c>
      <c r="CS227" s="77">
        <v>731159.07639930572</v>
      </c>
      <c r="CT227" s="77">
        <v>363098.91639930563</v>
      </c>
      <c r="CU227" s="77">
        <v>547969.31639930559</v>
      </c>
      <c r="CV227" s="77">
        <v>640404.51639930566</v>
      </c>
      <c r="CW227" s="77">
        <v>606791.71639930562</v>
      </c>
      <c r="CX227" s="77">
        <v>783258.91639930534</v>
      </c>
      <c r="CY227" s="77">
        <v>833678.11639930552</v>
      </c>
      <c r="CZ227" s="77">
        <v>547969.31639930559</v>
      </c>
      <c r="DA227" s="77">
        <v>418560.03639930562</v>
      </c>
      <c r="DB227" s="77">
        <v>584943.39639930555</v>
      </c>
      <c r="DC227" s="77">
        <v>0</v>
      </c>
      <c r="DD227" s="77">
        <v>0</v>
      </c>
      <c r="DE227" s="77">
        <v>667846.12051282055</v>
      </c>
      <c r="DF227" s="77">
        <v>608742.40051282046</v>
      </c>
      <c r="DG227" s="77">
        <v>704785.9455128205</v>
      </c>
      <c r="DH227" s="77">
        <v>608742.40051282046</v>
      </c>
      <c r="DI227" s="77">
        <v>766352.3205128205</v>
      </c>
      <c r="DJ227" s="77">
        <v>766352.3205128205</v>
      </c>
      <c r="DK227" s="77">
        <v>889485.0705128205</v>
      </c>
      <c r="DL227" s="77">
        <v>848440.8205128205</v>
      </c>
      <c r="DM227" s="77">
        <v>800829.49051282054</v>
      </c>
      <c r="DN227" s="77">
        <v>930529.3205128205</v>
      </c>
      <c r="DO227" s="77">
        <v>971573.5705128205</v>
      </c>
      <c r="DP227" s="77">
        <v>1061870.9205128206</v>
      </c>
      <c r="DQ227" s="77">
        <v>0</v>
      </c>
      <c r="DR227" s="77">
        <v>284345.51282051281</v>
      </c>
      <c r="DS227" s="77">
        <v>263105.51282051287</v>
      </c>
      <c r="DT227" s="77">
        <v>297620.51282051287</v>
      </c>
      <c r="DU227" s="77">
        <v>263105.51282051287</v>
      </c>
      <c r="DV227" s="77">
        <v>319745.51282051281</v>
      </c>
      <c r="DW227" s="77">
        <v>319745.51282051281</v>
      </c>
      <c r="DX227" s="77">
        <v>363995.51282051287</v>
      </c>
      <c r="DY227" s="77">
        <v>349245.51282051287</v>
      </c>
      <c r="DZ227" s="77">
        <v>332135.51282051287</v>
      </c>
      <c r="EA227" s="77">
        <v>378745.51282051281</v>
      </c>
      <c r="EB227" s="77">
        <v>393495.51282051281</v>
      </c>
      <c r="EC227" s="77">
        <v>425945.51282051287</v>
      </c>
    </row>
    <row r="228" spans="1:134">
      <c r="C228" s="77">
        <v>0.82412050702771267</v>
      </c>
      <c r="D228" s="77">
        <v>0.82020722884892339</v>
      </c>
      <c r="E228" s="77">
        <v>0.82369629787855292</v>
      </c>
      <c r="F228" s="77">
        <v>0.79114027581246527</v>
      </c>
      <c r="G228" s="77">
        <v>0.81791124814489891</v>
      </c>
      <c r="H228" s="77">
        <v>0.82613164941249728</v>
      </c>
      <c r="I228" s="77">
        <v>0.83241891375089361</v>
      </c>
      <c r="J228" s="77">
        <v>0.83669974562859795</v>
      </c>
      <c r="K228" s="77">
        <v>0.8405072523361572</v>
      </c>
      <c r="L228" s="77">
        <v>0.81923451761471766</v>
      </c>
      <c r="M228" s="77">
        <v>0.80195551063546788</v>
      </c>
      <c r="N228" s="77">
        <v>0.83542139027690732</v>
      </c>
      <c r="O228" s="77">
        <v>0.82344960003791068</v>
      </c>
      <c r="P228" s="77" t="e">
        <v>#DIV/0!</v>
      </c>
      <c r="Q228" s="77" t="e">
        <v>#DIV/0!</v>
      </c>
      <c r="R228" s="77" t="e">
        <v>#DIV/0!</v>
      </c>
      <c r="S228" s="77" t="e">
        <v>#DIV/0!</v>
      </c>
      <c r="T228" s="77" t="e">
        <v>#DIV/0!</v>
      </c>
      <c r="U228" s="77" t="e">
        <v>#DIV/0!</v>
      </c>
      <c r="V228" s="77" t="e">
        <v>#DIV/0!</v>
      </c>
      <c r="W228" s="77" t="e">
        <v>#DIV/0!</v>
      </c>
      <c r="X228" s="77" t="e">
        <v>#DIV/0!</v>
      </c>
      <c r="Y228" s="77" t="e">
        <v>#DIV/0!</v>
      </c>
      <c r="Z228" s="77" t="e">
        <v>#DIV/0!</v>
      </c>
      <c r="AA228" s="77" t="e">
        <v>#DIV/0!</v>
      </c>
      <c r="AB228" s="77" t="e">
        <v>#DIV/0!</v>
      </c>
      <c r="AC228" s="77" t="e">
        <v>#DIV/0!</v>
      </c>
      <c r="AD228" s="77" t="e">
        <v>#DIV/0!</v>
      </c>
      <c r="AE228" s="77" t="e">
        <v>#DIV/0!</v>
      </c>
      <c r="AF228" s="77" t="e">
        <v>#DIV/0!</v>
      </c>
      <c r="AG228" s="77" t="e">
        <v>#DIV/0!</v>
      </c>
      <c r="AH228" s="77" t="e">
        <v>#DIV/0!</v>
      </c>
      <c r="AI228" s="77" t="e">
        <v>#DIV/0!</v>
      </c>
      <c r="AJ228" s="77" t="e">
        <v>#DIV/0!</v>
      </c>
      <c r="AK228" s="77" t="e">
        <v>#DIV/0!</v>
      </c>
      <c r="AL228" s="77" t="e">
        <v>#DIV/0!</v>
      </c>
      <c r="AM228" s="77" t="e">
        <v>#DIV/0!</v>
      </c>
      <c r="AN228" s="77" t="e">
        <v>#DIV/0!</v>
      </c>
      <c r="AO228" s="77" t="e">
        <v>#DIV/0!</v>
      </c>
      <c r="AP228" s="77" t="e">
        <v>#DIV/0!</v>
      </c>
      <c r="AQ228" s="77">
        <v>0.82417597296218548</v>
      </c>
      <c r="AR228" s="77">
        <v>0.82077140922842784</v>
      </c>
      <c r="AS228" s="77">
        <v>0.80971783898274607</v>
      </c>
      <c r="AT228" s="77">
        <v>0.79084128257348763</v>
      </c>
      <c r="AU228" s="77">
        <v>0.81256673758914155</v>
      </c>
      <c r="AV228" s="77">
        <v>0.82002066342877766</v>
      </c>
      <c r="AW228" s="77">
        <v>0.82354547555235402</v>
      </c>
      <c r="AX228" s="77">
        <v>0.83274788375391073</v>
      </c>
      <c r="AY228" s="77">
        <v>0.84223882280931694</v>
      </c>
      <c r="AZ228" s="77">
        <v>0.8173698551081684</v>
      </c>
      <c r="BA228" s="77">
        <v>0.77171231888521052</v>
      </c>
      <c r="BB228" s="77">
        <v>0.8272417548320512</v>
      </c>
      <c r="BC228" s="77" t="e">
        <v>#DIV/0!</v>
      </c>
      <c r="BD228" s="77">
        <v>0.85800158545286787</v>
      </c>
      <c r="BE228" s="77">
        <v>0.85382516149559928</v>
      </c>
      <c r="BF228" s="77">
        <v>0.83967920938227025</v>
      </c>
      <c r="BG228" s="77">
        <v>0.83406969453960922</v>
      </c>
      <c r="BH228" s="77">
        <v>0.84773454322458264</v>
      </c>
      <c r="BI228" s="77">
        <v>0.85208498484673745</v>
      </c>
      <c r="BJ228" s="77">
        <v>0.8561937352676614</v>
      </c>
      <c r="BK228" s="77">
        <v>0.86055150086561105</v>
      </c>
      <c r="BL228" s="77">
        <v>0.86851998653043327</v>
      </c>
      <c r="BM228" s="77">
        <v>0.85208498484673745</v>
      </c>
      <c r="BN228" s="77">
        <v>0.81510623105842173</v>
      </c>
      <c r="BO228" s="77">
        <v>0.86008039107123813</v>
      </c>
      <c r="BP228" s="77" t="e">
        <v>#DIV/0!</v>
      </c>
      <c r="BQ228" s="77" t="e">
        <v>#DIV/0!</v>
      </c>
      <c r="BR228" s="77" t="e">
        <v>#DIV/0!</v>
      </c>
      <c r="BS228" s="77" t="e">
        <v>#DIV/0!</v>
      </c>
      <c r="BT228" s="77" t="e">
        <v>#DIV/0!</v>
      </c>
      <c r="BU228" s="77" t="e">
        <v>#DIV/0!</v>
      </c>
      <c r="BV228" s="77" t="e">
        <v>#DIV/0!</v>
      </c>
      <c r="BW228" s="77" t="e">
        <v>#DIV/0!</v>
      </c>
      <c r="BX228" s="77" t="e">
        <v>#DIV/0!</v>
      </c>
      <c r="BY228" s="77" t="e">
        <v>#DIV/0!</v>
      </c>
      <c r="BZ228" s="77" t="e">
        <v>#DIV/0!</v>
      </c>
      <c r="CA228" s="77" t="e">
        <v>#DIV/0!</v>
      </c>
      <c r="CB228" s="77" t="e">
        <v>#DIV/0!</v>
      </c>
      <c r="CC228" s="77" t="e">
        <v>#DIV/0!</v>
      </c>
      <c r="CD228" s="77">
        <v>0.81546571357861253</v>
      </c>
      <c r="CE228" s="77">
        <v>0.81102586576981583</v>
      </c>
      <c r="CF228" s="77">
        <v>0.82835205333776063</v>
      </c>
      <c r="CG228" s="77">
        <v>0.77760254015363484</v>
      </c>
      <c r="CH228" s="77">
        <v>0.80648381324571761</v>
      </c>
      <c r="CI228" s="77">
        <v>0.81828299995284426</v>
      </c>
      <c r="CJ228" s="77">
        <v>0.82619827121723122</v>
      </c>
      <c r="CK228" s="77">
        <v>0.81984432227350845</v>
      </c>
      <c r="CL228" s="77">
        <v>0.8157476649041262</v>
      </c>
      <c r="CM228" s="77">
        <v>0.7827867918775363</v>
      </c>
      <c r="CN228" s="77">
        <v>0.80362909995774079</v>
      </c>
      <c r="CO228" s="77">
        <v>0.81721362338077974</v>
      </c>
      <c r="CP228" s="77" t="e">
        <v>#DIV/0!</v>
      </c>
      <c r="CQ228" s="77">
        <v>0.84884103430577362</v>
      </c>
      <c r="CR228" s="77">
        <v>0.85828846966166272</v>
      </c>
      <c r="CS228" s="77">
        <v>0.88066397445192657</v>
      </c>
      <c r="CT228" s="77">
        <v>0.78562910319727897</v>
      </c>
      <c r="CU228" s="77">
        <v>0.84687793085519925</v>
      </c>
      <c r="CV228" s="77">
        <v>0.86601818949829934</v>
      </c>
      <c r="CW228" s="77">
        <v>0.85963810328393264</v>
      </c>
      <c r="CX228" s="77">
        <v>0.88771048262714602</v>
      </c>
      <c r="CY228" s="77">
        <v>0.89378018626892197</v>
      </c>
      <c r="CZ228" s="77">
        <v>0.84687793085519925</v>
      </c>
      <c r="DA228" s="77">
        <v>0.80859741356899906</v>
      </c>
      <c r="DB228" s="77">
        <v>0.85515479945762085</v>
      </c>
      <c r="DC228" s="77" t="e">
        <v>#DIV/0!</v>
      </c>
      <c r="DD228" s="77" t="e">
        <v>#DIV/0!</v>
      </c>
      <c r="DE228" s="77">
        <v>0.75330410168521877</v>
      </c>
      <c r="DF228" s="77">
        <v>0.73568296609130579</v>
      </c>
      <c r="DG228" s="77">
        <v>0.76317193761780999</v>
      </c>
      <c r="DH228" s="77">
        <v>0.73568296609130579</v>
      </c>
      <c r="DI228" s="77">
        <v>0.77797369151669693</v>
      </c>
      <c r="DJ228" s="77">
        <v>0.77797369151669693</v>
      </c>
      <c r="DK228" s="77">
        <v>0.80264328134817509</v>
      </c>
      <c r="DL228" s="77">
        <v>0.7950526383231048</v>
      </c>
      <c r="DM228" s="77">
        <v>0.78548182755236418</v>
      </c>
      <c r="DN228" s="77">
        <v>0.80969173558574026</v>
      </c>
      <c r="DO228" s="77">
        <v>0.81625408953105949</v>
      </c>
      <c r="DP228" s="77">
        <v>0.82921053193592076</v>
      </c>
      <c r="DQ228" s="77" t="e">
        <v>#DIV/0!</v>
      </c>
      <c r="DR228" s="77">
        <v>0.89248434658039177</v>
      </c>
      <c r="DS228" s="77">
        <v>0.88480465705041977</v>
      </c>
      <c r="DT228" s="77">
        <v>0.89678497271717605</v>
      </c>
      <c r="DU228" s="77">
        <v>0.88480465705041977</v>
      </c>
      <c r="DV228" s="77">
        <v>0.90323591192235253</v>
      </c>
      <c r="DW228" s="77">
        <v>0.90323591192235253</v>
      </c>
      <c r="DX228" s="77">
        <v>0.9139874772643134</v>
      </c>
      <c r="DY228" s="77">
        <v>0.91067930331294089</v>
      </c>
      <c r="DZ228" s="77">
        <v>0.90650812746121023</v>
      </c>
      <c r="EA228" s="77">
        <v>0.91705935307630226</v>
      </c>
      <c r="EB228" s="77">
        <v>0.91991937538401591</v>
      </c>
      <c r="EC228" s="77">
        <v>0.92556608609411739</v>
      </c>
    </row>
    <row r="230" spans="1:134">
      <c r="A230" s="77" t="s">
        <v>264</v>
      </c>
      <c r="C230" s="77">
        <v>796055.50378575013</v>
      </c>
      <c r="D230" s="77">
        <v>815711.1952372503</v>
      </c>
      <c r="E230" s="77">
        <v>7760549.3097270001</v>
      </c>
      <c r="F230" s="77">
        <v>687949.20080250048</v>
      </c>
      <c r="G230" s="77">
        <v>825539.04096300039</v>
      </c>
      <c r="H230" s="77">
        <v>7454722.6796745006</v>
      </c>
      <c r="I230" s="77">
        <v>913989.65249475022</v>
      </c>
      <c r="J230" s="77">
        <v>894333.9610432504</v>
      </c>
      <c r="K230" s="77">
        <v>8046322.399162</v>
      </c>
      <c r="L230" s="77">
        <v>835366.88668875024</v>
      </c>
      <c r="M230" s="77">
        <v>796055.50378575013</v>
      </c>
      <c r="N230" s="77">
        <v>7701953.3132755002</v>
      </c>
      <c r="O230" s="77">
        <v>37528548.646640003</v>
      </c>
      <c r="P230" s="77">
        <v>0</v>
      </c>
      <c r="Q230" s="77">
        <v>0</v>
      </c>
      <c r="R230" s="77">
        <v>0</v>
      </c>
      <c r="S230" s="77">
        <v>0</v>
      </c>
      <c r="T230" s="77">
        <v>0</v>
      </c>
      <c r="U230" s="77">
        <v>0</v>
      </c>
      <c r="V230" s="77">
        <v>0</v>
      </c>
      <c r="W230" s="77">
        <v>0</v>
      </c>
      <c r="X230" s="77">
        <v>0</v>
      </c>
      <c r="Y230" s="77">
        <v>0</v>
      </c>
      <c r="Z230" s="77">
        <v>0</v>
      </c>
      <c r="AA230" s="77">
        <v>0</v>
      </c>
      <c r="AB230" s="77">
        <v>0</v>
      </c>
      <c r="AC230" s="77">
        <v>0</v>
      </c>
      <c r="AD230" s="77">
        <v>0</v>
      </c>
      <c r="AE230" s="77">
        <v>0</v>
      </c>
      <c r="AF230" s="77">
        <v>0</v>
      </c>
      <c r="AG230" s="77">
        <v>0</v>
      </c>
      <c r="AH230" s="77">
        <v>0</v>
      </c>
      <c r="AI230" s="77">
        <v>0</v>
      </c>
      <c r="AJ230" s="77">
        <v>0</v>
      </c>
      <c r="AK230" s="77">
        <v>0</v>
      </c>
      <c r="AL230" s="77">
        <v>0</v>
      </c>
      <c r="AM230" s="77">
        <v>0</v>
      </c>
      <c r="AN230" s="77">
        <v>0</v>
      </c>
      <c r="AO230" s="77">
        <v>0</v>
      </c>
      <c r="AP230" s="77">
        <v>0.1</v>
      </c>
      <c r="AQ230" s="77">
        <v>437830.52708216262</v>
      </c>
      <c r="AR230" s="77">
        <v>448641.15738048765</v>
      </c>
      <c r="AS230" s="77">
        <v>4268302.1203498505</v>
      </c>
      <c r="AT230" s="77">
        <v>378372.0604413753</v>
      </c>
      <c r="AU230" s="77">
        <v>454046.47252965026</v>
      </c>
      <c r="AV230" s="77">
        <v>4100097.4738209755</v>
      </c>
      <c r="AW230" s="77">
        <v>502694.30887211266</v>
      </c>
      <c r="AX230" s="77">
        <v>491883.67857378768</v>
      </c>
      <c r="AY230" s="77">
        <v>4425477.3195391009</v>
      </c>
      <c r="AZ230" s="77">
        <v>459451.78767881269</v>
      </c>
      <c r="BA230" s="77">
        <v>437830.52708216262</v>
      </c>
      <c r="BB230" s="77">
        <v>4236074.3223015247</v>
      </c>
      <c r="BC230" s="77">
        <v>20640701.755652003</v>
      </c>
      <c r="BD230" s="77">
        <v>0</v>
      </c>
      <c r="BE230" s="77">
        <v>0</v>
      </c>
      <c r="BF230" s="77">
        <v>0</v>
      </c>
      <c r="BG230" s="77">
        <v>0</v>
      </c>
      <c r="BH230" s="77">
        <v>0</v>
      </c>
      <c r="BI230" s="77">
        <v>0</v>
      </c>
      <c r="BJ230" s="77">
        <v>0</v>
      </c>
      <c r="BK230" s="77">
        <v>0</v>
      </c>
      <c r="BL230" s="77">
        <v>0</v>
      </c>
      <c r="BM230" s="77">
        <v>0</v>
      </c>
      <c r="BN230" s="77">
        <v>0</v>
      </c>
      <c r="BO230" s="77">
        <v>0</v>
      </c>
      <c r="BP230" s="77">
        <v>0</v>
      </c>
      <c r="BQ230" s="77">
        <v>0</v>
      </c>
      <c r="BR230" s="77">
        <v>0</v>
      </c>
      <c r="BS230" s="77">
        <v>0</v>
      </c>
      <c r="BT230" s="77">
        <v>0</v>
      </c>
      <c r="BU230" s="77">
        <v>0</v>
      </c>
      <c r="BV230" s="77">
        <v>0</v>
      </c>
      <c r="BW230" s="77">
        <v>0</v>
      </c>
      <c r="BX230" s="77">
        <v>0</v>
      </c>
      <c r="BY230" s="77">
        <v>0</v>
      </c>
      <c r="BZ230" s="77">
        <v>0</v>
      </c>
      <c r="CA230" s="77">
        <v>0</v>
      </c>
      <c r="CB230" s="77">
        <v>0</v>
      </c>
      <c r="CC230" s="77">
        <v>0</v>
      </c>
      <c r="CD230" s="77">
        <v>278619.42632501258</v>
      </c>
      <c r="CE230" s="77">
        <v>285498.91833303758</v>
      </c>
      <c r="CF230" s="77">
        <v>2716192.2584044505</v>
      </c>
      <c r="CG230" s="77">
        <v>240782.22028087519</v>
      </c>
      <c r="CH230" s="77">
        <v>288938.66433705017</v>
      </c>
      <c r="CI230" s="77">
        <v>2609152.9378860751</v>
      </c>
      <c r="CJ230" s="77">
        <v>319896.37837316259</v>
      </c>
      <c r="CK230" s="77">
        <v>313016.88636513765</v>
      </c>
      <c r="CL230" s="77">
        <v>2816212.8397067003</v>
      </c>
      <c r="CM230" s="77">
        <v>292378.41034106258</v>
      </c>
      <c r="CN230" s="77">
        <v>278619.42632501258</v>
      </c>
      <c r="CO230" s="77">
        <v>2695683.6596464249</v>
      </c>
      <c r="CP230" s="77">
        <v>13134992.026324</v>
      </c>
      <c r="CQ230" s="77">
        <v>0</v>
      </c>
      <c r="CR230" s="77">
        <v>0</v>
      </c>
      <c r="CS230" s="77">
        <v>0</v>
      </c>
      <c r="CT230" s="77">
        <v>0</v>
      </c>
      <c r="CU230" s="77">
        <v>0</v>
      </c>
      <c r="CV230" s="77">
        <v>0</v>
      </c>
      <c r="CW230" s="77">
        <v>0</v>
      </c>
      <c r="CX230" s="77">
        <v>0</v>
      </c>
      <c r="CY230" s="77">
        <v>0</v>
      </c>
      <c r="CZ230" s="77">
        <v>0</v>
      </c>
      <c r="DA230" s="77">
        <v>0</v>
      </c>
      <c r="DB230" s="77">
        <v>0</v>
      </c>
      <c r="DC230" s="77">
        <v>0</v>
      </c>
      <c r="DD230" s="77">
        <v>0</v>
      </c>
      <c r="DE230" s="77">
        <v>79605.550378575019</v>
      </c>
      <c r="DF230" s="77">
        <v>81571.119523725036</v>
      </c>
      <c r="DG230" s="77">
        <v>776054.93097270001</v>
      </c>
      <c r="DH230" s="77">
        <v>68794.920080250056</v>
      </c>
      <c r="DI230" s="77">
        <v>82553.904096300044</v>
      </c>
      <c r="DJ230" s="77">
        <v>745472.26796745008</v>
      </c>
      <c r="DK230" s="77">
        <v>91398.965249475019</v>
      </c>
      <c r="DL230" s="77">
        <v>89433.396104325046</v>
      </c>
      <c r="DM230" s="77">
        <v>804632.23991620005</v>
      </c>
      <c r="DN230" s="77">
        <v>83536.688668875024</v>
      </c>
      <c r="DO230" s="77">
        <v>79605.550378575019</v>
      </c>
      <c r="DP230" s="77">
        <v>770195.33132755</v>
      </c>
      <c r="DQ230" s="77">
        <v>3752854.8646640005</v>
      </c>
      <c r="DR230" s="77">
        <v>0</v>
      </c>
      <c r="DS230" s="77">
        <v>0</v>
      </c>
      <c r="DT230" s="77">
        <v>0</v>
      </c>
      <c r="DU230" s="77">
        <v>0</v>
      </c>
      <c r="DV230" s="77">
        <v>0</v>
      </c>
      <c r="DW230" s="77">
        <v>0</v>
      </c>
      <c r="DX230" s="77">
        <v>0</v>
      </c>
      <c r="DY230" s="77">
        <v>0</v>
      </c>
      <c r="DZ230" s="77">
        <v>0</v>
      </c>
      <c r="EA230" s="77">
        <v>0</v>
      </c>
      <c r="EB230" s="77">
        <v>0</v>
      </c>
      <c r="EC230" s="77">
        <v>0</v>
      </c>
      <c r="ED230" s="77">
        <v>0</v>
      </c>
    </row>
    <row r="231" spans="1:134">
      <c r="C231" s="77">
        <v>15103987.586654676</v>
      </c>
      <c r="D231" s="77">
        <v>14682883.981186176</v>
      </c>
      <c r="E231" s="77">
        <v>21945655.173835918</v>
      </c>
      <c r="F231" s="77">
        <v>12404706.931771422</v>
      </c>
      <c r="G231" s="77">
        <v>14523915.751091922</v>
      </c>
      <c r="H231" s="77">
        <v>21873987.645463414</v>
      </c>
      <c r="I231" s="77">
        <v>15954800.741803678</v>
      </c>
      <c r="J231" s="77">
        <v>16360681.404612176</v>
      </c>
      <c r="K231" s="77">
        <v>23911570.660210922</v>
      </c>
      <c r="L231" s="77">
        <v>14673114.578897677</v>
      </c>
      <c r="M231" s="77">
        <v>13297156.047814669</v>
      </c>
      <c r="N231" s="77">
        <v>23074853.116964426</v>
      </c>
      <c r="O231" s="77">
        <v>207807313.62030709</v>
      </c>
      <c r="AQ231" s="77">
        <v>5626462.5538711576</v>
      </c>
      <c r="AR231" s="77">
        <v>5436635.9859694839</v>
      </c>
      <c r="AS231" s="77">
        <v>8910901.176338844</v>
      </c>
      <c r="AT231" s="77">
        <v>4568685.5563103734</v>
      </c>
      <c r="AU231" s="77">
        <v>5196093.4919186467</v>
      </c>
      <c r="AV231" s="77">
        <v>9060354.9356099721</v>
      </c>
      <c r="AW231" s="77">
        <v>5580158.1530611087</v>
      </c>
      <c r="AX231" s="77">
        <v>5872911.6049627848</v>
      </c>
      <c r="AY231" s="77">
        <v>10171223.666328099</v>
      </c>
      <c r="AZ231" s="77">
        <v>5345639.6054678075</v>
      </c>
      <c r="BA231" s="77">
        <v>4211335.2544711567</v>
      </c>
      <c r="BB231" s="77">
        <v>9440171.5944905169</v>
      </c>
      <c r="BC231" s="77">
        <v>79420573.578799948</v>
      </c>
      <c r="BD231" s="77">
        <v>2374566.0606246255</v>
      </c>
      <c r="BE231" s="77">
        <v>2300914.0956246266</v>
      </c>
      <c r="BF231" s="77">
        <v>2079958.2006246252</v>
      </c>
      <c r="BG231" s="77">
        <v>2002770.9413046264</v>
      </c>
      <c r="BH231" s="77">
        <v>2200747.4232246261</v>
      </c>
      <c r="BI231" s="77">
        <v>2271453.3096246263</v>
      </c>
      <c r="BJ231" s="77">
        <v>2342159.196024626</v>
      </c>
      <c r="BK231" s="77">
        <v>2421703.3182246261</v>
      </c>
      <c r="BL231" s="77">
        <v>2580791.5626246249</v>
      </c>
      <c r="BM231" s="77">
        <v>2271453.3096246263</v>
      </c>
      <c r="BN231" s="77">
        <v>1776512.1048246259</v>
      </c>
      <c r="BO231" s="77">
        <v>2412865.0824246267</v>
      </c>
      <c r="BP231" s="77">
        <v>27035894.604775514</v>
      </c>
      <c r="CD231" s="77">
        <v>4172581.5920476746</v>
      </c>
      <c r="CE231" s="77">
        <v>4075443.9183356971</v>
      </c>
      <c r="CF231" s="77">
        <v>6939591.4031671118</v>
      </c>
      <c r="CG231" s="77">
        <v>3385763.0843435358</v>
      </c>
      <c r="CH231" s="77">
        <v>3978296.6621197099</v>
      </c>
      <c r="CI231" s="77">
        <v>6570699.5025287354</v>
      </c>
      <c r="CJ231" s="77">
        <v>4485707.0877358224</v>
      </c>
      <c r="CK231" s="77">
        <v>4312039.0355877997</v>
      </c>
      <c r="CL231" s="77">
        <v>6714330.7116093617</v>
      </c>
      <c r="CM231" s="77">
        <v>3522963.7054037228</v>
      </c>
      <c r="CN231" s="77">
        <v>3908054.3224076731</v>
      </c>
      <c r="CO231" s="77">
        <v>6631548.8949890845</v>
      </c>
      <c r="CP231" s="77">
        <v>58697019.920275927</v>
      </c>
      <c r="CQ231" s="77">
        <v>1033932.1963993057</v>
      </c>
      <c r="CR231" s="77">
        <v>1109466.1483993058</v>
      </c>
      <c r="CS231" s="77">
        <v>1336068.0043993061</v>
      </c>
      <c r="CT231" s="77">
        <v>699839.71639930573</v>
      </c>
      <c r="CU231" s="77">
        <v>1019406.4363993055</v>
      </c>
      <c r="CV231" s="77">
        <v>1179189.796399306</v>
      </c>
      <c r="CW231" s="77">
        <v>1121086.7563993055</v>
      </c>
      <c r="CX231" s="77">
        <v>1426127.716399305</v>
      </c>
      <c r="CY231" s="77">
        <v>1513282.2763993056</v>
      </c>
      <c r="CZ231" s="77">
        <v>1019406.4363993055</v>
      </c>
      <c r="DA231" s="77">
        <v>795709.73239930556</v>
      </c>
      <c r="DB231" s="77">
        <v>1083319.7803993057</v>
      </c>
      <c r="DC231" s="77">
        <v>13336834.996791666</v>
      </c>
      <c r="DE231" s="77">
        <v>1407979.6708913955</v>
      </c>
      <c r="DF231" s="77">
        <v>1306806.3200365454</v>
      </c>
      <c r="DG231" s="77">
        <v>2168890.8764855205</v>
      </c>
      <c r="DH231" s="77">
        <v>1294030.1205930705</v>
      </c>
      <c r="DI231" s="77">
        <v>1582826.2246091205</v>
      </c>
      <c r="DJ231" s="77">
        <v>2245744.5884802705</v>
      </c>
      <c r="DK231" s="77">
        <v>1806544.0357622956</v>
      </c>
      <c r="DL231" s="77">
        <v>1732954.2166171456</v>
      </c>
      <c r="DM231" s="77">
        <v>2365068.9304290209</v>
      </c>
      <c r="DN231" s="77">
        <v>1870306.0091816955</v>
      </c>
      <c r="DO231" s="77">
        <v>1937999.1208913955</v>
      </c>
      <c r="DP231" s="77">
        <v>2786162.2518403707</v>
      </c>
      <c r="DQ231" s="77">
        <v>22505312.365817849</v>
      </c>
      <c r="DR231" s="77">
        <v>488465.51282051281</v>
      </c>
      <c r="DS231" s="77">
        <v>453617.51282051287</v>
      </c>
      <c r="DT231" s="77">
        <v>510245.51282051287</v>
      </c>
      <c r="DU231" s="77">
        <v>453617.51282051287</v>
      </c>
      <c r="DV231" s="77">
        <v>546545.51282051275</v>
      </c>
      <c r="DW231" s="77">
        <v>546545.51282051275</v>
      </c>
      <c r="DX231" s="77">
        <v>619145.51282051287</v>
      </c>
      <c r="DY231" s="77">
        <v>594945.51282051287</v>
      </c>
      <c r="DZ231" s="77">
        <v>566873.51282051287</v>
      </c>
      <c r="EA231" s="77">
        <v>643345.51282051275</v>
      </c>
      <c r="EB231" s="77">
        <v>667545.51282051275</v>
      </c>
      <c r="EC231" s="77">
        <v>720785.51282051287</v>
      </c>
      <c r="ED231" s="77">
        <v>6811678.1538461549</v>
      </c>
    </row>
    <row r="232" spans="1:134">
      <c r="C232" s="77">
        <v>0.33590562805928215</v>
      </c>
      <c r="D232" s="77">
        <v>0.33380729654262914</v>
      </c>
      <c r="E232" s="77">
        <v>0.42500604148554555</v>
      </c>
      <c r="F232" s="77">
        <v>0.32692483175121717</v>
      </c>
      <c r="G232" s="77">
        <v>0.33420924346776387</v>
      </c>
      <c r="H232" s="77">
        <v>0.42021649704811709</v>
      </c>
      <c r="I232" s="77">
        <v>0.33792579802493311</v>
      </c>
      <c r="J232" s="77">
        <v>0.33852297978651535</v>
      </c>
      <c r="K232" s="77">
        <v>0.42224779907774324</v>
      </c>
      <c r="L232" s="77">
        <v>0.33494322148307687</v>
      </c>
      <c r="M232" s="77">
        <v>0.33271410160898635</v>
      </c>
      <c r="N232" s="77">
        <v>0.42046243568757063</v>
      </c>
      <c r="O232" s="77">
        <v>0.36788626184444745</v>
      </c>
      <c r="AQ232" s="77">
        <v>0.34501649847638932</v>
      </c>
      <c r="AR232" s="77">
        <v>0.34013112936318501</v>
      </c>
      <c r="AS232" s="77">
        <v>0.47399488856485333</v>
      </c>
      <c r="AT232" s="77">
        <v>0.33174666910097267</v>
      </c>
      <c r="AU232" s="77">
        <v>0.33912580131240772</v>
      </c>
      <c r="AV232" s="77">
        <v>0.46356363076040591</v>
      </c>
      <c r="AW232" s="77">
        <v>0.34266152866970351</v>
      </c>
      <c r="AX232" s="77">
        <v>0.34423284844521113</v>
      </c>
      <c r="AY232" s="77">
        <v>0.46247905793821714</v>
      </c>
      <c r="AZ232" s="77">
        <v>0.3398692228712864</v>
      </c>
      <c r="BA232" s="77">
        <v>0.33283072301448036</v>
      </c>
      <c r="BB232" s="77">
        <v>0.46326082788573592</v>
      </c>
      <c r="BC232" s="77">
        <v>3.8477651835191296</v>
      </c>
      <c r="BD232" s="77">
        <v>0.30441142288265405</v>
      </c>
      <c r="BE232" s="77">
        <v>0.30364506059348945</v>
      </c>
      <c r="BF232" s="77">
        <v>0.30104931735599572</v>
      </c>
      <c r="BG232" s="77">
        <v>0.30001998683785164</v>
      </c>
      <c r="BH232" s="77">
        <v>0.30252744892179079</v>
      </c>
      <c r="BI232" s="77">
        <v>0.30332574297300413</v>
      </c>
      <c r="BJ232" s="77">
        <v>0.30407968735470547</v>
      </c>
      <c r="BK232" s="77">
        <v>0.30487932533529793</v>
      </c>
      <c r="BL232" s="77">
        <v>0.30634152049980967</v>
      </c>
      <c r="BM232" s="77">
        <v>0.30332574297300413</v>
      </c>
      <c r="BN232" s="77">
        <v>0.29654024353769115</v>
      </c>
      <c r="BO232" s="77">
        <v>0.30479287798604476</v>
      </c>
      <c r="BP232" s="77" t="e">
        <v>#DIV/0!</v>
      </c>
      <c r="CD232" s="77">
        <v>0.33670920182864611</v>
      </c>
      <c r="CE232" s="77">
        <v>0.33649737399465363</v>
      </c>
      <c r="CF232" s="77">
        <v>0.44109782909241707</v>
      </c>
      <c r="CG232" s="77">
        <v>0.3288294440144422</v>
      </c>
      <c r="CH232" s="77">
        <v>0.33602910426454013</v>
      </c>
      <c r="CI232" s="77">
        <v>0.44078995499180512</v>
      </c>
      <c r="CJ232" s="77">
        <v>0.3403154888012036</v>
      </c>
      <c r="CK232" s="77">
        <v>0.33926838584089986</v>
      </c>
      <c r="CL232" s="77">
        <v>0.44961077000065214</v>
      </c>
      <c r="CM232" s="77">
        <v>0.33302283986677289</v>
      </c>
      <c r="CN232" s="77">
        <v>0.33495768953527871</v>
      </c>
      <c r="CO232" s="77">
        <v>0.44435600721143642</v>
      </c>
      <c r="CP232" s="77">
        <v>4.4687518502211878</v>
      </c>
      <c r="CQ232" s="77">
        <v>0.33974628304998655</v>
      </c>
      <c r="CR232" s="77">
        <v>0.34178105567615552</v>
      </c>
      <c r="CS232" s="77">
        <v>0.34660025400129257</v>
      </c>
      <c r="CT232" s="77">
        <v>0.32613180438761979</v>
      </c>
      <c r="CU232" s="77">
        <v>0.33932347315363975</v>
      </c>
      <c r="CV232" s="77">
        <v>0.34344586964302115</v>
      </c>
      <c r="CW232" s="77">
        <v>0.34207173747989394</v>
      </c>
      <c r="CX232" s="77">
        <v>0.34811791899765304</v>
      </c>
      <c r="CY232" s="77">
        <v>0.3494252014879794</v>
      </c>
      <c r="CZ232" s="77">
        <v>0.33932347315363975</v>
      </c>
      <c r="DA232" s="77">
        <v>0.33107868017487729</v>
      </c>
      <c r="DB232" s="77">
        <v>0.34110613109499388</v>
      </c>
      <c r="DC232" s="77" t="e">
        <v>#DIV/0!</v>
      </c>
      <c r="DE232" s="77">
        <v>0.35478339543801773</v>
      </c>
      <c r="DF232" s="77">
        <v>0.35211900902211701</v>
      </c>
      <c r="DG232" s="77">
        <v>0.44932010786625515</v>
      </c>
      <c r="DH232" s="77">
        <v>0.34988094336008008</v>
      </c>
      <c r="DI232" s="77">
        <v>0.35943784814128665</v>
      </c>
      <c r="DJ232" s="77">
        <v>0.44325064624130123</v>
      </c>
      <c r="DK232" s="77">
        <v>0.36476725926453168</v>
      </c>
      <c r="DL232" s="77">
        <v>0.36325830429945527</v>
      </c>
      <c r="DM232" s="77">
        <v>0.44819019742888405</v>
      </c>
      <c r="DN232" s="77">
        <v>0.36495373120759839</v>
      </c>
      <c r="DO232" s="77">
        <v>0.36559890121690325</v>
      </c>
      <c r="DP232" s="77">
        <v>0.4361845998848759</v>
      </c>
      <c r="DQ232" s="77">
        <v>5.9968512445611957</v>
      </c>
      <c r="DR232" s="77">
        <v>0.33626980092283687</v>
      </c>
      <c r="DS232" s="77">
        <v>0.33458540805195081</v>
      </c>
      <c r="DT232" s="77">
        <v>0.33721306093053305</v>
      </c>
      <c r="DU232" s="77">
        <v>0.33458540805195081</v>
      </c>
      <c r="DV232" s="77">
        <v>0.33862795094207732</v>
      </c>
      <c r="DW232" s="77">
        <v>0.33862795094207732</v>
      </c>
      <c r="DX232" s="77">
        <v>0.34098610096131782</v>
      </c>
      <c r="DY232" s="77">
        <v>0.34026051634001303</v>
      </c>
      <c r="DZ232" s="77">
        <v>0.33934564877402007</v>
      </c>
      <c r="EA232" s="77">
        <v>0.3416598581096722</v>
      </c>
      <c r="EB232" s="77">
        <v>0.3422871492477953</v>
      </c>
      <c r="EC232" s="77">
        <v>0.3435256471358844</v>
      </c>
      <c r="ED232" s="77" t="e">
        <v>#DIV/0!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DFE1-AD1C-4B7E-953D-F001BFA76CF2}">
  <dimension ref="A1:J250"/>
  <sheetViews>
    <sheetView topLeftCell="A80" workbookViewId="0">
      <selection activeCell="D96" sqref="D96"/>
    </sheetView>
  </sheetViews>
  <sheetFormatPr defaultColWidth="8.7109375" defaultRowHeight="15"/>
  <cols>
    <col min="1" max="1" width="40.85546875" style="49" bestFit="1" customWidth="1"/>
    <col min="2" max="2" width="12.42578125" style="49" bestFit="1" customWidth="1"/>
    <col min="3" max="3" width="10.42578125" style="49" bestFit="1" customWidth="1"/>
    <col min="4" max="4" width="11.140625" style="49" bestFit="1" customWidth="1"/>
    <col min="5" max="5" width="9.5703125" style="49" bestFit="1" customWidth="1"/>
    <col min="6" max="6" width="12.140625" style="49" bestFit="1" customWidth="1"/>
    <col min="7" max="7" width="11.140625" style="49" bestFit="1" customWidth="1"/>
    <col min="8" max="9" width="9.5703125" style="49" bestFit="1" customWidth="1"/>
    <col min="10" max="10" width="8.85546875" style="49" bestFit="1" customWidth="1"/>
    <col min="11" max="16384" width="8.7109375" style="49"/>
  </cols>
  <sheetData>
    <row r="1" spans="1:10" ht="15.75">
      <c r="A1" s="124" t="s">
        <v>244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0" ht="14.45" customHeight="1">
      <c r="A2" s="125" t="s">
        <v>1</v>
      </c>
      <c r="B2" s="127" t="s">
        <v>209</v>
      </c>
      <c r="C2" s="128"/>
      <c r="D2" s="128"/>
      <c r="E2" s="128"/>
      <c r="F2" s="129" t="s">
        <v>213</v>
      </c>
      <c r="G2" s="130"/>
      <c r="H2" s="130"/>
      <c r="I2" s="130" t="s">
        <v>214</v>
      </c>
      <c r="J2" s="130"/>
    </row>
    <row r="3" spans="1:10">
      <c r="A3" s="126"/>
      <c r="B3" s="51" t="s">
        <v>215</v>
      </c>
      <c r="C3" s="51" t="s">
        <v>216</v>
      </c>
      <c r="D3" s="52" t="s">
        <v>217</v>
      </c>
      <c r="E3" s="53" t="s">
        <v>218</v>
      </c>
      <c r="F3" s="51" t="s">
        <v>215</v>
      </c>
      <c r="G3" s="52" t="s">
        <v>217</v>
      </c>
      <c r="H3" s="52" t="s">
        <v>218</v>
      </c>
      <c r="I3" s="54" t="s">
        <v>217</v>
      </c>
      <c r="J3" s="54" t="s">
        <v>218</v>
      </c>
    </row>
    <row r="4" spans="1:10">
      <c r="A4" s="55" t="s">
        <v>3</v>
      </c>
      <c r="B4" s="56">
        <v>11</v>
      </c>
      <c r="C4" s="56"/>
      <c r="D4" s="56"/>
      <c r="E4" s="56"/>
      <c r="F4" s="56">
        <v>17</v>
      </c>
      <c r="G4" s="56"/>
      <c r="H4" s="56"/>
      <c r="I4" s="56"/>
      <c r="J4" s="56"/>
    </row>
    <row r="5" spans="1:10" ht="17.25">
      <c r="A5" s="57" t="s">
        <v>4</v>
      </c>
      <c r="B5" s="56"/>
      <c r="C5" s="56"/>
      <c r="D5" s="56"/>
      <c r="E5" s="56"/>
      <c r="F5" s="56"/>
      <c r="G5" s="56"/>
      <c r="H5" s="56"/>
      <c r="I5" s="50"/>
      <c r="J5" s="50"/>
    </row>
    <row r="6" spans="1:10">
      <c r="A6" s="55" t="s">
        <v>5</v>
      </c>
      <c r="B6" s="58">
        <f>+B7+B8+B13</f>
        <v>2497938</v>
      </c>
      <c r="C6" s="58">
        <f t="shared" ref="C6:J6" si="0">+C7+C8+C13</f>
        <v>0</v>
      </c>
      <c r="D6" s="58">
        <f t="shared" si="0"/>
        <v>0</v>
      </c>
      <c r="E6" s="58">
        <f t="shared" si="0"/>
        <v>0</v>
      </c>
      <c r="F6" s="58">
        <f t="shared" si="0"/>
        <v>3866394</v>
      </c>
      <c r="G6" s="58">
        <f t="shared" si="0"/>
        <v>0</v>
      </c>
      <c r="H6" s="58">
        <f t="shared" si="0"/>
        <v>0</v>
      </c>
      <c r="I6" s="58">
        <f t="shared" si="0"/>
        <v>0</v>
      </c>
      <c r="J6" s="58">
        <f t="shared" si="0"/>
        <v>0</v>
      </c>
    </row>
    <row r="7" spans="1:10">
      <c r="A7" s="55" t="s">
        <v>6</v>
      </c>
      <c r="B7" s="58">
        <v>2084560</v>
      </c>
      <c r="C7" s="58">
        <v>0</v>
      </c>
      <c r="D7" s="58">
        <v>0</v>
      </c>
      <c r="E7" s="58">
        <v>0</v>
      </c>
      <c r="F7" s="58">
        <v>3335426</v>
      </c>
      <c r="G7" s="58">
        <v>0</v>
      </c>
      <c r="H7" s="58">
        <v>0</v>
      </c>
      <c r="I7" s="59">
        <v>0</v>
      </c>
      <c r="J7" s="59">
        <v>0</v>
      </c>
    </row>
    <row r="8" spans="1:10">
      <c r="A8" s="55" t="s">
        <v>219</v>
      </c>
      <c r="B8" s="58">
        <f>+B9+B10+B11+B12</f>
        <v>0</v>
      </c>
      <c r="C8" s="58">
        <f t="shared" ref="C8:J8" si="1">+C9+C10+C11+C12</f>
        <v>0</v>
      </c>
      <c r="D8" s="58">
        <f t="shared" si="1"/>
        <v>0</v>
      </c>
      <c r="E8" s="58">
        <f t="shared" si="1"/>
        <v>0</v>
      </c>
      <c r="F8" s="58">
        <f t="shared" si="1"/>
        <v>0</v>
      </c>
      <c r="G8" s="58">
        <f t="shared" si="1"/>
        <v>0</v>
      </c>
      <c r="H8" s="58">
        <f t="shared" si="1"/>
        <v>0</v>
      </c>
      <c r="I8" s="58">
        <f t="shared" si="1"/>
        <v>0</v>
      </c>
      <c r="J8" s="58">
        <f t="shared" si="1"/>
        <v>0</v>
      </c>
    </row>
    <row r="9" spans="1:10">
      <c r="A9" s="75" t="s">
        <v>7</v>
      </c>
      <c r="B9" s="56"/>
      <c r="C9" s="56"/>
      <c r="D9" s="56"/>
      <c r="E9" s="56"/>
      <c r="F9" s="56"/>
      <c r="G9" s="56"/>
      <c r="H9" s="56"/>
      <c r="I9" s="50"/>
      <c r="J9" s="50"/>
    </row>
    <row r="10" spans="1:10">
      <c r="A10" s="75" t="s">
        <v>8</v>
      </c>
      <c r="B10" s="56"/>
      <c r="C10" s="56"/>
      <c r="D10" s="56"/>
      <c r="E10" s="56"/>
      <c r="F10" s="56"/>
      <c r="G10" s="56"/>
      <c r="H10" s="56"/>
      <c r="I10" s="50"/>
      <c r="J10" s="50"/>
    </row>
    <row r="11" spans="1:10">
      <c r="A11" s="75" t="s">
        <v>9</v>
      </c>
      <c r="B11" s="56"/>
      <c r="C11" s="56"/>
      <c r="D11" s="56"/>
      <c r="E11" s="56"/>
      <c r="F11" s="56"/>
      <c r="G11" s="56"/>
      <c r="H11" s="56"/>
      <c r="I11" s="50"/>
      <c r="J11" s="50"/>
    </row>
    <row r="12" spans="1:10">
      <c r="A12" s="75" t="s">
        <v>10</v>
      </c>
      <c r="B12" s="56"/>
      <c r="C12" s="56"/>
      <c r="D12" s="56"/>
      <c r="E12" s="56"/>
      <c r="F12" s="56"/>
      <c r="G12" s="56"/>
      <c r="H12" s="56"/>
      <c r="I12" s="50"/>
      <c r="J12" s="50"/>
    </row>
    <row r="13" spans="1:10">
      <c r="A13" s="55" t="s">
        <v>11</v>
      </c>
      <c r="B13" s="58">
        <f>+B14+B15+B16</f>
        <v>413378</v>
      </c>
      <c r="C13" s="58">
        <f t="shared" ref="C13:J13" si="2">+C14+C15+C16</f>
        <v>0</v>
      </c>
      <c r="D13" s="58">
        <f t="shared" si="2"/>
        <v>0</v>
      </c>
      <c r="E13" s="58">
        <f t="shared" si="2"/>
        <v>0</v>
      </c>
      <c r="F13" s="58">
        <f t="shared" si="2"/>
        <v>530968</v>
      </c>
      <c r="G13" s="58">
        <f t="shared" si="2"/>
        <v>0</v>
      </c>
      <c r="H13" s="58">
        <f t="shared" si="2"/>
        <v>0</v>
      </c>
      <c r="I13" s="58">
        <f t="shared" si="2"/>
        <v>0</v>
      </c>
      <c r="J13" s="58">
        <f t="shared" si="2"/>
        <v>0</v>
      </c>
    </row>
    <row r="14" spans="1:10">
      <c r="A14" s="76" t="s">
        <v>12</v>
      </c>
      <c r="B14" s="56">
        <v>82676</v>
      </c>
      <c r="C14" s="56">
        <v>0</v>
      </c>
      <c r="D14" s="56">
        <v>0</v>
      </c>
      <c r="E14" s="56">
        <v>0</v>
      </c>
      <c r="F14" s="56">
        <v>106194</v>
      </c>
      <c r="G14" s="56">
        <v>0</v>
      </c>
      <c r="H14" s="56">
        <v>0</v>
      </c>
      <c r="I14" s="50">
        <v>0</v>
      </c>
      <c r="J14" s="50">
        <v>0</v>
      </c>
    </row>
    <row r="15" spans="1:10">
      <c r="A15" s="76" t="s">
        <v>13</v>
      </c>
      <c r="B15" s="56">
        <v>165351</v>
      </c>
      <c r="C15" s="56">
        <v>0</v>
      </c>
      <c r="D15" s="56">
        <v>0</v>
      </c>
      <c r="E15" s="56">
        <v>0</v>
      </c>
      <c r="F15" s="56">
        <v>212387</v>
      </c>
      <c r="G15" s="56">
        <v>0</v>
      </c>
      <c r="H15" s="56">
        <v>0</v>
      </c>
      <c r="I15" s="50">
        <v>0</v>
      </c>
      <c r="J15" s="50">
        <v>0</v>
      </c>
    </row>
    <row r="16" spans="1:10">
      <c r="A16" s="76" t="s">
        <v>14</v>
      </c>
      <c r="B16" s="56">
        <v>165351</v>
      </c>
      <c r="C16" s="56">
        <v>0</v>
      </c>
      <c r="D16" s="56">
        <v>0</v>
      </c>
      <c r="E16" s="56">
        <v>0</v>
      </c>
      <c r="F16" s="56">
        <v>212387</v>
      </c>
      <c r="G16" s="56">
        <v>0</v>
      </c>
      <c r="H16" s="56">
        <v>0</v>
      </c>
      <c r="I16" s="50">
        <v>0</v>
      </c>
      <c r="J16" s="50">
        <v>0</v>
      </c>
    </row>
    <row r="17" spans="1:10" ht="17.25">
      <c r="A17" s="57" t="s">
        <v>15</v>
      </c>
      <c r="B17" s="56"/>
      <c r="C17" s="56"/>
      <c r="D17" s="56"/>
      <c r="E17" s="56"/>
      <c r="F17" s="56"/>
      <c r="G17" s="56"/>
      <c r="H17" s="56"/>
      <c r="I17" s="50"/>
      <c r="J17" s="50"/>
    </row>
    <row r="18" spans="1:10">
      <c r="A18" s="61" t="s">
        <v>16</v>
      </c>
      <c r="B18" s="56">
        <v>4</v>
      </c>
      <c r="C18" s="56"/>
      <c r="D18" s="56"/>
      <c r="E18" s="56"/>
      <c r="F18" s="56"/>
      <c r="G18" s="56"/>
      <c r="H18" s="56"/>
      <c r="I18" s="50"/>
      <c r="J18" s="50"/>
    </row>
    <row r="19" spans="1:10">
      <c r="A19" s="61" t="s">
        <v>17</v>
      </c>
      <c r="B19" s="56">
        <v>32788183</v>
      </c>
      <c r="C19" s="56"/>
      <c r="D19" s="56"/>
      <c r="E19" s="56"/>
      <c r="F19" s="56"/>
      <c r="G19" s="56"/>
      <c r="H19" s="56"/>
      <c r="I19" s="50"/>
      <c r="J19" s="50"/>
    </row>
    <row r="20" spans="1:10">
      <c r="A20" s="61" t="s">
        <v>18</v>
      </c>
      <c r="B20" s="56">
        <v>33210533.489999998</v>
      </c>
      <c r="C20" s="56"/>
      <c r="D20" s="56"/>
      <c r="E20" s="56"/>
      <c r="F20" s="56"/>
      <c r="G20" s="56"/>
      <c r="H20" s="56"/>
      <c r="I20" s="50"/>
      <c r="J20" s="50"/>
    </row>
    <row r="21" spans="1:10">
      <c r="A21" s="61" t="s">
        <v>19</v>
      </c>
      <c r="B21" s="56"/>
      <c r="C21" s="56"/>
      <c r="D21" s="56"/>
      <c r="E21" s="56"/>
      <c r="F21" s="56"/>
      <c r="G21" s="56"/>
      <c r="H21" s="56"/>
      <c r="I21" s="50"/>
      <c r="J21" s="50"/>
    </row>
    <row r="22" spans="1:10" ht="17.25">
      <c r="A22" s="57" t="s">
        <v>220</v>
      </c>
      <c r="B22" s="56"/>
      <c r="C22" s="56"/>
      <c r="D22" s="56"/>
      <c r="E22" s="56"/>
      <c r="F22" s="56"/>
      <c r="G22" s="56"/>
      <c r="H22" s="56"/>
      <c r="I22" s="50"/>
      <c r="J22" s="50"/>
    </row>
    <row r="23" spans="1:10">
      <c r="A23" s="61" t="s">
        <v>16</v>
      </c>
      <c r="B23" s="56">
        <v>4</v>
      </c>
      <c r="C23" s="56"/>
      <c r="D23" s="56"/>
      <c r="E23" s="56"/>
      <c r="F23" s="56"/>
      <c r="G23" s="56"/>
      <c r="H23" s="56"/>
      <c r="I23" s="50"/>
      <c r="J23" s="50"/>
    </row>
    <row r="24" spans="1:10">
      <c r="A24" s="61" t="s">
        <v>21</v>
      </c>
      <c r="B24" s="56">
        <v>11355745.76</v>
      </c>
      <c r="C24" s="56"/>
      <c r="D24" s="56"/>
      <c r="E24" s="56"/>
      <c r="F24" s="56"/>
      <c r="G24" s="56"/>
      <c r="H24" s="56"/>
      <c r="I24" s="50"/>
      <c r="J24" s="50"/>
    </row>
    <row r="25" spans="1:10">
      <c r="A25" s="61" t="s">
        <v>22</v>
      </c>
      <c r="B25" s="56">
        <v>11271000</v>
      </c>
      <c r="C25" s="56"/>
      <c r="D25" s="56"/>
      <c r="E25" s="56"/>
      <c r="F25" s="56"/>
      <c r="G25" s="56"/>
      <c r="H25" s="56"/>
      <c r="I25" s="50"/>
      <c r="J25" s="50"/>
    </row>
    <row r="26" spans="1:10">
      <c r="A26" s="61" t="s">
        <v>23</v>
      </c>
      <c r="B26" s="56"/>
      <c r="C26" s="56"/>
      <c r="D26" s="56"/>
      <c r="E26" s="56"/>
      <c r="F26" s="56"/>
      <c r="G26" s="56"/>
      <c r="H26" s="56"/>
      <c r="I26" s="50"/>
      <c r="J26" s="50"/>
    </row>
    <row r="27" spans="1:10">
      <c r="A27" s="61" t="s">
        <v>20</v>
      </c>
      <c r="B27" s="58">
        <f>+B24-B25-B26</f>
        <v>84745.759999999776</v>
      </c>
      <c r="C27" s="58">
        <f t="shared" ref="C27:J27" si="3">+C24-C25-C26</f>
        <v>0</v>
      </c>
      <c r="D27" s="58">
        <f t="shared" si="3"/>
        <v>0</v>
      </c>
      <c r="E27" s="58">
        <f t="shared" si="3"/>
        <v>0</v>
      </c>
      <c r="F27" s="58">
        <f t="shared" si="3"/>
        <v>0</v>
      </c>
      <c r="G27" s="58">
        <f t="shared" si="3"/>
        <v>0</v>
      </c>
      <c r="H27" s="58">
        <f t="shared" si="3"/>
        <v>0</v>
      </c>
      <c r="I27" s="58">
        <f t="shared" si="3"/>
        <v>0</v>
      </c>
      <c r="J27" s="58">
        <f t="shared" si="3"/>
        <v>0</v>
      </c>
    </row>
    <row r="28" spans="1:10">
      <c r="A28" s="60"/>
      <c r="B28" s="56"/>
      <c r="C28" s="56"/>
      <c r="D28" s="56"/>
      <c r="E28" s="56"/>
      <c r="F28" s="56"/>
      <c r="G28" s="56"/>
      <c r="H28" s="56"/>
      <c r="I28" s="50"/>
      <c r="J28" s="50"/>
    </row>
    <row r="29" spans="1:10" ht="17.25">
      <c r="A29" s="57" t="s">
        <v>24</v>
      </c>
      <c r="B29" s="58">
        <f>+SUM(B31:B37)</f>
        <v>0</v>
      </c>
      <c r="C29" s="58">
        <f t="shared" ref="C29:J29" si="4">+SUM(C31:C37)</f>
        <v>0</v>
      </c>
      <c r="D29" s="58">
        <f t="shared" si="4"/>
        <v>20958331.186312914</v>
      </c>
      <c r="E29" s="58">
        <f t="shared" si="4"/>
        <v>5461927.5999999996</v>
      </c>
      <c r="F29" s="58">
        <f t="shared" si="4"/>
        <v>0</v>
      </c>
      <c r="G29" s="58">
        <f t="shared" si="4"/>
        <v>9301946.2547045834</v>
      </c>
      <c r="H29" s="58">
        <f t="shared" si="4"/>
        <v>4071079.32</v>
      </c>
      <c r="I29" s="58">
        <f t="shared" si="4"/>
        <v>3718250.1399999987</v>
      </c>
      <c r="J29" s="58">
        <f t="shared" si="4"/>
        <v>1576165.45</v>
      </c>
    </row>
    <row r="30" spans="1:10">
      <c r="A30" s="62" t="s">
        <v>25</v>
      </c>
      <c r="B30" s="56">
        <v>0</v>
      </c>
      <c r="C30" s="56">
        <v>0</v>
      </c>
      <c r="D30" s="56">
        <v>345</v>
      </c>
      <c r="E30" s="56">
        <v>40</v>
      </c>
      <c r="F30" s="56">
        <v>0</v>
      </c>
      <c r="G30" s="56">
        <v>222</v>
      </c>
      <c r="H30" s="56">
        <v>25</v>
      </c>
      <c r="I30" s="50">
        <v>72</v>
      </c>
      <c r="J30" s="50">
        <v>15</v>
      </c>
    </row>
    <row r="31" spans="1:10">
      <c r="A31" s="61" t="s">
        <v>26</v>
      </c>
      <c r="B31" s="56">
        <v>0</v>
      </c>
      <c r="C31" s="56">
        <v>0</v>
      </c>
      <c r="D31" s="56">
        <v>11547300.48999998</v>
      </c>
      <c r="E31" s="56">
        <v>4595093.12</v>
      </c>
      <c r="F31" s="56">
        <v>0</v>
      </c>
      <c r="G31" s="56">
        <v>5921428.8199999938</v>
      </c>
      <c r="H31" s="56">
        <v>3257527.21</v>
      </c>
      <c r="I31" s="50">
        <v>2256536.0499999989</v>
      </c>
      <c r="J31" s="50">
        <v>1264907.5</v>
      </c>
    </row>
    <row r="32" spans="1:10">
      <c r="A32" s="61" t="s">
        <v>27</v>
      </c>
      <c r="B32" s="56">
        <v>0</v>
      </c>
      <c r="C32" s="56">
        <v>0</v>
      </c>
      <c r="D32" s="56">
        <v>3473587.9900000012</v>
      </c>
      <c r="E32" s="56">
        <v>866834.48</v>
      </c>
      <c r="F32" s="56">
        <v>0</v>
      </c>
      <c r="G32" s="56">
        <v>2068076.2000000011</v>
      </c>
      <c r="H32" s="56">
        <v>813552.11</v>
      </c>
      <c r="I32" s="50">
        <v>790792.99999999988</v>
      </c>
      <c r="J32" s="50">
        <v>311257.95</v>
      </c>
    </row>
    <row r="33" spans="1:10">
      <c r="A33" s="61" t="s">
        <v>28</v>
      </c>
      <c r="B33" s="56">
        <v>0</v>
      </c>
      <c r="C33" s="56">
        <v>0</v>
      </c>
      <c r="D33" s="56">
        <v>3439648.77</v>
      </c>
      <c r="E33" s="56">
        <v>0</v>
      </c>
      <c r="F33" s="56">
        <v>0</v>
      </c>
      <c r="G33" s="56">
        <v>516392.99</v>
      </c>
      <c r="H33" s="56">
        <v>0</v>
      </c>
      <c r="I33" s="50">
        <v>480736.59</v>
      </c>
      <c r="J33" s="50">
        <v>0</v>
      </c>
    </row>
    <row r="34" spans="1:10">
      <c r="A34" s="61" t="s">
        <v>29</v>
      </c>
      <c r="B34" s="56">
        <v>0</v>
      </c>
      <c r="C34" s="56">
        <v>0</v>
      </c>
      <c r="D34" s="56">
        <v>336657</v>
      </c>
      <c r="E34" s="56">
        <v>0</v>
      </c>
      <c r="F34" s="56">
        <v>0</v>
      </c>
      <c r="G34" s="56">
        <v>100642.5</v>
      </c>
      <c r="H34" s="56">
        <v>0</v>
      </c>
      <c r="I34" s="50">
        <v>59755</v>
      </c>
      <c r="J34" s="50">
        <v>0</v>
      </c>
    </row>
    <row r="35" spans="1:10">
      <c r="A35" s="61" t="s">
        <v>30</v>
      </c>
      <c r="B35" s="56">
        <v>0</v>
      </c>
      <c r="C35" s="56">
        <v>0</v>
      </c>
      <c r="D35" s="56">
        <v>353757</v>
      </c>
      <c r="E35" s="56">
        <v>0</v>
      </c>
      <c r="F35" s="56">
        <v>0</v>
      </c>
      <c r="G35" s="56">
        <v>22862.6</v>
      </c>
      <c r="H35" s="56">
        <v>0</v>
      </c>
      <c r="I35" s="50">
        <v>130429.5</v>
      </c>
      <c r="J35" s="50">
        <v>0</v>
      </c>
    </row>
    <row r="36" spans="1:10">
      <c r="A36" s="61" t="s">
        <v>31</v>
      </c>
      <c r="B36" s="56">
        <v>0</v>
      </c>
      <c r="C36" s="56">
        <v>0</v>
      </c>
      <c r="D36" s="56">
        <v>1371385.7463129323</v>
      </c>
      <c r="E36" s="56">
        <v>0</v>
      </c>
      <c r="F36" s="56">
        <v>0</v>
      </c>
      <c r="G36" s="56">
        <v>672543.14470459009</v>
      </c>
      <c r="H36" s="56">
        <v>0</v>
      </c>
      <c r="I36" s="50">
        <v>0</v>
      </c>
      <c r="J36" s="50">
        <v>0</v>
      </c>
    </row>
    <row r="37" spans="1:10">
      <c r="A37" s="61" t="s">
        <v>32</v>
      </c>
      <c r="B37" s="56">
        <v>0</v>
      </c>
      <c r="C37" s="56">
        <v>0</v>
      </c>
      <c r="D37" s="56">
        <v>435994.19</v>
      </c>
      <c r="E37" s="56">
        <v>0</v>
      </c>
      <c r="F37" s="56">
        <v>0</v>
      </c>
      <c r="G37" s="56">
        <v>0</v>
      </c>
      <c r="H37" s="56">
        <v>0</v>
      </c>
      <c r="I37" s="50">
        <v>0</v>
      </c>
      <c r="J37" s="50">
        <v>0</v>
      </c>
    </row>
    <row r="38" spans="1:10">
      <c r="A38" s="62" t="s">
        <v>33</v>
      </c>
      <c r="B38" s="58">
        <f>+SUM(B39:B42)</f>
        <v>149813</v>
      </c>
      <c r="C38" s="58">
        <f t="shared" ref="C38:J38" si="5">+SUM(C39:C42)</f>
        <v>0</v>
      </c>
      <c r="D38" s="58">
        <f t="shared" si="5"/>
        <v>15373717.436000003</v>
      </c>
      <c r="E38" s="58">
        <f t="shared" si="5"/>
        <v>3971095.1340000001</v>
      </c>
      <c r="F38" s="58">
        <f t="shared" si="5"/>
        <v>49000</v>
      </c>
      <c r="G38" s="58">
        <f t="shared" si="5"/>
        <v>5728954.3639999991</v>
      </c>
      <c r="H38" s="58">
        <f t="shared" si="5"/>
        <v>2758351.4360000002</v>
      </c>
      <c r="I38" s="58">
        <f t="shared" si="5"/>
        <v>2715953.324</v>
      </c>
      <c r="J38" s="58">
        <f t="shared" si="5"/>
        <v>1040168.586</v>
      </c>
    </row>
    <row r="39" spans="1:10">
      <c r="A39" s="61" t="s">
        <v>34</v>
      </c>
      <c r="B39" s="56">
        <v>0</v>
      </c>
      <c r="C39" s="56">
        <v>0</v>
      </c>
      <c r="D39" s="56">
        <v>13869870.800000003</v>
      </c>
      <c r="E39" s="56">
        <v>3651989.87</v>
      </c>
      <c r="F39" s="56">
        <v>0</v>
      </c>
      <c r="G39" s="56">
        <v>5358972.6599999992</v>
      </c>
      <c r="H39" s="56">
        <v>2645141.3800000004</v>
      </c>
      <c r="I39" s="50">
        <v>2382663.17</v>
      </c>
      <c r="J39" s="50">
        <v>994675.55</v>
      </c>
    </row>
    <row r="40" spans="1:10">
      <c r="A40" s="61" t="s">
        <v>35</v>
      </c>
      <c r="B40" s="56">
        <v>0</v>
      </c>
      <c r="C40" s="56">
        <v>0</v>
      </c>
      <c r="D40" s="56">
        <v>611116</v>
      </c>
      <c r="E40" s="56">
        <v>205193</v>
      </c>
      <c r="F40" s="56">
        <v>0</v>
      </c>
      <c r="G40" s="56">
        <v>300484</v>
      </c>
      <c r="H40" s="56">
        <v>108661</v>
      </c>
      <c r="I40" s="50">
        <v>197096</v>
      </c>
      <c r="J40" s="50">
        <v>30000</v>
      </c>
    </row>
    <row r="41" spans="1:10">
      <c r="A41" s="61" t="s">
        <v>36</v>
      </c>
      <c r="B41" s="56">
        <v>0</v>
      </c>
      <c r="C41" s="56">
        <v>0</v>
      </c>
      <c r="D41" s="56">
        <v>134444.886</v>
      </c>
      <c r="E41" s="56">
        <v>101581.26400000001</v>
      </c>
      <c r="F41" s="56">
        <v>0</v>
      </c>
      <c r="G41" s="56">
        <v>10949.704</v>
      </c>
      <c r="H41" s="56">
        <v>4549.0559999999996</v>
      </c>
      <c r="I41" s="50">
        <v>37714.153999999995</v>
      </c>
      <c r="J41" s="50">
        <v>15493.036</v>
      </c>
    </row>
    <row r="42" spans="1:10">
      <c r="A42" s="61" t="s">
        <v>37</v>
      </c>
      <c r="B42" s="56">
        <v>149813</v>
      </c>
      <c r="C42" s="56">
        <v>0</v>
      </c>
      <c r="D42" s="56">
        <v>758285.75</v>
      </c>
      <c r="E42" s="56">
        <v>12331</v>
      </c>
      <c r="F42" s="56">
        <v>49000</v>
      </c>
      <c r="G42" s="56">
        <v>58548</v>
      </c>
      <c r="H42" s="56">
        <v>0</v>
      </c>
      <c r="I42" s="50">
        <v>98480</v>
      </c>
      <c r="J42" s="50">
        <v>0</v>
      </c>
    </row>
    <row r="43" spans="1:10">
      <c r="A43" s="62" t="s">
        <v>20</v>
      </c>
      <c r="B43" s="58">
        <f>+B29-B38</f>
        <v>-149813</v>
      </c>
      <c r="C43" s="58">
        <f t="shared" ref="C43:J43" si="6">+C29-C38</f>
        <v>0</v>
      </c>
      <c r="D43" s="58">
        <f t="shared" si="6"/>
        <v>5584613.7503129113</v>
      </c>
      <c r="E43" s="58">
        <f t="shared" si="6"/>
        <v>1490832.4659999995</v>
      </c>
      <c r="F43" s="58">
        <f t="shared" si="6"/>
        <v>-49000</v>
      </c>
      <c r="G43" s="58">
        <f t="shared" si="6"/>
        <v>3572991.8907045843</v>
      </c>
      <c r="H43" s="58">
        <f t="shared" si="6"/>
        <v>1312727.8839999996</v>
      </c>
      <c r="I43" s="58">
        <f t="shared" si="6"/>
        <v>1002296.8159999987</v>
      </c>
      <c r="J43" s="58">
        <f t="shared" si="6"/>
        <v>535996.86399999994</v>
      </c>
    </row>
    <row r="44" spans="1:10">
      <c r="A44" s="61" t="s">
        <v>38</v>
      </c>
      <c r="B44" s="56">
        <v>0</v>
      </c>
      <c r="C44" s="56">
        <v>0</v>
      </c>
      <c r="D44" s="56">
        <v>534430.56230356218</v>
      </c>
      <c r="E44" s="56">
        <v>0</v>
      </c>
      <c r="F44" s="56">
        <v>0</v>
      </c>
      <c r="G44" s="56">
        <v>274054.7486967771</v>
      </c>
      <c r="H44" s="56">
        <v>0</v>
      </c>
      <c r="I44" s="50">
        <v>104436.68899966079</v>
      </c>
      <c r="J44" s="50">
        <v>0</v>
      </c>
    </row>
    <row r="45" spans="1:10">
      <c r="A45" s="61" t="s">
        <v>39</v>
      </c>
      <c r="B45" s="56"/>
      <c r="C45" s="56"/>
      <c r="D45" s="56"/>
      <c r="E45" s="56"/>
      <c r="F45" s="56"/>
      <c r="G45" s="56"/>
      <c r="H45" s="56"/>
      <c r="I45" s="50"/>
      <c r="J45" s="50"/>
    </row>
    <row r="46" spans="1:10">
      <c r="A46" s="61" t="s">
        <v>40</v>
      </c>
      <c r="B46" s="56"/>
      <c r="C46" s="56"/>
      <c r="D46" s="56"/>
      <c r="E46" s="56"/>
      <c r="F46" s="56"/>
      <c r="G46" s="56"/>
      <c r="H46" s="56"/>
      <c r="I46" s="50"/>
      <c r="J46" s="50"/>
    </row>
    <row r="47" spans="1:10">
      <c r="A47" s="62" t="s">
        <v>41</v>
      </c>
      <c r="B47" s="58">
        <f>+B43+B44+B45+B46</f>
        <v>-149813</v>
      </c>
      <c r="C47" s="58">
        <f t="shared" ref="C47:J47" si="7">+C43+C44+C45+C46</f>
        <v>0</v>
      </c>
      <c r="D47" s="58">
        <f t="shared" si="7"/>
        <v>6119044.3126164731</v>
      </c>
      <c r="E47" s="58">
        <f t="shared" si="7"/>
        <v>1490832.4659999995</v>
      </c>
      <c r="F47" s="58">
        <f t="shared" si="7"/>
        <v>-49000</v>
      </c>
      <c r="G47" s="58">
        <f t="shared" si="7"/>
        <v>3847046.6394013613</v>
      </c>
      <c r="H47" s="58">
        <f t="shared" si="7"/>
        <v>1312727.8839999996</v>
      </c>
      <c r="I47" s="58">
        <f t="shared" si="7"/>
        <v>1106733.5049996595</v>
      </c>
      <c r="J47" s="58">
        <f t="shared" si="7"/>
        <v>535996.86399999994</v>
      </c>
    </row>
    <row r="48" spans="1:10">
      <c r="A48" s="60"/>
      <c r="B48" s="56"/>
      <c r="C48" s="56"/>
      <c r="D48" s="56"/>
      <c r="E48" s="56"/>
      <c r="F48" s="56"/>
      <c r="G48" s="56"/>
      <c r="H48" s="56"/>
      <c r="I48" s="50"/>
      <c r="J48" s="50"/>
    </row>
    <row r="49" spans="1:10" ht="17.25">
      <c r="A49" s="57" t="s">
        <v>42</v>
      </c>
      <c r="B49" s="58">
        <f>+B51+B52</f>
        <v>0</v>
      </c>
      <c r="C49" s="58">
        <f t="shared" ref="C49:J49" si="8">+C51+C52</f>
        <v>1381118.12</v>
      </c>
      <c r="D49" s="58">
        <f t="shared" si="8"/>
        <v>0</v>
      </c>
      <c r="E49" s="58">
        <f t="shared" si="8"/>
        <v>0</v>
      </c>
      <c r="F49" s="58">
        <f t="shared" si="8"/>
        <v>0</v>
      </c>
      <c r="G49" s="58">
        <f t="shared" si="8"/>
        <v>0</v>
      </c>
      <c r="H49" s="58">
        <f t="shared" si="8"/>
        <v>0</v>
      </c>
      <c r="I49" s="58">
        <f t="shared" si="8"/>
        <v>0</v>
      </c>
      <c r="J49" s="58">
        <f t="shared" si="8"/>
        <v>0</v>
      </c>
    </row>
    <row r="50" spans="1:10">
      <c r="A50" s="61" t="s">
        <v>3</v>
      </c>
      <c r="B50" s="56"/>
      <c r="C50" s="56">
        <v>41</v>
      </c>
      <c r="D50" s="56"/>
      <c r="E50" s="56"/>
      <c r="F50" s="56"/>
      <c r="G50" s="56"/>
      <c r="H50" s="56"/>
      <c r="I50" s="50"/>
      <c r="J50" s="50"/>
    </row>
    <row r="51" spans="1:10">
      <c r="A51" s="61" t="s">
        <v>43</v>
      </c>
      <c r="B51" s="56"/>
      <c r="C51" s="56">
        <v>1041501.5700000001</v>
      </c>
      <c r="D51" s="56"/>
      <c r="E51" s="56"/>
      <c r="F51" s="56"/>
      <c r="G51" s="56"/>
      <c r="H51" s="56"/>
      <c r="I51" s="50"/>
      <c r="J51" s="50"/>
    </row>
    <row r="52" spans="1:10">
      <c r="A52" s="61" t="s">
        <v>30</v>
      </c>
      <c r="B52" s="56"/>
      <c r="C52" s="56">
        <v>339616.55000000005</v>
      </c>
      <c r="D52" s="56"/>
      <c r="E52" s="56"/>
      <c r="F52" s="56"/>
      <c r="G52" s="56"/>
      <c r="H52" s="56"/>
      <c r="I52" s="50"/>
      <c r="J52" s="50"/>
    </row>
    <row r="53" spans="1:10">
      <c r="A53" s="61" t="s">
        <v>33</v>
      </c>
      <c r="B53" s="56"/>
      <c r="C53" s="56">
        <v>1219160.0799999984</v>
      </c>
      <c r="D53" s="56"/>
      <c r="E53" s="56"/>
      <c r="F53" s="56"/>
      <c r="G53" s="56"/>
      <c r="H53" s="56"/>
      <c r="I53" s="50"/>
      <c r="J53" s="50"/>
    </row>
    <row r="54" spans="1:10">
      <c r="A54" s="62" t="s">
        <v>20</v>
      </c>
      <c r="B54" s="58">
        <f>+B49-B53</f>
        <v>0</v>
      </c>
      <c r="C54" s="58">
        <f>+C49-C53</f>
        <v>161958.04000000167</v>
      </c>
      <c r="D54" s="58">
        <f t="shared" ref="D54:J54" si="9">+D49-D53</f>
        <v>0</v>
      </c>
      <c r="E54" s="58">
        <f t="shared" si="9"/>
        <v>0</v>
      </c>
      <c r="F54" s="58">
        <f t="shared" si="9"/>
        <v>0</v>
      </c>
      <c r="G54" s="58">
        <f t="shared" si="9"/>
        <v>0</v>
      </c>
      <c r="H54" s="58">
        <f t="shared" si="9"/>
        <v>0</v>
      </c>
      <c r="I54" s="58">
        <f t="shared" si="9"/>
        <v>0</v>
      </c>
      <c r="J54" s="58">
        <f t="shared" si="9"/>
        <v>0</v>
      </c>
    </row>
    <row r="55" spans="1:10">
      <c r="A55" s="61" t="s">
        <v>44</v>
      </c>
      <c r="B55" s="56">
        <v>0</v>
      </c>
      <c r="C55" s="56">
        <v>250254.99999999997</v>
      </c>
      <c r="D55" s="56">
        <v>330638</v>
      </c>
      <c r="E55" s="56">
        <v>0</v>
      </c>
      <c r="F55" s="56">
        <v>0</v>
      </c>
      <c r="G55" s="56">
        <v>152164</v>
      </c>
      <c r="H55" s="56">
        <v>0</v>
      </c>
      <c r="I55" s="50">
        <v>41190</v>
      </c>
      <c r="J55" s="50">
        <v>0</v>
      </c>
    </row>
    <row r="56" spans="1:10">
      <c r="A56" s="61" t="s">
        <v>33</v>
      </c>
      <c r="B56" s="56">
        <v>0</v>
      </c>
      <c r="C56" s="56">
        <v>125127.49999999999</v>
      </c>
      <c r="D56" s="56">
        <v>165319</v>
      </c>
      <c r="E56" s="56">
        <v>0</v>
      </c>
      <c r="F56" s="56">
        <v>0</v>
      </c>
      <c r="G56" s="56">
        <v>76082</v>
      </c>
      <c r="H56" s="56">
        <v>0</v>
      </c>
      <c r="I56" s="50">
        <v>20595</v>
      </c>
      <c r="J56" s="50">
        <v>0</v>
      </c>
    </row>
    <row r="57" spans="1:10">
      <c r="A57" s="62" t="s">
        <v>20</v>
      </c>
      <c r="B57" s="58">
        <f t="shared" ref="B57:J57" si="10">+B55-B56</f>
        <v>0</v>
      </c>
      <c r="C57" s="58">
        <f t="shared" si="10"/>
        <v>125127.49999999999</v>
      </c>
      <c r="D57" s="58">
        <f t="shared" si="10"/>
        <v>165319</v>
      </c>
      <c r="E57" s="58">
        <f t="shared" si="10"/>
        <v>0</v>
      </c>
      <c r="F57" s="58">
        <f t="shared" si="10"/>
        <v>0</v>
      </c>
      <c r="G57" s="58">
        <f t="shared" si="10"/>
        <v>76082</v>
      </c>
      <c r="H57" s="58">
        <f t="shared" si="10"/>
        <v>0</v>
      </c>
      <c r="I57" s="58">
        <f t="shared" si="10"/>
        <v>20595</v>
      </c>
      <c r="J57" s="58">
        <f t="shared" si="10"/>
        <v>0</v>
      </c>
    </row>
    <row r="58" spans="1:10">
      <c r="A58" s="62" t="s">
        <v>45</v>
      </c>
      <c r="B58" s="56">
        <f>+B54+B57</f>
        <v>0</v>
      </c>
      <c r="C58" s="56">
        <f t="shared" ref="C58:J58" si="11">+C54+C57</f>
        <v>287085.54000000167</v>
      </c>
      <c r="D58" s="56">
        <f t="shared" si="11"/>
        <v>165319</v>
      </c>
      <c r="E58" s="56">
        <f t="shared" si="11"/>
        <v>0</v>
      </c>
      <c r="F58" s="56">
        <f t="shared" si="11"/>
        <v>0</v>
      </c>
      <c r="G58" s="56">
        <f t="shared" si="11"/>
        <v>76082</v>
      </c>
      <c r="H58" s="56">
        <f t="shared" si="11"/>
        <v>0</v>
      </c>
      <c r="I58" s="56">
        <f t="shared" si="11"/>
        <v>20595</v>
      </c>
      <c r="J58" s="56">
        <f t="shared" si="11"/>
        <v>0</v>
      </c>
    </row>
    <row r="59" spans="1:10">
      <c r="A59" s="60"/>
      <c r="B59" s="56"/>
      <c r="C59" s="56"/>
      <c r="D59" s="56"/>
      <c r="E59" s="56"/>
      <c r="F59" s="56"/>
      <c r="G59" s="56"/>
      <c r="H59" s="56"/>
      <c r="I59" s="50"/>
      <c r="J59" s="50"/>
    </row>
    <row r="60" spans="1:10">
      <c r="A60" s="63" t="s">
        <v>46</v>
      </c>
      <c r="B60" s="58">
        <f>+SUM(B61:B69)</f>
        <v>611948.70799999998</v>
      </c>
      <c r="C60" s="58">
        <f t="shared" ref="C60:J60" si="12">+SUM(C61:C69)</f>
        <v>0</v>
      </c>
      <c r="D60" s="58">
        <f t="shared" si="12"/>
        <v>162590.98860000001</v>
      </c>
      <c r="E60" s="58">
        <f t="shared" si="12"/>
        <v>996016.01240000001</v>
      </c>
      <c r="F60" s="58">
        <f t="shared" si="12"/>
        <v>786111.01549999998</v>
      </c>
      <c r="G60" s="58">
        <f t="shared" si="12"/>
        <v>36798.009299999998</v>
      </c>
      <c r="H60" s="58">
        <f t="shared" si="12"/>
        <v>6352.0061999999998</v>
      </c>
      <c r="I60" s="58">
        <f t="shared" si="12"/>
        <v>0</v>
      </c>
      <c r="J60" s="58">
        <f t="shared" si="12"/>
        <v>0</v>
      </c>
    </row>
    <row r="61" spans="1:10">
      <c r="A61" s="61" t="s">
        <v>47</v>
      </c>
      <c r="B61" s="56">
        <v>113323</v>
      </c>
      <c r="C61" s="56">
        <v>0</v>
      </c>
      <c r="D61" s="56">
        <v>0</v>
      </c>
      <c r="E61" s="56">
        <v>0</v>
      </c>
      <c r="F61" s="56">
        <v>171750</v>
      </c>
      <c r="G61" s="56">
        <v>0</v>
      </c>
      <c r="H61" s="56">
        <v>0</v>
      </c>
      <c r="I61" s="50">
        <v>0</v>
      </c>
      <c r="J61" s="50">
        <v>0</v>
      </c>
    </row>
    <row r="62" spans="1:10">
      <c r="A62" s="61" t="s">
        <v>48</v>
      </c>
      <c r="B62" s="56">
        <v>0</v>
      </c>
      <c r="C62" s="56">
        <v>0</v>
      </c>
      <c r="D62" s="56">
        <v>0</v>
      </c>
      <c r="E62" s="56">
        <v>983312</v>
      </c>
      <c r="F62" s="56">
        <v>0</v>
      </c>
      <c r="G62" s="56">
        <v>0</v>
      </c>
      <c r="H62" s="56">
        <v>0</v>
      </c>
      <c r="I62" s="50">
        <v>0</v>
      </c>
      <c r="J62" s="50">
        <v>0</v>
      </c>
    </row>
    <row r="63" spans="1:10">
      <c r="A63" s="61" t="s">
        <v>49</v>
      </c>
      <c r="B63" s="56">
        <v>306279</v>
      </c>
      <c r="C63" s="56">
        <v>0</v>
      </c>
      <c r="D63" s="56">
        <v>0</v>
      </c>
      <c r="E63" s="56">
        <v>0</v>
      </c>
      <c r="F63" s="56">
        <v>223481</v>
      </c>
      <c r="G63" s="56">
        <v>0</v>
      </c>
      <c r="H63" s="56">
        <v>0</v>
      </c>
      <c r="I63" s="50">
        <v>0</v>
      </c>
      <c r="J63" s="50">
        <v>0</v>
      </c>
    </row>
    <row r="64" spans="1:10">
      <c r="A64" s="61" t="s">
        <v>50</v>
      </c>
      <c r="B64" s="56">
        <v>0</v>
      </c>
      <c r="C64" s="56">
        <v>0</v>
      </c>
      <c r="D64" s="56">
        <v>0</v>
      </c>
      <c r="E64" s="56">
        <v>0</v>
      </c>
      <c r="F64" s="56">
        <v>0</v>
      </c>
      <c r="G64" s="56">
        <v>0</v>
      </c>
      <c r="H64" s="56">
        <v>0</v>
      </c>
      <c r="I64" s="50">
        <v>0</v>
      </c>
      <c r="J64" s="50">
        <v>0</v>
      </c>
    </row>
    <row r="65" spans="1:10">
      <c r="A65" s="61" t="s">
        <v>51</v>
      </c>
      <c r="B65" s="56">
        <v>0</v>
      </c>
      <c r="C65" s="56">
        <v>0</v>
      </c>
      <c r="D65" s="56">
        <v>0</v>
      </c>
      <c r="E65" s="56">
        <v>0</v>
      </c>
      <c r="F65" s="56">
        <v>0</v>
      </c>
      <c r="G65" s="56">
        <v>0</v>
      </c>
      <c r="H65" s="56">
        <v>0</v>
      </c>
      <c r="I65" s="50">
        <v>0</v>
      </c>
      <c r="J65" s="50">
        <v>0</v>
      </c>
    </row>
    <row r="66" spans="1:10">
      <c r="A66" s="61" t="s">
        <v>52</v>
      </c>
      <c r="B66" s="56">
        <v>0</v>
      </c>
      <c r="C66" s="56">
        <v>0</v>
      </c>
      <c r="D66" s="56">
        <v>69580</v>
      </c>
      <c r="E66" s="56">
        <v>0</v>
      </c>
      <c r="F66" s="56">
        <v>0</v>
      </c>
      <c r="G66" s="56">
        <v>27270</v>
      </c>
      <c r="H66" s="56">
        <v>0</v>
      </c>
      <c r="I66" s="50">
        <v>0</v>
      </c>
      <c r="J66" s="50">
        <v>0</v>
      </c>
    </row>
    <row r="67" spans="1:10">
      <c r="A67" s="61" t="s">
        <v>53</v>
      </c>
      <c r="B67" s="56">
        <v>150000</v>
      </c>
      <c r="C67" s="56">
        <v>0</v>
      </c>
      <c r="D67" s="56">
        <v>73954.97</v>
      </c>
      <c r="E67" s="56">
        <v>0</v>
      </c>
      <c r="F67" s="56">
        <v>375000</v>
      </c>
      <c r="G67" s="56">
        <v>0</v>
      </c>
      <c r="H67" s="56">
        <v>0</v>
      </c>
      <c r="I67" s="50">
        <v>0</v>
      </c>
      <c r="J67" s="50">
        <v>0</v>
      </c>
    </row>
    <row r="68" spans="1:10">
      <c r="A68" s="61" t="s">
        <v>54</v>
      </c>
      <c r="B68" s="56">
        <v>42346.708000000006</v>
      </c>
      <c r="C68" s="56">
        <v>0</v>
      </c>
      <c r="D68" s="56">
        <v>19056.018599999999</v>
      </c>
      <c r="E68" s="56">
        <v>12704.0124</v>
      </c>
      <c r="F68" s="56">
        <v>15880.0155</v>
      </c>
      <c r="G68" s="56">
        <v>9528.0092999999997</v>
      </c>
      <c r="H68" s="56">
        <v>6352.0061999999998</v>
      </c>
      <c r="I68" s="50">
        <v>0</v>
      </c>
      <c r="J68" s="50">
        <v>0</v>
      </c>
    </row>
    <row r="69" spans="1:10">
      <c r="A69" s="61" t="s">
        <v>55</v>
      </c>
      <c r="B69" s="56">
        <v>0</v>
      </c>
      <c r="C69" s="56">
        <v>0</v>
      </c>
      <c r="D69" s="56">
        <v>0</v>
      </c>
      <c r="E69" s="56">
        <v>0</v>
      </c>
      <c r="F69" s="56">
        <v>0</v>
      </c>
      <c r="G69" s="56">
        <v>0</v>
      </c>
      <c r="H69" s="56">
        <v>0</v>
      </c>
      <c r="I69" s="50">
        <v>0</v>
      </c>
      <c r="J69" s="50">
        <v>0</v>
      </c>
    </row>
    <row r="70" spans="1:10">
      <c r="A70" s="64" t="s">
        <v>56</v>
      </c>
      <c r="B70" s="58">
        <f>+(B7/3.5%)+B8+B13+B29+B27+B49+B55+B60</f>
        <v>60668929.610857129</v>
      </c>
      <c r="C70" s="58">
        <f t="shared" ref="C70:J70" si="13">+(C7/3.5%)+C8+C13+C29+C27+C49+C55+C60</f>
        <v>1631373.12</v>
      </c>
      <c r="D70" s="58">
        <f t="shared" si="13"/>
        <v>21451560.174912915</v>
      </c>
      <c r="E70" s="58">
        <f t="shared" si="13"/>
        <v>6457943.6124</v>
      </c>
      <c r="F70" s="58">
        <f t="shared" si="13"/>
        <v>96614964.729785696</v>
      </c>
      <c r="G70" s="58">
        <f t="shared" si="13"/>
        <v>9490908.2640045825</v>
      </c>
      <c r="H70" s="58">
        <f t="shared" si="13"/>
        <v>4077431.3262</v>
      </c>
      <c r="I70" s="58">
        <f t="shared" si="13"/>
        <v>3759440.1399999987</v>
      </c>
      <c r="J70" s="58">
        <f t="shared" si="13"/>
        <v>1576165.45</v>
      </c>
    </row>
    <row r="71" spans="1:10">
      <c r="A71" s="64" t="s">
        <v>57</v>
      </c>
      <c r="B71" s="58">
        <f>+B6+B27+B47+B58+B60</f>
        <v>3044819.4679999999</v>
      </c>
      <c r="C71" s="58">
        <f t="shared" ref="C71:J71" si="14">+C6+C27+C47+C58+C60</f>
        <v>287085.54000000167</v>
      </c>
      <c r="D71" s="58">
        <f t="shared" si="14"/>
        <v>6446954.3012164729</v>
      </c>
      <c r="E71" s="58">
        <f t="shared" si="14"/>
        <v>2486848.4783999994</v>
      </c>
      <c r="F71" s="58">
        <f t="shared" si="14"/>
        <v>4603505.0154999997</v>
      </c>
      <c r="G71" s="58">
        <f t="shared" si="14"/>
        <v>3959926.6487013614</v>
      </c>
      <c r="H71" s="58">
        <f t="shared" si="14"/>
        <v>1319079.8901999996</v>
      </c>
      <c r="I71" s="58">
        <f t="shared" si="14"/>
        <v>1127328.5049996595</v>
      </c>
      <c r="J71" s="58">
        <f t="shared" si="14"/>
        <v>535996.86399999994</v>
      </c>
    </row>
    <row r="72" spans="1:10">
      <c r="A72" s="65" t="s">
        <v>58</v>
      </c>
      <c r="B72" s="111">
        <f>IFERROR(B71/B70,0)</f>
        <v>5.0187459833725301E-2</v>
      </c>
      <c r="C72" s="111">
        <f t="shared" ref="C72:J72" si="15">IFERROR(C71/C70,0)</f>
        <v>0.17597785355198303</v>
      </c>
      <c r="D72" s="111">
        <f t="shared" si="15"/>
        <v>0.30053545050564812</v>
      </c>
      <c r="E72" s="111">
        <f t="shared" si="15"/>
        <v>0.38508364700257869</v>
      </c>
      <c r="F72" s="111">
        <f t="shared" si="15"/>
        <v>4.7647950070417742E-2</v>
      </c>
      <c r="G72" s="111">
        <f t="shared" si="15"/>
        <v>0.41723368707712222</v>
      </c>
      <c r="H72" s="111">
        <f t="shared" si="15"/>
        <v>0.32350756755217464</v>
      </c>
      <c r="I72" s="111">
        <f t="shared" si="15"/>
        <v>0.29986606064158794</v>
      </c>
      <c r="J72" s="111">
        <f t="shared" si="15"/>
        <v>0.34006383276577973</v>
      </c>
    </row>
    <row r="73" spans="1:10">
      <c r="A73" s="60"/>
      <c r="B73" s="56"/>
      <c r="C73" s="56"/>
      <c r="D73" s="56"/>
      <c r="E73" s="56"/>
      <c r="F73" s="56"/>
      <c r="G73" s="56"/>
      <c r="H73" s="56"/>
      <c r="I73" s="50"/>
      <c r="J73" s="50"/>
    </row>
    <row r="74" spans="1:10">
      <c r="A74" s="60"/>
      <c r="B74" s="56"/>
      <c r="C74" s="56"/>
      <c r="D74" s="56"/>
      <c r="E74" s="56"/>
      <c r="F74" s="56"/>
      <c r="G74" s="56"/>
      <c r="H74" s="56"/>
      <c r="I74" s="50"/>
      <c r="J74" s="50"/>
    </row>
    <row r="75" spans="1:10" ht="17.25">
      <c r="A75" s="17" t="s">
        <v>59</v>
      </c>
      <c r="B75" s="67">
        <f>+B76+B87+B90</f>
        <v>1864334.7519999999</v>
      </c>
      <c r="C75" s="67">
        <f t="shared" ref="C75:J75" si="16">+C76+C87+C90</f>
        <v>9250</v>
      </c>
      <c r="D75" s="67">
        <f t="shared" si="16"/>
        <v>387120.29900000012</v>
      </c>
      <c r="E75" s="67">
        <f t="shared" si="16"/>
        <v>113936.448</v>
      </c>
      <c r="F75" s="67">
        <f t="shared" si="16"/>
        <v>1610987.0079999999</v>
      </c>
      <c r="G75" s="67">
        <f t="shared" si="16"/>
        <v>211228.4200000001</v>
      </c>
      <c r="H75" s="67">
        <f t="shared" si="16"/>
        <v>84302.411000000007</v>
      </c>
      <c r="I75" s="67">
        <f t="shared" si="16"/>
        <v>79979.299999999988</v>
      </c>
      <c r="J75" s="67">
        <f t="shared" si="16"/>
        <v>0</v>
      </c>
    </row>
    <row r="76" spans="1:10">
      <c r="A76" s="66" t="s">
        <v>60</v>
      </c>
      <c r="B76" s="67">
        <f>+SUM(B77:B86)</f>
        <v>476538.23</v>
      </c>
      <c r="C76" s="67">
        <f t="shared" ref="C76:J76" si="17">+SUM(C77:C86)</f>
        <v>0</v>
      </c>
      <c r="D76" s="67">
        <f t="shared" si="17"/>
        <v>0</v>
      </c>
      <c r="E76" s="67">
        <f t="shared" si="17"/>
        <v>27253</v>
      </c>
      <c r="F76" s="67">
        <f t="shared" si="17"/>
        <v>256588.21</v>
      </c>
      <c r="G76" s="67">
        <f t="shared" si="17"/>
        <v>0</v>
      </c>
      <c r="H76" s="67">
        <f t="shared" si="17"/>
        <v>0</v>
      </c>
      <c r="I76" s="67">
        <f t="shared" si="17"/>
        <v>0</v>
      </c>
      <c r="J76" s="67">
        <f t="shared" si="17"/>
        <v>0</v>
      </c>
    </row>
    <row r="77" spans="1:10">
      <c r="A77" s="61" t="s">
        <v>61</v>
      </c>
      <c r="B77" s="68">
        <v>188124</v>
      </c>
      <c r="C77" s="68">
        <v>0</v>
      </c>
      <c r="D77" s="68">
        <v>0</v>
      </c>
      <c r="E77" s="68">
        <v>0</v>
      </c>
      <c r="F77" s="68">
        <v>50014</v>
      </c>
      <c r="G77" s="68">
        <v>0</v>
      </c>
      <c r="H77" s="68">
        <v>0</v>
      </c>
      <c r="I77" s="68">
        <v>0</v>
      </c>
      <c r="J77" s="68">
        <v>0</v>
      </c>
    </row>
    <row r="78" spans="1:10">
      <c r="A78" s="61" t="s">
        <v>62</v>
      </c>
      <c r="B78" s="68">
        <v>190871.83</v>
      </c>
      <c r="C78" s="68">
        <v>0</v>
      </c>
      <c r="D78" s="68">
        <v>0</v>
      </c>
      <c r="E78" s="68">
        <v>0</v>
      </c>
      <c r="F78" s="68">
        <v>195084.25</v>
      </c>
      <c r="G78" s="68">
        <v>0</v>
      </c>
      <c r="H78" s="68">
        <v>0</v>
      </c>
      <c r="I78" s="68">
        <v>0</v>
      </c>
      <c r="J78" s="68">
        <v>0</v>
      </c>
    </row>
    <row r="79" spans="1:10">
      <c r="A79" s="61" t="s">
        <v>63</v>
      </c>
      <c r="B79" s="68">
        <v>0</v>
      </c>
      <c r="C79" s="68">
        <v>0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</row>
    <row r="80" spans="1:10">
      <c r="A80" s="61" t="s">
        <v>221</v>
      </c>
      <c r="B80" s="68">
        <v>91194.4</v>
      </c>
      <c r="C80" s="68">
        <v>0</v>
      </c>
      <c r="D80" s="68">
        <v>0</v>
      </c>
      <c r="E80" s="68">
        <v>0</v>
      </c>
      <c r="F80" s="68">
        <v>11489.96</v>
      </c>
      <c r="G80" s="68">
        <v>0</v>
      </c>
      <c r="H80" s="68">
        <v>0</v>
      </c>
      <c r="I80" s="68">
        <v>0</v>
      </c>
      <c r="J80" s="68">
        <v>0</v>
      </c>
    </row>
    <row r="81" spans="1:10">
      <c r="A81" s="61" t="s">
        <v>65</v>
      </c>
      <c r="B81" s="68">
        <v>0</v>
      </c>
      <c r="C81" s="68">
        <v>0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</row>
    <row r="82" spans="1:10">
      <c r="A82" s="61" t="s">
        <v>66</v>
      </c>
      <c r="B82" s="68">
        <v>0</v>
      </c>
      <c r="C82" s="68">
        <v>0</v>
      </c>
      <c r="D82" s="68">
        <v>0</v>
      </c>
      <c r="E82" s="68">
        <v>27253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</row>
    <row r="83" spans="1:10">
      <c r="A83" s="61" t="s">
        <v>67</v>
      </c>
      <c r="B83" s="68">
        <v>0</v>
      </c>
      <c r="C83" s="68">
        <v>0</v>
      </c>
      <c r="D83" s="68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</row>
    <row r="84" spans="1:10">
      <c r="A84" s="61" t="s">
        <v>68</v>
      </c>
      <c r="B84" s="68">
        <v>6348</v>
      </c>
      <c r="C84" s="68">
        <v>0</v>
      </c>
      <c r="D84" s="68">
        <v>0</v>
      </c>
      <c r="E84" s="68">
        <v>0</v>
      </c>
      <c r="F84" s="68">
        <v>0</v>
      </c>
      <c r="G84" s="68">
        <v>0</v>
      </c>
      <c r="H84" s="68">
        <v>0</v>
      </c>
      <c r="I84" s="68">
        <v>0</v>
      </c>
      <c r="J84" s="68">
        <v>0</v>
      </c>
    </row>
    <row r="85" spans="1:10">
      <c r="A85" s="61" t="s">
        <v>69</v>
      </c>
      <c r="B85" s="68">
        <v>0</v>
      </c>
      <c r="C85" s="68">
        <v>0</v>
      </c>
      <c r="D85" s="68">
        <v>0</v>
      </c>
      <c r="E85" s="68">
        <v>0</v>
      </c>
      <c r="F85" s="68">
        <v>0</v>
      </c>
      <c r="G85" s="68">
        <v>0</v>
      </c>
      <c r="H85" s="68">
        <v>0</v>
      </c>
      <c r="I85" s="68">
        <v>0</v>
      </c>
      <c r="J85" s="68">
        <v>0</v>
      </c>
    </row>
    <row r="86" spans="1:10">
      <c r="A86" s="61" t="s">
        <v>70</v>
      </c>
      <c r="B86" s="68">
        <v>0</v>
      </c>
      <c r="C86" s="68">
        <v>0</v>
      </c>
      <c r="D86" s="68">
        <v>0</v>
      </c>
      <c r="E86" s="68">
        <v>0</v>
      </c>
      <c r="F86" s="68">
        <v>0</v>
      </c>
      <c r="G86" s="68">
        <v>0</v>
      </c>
      <c r="H86" s="68">
        <v>0</v>
      </c>
      <c r="I86" s="68">
        <v>0</v>
      </c>
      <c r="J86" s="68">
        <v>0</v>
      </c>
    </row>
    <row r="87" spans="1:10">
      <c r="A87" s="66" t="s">
        <v>71</v>
      </c>
      <c r="B87" s="67">
        <f>+SUM(B88:B89)</f>
        <v>660951</v>
      </c>
      <c r="C87" s="67">
        <f t="shared" ref="C87:J87" si="18">+SUM(C88:C89)</f>
        <v>9250</v>
      </c>
      <c r="D87" s="67">
        <f t="shared" si="18"/>
        <v>372384.29900000012</v>
      </c>
      <c r="E87" s="67">
        <f t="shared" si="18"/>
        <v>86683.448000000004</v>
      </c>
      <c r="F87" s="67">
        <f t="shared" si="18"/>
        <v>835082</v>
      </c>
      <c r="G87" s="67">
        <f t="shared" si="18"/>
        <v>206807.62000000011</v>
      </c>
      <c r="H87" s="67">
        <f t="shared" si="18"/>
        <v>81355.21100000001</v>
      </c>
      <c r="I87" s="67">
        <f t="shared" si="18"/>
        <v>79079.299999999988</v>
      </c>
      <c r="J87" s="67">
        <f t="shared" si="18"/>
        <v>0</v>
      </c>
    </row>
    <row r="88" spans="1:10">
      <c r="A88" s="61" t="s">
        <v>222</v>
      </c>
      <c r="B88" s="68">
        <v>660951</v>
      </c>
      <c r="C88" s="68">
        <v>9250</v>
      </c>
      <c r="D88" s="68">
        <v>372384.29900000012</v>
      </c>
      <c r="E88" s="68">
        <v>86683.448000000004</v>
      </c>
      <c r="F88" s="68">
        <v>835082</v>
      </c>
      <c r="G88" s="68">
        <v>206807.62000000011</v>
      </c>
      <c r="H88" s="68">
        <v>81355.21100000001</v>
      </c>
      <c r="I88" s="68">
        <v>79079.299999999988</v>
      </c>
      <c r="J88" s="68">
        <v>0</v>
      </c>
    </row>
    <row r="89" spans="1:10">
      <c r="A89" s="61" t="s">
        <v>223</v>
      </c>
      <c r="B89" s="68"/>
      <c r="C89" s="68"/>
      <c r="D89" s="68"/>
      <c r="E89" s="68"/>
      <c r="F89" s="68"/>
      <c r="G89" s="68"/>
      <c r="H89" s="68"/>
      <c r="I89" s="68"/>
      <c r="J89" s="68"/>
    </row>
    <row r="90" spans="1:10">
      <c r="A90" s="66" t="s">
        <v>72</v>
      </c>
      <c r="B90" s="67">
        <f>+SUM(B91:B102)</f>
        <v>726845.522</v>
      </c>
      <c r="C90" s="67">
        <f t="shared" ref="C90:J90" si="19">+SUM(C91:C102)</f>
        <v>0</v>
      </c>
      <c r="D90" s="67">
        <f t="shared" si="19"/>
        <v>14736</v>
      </c>
      <c r="E90" s="67">
        <f t="shared" si="19"/>
        <v>0</v>
      </c>
      <c r="F90" s="67">
        <f t="shared" si="19"/>
        <v>519316.79800000001</v>
      </c>
      <c r="G90" s="67">
        <f t="shared" si="19"/>
        <v>4420.8</v>
      </c>
      <c r="H90" s="67">
        <f t="shared" si="19"/>
        <v>2947.2000000000003</v>
      </c>
      <c r="I90" s="67">
        <f t="shared" si="19"/>
        <v>900</v>
      </c>
      <c r="J90" s="67">
        <f t="shared" si="19"/>
        <v>0</v>
      </c>
    </row>
    <row r="91" spans="1:10">
      <c r="A91" s="61" t="s">
        <v>224</v>
      </c>
      <c r="B91" s="68">
        <v>6500</v>
      </c>
      <c r="C91" s="68">
        <v>0</v>
      </c>
      <c r="D91" s="68">
        <v>0</v>
      </c>
      <c r="E91" s="68">
        <v>0</v>
      </c>
      <c r="F91" s="68">
        <v>0</v>
      </c>
      <c r="G91" s="68">
        <v>0</v>
      </c>
      <c r="H91" s="68">
        <v>0</v>
      </c>
      <c r="I91" s="68">
        <v>0</v>
      </c>
      <c r="J91" s="68">
        <v>0</v>
      </c>
    </row>
    <row r="92" spans="1:10">
      <c r="A92" s="61" t="s">
        <v>73</v>
      </c>
      <c r="B92" s="68">
        <v>0</v>
      </c>
      <c r="C92" s="68">
        <v>0</v>
      </c>
      <c r="D92" s="68">
        <v>0</v>
      </c>
      <c r="E92" s="68">
        <v>0</v>
      </c>
      <c r="F92" s="68">
        <v>0</v>
      </c>
      <c r="G92" s="68">
        <v>0</v>
      </c>
      <c r="H92" s="68">
        <v>0</v>
      </c>
      <c r="I92" s="68">
        <v>900</v>
      </c>
      <c r="J92" s="68">
        <v>0</v>
      </c>
    </row>
    <row r="93" spans="1:10">
      <c r="A93" s="61" t="s">
        <v>74</v>
      </c>
      <c r="B93" s="68">
        <v>195036.57200000001</v>
      </c>
      <c r="C93" s="68">
        <v>0</v>
      </c>
      <c r="D93" s="68">
        <v>0</v>
      </c>
      <c r="E93" s="68">
        <v>0</v>
      </c>
      <c r="F93" s="68">
        <v>202422.10800000001</v>
      </c>
      <c r="G93" s="68">
        <v>0</v>
      </c>
      <c r="H93" s="68">
        <v>0</v>
      </c>
      <c r="I93" s="68">
        <v>0</v>
      </c>
      <c r="J93" s="68">
        <v>0</v>
      </c>
    </row>
    <row r="94" spans="1:10">
      <c r="A94" s="61" t="s">
        <v>75</v>
      </c>
      <c r="B94" s="68">
        <v>13000</v>
      </c>
      <c r="C94" s="68">
        <v>0</v>
      </c>
      <c r="D94" s="68">
        <v>0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</row>
    <row r="95" spans="1:10">
      <c r="A95" s="61" t="s">
        <v>76</v>
      </c>
      <c r="B95" s="68">
        <v>0</v>
      </c>
      <c r="C95" s="68">
        <v>0</v>
      </c>
      <c r="D95" s="68">
        <v>0</v>
      </c>
      <c r="E95" s="68">
        <v>0</v>
      </c>
      <c r="F95" s="68">
        <v>0</v>
      </c>
      <c r="G95" s="68">
        <v>0</v>
      </c>
      <c r="H95" s="68">
        <v>0</v>
      </c>
      <c r="I95" s="68">
        <v>0</v>
      </c>
      <c r="J95" s="68">
        <v>0</v>
      </c>
    </row>
    <row r="96" spans="1:10">
      <c r="A96" s="61" t="s">
        <v>77</v>
      </c>
      <c r="B96" s="68">
        <v>66226.100000000006</v>
      </c>
      <c r="C96" s="68">
        <v>0</v>
      </c>
      <c r="D96" s="68"/>
      <c r="E96" s="68">
        <v>0</v>
      </c>
      <c r="F96" s="68">
        <v>86308.87</v>
      </c>
      <c r="G96" s="68">
        <v>0</v>
      </c>
      <c r="H96" s="68">
        <v>0</v>
      </c>
      <c r="I96" s="68">
        <v>0</v>
      </c>
      <c r="J96" s="68">
        <v>0</v>
      </c>
    </row>
    <row r="97" spans="1:10">
      <c r="A97" s="61" t="s">
        <v>78</v>
      </c>
      <c r="B97" s="68">
        <v>111167.26</v>
      </c>
      <c r="C97" s="68">
        <v>0</v>
      </c>
      <c r="D97" s="68">
        <v>0</v>
      </c>
      <c r="E97" s="68">
        <v>0</v>
      </c>
      <c r="F97" s="68">
        <v>42348.55</v>
      </c>
      <c r="G97" s="68">
        <v>0</v>
      </c>
      <c r="H97" s="68">
        <v>0</v>
      </c>
      <c r="I97" s="68">
        <v>0</v>
      </c>
      <c r="J97" s="68">
        <v>0</v>
      </c>
    </row>
    <row r="98" spans="1:10">
      <c r="A98" s="61" t="s">
        <v>79</v>
      </c>
      <c r="B98" s="68">
        <v>147115.34999999998</v>
      </c>
      <c r="C98" s="68">
        <v>0</v>
      </c>
      <c r="D98" s="68">
        <v>0</v>
      </c>
      <c r="E98" s="68">
        <v>0</v>
      </c>
      <c r="F98" s="68">
        <v>87509.5</v>
      </c>
      <c r="G98" s="68">
        <v>0</v>
      </c>
      <c r="H98" s="68">
        <v>0</v>
      </c>
      <c r="I98" s="68">
        <v>0</v>
      </c>
      <c r="J98" s="68">
        <v>0</v>
      </c>
    </row>
    <row r="99" spans="1:10">
      <c r="A99" s="61" t="s">
        <v>80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</row>
    <row r="100" spans="1:10">
      <c r="A100" s="61" t="s">
        <v>81</v>
      </c>
      <c r="B100" s="68">
        <v>0</v>
      </c>
      <c r="C100" s="68">
        <v>0</v>
      </c>
      <c r="D100" s="68">
        <v>0</v>
      </c>
      <c r="E100" s="68">
        <v>0</v>
      </c>
      <c r="F100" s="68">
        <v>0</v>
      </c>
      <c r="G100" s="68">
        <v>0</v>
      </c>
      <c r="H100" s="68">
        <v>0</v>
      </c>
      <c r="I100" s="68">
        <v>0</v>
      </c>
      <c r="J100" s="68">
        <v>0</v>
      </c>
    </row>
    <row r="101" spans="1:10">
      <c r="A101" s="61" t="s">
        <v>82</v>
      </c>
      <c r="B101" s="68">
        <v>173064.24</v>
      </c>
      <c r="C101" s="68">
        <v>0</v>
      </c>
      <c r="D101" s="68">
        <v>0</v>
      </c>
      <c r="E101" s="68">
        <v>0</v>
      </c>
      <c r="F101" s="68">
        <v>93359.77</v>
      </c>
      <c r="G101" s="68">
        <v>0</v>
      </c>
      <c r="H101" s="68">
        <v>0</v>
      </c>
      <c r="I101" s="68">
        <v>0</v>
      </c>
      <c r="J101" s="68">
        <v>0</v>
      </c>
    </row>
    <row r="102" spans="1:10">
      <c r="A102" s="61" t="s">
        <v>83</v>
      </c>
      <c r="B102" s="68">
        <v>14736</v>
      </c>
      <c r="C102" s="68">
        <v>0</v>
      </c>
      <c r="D102" s="68">
        <v>14736</v>
      </c>
      <c r="E102" s="68">
        <v>0</v>
      </c>
      <c r="F102" s="68">
        <v>7368</v>
      </c>
      <c r="G102" s="68">
        <v>4420.8</v>
      </c>
      <c r="H102" s="68">
        <v>2947.2000000000003</v>
      </c>
      <c r="I102" s="68">
        <v>0</v>
      </c>
      <c r="J102" s="68">
        <v>0</v>
      </c>
    </row>
    <row r="103" spans="1:10">
      <c r="A103" s="61"/>
      <c r="B103" s="68"/>
      <c r="C103" s="68"/>
      <c r="D103" s="68"/>
      <c r="E103" s="68"/>
      <c r="F103" s="68"/>
      <c r="G103" s="68"/>
      <c r="H103" s="68"/>
      <c r="I103" s="69"/>
      <c r="J103" s="69"/>
    </row>
    <row r="104" spans="1:10" ht="17.25">
      <c r="A104" s="70" t="s">
        <v>84</v>
      </c>
      <c r="B104" s="67">
        <f>+SUM(B105:B113)</f>
        <v>618022.62600000005</v>
      </c>
      <c r="C104" s="67">
        <f t="shared" ref="C104:J104" si="20">+SUM(C105:C113)</f>
        <v>0</v>
      </c>
      <c r="D104" s="67">
        <f t="shared" si="20"/>
        <v>212694.81</v>
      </c>
      <c r="E104" s="67">
        <f t="shared" si="20"/>
        <v>61376.28</v>
      </c>
      <c r="F104" s="67">
        <f t="shared" si="20"/>
        <v>641684.03399999999</v>
      </c>
      <c r="G104" s="67">
        <f t="shared" si="20"/>
        <v>64261.89</v>
      </c>
      <c r="H104" s="67">
        <f t="shared" si="20"/>
        <v>30688.14</v>
      </c>
      <c r="I104" s="67">
        <f t="shared" si="20"/>
        <v>3214.92</v>
      </c>
      <c r="J104" s="67">
        <f t="shared" si="20"/>
        <v>0</v>
      </c>
    </row>
    <row r="105" spans="1:10">
      <c r="A105" s="61" t="s">
        <v>85</v>
      </c>
      <c r="B105" s="68">
        <v>0</v>
      </c>
      <c r="C105" s="68">
        <v>0</v>
      </c>
      <c r="D105" s="68">
        <v>82562.59</v>
      </c>
      <c r="E105" s="68">
        <v>0</v>
      </c>
      <c r="F105" s="68">
        <v>0</v>
      </c>
      <c r="G105" s="68">
        <v>18229.68</v>
      </c>
      <c r="H105" s="68">
        <v>0</v>
      </c>
      <c r="I105" s="68">
        <v>0</v>
      </c>
      <c r="J105" s="68">
        <v>0</v>
      </c>
    </row>
    <row r="106" spans="1:10">
      <c r="A106" s="61" t="s">
        <v>86</v>
      </c>
      <c r="B106" s="68">
        <v>348955.02600000001</v>
      </c>
      <c r="C106" s="68">
        <v>0</v>
      </c>
      <c r="D106" s="68">
        <v>7974</v>
      </c>
      <c r="E106" s="68">
        <v>5316</v>
      </c>
      <c r="F106" s="68">
        <v>169013.68400000001</v>
      </c>
      <c r="G106" s="68">
        <v>3987</v>
      </c>
      <c r="H106" s="68">
        <v>2658</v>
      </c>
      <c r="I106" s="68">
        <v>0</v>
      </c>
      <c r="J106" s="68">
        <v>0</v>
      </c>
    </row>
    <row r="107" spans="1:10">
      <c r="A107" s="61" t="s">
        <v>87</v>
      </c>
      <c r="B107" s="68">
        <v>0</v>
      </c>
      <c r="C107" s="68">
        <v>0</v>
      </c>
      <c r="D107" s="68">
        <v>0</v>
      </c>
      <c r="E107" s="68">
        <v>0</v>
      </c>
      <c r="F107" s="68">
        <v>0</v>
      </c>
      <c r="G107" s="68">
        <v>0</v>
      </c>
      <c r="H107" s="68">
        <v>0</v>
      </c>
      <c r="I107" s="68">
        <v>0</v>
      </c>
      <c r="J107" s="68">
        <v>0</v>
      </c>
    </row>
    <row r="108" spans="1:10">
      <c r="A108" s="61" t="s">
        <v>88</v>
      </c>
      <c r="B108" s="68">
        <v>0</v>
      </c>
      <c r="C108" s="68">
        <v>0</v>
      </c>
      <c r="D108" s="68">
        <v>0</v>
      </c>
      <c r="E108" s="68">
        <v>0</v>
      </c>
      <c r="F108" s="68">
        <v>387895</v>
      </c>
      <c r="G108" s="68">
        <v>0</v>
      </c>
      <c r="H108" s="68">
        <v>0</v>
      </c>
      <c r="I108" s="68">
        <v>0</v>
      </c>
      <c r="J108" s="68">
        <v>0</v>
      </c>
    </row>
    <row r="109" spans="1:10">
      <c r="A109" s="61" t="s">
        <v>89</v>
      </c>
      <c r="B109" s="68">
        <v>30314</v>
      </c>
      <c r="C109" s="68">
        <v>0</v>
      </c>
      <c r="D109" s="68">
        <v>13641.3</v>
      </c>
      <c r="E109" s="68">
        <v>9094.2000000000007</v>
      </c>
      <c r="F109" s="68">
        <v>11367.75</v>
      </c>
      <c r="G109" s="68">
        <v>6820.65</v>
      </c>
      <c r="H109" s="68">
        <v>4547.1000000000004</v>
      </c>
      <c r="I109" s="68">
        <v>0</v>
      </c>
      <c r="J109" s="68">
        <v>0</v>
      </c>
    </row>
    <row r="110" spans="1:10">
      <c r="A110" s="61" t="s">
        <v>90</v>
      </c>
      <c r="B110" s="68">
        <v>238753.6</v>
      </c>
      <c r="C110" s="68">
        <v>0</v>
      </c>
      <c r="D110" s="68">
        <v>70449.119999999995</v>
      </c>
      <c r="E110" s="68">
        <v>46966.080000000002</v>
      </c>
      <c r="F110" s="68">
        <v>73407.600000000006</v>
      </c>
      <c r="G110" s="68">
        <v>35224.559999999998</v>
      </c>
      <c r="H110" s="68">
        <v>23483.040000000001</v>
      </c>
      <c r="I110" s="68">
        <v>0</v>
      </c>
      <c r="J110" s="68">
        <v>0</v>
      </c>
    </row>
    <row r="111" spans="1:10">
      <c r="A111" s="61" t="s">
        <v>91</v>
      </c>
      <c r="B111" s="68">
        <v>0</v>
      </c>
      <c r="C111" s="68">
        <v>0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</row>
    <row r="112" spans="1:10">
      <c r="A112" s="61" t="s">
        <v>92</v>
      </c>
      <c r="B112" s="68">
        <v>0</v>
      </c>
      <c r="C112" s="68">
        <v>0</v>
      </c>
      <c r="D112" s="68">
        <v>38067.800000000003</v>
      </c>
      <c r="E112" s="68">
        <v>0</v>
      </c>
      <c r="F112" s="68">
        <v>0</v>
      </c>
      <c r="G112" s="68">
        <v>0</v>
      </c>
      <c r="H112" s="68">
        <v>0</v>
      </c>
      <c r="I112" s="68">
        <v>3214.92</v>
      </c>
      <c r="J112" s="68">
        <v>0</v>
      </c>
    </row>
    <row r="113" spans="1:10">
      <c r="A113" s="61" t="s">
        <v>225</v>
      </c>
      <c r="B113" s="68">
        <v>0</v>
      </c>
      <c r="C113" s="68">
        <v>0</v>
      </c>
      <c r="D113" s="68">
        <v>0</v>
      </c>
      <c r="E113" s="68">
        <v>0</v>
      </c>
      <c r="F113" s="68">
        <v>0</v>
      </c>
      <c r="G113" s="68">
        <v>0</v>
      </c>
      <c r="H113" s="68">
        <v>0</v>
      </c>
      <c r="I113" s="68">
        <v>0</v>
      </c>
      <c r="J113" s="68">
        <v>0</v>
      </c>
    </row>
    <row r="114" spans="1:10">
      <c r="A114" s="60"/>
      <c r="B114" s="68"/>
      <c r="C114" s="68"/>
      <c r="D114" s="68"/>
      <c r="E114" s="68"/>
      <c r="F114" s="68"/>
      <c r="G114" s="68"/>
      <c r="H114" s="68"/>
      <c r="I114" s="69"/>
      <c r="J114" s="69"/>
    </row>
    <row r="115" spans="1:10" ht="17.25">
      <c r="A115" s="71" t="s">
        <v>211</v>
      </c>
      <c r="B115" s="67">
        <f>+B116+B129+B133+B138+B146+B150</f>
        <v>2930063.7347972756</v>
      </c>
      <c r="C115" s="67">
        <f t="shared" ref="C115:J115" si="21">+C116+C129+C133+C138+C146+C150</f>
        <v>36950</v>
      </c>
      <c r="D115" s="67">
        <f t="shared" si="21"/>
        <v>1854207.6119195137</v>
      </c>
      <c r="E115" s="67">
        <f t="shared" si="21"/>
        <v>363919.67721335468</v>
      </c>
      <c r="F115" s="67">
        <f t="shared" si="21"/>
        <v>1029390.950477564</v>
      </c>
      <c r="G115" s="67">
        <f t="shared" si="21"/>
        <v>977746.13734898507</v>
      </c>
      <c r="H115" s="67">
        <f t="shared" si="21"/>
        <v>133060.55082126072</v>
      </c>
      <c r="I115" s="67">
        <f t="shared" si="21"/>
        <v>598613.06410256412</v>
      </c>
      <c r="J115" s="67">
        <f t="shared" si="21"/>
        <v>77460.048076923078</v>
      </c>
    </row>
    <row r="116" spans="1:10">
      <c r="A116" s="72" t="s">
        <v>94</v>
      </c>
      <c r="B116" s="67">
        <f>+SUM(B117:B128)</f>
        <v>2442179.114797276</v>
      </c>
      <c r="C116" s="67">
        <f t="shared" ref="C116:J116" si="22">+SUM(C117:C128)</f>
        <v>36950</v>
      </c>
      <c r="D116" s="67">
        <f t="shared" si="22"/>
        <v>1515135.6319195139</v>
      </c>
      <c r="E116" s="67">
        <f t="shared" si="22"/>
        <v>317912.35721335473</v>
      </c>
      <c r="F116" s="67">
        <f t="shared" si="22"/>
        <v>878362.40547756408</v>
      </c>
      <c r="G116" s="67">
        <f t="shared" si="22"/>
        <v>714084.18234898499</v>
      </c>
      <c r="H116" s="67">
        <f t="shared" si="22"/>
        <v>85133.660821260695</v>
      </c>
      <c r="I116" s="67">
        <f t="shared" si="22"/>
        <v>408126.06410256412</v>
      </c>
      <c r="J116" s="67">
        <f t="shared" si="22"/>
        <v>77460.048076923078</v>
      </c>
    </row>
    <row r="117" spans="1:10">
      <c r="A117" s="61" t="s">
        <v>95</v>
      </c>
      <c r="B117" s="68">
        <v>921303</v>
      </c>
      <c r="C117" s="68">
        <v>15000</v>
      </c>
      <c r="D117" s="68">
        <v>588068</v>
      </c>
      <c r="E117" s="68">
        <v>94700</v>
      </c>
      <c r="F117" s="68">
        <v>339403</v>
      </c>
      <c r="G117" s="68">
        <v>271858</v>
      </c>
      <c r="H117" s="68">
        <v>17400</v>
      </c>
      <c r="I117" s="68">
        <v>178435</v>
      </c>
      <c r="J117" s="68">
        <v>28250</v>
      </c>
    </row>
    <row r="118" spans="1:10">
      <c r="A118" s="61" t="s">
        <v>96</v>
      </c>
      <c r="B118" s="68">
        <v>128846</v>
      </c>
      <c r="C118" s="68">
        <v>2500</v>
      </c>
      <c r="D118" s="68">
        <v>87776.6</v>
      </c>
      <c r="E118" s="68">
        <v>16934.400000000001</v>
      </c>
      <c r="F118" s="68">
        <v>50348</v>
      </c>
      <c r="G118" s="68">
        <v>46954</v>
      </c>
      <c r="H118" s="68">
        <v>2620</v>
      </c>
      <c r="I118" s="68">
        <v>25669</v>
      </c>
      <c r="J118" s="68">
        <v>4200</v>
      </c>
    </row>
    <row r="119" spans="1:10">
      <c r="A119" s="61" t="s">
        <v>97</v>
      </c>
      <c r="B119" s="68">
        <v>31500</v>
      </c>
      <c r="C119" s="68">
        <v>0</v>
      </c>
      <c r="D119" s="68">
        <v>1500</v>
      </c>
      <c r="E119" s="68">
        <v>2500</v>
      </c>
      <c r="F119" s="68">
        <v>8758</v>
      </c>
      <c r="G119" s="68">
        <v>3000</v>
      </c>
      <c r="H119" s="68">
        <v>0</v>
      </c>
      <c r="I119" s="68">
        <v>0</v>
      </c>
      <c r="J119" s="68">
        <v>0</v>
      </c>
    </row>
    <row r="120" spans="1:10">
      <c r="A120" s="61" t="s">
        <v>98</v>
      </c>
      <c r="B120" s="68">
        <v>305272</v>
      </c>
      <c r="C120" s="68">
        <v>4000</v>
      </c>
      <c r="D120" s="68">
        <v>205728.4</v>
      </c>
      <c r="E120" s="68">
        <v>32544.6</v>
      </c>
      <c r="F120" s="68">
        <v>117029</v>
      </c>
      <c r="G120" s="68">
        <v>102081</v>
      </c>
      <c r="H120" s="68">
        <v>5680</v>
      </c>
      <c r="I120" s="68">
        <v>70098</v>
      </c>
      <c r="J120" s="68">
        <v>11300</v>
      </c>
    </row>
    <row r="121" spans="1:10">
      <c r="A121" s="61" t="s">
        <v>99</v>
      </c>
      <c r="B121" s="68">
        <v>80431</v>
      </c>
      <c r="C121" s="68">
        <v>0</v>
      </c>
      <c r="D121" s="68">
        <v>45458</v>
      </c>
      <c r="E121" s="68">
        <v>4100</v>
      </c>
      <c r="F121" s="68">
        <v>27416</v>
      </c>
      <c r="G121" s="68">
        <v>26824</v>
      </c>
      <c r="H121" s="68">
        <v>2400</v>
      </c>
      <c r="I121" s="68">
        <v>15360</v>
      </c>
      <c r="J121" s="68">
        <v>0</v>
      </c>
    </row>
    <row r="122" spans="1:10">
      <c r="A122" s="61" t="s">
        <v>100</v>
      </c>
      <c r="B122" s="68">
        <v>38897</v>
      </c>
      <c r="C122" s="68">
        <v>500</v>
      </c>
      <c r="D122" s="68">
        <v>18685</v>
      </c>
      <c r="E122" s="68">
        <v>2000</v>
      </c>
      <c r="F122" s="68">
        <v>8221</v>
      </c>
      <c r="G122" s="68">
        <v>12500</v>
      </c>
      <c r="H122" s="68">
        <v>1500</v>
      </c>
      <c r="I122" s="68">
        <v>2500</v>
      </c>
      <c r="J122" s="68">
        <v>0</v>
      </c>
    </row>
    <row r="123" spans="1:10">
      <c r="A123" s="61" t="s">
        <v>101</v>
      </c>
      <c r="B123" s="68">
        <v>518198</v>
      </c>
      <c r="C123" s="68">
        <v>13000</v>
      </c>
      <c r="D123" s="68">
        <v>291977.40000000002</v>
      </c>
      <c r="E123" s="68">
        <v>52820.6</v>
      </c>
      <c r="F123" s="68">
        <v>166805</v>
      </c>
      <c r="G123" s="68">
        <v>111298</v>
      </c>
      <c r="H123" s="68">
        <v>7400</v>
      </c>
      <c r="I123" s="68">
        <v>62769</v>
      </c>
      <c r="J123" s="68">
        <v>12750</v>
      </c>
    </row>
    <row r="124" spans="1:10">
      <c r="A124" s="61" t="s">
        <v>102</v>
      </c>
      <c r="B124" s="68">
        <v>107556.71915625001</v>
      </c>
      <c r="C124" s="68">
        <v>1949.9999999999998</v>
      </c>
      <c r="D124" s="68">
        <v>74658.494586180561</v>
      </c>
      <c r="E124" s="68">
        <v>14646.494290277777</v>
      </c>
      <c r="F124" s="68">
        <v>43454.504708333327</v>
      </c>
      <c r="G124" s="68">
        <v>35293.217528472225</v>
      </c>
      <c r="H124" s="68">
        <v>2286.8210263888886</v>
      </c>
      <c r="I124" s="68">
        <v>18806.666666666668</v>
      </c>
      <c r="J124" s="68">
        <v>5646.875</v>
      </c>
    </row>
    <row r="125" spans="1:10">
      <c r="A125" s="61" t="s">
        <v>103</v>
      </c>
      <c r="B125" s="68">
        <v>4821.25</v>
      </c>
      <c r="C125" s="68">
        <v>0</v>
      </c>
      <c r="D125" s="68">
        <v>6992</v>
      </c>
      <c r="E125" s="68">
        <v>1866.75</v>
      </c>
      <c r="F125" s="68">
        <v>2066.25</v>
      </c>
      <c r="G125" s="68">
        <v>3752.5</v>
      </c>
      <c r="H125" s="68">
        <v>0</v>
      </c>
      <c r="I125" s="68">
        <v>807.5</v>
      </c>
      <c r="J125" s="68">
        <v>0</v>
      </c>
    </row>
    <row r="126" spans="1:10">
      <c r="A126" s="61" t="s">
        <v>104</v>
      </c>
      <c r="B126" s="68">
        <v>190713.12</v>
      </c>
      <c r="C126" s="68">
        <v>0</v>
      </c>
      <c r="D126" s="68">
        <v>123620.90399999999</v>
      </c>
      <c r="E126" s="68">
        <v>82413.936000000002</v>
      </c>
      <c r="F126" s="68">
        <v>71517.42</v>
      </c>
      <c r="G126" s="68">
        <v>65590.45199999999</v>
      </c>
      <c r="H126" s="68">
        <v>43726.968000000001</v>
      </c>
      <c r="I126" s="68">
        <v>15120</v>
      </c>
      <c r="J126" s="68">
        <v>10080</v>
      </c>
    </row>
    <row r="127" spans="1:10">
      <c r="A127" s="61" t="s">
        <v>105</v>
      </c>
      <c r="B127" s="68">
        <v>54057.692307692305</v>
      </c>
      <c r="C127" s="68">
        <v>0</v>
      </c>
      <c r="D127" s="68">
        <v>28437.499999999996</v>
      </c>
      <c r="E127" s="68">
        <v>5110.5769230769229</v>
      </c>
      <c r="F127" s="68">
        <v>18769.230769230773</v>
      </c>
      <c r="G127" s="68">
        <v>14716.346153846156</v>
      </c>
      <c r="H127" s="68">
        <v>836.53846153846155</v>
      </c>
      <c r="I127" s="68">
        <v>7644.2307692307695</v>
      </c>
      <c r="J127" s="68">
        <v>1983.1730769230771</v>
      </c>
    </row>
    <row r="128" spans="1:10">
      <c r="A128" s="61" t="s">
        <v>226</v>
      </c>
      <c r="B128" s="68">
        <v>60583.333333333343</v>
      </c>
      <c r="C128" s="68">
        <v>0</v>
      </c>
      <c r="D128" s="68">
        <v>42233.333333333328</v>
      </c>
      <c r="E128" s="68">
        <v>8274.9999999999982</v>
      </c>
      <c r="F128" s="68">
        <v>24574.999999999996</v>
      </c>
      <c r="G128" s="68">
        <v>20216.666666666664</v>
      </c>
      <c r="H128" s="68">
        <v>1283.3333333333333</v>
      </c>
      <c r="I128" s="68">
        <v>10916.666666666664</v>
      </c>
      <c r="J128" s="68">
        <v>3250</v>
      </c>
    </row>
    <row r="129" spans="1:10">
      <c r="A129" s="72" t="s">
        <v>106</v>
      </c>
      <c r="B129" s="67">
        <f>+SUM(B130:B132)</f>
        <v>37711.800000000003</v>
      </c>
      <c r="C129" s="67">
        <f t="shared" ref="C129:J129" si="23">+SUM(C130:C132)</f>
        <v>0</v>
      </c>
      <c r="D129" s="67">
        <f t="shared" si="23"/>
        <v>0</v>
      </c>
      <c r="E129" s="67">
        <f t="shared" si="23"/>
        <v>0</v>
      </c>
      <c r="F129" s="67">
        <f t="shared" si="23"/>
        <v>0</v>
      </c>
      <c r="G129" s="67">
        <f t="shared" si="23"/>
        <v>0</v>
      </c>
      <c r="H129" s="67">
        <f t="shared" si="23"/>
        <v>0</v>
      </c>
      <c r="I129" s="67">
        <f t="shared" si="23"/>
        <v>0</v>
      </c>
      <c r="J129" s="67">
        <f t="shared" si="23"/>
        <v>0</v>
      </c>
    </row>
    <row r="130" spans="1:10">
      <c r="A130" s="61" t="s">
        <v>107</v>
      </c>
      <c r="B130" s="68">
        <v>37711.800000000003</v>
      </c>
      <c r="C130" s="68">
        <v>0</v>
      </c>
      <c r="D130" s="68">
        <v>0</v>
      </c>
      <c r="E130" s="68">
        <v>0</v>
      </c>
      <c r="F130" s="68">
        <v>0</v>
      </c>
      <c r="G130" s="68">
        <v>0</v>
      </c>
      <c r="H130" s="68">
        <v>0</v>
      </c>
      <c r="I130" s="68">
        <v>0</v>
      </c>
      <c r="J130" s="68">
        <v>0</v>
      </c>
    </row>
    <row r="131" spans="1:10">
      <c r="A131" s="61" t="s">
        <v>108</v>
      </c>
      <c r="B131" s="68">
        <v>0</v>
      </c>
      <c r="C131" s="68">
        <v>0</v>
      </c>
      <c r="D131" s="68">
        <v>0</v>
      </c>
      <c r="E131" s="68">
        <v>0</v>
      </c>
      <c r="F131" s="68">
        <v>0</v>
      </c>
      <c r="G131" s="68">
        <v>0</v>
      </c>
      <c r="H131" s="68">
        <v>0</v>
      </c>
      <c r="I131" s="68">
        <v>0</v>
      </c>
      <c r="J131" s="68">
        <v>0</v>
      </c>
    </row>
    <row r="132" spans="1:10">
      <c r="A132" s="61" t="s">
        <v>109</v>
      </c>
      <c r="B132" s="68">
        <v>0</v>
      </c>
      <c r="C132" s="68">
        <v>0</v>
      </c>
      <c r="D132" s="68">
        <v>0</v>
      </c>
      <c r="E132" s="68">
        <v>0</v>
      </c>
      <c r="F132" s="68">
        <v>0</v>
      </c>
      <c r="G132" s="68">
        <v>0</v>
      </c>
      <c r="H132" s="68">
        <v>0</v>
      </c>
      <c r="I132" s="68">
        <v>0</v>
      </c>
      <c r="J132" s="68">
        <v>0</v>
      </c>
    </row>
    <row r="133" spans="1:10">
      <c r="A133" s="72" t="s">
        <v>110</v>
      </c>
      <c r="B133" s="67">
        <f>+SUM(B134:B137)</f>
        <v>189304.81999999998</v>
      </c>
      <c r="C133" s="67">
        <f t="shared" ref="C133:J133" si="24">+SUM(C134:C137)</f>
        <v>0</v>
      </c>
      <c r="D133" s="67">
        <f t="shared" si="24"/>
        <v>67679.88</v>
      </c>
      <c r="E133" s="67">
        <f t="shared" si="24"/>
        <v>2233.92</v>
      </c>
      <c r="F133" s="67">
        <f t="shared" si="24"/>
        <v>26510.720000000001</v>
      </c>
      <c r="G133" s="67">
        <f t="shared" si="24"/>
        <v>115609.06</v>
      </c>
      <c r="H133" s="67">
        <f t="shared" si="24"/>
        <v>1116.96</v>
      </c>
      <c r="I133" s="67">
        <f t="shared" si="24"/>
        <v>7720</v>
      </c>
      <c r="J133" s="67">
        <f t="shared" si="24"/>
        <v>0</v>
      </c>
    </row>
    <row r="134" spans="1:10">
      <c r="A134" s="61" t="s">
        <v>111</v>
      </c>
      <c r="B134" s="68">
        <v>0</v>
      </c>
      <c r="C134" s="68">
        <v>0</v>
      </c>
      <c r="D134" s="68">
        <v>0</v>
      </c>
      <c r="E134" s="68">
        <v>0</v>
      </c>
      <c r="F134" s="68">
        <v>0</v>
      </c>
      <c r="G134" s="68">
        <v>0</v>
      </c>
      <c r="H134" s="68">
        <v>0</v>
      </c>
      <c r="I134" s="68">
        <v>0</v>
      </c>
      <c r="J134" s="68">
        <v>0</v>
      </c>
    </row>
    <row r="135" spans="1:10">
      <c r="A135" s="61" t="s">
        <v>112</v>
      </c>
      <c r="B135" s="68">
        <v>189304.81999999998</v>
      </c>
      <c r="C135" s="68">
        <v>0</v>
      </c>
      <c r="D135" s="68">
        <v>67679.88</v>
      </c>
      <c r="E135" s="68">
        <v>2233.92</v>
      </c>
      <c r="F135" s="68">
        <v>26510.720000000001</v>
      </c>
      <c r="G135" s="68">
        <v>115609.06</v>
      </c>
      <c r="H135" s="68">
        <v>1116.96</v>
      </c>
      <c r="I135" s="68">
        <v>7720</v>
      </c>
      <c r="J135" s="68">
        <v>0</v>
      </c>
    </row>
    <row r="136" spans="1:10">
      <c r="A136" s="61" t="s">
        <v>113</v>
      </c>
      <c r="B136" s="68">
        <v>0</v>
      </c>
      <c r="C136" s="68">
        <v>0</v>
      </c>
      <c r="D136" s="68">
        <v>0</v>
      </c>
      <c r="E136" s="68">
        <v>0</v>
      </c>
      <c r="F136" s="68">
        <v>0</v>
      </c>
      <c r="G136" s="68">
        <v>0</v>
      </c>
      <c r="H136" s="68">
        <v>0</v>
      </c>
      <c r="I136" s="68">
        <v>0</v>
      </c>
      <c r="J136" s="68">
        <v>0</v>
      </c>
    </row>
    <row r="137" spans="1:10">
      <c r="A137" s="61" t="s">
        <v>114</v>
      </c>
      <c r="B137" s="68">
        <v>0</v>
      </c>
      <c r="C137" s="68">
        <v>0</v>
      </c>
      <c r="D137" s="68">
        <v>0</v>
      </c>
      <c r="E137" s="68">
        <v>0</v>
      </c>
      <c r="F137" s="68">
        <v>0</v>
      </c>
      <c r="G137" s="68">
        <v>0</v>
      </c>
      <c r="H137" s="68">
        <v>0</v>
      </c>
      <c r="I137" s="68">
        <v>0</v>
      </c>
      <c r="J137" s="68">
        <v>0</v>
      </c>
    </row>
    <row r="138" spans="1:10">
      <c r="A138" s="72" t="s">
        <v>115</v>
      </c>
      <c r="B138" s="67">
        <f>+SUM(B139:B145)</f>
        <v>33504</v>
      </c>
      <c r="C138" s="67">
        <f t="shared" ref="C138:J138" si="25">+SUM(C139:C145)</f>
        <v>0</v>
      </c>
      <c r="D138" s="67">
        <f t="shared" si="25"/>
        <v>94130.7</v>
      </c>
      <c r="E138" s="67">
        <f t="shared" si="25"/>
        <v>7471.8</v>
      </c>
      <c r="F138" s="67">
        <f t="shared" si="25"/>
        <v>54266.824999999997</v>
      </c>
      <c r="G138" s="67">
        <f t="shared" si="25"/>
        <v>32740.094999999998</v>
      </c>
      <c r="H138" s="67">
        <f t="shared" si="25"/>
        <v>21426.730000000003</v>
      </c>
      <c r="I138" s="67">
        <f t="shared" si="25"/>
        <v>47011</v>
      </c>
      <c r="J138" s="67">
        <f t="shared" si="25"/>
        <v>0</v>
      </c>
    </row>
    <row r="139" spans="1:10">
      <c r="A139" s="61" t="s">
        <v>116</v>
      </c>
      <c r="B139" s="68">
        <v>24906</v>
      </c>
      <c r="C139" s="68">
        <v>0</v>
      </c>
      <c r="D139" s="68">
        <v>11207.699999999999</v>
      </c>
      <c r="E139" s="68">
        <v>7471.8</v>
      </c>
      <c r="F139" s="68">
        <v>9339.75</v>
      </c>
      <c r="G139" s="68">
        <v>5603.8499999999995</v>
      </c>
      <c r="H139" s="68">
        <v>3735.9</v>
      </c>
      <c r="I139" s="68">
        <v>0</v>
      </c>
      <c r="J139" s="68">
        <v>0</v>
      </c>
    </row>
    <row r="140" spans="1:10">
      <c r="A140" s="61" t="s">
        <v>117</v>
      </c>
      <c r="B140" s="68">
        <v>8598</v>
      </c>
      <c r="C140" s="68">
        <v>0</v>
      </c>
      <c r="D140" s="68">
        <v>30571</v>
      </c>
      <c r="E140" s="68">
        <v>0</v>
      </c>
      <c r="F140" s="68">
        <v>11702.5</v>
      </c>
      <c r="G140" s="68">
        <v>7201.5</v>
      </c>
      <c r="H140" s="68">
        <v>4401</v>
      </c>
      <c r="I140" s="68">
        <v>17011</v>
      </c>
      <c r="J140" s="68">
        <v>0</v>
      </c>
    </row>
    <row r="141" spans="1:10">
      <c r="A141" s="61" t="s">
        <v>227</v>
      </c>
      <c r="B141" s="68">
        <v>0</v>
      </c>
      <c r="C141" s="68">
        <v>0</v>
      </c>
      <c r="D141" s="68">
        <v>49652</v>
      </c>
      <c r="E141" s="68">
        <v>0</v>
      </c>
      <c r="F141" s="68">
        <v>24750</v>
      </c>
      <c r="G141" s="68">
        <v>14850</v>
      </c>
      <c r="H141" s="68">
        <v>9900</v>
      </c>
      <c r="I141" s="68">
        <v>30000</v>
      </c>
      <c r="J141" s="68">
        <v>0</v>
      </c>
    </row>
    <row r="142" spans="1:10">
      <c r="A142" s="61" t="s">
        <v>228</v>
      </c>
      <c r="B142" s="68">
        <v>0</v>
      </c>
      <c r="C142" s="68">
        <v>0</v>
      </c>
      <c r="D142" s="68">
        <v>0</v>
      </c>
      <c r="E142" s="68">
        <v>0</v>
      </c>
      <c r="F142" s="68">
        <v>8474.5750000000007</v>
      </c>
      <c r="G142" s="68">
        <v>5084.7449999999999</v>
      </c>
      <c r="H142" s="68">
        <v>3389.8300000000004</v>
      </c>
      <c r="I142" s="68">
        <v>0</v>
      </c>
      <c r="J142" s="68">
        <v>0</v>
      </c>
    </row>
    <row r="143" spans="1:10">
      <c r="A143" s="61" t="s">
        <v>118</v>
      </c>
      <c r="B143" s="68">
        <v>0</v>
      </c>
      <c r="C143" s="68">
        <v>0</v>
      </c>
      <c r="D143" s="68">
        <v>0</v>
      </c>
      <c r="E143" s="68">
        <v>0</v>
      </c>
      <c r="F143" s="68">
        <v>0</v>
      </c>
      <c r="G143" s="68">
        <v>0</v>
      </c>
      <c r="H143" s="68">
        <v>0</v>
      </c>
      <c r="I143" s="68">
        <v>0</v>
      </c>
      <c r="J143" s="68">
        <v>0</v>
      </c>
    </row>
    <row r="144" spans="1:10">
      <c r="A144" s="61" t="s">
        <v>119</v>
      </c>
      <c r="B144" s="68">
        <v>0</v>
      </c>
      <c r="C144" s="68">
        <v>0</v>
      </c>
      <c r="D144" s="68">
        <v>0</v>
      </c>
      <c r="E144" s="68">
        <v>0</v>
      </c>
      <c r="F144" s="68">
        <v>0</v>
      </c>
      <c r="G144" s="68">
        <v>0</v>
      </c>
      <c r="H144" s="68">
        <v>0</v>
      </c>
      <c r="I144" s="68">
        <v>0</v>
      </c>
      <c r="J144" s="68">
        <v>0</v>
      </c>
    </row>
    <row r="145" spans="1:10">
      <c r="A145" s="61" t="s">
        <v>120</v>
      </c>
      <c r="B145" s="68">
        <v>0</v>
      </c>
      <c r="C145" s="68">
        <v>0</v>
      </c>
      <c r="D145" s="68">
        <v>2700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</row>
    <row r="146" spans="1:10">
      <c r="A146" s="72" t="s">
        <v>121</v>
      </c>
      <c r="B146" s="67">
        <f>+SUM(B147:B149)</f>
        <v>74914</v>
      </c>
      <c r="C146" s="67">
        <f t="shared" ref="C146:J146" si="26">+SUM(C147:C149)</f>
        <v>0</v>
      </c>
      <c r="D146" s="67">
        <f t="shared" si="26"/>
        <v>77887</v>
      </c>
      <c r="E146" s="67">
        <f t="shared" si="26"/>
        <v>0</v>
      </c>
      <c r="F146" s="67">
        <f t="shared" si="26"/>
        <v>6793</v>
      </c>
      <c r="G146" s="67">
        <f t="shared" si="26"/>
        <v>77238</v>
      </c>
      <c r="H146" s="67">
        <f t="shared" si="26"/>
        <v>0</v>
      </c>
      <c r="I146" s="67">
        <f t="shared" si="26"/>
        <v>20202</v>
      </c>
      <c r="J146" s="67">
        <f t="shared" si="26"/>
        <v>0</v>
      </c>
    </row>
    <row r="147" spans="1:10">
      <c r="A147" s="61" t="s">
        <v>122</v>
      </c>
      <c r="B147" s="68">
        <v>0</v>
      </c>
      <c r="C147" s="68">
        <v>0</v>
      </c>
      <c r="D147" s="68">
        <v>0</v>
      </c>
      <c r="E147" s="68">
        <v>0</v>
      </c>
      <c r="F147" s="68">
        <v>0</v>
      </c>
      <c r="G147" s="68">
        <v>0</v>
      </c>
      <c r="H147" s="68">
        <v>0</v>
      </c>
      <c r="I147" s="68">
        <v>0</v>
      </c>
      <c r="J147" s="68">
        <v>0</v>
      </c>
    </row>
    <row r="148" spans="1:10">
      <c r="A148" s="61" t="s">
        <v>123</v>
      </c>
      <c r="B148" s="68">
        <v>74914</v>
      </c>
      <c r="C148" s="68">
        <v>0</v>
      </c>
      <c r="D148" s="68">
        <v>77887</v>
      </c>
      <c r="E148" s="68">
        <v>0</v>
      </c>
      <c r="F148" s="68">
        <v>6793</v>
      </c>
      <c r="G148" s="68">
        <v>77238</v>
      </c>
      <c r="H148" s="68">
        <v>0</v>
      </c>
      <c r="I148" s="68">
        <v>20202</v>
      </c>
      <c r="J148" s="68">
        <v>0</v>
      </c>
    </row>
    <row r="149" spans="1:10">
      <c r="A149" s="61" t="s">
        <v>124</v>
      </c>
      <c r="B149" s="68">
        <v>0</v>
      </c>
      <c r="C149" s="68">
        <v>0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</row>
    <row r="150" spans="1:10">
      <c r="A150" s="72" t="s">
        <v>125</v>
      </c>
      <c r="B150" s="67">
        <f>+SUM(B151:B154)</f>
        <v>152450</v>
      </c>
      <c r="C150" s="67">
        <f t="shared" ref="C150:J150" si="27">+SUM(C151:C154)</f>
        <v>0</v>
      </c>
      <c r="D150" s="67">
        <f t="shared" si="27"/>
        <v>99374.399999999994</v>
      </c>
      <c r="E150" s="67">
        <f t="shared" si="27"/>
        <v>36301.599999999999</v>
      </c>
      <c r="F150" s="67">
        <f t="shared" si="27"/>
        <v>63458</v>
      </c>
      <c r="G150" s="67">
        <f t="shared" si="27"/>
        <v>38074.800000000003</v>
      </c>
      <c r="H150" s="67">
        <f t="shared" si="27"/>
        <v>25383.200000000001</v>
      </c>
      <c r="I150" s="67">
        <f t="shared" si="27"/>
        <v>115554</v>
      </c>
      <c r="J150" s="67">
        <f t="shared" si="27"/>
        <v>0</v>
      </c>
    </row>
    <row r="151" spans="1:10">
      <c r="A151" s="61" t="s">
        <v>126</v>
      </c>
      <c r="B151" s="68">
        <v>70928</v>
      </c>
      <c r="C151" s="68">
        <v>0</v>
      </c>
      <c r="D151" s="68">
        <v>54452.4</v>
      </c>
      <c r="E151" s="68">
        <v>36301.599999999999</v>
      </c>
      <c r="F151" s="68">
        <v>42677.5</v>
      </c>
      <c r="G151" s="68">
        <v>25606.5</v>
      </c>
      <c r="H151" s="68">
        <v>17071</v>
      </c>
      <c r="I151" s="68">
        <v>78293</v>
      </c>
      <c r="J151" s="68">
        <v>0</v>
      </c>
    </row>
    <row r="152" spans="1:10">
      <c r="A152" s="61" t="s">
        <v>229</v>
      </c>
      <c r="B152" s="68">
        <v>9922</v>
      </c>
      <c r="C152" s="68">
        <v>0</v>
      </c>
      <c r="D152" s="68">
        <v>9922</v>
      </c>
      <c r="E152" s="68">
        <v>0</v>
      </c>
      <c r="F152" s="68">
        <v>2480.5</v>
      </c>
      <c r="G152" s="68">
        <v>1488.3</v>
      </c>
      <c r="H152" s="68">
        <v>992.2</v>
      </c>
      <c r="I152" s="68">
        <v>4961</v>
      </c>
      <c r="J152" s="68">
        <v>0</v>
      </c>
    </row>
    <row r="153" spans="1:10">
      <c r="A153" s="61" t="s">
        <v>127</v>
      </c>
      <c r="B153" s="68">
        <v>71000</v>
      </c>
      <c r="C153" s="68">
        <v>0</v>
      </c>
      <c r="D153" s="68">
        <v>35000</v>
      </c>
      <c r="E153" s="68">
        <v>0</v>
      </c>
      <c r="F153" s="68">
        <v>17500</v>
      </c>
      <c r="G153" s="68">
        <v>10500</v>
      </c>
      <c r="H153" s="68">
        <v>7000</v>
      </c>
      <c r="I153" s="68">
        <v>32000</v>
      </c>
      <c r="J153" s="68">
        <v>0</v>
      </c>
    </row>
    <row r="154" spans="1:10">
      <c r="A154" s="61" t="s">
        <v>128</v>
      </c>
      <c r="B154" s="68">
        <v>600</v>
      </c>
      <c r="C154" s="68">
        <v>0</v>
      </c>
      <c r="D154" s="68">
        <v>0</v>
      </c>
      <c r="E154" s="68">
        <v>0</v>
      </c>
      <c r="F154" s="68">
        <v>800</v>
      </c>
      <c r="G154" s="68">
        <v>480</v>
      </c>
      <c r="H154" s="68">
        <v>320</v>
      </c>
      <c r="I154" s="68">
        <v>300</v>
      </c>
      <c r="J154" s="68">
        <v>0</v>
      </c>
    </row>
    <row r="155" spans="1:10">
      <c r="A155" s="60"/>
      <c r="B155" s="68"/>
      <c r="C155" s="68"/>
      <c r="D155" s="68"/>
      <c r="E155" s="68"/>
      <c r="F155" s="68"/>
      <c r="G155" s="68"/>
      <c r="H155" s="68"/>
      <c r="I155" s="69"/>
      <c r="J155" s="69"/>
    </row>
    <row r="156" spans="1:10" ht="17.25">
      <c r="A156" s="71" t="s">
        <v>129</v>
      </c>
      <c r="B156" s="67">
        <f>+B157+B164+B172+B178+B182+B187+B193+B205+B209+B214</f>
        <v>829961.5399999998</v>
      </c>
      <c r="C156" s="67">
        <f t="shared" ref="C156:J156" si="28">+C157+C164+C172+C178+C182+C187+C193+C205+C209+C214</f>
        <v>0</v>
      </c>
      <c r="D156" s="67">
        <f t="shared" si="28"/>
        <v>871634.89</v>
      </c>
      <c r="E156" s="67">
        <f t="shared" si="28"/>
        <v>410387.36</v>
      </c>
      <c r="F156" s="67">
        <f t="shared" si="28"/>
        <v>423298.17499999999</v>
      </c>
      <c r="G156" s="67">
        <f t="shared" si="28"/>
        <v>322316.49699999997</v>
      </c>
      <c r="H156" s="67">
        <f t="shared" si="28"/>
        <v>146258.67800000001</v>
      </c>
      <c r="I156" s="67">
        <f t="shared" si="28"/>
        <v>890433</v>
      </c>
      <c r="J156" s="67">
        <f t="shared" si="28"/>
        <v>146613.6</v>
      </c>
    </row>
    <row r="157" spans="1:10">
      <c r="A157" s="72" t="s">
        <v>130</v>
      </c>
      <c r="B157" s="67">
        <f>+SUM(B158:B162)</f>
        <v>73836.042000000001</v>
      </c>
      <c r="C157" s="67">
        <f t="shared" ref="C157:J157" si="29">+SUM(C158:C162)</f>
        <v>0</v>
      </c>
      <c r="D157" s="67">
        <f t="shared" si="29"/>
        <v>100613.91039999999</v>
      </c>
      <c r="E157" s="67">
        <f t="shared" si="29"/>
        <v>2643.0936000000002</v>
      </c>
      <c r="F157" s="67">
        <f t="shared" si="29"/>
        <v>86251.786999999997</v>
      </c>
      <c r="G157" s="67">
        <f t="shared" si="29"/>
        <v>23068.620199999998</v>
      </c>
      <c r="H157" s="67">
        <f t="shared" si="29"/>
        <v>2717.7467999999999</v>
      </c>
      <c r="I157" s="67">
        <f t="shared" si="29"/>
        <v>1800</v>
      </c>
      <c r="J157" s="67">
        <f t="shared" si="29"/>
        <v>0</v>
      </c>
    </row>
    <row r="158" spans="1:10">
      <c r="A158" s="61" t="s">
        <v>131</v>
      </c>
      <c r="B158" s="68">
        <v>0</v>
      </c>
      <c r="C158" s="68">
        <v>0</v>
      </c>
      <c r="D158" s="68">
        <v>0</v>
      </c>
      <c r="E158" s="68">
        <v>0</v>
      </c>
      <c r="F158" s="68">
        <v>64957.42</v>
      </c>
      <c r="G158" s="68">
        <v>0</v>
      </c>
      <c r="H158" s="68">
        <v>0</v>
      </c>
      <c r="I158" s="68">
        <v>0</v>
      </c>
      <c r="J158" s="68">
        <v>0</v>
      </c>
    </row>
    <row r="159" spans="1:10">
      <c r="A159" s="61" t="s">
        <v>132</v>
      </c>
      <c r="B159" s="68">
        <v>5550</v>
      </c>
      <c r="C159" s="68">
        <v>0</v>
      </c>
      <c r="D159" s="68">
        <v>5000</v>
      </c>
      <c r="E159" s="68">
        <v>0</v>
      </c>
      <c r="F159" s="68">
        <v>0</v>
      </c>
      <c r="G159" s="68">
        <v>0</v>
      </c>
      <c r="H159" s="68">
        <v>0</v>
      </c>
      <c r="I159" s="68">
        <v>0</v>
      </c>
      <c r="J159" s="68">
        <v>0</v>
      </c>
    </row>
    <row r="160" spans="1:10">
      <c r="A160" s="61" t="s">
        <v>133</v>
      </c>
      <c r="B160" s="68">
        <v>3090.73</v>
      </c>
      <c r="C160" s="68">
        <v>0</v>
      </c>
      <c r="D160" s="68">
        <v>681</v>
      </c>
      <c r="E160" s="68">
        <v>0</v>
      </c>
      <c r="F160" s="68">
        <v>340.5</v>
      </c>
      <c r="G160" s="68">
        <v>204.29999999999998</v>
      </c>
      <c r="H160" s="68">
        <v>136.20000000000002</v>
      </c>
      <c r="I160" s="68">
        <v>0</v>
      </c>
      <c r="J160" s="68">
        <v>0</v>
      </c>
    </row>
    <row r="161" spans="1:10">
      <c r="A161" s="61" t="s">
        <v>134</v>
      </c>
      <c r="B161" s="68">
        <v>9055.3119999999999</v>
      </c>
      <c r="C161" s="68">
        <v>0</v>
      </c>
      <c r="D161" s="68">
        <v>40431.640399999997</v>
      </c>
      <c r="E161" s="68">
        <v>2643.0936000000002</v>
      </c>
      <c r="F161" s="68">
        <v>3303.8669999999997</v>
      </c>
      <c r="G161" s="68">
        <v>20824.320199999998</v>
      </c>
      <c r="H161" s="68">
        <v>1321.5468000000001</v>
      </c>
      <c r="I161" s="68">
        <v>0</v>
      </c>
      <c r="J161" s="68">
        <v>0</v>
      </c>
    </row>
    <row r="162" spans="1:10">
      <c r="A162" s="61" t="s">
        <v>135</v>
      </c>
      <c r="B162" s="68">
        <v>56140</v>
      </c>
      <c r="C162" s="68">
        <v>0</v>
      </c>
      <c r="D162" s="68">
        <v>54501.27</v>
      </c>
      <c r="E162" s="68">
        <v>0</v>
      </c>
      <c r="F162" s="68">
        <v>17650</v>
      </c>
      <c r="G162" s="68">
        <v>2040</v>
      </c>
      <c r="H162" s="68">
        <v>1260</v>
      </c>
      <c r="I162" s="68">
        <v>1800</v>
      </c>
      <c r="J162" s="68">
        <v>0</v>
      </c>
    </row>
    <row r="163" spans="1:10">
      <c r="A163" s="60"/>
      <c r="B163" s="68"/>
      <c r="C163" s="68"/>
      <c r="D163" s="68"/>
      <c r="E163" s="68"/>
      <c r="F163" s="68"/>
      <c r="G163" s="68"/>
      <c r="H163" s="68"/>
      <c r="I163" s="69"/>
      <c r="J163" s="69"/>
    </row>
    <row r="164" spans="1:10">
      <c r="A164" s="72" t="s">
        <v>136</v>
      </c>
      <c r="B164" s="67">
        <f>+SUM(B165:B171)</f>
        <v>36936.229999999996</v>
      </c>
      <c r="C164" s="67">
        <f t="shared" ref="C164:J164" si="30">+SUM(C165:C171)</f>
        <v>0</v>
      </c>
      <c r="D164" s="67">
        <f t="shared" si="30"/>
        <v>118368.575</v>
      </c>
      <c r="E164" s="67">
        <f t="shared" si="30"/>
        <v>9319.69</v>
      </c>
      <c r="F164" s="67">
        <f t="shared" si="30"/>
        <v>7952.3774999999996</v>
      </c>
      <c r="G164" s="67">
        <f t="shared" si="30"/>
        <v>27202.246500000001</v>
      </c>
      <c r="H164" s="67">
        <f t="shared" si="30"/>
        <v>3180.951</v>
      </c>
      <c r="I164" s="67">
        <f t="shared" si="30"/>
        <v>91696.91</v>
      </c>
      <c r="J164" s="67">
        <f t="shared" si="30"/>
        <v>0</v>
      </c>
    </row>
    <row r="165" spans="1:10">
      <c r="A165" s="61" t="s">
        <v>137</v>
      </c>
      <c r="B165" s="68">
        <v>35920.6</v>
      </c>
      <c r="C165" s="68">
        <v>0</v>
      </c>
      <c r="D165" s="68">
        <v>13979.535</v>
      </c>
      <c r="E165" s="68">
        <v>9319.69</v>
      </c>
      <c r="F165" s="68">
        <v>7952.3774999999996</v>
      </c>
      <c r="G165" s="68">
        <v>7263.2564999999995</v>
      </c>
      <c r="H165" s="68">
        <v>3180.951</v>
      </c>
      <c r="I165" s="68">
        <v>0</v>
      </c>
      <c r="J165" s="68">
        <v>0</v>
      </c>
    </row>
    <row r="166" spans="1:10">
      <c r="A166" s="61" t="s">
        <v>138</v>
      </c>
      <c r="B166" s="68">
        <v>0</v>
      </c>
      <c r="C166" s="68">
        <v>0</v>
      </c>
      <c r="D166" s="68">
        <f>33877.6+10577</f>
        <v>44454.6</v>
      </c>
      <c r="E166" s="68">
        <v>0</v>
      </c>
      <c r="F166" s="68">
        <v>0</v>
      </c>
      <c r="G166" s="68">
        <v>19368.990000000002</v>
      </c>
      <c r="H166" s="68">
        <v>0</v>
      </c>
      <c r="I166" s="68">
        <v>0</v>
      </c>
      <c r="J166" s="68">
        <v>0</v>
      </c>
    </row>
    <row r="167" spans="1:10">
      <c r="A167" s="61" t="s">
        <v>139</v>
      </c>
      <c r="B167" s="68">
        <v>0</v>
      </c>
      <c r="C167" s="68">
        <v>0</v>
      </c>
      <c r="D167" s="68">
        <v>0</v>
      </c>
      <c r="E167" s="68">
        <v>0</v>
      </c>
      <c r="F167" s="68">
        <v>0</v>
      </c>
      <c r="G167" s="68">
        <v>0</v>
      </c>
      <c r="H167" s="68">
        <v>0</v>
      </c>
      <c r="I167" s="68">
        <v>0</v>
      </c>
      <c r="J167" s="68">
        <v>0</v>
      </c>
    </row>
    <row r="168" spans="1:10">
      <c r="A168" s="61" t="s">
        <v>140</v>
      </c>
      <c r="B168" s="68">
        <v>0</v>
      </c>
      <c r="C168" s="68">
        <v>0</v>
      </c>
      <c r="D168" s="68">
        <v>59634.44</v>
      </c>
      <c r="E168" s="68">
        <v>0</v>
      </c>
      <c r="F168" s="68">
        <v>0</v>
      </c>
      <c r="G168" s="68">
        <v>570</v>
      </c>
      <c r="H168" s="68">
        <v>0</v>
      </c>
      <c r="I168" s="68">
        <v>91696.91</v>
      </c>
      <c r="J168" s="68">
        <v>0</v>
      </c>
    </row>
    <row r="169" spans="1:10">
      <c r="A169" s="61" t="s">
        <v>141</v>
      </c>
      <c r="B169" s="68">
        <v>0</v>
      </c>
      <c r="C169" s="68">
        <v>0</v>
      </c>
      <c r="D169" s="68">
        <v>0</v>
      </c>
      <c r="E169" s="68">
        <v>0</v>
      </c>
      <c r="F169" s="68">
        <v>0</v>
      </c>
      <c r="G169" s="68">
        <v>0</v>
      </c>
      <c r="H169" s="68">
        <v>0</v>
      </c>
      <c r="I169" s="68">
        <v>0</v>
      </c>
      <c r="J169" s="68">
        <v>0</v>
      </c>
    </row>
    <row r="170" spans="1:10">
      <c r="A170" s="61" t="s">
        <v>142</v>
      </c>
      <c r="B170" s="68">
        <v>1015.63</v>
      </c>
      <c r="C170" s="68">
        <v>0</v>
      </c>
      <c r="D170" s="68">
        <v>300</v>
      </c>
      <c r="E170" s="68">
        <v>0</v>
      </c>
      <c r="F170" s="68">
        <v>0</v>
      </c>
      <c r="G170" s="68">
        <v>0</v>
      </c>
      <c r="H170" s="68">
        <v>0</v>
      </c>
      <c r="I170" s="68">
        <v>0</v>
      </c>
      <c r="J170" s="68">
        <v>0</v>
      </c>
    </row>
    <row r="171" spans="1:10">
      <c r="A171" s="61" t="s">
        <v>143</v>
      </c>
      <c r="B171" s="68">
        <v>0</v>
      </c>
      <c r="C171" s="68">
        <v>0</v>
      </c>
      <c r="D171" s="68">
        <v>0</v>
      </c>
      <c r="E171" s="68">
        <v>0</v>
      </c>
      <c r="F171" s="68">
        <v>0</v>
      </c>
      <c r="G171" s="68">
        <v>0</v>
      </c>
      <c r="H171" s="68">
        <v>0</v>
      </c>
      <c r="I171" s="68">
        <v>0</v>
      </c>
      <c r="J171" s="68">
        <v>0</v>
      </c>
    </row>
    <row r="172" spans="1:10">
      <c r="A172" s="72" t="s">
        <v>144</v>
      </c>
      <c r="B172" s="67">
        <f>+SUM(B173:B177)</f>
        <v>53912.437999999995</v>
      </c>
      <c r="C172" s="67">
        <f t="shared" ref="C172:J172" si="31">+SUM(C173:C177)</f>
        <v>0</v>
      </c>
      <c r="D172" s="67">
        <f t="shared" si="31"/>
        <v>129191.4206</v>
      </c>
      <c r="E172" s="67">
        <f t="shared" si="31"/>
        <v>85340.280400000003</v>
      </c>
      <c r="F172" s="67">
        <f t="shared" si="31"/>
        <v>20440.8505</v>
      </c>
      <c r="G172" s="67">
        <f t="shared" si="31"/>
        <v>74322.510299999994</v>
      </c>
      <c r="H172" s="67">
        <f t="shared" si="31"/>
        <v>49548.340199999999</v>
      </c>
      <c r="I172" s="67">
        <f t="shared" si="31"/>
        <v>55000</v>
      </c>
      <c r="J172" s="67">
        <f t="shared" si="31"/>
        <v>0</v>
      </c>
    </row>
    <row r="173" spans="1:10">
      <c r="A173" s="61" t="s">
        <v>145</v>
      </c>
      <c r="B173" s="68">
        <v>20150</v>
      </c>
      <c r="C173" s="68">
        <v>0</v>
      </c>
      <c r="D173" s="68">
        <v>32700</v>
      </c>
      <c r="E173" s="68">
        <v>21800</v>
      </c>
      <c r="F173" s="68">
        <v>18000</v>
      </c>
      <c r="G173" s="68">
        <v>10800</v>
      </c>
      <c r="H173" s="68">
        <v>7200</v>
      </c>
      <c r="I173" s="68">
        <v>0</v>
      </c>
      <c r="J173" s="68">
        <v>0</v>
      </c>
    </row>
    <row r="174" spans="1:10">
      <c r="A174" s="61" t="s">
        <v>146</v>
      </c>
      <c r="B174" s="68">
        <v>0</v>
      </c>
      <c r="C174" s="68">
        <v>0</v>
      </c>
      <c r="D174" s="68">
        <v>0</v>
      </c>
      <c r="E174" s="68">
        <v>0</v>
      </c>
      <c r="F174" s="68">
        <v>0</v>
      </c>
      <c r="G174" s="68">
        <v>0</v>
      </c>
      <c r="H174" s="68">
        <v>0</v>
      </c>
      <c r="I174" s="68">
        <v>0</v>
      </c>
      <c r="J174" s="68">
        <v>0</v>
      </c>
    </row>
    <row r="175" spans="1:10">
      <c r="A175" s="61" t="s">
        <v>230</v>
      </c>
      <c r="B175" s="68">
        <v>0</v>
      </c>
      <c r="C175" s="68">
        <v>0</v>
      </c>
      <c r="D175" s="68">
        <v>86400</v>
      </c>
      <c r="E175" s="68">
        <v>57600</v>
      </c>
      <c r="F175" s="68">
        <v>0</v>
      </c>
      <c r="G175" s="68">
        <v>57600</v>
      </c>
      <c r="H175" s="68">
        <v>38400</v>
      </c>
      <c r="I175" s="68">
        <v>50000</v>
      </c>
      <c r="J175" s="68">
        <v>0</v>
      </c>
    </row>
    <row r="176" spans="1:10">
      <c r="A176" s="61" t="s">
        <v>231</v>
      </c>
      <c r="B176" s="68">
        <v>0</v>
      </c>
      <c r="C176" s="68">
        <v>0</v>
      </c>
      <c r="D176" s="68">
        <v>6690</v>
      </c>
      <c r="E176" s="68">
        <v>4460</v>
      </c>
      <c r="F176" s="68">
        <v>0</v>
      </c>
      <c r="G176" s="68">
        <v>4458</v>
      </c>
      <c r="H176" s="68">
        <v>2972</v>
      </c>
      <c r="I176" s="68">
        <v>5000</v>
      </c>
      <c r="J176" s="68">
        <v>0</v>
      </c>
    </row>
    <row r="177" spans="1:10">
      <c r="A177" s="61" t="s">
        <v>232</v>
      </c>
      <c r="B177" s="68">
        <v>33762.437999999995</v>
      </c>
      <c r="C177" s="68">
        <v>0</v>
      </c>
      <c r="D177" s="68">
        <v>3401.4206000000004</v>
      </c>
      <c r="E177" s="68">
        <v>1480.2804000000003</v>
      </c>
      <c r="F177" s="68">
        <v>2440.8505000000005</v>
      </c>
      <c r="G177" s="68">
        <v>1464.5103000000001</v>
      </c>
      <c r="H177" s="68">
        <v>976.34020000000021</v>
      </c>
      <c r="I177" s="68">
        <v>0</v>
      </c>
      <c r="J177" s="68">
        <v>0</v>
      </c>
    </row>
    <row r="178" spans="1:10">
      <c r="A178" s="72" t="s">
        <v>147</v>
      </c>
      <c r="B178" s="67">
        <f>+SUM(B179:B181)</f>
        <v>190878</v>
      </c>
      <c r="C178" s="67">
        <f t="shared" ref="C178:J178" si="32">+SUM(C179:C181)</f>
        <v>0</v>
      </c>
      <c r="D178" s="67">
        <f t="shared" si="32"/>
        <v>94974.3</v>
      </c>
      <c r="E178" s="67">
        <f t="shared" si="32"/>
        <v>63316.2</v>
      </c>
      <c r="F178" s="67">
        <f t="shared" si="32"/>
        <v>62857.5</v>
      </c>
      <c r="G178" s="67">
        <f t="shared" si="32"/>
        <v>37498.9</v>
      </c>
      <c r="H178" s="67">
        <f t="shared" si="32"/>
        <v>19630.599999999999</v>
      </c>
      <c r="I178" s="67">
        <f t="shared" si="32"/>
        <v>223009.4</v>
      </c>
      <c r="J178" s="67">
        <f t="shared" si="32"/>
        <v>145363.6</v>
      </c>
    </row>
    <row r="179" spans="1:10">
      <c r="A179" s="61" t="s">
        <v>148</v>
      </c>
      <c r="B179" s="68">
        <v>190878</v>
      </c>
      <c r="C179" s="68">
        <v>0</v>
      </c>
      <c r="D179" s="68">
        <v>87547.8</v>
      </c>
      <c r="E179" s="68">
        <v>58365.2</v>
      </c>
      <c r="F179" s="68">
        <v>48857.5</v>
      </c>
      <c r="G179" s="68">
        <v>25098.9</v>
      </c>
      <c r="H179" s="68">
        <v>14030.6</v>
      </c>
      <c r="I179" s="68">
        <v>4964</v>
      </c>
      <c r="J179" s="68">
        <v>0</v>
      </c>
    </row>
    <row r="180" spans="1:10">
      <c r="A180" s="61" t="s">
        <v>149</v>
      </c>
      <c r="B180" s="68">
        <v>0</v>
      </c>
      <c r="C180" s="68">
        <v>0</v>
      </c>
      <c r="D180" s="68">
        <v>7426.5</v>
      </c>
      <c r="E180" s="68">
        <v>4951</v>
      </c>
      <c r="F180" s="68">
        <v>0</v>
      </c>
      <c r="G180" s="68">
        <v>4000</v>
      </c>
      <c r="H180" s="68">
        <v>0</v>
      </c>
      <c r="I180" s="68">
        <v>218045.4</v>
      </c>
      <c r="J180" s="68">
        <v>145363.6</v>
      </c>
    </row>
    <row r="181" spans="1:10">
      <c r="A181" s="61" t="s">
        <v>150</v>
      </c>
      <c r="B181" s="68">
        <v>0</v>
      </c>
      <c r="C181" s="68">
        <v>0</v>
      </c>
      <c r="D181" s="68">
        <v>0</v>
      </c>
      <c r="E181" s="68">
        <v>0</v>
      </c>
      <c r="F181" s="68">
        <v>14000</v>
      </c>
      <c r="G181" s="68">
        <v>8400</v>
      </c>
      <c r="H181" s="68">
        <v>5600</v>
      </c>
      <c r="I181" s="68">
        <v>0</v>
      </c>
      <c r="J181" s="68">
        <v>0</v>
      </c>
    </row>
    <row r="182" spans="1:10">
      <c r="A182" s="72" t="s">
        <v>151</v>
      </c>
      <c r="B182" s="67">
        <f>+SUM(B183:B186)</f>
        <v>32115.332000000002</v>
      </c>
      <c r="C182" s="67">
        <f t="shared" ref="C182:J182" si="33">+SUM(C183:C186)</f>
        <v>0</v>
      </c>
      <c r="D182" s="67">
        <f t="shared" si="33"/>
        <v>34926.699399999998</v>
      </c>
      <c r="E182" s="67">
        <f t="shared" si="33"/>
        <v>9371.7995999999985</v>
      </c>
      <c r="F182" s="67">
        <f t="shared" si="33"/>
        <v>12114.2495</v>
      </c>
      <c r="G182" s="67">
        <f t="shared" si="33"/>
        <v>7268.5496999999996</v>
      </c>
      <c r="H182" s="67">
        <f t="shared" si="33"/>
        <v>4845.6997999999994</v>
      </c>
      <c r="I182" s="67">
        <f t="shared" si="33"/>
        <v>659</v>
      </c>
      <c r="J182" s="67">
        <f t="shared" si="33"/>
        <v>0</v>
      </c>
    </row>
    <row r="183" spans="1:10">
      <c r="A183" s="61" t="s">
        <v>152</v>
      </c>
      <c r="B183" s="68">
        <v>2030.5320000000002</v>
      </c>
      <c r="C183" s="68">
        <v>0</v>
      </c>
      <c r="D183" s="68">
        <v>913.73939999999993</v>
      </c>
      <c r="E183" s="68">
        <v>609.15959999999995</v>
      </c>
      <c r="F183" s="68">
        <v>761.44949999999994</v>
      </c>
      <c r="G183" s="68">
        <v>456.86969999999997</v>
      </c>
      <c r="H183" s="68">
        <v>304.57979999999998</v>
      </c>
      <c r="I183" s="68">
        <v>0</v>
      </c>
      <c r="J183" s="68">
        <v>0</v>
      </c>
    </row>
    <row r="184" spans="1:10">
      <c r="A184" s="61" t="s">
        <v>153</v>
      </c>
      <c r="B184" s="68">
        <v>24209.200000000001</v>
      </c>
      <c r="C184" s="68">
        <v>0</v>
      </c>
      <c r="D184" s="68">
        <v>31368.94</v>
      </c>
      <c r="E184" s="68">
        <v>6999.9599999999991</v>
      </c>
      <c r="F184" s="68">
        <v>9149.4499999999989</v>
      </c>
      <c r="G184" s="68">
        <v>5489.6699999999992</v>
      </c>
      <c r="H184" s="68">
        <v>3659.7799999999997</v>
      </c>
      <c r="I184" s="68">
        <v>659</v>
      </c>
      <c r="J184" s="68">
        <v>0</v>
      </c>
    </row>
    <row r="185" spans="1:10">
      <c r="A185" s="61" t="s">
        <v>154</v>
      </c>
      <c r="B185" s="68">
        <v>5875.6</v>
      </c>
      <c r="C185" s="68">
        <v>0</v>
      </c>
      <c r="D185" s="68">
        <v>2644.02</v>
      </c>
      <c r="E185" s="68">
        <v>1762.68</v>
      </c>
      <c r="F185" s="68">
        <v>2203.35</v>
      </c>
      <c r="G185" s="68">
        <v>1322.01</v>
      </c>
      <c r="H185" s="68">
        <v>881.34</v>
      </c>
      <c r="I185" s="68">
        <v>0</v>
      </c>
      <c r="J185" s="68">
        <v>0</v>
      </c>
    </row>
    <row r="186" spans="1:10">
      <c r="A186" s="61" t="s">
        <v>155</v>
      </c>
      <c r="B186" s="68">
        <v>0</v>
      </c>
      <c r="C186" s="68">
        <v>0</v>
      </c>
      <c r="D186" s="68">
        <v>0</v>
      </c>
      <c r="E186" s="68">
        <v>0</v>
      </c>
      <c r="F186" s="68">
        <v>0</v>
      </c>
      <c r="G186" s="68">
        <v>0</v>
      </c>
      <c r="H186" s="68">
        <v>0</v>
      </c>
      <c r="I186" s="68">
        <v>0</v>
      </c>
      <c r="J186" s="68">
        <v>0</v>
      </c>
    </row>
    <row r="187" spans="1:10">
      <c r="A187" s="72" t="s">
        <v>156</v>
      </c>
      <c r="B187" s="67">
        <f>+SUM(B188:B192)</f>
        <v>46332.800000000003</v>
      </c>
      <c r="C187" s="67">
        <f t="shared" ref="C187:J187" si="34">+SUM(C188:C192)</f>
        <v>0</v>
      </c>
      <c r="D187" s="67">
        <f t="shared" si="34"/>
        <v>15749.759999999998</v>
      </c>
      <c r="E187" s="67">
        <f t="shared" si="34"/>
        <v>2499.84</v>
      </c>
      <c r="F187" s="67">
        <f t="shared" si="34"/>
        <v>3124.7999999999997</v>
      </c>
      <c r="G187" s="67">
        <f t="shared" si="34"/>
        <v>1874.8799999999997</v>
      </c>
      <c r="H187" s="67">
        <f t="shared" si="34"/>
        <v>1249.92</v>
      </c>
      <c r="I187" s="67">
        <f t="shared" si="34"/>
        <v>1874.9999999999995</v>
      </c>
      <c r="J187" s="67">
        <f t="shared" si="34"/>
        <v>1250</v>
      </c>
    </row>
    <row r="188" spans="1:10">
      <c r="A188" s="61" t="s">
        <v>157</v>
      </c>
      <c r="B188" s="68">
        <v>8332.8000000000011</v>
      </c>
      <c r="C188" s="68">
        <v>0</v>
      </c>
      <c r="D188" s="68">
        <v>3749.7599999999993</v>
      </c>
      <c r="E188" s="68">
        <v>2499.84</v>
      </c>
      <c r="F188" s="68">
        <v>3124.7999999999997</v>
      </c>
      <c r="G188" s="68">
        <v>1874.8799999999997</v>
      </c>
      <c r="H188" s="68">
        <v>1249.92</v>
      </c>
      <c r="I188" s="68">
        <v>1874.9999999999995</v>
      </c>
      <c r="J188" s="68">
        <v>1250</v>
      </c>
    </row>
    <row r="189" spans="1:10">
      <c r="A189" s="61" t="s">
        <v>158</v>
      </c>
      <c r="B189" s="68">
        <v>18000</v>
      </c>
      <c r="C189" s="68">
        <v>0</v>
      </c>
      <c r="D189" s="68">
        <v>0</v>
      </c>
      <c r="E189" s="68">
        <v>0</v>
      </c>
      <c r="F189" s="68">
        <v>0</v>
      </c>
      <c r="G189" s="68">
        <v>0</v>
      </c>
      <c r="H189" s="68">
        <v>0</v>
      </c>
      <c r="I189" s="68">
        <v>0</v>
      </c>
      <c r="J189" s="68">
        <v>0</v>
      </c>
    </row>
    <row r="190" spans="1:10">
      <c r="A190" s="61" t="s">
        <v>159</v>
      </c>
      <c r="B190" s="68">
        <v>0</v>
      </c>
      <c r="C190" s="68">
        <v>0</v>
      </c>
      <c r="D190" s="68">
        <v>0</v>
      </c>
      <c r="E190" s="68">
        <v>0</v>
      </c>
      <c r="F190" s="68">
        <v>0</v>
      </c>
      <c r="G190" s="68">
        <v>0</v>
      </c>
      <c r="H190" s="68">
        <v>0</v>
      </c>
      <c r="I190" s="68">
        <v>0</v>
      </c>
      <c r="J190" s="68">
        <v>0</v>
      </c>
    </row>
    <row r="191" spans="1:10">
      <c r="A191" s="61" t="s">
        <v>160</v>
      </c>
      <c r="B191" s="68">
        <v>20000</v>
      </c>
      <c r="C191" s="68">
        <v>0</v>
      </c>
      <c r="D191" s="68">
        <v>12000</v>
      </c>
      <c r="E191" s="68">
        <v>0</v>
      </c>
      <c r="F191" s="68">
        <v>0</v>
      </c>
      <c r="G191" s="68">
        <v>0</v>
      </c>
      <c r="H191" s="68">
        <v>0</v>
      </c>
      <c r="I191" s="68">
        <v>0</v>
      </c>
      <c r="J191" s="68">
        <v>0</v>
      </c>
    </row>
    <row r="192" spans="1:10">
      <c r="A192" s="61" t="s">
        <v>161</v>
      </c>
      <c r="B192" s="68">
        <v>0</v>
      </c>
      <c r="C192" s="68">
        <v>0</v>
      </c>
      <c r="D192" s="68">
        <v>0</v>
      </c>
      <c r="E192" s="68">
        <v>0</v>
      </c>
      <c r="F192" s="68">
        <v>0</v>
      </c>
      <c r="G192" s="68">
        <v>0</v>
      </c>
      <c r="H192" s="68">
        <v>0</v>
      </c>
      <c r="I192" s="68">
        <v>0</v>
      </c>
      <c r="J192" s="68">
        <v>0</v>
      </c>
    </row>
    <row r="193" spans="1:10">
      <c r="A193" s="72" t="s">
        <v>162</v>
      </c>
      <c r="B193" s="67">
        <f>+SUM(B194:B204)</f>
        <v>71819.883999999976</v>
      </c>
      <c r="C193" s="67">
        <f t="shared" ref="C193:J193" si="35">+SUM(C194:C204)</f>
        <v>0</v>
      </c>
      <c r="D193" s="67">
        <f t="shared" si="35"/>
        <v>58175.0478</v>
      </c>
      <c r="E193" s="67">
        <f t="shared" si="35"/>
        <v>13451.005200000003</v>
      </c>
      <c r="F193" s="67">
        <f t="shared" si="35"/>
        <v>35276.796500000004</v>
      </c>
      <c r="G193" s="67">
        <f t="shared" si="35"/>
        <v>56558.501899999996</v>
      </c>
      <c r="H193" s="67">
        <f t="shared" si="35"/>
        <v>7437.8946000000005</v>
      </c>
      <c r="I193" s="67">
        <f t="shared" si="35"/>
        <v>60494.689999999995</v>
      </c>
      <c r="J193" s="67">
        <f t="shared" si="35"/>
        <v>0</v>
      </c>
    </row>
    <row r="194" spans="1:10">
      <c r="A194" s="61" t="s">
        <v>163</v>
      </c>
      <c r="B194" s="68">
        <v>11883</v>
      </c>
      <c r="C194" s="68">
        <v>0</v>
      </c>
      <c r="D194" s="68">
        <v>16684.2</v>
      </c>
      <c r="E194" s="68">
        <v>11122.800000000003</v>
      </c>
      <c r="F194" s="68">
        <v>6189</v>
      </c>
      <c r="G194" s="68">
        <v>3713.3999999999996</v>
      </c>
      <c r="H194" s="68">
        <v>2475.6000000000004</v>
      </c>
      <c r="I194" s="68">
        <v>11738</v>
      </c>
      <c r="J194" s="68">
        <v>0</v>
      </c>
    </row>
    <row r="195" spans="1:10">
      <c r="A195" s="61" t="s">
        <v>164</v>
      </c>
      <c r="B195" s="68">
        <v>939.2</v>
      </c>
      <c r="C195" s="68">
        <v>0</v>
      </c>
      <c r="D195" s="68">
        <v>422.64</v>
      </c>
      <c r="E195" s="68">
        <v>281.76</v>
      </c>
      <c r="F195" s="68">
        <v>352.2</v>
      </c>
      <c r="G195" s="68">
        <v>211.32</v>
      </c>
      <c r="H195" s="68">
        <v>140.88</v>
      </c>
      <c r="I195" s="68">
        <v>230</v>
      </c>
      <c r="J195" s="68">
        <v>0</v>
      </c>
    </row>
    <row r="196" spans="1:10">
      <c r="A196" s="61" t="s">
        <v>233</v>
      </c>
      <c r="B196" s="68">
        <v>0</v>
      </c>
      <c r="C196" s="68">
        <v>0</v>
      </c>
      <c r="D196" s="68">
        <v>0</v>
      </c>
      <c r="E196" s="68">
        <v>0</v>
      </c>
      <c r="F196" s="68">
        <v>6375</v>
      </c>
      <c r="G196" s="68">
        <v>3825</v>
      </c>
      <c r="H196" s="68">
        <v>2550</v>
      </c>
      <c r="I196" s="68">
        <v>2167</v>
      </c>
      <c r="J196" s="68">
        <v>0</v>
      </c>
    </row>
    <row r="197" spans="1:10">
      <c r="A197" s="61" t="s">
        <v>165</v>
      </c>
      <c r="B197" s="68">
        <v>0</v>
      </c>
      <c r="C197" s="68">
        <v>0</v>
      </c>
      <c r="D197" s="68">
        <v>0</v>
      </c>
      <c r="E197" s="68">
        <v>0</v>
      </c>
      <c r="F197" s="68">
        <v>0</v>
      </c>
      <c r="G197" s="68">
        <v>0</v>
      </c>
      <c r="H197" s="68">
        <v>0</v>
      </c>
      <c r="I197" s="68">
        <v>0</v>
      </c>
      <c r="J197" s="68">
        <v>0</v>
      </c>
    </row>
    <row r="198" spans="1:10">
      <c r="A198" s="61" t="s">
        <v>166</v>
      </c>
      <c r="B198" s="68">
        <v>39395</v>
      </c>
      <c r="C198" s="68">
        <v>0</v>
      </c>
      <c r="D198" s="68">
        <v>6438.7919999999995</v>
      </c>
      <c r="E198" s="68">
        <v>752.52800000000002</v>
      </c>
      <c r="F198" s="68">
        <v>19773.244999999999</v>
      </c>
      <c r="G198" s="68">
        <v>25481.370999999999</v>
      </c>
      <c r="H198" s="68">
        <v>1236.914</v>
      </c>
      <c r="I198" s="68">
        <v>38365</v>
      </c>
      <c r="J198" s="68">
        <v>0</v>
      </c>
    </row>
    <row r="199" spans="1:10">
      <c r="A199" s="61" t="s">
        <v>167</v>
      </c>
      <c r="B199" s="68">
        <v>18470.379999999997</v>
      </c>
      <c r="C199" s="68">
        <v>0</v>
      </c>
      <c r="D199" s="68">
        <v>21498.92</v>
      </c>
      <c r="E199" s="68">
        <v>1296</v>
      </c>
      <c r="F199" s="68">
        <v>2439.165</v>
      </c>
      <c r="G199" s="68">
        <v>19768.499</v>
      </c>
      <c r="H199" s="68">
        <v>975.66599999999994</v>
      </c>
      <c r="I199" s="68">
        <v>2698.31</v>
      </c>
      <c r="J199" s="68">
        <v>0</v>
      </c>
    </row>
    <row r="200" spans="1:10">
      <c r="A200" s="61" t="s">
        <v>168</v>
      </c>
      <c r="B200" s="68">
        <v>338.98</v>
      </c>
      <c r="C200" s="68">
        <v>0</v>
      </c>
      <c r="D200" s="68">
        <v>7182.68</v>
      </c>
      <c r="E200" s="68">
        <v>0</v>
      </c>
      <c r="F200" s="68">
        <v>150</v>
      </c>
      <c r="G200" s="68">
        <v>90</v>
      </c>
      <c r="H200" s="68">
        <v>60</v>
      </c>
      <c r="I200" s="68">
        <v>0</v>
      </c>
      <c r="J200" s="68">
        <v>0</v>
      </c>
    </row>
    <row r="201" spans="1:10">
      <c r="A201" s="61" t="s">
        <v>169</v>
      </c>
      <c r="B201" s="68">
        <v>800</v>
      </c>
      <c r="C201" s="68">
        <v>0</v>
      </c>
      <c r="D201" s="68">
        <v>4930</v>
      </c>
      <c r="E201" s="68">
        <v>0</v>
      </c>
      <c r="F201" s="68">
        <v>0</v>
      </c>
      <c r="G201" s="68">
        <v>3470</v>
      </c>
      <c r="H201" s="68">
        <v>0</v>
      </c>
      <c r="I201" s="68">
        <v>5296</v>
      </c>
      <c r="J201" s="68">
        <v>0</v>
      </c>
    </row>
    <row r="202" spans="1:10">
      <c r="A202" s="61" t="s">
        <v>170</v>
      </c>
      <c r="B202" s="68">
        <v>0</v>
      </c>
      <c r="C202" s="68">
        <v>0</v>
      </c>
      <c r="D202" s="68">
        <v>1020.3</v>
      </c>
      <c r="E202" s="68">
        <v>0</v>
      </c>
      <c r="F202" s="68">
        <v>0</v>
      </c>
      <c r="G202" s="68">
        <v>0</v>
      </c>
      <c r="H202" s="68">
        <v>0</v>
      </c>
      <c r="I202" s="68">
        <v>0</v>
      </c>
      <c r="J202" s="68">
        <v>0</v>
      </c>
    </row>
    <row r="203" spans="1:10">
      <c r="A203" s="61" t="s">
        <v>234</v>
      </c>
      <c r="B203" s="68">
        <v>4.7679999999999998</v>
      </c>
      <c r="C203" s="68">
        <v>0</v>
      </c>
      <c r="D203" s="68">
        <v>2.6655999999999995</v>
      </c>
      <c r="E203" s="68">
        <v>1.3504</v>
      </c>
      <c r="F203" s="68">
        <v>2.4779999999999998</v>
      </c>
      <c r="G203" s="68">
        <v>1.4867999999999999</v>
      </c>
      <c r="H203" s="68">
        <v>0.55119999999999991</v>
      </c>
      <c r="I203" s="68">
        <v>0.38</v>
      </c>
      <c r="J203" s="68">
        <v>0</v>
      </c>
    </row>
    <row r="204" spans="1:10">
      <c r="A204" s="61" t="s">
        <v>171</v>
      </c>
      <c r="B204" s="68">
        <v>-11.444000000000001</v>
      </c>
      <c r="C204" s="68">
        <v>0</v>
      </c>
      <c r="D204" s="68">
        <v>-5.1497999999999999</v>
      </c>
      <c r="E204" s="68">
        <v>-3.4332000000000003</v>
      </c>
      <c r="F204" s="68">
        <v>-4.2915000000000001</v>
      </c>
      <c r="G204" s="68">
        <v>-2.5749</v>
      </c>
      <c r="H204" s="68">
        <v>-1.7166000000000001</v>
      </c>
      <c r="I204" s="68">
        <v>0</v>
      </c>
      <c r="J204" s="68">
        <v>0</v>
      </c>
    </row>
    <row r="205" spans="1:10">
      <c r="A205" s="72" t="s">
        <v>172</v>
      </c>
      <c r="B205" s="67">
        <f>+SUM(B206:B208)</f>
        <v>158193.50399999999</v>
      </c>
      <c r="C205" s="67">
        <f t="shared" ref="C205:J205" si="36">+SUM(C206:C208)</f>
        <v>0</v>
      </c>
      <c r="D205" s="67">
        <f t="shared" si="36"/>
        <v>131776.17680000002</v>
      </c>
      <c r="E205" s="67">
        <f t="shared" si="36"/>
        <v>339.45119999999991</v>
      </c>
      <c r="F205" s="67">
        <f t="shared" si="36"/>
        <v>53217.313999999998</v>
      </c>
      <c r="G205" s="67">
        <f t="shared" si="36"/>
        <v>9284.7884000000013</v>
      </c>
      <c r="H205" s="67">
        <f t="shared" si="36"/>
        <v>822.52560000000005</v>
      </c>
      <c r="I205" s="67">
        <f t="shared" si="36"/>
        <v>10798</v>
      </c>
      <c r="J205" s="67">
        <f t="shared" si="36"/>
        <v>0</v>
      </c>
    </row>
    <row r="206" spans="1:10">
      <c r="A206" s="61" t="s">
        <v>173</v>
      </c>
      <c r="B206" s="68">
        <v>113954</v>
      </c>
      <c r="C206" s="68">
        <v>0</v>
      </c>
      <c r="D206" s="68">
        <v>0</v>
      </c>
      <c r="E206" s="68">
        <v>0</v>
      </c>
      <c r="F206" s="68">
        <v>49980</v>
      </c>
      <c r="G206" s="68">
        <v>0</v>
      </c>
      <c r="H206" s="68">
        <v>0</v>
      </c>
      <c r="I206" s="68">
        <v>0</v>
      </c>
      <c r="J206" s="68">
        <v>0</v>
      </c>
    </row>
    <row r="207" spans="1:10">
      <c r="A207" s="61" t="s">
        <v>174</v>
      </c>
      <c r="B207" s="68">
        <v>41629</v>
      </c>
      <c r="C207" s="68">
        <v>0</v>
      </c>
      <c r="D207" s="68">
        <v>9734</v>
      </c>
      <c r="E207" s="68">
        <v>0</v>
      </c>
      <c r="F207" s="68">
        <v>0</v>
      </c>
      <c r="G207" s="68">
        <v>0</v>
      </c>
      <c r="H207" s="68">
        <v>0</v>
      </c>
      <c r="I207" s="68">
        <v>7415</v>
      </c>
      <c r="J207" s="68">
        <v>0</v>
      </c>
    </row>
    <row r="208" spans="1:10">
      <c r="A208" s="61" t="s">
        <v>235</v>
      </c>
      <c r="B208" s="68">
        <v>2610.503999999999</v>
      </c>
      <c r="C208" s="68">
        <v>0</v>
      </c>
      <c r="D208" s="68">
        <v>122042.1768</v>
      </c>
      <c r="E208" s="68">
        <v>339.45119999999991</v>
      </c>
      <c r="F208" s="68">
        <v>3237.3139999999999</v>
      </c>
      <c r="G208" s="68">
        <v>9284.7884000000013</v>
      </c>
      <c r="H208" s="68">
        <v>822.52560000000005</v>
      </c>
      <c r="I208" s="68">
        <v>3383</v>
      </c>
      <c r="J208" s="68">
        <v>0</v>
      </c>
    </row>
    <row r="209" spans="1:10">
      <c r="A209" s="72" t="s">
        <v>175</v>
      </c>
      <c r="B209" s="67">
        <f>+SUM(B210:B213)</f>
        <v>160737.31</v>
      </c>
      <c r="C209" s="67">
        <f t="shared" ref="C209:J209" si="37">+SUM(C210:C213)</f>
        <v>0</v>
      </c>
      <c r="D209" s="67">
        <f t="shared" si="37"/>
        <v>186159</v>
      </c>
      <c r="E209" s="67">
        <f t="shared" si="37"/>
        <v>224106</v>
      </c>
      <c r="F209" s="67">
        <f t="shared" si="37"/>
        <v>140992.5</v>
      </c>
      <c r="G209" s="67">
        <f t="shared" si="37"/>
        <v>84595.5</v>
      </c>
      <c r="H209" s="67">
        <f t="shared" si="37"/>
        <v>56397</v>
      </c>
      <c r="I209" s="67">
        <f t="shared" si="37"/>
        <v>445000</v>
      </c>
      <c r="J209" s="67">
        <f t="shared" si="37"/>
        <v>0</v>
      </c>
    </row>
    <row r="210" spans="1:10">
      <c r="A210" s="61" t="s">
        <v>176</v>
      </c>
      <c r="B210" s="68">
        <v>0</v>
      </c>
      <c r="C210" s="68">
        <v>0</v>
      </c>
      <c r="D210" s="68">
        <v>0</v>
      </c>
      <c r="E210" s="68">
        <v>100000</v>
      </c>
      <c r="F210" s="68">
        <v>0</v>
      </c>
      <c r="G210" s="68">
        <v>0</v>
      </c>
      <c r="H210" s="68">
        <v>0</v>
      </c>
      <c r="I210" s="68">
        <v>0</v>
      </c>
      <c r="J210" s="68">
        <v>0</v>
      </c>
    </row>
    <row r="211" spans="1:10">
      <c r="A211" s="61" t="s">
        <v>177</v>
      </c>
      <c r="B211" s="68">
        <v>0</v>
      </c>
      <c r="C211" s="68">
        <v>0</v>
      </c>
      <c r="D211" s="68">
        <v>186159</v>
      </c>
      <c r="E211" s="68">
        <v>124106</v>
      </c>
      <c r="F211" s="68">
        <v>0</v>
      </c>
      <c r="G211" s="68">
        <v>70195.5</v>
      </c>
      <c r="H211" s="68">
        <v>46797</v>
      </c>
      <c r="I211" s="68">
        <v>445000</v>
      </c>
      <c r="J211" s="68">
        <v>0</v>
      </c>
    </row>
    <row r="212" spans="1:10">
      <c r="A212" s="61" t="s">
        <v>178</v>
      </c>
      <c r="B212" s="68">
        <v>87450.31</v>
      </c>
      <c r="C212" s="68">
        <v>0</v>
      </c>
      <c r="D212" s="68">
        <v>0</v>
      </c>
      <c r="E212" s="68">
        <v>0</v>
      </c>
      <c r="F212" s="68">
        <v>116992.5</v>
      </c>
      <c r="G212" s="68">
        <v>0</v>
      </c>
      <c r="H212" s="68">
        <v>0</v>
      </c>
      <c r="I212" s="68">
        <v>0</v>
      </c>
      <c r="J212" s="68">
        <v>0</v>
      </c>
    </row>
    <row r="213" spans="1:10">
      <c r="A213" s="61" t="s">
        <v>179</v>
      </c>
      <c r="B213" s="68">
        <v>73287</v>
      </c>
      <c r="C213" s="68">
        <v>0</v>
      </c>
      <c r="D213" s="68">
        <v>0</v>
      </c>
      <c r="E213" s="68">
        <v>0</v>
      </c>
      <c r="F213" s="68">
        <v>24000</v>
      </c>
      <c r="G213" s="68">
        <v>14400</v>
      </c>
      <c r="H213" s="68">
        <v>9600</v>
      </c>
      <c r="I213" s="68">
        <v>0</v>
      </c>
      <c r="J213" s="68">
        <v>0</v>
      </c>
    </row>
    <row r="214" spans="1:10">
      <c r="A214" s="72" t="s">
        <v>180</v>
      </c>
      <c r="B214" s="67">
        <f>+SUM(B215:B216)</f>
        <v>5200</v>
      </c>
      <c r="C214" s="67">
        <f t="shared" ref="C214:J214" si="38">+SUM(C215:C216)</f>
        <v>0</v>
      </c>
      <c r="D214" s="67">
        <f t="shared" si="38"/>
        <v>1700</v>
      </c>
      <c r="E214" s="67">
        <f t="shared" si="38"/>
        <v>0</v>
      </c>
      <c r="F214" s="67">
        <f t="shared" si="38"/>
        <v>1070</v>
      </c>
      <c r="G214" s="67">
        <f t="shared" si="38"/>
        <v>642</v>
      </c>
      <c r="H214" s="67">
        <f t="shared" si="38"/>
        <v>428</v>
      </c>
      <c r="I214" s="67">
        <f t="shared" si="38"/>
        <v>100</v>
      </c>
      <c r="J214" s="67">
        <f t="shared" si="38"/>
        <v>0</v>
      </c>
    </row>
    <row r="215" spans="1:10">
      <c r="A215" s="61" t="s">
        <v>181</v>
      </c>
      <c r="B215" s="68">
        <v>0</v>
      </c>
      <c r="C215" s="68">
        <v>0</v>
      </c>
      <c r="D215" s="68">
        <v>0</v>
      </c>
      <c r="E215" s="68">
        <v>0</v>
      </c>
      <c r="F215" s="68">
        <v>0</v>
      </c>
      <c r="G215" s="68">
        <v>0</v>
      </c>
      <c r="H215" s="68">
        <v>0</v>
      </c>
      <c r="I215" s="68">
        <v>0</v>
      </c>
      <c r="J215" s="68">
        <v>0</v>
      </c>
    </row>
    <row r="216" spans="1:10">
      <c r="A216" s="61" t="s">
        <v>182</v>
      </c>
      <c r="B216" s="68">
        <v>5200</v>
      </c>
      <c r="C216" s="68">
        <v>0</v>
      </c>
      <c r="D216" s="68">
        <v>1700</v>
      </c>
      <c r="E216" s="68">
        <v>0</v>
      </c>
      <c r="F216" s="68">
        <v>1070</v>
      </c>
      <c r="G216" s="68">
        <v>642</v>
      </c>
      <c r="H216" s="68">
        <v>428</v>
      </c>
      <c r="I216" s="68">
        <v>100</v>
      </c>
      <c r="J216" s="68">
        <v>0</v>
      </c>
    </row>
    <row r="217" spans="1:10">
      <c r="A217" s="60"/>
      <c r="B217" s="68"/>
      <c r="C217" s="68"/>
      <c r="D217" s="68"/>
      <c r="E217" s="68"/>
      <c r="F217" s="68"/>
      <c r="G217" s="68"/>
      <c r="H217" s="68"/>
      <c r="I217" s="69"/>
      <c r="J217" s="69"/>
    </row>
    <row r="218" spans="1:10" ht="17.25">
      <c r="A218" s="70" t="s">
        <v>183</v>
      </c>
      <c r="B218" s="67">
        <f>+B219+B223+B227</f>
        <v>688025.83276712312</v>
      </c>
      <c r="C218" s="67">
        <f t="shared" ref="C218:J218" si="39">+C219+C223+C227</f>
        <v>0</v>
      </c>
      <c r="D218" s="67">
        <f t="shared" si="39"/>
        <v>27672.190200000001</v>
      </c>
      <c r="E218" s="67">
        <f t="shared" si="39"/>
        <v>18448.126800000002</v>
      </c>
      <c r="F218" s="67">
        <f t="shared" si="39"/>
        <v>311979.99050000001</v>
      </c>
      <c r="G218" s="67">
        <f t="shared" si="39"/>
        <v>13836.0951</v>
      </c>
      <c r="H218" s="67">
        <f t="shared" si="39"/>
        <v>9224.0634000000009</v>
      </c>
      <c r="I218" s="67">
        <f t="shared" si="39"/>
        <v>0</v>
      </c>
      <c r="J218" s="67">
        <f t="shared" si="39"/>
        <v>0</v>
      </c>
    </row>
    <row r="219" spans="1:10">
      <c r="A219" s="72" t="s">
        <v>184</v>
      </c>
      <c r="B219" s="67">
        <f>+SUM(B220:B222)</f>
        <v>626532.07676712307</v>
      </c>
      <c r="C219" s="67">
        <f t="shared" ref="C219:J219" si="40">+SUM(C220:C222)</f>
        <v>0</v>
      </c>
      <c r="D219" s="67">
        <f t="shared" si="40"/>
        <v>0</v>
      </c>
      <c r="E219" s="67">
        <f t="shared" si="40"/>
        <v>0</v>
      </c>
      <c r="F219" s="67">
        <f t="shared" si="40"/>
        <v>288919.83200000005</v>
      </c>
      <c r="G219" s="67">
        <f t="shared" si="40"/>
        <v>0</v>
      </c>
      <c r="H219" s="67">
        <f t="shared" si="40"/>
        <v>0</v>
      </c>
      <c r="I219" s="67">
        <f t="shared" si="40"/>
        <v>0</v>
      </c>
      <c r="J219" s="67">
        <f t="shared" si="40"/>
        <v>0</v>
      </c>
    </row>
    <row r="220" spans="1:10">
      <c r="A220" s="61" t="s">
        <v>185</v>
      </c>
      <c r="B220" s="68">
        <v>193152.32876712299</v>
      </c>
      <c r="C220" s="68">
        <v>0</v>
      </c>
      <c r="D220" s="68">
        <v>0</v>
      </c>
      <c r="E220" s="68">
        <v>0</v>
      </c>
      <c r="F220" s="68">
        <v>0</v>
      </c>
      <c r="G220" s="68">
        <v>0</v>
      </c>
      <c r="H220" s="68">
        <v>0</v>
      </c>
      <c r="I220" s="68">
        <v>0</v>
      </c>
      <c r="J220" s="68">
        <v>0</v>
      </c>
    </row>
    <row r="221" spans="1:10">
      <c r="A221" s="61" t="s">
        <v>236</v>
      </c>
      <c r="B221" s="68">
        <v>200164.19999999998</v>
      </c>
      <c r="C221" s="68">
        <v>0</v>
      </c>
      <c r="D221" s="68">
        <v>0</v>
      </c>
      <c r="E221" s="68">
        <v>0</v>
      </c>
      <c r="F221" s="68">
        <v>133442.80000000002</v>
      </c>
      <c r="G221" s="68">
        <v>0</v>
      </c>
      <c r="H221" s="68">
        <v>0</v>
      </c>
      <c r="I221" s="68">
        <v>0</v>
      </c>
      <c r="J221" s="68">
        <v>0</v>
      </c>
    </row>
    <row r="222" spans="1:10">
      <c r="A222" s="61" t="s">
        <v>237</v>
      </c>
      <c r="B222" s="68">
        <v>233215.54800000001</v>
      </c>
      <c r="C222" s="68">
        <v>0</v>
      </c>
      <c r="D222" s="68">
        <v>0</v>
      </c>
      <c r="E222" s="68">
        <v>0</v>
      </c>
      <c r="F222" s="68">
        <v>155477.03200000001</v>
      </c>
      <c r="G222" s="68">
        <v>0</v>
      </c>
      <c r="H222" s="68">
        <v>0</v>
      </c>
      <c r="I222" s="68">
        <v>0</v>
      </c>
      <c r="J222" s="68">
        <v>0</v>
      </c>
    </row>
    <row r="223" spans="1:10">
      <c r="A223" s="72" t="s">
        <v>186</v>
      </c>
      <c r="B223" s="67">
        <f>+SUM(B224:B226)</f>
        <v>54034.956000000006</v>
      </c>
      <c r="C223" s="67">
        <f t="shared" ref="C223:J223" si="41">+SUM(C224:C226)</f>
        <v>0</v>
      </c>
      <c r="D223" s="67">
        <f t="shared" si="41"/>
        <v>24315.730200000002</v>
      </c>
      <c r="E223" s="67">
        <f t="shared" si="41"/>
        <v>16210.486800000002</v>
      </c>
      <c r="F223" s="67">
        <f t="shared" si="41"/>
        <v>20263.108500000002</v>
      </c>
      <c r="G223" s="67">
        <f t="shared" si="41"/>
        <v>12157.865100000001</v>
      </c>
      <c r="H223" s="67">
        <f t="shared" si="41"/>
        <v>8105.2434000000012</v>
      </c>
      <c r="I223" s="67">
        <f t="shared" si="41"/>
        <v>0</v>
      </c>
      <c r="J223" s="67">
        <f t="shared" si="41"/>
        <v>0</v>
      </c>
    </row>
    <row r="224" spans="1:10">
      <c r="A224" s="61" t="s">
        <v>187</v>
      </c>
      <c r="B224" s="68">
        <v>54034.956000000006</v>
      </c>
      <c r="C224" s="68">
        <v>0</v>
      </c>
      <c r="D224" s="68">
        <v>24315.730200000002</v>
      </c>
      <c r="E224" s="68">
        <v>16210.486800000002</v>
      </c>
      <c r="F224" s="68">
        <v>20263.108500000002</v>
      </c>
      <c r="G224" s="68">
        <v>12157.865100000001</v>
      </c>
      <c r="H224" s="68">
        <v>8105.2434000000012</v>
      </c>
      <c r="I224" s="68">
        <v>0</v>
      </c>
      <c r="J224" s="68">
        <v>0</v>
      </c>
    </row>
    <row r="225" spans="1:10">
      <c r="A225" s="61" t="s">
        <v>188</v>
      </c>
      <c r="B225" s="68">
        <v>0</v>
      </c>
      <c r="C225" s="68">
        <v>0</v>
      </c>
      <c r="D225" s="68">
        <v>0</v>
      </c>
      <c r="E225" s="68">
        <v>0</v>
      </c>
      <c r="F225" s="68">
        <v>0</v>
      </c>
      <c r="G225" s="68">
        <v>0</v>
      </c>
      <c r="H225" s="68">
        <v>0</v>
      </c>
      <c r="I225" s="68">
        <v>0</v>
      </c>
      <c r="J225" s="68">
        <v>0</v>
      </c>
    </row>
    <row r="226" spans="1:10">
      <c r="A226" s="61" t="s">
        <v>189</v>
      </c>
      <c r="B226" s="68">
        <v>0</v>
      </c>
      <c r="C226" s="68">
        <v>0</v>
      </c>
      <c r="D226" s="68">
        <v>0</v>
      </c>
      <c r="E226" s="68">
        <v>0</v>
      </c>
      <c r="F226" s="68">
        <v>0</v>
      </c>
      <c r="G226" s="68">
        <v>0</v>
      </c>
      <c r="H226" s="68">
        <v>0</v>
      </c>
      <c r="I226" s="68">
        <v>0</v>
      </c>
      <c r="J226" s="68">
        <v>0</v>
      </c>
    </row>
    <row r="227" spans="1:10">
      <c r="A227" s="72" t="s">
        <v>190</v>
      </c>
      <c r="B227" s="67">
        <f>+SUM(B228:B229)</f>
        <v>7458.8</v>
      </c>
      <c r="C227" s="67">
        <f t="shared" ref="C227:J227" si="42">+SUM(C228:C229)</f>
        <v>0</v>
      </c>
      <c r="D227" s="67">
        <f t="shared" si="42"/>
        <v>3356.4599999999996</v>
      </c>
      <c r="E227" s="67">
        <f t="shared" si="42"/>
        <v>2237.64</v>
      </c>
      <c r="F227" s="67">
        <f t="shared" si="42"/>
        <v>2797.0499999999997</v>
      </c>
      <c r="G227" s="67">
        <f t="shared" si="42"/>
        <v>1678.2299999999998</v>
      </c>
      <c r="H227" s="67">
        <f t="shared" si="42"/>
        <v>1118.82</v>
      </c>
      <c r="I227" s="67">
        <f t="shared" si="42"/>
        <v>0</v>
      </c>
      <c r="J227" s="67">
        <f t="shared" si="42"/>
        <v>0</v>
      </c>
    </row>
    <row r="228" spans="1:10">
      <c r="A228" s="61" t="s">
        <v>191</v>
      </c>
      <c r="B228" s="68">
        <v>0</v>
      </c>
      <c r="C228" s="68">
        <v>0</v>
      </c>
      <c r="D228" s="68">
        <v>0</v>
      </c>
      <c r="E228" s="68">
        <v>0</v>
      </c>
      <c r="F228" s="68">
        <v>0</v>
      </c>
      <c r="G228" s="68">
        <v>0</v>
      </c>
      <c r="H228" s="68">
        <v>0</v>
      </c>
      <c r="I228" s="68">
        <v>0</v>
      </c>
      <c r="J228" s="68">
        <v>0</v>
      </c>
    </row>
    <row r="229" spans="1:10">
      <c r="A229" s="61" t="s">
        <v>192</v>
      </c>
      <c r="B229" s="68">
        <v>7458.8</v>
      </c>
      <c r="C229" s="68">
        <v>0</v>
      </c>
      <c r="D229" s="68">
        <v>3356.4599999999996</v>
      </c>
      <c r="E229" s="68">
        <v>2237.64</v>
      </c>
      <c r="F229" s="68">
        <v>2797.0499999999997</v>
      </c>
      <c r="G229" s="68">
        <v>1678.2299999999998</v>
      </c>
      <c r="H229" s="68">
        <v>1118.82</v>
      </c>
      <c r="I229" s="68">
        <v>0</v>
      </c>
      <c r="J229" s="68">
        <v>0</v>
      </c>
    </row>
    <row r="230" spans="1:10">
      <c r="A230" s="64" t="s">
        <v>193</v>
      </c>
      <c r="B230" s="67">
        <f>+B75+B104+B115+B156+B218</f>
        <v>6930408.4855643986</v>
      </c>
      <c r="C230" s="67">
        <f t="shared" ref="C230:J230" si="43">+C75+C104+C115+C156+C218</f>
        <v>46200</v>
      </c>
      <c r="D230" s="67">
        <f t="shared" si="43"/>
        <v>3353329.8011195143</v>
      </c>
      <c r="E230" s="67">
        <f t="shared" si="43"/>
        <v>968067.89201335458</v>
      </c>
      <c r="F230" s="67">
        <f t="shared" si="43"/>
        <v>4017340.1579775638</v>
      </c>
      <c r="G230" s="67">
        <f t="shared" si="43"/>
        <v>1589389.0394489851</v>
      </c>
      <c r="H230" s="67">
        <f t="shared" si="43"/>
        <v>403533.8432212607</v>
      </c>
      <c r="I230" s="67">
        <f t="shared" si="43"/>
        <v>1572240.2841025642</v>
      </c>
      <c r="J230" s="67">
        <f t="shared" si="43"/>
        <v>224073.6480769231</v>
      </c>
    </row>
    <row r="231" spans="1:10">
      <c r="A231" s="73" t="s">
        <v>58</v>
      </c>
      <c r="B231" s="115">
        <f>+IFERROR(B230/B70,0)</f>
        <v>0.11423324146342205</v>
      </c>
      <c r="C231" s="115">
        <f t="shared" ref="C231:J231" si="44">+IFERROR(C230/C70,0)</f>
        <v>2.8319701626565968E-2</v>
      </c>
      <c r="D231" s="115">
        <f t="shared" si="44"/>
        <v>0.15632102158430197</v>
      </c>
      <c r="E231" s="115">
        <f t="shared" si="44"/>
        <v>0.14990342903498755</v>
      </c>
      <c r="F231" s="115">
        <f t="shared" si="44"/>
        <v>4.1580930751393699E-2</v>
      </c>
      <c r="G231" s="115">
        <f t="shared" si="44"/>
        <v>0.16746437698454375</v>
      </c>
      <c r="H231" s="115">
        <f t="shared" si="44"/>
        <v>9.896766148538369E-2</v>
      </c>
      <c r="I231" s="115">
        <f t="shared" si="44"/>
        <v>0.41821128294453036</v>
      </c>
      <c r="J231" s="115">
        <f t="shared" si="44"/>
        <v>0.14216378621731818</v>
      </c>
    </row>
    <row r="232" spans="1:10">
      <c r="A232" s="21"/>
      <c r="B232" s="69"/>
      <c r="C232" s="69"/>
      <c r="D232" s="69"/>
      <c r="E232" s="69"/>
      <c r="F232" s="69"/>
      <c r="G232" s="69"/>
      <c r="H232" s="69"/>
      <c r="I232" s="69"/>
      <c r="J232" s="69"/>
    </row>
    <row r="233" spans="1:10">
      <c r="A233" s="64" t="s">
        <v>194</v>
      </c>
      <c r="B233" s="67">
        <f>+B71-B230</f>
        <v>-3885589.0175643987</v>
      </c>
      <c r="C233" s="67">
        <f t="shared" ref="C233:J233" si="45">+C71-C230</f>
        <v>240885.54000000167</v>
      </c>
      <c r="D233" s="67">
        <f t="shared" si="45"/>
        <v>3093624.5000969586</v>
      </c>
      <c r="E233" s="67">
        <f t="shared" si="45"/>
        <v>1518780.5863866447</v>
      </c>
      <c r="F233" s="67">
        <f t="shared" si="45"/>
        <v>586164.85752243595</v>
      </c>
      <c r="G233" s="67">
        <f t="shared" si="45"/>
        <v>2370537.6092523765</v>
      </c>
      <c r="H233" s="67">
        <f t="shared" si="45"/>
        <v>915546.04697873886</v>
      </c>
      <c r="I233" s="67">
        <f t="shared" si="45"/>
        <v>-444911.77910290472</v>
      </c>
      <c r="J233" s="67">
        <f t="shared" si="45"/>
        <v>311923.21592307684</v>
      </c>
    </row>
    <row r="234" spans="1:10">
      <c r="A234" s="73" t="s">
        <v>58</v>
      </c>
      <c r="B234" s="115">
        <f>IFERROR(B233/B70,0)</f>
        <v>-6.4045781629696749E-2</v>
      </c>
      <c r="C234" s="115">
        <f t="shared" ref="C234:J234" si="46">IFERROR(C233/C70,0)</f>
        <v>0.14765815192541706</v>
      </c>
      <c r="D234" s="115">
        <f t="shared" si="46"/>
        <v>0.14421442892134617</v>
      </c>
      <c r="E234" s="115">
        <f t="shared" si="46"/>
        <v>0.23518021796759112</v>
      </c>
      <c r="F234" s="115">
        <f t="shared" si="46"/>
        <v>6.0670193190240388E-3</v>
      </c>
      <c r="G234" s="115">
        <f t="shared" si="46"/>
        <v>0.24976931009257849</v>
      </c>
      <c r="H234" s="115">
        <f t="shared" si="46"/>
        <v>0.22453990606679095</v>
      </c>
      <c r="I234" s="115">
        <f t="shared" si="46"/>
        <v>-0.11834522230294239</v>
      </c>
      <c r="J234" s="115">
        <f t="shared" si="46"/>
        <v>0.19790004654846155</v>
      </c>
    </row>
    <row r="235" spans="1:10">
      <c r="A235" s="60"/>
      <c r="B235" s="68"/>
      <c r="C235" s="68"/>
      <c r="D235" s="68"/>
      <c r="E235" s="68"/>
      <c r="F235" s="68"/>
      <c r="G235" s="68"/>
      <c r="H235" s="68"/>
      <c r="I235" s="69"/>
      <c r="J235" s="69"/>
    </row>
    <row r="236" spans="1:10" ht="17.25">
      <c r="A236" s="70" t="s">
        <v>195</v>
      </c>
      <c r="B236" s="67">
        <f t="shared" ref="B236:J236" si="47">+SUM(B237:B239)</f>
        <v>112156.06479999999</v>
      </c>
      <c r="C236" s="67">
        <f t="shared" si="47"/>
        <v>0</v>
      </c>
      <c r="D236" s="67">
        <f t="shared" si="47"/>
        <v>349040.18568</v>
      </c>
      <c r="E236" s="67">
        <f t="shared" si="47"/>
        <v>18980.257120000002</v>
      </c>
      <c r="F236" s="67">
        <f t="shared" si="47"/>
        <v>135881.38620000001</v>
      </c>
      <c r="G236" s="67">
        <f t="shared" si="47"/>
        <v>295242.03172000003</v>
      </c>
      <c r="H236" s="67">
        <f t="shared" si="47"/>
        <v>54352.554480000006</v>
      </c>
      <c r="I236" s="67">
        <f t="shared" si="47"/>
        <v>0</v>
      </c>
      <c r="J236" s="67">
        <f t="shared" si="47"/>
        <v>0</v>
      </c>
    </row>
    <row r="237" spans="1:10">
      <c r="A237" s="61" t="s">
        <v>196</v>
      </c>
      <c r="B237" s="68">
        <v>0</v>
      </c>
      <c r="C237" s="68">
        <v>0</v>
      </c>
      <c r="D237" s="68">
        <v>292047.59999999998</v>
      </c>
      <c r="E237" s="68">
        <v>0</v>
      </c>
      <c r="F237" s="68">
        <v>0</v>
      </c>
      <c r="G237" s="68">
        <v>194698.40000000002</v>
      </c>
      <c r="H237" s="68">
        <v>0</v>
      </c>
      <c r="I237" s="68">
        <v>0</v>
      </c>
      <c r="J237" s="68">
        <v>0</v>
      </c>
    </row>
    <row r="238" spans="1:10">
      <c r="A238" s="61" t="s">
        <v>197</v>
      </c>
      <c r="B238" s="68">
        <v>112156.06479999999</v>
      </c>
      <c r="C238" s="68">
        <v>0</v>
      </c>
      <c r="D238" s="68">
        <v>28470.385679999999</v>
      </c>
      <c r="E238" s="68">
        <v>18980.257120000002</v>
      </c>
      <c r="F238" s="68">
        <v>135881.38620000001</v>
      </c>
      <c r="G238" s="68">
        <v>81528.831720000002</v>
      </c>
      <c r="H238" s="68">
        <v>54352.554480000006</v>
      </c>
      <c r="I238" s="68">
        <v>0</v>
      </c>
      <c r="J238" s="68">
        <v>0</v>
      </c>
    </row>
    <row r="239" spans="1:10">
      <c r="A239" s="61" t="s">
        <v>198</v>
      </c>
      <c r="B239" s="68">
        <v>0</v>
      </c>
      <c r="C239" s="68">
        <v>0</v>
      </c>
      <c r="D239" s="68">
        <v>28522.2</v>
      </c>
      <c r="E239" s="68">
        <v>0</v>
      </c>
      <c r="F239" s="68">
        <v>0</v>
      </c>
      <c r="G239" s="68">
        <v>19014.8</v>
      </c>
      <c r="H239" s="68">
        <v>0</v>
      </c>
      <c r="I239" s="68">
        <v>0</v>
      </c>
      <c r="J239" s="68">
        <v>0</v>
      </c>
    </row>
    <row r="240" spans="1:10">
      <c r="A240" s="60"/>
      <c r="B240" s="68"/>
      <c r="C240" s="68"/>
      <c r="D240" s="68"/>
      <c r="E240" s="68"/>
      <c r="F240" s="68"/>
      <c r="G240" s="68"/>
      <c r="H240" s="68"/>
      <c r="I240" s="69"/>
      <c r="J240" s="69"/>
    </row>
    <row r="241" spans="1:10" ht="17.25">
      <c r="A241" s="70" t="s">
        <v>199</v>
      </c>
      <c r="B241" s="67">
        <f>+SUM(B242:B248)</f>
        <v>952163.96462113166</v>
      </c>
      <c r="C241" s="67">
        <f t="shared" ref="C241:J241" si="48">+SUM(C242:C248)</f>
        <v>0</v>
      </c>
      <c r="D241" s="67">
        <f t="shared" si="48"/>
        <v>675475.61596874997</v>
      </c>
      <c r="E241" s="67">
        <f t="shared" si="48"/>
        <v>386326.71292708302</v>
      </c>
      <c r="F241" s="67">
        <f t="shared" si="48"/>
        <v>433516.25836428563</v>
      </c>
      <c r="G241" s="67">
        <f t="shared" si="48"/>
        <v>241812.14353571442</v>
      </c>
      <c r="H241" s="67">
        <f t="shared" si="48"/>
        <v>155829.26235714319</v>
      </c>
      <c r="I241" s="67">
        <f t="shared" si="48"/>
        <v>702927.25199999998</v>
      </c>
      <c r="J241" s="67">
        <f t="shared" si="48"/>
        <v>468618.16800000001</v>
      </c>
    </row>
    <row r="242" spans="1:10">
      <c r="A242" s="61" t="s">
        <v>200</v>
      </c>
      <c r="B242" s="68">
        <v>0</v>
      </c>
      <c r="C242" s="68">
        <v>0</v>
      </c>
      <c r="D242" s="68">
        <v>0</v>
      </c>
      <c r="E242" s="68">
        <v>0</v>
      </c>
      <c r="F242" s="68">
        <v>0</v>
      </c>
      <c r="G242" s="68">
        <v>0</v>
      </c>
      <c r="H242" s="68">
        <v>0</v>
      </c>
      <c r="I242" s="68">
        <v>0</v>
      </c>
      <c r="J242" s="68">
        <v>0</v>
      </c>
    </row>
    <row r="243" spans="1:10">
      <c r="A243" s="61" t="s">
        <v>238</v>
      </c>
      <c r="B243" s="68">
        <v>952163.96462113166</v>
      </c>
      <c r="C243" s="68">
        <v>0</v>
      </c>
      <c r="D243" s="68">
        <v>675475.61596874997</v>
      </c>
      <c r="E243" s="68">
        <v>386326.71292708302</v>
      </c>
      <c r="F243" s="68">
        <v>433516.25836428563</v>
      </c>
      <c r="G243" s="68">
        <v>241812.14353571442</v>
      </c>
      <c r="H243" s="68">
        <v>155829.26235714319</v>
      </c>
      <c r="I243" s="68">
        <v>702927.25199999998</v>
      </c>
      <c r="J243" s="68">
        <v>468618.16800000001</v>
      </c>
    </row>
    <row r="244" spans="1:10">
      <c r="A244" s="61" t="s">
        <v>239</v>
      </c>
      <c r="B244" s="68">
        <v>0</v>
      </c>
      <c r="C244" s="68">
        <v>0</v>
      </c>
      <c r="D244" s="68">
        <v>0</v>
      </c>
      <c r="E244" s="68">
        <v>0</v>
      </c>
      <c r="F244" s="68">
        <v>0</v>
      </c>
      <c r="G244" s="68">
        <v>0</v>
      </c>
      <c r="H244" s="68">
        <v>0</v>
      </c>
      <c r="I244" s="68">
        <v>0</v>
      </c>
      <c r="J244" s="68">
        <v>0</v>
      </c>
    </row>
    <row r="245" spans="1:10">
      <c r="A245" s="61" t="s">
        <v>240</v>
      </c>
      <c r="B245" s="68">
        <v>0</v>
      </c>
      <c r="C245" s="68">
        <v>0</v>
      </c>
      <c r="D245" s="68">
        <v>0</v>
      </c>
      <c r="E245" s="68">
        <v>0</v>
      </c>
      <c r="F245" s="68">
        <v>0</v>
      </c>
      <c r="G245" s="68">
        <v>0</v>
      </c>
      <c r="H245" s="68">
        <v>0</v>
      </c>
      <c r="I245" s="68">
        <v>0</v>
      </c>
      <c r="J245" s="68">
        <v>0</v>
      </c>
    </row>
    <row r="246" spans="1:10">
      <c r="A246" s="61" t="s">
        <v>241</v>
      </c>
      <c r="B246" s="68">
        <v>0</v>
      </c>
      <c r="C246" s="68">
        <v>0</v>
      </c>
      <c r="D246" s="68">
        <v>0</v>
      </c>
      <c r="E246" s="68">
        <v>0</v>
      </c>
      <c r="F246" s="68">
        <v>0</v>
      </c>
      <c r="G246" s="68">
        <v>0</v>
      </c>
      <c r="H246" s="68">
        <v>0</v>
      </c>
      <c r="I246" s="68">
        <v>0</v>
      </c>
      <c r="J246" s="68">
        <v>0</v>
      </c>
    </row>
    <row r="247" spans="1:10">
      <c r="A247" s="61" t="s">
        <v>242</v>
      </c>
      <c r="B247" s="68">
        <v>0</v>
      </c>
      <c r="C247" s="68">
        <v>0</v>
      </c>
      <c r="D247" s="68">
        <v>0</v>
      </c>
      <c r="E247" s="68">
        <v>0</v>
      </c>
      <c r="F247" s="68">
        <v>0</v>
      </c>
      <c r="G247" s="68">
        <v>0</v>
      </c>
      <c r="H247" s="68">
        <v>0</v>
      </c>
      <c r="I247" s="68">
        <v>0</v>
      </c>
      <c r="J247" s="68">
        <v>0</v>
      </c>
    </row>
    <row r="248" spans="1:10">
      <c r="A248" s="60"/>
      <c r="B248" s="68"/>
      <c r="C248" s="68"/>
      <c r="D248" s="68"/>
      <c r="E248" s="68"/>
      <c r="F248" s="68"/>
      <c r="G248" s="68"/>
      <c r="H248" s="68"/>
      <c r="I248" s="69"/>
      <c r="J248" s="69"/>
    </row>
    <row r="249" spans="1:10">
      <c r="A249" s="64" t="s">
        <v>201</v>
      </c>
      <c r="B249" s="67">
        <f t="shared" ref="B249:J249" si="49">+B233-B236-B241</f>
        <v>-4949909.0469855303</v>
      </c>
      <c r="C249" s="67">
        <f t="shared" si="49"/>
        <v>240885.54000000167</v>
      </c>
      <c r="D249" s="67">
        <f t="shared" si="49"/>
        <v>2069108.6984482086</v>
      </c>
      <c r="E249" s="67">
        <f t="shared" si="49"/>
        <v>1113473.6163395618</v>
      </c>
      <c r="F249" s="67">
        <f t="shared" si="49"/>
        <v>16767.21295815031</v>
      </c>
      <c r="G249" s="67">
        <f t="shared" si="49"/>
        <v>1833483.433996662</v>
      </c>
      <c r="H249" s="67">
        <f t="shared" si="49"/>
        <v>705364.23014159559</v>
      </c>
      <c r="I249" s="67">
        <f t="shared" si="49"/>
        <v>-1147839.0311029046</v>
      </c>
      <c r="J249" s="67">
        <f t="shared" si="49"/>
        <v>-156694.95207692316</v>
      </c>
    </row>
    <row r="250" spans="1:10">
      <c r="A250" s="74" t="s">
        <v>58</v>
      </c>
      <c r="B250" s="116">
        <f>IFERROR(B249/B70,0)</f>
        <v>-8.1588863999006653E-2</v>
      </c>
      <c r="C250" s="116">
        <f t="shared" ref="C250:J250" si="50">IFERROR(C249/C70,0)</f>
        <v>0.14765815192541706</v>
      </c>
      <c r="D250" s="116">
        <f t="shared" si="50"/>
        <v>9.6454928293186887E-2</v>
      </c>
      <c r="E250" s="116">
        <f t="shared" si="50"/>
        <v>0.17241922245984981</v>
      </c>
      <c r="F250" s="116">
        <f t="shared" si="50"/>
        <v>1.7354674821902719E-4</v>
      </c>
      <c r="G250" s="116">
        <f t="shared" si="50"/>
        <v>0.19318313727152644</v>
      </c>
      <c r="H250" s="116">
        <f t="shared" si="50"/>
        <v>0.1729923016996503</v>
      </c>
      <c r="I250" s="116">
        <f t="shared" si="50"/>
        <v>-0.30532180015051524</v>
      </c>
      <c r="J250" s="116">
        <f t="shared" si="50"/>
        <v>-9.9415294299797757E-2</v>
      </c>
    </row>
  </sheetData>
  <mergeCells count="5">
    <mergeCell ref="A1:J1"/>
    <mergeCell ref="A2:A3"/>
    <mergeCell ref="B2:E2"/>
    <mergeCell ref="F2:H2"/>
    <mergeCell ref="I2:J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E108-BA8C-4AFD-BD06-1E467B0EB266}">
  <dimension ref="A1:M250"/>
  <sheetViews>
    <sheetView topLeftCell="A56" workbookViewId="0">
      <selection activeCell="F64" sqref="F64"/>
    </sheetView>
  </sheetViews>
  <sheetFormatPr defaultColWidth="8.7109375" defaultRowHeight="15"/>
  <cols>
    <col min="1" max="1" width="40.85546875" style="49" bestFit="1" customWidth="1"/>
    <col min="2" max="2" width="12.42578125" style="49" bestFit="1" customWidth="1"/>
    <col min="3" max="3" width="10.42578125" style="49" bestFit="1" customWidth="1"/>
    <col min="4" max="4" width="11.5703125" style="49" bestFit="1" customWidth="1"/>
    <col min="5" max="5" width="10" style="49" bestFit="1" customWidth="1"/>
    <col min="6" max="6" width="12.140625" style="49" bestFit="1" customWidth="1"/>
    <col min="7" max="7" width="11.140625" style="49" bestFit="1" customWidth="1"/>
    <col min="8" max="9" width="10" style="49" bestFit="1" customWidth="1"/>
    <col min="10" max="10" width="8.85546875" style="49" bestFit="1" customWidth="1"/>
    <col min="11" max="16384" width="8.7109375" style="49"/>
  </cols>
  <sheetData>
    <row r="1" spans="1:13" ht="15.75">
      <c r="A1" s="124" t="s">
        <v>244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3" ht="14.45" customHeight="1">
      <c r="A2" s="125" t="s">
        <v>1</v>
      </c>
      <c r="B2" s="127" t="s">
        <v>209</v>
      </c>
      <c r="C2" s="128"/>
      <c r="D2" s="128"/>
      <c r="E2" s="128"/>
      <c r="F2" s="129" t="s">
        <v>213</v>
      </c>
      <c r="G2" s="130"/>
      <c r="H2" s="130"/>
      <c r="I2" s="130" t="s">
        <v>214</v>
      </c>
      <c r="J2" s="130"/>
    </row>
    <row r="3" spans="1:13">
      <c r="A3" s="126"/>
      <c r="B3" s="51" t="s">
        <v>215</v>
      </c>
      <c r="C3" s="51" t="s">
        <v>216</v>
      </c>
      <c r="D3" s="52" t="s">
        <v>217</v>
      </c>
      <c r="E3" s="53" t="s">
        <v>218</v>
      </c>
      <c r="F3" s="51" t="s">
        <v>215</v>
      </c>
      <c r="G3" s="52" t="s">
        <v>217</v>
      </c>
      <c r="H3" s="52" t="s">
        <v>218</v>
      </c>
      <c r="I3" s="54" t="s">
        <v>217</v>
      </c>
      <c r="J3" s="54" t="s">
        <v>218</v>
      </c>
    </row>
    <row r="4" spans="1:13">
      <c r="A4" s="55" t="s">
        <v>3</v>
      </c>
      <c r="B4" s="56">
        <v>29</v>
      </c>
      <c r="C4" s="56"/>
      <c r="D4" s="56"/>
      <c r="E4" s="56"/>
      <c r="F4" s="56">
        <v>14</v>
      </c>
      <c r="G4" s="56"/>
      <c r="H4" s="56"/>
      <c r="I4" s="56"/>
      <c r="J4" s="56"/>
    </row>
    <row r="5" spans="1:13" ht="17.25">
      <c r="A5" s="57" t="s">
        <v>4</v>
      </c>
      <c r="B5" s="56"/>
      <c r="C5" s="56"/>
      <c r="D5" s="56"/>
      <c r="E5" s="56"/>
      <c r="F5" s="56"/>
      <c r="G5" s="56"/>
      <c r="H5" s="56"/>
      <c r="I5" s="50"/>
      <c r="J5" s="50"/>
    </row>
    <row r="6" spans="1:13">
      <c r="A6" s="55" t="s">
        <v>5</v>
      </c>
      <c r="B6" s="58">
        <f>+B7+B8+B13</f>
        <v>8887908.2873480003</v>
      </c>
      <c r="C6" s="58">
        <f t="shared" ref="C6:J6" si="0">+C7+C8+C13</f>
        <v>0</v>
      </c>
      <c r="D6" s="58">
        <f t="shared" si="0"/>
        <v>0</v>
      </c>
      <c r="E6" s="58">
        <f t="shared" si="0"/>
        <v>0</v>
      </c>
      <c r="F6" s="58">
        <f t="shared" si="0"/>
        <v>4630909.2210600004</v>
      </c>
      <c r="G6" s="58">
        <f t="shared" si="0"/>
        <v>0</v>
      </c>
      <c r="H6" s="58">
        <f t="shared" si="0"/>
        <v>0</v>
      </c>
      <c r="I6" s="58">
        <f t="shared" si="0"/>
        <v>0</v>
      </c>
      <c r="J6" s="58">
        <f t="shared" si="0"/>
        <v>0</v>
      </c>
    </row>
    <row r="7" spans="1:13">
      <c r="A7" s="55" t="s">
        <v>6</v>
      </c>
      <c r="B7" s="58">
        <v>5974056.9175000004</v>
      </c>
      <c r="C7" s="58"/>
      <c r="D7" s="58"/>
      <c r="E7" s="58"/>
      <c r="F7" s="58">
        <v>2767092.67765</v>
      </c>
      <c r="G7" s="58"/>
      <c r="H7" s="58"/>
      <c r="I7" s="59"/>
      <c r="J7" s="59"/>
    </row>
    <row r="8" spans="1:13">
      <c r="A8" s="55" t="s">
        <v>219</v>
      </c>
      <c r="B8" s="58">
        <f>+B9+B10+B11+B12</f>
        <v>2013415.0698480001</v>
      </c>
      <c r="C8" s="58">
        <f t="shared" ref="C8:J8" si="1">+C9+C10+C11+C12</f>
        <v>0</v>
      </c>
      <c r="D8" s="58">
        <f t="shared" si="1"/>
        <v>0</v>
      </c>
      <c r="E8" s="58">
        <f t="shared" si="1"/>
        <v>0</v>
      </c>
      <c r="F8" s="58">
        <f t="shared" si="1"/>
        <v>1404094.5434099999</v>
      </c>
      <c r="G8" s="58">
        <f t="shared" si="1"/>
        <v>0</v>
      </c>
      <c r="H8" s="58">
        <f t="shared" si="1"/>
        <v>0</v>
      </c>
      <c r="I8" s="58">
        <f t="shared" si="1"/>
        <v>0</v>
      </c>
      <c r="J8" s="58">
        <f t="shared" si="1"/>
        <v>0</v>
      </c>
    </row>
    <row r="9" spans="1:13">
      <c r="A9" s="75" t="s">
        <v>7</v>
      </c>
      <c r="B9" s="56">
        <v>1813767</v>
      </c>
      <c r="C9" s="56"/>
      <c r="D9" s="56"/>
      <c r="E9" s="56"/>
      <c r="F9" s="56">
        <v>1309926</v>
      </c>
      <c r="G9" s="56"/>
      <c r="H9" s="56"/>
      <c r="I9" s="50"/>
      <c r="J9" s="50"/>
    </row>
    <row r="10" spans="1:13">
      <c r="A10" s="75" t="s">
        <v>8</v>
      </c>
      <c r="B10" s="56">
        <v>199648.06984799998</v>
      </c>
      <c r="C10" s="56"/>
      <c r="D10" s="56"/>
      <c r="E10" s="56"/>
      <c r="F10" s="56">
        <v>94168.543409999998</v>
      </c>
      <c r="G10" s="56"/>
      <c r="H10" s="56"/>
      <c r="I10" s="50"/>
      <c r="J10" s="50"/>
    </row>
    <row r="11" spans="1:13">
      <c r="A11" s="75" t="s">
        <v>9</v>
      </c>
      <c r="B11" s="56"/>
      <c r="C11" s="56"/>
      <c r="D11" s="56"/>
      <c r="E11" s="56"/>
      <c r="F11" s="56"/>
      <c r="G11" s="56"/>
      <c r="H11" s="56"/>
      <c r="I11" s="50"/>
      <c r="J11" s="50"/>
    </row>
    <row r="12" spans="1:13">
      <c r="A12" s="75" t="s">
        <v>10</v>
      </c>
      <c r="B12" s="56"/>
      <c r="C12" s="56"/>
      <c r="D12" s="56"/>
      <c r="E12" s="56"/>
      <c r="F12" s="56"/>
      <c r="G12" s="56"/>
      <c r="H12" s="56"/>
      <c r="I12" s="50"/>
      <c r="J12" s="50"/>
    </row>
    <row r="13" spans="1:13">
      <c r="A13" s="55" t="s">
        <v>11</v>
      </c>
      <c r="B13" s="58">
        <f>+B14+B15+B16</f>
        <v>900436.3</v>
      </c>
      <c r="C13" s="58">
        <f t="shared" ref="C13:J13" si="2">+C14+C15+C16</f>
        <v>0</v>
      </c>
      <c r="D13" s="58">
        <f t="shared" si="2"/>
        <v>0</v>
      </c>
      <c r="E13" s="58">
        <f t="shared" si="2"/>
        <v>0</v>
      </c>
      <c r="F13" s="58">
        <f t="shared" si="2"/>
        <v>459722</v>
      </c>
      <c r="G13" s="58">
        <f t="shared" si="2"/>
        <v>0</v>
      </c>
      <c r="H13" s="58">
        <f t="shared" si="2"/>
        <v>0</v>
      </c>
      <c r="I13" s="58">
        <f t="shared" si="2"/>
        <v>0</v>
      </c>
      <c r="J13" s="58">
        <f t="shared" si="2"/>
        <v>0</v>
      </c>
    </row>
    <row r="14" spans="1:13">
      <c r="A14" s="76" t="s">
        <v>12</v>
      </c>
      <c r="B14" s="56">
        <v>219618</v>
      </c>
      <c r="C14" s="56"/>
      <c r="D14" s="56"/>
      <c r="E14" s="56"/>
      <c r="F14" s="56">
        <v>112128</v>
      </c>
      <c r="G14" s="56"/>
      <c r="H14" s="56"/>
      <c r="I14" s="50"/>
      <c r="J14" s="50"/>
      <c r="L14" s="122"/>
      <c r="M14" s="123"/>
    </row>
    <row r="15" spans="1:13">
      <c r="A15" s="76" t="s">
        <v>13</v>
      </c>
      <c r="B15" s="56">
        <v>461199.3</v>
      </c>
      <c r="C15" s="56"/>
      <c r="D15" s="56"/>
      <c r="E15" s="56"/>
      <c r="F15" s="56">
        <v>235467</v>
      </c>
      <c r="G15" s="56"/>
      <c r="H15" s="56"/>
      <c r="I15" s="50"/>
      <c r="J15" s="50"/>
      <c r="L15" s="122"/>
      <c r="M15" s="122"/>
    </row>
    <row r="16" spans="1:13">
      <c r="A16" s="76" t="s">
        <v>14</v>
      </c>
      <c r="B16" s="56">
        <v>219619</v>
      </c>
      <c r="C16" s="56"/>
      <c r="D16" s="56"/>
      <c r="E16" s="56"/>
      <c r="F16" s="56">
        <v>112127</v>
      </c>
      <c r="G16" s="56"/>
      <c r="H16" s="56"/>
      <c r="I16" s="50"/>
      <c r="J16" s="50"/>
      <c r="L16" s="122"/>
      <c r="M16" s="123"/>
    </row>
    <row r="17" spans="1:13" ht="17.25">
      <c r="A17" s="57" t="s">
        <v>15</v>
      </c>
      <c r="B17" s="56"/>
      <c r="C17" s="56"/>
      <c r="D17" s="56"/>
      <c r="E17" s="56"/>
      <c r="F17" s="56"/>
      <c r="G17" s="56"/>
      <c r="H17" s="56"/>
      <c r="I17" s="50"/>
      <c r="J17" s="50"/>
      <c r="M17" s="122"/>
    </row>
    <row r="18" spans="1:13">
      <c r="A18" s="61" t="s">
        <v>16</v>
      </c>
      <c r="B18" s="56">
        <v>13</v>
      </c>
      <c r="C18" s="56"/>
      <c r="D18" s="56"/>
      <c r="E18" s="56"/>
      <c r="F18" s="56"/>
      <c r="G18" s="56"/>
      <c r="H18" s="56"/>
      <c r="I18" s="50"/>
      <c r="J18" s="50"/>
    </row>
    <row r="19" spans="1:13">
      <c r="A19" s="61" t="s">
        <v>17</v>
      </c>
      <c r="B19" s="56">
        <v>50965035</v>
      </c>
      <c r="C19" s="56"/>
      <c r="D19" s="56"/>
      <c r="E19" s="56"/>
      <c r="F19" s="56"/>
      <c r="G19" s="56"/>
      <c r="H19" s="56"/>
      <c r="I19" s="50"/>
      <c r="J19" s="50"/>
    </row>
    <row r="20" spans="1:13">
      <c r="A20" s="61" t="s">
        <v>18</v>
      </c>
      <c r="B20" s="56">
        <v>59567219.560000002</v>
      </c>
      <c r="C20" s="56"/>
      <c r="D20" s="56"/>
      <c r="E20" s="56"/>
      <c r="F20" s="56"/>
      <c r="G20" s="56"/>
      <c r="H20" s="56"/>
      <c r="I20" s="50"/>
      <c r="J20" s="50"/>
    </row>
    <row r="21" spans="1:13">
      <c r="A21" s="61" t="s">
        <v>19</v>
      </c>
      <c r="B21" s="56"/>
      <c r="C21" s="56"/>
      <c r="D21" s="56"/>
      <c r="E21" s="56"/>
      <c r="F21" s="56"/>
      <c r="G21" s="56"/>
      <c r="H21" s="56"/>
      <c r="I21" s="50"/>
      <c r="J21" s="50"/>
    </row>
    <row r="22" spans="1:13" ht="17.25">
      <c r="A22" s="57" t="s">
        <v>220</v>
      </c>
      <c r="B22" s="56"/>
      <c r="C22" s="56"/>
      <c r="D22" s="56"/>
      <c r="E22" s="56"/>
      <c r="F22" s="56"/>
      <c r="G22" s="56"/>
      <c r="H22" s="56"/>
      <c r="I22" s="50"/>
      <c r="J22" s="50"/>
    </row>
    <row r="23" spans="1:13">
      <c r="A23" s="61" t="s">
        <v>16</v>
      </c>
      <c r="B23" s="56">
        <v>3</v>
      </c>
      <c r="C23" s="56"/>
      <c r="D23" s="56"/>
      <c r="E23" s="56"/>
      <c r="F23" s="56"/>
      <c r="G23" s="56"/>
      <c r="H23" s="56"/>
      <c r="I23" s="50"/>
      <c r="J23" s="50"/>
    </row>
    <row r="24" spans="1:13">
      <c r="A24" s="61" t="s">
        <v>21</v>
      </c>
      <c r="B24" s="56">
        <v>7925000</v>
      </c>
      <c r="C24" s="56"/>
      <c r="D24" s="56"/>
      <c r="E24" s="56"/>
      <c r="F24" s="56"/>
      <c r="G24" s="56"/>
      <c r="H24" s="56"/>
      <c r="I24" s="50"/>
      <c r="J24" s="50"/>
    </row>
    <row r="25" spans="1:13">
      <c r="A25" s="61" t="s">
        <v>22</v>
      </c>
      <c r="B25" s="56">
        <v>7925000</v>
      </c>
      <c r="C25" s="56"/>
      <c r="D25" s="56"/>
      <c r="E25" s="56"/>
      <c r="F25" s="56"/>
      <c r="G25" s="56"/>
      <c r="H25" s="56"/>
      <c r="I25" s="50"/>
      <c r="J25" s="50"/>
    </row>
    <row r="26" spans="1:13">
      <c r="A26" s="61" t="s">
        <v>23</v>
      </c>
      <c r="B26" s="56"/>
      <c r="C26" s="56"/>
      <c r="D26" s="56"/>
      <c r="E26" s="56"/>
      <c r="F26" s="56"/>
      <c r="G26" s="56"/>
      <c r="H26" s="56"/>
      <c r="I26" s="50"/>
      <c r="J26" s="50"/>
    </row>
    <row r="27" spans="1:13">
      <c r="A27" s="61" t="s">
        <v>20</v>
      </c>
      <c r="B27" s="58">
        <f>+B24-B25-B26</f>
        <v>0</v>
      </c>
      <c r="C27" s="58">
        <f t="shared" ref="C27:J27" si="3">+C24-C25-C26</f>
        <v>0</v>
      </c>
      <c r="D27" s="58">
        <f t="shared" si="3"/>
        <v>0</v>
      </c>
      <c r="E27" s="58">
        <f t="shared" si="3"/>
        <v>0</v>
      </c>
      <c r="F27" s="58">
        <f t="shared" si="3"/>
        <v>0</v>
      </c>
      <c r="G27" s="58">
        <f t="shared" si="3"/>
        <v>0</v>
      </c>
      <c r="H27" s="58">
        <f t="shared" si="3"/>
        <v>0</v>
      </c>
      <c r="I27" s="58">
        <f t="shared" si="3"/>
        <v>0</v>
      </c>
      <c r="J27" s="58">
        <f t="shared" si="3"/>
        <v>0</v>
      </c>
    </row>
    <row r="28" spans="1:13">
      <c r="A28" s="60"/>
      <c r="B28" s="56"/>
      <c r="C28" s="56"/>
      <c r="D28" s="56"/>
      <c r="E28" s="56"/>
      <c r="F28" s="56"/>
      <c r="G28" s="56"/>
      <c r="H28" s="56"/>
      <c r="I28" s="50"/>
      <c r="J28" s="50"/>
    </row>
    <row r="29" spans="1:13" ht="17.25">
      <c r="A29" s="57" t="s">
        <v>24</v>
      </c>
      <c r="B29" s="58">
        <f>+SUM(B31:B37)</f>
        <v>0</v>
      </c>
      <c r="C29" s="58">
        <f t="shared" ref="C29:J29" si="4">+SUM(C31:C37)</f>
        <v>0</v>
      </c>
      <c r="D29" s="58">
        <f t="shared" si="4"/>
        <v>20544354.623817448</v>
      </c>
      <c r="E29" s="58">
        <f t="shared" si="4"/>
        <v>7215395.7400000002</v>
      </c>
      <c r="F29" s="58">
        <f t="shared" si="4"/>
        <v>0</v>
      </c>
      <c r="G29" s="58">
        <f t="shared" si="4"/>
        <v>8212922.8119980451</v>
      </c>
      <c r="H29" s="58">
        <f t="shared" si="4"/>
        <v>2286059.0999999996</v>
      </c>
      <c r="I29" s="58">
        <f t="shared" si="4"/>
        <v>3216908.7441844949</v>
      </c>
      <c r="J29" s="58">
        <f t="shared" si="4"/>
        <v>568352</v>
      </c>
    </row>
    <row r="30" spans="1:13">
      <c r="A30" s="62" t="s">
        <v>25</v>
      </c>
      <c r="B30" s="56"/>
      <c r="C30" s="56"/>
      <c r="D30" s="56">
        <v>347</v>
      </c>
      <c r="E30" s="56">
        <v>40</v>
      </c>
      <c r="F30" s="56"/>
      <c r="G30" s="56">
        <v>192</v>
      </c>
      <c r="H30" s="56">
        <v>21</v>
      </c>
      <c r="I30" s="50">
        <v>61</v>
      </c>
      <c r="J30" s="50">
        <v>5</v>
      </c>
    </row>
    <row r="31" spans="1:13">
      <c r="A31" s="61" t="s">
        <v>26</v>
      </c>
      <c r="B31" s="56"/>
      <c r="C31" s="56"/>
      <c r="D31" s="56">
        <v>11442271.359999999</v>
      </c>
      <c r="E31" s="56">
        <v>5719094.4000000004</v>
      </c>
      <c r="F31" s="56"/>
      <c r="G31" s="56">
        <v>5116092.9599999906</v>
      </c>
      <c r="H31" s="56">
        <v>1392168</v>
      </c>
      <c r="I31" s="50">
        <v>2179036.3399999994</v>
      </c>
      <c r="J31" s="50">
        <v>426620</v>
      </c>
    </row>
    <row r="32" spans="1:13">
      <c r="A32" s="61" t="s">
        <v>27</v>
      </c>
      <c r="B32" s="56"/>
      <c r="C32" s="56"/>
      <c r="D32" s="56">
        <v>3041485.61</v>
      </c>
      <c r="E32" s="56">
        <v>1489694.38</v>
      </c>
      <c r="F32" s="56"/>
      <c r="G32" s="56">
        <v>1466392.9</v>
      </c>
      <c r="H32" s="56">
        <v>893891.09999999986</v>
      </c>
      <c r="I32" s="50">
        <v>698689.88</v>
      </c>
      <c r="J32" s="50">
        <v>141732</v>
      </c>
    </row>
    <row r="33" spans="1:13">
      <c r="A33" s="61" t="s">
        <v>28</v>
      </c>
      <c r="B33" s="56"/>
      <c r="C33" s="56"/>
      <c r="D33" s="56">
        <v>3106226.5300000003</v>
      </c>
      <c r="E33" s="56">
        <v>0</v>
      </c>
      <c r="F33" s="56"/>
      <c r="G33" s="56">
        <v>951032.77</v>
      </c>
      <c r="H33" s="56">
        <v>0</v>
      </c>
      <c r="I33" s="50">
        <v>234101.99</v>
      </c>
      <c r="J33" s="50">
        <v>0</v>
      </c>
    </row>
    <row r="34" spans="1:13">
      <c r="A34" s="61" t="s">
        <v>29</v>
      </c>
      <c r="B34" s="56"/>
      <c r="C34" s="56"/>
      <c r="D34" s="56">
        <v>354823</v>
      </c>
      <c r="E34" s="56">
        <v>0</v>
      </c>
      <c r="F34" s="56"/>
      <c r="G34" s="56">
        <v>90153</v>
      </c>
      <c r="H34" s="56">
        <v>0</v>
      </c>
      <c r="I34" s="50">
        <v>46512</v>
      </c>
      <c r="J34" s="50">
        <v>0</v>
      </c>
    </row>
    <row r="35" spans="1:13">
      <c r="A35" s="61" t="s">
        <v>30</v>
      </c>
      <c r="B35" s="56"/>
      <c r="C35" s="56"/>
      <c r="D35" s="56">
        <v>906249.43</v>
      </c>
      <c r="E35" s="56">
        <v>6606.96</v>
      </c>
      <c r="F35" s="56"/>
      <c r="G35" s="56">
        <v>236633.37</v>
      </c>
      <c r="H35" s="56">
        <v>0</v>
      </c>
      <c r="I35" s="50">
        <v>0</v>
      </c>
      <c r="J35" s="50">
        <v>0</v>
      </c>
    </row>
    <row r="36" spans="1:13">
      <c r="A36" s="61" t="s">
        <v>31</v>
      </c>
      <c r="B36" s="56"/>
      <c r="C36" s="56"/>
      <c r="D36" s="56">
        <v>1394851.8238174487</v>
      </c>
      <c r="E36" s="56">
        <v>0</v>
      </c>
      <c r="F36" s="56"/>
      <c r="G36" s="56">
        <v>352617.81199805485</v>
      </c>
      <c r="H36" s="56">
        <v>0</v>
      </c>
      <c r="I36" s="50">
        <v>58568.534184496151</v>
      </c>
      <c r="J36" s="50">
        <v>0</v>
      </c>
    </row>
    <row r="37" spans="1:13">
      <c r="A37" s="61" t="s">
        <v>32</v>
      </c>
      <c r="B37" s="56"/>
      <c r="C37" s="56"/>
      <c r="D37" s="56">
        <v>298446.87</v>
      </c>
      <c r="E37" s="56"/>
      <c r="F37" s="56"/>
      <c r="G37" s="56"/>
      <c r="H37" s="56"/>
      <c r="I37" s="50"/>
      <c r="J37" s="50"/>
    </row>
    <row r="38" spans="1:13">
      <c r="A38" s="62" t="s">
        <v>33</v>
      </c>
      <c r="B38" s="58">
        <f>+SUM(B39:B42)</f>
        <v>0</v>
      </c>
      <c r="C38" s="58">
        <f t="shared" ref="C38:J38" si="5">+SUM(C39:C42)</f>
        <v>0</v>
      </c>
      <c r="D38" s="58">
        <f t="shared" si="5"/>
        <v>14561797.674000001</v>
      </c>
      <c r="E38" s="58">
        <f t="shared" si="5"/>
        <v>4784081.6259999992</v>
      </c>
      <c r="F38" s="58">
        <f t="shared" si="5"/>
        <v>0</v>
      </c>
      <c r="G38" s="58">
        <f t="shared" si="5"/>
        <v>6002970.6539999992</v>
      </c>
      <c r="H38" s="58">
        <f t="shared" si="5"/>
        <v>1282175.956</v>
      </c>
      <c r="I38" s="58">
        <f t="shared" si="5"/>
        <v>2183832.88</v>
      </c>
      <c r="J38" s="58">
        <f t="shared" si="5"/>
        <v>378409.25</v>
      </c>
    </row>
    <row r="39" spans="1:13">
      <c r="A39" s="61" t="s">
        <v>34</v>
      </c>
      <c r="B39" s="56"/>
      <c r="C39" s="56"/>
      <c r="D39" s="56">
        <v>13504468.51</v>
      </c>
      <c r="E39" s="56">
        <v>4538267.8099999996</v>
      </c>
      <c r="F39" s="56"/>
      <c r="G39" s="56">
        <v>5555207.9399999995</v>
      </c>
      <c r="H39" s="56">
        <v>1117739.48</v>
      </c>
      <c r="I39" s="50">
        <v>1970846.2799999998</v>
      </c>
      <c r="J39" s="50">
        <v>345959.25</v>
      </c>
    </row>
    <row r="40" spans="1:13">
      <c r="A40" s="61" t="s">
        <v>35</v>
      </c>
      <c r="B40" s="56"/>
      <c r="C40" s="56"/>
      <c r="D40" s="56">
        <v>588828</v>
      </c>
      <c r="E40" s="56">
        <v>206552</v>
      </c>
      <c r="F40" s="56"/>
      <c r="G40" s="56">
        <v>314428</v>
      </c>
      <c r="H40" s="56">
        <v>109746</v>
      </c>
      <c r="I40" s="50">
        <v>192007</v>
      </c>
      <c r="J40" s="50">
        <v>30000</v>
      </c>
    </row>
    <row r="41" spans="1:13">
      <c r="A41" s="61" t="s">
        <v>36</v>
      </c>
      <c r="B41" s="56"/>
      <c r="C41" s="56"/>
      <c r="D41" s="56">
        <v>40081.423999999999</v>
      </c>
      <c r="E41" s="56">
        <v>39261.816000000006</v>
      </c>
      <c r="F41" s="56"/>
      <c r="G41" s="56">
        <v>82835.713999999993</v>
      </c>
      <c r="H41" s="56">
        <v>54690.476000000002</v>
      </c>
      <c r="I41" s="50">
        <v>20979.599999999999</v>
      </c>
      <c r="J41" s="50">
        <v>2450</v>
      </c>
    </row>
    <row r="42" spans="1:13">
      <c r="A42" s="61" t="s">
        <v>37</v>
      </c>
      <c r="B42" s="56"/>
      <c r="C42" s="56"/>
      <c r="D42" s="56">
        <v>428419.74</v>
      </c>
      <c r="E42" s="56">
        <v>0</v>
      </c>
      <c r="F42" s="56"/>
      <c r="G42" s="56">
        <v>50499</v>
      </c>
      <c r="H42" s="56">
        <v>0</v>
      </c>
      <c r="I42" s="50"/>
      <c r="J42" s="50"/>
    </row>
    <row r="43" spans="1:13">
      <c r="A43" s="62" t="s">
        <v>20</v>
      </c>
      <c r="B43" s="58">
        <f>+B29-B38</f>
        <v>0</v>
      </c>
      <c r="C43" s="58">
        <f t="shared" ref="C43:J43" si="6">+C29-C38</f>
        <v>0</v>
      </c>
      <c r="D43" s="58">
        <f t="shared" si="6"/>
        <v>5982556.949817447</v>
      </c>
      <c r="E43" s="58">
        <f t="shared" si="6"/>
        <v>2431314.114000001</v>
      </c>
      <c r="F43" s="58">
        <f t="shared" si="6"/>
        <v>0</v>
      </c>
      <c r="G43" s="58">
        <f t="shared" si="6"/>
        <v>2209952.1579980459</v>
      </c>
      <c r="H43" s="58">
        <f t="shared" si="6"/>
        <v>1003883.1439999996</v>
      </c>
      <c r="I43" s="58">
        <f t="shared" si="6"/>
        <v>1033075.8641844951</v>
      </c>
      <c r="J43" s="58">
        <f t="shared" si="6"/>
        <v>189942.75</v>
      </c>
      <c r="L43" s="49" t="s">
        <v>277</v>
      </c>
      <c r="M43" s="49">
        <v>498000</v>
      </c>
    </row>
    <row r="44" spans="1:13">
      <c r="A44" s="61" t="s">
        <v>38</v>
      </c>
      <c r="B44" s="56"/>
      <c r="C44" s="56"/>
      <c r="D44" s="56">
        <f>802318.442735835*62%</f>
        <v>497437.4344962177</v>
      </c>
      <c r="E44" s="56"/>
      <c r="F44" s="56"/>
      <c r="G44" s="56">
        <f>802318.442735835*27%</f>
        <v>216625.97953867546</v>
      </c>
      <c r="H44" s="56"/>
      <c r="I44" s="56">
        <f>802318.442735835*11%</f>
        <v>88255.028700941853</v>
      </c>
      <c r="J44" s="50"/>
      <c r="M44" s="49">
        <v>1162000</v>
      </c>
    </row>
    <row r="45" spans="1:13">
      <c r="A45" s="61" t="s">
        <v>39</v>
      </c>
      <c r="B45" s="56"/>
      <c r="C45" s="56"/>
      <c r="D45" s="56">
        <f>2678972.2739264*50%</f>
        <v>1339486.1369632001</v>
      </c>
      <c r="E45" s="56"/>
      <c r="F45" s="56"/>
      <c r="G45" s="56">
        <f>2678972.2739264*30%</f>
        <v>803691.68217792001</v>
      </c>
      <c r="H45" s="56"/>
      <c r="I45" s="56">
        <f>2678972.2739264*20%</f>
        <v>535794.45478528005</v>
      </c>
      <c r="J45" s="50"/>
      <c r="M45" s="49">
        <v>2075000</v>
      </c>
    </row>
    <row r="46" spans="1:13">
      <c r="A46" s="61" t="s">
        <v>40</v>
      </c>
      <c r="B46" s="56"/>
      <c r="C46" s="56"/>
      <c r="D46" s="56">
        <f>3533100*50%</f>
        <v>1766550</v>
      </c>
      <c r="E46" s="56"/>
      <c r="F46" s="56"/>
      <c r="G46" s="56">
        <f>3533100*30%</f>
        <v>1059930</v>
      </c>
      <c r="H46" s="56"/>
      <c r="I46" s="56">
        <f>3533100*20%</f>
        <v>706620</v>
      </c>
      <c r="J46" s="50"/>
    </row>
    <row r="47" spans="1:13">
      <c r="A47" s="62" t="s">
        <v>41</v>
      </c>
      <c r="B47" s="58">
        <f>+B43+B44+B45+B46</f>
        <v>0</v>
      </c>
      <c r="C47" s="58">
        <f t="shared" ref="C47:J47" si="7">+C43+C44+C45+C46</f>
        <v>0</v>
      </c>
      <c r="D47" s="58">
        <f t="shared" si="7"/>
        <v>9586030.5212768652</v>
      </c>
      <c r="E47" s="58">
        <f t="shared" si="7"/>
        <v>2431314.114000001</v>
      </c>
      <c r="F47" s="58">
        <f t="shared" si="7"/>
        <v>0</v>
      </c>
      <c r="G47" s="58">
        <f t="shared" si="7"/>
        <v>4290199.8197146412</v>
      </c>
      <c r="H47" s="58">
        <f t="shared" si="7"/>
        <v>1003883.1439999996</v>
      </c>
      <c r="I47" s="58">
        <f t="shared" si="7"/>
        <v>2363745.3476707172</v>
      </c>
      <c r="J47" s="58">
        <f t="shared" si="7"/>
        <v>189942.75</v>
      </c>
      <c r="L47" s="49" t="s">
        <v>278</v>
      </c>
      <c r="M47" s="49">
        <v>1099650</v>
      </c>
    </row>
    <row r="48" spans="1:13">
      <c r="A48" s="60"/>
      <c r="B48" s="56"/>
      <c r="C48" s="56"/>
      <c r="D48" s="56"/>
      <c r="E48" s="56"/>
      <c r="F48" s="56"/>
      <c r="G48" s="56"/>
      <c r="H48" s="56"/>
      <c r="I48" s="50"/>
      <c r="J48" s="50"/>
    </row>
    <row r="49" spans="1:10" ht="17.25">
      <c r="A49" s="57" t="s">
        <v>42</v>
      </c>
      <c r="B49" s="58">
        <f>+B51+B52</f>
        <v>0</v>
      </c>
      <c r="C49" s="58">
        <f t="shared" ref="C49:J49" si="8">+C51+C52</f>
        <v>1420030.25</v>
      </c>
      <c r="D49" s="58">
        <f t="shared" si="8"/>
        <v>0</v>
      </c>
      <c r="E49" s="58">
        <f t="shared" si="8"/>
        <v>0</v>
      </c>
      <c r="F49" s="58">
        <f t="shared" si="8"/>
        <v>0</v>
      </c>
      <c r="G49" s="58">
        <f t="shared" si="8"/>
        <v>0</v>
      </c>
      <c r="H49" s="58">
        <f t="shared" si="8"/>
        <v>0</v>
      </c>
      <c r="I49" s="58">
        <f t="shared" si="8"/>
        <v>0</v>
      </c>
      <c r="J49" s="58">
        <f t="shared" si="8"/>
        <v>0</v>
      </c>
    </row>
    <row r="50" spans="1:10">
      <c r="A50" s="61" t="s">
        <v>3</v>
      </c>
      <c r="B50" s="56"/>
      <c r="C50" s="56">
        <v>21</v>
      </c>
      <c r="D50" s="56"/>
      <c r="E50" s="56"/>
      <c r="F50" s="56"/>
      <c r="G50" s="56"/>
      <c r="H50" s="56"/>
      <c r="I50" s="50"/>
      <c r="J50" s="50"/>
    </row>
    <row r="51" spans="1:10">
      <c r="A51" s="61" t="s">
        <v>43</v>
      </c>
      <c r="B51" s="56"/>
      <c r="C51" s="56">
        <v>861624.07000000007</v>
      </c>
      <c r="D51" s="56"/>
      <c r="E51" s="56"/>
      <c r="F51" s="56"/>
      <c r="G51" s="56"/>
      <c r="H51" s="56"/>
      <c r="I51" s="50"/>
      <c r="J51" s="50"/>
    </row>
    <row r="52" spans="1:10">
      <c r="A52" s="61" t="s">
        <v>30</v>
      </c>
      <c r="B52" s="56"/>
      <c r="C52" s="56">
        <v>558406.17999999993</v>
      </c>
      <c r="D52" s="56"/>
      <c r="E52" s="56"/>
      <c r="F52" s="56"/>
      <c r="G52" s="56"/>
      <c r="H52" s="56"/>
      <c r="I52" s="50"/>
      <c r="J52" s="50"/>
    </row>
    <row r="53" spans="1:10">
      <c r="A53" s="61" t="s">
        <v>33</v>
      </c>
      <c r="B53" s="56"/>
      <c r="C53" s="56">
        <v>1272691.5999999994</v>
      </c>
      <c r="D53" s="56"/>
      <c r="E53" s="56"/>
      <c r="F53" s="56"/>
      <c r="G53" s="56"/>
      <c r="H53" s="56"/>
      <c r="I53" s="50"/>
      <c r="J53" s="50"/>
    </row>
    <row r="54" spans="1:10">
      <c r="A54" s="62" t="s">
        <v>20</v>
      </c>
      <c r="B54" s="58">
        <f>+B49-B53</f>
        <v>0</v>
      </c>
      <c r="C54" s="58">
        <f>+C49-C53</f>
        <v>147338.65000000061</v>
      </c>
      <c r="D54" s="58">
        <f t="shared" ref="D54:J54" si="9">+D49-D53</f>
        <v>0</v>
      </c>
      <c r="E54" s="58">
        <f t="shared" si="9"/>
        <v>0</v>
      </c>
      <c r="F54" s="58">
        <f t="shared" si="9"/>
        <v>0</v>
      </c>
      <c r="G54" s="58">
        <f t="shared" si="9"/>
        <v>0</v>
      </c>
      <c r="H54" s="58">
        <f t="shared" si="9"/>
        <v>0</v>
      </c>
      <c r="I54" s="58">
        <f t="shared" si="9"/>
        <v>0</v>
      </c>
      <c r="J54" s="58">
        <f t="shared" si="9"/>
        <v>0</v>
      </c>
    </row>
    <row r="55" spans="1:10">
      <c r="A55" s="61" t="s">
        <v>44</v>
      </c>
      <c r="B55" s="56"/>
      <c r="C55" s="56">
        <v>54500</v>
      </c>
      <c r="D55" s="56">
        <v>311965</v>
      </c>
      <c r="E55" s="56"/>
      <c r="F55" s="56"/>
      <c r="G55" s="56">
        <v>214710</v>
      </c>
      <c r="H55" s="56"/>
      <c r="I55" s="50">
        <v>18510</v>
      </c>
      <c r="J55" s="50"/>
    </row>
    <row r="56" spans="1:10">
      <c r="A56" s="61" t="s">
        <v>33</v>
      </c>
      <c r="B56" s="56"/>
      <c r="C56" s="56">
        <v>27250</v>
      </c>
      <c r="D56" s="56">
        <v>155982.5</v>
      </c>
      <c r="E56" s="56"/>
      <c r="F56" s="56"/>
      <c r="G56" s="56">
        <v>107355</v>
      </c>
      <c r="H56" s="56"/>
      <c r="I56" s="50">
        <v>9255</v>
      </c>
      <c r="J56" s="50"/>
    </row>
    <row r="57" spans="1:10">
      <c r="A57" s="62" t="s">
        <v>20</v>
      </c>
      <c r="B57" s="58">
        <f t="shared" ref="B57:J57" si="10">+B55-B56</f>
        <v>0</v>
      </c>
      <c r="C57" s="58">
        <f t="shared" si="10"/>
        <v>27250</v>
      </c>
      <c r="D57" s="58">
        <f t="shared" si="10"/>
        <v>155982.5</v>
      </c>
      <c r="E57" s="58">
        <f t="shared" si="10"/>
        <v>0</v>
      </c>
      <c r="F57" s="58">
        <f t="shared" si="10"/>
        <v>0</v>
      </c>
      <c r="G57" s="58">
        <f t="shared" si="10"/>
        <v>107355</v>
      </c>
      <c r="H57" s="58">
        <f t="shared" si="10"/>
        <v>0</v>
      </c>
      <c r="I57" s="58">
        <f t="shared" si="10"/>
        <v>9255</v>
      </c>
      <c r="J57" s="58">
        <f t="shared" si="10"/>
        <v>0</v>
      </c>
    </row>
    <row r="58" spans="1:10">
      <c r="A58" s="62" t="s">
        <v>45</v>
      </c>
      <c r="B58" s="56">
        <f>+B54+B57</f>
        <v>0</v>
      </c>
      <c r="C58" s="56">
        <f t="shared" ref="C58:J58" si="11">+C54+C57</f>
        <v>174588.65000000061</v>
      </c>
      <c r="D58" s="56">
        <f t="shared" si="11"/>
        <v>155982.5</v>
      </c>
      <c r="E58" s="56">
        <f t="shared" si="11"/>
        <v>0</v>
      </c>
      <c r="F58" s="56">
        <f t="shared" si="11"/>
        <v>0</v>
      </c>
      <c r="G58" s="56">
        <f t="shared" si="11"/>
        <v>107355</v>
      </c>
      <c r="H58" s="56">
        <f t="shared" si="11"/>
        <v>0</v>
      </c>
      <c r="I58" s="56">
        <f t="shared" si="11"/>
        <v>9255</v>
      </c>
      <c r="J58" s="56">
        <f t="shared" si="11"/>
        <v>0</v>
      </c>
    </row>
    <row r="59" spans="1:10">
      <c r="A59" s="60"/>
      <c r="B59" s="56"/>
      <c r="C59" s="56"/>
      <c r="D59" s="56"/>
      <c r="E59" s="56"/>
      <c r="F59" s="56"/>
      <c r="G59" s="56"/>
      <c r="H59" s="56"/>
      <c r="I59" s="50"/>
      <c r="J59" s="50"/>
    </row>
    <row r="60" spans="1:10">
      <c r="A60" s="63" t="s">
        <v>46</v>
      </c>
      <c r="B60" s="58">
        <f>+SUM(B61:B69)</f>
        <v>1601218.8160000001</v>
      </c>
      <c r="C60" s="58">
        <f t="shared" ref="C60:J60" si="12">+SUM(C61:C69)</f>
        <v>0</v>
      </c>
      <c r="D60" s="58">
        <f t="shared" si="12"/>
        <v>107411.9472</v>
      </c>
      <c r="E60" s="58">
        <f t="shared" si="12"/>
        <v>802790.14480000001</v>
      </c>
      <c r="F60" s="58">
        <f t="shared" si="12"/>
        <v>717569.74100000004</v>
      </c>
      <c r="G60" s="58">
        <f t="shared" si="12"/>
        <v>7351.6085999999987</v>
      </c>
      <c r="H60" s="58">
        <f t="shared" si="12"/>
        <v>4901.0724</v>
      </c>
      <c r="I60" s="58">
        <f t="shared" si="12"/>
        <v>0</v>
      </c>
      <c r="J60" s="58">
        <f t="shared" si="12"/>
        <v>0</v>
      </c>
    </row>
    <row r="61" spans="1:10">
      <c r="A61" s="61" t="s">
        <v>47</v>
      </c>
      <c r="B61" s="56">
        <v>151112</v>
      </c>
      <c r="C61" s="56"/>
      <c r="D61" s="56"/>
      <c r="E61" s="56"/>
      <c r="F61" s="56">
        <v>135476.06</v>
      </c>
      <c r="G61" s="56"/>
      <c r="H61" s="56"/>
      <c r="I61" s="50"/>
      <c r="J61" s="50"/>
    </row>
    <row r="62" spans="1:10">
      <c r="A62" s="61" t="s">
        <v>48</v>
      </c>
      <c r="B62" s="56"/>
      <c r="C62" s="56"/>
      <c r="D62" s="56"/>
      <c r="E62" s="56">
        <v>792988</v>
      </c>
      <c r="F62" s="56"/>
      <c r="G62" s="56"/>
      <c r="H62" s="56"/>
      <c r="I62" s="50"/>
      <c r="J62" s="50"/>
    </row>
    <row r="63" spans="1:10">
      <c r="A63" s="61" t="s">
        <v>49</v>
      </c>
      <c r="B63" s="56">
        <v>842433</v>
      </c>
      <c r="C63" s="56"/>
      <c r="D63" s="56"/>
      <c r="E63" s="56"/>
      <c r="F63" s="56">
        <v>179841</v>
      </c>
      <c r="G63" s="56"/>
      <c r="H63" s="56"/>
      <c r="I63" s="50"/>
      <c r="J63" s="50"/>
    </row>
    <row r="64" spans="1:10">
      <c r="A64" s="61" t="s">
        <v>50</v>
      </c>
      <c r="B64" s="56">
        <v>300000</v>
      </c>
      <c r="C64" s="56"/>
      <c r="D64" s="56"/>
      <c r="E64" s="56"/>
      <c r="F64" s="56">
        <v>140000</v>
      </c>
      <c r="G64" s="56"/>
      <c r="H64" s="56"/>
      <c r="I64" s="50"/>
      <c r="J64" s="50"/>
    </row>
    <row r="65" spans="1:10">
      <c r="A65" s="61" t="s">
        <v>51</v>
      </c>
      <c r="B65" s="56"/>
      <c r="C65" s="56"/>
      <c r="D65" s="56"/>
      <c r="E65" s="56"/>
      <c r="F65" s="56"/>
      <c r="G65" s="56"/>
      <c r="H65" s="56"/>
      <c r="I65" s="50"/>
      <c r="J65" s="50"/>
    </row>
    <row r="66" spans="1:10">
      <c r="A66" s="61" t="s">
        <v>52</v>
      </c>
      <c r="B66" s="56"/>
      <c r="C66" s="56"/>
      <c r="D66" s="56">
        <v>17030</v>
      </c>
      <c r="E66" s="56"/>
      <c r="F66" s="56"/>
      <c r="G66" s="56"/>
      <c r="H66" s="56"/>
      <c r="I66" s="50"/>
      <c r="J66" s="50"/>
    </row>
    <row r="67" spans="1:10">
      <c r="A67" s="61" t="s">
        <v>53</v>
      </c>
      <c r="B67" s="56">
        <v>275000</v>
      </c>
      <c r="C67" s="56"/>
      <c r="D67" s="56">
        <v>39993.33</v>
      </c>
      <c r="E67" s="56"/>
      <c r="F67" s="56">
        <v>250000</v>
      </c>
      <c r="G67" s="56"/>
      <c r="H67" s="56"/>
      <c r="I67" s="50"/>
      <c r="J67" s="50"/>
    </row>
    <row r="68" spans="1:10">
      <c r="A68" s="61" t="s">
        <v>54</v>
      </c>
      <c r="B68" s="56">
        <v>32673.815999999999</v>
      </c>
      <c r="C68" s="56"/>
      <c r="D68" s="56">
        <v>14703.217199999997</v>
      </c>
      <c r="E68" s="56">
        <v>9802.1448</v>
      </c>
      <c r="F68" s="56">
        <v>12252.680999999999</v>
      </c>
      <c r="G68" s="56">
        <v>7351.6085999999987</v>
      </c>
      <c r="H68" s="56">
        <v>4901.0724</v>
      </c>
      <c r="I68" s="50"/>
      <c r="J68" s="50"/>
    </row>
    <row r="69" spans="1:10">
      <c r="A69" s="61" t="s">
        <v>55</v>
      </c>
      <c r="B69" s="56"/>
      <c r="C69" s="56"/>
      <c r="D69" s="56">
        <v>35685.4</v>
      </c>
      <c r="E69" s="56"/>
      <c r="F69" s="56"/>
      <c r="G69" s="56"/>
      <c r="H69" s="56"/>
      <c r="I69" s="50"/>
      <c r="J69" s="50"/>
    </row>
    <row r="70" spans="1:10">
      <c r="A70" s="64" t="s">
        <v>56</v>
      </c>
      <c r="B70" s="58">
        <f>+(B7/3.5%)+B8+B13+B29+B27+B49+B55+B60</f>
        <v>175202410.68584803</v>
      </c>
      <c r="C70" s="58">
        <f t="shared" ref="C70:J70" si="13">+(C7/3.5%)+C8+C13+C29+C27+C49+C55+C60</f>
        <v>1474530.25</v>
      </c>
      <c r="D70" s="58">
        <f t="shared" si="13"/>
        <v>20963731.571017448</v>
      </c>
      <c r="E70" s="58">
        <f t="shared" si="13"/>
        <v>8018185.8848000001</v>
      </c>
      <c r="F70" s="58">
        <f t="shared" si="13"/>
        <v>81641177.074409992</v>
      </c>
      <c r="G70" s="58">
        <f t="shared" si="13"/>
        <v>8434984.420598045</v>
      </c>
      <c r="H70" s="58">
        <f t="shared" si="13"/>
        <v>2290960.1723999996</v>
      </c>
      <c r="I70" s="58">
        <f t="shared" si="13"/>
        <v>3235418.7441844949</v>
      </c>
      <c r="J70" s="58">
        <f t="shared" si="13"/>
        <v>568352</v>
      </c>
    </row>
    <row r="71" spans="1:10">
      <c r="A71" s="64" t="s">
        <v>57</v>
      </c>
      <c r="B71" s="58">
        <f>+B6+B27+B47+B58+B60</f>
        <v>10489127.103348</v>
      </c>
      <c r="C71" s="58">
        <f t="shared" ref="C71:J71" si="14">+C6+C27+C47+C58+C60</f>
        <v>174588.65000000061</v>
      </c>
      <c r="D71" s="58">
        <f t="shared" si="14"/>
        <v>9849424.9684768654</v>
      </c>
      <c r="E71" s="58">
        <f t="shared" si="14"/>
        <v>3234104.2588000009</v>
      </c>
      <c r="F71" s="58">
        <f t="shared" si="14"/>
        <v>5348478.9620600007</v>
      </c>
      <c r="G71" s="58">
        <f t="shared" si="14"/>
        <v>4404906.4283146411</v>
      </c>
      <c r="H71" s="58">
        <f t="shared" si="14"/>
        <v>1008784.2163999996</v>
      </c>
      <c r="I71" s="58">
        <f t="shared" si="14"/>
        <v>2373000.3476707172</v>
      </c>
      <c r="J71" s="58">
        <f t="shared" si="14"/>
        <v>189942.75</v>
      </c>
    </row>
    <row r="72" spans="1:10">
      <c r="A72" s="65" t="s">
        <v>58</v>
      </c>
      <c r="B72" s="111">
        <f>IFERROR(B71/B70,0)</f>
        <v>5.9868623167268209E-2</v>
      </c>
      <c r="C72" s="111">
        <f t="shared" ref="C72:J72" si="15">IFERROR(C71/C70,0)</f>
        <v>0.11840289475241393</v>
      </c>
      <c r="D72" s="111">
        <f t="shared" si="15"/>
        <v>0.46983166785505814</v>
      </c>
      <c r="E72" s="111">
        <f t="shared" si="15"/>
        <v>0.40334613156460514</v>
      </c>
      <c r="F72" s="111">
        <f t="shared" si="15"/>
        <v>6.5512026574350485E-2</v>
      </c>
      <c r="G72" s="111">
        <f t="shared" si="15"/>
        <v>0.52221867980668191</v>
      </c>
      <c r="H72" s="111">
        <f t="shared" si="15"/>
        <v>0.44033249837914107</v>
      </c>
      <c r="I72" s="111">
        <f t="shared" si="15"/>
        <v>0.73344458176737337</v>
      </c>
      <c r="J72" s="111">
        <f t="shared" si="15"/>
        <v>0.33419914067338552</v>
      </c>
    </row>
    <row r="73" spans="1:10">
      <c r="A73" s="60"/>
      <c r="B73" s="56"/>
      <c r="C73" s="56"/>
      <c r="D73" s="56"/>
      <c r="E73" s="56"/>
      <c r="F73" s="56"/>
      <c r="G73" s="56"/>
      <c r="H73" s="56"/>
      <c r="I73" s="50"/>
      <c r="J73" s="50"/>
    </row>
    <row r="74" spans="1:10">
      <c r="A74" s="60"/>
      <c r="B74" s="56"/>
      <c r="C74" s="56"/>
      <c r="D74" s="56"/>
      <c r="E74" s="56"/>
      <c r="F74" s="56"/>
      <c r="G74" s="56"/>
      <c r="H74" s="56"/>
      <c r="I74" s="50"/>
      <c r="J74" s="50"/>
    </row>
    <row r="75" spans="1:10" ht="17.25">
      <c r="A75" s="17" t="s">
        <v>59</v>
      </c>
      <c r="B75" s="67">
        <f>+B76+B87+B90</f>
        <v>2128107.2999999998</v>
      </c>
      <c r="C75" s="67">
        <f t="shared" ref="C75:J75" si="16">+C76+C87+C90</f>
        <v>8400</v>
      </c>
      <c r="D75" s="67">
        <f t="shared" si="16"/>
        <v>616576.35422222211</v>
      </c>
      <c r="E75" s="67">
        <f t="shared" si="16"/>
        <v>214408.90777777776</v>
      </c>
      <c r="F75" s="67">
        <f t="shared" si="16"/>
        <v>698013.77333333332</v>
      </c>
      <c r="G75" s="67">
        <f t="shared" si="16"/>
        <v>112275.35133333322</v>
      </c>
      <c r="H75" s="67">
        <f t="shared" si="16"/>
        <v>74105.71211111109</v>
      </c>
      <c r="I75" s="67">
        <f t="shared" si="16"/>
        <v>179836.96022222226</v>
      </c>
      <c r="J75" s="67">
        <f t="shared" si="16"/>
        <v>14323.2</v>
      </c>
    </row>
    <row r="76" spans="1:10">
      <c r="A76" s="66" t="s">
        <v>60</v>
      </c>
      <c r="B76" s="67">
        <f>+SUM(B77:B86)</f>
        <v>724856.24</v>
      </c>
      <c r="C76" s="67">
        <f t="shared" ref="C76:J76" si="17">+SUM(C77:C86)</f>
        <v>0</v>
      </c>
      <c r="D76" s="67">
        <f t="shared" si="17"/>
        <v>0</v>
      </c>
      <c r="E76" s="67">
        <f t="shared" si="17"/>
        <v>18127.14</v>
      </c>
      <c r="F76" s="67">
        <f t="shared" si="17"/>
        <v>310755.65999999997</v>
      </c>
      <c r="G76" s="67">
        <f t="shared" si="17"/>
        <v>0</v>
      </c>
      <c r="H76" s="67">
        <f t="shared" si="17"/>
        <v>0</v>
      </c>
      <c r="I76" s="67">
        <f t="shared" si="17"/>
        <v>0</v>
      </c>
      <c r="J76" s="67">
        <f t="shared" si="17"/>
        <v>0</v>
      </c>
    </row>
    <row r="77" spans="1:10">
      <c r="A77" s="61" t="s">
        <v>61</v>
      </c>
      <c r="B77" s="68">
        <v>273261.46999999997</v>
      </c>
      <c r="C77" s="68">
        <v>0</v>
      </c>
      <c r="D77" s="68">
        <v>0</v>
      </c>
      <c r="E77" s="68">
        <v>0</v>
      </c>
      <c r="F77" s="68">
        <v>127576.47</v>
      </c>
      <c r="G77" s="68">
        <v>0</v>
      </c>
      <c r="H77" s="68">
        <v>0</v>
      </c>
      <c r="I77" s="68">
        <v>0</v>
      </c>
      <c r="J77" s="68">
        <v>0</v>
      </c>
    </row>
    <row r="78" spans="1:10">
      <c r="A78" s="61" t="s">
        <v>62</v>
      </c>
      <c r="B78" s="68">
        <v>195285.83</v>
      </c>
      <c r="C78" s="68">
        <v>0</v>
      </c>
      <c r="D78" s="68">
        <v>0</v>
      </c>
      <c r="E78" s="68">
        <v>0</v>
      </c>
      <c r="F78" s="68">
        <v>154402.23999999999</v>
      </c>
      <c r="G78" s="68">
        <v>0</v>
      </c>
      <c r="H78" s="68">
        <v>0</v>
      </c>
      <c r="I78" s="68">
        <v>0</v>
      </c>
      <c r="J78" s="68">
        <v>0</v>
      </c>
    </row>
    <row r="79" spans="1:10">
      <c r="A79" s="61" t="s">
        <v>63</v>
      </c>
      <c r="B79" s="68">
        <v>0</v>
      </c>
      <c r="C79" s="68">
        <v>0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</row>
    <row r="80" spans="1:10">
      <c r="A80" s="61" t="s">
        <v>221</v>
      </c>
      <c r="B80" s="68">
        <v>153464.94000000003</v>
      </c>
      <c r="C80" s="68">
        <v>0</v>
      </c>
      <c r="D80" s="68">
        <v>0</v>
      </c>
      <c r="E80" s="68">
        <v>0</v>
      </c>
      <c r="F80" s="68">
        <v>28776.95</v>
      </c>
      <c r="G80" s="68">
        <v>0</v>
      </c>
      <c r="H80" s="68">
        <v>0</v>
      </c>
      <c r="I80" s="68">
        <v>0</v>
      </c>
      <c r="J80" s="68">
        <v>0</v>
      </c>
    </row>
    <row r="81" spans="1:10">
      <c r="A81" s="61" t="s">
        <v>65</v>
      </c>
      <c r="B81" s="68">
        <v>0</v>
      </c>
      <c r="C81" s="68">
        <v>0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</row>
    <row r="82" spans="1:10">
      <c r="A82" s="61" t="s">
        <v>66</v>
      </c>
      <c r="B82" s="68">
        <v>0</v>
      </c>
      <c r="C82" s="68">
        <v>0</v>
      </c>
      <c r="D82" s="68">
        <v>0</v>
      </c>
      <c r="E82" s="68">
        <v>18127.14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</row>
    <row r="83" spans="1:10">
      <c r="A83" s="61" t="s">
        <v>67</v>
      </c>
      <c r="B83" s="68">
        <v>0</v>
      </c>
      <c r="C83" s="68">
        <v>0</v>
      </c>
      <c r="D83" s="68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</row>
    <row r="84" spans="1:10">
      <c r="A84" s="61" t="s">
        <v>68</v>
      </c>
      <c r="B84" s="68">
        <v>2844</v>
      </c>
      <c r="C84" s="68">
        <v>0</v>
      </c>
      <c r="D84" s="68">
        <v>0</v>
      </c>
      <c r="E84" s="68">
        <v>0</v>
      </c>
      <c r="F84" s="68">
        <v>0</v>
      </c>
      <c r="G84" s="68">
        <v>0</v>
      </c>
      <c r="H84" s="68">
        <v>0</v>
      </c>
      <c r="I84" s="68">
        <v>0</v>
      </c>
      <c r="J84" s="68">
        <v>0</v>
      </c>
    </row>
    <row r="85" spans="1:10">
      <c r="A85" s="61" t="s">
        <v>69</v>
      </c>
      <c r="B85" s="68">
        <v>100000</v>
      </c>
      <c r="C85" s="68">
        <v>0</v>
      </c>
      <c r="D85" s="68">
        <v>0</v>
      </c>
      <c r="E85" s="68">
        <v>0</v>
      </c>
      <c r="F85" s="68">
        <v>0</v>
      </c>
      <c r="G85" s="68">
        <v>0</v>
      </c>
      <c r="H85" s="68">
        <v>0</v>
      </c>
      <c r="I85" s="68">
        <v>0</v>
      </c>
      <c r="J85" s="68">
        <v>0</v>
      </c>
    </row>
    <row r="86" spans="1:10">
      <c r="A86" s="61" t="s">
        <v>70</v>
      </c>
      <c r="B86" s="68">
        <v>0</v>
      </c>
      <c r="C86" s="68">
        <v>0</v>
      </c>
      <c r="D86" s="68">
        <v>0</v>
      </c>
      <c r="E86" s="68">
        <v>0</v>
      </c>
      <c r="F86" s="68">
        <v>0</v>
      </c>
      <c r="G86" s="68">
        <v>0</v>
      </c>
      <c r="H86" s="68">
        <v>0</v>
      </c>
      <c r="I86" s="68">
        <v>0</v>
      </c>
      <c r="J86" s="68">
        <v>0</v>
      </c>
    </row>
    <row r="87" spans="1:10">
      <c r="A87" s="66" t="s">
        <v>71</v>
      </c>
      <c r="B87" s="67">
        <f>+SUM(B88:B89)</f>
        <v>983394</v>
      </c>
      <c r="C87" s="67">
        <f t="shared" ref="C87:J87" si="18">+SUM(C88:C89)</f>
        <v>8400</v>
      </c>
      <c r="D87" s="67">
        <f t="shared" si="18"/>
        <v>560164.66199999989</v>
      </c>
      <c r="E87" s="67">
        <f t="shared" si="18"/>
        <v>190263.59</v>
      </c>
      <c r="F87" s="67">
        <f t="shared" si="18"/>
        <v>56523</v>
      </c>
      <c r="G87" s="67">
        <f t="shared" si="18"/>
        <v>108548.06999999989</v>
      </c>
      <c r="H87" s="67">
        <f t="shared" si="18"/>
        <v>64549.498999999974</v>
      </c>
      <c r="I87" s="67">
        <f t="shared" si="18"/>
        <v>178084.68800000002</v>
      </c>
      <c r="J87" s="67">
        <f t="shared" si="18"/>
        <v>14323.2</v>
      </c>
    </row>
    <row r="88" spans="1:10">
      <c r="A88" s="61" t="s">
        <v>222</v>
      </c>
      <c r="B88" s="68">
        <v>983394</v>
      </c>
      <c r="C88" s="68">
        <v>8400</v>
      </c>
      <c r="D88" s="68">
        <v>560164.66199999989</v>
      </c>
      <c r="E88" s="68">
        <v>190263.59</v>
      </c>
      <c r="F88" s="68">
        <v>56523</v>
      </c>
      <c r="G88" s="68">
        <v>108548.06999999989</v>
      </c>
      <c r="H88" s="68">
        <v>64549.498999999974</v>
      </c>
      <c r="I88" s="69">
        <v>178084.68800000002</v>
      </c>
      <c r="J88" s="69">
        <v>14323.2</v>
      </c>
    </row>
    <row r="89" spans="1:10">
      <c r="A89" s="61" t="s">
        <v>223</v>
      </c>
      <c r="B89" s="68"/>
      <c r="C89" s="68"/>
      <c r="D89" s="68"/>
      <c r="E89" s="68"/>
      <c r="F89" s="68"/>
      <c r="G89" s="68"/>
      <c r="H89" s="68"/>
      <c r="I89" s="68"/>
      <c r="J89" s="68"/>
    </row>
    <row r="90" spans="1:10">
      <c r="A90" s="66" t="s">
        <v>72</v>
      </c>
      <c r="B90" s="67">
        <f>+SUM(B91:B102)</f>
        <v>419857.05999999994</v>
      </c>
      <c r="C90" s="67">
        <f t="shared" ref="C90:J90" si="19">+SUM(C91:C102)</f>
        <v>0</v>
      </c>
      <c r="D90" s="67">
        <f t="shared" si="19"/>
        <v>56411.692222222227</v>
      </c>
      <c r="E90" s="67">
        <f t="shared" si="19"/>
        <v>6018.1777777777779</v>
      </c>
      <c r="F90" s="67">
        <f t="shared" si="19"/>
        <v>330735.11333333334</v>
      </c>
      <c r="G90" s="67">
        <f t="shared" si="19"/>
        <v>3727.2813333333334</v>
      </c>
      <c r="H90" s="67">
        <f t="shared" si="19"/>
        <v>9556.2131111111103</v>
      </c>
      <c r="I90" s="67">
        <f t="shared" si="19"/>
        <v>1752.2722222222224</v>
      </c>
      <c r="J90" s="67">
        <f t="shared" si="19"/>
        <v>0</v>
      </c>
    </row>
    <row r="91" spans="1:10">
      <c r="A91" s="61" t="s">
        <v>224</v>
      </c>
      <c r="B91" s="68">
        <v>0</v>
      </c>
      <c r="C91" s="68">
        <v>0</v>
      </c>
      <c r="D91" s="68">
        <v>0</v>
      </c>
      <c r="E91" s="68">
        <v>0</v>
      </c>
      <c r="F91" s="68">
        <v>0</v>
      </c>
      <c r="G91" s="68">
        <v>0</v>
      </c>
      <c r="H91" s="68">
        <v>0</v>
      </c>
      <c r="I91" s="68">
        <v>0</v>
      </c>
      <c r="J91" s="68">
        <v>0</v>
      </c>
    </row>
    <row r="92" spans="1:10">
      <c r="A92" s="61" t="s">
        <v>73</v>
      </c>
      <c r="B92" s="68">
        <v>0</v>
      </c>
      <c r="C92" s="68">
        <v>0</v>
      </c>
      <c r="D92" s="68">
        <v>52207.692222222227</v>
      </c>
      <c r="E92" s="68">
        <v>6018.1777777777779</v>
      </c>
      <c r="F92" s="68">
        <v>28887.25333333333</v>
      </c>
      <c r="G92" s="68">
        <v>3727.2813333333334</v>
      </c>
      <c r="H92" s="68">
        <v>9556.2131111111103</v>
      </c>
      <c r="I92" s="68">
        <v>1752.2722222222224</v>
      </c>
      <c r="J92" s="68">
        <v>0</v>
      </c>
    </row>
    <row r="93" spans="1:10">
      <c r="A93" s="61" t="s">
        <v>74</v>
      </c>
      <c r="B93" s="68">
        <v>206325.58999999997</v>
      </c>
      <c r="C93" s="68">
        <v>0</v>
      </c>
      <c r="D93" s="68">
        <v>0</v>
      </c>
      <c r="E93" s="68">
        <v>0</v>
      </c>
      <c r="F93" s="68">
        <v>161118.70000000001</v>
      </c>
      <c r="G93" s="68"/>
      <c r="H93" s="68"/>
      <c r="I93" s="68">
        <v>0</v>
      </c>
      <c r="J93" s="68">
        <v>0</v>
      </c>
    </row>
    <row r="94" spans="1:10">
      <c r="A94" s="61" t="s">
        <v>75</v>
      </c>
      <c r="B94" s="68">
        <v>6000</v>
      </c>
      <c r="C94" s="68">
        <v>0</v>
      </c>
      <c r="D94" s="68">
        <v>0</v>
      </c>
      <c r="E94" s="68">
        <v>0</v>
      </c>
      <c r="F94" s="68">
        <v>8500</v>
      </c>
      <c r="G94" s="68">
        <v>0</v>
      </c>
      <c r="H94" s="68">
        <v>0</v>
      </c>
      <c r="I94" s="68">
        <v>0</v>
      </c>
      <c r="J94" s="68">
        <v>0</v>
      </c>
    </row>
    <row r="95" spans="1:10">
      <c r="A95" s="61" t="s">
        <v>76</v>
      </c>
      <c r="B95" s="68">
        <v>0</v>
      </c>
      <c r="C95" s="68">
        <v>0</v>
      </c>
      <c r="D95" s="68">
        <v>0</v>
      </c>
      <c r="E95" s="68">
        <v>0</v>
      </c>
      <c r="F95" s="68">
        <v>0</v>
      </c>
      <c r="G95" s="68">
        <v>0</v>
      </c>
      <c r="H95" s="68">
        <v>0</v>
      </c>
      <c r="I95" s="68">
        <v>0</v>
      </c>
      <c r="J95" s="68">
        <v>0</v>
      </c>
    </row>
    <row r="96" spans="1:10">
      <c r="A96" s="61" t="s">
        <v>77</v>
      </c>
      <c r="B96" s="68">
        <v>5423.5</v>
      </c>
      <c r="C96" s="68">
        <v>0</v>
      </c>
      <c r="D96" s="68">
        <v>0</v>
      </c>
      <c r="E96" s="68">
        <v>0</v>
      </c>
      <c r="F96" s="68">
        <v>17282.8</v>
      </c>
      <c r="G96" s="68">
        <v>0</v>
      </c>
      <c r="H96" s="68">
        <v>0</v>
      </c>
      <c r="I96" s="68">
        <v>0</v>
      </c>
      <c r="J96" s="68">
        <v>0</v>
      </c>
    </row>
    <row r="97" spans="1:10">
      <c r="A97" s="61" t="s">
        <v>78</v>
      </c>
      <c r="B97" s="68">
        <v>18771</v>
      </c>
      <c r="C97" s="68">
        <v>0</v>
      </c>
      <c r="D97" s="68">
        <v>0</v>
      </c>
      <c r="E97" s="68">
        <v>0</v>
      </c>
      <c r="F97" s="68">
        <v>26747.7</v>
      </c>
      <c r="G97" s="68">
        <v>0</v>
      </c>
      <c r="H97" s="68">
        <v>0</v>
      </c>
      <c r="I97" s="68">
        <v>0</v>
      </c>
      <c r="J97" s="68">
        <v>0</v>
      </c>
    </row>
    <row r="98" spans="1:10">
      <c r="A98" s="61" t="s">
        <v>79</v>
      </c>
      <c r="B98" s="68">
        <v>37786.18</v>
      </c>
      <c r="C98" s="68">
        <v>0</v>
      </c>
      <c r="D98" s="68">
        <v>0</v>
      </c>
      <c r="E98" s="68">
        <v>0</v>
      </c>
      <c r="F98" s="68">
        <v>27225.02</v>
      </c>
      <c r="G98" s="68">
        <v>0</v>
      </c>
      <c r="H98" s="68">
        <v>0</v>
      </c>
      <c r="I98" s="68">
        <v>0</v>
      </c>
      <c r="J98" s="68">
        <v>0</v>
      </c>
    </row>
    <row r="99" spans="1:10">
      <c r="A99" s="61" t="s">
        <v>80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</row>
    <row r="100" spans="1:10">
      <c r="A100" s="61" t="s">
        <v>81</v>
      </c>
      <c r="B100" s="68">
        <v>817.58</v>
      </c>
      <c r="C100" s="68">
        <v>0</v>
      </c>
      <c r="D100" s="68">
        <v>0</v>
      </c>
      <c r="E100" s="68">
        <v>0</v>
      </c>
      <c r="F100" s="68">
        <v>0</v>
      </c>
      <c r="G100" s="68">
        <v>0</v>
      </c>
      <c r="H100" s="68">
        <v>0</v>
      </c>
      <c r="I100" s="68">
        <v>0</v>
      </c>
      <c r="J100" s="68">
        <v>0</v>
      </c>
    </row>
    <row r="101" spans="1:10">
      <c r="A101" s="61" t="s">
        <v>82</v>
      </c>
      <c r="B101" s="68">
        <v>126302.54</v>
      </c>
      <c r="C101" s="68">
        <v>0</v>
      </c>
      <c r="D101" s="68">
        <v>0</v>
      </c>
      <c r="E101" s="68">
        <v>0</v>
      </c>
      <c r="F101" s="68">
        <v>60973.64</v>
      </c>
      <c r="G101" s="68">
        <v>0</v>
      </c>
      <c r="H101" s="68">
        <v>0</v>
      </c>
      <c r="I101" s="68">
        <v>0</v>
      </c>
      <c r="J101" s="68">
        <v>0</v>
      </c>
    </row>
    <row r="102" spans="1:10">
      <c r="A102" s="61" t="s">
        <v>83</v>
      </c>
      <c r="B102" s="68">
        <v>18430.669999999998</v>
      </c>
      <c r="C102" s="68">
        <v>0</v>
      </c>
      <c r="D102" s="68">
        <v>4204</v>
      </c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0</v>
      </c>
    </row>
    <row r="103" spans="1:10">
      <c r="A103" s="61"/>
      <c r="B103" s="68"/>
      <c r="C103" s="68"/>
      <c r="D103" s="68"/>
      <c r="E103" s="68"/>
      <c r="F103" s="68"/>
      <c r="G103" s="68"/>
      <c r="H103" s="68"/>
      <c r="I103" s="69"/>
      <c r="J103" s="69"/>
    </row>
    <row r="104" spans="1:10" ht="17.25">
      <c r="A104" s="70" t="s">
        <v>84</v>
      </c>
      <c r="B104" s="67">
        <f>+SUM(B105:B113)</f>
        <v>992826.97599999991</v>
      </c>
      <c r="C104" s="67">
        <f t="shared" ref="C104:J104" si="20">+SUM(C105:C113)</f>
        <v>0</v>
      </c>
      <c r="D104" s="67">
        <f t="shared" si="20"/>
        <v>436249.11</v>
      </c>
      <c r="E104" s="67">
        <f t="shared" si="20"/>
        <v>0</v>
      </c>
      <c r="F104" s="67">
        <f t="shared" si="20"/>
        <v>452203.984</v>
      </c>
      <c r="G104" s="67">
        <f t="shared" si="20"/>
        <v>51239.29</v>
      </c>
      <c r="H104" s="67">
        <f t="shared" si="20"/>
        <v>0</v>
      </c>
      <c r="I104" s="67">
        <f t="shared" si="20"/>
        <v>52115</v>
      </c>
      <c r="J104" s="67">
        <f t="shared" si="20"/>
        <v>0</v>
      </c>
    </row>
    <row r="105" spans="1:10">
      <c r="A105" s="61" t="s">
        <v>85</v>
      </c>
      <c r="B105" s="68"/>
      <c r="C105" s="68">
        <v>0</v>
      </c>
      <c r="D105" s="68">
        <v>415202.70999999996</v>
      </c>
      <c r="E105" s="68">
        <v>0</v>
      </c>
      <c r="F105" s="68"/>
      <c r="G105" s="68">
        <v>43841.69</v>
      </c>
      <c r="H105" s="68">
        <v>0</v>
      </c>
      <c r="I105" s="68">
        <v>0</v>
      </c>
      <c r="J105" s="68">
        <v>0</v>
      </c>
    </row>
    <row r="106" spans="1:10">
      <c r="A106" s="61" t="s">
        <v>86</v>
      </c>
      <c r="B106" s="68">
        <v>178333.69</v>
      </c>
      <c r="C106" s="68">
        <v>0</v>
      </c>
      <c r="D106" s="68">
        <v>0</v>
      </c>
      <c r="E106" s="68">
        <v>0</v>
      </c>
      <c r="F106" s="68">
        <v>93556.46</v>
      </c>
      <c r="G106" s="68">
        <v>0</v>
      </c>
      <c r="H106" s="68">
        <v>0</v>
      </c>
      <c r="I106" s="68">
        <v>0</v>
      </c>
      <c r="J106" s="68">
        <v>0</v>
      </c>
    </row>
    <row r="107" spans="1:10">
      <c r="A107" s="61" t="s">
        <v>87</v>
      </c>
      <c r="B107" s="68">
        <v>0</v>
      </c>
      <c r="C107" s="68">
        <v>0</v>
      </c>
      <c r="D107" s="68">
        <v>0</v>
      </c>
      <c r="E107" s="68">
        <v>0</v>
      </c>
      <c r="F107" s="68">
        <v>0</v>
      </c>
      <c r="G107" s="68">
        <v>0</v>
      </c>
      <c r="H107" s="68">
        <v>0</v>
      </c>
      <c r="I107" s="68">
        <v>0</v>
      </c>
      <c r="J107" s="68">
        <v>0</v>
      </c>
    </row>
    <row r="108" spans="1:10">
      <c r="A108" s="61" t="s">
        <v>88</v>
      </c>
      <c r="B108" s="68">
        <v>536577</v>
      </c>
      <c r="C108" s="68">
        <v>0</v>
      </c>
      <c r="D108" s="68">
        <v>0</v>
      </c>
      <c r="E108" s="68">
        <v>0</v>
      </c>
      <c r="F108" s="68">
        <v>275774</v>
      </c>
      <c r="G108" s="68">
        <v>0</v>
      </c>
      <c r="H108" s="68">
        <v>0</v>
      </c>
      <c r="I108" s="68">
        <v>0</v>
      </c>
      <c r="J108" s="68">
        <v>0</v>
      </c>
    </row>
    <row r="109" spans="1:10">
      <c r="A109" s="61" t="s">
        <v>89</v>
      </c>
      <c r="B109" s="68">
        <v>69923</v>
      </c>
      <c r="C109" s="68">
        <v>0</v>
      </c>
      <c r="D109" s="68">
        <v>3056.4</v>
      </c>
      <c r="E109" s="68">
        <v>0</v>
      </c>
      <c r="F109" s="68">
        <v>51582</v>
      </c>
      <c r="G109" s="68">
        <v>2037.6000000000001</v>
      </c>
      <c r="H109" s="68">
        <v>0</v>
      </c>
      <c r="I109" s="68">
        <v>0</v>
      </c>
      <c r="J109" s="68">
        <v>0</v>
      </c>
    </row>
    <row r="110" spans="1:10">
      <c r="A110" s="61" t="s">
        <v>90</v>
      </c>
      <c r="B110" s="68">
        <v>207993.28599999999</v>
      </c>
      <c r="C110" s="68">
        <v>0</v>
      </c>
      <c r="D110" s="68">
        <v>0</v>
      </c>
      <c r="E110" s="68">
        <v>0</v>
      </c>
      <c r="F110" s="68">
        <v>31291.524000000001</v>
      </c>
      <c r="G110" s="68">
        <v>0</v>
      </c>
      <c r="H110" s="68">
        <v>0</v>
      </c>
      <c r="I110" s="68">
        <v>0</v>
      </c>
      <c r="J110" s="68">
        <v>0</v>
      </c>
    </row>
    <row r="111" spans="1:10">
      <c r="A111" s="61" t="s">
        <v>91</v>
      </c>
      <c r="B111" s="68">
        <v>0</v>
      </c>
      <c r="C111" s="68">
        <v>0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</row>
    <row r="112" spans="1:10">
      <c r="A112" s="61" t="s">
        <v>92</v>
      </c>
      <c r="B112" s="68">
        <v>0</v>
      </c>
      <c r="C112" s="68">
        <v>0</v>
      </c>
      <c r="D112" s="68">
        <v>17990</v>
      </c>
      <c r="E112" s="68">
        <v>0</v>
      </c>
      <c r="F112" s="68">
        <v>0</v>
      </c>
      <c r="G112" s="68">
        <v>5360</v>
      </c>
      <c r="H112" s="68">
        <v>0</v>
      </c>
      <c r="I112" s="68">
        <v>52115</v>
      </c>
      <c r="J112" s="68">
        <v>0</v>
      </c>
    </row>
    <row r="113" spans="1:10">
      <c r="A113" s="61" t="s">
        <v>225</v>
      </c>
      <c r="B113" s="68">
        <v>0</v>
      </c>
      <c r="C113" s="68">
        <v>0</v>
      </c>
      <c r="D113" s="68">
        <v>0</v>
      </c>
      <c r="E113" s="68">
        <v>0</v>
      </c>
      <c r="F113" s="68">
        <v>0</v>
      </c>
      <c r="G113" s="68">
        <v>0</v>
      </c>
      <c r="H113" s="68">
        <v>0</v>
      </c>
      <c r="I113" s="68">
        <v>0</v>
      </c>
      <c r="J113" s="68">
        <v>0</v>
      </c>
    </row>
    <row r="114" spans="1:10">
      <c r="A114" s="60"/>
      <c r="B114" s="68"/>
      <c r="C114" s="68"/>
      <c r="D114" s="68"/>
      <c r="E114" s="68"/>
      <c r="F114" s="68"/>
      <c r="G114" s="68"/>
      <c r="H114" s="68"/>
      <c r="I114" s="69"/>
      <c r="J114" s="69"/>
    </row>
    <row r="115" spans="1:10" ht="17.25">
      <c r="A115" s="71" t="s">
        <v>211</v>
      </c>
      <c r="B115" s="67">
        <f>+B116+B129+B133+B138+B146+B150</f>
        <v>3094386.7047972758</v>
      </c>
      <c r="C115" s="67">
        <f t="shared" ref="C115:J115" si="21">+C116+C129+C133+C138+C146+C150</f>
        <v>38754.48717948718</v>
      </c>
      <c r="D115" s="67">
        <f t="shared" si="21"/>
        <v>2116847.7979195137</v>
      </c>
      <c r="E115" s="67">
        <f t="shared" si="21"/>
        <v>445241.62121335469</v>
      </c>
      <c r="F115" s="67">
        <f t="shared" si="21"/>
        <v>1157145.9454775639</v>
      </c>
      <c r="G115" s="67">
        <f t="shared" si="21"/>
        <v>968707.8303489848</v>
      </c>
      <c r="H115" s="67">
        <f t="shared" si="21"/>
        <v>169972.79282126069</v>
      </c>
      <c r="I115" s="67">
        <f t="shared" si="21"/>
        <v>548593.00410256418</v>
      </c>
      <c r="J115" s="67">
        <f t="shared" si="21"/>
        <v>131195.24807692308</v>
      </c>
    </row>
    <row r="116" spans="1:10">
      <c r="A116" s="72" t="s">
        <v>94</v>
      </c>
      <c r="B116" s="67">
        <f>+SUM(B117:B128)</f>
        <v>2555937.9947972759</v>
      </c>
      <c r="C116" s="67">
        <f t="shared" ref="C116:J116" si="22">+SUM(C117:C128)</f>
        <v>38754.48717948718</v>
      </c>
      <c r="D116" s="67">
        <f t="shared" si="22"/>
        <v>1604743.1279195137</v>
      </c>
      <c r="E116" s="67">
        <f t="shared" si="22"/>
        <v>376753.02121335472</v>
      </c>
      <c r="F116" s="67">
        <f t="shared" si="22"/>
        <v>959902.98547756404</v>
      </c>
      <c r="G116" s="67">
        <f t="shared" si="22"/>
        <v>786040.13034898485</v>
      </c>
      <c r="H116" s="67">
        <f t="shared" si="22"/>
        <v>115786.29282126069</v>
      </c>
      <c r="I116" s="67">
        <f t="shared" si="22"/>
        <v>406641.06410256412</v>
      </c>
      <c r="J116" s="67">
        <f t="shared" si="22"/>
        <v>73980.048076923078</v>
      </c>
    </row>
    <row r="117" spans="1:10">
      <c r="A117" s="61" t="s">
        <v>95</v>
      </c>
      <c r="B117" s="68">
        <v>887471</v>
      </c>
      <c r="C117" s="68">
        <v>15000</v>
      </c>
      <c r="D117" s="68">
        <v>579810</v>
      </c>
      <c r="E117" s="68">
        <v>93468</v>
      </c>
      <c r="F117" s="68">
        <v>341809</v>
      </c>
      <c r="G117" s="68">
        <v>269096</v>
      </c>
      <c r="H117" s="68">
        <v>17400</v>
      </c>
      <c r="I117" s="68">
        <v>177707</v>
      </c>
      <c r="J117" s="68">
        <v>26510</v>
      </c>
    </row>
    <row r="118" spans="1:10">
      <c r="A118" s="61" t="s">
        <v>96</v>
      </c>
      <c r="B118" s="68">
        <v>131057</v>
      </c>
      <c r="C118" s="68">
        <v>2500</v>
      </c>
      <c r="D118" s="68">
        <v>86983</v>
      </c>
      <c r="E118" s="68">
        <v>16611</v>
      </c>
      <c r="F118" s="68">
        <v>50680</v>
      </c>
      <c r="G118" s="68">
        <v>46452</v>
      </c>
      <c r="H118" s="68">
        <v>2620</v>
      </c>
      <c r="I118" s="68">
        <v>25559</v>
      </c>
      <c r="J118" s="68">
        <v>3939</v>
      </c>
    </row>
    <row r="119" spans="1:10">
      <c r="A119" s="61" t="s">
        <v>97</v>
      </c>
      <c r="B119" s="68">
        <v>31419</v>
      </c>
      <c r="C119" s="68">
        <v>0</v>
      </c>
      <c r="D119" s="68">
        <v>1500</v>
      </c>
      <c r="E119" s="68">
        <v>2500</v>
      </c>
      <c r="F119" s="68">
        <v>8935</v>
      </c>
      <c r="G119" s="68">
        <v>3000</v>
      </c>
      <c r="H119" s="68">
        <v>0</v>
      </c>
      <c r="I119" s="68">
        <v>0</v>
      </c>
      <c r="J119" s="68">
        <v>0</v>
      </c>
    </row>
    <row r="120" spans="1:10">
      <c r="A120" s="61" t="s">
        <v>98</v>
      </c>
      <c r="B120" s="68">
        <v>294338</v>
      </c>
      <c r="C120" s="68">
        <v>4000</v>
      </c>
      <c r="D120" s="68">
        <v>202931</v>
      </c>
      <c r="E120" s="68">
        <v>32247</v>
      </c>
      <c r="F120" s="68">
        <v>117866</v>
      </c>
      <c r="G120" s="68">
        <v>101328</v>
      </c>
      <c r="H120" s="68">
        <v>5680</v>
      </c>
      <c r="I120" s="68">
        <v>69803</v>
      </c>
      <c r="J120" s="68">
        <v>10604</v>
      </c>
    </row>
    <row r="121" spans="1:10">
      <c r="A121" s="61" t="s">
        <v>99</v>
      </c>
      <c r="B121" s="68">
        <v>82697</v>
      </c>
      <c r="C121" s="68">
        <v>0</v>
      </c>
      <c r="D121" s="68">
        <v>44334</v>
      </c>
      <c r="E121" s="68">
        <v>4268</v>
      </c>
      <c r="F121" s="68">
        <v>27987</v>
      </c>
      <c r="G121" s="68">
        <v>26322</v>
      </c>
      <c r="H121" s="68">
        <v>2400</v>
      </c>
      <c r="I121" s="68">
        <v>15334</v>
      </c>
      <c r="J121" s="68">
        <v>0</v>
      </c>
    </row>
    <row r="122" spans="1:10">
      <c r="A122" s="61" t="s">
        <v>100</v>
      </c>
      <c r="B122" s="68">
        <v>36752</v>
      </c>
      <c r="C122" s="68">
        <v>500</v>
      </c>
      <c r="D122" s="68">
        <v>18790</v>
      </c>
      <c r="E122" s="68">
        <v>2000</v>
      </c>
      <c r="F122" s="68">
        <v>8350</v>
      </c>
      <c r="G122" s="68">
        <v>12500</v>
      </c>
      <c r="H122" s="68">
        <v>1500</v>
      </c>
      <c r="I122" s="68">
        <v>2417</v>
      </c>
      <c r="J122" s="68">
        <v>0</v>
      </c>
    </row>
    <row r="123" spans="1:10">
      <c r="A123" s="61" t="s">
        <v>101</v>
      </c>
      <c r="B123" s="68">
        <v>619673</v>
      </c>
      <c r="C123" s="68">
        <v>13000</v>
      </c>
      <c r="D123" s="68">
        <v>369793.4</v>
      </c>
      <c r="E123" s="68">
        <v>96906.6</v>
      </c>
      <c r="F123" s="68">
        <v>223344</v>
      </c>
      <c r="G123" s="68">
        <v>175443.20000000001</v>
      </c>
      <c r="H123" s="68">
        <v>29832.800000000003</v>
      </c>
      <c r="I123" s="68">
        <v>62526</v>
      </c>
      <c r="J123" s="68">
        <v>11967</v>
      </c>
    </row>
    <row r="124" spans="1:10">
      <c r="A124" s="61" t="s">
        <v>102</v>
      </c>
      <c r="B124" s="68">
        <v>107556.71915625001</v>
      </c>
      <c r="C124" s="68">
        <v>1949.9999999999998</v>
      </c>
      <c r="D124" s="68">
        <v>74658.494586180561</v>
      </c>
      <c r="E124" s="68">
        <v>14646.494290277777</v>
      </c>
      <c r="F124" s="68">
        <v>43454.504708333327</v>
      </c>
      <c r="G124" s="68">
        <v>35293.217528472225</v>
      </c>
      <c r="H124" s="68">
        <v>2286.8210263888886</v>
      </c>
      <c r="I124" s="68">
        <v>18806.666666666668</v>
      </c>
      <c r="J124" s="68">
        <v>5646.875</v>
      </c>
    </row>
    <row r="125" spans="1:10">
      <c r="A125" s="61" t="s">
        <v>103</v>
      </c>
      <c r="B125" s="68">
        <v>4821.25</v>
      </c>
      <c r="C125" s="68">
        <v>0</v>
      </c>
      <c r="D125" s="68">
        <v>6992</v>
      </c>
      <c r="E125" s="68">
        <v>1866.75</v>
      </c>
      <c r="F125" s="68">
        <v>2066.25</v>
      </c>
      <c r="G125" s="68">
        <v>3752.5</v>
      </c>
      <c r="H125" s="68">
        <v>0</v>
      </c>
      <c r="I125" s="68">
        <v>807.5</v>
      </c>
      <c r="J125" s="68">
        <v>0</v>
      </c>
    </row>
    <row r="126" spans="1:10">
      <c r="A126" s="61" t="s">
        <v>104</v>
      </c>
      <c r="B126" s="68">
        <f>190712+137000*40%</f>
        <v>245512</v>
      </c>
      <c r="C126" s="68">
        <v>0</v>
      </c>
      <c r="D126" s="68">
        <f>123620.4+137000*30%*60%</f>
        <v>148280.4</v>
      </c>
      <c r="E126" s="68">
        <f>82413.6+137000*30%*40%</f>
        <v>98853.6</v>
      </c>
      <c r="F126" s="68">
        <f>71517+137000*30%*50%</f>
        <v>92067</v>
      </c>
      <c r="G126" s="68">
        <f>65590.2+137000*30%*30%</f>
        <v>77920.2</v>
      </c>
      <c r="H126" s="68">
        <f>43726.8+137000*30%*20%</f>
        <v>51946.8</v>
      </c>
      <c r="I126" s="68">
        <v>15120</v>
      </c>
      <c r="J126" s="68">
        <v>10080</v>
      </c>
    </row>
    <row r="127" spans="1:10">
      <c r="A127" s="61" t="s">
        <v>105</v>
      </c>
      <c r="B127" s="68">
        <v>54057.692307692305</v>
      </c>
      <c r="C127" s="68">
        <v>721.15384615384619</v>
      </c>
      <c r="D127" s="68">
        <v>28437.499999999996</v>
      </c>
      <c r="E127" s="68">
        <v>5110.5769230769229</v>
      </c>
      <c r="F127" s="68">
        <v>18769.230769230773</v>
      </c>
      <c r="G127" s="68">
        <v>14716.346153846156</v>
      </c>
      <c r="H127" s="68">
        <v>836.53846153846155</v>
      </c>
      <c r="I127" s="68">
        <v>7644.2307692307695</v>
      </c>
      <c r="J127" s="68">
        <v>1983.1730769230771</v>
      </c>
    </row>
    <row r="128" spans="1:10">
      <c r="A128" s="61" t="s">
        <v>226</v>
      </c>
      <c r="B128" s="68">
        <v>60583.333333333343</v>
      </c>
      <c r="C128" s="68">
        <v>1083.3333333333333</v>
      </c>
      <c r="D128" s="68">
        <v>42233.333333333328</v>
      </c>
      <c r="E128" s="68">
        <v>8274.9999999999982</v>
      </c>
      <c r="F128" s="68">
        <v>24574.999999999996</v>
      </c>
      <c r="G128" s="68">
        <v>20216.666666666664</v>
      </c>
      <c r="H128" s="68">
        <v>1283.3333333333333</v>
      </c>
      <c r="I128" s="68">
        <v>10916.666666666664</v>
      </c>
      <c r="J128" s="68">
        <v>3250</v>
      </c>
    </row>
    <row r="129" spans="1:10">
      <c r="A129" s="72" t="s">
        <v>106</v>
      </c>
      <c r="B129" s="67">
        <f>+SUM(B130:B132)</f>
        <v>82860</v>
      </c>
      <c r="C129" s="67">
        <f t="shared" ref="C129:J129" si="23">+SUM(C130:C132)</f>
        <v>0</v>
      </c>
      <c r="D129" s="67">
        <f t="shared" si="23"/>
        <v>104703</v>
      </c>
      <c r="E129" s="67">
        <f t="shared" si="23"/>
        <v>6858</v>
      </c>
      <c r="F129" s="67">
        <f t="shared" si="23"/>
        <v>8572.5</v>
      </c>
      <c r="G129" s="67">
        <f t="shared" si="23"/>
        <v>33927.5</v>
      </c>
      <c r="H129" s="67">
        <f t="shared" si="23"/>
        <v>3429</v>
      </c>
      <c r="I129" s="67">
        <f t="shared" si="23"/>
        <v>0</v>
      </c>
      <c r="J129" s="67">
        <f t="shared" si="23"/>
        <v>0</v>
      </c>
    </row>
    <row r="130" spans="1:10">
      <c r="A130" s="61" t="s">
        <v>107</v>
      </c>
      <c r="B130" s="68">
        <v>22860</v>
      </c>
      <c r="C130" s="68">
        <v>0</v>
      </c>
      <c r="D130" s="68">
        <v>104703</v>
      </c>
      <c r="E130" s="68">
        <v>6858</v>
      </c>
      <c r="F130" s="68">
        <v>8572.5</v>
      </c>
      <c r="G130" s="68">
        <v>33927.5</v>
      </c>
      <c r="H130" s="68">
        <v>3429</v>
      </c>
      <c r="I130" s="68">
        <v>0</v>
      </c>
      <c r="J130" s="68">
        <v>0</v>
      </c>
    </row>
    <row r="131" spans="1:10">
      <c r="A131" s="61" t="s">
        <v>108</v>
      </c>
      <c r="B131" s="68">
        <v>0</v>
      </c>
      <c r="C131" s="68">
        <v>0</v>
      </c>
      <c r="D131" s="68">
        <v>0</v>
      </c>
      <c r="E131" s="68">
        <v>0</v>
      </c>
      <c r="F131" s="68">
        <v>0</v>
      </c>
      <c r="G131" s="68">
        <v>0</v>
      </c>
      <c r="H131" s="68">
        <v>0</v>
      </c>
      <c r="I131" s="68">
        <v>0</v>
      </c>
      <c r="J131" s="68">
        <v>0</v>
      </c>
    </row>
    <row r="132" spans="1:10">
      <c r="A132" s="61" t="s">
        <v>109</v>
      </c>
      <c r="B132" s="68">
        <v>60000</v>
      </c>
      <c r="C132" s="68">
        <v>0</v>
      </c>
      <c r="D132" s="68">
        <v>0</v>
      </c>
      <c r="E132" s="68">
        <v>0</v>
      </c>
      <c r="F132" s="68">
        <v>0</v>
      </c>
      <c r="G132" s="68">
        <v>0</v>
      </c>
      <c r="H132" s="68">
        <v>0</v>
      </c>
      <c r="I132" s="68">
        <v>0</v>
      </c>
      <c r="J132" s="68">
        <v>0</v>
      </c>
    </row>
    <row r="133" spans="1:10">
      <c r="A133" s="72" t="s">
        <v>110</v>
      </c>
      <c r="B133" s="67">
        <f>+SUM(B134:B137)</f>
        <v>60046.71</v>
      </c>
      <c r="C133" s="67">
        <f t="shared" ref="C133:J133" si="24">+SUM(C134:C137)</f>
        <v>0</v>
      </c>
      <c r="D133" s="67">
        <f t="shared" si="24"/>
        <v>95984</v>
      </c>
      <c r="E133" s="67">
        <f t="shared" si="24"/>
        <v>0</v>
      </c>
      <c r="F133" s="67">
        <f t="shared" si="24"/>
        <v>50964.71</v>
      </c>
      <c r="G133" s="67">
        <f t="shared" si="24"/>
        <v>10354.75</v>
      </c>
      <c r="H133" s="67">
        <f t="shared" si="24"/>
        <v>2505.2000000000003</v>
      </c>
      <c r="I133" s="67">
        <f t="shared" si="24"/>
        <v>8556.14</v>
      </c>
      <c r="J133" s="67">
        <f t="shared" si="24"/>
        <v>0</v>
      </c>
    </row>
    <row r="134" spans="1:10">
      <c r="A134" s="61" t="s">
        <v>111</v>
      </c>
      <c r="B134" s="68">
        <v>0</v>
      </c>
      <c r="C134" s="68">
        <v>0</v>
      </c>
      <c r="D134" s="68">
        <v>0</v>
      </c>
      <c r="E134" s="68">
        <v>0</v>
      </c>
      <c r="F134" s="68">
        <v>0</v>
      </c>
      <c r="G134" s="68">
        <v>0</v>
      </c>
      <c r="H134" s="68">
        <v>0</v>
      </c>
      <c r="I134" s="68">
        <v>0</v>
      </c>
      <c r="J134" s="68">
        <v>0</v>
      </c>
    </row>
    <row r="135" spans="1:10">
      <c r="A135" s="61" t="s">
        <v>112</v>
      </c>
      <c r="B135" s="68">
        <v>60046.71</v>
      </c>
      <c r="C135" s="68">
        <v>0</v>
      </c>
      <c r="D135" s="68">
        <v>95984</v>
      </c>
      <c r="E135" s="68">
        <v>0</v>
      </c>
      <c r="F135" s="68">
        <v>50964.71</v>
      </c>
      <c r="G135" s="68">
        <v>10354.75</v>
      </c>
      <c r="H135" s="68">
        <v>2505.2000000000003</v>
      </c>
      <c r="I135" s="68">
        <v>8556.14</v>
      </c>
      <c r="J135" s="68">
        <v>0</v>
      </c>
    </row>
    <row r="136" spans="1:10">
      <c r="A136" s="61" t="s">
        <v>113</v>
      </c>
      <c r="B136" s="68">
        <v>0</v>
      </c>
      <c r="C136" s="68">
        <v>0</v>
      </c>
      <c r="D136" s="68">
        <v>0</v>
      </c>
      <c r="E136" s="68">
        <v>0</v>
      </c>
      <c r="F136" s="68">
        <v>0</v>
      </c>
      <c r="G136" s="68">
        <v>0</v>
      </c>
      <c r="H136" s="68">
        <v>0</v>
      </c>
      <c r="I136" s="68">
        <v>0</v>
      </c>
      <c r="J136" s="68">
        <v>0</v>
      </c>
    </row>
    <row r="137" spans="1:10">
      <c r="A137" s="61" t="s">
        <v>114</v>
      </c>
      <c r="B137" s="68">
        <v>0</v>
      </c>
      <c r="C137" s="68">
        <v>0</v>
      </c>
      <c r="D137" s="68">
        <v>0</v>
      </c>
      <c r="E137" s="68">
        <v>0</v>
      </c>
      <c r="F137" s="68">
        <v>0</v>
      </c>
      <c r="G137" s="68">
        <v>0</v>
      </c>
      <c r="H137" s="68">
        <v>0</v>
      </c>
      <c r="I137" s="68">
        <v>0</v>
      </c>
      <c r="J137" s="68">
        <v>0</v>
      </c>
    </row>
    <row r="138" spans="1:10">
      <c r="A138" s="72" t="s">
        <v>115</v>
      </c>
      <c r="B138" s="67">
        <f>+SUM(B139:B145)</f>
        <v>93607</v>
      </c>
      <c r="C138" s="67">
        <f t="shared" ref="C138:J138" si="25">+SUM(C139:C145)</f>
        <v>0</v>
      </c>
      <c r="D138" s="67">
        <f t="shared" si="25"/>
        <v>159963.47</v>
      </c>
      <c r="E138" s="67">
        <f t="shared" si="25"/>
        <v>7471.8</v>
      </c>
      <c r="F138" s="67">
        <f t="shared" si="25"/>
        <v>59781.75</v>
      </c>
      <c r="G138" s="67">
        <f t="shared" si="25"/>
        <v>36438.25</v>
      </c>
      <c r="H138" s="67">
        <f t="shared" si="25"/>
        <v>23441.5</v>
      </c>
      <c r="I138" s="67">
        <f t="shared" si="25"/>
        <v>57864.4</v>
      </c>
      <c r="J138" s="67">
        <f t="shared" si="25"/>
        <v>10921.6</v>
      </c>
    </row>
    <row r="139" spans="1:10">
      <c r="A139" s="61" t="s">
        <v>116</v>
      </c>
      <c r="B139" s="68">
        <v>24906</v>
      </c>
      <c r="C139" s="68">
        <v>0</v>
      </c>
      <c r="D139" s="68">
        <v>11589.699999999999</v>
      </c>
      <c r="E139" s="68">
        <v>7471.8</v>
      </c>
      <c r="F139" s="68">
        <v>11142.75</v>
      </c>
      <c r="G139" s="68">
        <v>5978.8499999999995</v>
      </c>
      <c r="H139" s="68">
        <v>3985.9</v>
      </c>
      <c r="I139" s="68">
        <v>0</v>
      </c>
      <c r="J139" s="68">
        <v>0</v>
      </c>
    </row>
    <row r="140" spans="1:10">
      <c r="A140" s="61" t="s">
        <v>117</v>
      </c>
      <c r="B140" s="68">
        <v>19503</v>
      </c>
      <c r="C140" s="68">
        <v>0</v>
      </c>
      <c r="D140" s="68">
        <v>51219</v>
      </c>
      <c r="E140" s="68">
        <v>0</v>
      </c>
      <c r="F140" s="68">
        <v>2458</v>
      </c>
      <c r="G140" s="68">
        <v>2750.8</v>
      </c>
      <c r="H140" s="68">
        <v>983.2</v>
      </c>
      <c r="I140" s="68">
        <v>11482</v>
      </c>
      <c r="J140" s="68">
        <v>0</v>
      </c>
    </row>
    <row r="141" spans="1:10">
      <c r="A141" s="61" t="s">
        <v>227</v>
      </c>
      <c r="B141" s="68">
        <v>0</v>
      </c>
      <c r="C141" s="68">
        <v>0</v>
      </c>
      <c r="D141" s="68">
        <v>49652</v>
      </c>
      <c r="E141" s="68">
        <v>0</v>
      </c>
      <c r="F141" s="68">
        <v>23250</v>
      </c>
      <c r="G141" s="68">
        <v>13950</v>
      </c>
      <c r="H141" s="68">
        <v>9300</v>
      </c>
      <c r="I141" s="68">
        <v>30000</v>
      </c>
      <c r="J141" s="68">
        <v>0</v>
      </c>
    </row>
    <row r="142" spans="1:10">
      <c r="A142" s="61" t="s">
        <v>228</v>
      </c>
      <c r="B142" s="68">
        <v>0</v>
      </c>
      <c r="C142" s="68">
        <v>0</v>
      </c>
      <c r="D142" s="68">
        <v>1700</v>
      </c>
      <c r="E142" s="68">
        <v>0</v>
      </c>
      <c r="F142" s="68">
        <v>0</v>
      </c>
      <c r="G142" s="68">
        <v>0</v>
      </c>
      <c r="H142" s="68">
        <v>0</v>
      </c>
      <c r="I142" s="68">
        <v>0</v>
      </c>
      <c r="J142" s="68">
        <v>0</v>
      </c>
    </row>
    <row r="143" spans="1:10">
      <c r="A143" s="61" t="s">
        <v>118</v>
      </c>
      <c r="B143" s="68">
        <v>0</v>
      </c>
      <c r="C143" s="68">
        <v>0</v>
      </c>
      <c r="D143" s="68">
        <v>0</v>
      </c>
      <c r="E143" s="68">
        <v>0</v>
      </c>
      <c r="F143" s="68">
        <v>0</v>
      </c>
      <c r="G143" s="68">
        <v>0</v>
      </c>
      <c r="H143" s="68">
        <v>0</v>
      </c>
      <c r="I143" s="68">
        <v>0</v>
      </c>
      <c r="J143" s="68">
        <v>0</v>
      </c>
    </row>
    <row r="144" spans="1:10">
      <c r="A144" s="61" t="s">
        <v>119</v>
      </c>
      <c r="B144" s="68">
        <v>0</v>
      </c>
      <c r="C144" s="68">
        <v>0</v>
      </c>
      <c r="D144" s="68">
        <v>0</v>
      </c>
      <c r="E144" s="68">
        <v>0</v>
      </c>
      <c r="F144" s="68">
        <v>723.5</v>
      </c>
      <c r="G144" s="68">
        <v>434.09999999999997</v>
      </c>
      <c r="H144" s="68">
        <v>289.40000000000003</v>
      </c>
      <c r="I144" s="68">
        <v>0</v>
      </c>
      <c r="J144" s="68">
        <v>0</v>
      </c>
    </row>
    <row r="145" spans="1:10">
      <c r="A145" s="61" t="s">
        <v>120</v>
      </c>
      <c r="B145" s="68">
        <v>49198</v>
      </c>
      <c r="C145" s="68">
        <v>0</v>
      </c>
      <c r="D145" s="68">
        <v>45802.77</v>
      </c>
      <c r="E145" s="68">
        <v>0</v>
      </c>
      <c r="F145" s="68">
        <v>22207.5</v>
      </c>
      <c r="G145" s="68">
        <v>13324.5</v>
      </c>
      <c r="H145" s="68">
        <v>8883</v>
      </c>
      <c r="I145" s="68">
        <v>16382.4</v>
      </c>
      <c r="J145" s="68">
        <v>10921.6</v>
      </c>
    </row>
    <row r="146" spans="1:10">
      <c r="A146" s="72" t="s">
        <v>121</v>
      </c>
      <c r="B146" s="67">
        <f>+SUM(B147:B149)</f>
        <v>100619</v>
      </c>
      <c r="C146" s="67">
        <f t="shared" ref="C146:J146" si="26">+SUM(C147:C149)</f>
        <v>0</v>
      </c>
      <c r="D146" s="67">
        <f t="shared" si="26"/>
        <v>16016</v>
      </c>
      <c r="E146" s="67">
        <f t="shared" si="26"/>
        <v>0</v>
      </c>
      <c r="F146" s="67">
        <f t="shared" si="26"/>
        <v>15897</v>
      </c>
      <c r="G146" s="67">
        <f t="shared" si="26"/>
        <v>38731</v>
      </c>
      <c r="H146" s="67">
        <f t="shared" si="26"/>
        <v>0</v>
      </c>
      <c r="I146" s="67">
        <f t="shared" si="26"/>
        <v>2791</v>
      </c>
      <c r="J146" s="67">
        <f t="shared" si="26"/>
        <v>0</v>
      </c>
    </row>
    <row r="147" spans="1:10">
      <c r="A147" s="61" t="s">
        <v>122</v>
      </c>
      <c r="B147" s="68">
        <v>0</v>
      </c>
      <c r="C147" s="68">
        <v>0</v>
      </c>
      <c r="D147" s="68">
        <v>0</v>
      </c>
      <c r="E147" s="68">
        <v>0</v>
      </c>
      <c r="F147" s="68">
        <v>0</v>
      </c>
      <c r="G147" s="68">
        <v>0</v>
      </c>
      <c r="H147" s="68">
        <v>0</v>
      </c>
      <c r="I147" s="68">
        <v>0</v>
      </c>
      <c r="J147" s="68">
        <v>0</v>
      </c>
    </row>
    <row r="148" spans="1:10">
      <c r="A148" s="61" t="s">
        <v>123</v>
      </c>
      <c r="B148" s="68">
        <v>100619</v>
      </c>
      <c r="C148" s="68">
        <v>0</v>
      </c>
      <c r="D148" s="68">
        <v>16016</v>
      </c>
      <c r="E148" s="68">
        <v>0</v>
      </c>
      <c r="F148" s="68">
        <v>15897</v>
      </c>
      <c r="G148" s="68">
        <v>38731</v>
      </c>
      <c r="H148" s="68">
        <v>0</v>
      </c>
      <c r="I148" s="68">
        <v>2791</v>
      </c>
      <c r="J148" s="68">
        <v>0</v>
      </c>
    </row>
    <row r="149" spans="1:10">
      <c r="A149" s="61" t="s">
        <v>124</v>
      </c>
      <c r="B149" s="68">
        <v>0</v>
      </c>
      <c r="C149" s="68">
        <v>0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</row>
    <row r="150" spans="1:10">
      <c r="A150" s="72" t="s">
        <v>125</v>
      </c>
      <c r="B150" s="67">
        <f>+SUM(B151:B154)</f>
        <v>201316</v>
      </c>
      <c r="C150" s="67">
        <f t="shared" ref="C150:J150" si="27">+SUM(C151:C154)</f>
        <v>0</v>
      </c>
      <c r="D150" s="67">
        <f t="shared" si="27"/>
        <v>135438.20000000001</v>
      </c>
      <c r="E150" s="67">
        <f t="shared" si="27"/>
        <v>54158.8</v>
      </c>
      <c r="F150" s="67">
        <f t="shared" si="27"/>
        <v>62027</v>
      </c>
      <c r="G150" s="67">
        <f t="shared" si="27"/>
        <v>63216.2</v>
      </c>
      <c r="H150" s="67">
        <f t="shared" si="27"/>
        <v>24810.800000000003</v>
      </c>
      <c r="I150" s="67">
        <f t="shared" si="27"/>
        <v>72740.399999999994</v>
      </c>
      <c r="J150" s="67">
        <f t="shared" si="27"/>
        <v>46293.599999999999</v>
      </c>
    </row>
    <row r="151" spans="1:10">
      <c r="A151" s="61" t="s">
        <v>126</v>
      </c>
      <c r="B151" s="68">
        <v>65794</v>
      </c>
      <c r="C151" s="68">
        <v>0</v>
      </c>
      <c r="D151" s="68">
        <v>54285</v>
      </c>
      <c r="E151" s="68">
        <v>36190</v>
      </c>
      <c r="F151" s="68">
        <v>41246.5</v>
      </c>
      <c r="G151" s="68">
        <v>24747.899999999998</v>
      </c>
      <c r="H151" s="68">
        <v>16498.600000000002</v>
      </c>
      <c r="I151" s="68">
        <v>47263.799999999996</v>
      </c>
      <c r="J151" s="68">
        <v>31509.199999999997</v>
      </c>
    </row>
    <row r="152" spans="1:10">
      <c r="A152" s="61" t="s">
        <v>229</v>
      </c>
      <c r="B152" s="68">
        <v>9922</v>
      </c>
      <c r="C152" s="68">
        <v>0</v>
      </c>
      <c r="D152" s="68">
        <v>5953.2</v>
      </c>
      <c r="E152" s="68">
        <v>3968.8</v>
      </c>
      <c r="F152" s="68">
        <v>2480.5</v>
      </c>
      <c r="G152" s="68">
        <v>1488.3</v>
      </c>
      <c r="H152" s="68">
        <v>992.2</v>
      </c>
      <c r="I152" s="68">
        <v>2976.6</v>
      </c>
      <c r="J152" s="68">
        <v>1984.4</v>
      </c>
    </row>
    <row r="153" spans="1:10">
      <c r="A153" s="61" t="s">
        <v>127</v>
      </c>
      <c r="B153" s="68">
        <v>71000</v>
      </c>
      <c r="C153" s="68">
        <v>0</v>
      </c>
      <c r="D153" s="68">
        <v>21000</v>
      </c>
      <c r="E153" s="68">
        <v>14000</v>
      </c>
      <c r="F153" s="68">
        <v>17500</v>
      </c>
      <c r="G153" s="68">
        <v>10500</v>
      </c>
      <c r="H153" s="68">
        <v>7000</v>
      </c>
      <c r="I153" s="68">
        <v>19200</v>
      </c>
      <c r="J153" s="68">
        <v>12800</v>
      </c>
    </row>
    <row r="154" spans="1:10">
      <c r="A154" s="61" t="s">
        <v>128</v>
      </c>
      <c r="B154" s="68">
        <v>54600</v>
      </c>
      <c r="C154" s="68">
        <v>0</v>
      </c>
      <c r="D154" s="68">
        <v>54200</v>
      </c>
      <c r="E154" s="68">
        <v>0</v>
      </c>
      <c r="F154" s="68">
        <v>800</v>
      </c>
      <c r="G154" s="68">
        <v>26480</v>
      </c>
      <c r="H154" s="68">
        <v>320</v>
      </c>
      <c r="I154" s="68">
        <v>3300</v>
      </c>
      <c r="J154" s="68">
        <v>0</v>
      </c>
    </row>
    <row r="155" spans="1:10">
      <c r="A155" s="60"/>
      <c r="B155" s="68"/>
      <c r="C155" s="68"/>
      <c r="D155" s="68"/>
      <c r="E155" s="68"/>
      <c r="F155" s="68"/>
      <c r="G155" s="68"/>
      <c r="H155" s="68"/>
      <c r="I155" s="69"/>
      <c r="J155" s="69"/>
    </row>
    <row r="156" spans="1:10" ht="17.25">
      <c r="A156" s="71" t="s">
        <v>129</v>
      </c>
      <c r="B156" s="67">
        <f>+B157+B164+B172+B178+B182+B187+B193+B205+B209+B214</f>
        <v>888789.78600000008</v>
      </c>
      <c r="C156" s="67">
        <f t="shared" ref="C156:J156" si="28">+C157+C164+C172+C178+C182+C187+C193+C205+C209+C214</f>
        <v>0</v>
      </c>
      <c r="D156" s="67">
        <f t="shared" si="28"/>
        <v>934270.7263333333</v>
      </c>
      <c r="E156" s="67">
        <f t="shared" si="28"/>
        <v>421101.42200000002</v>
      </c>
      <c r="F156" s="67">
        <f t="shared" si="28"/>
        <v>608249.20650000009</v>
      </c>
      <c r="G156" s="67">
        <f t="shared" si="28"/>
        <v>456471.66749999992</v>
      </c>
      <c r="H156" s="67">
        <f t="shared" si="28"/>
        <v>210971.34499999997</v>
      </c>
      <c r="I156" s="67">
        <f t="shared" si="28"/>
        <v>924002.39</v>
      </c>
      <c r="J156" s="67">
        <f t="shared" si="28"/>
        <v>340312</v>
      </c>
    </row>
    <row r="157" spans="1:10">
      <c r="A157" s="72" t="s">
        <v>130</v>
      </c>
      <c r="B157" s="67">
        <f>+SUM(B158:B162)</f>
        <v>71376.37</v>
      </c>
      <c r="C157" s="67">
        <f t="shared" ref="C157:J157" si="29">+SUM(C158:C162)</f>
        <v>0</v>
      </c>
      <c r="D157" s="67">
        <f t="shared" si="29"/>
        <v>118503.65</v>
      </c>
      <c r="E157" s="67">
        <f t="shared" si="29"/>
        <v>4708.47</v>
      </c>
      <c r="F157" s="67">
        <f t="shared" si="29"/>
        <v>276383</v>
      </c>
      <c r="G157" s="67">
        <f t="shared" si="29"/>
        <v>122377.8</v>
      </c>
      <c r="H157" s="67">
        <f t="shared" si="29"/>
        <v>62573.2</v>
      </c>
      <c r="I157" s="67">
        <f t="shared" si="29"/>
        <v>302250</v>
      </c>
      <c r="J157" s="67">
        <f t="shared" si="29"/>
        <v>0</v>
      </c>
    </row>
    <row r="158" spans="1:10">
      <c r="A158" s="61" t="s">
        <v>131</v>
      </c>
      <c r="B158" s="68">
        <v>0</v>
      </c>
      <c r="C158" s="68">
        <v>0</v>
      </c>
      <c r="D158" s="68">
        <v>0</v>
      </c>
      <c r="E158" s="68">
        <v>0</v>
      </c>
      <c r="F158" s="68">
        <v>102480</v>
      </c>
      <c r="G158" s="68">
        <v>0</v>
      </c>
      <c r="H158" s="68">
        <v>0</v>
      </c>
      <c r="I158" s="68">
        <v>299950</v>
      </c>
      <c r="J158" s="68">
        <v>0</v>
      </c>
    </row>
    <row r="159" spans="1:10">
      <c r="A159" s="61" t="s">
        <v>132</v>
      </c>
      <c r="B159" s="68">
        <v>3072.88</v>
      </c>
      <c r="C159" s="68">
        <v>0</v>
      </c>
      <c r="D159" s="68">
        <v>8839</v>
      </c>
      <c r="E159" s="68">
        <v>4708.47</v>
      </c>
      <c r="F159" s="68">
        <v>0</v>
      </c>
      <c r="G159" s="68">
        <v>640</v>
      </c>
      <c r="H159" s="68">
        <v>0</v>
      </c>
      <c r="I159" s="68">
        <v>0</v>
      </c>
      <c r="J159" s="68">
        <v>0</v>
      </c>
    </row>
    <row r="160" spans="1:10">
      <c r="A160" s="61" t="s">
        <v>133</v>
      </c>
      <c r="B160" s="68">
        <v>847</v>
      </c>
      <c r="C160" s="68">
        <v>0</v>
      </c>
      <c r="D160" s="68">
        <v>681</v>
      </c>
      <c r="E160" s="68">
        <v>0</v>
      </c>
      <c r="F160" s="68">
        <v>340.5</v>
      </c>
      <c r="G160" s="68">
        <v>204.29999999999998</v>
      </c>
      <c r="H160" s="68">
        <v>136.20000000000002</v>
      </c>
      <c r="I160" s="68">
        <v>0</v>
      </c>
      <c r="J160" s="68">
        <v>0</v>
      </c>
    </row>
    <row r="161" spans="1:10">
      <c r="A161" s="61" t="s">
        <v>134</v>
      </c>
      <c r="B161" s="68">
        <v>22622</v>
      </c>
      <c r="C161" s="68">
        <v>0</v>
      </c>
      <c r="D161" s="68">
        <v>73609</v>
      </c>
      <c r="E161" s="68">
        <v>0</v>
      </c>
      <c r="F161" s="68">
        <v>22542.5</v>
      </c>
      <c r="G161" s="68">
        <v>41003.5</v>
      </c>
      <c r="H161" s="68">
        <v>9017</v>
      </c>
      <c r="I161" s="68">
        <v>0</v>
      </c>
      <c r="J161" s="68">
        <v>0</v>
      </c>
    </row>
    <row r="162" spans="1:10">
      <c r="A162" s="61" t="s">
        <v>135</v>
      </c>
      <c r="B162" s="68">
        <v>44834.49</v>
      </c>
      <c r="C162" s="68">
        <v>0</v>
      </c>
      <c r="D162" s="68">
        <v>35374.65</v>
      </c>
      <c r="E162" s="68">
        <v>0</v>
      </c>
      <c r="F162" s="68">
        <v>151020</v>
      </c>
      <c r="G162" s="68">
        <v>80530</v>
      </c>
      <c r="H162" s="68">
        <v>53420</v>
      </c>
      <c r="I162" s="68">
        <v>2300</v>
      </c>
      <c r="J162" s="68">
        <v>0</v>
      </c>
    </row>
    <row r="163" spans="1:10">
      <c r="A163" s="60"/>
      <c r="B163" s="68"/>
      <c r="C163" s="68"/>
      <c r="D163" s="68"/>
      <c r="E163" s="68"/>
      <c r="F163" s="68"/>
      <c r="G163" s="68"/>
      <c r="H163" s="68"/>
      <c r="I163" s="69"/>
      <c r="J163" s="69"/>
    </row>
    <row r="164" spans="1:10">
      <c r="A164" s="72" t="s">
        <v>136</v>
      </c>
      <c r="B164" s="67">
        <f>+SUM(B165:B171)</f>
        <v>31317.95</v>
      </c>
      <c r="C164" s="67">
        <f t="shared" ref="C164:J164" si="30">+SUM(C165:C171)</f>
        <v>0</v>
      </c>
      <c r="D164" s="67">
        <f t="shared" si="30"/>
        <v>103777.00400000002</v>
      </c>
      <c r="E164" s="67">
        <f t="shared" si="30"/>
        <v>3190.3160000000003</v>
      </c>
      <c r="F164" s="67">
        <f t="shared" si="30"/>
        <v>0</v>
      </c>
      <c r="G164" s="67">
        <f t="shared" si="30"/>
        <v>100137.93</v>
      </c>
      <c r="H164" s="67">
        <f t="shared" si="30"/>
        <v>0</v>
      </c>
      <c r="I164" s="67">
        <f t="shared" si="30"/>
        <v>0</v>
      </c>
      <c r="J164" s="67">
        <f t="shared" si="30"/>
        <v>0</v>
      </c>
    </row>
    <row r="165" spans="1:10">
      <c r="A165" s="61" t="s">
        <v>137</v>
      </c>
      <c r="B165" s="68">
        <v>20405.43</v>
      </c>
      <c r="C165" s="68">
        <v>0</v>
      </c>
      <c r="D165" s="68">
        <v>4785.4740000000002</v>
      </c>
      <c r="E165" s="68">
        <v>3190.3160000000003</v>
      </c>
      <c r="F165" s="68">
        <v>0</v>
      </c>
      <c r="G165" s="68">
        <v>1351.27</v>
      </c>
      <c r="H165" s="68">
        <v>0</v>
      </c>
      <c r="I165" s="68">
        <v>0</v>
      </c>
      <c r="J165" s="68">
        <v>0</v>
      </c>
    </row>
    <row r="166" spans="1:10">
      <c r="A166" s="61" t="s">
        <v>138</v>
      </c>
      <c r="B166" s="68">
        <v>0</v>
      </c>
      <c r="C166" s="68">
        <v>0</v>
      </c>
      <c r="D166" s="68">
        <v>20855.150000000001</v>
      </c>
      <c r="E166" s="68">
        <v>0</v>
      </c>
      <c r="F166" s="68">
        <v>0</v>
      </c>
      <c r="G166" s="68">
        <v>32787.08</v>
      </c>
      <c r="H166" s="68">
        <v>0</v>
      </c>
      <c r="I166" s="68">
        <v>0</v>
      </c>
      <c r="J166" s="68">
        <v>0</v>
      </c>
    </row>
    <row r="167" spans="1:10">
      <c r="A167" s="61" t="s">
        <v>139</v>
      </c>
      <c r="B167" s="68">
        <v>0</v>
      </c>
      <c r="C167" s="68">
        <v>0</v>
      </c>
      <c r="D167" s="68">
        <v>0</v>
      </c>
      <c r="E167" s="68">
        <v>0</v>
      </c>
      <c r="F167" s="68">
        <v>0</v>
      </c>
      <c r="G167" s="68">
        <v>0</v>
      </c>
      <c r="H167" s="68">
        <v>0</v>
      </c>
      <c r="I167" s="68">
        <v>0</v>
      </c>
      <c r="J167" s="68">
        <v>0</v>
      </c>
    </row>
    <row r="168" spans="1:10">
      <c r="A168" s="61" t="s">
        <v>140</v>
      </c>
      <c r="B168" s="68">
        <v>0</v>
      </c>
      <c r="C168" s="68">
        <v>0</v>
      </c>
      <c r="D168" s="68">
        <v>78136.38</v>
      </c>
      <c r="E168" s="68">
        <v>0</v>
      </c>
      <c r="F168" s="68">
        <v>0</v>
      </c>
      <c r="G168" s="68">
        <v>65999.58</v>
      </c>
      <c r="H168" s="68">
        <v>0</v>
      </c>
      <c r="I168" s="68">
        <v>0</v>
      </c>
      <c r="J168" s="68">
        <v>0</v>
      </c>
    </row>
    <row r="169" spans="1:10">
      <c r="A169" s="61" t="s">
        <v>141</v>
      </c>
      <c r="B169" s="68">
        <v>0</v>
      </c>
      <c r="C169" s="68">
        <v>0</v>
      </c>
      <c r="D169" s="68">
        <v>0</v>
      </c>
      <c r="E169" s="68">
        <v>0</v>
      </c>
      <c r="F169" s="68">
        <v>0</v>
      </c>
      <c r="G169" s="68">
        <v>0</v>
      </c>
      <c r="H169" s="68">
        <v>0</v>
      </c>
      <c r="I169" s="68">
        <v>0</v>
      </c>
      <c r="J169" s="68">
        <v>0</v>
      </c>
    </row>
    <row r="170" spans="1:10">
      <c r="A170" s="61" t="s">
        <v>142</v>
      </c>
      <c r="B170" s="68">
        <v>10912.52</v>
      </c>
      <c r="C170" s="68">
        <v>0</v>
      </c>
      <c r="D170" s="68">
        <v>0</v>
      </c>
      <c r="E170" s="68">
        <v>0</v>
      </c>
      <c r="F170" s="68">
        <v>0</v>
      </c>
      <c r="G170" s="68">
        <v>0</v>
      </c>
      <c r="H170" s="68">
        <v>0</v>
      </c>
      <c r="I170" s="68">
        <v>0</v>
      </c>
      <c r="J170" s="68">
        <v>0</v>
      </c>
    </row>
    <row r="171" spans="1:10">
      <c r="A171" s="61" t="s">
        <v>143</v>
      </c>
      <c r="B171" s="68">
        <v>0</v>
      </c>
      <c r="C171" s="68">
        <v>0</v>
      </c>
      <c r="D171" s="68">
        <v>0</v>
      </c>
      <c r="E171" s="68">
        <v>0</v>
      </c>
      <c r="F171" s="68">
        <v>0</v>
      </c>
      <c r="G171" s="68">
        <v>0</v>
      </c>
      <c r="H171" s="68">
        <v>0</v>
      </c>
      <c r="I171" s="68">
        <v>0</v>
      </c>
      <c r="J171" s="68">
        <v>0</v>
      </c>
    </row>
    <row r="172" spans="1:10">
      <c r="A172" s="72" t="s">
        <v>144</v>
      </c>
      <c r="B172" s="67">
        <f>+SUM(B173:B177)</f>
        <v>127463.36000000002</v>
      </c>
      <c r="C172" s="67">
        <f t="shared" ref="C172:J172" si="31">+SUM(C173:C177)</f>
        <v>0</v>
      </c>
      <c r="D172" s="67">
        <f t="shared" si="31"/>
        <v>159191.47999999998</v>
      </c>
      <c r="E172" s="67">
        <f t="shared" si="31"/>
        <v>85340.32</v>
      </c>
      <c r="F172" s="67">
        <f t="shared" si="31"/>
        <v>20440.900000000001</v>
      </c>
      <c r="G172" s="67">
        <f t="shared" si="31"/>
        <v>74322.539999999994</v>
      </c>
      <c r="H172" s="67">
        <f t="shared" si="31"/>
        <v>49548.36</v>
      </c>
      <c r="I172" s="67">
        <f t="shared" si="31"/>
        <v>55000</v>
      </c>
      <c r="J172" s="67">
        <f t="shared" si="31"/>
        <v>0</v>
      </c>
    </row>
    <row r="173" spans="1:10">
      <c r="A173" s="61" t="s">
        <v>145</v>
      </c>
      <c r="B173" s="68">
        <v>20150</v>
      </c>
      <c r="C173" s="68">
        <v>0</v>
      </c>
      <c r="D173" s="68">
        <v>32700</v>
      </c>
      <c r="E173" s="68">
        <v>21800</v>
      </c>
      <c r="F173" s="68">
        <v>18000</v>
      </c>
      <c r="G173" s="68">
        <v>10800</v>
      </c>
      <c r="H173" s="68">
        <v>7200</v>
      </c>
      <c r="I173" s="68">
        <v>0</v>
      </c>
      <c r="J173" s="68">
        <v>0</v>
      </c>
    </row>
    <row r="174" spans="1:10">
      <c r="A174" s="61" t="s">
        <v>146</v>
      </c>
      <c r="B174" s="68">
        <v>0</v>
      </c>
      <c r="C174" s="68">
        <v>0</v>
      </c>
      <c r="D174" s="68">
        <v>0</v>
      </c>
      <c r="E174" s="68">
        <v>0</v>
      </c>
      <c r="F174" s="68">
        <v>0</v>
      </c>
      <c r="G174" s="68">
        <v>0</v>
      </c>
      <c r="H174" s="68">
        <v>0</v>
      </c>
      <c r="I174" s="68">
        <v>0</v>
      </c>
      <c r="J174" s="68">
        <v>0</v>
      </c>
    </row>
    <row r="175" spans="1:10">
      <c r="A175" s="61" t="s">
        <v>230</v>
      </c>
      <c r="B175" s="68">
        <v>0</v>
      </c>
      <c r="C175" s="68">
        <v>0</v>
      </c>
      <c r="D175" s="68">
        <v>86400</v>
      </c>
      <c r="E175" s="68">
        <v>57600</v>
      </c>
      <c r="F175" s="68">
        <v>0</v>
      </c>
      <c r="G175" s="68">
        <v>57600</v>
      </c>
      <c r="H175" s="68">
        <v>38400</v>
      </c>
      <c r="I175" s="68">
        <v>50000</v>
      </c>
      <c r="J175" s="68">
        <v>0</v>
      </c>
    </row>
    <row r="176" spans="1:10">
      <c r="A176" s="61" t="s">
        <v>231</v>
      </c>
      <c r="B176" s="68">
        <v>0</v>
      </c>
      <c r="C176" s="68">
        <v>0</v>
      </c>
      <c r="D176" s="68">
        <v>6690</v>
      </c>
      <c r="E176" s="68">
        <v>4460</v>
      </c>
      <c r="F176" s="68">
        <v>0</v>
      </c>
      <c r="G176" s="68">
        <v>4458</v>
      </c>
      <c r="H176" s="68">
        <v>2972</v>
      </c>
      <c r="I176" s="68">
        <v>5000</v>
      </c>
      <c r="J176" s="68">
        <v>0</v>
      </c>
    </row>
    <row r="177" spans="1:10">
      <c r="A177" s="61" t="s">
        <v>232</v>
      </c>
      <c r="B177" s="68">
        <v>107313.36000000002</v>
      </c>
      <c r="C177" s="68">
        <v>0</v>
      </c>
      <c r="D177" s="68">
        <v>33401.479999999996</v>
      </c>
      <c r="E177" s="68">
        <v>1480.32</v>
      </c>
      <c r="F177" s="68">
        <v>2440.9</v>
      </c>
      <c r="G177" s="68">
        <v>1464.54</v>
      </c>
      <c r="H177" s="68">
        <v>976.36</v>
      </c>
      <c r="I177" s="68">
        <v>0</v>
      </c>
      <c r="J177" s="68">
        <v>0</v>
      </c>
    </row>
    <row r="178" spans="1:10">
      <c r="A178" s="72" t="s">
        <v>147</v>
      </c>
      <c r="B178" s="67">
        <f>+SUM(B179:B181)</f>
        <v>194340</v>
      </c>
      <c r="C178" s="67">
        <f t="shared" ref="C178:J178" si="32">+SUM(C179:C181)</f>
        <v>0</v>
      </c>
      <c r="D178" s="67">
        <f t="shared" si="32"/>
        <v>94922.01</v>
      </c>
      <c r="E178" s="67">
        <f t="shared" si="32"/>
        <v>63281.340000000004</v>
      </c>
      <c r="F178" s="67">
        <f t="shared" si="32"/>
        <v>66957.5</v>
      </c>
      <c r="G178" s="67">
        <f t="shared" si="32"/>
        <v>33413.1</v>
      </c>
      <c r="H178" s="67">
        <f t="shared" si="32"/>
        <v>22275.4</v>
      </c>
      <c r="I178" s="67">
        <f t="shared" si="32"/>
        <v>233250</v>
      </c>
      <c r="J178" s="67">
        <f t="shared" si="32"/>
        <v>155500</v>
      </c>
    </row>
    <row r="179" spans="1:10">
      <c r="A179" s="61" t="s">
        <v>148</v>
      </c>
      <c r="B179" s="68">
        <v>193714</v>
      </c>
      <c r="C179" s="68">
        <v>0</v>
      </c>
      <c r="D179" s="68">
        <v>89743.2</v>
      </c>
      <c r="E179" s="68">
        <v>59828.800000000003</v>
      </c>
      <c r="F179" s="68">
        <v>51557.5</v>
      </c>
      <c r="G179" s="68">
        <v>24173.1</v>
      </c>
      <c r="H179" s="68">
        <v>16115.400000000001</v>
      </c>
      <c r="I179" s="68">
        <v>27248.399999999998</v>
      </c>
      <c r="J179" s="68">
        <v>18165.599999999999</v>
      </c>
    </row>
    <row r="180" spans="1:10">
      <c r="A180" s="61" t="s">
        <v>149</v>
      </c>
      <c r="B180" s="68">
        <v>0</v>
      </c>
      <c r="C180" s="68">
        <v>0</v>
      </c>
      <c r="D180" s="68">
        <v>5178.8100000000004</v>
      </c>
      <c r="E180" s="68">
        <v>3452.5400000000004</v>
      </c>
      <c r="F180" s="68">
        <v>0</v>
      </c>
      <c r="G180" s="68">
        <v>0</v>
      </c>
      <c r="H180" s="68">
        <v>0</v>
      </c>
      <c r="I180" s="68">
        <v>206001.6</v>
      </c>
      <c r="J180" s="68">
        <v>137334.39999999999</v>
      </c>
    </row>
    <row r="181" spans="1:10">
      <c r="A181" s="61" t="s">
        <v>150</v>
      </c>
      <c r="B181" s="68">
        <v>626</v>
      </c>
      <c r="C181" s="68">
        <v>0</v>
      </c>
      <c r="D181" s="68">
        <v>0</v>
      </c>
      <c r="E181" s="68">
        <v>0</v>
      </c>
      <c r="F181" s="68">
        <v>15400</v>
      </c>
      <c r="G181" s="68">
        <v>9240</v>
      </c>
      <c r="H181" s="68">
        <v>6160</v>
      </c>
      <c r="I181" s="68">
        <v>0</v>
      </c>
      <c r="J181" s="68">
        <v>0</v>
      </c>
    </row>
    <row r="182" spans="1:10">
      <c r="A182" s="72" t="s">
        <v>151</v>
      </c>
      <c r="B182" s="67">
        <f>+SUM(B183:B186)</f>
        <v>54501.200000000004</v>
      </c>
      <c r="C182" s="67">
        <f t="shared" ref="C182:J182" si="33">+SUM(C183:C186)</f>
        <v>0</v>
      </c>
      <c r="D182" s="67">
        <f t="shared" si="33"/>
        <v>45000.34</v>
      </c>
      <c r="E182" s="67">
        <f t="shared" si="33"/>
        <v>16087.56</v>
      </c>
      <c r="F182" s="67">
        <f t="shared" si="33"/>
        <v>20508.949999999997</v>
      </c>
      <c r="G182" s="67">
        <f t="shared" si="33"/>
        <v>12305.369999999999</v>
      </c>
      <c r="H182" s="67">
        <f t="shared" si="33"/>
        <v>8203.58</v>
      </c>
      <c r="I182" s="67">
        <f t="shared" si="33"/>
        <v>659</v>
      </c>
      <c r="J182" s="67">
        <f t="shared" si="33"/>
        <v>0</v>
      </c>
    </row>
    <row r="183" spans="1:10">
      <c r="A183" s="61" t="s">
        <v>152</v>
      </c>
      <c r="B183" s="68">
        <v>2030.4</v>
      </c>
      <c r="C183" s="68">
        <v>0</v>
      </c>
      <c r="D183" s="68">
        <v>913.68</v>
      </c>
      <c r="E183" s="68">
        <v>609.12</v>
      </c>
      <c r="F183" s="68">
        <v>761.4</v>
      </c>
      <c r="G183" s="68">
        <v>456.84</v>
      </c>
      <c r="H183" s="68">
        <v>304.56</v>
      </c>
      <c r="I183" s="68">
        <v>0</v>
      </c>
      <c r="J183" s="68">
        <v>0</v>
      </c>
    </row>
    <row r="184" spans="1:10">
      <c r="A184" s="61" t="s">
        <v>153</v>
      </c>
      <c r="B184" s="68">
        <v>23696.400000000001</v>
      </c>
      <c r="C184" s="68">
        <v>0</v>
      </c>
      <c r="D184" s="68">
        <v>31138.18</v>
      </c>
      <c r="E184" s="68">
        <v>6846.12</v>
      </c>
      <c r="F184" s="68">
        <v>8957.15</v>
      </c>
      <c r="G184" s="68">
        <v>5374.2899999999991</v>
      </c>
      <c r="H184" s="68">
        <v>3582.86</v>
      </c>
      <c r="I184" s="68">
        <v>659</v>
      </c>
      <c r="J184" s="68">
        <v>0</v>
      </c>
    </row>
    <row r="185" spans="1:10">
      <c r="A185" s="61" t="s">
        <v>154</v>
      </c>
      <c r="B185" s="68">
        <v>28774.400000000001</v>
      </c>
      <c r="C185" s="68">
        <v>0</v>
      </c>
      <c r="D185" s="68">
        <v>12948.48</v>
      </c>
      <c r="E185" s="68">
        <v>8632.32</v>
      </c>
      <c r="F185" s="68">
        <v>10790.4</v>
      </c>
      <c r="G185" s="68">
        <v>6474.24</v>
      </c>
      <c r="H185" s="68">
        <v>4316.16</v>
      </c>
      <c r="I185" s="68">
        <v>0</v>
      </c>
      <c r="J185" s="68">
        <v>0</v>
      </c>
    </row>
    <row r="186" spans="1:10">
      <c r="A186" s="61" t="s">
        <v>155</v>
      </c>
      <c r="B186" s="68">
        <v>0</v>
      </c>
      <c r="C186" s="68">
        <v>0</v>
      </c>
      <c r="D186" s="68">
        <v>0</v>
      </c>
      <c r="E186" s="68">
        <v>0</v>
      </c>
      <c r="F186" s="68">
        <v>0</v>
      </c>
      <c r="G186" s="68">
        <v>0</v>
      </c>
      <c r="H186" s="68">
        <v>0</v>
      </c>
      <c r="I186" s="68">
        <v>0</v>
      </c>
      <c r="J186" s="68">
        <v>0</v>
      </c>
    </row>
    <row r="187" spans="1:10">
      <c r="A187" s="72" t="s">
        <v>156</v>
      </c>
      <c r="B187" s="67">
        <f>+SUM(B188:B192)</f>
        <v>23332.800000000003</v>
      </c>
      <c r="C187" s="67">
        <f t="shared" ref="C187:J187" si="34">+SUM(C188:C192)</f>
        <v>0</v>
      </c>
      <c r="D187" s="67">
        <f t="shared" si="34"/>
        <v>3749.7599999999993</v>
      </c>
      <c r="E187" s="67">
        <f t="shared" si="34"/>
        <v>2499.84</v>
      </c>
      <c r="F187" s="67">
        <f t="shared" si="34"/>
        <v>3124.7999999999997</v>
      </c>
      <c r="G187" s="67">
        <f t="shared" si="34"/>
        <v>1874.8799999999997</v>
      </c>
      <c r="H187" s="67">
        <f t="shared" si="34"/>
        <v>1249.92</v>
      </c>
      <c r="I187" s="67">
        <f t="shared" si="34"/>
        <v>1874.9999999999995</v>
      </c>
      <c r="J187" s="67">
        <f t="shared" si="34"/>
        <v>1250</v>
      </c>
    </row>
    <row r="188" spans="1:10">
      <c r="A188" s="61" t="s">
        <v>157</v>
      </c>
      <c r="B188" s="68">
        <v>8332.8000000000011</v>
      </c>
      <c r="C188" s="68">
        <v>0</v>
      </c>
      <c r="D188" s="68">
        <v>3749.7599999999993</v>
      </c>
      <c r="E188" s="68">
        <v>2499.84</v>
      </c>
      <c r="F188" s="68">
        <v>3124.7999999999997</v>
      </c>
      <c r="G188" s="68">
        <v>1874.8799999999997</v>
      </c>
      <c r="H188" s="68">
        <v>1249.92</v>
      </c>
      <c r="I188" s="68">
        <v>1874.9999999999995</v>
      </c>
      <c r="J188" s="68">
        <v>1250</v>
      </c>
    </row>
    <row r="189" spans="1:10">
      <c r="A189" s="61" t="s">
        <v>158</v>
      </c>
      <c r="B189" s="68">
        <v>15000</v>
      </c>
      <c r="C189" s="68">
        <v>0</v>
      </c>
      <c r="D189" s="68">
        <v>0</v>
      </c>
      <c r="E189" s="68">
        <v>0</v>
      </c>
      <c r="F189" s="68">
        <v>0</v>
      </c>
      <c r="G189" s="68">
        <v>0</v>
      </c>
      <c r="H189" s="68">
        <v>0</v>
      </c>
      <c r="I189" s="68">
        <v>0</v>
      </c>
      <c r="J189" s="68">
        <v>0</v>
      </c>
    </row>
    <row r="190" spans="1:10">
      <c r="A190" s="61" t="s">
        <v>159</v>
      </c>
      <c r="B190" s="68">
        <v>0</v>
      </c>
      <c r="C190" s="68">
        <v>0</v>
      </c>
      <c r="D190" s="68">
        <v>0</v>
      </c>
      <c r="E190" s="68">
        <v>0</v>
      </c>
      <c r="F190" s="68">
        <v>0</v>
      </c>
      <c r="G190" s="68">
        <v>0</v>
      </c>
      <c r="H190" s="68">
        <v>0</v>
      </c>
      <c r="I190" s="68">
        <v>0</v>
      </c>
      <c r="J190" s="68">
        <v>0</v>
      </c>
    </row>
    <row r="191" spans="1:10">
      <c r="A191" s="61" t="s">
        <v>160</v>
      </c>
      <c r="B191" s="68">
        <v>0</v>
      </c>
      <c r="C191" s="68">
        <v>0</v>
      </c>
      <c r="D191" s="68">
        <v>0</v>
      </c>
      <c r="E191" s="68">
        <v>0</v>
      </c>
      <c r="F191" s="68">
        <v>0</v>
      </c>
      <c r="G191" s="68">
        <v>0</v>
      </c>
      <c r="H191" s="68">
        <v>0</v>
      </c>
      <c r="I191" s="68">
        <v>0</v>
      </c>
      <c r="J191" s="68">
        <v>0</v>
      </c>
    </row>
    <row r="192" spans="1:10">
      <c r="A192" s="61" t="s">
        <v>161</v>
      </c>
      <c r="B192" s="68">
        <v>0</v>
      </c>
      <c r="C192" s="68">
        <v>0</v>
      </c>
      <c r="D192" s="68">
        <v>0</v>
      </c>
      <c r="E192" s="68">
        <v>0</v>
      </c>
      <c r="F192" s="68">
        <v>0</v>
      </c>
      <c r="G192" s="68">
        <v>0</v>
      </c>
      <c r="H192" s="68">
        <v>0</v>
      </c>
      <c r="I192" s="68">
        <v>0</v>
      </c>
      <c r="J192" s="68">
        <v>0</v>
      </c>
    </row>
    <row r="193" spans="1:10">
      <c r="A193" s="72" t="s">
        <v>162</v>
      </c>
      <c r="B193" s="67">
        <f>+SUM(B194:B204)</f>
        <v>47778.408000000003</v>
      </c>
      <c r="C193" s="67">
        <f t="shared" ref="C193:J193" si="35">+SUM(C194:C204)</f>
        <v>0</v>
      </c>
      <c r="D193" s="67">
        <f t="shared" si="35"/>
        <v>64232.804400000001</v>
      </c>
      <c r="E193" s="67">
        <f t="shared" si="35"/>
        <v>11622.499599999997</v>
      </c>
      <c r="F193" s="67">
        <f t="shared" si="35"/>
        <v>19837.510999999999</v>
      </c>
      <c r="G193" s="67">
        <f t="shared" si="35"/>
        <v>14082.520199999999</v>
      </c>
      <c r="H193" s="67">
        <f t="shared" si="35"/>
        <v>7192.7468000000008</v>
      </c>
      <c r="I193" s="67">
        <f t="shared" si="35"/>
        <v>52670.390000000007</v>
      </c>
      <c r="J193" s="67">
        <f t="shared" si="35"/>
        <v>5562.0000000000009</v>
      </c>
    </row>
    <row r="194" spans="1:10">
      <c r="A194" s="61" t="s">
        <v>163</v>
      </c>
      <c r="B194" s="68">
        <v>11883</v>
      </c>
      <c r="C194" s="68">
        <v>0</v>
      </c>
      <c r="D194" s="68">
        <v>16684.2</v>
      </c>
      <c r="E194" s="68">
        <v>11122.8</v>
      </c>
      <c r="F194" s="68">
        <v>6189</v>
      </c>
      <c r="G194" s="68">
        <v>3713.3999999999996</v>
      </c>
      <c r="H194" s="68">
        <v>2475.6000000000004</v>
      </c>
      <c r="I194" s="68">
        <v>7042.8</v>
      </c>
      <c r="J194" s="68">
        <v>4695.2000000000007</v>
      </c>
    </row>
    <row r="195" spans="1:10">
      <c r="A195" s="61" t="s">
        <v>164</v>
      </c>
      <c r="B195" s="68">
        <v>1048.8000000000002</v>
      </c>
      <c r="C195" s="68">
        <v>0</v>
      </c>
      <c r="D195" s="68">
        <v>471.96</v>
      </c>
      <c r="E195" s="68">
        <v>314.64000000000004</v>
      </c>
      <c r="F195" s="68">
        <v>393.3</v>
      </c>
      <c r="G195" s="68">
        <v>235.98</v>
      </c>
      <c r="H195" s="68">
        <v>157.32000000000002</v>
      </c>
      <c r="I195" s="68">
        <v>230</v>
      </c>
      <c r="J195" s="68">
        <v>0</v>
      </c>
    </row>
    <row r="196" spans="1:10">
      <c r="A196" s="61" t="s">
        <v>233</v>
      </c>
      <c r="B196" s="68">
        <v>141.6</v>
      </c>
      <c r="C196" s="68">
        <v>0</v>
      </c>
      <c r="D196" s="68">
        <v>63.72</v>
      </c>
      <c r="E196" s="68">
        <v>42.480000000000004</v>
      </c>
      <c r="F196" s="68">
        <v>1428.1</v>
      </c>
      <c r="G196" s="68">
        <v>856.86</v>
      </c>
      <c r="H196" s="68">
        <v>571.24</v>
      </c>
      <c r="I196" s="68">
        <v>1300.2</v>
      </c>
      <c r="J196" s="68">
        <v>866.80000000000007</v>
      </c>
    </row>
    <row r="197" spans="1:10">
      <c r="A197" s="61" t="s">
        <v>165</v>
      </c>
      <c r="B197" s="68">
        <v>0</v>
      </c>
      <c r="C197" s="68">
        <v>0</v>
      </c>
      <c r="D197" s="68">
        <v>0</v>
      </c>
      <c r="E197" s="68">
        <v>0</v>
      </c>
      <c r="F197" s="68">
        <v>0</v>
      </c>
      <c r="G197" s="68">
        <v>0</v>
      </c>
      <c r="H197" s="68">
        <v>0</v>
      </c>
      <c r="I197" s="68">
        <v>0</v>
      </c>
      <c r="J197" s="68">
        <v>0</v>
      </c>
    </row>
    <row r="198" spans="1:10">
      <c r="A198" s="61" t="s">
        <v>166</v>
      </c>
      <c r="B198" s="68">
        <v>23187</v>
      </c>
      <c r="C198" s="68">
        <v>0</v>
      </c>
      <c r="D198" s="68">
        <v>7318.35</v>
      </c>
      <c r="E198" s="68">
        <v>150</v>
      </c>
      <c r="F198" s="68">
        <v>10744.695</v>
      </c>
      <c r="G198" s="68">
        <v>5333.2649999999994</v>
      </c>
      <c r="H198" s="68">
        <v>3555.51</v>
      </c>
      <c r="I198" s="68">
        <v>28408.52</v>
      </c>
      <c r="J198" s="68">
        <v>0</v>
      </c>
    </row>
    <row r="199" spans="1:10">
      <c r="A199" s="61" t="s">
        <v>167</v>
      </c>
      <c r="B199" s="68">
        <v>8302.5400000000009</v>
      </c>
      <c r="C199" s="68">
        <v>0</v>
      </c>
      <c r="D199" s="68">
        <v>32501.16</v>
      </c>
      <c r="E199" s="68">
        <v>0</v>
      </c>
      <c r="F199" s="68">
        <v>200</v>
      </c>
      <c r="G199" s="68">
        <v>1304.07</v>
      </c>
      <c r="H199" s="68">
        <v>80</v>
      </c>
      <c r="I199" s="68">
        <v>9557.58</v>
      </c>
      <c r="J199" s="68">
        <v>0</v>
      </c>
    </row>
    <row r="200" spans="1:10">
      <c r="A200" s="61" t="s">
        <v>168</v>
      </c>
      <c r="B200" s="68">
        <v>3243</v>
      </c>
      <c r="C200" s="68">
        <v>0</v>
      </c>
      <c r="D200" s="68">
        <v>1940.67</v>
      </c>
      <c r="E200" s="68">
        <v>0</v>
      </c>
      <c r="F200" s="68">
        <v>892.93</v>
      </c>
      <c r="G200" s="68">
        <v>535.75799999999992</v>
      </c>
      <c r="H200" s="68">
        <v>357.17200000000003</v>
      </c>
      <c r="I200" s="68">
        <v>1950</v>
      </c>
      <c r="J200" s="68">
        <v>0</v>
      </c>
    </row>
    <row r="201" spans="1:10">
      <c r="A201" s="61" t="s">
        <v>169</v>
      </c>
      <c r="B201" s="68">
        <v>0</v>
      </c>
      <c r="C201" s="68">
        <v>0</v>
      </c>
      <c r="D201" s="68">
        <v>4240</v>
      </c>
      <c r="E201" s="68">
        <v>0</v>
      </c>
      <c r="F201" s="68">
        <v>0</v>
      </c>
      <c r="G201" s="68">
        <v>2110</v>
      </c>
      <c r="H201" s="68">
        <v>0</v>
      </c>
      <c r="I201" s="68">
        <v>4180</v>
      </c>
      <c r="J201" s="68">
        <v>0</v>
      </c>
    </row>
    <row r="202" spans="1:10">
      <c r="A202" s="61" t="s">
        <v>170</v>
      </c>
      <c r="B202" s="68">
        <v>0</v>
      </c>
      <c r="C202" s="68">
        <v>0</v>
      </c>
      <c r="D202" s="68">
        <v>1020.3</v>
      </c>
      <c r="E202" s="68">
        <v>0</v>
      </c>
      <c r="F202" s="68">
        <v>0</v>
      </c>
      <c r="G202" s="68">
        <v>0</v>
      </c>
      <c r="H202" s="68">
        <v>0</v>
      </c>
      <c r="I202" s="68">
        <v>0</v>
      </c>
      <c r="J202" s="68">
        <v>0</v>
      </c>
    </row>
    <row r="203" spans="1:10">
      <c r="A203" s="61" t="s">
        <v>234</v>
      </c>
      <c r="B203" s="68">
        <v>-1.1320000000000001</v>
      </c>
      <c r="C203" s="68">
        <v>0</v>
      </c>
      <c r="D203" s="68">
        <v>4.3243999999999998</v>
      </c>
      <c r="E203" s="68">
        <v>0.49959999999999999</v>
      </c>
      <c r="F203" s="68">
        <v>-0.61399999999999999</v>
      </c>
      <c r="G203" s="68">
        <v>-0.87280000000000002</v>
      </c>
      <c r="H203" s="68">
        <v>-0.13519999999999999</v>
      </c>
      <c r="I203" s="68">
        <v>1.29</v>
      </c>
      <c r="J203" s="68">
        <v>0</v>
      </c>
    </row>
    <row r="204" spans="1:10">
      <c r="A204" s="61" t="s">
        <v>171</v>
      </c>
      <c r="B204" s="68">
        <v>-26.400000000000002</v>
      </c>
      <c r="C204" s="68">
        <v>0</v>
      </c>
      <c r="D204" s="68">
        <v>-11.88</v>
      </c>
      <c r="E204" s="68">
        <v>-7.9200000000000008</v>
      </c>
      <c r="F204" s="68">
        <v>-9.9</v>
      </c>
      <c r="G204" s="68">
        <v>-5.94</v>
      </c>
      <c r="H204" s="68">
        <v>-3.9600000000000004</v>
      </c>
      <c r="I204" s="68">
        <v>0</v>
      </c>
      <c r="J204" s="68">
        <v>0</v>
      </c>
    </row>
    <row r="205" spans="1:10">
      <c r="A205" s="72" t="s">
        <v>172</v>
      </c>
      <c r="B205" s="67">
        <f>+SUM(B206:B208)</f>
        <v>175442.38800000001</v>
      </c>
      <c r="C205" s="67">
        <f t="shared" ref="C205:J205" si="36">+SUM(C206:C208)</f>
        <v>0</v>
      </c>
      <c r="D205" s="67">
        <f t="shared" si="36"/>
        <v>142342.67793333333</v>
      </c>
      <c r="E205" s="67">
        <f t="shared" si="36"/>
        <v>337.07639999999998</v>
      </c>
      <c r="F205" s="67">
        <f t="shared" si="36"/>
        <v>53229.5455</v>
      </c>
      <c r="G205" s="67">
        <f t="shared" si="36"/>
        <v>9297.3273000000008</v>
      </c>
      <c r="H205" s="67">
        <f t="shared" si="36"/>
        <v>821.33820000000003</v>
      </c>
      <c r="I205" s="67">
        <f t="shared" si="36"/>
        <v>10798</v>
      </c>
      <c r="J205" s="67">
        <f t="shared" si="36"/>
        <v>0</v>
      </c>
    </row>
    <row r="206" spans="1:10">
      <c r="A206" s="61" t="s">
        <v>173</v>
      </c>
      <c r="B206" s="68">
        <v>131237</v>
      </c>
      <c r="C206" s="68">
        <v>0</v>
      </c>
      <c r="D206" s="68">
        <v>0</v>
      </c>
      <c r="E206" s="68">
        <v>0</v>
      </c>
      <c r="F206" s="68">
        <v>49980</v>
      </c>
      <c r="G206" s="68">
        <v>0</v>
      </c>
      <c r="H206" s="68">
        <v>0</v>
      </c>
      <c r="I206" s="68">
        <v>0</v>
      </c>
      <c r="J206" s="68">
        <v>0</v>
      </c>
    </row>
    <row r="207" spans="1:10">
      <c r="A207" s="61" t="s">
        <v>174</v>
      </c>
      <c r="B207" s="68">
        <v>41629</v>
      </c>
      <c r="C207" s="68">
        <v>0</v>
      </c>
      <c r="D207" s="68">
        <v>9734</v>
      </c>
      <c r="E207" s="68">
        <v>0</v>
      </c>
      <c r="F207" s="68">
        <v>0</v>
      </c>
      <c r="G207" s="68">
        <v>0</v>
      </c>
      <c r="H207" s="68">
        <v>0</v>
      </c>
      <c r="I207" s="68">
        <v>7415</v>
      </c>
      <c r="J207" s="68">
        <v>0</v>
      </c>
    </row>
    <row r="208" spans="1:10">
      <c r="A208" s="61" t="s">
        <v>235</v>
      </c>
      <c r="B208" s="68">
        <v>2576.3879999999999</v>
      </c>
      <c r="C208" s="68">
        <v>0</v>
      </c>
      <c r="D208" s="68">
        <v>132608.67793333333</v>
      </c>
      <c r="E208" s="68">
        <v>337.07639999999998</v>
      </c>
      <c r="F208" s="68">
        <v>3249.5455000000002</v>
      </c>
      <c r="G208" s="68">
        <v>9297.3273000000008</v>
      </c>
      <c r="H208" s="68">
        <v>821.33820000000003</v>
      </c>
      <c r="I208" s="68">
        <v>3383</v>
      </c>
      <c r="J208" s="68">
        <v>0</v>
      </c>
    </row>
    <row r="209" spans="1:11">
      <c r="A209" s="72" t="s">
        <v>175</v>
      </c>
      <c r="B209" s="67">
        <f>+SUM(B210:B213)</f>
        <v>160737.31</v>
      </c>
      <c r="C209" s="67">
        <f t="shared" ref="C209:J209" si="37">+SUM(C210:C213)</f>
        <v>0</v>
      </c>
      <c r="D209" s="67">
        <f t="shared" si="37"/>
        <v>201051</v>
      </c>
      <c r="E209" s="67">
        <f t="shared" si="37"/>
        <v>234034</v>
      </c>
      <c r="F209" s="67">
        <f t="shared" si="37"/>
        <v>146842</v>
      </c>
      <c r="G209" s="67">
        <f t="shared" si="37"/>
        <v>88105.2</v>
      </c>
      <c r="H209" s="67">
        <f t="shared" si="37"/>
        <v>58736.800000000003</v>
      </c>
      <c r="I209" s="67">
        <f t="shared" si="37"/>
        <v>267000</v>
      </c>
      <c r="J209" s="67">
        <f t="shared" si="37"/>
        <v>178000</v>
      </c>
    </row>
    <row r="210" spans="1:11">
      <c r="A210" s="61" t="s">
        <v>176</v>
      </c>
      <c r="B210" s="68">
        <v>0</v>
      </c>
      <c r="C210" s="68">
        <v>0</v>
      </c>
      <c r="D210" s="68">
        <v>0</v>
      </c>
      <c r="E210" s="68">
        <v>100000</v>
      </c>
      <c r="F210" s="68">
        <v>0</v>
      </c>
      <c r="G210" s="68">
        <v>0</v>
      </c>
      <c r="H210" s="68">
        <v>0</v>
      </c>
      <c r="I210" s="68">
        <v>0</v>
      </c>
      <c r="J210" s="68">
        <v>0</v>
      </c>
    </row>
    <row r="211" spans="1:11">
      <c r="A211" s="61" t="s">
        <v>177</v>
      </c>
      <c r="B211" s="68">
        <v>0</v>
      </c>
      <c r="C211" s="68">
        <v>0</v>
      </c>
      <c r="D211" s="68">
        <v>201051</v>
      </c>
      <c r="E211" s="68">
        <v>134034</v>
      </c>
      <c r="F211" s="68">
        <v>0</v>
      </c>
      <c r="G211" s="68">
        <v>73705.2</v>
      </c>
      <c r="H211" s="68">
        <v>49136.800000000003</v>
      </c>
      <c r="I211" s="68">
        <v>267000</v>
      </c>
      <c r="J211" s="68">
        <v>178000</v>
      </c>
    </row>
    <row r="212" spans="1:11">
      <c r="A212" s="61" t="s">
        <v>178</v>
      </c>
      <c r="B212" s="68">
        <v>87450.31</v>
      </c>
      <c r="C212" s="68">
        <v>0</v>
      </c>
      <c r="D212" s="68">
        <v>0</v>
      </c>
      <c r="E212" s="68">
        <v>0</v>
      </c>
      <c r="F212" s="68">
        <v>122842</v>
      </c>
      <c r="G212" s="68"/>
      <c r="H212" s="68"/>
      <c r="I212" s="68">
        <v>0</v>
      </c>
      <c r="J212" s="68">
        <v>0</v>
      </c>
      <c r="K212" s="121"/>
    </row>
    <row r="213" spans="1:11">
      <c r="A213" s="61" t="s">
        <v>179</v>
      </c>
      <c r="B213" s="68">
        <v>73287</v>
      </c>
      <c r="C213" s="68">
        <v>0</v>
      </c>
      <c r="D213" s="68">
        <v>0</v>
      </c>
      <c r="E213" s="68">
        <v>0</v>
      </c>
      <c r="F213" s="68">
        <v>24000</v>
      </c>
      <c r="G213" s="68">
        <v>14400</v>
      </c>
      <c r="H213" s="68">
        <v>9600</v>
      </c>
      <c r="I213" s="68">
        <v>0</v>
      </c>
      <c r="J213" s="68">
        <v>0</v>
      </c>
    </row>
    <row r="214" spans="1:11">
      <c r="A214" s="72" t="s">
        <v>180</v>
      </c>
      <c r="B214" s="67">
        <f>+SUM(B215:B216)</f>
        <v>2500</v>
      </c>
      <c r="C214" s="67">
        <f t="shared" ref="C214:J214" si="38">+SUM(C215:C216)</f>
        <v>0</v>
      </c>
      <c r="D214" s="67">
        <f t="shared" si="38"/>
        <v>1500</v>
      </c>
      <c r="E214" s="67">
        <f t="shared" si="38"/>
        <v>0</v>
      </c>
      <c r="F214" s="67">
        <f t="shared" si="38"/>
        <v>925</v>
      </c>
      <c r="G214" s="67">
        <f t="shared" si="38"/>
        <v>555</v>
      </c>
      <c r="H214" s="67">
        <f t="shared" si="38"/>
        <v>370</v>
      </c>
      <c r="I214" s="67">
        <f t="shared" si="38"/>
        <v>500</v>
      </c>
      <c r="J214" s="67">
        <f t="shared" si="38"/>
        <v>0</v>
      </c>
    </row>
    <row r="215" spans="1:11">
      <c r="A215" s="61" t="s">
        <v>181</v>
      </c>
      <c r="B215" s="68">
        <v>0</v>
      </c>
      <c r="C215" s="68">
        <v>0</v>
      </c>
      <c r="D215" s="68">
        <v>0</v>
      </c>
      <c r="E215" s="68">
        <v>0</v>
      </c>
      <c r="F215" s="68">
        <v>0</v>
      </c>
      <c r="G215" s="68">
        <v>0</v>
      </c>
      <c r="H215" s="68">
        <v>0</v>
      </c>
      <c r="I215" s="68">
        <v>0</v>
      </c>
      <c r="J215" s="68">
        <v>0</v>
      </c>
    </row>
    <row r="216" spans="1:11">
      <c r="A216" s="61" t="s">
        <v>182</v>
      </c>
      <c r="B216" s="68">
        <v>2500</v>
      </c>
      <c r="C216" s="68">
        <v>0</v>
      </c>
      <c r="D216" s="68">
        <v>1500</v>
      </c>
      <c r="E216" s="68">
        <v>0</v>
      </c>
      <c r="F216" s="68">
        <v>925</v>
      </c>
      <c r="G216" s="68">
        <v>555</v>
      </c>
      <c r="H216" s="68">
        <v>370</v>
      </c>
      <c r="I216" s="68">
        <v>500</v>
      </c>
      <c r="J216" s="68">
        <v>0</v>
      </c>
    </row>
    <row r="217" spans="1:11">
      <c r="A217" s="60"/>
      <c r="B217" s="68"/>
      <c r="C217" s="68"/>
      <c r="D217" s="68"/>
      <c r="E217" s="68"/>
      <c r="F217" s="68"/>
      <c r="G217" s="68"/>
      <c r="H217" s="68"/>
      <c r="I217" s="69"/>
      <c r="J217" s="69"/>
    </row>
    <row r="218" spans="1:11" ht="17.25">
      <c r="A218" s="70" t="s">
        <v>183</v>
      </c>
      <c r="B218" s="67">
        <f>+B219+B223+B227</f>
        <v>661187.41104109597</v>
      </c>
      <c r="C218" s="67">
        <f t="shared" ref="C218:J218" si="39">+C219+C223+C227</f>
        <v>0</v>
      </c>
      <c r="D218" s="67">
        <f t="shared" si="39"/>
        <v>19115.8488</v>
      </c>
      <c r="E218" s="67">
        <f t="shared" si="39"/>
        <v>12743.8992</v>
      </c>
      <c r="F218" s="67">
        <f t="shared" si="39"/>
        <v>352328.64600000001</v>
      </c>
      <c r="G218" s="67">
        <f t="shared" si="39"/>
        <v>9557.9243999999999</v>
      </c>
      <c r="H218" s="67">
        <f t="shared" si="39"/>
        <v>6371.9495999999999</v>
      </c>
      <c r="I218" s="67">
        <f t="shared" si="39"/>
        <v>0</v>
      </c>
      <c r="J218" s="67">
        <f t="shared" si="39"/>
        <v>0</v>
      </c>
    </row>
    <row r="219" spans="1:11">
      <c r="A219" s="72" t="s">
        <v>184</v>
      </c>
      <c r="B219" s="67">
        <f>+SUM(B220:B222)</f>
        <v>618707.74704109598</v>
      </c>
      <c r="C219" s="67">
        <f t="shared" ref="C219:J219" si="40">+SUM(C220:C222)</f>
        <v>0</v>
      </c>
      <c r="D219" s="67">
        <f t="shared" si="40"/>
        <v>0</v>
      </c>
      <c r="E219" s="67">
        <f t="shared" si="40"/>
        <v>0</v>
      </c>
      <c r="F219" s="67">
        <f t="shared" si="40"/>
        <v>336398.77200000006</v>
      </c>
      <c r="G219" s="67">
        <f t="shared" si="40"/>
        <v>0</v>
      </c>
      <c r="H219" s="67">
        <f t="shared" si="40"/>
        <v>0</v>
      </c>
      <c r="I219" s="67">
        <f t="shared" si="40"/>
        <v>0</v>
      </c>
      <c r="J219" s="67">
        <f t="shared" si="40"/>
        <v>0</v>
      </c>
    </row>
    <row r="220" spans="1:11">
      <c r="A220" s="61" t="s">
        <v>185</v>
      </c>
      <c r="B220" s="68">
        <v>114109.58904109587</v>
      </c>
      <c r="C220" s="68">
        <v>0</v>
      </c>
      <c r="D220" s="68">
        <v>0</v>
      </c>
      <c r="E220" s="68">
        <v>0</v>
      </c>
      <c r="F220" s="68">
        <v>0</v>
      </c>
      <c r="G220" s="68">
        <v>0</v>
      </c>
      <c r="H220" s="68">
        <v>0</v>
      </c>
      <c r="I220" s="68">
        <v>0</v>
      </c>
      <c r="J220" s="68">
        <v>0</v>
      </c>
    </row>
    <row r="221" spans="1:11">
      <c r="A221" s="61" t="s">
        <v>236</v>
      </c>
      <c r="B221" s="68">
        <v>180147.6</v>
      </c>
      <c r="C221" s="68">
        <v>0</v>
      </c>
      <c r="D221" s="68">
        <v>0</v>
      </c>
      <c r="E221" s="68">
        <v>0</v>
      </c>
      <c r="F221" s="68">
        <v>120098.40000000001</v>
      </c>
      <c r="G221" s="68">
        <v>0</v>
      </c>
      <c r="H221" s="68">
        <v>0</v>
      </c>
      <c r="I221" s="68">
        <v>0</v>
      </c>
      <c r="J221" s="68">
        <v>0</v>
      </c>
    </row>
    <row r="222" spans="1:11">
      <c r="A222" s="61" t="s">
        <v>237</v>
      </c>
      <c r="B222" s="68">
        <v>324450.55800000002</v>
      </c>
      <c r="C222" s="68">
        <v>0</v>
      </c>
      <c r="D222" s="68">
        <v>0</v>
      </c>
      <c r="E222" s="68">
        <v>0</v>
      </c>
      <c r="F222" s="68">
        <v>216300.37200000003</v>
      </c>
      <c r="G222" s="68">
        <v>0</v>
      </c>
      <c r="H222" s="68">
        <v>0</v>
      </c>
      <c r="I222" s="68">
        <v>0</v>
      </c>
      <c r="J222" s="68">
        <v>0</v>
      </c>
    </row>
    <row r="223" spans="1:11">
      <c r="A223" s="72" t="s">
        <v>186</v>
      </c>
      <c r="B223" s="67">
        <f>+SUM(B224:B226)</f>
        <v>41820.064000000006</v>
      </c>
      <c r="C223" s="67">
        <f t="shared" ref="C223:J223" si="41">+SUM(C224:C226)</f>
        <v>0</v>
      </c>
      <c r="D223" s="67">
        <f t="shared" si="41"/>
        <v>18819.0288</v>
      </c>
      <c r="E223" s="67">
        <f t="shared" si="41"/>
        <v>12546.019200000001</v>
      </c>
      <c r="F223" s="67">
        <f t="shared" si="41"/>
        <v>15682.523999999999</v>
      </c>
      <c r="G223" s="67">
        <f t="shared" si="41"/>
        <v>9409.5144</v>
      </c>
      <c r="H223" s="67">
        <f t="shared" si="41"/>
        <v>6273.0096000000003</v>
      </c>
      <c r="I223" s="67">
        <f t="shared" si="41"/>
        <v>0</v>
      </c>
      <c r="J223" s="67">
        <f t="shared" si="41"/>
        <v>0</v>
      </c>
    </row>
    <row r="224" spans="1:11">
      <c r="A224" s="61" t="s">
        <v>187</v>
      </c>
      <c r="B224" s="68">
        <v>41820.064000000006</v>
      </c>
      <c r="C224" s="68">
        <v>0</v>
      </c>
      <c r="D224" s="68">
        <v>18819.0288</v>
      </c>
      <c r="E224" s="68">
        <v>12546.019200000001</v>
      </c>
      <c r="F224" s="68">
        <v>15682.523999999999</v>
      </c>
      <c r="G224" s="68">
        <v>9409.5144</v>
      </c>
      <c r="H224" s="68">
        <v>6273.0096000000003</v>
      </c>
      <c r="I224" s="68">
        <v>0</v>
      </c>
      <c r="J224" s="68">
        <v>0</v>
      </c>
    </row>
    <row r="225" spans="1:10">
      <c r="A225" s="61" t="s">
        <v>188</v>
      </c>
      <c r="B225" s="68">
        <v>0</v>
      </c>
      <c r="C225" s="68">
        <v>0</v>
      </c>
      <c r="D225" s="68">
        <v>0</v>
      </c>
      <c r="E225" s="68">
        <v>0</v>
      </c>
      <c r="F225" s="68">
        <v>0</v>
      </c>
      <c r="G225" s="68">
        <v>0</v>
      </c>
      <c r="H225" s="68">
        <v>0</v>
      </c>
      <c r="I225" s="68">
        <v>0</v>
      </c>
      <c r="J225" s="68">
        <v>0</v>
      </c>
    </row>
    <row r="226" spans="1:10">
      <c r="A226" s="61" t="s">
        <v>189</v>
      </c>
      <c r="B226" s="68">
        <v>0</v>
      </c>
      <c r="C226" s="68">
        <v>0</v>
      </c>
      <c r="D226" s="68">
        <v>0</v>
      </c>
      <c r="E226" s="68">
        <v>0</v>
      </c>
      <c r="F226" s="68">
        <v>0</v>
      </c>
      <c r="G226" s="68">
        <v>0</v>
      </c>
      <c r="H226" s="68">
        <v>0</v>
      </c>
      <c r="I226" s="68">
        <v>0</v>
      </c>
      <c r="J226" s="68">
        <v>0</v>
      </c>
    </row>
    <row r="227" spans="1:10">
      <c r="A227" s="72" t="s">
        <v>190</v>
      </c>
      <c r="B227" s="67">
        <f>+SUM(B228:B229)</f>
        <v>659.6</v>
      </c>
      <c r="C227" s="67">
        <f t="shared" ref="C227:J227" si="42">+SUM(C228:C229)</f>
        <v>0</v>
      </c>
      <c r="D227" s="67">
        <f t="shared" si="42"/>
        <v>296.82</v>
      </c>
      <c r="E227" s="67">
        <f t="shared" si="42"/>
        <v>197.88</v>
      </c>
      <c r="F227" s="67">
        <f t="shared" si="42"/>
        <v>247.35</v>
      </c>
      <c r="G227" s="67">
        <f t="shared" si="42"/>
        <v>148.41</v>
      </c>
      <c r="H227" s="67">
        <f t="shared" si="42"/>
        <v>98.94</v>
      </c>
      <c r="I227" s="67">
        <f t="shared" si="42"/>
        <v>0</v>
      </c>
      <c r="J227" s="67">
        <f t="shared" si="42"/>
        <v>0</v>
      </c>
    </row>
    <row r="228" spans="1:10">
      <c r="A228" s="61" t="s">
        <v>191</v>
      </c>
      <c r="B228" s="68">
        <v>0</v>
      </c>
      <c r="C228" s="68">
        <v>0</v>
      </c>
      <c r="D228" s="68">
        <v>0</v>
      </c>
      <c r="E228" s="68">
        <v>0</v>
      </c>
      <c r="F228" s="68">
        <v>0</v>
      </c>
      <c r="G228" s="68">
        <v>0</v>
      </c>
      <c r="H228" s="68">
        <v>0</v>
      </c>
      <c r="I228" s="68">
        <v>0</v>
      </c>
      <c r="J228" s="68">
        <v>0</v>
      </c>
    </row>
    <row r="229" spans="1:10">
      <c r="A229" s="61" t="s">
        <v>192</v>
      </c>
      <c r="B229" s="68">
        <v>659.6</v>
      </c>
      <c r="C229" s="68">
        <v>0</v>
      </c>
      <c r="D229" s="68">
        <v>296.82</v>
      </c>
      <c r="E229" s="68">
        <v>197.88</v>
      </c>
      <c r="F229" s="68">
        <v>247.35</v>
      </c>
      <c r="G229" s="68">
        <v>148.41</v>
      </c>
      <c r="H229" s="68">
        <v>98.94</v>
      </c>
      <c r="I229" s="68">
        <v>0</v>
      </c>
      <c r="J229" s="68">
        <v>0</v>
      </c>
    </row>
    <row r="230" spans="1:10">
      <c r="A230" s="64" t="s">
        <v>193</v>
      </c>
      <c r="B230" s="67">
        <f>+B75+B104+B115+B156+B218</f>
        <v>7765298.1778383721</v>
      </c>
      <c r="C230" s="67">
        <f t="shared" ref="C230:J230" si="43">+C75+C104+C115+C156+C218</f>
        <v>47154.48717948718</v>
      </c>
      <c r="D230" s="67">
        <f t="shared" si="43"/>
        <v>4123059.8372750687</v>
      </c>
      <c r="E230" s="67">
        <f t="shared" si="43"/>
        <v>1093495.8501911326</v>
      </c>
      <c r="F230" s="67">
        <f t="shared" si="43"/>
        <v>3267941.555310898</v>
      </c>
      <c r="G230" s="67">
        <f t="shared" si="43"/>
        <v>1598252.0635823179</v>
      </c>
      <c r="H230" s="67">
        <f t="shared" si="43"/>
        <v>461421.79953237175</v>
      </c>
      <c r="I230" s="67">
        <f t="shared" si="43"/>
        <v>1704547.3543247865</v>
      </c>
      <c r="J230" s="67">
        <f t="shared" si="43"/>
        <v>485830.44807692309</v>
      </c>
    </row>
    <row r="231" spans="1:10">
      <c r="A231" s="73" t="s">
        <v>58</v>
      </c>
      <c r="B231" s="115">
        <f>+IFERROR(B230/B70,0)</f>
        <v>4.4321868331835768E-2</v>
      </c>
      <c r="C231" s="115">
        <f t="shared" ref="C231:J231" si="44">+IFERROR(C230/C70,0)</f>
        <v>3.1979328453578475E-2</v>
      </c>
      <c r="D231" s="115">
        <f t="shared" si="44"/>
        <v>0.19667585531266948</v>
      </c>
      <c r="E231" s="115">
        <f t="shared" si="44"/>
        <v>0.13637696430361668</v>
      </c>
      <c r="F231" s="115">
        <f t="shared" si="44"/>
        <v>4.002810435146479E-2</v>
      </c>
      <c r="G231" s="115">
        <f t="shared" si="44"/>
        <v>0.18947895857156793</v>
      </c>
      <c r="H231" s="115">
        <f t="shared" si="44"/>
        <v>0.20140978664373216</v>
      </c>
      <c r="I231" s="115">
        <f t="shared" si="44"/>
        <v>0.5268397969779417</v>
      </c>
      <c r="J231" s="115">
        <f t="shared" si="44"/>
        <v>0.85480555725487561</v>
      </c>
    </row>
    <row r="232" spans="1:10">
      <c r="A232" s="21"/>
      <c r="B232" s="69"/>
      <c r="C232" s="69"/>
      <c r="D232" s="69"/>
      <c r="E232" s="69"/>
      <c r="F232" s="69"/>
      <c r="G232" s="69"/>
      <c r="H232" s="69"/>
      <c r="I232" s="69"/>
      <c r="J232" s="69"/>
    </row>
    <row r="233" spans="1:10">
      <c r="A233" s="64" t="s">
        <v>194</v>
      </c>
      <c r="B233" s="67">
        <f>+B71-B230</f>
        <v>2723828.9255096279</v>
      </c>
      <c r="C233" s="67">
        <f t="shared" ref="C233:J233" si="45">+C71-C230</f>
        <v>127434.16282051342</v>
      </c>
      <c r="D233" s="67">
        <f t="shared" si="45"/>
        <v>5726365.1312017962</v>
      </c>
      <c r="E233" s="67">
        <f t="shared" si="45"/>
        <v>2140608.4086088683</v>
      </c>
      <c r="F233" s="67">
        <f t="shared" si="45"/>
        <v>2080537.4067491028</v>
      </c>
      <c r="G233" s="67">
        <f t="shared" si="45"/>
        <v>2806654.3647323232</v>
      </c>
      <c r="H233" s="67">
        <f t="shared" si="45"/>
        <v>547362.41686762776</v>
      </c>
      <c r="I233" s="67">
        <f t="shared" si="45"/>
        <v>668452.99334593071</v>
      </c>
      <c r="J233" s="67">
        <f t="shared" si="45"/>
        <v>-295887.69807692309</v>
      </c>
    </row>
    <row r="234" spans="1:10">
      <c r="A234" s="73" t="s">
        <v>58</v>
      </c>
      <c r="B234" s="115">
        <f>IFERROR(B233/B70,0)</f>
        <v>1.554675483543244E-2</v>
      </c>
      <c r="C234" s="115">
        <f t="shared" ref="C234:J234" si="46">IFERROR(C233/C70,0)</f>
        <v>8.642356629883545E-2</v>
      </c>
      <c r="D234" s="115">
        <f t="shared" si="46"/>
        <v>0.27315581254238863</v>
      </c>
      <c r="E234" s="115">
        <f t="shared" si="46"/>
        <v>0.26696916726098852</v>
      </c>
      <c r="F234" s="115">
        <f t="shared" si="46"/>
        <v>2.5483922222885692E-2</v>
      </c>
      <c r="G234" s="115">
        <f t="shared" si="46"/>
        <v>0.33273972123511403</v>
      </c>
      <c r="H234" s="115">
        <f t="shared" si="46"/>
        <v>0.23892271173540888</v>
      </c>
      <c r="I234" s="115">
        <f t="shared" si="46"/>
        <v>0.20660478478943162</v>
      </c>
      <c r="J234" s="115">
        <f t="shared" si="46"/>
        <v>-0.52060641658149009</v>
      </c>
    </row>
    <row r="235" spans="1:10">
      <c r="A235" s="60"/>
      <c r="B235" s="68"/>
      <c r="C235" s="68"/>
      <c r="D235" s="68"/>
      <c r="E235" s="68"/>
      <c r="F235" s="68"/>
      <c r="G235" s="68"/>
      <c r="H235" s="68"/>
      <c r="I235" s="69"/>
      <c r="J235" s="69"/>
    </row>
    <row r="236" spans="1:10" ht="17.25">
      <c r="A236" s="70" t="s">
        <v>195</v>
      </c>
      <c r="B236" s="67">
        <f t="shared" ref="B236:J236" si="47">+SUM(B237:B239)</f>
        <v>114395.11460000002</v>
      </c>
      <c r="C236" s="67">
        <f t="shared" si="47"/>
        <v>0</v>
      </c>
      <c r="D236" s="67">
        <f t="shared" si="47"/>
        <v>337767.55985999998</v>
      </c>
      <c r="E236" s="67">
        <f t="shared" si="47"/>
        <v>19359.17324</v>
      </c>
      <c r="F236" s="67">
        <f t="shared" si="47"/>
        <v>138594.08115000001</v>
      </c>
      <c r="G236" s="67">
        <f t="shared" si="47"/>
        <v>288975.64869</v>
      </c>
      <c r="H236" s="67">
        <f t="shared" si="47"/>
        <v>55437.632460000008</v>
      </c>
      <c r="I236" s="67">
        <f t="shared" si="47"/>
        <v>0</v>
      </c>
      <c r="J236" s="67">
        <f t="shared" si="47"/>
        <v>0</v>
      </c>
    </row>
    <row r="237" spans="1:10">
      <c r="A237" s="61" t="s">
        <v>196</v>
      </c>
      <c r="B237" s="68">
        <v>0</v>
      </c>
      <c r="C237" s="68">
        <v>0</v>
      </c>
      <c r="D237" s="68">
        <v>282966</v>
      </c>
      <c r="E237" s="68">
        <v>0</v>
      </c>
      <c r="F237" s="68">
        <v>0</v>
      </c>
      <c r="G237" s="68">
        <v>188644</v>
      </c>
      <c r="H237" s="68">
        <v>0</v>
      </c>
      <c r="I237" s="68">
        <v>0</v>
      </c>
      <c r="J237" s="68">
        <v>0</v>
      </c>
    </row>
    <row r="238" spans="1:10">
      <c r="A238" s="61" t="s">
        <v>197</v>
      </c>
      <c r="B238" s="68">
        <v>114395.11460000002</v>
      </c>
      <c r="C238" s="68">
        <v>0</v>
      </c>
      <c r="D238" s="68">
        <v>29038.759860000002</v>
      </c>
      <c r="E238" s="68">
        <v>19359.17324</v>
      </c>
      <c r="F238" s="68">
        <v>138594.08115000001</v>
      </c>
      <c r="G238" s="68">
        <v>83156.448690000005</v>
      </c>
      <c r="H238" s="68">
        <v>55437.632460000008</v>
      </c>
      <c r="I238" s="68">
        <v>0</v>
      </c>
      <c r="J238" s="68">
        <v>0</v>
      </c>
    </row>
    <row r="239" spans="1:10">
      <c r="A239" s="61" t="s">
        <v>198</v>
      </c>
      <c r="B239" s="68">
        <v>0</v>
      </c>
      <c r="C239" s="68">
        <v>0</v>
      </c>
      <c r="D239" s="68">
        <v>25762.799999999999</v>
      </c>
      <c r="E239" s="68">
        <v>0</v>
      </c>
      <c r="F239" s="68">
        <v>0</v>
      </c>
      <c r="G239" s="68">
        <v>17175.2</v>
      </c>
      <c r="H239" s="68">
        <v>0</v>
      </c>
      <c r="I239" s="68">
        <v>0</v>
      </c>
      <c r="J239" s="68">
        <v>0</v>
      </c>
    </row>
    <row r="240" spans="1:10">
      <c r="A240" s="60"/>
      <c r="B240" s="68"/>
      <c r="C240" s="68"/>
      <c r="D240" s="68"/>
      <c r="E240" s="68"/>
      <c r="F240" s="68"/>
      <c r="G240" s="68"/>
      <c r="H240" s="68"/>
      <c r="I240" s="69"/>
      <c r="J240" s="69"/>
    </row>
    <row r="241" spans="1:10" ht="17.25">
      <c r="A241" s="70" t="s">
        <v>199</v>
      </c>
      <c r="B241" s="67">
        <f>+SUM(B242:B248)</f>
        <v>952163.96462113166</v>
      </c>
      <c r="C241" s="67">
        <f t="shared" ref="C241:J241" si="48">+SUM(C242:C248)</f>
        <v>0</v>
      </c>
      <c r="D241" s="67">
        <f t="shared" si="48"/>
        <v>675475.61596874997</v>
      </c>
      <c r="E241" s="67">
        <f t="shared" si="48"/>
        <v>386326.71292708302</v>
      </c>
      <c r="F241" s="67">
        <f t="shared" si="48"/>
        <v>433516.25836428563</v>
      </c>
      <c r="G241" s="67">
        <f t="shared" si="48"/>
        <v>241812.14353571442</v>
      </c>
      <c r="H241" s="67">
        <f t="shared" si="48"/>
        <v>155829.26235714319</v>
      </c>
      <c r="I241" s="67">
        <f t="shared" si="48"/>
        <v>702927.25199999998</v>
      </c>
      <c r="J241" s="67">
        <f t="shared" si="48"/>
        <v>468618.16800000001</v>
      </c>
    </row>
    <row r="242" spans="1:10">
      <c r="A242" s="61" t="s">
        <v>200</v>
      </c>
      <c r="B242" s="68"/>
      <c r="C242" s="68"/>
      <c r="D242" s="68"/>
      <c r="E242" s="68"/>
      <c r="F242" s="68"/>
      <c r="G242" s="68"/>
      <c r="H242" s="68"/>
      <c r="I242" s="68"/>
      <c r="J242" s="68"/>
    </row>
    <row r="243" spans="1:10">
      <c r="A243" s="61" t="s">
        <v>238</v>
      </c>
      <c r="B243" s="68">
        <v>952163.96462113166</v>
      </c>
      <c r="C243" s="68">
        <v>0</v>
      </c>
      <c r="D243" s="68">
        <v>675475.61596874997</v>
      </c>
      <c r="E243" s="68">
        <v>386326.71292708302</v>
      </c>
      <c r="F243" s="68">
        <v>433516.25836428563</v>
      </c>
      <c r="G243" s="68">
        <v>241812.14353571442</v>
      </c>
      <c r="H243" s="68">
        <v>155829.26235714319</v>
      </c>
      <c r="I243" s="68">
        <v>702927.25199999998</v>
      </c>
      <c r="J243" s="68">
        <v>468618.16800000001</v>
      </c>
    </row>
    <row r="244" spans="1:10">
      <c r="A244" s="61" t="s">
        <v>239</v>
      </c>
      <c r="B244" s="68"/>
      <c r="C244" s="68"/>
      <c r="D244" s="68"/>
      <c r="E244" s="68"/>
      <c r="F244" s="68"/>
      <c r="G244" s="68"/>
      <c r="H244" s="68"/>
      <c r="I244" s="68"/>
      <c r="J244" s="68"/>
    </row>
    <row r="245" spans="1:10">
      <c r="A245" s="61" t="s">
        <v>240</v>
      </c>
      <c r="B245" s="68"/>
      <c r="C245" s="68"/>
      <c r="D245" s="68"/>
      <c r="E245" s="68"/>
      <c r="F245" s="68"/>
      <c r="G245" s="68"/>
      <c r="H245" s="68"/>
      <c r="I245" s="68"/>
      <c r="J245" s="68"/>
    </row>
    <row r="246" spans="1:10">
      <c r="A246" s="61" t="s">
        <v>241</v>
      </c>
      <c r="B246" s="68"/>
      <c r="C246" s="68"/>
      <c r="D246" s="68"/>
      <c r="E246" s="68"/>
      <c r="F246" s="68"/>
      <c r="G246" s="68"/>
      <c r="H246" s="68"/>
      <c r="I246" s="68"/>
      <c r="J246" s="68"/>
    </row>
    <row r="247" spans="1:10">
      <c r="A247" s="61" t="s">
        <v>242</v>
      </c>
      <c r="B247" s="68"/>
      <c r="C247" s="68"/>
      <c r="D247" s="68"/>
      <c r="E247" s="68"/>
      <c r="F247" s="68"/>
      <c r="G247" s="68"/>
      <c r="H247" s="68"/>
      <c r="I247" s="68"/>
      <c r="J247" s="68"/>
    </row>
    <row r="248" spans="1:10">
      <c r="A248" s="60"/>
      <c r="B248" s="68"/>
      <c r="C248" s="68"/>
      <c r="D248" s="68"/>
      <c r="E248" s="68"/>
      <c r="F248" s="68"/>
      <c r="G248" s="68"/>
      <c r="H248" s="68"/>
      <c r="I248" s="69"/>
      <c r="J248" s="69"/>
    </row>
    <row r="249" spans="1:10">
      <c r="A249" s="64" t="s">
        <v>201</v>
      </c>
      <c r="B249" s="67">
        <f t="shared" ref="B249:J249" si="49">+B233-B236-B241</f>
        <v>1657269.8462884962</v>
      </c>
      <c r="C249" s="67">
        <f t="shared" si="49"/>
        <v>127434.16282051342</v>
      </c>
      <c r="D249" s="67">
        <f t="shared" si="49"/>
        <v>4713121.955373046</v>
      </c>
      <c r="E249" s="67">
        <f t="shared" si="49"/>
        <v>1734922.5224417853</v>
      </c>
      <c r="F249" s="67">
        <f t="shared" si="49"/>
        <v>1508427.0672348172</v>
      </c>
      <c r="G249" s="67">
        <f t="shared" si="49"/>
        <v>2275866.5725066084</v>
      </c>
      <c r="H249" s="67">
        <f t="shared" si="49"/>
        <v>336095.52205048455</v>
      </c>
      <c r="I249" s="67">
        <f t="shared" si="49"/>
        <v>-34474.258654069272</v>
      </c>
      <c r="J249" s="67">
        <f t="shared" si="49"/>
        <v>-764505.86607692309</v>
      </c>
    </row>
    <row r="250" spans="1:10">
      <c r="A250" s="74" t="s">
        <v>58</v>
      </c>
      <c r="B250" s="116">
        <f>IFERROR(B249/B70,0)</f>
        <v>9.4591726209755974E-3</v>
      </c>
      <c r="C250" s="116">
        <f t="shared" ref="C250:J250" si="50">IFERROR(C249/C70,0)</f>
        <v>8.642356629883545E-2</v>
      </c>
      <c r="D250" s="116">
        <f t="shared" si="50"/>
        <v>0.22482266286451505</v>
      </c>
      <c r="E250" s="116">
        <f t="shared" si="50"/>
        <v>0.21637344748151346</v>
      </c>
      <c r="F250" s="116">
        <f t="shared" si="50"/>
        <v>1.8476302293632976E-2</v>
      </c>
      <c r="G250" s="116">
        <f t="shared" si="50"/>
        <v>0.26981277724105723</v>
      </c>
      <c r="H250" s="116">
        <f t="shared" si="50"/>
        <v>0.1467050916465267</v>
      </c>
      <c r="I250" s="116">
        <f t="shared" si="50"/>
        <v>-1.0655269496733628E-2</v>
      </c>
      <c r="J250" s="116">
        <f t="shared" si="50"/>
        <v>-1.3451274317270339</v>
      </c>
    </row>
  </sheetData>
  <mergeCells count="5">
    <mergeCell ref="A1:J1"/>
    <mergeCell ref="A2:A3"/>
    <mergeCell ref="B2:E2"/>
    <mergeCell ref="F2:H2"/>
    <mergeCell ref="I2:J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1747-79E3-4884-B211-131DE9ADEE79}">
  <dimension ref="A1:J252"/>
  <sheetViews>
    <sheetView topLeftCell="A131" workbookViewId="0">
      <selection activeCell="B139" sqref="B139:J145"/>
    </sheetView>
  </sheetViews>
  <sheetFormatPr defaultColWidth="8.7109375" defaultRowHeight="15"/>
  <cols>
    <col min="1" max="1" width="40.85546875" style="49" bestFit="1" customWidth="1"/>
    <col min="2" max="2" width="12.42578125" style="49" bestFit="1" customWidth="1"/>
    <col min="3" max="3" width="10.42578125" style="49" bestFit="1" customWidth="1"/>
    <col min="4" max="4" width="11.5703125" style="49" bestFit="1" customWidth="1"/>
    <col min="5" max="5" width="10" style="49" bestFit="1" customWidth="1"/>
    <col min="6" max="6" width="12.140625" style="49" bestFit="1" customWidth="1"/>
    <col min="7" max="7" width="11.5703125" style="49" bestFit="1" customWidth="1"/>
    <col min="8" max="9" width="10" style="49" bestFit="1" customWidth="1"/>
    <col min="10" max="10" width="8.85546875" style="49" bestFit="1" customWidth="1"/>
    <col min="11" max="16384" width="8.7109375" style="49"/>
  </cols>
  <sheetData>
    <row r="1" spans="1:10" ht="15.75">
      <c r="A1" s="124" t="s">
        <v>244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0" ht="14.45" customHeight="1">
      <c r="A2" s="125" t="s">
        <v>1</v>
      </c>
      <c r="B2" s="127" t="s">
        <v>209</v>
      </c>
      <c r="C2" s="128"/>
      <c r="D2" s="128"/>
      <c r="E2" s="128"/>
      <c r="F2" s="129" t="s">
        <v>213</v>
      </c>
      <c r="G2" s="130"/>
      <c r="H2" s="130"/>
      <c r="I2" s="130" t="s">
        <v>214</v>
      </c>
      <c r="J2" s="130"/>
    </row>
    <row r="3" spans="1:10">
      <c r="A3" s="126"/>
      <c r="B3" s="51" t="s">
        <v>215</v>
      </c>
      <c r="C3" s="51" t="s">
        <v>216</v>
      </c>
      <c r="D3" s="52" t="s">
        <v>217</v>
      </c>
      <c r="E3" s="53" t="s">
        <v>218</v>
      </c>
      <c r="F3" s="51" t="s">
        <v>215</v>
      </c>
      <c r="G3" s="52" t="s">
        <v>217</v>
      </c>
      <c r="H3" s="52" t="s">
        <v>218</v>
      </c>
      <c r="I3" s="54" t="s">
        <v>217</v>
      </c>
      <c r="J3" s="54" t="s">
        <v>218</v>
      </c>
    </row>
    <row r="4" spans="1:10">
      <c r="A4" s="55" t="s">
        <v>3</v>
      </c>
      <c r="B4" s="56">
        <v>22</v>
      </c>
      <c r="C4" s="56"/>
      <c r="D4" s="56"/>
      <c r="E4" s="56"/>
      <c r="F4" s="56">
        <v>11</v>
      </c>
      <c r="G4" s="56"/>
      <c r="H4" s="56"/>
      <c r="I4" s="56"/>
      <c r="J4" s="56"/>
    </row>
    <row r="5" spans="1:10" ht="17.25">
      <c r="A5" s="57" t="s">
        <v>4</v>
      </c>
      <c r="B5" s="56"/>
      <c r="C5" s="56"/>
      <c r="D5" s="56"/>
      <c r="E5" s="56"/>
      <c r="F5" s="56"/>
      <c r="G5" s="56"/>
      <c r="H5" s="56"/>
      <c r="I5" s="50"/>
      <c r="J5" s="50"/>
    </row>
    <row r="6" spans="1:10">
      <c r="A6" s="55" t="s">
        <v>5</v>
      </c>
      <c r="B6" s="58">
        <f>+B7+B8+B13</f>
        <v>7909217.4342999998</v>
      </c>
      <c r="C6" s="58">
        <f t="shared" ref="C6:J6" si="0">+C7+C8+C13</f>
        <v>0</v>
      </c>
      <c r="D6" s="58">
        <f t="shared" si="0"/>
        <v>0</v>
      </c>
      <c r="E6" s="58">
        <f t="shared" si="0"/>
        <v>0</v>
      </c>
      <c r="F6" s="58">
        <f t="shared" si="0"/>
        <v>3335393.8363000005</v>
      </c>
      <c r="G6" s="58">
        <f t="shared" si="0"/>
        <v>0</v>
      </c>
      <c r="H6" s="58">
        <f t="shared" si="0"/>
        <v>0</v>
      </c>
      <c r="I6" s="58">
        <f t="shared" si="0"/>
        <v>0</v>
      </c>
      <c r="J6" s="58">
        <f t="shared" si="0"/>
        <v>0</v>
      </c>
    </row>
    <row r="7" spans="1:10">
      <c r="A7" s="55" t="s">
        <v>6</v>
      </c>
      <c r="B7" s="58">
        <v>5498301.9675499992</v>
      </c>
      <c r="C7" s="58"/>
      <c r="D7" s="58"/>
      <c r="E7" s="58"/>
      <c r="F7" s="58">
        <v>2275742.3489500005</v>
      </c>
      <c r="G7" s="58"/>
      <c r="H7" s="58"/>
      <c r="I7" s="59"/>
      <c r="J7" s="59"/>
    </row>
    <row r="8" spans="1:10">
      <c r="A8" s="55" t="s">
        <v>219</v>
      </c>
      <c r="B8" s="58">
        <f>+B9+B10+B11+B12</f>
        <v>1607276.7571</v>
      </c>
      <c r="C8" s="58">
        <f t="shared" ref="C8:J8" si="1">+C9+C10+C11+C12</f>
        <v>0</v>
      </c>
      <c r="D8" s="58">
        <f t="shared" si="1"/>
        <v>0</v>
      </c>
      <c r="E8" s="58">
        <f t="shared" si="1"/>
        <v>0</v>
      </c>
      <c r="F8" s="58">
        <f t="shared" si="1"/>
        <v>686545.4375</v>
      </c>
      <c r="G8" s="58">
        <f t="shared" si="1"/>
        <v>0</v>
      </c>
      <c r="H8" s="58">
        <f t="shared" si="1"/>
        <v>0</v>
      </c>
      <c r="I8" s="58">
        <f t="shared" si="1"/>
        <v>0</v>
      </c>
      <c r="J8" s="58">
        <f t="shared" si="1"/>
        <v>0</v>
      </c>
    </row>
    <row r="9" spans="1:10">
      <c r="A9" s="75" t="s">
        <v>7</v>
      </c>
      <c r="B9" s="56">
        <v>1607276.7571</v>
      </c>
      <c r="C9" s="56"/>
      <c r="D9" s="56"/>
      <c r="E9" s="56"/>
      <c r="F9" s="56">
        <v>686545.4375</v>
      </c>
      <c r="G9" s="56"/>
      <c r="H9" s="56"/>
      <c r="I9" s="50"/>
      <c r="J9" s="50"/>
    </row>
    <row r="10" spans="1:10">
      <c r="A10" s="75" t="s">
        <v>8</v>
      </c>
      <c r="B10" s="56">
        <v>0</v>
      </c>
      <c r="C10" s="56"/>
      <c r="D10" s="56"/>
      <c r="E10" s="56"/>
      <c r="F10" s="56">
        <v>0</v>
      </c>
      <c r="G10" s="56"/>
      <c r="H10" s="56"/>
      <c r="I10" s="50"/>
      <c r="J10" s="50"/>
    </row>
    <row r="11" spans="1:10">
      <c r="A11" s="75" t="s">
        <v>9</v>
      </c>
      <c r="B11" s="56">
        <v>0</v>
      </c>
      <c r="C11" s="56"/>
      <c r="D11" s="56"/>
      <c r="E11" s="56"/>
      <c r="F11" s="56">
        <v>0</v>
      </c>
      <c r="G11" s="56"/>
      <c r="H11" s="56"/>
      <c r="I11" s="50"/>
      <c r="J11" s="50"/>
    </row>
    <row r="12" spans="1:10">
      <c r="A12" s="75" t="s">
        <v>10</v>
      </c>
      <c r="B12" s="56">
        <v>0</v>
      </c>
      <c r="C12" s="56"/>
      <c r="D12" s="56"/>
      <c r="E12" s="56"/>
      <c r="F12" s="56">
        <v>0</v>
      </c>
      <c r="G12" s="56"/>
      <c r="H12" s="56"/>
      <c r="I12" s="50"/>
      <c r="J12" s="50"/>
    </row>
    <row r="13" spans="1:10">
      <c r="A13" s="55" t="s">
        <v>11</v>
      </c>
      <c r="B13" s="58">
        <f>+B14+B15+B16</f>
        <v>803638.70965000021</v>
      </c>
      <c r="C13" s="58">
        <f t="shared" ref="C13:J13" si="2">+C14+C15+C16</f>
        <v>0</v>
      </c>
      <c r="D13" s="58">
        <f t="shared" si="2"/>
        <v>0</v>
      </c>
      <c r="E13" s="58">
        <f t="shared" si="2"/>
        <v>0</v>
      </c>
      <c r="F13" s="58">
        <f t="shared" si="2"/>
        <v>373106.04984999995</v>
      </c>
      <c r="G13" s="58">
        <f t="shared" si="2"/>
        <v>0</v>
      </c>
      <c r="H13" s="58">
        <f t="shared" si="2"/>
        <v>0</v>
      </c>
      <c r="I13" s="58">
        <f t="shared" si="2"/>
        <v>0</v>
      </c>
      <c r="J13" s="58">
        <f t="shared" si="2"/>
        <v>0</v>
      </c>
    </row>
    <row r="14" spans="1:10">
      <c r="A14" s="76" t="s">
        <v>12</v>
      </c>
      <c r="B14" s="56">
        <v>160727.34193000005</v>
      </c>
      <c r="C14" s="56"/>
      <c r="D14" s="56"/>
      <c r="E14" s="56"/>
      <c r="F14" s="56">
        <v>74621.209969999996</v>
      </c>
      <c r="G14" s="56"/>
      <c r="H14" s="56"/>
      <c r="I14" s="50"/>
      <c r="J14" s="50"/>
    </row>
    <row r="15" spans="1:10">
      <c r="A15" s="76" t="s">
        <v>13</v>
      </c>
      <c r="B15" s="56">
        <v>321455.68386000005</v>
      </c>
      <c r="C15" s="56"/>
      <c r="D15" s="56"/>
      <c r="E15" s="56"/>
      <c r="F15" s="56">
        <v>149242.41993999999</v>
      </c>
      <c r="G15" s="56"/>
      <c r="H15" s="56"/>
      <c r="I15" s="50"/>
      <c r="J15" s="50"/>
    </row>
    <row r="16" spans="1:10">
      <c r="A16" s="76" t="s">
        <v>14</v>
      </c>
      <c r="B16" s="56">
        <v>321455.68386000011</v>
      </c>
      <c r="C16" s="56"/>
      <c r="D16" s="56"/>
      <c r="E16" s="56"/>
      <c r="F16" s="56">
        <v>149242.41993999999</v>
      </c>
      <c r="G16" s="56"/>
      <c r="H16" s="56"/>
      <c r="I16" s="50"/>
      <c r="J16" s="50"/>
    </row>
    <row r="17" spans="1:10" ht="17.25">
      <c r="A17" s="57" t="s">
        <v>15</v>
      </c>
      <c r="B17" s="56"/>
      <c r="C17" s="56"/>
      <c r="D17" s="56"/>
      <c r="E17" s="56"/>
      <c r="F17" s="56"/>
      <c r="G17" s="56"/>
      <c r="H17" s="56"/>
      <c r="I17" s="50"/>
      <c r="J17" s="50"/>
    </row>
    <row r="18" spans="1:10">
      <c r="A18" s="61" t="s">
        <v>16</v>
      </c>
      <c r="B18" s="56">
        <v>1</v>
      </c>
      <c r="C18" s="56"/>
      <c r="D18" s="56"/>
      <c r="E18" s="56"/>
      <c r="F18" s="56"/>
      <c r="G18" s="56"/>
      <c r="H18" s="56"/>
      <c r="I18" s="50"/>
      <c r="J18" s="50"/>
    </row>
    <row r="19" spans="1:10">
      <c r="A19" s="61" t="s">
        <v>17</v>
      </c>
      <c r="B19" s="56">
        <v>2470500</v>
      </c>
      <c r="C19" s="56"/>
      <c r="D19" s="56"/>
      <c r="E19" s="56"/>
      <c r="F19" s="56"/>
      <c r="G19" s="56"/>
      <c r="H19" s="56"/>
      <c r="I19" s="50"/>
      <c r="J19" s="50"/>
    </row>
    <row r="20" spans="1:10">
      <c r="A20" s="61" t="s">
        <v>18</v>
      </c>
      <c r="B20" s="56">
        <v>3032948.0667500002</v>
      </c>
      <c r="C20" s="56"/>
      <c r="D20" s="56"/>
      <c r="E20" s="56"/>
      <c r="F20" s="56"/>
      <c r="G20" s="56"/>
      <c r="H20" s="56"/>
      <c r="I20" s="50"/>
      <c r="J20" s="50"/>
    </row>
    <row r="21" spans="1:10">
      <c r="A21" s="61" t="s">
        <v>19</v>
      </c>
      <c r="B21" s="56"/>
      <c r="C21" s="56"/>
      <c r="D21" s="56"/>
      <c r="E21" s="56"/>
      <c r="F21" s="56"/>
      <c r="G21" s="56"/>
      <c r="H21" s="56"/>
      <c r="I21" s="50"/>
      <c r="J21" s="50"/>
    </row>
    <row r="22" spans="1:10" ht="17.25">
      <c r="A22" s="57" t="s">
        <v>220</v>
      </c>
      <c r="B22" s="56"/>
      <c r="C22" s="56"/>
      <c r="D22" s="56"/>
      <c r="E22" s="56"/>
      <c r="F22" s="56"/>
      <c r="G22" s="56"/>
      <c r="H22" s="56"/>
      <c r="I22" s="50"/>
      <c r="J22" s="50"/>
    </row>
    <row r="23" spans="1:10">
      <c r="A23" s="61" t="s">
        <v>16</v>
      </c>
      <c r="B23" s="56">
        <v>5</v>
      </c>
      <c r="C23" s="56"/>
      <c r="D23" s="56"/>
      <c r="E23" s="56"/>
      <c r="F23" s="56"/>
      <c r="G23" s="56"/>
      <c r="H23" s="56"/>
      <c r="I23" s="50"/>
      <c r="J23" s="50"/>
    </row>
    <row r="24" spans="1:10">
      <c r="A24" s="61" t="s">
        <v>21</v>
      </c>
      <c r="B24" s="56">
        <v>16673644.07</v>
      </c>
      <c r="C24" s="56"/>
      <c r="D24" s="56"/>
      <c r="E24" s="56"/>
      <c r="F24" s="56"/>
      <c r="G24" s="56"/>
      <c r="H24" s="56"/>
      <c r="I24" s="50"/>
      <c r="J24" s="50"/>
    </row>
    <row r="25" spans="1:10">
      <c r="A25" s="61" t="s">
        <v>22</v>
      </c>
      <c r="B25" s="56">
        <v>16305000.000000002</v>
      </c>
      <c r="C25" s="56"/>
      <c r="D25" s="56"/>
      <c r="E25" s="56"/>
      <c r="F25" s="56"/>
      <c r="G25" s="56"/>
      <c r="H25" s="56"/>
      <c r="I25" s="50"/>
      <c r="J25" s="50"/>
    </row>
    <row r="26" spans="1:10">
      <c r="A26" s="61" t="s">
        <v>23</v>
      </c>
      <c r="B26" s="56">
        <v>91304</v>
      </c>
      <c r="C26" s="56"/>
      <c r="D26" s="56"/>
      <c r="E26" s="56"/>
      <c r="F26" s="56"/>
      <c r="G26" s="56"/>
      <c r="H26" s="56"/>
      <c r="I26" s="50"/>
      <c r="J26" s="50"/>
    </row>
    <row r="27" spans="1:10">
      <c r="A27" s="61" t="s">
        <v>20</v>
      </c>
      <c r="B27" s="58">
        <f>+B24-B25-B26</f>
        <v>277340.06999999844</v>
      </c>
      <c r="C27" s="58">
        <f t="shared" ref="C27:J27" si="3">+C24-C25-C26</f>
        <v>0</v>
      </c>
      <c r="D27" s="58">
        <f t="shared" si="3"/>
        <v>0</v>
      </c>
      <c r="E27" s="58">
        <f t="shared" si="3"/>
        <v>0</v>
      </c>
      <c r="F27" s="58">
        <f t="shared" si="3"/>
        <v>0</v>
      </c>
      <c r="G27" s="58">
        <f t="shared" si="3"/>
        <v>0</v>
      </c>
      <c r="H27" s="58">
        <f t="shared" si="3"/>
        <v>0</v>
      </c>
      <c r="I27" s="58">
        <f t="shared" si="3"/>
        <v>0</v>
      </c>
      <c r="J27" s="58">
        <f t="shared" si="3"/>
        <v>0</v>
      </c>
    </row>
    <row r="28" spans="1:10">
      <c r="A28" s="60"/>
      <c r="B28" s="56"/>
      <c r="C28" s="56"/>
      <c r="D28" s="56"/>
      <c r="E28" s="56"/>
      <c r="F28" s="56"/>
      <c r="G28" s="56"/>
      <c r="H28" s="56"/>
      <c r="I28" s="50"/>
      <c r="J28" s="50"/>
    </row>
    <row r="29" spans="1:10" ht="17.25">
      <c r="A29" s="57" t="s">
        <v>24</v>
      </c>
      <c r="B29" s="58">
        <f>+SUM(B31:B37)</f>
        <v>0</v>
      </c>
      <c r="C29" s="58">
        <f t="shared" ref="C29:J29" si="4">+SUM(C31:C37)</f>
        <v>0</v>
      </c>
      <c r="D29" s="58">
        <f t="shared" si="4"/>
        <v>19112819.831675582</v>
      </c>
      <c r="E29" s="58">
        <f t="shared" si="4"/>
        <v>4355192.82</v>
      </c>
      <c r="F29" s="58">
        <f t="shared" si="4"/>
        <v>0</v>
      </c>
      <c r="G29" s="58">
        <f t="shared" si="4"/>
        <v>10879225.050050931</v>
      </c>
      <c r="H29" s="58">
        <f t="shared" si="4"/>
        <v>3005827.79</v>
      </c>
      <c r="I29" s="58">
        <f t="shared" si="4"/>
        <v>4442423.5892386045</v>
      </c>
      <c r="J29" s="58">
        <f t="shared" si="4"/>
        <v>710248</v>
      </c>
    </row>
    <row r="30" spans="1:10">
      <c r="A30" s="62" t="s">
        <v>25</v>
      </c>
      <c r="B30" s="56"/>
      <c r="C30" s="56"/>
      <c r="D30" s="56">
        <v>335</v>
      </c>
      <c r="E30" s="56">
        <v>32</v>
      </c>
      <c r="F30" s="56"/>
      <c r="G30" s="56">
        <v>192</v>
      </c>
      <c r="H30" s="56">
        <v>21</v>
      </c>
      <c r="I30" s="50">
        <v>79</v>
      </c>
      <c r="J30" s="50">
        <v>8</v>
      </c>
    </row>
    <row r="31" spans="1:10">
      <c r="A31" s="61" t="s">
        <v>26</v>
      </c>
      <c r="B31" s="56"/>
      <c r="C31" s="56"/>
      <c r="D31" s="56">
        <v>9449285.0999999847</v>
      </c>
      <c r="E31" s="56">
        <v>3533962</v>
      </c>
      <c r="F31" s="56"/>
      <c r="G31" s="56">
        <v>7134450.9399999976</v>
      </c>
      <c r="H31" s="56">
        <v>2312109</v>
      </c>
      <c r="I31" s="50">
        <v>2673758.0999999992</v>
      </c>
      <c r="J31" s="50">
        <v>562211.5</v>
      </c>
    </row>
    <row r="32" spans="1:10">
      <c r="A32" s="61" t="s">
        <v>27</v>
      </c>
      <c r="B32" s="56"/>
      <c r="C32" s="56"/>
      <c r="D32" s="56">
        <v>3111722.2100000018</v>
      </c>
      <c r="E32" s="56">
        <v>821230.82000000007</v>
      </c>
      <c r="F32" s="56"/>
      <c r="G32" s="56">
        <v>1997722.9299999997</v>
      </c>
      <c r="H32" s="56">
        <v>693718.78999999992</v>
      </c>
      <c r="I32" s="50">
        <v>969546.53999999992</v>
      </c>
      <c r="J32" s="50">
        <v>148036.5</v>
      </c>
    </row>
    <row r="33" spans="1:10">
      <c r="A33" s="61" t="s">
        <v>28</v>
      </c>
      <c r="B33" s="56"/>
      <c r="C33" s="56"/>
      <c r="D33" s="56">
        <v>3515340.4400000004</v>
      </c>
      <c r="E33" s="56">
        <v>0</v>
      </c>
      <c r="F33" s="56"/>
      <c r="G33" s="56">
        <v>869122.89000000013</v>
      </c>
      <c r="H33" s="56">
        <v>0</v>
      </c>
      <c r="I33" s="50">
        <v>404265.76999999996</v>
      </c>
      <c r="J33" s="50">
        <v>0</v>
      </c>
    </row>
    <row r="34" spans="1:10">
      <c r="A34" s="61" t="s">
        <v>29</v>
      </c>
      <c r="B34" s="56"/>
      <c r="C34" s="56"/>
      <c r="D34" s="56">
        <v>583274.9</v>
      </c>
      <c r="E34" s="56">
        <v>0</v>
      </c>
      <c r="F34" s="56"/>
      <c r="G34" s="56">
        <v>107446.5</v>
      </c>
      <c r="H34" s="56">
        <v>0</v>
      </c>
      <c r="I34" s="50">
        <v>71706</v>
      </c>
      <c r="J34" s="50">
        <v>0</v>
      </c>
    </row>
    <row r="35" spans="1:10">
      <c r="A35" s="61" t="s">
        <v>30</v>
      </c>
      <c r="B35" s="56"/>
      <c r="C35" s="56"/>
      <c r="D35" s="56">
        <v>648903.65</v>
      </c>
      <c r="E35" s="56">
        <v>0</v>
      </c>
      <c r="F35" s="56"/>
      <c r="G35" s="56">
        <v>162002.03999999998</v>
      </c>
      <c r="H35" s="56">
        <v>0</v>
      </c>
      <c r="I35" s="50">
        <v>229534.91000000003</v>
      </c>
      <c r="J35" s="50">
        <v>0</v>
      </c>
    </row>
    <row r="36" spans="1:10">
      <c r="A36" s="61" t="s">
        <v>31</v>
      </c>
      <c r="B36" s="56"/>
      <c r="C36" s="56"/>
      <c r="D36" s="56">
        <v>1638214.7116755908</v>
      </c>
      <c r="E36" s="56">
        <v>0</v>
      </c>
      <c r="F36" s="56"/>
      <c r="G36" s="56">
        <v>608479.7500509338</v>
      </c>
      <c r="H36" s="56">
        <v>0</v>
      </c>
      <c r="I36" s="50">
        <v>93612.269238605208</v>
      </c>
      <c r="J36" s="50">
        <v>0</v>
      </c>
    </row>
    <row r="37" spans="1:10">
      <c r="A37" s="61" t="s">
        <v>32</v>
      </c>
      <c r="B37" s="56"/>
      <c r="C37" s="56"/>
      <c r="D37" s="56">
        <v>166078.82</v>
      </c>
      <c r="E37" s="56"/>
      <c r="F37" s="56"/>
      <c r="G37" s="56"/>
      <c r="H37" s="56"/>
      <c r="I37" s="50"/>
      <c r="J37" s="50"/>
    </row>
    <row r="38" spans="1:10">
      <c r="A38" s="62" t="s">
        <v>33</v>
      </c>
      <c r="B38" s="58">
        <f>+SUM(B39:B42)</f>
        <v>0</v>
      </c>
      <c r="C38" s="58">
        <f t="shared" ref="C38:J38" si="5">+SUM(C39:C42)</f>
        <v>0</v>
      </c>
      <c r="D38" s="58">
        <f t="shared" si="5"/>
        <v>14373793.618000012</v>
      </c>
      <c r="E38" s="58">
        <f t="shared" si="5"/>
        <v>3205757.3620000002</v>
      </c>
      <c r="F38" s="58">
        <f t="shared" si="5"/>
        <v>0</v>
      </c>
      <c r="G38" s="58">
        <f t="shared" si="5"/>
        <v>7904363.2699999977</v>
      </c>
      <c r="H38" s="58">
        <f t="shared" si="5"/>
        <v>2032045.79</v>
      </c>
      <c r="I38" s="58">
        <f t="shared" si="5"/>
        <v>3104900.72</v>
      </c>
      <c r="J38" s="58">
        <f t="shared" si="5"/>
        <v>543733.64</v>
      </c>
    </row>
    <row r="39" spans="1:10">
      <c r="A39" s="61" t="s">
        <v>34</v>
      </c>
      <c r="B39" s="56"/>
      <c r="C39" s="56"/>
      <c r="D39" s="56">
        <v>13009454.220000012</v>
      </c>
      <c r="E39" s="56">
        <v>2817740.33</v>
      </c>
      <c r="F39" s="56"/>
      <c r="G39" s="56">
        <v>7309894.9499999974</v>
      </c>
      <c r="H39" s="56">
        <v>1853604.91</v>
      </c>
      <c r="I39" s="50">
        <v>2856035.74</v>
      </c>
      <c r="J39" s="50">
        <v>477435.08</v>
      </c>
    </row>
    <row r="40" spans="1:10">
      <c r="A40" s="61" t="s">
        <v>35</v>
      </c>
      <c r="B40" s="56"/>
      <c r="C40" s="56"/>
      <c r="D40" s="56">
        <v>578768</v>
      </c>
      <c r="E40" s="56">
        <v>197471</v>
      </c>
      <c r="F40" s="56"/>
      <c r="G40" s="56">
        <v>343618</v>
      </c>
      <c r="H40" s="56">
        <v>112000</v>
      </c>
      <c r="I40" s="50">
        <v>139000</v>
      </c>
      <c r="J40" s="50">
        <v>29031</v>
      </c>
    </row>
    <row r="41" spans="1:10">
      <c r="A41" s="61" t="s">
        <v>36</v>
      </c>
      <c r="B41" s="56"/>
      <c r="C41" s="56"/>
      <c r="D41" s="56">
        <v>276298.24800000002</v>
      </c>
      <c r="E41" s="56">
        <v>190546.03200000001</v>
      </c>
      <c r="F41" s="56"/>
      <c r="G41" s="56">
        <v>111531.31999999999</v>
      </c>
      <c r="H41" s="56">
        <v>66440.88</v>
      </c>
      <c r="I41" s="50">
        <v>77584.98</v>
      </c>
      <c r="J41" s="50">
        <v>37267.56</v>
      </c>
    </row>
    <row r="42" spans="1:10">
      <c r="A42" s="61" t="s">
        <v>37</v>
      </c>
      <c r="B42" s="56"/>
      <c r="C42" s="56"/>
      <c r="D42" s="56">
        <v>509273.15</v>
      </c>
      <c r="E42" s="56"/>
      <c r="F42" s="56"/>
      <c r="G42" s="56">
        <v>139319</v>
      </c>
      <c r="H42" s="56"/>
      <c r="I42" s="50">
        <v>32280</v>
      </c>
      <c r="J42" s="50"/>
    </row>
    <row r="43" spans="1:10">
      <c r="A43" s="62" t="s">
        <v>20</v>
      </c>
      <c r="B43" s="58">
        <f>+B29-B38</f>
        <v>0</v>
      </c>
      <c r="C43" s="58">
        <f t="shared" ref="C43:J43" si="6">+C29-C38</f>
        <v>0</v>
      </c>
      <c r="D43" s="58">
        <f t="shared" si="6"/>
        <v>4739026.2136755697</v>
      </c>
      <c r="E43" s="58">
        <f t="shared" si="6"/>
        <v>1149435.4580000001</v>
      </c>
      <c r="F43" s="58">
        <f t="shared" si="6"/>
        <v>0</v>
      </c>
      <c r="G43" s="58">
        <f t="shared" si="6"/>
        <v>2974861.7800509334</v>
      </c>
      <c r="H43" s="58">
        <f t="shared" si="6"/>
        <v>973782</v>
      </c>
      <c r="I43" s="58">
        <f t="shared" si="6"/>
        <v>1337522.8692386043</v>
      </c>
      <c r="J43" s="58">
        <f t="shared" si="6"/>
        <v>166514.35999999999</v>
      </c>
    </row>
    <row r="44" spans="1:10">
      <c r="A44" s="61" t="s">
        <v>38</v>
      </c>
      <c r="B44" s="56"/>
      <c r="C44" s="56"/>
      <c r="D44" s="56">
        <v>337299.20000000001</v>
      </c>
      <c r="E44" s="56"/>
      <c r="F44" s="56"/>
      <c r="G44" s="56">
        <v>192742.39999999999</v>
      </c>
      <c r="H44" s="56"/>
      <c r="I44" s="50">
        <v>78301.600000000006</v>
      </c>
      <c r="J44" s="50"/>
    </row>
    <row r="45" spans="1:10">
      <c r="A45" s="61" t="s">
        <v>39</v>
      </c>
      <c r="B45" s="56"/>
      <c r="C45" s="56"/>
      <c r="D45" s="56"/>
      <c r="E45" s="56"/>
      <c r="F45" s="56"/>
      <c r="G45" s="56"/>
      <c r="H45" s="56"/>
      <c r="I45" s="50"/>
      <c r="J45" s="50"/>
    </row>
    <row r="46" spans="1:10">
      <c r="A46" s="61" t="s">
        <v>40</v>
      </c>
      <c r="B46" s="56"/>
      <c r="C46" s="56"/>
      <c r="D46" s="56"/>
      <c r="E46" s="56"/>
      <c r="F46" s="56"/>
      <c r="G46" s="56"/>
      <c r="H46" s="56"/>
      <c r="I46" s="50"/>
      <c r="J46" s="50"/>
    </row>
    <row r="47" spans="1:10">
      <c r="A47" s="62" t="s">
        <v>41</v>
      </c>
      <c r="B47" s="58">
        <f>+B43+B44+B45+B46</f>
        <v>0</v>
      </c>
      <c r="C47" s="58">
        <f t="shared" ref="C47:J47" si="7">+C43+C44+C45+C46</f>
        <v>0</v>
      </c>
      <c r="D47" s="58">
        <f t="shared" si="7"/>
        <v>5076325.4136755699</v>
      </c>
      <c r="E47" s="58">
        <f t="shared" si="7"/>
        <v>1149435.4580000001</v>
      </c>
      <c r="F47" s="58">
        <f t="shared" si="7"/>
        <v>0</v>
      </c>
      <c r="G47" s="58">
        <f t="shared" si="7"/>
        <v>3167604.1800509333</v>
      </c>
      <c r="H47" s="58">
        <f t="shared" si="7"/>
        <v>973782</v>
      </c>
      <c r="I47" s="58">
        <f t="shared" si="7"/>
        <v>1415824.4692386044</v>
      </c>
      <c r="J47" s="58">
        <f t="shared" si="7"/>
        <v>166514.35999999999</v>
      </c>
    </row>
    <row r="48" spans="1:10">
      <c r="A48" s="60"/>
      <c r="B48" s="56"/>
      <c r="C48" s="56"/>
      <c r="D48" s="56"/>
      <c r="E48" s="56"/>
      <c r="F48" s="56"/>
      <c r="G48" s="56"/>
      <c r="H48" s="56"/>
      <c r="I48" s="50"/>
      <c r="J48" s="50"/>
    </row>
    <row r="49" spans="1:10" ht="17.25">
      <c r="A49" s="57" t="s">
        <v>42</v>
      </c>
      <c r="B49" s="58">
        <f>+B51+B52</f>
        <v>0</v>
      </c>
      <c r="C49" s="58">
        <f t="shared" ref="C49:J49" si="8">+C51+C52</f>
        <v>1144036.8600000001</v>
      </c>
      <c r="D49" s="58">
        <f t="shared" si="8"/>
        <v>0</v>
      </c>
      <c r="E49" s="58">
        <f t="shared" si="8"/>
        <v>0</v>
      </c>
      <c r="F49" s="58">
        <f t="shared" si="8"/>
        <v>0</v>
      </c>
      <c r="G49" s="58">
        <f t="shared" si="8"/>
        <v>0</v>
      </c>
      <c r="H49" s="58">
        <f t="shared" si="8"/>
        <v>0</v>
      </c>
      <c r="I49" s="58">
        <f t="shared" si="8"/>
        <v>0</v>
      </c>
      <c r="J49" s="58">
        <f t="shared" si="8"/>
        <v>0</v>
      </c>
    </row>
    <row r="50" spans="1:10">
      <c r="A50" s="61" t="s">
        <v>3</v>
      </c>
      <c r="B50" s="56"/>
      <c r="C50" s="56">
        <v>31</v>
      </c>
      <c r="D50" s="56"/>
      <c r="E50" s="56"/>
      <c r="F50" s="56"/>
      <c r="G50" s="56"/>
      <c r="H50" s="56"/>
      <c r="I50" s="50"/>
      <c r="J50" s="50"/>
    </row>
    <row r="51" spans="1:10">
      <c r="A51" s="61" t="s">
        <v>43</v>
      </c>
      <c r="B51" s="56"/>
      <c r="C51" s="56">
        <v>684490.8</v>
      </c>
      <c r="D51" s="56"/>
      <c r="E51" s="56"/>
      <c r="F51" s="56"/>
      <c r="G51" s="56"/>
      <c r="H51" s="56"/>
      <c r="I51" s="50"/>
      <c r="J51" s="50"/>
    </row>
    <row r="52" spans="1:10">
      <c r="A52" s="61" t="s">
        <v>30</v>
      </c>
      <c r="B52" s="56"/>
      <c r="C52" s="56">
        <v>459546.06</v>
      </c>
      <c r="D52" s="56"/>
      <c r="E52" s="56"/>
      <c r="F52" s="56"/>
      <c r="G52" s="56"/>
      <c r="H52" s="56"/>
      <c r="I52" s="50"/>
      <c r="J52" s="50"/>
    </row>
    <row r="53" spans="1:10">
      <c r="A53" s="61" t="s">
        <v>33</v>
      </c>
      <c r="B53" s="56"/>
      <c r="C53" s="56">
        <v>1060609.4700000002</v>
      </c>
      <c r="D53" s="56"/>
      <c r="E53" s="56"/>
      <c r="F53" s="56"/>
      <c r="G53" s="56"/>
      <c r="H53" s="56"/>
      <c r="I53" s="50"/>
      <c r="J53" s="50"/>
    </row>
    <row r="54" spans="1:10">
      <c r="A54" s="62" t="s">
        <v>20</v>
      </c>
      <c r="B54" s="58">
        <f>+B49-B53</f>
        <v>0</v>
      </c>
      <c r="C54" s="58">
        <f>+C49-C53</f>
        <v>83427.389999999898</v>
      </c>
      <c r="D54" s="58">
        <f t="shared" ref="D54:J54" si="9">+D49-D53</f>
        <v>0</v>
      </c>
      <c r="E54" s="58">
        <f t="shared" si="9"/>
        <v>0</v>
      </c>
      <c r="F54" s="58">
        <f t="shared" si="9"/>
        <v>0</v>
      </c>
      <c r="G54" s="58">
        <f t="shared" si="9"/>
        <v>0</v>
      </c>
      <c r="H54" s="58">
        <f t="shared" si="9"/>
        <v>0</v>
      </c>
      <c r="I54" s="58">
        <f t="shared" si="9"/>
        <v>0</v>
      </c>
      <c r="J54" s="58">
        <f t="shared" si="9"/>
        <v>0</v>
      </c>
    </row>
    <row r="55" spans="1:10">
      <c r="A55" s="61" t="s">
        <v>44</v>
      </c>
      <c r="B55" s="56"/>
      <c r="C55" s="56">
        <v>683404</v>
      </c>
      <c r="D55" s="56">
        <v>469640</v>
      </c>
      <c r="E55" s="56"/>
      <c r="F55" s="56"/>
      <c r="G55" s="56">
        <v>322940</v>
      </c>
      <c r="H55" s="56"/>
      <c r="I55" s="50">
        <v>39450</v>
      </c>
      <c r="J55" s="50"/>
    </row>
    <row r="56" spans="1:10">
      <c r="A56" s="61" t="s">
        <v>33</v>
      </c>
      <c r="B56" s="56"/>
      <c r="C56" s="56">
        <v>341702</v>
      </c>
      <c r="D56" s="56">
        <v>234820</v>
      </c>
      <c r="E56" s="56"/>
      <c r="F56" s="56"/>
      <c r="G56" s="56">
        <v>161470</v>
      </c>
      <c r="H56" s="56"/>
      <c r="I56" s="50">
        <v>19725</v>
      </c>
      <c r="J56" s="50"/>
    </row>
    <row r="57" spans="1:10">
      <c r="A57" s="62" t="s">
        <v>20</v>
      </c>
      <c r="B57" s="58">
        <f t="shared" ref="B57:J57" si="10">+B55-B56</f>
        <v>0</v>
      </c>
      <c r="C57" s="58">
        <f t="shared" si="10"/>
        <v>341702</v>
      </c>
      <c r="D57" s="58">
        <f t="shared" si="10"/>
        <v>234820</v>
      </c>
      <c r="E57" s="58">
        <f t="shared" si="10"/>
        <v>0</v>
      </c>
      <c r="F57" s="58">
        <f t="shared" si="10"/>
        <v>0</v>
      </c>
      <c r="G57" s="58">
        <f t="shared" si="10"/>
        <v>161470</v>
      </c>
      <c r="H57" s="58">
        <f t="shared" si="10"/>
        <v>0</v>
      </c>
      <c r="I57" s="58">
        <f t="shared" si="10"/>
        <v>19725</v>
      </c>
      <c r="J57" s="58">
        <f t="shared" si="10"/>
        <v>0</v>
      </c>
    </row>
    <row r="58" spans="1:10">
      <c r="A58" s="62" t="s">
        <v>45</v>
      </c>
      <c r="B58" s="56">
        <f>+B57+B54</f>
        <v>0</v>
      </c>
      <c r="C58" s="56">
        <f t="shared" ref="C58:J58" si="11">+C57+C54</f>
        <v>425129.3899999999</v>
      </c>
      <c r="D58" s="56">
        <f t="shared" si="11"/>
        <v>234820</v>
      </c>
      <c r="E58" s="56">
        <f t="shared" si="11"/>
        <v>0</v>
      </c>
      <c r="F58" s="56">
        <f t="shared" si="11"/>
        <v>0</v>
      </c>
      <c r="G58" s="56">
        <f t="shared" si="11"/>
        <v>161470</v>
      </c>
      <c r="H58" s="56">
        <f t="shared" si="11"/>
        <v>0</v>
      </c>
      <c r="I58" s="56">
        <f t="shared" si="11"/>
        <v>19725</v>
      </c>
      <c r="J58" s="56">
        <f t="shared" si="11"/>
        <v>0</v>
      </c>
    </row>
    <row r="59" spans="1:10">
      <c r="A59" s="60"/>
      <c r="B59" s="56"/>
      <c r="C59" s="56"/>
      <c r="D59" s="56"/>
      <c r="E59" s="56"/>
      <c r="F59" s="56"/>
      <c r="G59" s="56"/>
      <c r="H59" s="56"/>
      <c r="I59" s="50"/>
      <c r="J59" s="50"/>
    </row>
    <row r="60" spans="1:10">
      <c r="A60" s="63" t="s">
        <v>46</v>
      </c>
      <c r="B60" s="58">
        <f>+SUM(B61:B69)</f>
        <v>2033254.233</v>
      </c>
      <c r="C60" s="58">
        <f t="shared" ref="C60:J60" si="12">+SUM(C61:C69)</f>
        <v>0</v>
      </c>
      <c r="D60" s="58">
        <f t="shared" si="12"/>
        <v>67298.139800000004</v>
      </c>
      <c r="E60" s="58">
        <f t="shared" si="12"/>
        <v>844518.49320000003</v>
      </c>
      <c r="F60" s="58">
        <f t="shared" si="12"/>
        <v>719777.67650000006</v>
      </c>
      <c r="G60" s="58">
        <f t="shared" si="12"/>
        <v>5346.3698999999997</v>
      </c>
      <c r="H60" s="58">
        <f t="shared" si="12"/>
        <v>3564.2466000000004</v>
      </c>
      <c r="I60" s="58">
        <f t="shared" si="12"/>
        <v>3564.2465999999999</v>
      </c>
      <c r="J60" s="58">
        <f t="shared" si="12"/>
        <v>5765.9943999999996</v>
      </c>
    </row>
    <row r="61" spans="1:10">
      <c r="A61" s="61" t="s">
        <v>47</v>
      </c>
      <c r="B61" s="56">
        <v>490071.28</v>
      </c>
      <c r="C61" s="56"/>
      <c r="D61" s="56"/>
      <c r="E61" s="56"/>
      <c r="F61" s="56">
        <v>165781</v>
      </c>
      <c r="G61" s="56"/>
      <c r="H61" s="56"/>
      <c r="I61" s="50"/>
      <c r="J61" s="50"/>
    </row>
    <row r="62" spans="1:10">
      <c r="A62" s="61" t="s">
        <v>48</v>
      </c>
      <c r="B62" s="56"/>
      <c r="C62" s="56"/>
      <c r="D62" s="56"/>
      <c r="E62" s="56">
        <v>837390</v>
      </c>
      <c r="F62" s="56"/>
      <c r="G62" s="56"/>
      <c r="H62" s="56"/>
      <c r="I62" s="50"/>
      <c r="J62" s="50"/>
    </row>
    <row r="63" spans="1:10">
      <c r="A63" s="61" t="s">
        <v>49</v>
      </c>
      <c r="B63" s="56">
        <v>624839</v>
      </c>
      <c r="C63" s="56"/>
      <c r="D63" s="56"/>
      <c r="E63" s="56"/>
      <c r="F63" s="56">
        <v>227247</v>
      </c>
      <c r="G63" s="56"/>
      <c r="H63" s="56"/>
      <c r="I63" s="50"/>
      <c r="J63" s="50"/>
    </row>
    <row r="64" spans="1:10">
      <c r="A64" s="61" t="s">
        <v>50</v>
      </c>
      <c r="B64" s="56"/>
      <c r="C64" s="56"/>
      <c r="D64" s="56"/>
      <c r="E64" s="56"/>
      <c r="F64" s="56"/>
      <c r="G64" s="56"/>
      <c r="H64" s="56"/>
      <c r="I64" s="50"/>
      <c r="J64" s="50"/>
    </row>
    <row r="65" spans="1:10">
      <c r="A65" s="61" t="s">
        <v>51</v>
      </c>
      <c r="B65" s="56"/>
      <c r="C65" s="56"/>
      <c r="D65" s="56"/>
      <c r="E65" s="56"/>
      <c r="F65" s="56"/>
      <c r="G65" s="56"/>
      <c r="H65" s="56"/>
      <c r="I65" s="50"/>
      <c r="J65" s="50"/>
    </row>
    <row r="66" spans="1:10">
      <c r="A66" s="61" t="s">
        <v>52</v>
      </c>
      <c r="B66" s="56"/>
      <c r="C66" s="56"/>
      <c r="D66" s="56">
        <v>37000</v>
      </c>
      <c r="E66" s="56"/>
      <c r="F66" s="56"/>
      <c r="G66" s="56"/>
      <c r="H66" s="56"/>
      <c r="I66" s="50"/>
      <c r="J66" s="50"/>
    </row>
    <row r="67" spans="1:10">
      <c r="A67" s="61" t="s">
        <v>53</v>
      </c>
      <c r="B67" s="56">
        <v>854620</v>
      </c>
      <c r="C67" s="56"/>
      <c r="D67" s="56"/>
      <c r="E67" s="56"/>
      <c r="F67" s="56">
        <v>300000</v>
      </c>
      <c r="G67" s="56"/>
      <c r="H67" s="56"/>
      <c r="I67" s="50"/>
      <c r="J67" s="50"/>
    </row>
    <row r="68" spans="1:10">
      <c r="A68" s="61" t="s">
        <v>54</v>
      </c>
      <c r="B68" s="56">
        <v>17821.233</v>
      </c>
      <c r="C68" s="56"/>
      <c r="D68" s="56">
        <v>10692.739799999999</v>
      </c>
      <c r="E68" s="56">
        <v>7128.4932000000008</v>
      </c>
      <c r="F68" s="56">
        <v>8910.6165000000001</v>
      </c>
      <c r="G68" s="56">
        <v>5346.3698999999997</v>
      </c>
      <c r="H68" s="56">
        <v>3564.2466000000004</v>
      </c>
      <c r="I68" s="50">
        <v>3564.2465999999999</v>
      </c>
      <c r="J68" s="50">
        <v>2376.1644000000001</v>
      </c>
    </row>
    <row r="69" spans="1:10">
      <c r="A69" s="61" t="s">
        <v>55</v>
      </c>
      <c r="B69" s="56">
        <v>45902.720000000001</v>
      </c>
      <c r="C69" s="56"/>
      <c r="D69" s="56">
        <v>19605.400000000001</v>
      </c>
      <c r="E69" s="56"/>
      <c r="F69" s="56">
        <v>17839.060000000001</v>
      </c>
      <c r="G69" s="56"/>
      <c r="H69" s="56"/>
      <c r="I69" s="50"/>
      <c r="J69" s="50">
        <v>3389.83</v>
      </c>
    </row>
    <row r="70" spans="1:10">
      <c r="A70" s="64" t="s">
        <v>56</v>
      </c>
      <c r="B70" s="58">
        <f>+(B7/3.5%)+B8+B13+B29+B27+B49+B55+B60</f>
        <v>161815851.69974998</v>
      </c>
      <c r="C70" s="58">
        <f t="shared" ref="C70:J70" si="13">+(C7/3.5%)+C8+C13+C29+C27+C49+C55+C60</f>
        <v>1827440.86</v>
      </c>
      <c r="D70" s="58">
        <f t="shared" si="13"/>
        <v>19649757.971475583</v>
      </c>
      <c r="E70" s="58">
        <f t="shared" si="13"/>
        <v>5199711.3132000007</v>
      </c>
      <c r="F70" s="58">
        <f t="shared" si="13"/>
        <v>66800639.133850008</v>
      </c>
      <c r="G70" s="58">
        <f t="shared" si="13"/>
        <v>11207511.41995093</v>
      </c>
      <c r="H70" s="58">
        <f t="shared" si="13"/>
        <v>3009392.0366000002</v>
      </c>
      <c r="I70" s="58">
        <f t="shared" si="13"/>
        <v>4485437.8358386047</v>
      </c>
      <c r="J70" s="58">
        <f t="shared" si="13"/>
        <v>716013.99439999997</v>
      </c>
    </row>
    <row r="71" spans="1:10">
      <c r="A71" s="64" t="s">
        <v>57</v>
      </c>
      <c r="B71" s="58">
        <f>+B6+B27+B47+B58+B60</f>
        <v>10219811.737299997</v>
      </c>
      <c r="C71" s="58">
        <f t="shared" ref="C71:J71" si="14">+C6+C27+C47+C58+C60</f>
        <v>425129.3899999999</v>
      </c>
      <c r="D71" s="58">
        <f t="shared" si="14"/>
        <v>5378443.5534755699</v>
      </c>
      <c r="E71" s="58">
        <f t="shared" si="14"/>
        <v>1993953.9512</v>
      </c>
      <c r="F71" s="58">
        <f t="shared" si="14"/>
        <v>4055171.5128000006</v>
      </c>
      <c r="G71" s="58">
        <f t="shared" si="14"/>
        <v>3334420.5499509331</v>
      </c>
      <c r="H71" s="58">
        <f t="shared" si="14"/>
        <v>977346.24659999995</v>
      </c>
      <c r="I71" s="58">
        <f t="shared" si="14"/>
        <v>1439113.7158386044</v>
      </c>
      <c r="J71" s="58">
        <f t="shared" si="14"/>
        <v>172280.35439999998</v>
      </c>
    </row>
    <row r="72" spans="1:10">
      <c r="A72" s="65" t="s">
        <v>58</v>
      </c>
      <c r="B72" s="111">
        <f>IFERROR(B71/B70,0)</f>
        <v>6.3157049386378436E-2</v>
      </c>
      <c r="C72" s="111">
        <f t="shared" ref="C72:J72" si="15">IFERROR(C71/C70,0)</f>
        <v>0.23263646955995057</v>
      </c>
      <c r="D72" s="111">
        <f t="shared" si="15"/>
        <v>0.27371551147261691</v>
      </c>
      <c r="E72" s="111">
        <f t="shared" si="15"/>
        <v>0.38347397212959561</v>
      </c>
      <c r="F72" s="111">
        <f t="shared" si="15"/>
        <v>6.0705579548042322E-2</v>
      </c>
      <c r="G72" s="111">
        <f t="shared" si="15"/>
        <v>0.29751658731439706</v>
      </c>
      <c r="H72" s="111">
        <f t="shared" si="15"/>
        <v>0.32476534619404457</v>
      </c>
      <c r="I72" s="111">
        <f t="shared" si="15"/>
        <v>0.32084130212219192</v>
      </c>
      <c r="J72" s="111">
        <f t="shared" si="15"/>
        <v>0.24061031732259114</v>
      </c>
    </row>
    <row r="73" spans="1:10">
      <c r="A73" s="60"/>
      <c r="B73" s="56"/>
      <c r="C73" s="56"/>
      <c r="D73" s="56"/>
      <c r="E73" s="56"/>
      <c r="F73" s="56"/>
      <c r="G73" s="56"/>
      <c r="H73" s="56"/>
      <c r="I73" s="50"/>
      <c r="J73" s="50"/>
    </row>
    <row r="74" spans="1:10">
      <c r="A74" s="60"/>
      <c r="B74" s="56"/>
      <c r="C74" s="56"/>
      <c r="D74" s="56"/>
      <c r="E74" s="56"/>
      <c r="F74" s="56"/>
      <c r="G74" s="56"/>
      <c r="H74" s="56"/>
      <c r="I74" s="50"/>
      <c r="J74" s="50"/>
    </row>
    <row r="75" spans="1:10" ht="17.25">
      <c r="A75" s="17" t="s">
        <v>59</v>
      </c>
      <c r="B75" s="67">
        <f>+B76+B87+B90</f>
        <v>2240133.8414193545</v>
      </c>
      <c r="C75" s="67">
        <f t="shared" ref="C75:J75" si="16">+C76+C87+C90</f>
        <v>3600</v>
      </c>
      <c r="D75" s="67">
        <f t="shared" si="16"/>
        <v>312607.91000000003</v>
      </c>
      <c r="E75" s="67">
        <f t="shared" si="16"/>
        <v>138909.27000000002</v>
      </c>
      <c r="F75" s="67">
        <f t="shared" si="16"/>
        <v>1618272.6535806451</v>
      </c>
      <c r="G75" s="67">
        <f t="shared" si="16"/>
        <v>91281.277000000002</v>
      </c>
      <c r="H75" s="67">
        <f t="shared" si="16"/>
        <v>131608.51800000001</v>
      </c>
      <c r="I75" s="67">
        <f t="shared" si="16"/>
        <v>94503.040000000008</v>
      </c>
      <c r="J75" s="67">
        <f t="shared" si="16"/>
        <v>10649</v>
      </c>
    </row>
    <row r="76" spans="1:10">
      <c r="A76" s="66" t="s">
        <v>60</v>
      </c>
      <c r="B76" s="67">
        <f>+SUM(B77:B86)</f>
        <v>828856.33</v>
      </c>
      <c r="C76" s="67">
        <f t="shared" ref="C76:J76" si="17">+SUM(C77:C86)</f>
        <v>0</v>
      </c>
      <c r="D76" s="67">
        <f t="shared" si="17"/>
        <v>0</v>
      </c>
      <c r="E76" s="67">
        <f t="shared" si="17"/>
        <v>113050.51000000001</v>
      </c>
      <c r="F76" s="67">
        <f t="shared" si="17"/>
        <v>438627.26</v>
      </c>
      <c r="G76" s="67">
        <f t="shared" si="17"/>
        <v>0</v>
      </c>
      <c r="H76" s="67">
        <f t="shared" si="17"/>
        <v>75000</v>
      </c>
      <c r="I76" s="67">
        <f t="shared" si="17"/>
        <v>0</v>
      </c>
      <c r="J76" s="67">
        <f t="shared" si="17"/>
        <v>0</v>
      </c>
    </row>
    <row r="77" spans="1:10">
      <c r="A77" s="61" t="s">
        <v>61</v>
      </c>
      <c r="B77" s="68">
        <v>428112</v>
      </c>
      <c r="C77" s="68">
        <v>0</v>
      </c>
      <c r="D77" s="68">
        <v>0</v>
      </c>
      <c r="E77" s="68">
        <v>0</v>
      </c>
      <c r="F77" s="68">
        <v>58044</v>
      </c>
      <c r="G77" s="68">
        <v>0</v>
      </c>
      <c r="H77" s="68">
        <v>0</v>
      </c>
      <c r="I77" s="68">
        <v>0</v>
      </c>
      <c r="J77" s="68">
        <v>0</v>
      </c>
    </row>
    <row r="78" spans="1:10">
      <c r="A78" s="61" t="s">
        <v>62</v>
      </c>
      <c r="B78" s="68">
        <v>307030.25</v>
      </c>
      <c r="C78" s="68">
        <v>0</v>
      </c>
      <c r="D78" s="68">
        <v>0</v>
      </c>
      <c r="E78" s="68">
        <v>0</v>
      </c>
      <c r="F78" s="68">
        <v>176664.45</v>
      </c>
      <c r="G78" s="68">
        <v>0</v>
      </c>
      <c r="H78" s="68">
        <v>0</v>
      </c>
      <c r="I78" s="68">
        <v>0</v>
      </c>
      <c r="J78" s="68">
        <v>0</v>
      </c>
    </row>
    <row r="79" spans="1:10">
      <c r="A79" s="61" t="s">
        <v>63</v>
      </c>
      <c r="B79" s="68">
        <v>0</v>
      </c>
      <c r="C79" s="68">
        <v>0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</row>
    <row r="80" spans="1:10">
      <c r="A80" s="61" t="s">
        <v>221</v>
      </c>
      <c r="B80" s="68">
        <v>86308.08</v>
      </c>
      <c r="C80" s="68">
        <v>0</v>
      </c>
      <c r="D80" s="68">
        <v>0</v>
      </c>
      <c r="E80" s="68">
        <v>0</v>
      </c>
      <c r="F80" s="68">
        <v>203918.81</v>
      </c>
      <c r="G80" s="68">
        <v>0</v>
      </c>
      <c r="H80" s="68">
        <v>0</v>
      </c>
      <c r="I80" s="68">
        <v>0</v>
      </c>
      <c r="J80" s="68">
        <v>0</v>
      </c>
    </row>
    <row r="81" spans="1:10">
      <c r="A81" s="61" t="s">
        <v>65</v>
      </c>
      <c r="B81" s="68">
        <v>0</v>
      </c>
      <c r="C81" s="68">
        <v>0</v>
      </c>
      <c r="D81" s="68"/>
      <c r="E81" s="68">
        <v>75000</v>
      </c>
      <c r="F81" s="68">
        <v>0</v>
      </c>
      <c r="G81" s="68">
        <v>0</v>
      </c>
      <c r="H81" s="68">
        <v>75000</v>
      </c>
      <c r="I81" s="68">
        <v>0</v>
      </c>
      <c r="J81" s="68">
        <v>0</v>
      </c>
    </row>
    <row r="82" spans="1:10">
      <c r="A82" s="61" t="s">
        <v>66</v>
      </c>
      <c r="B82" s="68">
        <v>0</v>
      </c>
      <c r="C82" s="68">
        <v>0</v>
      </c>
      <c r="D82" s="68">
        <v>0</v>
      </c>
      <c r="E82" s="68">
        <v>38050.51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</row>
    <row r="83" spans="1:10">
      <c r="A83" s="61" t="s">
        <v>67</v>
      </c>
      <c r="B83" s="68">
        <v>0</v>
      </c>
      <c r="C83" s="68">
        <v>0</v>
      </c>
      <c r="D83" s="68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</row>
    <row r="84" spans="1:10">
      <c r="A84" s="61" t="s">
        <v>68</v>
      </c>
      <c r="B84" s="68">
        <v>7406</v>
      </c>
      <c r="C84" s="68">
        <v>0</v>
      </c>
      <c r="D84" s="68">
        <v>0</v>
      </c>
      <c r="E84" s="68">
        <v>0</v>
      </c>
      <c r="F84" s="68">
        <v>0</v>
      </c>
      <c r="G84" s="68">
        <v>0</v>
      </c>
      <c r="H84" s="68">
        <v>0</v>
      </c>
      <c r="I84" s="68">
        <v>0</v>
      </c>
      <c r="J84" s="68">
        <v>0</v>
      </c>
    </row>
    <row r="85" spans="1:10">
      <c r="A85" s="61" t="s">
        <v>69</v>
      </c>
      <c r="B85" s="68">
        <v>0</v>
      </c>
      <c r="C85" s="68">
        <v>0</v>
      </c>
      <c r="D85" s="68">
        <v>0</v>
      </c>
      <c r="E85" s="68">
        <v>0</v>
      </c>
      <c r="F85" s="68">
        <v>0</v>
      </c>
      <c r="G85" s="68">
        <v>0</v>
      </c>
      <c r="H85" s="68">
        <v>0</v>
      </c>
      <c r="I85" s="68">
        <v>0</v>
      </c>
      <c r="J85" s="68">
        <v>0</v>
      </c>
    </row>
    <row r="86" spans="1:10">
      <c r="A86" s="61" t="s">
        <v>70</v>
      </c>
      <c r="B86" s="68">
        <v>0</v>
      </c>
      <c r="C86" s="68">
        <v>0</v>
      </c>
      <c r="D86" s="68">
        <v>0</v>
      </c>
      <c r="E86" s="68">
        <v>0</v>
      </c>
      <c r="F86" s="68">
        <v>0</v>
      </c>
      <c r="G86" s="68">
        <v>0</v>
      </c>
      <c r="H86" s="68">
        <v>0</v>
      </c>
      <c r="I86" s="68">
        <v>0</v>
      </c>
      <c r="J86" s="68">
        <v>0</v>
      </c>
    </row>
    <row r="87" spans="1:10">
      <c r="A87" s="66" t="s">
        <v>71</v>
      </c>
      <c r="B87" s="67">
        <f>+SUM(B88:B89)</f>
        <v>796795.2</v>
      </c>
      <c r="C87" s="67">
        <f t="shared" ref="C87:J87" si="18">+SUM(C88:C89)</f>
        <v>3600</v>
      </c>
      <c r="D87" s="67">
        <f t="shared" si="18"/>
        <v>261269.64</v>
      </c>
      <c r="E87" s="67">
        <f t="shared" si="18"/>
        <v>25858.76</v>
      </c>
      <c r="F87" s="67">
        <f t="shared" si="18"/>
        <v>670185.69999999995</v>
      </c>
      <c r="G87" s="67">
        <f t="shared" si="18"/>
        <v>89446.42</v>
      </c>
      <c r="H87" s="67">
        <f t="shared" si="18"/>
        <v>56225.279999999999</v>
      </c>
      <c r="I87" s="67">
        <f t="shared" si="18"/>
        <v>49873</v>
      </c>
      <c r="J87" s="67">
        <f t="shared" si="18"/>
        <v>10649</v>
      </c>
    </row>
    <row r="88" spans="1:10">
      <c r="A88" s="61" t="s">
        <v>222</v>
      </c>
      <c r="B88" s="68">
        <v>796795.2</v>
      </c>
      <c r="C88" s="68">
        <v>3600</v>
      </c>
      <c r="D88" s="68">
        <v>261269.64</v>
      </c>
      <c r="E88" s="68">
        <v>25858.76</v>
      </c>
      <c r="F88" s="68">
        <v>670185.69999999995</v>
      </c>
      <c r="G88" s="68">
        <v>89446.42</v>
      </c>
      <c r="H88" s="68">
        <v>56225.279999999999</v>
      </c>
      <c r="I88" s="68">
        <v>49873</v>
      </c>
      <c r="J88" s="68">
        <v>10649</v>
      </c>
    </row>
    <row r="89" spans="1:10">
      <c r="A89" s="61" t="s">
        <v>223</v>
      </c>
      <c r="B89" s="68"/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</row>
    <row r="90" spans="1:10">
      <c r="A90" s="66" t="s">
        <v>72</v>
      </c>
      <c r="B90" s="67">
        <f>+SUM(B91:B102)</f>
        <v>614482.31141935475</v>
      </c>
      <c r="C90" s="67">
        <f t="shared" ref="C90:J90" si="19">+SUM(C91:C102)</f>
        <v>0</v>
      </c>
      <c r="D90" s="67">
        <f t="shared" si="19"/>
        <v>51338.270000000004</v>
      </c>
      <c r="E90" s="67">
        <f t="shared" si="19"/>
        <v>0</v>
      </c>
      <c r="F90" s="67">
        <f t="shared" si="19"/>
        <v>509459.69358064514</v>
      </c>
      <c r="G90" s="67">
        <f t="shared" si="19"/>
        <v>1834.857</v>
      </c>
      <c r="H90" s="67">
        <f t="shared" si="19"/>
        <v>383.23800000000006</v>
      </c>
      <c r="I90" s="67">
        <f t="shared" si="19"/>
        <v>44630.04</v>
      </c>
      <c r="J90" s="67">
        <f t="shared" si="19"/>
        <v>0</v>
      </c>
    </row>
    <row r="91" spans="1:10">
      <c r="A91" s="61" t="s">
        <v>224</v>
      </c>
      <c r="B91" s="68">
        <v>0</v>
      </c>
      <c r="C91" s="68">
        <v>0</v>
      </c>
      <c r="D91" s="68">
        <v>0</v>
      </c>
      <c r="E91" s="68">
        <v>0</v>
      </c>
      <c r="F91" s="68">
        <v>0</v>
      </c>
      <c r="G91" s="68">
        <v>0</v>
      </c>
      <c r="H91" s="68">
        <v>0</v>
      </c>
      <c r="I91" s="68">
        <v>0</v>
      </c>
      <c r="J91" s="68">
        <v>0</v>
      </c>
    </row>
    <row r="92" spans="1:10">
      <c r="A92" s="61" t="s">
        <v>73</v>
      </c>
      <c r="B92" s="68">
        <v>0</v>
      </c>
      <c r="C92" s="68">
        <v>0</v>
      </c>
      <c r="D92" s="68">
        <v>27550.27</v>
      </c>
      <c r="E92" s="68">
        <v>0</v>
      </c>
      <c r="F92" s="68">
        <v>0</v>
      </c>
      <c r="G92" s="68">
        <v>574.85699999999997</v>
      </c>
      <c r="H92" s="68">
        <v>383.23800000000006</v>
      </c>
      <c r="I92" s="68">
        <v>44630.04</v>
      </c>
      <c r="J92" s="68">
        <v>0</v>
      </c>
    </row>
    <row r="93" spans="1:10">
      <c r="A93" s="61" t="s">
        <v>74</v>
      </c>
      <c r="B93" s="68">
        <v>247248.674</v>
      </c>
      <c r="C93" s="68">
        <v>0</v>
      </c>
      <c r="D93" s="68">
        <v>0</v>
      </c>
      <c r="E93" s="68">
        <v>0</v>
      </c>
      <c r="F93" s="68">
        <v>165497.891</v>
      </c>
      <c r="G93" s="68"/>
      <c r="H93" s="68"/>
      <c r="I93" s="68">
        <v>0</v>
      </c>
      <c r="J93" s="68">
        <v>0</v>
      </c>
    </row>
    <row r="94" spans="1:10">
      <c r="A94" s="61" t="s">
        <v>75</v>
      </c>
      <c r="B94" s="68">
        <v>10000</v>
      </c>
      <c r="C94" s="68">
        <v>0</v>
      </c>
      <c r="D94" s="68">
        <v>0</v>
      </c>
      <c r="E94" s="68">
        <v>0</v>
      </c>
      <c r="F94" s="68">
        <v>73594</v>
      </c>
      <c r="G94" s="68">
        <v>0</v>
      </c>
      <c r="H94" s="68">
        <v>0</v>
      </c>
      <c r="I94" s="68">
        <v>0</v>
      </c>
      <c r="J94" s="68">
        <v>0</v>
      </c>
    </row>
    <row r="95" spans="1:10">
      <c r="A95" s="61" t="s">
        <v>76</v>
      </c>
      <c r="B95" s="68">
        <v>0</v>
      </c>
      <c r="C95" s="68">
        <v>0</v>
      </c>
      <c r="D95" s="68">
        <v>0</v>
      </c>
      <c r="E95" s="68">
        <v>0</v>
      </c>
      <c r="F95" s="68">
        <v>0</v>
      </c>
      <c r="G95" s="68">
        <v>0</v>
      </c>
      <c r="H95" s="68">
        <v>0</v>
      </c>
      <c r="I95" s="68">
        <v>0</v>
      </c>
      <c r="J95" s="68">
        <v>0</v>
      </c>
    </row>
    <row r="96" spans="1:10">
      <c r="A96" s="61" t="s">
        <v>77</v>
      </c>
      <c r="B96" s="68">
        <v>86788.67</v>
      </c>
      <c r="C96" s="68">
        <v>0</v>
      </c>
      <c r="D96" s="68">
        <v>10577</v>
      </c>
      <c r="E96" s="68">
        <v>0</v>
      </c>
      <c r="F96" s="68">
        <v>104384.14</v>
      </c>
      <c r="G96" s="68">
        <v>0</v>
      </c>
      <c r="H96" s="68">
        <v>0</v>
      </c>
      <c r="I96" s="68">
        <v>0</v>
      </c>
      <c r="J96" s="68">
        <v>0</v>
      </c>
    </row>
    <row r="97" spans="1:10">
      <c r="A97" s="61" t="s">
        <v>78</v>
      </c>
      <c r="B97" s="68">
        <v>2371</v>
      </c>
      <c r="C97" s="68">
        <v>0</v>
      </c>
      <c r="D97" s="68">
        <v>0</v>
      </c>
      <c r="E97" s="68">
        <v>0</v>
      </c>
      <c r="F97" s="68">
        <v>0</v>
      </c>
      <c r="G97" s="68">
        <v>0</v>
      </c>
      <c r="H97" s="68">
        <v>0</v>
      </c>
      <c r="I97" s="68">
        <v>0</v>
      </c>
      <c r="J97" s="68">
        <v>0</v>
      </c>
    </row>
    <row r="98" spans="1:10">
      <c r="A98" s="61" t="s">
        <v>79</v>
      </c>
      <c r="B98" s="68">
        <v>144210.35999999999</v>
      </c>
      <c r="C98" s="68">
        <v>0</v>
      </c>
      <c r="D98" s="68">
        <v>0</v>
      </c>
      <c r="E98" s="68">
        <v>0</v>
      </c>
      <c r="F98" s="68">
        <v>113068.78</v>
      </c>
      <c r="G98" s="68">
        <v>0</v>
      </c>
      <c r="H98" s="68">
        <v>0</v>
      </c>
      <c r="I98" s="68">
        <v>0</v>
      </c>
      <c r="J98" s="68">
        <v>0</v>
      </c>
    </row>
    <row r="99" spans="1:10">
      <c r="A99" s="61" t="s">
        <v>80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</row>
    <row r="100" spans="1:10">
      <c r="A100" s="61" t="s">
        <v>81</v>
      </c>
      <c r="B100" s="68">
        <v>0</v>
      </c>
      <c r="C100" s="68">
        <v>0</v>
      </c>
      <c r="D100" s="68">
        <v>0</v>
      </c>
      <c r="E100" s="68">
        <v>0</v>
      </c>
      <c r="F100" s="68">
        <v>0</v>
      </c>
      <c r="G100" s="68">
        <v>0</v>
      </c>
      <c r="H100" s="68">
        <v>0</v>
      </c>
      <c r="I100" s="68">
        <v>0</v>
      </c>
      <c r="J100" s="68">
        <v>0</v>
      </c>
    </row>
    <row r="101" spans="1:10">
      <c r="A101" s="61" t="s">
        <v>82</v>
      </c>
      <c r="B101" s="68">
        <v>83781.897419354835</v>
      </c>
      <c r="C101" s="68">
        <v>0</v>
      </c>
      <c r="D101" s="68">
        <v>0</v>
      </c>
      <c r="E101" s="68">
        <v>0</v>
      </c>
      <c r="F101" s="68">
        <v>52914.882580645157</v>
      </c>
      <c r="G101" s="68">
        <v>0</v>
      </c>
      <c r="H101" s="68">
        <v>0</v>
      </c>
      <c r="I101" s="68">
        <v>0</v>
      </c>
      <c r="J101" s="68">
        <v>0</v>
      </c>
    </row>
    <row r="102" spans="1:10">
      <c r="A102" s="61" t="s">
        <v>83</v>
      </c>
      <c r="B102" s="68">
        <v>40081.71</v>
      </c>
      <c r="C102" s="68">
        <v>0</v>
      </c>
      <c r="D102" s="68">
        <v>13211</v>
      </c>
      <c r="E102" s="68">
        <v>0</v>
      </c>
      <c r="F102" s="68">
        <v>0</v>
      </c>
      <c r="G102" s="68">
        <v>1260</v>
      </c>
      <c r="H102" s="68">
        <v>0</v>
      </c>
      <c r="I102" s="68">
        <v>0</v>
      </c>
      <c r="J102" s="68">
        <v>0</v>
      </c>
    </row>
    <row r="103" spans="1:10">
      <c r="A103" s="61"/>
      <c r="B103" s="68"/>
      <c r="C103" s="68"/>
      <c r="D103" s="68"/>
      <c r="E103" s="68"/>
      <c r="F103" s="68"/>
      <c r="G103" s="68"/>
      <c r="H103" s="68"/>
      <c r="I103" s="69"/>
      <c r="J103" s="69"/>
    </row>
    <row r="104" spans="1:10" ht="17.25">
      <c r="A104" s="70" t="s">
        <v>84</v>
      </c>
      <c r="B104" s="67">
        <f>+SUM(B105:B113)</f>
        <v>919373.43200000003</v>
      </c>
      <c r="C104" s="67">
        <f t="shared" ref="C104:J104" si="20">+SUM(C105:C113)</f>
        <v>0</v>
      </c>
      <c r="D104" s="67">
        <f t="shared" si="20"/>
        <v>50410.51</v>
      </c>
      <c r="E104" s="67">
        <f t="shared" si="20"/>
        <v>10800</v>
      </c>
      <c r="F104" s="67">
        <f t="shared" si="20"/>
        <v>655445.228</v>
      </c>
      <c r="G104" s="67">
        <f t="shared" si="20"/>
        <v>37319.29</v>
      </c>
      <c r="H104" s="67">
        <f t="shared" si="20"/>
        <v>5400</v>
      </c>
      <c r="I104" s="67">
        <f t="shared" si="20"/>
        <v>4481.54</v>
      </c>
      <c r="J104" s="67">
        <f t="shared" si="20"/>
        <v>0</v>
      </c>
    </row>
    <row r="105" spans="1:10">
      <c r="A105" s="61" t="s">
        <v>85</v>
      </c>
      <c r="B105" s="68">
        <v>0</v>
      </c>
      <c r="C105" s="68">
        <v>0</v>
      </c>
      <c r="D105" s="68">
        <v>11890.11</v>
      </c>
      <c r="E105" s="68">
        <v>0</v>
      </c>
      <c r="F105" s="68">
        <v>0</v>
      </c>
      <c r="G105" s="68">
        <v>26198.89</v>
      </c>
      <c r="H105" s="68">
        <v>0</v>
      </c>
      <c r="I105" s="68">
        <v>0</v>
      </c>
      <c r="J105" s="68">
        <v>0</v>
      </c>
    </row>
    <row r="106" spans="1:10">
      <c r="A106" s="61" t="s">
        <v>86</v>
      </c>
      <c r="B106" s="68">
        <v>328612.63199999998</v>
      </c>
      <c r="C106" s="68">
        <v>0</v>
      </c>
      <c r="D106" s="68">
        <v>34200</v>
      </c>
      <c r="E106" s="68">
        <v>10800</v>
      </c>
      <c r="F106" s="68">
        <v>150174.788</v>
      </c>
      <c r="G106" s="68">
        <v>8100</v>
      </c>
      <c r="H106" s="68">
        <v>5400</v>
      </c>
      <c r="I106" s="68">
        <v>0</v>
      </c>
      <c r="J106" s="68">
        <v>0</v>
      </c>
    </row>
    <row r="107" spans="1:10">
      <c r="A107" s="61" t="s">
        <v>87</v>
      </c>
      <c r="B107" s="68">
        <v>0</v>
      </c>
      <c r="C107" s="68">
        <v>0</v>
      </c>
      <c r="D107" s="68">
        <v>0</v>
      </c>
      <c r="E107" s="68">
        <v>0</v>
      </c>
      <c r="F107" s="68">
        <v>0</v>
      </c>
      <c r="G107" s="68">
        <v>0</v>
      </c>
      <c r="H107" s="68">
        <v>0</v>
      </c>
      <c r="I107" s="68">
        <v>0</v>
      </c>
      <c r="J107" s="68">
        <v>0</v>
      </c>
    </row>
    <row r="108" spans="1:10">
      <c r="A108" s="61" t="s">
        <v>88</v>
      </c>
      <c r="B108" s="68">
        <v>161400</v>
      </c>
      <c r="C108" s="68">
        <v>0</v>
      </c>
      <c r="D108" s="68">
        <v>0</v>
      </c>
      <c r="E108" s="68">
        <v>0</v>
      </c>
      <c r="F108" s="68">
        <v>283000</v>
      </c>
      <c r="G108" s="68">
        <v>0</v>
      </c>
      <c r="H108" s="68">
        <v>0</v>
      </c>
      <c r="I108" s="68">
        <v>0</v>
      </c>
      <c r="J108" s="68">
        <v>0</v>
      </c>
    </row>
    <row r="109" spans="1:10">
      <c r="A109" s="61" t="s">
        <v>89</v>
      </c>
      <c r="B109" s="68">
        <v>0</v>
      </c>
      <c r="C109" s="68">
        <v>0</v>
      </c>
      <c r="D109" s="68">
        <v>0</v>
      </c>
      <c r="E109" s="68">
        <v>0</v>
      </c>
      <c r="F109" s="68">
        <v>17250</v>
      </c>
      <c r="G109" s="68">
        <v>0</v>
      </c>
      <c r="H109" s="68">
        <v>0</v>
      </c>
      <c r="I109" s="68">
        <v>0</v>
      </c>
      <c r="J109" s="68">
        <v>0</v>
      </c>
    </row>
    <row r="110" spans="1:10">
      <c r="A110" s="61" t="s">
        <v>90</v>
      </c>
      <c r="B110" s="68">
        <v>429360.8</v>
      </c>
      <c r="C110" s="68">
        <v>0</v>
      </c>
      <c r="D110" s="68">
        <v>0</v>
      </c>
      <c r="E110" s="68">
        <v>0</v>
      </c>
      <c r="F110" s="68">
        <v>205020.44</v>
      </c>
      <c r="G110" s="68">
        <v>0</v>
      </c>
      <c r="H110" s="68">
        <v>0</v>
      </c>
      <c r="I110" s="68">
        <v>0</v>
      </c>
      <c r="J110" s="68">
        <v>0</v>
      </c>
    </row>
    <row r="111" spans="1:10">
      <c r="A111" s="61" t="s">
        <v>91</v>
      </c>
      <c r="B111" s="68">
        <v>0</v>
      </c>
      <c r="C111" s="68">
        <v>0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</row>
    <row r="112" spans="1:10">
      <c r="A112" s="61" t="s">
        <v>92</v>
      </c>
      <c r="B112" s="68">
        <v>0</v>
      </c>
      <c r="C112" s="68">
        <v>0</v>
      </c>
      <c r="D112" s="68">
        <v>4320.3999999999996</v>
      </c>
      <c r="E112" s="68">
        <v>0</v>
      </c>
      <c r="F112" s="68">
        <v>0</v>
      </c>
      <c r="G112" s="68">
        <v>3020.4</v>
      </c>
      <c r="H112" s="68">
        <v>0</v>
      </c>
      <c r="I112" s="68">
        <v>4481.54</v>
      </c>
      <c r="J112" s="68">
        <v>0</v>
      </c>
    </row>
    <row r="113" spans="1:10">
      <c r="A113" s="61" t="s">
        <v>225</v>
      </c>
      <c r="B113" s="68">
        <v>0</v>
      </c>
      <c r="C113" s="68">
        <v>0</v>
      </c>
      <c r="D113" s="68">
        <v>0</v>
      </c>
      <c r="E113" s="68">
        <v>0</v>
      </c>
      <c r="F113" s="68">
        <v>0</v>
      </c>
      <c r="G113" s="68">
        <v>0</v>
      </c>
      <c r="H113" s="68">
        <v>0</v>
      </c>
      <c r="I113" s="68">
        <v>0</v>
      </c>
      <c r="J113" s="68">
        <v>0</v>
      </c>
    </row>
    <row r="114" spans="1:10">
      <c r="A114" s="60"/>
      <c r="B114" s="68"/>
      <c r="C114" s="68"/>
      <c r="D114" s="68"/>
      <c r="E114" s="68"/>
      <c r="F114" s="68"/>
      <c r="G114" s="68"/>
      <c r="H114" s="68"/>
      <c r="I114" s="69"/>
      <c r="J114" s="69"/>
    </row>
    <row r="115" spans="1:10" ht="17.25">
      <c r="A115" s="71" t="s">
        <v>211</v>
      </c>
      <c r="B115" s="67">
        <f>+B116+B129+B133+B138+B146+B150</f>
        <v>2989063.2587972754</v>
      </c>
      <c r="C115" s="67">
        <f t="shared" ref="C115:J115" si="21">+C116+C129+C133+C138+C146+C150</f>
        <v>82254.487179487172</v>
      </c>
      <c r="D115" s="67">
        <f t="shared" si="21"/>
        <v>1965631.217919514</v>
      </c>
      <c r="E115" s="67">
        <f t="shared" si="21"/>
        <v>422982.66121335473</v>
      </c>
      <c r="F115" s="67">
        <f t="shared" si="21"/>
        <v>1351421.531477564</v>
      </c>
      <c r="G115" s="67">
        <f t="shared" si="21"/>
        <v>1073218.6403489849</v>
      </c>
      <c r="H115" s="67">
        <f t="shared" si="21"/>
        <v>148668.1128212607</v>
      </c>
      <c r="I115" s="67">
        <f t="shared" si="21"/>
        <v>608443.64410256408</v>
      </c>
      <c r="J115" s="67">
        <f t="shared" si="21"/>
        <v>66411.048076923078</v>
      </c>
    </row>
    <row r="116" spans="1:10">
      <c r="A116" s="72" t="s">
        <v>94</v>
      </c>
      <c r="B116" s="67">
        <f>+SUM(B117:B128)</f>
        <v>2127441.9947972754</v>
      </c>
      <c r="C116" s="67">
        <f t="shared" ref="C116:J116" si="22">+SUM(C117:C128)</f>
        <v>82254.487179487172</v>
      </c>
      <c r="D116" s="67">
        <f t="shared" si="22"/>
        <v>1556507.2279195138</v>
      </c>
      <c r="E116" s="67">
        <f t="shared" si="22"/>
        <v>347218.42121335474</v>
      </c>
      <c r="F116" s="67">
        <f t="shared" si="22"/>
        <v>982990.23547756404</v>
      </c>
      <c r="G116" s="67">
        <f t="shared" si="22"/>
        <v>766048.6803489849</v>
      </c>
      <c r="H116" s="67">
        <f t="shared" si="22"/>
        <v>97725.99282126069</v>
      </c>
      <c r="I116" s="67">
        <f t="shared" si="22"/>
        <v>384567.06410256412</v>
      </c>
      <c r="J116" s="67">
        <f t="shared" si="22"/>
        <v>66411.048076923078</v>
      </c>
    </row>
    <row r="117" spans="1:10">
      <c r="A117" s="61" t="s">
        <v>95</v>
      </c>
      <c r="B117" s="68">
        <v>771631</v>
      </c>
      <c r="C117" s="68">
        <v>15000</v>
      </c>
      <c r="D117" s="68">
        <v>582877</v>
      </c>
      <c r="E117" s="68">
        <v>115397</v>
      </c>
      <c r="F117" s="68">
        <v>383364</v>
      </c>
      <c r="G117" s="68">
        <v>279036</v>
      </c>
      <c r="H117" s="68">
        <v>27960</v>
      </c>
      <c r="I117" s="68">
        <v>174165</v>
      </c>
      <c r="J117" s="68">
        <v>27766</v>
      </c>
    </row>
    <row r="118" spans="1:10">
      <c r="A118" s="61" t="s">
        <v>96</v>
      </c>
      <c r="B118" s="68">
        <v>113067.6</v>
      </c>
      <c r="C118" s="68">
        <v>2500</v>
      </c>
      <c r="D118" s="68">
        <v>86590</v>
      </c>
      <c r="E118" s="68">
        <v>20048</v>
      </c>
      <c r="F118" s="68">
        <v>55139.4</v>
      </c>
      <c r="G118" s="68">
        <v>47424</v>
      </c>
      <c r="H118" s="68">
        <v>3982</v>
      </c>
      <c r="I118" s="68">
        <v>25031</v>
      </c>
      <c r="J118" s="68">
        <v>4127</v>
      </c>
    </row>
    <row r="119" spans="1:10">
      <c r="A119" s="61" t="s">
        <v>97</v>
      </c>
      <c r="B119" s="68">
        <v>31500</v>
      </c>
      <c r="C119" s="68">
        <v>0</v>
      </c>
      <c r="D119" s="68">
        <v>1500</v>
      </c>
      <c r="E119" s="68">
        <v>2379</v>
      </c>
      <c r="F119" s="68">
        <v>9000</v>
      </c>
      <c r="G119" s="68">
        <v>3000</v>
      </c>
      <c r="H119" s="68">
        <v>0</v>
      </c>
      <c r="I119" s="68">
        <v>0</v>
      </c>
      <c r="J119" s="68">
        <v>0</v>
      </c>
    </row>
    <row r="120" spans="1:10">
      <c r="A120" s="61" t="s">
        <v>98</v>
      </c>
      <c r="B120" s="68">
        <v>257991.8</v>
      </c>
      <c r="C120" s="68">
        <v>4000</v>
      </c>
      <c r="D120" s="68">
        <v>202604</v>
      </c>
      <c r="E120" s="68">
        <v>38792</v>
      </c>
      <c r="F120" s="68">
        <v>131820.20000000001</v>
      </c>
      <c r="G120" s="68">
        <v>104449</v>
      </c>
      <c r="H120" s="68">
        <v>8854</v>
      </c>
      <c r="I120" s="68">
        <v>68405</v>
      </c>
      <c r="J120" s="68">
        <v>11106</v>
      </c>
    </row>
    <row r="121" spans="1:10">
      <c r="A121" s="61" t="s">
        <v>99</v>
      </c>
      <c r="B121" s="68">
        <v>69595.8</v>
      </c>
      <c r="C121" s="68">
        <v>0</v>
      </c>
      <c r="D121" s="68">
        <v>47336</v>
      </c>
      <c r="E121" s="68">
        <v>7516</v>
      </c>
      <c r="F121" s="68">
        <v>35511.199999999997</v>
      </c>
      <c r="G121" s="68">
        <v>27411</v>
      </c>
      <c r="H121" s="68">
        <v>3828</v>
      </c>
      <c r="I121" s="68">
        <v>15205</v>
      </c>
      <c r="J121" s="68">
        <v>0</v>
      </c>
    </row>
    <row r="122" spans="1:10">
      <c r="A122" s="61" t="s">
        <v>100</v>
      </c>
      <c r="B122" s="68">
        <v>32420</v>
      </c>
      <c r="C122" s="68">
        <v>500</v>
      </c>
      <c r="D122" s="68">
        <v>19767</v>
      </c>
      <c r="E122" s="68">
        <v>2876</v>
      </c>
      <c r="F122" s="68">
        <v>9445</v>
      </c>
      <c r="G122" s="68">
        <v>13157</v>
      </c>
      <c r="H122" s="68">
        <v>1938</v>
      </c>
      <c r="I122" s="68">
        <v>2172</v>
      </c>
      <c r="J122" s="68">
        <v>0</v>
      </c>
    </row>
    <row r="123" spans="1:10">
      <c r="A123" s="61" t="s">
        <v>101</v>
      </c>
      <c r="B123" s="68">
        <v>401754.8</v>
      </c>
      <c r="C123" s="68">
        <v>56500</v>
      </c>
      <c r="D123" s="68">
        <v>287804</v>
      </c>
      <c r="E123" s="68">
        <v>63573</v>
      </c>
      <c r="F123" s="68">
        <v>186422.2</v>
      </c>
      <c r="G123" s="68">
        <v>117139</v>
      </c>
      <c r="H123" s="68">
        <v>13388</v>
      </c>
      <c r="I123" s="68">
        <v>61414</v>
      </c>
      <c r="J123" s="68">
        <v>12532</v>
      </c>
    </row>
    <row r="124" spans="1:10">
      <c r="A124" s="61" t="s">
        <v>102</v>
      </c>
      <c r="B124" s="68">
        <v>107556.71915625001</v>
      </c>
      <c r="C124" s="68">
        <v>1949.9999999999998</v>
      </c>
      <c r="D124" s="68">
        <v>74658.494586180561</v>
      </c>
      <c r="E124" s="68">
        <v>14646.494290277777</v>
      </c>
      <c r="F124" s="68">
        <v>43454.504708333327</v>
      </c>
      <c r="G124" s="68">
        <v>35293.217528472225</v>
      </c>
      <c r="H124" s="68">
        <v>2286.8210263888886</v>
      </c>
      <c r="I124" s="68">
        <v>18806.666666666668</v>
      </c>
      <c r="J124" s="68">
        <v>5646.875</v>
      </c>
    </row>
    <row r="125" spans="1:10">
      <c r="A125" s="61" t="s">
        <v>103</v>
      </c>
      <c r="B125" s="68">
        <v>4821.25</v>
      </c>
      <c r="C125" s="68">
        <v>0</v>
      </c>
      <c r="D125" s="68">
        <v>6992</v>
      </c>
      <c r="E125" s="68">
        <v>1866.75</v>
      </c>
      <c r="F125" s="68">
        <v>2066.25</v>
      </c>
      <c r="G125" s="68">
        <v>3752.5</v>
      </c>
      <c r="H125" s="68">
        <v>0</v>
      </c>
      <c r="I125" s="68">
        <v>807.5</v>
      </c>
      <c r="J125" s="68">
        <v>0</v>
      </c>
    </row>
    <row r="126" spans="1:10">
      <c r="A126" s="61" t="s">
        <v>104</v>
      </c>
      <c r="B126" s="68">
        <v>222462</v>
      </c>
      <c r="C126" s="68">
        <v>0</v>
      </c>
      <c r="D126" s="68">
        <v>175707.9</v>
      </c>
      <c r="E126" s="68">
        <v>66738.600000000006</v>
      </c>
      <c r="F126" s="68">
        <v>83423.25</v>
      </c>
      <c r="G126" s="68">
        <v>100453.95</v>
      </c>
      <c r="H126" s="68">
        <v>33369.300000000003</v>
      </c>
      <c r="I126" s="68">
        <v>0</v>
      </c>
      <c r="J126" s="68">
        <v>0</v>
      </c>
    </row>
    <row r="127" spans="1:10">
      <c r="A127" s="61" t="s">
        <v>105</v>
      </c>
      <c r="B127" s="68">
        <v>54057.692307692305</v>
      </c>
      <c r="C127" s="68">
        <v>721.15384615384619</v>
      </c>
      <c r="D127" s="68">
        <v>28437.499999999996</v>
      </c>
      <c r="E127" s="68">
        <v>5110.5769230769229</v>
      </c>
      <c r="F127" s="68">
        <v>18769.230769230773</v>
      </c>
      <c r="G127" s="68">
        <v>14716.346153846156</v>
      </c>
      <c r="H127" s="68">
        <v>836.53846153846155</v>
      </c>
      <c r="I127" s="68">
        <v>7644.2307692307695</v>
      </c>
      <c r="J127" s="68">
        <v>1983.1730769230771</v>
      </c>
    </row>
    <row r="128" spans="1:10">
      <c r="A128" s="61" t="s">
        <v>226</v>
      </c>
      <c r="B128" s="68">
        <v>60583.333333333343</v>
      </c>
      <c r="C128" s="68">
        <v>1083.3333333333333</v>
      </c>
      <c r="D128" s="68">
        <v>42233.333333333328</v>
      </c>
      <c r="E128" s="68">
        <v>8274.9999999999982</v>
      </c>
      <c r="F128" s="68">
        <v>24574.999999999996</v>
      </c>
      <c r="G128" s="68">
        <v>20216.666666666664</v>
      </c>
      <c r="H128" s="68">
        <v>1283.3333333333333</v>
      </c>
      <c r="I128" s="68">
        <v>10916.666666666664</v>
      </c>
      <c r="J128" s="68">
        <v>3250</v>
      </c>
    </row>
    <row r="129" spans="1:10">
      <c r="A129" s="72" t="s">
        <v>106</v>
      </c>
      <c r="B129" s="67">
        <f>+SUM(B130:B132)</f>
        <v>142000</v>
      </c>
      <c r="C129" s="67">
        <f t="shared" ref="C129:J129" si="23">+SUM(C130:C132)</f>
        <v>0</v>
      </c>
      <c r="D129" s="67">
        <f t="shared" si="23"/>
        <v>53369.120000000003</v>
      </c>
      <c r="E129" s="67">
        <f t="shared" si="23"/>
        <v>0</v>
      </c>
      <c r="F129" s="67">
        <f t="shared" si="23"/>
        <v>0</v>
      </c>
      <c r="G129" s="67">
        <f t="shared" si="23"/>
        <v>117873.58</v>
      </c>
      <c r="H129" s="67">
        <f t="shared" si="23"/>
        <v>0</v>
      </c>
      <c r="I129" s="67">
        <f t="shared" si="23"/>
        <v>3885</v>
      </c>
      <c r="J129" s="67">
        <f t="shared" si="23"/>
        <v>0</v>
      </c>
    </row>
    <row r="130" spans="1:10">
      <c r="A130" s="61" t="s">
        <v>107</v>
      </c>
      <c r="B130" s="68">
        <v>142000</v>
      </c>
      <c r="C130" s="68">
        <v>0</v>
      </c>
      <c r="D130" s="68">
        <v>53369.120000000003</v>
      </c>
      <c r="E130" s="68">
        <v>0</v>
      </c>
      <c r="F130" s="68">
        <v>0</v>
      </c>
      <c r="G130" s="68">
        <v>117873.58</v>
      </c>
      <c r="H130" s="68">
        <v>0</v>
      </c>
      <c r="I130" s="68">
        <v>3885</v>
      </c>
      <c r="J130" s="68">
        <v>0</v>
      </c>
    </row>
    <row r="131" spans="1:10">
      <c r="A131" s="61" t="s">
        <v>108</v>
      </c>
      <c r="B131" s="68">
        <v>0</v>
      </c>
      <c r="C131" s="68">
        <v>0</v>
      </c>
      <c r="D131" s="68">
        <v>0</v>
      </c>
      <c r="E131" s="68">
        <v>0</v>
      </c>
      <c r="F131" s="68">
        <v>0</v>
      </c>
      <c r="G131" s="68">
        <v>0</v>
      </c>
      <c r="H131" s="68">
        <v>0</v>
      </c>
      <c r="I131" s="68">
        <v>0</v>
      </c>
      <c r="J131" s="68">
        <v>0</v>
      </c>
    </row>
    <row r="132" spans="1:10">
      <c r="A132" s="61" t="s">
        <v>109</v>
      </c>
      <c r="B132" s="68">
        <v>0</v>
      </c>
      <c r="C132" s="68">
        <v>0</v>
      </c>
      <c r="D132" s="68">
        <v>0</v>
      </c>
      <c r="E132" s="68">
        <v>0</v>
      </c>
      <c r="F132" s="68">
        <v>0</v>
      </c>
      <c r="G132" s="68">
        <v>0</v>
      </c>
      <c r="H132" s="68">
        <v>0</v>
      </c>
      <c r="I132" s="68">
        <v>0</v>
      </c>
      <c r="J132" s="68">
        <v>0</v>
      </c>
    </row>
    <row r="133" spans="1:10">
      <c r="A133" s="72" t="s">
        <v>110</v>
      </c>
      <c r="B133" s="67">
        <f>+SUM(B134:B137)</f>
        <v>392247.29399999999</v>
      </c>
      <c r="C133" s="67">
        <f t="shared" ref="C133:J133" si="24">+SUM(C134:C137)</f>
        <v>0</v>
      </c>
      <c r="D133" s="67">
        <f t="shared" si="24"/>
        <v>91969.37</v>
      </c>
      <c r="E133" s="67">
        <f t="shared" si="24"/>
        <v>3135.24</v>
      </c>
      <c r="F133" s="67">
        <f t="shared" si="24"/>
        <v>213924.54600000003</v>
      </c>
      <c r="G133" s="67">
        <f t="shared" si="24"/>
        <v>27778.53</v>
      </c>
      <c r="H133" s="67">
        <f t="shared" si="24"/>
        <v>3632.22</v>
      </c>
      <c r="I133" s="67">
        <f t="shared" si="24"/>
        <v>20682.580000000002</v>
      </c>
      <c r="J133" s="67">
        <f t="shared" si="24"/>
        <v>0</v>
      </c>
    </row>
    <row r="134" spans="1:10">
      <c r="A134" s="61" t="s">
        <v>111</v>
      </c>
      <c r="B134" s="68">
        <v>0</v>
      </c>
      <c r="C134" s="68">
        <v>0</v>
      </c>
      <c r="D134" s="68">
        <v>0</v>
      </c>
      <c r="E134" s="68">
        <v>0</v>
      </c>
      <c r="F134" s="68">
        <v>0</v>
      </c>
      <c r="G134" s="68">
        <v>0</v>
      </c>
      <c r="H134" s="68">
        <v>0</v>
      </c>
      <c r="I134" s="68">
        <v>0</v>
      </c>
      <c r="J134" s="68">
        <v>0</v>
      </c>
    </row>
    <row r="135" spans="1:10">
      <c r="A135" s="61" t="s">
        <v>112</v>
      </c>
      <c r="B135" s="68">
        <v>139638.96599999999</v>
      </c>
      <c r="C135" s="68">
        <v>0</v>
      </c>
      <c r="D135" s="68">
        <v>91969.37</v>
      </c>
      <c r="E135" s="68">
        <v>3135.24</v>
      </c>
      <c r="F135" s="68">
        <v>45518.994000000006</v>
      </c>
      <c r="G135" s="68">
        <v>27778.53</v>
      </c>
      <c r="H135" s="68">
        <v>3632.22</v>
      </c>
      <c r="I135" s="68">
        <v>20682.580000000002</v>
      </c>
      <c r="J135" s="68">
        <v>0</v>
      </c>
    </row>
    <row r="136" spans="1:10">
      <c r="A136" s="61" t="s">
        <v>113</v>
      </c>
      <c r="B136" s="68">
        <v>0</v>
      </c>
      <c r="C136" s="68">
        <v>0</v>
      </c>
      <c r="D136" s="68">
        <v>0</v>
      </c>
      <c r="E136" s="68">
        <v>0</v>
      </c>
      <c r="F136" s="68">
        <v>0</v>
      </c>
      <c r="G136" s="68">
        <v>0</v>
      </c>
      <c r="H136" s="68">
        <v>0</v>
      </c>
      <c r="I136" s="68">
        <v>0</v>
      </c>
      <c r="J136" s="68">
        <v>0</v>
      </c>
    </row>
    <row r="137" spans="1:10">
      <c r="A137" s="61" t="s">
        <v>114</v>
      </c>
      <c r="B137" s="68">
        <v>252608.32799999998</v>
      </c>
      <c r="C137" s="68">
        <v>0</v>
      </c>
      <c r="D137" s="68">
        <v>0</v>
      </c>
      <c r="E137" s="68">
        <v>0</v>
      </c>
      <c r="F137" s="68">
        <v>168405.55200000003</v>
      </c>
      <c r="G137" s="68">
        <v>0</v>
      </c>
      <c r="H137" s="68">
        <v>0</v>
      </c>
      <c r="I137" s="68">
        <v>0</v>
      </c>
      <c r="J137" s="68">
        <v>0</v>
      </c>
    </row>
    <row r="138" spans="1:10">
      <c r="A138" s="72" t="s">
        <v>115</v>
      </c>
      <c r="B138" s="67">
        <f>+SUM(B139:B145)</f>
        <v>101614.97</v>
      </c>
      <c r="C138" s="67">
        <f t="shared" ref="C138:J138" si="25">+SUM(C139:C145)</f>
        <v>0</v>
      </c>
      <c r="D138" s="67">
        <f t="shared" si="25"/>
        <v>93800.7</v>
      </c>
      <c r="E138" s="67">
        <f t="shared" si="25"/>
        <v>7471.8</v>
      </c>
      <c r="F138" s="67">
        <f t="shared" si="25"/>
        <v>58847.75</v>
      </c>
      <c r="G138" s="67">
        <f t="shared" si="25"/>
        <v>43601.85</v>
      </c>
      <c r="H138" s="67">
        <f t="shared" si="25"/>
        <v>22467.9</v>
      </c>
      <c r="I138" s="67">
        <f t="shared" si="25"/>
        <v>48922</v>
      </c>
      <c r="J138" s="67">
        <f t="shared" si="25"/>
        <v>0</v>
      </c>
    </row>
    <row r="139" spans="1:10">
      <c r="A139" s="61" t="s">
        <v>116</v>
      </c>
      <c r="B139" s="68">
        <v>24906</v>
      </c>
      <c r="C139" s="68">
        <v>0</v>
      </c>
      <c r="D139" s="68">
        <v>13365.699999999999</v>
      </c>
      <c r="E139" s="68">
        <v>7471.8</v>
      </c>
      <c r="F139" s="68">
        <v>9370.25</v>
      </c>
      <c r="G139" s="68">
        <v>6950.15</v>
      </c>
      <c r="H139" s="68">
        <v>3748.1000000000004</v>
      </c>
      <c r="I139" s="68">
        <v>0</v>
      </c>
      <c r="J139" s="68">
        <v>0</v>
      </c>
    </row>
    <row r="140" spans="1:10">
      <c r="A140" s="61" t="s">
        <v>117</v>
      </c>
      <c r="B140" s="68">
        <v>14298</v>
      </c>
      <c r="C140" s="68">
        <v>0</v>
      </c>
      <c r="D140" s="68">
        <v>29783</v>
      </c>
      <c r="E140" s="68">
        <v>0</v>
      </c>
      <c r="F140" s="68">
        <v>13727.5</v>
      </c>
      <c r="G140" s="68">
        <v>15201.7</v>
      </c>
      <c r="H140" s="68">
        <v>4419.8</v>
      </c>
      <c r="I140" s="68">
        <v>13922</v>
      </c>
      <c r="J140" s="68">
        <v>0</v>
      </c>
    </row>
    <row r="141" spans="1:10">
      <c r="A141" s="61" t="s">
        <v>227</v>
      </c>
      <c r="B141" s="68">
        <v>0</v>
      </c>
      <c r="C141" s="68">
        <v>0</v>
      </c>
      <c r="D141" s="68">
        <v>50652</v>
      </c>
      <c r="E141" s="68">
        <v>0</v>
      </c>
      <c r="F141" s="68">
        <v>23250</v>
      </c>
      <c r="G141" s="68">
        <v>13950</v>
      </c>
      <c r="H141" s="68">
        <v>9300</v>
      </c>
      <c r="I141" s="68">
        <v>30000</v>
      </c>
      <c r="J141" s="68">
        <v>0</v>
      </c>
    </row>
    <row r="142" spans="1:10">
      <c r="A142" s="61" t="s">
        <v>228</v>
      </c>
      <c r="B142" s="68">
        <v>0</v>
      </c>
      <c r="C142" s="68">
        <v>0</v>
      </c>
      <c r="D142" s="68">
        <v>0</v>
      </c>
      <c r="E142" s="68">
        <v>0</v>
      </c>
      <c r="F142" s="68">
        <v>0</v>
      </c>
      <c r="G142" s="68">
        <v>0</v>
      </c>
      <c r="H142" s="68">
        <v>0</v>
      </c>
      <c r="I142" s="68">
        <v>0</v>
      </c>
      <c r="J142" s="68">
        <v>0</v>
      </c>
    </row>
    <row r="143" spans="1:10">
      <c r="A143" s="61" t="s">
        <v>118</v>
      </c>
      <c r="B143" s="68">
        <v>0</v>
      </c>
      <c r="C143" s="68">
        <v>0</v>
      </c>
      <c r="D143" s="68">
        <v>0</v>
      </c>
      <c r="E143" s="68">
        <v>0</v>
      </c>
      <c r="F143" s="68">
        <v>0</v>
      </c>
      <c r="G143" s="68">
        <v>0</v>
      </c>
      <c r="H143" s="68">
        <v>0</v>
      </c>
      <c r="I143" s="68">
        <v>0</v>
      </c>
      <c r="J143" s="68">
        <v>0</v>
      </c>
    </row>
    <row r="144" spans="1:10">
      <c r="A144" s="61" t="s">
        <v>119</v>
      </c>
      <c r="B144" s="68">
        <v>0</v>
      </c>
      <c r="C144" s="68">
        <v>0</v>
      </c>
      <c r="D144" s="68">
        <v>0</v>
      </c>
      <c r="E144" s="68">
        <v>0</v>
      </c>
      <c r="F144" s="68">
        <v>0</v>
      </c>
      <c r="G144" s="68">
        <v>0</v>
      </c>
      <c r="H144" s="68">
        <v>0</v>
      </c>
      <c r="I144" s="68">
        <v>0</v>
      </c>
      <c r="J144" s="68">
        <v>0</v>
      </c>
    </row>
    <row r="145" spans="1:10">
      <c r="A145" s="61" t="s">
        <v>120</v>
      </c>
      <c r="B145" s="68">
        <v>62410.97</v>
      </c>
      <c r="C145" s="68">
        <v>0</v>
      </c>
      <c r="D145" s="68">
        <v>0</v>
      </c>
      <c r="E145" s="68">
        <v>0</v>
      </c>
      <c r="F145" s="68">
        <v>12500</v>
      </c>
      <c r="G145" s="68">
        <v>7500</v>
      </c>
      <c r="H145" s="68">
        <v>5000</v>
      </c>
      <c r="I145" s="68">
        <v>5000</v>
      </c>
      <c r="J145" s="68">
        <v>0</v>
      </c>
    </row>
    <row r="146" spans="1:10">
      <c r="A146" s="72" t="s">
        <v>121</v>
      </c>
      <c r="B146" s="67">
        <f>+SUM(B147:B149)</f>
        <v>78343</v>
      </c>
      <c r="C146" s="67">
        <f t="shared" ref="C146:J146" si="26">+SUM(C147:C149)</f>
        <v>0</v>
      </c>
      <c r="D146" s="67">
        <f t="shared" si="26"/>
        <v>72049</v>
      </c>
      <c r="E146" s="67">
        <f t="shared" si="26"/>
        <v>0</v>
      </c>
      <c r="F146" s="67">
        <f t="shared" si="26"/>
        <v>33554</v>
      </c>
      <c r="G146" s="67">
        <f t="shared" si="26"/>
        <v>80653</v>
      </c>
      <c r="H146" s="67">
        <f t="shared" si="26"/>
        <v>0</v>
      </c>
      <c r="I146" s="67">
        <f t="shared" si="26"/>
        <v>25293</v>
      </c>
      <c r="J146" s="67">
        <f t="shared" si="26"/>
        <v>0</v>
      </c>
    </row>
    <row r="147" spans="1:10">
      <c r="A147" s="61" t="s">
        <v>122</v>
      </c>
      <c r="B147" s="68">
        <v>0</v>
      </c>
      <c r="C147" s="68">
        <v>0</v>
      </c>
      <c r="D147" s="68">
        <v>0</v>
      </c>
      <c r="E147" s="68">
        <v>0</v>
      </c>
      <c r="F147" s="68">
        <v>0</v>
      </c>
      <c r="G147" s="68">
        <v>0</v>
      </c>
      <c r="H147" s="68">
        <v>0</v>
      </c>
      <c r="I147" s="68">
        <v>0</v>
      </c>
      <c r="J147" s="68">
        <v>0</v>
      </c>
    </row>
    <row r="148" spans="1:10">
      <c r="A148" s="61" t="s">
        <v>123</v>
      </c>
      <c r="B148" s="68">
        <v>78343</v>
      </c>
      <c r="C148" s="68">
        <v>0</v>
      </c>
      <c r="D148" s="68">
        <v>72049</v>
      </c>
      <c r="E148" s="68">
        <v>0</v>
      </c>
      <c r="F148" s="68">
        <v>33554</v>
      </c>
      <c r="G148" s="68">
        <v>80653</v>
      </c>
      <c r="H148" s="68">
        <v>0</v>
      </c>
      <c r="I148" s="68">
        <v>25293</v>
      </c>
      <c r="J148" s="68">
        <v>0</v>
      </c>
    </row>
    <row r="149" spans="1:10">
      <c r="A149" s="61" t="s">
        <v>124</v>
      </c>
      <c r="B149" s="68">
        <v>0</v>
      </c>
      <c r="C149" s="68">
        <v>0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</row>
    <row r="150" spans="1:10">
      <c r="A150" s="72" t="s">
        <v>125</v>
      </c>
      <c r="B150" s="67">
        <f>+SUM(B151:B154)</f>
        <v>147416</v>
      </c>
      <c r="C150" s="67">
        <f t="shared" ref="C150:J150" si="27">+SUM(C151:C154)</f>
        <v>0</v>
      </c>
      <c r="D150" s="67">
        <f t="shared" si="27"/>
        <v>97935.799999999988</v>
      </c>
      <c r="E150" s="67">
        <f t="shared" si="27"/>
        <v>65157.200000000004</v>
      </c>
      <c r="F150" s="67">
        <f t="shared" si="27"/>
        <v>62105</v>
      </c>
      <c r="G150" s="67">
        <f t="shared" si="27"/>
        <v>37263</v>
      </c>
      <c r="H150" s="67">
        <f t="shared" si="27"/>
        <v>24842</v>
      </c>
      <c r="I150" s="67">
        <f t="shared" si="27"/>
        <v>125094</v>
      </c>
      <c r="J150" s="67">
        <f t="shared" si="27"/>
        <v>0</v>
      </c>
    </row>
    <row r="151" spans="1:10">
      <c r="A151" s="61" t="s">
        <v>126</v>
      </c>
      <c r="B151" s="68">
        <v>65794</v>
      </c>
      <c r="C151" s="68">
        <v>0</v>
      </c>
      <c r="D151" s="68">
        <v>70782.599999999991</v>
      </c>
      <c r="E151" s="68">
        <v>47188.4</v>
      </c>
      <c r="F151" s="68">
        <v>41324.5</v>
      </c>
      <c r="G151" s="68">
        <v>24794.7</v>
      </c>
      <c r="H151" s="68">
        <v>16529.8</v>
      </c>
      <c r="I151" s="68">
        <v>83133</v>
      </c>
      <c r="J151" s="68">
        <v>0</v>
      </c>
    </row>
    <row r="152" spans="1:10">
      <c r="A152" s="61" t="s">
        <v>229</v>
      </c>
      <c r="B152" s="68">
        <v>9922</v>
      </c>
      <c r="C152" s="68">
        <v>0</v>
      </c>
      <c r="D152" s="68">
        <v>5953.2</v>
      </c>
      <c r="E152" s="68">
        <v>3968.8</v>
      </c>
      <c r="F152" s="68">
        <v>2480.5</v>
      </c>
      <c r="G152" s="68">
        <v>1488.3</v>
      </c>
      <c r="H152" s="68">
        <v>992.2</v>
      </c>
      <c r="I152" s="68">
        <v>4961</v>
      </c>
      <c r="J152" s="68">
        <v>0</v>
      </c>
    </row>
    <row r="153" spans="1:10">
      <c r="A153" s="61" t="s">
        <v>127</v>
      </c>
      <c r="B153" s="68">
        <v>71000</v>
      </c>
      <c r="C153" s="68">
        <v>0</v>
      </c>
      <c r="D153" s="68">
        <v>21000</v>
      </c>
      <c r="E153" s="68">
        <v>14000</v>
      </c>
      <c r="F153" s="68">
        <v>17500</v>
      </c>
      <c r="G153" s="68">
        <v>10500</v>
      </c>
      <c r="H153" s="68">
        <v>7000</v>
      </c>
      <c r="I153" s="68">
        <v>32000</v>
      </c>
      <c r="J153" s="68">
        <v>0</v>
      </c>
    </row>
    <row r="154" spans="1:10">
      <c r="A154" s="61" t="s">
        <v>128</v>
      </c>
      <c r="B154" s="68">
        <v>700</v>
      </c>
      <c r="C154" s="68">
        <v>0</v>
      </c>
      <c r="D154" s="68">
        <v>200</v>
      </c>
      <c r="E154" s="68">
        <v>0</v>
      </c>
      <c r="F154" s="68">
        <v>800</v>
      </c>
      <c r="G154" s="68">
        <v>480</v>
      </c>
      <c r="H154" s="68">
        <v>320</v>
      </c>
      <c r="I154" s="68">
        <v>5000</v>
      </c>
      <c r="J154" s="68">
        <v>0</v>
      </c>
    </row>
    <row r="155" spans="1:10">
      <c r="A155" s="60"/>
      <c r="B155" s="68"/>
      <c r="C155" s="68"/>
      <c r="D155" s="68"/>
      <c r="E155" s="68"/>
      <c r="F155" s="68"/>
      <c r="G155" s="68"/>
      <c r="H155" s="68"/>
      <c r="I155" s="69"/>
      <c r="J155" s="69"/>
    </row>
    <row r="156" spans="1:10" ht="17.25">
      <c r="A156" s="71" t="s">
        <v>129</v>
      </c>
      <c r="B156" s="67">
        <f>+B157+B164+B172+B178+B182+B187+B193+B205+B209+B214</f>
        <v>794731.85537500004</v>
      </c>
      <c r="C156" s="67">
        <f t="shared" ref="C156:J156" si="28">+C157+C164+C172+C178+C182+C187+C193+C205+C209+C214</f>
        <v>0</v>
      </c>
      <c r="D156" s="67">
        <f t="shared" si="28"/>
        <v>1015779.6332</v>
      </c>
      <c r="E156" s="67">
        <f t="shared" si="28"/>
        <v>417029.06880000001</v>
      </c>
      <c r="F156" s="67">
        <f t="shared" si="28"/>
        <v>719008.61100000003</v>
      </c>
      <c r="G156" s="67">
        <f t="shared" si="28"/>
        <v>388661.98060000001</v>
      </c>
      <c r="H156" s="67">
        <f t="shared" si="28"/>
        <v>179332.58040000001</v>
      </c>
      <c r="I156" s="67">
        <f t="shared" si="28"/>
        <v>650845.17000000004</v>
      </c>
      <c r="J156" s="67">
        <f t="shared" si="28"/>
        <v>348328</v>
      </c>
    </row>
    <row r="157" spans="1:10">
      <c r="A157" s="72" t="s">
        <v>130</v>
      </c>
      <c r="B157" s="67">
        <f>+SUM(B158:B162)</f>
        <v>51155.7</v>
      </c>
      <c r="C157" s="67">
        <f t="shared" ref="C157:J157" si="29">+SUM(C158:C162)</f>
        <v>0</v>
      </c>
      <c r="D157" s="67">
        <f t="shared" si="29"/>
        <v>204470.81</v>
      </c>
      <c r="E157" s="67">
        <f t="shared" si="29"/>
        <v>514.55999999999995</v>
      </c>
      <c r="F157" s="67">
        <f t="shared" si="29"/>
        <v>343868.7</v>
      </c>
      <c r="G157" s="67">
        <f t="shared" si="29"/>
        <v>60241.9</v>
      </c>
      <c r="H157" s="67">
        <f t="shared" si="29"/>
        <v>19219.480000000003</v>
      </c>
      <c r="I157" s="67">
        <f t="shared" si="29"/>
        <v>17826.7</v>
      </c>
      <c r="J157" s="67">
        <f t="shared" si="29"/>
        <v>0</v>
      </c>
    </row>
    <row r="158" spans="1:10">
      <c r="A158" s="61" t="s">
        <v>131</v>
      </c>
      <c r="B158" s="68">
        <v>0</v>
      </c>
      <c r="C158" s="68">
        <v>0</v>
      </c>
      <c r="D158" s="68">
        <v>0</v>
      </c>
      <c r="E158" s="68">
        <v>0</v>
      </c>
      <c r="F158" s="68">
        <v>295000</v>
      </c>
      <c r="G158" s="68">
        <v>0</v>
      </c>
      <c r="H158" s="68">
        <v>0</v>
      </c>
      <c r="I158" s="68">
        <v>0</v>
      </c>
      <c r="J158" s="68">
        <v>0</v>
      </c>
    </row>
    <row r="159" spans="1:10">
      <c r="A159" s="61" t="s">
        <v>132</v>
      </c>
      <c r="B159" s="68">
        <v>2200</v>
      </c>
      <c r="C159" s="68">
        <v>0</v>
      </c>
      <c r="D159" s="68">
        <v>4600</v>
      </c>
      <c r="E159" s="68">
        <v>0</v>
      </c>
      <c r="F159" s="68">
        <v>0</v>
      </c>
      <c r="G159" s="68">
        <v>1440.68</v>
      </c>
      <c r="H159" s="68">
        <v>1400</v>
      </c>
      <c r="I159" s="68">
        <v>0</v>
      </c>
      <c r="J159" s="68">
        <v>0</v>
      </c>
    </row>
    <row r="160" spans="1:10">
      <c r="A160" s="61" t="s">
        <v>133</v>
      </c>
      <c r="B160" s="68">
        <v>847</v>
      </c>
      <c r="C160" s="68">
        <v>0</v>
      </c>
      <c r="D160" s="68">
        <v>681</v>
      </c>
      <c r="E160" s="68">
        <v>0</v>
      </c>
      <c r="F160" s="68">
        <v>340.5</v>
      </c>
      <c r="G160" s="68">
        <v>204.29999999999998</v>
      </c>
      <c r="H160" s="68">
        <v>136.20000000000002</v>
      </c>
      <c r="I160" s="68">
        <v>0</v>
      </c>
      <c r="J160" s="68">
        <v>0</v>
      </c>
    </row>
    <row r="161" spans="1:10">
      <c r="A161" s="61" t="s">
        <v>134</v>
      </c>
      <c r="B161" s="68">
        <v>17163.2</v>
      </c>
      <c r="C161" s="68">
        <v>0</v>
      </c>
      <c r="D161" s="68">
        <v>53341.78</v>
      </c>
      <c r="E161" s="68">
        <v>514.55999999999995</v>
      </c>
      <c r="F161" s="68">
        <v>19637.2</v>
      </c>
      <c r="G161" s="68">
        <v>41424.32</v>
      </c>
      <c r="H161" s="68">
        <v>7854.88</v>
      </c>
      <c r="I161" s="68">
        <v>16126.7</v>
      </c>
      <c r="J161" s="68">
        <v>0</v>
      </c>
    </row>
    <row r="162" spans="1:10">
      <c r="A162" s="61" t="s">
        <v>135</v>
      </c>
      <c r="B162" s="68">
        <v>30945.5</v>
      </c>
      <c r="C162" s="68">
        <v>0</v>
      </c>
      <c r="D162" s="68">
        <v>145848.03</v>
      </c>
      <c r="E162" s="68">
        <v>0</v>
      </c>
      <c r="F162" s="68">
        <v>28891</v>
      </c>
      <c r="G162" s="68">
        <v>17172.599999999999</v>
      </c>
      <c r="H162" s="68">
        <v>9828.4000000000015</v>
      </c>
      <c r="I162" s="68">
        <v>1700</v>
      </c>
      <c r="J162" s="68">
        <v>0</v>
      </c>
    </row>
    <row r="163" spans="1:10">
      <c r="A163" s="60"/>
      <c r="B163" s="68"/>
      <c r="C163" s="68"/>
      <c r="D163" s="68"/>
      <c r="E163" s="68"/>
      <c r="F163" s="68"/>
      <c r="G163" s="68"/>
      <c r="H163" s="68"/>
      <c r="I163" s="69"/>
      <c r="J163" s="69"/>
    </row>
    <row r="164" spans="1:10">
      <c r="A164" s="72" t="s">
        <v>136</v>
      </c>
      <c r="B164" s="67">
        <f>+SUM(B165:B171)</f>
        <v>29156.010000000002</v>
      </c>
      <c r="C164" s="67">
        <f t="shared" ref="C164:J164" si="30">+SUM(C165:C171)</f>
        <v>0</v>
      </c>
      <c r="D164" s="67">
        <f t="shared" si="30"/>
        <v>116923.33399999999</v>
      </c>
      <c r="E164" s="67">
        <f t="shared" si="30"/>
        <v>6229.8960000000006</v>
      </c>
      <c r="F164" s="67">
        <f t="shared" si="30"/>
        <v>0</v>
      </c>
      <c r="G164" s="67">
        <f t="shared" si="30"/>
        <v>69463.810000000012</v>
      </c>
      <c r="H164" s="67">
        <f t="shared" si="30"/>
        <v>0</v>
      </c>
      <c r="I164" s="67">
        <f t="shared" si="30"/>
        <v>2000</v>
      </c>
      <c r="J164" s="67">
        <f t="shared" si="30"/>
        <v>0</v>
      </c>
    </row>
    <row r="165" spans="1:10">
      <c r="A165" s="61" t="s">
        <v>137</v>
      </c>
      <c r="B165" s="68">
        <v>12000</v>
      </c>
      <c r="C165" s="68">
        <v>0</v>
      </c>
      <c r="D165" s="68">
        <v>10363.114</v>
      </c>
      <c r="E165" s="68">
        <v>6229.8960000000006</v>
      </c>
      <c r="F165" s="68">
        <v>0</v>
      </c>
      <c r="G165" s="68">
        <v>1492.63</v>
      </c>
      <c r="H165" s="68">
        <v>0</v>
      </c>
      <c r="I165" s="68">
        <v>0</v>
      </c>
      <c r="J165" s="68">
        <v>0</v>
      </c>
    </row>
    <row r="166" spans="1:10">
      <c r="A166" s="61" t="s">
        <v>138</v>
      </c>
      <c r="B166" s="68">
        <v>0</v>
      </c>
      <c r="C166" s="68">
        <v>0</v>
      </c>
      <c r="D166" s="68">
        <v>100296.59999999999</v>
      </c>
      <c r="E166" s="68">
        <v>0</v>
      </c>
      <c r="F166" s="68">
        <v>0</v>
      </c>
      <c r="G166" s="68">
        <v>66864.400000000009</v>
      </c>
      <c r="H166" s="68">
        <v>0</v>
      </c>
      <c r="I166" s="68">
        <v>2000</v>
      </c>
      <c r="J166" s="68">
        <v>0</v>
      </c>
    </row>
    <row r="167" spans="1:10">
      <c r="A167" s="61" t="s">
        <v>139</v>
      </c>
      <c r="B167" s="68">
        <v>0</v>
      </c>
      <c r="C167" s="68">
        <v>0</v>
      </c>
      <c r="D167" s="68">
        <v>0</v>
      </c>
      <c r="E167" s="68">
        <v>0</v>
      </c>
      <c r="F167" s="68">
        <v>0</v>
      </c>
      <c r="G167" s="68">
        <v>0</v>
      </c>
      <c r="H167" s="68">
        <v>0</v>
      </c>
      <c r="I167" s="68">
        <v>0</v>
      </c>
      <c r="J167" s="68">
        <v>0</v>
      </c>
    </row>
    <row r="168" spans="1:10">
      <c r="A168" s="61" t="s">
        <v>140</v>
      </c>
      <c r="B168" s="68">
        <v>0</v>
      </c>
      <c r="C168" s="68">
        <v>0</v>
      </c>
      <c r="D168" s="68">
        <v>6263.62</v>
      </c>
      <c r="E168" s="68">
        <v>0</v>
      </c>
      <c r="F168" s="68">
        <v>0</v>
      </c>
      <c r="G168" s="68">
        <v>536.78</v>
      </c>
      <c r="H168" s="68">
        <v>0</v>
      </c>
      <c r="I168" s="68">
        <v>0</v>
      </c>
      <c r="J168" s="68">
        <v>0</v>
      </c>
    </row>
    <row r="169" spans="1:10">
      <c r="A169" s="61" t="s">
        <v>141</v>
      </c>
      <c r="B169" s="68">
        <v>13156.01</v>
      </c>
      <c r="C169" s="68">
        <v>0</v>
      </c>
      <c r="D169" s="68">
        <v>0</v>
      </c>
      <c r="E169" s="68">
        <v>0</v>
      </c>
      <c r="F169" s="68">
        <v>0</v>
      </c>
      <c r="G169" s="68">
        <v>0</v>
      </c>
      <c r="H169" s="68">
        <v>0</v>
      </c>
      <c r="I169" s="68">
        <v>0</v>
      </c>
      <c r="J169" s="68">
        <v>0</v>
      </c>
    </row>
    <row r="170" spans="1:10">
      <c r="A170" s="61" t="s">
        <v>142</v>
      </c>
      <c r="B170" s="68">
        <v>4000</v>
      </c>
      <c r="C170" s="68">
        <v>0</v>
      </c>
      <c r="D170" s="68">
        <v>0</v>
      </c>
      <c r="E170" s="68">
        <v>0</v>
      </c>
      <c r="F170" s="68">
        <v>0</v>
      </c>
      <c r="G170" s="68">
        <v>570</v>
      </c>
      <c r="H170" s="68">
        <v>0</v>
      </c>
      <c r="I170" s="68">
        <v>0</v>
      </c>
      <c r="J170" s="68">
        <v>0</v>
      </c>
    </row>
    <row r="171" spans="1:10">
      <c r="A171" s="61" t="s">
        <v>143</v>
      </c>
      <c r="B171" s="68">
        <v>0</v>
      </c>
      <c r="C171" s="68">
        <v>0</v>
      </c>
      <c r="D171" s="68">
        <v>0</v>
      </c>
      <c r="E171" s="68">
        <v>0</v>
      </c>
      <c r="F171" s="68">
        <v>0</v>
      </c>
      <c r="G171" s="68">
        <v>0</v>
      </c>
      <c r="H171" s="68">
        <v>0</v>
      </c>
      <c r="I171" s="68">
        <v>0</v>
      </c>
      <c r="J171" s="68">
        <v>0</v>
      </c>
    </row>
    <row r="172" spans="1:10">
      <c r="A172" s="72" t="s">
        <v>144</v>
      </c>
      <c r="B172" s="67">
        <f>+SUM(B173:B177)</f>
        <v>57518.220000000016</v>
      </c>
      <c r="C172" s="67">
        <f t="shared" ref="C172:J172" si="31">+SUM(C173:C177)</f>
        <v>0</v>
      </c>
      <c r="D172" s="67">
        <f t="shared" si="31"/>
        <v>129191.48</v>
      </c>
      <c r="E172" s="67">
        <f t="shared" si="31"/>
        <v>85340.32</v>
      </c>
      <c r="F172" s="67">
        <f t="shared" si="31"/>
        <v>20440.900000000001</v>
      </c>
      <c r="G172" s="67">
        <f t="shared" si="31"/>
        <v>74322.539999999994</v>
      </c>
      <c r="H172" s="67">
        <f t="shared" si="31"/>
        <v>49548.36</v>
      </c>
      <c r="I172" s="67">
        <f t="shared" si="31"/>
        <v>55000</v>
      </c>
      <c r="J172" s="67">
        <f t="shared" si="31"/>
        <v>0</v>
      </c>
    </row>
    <row r="173" spans="1:10">
      <c r="A173" s="61" t="s">
        <v>145</v>
      </c>
      <c r="B173" s="68">
        <v>20150</v>
      </c>
      <c r="C173" s="68">
        <v>0</v>
      </c>
      <c r="D173" s="68">
        <v>32700</v>
      </c>
      <c r="E173" s="68">
        <v>21800</v>
      </c>
      <c r="F173" s="68">
        <v>18000</v>
      </c>
      <c r="G173" s="68">
        <v>10800</v>
      </c>
      <c r="H173" s="68">
        <v>7200</v>
      </c>
      <c r="I173" s="68">
        <v>0</v>
      </c>
      <c r="J173" s="68">
        <v>0</v>
      </c>
    </row>
    <row r="174" spans="1:10">
      <c r="A174" s="61" t="s">
        <v>146</v>
      </c>
      <c r="B174" s="68">
        <v>0</v>
      </c>
      <c r="C174" s="68">
        <v>0</v>
      </c>
      <c r="D174" s="68">
        <v>0</v>
      </c>
      <c r="E174" s="68">
        <v>0</v>
      </c>
      <c r="F174" s="68">
        <v>0</v>
      </c>
      <c r="G174" s="68">
        <v>0</v>
      </c>
      <c r="H174" s="68">
        <v>0</v>
      </c>
      <c r="I174" s="68">
        <v>0</v>
      </c>
      <c r="J174" s="68">
        <v>0</v>
      </c>
    </row>
    <row r="175" spans="1:10">
      <c r="A175" s="61" t="s">
        <v>230</v>
      </c>
      <c r="B175" s="68">
        <v>0</v>
      </c>
      <c r="C175" s="68">
        <v>0</v>
      </c>
      <c r="D175" s="68">
        <v>86400</v>
      </c>
      <c r="E175" s="68">
        <v>57600</v>
      </c>
      <c r="F175" s="68">
        <v>0</v>
      </c>
      <c r="G175" s="68">
        <v>57600</v>
      </c>
      <c r="H175" s="68">
        <v>38400</v>
      </c>
      <c r="I175" s="68">
        <v>50000</v>
      </c>
      <c r="J175" s="68">
        <v>0</v>
      </c>
    </row>
    <row r="176" spans="1:10">
      <c r="A176" s="61" t="s">
        <v>231</v>
      </c>
      <c r="B176" s="68">
        <v>0</v>
      </c>
      <c r="C176" s="68">
        <v>0</v>
      </c>
      <c r="D176" s="68">
        <v>6690</v>
      </c>
      <c r="E176" s="68">
        <v>4460</v>
      </c>
      <c r="F176" s="68">
        <v>0</v>
      </c>
      <c r="G176" s="68">
        <v>4458</v>
      </c>
      <c r="H176" s="68">
        <v>2972</v>
      </c>
      <c r="I176" s="68">
        <v>5000</v>
      </c>
      <c r="J176" s="68">
        <v>0</v>
      </c>
    </row>
    <row r="177" spans="1:10">
      <c r="A177" s="61" t="s">
        <v>232</v>
      </c>
      <c r="B177" s="68">
        <v>37368.220000000016</v>
      </c>
      <c r="C177" s="68">
        <v>0</v>
      </c>
      <c r="D177" s="68">
        <v>3401.4799999999959</v>
      </c>
      <c r="E177" s="68">
        <v>1480.32</v>
      </c>
      <c r="F177" s="68">
        <v>2440.9</v>
      </c>
      <c r="G177" s="68">
        <v>1464.54</v>
      </c>
      <c r="H177" s="68">
        <v>976.36</v>
      </c>
      <c r="I177" s="68">
        <v>0</v>
      </c>
      <c r="J177" s="68">
        <v>0</v>
      </c>
    </row>
    <row r="178" spans="1:10">
      <c r="A178" s="72" t="s">
        <v>147</v>
      </c>
      <c r="B178" s="67">
        <f>+SUM(B179:B181)</f>
        <v>193243</v>
      </c>
      <c r="C178" s="67">
        <f t="shared" ref="C178:J178" si="32">+SUM(C179:C181)</f>
        <v>0</v>
      </c>
      <c r="D178" s="67">
        <f t="shared" si="32"/>
        <v>108583.77</v>
      </c>
      <c r="E178" s="67">
        <f t="shared" si="32"/>
        <v>72389.179999999993</v>
      </c>
      <c r="F178" s="67">
        <f t="shared" si="32"/>
        <v>77247.5</v>
      </c>
      <c r="G178" s="67">
        <f t="shared" si="32"/>
        <v>50419.41</v>
      </c>
      <c r="H178" s="67">
        <f t="shared" si="32"/>
        <v>25741</v>
      </c>
      <c r="I178" s="67">
        <f t="shared" si="32"/>
        <v>237619.8</v>
      </c>
      <c r="J178" s="67">
        <f t="shared" si="32"/>
        <v>158413.20000000001</v>
      </c>
    </row>
    <row r="179" spans="1:10">
      <c r="A179" s="61" t="s">
        <v>148</v>
      </c>
      <c r="B179" s="68">
        <v>175779</v>
      </c>
      <c r="C179" s="68">
        <v>0</v>
      </c>
      <c r="D179" s="68">
        <v>100218</v>
      </c>
      <c r="E179" s="68">
        <v>66812</v>
      </c>
      <c r="F179" s="68">
        <v>65347.5</v>
      </c>
      <c r="G179" s="68">
        <v>31471.5</v>
      </c>
      <c r="H179" s="68">
        <v>20981</v>
      </c>
      <c r="I179" s="68">
        <v>19969.8</v>
      </c>
      <c r="J179" s="68">
        <v>13313.199999999999</v>
      </c>
    </row>
    <row r="180" spans="1:10">
      <c r="A180" s="61" t="s">
        <v>149</v>
      </c>
      <c r="B180" s="68">
        <v>17464</v>
      </c>
      <c r="C180" s="68">
        <v>0</v>
      </c>
      <c r="D180" s="68">
        <v>8365.77</v>
      </c>
      <c r="E180" s="68">
        <v>5577.18</v>
      </c>
      <c r="F180" s="68">
        <v>0</v>
      </c>
      <c r="G180" s="68">
        <v>11807.91</v>
      </c>
      <c r="H180" s="68">
        <v>0</v>
      </c>
      <c r="I180" s="68">
        <v>217650</v>
      </c>
      <c r="J180" s="68">
        <v>145100</v>
      </c>
    </row>
    <row r="181" spans="1:10">
      <c r="A181" s="61" t="s">
        <v>150</v>
      </c>
      <c r="B181" s="68">
        <v>0</v>
      </c>
      <c r="C181" s="68">
        <v>0</v>
      </c>
      <c r="D181" s="68">
        <v>0</v>
      </c>
      <c r="E181" s="68">
        <v>0</v>
      </c>
      <c r="F181" s="68">
        <v>11900</v>
      </c>
      <c r="G181" s="68">
        <v>7140</v>
      </c>
      <c r="H181" s="68">
        <v>4760</v>
      </c>
      <c r="I181" s="68">
        <v>0</v>
      </c>
      <c r="J181" s="68">
        <v>0</v>
      </c>
    </row>
    <row r="182" spans="1:10">
      <c r="A182" s="72" t="s">
        <v>151</v>
      </c>
      <c r="B182" s="67">
        <f>+SUM(B183:B186)</f>
        <v>51798</v>
      </c>
      <c r="C182" s="67">
        <f t="shared" ref="C182:J182" si="33">+SUM(C183:C186)</f>
        <v>0</v>
      </c>
      <c r="D182" s="67">
        <f t="shared" si="33"/>
        <v>43783.899999999994</v>
      </c>
      <c r="E182" s="67">
        <f t="shared" si="33"/>
        <v>15276.6</v>
      </c>
      <c r="F182" s="67">
        <f t="shared" si="33"/>
        <v>19495.25</v>
      </c>
      <c r="G182" s="67">
        <f t="shared" si="33"/>
        <v>11697.149999999998</v>
      </c>
      <c r="H182" s="67">
        <f t="shared" si="33"/>
        <v>7798.1</v>
      </c>
      <c r="I182" s="67">
        <f t="shared" si="33"/>
        <v>659</v>
      </c>
      <c r="J182" s="67">
        <f t="shared" si="33"/>
        <v>0</v>
      </c>
    </row>
    <row r="183" spans="1:10">
      <c r="A183" s="61" t="s">
        <v>152</v>
      </c>
      <c r="B183" s="68">
        <v>2030.4</v>
      </c>
      <c r="C183" s="68">
        <v>0</v>
      </c>
      <c r="D183" s="68">
        <v>913.68</v>
      </c>
      <c r="E183" s="68">
        <v>609.12</v>
      </c>
      <c r="F183" s="68">
        <v>761.4</v>
      </c>
      <c r="G183" s="68">
        <v>456.84</v>
      </c>
      <c r="H183" s="68">
        <v>304.56</v>
      </c>
      <c r="I183" s="68">
        <v>0</v>
      </c>
      <c r="J183" s="68">
        <v>0</v>
      </c>
    </row>
    <row r="184" spans="1:10">
      <c r="A184" s="61" t="s">
        <v>153</v>
      </c>
      <c r="B184" s="68">
        <v>26709.200000000001</v>
      </c>
      <c r="C184" s="68">
        <v>0</v>
      </c>
      <c r="D184" s="68">
        <v>32493.94</v>
      </c>
      <c r="E184" s="68">
        <v>7749.9599999999991</v>
      </c>
      <c r="F184" s="68">
        <v>10086.949999999999</v>
      </c>
      <c r="G184" s="68">
        <v>6052.1699999999992</v>
      </c>
      <c r="H184" s="68">
        <v>4034.7799999999997</v>
      </c>
      <c r="I184" s="68">
        <v>659</v>
      </c>
      <c r="J184" s="68">
        <v>0</v>
      </c>
    </row>
    <row r="185" spans="1:10">
      <c r="A185" s="61" t="s">
        <v>154</v>
      </c>
      <c r="B185" s="68">
        <v>23058.400000000001</v>
      </c>
      <c r="C185" s="68">
        <v>0</v>
      </c>
      <c r="D185" s="68">
        <v>10376.279999999999</v>
      </c>
      <c r="E185" s="68">
        <v>6917.52</v>
      </c>
      <c r="F185" s="68">
        <v>8646.9</v>
      </c>
      <c r="G185" s="68">
        <v>5188.1399999999994</v>
      </c>
      <c r="H185" s="68">
        <v>3458.76</v>
      </c>
      <c r="I185" s="68">
        <v>0</v>
      </c>
      <c r="J185" s="68">
        <v>0</v>
      </c>
    </row>
    <row r="186" spans="1:10">
      <c r="A186" s="61" t="s">
        <v>155</v>
      </c>
      <c r="B186" s="68">
        <v>0</v>
      </c>
      <c r="C186" s="68">
        <v>0</v>
      </c>
      <c r="D186" s="68">
        <v>0</v>
      </c>
      <c r="E186" s="68">
        <v>0</v>
      </c>
      <c r="F186" s="68">
        <v>0</v>
      </c>
      <c r="G186" s="68">
        <v>0</v>
      </c>
      <c r="H186" s="68">
        <v>0</v>
      </c>
      <c r="I186" s="68">
        <v>0</v>
      </c>
      <c r="J186" s="68">
        <v>0</v>
      </c>
    </row>
    <row r="187" spans="1:10">
      <c r="A187" s="72" t="s">
        <v>156</v>
      </c>
      <c r="B187" s="67">
        <f>+SUM(B188:B192)</f>
        <v>26666.000000000004</v>
      </c>
      <c r="C187" s="67">
        <f t="shared" ref="C187:J187" si="34">+SUM(C188:C192)</f>
        <v>0</v>
      </c>
      <c r="D187" s="67">
        <f t="shared" si="34"/>
        <v>5249.6999999999989</v>
      </c>
      <c r="E187" s="67">
        <f t="shared" si="34"/>
        <v>3499.8</v>
      </c>
      <c r="F187" s="67">
        <f t="shared" si="34"/>
        <v>4374.75</v>
      </c>
      <c r="G187" s="67">
        <f t="shared" si="34"/>
        <v>2624.8499999999995</v>
      </c>
      <c r="H187" s="67">
        <f t="shared" si="34"/>
        <v>1749.9</v>
      </c>
      <c r="I187" s="67">
        <f t="shared" si="34"/>
        <v>1874.9999999999995</v>
      </c>
      <c r="J187" s="67">
        <f t="shared" si="34"/>
        <v>1250</v>
      </c>
    </row>
    <row r="188" spans="1:10">
      <c r="A188" s="61" t="s">
        <v>157</v>
      </c>
      <c r="B188" s="68">
        <v>8332.8000000000011</v>
      </c>
      <c r="C188" s="68">
        <v>0</v>
      </c>
      <c r="D188" s="68">
        <v>3749.7599999999993</v>
      </c>
      <c r="E188" s="68">
        <v>2499.84</v>
      </c>
      <c r="F188" s="68">
        <v>3124.7999999999997</v>
      </c>
      <c r="G188" s="68">
        <v>1874.8799999999997</v>
      </c>
      <c r="H188" s="68">
        <v>1249.92</v>
      </c>
      <c r="I188" s="68">
        <v>1874.9999999999995</v>
      </c>
      <c r="J188" s="68">
        <v>1250</v>
      </c>
    </row>
    <row r="189" spans="1:10">
      <c r="A189" s="61" t="s">
        <v>158</v>
      </c>
      <c r="B189" s="68">
        <v>15000</v>
      </c>
      <c r="C189" s="68">
        <v>0</v>
      </c>
      <c r="D189" s="68">
        <v>0</v>
      </c>
      <c r="E189" s="68">
        <v>0</v>
      </c>
      <c r="F189" s="68">
        <v>0</v>
      </c>
      <c r="G189" s="68">
        <v>0</v>
      </c>
      <c r="H189" s="68">
        <v>0</v>
      </c>
      <c r="I189" s="68">
        <v>0</v>
      </c>
      <c r="J189" s="68">
        <v>0</v>
      </c>
    </row>
    <row r="190" spans="1:10">
      <c r="A190" s="61" t="s">
        <v>159</v>
      </c>
      <c r="B190" s="68">
        <v>0</v>
      </c>
      <c r="C190" s="68">
        <v>0</v>
      </c>
      <c r="D190" s="68">
        <v>0</v>
      </c>
      <c r="E190" s="68">
        <v>0</v>
      </c>
      <c r="F190" s="68">
        <v>0</v>
      </c>
      <c r="G190" s="68">
        <v>0</v>
      </c>
      <c r="H190" s="68">
        <v>0</v>
      </c>
      <c r="I190" s="68">
        <v>0</v>
      </c>
      <c r="J190" s="68">
        <v>0</v>
      </c>
    </row>
    <row r="191" spans="1:10">
      <c r="A191" s="61" t="s">
        <v>160</v>
      </c>
      <c r="B191" s="68">
        <v>3333.2000000000003</v>
      </c>
      <c r="C191" s="68">
        <v>0</v>
      </c>
      <c r="D191" s="68">
        <v>1499.94</v>
      </c>
      <c r="E191" s="68">
        <v>999.96</v>
      </c>
      <c r="F191" s="68">
        <v>1249.95</v>
      </c>
      <c r="G191" s="68">
        <v>749.97</v>
      </c>
      <c r="H191" s="68">
        <v>499.98</v>
      </c>
      <c r="I191" s="69">
        <v>0</v>
      </c>
      <c r="J191" s="69">
        <v>0</v>
      </c>
    </row>
    <row r="192" spans="1:10">
      <c r="A192" s="61" t="s">
        <v>161</v>
      </c>
      <c r="B192" s="68">
        <v>0</v>
      </c>
      <c r="C192" s="68">
        <v>0</v>
      </c>
      <c r="D192" s="68">
        <v>0</v>
      </c>
      <c r="E192" s="68">
        <v>0</v>
      </c>
      <c r="F192" s="68">
        <v>0</v>
      </c>
      <c r="G192" s="68">
        <v>0</v>
      </c>
      <c r="H192" s="68">
        <v>0</v>
      </c>
      <c r="I192" s="68">
        <v>0</v>
      </c>
      <c r="J192" s="68">
        <v>0</v>
      </c>
    </row>
    <row r="193" spans="1:10">
      <c r="A193" s="72" t="s">
        <v>162</v>
      </c>
      <c r="B193" s="67">
        <f>+SUM(B194:B204)</f>
        <v>57273.666000000005</v>
      </c>
      <c r="C193" s="67">
        <f t="shared" ref="C193:J193" si="35">+SUM(C194:C204)</f>
        <v>0</v>
      </c>
      <c r="D193" s="67">
        <f t="shared" si="35"/>
        <v>77799.819200000013</v>
      </c>
      <c r="E193" s="67">
        <f t="shared" si="35"/>
        <v>6857.2328000000007</v>
      </c>
      <c r="F193" s="67">
        <f t="shared" si="35"/>
        <v>33762.461000000003</v>
      </c>
      <c r="G193" s="67">
        <f t="shared" si="35"/>
        <v>19727.610599999996</v>
      </c>
      <c r="H193" s="67">
        <f t="shared" si="35"/>
        <v>14156.2004</v>
      </c>
      <c r="I193" s="67">
        <f t="shared" si="35"/>
        <v>56427.270000000004</v>
      </c>
      <c r="J193" s="67">
        <f t="shared" si="35"/>
        <v>4695.2000000000025</v>
      </c>
    </row>
    <row r="194" spans="1:10">
      <c r="A194" s="61" t="s">
        <v>163</v>
      </c>
      <c r="B194" s="68">
        <v>11883</v>
      </c>
      <c r="C194" s="68">
        <v>0</v>
      </c>
      <c r="D194" s="68">
        <v>27807</v>
      </c>
      <c r="E194" s="68">
        <v>0</v>
      </c>
      <c r="F194" s="68">
        <v>6189</v>
      </c>
      <c r="G194" s="68">
        <v>3713.3999999999996</v>
      </c>
      <c r="H194" s="68">
        <v>2475.6000000000004</v>
      </c>
      <c r="I194" s="68">
        <v>7042.8</v>
      </c>
      <c r="J194" s="68">
        <v>4695.2000000000025</v>
      </c>
    </row>
    <row r="195" spans="1:10">
      <c r="A195" s="61" t="s">
        <v>164</v>
      </c>
      <c r="B195" s="68">
        <v>2606</v>
      </c>
      <c r="C195" s="68">
        <v>0</v>
      </c>
      <c r="D195" s="68">
        <v>1172.7</v>
      </c>
      <c r="E195" s="68">
        <v>781.8</v>
      </c>
      <c r="F195" s="68">
        <v>977.25</v>
      </c>
      <c r="G195" s="68">
        <v>586.35</v>
      </c>
      <c r="H195" s="68">
        <v>390.9</v>
      </c>
      <c r="I195" s="68">
        <v>230</v>
      </c>
      <c r="J195" s="68">
        <v>0</v>
      </c>
    </row>
    <row r="196" spans="1:10">
      <c r="A196" s="61" t="s">
        <v>233</v>
      </c>
      <c r="B196" s="68">
        <v>0</v>
      </c>
      <c r="C196" s="68">
        <v>0</v>
      </c>
      <c r="D196" s="68">
        <v>0</v>
      </c>
      <c r="E196" s="68">
        <v>0</v>
      </c>
      <c r="F196" s="68">
        <v>1375</v>
      </c>
      <c r="G196" s="68">
        <v>825</v>
      </c>
      <c r="H196" s="68">
        <v>550</v>
      </c>
      <c r="I196" s="68">
        <v>2167</v>
      </c>
      <c r="J196" s="68">
        <v>0</v>
      </c>
    </row>
    <row r="197" spans="1:10">
      <c r="A197" s="61" t="s">
        <v>165</v>
      </c>
      <c r="B197" s="68">
        <v>0</v>
      </c>
      <c r="C197" s="68">
        <v>0</v>
      </c>
      <c r="D197" s="68">
        <v>0</v>
      </c>
      <c r="E197" s="68">
        <v>0</v>
      </c>
      <c r="F197" s="68">
        <v>0</v>
      </c>
      <c r="G197" s="68">
        <v>0</v>
      </c>
      <c r="H197" s="68">
        <v>0</v>
      </c>
      <c r="I197" s="68">
        <v>0</v>
      </c>
      <c r="J197" s="68">
        <v>0</v>
      </c>
    </row>
    <row r="198" spans="1:10">
      <c r="A198" s="61" t="s">
        <v>166</v>
      </c>
      <c r="B198" s="68">
        <v>33526.33</v>
      </c>
      <c r="C198" s="68">
        <v>0</v>
      </c>
      <c r="D198" s="68">
        <v>9104.232</v>
      </c>
      <c r="E198" s="68">
        <v>1584.4880000000001</v>
      </c>
      <c r="F198" s="68">
        <v>12827.234999999999</v>
      </c>
      <c r="G198" s="68">
        <v>3098.165</v>
      </c>
      <c r="H198" s="68">
        <v>7522.1100000000006</v>
      </c>
      <c r="I198" s="68">
        <v>35796.199999999997</v>
      </c>
      <c r="J198" s="68">
        <v>0</v>
      </c>
    </row>
    <row r="199" spans="1:10">
      <c r="A199" s="61" t="s">
        <v>167</v>
      </c>
      <c r="B199" s="68">
        <v>6251.11</v>
      </c>
      <c r="C199" s="68">
        <v>0</v>
      </c>
      <c r="D199" s="68">
        <v>26647.38</v>
      </c>
      <c r="E199" s="68">
        <v>4500</v>
      </c>
      <c r="F199" s="68">
        <v>10675.16</v>
      </c>
      <c r="G199" s="68">
        <v>7443.405999999999</v>
      </c>
      <c r="H199" s="68">
        <v>2530.0640000000003</v>
      </c>
      <c r="I199" s="68">
        <v>9991.27</v>
      </c>
      <c r="J199" s="68">
        <v>0</v>
      </c>
    </row>
    <row r="200" spans="1:10">
      <c r="A200" s="61" t="s">
        <v>168</v>
      </c>
      <c r="B200" s="68">
        <v>1587.41</v>
      </c>
      <c r="C200" s="68">
        <v>0</v>
      </c>
      <c r="D200" s="68">
        <v>7084.79</v>
      </c>
      <c r="E200" s="68">
        <v>0</v>
      </c>
      <c r="F200" s="68">
        <v>1650.135</v>
      </c>
      <c r="G200" s="68">
        <v>990.0809999999999</v>
      </c>
      <c r="H200" s="68">
        <v>660.05400000000009</v>
      </c>
      <c r="I200" s="68">
        <v>0</v>
      </c>
      <c r="J200" s="68">
        <v>0</v>
      </c>
    </row>
    <row r="201" spans="1:10">
      <c r="A201" s="61" t="s">
        <v>169</v>
      </c>
      <c r="B201" s="68">
        <v>1450</v>
      </c>
      <c r="C201" s="68">
        <v>0</v>
      </c>
      <c r="D201" s="68">
        <v>4977</v>
      </c>
      <c r="E201" s="68">
        <v>0</v>
      </c>
      <c r="F201" s="68">
        <v>80</v>
      </c>
      <c r="G201" s="68">
        <v>3078</v>
      </c>
      <c r="H201" s="68">
        <v>32</v>
      </c>
      <c r="I201" s="68">
        <v>1200</v>
      </c>
      <c r="J201" s="68">
        <v>0</v>
      </c>
    </row>
    <row r="202" spans="1:10">
      <c r="A202" s="61" t="s">
        <v>170</v>
      </c>
      <c r="B202" s="68">
        <v>0</v>
      </c>
      <c r="C202" s="68">
        <v>0</v>
      </c>
      <c r="D202" s="68">
        <v>1020.3</v>
      </c>
      <c r="E202" s="68">
        <v>0</v>
      </c>
      <c r="F202" s="68">
        <v>0</v>
      </c>
      <c r="G202" s="68">
        <v>0</v>
      </c>
      <c r="H202" s="68">
        <v>0</v>
      </c>
      <c r="I202" s="68">
        <v>0</v>
      </c>
      <c r="J202" s="68">
        <v>0</v>
      </c>
    </row>
    <row r="203" spans="1:10">
      <c r="A203" s="61" t="s">
        <v>234</v>
      </c>
      <c r="B203" s="68">
        <v>1.6879999999999999</v>
      </c>
      <c r="C203" s="68">
        <v>0</v>
      </c>
      <c r="D203" s="68">
        <v>0.75959999999999983</v>
      </c>
      <c r="E203" s="68">
        <v>0.50639999999999996</v>
      </c>
      <c r="F203" s="68">
        <v>0.6329999999999999</v>
      </c>
      <c r="G203" s="68">
        <v>0.37979999999999992</v>
      </c>
      <c r="H203" s="68">
        <v>0.25319999999999998</v>
      </c>
      <c r="I203" s="68"/>
      <c r="J203" s="68">
        <v>0</v>
      </c>
    </row>
    <row r="204" spans="1:10">
      <c r="A204" s="61" t="s">
        <v>171</v>
      </c>
      <c r="B204" s="68">
        <v>-31.872000000000003</v>
      </c>
      <c r="C204" s="68">
        <v>0</v>
      </c>
      <c r="D204" s="68">
        <v>-14.3424</v>
      </c>
      <c r="E204" s="68">
        <v>-9.5616000000000003</v>
      </c>
      <c r="F204" s="68">
        <v>-11.952</v>
      </c>
      <c r="G204" s="68">
        <v>-7.1711999999999998</v>
      </c>
      <c r="H204" s="68">
        <v>-4.7808000000000002</v>
      </c>
      <c r="I204" s="68">
        <v>0</v>
      </c>
      <c r="J204" s="68">
        <v>0</v>
      </c>
    </row>
    <row r="205" spans="1:10">
      <c r="A205" s="72" t="s">
        <v>172</v>
      </c>
      <c r="B205" s="67">
        <f>+SUM(B206:B208)</f>
        <v>154066.4</v>
      </c>
      <c r="C205" s="67">
        <f t="shared" ref="C205:J205" si="36">+SUM(C206:C208)</f>
        <v>0</v>
      </c>
      <c r="D205" s="67">
        <f t="shared" si="36"/>
        <v>137744.82</v>
      </c>
      <c r="E205" s="67">
        <f t="shared" si="36"/>
        <v>333.48</v>
      </c>
      <c r="F205" s="67">
        <f t="shared" si="36"/>
        <v>72877.05</v>
      </c>
      <c r="G205" s="67">
        <f t="shared" si="36"/>
        <v>11999.51</v>
      </c>
      <c r="H205" s="67">
        <f t="shared" si="36"/>
        <v>2342.7400000000002</v>
      </c>
      <c r="I205" s="67">
        <f t="shared" si="36"/>
        <v>12337.4</v>
      </c>
      <c r="J205" s="67">
        <f t="shared" si="36"/>
        <v>5969.6</v>
      </c>
    </row>
    <row r="206" spans="1:10">
      <c r="A206" s="61" t="s">
        <v>173</v>
      </c>
      <c r="B206" s="68">
        <v>115022</v>
      </c>
      <c r="C206" s="68">
        <v>0</v>
      </c>
      <c r="D206" s="68">
        <v>0</v>
      </c>
      <c r="E206" s="68">
        <v>0</v>
      </c>
      <c r="F206" s="68">
        <v>65378</v>
      </c>
      <c r="G206" s="68">
        <v>0</v>
      </c>
      <c r="H206" s="68">
        <v>0</v>
      </c>
      <c r="I206" s="68">
        <v>0</v>
      </c>
      <c r="J206" s="68">
        <v>0</v>
      </c>
    </row>
    <row r="207" spans="1:10">
      <c r="A207" s="61" t="s">
        <v>174</v>
      </c>
      <c r="B207" s="68">
        <v>37241</v>
      </c>
      <c r="C207" s="68">
        <v>0</v>
      </c>
      <c r="D207" s="68">
        <v>15637</v>
      </c>
      <c r="E207" s="68">
        <v>0</v>
      </c>
      <c r="F207" s="68">
        <v>3808</v>
      </c>
      <c r="G207" s="68">
        <v>2284.7999999999997</v>
      </c>
      <c r="H207" s="68">
        <v>1523.2</v>
      </c>
      <c r="I207" s="68">
        <v>8954.4</v>
      </c>
      <c r="J207" s="68">
        <v>5969.6</v>
      </c>
    </row>
    <row r="208" spans="1:10">
      <c r="A208" s="61" t="s">
        <v>235</v>
      </c>
      <c r="B208" s="68">
        <v>1803.4</v>
      </c>
      <c r="C208" s="68">
        <v>0</v>
      </c>
      <c r="D208" s="68">
        <v>122107.82</v>
      </c>
      <c r="E208" s="68">
        <v>333.48</v>
      </c>
      <c r="F208" s="68">
        <v>3691.05</v>
      </c>
      <c r="G208" s="68">
        <v>9714.7100000000009</v>
      </c>
      <c r="H208" s="68">
        <v>819.54000000000008</v>
      </c>
      <c r="I208" s="68">
        <v>3383</v>
      </c>
      <c r="J208" s="68">
        <v>0</v>
      </c>
    </row>
    <row r="209" spans="1:10">
      <c r="A209" s="72" t="s">
        <v>175</v>
      </c>
      <c r="B209" s="67">
        <f>+SUM(B210:B213)</f>
        <v>173854.85937499994</v>
      </c>
      <c r="C209" s="67">
        <f t="shared" ref="C209:J209" si="37">+SUM(C210:C213)</f>
        <v>0</v>
      </c>
      <c r="D209" s="67">
        <f t="shared" si="37"/>
        <v>189882</v>
      </c>
      <c r="E209" s="67">
        <f t="shared" si="37"/>
        <v>226588</v>
      </c>
      <c r="F209" s="67">
        <f t="shared" si="37"/>
        <v>146842</v>
      </c>
      <c r="G209" s="67">
        <f t="shared" si="37"/>
        <v>88105.2</v>
      </c>
      <c r="H209" s="67">
        <f t="shared" si="37"/>
        <v>58736.800000000003</v>
      </c>
      <c r="I209" s="67">
        <f t="shared" si="37"/>
        <v>267000</v>
      </c>
      <c r="J209" s="67">
        <f t="shared" si="37"/>
        <v>178000</v>
      </c>
    </row>
    <row r="210" spans="1:10">
      <c r="A210" s="61" t="s">
        <v>176</v>
      </c>
      <c r="B210" s="68">
        <v>0</v>
      </c>
      <c r="C210" s="68">
        <v>0</v>
      </c>
      <c r="D210" s="68">
        <v>0</v>
      </c>
      <c r="E210" s="68">
        <v>100000</v>
      </c>
      <c r="F210" s="68">
        <v>0</v>
      </c>
      <c r="G210" s="68">
        <v>0</v>
      </c>
      <c r="H210" s="68">
        <v>0</v>
      </c>
      <c r="I210" s="68">
        <v>0</v>
      </c>
      <c r="J210" s="68">
        <v>0</v>
      </c>
    </row>
    <row r="211" spans="1:10">
      <c r="A211" s="61" t="s">
        <v>177</v>
      </c>
      <c r="B211" s="68">
        <v>0</v>
      </c>
      <c r="C211" s="68">
        <v>0</v>
      </c>
      <c r="D211" s="68">
        <v>189882</v>
      </c>
      <c r="E211" s="68">
        <v>126588</v>
      </c>
      <c r="F211" s="68">
        <v>0</v>
      </c>
      <c r="G211" s="68">
        <v>73705.2</v>
      </c>
      <c r="H211" s="68">
        <v>49136.800000000003</v>
      </c>
      <c r="I211" s="68">
        <v>267000</v>
      </c>
      <c r="J211" s="68">
        <v>178000</v>
      </c>
    </row>
    <row r="212" spans="1:10">
      <c r="A212" s="61" t="s">
        <v>178</v>
      </c>
      <c r="B212" s="68">
        <v>100567.85937499994</v>
      </c>
      <c r="C212" s="68">
        <v>0</v>
      </c>
      <c r="D212" s="68">
        <v>0</v>
      </c>
      <c r="E212" s="68">
        <v>0</v>
      </c>
      <c r="F212" s="68">
        <v>122842</v>
      </c>
      <c r="G212" s="68"/>
      <c r="H212" s="68"/>
      <c r="I212" s="68">
        <v>0</v>
      </c>
      <c r="J212" s="68">
        <v>0</v>
      </c>
    </row>
    <row r="213" spans="1:10">
      <c r="A213" s="61" t="s">
        <v>179</v>
      </c>
      <c r="B213" s="68">
        <v>73287</v>
      </c>
      <c r="C213" s="68">
        <v>0</v>
      </c>
      <c r="D213" s="68">
        <v>0</v>
      </c>
      <c r="E213" s="68">
        <v>0</v>
      </c>
      <c r="F213" s="68">
        <v>24000</v>
      </c>
      <c r="G213" s="68">
        <v>14400</v>
      </c>
      <c r="H213" s="68">
        <v>9600</v>
      </c>
      <c r="I213" s="68">
        <v>0</v>
      </c>
      <c r="J213" s="68">
        <v>0</v>
      </c>
    </row>
    <row r="214" spans="1:10">
      <c r="A214" s="72" t="s">
        <v>180</v>
      </c>
      <c r="B214" s="67">
        <f>+SUM(B215:B216)</f>
        <v>0</v>
      </c>
      <c r="C214" s="67">
        <f t="shared" ref="C214:J214" si="38">+SUM(C215:C216)</f>
        <v>0</v>
      </c>
      <c r="D214" s="67">
        <f t="shared" si="38"/>
        <v>2150</v>
      </c>
      <c r="E214" s="67">
        <f t="shared" si="38"/>
        <v>0</v>
      </c>
      <c r="F214" s="67">
        <f t="shared" si="38"/>
        <v>100</v>
      </c>
      <c r="G214" s="67">
        <f t="shared" si="38"/>
        <v>60</v>
      </c>
      <c r="H214" s="67">
        <f t="shared" si="38"/>
        <v>40</v>
      </c>
      <c r="I214" s="67">
        <f t="shared" si="38"/>
        <v>100</v>
      </c>
      <c r="J214" s="67">
        <f t="shared" si="38"/>
        <v>0</v>
      </c>
    </row>
    <row r="215" spans="1:10">
      <c r="A215" s="61" t="s">
        <v>181</v>
      </c>
      <c r="B215" s="68">
        <v>0</v>
      </c>
      <c r="C215" s="68">
        <v>0</v>
      </c>
      <c r="D215" s="68">
        <v>0</v>
      </c>
      <c r="E215" s="68">
        <v>0</v>
      </c>
      <c r="F215" s="68">
        <v>0</v>
      </c>
      <c r="G215" s="68">
        <v>0</v>
      </c>
      <c r="H215" s="68">
        <v>0</v>
      </c>
      <c r="I215" s="68">
        <v>0</v>
      </c>
      <c r="J215" s="68">
        <v>0</v>
      </c>
    </row>
    <row r="216" spans="1:10">
      <c r="A216" s="61" t="s">
        <v>182</v>
      </c>
      <c r="B216" s="68">
        <v>0</v>
      </c>
      <c r="C216" s="68">
        <v>0</v>
      </c>
      <c r="D216" s="68">
        <v>2150</v>
      </c>
      <c r="E216" s="68">
        <v>0</v>
      </c>
      <c r="F216" s="68">
        <v>100</v>
      </c>
      <c r="G216" s="68">
        <v>60</v>
      </c>
      <c r="H216" s="68">
        <v>40</v>
      </c>
      <c r="I216" s="68">
        <v>100</v>
      </c>
      <c r="J216" s="68">
        <v>0</v>
      </c>
    </row>
    <row r="217" spans="1:10">
      <c r="A217" s="60"/>
      <c r="B217" s="68"/>
      <c r="C217" s="68"/>
      <c r="D217" s="68"/>
      <c r="E217" s="68"/>
      <c r="F217" s="68"/>
      <c r="G217" s="68"/>
      <c r="H217" s="68"/>
      <c r="I217" s="69"/>
      <c r="J217" s="69"/>
    </row>
    <row r="218" spans="1:10" ht="17.25">
      <c r="A218" s="70" t="s">
        <v>183</v>
      </c>
      <c r="B218" s="67">
        <f>+B219+B223+B227</f>
        <v>669900.50265753421</v>
      </c>
      <c r="C218" s="67">
        <f t="shared" ref="C218:J218" si="39">+C219+C223+C227</f>
        <v>0</v>
      </c>
      <c r="D218" s="67">
        <f t="shared" si="39"/>
        <v>26579.080799999996</v>
      </c>
      <c r="E218" s="67">
        <f t="shared" si="39"/>
        <v>17719.387199999997</v>
      </c>
      <c r="F218" s="67">
        <f t="shared" si="39"/>
        <v>356714.97399999999</v>
      </c>
      <c r="G218" s="67">
        <f t="shared" si="39"/>
        <v>13289.540399999998</v>
      </c>
      <c r="H218" s="67">
        <f t="shared" si="39"/>
        <v>8859.6935999999987</v>
      </c>
      <c r="I218" s="67">
        <f t="shared" si="39"/>
        <v>8859.6935999999987</v>
      </c>
      <c r="J218" s="67">
        <f t="shared" si="39"/>
        <v>5906.4624000000003</v>
      </c>
    </row>
    <row r="219" spans="1:10">
      <c r="A219" s="72" t="s">
        <v>184</v>
      </c>
      <c r="B219" s="67">
        <f>+SUM(B220:B222)</f>
        <v>625602.03465753421</v>
      </c>
      <c r="C219" s="67">
        <f t="shared" ref="C219:J219" si="40">+SUM(C220:C222)</f>
        <v>0</v>
      </c>
      <c r="D219" s="67">
        <f t="shared" si="40"/>
        <v>0</v>
      </c>
      <c r="E219" s="67">
        <f t="shared" si="40"/>
        <v>0</v>
      </c>
      <c r="F219" s="67">
        <f t="shared" si="40"/>
        <v>334565.74</v>
      </c>
      <c r="G219" s="67">
        <f t="shared" si="40"/>
        <v>0</v>
      </c>
      <c r="H219" s="67">
        <f t="shared" si="40"/>
        <v>0</v>
      </c>
      <c r="I219" s="67">
        <f t="shared" si="40"/>
        <v>0</v>
      </c>
      <c r="J219" s="67">
        <f t="shared" si="40"/>
        <v>0</v>
      </c>
    </row>
    <row r="220" spans="1:10">
      <c r="A220" s="61" t="s">
        <v>185</v>
      </c>
      <c r="B220" s="68">
        <v>123753.42465753425</v>
      </c>
      <c r="C220" s="68">
        <v>0</v>
      </c>
      <c r="D220" s="68">
        <v>0</v>
      </c>
      <c r="E220" s="68">
        <v>0</v>
      </c>
      <c r="F220" s="68">
        <v>0</v>
      </c>
      <c r="G220" s="68">
        <v>0</v>
      </c>
      <c r="H220" s="68">
        <v>0</v>
      </c>
      <c r="I220" s="68">
        <v>0</v>
      </c>
      <c r="J220" s="68">
        <v>0</v>
      </c>
    </row>
    <row r="221" spans="1:10">
      <c r="A221" s="61" t="s">
        <v>236</v>
      </c>
      <c r="B221" s="68">
        <v>174336.6</v>
      </c>
      <c r="C221" s="68">
        <v>0</v>
      </c>
      <c r="D221" s="68">
        <v>0</v>
      </c>
      <c r="E221" s="68">
        <v>0</v>
      </c>
      <c r="F221" s="68">
        <v>116224.40000000001</v>
      </c>
      <c r="G221" s="68">
        <v>0</v>
      </c>
      <c r="H221" s="68">
        <v>0</v>
      </c>
      <c r="I221" s="68">
        <v>0</v>
      </c>
      <c r="J221" s="68">
        <v>0</v>
      </c>
    </row>
    <row r="222" spans="1:10">
      <c r="A222" s="61" t="s">
        <v>237</v>
      </c>
      <c r="B222" s="68">
        <v>327512.00999999995</v>
      </c>
      <c r="C222" s="68">
        <v>0</v>
      </c>
      <c r="D222" s="68">
        <v>0</v>
      </c>
      <c r="E222" s="68">
        <v>0</v>
      </c>
      <c r="F222" s="68">
        <v>218341.33999999997</v>
      </c>
      <c r="G222" s="68">
        <v>0</v>
      </c>
      <c r="H222" s="68">
        <v>0</v>
      </c>
      <c r="I222" s="68">
        <v>0</v>
      </c>
      <c r="J222" s="68">
        <v>0</v>
      </c>
    </row>
    <row r="223" spans="1:10">
      <c r="A223" s="72" t="s">
        <v>186</v>
      </c>
      <c r="B223" s="67">
        <f>+SUM(B224:B226)</f>
        <v>40771.367999999995</v>
      </c>
      <c r="C223" s="67">
        <f t="shared" ref="C223:J223" si="41">+SUM(C224:C226)</f>
        <v>0</v>
      </c>
      <c r="D223" s="67">
        <f t="shared" si="41"/>
        <v>24462.820799999998</v>
      </c>
      <c r="E223" s="67">
        <f t="shared" si="41"/>
        <v>16308.547199999999</v>
      </c>
      <c r="F223" s="67">
        <f t="shared" si="41"/>
        <v>20385.683999999997</v>
      </c>
      <c r="G223" s="67">
        <f t="shared" si="41"/>
        <v>12231.410399999999</v>
      </c>
      <c r="H223" s="67">
        <f t="shared" si="41"/>
        <v>8154.2735999999995</v>
      </c>
      <c r="I223" s="67">
        <f t="shared" si="41"/>
        <v>8154.2735999999995</v>
      </c>
      <c r="J223" s="67">
        <f t="shared" si="41"/>
        <v>5436.1824000000006</v>
      </c>
    </row>
    <row r="224" spans="1:10">
      <c r="A224" s="61" t="s">
        <v>187</v>
      </c>
      <c r="B224" s="68">
        <v>40771.367999999995</v>
      </c>
      <c r="C224" s="68">
        <v>0</v>
      </c>
      <c r="D224" s="68">
        <v>24462.820799999998</v>
      </c>
      <c r="E224" s="68">
        <v>16308.547199999999</v>
      </c>
      <c r="F224" s="68">
        <v>20385.683999999997</v>
      </c>
      <c r="G224" s="68">
        <v>12231.410399999999</v>
      </c>
      <c r="H224" s="68">
        <v>8154.2735999999995</v>
      </c>
      <c r="I224" s="68">
        <v>8154.2735999999995</v>
      </c>
      <c r="J224" s="68">
        <v>5436.1824000000006</v>
      </c>
    </row>
    <row r="225" spans="1:10">
      <c r="A225" s="61" t="s">
        <v>188</v>
      </c>
      <c r="B225" s="68">
        <v>0</v>
      </c>
      <c r="C225" s="68">
        <v>0</v>
      </c>
      <c r="D225" s="68">
        <v>0</v>
      </c>
      <c r="E225" s="68">
        <v>0</v>
      </c>
      <c r="F225" s="68">
        <v>0</v>
      </c>
      <c r="G225" s="68">
        <v>0</v>
      </c>
      <c r="H225" s="68">
        <v>0</v>
      </c>
      <c r="I225" s="68">
        <v>0</v>
      </c>
      <c r="J225" s="68">
        <v>0</v>
      </c>
    </row>
    <row r="226" spans="1:10">
      <c r="A226" s="61" t="s">
        <v>189</v>
      </c>
      <c r="B226" s="68">
        <v>0</v>
      </c>
      <c r="C226" s="68">
        <v>0</v>
      </c>
      <c r="D226" s="68">
        <v>0</v>
      </c>
      <c r="E226" s="68">
        <v>0</v>
      </c>
      <c r="F226" s="68">
        <v>0</v>
      </c>
      <c r="G226" s="68">
        <v>0</v>
      </c>
      <c r="H226" s="68">
        <v>0</v>
      </c>
      <c r="I226" s="68">
        <v>0</v>
      </c>
      <c r="J226" s="68">
        <v>0</v>
      </c>
    </row>
    <row r="227" spans="1:10">
      <c r="A227" s="72" t="s">
        <v>190</v>
      </c>
      <c r="B227" s="67">
        <f>+SUM(B228:B229)</f>
        <v>3527.1</v>
      </c>
      <c r="C227" s="67">
        <f t="shared" ref="C227:J227" si="42">+SUM(C228:C229)</f>
        <v>0</v>
      </c>
      <c r="D227" s="67">
        <f t="shared" si="42"/>
        <v>2116.2599999999998</v>
      </c>
      <c r="E227" s="67">
        <f t="shared" si="42"/>
        <v>1410.8400000000001</v>
      </c>
      <c r="F227" s="67">
        <f t="shared" si="42"/>
        <v>1763.55</v>
      </c>
      <c r="G227" s="67">
        <f t="shared" si="42"/>
        <v>1058.1299999999999</v>
      </c>
      <c r="H227" s="67">
        <f t="shared" si="42"/>
        <v>705.42000000000007</v>
      </c>
      <c r="I227" s="67">
        <f t="shared" si="42"/>
        <v>705.42</v>
      </c>
      <c r="J227" s="67">
        <f t="shared" si="42"/>
        <v>470.28000000000003</v>
      </c>
    </row>
    <row r="228" spans="1:10">
      <c r="A228" s="61" t="s">
        <v>191</v>
      </c>
      <c r="B228" s="68">
        <v>0</v>
      </c>
      <c r="C228" s="68">
        <v>0</v>
      </c>
      <c r="D228" s="68">
        <v>0</v>
      </c>
      <c r="E228" s="68">
        <v>0</v>
      </c>
      <c r="F228" s="68">
        <v>0</v>
      </c>
      <c r="G228" s="68">
        <v>0</v>
      </c>
      <c r="H228" s="68">
        <v>0</v>
      </c>
      <c r="I228" s="68">
        <v>0</v>
      </c>
      <c r="J228" s="68">
        <v>0</v>
      </c>
    </row>
    <row r="229" spans="1:10">
      <c r="A229" s="61" t="s">
        <v>192</v>
      </c>
      <c r="B229" s="68">
        <v>3527.1</v>
      </c>
      <c r="C229" s="68">
        <v>0</v>
      </c>
      <c r="D229" s="68">
        <v>2116.2599999999998</v>
      </c>
      <c r="E229" s="68">
        <v>1410.8400000000001</v>
      </c>
      <c r="F229" s="68">
        <v>1763.55</v>
      </c>
      <c r="G229" s="68">
        <v>1058.1299999999999</v>
      </c>
      <c r="H229" s="68">
        <v>705.42000000000007</v>
      </c>
      <c r="I229" s="68">
        <v>705.42</v>
      </c>
      <c r="J229" s="68">
        <v>470.28000000000003</v>
      </c>
    </row>
    <row r="230" spans="1:10">
      <c r="A230" s="64" t="s">
        <v>193</v>
      </c>
      <c r="B230" s="67">
        <f>+B75+B104+B115+B156+B218</f>
        <v>7613202.8902491648</v>
      </c>
      <c r="C230" s="67">
        <f t="shared" ref="C230:J230" si="43">+C75+C104+C115+C156+C218</f>
        <v>85854.487179487172</v>
      </c>
      <c r="D230" s="67">
        <f t="shared" si="43"/>
        <v>3371008.3519195141</v>
      </c>
      <c r="E230" s="67">
        <f t="shared" si="43"/>
        <v>1007440.3872133547</v>
      </c>
      <c r="F230" s="67">
        <f t="shared" si="43"/>
        <v>4700862.9980582101</v>
      </c>
      <c r="G230" s="67">
        <f t="shared" si="43"/>
        <v>1603770.7283489851</v>
      </c>
      <c r="H230" s="67">
        <f t="shared" si="43"/>
        <v>473868.90482126072</v>
      </c>
      <c r="I230" s="67">
        <f t="shared" si="43"/>
        <v>1367133.087702564</v>
      </c>
      <c r="J230" s="67">
        <f t="shared" si="43"/>
        <v>431294.51047692308</v>
      </c>
    </row>
    <row r="231" spans="1:10">
      <c r="A231" s="73" t="s">
        <v>58</v>
      </c>
      <c r="B231" s="115">
        <f>+IFERROR(B230/B70,0)</f>
        <v>4.7048560510471474E-2</v>
      </c>
      <c r="C231" s="115">
        <f t="shared" ref="C231:J231" si="44">+IFERROR(C230/C70,0)</f>
        <v>4.6980719901101024E-2</v>
      </c>
      <c r="D231" s="115">
        <f t="shared" si="44"/>
        <v>0.17155470091860733</v>
      </c>
      <c r="E231" s="115">
        <f t="shared" si="44"/>
        <v>0.19374929232241489</v>
      </c>
      <c r="F231" s="115">
        <f t="shared" si="44"/>
        <v>7.0371527263967948E-2</v>
      </c>
      <c r="G231" s="115">
        <f t="shared" si="44"/>
        <v>0.14309784467353295</v>
      </c>
      <c r="H231" s="115">
        <f t="shared" si="44"/>
        <v>0.15746333447357561</v>
      </c>
      <c r="I231" s="115">
        <f t="shared" si="44"/>
        <v>0.30479367627819604</v>
      </c>
      <c r="J231" s="115">
        <f t="shared" si="44"/>
        <v>0.60235486156710671</v>
      </c>
    </row>
    <row r="232" spans="1:10">
      <c r="A232" s="21"/>
      <c r="B232" s="69"/>
      <c r="C232" s="69"/>
      <c r="D232" s="69"/>
      <c r="E232" s="69"/>
      <c r="F232" s="69"/>
      <c r="G232" s="69"/>
      <c r="H232" s="69"/>
      <c r="I232" s="69"/>
      <c r="J232" s="69"/>
    </row>
    <row r="233" spans="1:10">
      <c r="A233" s="64" t="s">
        <v>194</v>
      </c>
      <c r="B233" s="67">
        <f>+B71-B230</f>
        <v>2606608.8470508326</v>
      </c>
      <c r="C233" s="67">
        <f t="shared" ref="C233:J233" si="45">+C71-C230</f>
        <v>339274.90282051271</v>
      </c>
      <c r="D233" s="67">
        <f t="shared" si="45"/>
        <v>2007435.2015560558</v>
      </c>
      <c r="E233" s="67">
        <f t="shared" si="45"/>
        <v>986513.56398664531</v>
      </c>
      <c r="F233" s="67">
        <f t="shared" si="45"/>
        <v>-645691.48525820952</v>
      </c>
      <c r="G233" s="67">
        <f t="shared" si="45"/>
        <v>1730649.821601948</v>
      </c>
      <c r="H233" s="67">
        <f t="shared" si="45"/>
        <v>503477.34177873924</v>
      </c>
      <c r="I233" s="67">
        <f t="shared" si="45"/>
        <v>71980.62813604041</v>
      </c>
      <c r="J233" s="67">
        <f t="shared" si="45"/>
        <v>-259014.1560769231</v>
      </c>
    </row>
    <row r="234" spans="1:10">
      <c r="A234" s="73" t="s">
        <v>58</v>
      </c>
      <c r="B234" s="115">
        <f>IFERROR(B233/B70,0)</f>
        <v>1.6108488875906959E-2</v>
      </c>
      <c r="C234" s="115">
        <f t="shared" ref="C234:J234" si="46">IFERROR(C233/C70,0)</f>
        <v>0.18565574965884954</v>
      </c>
      <c r="D234" s="115">
        <f t="shared" si="46"/>
        <v>0.10216081055400954</v>
      </c>
      <c r="E234" s="115">
        <f t="shared" si="46"/>
        <v>0.18972467980718072</v>
      </c>
      <c r="F234" s="115">
        <f t="shared" si="46"/>
        <v>-9.6659477159256272E-3</v>
      </c>
      <c r="G234" s="115">
        <f t="shared" si="46"/>
        <v>0.15441874264086408</v>
      </c>
      <c r="H234" s="115">
        <f t="shared" si="46"/>
        <v>0.16730201172046896</v>
      </c>
      <c r="I234" s="115">
        <f t="shared" si="46"/>
        <v>1.6047625843995852E-2</v>
      </c>
      <c r="J234" s="115">
        <f t="shared" si="46"/>
        <v>-0.36174454424451558</v>
      </c>
    </row>
    <row r="235" spans="1:10">
      <c r="A235" s="60"/>
      <c r="B235" s="68"/>
      <c r="C235" s="68"/>
      <c r="D235" s="68"/>
      <c r="E235" s="68"/>
      <c r="F235" s="68"/>
      <c r="G235" s="68"/>
      <c r="H235" s="68"/>
      <c r="I235" s="69"/>
      <c r="J235" s="69"/>
    </row>
    <row r="236" spans="1:10" ht="17.25">
      <c r="A236" s="70" t="s">
        <v>195</v>
      </c>
      <c r="B236" s="67">
        <f t="shared" ref="B236:J236" si="47">+SUM(B237:B239)</f>
        <v>112766.71380000001</v>
      </c>
      <c r="C236" s="67">
        <f t="shared" si="47"/>
        <v>0</v>
      </c>
      <c r="D236" s="67">
        <f t="shared" si="47"/>
        <v>325427.99658000004</v>
      </c>
      <c r="E236" s="67">
        <f t="shared" si="47"/>
        <v>19083.597720000002</v>
      </c>
      <c r="F236" s="67">
        <f t="shared" si="47"/>
        <v>136621.21095000001</v>
      </c>
      <c r="G236" s="67">
        <f t="shared" si="47"/>
        <v>279841.12656999996</v>
      </c>
      <c r="H236" s="67">
        <f t="shared" si="47"/>
        <v>54648.484380000009</v>
      </c>
      <c r="I236" s="67">
        <f t="shared" si="47"/>
        <v>0</v>
      </c>
      <c r="J236" s="67">
        <f t="shared" si="47"/>
        <v>0</v>
      </c>
    </row>
    <row r="237" spans="1:10">
      <c r="A237" s="61" t="s">
        <v>196</v>
      </c>
      <c r="B237" s="68">
        <v>0</v>
      </c>
      <c r="C237" s="68">
        <v>0</v>
      </c>
      <c r="D237" s="68">
        <v>273820.2</v>
      </c>
      <c r="E237" s="68">
        <v>0</v>
      </c>
      <c r="F237" s="68">
        <v>0</v>
      </c>
      <c r="G237" s="68">
        <v>182546.80000000002</v>
      </c>
      <c r="H237" s="68">
        <v>0</v>
      </c>
      <c r="I237" s="68">
        <v>0</v>
      </c>
      <c r="J237" s="68">
        <v>0</v>
      </c>
    </row>
    <row r="238" spans="1:10">
      <c r="A238" s="61" t="s">
        <v>197</v>
      </c>
      <c r="B238" s="68">
        <v>112766.71380000001</v>
      </c>
      <c r="C238" s="68">
        <v>0</v>
      </c>
      <c r="D238" s="68">
        <v>28625.396579999997</v>
      </c>
      <c r="E238" s="68">
        <v>19083.597720000002</v>
      </c>
      <c r="F238" s="68">
        <v>136621.21095000001</v>
      </c>
      <c r="G238" s="68">
        <v>81972.726569999999</v>
      </c>
      <c r="H238" s="68">
        <v>54648.484380000009</v>
      </c>
      <c r="I238" s="68">
        <v>0</v>
      </c>
      <c r="J238" s="68">
        <v>0</v>
      </c>
    </row>
    <row r="239" spans="1:10">
      <c r="A239" s="61" t="s">
        <v>198</v>
      </c>
      <c r="B239" s="68">
        <v>0</v>
      </c>
      <c r="C239" s="68">
        <v>0</v>
      </c>
      <c r="D239" s="68">
        <v>22982.399999999998</v>
      </c>
      <c r="E239" s="68">
        <v>0</v>
      </c>
      <c r="F239" s="68">
        <v>0</v>
      </c>
      <c r="G239" s="68">
        <v>15321.6</v>
      </c>
      <c r="H239" s="68">
        <v>0</v>
      </c>
      <c r="I239" s="68">
        <v>0</v>
      </c>
      <c r="J239" s="68">
        <v>0</v>
      </c>
    </row>
    <row r="240" spans="1:10">
      <c r="A240" s="60"/>
      <c r="B240" s="68"/>
      <c r="C240" s="68"/>
      <c r="D240" s="68"/>
      <c r="E240" s="68"/>
      <c r="F240" s="68"/>
      <c r="G240" s="68"/>
      <c r="H240" s="68"/>
      <c r="I240" s="69"/>
      <c r="J240" s="69"/>
    </row>
    <row r="241" spans="1:10" ht="17.25">
      <c r="A241" s="70" t="s">
        <v>199</v>
      </c>
      <c r="B241" s="67">
        <f>+SUM(B242:B248)</f>
        <v>952163.96462113166</v>
      </c>
      <c r="C241" s="67">
        <f t="shared" ref="C241:J241" si="48">+SUM(C242:C248)</f>
        <v>0</v>
      </c>
      <c r="D241" s="67">
        <f t="shared" si="48"/>
        <v>675475.61596874997</v>
      </c>
      <c r="E241" s="67">
        <f t="shared" si="48"/>
        <v>386326.71292708302</v>
      </c>
      <c r="F241" s="67">
        <f t="shared" si="48"/>
        <v>433516.25836428563</v>
      </c>
      <c r="G241" s="67">
        <f t="shared" si="48"/>
        <v>241812.14353571442</v>
      </c>
      <c r="H241" s="67">
        <f t="shared" si="48"/>
        <v>155829.26235714319</v>
      </c>
      <c r="I241" s="67">
        <f t="shared" si="48"/>
        <v>702927.25199999998</v>
      </c>
      <c r="J241" s="67">
        <f t="shared" si="48"/>
        <v>468618.16800000001</v>
      </c>
    </row>
    <row r="242" spans="1:10">
      <c r="A242" s="61" t="s">
        <v>200</v>
      </c>
      <c r="B242" s="68"/>
      <c r="C242" s="68"/>
      <c r="D242" s="68"/>
      <c r="E242" s="68"/>
      <c r="F242" s="68"/>
      <c r="G242" s="68"/>
      <c r="H242" s="68"/>
      <c r="I242" s="68"/>
      <c r="J242" s="68"/>
    </row>
    <row r="243" spans="1:10">
      <c r="A243" s="61" t="s">
        <v>238</v>
      </c>
      <c r="B243" s="68">
        <v>952163.96462113166</v>
      </c>
      <c r="C243" s="68">
        <v>0</v>
      </c>
      <c r="D243" s="68">
        <v>675475.61596874997</v>
      </c>
      <c r="E243" s="68">
        <v>386326.71292708302</v>
      </c>
      <c r="F243" s="68">
        <v>433516.25836428563</v>
      </c>
      <c r="G243" s="68">
        <v>241812.14353571442</v>
      </c>
      <c r="H243" s="68">
        <v>155829.26235714319</v>
      </c>
      <c r="I243" s="68">
        <v>702927.25199999998</v>
      </c>
      <c r="J243" s="68">
        <v>468618.16800000001</v>
      </c>
    </row>
    <row r="244" spans="1:10">
      <c r="A244" s="61" t="s">
        <v>239</v>
      </c>
      <c r="B244" s="68"/>
      <c r="C244" s="68"/>
      <c r="D244" s="68"/>
      <c r="E244" s="68"/>
      <c r="F244" s="68"/>
      <c r="G244" s="68"/>
      <c r="H244" s="68"/>
      <c r="I244" s="68"/>
      <c r="J244" s="68"/>
    </row>
    <row r="245" spans="1:10">
      <c r="A245" s="61" t="s">
        <v>240</v>
      </c>
      <c r="B245" s="68"/>
      <c r="C245" s="68"/>
      <c r="D245" s="68"/>
      <c r="E245" s="68"/>
      <c r="F245" s="68"/>
      <c r="G245" s="68"/>
      <c r="H245" s="68"/>
      <c r="I245" s="68"/>
      <c r="J245" s="68"/>
    </row>
    <row r="246" spans="1:10">
      <c r="A246" s="61" t="s">
        <v>241</v>
      </c>
      <c r="B246" s="68"/>
      <c r="C246" s="68"/>
      <c r="D246" s="68"/>
      <c r="E246" s="68"/>
      <c r="F246" s="68"/>
      <c r="G246" s="68"/>
      <c r="H246" s="68"/>
      <c r="I246" s="68"/>
      <c r="J246" s="68"/>
    </row>
    <row r="247" spans="1:10">
      <c r="A247" s="61" t="s">
        <v>242</v>
      </c>
      <c r="B247" s="68"/>
      <c r="C247" s="68"/>
      <c r="D247" s="68"/>
      <c r="E247" s="68"/>
      <c r="F247" s="68"/>
      <c r="G247" s="68"/>
      <c r="H247" s="68"/>
      <c r="I247" s="68"/>
      <c r="J247" s="68"/>
    </row>
    <row r="248" spans="1:10">
      <c r="A248" s="60"/>
      <c r="B248" s="68"/>
      <c r="C248" s="68"/>
      <c r="D248" s="68"/>
      <c r="E248" s="68"/>
      <c r="F248" s="68"/>
      <c r="G248" s="68"/>
      <c r="H248" s="68"/>
      <c r="I248" s="69"/>
      <c r="J248" s="69"/>
    </row>
    <row r="249" spans="1:10">
      <c r="A249" s="64" t="s">
        <v>201</v>
      </c>
      <c r="B249" s="67">
        <f t="shared" ref="B249:J249" si="49">+B233-B236-B241</f>
        <v>1541678.1686297008</v>
      </c>
      <c r="C249" s="67">
        <f t="shared" si="49"/>
        <v>339274.90282051271</v>
      </c>
      <c r="D249" s="67">
        <f t="shared" si="49"/>
        <v>1006531.5890073058</v>
      </c>
      <c r="E249" s="67">
        <f t="shared" si="49"/>
        <v>581103.25333956233</v>
      </c>
      <c r="F249" s="67">
        <f t="shared" si="49"/>
        <v>-1215828.9545724951</v>
      </c>
      <c r="G249" s="67">
        <f t="shared" si="49"/>
        <v>1208996.5514962336</v>
      </c>
      <c r="H249" s="67">
        <f t="shared" si="49"/>
        <v>292999.59504159598</v>
      </c>
      <c r="I249" s="67">
        <f t="shared" si="49"/>
        <v>-630946.62386395957</v>
      </c>
      <c r="J249" s="67">
        <f t="shared" si="49"/>
        <v>-727632.32407692308</v>
      </c>
    </row>
    <row r="250" spans="1:10">
      <c r="A250" s="74" t="s">
        <v>58</v>
      </c>
      <c r="B250" s="116">
        <f>IFERROR(B249/B70,0)</f>
        <v>9.5273618278776014E-3</v>
      </c>
      <c r="C250" s="116">
        <f t="shared" ref="C250:J250" si="50">IFERROR(C249/C70,0)</f>
        <v>0.18565574965884954</v>
      </c>
      <c r="D250" s="116">
        <f t="shared" si="50"/>
        <v>5.1223612548736197E-2</v>
      </c>
      <c r="E250" s="116">
        <f t="shared" si="50"/>
        <v>0.11175683001176856</v>
      </c>
      <c r="F250" s="116">
        <f t="shared" si="50"/>
        <v>-1.8200858110598465E-2</v>
      </c>
      <c r="G250" s="116">
        <f t="shared" si="50"/>
        <v>0.10787377377497483</v>
      </c>
      <c r="H250" s="116">
        <f t="shared" si="50"/>
        <v>9.7361723390690505E-2</v>
      </c>
      <c r="I250" s="116">
        <f t="shared" si="50"/>
        <v>-0.14066555974150444</v>
      </c>
      <c r="J250" s="116">
        <f t="shared" si="50"/>
        <v>-1.0162264002767976</v>
      </c>
    </row>
    <row r="252" spans="1:10">
      <c r="B252" s="121">
        <f>+B249-[1]MIS!$B$249</f>
        <v>0</v>
      </c>
      <c r="C252" s="121">
        <f>+C249-[1]MIS!$C$249</f>
        <v>0</v>
      </c>
      <c r="D252" s="121">
        <f>+D249-[1]MIS!$D$249</f>
        <v>0</v>
      </c>
      <c r="E252" s="121">
        <f>+E249-[1]MIS!$E$249</f>
        <v>0</v>
      </c>
      <c r="F252" s="121">
        <f>+F249-[1]MIS!$F$249</f>
        <v>0</v>
      </c>
      <c r="G252" s="121">
        <f>+G249-[1]MIS!$G$249</f>
        <v>0</v>
      </c>
      <c r="H252" s="121">
        <f>+H249-[1]MIS!$H$249</f>
        <v>0</v>
      </c>
      <c r="I252" s="121">
        <f>+I249-[1]MIS!$I$249</f>
        <v>0</v>
      </c>
      <c r="J252" s="121">
        <f>+J249-[1]MIS!$J$249</f>
        <v>0</v>
      </c>
    </row>
  </sheetData>
  <mergeCells count="5">
    <mergeCell ref="A1:J1"/>
    <mergeCell ref="A2:A3"/>
    <mergeCell ref="B2:E2"/>
    <mergeCell ref="F2:H2"/>
    <mergeCell ref="I2:J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E0A6-0635-44D8-A37C-AC12C6D24941}">
  <dimension ref="A1:J250"/>
  <sheetViews>
    <sheetView workbookViewId="0">
      <selection sqref="A1:XFD1048576"/>
    </sheetView>
  </sheetViews>
  <sheetFormatPr defaultColWidth="8.7109375" defaultRowHeight="15"/>
  <cols>
    <col min="1" max="1" width="40.85546875" style="49" bestFit="1" customWidth="1"/>
    <col min="2" max="2" width="12.42578125" style="49" bestFit="1" customWidth="1"/>
    <col min="3" max="3" width="10.42578125" style="49" bestFit="1" customWidth="1"/>
    <col min="4" max="4" width="11.140625" style="49" bestFit="1" customWidth="1"/>
    <col min="5" max="5" width="9.5703125" style="49" bestFit="1" customWidth="1"/>
    <col min="6" max="6" width="12.140625" style="49" bestFit="1" customWidth="1"/>
    <col min="7" max="7" width="11.140625" style="49" bestFit="1" customWidth="1"/>
    <col min="8" max="9" width="9.5703125" style="49" bestFit="1" customWidth="1"/>
    <col min="10" max="10" width="8.85546875" style="49" bestFit="1" customWidth="1"/>
    <col min="11" max="16384" width="8.7109375" style="49"/>
  </cols>
  <sheetData>
    <row r="1" spans="1:10" ht="15.75">
      <c r="A1" s="124" t="s">
        <v>244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0" ht="14.45" customHeight="1">
      <c r="A2" s="125" t="s">
        <v>1</v>
      </c>
      <c r="B2" s="127" t="s">
        <v>209</v>
      </c>
      <c r="C2" s="128"/>
      <c r="D2" s="128"/>
      <c r="E2" s="128"/>
      <c r="F2" s="129" t="s">
        <v>213</v>
      </c>
      <c r="G2" s="130"/>
      <c r="H2" s="130"/>
      <c r="I2" s="130" t="s">
        <v>214</v>
      </c>
      <c r="J2" s="130"/>
    </row>
    <row r="3" spans="1:10">
      <c r="A3" s="126"/>
      <c r="B3" s="51" t="s">
        <v>215</v>
      </c>
      <c r="C3" s="51" t="s">
        <v>216</v>
      </c>
      <c r="D3" s="52" t="s">
        <v>217</v>
      </c>
      <c r="E3" s="53" t="s">
        <v>218</v>
      </c>
      <c r="F3" s="51" t="s">
        <v>215</v>
      </c>
      <c r="G3" s="52" t="s">
        <v>217</v>
      </c>
      <c r="H3" s="52" t="s">
        <v>218</v>
      </c>
      <c r="I3" s="54" t="s">
        <v>217</v>
      </c>
      <c r="J3" s="54" t="s">
        <v>218</v>
      </c>
    </row>
    <row r="4" spans="1:10">
      <c r="A4" s="55" t="s">
        <v>3</v>
      </c>
      <c r="B4" s="56"/>
      <c r="C4" s="56"/>
      <c r="D4" s="56"/>
      <c r="E4" s="56"/>
      <c r="F4" s="56"/>
      <c r="G4" s="56"/>
      <c r="H4" s="56"/>
      <c r="I4" s="56"/>
      <c r="J4" s="56"/>
    </row>
    <row r="5" spans="1:10" ht="17.25">
      <c r="A5" s="57" t="s">
        <v>4</v>
      </c>
      <c r="B5" s="56"/>
      <c r="C5" s="56"/>
      <c r="D5" s="56"/>
      <c r="E5" s="56"/>
      <c r="F5" s="56"/>
      <c r="G5" s="56"/>
      <c r="H5" s="56"/>
      <c r="I5" s="50"/>
      <c r="J5" s="50"/>
    </row>
    <row r="6" spans="1:10">
      <c r="A6" s="55" t="s">
        <v>5</v>
      </c>
      <c r="B6" s="58">
        <f>+B7+B8+B13</f>
        <v>0</v>
      </c>
      <c r="C6" s="58">
        <f t="shared" ref="C6:J6" si="0">+C7+C8+C13</f>
        <v>0</v>
      </c>
      <c r="D6" s="58">
        <f t="shared" si="0"/>
        <v>0</v>
      </c>
      <c r="E6" s="58">
        <f t="shared" si="0"/>
        <v>0</v>
      </c>
      <c r="F6" s="58">
        <f t="shared" si="0"/>
        <v>0</v>
      </c>
      <c r="G6" s="58">
        <f t="shared" si="0"/>
        <v>0</v>
      </c>
      <c r="H6" s="58">
        <f t="shared" si="0"/>
        <v>0</v>
      </c>
      <c r="I6" s="58">
        <f t="shared" si="0"/>
        <v>0</v>
      </c>
      <c r="J6" s="58">
        <f t="shared" si="0"/>
        <v>0</v>
      </c>
    </row>
    <row r="7" spans="1:10">
      <c r="A7" s="55" t="s">
        <v>6</v>
      </c>
      <c r="B7" s="58"/>
      <c r="C7" s="58"/>
      <c r="D7" s="58"/>
      <c r="E7" s="58"/>
      <c r="F7" s="58"/>
      <c r="G7" s="58"/>
      <c r="H7" s="58"/>
      <c r="I7" s="59"/>
      <c r="J7" s="59"/>
    </row>
    <row r="8" spans="1:10">
      <c r="A8" s="55" t="s">
        <v>219</v>
      </c>
      <c r="B8" s="58">
        <f>+B9+B10+B11+B12</f>
        <v>0</v>
      </c>
      <c r="C8" s="58">
        <f t="shared" ref="C8:J8" si="1">+C9+C10+C11+C12</f>
        <v>0</v>
      </c>
      <c r="D8" s="58">
        <f t="shared" si="1"/>
        <v>0</v>
      </c>
      <c r="E8" s="58">
        <f t="shared" si="1"/>
        <v>0</v>
      </c>
      <c r="F8" s="58">
        <f t="shared" si="1"/>
        <v>0</v>
      </c>
      <c r="G8" s="58">
        <f t="shared" si="1"/>
        <v>0</v>
      </c>
      <c r="H8" s="58">
        <f t="shared" si="1"/>
        <v>0</v>
      </c>
      <c r="I8" s="58">
        <f t="shared" si="1"/>
        <v>0</v>
      </c>
      <c r="J8" s="58">
        <f t="shared" si="1"/>
        <v>0</v>
      </c>
    </row>
    <row r="9" spans="1:10">
      <c r="A9" s="75" t="s">
        <v>7</v>
      </c>
      <c r="B9" s="56"/>
      <c r="C9" s="56"/>
      <c r="D9" s="56"/>
      <c r="E9" s="56"/>
      <c r="F9" s="56"/>
      <c r="G9" s="56"/>
      <c r="H9" s="56"/>
      <c r="I9" s="50"/>
      <c r="J9" s="50"/>
    </row>
    <row r="10" spans="1:10">
      <c r="A10" s="75" t="s">
        <v>8</v>
      </c>
      <c r="B10" s="56"/>
      <c r="C10" s="56"/>
      <c r="D10" s="56"/>
      <c r="E10" s="56"/>
      <c r="F10" s="56"/>
      <c r="G10" s="56"/>
      <c r="H10" s="56"/>
      <c r="I10" s="50"/>
      <c r="J10" s="50"/>
    </row>
    <row r="11" spans="1:10">
      <c r="A11" s="75" t="s">
        <v>9</v>
      </c>
      <c r="B11" s="56"/>
      <c r="C11" s="56"/>
      <c r="D11" s="56"/>
      <c r="E11" s="56"/>
      <c r="F11" s="56"/>
      <c r="G11" s="56"/>
      <c r="H11" s="56"/>
      <c r="I11" s="50"/>
      <c r="J11" s="50"/>
    </row>
    <row r="12" spans="1:10">
      <c r="A12" s="75" t="s">
        <v>10</v>
      </c>
      <c r="B12" s="56"/>
      <c r="C12" s="56"/>
      <c r="D12" s="56"/>
      <c r="E12" s="56"/>
      <c r="F12" s="56"/>
      <c r="G12" s="56"/>
      <c r="H12" s="56"/>
      <c r="I12" s="50"/>
      <c r="J12" s="50"/>
    </row>
    <row r="13" spans="1:10">
      <c r="A13" s="55" t="s">
        <v>11</v>
      </c>
      <c r="B13" s="58">
        <f>+B14+B15+B16</f>
        <v>0</v>
      </c>
      <c r="C13" s="58">
        <f t="shared" ref="C13:J13" si="2">+C14+C15+C16</f>
        <v>0</v>
      </c>
      <c r="D13" s="58">
        <f t="shared" si="2"/>
        <v>0</v>
      </c>
      <c r="E13" s="58">
        <f t="shared" si="2"/>
        <v>0</v>
      </c>
      <c r="F13" s="58">
        <f t="shared" si="2"/>
        <v>0</v>
      </c>
      <c r="G13" s="58">
        <f t="shared" si="2"/>
        <v>0</v>
      </c>
      <c r="H13" s="58">
        <f t="shared" si="2"/>
        <v>0</v>
      </c>
      <c r="I13" s="58">
        <f t="shared" si="2"/>
        <v>0</v>
      </c>
      <c r="J13" s="58">
        <f t="shared" si="2"/>
        <v>0</v>
      </c>
    </row>
    <row r="14" spans="1:10">
      <c r="A14" s="76" t="s">
        <v>12</v>
      </c>
      <c r="B14" s="56"/>
      <c r="C14" s="56"/>
      <c r="D14" s="56"/>
      <c r="E14" s="56"/>
      <c r="F14" s="56"/>
      <c r="G14" s="56"/>
      <c r="H14" s="56"/>
      <c r="I14" s="50"/>
      <c r="J14" s="50"/>
    </row>
    <row r="15" spans="1:10">
      <c r="A15" s="76" t="s">
        <v>13</v>
      </c>
      <c r="B15" s="56"/>
      <c r="C15" s="56"/>
      <c r="D15" s="56"/>
      <c r="E15" s="56"/>
      <c r="F15" s="56"/>
      <c r="G15" s="56"/>
      <c r="H15" s="56"/>
      <c r="I15" s="50"/>
      <c r="J15" s="50"/>
    </row>
    <row r="16" spans="1:10">
      <c r="A16" s="76" t="s">
        <v>14</v>
      </c>
      <c r="B16" s="56"/>
      <c r="C16" s="56"/>
      <c r="D16" s="56"/>
      <c r="E16" s="56"/>
      <c r="F16" s="56"/>
      <c r="G16" s="56"/>
      <c r="H16" s="56"/>
      <c r="I16" s="50"/>
      <c r="J16" s="50"/>
    </row>
    <row r="17" spans="1:10" ht="17.25">
      <c r="A17" s="57" t="s">
        <v>15</v>
      </c>
      <c r="B17" s="56"/>
      <c r="C17" s="56"/>
      <c r="D17" s="56"/>
      <c r="E17" s="56"/>
      <c r="F17" s="56"/>
      <c r="G17" s="56"/>
      <c r="H17" s="56"/>
      <c r="I17" s="50"/>
      <c r="J17" s="50"/>
    </row>
    <row r="18" spans="1:10">
      <c r="A18" s="61" t="s">
        <v>16</v>
      </c>
      <c r="B18" s="56"/>
      <c r="C18" s="56"/>
      <c r="D18" s="56"/>
      <c r="E18" s="56"/>
      <c r="F18" s="56"/>
      <c r="G18" s="56"/>
      <c r="H18" s="56"/>
      <c r="I18" s="50"/>
      <c r="J18" s="50"/>
    </row>
    <row r="19" spans="1:10">
      <c r="A19" s="61" t="s">
        <v>17</v>
      </c>
      <c r="B19" s="56"/>
      <c r="C19" s="56"/>
      <c r="D19" s="56"/>
      <c r="E19" s="56"/>
      <c r="F19" s="56"/>
      <c r="G19" s="56"/>
      <c r="H19" s="56"/>
      <c r="I19" s="50"/>
      <c r="J19" s="50"/>
    </row>
    <row r="20" spans="1:10">
      <c r="A20" s="61" t="s">
        <v>18</v>
      </c>
      <c r="B20" s="56"/>
      <c r="C20" s="56"/>
      <c r="D20" s="56"/>
      <c r="E20" s="56"/>
      <c r="F20" s="56"/>
      <c r="G20" s="56"/>
      <c r="H20" s="56"/>
      <c r="I20" s="50"/>
      <c r="J20" s="50"/>
    </row>
    <row r="21" spans="1:10">
      <c r="A21" s="61" t="s">
        <v>19</v>
      </c>
      <c r="B21" s="56"/>
      <c r="C21" s="56"/>
      <c r="D21" s="56"/>
      <c r="E21" s="56"/>
      <c r="F21" s="56"/>
      <c r="G21" s="56"/>
      <c r="H21" s="56"/>
      <c r="I21" s="50"/>
      <c r="J21" s="50"/>
    </row>
    <row r="22" spans="1:10" ht="17.25">
      <c r="A22" s="57" t="s">
        <v>220</v>
      </c>
      <c r="B22" s="56"/>
      <c r="C22" s="56"/>
      <c r="D22" s="56"/>
      <c r="E22" s="56"/>
      <c r="F22" s="56"/>
      <c r="G22" s="56"/>
      <c r="H22" s="56"/>
      <c r="I22" s="50"/>
      <c r="J22" s="50"/>
    </row>
    <row r="23" spans="1:10">
      <c r="A23" s="61" t="s">
        <v>16</v>
      </c>
      <c r="B23" s="56"/>
      <c r="C23" s="56"/>
      <c r="D23" s="56"/>
      <c r="E23" s="56"/>
      <c r="F23" s="56"/>
      <c r="G23" s="56"/>
      <c r="H23" s="56"/>
      <c r="I23" s="50"/>
      <c r="J23" s="50"/>
    </row>
    <row r="24" spans="1:10">
      <c r="A24" s="61" t="s">
        <v>21</v>
      </c>
      <c r="B24" s="56"/>
      <c r="C24" s="56"/>
      <c r="D24" s="56"/>
      <c r="E24" s="56"/>
      <c r="F24" s="56"/>
      <c r="G24" s="56"/>
      <c r="H24" s="56"/>
      <c r="I24" s="50"/>
      <c r="J24" s="50"/>
    </row>
    <row r="25" spans="1:10">
      <c r="A25" s="61" t="s">
        <v>22</v>
      </c>
      <c r="B25" s="56"/>
      <c r="C25" s="56"/>
      <c r="D25" s="56"/>
      <c r="E25" s="56"/>
      <c r="F25" s="56"/>
      <c r="G25" s="56"/>
      <c r="H25" s="56"/>
      <c r="I25" s="50"/>
      <c r="J25" s="50"/>
    </row>
    <row r="26" spans="1:10">
      <c r="A26" s="61" t="s">
        <v>23</v>
      </c>
      <c r="B26" s="56"/>
      <c r="C26" s="56"/>
      <c r="D26" s="56"/>
      <c r="E26" s="56"/>
      <c r="F26" s="56"/>
      <c r="G26" s="56"/>
      <c r="H26" s="56"/>
      <c r="I26" s="50"/>
      <c r="J26" s="50"/>
    </row>
    <row r="27" spans="1:10">
      <c r="A27" s="61" t="s">
        <v>20</v>
      </c>
      <c r="B27" s="58">
        <f>+B24-B25-B26</f>
        <v>0</v>
      </c>
      <c r="C27" s="58">
        <f t="shared" ref="C27:J27" si="3">+C24-C25-C26</f>
        <v>0</v>
      </c>
      <c r="D27" s="58">
        <f t="shared" si="3"/>
        <v>0</v>
      </c>
      <c r="E27" s="58">
        <f t="shared" si="3"/>
        <v>0</v>
      </c>
      <c r="F27" s="58">
        <f t="shared" si="3"/>
        <v>0</v>
      </c>
      <c r="G27" s="58">
        <f t="shared" si="3"/>
        <v>0</v>
      </c>
      <c r="H27" s="58">
        <f t="shared" si="3"/>
        <v>0</v>
      </c>
      <c r="I27" s="58">
        <f t="shared" si="3"/>
        <v>0</v>
      </c>
      <c r="J27" s="58">
        <f t="shared" si="3"/>
        <v>0</v>
      </c>
    </row>
    <row r="28" spans="1:10">
      <c r="A28" s="60"/>
      <c r="B28" s="56"/>
      <c r="C28" s="56"/>
      <c r="D28" s="56"/>
      <c r="E28" s="56"/>
      <c r="F28" s="56"/>
      <c r="G28" s="56"/>
      <c r="H28" s="56"/>
      <c r="I28" s="50"/>
      <c r="J28" s="50"/>
    </row>
    <row r="29" spans="1:10" ht="17.25">
      <c r="A29" s="57" t="s">
        <v>24</v>
      </c>
      <c r="B29" s="58">
        <f>+SUM(B31:B37)</f>
        <v>0</v>
      </c>
      <c r="C29" s="58">
        <f t="shared" ref="C29:J29" si="4">+SUM(C31:C37)</f>
        <v>0</v>
      </c>
      <c r="D29" s="58">
        <f t="shared" si="4"/>
        <v>0</v>
      </c>
      <c r="E29" s="58">
        <f t="shared" si="4"/>
        <v>0</v>
      </c>
      <c r="F29" s="58">
        <f t="shared" si="4"/>
        <v>0</v>
      </c>
      <c r="G29" s="58">
        <f t="shared" si="4"/>
        <v>0</v>
      </c>
      <c r="H29" s="58">
        <f t="shared" si="4"/>
        <v>0</v>
      </c>
      <c r="I29" s="58">
        <f t="shared" si="4"/>
        <v>0</v>
      </c>
      <c r="J29" s="58">
        <f t="shared" si="4"/>
        <v>0</v>
      </c>
    </row>
    <row r="30" spans="1:10">
      <c r="A30" s="62" t="s">
        <v>25</v>
      </c>
      <c r="B30" s="56"/>
      <c r="C30" s="56"/>
      <c r="D30" s="56"/>
      <c r="E30" s="56"/>
      <c r="F30" s="56"/>
      <c r="G30" s="56"/>
      <c r="H30" s="56"/>
      <c r="I30" s="50"/>
      <c r="J30" s="50"/>
    </row>
    <row r="31" spans="1:10">
      <c r="A31" s="61" t="s">
        <v>26</v>
      </c>
      <c r="B31" s="56"/>
      <c r="C31" s="56"/>
      <c r="D31" s="56"/>
      <c r="E31" s="56"/>
      <c r="F31" s="56"/>
      <c r="G31" s="56"/>
      <c r="H31" s="56"/>
      <c r="I31" s="50"/>
      <c r="J31" s="50"/>
    </row>
    <row r="32" spans="1:10">
      <c r="A32" s="61" t="s">
        <v>27</v>
      </c>
      <c r="B32" s="56"/>
      <c r="C32" s="56"/>
      <c r="D32" s="56"/>
      <c r="E32" s="56"/>
      <c r="F32" s="56"/>
      <c r="G32" s="56"/>
      <c r="H32" s="56"/>
      <c r="I32" s="50"/>
      <c r="J32" s="50"/>
    </row>
    <row r="33" spans="1:10">
      <c r="A33" s="61" t="s">
        <v>28</v>
      </c>
      <c r="B33" s="56"/>
      <c r="C33" s="56"/>
      <c r="D33" s="56"/>
      <c r="E33" s="56"/>
      <c r="F33" s="56"/>
      <c r="G33" s="56"/>
      <c r="H33" s="56"/>
      <c r="I33" s="50"/>
      <c r="J33" s="50"/>
    </row>
    <row r="34" spans="1:10">
      <c r="A34" s="61" t="s">
        <v>29</v>
      </c>
      <c r="B34" s="56"/>
      <c r="C34" s="56"/>
      <c r="D34" s="56"/>
      <c r="E34" s="56"/>
      <c r="F34" s="56"/>
      <c r="G34" s="56"/>
      <c r="H34" s="56"/>
      <c r="I34" s="50"/>
      <c r="J34" s="50"/>
    </row>
    <row r="35" spans="1:10">
      <c r="A35" s="61" t="s">
        <v>30</v>
      </c>
      <c r="B35" s="56"/>
      <c r="C35" s="56"/>
      <c r="D35" s="56"/>
      <c r="E35" s="56"/>
      <c r="F35" s="56"/>
      <c r="G35" s="56"/>
      <c r="H35" s="56"/>
      <c r="I35" s="50"/>
      <c r="J35" s="50"/>
    </row>
    <row r="36" spans="1:10">
      <c r="A36" s="61" t="s">
        <v>31</v>
      </c>
      <c r="B36" s="56"/>
      <c r="C36" s="56"/>
      <c r="D36" s="56"/>
      <c r="E36" s="56"/>
      <c r="F36" s="56"/>
      <c r="G36" s="56"/>
      <c r="H36" s="56"/>
      <c r="I36" s="50"/>
      <c r="J36" s="50"/>
    </row>
    <row r="37" spans="1:10">
      <c r="A37" s="61" t="s">
        <v>32</v>
      </c>
      <c r="B37" s="56"/>
      <c r="C37" s="56"/>
      <c r="D37" s="56"/>
      <c r="E37" s="56"/>
      <c r="F37" s="56"/>
      <c r="G37" s="56"/>
      <c r="H37" s="56"/>
      <c r="I37" s="50"/>
      <c r="J37" s="50"/>
    </row>
    <row r="38" spans="1:10">
      <c r="A38" s="62" t="s">
        <v>33</v>
      </c>
      <c r="B38" s="58">
        <f>+SUM(B39:B42)</f>
        <v>0</v>
      </c>
      <c r="C38" s="58">
        <f t="shared" ref="C38:J38" si="5">+SUM(C39:C42)</f>
        <v>0</v>
      </c>
      <c r="D38" s="58">
        <f t="shared" si="5"/>
        <v>0</v>
      </c>
      <c r="E38" s="58">
        <f t="shared" si="5"/>
        <v>0</v>
      </c>
      <c r="F38" s="58">
        <f t="shared" si="5"/>
        <v>0</v>
      </c>
      <c r="G38" s="58">
        <f t="shared" si="5"/>
        <v>0</v>
      </c>
      <c r="H38" s="58">
        <f t="shared" si="5"/>
        <v>0</v>
      </c>
      <c r="I38" s="58">
        <f t="shared" si="5"/>
        <v>0</v>
      </c>
      <c r="J38" s="58">
        <f t="shared" si="5"/>
        <v>0</v>
      </c>
    </row>
    <row r="39" spans="1:10">
      <c r="A39" s="61" t="s">
        <v>34</v>
      </c>
      <c r="B39" s="56"/>
      <c r="C39" s="56"/>
      <c r="D39" s="56"/>
      <c r="E39" s="56"/>
      <c r="F39" s="56"/>
      <c r="G39" s="56"/>
      <c r="H39" s="56"/>
      <c r="I39" s="50"/>
      <c r="J39" s="50"/>
    </row>
    <row r="40" spans="1:10">
      <c r="A40" s="61" t="s">
        <v>35</v>
      </c>
      <c r="B40" s="56"/>
      <c r="C40" s="56"/>
      <c r="D40" s="56"/>
      <c r="E40" s="56"/>
      <c r="F40" s="56"/>
      <c r="G40" s="56"/>
      <c r="H40" s="56"/>
      <c r="I40" s="50"/>
      <c r="J40" s="50"/>
    </row>
    <row r="41" spans="1:10">
      <c r="A41" s="61" t="s">
        <v>36</v>
      </c>
      <c r="B41" s="56"/>
      <c r="C41" s="56"/>
      <c r="D41" s="56"/>
      <c r="E41" s="56"/>
      <c r="F41" s="56"/>
      <c r="G41" s="56"/>
      <c r="H41" s="56"/>
      <c r="I41" s="50"/>
      <c r="J41" s="50"/>
    </row>
    <row r="42" spans="1:10">
      <c r="A42" s="61" t="s">
        <v>37</v>
      </c>
      <c r="B42" s="56"/>
      <c r="C42" s="56"/>
      <c r="D42" s="56"/>
      <c r="E42" s="56"/>
      <c r="F42" s="56"/>
      <c r="G42" s="56"/>
      <c r="H42" s="56"/>
      <c r="I42" s="50"/>
      <c r="J42" s="50"/>
    </row>
    <row r="43" spans="1:10">
      <c r="A43" s="62" t="s">
        <v>20</v>
      </c>
      <c r="B43" s="58">
        <f>+B29-B38</f>
        <v>0</v>
      </c>
      <c r="C43" s="58">
        <f t="shared" ref="C43:J43" si="6">+C29-C38</f>
        <v>0</v>
      </c>
      <c r="D43" s="58">
        <f t="shared" si="6"/>
        <v>0</v>
      </c>
      <c r="E43" s="58">
        <f t="shared" si="6"/>
        <v>0</v>
      </c>
      <c r="F43" s="58">
        <f t="shared" si="6"/>
        <v>0</v>
      </c>
      <c r="G43" s="58">
        <f t="shared" si="6"/>
        <v>0</v>
      </c>
      <c r="H43" s="58">
        <f t="shared" si="6"/>
        <v>0</v>
      </c>
      <c r="I43" s="58">
        <f t="shared" si="6"/>
        <v>0</v>
      </c>
      <c r="J43" s="58">
        <f t="shared" si="6"/>
        <v>0</v>
      </c>
    </row>
    <row r="44" spans="1:10">
      <c r="A44" s="61" t="s">
        <v>38</v>
      </c>
      <c r="B44" s="56"/>
      <c r="C44" s="56"/>
      <c r="D44" s="56"/>
      <c r="E44" s="56"/>
      <c r="F44" s="56"/>
      <c r="G44" s="56"/>
      <c r="H44" s="56"/>
      <c r="I44" s="50"/>
      <c r="J44" s="50"/>
    </row>
    <row r="45" spans="1:10">
      <c r="A45" s="61" t="s">
        <v>39</v>
      </c>
      <c r="B45" s="56"/>
      <c r="C45" s="56"/>
      <c r="D45" s="56"/>
      <c r="E45" s="56"/>
      <c r="F45" s="56"/>
      <c r="G45" s="56"/>
      <c r="H45" s="56"/>
      <c r="I45" s="50"/>
      <c r="J45" s="50"/>
    </row>
    <row r="46" spans="1:10">
      <c r="A46" s="61" t="s">
        <v>40</v>
      </c>
      <c r="B46" s="56"/>
      <c r="C46" s="56"/>
      <c r="D46" s="56"/>
      <c r="E46" s="56"/>
      <c r="F46" s="56"/>
      <c r="G46" s="56"/>
      <c r="H46" s="56"/>
      <c r="I46" s="50"/>
      <c r="J46" s="50"/>
    </row>
    <row r="47" spans="1:10">
      <c r="A47" s="62" t="s">
        <v>41</v>
      </c>
      <c r="B47" s="58">
        <f>+B43+B44+B45+B46</f>
        <v>0</v>
      </c>
      <c r="C47" s="58">
        <f t="shared" ref="C47:J47" si="7">+C43+C44+C45+C46</f>
        <v>0</v>
      </c>
      <c r="D47" s="58">
        <f t="shared" si="7"/>
        <v>0</v>
      </c>
      <c r="E47" s="58">
        <f t="shared" si="7"/>
        <v>0</v>
      </c>
      <c r="F47" s="58">
        <f t="shared" si="7"/>
        <v>0</v>
      </c>
      <c r="G47" s="58">
        <f t="shared" si="7"/>
        <v>0</v>
      </c>
      <c r="H47" s="58">
        <f t="shared" si="7"/>
        <v>0</v>
      </c>
      <c r="I47" s="58">
        <f t="shared" si="7"/>
        <v>0</v>
      </c>
      <c r="J47" s="58">
        <f t="shared" si="7"/>
        <v>0</v>
      </c>
    </row>
    <row r="48" spans="1:10">
      <c r="A48" s="60"/>
      <c r="B48" s="56"/>
      <c r="C48" s="56"/>
      <c r="D48" s="56"/>
      <c r="E48" s="56"/>
      <c r="F48" s="56"/>
      <c r="G48" s="56"/>
      <c r="H48" s="56"/>
      <c r="I48" s="50"/>
      <c r="J48" s="50"/>
    </row>
    <row r="49" spans="1:10" ht="17.25">
      <c r="A49" s="57" t="s">
        <v>42</v>
      </c>
      <c r="B49" s="58">
        <f>+B51+B52</f>
        <v>0</v>
      </c>
      <c r="C49" s="58">
        <f t="shared" ref="C49:J49" si="8">+C51+C52</f>
        <v>0</v>
      </c>
      <c r="D49" s="58">
        <f t="shared" si="8"/>
        <v>0</v>
      </c>
      <c r="E49" s="58">
        <f t="shared" si="8"/>
        <v>0</v>
      </c>
      <c r="F49" s="58">
        <f t="shared" si="8"/>
        <v>0</v>
      </c>
      <c r="G49" s="58">
        <f t="shared" si="8"/>
        <v>0</v>
      </c>
      <c r="H49" s="58">
        <f t="shared" si="8"/>
        <v>0</v>
      </c>
      <c r="I49" s="58">
        <f t="shared" si="8"/>
        <v>0</v>
      </c>
      <c r="J49" s="58">
        <f t="shared" si="8"/>
        <v>0</v>
      </c>
    </row>
    <row r="50" spans="1:10">
      <c r="A50" s="61" t="s">
        <v>3</v>
      </c>
      <c r="B50" s="56"/>
      <c r="C50" s="56"/>
      <c r="D50" s="56"/>
      <c r="E50" s="56"/>
      <c r="F50" s="56"/>
      <c r="G50" s="56"/>
      <c r="H50" s="56"/>
      <c r="I50" s="50"/>
      <c r="J50" s="50"/>
    </row>
    <row r="51" spans="1:10">
      <c r="A51" s="61" t="s">
        <v>43</v>
      </c>
      <c r="B51" s="56"/>
      <c r="C51" s="56"/>
      <c r="D51" s="56"/>
      <c r="E51" s="56"/>
      <c r="F51" s="56"/>
      <c r="G51" s="56"/>
      <c r="H51" s="56"/>
      <c r="I51" s="50"/>
      <c r="J51" s="50"/>
    </row>
    <row r="52" spans="1:10">
      <c r="A52" s="61" t="s">
        <v>30</v>
      </c>
      <c r="B52" s="56"/>
      <c r="C52" s="56"/>
      <c r="D52" s="56"/>
      <c r="E52" s="56"/>
      <c r="F52" s="56"/>
      <c r="G52" s="56"/>
      <c r="H52" s="56"/>
      <c r="I52" s="50"/>
      <c r="J52" s="50"/>
    </row>
    <row r="53" spans="1:10">
      <c r="A53" s="61" t="s">
        <v>33</v>
      </c>
      <c r="B53" s="56"/>
      <c r="C53" s="56"/>
      <c r="D53" s="56"/>
      <c r="E53" s="56"/>
      <c r="F53" s="56"/>
      <c r="G53" s="56"/>
      <c r="H53" s="56"/>
      <c r="I53" s="50"/>
      <c r="J53" s="50"/>
    </row>
    <row r="54" spans="1:10">
      <c r="A54" s="62" t="s">
        <v>20</v>
      </c>
      <c r="B54" s="58">
        <f>+B49-B53</f>
        <v>0</v>
      </c>
      <c r="C54" s="58">
        <f>+C49-C53</f>
        <v>0</v>
      </c>
      <c r="D54" s="58">
        <f t="shared" ref="D54:J54" si="9">+D49-D53</f>
        <v>0</v>
      </c>
      <c r="E54" s="58">
        <f t="shared" si="9"/>
        <v>0</v>
      </c>
      <c r="F54" s="58">
        <f t="shared" si="9"/>
        <v>0</v>
      </c>
      <c r="G54" s="58">
        <f t="shared" si="9"/>
        <v>0</v>
      </c>
      <c r="H54" s="58">
        <f t="shared" si="9"/>
        <v>0</v>
      </c>
      <c r="I54" s="58">
        <f t="shared" si="9"/>
        <v>0</v>
      </c>
      <c r="J54" s="58">
        <f t="shared" si="9"/>
        <v>0</v>
      </c>
    </row>
    <row r="55" spans="1:10">
      <c r="A55" s="61" t="s">
        <v>44</v>
      </c>
      <c r="B55" s="56"/>
      <c r="C55" s="56"/>
      <c r="D55" s="56"/>
      <c r="E55" s="56"/>
      <c r="F55" s="56"/>
      <c r="G55" s="56"/>
      <c r="H55" s="56"/>
      <c r="I55" s="50"/>
      <c r="J55" s="50"/>
    </row>
    <row r="56" spans="1:10">
      <c r="A56" s="61" t="s">
        <v>33</v>
      </c>
      <c r="B56" s="56"/>
      <c r="C56" s="56"/>
      <c r="D56" s="56"/>
      <c r="E56" s="56"/>
      <c r="F56" s="56"/>
      <c r="G56" s="56"/>
      <c r="H56" s="56"/>
      <c r="I56" s="50"/>
      <c r="J56" s="50"/>
    </row>
    <row r="57" spans="1:10">
      <c r="A57" s="62" t="s">
        <v>20</v>
      </c>
      <c r="B57" s="58">
        <f t="shared" ref="B57:J57" si="10">+B55-B56</f>
        <v>0</v>
      </c>
      <c r="C57" s="58">
        <f t="shared" si="10"/>
        <v>0</v>
      </c>
      <c r="D57" s="58">
        <f t="shared" si="10"/>
        <v>0</v>
      </c>
      <c r="E57" s="58">
        <f t="shared" si="10"/>
        <v>0</v>
      </c>
      <c r="F57" s="58">
        <f t="shared" si="10"/>
        <v>0</v>
      </c>
      <c r="G57" s="58">
        <f t="shared" si="10"/>
        <v>0</v>
      </c>
      <c r="H57" s="58">
        <f t="shared" si="10"/>
        <v>0</v>
      </c>
      <c r="I57" s="58">
        <f t="shared" si="10"/>
        <v>0</v>
      </c>
      <c r="J57" s="58">
        <f t="shared" si="10"/>
        <v>0</v>
      </c>
    </row>
    <row r="58" spans="1:10">
      <c r="A58" s="62" t="s">
        <v>45</v>
      </c>
      <c r="B58" s="56"/>
      <c r="C58" s="56"/>
      <c r="D58" s="56"/>
      <c r="E58" s="56"/>
      <c r="F58" s="56"/>
      <c r="G58" s="56"/>
      <c r="H58" s="56"/>
      <c r="I58" s="56"/>
      <c r="J58" s="56"/>
    </row>
    <row r="59" spans="1:10">
      <c r="A59" s="60"/>
      <c r="B59" s="56"/>
      <c r="C59" s="56"/>
      <c r="D59" s="56"/>
      <c r="E59" s="56"/>
      <c r="F59" s="56"/>
      <c r="G59" s="56"/>
      <c r="H59" s="56"/>
      <c r="I59" s="50"/>
      <c r="J59" s="50"/>
    </row>
    <row r="60" spans="1:10">
      <c r="A60" s="63" t="s">
        <v>46</v>
      </c>
      <c r="B60" s="58">
        <f>+SUM(B61:B69)</f>
        <v>0</v>
      </c>
      <c r="C60" s="58">
        <f t="shared" ref="C60:J60" si="11">+SUM(C61:C69)</f>
        <v>0</v>
      </c>
      <c r="D60" s="58">
        <f t="shared" si="11"/>
        <v>0</v>
      </c>
      <c r="E60" s="58">
        <f t="shared" si="11"/>
        <v>0</v>
      </c>
      <c r="F60" s="58">
        <f t="shared" si="11"/>
        <v>0</v>
      </c>
      <c r="G60" s="58">
        <f t="shared" si="11"/>
        <v>0</v>
      </c>
      <c r="H60" s="58">
        <f t="shared" si="11"/>
        <v>0</v>
      </c>
      <c r="I60" s="58">
        <f t="shared" si="11"/>
        <v>0</v>
      </c>
      <c r="J60" s="58">
        <f t="shared" si="11"/>
        <v>0</v>
      </c>
    </row>
    <row r="61" spans="1:10">
      <c r="A61" s="61" t="s">
        <v>47</v>
      </c>
      <c r="B61" s="56"/>
      <c r="C61" s="56"/>
      <c r="D61" s="56"/>
      <c r="E61" s="56"/>
      <c r="F61" s="56"/>
      <c r="G61" s="56"/>
      <c r="H61" s="56"/>
      <c r="I61" s="50"/>
      <c r="J61" s="50"/>
    </row>
    <row r="62" spans="1:10">
      <c r="A62" s="61" t="s">
        <v>48</v>
      </c>
      <c r="B62" s="56"/>
      <c r="C62" s="56"/>
      <c r="D62" s="56"/>
      <c r="E62" s="56"/>
      <c r="F62" s="56"/>
      <c r="G62" s="56"/>
      <c r="H62" s="56"/>
      <c r="I62" s="50"/>
      <c r="J62" s="50"/>
    </row>
    <row r="63" spans="1:10">
      <c r="A63" s="61" t="s">
        <v>49</v>
      </c>
      <c r="B63" s="56"/>
      <c r="C63" s="56"/>
      <c r="D63" s="56"/>
      <c r="E63" s="56"/>
      <c r="F63" s="56"/>
      <c r="G63" s="56"/>
      <c r="H63" s="56"/>
      <c r="I63" s="50"/>
      <c r="J63" s="50"/>
    </row>
    <row r="64" spans="1:10">
      <c r="A64" s="61" t="s">
        <v>50</v>
      </c>
      <c r="B64" s="56"/>
      <c r="C64" s="56"/>
      <c r="D64" s="56"/>
      <c r="E64" s="56"/>
      <c r="F64" s="56"/>
      <c r="G64" s="56"/>
      <c r="H64" s="56"/>
      <c r="I64" s="50"/>
      <c r="J64" s="50"/>
    </row>
    <row r="65" spans="1:10">
      <c r="A65" s="61" t="s">
        <v>51</v>
      </c>
      <c r="B65" s="56"/>
      <c r="C65" s="56"/>
      <c r="D65" s="56"/>
      <c r="E65" s="56"/>
      <c r="F65" s="56"/>
      <c r="G65" s="56"/>
      <c r="H65" s="56"/>
      <c r="I65" s="50"/>
      <c r="J65" s="50"/>
    </row>
    <row r="66" spans="1:10">
      <c r="A66" s="61" t="s">
        <v>52</v>
      </c>
      <c r="B66" s="56"/>
      <c r="C66" s="56"/>
      <c r="D66" s="56"/>
      <c r="E66" s="56"/>
      <c r="F66" s="56"/>
      <c r="G66" s="56"/>
      <c r="H66" s="56"/>
      <c r="I66" s="50"/>
      <c r="J66" s="50"/>
    </row>
    <row r="67" spans="1:10">
      <c r="A67" s="61" t="s">
        <v>53</v>
      </c>
      <c r="B67" s="56"/>
      <c r="C67" s="56"/>
      <c r="D67" s="56"/>
      <c r="E67" s="56"/>
      <c r="F67" s="56"/>
      <c r="G67" s="56"/>
      <c r="H67" s="56"/>
      <c r="I67" s="50"/>
      <c r="J67" s="50"/>
    </row>
    <row r="68" spans="1:10">
      <c r="A68" s="61" t="s">
        <v>54</v>
      </c>
      <c r="B68" s="56"/>
      <c r="C68" s="56"/>
      <c r="D68" s="56"/>
      <c r="E68" s="56"/>
      <c r="F68" s="56"/>
      <c r="G68" s="56"/>
      <c r="H68" s="56"/>
      <c r="I68" s="50"/>
      <c r="J68" s="50"/>
    </row>
    <row r="69" spans="1:10">
      <c r="A69" s="61" t="s">
        <v>55</v>
      </c>
      <c r="B69" s="56"/>
      <c r="C69" s="56"/>
      <c r="D69" s="56"/>
      <c r="E69" s="56"/>
      <c r="F69" s="56"/>
      <c r="G69" s="56"/>
      <c r="H69" s="56"/>
      <c r="I69" s="50"/>
      <c r="J69" s="50"/>
    </row>
    <row r="70" spans="1:10">
      <c r="A70" s="64" t="s">
        <v>56</v>
      </c>
      <c r="B70" s="58">
        <f>+(B7/3.5%)+B8+B13+B29+B27+B49+B55+B60</f>
        <v>0</v>
      </c>
      <c r="C70" s="58">
        <f t="shared" ref="C70:J70" si="12">+(C7/3.5%)+C8+C13+C29+C27+C49+C55+C60</f>
        <v>0</v>
      </c>
      <c r="D70" s="58">
        <f t="shared" si="12"/>
        <v>0</v>
      </c>
      <c r="E70" s="58">
        <f t="shared" si="12"/>
        <v>0</v>
      </c>
      <c r="F70" s="58">
        <f t="shared" si="12"/>
        <v>0</v>
      </c>
      <c r="G70" s="58">
        <f t="shared" si="12"/>
        <v>0</v>
      </c>
      <c r="H70" s="58">
        <f t="shared" si="12"/>
        <v>0</v>
      </c>
      <c r="I70" s="58">
        <f t="shared" si="12"/>
        <v>0</v>
      </c>
      <c r="J70" s="58">
        <f t="shared" si="12"/>
        <v>0</v>
      </c>
    </row>
    <row r="71" spans="1:10">
      <c r="A71" s="64" t="s">
        <v>57</v>
      </c>
      <c r="B71" s="58">
        <f>+B6+B27+B47+B58+B60</f>
        <v>0</v>
      </c>
      <c r="C71" s="58">
        <f t="shared" ref="C71:J71" si="13">+C6+C27+C47+C58+C60</f>
        <v>0</v>
      </c>
      <c r="D71" s="58">
        <f t="shared" si="13"/>
        <v>0</v>
      </c>
      <c r="E71" s="58">
        <f t="shared" si="13"/>
        <v>0</v>
      </c>
      <c r="F71" s="58">
        <f t="shared" si="13"/>
        <v>0</v>
      </c>
      <c r="G71" s="58">
        <f t="shared" si="13"/>
        <v>0</v>
      </c>
      <c r="H71" s="58">
        <f t="shared" si="13"/>
        <v>0</v>
      </c>
      <c r="I71" s="58">
        <f t="shared" si="13"/>
        <v>0</v>
      </c>
      <c r="J71" s="58">
        <f t="shared" si="13"/>
        <v>0</v>
      </c>
    </row>
    <row r="72" spans="1:10">
      <c r="A72" s="65" t="s">
        <v>58</v>
      </c>
      <c r="B72" s="111">
        <f>IFERROR(B71/B70,0)</f>
        <v>0</v>
      </c>
      <c r="C72" s="111">
        <f t="shared" ref="C72:J72" si="14">IFERROR(C71/C70,0)</f>
        <v>0</v>
      </c>
      <c r="D72" s="111">
        <f t="shared" si="14"/>
        <v>0</v>
      </c>
      <c r="E72" s="111">
        <f t="shared" si="14"/>
        <v>0</v>
      </c>
      <c r="F72" s="111">
        <f t="shared" si="14"/>
        <v>0</v>
      </c>
      <c r="G72" s="111">
        <f t="shared" si="14"/>
        <v>0</v>
      </c>
      <c r="H72" s="111">
        <f t="shared" si="14"/>
        <v>0</v>
      </c>
      <c r="I72" s="111">
        <f t="shared" si="14"/>
        <v>0</v>
      </c>
      <c r="J72" s="111">
        <f t="shared" si="14"/>
        <v>0</v>
      </c>
    </row>
    <row r="73" spans="1:10">
      <c r="A73" s="60"/>
      <c r="B73" s="56"/>
      <c r="C73" s="56"/>
      <c r="D73" s="56"/>
      <c r="E73" s="56"/>
      <c r="F73" s="56"/>
      <c r="G73" s="56"/>
      <c r="H73" s="56"/>
      <c r="I73" s="50"/>
      <c r="J73" s="50"/>
    </row>
    <row r="74" spans="1:10">
      <c r="A74" s="60"/>
      <c r="B74" s="56"/>
      <c r="C74" s="56"/>
      <c r="D74" s="56"/>
      <c r="E74" s="56"/>
      <c r="F74" s="56"/>
      <c r="G74" s="56"/>
      <c r="H74" s="56"/>
      <c r="I74" s="50"/>
      <c r="J74" s="50"/>
    </row>
    <row r="75" spans="1:10" ht="17.25">
      <c r="A75" s="17" t="s">
        <v>59</v>
      </c>
      <c r="B75" s="67">
        <f>+B76+B87+B90</f>
        <v>0</v>
      </c>
      <c r="C75" s="67">
        <f t="shared" ref="C75:J75" si="15">+C76+C87+C90</f>
        <v>0</v>
      </c>
      <c r="D75" s="67">
        <f t="shared" si="15"/>
        <v>0</v>
      </c>
      <c r="E75" s="67">
        <f t="shared" si="15"/>
        <v>0</v>
      </c>
      <c r="F75" s="67">
        <f t="shared" si="15"/>
        <v>0</v>
      </c>
      <c r="G75" s="67">
        <f t="shared" si="15"/>
        <v>0</v>
      </c>
      <c r="H75" s="67">
        <f t="shared" si="15"/>
        <v>0</v>
      </c>
      <c r="I75" s="67">
        <f t="shared" si="15"/>
        <v>0</v>
      </c>
      <c r="J75" s="67">
        <f t="shared" si="15"/>
        <v>0</v>
      </c>
    </row>
    <row r="76" spans="1:10">
      <c r="A76" s="66" t="s">
        <v>60</v>
      </c>
      <c r="B76" s="67">
        <f>+SUM(B77:B86)</f>
        <v>0</v>
      </c>
      <c r="C76" s="67">
        <f t="shared" ref="C76:J76" si="16">+SUM(C77:C86)</f>
        <v>0</v>
      </c>
      <c r="D76" s="67">
        <f t="shared" si="16"/>
        <v>0</v>
      </c>
      <c r="E76" s="67">
        <f t="shared" si="16"/>
        <v>0</v>
      </c>
      <c r="F76" s="67">
        <f t="shared" si="16"/>
        <v>0</v>
      </c>
      <c r="G76" s="67">
        <f t="shared" si="16"/>
        <v>0</v>
      </c>
      <c r="H76" s="67">
        <f t="shared" si="16"/>
        <v>0</v>
      </c>
      <c r="I76" s="67">
        <f t="shared" si="16"/>
        <v>0</v>
      </c>
      <c r="J76" s="67">
        <f t="shared" si="16"/>
        <v>0</v>
      </c>
    </row>
    <row r="77" spans="1:10">
      <c r="A77" s="61" t="s">
        <v>61</v>
      </c>
      <c r="B77" s="68"/>
      <c r="C77" s="68"/>
      <c r="D77" s="68"/>
      <c r="E77" s="68"/>
      <c r="F77" s="68"/>
      <c r="G77" s="68"/>
      <c r="H77" s="68"/>
      <c r="I77" s="68"/>
      <c r="J77" s="68"/>
    </row>
    <row r="78" spans="1:10">
      <c r="A78" s="61" t="s">
        <v>62</v>
      </c>
      <c r="B78" s="68"/>
      <c r="C78" s="68"/>
      <c r="D78" s="68"/>
      <c r="E78" s="68"/>
      <c r="F78" s="68"/>
      <c r="G78" s="68"/>
      <c r="H78" s="68"/>
      <c r="I78" s="68"/>
      <c r="J78" s="68"/>
    </row>
    <row r="79" spans="1:10">
      <c r="A79" s="61" t="s">
        <v>63</v>
      </c>
      <c r="B79" s="68"/>
      <c r="C79" s="68"/>
      <c r="D79" s="68"/>
      <c r="E79" s="68"/>
      <c r="F79" s="68"/>
      <c r="G79" s="68"/>
      <c r="H79" s="68"/>
      <c r="I79" s="68"/>
      <c r="J79" s="68"/>
    </row>
    <row r="80" spans="1:10">
      <c r="A80" s="61" t="s">
        <v>221</v>
      </c>
      <c r="B80" s="68"/>
      <c r="C80" s="68"/>
      <c r="D80" s="68"/>
      <c r="E80" s="68"/>
      <c r="F80" s="68"/>
      <c r="G80" s="68"/>
      <c r="H80" s="68"/>
      <c r="I80" s="68"/>
      <c r="J80" s="68"/>
    </row>
    <row r="81" spans="1:10">
      <c r="A81" s="61" t="s">
        <v>65</v>
      </c>
      <c r="B81" s="68"/>
      <c r="C81" s="68"/>
      <c r="D81" s="68"/>
      <c r="E81" s="68"/>
      <c r="F81" s="68"/>
      <c r="G81" s="68"/>
      <c r="H81" s="68"/>
      <c r="I81" s="68"/>
      <c r="J81" s="68"/>
    </row>
    <row r="82" spans="1:10">
      <c r="A82" s="61" t="s">
        <v>66</v>
      </c>
      <c r="B82" s="68"/>
      <c r="C82" s="68"/>
      <c r="D82" s="68"/>
      <c r="E82" s="68"/>
      <c r="F82" s="68"/>
      <c r="G82" s="68"/>
      <c r="H82" s="68"/>
      <c r="I82" s="68"/>
      <c r="J82" s="68"/>
    </row>
    <row r="83" spans="1:10">
      <c r="A83" s="61" t="s">
        <v>67</v>
      </c>
      <c r="B83" s="68"/>
      <c r="C83" s="68"/>
      <c r="D83" s="68"/>
      <c r="E83" s="68"/>
      <c r="F83" s="68"/>
      <c r="G83" s="68"/>
      <c r="H83" s="68"/>
      <c r="I83" s="68"/>
      <c r="J83" s="68"/>
    </row>
    <row r="84" spans="1:10">
      <c r="A84" s="61" t="s">
        <v>68</v>
      </c>
      <c r="B84" s="68"/>
      <c r="C84" s="68"/>
      <c r="D84" s="68"/>
      <c r="E84" s="68"/>
      <c r="F84" s="68"/>
      <c r="G84" s="68"/>
      <c r="H84" s="68"/>
      <c r="I84" s="68"/>
      <c r="J84" s="68"/>
    </row>
    <row r="85" spans="1:10">
      <c r="A85" s="61" t="s">
        <v>69</v>
      </c>
      <c r="B85" s="68"/>
      <c r="C85" s="68"/>
      <c r="D85" s="68"/>
      <c r="E85" s="68"/>
      <c r="F85" s="68"/>
      <c r="G85" s="68"/>
      <c r="H85" s="68"/>
      <c r="I85" s="68"/>
      <c r="J85" s="68"/>
    </row>
    <row r="86" spans="1:10">
      <c r="A86" s="61" t="s">
        <v>70</v>
      </c>
      <c r="B86" s="68"/>
      <c r="C86" s="68"/>
      <c r="D86" s="68"/>
      <c r="E86" s="68"/>
      <c r="F86" s="68"/>
      <c r="G86" s="68"/>
      <c r="H86" s="68"/>
      <c r="I86" s="68"/>
      <c r="J86" s="68"/>
    </row>
    <row r="87" spans="1:10">
      <c r="A87" s="66" t="s">
        <v>71</v>
      </c>
      <c r="B87" s="67">
        <f>+SUM(B88:B89)</f>
        <v>0</v>
      </c>
      <c r="C87" s="67">
        <f t="shared" ref="C87:J87" si="17">+SUM(C88:C89)</f>
        <v>0</v>
      </c>
      <c r="D87" s="67">
        <f t="shared" si="17"/>
        <v>0</v>
      </c>
      <c r="E87" s="67">
        <f t="shared" si="17"/>
        <v>0</v>
      </c>
      <c r="F87" s="67">
        <f t="shared" si="17"/>
        <v>0</v>
      </c>
      <c r="G87" s="67">
        <f t="shared" si="17"/>
        <v>0</v>
      </c>
      <c r="H87" s="67">
        <f t="shared" si="17"/>
        <v>0</v>
      </c>
      <c r="I87" s="67">
        <f t="shared" si="17"/>
        <v>0</v>
      </c>
      <c r="J87" s="67">
        <f t="shared" si="17"/>
        <v>0</v>
      </c>
    </row>
    <row r="88" spans="1:10">
      <c r="A88" s="61" t="s">
        <v>222</v>
      </c>
      <c r="B88" s="68"/>
      <c r="C88" s="68"/>
      <c r="D88" s="68"/>
      <c r="E88" s="68"/>
      <c r="F88" s="68"/>
      <c r="G88" s="68"/>
      <c r="H88" s="68"/>
      <c r="I88" s="68"/>
      <c r="J88" s="68"/>
    </row>
    <row r="89" spans="1:10">
      <c r="A89" s="61" t="s">
        <v>223</v>
      </c>
      <c r="B89" s="68"/>
      <c r="C89" s="68"/>
      <c r="D89" s="68"/>
      <c r="E89" s="68"/>
      <c r="F89" s="68"/>
      <c r="G89" s="68"/>
      <c r="H89" s="68"/>
      <c r="I89" s="68"/>
      <c r="J89" s="68"/>
    </row>
    <row r="90" spans="1:10">
      <c r="A90" s="66" t="s">
        <v>72</v>
      </c>
      <c r="B90" s="67">
        <f>+SUM(B91:B102)</f>
        <v>0</v>
      </c>
      <c r="C90" s="67">
        <f t="shared" ref="C90:J90" si="18">+SUM(C91:C102)</f>
        <v>0</v>
      </c>
      <c r="D90" s="67">
        <f t="shared" si="18"/>
        <v>0</v>
      </c>
      <c r="E90" s="67">
        <f t="shared" si="18"/>
        <v>0</v>
      </c>
      <c r="F90" s="67">
        <f t="shared" si="18"/>
        <v>0</v>
      </c>
      <c r="G90" s="67">
        <f t="shared" si="18"/>
        <v>0</v>
      </c>
      <c r="H90" s="67">
        <f t="shared" si="18"/>
        <v>0</v>
      </c>
      <c r="I90" s="67">
        <f t="shared" si="18"/>
        <v>0</v>
      </c>
      <c r="J90" s="67">
        <f t="shared" si="18"/>
        <v>0</v>
      </c>
    </row>
    <row r="91" spans="1:10">
      <c r="A91" s="61" t="s">
        <v>224</v>
      </c>
      <c r="B91" s="68"/>
      <c r="C91" s="68"/>
      <c r="D91" s="68"/>
      <c r="E91" s="68"/>
      <c r="F91" s="68"/>
      <c r="G91" s="68"/>
      <c r="H91" s="68"/>
      <c r="I91" s="68"/>
      <c r="J91" s="68"/>
    </row>
    <row r="92" spans="1:10">
      <c r="A92" s="61" t="s">
        <v>73</v>
      </c>
      <c r="B92" s="68"/>
      <c r="C92" s="68"/>
      <c r="D92" s="68"/>
      <c r="E92" s="68"/>
      <c r="F92" s="68"/>
      <c r="G92" s="68"/>
      <c r="H92" s="68"/>
      <c r="I92" s="68"/>
      <c r="J92" s="68"/>
    </row>
    <row r="93" spans="1:10">
      <c r="A93" s="61" t="s">
        <v>74</v>
      </c>
      <c r="B93" s="68"/>
      <c r="C93" s="68"/>
      <c r="D93" s="68"/>
      <c r="E93" s="68"/>
      <c r="F93" s="68"/>
      <c r="G93" s="68"/>
      <c r="H93" s="68"/>
      <c r="I93" s="68"/>
      <c r="J93" s="68"/>
    </row>
    <row r="94" spans="1:10">
      <c r="A94" s="61" t="s">
        <v>75</v>
      </c>
      <c r="B94" s="68"/>
      <c r="C94" s="68"/>
      <c r="D94" s="68"/>
      <c r="E94" s="68"/>
      <c r="F94" s="68"/>
      <c r="G94" s="68"/>
      <c r="H94" s="68"/>
      <c r="I94" s="68"/>
      <c r="J94" s="68"/>
    </row>
    <row r="95" spans="1:10">
      <c r="A95" s="61" t="s">
        <v>76</v>
      </c>
      <c r="B95" s="68"/>
      <c r="C95" s="68"/>
      <c r="D95" s="68"/>
      <c r="E95" s="68"/>
      <c r="F95" s="68"/>
      <c r="G95" s="68"/>
      <c r="H95" s="68"/>
      <c r="I95" s="68"/>
      <c r="J95" s="68"/>
    </row>
    <row r="96" spans="1:10">
      <c r="A96" s="61" t="s">
        <v>77</v>
      </c>
      <c r="B96" s="68"/>
      <c r="C96" s="68"/>
      <c r="D96" s="68"/>
      <c r="E96" s="68"/>
      <c r="F96" s="68"/>
      <c r="G96" s="68"/>
      <c r="H96" s="68"/>
      <c r="I96" s="68"/>
      <c r="J96" s="68"/>
    </row>
    <row r="97" spans="1:10">
      <c r="A97" s="61" t="s">
        <v>78</v>
      </c>
      <c r="B97" s="68"/>
      <c r="C97" s="68"/>
      <c r="D97" s="68"/>
      <c r="E97" s="68"/>
      <c r="F97" s="68"/>
      <c r="G97" s="68"/>
      <c r="H97" s="68"/>
      <c r="I97" s="68"/>
      <c r="J97" s="68"/>
    </row>
    <row r="98" spans="1:10">
      <c r="A98" s="61" t="s">
        <v>79</v>
      </c>
      <c r="B98" s="68"/>
      <c r="C98" s="68"/>
      <c r="D98" s="68"/>
      <c r="E98" s="68"/>
      <c r="F98" s="68"/>
      <c r="G98" s="68"/>
      <c r="H98" s="68"/>
      <c r="I98" s="68"/>
      <c r="J98" s="68"/>
    </row>
    <row r="99" spans="1:10">
      <c r="A99" s="61" t="s">
        <v>80</v>
      </c>
      <c r="B99" s="68"/>
      <c r="C99" s="68"/>
      <c r="D99" s="68"/>
      <c r="E99" s="68"/>
      <c r="F99" s="68"/>
      <c r="G99" s="68"/>
      <c r="H99" s="68"/>
      <c r="I99" s="68"/>
      <c r="J99" s="68"/>
    </row>
    <row r="100" spans="1:10">
      <c r="A100" s="61" t="s">
        <v>81</v>
      </c>
      <c r="B100" s="68"/>
      <c r="C100" s="68"/>
      <c r="D100" s="68"/>
      <c r="E100" s="68"/>
      <c r="F100" s="68"/>
      <c r="G100" s="68"/>
      <c r="H100" s="68"/>
      <c r="I100" s="68"/>
      <c r="J100" s="68"/>
    </row>
    <row r="101" spans="1:10">
      <c r="A101" s="61" t="s">
        <v>82</v>
      </c>
      <c r="B101" s="68"/>
      <c r="C101" s="68"/>
      <c r="D101" s="68"/>
      <c r="E101" s="68"/>
      <c r="F101" s="68"/>
      <c r="G101" s="68"/>
      <c r="H101" s="68"/>
      <c r="I101" s="68"/>
      <c r="J101" s="68"/>
    </row>
    <row r="102" spans="1:10">
      <c r="A102" s="61" t="s">
        <v>83</v>
      </c>
      <c r="B102" s="68"/>
      <c r="C102" s="68"/>
      <c r="D102" s="68"/>
      <c r="E102" s="68"/>
      <c r="F102" s="68"/>
      <c r="G102" s="68"/>
      <c r="H102" s="68"/>
      <c r="I102" s="68"/>
      <c r="J102" s="68"/>
    </row>
    <row r="103" spans="1:10">
      <c r="A103" s="61"/>
      <c r="B103" s="68"/>
      <c r="C103" s="68"/>
      <c r="D103" s="68"/>
      <c r="E103" s="68"/>
      <c r="F103" s="68"/>
      <c r="G103" s="68"/>
      <c r="H103" s="68"/>
      <c r="I103" s="69"/>
      <c r="J103" s="69"/>
    </row>
    <row r="104" spans="1:10" ht="17.25">
      <c r="A104" s="70" t="s">
        <v>84</v>
      </c>
      <c r="B104" s="67">
        <f>+SUM(B105:B113)</f>
        <v>0</v>
      </c>
      <c r="C104" s="67">
        <f t="shared" ref="C104:J104" si="19">+SUM(C105:C113)</f>
        <v>0</v>
      </c>
      <c r="D104" s="67">
        <f t="shared" si="19"/>
        <v>0</v>
      </c>
      <c r="E104" s="67">
        <f t="shared" si="19"/>
        <v>0</v>
      </c>
      <c r="F104" s="67">
        <f t="shared" si="19"/>
        <v>0</v>
      </c>
      <c r="G104" s="67">
        <f t="shared" si="19"/>
        <v>0</v>
      </c>
      <c r="H104" s="67">
        <f t="shared" si="19"/>
        <v>0</v>
      </c>
      <c r="I104" s="67">
        <f t="shared" si="19"/>
        <v>0</v>
      </c>
      <c r="J104" s="67">
        <f t="shared" si="19"/>
        <v>0</v>
      </c>
    </row>
    <row r="105" spans="1:10">
      <c r="A105" s="61" t="s">
        <v>85</v>
      </c>
      <c r="B105" s="68"/>
      <c r="C105" s="68"/>
      <c r="D105" s="68"/>
      <c r="E105" s="68"/>
      <c r="F105" s="68"/>
      <c r="G105" s="68"/>
      <c r="H105" s="68"/>
      <c r="I105" s="68"/>
      <c r="J105" s="68"/>
    </row>
    <row r="106" spans="1:10">
      <c r="A106" s="61" t="s">
        <v>86</v>
      </c>
      <c r="B106" s="68"/>
      <c r="C106" s="68"/>
      <c r="D106" s="68"/>
      <c r="E106" s="68"/>
      <c r="F106" s="68"/>
      <c r="G106" s="68"/>
      <c r="H106" s="68"/>
      <c r="I106" s="68"/>
      <c r="J106" s="68"/>
    </row>
    <row r="107" spans="1:10">
      <c r="A107" s="61" t="s">
        <v>87</v>
      </c>
      <c r="B107" s="68"/>
      <c r="C107" s="68"/>
      <c r="D107" s="68"/>
      <c r="E107" s="68"/>
      <c r="F107" s="68"/>
      <c r="G107" s="68"/>
      <c r="H107" s="68"/>
      <c r="I107" s="68"/>
      <c r="J107" s="68"/>
    </row>
    <row r="108" spans="1:10">
      <c r="A108" s="61" t="s">
        <v>88</v>
      </c>
      <c r="B108" s="68"/>
      <c r="C108" s="68"/>
      <c r="D108" s="68"/>
      <c r="E108" s="68"/>
      <c r="F108" s="68"/>
      <c r="G108" s="68"/>
      <c r="H108" s="68"/>
      <c r="I108" s="68"/>
      <c r="J108" s="68"/>
    </row>
    <row r="109" spans="1:10">
      <c r="A109" s="61" t="s">
        <v>89</v>
      </c>
      <c r="B109" s="68"/>
      <c r="C109" s="68"/>
      <c r="D109" s="68"/>
      <c r="E109" s="68"/>
      <c r="F109" s="68"/>
      <c r="G109" s="68"/>
      <c r="H109" s="68"/>
      <c r="I109" s="68"/>
      <c r="J109" s="68"/>
    </row>
    <row r="110" spans="1:10">
      <c r="A110" s="61" t="s">
        <v>90</v>
      </c>
      <c r="B110" s="68"/>
      <c r="C110" s="68"/>
      <c r="D110" s="68"/>
      <c r="E110" s="68"/>
      <c r="F110" s="68"/>
      <c r="G110" s="68"/>
      <c r="H110" s="68"/>
      <c r="I110" s="68"/>
      <c r="J110" s="68"/>
    </row>
    <row r="111" spans="1:10">
      <c r="A111" s="61" t="s">
        <v>91</v>
      </c>
      <c r="B111" s="68"/>
      <c r="C111" s="68"/>
      <c r="D111" s="68"/>
      <c r="E111" s="68"/>
      <c r="F111" s="68"/>
      <c r="G111" s="68"/>
      <c r="H111" s="68"/>
      <c r="I111" s="68"/>
      <c r="J111" s="68"/>
    </row>
    <row r="112" spans="1:10">
      <c r="A112" s="61" t="s">
        <v>92</v>
      </c>
      <c r="B112" s="68"/>
      <c r="C112" s="68"/>
      <c r="D112" s="68"/>
      <c r="E112" s="68"/>
      <c r="F112" s="68"/>
      <c r="G112" s="68"/>
      <c r="H112" s="68"/>
      <c r="I112" s="68"/>
      <c r="J112" s="68"/>
    </row>
    <row r="113" spans="1:10">
      <c r="A113" s="61" t="s">
        <v>225</v>
      </c>
      <c r="B113" s="68"/>
      <c r="C113" s="68"/>
      <c r="D113" s="68"/>
      <c r="E113" s="68"/>
      <c r="F113" s="68"/>
      <c r="G113" s="68"/>
      <c r="H113" s="68"/>
      <c r="I113" s="68"/>
      <c r="J113" s="68"/>
    </row>
    <row r="114" spans="1:10">
      <c r="A114" s="60"/>
      <c r="B114" s="68"/>
      <c r="C114" s="68"/>
      <c r="D114" s="68"/>
      <c r="E114" s="68"/>
      <c r="F114" s="68"/>
      <c r="G114" s="68"/>
      <c r="H114" s="68"/>
      <c r="I114" s="69"/>
      <c r="J114" s="69"/>
    </row>
    <row r="115" spans="1:10" ht="17.25">
      <c r="A115" s="71" t="s">
        <v>211</v>
      </c>
      <c r="B115" s="67">
        <f>+B116+B129+B133+B138+B146+B150</f>
        <v>0</v>
      </c>
      <c r="C115" s="67">
        <f t="shared" ref="C115:J115" si="20">+C116+C129+C133+C138+C146+C150</f>
        <v>0</v>
      </c>
      <c r="D115" s="67">
        <f t="shared" si="20"/>
        <v>0</v>
      </c>
      <c r="E115" s="67">
        <f t="shared" si="20"/>
        <v>0</v>
      </c>
      <c r="F115" s="67">
        <f t="shared" si="20"/>
        <v>0</v>
      </c>
      <c r="G115" s="67">
        <f t="shared" si="20"/>
        <v>0</v>
      </c>
      <c r="H115" s="67">
        <f t="shared" si="20"/>
        <v>0</v>
      </c>
      <c r="I115" s="67">
        <f t="shared" si="20"/>
        <v>0</v>
      </c>
      <c r="J115" s="67">
        <f t="shared" si="20"/>
        <v>0</v>
      </c>
    </row>
    <row r="116" spans="1:10">
      <c r="A116" s="72" t="s">
        <v>94</v>
      </c>
      <c r="B116" s="67">
        <f>+SUM(B117:B128)</f>
        <v>0</v>
      </c>
      <c r="C116" s="67">
        <f t="shared" ref="C116:J116" si="21">+SUM(C117:C128)</f>
        <v>0</v>
      </c>
      <c r="D116" s="67">
        <f t="shared" si="21"/>
        <v>0</v>
      </c>
      <c r="E116" s="67">
        <f t="shared" si="21"/>
        <v>0</v>
      </c>
      <c r="F116" s="67">
        <f t="shared" si="21"/>
        <v>0</v>
      </c>
      <c r="G116" s="67">
        <f t="shared" si="21"/>
        <v>0</v>
      </c>
      <c r="H116" s="67">
        <f t="shared" si="21"/>
        <v>0</v>
      </c>
      <c r="I116" s="67">
        <f t="shared" si="21"/>
        <v>0</v>
      </c>
      <c r="J116" s="67">
        <f t="shared" si="21"/>
        <v>0</v>
      </c>
    </row>
    <row r="117" spans="1:10">
      <c r="A117" s="61" t="s">
        <v>95</v>
      </c>
      <c r="B117" s="68"/>
      <c r="C117" s="68"/>
      <c r="D117" s="68"/>
      <c r="E117" s="68"/>
      <c r="F117" s="68"/>
      <c r="G117" s="68"/>
      <c r="H117" s="68"/>
      <c r="I117" s="68"/>
      <c r="J117" s="68"/>
    </row>
    <row r="118" spans="1:10">
      <c r="A118" s="61" t="s">
        <v>96</v>
      </c>
      <c r="B118" s="68"/>
      <c r="C118" s="68"/>
      <c r="D118" s="68"/>
      <c r="E118" s="68"/>
      <c r="F118" s="68"/>
      <c r="G118" s="68"/>
      <c r="H118" s="68"/>
      <c r="I118" s="68"/>
      <c r="J118" s="68"/>
    </row>
    <row r="119" spans="1:10">
      <c r="A119" s="61" t="s">
        <v>97</v>
      </c>
      <c r="B119" s="68"/>
      <c r="C119" s="68"/>
      <c r="D119" s="68"/>
      <c r="E119" s="68"/>
      <c r="F119" s="68"/>
      <c r="G119" s="68"/>
      <c r="H119" s="68"/>
      <c r="I119" s="68"/>
      <c r="J119" s="68"/>
    </row>
    <row r="120" spans="1:10">
      <c r="A120" s="61" t="s">
        <v>98</v>
      </c>
      <c r="B120" s="68"/>
      <c r="C120" s="68"/>
      <c r="D120" s="68"/>
      <c r="E120" s="68"/>
      <c r="F120" s="68"/>
      <c r="G120" s="68"/>
      <c r="H120" s="68"/>
      <c r="I120" s="68"/>
      <c r="J120" s="68"/>
    </row>
    <row r="121" spans="1:10">
      <c r="A121" s="61" t="s">
        <v>99</v>
      </c>
      <c r="B121" s="68"/>
      <c r="C121" s="68"/>
      <c r="D121" s="68"/>
      <c r="E121" s="68"/>
      <c r="F121" s="68"/>
      <c r="G121" s="68"/>
      <c r="H121" s="68"/>
      <c r="I121" s="68"/>
      <c r="J121" s="68"/>
    </row>
    <row r="122" spans="1:10">
      <c r="A122" s="61" t="s">
        <v>100</v>
      </c>
      <c r="B122" s="68"/>
      <c r="C122" s="68"/>
      <c r="D122" s="68"/>
      <c r="E122" s="68"/>
      <c r="F122" s="68"/>
      <c r="G122" s="68"/>
      <c r="H122" s="68"/>
      <c r="I122" s="68"/>
      <c r="J122" s="68"/>
    </row>
    <row r="123" spans="1:10">
      <c r="A123" s="61" t="s">
        <v>101</v>
      </c>
      <c r="B123" s="68"/>
      <c r="C123" s="68"/>
      <c r="D123" s="68"/>
      <c r="E123" s="68"/>
      <c r="F123" s="68"/>
      <c r="G123" s="68"/>
      <c r="H123" s="68"/>
      <c r="I123" s="68"/>
      <c r="J123" s="68"/>
    </row>
    <row r="124" spans="1:10">
      <c r="A124" s="61" t="s">
        <v>102</v>
      </c>
      <c r="B124" s="68"/>
      <c r="C124" s="68"/>
      <c r="D124" s="68"/>
      <c r="E124" s="68"/>
      <c r="F124" s="68"/>
      <c r="G124" s="68"/>
      <c r="H124" s="68"/>
      <c r="I124" s="68"/>
      <c r="J124" s="68"/>
    </row>
    <row r="125" spans="1:10">
      <c r="A125" s="61" t="s">
        <v>103</v>
      </c>
      <c r="B125" s="68"/>
      <c r="C125" s="68"/>
      <c r="D125" s="68"/>
      <c r="E125" s="68"/>
      <c r="F125" s="68"/>
      <c r="G125" s="68"/>
      <c r="H125" s="68"/>
      <c r="I125" s="68"/>
      <c r="J125" s="68"/>
    </row>
    <row r="126" spans="1:10">
      <c r="A126" s="61" t="s">
        <v>104</v>
      </c>
      <c r="B126" s="68"/>
      <c r="C126" s="68"/>
      <c r="D126" s="68"/>
      <c r="E126" s="68"/>
      <c r="F126" s="68"/>
      <c r="G126" s="68"/>
      <c r="H126" s="68"/>
      <c r="I126" s="68"/>
      <c r="J126" s="68"/>
    </row>
    <row r="127" spans="1:10">
      <c r="A127" s="61" t="s">
        <v>105</v>
      </c>
      <c r="B127" s="68"/>
      <c r="C127" s="68"/>
      <c r="D127" s="68"/>
      <c r="E127" s="68"/>
      <c r="F127" s="68"/>
      <c r="G127" s="68"/>
      <c r="H127" s="68"/>
      <c r="I127" s="68"/>
      <c r="J127" s="68"/>
    </row>
    <row r="128" spans="1:10">
      <c r="A128" s="61" t="s">
        <v>226</v>
      </c>
      <c r="B128" s="68"/>
      <c r="C128" s="68"/>
      <c r="D128" s="68"/>
      <c r="E128" s="68"/>
      <c r="F128" s="68"/>
      <c r="G128" s="68"/>
      <c r="H128" s="68"/>
      <c r="I128" s="68"/>
      <c r="J128" s="68"/>
    </row>
    <row r="129" spans="1:10">
      <c r="A129" s="72" t="s">
        <v>106</v>
      </c>
      <c r="B129" s="67">
        <f>+SUM(B130:B132)</f>
        <v>0</v>
      </c>
      <c r="C129" s="67">
        <f t="shared" ref="C129:J129" si="22">+SUM(C130:C132)</f>
        <v>0</v>
      </c>
      <c r="D129" s="67">
        <f t="shared" si="22"/>
        <v>0</v>
      </c>
      <c r="E129" s="67">
        <f t="shared" si="22"/>
        <v>0</v>
      </c>
      <c r="F129" s="67">
        <f t="shared" si="22"/>
        <v>0</v>
      </c>
      <c r="G129" s="67">
        <f t="shared" si="22"/>
        <v>0</v>
      </c>
      <c r="H129" s="67">
        <f t="shared" si="22"/>
        <v>0</v>
      </c>
      <c r="I129" s="67">
        <f t="shared" si="22"/>
        <v>0</v>
      </c>
      <c r="J129" s="67">
        <f t="shared" si="22"/>
        <v>0</v>
      </c>
    </row>
    <row r="130" spans="1:10">
      <c r="A130" s="61" t="s">
        <v>107</v>
      </c>
      <c r="B130" s="68"/>
      <c r="C130" s="68"/>
      <c r="D130" s="68"/>
      <c r="E130" s="68"/>
      <c r="F130" s="68"/>
      <c r="G130" s="68"/>
      <c r="H130" s="68"/>
      <c r="I130" s="68"/>
      <c r="J130" s="68"/>
    </row>
    <row r="131" spans="1:10">
      <c r="A131" s="61" t="s">
        <v>108</v>
      </c>
      <c r="B131" s="68"/>
      <c r="C131" s="68"/>
      <c r="D131" s="68"/>
      <c r="E131" s="68"/>
      <c r="F131" s="68"/>
      <c r="G131" s="68"/>
      <c r="H131" s="68"/>
      <c r="I131" s="68"/>
      <c r="J131" s="68"/>
    </row>
    <row r="132" spans="1:10">
      <c r="A132" s="61" t="s">
        <v>109</v>
      </c>
      <c r="B132" s="68"/>
      <c r="C132" s="68"/>
      <c r="D132" s="68"/>
      <c r="E132" s="68"/>
      <c r="F132" s="68"/>
      <c r="G132" s="68"/>
      <c r="H132" s="68"/>
      <c r="I132" s="68"/>
      <c r="J132" s="68"/>
    </row>
    <row r="133" spans="1:10">
      <c r="A133" s="72" t="s">
        <v>110</v>
      </c>
      <c r="B133" s="67">
        <f>+SUM(B134:B137)</f>
        <v>0</v>
      </c>
      <c r="C133" s="67">
        <f t="shared" ref="C133:J133" si="23">+SUM(C134:C137)</f>
        <v>0</v>
      </c>
      <c r="D133" s="67">
        <f t="shared" si="23"/>
        <v>0</v>
      </c>
      <c r="E133" s="67">
        <f t="shared" si="23"/>
        <v>0</v>
      </c>
      <c r="F133" s="67">
        <f t="shared" si="23"/>
        <v>0</v>
      </c>
      <c r="G133" s="67">
        <f t="shared" si="23"/>
        <v>0</v>
      </c>
      <c r="H133" s="67">
        <f t="shared" si="23"/>
        <v>0</v>
      </c>
      <c r="I133" s="67">
        <f t="shared" si="23"/>
        <v>0</v>
      </c>
      <c r="J133" s="67">
        <f t="shared" si="23"/>
        <v>0</v>
      </c>
    </row>
    <row r="134" spans="1:10">
      <c r="A134" s="61" t="s">
        <v>111</v>
      </c>
      <c r="B134" s="68"/>
      <c r="C134" s="68"/>
      <c r="D134" s="68"/>
      <c r="E134" s="68"/>
      <c r="F134" s="68"/>
      <c r="G134" s="68"/>
      <c r="H134" s="68"/>
      <c r="I134" s="68"/>
      <c r="J134" s="68"/>
    </row>
    <row r="135" spans="1:10">
      <c r="A135" s="61" t="s">
        <v>112</v>
      </c>
      <c r="B135" s="68"/>
      <c r="C135" s="68"/>
      <c r="D135" s="68"/>
      <c r="E135" s="68"/>
      <c r="F135" s="68"/>
      <c r="G135" s="68"/>
      <c r="H135" s="68"/>
      <c r="I135" s="68"/>
      <c r="J135" s="68"/>
    </row>
    <row r="136" spans="1:10">
      <c r="A136" s="61" t="s">
        <v>113</v>
      </c>
      <c r="B136" s="68"/>
      <c r="C136" s="68"/>
      <c r="D136" s="68"/>
      <c r="E136" s="68"/>
      <c r="F136" s="68"/>
      <c r="G136" s="68"/>
      <c r="H136" s="68"/>
      <c r="I136" s="68"/>
      <c r="J136" s="68"/>
    </row>
    <row r="137" spans="1:10">
      <c r="A137" s="61" t="s">
        <v>114</v>
      </c>
      <c r="B137" s="68"/>
      <c r="C137" s="68"/>
      <c r="D137" s="68"/>
      <c r="E137" s="68"/>
      <c r="F137" s="68"/>
      <c r="G137" s="68"/>
      <c r="H137" s="68"/>
      <c r="I137" s="68"/>
      <c r="J137" s="68"/>
    </row>
    <row r="138" spans="1:10">
      <c r="A138" s="72" t="s">
        <v>115</v>
      </c>
      <c r="B138" s="67">
        <f>+SUM(B139:B145)</f>
        <v>0</v>
      </c>
      <c r="C138" s="67">
        <f t="shared" ref="C138:J138" si="24">+SUM(C139:C145)</f>
        <v>0</v>
      </c>
      <c r="D138" s="67">
        <f t="shared" si="24"/>
        <v>0</v>
      </c>
      <c r="E138" s="67">
        <f t="shared" si="24"/>
        <v>0</v>
      </c>
      <c r="F138" s="67">
        <f t="shared" si="24"/>
        <v>0</v>
      </c>
      <c r="G138" s="67">
        <f t="shared" si="24"/>
        <v>0</v>
      </c>
      <c r="H138" s="67">
        <f t="shared" si="24"/>
        <v>0</v>
      </c>
      <c r="I138" s="67">
        <f t="shared" si="24"/>
        <v>0</v>
      </c>
      <c r="J138" s="67">
        <f t="shared" si="24"/>
        <v>0</v>
      </c>
    </row>
    <row r="139" spans="1:10">
      <c r="A139" s="61" t="s">
        <v>116</v>
      </c>
      <c r="B139" s="68"/>
      <c r="C139" s="68"/>
      <c r="D139" s="68"/>
      <c r="E139" s="68"/>
      <c r="F139" s="68"/>
      <c r="G139" s="68"/>
      <c r="H139" s="68"/>
      <c r="I139" s="68"/>
      <c r="J139" s="68"/>
    </row>
    <row r="140" spans="1:10">
      <c r="A140" s="61" t="s">
        <v>117</v>
      </c>
      <c r="B140" s="68"/>
      <c r="C140" s="68"/>
      <c r="D140" s="68"/>
      <c r="E140" s="68"/>
      <c r="F140" s="68"/>
      <c r="G140" s="68"/>
      <c r="H140" s="68"/>
      <c r="I140" s="68"/>
      <c r="J140" s="68"/>
    </row>
    <row r="141" spans="1:10">
      <c r="A141" s="61" t="s">
        <v>227</v>
      </c>
      <c r="B141" s="68"/>
      <c r="C141" s="68"/>
      <c r="D141" s="68"/>
      <c r="E141" s="68"/>
      <c r="F141" s="68"/>
      <c r="G141" s="68"/>
      <c r="H141" s="68"/>
      <c r="I141" s="68"/>
      <c r="J141" s="68"/>
    </row>
    <row r="142" spans="1:10">
      <c r="A142" s="61" t="s">
        <v>228</v>
      </c>
      <c r="B142" s="68"/>
      <c r="C142" s="68"/>
      <c r="D142" s="68"/>
      <c r="E142" s="68"/>
      <c r="F142" s="68"/>
      <c r="G142" s="68"/>
      <c r="H142" s="68"/>
      <c r="I142" s="68"/>
      <c r="J142" s="68"/>
    </row>
    <row r="143" spans="1:10">
      <c r="A143" s="61" t="s">
        <v>118</v>
      </c>
      <c r="B143" s="68"/>
      <c r="C143" s="68"/>
      <c r="D143" s="68"/>
      <c r="E143" s="68"/>
      <c r="F143" s="68"/>
      <c r="G143" s="68"/>
      <c r="H143" s="68"/>
      <c r="I143" s="68"/>
      <c r="J143" s="68"/>
    </row>
    <row r="144" spans="1:10">
      <c r="A144" s="61" t="s">
        <v>119</v>
      </c>
      <c r="B144" s="68"/>
      <c r="C144" s="68"/>
      <c r="D144" s="68"/>
      <c r="E144" s="68"/>
      <c r="F144" s="68"/>
      <c r="G144" s="68"/>
      <c r="H144" s="68"/>
      <c r="I144" s="68"/>
      <c r="J144" s="68"/>
    </row>
    <row r="145" spans="1:10">
      <c r="A145" s="61" t="s">
        <v>120</v>
      </c>
      <c r="B145" s="68"/>
      <c r="C145" s="68"/>
      <c r="D145" s="68"/>
      <c r="E145" s="68"/>
      <c r="F145" s="68"/>
      <c r="G145" s="68"/>
      <c r="H145" s="68"/>
      <c r="I145" s="68"/>
      <c r="J145" s="68"/>
    </row>
    <row r="146" spans="1:10">
      <c r="A146" s="72" t="s">
        <v>121</v>
      </c>
      <c r="B146" s="67">
        <f>+SUM(B147:B149)</f>
        <v>0</v>
      </c>
      <c r="C146" s="67">
        <f t="shared" ref="C146:J146" si="25">+SUM(C147:C149)</f>
        <v>0</v>
      </c>
      <c r="D146" s="67">
        <f t="shared" si="25"/>
        <v>0</v>
      </c>
      <c r="E146" s="67">
        <f t="shared" si="25"/>
        <v>0</v>
      </c>
      <c r="F146" s="67">
        <f t="shared" si="25"/>
        <v>0</v>
      </c>
      <c r="G146" s="67">
        <f t="shared" si="25"/>
        <v>0</v>
      </c>
      <c r="H146" s="67">
        <f t="shared" si="25"/>
        <v>0</v>
      </c>
      <c r="I146" s="67">
        <f t="shared" si="25"/>
        <v>0</v>
      </c>
      <c r="J146" s="67">
        <f t="shared" si="25"/>
        <v>0</v>
      </c>
    </row>
    <row r="147" spans="1:10">
      <c r="A147" s="61" t="s">
        <v>122</v>
      </c>
      <c r="B147" s="68"/>
      <c r="C147" s="68"/>
      <c r="D147" s="68"/>
      <c r="E147" s="68"/>
      <c r="F147" s="68"/>
      <c r="G147" s="68"/>
      <c r="H147" s="68"/>
      <c r="I147" s="68"/>
      <c r="J147" s="68"/>
    </row>
    <row r="148" spans="1:10">
      <c r="A148" s="61" t="s">
        <v>123</v>
      </c>
      <c r="B148" s="68"/>
      <c r="C148" s="68"/>
      <c r="D148" s="68"/>
      <c r="E148" s="68"/>
      <c r="F148" s="68"/>
      <c r="G148" s="68"/>
      <c r="H148" s="68"/>
      <c r="I148" s="68"/>
      <c r="J148" s="68"/>
    </row>
    <row r="149" spans="1:10">
      <c r="A149" s="61" t="s">
        <v>124</v>
      </c>
      <c r="B149" s="68"/>
      <c r="C149" s="68"/>
      <c r="D149" s="68"/>
      <c r="E149" s="68"/>
      <c r="F149" s="68"/>
      <c r="G149" s="68"/>
      <c r="H149" s="68"/>
      <c r="I149" s="68"/>
      <c r="J149" s="68"/>
    </row>
    <row r="150" spans="1:10">
      <c r="A150" s="72" t="s">
        <v>125</v>
      </c>
      <c r="B150" s="67">
        <f>+SUM(B151:B154)</f>
        <v>0</v>
      </c>
      <c r="C150" s="67">
        <f t="shared" ref="C150:J150" si="26">+SUM(C151:C154)</f>
        <v>0</v>
      </c>
      <c r="D150" s="67">
        <f t="shared" si="26"/>
        <v>0</v>
      </c>
      <c r="E150" s="67">
        <f t="shared" si="26"/>
        <v>0</v>
      </c>
      <c r="F150" s="67">
        <f t="shared" si="26"/>
        <v>0</v>
      </c>
      <c r="G150" s="67">
        <f t="shared" si="26"/>
        <v>0</v>
      </c>
      <c r="H150" s="67">
        <f t="shared" si="26"/>
        <v>0</v>
      </c>
      <c r="I150" s="67">
        <f t="shared" si="26"/>
        <v>0</v>
      </c>
      <c r="J150" s="67">
        <f t="shared" si="26"/>
        <v>0</v>
      </c>
    </row>
    <row r="151" spans="1:10">
      <c r="A151" s="61" t="s">
        <v>126</v>
      </c>
      <c r="B151" s="68"/>
      <c r="C151" s="68"/>
      <c r="D151" s="68"/>
      <c r="E151" s="68"/>
      <c r="F151" s="68"/>
      <c r="G151" s="68"/>
      <c r="H151" s="68"/>
      <c r="I151" s="68"/>
      <c r="J151" s="68"/>
    </row>
    <row r="152" spans="1:10">
      <c r="A152" s="61" t="s">
        <v>229</v>
      </c>
      <c r="B152" s="68"/>
      <c r="C152" s="68"/>
      <c r="D152" s="68"/>
      <c r="E152" s="68"/>
      <c r="F152" s="68"/>
      <c r="G152" s="68"/>
      <c r="H152" s="68"/>
      <c r="I152" s="68"/>
      <c r="J152" s="68"/>
    </row>
    <row r="153" spans="1:10">
      <c r="A153" s="61" t="s">
        <v>127</v>
      </c>
      <c r="B153" s="68"/>
      <c r="C153" s="68"/>
      <c r="D153" s="68"/>
      <c r="E153" s="68"/>
      <c r="F153" s="68"/>
      <c r="G153" s="68"/>
      <c r="H153" s="68"/>
      <c r="I153" s="68"/>
      <c r="J153" s="68"/>
    </row>
    <row r="154" spans="1:10">
      <c r="A154" s="61" t="s">
        <v>128</v>
      </c>
      <c r="B154" s="68"/>
      <c r="C154" s="68"/>
      <c r="D154" s="68"/>
      <c r="E154" s="68"/>
      <c r="F154" s="68"/>
      <c r="G154" s="68"/>
      <c r="H154" s="68"/>
      <c r="I154" s="68"/>
      <c r="J154" s="68"/>
    </row>
    <row r="155" spans="1:10">
      <c r="A155" s="60"/>
      <c r="B155" s="68"/>
      <c r="C155" s="68"/>
      <c r="D155" s="68"/>
      <c r="E155" s="68"/>
      <c r="F155" s="68"/>
      <c r="G155" s="68"/>
      <c r="H155" s="68"/>
      <c r="I155" s="69"/>
      <c r="J155" s="69"/>
    </row>
    <row r="156" spans="1:10" ht="17.25">
      <c r="A156" s="71" t="s">
        <v>129</v>
      </c>
      <c r="B156" s="67">
        <f>+B157+B164+B172+B178+B182+B187+B193+B205+B209+B214</f>
        <v>0</v>
      </c>
      <c r="C156" s="67">
        <f t="shared" ref="C156:J156" si="27">+C157+C164+C172+C178+C182+C187+C193+C205+C209+C214</f>
        <v>0</v>
      </c>
      <c r="D156" s="67">
        <f t="shared" si="27"/>
        <v>0</v>
      </c>
      <c r="E156" s="67">
        <f t="shared" si="27"/>
        <v>0</v>
      </c>
      <c r="F156" s="67">
        <f t="shared" si="27"/>
        <v>0</v>
      </c>
      <c r="G156" s="67">
        <f t="shared" si="27"/>
        <v>0</v>
      </c>
      <c r="H156" s="67">
        <f t="shared" si="27"/>
        <v>0</v>
      </c>
      <c r="I156" s="67">
        <f t="shared" si="27"/>
        <v>0</v>
      </c>
      <c r="J156" s="67">
        <f t="shared" si="27"/>
        <v>0</v>
      </c>
    </row>
    <row r="157" spans="1:10">
      <c r="A157" s="72" t="s">
        <v>130</v>
      </c>
      <c r="B157" s="67">
        <f>+SUM(B158:B162)</f>
        <v>0</v>
      </c>
      <c r="C157" s="67">
        <f t="shared" ref="C157:J157" si="28">+SUM(C158:C162)</f>
        <v>0</v>
      </c>
      <c r="D157" s="67">
        <f t="shared" si="28"/>
        <v>0</v>
      </c>
      <c r="E157" s="67">
        <f t="shared" si="28"/>
        <v>0</v>
      </c>
      <c r="F157" s="67">
        <f t="shared" si="28"/>
        <v>0</v>
      </c>
      <c r="G157" s="67">
        <f t="shared" si="28"/>
        <v>0</v>
      </c>
      <c r="H157" s="67">
        <f t="shared" si="28"/>
        <v>0</v>
      </c>
      <c r="I157" s="67">
        <f t="shared" si="28"/>
        <v>0</v>
      </c>
      <c r="J157" s="67">
        <f t="shared" si="28"/>
        <v>0</v>
      </c>
    </row>
    <row r="158" spans="1:10">
      <c r="A158" s="61" t="s">
        <v>131</v>
      </c>
      <c r="B158" s="68"/>
      <c r="C158" s="68"/>
      <c r="D158" s="68"/>
      <c r="E158" s="68"/>
      <c r="F158" s="68"/>
      <c r="G158" s="68"/>
      <c r="H158" s="68"/>
      <c r="I158" s="68"/>
      <c r="J158" s="68"/>
    </row>
    <row r="159" spans="1:10">
      <c r="A159" s="61" t="s">
        <v>132</v>
      </c>
      <c r="B159" s="68"/>
      <c r="C159" s="68"/>
      <c r="D159" s="68"/>
      <c r="E159" s="68"/>
      <c r="F159" s="68"/>
      <c r="G159" s="68"/>
      <c r="H159" s="68"/>
      <c r="I159" s="68"/>
      <c r="J159" s="68"/>
    </row>
    <row r="160" spans="1:10">
      <c r="A160" s="61" t="s">
        <v>133</v>
      </c>
      <c r="B160" s="68"/>
      <c r="C160" s="68"/>
      <c r="D160" s="68"/>
      <c r="E160" s="68"/>
      <c r="F160" s="68"/>
      <c r="G160" s="68"/>
      <c r="H160" s="68"/>
      <c r="I160" s="68"/>
      <c r="J160" s="68"/>
    </row>
    <row r="161" spans="1:10">
      <c r="A161" s="61" t="s">
        <v>134</v>
      </c>
      <c r="B161" s="68"/>
      <c r="C161" s="68"/>
      <c r="D161" s="68"/>
      <c r="E161" s="68"/>
      <c r="F161" s="68"/>
      <c r="G161" s="68"/>
      <c r="H161" s="68"/>
      <c r="I161" s="68"/>
      <c r="J161" s="68"/>
    </row>
    <row r="162" spans="1:10">
      <c r="A162" s="61" t="s">
        <v>135</v>
      </c>
      <c r="B162" s="68"/>
      <c r="C162" s="68"/>
      <c r="D162" s="68"/>
      <c r="E162" s="68"/>
      <c r="F162" s="68"/>
      <c r="G162" s="68"/>
      <c r="H162" s="68"/>
      <c r="I162" s="68"/>
      <c r="J162" s="68"/>
    </row>
    <row r="163" spans="1:10">
      <c r="A163" s="60"/>
      <c r="B163" s="68"/>
      <c r="C163" s="68"/>
      <c r="D163" s="68"/>
      <c r="E163" s="68"/>
      <c r="F163" s="68"/>
      <c r="G163" s="68"/>
      <c r="H163" s="68"/>
      <c r="I163" s="69"/>
      <c r="J163" s="69"/>
    </row>
    <row r="164" spans="1:10">
      <c r="A164" s="72" t="s">
        <v>136</v>
      </c>
      <c r="B164" s="67">
        <f>+SUM(B165:B171)</f>
        <v>0</v>
      </c>
      <c r="C164" s="67">
        <f t="shared" ref="C164:J164" si="29">+SUM(C165:C171)</f>
        <v>0</v>
      </c>
      <c r="D164" s="67">
        <f t="shared" si="29"/>
        <v>0</v>
      </c>
      <c r="E164" s="67">
        <f t="shared" si="29"/>
        <v>0</v>
      </c>
      <c r="F164" s="67">
        <f t="shared" si="29"/>
        <v>0</v>
      </c>
      <c r="G164" s="67">
        <f t="shared" si="29"/>
        <v>0</v>
      </c>
      <c r="H164" s="67">
        <f t="shared" si="29"/>
        <v>0</v>
      </c>
      <c r="I164" s="67">
        <f t="shared" si="29"/>
        <v>0</v>
      </c>
      <c r="J164" s="67">
        <f t="shared" si="29"/>
        <v>0</v>
      </c>
    </row>
    <row r="165" spans="1:10">
      <c r="A165" s="61" t="s">
        <v>137</v>
      </c>
      <c r="B165" s="68"/>
      <c r="C165" s="68"/>
      <c r="D165" s="68"/>
      <c r="E165" s="68"/>
      <c r="F165" s="68"/>
      <c r="G165" s="68"/>
      <c r="H165" s="68"/>
      <c r="I165" s="68"/>
      <c r="J165" s="68"/>
    </row>
    <row r="166" spans="1:10">
      <c r="A166" s="61" t="s">
        <v>138</v>
      </c>
      <c r="B166" s="68"/>
      <c r="C166" s="68"/>
      <c r="D166" s="68"/>
      <c r="E166" s="68"/>
      <c r="F166" s="68"/>
      <c r="G166" s="68"/>
      <c r="H166" s="68"/>
      <c r="I166" s="68"/>
      <c r="J166" s="68"/>
    </row>
    <row r="167" spans="1:10">
      <c r="A167" s="61" t="s">
        <v>139</v>
      </c>
      <c r="B167" s="68"/>
      <c r="C167" s="68"/>
      <c r="D167" s="68"/>
      <c r="E167" s="68"/>
      <c r="F167" s="68"/>
      <c r="G167" s="68"/>
      <c r="H167" s="68"/>
      <c r="I167" s="68"/>
      <c r="J167" s="68"/>
    </row>
    <row r="168" spans="1:10">
      <c r="A168" s="61" t="s">
        <v>140</v>
      </c>
      <c r="B168" s="68"/>
      <c r="C168" s="68"/>
      <c r="D168" s="68"/>
      <c r="E168" s="68"/>
      <c r="F168" s="68"/>
      <c r="G168" s="68"/>
      <c r="H168" s="68"/>
      <c r="I168" s="68"/>
      <c r="J168" s="68"/>
    </row>
    <row r="169" spans="1:10">
      <c r="A169" s="61" t="s">
        <v>141</v>
      </c>
      <c r="B169" s="68"/>
      <c r="C169" s="68"/>
      <c r="D169" s="68"/>
      <c r="E169" s="68"/>
      <c r="F169" s="68"/>
      <c r="G169" s="68"/>
      <c r="H169" s="68"/>
      <c r="I169" s="68"/>
      <c r="J169" s="68"/>
    </row>
    <row r="170" spans="1:10">
      <c r="A170" s="61" t="s">
        <v>142</v>
      </c>
      <c r="B170" s="68"/>
      <c r="C170" s="68"/>
      <c r="D170" s="68"/>
      <c r="E170" s="68"/>
      <c r="F170" s="68"/>
      <c r="G170" s="68"/>
      <c r="H170" s="68"/>
      <c r="I170" s="68"/>
      <c r="J170" s="68"/>
    </row>
    <row r="171" spans="1:10">
      <c r="A171" s="61" t="s">
        <v>143</v>
      </c>
      <c r="B171" s="68"/>
      <c r="C171" s="68"/>
      <c r="D171" s="68"/>
      <c r="E171" s="68"/>
      <c r="F171" s="68"/>
      <c r="G171" s="68"/>
      <c r="H171" s="68"/>
      <c r="I171" s="68"/>
      <c r="J171" s="68"/>
    </row>
    <row r="172" spans="1:10">
      <c r="A172" s="72" t="s">
        <v>144</v>
      </c>
      <c r="B172" s="67">
        <f>+SUM(B173:B177)</f>
        <v>0</v>
      </c>
      <c r="C172" s="67">
        <f t="shared" ref="C172:J172" si="30">+SUM(C173:C177)</f>
        <v>0</v>
      </c>
      <c r="D172" s="67">
        <f t="shared" si="30"/>
        <v>0</v>
      </c>
      <c r="E172" s="67">
        <f t="shared" si="30"/>
        <v>0</v>
      </c>
      <c r="F172" s="67">
        <f t="shared" si="30"/>
        <v>0</v>
      </c>
      <c r="G172" s="67">
        <f t="shared" si="30"/>
        <v>0</v>
      </c>
      <c r="H172" s="67">
        <f t="shared" si="30"/>
        <v>0</v>
      </c>
      <c r="I172" s="67">
        <f t="shared" si="30"/>
        <v>0</v>
      </c>
      <c r="J172" s="67">
        <f t="shared" si="30"/>
        <v>0</v>
      </c>
    </row>
    <row r="173" spans="1:10">
      <c r="A173" s="61" t="s">
        <v>145</v>
      </c>
      <c r="B173" s="68"/>
      <c r="C173" s="68"/>
      <c r="D173" s="68"/>
      <c r="E173" s="68"/>
      <c r="F173" s="68"/>
      <c r="G173" s="68"/>
      <c r="H173" s="68"/>
      <c r="I173" s="68"/>
      <c r="J173" s="68"/>
    </row>
    <row r="174" spans="1:10">
      <c r="A174" s="61" t="s">
        <v>146</v>
      </c>
      <c r="B174" s="68"/>
      <c r="C174" s="68"/>
      <c r="D174" s="68"/>
      <c r="E174" s="68"/>
      <c r="F174" s="68"/>
      <c r="G174" s="68"/>
      <c r="H174" s="68"/>
      <c r="I174" s="68"/>
      <c r="J174" s="68"/>
    </row>
    <row r="175" spans="1:10">
      <c r="A175" s="61" t="s">
        <v>230</v>
      </c>
      <c r="B175" s="68"/>
      <c r="C175" s="68"/>
      <c r="D175" s="68"/>
      <c r="E175" s="68"/>
      <c r="F175" s="68"/>
      <c r="G175" s="68"/>
      <c r="H175" s="68"/>
      <c r="I175" s="68"/>
      <c r="J175" s="68"/>
    </row>
    <row r="176" spans="1:10">
      <c r="A176" s="61" t="s">
        <v>231</v>
      </c>
      <c r="B176" s="68"/>
      <c r="C176" s="68"/>
      <c r="D176" s="68"/>
      <c r="E176" s="68"/>
      <c r="F176" s="68"/>
      <c r="G176" s="68"/>
      <c r="H176" s="68"/>
      <c r="I176" s="68"/>
      <c r="J176" s="68"/>
    </row>
    <row r="177" spans="1:10">
      <c r="A177" s="61" t="s">
        <v>232</v>
      </c>
      <c r="B177" s="68"/>
      <c r="C177" s="68"/>
      <c r="D177" s="68"/>
      <c r="E177" s="68"/>
      <c r="F177" s="68"/>
      <c r="G177" s="68"/>
      <c r="H177" s="68"/>
      <c r="I177" s="68"/>
      <c r="J177" s="68"/>
    </row>
    <row r="178" spans="1:10">
      <c r="A178" s="72" t="s">
        <v>147</v>
      </c>
      <c r="B178" s="67">
        <f>+SUM(B179:B181)</f>
        <v>0</v>
      </c>
      <c r="C178" s="67">
        <f t="shared" ref="C178:J178" si="31">+SUM(C179:C181)</f>
        <v>0</v>
      </c>
      <c r="D178" s="67">
        <f t="shared" si="31"/>
        <v>0</v>
      </c>
      <c r="E178" s="67">
        <f t="shared" si="31"/>
        <v>0</v>
      </c>
      <c r="F178" s="67">
        <f t="shared" si="31"/>
        <v>0</v>
      </c>
      <c r="G178" s="67">
        <f t="shared" si="31"/>
        <v>0</v>
      </c>
      <c r="H178" s="67">
        <f t="shared" si="31"/>
        <v>0</v>
      </c>
      <c r="I178" s="67">
        <f t="shared" si="31"/>
        <v>0</v>
      </c>
      <c r="J178" s="67">
        <f t="shared" si="31"/>
        <v>0</v>
      </c>
    </row>
    <row r="179" spans="1:10">
      <c r="A179" s="61" t="s">
        <v>148</v>
      </c>
      <c r="B179" s="68"/>
      <c r="C179" s="68"/>
      <c r="D179" s="68"/>
      <c r="E179" s="68"/>
      <c r="F179" s="68"/>
      <c r="G179" s="68"/>
      <c r="H179" s="68"/>
      <c r="I179" s="68"/>
      <c r="J179" s="68"/>
    </row>
    <row r="180" spans="1:10">
      <c r="A180" s="61" t="s">
        <v>149</v>
      </c>
      <c r="B180" s="68"/>
      <c r="C180" s="68"/>
      <c r="D180" s="68"/>
      <c r="E180" s="68"/>
      <c r="F180" s="68"/>
      <c r="G180" s="68"/>
      <c r="H180" s="68"/>
      <c r="I180" s="68"/>
      <c r="J180" s="68"/>
    </row>
    <row r="181" spans="1:10">
      <c r="A181" s="61" t="s">
        <v>150</v>
      </c>
      <c r="B181" s="68"/>
      <c r="C181" s="68"/>
      <c r="D181" s="68"/>
      <c r="E181" s="68"/>
      <c r="F181" s="68"/>
      <c r="G181" s="68"/>
      <c r="H181" s="68"/>
      <c r="I181" s="68"/>
      <c r="J181" s="68"/>
    </row>
    <row r="182" spans="1:10">
      <c r="A182" s="72" t="s">
        <v>151</v>
      </c>
      <c r="B182" s="67">
        <f>+SUM(B183:B186)</f>
        <v>0</v>
      </c>
      <c r="C182" s="67">
        <f t="shared" ref="C182:J182" si="32">+SUM(C183:C186)</f>
        <v>0</v>
      </c>
      <c r="D182" s="67">
        <f t="shared" si="32"/>
        <v>0</v>
      </c>
      <c r="E182" s="67">
        <f t="shared" si="32"/>
        <v>0</v>
      </c>
      <c r="F182" s="67">
        <f t="shared" si="32"/>
        <v>0</v>
      </c>
      <c r="G182" s="67">
        <f t="shared" si="32"/>
        <v>0</v>
      </c>
      <c r="H182" s="67">
        <f t="shared" si="32"/>
        <v>0</v>
      </c>
      <c r="I182" s="67">
        <f t="shared" si="32"/>
        <v>0</v>
      </c>
      <c r="J182" s="67">
        <f t="shared" si="32"/>
        <v>0</v>
      </c>
    </row>
    <row r="183" spans="1:10">
      <c r="A183" s="61" t="s">
        <v>152</v>
      </c>
      <c r="B183" s="68"/>
      <c r="C183" s="68"/>
      <c r="D183" s="68"/>
      <c r="E183" s="68"/>
      <c r="F183" s="68"/>
      <c r="G183" s="68"/>
      <c r="H183" s="68"/>
      <c r="I183" s="68"/>
      <c r="J183" s="68"/>
    </row>
    <row r="184" spans="1:10">
      <c r="A184" s="61" t="s">
        <v>153</v>
      </c>
      <c r="B184" s="68"/>
      <c r="C184" s="68"/>
      <c r="D184" s="68"/>
      <c r="E184" s="68"/>
      <c r="F184" s="68"/>
      <c r="G184" s="68"/>
      <c r="H184" s="68"/>
      <c r="I184" s="68"/>
      <c r="J184" s="68"/>
    </row>
    <row r="185" spans="1:10">
      <c r="A185" s="61" t="s">
        <v>154</v>
      </c>
      <c r="B185" s="68"/>
      <c r="C185" s="68"/>
      <c r="D185" s="68"/>
      <c r="E185" s="68"/>
      <c r="F185" s="68"/>
      <c r="G185" s="68"/>
      <c r="H185" s="68"/>
      <c r="I185" s="68"/>
      <c r="J185" s="68"/>
    </row>
    <row r="186" spans="1:10">
      <c r="A186" s="61" t="s">
        <v>155</v>
      </c>
      <c r="B186" s="68"/>
      <c r="C186" s="68"/>
      <c r="D186" s="68"/>
      <c r="E186" s="68"/>
      <c r="F186" s="68"/>
      <c r="G186" s="68"/>
      <c r="H186" s="68"/>
      <c r="I186" s="68"/>
      <c r="J186" s="68"/>
    </row>
    <row r="187" spans="1:10">
      <c r="A187" s="72" t="s">
        <v>156</v>
      </c>
      <c r="B187" s="67">
        <f>+SUM(B188:B192)</f>
        <v>0</v>
      </c>
      <c r="C187" s="67">
        <f t="shared" ref="C187:J187" si="33">+SUM(C188:C192)</f>
        <v>0</v>
      </c>
      <c r="D187" s="67">
        <f t="shared" si="33"/>
        <v>0</v>
      </c>
      <c r="E187" s="67">
        <f t="shared" si="33"/>
        <v>0</v>
      </c>
      <c r="F187" s="67">
        <f t="shared" si="33"/>
        <v>0</v>
      </c>
      <c r="G187" s="67">
        <f t="shared" si="33"/>
        <v>0</v>
      </c>
      <c r="H187" s="67">
        <f t="shared" si="33"/>
        <v>0</v>
      </c>
      <c r="I187" s="67">
        <f t="shared" si="33"/>
        <v>0</v>
      </c>
      <c r="J187" s="67">
        <f t="shared" si="33"/>
        <v>0</v>
      </c>
    </row>
    <row r="188" spans="1:10">
      <c r="A188" s="61" t="s">
        <v>157</v>
      </c>
      <c r="B188" s="68"/>
      <c r="C188" s="68"/>
      <c r="D188" s="68"/>
      <c r="E188" s="68"/>
      <c r="F188" s="68"/>
      <c r="G188" s="68"/>
      <c r="H188" s="68"/>
      <c r="I188" s="68"/>
      <c r="J188" s="68"/>
    </row>
    <row r="189" spans="1:10">
      <c r="A189" s="61" t="s">
        <v>158</v>
      </c>
      <c r="B189" s="68"/>
      <c r="C189" s="68"/>
      <c r="D189" s="68"/>
      <c r="E189" s="68"/>
      <c r="F189" s="68"/>
      <c r="G189" s="68"/>
      <c r="H189" s="68"/>
      <c r="I189" s="68"/>
      <c r="J189" s="68"/>
    </row>
    <row r="190" spans="1:10">
      <c r="A190" s="61" t="s">
        <v>159</v>
      </c>
      <c r="B190" s="68"/>
      <c r="C190" s="68"/>
      <c r="D190" s="68"/>
      <c r="E190" s="68"/>
      <c r="F190" s="68"/>
      <c r="G190" s="68"/>
      <c r="H190" s="68"/>
      <c r="I190" s="68"/>
      <c r="J190" s="68"/>
    </row>
    <row r="191" spans="1:10">
      <c r="A191" s="61" t="s">
        <v>160</v>
      </c>
      <c r="B191" s="68"/>
      <c r="C191" s="68"/>
      <c r="D191" s="68"/>
      <c r="E191" s="68"/>
      <c r="F191" s="68"/>
      <c r="G191" s="68"/>
      <c r="H191" s="68"/>
      <c r="I191" s="68"/>
      <c r="J191" s="68"/>
    </row>
    <row r="192" spans="1:10">
      <c r="A192" s="61" t="s">
        <v>161</v>
      </c>
      <c r="B192" s="68"/>
      <c r="C192" s="68"/>
      <c r="D192" s="68"/>
      <c r="E192" s="68"/>
      <c r="F192" s="68"/>
      <c r="G192" s="68"/>
      <c r="H192" s="68"/>
      <c r="I192" s="68"/>
      <c r="J192" s="68"/>
    </row>
    <row r="193" spans="1:10">
      <c r="A193" s="72" t="s">
        <v>162</v>
      </c>
      <c r="B193" s="67">
        <f>+SUM(B194:B204)</f>
        <v>0</v>
      </c>
      <c r="C193" s="67">
        <f t="shared" ref="C193:J193" si="34">+SUM(C194:C204)</f>
        <v>0</v>
      </c>
      <c r="D193" s="67">
        <f t="shared" si="34"/>
        <v>0</v>
      </c>
      <c r="E193" s="67">
        <f t="shared" si="34"/>
        <v>0</v>
      </c>
      <c r="F193" s="67">
        <f t="shared" si="34"/>
        <v>0</v>
      </c>
      <c r="G193" s="67">
        <f t="shared" si="34"/>
        <v>0</v>
      </c>
      <c r="H193" s="67">
        <f t="shared" si="34"/>
        <v>0</v>
      </c>
      <c r="I193" s="67">
        <f t="shared" si="34"/>
        <v>0</v>
      </c>
      <c r="J193" s="67">
        <f t="shared" si="34"/>
        <v>0</v>
      </c>
    </row>
    <row r="194" spans="1:10">
      <c r="A194" s="61" t="s">
        <v>163</v>
      </c>
      <c r="B194" s="68"/>
      <c r="C194" s="68"/>
      <c r="D194" s="68"/>
      <c r="E194" s="68"/>
      <c r="F194" s="68"/>
      <c r="G194" s="68"/>
      <c r="H194" s="68"/>
      <c r="I194" s="68"/>
      <c r="J194" s="68"/>
    </row>
    <row r="195" spans="1:10">
      <c r="A195" s="61" t="s">
        <v>164</v>
      </c>
      <c r="B195" s="68"/>
      <c r="C195" s="68"/>
      <c r="D195" s="68"/>
      <c r="E195" s="68"/>
      <c r="F195" s="68"/>
      <c r="G195" s="68"/>
      <c r="H195" s="68"/>
      <c r="I195" s="68"/>
      <c r="J195" s="68"/>
    </row>
    <row r="196" spans="1:10">
      <c r="A196" s="61" t="s">
        <v>233</v>
      </c>
      <c r="B196" s="68"/>
      <c r="C196" s="68"/>
      <c r="D196" s="68"/>
      <c r="E196" s="68"/>
      <c r="F196" s="68"/>
      <c r="G196" s="68"/>
      <c r="H196" s="68"/>
      <c r="I196" s="68"/>
      <c r="J196" s="68"/>
    </row>
    <row r="197" spans="1:10">
      <c r="A197" s="61" t="s">
        <v>165</v>
      </c>
      <c r="B197" s="68"/>
      <c r="C197" s="68"/>
      <c r="D197" s="68"/>
      <c r="E197" s="68"/>
      <c r="F197" s="68"/>
      <c r="G197" s="68"/>
      <c r="H197" s="68"/>
      <c r="I197" s="68"/>
      <c r="J197" s="68"/>
    </row>
    <row r="198" spans="1:10">
      <c r="A198" s="61" t="s">
        <v>166</v>
      </c>
      <c r="B198" s="68"/>
      <c r="C198" s="68"/>
      <c r="D198" s="68"/>
      <c r="E198" s="68"/>
      <c r="F198" s="68"/>
      <c r="G198" s="68"/>
      <c r="H198" s="68"/>
      <c r="I198" s="68"/>
      <c r="J198" s="68"/>
    </row>
    <row r="199" spans="1:10">
      <c r="A199" s="61" t="s">
        <v>167</v>
      </c>
      <c r="B199" s="68"/>
      <c r="C199" s="68"/>
      <c r="D199" s="68"/>
      <c r="E199" s="68"/>
      <c r="F199" s="68"/>
      <c r="G199" s="68"/>
      <c r="H199" s="68"/>
      <c r="I199" s="68"/>
      <c r="J199" s="68"/>
    </row>
    <row r="200" spans="1:10">
      <c r="A200" s="61" t="s">
        <v>168</v>
      </c>
      <c r="B200" s="68"/>
      <c r="C200" s="68"/>
      <c r="D200" s="68"/>
      <c r="E200" s="68"/>
      <c r="F200" s="68"/>
      <c r="G200" s="68"/>
      <c r="H200" s="68"/>
      <c r="I200" s="68"/>
      <c r="J200" s="68"/>
    </row>
    <row r="201" spans="1:10">
      <c r="A201" s="61" t="s">
        <v>169</v>
      </c>
      <c r="B201" s="68"/>
      <c r="C201" s="68"/>
      <c r="D201" s="68"/>
      <c r="E201" s="68"/>
      <c r="F201" s="68"/>
      <c r="G201" s="68"/>
      <c r="H201" s="68"/>
      <c r="I201" s="68"/>
      <c r="J201" s="68"/>
    </row>
    <row r="202" spans="1:10">
      <c r="A202" s="61" t="s">
        <v>170</v>
      </c>
      <c r="B202" s="68"/>
      <c r="C202" s="68"/>
      <c r="D202" s="68"/>
      <c r="E202" s="68"/>
      <c r="F202" s="68"/>
      <c r="G202" s="68"/>
      <c r="H202" s="68"/>
      <c r="I202" s="68"/>
      <c r="J202" s="68"/>
    </row>
    <row r="203" spans="1:10">
      <c r="A203" s="61" t="s">
        <v>234</v>
      </c>
      <c r="B203" s="68"/>
      <c r="C203" s="68"/>
      <c r="D203" s="68"/>
      <c r="E203" s="68"/>
      <c r="F203" s="68"/>
      <c r="G203" s="68"/>
      <c r="H203" s="68"/>
      <c r="I203" s="68"/>
      <c r="J203" s="68"/>
    </row>
    <row r="204" spans="1:10">
      <c r="A204" s="61" t="s">
        <v>171</v>
      </c>
      <c r="B204" s="68"/>
      <c r="C204" s="68"/>
      <c r="D204" s="68"/>
      <c r="E204" s="68"/>
      <c r="F204" s="68"/>
      <c r="G204" s="68"/>
      <c r="H204" s="68"/>
      <c r="I204" s="68"/>
      <c r="J204" s="68"/>
    </row>
    <row r="205" spans="1:10">
      <c r="A205" s="72" t="s">
        <v>172</v>
      </c>
      <c r="B205" s="67">
        <f>+SUM(B206:B208)</f>
        <v>0</v>
      </c>
      <c r="C205" s="67">
        <f t="shared" ref="C205:J205" si="35">+SUM(C206:C208)</f>
        <v>0</v>
      </c>
      <c r="D205" s="67">
        <f t="shared" si="35"/>
        <v>0</v>
      </c>
      <c r="E205" s="67">
        <f t="shared" si="35"/>
        <v>0</v>
      </c>
      <c r="F205" s="67">
        <f t="shared" si="35"/>
        <v>0</v>
      </c>
      <c r="G205" s="67">
        <f t="shared" si="35"/>
        <v>0</v>
      </c>
      <c r="H205" s="67">
        <f t="shared" si="35"/>
        <v>0</v>
      </c>
      <c r="I205" s="67">
        <f t="shared" si="35"/>
        <v>0</v>
      </c>
      <c r="J205" s="67">
        <f t="shared" si="35"/>
        <v>0</v>
      </c>
    </row>
    <row r="206" spans="1:10">
      <c r="A206" s="61" t="s">
        <v>173</v>
      </c>
      <c r="B206" s="68"/>
      <c r="C206" s="68"/>
      <c r="D206" s="68"/>
      <c r="E206" s="68"/>
      <c r="F206" s="68"/>
      <c r="G206" s="68"/>
      <c r="H206" s="68"/>
      <c r="I206" s="68"/>
      <c r="J206" s="68"/>
    </row>
    <row r="207" spans="1:10">
      <c r="A207" s="61" t="s">
        <v>174</v>
      </c>
      <c r="B207" s="68"/>
      <c r="C207" s="68"/>
      <c r="D207" s="68"/>
      <c r="E207" s="68"/>
      <c r="F207" s="68"/>
      <c r="G207" s="68"/>
      <c r="H207" s="68"/>
      <c r="I207" s="68"/>
      <c r="J207" s="68"/>
    </row>
    <row r="208" spans="1:10">
      <c r="A208" s="61" t="s">
        <v>235</v>
      </c>
      <c r="B208" s="68"/>
      <c r="C208" s="68"/>
      <c r="D208" s="68"/>
      <c r="E208" s="68"/>
      <c r="F208" s="68"/>
      <c r="G208" s="68"/>
      <c r="H208" s="68"/>
      <c r="I208" s="68"/>
      <c r="J208" s="68"/>
    </row>
    <row r="209" spans="1:10">
      <c r="A209" s="72" t="s">
        <v>175</v>
      </c>
      <c r="B209" s="67">
        <f>+SUM(B210:B213)</f>
        <v>0</v>
      </c>
      <c r="C209" s="67">
        <f t="shared" ref="C209:J209" si="36">+SUM(C210:C213)</f>
        <v>0</v>
      </c>
      <c r="D209" s="67">
        <f t="shared" si="36"/>
        <v>0</v>
      </c>
      <c r="E209" s="67">
        <f t="shared" si="36"/>
        <v>0</v>
      </c>
      <c r="F209" s="67">
        <f t="shared" si="36"/>
        <v>0</v>
      </c>
      <c r="G209" s="67">
        <f t="shared" si="36"/>
        <v>0</v>
      </c>
      <c r="H209" s="67">
        <f t="shared" si="36"/>
        <v>0</v>
      </c>
      <c r="I209" s="67">
        <f t="shared" si="36"/>
        <v>0</v>
      </c>
      <c r="J209" s="67">
        <f t="shared" si="36"/>
        <v>0</v>
      </c>
    </row>
    <row r="210" spans="1:10">
      <c r="A210" s="61" t="s">
        <v>176</v>
      </c>
      <c r="B210" s="68"/>
      <c r="C210" s="68"/>
      <c r="D210" s="68"/>
      <c r="E210" s="68"/>
      <c r="F210" s="68"/>
      <c r="G210" s="68"/>
      <c r="H210" s="68"/>
      <c r="I210" s="68"/>
      <c r="J210" s="68"/>
    </row>
    <row r="211" spans="1:10">
      <c r="A211" s="61" t="s">
        <v>177</v>
      </c>
      <c r="B211" s="68"/>
      <c r="C211" s="68"/>
      <c r="D211" s="68"/>
      <c r="E211" s="68"/>
      <c r="F211" s="68"/>
      <c r="G211" s="68"/>
      <c r="H211" s="68"/>
      <c r="I211" s="68"/>
      <c r="J211" s="68"/>
    </row>
    <row r="212" spans="1:10">
      <c r="A212" s="61" t="s">
        <v>178</v>
      </c>
      <c r="B212" s="68"/>
      <c r="C212" s="68"/>
      <c r="D212" s="68"/>
      <c r="E212" s="68"/>
      <c r="F212" s="68"/>
      <c r="G212" s="68"/>
      <c r="H212" s="68"/>
      <c r="I212" s="68"/>
      <c r="J212" s="68"/>
    </row>
    <row r="213" spans="1:10">
      <c r="A213" s="61" t="s">
        <v>179</v>
      </c>
      <c r="B213" s="68"/>
      <c r="C213" s="68"/>
      <c r="D213" s="68"/>
      <c r="E213" s="68"/>
      <c r="F213" s="68"/>
      <c r="G213" s="68"/>
      <c r="H213" s="68"/>
      <c r="I213" s="68"/>
      <c r="J213" s="68"/>
    </row>
    <row r="214" spans="1:10">
      <c r="A214" s="72" t="s">
        <v>180</v>
      </c>
      <c r="B214" s="67">
        <f>+SUM(B215:B216)</f>
        <v>0</v>
      </c>
      <c r="C214" s="67">
        <f t="shared" ref="C214:J214" si="37">+SUM(C215:C216)</f>
        <v>0</v>
      </c>
      <c r="D214" s="67">
        <f t="shared" si="37"/>
        <v>0</v>
      </c>
      <c r="E214" s="67">
        <f t="shared" si="37"/>
        <v>0</v>
      </c>
      <c r="F214" s="67">
        <f t="shared" si="37"/>
        <v>0</v>
      </c>
      <c r="G214" s="67">
        <f t="shared" si="37"/>
        <v>0</v>
      </c>
      <c r="H214" s="67">
        <f t="shared" si="37"/>
        <v>0</v>
      </c>
      <c r="I214" s="67">
        <f t="shared" si="37"/>
        <v>0</v>
      </c>
      <c r="J214" s="67">
        <f t="shared" si="37"/>
        <v>0</v>
      </c>
    </row>
    <row r="215" spans="1:10">
      <c r="A215" s="61" t="s">
        <v>181</v>
      </c>
      <c r="B215" s="68"/>
      <c r="C215" s="68"/>
      <c r="D215" s="68"/>
      <c r="E215" s="68"/>
      <c r="F215" s="68"/>
      <c r="G215" s="68"/>
      <c r="H215" s="68"/>
      <c r="I215" s="68"/>
      <c r="J215" s="68"/>
    </row>
    <row r="216" spans="1:10">
      <c r="A216" s="61" t="s">
        <v>182</v>
      </c>
      <c r="B216" s="68"/>
      <c r="C216" s="68"/>
      <c r="D216" s="68"/>
      <c r="E216" s="68"/>
      <c r="F216" s="68"/>
      <c r="G216" s="68"/>
      <c r="H216" s="68"/>
      <c r="I216" s="68"/>
      <c r="J216" s="68"/>
    </row>
    <row r="217" spans="1:10">
      <c r="A217" s="60"/>
      <c r="B217" s="68"/>
      <c r="C217" s="68"/>
      <c r="D217" s="68"/>
      <c r="E217" s="68"/>
      <c r="F217" s="68"/>
      <c r="G217" s="68"/>
      <c r="H217" s="68"/>
      <c r="I217" s="69"/>
      <c r="J217" s="69"/>
    </row>
    <row r="218" spans="1:10" ht="17.25">
      <c r="A218" s="70" t="s">
        <v>183</v>
      </c>
      <c r="B218" s="67">
        <f>+B219+B223+B227</f>
        <v>0</v>
      </c>
      <c r="C218" s="67">
        <f t="shared" ref="C218:J218" si="38">+C219+C223+C227</f>
        <v>0</v>
      </c>
      <c r="D218" s="67">
        <f t="shared" si="38"/>
        <v>0</v>
      </c>
      <c r="E218" s="67">
        <f t="shared" si="38"/>
        <v>0</v>
      </c>
      <c r="F218" s="67">
        <f t="shared" si="38"/>
        <v>0</v>
      </c>
      <c r="G218" s="67">
        <f t="shared" si="38"/>
        <v>0</v>
      </c>
      <c r="H218" s="67">
        <f t="shared" si="38"/>
        <v>0</v>
      </c>
      <c r="I218" s="67">
        <f t="shared" si="38"/>
        <v>0</v>
      </c>
      <c r="J218" s="67">
        <f t="shared" si="38"/>
        <v>0</v>
      </c>
    </row>
    <row r="219" spans="1:10">
      <c r="A219" s="72" t="s">
        <v>184</v>
      </c>
      <c r="B219" s="67">
        <f>+SUM(B220:B222)</f>
        <v>0</v>
      </c>
      <c r="C219" s="67">
        <f t="shared" ref="C219:J219" si="39">+SUM(C220:C222)</f>
        <v>0</v>
      </c>
      <c r="D219" s="67">
        <f t="shared" si="39"/>
        <v>0</v>
      </c>
      <c r="E219" s="67">
        <f t="shared" si="39"/>
        <v>0</v>
      </c>
      <c r="F219" s="67">
        <f t="shared" si="39"/>
        <v>0</v>
      </c>
      <c r="G219" s="67">
        <f t="shared" si="39"/>
        <v>0</v>
      </c>
      <c r="H219" s="67">
        <f t="shared" si="39"/>
        <v>0</v>
      </c>
      <c r="I219" s="67">
        <f t="shared" si="39"/>
        <v>0</v>
      </c>
      <c r="J219" s="67">
        <f t="shared" si="39"/>
        <v>0</v>
      </c>
    </row>
    <row r="220" spans="1:10">
      <c r="A220" s="61" t="s">
        <v>185</v>
      </c>
      <c r="B220" s="68"/>
      <c r="C220" s="68"/>
      <c r="D220" s="68"/>
      <c r="E220" s="68"/>
      <c r="F220" s="68"/>
      <c r="G220" s="68"/>
      <c r="H220" s="68"/>
      <c r="I220" s="68"/>
      <c r="J220" s="68"/>
    </row>
    <row r="221" spans="1:10">
      <c r="A221" s="61" t="s">
        <v>236</v>
      </c>
      <c r="B221" s="68"/>
      <c r="C221" s="68"/>
      <c r="D221" s="68"/>
      <c r="E221" s="68"/>
      <c r="F221" s="68"/>
      <c r="G221" s="68"/>
      <c r="H221" s="68"/>
      <c r="I221" s="68"/>
      <c r="J221" s="68"/>
    </row>
    <row r="222" spans="1:10">
      <c r="A222" s="61" t="s">
        <v>237</v>
      </c>
      <c r="B222" s="68"/>
      <c r="C222" s="68"/>
      <c r="D222" s="68"/>
      <c r="E222" s="68"/>
      <c r="F222" s="68"/>
      <c r="G222" s="68"/>
      <c r="H222" s="68"/>
      <c r="I222" s="68"/>
      <c r="J222" s="68"/>
    </row>
    <row r="223" spans="1:10">
      <c r="A223" s="72" t="s">
        <v>186</v>
      </c>
      <c r="B223" s="67">
        <f>+SUM(B224:B226)</f>
        <v>0</v>
      </c>
      <c r="C223" s="67">
        <f t="shared" ref="C223:J223" si="40">+SUM(C224:C226)</f>
        <v>0</v>
      </c>
      <c r="D223" s="67">
        <f t="shared" si="40"/>
        <v>0</v>
      </c>
      <c r="E223" s="67">
        <f t="shared" si="40"/>
        <v>0</v>
      </c>
      <c r="F223" s="67">
        <f t="shared" si="40"/>
        <v>0</v>
      </c>
      <c r="G223" s="67">
        <f t="shared" si="40"/>
        <v>0</v>
      </c>
      <c r="H223" s="67">
        <f t="shared" si="40"/>
        <v>0</v>
      </c>
      <c r="I223" s="67">
        <f t="shared" si="40"/>
        <v>0</v>
      </c>
      <c r="J223" s="67">
        <f t="shared" si="40"/>
        <v>0</v>
      </c>
    </row>
    <row r="224" spans="1:10">
      <c r="A224" s="61" t="s">
        <v>187</v>
      </c>
      <c r="B224" s="68"/>
      <c r="C224" s="68"/>
      <c r="D224" s="68"/>
      <c r="E224" s="68"/>
      <c r="F224" s="68"/>
      <c r="G224" s="68"/>
      <c r="H224" s="68"/>
      <c r="I224" s="68"/>
      <c r="J224" s="68"/>
    </row>
    <row r="225" spans="1:10">
      <c r="A225" s="61" t="s">
        <v>188</v>
      </c>
      <c r="B225" s="68"/>
      <c r="C225" s="68"/>
      <c r="D225" s="68"/>
      <c r="E225" s="68"/>
      <c r="F225" s="68"/>
      <c r="G225" s="68"/>
      <c r="H225" s="68"/>
      <c r="I225" s="68"/>
      <c r="J225" s="68"/>
    </row>
    <row r="226" spans="1:10">
      <c r="A226" s="61" t="s">
        <v>189</v>
      </c>
      <c r="B226" s="68"/>
      <c r="C226" s="68"/>
      <c r="D226" s="68"/>
      <c r="E226" s="68"/>
      <c r="F226" s="68"/>
      <c r="G226" s="68"/>
      <c r="H226" s="68"/>
      <c r="I226" s="68"/>
      <c r="J226" s="68"/>
    </row>
    <row r="227" spans="1:10">
      <c r="A227" s="72" t="s">
        <v>190</v>
      </c>
      <c r="B227" s="67">
        <f>+SUM(B228:B229)</f>
        <v>0</v>
      </c>
      <c r="C227" s="67">
        <f t="shared" ref="C227:J227" si="41">+SUM(C228:C229)</f>
        <v>0</v>
      </c>
      <c r="D227" s="67">
        <f t="shared" si="41"/>
        <v>0</v>
      </c>
      <c r="E227" s="67">
        <f t="shared" si="41"/>
        <v>0</v>
      </c>
      <c r="F227" s="67">
        <f t="shared" si="41"/>
        <v>0</v>
      </c>
      <c r="G227" s="67">
        <f t="shared" si="41"/>
        <v>0</v>
      </c>
      <c r="H227" s="67">
        <f t="shared" si="41"/>
        <v>0</v>
      </c>
      <c r="I227" s="67">
        <f t="shared" si="41"/>
        <v>0</v>
      </c>
      <c r="J227" s="67">
        <f t="shared" si="41"/>
        <v>0</v>
      </c>
    </row>
    <row r="228" spans="1:10">
      <c r="A228" s="61" t="s">
        <v>191</v>
      </c>
      <c r="B228" s="68"/>
      <c r="C228" s="68"/>
      <c r="D228" s="68"/>
      <c r="E228" s="68"/>
      <c r="F228" s="68"/>
      <c r="G228" s="68"/>
      <c r="H228" s="68"/>
      <c r="I228" s="68"/>
      <c r="J228" s="68"/>
    </row>
    <row r="229" spans="1:10">
      <c r="A229" s="61" t="s">
        <v>192</v>
      </c>
      <c r="B229" s="68"/>
      <c r="C229" s="68"/>
      <c r="D229" s="68"/>
      <c r="E229" s="68"/>
      <c r="F229" s="68"/>
      <c r="G229" s="68"/>
      <c r="H229" s="68"/>
      <c r="I229" s="68"/>
      <c r="J229" s="68"/>
    </row>
    <row r="230" spans="1:10">
      <c r="A230" s="64" t="s">
        <v>193</v>
      </c>
      <c r="B230" s="67">
        <f>+B75+B104+B115+B156+B218</f>
        <v>0</v>
      </c>
      <c r="C230" s="67">
        <f t="shared" ref="C230:J230" si="42">+C75+C104+C115+C156+C218</f>
        <v>0</v>
      </c>
      <c r="D230" s="67">
        <f t="shared" si="42"/>
        <v>0</v>
      </c>
      <c r="E230" s="67">
        <f t="shared" si="42"/>
        <v>0</v>
      </c>
      <c r="F230" s="67">
        <f t="shared" si="42"/>
        <v>0</v>
      </c>
      <c r="G230" s="67">
        <f t="shared" si="42"/>
        <v>0</v>
      </c>
      <c r="H230" s="67">
        <f t="shared" si="42"/>
        <v>0</v>
      </c>
      <c r="I230" s="67">
        <f t="shared" si="42"/>
        <v>0</v>
      </c>
      <c r="J230" s="67">
        <f t="shared" si="42"/>
        <v>0</v>
      </c>
    </row>
    <row r="231" spans="1:10">
      <c r="A231" s="73" t="s">
        <v>58</v>
      </c>
      <c r="B231" s="115">
        <f>+IFERROR(B230/B70,0)</f>
        <v>0</v>
      </c>
      <c r="C231" s="115">
        <f t="shared" ref="C231:J231" si="43">+IFERROR(C230/C70,0)</f>
        <v>0</v>
      </c>
      <c r="D231" s="115">
        <f t="shared" si="43"/>
        <v>0</v>
      </c>
      <c r="E231" s="115">
        <f t="shared" si="43"/>
        <v>0</v>
      </c>
      <c r="F231" s="115">
        <f t="shared" si="43"/>
        <v>0</v>
      </c>
      <c r="G231" s="115">
        <f t="shared" si="43"/>
        <v>0</v>
      </c>
      <c r="H231" s="115">
        <f t="shared" si="43"/>
        <v>0</v>
      </c>
      <c r="I231" s="115">
        <f t="shared" si="43"/>
        <v>0</v>
      </c>
      <c r="J231" s="115">
        <f t="shared" si="43"/>
        <v>0</v>
      </c>
    </row>
    <row r="232" spans="1:10">
      <c r="A232" s="21"/>
      <c r="B232" s="69"/>
      <c r="C232" s="69"/>
      <c r="D232" s="69"/>
      <c r="E232" s="69"/>
      <c r="F232" s="69"/>
      <c r="G232" s="69"/>
      <c r="H232" s="69"/>
      <c r="I232" s="69"/>
      <c r="J232" s="69"/>
    </row>
    <row r="233" spans="1:10">
      <c r="A233" s="64" t="s">
        <v>194</v>
      </c>
      <c r="B233" s="67">
        <f>+B71-B230</f>
        <v>0</v>
      </c>
      <c r="C233" s="67">
        <f t="shared" ref="C233:J233" si="44">+C71-C230</f>
        <v>0</v>
      </c>
      <c r="D233" s="67">
        <f t="shared" si="44"/>
        <v>0</v>
      </c>
      <c r="E233" s="67">
        <f t="shared" si="44"/>
        <v>0</v>
      </c>
      <c r="F233" s="67">
        <f t="shared" si="44"/>
        <v>0</v>
      </c>
      <c r="G233" s="67">
        <f t="shared" si="44"/>
        <v>0</v>
      </c>
      <c r="H233" s="67">
        <f t="shared" si="44"/>
        <v>0</v>
      </c>
      <c r="I233" s="67">
        <f t="shared" si="44"/>
        <v>0</v>
      </c>
      <c r="J233" s="67">
        <f t="shared" si="44"/>
        <v>0</v>
      </c>
    </row>
    <row r="234" spans="1:10">
      <c r="A234" s="73" t="s">
        <v>58</v>
      </c>
      <c r="B234" s="115">
        <f>IFERROR(B233/B70,0)</f>
        <v>0</v>
      </c>
      <c r="C234" s="115">
        <f t="shared" ref="C234:J234" si="45">IFERROR(C233/C70,0)</f>
        <v>0</v>
      </c>
      <c r="D234" s="115">
        <f t="shared" si="45"/>
        <v>0</v>
      </c>
      <c r="E234" s="115">
        <f t="shared" si="45"/>
        <v>0</v>
      </c>
      <c r="F234" s="115">
        <f t="shared" si="45"/>
        <v>0</v>
      </c>
      <c r="G234" s="115">
        <f t="shared" si="45"/>
        <v>0</v>
      </c>
      <c r="H234" s="115">
        <f t="shared" si="45"/>
        <v>0</v>
      </c>
      <c r="I234" s="115">
        <f t="shared" si="45"/>
        <v>0</v>
      </c>
      <c r="J234" s="115">
        <f t="shared" si="45"/>
        <v>0</v>
      </c>
    </row>
    <row r="235" spans="1:10">
      <c r="A235" s="60"/>
      <c r="B235" s="68"/>
      <c r="C235" s="68"/>
      <c r="D235" s="68"/>
      <c r="E235" s="68"/>
      <c r="F235" s="68"/>
      <c r="G235" s="68"/>
      <c r="H235" s="68"/>
      <c r="I235" s="69"/>
      <c r="J235" s="69"/>
    </row>
    <row r="236" spans="1:10" ht="17.25">
      <c r="A236" s="70" t="s">
        <v>195</v>
      </c>
      <c r="B236" s="67">
        <f t="shared" ref="B236:J236" si="46">+SUM(B237:B239)</f>
        <v>0</v>
      </c>
      <c r="C236" s="67">
        <f t="shared" si="46"/>
        <v>0</v>
      </c>
      <c r="D236" s="67">
        <f t="shared" si="46"/>
        <v>0</v>
      </c>
      <c r="E236" s="67">
        <f t="shared" si="46"/>
        <v>0</v>
      </c>
      <c r="F236" s="67">
        <f t="shared" si="46"/>
        <v>0</v>
      </c>
      <c r="G236" s="67">
        <f t="shared" si="46"/>
        <v>0</v>
      </c>
      <c r="H236" s="67">
        <f t="shared" si="46"/>
        <v>0</v>
      </c>
      <c r="I236" s="67">
        <f t="shared" si="46"/>
        <v>0</v>
      </c>
      <c r="J236" s="67">
        <f t="shared" si="46"/>
        <v>0</v>
      </c>
    </row>
    <row r="237" spans="1:10">
      <c r="A237" s="61" t="s">
        <v>196</v>
      </c>
      <c r="B237" s="68"/>
      <c r="C237" s="68"/>
      <c r="D237" s="68"/>
      <c r="E237" s="68"/>
      <c r="F237" s="68"/>
      <c r="G237" s="68"/>
      <c r="H237" s="68"/>
      <c r="I237" s="68"/>
      <c r="J237" s="68"/>
    </row>
    <row r="238" spans="1:10">
      <c r="A238" s="61" t="s">
        <v>197</v>
      </c>
      <c r="B238" s="68"/>
      <c r="C238" s="68"/>
      <c r="D238" s="68"/>
      <c r="E238" s="68"/>
      <c r="F238" s="68"/>
      <c r="G238" s="68"/>
      <c r="H238" s="68"/>
      <c r="I238" s="68"/>
      <c r="J238" s="68"/>
    </row>
    <row r="239" spans="1:10">
      <c r="A239" s="61" t="s">
        <v>198</v>
      </c>
      <c r="B239" s="68"/>
      <c r="C239" s="68"/>
      <c r="D239" s="68"/>
      <c r="E239" s="68"/>
      <c r="F239" s="68"/>
      <c r="G239" s="68"/>
      <c r="H239" s="68"/>
      <c r="I239" s="68"/>
      <c r="J239" s="68"/>
    </row>
    <row r="240" spans="1:10">
      <c r="A240" s="60"/>
      <c r="B240" s="68"/>
      <c r="C240" s="68"/>
      <c r="D240" s="68"/>
      <c r="E240" s="68"/>
      <c r="F240" s="68"/>
      <c r="G240" s="68"/>
      <c r="H240" s="68"/>
      <c r="I240" s="69"/>
      <c r="J240" s="69"/>
    </row>
    <row r="241" spans="1:10" ht="17.25">
      <c r="A241" s="70" t="s">
        <v>199</v>
      </c>
      <c r="B241" s="67">
        <f>+SUM(B242:B248)</f>
        <v>0</v>
      </c>
      <c r="C241" s="67">
        <f t="shared" ref="C241:J241" si="47">+SUM(C242:C248)</f>
        <v>0</v>
      </c>
      <c r="D241" s="67">
        <f t="shared" si="47"/>
        <v>0</v>
      </c>
      <c r="E241" s="67">
        <f t="shared" si="47"/>
        <v>0</v>
      </c>
      <c r="F241" s="67">
        <f t="shared" si="47"/>
        <v>0</v>
      </c>
      <c r="G241" s="67">
        <f t="shared" si="47"/>
        <v>0</v>
      </c>
      <c r="H241" s="67">
        <f t="shared" si="47"/>
        <v>0</v>
      </c>
      <c r="I241" s="67">
        <f t="shared" si="47"/>
        <v>0</v>
      </c>
      <c r="J241" s="67">
        <f t="shared" si="47"/>
        <v>0</v>
      </c>
    </row>
    <row r="242" spans="1:10">
      <c r="A242" s="61" t="s">
        <v>200</v>
      </c>
      <c r="B242" s="68"/>
      <c r="C242" s="68"/>
      <c r="D242" s="68"/>
      <c r="E242" s="68"/>
      <c r="F242" s="68"/>
      <c r="G242" s="68"/>
      <c r="H242" s="68"/>
      <c r="I242" s="68"/>
      <c r="J242" s="68"/>
    </row>
    <row r="243" spans="1:10">
      <c r="A243" s="61" t="s">
        <v>238</v>
      </c>
      <c r="B243" s="68"/>
      <c r="C243" s="68"/>
      <c r="D243" s="68"/>
      <c r="E243" s="68"/>
      <c r="F243" s="68"/>
      <c r="G243" s="68"/>
      <c r="H243" s="68"/>
      <c r="I243" s="68"/>
      <c r="J243" s="68"/>
    </row>
    <row r="244" spans="1:10">
      <c r="A244" s="61" t="s">
        <v>239</v>
      </c>
      <c r="B244" s="68"/>
      <c r="C244" s="68"/>
      <c r="D244" s="68"/>
      <c r="E244" s="68"/>
      <c r="F244" s="68"/>
      <c r="G244" s="68"/>
      <c r="H244" s="68"/>
      <c r="I244" s="68"/>
      <c r="J244" s="68"/>
    </row>
    <row r="245" spans="1:10">
      <c r="A245" s="61" t="s">
        <v>240</v>
      </c>
      <c r="B245" s="68"/>
      <c r="C245" s="68"/>
      <c r="D245" s="68"/>
      <c r="E245" s="68"/>
      <c r="F245" s="68"/>
      <c r="G245" s="68"/>
      <c r="H245" s="68"/>
      <c r="I245" s="68"/>
      <c r="J245" s="68"/>
    </row>
    <row r="246" spans="1:10">
      <c r="A246" s="61" t="s">
        <v>241</v>
      </c>
      <c r="B246" s="68"/>
      <c r="C246" s="68"/>
      <c r="D246" s="68"/>
      <c r="E246" s="68"/>
      <c r="F246" s="68"/>
      <c r="G246" s="68"/>
      <c r="H246" s="68"/>
      <c r="I246" s="68"/>
      <c r="J246" s="68"/>
    </row>
    <row r="247" spans="1:10">
      <c r="A247" s="61" t="s">
        <v>242</v>
      </c>
      <c r="B247" s="68"/>
      <c r="C247" s="68"/>
      <c r="D247" s="68"/>
      <c r="E247" s="68"/>
      <c r="F247" s="68"/>
      <c r="G247" s="68"/>
      <c r="H247" s="68"/>
      <c r="I247" s="68"/>
      <c r="J247" s="68"/>
    </row>
    <row r="248" spans="1:10">
      <c r="A248" s="60"/>
      <c r="B248" s="68"/>
      <c r="C248" s="68"/>
      <c r="D248" s="68"/>
      <c r="E248" s="68"/>
      <c r="F248" s="68"/>
      <c r="G248" s="68"/>
      <c r="H248" s="68"/>
      <c r="I248" s="69"/>
      <c r="J248" s="69"/>
    </row>
    <row r="249" spans="1:10">
      <c r="A249" s="64" t="s">
        <v>201</v>
      </c>
      <c r="B249" s="67">
        <f t="shared" ref="B249:J249" si="48">+B233-B236-B241</f>
        <v>0</v>
      </c>
      <c r="C249" s="67">
        <f t="shared" si="48"/>
        <v>0</v>
      </c>
      <c r="D249" s="67">
        <f t="shared" si="48"/>
        <v>0</v>
      </c>
      <c r="E249" s="67">
        <f t="shared" si="48"/>
        <v>0</v>
      </c>
      <c r="F249" s="67">
        <f t="shared" si="48"/>
        <v>0</v>
      </c>
      <c r="G249" s="67">
        <f t="shared" si="48"/>
        <v>0</v>
      </c>
      <c r="H249" s="67">
        <f t="shared" si="48"/>
        <v>0</v>
      </c>
      <c r="I249" s="67">
        <f t="shared" si="48"/>
        <v>0</v>
      </c>
      <c r="J249" s="67">
        <f t="shared" si="48"/>
        <v>0</v>
      </c>
    </row>
    <row r="250" spans="1:10">
      <c r="A250" s="74" t="s">
        <v>58</v>
      </c>
      <c r="B250" s="116">
        <f>IFERROR(B249/B70,0)</f>
        <v>0</v>
      </c>
      <c r="C250" s="116">
        <f t="shared" ref="C250:J250" si="49">IFERROR(C249/C70,0)</f>
        <v>0</v>
      </c>
      <c r="D250" s="116">
        <f t="shared" si="49"/>
        <v>0</v>
      </c>
      <c r="E250" s="116">
        <f t="shared" si="49"/>
        <v>0</v>
      </c>
      <c r="F250" s="116">
        <f t="shared" si="49"/>
        <v>0</v>
      </c>
      <c r="G250" s="116">
        <f t="shared" si="49"/>
        <v>0</v>
      </c>
      <c r="H250" s="116">
        <f t="shared" si="49"/>
        <v>0</v>
      </c>
      <c r="I250" s="116">
        <f t="shared" si="49"/>
        <v>0</v>
      </c>
      <c r="J250" s="116">
        <f t="shared" si="49"/>
        <v>0</v>
      </c>
    </row>
  </sheetData>
  <mergeCells count="5">
    <mergeCell ref="A1:J1"/>
    <mergeCell ref="A2:A3"/>
    <mergeCell ref="B2:E2"/>
    <mergeCell ref="F2:H2"/>
    <mergeCell ref="I2:J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F94F-1046-4CAD-A833-C49B8A76D54C}">
  <dimension ref="A1:J250"/>
  <sheetViews>
    <sheetView workbookViewId="0">
      <selection sqref="A1:XFD1048576"/>
    </sheetView>
  </sheetViews>
  <sheetFormatPr defaultColWidth="8.7109375" defaultRowHeight="15"/>
  <cols>
    <col min="1" max="1" width="40.85546875" style="49" bestFit="1" customWidth="1"/>
    <col min="2" max="2" width="12.42578125" style="49" bestFit="1" customWidth="1"/>
    <col min="3" max="3" width="10.42578125" style="49" bestFit="1" customWidth="1"/>
    <col min="4" max="4" width="11.140625" style="49" bestFit="1" customWidth="1"/>
    <col min="5" max="5" width="9.5703125" style="49" bestFit="1" customWidth="1"/>
    <col min="6" max="6" width="12.140625" style="49" bestFit="1" customWidth="1"/>
    <col min="7" max="7" width="11.140625" style="49" bestFit="1" customWidth="1"/>
    <col min="8" max="9" width="9.5703125" style="49" bestFit="1" customWidth="1"/>
    <col min="10" max="10" width="8.85546875" style="49" bestFit="1" customWidth="1"/>
    <col min="11" max="16384" width="8.7109375" style="49"/>
  </cols>
  <sheetData>
    <row r="1" spans="1:10" ht="15.75">
      <c r="A1" s="124" t="s">
        <v>244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0" ht="14.45" customHeight="1">
      <c r="A2" s="125" t="s">
        <v>1</v>
      </c>
      <c r="B2" s="127" t="s">
        <v>209</v>
      </c>
      <c r="C2" s="128"/>
      <c r="D2" s="128"/>
      <c r="E2" s="128"/>
      <c r="F2" s="129" t="s">
        <v>213</v>
      </c>
      <c r="G2" s="130"/>
      <c r="H2" s="130"/>
      <c r="I2" s="130" t="s">
        <v>214</v>
      </c>
      <c r="J2" s="130"/>
    </row>
    <row r="3" spans="1:10">
      <c r="A3" s="126"/>
      <c r="B3" s="51" t="s">
        <v>215</v>
      </c>
      <c r="C3" s="51" t="s">
        <v>216</v>
      </c>
      <c r="D3" s="52" t="s">
        <v>217</v>
      </c>
      <c r="E3" s="53" t="s">
        <v>218</v>
      </c>
      <c r="F3" s="51" t="s">
        <v>215</v>
      </c>
      <c r="G3" s="52" t="s">
        <v>217</v>
      </c>
      <c r="H3" s="52" t="s">
        <v>218</v>
      </c>
      <c r="I3" s="54" t="s">
        <v>217</v>
      </c>
      <c r="J3" s="54" t="s">
        <v>218</v>
      </c>
    </row>
    <row r="4" spans="1:10">
      <c r="A4" s="55" t="s">
        <v>3</v>
      </c>
      <c r="B4" s="56"/>
      <c r="C4" s="56"/>
      <c r="D4" s="56"/>
      <c r="E4" s="56"/>
      <c r="F4" s="56"/>
      <c r="G4" s="56"/>
      <c r="H4" s="56"/>
      <c r="I4" s="56"/>
      <c r="J4" s="56"/>
    </row>
    <row r="5" spans="1:10" ht="17.25">
      <c r="A5" s="57" t="s">
        <v>4</v>
      </c>
      <c r="B5" s="56"/>
      <c r="C5" s="56"/>
      <c r="D5" s="56"/>
      <c r="E5" s="56"/>
      <c r="F5" s="56"/>
      <c r="G5" s="56"/>
      <c r="H5" s="56"/>
      <c r="I5" s="50"/>
      <c r="J5" s="50"/>
    </row>
    <row r="6" spans="1:10">
      <c r="A6" s="55" t="s">
        <v>5</v>
      </c>
      <c r="B6" s="58">
        <f>+B7+B8+B13</f>
        <v>0</v>
      </c>
      <c r="C6" s="58">
        <f t="shared" ref="C6:J6" si="0">+C7+C8+C13</f>
        <v>0</v>
      </c>
      <c r="D6" s="58">
        <f t="shared" si="0"/>
        <v>0</v>
      </c>
      <c r="E6" s="58">
        <f t="shared" si="0"/>
        <v>0</v>
      </c>
      <c r="F6" s="58">
        <f t="shared" si="0"/>
        <v>0</v>
      </c>
      <c r="G6" s="58">
        <f t="shared" si="0"/>
        <v>0</v>
      </c>
      <c r="H6" s="58">
        <f t="shared" si="0"/>
        <v>0</v>
      </c>
      <c r="I6" s="58">
        <f t="shared" si="0"/>
        <v>0</v>
      </c>
      <c r="J6" s="58">
        <f t="shared" si="0"/>
        <v>0</v>
      </c>
    </row>
    <row r="7" spans="1:10">
      <c r="A7" s="55" t="s">
        <v>6</v>
      </c>
      <c r="B7" s="58"/>
      <c r="C7" s="58"/>
      <c r="D7" s="58"/>
      <c r="E7" s="58"/>
      <c r="F7" s="58"/>
      <c r="G7" s="58"/>
      <c r="H7" s="58"/>
      <c r="I7" s="59"/>
      <c r="J7" s="59"/>
    </row>
    <row r="8" spans="1:10">
      <c r="A8" s="55" t="s">
        <v>219</v>
      </c>
      <c r="B8" s="58">
        <f>+B9+B10+B11+B12</f>
        <v>0</v>
      </c>
      <c r="C8" s="58">
        <f t="shared" ref="C8:J8" si="1">+C9+C10+C11+C12</f>
        <v>0</v>
      </c>
      <c r="D8" s="58">
        <f t="shared" si="1"/>
        <v>0</v>
      </c>
      <c r="E8" s="58">
        <f t="shared" si="1"/>
        <v>0</v>
      </c>
      <c r="F8" s="58">
        <f t="shared" si="1"/>
        <v>0</v>
      </c>
      <c r="G8" s="58">
        <f t="shared" si="1"/>
        <v>0</v>
      </c>
      <c r="H8" s="58">
        <f t="shared" si="1"/>
        <v>0</v>
      </c>
      <c r="I8" s="58">
        <f t="shared" si="1"/>
        <v>0</v>
      </c>
      <c r="J8" s="58">
        <f t="shared" si="1"/>
        <v>0</v>
      </c>
    </row>
    <row r="9" spans="1:10">
      <c r="A9" s="75" t="s">
        <v>7</v>
      </c>
      <c r="B9" s="56"/>
      <c r="C9" s="56"/>
      <c r="D9" s="56"/>
      <c r="E9" s="56"/>
      <c r="F9" s="56"/>
      <c r="G9" s="56"/>
      <c r="H9" s="56"/>
      <c r="I9" s="50"/>
      <c r="J9" s="50"/>
    </row>
    <row r="10" spans="1:10">
      <c r="A10" s="75" t="s">
        <v>8</v>
      </c>
      <c r="B10" s="56"/>
      <c r="C10" s="56"/>
      <c r="D10" s="56"/>
      <c r="E10" s="56"/>
      <c r="F10" s="56"/>
      <c r="G10" s="56"/>
      <c r="H10" s="56"/>
      <c r="I10" s="50"/>
      <c r="J10" s="50"/>
    </row>
    <row r="11" spans="1:10">
      <c r="A11" s="75" t="s">
        <v>9</v>
      </c>
      <c r="B11" s="56"/>
      <c r="C11" s="56"/>
      <c r="D11" s="56"/>
      <c r="E11" s="56"/>
      <c r="F11" s="56"/>
      <c r="G11" s="56"/>
      <c r="H11" s="56"/>
      <c r="I11" s="50"/>
      <c r="J11" s="50"/>
    </row>
    <row r="12" spans="1:10">
      <c r="A12" s="75" t="s">
        <v>10</v>
      </c>
      <c r="B12" s="56"/>
      <c r="C12" s="56"/>
      <c r="D12" s="56"/>
      <c r="E12" s="56"/>
      <c r="F12" s="56"/>
      <c r="G12" s="56"/>
      <c r="H12" s="56"/>
      <c r="I12" s="50"/>
      <c r="J12" s="50"/>
    </row>
    <row r="13" spans="1:10">
      <c r="A13" s="55" t="s">
        <v>11</v>
      </c>
      <c r="B13" s="58">
        <f>+B14+B15+B16</f>
        <v>0</v>
      </c>
      <c r="C13" s="58">
        <f t="shared" ref="C13:J13" si="2">+C14+C15+C16</f>
        <v>0</v>
      </c>
      <c r="D13" s="58">
        <f t="shared" si="2"/>
        <v>0</v>
      </c>
      <c r="E13" s="58">
        <f t="shared" si="2"/>
        <v>0</v>
      </c>
      <c r="F13" s="58">
        <f t="shared" si="2"/>
        <v>0</v>
      </c>
      <c r="G13" s="58">
        <f t="shared" si="2"/>
        <v>0</v>
      </c>
      <c r="H13" s="58">
        <f t="shared" si="2"/>
        <v>0</v>
      </c>
      <c r="I13" s="58">
        <f t="shared" si="2"/>
        <v>0</v>
      </c>
      <c r="J13" s="58">
        <f t="shared" si="2"/>
        <v>0</v>
      </c>
    </row>
    <row r="14" spans="1:10">
      <c r="A14" s="76" t="s">
        <v>12</v>
      </c>
      <c r="B14" s="56"/>
      <c r="C14" s="56"/>
      <c r="D14" s="56"/>
      <c r="E14" s="56"/>
      <c r="F14" s="56"/>
      <c r="G14" s="56"/>
      <c r="H14" s="56"/>
      <c r="I14" s="50"/>
      <c r="J14" s="50"/>
    </row>
    <row r="15" spans="1:10">
      <c r="A15" s="76" t="s">
        <v>13</v>
      </c>
      <c r="B15" s="56"/>
      <c r="C15" s="56"/>
      <c r="D15" s="56"/>
      <c r="E15" s="56"/>
      <c r="F15" s="56"/>
      <c r="G15" s="56"/>
      <c r="H15" s="56"/>
      <c r="I15" s="50"/>
      <c r="J15" s="50"/>
    </row>
    <row r="16" spans="1:10">
      <c r="A16" s="76" t="s">
        <v>14</v>
      </c>
      <c r="B16" s="56"/>
      <c r="C16" s="56"/>
      <c r="D16" s="56"/>
      <c r="E16" s="56"/>
      <c r="F16" s="56"/>
      <c r="G16" s="56"/>
      <c r="H16" s="56"/>
      <c r="I16" s="50"/>
      <c r="J16" s="50"/>
    </row>
    <row r="17" spans="1:10" ht="17.25">
      <c r="A17" s="57" t="s">
        <v>15</v>
      </c>
      <c r="B17" s="56"/>
      <c r="C17" s="56"/>
      <c r="D17" s="56"/>
      <c r="E17" s="56"/>
      <c r="F17" s="56"/>
      <c r="G17" s="56"/>
      <c r="H17" s="56"/>
      <c r="I17" s="50"/>
      <c r="J17" s="50"/>
    </row>
    <row r="18" spans="1:10">
      <c r="A18" s="61" t="s">
        <v>16</v>
      </c>
      <c r="B18" s="56"/>
      <c r="C18" s="56"/>
      <c r="D18" s="56"/>
      <c r="E18" s="56"/>
      <c r="F18" s="56"/>
      <c r="G18" s="56"/>
      <c r="H18" s="56"/>
      <c r="I18" s="50"/>
      <c r="J18" s="50"/>
    </row>
    <row r="19" spans="1:10">
      <c r="A19" s="61" t="s">
        <v>17</v>
      </c>
      <c r="B19" s="56"/>
      <c r="C19" s="56"/>
      <c r="D19" s="56"/>
      <c r="E19" s="56"/>
      <c r="F19" s="56"/>
      <c r="G19" s="56"/>
      <c r="H19" s="56"/>
      <c r="I19" s="50"/>
      <c r="J19" s="50"/>
    </row>
    <row r="20" spans="1:10">
      <c r="A20" s="61" t="s">
        <v>18</v>
      </c>
      <c r="B20" s="56"/>
      <c r="C20" s="56"/>
      <c r="D20" s="56"/>
      <c r="E20" s="56"/>
      <c r="F20" s="56"/>
      <c r="G20" s="56"/>
      <c r="H20" s="56"/>
      <c r="I20" s="50"/>
      <c r="J20" s="50"/>
    </row>
    <row r="21" spans="1:10">
      <c r="A21" s="61" t="s">
        <v>19</v>
      </c>
      <c r="B21" s="56"/>
      <c r="C21" s="56"/>
      <c r="D21" s="56"/>
      <c r="E21" s="56"/>
      <c r="F21" s="56"/>
      <c r="G21" s="56"/>
      <c r="H21" s="56"/>
      <c r="I21" s="50"/>
      <c r="J21" s="50"/>
    </row>
    <row r="22" spans="1:10" ht="17.25">
      <c r="A22" s="57" t="s">
        <v>220</v>
      </c>
      <c r="B22" s="56"/>
      <c r="C22" s="56"/>
      <c r="D22" s="56"/>
      <c r="E22" s="56"/>
      <c r="F22" s="56"/>
      <c r="G22" s="56"/>
      <c r="H22" s="56"/>
      <c r="I22" s="50"/>
      <c r="J22" s="50"/>
    </row>
    <row r="23" spans="1:10">
      <c r="A23" s="61" t="s">
        <v>16</v>
      </c>
      <c r="B23" s="56"/>
      <c r="C23" s="56"/>
      <c r="D23" s="56"/>
      <c r="E23" s="56"/>
      <c r="F23" s="56"/>
      <c r="G23" s="56"/>
      <c r="H23" s="56"/>
      <c r="I23" s="50"/>
      <c r="J23" s="50"/>
    </row>
    <row r="24" spans="1:10">
      <c r="A24" s="61" t="s">
        <v>21</v>
      </c>
      <c r="B24" s="56"/>
      <c r="C24" s="56"/>
      <c r="D24" s="56"/>
      <c r="E24" s="56"/>
      <c r="F24" s="56"/>
      <c r="G24" s="56"/>
      <c r="H24" s="56"/>
      <c r="I24" s="50"/>
      <c r="J24" s="50"/>
    </row>
    <row r="25" spans="1:10">
      <c r="A25" s="61" t="s">
        <v>22</v>
      </c>
      <c r="B25" s="56"/>
      <c r="C25" s="56"/>
      <c r="D25" s="56"/>
      <c r="E25" s="56"/>
      <c r="F25" s="56"/>
      <c r="G25" s="56"/>
      <c r="H25" s="56"/>
      <c r="I25" s="50"/>
      <c r="J25" s="50"/>
    </row>
    <row r="26" spans="1:10">
      <c r="A26" s="61" t="s">
        <v>23</v>
      </c>
      <c r="B26" s="56"/>
      <c r="C26" s="56"/>
      <c r="D26" s="56"/>
      <c r="E26" s="56"/>
      <c r="F26" s="56"/>
      <c r="G26" s="56"/>
      <c r="H26" s="56"/>
      <c r="I26" s="50"/>
      <c r="J26" s="50"/>
    </row>
    <row r="27" spans="1:10">
      <c r="A27" s="61" t="s">
        <v>20</v>
      </c>
      <c r="B27" s="58">
        <f>+B24-B25-B26</f>
        <v>0</v>
      </c>
      <c r="C27" s="58">
        <f t="shared" ref="C27:J27" si="3">+C24-C25-C26</f>
        <v>0</v>
      </c>
      <c r="D27" s="58">
        <f t="shared" si="3"/>
        <v>0</v>
      </c>
      <c r="E27" s="58">
        <f t="shared" si="3"/>
        <v>0</v>
      </c>
      <c r="F27" s="58">
        <f t="shared" si="3"/>
        <v>0</v>
      </c>
      <c r="G27" s="58">
        <f t="shared" si="3"/>
        <v>0</v>
      </c>
      <c r="H27" s="58">
        <f t="shared" si="3"/>
        <v>0</v>
      </c>
      <c r="I27" s="58">
        <f t="shared" si="3"/>
        <v>0</v>
      </c>
      <c r="J27" s="58">
        <f t="shared" si="3"/>
        <v>0</v>
      </c>
    </row>
    <row r="28" spans="1:10">
      <c r="A28" s="60"/>
      <c r="B28" s="56"/>
      <c r="C28" s="56"/>
      <c r="D28" s="56"/>
      <c r="E28" s="56"/>
      <c r="F28" s="56"/>
      <c r="G28" s="56"/>
      <c r="H28" s="56"/>
      <c r="I28" s="50"/>
      <c r="J28" s="50"/>
    </row>
    <row r="29" spans="1:10" ht="17.25">
      <c r="A29" s="57" t="s">
        <v>24</v>
      </c>
      <c r="B29" s="58">
        <f>+SUM(B31:B37)</f>
        <v>0</v>
      </c>
      <c r="C29" s="58">
        <f t="shared" ref="C29:J29" si="4">+SUM(C31:C37)</f>
        <v>0</v>
      </c>
      <c r="D29" s="58">
        <f t="shared" si="4"/>
        <v>0</v>
      </c>
      <c r="E29" s="58">
        <f t="shared" si="4"/>
        <v>0</v>
      </c>
      <c r="F29" s="58">
        <f t="shared" si="4"/>
        <v>0</v>
      </c>
      <c r="G29" s="58">
        <f t="shared" si="4"/>
        <v>0</v>
      </c>
      <c r="H29" s="58">
        <f t="shared" si="4"/>
        <v>0</v>
      </c>
      <c r="I29" s="58">
        <f t="shared" si="4"/>
        <v>0</v>
      </c>
      <c r="J29" s="58">
        <f t="shared" si="4"/>
        <v>0</v>
      </c>
    </row>
    <row r="30" spans="1:10">
      <c r="A30" s="62" t="s">
        <v>25</v>
      </c>
      <c r="B30" s="56"/>
      <c r="C30" s="56"/>
      <c r="D30" s="56"/>
      <c r="E30" s="56"/>
      <c r="F30" s="56"/>
      <c r="G30" s="56"/>
      <c r="H30" s="56"/>
      <c r="I30" s="50"/>
      <c r="J30" s="50"/>
    </row>
    <row r="31" spans="1:10">
      <c r="A31" s="61" t="s">
        <v>26</v>
      </c>
      <c r="B31" s="56"/>
      <c r="C31" s="56"/>
      <c r="D31" s="56"/>
      <c r="E31" s="56"/>
      <c r="F31" s="56"/>
      <c r="G31" s="56"/>
      <c r="H31" s="56"/>
      <c r="I31" s="50"/>
      <c r="J31" s="50"/>
    </row>
    <row r="32" spans="1:10">
      <c r="A32" s="61" t="s">
        <v>27</v>
      </c>
      <c r="B32" s="56"/>
      <c r="C32" s="56"/>
      <c r="D32" s="56"/>
      <c r="E32" s="56"/>
      <c r="F32" s="56"/>
      <c r="G32" s="56"/>
      <c r="H32" s="56"/>
      <c r="I32" s="50"/>
      <c r="J32" s="50"/>
    </row>
    <row r="33" spans="1:10">
      <c r="A33" s="61" t="s">
        <v>28</v>
      </c>
      <c r="B33" s="56"/>
      <c r="C33" s="56"/>
      <c r="D33" s="56"/>
      <c r="E33" s="56"/>
      <c r="F33" s="56"/>
      <c r="G33" s="56"/>
      <c r="H33" s="56"/>
      <c r="I33" s="50"/>
      <c r="J33" s="50"/>
    </row>
    <row r="34" spans="1:10">
      <c r="A34" s="61" t="s">
        <v>29</v>
      </c>
      <c r="B34" s="56"/>
      <c r="C34" s="56"/>
      <c r="D34" s="56"/>
      <c r="E34" s="56"/>
      <c r="F34" s="56"/>
      <c r="G34" s="56"/>
      <c r="H34" s="56"/>
      <c r="I34" s="50"/>
      <c r="J34" s="50"/>
    </row>
    <row r="35" spans="1:10">
      <c r="A35" s="61" t="s">
        <v>30</v>
      </c>
      <c r="B35" s="56"/>
      <c r="C35" s="56"/>
      <c r="D35" s="56"/>
      <c r="E35" s="56"/>
      <c r="F35" s="56"/>
      <c r="G35" s="56"/>
      <c r="H35" s="56"/>
      <c r="I35" s="50"/>
      <c r="J35" s="50"/>
    </row>
    <row r="36" spans="1:10">
      <c r="A36" s="61" t="s">
        <v>31</v>
      </c>
      <c r="B36" s="56"/>
      <c r="C36" s="56"/>
      <c r="D36" s="56"/>
      <c r="E36" s="56"/>
      <c r="F36" s="56"/>
      <c r="G36" s="56"/>
      <c r="H36" s="56"/>
      <c r="I36" s="50"/>
      <c r="J36" s="50"/>
    </row>
    <row r="37" spans="1:10">
      <c r="A37" s="61" t="s">
        <v>32</v>
      </c>
      <c r="B37" s="56"/>
      <c r="C37" s="56"/>
      <c r="D37" s="56"/>
      <c r="E37" s="56"/>
      <c r="F37" s="56"/>
      <c r="G37" s="56"/>
      <c r="H37" s="56"/>
      <c r="I37" s="50"/>
      <c r="J37" s="50"/>
    </row>
    <row r="38" spans="1:10">
      <c r="A38" s="62" t="s">
        <v>33</v>
      </c>
      <c r="B38" s="58">
        <f>+SUM(B39:B42)</f>
        <v>0</v>
      </c>
      <c r="C38" s="58">
        <f t="shared" ref="C38:J38" si="5">+SUM(C39:C42)</f>
        <v>0</v>
      </c>
      <c r="D38" s="58">
        <f t="shared" si="5"/>
        <v>0</v>
      </c>
      <c r="E38" s="58">
        <f t="shared" si="5"/>
        <v>0</v>
      </c>
      <c r="F38" s="58">
        <f t="shared" si="5"/>
        <v>0</v>
      </c>
      <c r="G38" s="58">
        <f t="shared" si="5"/>
        <v>0</v>
      </c>
      <c r="H38" s="58">
        <f t="shared" si="5"/>
        <v>0</v>
      </c>
      <c r="I38" s="58">
        <f t="shared" si="5"/>
        <v>0</v>
      </c>
      <c r="J38" s="58">
        <f t="shared" si="5"/>
        <v>0</v>
      </c>
    </row>
    <row r="39" spans="1:10">
      <c r="A39" s="61" t="s">
        <v>34</v>
      </c>
      <c r="B39" s="56"/>
      <c r="C39" s="56"/>
      <c r="D39" s="56"/>
      <c r="E39" s="56"/>
      <c r="F39" s="56"/>
      <c r="G39" s="56"/>
      <c r="H39" s="56"/>
      <c r="I39" s="50"/>
      <c r="J39" s="50"/>
    </row>
    <row r="40" spans="1:10">
      <c r="A40" s="61" t="s">
        <v>35</v>
      </c>
      <c r="B40" s="56"/>
      <c r="C40" s="56"/>
      <c r="D40" s="56"/>
      <c r="E40" s="56"/>
      <c r="F40" s="56"/>
      <c r="G40" s="56"/>
      <c r="H40" s="56"/>
      <c r="I40" s="50"/>
      <c r="J40" s="50"/>
    </row>
    <row r="41" spans="1:10">
      <c r="A41" s="61" t="s">
        <v>36</v>
      </c>
      <c r="B41" s="56"/>
      <c r="C41" s="56"/>
      <c r="D41" s="56"/>
      <c r="E41" s="56"/>
      <c r="F41" s="56"/>
      <c r="G41" s="56"/>
      <c r="H41" s="56"/>
      <c r="I41" s="50"/>
      <c r="J41" s="50"/>
    </row>
    <row r="42" spans="1:10">
      <c r="A42" s="61" t="s">
        <v>37</v>
      </c>
      <c r="B42" s="56"/>
      <c r="C42" s="56"/>
      <c r="D42" s="56"/>
      <c r="E42" s="56"/>
      <c r="F42" s="56"/>
      <c r="G42" s="56"/>
      <c r="H42" s="56"/>
      <c r="I42" s="50"/>
      <c r="J42" s="50"/>
    </row>
    <row r="43" spans="1:10">
      <c r="A43" s="62" t="s">
        <v>20</v>
      </c>
      <c r="B43" s="58">
        <f>+B29-B38</f>
        <v>0</v>
      </c>
      <c r="C43" s="58">
        <f t="shared" ref="C43:J43" si="6">+C29-C38</f>
        <v>0</v>
      </c>
      <c r="D43" s="58">
        <f t="shared" si="6"/>
        <v>0</v>
      </c>
      <c r="E43" s="58">
        <f t="shared" si="6"/>
        <v>0</v>
      </c>
      <c r="F43" s="58">
        <f t="shared" si="6"/>
        <v>0</v>
      </c>
      <c r="G43" s="58">
        <f t="shared" si="6"/>
        <v>0</v>
      </c>
      <c r="H43" s="58">
        <f t="shared" si="6"/>
        <v>0</v>
      </c>
      <c r="I43" s="58">
        <f t="shared" si="6"/>
        <v>0</v>
      </c>
      <c r="J43" s="58">
        <f t="shared" si="6"/>
        <v>0</v>
      </c>
    </row>
    <row r="44" spans="1:10">
      <c r="A44" s="61" t="s">
        <v>38</v>
      </c>
      <c r="B44" s="56"/>
      <c r="C44" s="56"/>
      <c r="D44" s="56"/>
      <c r="E44" s="56"/>
      <c r="F44" s="56"/>
      <c r="G44" s="56"/>
      <c r="H44" s="56"/>
      <c r="I44" s="50"/>
      <c r="J44" s="50"/>
    </row>
    <row r="45" spans="1:10">
      <c r="A45" s="61" t="s">
        <v>39</v>
      </c>
      <c r="B45" s="56"/>
      <c r="C45" s="56"/>
      <c r="D45" s="56"/>
      <c r="E45" s="56"/>
      <c r="F45" s="56"/>
      <c r="G45" s="56"/>
      <c r="H45" s="56"/>
      <c r="I45" s="50"/>
      <c r="J45" s="50"/>
    </row>
    <row r="46" spans="1:10">
      <c r="A46" s="61" t="s">
        <v>40</v>
      </c>
      <c r="B46" s="56"/>
      <c r="C46" s="56"/>
      <c r="D46" s="56"/>
      <c r="E46" s="56"/>
      <c r="F46" s="56"/>
      <c r="G46" s="56"/>
      <c r="H46" s="56"/>
      <c r="I46" s="50"/>
      <c r="J46" s="50"/>
    </row>
    <row r="47" spans="1:10">
      <c r="A47" s="62" t="s">
        <v>41</v>
      </c>
      <c r="B47" s="58">
        <f>+B43+B44+B45+B46</f>
        <v>0</v>
      </c>
      <c r="C47" s="58">
        <f t="shared" ref="C47:J47" si="7">+C43+C44+C45+C46</f>
        <v>0</v>
      </c>
      <c r="D47" s="58">
        <f t="shared" si="7"/>
        <v>0</v>
      </c>
      <c r="E47" s="58">
        <f t="shared" si="7"/>
        <v>0</v>
      </c>
      <c r="F47" s="58">
        <f t="shared" si="7"/>
        <v>0</v>
      </c>
      <c r="G47" s="58">
        <f t="shared" si="7"/>
        <v>0</v>
      </c>
      <c r="H47" s="58">
        <f t="shared" si="7"/>
        <v>0</v>
      </c>
      <c r="I47" s="58">
        <f t="shared" si="7"/>
        <v>0</v>
      </c>
      <c r="J47" s="58">
        <f t="shared" si="7"/>
        <v>0</v>
      </c>
    </row>
    <row r="48" spans="1:10">
      <c r="A48" s="60"/>
      <c r="B48" s="56"/>
      <c r="C48" s="56"/>
      <c r="D48" s="56"/>
      <c r="E48" s="56"/>
      <c r="F48" s="56"/>
      <c r="G48" s="56"/>
      <c r="H48" s="56"/>
      <c r="I48" s="50"/>
      <c r="J48" s="50"/>
    </row>
    <row r="49" spans="1:10" ht="17.25">
      <c r="A49" s="57" t="s">
        <v>42</v>
      </c>
      <c r="B49" s="58">
        <f>+B51+B52</f>
        <v>0</v>
      </c>
      <c r="C49" s="58">
        <f t="shared" ref="C49:J49" si="8">+C51+C52</f>
        <v>0</v>
      </c>
      <c r="D49" s="58">
        <f t="shared" si="8"/>
        <v>0</v>
      </c>
      <c r="E49" s="58">
        <f t="shared" si="8"/>
        <v>0</v>
      </c>
      <c r="F49" s="58">
        <f t="shared" si="8"/>
        <v>0</v>
      </c>
      <c r="G49" s="58">
        <f t="shared" si="8"/>
        <v>0</v>
      </c>
      <c r="H49" s="58">
        <f t="shared" si="8"/>
        <v>0</v>
      </c>
      <c r="I49" s="58">
        <f t="shared" si="8"/>
        <v>0</v>
      </c>
      <c r="J49" s="58">
        <f t="shared" si="8"/>
        <v>0</v>
      </c>
    </row>
    <row r="50" spans="1:10">
      <c r="A50" s="61" t="s">
        <v>3</v>
      </c>
      <c r="B50" s="56"/>
      <c r="C50" s="56"/>
      <c r="D50" s="56"/>
      <c r="E50" s="56"/>
      <c r="F50" s="56"/>
      <c r="G50" s="56"/>
      <c r="H50" s="56"/>
      <c r="I50" s="50"/>
      <c r="J50" s="50"/>
    </row>
    <row r="51" spans="1:10">
      <c r="A51" s="61" t="s">
        <v>43</v>
      </c>
      <c r="B51" s="56"/>
      <c r="C51" s="56"/>
      <c r="D51" s="56"/>
      <c r="E51" s="56"/>
      <c r="F51" s="56"/>
      <c r="G51" s="56"/>
      <c r="H51" s="56"/>
      <c r="I51" s="50"/>
      <c r="J51" s="50"/>
    </row>
    <row r="52" spans="1:10">
      <c r="A52" s="61" t="s">
        <v>30</v>
      </c>
      <c r="B52" s="56"/>
      <c r="C52" s="56"/>
      <c r="D52" s="56"/>
      <c r="E52" s="56"/>
      <c r="F52" s="56"/>
      <c r="G52" s="56"/>
      <c r="H52" s="56"/>
      <c r="I52" s="50"/>
      <c r="J52" s="50"/>
    </row>
    <row r="53" spans="1:10">
      <c r="A53" s="61" t="s">
        <v>33</v>
      </c>
      <c r="B53" s="56"/>
      <c r="C53" s="56"/>
      <c r="D53" s="56"/>
      <c r="E53" s="56"/>
      <c r="F53" s="56"/>
      <c r="G53" s="56"/>
      <c r="H53" s="56"/>
      <c r="I53" s="50"/>
      <c r="J53" s="50"/>
    </row>
    <row r="54" spans="1:10">
      <c r="A54" s="62" t="s">
        <v>20</v>
      </c>
      <c r="B54" s="58">
        <f>+B49-B53</f>
        <v>0</v>
      </c>
      <c r="C54" s="58">
        <f>+C49-C53</f>
        <v>0</v>
      </c>
      <c r="D54" s="58">
        <f t="shared" ref="D54:J54" si="9">+D49-D53</f>
        <v>0</v>
      </c>
      <c r="E54" s="58">
        <f t="shared" si="9"/>
        <v>0</v>
      </c>
      <c r="F54" s="58">
        <f t="shared" si="9"/>
        <v>0</v>
      </c>
      <c r="G54" s="58">
        <f t="shared" si="9"/>
        <v>0</v>
      </c>
      <c r="H54" s="58">
        <f t="shared" si="9"/>
        <v>0</v>
      </c>
      <c r="I54" s="58">
        <f t="shared" si="9"/>
        <v>0</v>
      </c>
      <c r="J54" s="58">
        <f t="shared" si="9"/>
        <v>0</v>
      </c>
    </row>
    <row r="55" spans="1:10">
      <c r="A55" s="61" t="s">
        <v>44</v>
      </c>
      <c r="B55" s="56"/>
      <c r="C55" s="56"/>
      <c r="D55" s="56"/>
      <c r="E55" s="56"/>
      <c r="F55" s="56"/>
      <c r="G55" s="56"/>
      <c r="H55" s="56"/>
      <c r="I55" s="50"/>
      <c r="J55" s="50"/>
    </row>
    <row r="56" spans="1:10">
      <c r="A56" s="61" t="s">
        <v>33</v>
      </c>
      <c r="B56" s="56"/>
      <c r="C56" s="56"/>
      <c r="D56" s="56"/>
      <c r="E56" s="56"/>
      <c r="F56" s="56"/>
      <c r="G56" s="56"/>
      <c r="H56" s="56"/>
      <c r="I56" s="50"/>
      <c r="J56" s="50"/>
    </row>
    <row r="57" spans="1:10">
      <c r="A57" s="62" t="s">
        <v>20</v>
      </c>
      <c r="B57" s="58">
        <f t="shared" ref="B57:J57" si="10">+B55-B56</f>
        <v>0</v>
      </c>
      <c r="C57" s="58">
        <f t="shared" si="10"/>
        <v>0</v>
      </c>
      <c r="D57" s="58">
        <f t="shared" si="10"/>
        <v>0</v>
      </c>
      <c r="E57" s="58">
        <f t="shared" si="10"/>
        <v>0</v>
      </c>
      <c r="F57" s="58">
        <f t="shared" si="10"/>
        <v>0</v>
      </c>
      <c r="G57" s="58">
        <f t="shared" si="10"/>
        <v>0</v>
      </c>
      <c r="H57" s="58">
        <f t="shared" si="10"/>
        <v>0</v>
      </c>
      <c r="I57" s="58">
        <f t="shared" si="10"/>
        <v>0</v>
      </c>
      <c r="J57" s="58">
        <f t="shared" si="10"/>
        <v>0</v>
      </c>
    </row>
    <row r="58" spans="1:10">
      <c r="A58" s="62" t="s">
        <v>45</v>
      </c>
      <c r="B58" s="56"/>
      <c r="C58" s="56"/>
      <c r="D58" s="56"/>
      <c r="E58" s="56"/>
      <c r="F58" s="56"/>
      <c r="G58" s="56"/>
      <c r="H58" s="56"/>
      <c r="I58" s="56"/>
      <c r="J58" s="56"/>
    </row>
    <row r="59" spans="1:10">
      <c r="A59" s="60"/>
      <c r="B59" s="56"/>
      <c r="C59" s="56"/>
      <c r="D59" s="56"/>
      <c r="E59" s="56"/>
      <c r="F59" s="56"/>
      <c r="G59" s="56"/>
      <c r="H59" s="56"/>
      <c r="I59" s="50"/>
      <c r="J59" s="50"/>
    </row>
    <row r="60" spans="1:10">
      <c r="A60" s="63" t="s">
        <v>46</v>
      </c>
      <c r="B60" s="58">
        <f>+SUM(B61:B69)</f>
        <v>0</v>
      </c>
      <c r="C60" s="58">
        <f t="shared" ref="C60:J60" si="11">+SUM(C61:C69)</f>
        <v>0</v>
      </c>
      <c r="D60" s="58">
        <f t="shared" si="11"/>
        <v>0</v>
      </c>
      <c r="E60" s="58">
        <f t="shared" si="11"/>
        <v>0</v>
      </c>
      <c r="F60" s="58">
        <f t="shared" si="11"/>
        <v>0</v>
      </c>
      <c r="G60" s="58">
        <f t="shared" si="11"/>
        <v>0</v>
      </c>
      <c r="H60" s="58">
        <f t="shared" si="11"/>
        <v>0</v>
      </c>
      <c r="I60" s="58">
        <f t="shared" si="11"/>
        <v>0</v>
      </c>
      <c r="J60" s="58">
        <f t="shared" si="11"/>
        <v>0</v>
      </c>
    </row>
    <row r="61" spans="1:10">
      <c r="A61" s="61" t="s">
        <v>47</v>
      </c>
      <c r="B61" s="56"/>
      <c r="C61" s="56"/>
      <c r="D61" s="56"/>
      <c r="E61" s="56"/>
      <c r="F61" s="56"/>
      <c r="G61" s="56"/>
      <c r="H61" s="56"/>
      <c r="I61" s="50"/>
      <c r="J61" s="50"/>
    </row>
    <row r="62" spans="1:10">
      <c r="A62" s="61" t="s">
        <v>48</v>
      </c>
      <c r="B62" s="56"/>
      <c r="C62" s="56"/>
      <c r="D62" s="56"/>
      <c r="E62" s="56"/>
      <c r="F62" s="56"/>
      <c r="G62" s="56"/>
      <c r="H62" s="56"/>
      <c r="I62" s="50"/>
      <c r="J62" s="50"/>
    </row>
    <row r="63" spans="1:10">
      <c r="A63" s="61" t="s">
        <v>49</v>
      </c>
      <c r="B63" s="56"/>
      <c r="C63" s="56"/>
      <c r="D63" s="56"/>
      <c r="E63" s="56"/>
      <c r="F63" s="56"/>
      <c r="G63" s="56"/>
      <c r="H63" s="56"/>
      <c r="I63" s="50"/>
      <c r="J63" s="50"/>
    </row>
    <row r="64" spans="1:10">
      <c r="A64" s="61" t="s">
        <v>50</v>
      </c>
      <c r="B64" s="56"/>
      <c r="C64" s="56"/>
      <c r="D64" s="56"/>
      <c r="E64" s="56"/>
      <c r="F64" s="56"/>
      <c r="G64" s="56"/>
      <c r="H64" s="56"/>
      <c r="I64" s="50"/>
      <c r="J64" s="50"/>
    </row>
    <row r="65" spans="1:10">
      <c r="A65" s="61" t="s">
        <v>51</v>
      </c>
      <c r="B65" s="56"/>
      <c r="C65" s="56"/>
      <c r="D65" s="56"/>
      <c r="E65" s="56"/>
      <c r="F65" s="56"/>
      <c r="G65" s="56"/>
      <c r="H65" s="56"/>
      <c r="I65" s="50"/>
      <c r="J65" s="50"/>
    </row>
    <row r="66" spans="1:10">
      <c r="A66" s="61" t="s">
        <v>52</v>
      </c>
      <c r="B66" s="56"/>
      <c r="C66" s="56"/>
      <c r="D66" s="56"/>
      <c r="E66" s="56"/>
      <c r="F66" s="56"/>
      <c r="G66" s="56"/>
      <c r="H66" s="56"/>
      <c r="I66" s="50"/>
      <c r="J66" s="50"/>
    </row>
    <row r="67" spans="1:10">
      <c r="A67" s="61" t="s">
        <v>53</v>
      </c>
      <c r="B67" s="56"/>
      <c r="C67" s="56"/>
      <c r="D67" s="56"/>
      <c r="E67" s="56"/>
      <c r="F67" s="56"/>
      <c r="G67" s="56"/>
      <c r="H67" s="56"/>
      <c r="I67" s="50"/>
      <c r="J67" s="50"/>
    </row>
    <row r="68" spans="1:10">
      <c r="A68" s="61" t="s">
        <v>54</v>
      </c>
      <c r="B68" s="56"/>
      <c r="C68" s="56"/>
      <c r="D68" s="56"/>
      <c r="E68" s="56"/>
      <c r="F68" s="56"/>
      <c r="G68" s="56"/>
      <c r="H68" s="56"/>
      <c r="I68" s="50"/>
      <c r="J68" s="50"/>
    </row>
    <row r="69" spans="1:10">
      <c r="A69" s="61" t="s">
        <v>55</v>
      </c>
      <c r="B69" s="56"/>
      <c r="C69" s="56"/>
      <c r="D69" s="56"/>
      <c r="E69" s="56"/>
      <c r="F69" s="56"/>
      <c r="G69" s="56"/>
      <c r="H69" s="56"/>
      <c r="I69" s="50"/>
      <c r="J69" s="50"/>
    </row>
    <row r="70" spans="1:10">
      <c r="A70" s="64" t="s">
        <v>56</v>
      </c>
      <c r="B70" s="58">
        <f>+(B7/3.5%)+B8+B13+B29+B27+B49+B55+B60</f>
        <v>0</v>
      </c>
      <c r="C70" s="58">
        <f t="shared" ref="C70:J70" si="12">+(C7/3.5%)+C8+C13+C29+C27+C49+C55+C60</f>
        <v>0</v>
      </c>
      <c r="D70" s="58">
        <f t="shared" si="12"/>
        <v>0</v>
      </c>
      <c r="E70" s="58">
        <f t="shared" si="12"/>
        <v>0</v>
      </c>
      <c r="F70" s="58">
        <f t="shared" si="12"/>
        <v>0</v>
      </c>
      <c r="G70" s="58">
        <f t="shared" si="12"/>
        <v>0</v>
      </c>
      <c r="H70" s="58">
        <f t="shared" si="12"/>
        <v>0</v>
      </c>
      <c r="I70" s="58">
        <f t="shared" si="12"/>
        <v>0</v>
      </c>
      <c r="J70" s="58">
        <f t="shared" si="12"/>
        <v>0</v>
      </c>
    </row>
    <row r="71" spans="1:10">
      <c r="A71" s="64" t="s">
        <v>57</v>
      </c>
      <c r="B71" s="58">
        <f>+B6+B27+B47+B58+B60</f>
        <v>0</v>
      </c>
      <c r="C71" s="58">
        <f t="shared" ref="C71:J71" si="13">+C6+C27+C47+C58+C60</f>
        <v>0</v>
      </c>
      <c r="D71" s="58">
        <f t="shared" si="13"/>
        <v>0</v>
      </c>
      <c r="E71" s="58">
        <f t="shared" si="13"/>
        <v>0</v>
      </c>
      <c r="F71" s="58">
        <f t="shared" si="13"/>
        <v>0</v>
      </c>
      <c r="G71" s="58">
        <f t="shared" si="13"/>
        <v>0</v>
      </c>
      <c r="H71" s="58">
        <f t="shared" si="13"/>
        <v>0</v>
      </c>
      <c r="I71" s="58">
        <f t="shared" si="13"/>
        <v>0</v>
      </c>
      <c r="J71" s="58">
        <f t="shared" si="13"/>
        <v>0</v>
      </c>
    </row>
    <row r="72" spans="1:10">
      <c r="A72" s="65" t="s">
        <v>58</v>
      </c>
      <c r="B72" s="111">
        <f>IFERROR(B71/B70,0)</f>
        <v>0</v>
      </c>
      <c r="C72" s="111">
        <f t="shared" ref="C72:J72" si="14">IFERROR(C71/C70,0)</f>
        <v>0</v>
      </c>
      <c r="D72" s="111">
        <f t="shared" si="14"/>
        <v>0</v>
      </c>
      <c r="E72" s="111">
        <f t="shared" si="14"/>
        <v>0</v>
      </c>
      <c r="F72" s="111">
        <f t="shared" si="14"/>
        <v>0</v>
      </c>
      <c r="G72" s="111">
        <f t="shared" si="14"/>
        <v>0</v>
      </c>
      <c r="H72" s="111">
        <f t="shared" si="14"/>
        <v>0</v>
      </c>
      <c r="I72" s="111">
        <f t="shared" si="14"/>
        <v>0</v>
      </c>
      <c r="J72" s="111">
        <f t="shared" si="14"/>
        <v>0</v>
      </c>
    </row>
    <row r="73" spans="1:10">
      <c r="A73" s="60"/>
      <c r="B73" s="56"/>
      <c r="C73" s="56"/>
      <c r="D73" s="56"/>
      <c r="E73" s="56"/>
      <c r="F73" s="56"/>
      <c r="G73" s="56"/>
      <c r="H73" s="56"/>
      <c r="I73" s="50"/>
      <c r="J73" s="50"/>
    </row>
    <row r="74" spans="1:10">
      <c r="A74" s="60"/>
      <c r="B74" s="56"/>
      <c r="C74" s="56"/>
      <c r="D74" s="56"/>
      <c r="E74" s="56"/>
      <c r="F74" s="56"/>
      <c r="G74" s="56"/>
      <c r="H74" s="56"/>
      <c r="I74" s="50"/>
      <c r="J74" s="50"/>
    </row>
    <row r="75" spans="1:10" ht="17.25">
      <c r="A75" s="17" t="s">
        <v>59</v>
      </c>
      <c r="B75" s="67">
        <f>+B76+B87+B90</f>
        <v>0</v>
      </c>
      <c r="C75" s="67">
        <f t="shared" ref="C75:J75" si="15">+C76+C87+C90</f>
        <v>0</v>
      </c>
      <c r="D75" s="67">
        <f t="shared" si="15"/>
        <v>0</v>
      </c>
      <c r="E75" s="67">
        <f t="shared" si="15"/>
        <v>0</v>
      </c>
      <c r="F75" s="67">
        <f t="shared" si="15"/>
        <v>0</v>
      </c>
      <c r="G75" s="67">
        <f t="shared" si="15"/>
        <v>0</v>
      </c>
      <c r="H75" s="67">
        <f t="shared" si="15"/>
        <v>0</v>
      </c>
      <c r="I75" s="67">
        <f t="shared" si="15"/>
        <v>0</v>
      </c>
      <c r="J75" s="67">
        <f t="shared" si="15"/>
        <v>0</v>
      </c>
    </row>
    <row r="76" spans="1:10">
      <c r="A76" s="66" t="s">
        <v>60</v>
      </c>
      <c r="B76" s="67">
        <f>+SUM(B77:B86)</f>
        <v>0</v>
      </c>
      <c r="C76" s="67">
        <f t="shared" ref="C76:J76" si="16">+SUM(C77:C86)</f>
        <v>0</v>
      </c>
      <c r="D76" s="67">
        <f t="shared" si="16"/>
        <v>0</v>
      </c>
      <c r="E76" s="67">
        <f t="shared" si="16"/>
        <v>0</v>
      </c>
      <c r="F76" s="67">
        <f t="shared" si="16"/>
        <v>0</v>
      </c>
      <c r="G76" s="67">
        <f t="shared" si="16"/>
        <v>0</v>
      </c>
      <c r="H76" s="67">
        <f t="shared" si="16"/>
        <v>0</v>
      </c>
      <c r="I76" s="67">
        <f t="shared" si="16"/>
        <v>0</v>
      </c>
      <c r="J76" s="67">
        <f t="shared" si="16"/>
        <v>0</v>
      </c>
    </row>
    <row r="77" spans="1:10">
      <c r="A77" s="61" t="s">
        <v>61</v>
      </c>
      <c r="B77" s="68"/>
      <c r="C77" s="68"/>
      <c r="D77" s="68"/>
      <c r="E77" s="68"/>
      <c r="F77" s="68"/>
      <c r="G77" s="68"/>
      <c r="H77" s="68"/>
      <c r="I77" s="68"/>
      <c r="J77" s="68"/>
    </row>
    <row r="78" spans="1:10">
      <c r="A78" s="61" t="s">
        <v>62</v>
      </c>
      <c r="B78" s="68"/>
      <c r="C78" s="68"/>
      <c r="D78" s="68"/>
      <c r="E78" s="68"/>
      <c r="F78" s="68"/>
      <c r="G78" s="68"/>
      <c r="H78" s="68"/>
      <c r="I78" s="68"/>
      <c r="J78" s="68"/>
    </row>
    <row r="79" spans="1:10">
      <c r="A79" s="61" t="s">
        <v>63</v>
      </c>
      <c r="B79" s="68"/>
      <c r="C79" s="68"/>
      <c r="D79" s="68"/>
      <c r="E79" s="68"/>
      <c r="F79" s="68"/>
      <c r="G79" s="68"/>
      <c r="H79" s="68"/>
      <c r="I79" s="68"/>
      <c r="J79" s="68"/>
    </row>
    <row r="80" spans="1:10">
      <c r="A80" s="61" t="s">
        <v>221</v>
      </c>
      <c r="B80" s="68"/>
      <c r="C80" s="68"/>
      <c r="D80" s="68"/>
      <c r="E80" s="68"/>
      <c r="F80" s="68"/>
      <c r="G80" s="68"/>
      <c r="H80" s="68"/>
      <c r="I80" s="68"/>
      <c r="J80" s="68"/>
    </row>
    <row r="81" spans="1:10">
      <c r="A81" s="61" t="s">
        <v>65</v>
      </c>
      <c r="B81" s="68"/>
      <c r="C81" s="68"/>
      <c r="D81" s="68"/>
      <c r="E81" s="68"/>
      <c r="F81" s="68"/>
      <c r="G81" s="68"/>
      <c r="H81" s="68"/>
      <c r="I81" s="68"/>
      <c r="J81" s="68"/>
    </row>
    <row r="82" spans="1:10">
      <c r="A82" s="61" t="s">
        <v>66</v>
      </c>
      <c r="B82" s="68"/>
      <c r="C82" s="68"/>
      <c r="D82" s="68"/>
      <c r="E82" s="68"/>
      <c r="F82" s="68"/>
      <c r="G82" s="68"/>
      <c r="H82" s="68"/>
      <c r="I82" s="68"/>
      <c r="J82" s="68"/>
    </row>
    <row r="83" spans="1:10">
      <c r="A83" s="61" t="s">
        <v>67</v>
      </c>
      <c r="B83" s="68"/>
      <c r="C83" s="68"/>
      <c r="D83" s="68"/>
      <c r="E83" s="68"/>
      <c r="F83" s="68"/>
      <c r="G83" s="68"/>
      <c r="H83" s="68"/>
      <c r="I83" s="68"/>
      <c r="J83" s="68"/>
    </row>
    <row r="84" spans="1:10">
      <c r="A84" s="61" t="s">
        <v>68</v>
      </c>
      <c r="B84" s="68"/>
      <c r="C84" s="68"/>
      <c r="D84" s="68"/>
      <c r="E84" s="68"/>
      <c r="F84" s="68"/>
      <c r="G84" s="68"/>
      <c r="H84" s="68"/>
      <c r="I84" s="68"/>
      <c r="J84" s="68"/>
    </row>
    <row r="85" spans="1:10">
      <c r="A85" s="61" t="s">
        <v>69</v>
      </c>
      <c r="B85" s="68"/>
      <c r="C85" s="68"/>
      <c r="D85" s="68"/>
      <c r="E85" s="68"/>
      <c r="F85" s="68"/>
      <c r="G85" s="68"/>
      <c r="H85" s="68"/>
      <c r="I85" s="68"/>
      <c r="J85" s="68"/>
    </row>
    <row r="86" spans="1:10">
      <c r="A86" s="61" t="s">
        <v>70</v>
      </c>
      <c r="B86" s="68"/>
      <c r="C86" s="68"/>
      <c r="D86" s="68"/>
      <c r="E86" s="68"/>
      <c r="F86" s="68"/>
      <c r="G86" s="68"/>
      <c r="H86" s="68"/>
      <c r="I86" s="68"/>
      <c r="J86" s="68"/>
    </row>
    <row r="87" spans="1:10">
      <c r="A87" s="66" t="s">
        <v>71</v>
      </c>
      <c r="B87" s="67">
        <f>+SUM(B88:B89)</f>
        <v>0</v>
      </c>
      <c r="C87" s="67">
        <f t="shared" ref="C87:J87" si="17">+SUM(C88:C89)</f>
        <v>0</v>
      </c>
      <c r="D87" s="67">
        <f t="shared" si="17"/>
        <v>0</v>
      </c>
      <c r="E87" s="67">
        <f t="shared" si="17"/>
        <v>0</v>
      </c>
      <c r="F87" s="67">
        <f t="shared" si="17"/>
        <v>0</v>
      </c>
      <c r="G87" s="67">
        <f t="shared" si="17"/>
        <v>0</v>
      </c>
      <c r="H87" s="67">
        <f t="shared" si="17"/>
        <v>0</v>
      </c>
      <c r="I87" s="67">
        <f t="shared" si="17"/>
        <v>0</v>
      </c>
      <c r="J87" s="67">
        <f t="shared" si="17"/>
        <v>0</v>
      </c>
    </row>
    <row r="88" spans="1:10">
      <c r="A88" s="61" t="s">
        <v>222</v>
      </c>
      <c r="B88" s="68"/>
      <c r="C88" s="68"/>
      <c r="D88" s="68"/>
      <c r="E88" s="68"/>
      <c r="F88" s="68"/>
      <c r="G88" s="68"/>
      <c r="H88" s="68"/>
      <c r="I88" s="68"/>
      <c r="J88" s="68"/>
    </row>
    <row r="89" spans="1:10">
      <c r="A89" s="61" t="s">
        <v>223</v>
      </c>
      <c r="B89" s="68"/>
      <c r="C89" s="68"/>
      <c r="D89" s="68"/>
      <c r="E89" s="68"/>
      <c r="F89" s="68"/>
      <c r="G89" s="68"/>
      <c r="H89" s="68"/>
      <c r="I89" s="68"/>
      <c r="J89" s="68"/>
    </row>
    <row r="90" spans="1:10">
      <c r="A90" s="66" t="s">
        <v>72</v>
      </c>
      <c r="B90" s="67">
        <f>+SUM(B91:B102)</f>
        <v>0</v>
      </c>
      <c r="C90" s="67">
        <f t="shared" ref="C90:J90" si="18">+SUM(C91:C102)</f>
        <v>0</v>
      </c>
      <c r="D90" s="67">
        <f t="shared" si="18"/>
        <v>0</v>
      </c>
      <c r="E90" s="67">
        <f t="shared" si="18"/>
        <v>0</v>
      </c>
      <c r="F90" s="67">
        <f t="shared" si="18"/>
        <v>0</v>
      </c>
      <c r="G90" s="67">
        <f t="shared" si="18"/>
        <v>0</v>
      </c>
      <c r="H90" s="67">
        <f t="shared" si="18"/>
        <v>0</v>
      </c>
      <c r="I90" s="67">
        <f t="shared" si="18"/>
        <v>0</v>
      </c>
      <c r="J90" s="67">
        <f t="shared" si="18"/>
        <v>0</v>
      </c>
    </row>
    <row r="91" spans="1:10">
      <c r="A91" s="61" t="s">
        <v>224</v>
      </c>
      <c r="B91" s="68"/>
      <c r="C91" s="68"/>
      <c r="D91" s="68"/>
      <c r="E91" s="68"/>
      <c r="F91" s="68"/>
      <c r="G91" s="68"/>
      <c r="H91" s="68"/>
      <c r="I91" s="68"/>
      <c r="J91" s="68"/>
    </row>
    <row r="92" spans="1:10">
      <c r="A92" s="61" t="s">
        <v>73</v>
      </c>
      <c r="B92" s="68"/>
      <c r="C92" s="68"/>
      <c r="D92" s="68"/>
      <c r="E92" s="68"/>
      <c r="F92" s="68"/>
      <c r="G92" s="68"/>
      <c r="H92" s="68"/>
      <c r="I92" s="68"/>
      <c r="J92" s="68"/>
    </row>
    <row r="93" spans="1:10">
      <c r="A93" s="61" t="s">
        <v>74</v>
      </c>
      <c r="B93" s="68"/>
      <c r="C93" s="68"/>
      <c r="D93" s="68"/>
      <c r="E93" s="68"/>
      <c r="F93" s="68"/>
      <c r="G93" s="68"/>
      <c r="H93" s="68"/>
      <c r="I93" s="68"/>
      <c r="J93" s="68"/>
    </row>
    <row r="94" spans="1:10">
      <c r="A94" s="61" t="s">
        <v>75</v>
      </c>
      <c r="B94" s="68"/>
      <c r="C94" s="68"/>
      <c r="D94" s="68"/>
      <c r="E94" s="68"/>
      <c r="F94" s="68"/>
      <c r="G94" s="68"/>
      <c r="H94" s="68"/>
      <c r="I94" s="68"/>
      <c r="J94" s="68"/>
    </row>
    <row r="95" spans="1:10">
      <c r="A95" s="61" t="s">
        <v>76</v>
      </c>
      <c r="B95" s="68"/>
      <c r="C95" s="68"/>
      <c r="D95" s="68"/>
      <c r="E95" s="68"/>
      <c r="F95" s="68"/>
      <c r="G95" s="68"/>
      <c r="H95" s="68"/>
      <c r="I95" s="68"/>
      <c r="J95" s="68"/>
    </row>
    <row r="96" spans="1:10">
      <c r="A96" s="61" t="s">
        <v>77</v>
      </c>
      <c r="B96" s="68"/>
      <c r="C96" s="68"/>
      <c r="D96" s="68"/>
      <c r="E96" s="68"/>
      <c r="F96" s="68"/>
      <c r="G96" s="68"/>
      <c r="H96" s="68"/>
      <c r="I96" s="68"/>
      <c r="J96" s="68"/>
    </row>
    <row r="97" spans="1:10">
      <c r="A97" s="61" t="s">
        <v>78</v>
      </c>
      <c r="B97" s="68"/>
      <c r="C97" s="68"/>
      <c r="D97" s="68"/>
      <c r="E97" s="68"/>
      <c r="F97" s="68"/>
      <c r="G97" s="68"/>
      <c r="H97" s="68"/>
      <c r="I97" s="68"/>
      <c r="J97" s="68"/>
    </row>
    <row r="98" spans="1:10">
      <c r="A98" s="61" t="s">
        <v>79</v>
      </c>
      <c r="B98" s="68"/>
      <c r="C98" s="68"/>
      <c r="D98" s="68"/>
      <c r="E98" s="68"/>
      <c r="F98" s="68"/>
      <c r="G98" s="68"/>
      <c r="H98" s="68"/>
      <c r="I98" s="68"/>
      <c r="J98" s="68"/>
    </row>
    <row r="99" spans="1:10">
      <c r="A99" s="61" t="s">
        <v>80</v>
      </c>
      <c r="B99" s="68"/>
      <c r="C99" s="68"/>
      <c r="D99" s="68"/>
      <c r="E99" s="68"/>
      <c r="F99" s="68"/>
      <c r="G99" s="68"/>
      <c r="H99" s="68"/>
      <c r="I99" s="68"/>
      <c r="J99" s="68"/>
    </row>
    <row r="100" spans="1:10">
      <c r="A100" s="61" t="s">
        <v>81</v>
      </c>
      <c r="B100" s="68"/>
      <c r="C100" s="68"/>
      <c r="D100" s="68"/>
      <c r="E100" s="68"/>
      <c r="F100" s="68"/>
      <c r="G100" s="68"/>
      <c r="H100" s="68"/>
      <c r="I100" s="68"/>
      <c r="J100" s="68"/>
    </row>
    <row r="101" spans="1:10">
      <c r="A101" s="61" t="s">
        <v>82</v>
      </c>
      <c r="B101" s="68"/>
      <c r="C101" s="68"/>
      <c r="D101" s="68"/>
      <c r="E101" s="68"/>
      <c r="F101" s="68"/>
      <c r="G101" s="68"/>
      <c r="H101" s="68"/>
      <c r="I101" s="68"/>
      <c r="J101" s="68"/>
    </row>
    <row r="102" spans="1:10">
      <c r="A102" s="61" t="s">
        <v>83</v>
      </c>
      <c r="B102" s="68"/>
      <c r="C102" s="68"/>
      <c r="D102" s="68"/>
      <c r="E102" s="68"/>
      <c r="F102" s="68"/>
      <c r="G102" s="68"/>
      <c r="H102" s="68"/>
      <c r="I102" s="68"/>
      <c r="J102" s="68"/>
    </row>
    <row r="103" spans="1:10">
      <c r="A103" s="61"/>
      <c r="B103" s="68"/>
      <c r="C103" s="68"/>
      <c r="D103" s="68"/>
      <c r="E103" s="68"/>
      <c r="F103" s="68"/>
      <c r="G103" s="68"/>
      <c r="H103" s="68"/>
      <c r="I103" s="69"/>
      <c r="J103" s="69"/>
    </row>
    <row r="104" spans="1:10" ht="17.25">
      <c r="A104" s="70" t="s">
        <v>84</v>
      </c>
      <c r="B104" s="67">
        <f>+SUM(B105:B113)</f>
        <v>0</v>
      </c>
      <c r="C104" s="67">
        <f t="shared" ref="C104:J104" si="19">+SUM(C105:C113)</f>
        <v>0</v>
      </c>
      <c r="D104" s="67">
        <f t="shared" si="19"/>
        <v>0</v>
      </c>
      <c r="E104" s="67">
        <f t="shared" si="19"/>
        <v>0</v>
      </c>
      <c r="F104" s="67">
        <f t="shared" si="19"/>
        <v>0</v>
      </c>
      <c r="G104" s="67">
        <f t="shared" si="19"/>
        <v>0</v>
      </c>
      <c r="H104" s="67">
        <f t="shared" si="19"/>
        <v>0</v>
      </c>
      <c r="I104" s="67">
        <f t="shared" si="19"/>
        <v>0</v>
      </c>
      <c r="J104" s="67">
        <f t="shared" si="19"/>
        <v>0</v>
      </c>
    </row>
    <row r="105" spans="1:10">
      <c r="A105" s="61" t="s">
        <v>85</v>
      </c>
      <c r="B105" s="68"/>
      <c r="C105" s="68"/>
      <c r="D105" s="68"/>
      <c r="E105" s="68"/>
      <c r="F105" s="68"/>
      <c r="G105" s="68"/>
      <c r="H105" s="68"/>
      <c r="I105" s="68"/>
      <c r="J105" s="68"/>
    </row>
    <row r="106" spans="1:10">
      <c r="A106" s="61" t="s">
        <v>86</v>
      </c>
      <c r="B106" s="68"/>
      <c r="C106" s="68"/>
      <c r="D106" s="68"/>
      <c r="E106" s="68"/>
      <c r="F106" s="68"/>
      <c r="G106" s="68"/>
      <c r="H106" s="68"/>
      <c r="I106" s="68"/>
      <c r="J106" s="68"/>
    </row>
    <row r="107" spans="1:10">
      <c r="A107" s="61" t="s">
        <v>87</v>
      </c>
      <c r="B107" s="68"/>
      <c r="C107" s="68"/>
      <c r="D107" s="68"/>
      <c r="E107" s="68"/>
      <c r="F107" s="68"/>
      <c r="G107" s="68"/>
      <c r="H107" s="68"/>
      <c r="I107" s="68"/>
      <c r="J107" s="68"/>
    </row>
    <row r="108" spans="1:10">
      <c r="A108" s="61" t="s">
        <v>88</v>
      </c>
      <c r="B108" s="68"/>
      <c r="C108" s="68"/>
      <c r="D108" s="68"/>
      <c r="E108" s="68"/>
      <c r="F108" s="68"/>
      <c r="G108" s="68"/>
      <c r="H108" s="68"/>
      <c r="I108" s="68"/>
      <c r="J108" s="68"/>
    </row>
    <row r="109" spans="1:10">
      <c r="A109" s="61" t="s">
        <v>89</v>
      </c>
      <c r="B109" s="68"/>
      <c r="C109" s="68"/>
      <c r="D109" s="68"/>
      <c r="E109" s="68"/>
      <c r="F109" s="68"/>
      <c r="G109" s="68"/>
      <c r="H109" s="68"/>
      <c r="I109" s="68"/>
      <c r="J109" s="68"/>
    </row>
    <row r="110" spans="1:10">
      <c r="A110" s="61" t="s">
        <v>90</v>
      </c>
      <c r="B110" s="68"/>
      <c r="C110" s="68"/>
      <c r="D110" s="68"/>
      <c r="E110" s="68"/>
      <c r="F110" s="68"/>
      <c r="G110" s="68"/>
      <c r="H110" s="68"/>
      <c r="I110" s="68"/>
      <c r="J110" s="68"/>
    </row>
    <row r="111" spans="1:10">
      <c r="A111" s="61" t="s">
        <v>91</v>
      </c>
      <c r="B111" s="68"/>
      <c r="C111" s="68"/>
      <c r="D111" s="68"/>
      <c r="E111" s="68"/>
      <c r="F111" s="68"/>
      <c r="G111" s="68"/>
      <c r="H111" s="68"/>
      <c r="I111" s="68"/>
      <c r="J111" s="68"/>
    </row>
    <row r="112" spans="1:10">
      <c r="A112" s="61" t="s">
        <v>92</v>
      </c>
      <c r="B112" s="68"/>
      <c r="C112" s="68"/>
      <c r="D112" s="68"/>
      <c r="E112" s="68"/>
      <c r="F112" s="68"/>
      <c r="G112" s="68"/>
      <c r="H112" s="68"/>
      <c r="I112" s="68"/>
      <c r="J112" s="68"/>
    </row>
    <row r="113" spans="1:10">
      <c r="A113" s="61" t="s">
        <v>225</v>
      </c>
      <c r="B113" s="68"/>
      <c r="C113" s="68"/>
      <c r="D113" s="68"/>
      <c r="E113" s="68"/>
      <c r="F113" s="68"/>
      <c r="G113" s="68"/>
      <c r="H113" s="68"/>
      <c r="I113" s="68"/>
      <c r="J113" s="68"/>
    </row>
    <row r="114" spans="1:10">
      <c r="A114" s="60"/>
      <c r="B114" s="68"/>
      <c r="C114" s="68"/>
      <c r="D114" s="68"/>
      <c r="E114" s="68"/>
      <c r="F114" s="68"/>
      <c r="G114" s="68"/>
      <c r="H114" s="68"/>
      <c r="I114" s="69"/>
      <c r="J114" s="69"/>
    </row>
    <row r="115" spans="1:10" ht="17.25">
      <c r="A115" s="71" t="s">
        <v>211</v>
      </c>
      <c r="B115" s="67">
        <f>+B116+B129+B133+B138+B146+B150</f>
        <v>0</v>
      </c>
      <c r="C115" s="67">
        <f t="shared" ref="C115:J115" si="20">+C116+C129+C133+C138+C146+C150</f>
        <v>0</v>
      </c>
      <c r="D115" s="67">
        <f t="shared" si="20"/>
        <v>0</v>
      </c>
      <c r="E115" s="67">
        <f t="shared" si="20"/>
        <v>0</v>
      </c>
      <c r="F115" s="67">
        <f t="shared" si="20"/>
        <v>0</v>
      </c>
      <c r="G115" s="67">
        <f t="shared" si="20"/>
        <v>0</v>
      </c>
      <c r="H115" s="67">
        <f t="shared" si="20"/>
        <v>0</v>
      </c>
      <c r="I115" s="67">
        <f t="shared" si="20"/>
        <v>0</v>
      </c>
      <c r="J115" s="67">
        <f t="shared" si="20"/>
        <v>0</v>
      </c>
    </row>
    <row r="116" spans="1:10">
      <c r="A116" s="72" t="s">
        <v>94</v>
      </c>
      <c r="B116" s="67">
        <f>+SUM(B117:B128)</f>
        <v>0</v>
      </c>
      <c r="C116" s="67">
        <f t="shared" ref="C116:J116" si="21">+SUM(C117:C128)</f>
        <v>0</v>
      </c>
      <c r="D116" s="67">
        <f t="shared" si="21"/>
        <v>0</v>
      </c>
      <c r="E116" s="67">
        <f t="shared" si="21"/>
        <v>0</v>
      </c>
      <c r="F116" s="67">
        <f t="shared" si="21"/>
        <v>0</v>
      </c>
      <c r="G116" s="67">
        <f t="shared" si="21"/>
        <v>0</v>
      </c>
      <c r="H116" s="67">
        <f t="shared" si="21"/>
        <v>0</v>
      </c>
      <c r="I116" s="67">
        <f t="shared" si="21"/>
        <v>0</v>
      </c>
      <c r="J116" s="67">
        <f t="shared" si="21"/>
        <v>0</v>
      </c>
    </row>
    <row r="117" spans="1:10">
      <c r="A117" s="61" t="s">
        <v>95</v>
      </c>
      <c r="B117" s="68"/>
      <c r="C117" s="68"/>
      <c r="D117" s="68"/>
      <c r="E117" s="68"/>
      <c r="F117" s="68"/>
      <c r="G117" s="68"/>
      <c r="H117" s="68"/>
      <c r="I117" s="68"/>
      <c r="J117" s="68"/>
    </row>
    <row r="118" spans="1:10">
      <c r="A118" s="61" t="s">
        <v>96</v>
      </c>
      <c r="B118" s="68"/>
      <c r="C118" s="68"/>
      <c r="D118" s="68"/>
      <c r="E118" s="68"/>
      <c r="F118" s="68"/>
      <c r="G118" s="68"/>
      <c r="H118" s="68"/>
      <c r="I118" s="68"/>
      <c r="J118" s="68"/>
    </row>
    <row r="119" spans="1:10">
      <c r="A119" s="61" t="s">
        <v>97</v>
      </c>
      <c r="B119" s="68"/>
      <c r="C119" s="68"/>
      <c r="D119" s="68"/>
      <c r="E119" s="68"/>
      <c r="F119" s="68"/>
      <c r="G119" s="68"/>
      <c r="H119" s="68"/>
      <c r="I119" s="68"/>
      <c r="J119" s="68"/>
    </row>
    <row r="120" spans="1:10">
      <c r="A120" s="61" t="s">
        <v>98</v>
      </c>
      <c r="B120" s="68"/>
      <c r="C120" s="68"/>
      <c r="D120" s="68"/>
      <c r="E120" s="68"/>
      <c r="F120" s="68"/>
      <c r="G120" s="68"/>
      <c r="H120" s="68"/>
      <c r="I120" s="68"/>
      <c r="J120" s="68"/>
    </row>
    <row r="121" spans="1:10">
      <c r="A121" s="61" t="s">
        <v>99</v>
      </c>
      <c r="B121" s="68"/>
      <c r="C121" s="68"/>
      <c r="D121" s="68"/>
      <c r="E121" s="68"/>
      <c r="F121" s="68"/>
      <c r="G121" s="68"/>
      <c r="H121" s="68"/>
      <c r="I121" s="68"/>
      <c r="J121" s="68"/>
    </row>
    <row r="122" spans="1:10">
      <c r="A122" s="61" t="s">
        <v>100</v>
      </c>
      <c r="B122" s="68"/>
      <c r="C122" s="68"/>
      <c r="D122" s="68"/>
      <c r="E122" s="68"/>
      <c r="F122" s="68"/>
      <c r="G122" s="68"/>
      <c r="H122" s="68"/>
      <c r="I122" s="68"/>
      <c r="J122" s="68"/>
    </row>
    <row r="123" spans="1:10">
      <c r="A123" s="61" t="s">
        <v>101</v>
      </c>
      <c r="B123" s="68"/>
      <c r="C123" s="68"/>
      <c r="D123" s="68"/>
      <c r="E123" s="68"/>
      <c r="F123" s="68"/>
      <c r="G123" s="68"/>
      <c r="H123" s="68"/>
      <c r="I123" s="68"/>
      <c r="J123" s="68"/>
    </row>
    <row r="124" spans="1:10">
      <c r="A124" s="61" t="s">
        <v>102</v>
      </c>
      <c r="B124" s="68"/>
      <c r="C124" s="68"/>
      <c r="D124" s="68"/>
      <c r="E124" s="68"/>
      <c r="F124" s="68"/>
      <c r="G124" s="68"/>
      <c r="H124" s="68"/>
      <c r="I124" s="68"/>
      <c r="J124" s="68"/>
    </row>
    <row r="125" spans="1:10">
      <c r="A125" s="61" t="s">
        <v>103</v>
      </c>
      <c r="B125" s="68"/>
      <c r="C125" s="68"/>
      <c r="D125" s="68"/>
      <c r="E125" s="68"/>
      <c r="F125" s="68"/>
      <c r="G125" s="68"/>
      <c r="H125" s="68"/>
      <c r="I125" s="68"/>
      <c r="J125" s="68"/>
    </row>
    <row r="126" spans="1:10">
      <c r="A126" s="61" t="s">
        <v>104</v>
      </c>
      <c r="B126" s="68"/>
      <c r="C126" s="68"/>
      <c r="D126" s="68"/>
      <c r="E126" s="68"/>
      <c r="F126" s="68"/>
      <c r="G126" s="68"/>
      <c r="H126" s="68"/>
      <c r="I126" s="68"/>
      <c r="J126" s="68"/>
    </row>
    <row r="127" spans="1:10">
      <c r="A127" s="61" t="s">
        <v>105</v>
      </c>
      <c r="B127" s="68"/>
      <c r="C127" s="68"/>
      <c r="D127" s="68"/>
      <c r="E127" s="68"/>
      <c r="F127" s="68"/>
      <c r="G127" s="68"/>
      <c r="H127" s="68"/>
      <c r="I127" s="68"/>
      <c r="J127" s="68"/>
    </row>
    <row r="128" spans="1:10">
      <c r="A128" s="61" t="s">
        <v>226</v>
      </c>
      <c r="B128" s="68"/>
      <c r="C128" s="68"/>
      <c r="D128" s="68"/>
      <c r="E128" s="68"/>
      <c r="F128" s="68"/>
      <c r="G128" s="68"/>
      <c r="H128" s="68"/>
      <c r="I128" s="68"/>
      <c r="J128" s="68"/>
    </row>
    <row r="129" spans="1:10">
      <c r="A129" s="72" t="s">
        <v>106</v>
      </c>
      <c r="B129" s="67">
        <f>+SUM(B130:B132)</f>
        <v>0</v>
      </c>
      <c r="C129" s="67">
        <f t="shared" ref="C129:J129" si="22">+SUM(C130:C132)</f>
        <v>0</v>
      </c>
      <c r="D129" s="67">
        <f t="shared" si="22"/>
        <v>0</v>
      </c>
      <c r="E129" s="67">
        <f t="shared" si="22"/>
        <v>0</v>
      </c>
      <c r="F129" s="67">
        <f t="shared" si="22"/>
        <v>0</v>
      </c>
      <c r="G129" s="67">
        <f t="shared" si="22"/>
        <v>0</v>
      </c>
      <c r="H129" s="67">
        <f t="shared" si="22"/>
        <v>0</v>
      </c>
      <c r="I129" s="67">
        <f t="shared" si="22"/>
        <v>0</v>
      </c>
      <c r="J129" s="67">
        <f t="shared" si="22"/>
        <v>0</v>
      </c>
    </row>
    <row r="130" spans="1:10">
      <c r="A130" s="61" t="s">
        <v>107</v>
      </c>
      <c r="B130" s="68"/>
      <c r="C130" s="68"/>
      <c r="D130" s="68"/>
      <c r="E130" s="68"/>
      <c r="F130" s="68"/>
      <c r="G130" s="68"/>
      <c r="H130" s="68"/>
      <c r="I130" s="68"/>
      <c r="J130" s="68"/>
    </row>
    <row r="131" spans="1:10">
      <c r="A131" s="61" t="s">
        <v>108</v>
      </c>
      <c r="B131" s="68"/>
      <c r="C131" s="68"/>
      <c r="D131" s="68"/>
      <c r="E131" s="68"/>
      <c r="F131" s="68"/>
      <c r="G131" s="68"/>
      <c r="H131" s="68"/>
      <c r="I131" s="68"/>
      <c r="J131" s="68"/>
    </row>
    <row r="132" spans="1:10">
      <c r="A132" s="61" t="s">
        <v>109</v>
      </c>
      <c r="B132" s="68"/>
      <c r="C132" s="68"/>
      <c r="D132" s="68"/>
      <c r="E132" s="68"/>
      <c r="F132" s="68"/>
      <c r="G132" s="68"/>
      <c r="H132" s="68"/>
      <c r="I132" s="68"/>
      <c r="J132" s="68"/>
    </row>
    <row r="133" spans="1:10">
      <c r="A133" s="72" t="s">
        <v>110</v>
      </c>
      <c r="B133" s="67">
        <f>+SUM(B134:B137)</f>
        <v>0</v>
      </c>
      <c r="C133" s="67">
        <f t="shared" ref="C133:J133" si="23">+SUM(C134:C137)</f>
        <v>0</v>
      </c>
      <c r="D133" s="67">
        <f t="shared" si="23"/>
        <v>0</v>
      </c>
      <c r="E133" s="67">
        <f t="shared" si="23"/>
        <v>0</v>
      </c>
      <c r="F133" s="67">
        <f t="shared" si="23"/>
        <v>0</v>
      </c>
      <c r="G133" s="67">
        <f t="shared" si="23"/>
        <v>0</v>
      </c>
      <c r="H133" s="67">
        <f t="shared" si="23"/>
        <v>0</v>
      </c>
      <c r="I133" s="67">
        <f t="shared" si="23"/>
        <v>0</v>
      </c>
      <c r="J133" s="67">
        <f t="shared" si="23"/>
        <v>0</v>
      </c>
    </row>
    <row r="134" spans="1:10">
      <c r="A134" s="61" t="s">
        <v>111</v>
      </c>
      <c r="B134" s="68"/>
      <c r="C134" s="68"/>
      <c r="D134" s="68"/>
      <c r="E134" s="68"/>
      <c r="F134" s="68"/>
      <c r="G134" s="68"/>
      <c r="H134" s="68"/>
      <c r="I134" s="68"/>
      <c r="J134" s="68"/>
    </row>
    <row r="135" spans="1:10">
      <c r="A135" s="61" t="s">
        <v>112</v>
      </c>
      <c r="B135" s="68"/>
      <c r="C135" s="68"/>
      <c r="D135" s="68"/>
      <c r="E135" s="68"/>
      <c r="F135" s="68"/>
      <c r="G135" s="68"/>
      <c r="H135" s="68"/>
      <c r="I135" s="68"/>
      <c r="J135" s="68"/>
    </row>
    <row r="136" spans="1:10">
      <c r="A136" s="61" t="s">
        <v>113</v>
      </c>
      <c r="B136" s="68"/>
      <c r="C136" s="68"/>
      <c r="D136" s="68"/>
      <c r="E136" s="68"/>
      <c r="F136" s="68"/>
      <c r="G136" s="68"/>
      <c r="H136" s="68"/>
      <c r="I136" s="68"/>
      <c r="J136" s="68"/>
    </row>
    <row r="137" spans="1:10">
      <c r="A137" s="61" t="s">
        <v>114</v>
      </c>
      <c r="B137" s="68"/>
      <c r="C137" s="68"/>
      <c r="D137" s="68"/>
      <c r="E137" s="68"/>
      <c r="F137" s="68"/>
      <c r="G137" s="68"/>
      <c r="H137" s="68"/>
      <c r="I137" s="68"/>
      <c r="J137" s="68"/>
    </row>
    <row r="138" spans="1:10">
      <c r="A138" s="72" t="s">
        <v>115</v>
      </c>
      <c r="B138" s="67">
        <f>+SUM(B139:B145)</f>
        <v>0</v>
      </c>
      <c r="C138" s="67">
        <f t="shared" ref="C138:J138" si="24">+SUM(C139:C145)</f>
        <v>0</v>
      </c>
      <c r="D138" s="67">
        <f t="shared" si="24"/>
        <v>0</v>
      </c>
      <c r="E138" s="67">
        <f t="shared" si="24"/>
        <v>0</v>
      </c>
      <c r="F138" s="67">
        <f t="shared" si="24"/>
        <v>0</v>
      </c>
      <c r="G138" s="67">
        <f t="shared" si="24"/>
        <v>0</v>
      </c>
      <c r="H138" s="67">
        <f t="shared" si="24"/>
        <v>0</v>
      </c>
      <c r="I138" s="67">
        <f t="shared" si="24"/>
        <v>0</v>
      </c>
      <c r="J138" s="67">
        <f t="shared" si="24"/>
        <v>0</v>
      </c>
    </row>
    <row r="139" spans="1:10">
      <c r="A139" s="61" t="s">
        <v>116</v>
      </c>
      <c r="B139" s="68"/>
      <c r="C139" s="68"/>
      <c r="D139" s="68"/>
      <c r="E139" s="68"/>
      <c r="F139" s="68"/>
      <c r="G139" s="68"/>
      <c r="H139" s="68"/>
      <c r="I139" s="68"/>
      <c r="J139" s="68"/>
    </row>
    <row r="140" spans="1:10">
      <c r="A140" s="61" t="s">
        <v>117</v>
      </c>
      <c r="B140" s="68"/>
      <c r="C140" s="68"/>
      <c r="D140" s="68"/>
      <c r="E140" s="68"/>
      <c r="F140" s="68"/>
      <c r="G140" s="68"/>
      <c r="H140" s="68"/>
      <c r="I140" s="68"/>
      <c r="J140" s="68"/>
    </row>
    <row r="141" spans="1:10">
      <c r="A141" s="61" t="s">
        <v>227</v>
      </c>
      <c r="B141" s="68"/>
      <c r="C141" s="68"/>
      <c r="D141" s="68"/>
      <c r="E141" s="68"/>
      <c r="F141" s="68"/>
      <c r="G141" s="68"/>
      <c r="H141" s="68"/>
      <c r="I141" s="68"/>
      <c r="J141" s="68"/>
    </row>
    <row r="142" spans="1:10">
      <c r="A142" s="61" t="s">
        <v>228</v>
      </c>
      <c r="B142" s="68"/>
      <c r="C142" s="68"/>
      <c r="D142" s="68"/>
      <c r="E142" s="68"/>
      <c r="F142" s="68"/>
      <c r="G142" s="68"/>
      <c r="H142" s="68"/>
      <c r="I142" s="68"/>
      <c r="J142" s="68"/>
    </row>
    <row r="143" spans="1:10">
      <c r="A143" s="61" t="s">
        <v>118</v>
      </c>
      <c r="B143" s="68"/>
      <c r="C143" s="68"/>
      <c r="D143" s="68"/>
      <c r="E143" s="68"/>
      <c r="F143" s="68"/>
      <c r="G143" s="68"/>
      <c r="H143" s="68"/>
      <c r="I143" s="68"/>
      <c r="J143" s="68"/>
    </row>
    <row r="144" spans="1:10">
      <c r="A144" s="61" t="s">
        <v>119</v>
      </c>
      <c r="B144" s="68"/>
      <c r="C144" s="68"/>
      <c r="D144" s="68"/>
      <c r="E144" s="68"/>
      <c r="F144" s="68"/>
      <c r="G144" s="68"/>
      <c r="H144" s="68"/>
      <c r="I144" s="68"/>
      <c r="J144" s="68"/>
    </row>
    <row r="145" spans="1:10">
      <c r="A145" s="61" t="s">
        <v>120</v>
      </c>
      <c r="B145" s="68"/>
      <c r="C145" s="68"/>
      <c r="D145" s="68"/>
      <c r="E145" s="68"/>
      <c r="F145" s="68"/>
      <c r="G145" s="68"/>
      <c r="H145" s="68"/>
      <c r="I145" s="68"/>
      <c r="J145" s="68"/>
    </row>
    <row r="146" spans="1:10">
      <c r="A146" s="72" t="s">
        <v>121</v>
      </c>
      <c r="B146" s="67">
        <f>+SUM(B147:B149)</f>
        <v>0</v>
      </c>
      <c r="C146" s="67">
        <f t="shared" ref="C146:J146" si="25">+SUM(C147:C149)</f>
        <v>0</v>
      </c>
      <c r="D146" s="67">
        <f t="shared" si="25"/>
        <v>0</v>
      </c>
      <c r="E146" s="67">
        <f t="shared" si="25"/>
        <v>0</v>
      </c>
      <c r="F146" s="67">
        <f t="shared" si="25"/>
        <v>0</v>
      </c>
      <c r="G146" s="67">
        <f t="shared" si="25"/>
        <v>0</v>
      </c>
      <c r="H146" s="67">
        <f t="shared" si="25"/>
        <v>0</v>
      </c>
      <c r="I146" s="67">
        <f t="shared" si="25"/>
        <v>0</v>
      </c>
      <c r="J146" s="67">
        <f t="shared" si="25"/>
        <v>0</v>
      </c>
    </row>
    <row r="147" spans="1:10">
      <c r="A147" s="61" t="s">
        <v>122</v>
      </c>
      <c r="B147" s="68"/>
      <c r="C147" s="68"/>
      <c r="D147" s="68"/>
      <c r="E147" s="68"/>
      <c r="F147" s="68"/>
      <c r="G147" s="68"/>
      <c r="H147" s="68"/>
      <c r="I147" s="68"/>
      <c r="J147" s="68"/>
    </row>
    <row r="148" spans="1:10">
      <c r="A148" s="61" t="s">
        <v>123</v>
      </c>
      <c r="B148" s="68"/>
      <c r="C148" s="68"/>
      <c r="D148" s="68"/>
      <c r="E148" s="68"/>
      <c r="F148" s="68"/>
      <c r="G148" s="68"/>
      <c r="H148" s="68"/>
      <c r="I148" s="68"/>
      <c r="J148" s="68"/>
    </row>
    <row r="149" spans="1:10">
      <c r="A149" s="61" t="s">
        <v>124</v>
      </c>
      <c r="B149" s="68"/>
      <c r="C149" s="68"/>
      <c r="D149" s="68"/>
      <c r="E149" s="68"/>
      <c r="F149" s="68"/>
      <c r="G149" s="68"/>
      <c r="H149" s="68"/>
      <c r="I149" s="68"/>
      <c r="J149" s="68"/>
    </row>
    <row r="150" spans="1:10">
      <c r="A150" s="72" t="s">
        <v>125</v>
      </c>
      <c r="B150" s="67">
        <f>+SUM(B151:B154)</f>
        <v>0</v>
      </c>
      <c r="C150" s="67">
        <f t="shared" ref="C150:J150" si="26">+SUM(C151:C154)</f>
        <v>0</v>
      </c>
      <c r="D150" s="67">
        <f t="shared" si="26"/>
        <v>0</v>
      </c>
      <c r="E150" s="67">
        <f t="shared" si="26"/>
        <v>0</v>
      </c>
      <c r="F150" s="67">
        <f t="shared" si="26"/>
        <v>0</v>
      </c>
      <c r="G150" s="67">
        <f t="shared" si="26"/>
        <v>0</v>
      </c>
      <c r="H150" s="67">
        <f t="shared" si="26"/>
        <v>0</v>
      </c>
      <c r="I150" s="67">
        <f t="shared" si="26"/>
        <v>0</v>
      </c>
      <c r="J150" s="67">
        <f t="shared" si="26"/>
        <v>0</v>
      </c>
    </row>
    <row r="151" spans="1:10">
      <c r="A151" s="61" t="s">
        <v>126</v>
      </c>
      <c r="B151" s="68"/>
      <c r="C151" s="68"/>
      <c r="D151" s="68"/>
      <c r="E151" s="68"/>
      <c r="F151" s="68"/>
      <c r="G151" s="68"/>
      <c r="H151" s="68"/>
      <c r="I151" s="68"/>
      <c r="J151" s="68"/>
    </row>
    <row r="152" spans="1:10">
      <c r="A152" s="61" t="s">
        <v>229</v>
      </c>
      <c r="B152" s="68"/>
      <c r="C152" s="68"/>
      <c r="D152" s="68"/>
      <c r="E152" s="68"/>
      <c r="F152" s="68"/>
      <c r="G152" s="68"/>
      <c r="H152" s="68"/>
      <c r="I152" s="68"/>
      <c r="J152" s="68"/>
    </row>
    <row r="153" spans="1:10">
      <c r="A153" s="61" t="s">
        <v>127</v>
      </c>
      <c r="B153" s="68"/>
      <c r="C153" s="68"/>
      <c r="D153" s="68"/>
      <c r="E153" s="68"/>
      <c r="F153" s="68"/>
      <c r="G153" s="68"/>
      <c r="H153" s="68"/>
      <c r="I153" s="68"/>
      <c r="J153" s="68"/>
    </row>
    <row r="154" spans="1:10">
      <c r="A154" s="61" t="s">
        <v>128</v>
      </c>
      <c r="B154" s="68"/>
      <c r="C154" s="68"/>
      <c r="D154" s="68"/>
      <c r="E154" s="68"/>
      <c r="F154" s="68"/>
      <c r="G154" s="68"/>
      <c r="H154" s="68"/>
      <c r="I154" s="68"/>
      <c r="J154" s="68"/>
    </row>
    <row r="155" spans="1:10">
      <c r="A155" s="60"/>
      <c r="B155" s="68"/>
      <c r="C155" s="68"/>
      <c r="D155" s="68"/>
      <c r="E155" s="68"/>
      <c r="F155" s="68"/>
      <c r="G155" s="68"/>
      <c r="H155" s="68"/>
      <c r="I155" s="69"/>
      <c r="J155" s="69"/>
    </row>
    <row r="156" spans="1:10" ht="17.25">
      <c r="A156" s="71" t="s">
        <v>129</v>
      </c>
      <c r="B156" s="67">
        <f>+B157+B164+B172+B178+B182+B187+B193+B205+B209+B214</f>
        <v>0</v>
      </c>
      <c r="C156" s="67">
        <f t="shared" ref="C156:J156" si="27">+C157+C164+C172+C178+C182+C187+C193+C205+C209+C214</f>
        <v>0</v>
      </c>
      <c r="D156" s="67">
        <f t="shared" si="27"/>
        <v>0</v>
      </c>
      <c r="E156" s="67">
        <f t="shared" si="27"/>
        <v>0</v>
      </c>
      <c r="F156" s="67">
        <f t="shared" si="27"/>
        <v>0</v>
      </c>
      <c r="G156" s="67">
        <f t="shared" si="27"/>
        <v>0</v>
      </c>
      <c r="H156" s="67">
        <f t="shared" si="27"/>
        <v>0</v>
      </c>
      <c r="I156" s="67">
        <f t="shared" si="27"/>
        <v>0</v>
      </c>
      <c r="J156" s="67">
        <f t="shared" si="27"/>
        <v>0</v>
      </c>
    </row>
    <row r="157" spans="1:10">
      <c r="A157" s="72" t="s">
        <v>130</v>
      </c>
      <c r="B157" s="67">
        <f>+SUM(B158:B162)</f>
        <v>0</v>
      </c>
      <c r="C157" s="67">
        <f t="shared" ref="C157:J157" si="28">+SUM(C158:C162)</f>
        <v>0</v>
      </c>
      <c r="D157" s="67">
        <f t="shared" si="28"/>
        <v>0</v>
      </c>
      <c r="E157" s="67">
        <f t="shared" si="28"/>
        <v>0</v>
      </c>
      <c r="F157" s="67">
        <f t="shared" si="28"/>
        <v>0</v>
      </c>
      <c r="G157" s="67">
        <f t="shared" si="28"/>
        <v>0</v>
      </c>
      <c r="H157" s="67">
        <f t="shared" si="28"/>
        <v>0</v>
      </c>
      <c r="I157" s="67">
        <f t="shared" si="28"/>
        <v>0</v>
      </c>
      <c r="J157" s="67">
        <f t="shared" si="28"/>
        <v>0</v>
      </c>
    </row>
    <row r="158" spans="1:10">
      <c r="A158" s="61" t="s">
        <v>131</v>
      </c>
      <c r="B158" s="68"/>
      <c r="C158" s="68"/>
      <c r="D158" s="68"/>
      <c r="E158" s="68"/>
      <c r="F158" s="68"/>
      <c r="G158" s="68"/>
      <c r="H158" s="68"/>
      <c r="I158" s="68"/>
      <c r="J158" s="68"/>
    </row>
    <row r="159" spans="1:10">
      <c r="A159" s="61" t="s">
        <v>132</v>
      </c>
      <c r="B159" s="68"/>
      <c r="C159" s="68"/>
      <c r="D159" s="68"/>
      <c r="E159" s="68"/>
      <c r="F159" s="68"/>
      <c r="G159" s="68"/>
      <c r="H159" s="68"/>
      <c r="I159" s="68"/>
      <c r="J159" s="68"/>
    </row>
    <row r="160" spans="1:10">
      <c r="A160" s="61" t="s">
        <v>133</v>
      </c>
      <c r="B160" s="68"/>
      <c r="C160" s="68"/>
      <c r="D160" s="68"/>
      <c r="E160" s="68"/>
      <c r="F160" s="68"/>
      <c r="G160" s="68"/>
      <c r="H160" s="68"/>
      <c r="I160" s="68"/>
      <c r="J160" s="68"/>
    </row>
    <row r="161" spans="1:10">
      <c r="A161" s="61" t="s">
        <v>134</v>
      </c>
      <c r="B161" s="68"/>
      <c r="C161" s="68"/>
      <c r="D161" s="68"/>
      <c r="E161" s="68"/>
      <c r="F161" s="68"/>
      <c r="G161" s="68"/>
      <c r="H161" s="68"/>
      <c r="I161" s="68"/>
      <c r="J161" s="68"/>
    </row>
    <row r="162" spans="1:10">
      <c r="A162" s="61" t="s">
        <v>135</v>
      </c>
      <c r="B162" s="68"/>
      <c r="C162" s="68"/>
      <c r="D162" s="68"/>
      <c r="E162" s="68"/>
      <c r="F162" s="68"/>
      <c r="G162" s="68"/>
      <c r="H162" s="68"/>
      <c r="I162" s="68"/>
      <c r="J162" s="68"/>
    </row>
    <row r="163" spans="1:10">
      <c r="A163" s="60"/>
      <c r="B163" s="68"/>
      <c r="C163" s="68"/>
      <c r="D163" s="68"/>
      <c r="E163" s="68"/>
      <c r="F163" s="68"/>
      <c r="G163" s="68"/>
      <c r="H163" s="68"/>
      <c r="I163" s="69"/>
      <c r="J163" s="69"/>
    </row>
    <row r="164" spans="1:10">
      <c r="A164" s="72" t="s">
        <v>136</v>
      </c>
      <c r="B164" s="67">
        <f>+SUM(B165:B171)</f>
        <v>0</v>
      </c>
      <c r="C164" s="67">
        <f t="shared" ref="C164:J164" si="29">+SUM(C165:C171)</f>
        <v>0</v>
      </c>
      <c r="D164" s="67">
        <f t="shared" si="29"/>
        <v>0</v>
      </c>
      <c r="E164" s="67">
        <f t="shared" si="29"/>
        <v>0</v>
      </c>
      <c r="F164" s="67">
        <f t="shared" si="29"/>
        <v>0</v>
      </c>
      <c r="G164" s="67">
        <f t="shared" si="29"/>
        <v>0</v>
      </c>
      <c r="H164" s="67">
        <f t="shared" si="29"/>
        <v>0</v>
      </c>
      <c r="I164" s="67">
        <f t="shared" si="29"/>
        <v>0</v>
      </c>
      <c r="J164" s="67">
        <f t="shared" si="29"/>
        <v>0</v>
      </c>
    </row>
    <row r="165" spans="1:10">
      <c r="A165" s="61" t="s">
        <v>137</v>
      </c>
      <c r="B165" s="68"/>
      <c r="C165" s="68"/>
      <c r="D165" s="68"/>
      <c r="E165" s="68"/>
      <c r="F165" s="68"/>
      <c r="G165" s="68"/>
      <c r="H165" s="68"/>
      <c r="I165" s="68"/>
      <c r="J165" s="68"/>
    </row>
    <row r="166" spans="1:10">
      <c r="A166" s="61" t="s">
        <v>138</v>
      </c>
      <c r="B166" s="68"/>
      <c r="C166" s="68"/>
      <c r="D166" s="68"/>
      <c r="E166" s="68"/>
      <c r="F166" s="68"/>
      <c r="G166" s="68"/>
      <c r="H166" s="68"/>
      <c r="I166" s="68"/>
      <c r="J166" s="68"/>
    </row>
    <row r="167" spans="1:10">
      <c r="A167" s="61" t="s">
        <v>139</v>
      </c>
      <c r="B167" s="68"/>
      <c r="C167" s="68"/>
      <c r="D167" s="68"/>
      <c r="E167" s="68"/>
      <c r="F167" s="68"/>
      <c r="G167" s="68"/>
      <c r="H167" s="68"/>
      <c r="I167" s="68"/>
      <c r="J167" s="68"/>
    </row>
    <row r="168" spans="1:10">
      <c r="A168" s="61" t="s">
        <v>140</v>
      </c>
      <c r="B168" s="68"/>
      <c r="C168" s="68"/>
      <c r="D168" s="68"/>
      <c r="E168" s="68"/>
      <c r="F168" s="68"/>
      <c r="G168" s="68"/>
      <c r="H168" s="68"/>
      <c r="I168" s="68"/>
      <c r="J168" s="68"/>
    </row>
    <row r="169" spans="1:10">
      <c r="A169" s="61" t="s">
        <v>141</v>
      </c>
      <c r="B169" s="68"/>
      <c r="C169" s="68"/>
      <c r="D169" s="68"/>
      <c r="E169" s="68"/>
      <c r="F169" s="68"/>
      <c r="G169" s="68"/>
      <c r="H169" s="68"/>
      <c r="I169" s="68"/>
      <c r="J169" s="68"/>
    </row>
    <row r="170" spans="1:10">
      <c r="A170" s="61" t="s">
        <v>142</v>
      </c>
      <c r="B170" s="68"/>
      <c r="C170" s="68"/>
      <c r="D170" s="68"/>
      <c r="E170" s="68"/>
      <c r="F170" s="68"/>
      <c r="G170" s="68"/>
      <c r="H170" s="68"/>
      <c r="I170" s="68"/>
      <c r="J170" s="68"/>
    </row>
    <row r="171" spans="1:10">
      <c r="A171" s="61" t="s">
        <v>143</v>
      </c>
      <c r="B171" s="68"/>
      <c r="C171" s="68"/>
      <c r="D171" s="68"/>
      <c r="E171" s="68"/>
      <c r="F171" s="68"/>
      <c r="G171" s="68"/>
      <c r="H171" s="68"/>
      <c r="I171" s="68"/>
      <c r="J171" s="68"/>
    </row>
    <row r="172" spans="1:10">
      <c r="A172" s="72" t="s">
        <v>144</v>
      </c>
      <c r="B172" s="67">
        <f>+SUM(B173:B177)</f>
        <v>0</v>
      </c>
      <c r="C172" s="67">
        <f t="shared" ref="C172:J172" si="30">+SUM(C173:C177)</f>
        <v>0</v>
      </c>
      <c r="D172" s="67">
        <f t="shared" si="30"/>
        <v>0</v>
      </c>
      <c r="E172" s="67">
        <f t="shared" si="30"/>
        <v>0</v>
      </c>
      <c r="F172" s="67">
        <f t="shared" si="30"/>
        <v>0</v>
      </c>
      <c r="G172" s="67">
        <f t="shared" si="30"/>
        <v>0</v>
      </c>
      <c r="H172" s="67">
        <f t="shared" si="30"/>
        <v>0</v>
      </c>
      <c r="I172" s="67">
        <f t="shared" si="30"/>
        <v>0</v>
      </c>
      <c r="J172" s="67">
        <f t="shared" si="30"/>
        <v>0</v>
      </c>
    </row>
    <row r="173" spans="1:10">
      <c r="A173" s="61" t="s">
        <v>145</v>
      </c>
      <c r="B173" s="68"/>
      <c r="C173" s="68"/>
      <c r="D173" s="68"/>
      <c r="E173" s="68"/>
      <c r="F173" s="68"/>
      <c r="G173" s="68"/>
      <c r="H173" s="68"/>
      <c r="I173" s="68"/>
      <c r="J173" s="68"/>
    </row>
    <row r="174" spans="1:10">
      <c r="A174" s="61" t="s">
        <v>146</v>
      </c>
      <c r="B174" s="68"/>
      <c r="C174" s="68"/>
      <c r="D174" s="68"/>
      <c r="E174" s="68"/>
      <c r="F174" s="68"/>
      <c r="G174" s="68"/>
      <c r="H174" s="68"/>
      <c r="I174" s="68"/>
      <c r="J174" s="68"/>
    </row>
    <row r="175" spans="1:10">
      <c r="A175" s="61" t="s">
        <v>230</v>
      </c>
      <c r="B175" s="68"/>
      <c r="C175" s="68"/>
      <c r="D175" s="68"/>
      <c r="E175" s="68"/>
      <c r="F175" s="68"/>
      <c r="G175" s="68"/>
      <c r="H175" s="68"/>
      <c r="I175" s="68"/>
      <c r="J175" s="68"/>
    </row>
    <row r="176" spans="1:10">
      <c r="A176" s="61" t="s">
        <v>231</v>
      </c>
      <c r="B176" s="68"/>
      <c r="C176" s="68"/>
      <c r="D176" s="68"/>
      <c r="E176" s="68"/>
      <c r="F176" s="68"/>
      <c r="G176" s="68"/>
      <c r="H176" s="68"/>
      <c r="I176" s="68"/>
      <c r="J176" s="68"/>
    </row>
    <row r="177" spans="1:10">
      <c r="A177" s="61" t="s">
        <v>232</v>
      </c>
      <c r="B177" s="68"/>
      <c r="C177" s="68"/>
      <c r="D177" s="68"/>
      <c r="E177" s="68"/>
      <c r="F177" s="68"/>
      <c r="G177" s="68"/>
      <c r="H177" s="68"/>
      <c r="I177" s="68"/>
      <c r="J177" s="68"/>
    </row>
    <row r="178" spans="1:10">
      <c r="A178" s="72" t="s">
        <v>147</v>
      </c>
      <c r="B178" s="67">
        <f>+SUM(B179:B181)</f>
        <v>0</v>
      </c>
      <c r="C178" s="67">
        <f t="shared" ref="C178:J178" si="31">+SUM(C179:C181)</f>
        <v>0</v>
      </c>
      <c r="D178" s="67">
        <f t="shared" si="31"/>
        <v>0</v>
      </c>
      <c r="E178" s="67">
        <f t="shared" si="31"/>
        <v>0</v>
      </c>
      <c r="F178" s="67">
        <f t="shared" si="31"/>
        <v>0</v>
      </c>
      <c r="G178" s="67">
        <f t="shared" si="31"/>
        <v>0</v>
      </c>
      <c r="H178" s="67">
        <f t="shared" si="31"/>
        <v>0</v>
      </c>
      <c r="I178" s="67">
        <f t="shared" si="31"/>
        <v>0</v>
      </c>
      <c r="J178" s="67">
        <f t="shared" si="31"/>
        <v>0</v>
      </c>
    </row>
    <row r="179" spans="1:10">
      <c r="A179" s="61" t="s">
        <v>148</v>
      </c>
      <c r="B179" s="68"/>
      <c r="C179" s="68"/>
      <c r="D179" s="68"/>
      <c r="E179" s="68"/>
      <c r="F179" s="68"/>
      <c r="G179" s="68"/>
      <c r="H179" s="68"/>
      <c r="I179" s="68"/>
      <c r="J179" s="68"/>
    </row>
    <row r="180" spans="1:10">
      <c r="A180" s="61" t="s">
        <v>149</v>
      </c>
      <c r="B180" s="68"/>
      <c r="C180" s="68"/>
      <c r="D180" s="68"/>
      <c r="E180" s="68"/>
      <c r="F180" s="68"/>
      <c r="G180" s="68"/>
      <c r="H180" s="68"/>
      <c r="I180" s="68"/>
      <c r="J180" s="68"/>
    </row>
    <row r="181" spans="1:10">
      <c r="A181" s="61" t="s">
        <v>150</v>
      </c>
      <c r="B181" s="68"/>
      <c r="C181" s="68"/>
      <c r="D181" s="68"/>
      <c r="E181" s="68"/>
      <c r="F181" s="68"/>
      <c r="G181" s="68"/>
      <c r="H181" s="68"/>
      <c r="I181" s="68"/>
      <c r="J181" s="68"/>
    </row>
    <row r="182" spans="1:10">
      <c r="A182" s="72" t="s">
        <v>151</v>
      </c>
      <c r="B182" s="67">
        <f>+SUM(B183:B186)</f>
        <v>0</v>
      </c>
      <c r="C182" s="67">
        <f t="shared" ref="C182:J182" si="32">+SUM(C183:C186)</f>
        <v>0</v>
      </c>
      <c r="D182" s="67">
        <f t="shared" si="32"/>
        <v>0</v>
      </c>
      <c r="E182" s="67">
        <f t="shared" si="32"/>
        <v>0</v>
      </c>
      <c r="F182" s="67">
        <f t="shared" si="32"/>
        <v>0</v>
      </c>
      <c r="G182" s="67">
        <f t="shared" si="32"/>
        <v>0</v>
      </c>
      <c r="H182" s="67">
        <f t="shared" si="32"/>
        <v>0</v>
      </c>
      <c r="I182" s="67">
        <f t="shared" si="32"/>
        <v>0</v>
      </c>
      <c r="J182" s="67">
        <f t="shared" si="32"/>
        <v>0</v>
      </c>
    </row>
    <row r="183" spans="1:10">
      <c r="A183" s="61" t="s">
        <v>152</v>
      </c>
      <c r="B183" s="68"/>
      <c r="C183" s="68"/>
      <c r="D183" s="68"/>
      <c r="E183" s="68"/>
      <c r="F183" s="68"/>
      <c r="G183" s="68"/>
      <c r="H183" s="68"/>
      <c r="I183" s="68"/>
      <c r="J183" s="68"/>
    </row>
    <row r="184" spans="1:10">
      <c r="A184" s="61" t="s">
        <v>153</v>
      </c>
      <c r="B184" s="68"/>
      <c r="C184" s="68"/>
      <c r="D184" s="68"/>
      <c r="E184" s="68"/>
      <c r="F184" s="68"/>
      <c r="G184" s="68"/>
      <c r="H184" s="68"/>
      <c r="I184" s="68"/>
      <c r="J184" s="68"/>
    </row>
    <row r="185" spans="1:10">
      <c r="A185" s="61" t="s">
        <v>154</v>
      </c>
      <c r="B185" s="68"/>
      <c r="C185" s="68"/>
      <c r="D185" s="68"/>
      <c r="E185" s="68"/>
      <c r="F185" s="68"/>
      <c r="G185" s="68"/>
      <c r="H185" s="68"/>
      <c r="I185" s="68"/>
      <c r="J185" s="68"/>
    </row>
    <row r="186" spans="1:10">
      <c r="A186" s="61" t="s">
        <v>155</v>
      </c>
      <c r="B186" s="68"/>
      <c r="C186" s="68"/>
      <c r="D186" s="68"/>
      <c r="E186" s="68"/>
      <c r="F186" s="68"/>
      <c r="G186" s="68"/>
      <c r="H186" s="68"/>
      <c r="I186" s="68"/>
      <c r="J186" s="68"/>
    </row>
    <row r="187" spans="1:10">
      <c r="A187" s="72" t="s">
        <v>156</v>
      </c>
      <c r="B187" s="67">
        <f>+SUM(B188:B192)</f>
        <v>0</v>
      </c>
      <c r="C187" s="67">
        <f t="shared" ref="C187:J187" si="33">+SUM(C188:C192)</f>
        <v>0</v>
      </c>
      <c r="D187" s="67">
        <f t="shared" si="33"/>
        <v>0</v>
      </c>
      <c r="E187" s="67">
        <f t="shared" si="33"/>
        <v>0</v>
      </c>
      <c r="F187" s="67">
        <f t="shared" si="33"/>
        <v>0</v>
      </c>
      <c r="G187" s="67">
        <f t="shared" si="33"/>
        <v>0</v>
      </c>
      <c r="H187" s="67">
        <f t="shared" si="33"/>
        <v>0</v>
      </c>
      <c r="I187" s="67">
        <f t="shared" si="33"/>
        <v>0</v>
      </c>
      <c r="J187" s="67">
        <f t="shared" si="33"/>
        <v>0</v>
      </c>
    </row>
    <row r="188" spans="1:10">
      <c r="A188" s="61" t="s">
        <v>157</v>
      </c>
      <c r="B188" s="68"/>
      <c r="C188" s="68"/>
      <c r="D188" s="68"/>
      <c r="E188" s="68"/>
      <c r="F188" s="68"/>
      <c r="G188" s="68"/>
      <c r="H188" s="68"/>
      <c r="I188" s="68"/>
      <c r="J188" s="68"/>
    </row>
    <row r="189" spans="1:10">
      <c r="A189" s="61" t="s">
        <v>158</v>
      </c>
      <c r="B189" s="68"/>
      <c r="C189" s="68"/>
      <c r="D189" s="68"/>
      <c r="E189" s="68"/>
      <c r="F189" s="68"/>
      <c r="G189" s="68"/>
      <c r="H189" s="68"/>
      <c r="I189" s="68"/>
      <c r="J189" s="68"/>
    </row>
    <row r="190" spans="1:10">
      <c r="A190" s="61" t="s">
        <v>159</v>
      </c>
      <c r="B190" s="68"/>
      <c r="C190" s="68"/>
      <c r="D190" s="68"/>
      <c r="E190" s="68"/>
      <c r="F190" s="68"/>
      <c r="G190" s="68"/>
      <c r="H190" s="68"/>
      <c r="I190" s="68"/>
      <c r="J190" s="68"/>
    </row>
    <row r="191" spans="1:10">
      <c r="A191" s="61" t="s">
        <v>160</v>
      </c>
      <c r="B191" s="68"/>
      <c r="C191" s="68"/>
      <c r="D191" s="68"/>
      <c r="E191" s="68"/>
      <c r="F191" s="68"/>
      <c r="G191" s="68"/>
      <c r="H191" s="68"/>
      <c r="I191" s="68"/>
      <c r="J191" s="68"/>
    </row>
    <row r="192" spans="1:10">
      <c r="A192" s="61" t="s">
        <v>161</v>
      </c>
      <c r="B192" s="68"/>
      <c r="C192" s="68"/>
      <c r="D192" s="68"/>
      <c r="E192" s="68"/>
      <c r="F192" s="68"/>
      <c r="G192" s="68"/>
      <c r="H192" s="68"/>
      <c r="I192" s="68"/>
      <c r="J192" s="68"/>
    </row>
    <row r="193" spans="1:10">
      <c r="A193" s="72" t="s">
        <v>162</v>
      </c>
      <c r="B193" s="67">
        <f>+SUM(B194:B204)</f>
        <v>0</v>
      </c>
      <c r="C193" s="67">
        <f t="shared" ref="C193:J193" si="34">+SUM(C194:C204)</f>
        <v>0</v>
      </c>
      <c r="D193" s="67">
        <f t="shared" si="34"/>
        <v>0</v>
      </c>
      <c r="E193" s="67">
        <f t="shared" si="34"/>
        <v>0</v>
      </c>
      <c r="F193" s="67">
        <f t="shared" si="34"/>
        <v>0</v>
      </c>
      <c r="G193" s="67">
        <f t="shared" si="34"/>
        <v>0</v>
      </c>
      <c r="H193" s="67">
        <f t="shared" si="34"/>
        <v>0</v>
      </c>
      <c r="I193" s="67">
        <f t="shared" si="34"/>
        <v>0</v>
      </c>
      <c r="J193" s="67">
        <f t="shared" si="34"/>
        <v>0</v>
      </c>
    </row>
    <row r="194" spans="1:10">
      <c r="A194" s="61" t="s">
        <v>163</v>
      </c>
      <c r="B194" s="68"/>
      <c r="C194" s="68"/>
      <c r="D194" s="68"/>
      <c r="E194" s="68"/>
      <c r="F194" s="68"/>
      <c r="G194" s="68"/>
      <c r="H194" s="68"/>
      <c r="I194" s="68"/>
      <c r="J194" s="68"/>
    </row>
    <row r="195" spans="1:10">
      <c r="A195" s="61" t="s">
        <v>164</v>
      </c>
      <c r="B195" s="68"/>
      <c r="C195" s="68"/>
      <c r="D195" s="68"/>
      <c r="E195" s="68"/>
      <c r="F195" s="68"/>
      <c r="G195" s="68"/>
      <c r="H195" s="68"/>
      <c r="I195" s="68"/>
      <c r="J195" s="68"/>
    </row>
    <row r="196" spans="1:10">
      <c r="A196" s="61" t="s">
        <v>233</v>
      </c>
      <c r="B196" s="68"/>
      <c r="C196" s="68"/>
      <c r="D196" s="68"/>
      <c r="E196" s="68"/>
      <c r="F196" s="68"/>
      <c r="G196" s="68"/>
      <c r="H196" s="68"/>
      <c r="I196" s="68"/>
      <c r="J196" s="68"/>
    </row>
    <row r="197" spans="1:10">
      <c r="A197" s="61" t="s">
        <v>165</v>
      </c>
      <c r="B197" s="68"/>
      <c r="C197" s="68"/>
      <c r="D197" s="68"/>
      <c r="E197" s="68"/>
      <c r="F197" s="68"/>
      <c r="G197" s="68"/>
      <c r="H197" s="68"/>
      <c r="I197" s="68"/>
      <c r="J197" s="68"/>
    </row>
    <row r="198" spans="1:10">
      <c r="A198" s="61" t="s">
        <v>166</v>
      </c>
      <c r="B198" s="68"/>
      <c r="C198" s="68"/>
      <c r="D198" s="68"/>
      <c r="E198" s="68"/>
      <c r="F198" s="68"/>
      <c r="G198" s="68"/>
      <c r="H198" s="68"/>
      <c r="I198" s="68"/>
      <c r="J198" s="68"/>
    </row>
    <row r="199" spans="1:10">
      <c r="A199" s="61" t="s">
        <v>167</v>
      </c>
      <c r="B199" s="68"/>
      <c r="C199" s="68"/>
      <c r="D199" s="68"/>
      <c r="E199" s="68"/>
      <c r="F199" s="68"/>
      <c r="G199" s="68"/>
      <c r="H199" s="68"/>
      <c r="I199" s="68"/>
      <c r="J199" s="68"/>
    </row>
    <row r="200" spans="1:10">
      <c r="A200" s="61" t="s">
        <v>168</v>
      </c>
      <c r="B200" s="68"/>
      <c r="C200" s="68"/>
      <c r="D200" s="68"/>
      <c r="E200" s="68"/>
      <c r="F200" s="68"/>
      <c r="G200" s="68"/>
      <c r="H200" s="68"/>
      <c r="I200" s="68"/>
      <c r="J200" s="68"/>
    </row>
    <row r="201" spans="1:10">
      <c r="A201" s="61" t="s">
        <v>169</v>
      </c>
      <c r="B201" s="68"/>
      <c r="C201" s="68"/>
      <c r="D201" s="68"/>
      <c r="E201" s="68"/>
      <c r="F201" s="68"/>
      <c r="G201" s="68"/>
      <c r="H201" s="68"/>
      <c r="I201" s="68"/>
      <c r="J201" s="68"/>
    </row>
    <row r="202" spans="1:10">
      <c r="A202" s="61" t="s">
        <v>170</v>
      </c>
      <c r="B202" s="68"/>
      <c r="C202" s="68"/>
      <c r="D202" s="68"/>
      <c r="E202" s="68"/>
      <c r="F202" s="68"/>
      <c r="G202" s="68"/>
      <c r="H202" s="68"/>
      <c r="I202" s="68"/>
      <c r="J202" s="68"/>
    </row>
    <row r="203" spans="1:10">
      <c r="A203" s="61" t="s">
        <v>234</v>
      </c>
      <c r="B203" s="68"/>
      <c r="C203" s="68"/>
      <c r="D203" s="68"/>
      <c r="E203" s="68"/>
      <c r="F203" s="68"/>
      <c r="G203" s="68"/>
      <c r="H203" s="68"/>
      <c r="I203" s="68"/>
      <c r="J203" s="68"/>
    </row>
    <row r="204" spans="1:10">
      <c r="A204" s="61" t="s">
        <v>171</v>
      </c>
      <c r="B204" s="68"/>
      <c r="C204" s="68"/>
      <c r="D204" s="68"/>
      <c r="E204" s="68"/>
      <c r="F204" s="68"/>
      <c r="G204" s="68"/>
      <c r="H204" s="68"/>
      <c r="I204" s="68"/>
      <c r="J204" s="68"/>
    </row>
    <row r="205" spans="1:10">
      <c r="A205" s="72" t="s">
        <v>172</v>
      </c>
      <c r="B205" s="67">
        <f>+SUM(B206:B208)</f>
        <v>0</v>
      </c>
      <c r="C205" s="67">
        <f t="shared" ref="C205:J205" si="35">+SUM(C206:C208)</f>
        <v>0</v>
      </c>
      <c r="D205" s="67">
        <f t="shared" si="35"/>
        <v>0</v>
      </c>
      <c r="E205" s="67">
        <f t="shared" si="35"/>
        <v>0</v>
      </c>
      <c r="F205" s="67">
        <f t="shared" si="35"/>
        <v>0</v>
      </c>
      <c r="G205" s="67">
        <f t="shared" si="35"/>
        <v>0</v>
      </c>
      <c r="H205" s="67">
        <f t="shared" si="35"/>
        <v>0</v>
      </c>
      <c r="I205" s="67">
        <f t="shared" si="35"/>
        <v>0</v>
      </c>
      <c r="J205" s="67">
        <f t="shared" si="35"/>
        <v>0</v>
      </c>
    </row>
    <row r="206" spans="1:10">
      <c r="A206" s="61" t="s">
        <v>173</v>
      </c>
      <c r="B206" s="68"/>
      <c r="C206" s="68"/>
      <c r="D206" s="68"/>
      <c r="E206" s="68"/>
      <c r="F206" s="68"/>
      <c r="G206" s="68"/>
      <c r="H206" s="68"/>
      <c r="I206" s="68"/>
      <c r="J206" s="68"/>
    </row>
    <row r="207" spans="1:10">
      <c r="A207" s="61" t="s">
        <v>174</v>
      </c>
      <c r="B207" s="68"/>
      <c r="C207" s="68"/>
      <c r="D207" s="68"/>
      <c r="E207" s="68"/>
      <c r="F207" s="68"/>
      <c r="G207" s="68"/>
      <c r="H207" s="68"/>
      <c r="I207" s="68"/>
      <c r="J207" s="68"/>
    </row>
    <row r="208" spans="1:10">
      <c r="A208" s="61" t="s">
        <v>235</v>
      </c>
      <c r="B208" s="68"/>
      <c r="C208" s="68"/>
      <c r="D208" s="68"/>
      <c r="E208" s="68"/>
      <c r="F208" s="68"/>
      <c r="G208" s="68"/>
      <c r="H208" s="68"/>
      <c r="I208" s="68"/>
      <c r="J208" s="68"/>
    </row>
    <row r="209" spans="1:10">
      <c r="A209" s="72" t="s">
        <v>175</v>
      </c>
      <c r="B209" s="67">
        <f>+SUM(B210:B213)</f>
        <v>0</v>
      </c>
      <c r="C209" s="67">
        <f t="shared" ref="C209:J209" si="36">+SUM(C210:C213)</f>
        <v>0</v>
      </c>
      <c r="D209" s="67">
        <f t="shared" si="36"/>
        <v>0</v>
      </c>
      <c r="E209" s="67">
        <f t="shared" si="36"/>
        <v>0</v>
      </c>
      <c r="F209" s="67">
        <f t="shared" si="36"/>
        <v>0</v>
      </c>
      <c r="G209" s="67">
        <f t="shared" si="36"/>
        <v>0</v>
      </c>
      <c r="H209" s="67">
        <f t="shared" si="36"/>
        <v>0</v>
      </c>
      <c r="I209" s="67">
        <f t="shared" si="36"/>
        <v>0</v>
      </c>
      <c r="J209" s="67">
        <f t="shared" si="36"/>
        <v>0</v>
      </c>
    </row>
    <row r="210" spans="1:10">
      <c r="A210" s="61" t="s">
        <v>176</v>
      </c>
      <c r="B210" s="68"/>
      <c r="C210" s="68"/>
      <c r="D210" s="68"/>
      <c r="E210" s="68"/>
      <c r="F210" s="68"/>
      <c r="G210" s="68"/>
      <c r="H210" s="68"/>
      <c r="I210" s="68"/>
      <c r="J210" s="68"/>
    </row>
    <row r="211" spans="1:10">
      <c r="A211" s="61" t="s">
        <v>177</v>
      </c>
      <c r="B211" s="68"/>
      <c r="C211" s="68"/>
      <c r="D211" s="68"/>
      <c r="E211" s="68"/>
      <c r="F211" s="68"/>
      <c r="G211" s="68"/>
      <c r="H211" s="68"/>
      <c r="I211" s="68"/>
      <c r="J211" s="68"/>
    </row>
    <row r="212" spans="1:10">
      <c r="A212" s="61" t="s">
        <v>178</v>
      </c>
      <c r="B212" s="68"/>
      <c r="C212" s="68"/>
      <c r="D212" s="68"/>
      <c r="E212" s="68"/>
      <c r="F212" s="68"/>
      <c r="G212" s="68"/>
      <c r="H212" s="68"/>
      <c r="I212" s="68"/>
      <c r="J212" s="68"/>
    </row>
    <row r="213" spans="1:10">
      <c r="A213" s="61" t="s">
        <v>179</v>
      </c>
      <c r="B213" s="68"/>
      <c r="C213" s="68"/>
      <c r="D213" s="68"/>
      <c r="E213" s="68"/>
      <c r="F213" s="68"/>
      <c r="G213" s="68"/>
      <c r="H213" s="68"/>
      <c r="I213" s="68"/>
      <c r="J213" s="68"/>
    </row>
    <row r="214" spans="1:10">
      <c r="A214" s="72" t="s">
        <v>180</v>
      </c>
      <c r="B214" s="67">
        <f>+SUM(B215:B216)</f>
        <v>0</v>
      </c>
      <c r="C214" s="67">
        <f t="shared" ref="C214:J214" si="37">+SUM(C215:C216)</f>
        <v>0</v>
      </c>
      <c r="D214" s="67">
        <f t="shared" si="37"/>
        <v>0</v>
      </c>
      <c r="E214" s="67">
        <f t="shared" si="37"/>
        <v>0</v>
      </c>
      <c r="F214" s="67">
        <f t="shared" si="37"/>
        <v>0</v>
      </c>
      <c r="G214" s="67">
        <f t="shared" si="37"/>
        <v>0</v>
      </c>
      <c r="H214" s="67">
        <f t="shared" si="37"/>
        <v>0</v>
      </c>
      <c r="I214" s="67">
        <f t="shared" si="37"/>
        <v>0</v>
      </c>
      <c r="J214" s="67">
        <f t="shared" si="37"/>
        <v>0</v>
      </c>
    </row>
    <row r="215" spans="1:10">
      <c r="A215" s="61" t="s">
        <v>181</v>
      </c>
      <c r="B215" s="68"/>
      <c r="C215" s="68"/>
      <c r="D215" s="68"/>
      <c r="E215" s="68"/>
      <c r="F215" s="68"/>
      <c r="G215" s="68"/>
      <c r="H215" s="68"/>
      <c r="I215" s="68"/>
      <c r="J215" s="68"/>
    </row>
    <row r="216" spans="1:10">
      <c r="A216" s="61" t="s">
        <v>182</v>
      </c>
      <c r="B216" s="68"/>
      <c r="C216" s="68"/>
      <c r="D216" s="68"/>
      <c r="E216" s="68"/>
      <c r="F216" s="68"/>
      <c r="G216" s="68"/>
      <c r="H216" s="68"/>
      <c r="I216" s="68"/>
      <c r="J216" s="68"/>
    </row>
    <row r="217" spans="1:10">
      <c r="A217" s="60"/>
      <c r="B217" s="68"/>
      <c r="C217" s="68"/>
      <c r="D217" s="68"/>
      <c r="E217" s="68"/>
      <c r="F217" s="68"/>
      <c r="G217" s="68"/>
      <c r="H217" s="68"/>
      <c r="I217" s="69"/>
      <c r="J217" s="69"/>
    </row>
    <row r="218" spans="1:10" ht="17.25">
      <c r="A218" s="70" t="s">
        <v>183</v>
      </c>
      <c r="B218" s="67">
        <f>+B219+B223+B227</f>
        <v>0</v>
      </c>
      <c r="C218" s="67">
        <f t="shared" ref="C218:J218" si="38">+C219+C223+C227</f>
        <v>0</v>
      </c>
      <c r="D218" s="67">
        <f t="shared" si="38"/>
        <v>0</v>
      </c>
      <c r="E218" s="67">
        <f t="shared" si="38"/>
        <v>0</v>
      </c>
      <c r="F218" s="67">
        <f t="shared" si="38"/>
        <v>0</v>
      </c>
      <c r="G218" s="67">
        <f t="shared" si="38"/>
        <v>0</v>
      </c>
      <c r="H218" s="67">
        <f t="shared" si="38"/>
        <v>0</v>
      </c>
      <c r="I218" s="67">
        <f t="shared" si="38"/>
        <v>0</v>
      </c>
      <c r="J218" s="67">
        <f t="shared" si="38"/>
        <v>0</v>
      </c>
    </row>
    <row r="219" spans="1:10">
      <c r="A219" s="72" t="s">
        <v>184</v>
      </c>
      <c r="B219" s="67">
        <f>+SUM(B220:B222)</f>
        <v>0</v>
      </c>
      <c r="C219" s="67">
        <f t="shared" ref="C219:J219" si="39">+SUM(C220:C222)</f>
        <v>0</v>
      </c>
      <c r="D219" s="67">
        <f t="shared" si="39"/>
        <v>0</v>
      </c>
      <c r="E219" s="67">
        <f t="shared" si="39"/>
        <v>0</v>
      </c>
      <c r="F219" s="67">
        <f t="shared" si="39"/>
        <v>0</v>
      </c>
      <c r="G219" s="67">
        <f t="shared" si="39"/>
        <v>0</v>
      </c>
      <c r="H219" s="67">
        <f t="shared" si="39"/>
        <v>0</v>
      </c>
      <c r="I219" s="67">
        <f t="shared" si="39"/>
        <v>0</v>
      </c>
      <c r="J219" s="67">
        <f t="shared" si="39"/>
        <v>0</v>
      </c>
    </row>
    <row r="220" spans="1:10">
      <c r="A220" s="61" t="s">
        <v>185</v>
      </c>
      <c r="B220" s="68"/>
      <c r="C220" s="68"/>
      <c r="D220" s="68"/>
      <c r="E220" s="68"/>
      <c r="F220" s="68"/>
      <c r="G220" s="68"/>
      <c r="H220" s="68"/>
      <c r="I220" s="68"/>
      <c r="J220" s="68"/>
    </row>
    <row r="221" spans="1:10">
      <c r="A221" s="61" t="s">
        <v>236</v>
      </c>
      <c r="B221" s="68"/>
      <c r="C221" s="68"/>
      <c r="D221" s="68"/>
      <c r="E221" s="68"/>
      <c r="F221" s="68"/>
      <c r="G221" s="68"/>
      <c r="H221" s="68"/>
      <c r="I221" s="68"/>
      <c r="J221" s="68"/>
    </row>
    <row r="222" spans="1:10">
      <c r="A222" s="61" t="s">
        <v>237</v>
      </c>
      <c r="B222" s="68"/>
      <c r="C222" s="68"/>
      <c r="D222" s="68"/>
      <c r="E222" s="68"/>
      <c r="F222" s="68"/>
      <c r="G222" s="68"/>
      <c r="H222" s="68"/>
      <c r="I222" s="68"/>
      <c r="J222" s="68"/>
    </row>
    <row r="223" spans="1:10">
      <c r="A223" s="72" t="s">
        <v>186</v>
      </c>
      <c r="B223" s="67">
        <f>+SUM(B224:B226)</f>
        <v>0</v>
      </c>
      <c r="C223" s="67">
        <f t="shared" ref="C223:J223" si="40">+SUM(C224:C226)</f>
        <v>0</v>
      </c>
      <c r="D223" s="67">
        <f t="shared" si="40"/>
        <v>0</v>
      </c>
      <c r="E223" s="67">
        <f t="shared" si="40"/>
        <v>0</v>
      </c>
      <c r="F223" s="67">
        <f t="shared" si="40"/>
        <v>0</v>
      </c>
      <c r="G223" s="67">
        <f t="shared" si="40"/>
        <v>0</v>
      </c>
      <c r="H223" s="67">
        <f t="shared" si="40"/>
        <v>0</v>
      </c>
      <c r="I223" s="67">
        <f t="shared" si="40"/>
        <v>0</v>
      </c>
      <c r="J223" s="67">
        <f t="shared" si="40"/>
        <v>0</v>
      </c>
    </row>
    <row r="224" spans="1:10">
      <c r="A224" s="61" t="s">
        <v>187</v>
      </c>
      <c r="B224" s="68"/>
      <c r="C224" s="68"/>
      <c r="D224" s="68"/>
      <c r="E224" s="68"/>
      <c r="F224" s="68"/>
      <c r="G224" s="68"/>
      <c r="H224" s="68"/>
      <c r="I224" s="68"/>
      <c r="J224" s="68"/>
    </row>
    <row r="225" spans="1:10">
      <c r="A225" s="61" t="s">
        <v>188</v>
      </c>
      <c r="B225" s="68"/>
      <c r="C225" s="68"/>
      <c r="D225" s="68"/>
      <c r="E225" s="68"/>
      <c r="F225" s="68"/>
      <c r="G225" s="68"/>
      <c r="H225" s="68"/>
      <c r="I225" s="68"/>
      <c r="J225" s="68"/>
    </row>
    <row r="226" spans="1:10">
      <c r="A226" s="61" t="s">
        <v>189</v>
      </c>
      <c r="B226" s="68"/>
      <c r="C226" s="68"/>
      <c r="D226" s="68"/>
      <c r="E226" s="68"/>
      <c r="F226" s="68"/>
      <c r="G226" s="68"/>
      <c r="H226" s="68"/>
      <c r="I226" s="68"/>
      <c r="J226" s="68"/>
    </row>
    <row r="227" spans="1:10">
      <c r="A227" s="72" t="s">
        <v>190</v>
      </c>
      <c r="B227" s="67">
        <f>+SUM(B228:B229)</f>
        <v>0</v>
      </c>
      <c r="C227" s="67">
        <f t="shared" ref="C227:J227" si="41">+SUM(C228:C229)</f>
        <v>0</v>
      </c>
      <c r="D227" s="67">
        <f t="shared" si="41"/>
        <v>0</v>
      </c>
      <c r="E227" s="67">
        <f t="shared" si="41"/>
        <v>0</v>
      </c>
      <c r="F227" s="67">
        <f t="shared" si="41"/>
        <v>0</v>
      </c>
      <c r="G227" s="67">
        <f t="shared" si="41"/>
        <v>0</v>
      </c>
      <c r="H227" s="67">
        <f t="shared" si="41"/>
        <v>0</v>
      </c>
      <c r="I227" s="67">
        <f t="shared" si="41"/>
        <v>0</v>
      </c>
      <c r="J227" s="67">
        <f t="shared" si="41"/>
        <v>0</v>
      </c>
    </row>
    <row r="228" spans="1:10">
      <c r="A228" s="61" t="s">
        <v>191</v>
      </c>
      <c r="B228" s="68"/>
      <c r="C228" s="68"/>
      <c r="D228" s="68"/>
      <c r="E228" s="68"/>
      <c r="F228" s="68"/>
      <c r="G228" s="68"/>
      <c r="H228" s="68"/>
      <c r="I228" s="68"/>
      <c r="J228" s="68"/>
    </row>
    <row r="229" spans="1:10">
      <c r="A229" s="61" t="s">
        <v>192</v>
      </c>
      <c r="B229" s="68"/>
      <c r="C229" s="68"/>
      <c r="D229" s="68"/>
      <c r="E229" s="68"/>
      <c r="F229" s="68"/>
      <c r="G229" s="68"/>
      <c r="H229" s="68"/>
      <c r="I229" s="68"/>
      <c r="J229" s="68"/>
    </row>
    <row r="230" spans="1:10">
      <c r="A230" s="64" t="s">
        <v>193</v>
      </c>
      <c r="B230" s="67">
        <f>+B75+B104+B115+B156+B218</f>
        <v>0</v>
      </c>
      <c r="C230" s="67">
        <f t="shared" ref="C230:J230" si="42">+C75+C104+C115+C156+C218</f>
        <v>0</v>
      </c>
      <c r="D230" s="67">
        <f t="shared" si="42"/>
        <v>0</v>
      </c>
      <c r="E230" s="67">
        <f t="shared" si="42"/>
        <v>0</v>
      </c>
      <c r="F230" s="67">
        <f t="shared" si="42"/>
        <v>0</v>
      </c>
      <c r="G230" s="67">
        <f t="shared" si="42"/>
        <v>0</v>
      </c>
      <c r="H230" s="67">
        <f t="shared" si="42"/>
        <v>0</v>
      </c>
      <c r="I230" s="67">
        <f t="shared" si="42"/>
        <v>0</v>
      </c>
      <c r="J230" s="67">
        <f t="shared" si="42"/>
        <v>0</v>
      </c>
    </row>
    <row r="231" spans="1:10">
      <c r="A231" s="73" t="s">
        <v>58</v>
      </c>
      <c r="B231" s="115">
        <f>+IFERROR(B230/B70,0)</f>
        <v>0</v>
      </c>
      <c r="C231" s="115">
        <f t="shared" ref="C231:J231" si="43">+IFERROR(C230/C70,0)</f>
        <v>0</v>
      </c>
      <c r="D231" s="115">
        <f t="shared" si="43"/>
        <v>0</v>
      </c>
      <c r="E231" s="115">
        <f t="shared" si="43"/>
        <v>0</v>
      </c>
      <c r="F231" s="115">
        <f t="shared" si="43"/>
        <v>0</v>
      </c>
      <c r="G231" s="115">
        <f t="shared" si="43"/>
        <v>0</v>
      </c>
      <c r="H231" s="115">
        <f t="shared" si="43"/>
        <v>0</v>
      </c>
      <c r="I231" s="115">
        <f t="shared" si="43"/>
        <v>0</v>
      </c>
      <c r="J231" s="115">
        <f t="shared" si="43"/>
        <v>0</v>
      </c>
    </row>
    <row r="232" spans="1:10">
      <c r="A232" s="21"/>
      <c r="B232" s="69"/>
      <c r="C232" s="69"/>
      <c r="D232" s="69"/>
      <c r="E232" s="69"/>
      <c r="F232" s="69"/>
      <c r="G232" s="69"/>
      <c r="H232" s="69"/>
      <c r="I232" s="69"/>
      <c r="J232" s="69"/>
    </row>
    <row r="233" spans="1:10">
      <c r="A233" s="64" t="s">
        <v>194</v>
      </c>
      <c r="B233" s="67">
        <f>+B71-B230</f>
        <v>0</v>
      </c>
      <c r="C233" s="67">
        <f t="shared" ref="C233:J233" si="44">+C71-C230</f>
        <v>0</v>
      </c>
      <c r="D233" s="67">
        <f t="shared" si="44"/>
        <v>0</v>
      </c>
      <c r="E233" s="67">
        <f t="shared" si="44"/>
        <v>0</v>
      </c>
      <c r="F233" s="67">
        <f t="shared" si="44"/>
        <v>0</v>
      </c>
      <c r="G233" s="67">
        <f t="shared" si="44"/>
        <v>0</v>
      </c>
      <c r="H233" s="67">
        <f t="shared" si="44"/>
        <v>0</v>
      </c>
      <c r="I233" s="67">
        <f t="shared" si="44"/>
        <v>0</v>
      </c>
      <c r="J233" s="67">
        <f t="shared" si="44"/>
        <v>0</v>
      </c>
    </row>
    <row r="234" spans="1:10">
      <c r="A234" s="73" t="s">
        <v>58</v>
      </c>
      <c r="B234" s="115">
        <f>IFERROR(B233/B70,0)</f>
        <v>0</v>
      </c>
      <c r="C234" s="115">
        <f t="shared" ref="C234:J234" si="45">IFERROR(C233/C70,0)</f>
        <v>0</v>
      </c>
      <c r="D234" s="115">
        <f t="shared" si="45"/>
        <v>0</v>
      </c>
      <c r="E234" s="115">
        <f t="shared" si="45"/>
        <v>0</v>
      </c>
      <c r="F234" s="115">
        <f t="shared" si="45"/>
        <v>0</v>
      </c>
      <c r="G234" s="115">
        <f t="shared" si="45"/>
        <v>0</v>
      </c>
      <c r="H234" s="115">
        <f t="shared" si="45"/>
        <v>0</v>
      </c>
      <c r="I234" s="115">
        <f t="shared" si="45"/>
        <v>0</v>
      </c>
      <c r="J234" s="115">
        <f t="shared" si="45"/>
        <v>0</v>
      </c>
    </row>
    <row r="235" spans="1:10">
      <c r="A235" s="60"/>
      <c r="B235" s="68"/>
      <c r="C235" s="68"/>
      <c r="D235" s="68"/>
      <c r="E235" s="68"/>
      <c r="F235" s="68"/>
      <c r="G235" s="68"/>
      <c r="H235" s="68"/>
      <c r="I235" s="69"/>
      <c r="J235" s="69"/>
    </row>
    <row r="236" spans="1:10" ht="17.25">
      <c r="A236" s="70" t="s">
        <v>195</v>
      </c>
      <c r="B236" s="67">
        <f t="shared" ref="B236:J236" si="46">+SUM(B237:B239)</f>
        <v>0</v>
      </c>
      <c r="C236" s="67">
        <f t="shared" si="46"/>
        <v>0</v>
      </c>
      <c r="D236" s="67">
        <f t="shared" si="46"/>
        <v>0</v>
      </c>
      <c r="E236" s="67">
        <f t="shared" si="46"/>
        <v>0</v>
      </c>
      <c r="F236" s="67">
        <f t="shared" si="46"/>
        <v>0</v>
      </c>
      <c r="G236" s="67">
        <f t="shared" si="46"/>
        <v>0</v>
      </c>
      <c r="H236" s="67">
        <f t="shared" si="46"/>
        <v>0</v>
      </c>
      <c r="I236" s="67">
        <f t="shared" si="46"/>
        <v>0</v>
      </c>
      <c r="J236" s="67">
        <f t="shared" si="46"/>
        <v>0</v>
      </c>
    </row>
    <row r="237" spans="1:10">
      <c r="A237" s="61" t="s">
        <v>196</v>
      </c>
      <c r="B237" s="68"/>
      <c r="C237" s="68"/>
      <c r="D237" s="68"/>
      <c r="E237" s="68"/>
      <c r="F237" s="68"/>
      <c r="G237" s="68"/>
      <c r="H237" s="68"/>
      <c r="I237" s="68"/>
      <c r="J237" s="68"/>
    </row>
    <row r="238" spans="1:10">
      <c r="A238" s="61" t="s">
        <v>197</v>
      </c>
      <c r="B238" s="68"/>
      <c r="C238" s="68"/>
      <c r="D238" s="68"/>
      <c r="E238" s="68"/>
      <c r="F238" s="68"/>
      <c r="G238" s="68"/>
      <c r="H238" s="68"/>
      <c r="I238" s="68"/>
      <c r="J238" s="68"/>
    </row>
    <row r="239" spans="1:10">
      <c r="A239" s="61" t="s">
        <v>198</v>
      </c>
      <c r="B239" s="68"/>
      <c r="C239" s="68"/>
      <c r="D239" s="68"/>
      <c r="E239" s="68"/>
      <c r="F239" s="68"/>
      <c r="G239" s="68"/>
      <c r="H239" s="68"/>
      <c r="I239" s="68"/>
      <c r="J239" s="68"/>
    </row>
    <row r="240" spans="1:10">
      <c r="A240" s="60"/>
      <c r="B240" s="68"/>
      <c r="C240" s="68"/>
      <c r="D240" s="68"/>
      <c r="E240" s="68"/>
      <c r="F240" s="68"/>
      <c r="G240" s="68"/>
      <c r="H240" s="68"/>
      <c r="I240" s="69"/>
      <c r="J240" s="69"/>
    </row>
    <row r="241" spans="1:10" ht="17.25">
      <c r="A241" s="70" t="s">
        <v>199</v>
      </c>
      <c r="B241" s="67">
        <f>+SUM(B242:B248)</f>
        <v>0</v>
      </c>
      <c r="C241" s="67">
        <f t="shared" ref="C241:J241" si="47">+SUM(C242:C248)</f>
        <v>0</v>
      </c>
      <c r="D241" s="67">
        <f t="shared" si="47"/>
        <v>0</v>
      </c>
      <c r="E241" s="67">
        <f t="shared" si="47"/>
        <v>0</v>
      </c>
      <c r="F241" s="67">
        <f t="shared" si="47"/>
        <v>0</v>
      </c>
      <c r="G241" s="67">
        <f t="shared" si="47"/>
        <v>0</v>
      </c>
      <c r="H241" s="67">
        <f t="shared" si="47"/>
        <v>0</v>
      </c>
      <c r="I241" s="67">
        <f t="shared" si="47"/>
        <v>0</v>
      </c>
      <c r="J241" s="67">
        <f t="shared" si="47"/>
        <v>0</v>
      </c>
    </row>
    <row r="242" spans="1:10">
      <c r="A242" s="61" t="s">
        <v>200</v>
      </c>
      <c r="B242" s="68"/>
      <c r="C242" s="68"/>
      <c r="D242" s="68"/>
      <c r="E242" s="68"/>
      <c r="F242" s="68"/>
      <c r="G242" s="68"/>
      <c r="H242" s="68"/>
      <c r="I242" s="68"/>
      <c r="J242" s="68"/>
    </row>
    <row r="243" spans="1:10">
      <c r="A243" s="61" t="s">
        <v>238</v>
      </c>
      <c r="B243" s="68"/>
      <c r="C243" s="68"/>
      <c r="D243" s="68"/>
      <c r="E243" s="68"/>
      <c r="F243" s="68"/>
      <c r="G243" s="68"/>
      <c r="H243" s="68"/>
      <c r="I243" s="68"/>
      <c r="J243" s="68"/>
    </row>
    <row r="244" spans="1:10">
      <c r="A244" s="61" t="s">
        <v>239</v>
      </c>
      <c r="B244" s="68"/>
      <c r="C244" s="68"/>
      <c r="D244" s="68"/>
      <c r="E244" s="68"/>
      <c r="F244" s="68"/>
      <c r="G244" s="68"/>
      <c r="H244" s="68"/>
      <c r="I244" s="68"/>
      <c r="J244" s="68"/>
    </row>
    <row r="245" spans="1:10">
      <c r="A245" s="61" t="s">
        <v>240</v>
      </c>
      <c r="B245" s="68"/>
      <c r="C245" s="68"/>
      <c r="D245" s="68"/>
      <c r="E245" s="68"/>
      <c r="F245" s="68"/>
      <c r="G245" s="68"/>
      <c r="H245" s="68"/>
      <c r="I245" s="68"/>
      <c r="J245" s="68"/>
    </row>
    <row r="246" spans="1:10">
      <c r="A246" s="61" t="s">
        <v>241</v>
      </c>
      <c r="B246" s="68"/>
      <c r="C246" s="68"/>
      <c r="D246" s="68"/>
      <c r="E246" s="68"/>
      <c r="F246" s="68"/>
      <c r="G246" s="68"/>
      <c r="H246" s="68"/>
      <c r="I246" s="68"/>
      <c r="J246" s="68"/>
    </row>
    <row r="247" spans="1:10">
      <c r="A247" s="61" t="s">
        <v>242</v>
      </c>
      <c r="B247" s="68"/>
      <c r="C247" s="68"/>
      <c r="D247" s="68"/>
      <c r="E247" s="68"/>
      <c r="F247" s="68"/>
      <c r="G247" s="68"/>
      <c r="H247" s="68"/>
      <c r="I247" s="68"/>
      <c r="J247" s="68"/>
    </row>
    <row r="248" spans="1:10">
      <c r="A248" s="60"/>
      <c r="B248" s="68"/>
      <c r="C248" s="68"/>
      <c r="D248" s="68"/>
      <c r="E248" s="68"/>
      <c r="F248" s="68"/>
      <c r="G248" s="68"/>
      <c r="H248" s="68"/>
      <c r="I248" s="69"/>
      <c r="J248" s="69"/>
    </row>
    <row r="249" spans="1:10">
      <c r="A249" s="64" t="s">
        <v>201</v>
      </c>
      <c r="B249" s="67">
        <f t="shared" ref="B249:J249" si="48">+B233-B236-B241</f>
        <v>0</v>
      </c>
      <c r="C249" s="67">
        <f t="shared" si="48"/>
        <v>0</v>
      </c>
      <c r="D249" s="67">
        <f t="shared" si="48"/>
        <v>0</v>
      </c>
      <c r="E249" s="67">
        <f t="shared" si="48"/>
        <v>0</v>
      </c>
      <c r="F249" s="67">
        <f t="shared" si="48"/>
        <v>0</v>
      </c>
      <c r="G249" s="67">
        <f t="shared" si="48"/>
        <v>0</v>
      </c>
      <c r="H249" s="67">
        <f t="shared" si="48"/>
        <v>0</v>
      </c>
      <c r="I249" s="67">
        <f t="shared" si="48"/>
        <v>0</v>
      </c>
      <c r="J249" s="67">
        <f t="shared" si="48"/>
        <v>0</v>
      </c>
    </row>
    <row r="250" spans="1:10">
      <c r="A250" s="74" t="s">
        <v>58</v>
      </c>
      <c r="B250" s="116">
        <f>IFERROR(B249/B70,0)</f>
        <v>0</v>
      </c>
      <c r="C250" s="116">
        <f t="shared" ref="C250:J250" si="49">IFERROR(C249/C70,0)</f>
        <v>0</v>
      </c>
      <c r="D250" s="116">
        <f t="shared" si="49"/>
        <v>0</v>
      </c>
      <c r="E250" s="116">
        <f t="shared" si="49"/>
        <v>0</v>
      </c>
      <c r="F250" s="116">
        <f t="shared" si="49"/>
        <v>0</v>
      </c>
      <c r="G250" s="116">
        <f t="shared" si="49"/>
        <v>0</v>
      </c>
      <c r="H250" s="116">
        <f t="shared" si="49"/>
        <v>0</v>
      </c>
      <c r="I250" s="116">
        <f t="shared" si="49"/>
        <v>0</v>
      </c>
      <c r="J250" s="116">
        <f t="shared" si="49"/>
        <v>0</v>
      </c>
    </row>
  </sheetData>
  <mergeCells count="5">
    <mergeCell ref="A1:J1"/>
    <mergeCell ref="A2:A3"/>
    <mergeCell ref="B2:E2"/>
    <mergeCell ref="F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GT-SERV</vt:lpstr>
      <vt:lpstr>BI_Actual</vt:lpstr>
      <vt:lpstr>BI-Budget</vt:lpstr>
      <vt:lpstr>GRANDT</vt:lpstr>
      <vt:lpstr>NEW CAR</vt:lpstr>
      <vt:lpstr>PMGR</vt:lpstr>
      <vt:lpstr>BP</vt:lpstr>
      <vt:lpstr>ACCESS</vt:lpstr>
      <vt:lpstr>Jan-25</vt:lpstr>
      <vt:lpstr>Feb-25</vt:lpstr>
      <vt:lpstr>Mar-25</vt:lpstr>
      <vt:lpstr>Apr-25</vt:lpstr>
      <vt:lpstr>May-25</vt:lpstr>
      <vt:lpstr>June-25</vt:lpstr>
      <vt:lpstr>July-25</vt:lpstr>
      <vt:lpstr>Budget</vt:lpstr>
      <vt:lpstr>Aug-25</vt:lpstr>
      <vt:lpstr>Sep-25</vt:lpstr>
      <vt:lpstr>Oct-25</vt:lpstr>
      <vt:lpstr>Nov-25</vt:lpstr>
      <vt:lpstr>Dec-25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admin3</dc:creator>
  <cp:lastModifiedBy>Bridgeway motors</cp:lastModifiedBy>
  <dcterms:created xsi:type="dcterms:W3CDTF">2025-09-15T09:58:04Z</dcterms:created>
  <dcterms:modified xsi:type="dcterms:W3CDTF">2025-11-10T05:56:30Z</dcterms:modified>
</cp:coreProperties>
</file>